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fileSharing userName="Unknown User" reservationPassword="C86F"/>
  <workbookPr codeName="ThisWorkbook"/>
  <bookViews>
    <workbookView windowWidth="22188" windowHeight="10500" tabRatio="828" activeTab="4"/>
  </bookViews>
  <sheets>
    <sheet name="9259" sheetId="40" r:id="rId1"/>
    <sheet name="9279" sheetId="41" r:id="rId2"/>
    <sheet name="9298" sheetId="42" r:id="rId3"/>
    <sheet name="92104" sheetId="43" r:id="rId4"/>
    <sheet name="92106" sheetId="44" r:id="rId5"/>
    <sheet name="92107" sheetId="48" r:id="rId6"/>
    <sheet name="92108" sheetId="49" r:id="rId7"/>
    <sheet name="棉花泥MA" sheetId="32" r:id="rId8"/>
    <sheet name="布料MA" sheetId="20" r:id="rId9"/>
    <sheet name="布料MA -1" sheetId="50" r:id="rId10"/>
    <sheet name="半成品MA" sheetId="14" r:id="rId11"/>
    <sheet name="生产MA-1" sheetId="53" r:id="rId12"/>
    <sheet name="MA包裝" sheetId="12" r:id="rId13"/>
    <sheet name="包装MA-1" sheetId="52" r:id="rId14"/>
    <sheet name="IC MA" sheetId="51" r:id="rId15"/>
    <sheet name="取消單" sheetId="17" r:id="rId16"/>
    <sheet name="取消单-1" sheetId="54" r:id="rId17"/>
    <sheet name="客户回复" sheetId="47" state="hidden" r:id="rId18"/>
    <sheet name="9298 版本变更明细" sheetId="45" state="hidden" r:id="rId19"/>
    <sheet name="樣板單" sheetId="19" state="hidden" r:id="rId20"/>
    <sheet name="总表" sheetId="25" state="hidden" r:id="rId21"/>
  </sheets>
  <externalReferences>
    <externalReference r:id="rId23"/>
  </externalReferences>
  <definedNames>
    <definedName name="_xlnm._FilterDatabase" localSheetId="0" hidden="1">'9259'!$A$4:$BL$79</definedName>
    <definedName name="_xlnm._FilterDatabase" localSheetId="1" hidden="1">'9279'!$3:$938</definedName>
    <definedName name="_xlnm._FilterDatabase" localSheetId="2" hidden="1">'9298'!$3:$1482</definedName>
    <definedName name="_xlnm._FilterDatabase" localSheetId="3" hidden="1">'92104'!$A$3:$LB$1185</definedName>
    <definedName name="_xlnm._FilterDatabase" localSheetId="4" hidden="1">'92106'!$3:$977</definedName>
    <definedName name="_xlnm._FilterDatabase" localSheetId="5" hidden="1">'92107'!$3:$406</definedName>
    <definedName name="_xlnm._FilterDatabase" localSheetId="6" hidden="1">'92108'!$3:$170</definedName>
    <definedName name="_xlnm._FilterDatabase" localSheetId="10" hidden="1">半成品MA!$A$3:$AC$35</definedName>
    <definedName name="_xlnm._FilterDatabase" localSheetId="12" hidden="1">MA包裝!$A$3:$GM$234</definedName>
    <definedName name="_xlnm._FilterDatabase" localSheetId="13" hidden="1">'包装MA-1'!$A$4:$BB$109</definedName>
    <definedName name="_xlnm._FilterDatabase" localSheetId="15" hidden="1">取消單!$A$1:$CD$220</definedName>
    <definedName name="_xlnm._FilterDatabase" localSheetId="16" hidden="1">'取消单-1'!$A$1:$IK$97</definedName>
    <definedName name="_xlnm._FilterDatabase" localSheetId="17" hidden="1">客户回复!$3:$145</definedName>
    <definedName name="_xlnm._FilterDatabase" localSheetId="18" hidden="1">'9298 版本变更明细'!$A$3:$XDN$177</definedName>
    <definedName name="_xlnm._FilterDatabase" localSheetId="19" hidden="1">樣板單!$A$3:$CZ$318</definedName>
    <definedName name="_xlnm.Print_Area" localSheetId="8">布料MA!#REF!</definedName>
    <definedName name="_xlnm._FilterDatabase" localSheetId="7" hidden="1">棉花泥MA!$A$1:$O$30</definedName>
    <definedName name="_xlnm.Print_Area" localSheetId="0">'9259'!$2:$90</definedName>
    <definedName name="_xlnm.Print_Area" localSheetId="1">'9279'!$1:$3</definedName>
    <definedName name="_xlnm.Print_Area" localSheetId="2">'9298'!$1:$3</definedName>
    <definedName name="bos">#REF!</definedName>
    <definedName name="Code">'[1]CQS Code(rev 38)'!$B$7:$E$1000</definedName>
    <definedName name="_xlnm.Print_Area" localSheetId="3">'92104'!$1:$3</definedName>
    <definedName name="_xlnm.Print_Area" localSheetId="4">'92106'!$1:$3</definedName>
    <definedName name="_xlnm.Print_Area" localSheetId="18">'9298 版本变更明细'!$1:$3</definedName>
    <definedName name="bos" localSheetId="18">#REF!</definedName>
    <definedName name="bos" localSheetId="17">#REF!</definedName>
    <definedName name="_xlnm.Print_Area" localSheetId="17">客户回复!$1:$3</definedName>
    <definedName name="_xlnm._FilterDatabase" localSheetId="14" hidden="1">'IC MA'!$H$10:$P$10</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author>
    <author>Administrator</author>
  </authors>
  <commentList>
    <comment ref="AJ15" authorId="0">
      <text>
        <r>
          <rPr>
            <b/>
            <sz val="9"/>
            <rFont val="宋体"/>
            <charset val="134"/>
          </rPr>
          <t>admin:</t>
        </r>
        <r>
          <rPr>
            <sz val="9"/>
            <rFont val="宋体"/>
            <charset val="134"/>
          </rPr>
          <t xml:space="preserve">
</t>
        </r>
        <r>
          <rPr>
            <sz val="16"/>
            <rFont val="宋体"/>
            <charset val="134"/>
          </rPr>
          <t>新稿-收缩膜自带环保标标志</t>
        </r>
      </text>
    </comment>
    <comment ref="AJ16" authorId="0">
      <text>
        <r>
          <rPr>
            <b/>
            <sz val="9"/>
            <rFont val="宋体"/>
            <charset val="134"/>
          </rPr>
          <t>admin:</t>
        </r>
        <r>
          <rPr>
            <sz val="9"/>
            <rFont val="宋体"/>
            <charset val="134"/>
          </rPr>
          <t xml:space="preserve">
</t>
        </r>
        <r>
          <rPr>
            <sz val="16"/>
            <rFont val="宋体"/>
            <charset val="134"/>
          </rPr>
          <t>新稿-收缩膜自带环保标标志</t>
        </r>
      </text>
    </comment>
    <comment ref="AJ17" authorId="0">
      <text>
        <r>
          <rPr>
            <b/>
            <sz val="9"/>
            <rFont val="宋体"/>
            <charset val="134"/>
          </rPr>
          <t>admin:</t>
        </r>
        <r>
          <rPr>
            <sz val="9"/>
            <rFont val="宋体"/>
            <charset val="134"/>
          </rPr>
          <t xml:space="preserve">
</t>
        </r>
        <r>
          <rPr>
            <sz val="16"/>
            <rFont val="宋体"/>
            <charset val="134"/>
          </rPr>
          <t>新稿-收缩膜自带环保标标志</t>
        </r>
      </text>
    </comment>
    <comment ref="AJ18" authorId="0">
      <text>
        <r>
          <rPr>
            <b/>
            <sz val="9"/>
            <rFont val="宋体"/>
            <charset val="134"/>
          </rPr>
          <t>admin:</t>
        </r>
        <r>
          <rPr>
            <sz val="9"/>
            <rFont val="宋体"/>
            <charset val="134"/>
          </rPr>
          <t xml:space="preserve">
</t>
        </r>
        <r>
          <rPr>
            <sz val="16"/>
            <rFont val="宋体"/>
            <charset val="134"/>
          </rPr>
          <t>新稿-收缩膜自带环保标标志</t>
        </r>
      </text>
    </comment>
    <comment ref="AJ23" authorId="0">
      <text>
        <r>
          <rPr>
            <b/>
            <sz val="9"/>
            <rFont val="宋体"/>
            <charset val="134"/>
          </rPr>
          <t>admin:</t>
        </r>
        <r>
          <rPr>
            <sz val="9"/>
            <rFont val="宋体"/>
            <charset val="134"/>
          </rPr>
          <t xml:space="preserve">
</t>
        </r>
        <r>
          <rPr>
            <sz val="16"/>
            <rFont val="宋体"/>
            <charset val="134"/>
          </rPr>
          <t>新稿-收缩膜自带环保标标志</t>
        </r>
      </text>
    </comment>
    <comment ref="AJ24" authorId="0">
      <text>
        <r>
          <rPr>
            <b/>
            <sz val="9"/>
            <rFont val="宋体"/>
            <charset val="134"/>
          </rPr>
          <t>admin:</t>
        </r>
        <r>
          <rPr>
            <sz val="9"/>
            <rFont val="宋体"/>
            <charset val="134"/>
          </rPr>
          <t xml:space="preserve">
</t>
        </r>
        <r>
          <rPr>
            <sz val="16"/>
            <rFont val="宋体"/>
            <charset val="134"/>
          </rPr>
          <t>新稿-收缩膜自带环保标标志</t>
        </r>
      </text>
    </comment>
    <comment ref="AJ28" authorId="0">
      <text>
        <r>
          <rPr>
            <b/>
            <sz val="9"/>
            <rFont val="宋体"/>
            <charset val="134"/>
          </rPr>
          <t>admin:</t>
        </r>
        <r>
          <rPr>
            <sz val="9"/>
            <rFont val="宋体"/>
            <charset val="134"/>
          </rPr>
          <t xml:space="preserve">
</t>
        </r>
        <r>
          <rPr>
            <sz val="16"/>
            <rFont val="宋体"/>
            <charset val="134"/>
          </rPr>
          <t>新稿-收缩膜自带环保标标志</t>
        </r>
      </text>
    </comment>
    <comment ref="AJ29" authorId="0">
      <text>
        <r>
          <rPr>
            <b/>
            <sz val="9"/>
            <rFont val="宋体"/>
            <charset val="134"/>
          </rPr>
          <t>admin:</t>
        </r>
        <r>
          <rPr>
            <sz val="9"/>
            <rFont val="宋体"/>
            <charset val="134"/>
          </rPr>
          <t xml:space="preserve">
</t>
        </r>
        <r>
          <rPr>
            <sz val="16"/>
            <rFont val="宋体"/>
            <charset val="134"/>
          </rPr>
          <t>新稿-收缩膜自带环保标标志</t>
        </r>
      </text>
    </comment>
    <comment ref="AJ30" authorId="0">
      <text>
        <r>
          <rPr>
            <b/>
            <sz val="9"/>
            <rFont val="宋体"/>
            <charset val="134"/>
          </rPr>
          <t>admin:</t>
        </r>
        <r>
          <rPr>
            <sz val="9"/>
            <rFont val="宋体"/>
            <charset val="134"/>
          </rPr>
          <t xml:space="preserve">
</t>
        </r>
        <r>
          <rPr>
            <sz val="16"/>
            <rFont val="宋体"/>
            <charset val="134"/>
          </rPr>
          <t>新稿-收缩膜自带环保标标志</t>
        </r>
      </text>
    </comment>
    <comment ref="AJ31" authorId="0">
      <text>
        <r>
          <rPr>
            <b/>
            <sz val="9"/>
            <rFont val="宋体"/>
            <charset val="134"/>
          </rPr>
          <t>admin:</t>
        </r>
        <r>
          <rPr>
            <sz val="9"/>
            <rFont val="宋体"/>
            <charset val="134"/>
          </rPr>
          <t xml:space="preserve">
</t>
        </r>
        <r>
          <rPr>
            <sz val="16"/>
            <rFont val="宋体"/>
            <charset val="134"/>
          </rPr>
          <t>新稿-收缩膜自带环保标标志</t>
        </r>
      </text>
    </comment>
    <comment ref="AJ32" authorId="0">
      <text>
        <r>
          <rPr>
            <b/>
            <sz val="9"/>
            <rFont val="宋体"/>
            <charset val="134"/>
          </rPr>
          <t>admin:</t>
        </r>
        <r>
          <rPr>
            <sz val="9"/>
            <rFont val="宋体"/>
            <charset val="134"/>
          </rPr>
          <t xml:space="preserve">
</t>
        </r>
        <r>
          <rPr>
            <sz val="16"/>
            <rFont val="宋体"/>
            <charset val="134"/>
          </rPr>
          <t>新稿-收缩膜自带环保标标志</t>
        </r>
      </text>
    </comment>
    <comment ref="AJ33" authorId="0">
      <text>
        <r>
          <rPr>
            <b/>
            <sz val="9"/>
            <rFont val="宋体"/>
            <charset val="134"/>
          </rPr>
          <t>admin:</t>
        </r>
        <r>
          <rPr>
            <sz val="9"/>
            <rFont val="宋体"/>
            <charset val="134"/>
          </rPr>
          <t xml:space="preserve">
</t>
        </r>
        <r>
          <rPr>
            <sz val="16"/>
            <rFont val="宋体"/>
            <charset val="134"/>
          </rPr>
          <t>新稿-收缩膜自带环保标标志</t>
        </r>
      </text>
    </comment>
    <comment ref="AJ34" authorId="0">
      <text>
        <r>
          <rPr>
            <b/>
            <sz val="9"/>
            <rFont val="宋体"/>
            <charset val="134"/>
          </rPr>
          <t>admin:</t>
        </r>
        <r>
          <rPr>
            <sz val="9"/>
            <rFont val="宋体"/>
            <charset val="134"/>
          </rPr>
          <t xml:space="preserve">
</t>
        </r>
        <r>
          <rPr>
            <sz val="16"/>
            <rFont val="宋体"/>
            <charset val="134"/>
          </rPr>
          <t>新稿-收缩膜自带环保标标志</t>
        </r>
      </text>
    </comment>
    <comment ref="AJ35" authorId="0">
      <text>
        <r>
          <rPr>
            <b/>
            <sz val="9"/>
            <rFont val="宋体"/>
            <charset val="134"/>
          </rPr>
          <t>admin:</t>
        </r>
        <r>
          <rPr>
            <sz val="9"/>
            <rFont val="宋体"/>
            <charset val="134"/>
          </rPr>
          <t xml:space="preserve">
</t>
        </r>
        <r>
          <rPr>
            <sz val="16"/>
            <rFont val="宋体"/>
            <charset val="134"/>
          </rPr>
          <t>新稿-收缩膜自带环保标标志</t>
        </r>
      </text>
    </comment>
    <comment ref="AJ36" authorId="0">
      <text>
        <r>
          <rPr>
            <b/>
            <sz val="9"/>
            <rFont val="宋体"/>
            <charset val="134"/>
          </rPr>
          <t>admin:</t>
        </r>
        <r>
          <rPr>
            <sz val="9"/>
            <rFont val="宋体"/>
            <charset val="134"/>
          </rPr>
          <t xml:space="preserve">
</t>
        </r>
        <r>
          <rPr>
            <sz val="16"/>
            <rFont val="宋体"/>
            <charset val="134"/>
          </rPr>
          <t>新稿-收缩膜自带环保标标志</t>
        </r>
      </text>
    </comment>
    <comment ref="AJ37" authorId="0">
      <text>
        <r>
          <rPr>
            <b/>
            <sz val="9"/>
            <rFont val="宋体"/>
            <charset val="134"/>
          </rPr>
          <t>admin:</t>
        </r>
        <r>
          <rPr>
            <sz val="9"/>
            <rFont val="宋体"/>
            <charset val="134"/>
          </rPr>
          <t xml:space="preserve">
</t>
        </r>
        <r>
          <rPr>
            <sz val="16"/>
            <rFont val="宋体"/>
            <charset val="134"/>
          </rPr>
          <t>新稿-收缩膜自带环保标标志</t>
        </r>
      </text>
    </comment>
    <comment ref="AJ38" authorId="0">
      <text>
        <r>
          <rPr>
            <b/>
            <sz val="9"/>
            <rFont val="宋体"/>
            <charset val="134"/>
          </rPr>
          <t>admin:</t>
        </r>
        <r>
          <rPr>
            <sz val="9"/>
            <rFont val="宋体"/>
            <charset val="134"/>
          </rPr>
          <t xml:space="preserve">
</t>
        </r>
        <r>
          <rPr>
            <sz val="16"/>
            <rFont val="宋体"/>
            <charset val="134"/>
          </rPr>
          <t>新稿-收缩膜自带环保标标志</t>
        </r>
      </text>
    </comment>
    <comment ref="AJ39" authorId="0">
      <text>
        <r>
          <rPr>
            <b/>
            <sz val="9"/>
            <rFont val="宋体"/>
            <charset val="134"/>
          </rPr>
          <t>admin:</t>
        </r>
        <r>
          <rPr>
            <sz val="9"/>
            <rFont val="宋体"/>
            <charset val="134"/>
          </rPr>
          <t xml:space="preserve">
</t>
        </r>
        <r>
          <rPr>
            <sz val="16"/>
            <rFont val="宋体"/>
            <charset val="134"/>
          </rPr>
          <t>新稿-收缩膜自带环保标标志</t>
        </r>
      </text>
    </comment>
    <comment ref="AJ40" authorId="0">
      <text>
        <r>
          <rPr>
            <b/>
            <sz val="9"/>
            <rFont val="宋体"/>
            <charset val="134"/>
          </rPr>
          <t>admin:</t>
        </r>
        <r>
          <rPr>
            <sz val="9"/>
            <rFont val="宋体"/>
            <charset val="134"/>
          </rPr>
          <t xml:space="preserve">
</t>
        </r>
        <r>
          <rPr>
            <sz val="16"/>
            <rFont val="宋体"/>
            <charset val="134"/>
          </rPr>
          <t>新稿-收缩膜自带环保标标志</t>
        </r>
      </text>
    </comment>
    <comment ref="AJ41" authorId="0">
      <text>
        <r>
          <rPr>
            <b/>
            <sz val="9"/>
            <rFont val="宋体"/>
            <charset val="134"/>
          </rPr>
          <t>admin:</t>
        </r>
        <r>
          <rPr>
            <sz val="9"/>
            <rFont val="宋体"/>
            <charset val="134"/>
          </rPr>
          <t xml:space="preserve">
</t>
        </r>
        <r>
          <rPr>
            <sz val="16"/>
            <rFont val="宋体"/>
            <charset val="134"/>
          </rPr>
          <t>新稿-收缩膜自带环保标标志</t>
        </r>
      </text>
    </comment>
    <comment ref="AJ42" authorId="0">
      <text>
        <r>
          <rPr>
            <b/>
            <sz val="9"/>
            <rFont val="宋体"/>
            <charset val="134"/>
          </rPr>
          <t>admin:</t>
        </r>
        <r>
          <rPr>
            <sz val="9"/>
            <rFont val="宋体"/>
            <charset val="134"/>
          </rPr>
          <t xml:space="preserve">
</t>
        </r>
        <r>
          <rPr>
            <sz val="16"/>
            <rFont val="宋体"/>
            <charset val="134"/>
          </rPr>
          <t>新稿-收缩膜自带环保标标志</t>
        </r>
      </text>
    </comment>
    <comment ref="AJ43" authorId="0">
      <text>
        <r>
          <rPr>
            <b/>
            <sz val="9"/>
            <rFont val="宋体"/>
            <charset val="134"/>
          </rPr>
          <t>admin:</t>
        </r>
        <r>
          <rPr>
            <sz val="9"/>
            <rFont val="宋体"/>
            <charset val="134"/>
          </rPr>
          <t xml:space="preserve">
</t>
        </r>
        <r>
          <rPr>
            <sz val="16"/>
            <rFont val="宋体"/>
            <charset val="134"/>
          </rPr>
          <t>新稿-收缩膜自带环保标标志</t>
        </r>
      </text>
    </comment>
    <comment ref="AJ44" authorId="0">
      <text>
        <r>
          <rPr>
            <b/>
            <sz val="9"/>
            <rFont val="宋体"/>
            <charset val="134"/>
          </rPr>
          <t>admin:</t>
        </r>
        <r>
          <rPr>
            <sz val="9"/>
            <rFont val="宋体"/>
            <charset val="134"/>
          </rPr>
          <t xml:space="preserve">
</t>
        </r>
        <r>
          <rPr>
            <sz val="16"/>
            <rFont val="宋体"/>
            <charset val="134"/>
          </rPr>
          <t>新稿-收缩膜自带环保标标志</t>
        </r>
      </text>
    </comment>
    <comment ref="AJ45" authorId="0">
      <text>
        <r>
          <rPr>
            <b/>
            <sz val="9"/>
            <rFont val="宋体"/>
            <charset val="134"/>
          </rPr>
          <t>admin:</t>
        </r>
        <r>
          <rPr>
            <sz val="9"/>
            <rFont val="宋体"/>
            <charset val="134"/>
          </rPr>
          <t xml:space="preserve">
</t>
        </r>
        <r>
          <rPr>
            <sz val="16"/>
            <rFont val="宋体"/>
            <charset val="134"/>
          </rPr>
          <t>新稿-收缩膜自带环保标标志</t>
        </r>
      </text>
    </comment>
    <comment ref="AJ46" authorId="0">
      <text>
        <r>
          <rPr>
            <b/>
            <sz val="9"/>
            <rFont val="宋体"/>
            <charset val="134"/>
          </rPr>
          <t>admin:</t>
        </r>
        <r>
          <rPr>
            <sz val="9"/>
            <rFont val="宋体"/>
            <charset val="134"/>
          </rPr>
          <t xml:space="preserve">
</t>
        </r>
        <r>
          <rPr>
            <sz val="16"/>
            <rFont val="宋体"/>
            <charset val="134"/>
          </rPr>
          <t>新稿-收缩膜自带环保标标志</t>
        </r>
      </text>
    </comment>
    <comment ref="AJ47" authorId="0">
      <text>
        <r>
          <rPr>
            <b/>
            <sz val="9"/>
            <rFont val="宋体"/>
            <charset val="134"/>
          </rPr>
          <t>admin:</t>
        </r>
        <r>
          <rPr>
            <sz val="9"/>
            <rFont val="宋体"/>
            <charset val="134"/>
          </rPr>
          <t xml:space="preserve">
</t>
        </r>
        <r>
          <rPr>
            <sz val="16"/>
            <rFont val="宋体"/>
            <charset val="134"/>
          </rPr>
          <t>新稿-收缩膜自带环保标标志</t>
        </r>
      </text>
    </comment>
    <comment ref="AJ48" authorId="0">
      <text>
        <r>
          <rPr>
            <b/>
            <sz val="9"/>
            <rFont val="宋体"/>
            <charset val="134"/>
          </rPr>
          <t>admin:</t>
        </r>
        <r>
          <rPr>
            <sz val="9"/>
            <rFont val="宋体"/>
            <charset val="134"/>
          </rPr>
          <t xml:space="preserve">
</t>
        </r>
        <r>
          <rPr>
            <sz val="16"/>
            <rFont val="宋体"/>
            <charset val="134"/>
          </rPr>
          <t>新稿-收缩膜自带环保标标志</t>
        </r>
      </text>
    </comment>
    <comment ref="AJ49" authorId="0">
      <text>
        <r>
          <rPr>
            <b/>
            <sz val="9"/>
            <rFont val="宋体"/>
            <charset val="134"/>
          </rPr>
          <t>admin:</t>
        </r>
        <r>
          <rPr>
            <sz val="9"/>
            <rFont val="宋体"/>
            <charset val="134"/>
          </rPr>
          <t xml:space="preserve">
</t>
        </r>
        <r>
          <rPr>
            <sz val="16"/>
            <rFont val="宋体"/>
            <charset val="134"/>
          </rPr>
          <t>新稿-收缩膜自带环保标标志</t>
        </r>
      </text>
    </comment>
    <comment ref="AJ50" authorId="0">
      <text>
        <r>
          <rPr>
            <b/>
            <sz val="9"/>
            <rFont val="宋体"/>
            <charset val="134"/>
          </rPr>
          <t>admin:</t>
        </r>
        <r>
          <rPr>
            <sz val="9"/>
            <rFont val="宋体"/>
            <charset val="134"/>
          </rPr>
          <t xml:space="preserve">
</t>
        </r>
        <r>
          <rPr>
            <sz val="16"/>
            <rFont val="宋体"/>
            <charset val="134"/>
          </rPr>
          <t>新稿-收缩膜自带环保标标志</t>
        </r>
      </text>
    </comment>
    <comment ref="AJ51" authorId="0">
      <text>
        <r>
          <rPr>
            <b/>
            <sz val="9"/>
            <rFont val="宋体"/>
            <charset val="134"/>
          </rPr>
          <t>admin:</t>
        </r>
        <r>
          <rPr>
            <sz val="9"/>
            <rFont val="宋体"/>
            <charset val="134"/>
          </rPr>
          <t xml:space="preserve">
</t>
        </r>
        <r>
          <rPr>
            <sz val="16"/>
            <rFont val="宋体"/>
            <charset val="134"/>
          </rPr>
          <t>新稿-收缩膜自带环保标标志</t>
        </r>
      </text>
    </comment>
    <comment ref="AJ52" authorId="0">
      <text>
        <r>
          <rPr>
            <b/>
            <sz val="9"/>
            <rFont val="宋体"/>
            <charset val="134"/>
          </rPr>
          <t>admin:</t>
        </r>
        <r>
          <rPr>
            <sz val="9"/>
            <rFont val="宋体"/>
            <charset val="134"/>
          </rPr>
          <t xml:space="preserve">
</t>
        </r>
        <r>
          <rPr>
            <sz val="16"/>
            <rFont val="宋体"/>
            <charset val="134"/>
          </rPr>
          <t>新稿-收缩膜自带环保标标志</t>
        </r>
      </text>
    </comment>
    <comment ref="AJ53" authorId="0">
      <text>
        <r>
          <rPr>
            <b/>
            <sz val="9"/>
            <rFont val="宋体"/>
            <charset val="134"/>
          </rPr>
          <t>admin:</t>
        </r>
        <r>
          <rPr>
            <sz val="9"/>
            <rFont val="宋体"/>
            <charset val="134"/>
          </rPr>
          <t xml:space="preserve">
</t>
        </r>
        <r>
          <rPr>
            <sz val="16"/>
            <rFont val="宋体"/>
            <charset val="134"/>
          </rPr>
          <t>新稿-收缩膜自带环保标标志</t>
        </r>
      </text>
    </comment>
    <comment ref="AJ54" authorId="0">
      <text>
        <r>
          <rPr>
            <b/>
            <sz val="9"/>
            <rFont val="宋体"/>
            <charset val="134"/>
          </rPr>
          <t>admin:</t>
        </r>
        <r>
          <rPr>
            <sz val="9"/>
            <rFont val="宋体"/>
            <charset val="134"/>
          </rPr>
          <t xml:space="preserve">
</t>
        </r>
        <r>
          <rPr>
            <sz val="16"/>
            <rFont val="宋体"/>
            <charset val="134"/>
          </rPr>
          <t>新稿-收缩膜自带环保标标志</t>
        </r>
      </text>
    </comment>
    <comment ref="R61" authorId="1">
      <text>
        <r>
          <rPr>
            <b/>
            <sz val="11"/>
            <rFont val="宋体"/>
            <charset val="134"/>
          </rPr>
          <t>Administrator:</t>
        </r>
        <r>
          <rPr>
            <sz val="11"/>
            <rFont val="宋体"/>
            <charset val="134"/>
          </rPr>
          <t xml:space="preserve">
4000376 9/5 暹罗猫2928 PCS
            加菲猫350 PCS</t>
        </r>
      </text>
    </comment>
    <comment ref="R62" authorId="1">
      <text>
        <r>
          <rPr>
            <b/>
            <sz val="9"/>
            <rFont val="宋体"/>
            <charset val="134"/>
          </rPr>
          <t>Administrator:</t>
        </r>
        <r>
          <rPr>
            <sz val="9"/>
            <rFont val="宋体"/>
            <charset val="134"/>
          </rPr>
          <t xml:space="preserve">
4000399 9/13 加菲猫 840PCS,
              美国猫960 PCS
4000426 9/12 暹罗猫 2966 PCS
             孟加拉猫2966 PCS 
             加菲猫 2126 PCS
             美国猫 2006 PCS</t>
        </r>
      </text>
    </comment>
    <comment ref="R63" authorId="1">
      <text>
        <r>
          <rPr>
            <b/>
            <sz val="9"/>
            <rFont val="宋体"/>
            <charset val="134"/>
          </rPr>
          <t>Administrator:</t>
        </r>
        <r>
          <rPr>
            <sz val="9"/>
            <rFont val="宋体"/>
            <charset val="134"/>
          </rPr>
          <t xml:space="preserve">
4000399 9/13 加菲猫 1740PCS
             暹罗猫1520 PCS
</t>
        </r>
      </text>
    </comment>
    <comment ref="R66" authorId="1">
      <text>
        <r>
          <rPr>
            <b/>
            <sz val="9"/>
            <rFont val="宋体"/>
            <charset val="134"/>
          </rPr>
          <t>Administrator:</t>
        </r>
        <r>
          <rPr>
            <sz val="9"/>
            <rFont val="宋体"/>
            <charset val="134"/>
          </rPr>
          <t xml:space="preserve">
4000401 9/13 加菲猫 2816 PCS
             孟加拉猫 1792 PCS</t>
        </r>
      </text>
    </comment>
    <comment ref="R69" authorId="1">
      <text>
        <r>
          <rPr>
            <b/>
            <sz val="12"/>
            <rFont val="宋体"/>
            <charset val="134"/>
          </rPr>
          <t>Administrator:</t>
        </r>
        <r>
          <rPr>
            <sz val="12"/>
            <rFont val="宋体"/>
            <charset val="134"/>
          </rPr>
          <t xml:space="preserve">
5000357 9/25 美国猫：2910
             暹罗猫：2964
             孟加拉猫：2246
             加菲猫：2964
5000362 9/25 孟加拉猫：702
</t>
        </r>
      </text>
    </comment>
    <comment ref="R70" authorId="1">
      <text>
        <r>
          <rPr>
            <b/>
            <sz val="12"/>
            <rFont val="宋体"/>
            <charset val="134"/>
          </rPr>
          <t>Administrator:</t>
        </r>
        <r>
          <rPr>
            <sz val="12"/>
            <rFont val="宋体"/>
            <charset val="134"/>
          </rPr>
          <t xml:space="preserve">
5000362 9/25 加菲猫：2760
             暹罗猫：960</t>
        </r>
      </text>
    </comment>
  </commentList>
</comments>
</file>

<file path=xl/comments2.xml><?xml version="1.0" encoding="utf-8"?>
<comments xmlns="http://schemas.openxmlformats.org/spreadsheetml/2006/main">
  <authors>
    <author>admin</author>
    <author>Administrator</author>
    <author>Unknown User</author>
  </authors>
  <commentList>
    <comment ref="BH3" authorId="0">
      <text>
        <r>
          <rPr>
            <sz val="9"/>
            <rFont val="宋体"/>
            <charset val="134"/>
          </rPr>
          <t xml:space="preserve">
根据实单订购PDQ</t>
        </r>
      </text>
    </comment>
    <comment ref="R360" authorId="1">
      <text>
        <r>
          <rPr>
            <b/>
            <sz val="14"/>
            <rFont val="宋体"/>
            <charset val="134"/>
          </rPr>
          <t>Administrator:</t>
        </r>
        <r>
          <rPr>
            <sz val="14"/>
            <rFont val="宋体"/>
            <charset val="134"/>
          </rPr>
          <t xml:space="preserve">
4000127 8/29 504PCS</t>
        </r>
      </text>
    </comment>
    <comment ref="R361" authorId="1">
      <text>
        <r>
          <rPr>
            <b/>
            <sz val="14"/>
            <rFont val="宋体"/>
            <charset val="134"/>
          </rPr>
          <t>Administrator:</t>
        </r>
        <r>
          <rPr>
            <sz val="14"/>
            <rFont val="宋体"/>
            <charset val="134"/>
          </rPr>
          <t xml:space="preserve">
4000127 8/29 492
PCS</t>
        </r>
      </text>
    </comment>
    <comment ref="R362" authorId="1">
      <text>
        <r>
          <rPr>
            <b/>
            <sz val="14"/>
            <rFont val="宋体"/>
            <charset val="134"/>
          </rPr>
          <t>Administrator:</t>
        </r>
        <r>
          <rPr>
            <sz val="14"/>
            <rFont val="宋体"/>
            <charset val="134"/>
          </rPr>
          <t xml:space="preserve">
4000127 8/29 492PCS</t>
        </r>
      </text>
    </comment>
    <comment ref="R363" authorId="1">
      <text>
        <r>
          <rPr>
            <b/>
            <sz val="14"/>
            <rFont val="宋体"/>
            <charset val="134"/>
          </rPr>
          <t>Administrator:</t>
        </r>
        <r>
          <rPr>
            <sz val="14"/>
            <rFont val="宋体"/>
            <charset val="134"/>
          </rPr>
          <t xml:space="preserve">
4000127 8/29 504PCS</t>
        </r>
      </text>
    </comment>
    <comment ref="R364" authorId="1">
      <text>
        <r>
          <rPr>
            <b/>
            <sz val="14"/>
            <rFont val="宋体"/>
            <charset val="134"/>
          </rPr>
          <t>Administrator:</t>
        </r>
        <r>
          <rPr>
            <sz val="14"/>
            <rFont val="宋体"/>
            <charset val="134"/>
          </rPr>
          <t xml:space="preserve">
4000127 8/29 492
PCS</t>
        </r>
      </text>
    </comment>
    <comment ref="R365" authorId="1">
      <text>
        <r>
          <rPr>
            <b/>
            <sz val="14"/>
            <rFont val="宋体"/>
            <charset val="134"/>
          </rPr>
          <t>Administrator:</t>
        </r>
        <r>
          <rPr>
            <sz val="14"/>
            <rFont val="宋体"/>
            <charset val="134"/>
          </rPr>
          <t xml:space="preserve">
4000127 8/29 600PCS</t>
        </r>
      </text>
    </comment>
    <comment ref="R366" authorId="1">
      <text>
        <r>
          <rPr>
            <b/>
            <sz val="14"/>
            <rFont val="宋体"/>
            <charset val="134"/>
          </rPr>
          <t>Administrator:</t>
        </r>
        <r>
          <rPr>
            <sz val="14"/>
            <rFont val="宋体"/>
            <charset val="134"/>
          </rPr>
          <t xml:space="preserve">
4000127 8/29 504PCS</t>
        </r>
      </text>
    </comment>
    <comment ref="R367" authorId="1">
      <text>
        <r>
          <rPr>
            <b/>
            <sz val="14"/>
            <rFont val="宋体"/>
            <charset val="134"/>
          </rPr>
          <t>Administrator:</t>
        </r>
        <r>
          <rPr>
            <sz val="14"/>
            <rFont val="宋体"/>
            <charset val="134"/>
          </rPr>
          <t xml:space="preserve">
4000127 8/29 504PCS</t>
        </r>
      </text>
    </comment>
    <comment ref="R368" authorId="1">
      <text>
        <r>
          <rPr>
            <b/>
            <sz val="14"/>
            <rFont val="宋体"/>
            <charset val="134"/>
          </rPr>
          <t>Administrator:</t>
        </r>
        <r>
          <rPr>
            <sz val="14"/>
            <rFont val="宋体"/>
            <charset val="134"/>
          </rPr>
          <t xml:space="preserve">
4000126 8/29 24PCS</t>
        </r>
      </text>
    </comment>
    <comment ref="R369" authorId="1">
      <text>
        <r>
          <rPr>
            <b/>
            <sz val="11"/>
            <rFont val="宋体"/>
            <charset val="134"/>
          </rPr>
          <t>Administrator:</t>
        </r>
        <r>
          <rPr>
            <sz val="11"/>
            <rFont val="宋体"/>
            <charset val="134"/>
          </rPr>
          <t xml:space="preserve">
4000126 8/29 36PCS</t>
        </r>
      </text>
    </comment>
    <comment ref="R370" authorId="1">
      <text>
        <r>
          <rPr>
            <b/>
            <sz val="12"/>
            <rFont val="宋体"/>
            <charset val="134"/>
          </rPr>
          <t>Administrator:</t>
        </r>
        <r>
          <rPr>
            <sz val="12"/>
            <rFont val="宋体"/>
            <charset val="134"/>
          </rPr>
          <t xml:space="preserve">
4000126 8/29 84PCS</t>
        </r>
      </text>
    </comment>
    <comment ref="R371" authorId="1">
      <text>
        <r>
          <rPr>
            <b/>
            <sz val="12"/>
            <rFont val="宋体"/>
            <charset val="134"/>
          </rPr>
          <t>Administrator:</t>
        </r>
        <r>
          <rPr>
            <sz val="12"/>
            <rFont val="宋体"/>
            <charset val="134"/>
          </rPr>
          <t xml:space="preserve">
4000126 8/29 12PCS</t>
        </r>
      </text>
    </comment>
    <comment ref="R372" authorId="1">
      <text>
        <r>
          <rPr>
            <b/>
            <sz val="12"/>
            <rFont val="宋体"/>
            <charset val="134"/>
          </rPr>
          <t>Administrator:</t>
        </r>
        <r>
          <rPr>
            <sz val="12"/>
            <rFont val="宋体"/>
            <charset val="134"/>
          </rPr>
          <t xml:space="preserve">
4000126 8/29 24PCS</t>
        </r>
      </text>
    </comment>
    <comment ref="R375" authorId="1">
      <text>
        <r>
          <rPr>
            <b/>
            <sz val="12"/>
            <rFont val="宋体"/>
            <charset val="134"/>
          </rPr>
          <t>Administrator:</t>
        </r>
        <r>
          <rPr>
            <sz val="12"/>
            <rFont val="宋体"/>
            <charset val="134"/>
          </rPr>
          <t xml:space="preserve">
4000029 9/3 324 PCS</t>
        </r>
      </text>
    </comment>
    <comment ref="R376" authorId="1">
      <text>
        <r>
          <rPr>
            <b/>
            <sz val="14"/>
            <rFont val="宋体"/>
            <charset val="134"/>
          </rPr>
          <t>Administrator:</t>
        </r>
        <r>
          <rPr>
            <sz val="14"/>
            <rFont val="宋体"/>
            <charset val="134"/>
          </rPr>
          <t xml:space="preserve">
4000057 9/1 1008 PCS
</t>
        </r>
      </text>
    </comment>
    <comment ref="R377" authorId="1">
      <text>
        <r>
          <rPr>
            <b/>
            <sz val="14"/>
            <rFont val="宋体"/>
            <charset val="134"/>
          </rPr>
          <t>Administrator:</t>
        </r>
        <r>
          <rPr>
            <sz val="14"/>
            <rFont val="宋体"/>
            <charset val="134"/>
          </rPr>
          <t xml:space="preserve">
4000061 9/1 24PCS
4000057 9/1 3192 PCS</t>
        </r>
      </text>
    </comment>
    <comment ref="R378" authorId="1">
      <text>
        <r>
          <rPr>
            <b/>
            <sz val="14"/>
            <rFont val="宋体"/>
            <charset val="134"/>
          </rPr>
          <t>Administrator:</t>
        </r>
        <r>
          <rPr>
            <sz val="14"/>
            <rFont val="宋体"/>
            <charset val="134"/>
          </rPr>
          <t xml:space="preserve">
4000061 9/1 24PCS
4000057 9/1 1560 PCS</t>
        </r>
      </text>
    </comment>
    <comment ref="R379" authorId="1">
      <text>
        <r>
          <rPr>
            <b/>
            <sz val="14"/>
            <rFont val="宋体"/>
            <charset val="134"/>
          </rPr>
          <t>Administrator:</t>
        </r>
        <r>
          <rPr>
            <sz val="14"/>
            <rFont val="宋体"/>
            <charset val="134"/>
          </rPr>
          <t xml:space="preserve">
4000061 9/1 24PCS
4000057 9/1 1560 PCS</t>
        </r>
      </text>
    </comment>
    <comment ref="R380" authorId="1">
      <text>
        <r>
          <rPr>
            <b/>
            <sz val="14"/>
            <rFont val="宋体"/>
            <charset val="134"/>
          </rPr>
          <t>Administrator:</t>
        </r>
        <r>
          <rPr>
            <sz val="14"/>
            <rFont val="宋体"/>
            <charset val="134"/>
          </rPr>
          <t xml:space="preserve">
4000061 9/1 24 PCS</t>
        </r>
        <r>
          <rPr>
            <sz val="9"/>
            <rFont val="宋体"/>
            <charset val="134"/>
          </rPr>
          <t xml:space="preserve">
4000057 9/1 3192 PCS</t>
        </r>
      </text>
    </comment>
    <comment ref="R382" authorId="1">
      <text>
        <r>
          <rPr>
            <b/>
            <sz val="11"/>
            <rFont val="宋体"/>
            <charset val="134"/>
          </rPr>
          <t>Administrator:</t>
        </r>
        <r>
          <rPr>
            <sz val="11"/>
            <rFont val="宋体"/>
            <charset val="134"/>
          </rPr>
          <t xml:space="preserve">
4000366 9/5 2092 PCS</t>
        </r>
      </text>
    </comment>
    <comment ref="R384" authorId="1">
      <text>
        <r>
          <rPr>
            <b/>
            <sz val="9"/>
            <rFont val="宋体"/>
            <charset val="134"/>
          </rPr>
          <t>Administrator:</t>
        </r>
        <r>
          <rPr>
            <sz val="9"/>
            <rFont val="宋体"/>
            <charset val="134"/>
          </rPr>
          <t xml:space="preserve">
4000434 9/10 1352 PCS</t>
        </r>
      </text>
    </comment>
    <comment ref="R385" authorId="1">
      <text>
        <r>
          <rPr>
            <b/>
            <sz val="9"/>
            <rFont val="宋体"/>
            <charset val="134"/>
          </rPr>
          <t>Administrator:</t>
        </r>
        <r>
          <rPr>
            <sz val="9"/>
            <rFont val="宋体"/>
            <charset val="134"/>
          </rPr>
          <t xml:space="preserve">
5000111 9/17 24 PCS
4000412 9/15 576 PCS</t>
        </r>
      </text>
    </comment>
    <comment ref="R386" authorId="1">
      <text>
        <r>
          <rPr>
            <b/>
            <sz val="9"/>
            <rFont val="宋体"/>
            <charset val="134"/>
          </rPr>
          <t>Administrator:</t>
        </r>
        <r>
          <rPr>
            <sz val="9"/>
            <rFont val="宋体"/>
            <charset val="134"/>
          </rPr>
          <t xml:space="preserve">
</t>
        </r>
        <r>
          <rPr>
            <sz val="11"/>
            <rFont val="宋体"/>
            <charset val="134"/>
          </rPr>
          <t>4000412 9/15 960 PCS</t>
        </r>
      </text>
    </comment>
    <comment ref="R387" authorId="1">
      <text>
        <r>
          <rPr>
            <b/>
            <sz val="11"/>
            <rFont val="宋体"/>
            <charset val="134"/>
          </rPr>
          <t>Administrator:</t>
        </r>
        <r>
          <rPr>
            <sz val="11"/>
            <rFont val="宋体"/>
            <charset val="134"/>
          </rPr>
          <t xml:space="preserve">
4000412 9/15 300 PCS</t>
        </r>
      </text>
    </comment>
    <comment ref="R388" authorId="1">
      <text>
        <r>
          <rPr>
            <b/>
            <sz val="9"/>
            <rFont val="宋体"/>
            <charset val="134"/>
          </rPr>
          <t>Administrator:</t>
        </r>
        <r>
          <rPr>
            <sz val="9"/>
            <rFont val="宋体"/>
            <charset val="134"/>
          </rPr>
          <t xml:space="preserve">
4000404 9/13 132 PCS</t>
        </r>
      </text>
    </comment>
    <comment ref="R389" authorId="1">
      <text>
        <r>
          <rPr>
            <b/>
            <sz val="9"/>
            <rFont val="宋体"/>
            <charset val="134"/>
          </rPr>
          <t>Administrator:</t>
        </r>
        <r>
          <rPr>
            <sz val="9"/>
            <rFont val="宋体"/>
            <charset val="134"/>
          </rPr>
          <t xml:space="preserve">
4000404 9/13 1746 PCS</t>
        </r>
      </text>
    </comment>
    <comment ref="R390" authorId="1">
      <text>
        <r>
          <rPr>
            <b/>
            <sz val="11"/>
            <rFont val="宋体"/>
            <charset val="134"/>
          </rPr>
          <t>Administrator:</t>
        </r>
        <r>
          <rPr>
            <sz val="11"/>
            <rFont val="宋体"/>
            <charset val="134"/>
          </rPr>
          <t xml:space="preserve">
4000409 9/13 1353 PCS
4000407 9/13 2784 PCS
4000400 9/13 1863 PCS</t>
        </r>
      </text>
    </comment>
    <comment ref="R391" authorId="1">
      <text>
        <r>
          <rPr>
            <b/>
            <sz val="9"/>
            <rFont val="宋体"/>
            <charset val="134"/>
          </rPr>
          <t>Administrator:</t>
        </r>
        <r>
          <rPr>
            <sz val="9"/>
            <rFont val="宋体"/>
            <charset val="134"/>
          </rPr>
          <t xml:space="preserve">
4000404 9/13 6000 PCS</t>
        </r>
      </text>
    </comment>
    <comment ref="R392" authorId="1">
      <text>
        <r>
          <rPr>
            <b/>
            <sz val="9"/>
            <rFont val="宋体"/>
            <charset val="134"/>
          </rPr>
          <t>Administrator:</t>
        </r>
        <r>
          <rPr>
            <sz val="9"/>
            <rFont val="宋体"/>
            <charset val="134"/>
          </rPr>
          <t xml:space="preserve">
4000400 9/13 3141 PCS</t>
        </r>
      </text>
    </comment>
    <comment ref="R393" authorId="1">
      <text>
        <r>
          <rPr>
            <b/>
            <sz val="9"/>
            <rFont val="宋体"/>
            <charset val="134"/>
          </rPr>
          <t>Administrator:</t>
        </r>
        <r>
          <rPr>
            <sz val="9"/>
            <rFont val="宋体"/>
            <charset val="134"/>
          </rPr>
          <t xml:space="preserve">
4000407 9/13 1912 PCS</t>
        </r>
      </text>
    </comment>
    <comment ref="R396" authorId="1">
      <text>
        <r>
          <rPr>
            <b/>
            <sz val="9"/>
            <rFont val="宋体"/>
            <charset val="134"/>
          </rPr>
          <t>Administrator:</t>
        </r>
        <r>
          <rPr>
            <sz val="9"/>
            <rFont val="宋体"/>
            <charset val="134"/>
          </rPr>
          <t xml:space="preserve">
5000111 9/17 1500 PCS</t>
        </r>
      </text>
    </comment>
    <comment ref="R398" authorId="1">
      <text>
        <r>
          <rPr>
            <b/>
            <sz val="11"/>
            <rFont val="宋体"/>
            <charset val="134"/>
          </rPr>
          <t>Administrator:</t>
        </r>
        <r>
          <rPr>
            <sz val="11"/>
            <rFont val="宋体"/>
            <charset val="134"/>
          </rPr>
          <t xml:space="preserve">
5000297 9/20 1152 PCS</t>
        </r>
      </text>
    </comment>
    <comment ref="R401" authorId="1">
      <text>
        <r>
          <rPr>
            <b/>
            <sz val="11"/>
            <rFont val="宋体"/>
            <charset val="134"/>
          </rPr>
          <t>Administrator:</t>
        </r>
        <r>
          <rPr>
            <sz val="11"/>
            <rFont val="宋体"/>
            <charset val="134"/>
          </rPr>
          <t xml:space="preserve">
5000297 9/20 360 PCS</t>
        </r>
      </text>
    </comment>
    <comment ref="R417" authorId="1">
      <text>
        <r>
          <rPr>
            <b/>
            <sz val="11"/>
            <rFont val="宋体"/>
            <charset val="134"/>
          </rPr>
          <t>Administrator:</t>
        </r>
        <r>
          <rPr>
            <sz val="11"/>
            <rFont val="宋体"/>
            <charset val="134"/>
          </rPr>
          <t xml:space="preserve">
5000285 9/22 布偶猫：117 PCS
             粉色猫：1168 PCS
             美国猫：1051 PCS
             黑色猫：411 PCS
             花斑猫：1168 PCS
            黑猫惊喜蛋 ：117 PCS</t>
        </r>
      </text>
    </comment>
    <comment ref="R483" authorId="1">
      <text>
        <r>
          <rPr>
            <b/>
            <sz val="14"/>
            <rFont val="宋体"/>
            <charset val="134"/>
          </rPr>
          <t>Administrator:</t>
        </r>
        <r>
          <rPr>
            <sz val="14"/>
            <rFont val="宋体"/>
            <charset val="134"/>
          </rPr>
          <t xml:space="preserve">
1600963 1/4 24 pcs</t>
        </r>
      </text>
    </comment>
    <comment ref="T483" authorId="1">
      <text>
        <r>
          <rPr>
            <b/>
            <sz val="14"/>
            <rFont val="宋体"/>
            <charset val="134"/>
          </rPr>
          <t>Administrator:</t>
        </r>
        <r>
          <rPr>
            <sz val="14"/>
            <rFont val="宋体"/>
            <charset val="134"/>
          </rPr>
          <t xml:space="preserve">
12/23 上UPC贴纸 180 pcs
      上客供亚马逊外箱贴纸 15 pcs</t>
        </r>
      </text>
    </comment>
    <comment ref="R484" authorId="1">
      <text>
        <r>
          <rPr>
            <b/>
            <sz val="14"/>
            <rFont val="宋体"/>
            <charset val="134"/>
          </rPr>
          <t>Administrator:</t>
        </r>
        <r>
          <rPr>
            <sz val="14"/>
            <rFont val="宋体"/>
            <charset val="134"/>
          </rPr>
          <t xml:space="preserve">
1600963 1/4 12 pcs</t>
        </r>
      </text>
    </comment>
    <comment ref="R485" authorId="1">
      <text>
        <r>
          <rPr>
            <b/>
            <sz val="14"/>
            <rFont val="宋体"/>
            <charset val="134"/>
          </rPr>
          <t>Administrator:</t>
        </r>
        <r>
          <rPr>
            <sz val="14"/>
            <rFont val="宋体"/>
            <charset val="134"/>
          </rPr>
          <t xml:space="preserve">
1600963 1/4 24 pcs</t>
        </r>
      </text>
    </comment>
    <comment ref="R486" authorId="1">
      <text>
        <r>
          <rPr>
            <b/>
            <sz val="14"/>
            <rFont val="宋体"/>
            <charset val="134"/>
          </rPr>
          <t>Administrator:</t>
        </r>
        <r>
          <rPr>
            <sz val="14"/>
            <rFont val="宋体"/>
            <charset val="134"/>
          </rPr>
          <t xml:space="preserve">
1600963 1/4 36 pcs</t>
        </r>
      </text>
    </comment>
    <comment ref="R487" authorId="1">
      <text>
        <r>
          <rPr>
            <b/>
            <sz val="14"/>
            <rFont val="宋体"/>
            <charset val="134"/>
          </rPr>
          <t>Administrator:</t>
        </r>
        <r>
          <rPr>
            <sz val="14"/>
            <rFont val="宋体"/>
            <charset val="134"/>
          </rPr>
          <t xml:space="preserve">
1600963 1/4 36 pcs</t>
        </r>
      </text>
    </comment>
    <comment ref="R488" authorId="1">
      <text>
        <r>
          <rPr>
            <b/>
            <sz val="14"/>
            <rFont val="宋体"/>
            <charset val="134"/>
          </rPr>
          <t>Administrator:</t>
        </r>
        <r>
          <rPr>
            <sz val="14"/>
            <rFont val="宋体"/>
            <charset val="134"/>
          </rPr>
          <t xml:space="preserve">
1600963 1/4 48 pcs</t>
        </r>
      </text>
    </comment>
    <comment ref="R489" authorId="1">
      <text>
        <r>
          <rPr>
            <b/>
            <sz val="14"/>
            <rFont val="宋体"/>
            <charset val="134"/>
          </rPr>
          <t>Administrator:</t>
        </r>
        <r>
          <rPr>
            <sz val="14"/>
            <rFont val="宋体"/>
            <charset val="134"/>
          </rPr>
          <t xml:space="preserve">
1600989 1/5 1500 pcs</t>
        </r>
      </text>
    </comment>
    <comment ref="T489" authorId="1">
      <text>
        <r>
          <rPr>
            <b/>
            <sz val="14"/>
            <rFont val="宋体"/>
            <charset val="134"/>
          </rPr>
          <t>Administrator:</t>
        </r>
        <r>
          <rPr>
            <sz val="14"/>
            <rFont val="宋体"/>
            <charset val="134"/>
          </rPr>
          <t xml:space="preserve">
12/16 上白色防盗贴纸 1500 pcs
12/19 上Kmart外箱贴纸 250 PCS </t>
        </r>
      </text>
    </comment>
    <comment ref="R490" authorId="1">
      <text>
        <r>
          <rPr>
            <b/>
            <sz val="14"/>
            <rFont val="宋体"/>
            <charset val="134"/>
          </rPr>
          <t>Administrator:</t>
        </r>
        <r>
          <rPr>
            <sz val="14"/>
            <rFont val="宋体"/>
            <charset val="134"/>
          </rPr>
          <t xml:space="preserve">
1600974 1/4 2400 pcs</t>
        </r>
      </text>
    </comment>
    <comment ref="T490" authorId="1">
      <text>
        <r>
          <rPr>
            <b/>
            <sz val="14"/>
            <rFont val="宋体"/>
            <charset val="134"/>
          </rPr>
          <t>Administrator:</t>
        </r>
        <r>
          <rPr>
            <sz val="14"/>
            <rFont val="宋体"/>
            <charset val="134"/>
          </rPr>
          <t xml:space="preserve">
12/16 上客供价格贴纸 2640 pcs</t>
        </r>
      </text>
    </comment>
    <comment ref="R491" authorId="1">
      <text>
        <r>
          <rPr>
            <b/>
            <sz val="14"/>
            <rFont val="宋体"/>
            <charset val="134"/>
          </rPr>
          <t>Administrator:</t>
        </r>
        <r>
          <rPr>
            <sz val="14"/>
            <rFont val="宋体"/>
            <charset val="134"/>
          </rPr>
          <t xml:space="preserve">
1600974 1/4 2208 pcs</t>
        </r>
      </text>
    </comment>
    <comment ref="T491" authorId="1">
      <text>
        <r>
          <rPr>
            <b/>
            <sz val="14"/>
            <rFont val="宋体"/>
            <charset val="134"/>
          </rPr>
          <t>Administrator:</t>
        </r>
        <r>
          <rPr>
            <sz val="14"/>
            <rFont val="宋体"/>
            <charset val="134"/>
          </rPr>
          <t xml:space="preserve">
12/16 上客供价格贴纸 2429 pcs</t>
        </r>
      </text>
    </comment>
    <comment ref="R492" authorId="1">
      <text>
        <r>
          <rPr>
            <b/>
            <sz val="14"/>
            <rFont val="宋体"/>
            <charset val="134"/>
          </rPr>
          <t>Administrator:</t>
        </r>
        <r>
          <rPr>
            <sz val="14"/>
            <rFont val="宋体"/>
            <charset val="134"/>
          </rPr>
          <t xml:space="preserve">
1600974 1/4 1968 pcs
1600989 1/5 24 pcs</t>
        </r>
      </text>
    </comment>
    <comment ref="T492" authorId="1">
      <text>
        <r>
          <rPr>
            <b/>
            <sz val="14"/>
            <rFont val="宋体"/>
            <charset val="134"/>
          </rPr>
          <t>Administrator:</t>
        </r>
        <r>
          <rPr>
            <sz val="14"/>
            <rFont val="宋体"/>
            <charset val="134"/>
          </rPr>
          <t xml:space="preserve">
12/16 上客供价格贴纸 2192 pcs</t>
        </r>
      </text>
    </comment>
    <comment ref="R493" authorId="1">
      <text>
        <r>
          <rPr>
            <b/>
            <sz val="14"/>
            <rFont val="宋体"/>
            <charset val="134"/>
          </rPr>
          <t>Administrator:</t>
        </r>
        <r>
          <rPr>
            <sz val="14"/>
            <rFont val="宋体"/>
            <charset val="134"/>
          </rPr>
          <t xml:space="preserve">
1600974 1/4 2208 pcs</t>
        </r>
      </text>
    </comment>
    <comment ref="T493" authorId="1">
      <text>
        <r>
          <rPr>
            <b/>
            <sz val="14"/>
            <rFont val="宋体"/>
            <charset val="134"/>
          </rPr>
          <t>Administrator:</t>
        </r>
        <r>
          <rPr>
            <sz val="14"/>
            <rFont val="宋体"/>
            <charset val="134"/>
          </rPr>
          <t xml:space="preserve">
12/16 上客供价格贴纸 2429 pcs</t>
        </r>
      </text>
    </comment>
    <comment ref="R494" authorId="1">
      <text>
        <r>
          <rPr>
            <b/>
            <sz val="14"/>
            <rFont val="宋体"/>
            <charset val="134"/>
          </rPr>
          <t>Administrator:</t>
        </r>
        <r>
          <rPr>
            <sz val="14"/>
            <rFont val="宋体"/>
            <charset val="134"/>
          </rPr>
          <t xml:space="preserve">
1601075 1/12 4200 pcs</t>
        </r>
      </text>
    </comment>
    <comment ref="T494" authorId="1">
      <text>
        <r>
          <rPr>
            <b/>
            <sz val="14"/>
            <rFont val="宋体"/>
            <charset val="134"/>
          </rPr>
          <t>Administrator:</t>
        </r>
        <r>
          <rPr>
            <sz val="14"/>
            <rFont val="宋体"/>
            <charset val="134"/>
          </rPr>
          <t xml:space="preserve">
12/23 上韩语贴纸 4200 pcs
      上红，黄，粉，黑，绿，蓝，紫 各700 pcs</t>
        </r>
      </text>
    </comment>
    <comment ref="R495" authorId="1">
      <text>
        <r>
          <rPr>
            <b/>
            <sz val="14"/>
            <rFont val="宋体"/>
            <charset val="134"/>
          </rPr>
          <t>Administrator:</t>
        </r>
        <r>
          <rPr>
            <sz val="14"/>
            <rFont val="宋体"/>
            <charset val="134"/>
          </rPr>
          <t xml:space="preserve">
1601179 1/17 1848 pcs</t>
        </r>
      </text>
    </comment>
    <comment ref="T495" authorId="1">
      <text>
        <r>
          <rPr>
            <b/>
            <sz val="14"/>
            <rFont val="宋体"/>
            <charset val="134"/>
          </rPr>
          <t>Administrator:</t>
        </r>
        <r>
          <rPr>
            <sz val="14"/>
            <rFont val="宋体"/>
            <charset val="134"/>
          </rPr>
          <t xml:space="preserve">
12/15 上进口商贴纸 2568 pcs
      上EAN 条码贴纸 2568 pcs
12/17 上QR+SSCC外箱贴纸 107 pcs</t>
        </r>
      </text>
    </comment>
    <comment ref="R496" authorId="1">
      <text>
        <r>
          <rPr>
            <b/>
            <sz val="14"/>
            <rFont val="宋体"/>
            <charset val="134"/>
          </rPr>
          <t>Administrator:</t>
        </r>
        <r>
          <rPr>
            <sz val="14"/>
            <rFont val="宋体"/>
            <charset val="134"/>
          </rPr>
          <t xml:space="preserve">
1601179 1/17 720 pcs</t>
        </r>
      </text>
    </comment>
    <comment ref="R497" authorId="1">
      <text>
        <r>
          <rPr>
            <b/>
            <sz val="14"/>
            <rFont val="宋体"/>
            <charset val="134"/>
          </rPr>
          <t>Administrator:</t>
        </r>
        <r>
          <rPr>
            <sz val="14"/>
            <rFont val="宋体"/>
            <charset val="134"/>
          </rPr>
          <t xml:space="preserve">
1601213 1/20 1914 pcs</t>
        </r>
      </text>
    </comment>
    <comment ref="T497" authorId="1">
      <text>
        <r>
          <rPr>
            <b/>
            <sz val="14"/>
            <rFont val="宋体"/>
            <charset val="134"/>
          </rPr>
          <t>Administrator:</t>
        </r>
        <r>
          <rPr>
            <sz val="14"/>
            <rFont val="宋体"/>
            <charset val="134"/>
          </rPr>
          <t xml:space="preserve">
12/31 上Kmart外箱贴纸 319 pcs</t>
        </r>
      </text>
    </comment>
    <comment ref="R498" authorId="1">
      <text>
        <r>
          <rPr>
            <b/>
            <sz val="14"/>
            <rFont val="宋体"/>
            <charset val="134"/>
          </rPr>
          <t>Administrator:</t>
        </r>
        <r>
          <rPr>
            <sz val="14"/>
            <rFont val="宋体"/>
            <charset val="134"/>
          </rPr>
          <t xml:space="preserve">
1601201 1/21 504 pcs</t>
        </r>
      </text>
    </comment>
    <comment ref="T498" authorId="1">
      <text>
        <r>
          <rPr>
            <b/>
            <sz val="12"/>
            <rFont val="宋体"/>
            <charset val="134"/>
          </rPr>
          <t>Administrator:</t>
        </r>
        <r>
          <rPr>
            <sz val="12"/>
            <rFont val="宋体"/>
            <charset val="134"/>
          </rPr>
          <t xml:space="preserve">
1/4 上进口商贴纸 504 pcs</t>
        </r>
      </text>
    </comment>
    <comment ref="R499" authorId="1">
      <text>
        <r>
          <rPr>
            <b/>
            <sz val="14"/>
            <rFont val="宋体"/>
            <charset val="134"/>
          </rPr>
          <t>Administrator:</t>
        </r>
        <r>
          <rPr>
            <sz val="14"/>
            <rFont val="宋体"/>
            <charset val="134"/>
          </rPr>
          <t xml:space="preserve">
1601280 1/23 504 pcs</t>
        </r>
      </text>
    </comment>
    <comment ref="T499" authorId="1">
      <text>
        <r>
          <rPr>
            <b/>
            <sz val="14"/>
            <rFont val="宋体"/>
            <charset val="134"/>
          </rPr>
          <t>Administrator:</t>
        </r>
        <r>
          <rPr>
            <sz val="14"/>
            <rFont val="宋体"/>
            <charset val="134"/>
          </rPr>
          <t xml:space="preserve">
1/9 上UPC贴纸 504 pcs</t>
        </r>
      </text>
    </comment>
    <comment ref="R500" authorId="1">
      <text>
        <r>
          <rPr>
            <b/>
            <sz val="14"/>
            <rFont val="宋体"/>
            <charset val="134"/>
          </rPr>
          <t>Administrator:</t>
        </r>
        <r>
          <rPr>
            <sz val="14"/>
            <rFont val="宋体"/>
            <charset val="134"/>
          </rPr>
          <t xml:space="preserve">
1601280 1/23 1500 pcs</t>
        </r>
      </text>
    </comment>
    <comment ref="T500" authorId="1">
      <text>
        <r>
          <rPr>
            <b/>
            <sz val="14"/>
            <rFont val="宋体"/>
            <charset val="134"/>
          </rPr>
          <t>Administrator:</t>
        </r>
        <r>
          <rPr>
            <sz val="14"/>
            <rFont val="宋体"/>
            <charset val="134"/>
          </rPr>
          <t xml:space="preserve">
1/13 上白色防盗贴纸 4500 pcs
1/12 上Kmart外箱贴纸 750 pcs</t>
        </r>
      </text>
    </comment>
    <comment ref="R501" authorId="1">
      <text>
        <r>
          <rPr>
            <b/>
            <sz val="14"/>
            <rFont val="宋体"/>
            <charset val="134"/>
          </rPr>
          <t>Administrator:</t>
        </r>
        <r>
          <rPr>
            <sz val="14"/>
            <rFont val="宋体"/>
            <charset val="134"/>
          </rPr>
          <t xml:space="preserve">
1601280 1/23 1500 pcs</t>
        </r>
      </text>
    </comment>
    <comment ref="R502" authorId="1">
      <text>
        <r>
          <rPr>
            <b/>
            <sz val="14"/>
            <rFont val="宋体"/>
            <charset val="134"/>
          </rPr>
          <t>Administrator:</t>
        </r>
        <r>
          <rPr>
            <sz val="14"/>
            <rFont val="宋体"/>
            <charset val="134"/>
          </rPr>
          <t xml:space="preserve">
1601280 1/23 1500 pcs</t>
        </r>
      </text>
    </comment>
    <comment ref="R503" authorId="1">
      <text>
        <r>
          <rPr>
            <b/>
            <sz val="14"/>
            <rFont val="宋体"/>
            <charset val="134"/>
          </rPr>
          <t>Administrator:</t>
        </r>
        <r>
          <rPr>
            <sz val="14"/>
            <rFont val="宋体"/>
            <charset val="134"/>
          </rPr>
          <t xml:space="preserve">
1601298 1/26 900 pcs</t>
        </r>
      </text>
    </comment>
    <comment ref="R504" authorId="1">
      <text>
        <r>
          <rPr>
            <b/>
            <sz val="14"/>
            <rFont val="宋体"/>
            <charset val="134"/>
          </rPr>
          <t>Administrator:</t>
        </r>
        <r>
          <rPr>
            <sz val="14"/>
            <rFont val="宋体"/>
            <charset val="134"/>
          </rPr>
          <t xml:space="preserve">
1601298 1/26 1512 pcs</t>
        </r>
      </text>
    </comment>
    <comment ref="T504" authorId="1">
      <text>
        <r>
          <rPr>
            <b/>
            <sz val="14"/>
            <rFont val="宋体"/>
            <charset val="134"/>
          </rPr>
          <t>Administrator:</t>
        </r>
        <r>
          <rPr>
            <sz val="14"/>
            <rFont val="宋体"/>
            <charset val="134"/>
          </rPr>
          <t xml:space="preserve">
1/12 上进口商贴纸 1512 pcs
     上QR贴纸 1512 pcs</t>
        </r>
      </text>
    </comment>
    <comment ref="R505" authorId="1">
      <text>
        <r>
          <rPr>
            <b/>
            <sz val="14"/>
            <rFont val="宋体"/>
            <charset val="134"/>
          </rPr>
          <t>Administrator:</t>
        </r>
        <r>
          <rPr>
            <sz val="14"/>
            <rFont val="宋体"/>
            <charset val="134"/>
          </rPr>
          <t xml:space="preserve">
1200398 11/14 1200 pcs</t>
        </r>
      </text>
    </comment>
    <comment ref="R506" authorId="1">
      <text>
        <r>
          <rPr>
            <b/>
            <sz val="14"/>
            <rFont val="宋体"/>
            <charset val="134"/>
          </rPr>
          <t>Administrator:</t>
        </r>
        <r>
          <rPr>
            <sz val="14"/>
            <rFont val="宋体"/>
            <charset val="134"/>
          </rPr>
          <t xml:space="preserve">
1200398 11/14 156 pcs</t>
        </r>
      </text>
    </comment>
    <comment ref="R507" authorId="1">
      <text>
        <r>
          <rPr>
            <b/>
            <sz val="14"/>
            <rFont val="宋体"/>
            <charset val="134"/>
          </rPr>
          <t>Administrator:</t>
        </r>
        <r>
          <rPr>
            <sz val="14"/>
            <rFont val="宋体"/>
            <charset val="134"/>
          </rPr>
          <t xml:space="preserve">
1601161 1/15 1200 pcs</t>
        </r>
      </text>
    </comment>
    <comment ref="T508" authorId="1">
      <text>
        <r>
          <rPr>
            <b/>
            <sz val="14"/>
            <rFont val="宋体"/>
            <charset val="134"/>
          </rPr>
          <t>Administrator:</t>
        </r>
        <r>
          <rPr>
            <sz val="14"/>
            <rFont val="宋体"/>
            <charset val="134"/>
          </rPr>
          <t xml:space="preserve">
12/16 上客供价格贴纸 2100 pcs</t>
        </r>
      </text>
    </comment>
    <comment ref="R509" authorId="1">
      <text>
        <r>
          <rPr>
            <b/>
            <sz val="14"/>
            <rFont val="宋体"/>
            <charset val="134"/>
          </rPr>
          <t>Administrator:</t>
        </r>
        <r>
          <rPr>
            <sz val="14"/>
            <rFont val="宋体"/>
            <charset val="134"/>
          </rPr>
          <t xml:space="preserve">
1405653 2/2 17904 pcs
1405619 2/3 96 pcs</t>
        </r>
      </text>
    </comment>
    <comment ref="T509" authorId="1">
      <text>
        <r>
          <rPr>
            <b/>
            <sz val="14"/>
            <rFont val="宋体"/>
            <charset val="134"/>
          </rPr>
          <t>Administrator:</t>
        </r>
        <r>
          <rPr>
            <sz val="14"/>
            <rFont val="宋体"/>
            <charset val="134"/>
          </rPr>
          <t xml:space="preserve">
1/19 上进口商贴纸 18000 pcs</t>
        </r>
      </text>
    </comment>
    <comment ref="R510" authorId="1">
      <text>
        <r>
          <rPr>
            <b/>
            <sz val="14"/>
            <rFont val="宋体"/>
            <charset val="134"/>
          </rPr>
          <t>Administrator:</t>
        </r>
        <r>
          <rPr>
            <sz val="14"/>
            <rFont val="宋体"/>
            <charset val="134"/>
          </rPr>
          <t xml:space="preserve">
1601289 1/27 1992 pcs</t>
        </r>
      </text>
    </comment>
    <comment ref="T510" authorId="1">
      <text>
        <r>
          <rPr>
            <b/>
            <sz val="14"/>
            <rFont val="宋体"/>
            <charset val="134"/>
          </rPr>
          <t>Administrator:</t>
        </r>
        <r>
          <rPr>
            <sz val="14"/>
            <rFont val="宋体"/>
            <charset val="134"/>
          </rPr>
          <t xml:space="preserve">
1/15 上客供价格贴纸 2192 pcs</t>
        </r>
      </text>
    </comment>
    <comment ref="R511" authorId="1">
      <text>
        <r>
          <rPr>
            <b/>
            <sz val="14"/>
            <rFont val="宋体"/>
            <charset val="134"/>
          </rPr>
          <t>Administrator:</t>
        </r>
        <r>
          <rPr>
            <sz val="14"/>
            <rFont val="宋体"/>
            <charset val="134"/>
          </rPr>
          <t xml:space="preserve">
1601289 1/27 2208 pcs</t>
        </r>
      </text>
    </comment>
    <comment ref="T511" authorId="1">
      <text>
        <r>
          <rPr>
            <b/>
            <sz val="14"/>
            <rFont val="宋体"/>
            <charset val="134"/>
          </rPr>
          <t>Administrator:</t>
        </r>
        <r>
          <rPr>
            <sz val="14"/>
            <rFont val="宋体"/>
            <charset val="134"/>
          </rPr>
          <t xml:space="preserve">
1/15 上客供价格贴纸 2429 pcs</t>
        </r>
      </text>
    </comment>
    <comment ref="T512" authorId="1">
      <text>
        <r>
          <rPr>
            <b/>
            <sz val="14"/>
            <rFont val="宋体"/>
            <charset val="134"/>
          </rPr>
          <t>Administrator:</t>
        </r>
        <r>
          <rPr>
            <sz val="14"/>
            <rFont val="宋体"/>
            <charset val="134"/>
          </rPr>
          <t xml:space="preserve">
1/15 价格贴纸 2100 PCS</t>
        </r>
      </text>
    </comment>
    <comment ref="R513" authorId="1">
      <text>
        <r>
          <rPr>
            <b/>
            <sz val="14"/>
            <rFont val="宋体"/>
            <charset val="134"/>
          </rPr>
          <t>Administrator:</t>
        </r>
        <r>
          <rPr>
            <sz val="14"/>
            <rFont val="宋体"/>
            <charset val="134"/>
          </rPr>
          <t xml:space="preserve">
5000983 3/13 1056 pcs</t>
        </r>
      </text>
    </comment>
    <comment ref="T513" authorId="1">
      <text>
        <r>
          <rPr>
            <b/>
            <sz val="14"/>
            <rFont val="宋体"/>
            <charset val="134"/>
          </rPr>
          <t>Administrator:</t>
        </r>
        <r>
          <rPr>
            <sz val="14"/>
            <rFont val="宋体"/>
            <charset val="134"/>
          </rPr>
          <t xml:space="preserve">
1/30 上白色防盗贴纸 1500 pcs
2/4  上外箱贴纸 250 pcs</t>
        </r>
      </text>
    </comment>
    <comment ref="R514" authorId="1">
      <text>
        <r>
          <rPr>
            <b/>
            <sz val="14"/>
            <rFont val="宋体"/>
            <charset val="134"/>
          </rPr>
          <t>Administrator:</t>
        </r>
        <r>
          <rPr>
            <sz val="14"/>
            <rFont val="宋体"/>
            <charset val="134"/>
          </rPr>
          <t xml:space="preserve">
1601243 1/22 2400 PCS</t>
        </r>
      </text>
    </comment>
    <comment ref="T514" authorId="1">
      <text>
        <r>
          <rPr>
            <b/>
            <sz val="14"/>
            <rFont val="宋体"/>
            <charset val="134"/>
          </rPr>
          <t>Administrator:</t>
        </r>
        <r>
          <rPr>
            <sz val="14"/>
            <rFont val="宋体"/>
            <charset val="134"/>
          </rPr>
          <t xml:space="preserve">
1/16 价格贴纸 2520 PCS</t>
        </r>
      </text>
    </comment>
    <comment ref="R515" authorId="1">
      <text>
        <r>
          <rPr>
            <b/>
            <sz val="14"/>
            <rFont val="宋体"/>
            <charset val="134"/>
          </rPr>
          <t>Administrator:</t>
        </r>
        <r>
          <rPr>
            <sz val="14"/>
            <rFont val="宋体"/>
            <charset val="134"/>
          </rPr>
          <t xml:space="preserve">
5000877 3/10 2400 pcs</t>
        </r>
      </text>
    </comment>
    <comment ref="T515" authorId="1">
      <text>
        <r>
          <rPr>
            <b/>
            <sz val="14"/>
            <rFont val="宋体"/>
            <charset val="134"/>
          </rPr>
          <t>Administrator:</t>
        </r>
        <r>
          <rPr>
            <sz val="14"/>
            <rFont val="宋体"/>
            <charset val="134"/>
          </rPr>
          <t xml:space="preserve">
3/10 上客供价格贴纸 2520 pcs</t>
        </r>
      </text>
    </comment>
    <comment ref="R516" authorId="1">
      <text>
        <r>
          <rPr>
            <b/>
            <sz val="14"/>
            <rFont val="宋体"/>
            <charset val="134"/>
          </rPr>
          <t>Administrator:</t>
        </r>
        <r>
          <rPr>
            <sz val="14"/>
            <rFont val="宋体"/>
            <charset val="134"/>
          </rPr>
          <t xml:space="preserve">
5000890 3/13 2400 pcs</t>
        </r>
      </text>
    </comment>
    <comment ref="R517" authorId="1">
      <text>
        <r>
          <rPr>
            <b/>
            <sz val="14"/>
            <rFont val="宋体"/>
            <charset val="134"/>
          </rPr>
          <t>Administrator:</t>
        </r>
        <r>
          <rPr>
            <sz val="14"/>
            <rFont val="宋体"/>
            <charset val="134"/>
          </rPr>
          <t xml:space="preserve">
1403118 5/25 2388 pcs</t>
        </r>
      </text>
    </comment>
    <comment ref="R518" authorId="2">
      <text>
        <r>
          <rPr>
            <b/>
            <sz val="9"/>
            <rFont val="宋体"/>
            <charset val="0"/>
          </rPr>
          <t>严新荟:</t>
        </r>
        <r>
          <rPr>
            <sz val="9"/>
            <rFont val="宋体"/>
            <charset val="0"/>
          </rPr>
          <t xml:space="preserve">
2200065 7/1 792 pcs</t>
        </r>
      </text>
    </comment>
    <comment ref="T518" authorId="2">
      <text>
        <r>
          <rPr>
            <b/>
            <sz val="9"/>
            <rFont val="宋体"/>
            <charset val="0"/>
          </rPr>
          <t>严新荟:</t>
        </r>
        <r>
          <rPr>
            <sz val="9"/>
            <rFont val="宋体"/>
            <charset val="0"/>
          </rPr>
          <t xml:space="preserve">
6/10 上UPC贴纸 4032 pcs
6/16 上客供价格贴纸 872 pcs</t>
        </r>
      </text>
    </comment>
    <comment ref="R519" authorId="2">
      <text>
        <r>
          <rPr>
            <b/>
            <sz val="9"/>
            <rFont val="宋体"/>
            <charset val="0"/>
          </rPr>
          <t>严新荟:</t>
        </r>
        <r>
          <rPr>
            <sz val="9"/>
            <rFont val="宋体"/>
            <charset val="0"/>
          </rPr>
          <t xml:space="preserve">
2200065 7/1 192 pcs</t>
        </r>
      </text>
    </comment>
    <comment ref="T519" authorId="2">
      <text>
        <r>
          <rPr>
            <b/>
            <sz val="9"/>
            <rFont val="宋体"/>
            <charset val="0"/>
          </rPr>
          <t>严新荟:</t>
        </r>
        <r>
          <rPr>
            <sz val="9"/>
            <rFont val="宋体"/>
            <charset val="0"/>
          </rPr>
          <t xml:space="preserve">
6/10 上UPC贴纸 4032 pcs
6/16 上客供价格贴纸 212 pcs</t>
        </r>
      </text>
    </comment>
    <comment ref="R520" authorId="2">
      <text>
        <r>
          <rPr>
            <b/>
            <sz val="9"/>
            <rFont val="宋体"/>
            <charset val="0"/>
          </rPr>
          <t>严新荟:</t>
        </r>
        <r>
          <rPr>
            <sz val="9"/>
            <rFont val="宋体"/>
            <charset val="0"/>
          </rPr>
          <t xml:space="preserve">
2200065 7/1 192 pcs</t>
        </r>
      </text>
    </comment>
    <comment ref="R521" authorId="2">
      <text>
        <r>
          <rPr>
            <b/>
            <sz val="9"/>
            <rFont val="宋体"/>
            <charset val="0"/>
          </rPr>
          <t>严新荟:</t>
        </r>
        <r>
          <rPr>
            <sz val="9"/>
            <rFont val="宋体"/>
            <charset val="0"/>
          </rPr>
          <t xml:space="preserve">
2200200 7/18 576 pcs
2200207 7/21 24 pcs</t>
        </r>
      </text>
    </comment>
    <comment ref="R522" authorId="2">
      <text>
        <r>
          <rPr>
            <b/>
            <sz val="9"/>
            <rFont val="宋体"/>
            <charset val="0"/>
          </rPr>
          <t>严新荟:</t>
        </r>
        <r>
          <rPr>
            <sz val="9"/>
            <rFont val="宋体"/>
            <charset val="0"/>
          </rPr>
          <t xml:space="preserve">
2200205 7/21 300 PCS</t>
        </r>
      </text>
    </comment>
    <comment ref="R523" authorId="2">
      <text>
        <r>
          <rPr>
            <b/>
            <sz val="9"/>
            <rFont val="宋体"/>
            <charset val="0"/>
          </rPr>
          <t>严新荟:</t>
        </r>
        <r>
          <rPr>
            <sz val="9"/>
            <rFont val="宋体"/>
            <charset val="0"/>
          </rPr>
          <t xml:space="preserve">
2200224 7/22 192 PCS</t>
        </r>
      </text>
    </comment>
    <comment ref="R524" authorId="2">
      <text>
        <r>
          <rPr>
            <b/>
            <sz val="9"/>
            <rFont val="宋体"/>
            <charset val="0"/>
          </rPr>
          <t>严新荟:</t>
        </r>
        <r>
          <rPr>
            <sz val="9"/>
            <rFont val="宋体"/>
            <charset val="0"/>
          </rPr>
          <t xml:space="preserve">
2200224 7/22 792 PCS</t>
        </r>
      </text>
    </comment>
    <comment ref="T524" authorId="2">
      <text>
        <r>
          <rPr>
            <b/>
            <sz val="9"/>
            <rFont val="宋体"/>
            <charset val="0"/>
          </rPr>
          <t>严新荟:</t>
        </r>
        <r>
          <rPr>
            <sz val="9"/>
            <rFont val="宋体"/>
            <charset val="0"/>
          </rPr>
          <t xml:space="preserve">
6/10 上UPC贴纸 4032 pcs
6/16 上客供价格贴纸 872 pcs</t>
        </r>
      </text>
    </comment>
    <comment ref="R525" authorId="2">
      <text>
        <r>
          <rPr>
            <b/>
            <sz val="9"/>
            <rFont val="宋体"/>
            <charset val="0"/>
          </rPr>
          <t>严新荟:</t>
        </r>
        <r>
          <rPr>
            <sz val="9"/>
            <rFont val="宋体"/>
            <charset val="0"/>
          </rPr>
          <t xml:space="preserve">
2200224 7/22 192 PCS</t>
        </r>
      </text>
    </comment>
    <comment ref="T525" authorId="2">
      <text>
        <r>
          <rPr>
            <b/>
            <sz val="9"/>
            <rFont val="宋体"/>
            <charset val="0"/>
          </rPr>
          <t>严新荟:</t>
        </r>
        <r>
          <rPr>
            <sz val="9"/>
            <rFont val="宋体"/>
            <charset val="0"/>
          </rPr>
          <t xml:space="preserve">
6/10 上UPC贴纸 4032 pcs
6/16 上客供价格贴纸 212 pcs</t>
        </r>
      </text>
    </comment>
    <comment ref="R526" authorId="2">
      <text>
        <r>
          <rPr>
            <b/>
            <sz val="9"/>
            <rFont val="宋体"/>
            <charset val="0"/>
          </rPr>
          <t>严新荟:</t>
        </r>
        <r>
          <rPr>
            <sz val="9"/>
            <rFont val="宋体"/>
            <charset val="0"/>
          </rPr>
          <t xml:space="preserve">
2200245 7/24 504 pcs</t>
        </r>
      </text>
    </comment>
    <comment ref="T526" authorId="2">
      <text>
        <r>
          <rPr>
            <b/>
            <sz val="9"/>
            <rFont val="宋体"/>
            <charset val="0"/>
          </rPr>
          <t>严新荟:</t>
        </r>
        <r>
          <rPr>
            <sz val="9"/>
            <rFont val="宋体"/>
            <charset val="0"/>
          </rPr>
          <t xml:space="preserve">
7/13 上进口商贴纸 504 pcs</t>
        </r>
      </text>
    </comment>
    <comment ref="R527" authorId="2">
      <text>
        <r>
          <rPr>
            <b/>
            <sz val="9"/>
            <rFont val="宋体"/>
            <charset val="0"/>
          </rPr>
          <t>严新荟:</t>
        </r>
        <r>
          <rPr>
            <sz val="9"/>
            <rFont val="宋体"/>
            <charset val="0"/>
          </rPr>
          <t xml:space="preserve">
2200103 7/10 444 pcs</t>
        </r>
      </text>
    </comment>
    <comment ref="T527" authorId="2">
      <text>
        <r>
          <rPr>
            <b/>
            <sz val="9"/>
            <rFont val="宋体"/>
            <charset val="0"/>
          </rPr>
          <t>严新荟:</t>
        </r>
        <r>
          <rPr>
            <sz val="9"/>
            <rFont val="宋体"/>
            <charset val="0"/>
          </rPr>
          <t xml:space="preserve">
6/17 上SSCC+QR贴纸 37 pcs</t>
        </r>
      </text>
    </comment>
    <comment ref="R528" authorId="2">
      <text>
        <r>
          <rPr>
            <b/>
            <sz val="9"/>
            <rFont val="宋体"/>
            <charset val="0"/>
          </rPr>
          <t>严新荟:</t>
        </r>
        <r>
          <rPr>
            <sz val="9"/>
            <rFont val="宋体"/>
            <charset val="0"/>
          </rPr>
          <t xml:space="preserve">
1600642 8/8 192 pcs</t>
        </r>
      </text>
    </comment>
    <comment ref="R529" authorId="2">
      <text>
        <r>
          <rPr>
            <b/>
            <sz val="9"/>
            <rFont val="宋体"/>
            <charset val="0"/>
          </rPr>
          <t>严新荟:</t>
        </r>
        <r>
          <rPr>
            <sz val="9"/>
            <rFont val="宋体"/>
            <charset val="0"/>
          </rPr>
          <t xml:space="preserve">
1600629 8/6 1176 PCS
1600650 8/7 24 pcs</t>
        </r>
      </text>
    </comment>
    <comment ref="T529" authorId="2">
      <text>
        <r>
          <rPr>
            <b/>
            <sz val="9"/>
            <rFont val="宋体"/>
            <charset val="0"/>
          </rPr>
          <t>严新荟:</t>
        </r>
        <r>
          <rPr>
            <sz val="9"/>
            <rFont val="宋体"/>
            <charset val="0"/>
          </rPr>
          <t xml:space="preserve">
6/10 上UPC贴纸 4032 pcs
6/16 上客供价格贴纸 1320 pcs</t>
        </r>
      </text>
    </comment>
    <comment ref="R530" authorId="2">
      <text>
        <r>
          <rPr>
            <b/>
            <sz val="9"/>
            <rFont val="宋体"/>
            <charset val="0"/>
          </rPr>
          <t>严新荟:</t>
        </r>
        <r>
          <rPr>
            <sz val="9"/>
            <rFont val="宋体"/>
            <charset val="0"/>
          </rPr>
          <t xml:space="preserve">
1600629 8/6 288 PCS</t>
        </r>
      </text>
    </comment>
    <comment ref="T530" authorId="2">
      <text>
        <r>
          <rPr>
            <b/>
            <sz val="9"/>
            <rFont val="宋体"/>
            <charset val="0"/>
          </rPr>
          <t>严新荟:</t>
        </r>
        <r>
          <rPr>
            <sz val="9"/>
            <rFont val="宋体"/>
            <charset val="0"/>
          </rPr>
          <t xml:space="preserve">
6/10 上UPC贴纸 4032 pcs
6/16 上客供价格贴纸 317 pcs</t>
        </r>
      </text>
    </comment>
    <comment ref="T532" authorId="2">
      <text>
        <r>
          <rPr>
            <b/>
            <sz val="9"/>
            <rFont val="宋体"/>
            <charset val="0"/>
          </rPr>
          <t>严新荟:</t>
        </r>
        <r>
          <rPr>
            <sz val="9"/>
            <rFont val="宋体"/>
            <charset val="0"/>
          </rPr>
          <t xml:space="preserve">
7/25 上稀有款黄-彩 51 pcs
        上彩色圆贴 A,B,D,E,G,H 各508 pcs
        上韩语贴纸 3084 pcs</t>
        </r>
      </text>
    </comment>
    <comment ref="T551" authorId="2">
      <text>
        <r>
          <rPr>
            <b/>
            <sz val="9"/>
            <rFont val="宋体"/>
            <charset val="0"/>
          </rPr>
          <t>严新荟:</t>
        </r>
        <r>
          <rPr>
            <sz val="9"/>
            <rFont val="宋体"/>
            <charset val="0"/>
          </rPr>
          <t xml:space="preserve">
8/6 上进口商贴纸(含客户ENA条码）408 pcs
      上外箱贴纸 68 pcs
      上QR贴纸 408 pcs</t>
        </r>
      </text>
    </comment>
  </commentList>
</comments>
</file>

<file path=xl/comments3.xml><?xml version="1.0" encoding="utf-8"?>
<comments xmlns="http://schemas.openxmlformats.org/spreadsheetml/2006/main">
  <authors>
    <author>admin</author>
    <author>Administrator</author>
    <author>Unknown User</author>
  </authors>
  <commentList>
    <comment ref="BC3" authorId="0">
      <text>
        <r>
          <rPr>
            <sz val="9"/>
            <rFont val="宋体"/>
            <charset val="134"/>
          </rPr>
          <t xml:space="preserve">
根据实单订购PDQ</t>
        </r>
      </text>
    </comment>
    <comment ref="BA87" authorId="0">
      <text>
        <r>
          <rPr>
            <b/>
            <sz val="9"/>
            <rFont val="宋体"/>
            <charset val="134"/>
          </rPr>
          <t>admin:</t>
        </r>
        <r>
          <rPr>
            <sz val="9"/>
            <rFont val="宋体"/>
            <charset val="134"/>
          </rPr>
          <t xml:space="preserve">
</t>
        </r>
        <r>
          <rPr>
            <sz val="28"/>
            <rFont val="宋体"/>
            <charset val="134"/>
          </rPr>
          <t>新文档</t>
        </r>
      </text>
    </comment>
    <comment ref="Q827" authorId="1">
      <text>
        <r>
          <rPr>
            <b/>
            <sz val="14"/>
            <rFont val="宋体"/>
            <charset val="134"/>
          </rPr>
          <t>Administrator:</t>
        </r>
        <r>
          <rPr>
            <sz val="14"/>
            <rFont val="宋体"/>
            <charset val="134"/>
          </rPr>
          <t xml:space="preserve">
1600162 12/31 3084 pcs
1600955 1/3 36 pcs</t>
        </r>
      </text>
    </comment>
    <comment ref="S827" authorId="1">
      <text>
        <r>
          <rPr>
            <b/>
            <sz val="14"/>
            <rFont val="宋体"/>
            <charset val="134"/>
          </rPr>
          <t>Administrator:</t>
        </r>
        <r>
          <rPr>
            <sz val="14"/>
            <rFont val="宋体"/>
            <charset val="134"/>
          </rPr>
          <t xml:space="preserve">
12/16 上白色防盗贴纸 3120 pcs
12/19 上Kmart外箱贴纸 260 PCS </t>
        </r>
      </text>
    </comment>
    <comment ref="Q828" authorId="1">
      <text>
        <r>
          <rPr>
            <b/>
            <sz val="14"/>
            <rFont val="宋体"/>
            <charset val="134"/>
          </rPr>
          <t>Administrator:</t>
        </r>
        <r>
          <rPr>
            <sz val="14"/>
            <rFont val="宋体"/>
            <charset val="134"/>
          </rPr>
          <t xml:space="preserve">
1600955 1/3 1800 pcs</t>
        </r>
      </text>
    </comment>
    <comment ref="S828" authorId="1">
      <text>
        <r>
          <rPr>
            <b/>
            <sz val="14"/>
            <rFont val="宋体"/>
            <charset val="134"/>
          </rPr>
          <t>Administrator:</t>
        </r>
        <r>
          <rPr>
            <sz val="14"/>
            <rFont val="宋体"/>
            <charset val="134"/>
          </rPr>
          <t xml:space="preserve">
12/16 上客供价格贴纸 1800 pcs</t>
        </r>
      </text>
    </comment>
    <comment ref="Q829" authorId="1">
      <text>
        <r>
          <rPr>
            <b/>
            <sz val="14"/>
            <rFont val="宋体"/>
            <charset val="134"/>
          </rPr>
          <t>Administrator:</t>
        </r>
        <r>
          <rPr>
            <sz val="14"/>
            <rFont val="宋体"/>
            <charset val="134"/>
          </rPr>
          <t xml:space="preserve">
1600989 1/5 1200 pcs</t>
        </r>
      </text>
    </comment>
    <comment ref="S829" authorId="1">
      <text>
        <r>
          <rPr>
            <b/>
            <sz val="14"/>
            <rFont val="宋体"/>
            <charset val="134"/>
          </rPr>
          <t>Administrator:</t>
        </r>
        <r>
          <rPr>
            <sz val="14"/>
            <rFont val="宋体"/>
            <charset val="134"/>
          </rPr>
          <t xml:space="preserve">
12/16 上客供价格贴纸 1320 pcs</t>
        </r>
      </text>
    </comment>
    <comment ref="Q830" authorId="1">
      <text>
        <r>
          <rPr>
            <b/>
            <sz val="14"/>
            <rFont val="宋体"/>
            <charset val="134"/>
          </rPr>
          <t>Administrator:</t>
        </r>
        <r>
          <rPr>
            <sz val="14"/>
            <rFont val="宋体"/>
            <charset val="134"/>
          </rPr>
          <t xml:space="preserve">
1600968 1/4 1404 pcs
1601006 1/5 24 pcs</t>
        </r>
      </text>
    </comment>
    <comment ref="S830" authorId="1">
      <text>
        <r>
          <rPr>
            <b/>
            <sz val="14"/>
            <rFont val="宋体"/>
            <charset val="134"/>
          </rPr>
          <t>Administrator:</t>
        </r>
        <r>
          <rPr>
            <sz val="14"/>
            <rFont val="宋体"/>
            <charset val="134"/>
          </rPr>
          <t xml:space="preserve">
12/31 上进口商贴 2160 pcs
      上条码贴纸 2160 pcs
12/15 上QR+SSCC贴纸 180 pcs</t>
        </r>
      </text>
    </comment>
    <comment ref="Q831" authorId="1">
      <text>
        <r>
          <rPr>
            <b/>
            <sz val="14"/>
            <rFont val="宋体"/>
            <charset val="134"/>
          </rPr>
          <t>Administrator:</t>
        </r>
        <r>
          <rPr>
            <sz val="14"/>
            <rFont val="宋体"/>
            <charset val="134"/>
          </rPr>
          <t xml:space="preserve">
1600968 1/4 720 pcs
1601006 1/5 12 pcs</t>
        </r>
      </text>
    </comment>
    <comment ref="Q832" authorId="1">
      <text>
        <r>
          <rPr>
            <b/>
            <sz val="14"/>
            <rFont val="宋体"/>
            <charset val="134"/>
          </rPr>
          <t>Administrator:</t>
        </r>
        <r>
          <rPr>
            <sz val="14"/>
            <rFont val="宋体"/>
            <charset val="134"/>
          </rPr>
          <t xml:space="preserve">
500076/500077 1/4 33684 pcs</t>
        </r>
      </text>
    </comment>
    <comment ref="Q833" authorId="1">
      <text>
        <r>
          <rPr>
            <b/>
            <sz val="14"/>
            <rFont val="宋体"/>
            <charset val="134"/>
          </rPr>
          <t>Administrator:</t>
        </r>
        <r>
          <rPr>
            <sz val="14"/>
            <rFont val="宋体"/>
            <charset val="134"/>
          </rPr>
          <t xml:space="preserve">
5000078/5000077 1/4 23910 pcs
5000721 1/7 4200 pcs
5000728 1/9 2700 pcs
5000731 1/10 2874 pcs</t>
        </r>
      </text>
    </comment>
    <comment ref="Q834" authorId="1">
      <text>
        <r>
          <rPr>
            <b/>
            <sz val="14"/>
            <rFont val="宋体"/>
            <charset val="134"/>
          </rPr>
          <t>Administrator:</t>
        </r>
        <r>
          <rPr>
            <sz val="14"/>
            <rFont val="宋体"/>
            <charset val="134"/>
          </rPr>
          <t xml:space="preserve">
1601006 1/5 168 pcs
1601020 1/7 24 pcs</t>
        </r>
      </text>
    </comment>
    <comment ref="S834" authorId="1">
      <text>
        <r>
          <rPr>
            <b/>
            <sz val="14"/>
            <rFont val="宋体"/>
            <charset val="134"/>
          </rPr>
          <t>Administrator:</t>
        </r>
        <r>
          <rPr>
            <sz val="14"/>
            <rFont val="宋体"/>
            <charset val="134"/>
          </rPr>
          <t xml:space="preserve">
11/13 上UPC 贴纸 192 pcs
12/24 上客供价格贴纸 212 pcs</t>
        </r>
      </text>
    </comment>
    <comment ref="Q835" authorId="1">
      <text>
        <r>
          <rPr>
            <b/>
            <sz val="14"/>
            <rFont val="宋体"/>
            <charset val="134"/>
          </rPr>
          <t>Administrator:</t>
        </r>
        <r>
          <rPr>
            <sz val="14"/>
            <rFont val="宋体"/>
            <charset val="134"/>
          </rPr>
          <t xml:space="preserve">
1601006 1/5 192 pcs</t>
        </r>
      </text>
    </comment>
    <comment ref="S835" authorId="1">
      <text>
        <r>
          <rPr>
            <b/>
            <sz val="14"/>
            <rFont val="宋体"/>
            <charset val="134"/>
          </rPr>
          <t>Administrator:</t>
        </r>
        <r>
          <rPr>
            <sz val="14"/>
            <rFont val="宋体"/>
            <charset val="134"/>
          </rPr>
          <t xml:space="preserve">
11/13 上UPC 贴纸 192 pcs
12/24 上客供价格贴纸 212 pcs</t>
        </r>
      </text>
    </comment>
    <comment ref="Q836" authorId="1">
      <text>
        <r>
          <rPr>
            <b/>
            <sz val="14"/>
            <rFont val="宋体"/>
            <charset val="134"/>
          </rPr>
          <t>Administrator:</t>
        </r>
        <r>
          <rPr>
            <sz val="14"/>
            <rFont val="宋体"/>
            <charset val="134"/>
          </rPr>
          <t xml:space="preserve">
1601006 1/5 720 pcs</t>
        </r>
      </text>
    </comment>
    <comment ref="S836" authorId="1">
      <text>
        <r>
          <rPr>
            <b/>
            <sz val="14"/>
            <rFont val="宋体"/>
            <charset val="134"/>
          </rPr>
          <t>Administrator:</t>
        </r>
        <r>
          <rPr>
            <sz val="14"/>
            <rFont val="宋体"/>
            <charset val="134"/>
          </rPr>
          <t xml:space="preserve">
11/13 上UPC 贴纸 720 pcs
12/24 上客供价格贴纸 792 pcs</t>
        </r>
      </text>
    </comment>
    <comment ref="Q837" authorId="1">
      <text>
        <r>
          <rPr>
            <b/>
            <sz val="14"/>
            <rFont val="宋体"/>
            <charset val="134"/>
          </rPr>
          <t>Administrator:</t>
        </r>
        <r>
          <rPr>
            <sz val="14"/>
            <rFont val="宋体"/>
            <charset val="134"/>
          </rPr>
          <t xml:space="preserve">
1601006 1/5 192 pcs</t>
        </r>
      </text>
    </comment>
    <comment ref="S837" authorId="1">
      <text>
        <r>
          <rPr>
            <b/>
            <sz val="14"/>
            <rFont val="宋体"/>
            <charset val="134"/>
          </rPr>
          <t>Administrator:</t>
        </r>
        <r>
          <rPr>
            <sz val="14"/>
            <rFont val="宋体"/>
            <charset val="134"/>
          </rPr>
          <t xml:space="preserve">
11/13 上UPC 贴纸 192 pcs
12/24 上客供价格贴纸 212 pcs</t>
        </r>
      </text>
    </comment>
    <comment ref="Q838" authorId="1">
      <text>
        <r>
          <rPr>
            <b/>
            <sz val="14"/>
            <rFont val="宋体"/>
            <charset val="134"/>
          </rPr>
          <t>Administrator:</t>
        </r>
        <r>
          <rPr>
            <sz val="14"/>
            <rFont val="宋体"/>
            <charset val="134"/>
          </rPr>
          <t xml:space="preserve">
1601006 1/5 696 pcs
1601039 1/7 24 pcs</t>
        </r>
      </text>
    </comment>
    <comment ref="S838" authorId="1">
      <text>
        <r>
          <rPr>
            <b/>
            <sz val="14"/>
            <rFont val="宋体"/>
            <charset val="134"/>
          </rPr>
          <t>Administrator:</t>
        </r>
        <r>
          <rPr>
            <sz val="14"/>
            <rFont val="宋体"/>
            <charset val="134"/>
          </rPr>
          <t xml:space="preserve">
11/13 上UPC 贴纸 720 pcs
12/24 上客供价格贴纸 792 pcs</t>
        </r>
      </text>
    </comment>
    <comment ref="Q839" authorId="1">
      <text>
        <r>
          <rPr>
            <b/>
            <sz val="14"/>
            <rFont val="宋体"/>
            <charset val="134"/>
          </rPr>
          <t>Administrator:</t>
        </r>
        <r>
          <rPr>
            <sz val="14"/>
            <rFont val="宋体"/>
            <charset val="134"/>
          </rPr>
          <t xml:space="preserve">
1601039 1/5 948 pcs
1601039 1/7 12 pcs</t>
        </r>
      </text>
    </comment>
    <comment ref="S839" authorId="1">
      <text>
        <r>
          <rPr>
            <b/>
            <sz val="14"/>
            <rFont val="宋体"/>
            <charset val="134"/>
          </rPr>
          <t>Administrator:</t>
        </r>
        <r>
          <rPr>
            <sz val="14"/>
            <rFont val="宋体"/>
            <charset val="134"/>
          </rPr>
          <t xml:space="preserve">
12/16 上UPC/进口商贴纸 960 pcs</t>
        </r>
      </text>
    </comment>
    <comment ref="Q840" authorId="1">
      <text>
        <r>
          <rPr>
            <b/>
            <sz val="14"/>
            <rFont val="宋体"/>
            <charset val="134"/>
          </rPr>
          <t>Administrator:</t>
        </r>
        <r>
          <rPr>
            <sz val="14"/>
            <rFont val="宋体"/>
            <charset val="134"/>
          </rPr>
          <t xml:space="preserve">
1601039 1/5 228 pcs
1601039 1/7 12 pcs</t>
        </r>
      </text>
    </comment>
    <comment ref="S840" authorId="1">
      <text>
        <r>
          <rPr>
            <b/>
            <sz val="14"/>
            <rFont val="宋体"/>
            <charset val="134"/>
          </rPr>
          <t>Administrator:</t>
        </r>
        <r>
          <rPr>
            <sz val="14"/>
            <rFont val="宋体"/>
            <charset val="134"/>
          </rPr>
          <t xml:space="preserve">
12/16 上进口商贴纸(含环保 240 pcs</t>
        </r>
      </text>
    </comment>
    <comment ref="Q841" authorId="1">
      <text>
        <r>
          <rPr>
            <b/>
            <sz val="14"/>
            <rFont val="宋体"/>
            <charset val="134"/>
          </rPr>
          <t>Administrator:</t>
        </r>
        <r>
          <rPr>
            <sz val="14"/>
            <rFont val="宋体"/>
            <charset val="134"/>
          </rPr>
          <t xml:space="preserve">
1601020 1/7 4476 pcs</t>
        </r>
      </text>
    </comment>
    <comment ref="S841" authorId="1">
      <text>
        <r>
          <rPr>
            <b/>
            <sz val="14"/>
            <rFont val="宋体"/>
            <charset val="134"/>
          </rPr>
          <t>Administrator:</t>
        </r>
        <r>
          <rPr>
            <sz val="14"/>
            <rFont val="宋体"/>
            <charset val="134"/>
          </rPr>
          <t xml:space="preserve">
12/5 上口水胶袋贴纸 10008 pcs
     上进口商贴纸 5004 pcs</t>
        </r>
      </text>
    </comment>
    <comment ref="Q842" authorId="1">
      <text>
        <r>
          <rPr>
            <b/>
            <sz val="14"/>
            <rFont val="宋体"/>
            <charset val="134"/>
          </rPr>
          <t>Administrator:</t>
        </r>
        <r>
          <rPr>
            <sz val="14"/>
            <rFont val="宋体"/>
            <charset val="134"/>
          </rPr>
          <t xml:space="preserve">
1601050 1/9 720 PCS </t>
        </r>
      </text>
    </comment>
    <comment ref="Q843" authorId="1">
      <text>
        <r>
          <rPr>
            <b/>
            <sz val="14"/>
            <rFont val="宋体"/>
            <charset val="134"/>
          </rPr>
          <t>Administrator:</t>
        </r>
        <r>
          <rPr>
            <sz val="14"/>
            <rFont val="宋体"/>
            <charset val="134"/>
          </rPr>
          <t xml:space="preserve">
1601050 1/9 2388 PCS
1601085 1/10 12 PCS  </t>
        </r>
      </text>
    </comment>
    <comment ref="Q844" authorId="1">
      <text>
        <r>
          <rPr>
            <b/>
            <sz val="14"/>
            <rFont val="宋体"/>
            <charset val="134"/>
          </rPr>
          <t>Administrator:</t>
        </r>
        <r>
          <rPr>
            <sz val="14"/>
            <rFont val="宋体"/>
            <charset val="134"/>
          </rPr>
          <t xml:space="preserve">
1601050 1/9 2412 PCS </t>
        </r>
      </text>
    </comment>
    <comment ref="Q845" authorId="1">
      <text>
        <r>
          <rPr>
            <b/>
            <sz val="14"/>
            <rFont val="宋体"/>
            <charset val="134"/>
          </rPr>
          <t>Administrator:</t>
        </r>
        <r>
          <rPr>
            <sz val="14"/>
            <rFont val="宋体"/>
            <charset val="134"/>
          </rPr>
          <t xml:space="preserve">
1601050 1/9 2300 PCS 
1601120 1/13 4 PCS </t>
        </r>
      </text>
    </comment>
    <comment ref="Q846" authorId="1">
      <text>
        <r>
          <rPr>
            <b/>
            <sz val="14"/>
            <rFont val="宋体"/>
            <charset val="134"/>
          </rPr>
          <t>Administrator:</t>
        </r>
        <r>
          <rPr>
            <sz val="14"/>
            <rFont val="宋体"/>
            <charset val="134"/>
          </rPr>
          <t xml:space="preserve">
1601050 1/9 360 PCS </t>
        </r>
      </text>
    </comment>
    <comment ref="Q847" authorId="1">
      <text>
        <r>
          <rPr>
            <b/>
            <sz val="14"/>
            <rFont val="宋体"/>
            <charset val="134"/>
          </rPr>
          <t>Administrator:</t>
        </r>
        <r>
          <rPr>
            <sz val="14"/>
            <rFont val="宋体"/>
            <charset val="134"/>
          </rPr>
          <t xml:space="preserve">
1601050 1/9 360 PCS </t>
        </r>
      </text>
    </comment>
    <comment ref="Q848" authorId="1">
      <text>
        <r>
          <rPr>
            <b/>
            <sz val="14"/>
            <rFont val="宋体"/>
            <charset val="134"/>
          </rPr>
          <t>Administrator:</t>
        </r>
        <r>
          <rPr>
            <sz val="14"/>
            <rFont val="宋体"/>
            <charset val="134"/>
          </rPr>
          <t xml:space="preserve">
1601050 1/9 228 PCS 
1601075 1/12 12 PCS </t>
        </r>
      </text>
    </comment>
    <comment ref="Q849" authorId="1">
      <text>
        <r>
          <rPr>
            <b/>
            <sz val="14"/>
            <rFont val="宋体"/>
            <charset val="134"/>
          </rPr>
          <t>Administrator:</t>
        </r>
        <r>
          <rPr>
            <sz val="14"/>
            <rFont val="宋体"/>
            <charset val="134"/>
          </rPr>
          <t xml:space="preserve">
1601050 1/9 360 PCS </t>
        </r>
      </text>
    </comment>
    <comment ref="Q850" authorId="1">
      <text>
        <r>
          <rPr>
            <b/>
            <sz val="14"/>
            <rFont val="宋体"/>
            <charset val="134"/>
          </rPr>
          <t>Administrator:</t>
        </r>
        <r>
          <rPr>
            <sz val="14"/>
            <rFont val="宋体"/>
            <charset val="134"/>
          </rPr>
          <t xml:space="preserve">
1601110 1/13 2574 PCS </t>
        </r>
      </text>
    </comment>
    <comment ref="S850" authorId="1">
      <text>
        <r>
          <rPr>
            <b/>
            <sz val="14"/>
            <rFont val="宋体"/>
            <charset val="134"/>
          </rPr>
          <t>Administrator:</t>
        </r>
        <r>
          <rPr>
            <sz val="14"/>
            <rFont val="宋体"/>
            <charset val="134"/>
          </rPr>
          <t xml:space="preserve">
12/22 上进口商贴纸(含EAN条 2574 pcs
      上外箱贴纸 858 pcs
12/24 上QR贴纸 2574 pcs</t>
        </r>
      </text>
    </comment>
    <comment ref="Q851" authorId="1">
      <text>
        <r>
          <rPr>
            <b/>
            <sz val="14"/>
            <rFont val="宋体"/>
            <charset val="134"/>
          </rPr>
          <t>Administrator:</t>
        </r>
        <r>
          <rPr>
            <sz val="14"/>
            <rFont val="宋体"/>
            <charset val="134"/>
          </rPr>
          <t xml:space="preserve">
1601110 1/13 720 PCS </t>
        </r>
      </text>
    </comment>
    <comment ref="S851" authorId="1">
      <text>
        <r>
          <rPr>
            <b/>
            <sz val="14"/>
            <rFont val="宋体"/>
            <charset val="134"/>
          </rPr>
          <t>Administrator:</t>
        </r>
        <r>
          <rPr>
            <sz val="14"/>
            <rFont val="宋体"/>
            <charset val="134"/>
          </rPr>
          <t xml:space="preserve">
11/5 上客供价格贴纸 756 pcs</t>
        </r>
      </text>
    </comment>
    <comment ref="Q852" authorId="1">
      <text>
        <r>
          <rPr>
            <b/>
            <sz val="14"/>
            <rFont val="宋体"/>
            <charset val="134"/>
          </rPr>
          <t>Administrator:</t>
        </r>
        <r>
          <rPr>
            <sz val="14"/>
            <rFont val="宋体"/>
            <charset val="134"/>
          </rPr>
          <t xml:space="preserve">
1601109 1/13 1500 PCS </t>
        </r>
      </text>
    </comment>
    <comment ref="S852" authorId="1">
      <text>
        <r>
          <rPr>
            <b/>
            <sz val="14"/>
            <rFont val="宋体"/>
            <charset val="134"/>
          </rPr>
          <t>Administrator:</t>
        </r>
        <r>
          <rPr>
            <sz val="14"/>
            <rFont val="宋体"/>
            <charset val="134"/>
          </rPr>
          <t xml:space="preserve">
12/16 上白色防盗贴纸 1500 pcs
12/23 上Kmart外箱贴纸 125 pcs</t>
        </r>
      </text>
    </comment>
    <comment ref="Q853" authorId="1">
      <text>
        <r>
          <rPr>
            <b/>
            <sz val="14"/>
            <rFont val="宋体"/>
            <charset val="134"/>
          </rPr>
          <t>Administrator:</t>
        </r>
        <r>
          <rPr>
            <sz val="14"/>
            <rFont val="宋体"/>
            <charset val="134"/>
          </rPr>
          <t xml:space="preserve">
1601109 1/13 1812 PCS </t>
        </r>
      </text>
    </comment>
    <comment ref="S853" authorId="1">
      <text>
        <r>
          <rPr>
            <b/>
            <sz val="14"/>
            <rFont val="宋体"/>
            <charset val="134"/>
          </rPr>
          <t>Administrator:</t>
        </r>
        <r>
          <rPr>
            <sz val="14"/>
            <rFont val="宋体"/>
            <charset val="134"/>
          </rPr>
          <t xml:space="preserve">
12/25 上WIC贴纸 10050 pcs</t>
        </r>
      </text>
    </comment>
    <comment ref="Q854" authorId="1">
      <text>
        <r>
          <rPr>
            <b/>
            <sz val="14"/>
            <rFont val="宋体"/>
            <charset val="134"/>
          </rPr>
          <t>Administrator:</t>
        </r>
        <r>
          <rPr>
            <sz val="14"/>
            <rFont val="宋体"/>
            <charset val="134"/>
          </rPr>
          <t xml:space="preserve">
1601109 1/13 768 PCS </t>
        </r>
      </text>
    </comment>
    <comment ref="Q855" authorId="1">
      <text>
        <r>
          <rPr>
            <b/>
            <sz val="14"/>
            <rFont val="宋体"/>
            <charset val="134"/>
          </rPr>
          <t>Administrator:</t>
        </r>
        <r>
          <rPr>
            <sz val="14"/>
            <rFont val="宋体"/>
            <charset val="134"/>
          </rPr>
          <t xml:space="preserve">
1601109 1/13 216 PCS </t>
        </r>
      </text>
    </comment>
    <comment ref="Q856" authorId="1">
      <text>
        <r>
          <rPr>
            <b/>
            <sz val="14"/>
            <rFont val="宋体"/>
            <charset val="134"/>
          </rPr>
          <t>Administrator:</t>
        </r>
        <r>
          <rPr>
            <sz val="14"/>
            <rFont val="宋体"/>
            <charset val="134"/>
          </rPr>
          <t xml:space="preserve">
1601109 1/13 606 PCS </t>
        </r>
      </text>
    </comment>
    <comment ref="Q857" authorId="1">
      <text>
        <r>
          <rPr>
            <b/>
            <sz val="14"/>
            <rFont val="宋体"/>
            <charset val="134"/>
          </rPr>
          <t>Administrator:</t>
        </r>
        <r>
          <rPr>
            <sz val="14"/>
            <rFont val="宋体"/>
            <charset val="134"/>
          </rPr>
          <t xml:space="preserve">
1601109 1/13 3402 PCS </t>
        </r>
      </text>
    </comment>
    <comment ref="Q858" authorId="1">
      <text>
        <r>
          <rPr>
            <b/>
            <sz val="14"/>
            <rFont val="宋体"/>
            <charset val="134"/>
          </rPr>
          <t>Administrator:</t>
        </r>
        <r>
          <rPr>
            <sz val="14"/>
            <rFont val="宋体"/>
            <charset val="134"/>
          </rPr>
          <t xml:space="preserve">
1601109 1/13 456 PCS </t>
        </r>
      </text>
    </comment>
    <comment ref="Q859" authorId="1">
      <text>
        <r>
          <rPr>
            <b/>
            <sz val="14"/>
            <rFont val="宋体"/>
            <charset val="134"/>
          </rPr>
          <t>Administrator:</t>
        </r>
        <r>
          <rPr>
            <sz val="14"/>
            <rFont val="宋体"/>
            <charset val="134"/>
          </rPr>
          <t xml:space="preserve">
1601109 1/13 2790 PCS </t>
        </r>
      </text>
    </comment>
    <comment ref="Q860" authorId="1">
      <text>
        <r>
          <rPr>
            <b/>
            <sz val="14"/>
            <rFont val="宋体"/>
            <charset val="134"/>
          </rPr>
          <t>Administrator:</t>
        </r>
        <r>
          <rPr>
            <sz val="14"/>
            <rFont val="宋体"/>
            <charset val="134"/>
          </rPr>
          <t xml:space="preserve">
1601148 1/14 480 PCS </t>
        </r>
      </text>
    </comment>
    <comment ref="Q861" authorId="1">
      <text>
        <r>
          <rPr>
            <b/>
            <sz val="14"/>
            <rFont val="宋体"/>
            <charset val="134"/>
          </rPr>
          <t>Administrator:</t>
        </r>
        <r>
          <rPr>
            <sz val="14"/>
            <rFont val="宋体"/>
            <charset val="134"/>
          </rPr>
          <t xml:space="preserve">
1601159 1/15 2000 pcs</t>
        </r>
      </text>
    </comment>
    <comment ref="S861" authorId="1">
      <text>
        <r>
          <rPr>
            <b/>
            <sz val="14"/>
            <rFont val="宋体"/>
            <charset val="134"/>
          </rPr>
          <t>Administrator:</t>
        </r>
        <r>
          <rPr>
            <sz val="14"/>
            <rFont val="宋体"/>
            <charset val="134"/>
          </rPr>
          <t xml:space="preserve">
12/25 上客户EAN条码 2000 pcs
      上PDQ数量贴纸 500 pcs</t>
        </r>
      </text>
    </comment>
    <comment ref="Q862" authorId="1">
      <text>
        <r>
          <rPr>
            <b/>
            <sz val="14"/>
            <rFont val="宋体"/>
            <charset val="134"/>
          </rPr>
          <t>Administrator:</t>
        </r>
        <r>
          <rPr>
            <sz val="14"/>
            <rFont val="宋体"/>
            <charset val="134"/>
          </rPr>
          <t xml:space="preserve">
1601159 1/15 24 pcs</t>
        </r>
      </text>
    </comment>
    <comment ref="S862" authorId="1">
      <text>
        <r>
          <rPr>
            <b/>
            <sz val="14"/>
            <rFont val="宋体"/>
            <charset val="134"/>
          </rPr>
          <t>Administrator:</t>
        </r>
        <r>
          <rPr>
            <sz val="14"/>
            <rFont val="宋体"/>
            <charset val="134"/>
          </rPr>
          <t xml:space="preserve">
12/16 上白色防盗贴纸 24 pcs
12/31 上Kmart外箱贴纸 2 pcs</t>
        </r>
      </text>
    </comment>
    <comment ref="Q863" authorId="1">
      <text>
        <r>
          <rPr>
            <b/>
            <sz val="14"/>
            <rFont val="宋体"/>
            <charset val="134"/>
          </rPr>
          <t>Administrator:</t>
        </r>
        <r>
          <rPr>
            <sz val="14"/>
            <rFont val="宋体"/>
            <charset val="134"/>
          </rPr>
          <t xml:space="preserve">
1601159 1/15 1668 pcs</t>
        </r>
      </text>
    </comment>
    <comment ref="S863" authorId="1">
      <text>
        <r>
          <rPr>
            <b/>
            <sz val="14"/>
            <rFont val="宋体"/>
            <charset val="134"/>
          </rPr>
          <t>Administrator:</t>
        </r>
        <r>
          <rPr>
            <sz val="14"/>
            <rFont val="宋体"/>
            <charset val="134"/>
          </rPr>
          <t xml:space="preserve">
12/31 上Kmart外箱贴纸 139 pcs</t>
        </r>
      </text>
    </comment>
    <comment ref="Q864" authorId="1">
      <text>
        <r>
          <rPr>
            <b/>
            <sz val="14"/>
            <rFont val="宋体"/>
            <charset val="134"/>
          </rPr>
          <t>Administrator:</t>
        </r>
        <r>
          <rPr>
            <sz val="14"/>
            <rFont val="宋体"/>
            <charset val="134"/>
          </rPr>
          <t xml:space="preserve">
1601196 1/19 504 pcs</t>
        </r>
      </text>
    </comment>
    <comment ref="S864" authorId="1">
      <text>
        <r>
          <rPr>
            <b/>
            <sz val="14"/>
            <rFont val="宋体"/>
            <charset val="134"/>
          </rPr>
          <t>Administrator:</t>
        </r>
        <r>
          <rPr>
            <sz val="14"/>
            <rFont val="宋体"/>
            <charset val="134"/>
          </rPr>
          <t xml:space="preserve">
1/4 上进口商贴纸 504 pcs</t>
        </r>
      </text>
    </comment>
    <comment ref="Q865" authorId="1">
      <text>
        <r>
          <rPr>
            <b/>
            <sz val="14"/>
            <rFont val="宋体"/>
            <charset val="134"/>
          </rPr>
          <t>Administrator:</t>
        </r>
        <r>
          <rPr>
            <sz val="14"/>
            <rFont val="宋体"/>
            <charset val="134"/>
          </rPr>
          <t xml:space="preserve">
4001767 1/17 1296 pcs</t>
        </r>
      </text>
    </comment>
    <comment ref="S865" authorId="1">
      <text>
        <r>
          <rPr>
            <b/>
            <sz val="14"/>
            <rFont val="宋体"/>
            <charset val="134"/>
          </rPr>
          <t>Administrator:</t>
        </r>
        <r>
          <rPr>
            <sz val="14"/>
            <rFont val="宋体"/>
            <charset val="134"/>
          </rPr>
          <t xml:space="preserve">
12/22 上进口商贴纸 2592 pcs
      上产品贴纸 2592 pcs
      上EAN贴纸 2592 pcs</t>
        </r>
      </text>
    </comment>
    <comment ref="Q866" authorId="1">
      <text>
        <r>
          <rPr>
            <b/>
            <sz val="14"/>
            <rFont val="宋体"/>
            <charset val="134"/>
          </rPr>
          <t>Administrator:</t>
        </r>
        <r>
          <rPr>
            <sz val="14"/>
            <rFont val="宋体"/>
            <charset val="134"/>
          </rPr>
          <t xml:space="preserve">
1601232 1/20 504 pcs</t>
        </r>
      </text>
    </comment>
    <comment ref="S866" authorId="1">
      <text>
        <r>
          <rPr>
            <b/>
            <sz val="14"/>
            <rFont val="宋体"/>
            <charset val="134"/>
          </rPr>
          <t>Administrator:</t>
        </r>
        <r>
          <rPr>
            <sz val="14"/>
            <rFont val="宋体"/>
            <charset val="134"/>
          </rPr>
          <t xml:space="preserve">
1/9 上UPC贴纸 744 pcs</t>
        </r>
      </text>
    </comment>
    <comment ref="Q867" authorId="1">
      <text>
        <r>
          <rPr>
            <b/>
            <sz val="14"/>
            <rFont val="宋体"/>
            <charset val="134"/>
          </rPr>
          <t>Administrator:</t>
        </r>
        <r>
          <rPr>
            <sz val="14"/>
            <rFont val="宋体"/>
            <charset val="134"/>
          </rPr>
          <t xml:space="preserve">
1601232 1/20 240 pcs</t>
        </r>
      </text>
    </comment>
    <comment ref="S868" authorId="1">
      <text>
        <r>
          <rPr>
            <b/>
            <sz val="14"/>
            <rFont val="宋体"/>
            <charset val="134"/>
          </rPr>
          <t>Administrator:</t>
        </r>
        <r>
          <rPr>
            <sz val="14"/>
            <rFont val="宋体"/>
            <charset val="134"/>
          </rPr>
          <t xml:space="preserve">
1/13 上白色防盗贴纸 180 pcs
     上Kmart外箱贴纸  15 pcs</t>
        </r>
      </text>
    </comment>
    <comment ref="S871" authorId="1">
      <text>
        <r>
          <rPr>
            <b/>
            <sz val="14"/>
            <rFont val="宋体"/>
            <charset val="134"/>
          </rPr>
          <t>Administrator:</t>
        </r>
        <r>
          <rPr>
            <sz val="14"/>
            <rFont val="宋体"/>
            <charset val="134"/>
          </rPr>
          <t xml:space="preserve">
1/13 上白色防盗贴纸 4320 pcs
1/12 上Kmart外箱贴纸 486 pcs</t>
        </r>
      </text>
    </comment>
    <comment ref="S874" authorId="1">
      <text>
        <r>
          <rPr>
            <b/>
            <sz val="14"/>
            <rFont val="宋体"/>
            <charset val="134"/>
          </rPr>
          <t>Administrator:</t>
        </r>
        <r>
          <rPr>
            <sz val="14"/>
            <rFont val="宋体"/>
            <charset val="134"/>
          </rPr>
          <t xml:space="preserve">
1/13 上白色防盗贴纸 1512 pcs
1/12 上Kmart外箱贴纸 126 pcs
</t>
        </r>
      </text>
    </comment>
    <comment ref="Q875" authorId="1">
      <text>
        <r>
          <rPr>
            <b/>
            <sz val="14"/>
            <rFont val="宋体"/>
            <charset val="134"/>
          </rPr>
          <t>Administrator:</t>
        </r>
        <r>
          <rPr>
            <sz val="14"/>
            <rFont val="宋体"/>
            <charset val="134"/>
          </rPr>
          <t xml:space="preserve">
1601213 1/20 600 pcs</t>
        </r>
      </text>
    </comment>
    <comment ref="S875" authorId="1">
      <text>
        <r>
          <rPr>
            <b/>
            <sz val="14"/>
            <rFont val="宋体"/>
            <charset val="134"/>
          </rPr>
          <t>Administrator:</t>
        </r>
        <r>
          <rPr>
            <sz val="14"/>
            <rFont val="宋体"/>
            <charset val="134"/>
          </rPr>
          <t xml:space="preserve">
1/1 上客供价格贴纸 600 pcs</t>
        </r>
      </text>
    </comment>
    <comment ref="Q876" authorId="1">
      <text>
        <r>
          <rPr>
            <b/>
            <sz val="14"/>
            <rFont val="宋体"/>
            <charset val="134"/>
          </rPr>
          <t>Administrator:</t>
        </r>
        <r>
          <rPr>
            <sz val="14"/>
            <rFont val="宋体"/>
            <charset val="134"/>
          </rPr>
          <t xml:space="preserve">
1601233 1/20 1536 pcs</t>
        </r>
      </text>
    </comment>
    <comment ref="S876" authorId="1">
      <text>
        <r>
          <rPr>
            <b/>
            <sz val="14"/>
            <rFont val="宋体"/>
            <charset val="134"/>
          </rPr>
          <t>Administrator:</t>
        </r>
        <r>
          <rPr>
            <sz val="14"/>
            <rFont val="宋体"/>
            <charset val="134"/>
          </rPr>
          <t xml:space="preserve">
1/14 上客版布标贴纸 7296 pcs
1/5 上客供RFID贴纸 7296 pcs</t>
        </r>
      </text>
    </comment>
    <comment ref="Q877" authorId="1">
      <text>
        <r>
          <rPr>
            <b/>
            <sz val="14"/>
            <rFont val="宋体"/>
            <charset val="134"/>
          </rPr>
          <t>Administrator:</t>
        </r>
        <r>
          <rPr>
            <sz val="14"/>
            <rFont val="宋体"/>
            <charset val="134"/>
          </rPr>
          <t xml:space="preserve">
1601233 1/20 1152 pcs</t>
        </r>
      </text>
    </comment>
    <comment ref="Q878" authorId="1">
      <text>
        <r>
          <rPr>
            <b/>
            <sz val="14"/>
            <rFont val="宋体"/>
            <charset val="134"/>
          </rPr>
          <t>Administrator:</t>
        </r>
        <r>
          <rPr>
            <sz val="14"/>
            <rFont val="宋体"/>
            <charset val="134"/>
          </rPr>
          <t xml:space="preserve">
1601233 1/20 1536 pcs</t>
        </r>
      </text>
    </comment>
    <comment ref="Q879" authorId="1">
      <text>
        <r>
          <rPr>
            <b/>
            <sz val="14"/>
            <rFont val="宋体"/>
            <charset val="134"/>
          </rPr>
          <t>Administrator:</t>
        </r>
        <r>
          <rPr>
            <sz val="14"/>
            <rFont val="宋体"/>
            <charset val="134"/>
          </rPr>
          <t xml:space="preserve">
1601233 1/20 768 pcs</t>
        </r>
      </text>
    </comment>
    <comment ref="Q880" authorId="1">
      <text>
        <r>
          <rPr>
            <b/>
            <sz val="14"/>
            <rFont val="宋体"/>
            <charset val="134"/>
          </rPr>
          <t>Administrator:</t>
        </r>
        <r>
          <rPr>
            <sz val="14"/>
            <rFont val="宋体"/>
            <charset val="134"/>
          </rPr>
          <t xml:space="preserve">
1601233 1/20 768 pcs</t>
        </r>
      </text>
    </comment>
    <comment ref="Q881" authorId="1">
      <text>
        <r>
          <rPr>
            <b/>
            <sz val="14"/>
            <rFont val="宋体"/>
            <charset val="134"/>
          </rPr>
          <t>Administrator:</t>
        </r>
        <r>
          <rPr>
            <sz val="14"/>
            <rFont val="宋体"/>
            <charset val="134"/>
          </rPr>
          <t xml:space="preserve">
1601233 1/20 768 pcs</t>
        </r>
      </text>
    </comment>
    <comment ref="Q882" authorId="1">
      <text>
        <r>
          <rPr>
            <b/>
            <sz val="14"/>
            <rFont val="宋体"/>
            <charset val="134"/>
          </rPr>
          <t>Administrator:</t>
        </r>
        <r>
          <rPr>
            <sz val="14"/>
            <rFont val="宋体"/>
            <charset val="134"/>
          </rPr>
          <t xml:space="preserve">
1601233 1/20 768 pcs</t>
        </r>
      </text>
    </comment>
    <comment ref="Q883" authorId="1">
      <text>
        <r>
          <rPr>
            <b/>
            <sz val="14"/>
            <rFont val="宋体"/>
            <charset val="134"/>
          </rPr>
          <t>Administrator:</t>
        </r>
        <r>
          <rPr>
            <sz val="14"/>
            <rFont val="宋体"/>
            <charset val="134"/>
          </rPr>
          <t xml:space="preserve">
1601285 1/23 168 pcs
1601280 1/23 12 pcs</t>
        </r>
      </text>
    </comment>
    <comment ref="S883" authorId="1">
      <text>
        <r>
          <rPr>
            <b/>
            <sz val="14"/>
            <rFont val="宋体"/>
            <charset val="134"/>
          </rPr>
          <t>Administrator:</t>
        </r>
        <r>
          <rPr>
            <sz val="14"/>
            <rFont val="宋体"/>
            <charset val="134"/>
          </rPr>
          <t xml:space="preserve">
1/14 上条码/进口商贴纸 180 pcs</t>
        </r>
      </text>
    </comment>
    <comment ref="Q884" authorId="1">
      <text>
        <r>
          <rPr>
            <b/>
            <sz val="14"/>
            <rFont val="宋体"/>
            <charset val="134"/>
          </rPr>
          <t>Administrator:</t>
        </r>
        <r>
          <rPr>
            <sz val="14"/>
            <rFont val="宋体"/>
            <charset val="134"/>
          </rPr>
          <t xml:space="preserve">
1601285 1/23 708 pcs
16012801/23 12 pcs</t>
        </r>
      </text>
    </comment>
    <comment ref="S884" authorId="1">
      <text>
        <r>
          <rPr>
            <b/>
            <sz val="14"/>
            <rFont val="宋体"/>
            <charset val="134"/>
          </rPr>
          <t>Administrator:</t>
        </r>
        <r>
          <rPr>
            <sz val="14"/>
            <rFont val="宋体"/>
            <charset val="134"/>
          </rPr>
          <t xml:space="preserve">
1/15 上UPC/进口商贴纸 720 pcs</t>
        </r>
      </text>
    </comment>
    <comment ref="Q885" authorId="1">
      <text>
        <r>
          <rPr>
            <b/>
            <sz val="14"/>
            <rFont val="宋体"/>
            <charset val="134"/>
          </rPr>
          <t>Administrator:</t>
        </r>
        <r>
          <rPr>
            <sz val="14"/>
            <rFont val="宋体"/>
            <charset val="134"/>
          </rPr>
          <t xml:space="preserve">
1601299 1/26 2004 pcs</t>
        </r>
      </text>
    </comment>
    <comment ref="S885" authorId="1">
      <text>
        <r>
          <rPr>
            <b/>
            <sz val="14"/>
            <rFont val="宋体"/>
            <charset val="134"/>
          </rPr>
          <t>Administrator:</t>
        </r>
        <r>
          <rPr>
            <sz val="14"/>
            <rFont val="宋体"/>
            <charset val="134"/>
          </rPr>
          <t xml:space="preserve">
1/19 上UPC/进口商贴纸 2004 pcs</t>
        </r>
      </text>
    </comment>
    <comment ref="Q886" authorId="1">
      <text>
        <r>
          <rPr>
            <b/>
            <sz val="14"/>
            <rFont val="宋体"/>
            <charset val="134"/>
          </rPr>
          <t>Administrator:</t>
        </r>
        <r>
          <rPr>
            <sz val="14"/>
            <rFont val="宋体"/>
            <charset val="134"/>
          </rPr>
          <t xml:space="preserve">
1601299 1/26 1200 pcs</t>
        </r>
      </text>
    </comment>
    <comment ref="S886" authorId="1">
      <text>
        <r>
          <rPr>
            <b/>
            <sz val="14"/>
            <rFont val="宋体"/>
            <charset val="134"/>
          </rPr>
          <t>Administrator:</t>
        </r>
        <r>
          <rPr>
            <sz val="14"/>
            <rFont val="宋体"/>
            <charset val="134"/>
          </rPr>
          <t xml:space="preserve">
12/16 上客供价格贴纸 1260 pcs</t>
        </r>
      </text>
    </comment>
    <comment ref="Q887" authorId="1">
      <text>
        <r>
          <rPr>
            <b/>
            <sz val="14"/>
            <rFont val="宋体"/>
            <charset val="134"/>
          </rPr>
          <t>Administrator:</t>
        </r>
        <r>
          <rPr>
            <sz val="14"/>
            <rFont val="宋体"/>
            <charset val="134"/>
          </rPr>
          <t xml:space="preserve">
1601299 1/26 1176 pcs
1601289 1/27 24 pcs</t>
        </r>
      </text>
    </comment>
    <comment ref="S887" authorId="1">
      <text>
        <r>
          <rPr>
            <b/>
            <sz val="14"/>
            <rFont val="宋体"/>
            <charset val="134"/>
          </rPr>
          <t>Administrator:</t>
        </r>
        <r>
          <rPr>
            <sz val="14"/>
            <rFont val="宋体"/>
            <charset val="134"/>
          </rPr>
          <t xml:space="preserve">
12/16 上客供价格贴纸 1260 pcs</t>
        </r>
      </text>
    </comment>
    <comment ref="Q888" authorId="1">
      <text>
        <r>
          <rPr>
            <b/>
            <sz val="14"/>
            <rFont val="宋体"/>
            <charset val="134"/>
          </rPr>
          <t>Administrator:</t>
        </r>
        <r>
          <rPr>
            <sz val="14"/>
            <rFont val="宋体"/>
            <charset val="134"/>
          </rPr>
          <t xml:space="preserve">
1601299 1/26 1002 pcs</t>
        </r>
      </text>
    </comment>
    <comment ref="S888" authorId="1">
      <text>
        <r>
          <rPr>
            <b/>
            <sz val="14"/>
            <rFont val="宋体"/>
            <charset val="134"/>
          </rPr>
          <t>Administrator:</t>
        </r>
        <r>
          <rPr>
            <sz val="14"/>
            <rFont val="宋体"/>
            <charset val="134"/>
          </rPr>
          <t xml:space="preserve">
1/15 上客供价格贴纸 1103 pcs</t>
        </r>
      </text>
    </comment>
    <comment ref="Q889" authorId="1">
      <text>
        <r>
          <rPr>
            <b/>
            <sz val="14"/>
            <rFont val="宋体"/>
            <charset val="134"/>
          </rPr>
          <t>Administrator:</t>
        </r>
        <r>
          <rPr>
            <sz val="14"/>
            <rFont val="宋体"/>
            <charset val="134"/>
          </rPr>
          <t xml:space="preserve">
1601299 1/26 1200 pcs
</t>
        </r>
      </text>
    </comment>
    <comment ref="S889" authorId="1">
      <text>
        <r>
          <rPr>
            <b/>
            <sz val="14"/>
            <rFont val="宋体"/>
            <charset val="134"/>
          </rPr>
          <t>Administrator:</t>
        </r>
        <r>
          <rPr>
            <sz val="14"/>
            <rFont val="宋体"/>
            <charset val="134"/>
          </rPr>
          <t xml:space="preserve">
1/15 上客供价格贴纸 1320 pcs</t>
        </r>
      </text>
    </comment>
    <comment ref="Q890" authorId="1">
      <text>
        <r>
          <rPr>
            <b/>
            <sz val="14"/>
            <rFont val="宋体"/>
            <charset val="134"/>
          </rPr>
          <t>Administrator:</t>
        </r>
        <r>
          <rPr>
            <sz val="14"/>
            <rFont val="宋体"/>
            <charset val="134"/>
          </rPr>
          <t xml:space="preserve">
1405671 1/31 12 pcs
14005693 1/30 1068 pcs</t>
        </r>
      </text>
    </comment>
    <comment ref="S890" authorId="1">
      <text>
        <r>
          <rPr>
            <b/>
            <sz val="12"/>
            <rFont val="宋体"/>
            <charset val="134"/>
          </rPr>
          <t>Administrator:</t>
        </r>
        <r>
          <rPr>
            <sz val="12"/>
            <rFont val="宋体"/>
            <charset val="134"/>
          </rPr>
          <t xml:space="preserve">
1/15 上UPC/进口商贴纸 1080 pcs</t>
        </r>
      </text>
    </comment>
    <comment ref="Q891" authorId="1">
      <text>
        <r>
          <rPr>
            <b/>
            <sz val="14"/>
            <rFont val="宋体"/>
            <charset val="134"/>
          </rPr>
          <t>Administrator:</t>
        </r>
        <r>
          <rPr>
            <sz val="14"/>
            <rFont val="宋体"/>
            <charset val="134"/>
          </rPr>
          <t xml:space="preserve">
1405693 1/30 2400 pcs</t>
        </r>
      </text>
    </comment>
    <comment ref="S891" authorId="1">
      <text>
        <r>
          <rPr>
            <b/>
            <sz val="14"/>
            <rFont val="宋体"/>
            <charset val="134"/>
          </rPr>
          <t>Administrator:</t>
        </r>
        <r>
          <rPr>
            <sz val="14"/>
            <rFont val="宋体"/>
            <charset val="134"/>
          </rPr>
          <t xml:space="preserve">
1/19 上客户EAN条码贴纸 2400 pcs
     上PDQ数量贴纸 600 pcs</t>
        </r>
      </text>
    </comment>
    <comment ref="Q892" authorId="1">
      <text>
        <r>
          <rPr>
            <b/>
            <sz val="14"/>
            <rFont val="宋体"/>
            <charset val="134"/>
          </rPr>
          <t>Administrator:</t>
        </r>
        <r>
          <rPr>
            <sz val="14"/>
            <rFont val="宋体"/>
            <charset val="134"/>
          </rPr>
          <t xml:space="preserve">
1405671 1/31 1500 pcs</t>
        </r>
      </text>
    </comment>
    <comment ref="S892" authorId="1">
      <text>
        <r>
          <rPr>
            <b/>
            <sz val="14"/>
            <rFont val="宋体"/>
            <charset val="134"/>
          </rPr>
          <t>Administrator:</t>
        </r>
        <r>
          <rPr>
            <sz val="14"/>
            <rFont val="宋体"/>
            <charset val="134"/>
          </rPr>
          <t xml:space="preserve">
1/19 上 UPC/进口商贴纸 1500 pcs</t>
        </r>
      </text>
    </comment>
    <comment ref="Q893" authorId="1">
      <text>
        <r>
          <rPr>
            <b/>
            <sz val="14"/>
            <rFont val="宋体"/>
            <charset val="134"/>
          </rPr>
          <t>Administrator:</t>
        </r>
        <r>
          <rPr>
            <sz val="14"/>
            <rFont val="宋体"/>
            <charset val="134"/>
          </rPr>
          <t xml:space="preserve">
1405645 2/2 12 pcs</t>
        </r>
      </text>
    </comment>
    <comment ref="S893" authorId="1">
      <text>
        <r>
          <rPr>
            <b/>
            <sz val="14"/>
            <rFont val="宋体"/>
            <charset val="134"/>
          </rPr>
          <t>Administrator:</t>
        </r>
        <r>
          <rPr>
            <sz val="14"/>
            <rFont val="宋体"/>
            <charset val="134"/>
          </rPr>
          <t xml:space="preserve">
1/19 上UPC贴纸 132 pcs
1/28 上亚马逊外箱贴纸 11 pcs</t>
        </r>
      </text>
    </comment>
    <comment ref="Q894" authorId="1">
      <text>
        <r>
          <rPr>
            <b/>
            <sz val="14"/>
            <rFont val="宋体"/>
            <charset val="134"/>
          </rPr>
          <t>Administrator:</t>
        </r>
        <r>
          <rPr>
            <sz val="14"/>
            <rFont val="宋体"/>
            <charset val="134"/>
          </rPr>
          <t xml:space="preserve">
1405680 2/2 48 pcs</t>
        </r>
      </text>
    </comment>
    <comment ref="Q895" authorId="1">
      <text>
        <r>
          <rPr>
            <b/>
            <sz val="14"/>
            <rFont val="宋体"/>
            <charset val="134"/>
          </rPr>
          <t>Administrator:</t>
        </r>
        <r>
          <rPr>
            <sz val="14"/>
            <rFont val="宋体"/>
            <charset val="134"/>
          </rPr>
          <t xml:space="preserve">
1405680 2/2 12 pcs</t>
        </r>
      </text>
    </comment>
    <comment ref="Q896" authorId="1">
      <text>
        <r>
          <rPr>
            <b/>
            <sz val="14"/>
            <rFont val="宋体"/>
            <charset val="134"/>
          </rPr>
          <t>Administrator:</t>
        </r>
        <r>
          <rPr>
            <sz val="14"/>
            <rFont val="宋体"/>
            <charset val="134"/>
          </rPr>
          <t xml:space="preserve">
1405680 2/2 12 pcs</t>
        </r>
      </text>
    </comment>
    <comment ref="Q897" authorId="1">
      <text>
        <r>
          <rPr>
            <b/>
            <sz val="14"/>
            <rFont val="宋体"/>
            <charset val="134"/>
          </rPr>
          <t>Administrator:</t>
        </r>
        <r>
          <rPr>
            <sz val="14"/>
            <rFont val="宋体"/>
            <charset val="134"/>
          </rPr>
          <t xml:space="preserve">
1405680 2/2 24 pcs</t>
        </r>
      </text>
    </comment>
    <comment ref="Q898" authorId="1">
      <text>
        <r>
          <rPr>
            <b/>
            <sz val="14"/>
            <rFont val="宋体"/>
            <charset val="134"/>
          </rPr>
          <t>Administrator:</t>
        </r>
        <r>
          <rPr>
            <sz val="14"/>
            <rFont val="宋体"/>
            <charset val="134"/>
          </rPr>
          <t xml:space="preserve">
1405680 2/2 12 pcs</t>
        </r>
      </text>
    </comment>
    <comment ref="Q899" authorId="1">
      <text>
        <r>
          <rPr>
            <b/>
            <sz val="14"/>
            <rFont val="宋体"/>
            <charset val="134"/>
          </rPr>
          <t>Administrator:</t>
        </r>
        <r>
          <rPr>
            <sz val="14"/>
            <rFont val="宋体"/>
            <charset val="134"/>
          </rPr>
          <t xml:space="preserve">
1405680 2/2 12 pcs</t>
        </r>
      </text>
    </comment>
    <comment ref="Q900" authorId="1">
      <text>
        <r>
          <rPr>
            <b/>
            <sz val="14"/>
            <rFont val="宋体"/>
            <charset val="134"/>
          </rPr>
          <t>Administrator:</t>
        </r>
        <r>
          <rPr>
            <sz val="14"/>
            <rFont val="宋体"/>
            <charset val="134"/>
          </rPr>
          <t xml:space="preserve">
1405680 2/2 12 pcs</t>
        </r>
      </text>
    </comment>
    <comment ref="S900" authorId="1">
      <text>
        <r>
          <rPr>
            <b/>
            <sz val="14"/>
            <rFont val="宋体"/>
            <charset val="134"/>
          </rPr>
          <t>Administrator:</t>
        </r>
        <r>
          <rPr>
            <sz val="14"/>
            <rFont val="宋体"/>
            <charset val="134"/>
          </rPr>
          <t xml:space="preserve">
1/19 上UPC贴纸 12 pcs
1/28 上亚马逊外箱贴纸 1 pcs</t>
        </r>
      </text>
    </comment>
    <comment ref="Q901" authorId="1">
      <text>
        <r>
          <rPr>
            <b/>
            <sz val="14"/>
            <rFont val="宋体"/>
            <charset val="134"/>
          </rPr>
          <t>Administrator:</t>
        </r>
        <r>
          <rPr>
            <sz val="14"/>
            <rFont val="宋体"/>
            <charset val="134"/>
          </rPr>
          <t xml:space="preserve">
1405643 2/2 1512 pcs
 </t>
        </r>
      </text>
    </comment>
    <comment ref="S901" authorId="1">
      <text>
        <r>
          <rPr>
            <b/>
            <sz val="14"/>
            <rFont val="宋体"/>
            <charset val="134"/>
          </rPr>
          <t>Administrator:</t>
        </r>
        <r>
          <rPr>
            <sz val="14"/>
            <rFont val="宋体"/>
            <charset val="134"/>
          </rPr>
          <t xml:space="preserve">
1/19 上客人白色Cat.label 1512 pcs</t>
        </r>
      </text>
    </comment>
    <comment ref="Q902" authorId="1">
      <text>
        <r>
          <rPr>
            <b/>
            <sz val="14"/>
            <rFont val="宋体"/>
            <charset val="134"/>
          </rPr>
          <t>Administrator:</t>
        </r>
        <r>
          <rPr>
            <sz val="14"/>
            <rFont val="宋体"/>
            <charset val="134"/>
          </rPr>
          <t xml:space="preserve">
1405643 2/2 960 pcs</t>
        </r>
      </text>
    </comment>
    <comment ref="S902" authorId="1">
      <text>
        <r>
          <rPr>
            <b/>
            <sz val="14"/>
            <rFont val="宋体"/>
            <charset val="134"/>
          </rPr>
          <t>Administrator:</t>
        </r>
        <r>
          <rPr>
            <sz val="14"/>
            <rFont val="宋体"/>
            <charset val="134"/>
          </rPr>
          <t xml:space="preserve">
1/22 上客户警语进口商贴纸(含ES 960 pcs</t>
        </r>
      </text>
    </comment>
    <comment ref="Q903" authorId="1">
      <text>
        <r>
          <rPr>
            <b/>
            <sz val="14"/>
            <rFont val="宋体"/>
            <charset val="134"/>
          </rPr>
          <t>Administrator:</t>
        </r>
        <r>
          <rPr>
            <sz val="14"/>
            <rFont val="宋体"/>
            <charset val="134"/>
          </rPr>
          <t xml:space="preserve">
1405643 2/2 1512 pcs</t>
        </r>
      </text>
    </comment>
    <comment ref="S903" authorId="1">
      <text>
        <r>
          <rPr>
            <b/>
            <sz val="14"/>
            <rFont val="宋体"/>
            <charset val="134"/>
          </rPr>
          <t>Administrator:</t>
        </r>
        <r>
          <rPr>
            <sz val="14"/>
            <rFont val="宋体"/>
            <charset val="134"/>
          </rPr>
          <t xml:space="preserve">
1/21 上德语callout警告语贴纸 1512 pcs
     上EAN条码贴纸 1512 pcs</t>
        </r>
      </text>
    </comment>
    <comment ref="Q904" authorId="1">
      <text>
        <r>
          <rPr>
            <b/>
            <sz val="14"/>
            <rFont val="宋体"/>
            <charset val="134"/>
          </rPr>
          <t>Administrator:</t>
        </r>
        <r>
          <rPr>
            <sz val="14"/>
            <rFont val="宋体"/>
            <charset val="134"/>
          </rPr>
          <t xml:space="preserve">
1405647 2/2 2016 pcs</t>
        </r>
      </text>
    </comment>
    <comment ref="Q905" authorId="1">
      <text>
        <r>
          <rPr>
            <b/>
            <sz val="14"/>
            <rFont val="宋体"/>
            <charset val="134"/>
          </rPr>
          <t>Administrator:</t>
        </r>
        <r>
          <rPr>
            <sz val="14"/>
            <rFont val="宋体"/>
            <charset val="134"/>
          </rPr>
          <t xml:space="preserve">
1601280 1/23 792 pcs
1601266 1/24 24 pcs</t>
        </r>
      </text>
    </comment>
    <comment ref="S905" authorId="1">
      <text>
        <r>
          <rPr>
            <b/>
            <sz val="14"/>
            <rFont val="宋体"/>
            <charset val="134"/>
          </rPr>
          <t>Administrator:</t>
        </r>
        <r>
          <rPr>
            <sz val="14"/>
            <rFont val="宋体"/>
            <charset val="134"/>
          </rPr>
          <t xml:space="preserve">
1/5 上UPC/进口商贴纸 816 pcs</t>
        </r>
      </text>
    </comment>
    <comment ref="Q906" authorId="1">
      <text>
        <r>
          <rPr>
            <b/>
            <sz val="14"/>
            <rFont val="宋体"/>
            <charset val="134"/>
          </rPr>
          <t>Administrator:</t>
        </r>
        <r>
          <rPr>
            <sz val="14"/>
            <rFont val="宋体"/>
            <charset val="134"/>
          </rPr>
          <t xml:space="preserve">
1601289 1/27 576 pcs</t>
        </r>
      </text>
    </comment>
    <comment ref="S906" authorId="1">
      <text>
        <r>
          <rPr>
            <b/>
            <sz val="12"/>
            <rFont val="宋体"/>
            <charset val="134"/>
          </rPr>
          <t>Administrator:</t>
        </r>
        <r>
          <rPr>
            <sz val="12"/>
            <rFont val="宋体"/>
            <charset val="134"/>
          </rPr>
          <t xml:space="preserve">
10/23 上进口商贴纸 2004 pcs
      上UPC贴纸 2004 pcs
10/24 上红色logo贴纸 2004 pcs</t>
        </r>
      </text>
    </comment>
    <comment ref="Q907" authorId="1">
      <text>
        <r>
          <rPr>
            <b/>
            <sz val="14"/>
            <rFont val="宋体"/>
            <charset val="134"/>
          </rPr>
          <t>Administrator:</t>
        </r>
        <r>
          <rPr>
            <sz val="14"/>
            <rFont val="宋体"/>
            <charset val="134"/>
          </rPr>
          <t xml:space="preserve">
1601289 1/27 624 pcs</t>
        </r>
      </text>
    </comment>
    <comment ref="Q908" authorId="1">
      <text>
        <r>
          <rPr>
            <b/>
            <sz val="14"/>
            <rFont val="宋体"/>
            <charset val="134"/>
          </rPr>
          <t>Administrator:</t>
        </r>
        <r>
          <rPr>
            <sz val="14"/>
            <rFont val="宋体"/>
            <charset val="134"/>
          </rPr>
          <t xml:space="preserve">
1601289 1/27 804 pcs</t>
        </r>
      </text>
    </comment>
    <comment ref="Q909" authorId="1">
      <text>
        <r>
          <rPr>
            <b/>
            <sz val="14"/>
            <rFont val="宋体"/>
            <charset val="134"/>
          </rPr>
          <t>Administrator:</t>
        </r>
        <r>
          <rPr>
            <sz val="14"/>
            <rFont val="宋体"/>
            <charset val="134"/>
          </rPr>
          <t xml:space="preserve">
1601289 1/27 6024 pcs</t>
        </r>
      </text>
    </comment>
    <comment ref="S909" authorId="1">
      <text>
        <r>
          <rPr>
            <b/>
            <sz val="14"/>
            <rFont val="宋体"/>
            <charset val="134"/>
          </rPr>
          <t>Administrator:</t>
        </r>
        <r>
          <rPr>
            <sz val="14"/>
            <rFont val="宋体"/>
            <charset val="134"/>
          </rPr>
          <t xml:space="preserve">
1/14 上进口商贴纸 6024 pcs</t>
        </r>
      </text>
    </comment>
    <comment ref="Q910" authorId="1">
      <text>
        <r>
          <rPr>
            <b/>
            <sz val="14"/>
            <rFont val="宋体"/>
            <charset val="134"/>
          </rPr>
          <t>Administrator:</t>
        </r>
        <r>
          <rPr>
            <sz val="14"/>
            <rFont val="宋体"/>
            <charset val="134"/>
          </rPr>
          <t xml:space="preserve">
1405645 2/2 2298 pcs
1405668 2/3 6 pcs</t>
        </r>
      </text>
    </comment>
    <comment ref="S910" authorId="1">
      <text>
        <r>
          <rPr>
            <b/>
            <sz val="14"/>
            <rFont val="宋体"/>
            <charset val="134"/>
          </rPr>
          <t>Administrator:</t>
        </r>
        <r>
          <rPr>
            <sz val="14"/>
            <rFont val="宋体"/>
            <charset val="134"/>
          </rPr>
          <t xml:space="preserve">
1/21 上客供RFID贴纸 9984 pcs
1/19 上客版布标贴纸 9984 pcs</t>
        </r>
      </text>
    </comment>
    <comment ref="Q911" authorId="1">
      <text>
        <r>
          <rPr>
            <b/>
            <sz val="14"/>
            <rFont val="宋体"/>
            <charset val="134"/>
          </rPr>
          <t>Administrator:</t>
        </r>
        <r>
          <rPr>
            <sz val="14"/>
            <rFont val="宋体"/>
            <charset val="134"/>
          </rPr>
          <t xml:space="preserve">
1405645 2/2 1530 pcs
1405668 2/3 6 pcs</t>
        </r>
      </text>
    </comment>
    <comment ref="Q912" authorId="1">
      <text>
        <r>
          <rPr>
            <b/>
            <sz val="14"/>
            <rFont val="宋体"/>
            <charset val="134"/>
          </rPr>
          <t>Administrator:</t>
        </r>
        <r>
          <rPr>
            <sz val="14"/>
            <rFont val="宋体"/>
            <charset val="134"/>
          </rPr>
          <t xml:space="preserve">
1405645 2/2 1918 pcs
1405668 2/3 2 pcs</t>
        </r>
      </text>
    </comment>
    <comment ref="Q913" authorId="1">
      <text>
        <r>
          <rPr>
            <b/>
            <sz val="14"/>
            <rFont val="宋体"/>
            <charset val="134"/>
          </rPr>
          <t>Administrator:</t>
        </r>
        <r>
          <rPr>
            <sz val="14"/>
            <rFont val="宋体"/>
            <charset val="134"/>
          </rPr>
          <t xml:space="preserve">
1405645 2/2 760 pcs
1405668 2/3 8 pcs</t>
        </r>
      </text>
    </comment>
    <comment ref="Q914" authorId="1">
      <text>
        <r>
          <rPr>
            <b/>
            <sz val="14"/>
            <rFont val="宋体"/>
            <charset val="134"/>
          </rPr>
          <t>Administrator:</t>
        </r>
        <r>
          <rPr>
            <sz val="14"/>
            <rFont val="宋体"/>
            <charset val="134"/>
          </rPr>
          <t xml:space="preserve">
1405645 2/2 1914 pcs
1405668 2/3 6 pcs</t>
        </r>
      </text>
    </comment>
    <comment ref="Q915" authorId="1">
      <text>
        <r>
          <rPr>
            <b/>
            <sz val="14"/>
            <rFont val="宋体"/>
            <charset val="134"/>
          </rPr>
          <t>Administrator:</t>
        </r>
        <r>
          <rPr>
            <sz val="14"/>
            <rFont val="宋体"/>
            <charset val="134"/>
          </rPr>
          <t xml:space="preserve">
1405645 2/2 764 pcs
1405668 2/3 4 pcs</t>
        </r>
      </text>
    </comment>
    <comment ref="Q916" authorId="1">
      <text>
        <r>
          <rPr>
            <b/>
            <sz val="14"/>
            <rFont val="宋体"/>
            <charset val="134"/>
          </rPr>
          <t>Administrator:</t>
        </r>
        <r>
          <rPr>
            <sz val="14"/>
            <rFont val="宋体"/>
            <charset val="134"/>
          </rPr>
          <t xml:space="preserve">
1405645 2/2 768 pcs</t>
        </r>
      </text>
    </comment>
    <comment ref="Q917" authorId="1">
      <text>
        <r>
          <rPr>
            <b/>
            <sz val="14"/>
            <rFont val="宋体"/>
            <charset val="134"/>
          </rPr>
          <t>Administrator:</t>
        </r>
        <r>
          <rPr>
            <sz val="14"/>
            <rFont val="宋体"/>
            <charset val="134"/>
          </rPr>
          <t xml:space="preserve">
1405619 2/3 1416 pcs</t>
        </r>
      </text>
    </comment>
    <comment ref="S917" authorId="1">
      <text>
        <r>
          <rPr>
            <b/>
            <sz val="14"/>
            <rFont val="宋体"/>
            <charset val="134"/>
          </rPr>
          <t>Administrator:</t>
        </r>
        <r>
          <rPr>
            <sz val="14"/>
            <rFont val="宋体"/>
            <charset val="134"/>
          </rPr>
          <t xml:space="preserve">
1/12 上Kmart外箱贴纸 126 pcs
1/13 上白色防盗贴纸 1512 pcs</t>
        </r>
      </text>
    </comment>
    <comment ref="Q918" authorId="1">
      <text>
        <r>
          <rPr>
            <b/>
            <sz val="14"/>
            <rFont val="宋体"/>
            <charset val="134"/>
          </rPr>
          <t>Administrator:</t>
        </r>
        <r>
          <rPr>
            <sz val="14"/>
            <rFont val="宋体"/>
            <charset val="134"/>
          </rPr>
          <t xml:space="preserve">
1405619 2/3 84 pcs</t>
        </r>
      </text>
    </comment>
    <comment ref="S918" authorId="1">
      <text>
        <r>
          <rPr>
            <b/>
            <sz val="14"/>
            <rFont val="宋体"/>
            <charset val="134"/>
          </rPr>
          <t>Administrator:</t>
        </r>
        <r>
          <rPr>
            <sz val="14"/>
            <rFont val="宋体"/>
            <charset val="134"/>
          </rPr>
          <t xml:space="preserve">
1/12 上白色防盗贴纸 84 pcs
     欠外箱贴纸</t>
        </r>
      </text>
    </comment>
    <comment ref="Q919" authorId="1">
      <text>
        <r>
          <rPr>
            <b/>
            <sz val="14"/>
            <rFont val="宋体"/>
            <charset val="134"/>
          </rPr>
          <t>Administrator:</t>
        </r>
        <r>
          <rPr>
            <sz val="14"/>
            <rFont val="宋体"/>
            <charset val="134"/>
          </rPr>
          <t xml:space="preserve">
1405619 2/3 72 pcs</t>
        </r>
      </text>
    </comment>
    <comment ref="S919" authorId="1">
      <text>
        <r>
          <rPr>
            <b/>
            <sz val="14"/>
            <rFont val="宋体"/>
            <charset val="134"/>
          </rPr>
          <t>Administrator:</t>
        </r>
        <r>
          <rPr>
            <sz val="14"/>
            <rFont val="宋体"/>
            <charset val="134"/>
          </rPr>
          <t xml:space="preserve">
1/12 上白色防盗贴纸 72 pcs
     欠外箱贴纸</t>
        </r>
      </text>
    </comment>
    <comment ref="Q920" authorId="1">
      <text>
        <r>
          <rPr>
            <b/>
            <sz val="14"/>
            <rFont val="宋体"/>
            <charset val="134"/>
          </rPr>
          <t>Administrator:</t>
        </r>
        <r>
          <rPr>
            <sz val="14"/>
            <rFont val="宋体"/>
            <charset val="134"/>
          </rPr>
          <t xml:space="preserve">
1405619 2/3 1428 pcs</t>
        </r>
      </text>
    </comment>
    <comment ref="S920" authorId="1">
      <text>
        <r>
          <rPr>
            <b/>
            <sz val="14"/>
            <rFont val="宋体"/>
            <charset val="134"/>
          </rPr>
          <t>Administrator:</t>
        </r>
        <r>
          <rPr>
            <sz val="14"/>
            <rFont val="宋体"/>
            <charset val="134"/>
          </rPr>
          <t xml:space="preserve">
1/26 上Kmart外箱贴纸 1428 pcs</t>
        </r>
      </text>
    </comment>
    <comment ref="Q921" authorId="1">
      <text>
        <r>
          <rPr>
            <b/>
            <sz val="14"/>
            <rFont val="宋体"/>
            <charset val="134"/>
          </rPr>
          <t>Administrator:</t>
        </r>
        <r>
          <rPr>
            <sz val="14"/>
            <rFont val="宋体"/>
            <charset val="134"/>
          </rPr>
          <t xml:space="preserve">
4001911 2/4 1044 pcs</t>
        </r>
      </text>
    </comment>
    <comment ref="S921" authorId="1">
      <text>
        <r>
          <rPr>
            <b/>
            <sz val="14"/>
            <rFont val="宋体"/>
            <charset val="134"/>
          </rPr>
          <t>Administrator:</t>
        </r>
        <r>
          <rPr>
            <sz val="14"/>
            <rFont val="宋体"/>
            <charset val="134"/>
          </rPr>
          <t xml:space="preserve">
1/22 上产品贴纸 2088 pcs
     上EAN贴纸 2088 pcs</t>
        </r>
      </text>
    </comment>
    <comment ref="Q922" authorId="1">
      <text>
        <r>
          <rPr>
            <b/>
            <sz val="14"/>
            <rFont val="宋体"/>
            <charset val="134"/>
          </rPr>
          <t>Administrator:</t>
        </r>
        <r>
          <rPr>
            <sz val="14"/>
            <rFont val="宋体"/>
            <charset val="134"/>
          </rPr>
          <t xml:space="preserve">
5000804 2/5 360 pcs</t>
        </r>
      </text>
    </comment>
    <comment ref="S922" authorId="1">
      <text>
        <r>
          <rPr>
            <b/>
            <sz val="14"/>
            <rFont val="宋体"/>
            <charset val="134"/>
          </rPr>
          <t>Administrator:</t>
        </r>
        <r>
          <rPr>
            <sz val="14"/>
            <rFont val="宋体"/>
            <charset val="134"/>
          </rPr>
          <t xml:space="preserve">
1/21 上PDQ进口商含EAN条码 60 pcs
     上进口商贴纸 360 pcs</t>
        </r>
      </text>
    </comment>
    <comment ref="Q923" authorId="1">
      <text>
        <r>
          <rPr>
            <b/>
            <sz val="14"/>
            <rFont val="宋体"/>
            <charset val="134"/>
          </rPr>
          <t>Administrator:</t>
        </r>
        <r>
          <rPr>
            <sz val="14"/>
            <rFont val="宋体"/>
            <charset val="134"/>
          </rPr>
          <t xml:space="preserve">
5000809 2/7 528 pcs</t>
        </r>
      </text>
    </comment>
    <comment ref="S923" authorId="1">
      <text>
        <r>
          <rPr>
            <b/>
            <sz val="14"/>
            <rFont val="宋体"/>
            <charset val="134"/>
          </rPr>
          <t>Administrator:</t>
        </r>
        <r>
          <rPr>
            <sz val="14"/>
            <rFont val="宋体"/>
            <charset val="134"/>
          </rPr>
          <t xml:space="preserve">
1/21 上进口商贴纸 540 pcs
     上价标贴纸 540 pcs
    欠外箱贴纸</t>
        </r>
      </text>
    </comment>
    <comment ref="Q924" authorId="1">
      <text>
        <r>
          <rPr>
            <b/>
            <sz val="14"/>
            <rFont val="宋体"/>
            <charset val="134"/>
          </rPr>
          <t>Administrator:</t>
        </r>
        <r>
          <rPr>
            <sz val="14"/>
            <rFont val="宋体"/>
            <charset val="134"/>
          </rPr>
          <t xml:space="preserve">
1405560 2/7 720 pcs</t>
        </r>
      </text>
    </comment>
    <comment ref="S924" authorId="1">
      <text>
        <r>
          <rPr>
            <b/>
            <sz val="14"/>
            <rFont val="宋体"/>
            <charset val="134"/>
          </rPr>
          <t>Administrator:</t>
        </r>
        <r>
          <rPr>
            <sz val="14"/>
            <rFont val="宋体"/>
            <charset val="134"/>
          </rPr>
          <t xml:space="preserve">
1/26 上客供价格贴纸 756 pcs</t>
        </r>
      </text>
    </comment>
    <comment ref="Q925" authorId="1">
      <text>
        <r>
          <rPr>
            <b/>
            <sz val="14"/>
            <rFont val="宋体"/>
            <charset val="134"/>
          </rPr>
          <t>Administrator:</t>
        </r>
        <r>
          <rPr>
            <sz val="14"/>
            <rFont val="宋体"/>
            <charset val="134"/>
          </rPr>
          <t xml:space="preserve">
1405517 2/25 816 pcs</t>
        </r>
      </text>
    </comment>
    <comment ref="S925" authorId="1">
      <text>
        <r>
          <rPr>
            <b/>
            <sz val="14"/>
            <rFont val="宋体"/>
            <charset val="134"/>
          </rPr>
          <t>Administrator:</t>
        </r>
        <r>
          <rPr>
            <sz val="14"/>
            <rFont val="宋体"/>
            <charset val="134"/>
          </rPr>
          <t xml:space="preserve">
1/26 上客供价格贴纸 857 pcs</t>
        </r>
      </text>
    </comment>
    <comment ref="Q926" authorId="1">
      <text>
        <r>
          <rPr>
            <b/>
            <sz val="14"/>
            <rFont val="宋体"/>
            <charset val="134"/>
          </rPr>
          <t>Administrator:</t>
        </r>
        <r>
          <rPr>
            <sz val="14"/>
            <rFont val="宋体"/>
            <charset val="134"/>
          </rPr>
          <t xml:space="preserve">
1405560 2/7 12 pcs</t>
        </r>
      </text>
    </comment>
    <comment ref="S926" authorId="1">
      <text>
        <r>
          <rPr>
            <b/>
            <sz val="14"/>
            <rFont val="宋体"/>
            <charset val="134"/>
          </rPr>
          <t>Administrator:</t>
        </r>
        <r>
          <rPr>
            <sz val="14"/>
            <rFont val="宋体"/>
            <charset val="134"/>
          </rPr>
          <t xml:space="preserve">
1/26 上UPC贴纸 24 pcs
1/30 上客供亚马逊外箱贴纸 2 pcs</t>
        </r>
      </text>
    </comment>
    <comment ref="Q927" authorId="1">
      <text>
        <r>
          <rPr>
            <b/>
            <sz val="14"/>
            <rFont val="宋体"/>
            <charset val="134"/>
          </rPr>
          <t>Administrator:</t>
        </r>
        <r>
          <rPr>
            <sz val="14"/>
            <rFont val="宋体"/>
            <charset val="134"/>
          </rPr>
          <t xml:space="preserve">
1405560 2/7 12 pcs</t>
        </r>
      </text>
    </comment>
    <comment ref="Q928" authorId="1">
      <text>
        <r>
          <rPr>
            <b/>
            <sz val="14"/>
            <rFont val="宋体"/>
            <charset val="134"/>
          </rPr>
          <t>Administrator:</t>
        </r>
        <r>
          <rPr>
            <sz val="14"/>
            <rFont val="宋体"/>
            <charset val="134"/>
          </rPr>
          <t xml:space="preserve">
5000822 2/24 1536 pcs</t>
        </r>
      </text>
    </comment>
    <comment ref="S928" authorId="1">
      <text>
        <r>
          <rPr>
            <b/>
            <sz val="14"/>
            <rFont val="宋体"/>
            <charset val="134"/>
          </rPr>
          <t>Administrator:</t>
        </r>
        <r>
          <rPr>
            <sz val="14"/>
            <rFont val="宋体"/>
            <charset val="134"/>
          </rPr>
          <t xml:space="preserve">
1/21 上客供FFID贴纸 1536 pcs
1/26 上客版布标贴纸 5760 pcs</t>
        </r>
      </text>
    </comment>
    <comment ref="Q929" authorId="1">
      <text>
        <r>
          <rPr>
            <b/>
            <sz val="14"/>
            <rFont val="宋体"/>
            <charset val="134"/>
          </rPr>
          <t>Administrator:</t>
        </r>
        <r>
          <rPr>
            <sz val="14"/>
            <rFont val="宋体"/>
            <charset val="134"/>
          </rPr>
          <t xml:space="preserve">
5000822 2/24 768 pcs</t>
        </r>
      </text>
    </comment>
    <comment ref="S929" authorId="1">
      <text>
        <r>
          <rPr>
            <b/>
            <sz val="14"/>
            <rFont val="宋体"/>
            <charset val="134"/>
          </rPr>
          <t>Administrator:</t>
        </r>
        <r>
          <rPr>
            <sz val="14"/>
            <rFont val="宋体"/>
            <charset val="134"/>
          </rPr>
          <t xml:space="preserve">
1/26 上客版布标贴纸 5760 pcs
1/30 上客供RFID贴纸 5760 pcs</t>
        </r>
      </text>
    </comment>
    <comment ref="Q930" authorId="1">
      <text>
        <r>
          <rPr>
            <b/>
            <sz val="14"/>
            <rFont val="宋体"/>
            <charset val="134"/>
          </rPr>
          <t>Administrator:</t>
        </r>
        <r>
          <rPr>
            <sz val="14"/>
            <rFont val="宋体"/>
            <charset val="134"/>
          </rPr>
          <t xml:space="preserve">
5000822 2/24 768 pcs</t>
        </r>
      </text>
    </comment>
    <comment ref="Q931" authorId="1">
      <text>
        <r>
          <rPr>
            <b/>
            <sz val="14"/>
            <rFont val="宋体"/>
            <charset val="134"/>
          </rPr>
          <t>Administrator:</t>
        </r>
        <r>
          <rPr>
            <sz val="14"/>
            <rFont val="宋体"/>
            <charset val="134"/>
          </rPr>
          <t xml:space="preserve">
5000822 2/24 768 pcs</t>
        </r>
      </text>
    </comment>
    <comment ref="Q932" authorId="1">
      <text>
        <r>
          <rPr>
            <b/>
            <sz val="14"/>
            <rFont val="宋体"/>
            <charset val="134"/>
          </rPr>
          <t>Administrator:</t>
        </r>
        <r>
          <rPr>
            <sz val="14"/>
            <rFont val="宋体"/>
            <charset val="134"/>
          </rPr>
          <t xml:space="preserve">
5000822 2/24 1152 pcs</t>
        </r>
      </text>
    </comment>
    <comment ref="Q933" authorId="1">
      <text>
        <r>
          <rPr>
            <b/>
            <sz val="14"/>
            <rFont val="宋体"/>
            <charset val="134"/>
          </rPr>
          <t>Administrator:</t>
        </r>
        <r>
          <rPr>
            <sz val="14"/>
            <rFont val="宋体"/>
            <charset val="134"/>
          </rPr>
          <t xml:space="preserve">
5000822 2/24 768 pcs</t>
        </r>
      </text>
    </comment>
    <comment ref="Q934" authorId="1">
      <text>
        <r>
          <rPr>
            <b/>
            <sz val="14"/>
            <rFont val="宋体"/>
            <charset val="134"/>
          </rPr>
          <t>Administrator:</t>
        </r>
        <r>
          <rPr>
            <sz val="14"/>
            <rFont val="宋体"/>
            <charset val="134"/>
          </rPr>
          <t xml:space="preserve">
5000864 3/7 96 pcs</t>
        </r>
      </text>
    </comment>
    <comment ref="S934" authorId="1">
      <text>
        <r>
          <rPr>
            <b/>
            <sz val="14"/>
            <rFont val="宋体"/>
            <charset val="134"/>
          </rPr>
          <t>Administrator:</t>
        </r>
        <r>
          <rPr>
            <sz val="14"/>
            <rFont val="宋体"/>
            <charset val="134"/>
          </rPr>
          <t xml:space="preserve">
1/29 上baby UPC条码/进口商贴纸 288 pcs</t>
        </r>
      </text>
    </comment>
    <comment ref="Q935" authorId="1">
      <text>
        <r>
          <rPr>
            <b/>
            <sz val="14"/>
            <rFont val="宋体"/>
            <charset val="134"/>
          </rPr>
          <t>Administrator:</t>
        </r>
        <r>
          <rPr>
            <sz val="14"/>
            <rFont val="宋体"/>
            <charset val="134"/>
          </rPr>
          <t xml:space="preserve">
5000864 3/7 96 pcs</t>
        </r>
      </text>
    </comment>
    <comment ref="Q936" authorId="1">
      <text>
        <r>
          <rPr>
            <b/>
            <sz val="14"/>
            <rFont val="宋体"/>
            <charset val="134"/>
          </rPr>
          <t>Administrator:</t>
        </r>
        <r>
          <rPr>
            <sz val="14"/>
            <rFont val="宋体"/>
            <charset val="134"/>
          </rPr>
          <t xml:space="preserve">
5000865 3/7 84 pcs
5000875 3/10 12 pcs</t>
        </r>
      </text>
    </comment>
    <comment ref="Q937" authorId="1">
      <text>
        <r>
          <rPr>
            <b/>
            <sz val="14"/>
            <rFont val="宋体"/>
            <charset val="134"/>
          </rPr>
          <t>Administrator:</t>
        </r>
        <r>
          <rPr>
            <sz val="14"/>
            <rFont val="宋体"/>
            <charset val="134"/>
          </rPr>
          <t xml:space="preserve">
5000865 3/7 228 pcs
5000875 3/10 12 pcs</t>
        </r>
      </text>
    </comment>
    <comment ref="S937" authorId="1">
      <text>
        <r>
          <rPr>
            <b/>
            <sz val="14"/>
            <rFont val="宋体"/>
            <charset val="134"/>
          </rPr>
          <t>Administrator:</t>
        </r>
        <r>
          <rPr>
            <sz val="14"/>
            <rFont val="宋体"/>
            <charset val="134"/>
          </rPr>
          <t xml:space="preserve">
2/5 上UPC/进口商贴纸 240 pcs</t>
        </r>
      </text>
    </comment>
    <comment ref="Q938" authorId="1">
      <text>
        <r>
          <rPr>
            <b/>
            <sz val="14"/>
            <rFont val="宋体"/>
            <charset val="134"/>
          </rPr>
          <t>Administrator:</t>
        </r>
        <r>
          <rPr>
            <sz val="14"/>
            <rFont val="宋体"/>
            <charset val="134"/>
          </rPr>
          <t xml:space="preserve">
5000860 3/6 1422 pcs</t>
        </r>
      </text>
    </comment>
    <comment ref="S938" authorId="1">
      <text>
        <r>
          <rPr>
            <b/>
            <sz val="14"/>
            <rFont val="宋体"/>
            <charset val="134"/>
          </rPr>
          <t>Administrator:</t>
        </r>
        <r>
          <rPr>
            <sz val="14"/>
            <rFont val="宋体"/>
            <charset val="134"/>
          </rPr>
          <t xml:space="preserve">
2/5 上WIC贴纸 10020 pcs</t>
        </r>
      </text>
    </comment>
    <comment ref="Q939" authorId="1">
      <text>
        <r>
          <rPr>
            <b/>
            <sz val="14"/>
            <rFont val="宋体"/>
            <charset val="134"/>
          </rPr>
          <t>Administrator:</t>
        </r>
        <r>
          <rPr>
            <sz val="14"/>
            <rFont val="宋体"/>
            <charset val="134"/>
          </rPr>
          <t xml:space="preserve">
5000860 3/6 360 pcs</t>
        </r>
      </text>
    </comment>
    <comment ref="Q940" authorId="1">
      <text>
        <r>
          <rPr>
            <b/>
            <sz val="14"/>
            <rFont val="宋体"/>
            <charset val="134"/>
          </rPr>
          <t>Administrator:</t>
        </r>
        <r>
          <rPr>
            <sz val="14"/>
            <rFont val="宋体"/>
            <charset val="134"/>
          </rPr>
          <t xml:space="preserve">
5000860 3/6 1110 pcs</t>
        </r>
      </text>
    </comment>
    <comment ref="Q941" authorId="1">
      <text>
        <r>
          <rPr>
            <b/>
            <sz val="14"/>
            <rFont val="宋体"/>
            <charset val="134"/>
          </rPr>
          <t>Administrator:</t>
        </r>
        <r>
          <rPr>
            <sz val="14"/>
            <rFont val="宋体"/>
            <charset val="134"/>
          </rPr>
          <t xml:space="preserve">
5000861 3/6 1056 pcs</t>
        </r>
      </text>
    </comment>
    <comment ref="Q942" authorId="1">
      <text>
        <r>
          <rPr>
            <b/>
            <sz val="14"/>
            <rFont val="宋体"/>
            <charset val="134"/>
          </rPr>
          <t>Administrator:</t>
        </r>
        <r>
          <rPr>
            <sz val="14"/>
            <rFont val="宋体"/>
            <charset val="134"/>
          </rPr>
          <t xml:space="preserve">
5000861 3/6 900 pcs</t>
        </r>
      </text>
    </comment>
    <comment ref="Q943" authorId="1">
      <text>
        <r>
          <rPr>
            <b/>
            <sz val="14"/>
            <rFont val="宋体"/>
            <charset val="134"/>
          </rPr>
          <t>Administrator:</t>
        </r>
        <r>
          <rPr>
            <sz val="14"/>
            <rFont val="宋体"/>
            <charset val="134"/>
          </rPr>
          <t xml:space="preserve">
5000861 3/6 1284 pcs</t>
        </r>
      </text>
    </comment>
    <comment ref="Q944" authorId="1">
      <text>
        <r>
          <rPr>
            <b/>
            <sz val="14"/>
            <rFont val="宋体"/>
            <charset val="134"/>
          </rPr>
          <t>Administrator:</t>
        </r>
        <r>
          <rPr>
            <sz val="14"/>
            <rFont val="宋体"/>
            <charset val="134"/>
          </rPr>
          <t xml:space="preserve">
5000861 3/6 1662 pcs</t>
        </r>
      </text>
    </comment>
    <comment ref="Q945" authorId="1">
      <text>
        <r>
          <rPr>
            <b/>
            <sz val="14"/>
            <rFont val="宋体"/>
            <charset val="134"/>
          </rPr>
          <t>Administrator:</t>
        </r>
        <r>
          <rPr>
            <sz val="14"/>
            <rFont val="宋体"/>
            <charset val="134"/>
          </rPr>
          <t xml:space="preserve">
5000861 3/6 1362 pcs</t>
        </r>
      </text>
    </comment>
    <comment ref="Q946" authorId="1">
      <text>
        <r>
          <rPr>
            <b/>
            <sz val="14"/>
            <rFont val="宋体"/>
            <charset val="134"/>
          </rPr>
          <t>Administrator:</t>
        </r>
        <r>
          <rPr>
            <sz val="14"/>
            <rFont val="宋体"/>
            <charset val="134"/>
          </rPr>
          <t xml:space="preserve">
5000861 3/6 864 pcs</t>
        </r>
      </text>
    </comment>
    <comment ref="Q947" authorId="1">
      <text>
        <r>
          <rPr>
            <b/>
            <sz val="14"/>
            <rFont val="宋体"/>
            <charset val="134"/>
          </rPr>
          <t>Administrator:</t>
        </r>
        <r>
          <rPr>
            <sz val="14"/>
            <rFont val="宋体"/>
            <charset val="134"/>
          </rPr>
          <t xml:space="preserve">
5000876 3/10 3000 pcs</t>
        </r>
      </text>
    </comment>
    <comment ref="S947" authorId="1">
      <text>
        <r>
          <rPr>
            <b/>
            <sz val="14"/>
            <rFont val="宋体"/>
            <charset val="134"/>
          </rPr>
          <t>Administrator:</t>
        </r>
        <r>
          <rPr>
            <sz val="14"/>
            <rFont val="宋体"/>
            <charset val="134"/>
          </rPr>
          <t xml:space="preserve">
3/4 上进口商/UPC贴纸 3000 pcs</t>
        </r>
      </text>
    </comment>
    <comment ref="Q948" authorId="1">
      <text>
        <r>
          <rPr>
            <b/>
            <sz val="14"/>
            <rFont val="宋体"/>
            <charset val="134"/>
          </rPr>
          <t>Administrator:</t>
        </r>
        <r>
          <rPr>
            <sz val="14"/>
            <rFont val="宋体"/>
            <charset val="134"/>
          </rPr>
          <t xml:space="preserve">
5000878 3/10 768 pcs</t>
        </r>
      </text>
    </comment>
    <comment ref="S948" authorId="1">
      <text>
        <r>
          <rPr>
            <b/>
            <sz val="14"/>
            <rFont val="宋体"/>
            <charset val="134"/>
          </rPr>
          <t>Administrator:</t>
        </r>
        <r>
          <rPr>
            <sz val="14"/>
            <rFont val="宋体"/>
            <charset val="134"/>
          </rPr>
          <t xml:space="preserve">
2/9 上客版布标贴纸 7680 pcs
2/26 上RFID贴纸 3840 pcs
3/2  上RFID贴纸 3840 pcs</t>
        </r>
      </text>
    </comment>
    <comment ref="Q949" authorId="1">
      <text>
        <r>
          <rPr>
            <b/>
            <sz val="14"/>
            <rFont val="宋体"/>
            <charset val="134"/>
          </rPr>
          <t>Administrator:</t>
        </r>
        <r>
          <rPr>
            <sz val="14"/>
            <rFont val="宋体"/>
            <charset val="134"/>
          </rPr>
          <t xml:space="preserve">
5000878 3/10 1920 pcs</t>
        </r>
      </text>
    </comment>
    <comment ref="Q950" authorId="1">
      <text>
        <r>
          <rPr>
            <b/>
            <sz val="14"/>
            <rFont val="宋体"/>
            <charset val="134"/>
          </rPr>
          <t>Administrator:</t>
        </r>
        <r>
          <rPr>
            <sz val="14"/>
            <rFont val="宋体"/>
            <charset val="134"/>
          </rPr>
          <t xml:space="preserve">
5000878 3/10 768 pcs</t>
        </r>
      </text>
    </comment>
    <comment ref="Q951" authorId="1">
      <text>
        <r>
          <rPr>
            <b/>
            <sz val="14"/>
            <rFont val="宋体"/>
            <charset val="134"/>
          </rPr>
          <t>Administrator:</t>
        </r>
        <r>
          <rPr>
            <sz val="14"/>
            <rFont val="宋体"/>
            <charset val="134"/>
          </rPr>
          <t xml:space="preserve">
5000876 3/10 678 pcs</t>
        </r>
      </text>
    </comment>
    <comment ref="Q952" authorId="1">
      <text>
        <r>
          <rPr>
            <b/>
            <sz val="14"/>
            <rFont val="宋体"/>
            <charset val="134"/>
          </rPr>
          <t>Administrator:</t>
        </r>
        <r>
          <rPr>
            <sz val="14"/>
            <rFont val="宋体"/>
            <charset val="134"/>
          </rPr>
          <t xml:space="preserve">
5000878 3/10 1536 pcs</t>
        </r>
      </text>
    </comment>
    <comment ref="Q953" authorId="1">
      <text>
        <r>
          <rPr>
            <b/>
            <sz val="14"/>
            <rFont val="宋体"/>
            <charset val="134"/>
          </rPr>
          <t>Administrator:</t>
        </r>
        <r>
          <rPr>
            <sz val="14"/>
            <rFont val="宋体"/>
            <charset val="134"/>
          </rPr>
          <t xml:space="preserve">
5000878 3/10 768 pcs</t>
        </r>
      </text>
    </comment>
    <comment ref="Q954" authorId="1">
      <text>
        <r>
          <rPr>
            <b/>
            <sz val="14"/>
            <rFont val="宋体"/>
            <charset val="134"/>
          </rPr>
          <t>Administrator:</t>
        </r>
        <r>
          <rPr>
            <sz val="14"/>
            <rFont val="宋体"/>
            <charset val="134"/>
          </rPr>
          <t xml:space="preserve">
5000878 3/10 1152 pcs</t>
        </r>
      </text>
    </comment>
    <comment ref="Q955" authorId="1">
      <text>
        <r>
          <rPr>
            <b/>
            <sz val="14"/>
            <rFont val="宋体"/>
            <charset val="134"/>
          </rPr>
          <t>Administrator:</t>
        </r>
        <r>
          <rPr>
            <sz val="14"/>
            <rFont val="宋体"/>
            <charset val="134"/>
          </rPr>
          <t xml:space="preserve">
5000932 3/18 120 pcs</t>
        </r>
      </text>
    </comment>
    <comment ref="S955" authorId="1">
      <text>
        <r>
          <rPr>
            <b/>
            <sz val="14"/>
            <rFont val="宋体"/>
            <charset val="134"/>
          </rPr>
          <t>Administrator:</t>
        </r>
        <r>
          <rPr>
            <sz val="14"/>
            <rFont val="宋体"/>
            <charset val="134"/>
          </rPr>
          <t xml:space="preserve">
2/3 上UPC贴纸 120 pcs</t>
        </r>
      </text>
    </comment>
    <comment ref="S956" authorId="1">
      <text>
        <r>
          <rPr>
            <b/>
            <sz val="14"/>
            <rFont val="宋体"/>
            <charset val="134"/>
          </rPr>
          <t>Administrator:</t>
        </r>
        <r>
          <rPr>
            <sz val="14"/>
            <rFont val="宋体"/>
            <charset val="134"/>
          </rPr>
          <t xml:space="preserve">
3/6  上UPC贴纸 12 pcs
3/18 上外箱贴纸 1、pcs</t>
        </r>
      </text>
    </comment>
    <comment ref="Q957" authorId="1">
      <text>
        <r>
          <rPr>
            <b/>
            <sz val="14"/>
            <rFont val="宋体"/>
            <charset val="134"/>
          </rPr>
          <t>Administrator:</t>
        </r>
        <r>
          <rPr>
            <sz val="14"/>
            <rFont val="宋体"/>
            <charset val="134"/>
          </rPr>
          <t xml:space="preserve">
5000942 3/25 3600 pcs</t>
        </r>
      </text>
    </comment>
    <comment ref="S957" authorId="1">
      <text>
        <r>
          <rPr>
            <b/>
            <sz val="14"/>
            <rFont val="宋体"/>
            <charset val="134"/>
          </rPr>
          <t>Administrator:</t>
        </r>
        <r>
          <rPr>
            <sz val="14"/>
            <rFont val="宋体"/>
            <charset val="134"/>
          </rPr>
          <t xml:space="preserve">
3/12 上价格贴纸 3600 pcs</t>
        </r>
      </text>
    </comment>
    <comment ref="Q958" authorId="1">
      <text>
        <r>
          <rPr>
            <b/>
            <sz val="14"/>
            <rFont val="宋体"/>
            <charset val="134"/>
          </rPr>
          <t>Administrator:</t>
        </r>
        <r>
          <rPr>
            <sz val="14"/>
            <rFont val="宋体"/>
            <charset val="134"/>
          </rPr>
          <t xml:space="preserve">
5000949 3/25 720 pcs</t>
        </r>
      </text>
    </comment>
    <comment ref="S958" authorId="1">
      <text>
        <r>
          <rPr>
            <b/>
            <sz val="14"/>
            <rFont val="宋体"/>
            <charset val="134"/>
          </rPr>
          <t>Administrator:</t>
        </r>
        <r>
          <rPr>
            <sz val="14"/>
            <rFont val="宋体"/>
            <charset val="134"/>
          </rPr>
          <t xml:space="preserve">
1/26 上客供价格贴纸 756 pcs</t>
        </r>
      </text>
    </comment>
    <comment ref="Q959" authorId="1">
      <text>
        <r>
          <rPr>
            <b/>
            <sz val="14"/>
            <rFont val="宋体"/>
            <charset val="134"/>
          </rPr>
          <t>Administrator:</t>
        </r>
        <r>
          <rPr>
            <sz val="14"/>
            <rFont val="宋体"/>
            <charset val="134"/>
          </rPr>
          <t xml:space="preserve">
1602038 3/28 720 pcs</t>
        </r>
      </text>
    </comment>
    <comment ref="S959" authorId="1">
      <text>
        <r>
          <rPr>
            <b/>
            <sz val="14"/>
            <rFont val="宋体"/>
            <charset val="134"/>
          </rPr>
          <t>Administrator:</t>
        </r>
        <r>
          <rPr>
            <sz val="14"/>
            <rFont val="宋体"/>
            <charset val="134"/>
          </rPr>
          <t xml:space="preserve">
3/16 上进口商贴纸 720 pcs</t>
        </r>
      </text>
    </comment>
    <comment ref="Q960" authorId="1">
      <text>
        <r>
          <rPr>
            <b/>
            <sz val="14"/>
            <rFont val="宋体"/>
            <charset val="134"/>
          </rPr>
          <t>Administrator:</t>
        </r>
        <r>
          <rPr>
            <sz val="14"/>
            <rFont val="宋体"/>
            <charset val="134"/>
          </rPr>
          <t xml:space="preserve">
1602085 4/6 6 pcs
1602066 4/4 1794 pcs</t>
        </r>
      </text>
    </comment>
    <comment ref="S960" authorId="1">
      <text>
        <r>
          <rPr>
            <b/>
            <sz val="14"/>
            <rFont val="宋体"/>
            <charset val="134"/>
          </rPr>
          <t>Administrator:</t>
        </r>
        <r>
          <rPr>
            <sz val="14"/>
            <rFont val="宋体"/>
            <charset val="134"/>
          </rPr>
          <t xml:space="preserve">
3/16 上客供价格贴纸 1890 pcs</t>
        </r>
      </text>
    </comment>
    <comment ref="Q961" authorId="1">
      <text>
        <r>
          <rPr>
            <b/>
            <sz val="14"/>
            <rFont val="宋体"/>
            <charset val="134"/>
          </rPr>
          <t>Administrator:</t>
        </r>
        <r>
          <rPr>
            <sz val="14"/>
            <rFont val="宋体"/>
            <charset val="134"/>
          </rPr>
          <t xml:space="preserve">
1602085 4/6 6 pcs
1602066 4/4 1794 pcs</t>
        </r>
      </text>
    </comment>
    <comment ref="S961" authorId="1">
      <text>
        <r>
          <rPr>
            <b/>
            <sz val="14"/>
            <rFont val="宋体"/>
            <charset val="134"/>
          </rPr>
          <t>Administrator:</t>
        </r>
        <r>
          <rPr>
            <sz val="14"/>
            <rFont val="宋体"/>
            <charset val="134"/>
          </rPr>
          <t xml:space="preserve">
3/16 上客供价格贴纸 1890 pcs</t>
        </r>
      </text>
    </comment>
    <comment ref="Q962" authorId="1">
      <text>
        <r>
          <rPr>
            <b/>
            <sz val="14"/>
            <rFont val="宋体"/>
            <charset val="134"/>
          </rPr>
          <t>Administrator:</t>
        </r>
        <r>
          <rPr>
            <sz val="14"/>
            <rFont val="宋体"/>
            <charset val="134"/>
          </rPr>
          <t xml:space="preserve">
1602085 4/6 12 pcs
1602066 4/4 168 pcs</t>
        </r>
      </text>
    </comment>
    <comment ref="S962" authorId="1">
      <text>
        <r>
          <rPr>
            <b/>
            <sz val="14"/>
            <rFont val="宋体"/>
            <charset val="134"/>
          </rPr>
          <t>Administrator:</t>
        </r>
        <r>
          <rPr>
            <sz val="14"/>
            <rFont val="宋体"/>
            <charset val="134"/>
          </rPr>
          <t xml:space="preserve">
3/20 上UPC贴纸 180 pcs</t>
        </r>
      </text>
    </comment>
    <comment ref="Q963" authorId="1">
      <text>
        <r>
          <rPr>
            <b/>
            <sz val="14"/>
            <rFont val="宋体"/>
            <charset val="134"/>
          </rPr>
          <t>Administrator:</t>
        </r>
        <r>
          <rPr>
            <sz val="14"/>
            <rFont val="宋体"/>
            <charset val="134"/>
          </rPr>
          <t xml:space="preserve">
1602067 4/4 1488 pcs
1602093 4/8 12 PCS </t>
        </r>
      </text>
    </comment>
    <comment ref="S963" authorId="1">
      <text>
        <r>
          <rPr>
            <b/>
            <sz val="14"/>
            <rFont val="宋体"/>
            <charset val="134"/>
          </rPr>
          <t>Administrator:</t>
        </r>
        <r>
          <rPr>
            <sz val="14"/>
            <rFont val="宋体"/>
            <charset val="134"/>
          </rPr>
          <t xml:space="preserve">
3/16 上白色防盗贴纸 1500 pcs
3/27 上Kmart外箱贴纸 125 pcs</t>
        </r>
      </text>
    </comment>
    <comment ref="Q964" authorId="1">
      <text>
        <r>
          <rPr>
            <b/>
            <sz val="14"/>
            <rFont val="宋体"/>
            <charset val="134"/>
          </rPr>
          <t>Administrator:</t>
        </r>
        <r>
          <rPr>
            <sz val="14"/>
            <rFont val="宋体"/>
            <charset val="134"/>
          </rPr>
          <t xml:space="preserve">
1602067 4/4 24 pcs</t>
        </r>
      </text>
    </comment>
    <comment ref="S964" authorId="1">
      <text>
        <r>
          <rPr>
            <b/>
            <sz val="14"/>
            <rFont val="宋体"/>
            <charset val="134"/>
          </rPr>
          <t>Administrator:</t>
        </r>
        <r>
          <rPr>
            <sz val="14"/>
            <rFont val="宋体"/>
            <charset val="134"/>
          </rPr>
          <t xml:space="preserve">
3/16 上UPC贴纸 60 pcs
     抢外箱贴纸</t>
        </r>
      </text>
    </comment>
    <comment ref="Q965" authorId="1">
      <text>
        <r>
          <rPr>
            <b/>
            <sz val="14"/>
            <rFont val="宋体"/>
            <charset val="134"/>
          </rPr>
          <t>Administrator:</t>
        </r>
        <r>
          <rPr>
            <sz val="14"/>
            <rFont val="宋体"/>
            <charset val="134"/>
          </rPr>
          <t xml:space="preserve">
1602067 4/4 12 pcs</t>
        </r>
      </text>
    </comment>
    <comment ref="Q966" authorId="1">
      <text>
        <r>
          <rPr>
            <b/>
            <sz val="14"/>
            <rFont val="宋体"/>
            <charset val="134"/>
          </rPr>
          <t>Administrator:</t>
        </r>
        <r>
          <rPr>
            <sz val="14"/>
            <rFont val="宋体"/>
            <charset val="134"/>
          </rPr>
          <t xml:space="preserve">
1602067 4/4 12 pcs</t>
        </r>
      </text>
    </comment>
    <comment ref="Q967" authorId="1">
      <text>
        <r>
          <rPr>
            <b/>
            <sz val="14"/>
            <rFont val="宋体"/>
            <charset val="134"/>
          </rPr>
          <t>Administrator:</t>
        </r>
        <r>
          <rPr>
            <sz val="14"/>
            <rFont val="宋体"/>
            <charset val="134"/>
          </rPr>
          <t xml:space="preserve">
1602067 4/4 12 pcs</t>
        </r>
      </text>
    </comment>
    <comment ref="Q968" authorId="1">
      <text>
        <r>
          <rPr>
            <b/>
            <sz val="14"/>
            <rFont val="宋体"/>
            <charset val="134"/>
          </rPr>
          <t>Administrator:</t>
        </r>
        <r>
          <rPr>
            <sz val="14"/>
            <rFont val="宋体"/>
            <charset val="134"/>
          </rPr>
          <t xml:space="preserve">
1602081 4/4 12 pcs</t>
        </r>
      </text>
    </comment>
    <comment ref="S968" authorId="1">
      <text>
        <r>
          <rPr>
            <b/>
            <sz val="14"/>
            <rFont val="宋体"/>
            <charset val="134"/>
          </rPr>
          <t>Administrator:</t>
        </r>
        <r>
          <rPr>
            <sz val="14"/>
            <rFont val="宋体"/>
            <charset val="134"/>
          </rPr>
          <t xml:space="preserve">
3/16 上UPC贴纸 120 pcs
3/18 上外箱贴纸 15 PCS</t>
        </r>
      </text>
    </comment>
    <comment ref="Q969" authorId="1">
      <text>
        <r>
          <rPr>
            <b/>
            <sz val="14"/>
            <rFont val="宋体"/>
            <charset val="134"/>
          </rPr>
          <t>Administrator:</t>
        </r>
        <r>
          <rPr>
            <sz val="14"/>
            <rFont val="宋体"/>
            <charset val="134"/>
          </rPr>
          <t xml:space="preserve">
1602081 4/4 12 pcs</t>
        </r>
      </text>
    </comment>
    <comment ref="Q970" authorId="1">
      <text>
        <r>
          <rPr>
            <b/>
            <sz val="14"/>
            <rFont val="宋体"/>
            <charset val="134"/>
          </rPr>
          <t>Administrator:</t>
        </r>
        <r>
          <rPr>
            <sz val="14"/>
            <rFont val="宋体"/>
            <charset val="134"/>
          </rPr>
          <t xml:space="preserve">
1602081 4/4 48 pcs</t>
        </r>
      </text>
    </comment>
    <comment ref="Q971" authorId="1">
      <text>
        <r>
          <rPr>
            <b/>
            <sz val="14"/>
            <rFont val="宋体"/>
            <charset val="134"/>
          </rPr>
          <t>Administrator:</t>
        </r>
        <r>
          <rPr>
            <sz val="14"/>
            <rFont val="宋体"/>
            <charset val="134"/>
          </rPr>
          <t xml:space="preserve">
1602081 4/4 12 pcs</t>
        </r>
      </text>
    </comment>
    <comment ref="Q972" authorId="1">
      <text>
        <r>
          <rPr>
            <b/>
            <sz val="14"/>
            <rFont val="宋体"/>
            <charset val="134"/>
          </rPr>
          <t>Administrator:</t>
        </r>
        <r>
          <rPr>
            <sz val="14"/>
            <rFont val="宋体"/>
            <charset val="134"/>
          </rPr>
          <t xml:space="preserve">
1602081 4/4 12 pcs</t>
        </r>
      </text>
    </comment>
    <comment ref="Q973" authorId="1">
      <text>
        <r>
          <rPr>
            <b/>
            <sz val="14"/>
            <rFont val="宋体"/>
            <charset val="134"/>
          </rPr>
          <t>Administrator:</t>
        </r>
        <r>
          <rPr>
            <sz val="14"/>
            <rFont val="宋体"/>
            <charset val="134"/>
          </rPr>
          <t xml:space="preserve">
1602081 4/4 12 pcs</t>
        </r>
      </text>
    </comment>
    <comment ref="Q974" authorId="1">
      <text>
        <r>
          <rPr>
            <b/>
            <sz val="14"/>
            <rFont val="宋体"/>
            <charset val="134"/>
          </rPr>
          <t>Administrator:</t>
        </r>
        <r>
          <rPr>
            <sz val="14"/>
            <rFont val="宋体"/>
            <charset val="134"/>
          </rPr>
          <t xml:space="preserve">
1602081 4/4 12 pcs</t>
        </r>
      </text>
    </comment>
    <comment ref="Q975" authorId="1">
      <text>
        <r>
          <rPr>
            <b/>
            <sz val="14"/>
            <rFont val="宋体"/>
            <charset val="134"/>
          </rPr>
          <t>Administrator:</t>
        </r>
        <r>
          <rPr>
            <sz val="14"/>
            <rFont val="宋体"/>
            <charset val="134"/>
          </rPr>
          <t xml:space="preserve">
1602087 4/7 834 pcs</t>
        </r>
      </text>
    </comment>
    <comment ref="S975" authorId="1">
      <text>
        <r>
          <rPr>
            <b/>
            <sz val="14"/>
            <rFont val="宋体"/>
            <charset val="134"/>
          </rPr>
          <t>Administrator:</t>
        </r>
        <r>
          <rPr>
            <sz val="14"/>
            <rFont val="宋体"/>
            <charset val="134"/>
          </rPr>
          <t xml:space="preserve">
3/18 上WIC贴纸 10050 pcs</t>
        </r>
      </text>
    </comment>
    <comment ref="Q976" authorId="1">
      <text>
        <r>
          <rPr>
            <b/>
            <sz val="14"/>
            <rFont val="宋体"/>
            <charset val="134"/>
          </rPr>
          <t>Administrator:</t>
        </r>
        <r>
          <rPr>
            <sz val="14"/>
            <rFont val="宋体"/>
            <charset val="134"/>
          </rPr>
          <t xml:space="preserve">
1602087 4/7 864 pcs</t>
        </r>
      </text>
    </comment>
    <comment ref="Q977" authorId="1">
      <text>
        <r>
          <rPr>
            <b/>
            <sz val="14"/>
            <rFont val="宋体"/>
            <charset val="134"/>
          </rPr>
          <t>Administrator:</t>
        </r>
        <r>
          <rPr>
            <sz val="14"/>
            <rFont val="宋体"/>
            <charset val="134"/>
          </rPr>
          <t xml:space="preserve">
1602087 4/7 1074 pcs
1602090 4/7 1338 PCS </t>
        </r>
      </text>
    </comment>
    <comment ref="Q978" authorId="1">
      <text>
        <r>
          <rPr>
            <b/>
            <sz val="14"/>
            <rFont val="宋体"/>
            <charset val="134"/>
          </rPr>
          <t>Administrator:</t>
        </r>
        <r>
          <rPr>
            <sz val="14"/>
            <rFont val="宋体"/>
            <charset val="134"/>
          </rPr>
          <t xml:space="preserve">
1602090 4/7 2016 PCS </t>
        </r>
      </text>
    </comment>
    <comment ref="Q979" authorId="1">
      <text>
        <r>
          <rPr>
            <b/>
            <sz val="14"/>
            <rFont val="宋体"/>
            <charset val="134"/>
          </rPr>
          <t>Administrator:</t>
        </r>
        <r>
          <rPr>
            <sz val="14"/>
            <rFont val="宋体"/>
            <charset val="134"/>
          </rPr>
          <t xml:space="preserve">
1602090 4/7 444 PCS </t>
        </r>
      </text>
    </comment>
    <comment ref="Q980" authorId="1">
      <text>
        <r>
          <rPr>
            <b/>
            <sz val="14"/>
            <rFont val="宋体"/>
            <charset val="134"/>
          </rPr>
          <t>Administrator:</t>
        </r>
        <r>
          <rPr>
            <sz val="14"/>
            <rFont val="宋体"/>
            <charset val="134"/>
          </rPr>
          <t xml:space="preserve">
1602090 4/7 1440 PCS </t>
        </r>
      </text>
    </comment>
    <comment ref="Q981" authorId="1">
      <text>
        <r>
          <rPr>
            <b/>
            <sz val="14"/>
            <rFont val="宋体"/>
            <charset val="134"/>
          </rPr>
          <t>Administrator:</t>
        </r>
        <r>
          <rPr>
            <sz val="14"/>
            <rFont val="宋体"/>
            <charset val="134"/>
          </rPr>
          <t xml:space="preserve">
1602090 4/7 1962 PCS 
1602093 4/8 78 PCS </t>
        </r>
      </text>
    </comment>
    <comment ref="Q982" authorId="1">
      <text>
        <r>
          <rPr>
            <b/>
            <sz val="14"/>
            <rFont val="宋体"/>
            <charset val="134"/>
          </rPr>
          <t>Administrator:</t>
        </r>
        <r>
          <rPr>
            <sz val="14"/>
            <rFont val="宋体"/>
            <charset val="134"/>
          </rPr>
          <t xml:space="preserve">
1602194 4/18 2400 pcs</t>
        </r>
      </text>
    </comment>
    <comment ref="S982" authorId="1">
      <text>
        <r>
          <rPr>
            <b/>
            <sz val="14"/>
            <rFont val="宋体"/>
            <charset val="134"/>
          </rPr>
          <t>Administrator:</t>
        </r>
        <r>
          <rPr>
            <sz val="14"/>
            <rFont val="宋体"/>
            <charset val="134"/>
          </rPr>
          <t xml:space="preserve">
3/19 上客供价格贴纸 2640 pcs</t>
        </r>
      </text>
    </comment>
    <comment ref="Q983" authorId="1">
      <text>
        <r>
          <rPr>
            <b/>
            <sz val="14"/>
            <rFont val="宋体"/>
            <charset val="134"/>
          </rPr>
          <t>Administrator:</t>
        </r>
        <r>
          <rPr>
            <sz val="14"/>
            <rFont val="宋体"/>
            <charset val="134"/>
          </rPr>
          <t xml:space="preserve">
1602194 4/18 480 pcs</t>
        </r>
      </text>
    </comment>
    <comment ref="S983" authorId="1">
      <text>
        <r>
          <rPr>
            <b/>
            <sz val="14"/>
            <rFont val="宋体"/>
            <charset val="134"/>
          </rPr>
          <t>Administrator:</t>
        </r>
        <r>
          <rPr>
            <sz val="14"/>
            <rFont val="宋体"/>
            <charset val="134"/>
          </rPr>
          <t xml:space="preserve">
4/2 上客供价格贴纸 528 pcs</t>
        </r>
      </text>
    </comment>
    <comment ref="Q984" authorId="1">
      <text>
        <r>
          <rPr>
            <b/>
            <sz val="14"/>
            <rFont val="宋体"/>
            <charset val="134"/>
          </rPr>
          <t>Administrator:</t>
        </r>
        <r>
          <rPr>
            <sz val="14"/>
            <rFont val="宋体"/>
            <charset val="134"/>
          </rPr>
          <t xml:space="preserve">
1602194 4/18 408 pcs</t>
        </r>
      </text>
    </comment>
    <comment ref="S984" authorId="1">
      <text>
        <r>
          <rPr>
            <b/>
            <sz val="14"/>
            <rFont val="宋体"/>
            <charset val="134"/>
          </rPr>
          <t>Administrator:</t>
        </r>
        <r>
          <rPr>
            <sz val="14"/>
            <rFont val="宋体"/>
            <charset val="134"/>
          </rPr>
          <t xml:space="preserve">
4/2 上客供价格贴纸 449 pcs</t>
        </r>
      </text>
    </comment>
    <comment ref="Q985" authorId="1">
      <text>
        <r>
          <rPr>
            <b/>
            <sz val="14"/>
            <rFont val="宋体"/>
            <charset val="134"/>
          </rPr>
          <t>Administrator:</t>
        </r>
        <r>
          <rPr>
            <sz val="14"/>
            <rFont val="宋体"/>
            <charset val="134"/>
          </rPr>
          <t xml:space="preserve">
1602194 4/18 360 pcs</t>
        </r>
      </text>
    </comment>
    <comment ref="S985" authorId="1">
      <text>
        <r>
          <rPr>
            <b/>
            <sz val="14"/>
            <rFont val="宋体"/>
            <charset val="134"/>
          </rPr>
          <t>Administrator:</t>
        </r>
        <r>
          <rPr>
            <sz val="14"/>
            <rFont val="宋体"/>
            <charset val="134"/>
          </rPr>
          <t xml:space="preserve">
4/2 上客供价格贴纸 396 pcs</t>
        </r>
      </text>
    </comment>
    <comment ref="Q986" authorId="1">
      <text>
        <r>
          <rPr>
            <b/>
            <sz val="14"/>
            <rFont val="宋体"/>
            <charset val="134"/>
          </rPr>
          <t>Administrator:</t>
        </r>
        <r>
          <rPr>
            <sz val="14"/>
            <rFont val="宋体"/>
            <charset val="134"/>
          </rPr>
          <t xml:space="preserve">
1602194 4/18 360 pcs</t>
        </r>
      </text>
    </comment>
    <comment ref="S986" authorId="1">
      <text>
        <r>
          <rPr>
            <b/>
            <sz val="14"/>
            <rFont val="宋体"/>
            <charset val="134"/>
          </rPr>
          <t>Administrator:</t>
        </r>
        <r>
          <rPr>
            <sz val="14"/>
            <rFont val="宋体"/>
            <charset val="134"/>
          </rPr>
          <t xml:space="preserve">
4/2 上客供价格贴纸 396 pcs</t>
        </r>
      </text>
    </comment>
    <comment ref="Q987" authorId="1">
      <text>
        <r>
          <rPr>
            <b/>
            <sz val="14"/>
            <rFont val="宋体"/>
            <charset val="134"/>
          </rPr>
          <t>Administrator:</t>
        </r>
        <r>
          <rPr>
            <sz val="14"/>
            <rFont val="宋体"/>
            <charset val="134"/>
          </rPr>
          <t xml:space="preserve">
1602194 4/18 360 pcs</t>
        </r>
      </text>
    </comment>
    <comment ref="S987" authorId="1">
      <text>
        <r>
          <rPr>
            <b/>
            <sz val="14"/>
            <rFont val="宋体"/>
            <charset val="134"/>
          </rPr>
          <t>Administrator:</t>
        </r>
        <r>
          <rPr>
            <sz val="14"/>
            <rFont val="宋体"/>
            <charset val="134"/>
          </rPr>
          <t xml:space="preserve">
4/2 上客供价格贴纸 396 pcs</t>
        </r>
      </text>
    </comment>
    <comment ref="Q988" authorId="1">
      <text>
        <r>
          <rPr>
            <b/>
            <sz val="14"/>
            <rFont val="宋体"/>
            <charset val="134"/>
          </rPr>
          <t>Administrator:</t>
        </r>
        <r>
          <rPr>
            <sz val="14"/>
            <rFont val="宋体"/>
            <charset val="134"/>
          </rPr>
          <t xml:space="preserve">
1601717 4/21 2202 pcs</t>
        </r>
      </text>
    </comment>
    <comment ref="S988" authorId="1">
      <text>
        <r>
          <rPr>
            <b/>
            <sz val="14"/>
            <rFont val="宋体"/>
            <charset val="134"/>
          </rPr>
          <t>Administrator:</t>
        </r>
        <r>
          <rPr>
            <sz val="14"/>
            <rFont val="宋体"/>
            <charset val="134"/>
          </rPr>
          <t xml:space="preserve">
3/19 上客供价格贴纸 2423 pcs</t>
        </r>
      </text>
    </comment>
    <comment ref="Q989" authorId="1">
      <text>
        <r>
          <rPr>
            <b/>
            <sz val="14"/>
            <rFont val="宋体"/>
            <charset val="134"/>
          </rPr>
          <t>Administrator:</t>
        </r>
        <r>
          <rPr>
            <sz val="14"/>
            <rFont val="宋体"/>
            <charset val="134"/>
          </rPr>
          <t xml:space="preserve">
1601725 4/23 744 pcs</t>
        </r>
      </text>
    </comment>
    <comment ref="S989" authorId="1">
      <text>
        <r>
          <rPr>
            <b/>
            <sz val="14"/>
            <rFont val="宋体"/>
            <charset val="134"/>
          </rPr>
          <t>Administrator:</t>
        </r>
        <r>
          <rPr>
            <sz val="14"/>
            <rFont val="宋体"/>
            <charset val="134"/>
          </rPr>
          <t xml:space="preserve">
4/3  上价格贴纸 788 pcs</t>
        </r>
      </text>
    </comment>
    <comment ref="Q990" authorId="1">
      <text>
        <r>
          <rPr>
            <b/>
            <sz val="14"/>
            <rFont val="宋体"/>
            <charset val="134"/>
          </rPr>
          <t>Administrator:</t>
        </r>
        <r>
          <rPr>
            <sz val="14"/>
            <rFont val="宋体"/>
            <charset val="134"/>
          </rPr>
          <t xml:space="preserve">
1601745 4/23 456 pcs</t>
        </r>
      </text>
    </comment>
    <comment ref="S990" authorId="1">
      <text>
        <r>
          <rPr>
            <b/>
            <sz val="14"/>
            <rFont val="宋体"/>
            <charset val="134"/>
          </rPr>
          <t>Administrator:</t>
        </r>
        <r>
          <rPr>
            <sz val="14"/>
            <rFont val="宋体"/>
            <charset val="134"/>
          </rPr>
          <t xml:space="preserve">
4/3  上价格贴纸 473 pcs</t>
        </r>
      </text>
    </comment>
    <comment ref="Q991" authorId="1">
      <text>
        <r>
          <rPr>
            <b/>
            <sz val="16"/>
            <rFont val="宋体"/>
            <charset val="134"/>
          </rPr>
          <t>Administrator:</t>
        </r>
        <r>
          <rPr>
            <sz val="16"/>
            <rFont val="宋体"/>
            <charset val="134"/>
          </rPr>
          <t xml:space="preserve">
1402878 4/27 504 pcs
</t>
        </r>
      </text>
    </comment>
    <comment ref="Q992" authorId="1">
      <text>
        <r>
          <rPr>
            <b/>
            <sz val="14"/>
            <rFont val="宋体"/>
            <charset val="134"/>
          </rPr>
          <t>Administrator:</t>
        </r>
        <r>
          <rPr>
            <sz val="14"/>
            <rFont val="宋体"/>
            <charset val="134"/>
          </rPr>
          <t xml:space="preserve">
1402892 4/28 12 pcs</t>
        </r>
      </text>
    </comment>
    <comment ref="S992" authorId="1">
      <text>
        <r>
          <rPr>
            <b/>
            <sz val="14"/>
            <rFont val="宋体"/>
            <charset val="134"/>
          </rPr>
          <t>Administrator:</t>
        </r>
        <r>
          <rPr>
            <sz val="14"/>
            <rFont val="宋体"/>
            <charset val="134"/>
          </rPr>
          <t xml:space="preserve">
4/13 上UPC贴纸 36 PCS
4/17 上外箱贴纸 3PCS</t>
        </r>
      </text>
    </comment>
    <comment ref="Q993" authorId="1">
      <text>
        <r>
          <rPr>
            <b/>
            <sz val="14"/>
            <rFont val="宋体"/>
            <charset val="134"/>
          </rPr>
          <t>Administrator:</t>
        </r>
        <r>
          <rPr>
            <sz val="14"/>
            <rFont val="宋体"/>
            <charset val="134"/>
          </rPr>
          <t xml:space="preserve">
1402892 4/28 12 pcs</t>
        </r>
      </text>
    </comment>
    <comment ref="Q994" authorId="1">
      <text>
        <r>
          <rPr>
            <b/>
            <sz val="14"/>
            <rFont val="宋体"/>
            <charset val="134"/>
          </rPr>
          <t>Administrator:</t>
        </r>
        <r>
          <rPr>
            <sz val="14"/>
            <rFont val="宋体"/>
            <charset val="134"/>
          </rPr>
          <t xml:space="preserve">
1402892 4/28 12 pcs</t>
        </r>
      </text>
    </comment>
    <comment ref="Q995" authorId="1">
      <text>
        <r>
          <rPr>
            <b/>
            <sz val="14"/>
            <rFont val="宋体"/>
            <charset val="134"/>
          </rPr>
          <t>Administrator:</t>
        </r>
        <r>
          <rPr>
            <sz val="14"/>
            <rFont val="宋体"/>
            <charset val="134"/>
          </rPr>
          <t xml:space="preserve">
1402892 4/28 12 pcs</t>
        </r>
      </text>
    </comment>
    <comment ref="S995" authorId="1">
      <text>
        <r>
          <rPr>
            <b/>
            <sz val="14"/>
            <rFont val="宋体"/>
            <charset val="134"/>
          </rPr>
          <t>Administrator:</t>
        </r>
        <r>
          <rPr>
            <sz val="14"/>
            <rFont val="宋体"/>
            <charset val="134"/>
          </rPr>
          <t xml:space="preserve">
4/13 上UPC贴纸 12 PCS
4/17 上外箱贴纸 1 pcs</t>
        </r>
      </text>
    </comment>
    <comment ref="Q996" authorId="1">
      <text>
        <r>
          <rPr>
            <b/>
            <sz val="14"/>
            <rFont val="宋体"/>
            <charset val="134"/>
          </rPr>
          <t>Administrator:</t>
        </r>
        <r>
          <rPr>
            <sz val="14"/>
            <rFont val="宋体"/>
            <charset val="134"/>
          </rPr>
          <t xml:space="preserve">
1402892 4/28 12 pcs</t>
        </r>
      </text>
    </comment>
    <comment ref="S996" authorId="1">
      <text>
        <r>
          <rPr>
            <b/>
            <sz val="14"/>
            <rFont val="宋体"/>
            <charset val="134"/>
          </rPr>
          <t>Administrator:</t>
        </r>
        <r>
          <rPr>
            <sz val="14"/>
            <rFont val="宋体"/>
            <charset val="134"/>
          </rPr>
          <t xml:space="preserve">
4/13 上UPC贴纸 36 PCS
4/17 上外箱贴纸 3PCS</t>
        </r>
      </text>
    </comment>
    <comment ref="Q997" authorId="1">
      <text>
        <r>
          <rPr>
            <b/>
            <sz val="14"/>
            <rFont val="宋体"/>
            <charset val="134"/>
          </rPr>
          <t>Administrator:</t>
        </r>
        <r>
          <rPr>
            <sz val="14"/>
            <rFont val="宋体"/>
            <charset val="134"/>
          </rPr>
          <t xml:space="preserve">
1402892 4/28 12 pcs</t>
        </r>
      </text>
    </comment>
    <comment ref="Q998" authorId="1">
      <text>
        <r>
          <rPr>
            <b/>
            <sz val="14"/>
            <rFont val="宋体"/>
            <charset val="134"/>
          </rPr>
          <t>Administrator:</t>
        </r>
        <r>
          <rPr>
            <sz val="14"/>
            <rFont val="宋体"/>
            <charset val="134"/>
          </rPr>
          <t xml:space="preserve">
1402892 4/28 12 pcs</t>
        </r>
      </text>
    </comment>
    <comment ref="Q999" authorId="1">
      <text>
        <r>
          <rPr>
            <b/>
            <sz val="14"/>
            <rFont val="宋体"/>
            <charset val="134"/>
          </rPr>
          <t>Administrator:</t>
        </r>
        <r>
          <rPr>
            <sz val="14"/>
            <rFont val="宋体"/>
            <charset val="134"/>
          </rPr>
          <t xml:space="preserve">
1402892 4/28 12 pcs</t>
        </r>
      </text>
    </comment>
    <comment ref="S999" authorId="1">
      <text>
        <r>
          <rPr>
            <b/>
            <sz val="14"/>
            <rFont val="宋体"/>
            <charset val="134"/>
          </rPr>
          <t>Administrator:</t>
        </r>
        <r>
          <rPr>
            <sz val="14"/>
            <rFont val="宋体"/>
            <charset val="134"/>
          </rPr>
          <t xml:space="preserve">
4/13 上UPC贴纸 12 PCS
4/17 上外箱贴纸 1 pcs</t>
        </r>
      </text>
    </comment>
    <comment ref="Q1000" authorId="1">
      <text>
        <r>
          <rPr>
            <b/>
            <sz val="14"/>
            <rFont val="宋体"/>
            <charset val="134"/>
          </rPr>
          <t>Administrator:</t>
        </r>
        <r>
          <rPr>
            <sz val="14"/>
            <rFont val="宋体"/>
            <charset val="134"/>
          </rPr>
          <t xml:space="preserve">
1402914/1402913 4/29 414 pcs</t>
        </r>
      </text>
    </comment>
    <comment ref="S1000" authorId="1">
      <text>
        <r>
          <rPr>
            <b/>
            <sz val="16"/>
            <rFont val="宋体"/>
            <charset val="134"/>
          </rPr>
          <t>Administrator:</t>
        </r>
        <r>
          <rPr>
            <sz val="16"/>
            <rFont val="宋体"/>
            <charset val="134"/>
          </rPr>
          <t xml:space="preserve">
4/20 上WIC贴纸 3204 pcs</t>
        </r>
      </text>
    </comment>
    <comment ref="Q1001" authorId="1">
      <text>
        <r>
          <rPr>
            <b/>
            <sz val="14"/>
            <rFont val="宋体"/>
            <charset val="134"/>
          </rPr>
          <t>Administrator:</t>
        </r>
        <r>
          <rPr>
            <sz val="14"/>
            <rFont val="宋体"/>
            <charset val="134"/>
          </rPr>
          <t xml:space="preserve">
1402914/1402913 4/29 270 pcs</t>
        </r>
      </text>
    </comment>
    <comment ref="Q1002" authorId="1">
      <text>
        <r>
          <rPr>
            <b/>
            <sz val="14"/>
            <rFont val="宋体"/>
            <charset val="134"/>
          </rPr>
          <t>Administrator:</t>
        </r>
        <r>
          <rPr>
            <sz val="14"/>
            <rFont val="宋体"/>
            <charset val="134"/>
          </rPr>
          <t xml:space="preserve">
1402914/1402913 4/29 402 pcs</t>
        </r>
      </text>
    </comment>
    <comment ref="Q1003" authorId="1">
      <text>
        <r>
          <rPr>
            <b/>
            <sz val="14"/>
            <rFont val="宋体"/>
            <charset val="134"/>
          </rPr>
          <t>Administrator:</t>
        </r>
        <r>
          <rPr>
            <sz val="14"/>
            <rFont val="宋体"/>
            <charset val="134"/>
          </rPr>
          <t xml:space="preserve">
1402914/1402913 4/29 96 pcs</t>
        </r>
      </text>
    </comment>
    <comment ref="Q1004" authorId="1">
      <text>
        <r>
          <rPr>
            <b/>
            <sz val="14"/>
            <rFont val="宋体"/>
            <charset val="134"/>
          </rPr>
          <t>Administrator:</t>
        </r>
        <r>
          <rPr>
            <sz val="14"/>
            <rFont val="宋体"/>
            <charset val="134"/>
          </rPr>
          <t xml:space="preserve">
1402914/1402913 4/29 108 pcs</t>
        </r>
      </text>
    </comment>
    <comment ref="Q1005" authorId="1">
      <text>
        <r>
          <rPr>
            <b/>
            <sz val="14"/>
            <rFont val="宋体"/>
            <charset val="134"/>
          </rPr>
          <t>Administrator:</t>
        </r>
        <r>
          <rPr>
            <sz val="14"/>
            <rFont val="宋体"/>
            <charset val="134"/>
          </rPr>
          <t xml:space="preserve">
1402914/1402913 4/29 336 pcs</t>
        </r>
      </text>
    </comment>
    <comment ref="Q1006" authorId="1">
      <text>
        <r>
          <rPr>
            <b/>
            <sz val="14"/>
            <rFont val="宋体"/>
            <charset val="134"/>
          </rPr>
          <t>Administrator:</t>
        </r>
        <r>
          <rPr>
            <sz val="14"/>
            <rFont val="宋体"/>
            <charset val="134"/>
          </rPr>
          <t xml:space="preserve">
1402914/1402913 4/29 288 pcs</t>
        </r>
      </text>
    </comment>
    <comment ref="Q1007" authorId="1">
      <text>
        <r>
          <rPr>
            <b/>
            <sz val="14"/>
            <rFont val="宋体"/>
            <charset val="134"/>
          </rPr>
          <t>Administrator:</t>
        </r>
        <r>
          <rPr>
            <sz val="14"/>
            <rFont val="宋体"/>
            <charset val="134"/>
          </rPr>
          <t xml:space="preserve">
1402914/1402913 4/29 534 pcs</t>
        </r>
      </text>
    </comment>
    <comment ref="Q1008" authorId="1">
      <text>
        <r>
          <rPr>
            <b/>
            <sz val="14"/>
            <rFont val="宋体"/>
            <charset val="134"/>
          </rPr>
          <t>Administrator:</t>
        </r>
        <r>
          <rPr>
            <sz val="14"/>
            <rFont val="宋体"/>
            <charset val="134"/>
          </rPr>
          <t xml:space="preserve">
1402914/1402913 4/29 360 pcs</t>
        </r>
      </text>
    </comment>
    <comment ref="Q1009" authorId="1">
      <text>
        <r>
          <rPr>
            <b/>
            <sz val="14"/>
            <rFont val="宋体"/>
            <charset val="134"/>
          </rPr>
          <t>Administrator:</t>
        </r>
        <r>
          <rPr>
            <sz val="14"/>
            <rFont val="宋体"/>
            <charset val="134"/>
          </rPr>
          <t xml:space="preserve">
1406212 4/26 1500 pcs</t>
        </r>
      </text>
    </comment>
    <comment ref="S1009" authorId="1">
      <text>
        <r>
          <rPr>
            <b/>
            <sz val="14"/>
            <rFont val="宋体"/>
            <charset val="134"/>
          </rPr>
          <t>Administrator:</t>
        </r>
        <r>
          <rPr>
            <sz val="14"/>
            <rFont val="宋体"/>
            <charset val="134"/>
          </rPr>
          <t xml:space="preserve">
4/1  上4国语警语贴纸 1500 pcs</t>
        </r>
      </text>
    </comment>
    <comment ref="Q1010" authorId="1">
      <text>
        <r>
          <rPr>
            <b/>
            <sz val="14"/>
            <rFont val="宋体"/>
            <charset val="134"/>
          </rPr>
          <t>Administrator:</t>
        </r>
        <r>
          <rPr>
            <sz val="14"/>
            <rFont val="宋体"/>
            <charset val="134"/>
          </rPr>
          <t xml:space="preserve">
1402991 5/11 324 PCS </t>
        </r>
      </text>
    </comment>
    <comment ref="S1010" authorId="1">
      <text>
        <r>
          <rPr>
            <b/>
            <sz val="14"/>
            <rFont val="宋体"/>
            <charset val="134"/>
          </rPr>
          <t>Administrator:</t>
        </r>
        <r>
          <rPr>
            <sz val="14"/>
            <rFont val="宋体"/>
            <charset val="134"/>
          </rPr>
          <t xml:space="preserve">
4/3  上进口商贴纸 324 pcs
     上QR贴纸 324 pcs
     上EAN 贴纸 324 pcs
     上外箱贴纸 324 pcs</t>
        </r>
      </text>
    </comment>
    <comment ref="Q1011" authorId="1">
      <text>
        <r>
          <rPr>
            <b/>
            <sz val="14"/>
            <rFont val="宋体"/>
            <charset val="134"/>
          </rPr>
          <t>Administrator:</t>
        </r>
        <r>
          <rPr>
            <sz val="14"/>
            <rFont val="宋体"/>
            <charset val="134"/>
          </rPr>
          <t xml:space="preserve">
1402991 5/11 732 PCS </t>
        </r>
      </text>
    </comment>
    <comment ref="S1011" authorId="1">
      <text>
        <r>
          <rPr>
            <b/>
            <sz val="14"/>
            <rFont val="宋体"/>
            <charset val="134"/>
          </rPr>
          <t>Administrator:</t>
        </r>
        <r>
          <rPr>
            <sz val="14"/>
            <rFont val="宋体"/>
            <charset val="134"/>
          </rPr>
          <t xml:space="preserve">
4/3  上进口商贴纸 732 pcs
     上QR贴纸 732 pcs
     上EAN 贴纸 732 pcs
     上外箱贴纸 732 pcs</t>
        </r>
      </text>
    </comment>
    <comment ref="Q1012" authorId="1">
      <text>
        <r>
          <rPr>
            <b/>
            <sz val="14"/>
            <rFont val="宋体"/>
            <charset val="134"/>
          </rPr>
          <t>Administrator:</t>
        </r>
        <r>
          <rPr>
            <sz val="14"/>
            <rFont val="宋体"/>
            <charset val="134"/>
          </rPr>
          <t xml:space="preserve">
1402999 5/12 10000 PCS </t>
        </r>
      </text>
    </comment>
    <comment ref="S1012" authorId="1">
      <text>
        <r>
          <rPr>
            <b/>
            <sz val="14"/>
            <rFont val="宋体"/>
            <charset val="134"/>
          </rPr>
          <t>Administrator:</t>
        </r>
        <r>
          <rPr>
            <sz val="14"/>
            <rFont val="宋体"/>
            <charset val="134"/>
          </rPr>
          <t xml:space="preserve">
4/22 上客户EAN条码贴纸 10000 pcs
     上PDQ数量贴纸 2500 pcs</t>
        </r>
      </text>
    </comment>
    <comment ref="Q1013" authorId="1">
      <text>
        <r>
          <rPr>
            <b/>
            <sz val="14"/>
            <rFont val="宋体"/>
            <charset val="134"/>
          </rPr>
          <t>Administrator:</t>
        </r>
        <r>
          <rPr>
            <sz val="14"/>
            <rFont val="宋体"/>
            <charset val="134"/>
          </rPr>
          <t xml:space="preserve">
1402999 5/12 240 PCS </t>
        </r>
      </text>
    </comment>
    <comment ref="S1013" authorId="1">
      <text>
        <r>
          <rPr>
            <b/>
            <sz val="14"/>
            <rFont val="宋体"/>
            <charset val="134"/>
          </rPr>
          <t>Administrator:</t>
        </r>
        <r>
          <rPr>
            <sz val="14"/>
            <rFont val="宋体"/>
            <charset val="134"/>
          </rPr>
          <t xml:space="preserve">
4/21 上QR贴纸 648 pcs</t>
        </r>
      </text>
    </comment>
    <comment ref="Q1014" authorId="1">
      <text>
        <r>
          <rPr>
            <b/>
            <sz val="14"/>
            <rFont val="宋体"/>
            <charset val="134"/>
          </rPr>
          <t>Administrator:</t>
        </r>
        <r>
          <rPr>
            <sz val="14"/>
            <rFont val="宋体"/>
            <charset val="134"/>
          </rPr>
          <t xml:space="preserve">
1402976 5/8 420 PCS </t>
        </r>
      </text>
    </comment>
    <comment ref="Q1015" authorId="1">
      <text>
        <r>
          <rPr>
            <b/>
            <sz val="14"/>
            <rFont val="宋体"/>
            <charset val="134"/>
          </rPr>
          <t>Administrator:</t>
        </r>
        <r>
          <rPr>
            <sz val="14"/>
            <rFont val="宋体"/>
            <charset val="134"/>
          </rPr>
          <t xml:space="preserve">
1402976 5/8 414 PCS </t>
        </r>
      </text>
    </comment>
    <comment ref="Q1016" authorId="1">
      <text>
        <r>
          <rPr>
            <b/>
            <sz val="14"/>
            <rFont val="宋体"/>
            <charset val="134"/>
          </rPr>
          <t>Administrator:</t>
        </r>
        <r>
          <rPr>
            <sz val="14"/>
            <rFont val="宋体"/>
            <charset val="134"/>
          </rPr>
          <t xml:space="preserve">
1402976 5/8 1992 PCS </t>
        </r>
      </text>
    </comment>
    <comment ref="Q1017" authorId="1">
      <text>
        <r>
          <rPr>
            <b/>
            <sz val="14"/>
            <rFont val="宋体"/>
            <charset val="134"/>
          </rPr>
          <t>Administrator:</t>
        </r>
        <r>
          <rPr>
            <sz val="14"/>
            <rFont val="宋体"/>
            <charset val="134"/>
          </rPr>
          <t xml:space="preserve">
1402976 5/8 534 PCS </t>
        </r>
      </text>
    </comment>
    <comment ref="Q1018" authorId="1">
      <text>
        <r>
          <rPr>
            <b/>
            <sz val="14"/>
            <rFont val="宋体"/>
            <charset val="134"/>
          </rPr>
          <t>Administrator:</t>
        </r>
        <r>
          <rPr>
            <sz val="14"/>
            <rFont val="宋体"/>
            <charset val="134"/>
          </rPr>
          <t xml:space="preserve">
1402976 5/8 96 PCS </t>
        </r>
      </text>
    </comment>
    <comment ref="Q1019" authorId="1">
      <text>
        <r>
          <rPr>
            <b/>
            <sz val="14"/>
            <rFont val="宋体"/>
            <charset val="134"/>
          </rPr>
          <t>Administrator:</t>
        </r>
        <r>
          <rPr>
            <sz val="14"/>
            <rFont val="宋体"/>
            <charset val="134"/>
          </rPr>
          <t xml:space="preserve">
1403074 5/19 504 PCS </t>
        </r>
      </text>
    </comment>
    <comment ref="Q1020" authorId="1">
      <text>
        <r>
          <rPr>
            <b/>
            <sz val="14"/>
            <rFont val="宋体"/>
            <charset val="134"/>
          </rPr>
          <t>Administrator:</t>
        </r>
        <r>
          <rPr>
            <sz val="14"/>
            <rFont val="宋体"/>
            <charset val="134"/>
          </rPr>
          <t xml:space="preserve">
1403106 5/23 4158 pcs</t>
        </r>
      </text>
    </comment>
    <comment ref="Q1021" authorId="1">
      <text>
        <r>
          <rPr>
            <b/>
            <sz val="14"/>
            <rFont val="宋体"/>
            <charset val="134"/>
          </rPr>
          <t>Administrator:</t>
        </r>
        <r>
          <rPr>
            <sz val="14"/>
            <rFont val="宋体"/>
            <charset val="134"/>
          </rPr>
          <t xml:space="preserve">
1403114 5/23 2388 pcs
1403106 5/23 2970 pcs</t>
        </r>
      </text>
    </comment>
    <comment ref="Q1022" authorId="1">
      <text>
        <r>
          <rPr>
            <b/>
            <sz val="14"/>
            <rFont val="宋体"/>
            <charset val="134"/>
          </rPr>
          <t>Administrator:</t>
        </r>
        <r>
          <rPr>
            <sz val="14"/>
            <rFont val="宋体"/>
            <charset val="134"/>
          </rPr>
          <t xml:space="preserve">
1403106 5/23 360 pcs</t>
        </r>
      </text>
    </comment>
    <comment ref="Q1023" authorId="2">
      <text>
        <r>
          <rPr>
            <b/>
            <sz val="9"/>
            <rFont val="宋体"/>
            <charset val="0"/>
          </rPr>
          <t>严新荟:</t>
        </r>
        <r>
          <rPr>
            <sz val="9"/>
            <rFont val="宋体"/>
            <charset val="0"/>
          </rPr>
          <t xml:space="preserve">
1601808 6/2  192 pcs</t>
        </r>
      </text>
    </comment>
    <comment ref="Q1024" authorId="2">
      <text>
        <r>
          <rPr>
            <b/>
            <sz val="9"/>
            <rFont val="宋体"/>
            <charset val="0"/>
          </rPr>
          <t>严新荟:</t>
        </r>
        <r>
          <rPr>
            <sz val="9"/>
            <rFont val="宋体"/>
            <charset val="0"/>
          </rPr>
          <t xml:space="preserve">
1601808 6/2  1500 pcs</t>
        </r>
      </text>
    </comment>
    <comment ref="Q1025" authorId="2">
      <text>
        <r>
          <rPr>
            <b/>
            <sz val="9"/>
            <rFont val="宋体"/>
            <charset val="0"/>
          </rPr>
          <t>严新荟:</t>
        </r>
        <r>
          <rPr>
            <sz val="9"/>
            <rFont val="宋体"/>
            <charset val="0"/>
          </rPr>
          <t xml:space="preserve">
1601808 6/2  1500 pcs</t>
        </r>
      </text>
    </comment>
    <comment ref="Q1026" authorId="2">
      <text>
        <r>
          <rPr>
            <b/>
            <sz val="9"/>
            <rFont val="宋体"/>
            <charset val="0"/>
          </rPr>
          <t>严新荟:</t>
        </r>
        <r>
          <rPr>
            <sz val="9"/>
            <rFont val="宋体"/>
            <charset val="0"/>
          </rPr>
          <t xml:space="preserve">
1601766 5/26 6000 PCS</t>
        </r>
      </text>
    </comment>
    <comment ref="Q1027" authorId="2">
      <text>
        <r>
          <rPr>
            <b/>
            <sz val="9"/>
            <rFont val="宋体"/>
            <charset val="0"/>
          </rPr>
          <t>严新荟:</t>
        </r>
        <r>
          <rPr>
            <sz val="9"/>
            <rFont val="宋体"/>
            <charset val="0"/>
          </rPr>
          <t xml:space="preserve">
1601766 5/26 1512 PCS</t>
        </r>
      </text>
    </comment>
    <comment ref="Q1028" authorId="2">
      <text>
        <r>
          <rPr>
            <b/>
            <sz val="9"/>
            <rFont val="宋体"/>
            <charset val="0"/>
          </rPr>
          <t>严新荟:</t>
        </r>
        <r>
          <rPr>
            <sz val="9"/>
            <rFont val="宋体"/>
            <charset val="0"/>
          </rPr>
          <t xml:space="preserve">
1601818  6/3 9972 PCS
1601823 6/3 36 PCS</t>
        </r>
      </text>
    </comment>
    <comment ref="Q1029" authorId="2">
      <text>
        <r>
          <rPr>
            <b/>
            <sz val="9"/>
            <rFont val="宋体"/>
            <charset val="0"/>
          </rPr>
          <t>严新荟:</t>
        </r>
        <r>
          <rPr>
            <sz val="9"/>
            <rFont val="宋体"/>
            <charset val="0"/>
          </rPr>
          <t xml:space="preserve">
1601817 6/3  12 PCS
1601809  6/2  1020 pcs</t>
        </r>
      </text>
    </comment>
    <comment ref="S1029" authorId="2">
      <text>
        <r>
          <rPr>
            <b/>
            <sz val="9"/>
            <rFont val="宋体"/>
            <charset val="0"/>
          </rPr>
          <t>严新荟:</t>
        </r>
        <r>
          <rPr>
            <sz val="9"/>
            <rFont val="宋体"/>
            <charset val="0"/>
          </rPr>
          <t xml:space="preserve">
5/23 上进口商贴纸 1032 pcs
5/23 上UPC贴纸 1032 pcs</t>
        </r>
      </text>
    </comment>
    <comment ref="Q1030" authorId="2">
      <text>
        <r>
          <rPr>
            <b/>
            <sz val="9"/>
            <rFont val="宋体"/>
            <charset val="0"/>
          </rPr>
          <t>严新荟:</t>
        </r>
        <r>
          <rPr>
            <sz val="9"/>
            <rFont val="宋体"/>
            <charset val="0"/>
          </rPr>
          <t xml:space="preserve">
1601809 6/2 804 pcs</t>
        </r>
      </text>
    </comment>
    <comment ref="S1030" authorId="2">
      <text>
        <r>
          <rPr>
            <b/>
            <sz val="9"/>
            <rFont val="宋体"/>
            <charset val="0"/>
          </rPr>
          <t>严新荟:</t>
        </r>
        <r>
          <rPr>
            <sz val="9"/>
            <rFont val="宋体"/>
            <charset val="0"/>
          </rPr>
          <t xml:space="preserve">
5/22 上进口商贴纸 2676 pcs
         上UPC贴纸 2676 pcs</t>
        </r>
      </text>
    </comment>
    <comment ref="Q1031" authorId="2">
      <text>
        <r>
          <rPr>
            <b/>
            <sz val="9"/>
            <rFont val="宋体"/>
            <charset val="0"/>
          </rPr>
          <t>严新荟:</t>
        </r>
        <r>
          <rPr>
            <sz val="9"/>
            <rFont val="宋体"/>
            <charset val="0"/>
          </rPr>
          <t xml:space="preserve">
1601809 6/2 1524 pcs</t>
        </r>
      </text>
    </comment>
    <comment ref="S1031" authorId="2">
      <text>
        <r>
          <rPr>
            <b/>
            <sz val="9"/>
            <rFont val="宋体"/>
            <charset val="0"/>
          </rPr>
          <t>严新荟:</t>
        </r>
        <r>
          <rPr>
            <sz val="9"/>
            <rFont val="宋体"/>
            <charset val="0"/>
          </rPr>
          <t xml:space="preserve">
5/22 上进口商贴纸 2676 pcs
         上UPC贴纸 2676 pcs</t>
        </r>
      </text>
    </comment>
    <comment ref="Q1032" authorId="2">
      <text>
        <r>
          <rPr>
            <b/>
            <sz val="9"/>
            <rFont val="宋体"/>
            <charset val="0"/>
          </rPr>
          <t>严新荟:</t>
        </r>
        <r>
          <rPr>
            <sz val="9"/>
            <rFont val="宋体"/>
            <charset val="0"/>
          </rPr>
          <t xml:space="preserve">
1601809 6/2 348 pcs</t>
        </r>
      </text>
    </comment>
    <comment ref="Q1033" authorId="2">
      <text>
        <r>
          <rPr>
            <b/>
            <sz val="9"/>
            <rFont val="宋体"/>
            <charset val="0"/>
          </rPr>
          <t>严新荟:</t>
        </r>
        <r>
          <rPr>
            <sz val="9"/>
            <rFont val="宋体"/>
            <charset val="0"/>
          </rPr>
          <t xml:space="preserve">
2500171  6/10 468 pcs</t>
        </r>
        <r>
          <rPr>
            <b/>
            <sz val="9"/>
            <rFont val="宋体"/>
            <charset val="0"/>
          </rPr>
          <t xml:space="preserve">
严新荟:</t>
        </r>
        <r>
          <rPr>
            <sz val="9"/>
            <rFont val="宋体"/>
            <charset val="0"/>
          </rPr>
          <t xml:space="preserve">
2500180 6/12 12 pcs</t>
        </r>
      </text>
    </comment>
    <comment ref="S1033" authorId="2">
      <text>
        <r>
          <rPr>
            <b/>
            <sz val="9"/>
            <rFont val="宋体"/>
            <charset val="0"/>
          </rPr>
          <t>严新荟:</t>
        </r>
        <r>
          <rPr>
            <sz val="9"/>
            <rFont val="宋体"/>
            <charset val="0"/>
          </rPr>
          <t xml:space="preserve">
5/29 上UPC/进口商贴纸 480 pcs</t>
        </r>
      </text>
    </comment>
    <comment ref="Q1034" authorId="2">
      <text>
        <r>
          <rPr>
            <b/>
            <sz val="9"/>
            <rFont val="宋体"/>
            <charset val="0"/>
          </rPr>
          <t>严新荟:</t>
        </r>
        <r>
          <rPr>
            <sz val="9"/>
            <rFont val="宋体"/>
            <charset val="0"/>
          </rPr>
          <t xml:space="preserve">
2500328 6/15 120 pcs</t>
        </r>
      </text>
    </comment>
    <comment ref="S1034" authorId="2">
      <text>
        <r>
          <rPr>
            <b/>
            <sz val="9"/>
            <rFont val="宋体"/>
            <charset val="0"/>
          </rPr>
          <t>严新荟:</t>
        </r>
        <r>
          <rPr>
            <sz val="9"/>
            <rFont val="宋体"/>
            <charset val="0"/>
          </rPr>
          <t xml:space="preserve">
5/25 上UPC条码/进口商贴纸 120 pcs</t>
        </r>
      </text>
    </comment>
    <comment ref="Q1035" authorId="2">
      <text>
        <r>
          <rPr>
            <b/>
            <sz val="9"/>
            <rFont val="宋体"/>
            <charset val="0"/>
          </rPr>
          <t>严新荟:</t>
        </r>
        <r>
          <rPr>
            <sz val="9"/>
            <rFont val="宋体"/>
            <charset val="0"/>
          </rPr>
          <t xml:space="preserve">
2500321 6/15 1728 pcs</t>
        </r>
      </text>
    </comment>
    <comment ref="Q1036" authorId="2">
      <text>
        <r>
          <rPr>
            <b/>
            <sz val="9"/>
            <rFont val="宋体"/>
            <charset val="0"/>
          </rPr>
          <t>严新荟:</t>
        </r>
        <r>
          <rPr>
            <sz val="9"/>
            <rFont val="宋体"/>
            <charset val="0"/>
          </rPr>
          <t xml:space="preserve">
2500201 6/18 1800 pcs</t>
        </r>
      </text>
    </comment>
    <comment ref="S1036" authorId="2">
      <text>
        <r>
          <rPr>
            <b/>
            <sz val="9"/>
            <rFont val="宋体"/>
            <charset val="0"/>
          </rPr>
          <t>严新荟:</t>
        </r>
        <r>
          <rPr>
            <sz val="9"/>
            <rFont val="宋体"/>
            <charset val="0"/>
          </rPr>
          <t xml:space="preserve">
5/26 上进口商贴纸 6408 pcs</t>
        </r>
        <r>
          <rPr>
            <b/>
            <sz val="9"/>
            <rFont val="宋体"/>
            <charset val="0"/>
          </rPr>
          <t xml:space="preserve">
严新荟:</t>
        </r>
        <r>
          <rPr>
            <sz val="9"/>
            <rFont val="宋体"/>
            <charset val="0"/>
          </rPr>
          <t xml:space="preserve">
5/29 上口水胶贴纸 15816 pcs</t>
        </r>
        <r>
          <rPr>
            <b/>
            <sz val="9"/>
            <rFont val="宋体"/>
            <charset val="0"/>
          </rPr>
          <t xml:space="preserve">
严新荟:</t>
        </r>
        <r>
          <rPr>
            <sz val="9"/>
            <rFont val="宋体"/>
            <charset val="0"/>
          </rPr>
          <t xml:space="preserve">
5/29 上口水胶贴纸 15816 pcs</t>
        </r>
      </text>
    </comment>
    <comment ref="Q1037" authorId="2">
      <text>
        <r>
          <rPr>
            <b/>
            <sz val="9"/>
            <rFont val="宋体"/>
            <charset val="0"/>
          </rPr>
          <t>严新荟:</t>
        </r>
        <r>
          <rPr>
            <sz val="9"/>
            <rFont val="宋体"/>
            <charset val="0"/>
          </rPr>
          <t xml:space="preserve">
2500351 6/17 1188 pcs
2500209 6/20 12 pcs</t>
        </r>
      </text>
    </comment>
    <comment ref="S1037" authorId="2">
      <text>
        <r>
          <rPr>
            <b/>
            <sz val="9"/>
            <rFont val="宋体"/>
            <charset val="0"/>
          </rPr>
          <t>严新荟:</t>
        </r>
        <r>
          <rPr>
            <sz val="9"/>
            <rFont val="宋体"/>
            <charset val="0"/>
          </rPr>
          <t xml:space="preserve">
5/26 上进口商贴纸 6408 pcs</t>
        </r>
        <r>
          <rPr>
            <b/>
            <sz val="9"/>
            <rFont val="宋体"/>
            <charset val="0"/>
          </rPr>
          <t xml:space="preserve">
严新荟:</t>
        </r>
        <r>
          <rPr>
            <sz val="9"/>
            <rFont val="宋体"/>
            <charset val="0"/>
          </rPr>
          <t xml:space="preserve">
5/29 上口水胶贴纸 15816 pcs</t>
        </r>
        <r>
          <rPr>
            <b/>
            <sz val="9"/>
            <rFont val="宋体"/>
            <charset val="0"/>
          </rPr>
          <t xml:space="preserve">
严新荟:</t>
        </r>
        <r>
          <rPr>
            <sz val="9"/>
            <rFont val="宋体"/>
            <charset val="0"/>
          </rPr>
          <t xml:space="preserve">
5/29 上口水胶贴纸 15816 pcs</t>
        </r>
      </text>
    </comment>
    <comment ref="Q1038" authorId="2">
      <text>
        <r>
          <rPr>
            <b/>
            <sz val="9"/>
            <rFont val="宋体"/>
            <charset val="0"/>
          </rPr>
          <t>严新荟:</t>
        </r>
        <r>
          <rPr>
            <sz val="9"/>
            <rFont val="宋体"/>
            <charset val="0"/>
          </rPr>
          <t xml:space="preserve">
2200016 6/26 360 PCS</t>
        </r>
      </text>
    </comment>
    <comment ref="S1038" authorId="2">
      <text>
        <r>
          <rPr>
            <b/>
            <sz val="9"/>
            <rFont val="宋体"/>
            <charset val="0"/>
          </rPr>
          <t>严新荟:</t>
        </r>
        <r>
          <rPr>
            <sz val="9"/>
            <rFont val="宋体"/>
            <charset val="0"/>
          </rPr>
          <t xml:space="preserve">
6/17 上UPC贴纸 360 pcs</t>
        </r>
      </text>
    </comment>
    <comment ref="Q1039" authorId="2">
      <text>
        <r>
          <rPr>
            <b/>
            <sz val="9"/>
            <rFont val="宋体"/>
            <charset val="0"/>
          </rPr>
          <t>严新荟:</t>
        </r>
        <r>
          <rPr>
            <sz val="9"/>
            <rFont val="宋体"/>
            <charset val="0"/>
          </rPr>
          <t xml:space="preserve">
2200030 6/25 1512 pcs</t>
        </r>
      </text>
    </comment>
    <comment ref="Q1040" authorId="2">
      <text>
        <r>
          <rPr>
            <b/>
            <sz val="9"/>
            <rFont val="宋体"/>
            <charset val="0"/>
          </rPr>
          <t>严新荟:</t>
        </r>
        <r>
          <rPr>
            <sz val="9"/>
            <rFont val="宋体"/>
            <charset val="0"/>
          </rPr>
          <t xml:space="preserve">
2200030 6/25 5016 pcs</t>
        </r>
      </text>
    </comment>
    <comment ref="Q1041" authorId="2">
      <text>
        <r>
          <rPr>
            <b/>
            <sz val="9"/>
            <rFont val="宋体"/>
            <charset val="0"/>
          </rPr>
          <t>严新荟:</t>
        </r>
        <r>
          <rPr>
            <sz val="9"/>
            <rFont val="宋体"/>
            <charset val="0"/>
          </rPr>
          <t xml:space="preserve">
2200030 6/25 2160 pcs
2200032 6/26 2856 pcs</t>
        </r>
      </text>
    </comment>
    <comment ref="S1042" authorId="2">
      <text>
        <r>
          <rPr>
            <b/>
            <sz val="9"/>
            <rFont val="宋体"/>
            <charset val="0"/>
          </rPr>
          <t>严新荟:</t>
        </r>
        <r>
          <rPr>
            <sz val="9"/>
            <rFont val="宋体"/>
            <charset val="0"/>
          </rPr>
          <t xml:space="preserve">
6/16 上UPC贴纸 12 pcs
6/24 上客供亚马逊外箱贴纸 1 pcs</t>
        </r>
      </text>
    </comment>
    <comment ref="Q1043" authorId="2">
      <text>
        <r>
          <rPr>
            <b/>
            <sz val="9"/>
            <rFont val="宋体"/>
            <charset val="0"/>
          </rPr>
          <t>严新荟:</t>
        </r>
        <r>
          <rPr>
            <sz val="9"/>
            <rFont val="宋体"/>
            <charset val="0"/>
          </rPr>
          <t xml:space="preserve">
2500255 6/29 348 pcs</t>
        </r>
      </text>
    </comment>
    <comment ref="S1043" authorId="2">
      <text>
        <r>
          <rPr>
            <b/>
            <sz val="9"/>
            <rFont val="宋体"/>
            <charset val="0"/>
          </rPr>
          <t>严新荟:</t>
        </r>
        <r>
          <rPr>
            <sz val="9"/>
            <rFont val="宋体"/>
            <charset val="0"/>
          </rPr>
          <t xml:space="preserve">
6/15 上UPC贴纸 1308 pcs</t>
        </r>
      </text>
    </comment>
    <comment ref="Q1044" authorId="2">
      <text>
        <r>
          <rPr>
            <b/>
            <sz val="9"/>
            <rFont val="宋体"/>
            <charset val="0"/>
          </rPr>
          <t>严新荟:</t>
        </r>
        <r>
          <rPr>
            <sz val="9"/>
            <rFont val="宋体"/>
            <charset val="0"/>
          </rPr>
          <t xml:space="preserve">
2200020 6/27 72 pcs</t>
        </r>
      </text>
    </comment>
    <comment ref="S1044" authorId="2">
      <text>
        <r>
          <rPr>
            <b/>
            <sz val="9"/>
            <rFont val="宋体"/>
            <charset val="0"/>
          </rPr>
          <t>严新荟:</t>
        </r>
        <r>
          <rPr>
            <sz val="9"/>
            <rFont val="宋体"/>
            <charset val="0"/>
          </rPr>
          <t xml:space="preserve">
6/5 上UPC贴纸 72 pcs
6/24 上客供亚马逊外箱贴纸 6 pcs</t>
        </r>
      </text>
    </comment>
    <comment ref="Q1045" authorId="2">
      <text>
        <r>
          <rPr>
            <b/>
            <sz val="9"/>
            <rFont val="宋体"/>
            <charset val="0"/>
          </rPr>
          <t>严新荟:</t>
        </r>
        <r>
          <rPr>
            <sz val="9"/>
            <rFont val="宋体"/>
            <charset val="0"/>
          </rPr>
          <t xml:space="preserve">
2200020 6/27 12 pcs</t>
        </r>
      </text>
    </comment>
    <comment ref="S1045" authorId="2">
      <text>
        <r>
          <rPr>
            <b/>
            <sz val="9"/>
            <rFont val="宋体"/>
            <charset val="0"/>
          </rPr>
          <t>严新荟:</t>
        </r>
        <r>
          <rPr>
            <sz val="9"/>
            <rFont val="宋体"/>
            <charset val="0"/>
          </rPr>
          <t xml:space="preserve">
6/24 上客供亚马逊外箱贴纸 1 pcs</t>
        </r>
      </text>
    </comment>
    <comment ref="Q1046" authorId="2">
      <text>
        <r>
          <rPr>
            <b/>
            <sz val="9"/>
            <rFont val="宋体"/>
            <charset val="0"/>
          </rPr>
          <t>严新荟:</t>
        </r>
        <r>
          <rPr>
            <sz val="9"/>
            <rFont val="宋体"/>
            <charset val="0"/>
          </rPr>
          <t xml:space="preserve">
2200048 7/6 438 PCS</t>
        </r>
      </text>
    </comment>
    <comment ref="Q1047" authorId="2">
      <text>
        <r>
          <rPr>
            <b/>
            <sz val="9"/>
            <rFont val="宋体"/>
            <charset val="0"/>
          </rPr>
          <t>严新荟:</t>
        </r>
        <r>
          <rPr>
            <sz val="9"/>
            <rFont val="宋体"/>
            <charset val="0"/>
          </rPr>
          <t xml:space="preserve">
2500239 7/7 960 pcs</t>
        </r>
      </text>
    </comment>
    <comment ref="S1047" authorId="2">
      <text>
        <r>
          <rPr>
            <b/>
            <sz val="9"/>
            <rFont val="宋体"/>
            <charset val="0"/>
          </rPr>
          <t>严新荟:</t>
        </r>
        <r>
          <rPr>
            <sz val="9"/>
            <rFont val="宋体"/>
            <charset val="0"/>
          </rPr>
          <t xml:space="preserve">
6/15 上UPC贴纸 1308 pcs</t>
        </r>
      </text>
    </comment>
    <comment ref="Q1048" authorId="2">
      <text>
        <r>
          <rPr>
            <b/>
            <sz val="9"/>
            <rFont val="宋体"/>
            <charset val="0"/>
          </rPr>
          <t>严新荟:</t>
        </r>
        <r>
          <rPr>
            <sz val="9"/>
            <rFont val="宋体"/>
            <charset val="0"/>
          </rPr>
          <t xml:space="preserve">
2500239 7/7 960 pcs</t>
        </r>
      </text>
    </comment>
    <comment ref="Q1049" authorId="2">
      <text>
        <r>
          <rPr>
            <b/>
            <sz val="9"/>
            <rFont val="宋体"/>
            <charset val="0"/>
          </rPr>
          <t>严新荟:</t>
        </r>
        <r>
          <rPr>
            <sz val="9"/>
            <rFont val="宋体"/>
            <charset val="0"/>
          </rPr>
          <t xml:space="preserve">
2500239 7/7 816 pcs</t>
        </r>
      </text>
    </comment>
    <comment ref="S1049" authorId="2">
      <text>
        <r>
          <rPr>
            <b/>
            <sz val="9"/>
            <rFont val="宋体"/>
            <charset val="0"/>
          </rPr>
          <t>严新荟:</t>
        </r>
        <r>
          <rPr>
            <sz val="9"/>
            <rFont val="宋体"/>
            <charset val="0"/>
          </rPr>
          <t xml:space="preserve">
6/10 上客供价格贴纸 857 pcs</t>
        </r>
      </text>
    </comment>
    <comment ref="Q1050" authorId="2">
      <text>
        <r>
          <rPr>
            <b/>
            <sz val="9"/>
            <rFont val="宋体"/>
            <charset val="0"/>
          </rPr>
          <t>严新荟:</t>
        </r>
        <r>
          <rPr>
            <sz val="9"/>
            <rFont val="宋体"/>
            <charset val="0"/>
          </rPr>
          <t xml:space="preserve">
2200202 7/20 1152 PCS</t>
        </r>
      </text>
    </comment>
    <comment ref="S1051" authorId="2">
      <text>
        <r>
          <rPr>
            <b/>
            <sz val="9"/>
            <rFont val="宋体"/>
            <charset val="0"/>
          </rPr>
          <t>严新荟:</t>
        </r>
        <r>
          <rPr>
            <sz val="9"/>
            <rFont val="宋体"/>
            <charset val="0"/>
          </rPr>
          <t xml:space="preserve">
6/22 上客供价格贴纸 910 pcs
7/6 上进口商贴纸 804 pcs</t>
        </r>
      </text>
    </comment>
    <comment ref="Q1052" authorId="2">
      <text>
        <r>
          <rPr>
            <b/>
            <sz val="9"/>
            <rFont val="宋体"/>
            <charset val="0"/>
          </rPr>
          <t>严新荟:</t>
        </r>
        <r>
          <rPr>
            <sz val="9"/>
            <rFont val="宋体"/>
            <charset val="0"/>
          </rPr>
          <t xml:space="preserve">
2200149 7/14 12 pcs</t>
        </r>
      </text>
    </comment>
    <comment ref="S1052" authorId="2">
      <text>
        <r>
          <rPr>
            <b/>
            <sz val="9"/>
            <rFont val="宋体"/>
            <charset val="0"/>
          </rPr>
          <t>严新荟:</t>
        </r>
        <r>
          <rPr>
            <sz val="9"/>
            <rFont val="宋体"/>
            <charset val="0"/>
          </rPr>
          <t xml:space="preserve">
6/8 上UPC贴纸 36 pcs
7/1 客供亚马逊外箱贴纸 3 pcs</t>
        </r>
      </text>
    </comment>
    <comment ref="Q1053" authorId="2">
      <text>
        <r>
          <rPr>
            <b/>
            <sz val="9"/>
            <rFont val="宋体"/>
            <charset val="0"/>
          </rPr>
          <t>严新荟:</t>
        </r>
        <r>
          <rPr>
            <sz val="9"/>
            <rFont val="宋体"/>
            <charset val="0"/>
          </rPr>
          <t xml:space="preserve">
2200149 7/14 12 pcs</t>
        </r>
      </text>
    </comment>
    <comment ref="Q1054" authorId="2">
      <text>
        <r>
          <rPr>
            <b/>
            <sz val="9"/>
            <rFont val="宋体"/>
            <charset val="0"/>
          </rPr>
          <t>严新荟:</t>
        </r>
        <r>
          <rPr>
            <sz val="9"/>
            <rFont val="宋体"/>
            <charset val="0"/>
          </rPr>
          <t xml:space="preserve">
2200149 7/14 12 pcs</t>
        </r>
      </text>
    </comment>
    <comment ref="Q1055" authorId="2">
      <text>
        <r>
          <rPr>
            <b/>
            <sz val="9"/>
            <rFont val="宋体"/>
            <charset val="0"/>
          </rPr>
          <t>严新荟:</t>
        </r>
        <r>
          <rPr>
            <sz val="9"/>
            <rFont val="宋体"/>
            <charset val="0"/>
          </rPr>
          <t xml:space="preserve">
2200205 7/21 732 PCS</t>
        </r>
      </text>
    </comment>
    <comment ref="S1055" authorId="2">
      <text>
        <r>
          <rPr>
            <b/>
            <sz val="9"/>
            <rFont val="宋体"/>
            <charset val="0"/>
          </rPr>
          <t>严新荟:</t>
        </r>
        <r>
          <rPr>
            <sz val="9"/>
            <rFont val="宋体"/>
            <charset val="0"/>
          </rPr>
          <t xml:space="preserve">
7/11 上UPC/进口商贴纸 732 pcs</t>
        </r>
      </text>
    </comment>
    <comment ref="Q1056" authorId="2">
      <text>
        <r>
          <rPr>
            <b/>
            <sz val="9"/>
            <rFont val="宋体"/>
            <charset val="0"/>
          </rPr>
          <t>严新荟:</t>
        </r>
        <r>
          <rPr>
            <sz val="9"/>
            <rFont val="宋体"/>
            <charset val="0"/>
          </rPr>
          <t xml:space="preserve">
2200205 7/21 420 PCS</t>
        </r>
      </text>
    </comment>
    <comment ref="S1056" authorId="2">
      <text>
        <r>
          <rPr>
            <b/>
            <sz val="9"/>
            <rFont val="宋体"/>
            <charset val="0"/>
          </rPr>
          <t>严新荟:</t>
        </r>
        <r>
          <rPr>
            <sz val="9"/>
            <rFont val="宋体"/>
            <charset val="0"/>
          </rPr>
          <t xml:space="preserve">
7/13 上UPC条码/进口商贴纸 420 pcs</t>
        </r>
      </text>
    </comment>
    <comment ref="Q1057" authorId="2">
      <text>
        <r>
          <rPr>
            <b/>
            <sz val="9"/>
            <rFont val="宋体"/>
            <charset val="0"/>
          </rPr>
          <t>严新荟:</t>
        </r>
        <r>
          <rPr>
            <sz val="9"/>
            <rFont val="宋体"/>
            <charset val="0"/>
          </rPr>
          <t xml:space="preserve">
2200149 7/14 36 pcs</t>
        </r>
      </text>
    </comment>
    <comment ref="S1057" authorId="2">
      <text>
        <r>
          <rPr>
            <b/>
            <sz val="9"/>
            <rFont val="宋体"/>
            <charset val="0"/>
          </rPr>
          <t>严新荟:</t>
        </r>
        <r>
          <rPr>
            <sz val="9"/>
            <rFont val="宋体"/>
            <charset val="0"/>
          </rPr>
          <t xml:space="preserve">
6/8 上UPC贴纸 36 pcs
7/10 上客供亚马逊外箱贴纸 3 pcs</t>
        </r>
      </text>
    </comment>
    <comment ref="Q1058" authorId="2">
      <text>
        <r>
          <rPr>
            <b/>
            <sz val="9"/>
            <rFont val="宋体"/>
            <charset val="0"/>
          </rPr>
          <t>严新荟:</t>
        </r>
        <r>
          <rPr>
            <sz val="9"/>
            <rFont val="宋体"/>
            <charset val="0"/>
          </rPr>
          <t xml:space="preserve">
2200627 8/12 2400 PCS</t>
        </r>
      </text>
    </comment>
    <comment ref="S1058" authorId="2">
      <text>
        <r>
          <rPr>
            <b/>
            <sz val="9"/>
            <rFont val="宋体"/>
            <charset val="0"/>
          </rPr>
          <t>严新荟:</t>
        </r>
        <r>
          <rPr>
            <sz val="9"/>
            <rFont val="宋体"/>
            <charset val="0"/>
          </rPr>
          <t xml:space="preserve">
5/26 上进口商贴纸 6408 pcs</t>
        </r>
        <r>
          <rPr>
            <b/>
            <sz val="9"/>
            <rFont val="宋体"/>
            <charset val="0"/>
          </rPr>
          <t xml:space="preserve">
严新荟:</t>
        </r>
        <r>
          <rPr>
            <sz val="9"/>
            <rFont val="宋体"/>
            <charset val="0"/>
          </rPr>
          <t xml:space="preserve">
5/29 上口水胶贴纸 15816 pcs</t>
        </r>
        <r>
          <rPr>
            <b/>
            <sz val="9"/>
            <rFont val="宋体"/>
            <charset val="0"/>
          </rPr>
          <t xml:space="preserve">
严新荟:</t>
        </r>
        <r>
          <rPr>
            <sz val="9"/>
            <rFont val="宋体"/>
            <charset val="0"/>
          </rPr>
          <t xml:space="preserve">
5/29 上口水胶贴纸 15816 pcs</t>
        </r>
      </text>
    </comment>
    <comment ref="Q1059" authorId="2">
      <text>
        <r>
          <rPr>
            <b/>
            <sz val="9"/>
            <rFont val="宋体"/>
            <charset val="0"/>
          </rPr>
          <t>严新荟:</t>
        </r>
        <r>
          <rPr>
            <sz val="9"/>
            <rFont val="宋体"/>
            <charset val="0"/>
          </rPr>
          <t xml:space="preserve">
2200624 8/12 2400 pcs</t>
        </r>
      </text>
    </comment>
    <comment ref="S1059" authorId="2">
      <text>
        <r>
          <rPr>
            <b/>
            <sz val="9"/>
            <rFont val="宋体"/>
            <charset val="0"/>
          </rPr>
          <t>严新荟:</t>
        </r>
        <r>
          <rPr>
            <sz val="9"/>
            <rFont val="宋体"/>
            <charset val="0"/>
          </rPr>
          <t xml:space="preserve">
5/26 上进口商贴纸 6408 pcs</t>
        </r>
        <r>
          <rPr>
            <b/>
            <sz val="9"/>
            <rFont val="宋体"/>
            <charset val="0"/>
          </rPr>
          <t xml:space="preserve">
严新荟:</t>
        </r>
        <r>
          <rPr>
            <sz val="9"/>
            <rFont val="宋体"/>
            <charset val="0"/>
          </rPr>
          <t xml:space="preserve">
5/29 上口水胶贴纸 15816 pcs</t>
        </r>
        <r>
          <rPr>
            <b/>
            <sz val="9"/>
            <rFont val="宋体"/>
            <charset val="0"/>
          </rPr>
          <t xml:space="preserve">
严新荟:</t>
        </r>
        <r>
          <rPr>
            <sz val="9"/>
            <rFont val="宋体"/>
            <charset val="0"/>
          </rPr>
          <t xml:space="preserve">
5/29 上口水胶贴纸 15816 pcs</t>
        </r>
      </text>
    </comment>
    <comment ref="Q1060" authorId="2">
      <text>
        <r>
          <rPr>
            <b/>
            <sz val="9"/>
            <rFont val="宋体"/>
            <charset val="0"/>
          </rPr>
          <t>严新荟:</t>
        </r>
        <r>
          <rPr>
            <sz val="9"/>
            <rFont val="宋体"/>
            <charset val="0"/>
          </rPr>
          <t xml:space="preserve">
2200627 8/12 708 PCS
2200624 8/12 900 pcs</t>
        </r>
      </text>
    </comment>
    <comment ref="S1060" authorId="2">
      <text>
        <r>
          <rPr>
            <b/>
            <sz val="9"/>
            <rFont val="宋体"/>
            <charset val="0"/>
          </rPr>
          <t>严新荟:</t>
        </r>
        <r>
          <rPr>
            <sz val="9"/>
            <rFont val="宋体"/>
            <charset val="0"/>
          </rPr>
          <t xml:space="preserve">
5/26 上进口商贴纸 6408 pcs</t>
        </r>
        <r>
          <rPr>
            <b/>
            <sz val="9"/>
            <rFont val="宋体"/>
            <charset val="0"/>
          </rPr>
          <t xml:space="preserve">
严新荟:</t>
        </r>
        <r>
          <rPr>
            <sz val="9"/>
            <rFont val="宋体"/>
            <charset val="0"/>
          </rPr>
          <t xml:space="preserve">
5/29 上口水胶贴纸 15816 pcs</t>
        </r>
        <r>
          <rPr>
            <b/>
            <sz val="9"/>
            <rFont val="宋体"/>
            <charset val="0"/>
          </rPr>
          <t xml:space="preserve">
严新荟:</t>
        </r>
        <r>
          <rPr>
            <sz val="9"/>
            <rFont val="宋体"/>
            <charset val="0"/>
          </rPr>
          <t xml:space="preserve">
5/29 上口水胶贴纸 15816 pcs</t>
        </r>
      </text>
    </comment>
    <comment ref="S1061" authorId="1">
      <text>
        <r>
          <rPr>
            <b/>
            <sz val="14"/>
            <rFont val="宋体"/>
            <charset val="134"/>
          </rPr>
          <t>Administrator:</t>
        </r>
        <r>
          <rPr>
            <sz val="14"/>
            <rFont val="宋体"/>
            <charset val="134"/>
          </rPr>
          <t xml:space="preserve">
3/26 上UPC条码贴纸 48 pcs
     上进口商贴纸 48 pcs</t>
        </r>
      </text>
    </comment>
  </commentList>
</comments>
</file>

<file path=xl/comments4.xml><?xml version="1.0" encoding="utf-8"?>
<comments xmlns="http://schemas.openxmlformats.org/spreadsheetml/2006/main">
  <authors>
    <author>admin</author>
    <author>Administrator</author>
    <author>Unknown User</author>
  </authors>
  <commentList>
    <comment ref="BF3" authorId="0">
      <text>
        <r>
          <rPr>
            <sz val="9"/>
            <rFont val="宋体"/>
            <charset val="134"/>
          </rPr>
          <t xml:space="preserve">
根据实单订购PDQ</t>
        </r>
      </text>
    </comment>
    <comment ref="Q247" authorId="1">
      <text>
        <r>
          <rPr>
            <b/>
            <sz val="11"/>
            <rFont val="宋体"/>
            <charset val="134"/>
          </rPr>
          <t>Administrator:</t>
        </r>
        <r>
          <rPr>
            <sz val="11"/>
            <rFont val="宋体"/>
            <charset val="134"/>
          </rPr>
          <t xml:space="preserve">
4000407 9/13 45 PCS</t>
        </r>
      </text>
    </comment>
    <comment ref="Q478" authorId="1">
      <text>
        <r>
          <rPr>
            <b/>
            <sz val="9"/>
            <rFont val="宋体"/>
            <charset val="134"/>
          </rPr>
          <t>Administrator:</t>
        </r>
        <r>
          <rPr>
            <sz val="9"/>
            <rFont val="宋体"/>
            <charset val="134"/>
          </rPr>
          <t xml:space="preserve">
</t>
        </r>
        <r>
          <rPr>
            <sz val="14"/>
            <rFont val="宋体"/>
            <charset val="134"/>
          </rPr>
          <t>4000087 8/29 1176PCS</t>
        </r>
      </text>
    </comment>
    <comment ref="Q485" authorId="1">
      <text>
        <r>
          <rPr>
            <b/>
            <sz val="12"/>
            <rFont val="宋体"/>
            <charset val="134"/>
          </rPr>
          <t>Administrator:</t>
        </r>
        <r>
          <rPr>
            <sz val="12"/>
            <rFont val="宋体"/>
            <charset val="134"/>
          </rPr>
          <t xml:space="preserve">
4000076 9/2 480 PCS</t>
        </r>
      </text>
    </comment>
    <comment ref="Q486" authorId="1">
      <text>
        <r>
          <rPr>
            <b/>
            <sz val="12"/>
            <rFont val="宋体"/>
            <charset val="134"/>
          </rPr>
          <t>Administrator:</t>
        </r>
        <r>
          <rPr>
            <sz val="12"/>
            <rFont val="宋体"/>
            <charset val="134"/>
          </rPr>
          <t xml:space="preserve">
4000076 9/2 1280 PCS</t>
        </r>
      </text>
    </comment>
    <comment ref="Q487" authorId="1">
      <text>
        <r>
          <rPr>
            <b/>
            <sz val="12"/>
            <rFont val="宋体"/>
            <charset val="134"/>
          </rPr>
          <t>Administrator:</t>
        </r>
        <r>
          <rPr>
            <sz val="12"/>
            <rFont val="宋体"/>
            <charset val="134"/>
          </rPr>
          <t xml:space="preserve">
4000076 9/2 544 PCS</t>
        </r>
      </text>
    </comment>
    <comment ref="Q488" authorId="1">
      <text>
        <r>
          <rPr>
            <b/>
            <sz val="14"/>
            <rFont val="宋体"/>
            <charset val="134"/>
          </rPr>
          <t>Administrator:</t>
        </r>
        <r>
          <rPr>
            <sz val="14"/>
            <rFont val="宋体"/>
            <charset val="134"/>
          </rPr>
          <t xml:space="preserve">
4000068 9/1 7488 PCS
4000038 9/3 6 PCS</t>
        </r>
      </text>
    </comment>
    <comment ref="Q489" authorId="1">
      <text>
        <r>
          <rPr>
            <b/>
            <sz val="12"/>
            <rFont val="宋体"/>
            <charset val="134"/>
          </rPr>
          <t>Administrator:</t>
        </r>
        <r>
          <rPr>
            <sz val="12"/>
            <rFont val="宋体"/>
            <charset val="134"/>
          </rPr>
          <t xml:space="preserve">
4000036 9/3 96PCS</t>
        </r>
      </text>
    </comment>
    <comment ref="Q490" authorId="1">
      <text>
        <r>
          <rPr>
            <b/>
            <sz val="12"/>
            <rFont val="宋体"/>
            <charset val="134"/>
          </rPr>
          <t>Administrator:</t>
        </r>
        <r>
          <rPr>
            <sz val="12"/>
            <rFont val="宋体"/>
            <charset val="134"/>
          </rPr>
          <t xml:space="preserve">
4000036 9/3 64 PCS</t>
        </r>
      </text>
    </comment>
    <comment ref="Q491" authorId="1">
      <text>
        <r>
          <rPr>
            <b/>
            <sz val="12"/>
            <rFont val="宋体"/>
            <charset val="134"/>
          </rPr>
          <t>Administrator:</t>
        </r>
        <r>
          <rPr>
            <sz val="12"/>
            <rFont val="宋体"/>
            <charset val="134"/>
          </rPr>
          <t xml:space="preserve">
4000036 9/3 32 PCS</t>
        </r>
      </text>
    </comment>
    <comment ref="Q492" authorId="1">
      <text>
        <r>
          <rPr>
            <b/>
            <sz val="12"/>
            <rFont val="宋体"/>
            <charset val="134"/>
          </rPr>
          <t>Administrator:</t>
        </r>
        <r>
          <rPr>
            <sz val="12"/>
            <rFont val="宋体"/>
            <charset val="134"/>
          </rPr>
          <t xml:space="preserve">
4000036 9/3 128 PCS</t>
        </r>
      </text>
    </comment>
    <comment ref="Q493" authorId="1">
      <text>
        <r>
          <rPr>
            <b/>
            <sz val="12"/>
            <rFont val="宋体"/>
            <charset val="134"/>
          </rPr>
          <t>Administrator:</t>
        </r>
        <r>
          <rPr>
            <sz val="12"/>
            <rFont val="宋体"/>
            <charset val="134"/>
          </rPr>
          <t xml:space="preserve">
4000036 9/3 64 PCS</t>
        </r>
      </text>
    </comment>
    <comment ref="Q494" authorId="1">
      <text>
        <r>
          <rPr>
            <b/>
            <sz val="12"/>
            <rFont val="宋体"/>
            <charset val="134"/>
          </rPr>
          <t>Administrator:</t>
        </r>
        <r>
          <rPr>
            <sz val="12"/>
            <rFont val="宋体"/>
            <charset val="134"/>
          </rPr>
          <t xml:space="preserve">
4000036 9/3 96PCS</t>
        </r>
      </text>
    </comment>
    <comment ref="Q495" authorId="1">
      <text>
        <r>
          <rPr>
            <b/>
            <sz val="12"/>
            <rFont val="宋体"/>
            <charset val="134"/>
          </rPr>
          <t>Administrator:</t>
        </r>
        <r>
          <rPr>
            <sz val="12"/>
            <rFont val="宋体"/>
            <charset val="134"/>
          </rPr>
          <t xml:space="preserve">
4000036 9/3 32 PCS</t>
        </r>
      </text>
    </comment>
    <comment ref="Q496" authorId="1">
      <text>
        <r>
          <rPr>
            <b/>
            <sz val="12"/>
            <rFont val="宋体"/>
            <charset val="134"/>
          </rPr>
          <t>Administrator:</t>
        </r>
        <r>
          <rPr>
            <sz val="12"/>
            <rFont val="宋体"/>
            <charset val="134"/>
          </rPr>
          <t xml:space="preserve">
4000045 9/2 954 PCS
4000038 9/3 6 PCS</t>
        </r>
      </text>
    </comment>
    <comment ref="Q497" authorId="1">
      <text>
        <r>
          <rPr>
            <b/>
            <sz val="12"/>
            <rFont val="宋体"/>
            <charset val="134"/>
          </rPr>
          <t>Administrator:</t>
        </r>
        <r>
          <rPr>
            <sz val="12"/>
            <rFont val="宋体"/>
            <charset val="134"/>
          </rPr>
          <t xml:space="preserve">
4000045 9/2 2394 PCS
4000038 9/3 6PCS</t>
        </r>
      </text>
    </comment>
    <comment ref="Q498" authorId="1">
      <text>
        <r>
          <rPr>
            <b/>
            <sz val="12"/>
            <rFont val="宋体"/>
            <charset val="134"/>
          </rPr>
          <t>Administrator:</t>
        </r>
        <r>
          <rPr>
            <sz val="12"/>
            <rFont val="宋体"/>
            <charset val="134"/>
          </rPr>
          <t xml:space="preserve">
4000033 9/3 32 PCS</t>
        </r>
      </text>
    </comment>
    <comment ref="Q499" authorId="1">
      <text>
        <r>
          <rPr>
            <b/>
            <sz val="12"/>
            <rFont val="宋体"/>
            <charset val="134"/>
          </rPr>
          <t>Administrator:</t>
        </r>
        <r>
          <rPr>
            <sz val="12"/>
            <rFont val="宋体"/>
            <charset val="134"/>
          </rPr>
          <t xml:space="preserve">
4000033 9/3 64 PCS</t>
        </r>
      </text>
    </comment>
    <comment ref="Q500" authorId="1">
      <text>
        <r>
          <rPr>
            <b/>
            <sz val="12"/>
            <rFont val="宋体"/>
            <charset val="134"/>
          </rPr>
          <t>Administrator:</t>
        </r>
        <r>
          <rPr>
            <sz val="12"/>
            <rFont val="宋体"/>
            <charset val="134"/>
          </rPr>
          <t xml:space="preserve">
4000033 9/3 192 PCS</t>
        </r>
      </text>
    </comment>
    <comment ref="Q501" authorId="1">
      <text>
        <r>
          <rPr>
            <b/>
            <sz val="12"/>
            <rFont val="宋体"/>
            <charset val="134"/>
          </rPr>
          <t>Administrator:</t>
        </r>
        <r>
          <rPr>
            <sz val="12"/>
            <rFont val="宋体"/>
            <charset val="134"/>
          </rPr>
          <t xml:space="preserve">
4000033 9/3 32 PCS</t>
        </r>
      </text>
    </comment>
    <comment ref="Q502" authorId="1">
      <text>
        <r>
          <rPr>
            <b/>
            <sz val="12"/>
            <rFont val="宋体"/>
            <charset val="134"/>
          </rPr>
          <t>Administrator:</t>
        </r>
        <r>
          <rPr>
            <sz val="12"/>
            <rFont val="宋体"/>
            <charset val="134"/>
          </rPr>
          <t xml:space="preserve">
4000033 9/3 64 PCS</t>
        </r>
      </text>
    </comment>
    <comment ref="Q503" authorId="1">
      <text>
        <r>
          <rPr>
            <b/>
            <sz val="12"/>
            <rFont val="宋体"/>
            <charset val="134"/>
          </rPr>
          <t>Administrator:</t>
        </r>
        <r>
          <rPr>
            <sz val="12"/>
            <rFont val="宋体"/>
            <charset val="134"/>
          </rPr>
          <t xml:space="preserve">
4000033 9/3 96 PCS</t>
        </r>
      </text>
    </comment>
    <comment ref="Q504" authorId="1">
      <text>
        <r>
          <rPr>
            <b/>
            <sz val="12"/>
            <rFont val="宋体"/>
            <charset val="134"/>
          </rPr>
          <t>Administrator:</t>
        </r>
        <r>
          <rPr>
            <sz val="12"/>
            <rFont val="宋体"/>
            <charset val="134"/>
          </rPr>
          <t xml:space="preserve">
4000035 9/3 32 PCS</t>
        </r>
      </text>
    </comment>
    <comment ref="Q505" authorId="1">
      <text>
        <r>
          <rPr>
            <b/>
            <sz val="12"/>
            <rFont val="宋体"/>
            <charset val="134"/>
          </rPr>
          <t>Administrator:</t>
        </r>
        <r>
          <rPr>
            <sz val="12"/>
            <rFont val="宋体"/>
            <charset val="134"/>
          </rPr>
          <t xml:space="preserve">
4000035 9/3 96 PCS</t>
        </r>
      </text>
    </comment>
    <comment ref="Q506" authorId="1">
      <text>
        <r>
          <rPr>
            <b/>
            <sz val="12"/>
            <rFont val="宋体"/>
            <charset val="134"/>
          </rPr>
          <t>Administrator:</t>
        </r>
        <r>
          <rPr>
            <sz val="12"/>
            <rFont val="宋体"/>
            <charset val="134"/>
          </rPr>
          <t xml:space="preserve">
4000035 9/3 32 PCS</t>
        </r>
      </text>
    </comment>
    <comment ref="Q507" authorId="1">
      <text>
        <r>
          <rPr>
            <b/>
            <sz val="12"/>
            <rFont val="宋体"/>
            <charset val="134"/>
          </rPr>
          <t>Administrator:</t>
        </r>
        <r>
          <rPr>
            <sz val="12"/>
            <rFont val="宋体"/>
            <charset val="134"/>
          </rPr>
          <t xml:space="preserve">
4000035 9/3 64 PCS</t>
        </r>
      </text>
    </comment>
    <comment ref="Q508" authorId="1">
      <text>
        <r>
          <rPr>
            <b/>
            <sz val="12"/>
            <rFont val="宋体"/>
            <charset val="134"/>
          </rPr>
          <t>Administrator:</t>
        </r>
        <r>
          <rPr>
            <sz val="12"/>
            <rFont val="宋体"/>
            <charset val="134"/>
          </rPr>
          <t xml:space="preserve">
4000035 9/3 160 PCS</t>
        </r>
      </text>
    </comment>
    <comment ref="Q509" authorId="1">
      <text>
        <r>
          <rPr>
            <b/>
            <sz val="12"/>
            <rFont val="宋体"/>
            <charset val="134"/>
          </rPr>
          <t>Administrator:</t>
        </r>
        <r>
          <rPr>
            <sz val="12"/>
            <rFont val="宋体"/>
            <charset val="134"/>
          </rPr>
          <t xml:space="preserve">
4000035 9/3 32 PCS</t>
        </r>
      </text>
    </comment>
    <comment ref="Q510" authorId="1">
      <text>
        <r>
          <rPr>
            <b/>
            <sz val="12"/>
            <rFont val="宋体"/>
            <charset val="134"/>
          </rPr>
          <t>Administrator:</t>
        </r>
        <r>
          <rPr>
            <sz val="12"/>
            <rFont val="宋体"/>
            <charset val="134"/>
          </rPr>
          <t xml:space="preserve">
4000035 9/3 96 PCS</t>
        </r>
      </text>
    </comment>
    <comment ref="Q511" authorId="1">
      <text>
        <r>
          <rPr>
            <b/>
            <sz val="12"/>
            <rFont val="宋体"/>
            <charset val="134"/>
          </rPr>
          <t>Administrator:</t>
        </r>
        <r>
          <rPr>
            <sz val="12"/>
            <rFont val="宋体"/>
            <charset val="134"/>
          </rPr>
          <t xml:space="preserve">
4000037 9/3 32 PCS</t>
        </r>
      </text>
    </comment>
    <comment ref="Q512" authorId="1">
      <text>
        <r>
          <rPr>
            <b/>
            <sz val="12"/>
            <rFont val="宋体"/>
            <charset val="134"/>
          </rPr>
          <t>Administrator:</t>
        </r>
        <r>
          <rPr>
            <sz val="12"/>
            <rFont val="宋体"/>
            <charset val="134"/>
          </rPr>
          <t xml:space="preserve">
4000037 9/3 96 PCS</t>
        </r>
      </text>
    </comment>
    <comment ref="Q513" authorId="1">
      <text>
        <r>
          <rPr>
            <b/>
            <sz val="12"/>
            <rFont val="宋体"/>
            <charset val="134"/>
          </rPr>
          <t>Administrator:</t>
        </r>
        <r>
          <rPr>
            <sz val="12"/>
            <rFont val="宋体"/>
            <charset val="134"/>
          </rPr>
          <t xml:space="preserve">
4000037 9/3 32 PCS</t>
        </r>
      </text>
    </comment>
    <comment ref="Q514" authorId="1">
      <text>
        <r>
          <rPr>
            <b/>
            <sz val="12"/>
            <rFont val="宋体"/>
            <charset val="134"/>
          </rPr>
          <t>Administrator:</t>
        </r>
        <r>
          <rPr>
            <sz val="12"/>
            <rFont val="宋体"/>
            <charset val="134"/>
          </rPr>
          <t xml:space="preserve">
4000037 9/3 160 PCS</t>
        </r>
      </text>
    </comment>
    <comment ref="Q515" authorId="1">
      <text>
        <r>
          <rPr>
            <b/>
            <sz val="12"/>
            <rFont val="宋体"/>
            <charset val="134"/>
          </rPr>
          <t>Administrator:</t>
        </r>
        <r>
          <rPr>
            <sz val="12"/>
            <rFont val="宋体"/>
            <charset val="134"/>
          </rPr>
          <t xml:space="preserve">
4000037 9/3 64 PCS</t>
        </r>
      </text>
    </comment>
    <comment ref="Q516" authorId="1">
      <text>
        <r>
          <rPr>
            <b/>
            <sz val="12"/>
            <rFont val="宋体"/>
            <charset val="134"/>
          </rPr>
          <t>Administrator:</t>
        </r>
        <r>
          <rPr>
            <sz val="12"/>
            <rFont val="宋体"/>
            <charset val="134"/>
          </rPr>
          <t xml:space="preserve">
4000037 9/3 96 PCS</t>
        </r>
      </text>
    </comment>
    <comment ref="Q517" authorId="1">
      <text>
        <r>
          <rPr>
            <b/>
            <sz val="12"/>
            <rFont val="宋体"/>
            <charset val="134"/>
          </rPr>
          <t>Administrator:</t>
        </r>
        <r>
          <rPr>
            <sz val="12"/>
            <rFont val="宋体"/>
            <charset val="134"/>
          </rPr>
          <t xml:space="preserve">
4000037 9/3 224 PCS</t>
        </r>
      </text>
    </comment>
    <comment ref="Q518" authorId="1">
      <text>
        <r>
          <rPr>
            <b/>
            <sz val="12"/>
            <rFont val="宋体"/>
            <charset val="134"/>
          </rPr>
          <t>Administrator:</t>
        </r>
        <r>
          <rPr>
            <sz val="12"/>
            <rFont val="宋体"/>
            <charset val="134"/>
          </rPr>
          <t xml:space="preserve">
4000037 9/3 96 PCS</t>
        </r>
      </text>
    </comment>
    <comment ref="Q519" authorId="1">
      <text>
        <r>
          <rPr>
            <b/>
            <sz val="11"/>
            <rFont val="宋体"/>
            <charset val="134"/>
          </rPr>
          <t>Administrator:</t>
        </r>
        <r>
          <rPr>
            <sz val="11"/>
            <rFont val="宋体"/>
            <charset val="134"/>
          </rPr>
          <t xml:space="preserve">
4000366 9/5 1560 PCS</t>
        </r>
      </text>
    </comment>
    <comment ref="Q520" authorId="1">
      <text>
        <r>
          <rPr>
            <b/>
            <sz val="11"/>
            <rFont val="宋体"/>
            <charset val="134"/>
          </rPr>
          <t>Administrator:</t>
        </r>
        <r>
          <rPr>
            <sz val="11"/>
            <rFont val="宋体"/>
            <charset val="134"/>
          </rPr>
          <t xml:space="preserve">
4000383 9/4 600 PCS</t>
        </r>
      </text>
    </comment>
    <comment ref="Q521" authorId="1">
      <text>
        <r>
          <rPr>
            <b/>
            <sz val="11"/>
            <rFont val="宋体"/>
            <charset val="134"/>
          </rPr>
          <t>Administrator:</t>
        </r>
        <r>
          <rPr>
            <sz val="11"/>
            <rFont val="宋体"/>
            <charset val="134"/>
          </rPr>
          <t xml:space="preserve">
4000374 9/5 72 PCS
4000012 9/4 5928 PCS</t>
        </r>
      </text>
    </comment>
    <comment ref="Q522" authorId="1">
      <text>
        <r>
          <rPr>
            <b/>
            <sz val="9"/>
            <rFont val="宋体"/>
            <charset val="134"/>
          </rPr>
          <t>Administrator:</t>
        </r>
        <r>
          <rPr>
            <sz val="9"/>
            <rFont val="宋体"/>
            <charset val="134"/>
          </rPr>
          <t xml:space="preserve">
4000487 9/9 96 pcs
4000497 9/8 82 pcs
3001943 9/6 2376 pcs
3001362 9/6 10784 pcs</t>
        </r>
      </text>
    </comment>
    <comment ref="Q523" authorId="1">
      <text>
        <r>
          <rPr>
            <b/>
            <sz val="9"/>
            <rFont val="宋体"/>
            <charset val="134"/>
          </rPr>
          <t>Administrator:</t>
        </r>
        <r>
          <rPr>
            <sz val="9"/>
            <rFont val="宋体"/>
            <charset val="134"/>
          </rPr>
          <t xml:space="preserve">
4000480 9/10 6 pcs
4000507 9/5 4794 pcs</t>
        </r>
      </text>
    </comment>
    <comment ref="Q524" authorId="1">
      <text>
        <r>
          <rPr>
            <b/>
            <sz val="9"/>
            <rFont val="宋体"/>
            <charset val="134"/>
          </rPr>
          <t>Administrator:</t>
        </r>
        <r>
          <rPr>
            <sz val="9"/>
            <rFont val="宋体"/>
            <charset val="134"/>
          </rPr>
          <t xml:space="preserve">
4000445 9/11 312 PCS</t>
        </r>
      </text>
    </comment>
    <comment ref="Q525" authorId="1">
      <text>
        <r>
          <rPr>
            <b/>
            <sz val="11"/>
            <rFont val="宋体"/>
            <charset val="134"/>
          </rPr>
          <t>Administrator:</t>
        </r>
        <r>
          <rPr>
            <sz val="11"/>
            <rFont val="宋体"/>
            <charset val="134"/>
          </rPr>
          <t xml:space="preserve">
4000425 9/12 24 PCS
4000480 9/10 264 pcs
</t>
        </r>
      </text>
    </comment>
    <comment ref="Q526" authorId="1">
      <text>
        <r>
          <rPr>
            <b/>
            <sz val="9"/>
            <rFont val="宋体"/>
            <charset val="134"/>
          </rPr>
          <t>Administrator:</t>
        </r>
        <r>
          <rPr>
            <sz val="9"/>
            <rFont val="宋体"/>
            <charset val="134"/>
          </rPr>
          <t xml:space="preserve">
4000480 9/10 288 pcs</t>
        </r>
      </text>
    </comment>
    <comment ref="Q527" authorId="1">
      <text>
        <r>
          <rPr>
            <b/>
            <sz val="9"/>
            <rFont val="宋体"/>
            <charset val="134"/>
          </rPr>
          <t>Administrator:</t>
        </r>
        <r>
          <rPr>
            <sz val="9"/>
            <rFont val="宋体"/>
            <charset val="134"/>
          </rPr>
          <t xml:space="preserve">
4000480 9/10 288 pcs</t>
        </r>
      </text>
    </comment>
    <comment ref="Q528" authorId="1">
      <text>
        <r>
          <rPr>
            <b/>
            <sz val="9"/>
            <rFont val="宋体"/>
            <charset val="134"/>
          </rPr>
          <t>Administrator:</t>
        </r>
        <r>
          <rPr>
            <sz val="9"/>
            <rFont val="宋体"/>
            <charset val="134"/>
          </rPr>
          <t xml:space="preserve">
4000420 9/11 1200 PCS</t>
        </r>
      </text>
    </comment>
    <comment ref="Q529" authorId="1">
      <text>
        <r>
          <rPr>
            <b/>
            <sz val="9"/>
            <rFont val="宋体"/>
            <charset val="134"/>
          </rPr>
          <t>Administrator:</t>
        </r>
        <r>
          <rPr>
            <sz val="9"/>
            <rFont val="宋体"/>
            <charset val="134"/>
          </rPr>
          <t xml:space="preserve">
4000408 9/13 120 PCS</t>
        </r>
      </text>
    </comment>
    <comment ref="Q530" authorId="1">
      <text>
        <r>
          <rPr>
            <b/>
            <sz val="9"/>
            <rFont val="宋体"/>
            <charset val="134"/>
          </rPr>
          <t>Administrator:</t>
        </r>
        <r>
          <rPr>
            <sz val="9"/>
            <rFont val="宋体"/>
            <charset val="134"/>
          </rPr>
          <t xml:space="preserve">
4000408 9/13 120 PCS</t>
        </r>
      </text>
    </comment>
    <comment ref="Q531" authorId="1">
      <text>
        <r>
          <rPr>
            <b/>
            <sz val="9"/>
            <rFont val="宋体"/>
            <charset val="134"/>
          </rPr>
          <t>Administrator:</t>
        </r>
        <r>
          <rPr>
            <sz val="9"/>
            <rFont val="宋体"/>
            <charset val="134"/>
          </rPr>
          <t xml:space="preserve">
4000408 9/13 120 PCS</t>
        </r>
      </text>
    </comment>
    <comment ref="Q532" authorId="1">
      <text>
        <r>
          <rPr>
            <b/>
            <sz val="9"/>
            <rFont val="宋体"/>
            <charset val="134"/>
          </rPr>
          <t>Administrator:</t>
        </r>
        <r>
          <rPr>
            <sz val="9"/>
            <rFont val="宋体"/>
            <charset val="134"/>
          </rPr>
          <t xml:space="preserve">
4000408 9/13 120 PCS</t>
        </r>
      </text>
    </comment>
    <comment ref="Q533" authorId="1">
      <text>
        <r>
          <rPr>
            <b/>
            <sz val="9"/>
            <rFont val="宋体"/>
            <charset val="134"/>
          </rPr>
          <t>Administrator:</t>
        </r>
        <r>
          <rPr>
            <sz val="9"/>
            <rFont val="宋体"/>
            <charset val="134"/>
          </rPr>
          <t xml:space="preserve">
4000408 9/13 120 PCS</t>
        </r>
      </text>
    </comment>
    <comment ref="Q534" authorId="1">
      <text>
        <r>
          <rPr>
            <b/>
            <sz val="9"/>
            <rFont val="宋体"/>
            <charset val="134"/>
          </rPr>
          <t>Administrator:</t>
        </r>
        <r>
          <rPr>
            <sz val="9"/>
            <rFont val="宋体"/>
            <charset val="134"/>
          </rPr>
          <t xml:space="preserve">
4000408 9/13 120 PCS</t>
        </r>
      </text>
    </comment>
    <comment ref="Q535" authorId="1">
      <text>
        <r>
          <rPr>
            <b/>
            <sz val="12"/>
            <rFont val="宋体"/>
            <charset val="134"/>
          </rPr>
          <t>Administrator:</t>
        </r>
        <r>
          <rPr>
            <sz val="12"/>
            <rFont val="宋体"/>
            <charset val="134"/>
          </rPr>
          <t xml:space="preserve">
4000119 8/28 2976PCS</t>
        </r>
      </text>
    </comment>
    <comment ref="Q536" authorId="1">
      <text>
        <r>
          <rPr>
            <b/>
            <sz val="11"/>
            <rFont val="宋体"/>
            <charset val="134"/>
          </rPr>
          <t>Administrator:</t>
        </r>
        <r>
          <rPr>
            <sz val="11"/>
            <rFont val="宋体"/>
            <charset val="134"/>
          </rPr>
          <t xml:space="preserve">
4000425 9/12 3480 PCS</t>
        </r>
      </text>
    </comment>
    <comment ref="Q537" authorId="1">
      <text>
        <r>
          <rPr>
            <b/>
            <sz val="11"/>
            <rFont val="宋体"/>
            <charset val="134"/>
          </rPr>
          <t>Administrator:</t>
        </r>
        <r>
          <rPr>
            <sz val="11"/>
            <rFont val="宋体"/>
            <charset val="134"/>
          </rPr>
          <t xml:space="preserve">
4000425 9/12 1512 PCS</t>
        </r>
      </text>
    </comment>
    <comment ref="Q538" authorId="1">
      <text>
        <r>
          <rPr>
            <b/>
            <sz val="11"/>
            <rFont val="宋体"/>
            <charset val="134"/>
          </rPr>
          <t>Administrator:</t>
        </r>
        <r>
          <rPr>
            <sz val="11"/>
            <rFont val="宋体"/>
            <charset val="134"/>
          </rPr>
          <t xml:space="preserve">
4000412 9、15 1104 PCS</t>
        </r>
      </text>
    </comment>
    <comment ref="Q539" authorId="1">
      <text>
        <r>
          <rPr>
            <b/>
            <sz val="11"/>
            <rFont val="宋体"/>
            <charset val="134"/>
          </rPr>
          <t>Administrator:</t>
        </r>
        <r>
          <rPr>
            <sz val="11"/>
            <rFont val="宋体"/>
            <charset val="134"/>
          </rPr>
          <t xml:space="preserve">
4000412 9、15 240 PCS</t>
        </r>
      </text>
    </comment>
    <comment ref="Q540" authorId="1">
      <text>
        <r>
          <rPr>
            <b/>
            <sz val="11"/>
            <rFont val="宋体"/>
            <charset val="134"/>
          </rPr>
          <t>Administrator:</t>
        </r>
        <r>
          <rPr>
            <sz val="11"/>
            <rFont val="宋体"/>
            <charset val="134"/>
          </rPr>
          <t xml:space="preserve">
4000412 9、15 1152 PCS</t>
        </r>
      </text>
    </comment>
    <comment ref="Q541" authorId="1">
      <text>
        <r>
          <rPr>
            <b/>
            <sz val="11"/>
            <rFont val="宋体"/>
            <charset val="134"/>
          </rPr>
          <t>Administrator:</t>
        </r>
        <r>
          <rPr>
            <sz val="11"/>
            <rFont val="宋体"/>
            <charset val="134"/>
          </rPr>
          <t xml:space="preserve">
4000412 9、15 468 PCS</t>
        </r>
      </text>
    </comment>
    <comment ref="Q542" authorId="1">
      <text>
        <r>
          <rPr>
            <b/>
            <sz val="11"/>
            <rFont val="宋体"/>
            <charset val="134"/>
          </rPr>
          <t>Administrator:</t>
        </r>
        <r>
          <rPr>
            <sz val="11"/>
            <rFont val="宋体"/>
            <charset val="134"/>
          </rPr>
          <t xml:space="preserve">
4000412 9、15 360 PCS</t>
        </r>
      </text>
    </comment>
    <comment ref="Q543" authorId="1">
      <text>
        <r>
          <rPr>
            <b/>
            <sz val="11"/>
            <rFont val="宋体"/>
            <charset val="134"/>
          </rPr>
          <t>Administrator:</t>
        </r>
        <r>
          <rPr>
            <sz val="11"/>
            <rFont val="宋体"/>
            <charset val="134"/>
          </rPr>
          <t xml:space="preserve">
4000911 9/17 33 PCS
4000906 9/16 288 PCS
4000905 9/16 3315 PCS
4000904 9/16 1746 PCS
4000903 9/16 3312 PCS
4000901 9/16 1872 PCS</t>
        </r>
      </text>
    </comment>
    <comment ref="Q544" authorId="1">
      <text>
        <r>
          <rPr>
            <b/>
            <sz val="11"/>
            <rFont val="宋体"/>
            <charset val="134"/>
          </rPr>
          <t>Administrator:</t>
        </r>
        <r>
          <rPr>
            <sz val="11"/>
            <rFont val="宋体"/>
            <charset val="134"/>
          </rPr>
          <t xml:space="preserve">
4000903 9/16 12 PCS
4000901 9/16 1162 PCS</t>
        </r>
      </text>
    </comment>
    <comment ref="Q545" authorId="1">
      <text>
        <r>
          <rPr>
            <b/>
            <sz val="11"/>
            <rFont val="宋体"/>
            <charset val="134"/>
          </rPr>
          <t>Administrator:</t>
        </r>
        <r>
          <rPr>
            <sz val="11"/>
            <rFont val="宋体"/>
            <charset val="134"/>
          </rPr>
          <t xml:space="preserve">
5000297 9/20 432 PCS
5000309 9/19 4584 PCS</t>
        </r>
      </text>
    </comment>
    <comment ref="Q638" authorId="1">
      <text>
        <r>
          <rPr>
            <b/>
            <sz val="14"/>
            <rFont val="宋体"/>
            <charset val="134"/>
          </rPr>
          <t>Administrator:</t>
        </r>
        <r>
          <rPr>
            <sz val="14"/>
            <rFont val="宋体"/>
            <charset val="134"/>
          </rPr>
          <t xml:space="preserve">
1600968/1600974 1/4 3726 PCS 
1601011 1/6 6 PCS </t>
        </r>
      </text>
    </comment>
    <comment ref="S638" authorId="1">
      <text>
        <r>
          <rPr>
            <b/>
            <sz val="14"/>
            <rFont val="宋体"/>
            <charset val="134"/>
          </rPr>
          <t>Administrator:</t>
        </r>
        <r>
          <rPr>
            <sz val="14"/>
            <rFont val="宋体"/>
            <charset val="134"/>
          </rPr>
          <t xml:space="preserve">
12/3 上款号条码贴纸 3732 pcs</t>
        </r>
      </text>
    </comment>
    <comment ref="Q639" authorId="1">
      <text>
        <r>
          <rPr>
            <b/>
            <sz val="14"/>
            <rFont val="宋体"/>
            <charset val="134"/>
          </rPr>
          <t>Administrator:</t>
        </r>
        <r>
          <rPr>
            <sz val="14"/>
            <rFont val="宋体"/>
            <charset val="134"/>
          </rPr>
          <t xml:space="preserve">
1601039/1601019 1/7 1008 pcs</t>
        </r>
      </text>
    </comment>
    <comment ref="S639" authorId="1">
      <text>
        <r>
          <rPr>
            <b/>
            <sz val="14"/>
            <rFont val="宋体"/>
            <charset val="134"/>
          </rPr>
          <t>Administrator:</t>
        </r>
        <r>
          <rPr>
            <sz val="14"/>
            <rFont val="宋体"/>
            <charset val="134"/>
          </rPr>
          <t xml:space="preserve">
12/16 上客供价格贴纸 1109 pcs</t>
        </r>
      </text>
    </comment>
    <comment ref="Q640" authorId="1">
      <text>
        <r>
          <rPr>
            <b/>
            <sz val="14"/>
            <rFont val="宋体"/>
            <charset val="134"/>
          </rPr>
          <t>Administrator:</t>
        </r>
        <r>
          <rPr>
            <sz val="14"/>
            <rFont val="宋体"/>
            <charset val="134"/>
          </rPr>
          <t xml:space="preserve">
1601039/1601019 1/7 1200 pcs</t>
        </r>
      </text>
    </comment>
    <comment ref="S640" authorId="1">
      <text>
        <r>
          <rPr>
            <b/>
            <sz val="14"/>
            <rFont val="宋体"/>
            <charset val="134"/>
          </rPr>
          <t>Administrator:</t>
        </r>
        <r>
          <rPr>
            <sz val="14"/>
            <rFont val="宋体"/>
            <charset val="134"/>
          </rPr>
          <t xml:space="preserve">
12/16 上客供价格贴纸 1320 pcs</t>
        </r>
      </text>
    </comment>
    <comment ref="Q641" authorId="1">
      <text>
        <r>
          <rPr>
            <b/>
            <sz val="14"/>
            <rFont val="宋体"/>
            <charset val="134"/>
          </rPr>
          <t>Administrator:</t>
        </r>
        <r>
          <rPr>
            <sz val="14"/>
            <rFont val="宋体"/>
            <charset val="134"/>
          </rPr>
          <t xml:space="preserve">
1601039 1/7 588 pcs
1601045 1/8 12 pcs</t>
        </r>
      </text>
    </comment>
    <comment ref="S641" authorId="1">
      <text>
        <r>
          <rPr>
            <b/>
            <sz val="14"/>
            <rFont val="宋体"/>
            <charset val="134"/>
          </rPr>
          <t>Administrator:</t>
        </r>
        <r>
          <rPr>
            <sz val="14"/>
            <rFont val="宋体"/>
            <charset val="134"/>
          </rPr>
          <t xml:space="preserve">
12/28 上UPC条码/进口商贴纸 600 pcs</t>
        </r>
      </text>
    </comment>
    <comment ref="Q642" authorId="1">
      <text>
        <r>
          <rPr>
            <b/>
            <sz val="14"/>
            <rFont val="宋体"/>
            <charset val="134"/>
          </rPr>
          <t>Administrator:</t>
        </r>
        <r>
          <rPr>
            <sz val="14"/>
            <rFont val="宋体"/>
            <charset val="134"/>
          </rPr>
          <t xml:space="preserve">
1601019 1/7 240 pcs</t>
        </r>
      </text>
    </comment>
    <comment ref="S642" authorId="1">
      <text>
        <r>
          <rPr>
            <b/>
            <sz val="14"/>
            <rFont val="宋体"/>
            <charset val="134"/>
          </rPr>
          <t>Administrator:</t>
        </r>
        <r>
          <rPr>
            <sz val="14"/>
            <rFont val="宋体"/>
            <charset val="134"/>
          </rPr>
          <t xml:space="preserve">
12/16 上进口商贴纸(含环保 240 pcs</t>
        </r>
      </text>
    </comment>
    <comment ref="Q643" authorId="1">
      <text>
        <r>
          <rPr>
            <b/>
            <sz val="14"/>
            <rFont val="宋体"/>
            <charset val="134"/>
          </rPr>
          <t>Administrator:</t>
        </r>
        <r>
          <rPr>
            <sz val="14"/>
            <rFont val="宋体"/>
            <charset val="134"/>
          </rPr>
          <t xml:space="preserve">
1601019 1/7 4224 pcs</t>
        </r>
      </text>
    </comment>
    <comment ref="S643" authorId="1">
      <text>
        <r>
          <rPr>
            <b/>
            <sz val="14"/>
            <rFont val="宋体"/>
            <charset val="134"/>
          </rPr>
          <t>Administrator:</t>
        </r>
        <r>
          <rPr>
            <sz val="14"/>
            <rFont val="宋体"/>
            <charset val="134"/>
          </rPr>
          <t xml:space="preserve">
12/5 上口水胶袋贴纸 10008 pcs
     上进口商贴纸 5004 pcs</t>
        </r>
      </text>
    </comment>
    <comment ref="Q644" authorId="1">
      <text>
        <r>
          <rPr>
            <b/>
            <sz val="14"/>
            <rFont val="宋体"/>
            <charset val="134"/>
          </rPr>
          <t>Administrator
1601068 1/10 720 pcs</t>
        </r>
      </text>
    </comment>
    <comment ref="Q645" authorId="1">
      <text>
        <r>
          <rPr>
            <b/>
            <sz val="14"/>
            <rFont val="宋体"/>
            <charset val="134"/>
          </rPr>
          <t>Administrator:</t>
        </r>
        <r>
          <rPr>
            <sz val="14"/>
            <rFont val="宋体"/>
            <charset val="134"/>
          </rPr>
          <t xml:space="preserve">
1601068 1/10 600 pcs</t>
        </r>
      </text>
    </comment>
    <comment ref="Q646" authorId="1">
      <text>
        <r>
          <rPr>
            <b/>
            <sz val="14"/>
            <rFont val="宋体"/>
            <charset val="134"/>
          </rPr>
          <t>Administrator:</t>
        </r>
        <r>
          <rPr>
            <sz val="14"/>
            <rFont val="宋体"/>
            <charset val="134"/>
          </rPr>
          <t xml:space="preserve">
1601068 1/10 2232 pcs</t>
        </r>
      </text>
    </comment>
    <comment ref="Q647" authorId="1">
      <text>
        <r>
          <rPr>
            <b/>
            <sz val="14"/>
            <rFont val="宋体"/>
            <charset val="134"/>
          </rPr>
          <t>Administrator:</t>
        </r>
        <r>
          <rPr>
            <sz val="14"/>
            <rFont val="宋体"/>
            <charset val="134"/>
          </rPr>
          <t xml:space="preserve">
1601068 1/10 2232 pcs
1601105 1/12 12 pcs</t>
        </r>
      </text>
    </comment>
    <comment ref="Q648" authorId="1">
      <text>
        <r>
          <rPr>
            <b/>
            <sz val="14"/>
            <rFont val="宋体"/>
            <charset val="134"/>
          </rPr>
          <t>Administrator:</t>
        </r>
        <r>
          <rPr>
            <sz val="14"/>
            <rFont val="宋体"/>
            <charset val="134"/>
          </rPr>
          <t xml:space="preserve">
1601051 1/9 32 pcs</t>
        </r>
      </text>
    </comment>
    <comment ref="S648" authorId="1">
      <text>
        <r>
          <rPr>
            <b/>
            <sz val="14"/>
            <rFont val="宋体"/>
            <charset val="134"/>
          </rPr>
          <t>Administrator:</t>
        </r>
        <r>
          <rPr>
            <sz val="14"/>
            <rFont val="宋体"/>
            <charset val="134"/>
          </rPr>
          <t xml:space="preserve">
12/25 上进口商贴纸 32 pcs
      上UPC贴纸 32 pcs
12/26 上客供亚马逊外箱贴纸 1 pcs</t>
        </r>
      </text>
    </comment>
    <comment ref="Q649" authorId="1">
      <text>
        <r>
          <rPr>
            <b/>
            <sz val="14"/>
            <rFont val="宋体"/>
            <charset val="134"/>
          </rPr>
          <t>Administrator:</t>
        </r>
        <r>
          <rPr>
            <sz val="14"/>
            <rFont val="宋体"/>
            <charset val="134"/>
          </rPr>
          <t xml:space="preserve">
1601051 1/9 32 pcs</t>
        </r>
      </text>
    </comment>
    <comment ref="S649" authorId="1">
      <text>
        <r>
          <rPr>
            <b/>
            <sz val="14"/>
            <rFont val="宋体"/>
            <charset val="134"/>
          </rPr>
          <t>Administrator:</t>
        </r>
        <r>
          <rPr>
            <sz val="14"/>
            <rFont val="宋体"/>
            <charset val="134"/>
          </rPr>
          <t xml:space="preserve">
12/25 上进口商贴纸 32 pcs
      上UPC贴纸 32 pcs
12/26 上客供亚马逊外箱贴纸 1 pcs</t>
        </r>
      </text>
    </comment>
    <comment ref="Q650" authorId="1">
      <text>
        <r>
          <rPr>
            <b/>
            <sz val="14"/>
            <rFont val="宋体"/>
            <charset val="134"/>
          </rPr>
          <t>Administrator:</t>
        </r>
        <r>
          <rPr>
            <sz val="14"/>
            <rFont val="宋体"/>
            <charset val="134"/>
          </rPr>
          <t xml:space="preserve">
1601051 1/9 96 pcs</t>
        </r>
      </text>
    </comment>
    <comment ref="S650" authorId="1">
      <text>
        <r>
          <rPr>
            <b/>
            <sz val="14"/>
            <rFont val="宋体"/>
            <charset val="134"/>
          </rPr>
          <t>Administrator:</t>
        </r>
        <r>
          <rPr>
            <sz val="14"/>
            <rFont val="宋体"/>
            <charset val="134"/>
          </rPr>
          <t xml:space="preserve">
12/25 上进口商贴纸 96 pcs
      上UPC贴纸 96 pcs
12/26 上客供亚马逊外箱贴纸 3 pcs</t>
        </r>
      </text>
    </comment>
    <comment ref="Q651" authorId="1">
      <text>
        <r>
          <rPr>
            <b/>
            <sz val="14"/>
            <rFont val="宋体"/>
            <charset val="134"/>
          </rPr>
          <t>Administrator:</t>
        </r>
        <r>
          <rPr>
            <sz val="14"/>
            <rFont val="宋体"/>
            <charset val="134"/>
          </rPr>
          <t xml:space="preserve">
1601051 1/9 504 pcs</t>
        </r>
      </text>
    </comment>
    <comment ref="S651" authorId="1">
      <text>
        <r>
          <rPr>
            <b/>
            <sz val="14"/>
            <rFont val="宋体"/>
            <charset val="134"/>
          </rPr>
          <t>Administrator:</t>
        </r>
        <r>
          <rPr>
            <sz val="14"/>
            <rFont val="宋体"/>
            <charset val="134"/>
          </rPr>
          <t xml:space="preserve">
12/16 上UPC/进口商贴纸 504 pcs</t>
        </r>
      </text>
    </comment>
    <comment ref="Q652" authorId="1">
      <text>
        <r>
          <rPr>
            <b/>
            <sz val="14"/>
            <rFont val="宋体"/>
            <charset val="134"/>
          </rPr>
          <t>Administrator:</t>
        </r>
        <r>
          <rPr>
            <sz val="14"/>
            <rFont val="宋体"/>
            <charset val="134"/>
          </rPr>
          <t xml:space="preserve">
1601060 1/9 6000 pcs</t>
        </r>
      </text>
    </comment>
    <comment ref="S652" authorId="1">
      <text>
        <r>
          <rPr>
            <b/>
            <sz val="14"/>
            <rFont val="宋体"/>
            <charset val="134"/>
          </rPr>
          <t>Administrator:</t>
        </r>
        <r>
          <rPr>
            <sz val="14"/>
            <rFont val="宋体"/>
            <charset val="134"/>
          </rPr>
          <t xml:space="preserve">
12/22 上客户EAN条码贴纸 6000 pcs
      上PDQ数量贴纸 1500 pcs
</t>
        </r>
      </text>
    </comment>
    <comment ref="Q653" authorId="1">
      <text>
        <r>
          <rPr>
            <b/>
            <sz val="14"/>
            <rFont val="宋体"/>
            <charset val="134"/>
          </rPr>
          <t>Administrator:</t>
        </r>
        <r>
          <rPr>
            <sz val="14"/>
            <rFont val="宋体"/>
            <charset val="134"/>
          </rPr>
          <t xml:space="preserve">
1601068 1/10 1032 pcs</t>
        </r>
      </text>
    </comment>
    <comment ref="S653" authorId="1">
      <text>
        <r>
          <rPr>
            <b/>
            <sz val="14"/>
            <rFont val="宋体"/>
            <charset val="134"/>
          </rPr>
          <t>Administrator:</t>
        </r>
        <r>
          <rPr>
            <sz val="14"/>
            <rFont val="宋体"/>
            <charset val="134"/>
          </rPr>
          <t xml:space="preserve">
12/25 上进口商贴纸 1500 pcs</t>
        </r>
      </text>
    </comment>
    <comment ref="Q654" authorId="1">
      <text>
        <r>
          <rPr>
            <b/>
            <sz val="14"/>
            <rFont val="宋体"/>
            <charset val="134"/>
          </rPr>
          <t>Administrator:</t>
        </r>
        <r>
          <rPr>
            <sz val="14"/>
            <rFont val="宋体"/>
            <charset val="134"/>
          </rPr>
          <t xml:space="preserve">
1601068 1/10 468 pcs</t>
        </r>
      </text>
    </comment>
    <comment ref="Q655" authorId="1">
      <text>
        <r>
          <rPr>
            <b/>
            <sz val="14"/>
            <rFont val="宋体"/>
            <charset val="134"/>
          </rPr>
          <t>Administrator:</t>
        </r>
        <r>
          <rPr>
            <sz val="14"/>
            <rFont val="宋体"/>
            <charset val="134"/>
          </rPr>
          <t xml:space="preserve">
1600083 12/26 4992 pcs
1600089 12/27 24 pcs</t>
        </r>
      </text>
    </comment>
    <comment ref="S655" authorId="1">
      <text>
        <r>
          <rPr>
            <b/>
            <sz val="14"/>
            <rFont val="宋体"/>
            <charset val="134"/>
          </rPr>
          <t>Administrator:</t>
        </r>
        <r>
          <rPr>
            <sz val="14"/>
            <rFont val="宋体"/>
            <charset val="134"/>
          </rPr>
          <t xml:space="preserve">
12/16 上客版产品条码贴纸 5016 pcs
12/23 上外箱贴纸 209 pcs</t>
        </r>
      </text>
    </comment>
    <comment ref="Q656" authorId="1">
      <text>
        <r>
          <rPr>
            <b/>
            <sz val="14"/>
            <rFont val="宋体"/>
            <charset val="134"/>
          </rPr>
          <t>Administrator:</t>
        </r>
        <r>
          <rPr>
            <sz val="14"/>
            <rFont val="宋体"/>
            <charset val="134"/>
          </rPr>
          <t xml:space="preserve">
1601110 1/13 360 pcs</t>
        </r>
      </text>
    </comment>
    <comment ref="Q657" authorId="1">
      <text>
        <r>
          <rPr>
            <b/>
            <sz val="14"/>
            <rFont val="宋体"/>
            <charset val="134"/>
          </rPr>
          <t>Administrator:</t>
        </r>
        <r>
          <rPr>
            <sz val="14"/>
            <rFont val="宋体"/>
            <charset val="134"/>
          </rPr>
          <t xml:space="preserve">
1601110 1/13 360 pcs</t>
        </r>
      </text>
    </comment>
    <comment ref="Q658" authorId="1">
      <text>
        <r>
          <rPr>
            <b/>
            <sz val="14"/>
            <rFont val="宋体"/>
            <charset val="134"/>
          </rPr>
          <t>Administrator:</t>
        </r>
        <r>
          <rPr>
            <sz val="14"/>
            <rFont val="宋体"/>
            <charset val="134"/>
          </rPr>
          <t xml:space="preserve">
5000736 1/13 240 pcs</t>
        </r>
      </text>
    </comment>
    <comment ref="Q659" authorId="1">
      <text>
        <r>
          <rPr>
            <b/>
            <sz val="14"/>
            <rFont val="宋体"/>
            <charset val="134"/>
          </rPr>
          <t>Administrator:</t>
        </r>
        <r>
          <rPr>
            <sz val="14"/>
            <rFont val="宋体"/>
            <charset val="134"/>
          </rPr>
          <t xml:space="preserve">
1601148/1601124 1/14 6000 pcs</t>
        </r>
      </text>
    </comment>
    <comment ref="S659" authorId="1">
      <text>
        <r>
          <rPr>
            <b/>
            <sz val="14"/>
            <rFont val="宋体"/>
            <charset val="134"/>
          </rPr>
          <t>Administrator:</t>
        </r>
        <r>
          <rPr>
            <sz val="14"/>
            <rFont val="宋体"/>
            <charset val="134"/>
          </rPr>
          <t xml:space="preserve">
12/25 上客户EAN条码 6000 pcs
      上PDQ数量贴纸 1500 pcs</t>
        </r>
      </text>
    </comment>
    <comment ref="Q660" authorId="1">
      <text>
        <r>
          <rPr>
            <b/>
            <sz val="14"/>
            <rFont val="宋体"/>
            <charset val="134"/>
          </rPr>
          <t>Administrator:</t>
        </r>
        <r>
          <rPr>
            <sz val="14"/>
            <rFont val="宋体"/>
            <charset val="134"/>
          </rPr>
          <t xml:space="preserve">
1601159 1/15 474 pcs
1601196 1/19 6 pcs</t>
        </r>
      </text>
    </comment>
    <comment ref="Q661" authorId="1">
      <text>
        <r>
          <rPr>
            <b/>
            <sz val="14"/>
            <rFont val="宋体"/>
            <charset val="134"/>
          </rPr>
          <t>Administrator:</t>
        </r>
        <r>
          <rPr>
            <sz val="14"/>
            <rFont val="宋体"/>
            <charset val="134"/>
          </rPr>
          <t xml:space="preserve">
1601148 1/14 2700 pcs</t>
        </r>
      </text>
    </comment>
    <comment ref="S661" authorId="1">
      <text>
        <r>
          <rPr>
            <b/>
            <sz val="14"/>
            <rFont val="宋体"/>
            <charset val="134"/>
          </rPr>
          <t>Administrator:</t>
        </r>
        <r>
          <rPr>
            <sz val="14"/>
            <rFont val="宋体"/>
            <charset val="134"/>
          </rPr>
          <t xml:space="preserve">
12/31 上价格贴纸 2700 pcs</t>
        </r>
      </text>
    </comment>
    <comment ref="Q662" authorId="1">
      <text>
        <r>
          <rPr>
            <b/>
            <sz val="14"/>
            <rFont val="宋体"/>
            <charset val="134"/>
          </rPr>
          <t>Administrator:</t>
        </r>
        <r>
          <rPr>
            <sz val="14"/>
            <rFont val="宋体"/>
            <charset val="134"/>
          </rPr>
          <t xml:space="preserve">
1601179 1/17 480 pcs
1601201 1/21 24 pcs</t>
        </r>
      </text>
    </comment>
    <comment ref="S662" authorId="1">
      <text>
        <r>
          <rPr>
            <b/>
            <sz val="14"/>
            <rFont val="宋体"/>
            <charset val="134"/>
          </rPr>
          <t>Administrator:</t>
        </r>
        <r>
          <rPr>
            <sz val="14"/>
            <rFont val="宋体"/>
            <charset val="134"/>
          </rPr>
          <t xml:space="preserve">
1/4 上进口商贴纸 504 pcs</t>
        </r>
      </text>
    </comment>
    <comment ref="Q663" authorId="1">
      <text>
        <r>
          <rPr>
            <b/>
            <sz val="14"/>
            <rFont val="宋体"/>
            <charset val="134"/>
          </rPr>
          <t>Administrator:</t>
        </r>
        <r>
          <rPr>
            <sz val="14"/>
            <rFont val="宋体"/>
            <charset val="134"/>
          </rPr>
          <t xml:space="preserve">
4001767 1/17 1296 pcs</t>
        </r>
      </text>
    </comment>
    <comment ref="S663" authorId="1">
      <text>
        <r>
          <rPr>
            <b/>
            <sz val="14"/>
            <rFont val="宋体"/>
            <charset val="134"/>
          </rPr>
          <t>Administrator:</t>
        </r>
        <r>
          <rPr>
            <sz val="14"/>
            <rFont val="宋体"/>
            <charset val="134"/>
          </rPr>
          <t xml:space="preserve">
12/22 上进口商贴纸 2592 pcs
      上产品贴纸 2592 pcs
      上EAN贴纸 2592 pcs</t>
        </r>
      </text>
    </comment>
    <comment ref="Q664" authorId="1">
      <text>
        <r>
          <rPr>
            <b/>
            <sz val="14"/>
            <rFont val="宋体"/>
            <charset val="134"/>
          </rPr>
          <t>Administrator:</t>
        </r>
        <r>
          <rPr>
            <sz val="14"/>
            <rFont val="宋体"/>
            <charset val="134"/>
          </rPr>
          <t xml:space="preserve">
1601213 1/20 792 pcs
1601285 1/23 24 PCS </t>
        </r>
      </text>
    </comment>
    <comment ref="S664" authorId="1">
      <text>
        <r>
          <rPr>
            <b/>
            <sz val="14"/>
            <rFont val="宋体"/>
            <charset val="134"/>
          </rPr>
          <t>Administrator:</t>
        </r>
        <r>
          <rPr>
            <sz val="14"/>
            <rFont val="宋体"/>
            <charset val="134"/>
          </rPr>
          <t xml:space="preserve">
1/5 上UPC/进口商贴纸 816 pcs</t>
        </r>
      </text>
    </comment>
    <comment ref="Q665" authorId="1">
      <text>
        <r>
          <rPr>
            <b/>
            <sz val="14"/>
            <rFont val="宋体"/>
            <charset val="134"/>
          </rPr>
          <t>Administrator:</t>
        </r>
        <r>
          <rPr>
            <sz val="14"/>
            <rFont val="宋体"/>
            <charset val="134"/>
          </rPr>
          <t xml:space="preserve">
1601299 1/26 600 pcs</t>
        </r>
      </text>
    </comment>
    <comment ref="S665" authorId="1">
      <text>
        <r>
          <rPr>
            <b/>
            <sz val="14"/>
            <rFont val="宋体"/>
            <charset val="134"/>
          </rPr>
          <t>Administrator:</t>
        </r>
        <r>
          <rPr>
            <sz val="14"/>
            <rFont val="宋体"/>
            <charset val="134"/>
          </rPr>
          <t xml:space="preserve">
1/1 上客供价格贴纸 600 pcs</t>
        </r>
      </text>
    </comment>
    <comment ref="Q666" authorId="1">
      <text>
        <r>
          <rPr>
            <b/>
            <sz val="14"/>
            <rFont val="宋体"/>
            <charset val="134"/>
          </rPr>
          <t>Administrator:</t>
        </r>
        <r>
          <rPr>
            <sz val="14"/>
            <rFont val="宋体"/>
            <charset val="134"/>
          </rPr>
          <t xml:space="preserve">
1601299 1/26 504 pcs</t>
        </r>
      </text>
    </comment>
    <comment ref="S666" authorId="1">
      <text>
        <r>
          <rPr>
            <b/>
            <sz val="14"/>
            <rFont val="宋体"/>
            <charset val="134"/>
          </rPr>
          <t>Administrator:</t>
        </r>
        <r>
          <rPr>
            <sz val="14"/>
            <rFont val="宋体"/>
            <charset val="134"/>
          </rPr>
          <t xml:space="preserve">
1/9 上UPC贴纸 504 pcs</t>
        </r>
      </text>
    </comment>
    <comment ref="Q667" authorId="1">
      <text>
        <r>
          <rPr>
            <b/>
            <sz val="14"/>
            <rFont val="宋体"/>
            <charset val="134"/>
          </rPr>
          <t>Administrator:</t>
        </r>
        <r>
          <rPr>
            <sz val="14"/>
            <rFont val="宋体"/>
            <charset val="134"/>
          </rPr>
          <t xml:space="preserve">
1601136 1/24 960 pcs</t>
        </r>
      </text>
    </comment>
    <comment ref="S667" authorId="1">
      <text>
        <r>
          <rPr>
            <b/>
            <sz val="14"/>
            <rFont val="宋体"/>
            <charset val="134"/>
          </rPr>
          <t>Administrator:</t>
        </r>
        <r>
          <rPr>
            <sz val="14"/>
            <rFont val="宋体"/>
            <charset val="134"/>
          </rPr>
          <t xml:space="preserve">
1/15 上UPC/进口商贴纸 960 pcs</t>
        </r>
      </text>
    </comment>
    <comment ref="Q668" authorId="1">
      <text>
        <r>
          <rPr>
            <b/>
            <sz val="14"/>
            <rFont val="宋体"/>
            <charset val="134"/>
          </rPr>
          <t>Administrator:</t>
        </r>
        <r>
          <rPr>
            <sz val="14"/>
            <rFont val="宋体"/>
            <charset val="134"/>
          </rPr>
          <t xml:space="preserve">
1601289 1/27 32 PCS </t>
        </r>
      </text>
    </comment>
    <comment ref="S668" authorId="1">
      <text>
        <r>
          <rPr>
            <b/>
            <sz val="14"/>
            <rFont val="宋体"/>
            <charset val="134"/>
          </rPr>
          <t>Administrator:</t>
        </r>
        <r>
          <rPr>
            <sz val="14"/>
            <rFont val="宋体"/>
            <charset val="134"/>
          </rPr>
          <t xml:space="preserve">
1/5 上进口商贴纸 32 pcs
    上UPC贴纸</t>
        </r>
        <r>
          <rPr>
            <b/>
            <sz val="14"/>
            <rFont val="宋体"/>
            <charset val="134"/>
          </rPr>
          <t xml:space="preserve"> 32 pcs</t>
        </r>
      </text>
    </comment>
    <comment ref="Q669" authorId="1">
      <text>
        <r>
          <rPr>
            <b/>
            <sz val="14"/>
            <rFont val="宋体"/>
            <charset val="134"/>
          </rPr>
          <t>Administrator:</t>
        </r>
        <r>
          <rPr>
            <sz val="14"/>
            <rFont val="宋体"/>
            <charset val="134"/>
          </rPr>
          <t xml:space="preserve">
5000256 1/27 576 PCS </t>
        </r>
      </text>
    </comment>
    <comment ref="S669" authorId="1">
      <text>
        <r>
          <rPr>
            <b/>
            <sz val="12"/>
            <rFont val="宋体"/>
            <charset val="134"/>
          </rPr>
          <t>Administrator:</t>
        </r>
        <r>
          <rPr>
            <sz val="12"/>
            <rFont val="宋体"/>
            <charset val="134"/>
          </rPr>
          <t xml:space="preserve">
10/23 上进口商贴纸 2004 pcs
      上UPC贴纸 2004 pcs
10/24 上红色logo贴纸 2004 pcs</t>
        </r>
      </text>
    </comment>
    <comment ref="Q670" authorId="1">
      <text>
        <r>
          <rPr>
            <b/>
            <sz val="14"/>
            <rFont val="宋体"/>
            <charset val="134"/>
          </rPr>
          <t>Administrator:</t>
        </r>
        <r>
          <rPr>
            <sz val="14"/>
            <rFont val="宋体"/>
            <charset val="134"/>
          </rPr>
          <t xml:space="preserve">
5000256 1/27 624 PCS </t>
        </r>
      </text>
    </comment>
    <comment ref="Q671" authorId="1">
      <text>
        <r>
          <rPr>
            <b/>
            <sz val="14"/>
            <rFont val="宋体"/>
            <charset val="134"/>
          </rPr>
          <t>Administrator:</t>
        </r>
        <r>
          <rPr>
            <sz val="14"/>
            <rFont val="宋体"/>
            <charset val="134"/>
          </rPr>
          <t xml:space="preserve">
5000256 1/27 804 PCS </t>
        </r>
      </text>
    </comment>
    <comment ref="Q672" authorId="1">
      <text>
        <r>
          <rPr>
            <b/>
            <sz val="14"/>
            <rFont val="宋体"/>
            <charset val="134"/>
          </rPr>
          <t>Administrator:</t>
        </r>
        <r>
          <rPr>
            <sz val="14"/>
            <rFont val="宋体"/>
            <charset val="134"/>
          </rPr>
          <t xml:space="preserve">
1405693 1/30 2808 pcs</t>
        </r>
      </text>
    </comment>
    <comment ref="S672" authorId="1">
      <text>
        <r>
          <rPr>
            <b/>
            <sz val="14"/>
            <rFont val="宋体"/>
            <charset val="134"/>
          </rPr>
          <t>Administrator:</t>
        </r>
        <r>
          <rPr>
            <sz val="14"/>
            <rFont val="宋体"/>
            <charset val="134"/>
          </rPr>
          <t xml:space="preserve">
1/19 上UPC/进口商贴纸 2808 pcs</t>
        </r>
      </text>
    </comment>
    <comment ref="Q673" authorId="1">
      <text>
        <r>
          <rPr>
            <b/>
            <sz val="14"/>
            <rFont val="宋体"/>
            <charset val="134"/>
          </rPr>
          <t>Administrator:</t>
        </r>
        <r>
          <rPr>
            <sz val="14"/>
            <rFont val="宋体"/>
            <charset val="134"/>
          </rPr>
          <t xml:space="preserve">
1405693 1/30 132 pcs</t>
        </r>
      </text>
    </comment>
    <comment ref="S673" authorId="1">
      <text>
        <r>
          <rPr>
            <b/>
            <sz val="14"/>
            <rFont val="宋体"/>
            <charset val="134"/>
          </rPr>
          <t>Administrator:</t>
        </r>
        <r>
          <rPr>
            <sz val="14"/>
            <rFont val="宋体"/>
            <charset val="134"/>
          </rPr>
          <t xml:space="preserve">
1/15 上UPC贴纸 132 pcs
1/5  上进口商贴纸 132 pcs</t>
        </r>
      </text>
    </comment>
    <comment ref="Q674" authorId="1">
      <text>
        <r>
          <rPr>
            <b/>
            <sz val="14"/>
            <rFont val="宋体"/>
            <charset val="134"/>
          </rPr>
          <t>Administrator:</t>
        </r>
        <r>
          <rPr>
            <sz val="14"/>
            <rFont val="宋体"/>
            <charset val="134"/>
          </rPr>
          <t xml:space="preserve">
1405671 1/31 408 pcs</t>
        </r>
      </text>
    </comment>
    <comment ref="S674" authorId="1">
      <text>
        <r>
          <rPr>
            <b/>
            <sz val="14"/>
            <rFont val="宋体"/>
            <charset val="134"/>
          </rPr>
          <t>Administrator:</t>
        </r>
        <r>
          <rPr>
            <sz val="14"/>
            <rFont val="宋体"/>
            <charset val="134"/>
          </rPr>
          <t xml:space="preserve">
1/12 上UPC条码/进口商贴纸 408 pcs</t>
        </r>
      </text>
    </comment>
    <comment ref="Q675" authorId="1">
      <text>
        <r>
          <rPr>
            <b/>
            <sz val="14"/>
            <rFont val="宋体"/>
            <charset val="134"/>
          </rPr>
          <t>Administrator:</t>
        </r>
        <r>
          <rPr>
            <sz val="14"/>
            <rFont val="宋体"/>
            <charset val="134"/>
          </rPr>
          <t xml:space="preserve">
1405693 1/30 320 pcs</t>
        </r>
      </text>
    </comment>
    <comment ref="S675" authorId="1">
      <text>
        <r>
          <rPr>
            <b/>
            <sz val="14"/>
            <rFont val="宋体"/>
            <charset val="134"/>
          </rPr>
          <t>Administrator:</t>
        </r>
        <r>
          <rPr>
            <sz val="14"/>
            <rFont val="宋体"/>
            <charset val="134"/>
          </rPr>
          <t xml:space="preserve">
1/12 上EAN条码贴纸 640 pcs
     空白贴纸 640 pcs</t>
        </r>
      </text>
    </comment>
    <comment ref="Q676" authorId="1">
      <text>
        <r>
          <rPr>
            <b/>
            <sz val="14"/>
            <rFont val="宋体"/>
            <charset val="134"/>
          </rPr>
          <t>Administrator:</t>
        </r>
        <r>
          <rPr>
            <sz val="14"/>
            <rFont val="宋体"/>
            <charset val="134"/>
          </rPr>
          <t xml:space="preserve">
1405693 1/30 320 pcs</t>
        </r>
      </text>
    </comment>
    <comment ref="Q677" authorId="1">
      <text>
        <r>
          <rPr>
            <b/>
            <sz val="14"/>
            <rFont val="宋体"/>
            <charset val="134"/>
          </rPr>
          <t>Administrator:</t>
        </r>
        <r>
          <rPr>
            <sz val="14"/>
            <rFont val="宋体"/>
            <charset val="134"/>
          </rPr>
          <t xml:space="preserve">
1405694 1/30 144 pcs</t>
        </r>
      </text>
    </comment>
    <comment ref="S677" authorId="1">
      <text>
        <r>
          <rPr>
            <b/>
            <sz val="14"/>
            <rFont val="宋体"/>
            <charset val="134"/>
          </rPr>
          <t>Administrator:</t>
        </r>
        <r>
          <rPr>
            <sz val="14"/>
            <rFont val="宋体"/>
            <charset val="134"/>
          </rPr>
          <t xml:space="preserve">
1/14 上babyUPC条码/进口商贴纸 144 pcs</t>
        </r>
      </text>
    </comment>
    <comment ref="Q678" authorId="1">
      <text>
        <r>
          <rPr>
            <b/>
            <sz val="14"/>
            <rFont val="宋体"/>
            <charset val="134"/>
          </rPr>
          <t>Administrator:</t>
        </r>
        <r>
          <rPr>
            <sz val="14"/>
            <rFont val="宋体"/>
            <charset val="134"/>
          </rPr>
          <t xml:space="preserve">
1405694 1/30 144 pcs</t>
        </r>
      </text>
    </comment>
    <comment ref="S678" authorId="1">
      <text>
        <r>
          <rPr>
            <b/>
            <sz val="14"/>
            <rFont val="宋体"/>
            <charset val="134"/>
          </rPr>
          <t>Administrator:</t>
        </r>
        <r>
          <rPr>
            <sz val="14"/>
            <rFont val="宋体"/>
            <charset val="134"/>
          </rPr>
          <t xml:space="preserve">
1/14 上babyUPC条码/进口商贴纸 144 pcs</t>
        </r>
      </text>
    </comment>
    <comment ref="Q679" authorId="1">
      <text>
        <r>
          <rPr>
            <b/>
            <sz val="14"/>
            <rFont val="宋体"/>
            <charset val="134"/>
          </rPr>
          <t>Administrator:</t>
        </r>
        <r>
          <rPr>
            <sz val="14"/>
            <rFont val="宋体"/>
            <charset val="134"/>
          </rPr>
          <t xml:space="preserve">
1405646 2/2 1008 pcs</t>
        </r>
      </text>
    </comment>
    <comment ref="S679" authorId="1">
      <text>
        <r>
          <rPr>
            <b/>
            <sz val="14"/>
            <rFont val="宋体"/>
            <charset val="134"/>
          </rPr>
          <t>Administrator:</t>
        </r>
        <r>
          <rPr>
            <sz val="14"/>
            <rFont val="宋体"/>
            <charset val="134"/>
          </rPr>
          <t xml:space="preserve">
1/15 上客供价格贴纸 1109 pcs</t>
        </r>
      </text>
    </comment>
    <comment ref="Q680" authorId="1">
      <text>
        <r>
          <rPr>
            <b/>
            <sz val="14"/>
            <rFont val="宋体"/>
            <charset val="134"/>
          </rPr>
          <t>Administrator:</t>
        </r>
        <r>
          <rPr>
            <sz val="14"/>
            <rFont val="宋体"/>
            <charset val="134"/>
          </rPr>
          <t xml:space="preserve">
1405646 2/2 1176 pcs
1405668 2/3 24 pcs</t>
        </r>
      </text>
    </comment>
    <comment ref="S680" authorId="1">
      <text>
        <r>
          <rPr>
            <b/>
            <sz val="14"/>
            <rFont val="宋体"/>
            <charset val="134"/>
          </rPr>
          <t>Administrator:</t>
        </r>
        <r>
          <rPr>
            <sz val="14"/>
            <rFont val="宋体"/>
            <charset val="134"/>
          </rPr>
          <t xml:space="preserve">
1/15 上客供价格贴纸 1320 pcs</t>
        </r>
      </text>
    </comment>
    <comment ref="Q681" authorId="1">
      <text>
        <r>
          <rPr>
            <b/>
            <sz val="14"/>
            <rFont val="宋体"/>
            <charset val="134"/>
          </rPr>
          <t>Administrator:</t>
        </r>
        <r>
          <rPr>
            <sz val="14"/>
            <rFont val="宋体"/>
            <charset val="134"/>
          </rPr>
          <t xml:space="preserve">
1405646 2/2 1500 pcs
1405668 2/3 12 pcs</t>
        </r>
      </text>
    </comment>
    <comment ref="S681" authorId="1">
      <text>
        <r>
          <rPr>
            <b/>
            <sz val="14"/>
            <rFont val="宋体"/>
            <charset val="134"/>
          </rPr>
          <t>Administrator:</t>
        </r>
        <r>
          <rPr>
            <sz val="14"/>
            <rFont val="宋体"/>
            <charset val="134"/>
          </rPr>
          <t xml:space="preserve">
1/19 上 UPC/进口商贴纸 1512 pcs</t>
        </r>
      </text>
    </comment>
    <comment ref="Q682" authorId="1">
      <text>
        <r>
          <rPr>
            <b/>
            <sz val="14"/>
            <rFont val="宋体"/>
            <charset val="134"/>
          </rPr>
          <t>Administrator:</t>
        </r>
        <r>
          <rPr>
            <sz val="14"/>
            <rFont val="宋体"/>
            <charset val="134"/>
          </rPr>
          <t xml:space="preserve">
1405646 2/2 954 pcs
1405668 2/3 6 pcs</t>
        </r>
      </text>
    </comment>
    <comment ref="S682" authorId="1">
      <text>
        <r>
          <rPr>
            <b/>
            <sz val="14"/>
            <rFont val="宋体"/>
            <charset val="134"/>
          </rPr>
          <t>Administrator:</t>
        </r>
        <r>
          <rPr>
            <sz val="14"/>
            <rFont val="宋体"/>
            <charset val="134"/>
          </rPr>
          <t xml:space="preserve">
1/22 上客户警语进口商贴纸(含ES 960 pcs</t>
        </r>
      </text>
    </comment>
    <comment ref="Q683" authorId="1">
      <text>
        <r>
          <rPr>
            <b/>
            <sz val="14"/>
            <rFont val="宋体"/>
            <charset val="134"/>
          </rPr>
          <t>Administrator:</t>
        </r>
        <r>
          <rPr>
            <sz val="14"/>
            <rFont val="宋体"/>
            <charset val="134"/>
          </rPr>
          <t xml:space="preserve">
1601296 1/26 5940 pcs
1405698 1/29 60 pcs</t>
        </r>
      </text>
    </comment>
    <comment ref="S683" authorId="1">
      <text>
        <r>
          <rPr>
            <b/>
            <sz val="14"/>
            <rFont val="宋体"/>
            <charset val="134"/>
          </rPr>
          <t>Administrator:</t>
        </r>
        <r>
          <rPr>
            <sz val="14"/>
            <rFont val="宋体"/>
            <charset val="134"/>
          </rPr>
          <t xml:space="preserve">
1/14 上进口商贴纸 6000 pcs</t>
        </r>
      </text>
    </comment>
    <comment ref="Q684" authorId="1">
      <text>
        <r>
          <rPr>
            <b/>
            <sz val="14"/>
            <rFont val="宋体"/>
            <charset val="134"/>
          </rPr>
          <t>Administrator:</t>
        </r>
        <r>
          <rPr>
            <sz val="14"/>
            <rFont val="宋体"/>
            <charset val="134"/>
          </rPr>
          <t xml:space="preserve">
1405653 2/2 2376 pcs
1405652 2/2 2316 pcs
5000795 2/2 4248 pcs
1405668 2/3 60 pcs</t>
        </r>
      </text>
    </comment>
    <comment ref="S684" authorId="1">
      <text>
        <r>
          <rPr>
            <b/>
            <sz val="14"/>
            <rFont val="宋体"/>
            <charset val="134"/>
          </rPr>
          <t>Administrator:</t>
        </r>
        <r>
          <rPr>
            <sz val="14"/>
            <rFont val="宋体"/>
            <charset val="134"/>
          </rPr>
          <t xml:space="preserve">
1/19 上进口商贴纸 9000 pcs</t>
        </r>
      </text>
    </comment>
    <comment ref="Q685" authorId="1">
      <text>
        <r>
          <rPr>
            <b/>
            <sz val="14"/>
            <rFont val="宋体"/>
            <charset val="134"/>
          </rPr>
          <t>Administrator:</t>
        </r>
        <r>
          <rPr>
            <sz val="14"/>
            <rFont val="宋体"/>
            <charset val="134"/>
          </rPr>
          <t xml:space="preserve">
14005675 1/31 1344 pcs
1405619 2/3 96 pcs</t>
        </r>
      </text>
    </comment>
    <comment ref="S685" authorId="1">
      <text>
        <r>
          <rPr>
            <b/>
            <sz val="12"/>
            <rFont val="宋体"/>
            <charset val="134"/>
          </rPr>
          <t>Administrator:</t>
        </r>
        <r>
          <rPr>
            <sz val="12"/>
            <rFont val="宋体"/>
            <charset val="134"/>
          </rPr>
          <t xml:space="preserve">
1/15 上UPC/进口商贴纸 1440 pcs</t>
        </r>
      </text>
    </comment>
    <comment ref="Q686" authorId="1">
      <text>
        <r>
          <rPr>
            <b/>
            <sz val="14"/>
            <rFont val="宋体"/>
            <charset val="134"/>
          </rPr>
          <t>Administrator:</t>
        </r>
        <r>
          <rPr>
            <sz val="14"/>
            <rFont val="宋体"/>
            <charset val="134"/>
          </rPr>
          <t xml:space="preserve">
5000808 2/7 180 pcs</t>
        </r>
      </text>
    </comment>
    <comment ref="S686" authorId="1">
      <text>
        <r>
          <rPr>
            <b/>
            <sz val="14"/>
            <rFont val="宋体"/>
            <charset val="134"/>
          </rPr>
          <t>Administrator:</t>
        </r>
        <r>
          <rPr>
            <sz val="14"/>
            <rFont val="宋体"/>
            <charset val="134"/>
          </rPr>
          <t xml:space="preserve">
1/21 上进口商贴纸 1584 pcs</t>
        </r>
      </text>
    </comment>
    <comment ref="Q687" authorId="1">
      <text>
        <r>
          <rPr>
            <b/>
            <sz val="14"/>
            <rFont val="宋体"/>
            <charset val="134"/>
          </rPr>
          <t>Administrator:</t>
        </r>
        <r>
          <rPr>
            <sz val="14"/>
            <rFont val="宋体"/>
            <charset val="134"/>
          </rPr>
          <t xml:space="preserve">
5000808 2/7 372 pcs</t>
        </r>
      </text>
    </comment>
    <comment ref="Q688" authorId="1">
      <text>
        <r>
          <rPr>
            <b/>
            <sz val="14"/>
            <rFont val="宋体"/>
            <charset val="134"/>
          </rPr>
          <t>Administrator:</t>
        </r>
        <r>
          <rPr>
            <sz val="14"/>
            <rFont val="宋体"/>
            <charset val="134"/>
          </rPr>
          <t xml:space="preserve">
5000808 2/7 564 pcs</t>
        </r>
      </text>
    </comment>
    <comment ref="Q689" authorId="1">
      <text>
        <r>
          <rPr>
            <b/>
            <sz val="14"/>
            <rFont val="宋体"/>
            <charset val="134"/>
          </rPr>
          <t>Administrator:</t>
        </r>
        <r>
          <rPr>
            <sz val="14"/>
            <rFont val="宋体"/>
            <charset val="134"/>
          </rPr>
          <t xml:space="preserve">
5000808 2/7 468 pcs</t>
        </r>
      </text>
    </comment>
    <comment ref="Q690" authorId="1">
      <text>
        <r>
          <rPr>
            <b/>
            <sz val="14"/>
            <rFont val="宋体"/>
            <charset val="134"/>
          </rPr>
          <t>Administrator:</t>
        </r>
        <r>
          <rPr>
            <sz val="14"/>
            <rFont val="宋体"/>
            <charset val="134"/>
          </rPr>
          <t xml:space="preserve">
5000808 2/7 600 pcs</t>
        </r>
      </text>
    </comment>
    <comment ref="Q691" authorId="1">
      <text>
        <r>
          <rPr>
            <b/>
            <sz val="14"/>
            <rFont val="宋体"/>
            <charset val="134"/>
          </rPr>
          <t>Administrator:</t>
        </r>
        <r>
          <rPr>
            <sz val="14"/>
            <rFont val="宋体"/>
            <charset val="134"/>
          </rPr>
          <t xml:space="preserve">
4001911 2/4 1044 pcs</t>
        </r>
      </text>
    </comment>
    <comment ref="S691" authorId="1">
      <text>
        <r>
          <rPr>
            <b/>
            <sz val="14"/>
            <rFont val="宋体"/>
            <charset val="134"/>
          </rPr>
          <t>Administrator:</t>
        </r>
        <r>
          <rPr>
            <sz val="14"/>
            <rFont val="宋体"/>
            <charset val="134"/>
          </rPr>
          <t xml:space="preserve">
1/22 上产品贴纸 2088 pcs
     上EAN贴纸 2088 pcs</t>
        </r>
      </text>
    </comment>
    <comment ref="Q692" authorId="1">
      <text>
        <r>
          <rPr>
            <b/>
            <sz val="14"/>
            <rFont val="宋体"/>
            <charset val="134"/>
          </rPr>
          <t>Administrator:</t>
        </r>
        <r>
          <rPr>
            <sz val="14"/>
            <rFont val="宋体"/>
            <charset val="134"/>
          </rPr>
          <t xml:space="preserve">
5000808 2/7 4000 pcs</t>
        </r>
      </text>
    </comment>
    <comment ref="S692" authorId="1">
      <text>
        <r>
          <rPr>
            <b/>
            <sz val="14"/>
            <rFont val="宋体"/>
            <charset val="134"/>
          </rPr>
          <t>Administrator:</t>
        </r>
        <r>
          <rPr>
            <sz val="14"/>
            <rFont val="宋体"/>
            <charset val="134"/>
          </rPr>
          <t xml:space="preserve">
1/19 上4国警告语贴纸 7000 pcs</t>
        </r>
      </text>
    </comment>
    <comment ref="Q693" authorId="1">
      <text>
        <r>
          <rPr>
            <b/>
            <sz val="14"/>
            <rFont val="宋体"/>
            <charset val="134"/>
          </rPr>
          <t>Administrator:</t>
        </r>
        <r>
          <rPr>
            <sz val="14"/>
            <rFont val="宋体"/>
            <charset val="134"/>
          </rPr>
          <t xml:space="preserve">
5000818 2/7 504 pcs</t>
        </r>
      </text>
    </comment>
    <comment ref="Q694" authorId="1">
      <text>
        <r>
          <rPr>
            <b/>
            <sz val="14"/>
            <rFont val="宋体"/>
            <charset val="134"/>
          </rPr>
          <t>Administrator:</t>
        </r>
        <r>
          <rPr>
            <sz val="14"/>
            <rFont val="宋体"/>
            <charset val="134"/>
          </rPr>
          <t xml:space="preserve">
5000818 2/7 600 pcs</t>
        </r>
      </text>
    </comment>
    <comment ref="Q695" authorId="1">
      <text>
        <r>
          <rPr>
            <b/>
            <sz val="14"/>
            <rFont val="宋体"/>
            <charset val="134"/>
          </rPr>
          <t>Administrator:</t>
        </r>
        <r>
          <rPr>
            <sz val="14"/>
            <rFont val="宋体"/>
            <charset val="134"/>
          </rPr>
          <t xml:space="preserve">
5000818 2/7 480 pcs</t>
        </r>
      </text>
    </comment>
    <comment ref="S695" authorId="1">
      <text>
        <r>
          <rPr>
            <b/>
            <sz val="14"/>
            <rFont val="宋体"/>
            <charset val="134"/>
          </rPr>
          <t>Administrator:</t>
        </r>
        <r>
          <rPr>
            <sz val="14"/>
            <rFont val="宋体"/>
            <charset val="134"/>
          </rPr>
          <t xml:space="preserve">
1/29 上亚马逊外箱贴纸 15 pcs</t>
        </r>
      </text>
    </comment>
    <comment ref="Q696" authorId="1">
      <text>
        <r>
          <rPr>
            <b/>
            <sz val="14"/>
            <rFont val="宋体"/>
            <charset val="134"/>
          </rPr>
          <t>Administrator:</t>
        </r>
        <r>
          <rPr>
            <sz val="14"/>
            <rFont val="宋体"/>
            <charset val="134"/>
          </rPr>
          <t xml:space="preserve">
5000819 2/7 32 pcs</t>
        </r>
      </text>
    </comment>
    <comment ref="S696" authorId="1">
      <text>
        <r>
          <rPr>
            <b/>
            <sz val="14"/>
            <rFont val="宋体"/>
            <charset val="134"/>
          </rPr>
          <t>Administrator:</t>
        </r>
        <r>
          <rPr>
            <sz val="14"/>
            <rFont val="宋体"/>
            <charset val="134"/>
          </rPr>
          <t xml:space="preserve">
1/30 上客供亚马逊外箱贴纸 1 pcs</t>
        </r>
      </text>
    </comment>
    <comment ref="Q697" authorId="1">
      <text>
        <r>
          <rPr>
            <b/>
            <sz val="14"/>
            <rFont val="宋体"/>
            <charset val="134"/>
          </rPr>
          <t>Administrator:</t>
        </r>
        <r>
          <rPr>
            <sz val="14"/>
            <rFont val="宋体"/>
            <charset val="134"/>
          </rPr>
          <t xml:space="preserve">
5000819 2/7 32 pcs</t>
        </r>
      </text>
    </comment>
    <comment ref="S697" authorId="1">
      <text>
        <r>
          <rPr>
            <b/>
            <sz val="14"/>
            <rFont val="宋体"/>
            <charset val="134"/>
          </rPr>
          <t>Administrator:</t>
        </r>
        <r>
          <rPr>
            <sz val="14"/>
            <rFont val="宋体"/>
            <charset val="134"/>
          </rPr>
          <t xml:space="preserve">
1/30 上客供亚马逊外箱贴纸 1 pcs</t>
        </r>
      </text>
    </comment>
    <comment ref="Q698" authorId="1">
      <text>
        <r>
          <rPr>
            <b/>
            <sz val="14"/>
            <rFont val="宋体"/>
            <charset val="134"/>
          </rPr>
          <t>Administrator:</t>
        </r>
        <r>
          <rPr>
            <sz val="14"/>
            <rFont val="宋体"/>
            <charset val="134"/>
          </rPr>
          <t xml:space="preserve">
1405560 2/7 32 pcs</t>
        </r>
      </text>
    </comment>
    <comment ref="S698" authorId="1">
      <text>
        <r>
          <rPr>
            <b/>
            <sz val="14"/>
            <rFont val="宋体"/>
            <charset val="134"/>
          </rPr>
          <t>Administrator:</t>
        </r>
        <r>
          <rPr>
            <sz val="14"/>
            <rFont val="宋体"/>
            <charset val="134"/>
          </rPr>
          <t xml:space="preserve">
1/28 上亚马逊外箱贴纸 6 pcs</t>
        </r>
      </text>
    </comment>
    <comment ref="Q699" authorId="1">
      <text>
        <r>
          <rPr>
            <b/>
            <sz val="14"/>
            <rFont val="宋体"/>
            <charset val="134"/>
          </rPr>
          <t>Administrator:</t>
        </r>
        <r>
          <rPr>
            <sz val="14"/>
            <rFont val="宋体"/>
            <charset val="134"/>
          </rPr>
          <t xml:space="preserve">
1405560 2/7 32 pcs</t>
        </r>
      </text>
    </comment>
    <comment ref="Q700" authorId="1">
      <text>
        <r>
          <rPr>
            <b/>
            <sz val="14"/>
            <rFont val="宋体"/>
            <charset val="134"/>
          </rPr>
          <t>Administrator:</t>
        </r>
        <r>
          <rPr>
            <sz val="14"/>
            <rFont val="宋体"/>
            <charset val="134"/>
          </rPr>
          <t xml:space="preserve">
1405560 2/7 32 pcs</t>
        </r>
      </text>
    </comment>
    <comment ref="Q701" authorId="1">
      <text>
        <r>
          <rPr>
            <b/>
            <sz val="14"/>
            <rFont val="宋体"/>
            <charset val="134"/>
          </rPr>
          <t>Administrator:</t>
        </r>
        <r>
          <rPr>
            <sz val="14"/>
            <rFont val="宋体"/>
            <charset val="134"/>
          </rPr>
          <t xml:space="preserve">
1405560 2/7 32 pcs</t>
        </r>
      </text>
    </comment>
    <comment ref="Q702" authorId="1">
      <text>
        <r>
          <rPr>
            <b/>
            <sz val="14"/>
            <rFont val="宋体"/>
            <charset val="134"/>
          </rPr>
          <t>Administrator:</t>
        </r>
        <r>
          <rPr>
            <sz val="14"/>
            <rFont val="宋体"/>
            <charset val="134"/>
          </rPr>
          <t xml:space="preserve">
1405560 2/7 32 pcs</t>
        </r>
      </text>
    </comment>
    <comment ref="Q703" authorId="1">
      <text>
        <r>
          <rPr>
            <b/>
            <sz val="14"/>
            <rFont val="宋体"/>
            <charset val="134"/>
          </rPr>
          <t>Administrator:</t>
        </r>
        <r>
          <rPr>
            <sz val="14"/>
            <rFont val="宋体"/>
            <charset val="134"/>
          </rPr>
          <t xml:space="preserve">
1405560 2/7 32 pcs</t>
        </r>
      </text>
    </comment>
    <comment ref="Q704" authorId="1">
      <text>
        <r>
          <rPr>
            <b/>
            <sz val="14"/>
            <rFont val="宋体"/>
            <charset val="134"/>
          </rPr>
          <t>Administrator:</t>
        </r>
        <r>
          <rPr>
            <sz val="14"/>
            <rFont val="宋体"/>
            <charset val="134"/>
          </rPr>
          <t xml:space="preserve">
5000825 2/26 960 pcs</t>
        </r>
      </text>
    </comment>
    <comment ref="S704" authorId="1">
      <text>
        <r>
          <rPr>
            <b/>
            <sz val="14"/>
            <rFont val="宋体"/>
            <charset val="134"/>
          </rPr>
          <t>Administrator:</t>
        </r>
        <r>
          <rPr>
            <sz val="14"/>
            <rFont val="宋体"/>
            <charset val="134"/>
          </rPr>
          <t xml:space="preserve">
1/26 上亚马逊外箱贴纸 30 pcs</t>
        </r>
      </text>
    </comment>
    <comment ref="Q705" authorId="1">
      <text>
        <r>
          <rPr>
            <b/>
            <sz val="14"/>
            <rFont val="宋体"/>
            <charset val="134"/>
          </rPr>
          <t>Administrator:</t>
        </r>
        <r>
          <rPr>
            <sz val="14"/>
            <rFont val="宋体"/>
            <charset val="134"/>
          </rPr>
          <t xml:space="preserve">
5000828 2/27 3000 pcs</t>
        </r>
      </text>
    </comment>
    <comment ref="S705" authorId="1">
      <text>
        <r>
          <rPr>
            <b/>
            <sz val="14"/>
            <rFont val="宋体"/>
            <charset val="134"/>
          </rPr>
          <t>Administrator:</t>
        </r>
        <r>
          <rPr>
            <sz val="14"/>
            <rFont val="宋体"/>
            <charset val="134"/>
          </rPr>
          <t xml:space="preserve">
1/21 上德诸callout警语贴纸(含 3000 pcs</t>
        </r>
      </text>
    </comment>
    <comment ref="Q706" authorId="1">
      <text>
        <r>
          <rPr>
            <b/>
            <sz val="14"/>
            <rFont val="宋体"/>
            <charset val="134"/>
          </rPr>
          <t>Administrator:</t>
        </r>
        <r>
          <rPr>
            <sz val="14"/>
            <rFont val="宋体"/>
            <charset val="134"/>
          </rPr>
          <t xml:space="preserve">
1405715 1/28 2400 pcs</t>
        </r>
      </text>
    </comment>
    <comment ref="S706" authorId="1">
      <text>
        <r>
          <rPr>
            <b/>
            <sz val="14"/>
            <rFont val="宋体"/>
            <charset val="134"/>
          </rPr>
          <t>Administrator:</t>
        </r>
        <r>
          <rPr>
            <sz val="14"/>
            <rFont val="宋体"/>
            <charset val="134"/>
          </rPr>
          <t xml:space="preserve">
1/19 上价格贴纸 2400 pcs
     上外箱条码贴纸 400 pcs</t>
        </r>
      </text>
    </comment>
    <comment ref="Q707" authorId="1">
      <text>
        <r>
          <rPr>
            <b/>
            <sz val="14"/>
            <rFont val="宋体"/>
            <charset val="134"/>
          </rPr>
          <t>Administrator:</t>
        </r>
        <r>
          <rPr>
            <sz val="14"/>
            <rFont val="宋体"/>
            <charset val="134"/>
          </rPr>
          <t xml:space="preserve">
5000864 3/7 2784 pcs
5000875 3/10 12 pcs</t>
        </r>
      </text>
    </comment>
    <comment ref="S707" authorId="1">
      <text>
        <r>
          <rPr>
            <b/>
            <sz val="14"/>
            <rFont val="宋体"/>
            <charset val="134"/>
          </rPr>
          <t>Administrator:</t>
        </r>
        <r>
          <rPr>
            <sz val="14"/>
            <rFont val="宋体"/>
            <charset val="134"/>
          </rPr>
          <t xml:space="preserve">
2/3 上UPC/进口商贴纸 2796 pcs</t>
        </r>
      </text>
    </comment>
    <comment ref="Q708" authorId="1">
      <text>
        <r>
          <rPr>
            <b/>
            <sz val="14"/>
            <rFont val="宋体"/>
            <charset val="134"/>
          </rPr>
          <t>Administrator:</t>
        </r>
        <r>
          <rPr>
            <sz val="14"/>
            <rFont val="宋体"/>
            <charset val="134"/>
          </rPr>
          <t xml:space="preserve">
5000864 3/7 120 pcs
5000875 3/10 24 pcs</t>
        </r>
      </text>
    </comment>
    <comment ref="S708" authorId="1">
      <text>
        <r>
          <rPr>
            <b/>
            <sz val="14"/>
            <rFont val="宋体"/>
            <charset val="134"/>
          </rPr>
          <t>Administrator:</t>
        </r>
        <r>
          <rPr>
            <sz val="14"/>
            <rFont val="宋体"/>
            <charset val="134"/>
          </rPr>
          <t xml:space="preserve">
1/29 上baby UPC条码/进口商贴纸 144 pcs</t>
        </r>
      </text>
    </comment>
    <comment ref="Q709" authorId="1">
      <text>
        <r>
          <rPr>
            <b/>
            <sz val="14"/>
            <rFont val="宋体"/>
            <charset val="134"/>
          </rPr>
          <t>Administrator:</t>
        </r>
        <r>
          <rPr>
            <sz val="14"/>
            <rFont val="宋体"/>
            <charset val="134"/>
          </rPr>
          <t xml:space="preserve">
5000864 3/7 240 pcs</t>
        </r>
      </text>
    </comment>
    <comment ref="S709" authorId="1">
      <text>
        <r>
          <rPr>
            <b/>
            <sz val="14"/>
            <rFont val="宋体"/>
            <charset val="134"/>
          </rPr>
          <t>Administrator:</t>
        </r>
        <r>
          <rPr>
            <sz val="14"/>
            <rFont val="宋体"/>
            <charset val="134"/>
          </rPr>
          <t xml:space="preserve">
2/5 上UPC/进口商贴纸 240 pcs</t>
        </r>
      </text>
    </comment>
    <comment ref="Q710" authorId="1">
      <text>
        <r>
          <rPr>
            <b/>
            <sz val="14"/>
            <rFont val="宋体"/>
            <charset val="134"/>
          </rPr>
          <t>Administrator:</t>
        </r>
        <r>
          <rPr>
            <sz val="14"/>
            <rFont val="宋体"/>
            <charset val="134"/>
          </rPr>
          <t xml:space="preserve">
1602029 3/26 468 pcs</t>
        </r>
      </text>
    </comment>
    <comment ref="S710" authorId="1">
      <text>
        <r>
          <rPr>
            <b/>
            <sz val="14"/>
            <rFont val="宋体"/>
            <charset val="134"/>
          </rPr>
          <t>Administrator:</t>
        </r>
        <r>
          <rPr>
            <sz val="14"/>
            <rFont val="宋体"/>
            <charset val="134"/>
          </rPr>
          <t xml:space="preserve">
3/6 上进口商贴纸 1752 pcs</t>
        </r>
      </text>
    </comment>
    <comment ref="Q711" authorId="1">
      <text>
        <r>
          <rPr>
            <b/>
            <sz val="14"/>
            <rFont val="宋体"/>
            <charset val="134"/>
          </rPr>
          <t>Administrator:</t>
        </r>
        <r>
          <rPr>
            <sz val="14"/>
            <rFont val="宋体"/>
            <charset val="134"/>
          </rPr>
          <t xml:space="preserve">
1602029 3/26 564 pcs</t>
        </r>
      </text>
    </comment>
    <comment ref="Q712" authorId="1">
      <text>
        <r>
          <rPr>
            <b/>
            <sz val="14"/>
            <rFont val="宋体"/>
            <charset val="134"/>
          </rPr>
          <t>Administrator:</t>
        </r>
        <r>
          <rPr>
            <sz val="14"/>
            <rFont val="宋体"/>
            <charset val="134"/>
          </rPr>
          <t xml:space="preserve">
1602029 3/26 180 pcs</t>
        </r>
      </text>
    </comment>
    <comment ref="Q713" authorId="1">
      <text>
        <r>
          <rPr>
            <b/>
            <sz val="14"/>
            <rFont val="宋体"/>
            <charset val="134"/>
          </rPr>
          <t>Administrator:</t>
        </r>
        <r>
          <rPr>
            <sz val="14"/>
            <rFont val="宋体"/>
            <charset val="134"/>
          </rPr>
          <t xml:space="preserve">
1602029 3/26 540 pcs</t>
        </r>
      </text>
    </comment>
    <comment ref="Q714" authorId="1">
      <text>
        <r>
          <rPr>
            <b/>
            <sz val="14"/>
            <rFont val="宋体"/>
            <charset val="134"/>
          </rPr>
          <t>Administrator:</t>
        </r>
        <r>
          <rPr>
            <sz val="14"/>
            <rFont val="宋体"/>
            <charset val="134"/>
          </rPr>
          <t xml:space="preserve">
1602029 3/26 2400 pcs</t>
        </r>
      </text>
    </comment>
    <comment ref="S714" authorId="1">
      <text>
        <r>
          <rPr>
            <b/>
            <sz val="14"/>
            <rFont val="宋体"/>
            <charset val="134"/>
          </rPr>
          <t>Administrator:</t>
        </r>
        <r>
          <rPr>
            <sz val="14"/>
            <rFont val="宋体"/>
            <charset val="134"/>
          </rPr>
          <t xml:space="preserve">
3/12 上价格贴纸 2400 pcs
     上警告语贴纸 2400 pcs</t>
        </r>
      </text>
    </comment>
    <comment ref="Q715" authorId="1">
      <text>
        <r>
          <rPr>
            <b/>
            <sz val="14"/>
            <rFont val="宋体"/>
            <charset val="134"/>
          </rPr>
          <t>Administrator:</t>
        </r>
        <r>
          <rPr>
            <sz val="14"/>
            <rFont val="宋体"/>
            <charset val="134"/>
          </rPr>
          <t xml:space="preserve">
1602029 3/26 120 pcs</t>
        </r>
      </text>
    </comment>
    <comment ref="S715" authorId="1">
      <text>
        <r>
          <rPr>
            <b/>
            <sz val="14"/>
            <rFont val="宋体"/>
            <charset val="134"/>
          </rPr>
          <t>Administrator:</t>
        </r>
        <r>
          <rPr>
            <sz val="14"/>
            <rFont val="宋体"/>
            <charset val="134"/>
          </rPr>
          <t xml:space="preserve">
2/3 上UPC贴纸 120 pcs</t>
        </r>
      </text>
    </comment>
    <comment ref="Q716" authorId="1">
      <text>
        <r>
          <rPr>
            <b/>
            <sz val="14"/>
            <rFont val="宋体"/>
            <charset val="134"/>
          </rPr>
          <t>Administrator:</t>
        </r>
        <r>
          <rPr>
            <sz val="14"/>
            <rFont val="宋体"/>
            <charset val="134"/>
          </rPr>
          <t xml:space="preserve">
1602030 3/26 504 pcs
1602031 3/27 6 pcs</t>
        </r>
      </text>
    </comment>
    <comment ref="S716" authorId="1">
      <text>
        <r>
          <rPr>
            <b/>
            <sz val="14"/>
            <rFont val="宋体"/>
            <charset val="134"/>
          </rPr>
          <t>Administrator:</t>
        </r>
        <r>
          <rPr>
            <sz val="14"/>
            <rFont val="宋体"/>
            <charset val="134"/>
          </rPr>
          <t xml:space="preserve">
3/9 上警告语贴纸 510 pcs
    上袋子警告语贴纸 510 pcs</t>
        </r>
      </text>
    </comment>
    <comment ref="Q717" authorId="1">
      <text>
        <r>
          <rPr>
            <b/>
            <sz val="14"/>
            <rFont val="宋体"/>
            <charset val="134"/>
          </rPr>
          <t>Administrator:</t>
        </r>
        <r>
          <rPr>
            <sz val="14"/>
            <rFont val="宋体"/>
            <charset val="134"/>
          </rPr>
          <t xml:space="preserve">
1602059 3/31 696 pcs
1602063 4/2 24 pcs</t>
        </r>
      </text>
    </comment>
    <comment ref="S717" authorId="1">
      <text>
        <r>
          <rPr>
            <b/>
            <sz val="14"/>
            <rFont val="宋体"/>
            <charset val="134"/>
          </rPr>
          <t>Administrator:</t>
        </r>
        <r>
          <rPr>
            <sz val="14"/>
            <rFont val="宋体"/>
            <charset val="134"/>
          </rPr>
          <t xml:space="preserve">
3/16 上进口商贴纸 720 pcs</t>
        </r>
      </text>
    </comment>
    <comment ref="Q718" authorId="1">
      <text>
        <r>
          <rPr>
            <b/>
            <sz val="14"/>
            <rFont val="宋体"/>
            <charset val="134"/>
          </rPr>
          <t>Administrator:</t>
        </r>
        <r>
          <rPr>
            <sz val="14"/>
            <rFont val="宋体"/>
            <charset val="134"/>
          </rPr>
          <t xml:space="preserve">
1602087 4/7 1200 PCS </t>
        </r>
      </text>
    </comment>
    <comment ref="S718" authorId="1">
      <text>
        <r>
          <rPr>
            <b/>
            <sz val="14"/>
            <rFont val="宋体"/>
            <charset val="134"/>
          </rPr>
          <t>Administrator:</t>
        </r>
        <r>
          <rPr>
            <sz val="14"/>
            <rFont val="宋体"/>
            <charset val="134"/>
          </rPr>
          <t xml:space="preserve">
3/16 上客供价格贴纸 1260 pcs</t>
        </r>
      </text>
    </comment>
    <comment ref="Q719" authorId="1">
      <text>
        <r>
          <rPr>
            <b/>
            <sz val="14"/>
            <rFont val="宋体"/>
            <charset val="134"/>
          </rPr>
          <t>Administrator:</t>
        </r>
        <r>
          <rPr>
            <sz val="14"/>
            <rFont val="宋体"/>
            <charset val="134"/>
          </rPr>
          <t xml:space="preserve">
1602087 4/7 1200 PCS </t>
        </r>
      </text>
    </comment>
    <comment ref="S719" authorId="1">
      <text>
        <r>
          <rPr>
            <b/>
            <sz val="14"/>
            <rFont val="宋体"/>
            <charset val="134"/>
          </rPr>
          <t>Administrator:</t>
        </r>
        <r>
          <rPr>
            <sz val="14"/>
            <rFont val="宋体"/>
            <charset val="134"/>
          </rPr>
          <t xml:space="preserve">
3/16 上客供价格贴纸 1260 pcs</t>
        </r>
      </text>
    </comment>
    <comment ref="Q720" authorId="1">
      <text>
        <r>
          <rPr>
            <b/>
            <sz val="14"/>
            <rFont val="宋体"/>
            <charset val="134"/>
          </rPr>
          <t>Administrator:</t>
        </r>
        <r>
          <rPr>
            <sz val="14"/>
            <rFont val="宋体"/>
            <charset val="134"/>
          </rPr>
          <t xml:space="preserve">
1602087 4/7 168 PCS 
1602126 4/9 12 </t>
        </r>
      </text>
    </comment>
    <comment ref="S720" authorId="1">
      <text>
        <r>
          <rPr>
            <b/>
            <sz val="14"/>
            <rFont val="宋体"/>
            <charset val="134"/>
          </rPr>
          <t>Administrator:</t>
        </r>
        <r>
          <rPr>
            <sz val="14"/>
            <rFont val="宋体"/>
            <charset val="134"/>
          </rPr>
          <t xml:space="preserve">
3/20 上UPC贴纸 180 pcs</t>
        </r>
      </text>
    </comment>
    <comment ref="Q721" authorId="1">
      <text>
        <r>
          <rPr>
            <b/>
            <sz val="14"/>
            <rFont val="宋体"/>
            <charset val="134"/>
          </rPr>
          <t>Administrator:</t>
        </r>
        <r>
          <rPr>
            <sz val="14"/>
            <rFont val="宋体"/>
            <charset val="134"/>
          </rPr>
          <t xml:space="preserve">
1602093 4/8 1200 pcs</t>
        </r>
      </text>
    </comment>
    <comment ref="S721" authorId="1">
      <text>
        <r>
          <rPr>
            <b/>
            <sz val="14"/>
            <rFont val="宋体"/>
            <charset val="134"/>
          </rPr>
          <t>Administrator:</t>
        </r>
        <r>
          <rPr>
            <sz val="14"/>
            <rFont val="宋体"/>
            <charset val="134"/>
          </rPr>
          <t xml:space="preserve">
3/27 上价格贴纸 1200 pcs
     上外箱条码贴纸 200 pcs</t>
        </r>
      </text>
    </comment>
    <comment ref="Q722" authorId="1">
      <text>
        <r>
          <rPr>
            <b/>
            <sz val="14"/>
            <rFont val="宋体"/>
            <charset val="134"/>
          </rPr>
          <t>Administrator:</t>
        </r>
        <r>
          <rPr>
            <sz val="14"/>
            <rFont val="宋体"/>
            <charset val="134"/>
          </rPr>
          <t xml:space="preserve">
1602156 4/14 1536 pcs </t>
        </r>
      </text>
    </comment>
    <comment ref="Q723" authorId="1">
      <text>
        <r>
          <rPr>
            <b/>
            <sz val="14"/>
            <rFont val="宋体"/>
            <charset val="134"/>
          </rPr>
          <t>Administrator:</t>
        </r>
        <r>
          <rPr>
            <sz val="14"/>
            <rFont val="宋体"/>
            <charset val="134"/>
          </rPr>
          <t xml:space="preserve">
1602156 4/14 888 pcs </t>
        </r>
      </text>
    </comment>
    <comment ref="S723" authorId="1">
      <text>
        <r>
          <rPr>
            <b/>
            <sz val="14"/>
            <rFont val="宋体"/>
            <charset val="134"/>
          </rPr>
          <t>Administrator:</t>
        </r>
        <r>
          <rPr>
            <sz val="14"/>
            <rFont val="宋体"/>
            <charset val="134"/>
          </rPr>
          <t xml:space="preserve">
3/27 上警告语贴纸 888 pcs
     上袋子警告语贴纸 888 pcs</t>
        </r>
      </text>
    </comment>
    <comment ref="Q724" authorId="1">
      <text>
        <r>
          <rPr>
            <b/>
            <sz val="14"/>
            <rFont val="宋体"/>
            <charset val="134"/>
          </rPr>
          <t>Administrator:</t>
        </r>
        <r>
          <rPr>
            <sz val="14"/>
            <rFont val="宋体"/>
            <charset val="134"/>
          </rPr>
          <t xml:space="preserve">
1601702 4/21 720 pcs</t>
        </r>
      </text>
    </comment>
    <comment ref="Q725" authorId="1">
      <text>
        <r>
          <rPr>
            <b/>
            <sz val="14"/>
            <rFont val="宋体"/>
            <charset val="134"/>
          </rPr>
          <t>Administrator:</t>
        </r>
        <r>
          <rPr>
            <sz val="14"/>
            <rFont val="宋体"/>
            <charset val="134"/>
          </rPr>
          <t xml:space="preserve">
1601702 4/21 576 pcs</t>
        </r>
      </text>
    </comment>
    <comment ref="Q726" authorId="1">
      <text>
        <r>
          <rPr>
            <b/>
            <sz val="14"/>
            <rFont val="宋体"/>
            <charset val="134"/>
          </rPr>
          <t>Administrator:</t>
        </r>
        <r>
          <rPr>
            <sz val="14"/>
            <rFont val="宋体"/>
            <charset val="134"/>
          </rPr>
          <t xml:space="preserve">
1601702 4/21 96 pcs</t>
        </r>
      </text>
    </comment>
    <comment ref="S726" authorId="1">
      <text>
        <r>
          <rPr>
            <b/>
            <sz val="14"/>
            <rFont val="宋体"/>
            <charset val="134"/>
          </rPr>
          <t>Administrator:</t>
        </r>
        <r>
          <rPr>
            <sz val="14"/>
            <rFont val="宋体"/>
            <charset val="134"/>
          </rPr>
          <t xml:space="preserve">
4/14 上客供亚马逊外箱贴纸 3 pcs</t>
        </r>
      </text>
    </comment>
    <comment ref="Q727" authorId="1">
      <text>
        <r>
          <rPr>
            <b/>
            <sz val="14"/>
            <rFont val="宋体"/>
            <charset val="134"/>
          </rPr>
          <t>Administrator:</t>
        </r>
        <r>
          <rPr>
            <sz val="14"/>
            <rFont val="宋体"/>
            <charset val="134"/>
          </rPr>
          <t xml:space="preserve">
1601703 4/21 128 pcs</t>
        </r>
      </text>
    </comment>
    <comment ref="S727" authorId="1">
      <text>
        <r>
          <rPr>
            <b/>
            <sz val="14"/>
            <rFont val="宋体"/>
            <charset val="134"/>
          </rPr>
          <t>Administrator:</t>
        </r>
        <r>
          <rPr>
            <sz val="14"/>
            <rFont val="宋体"/>
            <charset val="134"/>
          </rPr>
          <t xml:space="preserve">
4/14 上客供亚马逊外箱贴纸 4 pcs</t>
        </r>
      </text>
    </comment>
    <comment ref="Q728" authorId="1">
      <text>
        <r>
          <rPr>
            <b/>
            <sz val="14"/>
            <rFont val="宋体"/>
            <charset val="134"/>
          </rPr>
          <t>Administrator:</t>
        </r>
        <r>
          <rPr>
            <sz val="14"/>
            <rFont val="宋体"/>
            <charset val="134"/>
          </rPr>
          <t xml:space="preserve">
1601703 4/21 192 pcs</t>
        </r>
      </text>
    </comment>
    <comment ref="S728" authorId="1">
      <text>
        <r>
          <rPr>
            <b/>
            <sz val="14"/>
            <rFont val="宋体"/>
            <charset val="134"/>
          </rPr>
          <t>Administrator:</t>
        </r>
        <r>
          <rPr>
            <sz val="14"/>
            <rFont val="宋体"/>
            <charset val="134"/>
          </rPr>
          <t xml:space="preserve">
4/14 上客供亚马逊外箱贴纸 6 pcs</t>
        </r>
      </text>
    </comment>
    <comment ref="Q729" authorId="1">
      <text>
        <r>
          <rPr>
            <b/>
            <sz val="14"/>
            <rFont val="宋体"/>
            <charset val="134"/>
          </rPr>
          <t>Administrator:</t>
        </r>
        <r>
          <rPr>
            <sz val="14"/>
            <rFont val="宋体"/>
            <charset val="134"/>
          </rPr>
          <t xml:space="preserve">
1601703 4/21 128 pcs</t>
        </r>
      </text>
    </comment>
    <comment ref="S729" authorId="1">
      <text>
        <r>
          <rPr>
            <b/>
            <sz val="14"/>
            <rFont val="宋体"/>
            <charset val="134"/>
          </rPr>
          <t>Administrator:</t>
        </r>
        <r>
          <rPr>
            <sz val="14"/>
            <rFont val="宋体"/>
            <charset val="134"/>
          </rPr>
          <t xml:space="preserve">
4/14 上客供亚马逊外箱贴纸 4 pcs</t>
        </r>
      </text>
    </comment>
    <comment ref="Q730" authorId="1">
      <text>
        <r>
          <rPr>
            <b/>
            <sz val="14"/>
            <rFont val="宋体"/>
            <charset val="134"/>
          </rPr>
          <t>Administrator:</t>
        </r>
        <r>
          <rPr>
            <sz val="14"/>
            <rFont val="宋体"/>
            <charset val="134"/>
          </rPr>
          <t xml:space="preserve">
1601703 4/21 96 pcs</t>
        </r>
      </text>
    </comment>
    <comment ref="S730" authorId="1">
      <text>
        <r>
          <rPr>
            <b/>
            <sz val="14"/>
            <rFont val="宋体"/>
            <charset val="134"/>
          </rPr>
          <t>Administrator:</t>
        </r>
        <r>
          <rPr>
            <sz val="14"/>
            <rFont val="宋体"/>
            <charset val="134"/>
          </rPr>
          <t xml:space="preserve">
4/14 上客供亚马逊外箱贴纸 3 pcs</t>
        </r>
      </text>
    </comment>
    <comment ref="Q731" authorId="1">
      <text>
        <r>
          <rPr>
            <b/>
            <sz val="14"/>
            <rFont val="宋体"/>
            <charset val="134"/>
          </rPr>
          <t>Administrator:</t>
        </r>
        <r>
          <rPr>
            <sz val="14"/>
            <rFont val="宋体"/>
            <charset val="134"/>
          </rPr>
          <t xml:space="preserve">
1601703 4/21 160 pcs</t>
        </r>
      </text>
    </comment>
    <comment ref="S731" authorId="1">
      <text>
        <r>
          <rPr>
            <b/>
            <sz val="14"/>
            <rFont val="宋体"/>
            <charset val="134"/>
          </rPr>
          <t>Administrator:</t>
        </r>
        <r>
          <rPr>
            <sz val="14"/>
            <rFont val="宋体"/>
            <charset val="134"/>
          </rPr>
          <t xml:space="preserve">
4/14 上客供亚马逊外箱贴纸 5 pcs</t>
        </r>
      </text>
    </comment>
    <comment ref="Q732" authorId="1">
      <text>
        <r>
          <rPr>
            <b/>
            <sz val="14"/>
            <rFont val="宋体"/>
            <charset val="134"/>
          </rPr>
          <t>Administrator:</t>
        </r>
        <r>
          <rPr>
            <sz val="14"/>
            <rFont val="宋体"/>
            <charset val="134"/>
          </rPr>
          <t xml:space="preserve">
1402924 5/3 3000 pcs</t>
        </r>
      </text>
    </comment>
    <comment ref="Q733" authorId="1">
      <text>
        <r>
          <rPr>
            <b/>
            <sz val="14"/>
            <rFont val="宋体"/>
            <charset val="134"/>
          </rPr>
          <t>Administrator:</t>
        </r>
        <r>
          <rPr>
            <sz val="14"/>
            <rFont val="宋体"/>
            <charset val="134"/>
          </rPr>
          <t xml:space="preserve">
1402890 4/28 720 pcs</t>
        </r>
      </text>
    </comment>
    <comment ref="S733" authorId="1">
      <text>
        <r>
          <rPr>
            <b/>
            <sz val="14"/>
            <rFont val="宋体"/>
            <charset val="134"/>
          </rPr>
          <t>Administrator:</t>
        </r>
        <r>
          <rPr>
            <sz val="14"/>
            <rFont val="宋体"/>
            <charset val="134"/>
          </rPr>
          <t xml:space="preserve">
4/10 上警告语贴纸 720 pcs
     上袋子警告语贴纸 720 pcs</t>
        </r>
      </text>
    </comment>
    <comment ref="Q734" authorId="1">
      <text>
        <r>
          <rPr>
            <b/>
            <sz val="14"/>
            <rFont val="宋体"/>
            <charset val="134"/>
          </rPr>
          <t>Administrator:</t>
        </r>
        <r>
          <rPr>
            <sz val="14"/>
            <rFont val="宋体"/>
            <charset val="134"/>
          </rPr>
          <t xml:space="preserve">
1406212 4/26 1500 pcs</t>
        </r>
      </text>
    </comment>
    <comment ref="S734" authorId="1">
      <text>
        <r>
          <rPr>
            <b/>
            <sz val="14"/>
            <rFont val="宋体"/>
            <charset val="134"/>
          </rPr>
          <t>Administrator:</t>
        </r>
        <r>
          <rPr>
            <sz val="14"/>
            <rFont val="宋体"/>
            <charset val="134"/>
          </rPr>
          <t xml:space="preserve">
4/1  上4国语警语贴纸 1500 pcs</t>
        </r>
      </text>
    </comment>
    <comment ref="Q735" authorId="1">
      <text>
        <r>
          <rPr>
            <b/>
            <sz val="14"/>
            <rFont val="宋体"/>
            <charset val="134"/>
          </rPr>
          <t>Administrator:</t>
        </r>
        <r>
          <rPr>
            <sz val="14"/>
            <rFont val="宋体"/>
            <charset val="134"/>
          </rPr>
          <t xml:space="preserve">
1403114 5/23 720 pcs</t>
        </r>
      </text>
    </comment>
    <comment ref="Q736" authorId="1">
      <text>
        <r>
          <rPr>
            <b/>
            <sz val="14"/>
            <rFont val="宋体"/>
            <charset val="134"/>
          </rPr>
          <t>Administrator:</t>
        </r>
        <r>
          <rPr>
            <sz val="14"/>
            <rFont val="宋体"/>
            <charset val="134"/>
          </rPr>
          <t xml:space="preserve">
1403040 5/15 3000 pcs</t>
        </r>
      </text>
    </comment>
    <comment ref="Q737" authorId="1">
      <text>
        <r>
          <rPr>
            <b/>
            <sz val="14"/>
            <rFont val="宋体"/>
            <charset val="134"/>
          </rPr>
          <t>Administrator:</t>
        </r>
        <r>
          <rPr>
            <sz val="14"/>
            <rFont val="宋体"/>
            <charset val="134"/>
          </rPr>
          <t xml:space="preserve">
1403114 5/23 1170 pcs
1403102 5/22 2688 pcs</t>
        </r>
      </text>
    </comment>
    <comment ref="Q738" authorId="1">
      <text>
        <r>
          <rPr>
            <b/>
            <sz val="14"/>
            <rFont val="宋体"/>
            <charset val="134"/>
          </rPr>
          <t>Administrator:</t>
        </r>
        <r>
          <rPr>
            <sz val="14"/>
            <rFont val="宋体"/>
            <charset val="134"/>
          </rPr>
          <t xml:space="preserve">
1403114 5/23 216 pcs
1403102 5/22 3744 pcs</t>
        </r>
      </text>
    </comment>
    <comment ref="Q739" authorId="1">
      <text>
        <r>
          <rPr>
            <b/>
            <sz val="14"/>
            <rFont val="宋体"/>
            <charset val="134"/>
          </rPr>
          <t>Administrator:</t>
        </r>
        <r>
          <rPr>
            <sz val="14"/>
            <rFont val="宋体"/>
            <charset val="134"/>
          </rPr>
          <t xml:space="preserve">
1403081 5/20 300 pcs</t>
        </r>
      </text>
    </comment>
    <comment ref="Q740" authorId="1">
      <text>
        <r>
          <rPr>
            <b/>
            <sz val="14"/>
            <rFont val="宋体"/>
            <charset val="134"/>
          </rPr>
          <t>Administrator:</t>
        </r>
        <r>
          <rPr>
            <sz val="14"/>
            <rFont val="宋体"/>
            <charset val="134"/>
          </rPr>
          <t xml:space="preserve">
1403082 5/20 6000 pcs</t>
        </r>
      </text>
    </comment>
    <comment ref="Q741" authorId="1">
      <text>
        <r>
          <rPr>
            <b/>
            <sz val="14"/>
            <rFont val="宋体"/>
            <charset val="134"/>
          </rPr>
          <t>Administrator:</t>
        </r>
        <r>
          <rPr>
            <sz val="14"/>
            <rFont val="宋体"/>
            <charset val="134"/>
          </rPr>
          <t xml:space="preserve">
1403091 5/21 1452 pcs</t>
        </r>
      </text>
    </comment>
    <comment ref="Q742" authorId="1">
      <text>
        <r>
          <rPr>
            <sz val="9"/>
            <rFont val="宋体"/>
            <charset val="0"/>
          </rPr>
          <t>Administrator:
1403118 5/25 3984 pcs</t>
        </r>
        <r>
          <rPr>
            <b/>
            <sz val="9"/>
            <rFont val="宋体"/>
            <charset val="0"/>
          </rPr>
          <t xml:space="preserve">
严新荟:</t>
        </r>
        <r>
          <rPr>
            <sz val="9"/>
            <rFont val="宋体"/>
            <charset val="0"/>
          </rPr>
          <t xml:space="preserve">
1601765 5/26 24 pcs</t>
        </r>
      </text>
    </comment>
    <comment ref="Q743" authorId="2">
      <text>
        <r>
          <rPr>
            <b/>
            <sz val="9"/>
            <rFont val="宋体"/>
            <charset val="0"/>
          </rPr>
          <t>严新荟:</t>
        </r>
        <r>
          <rPr>
            <sz val="9"/>
            <rFont val="宋体"/>
            <charset val="0"/>
          </rPr>
          <t xml:space="preserve">
1601767 5/27 7776 pcs</t>
        </r>
        <r>
          <rPr>
            <b/>
            <sz val="9"/>
            <rFont val="宋体"/>
            <charset val="0"/>
          </rPr>
          <t xml:space="preserve">
严新荟:</t>
        </r>
        <r>
          <rPr>
            <sz val="9"/>
            <rFont val="宋体"/>
            <charset val="0"/>
          </rPr>
          <t xml:space="preserve">
1601774 5/28 144 pcs</t>
        </r>
      </text>
    </comment>
    <comment ref="Q744" authorId="2">
      <text>
        <r>
          <rPr>
            <b/>
            <sz val="9"/>
            <rFont val="宋体"/>
            <charset val="0"/>
          </rPr>
          <t>严新荟:</t>
        </r>
        <r>
          <rPr>
            <sz val="9"/>
            <rFont val="宋体"/>
            <charset val="0"/>
          </rPr>
          <t xml:space="preserve">
1601774 5/28 18880 PCS</t>
        </r>
        <r>
          <rPr>
            <b/>
            <sz val="9"/>
            <rFont val="宋体"/>
            <charset val="0"/>
          </rPr>
          <t xml:space="preserve">
严新荟:</t>
        </r>
        <r>
          <rPr>
            <sz val="9"/>
            <rFont val="宋体"/>
            <charset val="0"/>
          </rPr>
          <t xml:space="preserve">
2500153 5/29 120 PCS</t>
        </r>
      </text>
    </comment>
    <comment ref="Q745" authorId="2">
      <text>
        <r>
          <rPr>
            <b/>
            <sz val="9"/>
            <rFont val="宋体"/>
            <charset val="0"/>
          </rPr>
          <t>严新荟:</t>
        </r>
        <r>
          <rPr>
            <sz val="9"/>
            <rFont val="宋体"/>
            <charset val="0"/>
          </rPr>
          <t xml:space="preserve">
1601791 5/30 3600 PCS</t>
        </r>
      </text>
    </comment>
    <comment ref="Q746" authorId="2">
      <text>
        <r>
          <rPr>
            <b/>
            <sz val="9"/>
            <rFont val="宋体"/>
            <charset val="0"/>
          </rPr>
          <t>严新荟:</t>
        </r>
        <r>
          <rPr>
            <sz val="9"/>
            <rFont val="宋体"/>
            <charset val="0"/>
          </rPr>
          <t xml:space="preserve">
1601776 5/28 240 PCS</t>
        </r>
      </text>
    </comment>
    <comment ref="Q747" authorId="2">
      <text>
        <r>
          <rPr>
            <b/>
            <sz val="9"/>
            <rFont val="宋体"/>
            <charset val="0"/>
          </rPr>
          <t>严新荟:</t>
        </r>
        <r>
          <rPr>
            <sz val="9"/>
            <rFont val="宋体"/>
            <charset val="0"/>
          </rPr>
          <t xml:space="preserve">
1601795 6/1 1800 pcs</t>
        </r>
      </text>
    </comment>
    <comment ref="Q748" authorId="2">
      <text>
        <r>
          <rPr>
            <b/>
            <sz val="9"/>
            <rFont val="宋体"/>
            <charset val="0"/>
          </rPr>
          <t>严新荟:</t>
        </r>
        <r>
          <rPr>
            <sz val="9"/>
            <rFont val="宋体"/>
            <charset val="0"/>
          </rPr>
          <t xml:space="preserve">
1601795 6/1 2004 PCS</t>
        </r>
      </text>
    </comment>
    <comment ref="Q749" authorId="2">
      <text>
        <r>
          <rPr>
            <b/>
            <sz val="9"/>
            <rFont val="宋体"/>
            <charset val="0"/>
          </rPr>
          <t>严新荟:</t>
        </r>
        <r>
          <rPr>
            <sz val="9"/>
            <rFont val="宋体"/>
            <charset val="0"/>
          </rPr>
          <t xml:space="preserve">
1601795 6/1 2376  PCS
1601810 6/2 828  pcs</t>
        </r>
      </text>
    </comment>
    <comment ref="Q750" authorId="2">
      <text>
        <r>
          <rPr>
            <b/>
            <sz val="9"/>
            <rFont val="宋体"/>
            <charset val="0"/>
          </rPr>
          <t>严新荟:</t>
        </r>
        <r>
          <rPr>
            <sz val="9"/>
            <rFont val="宋体"/>
            <charset val="0"/>
          </rPr>
          <t xml:space="preserve">
2500357 6/6 300 pcs</t>
        </r>
      </text>
    </comment>
    <comment ref="Q751" authorId="2">
      <text>
        <r>
          <rPr>
            <b/>
            <sz val="9"/>
            <rFont val="宋体"/>
            <charset val="0"/>
          </rPr>
          <t>严新荟:</t>
        </r>
        <r>
          <rPr>
            <sz val="9"/>
            <rFont val="宋体"/>
            <charset val="0"/>
          </rPr>
          <t xml:space="preserve">
消耗库存</t>
        </r>
      </text>
    </comment>
    <comment ref="Q752" authorId="2">
      <text>
        <r>
          <rPr>
            <b/>
            <sz val="9"/>
            <rFont val="宋体"/>
            <charset val="0"/>
          </rPr>
          <t>严新荟:</t>
        </r>
        <r>
          <rPr>
            <sz val="9"/>
            <rFont val="宋体"/>
            <charset val="0"/>
          </rPr>
          <t xml:space="preserve">
消耗库存</t>
        </r>
      </text>
    </comment>
    <comment ref="Q753" authorId="2">
      <text>
        <r>
          <rPr>
            <b/>
            <sz val="9"/>
            <rFont val="宋体"/>
            <charset val="0"/>
          </rPr>
          <t>严新荟:</t>
        </r>
        <r>
          <rPr>
            <sz val="9"/>
            <rFont val="宋体"/>
            <charset val="0"/>
          </rPr>
          <t xml:space="preserve">
2500321 6/15 468 pcs
2500305 6/16 12 pcs</t>
        </r>
      </text>
    </comment>
    <comment ref="Q754" authorId="2">
      <text>
        <r>
          <rPr>
            <b/>
            <sz val="9"/>
            <rFont val="宋体"/>
            <charset val="0"/>
          </rPr>
          <t>严新荟:</t>
        </r>
        <r>
          <rPr>
            <sz val="9"/>
            <rFont val="宋体"/>
            <charset val="0"/>
          </rPr>
          <t xml:space="preserve">
2500346 6/17  378 pcs</t>
        </r>
      </text>
    </comment>
    <comment ref="Q755" authorId="2">
      <text>
        <r>
          <rPr>
            <b/>
            <sz val="9"/>
            <rFont val="宋体"/>
            <charset val="0"/>
          </rPr>
          <t>严新荟:</t>
        </r>
        <r>
          <rPr>
            <sz val="9"/>
            <rFont val="宋体"/>
            <charset val="0"/>
          </rPr>
          <t xml:space="preserve">
2500346 6/17  5280 pcs</t>
        </r>
      </text>
    </comment>
    <comment ref="Q756" authorId="2">
      <text>
        <r>
          <rPr>
            <b/>
            <sz val="9"/>
            <rFont val="宋体"/>
            <charset val="0"/>
          </rPr>
          <t>严新荟:</t>
        </r>
        <r>
          <rPr>
            <sz val="9"/>
            <rFont val="宋体"/>
            <charset val="0"/>
          </rPr>
          <t xml:space="preserve">
2500200 6/18 120 pcs</t>
        </r>
      </text>
    </comment>
    <comment ref="S756" authorId="2">
      <text>
        <r>
          <rPr>
            <b/>
            <sz val="9"/>
            <rFont val="宋体"/>
            <charset val="0"/>
          </rPr>
          <t>严新荟:</t>
        </r>
        <r>
          <rPr>
            <sz val="9"/>
            <rFont val="宋体"/>
            <charset val="0"/>
          </rPr>
          <t xml:space="preserve">
6/9 上UPC贴纸 120 pcs</t>
        </r>
      </text>
    </comment>
    <comment ref="S757" authorId="2">
      <text>
        <r>
          <rPr>
            <b/>
            <sz val="9"/>
            <rFont val="宋体"/>
            <charset val="0"/>
          </rPr>
          <t>严新荟:</t>
        </r>
        <r>
          <rPr>
            <sz val="9"/>
            <rFont val="宋体"/>
            <charset val="0"/>
          </rPr>
          <t xml:space="preserve">
5/18 上进口商贴纸 3000 pcs
5/21 上水胶袋贴纸 3000 pcs</t>
        </r>
      </text>
    </comment>
    <comment ref="S758" authorId="2">
      <text>
        <r>
          <rPr>
            <b/>
            <sz val="9"/>
            <rFont val="宋体"/>
            <charset val="0"/>
          </rPr>
          <t>严新荟:</t>
        </r>
        <r>
          <rPr>
            <sz val="9"/>
            <rFont val="宋体"/>
            <charset val="0"/>
          </rPr>
          <t xml:space="preserve">
5/18 上进口商贴纸 3000 pcs
5/21 上水胶袋贴纸 3000 pcs</t>
        </r>
      </text>
    </comment>
    <comment ref="Q759" authorId="2">
      <text>
        <r>
          <rPr>
            <b/>
            <sz val="9"/>
            <rFont val="宋体"/>
            <charset val="0"/>
          </rPr>
          <t>严新荟:</t>
        </r>
        <r>
          <rPr>
            <sz val="9"/>
            <rFont val="宋体"/>
            <charset val="0"/>
          </rPr>
          <t xml:space="preserve">
2200022 6/27 480 pcs</t>
        </r>
      </text>
    </comment>
    <comment ref="S759" authorId="2">
      <text>
        <r>
          <rPr>
            <b/>
            <sz val="9"/>
            <rFont val="宋体"/>
            <charset val="0"/>
          </rPr>
          <t>严新荟:</t>
        </r>
        <r>
          <rPr>
            <sz val="9"/>
            <rFont val="宋体"/>
            <charset val="0"/>
          </rPr>
          <t xml:space="preserve">
6/15 上价标贴纸 11568 pcs
         上进口商贴纸 11568 pcs
         上UPC条码贴纸 11568 pcs</t>
        </r>
      </text>
    </comment>
    <comment ref="Q760" authorId="2">
      <text>
        <r>
          <rPr>
            <b/>
            <sz val="9"/>
            <rFont val="宋体"/>
            <charset val="0"/>
          </rPr>
          <t>严新荟:</t>
        </r>
        <r>
          <rPr>
            <sz val="9"/>
            <rFont val="宋体"/>
            <charset val="0"/>
          </rPr>
          <t xml:space="preserve">
2200022 6/27 2304 pcs</t>
        </r>
      </text>
    </comment>
    <comment ref="Q761" authorId="2">
      <text>
        <r>
          <rPr>
            <b/>
            <sz val="9"/>
            <rFont val="宋体"/>
            <charset val="0"/>
          </rPr>
          <t>严新荟:</t>
        </r>
        <r>
          <rPr>
            <sz val="9"/>
            <rFont val="宋体"/>
            <charset val="0"/>
          </rPr>
          <t xml:space="preserve">
2200156 7/15 600 pcs</t>
        </r>
      </text>
    </comment>
    <comment ref="Q762" authorId="2">
      <text>
        <r>
          <rPr>
            <b/>
            <sz val="9"/>
            <rFont val="宋体"/>
            <charset val="0"/>
          </rPr>
          <t>严新荟:</t>
        </r>
        <r>
          <rPr>
            <sz val="9"/>
            <rFont val="宋体"/>
            <charset val="0"/>
          </rPr>
          <t xml:space="preserve">
2200156 7/15 1536 pcs</t>
        </r>
      </text>
    </comment>
    <comment ref="S762" authorId="2">
      <text>
        <r>
          <rPr>
            <b/>
            <sz val="9"/>
            <rFont val="宋体"/>
            <charset val="0"/>
          </rPr>
          <t>严新荟:</t>
        </r>
        <r>
          <rPr>
            <sz val="9"/>
            <rFont val="宋体"/>
            <charset val="0"/>
          </rPr>
          <t xml:space="preserve">
6/15 上价标贴纸 11568 pcs
         上进口商贴纸 11568 pcs
         上UPC条码贴纸 11568 pcs</t>
        </r>
      </text>
    </comment>
    <comment ref="Q763" authorId="2">
      <text>
        <r>
          <rPr>
            <b/>
            <sz val="9"/>
            <rFont val="宋体"/>
            <charset val="0"/>
          </rPr>
          <t>严新荟:</t>
        </r>
        <r>
          <rPr>
            <sz val="9"/>
            <rFont val="宋体"/>
            <charset val="0"/>
          </rPr>
          <t xml:space="preserve">
2200103 7/10 2004 pcs</t>
        </r>
      </text>
    </comment>
    <comment ref="S763" authorId="2">
      <text>
        <r>
          <rPr>
            <b/>
            <sz val="9"/>
            <rFont val="宋体"/>
            <charset val="0"/>
          </rPr>
          <t>严新荟:</t>
        </r>
        <r>
          <rPr>
            <sz val="9"/>
            <rFont val="宋体"/>
            <charset val="0"/>
          </rPr>
          <t xml:space="preserve">
6/22 上客供价格贴纸 2110 pcs
5/28 上UPC/进口商贴纸 2004 pcs</t>
        </r>
      </text>
    </comment>
    <comment ref="Q764" authorId="2">
      <text>
        <r>
          <rPr>
            <b/>
            <sz val="9"/>
            <rFont val="宋体"/>
            <charset val="0"/>
          </rPr>
          <t>严新荟:</t>
        </r>
        <r>
          <rPr>
            <sz val="9"/>
            <rFont val="宋体"/>
            <charset val="0"/>
          </rPr>
          <t xml:space="preserve">
2801948 8/5 732 pcs</t>
        </r>
      </text>
    </comment>
    <comment ref="S764" authorId="2">
      <text>
        <r>
          <rPr>
            <b/>
            <sz val="9"/>
            <rFont val="宋体"/>
            <charset val="0"/>
          </rPr>
          <t>严新荟:</t>
        </r>
        <r>
          <rPr>
            <sz val="9"/>
            <rFont val="宋体"/>
            <charset val="0"/>
          </rPr>
          <t xml:space="preserve">
7/11 上UPC/进口商贴纸 732 pcs</t>
        </r>
      </text>
    </comment>
    <comment ref="Q765" authorId="2">
      <text>
        <r>
          <rPr>
            <b/>
            <sz val="9"/>
            <rFont val="宋体"/>
            <charset val="0"/>
          </rPr>
          <t>严新荟:</t>
        </r>
        <r>
          <rPr>
            <sz val="9"/>
            <rFont val="宋体"/>
            <charset val="0"/>
          </rPr>
          <t xml:space="preserve">
2200634 8/14 12 pcs
2200631 8/14 2388 PCS</t>
        </r>
      </text>
    </comment>
    <comment ref="S765" authorId="2">
      <text>
        <r>
          <rPr>
            <b/>
            <sz val="9"/>
            <rFont val="宋体"/>
            <charset val="0"/>
          </rPr>
          <t>严新荟:</t>
        </r>
        <r>
          <rPr>
            <sz val="9"/>
            <rFont val="宋体"/>
            <charset val="0"/>
          </rPr>
          <t xml:space="preserve">
7/25 上进口商贴纸 6336 pcs
7/28 上口水胶袋贴纸 6336 pcs</t>
        </r>
      </text>
    </comment>
    <comment ref="Q766" authorId="2">
      <text>
        <r>
          <rPr>
            <b/>
            <sz val="9"/>
            <rFont val="宋体"/>
            <charset val="0"/>
          </rPr>
          <t>严新荟:</t>
        </r>
        <r>
          <rPr>
            <sz val="9"/>
            <rFont val="宋体"/>
            <charset val="0"/>
          </rPr>
          <t xml:space="preserve">
2200634 8/14 12 pcs
2200631 8/14 2316 PCS</t>
        </r>
      </text>
    </comment>
    <comment ref="Q767" authorId="2">
      <text>
        <r>
          <rPr>
            <b/>
            <sz val="9"/>
            <rFont val="宋体"/>
            <charset val="0"/>
          </rPr>
          <t>严新荟:</t>
        </r>
        <r>
          <rPr>
            <sz val="9"/>
            <rFont val="宋体"/>
            <charset val="0"/>
          </rPr>
          <t xml:space="preserve">
2200631 8/14 1608 PCS</t>
        </r>
      </text>
    </comment>
    <comment ref="Q768" authorId="2">
      <text>
        <r>
          <rPr>
            <b/>
            <sz val="9"/>
            <rFont val="宋体"/>
            <charset val="0"/>
          </rPr>
          <t>严新荟:</t>
        </r>
        <r>
          <rPr>
            <sz val="9"/>
            <rFont val="宋体"/>
            <charset val="0"/>
          </rPr>
          <t xml:space="preserve">
2200212 8/15 1344 pcs
2200637 8/14 5904 pcs</t>
        </r>
      </text>
    </comment>
    <comment ref="S769" authorId="1">
      <text>
        <r>
          <rPr>
            <b/>
            <sz val="14"/>
            <rFont val="宋体"/>
            <charset val="134"/>
          </rPr>
          <t>Administrator:</t>
        </r>
        <r>
          <rPr>
            <sz val="14"/>
            <rFont val="宋体"/>
            <charset val="134"/>
          </rPr>
          <t xml:space="preserve">
3/26 上进口商贴纸 48 pcs
     上UPC条码贴纸 48 pcs</t>
        </r>
      </text>
    </comment>
  </commentList>
</comments>
</file>

<file path=xl/comments5.xml><?xml version="1.0" encoding="utf-8"?>
<comments xmlns="http://schemas.openxmlformats.org/spreadsheetml/2006/main">
  <authors>
    <author>Administrator</author>
    <author>Unknown User</author>
  </authors>
  <commentList>
    <comment ref="BO115" authorId="0">
      <text>
        <r>
          <rPr>
            <b/>
            <sz val="9"/>
            <rFont val="宋体"/>
            <charset val="134"/>
          </rPr>
          <t>Administrator:</t>
        </r>
        <r>
          <rPr>
            <sz val="9"/>
            <rFont val="宋体"/>
            <charset val="134"/>
          </rPr>
          <t xml:space="preserve">
客办蛋壳色</t>
        </r>
      </text>
    </comment>
    <comment ref="BQ115" authorId="0">
      <text>
        <r>
          <rPr>
            <b/>
            <sz val="9"/>
            <rFont val="宋体"/>
            <charset val="134"/>
          </rPr>
          <t>Administrator:</t>
        </r>
        <r>
          <rPr>
            <sz val="9"/>
            <rFont val="宋体"/>
            <charset val="134"/>
          </rPr>
          <t xml:space="preserve">
客办蛋壳色</t>
        </r>
      </text>
    </comment>
    <comment ref="BO116" authorId="0">
      <text>
        <r>
          <rPr>
            <b/>
            <sz val="9"/>
            <rFont val="宋体"/>
            <charset val="134"/>
          </rPr>
          <t>Administrator:</t>
        </r>
        <r>
          <rPr>
            <sz val="9"/>
            <rFont val="宋体"/>
            <charset val="134"/>
          </rPr>
          <t xml:space="preserve">
客办蛋壳色</t>
        </r>
      </text>
    </comment>
    <comment ref="BQ116" authorId="0">
      <text>
        <r>
          <rPr>
            <b/>
            <sz val="9"/>
            <rFont val="宋体"/>
            <charset val="134"/>
          </rPr>
          <t>Administrator:</t>
        </r>
        <r>
          <rPr>
            <sz val="9"/>
            <rFont val="宋体"/>
            <charset val="134"/>
          </rPr>
          <t xml:space="preserve">
客办蛋壳色</t>
        </r>
      </text>
    </comment>
    <comment ref="BO117" authorId="0">
      <text>
        <r>
          <rPr>
            <b/>
            <sz val="9"/>
            <rFont val="宋体"/>
            <charset val="134"/>
          </rPr>
          <t>Administrator:</t>
        </r>
        <r>
          <rPr>
            <sz val="9"/>
            <rFont val="宋体"/>
            <charset val="134"/>
          </rPr>
          <t xml:space="preserve">
客办蛋壳色</t>
        </r>
      </text>
    </comment>
    <comment ref="BQ117" authorId="0">
      <text>
        <r>
          <rPr>
            <b/>
            <sz val="9"/>
            <rFont val="宋体"/>
            <charset val="134"/>
          </rPr>
          <t>Administrator:</t>
        </r>
        <r>
          <rPr>
            <sz val="9"/>
            <rFont val="宋体"/>
            <charset val="134"/>
          </rPr>
          <t xml:space="preserve">
客办蛋壳色</t>
        </r>
      </text>
    </comment>
    <comment ref="BO118" authorId="0">
      <text>
        <r>
          <rPr>
            <b/>
            <sz val="9"/>
            <rFont val="宋体"/>
            <charset val="134"/>
          </rPr>
          <t>Administrator:</t>
        </r>
        <r>
          <rPr>
            <sz val="9"/>
            <rFont val="宋体"/>
            <charset val="134"/>
          </rPr>
          <t xml:space="preserve">
客办蛋壳色</t>
        </r>
      </text>
    </comment>
    <comment ref="BQ118" authorId="0">
      <text>
        <r>
          <rPr>
            <b/>
            <sz val="9"/>
            <rFont val="宋体"/>
            <charset val="134"/>
          </rPr>
          <t>Administrator:</t>
        </r>
        <r>
          <rPr>
            <sz val="9"/>
            <rFont val="宋体"/>
            <charset val="134"/>
          </rPr>
          <t xml:space="preserve">
客办蛋壳色</t>
        </r>
      </text>
    </comment>
    <comment ref="BO119" authorId="0">
      <text>
        <r>
          <rPr>
            <b/>
            <sz val="9"/>
            <rFont val="宋体"/>
            <charset val="134"/>
          </rPr>
          <t>Administrator:</t>
        </r>
        <r>
          <rPr>
            <sz val="9"/>
            <rFont val="宋体"/>
            <charset val="134"/>
          </rPr>
          <t xml:space="preserve">
客办蛋壳色</t>
        </r>
      </text>
    </comment>
    <comment ref="BQ119" authorId="0">
      <text>
        <r>
          <rPr>
            <b/>
            <sz val="9"/>
            <rFont val="宋体"/>
            <charset val="134"/>
          </rPr>
          <t>Administrator:</t>
        </r>
        <r>
          <rPr>
            <sz val="9"/>
            <rFont val="宋体"/>
            <charset val="134"/>
          </rPr>
          <t xml:space="preserve">
客办蛋壳色</t>
        </r>
      </text>
    </comment>
    <comment ref="BO121" authorId="0">
      <text>
        <r>
          <rPr>
            <b/>
            <sz val="9"/>
            <rFont val="宋体"/>
            <charset val="134"/>
          </rPr>
          <t>Administrator:</t>
        </r>
        <r>
          <rPr>
            <sz val="9"/>
            <rFont val="宋体"/>
            <charset val="134"/>
          </rPr>
          <t xml:space="preserve">
客办蛋壳色</t>
        </r>
      </text>
    </comment>
    <comment ref="BQ121" authorId="0">
      <text>
        <r>
          <rPr>
            <b/>
            <sz val="9"/>
            <rFont val="宋体"/>
            <charset val="134"/>
          </rPr>
          <t>Administrator:</t>
        </r>
        <r>
          <rPr>
            <sz val="9"/>
            <rFont val="宋体"/>
            <charset val="134"/>
          </rPr>
          <t xml:space="preserve">
客办蛋壳色</t>
        </r>
      </text>
    </comment>
    <comment ref="BO122" authorId="0">
      <text>
        <r>
          <rPr>
            <b/>
            <sz val="9"/>
            <rFont val="宋体"/>
            <charset val="134"/>
          </rPr>
          <t>Administrator:</t>
        </r>
        <r>
          <rPr>
            <sz val="9"/>
            <rFont val="宋体"/>
            <charset val="134"/>
          </rPr>
          <t xml:space="preserve">
客办蛋壳色</t>
        </r>
      </text>
    </comment>
    <comment ref="BQ122" authorId="0">
      <text>
        <r>
          <rPr>
            <b/>
            <sz val="9"/>
            <rFont val="宋体"/>
            <charset val="134"/>
          </rPr>
          <t>Administrator:</t>
        </r>
        <r>
          <rPr>
            <sz val="9"/>
            <rFont val="宋体"/>
            <charset val="134"/>
          </rPr>
          <t xml:space="preserve">
客办蛋壳色</t>
        </r>
      </text>
    </comment>
    <comment ref="BO123" authorId="0">
      <text>
        <r>
          <rPr>
            <b/>
            <sz val="9"/>
            <rFont val="宋体"/>
            <charset val="134"/>
          </rPr>
          <t>Administrator:</t>
        </r>
        <r>
          <rPr>
            <sz val="9"/>
            <rFont val="宋体"/>
            <charset val="134"/>
          </rPr>
          <t xml:space="preserve">
客办蛋壳色</t>
        </r>
      </text>
    </comment>
    <comment ref="BQ123" authorId="0">
      <text>
        <r>
          <rPr>
            <b/>
            <sz val="9"/>
            <rFont val="宋体"/>
            <charset val="134"/>
          </rPr>
          <t>Administrator:</t>
        </r>
        <r>
          <rPr>
            <sz val="9"/>
            <rFont val="宋体"/>
            <charset val="134"/>
          </rPr>
          <t xml:space="preserve">
客办蛋壳色</t>
        </r>
      </text>
    </comment>
    <comment ref="BO124" authorId="0">
      <text>
        <r>
          <rPr>
            <b/>
            <sz val="9"/>
            <rFont val="宋体"/>
            <charset val="134"/>
          </rPr>
          <t>Administrator:</t>
        </r>
        <r>
          <rPr>
            <sz val="9"/>
            <rFont val="宋体"/>
            <charset val="134"/>
          </rPr>
          <t xml:space="preserve">
客办蛋壳色</t>
        </r>
      </text>
    </comment>
    <comment ref="BQ124" authorId="0">
      <text>
        <r>
          <rPr>
            <b/>
            <sz val="9"/>
            <rFont val="宋体"/>
            <charset val="134"/>
          </rPr>
          <t>Administrator:</t>
        </r>
        <r>
          <rPr>
            <sz val="9"/>
            <rFont val="宋体"/>
            <charset val="134"/>
          </rPr>
          <t xml:space="preserve">
客办蛋壳色</t>
        </r>
      </text>
    </comment>
    <comment ref="BO125" authorId="0">
      <text>
        <r>
          <rPr>
            <b/>
            <sz val="9"/>
            <rFont val="宋体"/>
            <charset val="134"/>
          </rPr>
          <t>Administrator:</t>
        </r>
        <r>
          <rPr>
            <sz val="9"/>
            <rFont val="宋体"/>
            <charset val="134"/>
          </rPr>
          <t xml:space="preserve">
客办蛋壳色</t>
        </r>
      </text>
    </comment>
    <comment ref="BQ125" authorId="0">
      <text>
        <r>
          <rPr>
            <b/>
            <sz val="9"/>
            <rFont val="宋体"/>
            <charset val="134"/>
          </rPr>
          <t>Administrator:</t>
        </r>
        <r>
          <rPr>
            <sz val="9"/>
            <rFont val="宋体"/>
            <charset val="134"/>
          </rPr>
          <t xml:space="preserve">
客办蛋壳色</t>
        </r>
      </text>
    </comment>
    <comment ref="BO126" authorId="0">
      <text>
        <r>
          <rPr>
            <b/>
            <sz val="9"/>
            <rFont val="宋体"/>
            <charset val="134"/>
          </rPr>
          <t>Administrator:</t>
        </r>
        <r>
          <rPr>
            <sz val="9"/>
            <rFont val="宋体"/>
            <charset val="134"/>
          </rPr>
          <t xml:space="preserve">
客办蛋壳色</t>
        </r>
      </text>
    </comment>
    <comment ref="BQ126" authorId="0">
      <text>
        <r>
          <rPr>
            <b/>
            <sz val="9"/>
            <rFont val="宋体"/>
            <charset val="134"/>
          </rPr>
          <t>Administrator:</t>
        </r>
        <r>
          <rPr>
            <sz val="9"/>
            <rFont val="宋体"/>
            <charset val="134"/>
          </rPr>
          <t xml:space="preserve">
客办蛋壳色</t>
        </r>
      </text>
    </comment>
    <comment ref="BO127" authorId="0">
      <text>
        <r>
          <rPr>
            <b/>
            <sz val="9"/>
            <rFont val="宋体"/>
            <charset val="134"/>
          </rPr>
          <t>Administrator:</t>
        </r>
        <r>
          <rPr>
            <sz val="9"/>
            <rFont val="宋体"/>
            <charset val="134"/>
          </rPr>
          <t xml:space="preserve">
客办蛋壳色</t>
        </r>
      </text>
    </comment>
    <comment ref="BQ127" authorId="0">
      <text>
        <r>
          <rPr>
            <b/>
            <sz val="9"/>
            <rFont val="宋体"/>
            <charset val="134"/>
          </rPr>
          <t>Administrator:</t>
        </r>
        <r>
          <rPr>
            <sz val="9"/>
            <rFont val="宋体"/>
            <charset val="134"/>
          </rPr>
          <t xml:space="preserve">
客办蛋壳色</t>
        </r>
      </text>
    </comment>
    <comment ref="BO129" authorId="0">
      <text>
        <r>
          <rPr>
            <b/>
            <sz val="9"/>
            <rFont val="宋体"/>
            <charset val="134"/>
          </rPr>
          <t>Administrator:</t>
        </r>
        <r>
          <rPr>
            <sz val="9"/>
            <rFont val="宋体"/>
            <charset val="134"/>
          </rPr>
          <t xml:space="preserve">
客办蛋壳色</t>
        </r>
      </text>
    </comment>
    <comment ref="BQ129" authorId="0">
      <text>
        <r>
          <rPr>
            <b/>
            <sz val="9"/>
            <rFont val="宋体"/>
            <charset val="134"/>
          </rPr>
          <t>Administrator:</t>
        </r>
        <r>
          <rPr>
            <sz val="9"/>
            <rFont val="宋体"/>
            <charset val="134"/>
          </rPr>
          <t xml:space="preserve">
客办蛋壳色</t>
        </r>
      </text>
    </comment>
    <comment ref="BO130" authorId="0">
      <text>
        <r>
          <rPr>
            <b/>
            <sz val="9"/>
            <rFont val="宋体"/>
            <charset val="134"/>
          </rPr>
          <t>Administrator:</t>
        </r>
        <r>
          <rPr>
            <sz val="9"/>
            <rFont val="宋体"/>
            <charset val="134"/>
          </rPr>
          <t xml:space="preserve">
客办蛋壳色</t>
        </r>
      </text>
    </comment>
    <comment ref="BQ130" authorId="0">
      <text>
        <r>
          <rPr>
            <b/>
            <sz val="9"/>
            <rFont val="宋体"/>
            <charset val="134"/>
          </rPr>
          <t>Administrator:</t>
        </r>
        <r>
          <rPr>
            <sz val="9"/>
            <rFont val="宋体"/>
            <charset val="134"/>
          </rPr>
          <t xml:space="preserve">
客办蛋壳色</t>
        </r>
      </text>
    </comment>
    <comment ref="BO131" authorId="0">
      <text>
        <r>
          <rPr>
            <b/>
            <sz val="9"/>
            <rFont val="宋体"/>
            <charset val="134"/>
          </rPr>
          <t>Administrator:</t>
        </r>
        <r>
          <rPr>
            <sz val="9"/>
            <rFont val="宋体"/>
            <charset val="134"/>
          </rPr>
          <t xml:space="preserve">
客办蛋壳色</t>
        </r>
      </text>
    </comment>
    <comment ref="BQ131" authorId="0">
      <text>
        <r>
          <rPr>
            <b/>
            <sz val="9"/>
            <rFont val="宋体"/>
            <charset val="134"/>
          </rPr>
          <t>Administrator:</t>
        </r>
        <r>
          <rPr>
            <sz val="9"/>
            <rFont val="宋体"/>
            <charset val="134"/>
          </rPr>
          <t xml:space="preserve">
客办蛋壳色</t>
        </r>
      </text>
    </comment>
    <comment ref="BO141" authorId="0">
      <text>
        <r>
          <rPr>
            <b/>
            <sz val="9"/>
            <rFont val="宋体"/>
            <charset val="134"/>
          </rPr>
          <t>Administrator:</t>
        </r>
        <r>
          <rPr>
            <sz val="9"/>
            <rFont val="宋体"/>
            <charset val="134"/>
          </rPr>
          <t xml:space="preserve">
客办蛋壳色</t>
        </r>
      </text>
    </comment>
    <comment ref="BQ141" authorId="0">
      <text>
        <r>
          <rPr>
            <b/>
            <sz val="9"/>
            <rFont val="宋体"/>
            <charset val="134"/>
          </rPr>
          <t>Administrator:</t>
        </r>
        <r>
          <rPr>
            <sz val="9"/>
            <rFont val="宋体"/>
            <charset val="134"/>
          </rPr>
          <t xml:space="preserve">
客办蛋壳色</t>
        </r>
      </text>
    </comment>
    <comment ref="BO143" authorId="0">
      <text>
        <r>
          <rPr>
            <b/>
            <sz val="9"/>
            <rFont val="宋体"/>
            <charset val="134"/>
          </rPr>
          <t>Administrator:</t>
        </r>
        <r>
          <rPr>
            <sz val="9"/>
            <rFont val="宋体"/>
            <charset val="134"/>
          </rPr>
          <t xml:space="preserve">
客办蛋壳色</t>
        </r>
      </text>
    </comment>
    <comment ref="BQ143" authorId="0">
      <text>
        <r>
          <rPr>
            <b/>
            <sz val="9"/>
            <rFont val="宋体"/>
            <charset val="134"/>
          </rPr>
          <t>Administrator:</t>
        </r>
        <r>
          <rPr>
            <sz val="9"/>
            <rFont val="宋体"/>
            <charset val="134"/>
          </rPr>
          <t xml:space="preserve">
客办蛋壳色</t>
        </r>
      </text>
    </comment>
    <comment ref="BO145" authorId="0">
      <text>
        <r>
          <rPr>
            <b/>
            <sz val="9"/>
            <rFont val="宋体"/>
            <charset val="134"/>
          </rPr>
          <t>Administrator:</t>
        </r>
        <r>
          <rPr>
            <sz val="9"/>
            <rFont val="宋体"/>
            <charset val="134"/>
          </rPr>
          <t xml:space="preserve">
客办蛋壳色</t>
        </r>
      </text>
    </comment>
    <comment ref="BQ145" authorId="0">
      <text>
        <r>
          <rPr>
            <b/>
            <sz val="9"/>
            <rFont val="宋体"/>
            <charset val="134"/>
          </rPr>
          <t>Administrator:</t>
        </r>
        <r>
          <rPr>
            <sz val="9"/>
            <rFont val="宋体"/>
            <charset val="134"/>
          </rPr>
          <t xml:space="preserve">
客办蛋壳色</t>
        </r>
      </text>
    </comment>
    <comment ref="BO146" authorId="0">
      <text>
        <r>
          <rPr>
            <b/>
            <sz val="9"/>
            <rFont val="宋体"/>
            <charset val="134"/>
          </rPr>
          <t>Administrator:</t>
        </r>
        <r>
          <rPr>
            <sz val="9"/>
            <rFont val="宋体"/>
            <charset val="134"/>
          </rPr>
          <t xml:space="preserve">
客办蛋壳色</t>
        </r>
      </text>
    </comment>
    <comment ref="BQ146" authorId="0">
      <text>
        <r>
          <rPr>
            <b/>
            <sz val="9"/>
            <rFont val="宋体"/>
            <charset val="134"/>
          </rPr>
          <t>Administrator:</t>
        </r>
        <r>
          <rPr>
            <sz val="9"/>
            <rFont val="宋体"/>
            <charset val="134"/>
          </rPr>
          <t xml:space="preserve">
客办蛋壳色</t>
        </r>
      </text>
    </comment>
    <comment ref="BO151" authorId="0">
      <text>
        <r>
          <rPr>
            <b/>
            <sz val="9"/>
            <rFont val="宋体"/>
            <charset val="134"/>
          </rPr>
          <t>Administrator:</t>
        </r>
        <r>
          <rPr>
            <sz val="9"/>
            <rFont val="宋体"/>
            <charset val="134"/>
          </rPr>
          <t xml:space="preserve">
客办蛋壳色</t>
        </r>
      </text>
    </comment>
    <comment ref="BQ151" authorId="0">
      <text>
        <r>
          <rPr>
            <b/>
            <sz val="9"/>
            <rFont val="宋体"/>
            <charset val="134"/>
          </rPr>
          <t>Administrator:</t>
        </r>
        <r>
          <rPr>
            <sz val="9"/>
            <rFont val="宋体"/>
            <charset val="134"/>
          </rPr>
          <t xml:space="preserve">
客办蛋壳色</t>
        </r>
      </text>
    </comment>
    <comment ref="BO152" authorId="0">
      <text>
        <r>
          <rPr>
            <b/>
            <sz val="9"/>
            <rFont val="宋体"/>
            <charset val="134"/>
          </rPr>
          <t>Administrator:</t>
        </r>
        <r>
          <rPr>
            <sz val="9"/>
            <rFont val="宋体"/>
            <charset val="134"/>
          </rPr>
          <t xml:space="preserve">
客办蛋壳色</t>
        </r>
      </text>
    </comment>
    <comment ref="BQ152" authorId="0">
      <text>
        <r>
          <rPr>
            <b/>
            <sz val="9"/>
            <rFont val="宋体"/>
            <charset val="134"/>
          </rPr>
          <t>Administrator:</t>
        </r>
        <r>
          <rPr>
            <sz val="9"/>
            <rFont val="宋体"/>
            <charset val="134"/>
          </rPr>
          <t xml:space="preserve">
客办蛋壳色</t>
        </r>
      </text>
    </comment>
    <comment ref="BO164" authorId="0">
      <text>
        <r>
          <rPr>
            <b/>
            <sz val="9"/>
            <rFont val="宋体"/>
            <charset val="134"/>
          </rPr>
          <t>Administrator:</t>
        </r>
        <r>
          <rPr>
            <sz val="9"/>
            <rFont val="宋体"/>
            <charset val="134"/>
          </rPr>
          <t xml:space="preserve">
客办蛋壳色</t>
        </r>
      </text>
    </comment>
    <comment ref="BQ164" authorId="0">
      <text>
        <r>
          <rPr>
            <b/>
            <sz val="9"/>
            <rFont val="宋体"/>
            <charset val="134"/>
          </rPr>
          <t>Administrator:</t>
        </r>
        <r>
          <rPr>
            <sz val="9"/>
            <rFont val="宋体"/>
            <charset val="134"/>
          </rPr>
          <t xml:space="preserve">
客办蛋壳色</t>
        </r>
      </text>
    </comment>
    <comment ref="BO165" authorId="0">
      <text>
        <r>
          <rPr>
            <b/>
            <sz val="9"/>
            <rFont val="宋体"/>
            <charset val="134"/>
          </rPr>
          <t>Administrator:</t>
        </r>
        <r>
          <rPr>
            <sz val="9"/>
            <rFont val="宋体"/>
            <charset val="134"/>
          </rPr>
          <t xml:space="preserve">
客办蛋壳色</t>
        </r>
      </text>
    </comment>
    <comment ref="BQ165" authorId="0">
      <text>
        <r>
          <rPr>
            <b/>
            <sz val="9"/>
            <rFont val="宋体"/>
            <charset val="134"/>
          </rPr>
          <t>Administrator:</t>
        </r>
        <r>
          <rPr>
            <sz val="9"/>
            <rFont val="宋体"/>
            <charset val="134"/>
          </rPr>
          <t xml:space="preserve">
客办蛋壳色</t>
        </r>
      </text>
    </comment>
    <comment ref="BO166" authorId="0">
      <text>
        <r>
          <rPr>
            <b/>
            <sz val="9"/>
            <rFont val="宋体"/>
            <charset val="134"/>
          </rPr>
          <t>Administrator:</t>
        </r>
        <r>
          <rPr>
            <sz val="9"/>
            <rFont val="宋体"/>
            <charset val="134"/>
          </rPr>
          <t xml:space="preserve">
客办蛋壳色</t>
        </r>
      </text>
    </comment>
    <comment ref="BQ166" authorId="0">
      <text>
        <r>
          <rPr>
            <b/>
            <sz val="9"/>
            <rFont val="宋体"/>
            <charset val="134"/>
          </rPr>
          <t>Administrator:</t>
        </r>
        <r>
          <rPr>
            <sz val="9"/>
            <rFont val="宋体"/>
            <charset val="134"/>
          </rPr>
          <t xml:space="preserve">
客办蛋壳色</t>
        </r>
      </text>
    </comment>
    <comment ref="BO167" authorId="0">
      <text>
        <r>
          <rPr>
            <b/>
            <sz val="9"/>
            <rFont val="宋体"/>
            <charset val="134"/>
          </rPr>
          <t>Administrator:</t>
        </r>
        <r>
          <rPr>
            <sz val="9"/>
            <rFont val="宋体"/>
            <charset val="134"/>
          </rPr>
          <t xml:space="preserve">
客办蛋壳色</t>
        </r>
      </text>
    </comment>
    <comment ref="BQ167" authorId="0">
      <text>
        <r>
          <rPr>
            <b/>
            <sz val="9"/>
            <rFont val="宋体"/>
            <charset val="134"/>
          </rPr>
          <t>Administrator:</t>
        </r>
        <r>
          <rPr>
            <sz val="9"/>
            <rFont val="宋体"/>
            <charset val="134"/>
          </rPr>
          <t xml:space="preserve">
客办蛋壳色</t>
        </r>
      </text>
    </comment>
    <comment ref="BO168" authorId="0">
      <text>
        <r>
          <rPr>
            <b/>
            <sz val="9"/>
            <rFont val="宋体"/>
            <charset val="134"/>
          </rPr>
          <t>Administrator:</t>
        </r>
        <r>
          <rPr>
            <sz val="9"/>
            <rFont val="宋体"/>
            <charset val="134"/>
          </rPr>
          <t xml:space="preserve">
客办蛋壳色</t>
        </r>
      </text>
    </comment>
    <comment ref="BQ168" authorId="0">
      <text>
        <r>
          <rPr>
            <b/>
            <sz val="9"/>
            <rFont val="宋体"/>
            <charset val="134"/>
          </rPr>
          <t>Administrator:</t>
        </r>
        <r>
          <rPr>
            <sz val="9"/>
            <rFont val="宋体"/>
            <charset val="134"/>
          </rPr>
          <t xml:space="preserve">
客办蛋壳色</t>
        </r>
      </text>
    </comment>
    <comment ref="BO191" authorId="0">
      <text>
        <r>
          <rPr>
            <b/>
            <sz val="9"/>
            <rFont val="宋体"/>
            <charset val="134"/>
          </rPr>
          <t>Administrator:</t>
        </r>
        <r>
          <rPr>
            <sz val="9"/>
            <rFont val="宋体"/>
            <charset val="134"/>
          </rPr>
          <t xml:space="preserve">
客办蛋壳色</t>
        </r>
      </text>
    </comment>
    <comment ref="BQ191" authorId="0">
      <text>
        <r>
          <rPr>
            <b/>
            <sz val="9"/>
            <rFont val="宋体"/>
            <charset val="134"/>
          </rPr>
          <t>Administrator:</t>
        </r>
        <r>
          <rPr>
            <sz val="9"/>
            <rFont val="宋体"/>
            <charset val="134"/>
          </rPr>
          <t xml:space="preserve">
客办蛋壳色</t>
        </r>
      </text>
    </comment>
    <comment ref="BO193" authorId="0">
      <text>
        <r>
          <rPr>
            <b/>
            <sz val="9"/>
            <rFont val="宋体"/>
            <charset val="134"/>
          </rPr>
          <t>Administrator:</t>
        </r>
        <r>
          <rPr>
            <sz val="9"/>
            <rFont val="宋体"/>
            <charset val="134"/>
          </rPr>
          <t xml:space="preserve">
客办蛋壳色</t>
        </r>
      </text>
    </comment>
    <comment ref="BQ193" authorId="0">
      <text>
        <r>
          <rPr>
            <b/>
            <sz val="9"/>
            <rFont val="宋体"/>
            <charset val="134"/>
          </rPr>
          <t>Administrator:</t>
        </r>
        <r>
          <rPr>
            <sz val="9"/>
            <rFont val="宋体"/>
            <charset val="134"/>
          </rPr>
          <t xml:space="preserve">
客办蛋壳色</t>
        </r>
      </text>
    </comment>
    <comment ref="BO194" authorId="0">
      <text>
        <r>
          <rPr>
            <b/>
            <sz val="9"/>
            <rFont val="宋体"/>
            <charset val="134"/>
          </rPr>
          <t>Administrator:</t>
        </r>
        <r>
          <rPr>
            <sz val="9"/>
            <rFont val="宋体"/>
            <charset val="134"/>
          </rPr>
          <t xml:space="preserve">
客办蛋壳色</t>
        </r>
      </text>
    </comment>
    <comment ref="BQ194" authorId="0">
      <text>
        <r>
          <rPr>
            <b/>
            <sz val="9"/>
            <rFont val="宋体"/>
            <charset val="134"/>
          </rPr>
          <t>Administrator:</t>
        </r>
        <r>
          <rPr>
            <sz val="9"/>
            <rFont val="宋体"/>
            <charset val="134"/>
          </rPr>
          <t xml:space="preserve">
客办蛋壳色</t>
        </r>
      </text>
    </comment>
    <comment ref="BO195" authorId="0">
      <text>
        <r>
          <rPr>
            <b/>
            <sz val="9"/>
            <rFont val="宋体"/>
            <charset val="134"/>
          </rPr>
          <t>Administrator:</t>
        </r>
        <r>
          <rPr>
            <sz val="9"/>
            <rFont val="宋体"/>
            <charset val="134"/>
          </rPr>
          <t xml:space="preserve">
客办蛋壳色</t>
        </r>
      </text>
    </comment>
    <comment ref="BQ195" authorId="0">
      <text>
        <r>
          <rPr>
            <b/>
            <sz val="9"/>
            <rFont val="宋体"/>
            <charset val="134"/>
          </rPr>
          <t>Administrator:</t>
        </r>
        <r>
          <rPr>
            <sz val="9"/>
            <rFont val="宋体"/>
            <charset val="134"/>
          </rPr>
          <t xml:space="preserve">
客办蛋壳色</t>
        </r>
      </text>
    </comment>
    <comment ref="BO199" authorId="0">
      <text>
        <r>
          <rPr>
            <b/>
            <sz val="9"/>
            <rFont val="宋体"/>
            <charset val="134"/>
          </rPr>
          <t>Administrator:</t>
        </r>
        <r>
          <rPr>
            <sz val="9"/>
            <rFont val="宋体"/>
            <charset val="134"/>
          </rPr>
          <t xml:space="preserve">
客办蛋壳色</t>
        </r>
      </text>
    </comment>
    <comment ref="BQ199" authorId="0">
      <text>
        <r>
          <rPr>
            <b/>
            <sz val="9"/>
            <rFont val="宋体"/>
            <charset val="134"/>
          </rPr>
          <t>Administrator:</t>
        </r>
        <r>
          <rPr>
            <sz val="9"/>
            <rFont val="宋体"/>
            <charset val="134"/>
          </rPr>
          <t xml:space="preserve">
客办蛋壳色</t>
        </r>
      </text>
    </comment>
    <comment ref="BO200" authorId="0">
      <text>
        <r>
          <rPr>
            <b/>
            <sz val="9"/>
            <rFont val="宋体"/>
            <charset val="134"/>
          </rPr>
          <t>Administrator:</t>
        </r>
        <r>
          <rPr>
            <sz val="9"/>
            <rFont val="宋体"/>
            <charset val="134"/>
          </rPr>
          <t xml:space="preserve">
客办蛋壳色</t>
        </r>
      </text>
    </comment>
    <comment ref="BQ200" authorId="0">
      <text>
        <r>
          <rPr>
            <b/>
            <sz val="9"/>
            <rFont val="宋体"/>
            <charset val="134"/>
          </rPr>
          <t>Administrator:</t>
        </r>
        <r>
          <rPr>
            <sz val="9"/>
            <rFont val="宋体"/>
            <charset val="134"/>
          </rPr>
          <t xml:space="preserve">
客办蛋壳色</t>
        </r>
      </text>
    </comment>
    <comment ref="BO202" authorId="0">
      <text>
        <r>
          <rPr>
            <b/>
            <sz val="9"/>
            <rFont val="宋体"/>
            <charset val="134"/>
          </rPr>
          <t>Administrator:</t>
        </r>
        <r>
          <rPr>
            <sz val="9"/>
            <rFont val="宋体"/>
            <charset val="134"/>
          </rPr>
          <t xml:space="preserve">
客办蛋壳色</t>
        </r>
      </text>
    </comment>
    <comment ref="BQ202" authorId="0">
      <text>
        <r>
          <rPr>
            <b/>
            <sz val="9"/>
            <rFont val="宋体"/>
            <charset val="134"/>
          </rPr>
          <t>Administrator:</t>
        </r>
        <r>
          <rPr>
            <sz val="9"/>
            <rFont val="宋体"/>
            <charset val="134"/>
          </rPr>
          <t xml:space="preserve">
客办蛋壳色</t>
        </r>
      </text>
    </comment>
    <comment ref="BO206" authorId="0">
      <text>
        <r>
          <rPr>
            <b/>
            <sz val="9"/>
            <rFont val="宋体"/>
            <charset val="134"/>
          </rPr>
          <t>Administrator:</t>
        </r>
        <r>
          <rPr>
            <sz val="9"/>
            <rFont val="宋体"/>
            <charset val="134"/>
          </rPr>
          <t xml:space="preserve">
客办蛋壳色</t>
        </r>
      </text>
    </comment>
    <comment ref="BQ206" authorId="0">
      <text>
        <r>
          <rPr>
            <b/>
            <sz val="9"/>
            <rFont val="宋体"/>
            <charset val="134"/>
          </rPr>
          <t>Administrator:</t>
        </r>
        <r>
          <rPr>
            <sz val="9"/>
            <rFont val="宋体"/>
            <charset val="134"/>
          </rPr>
          <t xml:space="preserve">
客办蛋壳色</t>
        </r>
      </text>
    </comment>
    <comment ref="BO207" authorId="0">
      <text>
        <r>
          <rPr>
            <b/>
            <sz val="9"/>
            <rFont val="宋体"/>
            <charset val="134"/>
          </rPr>
          <t>Administrator:</t>
        </r>
        <r>
          <rPr>
            <sz val="9"/>
            <rFont val="宋体"/>
            <charset val="134"/>
          </rPr>
          <t xml:space="preserve">
客办蛋壳色</t>
        </r>
      </text>
    </comment>
    <comment ref="BQ207" authorId="0">
      <text>
        <r>
          <rPr>
            <b/>
            <sz val="9"/>
            <rFont val="宋体"/>
            <charset val="134"/>
          </rPr>
          <t>Administrator:</t>
        </r>
        <r>
          <rPr>
            <sz val="9"/>
            <rFont val="宋体"/>
            <charset val="134"/>
          </rPr>
          <t xml:space="preserve">
客办蛋壳色</t>
        </r>
      </text>
    </comment>
    <comment ref="BO208" authorId="0">
      <text>
        <r>
          <rPr>
            <b/>
            <sz val="9"/>
            <rFont val="宋体"/>
            <charset val="134"/>
          </rPr>
          <t>Administrator:</t>
        </r>
        <r>
          <rPr>
            <sz val="9"/>
            <rFont val="宋体"/>
            <charset val="134"/>
          </rPr>
          <t xml:space="preserve">
客办蛋壳色</t>
        </r>
      </text>
    </comment>
    <comment ref="BQ208" authorId="0">
      <text>
        <r>
          <rPr>
            <b/>
            <sz val="9"/>
            <rFont val="宋体"/>
            <charset val="134"/>
          </rPr>
          <t>Administrator:</t>
        </r>
        <r>
          <rPr>
            <sz val="9"/>
            <rFont val="宋体"/>
            <charset val="134"/>
          </rPr>
          <t xml:space="preserve">
客办蛋壳色</t>
        </r>
      </text>
    </comment>
    <comment ref="Q273" authorId="0">
      <text>
        <r>
          <rPr>
            <b/>
            <sz val="12"/>
            <rFont val="宋体"/>
            <charset val="134"/>
          </rPr>
          <t>Administrator:</t>
        </r>
        <r>
          <rPr>
            <sz val="12"/>
            <rFont val="宋体"/>
            <charset val="134"/>
          </rPr>
          <t xml:space="preserve">
40001692 1/4 968 pcs</t>
        </r>
      </text>
    </comment>
    <comment ref="Q274" authorId="0">
      <text>
        <r>
          <rPr>
            <b/>
            <sz val="12"/>
            <rFont val="宋体"/>
            <charset val="134"/>
          </rPr>
          <t>Administrator:</t>
        </r>
        <r>
          <rPr>
            <sz val="12"/>
            <rFont val="宋体"/>
            <charset val="134"/>
          </rPr>
          <t xml:space="preserve">
4001727 1/10 2504 pcs
</t>
        </r>
      </text>
    </comment>
    <comment ref="S274" authorId="0">
      <text>
        <r>
          <rPr>
            <b/>
            <sz val="12"/>
            <rFont val="宋体"/>
            <charset val="134"/>
          </rPr>
          <t>Administrator:</t>
        </r>
        <r>
          <rPr>
            <sz val="12"/>
            <rFont val="宋体"/>
            <charset val="134"/>
          </rPr>
          <t xml:space="preserve">
12/23 上进口商贴纸 2504 pcs
      上UPC贴纸 2504 pcs</t>
        </r>
      </text>
    </comment>
    <comment ref="Q275" authorId="0">
      <text>
        <r>
          <rPr>
            <b/>
            <sz val="12"/>
            <rFont val="宋体"/>
            <charset val="134"/>
          </rPr>
          <t>Administrator:</t>
        </r>
        <r>
          <rPr>
            <sz val="12"/>
            <rFont val="宋体"/>
            <charset val="134"/>
          </rPr>
          <t xml:space="preserve">
4001762 1/16 704PCS</t>
        </r>
      </text>
    </comment>
    <comment ref="S275" authorId="0">
      <text>
        <r>
          <rPr>
            <b/>
            <sz val="12"/>
            <rFont val="宋体"/>
            <charset val="134"/>
          </rPr>
          <t>Administrator:</t>
        </r>
        <r>
          <rPr>
            <sz val="12"/>
            <rFont val="宋体"/>
            <charset val="134"/>
          </rPr>
          <t xml:space="preserve">
12/27 上进口商贴纸 704 pcs
      上UPC贴纸 704 pcs</t>
        </r>
      </text>
    </comment>
    <comment ref="Q276" authorId="0">
      <text>
        <r>
          <rPr>
            <b/>
            <sz val="12"/>
            <rFont val="宋体"/>
            <charset val="134"/>
          </rPr>
          <t>Administrator:</t>
        </r>
        <r>
          <rPr>
            <sz val="12"/>
            <rFont val="宋体"/>
            <charset val="134"/>
          </rPr>
          <t xml:space="preserve">
4001762 1/16 4000 PCS</t>
        </r>
      </text>
    </comment>
    <comment ref="S276" authorId="0">
      <text>
        <r>
          <rPr>
            <b/>
            <sz val="12"/>
            <rFont val="宋体"/>
            <charset val="134"/>
          </rPr>
          <t>Administrator:</t>
        </r>
        <r>
          <rPr>
            <sz val="12"/>
            <rFont val="宋体"/>
            <charset val="134"/>
          </rPr>
          <t xml:space="preserve">
12/5 上客户EAN条码贴纸 4000 pcs</t>
        </r>
      </text>
    </comment>
    <comment ref="Q277" authorId="0">
      <text>
        <r>
          <rPr>
            <b/>
            <sz val="12"/>
            <rFont val="宋体"/>
            <charset val="134"/>
          </rPr>
          <t>Administrator:</t>
        </r>
        <r>
          <rPr>
            <sz val="12"/>
            <rFont val="宋体"/>
            <charset val="134"/>
          </rPr>
          <t xml:space="preserve">
4001762 1/16 4000 PCS</t>
        </r>
      </text>
    </comment>
    <comment ref="S277" authorId="0">
      <text>
        <r>
          <rPr>
            <b/>
            <sz val="12"/>
            <rFont val="宋体"/>
            <charset val="134"/>
          </rPr>
          <t>Administrator:</t>
        </r>
        <r>
          <rPr>
            <sz val="12"/>
            <rFont val="宋体"/>
            <charset val="134"/>
          </rPr>
          <t xml:space="preserve">
12/25 上客户EAN条码 4000 pcs</t>
        </r>
      </text>
    </comment>
    <comment ref="S280" authorId="0">
      <text>
        <r>
          <rPr>
            <b/>
            <sz val="12"/>
            <rFont val="宋体"/>
            <charset val="134"/>
          </rPr>
          <t>Administrator:</t>
        </r>
        <r>
          <rPr>
            <sz val="12"/>
            <rFont val="宋体"/>
            <charset val="134"/>
          </rPr>
          <t xml:space="preserve">
1/12 上进口商贴纸 1560 pcs
     上UPC贴纸B.D.E 各 520 pcs
1/15 上QR贴纸B.D.E 各 520 pcs</t>
        </r>
      </text>
    </comment>
    <comment ref="S283" authorId="0">
      <text>
        <r>
          <rPr>
            <b/>
            <sz val="12"/>
            <rFont val="宋体"/>
            <charset val="134"/>
          </rPr>
          <t>Administrator:</t>
        </r>
        <r>
          <rPr>
            <sz val="12"/>
            <rFont val="宋体"/>
            <charset val="134"/>
          </rPr>
          <t xml:space="preserve">
1/15 上客供价格贴纸 378 pcs</t>
        </r>
      </text>
    </comment>
    <comment ref="Q284" authorId="0">
      <text>
        <r>
          <rPr>
            <b/>
            <sz val="12"/>
            <rFont val="宋体"/>
            <charset val="134"/>
          </rPr>
          <t>Administrator:</t>
        </r>
        <r>
          <rPr>
            <sz val="12"/>
            <rFont val="宋体"/>
            <charset val="134"/>
          </rPr>
          <t xml:space="preserve">
4001762 1/16 2504 PCS</t>
        </r>
      </text>
    </comment>
    <comment ref="S284" authorId="0">
      <text>
        <r>
          <rPr>
            <b/>
            <sz val="12"/>
            <rFont val="宋体"/>
            <charset val="134"/>
          </rPr>
          <t>Administrator:</t>
        </r>
        <r>
          <rPr>
            <sz val="12"/>
            <rFont val="宋体"/>
            <charset val="134"/>
          </rPr>
          <t xml:space="preserve">
12/23 上进口商贴纸 2504 pcs
      上UPC贴纸 2504 pcs</t>
        </r>
      </text>
    </comment>
    <comment ref="Q285" authorId="0">
      <text>
        <r>
          <rPr>
            <b/>
            <sz val="12"/>
            <rFont val="宋体"/>
            <charset val="134"/>
          </rPr>
          <t>Administrator:</t>
        </r>
        <r>
          <rPr>
            <sz val="12"/>
            <rFont val="宋体"/>
            <charset val="134"/>
          </rPr>
          <t xml:space="preserve">
1406299 4/14 256 pcs</t>
        </r>
      </text>
    </comment>
    <comment ref="S285" authorId="0">
      <text>
        <r>
          <rPr>
            <b/>
            <sz val="12"/>
            <rFont val="宋体"/>
            <charset val="134"/>
          </rPr>
          <t>Administrator:</t>
        </r>
        <r>
          <rPr>
            <sz val="12"/>
            <rFont val="宋体"/>
            <charset val="134"/>
          </rPr>
          <t xml:space="preserve">
3/6  上QR贴纸 256 pcs
3/12 上进口商贴纸 256 pcs
     上UPC贴纸 256 pcs</t>
        </r>
      </text>
    </comment>
    <comment ref="Q286" authorId="0">
      <text>
        <r>
          <rPr>
            <b/>
            <sz val="12"/>
            <rFont val="宋体"/>
            <charset val="134"/>
          </rPr>
          <t>Administrator:</t>
        </r>
        <r>
          <rPr>
            <sz val="12"/>
            <rFont val="宋体"/>
            <charset val="134"/>
          </rPr>
          <t xml:space="preserve">
1406299 4/14 256 pcs</t>
        </r>
      </text>
    </comment>
    <comment ref="S286" authorId="0">
      <text>
        <r>
          <rPr>
            <b/>
            <sz val="12"/>
            <rFont val="宋体"/>
            <charset val="134"/>
          </rPr>
          <t>Administrator:</t>
        </r>
        <r>
          <rPr>
            <sz val="12"/>
            <rFont val="宋体"/>
            <charset val="134"/>
          </rPr>
          <t xml:space="preserve">
3/6  上QR贴纸 256 pcs
3/12 上进口商贴纸 256 pcs
     上UPC贴纸 256 pcs</t>
        </r>
      </text>
    </comment>
    <comment ref="Q287" authorId="0">
      <text>
        <r>
          <rPr>
            <b/>
            <sz val="12"/>
            <rFont val="宋体"/>
            <charset val="134"/>
          </rPr>
          <t>Administrator:</t>
        </r>
        <r>
          <rPr>
            <sz val="12"/>
            <rFont val="宋体"/>
            <charset val="134"/>
          </rPr>
          <t xml:space="preserve">
1406299 4/14 256 pcs</t>
        </r>
      </text>
    </comment>
    <comment ref="S287" authorId="0">
      <text>
        <r>
          <rPr>
            <b/>
            <sz val="12"/>
            <rFont val="宋体"/>
            <charset val="134"/>
          </rPr>
          <t>Administrator:</t>
        </r>
        <r>
          <rPr>
            <sz val="12"/>
            <rFont val="宋体"/>
            <charset val="134"/>
          </rPr>
          <t xml:space="preserve">
3/6  上QR贴纸 256 pcs
3/12 上进口商贴纸 256 pcs
     上UPC贴纸 256 pcs</t>
        </r>
      </text>
    </comment>
    <comment ref="Q288" authorId="0">
      <text>
        <r>
          <rPr>
            <b/>
            <sz val="12"/>
            <rFont val="宋体"/>
            <charset val="134"/>
          </rPr>
          <t>Administrator:</t>
        </r>
        <r>
          <rPr>
            <sz val="12"/>
            <rFont val="宋体"/>
            <charset val="134"/>
          </rPr>
          <t xml:space="preserve">
1406233 4/18 720 pcs</t>
        </r>
      </text>
    </comment>
    <comment ref="S288" authorId="0">
      <text>
        <r>
          <rPr>
            <b/>
            <sz val="12"/>
            <rFont val="宋体"/>
            <charset val="134"/>
          </rPr>
          <t>Administrator:</t>
        </r>
        <r>
          <rPr>
            <sz val="12"/>
            <rFont val="宋体"/>
            <charset val="134"/>
          </rPr>
          <t xml:space="preserve">
4/8 上进口商贴纸 1048 pcs
    上UPC贴纸 1048 pcs</t>
        </r>
      </text>
    </comment>
    <comment ref="Q289" authorId="0">
      <text>
        <r>
          <rPr>
            <b/>
            <sz val="12"/>
            <rFont val="宋体"/>
            <charset val="134"/>
          </rPr>
          <t>Administrator:</t>
        </r>
        <r>
          <rPr>
            <sz val="12"/>
            <rFont val="宋体"/>
            <charset val="134"/>
          </rPr>
          <t xml:space="preserve">
1406233 4/18 88 pcs</t>
        </r>
      </text>
    </comment>
    <comment ref="Q290" authorId="0">
      <text>
        <r>
          <rPr>
            <b/>
            <sz val="12"/>
            <rFont val="宋体"/>
            <charset val="134"/>
          </rPr>
          <t>Administrator:</t>
        </r>
        <r>
          <rPr>
            <sz val="12"/>
            <rFont val="宋体"/>
            <charset val="134"/>
          </rPr>
          <t xml:space="preserve">
1406233 4/18 240 pcs</t>
        </r>
      </text>
    </comment>
    <comment ref="Q291" authorId="0">
      <text>
        <r>
          <rPr>
            <b/>
            <sz val="14"/>
            <rFont val="宋体"/>
            <charset val="134"/>
          </rPr>
          <t>Administrator:</t>
        </r>
        <r>
          <rPr>
            <sz val="14"/>
            <rFont val="宋体"/>
            <charset val="134"/>
          </rPr>
          <t xml:space="preserve">
1406235 4/21 120 pcs</t>
        </r>
      </text>
    </comment>
    <comment ref="S291" authorId="0">
      <text>
        <r>
          <rPr>
            <b/>
            <sz val="12"/>
            <rFont val="宋体"/>
            <charset val="134"/>
          </rPr>
          <t>Administrator:</t>
        </r>
        <r>
          <rPr>
            <sz val="12"/>
            <rFont val="宋体"/>
            <charset val="134"/>
          </rPr>
          <t xml:space="preserve">
4/9 上通用贴纸 120 pcs</t>
        </r>
      </text>
    </comment>
    <comment ref="Q292" authorId="0">
      <text>
        <r>
          <rPr>
            <b/>
            <sz val="14"/>
            <rFont val="宋体"/>
            <charset val="134"/>
          </rPr>
          <t>Administrator:</t>
        </r>
        <r>
          <rPr>
            <sz val="14"/>
            <rFont val="宋体"/>
            <charset val="134"/>
          </rPr>
          <t xml:space="preserve">
1406235 4/21 200 pcs</t>
        </r>
      </text>
    </comment>
    <comment ref="S292" authorId="0">
      <text>
        <r>
          <rPr>
            <b/>
            <sz val="12"/>
            <rFont val="宋体"/>
            <charset val="134"/>
          </rPr>
          <t>Administrator:</t>
        </r>
        <r>
          <rPr>
            <sz val="12"/>
            <rFont val="宋体"/>
            <charset val="134"/>
          </rPr>
          <t xml:space="preserve">
4/10 上QR贴纸 25 pcs
4/14 上进口商贴纸 200 pcs
4/16 上UPC贴纸 200 pcs</t>
        </r>
      </text>
    </comment>
    <comment ref="Q293" authorId="0">
      <text>
        <r>
          <rPr>
            <b/>
            <sz val="14"/>
            <rFont val="宋体"/>
            <charset val="134"/>
          </rPr>
          <t>Administrator:</t>
        </r>
        <r>
          <rPr>
            <sz val="14"/>
            <rFont val="宋体"/>
            <charset val="134"/>
          </rPr>
          <t xml:space="preserve">
1406235 4/21 200 pcs</t>
        </r>
      </text>
    </comment>
    <comment ref="S293" authorId="0">
      <text>
        <r>
          <rPr>
            <b/>
            <sz val="12"/>
            <rFont val="宋体"/>
            <charset val="134"/>
          </rPr>
          <t>Administrator:</t>
        </r>
        <r>
          <rPr>
            <sz val="12"/>
            <rFont val="宋体"/>
            <charset val="134"/>
          </rPr>
          <t xml:space="preserve">
4/10 上QR贴纸 25 pcs
4/14 上进口商贴纸 200 pcs
4/16 上UPC贴纸 200 pcs</t>
        </r>
      </text>
    </comment>
    <comment ref="Q294" authorId="0">
      <text>
        <r>
          <rPr>
            <b/>
            <sz val="14"/>
            <rFont val="宋体"/>
            <charset val="134"/>
          </rPr>
          <t>Administrator:</t>
        </r>
        <r>
          <rPr>
            <sz val="14"/>
            <rFont val="宋体"/>
            <charset val="134"/>
          </rPr>
          <t xml:space="preserve">
1406235 4/21 200 pcs</t>
        </r>
      </text>
    </comment>
    <comment ref="S294" authorId="0">
      <text>
        <r>
          <rPr>
            <b/>
            <sz val="12"/>
            <rFont val="宋体"/>
            <charset val="134"/>
          </rPr>
          <t>Administrator:</t>
        </r>
        <r>
          <rPr>
            <sz val="12"/>
            <rFont val="宋体"/>
            <charset val="134"/>
          </rPr>
          <t xml:space="preserve">
4/10 上QR贴纸 25 pcs
4/14 上进口商贴纸 200 pcs
4/16 上UPC贴纸 200 pcs</t>
        </r>
      </text>
    </comment>
    <comment ref="Q295" authorId="0">
      <text>
        <r>
          <rPr>
            <b/>
            <sz val="12"/>
            <rFont val="宋体"/>
            <charset val="134"/>
          </rPr>
          <t>Administrator:</t>
        </r>
        <r>
          <rPr>
            <sz val="12"/>
            <rFont val="宋体"/>
            <charset val="134"/>
          </rPr>
          <t xml:space="preserve">
1406165 4/29 2590 pcs
1406166 4/30 60 pcs</t>
        </r>
      </text>
    </comment>
    <comment ref="S295" authorId="0">
      <text>
        <r>
          <rPr>
            <b/>
            <sz val="12"/>
            <rFont val="宋体"/>
            <charset val="134"/>
          </rPr>
          <t>Administrator:</t>
        </r>
        <r>
          <rPr>
            <sz val="12"/>
            <rFont val="宋体"/>
            <charset val="134"/>
          </rPr>
          <t xml:space="preserve">
4/3 上色丁布标贴纸 1650 pcs
    上警告语贴纸 1650 pcs
    上EAN贴纸 1650 pcs
    上进口商贴纸 1650 pcs</t>
        </r>
      </text>
    </comment>
    <comment ref="Q296" authorId="0">
      <text>
        <r>
          <rPr>
            <b/>
            <sz val="12"/>
            <rFont val="宋体"/>
            <charset val="134"/>
          </rPr>
          <t>Administrator:</t>
        </r>
        <r>
          <rPr>
            <sz val="12"/>
            <rFont val="宋体"/>
            <charset val="134"/>
          </rPr>
          <t xml:space="preserve">
1406141 5/14 288 pcs</t>
        </r>
      </text>
    </comment>
    <comment ref="Q297" authorId="0">
      <text>
        <r>
          <rPr>
            <b/>
            <sz val="12"/>
            <rFont val="宋体"/>
            <charset val="134"/>
          </rPr>
          <t>Administrator:</t>
        </r>
        <r>
          <rPr>
            <sz val="12"/>
            <rFont val="宋体"/>
            <charset val="134"/>
          </rPr>
          <t xml:space="preserve">
1406143 5/15 504 PCS </t>
        </r>
      </text>
    </comment>
    <comment ref="Q298" authorId="0">
      <text>
        <r>
          <rPr>
            <b/>
            <sz val="12"/>
            <rFont val="宋体"/>
            <charset val="134"/>
          </rPr>
          <t>Administrator:</t>
        </r>
        <r>
          <rPr>
            <sz val="12"/>
            <rFont val="宋体"/>
            <charset val="134"/>
          </rPr>
          <t xml:space="preserve">
1406128 5/21 8064 pcs
1406133 5/22 4936 pcs</t>
        </r>
      </text>
    </comment>
    <comment ref="S298" authorId="0">
      <text>
        <r>
          <rPr>
            <b/>
            <sz val="12"/>
            <rFont val="宋体"/>
            <charset val="134"/>
          </rPr>
          <t>Administrator:</t>
        </r>
        <r>
          <rPr>
            <sz val="12"/>
            <rFont val="宋体"/>
            <charset val="134"/>
          </rPr>
          <t xml:space="preserve">
4/30 上UPC条码贴纸 13000 pcs  
     上进口商贴纸 13000 pcs</t>
        </r>
      </text>
    </comment>
    <comment ref="Q299" authorId="0">
      <text>
        <r>
          <rPr>
            <b/>
            <sz val="9"/>
            <rFont val="宋体"/>
            <charset val="134"/>
          </rPr>
          <t>Administrator:</t>
        </r>
        <r>
          <rPr>
            <sz val="9"/>
            <rFont val="宋体"/>
            <charset val="134"/>
          </rPr>
          <t xml:space="preserve">
4001836 5/27 270 pcs
4001835 5/26 1230 pcs</t>
        </r>
      </text>
    </comment>
    <comment ref="S299" authorId="0">
      <text>
        <r>
          <rPr>
            <b/>
            <sz val="12"/>
            <rFont val="宋体"/>
            <charset val="134"/>
          </rPr>
          <t>Administrator:</t>
        </r>
        <r>
          <rPr>
            <sz val="12"/>
            <rFont val="宋体"/>
            <charset val="134"/>
          </rPr>
          <t xml:space="preserve">
5/8 上4国警告语贴纸 1500 pcs</t>
        </r>
      </text>
    </comment>
    <comment ref="Q300" authorId="0">
      <text>
        <r>
          <rPr>
            <b/>
            <sz val="9"/>
            <rFont val="宋体"/>
            <charset val="134"/>
          </rPr>
          <t>Administrator:</t>
        </r>
        <r>
          <rPr>
            <sz val="9"/>
            <rFont val="宋体"/>
            <charset val="134"/>
          </rPr>
          <t xml:space="preserve">
4001835 5/26 192 pcs</t>
        </r>
      </text>
    </comment>
    <comment ref="S300" authorId="0">
      <text>
        <r>
          <rPr>
            <b/>
            <sz val="12"/>
            <rFont val="宋体"/>
            <charset val="134"/>
          </rPr>
          <t>Administrator:</t>
        </r>
        <r>
          <rPr>
            <sz val="12"/>
            <rFont val="宋体"/>
            <charset val="134"/>
          </rPr>
          <t xml:space="preserve">
5/8 上进口商贴纸 192 pcs</t>
        </r>
      </text>
    </comment>
    <comment ref="Q301" authorId="0">
      <text>
        <r>
          <rPr>
            <b/>
            <sz val="9"/>
            <rFont val="宋体"/>
            <charset val="134"/>
          </rPr>
          <t>Administrator:</t>
        </r>
        <r>
          <rPr>
            <sz val="9"/>
            <rFont val="宋体"/>
            <charset val="134"/>
          </rPr>
          <t xml:space="preserve">
4001836 5/27 1500 pcs</t>
        </r>
      </text>
    </comment>
    <comment ref="S301" authorId="0">
      <text>
        <r>
          <rPr>
            <b/>
            <sz val="12"/>
            <rFont val="宋体"/>
            <charset val="134"/>
          </rPr>
          <t>Administrator:</t>
        </r>
        <r>
          <rPr>
            <sz val="12"/>
            <rFont val="宋体"/>
            <charset val="134"/>
          </rPr>
          <t xml:space="preserve">
5/8 上4国警告语贴纸 1500 pcs</t>
        </r>
      </text>
    </comment>
    <comment ref="Q302" authorId="1">
      <text>
        <r>
          <rPr>
            <b/>
            <sz val="9"/>
            <rFont val="宋体"/>
            <charset val="0"/>
          </rPr>
          <t>严新荟:</t>
        </r>
        <r>
          <rPr>
            <sz val="9"/>
            <rFont val="宋体"/>
            <charset val="0"/>
          </rPr>
          <t xml:space="preserve">
2801491 6/17 240 pcs</t>
        </r>
      </text>
    </comment>
    <comment ref="S302" authorId="0">
      <text>
        <r>
          <rPr>
            <sz val="9"/>
            <rFont val="宋体"/>
            <charset val="0"/>
          </rPr>
          <t>Administrator:
4/22 上QR贴纸 240 pcs
  欠进口商贴纸</t>
        </r>
        <r>
          <rPr>
            <b/>
            <sz val="9"/>
            <rFont val="宋体"/>
            <charset val="0"/>
          </rPr>
          <t xml:space="preserve">
严新荟:</t>
        </r>
        <r>
          <rPr>
            <sz val="9"/>
            <rFont val="宋体"/>
            <charset val="0"/>
          </rPr>
          <t xml:space="preserve">
6/4 上进口商贴纸 240 pcs</t>
        </r>
      </text>
    </comment>
    <comment ref="Q303" authorId="1">
      <text>
        <r>
          <rPr>
            <b/>
            <sz val="9"/>
            <rFont val="宋体"/>
            <charset val="0"/>
          </rPr>
          <t>严新荟:</t>
        </r>
        <r>
          <rPr>
            <sz val="9"/>
            <rFont val="宋体"/>
            <charset val="0"/>
          </rPr>
          <t xml:space="preserve">
2801491 6/17 240 pcs</t>
        </r>
      </text>
    </comment>
    <comment ref="S303" authorId="0">
      <text>
        <r>
          <rPr>
            <sz val="9"/>
            <rFont val="宋体"/>
            <charset val="0"/>
          </rPr>
          <t>Administrator:
4/22 上QR贴纸 240 pcs
  欠进口商贴纸</t>
        </r>
        <r>
          <rPr>
            <b/>
            <sz val="9"/>
            <rFont val="宋体"/>
            <charset val="0"/>
          </rPr>
          <t xml:space="preserve">
严新荟:</t>
        </r>
        <r>
          <rPr>
            <sz val="9"/>
            <rFont val="宋体"/>
            <charset val="0"/>
          </rPr>
          <t xml:space="preserve">
6/4 上进口商贴纸 240 pcs</t>
        </r>
      </text>
    </comment>
    <comment ref="Q304" authorId="1">
      <text>
        <r>
          <rPr>
            <b/>
            <sz val="9"/>
            <rFont val="宋体"/>
            <charset val="0"/>
          </rPr>
          <t>严新荟:</t>
        </r>
        <r>
          <rPr>
            <sz val="9"/>
            <rFont val="宋体"/>
            <charset val="0"/>
          </rPr>
          <t xml:space="preserve">
2801491 6/17 240 pcs</t>
        </r>
      </text>
    </comment>
    <comment ref="S304" authorId="0">
      <text>
        <r>
          <rPr>
            <sz val="9"/>
            <rFont val="宋体"/>
            <charset val="0"/>
          </rPr>
          <t>Administrator:
4/22 上QR贴纸 240 pcs
  欠进口商贴纸</t>
        </r>
        <r>
          <rPr>
            <b/>
            <sz val="9"/>
            <rFont val="宋体"/>
            <charset val="0"/>
          </rPr>
          <t xml:space="preserve">
严新荟:</t>
        </r>
        <r>
          <rPr>
            <sz val="9"/>
            <rFont val="宋体"/>
            <charset val="0"/>
          </rPr>
          <t xml:space="preserve">
6/4 上进口商贴纸 240 pcs</t>
        </r>
      </text>
    </comment>
    <comment ref="Q305" authorId="1">
      <text>
        <r>
          <rPr>
            <b/>
            <sz val="9"/>
            <rFont val="宋体"/>
            <charset val="0"/>
          </rPr>
          <t>严新荟:</t>
        </r>
        <r>
          <rPr>
            <sz val="9"/>
            <rFont val="宋体"/>
            <charset val="0"/>
          </rPr>
          <t xml:space="preserve">
2801522 6/22 32 PCS
2801519 6/22 1728 PCS</t>
        </r>
      </text>
    </comment>
    <comment ref="S305" authorId="1">
      <text>
        <r>
          <rPr>
            <b/>
            <sz val="9"/>
            <rFont val="宋体"/>
            <charset val="0"/>
          </rPr>
          <t>严新荟:</t>
        </r>
        <r>
          <rPr>
            <sz val="9"/>
            <rFont val="宋体"/>
            <charset val="0"/>
          </rPr>
          <t xml:space="preserve">
6/4 上警告语贴纸 1760 pcs</t>
        </r>
      </text>
    </comment>
    <comment ref="Q306" authorId="1">
      <text>
        <r>
          <rPr>
            <b/>
            <sz val="9"/>
            <rFont val="宋体"/>
            <charset val="0"/>
          </rPr>
          <t>严新荟:</t>
        </r>
        <r>
          <rPr>
            <sz val="9"/>
            <rFont val="宋体"/>
            <charset val="0"/>
          </rPr>
          <t xml:space="preserve">
2801551 6/27 1000 pcs</t>
        </r>
      </text>
    </comment>
    <comment ref="S306" authorId="1">
      <text>
        <r>
          <rPr>
            <b/>
            <sz val="9"/>
            <rFont val="宋体"/>
            <charset val="0"/>
          </rPr>
          <t>严新荟:</t>
        </r>
        <r>
          <rPr>
            <sz val="9"/>
            <rFont val="宋体"/>
            <charset val="0"/>
          </rPr>
          <t xml:space="preserve">
6/8 上进口商贴纸 2000 pcs
       上baby EAN条码贴纸 A-E各500 pcs</t>
        </r>
      </text>
    </comment>
    <comment ref="Q307" authorId="0">
      <text>
        <r>
          <rPr>
            <b/>
            <sz val="9"/>
            <rFont val="宋体"/>
            <charset val="134"/>
          </rPr>
          <t>Administrator:</t>
        </r>
        <r>
          <rPr>
            <sz val="9"/>
            <rFont val="宋体"/>
            <charset val="134"/>
          </rPr>
          <t xml:space="preserve">
4001835 5/26 1800 pcs</t>
        </r>
      </text>
    </comment>
    <comment ref="S307" authorId="0">
      <text>
        <r>
          <rPr>
            <b/>
            <sz val="12"/>
            <rFont val="宋体"/>
            <charset val="134"/>
          </rPr>
          <t>Administrator:</t>
        </r>
        <r>
          <rPr>
            <sz val="12"/>
            <rFont val="宋体"/>
            <charset val="134"/>
          </rPr>
          <t xml:space="preserve">
5/13 上UPC贴纸 1800 pcs
     上进口商贴纸 1800 pcs</t>
        </r>
      </text>
    </comment>
    <comment ref="Q308" authorId="1">
      <text>
        <r>
          <rPr>
            <b/>
            <sz val="9"/>
            <rFont val="宋体"/>
            <charset val="0"/>
          </rPr>
          <t>严新荟:</t>
        </r>
        <r>
          <rPr>
            <sz val="9"/>
            <rFont val="宋体"/>
            <charset val="0"/>
          </rPr>
          <t xml:space="preserve">
1600567 7/4 1000 pcs</t>
        </r>
      </text>
    </comment>
    <comment ref="S308" authorId="1">
      <text>
        <r>
          <rPr>
            <b/>
            <sz val="9"/>
            <rFont val="宋体"/>
            <charset val="0"/>
          </rPr>
          <t>严新荟:</t>
        </r>
        <r>
          <rPr>
            <sz val="9"/>
            <rFont val="宋体"/>
            <charset val="0"/>
          </rPr>
          <t xml:space="preserve">
6/8 上进口商贴纸 2000 pcs
       上baby EAN条码贴纸 A-E各500 pcs</t>
        </r>
      </text>
    </comment>
    <comment ref="Q309" authorId="1">
      <text>
        <r>
          <rPr>
            <b/>
            <sz val="9"/>
            <rFont val="宋体"/>
            <charset val="0"/>
          </rPr>
          <t>严新荟:</t>
        </r>
        <r>
          <rPr>
            <sz val="9"/>
            <rFont val="宋体"/>
            <charset val="0"/>
          </rPr>
          <t xml:space="preserve">
1600567 7/4 560 pcs</t>
        </r>
      </text>
    </comment>
    <comment ref="S309" authorId="0">
      <text>
        <r>
          <rPr>
            <sz val="9"/>
            <rFont val="宋体"/>
            <charset val="0"/>
          </rPr>
          <t>Administrator:
4/13 上QR+SSCC贴纸 70 pcs
 欠进口商贴纸</t>
        </r>
        <r>
          <rPr>
            <b/>
            <sz val="9"/>
            <rFont val="宋体"/>
            <charset val="0"/>
          </rPr>
          <t xml:space="preserve">
严新荟:</t>
        </r>
        <r>
          <rPr>
            <sz val="9"/>
            <rFont val="宋体"/>
            <charset val="0"/>
          </rPr>
          <t xml:space="preserve">
6/15 上进口商贴纸 4000 pcs
         上EAN条码贴纸 4000 pcs</t>
        </r>
      </text>
    </comment>
    <comment ref="Q310" authorId="1">
      <text>
        <r>
          <rPr>
            <b/>
            <sz val="9"/>
            <rFont val="宋体"/>
            <charset val="0"/>
          </rPr>
          <t>严新荟:</t>
        </r>
        <r>
          <rPr>
            <sz val="9"/>
            <rFont val="宋体"/>
            <charset val="0"/>
          </rPr>
          <t xml:space="preserve">
1600567 7/4 1440 pcs</t>
        </r>
      </text>
    </comment>
    <comment ref="S310" authorId="0">
      <text>
        <r>
          <rPr>
            <sz val="9"/>
            <rFont val="宋体"/>
            <charset val="0"/>
          </rPr>
          <t>Administrator:
4/13 上QR+SSCC贴纸 180 pcs</t>
        </r>
        <r>
          <rPr>
            <b/>
            <sz val="9"/>
            <rFont val="宋体"/>
            <charset val="0"/>
          </rPr>
          <t xml:space="preserve">
严新荟:</t>
        </r>
        <r>
          <rPr>
            <sz val="9"/>
            <rFont val="宋体"/>
            <charset val="0"/>
          </rPr>
          <t xml:space="preserve">
6/15 上进口商贴纸 4000 pcs
         上EAN条码贴纸 4000 pcs</t>
        </r>
      </text>
    </comment>
    <comment ref="Q311" authorId="1">
      <text>
        <r>
          <rPr>
            <b/>
            <sz val="9"/>
            <rFont val="宋体"/>
            <charset val="0"/>
          </rPr>
          <t>严新荟:</t>
        </r>
        <r>
          <rPr>
            <sz val="9"/>
            <rFont val="宋体"/>
            <charset val="0"/>
          </rPr>
          <t xml:space="preserve">
1600567 7/4 600 pcs</t>
        </r>
      </text>
    </comment>
    <comment ref="S311" authorId="1">
      <text>
        <r>
          <rPr>
            <b/>
            <sz val="9"/>
            <rFont val="宋体"/>
            <charset val="0"/>
          </rPr>
          <t>严新荟:</t>
        </r>
        <r>
          <rPr>
            <sz val="9"/>
            <rFont val="宋体"/>
            <charset val="0"/>
          </rPr>
          <t xml:space="preserve">
6/10 上客供价格贴纸 630 pcs</t>
        </r>
      </text>
    </comment>
    <comment ref="S312" authorId="1">
      <text>
        <r>
          <rPr>
            <b/>
            <sz val="9"/>
            <rFont val="宋体"/>
            <charset val="0"/>
          </rPr>
          <t>严新荟:</t>
        </r>
        <r>
          <rPr>
            <sz val="9"/>
            <rFont val="宋体"/>
            <charset val="0"/>
          </rPr>
          <t xml:space="preserve">
7/8 上UPC贴纸 40 pcs
7/1 上客供亚马逊外箱贴纸  5PCS</t>
        </r>
      </text>
    </comment>
    <comment ref="S317" authorId="1">
      <text>
        <r>
          <rPr>
            <b/>
            <sz val="9"/>
            <rFont val="宋体"/>
            <charset val="0"/>
          </rPr>
          <t>严新荟:</t>
        </r>
        <r>
          <rPr>
            <sz val="9"/>
            <rFont val="宋体"/>
            <charset val="0"/>
          </rPr>
          <t xml:space="preserve">
7/8 上UPC贴纸 40 pcs
7/1 上客供亚马逊外箱贴纸  5 PCS</t>
        </r>
      </text>
    </comment>
    <comment ref="S322" authorId="1">
      <text>
        <r>
          <rPr>
            <b/>
            <sz val="9"/>
            <rFont val="宋体"/>
            <charset val="0"/>
          </rPr>
          <t>严新荟:</t>
        </r>
        <r>
          <rPr>
            <sz val="9"/>
            <rFont val="宋体"/>
            <charset val="0"/>
          </rPr>
          <t xml:space="preserve">
7/8 上UPC贴纸 56 pcs
7/1 上客供亚马逊外箱贴纸 6 pcs</t>
        </r>
      </text>
    </comment>
    <comment ref="S328" authorId="1">
      <text>
        <r>
          <rPr>
            <b/>
            <sz val="9"/>
            <rFont val="宋体"/>
            <charset val="0"/>
          </rPr>
          <t>严新荟:</t>
        </r>
        <r>
          <rPr>
            <sz val="9"/>
            <rFont val="宋体"/>
            <charset val="0"/>
          </rPr>
          <t xml:space="preserve">
7/8 上UPC贴纸 48 pcs
7/1 上客供亚马逊外箱贴纸 6 pcs</t>
        </r>
      </text>
    </comment>
    <comment ref="Q334" authorId="1">
      <text>
        <r>
          <rPr>
            <b/>
            <sz val="9"/>
            <rFont val="宋体"/>
            <charset val="0"/>
          </rPr>
          <t>严新荟:</t>
        </r>
        <r>
          <rPr>
            <sz val="9"/>
            <rFont val="宋体"/>
            <charset val="0"/>
          </rPr>
          <t xml:space="preserve">
2801306 7/16 2000 pcs</t>
        </r>
      </text>
    </comment>
    <comment ref="S334" authorId="1">
      <text>
        <r>
          <rPr>
            <b/>
            <sz val="9"/>
            <rFont val="宋体"/>
            <charset val="0"/>
          </rPr>
          <t>严新荟:</t>
        </r>
        <r>
          <rPr>
            <sz val="9"/>
            <rFont val="宋体"/>
            <charset val="0"/>
          </rPr>
          <t xml:space="preserve">
6/26 上客供价格贴纸 2127 pcs
6/27 上UCC外箱贴纸  250 pcs</t>
        </r>
      </text>
    </comment>
    <comment ref="Q335" authorId="1">
      <text>
        <r>
          <rPr>
            <b/>
            <sz val="9"/>
            <rFont val="宋体"/>
            <charset val="0"/>
          </rPr>
          <t>严新荟:</t>
        </r>
        <r>
          <rPr>
            <sz val="9"/>
            <rFont val="宋体"/>
            <charset val="0"/>
          </rPr>
          <t xml:space="preserve">
1600534 7/10 3000 pcs</t>
        </r>
      </text>
    </comment>
    <comment ref="S335" authorId="1">
      <text>
        <r>
          <rPr>
            <b/>
            <sz val="9"/>
            <rFont val="宋体"/>
            <charset val="0"/>
          </rPr>
          <t>严新荟:</t>
        </r>
        <r>
          <rPr>
            <sz val="9"/>
            <rFont val="宋体"/>
            <charset val="0"/>
          </rPr>
          <t xml:space="preserve">
6/10 上进口商贴纸 3000 pcs
6/12 上QR贴纸  3000 pcs</t>
        </r>
      </text>
    </comment>
    <comment ref="Q336" authorId="1">
      <text>
        <r>
          <rPr>
            <b/>
            <sz val="9"/>
            <rFont val="宋体"/>
            <charset val="0"/>
          </rPr>
          <t>严新荟:</t>
        </r>
        <r>
          <rPr>
            <sz val="9"/>
            <rFont val="宋体"/>
            <charset val="0"/>
          </rPr>
          <t xml:space="preserve">
1600534 7/10 4000 pcs</t>
        </r>
      </text>
    </comment>
    <comment ref="S336" authorId="1">
      <text>
        <r>
          <rPr>
            <b/>
            <sz val="9"/>
            <rFont val="宋体"/>
            <charset val="0"/>
          </rPr>
          <t>严新荟:</t>
        </r>
        <r>
          <rPr>
            <sz val="9"/>
            <rFont val="宋体"/>
            <charset val="0"/>
          </rPr>
          <t xml:space="preserve">
6/5 上QR贴纸 4000 pcs
6/10 上进口商贴纸 4000 pcs</t>
        </r>
      </text>
    </comment>
    <comment ref="Q337" authorId="1">
      <text>
        <r>
          <rPr>
            <b/>
            <sz val="9"/>
            <rFont val="宋体"/>
            <charset val="0"/>
          </rPr>
          <t>严新荟:</t>
        </r>
        <r>
          <rPr>
            <sz val="9"/>
            <rFont val="宋体"/>
            <charset val="0"/>
          </rPr>
          <t xml:space="preserve">
1600534 7/10 2000 pcs</t>
        </r>
      </text>
    </comment>
    <comment ref="S337" authorId="1">
      <text>
        <r>
          <rPr>
            <b/>
            <sz val="9"/>
            <rFont val="宋体"/>
            <charset val="0"/>
          </rPr>
          <t>严新荟:</t>
        </r>
        <r>
          <rPr>
            <sz val="9"/>
            <rFont val="宋体"/>
            <charset val="0"/>
          </rPr>
          <t xml:space="preserve">
6/5 上QR贴纸 2000 pcs
6/10 上进口商贴纸 2000 pcs</t>
        </r>
      </text>
    </comment>
    <comment ref="Q338" authorId="1">
      <text>
        <r>
          <rPr>
            <b/>
            <sz val="9"/>
            <rFont val="宋体"/>
            <charset val="0"/>
          </rPr>
          <t>严新荟:</t>
        </r>
        <r>
          <rPr>
            <sz val="9"/>
            <rFont val="宋体"/>
            <charset val="0"/>
          </rPr>
          <t xml:space="preserve">
2801306 7/16 1440 pcs</t>
        </r>
      </text>
    </comment>
    <comment ref="S338" authorId="0">
      <text>
        <r>
          <rPr>
            <sz val="9"/>
            <rFont val="宋体"/>
            <charset val="0"/>
          </rPr>
          <t>Administrator:
4/13 上QR+SSCC贴纸 180 pcs</t>
        </r>
        <r>
          <rPr>
            <b/>
            <sz val="9"/>
            <rFont val="宋体"/>
            <charset val="0"/>
          </rPr>
          <t xml:space="preserve">
严新荟:</t>
        </r>
        <r>
          <rPr>
            <sz val="9"/>
            <rFont val="宋体"/>
            <charset val="0"/>
          </rPr>
          <t xml:space="preserve">
6/15 上进口商贴纸 4000 pcs
         上EAN条码贴纸 4000 pcs</t>
        </r>
      </text>
    </comment>
    <comment ref="Q339" authorId="1">
      <text>
        <r>
          <rPr>
            <b/>
            <sz val="9"/>
            <rFont val="宋体"/>
            <charset val="0"/>
          </rPr>
          <t>严新荟:</t>
        </r>
        <r>
          <rPr>
            <sz val="9"/>
            <rFont val="宋体"/>
            <charset val="0"/>
          </rPr>
          <t xml:space="preserve">
2801306 7/16 560 pcs</t>
        </r>
      </text>
    </comment>
    <comment ref="S339" authorId="0">
      <text>
        <r>
          <rPr>
            <sz val="9"/>
            <rFont val="宋体"/>
            <charset val="0"/>
          </rPr>
          <t>Administrator:
4/13 上QR+SSCC贴纸 70 pcs</t>
        </r>
        <r>
          <rPr>
            <b/>
            <sz val="9"/>
            <rFont val="宋体"/>
            <charset val="0"/>
          </rPr>
          <t xml:space="preserve">
严新荟:</t>
        </r>
        <r>
          <rPr>
            <sz val="9"/>
            <rFont val="宋体"/>
            <charset val="0"/>
          </rPr>
          <t xml:space="preserve">
6/15 上进口商贴纸 4000 pcs
         上EAN条码贴纸 4000 pcs</t>
        </r>
      </text>
    </comment>
    <comment ref="Q340" authorId="1">
      <text>
        <r>
          <rPr>
            <b/>
            <sz val="9"/>
            <rFont val="宋体"/>
            <charset val="0"/>
          </rPr>
          <t>严新荟:</t>
        </r>
        <r>
          <rPr>
            <sz val="9"/>
            <rFont val="宋体"/>
            <charset val="0"/>
          </rPr>
          <t xml:space="preserve">
2801333 7/21 600 pcs</t>
        </r>
      </text>
    </comment>
    <comment ref="S340" authorId="1">
      <text>
        <r>
          <rPr>
            <b/>
            <sz val="9"/>
            <rFont val="宋体"/>
            <charset val="0"/>
          </rPr>
          <t>严新荟:</t>
        </r>
        <r>
          <rPr>
            <sz val="9"/>
            <rFont val="宋体"/>
            <charset val="0"/>
          </rPr>
          <t xml:space="preserve">
6/22 上客供价格贴纸 710 pcs
7/6 上进口商贴纸 600 pcs</t>
        </r>
      </text>
    </comment>
    <comment ref="Q341" authorId="1">
      <text>
        <r>
          <rPr>
            <b/>
            <sz val="9"/>
            <rFont val="宋体"/>
            <charset val="0"/>
          </rPr>
          <t>严新荟:</t>
        </r>
        <r>
          <rPr>
            <sz val="9"/>
            <rFont val="宋体"/>
            <charset val="0"/>
          </rPr>
          <t xml:space="preserve">
2801336 7/21 1248 pcs
2801333 7/21 312 pcs
2801341 7/22 600 pcs</t>
        </r>
      </text>
    </comment>
    <comment ref="S341" authorId="1">
      <text>
        <r>
          <rPr>
            <b/>
            <sz val="9"/>
            <rFont val="宋体"/>
            <charset val="0"/>
          </rPr>
          <t>严新荟:</t>
        </r>
        <r>
          <rPr>
            <sz val="9"/>
            <rFont val="宋体"/>
            <charset val="0"/>
          </rPr>
          <t xml:space="preserve">
7/3 上QR+SSCC贴纸 270 pcs
7/9 上进口商贴纸 5000 pcs
       上客户EAN条码贴纸 5000 pcs</t>
        </r>
      </text>
    </comment>
    <comment ref="Q342" authorId="1">
      <text>
        <r>
          <rPr>
            <b/>
            <sz val="9"/>
            <rFont val="宋体"/>
            <charset val="0"/>
          </rPr>
          <t>严新荟:</t>
        </r>
        <r>
          <rPr>
            <sz val="9"/>
            <rFont val="宋体"/>
            <charset val="0"/>
          </rPr>
          <t xml:space="preserve">
2801333 7/21 840 pcs</t>
        </r>
      </text>
    </comment>
    <comment ref="S342" authorId="1">
      <text>
        <r>
          <rPr>
            <b/>
            <sz val="9"/>
            <rFont val="宋体"/>
            <charset val="0"/>
          </rPr>
          <t>严新荟:</t>
        </r>
        <r>
          <rPr>
            <sz val="9"/>
            <rFont val="宋体"/>
            <charset val="0"/>
          </rPr>
          <t xml:space="preserve">
7/3 上QR+SSCC贴纸 105 pcs
7/9 上进口商贴纸 5000 pcs
       上客户EAN条码贴纸 5000 pcs</t>
        </r>
      </text>
    </comment>
    <comment ref="Q343" authorId="1">
      <text>
        <r>
          <rPr>
            <b/>
            <sz val="9"/>
            <rFont val="宋体"/>
            <charset val="0"/>
          </rPr>
          <t>严新荟:</t>
        </r>
        <r>
          <rPr>
            <sz val="9"/>
            <rFont val="宋体"/>
            <charset val="0"/>
          </rPr>
          <t xml:space="preserve">
2801333 7/21 144 pcs</t>
        </r>
      </text>
    </comment>
    <comment ref="S343" authorId="1">
      <text>
        <r>
          <rPr>
            <b/>
            <sz val="9"/>
            <rFont val="宋体"/>
            <charset val="0"/>
          </rPr>
          <t>严新荟:</t>
        </r>
        <r>
          <rPr>
            <sz val="9"/>
            <rFont val="宋体"/>
            <charset val="0"/>
          </rPr>
          <t xml:space="preserve">
7/6 上进口商贴纸 144 pcs</t>
        </r>
      </text>
    </comment>
    <comment ref="Q344" authorId="1">
      <text>
        <r>
          <rPr>
            <b/>
            <sz val="9"/>
            <rFont val="宋体"/>
            <charset val="0"/>
          </rPr>
          <t>严新荟:</t>
        </r>
        <r>
          <rPr>
            <sz val="9"/>
            <rFont val="宋体"/>
            <charset val="0"/>
          </rPr>
          <t xml:space="preserve">
2801375 7/29 160 PCS</t>
        </r>
      </text>
    </comment>
    <comment ref="S344" authorId="1">
      <text>
        <r>
          <rPr>
            <b/>
            <sz val="9"/>
            <rFont val="宋体"/>
            <charset val="0"/>
          </rPr>
          <t>严新荟:</t>
        </r>
        <r>
          <rPr>
            <sz val="9"/>
            <rFont val="宋体"/>
            <charset val="0"/>
          </rPr>
          <t xml:space="preserve">
7/18 上UPC贴纸 160 pcs</t>
        </r>
      </text>
    </comment>
    <comment ref="Q345" authorId="1">
      <text>
        <r>
          <rPr>
            <b/>
            <sz val="9"/>
            <rFont val="宋体"/>
            <charset val="0"/>
          </rPr>
          <t>严新荟:</t>
        </r>
        <r>
          <rPr>
            <sz val="9"/>
            <rFont val="宋体"/>
            <charset val="0"/>
          </rPr>
          <t xml:space="preserve">
2801375 7/29 200 PCS</t>
        </r>
      </text>
    </comment>
    <comment ref="S345" authorId="1">
      <text>
        <r>
          <rPr>
            <b/>
            <sz val="9"/>
            <rFont val="宋体"/>
            <charset val="0"/>
          </rPr>
          <t>严新荟:</t>
        </r>
        <r>
          <rPr>
            <sz val="9"/>
            <rFont val="宋体"/>
            <charset val="0"/>
          </rPr>
          <t xml:space="preserve">
7/17  上客户通用贴纸 200 pcs</t>
        </r>
      </text>
    </comment>
    <comment ref="S346" authorId="1">
      <text>
        <r>
          <rPr>
            <b/>
            <sz val="9"/>
            <rFont val="宋体"/>
            <charset val="0"/>
          </rPr>
          <t>严新荟:</t>
        </r>
        <r>
          <rPr>
            <sz val="9"/>
            <rFont val="宋体"/>
            <charset val="0"/>
          </rPr>
          <t xml:space="preserve">
7/25 上UPC条码贴纸 12000 pcs
        上进口商贴纸 12000 pcs</t>
        </r>
      </text>
    </comment>
    <comment ref="S347" authorId="1">
      <text>
        <r>
          <rPr>
            <b/>
            <sz val="9"/>
            <rFont val="宋体"/>
            <charset val="0"/>
          </rPr>
          <t>严新荟:</t>
        </r>
        <r>
          <rPr>
            <sz val="9"/>
            <rFont val="宋体"/>
            <charset val="0"/>
          </rPr>
          <t xml:space="preserve">
7/4 上QR+SSCC贴纸 180 pcs
7/9 上进口商贴纸 5000 pcs
       上客户EAN条码贴纸 5000 pcs</t>
        </r>
      </text>
    </comment>
    <comment ref="S348" authorId="1">
      <text>
        <r>
          <rPr>
            <b/>
            <sz val="9"/>
            <rFont val="宋体"/>
            <charset val="0"/>
          </rPr>
          <t>严新荟:</t>
        </r>
        <r>
          <rPr>
            <sz val="9"/>
            <rFont val="宋体"/>
            <charset val="0"/>
          </rPr>
          <t xml:space="preserve">
7/4 上QR+SSCC贴纸 70 pcs
7/9 上进口商贴纸 5000 pcs
       上客户EAN条码贴纸 5000 pcs</t>
        </r>
      </text>
    </comment>
    <comment ref="S349" authorId="1">
      <text>
        <r>
          <rPr>
            <b/>
            <sz val="9"/>
            <rFont val="宋体"/>
            <charset val="0"/>
          </rPr>
          <t>严新荟:</t>
        </r>
        <r>
          <rPr>
            <sz val="9"/>
            <rFont val="宋体"/>
            <charset val="0"/>
          </rPr>
          <t xml:space="preserve">
8/5 上UPC贴纸 240 pcs</t>
        </r>
      </text>
    </comment>
    <comment ref="S351" authorId="1">
      <text>
        <r>
          <rPr>
            <b/>
            <sz val="9"/>
            <rFont val="宋体"/>
            <charset val="0"/>
          </rPr>
          <t>严新荟:</t>
        </r>
        <r>
          <rPr>
            <sz val="9"/>
            <rFont val="宋体"/>
            <charset val="0"/>
          </rPr>
          <t xml:space="preserve">
8/6 上客供价格贴纸 630 pcs</t>
        </r>
      </text>
    </comment>
    <comment ref="S352" authorId="1">
      <text>
        <r>
          <rPr>
            <b/>
            <sz val="9"/>
            <rFont val="宋体"/>
            <charset val="0"/>
          </rPr>
          <t>严新荟:</t>
        </r>
        <r>
          <rPr>
            <sz val="9"/>
            <rFont val="宋体"/>
            <charset val="0"/>
          </rPr>
          <t xml:space="preserve">
8/7 上客供价格贴纸 1247 pcs</t>
        </r>
      </text>
    </comment>
    <comment ref="S353" authorId="1">
      <text>
        <r>
          <rPr>
            <b/>
            <sz val="9"/>
            <rFont val="宋体"/>
            <charset val="0"/>
          </rPr>
          <t>严新荟:</t>
        </r>
        <r>
          <rPr>
            <sz val="9"/>
            <rFont val="宋体"/>
            <charset val="0"/>
          </rPr>
          <t xml:space="preserve">
8/7 上客供价格贴纸 191 pcs</t>
        </r>
      </text>
    </comment>
    <comment ref="S354" authorId="1">
      <text>
        <r>
          <rPr>
            <b/>
            <sz val="9"/>
            <rFont val="宋体"/>
            <charset val="0"/>
          </rPr>
          <t>严新荟:</t>
        </r>
        <r>
          <rPr>
            <sz val="9"/>
            <rFont val="宋体"/>
            <charset val="0"/>
          </rPr>
          <t xml:space="preserve">
8/7 上客供价格贴纸 575 pcs</t>
        </r>
      </text>
    </comment>
    <comment ref="S355" authorId="1">
      <text>
        <r>
          <rPr>
            <b/>
            <sz val="9"/>
            <rFont val="宋体"/>
            <charset val="0"/>
          </rPr>
          <t>严新荟:</t>
        </r>
        <r>
          <rPr>
            <sz val="9"/>
            <rFont val="宋体"/>
            <charset val="0"/>
          </rPr>
          <t xml:space="preserve">
8/11 上UPC贴纸 2000 pcs</t>
        </r>
      </text>
    </comment>
    <comment ref="S356" authorId="1">
      <text>
        <r>
          <rPr>
            <b/>
            <sz val="9"/>
            <rFont val="宋体"/>
            <charset val="0"/>
          </rPr>
          <t>严新荟:</t>
        </r>
        <r>
          <rPr>
            <sz val="9"/>
            <rFont val="宋体"/>
            <charset val="0"/>
          </rPr>
          <t xml:space="preserve">
8/11 上UPC贴纸 2000 pcs</t>
        </r>
      </text>
    </comment>
    <comment ref="S357" authorId="1">
      <text>
        <r>
          <rPr>
            <b/>
            <sz val="9"/>
            <rFont val="宋体"/>
            <charset val="0"/>
          </rPr>
          <t>严新荟:</t>
        </r>
        <r>
          <rPr>
            <sz val="9"/>
            <rFont val="宋体"/>
            <charset val="0"/>
          </rPr>
          <t xml:space="preserve">
8/11 上UPC贴纸 2000 pcs</t>
        </r>
      </text>
    </comment>
    <comment ref="S358" authorId="1">
      <text>
        <r>
          <rPr>
            <b/>
            <sz val="9"/>
            <rFont val="宋体"/>
            <charset val="0"/>
          </rPr>
          <t>严新荟:</t>
        </r>
        <r>
          <rPr>
            <sz val="9"/>
            <rFont val="宋体"/>
            <charset val="0"/>
          </rPr>
          <t xml:space="preserve">
8/11 上UPC贴纸 2000 pcs</t>
        </r>
      </text>
    </comment>
  </commentList>
</comments>
</file>

<file path=xl/comments6.xml><?xml version="1.0" encoding="utf-8"?>
<comments xmlns="http://schemas.openxmlformats.org/spreadsheetml/2006/main">
  <authors>
    <author>Doris Xiao Chang fei</author>
  </authors>
  <commentList>
    <comment ref="L386" authorId="0">
      <text>
        <r>
          <rPr>
            <b/>
            <sz val="9"/>
            <rFont val="宋体"/>
            <charset val="134"/>
          </rPr>
          <t>Doris Xiao Chang fei:</t>
        </r>
        <r>
          <rPr>
            <sz val="9"/>
            <rFont val="宋体"/>
            <charset val="134"/>
          </rPr>
          <t xml:space="preserve">
原MOQ 500，降低到300</t>
        </r>
      </text>
    </comment>
    <comment ref="L405" authorId="0">
      <text>
        <r>
          <rPr>
            <b/>
            <sz val="9"/>
            <rFont val="宋体"/>
            <charset val="134"/>
          </rPr>
          <t>Doris Xiao Chang fei:</t>
        </r>
        <r>
          <rPr>
            <sz val="9"/>
            <rFont val="宋体"/>
            <charset val="134"/>
          </rPr>
          <t xml:space="preserve">
原MOQ 800,降低到500</t>
        </r>
      </text>
    </comment>
    <comment ref="L417" authorId="0">
      <text>
        <r>
          <rPr>
            <b/>
            <sz val="9"/>
            <rFont val="宋体"/>
            <charset val="134"/>
          </rPr>
          <t>Doris Xiao Chang fei:</t>
        </r>
        <r>
          <rPr>
            <sz val="9"/>
            <rFont val="宋体"/>
            <charset val="134"/>
          </rPr>
          <t xml:space="preserve">
原MOQ 800，降低到500</t>
        </r>
      </text>
    </comment>
  </commentList>
</comments>
</file>

<file path=xl/comments7.xml><?xml version="1.0" encoding="utf-8"?>
<comments xmlns="http://schemas.openxmlformats.org/spreadsheetml/2006/main">
  <authors>
    <author>admin</author>
  </authors>
  <commentList>
    <comment ref="K10" authorId="0">
      <text>
        <r>
          <rPr>
            <sz val="9"/>
            <rFont val="宋体"/>
            <charset val="134"/>
          </rPr>
          <t>原完成期：2022/9/20</t>
        </r>
      </text>
    </comment>
  </commentList>
</comments>
</file>

<file path=xl/comments8.xml><?xml version="1.0" encoding="utf-8"?>
<comments xmlns="http://schemas.openxmlformats.org/spreadsheetml/2006/main">
  <authors>
    <author>admin</author>
  </authors>
  <commentList>
    <comment ref="E11" authorId="0">
      <text>
        <r>
          <rPr>
            <b/>
            <sz val="9"/>
            <rFont val="宋体"/>
            <charset val="134"/>
          </rPr>
          <t>admin:</t>
        </r>
        <r>
          <rPr>
            <sz val="9"/>
            <rFont val="宋体"/>
            <charset val="134"/>
          </rPr>
          <t xml:space="preserve">
Action 订单专用，啤紫色蛋壳，（角、摇柄新色）</t>
        </r>
      </text>
    </comment>
    <comment ref="G11" authorId="0">
      <text>
        <r>
          <rPr>
            <sz val="9"/>
            <rFont val="宋体"/>
            <charset val="0"/>
          </rPr>
          <t xml:space="preserve">
</t>
        </r>
      </text>
    </comment>
    <comment ref="E12" authorId="0">
      <text>
        <r>
          <rPr>
            <b/>
            <sz val="9"/>
            <rFont val="宋体"/>
            <charset val="134"/>
          </rPr>
          <t>admin:</t>
        </r>
        <r>
          <rPr>
            <sz val="9"/>
            <rFont val="宋体"/>
            <charset val="134"/>
          </rPr>
          <t xml:space="preserve">
Action 订单专用，啤紫色蛋壳，（角、摇柄新色）</t>
        </r>
      </text>
    </comment>
    <comment ref="G12" authorId="0">
      <text>
        <r>
          <rPr>
            <b/>
            <sz val="9"/>
            <rFont val="宋体"/>
            <charset val="134"/>
          </rPr>
          <t>admin:</t>
        </r>
        <r>
          <rPr>
            <sz val="9"/>
            <rFont val="宋体"/>
            <charset val="134"/>
          </rPr>
          <t xml:space="preserve">
Action 订单专用，啤紫色蛋壳，（角、摇柄新色）</t>
        </r>
      </text>
    </comment>
    <comment ref="E14" authorId="0">
      <text>
        <r>
          <rPr>
            <b/>
            <sz val="9"/>
            <rFont val="宋体"/>
            <charset val="134"/>
          </rPr>
          <t>admin:</t>
        </r>
        <r>
          <rPr>
            <sz val="9"/>
            <rFont val="宋体"/>
            <charset val="134"/>
          </rPr>
          <t xml:space="preserve">
Action 订单专用，啤紫色蛋壳，（角、摇柄新色）</t>
        </r>
      </text>
    </comment>
    <comment ref="G14" authorId="0">
      <text>
        <r>
          <rPr>
            <b/>
            <sz val="9"/>
            <rFont val="宋体"/>
            <charset val="134"/>
          </rPr>
          <t>admin:</t>
        </r>
        <r>
          <rPr>
            <sz val="9"/>
            <rFont val="宋体"/>
            <charset val="134"/>
          </rPr>
          <t xml:space="preserve">
Action 订单专用，啤紫色蛋壳，（角、摇柄新色）</t>
        </r>
      </text>
    </comment>
  </commentList>
</comments>
</file>

<file path=xl/comments9.xml><?xml version="1.0" encoding="utf-8"?>
<comments xmlns="http://schemas.openxmlformats.org/spreadsheetml/2006/main">
  <authors>
    <author>admin</author>
  </authors>
  <commentList>
    <comment ref="DU55" authorId="0">
      <text>
        <r>
          <rPr>
            <b/>
            <sz val="9"/>
            <rFont val="宋体"/>
            <charset val="134"/>
          </rPr>
          <t>admin:自订</t>
        </r>
      </text>
    </comment>
    <comment ref="AO83" authorId="0">
      <text>
        <r>
          <rPr>
            <sz val="9"/>
            <rFont val="宋体"/>
            <charset val="134"/>
          </rPr>
          <t>11/30   消耗库存数  根据实单订购</t>
        </r>
      </text>
    </comment>
    <comment ref="AS83" authorId="0">
      <text>
        <r>
          <rPr>
            <sz val="9"/>
            <rFont val="宋体"/>
            <charset val="134"/>
          </rPr>
          <t>11/30   消耗库存数  根据实单订购</t>
        </r>
      </text>
    </comment>
    <comment ref="AU83" authorId="0">
      <text>
        <r>
          <rPr>
            <sz val="9"/>
            <rFont val="宋体"/>
            <charset val="134"/>
          </rPr>
          <t>11/30   消耗库存数  根据实单订购</t>
        </r>
      </text>
    </comment>
    <comment ref="AW83" authorId="0">
      <text>
        <r>
          <rPr>
            <sz val="9"/>
            <rFont val="宋体"/>
            <charset val="134"/>
          </rPr>
          <t>11/30   消耗库存数  根据实单订购</t>
        </r>
      </text>
    </comment>
  </commentList>
</comments>
</file>

<file path=xl/comments10.xml><?xml version="1.0" encoding="utf-8"?>
<comments xmlns="http://schemas.openxmlformats.org/spreadsheetml/2006/main">
  <authors>
    <author>admin</author>
  </authors>
  <commentList>
    <comment ref="J106" authorId="0">
      <text>
        <r>
          <rPr>
            <sz val="9"/>
            <rFont val="宋体"/>
            <charset val="134"/>
          </rPr>
          <t>已扣减在B版本3L膜</t>
        </r>
      </text>
    </comment>
    <comment ref="Q106" authorId="0">
      <text>
        <r>
          <rPr>
            <b/>
            <sz val="9"/>
            <rFont val="宋体"/>
            <charset val="134"/>
          </rPr>
          <t>admin:</t>
        </r>
        <r>
          <rPr>
            <sz val="9"/>
            <rFont val="宋体"/>
            <charset val="134"/>
          </rPr>
          <t xml:space="preserve">
5340 PCS-扣减清零</t>
        </r>
      </text>
    </comment>
    <comment ref="R106" authorId="0">
      <text>
        <r>
          <rPr>
            <b/>
            <sz val="9"/>
            <rFont val="宋体"/>
            <charset val="134"/>
          </rPr>
          <t>admin:</t>
        </r>
        <r>
          <rPr>
            <sz val="9"/>
            <rFont val="宋体"/>
            <charset val="134"/>
          </rPr>
          <t xml:space="preserve">
4051 PCS扣减清零</t>
        </r>
      </text>
    </comment>
    <comment ref="S106" authorId="0">
      <text>
        <r>
          <rPr>
            <b/>
            <sz val="9"/>
            <rFont val="宋体"/>
            <charset val="134"/>
          </rPr>
          <t>admin:</t>
        </r>
        <r>
          <rPr>
            <sz val="9"/>
            <rFont val="宋体"/>
            <charset val="134"/>
          </rPr>
          <t xml:space="preserve">
6167 pcs 扣减清零</t>
        </r>
      </text>
    </comment>
    <comment ref="T106" authorId="0">
      <text>
        <r>
          <rPr>
            <b/>
            <sz val="9"/>
            <rFont val="宋体"/>
            <charset val="134"/>
          </rPr>
          <t>admin:</t>
        </r>
        <r>
          <rPr>
            <sz val="9"/>
            <rFont val="宋体"/>
            <charset val="134"/>
          </rPr>
          <t xml:space="preserve">
5391 pcs 扣减清零</t>
        </r>
      </text>
    </comment>
  </commentList>
</comments>
</file>

<file path=xl/comments11.xml><?xml version="1.0" encoding="utf-8"?>
<comments xmlns="http://schemas.openxmlformats.org/spreadsheetml/2006/main">
  <authors>
    <author>RR</author>
  </authors>
  <commentList>
    <comment ref="H2" authorId="0">
      <text>
        <r>
          <rPr>
            <b/>
            <sz val="9"/>
            <rFont val="宋体"/>
            <charset val="134"/>
          </rPr>
          <t>RR:</t>
        </r>
        <r>
          <rPr>
            <sz val="9"/>
            <rFont val="宋体"/>
            <charset val="134"/>
          </rPr>
          <t xml:space="preserve">
R2电阻原是0402/0R。触摸线原是50MM</t>
        </r>
      </text>
    </comment>
    <comment ref="I2" authorId="0">
      <text>
        <r>
          <rPr>
            <b/>
            <sz val="9"/>
            <rFont val="宋体"/>
            <charset val="134"/>
          </rPr>
          <t>RR:</t>
        </r>
        <r>
          <rPr>
            <sz val="9"/>
            <rFont val="宋体"/>
            <charset val="134"/>
          </rPr>
          <t xml:space="preserve">
R2电阻原是0402/0R。触摸线原是50MM</t>
        </r>
      </text>
    </comment>
    <comment ref="J2" authorId="0">
      <text>
        <r>
          <rPr>
            <b/>
            <sz val="9"/>
            <rFont val="宋体"/>
            <charset val="134"/>
          </rPr>
          <t>RR:</t>
        </r>
        <r>
          <rPr>
            <sz val="9"/>
            <rFont val="宋体"/>
            <charset val="134"/>
          </rPr>
          <t xml:space="preserve">
R2电阻原是0402/0R。触摸线原是50MM</t>
        </r>
      </text>
    </comment>
  </commentList>
</comments>
</file>

<file path=xl/comments12.xml><?xml version="1.0" encoding="utf-8"?>
<comments xmlns="http://schemas.openxmlformats.org/spreadsheetml/2006/main">
  <authors>
    <author>admin</author>
    <author>Administrator</author>
  </authors>
  <commentList>
    <comment ref="Q2" authorId="0">
      <text>
        <r>
          <rPr>
            <sz val="14"/>
            <rFont val="宋体"/>
            <charset val="134"/>
          </rPr>
          <t>白猫存在色差
已送回</t>
        </r>
      </text>
    </comment>
    <comment ref="M3" authorId="0">
      <text>
        <r>
          <rPr>
            <sz val="14"/>
            <rFont val="宋体"/>
            <charset val="134"/>
          </rPr>
          <t>PDQ消耗4500095189中600PCS</t>
        </r>
      </text>
    </comment>
    <comment ref="Q21" authorId="0">
      <text>
        <r>
          <rPr>
            <b/>
            <sz val="9"/>
            <rFont val="宋体"/>
            <charset val="134"/>
          </rPr>
          <t>admin:</t>
        </r>
        <r>
          <rPr>
            <sz val="9"/>
            <rFont val="宋体"/>
            <charset val="134"/>
          </rPr>
          <t xml:space="preserve">
工厂提供保证函+成品打9折出货</t>
        </r>
      </text>
    </comment>
    <comment ref="Q212" authorId="1">
      <text>
        <r>
          <rPr>
            <b/>
            <sz val="14"/>
            <rFont val="宋体"/>
            <charset val="134"/>
          </rPr>
          <t>Administrator:</t>
        </r>
        <r>
          <rPr>
            <sz val="14"/>
            <rFont val="宋体"/>
            <charset val="134"/>
          </rPr>
          <t xml:space="preserve">
1402914/1402913 4/29 396 pcs</t>
        </r>
      </text>
    </comment>
  </commentList>
</comments>
</file>

<file path=xl/sharedStrings.xml><?xml version="1.0" encoding="utf-8"?>
<sst xmlns="http://schemas.openxmlformats.org/spreadsheetml/2006/main" count="62127" uniqueCount="13548">
  <si>
    <r>
      <rPr>
        <sz val="16"/>
        <color rgb="FFFF0000"/>
        <rFont val="Arial"/>
        <charset val="0"/>
      </rPr>
      <t>1-2</t>
    </r>
    <r>
      <rPr>
        <sz val="16"/>
        <color rgb="FFFF0000"/>
        <rFont val="宋体"/>
        <charset val="0"/>
      </rPr>
      <t>前入单配比：</t>
    </r>
  </si>
  <si>
    <r>
      <rPr>
        <b/>
        <sz val="12"/>
        <rFont val="Arial"/>
        <charset val="0"/>
      </rPr>
      <t xml:space="preserve">ZURU  Rainbocorn </t>
    </r>
    <r>
      <rPr>
        <b/>
        <sz val="12"/>
        <rFont val="宋体"/>
        <charset val="0"/>
      </rPr>
      <t>猫蛋毛絨公仔生产排期表</t>
    </r>
    <r>
      <rPr>
        <b/>
        <sz val="12"/>
        <rFont val="Arial"/>
        <charset val="0"/>
      </rPr>
      <t xml:space="preserve"> #9259</t>
    </r>
  </si>
  <si>
    <r>
      <rPr>
        <sz val="16"/>
        <color rgb="FFFF0000"/>
        <rFont val="Arial"/>
        <charset val="0"/>
      </rPr>
      <t>1-2</t>
    </r>
    <r>
      <rPr>
        <sz val="16"/>
        <color rgb="FFFF0000"/>
        <rFont val="宋体"/>
        <charset val="0"/>
      </rPr>
      <t>后入单新配比：</t>
    </r>
  </si>
  <si>
    <t>（黃色表示更改或增加）</t>
  </si>
  <si>
    <t>（蓝色表示已完货）</t>
  </si>
  <si>
    <t>（綠色表示調整貨期）</t>
  </si>
  <si>
    <t>收縮膜</t>
  </si>
  <si>
    <t>說明書</t>
  </si>
  <si>
    <t>A</t>
  </si>
  <si>
    <t>E</t>
  </si>
  <si>
    <t>B</t>
  </si>
  <si>
    <t>D</t>
  </si>
  <si>
    <t>G</t>
  </si>
  <si>
    <t>H</t>
  </si>
  <si>
    <t>接单期</t>
  </si>
  <si>
    <t>第三方客户名称</t>
  </si>
  <si>
    <t>国家</t>
  </si>
  <si>
    <t>PO号</t>
  </si>
  <si>
    <t>客户PO号</t>
  </si>
  <si>
    <t>SKU号</t>
  </si>
  <si>
    <t>系统货号</t>
  </si>
  <si>
    <t>货号</t>
  </si>
  <si>
    <t>名称</t>
  </si>
  <si>
    <t>数量</t>
  </si>
  <si>
    <t>内箱装箱数量(pcs)</t>
  </si>
  <si>
    <t>装箱数（PCS）</t>
  </si>
  <si>
    <t>总箱数</t>
  </si>
  <si>
    <t>计划出货期</t>
  </si>
  <si>
    <t>计划验货期</t>
  </si>
  <si>
    <t>第三方验货期</t>
  </si>
  <si>
    <t>驗貨結果</t>
  </si>
  <si>
    <t>送货情况</t>
  </si>
  <si>
    <t>欠数</t>
  </si>
  <si>
    <t>船期SO</t>
  </si>
  <si>
    <t>箱唛资料(收到日期)</t>
  </si>
  <si>
    <t>外箱贴纸</t>
  </si>
  <si>
    <t>贴纸AI(收到日期)</t>
  </si>
  <si>
    <t>客供物料</t>
  </si>
  <si>
    <t>日期码</t>
  </si>
  <si>
    <t>备注</t>
  </si>
  <si>
    <t>ZURU 跟单</t>
  </si>
  <si>
    <t>单价USD</t>
  </si>
  <si>
    <t>金额USD</t>
  </si>
  <si>
    <t>發票號</t>
  </si>
  <si>
    <t>是否入系统</t>
  </si>
  <si>
    <t>MA  1語收縮膜
A版本</t>
  </si>
  <si>
    <t>MA 3语收缩膜</t>
  </si>
  <si>
    <t>EU 5L 收缩膜</t>
  </si>
  <si>
    <t>客版收縮膜</t>
  </si>
  <si>
    <t>MA 1語收藏指南
A版本</t>
  </si>
  <si>
    <t>MA 3语
收藏指南
A版本</t>
  </si>
  <si>
    <t>EU 5L 收藏指南</t>
  </si>
  <si>
    <t>客版收藏指南</t>
  </si>
  <si>
    <t>MA口水胶</t>
  </si>
  <si>
    <t>客版口水胶</t>
  </si>
  <si>
    <t>无闪粉口水胶</t>
  </si>
  <si>
    <t>PDQ   SQ1-S001-S002   IL</t>
  </si>
  <si>
    <t>PDQ   SQ1-S001 3L</t>
  </si>
  <si>
    <t>PDQ   TQ1-S001 WM客版 1L</t>
  </si>
  <si>
    <t xml:space="preserve"> PDQ   TQ1-S001-CA客版 2L</t>
  </si>
  <si>
    <t>PDQ   TQ2-S001 -S002 客版</t>
  </si>
  <si>
    <t xml:space="preserve">PDQ   TQ3-S001 TG客版 </t>
  </si>
  <si>
    <t>EC  展示架</t>
  </si>
  <si>
    <t>中国单客办PDQ</t>
  </si>
  <si>
    <t>客办PDQ</t>
  </si>
  <si>
    <t>无闪粉毛绒</t>
  </si>
  <si>
    <t>布標</t>
  </si>
  <si>
    <t xml:space="preserve">暹罗猫SIAMESE  CAT </t>
  </si>
  <si>
    <t>孟加拉猫BENAL  CAT</t>
  </si>
  <si>
    <t>美国猫AMERICAN  SHORTHIR</t>
  </si>
  <si>
    <t>花斑猫CALICO  CAT</t>
  </si>
  <si>
    <t>加菲猫EXOTIC  CAT</t>
  </si>
  <si>
    <t>黑猫BLKCK  CAT</t>
  </si>
  <si>
    <t>白猫CHNCHILLA  CAT</t>
  </si>
  <si>
    <t>总数</t>
  </si>
  <si>
    <t>相差</t>
  </si>
  <si>
    <t>入共享</t>
  </si>
  <si>
    <t>ACTION SERVICE &amp; DISTRIBUTIE B.V.</t>
  </si>
  <si>
    <t>荷兰</t>
  </si>
  <si>
    <t>4500141955-170</t>
  </si>
  <si>
    <t>MB83-S002-9259</t>
  </si>
  <si>
    <t>混装（9259+9269各6PCS）</t>
  </si>
  <si>
    <t>PASS</t>
  </si>
  <si>
    <t>8/2收到</t>
  </si>
  <si>
    <t>8/8收到 15L 黑白书纸 for slime bag+9/5收到西班牙环保标贴纸</t>
  </si>
  <si>
    <t>8/8已收到客办包装资料</t>
  </si>
  <si>
    <t>日期码格式：ZURU INC(BVI) 标准格式 日期：按实际生产日期
Packaging Info: 客版15L包装（收缩膜+西班牙环保标贴纸，收藏指南，15L 黑白书纸 for slime bag）+MA布标
Remark: 客人款号：3009949
1. 此单是子母件，贵司是母件工厂，需要负责组装入箱：一共2款，每款6pcs ，共12pcs 入一外箱。子件9259 工厂是兴信，子件9269 工厂是华康。子件CRD 是贵
司CRD -7天，会按时/提前送货到贵司组装。
2. 订单总数量496,320 pcs, 共分为22个柜子，请按期完货.
3. 所有产品按符合欧洲标准走货，微塑料需合规。
4. 所有包装材料都不允许PVC, 请用PET代替
5. 此单需要4套产前样及4套大货样，样板请寄到罗湖办公室Eddie收。</t>
  </si>
  <si>
    <t>Sandy Shao</t>
  </si>
  <si>
    <t>88828-1.2</t>
  </si>
  <si>
    <t>MA布标</t>
  </si>
  <si>
    <t>TJX COMPANIES, INC</t>
  </si>
  <si>
    <t>美国</t>
  </si>
  <si>
    <t>Marshalls
DC#881-120PCS
,
DC#884-96PCS,
DC#886-144PCS
,
DC#887-120PCS
,
DC#888-120PCS</t>
  </si>
  <si>
    <t>4500147789-60</t>
  </si>
  <si>
    <t>9259-S001</t>
  </si>
  <si>
    <t>猫蛋</t>
  </si>
  <si>
    <t>1/2出</t>
  </si>
  <si>
    <t>11/4收到</t>
  </si>
  <si>
    <t>无</t>
  </si>
  <si>
    <t>11/16收到客供价格贴纸</t>
  </si>
  <si>
    <t>日期码格式：ZURU INC(BVI) 标准格式 日期：按实际生产日期
Packaging Info: MA UPC包装+价格贴纸，价格贴纸客供。
Remark: 1. 产品和包装上印刷tracking code信息，格式为ZURU常规格式。
2. 分5个DC出货，每款产品每个DC的箱唛资料不同。具体分DC数量，请参考后面行项目备注。
3. ZURU QC验货。</t>
  </si>
  <si>
    <t>Emily Wu</t>
  </si>
  <si>
    <t>94169-1.23</t>
  </si>
  <si>
    <t>4500141955-180</t>
  </si>
  <si>
    <t>12/30出</t>
  </si>
  <si>
    <t>94228-2.12</t>
  </si>
  <si>
    <t>4500141955-210</t>
  </si>
  <si>
    <t>1/3出</t>
  </si>
  <si>
    <t>TJ MAXX
DC#891-168PCS
,
DC#894-144PCS
,
DC#896-120PCS
,
DC#897-240PCS
,
DC#898-120PCS</t>
  </si>
  <si>
    <t>4500147796-80</t>
  </si>
  <si>
    <t>1/8出</t>
  </si>
  <si>
    <t>12-6客供价格贴纸</t>
  </si>
  <si>
    <t>94170-1.23</t>
  </si>
  <si>
    <t>4500147795-60</t>
  </si>
  <si>
    <t>94175-1.23</t>
  </si>
  <si>
    <t>4500147793-80</t>
  </si>
  <si>
    <t>1/9出</t>
  </si>
  <si>
    <t>94171-1.23</t>
  </si>
  <si>
    <t>4500147792-60</t>
  </si>
  <si>
    <t>94166-1.23</t>
  </si>
  <si>
    <t>TJ MAXX
DC#891-240PCS
,
DC#894-192PCS
,
DC#896-192PCS
,
DC#897-384PCS
,
DC#898-192PCS</t>
  </si>
  <si>
    <t>4500147798-90</t>
  </si>
  <si>
    <t>94174-1.23</t>
  </si>
  <si>
    <t>Marshalls
DC#881-216PCS
,
DC#884-168PCS
,
DC#886-240PCS
,
DC#887-192PCS
,
DC#888-192PCS</t>
  </si>
  <si>
    <t>4500147794-90</t>
  </si>
  <si>
    <t>94176-1.23</t>
  </si>
  <si>
    <t>4500146851-260</t>
  </si>
  <si>
    <t>1/16出</t>
  </si>
  <si>
    <t>10/9收到</t>
  </si>
  <si>
    <t>黑白书纸 for slime bag</t>
  </si>
  <si>
    <t>日期码格式：ZURU INC(BVI) 标准格式 日期：按实际生产日期 
Packaging Info: 客版15L包装（收缩膜，收藏指南，15L 黑白书纸 for slime bag）+MA布标
Remark: 客人款号：3009949
 1. 此单是子母件，贵司是母件工厂，需要负责组装入箱：一共2款，每款6pcs ，共12pcs 入一外箱。子件9259 工厂是兴信，子件9269 工厂是华康。子件CRD 是贵司CRD -7天，会按时/提前送货到贵司组装。
 2. 订单总数量782,892 pcs, 共分为33个柜子，请按期完货.
 3. 所有产品按符合欧洲标准走货，微塑料需合规。
 4. 所有包装材料都不允许PVC, 请用PET代替
 5. 此单需要4套产前样及4套大货样，样板请寄到罗湖办公室Eddie收。</t>
  </si>
  <si>
    <t>Becky Yang</t>
  </si>
  <si>
    <t>88972-1.10</t>
  </si>
  <si>
    <t>4500146851-240</t>
  </si>
  <si>
    <t>88987-1.11</t>
  </si>
  <si>
    <t>4500146851-280</t>
  </si>
  <si>
    <t>94026-1.14</t>
  </si>
  <si>
    <t>4500146851-110</t>
  </si>
  <si>
    <t>1/20出</t>
  </si>
  <si>
    <t>94091-1.18</t>
  </si>
  <si>
    <t>4500147799-70</t>
  </si>
  <si>
    <t>2/14出</t>
  </si>
  <si>
    <t>12/20-客供价格贴纸</t>
  </si>
  <si>
    <t>4500147801-70</t>
  </si>
  <si>
    <t>2/11出</t>
  </si>
  <si>
    <t>TJ MAXX
DC#891-240PCS
,
DC#894-216PCS
,
DC#896-192PCS
,
DC#897-360PCS
,
DC#898-192PCS</t>
  </si>
  <si>
    <t>4500147803-90</t>
  </si>
  <si>
    <t>2/13出</t>
  </si>
  <si>
    <t>Marshalls
DC#881-216PCS
,
DC#884-168PCS
,
DC#886-216PCS
,
DC#887-192PCS
,
DC#888-216PCS</t>
  </si>
  <si>
    <t>4500147800-90</t>
  </si>
  <si>
    <t>4500146851-250</t>
  </si>
  <si>
    <t>1/26出</t>
  </si>
  <si>
    <t>4500146851-70</t>
  </si>
  <si>
    <t>2/6出</t>
  </si>
  <si>
    <t>94182-2.6</t>
  </si>
  <si>
    <t>4500147804-80</t>
  </si>
  <si>
    <t>2/18出</t>
  </si>
  <si>
    <t>94381-2.27</t>
  </si>
  <si>
    <t>4500147806-80</t>
  </si>
  <si>
    <t>2/21出</t>
  </si>
  <si>
    <t>94380-2.27</t>
  </si>
  <si>
    <t>4500141955-220</t>
  </si>
  <si>
    <t>2/12出</t>
  </si>
  <si>
    <t>4500146851-190</t>
  </si>
  <si>
    <t>94211-2.11</t>
  </si>
  <si>
    <t>4500146851-30</t>
  </si>
  <si>
    <t>3/18出</t>
  </si>
  <si>
    <t>94584-3.20</t>
  </si>
  <si>
    <t>4500146851-80</t>
  </si>
  <si>
    <t>3/22出</t>
  </si>
  <si>
    <t>94627-3.25</t>
  </si>
  <si>
    <t>4500146851-130</t>
  </si>
  <si>
    <t>3/25出</t>
  </si>
  <si>
    <t>94668-3.29</t>
  </si>
  <si>
    <t>4500146851-90</t>
  </si>
  <si>
    <t>3/31出</t>
  </si>
  <si>
    <t>94919-5.5</t>
  </si>
  <si>
    <t>4500146851-100</t>
  </si>
  <si>
    <t>94927-5.6</t>
  </si>
  <si>
    <t>4500146851-270</t>
  </si>
  <si>
    <t>4/15出</t>
  </si>
  <si>
    <t>94766-4.15</t>
  </si>
  <si>
    <t>4500146851-180</t>
  </si>
  <si>
    <t>4/19出</t>
  </si>
  <si>
    <t>4500146851-200</t>
  </si>
  <si>
    <t>5/5出</t>
  </si>
  <si>
    <t>94565-3.17</t>
  </si>
  <si>
    <t>4500146851-220</t>
  </si>
  <si>
    <t>5/6出</t>
  </si>
  <si>
    <t>94803-4.21</t>
  </si>
  <si>
    <t>4500146851-40</t>
  </si>
  <si>
    <t>6/12出</t>
  </si>
  <si>
    <t>95517-7.1</t>
  </si>
  <si>
    <t>4500146851-320</t>
  </si>
  <si>
    <t>6/13出</t>
  </si>
  <si>
    <t>95579-7.7</t>
  </si>
  <si>
    <t>4500146851-290</t>
  </si>
  <si>
    <t>6/28出</t>
  </si>
  <si>
    <t>95647-7.15</t>
  </si>
  <si>
    <t>4500146851-330</t>
  </si>
  <si>
    <t>7/1出</t>
  </si>
  <si>
    <t>95781-7.26</t>
  </si>
  <si>
    <t>4500146851-170</t>
  </si>
  <si>
    <t>7/7出</t>
  </si>
  <si>
    <t>95812-7.29</t>
  </si>
  <si>
    <t>4500146851-120</t>
  </si>
  <si>
    <t>7/15出</t>
  </si>
  <si>
    <t>4500146851-160</t>
  </si>
  <si>
    <t>7/29出</t>
  </si>
  <si>
    <t>95837-7.31</t>
  </si>
  <si>
    <t>4500146851-140</t>
  </si>
  <si>
    <t>8/4出</t>
  </si>
  <si>
    <t>4500146851-60</t>
  </si>
  <si>
    <t>7/28出</t>
  </si>
  <si>
    <t>4500146851-50</t>
  </si>
  <si>
    <t>4500146851-20</t>
  </si>
  <si>
    <t>7/30出</t>
  </si>
  <si>
    <t>4500146851-310</t>
  </si>
  <si>
    <t>8/12出</t>
  </si>
  <si>
    <t>4500146851-230</t>
  </si>
  <si>
    <t>8/11出</t>
  </si>
  <si>
    <t>4500146851-150</t>
  </si>
  <si>
    <t>8/25出</t>
  </si>
  <si>
    <t>4500146851-300</t>
  </si>
  <si>
    <t>8/14出</t>
  </si>
  <si>
    <t>4500146851-210</t>
  </si>
  <si>
    <t>4500146851-10</t>
  </si>
  <si>
    <t>4500166812-130</t>
  </si>
  <si>
    <t>8/28出</t>
  </si>
  <si>
    <t>5/19收到</t>
  </si>
  <si>
    <t>警语书纸翻PO#4500141955</t>
  </si>
  <si>
    <t>（注意：零售包装上的日期码要在无需拆开包装的前提下可直接看到）</t>
  </si>
  <si>
    <t>日期码格式：ZURU INC(BVI) 标准格式 日期：按实际生产日期
Packaging Info: 客版15L 收缩膜 翻PO#4500146851， 客版15L收藏指南翻PO#4500141955, MA 多语 slime bag+客版15L slime bag 警语书纸翻PO#4500141955, MA最新版布标，MA
最新版多语stiker.
Remark: 客人款号：3009949
1. 订单总数量593100pcs, 共分为25个柜子，请按期完货.
2. 所有产品按符合欧洲标准走货，微塑料需合规。
3. 所有包装材料都不允许PVC, 请用PET代替
4. 此单需要4套产前样及4套大货样，样板请寄到罗湖办公室Amber Zhang 收
Baby EAN code:
#9259 : 4894680021402
#9269 : 4894680023543</t>
  </si>
  <si>
    <t>Amber zhang</t>
  </si>
  <si>
    <t>A96613-10.8</t>
  </si>
  <si>
    <t>4500166812-230</t>
  </si>
  <si>
    <t>9/1出</t>
  </si>
  <si>
    <t>4500166812-90</t>
  </si>
  <si>
    <t>A96643-10.14</t>
  </si>
  <si>
    <t>4500166812-140</t>
  </si>
  <si>
    <t>9/8出</t>
  </si>
  <si>
    <t>A96730-10.27</t>
  </si>
  <si>
    <t>4500166812-80</t>
  </si>
  <si>
    <t>9/11出</t>
  </si>
  <si>
    <t>A96759-10.30</t>
  </si>
  <si>
    <t>4500166812-110</t>
  </si>
  <si>
    <t>95279-9.1</t>
  </si>
  <si>
    <t>4500166812-160</t>
  </si>
  <si>
    <t>9/19出</t>
  </si>
  <si>
    <t>4500166812-250</t>
  </si>
  <si>
    <t>9/24出</t>
  </si>
  <si>
    <t>96871-11.5</t>
  </si>
  <si>
    <t>4500166812-150</t>
  </si>
  <si>
    <t>4500166812-100</t>
  </si>
  <si>
    <t>9/25出</t>
  </si>
  <si>
    <t>4500166812-120</t>
  </si>
  <si>
    <t>9/29出</t>
  </si>
  <si>
    <t>4500166812-40</t>
  </si>
  <si>
    <t>10/3出</t>
  </si>
  <si>
    <t>4500166812-70</t>
  </si>
  <si>
    <t>10/7出</t>
  </si>
  <si>
    <t>4500166812-60</t>
  </si>
  <si>
    <t>10/9出</t>
  </si>
  <si>
    <t>4500166812-210</t>
  </si>
  <si>
    <t>4500166812-200</t>
  </si>
  <si>
    <t>10/27出</t>
  </si>
  <si>
    <t>4500166812-30</t>
  </si>
  <si>
    <t>11/3出</t>
  </si>
  <si>
    <t>4500166812-10</t>
  </si>
  <si>
    <t>11/6出</t>
  </si>
  <si>
    <t>4500166812-20</t>
  </si>
  <si>
    <t>5/18出</t>
  </si>
  <si>
    <t>4500166812-180</t>
  </si>
  <si>
    <t>5/14出</t>
  </si>
  <si>
    <t>（注意：零售包装上的日期码要在无需拆开包装的前提下可直接看到）5/18</t>
  </si>
  <si>
    <t>4500166812-50</t>
  </si>
  <si>
    <t>4500166812-220</t>
  </si>
  <si>
    <t>6/5出</t>
  </si>
  <si>
    <t>4500166812-190</t>
  </si>
  <si>
    <t>6/11出</t>
  </si>
  <si>
    <t>4500166812-170</t>
  </si>
  <si>
    <t>6/6出</t>
  </si>
  <si>
    <t>4500166812-240</t>
  </si>
  <si>
    <t>Total:</t>
  </si>
  <si>
    <t>ZURU  Rainbocorn 猫蛋二代毛絨公仔生产排期表 #9279</t>
  </si>
  <si>
    <t>有闪粉毛绒</t>
  </si>
  <si>
    <t>收藏指南</t>
  </si>
  <si>
    <t>口水胶</t>
  </si>
  <si>
    <t>贴纸</t>
  </si>
  <si>
    <t>贴纸订购与回货时间</t>
  </si>
  <si>
    <t>MA  1語收縮膜
B版本</t>
  </si>
  <si>
    <t>MA 3语收缩膜 A版本</t>
  </si>
  <si>
    <t>MA 3语收缩膜 B版本</t>
  </si>
  <si>
    <t>EU-3L收缩膜</t>
  </si>
  <si>
    <t>MA 5语
收藏指南
A版本</t>
  </si>
  <si>
    <t>MA 5语
收藏指南
B版本</t>
  </si>
  <si>
    <t>MA口水胶-A版本</t>
  </si>
  <si>
    <t>MA口水胶-B版本</t>
  </si>
  <si>
    <t>MA口水胶-无闪粉有硼</t>
  </si>
  <si>
    <t>MA口水胶-无闪粉无硼</t>
  </si>
  <si>
    <t>客版无硼口水胶</t>
  </si>
  <si>
    <t>SQ1-PDQ-1L-3L  （共用）</t>
  </si>
  <si>
    <r>
      <rPr>
        <b/>
        <sz val="14"/>
        <rFont val="宋体"/>
        <charset val="0"/>
        <scheme val="minor"/>
      </rPr>
      <t xml:space="preserve">PDQ   </t>
    </r>
    <r>
      <rPr>
        <b/>
        <sz val="14"/>
        <color rgb="FFFF0000"/>
        <rFont val="宋体"/>
        <charset val="0"/>
        <scheme val="minor"/>
      </rPr>
      <t>TQ1-1L</t>
    </r>
  </si>
  <si>
    <t>PDQ   TQ1-3L</t>
  </si>
  <si>
    <r>
      <rPr>
        <b/>
        <sz val="14"/>
        <rFont val="宋体"/>
        <charset val="0"/>
        <scheme val="minor"/>
      </rPr>
      <t xml:space="preserve">PDQ   TQ1-1L-3L      </t>
    </r>
    <r>
      <rPr>
        <b/>
        <sz val="14"/>
        <color rgb="FFFF0000"/>
        <rFont val="宋体"/>
        <charset val="0"/>
        <scheme val="minor"/>
      </rPr>
      <t>B版本   (通用）</t>
    </r>
  </si>
  <si>
    <r>
      <rPr>
        <b/>
        <sz val="14"/>
        <rFont val="宋体"/>
        <charset val="0"/>
        <scheme val="minor"/>
      </rPr>
      <t xml:space="preserve">PDQ   </t>
    </r>
    <r>
      <rPr>
        <b/>
        <sz val="14"/>
        <color rgb="FFFF0000"/>
        <rFont val="宋体"/>
        <charset val="0"/>
        <scheme val="minor"/>
      </rPr>
      <t>TQ2-WM单</t>
    </r>
  </si>
  <si>
    <r>
      <rPr>
        <b/>
        <sz val="14"/>
        <rFont val="宋体"/>
        <charset val="0"/>
        <scheme val="minor"/>
      </rPr>
      <t xml:space="preserve">PDQ   </t>
    </r>
    <r>
      <rPr>
        <b/>
        <sz val="14"/>
        <color rgb="FFFF0000"/>
        <rFont val="宋体"/>
        <charset val="0"/>
        <scheme val="minor"/>
      </rPr>
      <t>TQ3-WM莫里森-A版本</t>
    </r>
  </si>
  <si>
    <r>
      <rPr>
        <b/>
        <sz val="14"/>
        <rFont val="宋体"/>
        <charset val="0"/>
        <scheme val="minor"/>
      </rPr>
      <t xml:space="preserve">PDQ   </t>
    </r>
    <r>
      <rPr>
        <b/>
        <sz val="14"/>
        <color rgb="FFFF0000"/>
        <rFont val="宋体"/>
        <charset val="0"/>
        <scheme val="minor"/>
      </rPr>
      <t>TQ3-WM莫里森-B版本</t>
    </r>
  </si>
  <si>
    <r>
      <rPr>
        <b/>
        <sz val="14"/>
        <rFont val="宋体"/>
        <charset val="0"/>
        <scheme val="minor"/>
      </rPr>
      <t xml:space="preserve">PDQ   </t>
    </r>
    <r>
      <rPr>
        <b/>
        <sz val="14"/>
        <color rgb="FFFF0000"/>
        <rFont val="宋体"/>
        <charset val="0"/>
        <scheme val="minor"/>
      </rPr>
      <t>TQ5-1L</t>
    </r>
  </si>
  <si>
    <r>
      <rPr>
        <b/>
        <sz val="14"/>
        <rFont val="宋体"/>
        <charset val="0"/>
        <scheme val="minor"/>
      </rPr>
      <t xml:space="preserve">PDQ   </t>
    </r>
    <r>
      <rPr>
        <b/>
        <sz val="14"/>
        <color rgb="FFFF0000"/>
        <rFont val="宋体"/>
        <charset val="0"/>
        <scheme val="minor"/>
      </rPr>
      <t>TQ5-WMCA-2L</t>
    </r>
  </si>
  <si>
    <t>F  展示架  1L</t>
  </si>
  <si>
    <t>客办展示架</t>
  </si>
  <si>
    <t>布偶猫/Ragdoll cat</t>
  </si>
  <si>
    <r>
      <rPr>
        <b/>
        <sz val="14"/>
        <rFont val="宋体"/>
        <charset val="0"/>
        <scheme val="minor"/>
      </rPr>
      <t>美国猫/American Cat(</t>
    </r>
    <r>
      <rPr>
        <b/>
        <sz val="14"/>
        <color rgb="FFFF0000"/>
        <rFont val="宋体"/>
        <charset val="0"/>
        <scheme val="minor"/>
      </rPr>
      <t>A</t>
    </r>
    <r>
      <rPr>
        <b/>
        <sz val="14"/>
        <rFont val="宋体"/>
        <charset val="0"/>
        <scheme val="minor"/>
      </rPr>
      <t>)</t>
    </r>
  </si>
  <si>
    <r>
      <rPr>
        <b/>
        <sz val="14"/>
        <rFont val="宋体"/>
        <charset val="0"/>
        <scheme val="minor"/>
      </rPr>
      <t>孟加拉猫/Bengal cat（</t>
    </r>
    <r>
      <rPr>
        <b/>
        <sz val="14"/>
        <color rgb="FFFF0000"/>
        <rFont val="宋体"/>
        <charset val="0"/>
        <scheme val="minor"/>
      </rPr>
      <t>E</t>
    </r>
    <r>
      <rPr>
        <b/>
        <sz val="14"/>
        <rFont val="宋体"/>
        <charset val="0"/>
        <scheme val="minor"/>
      </rPr>
      <t>)</t>
    </r>
  </si>
  <si>
    <r>
      <rPr>
        <b/>
        <sz val="14"/>
        <rFont val="宋体"/>
        <charset val="134"/>
        <scheme val="minor"/>
      </rPr>
      <t>加菲猫EXOTIC  CAT(</t>
    </r>
    <r>
      <rPr>
        <b/>
        <sz val="14"/>
        <color rgb="FFFF0000"/>
        <rFont val="宋体"/>
        <charset val="134"/>
        <scheme val="minor"/>
      </rPr>
      <t>G</t>
    </r>
    <r>
      <rPr>
        <b/>
        <sz val="14"/>
        <rFont val="宋体"/>
        <charset val="134"/>
        <scheme val="minor"/>
      </rPr>
      <t>)</t>
    </r>
  </si>
  <si>
    <r>
      <rPr>
        <b/>
        <sz val="14"/>
        <rFont val="宋体"/>
        <charset val="0"/>
        <scheme val="minor"/>
      </rPr>
      <t>花斑猫CALICO  CAT(</t>
    </r>
    <r>
      <rPr>
        <b/>
        <sz val="14"/>
        <color rgb="FFFF0000"/>
        <rFont val="宋体"/>
        <charset val="0"/>
        <scheme val="minor"/>
      </rPr>
      <t>B</t>
    </r>
    <r>
      <rPr>
        <b/>
        <sz val="14"/>
        <rFont val="宋体"/>
        <charset val="0"/>
        <scheme val="minor"/>
      </rPr>
      <t>)</t>
    </r>
  </si>
  <si>
    <r>
      <rPr>
        <b/>
        <sz val="14"/>
        <rFont val="宋体"/>
        <charset val="134"/>
        <scheme val="minor"/>
      </rPr>
      <t>黑猫BLKCK  CAT(</t>
    </r>
    <r>
      <rPr>
        <b/>
        <sz val="14"/>
        <color rgb="FFFF0000"/>
        <rFont val="宋体"/>
        <charset val="134"/>
        <scheme val="minor"/>
      </rPr>
      <t>D</t>
    </r>
    <r>
      <rPr>
        <b/>
        <sz val="14"/>
        <rFont val="宋体"/>
        <charset val="134"/>
        <scheme val="minor"/>
      </rPr>
      <t>)</t>
    </r>
  </si>
  <si>
    <r>
      <rPr>
        <b/>
        <sz val="14"/>
        <rFont val="宋体"/>
        <charset val="134"/>
        <scheme val="minor"/>
      </rPr>
      <t>粉色猫/Chinchilla cat(</t>
    </r>
    <r>
      <rPr>
        <b/>
        <sz val="14"/>
        <color rgb="FFFF0000"/>
        <rFont val="宋体"/>
        <charset val="134"/>
        <scheme val="minor"/>
      </rPr>
      <t>H</t>
    </r>
    <r>
      <rPr>
        <b/>
        <sz val="14"/>
        <rFont val="宋体"/>
        <charset val="134"/>
        <scheme val="minor"/>
      </rPr>
      <t>)</t>
    </r>
  </si>
  <si>
    <t>客户回复最晚货期</t>
  </si>
  <si>
    <t>测试口水胶问题批次</t>
  </si>
  <si>
    <t>系统出单</t>
  </si>
  <si>
    <t>贴纸情况</t>
  </si>
  <si>
    <t>ZURU</t>
  </si>
  <si>
    <t>库有</t>
  </si>
  <si>
    <t>ZMPO24455</t>
  </si>
  <si>
    <t>过渡</t>
  </si>
  <si>
    <t>9279SQ1-S001</t>
  </si>
  <si>
    <t>猫蛋二代</t>
  </si>
  <si>
    <t>50个空PDQ</t>
  </si>
  <si>
    <t>大货最新版本/可打平包;备注： 收到样品订单后尽快安排 ，注意样板品质质量要求要高于大货品质要求 ，送货时必须要附带送货单(没有送货单和QC检验合格报告的仓库一律拒绝收货)，请知悉，谢谢！</t>
  </si>
  <si>
    <t>TESCO CE</t>
  </si>
  <si>
    <t>MPO02973</t>
  </si>
  <si>
    <t>9279-S001</t>
  </si>
  <si>
    <t>12/6送外厂</t>
  </si>
  <si>
    <t>周转箱</t>
  </si>
  <si>
    <t>10/30收到CZ/HU/PL/SK警语贴纸</t>
  </si>
  <si>
    <t>Remark: 1. 此单出EU，需满足EU测试标准要求，不含微塑料。
2. 产品及包装需要印UKCA图标，包装需要有ZURU UK LTD/ZURU France地址信息，QC同事请核查，如有问题与跟单确认。
3.可用空白周转箱
4. 如含硼的话， 需用低硼版本(小于300ppm),硼含量需要符合欧洲标准,否则客人会退货有罚款产生
5. 子件送泰亨组装
9279：最新版MA 1L UPC收缩膜+一张CZ/HU/PL/SK警语贴纸</t>
  </si>
  <si>
    <t>Eddie Huang</t>
  </si>
  <si>
    <t>94204-2.10</t>
  </si>
  <si>
    <t>ARGOS LIMITED</t>
  </si>
  <si>
    <t>英国</t>
  </si>
  <si>
    <t>PO#361490-SKU
#2259433</t>
  </si>
  <si>
    <t>4500149875-10</t>
  </si>
  <si>
    <t>12/18出</t>
  </si>
  <si>
    <t>11/5收到</t>
  </si>
  <si>
    <t>11/6收到客人白色Cat.label</t>
  </si>
  <si>
    <t>日期码格式：ZURU INC(BVI) 标准格式 日期：按实际生产日期
Packaging Info: -MA -1L 包装+客人白色Cat.label 1张覆盖ZURU条码
-注意Cat.label (要求易撕类贴纸，但是粘性不能过低），同时此贴纸每个订单都是不相同的(会显示客户对应的订单号），切勿翻旧订单购买，该贴纸由工厂自行
购买。
-订单对应客户2个PO号 ，备注有显示 ，注意分开做货/验货/装柜 ，混装有罚款。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*所有产品按符合欧洲标准走货，需要是不含微塑料版本 。
*涉及到硼的，请使用低硼版本
*客户不接受PVC材质包装</t>
  </si>
  <si>
    <t>Zoe Chen</t>
  </si>
  <si>
    <t>88854-1.3</t>
  </si>
  <si>
    <t>Inventive Toys</t>
  </si>
  <si>
    <t>俄罗斯联邦</t>
  </si>
  <si>
    <t>4500150797-30</t>
  </si>
  <si>
    <t>11/26收到</t>
  </si>
  <si>
    <t>12/9-进口商贴纸+ EAN 条码贴纸</t>
  </si>
  <si>
    <t>外包装/外箱不要打ZURU标准日期码</t>
  </si>
  <si>
    <t>日期码格式：外包装/外箱不要打ZURU标准日期码 日期：
Packaging Info: 注意 ：外包装 (指: 收缩膜/彩卡/铝箔袋/挂卡/PDQ) /外箱不要打ZURU标准日期码！胶件可以打日期码。
外包装（包括收缩膜/彩卡/PDQ）都不能含Instagram and facebook logo等社交logo;
1L MA 收缩膜+ 进口商贴纸； MA PDQ+ EAN 条码贴纸 ， MA 指南/说明书（如有）
Remark: 标准配比 ；</t>
  </si>
  <si>
    <t>Ann Zhang</t>
  </si>
  <si>
    <t>94064-1.16</t>
  </si>
  <si>
    <t>4500150797-80</t>
  </si>
  <si>
    <t>9279SQ1-S001-1L</t>
  </si>
  <si>
    <t>AMAZON.COM.DEDC,LLC</t>
  </si>
  <si>
    <t>647ZE1UJ</t>
  </si>
  <si>
    <t>4500150761-70</t>
  </si>
  <si>
    <t>9279G-S001</t>
  </si>
  <si>
    <t>11/8收到</t>
  </si>
  <si>
    <t>UPC贴纸翻4500097545</t>
  </si>
  <si>
    <t>12/2-外箱贴纸</t>
  </si>
  <si>
    <t>日期码格式：ZURU INC(BVI) 标准格式 日期：按实际生产日期
Packaging Info:
#9279：MA 1L 加UPC贴纸, UPC贴纸图稿跟返单4500097545.9279G: 193052054753.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</si>
  <si>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Kelly Shen</t>
  </si>
  <si>
    <t>88846-1.2</t>
  </si>
  <si>
    <t>AMAZON UK</t>
  </si>
  <si>
    <t>Amazon UK:
5J18RF7X</t>
  </si>
  <si>
    <t>4500149496-10</t>
  </si>
  <si>
    <t>9279H-S001-3L</t>
  </si>
  <si>
    <t>9279H-S001</t>
  </si>
  <si>
    <t>空白外箱（加印带Zuru字样的最新logo，除了邮包盒直接做外箱的产品） + SSCC LABEL一张, 无箱唛。MADE IN CHINA 外箱只印一正一侧</t>
  </si>
  <si>
    <t>UPC#+IT sorting label翻4500124528+ES回收标翻单4500149035</t>
  </si>
  <si>
    <t>11/29-外箱贴纸</t>
  </si>
  <si>
    <t>日期码格式：ZURU INC(BVI) 标准格式 日期：按实际生产日期
Packaging Info: Amazon UK(9279H, 9283B, 9281A, 9298B, 71109B)
1. 9279H：9279H 12pcs/ctn, no inner,CHINCHILLA CAT; CTN Loading: 4W*3D=12pcs/CTN; MA 3L(23L warning)B收缩膜+ 2张贴纸(1张UPC#+IT sorting label
&lt;(&gt;,&lt;)&gt;参考翻单PO#4500124528；1张ES回收标，参考翻单PO#4500149035)+MA 最新版布标+MA 5L(23L warning) C收藏指南+其他MA最新版包装；
6. 最迟验货不得晚于2024/12/26;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</si>
  <si>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Crystal Chen</t>
  </si>
  <si>
    <t>88934-1.8</t>
  </si>
  <si>
    <t>Marshalls
DC#881-384PCS
,
DC#884-288PCS
,
DC#886-408PCS
,
DC#887-360PCS
,
DC#888-360PCS</t>
  </si>
  <si>
    <t>4500152570-30</t>
  </si>
  <si>
    <t>11/27收到</t>
  </si>
  <si>
    <t>12/6-价格贴纸</t>
  </si>
  <si>
    <t>94168-1.23</t>
  </si>
  <si>
    <t>DD’S DISCOUNTS</t>
  </si>
  <si>
    <t>4500150187-20</t>
  </si>
  <si>
    <t>1/7出</t>
  </si>
  <si>
    <t>ROSS指定箱唛格式</t>
  </si>
  <si>
    <t>11/20-客供价格贴纸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</si>
  <si>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t>
  </si>
  <si>
    <t>Taylor Liao</t>
  </si>
  <si>
    <t>88917-1.7</t>
  </si>
  <si>
    <t>CMS FAMOUS TOYS</t>
  </si>
  <si>
    <t>加拿大</t>
  </si>
  <si>
    <t>PO0000475</t>
  </si>
  <si>
    <t>4500151018-10</t>
  </si>
  <si>
    <t>9279SQ1-S002-NB</t>
  </si>
  <si>
    <t>猫蛋二代（无闪粉)</t>
  </si>
  <si>
    <t>收到SO</t>
  </si>
  <si>
    <t>11/25收到</t>
  </si>
  <si>
    <t>11/19收到进口商贴纸</t>
  </si>
  <si>
    <t>日期码格式： 标准格式 日期：按实际生产日期
Packaging Info:9279SQ1 MA 3L UPC包装 ,无硼版本。UPC号码193052050014
Remark: 出加拿大
每款产品都需要加进口商贴纸
Zuru验货.日期跟踪码：产品外包装及产品本身都必须有日期跟踪码，ZURU标准格式日期码</t>
  </si>
  <si>
    <t>Summer Mo</t>
  </si>
  <si>
    <t>88842-1.2</t>
  </si>
  <si>
    <t>ROSS PROCUREMENT.INC</t>
  </si>
  <si>
    <t>4500147716-80</t>
  </si>
  <si>
    <t>92114-S001</t>
  </si>
  <si>
    <t>猫蛋二代(9279+9269)组装</t>
  </si>
  <si>
    <t>指定箱唛格式</t>
  </si>
  <si>
    <t>DG20241120</t>
  </si>
  <si>
    <t>日期码格式：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t>
  </si>
  <si>
    <t>Sophia Zhou</t>
  </si>
  <si>
    <t>88881-1.6</t>
  </si>
  <si>
    <t>已入</t>
  </si>
  <si>
    <t>ALDI UK</t>
  </si>
  <si>
    <t>4500149353-10</t>
  </si>
  <si>
    <t>MFD154-S001</t>
  </si>
  <si>
    <t>1/8 第三方</t>
  </si>
  <si>
    <t>11/15收到</t>
  </si>
  <si>
    <t>UPC条码翻4500117789</t>
  </si>
  <si>
    <t>日期码格式：ZURU INC(BVI) 标准格式 日期：按实际生产日期
Packaging Info: 1.MFD154: 客版展示架
9269 Puppycorn 3W*3D*1H=9pcs ratio ：Husky：Dalmatian：Labrador：Chihuahua=1：1：1：1
9279 Kittycorn 3W*3D*2H=18pcs ratio ：同MA
7456 Mini Ice Age 3W*3D*1H=9pcs ratio ：同MA
74107 Mini Jurassic 3W*3D*1H=9pcs ratio ：同MA
Total: 45pcs/FSDU
请务必按照上面列出的配比装箱，否则第三方验货会不合格不能安排出货；
2. 子件7456 和 74107 :泰亨客供带包装成品给兴信组装，子件9269: 华康客供带包装成品给兴信组装，由ZURU DCP下单给泰亨/华康，预计12月16日送货到兴信厂
；
包装版本:
兴信子件①：9279 MA 1L B版收缩膜+一张符合客户要求的UPC条码(UPC#193052050014)贴在原条码上（原条码请打叉）+MA 收藏指南5L C版+MA B版布标+MA 5L C版
poop polybag, 贴纸翻PO#4500117789
华康子件②：9269 MA 1L 无闪粉版收缩膜+一张符合客户要求的UPC条码(UPC#193052043252)贴在原条码上（原条码请打叉）+MA 收藏指南5L B版+MA B版布标+MA 5L
B版 poop polybag
泰亨子件③：7456 MA 1L C版收缩膜+ 一张符合客户要求的UPC条码(UPC#193052018083)贴在原条码上（原条码请打叉）+MA收藏指南D 5L版+MA 说明书 C 版本, 贴
纸翻PO#4500117789
泰亨子件④：74107 MA 1L B版收缩膜+一张符合客户要求的UPC条码(UPC#193052051363)贴在原条码上（原条码请打叉）+MA 说明书 B 版本+MA B bag, 贴纸翻PO#45
00117789
Remark: 1.展示架需要加塑料托盘出货，托盘尺寸600*400*120mm；
2.每座展示架一共需要5个价格牌贴在展示架上；
3.第三方验货时间: 12/31日，请多备料；
4.请在10/29日寄1套带包装的产前样板+1套完整assortment的散配件装在袋子里面，给客人审批了才能做大货，包装版本需要同大货一致，请按时寄出；
5.请在11/11提供一箱完整的展示架大货样给我们寄给英国，装在UK订单箱唛的箱子上，外面还需要另外再套一个箱子保护这箱大货样；
6.请在11/4提供1个空展示架+各5套带包装的样板+5整套所有assortment公仔，每一套assortment装在一个袋子中给客人审批了才能安排验货，所有样板需要同大货
一致，否则第三方验货会不合格，请务必按时寄出所有样板；
所有样板需要同大货一致，否则第三方验货会不合格，请务必按时寄出所有样板；
7.上下工字型封箱
8.整柜需要加白色安全网，具体数量以船务通知为准，一般会提前一个月通知，需要一并提供装柜图片给客人参考；
9.Stick a completed "Container Loading Plan form" at the container door（船务需要提醒装柜人员需要在柜门出贴一张container loading plan form)
10.产品及包装需要印UKCA图标，包装需要有ZURU UK LTD/ZURU France地址信息，QC同事请核查，如有问题与跟单确认。
11.需要符合欧洲标准不能含有闪粉和微塑料，否则不符合法规会有客诉产生
12.行项目10出英国，行项目20出爱尔兰，两者的箱唛不一样请不要混淆</t>
  </si>
  <si>
    <t>Sheba Ye</t>
  </si>
  <si>
    <t>94037-1.15</t>
  </si>
  <si>
    <t>4500149354-10</t>
  </si>
  <si>
    <t>1/13出</t>
  </si>
  <si>
    <t>日期码格式：ZURU INC(BVI) 标准格式 日期：按实际生产日期
Packaging Info: 1.MFD154: 客版展示架
9269 Puppycorn 3W*3D*1H=9pcs ratio ：Husky：Dalmatian：Labrador：Chihuahua=1：1：1：1
9279 Kittycorn 3W*3D*2H=18pcs ratio ：同MA
7456 Mini Ice Age 3W*3D*1H=9pcs ratio ：同MA
74107 Mini Jurassic 3W*3D*1H=9pcs ratio ：同MA
Total: 45pcs/FSDU
请务必按照上面列出的配比装箱，否则第三方验货会不合格不能安排出货；
2. 子件7456 和 74107 :泰亨客供带包装成品给兴信组装，子件9269: 华康客供带包装成品给兴信组装，由ZURU DCP下单给泰亨/华康，预计12月16日送货到兴信厂
；
包装版本:
兴信子件①：9279 MA 1L B版收缩膜+一张符合客户要求的UPC条码(UPC#193052050014)贴在原条码上（原条码请打叉）+MA 收藏指南5L C版+MA B版布标+MA 5L C版
poop polybag, 贴纸翻PO#4500117789
华康子件②：9269 MA 1L 无闪粉版收缩膜+一张符合客户要求的UPC条码(UPC#193052043252)贴在原条码上（原条码请打叉）+MA 收藏指南5L B版+MA B版布标+MA 5L
B版 poop polybag
泰亨子件③：7456 MA 1L C版收缩膜+ 一张符合客户要求的UPC条码(UPC#193052018083)贴在原条码上（原条码请打叉）+MA收藏指南D 5L版+MA 说明书 C 版本, 贴
纸翻PO#4500117789
泰亨子件④：74107 MA 1L B版收缩膜+一张符合客户要求的UPC条码(UPC#193052051363)贴在原条码上（原条码请打叉）+MA 说明书 B 版本+MA B bag, 贴纸翻PO#45
00117789
Remark: 1.展示架需要加塑料托盘出货，托盘尺寸600*400*120mm；
2.每座展示架一共需要5个价格牌贴在展示架上；
3.第三方验货时间: 12/31日，请多备料；
4.请在10/29日寄1套带包装的产前样板+1套完整assortment的散配件装在袋子里面，给客人审批了才能做大货，包装版本需要同大货一致，请按时寄出；
5.请在11/11提供一箱完整的展示架大货样给我们寄给英国，装在UK订单箱唛的箱子上，外面还需要另外再套一个箱子保护这箱大货样；
6.请在11/4提供1个空展示架+各5套带包装的样板+5整套所有assortment公仔，每一套assortment装在一个袋子中给客人审批了才能安排验货，所有样板需要同大货
一致，否则第三方验货会不合格，请务必按时寄出所有样板；
所有样板需要同大货一致，否则第三方验货会不合格，请务必按时寄出所有样板；
7.上下工字型封箱
8.整柜需要加白色安全网，具体数量以船务通知为准，一般会提前一个月通知，需要一并提供装柜图片给客人参考；
9.Stick a completed "Container Loading Plan form" at the container door（船务需要提醒装柜人员需要在柜门出贴一张container loading plan form)
10.产品及包装需要印UKCA图标，包装需要有ZURU UK LTD/ZURU France地址信息，QC同事请核查，如有问题与跟单确认。
11.需要符合欧洲标准不能含有闪粉和微塑料，否则不符合法规会有客诉产生
12.出爱尔兰，两者的箱唛不一样请不要混淆</t>
  </si>
  <si>
    <t>94004-1.13</t>
  </si>
  <si>
    <t>4500147792-50</t>
  </si>
  <si>
    <t>12/6-客供价格贴纸</t>
  </si>
  <si>
    <t>日期码格式：ZURU INC(BVI) 标准格式 日期：按实际生产日期
Packaging Info: MA UPC包装+价格贴纸，价格贴纸客供。
#92114 是combo pack, 混装了 9269（华康生产）+9279（兴信生产），在兴信组装 。
Remark: 1. 产品和包装上印刷tracking code信息，格式为ZURU常规格式。
2. 分5个DC出货，每款产品每个DC的箱唛资料不同。具体分DC数量，请参考后面行项目备注。
3. ZURU QC验货。</t>
  </si>
  <si>
    <t>Marshalls
DC#881-120PCS
,
DC#884-96PCS,
DC#886-132PCS
,
DC#887-120PCS
,
DC#888-132PCS</t>
  </si>
  <si>
    <t>4500147793-60</t>
  </si>
  <si>
    <t>TJ MAXX
DC#891-156PCS
,
DC#894-132PCS
,
DC#896-132PCS
,
DC#897-252PCS
,
DC#898-132PCS</t>
  </si>
  <si>
    <t>4500147795-50</t>
  </si>
  <si>
    <t>4500147796-60</t>
  </si>
  <si>
    <t>I-VISION TOYS.INC</t>
  </si>
  <si>
    <t>韩国</t>
  </si>
  <si>
    <t>IVI-1114EK</t>
  </si>
  <si>
    <t>4500152350-10</t>
  </si>
  <si>
    <t>9279SQ1-S001-1L-NB-1</t>
  </si>
  <si>
    <t>9279SQ1-S001-NB</t>
  </si>
  <si>
    <t>箱唛翻单4500144362</t>
  </si>
  <si>
    <t>11/26-韩语贴纸（新稿） + 蛋壳底部彩色圆贴翻4500121660</t>
  </si>
  <si>
    <t>客版收藏指南（翻单4500144362）</t>
  </si>
  <si>
    <t>日期码格式：ZURU INC(BVI) 标准格式 日期：按实际生产日期 Tracking Code:
Packaging Info: （1）9279SQ1的口水胶必须出无硼，无MIT 版本。产品需符合韩国KC测试标准。
 （2）9279SQ1: MA PKG(优先1L）+1张韩语贴纸（新稿） + 蛋壳底部按客户要求需加1张彩色圆贴（翻单4500121660），箱唛翻单4500144362；客版收藏指南（翻单4
 500144362）
Remark: 由于韩国法律法规要求，吸塑需PET材质，产品需符合韩国KC测试标准。
 9279SQ1:9279SQ1的口水胶必须出无硼，无MIT 版本</t>
  </si>
  <si>
    <t>Doris Shou</t>
  </si>
  <si>
    <t>88826-1.2</t>
  </si>
  <si>
    <t>4500147798-50</t>
  </si>
  <si>
    <t>4500147794-50</t>
  </si>
  <si>
    <t>Ansaldo Chile</t>
  </si>
  <si>
    <t>智利</t>
  </si>
  <si>
    <t>4500146540-10</t>
  </si>
  <si>
    <t>1/10出</t>
  </si>
  <si>
    <t>10/15收到</t>
  </si>
  <si>
    <t>进口商贴纸翻PO4500146361</t>
  </si>
  <si>
    <t>日期码格式：ZURU INC(BVI) 标准格式 日期：按实际生产日期
Packaging Info: 9279SQ1:MA 3L UPC包装+进口商贴纸+箱唛,进口商贴纸翻单PO4500146361
Remark:</t>
  </si>
  <si>
    <t>Ava Liang</t>
  </si>
  <si>
    <t>88980-1.10</t>
  </si>
  <si>
    <t>TJX UK</t>
  </si>
  <si>
    <t>TJX UK:
PO#50343392</t>
  </si>
  <si>
    <t>4500152937-70</t>
  </si>
  <si>
    <t>9279-S001-3L</t>
  </si>
  <si>
    <t>12/5收到</t>
  </si>
  <si>
    <t>日期码格式：ZURU INC(BVI) 标准格式 日期：按实际生产日期 
Packaging Info: TJX UK: PO#50343294(9283) &lt;(&gt;&amp;&lt;)&gt; PO#50343296(9258) &lt;(&gt;&amp;&lt;)&gt; PO#50343296(9281) &lt;(&gt;&amp;&lt;)&gt; PO#50343305(9298) &lt;(&gt;&amp;&lt;)&gt; PO#50343349(7132) &lt;(&gt;&amp;&lt;)&gt; PO#503
 43349(92107) &lt;(&gt;&amp;&lt;)&gt; PO#50343392(9279) &lt;(&gt;&amp;&lt;)&gt; PO#50343399(9279)
 7) 9279: MA 3L(23Lwarning) B版收缩膜+其他最新MA配套包装+1张客供价格贴纸
 8) 最迟验货时间不得晚于1/4
Remark: 1. 出往UK的产品+包装务必打上UKCA logo ，否则客人会退货且当地会有罚款；
 2. 订单必须经过ZURU QC验货并且通过后方可出货；
 3. 订单每行对应客人不同的PO， 箱唛也有不同，做货的时候请分开堆放；
 4. 订单每行对应客人不同的PO，即同款item的价格贴纸都不相同，请注意收到贴纸后不要弄混!（客人PO号请参考PO最后一栏remark）；
 5. 价格贴纸位置为产品正面右上角，不能遮住产品信息，大货生产前，请把贴纸位置先发给跟单确认
 6. 涉及到相关款式会有闪粉的或
者微塑料的，请统一默认出无闪粉或者不含微塑料
 版本;
 7. 外箱封箱必须是工字型封箱方式；</t>
  </si>
  <si>
    <t>88937-1.8</t>
  </si>
  <si>
    <t>TJX UK:
PO#50343399</t>
  </si>
  <si>
    <t>4500152937-80</t>
  </si>
  <si>
    <t>TJX UK c/o TJX Distribution Ltd &amp; C</t>
  </si>
  <si>
    <t>德国</t>
  </si>
  <si>
    <t>TJX
Europe(DE):
PO#55343844</t>
  </si>
  <si>
    <t>4500152906-100</t>
  </si>
  <si>
    <t>日期码格式：ZURU INC(BVI) 标准格式 日期：按实际生产日期
Packaging Info: TJX Europe(DE): PO#55343895(9283) &lt;(&gt;&amp;&lt;)&gt; PO#55343898(9258) &lt;(&gt;&amp;&lt;)&gt; PO#55343898(9281) &lt;(&gt;&amp;&lt;)&gt; PO#55343901(9281) &lt;(&gt;&amp;&lt;)&gt; PO#55343906(9298) &lt;(&gt;&amp;
&lt;)&gt; PO#55343909(9298) &lt;(&gt;&amp;&lt;)&gt; PO#55343918(7132) &lt;(&gt;&amp;&lt;)&gt; PO#55343920(7132) &lt;(&gt;&amp;&lt;)&gt; PO#55343920(92107) &lt;(&gt;&amp;&lt;)&gt; PO#55343844(9279) &lt;(&gt;&amp;&lt;)&gt; PO#553438
77(9279)
7) 9279：MA 3L(23Lwarning) B版收缩膜+其他最新MA配套包装+1张客供价格贴纸
8) 最迟验货时间不得晚于1/4
Remark: 1. 出往UK的产品+包装务必打上UKCA logo ，否则客人会退货且当地会有罚款；
2.订单必须经过ZURU QC验货并且通过后方可出货；
3. 订单每行对应客人不同的PO， 箱唛也有不同，做货的时候请分开堆放；
4. 订单每行对应客人不同的PO，即同款item的价格贴纸都不相同，请注意收到贴纸后不要弄混!（客人PO号请参考PO最后一栏remark）；
5. 价格贴纸位置为产品正面右上角，不能遮住产品信息，大货生产前，请把贴纸位置先发给跟单确认
6. 涉及到相关款式会有闪粉的或者微塑料的，请统一默认出无闪粉或者不含微塑料版本;
7. 外箱封箱必须是工字型封箱方式；</t>
  </si>
  <si>
    <t>88936-1.8</t>
  </si>
  <si>
    <t>TJX
Europe(DE):
PO#55343877</t>
  </si>
  <si>
    <t>4500152906-110</t>
  </si>
  <si>
    <t>4500152574-30</t>
  </si>
  <si>
    <t>94167-1.23</t>
  </si>
  <si>
    <t>4500152572-20</t>
  </si>
  <si>
    <t>94165-1.23</t>
  </si>
  <si>
    <t>TJ MAXX
DC#891-408PCS
,
DC#894-336PCS
,
DC#896-312PCS
,
DC#897-624PCS
,
DC#898-312PCS</t>
  </si>
  <si>
    <t>4500152573-20</t>
  </si>
  <si>
    <t>94173-1.23</t>
  </si>
  <si>
    <t>4500152575-30</t>
  </si>
  <si>
    <t>94172-1.23</t>
  </si>
  <si>
    <t>«Market Group» LLC</t>
  </si>
  <si>
    <t>4500152880-20</t>
  </si>
  <si>
    <t>11/29收到</t>
  </si>
  <si>
    <t>12/6-进口商贴纸+ EAN条码贴纸</t>
  </si>
  <si>
    <t>日期码格式：ZURU INC(BVI) 标准格式 日期：按实际生产日期
Packaging Info: 1.9279SQ1 : 1L MA 收缩膜 or 彩卡 + 进口商贴纸+ EAN条码贴纸，MA 指南 /说明书/PDQ 如有;
2. 货期不能延后，客人有罚金。
3. 需要安排3套大货样，请多备料。
Remark: 标准配比</t>
  </si>
  <si>
    <t>88935-1.8</t>
  </si>
  <si>
    <t>BURLINGTON COAT FACTORY</t>
  </si>
  <si>
    <t>客户PO#383017
502</t>
  </si>
  <si>
    <t>4500151472-10</t>
  </si>
  <si>
    <t>9279-S004</t>
  </si>
  <si>
    <t>11/18收到</t>
  </si>
  <si>
    <t>12/13-客供价格贴纸+12/12-外箱贴纸</t>
  </si>
  <si>
    <t>日期码格式：ZURU INC(BVI) 标准格式 日期：按实际生产日期
Packaging Info: 1，ZURU MA （首选1L）UPC版本+客供价格贴纸+外箱贴纸，出口美国
有PVC桶的价格贴纸贴在PVC桶上面
Remark: 2，产品和包装上印刷ZURU 标准日期码；
3，纸箱中间靠上沿印刷ZURU LOGO，见箱唛资料
4、外箱UCC 条码贴纸，尺寸: 4*6inch，贴在其中一面正唛右下角，贴纸距离外箱底部3.5cm, 侧边距离3.5cm。外箱贴纸由跟单提供电子版, 工厂自行安排，不可用
封箱胶覆盖贴纸条码，贴纸需要可以扫描且无损坏.
5，每个产品有一个价格贴纸， 价格贴纸覆盖UPC条码上 （若UPC 条码太大，可以露出ITEM#, 覆盖条码即可），若价格贴纸覆盖UPC 会挡住文字/图案，在产品背面
找空白处粘贴价格贴纸即可。贴的时候要是会覆盖包装上重要的信息和图案，需要告知跟单。</t>
  </si>
  <si>
    <t>Jessi Xu</t>
  </si>
  <si>
    <t>88988-1.11</t>
  </si>
  <si>
    <t>客户PO#383019
402</t>
  </si>
  <si>
    <t>4500151472-60</t>
  </si>
  <si>
    <t>88981-1.10</t>
  </si>
  <si>
    <t>KMART AUSTRALIA LTD</t>
  </si>
  <si>
    <t>澳大利亚</t>
  </si>
  <si>
    <t>4500152292-30</t>
  </si>
  <si>
    <t>9279SQ1-S002</t>
  </si>
  <si>
    <t>1/8-1/10出</t>
  </si>
  <si>
    <t>12/3收到</t>
  </si>
  <si>
    <t>12/13-防盗贴纸+12/16-外箱贴纸</t>
  </si>
  <si>
    <t>日期码格式：ZURU INC(BVI) 标准格式 日期：按实际生产日期 Tracking Code:
Packaging Info: 
 9279SQ1: MA英语UPC版本包装（收缩膜和说明书, MA首选1L，如无1L可用多语且含英语的配套多语包装) + 1张防盗贴纸 (贴纸以及位置图翻单PO#4500095104）+ 箱
 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</si>
  <si>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Lydia Wu</t>
  </si>
  <si>
    <t>88993-1.11</t>
  </si>
  <si>
    <t>SUCKOT SAC</t>
  </si>
  <si>
    <t>秘鲁</t>
  </si>
  <si>
    <t>4500152261-10</t>
  </si>
  <si>
    <t>1/6出</t>
  </si>
  <si>
    <t>12/19-进口商贴纸</t>
  </si>
  <si>
    <t>日期码格式：ZURU INC(BVI) 标准格式 日期：按实际生产日期
Packaging Info: 9279SQ1：MA 3L UPC包装+MA PDQ包装+MA 多语收藏指南+进口商贴纸+箱唛
Remark: 9279SQ1: 7 assortment (6 common + 1 rare); RAGDOLL CA (RARE): AMERICAN SHORTHAIR: CALICO CAT: BLACK CAT: BENGAL CAT: EXOTIC CAT: CHINCHILLA CAT=
1:9:10:10:10: 10:10;
出货前要提供大货照片给客户确认后才能出货，请按期完货</t>
  </si>
  <si>
    <t>Zoe Luo</t>
  </si>
  <si>
    <t>88921-1.7</t>
  </si>
  <si>
    <t>MCD BRANDS SAS</t>
  </si>
  <si>
    <t>乌拉圭</t>
  </si>
  <si>
    <t>4500152326-10</t>
  </si>
  <si>
    <t>箱唛翻4500123283</t>
  </si>
  <si>
    <t>进口商贴纸/EAN贴纸翻4500123283</t>
  </si>
  <si>
    <t>日期码格式：ZURU INC(BVI) 标准格式 日期：按实际生产日期
Packaging Info:9279SQ1:MA 3L包装+进口商贴纸+箱唛 +EAN贴纸，进口商贴纸/箱唛/EAN贴纸翻单PO4500123283
Remark: 进口商贴纸请多备料5pcs,出货后需要寄给客户</t>
  </si>
  <si>
    <t>88941-1.8</t>
  </si>
  <si>
    <t>6O9PKONI</t>
  </si>
  <si>
    <t>4500152657-80</t>
  </si>
  <si>
    <t>12/20-外箱贴纸</t>
  </si>
  <si>
    <t>日期码格式： 标准格式 日期：按实际生产日期
Packaging Info: 
#9279：MA 1L 加UPC贴纸, UPC贴纸图稿跟返单4500097545.9279G: 193052054753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</si>
  <si>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94229-2.12</t>
  </si>
  <si>
    <t>2CNPFRXG</t>
  </si>
  <si>
    <t>4500152657-90</t>
  </si>
  <si>
    <t>日期码格式： 标准格式 日期：按实际生产日期 
Packaging Info: 
 #9279：MA 1L 加UPC贴纸, UPC贴纸图稿跟返单4500097545.9279H: 193052054760.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。如果贴错或损坏任何一张，都会导致全部都错，千万要注意！
 SSCC Label 必须贴在外箱正面的正中间位置（贴一面即可），并且贴纸离外箱边距必须至少3cm(可以覆盖Logo&lt;(&gt;&amp;&lt;)&gt;箱唛)，否则会影响到客户那边仓库的扫描识别。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</si>
  <si>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3RGN6C4F</t>
  </si>
  <si>
    <t>4500152379-280</t>
  </si>
  <si>
    <t>2/7出</t>
  </si>
  <si>
    <t>日期码格式： 标准格式 日期：按实际生产日期
Packaging Info:
#9279：MA 1L 加UPC贴纸, UPC贴纸图稿跟返单4500097545.9279G: 193052054753, 9279H: 193052054760.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</si>
  <si>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94201-2.10</t>
  </si>
  <si>
    <t>5VQT2Y9T</t>
  </si>
  <si>
    <t>4500152379-290</t>
  </si>
  <si>
    <t xml:space="preserve"> 
2PWSSCEK
</t>
  </si>
  <si>
    <t>4500152379-300</t>
  </si>
  <si>
    <t>5F9F42TO</t>
  </si>
  <si>
    <t>4500152379-310</t>
  </si>
  <si>
    <t>34MYNFWB</t>
  </si>
  <si>
    <t>4500152379-320</t>
  </si>
  <si>
    <t>3TBERFYU</t>
  </si>
  <si>
    <t>4500152379-330</t>
  </si>
  <si>
    <t>ATLAS AMBASSADOR</t>
  </si>
  <si>
    <t>摩洛哥</t>
  </si>
  <si>
    <t>4500152205-40</t>
  </si>
  <si>
    <t>1/15出</t>
  </si>
  <si>
    <t>12/11-进口商贴纸</t>
  </si>
  <si>
    <t>日期码格式：ZURU INC(BVI) 标准格式 日期：按实际生产日期
Packaging Info: 
 9279SQ1:1L MA收缩膜+进口商贴纸;MA指南;MA PDQ
 2.此客户需要进行COC认证，装柜前在主拼工厂会有第三方验货，每款item需备2pcs 验货备品。
Remark: 标准产品标准配比</t>
  </si>
  <si>
    <t>Lena Huang</t>
  </si>
  <si>
    <t>94106-1.18</t>
  </si>
  <si>
    <t>Ambiental Paraguay</t>
  </si>
  <si>
    <t>巴拉圭</t>
  </si>
  <si>
    <t>4500153347-30</t>
  </si>
  <si>
    <t>1/11出</t>
  </si>
  <si>
    <t>12/5-进口商贴纸</t>
  </si>
  <si>
    <t>日期码格式：ZURU INC(BVI) 标准格式 日期：按实际生产日期
Packaging Info:
9279SQ1:MA 1LUPC 包装+进口商贴纸+箱唛，进口商贴纸贴于位置"B"</t>
  </si>
  <si>
    <t>94049-1.15</t>
  </si>
  <si>
    <t>Prénatal Retail Group Asia Pacific</t>
  </si>
  <si>
    <t>意大利</t>
  </si>
  <si>
    <t>4500153302-30</t>
  </si>
  <si>
    <t>9279SQ1-S001-3L-NB</t>
  </si>
  <si>
    <t>1/17第三方</t>
  </si>
  <si>
    <t>1/24出</t>
  </si>
  <si>
    <t>12/11收到</t>
  </si>
  <si>
    <t>12/27-EAN条码贴纸+1*进口商贴纸+1*产品贴纸</t>
  </si>
  <si>
    <t>LOT2503</t>
  </si>
  <si>
    <t>日期码格式：LOT2503 日期：按实际生产日期
Packaging Info:
9279:最新MA 5L收藏指南+最新MA PDQ+最新 MA 3L收缩膜+最新MA 布标+最新MA 5L SLIME胶带+最新MA 贴纸+一张EAN条码贴纸+1*进口商贴纸+1*产品贴纸
Remark: 1.RATIO 同MA 一致。
2.大货样品2套/item，用于客人验货签板。验货后还会抽办1套/item，请多备料。
3.客人日期码：LOT2503，产品/包装/外箱 请保持一致,无须ZURU日期码
4.产品均符合EU微塑料法规要求：不能含有微塑料/闪粉
5. SMASHERS 或含Slime产品，所有化合物使用无硼版本出意大利。
6. 本订单所有 具有 baby items / assorted items 的款式，零售包装上都要用 母 EAN;
7，此客户需要第三方验货，请在约三方验货前必须PASS ZURU验货。</t>
  </si>
  <si>
    <t>Jade Wang</t>
  </si>
  <si>
    <t>94151-1.22</t>
  </si>
  <si>
    <t>Centro Atacadista Barão Ltda</t>
  </si>
  <si>
    <t>巴西</t>
  </si>
  <si>
    <t>4500153685-10</t>
  </si>
  <si>
    <t>12/13-进口商贴纸</t>
  </si>
  <si>
    <t>日期码格式：ZURU INC(BVI) 标准格式 日期：按实际生产日期
Packaging Info: MA 1L包装+进口商贴纸+箱唛
Remark:</t>
  </si>
  <si>
    <t>94036-1.15</t>
  </si>
  <si>
    <t>4500150317-20</t>
  </si>
  <si>
    <t>12/2-客供价格贴纸</t>
  </si>
  <si>
    <t>94129-1.21</t>
  </si>
  <si>
    <t>RIALTO SPA</t>
  </si>
  <si>
    <t>4500151283-10</t>
  </si>
  <si>
    <t>9279F-S001-NB-3L</t>
  </si>
  <si>
    <t>9279F-S001-NB</t>
  </si>
  <si>
    <t>猫蛋二代
展示架（无闪粉）</t>
  </si>
  <si>
    <t>12/2-EAN label +意大利sorting logo含进口商地址</t>
  </si>
  <si>
    <t>日期码格式：ZURU INC(BVI) 标准格式 日期：按实际生产日期
Packaging Info: 9279F
MA B 3L+23L 收缩膜（+1*EAN label +1*意大利sorting logo含进口商地址）+MA C 5L POOP BAG+MA C 5L 收藏指南+其他MA 物料
Remark: 1. 此单出意大利，需符合EU标准，不含微塑料，如果含slime等化学品，需要不含硼
2. 需保证按期1/15前完货，延期罚款
3.贴纸切勿盖住意大利警告语</t>
  </si>
  <si>
    <t>Amy Xiao</t>
  </si>
  <si>
    <t>94089-1.18</t>
  </si>
  <si>
    <t>MAGGIO 3 SRL</t>
  </si>
  <si>
    <t>4500151811-10</t>
  </si>
  <si>
    <t>11/22收到</t>
  </si>
  <si>
    <t>12/12-EAN 贴纸+意大利sorting logo含进口商地址贴纸+展示架条码贴纸</t>
  </si>
  <si>
    <t>日期码格式：ZURU INC(BVI) 标准格式 日期：按实际生产日期 
Packaging Info: 9279F-MA 3L+23L B 收缩膜（+1*EAN意大利sorting logo含进口商地址贴纸）+MA 5L C Poop Polybag +MA C 5L 收藏指南+ MA sewn in label+ MA 展示架(+1*展示架条码贴纸)
 产品条码 4894680026780
Remark: 1.此单出意大利，需符合EU标准，不能含微塑料，如果有slime等化学品需要不含硼
 2.需保证按期1/15前完货，延期罚款
 3.贴纸切勿盖住意大利警告语文字(QC 务必检查）</t>
  </si>
  <si>
    <t>94070-1.16</t>
  </si>
  <si>
    <t>4500151497-20</t>
  </si>
  <si>
    <t>1/3-客供价格贴纸</t>
  </si>
  <si>
    <t>94554-3.14</t>
  </si>
  <si>
    <t>HOBBY LOBBY INC.</t>
  </si>
  <si>
    <t>W0697213</t>
  </si>
  <si>
    <t>4500153134-10</t>
  </si>
  <si>
    <t>MB121-9279-S001</t>
  </si>
  <si>
    <t>混装（9279+9298）</t>
  </si>
  <si>
    <t>12/3收到-价格贴纸+外箱 贴纸</t>
  </si>
  <si>
    <t>日期码格式：ZURU INC(BVI) 标准格式 日期：按实际生产日期
Packaging Info: 1. MA UPC版包装，优先1L，需要加贴价格贴纸(价格贴纸文档跟单提供)，出美国。
2. 外箱正唛右下角贴条码贴纸2张，贴纸大小：2.75 x 1.5 inch (跟单提供文档，工厂采购)
Remark: 1. 产品外包装及产品本身都必须有日期跟踪码，格式为：ZURU 标准日期码。
2. ZURU QC验货，无测试。
3. #MB121: 混装 #9279 - 12pcs + #9298 - 12pcs 入同一外箱，total 24pcs/ctn。</t>
  </si>
  <si>
    <t>Eleven Zhang</t>
  </si>
  <si>
    <t>94307-2.20</t>
  </si>
  <si>
    <t>TJX
Europe-DE:
PO#55471303</t>
  </si>
  <si>
    <t>4500154045-40</t>
  </si>
  <si>
    <t>2/17出</t>
  </si>
  <si>
    <t>12/25收到</t>
  </si>
  <si>
    <t>日期码格式：ZURU INC(BVI) 标准格式 日期：按实际生产日期 
Packaging Info: TJX Europe-DE: PO#55471297(7132) + PO#55471301(9298) + PO#55471302(9298) + PO#55471303(9279) + PO#55471304(9279) + PO#55471275(92107)
 3) 9279: MA 3L(23Lwarning) 最新UPC包装+1张客供价格贴纸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</si>
  <si>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TJX
Europe-DE:
PO#55471304</t>
  </si>
  <si>
    <t>4500154045-50</t>
  </si>
  <si>
    <t>TJX UK:
PO#50471043</t>
  </si>
  <si>
    <t>4500154092-50</t>
  </si>
  <si>
    <t>日期码格式：ZURU INC(BVI) 标准格式 日期：按实际生产日期 
Packaging Info: TJX UK: PO#50470844(9281) + PO#50470917(9298) + PO#50470959(9298) + PO#50470960(7132) + PO#50471043(9279) + PO#50471008(9279)
 4) 9279: MA 3L(23Lwarning) 最新UPC包装+1张客供价格贴纸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t>
  </si>
  <si>
    <t>94215-2.11</t>
  </si>
  <si>
    <t>TJX UK: PO#50471008</t>
  </si>
  <si>
    <t>4500154092-60</t>
  </si>
  <si>
    <t>4500150534-20</t>
  </si>
  <si>
    <t>12/19-客供价格贴纸</t>
  </si>
  <si>
    <t>DG20250115</t>
  </si>
  <si>
    <t>94534-3.13</t>
  </si>
  <si>
    <t>4500147803-60</t>
  </si>
  <si>
    <t>4500147800-60</t>
  </si>
  <si>
    <t>4500150488-70</t>
  </si>
  <si>
    <t>94465-3.6</t>
  </si>
  <si>
    <t>Amazon
UK:PO#5OF9KGS
S</t>
  </si>
  <si>
    <t>4500153435-30</t>
  </si>
  <si>
    <t>9279B-S001-3L</t>
  </si>
  <si>
    <t>9279B-S001</t>
  </si>
  <si>
    <t>2/7-2/11出</t>
  </si>
  <si>
    <t>空白外箱（加印带Zuru字样的最新logo，除了邮包盒直接做外箱的产品） + SSCC LABEL一张, 无箱唛.</t>
  </si>
  <si>
    <t>UPC+IT翻4500124528+ES回收标翻4500149035+ZURU邮箱4500149035</t>
  </si>
  <si>
    <t>12/18-外箱贴纸</t>
  </si>
  <si>
    <t>日期码格式：ZURU INC(BVI) 标准格式 日期：按实际生产日期 
Packaging Info: Amazon UK/DE (92104HG/9279B/9296A/9543A)
 2. 9279B: 9279B 12pcs/ctn, no inner,CALICO CAT; CTN Loading: 4W*3D=12pcs/CTN; MA 3L(23L warning)B收缩膜+ 3张贴纸(1张UPC#+IT sorting label&lt;(&gt;,
 &lt;)&gt;参
考翻单PO#4500124528；1张ES回收标，参考翻单PO#4500149035；1张ZURU邮箱（参考PO#4500149035)+MA 最新版布标+MA 5L(23L warning) C收藏指南+其他MA最新版
 包装；
 5. ZURU验货最迟不得晚于2025/1/27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</si>
  <si>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94210-2.11</t>
  </si>
  <si>
    <t>Amazon DE:
PO#7PXKV7PP</t>
  </si>
  <si>
    <t>4500153435-60</t>
  </si>
  <si>
    <t>4500155119-30</t>
  </si>
  <si>
    <t>1/2收到</t>
  </si>
  <si>
    <t>1/10-客供价格贴纸</t>
  </si>
  <si>
    <t>日期码格式：ZURU INC(BVI) 标准格式 日期：按实际生产日期
Packaging Info: MA UPC包装+价格贴纸，价格贴纸客供。
Remark: 1. 产品和包装上印刷tracking code信息，格式为ZURU常规格式。
 2. 1个DC出货: Marshalls DC#882
 3. ZURU QC验货。</t>
  </si>
  <si>
    <t>Emily Wu</t>
  </si>
  <si>
    <t>TJ MAXX
DC#891-792PCS
,
DC#894-696PCS
,
DC#896-624PCS
,
DC#897-1248PC
S,DC#898-648PCS</t>
  </si>
  <si>
    <t>4500155120-30</t>
  </si>
  <si>
    <t>日期码格式：ZURU INC(BVI) 标准格式 日期：按实际生产日期 
Packaging Info: MA UPC包装+价格贴纸，价格贴纸客供。
Remark: 1. 产品和包装上印刷tracking code信息，格式为ZURU常规格式。
 2. 分5个DC出货，每款产品每个DC的箱唛资料不同。具体分DC数量，请参考后面行项目备注。
 3. ZURU QC验货。</t>
  </si>
  <si>
    <t>94378-2.27</t>
  </si>
  <si>
    <t>4500150417-40</t>
  </si>
  <si>
    <t>12/6-客人白色Cat.label</t>
  </si>
  <si>
    <t>日期码格式：ZURU INC(BVI) 标准格式 日期：按实际生产日期
Packaging Info:9279: MA -1L 包装+客人白色Cat.label 1张覆盖ZURU条码
注意Cat.label (要求易撕类贴纸，但是粘性不能过低），同时此贴纸每个订单都是不相同的(会显示客户对应的订单号），切勿翻旧订单购买，该贴纸由工厂自行
购买。
订单对应客户1个PO号 ，备注有显示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*所有产品按符合欧洲标准走货，需要是不含微塑料版本 。
*涉及到硼的，请使用低硼版本
*客户不接受PVC材质包装</t>
  </si>
  <si>
    <t>PO#394630-SKU
#7269521</t>
  </si>
  <si>
    <t>4500151833-20</t>
  </si>
  <si>
    <t>12/16收到</t>
  </si>
  <si>
    <t>12/6-客人白色Cat.label 条码</t>
  </si>
  <si>
    <t>日期码格式：ZURU INC(BVI) 标准格式 日期：按实际生产日期
Packaging Info: -9279: MA -1L 包装+客人白色Cat.label 1张覆盖ZURU条码
 9279:MA-1L 包装加空白条码贴覆盖包装原条码，确保卖场只能扫到92114 的条码
 -注意Cat.label (要求易撕类贴纸，但是粘性不能过低），同时此贴纸每个订单都是不相同的(会显示客户对应的订单号），切勿翻旧订单购买，该贴纸由工厂自行
 购买。
 -订单对应客户2个PO号 ，备注有显示 ，注意分开做货/验货/装柜 ，混装有罚款。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*所有产品按符合欧洲标准走货，需要是不含微塑料版本 。
 *涉及到硼的，请使用低硼版本
 *客户不接受PVC材质包装</t>
  </si>
  <si>
    <t>4500155121-30</t>
  </si>
  <si>
    <t>日期码格式：ZURU INC(BVI) 标准格式 日期：按实际生产日期 
Packaging Info: MA UPC包装+价格贴纸，价格贴纸客供。
Remark: 1. 产品和包装上印刷tracking code信息，格式为ZURU常规格式。
 2. 1个DC出货: Marshalls DC#882
 3. ZURU QC验货。</t>
  </si>
  <si>
    <t>94325-2.22</t>
  </si>
  <si>
    <t>TJ MAXX
DC#891-792PCS
,
DC#894-696PCS
,
DC#896-624PCS
,
DC#897-1248PC
S,
DC#898-648PCS</t>
  </si>
  <si>
    <t>4500155123-30</t>
  </si>
  <si>
    <t>94379-2.27</t>
  </si>
  <si>
    <t>Zhuyu(Shenzhen)Trading Co.,Ltd.</t>
  </si>
  <si>
    <t>中国</t>
  </si>
  <si>
    <t>4500154728-50</t>
  </si>
  <si>
    <t>9279SQ1-S002-1</t>
  </si>
  <si>
    <t>翻4500150993</t>
  </si>
  <si>
    <t>中文3C贴纸+中文布标(可用布标贴纸)+年龄贴纸翻单：4500150993</t>
  </si>
  <si>
    <t>1/7-芯片码（客供）</t>
  </si>
  <si>
    <t>日期码格式：ZURU INC(BVI) 标准格式 日期：按实际生产日期 
Packaging Info: 物料要求 SKU 所有款号务必使用带有CCC 标识的AW
 4 9279SQ1 UPC# 193052050014， MA PDQ+中文3C贴纸+中文收藏指南+中文布标(可用布标贴纸)+年龄贴纸+芯片码（客供） 翻单： 4500150993
Remark: 2.外箱材质如下：
 1）毛重小于5kg 外箱纸质 K=B 爆破:1000Kpa 边压:4400N/M;
 2）毛重大于5kg 外箱纸质 K636K 爆破:1400Kpa 边压:6300N/M;
 3. 产品/销售包装/外箱日期码要一致，
4.芯片码横向平贴在上半部分蛋壳/彩盒内侧立面处，注意事项请见跟单提供文档资料。
 5.此产品务必满足国内6P 测试标准，因为可能会被市场监督局抽查，如有问题产生，工厂要负全责
 6. 这张订单做出厂价，我司自行安排车辆去贵司提货，贵司需要配合提供出口报关</t>
  </si>
  <si>
    <t>Tina Chen</t>
  </si>
  <si>
    <t>94384-2.27</t>
  </si>
  <si>
    <t>MA布标+布标贴纸</t>
  </si>
  <si>
    <t>44298KQS</t>
  </si>
  <si>
    <t>4500154101-70</t>
  </si>
  <si>
    <t>9279D-S001</t>
  </si>
  <si>
    <t>2/25出</t>
  </si>
  <si>
    <t>1/17-外箱贴纸</t>
  </si>
  <si>
    <t>日期码格式： 标准格式 日期：按实际生产日期 
Packaging Info:
 #9279：MA 1L 加UPC贴纸，UPC贴纸图稿跟返单4500097545。G:193052054753，H:193052054760，B:193052054722，D:193052054739。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</si>
  <si>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kelly/Mia</t>
  </si>
  <si>
    <t>94337-2.24</t>
  </si>
  <si>
    <t>5HW5344B</t>
  </si>
  <si>
    <t>4500154101-100</t>
  </si>
  <si>
    <t>日期码格式： 标准格式 日期：按实际生产日期 
Packaging Info: 
 #9279：MA 1L 加UPC贴纸，UPC贴纸图稿跟返单4500097545。G:193052054753，H:193052054760，B:193052054722，D:193052054739。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</si>
  <si>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521ADRLC</t>
  </si>
  <si>
    <t>4500154101-110</t>
  </si>
  <si>
    <t>44D1DD7V</t>
  </si>
  <si>
    <t>4500154101-120</t>
  </si>
  <si>
    <t>5BA3EBVZ</t>
  </si>
  <si>
    <t>4500154032-80</t>
  </si>
  <si>
    <t>日期码格式： 标准格式 日期：按实际生产日期 
Packaging Info: 
 #9279：MA 1L 加UPC贴纸，UPC贴纸图稿跟返单4500097545。D:193052054739，H:193052054760，B:193052054722，G:193052054753。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</si>
  <si>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94313-2.21</t>
  </si>
  <si>
    <t>4I8NZHKF</t>
  </si>
  <si>
    <t>4500154032-100</t>
  </si>
  <si>
    <t>日期码格式： 标准格式 日期：按实际生产日期 
Packaging Info:
 #9279：MA 1L 加UPC贴纸，UPC贴纸图稿跟返单4500097545。D:193052054739，H:193052054760，B:193052054722，G:193052054753。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</si>
  <si>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2TPHLT7S</t>
  </si>
  <si>
    <t>4500154032-110</t>
  </si>
  <si>
    <t>89Q2M2WT</t>
  </si>
  <si>
    <t>4500154032-120</t>
  </si>
  <si>
    <t>6WO8ZQJD</t>
  </si>
  <si>
    <t>4500154144-80</t>
  </si>
  <si>
    <t>日期码格式： 标准格式 日期：按实际生产日期 
Packaging Info:
 #9279：MA 1L 加UPC贴纸，UPC贴纸图稿跟返单4500097545。H:193052054760，B:193052054722，D:193052054739。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</si>
  <si>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94314-2.21</t>
  </si>
  <si>
    <t>4A2MUDXR</t>
  </si>
  <si>
    <t>4500154144-100</t>
  </si>
  <si>
    <t>1P7EJLCR</t>
  </si>
  <si>
    <t>4500154144-110</t>
  </si>
  <si>
    <t>6FV2W2NV</t>
  </si>
  <si>
    <t>4500154124-60</t>
  </si>
  <si>
    <t>日期码格式：ZURU INC(BVI) 标准格式 日期：按实际生产日期 
Packaging Info: 
 #9279：MA 1L 加UPC贴纸，UPC贴纸图稿跟返单4500097545。G:193052054753，H:193052054760，B:193052054722，D:193052054739。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</si>
  <si>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94315-2.21</t>
  </si>
  <si>
    <t>2WN13DPQ</t>
  </si>
  <si>
    <t>4500154124-80</t>
  </si>
  <si>
    <t>8FACFEHM</t>
  </si>
  <si>
    <t>4500154124-90</t>
  </si>
  <si>
    <t>2AW4FX6V</t>
  </si>
  <si>
    <t>4500154124-100</t>
  </si>
  <si>
    <t>PO0000476</t>
  </si>
  <si>
    <t>4500151019-10</t>
  </si>
  <si>
    <t>12/2收到</t>
  </si>
  <si>
    <t>日期码格式： 标准格式 日期：按实际生产日期
Packaging Info: 9279SQ1 MA 3L EAN+UPC贴纸 ,无硼版本。UPC号码193052050014
Remark: 出加拿大
每款产品都需要加进口商贴纸
Zuru验货.日期跟踪码：产品外包装及产品本身都必须有日期跟踪码，ZURU标准格式日期码</t>
  </si>
  <si>
    <t>94383-2.27</t>
  </si>
  <si>
    <t>4500147804-40</t>
  </si>
  <si>
    <t>4500147806-40</t>
  </si>
  <si>
    <t>PO#394628-SKU
#2259433</t>
  </si>
  <si>
    <t>4500151833-10</t>
  </si>
  <si>
    <t>日期码格式：ZURU INC(BVI) 标准格式 日期：按实际生产日期
Packaging Info: 
 -92114 客版1L包装+客人白色Cat.label 1张覆盖ZURU条码
 -注意Cat.label (要求易撕类贴纸，但是粘性不能过低），同时此贴纸每个订单都是不相同的(会显示客户对应的订单号），切勿翻旧订单购买，该贴纸由工厂自行
 购买。
 -订单对应客户2个PO号 ，备注有显示 ，注意分开做货/验货/装柜 ，混装有罚款。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*所有产品按符合欧洲标准走货，需要是不含微塑料版本 。
 *涉及到硼的，请使用低硼版本
 *客户不接受PVC材质包装</t>
  </si>
  <si>
    <t>Distribuidora Liverpool S.A de C.V.</t>
  </si>
  <si>
    <t>墨西哥</t>
  </si>
  <si>
    <t>4500149460-60</t>
  </si>
  <si>
    <t>2/26出</t>
  </si>
  <si>
    <t>1/3收到</t>
  </si>
  <si>
    <t>2/8-进口商贴纸+价标贴纸</t>
  </si>
  <si>
    <t>2/11-客供价格贴纸</t>
  </si>
  <si>
    <t>日期码格式：ZURU INC(BVI) 标准格式 日期：按实际生产日期 
Packaging Info: 
 9279SQ1:MA 3L UPC包装+进口商贴纸+价标贴纸+箱唛
Remark: 1. 此单价格贴纸（ZURU定购).
2.此单有第三方监柜，不用额外准备备品，会在大货中每款拆1pc，拆了包装的产品会由监装员用客供胶带封好或在外箱上写上""opened by telescope”</t>
  </si>
  <si>
    <t>94382-2.27</t>
  </si>
  <si>
    <t>4500153776-30</t>
  </si>
  <si>
    <t>进口商贴纸+EAN贴纸翻4500123283</t>
  </si>
  <si>
    <t>日期码格式：ZURU INC(BVI) 标准格式 日期：按实际生产日期 
Packaging Info: 
 9279SQ1:MA 3L包装+进口商贴纸+EAN贴纸+箱唛，进口商贴纸/EAN贴纸/箱唛翻单PO4500123283
 翻单箱唛请注意ZURU LOGO需要使用最新的
Remark: 进口商贴纸请多备料5pcs,出货后需要寄给客户</t>
  </si>
  <si>
    <t>94577-3.18</t>
  </si>
  <si>
    <t>BEALL's OUTLET STORES</t>
  </si>
  <si>
    <t>PO# 1488610</t>
  </si>
  <si>
    <t>4500154420-10</t>
  </si>
  <si>
    <t>3/4-3/5出</t>
  </si>
  <si>
    <t>日期码格式：ZURU INC(BVI) 标准格式 日期：按实际生产日期
Packaging Info: 1.ZURU最新MA UPC包装(优先1L) + 客供价格贴纸（贴在产品包装右下角，跟单找第三方订购贴纸寄到工厂）。
 价格贴纸显示以下信息，需按单贴对，不要混了。
Remark: 1.ZURU最新MA UPC包装(优先1L) + 客供价格贴纸（贴在产品包装右下角，跟单找第三方订购贴纸寄到工厂）。
 价格贴纸显示以下信息，需按单贴对，不要混了。
 9279-S001
 $ 12.00/ $ 7.99
 SKU #: 88047211
 UPC: 300880472110
 FINELINE STYLE NO: 9485
 2. 配比：7 assortment (6 common + 1 rare); RAGDOLL CA (RARE): AMERICAN SHORTHAIR: CALICO CAT: BLACK CAT: BENGAL CAT: EXOTIC CAT: CHINCHILLA CAT=
 1:9:10:10:10: 10:10;
 3. 所有产品外包装及产品本身都必须有日期跟踪码(ZURU标准日期码格式，年月日的日期自行调整，但不能为周末)，并且确保产品及外包装的日期跟踪码要一致.
 4. 此单包含6张客户PO， 需按照印有不同PO箱唛及箱数的外箱进行包装.
注意：客供贴纸上会显示客户PO号，入箱需要确保产品上的贴纸与外箱上的PO# 一致。
 PO# 1488610 SHIP TO:
 Bealls DIST CENTER #115
 2100 47th Ter E
 Bradenton, FL 34203-3774
 PO# 1488633 SHIP TO:
 Bealls DIST CENTER #115
 2100 47th Ter E
 Bradenton, FL 34203-3774
 PO# 1488634 SHIP TO:
 Bealls DIST CENTER #115
 2100 47th Ter E
 Bradenton, FL 34203-3774
 PO# 1488643 SHIP TO:
 Bealls DIST CENTER #115
 2100 47th Ter E
 Bradenton, FL 34203-3774
 PO# 1488644 SHIP TO:
 Bealls DIST CENTER #115
 2100 47th Ter E
 Bradenton, FL 34203-3774
 PO# 1488611 SHIP TO:
 TX Logistics Support Center #995
 506 Beall Blvd.
 Jacksonville, TX 75766</t>
  </si>
  <si>
    <t>Yoyo Yi</t>
  </si>
  <si>
    <t>94442-3.5</t>
  </si>
  <si>
    <t>PO# 1488633</t>
  </si>
  <si>
    <t>4500154420-20</t>
  </si>
  <si>
    <t>PO# 1488634</t>
  </si>
  <si>
    <t>4500154420-30</t>
  </si>
  <si>
    <t>PO# 1488643</t>
  </si>
  <si>
    <t>4500154420-40</t>
  </si>
  <si>
    <t>PO# 1488644</t>
  </si>
  <si>
    <t>4500154420-50</t>
  </si>
  <si>
    <t>PO# 1488611</t>
  </si>
  <si>
    <t>4500154420-60</t>
  </si>
  <si>
    <t>TJX UK:
PO#50565028</t>
  </si>
  <si>
    <t>4500155467-70</t>
  </si>
  <si>
    <t>3/13出</t>
  </si>
  <si>
    <t>1/8收到</t>
  </si>
  <si>
    <t>日期码格式：ZURU INC(BVI) 标准格式 日期：按实际生产日期 
Packaging Info: TJX UK:PO#50565028(9279)
 9279: MA 3L(23Lwarning) 最新UPC包装+1张客供价格贴纸
Remark: 1. 出往UK的产品+包装务必打上UKCA logo ，否则客人会退货且当地会有罚款；
 2. 订单必须经过ZURU QC验货并且通过后方可出货；
 3. 订单每行对应客人不同的PO， 箱唛也有不同，做货的时候请分开堆放；
 4. 订单每行对应客人不同的PO，即同款item的价格贴纸都不相同，请注意收到贴纸后不要弄混!（客人PO号请参考PO最后一栏remark）；
 5. 价格贴纸位置为产品正面右上角，不能遮住产品信息，大货生产前，请把贴纸位置先发给跟单确认
 6. 涉及到相关款式会有闪粉的或者微塑料的，请统一默认出无闪粉或者不含微塑料版本;
 7. 外箱封箱必须是工字型封箱方式；</t>
  </si>
  <si>
    <t>94522-3.12</t>
  </si>
  <si>
    <t>TJX UK:
PO#50565034</t>
  </si>
  <si>
    <t>4500155467-80</t>
  </si>
  <si>
    <t>日期码格式：ZURU INC(BVI) 标准格式 日期：按实际生产日期 
Packaging Info: TJX UK:PO #50565034(9279)
 9279: MA 3L(23Lwarning) 最新UPC包装+1张客供价格贴纸
Remark: 1. 出往UK的产品+包装务必打上UKCA logo ，否则客人会退货且当地会有罚款；
 2. 订单必须经过ZURU QC验货并且通过后方可出货；
 3. 订单每行对应客人不同的PO， 箱唛也有不同，做货的时候请分开堆放；
 4. 订单每行对应客人不同的PO，即同款item的价格贴纸都不相同，请注意收到贴纸后不要弄混!（客人PO号请参考PO最后一栏remark）；
 5. 价格贴纸位置为产品正面右上角，不能遮住产品信息，大货生产前，请把贴纸位置先发给跟单确认
 6. 涉及到相关款式会有闪粉的或者微塑料的，请统一默认出无闪粉或者不含微塑料版本;
 7. 外箱封箱必须是工字型封箱方式；</t>
  </si>
  <si>
    <t>TJX EU (DE):
PO#55565155</t>
  </si>
  <si>
    <t>4500155456-70</t>
  </si>
  <si>
    <t>3/7出</t>
  </si>
  <si>
    <t>日期码格式：ZURU INC(BVI) 标准格式 日期：按实际生产日期
Packaging Info: TJX EU (DE): PO#55565155(9279)
 9279: MA 3L(23Lwarning) 最新UPC包装+1张客供价格贴纸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</si>
  <si>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94447-3.5</t>
  </si>
  <si>
    <t>TJX EU (DE):
PO#55565156</t>
  </si>
  <si>
    <t>4500155456-80</t>
  </si>
  <si>
    <t>日期码格式：ZURU INC(BVI) 标准格式 日期：按实际生产日期
Packaging Info: TJX EU (DE): PO#55565156(9279)
 9279: MA 3L(23Lwarning) 最新UPC包装+1张客供价格贴纸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</si>
  <si>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4500155723-10</t>
  </si>
  <si>
    <t>3/4出</t>
  </si>
  <si>
    <t>1/16收到</t>
  </si>
  <si>
    <t>1/16-进口商贴纸</t>
  </si>
  <si>
    <t>日期码格式：ZURU INC(BVI) 标准格式 日期：按实际生产日期 
Packaging Info: 9279SQ1：MA 3L UPC包装+MA PDQ包装+MA 多语收藏指南+进口商贴纸+箱唛
Remark: 9279SQ1: 7 assortment (6 common + 1 rare); RAGDOLL CA (RARE): AMERICAN SHORTHAIR: CALICO CAT: BLACK CAT: BENGAL CAT: EXOTIC CAT: CHINCHILLA CAT=
 1:9:10:10:10: 10:10;</t>
  </si>
  <si>
    <t>94426-3.4/94426-3.18</t>
  </si>
  <si>
    <t>ZMPO250058</t>
  </si>
  <si>
    <t>Remark：大货最新版本/PDQ里面产品按大货比例/大货标准箱装箱/箱唛参照邮件附件；备注： 收到样品订单后尽快安排 ，注意样板品质质量要求要高于大货品质要求 ，送货时必须要附带送货单(没有送货单和QC检验合格报告的仓库一律拒绝收货)，请知悉，谢谢！</t>
  </si>
  <si>
    <t xml:space="preserve">Angus </t>
  </si>
  <si>
    <t>斯洛伐克</t>
  </si>
  <si>
    <t>999-29068</t>
  </si>
  <si>
    <t>4500150411-70</t>
  </si>
  <si>
    <t>92110-9279-S001</t>
  </si>
  <si>
    <t>混装（9279+9296）</t>
  </si>
  <si>
    <t>警告语贴需覆盖原来条码（贴纸翻单4500133271）</t>
  </si>
  <si>
    <t>DG20241211</t>
  </si>
  <si>
    <t>日期码格式：ZURU INC(BVI) 标准格式 日期：按实际生产日期
Packaging Info:
3. 92110-S001：客版包装新稿（需要有五国警示语English-Czech-Hugarian-Polish-Slovak)
UPC#193052066541，请先检查包装条码是否正确再安排做货
9296/9269/9279:MA最新版1L收缩膜+一张警告语贴需覆盖原来条码（贴纸翻单4500133271）, MA最新版5L收藏指南+MA布标/贴纸
请注意里面的配件#9269 由ZURU SP下MPO 单给到华康厂并客供成品到兴信，兴信完
成组装，华康需要贴好空白贴纸覆盖原条码再送货
比例:Combo pcak 9296 Eggzania mini + 9269 Puppycorn + 9279 Kittycorn=1:1:1"
Remark: 1. 此单出EU，需满足EU测试标准要求，不含微塑料。
产品及包装需要印UKCA图标，包装需要有ZURU UK LTD/ZURU France地址信息，QC同事请核查，如有问题与跟单确认。
2.裝櫃必須按TPND順序 (條形碼貼紙或正嘜必須要朝外向車門外)
3.外箱上有条码要求，排版时请留意并请确保条码清晰可扫描（封箱胶不要黏到条码上), 否则客人会有罚款；
4. 如含硼的话， 需用低硼版本(小于300ppm),硼含量需要符合欧洲标准,否则客人会退货有罚款产生</t>
  </si>
  <si>
    <t>Sharon</t>
  </si>
  <si>
    <t>4500154604-60</t>
  </si>
  <si>
    <t>3/14出</t>
  </si>
  <si>
    <t>2/7收到</t>
  </si>
  <si>
    <t>进口商贴纸翻4500149460</t>
  </si>
  <si>
    <t>2/18-客供价格贴纸</t>
  </si>
  <si>
    <t>日期码格式：ZURU INC(BVI) 标准格式 日期：按实际生产日期 
Packaging Info: 
 9279SQ1:MA 3L UPC包装+进口商贴纸+价标贴纸+箱唛,进口商贴纸翻单PO4500149460
Remark: 1. 此单价格贴纸（ZURU定购).
2.此单有第三方监柜，不用额外准备备品，会在大货中每款拆1pc，拆了包装的产品会由监装员用客供胶带封好或在外箱上写上""opened by telescope”</t>
  </si>
  <si>
    <t>94525-3.12</t>
  </si>
  <si>
    <t>SEARS MEXICO</t>
  </si>
  <si>
    <t>4500153293-30</t>
  </si>
  <si>
    <t>1/21-进口商贴纸</t>
  </si>
  <si>
    <t>日期码格式：ZURU INC(BVI) 标准格式 日期：按实际生产日期
Packaging Info:
9279SQ1: MA 多语UPC包装+MA 多语收藏指南+MA PDQ+进口商贴纸+箱唛
Remark:
9279SQ1: 7 assortment (6 common + 1 rare); RAGDOLL CA (RARE): AMERICAN SHORTHAIR: CALICO CAT: BLACK CAT: BENGAL CAT: EXOTIC CAT: CHINCHILLA CAT=
1:9:10:10:10: 10:10;</t>
  </si>
  <si>
    <t>94489-3.7</t>
  </si>
  <si>
    <t>SUPER LTD</t>
  </si>
  <si>
    <t>格鲁吉亚</t>
  </si>
  <si>
    <t>4500156297-40</t>
  </si>
  <si>
    <t>3/19出</t>
  </si>
  <si>
    <t>1/22收到</t>
  </si>
  <si>
    <t>1/22-进口商贴纸</t>
  </si>
  <si>
    <t>日期码格式：ZURU INC(BVI) 标准格式 日期：按实际生产日期
Packaging Info:
9279: MA B版3L 收缩膜(含UPC条码)+进口商贴纸；MA C版5L收藏指南;MA C版5L复合纸袋;MA 纸袋 +布标; MA A版1L PDQ
Remark:
9279SQ1:7 assortment (6 common + 1 rare); RAGDOLL CA (RARE): AMERICAN SHORTHAIR: CALICO CAT: BLACK CAT: BENGAL CAT: EXOTIC CAT: CHINCHILLA CAT=
1:9:10:10:10: 10:10</t>
  </si>
  <si>
    <t>94566-3.17</t>
  </si>
  <si>
    <t>W0702099</t>
  </si>
  <si>
    <t>4500154994-10</t>
  </si>
  <si>
    <t>12/31收到</t>
  </si>
  <si>
    <t>12/31-价格贴纸+外箱贴纸</t>
  </si>
  <si>
    <t>日期码格式：ZURU INC(BVI) 标准格式 日期：按实际生产日期 
Packaging Info: 1. MA UPC版包装，优先1L，需要加贴价格贴纸(价格贴纸文档跟单提供)，出美国。
 2. 外箱正唛右下角贴条码贴纸2张，贴纸大小：2.75 x 1.5 inch (跟单提供文档，工厂采购)
Remark: 1. 产品外包装及产品本身都必须有日期跟踪码，格式为：ZURU 标准日期码。
 2. ZURU QC验货，无测试。
 3. #MB121: 混装 #9279 - 12pcs + #9298 - 12pcs 入同一外箱，total 24pcs/ctn。</t>
  </si>
  <si>
    <t>94521-3.12</t>
  </si>
  <si>
    <t>4500155330-10</t>
  </si>
  <si>
    <t>1/14收到</t>
  </si>
  <si>
    <t>2/17-进口商贴纸</t>
  </si>
  <si>
    <t>日期码格式：ZURU INC(BVI) 标准格式 日期：按实际生产日期 
Packaging Info: 9279SQ1:MA 1L包装+进口商贴纸+箱唛
Remark:</t>
  </si>
  <si>
    <t>94485-3.7</t>
  </si>
  <si>
    <t>4500156224-20</t>
  </si>
  <si>
    <t>3/12-3/14出</t>
  </si>
  <si>
    <t>1/20收到</t>
  </si>
  <si>
    <t>2/10-防盗贴纸+2/17-外箱贴纸</t>
  </si>
  <si>
    <t>日期码格式：ZURU INC(BVI) 标准格式 日期：按实际生产日期 
Packaging Info: 
 9279SQ1: MA英语UPC版本包装（收缩膜和说明书, MA首选1L，如无1L可用多语且含英语的配套多语包装) + 1张防盗贴纸 (贴纸以及位置图翻单PO#4500095104）+ 箱
 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</si>
  <si>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94538-3.13</t>
  </si>
  <si>
    <t>KMART AUSTRALIA LTD(NEW ZEALAND)</t>
  </si>
  <si>
    <t>新西兰</t>
  </si>
  <si>
    <t>4500156240-10</t>
  </si>
  <si>
    <t>日期码格式：ZURU INC(BVI) 标准格式 日期：按实际生产日期
Packaging Info: 9279SQ1: MA英语UPC版本包装（收缩膜和说明书, MA首选1L，如无1L可用多语且含英语的配套多语包装) + 1张防盗贴纸 (贴纸以及位置图翻单PO#4500095104）+ 箱
 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</si>
  <si>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94533-3.13</t>
  </si>
  <si>
    <t>4500154624-60</t>
  </si>
  <si>
    <t>3/21出</t>
  </si>
  <si>
    <t>2/10收到</t>
  </si>
  <si>
    <t>2/18-价标贴纸</t>
  </si>
  <si>
    <t>94698-4.3</t>
  </si>
  <si>
    <t>TOYS "R" US – JAPAN, LTD</t>
  </si>
  <si>
    <t>日本</t>
  </si>
  <si>
    <t>47:0003119220</t>
  </si>
  <si>
    <t>4500156904-10</t>
  </si>
  <si>
    <t>2/24出</t>
  </si>
  <si>
    <t>日语警语贴纸+收缩膜上加1张6+贴纸翻4500125012</t>
  </si>
  <si>
    <t>日期码格式：ZURU INC(BVI) 标准格式 日期：按实际生产日期 
Packaging Info: 9279SQ1：MA 1L PKG B版包装+日语警语贴纸+收缩膜上加1张6+贴纸（收藏指南不用加）6+贴纸需覆盖收缩膜上的3+信息）贴纸资料翻单4500125012
Remark: 9279SQ1：出无闪粉版本，请务必确保此单大货产品品质及包装严格跟到4500129891这单；</t>
  </si>
  <si>
    <t>94588-3.21</t>
  </si>
  <si>
    <t>ZETA</t>
  </si>
  <si>
    <t>阿塞拜疆</t>
  </si>
  <si>
    <t>4500156829-70</t>
  </si>
  <si>
    <t>日期码格式：ZURU INC(BVI) 标准格式 日期：按实际生产日期
Packaging Info: 1. 无进口商贴纸
 2. 1L MA 包装/PDQ
Remark: 标准配比</t>
  </si>
  <si>
    <t>客户PO#394634</t>
  </si>
  <si>
    <t>4500154362-10</t>
  </si>
  <si>
    <t>3/24出</t>
  </si>
  <si>
    <t>1/17收到</t>
  </si>
  <si>
    <t>1/17-客人白色Cat.label</t>
  </si>
  <si>
    <t>日期码格式：ZURU INC(BVI) 标准格式 日期：按实际生产日期 
Packaging Info: 1. 9279: MA -1L 包装+客人白色Cat.label 1张覆盖ZURU条码.
 2. 92114: MA-1L 收缩膜+客版PDQ+客人白色Cat.label 1张覆盖ZURU条码.(客版PDQ可参考我司美国客户 ROSS 4500135747,4500135766单去订料）
 3. 92114包含9279/9269两个款, 9269由华康生产，出货前送到兴信组合包装。
 4. 9279/9269: MA 1L包装+空白条码贴纸覆盖ZURU原来条码。
 5. 注意Cat.label (要求易撕类贴纸，但是粘性不能过低），同时此贴纸每个订单都是不相同的(会显示客户对应的订单号），切勿翻旧订单购买，该贴纸由工厂自
 行购买。
 6. 订单对应客户2个PO号 ，备注有显示 ，注意分开做货/验货/装柜 ，混装有罚款。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*所有产品按符合欧洲标准走货，需要是不含微塑料版本 。
 *涉及到硼的，请使用低硼版本
 *客户不接受PVC材质包装</t>
  </si>
  <si>
    <t>94592-3.21</t>
  </si>
  <si>
    <t>3/28出</t>
  </si>
  <si>
    <t>2/26-客供价格贴纸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</si>
  <si>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t>
  </si>
  <si>
    <t>ZB00059-3.28</t>
  </si>
  <si>
    <t>MTA Trade</t>
  </si>
  <si>
    <t>哈萨克斯坦</t>
  </si>
  <si>
    <t>4500156659-10</t>
  </si>
  <si>
    <t>3/27出</t>
  </si>
  <si>
    <t>2/17收到</t>
  </si>
  <si>
    <t>日期码格式：ZURU INC(BVI) 标准格式 日期：按实际生产日期 
Packaging Info: 9279： 1L 收缩膜+进口商贴纸(翻PO4500141816）， MA 说明书/指南（如有）；
Remark: 标准配比</t>
  </si>
  <si>
    <t>94654-3.27</t>
  </si>
  <si>
    <t>W0706282</t>
  </si>
  <si>
    <t>4500156769-10</t>
  </si>
  <si>
    <t>3/20-3/24出</t>
  </si>
  <si>
    <t>2/11收到</t>
  </si>
  <si>
    <t>2/21-价格贴纸+外箱贴纸</t>
  </si>
  <si>
    <t>ZB00034-3.24</t>
  </si>
  <si>
    <t>168 Marketing</t>
  </si>
  <si>
    <t>菲律宾</t>
  </si>
  <si>
    <t>2025-0012</t>
  </si>
  <si>
    <t>4500158665-40</t>
  </si>
  <si>
    <t>3/26出</t>
  </si>
  <si>
    <t>2/26收到</t>
  </si>
  <si>
    <t>日期码格式：ZURU INC(BVI) 标准格式 日期：按实际生产日期
Packaging Info: MA UPC包装，无需加贴纸
Remark:
9279-7 assortment (6 common + 1 rare); RAGDOLL CA (RARE): AMERICAN SHORTHAIR: CALICO CAT: BLACK CAT: BENGAL CAT: EXOTIC CAT: CHINCHILLA CAT= 1:9
:10:10:10: 10:10;</t>
  </si>
  <si>
    <t>Emma Wu</t>
  </si>
  <si>
    <t>94779-4.16</t>
  </si>
  <si>
    <t>客户PO#394632</t>
  </si>
  <si>
    <t>4500154362-20</t>
  </si>
  <si>
    <t>1/17-客人白色Cat.label+空白条码贴纸</t>
  </si>
  <si>
    <t>94613-3.24</t>
  </si>
  <si>
    <t>客户PO#361473</t>
  </si>
  <si>
    <t>4500154348-10</t>
  </si>
  <si>
    <t>1/20-客人白色Cat.label</t>
  </si>
  <si>
    <t>日期码格式：ZURU INC(BVI) 标准格式 日期：按实际生产日期
Packaging Info: 9279: MA -1L UPC包装+客人白色Cat.label 1张覆盖ZURU条码
 注意Cat.label (要求易撕类贴纸，但是粘性不能过低），同时此贴纸每个订单都是不相同的(会显示客户对应的订单号），切勿翻旧订单购买，该贴纸由工厂自行
 购买。
 订单对应客户2个PO号 ，备注有显示 ，注意分开做货/验货/装柜 ，混装有罚款。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*所有产品按符合欧洲标准走货，需要是不含微塑料版本 。
 *涉及到硼的，请使用低硼版本
 *客户不接受PVC材质包装</t>
  </si>
  <si>
    <t>94614-3.24</t>
  </si>
  <si>
    <t>4500157112-10</t>
  </si>
  <si>
    <t>3/26-3/28出</t>
  </si>
  <si>
    <t>3/10-防盗贴纸+3/3-外箱贴纸</t>
  </si>
  <si>
    <t>日期码格式：ZURU INC(BVI) 标准格式 日期：按实际生产日期 
Packaging Info: 9279SQ1: MA英语UPC版本包装（收缩膜和说明书, MA首选1L，如无1L可用多语且含英语的配套多语包装) + 1张防盗贴纸 (贴纸以及位置图翻单PO#4500095104）+ 箱
 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</si>
  <si>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94650-3.27</t>
  </si>
  <si>
    <t>4500157113-10</t>
  </si>
  <si>
    <t>日期码格式：ZURU INC(BVI) 标准格式 日期：按实际生产日期 
Packaging Info: 9279SQ1: MA英语UPC版本包装（收缩膜和说明书, MA首选1L，如无1L可用多语且含英语的配套多语包装) + 1张防盗贴纸 (贴纸以及位置图翻单PO#4500095104）+ 箱
 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</si>
  <si>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94651-3.27</t>
  </si>
  <si>
    <t>4500157300-20</t>
  </si>
  <si>
    <t>2/13收到</t>
  </si>
  <si>
    <t>3/6-价格贴纸</t>
  </si>
  <si>
    <t>日期码格式：ZURU INC(BVI) 标准格式 日期：按实际生产日期 
Packaging Info: MA UPC包装+价格贴纸，价格贴纸客供。#77516球的收缩膜用无条码版本或者加空白贴纸覆盖条码信息。
 #92114 是combo pack, 混装了 9269（华康生产）+9279（兴信生产），在兴信组装 。
Remark: 1. 产品和包装上印刷tracking code信息，格式为ZURU常规格式。
 2. 分5个DC出货，每款产品每个DC的箱唛资料不同。具体分DC数量，请参考后面行项目备注。
 3. ZURU QC验货。</t>
  </si>
  <si>
    <t>ZB00060-3.28/ZB00074-3.29</t>
  </si>
  <si>
    <t>Marshalls
DC#881-384PCS
,
DC#884-288PCS
,
DC#886-432PCS
,
DC#887-336PCS
,
DC#888-360PCS</t>
  </si>
  <si>
    <t>4500157297-20</t>
  </si>
  <si>
    <t>3/4-价格贴纸</t>
  </si>
  <si>
    <t>日期码格式：ZURU INC(BVI) 标准格式 日期：按实际生产日期
Packaging Info: MA UPC包装+价格贴纸，价格贴纸客供。
 #92114 是combo pack, 混装了 9269（华康生产）+9279（兴信生产），在兴信组装 。
Remark: 1. 产品和包装上印刷tracking code信息，格式为ZURU常规格式。
 2. 分5个DC出货，每款产品每个DC的箱唛资料不同。具体分DC数量，请参考后面行项目备注。
 3. ZURU QC验货。</t>
  </si>
  <si>
    <t>ZB00053-3.27</t>
  </si>
  <si>
    <t>Sierra
PO#IC930282,
SKU#6XKXU-02,
DC#0810</t>
  </si>
  <si>
    <t>4500158136-20</t>
  </si>
  <si>
    <t>4/1出</t>
  </si>
  <si>
    <t>2/25收到</t>
  </si>
  <si>
    <t>日期码格式：ZURU INC(BVI) 标准格式 日期：按实际生产日期 
Packaging Info: MA UPC包装+价格贴纸，价格贴纸客供。
Remark: 1. 产品和包装上印刷tracking code信息，格式为ZURU常规格式。
 2. 只有1个DC, 具体信息见行项目备注。
 3. ZURU QC验货。</t>
  </si>
  <si>
    <t>ZB00088-4.1</t>
  </si>
  <si>
    <t>TJ MAXX
DC#891-168PCS
,
DC#894-132PCS
,
DC#896-120PCS
,
DC#897-252PCS
,
DC#898-132PCS</t>
  </si>
  <si>
    <t>4500157300-50</t>
  </si>
  <si>
    <t>ZB00099-4.3</t>
  </si>
  <si>
    <t>Marshalls
DC#881-132PCS
,
DC#884-96PCS,
DC#886-132PCS
,
DC#887-120PCS
,
DC#888-120PCS</t>
  </si>
  <si>
    <t>4500157297-50</t>
  </si>
  <si>
    <t>ZB00100-4.3</t>
  </si>
  <si>
    <t>TJX UK:
PO#50565119</t>
  </si>
  <si>
    <t>4500157606-70</t>
  </si>
  <si>
    <t>4/2出</t>
  </si>
  <si>
    <t>2/24收到</t>
  </si>
  <si>
    <t>3/10-价格贴纸</t>
  </si>
  <si>
    <t>日期码格式：ZURU INC(BVI) 标准格式 日期：按实际生产日期 
Packaging Info: TJX UK: TJX UK: PO#50565119(9279)---TJX UK: PO#50565121(9279)
 9279: MA 3L(23Lwarning) 最新UPC包装+1张客供价格贴纸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</si>
  <si>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94686-4.1</t>
  </si>
  <si>
    <t>TJX UK:
PO#50565121</t>
  </si>
  <si>
    <t>4500157606-80</t>
  </si>
  <si>
    <t>TJX
Europe-DE:
PO#55565203</t>
  </si>
  <si>
    <t>4500157593-70</t>
  </si>
  <si>
    <t>日期码格式：ZURU INC(BVI) 标准格式 日期：按实际生产日期 
Packaging Info: TJX Europe-DE: PO#55565203(9279)---TJX Europe-DE: PO#55565212(9279)
 9279: MA 3L(23Lwarning) 最新UPC包装+1张客供价格贴纸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</si>
  <si>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94685-4.1</t>
  </si>
  <si>
    <t>TJX
Europe-DE:
PO#55565212</t>
  </si>
  <si>
    <t>4500157593-80</t>
  </si>
  <si>
    <t>4500158156-10</t>
  </si>
  <si>
    <t>4/1-4/3出</t>
  </si>
  <si>
    <t>2/21收到</t>
  </si>
  <si>
    <t>3/10-防盗有贴纸+外箱贴纸</t>
  </si>
  <si>
    <t>日期码格式：ZURU INC(BVI) 标准格式 日期：按实际生产日期 
Packaging Info: 9279SQ1: MA英语UPC版本包装（收缩膜和说明书, MA首选1L，如无1L可用多语且含英语的配套多语包装) + 1张防盗贴纸 (贴纸以及位置图翻单PO#4500095104）+ 箱
 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</si>
  <si>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94691-4.2</t>
  </si>
  <si>
    <t>4500158157-10</t>
  </si>
  <si>
    <t>日期码格式：ZURU INC(BVI) 标准格式 日期：按实际生产日期 
Packaging Info: 9279SQ1: MA英语UPC版本包装（收缩膜和说明书, MA首选1L，如无1L可用多语且含英语的配套多语包装) + 1张防盗贴纸 (贴纸以及位置图翻单PO#4500095104）+ 箱
 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</si>
  <si>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94692-4.2</t>
  </si>
  <si>
    <t>客户订单号PO#
30 408685, 箱
唛需用TJ Maxx
DC#899</t>
  </si>
  <si>
    <t>4500158049-30</t>
  </si>
  <si>
    <t>3/4-客供价格贴纸</t>
  </si>
  <si>
    <t>日期码格式：ZURU INC(BVI) 标准格式 日期：按实际生产日期
Packaging Info: MA UPC包装+价格贴纸，价格贴纸客供
Remark: 1. 产品和包装上印刷tracking code信息，格式为ZURU常规格式。
 2. 请见行项目所备注的客户订单号和DC，不同的订单DC所对应的箱唛资料会不同
 3. ZURU QC验货</t>
  </si>
  <si>
    <t>ZB00116-4.9</t>
  </si>
  <si>
    <t>4500157308-20</t>
  </si>
  <si>
    <t>正常生产</t>
  </si>
  <si>
    <t>4/11出</t>
  </si>
  <si>
    <t>3/21-客供价格贴纸</t>
  </si>
  <si>
    <t>日期码格式：ZURU INC(BVI) 标准格式 日期：按实际生产日期
Packaging Info: MA UPC包装+价格贴纸，价格贴纸客供。
 #92114 是combo pack, 混装了 9269（华康生产）+9279（兴信生产），在兴信组装 。
Remark: 1. 产品和包装上印刷tracking code信息，格式为ZURU常规格式。
 2. 分5个DC出货，每款产品每个DC的箱唛资料不同。具体分DC数量，请参考后面行项目备注。
 3. ZURU QC验货</t>
  </si>
  <si>
    <t>ZB00125-4.10/ZB00135-4.15/ZB00152-4.18</t>
  </si>
  <si>
    <t>4500157305-20</t>
  </si>
  <si>
    <t>4/16出</t>
  </si>
  <si>
    <t>日期码格式：ZURU INC(BVI) 标准格式 日期：按实际生产日期 
Packaging Info: MA UPC包装+价格贴纸，价格贴纸客供。
 #92114 是combo pack, 混装了 9269（华康生产）+9279（兴信生产），在兴信组装 。
Remark: 1. 产品和包装上印刷tracking code信息，格式为ZURU常规格式。
 2. 分5个DC出货，每款产品每个DC的箱唛资料不同。具体分DC数量，请参考后面行项目备注。
 3. ZURU QC验货。</t>
  </si>
  <si>
    <t>ZB00117-4.9/ZB00141-4.16</t>
  </si>
  <si>
    <t>4500158787-10</t>
  </si>
  <si>
    <t>4/9-4/11出</t>
  </si>
  <si>
    <t>3/3收到</t>
  </si>
  <si>
    <t>3/10-防盗贴纸+3/17-外箱贴纸</t>
  </si>
  <si>
    <t>94743-4.10</t>
  </si>
  <si>
    <t>4500158785-10</t>
  </si>
  <si>
    <t>日期码格式：ZURU INC(BVI) 标准格式 日期：按实际生产日期
Packaging Info: 9279SQ1: MA英语UPC版本包装（收缩膜和说明书, MA首选1L，如无1L可用多语且含英语的配套多语包装) + 1张防盗贴纸 (贴纸以及位置图翻单PO#4500095104）+ 箱
 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</si>
  <si>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94744-4.10</t>
  </si>
  <si>
    <t>LLC CSI</t>
  </si>
  <si>
    <t>4500158125-60</t>
  </si>
  <si>
    <t>4/14出</t>
  </si>
  <si>
    <t>3/6-进口商贴纸+外箱贴纸</t>
  </si>
  <si>
    <t>日期码格式：ZURU INC(BVI) 标准格式 日期：按实际生产日期 Tracking Code:
Packaging Info:
 9279SQ1 ： 1L MA包装 （UPC 条码）+ 进口商贴纸(含客人条码），1L MA PDQ + 进口商贴纸 ； MA说明书/指南（如有）；
Remark: 标准配比
 1.外箱有贴纸：
 外箱正唛两面需要印产品黑白款式的图片；
 外箱侧唛（两面）的右上角各贴一张外箱贴纸.
 2.此客户验货时需要提供以下三种图片，请务必拍照清晰图片：
 产品净重图片；
 产品+包装毛重图片；
 一箱产品的毛重图片。</t>
  </si>
  <si>
    <t>94829-4.22</t>
  </si>
  <si>
    <t>4500157308-50</t>
  </si>
  <si>
    <t>4500157305-50</t>
  </si>
  <si>
    <t>4500159192-50</t>
  </si>
  <si>
    <t>4/8出</t>
  </si>
  <si>
    <t>翻4500154728</t>
  </si>
  <si>
    <t>中文3C贴纸+中文收藏指南+中文布标(可用布标贴纸)+年龄贴纸翻单： 4500154728</t>
  </si>
  <si>
    <t>日期码格式：ZURU INC(BVI) 标准格式 日期：按实际生产日期
Packaging Info: 物料要求 SKU 所有款号务必使用带有CCC 标识的AW
 4 9279SQ1 UPC# 193052050014， MA PDQ+中文3C贴纸+中文收藏指南+中文布标(可用布标贴纸)+年龄贴纸 翻单： 4500154728
 6. 40 50 60行 取消客供芯片码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</si>
  <si>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Dona Tang</t>
  </si>
  <si>
    <t>94722-4.8</t>
  </si>
  <si>
    <t>TRU ASIA-THA</t>
  </si>
  <si>
    <t>泰国</t>
  </si>
  <si>
    <t>26-101982</t>
  </si>
  <si>
    <t>4500158103-40</t>
  </si>
  <si>
    <t>2/27收到</t>
  </si>
  <si>
    <t>3/25-进口商贴纸</t>
  </si>
  <si>
    <t>日期码格式：ZURU INC(BVI) 标准格式 日期：按实际生产日期
Packaging Info: 1.MA UPC包装（优先1L)+1张进口商贴纸+1张空白贴纸盖住包装上的G Mark(确保空白贴纸厚度足够，不会透出字体，贴纸颜色请严格按照要求，避免色差）
其他item-MA UPC包装（优先1L)+1张进口商贴纸,不需要空白贴纸因为进口商贴纸已经盖住了G MARK。贴纸AW、位置图待提供
2.内容都是一样的，如果尺寸也一样，请一起订购节省成本
3.彩盒条码/纸箱不接受任何贴纸
Remark:
9279-7 assortment (6 common + 1 rare); RAGDOLL CA (RARE): AMERICAN SHORTHAIR: CALICO CAT: BLACK CAT: BENGAL CAT: EXOTIC CAT: CHINCHILLA CAT= 1:9
:10:10:10: 10:10;</t>
  </si>
  <si>
    <t>94721-4.8</t>
  </si>
  <si>
    <t>4500157310-10</t>
  </si>
  <si>
    <t>4/23出</t>
  </si>
  <si>
    <t>ZB00138-4.16  ZB00155-4.22  ZB00172-4.23</t>
  </si>
  <si>
    <t>4500157311-10</t>
  </si>
  <si>
    <t>4/18出</t>
  </si>
  <si>
    <t>日期码格式：ZURU INC(BVI) 标准格式 日期：按实际生产日期 
Packaging Info: MA UPC包装+价格贴纸，价格贴纸客供。
 #92114 是combo pack, 混装了 9269（华康生产）+9279（兴信生产），在兴信组装 。"
Remark: 1. 产品和包装上印刷tracking code信息，格式为ZURU常规格式。
 2. 分5个DC出货，每款产品每个DC的箱唛资料不同。具体分DC数量，请参考后面行项目备注。
 3. ZURU QC验货。</t>
  </si>
  <si>
    <t>ZB00137-4.16  ZB00173-4.24</t>
  </si>
  <si>
    <t>LLC &lt;&lt;Rich Family&gt;&gt;</t>
  </si>
  <si>
    <t>4500159190-40</t>
  </si>
  <si>
    <t>3/18收到</t>
  </si>
  <si>
    <t>3/18-进口商贴纸（含客户EAN 条码）</t>
  </si>
  <si>
    <t>日期码格式：ZURU INC(BVI) 标准格式 日期：按实际生产日期 
Packaging Info: 9279： 1L MA 包装+ 进口商贴纸（含客户EAN 条码）， MA 说明书/指南（如有）；
Remark: 标准配比</t>
  </si>
  <si>
    <t>94863-4.28</t>
  </si>
  <si>
    <t>Amazon CA (Vendor Center)</t>
  </si>
  <si>
    <t>6L1EAHSM</t>
  </si>
  <si>
    <t>4500158946-10</t>
  </si>
  <si>
    <t>9279E-S001-NB-3L</t>
  </si>
  <si>
    <t>9279E-S001-NB</t>
  </si>
  <si>
    <t>4/20-4/26出</t>
  </si>
  <si>
    <t>3/21-外箱贴纸</t>
  </si>
  <si>
    <t>日期码格式：ZURU INC(BVI) 标准格式 日期：按实际生产日期
Packaging Info: 出口加拿大，包装需要至少2/3L UPC版，无硼版本。
 #9279: MA 3L+UPC贴纸，UPC贴纸图稿跟返单4500097545。常规款:稀有款=59:1;G:193052054753; E:193052054746;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</si>
  <si>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Kelly Shen/Mia Pan/P</t>
  </si>
  <si>
    <t>94861-4.28</t>
  </si>
  <si>
    <t>6OPWHPIQ</t>
  </si>
  <si>
    <t>4500158946-20</t>
  </si>
  <si>
    <t>3CV5X5JX</t>
  </si>
  <si>
    <t>4500158946-30</t>
  </si>
  <si>
    <t>1JUN4GPZ</t>
  </si>
  <si>
    <t>4500158946-130</t>
  </si>
  <si>
    <t>9279G-S001-NB-3L</t>
  </si>
  <si>
    <t>9279G-S001-NB</t>
  </si>
  <si>
    <t>日期码格式：ZURU INC(BVI) 标准格式 日期：按实际生产日期 
Packaging Info: 出口加拿大，包装需要至少2/3L UPC版，无硼版本。
 #9279: MA 3L+UPC贴纸，UPC贴纸图稿跟返单4500097545。常规款:稀有款=59:1;G:193052054753; E:193052054746;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</si>
  <si>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Amazon UK:
4CH8E1NS</t>
  </si>
  <si>
    <t>4500159542-40</t>
  </si>
  <si>
    <t>9279G-S001-3L</t>
  </si>
  <si>
    <t>空白外箱（加印带Zuru字样的最新logo，除了邮包盒直接做外箱的产品） 无箱唛，MADE IN CHINA 外箱只印一正一侧</t>
  </si>
  <si>
    <t>IT环保标+ES回收环保标志5号翻4500143120</t>
  </si>
  <si>
    <t>3/26-外箱贴纸</t>
  </si>
  <si>
    <t>日期码格式：ZURU INC(BVI) 标准格式 日期：按实际生产日期
Packaging Info: Amazon UK(9548/92104G/71126/9279EG/9543BD)
4. 9279EG
--9279G：9279G 12pcs/ctn, no inner,EXOTIC CAT; CTN Loading: 4W*3D=12pcs/CTN; MA 3L(23L warning)B shrink wrap+ 2张贴纸(1张UPC#+IT环保标，参考翻单
PO#4500124528；1张ES回收环保标志5号，参考翻单PO#4500143120)+MA 最新版布标+MA 5L(23L warning) C收藏指南+其他MA最新版包装；
6.最迟验货不得晚于2025/4/21;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</si>
  <si>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94872-4.29</t>
  </si>
  <si>
    <t>4500159542-70</t>
  </si>
  <si>
    <t>9279E-S001-3L</t>
  </si>
  <si>
    <t>9279E-S001</t>
  </si>
  <si>
    <t>UPC#+IT环保标翻单4500124528+ES回收环保标志5号翻4500143120</t>
  </si>
  <si>
    <t>日期码格式：ZURU INC(BVI) 标准格式 日期：按实际生产日期
Packaging Info: Amazon UK(9548/92104G/71126/9279EG/9543BD)
4. 9279EG
--9279E：9279E 12pcs/ctn, no inner,BENGAL CAT; CTN Loading: 4W*3D=12pcs/CTN; MA 3L(23L warning)B shrink wrap+ 2张贴纸(1张UPC#+IT环保标，参考翻单
PO#4500124528；1张ES回收环保标志5号，参考翻单PO#4500143120)+MA 最新版布标+MA 5L(23L warning) C收藏指南+其他MA最新版包装；
6.最迟验货不得晚于2025/4/21;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</si>
  <si>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TJ MAXX
DC#891-456PCS
,
DC#894-312PCS
,
DC#896-288PCS
,
DC#897-576PCS
,
DC#898-360PCS</t>
  </si>
  <si>
    <t>4500157314-20</t>
  </si>
  <si>
    <t>4/25出</t>
  </si>
  <si>
    <t>ZB00176-4.25  ZB00196-4.29</t>
  </si>
  <si>
    <t>Marshalls
DC#881-432PCS
,
DC#884-288PCS
,
DC#886-408PCS
,
DC#887-312PCS
,
DC#888-360PCS</t>
  </si>
  <si>
    <t>4500157312-20</t>
  </si>
  <si>
    <t>4/29出</t>
  </si>
  <si>
    <t>日期码格式：ZURU INC(BVI) 标准格式 日期：按实际生产日期 
Packaging Info: MA UPC包装+价格贴纸，价格贴纸客供。
Remark: 1. 产品和包装上印刷tracking code信息，格式为ZURU常规格式。
 2. 分4-5个DC出货，每款产品每个DC的箱唛资料不同。具体分DC数量，请参考后面行项目备注。
 3. ZURU QC验货。</t>
  </si>
  <si>
    <t>ZB00177-4.25 ZB00197-4.29</t>
  </si>
  <si>
    <t>TJX CANADA</t>
  </si>
  <si>
    <t>4500158873-60</t>
  </si>
  <si>
    <t>9279-S001-NB-3L</t>
  </si>
  <si>
    <t>9279-S001-NB</t>
  </si>
  <si>
    <t>猫蛋二代（无闪粉）</t>
  </si>
  <si>
    <t>4/22出</t>
  </si>
  <si>
    <t>3/4收到</t>
  </si>
  <si>
    <t>3/31-客供价格贴纸</t>
  </si>
  <si>
    <t>日期码格式： 标准格式 日期：按实际生产日期
Packaging Info: 
 9279 无硼版本 MA 多语UPC版本 UPC 193052050014
Remark: 出加拿大
 有客供价格贴
 每行对应不同的客户PO， 客户PO已分别备注
Zuru验货.日期跟踪码：产品外包装及产品本身都必须有日期跟踪码，ZURU标准格式
 日期码</t>
  </si>
  <si>
    <t>94815-4.22</t>
  </si>
  <si>
    <t>客户PO
30369771</t>
  </si>
  <si>
    <t>4500158873-260</t>
  </si>
  <si>
    <t>客户PO
35521366</t>
  </si>
  <si>
    <t>4500159075-10</t>
  </si>
  <si>
    <t>日期码格式： 标准格式 日期：按实际生产日期
Packaging Info: 9279 无硼版本 MA 多语UPC版本 UPC 193052050014
Remark: 出加拿大
 每行对应不同的客户PO， 客户PO已分别备注
Zuru验货.日期跟踪码：产品外包装及产品本身都必须有日期跟踪码，ZURU标准格式
 日期码</t>
  </si>
  <si>
    <t>94816-4.22</t>
  </si>
  <si>
    <t>客户PO
35521401</t>
  </si>
  <si>
    <t>4500159075-130</t>
  </si>
  <si>
    <t>客户PO
35521925</t>
  </si>
  <si>
    <t>4500159075-210</t>
  </si>
  <si>
    <t>客户PO
30369679</t>
  </si>
  <si>
    <t>4500158873-160</t>
  </si>
  <si>
    <t>日期码格式： 标准格式 日期：按实际生产日期 
Packaging Info: 
 9279 无硼版本 MA 多语UPC版本 UPC 193052050014
Remark: 出加拿大
 有客供价格贴
 每行对应不同的客户PO， 客户PO已分别备注
Zuru验货.日期跟踪码：产品外包装及产品本身都必须有日期跟踪码，ZURU标准格式
 日期码</t>
  </si>
  <si>
    <t>94805-4.21</t>
  </si>
  <si>
    <t>TJ MAXX
DC#891-180PCS
,
DC#894-120PCS
,
DC#896-120PCS
,
DC#897-240PCS
,
DC#898-144PCS</t>
  </si>
  <si>
    <t>4500157314-60</t>
  </si>
  <si>
    <t>正常生产-取消价格贴纸</t>
  </si>
  <si>
    <t>Marshalls
DC#881-144PCS
,
DC#884-96PCS,
DC#886-132PCS
,
DC#887-108PCS
,
DC#888-120PCS</t>
  </si>
  <si>
    <t>4500157312-60</t>
  </si>
  <si>
    <t>日期码格式：ZURU INC(BVI) 标准格式 日期：按实际生产日期 
Packaging Info: MA UPC包装+价格贴纸，价格贴纸客供。
 #92114 是combo pack, 混装了 9269（华康生产）+9279（兴信生产），在兴信组装 。
Remark: 1. 产品和包装上印刷tracking code信息，格式为ZURU常规格式。
 2. 分4-5个DC出货，每款产品每个DC的箱唛资料不同。具体分DC数量，请参考后面行项目备注。
 3. ZURU QC验货。</t>
  </si>
  <si>
    <t>客户PO
30369136</t>
  </si>
  <si>
    <t>4500158924-90</t>
  </si>
  <si>
    <t>日期码格式：ZURU INC(BVI) 标准格式 日期：按实际生产日期 
Packaging Info: 
 9279 无硼版本 MA 多语UPC版本 UPC 193052050014
Remark: 出加拿大
 有客供价格贴
 每行对应不同的客户PO， 客户PO已分别备注
Zuru验货.日期跟踪码：产品外包装及产品本身都必须有日期跟踪码，ZURU标准格式
 日期码</t>
  </si>
  <si>
    <t>94814-4.22</t>
  </si>
  <si>
    <t>客户PO
30369308</t>
  </si>
  <si>
    <t>4500158924-190</t>
  </si>
  <si>
    <t>日期码格式：ZURU INC(BVI) 标准格式 日期：按实际生产日期 
Packaging Info: 
 92114 MA 多语UPC版本 UPC 193052076298
 9279 无硼版本 MA 多语UPC版本 UPC 193052050014
Remark: 出加拿大
 有客供价格贴
 每行对应不同的客户PO， 客户PO已分别备注
Zuru验货.日期跟踪码：产品外包装及产品本身都必须有日期跟踪码，ZURU标准格式
 日期码</t>
  </si>
  <si>
    <t>客户PO
30369369</t>
  </si>
  <si>
    <t>4500158924-290</t>
  </si>
  <si>
    <t>4500158873-280</t>
  </si>
  <si>
    <t>92114-S001-1</t>
  </si>
  <si>
    <t>92114-S001-NB</t>
  </si>
  <si>
    <t>空白贴纸</t>
  </si>
  <si>
    <t>客办-英法PDQQ</t>
  </si>
  <si>
    <t>日期码格式： 标准格式 日期：按实际生产日期 
Packaging Info:
 92114 无硼版本。MA 多语UPC版本收缩膜+空白贴纸（覆盖9269和9279收缩膜上的UPC)+英法彩盒 (UPC 193052076298)
Remark: 出加拿大
 有客供价格贴
 每行对应不同的客户PO， 客户PO已分别备注
Zuru验货.日期跟踪码：产品外包装及产品本身都必须有日期跟踪码，ZURU标准格式
 日期码</t>
  </si>
  <si>
    <t>客户PO
30369740</t>
  </si>
  <si>
    <t>4500158873-290</t>
  </si>
  <si>
    <t>客户PO
35521337</t>
  </si>
  <si>
    <t>4500159075-300</t>
  </si>
  <si>
    <t>日期码格式： 标准格式 日期：按实际生产日期 
Packaging Info: 
 92114 无硼版本。MA 多语UPC版本收缩膜+空白贴纸（覆盖9269和9279收缩膜上的UPC)+英法彩盒 (UPC 193052076298)
Remark: 出加拿大
 每行对应不同的客户PO， 客户PO已分别备注
Zuru验货.日期跟踪码：产品外包装及产品本身都必须有日期跟踪码，ZURU标准格式
 日期码</t>
  </si>
  <si>
    <t>客户PO
35521919</t>
  </si>
  <si>
    <t>4500159075-310</t>
  </si>
  <si>
    <t>客户PO
30369113</t>
  </si>
  <si>
    <t>4500158924-340</t>
  </si>
  <si>
    <t>日期码格式：ZURU INC(BVI) 标准格式 日期：按实际生产日期 
Packaging Info: 
 92114 无硼版本。MA 多语UPC版本收缩膜+空白贴纸（覆盖9269和9279收缩膜上的UPC)+英法彩盒 (UPC 193052076298)
Remark: 出加拿大
 有客供价格贴
 每行对应不同的客户PO， 客户PO已分别备注
Zuru验货.日期跟踪码：产品外包装及产品本身都必须有日期跟踪码，ZURU标准格式
 日期码</t>
  </si>
  <si>
    <t>客户PO
30369216</t>
  </si>
  <si>
    <t>4500158924-350</t>
  </si>
  <si>
    <t>4500161002-10</t>
  </si>
  <si>
    <t>4/21出</t>
  </si>
  <si>
    <t>翻4500159192</t>
  </si>
  <si>
    <t>中文3C贴纸+中文布标(可用布标贴纸)+年龄贴纸 翻4500159192</t>
  </si>
  <si>
    <t>日期码格式：ZURU INC(BVI) 标准格式 日期：按实际生产日期
Packaging Info: 物料要求 SKU 所有款号务必使用带有CCC 标识的AW
3 9279SQ1 UPC# 193052050014， MA PDQ+中文3C贴纸+中文收藏指南+中文布标(可用布标贴纸)+年龄贴纸 翻单： 4500159192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</si>
  <si>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94838-4.24</t>
  </si>
  <si>
    <t>Babyhouse</t>
  </si>
  <si>
    <t>乌兹别克斯坦</t>
  </si>
  <si>
    <t>4500159866-50</t>
  </si>
  <si>
    <t>4/28出</t>
  </si>
  <si>
    <t>3/13收到</t>
  </si>
  <si>
    <t>3/14-进口商贴纸</t>
  </si>
  <si>
    <t>日期码格式：ZURU INC(BVI) 标准格式 日期：按实际生产日期
Packaging Info:9279SQ1 : 1L MA 收缩膜 + 进口商贴纸 ; MA 说明书/指南（如有）;
Remark: 标准配比</t>
  </si>
  <si>
    <t>94879-4.29</t>
  </si>
  <si>
    <t>4500160611-20</t>
  </si>
  <si>
    <t>进口商贴纸翻4500141816</t>
  </si>
  <si>
    <t>日期码格式：ZURU INC(BVI) 标准格式 日期：按实际生产日期 
Packaging Info: 9279：1L B版 MA包装+进口商贴纸；MA指南(如有）
Remark: 标准配比</t>
  </si>
  <si>
    <t>Cora Zhou</t>
  </si>
  <si>
    <t>TJ MAXX
DC#891-432PCS
,
DC#894-336PCS
,
DC#896-288PCS
,
DC#897-600PCS
,
DC#898-336PCS</t>
  </si>
  <si>
    <t>4500157319-20</t>
  </si>
  <si>
    <t>5/9出</t>
  </si>
  <si>
    <t>日期码格式：ZURU INC(BVI) 标准格式 日期：按实际生产日期
Packaging Info: MA UPC包装。
Remark: 1. 产品和包装上印刷tracking code信息，格式为ZURU常规格式。
2. 分5个DC出货，每款产品每个DC的箱唛资料不同。具体分DC数量，请参考后面行项目备注。
3. ZURU QC验货。</t>
  </si>
  <si>
    <t>Marshalls
DC#881-288PCS
,
DC#884-480PCS
,
DC#886-408PCS
,
DC#887-312PCS
,
DC#888-312PCS</t>
  </si>
  <si>
    <t>4500157318-20</t>
  </si>
  <si>
    <t>4/7-客供价格贴纸</t>
  </si>
  <si>
    <t>日期码格式：ZURU INC(BVI) 标准格式 日期：按实际生产日期
Packaging Info: MA UPC包装。
Remark: 1. 产品和包装上印刷tracking code信息，格式为ZURU常规格式。
2. 分4-5个DC出货，每款产品每个DC的箱唛资料不同。具体分DC数量，请参考后面行项目备注。
3. ZURU QC验货。</t>
  </si>
  <si>
    <t>ZB00218-5.9 ZB00219-5.9</t>
  </si>
  <si>
    <t>CORPORACION FAVORITA C.A.</t>
  </si>
  <si>
    <t>厄瓜多尔</t>
  </si>
  <si>
    <t>25-2101103GRK</t>
  </si>
  <si>
    <t>4500159737-10</t>
  </si>
  <si>
    <t>9279SQ1-S001-3L</t>
  </si>
  <si>
    <t>5/12出</t>
  </si>
  <si>
    <t>3/24收到</t>
  </si>
  <si>
    <t>4/15-进口商贴纸</t>
  </si>
  <si>
    <t>日期码格式：2025-05</t>
  </si>
  <si>
    <t>日期码格式：2025-05 日期：
Packaging Info: 9279SQ1：MA 3L UPC包装+MA PDQ包装+MA 多语收藏指南+进口商贴纸+箱唛
Remark: 1.指定日期码：2025-05（外箱/产品/包装/进口商贴纸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2.所有item的包装上的条码必须是UPC，如果后续提供的贴纸资料已将进口商贴纸和UPC条码合并到一张，则不需要额外
再订购UPC贴纸资料，仅需要订购一张进口商贴纸</t>
  </si>
  <si>
    <t>厄多瓜尔</t>
  </si>
  <si>
    <t>25-2101100JEC</t>
  </si>
  <si>
    <t>4500160092-90</t>
  </si>
  <si>
    <t>日期码格式：2025-05 日期：
Packaging Info: 
 9279SQ1：MA 3L UPC包装+MA PDQ包装+MA 多语收藏指南+进口商贴纸+箱唛
Remark: 1.指定日期码：2025-05（外箱/产品/包装/进口商贴纸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t>
  </si>
  <si>
    <t>4500157319-50</t>
  </si>
  <si>
    <t>日期码格式：ZURU INC(BVI) 标准格式 日期：按实际生产日期
Packaging Info: MA UPC包装。
#92114 是combo pack, 混装了 9269（华康生产）+9279（兴信生产），在兴信组装 。
Remark: 1. 产品和包装上印刷tracking code信息，格式为ZURU常规格式。
2. 分5个DC出货，每款产品每个DC的箱唛资料不同。具体分DC数量，请参考后面行项目备注。
3. ZURU QC验货。</t>
  </si>
  <si>
    <t>Marshalls
DC#881-180PCS
,
DC#886-120PCS
,
DC#887-120PCS
,
DC#888-180PCS</t>
  </si>
  <si>
    <t>4500157318-50</t>
  </si>
  <si>
    <t>日期码格式：ZURU INC(BVI) 标准格式 日期：按实际生产日期
Packaging Info: MA UPC包装。
#92114 是combo pack, 混装了 9269（华康生产）+9279（兴信生产），在兴信组装 。"
Remark: 1. 产品和包装上印刷tracking code信息，格式为ZURU常规格式。
2. 分4-5个DC出货，每款产品每个DC的箱唛资料不同。具体分DC数量，请参考后面行项目备注。
3. ZURU QC验货。</t>
  </si>
  <si>
    <t>Marshalls
DC#881-132PCS
,
DC#884-144PCS
,
DC#886-120PCS
,
DC#888-204PCS</t>
  </si>
  <si>
    <t>4500157320-10</t>
  </si>
  <si>
    <t>5/21出</t>
  </si>
  <si>
    <t>日期码格式：ZURU INC(BVI) 标准格式 日期：按实际生产日期
Packaging Info: MA UPC包装。
#92114 是combo pack, 混装了 9269（华康生产）+9279（兴信生产），在兴信组装 。
Remark: 1. 产品和包装上印刷tracking code信息，格式为ZURU常规格式。
2. 分4-5个DC出货，每款产品每个DC的箱唛资料不同。具体分DC数量，请参考后面行项目备注。
3. ZURU QC验货。</t>
  </si>
  <si>
    <t>4500157321-10</t>
  </si>
  <si>
    <t>4500161963-20</t>
  </si>
  <si>
    <t>5/14-5/16出</t>
  </si>
  <si>
    <t>4/10收到</t>
  </si>
  <si>
    <t>4/25-防盗贴纸+4/21-外箱贴纸</t>
  </si>
  <si>
    <t>日期码格式：ZURU INC(BVI) 标准格式 日期：按实际生产日期
Packaging Info:
9279SQ1: MA英语UPC版本包装（收缩膜和说明书, MA首选1L，如无1L可用多语且含英语的配套多语包装) + 1张防盗贴纸 (贴纸以及位置图翻单PO#4500095104）+ 箱
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</si>
  <si>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4500161960-30</t>
  </si>
  <si>
    <t>日期码格式：ZURU INC(BVI) 标准格式 日期：按实际生产日期
Packaging Info:
9279SQ1: MA英语UPC版本包装（收缩膜和说明书, MA首选1L，如无1L可用多语且含英语的配套多语包装) + 1张防盗贴纸 (贴纸以及位置图翻单PO#4500095104）+ 箱
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</si>
  <si>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UPD, INC.</t>
  </si>
  <si>
    <t>PO# 34715</t>
  </si>
  <si>
    <t>4500162408-90</t>
  </si>
  <si>
    <t>5/19出</t>
  </si>
  <si>
    <t>4/11收到</t>
  </si>
  <si>
    <t>日期码格式：ZURU INC(BVI) 标准格式 日期：按实际生产日期
Packaging Info: 1.ZURU 标准日期码格式，
2.无第三方测试和验货，ZURU 内部QC验货即可出货
Remark: 3. 优先 MA 1L UPC包装;
4. 纸箱印ZURU LOGO，出口美国；</t>
  </si>
  <si>
    <t>Sia Liu</t>
  </si>
  <si>
    <t>4500162951-20</t>
  </si>
  <si>
    <t>5/22出</t>
  </si>
  <si>
    <t>翻单： 4500161002</t>
  </si>
  <si>
    <t>中文3C贴纸+中文布标(可用布标贴纸)+年龄贴纸翻4500161002</t>
  </si>
  <si>
    <t>日期码格式：ZURU INC(BVI) 标准格式 日期：按实际生产日期
Packaging Info: 物料要求 SKU 所有款号务必使用带有CCC 标识的AW
1 9279SQ1 UPC# 193052050014， MA PDQ+中文3C贴纸+中文收藏指南+中文布标(可用布标贴纸)+年龄贴纸 翻单： 4500161002
2.此单取消芯片码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</si>
  <si>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4500162951-10</t>
  </si>
  <si>
    <t>4500163803-10</t>
  </si>
  <si>
    <t>4/15收到</t>
  </si>
  <si>
    <t>4/25-防盗贴纸+4/21外箱贴纸</t>
  </si>
  <si>
    <t>日期码格式：ZURU INC(BVI) 标准格式 日期：按实际生产日期
Packaging Info: 9279SQ1: MA英语UPC版本包装（收缩膜和说明书, MA首选1L，如无1L可用多语且含英语的配套多语包装) + 1张防盗贴纸 (贴纸以及位置图翻单PO#4500095104）+ 箱
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</si>
  <si>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4500163802-10</t>
  </si>
  <si>
    <t>5/12-防盗贴纸+4/21外箱贴纸</t>
  </si>
  <si>
    <t>日期码格式：ZURU INC(BVI) 标准格式 日期：按实际生产日期
Packaging Info: 9279SQ1: MA英语UPC版本包装（收缩膜和说明书, MA首选1L，如无1L可用多语且含英语的配套多语包装) + 1张防盗贴纸 (贴纸以及位置图翻单PO#4500095104）+ 箱
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</si>
  <si>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Dino LLC</t>
  </si>
  <si>
    <t>亚美尼亚</t>
  </si>
  <si>
    <t>4500162547-40</t>
  </si>
  <si>
    <t>5/30出</t>
  </si>
  <si>
    <t>4/16收到</t>
  </si>
  <si>
    <t>4/16-进口商贴纸</t>
  </si>
  <si>
    <t>日期码格式：ZURU INC(BVI) 标准格式 日期：按实际生产日期
Packaging Info: 1L MA UPC 收缩膜+ 进口商贴纸， MA PDQ/说明书/指南（如有）
Remark: 标准配比</t>
  </si>
  <si>
    <t>Ann</t>
  </si>
  <si>
    <t>CORPORACION EL ROSADO S.A. 9</t>
  </si>
  <si>
    <t>2025-0344</t>
  </si>
  <si>
    <t>4500163838-30</t>
  </si>
  <si>
    <t>4/17收到</t>
  </si>
  <si>
    <t>5/7-进口上贴纸</t>
  </si>
  <si>
    <t>日期码格式：ZURU INC(BVI) 标准格式 日期：按实际生产日期
Packaging Info: 
9279SQ1：MA 3L UPC包装+MA 3L PDQ+进口商贴纸+箱唛
Remark: 
9279SQ1：7 assortment (6 common + 1 rare); RAGDOLL CA (RARE): AMERICAN SHORTHAIR: CALICO CAT: BLACK CAT: BENGAL CAT: EXOTIC CAT: CHINCHILLA CAT=
1:9:10:10:10: 10:10</t>
  </si>
  <si>
    <t>LLC SALUS</t>
  </si>
  <si>
    <t>4500162283-30</t>
  </si>
  <si>
    <t>5/29出</t>
  </si>
  <si>
    <t>4/24收到</t>
  </si>
  <si>
    <t>5/6-进口商贴纸+ QR code贴纸</t>
  </si>
  <si>
    <t>注意：
 1. QR code 贴纸要求尺寸大于1CM （鉴于1-1.5cm），强占不易脱落 ， 热转印印刷 ，印刷质量不低于1.5c .
 2. 二维码贴纸位置要远离包装上的条码及其他二维码， 贴在背面。
 3. QR code贴纸（要求每1PCS 的QR 不一样 ， 无法通过扫描核实内容）;
 4. 包装上有两个条码： ZURU UPC 和 客户EAN条码 ， 不要覆盖MA 包装上的UPC 条码；</t>
  </si>
  <si>
    <t>日期码格式：ZURU INC(BVI) 标准格式 日期：按实际生产日期
Packaging Info: 注意：
 1. QR code 贴纸需要含item和序列号 ， 二维码部分要求尺寸大于1CM （正方形边长间于1-1.5cm），强粘不易脱落 ， 材质同进口商贴纸 ，印刷质量不低于1.5c
 .
 2. 二维码贴纸位置要远离包装上的条码及其他二维码， 贴在背面。
 3. QR code贴纸（要求每1PCS 的QR 不一样 ， 无法通过扫描核实内容）;
 4. 包装上有两个条码： ZURU UPC 和 客户EAN条码 ， 不要覆盖MA 包装上的UPC 条码；
9279 ： 1L MA 包装+ 进口商贴纸（含客户EAN条码）+ QR code贴纸（要求每1PCS 的QR 不一样）， MA 指南；
Remark: 标准配比，出厂价</t>
  </si>
  <si>
    <t>20768436</t>
  </si>
  <si>
    <t>4500162969-50</t>
  </si>
  <si>
    <t>5/27-5/30出</t>
  </si>
  <si>
    <t>4/22收到</t>
  </si>
  <si>
    <t>5/13-防盗贴纸+5/6-外箱贴纸</t>
  </si>
  <si>
    <t>日期码格式：ZURU INC(BVI) 标准格式 日期：按实际生产日期
Packaging Info: 
9279SQ1: MA英语UPC版本包装（收缩膜和说明书, MA首选1L，如无1L可用多语且含英语的配套多语包装) + 1张防盗贴纸 (贴纸以及位置图翻单PO#4500095104）+ 箱
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</si>
  <si>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4500162968-40</t>
  </si>
  <si>
    <t>日期码格式：ZURU INC(BVI) 标准格式 日期：按实际生产日期
Packaging Info: 
9279SQ1: MA英语UPC版本包装（收缩膜和说明书, MA首选1L，如无1L可用多语且含英语的配套多语包装) + 1张防盗贴纸 (贴纸以及位置图翻单PO#4500095104）+ 箱
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</si>
  <si>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1TZHID5U</t>
  </si>
  <si>
    <t>4500163897-10</t>
  </si>
  <si>
    <t>5/28-6/2交仓</t>
  </si>
  <si>
    <t>5/12-外箱贴纸</t>
  </si>
  <si>
    <t>日期码格式：ZURU INC(BVI) 标准格式 日期：按实际生产日期
Packaging Info: 
#9279: MA + UPC贴纸, UPC贴纸图稿跟返单4500097545。常规款：稀有款=59：1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</si>
  <si>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2SZWCWJY</t>
  </si>
  <si>
    <t>4500163897-20</t>
  </si>
  <si>
    <t>12EMP7OA</t>
  </si>
  <si>
    <t>4500163897-30</t>
  </si>
  <si>
    <t>5ZLAYPHZ</t>
  </si>
  <si>
    <t>4500163897-40</t>
  </si>
  <si>
    <t>1FNQ2R5E</t>
  </si>
  <si>
    <t>4500163897-50</t>
  </si>
  <si>
    <t xml:space="preserve"> 
31R2RAYF</t>
  </si>
  <si>
    <t>4500163897-60</t>
  </si>
  <si>
    <t>Jiwildy Ltd</t>
  </si>
  <si>
    <t>毛里求斯</t>
  </si>
  <si>
    <t>4500163069-30</t>
  </si>
  <si>
    <t>4/9收到</t>
  </si>
  <si>
    <t>日期码格式：ZURU INC(BVI) 标准格式 日期：按实际生产日期
Packaging Info: MA PKG, 优先1L（全部为 UPC 12位数字的条码）
Remark:</t>
  </si>
  <si>
    <t>PI:1100028524
出RU</t>
  </si>
  <si>
    <t>4500162852-200</t>
  </si>
  <si>
    <t>5/7-进口商贴纸</t>
  </si>
  <si>
    <t>日期码格式：ZURU INC(BVI) 标准格式 日期：按实际生产日期
Packaging Info: 
9279： 1L 收缩膜+进口商贴纸， MA 指南
Remark: 标准配比
出两个国家 ；</t>
  </si>
  <si>
    <t>CORA ZHOU</t>
  </si>
  <si>
    <t>Planet of Toys Ltd</t>
  </si>
  <si>
    <t>吉尔吉斯斯坦</t>
  </si>
  <si>
    <t>4500164616-60</t>
  </si>
  <si>
    <t>4/23收到</t>
  </si>
  <si>
    <t>4/30收到通用贴纸</t>
  </si>
  <si>
    <t>日期码格式：ZURU INC(BVI) 标准格式 日期：按实际生产日期
Packaging Info: 1L MA UPC 包装 + 通用贴纸 ， MA 说明书/指南/PDQ （如有）；
Remark: 标准配比</t>
  </si>
  <si>
    <t>SUBURBIA S DE R. L. DE C. V.</t>
  </si>
  <si>
    <t>4500162850-20</t>
  </si>
  <si>
    <t>外箱只需四面印Zuru logo</t>
  </si>
  <si>
    <t>5/9-进口商贴纸+价标贴纸</t>
  </si>
  <si>
    <t>日期码格式：ZURU INC(BVI) 标准格式 日期：按实际生产日期
Packaging Info:
9279SQ1：MA 多语UPC 包装+MA 多语PDQ+进口商贴纸+价标贴纸
1. 外箱只需四面印Zuru logo，再加2张贴纸，1张Hu贴纸（条码贴），1张ASN贴纸（尺寸6.5cm*6.3cm,潘通色号2597C），都贴于侧唛，只需贴1面(HU贴纸和ASN贴
纸客供）
2. 一个外箱对应一个HU’S(条形码),不可以混条码包装
3.含有说明书需要增加说明书贴纸
4.价格贴纸覆盖原有包装的条形码
Remark:
9279SQ1:7 assortment (6 common + 1 rare); RAGDOLL CA (RARE): AMERICAN SHORTHAIR: CALICO CAT: BLACK CAT: BENGAL CAT: EXOTIC CAT: CHINCHILLA CAT=
1:9:10:10:10: 10:10;
此单有监柜要求，需要每款多准备一套完整物料，用于监柜，不可以随大货走</t>
  </si>
  <si>
    <t>Ever Li</t>
  </si>
  <si>
    <t>Amazon EU SARL, Ndl Deutschland</t>
  </si>
  <si>
    <t>Amazon
UK:52RKK4DE</t>
  </si>
  <si>
    <t>4500164250-60</t>
  </si>
  <si>
    <t>6/16-6/20出</t>
  </si>
  <si>
    <t>空白外箱（加印带Zuru字样的最新logo，除了邮包盒直接做外箱的产品） + SSCC LABEL一张, 无箱唛，MADE IN CHINA 外箱只印一正一侧</t>
  </si>
  <si>
    <t>UPC+IT环保标翻单4500122000+ZURU邮箱翻4500149035</t>
  </si>
  <si>
    <t>日期码格式：ZURU INC(BVI) 标准格式 日期：按实际生产日期
Packaging Info: Amazon UK(15714K/7150B/77673/77723/92119AH/9279B/9561)/FR(9543D)/DE(71126/77555/77731/92104G/9543E)
6. 9279B：9279B 12pcs/ctn, no inner,CALICO CAT; CTN Loading: 4W*3D=12pcs/CTN; MA 3L(23L warning)B收缩膜+ 2张贴纸(1张UPC#+IT环保标, 参考翻单PO#45
00122000; 1张ZURU邮箱，参考翻单PO#4500149035)+MA 最新版布标+MA 5L(23L warning) C收藏指南+其他MA最新版包装；
14. 最迟验货不得晚于2025/6/6 &amp; 2025/6/9;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</si>
  <si>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Meloman Home Video LLP</t>
  </si>
  <si>
    <t>4500164596-50</t>
  </si>
  <si>
    <t>4/27收到</t>
  </si>
  <si>
    <t>4/27-收到通用进口商贴纸</t>
  </si>
  <si>
    <t>日期码格式：ZURU INC(BVI) 标准格式 日期：按实际生产日期
Packaging Info: 1L MA UPC 包装+ 通用进口商贴纸， MA 指南/说明书（如果有的话）
Remark: 标准配比</t>
  </si>
  <si>
    <t xml:space="preserve"> Gabriel Brothers, Inc.</t>
  </si>
  <si>
    <t xml:space="preserve"> TBA OTP</t>
  </si>
  <si>
    <t>4500165903-10</t>
  </si>
  <si>
    <t>5/16收到</t>
  </si>
  <si>
    <t>日期码格式：ZURU INC(BVI) 标准格式 日期：按实际生产日期
Packaging Info: 1. ZURU MA UPC (首选1L / 多语)包装,
Remark: 2. 产品和包装上印刷tracking code信息，格式为ZURU常规
 3. 整柜FCL 出货，（装柜工厂）装柜时最后一箱正唛贴上装箱单 (不是装柜工厂忽略即可），装箱单需要用透明的袋子装好， 剩下三面贴上'' PACKING LIST ENC
 LOSED '' 的字样 （可以用A4 纸打印）- 船务会发出。
 4. 需ZURU QC 验货合格后方可出货</t>
  </si>
  <si>
    <t xml:space="preserve"> Jessi Xu</t>
  </si>
  <si>
    <t>ZB00712-7.10</t>
  </si>
  <si>
    <t>4500165903-60</t>
  </si>
  <si>
    <t>Amazon ES</t>
  </si>
  <si>
    <t>西班牙</t>
  </si>
  <si>
    <t>Amazon
ES:43R6BUFJ</t>
  </si>
  <si>
    <t>4500165342-30</t>
  </si>
  <si>
    <t>6/27-7/1出</t>
  </si>
  <si>
    <t>5/7-UPC#IT/ES</t>
  </si>
  <si>
    <t>日期码格式：ZURU INC(BVI) 标准格式 日期：按实际生产日期
Packaging Info: Amazon ES(9279AE/9543B/77555)
 1. 9279AE
 --9279E：9279E 12pcs/ctn, no inner,BENGAL CAT; CTN Loading: 4W*3D=12pcs/CTN; MA 3L(23L warning UPC#)B收缩膜+1张贴纸(1张UPC#+IT/ES+ZURU邮箱)+MA
 最新版布标+MA 5L(23L warning) C收藏指南+其他MA最新版包装；
 4.最迟验货不得晚于2025/6/16;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</si>
  <si>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Mandy Hu</t>
  </si>
  <si>
    <t>95521-7.1</t>
  </si>
  <si>
    <t>Amazon ES:
2PRJEGUV</t>
  </si>
  <si>
    <t>4500165342-40</t>
  </si>
  <si>
    <t>9279A-S001-3L</t>
  </si>
  <si>
    <t>9279A-S001</t>
  </si>
  <si>
    <t>日期码格式：ZURU INC(BVI) 标准格式 日期：按实际生产日期
Packaging Info: Amazon ES(9279AE/9543B/77555)
 1. 9279AE
 --9279A：9279A 12pcs/ctn, no inner,AMERICAN SHORTHAIR; CTN Loading: 4W*3D=12pcs/CTN; MA 3L(23L warning UPC#)B收缩膜+1张贴纸(1张UPC#+IT/ES+ZURU邮
 箱)+MA 最新版布标+MA 5L(23L warning) C收藏指南+其他MA最新版包装；
 法德意西5L警示语+塑料循环标&lt;(&gt;,&lt;)&gt; 共用77515胶袋，参考翻单PO#4500154803)+MA 5L (23L warning) A 收藏指南+MA 其他最新配套包装；
 4.最迟验货不得晚于2025/6/16;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</si>
  <si>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UNIPAM SRL</t>
  </si>
  <si>
    <t>4500164781-60</t>
  </si>
  <si>
    <t>9279SQ1-S001-NB-3L</t>
  </si>
  <si>
    <t>5/8收到</t>
  </si>
  <si>
    <t>EAN条码贴纸+意西回收贴纸翻4500149634</t>
  </si>
  <si>
    <t>日期码格式：ZURU INC(BVI) 标准格式 日期：按实际生产日期
Packaging Info: 
4.9279：最新MA 5L收藏指南+最新MA PDQ+最新 MA 3L收缩膜+最新MA 布标+最新MA 5L SLIME胶带+最新MA 贴纸+一张EAN条码贴纸+一张意西回收贴纸，翻4500149634
Remark: 1. SMASHERS 或含Slime产品，所有化合物使用无硼版本出意大利。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意大利订单包装彩卡请确保含法规要求的环保回收logo。</t>
  </si>
  <si>
    <t>Christine He</t>
  </si>
  <si>
    <t>20797148</t>
  </si>
  <si>
    <t>4500165216-30</t>
  </si>
  <si>
    <t>6/11-6/13出</t>
  </si>
  <si>
    <t>5/12-防盗贴纸+5/20-外箱贴纸</t>
  </si>
  <si>
    <t>4500165215-30</t>
  </si>
  <si>
    <t>Amazon
DE:6ZO7E7MK</t>
  </si>
  <si>
    <t>4500165439-60</t>
  </si>
  <si>
    <t>6/28-7/2出</t>
  </si>
  <si>
    <t>空白外箱（加印带Zuru字样的最新logo，除了邮包盒直接做外箱的产品） + SSCC LABEL一张, 无箱唛，MADE IN CHINA 外箱只印一正一侧。</t>
  </si>
  <si>
    <t>UPC+IT翻4500165342</t>
  </si>
  <si>
    <t>5/19-外箱贴纸</t>
  </si>
  <si>
    <t>日期码格式：ZURU INC(BVI) 标准格式 日期：按实际生产日期
Packaging Info: Amazon UK(71137/92104G/9296B/9543A)/DE(9279AE/9543BE)
5. 9279AE
--9279E：9279E 12pcs/ctn, no inner,BENGAL CAT; CTN Loading: 4W*3D=12pcs/CTN; MA 3L(23L warning UPC#)B收缩膜+2张贴纸(1张UPC#，1张IT/ES+ZURU邮箱，
参考翻单PO#4500165342)+MA 最新版布标+MA 5L(23L warning) C收藏指南+其他MA最新版包装；
6. 最迟验货不得晚于2025/6/18;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</si>
  <si>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95532-7.2</t>
  </si>
  <si>
    <t>Amazon
DE:2IHUM3KR</t>
  </si>
  <si>
    <t>4500165439-70</t>
  </si>
  <si>
    <t>日期码格式：ZURU INC(BVI) 标准格式 日期：按实际生产日期
Packaging Info: Amazon UK(71137/92104G/9296B/9543A)/DE(9279AE/9543BE)
5. 9279AE
--9279A：9279A 12pcs/ctn, no inner,AMERICAN SHORTHAIR; CTN Loading: 4W*3D=12pcs/CTN; MA 3L(23L warning UPC#)B收缩膜+2张贴纸(1张UPC#，1张IT/ES+ZU
RU邮箱，参考翻单PO#4500165342)+MA 最新版布标+MA 5L(23L warning) C收藏指南+其他MA最新版包装；
6. 最迟验货不得晚于2025/6/18;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</si>
  <si>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PEPCO POLAND SP. Z.O.O.</t>
  </si>
  <si>
    <t>波兰</t>
  </si>
  <si>
    <t>Port in Roman
ia/0021日期码
：DG 05262025</t>
  </si>
  <si>
    <t>4500166280-90</t>
  </si>
  <si>
    <t>MTQ41-S001-92136</t>
  </si>
  <si>
    <t>狗蛋四代混装（9279+9298）</t>
  </si>
  <si>
    <t>4500162543转单</t>
  </si>
  <si>
    <t>4/3收到</t>
  </si>
  <si>
    <t>5/13-价格贴纸（新稿不同共用款）+外箱贴纸</t>
  </si>
  <si>
    <t>DG 05262025</t>
  </si>
  <si>
    <t>日期码格式：具体参考REMARK备注 日期：
Packaging Info: 1.92135:客版收缩膜+客版布唛+价格贴纸+外箱贴纸；客版收藏指南
92136:客版收缩膜+客版布唛+价格贴纸+外箱贴纸；客版收藏指南
2. 外箱一正一侧有客人贴纸
3.barcode
产品：2200162626768
外箱：2200262626798
Remark: 1. 出5个不同的DC，不同港口产品和收缩膜及外箱上的日期码不一样请按指定日期码 –港口参考PO remark 备注 。
2. 若产品包装是膠片窗口盒,膠片厚度必須是0.23MM而膠片必須平面貼平而不能有起皺問題.
3. 若产品包装膠袋開口位大過4吋, 要打氣孔，膠袋必須符合 0.038mm 厚度.
4. 若产品包装膠袋開口位大過5.5吋, 要打氣孔, 並印上十四國警告語,膠袋必須符合 0.038mm 厚度.
5. 報價樣板 – 須於我方通知後之五天內提供1套跟報價規格及質量一致的樣板.
6. 产前样 –确定下單的貨品須收到我方通知後三天內提供一式3套的產前樣板以作品質檢查,
可用白盒包裝.
7. 签板 – 收到正式訂單後而產品亦得到產前樣板及包裝打稿確認後,工廠需安排簽辦並必須以大貨包裝盒包裝及提供一式3套.簽辦必須於驗貨期前最少兩星期前提
供,工廠須保存簽辦並於驗貨時提供予我方驗貨人員作質量校對用.
8. 大货样板/船頭辦 - 須於出貨期前兩星期提供一式4套大貨樣板/船頭辦到我司.
9. 广告样板 – 須於指定日期前提供每款4套以大貨包裝盒的樣板.而出貨前兩星期是需要提供3套大貨樣板/船頭辦.
10. 价钱贴纸 (8国货币) - 工廠需要貼於產品正面右上角 (建议尺寸2.5CM(長)*4.15cm (高)).
11. 外箱BARCODE 13 位電腦條碼貼紙, 工廠需要貼於產品紙箱一正一側的左上角.(尺寸10CM (長)*10cm (高)).
12. 公仔背部或產品需貼有生產日期MMDDYYYY (月日年),(請根據訂單上列明的資料) 及MADE IN CHINA字樣, 工廠需要自行印在產品底部.
13. 包裝上需要有生產日期MMDDYYYY (月日年), (請根據訂單上列明的資料),必須跟產品上的日期碼一致。
14 . 所有外箱及內箱都不準打釘及扎帶.
15. 货期需要按时，贴纸要正确否则会有罚金。
16 . 可能有20% 和 100% 第三方验货以及客人安排线上抽版测试。届时会提前通知
17.货期不可延，客户会有罚款or取消订单</t>
  </si>
  <si>
    <t>Snowy</t>
  </si>
  <si>
    <t>客办-波兰</t>
  </si>
  <si>
    <t>Port in Roman
ia/0021日期码
：DG 06092025</t>
  </si>
  <si>
    <t>4500166280-100</t>
  </si>
  <si>
    <t>DG 06092025</t>
  </si>
  <si>
    <t>CRG</t>
  </si>
  <si>
    <t>哥斯达黎加</t>
  </si>
  <si>
    <t>ZU02-2025</t>
  </si>
  <si>
    <t>4500167152-70</t>
  </si>
  <si>
    <t>6/24出</t>
  </si>
  <si>
    <t>5/20收到</t>
  </si>
  <si>
    <t>6/3-进口商贴纸</t>
  </si>
  <si>
    <t>日期码格式：ZURU INC(BVI) 标准格式 日期：按实际生产日期
Packaging Info: 
5. 9279SQ1：MA多语UPC包装+MA 多语收藏指南+MA多语PDQ包装+进口商贴纸+箱唛
Remark: 
6. 9279SQ1：7 assortment (6 common + 1 rare); RAGDOLL CA (RARE): AMERICAN SHORTHAIR: CALICO CAT: BLACK CAT: BENGAL CAT: EXOTIC CAT: CHINCHILLA C
AT= 1:9:10:10:10: 10:10;</t>
  </si>
  <si>
    <t xml:space="preserve"> OCEAN STATE JOBBERS, INC</t>
  </si>
  <si>
    <t>4500162227-10</t>
  </si>
  <si>
    <t>7/25出</t>
  </si>
  <si>
    <t>5/27收到</t>
  </si>
  <si>
    <t>5/27-SKU贴纸+UPC贴纸</t>
  </si>
  <si>
    <t>日期码格式：ZURU INC(BVI) 标准格式 日期：按实际生产日期
Packaging Info: 1. MA+UPC版包装(优先1L)+SKU贴纸+UPC贴纸(两个贴纸都必须是可移的)， 出口美国.
Remark: 2.无测试，ZURU QC验货。
 3.纸箱印ZURU LOGO + 箱唛.
 4.产品和包装上需要印刷tracking code信息,格式为ZURU常规</t>
  </si>
  <si>
    <t xml:space="preserve"> Sharon Yang</t>
  </si>
  <si>
    <t>ZB00860-7.25</t>
  </si>
  <si>
    <t>1ELZZFFS</t>
  </si>
  <si>
    <t>4500167361-70</t>
  </si>
  <si>
    <t>5/21收到</t>
  </si>
  <si>
    <t>日期码格式：ZURU INC(BVI) 标准格式 日期：按实际生产日期
Packaging Info: 出口加拿大，包装需要至少2/3L UPC版，无硼版本。
#9279: MA 3L B版本 + UPC贴纸, UPC贴纸图稿跟返单4500097545。常规款：稀有款=59：1;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</si>
  <si>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7IKZ19MV</t>
  </si>
  <si>
    <t>4500167361-80</t>
  </si>
  <si>
    <t>33IYYZNV</t>
  </si>
  <si>
    <t>4500167361-90</t>
  </si>
  <si>
    <t>2ORNIM9J</t>
  </si>
  <si>
    <t>4500167361-100</t>
  </si>
  <si>
    <t>34LN327H</t>
  </si>
  <si>
    <t>4500167361-170</t>
  </si>
  <si>
    <t>6QJFNR3J</t>
  </si>
  <si>
    <t>4500167361-180</t>
  </si>
  <si>
    <t>3DUNNEPY</t>
  </si>
  <si>
    <t>4500167361-190</t>
  </si>
  <si>
    <t>211JSYKZ</t>
  </si>
  <si>
    <t>4500167361-200</t>
  </si>
  <si>
    <t>5W4LQGXC</t>
  </si>
  <si>
    <t>4500167361-210</t>
  </si>
  <si>
    <t>1G5ZGQTE</t>
  </si>
  <si>
    <t>4500167361-220</t>
  </si>
  <si>
    <t>4500151726-20</t>
  </si>
  <si>
    <t>日期码格式： 标准格式 日期：按实际生产日期
Packaging Info: 1.ZURU MA UPC 现有版本包装 + 客供价格贴纸，出口美国 , 优先使用MA 1L 最新版本 ，还未贴价格贴纸的item无需贴。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t>
  </si>
  <si>
    <t>ZB01251-8.14</t>
  </si>
  <si>
    <t>Port in
Slovenia/0018
日期码:DG
06102025</t>
  </si>
  <si>
    <t>4500166280-110</t>
  </si>
  <si>
    <t>4500162573转单</t>
  </si>
  <si>
    <t>DG 06102025</t>
  </si>
  <si>
    <t>日期码格式：具体参考REMARK备注 日期：
Packaging Info: 1.92135:客版收缩膜（翻4500162543）+客版布唛（翻4500162543）+价格贴纸（翻4500162543）+外箱贴纸（翻4500162543）；客版收藏指南（翻4500162543）
92136:客版收缩膜（翻4500162543）+客版布唛（翻4500162543）+价格贴纸（翻4500162543）+外箱贴纸（翻4500162543）；客版收藏指南（翻4500162543）
2. 外箱一正一侧有客人贴纸
3.barcode
产品：2200162626768
外箱：2200262626798
Remark: 1. 出5个不同的DC，不同港口产品和收缩膜及外箱上的日期码不一样请按指定日期码 –港口参考PO remark 备注 。
2. 若产品包装是膠片窗口盒,膠片厚度必須是0.23MM而膠片必須平面貼平而不能有起皺問題.
3. 若产品包装膠袋開口位大過4吋, 要打氣孔，膠袋必須符合 0.038mm 厚度.
4. 若产品包装膠袋開口位大過5.5吋, 要打氣孔, 並印上十四國警告語,膠袋必須符合 0.038mm 厚度.
5. 報價樣板 – 須於我方通知後之五天內提供1套跟報價規格及質量一致的樣板.
6. 产前样 –确定下單的貨品須收到我方通知後三天內提供一式3套的產前樣板以作品質檢查,
可用白盒包裝.
7. 签板 – 收到正式訂單後而產品亦得到產前樣板及包裝打稿確認後,工廠需安排簽辦並必須以大貨包裝盒包裝及提供一式3套.簽辦必須於驗貨期前最少兩星期前提
供,工廠須保存簽辦並於驗貨時提供予我方驗貨人員作質量校對用.
8. 大货样板/船頭辦 - 須於出貨期前兩星期提供一式4套大貨樣板/船頭辦到我司.
9. 广告样板 – 須於指定日期前提供每款4套以大貨包裝盒的樣板.而出貨前兩星期是需要提供3套大貨樣板/船頭辦.
10. 价钱贴纸 (8国货币) - 工廠需要貼於產品正面右上角 (建议尺寸2.5CM(長)*4.15cm (高)).
11. 外箱BARCODE 13 位電腦條碼貼紙, 工廠需要貼於產品紙箱一正一側的左上角.(尺寸10CM (長)*10cm (高)).
12. 公仔背部或產品需貼有生產日期MMDDYYYY (月日年),(請根據訂單上列明的資料) 及MADE IN CHINA字樣, 工廠需要自行印在產品底部.
13. 包裝上需要有生產日期MMDDYYYY (月日年), (請根據訂單上列明的資料),必須跟產品上的日期碼一致。
14 . 所有外箱及內箱都不準打釘及扎帶.
15. 货期需要按时，贴纸要正确否则会有罚金。
16 . 可能有20% 和 100% 第三方验货以及客人安排线上抽版测试。届时会提前通知
17.货期不可延，客户会有罚款or取消订单</t>
  </si>
  <si>
    <t>Port in
Poland/0015
日期码:DG
06162025</t>
  </si>
  <si>
    <t>4500162573-30</t>
  </si>
  <si>
    <t>3/26-价格贴纸+外箱贴纸</t>
  </si>
  <si>
    <t>DG 06162025</t>
  </si>
  <si>
    <t>Port in
Poland/0006
日期码:DG
06172025</t>
  </si>
  <si>
    <t>4500162573-40</t>
  </si>
  <si>
    <t>DG 06172025</t>
  </si>
  <si>
    <t xml:space="preserve"> Sirius Sales (PTY) Ltd</t>
  </si>
  <si>
    <t>南非</t>
  </si>
  <si>
    <t>4500166516-70</t>
  </si>
  <si>
    <t>7/2出</t>
  </si>
  <si>
    <t>日期码格式：ZURU INC(BVI) 标准格式 日期：按实际生产日期
Packaging Info: 1. MA UPC PKG(优先1L)
Remark:</t>
  </si>
  <si>
    <t xml:space="preserve"> Doris Shou</t>
  </si>
  <si>
    <t>95520-7.1</t>
  </si>
  <si>
    <t>Gabriel Brothers, Inc.</t>
  </si>
  <si>
    <t>客人PO:
84006557</t>
  </si>
  <si>
    <t>4500167294-20</t>
  </si>
  <si>
    <t>8/10出</t>
  </si>
  <si>
    <t>日期码格式：ZURU INC(BVI) 标准格式 日期：按实际生产日期
Packaging Info: 1. ZURU MA UPC (首选1L / 多语可以接受)包装,
Remark: 2. 产品和包装上印刷tracking code信息，格式为ZURU常规
3. 整柜FCL 出货，（装柜工厂）装柜时最后一箱正唛贴上装箱单 (不是装柜工厂忽略即可），装箱单需要用透明的袋子装好， 剩下三面贴上'' PACKING LIST ENC
LOSED '' 的字样 （可以用A4 纸打印）- 船务会发出。
4. 需ZURU QC 验货合格后方可出货</t>
  </si>
  <si>
    <t>ZB01159-8.11</t>
  </si>
  <si>
    <t>客人PO:
84006558</t>
  </si>
  <si>
    <t>4500167294-60</t>
  </si>
  <si>
    <t>ZB01127-8.5</t>
  </si>
  <si>
    <t>Port in
Spain/ 0027
日期码:DG
06142025</t>
  </si>
  <si>
    <t>4500162573-20</t>
  </si>
  <si>
    <t>DG 06142025</t>
  </si>
  <si>
    <t>2025-HKC164</t>
  </si>
  <si>
    <t>4500167357-10</t>
  </si>
  <si>
    <t>7/5出</t>
  </si>
  <si>
    <t>6/10-进口商贴纸</t>
  </si>
  <si>
    <t>日期码格式：ZURU INC(BVI) 标准格式 日期：按实际生产日期
Packaging Info: MA 3L UPC 包装+进口商贴纸+箱唛
Remark:</t>
  </si>
  <si>
    <t>95771-7.25</t>
  </si>
  <si>
    <t>PT. EMWAY GLOBALINDO</t>
  </si>
  <si>
    <t>印度尼西亚</t>
  </si>
  <si>
    <t>4500167894-10</t>
  </si>
  <si>
    <t>5/26收到</t>
  </si>
  <si>
    <t>日期码格式：ZURU INC(BVI) 标准格式 日期：按实际生产日期
Packaging Info: MA UPC包装（优先1L)
可能会被抽样，请多准备样品，CRD前15天会告知有没有被抽中
有第三方验货，将于CRD前一周提供验货员信息，请按订单CRD准时完货
Remark: 9279-7 assortment (6 common + 1 rare); RAGDOLL CA (RARE): AMERICAN SHORTHAIR: CALICO CAT: BLACK CAT: BENGAL CAT: EXOTIC CAT: CHINCHILLA CAT= 1:9
:10:10:10: 10:10;</t>
  </si>
  <si>
    <t>95670-7.17</t>
  </si>
  <si>
    <t>Wonderland Toys, Inc.</t>
  </si>
  <si>
    <t>4500167544-30</t>
  </si>
  <si>
    <t>消耗4500158476-360PCS-纸箱水贴纸更正</t>
  </si>
  <si>
    <t>7/18出</t>
  </si>
  <si>
    <t>5/28收到</t>
  </si>
  <si>
    <t>日期码格式：ZURU INC(BVI) 标准格式 日期：按实际生产日期
Packaging Info: 1. 出口美国，MA UPC 版本包装，优先1L。
#9279SQ1: 7 assortment (6 common + 1 rare); RAGDOLL CA (RARE): AMERICAN SHORTHAIR: CALICO CAT: BLACK CAT: BENGAL CAT: EXOTIC CAT: CHINCHILLA CA
T= 1:9:10:10:10: 10:10;
Remark: 2. Zuru QC 验货即可</t>
  </si>
  <si>
    <t>Abby Mai,Lluvia Zeng</t>
  </si>
  <si>
    <t xml:space="preserve">ZB00805R1-7.18
</t>
  </si>
  <si>
    <t>4500168727-20</t>
  </si>
  <si>
    <t>7/21出</t>
  </si>
  <si>
    <t>6/6收到</t>
  </si>
  <si>
    <t>6/18-进口商贴纸</t>
  </si>
  <si>
    <t>日期码格式：ZURU INC(BVI) 标准格式 日期：按实际生产日期
Packaging Info:
9279，：MA UPC收缩膜+进口商贴纸；MA指南；
Remark: 标准配比</t>
  </si>
  <si>
    <t>95760-7.24</t>
  </si>
  <si>
    <t>NASA Panama</t>
  </si>
  <si>
    <t>巴拿马</t>
  </si>
  <si>
    <t>4500168463-20</t>
  </si>
  <si>
    <t>6/5-UPC贴纸</t>
  </si>
  <si>
    <t>日期码格式：ZURU INC(BVI) 标准格式 日期：按实际生产日期
Packaging Info:
9279SQ1:MA多语UPC+箱唛
Remark: 请确保包装上的条形码是UPC，如有不一致，请及时提出。谢谢！</t>
  </si>
  <si>
    <t>Aimee Huang</t>
  </si>
  <si>
    <t>95581-7.7</t>
  </si>
  <si>
    <t>Port in
Romania/0021
日期码:DG
06182025</t>
  </si>
  <si>
    <t>4500166280-120</t>
  </si>
  <si>
    <t>DG 06182025</t>
  </si>
  <si>
    <t>Port in
Slovenia/0018
日期码:DG
06242025</t>
  </si>
  <si>
    <t>4500166280-130</t>
  </si>
  <si>
    <t>DG 06242025</t>
  </si>
  <si>
    <t>Port in
Poland/0015
日期码:DG
06272025</t>
  </si>
  <si>
    <t>4500162577-20</t>
  </si>
  <si>
    <t>DG 06272025</t>
  </si>
  <si>
    <t>Port in
Poland/0006
日期码:DG
06302025</t>
  </si>
  <si>
    <t>4500162577-30</t>
  </si>
  <si>
    <t>7/4出</t>
  </si>
  <si>
    <t>DG 06302025</t>
  </si>
  <si>
    <t>Brand Collective</t>
  </si>
  <si>
    <t>BCCL/995</t>
  </si>
  <si>
    <t>4500165401-10</t>
  </si>
  <si>
    <t>9279TQ1-S002-3L</t>
  </si>
  <si>
    <t>9279TQ1-S002</t>
  </si>
  <si>
    <t>7/10第三方</t>
  </si>
  <si>
    <t>5/29收到</t>
  </si>
  <si>
    <t>5/29-警告语贴纸+1张圆形价格贴纸</t>
  </si>
  <si>
    <t>客供贴纸   请注意一个外箱贴两张客供贴纸，黑色框内的六位数字，如下图所示做参考（并不是实际的客供贴纸）：
e.g:两张“389352”客供箱唛贴纸一样的数字贴在一个外箱上，两张“389351”客供箱唛贴纸一样的数字贴在一个外箱上，切不可389352和389351贴在同一个外箱上混贴；谢谢。</t>
  </si>
  <si>
    <t>日期码格式：ZURU INC(BVI) 标准格式 日期：按实际生产日期
Packaging Info: 1.9279TQ1-S002：MA B版3L(warning 23L)收缩膜+警告语贴纸+1张圆形价格贴纸+MA C版5L polybag+MA B版5L 贴纸+MA C版5L(warning 23L)收藏指南+MA B版通用PD
Q
UPC#193052050014, 请先检查条码无误后再安排大货生产
2.所有包装都需要用圆形透明标签密封
3.需在外箱箱唛贴彩色产品贴纸+绿色Xmas carton label+两个标签框内贴上客供贴纸
4.警告语贴纸+彩色产品贴纸+绿色Xmas carton label+圆形价格贴纸需工厂自行采购
Remark: 1.订单出英国，产品及包装需要印UKCA图标，包装需要有ZURU UK LTD/ZURUFrance地址信息，QC同事请查核，如有问题与跟单确认
2.需要符合欧洲标准不能含有闪粉和微塑料，否则不合法规会有客诉产生
3.需要寄8PCS（3PCS贴多币种价格贴 + 3PCS贴单一币种欧元价格贴 + 2PCS贴单一币种英镑价格贴）+ 3个空PDQ大货样给客户安排签板，最晚需要7/1收到
4.客人验货时间7/10，请多备料</t>
  </si>
  <si>
    <t>Yoga Huang</t>
  </si>
  <si>
    <t>95735-7.23</t>
  </si>
  <si>
    <t xml:space="preserve"> RVI JSC</t>
  </si>
  <si>
    <t>4500165843-10</t>
  </si>
  <si>
    <t>7/14第三方</t>
  </si>
  <si>
    <t>6/18-空白外箱正唛右上角贴一张外箱贴纸</t>
  </si>
  <si>
    <t>6/3-外箱贴纸+进口商贴纸+条码贴纸+ QR贴纸要求边长大于1.3CM ，强占不易脱落 ， 材质同进口商贴纸</t>
  </si>
  <si>
    <t>注意 ：外包装 (指: 收缩膜/彩卡/吊牌/PDQ)/外箱不要打ZURU标准日期码！胶件可以打日期码</t>
  </si>
  <si>
    <t>日期码格式：外包装 (指: 收缩膜/彩卡/吊牌/PDQ) /外箱不要打ZURU标准日期码 日期：
Packaging Info: 1. 注意 ：外包装 (指: 收缩膜/彩卡/吊牌/PDQ)/外箱不要打ZURU标准日期码！胶件可以打日期码。
2. 空白外箱正唛右上角贴一张外箱贴纸。
3. QR code 贴纸仅二维码尺寸要求边长大于1.3CM ，强占不易脱落 ， 材质同进口商贴纸 .（The size of QR-code area itself (not the whole sticker size)
need to be 13*13 mm at least or bigger）
4. 二维码贴纸位置要远离包装上的条码及其他二维码， 贴在背面。
5. QR code贴纸（要求每1PCS 的QR 不一样 ，需要可扫）
9279 ： 1L MA UPC 收缩膜+进口商贴纸+客人EAN 条码贴纸+QR 贴纸（要求每1PCS 的QR 不一样 ）,77595GQ3 客版case pack PDQ 翻4500144251， MA
指南/说明书（如有）；
Remark: 1. 货期不能延,有罚金。
2. 需要安排第三方验货。
3.标准配比</t>
  </si>
  <si>
    <t xml:space="preserve"> Ann Zhang</t>
  </si>
  <si>
    <t>95839-7.31</t>
  </si>
  <si>
    <t>Port in
Slovenia/0018
日期码:DG
07012025</t>
  </si>
  <si>
    <t>4500166280-140</t>
  </si>
  <si>
    <t>4500162577转单</t>
  </si>
  <si>
    <t>DG 07012025</t>
  </si>
  <si>
    <t>DD'S DISCOUNT</t>
  </si>
  <si>
    <t>4500161251-10</t>
  </si>
  <si>
    <t>ZB00790-7.18</t>
  </si>
  <si>
    <t>ST MATKO COMPANY</t>
  </si>
  <si>
    <t>4500169637-80</t>
  </si>
  <si>
    <t>6/13收到</t>
  </si>
  <si>
    <t>日期码格式：ZURU INC(BVI) 标准格式 日期：按实际生产日期
Packaging Info:9279： MA 1L UPC 收缩膜+ 进口商贴纸+MA 指南
Remark: 标准配比</t>
  </si>
  <si>
    <t>95718-7.22</t>
  </si>
  <si>
    <t>4500168449-40</t>
  </si>
  <si>
    <t>8/5出</t>
  </si>
  <si>
    <t>6/10收到</t>
  </si>
  <si>
    <t>7/4-UPC贴纸+6/19-进口商贴纸</t>
  </si>
  <si>
    <t>日期码格式：ZURU INC(BVI) 标准格式 日期：按实际生产日期
Packaging Info: 9279SQ1:MA 多语EAN包装+UPC贴纸+进口商贴纸+箱唛
Remark:</t>
  </si>
  <si>
    <t>Port in
Spain/ 0027
日期码:DG
06282025</t>
  </si>
  <si>
    <t>4500162577-10</t>
  </si>
  <si>
    <t>DG 06282025</t>
  </si>
  <si>
    <t>Port in
Romania/0021
日期码:DG
06262025</t>
  </si>
  <si>
    <t>4500166280-10</t>
  </si>
  <si>
    <t>DG 06262025</t>
  </si>
  <si>
    <t>Port in
Spain/ 0027
日期码:DG
07032025</t>
  </si>
  <si>
    <t>4500162577-60</t>
  </si>
  <si>
    <t>DG 07032025</t>
  </si>
  <si>
    <t>Port in
Poland/0015日期码:DG
07042025</t>
  </si>
  <si>
    <t>4500162577-70</t>
  </si>
  <si>
    <t>DG 07042025</t>
  </si>
  <si>
    <t>Port in
Poland/0006
日期码:DG
07092025</t>
  </si>
  <si>
    <t>4500162577-80</t>
  </si>
  <si>
    <t>DG 07092025</t>
  </si>
  <si>
    <t>2EWPPSAB</t>
  </si>
  <si>
    <t>4500169708-40</t>
  </si>
  <si>
    <t>7/24出</t>
  </si>
  <si>
    <t>UPC贴纸返4500097545</t>
  </si>
  <si>
    <t>7/11-SSCC LABEL（客供贴纸)</t>
  </si>
  <si>
    <t>日期码格式：ZURU INC(BVI) 标准格式 日期：按实际生产日期
Packaging Info:
#9279: MA 3L B版本 + UPC贴纸, UPC贴纸图稿跟返单4500097545。常规款：稀有款=59：1; E:193052054746; G:193052054753;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</si>
  <si>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7M13H36H</t>
  </si>
  <si>
    <t>4500169708-50</t>
  </si>
  <si>
    <t>8VUM4O8Y</t>
  </si>
  <si>
    <t>4500169697-270</t>
  </si>
  <si>
    <t>日期码格式：ZURU INC(BVI) 标准格式 日期：按实际生产日期
Packaging Info: 
#9279: MA 3L B版本 + UPC贴纸, UPC贴纸图稿跟返单4500097545。常规款：稀有款=59：1; E:193052054746; G:193052054753;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</si>
  <si>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8DT8OGEH</t>
  </si>
  <si>
    <t>4500169697-280</t>
  </si>
  <si>
    <t>8XK223WK</t>
  </si>
  <si>
    <t>4500169697-290</t>
  </si>
  <si>
    <t>6SXUFPPB</t>
  </si>
  <si>
    <t>4500169697-300</t>
  </si>
  <si>
    <t>5BBDJ7GI</t>
  </si>
  <si>
    <t>4500169697-310</t>
  </si>
  <si>
    <t>6D2ZQE7C</t>
  </si>
  <si>
    <t>4500169697-320</t>
  </si>
  <si>
    <t>2I61C59C</t>
  </si>
  <si>
    <t>4500169697-330</t>
  </si>
  <si>
    <t>5PXZVZ1Y</t>
  </si>
  <si>
    <t>4500169697-340</t>
  </si>
  <si>
    <t>5VYIB7CU</t>
  </si>
  <si>
    <t>4500169697-350</t>
  </si>
  <si>
    <t>4500151563-40</t>
  </si>
  <si>
    <t>DG20250210</t>
  </si>
  <si>
    <t>日期码格式：ZURU INC(BVI) 标准格式 日期：按实际生产日期
Packaging Info: 1.ZURU MA UPC 现有版本包装 ，出口美国 , 优先使用MA 1L 最新版本 。
Remark: 1.ZURU MA UPC 现有版本包装，出口美国 , 优先使用MA 1L 最新版本 。无需价格贴纸
2.标准日期码格式，产品和包装必须有日期码 。
3.同个产品同个货期不可出现不同的包装。
4. 跟单提供ROSS箱唛模版，提供箱唛排版来确认</t>
  </si>
  <si>
    <t>4500169286-50</t>
  </si>
  <si>
    <t>收到SO，预计7/23-7/25出</t>
  </si>
  <si>
    <t>6/18-防盗贴纸</t>
  </si>
  <si>
    <t>6/18-外箱SSCC Label</t>
  </si>
  <si>
    <t>日期码格式：ZURU INC(BVI) 标准格式 日期：按实际生产日期
Packaging Info:
9279SQ1: MA英语UPC版本包装（收缩膜和说明书, MA首选1L，如无1L可用多语且含英语的配套多语包装) + 1张防盗贴纸 (贴纸以及位置图翻单PO#4500095104）+ 箱
唛 + 外箱SSCC Label
配比信息：7 assortment (6 common + 1 rare); RAGDOLL CA (RARE): AMERICAN SHORTHAIR: CALICO CAT: BLACK CAT: BENGAL CAT: EXOTIC CAT: CHINCHILLA CA
T= 1:9:10:10:10: 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</si>
  <si>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95772-7.25</t>
  </si>
  <si>
    <t>JUGUESAL S.A. DE C.V.</t>
  </si>
  <si>
    <t>25-1068242JUS</t>
  </si>
  <si>
    <t>4500159848-90</t>
  </si>
  <si>
    <t>8/18出</t>
  </si>
  <si>
    <t>7/2-进口商贴纸</t>
  </si>
  <si>
    <t>指定日期码：2025-07</t>
  </si>
  <si>
    <t>日期码格式：2025-07 日期：
Packaging Info: 
9279SQ1：MA 3L UPC包装+MA PDQ包装+MA 多语收藏指南+进口商贴纸+箱唛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Hershey's-Chocolate Syrup 24 oz
Hershey's-Mini Chocolate Syrup 24 oz
Hershey's-Strawberry Syrup 22 oz</t>
  </si>
  <si>
    <t>CENTRO CUESTA NACIONAL</t>
  </si>
  <si>
    <t>多米尼加共和国</t>
  </si>
  <si>
    <t>25-1068241JDO</t>
  </si>
  <si>
    <t>4500164774-110</t>
  </si>
  <si>
    <t>4500169751-30</t>
  </si>
  <si>
    <t>6/19收到</t>
  </si>
  <si>
    <t>进口商贴纸翻4500123283</t>
  </si>
  <si>
    <t>客户条码贴纸翻4500123283</t>
  </si>
  <si>
    <t>日期码格式：ZURU INC(BVI) 标准格式 日期：按实际生产日期
Packaging Info: 
9279SQ1:MA 3L UPC PKG+MA 3L PDQ+MA 多语收藏指南+进口商贴纸+客户条码贴纸+箱唛，进口商贴纸/客户条码贴纸可翻单PO#4500123283
Remark: 
9279SQ1:7 assortment (6 common + 1 rare); RAGDOLL CA (RARE): AMERICAN SHORTHAIR: CALICO CAT: BLACK CAT: BENGAL CAT: EXOTIC CAT: CHINCHILLA CAT=
1:9:10:10:10: 10:10;</t>
  </si>
  <si>
    <t>4500166280-20</t>
  </si>
  <si>
    <t>DG 07102025</t>
  </si>
  <si>
    <t>Port in
Slovenia/0018
日期码:DG
07052025</t>
  </si>
  <si>
    <t>4500166280-30</t>
  </si>
  <si>
    <t>4500162579转单</t>
  </si>
  <si>
    <t>DG 07052025</t>
  </si>
  <si>
    <t>Port in
Slovenia/0018
日期码:DG
07222025</t>
  </si>
  <si>
    <t>4500166280-50</t>
  </si>
  <si>
    <t>DG 07222025</t>
  </si>
  <si>
    <t>2505001936784</t>
  </si>
  <si>
    <t>4500169355-70</t>
  </si>
  <si>
    <t>8/6出</t>
  </si>
  <si>
    <t>6/18收到</t>
  </si>
  <si>
    <t>7/1-进口商贴纸</t>
  </si>
  <si>
    <t>日期码格式：ZURU INC(BVI) 标准格式 日期：按实际生产日期
Packaging Info:9279SQ1： 1L MA UPC 包装+进口商贴纸(含客人条码），1L MA PDQ +进口商贴纸(含客人条码） ， MA 说明书/指南（如有）；
Remark: 标准配比
1.外箱有贴纸：
外箱正唛两面需要印产品黑白款式的图片；
外箱侧唛（两面）的右上角各贴一张外箱贴纸.
2.此客户验货时需要提供以下三种图片，请务必拍照清晰图片：
产品净重图片；
产品+包装毛重图片；
一箱产品的毛重图片。</t>
  </si>
  <si>
    <t>CENTRO ATACADISTA BAR􀃃O LTDA</t>
  </si>
  <si>
    <t>4500170116-10</t>
  </si>
  <si>
    <t>6/26收到</t>
  </si>
  <si>
    <t>7/8-进口商贴纸</t>
  </si>
  <si>
    <t>日期码格式：ZURU INC(BVI) 标准格式 日期：按实际生产日期
Packaging Info: MA 1L包装+进口商贴纸+箱唛
Remark: 9279SQ1: 7 assortment (6 common + 1 rare); RAGDOLL CA (RARE): AMERICAN SHORTHAIR: CALICO CAT: BLACK CAT: BENGAL CAT: EXOTIC CAT: CHINCHILLA CAT=
1:9:10:10:10: 10:10;</t>
  </si>
  <si>
    <t>95838-7.31</t>
  </si>
  <si>
    <t>40276731 40276790</t>
  </si>
  <si>
    <t>4500171335-120</t>
  </si>
  <si>
    <t>6/27收到</t>
  </si>
  <si>
    <t>7/16-客供价格贴</t>
  </si>
  <si>
    <t>日期码格式：ZURU INC(BVI) 标准格式 日期：按实际生产日期
Packaging Info:
9279 无硼版本 标版3L收缩膜+多语说明书 UPC 193052050014
Remark: 出加拿大
有客供价格贴
每行对应不同的客户PO，唛头要一一对应， 放唛头时跟单会提供清单
Zuru验货.日期跟踪码：产品外包装及产品本身都必须有日期跟踪码，ZURU标准格式
日期码</t>
  </si>
  <si>
    <t>4500171335-220</t>
  </si>
  <si>
    <t>4500171335-310</t>
  </si>
  <si>
    <t>4500171335-400</t>
  </si>
  <si>
    <t>4500171335-480</t>
  </si>
  <si>
    <t>40279125 45276449</t>
  </si>
  <si>
    <t>4500171342-40</t>
  </si>
  <si>
    <t>日期码格式：ZURU INC(BVI) 标准格式 日期：按实际生产日期
Packaging Info: 
9279 无硼版本 标版3L收缩膜+多语说明书 UPC 193052050014
Remark: 出加拿大
有客供价格贴
每行对应不同的客户PO，唛头要一一对应， 放唛头时跟单会提供清单
Zuru验货.日期跟踪码：产品外包装及产品本身都必须有日期跟踪码，ZURU标准格式
日期码</t>
  </si>
  <si>
    <t>4500171342-150</t>
  </si>
  <si>
    <t>4500171342-200</t>
  </si>
  <si>
    <t>4500171342-260</t>
  </si>
  <si>
    <t>Port in
Poland/0015
日期码:DG
07182025</t>
  </si>
  <si>
    <t>4500162579-30</t>
  </si>
  <si>
    <t>DG 07182025</t>
  </si>
  <si>
    <t>Port in
Poland/0006
日期码:DG
07202025</t>
  </si>
  <si>
    <t>4500162579-40</t>
  </si>
  <si>
    <t>DG 07202025</t>
  </si>
  <si>
    <t>NASA PANAMA</t>
  </si>
  <si>
    <t>4500172103-10</t>
  </si>
  <si>
    <t>7/7收到</t>
  </si>
  <si>
    <t>日期码格式：ZURU INC(BVI) 标准格式 日期：按实际生产日期
Packaging Info: 请确保包装上的条形码是UPC，如果是babyUPC，需要用mother UPC覆盖，如有不一致，请及时提出。谢谢!
9279SQ1 MA多语UPC包装+MA 多语收藏指南+MA多语PDQ+箱唛
Remark:
9279SQ1,,7 assortment (6 common + 1 rare); RAGDOLL CA (RARE): AMERICAN SHORTHAIR: CALICO CAT: BLACK CAT: BENGAL CAT: EXOTIC CAT: CHINCHILLA CAT=
1:9:10:10:10: 10:10;,,</t>
  </si>
  <si>
    <t>4500167212-10</t>
  </si>
  <si>
    <t>日期码格式：ZURU INC(BVI) 标准格式 日期：按实际生产日期
Packaging Info: 9279:MA UPC收缩膜(优先1L)+进口商贴纸,MA收藏指南
Remark: 标准配比</t>
  </si>
  <si>
    <t>BEALL'S OUTLET STORES, INC.</t>
  </si>
  <si>
    <t>4500171211-10</t>
  </si>
  <si>
    <t>7/1收到</t>
  </si>
  <si>
    <t>7/9-客供价格贴纸</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</si>
  <si>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</si>
  <si>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Hailey Yu</t>
  </si>
  <si>
    <t>ZB01203-8.12</t>
  </si>
  <si>
    <t>4500170885-10</t>
  </si>
  <si>
    <t>ZB01175-8.11</t>
  </si>
  <si>
    <t>4500170978-20</t>
  </si>
  <si>
    <t>收到SO，预计8/6-8/8出</t>
  </si>
  <si>
    <t>7/16-防盗贴纸+7/14-外箱SSCC Label</t>
  </si>
  <si>
    <t>日期码格式：ZURU INC(BVI) 标准格式 日期：按实际生产日期
Packaging Info: 
9279SQ1: MA英语UPC版本包装（收缩膜和说明书, MA首选1L，如无1L可用多语且含英语的配套多语包装) + 1张防盗贴纸 (贴纸以及位置图翻单PO#4500095104）+ 箱
唛 + 外箱SSCC Label
配比信息：7 assortment (6 common + 1 rare); RAGDOLL CA (RARE): AMERICAN SHORTHAIR: CALICO CAT: BLACK CAT: BENGAL CAT: EXOTIC CAT: CHINCHILLA CA
T= 1:9:10:10:10: 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</si>
  <si>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4500170975-20</t>
  </si>
  <si>
    <t>日期码格式：ZURU INC(BVI) 标准格式 日期：按实际生产日期
Packaging Info: 
9279SQ1: MA英语UPC版本包装（收缩膜和说明书, MA首选1L，如无1L可用多语且含英语的配套多语包装) + 1张防盗贴纸 (贴纸以及位置图翻单PO#4500095104）+ 箱
唛 + 外箱SSCC Label
配比信息：7 assortment (6 common + 1 rare); RAGDOLL CA (RARE): AMERICAN SHORTHAIR: CALICO CAT: BLACK CAT: BENGAL CAT: EXOTIC CAT: CHINCHILLA CA
T= 1:9:10:10:10: 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</si>
  <si>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DD'S DISCOUNTS</t>
  </si>
  <si>
    <t>4500171778-10</t>
  </si>
  <si>
    <t>7/8收到</t>
  </si>
  <si>
    <t>7/16-客供价格贴纸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</si>
  <si>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t>
  </si>
  <si>
    <t>ZB01253-8.14</t>
  </si>
  <si>
    <t>HARALD NYBORG A/S</t>
  </si>
  <si>
    <t>丹麦</t>
  </si>
  <si>
    <t>4500172335-20</t>
  </si>
  <si>
    <t>9279TQ1-S002-NB</t>
  </si>
  <si>
    <t>收到SO，预计8/10出</t>
  </si>
  <si>
    <t>7/2收到</t>
  </si>
  <si>
    <t>7/14-进口商地址</t>
  </si>
  <si>
    <t>日期码格式：ZURU INC(BVI) 标准格式 日期：按实际生产日期
Packaging Info:
9279TQ1-S002-NB:3L B版UPC 收缩膜+其它MA包装+EAN4894680026780/进口商地址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ZURU ITEM#-客户款号-条码
9279TQ1-S002-NB:44678-4894680026780</t>
  </si>
  <si>
    <t>Luna Lin</t>
  </si>
  <si>
    <t>Port in
Spain/ 0027
日期码:DG
07192025</t>
  </si>
  <si>
    <t>4500162579-20</t>
  </si>
  <si>
    <t>DG 07192025</t>
  </si>
  <si>
    <t>Port in
Poland/0015
日期码:DG
07272025</t>
  </si>
  <si>
    <t>4500162586-20</t>
  </si>
  <si>
    <t>DG 07272025</t>
  </si>
  <si>
    <t>Port in
Poland/0006
日期码:DG
07292025</t>
  </si>
  <si>
    <t>4500162586-30</t>
  </si>
  <si>
    <t>DG 07292025</t>
  </si>
  <si>
    <t>AMAZON CA (VENDOR CENTER)</t>
  </si>
  <si>
    <t>7QFRJI4W</t>
  </si>
  <si>
    <t>4500172604-140</t>
  </si>
  <si>
    <t>7/3收到</t>
  </si>
  <si>
    <t>7/23-SSCC LABEL（客供贴纸)</t>
  </si>
  <si>
    <t>日期码格式：ZURU INC(BVI) 标准格式 日期：按实际生产日期
Packaging Info: 出口加拿大，包装需要至少2/3L UPC版，无硼版本。
#9279: MA 3L B版本 + UPC贴纸, UPC贴纸图稿跟返单4500097545。常规款：稀有款=59：1; E:193052054746; G:193052054753;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</si>
  <si>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67QQGONM</t>
  </si>
  <si>
    <t>4500172604-150</t>
  </si>
  <si>
    <t>1MGFUIZI</t>
  </si>
  <si>
    <t>4500172604-160</t>
  </si>
  <si>
    <t>4PXMTHBG</t>
  </si>
  <si>
    <t>4500172604-170</t>
  </si>
  <si>
    <t>6XHXG5DO</t>
  </si>
  <si>
    <t>4500172604-180</t>
  </si>
  <si>
    <t>7HC7F8VF</t>
  </si>
  <si>
    <t>4500172604-190</t>
  </si>
  <si>
    <t>8XTJ8FYD</t>
  </si>
  <si>
    <t>4500172604-200</t>
  </si>
  <si>
    <t>4L6CQSXT</t>
  </si>
  <si>
    <t>4500172604-210</t>
  </si>
  <si>
    <t>6GDZ7O1D</t>
  </si>
  <si>
    <t>4500172604-310</t>
  </si>
  <si>
    <t>68TIC5BV</t>
  </si>
  <si>
    <t>4500172604-320</t>
  </si>
  <si>
    <t>TJX UK
PO#50687572</t>
  </si>
  <si>
    <t>4500172515-30</t>
  </si>
  <si>
    <t>8/20出</t>
  </si>
  <si>
    <t>7/24-客供价格贴纸</t>
  </si>
  <si>
    <t>日期码格式：ZURU INC(BVI) 标准格式 日期：按实际生产日期
Packaging Info:
9279 MA3L (23L warning) 最新UPC包装+1张客供价格贴纸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</si>
  <si>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TJX UK C/O TJX DISTRIBUTION LTD &amp; C</t>
  </si>
  <si>
    <t>TJX DE
PO#55687445</t>
  </si>
  <si>
    <t>4500172629-10</t>
  </si>
  <si>
    <t>Marshalls
PO#777702
SKU#857041
DC#881-936pcs
,
DC#884-1104pc
s,
DC#886-792pcs
,
DC#887-792pcs
,
DC#888-984pcs</t>
  </si>
  <si>
    <t>4500172365-20</t>
  </si>
  <si>
    <t>8/8出</t>
  </si>
  <si>
    <t>7/9收到</t>
  </si>
  <si>
    <t>日期码格式：ZURU INC(BVI) 标准格式 日期：按实际生产日期
Packaging Info: MA UPC包装+价格贴纸，价格贴纸客供。
2PK/3PK的球用无条码收缩膜或者用空白贴纸覆盖原条码。
Remark: 1. 产品和包装上印刷tracking code信息，格式为ZURU常规格式。
2. 分5个DC出货，每款产品每个DC的箱唛资料不同。具体分DC数量，请参考后面行项目备注。
3. ZURU QC验货。</t>
  </si>
  <si>
    <t>ZB01157-8.8</t>
  </si>
  <si>
    <t>TJ MAXX
PO#777711
SKU#136942
DC#891-1104pc
s,
DC#894-744pcs
,
DC#896-672pcs
,
DC#897-1416pc
s,
DC#898-864pcs</t>
  </si>
  <si>
    <t>4500172370-20</t>
  </si>
  <si>
    <t>ZB01221R1-8.12  ZB01227R1-8.13</t>
  </si>
  <si>
    <t>BURLINGTON STORES, INC.</t>
  </si>
  <si>
    <t>TBD</t>
  </si>
  <si>
    <t>4500171334-180</t>
  </si>
  <si>
    <t>7/11-外箱UCC 条码贴纸</t>
  </si>
  <si>
    <t>日期码格式：ZURU INC(BVI) 标准格式 日期：按实际生产日期
Packaging Info: 1. ZURU MA （首选1L）UPC版本+外箱贴纸（为方便进行装柜区分，请按照后续提供的外箱贴纸文档去粘贴外箱），出口美国
92114（9279 +9269华康生产）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外箱贴纸需要按照SHIPMENT ID (不会显示在贴纸上，在贴纸资料文档上命名上）去区分，也就是同个item line 但是SHIPMENT ID 不一样不可以混在一起
，贴纸和大货需要区分开，最后装柜会在不同的柜子里面。</t>
  </si>
  <si>
    <t>ZB01095-8.6</t>
  </si>
  <si>
    <t>TJ MAXX
PO#767796
SKU#134903
DC#891-876pcs
,
DC#894-576pcs
,
DC#896-528pcs
,
DC#897-1020pc
s,
DC#898-600pcs</t>
  </si>
  <si>
    <t>4500171919-40</t>
  </si>
  <si>
    <t>收到SO，预计8/14出</t>
  </si>
  <si>
    <t>日期码格式：ZURU INC(BVI) 标准格式 日期：按实际生产日期
Packaging Info: MA UPC包装+价格贴纸，价格贴纸客供。
2PK/3PK的球用无条码收缩膜或者用空白贴纸覆盖原条码。
#92114 是combo pack, 混装了 9269（华康生产）+9279（兴信生产），在兴信组装 。
Remark: 1. 产品和包装上印刷tracking code信息，格式为ZURU常规格式。
2. 分5个DC出货，每款产品每个DC的箱唛资料不同。具体分DC数量，请参考后面行项目备注。
3. ZURU QC验货。</t>
  </si>
  <si>
    <t>ZB01138R1-8.8</t>
  </si>
  <si>
    <t>TJ MAXX
PO#767795
SKU#136126
DC#891-912pcs
,
DC#894-408pcs
,
DC#896-588pcs
,
DC#897-1068pc
s,
DC#898-624pcs</t>
  </si>
  <si>
    <t>4500171918-40</t>
  </si>
  <si>
    <t>ZB01223R1-8.12</t>
  </si>
  <si>
    <t>Marshalls
PO#767785
SKU#855661
DC#881-120pcs
,
DC#884-96pcs,
DC#886-132pcs
,
DC#887-132pcs
,
DC#888-120pcs</t>
  </si>
  <si>
    <t>4500171914-40</t>
  </si>
  <si>
    <t>日期码格式：ZURU INC(BVI) 标准格式 日期：按实际生产日期
Packaging Info: MA UPC包装+价格贴纸，价格贴纸客供。
2PK/3PK的球用无条码收缩膜或者用空白贴纸覆盖原条码。
#92114 是combo pack, 混装了 9269（华康生产）+9279（兴信生产），在兴信组装 。
Remark: 1. 产品和包装上印刷tracking code信息，格式为ZURU常规格式。
2. 分4-5个DC出货，每款产品每个DC的箱唛资料不同。具体分DC数量，请参考后面行项目备注。
3. ZURU QC验货。</t>
  </si>
  <si>
    <t>ZB01222R1-8.12</t>
  </si>
  <si>
    <t>Marshalls
PO#767790
SKU#856196
DC#881-708pcs
,
DC#884-624pcs
,
DC#886-756pcs
,
DC#887-780pcs
,
DC#888-732pcs</t>
  </si>
  <si>
    <t>4500171912-40</t>
  </si>
  <si>
    <t>日期码格式：ZURU INC(BVI) 标准格式 日期：按实际生产日期
Packaging Info: MA UPC包装+价格贴纸，价格贴纸客供。
2PK/3PK的球用无条码收缩膜或者用空白贴纸覆盖原条码。
#92114 是combo pack, 混装了 9269（华康生产）+9279（兴信生产），在兴信组装 。
Remark: 产品和包装上印刷tracking code信息，格式为ZURU常规格式。
2. 分5个DC出货，每款产品每个DC的箱唛资料不同。具体分DC数量，请参考后面行项目备注。
3. ZURU QC验货。</t>
  </si>
  <si>
    <t>ZB01239-8.13</t>
  </si>
  <si>
    <t>Marshalls
PO#767787
SKU#855404
DC#881-432pcs
,
DC#884-372pcs
,
DC#886-504pcs
,
DC#887-468pcs
,
DC#888-420pcs</t>
  </si>
  <si>
    <t>4500171916-40</t>
  </si>
  <si>
    <t>ZB01243R1-8.13</t>
  </si>
  <si>
    <t>Marshalls
PO#767786
SKU#854967
DC#881-360pcs
,
DC#884-276pcs
,
DC#886-432pcs
,
DC#887-396pcs
,
DC#888-336pcs</t>
  </si>
  <si>
    <t>4500171915-40</t>
  </si>
  <si>
    <t>ZB01124-8.7  ZB01153-8.8</t>
  </si>
  <si>
    <t>Marshalls
PO#767789
SKU#855146
DC#881-660pcs
,
DC#884-588pcs
,
DC#886-720pcs
,
DC#887-732pcs
,
DC#888-696pcs</t>
  </si>
  <si>
    <t>4500171908-40</t>
  </si>
  <si>
    <t>ZB01137-8.8</t>
  </si>
  <si>
    <t>Marshalls
PO#767788
SKU#855906
DC#881-696pcs
,
DC#884-648pcs
,
DC#886-504pcs
,
DC#887-792pcs
,
DC#888-756pcs</t>
  </si>
  <si>
    <t>4500171907-40</t>
  </si>
  <si>
    <t>ZB01158-8.8  ZB01230-8.13</t>
  </si>
  <si>
    <t>TJ MAXX
PO#767793
SKU#135889
DC#891-564pcs
,
DC#894-432pcs
,
DC#896-324pcs
,
DC#897-660pcs
,
DC#898-420pcs</t>
  </si>
  <si>
    <t>4500171924-40</t>
  </si>
  <si>
    <t>ZB01139-8.8</t>
  </si>
  <si>
    <t>TJ MAXX
PO#767791
SKU#135186
DC#891-264pcs
,
DC#894-204pcs
,
DC#896-108pcs
,
DC#897-240pcs
,
DC#898-180pcs</t>
  </si>
  <si>
    <t>4500171922-40</t>
  </si>
  <si>
    <t>ZB01105R1-8.6</t>
  </si>
  <si>
    <t>Marshalls
PO#777702
SKU#857077
DC#881-1236pc
s,
DC#884-1440pc
s,
DC#886-1032pc
s,
DC#887-1032pc
s,
DC#888-1260pc
s</t>
  </si>
  <si>
    <t>4500172365-40</t>
  </si>
  <si>
    <t>4500172203-10</t>
  </si>
  <si>
    <t>ZB01178-8.11</t>
  </si>
  <si>
    <t>Port in
Romania/0021
日期码:DG
07212025</t>
  </si>
  <si>
    <t>4500166280-40</t>
  </si>
  <si>
    <t>DG 07212025</t>
  </si>
  <si>
    <t>Port in
Spain/ 0027
日期码:DG
07262025</t>
  </si>
  <si>
    <t>4500162586-10</t>
  </si>
  <si>
    <t>DG 07262025</t>
  </si>
  <si>
    <t>TJ MAXX
PO#777711
SKU#136969
DC#891-1416pc
s,
DC#894-960pcs
,
DC#896-876pcs
,
DC#897-1824pc
s,
DC#898-1128pc
s</t>
  </si>
  <si>
    <t>4500172370-40</t>
  </si>
  <si>
    <t>TJ MAXX
PO#767792
SKU#135710
DC#891-492pcs
,
DC#894-360pcs
,
DC#896-264pcs
,
DC#897-540pcs
,
DC#898-348pcs</t>
  </si>
  <si>
    <t>4500171923-40</t>
  </si>
  <si>
    <t>ZB01220-8.12  ZB01351-8.20</t>
  </si>
  <si>
    <t>Internet Solution LLC</t>
  </si>
  <si>
    <t>4500169448-40</t>
  </si>
  <si>
    <t>7/16收到</t>
  </si>
  <si>
    <t>7/23进口商贴纸</t>
  </si>
  <si>
    <t xml:space="preserve"> 注意 ： 外包装（包括PDQ,彩卡/收缩膜/挂卡，外箱）上不能有社交logo ,如有请加额外贴纸覆盖</t>
  </si>
  <si>
    <t>日期码格式：ZURU INC(BVI) 标准格式 日期：按实际生产日期
Packaging Info: 注意 ： 外包装（包括PDQ,彩卡/收缩膜/挂卡，外箱）上不能有社交logo ,如有请加额外贴纸覆盖 ；
9279 ：1L MA UPC 版本收缩膜+进口商贴纸,MA 最新指南;
Remark: 标准配比；</t>
  </si>
  <si>
    <t>Port in
Romania/0021
日期码:DG
07282025</t>
  </si>
  <si>
    <t>4500166280-60</t>
  </si>
  <si>
    <t>4500162586转单</t>
  </si>
  <si>
    <t>8/19出</t>
  </si>
  <si>
    <t>DG 07282025</t>
  </si>
  <si>
    <t>日期码格式：具体参考REMARK备注 日期：
Packaging Info:
92136:客版收缩膜+客版布唛+价格贴纸+外箱贴纸；客版收藏指南
2. 外箱一正一侧有客人贴纸
3.barcode
产品：2200162626768
外箱：2200262626798
4.价格贴纸中的RON 45,00; HUF 3600 做货时请仔细核对
Remark: 1. 出5个不同的DC，不同港口产品和收缩膜及外箱上的日期码不一样请按指定日期码 –港口参考PO remark 备注 。
2. 若产品包装是膠片窗口盒,膠片厚度必須是0.23MM而膠片必須平面貼平而不能有起皺問題.
3. 若产品包装膠袋開口位大過4吋, 要打氣孔，膠袋必須符合 0.038mm 厚度.
4. 若产品包装膠袋開口位大過5.5吋, 要打氣孔, 並印上十四國警告語,膠袋必須符合 0.038mm 厚度.
5. 報價樣板 – 須於我方通知後之五天內提供1套跟報價規格及質量一致的樣板.
6. 产前样 –确定下單的貨品須收到我方通知後三天內提供一式3套的產前樣板以作品質檢查,
可用白盒包裝.
7. 签板 – 收到正式訂單後而產品亦得到產前樣板及包裝打稿確認後,工廠需安排簽辦並必須以大貨包裝盒包裝及提供一式3套.簽辦必須於驗貨期前最少兩星期前提
供,工廠須保存簽辦並於驗貨時提供予我方驗貨人員作質量校對用.
8. 大货样板/船頭辦 - 須於出貨期前兩星期提供一式4套大貨樣板/船頭辦到我司.
9. 广告样板 – 須於指定日期前提供每款4套以大貨包裝盒的樣板.而出貨前兩星期是需要提供3套大貨樣板/船頭辦.
10. 价钱贴纸 (8国货币) - 工廠需要貼於產品正面右上角 (建议尺寸2.5CM(長)*4.15cm (高)).
11. 外箱BARCODE 13 位電腦條碼貼紙, 工廠需要貼於產品紙箱一正一側的左上角.(尺寸10CM (長)*10cm (高)).
12. 公仔背部或產品需貼有生產日期MMDDYYYY (月日年),(請根據訂單上列明的資料) 及MADE IN CHINA字樣, 工廠需要自行印在產品底部.
13. 包裝上需要有生產日期MMDDYYYY (月日年), (請根據訂單上列明的資料),必須跟產品上的日期碼一致。
14 . 所有外箱及內箱都不準打釘及扎帶.
15. 货期需要按时，贴纸要正确否则会有罚金。
16 . 可能有20% 和 100% 第三方验货以及客人安排线上抽版测试。届时会提前通知
17.货期不可延，客户会有罚款or取消订单</t>
  </si>
  <si>
    <t>Port in
Slovenia/0018
日期码:DG
08052025</t>
  </si>
  <si>
    <t>4500166280-70</t>
  </si>
  <si>
    <t>DG 08052025</t>
  </si>
  <si>
    <t>TJ MAXX
PO#767798
SKU#135429
DC#891-924pcs
,
DC#894-612pcs
,
DC#896-564pcs
,
DC#897-1068pc
s,
DC#898-636pcs</t>
  </si>
  <si>
    <t>4500171921-40</t>
  </si>
  <si>
    <t>8/13出</t>
  </si>
  <si>
    <t>ZB01244R1-8.13  ZB01285R1-8.16</t>
  </si>
  <si>
    <t>4500172219-20</t>
  </si>
  <si>
    <t>ZB01252R1-8.14</t>
  </si>
  <si>
    <t>Port in
Poland/0015
日期码:DG
08082025</t>
  </si>
  <si>
    <t>4500162590-10</t>
  </si>
  <si>
    <t>DG 08082025</t>
  </si>
  <si>
    <t>Port in
Poland/0006
日期码:DG
08112025</t>
  </si>
  <si>
    <t>4500162590-20</t>
  </si>
  <si>
    <t>DG 08112025</t>
  </si>
  <si>
    <t>OTTO SIMON B.V.</t>
  </si>
  <si>
    <t>IO-2501981</t>
  </si>
  <si>
    <t>4500174183-70</t>
  </si>
  <si>
    <t>8/21出</t>
  </si>
  <si>
    <t>7/18收到</t>
  </si>
  <si>
    <t>7/24-客人款号带EAN条码4894680026780贴纸</t>
  </si>
  <si>
    <t>日期码格式：ZURU INC(BVI) 标准格式 日期：按实际生产日期
Packaging Info: 
9279SQ1:MA 3L +23L警语收缩膜+1张客人款号带EAN条码（4894680026780）贴纸，MA 布标，MA 5L+23L收藏指南，MA 5L+8Lpolybay,MA B版贴纸，MA B版PDQ
Remark: 1.所有产品按符合欧洲标准走货，微塑料需合规。
2.所有包装材料都不允许PVC, 请用PET代替
3.样板需求： 每个item 需要寄出1 PC 大货样，请多备料
4.日期码和批次号都要打在产品和包装上，日期码按ZURU标准格式，批次号是IO-2501981（IO是大写英文字母）
5.所有出往欧洲市场订单的电子产品需增加一张WEEE声明说明书，区分带电池和不带电池版本, 如已做客版说明书可忽略此要求。
6. 客人款号:
9279SQ1:576-2791</t>
  </si>
  <si>
    <t>Amber Zhang</t>
  </si>
  <si>
    <t>Port in
Spain/ 0027日期码:DG
08092025</t>
  </si>
  <si>
    <t>4500162590-70</t>
  </si>
  <si>
    <t>8/23出</t>
  </si>
  <si>
    <t>DG 08092025</t>
  </si>
  <si>
    <t>日期码格式：具体参考REMARK备注 日期：
Packaging Info:
92136:客版收缩膜（翻4500162543）+客版布唛（翻4500162543）+价格贴纸（翻4500162543）+外箱贴纸（翻4500162543）；客版收藏指南（翻4500162543）
2. 外箱一正一侧有客人贴纸
3.barcode
产品：2200162626768
外箱：2200262626798
Remark: 1. 出5个不同的DC，不同港口产品和收缩膜及外箱上的日期码不一样请按指定日期码 –港口参考PO remark 备注 。
2. 若产品包装是膠片窗口盒,膠片厚度必須是0.23MM而膠片必須平面貼平而不能有起皺問題.
3. 若产品包装膠袋開口位大過4吋, 要打氣孔，膠袋必須符合 0.038mm 厚度.
4. 若产品包装膠袋開口位大過5.5吋, 要打氣孔, 並印上十四國警告語,膠袋必須符合 0.038mm 厚度.
5. 報價樣板 – 須於我方通知後之五天內提供1套跟報價規格及質量一致的樣板.
6. 产前样 –确定下單的貨品須收到我方通知後三天內提供一式3套的產前樣板以作品質檢查,
可用白盒包裝.
7. 签板 – 收到正式訂單後而產品亦得到產前樣板及包裝打稿確認後,工廠需安排簽辦並必須以大貨包裝盒包裝及提供一式3套.簽辦必須於驗貨期前最少兩星期前提
供,工廠須保存簽辦並於驗貨時提供予我方驗貨人員作質量校對用.
8. 大货样板/船頭辦 - 須於出貨期前兩星期提供一式4套大貨樣板/船頭辦到我司.
9. 广告样板 – 須於指定日期前提供每款4套以大貨包裝盒的樣板.而出貨前兩星期是需要提供3套大貨樣板/船頭辦.
10. 价钱贴纸 (8国货币) - 工廠需要貼於產品正面右上角 (建议尺寸2.5CM(長)*4.15cm (高)).
11. 外箱BARCODE 13 位電腦條碼貼紙, 工廠需要貼於產品紙箱一正一側的左上角.(尺寸10CM (長)*10cm (高)).
12. 公仔背部或產品需貼有生產日期MMDDYYYY (月日年),(請根據訂單上列明的資料) 及MADE IN CHINA字樣, 工廠需要自行印在產品底部.
13. 包裝上需要有生產日期MMDDYYYY (月日年), (請根據訂單上列明的資料),必須跟產品上的日期碼一致。
14 . 所有外箱及內箱都不準打釘及扎帶.
15. 货期需要按时，贴纸要正确否则会有罚金。
16 . 可能有20% 和 100% 第三方验货以及客人安排线上抽版测试。届时会提前通知
17.货期不可延，客户会有罚款or取消订单</t>
  </si>
  <si>
    <t>DISTRIBUIDORA COMERCIAL DEL NORTE</t>
  </si>
  <si>
    <t>2025-0893</t>
  </si>
  <si>
    <t>4500170167-110</t>
  </si>
  <si>
    <t>8/24出</t>
  </si>
  <si>
    <t>7/23-进口商贴纸+UPC贴纸合并为一张</t>
  </si>
  <si>
    <t>日期码格式：ZURU INC(BVI) 标准格式 日期：按实际生产日期
Packaging Info: 
9279SQ1：MA多语EAN包装++MA多语说明书+进口商贴纸（进口商贴纸+UPC贴纸合并为一张）+箱唛
Remark: 
9279SQ1：7 assortment (6 common + 1 rare); RAGDOLL CA (RARE): AMERICAN SHORTHAIR: CALICO CAT: BLACK CAT: BENGAL CAT: EXOTIC CAT: CHINCHILLA CAT=
1:9:10:10:10: 10:10;</t>
  </si>
  <si>
    <t>4500174240-30</t>
  </si>
  <si>
    <t>7/24-价格贴纸</t>
  </si>
  <si>
    <t>日期码格式：ZURU INC(BVI) 标准格式 日期：按实际生产日期
Packaging Info:
SKU#9279: MA3L (23L warning) 最新UPC包装+1张客供价格贴纸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</si>
  <si>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96295-9.2</t>
  </si>
  <si>
    <t>4500174323-30</t>
  </si>
  <si>
    <t>日期码格式：ZURU INC(BVI) 标准格式 日期：按实际生产日期
Packaging Info: 
SKU#9279: MA3L (23L warning) 最新UPC包装+1张客供价格贴纸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</si>
  <si>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AMAZON ES</t>
  </si>
  <si>
    <t>Amazon IT:
76PHTVYI</t>
  </si>
  <si>
    <t>4500174900-20</t>
  </si>
  <si>
    <t>收到So，预计9/13-9/17出</t>
  </si>
  <si>
    <t>空白外箱（加印带Zuru字样的最新logo，除了邮包盒直接做外箱的产品） + SSCC LABEL一张, 无箱唛，MADE IN CHINA 外箱只印一正一侧。箱唛资料按照给定的
 标准去做即可，无需发回我方再行审批(新标准将另行通知)。</t>
  </si>
  <si>
    <t>1张贴纸(1张UPC#+IT/ES+GPSR邮箱care@zuru.com，翻4500165342</t>
  </si>
  <si>
    <t>日期码格式：ZURU INC(BVI) 标准格式 日期：按实际生产日期
Packaging Info: Amazon ES(71109D)/IT(9279ABD/9543B)
3. 9279ABD
--9279B：9279B 12pcs/ctn, no inner,CALICO CAT; CTN Loading: 4W*3D=12pcs/CTN; MA 3L(23L warning UPC#)B收缩膜+1张贴纸(1张UPC#+IT/ES+GPSR邮箱care@z
uru.com，参考翻单PO#4500165342)+MA 最新版布标+MA 5L(23L warning) C收藏指南+其他MA最新版包装；
4.最迟验货不得晚于2025/8/29;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</si>
  <si>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4500174900-30</t>
  </si>
  <si>
    <t>日期码格式：ZURU INC(BVI) 标准格式 日期：按实际生产日期
Packaging Info: Amazon ES(71109D)/IT(9279ABD/9543B)
3. 9279ABD
--9279A：9279A 12pcs/ctn, no inner,AMERICAN SHORTHAIR; CTN Loading: 4W*3D=12pcs/CTN; MA 3L(23L warning UPC#)B收缩膜+1张贴纸(1张UPC#+IT/ES+GPSR邮
箱care@zuru.com，参考翻单PO#4500165342)+MA 最新版布标+MA 5L(23L warning) C收藏指南+其他MA最新版包装；
4.最迟验货不得晚于2025/8/29;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</si>
  <si>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4500174900-50</t>
  </si>
  <si>
    <t>日期码格式：ZURU INC(BVI) 标准格式 日期：按实际生产日期
Packaging Info: Amazon ES(71109D)/IT(9279ABD/9543B)
3. 9279ABD
--9279D：9279D 12pcs/ctn, no inner,BLACK CAT; CTN Loading: 4W*3D=12pcs/CTN; MA 3L(23L warning UPC#)B收缩膜+1张贴纸(1张UPC#+IT/ES+GPSR邮箱care@zu
ru.com，参考翻单PO#4500165342)+MA 最新版布标+MA 5L(23L warning) C收藏指南+其他MA最新版包装；
4.最迟验货不得晚于2025/8/29;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</si>
  <si>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Port in
Slovenia/0018
日期码:DG
08012025</t>
  </si>
  <si>
    <t>4500166280-80</t>
  </si>
  <si>
    <t>4500162590转单</t>
  </si>
  <si>
    <t>DG 08012025</t>
  </si>
  <si>
    <t>Port in
Poland/0015
日期码:DG
08182025</t>
  </si>
  <si>
    <t>4500162590-50</t>
  </si>
  <si>
    <t>8/26出</t>
  </si>
  <si>
    <t>DG 08182025</t>
  </si>
  <si>
    <t>Port in
Poland/0006
日期码:DG
08192025</t>
  </si>
  <si>
    <t>4500162590-60</t>
  </si>
  <si>
    <t>DG 08192025</t>
  </si>
  <si>
    <t>Port in
Spain/ 0027
日期码:DG
08162025</t>
  </si>
  <si>
    <t>4500162590-40</t>
  </si>
  <si>
    <t>9/4出</t>
  </si>
  <si>
    <t>DG 08162025</t>
  </si>
  <si>
    <t>TJ MAXX
PO#777712
SKU#137128
DC#891-1128pc
s,
DC#894-720pcs
,
DC#896-672pcs
,
DC#897-1392pc
s,
DC#898-888pcs</t>
  </si>
  <si>
    <t>4500172378-10</t>
  </si>
  <si>
    <t>未收到SO</t>
  </si>
  <si>
    <t>8/7-客供价格贴纸</t>
  </si>
  <si>
    <t>Marshalls
PO#777708
SKU#856969
DC#881-888pcs
,
DC#884-792pcs
,
DC#886-1080pc
s,
DC#887-960pcs
,
DC#888-888pcs</t>
  </si>
  <si>
    <t>4500172374-10</t>
  </si>
  <si>
    <t>8/27出</t>
  </si>
  <si>
    <t>T.J.MORRIS LTD</t>
  </si>
  <si>
    <t>MPO03723</t>
  </si>
  <si>
    <t>送货到华康时请在送货单上备注客供给T.J.Morris PO# 4500174808/#MSQ22混箱用</t>
  </si>
  <si>
    <t>UPC#193052050014请先检查条码是否正确再安排做货</t>
  </si>
  <si>
    <t>Remark: 1.# 9279SQ1: MA 1L UPC包装+MA 1L PDQ, UPC#193052050014请先检查条码是否正确再安排做货
2. 产品及包装需要印UKCA图标，包装需要有ZURU UK LTD/ZURU France地址信息，QC同事请核查，如有问题与跟单确认
需要符合欧洲标准不能含有闪粉和微塑料，否则不符合法规会有客诉产生
3. 华康的9269SQ1 和兴信9279SQ1 产品各自入PDQ 后再入同一个外箱:即一个9269SQ1+一个9279SQ1入外箱
4. 送货到华康时请按照入箱的比例配好方便华康直接入箱打包外箱，配比跟MA标准款，如有不清楚的请找客制部和跟单核查
5.外箱可以直接用周转箱或者其他，工厂自行安排即可，请在外箱上写好每箱装多少和总箱数方便点数；
6. 送货到华康时请在送货单上备注客供给T.J.Morris PO# 4500174808/#MSQ22混箱用
7. 组装厂会安排最终验货，请准备好备品，验货后需要马上安排补货，届时请务必按时送货到华康</t>
  </si>
  <si>
    <t>Sandy shao</t>
  </si>
  <si>
    <t>97100-11.29</t>
  </si>
  <si>
    <t>4500161283-20</t>
  </si>
  <si>
    <t>日期码格式：ZURU INC(BVI) 标准格式 日期：按实际生产日期
Packaging Info: 1.ZURU MA UPC 现有版本包装 ，出口美国 , 优先使用MA 1L 最新版本 。 无需价格贴纸
Remark: 1.ZURU MA UPC 现有版本包装 ，出口美国 , 优先使用MA 1L 最新版本 。
2.标准日期码格式，产品和包装必须有日期码 。
3.同个产品同个货期不可出现不同的包装。
4. 跟单提供ROSS通用的箱唛模版，工厂提供箱唛排版来确认。</t>
  </si>
  <si>
    <t>4500172982-30</t>
  </si>
  <si>
    <t>9/12出</t>
  </si>
  <si>
    <t>7/21收到</t>
  </si>
  <si>
    <t>进口商贴纸/客户条码贴纸翻4500123283</t>
  </si>
  <si>
    <t>日期码格式：ZURU INC(BVI) 标准格式 日期：按实际生产日期
Packaging Info: 
9279SQ1:MA 多语包装+进口商贴纸+客户条码贴纸+箱唛，进口商贴纸/客户条码贴纸翻单PO4500123283
Remark: 进口商贴纸请多备料5pcs,出货后需要寄给客户</t>
  </si>
  <si>
    <t>Amazon UK:
6XXS4VZK</t>
  </si>
  <si>
    <t>4500175025-10</t>
  </si>
  <si>
    <t>9/15出</t>
  </si>
  <si>
    <t>UPC#+IT/ES+GPSR邮箱care@zuru.com翻4500165342</t>
  </si>
  <si>
    <t>8/4-SSCC LABEL</t>
  </si>
  <si>
    <t>日期码格式：ZURU INC(BVI) 标准格式 日期：按实际生产日期
Packaging Info: Amazon UK(71126/7190/92104G/9279BD)/DE(71109D/71126/92104H/9279AB/9543B)/FR(71126/92104H/9279ABD/9543BE)
5. 9279ABD:
---9279B: 9279B 12pcs/ctn, no inner,CALICO CAT; CTN Loading: 4W*3D=12pcs/CTN; MA 3L(23L warning UPC#)B收缩膜+1张贴纸(1张UPC#+IT/ES+GPSR邮箱care@
zuru.com，参考翻单PO#4500165342)+MA 最新版布标+MA 5L(23L warning) C收藏指南+其他MA最新版包装；
7. 验货时间不迟于2025/9/2.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</si>
  <si>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4500175025-20</t>
  </si>
  <si>
    <t>日期码格式：ZURU INC(BVI) 标准格式 日期：按实际生产日期
Packaging Info: Amazon UK(71126/7190/92104G/9279BD)/DE(71109D/71126/92104H/9279AB/9543B)/FR(71126/92104H/9279ABD/9543BE)
5. 9279ABD:
---9279D: 9279D 12pcs/ctn, no inner,BLACK CAT; CTN Loading: 4W*3D=12pcs/CTN; MA 3L(23L warning UPC#)B收缩膜+1张贴纸(1张UPC#+IT/ES+GPSR邮箱care@z
uru.com，参考翻单PO#4500165342)+MA 最新版布标+MA 5L(23L warning) C收藏指南+其他MA最新版包装；
7. 验货时间不迟于2025/9/2.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</si>
  <si>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Amazon DE:
87KWRP2J</t>
  </si>
  <si>
    <t>4500175025-90</t>
  </si>
  <si>
    <t>4500175025-100</t>
  </si>
  <si>
    <t>日期码格式：ZURU INC(BVI) 标准格式 日期：按实际生产日期
Packaging Info: Amazon UK(71126/7190/92104G/9279BD)/DE(71109D/71126/92104H/9279AB/9543B)/FR(71126/92104H/9279ABD/9543BE)
5. 9279ABD:
---9279A: 9279A 12pcs/ctn, no inner,AMERICAN SHORTHAIR; CTN Loading: 4W*3D=12pcs/CTN; MA 3L(23L warning UPC#)B收缩膜+1张贴纸(1张UPC#+IT/ES+GPSR
邮箱care@zuru.com，参考翻单PO#4500165342)+MA 最新版布标+MA 5L(23L warning) C收藏指南+其他MA最新版包装；
7. 验货时间不迟于2025/9/2.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</si>
  <si>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Amazon DE:
4PDQ7IVU</t>
  </si>
  <si>
    <t>4500175025-120</t>
  </si>
  <si>
    <t>收到So，预计9/12-9/16出</t>
  </si>
  <si>
    <t>Amazon FR:
5UD89VQJ</t>
  </si>
  <si>
    <t>4500175025-160</t>
  </si>
  <si>
    <t>9/10出</t>
  </si>
  <si>
    <t>4500175025-170</t>
  </si>
  <si>
    <t>4500175025-190</t>
  </si>
  <si>
    <t>5KF4BT4G</t>
  </si>
  <si>
    <t>4500175030-10</t>
  </si>
  <si>
    <t>9/17出</t>
  </si>
  <si>
    <t>7/25收到</t>
  </si>
  <si>
    <t>日期码格式：ZURU INC(BVI) 标准格式 日期：按实际生产日期
Packaging Info: #9279: MA 3L B版本 + UPC贴纸, UPC贴纸图稿跟返单4500097545。常规款：稀有款=59：1; E:193052054746;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</si>
  <si>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5VD4OYUV</t>
  </si>
  <si>
    <t>4500175030-20</t>
  </si>
  <si>
    <t>7GWJ8K3Q</t>
  </si>
  <si>
    <t>4500175030-30</t>
  </si>
  <si>
    <t>2ETA8WDJ</t>
  </si>
  <si>
    <t>4500175030-40</t>
  </si>
  <si>
    <t>3VFKJPIV</t>
  </si>
  <si>
    <t>4500175030-50</t>
  </si>
  <si>
    <t>TJ MAXX
PO#777712
SKU#137137
DC#891-1884pc
s,
DC#894-1188pc
s,
DC#896-1104pc
s,
DC#897-2328pc
s,
DC#898-1500pc
s</t>
  </si>
  <si>
    <t>4500172378-20</t>
  </si>
  <si>
    <t>Marshalls
PO#777708
SKU#856979
DC#881-1500pc
s,
DC#884-1332pc
s,
DC#886-1848pc
s,
DC#887-1608pc
s,
DC#888-1512pc
s</t>
  </si>
  <si>
    <t>4500172374-20</t>
  </si>
  <si>
    <t>Port in
Romania/0021
日期码:DG
09132025</t>
  </si>
  <si>
    <t>4500166280-150</t>
  </si>
  <si>
    <t>9/5出</t>
  </si>
  <si>
    <t>5/13-价格贴纸（RON：4500）+外箱贴纸</t>
  </si>
  <si>
    <t>DG 09132025</t>
  </si>
  <si>
    <t>4500174443-30</t>
  </si>
  <si>
    <t>日期码格式：ZURU INC(BVI) 标准格式 日期：按实际生产日期</t>
  </si>
  <si>
    <t>Sharon Yang</t>
  </si>
  <si>
    <t>ZB01845-9.11</t>
  </si>
  <si>
    <t>4500174576-10</t>
  </si>
  <si>
    <t>9/3出</t>
  </si>
  <si>
    <t>7/31收到</t>
  </si>
  <si>
    <t>8/13-客供价格贴纸</t>
  </si>
  <si>
    <t>日期码格式：ZURU INC(BVI) 标准格式 日期：按实际生产日期
Packaging Info: 1.ZURU最新MA UPC包装(优先1L) +客供价格贴纸（贴在产品包装右下角，跟单找第三方订购贴纸寄到工厂）。
Remark: 1.ZURU最新MA UPC包装(优先1L)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</si>
  <si>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ZB01737-9.6</t>
  </si>
  <si>
    <t>4500174575-10</t>
  </si>
  <si>
    <t>ZB01736-9.6</t>
  </si>
  <si>
    <t>4500174544-10</t>
  </si>
  <si>
    <t>ZB01735-9.6</t>
  </si>
  <si>
    <t>4500174545-10</t>
  </si>
  <si>
    <t>ZB01734-9.6</t>
  </si>
  <si>
    <t>4500172226-30</t>
  </si>
  <si>
    <t>7/22收到</t>
  </si>
  <si>
    <t>8/18-客供价格贴纸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</si>
  <si>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t>
  </si>
  <si>
    <t>ZB01886-9.13</t>
  </si>
  <si>
    <t>Port in
Slovenia/0018
日期码:DG
09082025</t>
  </si>
  <si>
    <t>4500166280-160</t>
  </si>
  <si>
    <t>DG 09082025</t>
  </si>
  <si>
    <t>Remark: 1.ZURU MA UPC 现有版本包装 + 客供价格贴纸，出口美国 , 优先使用MA 1L 最新版本 。</t>
  </si>
  <si>
    <t>4500174443-20</t>
  </si>
  <si>
    <t>Packaging Info: 1.ZURU MA UPC 现有版本包装 + 客供价格贴纸，出口美国 , 优先使用MA 1L 最新版本 。</t>
  </si>
  <si>
    <t>Port in
Poland/0015
日期码:DG
09222025</t>
  </si>
  <si>
    <t>4500162586-70</t>
  </si>
  <si>
    <t>3/26-价格贴纸(RON：4300）+外箱贴纸</t>
  </si>
  <si>
    <t>DG 09222025</t>
  </si>
  <si>
    <t>2.价格贴纸位于包装正面右下角，不挡住重要信息即可，可适当调整，价格贴纸由跟单提供。</t>
  </si>
  <si>
    <t>4500174768-30</t>
  </si>
  <si>
    <t>9/20出</t>
  </si>
  <si>
    <t>ZB02015-9.20</t>
  </si>
  <si>
    <t>PO# 35308</t>
  </si>
  <si>
    <t>4500176907-30</t>
  </si>
  <si>
    <t>8/19收到</t>
  </si>
  <si>
    <t>日期码格式：ZURU INC(BVI) 标准格式 日期：按实际生产日期
Packaging Info: 1. 包装方式：MA UPC 优先1L 最新包装，出口美国
Remark: 2. 外箱箱唛红色和黑色双色印刷
3. 产品和包装上印刷tracking code信息，格式为ZURU常规</t>
  </si>
  <si>
    <t>Angel Lin</t>
  </si>
  <si>
    <t>ZB02184-9.27</t>
  </si>
  <si>
    <t>LULU SRL</t>
  </si>
  <si>
    <t>摩尔多瓦</t>
  </si>
  <si>
    <t>4500175435-30</t>
  </si>
  <si>
    <t>9/23出</t>
  </si>
  <si>
    <t>8/1-客户通用贴纸</t>
  </si>
  <si>
    <t>日期码格式：ZURU INC(BVI) 标准格式 日期：按实际生产日期
Packaging Info:
9279SQ1:1L MA UPC收缩膜+客户通用贴纸；MA 指南；MA PDQ
Remark:</t>
  </si>
  <si>
    <t>4500175925-70</t>
  </si>
  <si>
    <t>8/14收到</t>
  </si>
  <si>
    <t>8/21-防盗贴纸+8/28-外箱SSCC Label</t>
  </si>
  <si>
    <t>测试</t>
  </si>
  <si>
    <t>A96808-10.31</t>
  </si>
  <si>
    <t>4500175924-70</t>
  </si>
  <si>
    <t>A96807-10.31</t>
  </si>
  <si>
    <t>4500169058-10</t>
  </si>
  <si>
    <t>92137-S002</t>
  </si>
  <si>
    <t>猫蛋二代混装（9279+9279）</t>
  </si>
  <si>
    <t>底托需要贴3C贴纸</t>
  </si>
  <si>
    <t>7/15收到</t>
  </si>
  <si>
    <t>6/19-UPC贴纸+年龄贴纸</t>
  </si>
  <si>
    <t>日期码格式：ZURU INC(BVI) 标准格式 日期：按实际生产日期
Packaging Info: 物料要求 SKU
1 92137 UPC# 193052093783，客制PDQ+ 中文收藏指南+中文布标+年龄贴（8+）
此单为首单 请帮忙提供4套大货样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</si>
  <si>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中文布标</t>
  </si>
  <si>
    <t>4500169058-20</t>
  </si>
  <si>
    <t>4500169058-30</t>
  </si>
  <si>
    <t>Port in
Poland/0006
日期码:DG
09232025</t>
  </si>
  <si>
    <t>4500162586-80</t>
  </si>
  <si>
    <t>DG 09232025</t>
  </si>
  <si>
    <t>3.标准日期码格式，产品和包装必须有日期码 。</t>
  </si>
  <si>
    <t>4500175177-80</t>
  </si>
  <si>
    <t>8/8收到</t>
  </si>
  <si>
    <t>8/21-防盗贴纸+8/18-外箱SSCC Label</t>
  </si>
  <si>
    <t>4500174768-20</t>
  </si>
  <si>
    <t>47:0003119222</t>
  </si>
  <si>
    <t>4500156909-10</t>
  </si>
  <si>
    <t>5. 跟单提供ROSS/DD's 箱唛模版和资料，工厂根据实际外箱尺寸，重量排版箱唛来确认</t>
  </si>
  <si>
    <t>Port in
Spain/ 0027
日期码:DG
09292025</t>
  </si>
  <si>
    <t>4500162586-60</t>
  </si>
  <si>
    <t>DG 09292025</t>
  </si>
  <si>
    <t>4.同个产品同个货期不可出现不同的包装。</t>
  </si>
  <si>
    <t>JSC 􀂫GRAND-TRADE􀂻</t>
  </si>
  <si>
    <t>客户PO:PGT-69
1480</t>
  </si>
  <si>
    <t>4500170546-30</t>
  </si>
  <si>
    <t>7/30-进口商贴纸+外箱贴纸</t>
  </si>
  <si>
    <t>日期码格式：ZURU INC(BVI) 标准格式 日期：按实际生产日期
Packaging Info: 注意： 此客户不允许包装/产品/PDQ 上显示recycled material 字眼，如有请告知跟单需要加贴纸覆盖；
1.
9279SQ1 ：MA 1L收缩膜+进口商贴纸；MA指南；MA B版 1L PDQ
2. 有第三方监柜
3. 外箱侧唛右上角各一张贴纸 （共2张）；外箱额外加贴四张上架警示语贴纸
Remark:</t>
  </si>
  <si>
    <t>MARKET GROUP􀂻 LLC</t>
  </si>
  <si>
    <t>order 15.1 order 15.2</t>
  </si>
  <si>
    <t>4500176551-10</t>
  </si>
  <si>
    <t>9/26出</t>
  </si>
  <si>
    <t>8/25收到</t>
  </si>
  <si>
    <t>8/29-EAN条码贴+进口商贴纸</t>
  </si>
  <si>
    <t>日期码格式：ZURU INC(BVI) 标准格式 日期：按实际生产日期
Packaging Info: 1. 9279： MA 1L 收缩膜+EAN条码贴+进口商贴纸；MA 指南
3. 货期不能延后，客人有罚金。
Remark: 1.标准配比;
2.分两批出货:</t>
  </si>
  <si>
    <t>4500176551-30</t>
  </si>
  <si>
    <t>A96640-10.11</t>
  </si>
  <si>
    <t>168 MARKETING</t>
  </si>
  <si>
    <t>Zuru Q3 Orders</t>
  </si>
  <si>
    <t>4500175250-20</t>
  </si>
  <si>
    <t>10/20出</t>
  </si>
  <si>
    <t>7/28收到</t>
  </si>
  <si>
    <t>日期码格式：ZURU INC(BVI) 标准格式 日期：按实际生产日期
Packaging Info: MA UPC包装，无需加贴纸
Remark: 
9279-7 assortment (6 common + 1 rare); RAGDOLL CA (RARE): AMERICAN SHORTHAIR: CALICO CAT: BLACK CAT: BENGAL CAT: EXOTIC CAT: CHINCHILLA CAT= 1:9
:10:10:10: 10:10;</t>
  </si>
  <si>
    <t>A96714-10.23</t>
  </si>
  <si>
    <t>MELOMAN HOME VIDEO LLP</t>
  </si>
  <si>
    <t>4500176381-60</t>
  </si>
  <si>
    <t>8/8-通用进口商贴纸</t>
  </si>
  <si>
    <t>日期码格式：ZURU INC(BVI) 标准格式 日期：按实际生产日期
Packaging Info: MA UPC最新包装+ 通用进口商贴纸 ， MA PDQ ，MA 指南/说明书（如果有的话）
Remark: 标准配比</t>
  </si>
  <si>
    <t>Joyce</t>
  </si>
  <si>
    <t>A96679-2-10.17</t>
  </si>
  <si>
    <t>4500176405-20</t>
  </si>
  <si>
    <t>8/15收到</t>
  </si>
  <si>
    <t>8/27-进口商贴纸(含EAN条码)</t>
  </si>
  <si>
    <t>日期码格式：ZURU INC(BVI) 标准格式 日期：按实际生产日期
Packaging Info: 9279：1L MA UPC 收缩膜+进口商贴纸(含EAN条码)；MA 指南
Remark:</t>
  </si>
  <si>
    <t>A96634-10.11</t>
  </si>
  <si>
    <t>4500174771-20</t>
  </si>
  <si>
    <t>10/11出</t>
  </si>
  <si>
    <t>9/10-客供价格贴纸</t>
  </si>
  <si>
    <t>ZB02342-10.11</t>
  </si>
  <si>
    <t>Amazon
ES:1U6FWV3N</t>
  </si>
  <si>
    <t>4500177457-40</t>
  </si>
  <si>
    <t>收到SO，预计10/12-10/16出</t>
  </si>
  <si>
    <t>UPC#+IT/ES+GPSR邮箱care@zuru.com翻4500165342+SSCC LABEL</t>
  </si>
  <si>
    <t>日期码格式：ZURU INC(BVI) 标准格式 日期：按实际生产日期
Packaging Info: Amazon ES(15701B/15711B/77515/9279G)/IT(77515)
4. 9279G：9279G 12pcs/ctn, no inner,EXOTIC CAT; CTN Loading: 4W*3D=12pcs/CTN; MA 3L(23L warning UPC#)B收缩膜+1张贴纸(1张UPC#+IT/ES+GPSR邮箱care@
zuru.com，参考翻单PO#4500165342)+MA 最新版布标+MA 5L(23L warning) C收藏指南+其他MA最新版包装；
5. 最迟验货不得晚于2025/9/30;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</si>
  <si>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A96806-10.31</t>
  </si>
  <si>
    <t>Amazon UK:
5C1KYKSH</t>
  </si>
  <si>
    <t>4500177500-170</t>
  </si>
  <si>
    <t>10/13出</t>
  </si>
  <si>
    <t>UPC#+IT/ES+GPSR邮箱care@zuru.com，翻4500165342+9/1-SSCC LABEL</t>
  </si>
  <si>
    <t>日期码格式：ZURU INC(BVI) 标准格式 日期：按实际生产日期
Packaging Info: Amazon UK(15710A/15711D/15726ADM/15728AD/15762D/15763BDE/92119EG/9279G)/DE(15728AD)/FR(15711B)
8. 9279G: 9279G 12pcs/ctn, no inner,EXOTIC CAT; CTN Loading: 4W*3D=12pcs/CTN; MA 3L(23L warning UPC#)B收缩膜+1张贴纸(1张UPC#+IT/ES+GPSR邮箱care@
zuru.com，参考翻单PO#4500165342)+MA 最新版布标+MA 5L(23L warning) C收藏指南+其他MA最新版包装；
9. 验货时间不迟于2025/9/30.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</si>
  <si>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A96655-10.15</t>
  </si>
  <si>
    <t>ZHUYU(SHENZHEN)TRADING CO.,LTD.</t>
  </si>
  <si>
    <t>4500177815-10</t>
  </si>
  <si>
    <t>翻4500162951</t>
  </si>
  <si>
    <t>3C贴纸+中文布标+年龄贴纸 翻4500162951</t>
  </si>
  <si>
    <t>日期码格式：ZURU INC(BVI) 标准格式 日期：按实际生产日期
Packaging Info: 物料要求 SKU
1 9279SQ1 UPC# 193052050014， MA PDQ+中文3C贴纸+中文收藏指南+中文布标(可用布标贴纸)+年龄贴纸 翻单： 4500162951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</si>
  <si>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70072731</t>
  </si>
  <si>
    <t>4500176177-20</t>
  </si>
  <si>
    <t>10/18出</t>
  </si>
  <si>
    <t>9/4收到</t>
  </si>
  <si>
    <t>ZB02508-10.18</t>
  </si>
  <si>
    <t>4500176494-10</t>
  </si>
  <si>
    <t>8/11收到</t>
  </si>
  <si>
    <t>进口商贴纸翻4500172335</t>
  </si>
  <si>
    <t>日期码格式：ZURU INC(BVI) 标准格式 日期：按实际生产日期
Packaging Info: 9279TQ1-S002-NB:3L B版UPC 收缩膜+其它MA包装+EAN4894680026780/进口商地址(翻单4500172335）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ZURU ITEM#-客户款号-条码
9279TQ1-S002-NB:44678-4894680026780</t>
  </si>
  <si>
    <t>A96789-10.31</t>
  </si>
  <si>
    <t>BABYHOUSE</t>
  </si>
  <si>
    <t>4500177534-50</t>
  </si>
  <si>
    <t>8/22收到</t>
  </si>
  <si>
    <t>8/22-进口商贴纸</t>
  </si>
  <si>
    <t>日期码格式：ZURU INC(BVI) 标准格式 日期：按实际生产日期
Packaging Info: 9279SQ1 : 1L MA 收缩膜 + 进口商贴纸 ; MA 说明书/指南（如有）;
Remark: 标准配比</t>
  </si>
  <si>
    <t>order 18</t>
  </si>
  <si>
    <t>4500178070-20</t>
  </si>
  <si>
    <t>9/1收到</t>
  </si>
  <si>
    <t>9/4-进口商贴纸(含EAN条码）</t>
  </si>
  <si>
    <t>日期码格式：ZURU INC(BVI) 标准格式 日期：按实际生产日期
Packaging Info: 
9279: MA 1L UPC收缩膜+进口商贴纸(含EAN条码）， MA指南;
2. 货期不能延后，客人有罚金。
Remark: 1.标准配比;
2.分两批出货; 需要提供self inspection report 给客户review 确认后才能放货；</t>
  </si>
  <si>
    <t>96894-11.8</t>
  </si>
  <si>
    <t>Order 19</t>
  </si>
  <si>
    <t>4500178086-20</t>
  </si>
  <si>
    <t>进口商贴纸(含EAN条码）翻4500178070</t>
  </si>
  <si>
    <t>日期码格式：ZURU INC(BVI) 标准格式 日期：按实际生产日期
Packaging Info: 
9279: MA 1L UPC收缩膜+进口商贴纸(含EAN条码）翻4500178070， MA指南;
2. 货期不能延后，客人有罚金。
Remark: 1.标准配比;
2.分两批出货; 需要提供self inspection report 给客户review 确认后才能放货；</t>
  </si>
  <si>
    <t>96895-11.8</t>
  </si>
  <si>
    <t>70072742</t>
  </si>
  <si>
    <t>4500176184-20</t>
  </si>
  <si>
    <t>10/25出</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</si>
  <si>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t>
  </si>
  <si>
    <t>ZB02600-10.24</t>
  </si>
  <si>
    <t>4500177974-30</t>
  </si>
  <si>
    <t>10/16出</t>
  </si>
  <si>
    <t>8/27收到</t>
  </si>
  <si>
    <t>9/8-防盗贴纸+外箱SSCC Label</t>
  </si>
  <si>
    <t>A96681-10.17</t>
  </si>
  <si>
    <t>4500177972-40</t>
  </si>
  <si>
    <t>A96680-10.17</t>
  </si>
  <si>
    <t>O’KEY</t>
  </si>
  <si>
    <t>4500173349-20</t>
  </si>
  <si>
    <t>9/12收到</t>
  </si>
  <si>
    <t>9/19-进口商贴纸</t>
  </si>
  <si>
    <t>日期码格式：ZURU INC(BVI) 标准格式 日期：按实际生产日期
Packaging Info: 9279SQ1 ： 1L MA UPC收缩膜+进口商贴纸（含EAN）, MA 指南 /PDQ ；
Remark: 标准配比</t>
  </si>
  <si>
    <t>A96768-10.30</t>
  </si>
  <si>
    <t>4500174671-20</t>
  </si>
  <si>
    <t>10/10出</t>
  </si>
  <si>
    <t>ZB02319(REV1)-10.10</t>
  </si>
  <si>
    <t>AMAZON FR</t>
  </si>
  <si>
    <t>法国</t>
  </si>
  <si>
    <t>Amazon FR:
56N6QXYC</t>
  </si>
  <si>
    <t>4500177504-20</t>
  </si>
  <si>
    <t>收到SO，预计10/27-10/31出</t>
  </si>
  <si>
    <t>UPC#+IT/ES+GPSR邮箱care@zuru.com，翻4500165342+9/15-SSCC LABEL</t>
  </si>
  <si>
    <t>日期码格式：ZURU INC(BVI) 标准格式 日期：按实际生产日期
Packaging Info: Amazon UK(77785)/FR(77486/9279G)
3. 9279G: 9279G 12pcs/ctn, no inner,EXOTIC CAT; CTN Loading: 4W*3D=12pcs/CTN; MA 3L(23L warning UPC#)B收缩膜+1张贴纸(1张UPC#+IT/ES+GPSR邮箱care@
zuru.com，参考翻单PO#4500165342)+MA 最新版布标+MA 5L(23L warning) C收藏指南+其他MA最新版包装；
4. 验货时间不迟于2025/10/17.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</si>
  <si>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A96777-10.31</t>
  </si>
  <si>
    <t>4ZAFEUKB</t>
  </si>
  <si>
    <t>4500178531-10</t>
  </si>
  <si>
    <t>收到SO,预计10/23-10/29出</t>
  </si>
  <si>
    <t>9/2收到</t>
  </si>
  <si>
    <t>9/29-SSCC LABEL</t>
  </si>
  <si>
    <t>A96747-10.28</t>
  </si>
  <si>
    <t>3VDIHVWO</t>
  </si>
  <si>
    <t>4500178531-20</t>
  </si>
  <si>
    <t>3HCFEO9E</t>
  </si>
  <si>
    <t>4500178531-30</t>
  </si>
  <si>
    <t>14KVNJOJ</t>
  </si>
  <si>
    <t>4500178531-40</t>
  </si>
  <si>
    <t>5M2H7F7L</t>
  </si>
  <si>
    <t>4500178531-50</t>
  </si>
  <si>
    <t>5TLUAJSW</t>
  </si>
  <si>
    <t>4500178531-60</t>
  </si>
  <si>
    <t>4P9MNN3Y</t>
  </si>
  <si>
    <t>4500178531-70</t>
  </si>
  <si>
    <t>日期码格式：ZURU INC(BVI) 标准格式 日期：按实际生产日期
Packaging Info: #9279: MA 3L B版本 + UPC贴纸, UPC贴纸图稿跟返单4500097545。常规款：稀有款=59：1; G:193052054753;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</si>
  <si>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3JCIOHAW</t>
  </si>
  <si>
    <t>4500178531-80</t>
  </si>
  <si>
    <t>47Z8Y3GN</t>
  </si>
  <si>
    <t>4500178531-90</t>
  </si>
  <si>
    <t>23OK5L4M</t>
  </si>
  <si>
    <t>4500178531-100</t>
  </si>
  <si>
    <t>39MLUGDT</t>
  </si>
  <si>
    <t>4500178531-110</t>
  </si>
  <si>
    <t>3ULIR8PI</t>
  </si>
  <si>
    <t>4500178531-120</t>
  </si>
  <si>
    <t>4500178925-50</t>
  </si>
  <si>
    <t>收到SO，预计10/22-10/24出</t>
  </si>
  <si>
    <t>9/5收到</t>
  </si>
  <si>
    <t>A96721-10.24</t>
  </si>
  <si>
    <t>4500178926-50</t>
  </si>
  <si>
    <t>日期码格式：ZURU INC(BVI) 标准格式 日期：按实际生产日期
Packaging Info:
9279SQ1: MA英语UPC版本包装（收缩膜和说明书, MA首选1L，如无1L可用多语且含英语的配套多语包装) + 1张防盗贴纸 (贴纸以及位置图翻单PO#4500095104）+ 箱
唛 + 外箱SSCC Label
配比信息：7 assortment (6 common + 1 rare); RAGDOLL CA (RARE): AMERICAN SHORTHAIR: CALICO CAT: BLACK CAT: BENGAL CAT: EXOTIC CAT: CHINCHILLA CA
T= 1:9:10:10:10: 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</si>
  <si>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A96722-10.24</t>
  </si>
  <si>
    <t>70072745</t>
  </si>
  <si>
    <t>4500176188-10</t>
  </si>
  <si>
    <t>10/7-客供价格贴纸</t>
  </si>
  <si>
    <t>ZBO2826-11.5</t>
  </si>
  <si>
    <t>Amazon
ES:1BDHPG3S</t>
  </si>
  <si>
    <t>4500179692-70</t>
  </si>
  <si>
    <t>11/18出</t>
  </si>
  <si>
    <t>1.空白外箱（加印带Zuru字样的最新logo，除了邮包盒直接做外箱的产品） + SSCC LABEL一张, 无箱唛，MADE IN CHINA 外箱只印一正一侧。</t>
  </si>
  <si>
    <t>UPC#+IT/ES环保标+GPSR邮箱care@zuru.com，翻4500165342+10/17-SCC LABEL</t>
  </si>
  <si>
    <t>日期码格式：ZURU INC(BVI) 标准格式 日期：按实际生产日期
Packaging Info: Amazon ES(71126/71137/92104A/9279H/9543E/15701A/15710AB/15726E/15728B/15763BD/77515)/IT(77731/92104H/9543E/15711B)
4. 9279H：9279H 12pcs/ctn, no inner,CHINCHILLA CAT; CTN Loading: 4W*3D=12pcs/CTN; MA 3L(23L warning UPC#)B收缩膜+2张贴纸(1张UPC#+IT/ES环保标+GPS
R邮箱care@zuru.com，参考翻单PO#4500165342；1张洗涤说明西班牙语)+MA 最新版布标+MA 5L(23L warning) C收藏指南+其他MA最新版包装；
最迟验货不得晚于2025/11/7;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</si>
  <si>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96953-11.17</t>
  </si>
  <si>
    <t>Amazon UK:
17T7EIFU</t>
  </si>
  <si>
    <t>4500179736-40</t>
  </si>
  <si>
    <t>UPC#+IT/ES环保标+GPSR邮箱care@zuru.com，翻4500165342+10/22-SCC LABEL</t>
  </si>
  <si>
    <t>日期码格式：ZURU INC(BVI) 标准格式 日期：按实际生产日期
Packaging Info: Amazon UK(15701B/15710B/15714DKMN/15726ABDEJLM/15728AG/71137/71152/77515/77731/9279EH/9543AE)/DE(15726BJLM/15728AG/15762BD/77731/92119EGH/9543E)
/FR(15728E/15763E/77673/77731)
10. 9279EH:
---9279H: 9279H 12pcs/ctn, no inner,CHINCHILLA CAT; CTN Loading: 4W*3D=12pcs/CTN; MA 3L(23L warning UPC#)B收缩膜+1张贴纸(1张UPC#+IT/ES环保标+GPS
R邮箱care@zuru.com，参考翻单PO#4500165342)+MA 最新版布标+MA 5L(23L warning) C收藏指南+其他MA最新版包装；
16. 验货时间不迟于2025/11/10.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</si>
  <si>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96956-11.17</t>
  </si>
  <si>
    <t>4500179736-60</t>
  </si>
  <si>
    <t>日期码格式：ZURU INC(BVI) 标准格式 日期：按实际生产日期
Packaging Info: Amazon UK(15701B/15710B/15714DKMN/15726ABDEJLM/15728AG/71137/71152/77515/77731/9279EH/9543AE)/DE(15726BJLM/15728AG/15762BD/77731/92119EGH/9543E)
/FR(15728E/15763E/77673/77731)
10. 9279EH:
---9279E: 9279E 12pcs/ctn, no inner,BENGAL CAT; CTN Loading: 4W*3D=12pcs/CTN; MA 3L(23L warning UPC#)B收缩膜+1张贴纸(1张UPC#+IT/ES环保标+GPSR邮
箱care@zuru.com，参考翻单PO#4500165342)+MA 最新版布标+MA 5L(23L warning) C收藏指南+其他MA最新版包装；
16. 验货时间不迟于2025/11/10.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</si>
  <si>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4500180345-10</t>
  </si>
  <si>
    <t>11/17出</t>
  </si>
  <si>
    <t>箱唛翻：4500169058</t>
  </si>
  <si>
    <t>年龄贴（8+）翻：4500169058+10/10-布标贴纸</t>
  </si>
  <si>
    <t>10/16-防窜码贴纸</t>
  </si>
  <si>
    <t>日期码格式：ZURU INC(BVI) 标准格式 日期：按实际生产日期
Packaging Info: 物料要求 SKU
1 92137 UPC# 193052093783，客制PDQ+ 中文收藏指南+中文布标+年龄贴（8+） 翻单： 4500169058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此单启用防窜码 贴纸</t>
  </si>
  <si>
    <t>4500179381-10</t>
  </si>
  <si>
    <t>11/15出</t>
  </si>
  <si>
    <t>10/16-客供价格贴纸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</si>
  <si>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
6. #92114-S001为combo pack，客供贴纸仅需贴在底座上，子件无需贴贴纸
配比： 1 Assortment(1x9279Hanson + 1x9269Huakang)
组装工厂： Hanson, 工厂自行采购子件#9269</t>
  </si>
  <si>
    <t>ZBO2918-11.15</t>
  </si>
  <si>
    <t>4500180345-20</t>
  </si>
  <si>
    <t>11/14出</t>
  </si>
  <si>
    <t>箱唛翻：4500177815</t>
  </si>
  <si>
    <t>中文3C贴纸+布标贴纸+年龄贴纸 翻4500177815</t>
  </si>
  <si>
    <t>日期码格式：ZURU INC(BVI) 标准格式 日期：按实际生产日期
Packaging Info: 物料要求 SKU
2 9279SQ1 UPC# 193052050014， MA PDQ+中文3C贴纸+中文收藏指南+中文布标(可用布标贴纸)+年龄贴纸 翻单： 4500177815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此单启用防窜码 贴纸</t>
  </si>
  <si>
    <t>97043-11.27</t>
  </si>
  <si>
    <t>TOYZOONA LIMITED</t>
  </si>
  <si>
    <t>肯尼亚</t>
  </si>
  <si>
    <t>4500181761-30</t>
  </si>
  <si>
    <t>10/14收到</t>
  </si>
  <si>
    <t>日期码格式：ZURU INC(BVI) 标准格式 日期：按实际生产日期
Packaging Info: MA PKG , 优先1L
Remark:</t>
  </si>
  <si>
    <t>Chelsea Luo</t>
  </si>
  <si>
    <t>96962-11.18</t>
  </si>
  <si>
    <t>ZURU DENMARK APS</t>
  </si>
  <si>
    <t>4500181278-220</t>
  </si>
  <si>
    <t>9279TQ1-S002-NB-MTS</t>
  </si>
  <si>
    <t>10/17收到</t>
  </si>
  <si>
    <t>10/29-意大利环保标贴纸</t>
  </si>
  <si>
    <t>日期码格式：ZURU INC(BVI) 标准格式 日期：按实际生产日期
Packaging Info: 
9279TQ1 MA 3L+23 L 最新版收缩膜+1*EAN条码贴纸++1*意大利环保标贴纸+MA 5L+8L SLIME 袋子 +1*多语通用 （SLIME, DOUGH, SAND ）化学品警语说明书 + MA 5
L+23L 收藏指南+其他 MA 包材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</si>
  <si>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Niki Chen</t>
  </si>
  <si>
    <t>97026-11.26</t>
  </si>
  <si>
    <t>4YEJ3BGS</t>
  </si>
  <si>
    <t>4500181601-30</t>
  </si>
  <si>
    <t>11/24-11/28出</t>
  </si>
  <si>
    <t>97023-11.26</t>
  </si>
  <si>
    <t>2XQGJBQG</t>
  </si>
  <si>
    <t>4500181601-40</t>
  </si>
  <si>
    <t>7SXV4LEA</t>
  </si>
  <si>
    <t>4500181601-50</t>
  </si>
  <si>
    <t>7JEAY9NA</t>
  </si>
  <si>
    <t>4500181601-60</t>
  </si>
  <si>
    <t>ZMPO250992</t>
  </si>
  <si>
    <t>11/7收到</t>
  </si>
  <si>
    <t>Remark:
大货最新版本/款号平均/请按款号装箱/大货标准箱装箱/并在外箱上注明款号/箱唛参照邮件附件
备注： 收到样品订单后尽快安排 ，注意样板品质质量要求要高于大货品质要求 ，送货时必须要附带送货单(没有送货单和QC检验合格报告的仓库一律拒绝收货)，请知悉，谢谢！</t>
  </si>
  <si>
    <t>4500180345-50</t>
  </si>
  <si>
    <t>箱唛翻4500177815</t>
  </si>
  <si>
    <t>中文3C贴纸+中文布标贴纸+年龄贴纸 翻4500177815</t>
  </si>
  <si>
    <t>97126-12.2</t>
  </si>
  <si>
    <t>4500180345-40</t>
  </si>
  <si>
    <t>箱唛翻4500169058</t>
  </si>
  <si>
    <t>中文布标贴纸+年龄贴（8+）翻4500169058</t>
  </si>
  <si>
    <t>AMAZON EU SARL, NDL DEUTSCHLAND</t>
  </si>
  <si>
    <t>Amazon UK:
4NO31G3T</t>
  </si>
  <si>
    <t>4500182286-20</t>
  </si>
  <si>
    <t>12/15-12/19出</t>
  </si>
  <si>
    <t>含UPC#+IT/ES环保标+GPSR邮箱care@zuru.com，翻4500165342)+10/17-ES洗涤说明贴纸</t>
  </si>
  <si>
    <t>日期码格式：ZURU INC(BVI) 标准格式 日期：按实际生产日期
Packaging Info: Amazon UK(9279E/71137)/DE(71137/77515)/FR(9279E)
1. 9279E: 9279E 12pcs/ctn, no inner,BENGAL CAT; CTN Loading: 4W*3D=12pcs/CTN; MA 3L(23L warning UPC#)B收缩膜+1张贴纸(含UPC#+IT/ES环保标+GPSR邮箱
care@zuru.com，参考翻单PO#4500165342)+1张ES洗涤说明贴纸(贴在收缩膜空白位，出ES需要)+MA 最新版布标+MA 5L(23L warning) C收藏指南+其他MA最新版包装
；
4. 验货时间不迟于2025/12/8.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</si>
  <si>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Amazon FR:
8BLB89GS</t>
  </si>
  <si>
    <t>4500182286-40</t>
  </si>
  <si>
    <t>12/16-12/20出</t>
  </si>
  <si>
    <t>Amazon ES:
43RWZ4EN</t>
  </si>
  <si>
    <t>4500182320-10</t>
  </si>
  <si>
    <t>收到SO，预计12/17-12/21出</t>
  </si>
  <si>
    <t>日期码格式：ZURU INC(BVI) 标准格式 日期：按实际生产日期
Packaging Info: Amazon ES(9279E)
1. 9279E：9279E 12pcs/ctn, no inner,BENGAL CAT; CTN Loading: 4W*3D=12pcs/CTN; MA 3L(23L warning UPC#)B收缩膜+1张贴纸(含UPC#+IT/ES环保标+GPSR邮箱
care@zuru.com，参考翻单PO#4500165342)+1张ES洗涤说明贴纸(贴在收缩膜空白位，出ES需要)+MA 最新版布标+MA 5L(23L warning) C收藏指南+其他MA最新版包装
；
2. 最迟验货不得晚于2025/12/5;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</si>
  <si>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Marshalls
PO#533156,SKU
#892234
DC#881-504PCS
,
DC#884-384PCS
,
DC#886-576PCS
,
DC#887-456PCS
,
DC#888-480PCS</t>
  </si>
  <si>
    <t>4500183797-20</t>
  </si>
  <si>
    <t>12/9出</t>
  </si>
  <si>
    <t>11/18-客供价格贴纸</t>
  </si>
  <si>
    <t>日期码格式：ZURU INC(BVI) 标准格式 日期：按实际生产日期
Packaging Info: MA UPC包装+价格贴纸，价格贴纸客供。
 2PK的球用无条码收缩膜或加空白贴纸覆盖原条码
Remark: 1. 产品和包装上印刷tracking code信息，格式为ZURU常规格式。
 2. 分5个DC出货，每款产品每个DC的箱唛资料不同。具体分DC数量，请参考后面行项目备注。
 3. ZURU QC验货。</t>
  </si>
  <si>
    <t xml:space="preserve"> TJX COMPANIES, INC</t>
  </si>
  <si>
    <t>TJ MAXX
PO#533249,SKU
#170656
DC#891-624PCS
,
DC#894-432PCS
,
DC#896-672PCS
,
DC#897-528PCS
,
DC#898-552PCS</t>
  </si>
  <si>
    <t>4500183798-20</t>
  </si>
  <si>
    <t>12/6出</t>
  </si>
  <si>
    <t>4500183184-20</t>
  </si>
  <si>
    <t>12/10出</t>
  </si>
  <si>
    <t>11/6收到</t>
  </si>
  <si>
    <t>防盗贴纸+11/20-外箱SSCC Label</t>
  </si>
  <si>
    <t>日期码格式：ZURU INC(BVI) 标准格式 日期：按实际生产日期
Packaging Info:
9279SQ1: MA英语UPC版本包装（收缩膜和说明书, MA首选1L，如无1L可用多语且含英语的配套多语包装) + 1张防盗贴纸 (贴纸以及位置图翻单PO#4500095104）+ 箱
唛 + 外箱SSCC Label
配比信息：7 assortment (6 common + 1 rare); RAGDOLL CA (RARE): AMERICAN SHORTHAIR: CALICO CAT: BLACK CAT: BENGAL CAT: EXOTIC CAT: CHINCHILLA CA
T= 1:9:10:10:10: 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PO#4500183185一起合并计算</t>
  </si>
  <si>
    <t>4500183185-20</t>
  </si>
  <si>
    <t>日期码格式：ZURU INC(BVI) 标准格式 日期：按实际生产日期
Packaging Info: 
9279SQ1: MA英语UPC版本包装（收缩膜和说明书, MA首选1L，如无1L可用多语且含英语的配套多语包装) + 1张防盗贴纸 (贴纸以及位置图翻单PO#4500095104）+ 箱
唛 + 外箱SSCC Label
配比信息：7 assortment (6 common + 1 rare); RAGDOLL CA (RARE): AMERICAN SHORTHAIR: CALICO CAT: BLACK CAT: BENGAL CAT: EXOTIC CAT: CHINCHILLA CA
T= 1:9:10:10:10: 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PO#4500183185一起合并计算</t>
  </si>
  <si>
    <t>4500176588-10</t>
  </si>
  <si>
    <t>11/11收到</t>
  </si>
  <si>
    <t>11/11-客供价格贴纸</t>
  </si>
  <si>
    <t>TJ MAXX
PO#533271,SKU
#171086
DC#891-408PCS
,
DC#894-264PCS
,
DC#896-432PCS
,
DC#897-336PCS
,
DC#898-360PCS</t>
  </si>
  <si>
    <t>4500183800-20</t>
  </si>
  <si>
    <t>12/17出</t>
  </si>
  <si>
    <t>11/21-客供价格贴纸</t>
  </si>
  <si>
    <t>日期码格式：ZURU INC(BVI) 标准格式 日期：按实际生产日期
Packaging Info: MA UPC包装+价格贴纸，价格贴纸客供。
Remark: 1. 产品和包装上印刷tracking code信息，格式为ZURU常规格式。
 2. 分5个DC出货，每款产品每个DC的箱唛资料不同。具体分DC数量，请参考后面行项目备注。
 3. ZURU QC验货。</t>
  </si>
  <si>
    <t>Marshalls
PO#533168,SKU
#892434
DC#881-240PCS
,
DC#884-192PCS
,
DC#886-288PCS
,
DC#887-240PCS
,
DC#888-240PCS</t>
  </si>
  <si>
    <t>4500183799-20</t>
  </si>
  <si>
    <t>12/15出</t>
  </si>
  <si>
    <t xml:space="preserve"> Emily Wu</t>
  </si>
  <si>
    <t>4500185221-10</t>
  </si>
  <si>
    <t>12/19出</t>
  </si>
  <si>
    <t>箱唛翻4500180345</t>
  </si>
  <si>
    <t>中文3C贴纸+布标贴纸+年龄贴纸 翻4500180345</t>
  </si>
  <si>
    <t>11/22-防窜码贴纸</t>
  </si>
  <si>
    <t>日期码格式：ZURU INC(BVI) 标准格式 日期：按实际生产日期
Packaging Info: 物料要求 SKU
1 9279SQ1 UPC# 193052050014， MA PDQ+中文3C贴纸+中文收藏指南+中文布标(可用布标贴纸)+年龄贴纸 翻单： 4500180345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 位置产品和箱唛对应贴好</t>
  </si>
  <si>
    <t>4500185221-80</t>
  </si>
  <si>
    <t>中文布标+年龄贴（8+）翻4500180345</t>
  </si>
  <si>
    <t>日期码格式：ZURU INC(BVI) 标准格式 日期：按实际生产日期
Packaging Info: 物料要求 SKU
8 92137 UPC# 193052093783，客制PDQ+ 中文收藏指南+中文布标+年龄贴（8+） 翻单： 4500180345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 位置产品和箱唛对应贴好</t>
  </si>
  <si>
    <t>TJ MAXX
PO#533273,SKU
#170597
DC#891-552PCS
,
DC#894-408PCS
,
DC#896-312PCS
,
DC#897-624PCS
,
DC#898-504PCS</t>
  </si>
  <si>
    <t>4500183802-20</t>
  </si>
  <si>
    <t>12/23出</t>
  </si>
  <si>
    <t>11/24-客供价格贴纸</t>
  </si>
  <si>
    <t>Marshalls
PO#533170,SKU
#892169
DC#881-912PCS
,
DC#884-720PCS
,
DC#888-576PCS</t>
  </si>
  <si>
    <t>4500183801-20</t>
  </si>
  <si>
    <t>12/29出</t>
  </si>
  <si>
    <t>日期码格式：ZURU INC(BVI) 标准格式 日期：按实际生产日期
Packaging Info: MA UPC包装+价格贴纸，价格贴纸客供。
 2PK的球用无条码收缩膜或加空白贴纸覆盖原条码
Remark: 1. 产品和包装上印刷tracking code信息，格式为ZURU常规格式。
 2. 分3-5个DC出货，每款产品每个DC的箱唛资料不同。具体分DC数量，请参考后面行项目备注。
 3. ZURU QC验货。</t>
  </si>
  <si>
    <t>4500182941-20</t>
  </si>
  <si>
    <t>1/4出</t>
  </si>
  <si>
    <t>11/10收到</t>
  </si>
  <si>
    <t>11/10-进口商贴纸+EAN条码贴纸+QRcode贴纸</t>
  </si>
  <si>
    <t>日期码格式：ZURU INC(BVI) 标准格式 日期：按实际生产日期
Packaging Info: 9279：1L MA UPC 收缩膜+进口商贴纸+QRcode 贴纸 ;
Remark: 注意：
1. QR 贴纸要求： 需包含产品型号（item）+ 序列号，二维码（QR code）正方形边长 1.5cm 。
材质与粘性：采用与进口商贴纸一致的材质，强粘性、不易脱落/掉色。
印刷与尺寸：印刷质量不低于 1.5c，整体贴纸尺寸为 3×3cm（正方形）。
印刷排版规则：按单款产品装箱数集中排版（例：产品9281装箱数 6pcs / 箱，则该款 6 个 QR code 集中排列），每版排版上方备注对应外箱箱号（如 "箱号 1""
箱号 2"⋯）。
2. 二维码贴纸位置要远离包装上的条码及其他二维码， 贴在背面。
3. QR code贴纸（要求一物一码，每PCS的二维码不一样）;
4. 装柜时需要追踪QR code 到每一箱/每一个柜子的数据提供excel 表格作为补料发给ZURU 船务；</t>
  </si>
  <si>
    <t>4500185895-70</t>
  </si>
  <si>
    <t>12/28出</t>
  </si>
  <si>
    <t>11/24收到</t>
  </si>
  <si>
    <t>Rainbocorn
2025
Requisition(J
an 202</t>
  </si>
  <si>
    <t>4500186722-10</t>
  </si>
  <si>
    <t>日期码格式：ZURU INC(BVI) 标准格式 日期：按实际生产日期
Packaging Info: MA UPC PKG(优先1L)，无需加进口商贴纸
9281 清尾阶段， 比例不是平均比例，要按工厂实际库存来出货了
Remark: 9279-7 assortment (6 common + 1 rare); RAGDOLL CA (RARE): AMERICAN SHORTHAIR: CALICO CAT: BLACK CAT: BENGAL CAT: EXOTIC CAT: CHINCHILLA CAT= 1:9
:10:10:10: 10:10;</t>
  </si>
  <si>
    <t xml:space="preserve"> MELOMAN HOME VIDEO LLP</t>
  </si>
  <si>
    <t>4500183736-60</t>
  </si>
  <si>
    <t>12/31出</t>
  </si>
  <si>
    <t>10/31收到</t>
  </si>
  <si>
    <t>10/31-进口商贴纸</t>
  </si>
  <si>
    <t>A97517-1.13</t>
  </si>
  <si>
    <t>ROYAL FOODS LLC</t>
  </si>
  <si>
    <t>4500184600-70</t>
  </si>
  <si>
    <t>11/6-通用贴纸</t>
  </si>
  <si>
    <t>日期码格式：ZURU INC(BVI) 标准格式 日期：按实际生产日期
Packaging Info:
9279SQ1:MA UPC收缩膜+通用贴纸；MA 指南 MA PDQ
Remark:</t>
  </si>
  <si>
    <t>GABRIEL BROTHERS, INC.</t>
  </si>
  <si>
    <t>4500181336-40</t>
  </si>
  <si>
    <t>12/20出</t>
  </si>
  <si>
    <t>10/11收到</t>
  </si>
  <si>
    <t>4500181336-90</t>
  </si>
  <si>
    <t>60261157</t>
  </si>
  <si>
    <t>4500184377-40</t>
  </si>
  <si>
    <t>12/26出</t>
  </si>
  <si>
    <t>日期码格式：ZURU INC(BVI) 标准格式 日期：按实际生产日期
Packaging Info:
Remark: 1. Cus Item
#92114： MA UPC 最新版本（优先1L）+客制包材（彩盒）+客供贴纸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8.#92114-S001为combo pack，客供贴纸仅需贴在底座上，子件无需贴贴纸
配比： 1 Assortment(1x9279Hanson + 1x9269Huakang)
组装工厂： Hanson, 工厂自行采购子件#9269</t>
  </si>
  <si>
    <t>Marshalls
PO#533173,SKU
#892469
DC#881-240PCS
,
DC#884-192PCS
,
DC#886-288PCS
,
DC#887-240PCS
,
DC#888-240PCS</t>
  </si>
  <si>
    <t>4500183803-20</t>
  </si>
  <si>
    <t>12/13-客供价格贴纸</t>
  </si>
  <si>
    <t>TJ MAXX
PO#533282,SKU
#170866
DC#891-408PCS
,
DC#894-264PCS
,
DC#896-432PCS
,
DC#897-336PCS
,
DC#898-360PCS</t>
  </si>
  <si>
    <t>4500183804-20</t>
  </si>
  <si>
    <t>Marshalls
PO#533219,SKU
#892504
DC#881-528PCS
,
DC#884-384PCS
,
DC#886-528PCS
,
DC#887-480PCS
,
DC#888-480PCS</t>
  </si>
  <si>
    <t>4500183805-20</t>
  </si>
  <si>
    <t>Marshalls
PO#534821,SKU
#892770
DC#881-48PCS,
DC#884-384PCS
,
DC#886-1392PC
S,
DC#887-336PCS
,
DC#888-48PCS</t>
  </si>
  <si>
    <t>4500183807-10</t>
  </si>
  <si>
    <t>日期码格式：ZURU INC(BVI) 标准格式 日期：按实际生产日期
Packaging Info: MA UPC包装+价格贴纸，价格贴纸客供。
 2PK的球用无条码收缩膜或加空白贴纸覆盖原条码
Remark: 1. 产品和包装上印刷tracking code信息，格式为ZURU常规格式。
 2. 分4-5个DC出货，每款产品每个DC的箱唛资料不同。具体分DC数量，请参考后面行项目备注。
 3. ZURU QC验货。</t>
  </si>
  <si>
    <t>Marshalls
PO#534822,
SKU#892812</t>
  </si>
  <si>
    <t>4500183808-20</t>
  </si>
  <si>
    <t>日期码格式：ZURU INC(BVI) 标准格式 日期：按实际生产日期
Packaging Info: MA UPC包装+价格贴纸，价格贴纸客供。
Remark: 1. 产品和包装上印刷tracking code信息，格式为ZURU常规格式。
 2. 1个DC#883出货。
 3. ZURU QC验货。</t>
  </si>
  <si>
    <t>TJ MAXX
PO#534824,
SKU#171188</t>
  </si>
  <si>
    <t>4500183811-20</t>
  </si>
  <si>
    <t>日期码格式：ZURU INC(BVI) 标准格式 日期：按实际生产日期
Packaging Info: MA UPC包装+价格贴纸，价格贴纸客供。
 2PK的球用无条码收缩膜或加空白贴纸覆盖原条码
Remark: 1. 产品和包装上印刷tracking code信息，格式为ZURU常规格式。
 2. 1个DC#893出货。
 3. ZURU QC验货。</t>
  </si>
  <si>
    <t>TJ MAXX
PO#534823,
SKU#171117</t>
  </si>
  <si>
    <t>4500183810-20</t>
  </si>
  <si>
    <t>TJ MAXX
PO#534825,
SKU#171228</t>
  </si>
  <si>
    <t>4500183812-20</t>
  </si>
  <si>
    <t>日期码格式：ZURU INC(BVI) 标准格式 日期：按实际生产日期
Packaging Info: MA UPC包装+价格贴纸，价格贴纸客供。
Remark: 1. 产品和包装上印刷tracking code信息，格式为ZURU常规格式。
 2. 1个DC#893出货。
 3. ZURU QC验货。</t>
  </si>
  <si>
    <t>Marshalls
PO#534820,
SKU#892713</t>
  </si>
  <si>
    <t>4500183806-20</t>
  </si>
  <si>
    <t>日期码格式：ZURU INC(BVI) 标准格式 日期：按实际生产日期
Packaging Info: MA UPC包装+价格贴纸，价格贴纸客供。
 2PK的球用无条码收缩膜或加空白贴纸覆盖原条码
Remark: 1. 产品和包装上印刷tracking code信息，格式为ZURU常规格式。
 2. 1个DC#883出货
 3. ZURU QC验货。</t>
  </si>
  <si>
    <t>TJ MAXX
PO#533283,SKU
#170900
DC#891-624PCS
,
DC#894-432PCS
,
DC#896-672PCS
,
DC#897-528PCS
,
DC#898-552PCS</t>
  </si>
  <si>
    <t>4500183809-20</t>
  </si>
  <si>
    <t>DM LLC</t>
  </si>
  <si>
    <t>出B-2仓库</t>
  </si>
  <si>
    <t>4500182880-10</t>
  </si>
  <si>
    <t>11/20收到</t>
  </si>
  <si>
    <t>11/27-QR code 贴纸+ 11/20-进口商贴纸+ EAN 条码贴纸+SSCC label</t>
  </si>
  <si>
    <t>日期码格式：外包装/外箱不要打ZURU标准日期码 日期：
Packaging Info: 注意: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/Art/size等&gt;,白底黑字，分辨率要大于300dpi，位置要远离条码。 可贴零售包装的侧面右下角/背面的右上角/挂卡的背面/正面的右上角，距离边距5mm）;
3 .外箱四面右上角需要加SSCC label （标准尺寸是16X5CM,可调整但是需要确保可扫）；
9279: 1L MA UPC 包装 + QR code 贴纸（一物一码）+ 进口商贴纸+ EAN 条码贴纸， MA 说明书/指南（如有） ；
出货前需要追踪QR code 到每一箱/每一个柜子的数据提供excel 表格作为补料。
Remark: 标准配比
请按期完货， 会有罚金。
出2个港口Bekasovo 2(B-2) &lt;(&gt;&amp;&lt;)&gt; Ural
出货前需要提供QR CODE 入外箱以及入货柜的明细清单供客户清关使用；</t>
  </si>
  <si>
    <t>A97445-1.5</t>
  </si>
  <si>
    <t>出URAL仓库</t>
  </si>
  <si>
    <t>4500182880-40</t>
  </si>
  <si>
    <t>A97453-1.6</t>
  </si>
  <si>
    <t>7VQQ43EJ</t>
  </si>
  <si>
    <t>4500186530-70</t>
  </si>
  <si>
    <t>OK</t>
  </si>
  <si>
    <t>1/18出</t>
  </si>
  <si>
    <t>11/21收到</t>
  </si>
  <si>
    <t>12/18-SSCC贴纸</t>
  </si>
  <si>
    <t>日期码格式：ZURU INC(BVI) 标准格式 日期：按实际生产日期
Packaging Info: 
#9279: MA 3L B版本 + UPC贴纸, UPC贴纸图稿跟返单4500097545。常规款：稀有款=59：1; E:193052054746;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</si>
  <si>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6K89VXAC</t>
  </si>
  <si>
    <t>4500186530-80</t>
  </si>
  <si>
    <t>68CPJLXK</t>
  </si>
  <si>
    <t>4500186530-90</t>
  </si>
  <si>
    <t>4FAUJZDV</t>
  </si>
  <si>
    <t>4500186530-100</t>
  </si>
  <si>
    <t>7E6K9QBV</t>
  </si>
  <si>
    <t>4500186530-110</t>
  </si>
  <si>
    <t>7AMHILVR</t>
  </si>
  <si>
    <t>4500186530-120</t>
  </si>
  <si>
    <t>4500187539-30</t>
  </si>
  <si>
    <t>防盗贴纸+12/20-外箱SSCC</t>
  </si>
  <si>
    <t>日期码格式：ZURU INC(BVI) 标准格式 日期：按实际生产日期
Packaging Info: 
9279SQ1: MA英语UPC版本包装（收缩膜和说明书, MA首选1L，如无1L可用多语且含英语的配套多语包装) + 1张防盗贴纸 (贴纸以及位置图翻单PO#4500095104）+ 箱
唛 + 外箱SSCC Label
配比信息：7 assortment (6 common + 1 rare); RAGDOLL CA (RARE): AMERICAN SHORTHAIR: CALICO CAT: BLACK CAT: BENGAL CAT: EXOTIC CAT: CHINCHILLA CA
T= 1:9:10:10:10: 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请注意此单与NZ PO#4500187541一起combine计算</t>
  </si>
  <si>
    <t>A97484</t>
  </si>
  <si>
    <t>718559</t>
  </si>
  <si>
    <t>4500186435-20</t>
  </si>
  <si>
    <t>日期码格式：ZURU INC(BVI) 标准格式 日期：按实际生产日期
Packaging Info: MA UPC包装+价格贴纸，价格贴纸客供。
2PK 的球用无条码收缩膜或加空白贴纸覆盖原条码
Remark: 1. 产品和包装上印刷tracking code信息，格式为ZURU常规格式。
2. 分5个DC出货，每款产品每个DC的箱唛资料不同。具体分DC数量，如下
item#9279: TJ MAXX PO#718559,SKU#176576 DC#891-480PCS, DC#894-408PCS, DC#896-384PCS, DC#897-744PCS, DC#898-384PCS;
3. ZURU QC验货。</t>
  </si>
  <si>
    <t>718558</t>
  </si>
  <si>
    <t>4500186433-20</t>
  </si>
  <si>
    <t>日期码格式：ZURU INC(BVI) 标准格式 日期：按实际生产日期
Packaging Info: MA UPC包装+价格贴纸，价格贴纸客供。
2PK的球用无条码收缩膜或加空白贴纸覆盖原条码
Remark: 1. 产品和包装上印刷tracking code信息，格式为ZURU常规格式。
2. 分4个DC出货，每款产品每个DC的箱唛资料不同。具体分DC数量，如下：
item#9279: Marshalls PO#718558,SKU#898308 DC#881-648PCS, DC#884-192PCS, DC#886-696PCS, DC#887-672PCS;
3. ZURU QC验货。</t>
  </si>
  <si>
    <t>4500187231-20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</si>
  <si>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每款都只分1个DC出货，明细如下：
item#7127: Marshalls PO#770791,SKU#899801 DC#882-2202PCS;</t>
  </si>
  <si>
    <t>4500187236-20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</si>
  <si>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item#9279: TJ MAXX PO#770793,SKU#178440 DC#891-480PCS, DC#894-384PCS, DC#896-312PCS, DC#897-624PCS, DC#898-408PCS;</t>
  </si>
  <si>
    <t>IVI-1127RT</t>
  </si>
  <si>
    <t>4500188394-20</t>
  </si>
  <si>
    <t>箱唛翻4500182484</t>
  </si>
  <si>
    <t>12/10-韩语贴纸（新稿）+ 蛋壳彩色圆贴翻4500121660</t>
  </si>
  <si>
    <t>日期码格式：ZURU INC(BVI) 标准格式 日期：按实际生产日期
Packaging Info: 
9279SQ1：口水胶必须出无硼，无MIT 版本
MA 1L PDQ，MA 1L 收缩膜， +1张韩语贴纸（新稿） + 蛋壳底部按客户要求需加1张彩色圆贴（翻单4500121660），箱唛（新稿）客版收藏指南（新稿）
Remark: 由于韩国法律法规要求，吸塑需PET材质，此单9279SQ1口水胶必须出无硼，无MIT(防腐剂版本）
产品需符合韩国KC测试标准。</t>
  </si>
  <si>
    <t>A97548-1.16</t>
  </si>
  <si>
    <t>4500182922-10</t>
  </si>
  <si>
    <t>2/9出</t>
  </si>
  <si>
    <t>11/27-QR code 贴纸+11/20-进口商贴纸EAN条码贴纸翻4500182880+SSCC label</t>
  </si>
  <si>
    <t>日期码格式：外包装/外箱不要打ZURU标准日期码 日期：
Packaging Info: 注意: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/Art/size等&gt;,白底黑字，分辨率要大于300dpi，位置要远离条码。 可贴零售包装的侧面右下角/背面的右上角/挂卡的背面/正面的右上角，距离边距5mm）;
3 .外箱四面右上角需要加SSCC label （标准尺寸是16X5CM,可调整但是需要确保可扫）；
9279: 1L MA UPC 包装 + QR code 贴纸（一物一码）+ 进口商贴纸翻4500182880+ EAN 条码贴纸翻4500182880， MA 说明书/指南（如有） ；
出货前需要追踪QR code 到每一箱/每一个柜子的数据提供excel 表格作为补料。
Remark: 标准配比
请按期完货， 会有罚金。
出2个港口Bekasovo 2(B-2) &lt;(&gt;&amp;&lt;)&gt; Ural
出货前需要提供QR CODE 入外箱以及入货柜的明细清单供客户清关使用；</t>
  </si>
  <si>
    <t>4500182922-40</t>
  </si>
  <si>
    <t>4500188650-30</t>
  </si>
  <si>
    <t>1/21-1/23出</t>
  </si>
  <si>
    <t>12/19收到</t>
  </si>
  <si>
    <t>防盗贴纸+1/4-外箱SSCC Label</t>
  </si>
  <si>
    <t>日期码格式：ZURU
9279SQ1: MA英语UPC版本包装（收缩膜和说明书, MA首选1L，如无1L可用多语且含英语的配套多语包装) + 1张防盗贴纸 (贴纸以及位置图翻单PO#4500095104）+ 箱
唛 + 外箱SSCC Label
配比信息：7 assortment (6 common + 1 rare); RAGDOLL CA (RARE): AMERICAN SHORTHAIR: CALICO CAT: BLACK CAT: BENGAL CAT: EXOTIC CAT: CHINCHILLA CA
T= 1:9:10:10:10: 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</si>
  <si>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SIMBA TOYS VN</t>
  </si>
  <si>
    <t>越南</t>
  </si>
  <si>
    <t>4500189283-10</t>
  </si>
  <si>
    <t>1/23出</t>
  </si>
  <si>
    <t>12/17收到</t>
  </si>
  <si>
    <t>12/29-EAN条码贴纸</t>
  </si>
  <si>
    <t>日期码格式：ZURU INC(BVI) 标准格式 日期：按实际生产日期
Packaging Info: 9279-MA UPC 1L package+1pc importer label+1张EAN条码贴纸
其他items-MA 3L EAN package+1pc importer label
待提供整单的贴纸资料;
Remark: 9279-7 assortment (6 common + 1 rare); RAGDOLL CA (RARE): AMERICAN SHORTHAIR: CALICO CAT: BLACK CAT: BENGAL CAT: EXOTIC CAT: CHINCHILLA CAT= 1:9
:10:10:10: 10:10;</t>
  </si>
  <si>
    <t>4500188302-60</t>
  </si>
  <si>
    <t>12/30收到</t>
  </si>
  <si>
    <t>日期码格式：ZURU INC(BVI) 标准格式 日期：按实际生产日期
Packaging Info: 请确保包装上的条形码是UPC，如果是babyUPC，需要用mother UPC覆盖，如有不一致，请及时提出。谢谢!
9279SQ1,,MA多语EAN包装+UPC贴纸+MA多语收藏指南+MA PDQ+箱唛,,
Remark:
9279SQ1,,7 assortment (6 common + 1 rare); RAGDOLL CA (RARE): AMERICAN SHORTHAIR: CALICO CAT: BLACK CAT: BENGAL CAT: EXOTIC CAT: CHINCHILLA CAT=
1:9:10:10:10: 10:10;,,</t>
  </si>
  <si>
    <t>4500188871-50</t>
  </si>
  <si>
    <t>1/28-1/30出</t>
  </si>
  <si>
    <t>12/26收到</t>
  </si>
  <si>
    <t>防盗贴纸+1/10-外箱SSCC Label</t>
  </si>
  <si>
    <t>日期码格式：ZURU INC(BVI) 标准格式 日期：按实际生产日期
Packaging Info:
9279SQ1: MA英语UPC版本包装（收缩膜和说明书, MA首选1L，如无1L可用多语且含英语的配套多语包装) + 1张防盗贴纸 (贴纸以及位置图翻单PO#4500095104）+ 箱
唛 + 外箱SSCC Label
配比信息：7 assortment (6 common + 1 rare); RAGDOLL CA (RARE): AMERICAN SHORTHAIR: CALICO CAT: BLACK CAT: BENGAL CAT: EXOTIC CAT: CHINCHILLA CA
T= 1:9:10:10:10: 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PO#4500188875一起合并计算</t>
  </si>
  <si>
    <t>Louise Lu</t>
  </si>
  <si>
    <t>4500188871-90</t>
  </si>
  <si>
    <t>4500188871-140</t>
  </si>
  <si>
    <t>4500183158-10</t>
  </si>
  <si>
    <t>4500189430-10</t>
  </si>
  <si>
    <t>2/5出</t>
  </si>
  <si>
    <t>12/29收到</t>
  </si>
  <si>
    <t>1/6-进口商贴纸+ QR code</t>
  </si>
  <si>
    <t>日期码格式：ZURU INC(BVI) 标准格式 日期：按实际生产日期
Packaging Info: 9279： 1L MA UPC 收缩膜+ 进口商贴纸+ QR code (一物一码) ，MA指南 ；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t>
  </si>
  <si>
    <t>4500181546-30</t>
  </si>
  <si>
    <t>10/13收到</t>
  </si>
  <si>
    <t>4500181546-70</t>
  </si>
  <si>
    <t>4500187926-20</t>
  </si>
  <si>
    <t>12/4收到</t>
  </si>
  <si>
    <t>日期码格式：ZURU INC(BVI) 标准格式 日期：按实际生产日期
Packaging Info: MA PKG , 优先1L
请留意此单大货外箱上的客户名称是"Toylinn”
Remark:</t>
  </si>
  <si>
    <t>A97547-1.16</t>
  </si>
  <si>
    <t>4500186392-50</t>
  </si>
  <si>
    <t>同河源一同计费</t>
  </si>
  <si>
    <t>1/30出</t>
  </si>
  <si>
    <t>日期码格式：ZURU INC(BVI) 标准格式 日期：按实际生产日期
Packaging Info: 1. STD Items: ZURU MA UPC 现有包装+客供价格贴纸，优先使用MA 1L最新版本（可接受多语）,出口美国
Remark: 1. Cus Item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8. 请注意#77785一个彩盒中的两个球不允许重复，且一个彩盒不能拆出2个即以上的重复散件。
9.#92114-S001为combo pack，客供贴纸仅需贴在底座上，子件无需贴贴纸 配比： 1 Assortment(1x9279Hanson + 1x9269Huakang) 组装工厂： Hanson, 工厂自行
采购子件#9269</t>
  </si>
  <si>
    <t>4 KIDZ - BIEDRONKA</t>
  </si>
  <si>
    <t>4500191077-10</t>
  </si>
  <si>
    <t>1/12收到</t>
  </si>
  <si>
    <t>1/12-进口商贴纸</t>
  </si>
  <si>
    <t>日期码格式：ZURU INC(BVI) 标准格式 日期：按实际生产日期
Packaging Info: 1.9279SQ1:MA3L UPC条码收缩膜+1张进口商贴纸+MAPDQ+MA5L-23L收藏指南+MA布标/贴纸+MAPDQ
Remark: 1. 请备多1套大货样品；
2. 此票大货需符合EU市场法规；
3. 此票使用UPC条码；</t>
  </si>
  <si>
    <t>Sharon Zhao</t>
  </si>
  <si>
    <t>951856</t>
  </si>
  <si>
    <t>4500189852-20</t>
  </si>
  <si>
    <t>3/5出</t>
  </si>
  <si>
    <t>12/24收到</t>
  </si>
  <si>
    <t>1/12-价格贴纸</t>
  </si>
  <si>
    <t>日期码格式：ZURU INC(BVI) 标准格式 日期：按实际生产日期
Packaging Info: MA UPC包装(优先1L)+价格贴纸，价格贴纸客供。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item#9279: Marshalls PO#951856,SKU#903466 DC#881-432PCS, DC#884-336PCS, DC#886-432PCS, DC#887-384PCS, DC#888-408PCS</t>
  </si>
  <si>
    <t>4500189853-20</t>
  </si>
  <si>
    <t>日期码格式：ZURU INC(BVI) 标准格式 日期：按实际生产日期
Packaging Info: MA UPC包装(优先1L)+价格贴纸，价格贴纸客供。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item#9279: TJ MAXX PO#951859,SKU#182306 DC#891-480PCS, DC#894-384PCS, DC#896-312PCS, DC#897-624PCS, DC#898-408PCS</t>
  </si>
  <si>
    <t>4500186623-40</t>
  </si>
  <si>
    <t>3/6出</t>
  </si>
  <si>
    <t>1/13-价格贴纸</t>
  </si>
  <si>
    <t>日期码格式：ZURU INC(BVI) 标准格式 日期：按实际生产日期
Packaging Info: 1. Cus Item
Remark: 1. Cus Item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9.#92114-S001为combo pack，客供贴纸仅需贴在底座上，子件无需贴贴纸 配比： 1 Assortment(1x9279Hanson + 1x9269Huakang) 组装工厂： Hanson, 工厂自行
采购子件#9269</t>
  </si>
  <si>
    <t>4500190626-10</t>
  </si>
  <si>
    <t>3/18-3/20出</t>
  </si>
  <si>
    <t>1/19收到</t>
  </si>
  <si>
    <t>防盗贴纸+1/30-外箱SSCC Label</t>
  </si>
  <si>
    <t>日期码格式：ZURU INC(BVI) 标准格式 日期：按实际生产日期
Packaging Info: 9279SQ1: MA英语UPC版本包装（收缩膜和说明书, MA首选1L，如无1L可用多语且含英语的配套多语包装) + 1张防盗贴纸 (贴纸以及位置图翻单PO#4500095104）+ 箱
唛 + 外箱SSCC Label
配比信息：7 assortment (6 common + 1 rare); RAGDOLL CA (RARE): AMERICAN SHORTHAIR: CALICO CAT: BLACK CAT: BENGAL CAT: EXOTIC CAT: CHINCHILLA CA
T= 1:9:10:10:10: 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PO#4500190629一起合并计算</t>
  </si>
  <si>
    <t>4500186386-10</t>
  </si>
  <si>
    <t>日期码格式：ZURU INC(BVI) 标准格式 日期：按实际生产日期
Packaging Info: 1. STD Items: ZURU MA UPC 现有包装+客供价格贴纸，优先使用MA 1L最新版本（可接受多语）,出口美国
Remark: 1. STD Items: ZURU MA UPC 现有包装+客供价格贴纸，优先使用MA 1L最新版本（可接受多语）,出口美国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6.#92114-S001为combo pack，客供贴纸仅需贴在底座上，子件无需贴贴纸 配比： 1 Assortment(1x9279Hanson + 1x9269Huakang) 组装工厂： Hanson, 工厂自行
采购子件#9269</t>
  </si>
  <si>
    <t>4500186385-30</t>
  </si>
  <si>
    <t>4/17出</t>
  </si>
  <si>
    <t>日期码格式：ZURU INC(BVI) 标准格式 日期：按实际生产日期
Packaging Info: 1. STD Items: ZURU MA UPC 现有包装+客供价格贴纸，优先使用MA 1L最新版本（可接受多语）,出口美国
Remark: 1. Cus Item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9.#92114-S001为combo pack，客供贴纸仅需贴在底座上，子件无需贴贴纸 配比： 1 Assortment(1x9279Hanson + 1x9269Huakang) 组装工厂： Hanson, 工厂自行
采购子件#9269</t>
  </si>
  <si>
    <t>4500186369-30</t>
  </si>
  <si>
    <t>5/15出</t>
  </si>
  <si>
    <t>4/13-价格贴纸</t>
  </si>
  <si>
    <t>日期码格式：ZURU INC(BVI) 标准格式 日期：按实际生产日期
Packaging Info: 1. Cus Item
#77731 ： MA UPC 现有包装+PVC桶，铜板纸+客供价格贴纸，优先使用MA 1L最新版本
#77785：MA UPC + 客版3L 彩盒 + 客供贴纸, 优先使用MA 1L最新版本
#92114: ZURU MA UPC 现有包装+客供价格贴纸，优先使用MA 1L最新版本（可接受多语）,出口美国, 翻单PO4500179381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6.所有产品和包装须符合华盛顿州及俄勒冈州 CHCC/ HPCCCH测试要求。
7. PVC 桶中球不能出现完全相同的ASSORTMENT ， 即同一个PVC 中球里的ASSORTMENT 需要不同。 以免消费者失望。
8.PVC 桶中球的UPC条码可以不需要空白贴纸覆盖
9. 请注意#77785一个彩盒中的两个球不允许重复，且一个彩盒不能拆出2个即以上的重复散件
10.#92114-S001为combo pack，客供贴纸仅需贴在底座上，子件无需贴贴纸 配比： 1 Assortment(1x9279Hanson + 1x9269Huakang) 组装工厂： Hanson, 工厂自
行采购子件#9269</t>
  </si>
  <si>
    <t>COMSED  PLC</t>
  </si>
  <si>
    <t>保加利亚</t>
  </si>
  <si>
    <t>4500197298-10</t>
  </si>
  <si>
    <t>6/4出</t>
  </si>
  <si>
    <t>3/17收到</t>
  </si>
  <si>
    <t>4/29-进口商贴纸</t>
  </si>
  <si>
    <t>日期码格式：ZURU INC(BVI) 标准格式 日期：按实际生产日期
Packaging Info: 9279SQ1：B 版 1L MA 收缩膜+进口商贴纸；C版 5L MA 收藏指南+B 版MA PDQ
Remark: "1、若产品有比例使用ZURU STD 比例
2、所有item 均用MA UPC 条码，若包装不是UPC 条码的请告知
3、此单出欧洲需满足EU测试标准要求，另外不能出闪粉（若产品本身不含闪粉则忽略这句话），电池产品（带电池/不带电池走货）需要添加WEEE通用说明书"</t>
  </si>
  <si>
    <t>Daisy  Ye</t>
  </si>
  <si>
    <t>4500208840</t>
  </si>
  <si>
    <t>40060316</t>
  </si>
  <si>
    <t>4500208840-60</t>
  </si>
  <si>
    <t>7/3出</t>
  </si>
  <si>
    <t>6/1收到</t>
  </si>
  <si>
    <t>5/29-UPC贴纸</t>
  </si>
  <si>
    <t>6/12-价格贴纸</t>
  </si>
  <si>
    <t>日期码格式： 标准格式 日期：按实际生产日期
Packaging Info:
9279 无硼版本 MA 多语B版EAN+UPC贴纸193052050014
Remark: 出加拿大
有客供价格贴
每行对应不同的客户PO，唛头要一一对应， 放唛头时跟单会提供清单
Zuru验货.日期跟踪码：产品外包装及产品本身都必须有日期跟踪码，ZURU标准格式
日期码</t>
  </si>
  <si>
    <t>KATRINA XIE</t>
  </si>
  <si>
    <t>40060588</t>
  </si>
  <si>
    <t>4500208840-140</t>
  </si>
  <si>
    <t>4500208821</t>
  </si>
  <si>
    <t>45204249</t>
  </si>
  <si>
    <t>4500208821-40</t>
  </si>
  <si>
    <t>日期码格式： 标准格式 日期：按实际生产日期
Packaging Info: 
9279 无硼版本 MA 多语B版EAN+UPC贴纸193052050014
Remark: 出加拿大
每行对应不同的客户PO，唛头要一一对应， 放唛头时跟单会提供清单
Zuru验货.日期跟踪码：产品外包装及产品本身都必须有日期跟踪码，ZURU标准格式
日期码</t>
  </si>
  <si>
    <t>SIRIUS SALES (PTY) LTD</t>
  </si>
  <si>
    <t>4500212268</t>
  </si>
  <si>
    <t/>
  </si>
  <si>
    <t>4500212268-150</t>
  </si>
  <si>
    <t>6/15收到</t>
  </si>
  <si>
    <t>日期码格式：ZURU INC(BVI) 标准格式                  日期：按实际生产日期
Remark: MA UPC PKG(优先1L)</t>
  </si>
  <si>
    <t>Lillian Li/Peggy Xie</t>
  </si>
  <si>
    <t>4500211372</t>
  </si>
  <si>
    <t>4500211372-90</t>
  </si>
  <si>
    <t>6/9收到</t>
  </si>
  <si>
    <t xml:space="preserve">日期码格式：ZURU INC(BVI) 标准格式                  日期：按实际生产日期
Packaging Info: MA PKG ，  优先1L
Remark: </t>
  </si>
  <si>
    <t>45204350</t>
  </si>
  <si>
    <t>4500208821-170</t>
  </si>
  <si>
    <t>40060859</t>
  </si>
  <si>
    <t>4500208840-440</t>
  </si>
  <si>
    <t>4500208841</t>
  </si>
  <si>
    <t>40062145</t>
  </si>
  <si>
    <t>4500208841-20</t>
  </si>
  <si>
    <t>日期码格式： 标准格式 日期：按实际生产日期
Packaging Info: 
9279 无硼版本 MA 多语B版EAN+UPC贴纸193052050014
Remark: 出加拿大
有客供价格贴
每行对应不同的客户PO，唛头要一一对应， 放唛头时跟单会提供清单
Zuru验货.日期跟踪码：产品外包装及产品本身都必须有日期跟踪码，ZURU标准格式
日期码</t>
  </si>
  <si>
    <t>4500213430</t>
  </si>
  <si>
    <t>4500213430-10</t>
  </si>
  <si>
    <t>6/23收到</t>
  </si>
  <si>
    <t>7/6-进口商贴纸+ 7/17-EAN 条码贴纸</t>
  </si>
  <si>
    <t>7/7已订，预计7/17交货</t>
  </si>
  <si>
    <r>
      <rPr>
        <sz val="14"/>
        <color rgb="FF2727F0"/>
        <rFont val="宋体"/>
        <charset val="0"/>
      </rPr>
      <t xml:space="preserve">日期码格式：ZURU INC(BVI) 标准格式 日期：按实际生产日期
Packaging Info: MA EAN 3L收缩膜 +1L PDQ,其他包材配件使用1L+1张进口商贴纸,
#9279 </t>
    </r>
    <r>
      <rPr>
        <sz val="14"/>
        <color rgb="FFFF0000"/>
        <rFont val="宋体"/>
        <charset val="0"/>
      </rPr>
      <t>出3L</t>
    </r>
    <r>
      <rPr>
        <sz val="14"/>
        <color rgb="FF2727F0"/>
        <rFont val="宋体"/>
        <charset val="0"/>
      </rPr>
      <t xml:space="preserve"> 收缩膜+1张EAN 条码贴纸+1张进口商贴纸
Remark: 9279-7 assortment (6 common + 1 rare); RAGDOLL CA (RARE): AMERICAN SHORTHAIR: CALICO CAT: BLACK CAT: BENGAL CAT: EXOTIC CAT: CHINCHILLA CAT= 1:9
:10:10:10: 10:10;</t>
    </r>
  </si>
  <si>
    <t>LLC  CSI</t>
  </si>
  <si>
    <t>4500205955</t>
  </si>
  <si>
    <t>2604002148916</t>
  </si>
  <si>
    <t>4500205955-50</t>
  </si>
  <si>
    <t>8/7出</t>
  </si>
  <si>
    <t>5/20-QR 贴纸 + PDQ+进口商贴纸</t>
  </si>
  <si>
    <t>5/20-外箱贴纸</t>
  </si>
  <si>
    <t>日期码格式：ZURU INC(BVI) 标准格式 日期：按实际生产日期
Packaging Info: 1. 外箱侧唛的右上角贴一张外箱贴纸 ;
2. 包装要求：
如果MA 彩卡显示0+/1+/2+ 需要加额外的3+ 贴纸覆盖；
零售包装上QR 贴纸上已含有进口商信息，客户EAN条码需要覆盖MA 包装上的条码。
9279SQ1:MA UPC 包装+ QR 贴纸（含RU 警告语+客户EAN条码等)， MA PDQ+进口商贴纸,MA 说明书/指南（如有）；
注意：
1. QR Code一物一码，格式要求DATA MATRIX GS1 。
2. 客户的 QR 贴纸文件是按箱制作的。例如，款号 77693GQ1 共有 18 箱，则对应 18 份文件。每份文件的第一页为外箱 SSCC 贴纸，后续页面为该箱内所装的 Q
R 贴纸。请确保箱号与 QR 贴纸一一对应，切勿随意调换。
Remark: 1. 15731： BDGM 平均比例
15714：BDEKM =2:2:2:2:4
15733：9款 even ratio
15726：10款 even ratio
其他item 标准配比
2. 此客户验货时需要提供以下三种图片，请务必拍照清晰图片，需要提供ZURU自检报告给客户确认后才能放货
产品净重图片；
产品+包装毛重图片；
一箱产品的毛重图片。
3. 零售包装上的QR code贴纸（要求一物一码，每PCS的二维码不一样，可按包装大小适当调整确保产品的美观 ，白底黑字，铜版纸印刷，印制的二维码必须清晰
且耐磨，确保在收银台处至少能连续读取两年，分辨率要大于300dpi ; QR CODE 格式要求DATA MATRIX GS1 ；
4. ZURU自检前2周需要提供QR CODE 入外箱以及入货柜的明细清单供客户清关使用;</t>
  </si>
  <si>
    <t>45204652</t>
  </si>
  <si>
    <t>4500208821-350</t>
  </si>
  <si>
    <t>40121605</t>
  </si>
  <si>
    <t>4500208841-370</t>
  </si>
  <si>
    <t>40121723</t>
  </si>
  <si>
    <t>4500208841-480</t>
  </si>
  <si>
    <t>UPD,  INC.</t>
  </si>
  <si>
    <t>4500215872</t>
  </si>
  <si>
    <t>37053</t>
  </si>
  <si>
    <t>4500215872-50</t>
  </si>
  <si>
    <t>7/17收到</t>
  </si>
  <si>
    <t>Angel  Lin</t>
  </si>
  <si>
    <r>
      <rPr>
        <sz val="14"/>
        <color rgb="FF000000"/>
        <rFont val="宋体"/>
        <charset val="134"/>
        <scheme val="minor"/>
      </rPr>
      <t>I-VISION</t>
    </r>
    <r>
      <rPr>
        <sz val="12"/>
        <color rgb="FF000000"/>
        <rFont val="等线"/>
        <charset val="134"/>
      </rPr>
      <t xml:space="preserve">  TOYS.INC</t>
    </r>
  </si>
  <si>
    <t>4500214904</t>
  </si>
  <si>
    <t>IVI-0624XE</t>
  </si>
  <si>
    <t>4500214904-30</t>
  </si>
  <si>
    <t>客版收藏指南翻4500188394</t>
  </si>
  <si>
    <t>箱唛翻4500188394</t>
  </si>
  <si>
    <t>7/9-韩语贴纸（新稿） + 彩色圆贴翻4500121660</t>
  </si>
  <si>
    <r>
      <rPr>
        <sz val="14"/>
        <color rgb="FF000000"/>
        <rFont val="宋体"/>
        <charset val="0"/>
      </rPr>
      <t>日期码格式：ZURU</t>
    </r>
    <r>
      <rPr>
        <sz val="14"/>
        <color rgb="FF000000"/>
        <rFont val="宋体"/>
        <charset val="134"/>
      </rPr>
      <t xml:space="preserve">  INC(BVI)  标准格式                                    日期：按实际生产日期
Packaging Info:
9279SQ1：口水胶必须出无硼，无MIT  版本
MA  1L  PDQ，MA  1L  收缩膜，       +1张韩语贴纸（新稿）    +  蛋壳底部按客户要求需加1张彩色圆贴（翻单4500121660），箱唛（翻单4500188394）客版收藏指南（翻单4
500188394）
Remark: 由于韩国法律法规要求，吸塑需PET材质；产品品质需符合KC测试标准
大货品质需严格跟到寄出的测试办一致。
请确保大货包装的生产年月  信息跟到到贴纸上的一致。
生产日信息不做特别要求，可安排统一日期，但必须确保生产年份"2026"  月份"08"  谢谢！</t>
    </r>
  </si>
  <si>
    <r>
      <rPr>
        <sz val="14"/>
        <color rgb="FF000000"/>
        <rFont val="宋体"/>
        <charset val="0"/>
        <scheme val="minor"/>
      </rPr>
      <t>Chelsea</t>
    </r>
    <r>
      <rPr>
        <sz val="10"/>
        <color rgb="FF000000"/>
        <rFont val="等线"/>
        <charset val="134"/>
      </rPr>
      <t xml:space="preserve">  Luo</t>
    </r>
  </si>
  <si>
    <r>
      <rPr>
        <sz val="14"/>
        <color rgb="FF000000"/>
        <rFont val="宋体"/>
        <charset val="0"/>
        <scheme val="minor"/>
      </rPr>
      <t>I-VISION</t>
    </r>
    <r>
      <rPr>
        <sz val="12"/>
        <color rgb="FF000000"/>
        <rFont val="等线"/>
        <charset val="134"/>
      </rPr>
      <t xml:space="preserve">  TOYS.INC</t>
    </r>
  </si>
  <si>
    <t>4500214916</t>
  </si>
  <si>
    <t>IVI-0624MB</t>
  </si>
  <si>
    <t>4500214916-20</t>
  </si>
  <si>
    <t>日期码格式：ZURU  INC(BVI)  标准格式                                    日期：按实际生产日期
Packaging Info: 
9279SQ1：口水胶必须出无硼，无MIT  版本
MA  1L  PDQ，MA  1L  收缩膜，     +1张韩语贴纸（新稿）    +  蛋壳底部按客户要求需加1张彩色圆贴（翻单4500121660），箱唛（翻单4500188394）客版收藏指南（翻单45
00188394）
Remark: 由于韩国法律法规要求，吸塑需PET材质，产品需符合韩国KC测试标准。
大货品质需严格跟到寄出测试办一致，9279SQ1：口水胶必须出无硼，无MIT  版本</t>
  </si>
  <si>
    <t>拼柜单</t>
  </si>
  <si>
    <t>MPO11146</t>
  </si>
  <si>
    <t>4500218587-00050-20260918</t>
  </si>
  <si>
    <t>MPO11146-10</t>
  </si>
  <si>
    <t>9279</t>
  </si>
  <si>
    <t>9/10号送丹尼混装</t>
  </si>
  <si>
    <t>Remark:
MPO ⼯⼚ 兴信
9279-ODOO DUMMY Kittycorn Surprise S7 Plush Small,Bulk : 193052050014 MA B 1L UPC 收缩膜+MA 其他 最新版包材 , 16pc ⼊⼀个shipper</t>
  </si>
  <si>
    <t>MPO11146-20</t>
  </si>
  <si>
    <t>MPO11146-30</t>
  </si>
  <si>
    <t>MPO11146-40</t>
  </si>
  <si>
    <t>MPO11146-50</t>
  </si>
  <si>
    <t>MPO11146-60</t>
  </si>
  <si>
    <r>
      <rPr>
        <sz val="14"/>
        <color rgb="FF000000"/>
        <rFont val="宋体"/>
        <charset val="134"/>
        <scheme val="minor"/>
      </rPr>
      <t>LLC</t>
    </r>
    <r>
      <rPr>
        <sz val="12"/>
        <color rgb="FF000000"/>
        <rFont val="等线"/>
        <charset val="134"/>
      </rPr>
      <t xml:space="preserve">  SALUS</t>
    </r>
  </si>
  <si>
    <t>4500214577</t>
  </si>
  <si>
    <t>4500214577-10</t>
  </si>
  <si>
    <t>9279A-S002-NB</t>
  </si>
  <si>
    <t>猫蛋二代-美国猫</t>
  </si>
  <si>
    <t>欠进口商贴纸+QR 贴纸</t>
  </si>
  <si>
    <r>
      <rPr>
        <sz val="14"/>
        <color rgb="FF000000"/>
        <rFont val="宋体"/>
        <charset val="0"/>
      </rPr>
      <t>日期码格式：ZURU</t>
    </r>
    <r>
      <rPr>
        <sz val="14"/>
        <color rgb="FF000000"/>
        <rFont val="宋体"/>
        <charset val="134"/>
      </rPr>
      <t xml:space="preserve">  INC(BVI)  标准格式                                    日期：按实际生产日期
Packaging Info: 最新MA  UPC包装+进口商贴纸+QR  贴纸（一物一码）
独立款必须用独立款的条码，不可以用混装的条码,条码以订单显示为准
Remark: 1.包装：MA  UPC包装+进口商贴纸+QR  贴纸
   2.  条码以订单显示为准  ，请安排生产前先核对  ，有问题请提出。
   3.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4.  二维码贴纸位置要远离包装上的条码及其他二维码，     贴在背面。
   5.  QR  code贴纸（要求一物一码，每PCS的二维码不一样）;
   6.  QR  code  格式  ：DATA  MATRIX  GS1  ；
   7.  若多个柜子，BY  TRAIN  要求带电池/不带电池不同柜；装柜时同一款必须放在同一个柜子里。
   8.  整张单走EXW。</t>
    </r>
  </si>
  <si>
    <r>
      <rPr>
        <sz val="14"/>
        <color rgb="FF000000"/>
        <rFont val="宋体"/>
        <charset val="0"/>
        <scheme val="minor"/>
      </rPr>
      <t>Anna</t>
    </r>
    <r>
      <rPr>
        <sz val="10"/>
        <color rgb="FF000000"/>
        <rFont val="等线"/>
        <charset val="134"/>
      </rPr>
      <t xml:space="preserve">  Lian</t>
    </r>
  </si>
  <si>
    <r>
      <rPr>
        <sz val="14"/>
        <color rgb="FF000000"/>
        <rFont val="宋体"/>
        <charset val="134"/>
        <scheme val="minor"/>
      </rPr>
      <t>LLC</t>
    </r>
    <r>
      <rPr>
        <sz val="12"/>
        <color rgb="FF000000"/>
        <rFont val="等线"/>
        <charset val="134"/>
      </rPr>
      <t xml:space="preserve">  </t>
    </r>
    <r>
      <rPr>
        <sz val="12"/>
        <color rgb="FF000000"/>
        <rFont val="等线"/>
        <charset val="134"/>
      </rPr>
      <t>SALUS</t>
    </r>
  </si>
  <si>
    <t>4500214577-20</t>
  </si>
  <si>
    <t>9279B-S002-NB</t>
  </si>
  <si>
    <t>猫蛋二代-花斑猫</t>
  </si>
  <si>
    <r>
      <rPr>
        <sz val="14"/>
        <color rgb="FF000000"/>
        <rFont val="宋体"/>
        <charset val="0"/>
        <scheme val="minor"/>
      </rPr>
      <t>Anna</t>
    </r>
    <r>
      <rPr>
        <sz val="10"/>
        <color rgb="FF000000"/>
        <rFont val="等线"/>
        <charset val="134"/>
      </rPr>
      <t xml:space="preserve">  </t>
    </r>
    <r>
      <rPr>
        <sz val="10"/>
        <color rgb="FF000000"/>
        <rFont val="等线"/>
        <charset val="134"/>
      </rPr>
      <t>Lian</t>
    </r>
  </si>
  <si>
    <t>4500214577-30</t>
  </si>
  <si>
    <t>9279D-S002-NB</t>
  </si>
  <si>
    <t>猫蛋二代-黑猫</t>
  </si>
  <si>
    <t>4500214577-40</t>
  </si>
  <si>
    <t>9279E-S002-NB</t>
  </si>
  <si>
    <t>猫蛋二代-孟加拉猫</t>
  </si>
  <si>
    <t>4500214577-50</t>
  </si>
  <si>
    <t>9279G-S002-NB</t>
  </si>
  <si>
    <t>猫蛋二代-加菲猫</t>
  </si>
  <si>
    <t>4500214577-60</t>
  </si>
  <si>
    <t>9279H-S002-NB</t>
  </si>
  <si>
    <t>猫蛋二代-粉色猫</t>
  </si>
  <si>
    <t>«MARKET GROUP»  LLC</t>
  </si>
  <si>
    <t>4500213313</t>
  </si>
  <si>
    <t>order 30.1</t>
  </si>
  <si>
    <t>4500213313-10</t>
  </si>
  <si>
    <t>欠</t>
  </si>
  <si>
    <t>欠进口商贴纸+QR code 贴纸</t>
  </si>
  <si>
    <t>欠外箱贴纸</t>
  </si>
  <si>
    <t>日期码格式：ZURU INC(BVI) 标准格式                  日期：按实际生产日期
Packaging Info: 1 .外箱正面两侧需要加SSCC label  （标准尺寸是16X5CM,可调整但是需要确保可扫）-- 2张；SSCC 标签可以随意贴在任何外箱上，与纸箱内的任意一组OR 代码匹
配.
 2. QR code 诚信标在大货印刷前请提供3张图片确认后才能上机印刷。
 3. 3L MA 收缩膜+进口商贴纸+QR code 贴纸（一物一码）, MA 说明书/指南（如有）
 4. 本订单分两批出货，分别为30.1与 30.2(PO上会有备注），QR Code也将分批提供。请出货时务必核对清楚，不要混淆填错在QR code list。
Remark: 1. 零售包装上的QR code贴纸（要求一物一码，每PCS的二维码不一样，二维码可扫描区域尺寸要大于15x15mm ，  整张贴纸尺寸建议20X30MM，可按包装大小适当调
整确保产品的美观  （含ART/INDEX/GTIN/QR code/serial number..&gt;,白底黑字，铜版纸印刷，印制的二维码必须清晰且耐磨，确保在收银台处至少能连续读取两年
 ,分辨率要大于300dpi，位置要远离条码。可贴零售包装的侧面右下角/背面的右上角/挂卡的背面/正面的右上角，距离边距5mm）;  QR CODE 格式要求DATA MATRI
 X GS1 ；
 2. 货期不能延有罚金，需要提供ZURU自检报告给客户确认后才能放货
3. ZURU自检前2周需要提供QR CODE 入外箱以及入货柜的明细清单供客户清关使用，需要客户确认才能放货;</t>
  </si>
  <si>
    <t>order 30.2</t>
  </si>
  <si>
    <t>4500213313-20</t>
  </si>
  <si>
    <t>BEALL'S  OUTLET  STORES,  INC.</t>
  </si>
  <si>
    <t>4500218792-140</t>
  </si>
  <si>
    <t>欠价格贴纸</t>
  </si>
  <si>
    <r>
      <rPr>
        <sz val="14"/>
        <color rgb="FF000000"/>
        <rFont val="宋体"/>
        <charset val="0"/>
      </rPr>
      <t>日期码格式：ZURU</t>
    </r>
    <r>
      <rPr>
        <sz val="14"/>
        <color rgb="FF000000"/>
        <rFont val="宋体"/>
        <charset val="134"/>
      </rPr>
      <t xml:space="preserve">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
4.#9279-S001
    优先1L  +  低硼口水胶  ，     比例如下：       布偶猫  ：美国猫：孟加拉猫：加菲猫：花斑猫：黑猫：粉色猫  ===14  ：26：8：     20：12：8：11</t>
    </r>
  </si>
  <si>
    <r>
      <rPr>
        <sz val="14"/>
        <color rgb="FF000000"/>
        <rFont val="宋体"/>
        <charset val="0"/>
        <scheme val="minor"/>
      </rPr>
      <t>Hailey</t>
    </r>
    <r>
      <rPr>
        <sz val="11"/>
        <color rgb="FF000000"/>
        <rFont val="宋体"/>
        <charset val="134"/>
      </rPr>
      <t xml:space="preserve">  Yu</t>
    </r>
  </si>
  <si>
    <t>4500218792-180</t>
  </si>
  <si>
    <t>4500218792-220</t>
  </si>
  <si>
    <t>JSC «GRAND-TRADE»</t>
  </si>
  <si>
    <t>4500217170</t>
  </si>
  <si>
    <t>PGT-759241</t>
  </si>
  <si>
    <t>4500217170-10</t>
  </si>
  <si>
    <t>欠进口商贴纸+QR贴纸</t>
  </si>
  <si>
    <t>日期码格式：ZURU INC(BVI) 标准格式 日期：按实际生产日期 Tracking Code:
Packaging Info: MA UPC包装+进口商贴纸（含客户EAN条码）+QR贴纸 ，MA 指南/PDQ ；
 外箱侧唛右上角各一张贴纸 (共2张)
Remark: 1. QR code 贴纸 :仅二维码尺寸15X15MM，4边留白尺寸各5mm ，二维码要清晰可扫描，2年不褪色 ，强占不易脱落 ，材质同进口商贴纸纸。要求一物一码，每PCS
的二维码不一样,白底黑字，分辨率要大于300dpi，位置要远离条码。 可贴零售包装的侧面右下角/背面的右上角/挂卡的背面/正面的右上角，距离边距5mm）;
 2. QR 二维码格式要求： DATA MATRIX GS1 ， 大货印刷前请发JPG 图片确认格式是否正确；请用苹果手机下载 Честный знак 官方APP 进行扫描，必
 须100%成功验证并显示正确商品信息 ; --ZURU QC 请留意 。
 3.. 出货前需要按船务的指示提供零售包装上QR CODE 入外箱以及入货柜的明细清单供客户清关使用--用客户的模板（追踪到箱/到柜）；
 4. 货期不能延,有罚金。
 5. 此客户不允许包装/产品/PDQ 上显示recycled material 的callout，如有请告知跟单需要加贴纸覆盖---QC 请验货留意 ；
 6. 此客户有第三方验货和监柜， 在收到船务SO 时需要提供监柜验货联系人/地址/装柜时间。工厂须提前主动联系第三方验货负责人，双方确认以下信息后，方可
 安排提柜：验货人员预计到达时间/预计完成监柜时间 特别强调：未完成上述对接确认前，严禁擅自提柜，请务必遵守。
 7. 若产品中的口水胶/棉花泥等配件已提前印刷好了日期码，需明确告知日期码是多少，客户要求距离货物到店时间至少还有三分之二的有效期（比如Slime有效期1
 年，那到店后还需要8个月的有效） 。
 8. 无特殊要求，按ZURU 标准比例；</t>
  </si>
  <si>
    <t>Wendy Wang/Anna Lian</t>
  </si>
  <si>
    <t>ZURU  Rainbocorn 狗蛋四代蛋毛絨公仔生产排期表 #9298</t>
  </si>
  <si>
    <t>贵妇犬(Poodle)         B</t>
  </si>
  <si>
    <t>咖啡斑点狗(Brown Dalnatia)                         G</t>
  </si>
  <si>
    <t>黑白斑点狗(Dalmatian)   D</t>
  </si>
  <si>
    <t>猎犬 (Hound dog)          H</t>
  </si>
  <si>
    <t>雪纳瑞(Schnauzer)E</t>
  </si>
  <si>
    <t>牧羊犬(Shepherd)     A</t>
  </si>
  <si>
    <t>柯基犬（稀有款）</t>
  </si>
  <si>
    <t>下单情况</t>
  </si>
  <si>
    <t>MA  1語收縮膜
C版本</t>
  </si>
  <si>
    <t>MA 3语收缩膜                  A版本</t>
  </si>
  <si>
    <t>MA 3语收缩膜                  B版本</t>
  </si>
  <si>
    <t>MA 3语收缩膜                  C版本</t>
  </si>
  <si>
    <t>MA口水胶-无闪粉</t>
  </si>
  <si>
    <t>客版无硼口水胶-无闪粉</t>
  </si>
  <si>
    <t>PDQ TQ1-1L                  （3L通用）</t>
  </si>
  <si>
    <t>PDQ TQ1-1L                  （3L通用）-B版</t>
  </si>
  <si>
    <t>PDQ TQ2-1L                   （3L通用）</t>
  </si>
  <si>
    <t>PDQ TQ2-1L                   （3L通用）-B版本</t>
  </si>
  <si>
    <t>PDQ   TQ3-WM CA</t>
  </si>
  <si>
    <t>PDQ  TQ4</t>
  </si>
  <si>
    <t>PDQ   TQ5-WM单</t>
  </si>
  <si>
    <t>托盘</t>
  </si>
  <si>
    <t>展示架-1L</t>
  </si>
  <si>
    <t>ZMPO24325</t>
  </si>
  <si>
    <t>9298TQ1-S001</t>
  </si>
  <si>
    <t>狗蛋四代PDQ</t>
  </si>
  <si>
    <t>大货最新版本/只需要空PDQ/不需要里面的产品;备注：收到样品订单后尽快安排 ，注意样板品质质量要求要高于大货品质要求 ，送货时必须要附带送货单(没有送货单和QC检验合格报告的仓库一律拒绝收货)，请知悉，谢谢！</t>
  </si>
  <si>
    <t>俄罗斯</t>
  </si>
  <si>
    <t>Ural</t>
  </si>
  <si>
    <t>4500137881-120</t>
  </si>
  <si>
    <t>预计7/31出</t>
  </si>
  <si>
    <t>7/9收到进口商贴纸+EAN条码贴纸</t>
  </si>
  <si>
    <t>日期码格式：彩卡/收缩膜/PDQ/外箱不要打ZURU标准日期码！ 日期：
Packaging Info: 9298TQ1: 优先1L MA 收缩膜+进口商贴纸+EAN条码贴纸; MA PDQ/指南/说明书(如有);
注意 ：彩卡/收缩膜/PDQ/外箱不要打ZURU标准日期码！！
Remark: 1. 出 Bekasovo 2和Ural;</t>
  </si>
  <si>
    <t>88869-1.4</t>
  </si>
  <si>
    <t>MEIJER</t>
  </si>
  <si>
    <t>Meijer客户PO2
16354547</t>
  </si>
  <si>
    <t>4500145013-110</t>
  </si>
  <si>
    <t>9298TQ1-S002</t>
  </si>
  <si>
    <t>狗蛋四代</t>
  </si>
  <si>
    <t>12/3出</t>
  </si>
  <si>
    <t>10/18收到</t>
  </si>
  <si>
    <t>日期码格式： 标准格式 日期：按实际生产日期
Packaging Info: 1. MA 1L 包装
2. 客人指定箱唛排版
Remark: 出货前 Zuru QC 验货</t>
  </si>
  <si>
    <t>Minny Peng</t>
  </si>
  <si>
    <t xml:space="preserve">ZB00081-3.31                                                     </t>
  </si>
  <si>
    <t>TIENDAS SORIANA, S.A. DE C.V.</t>
  </si>
  <si>
    <t>4500149669-40</t>
  </si>
  <si>
    <t>1/14出</t>
  </si>
  <si>
    <t>12/13收到</t>
  </si>
  <si>
    <t>11/27-红色logo贴纸+进口商贴纸</t>
  </si>
  <si>
    <t>日期码格式：ZURU INC(BVI) 标准格式 日期：按实际生产日期
Packaging Info: 
4. 9298TQ1：MA 3L UPC包装+MA 多语收藏指南+MA PDQ包装+1个小的红色logo贴纸+进口商贴纸+箱唛
Remark:
4. 9298：7 assortment (6 common + 1 rare)=CORGI:SHEPHERD:POODLE:DALMATIAN:SCHNAUZER:BROWN DALNATIAN:HOUND DOG=2:8:10:10:10:10:10;
6. 集装箱及装柜要求：集装箱不能有破洞；不能太脏
7.每个item需要放1整箱在每个集装箱门口
8.装柜的时候要前、中、后拍照</t>
  </si>
  <si>
    <t>94030-1.14</t>
  </si>
  <si>
    <t>9298TQ1-S001-3L</t>
  </si>
  <si>
    <t>DOLLAR GENERAL CORPORATION</t>
  </si>
  <si>
    <t>PO#待定to
DC96630</t>
  </si>
  <si>
    <t>4500149775-10</t>
  </si>
  <si>
    <t>9298-S006-PKC</t>
  </si>
  <si>
    <t>狗蛋四代胶袋2只装</t>
  </si>
  <si>
    <t>12/23  第三方</t>
  </si>
  <si>
    <t>11/8收到客办收缩膜文档                                                                                                                                                                             蛋壳日期码：DOLGEN31704302A25 （纸箱无需盖印日期）</t>
  </si>
  <si>
    <t>日期码格式：DOLLAR GENERAL 格式日期码 日期：
Packaging Info: 客版1L收缩膜(AWS跟单稍后提供) + 说明书或者收藏指南优先使用ZURU MA 1L的，如没有1L请邮件告知。
Remark: 1.包装：
客版1L收缩膜(AWS跟单稍后提供).说明书或者指南请优先使用ZURU MA 1L。
客户要求： "产品和包装不能含有PFAS 物质以及1,4 dioxane"
客户指定TUV来厂抽样+验货，会做实际测试。请确保产品符合美国测试标准，可以pass测试。
外箱必须是双坑的。
2.日期码：产品和包装上必须有客版格式日期码。
（1）产品上需打客版日期码
内容： DOLGEN31704302A25 A代表ETD 1月。
（2）包装日期码31704302A25（已印在客版包装UPC条码旁竖排文字了，无需额外做日期码在包装上）。
（3）客版UPC#430001805807
3.无价贴 。
4.客户指定TUV做100%大货验货+抽样：
12月23日早上进行客人指定TUV的100%大货验货+CT抽测试样（每款每色各12pcs带包装产品 + 5套RANDOM产品的光身样，可以参考4500144744的抽样标准。请在12
月20日前完成ZURU QC验货，并当天13点前提供验货报告+大货图片给跟单。
5.样板需求，需11月20日前寄出每款每色各6套样板给ZURU跟单转寄客人。
6.箱唛：此客人要求严格，外箱不接受水贴纸，材积以及重量必须按照以下要求，否则不符会导致验货fail从而影响货期而产生罚款。
大货外箱材积绝对不可大于下述数据，材积只接受3%的变小；重量正负不得超过以下列出数据的5%，接受外箱以印章方式印上实际毛
重。 大货外箱尺寸请保持：43.5*22.5*20.5cm ，材积必须不能大于0.7098CubeFeet（0.0201CBM);外箱毛重3.5LBS（1.59KGS）。
如有尺寸变小，请提前通知hailey。
重要提醒：外箱材质必须是双层瓦楞纸，不接受单层，会导致第三方验货fail以及返工和罚款。
7.此客人不接受任何理由的延期，会有高额罚金产生.
8.如散货入仓需在货车上加防护网.
9.出货配比：ZURU MA配比 。
2pcs in one polybag;2pcs入一个内袋，3个内袋6pcs入一 个外箱。
10.内袋需要警示语，内袋需胶纸封口，内袋aws跟单邮件发送 。</t>
  </si>
  <si>
    <t>88947-1.8</t>
  </si>
  <si>
    <t>PO#待定to
DC96640</t>
  </si>
  <si>
    <t>4500149775-20</t>
  </si>
  <si>
    <t>Dirk Rossmann GmbH</t>
  </si>
  <si>
    <t>30241146A</t>
  </si>
  <si>
    <t>4500149853-10</t>
  </si>
  <si>
    <t>9298-S001-NB</t>
  </si>
  <si>
    <t>狗蛋四代(无闪粉）</t>
  </si>
  <si>
    <t>12/25第三方</t>
  </si>
  <si>
    <t>11/13收到德语callout及警告语贴纸+EAN条码贴纸</t>
  </si>
  <si>
    <t>日期码格式：ZURU INC(BVI) 标准格式 日期：按实际生产日期
Packaging Info: 9298: 最新MA 1L 收缩膜+德语callout及警告语贴纸+EAN条码贴纸+5L 收藏指南/Polybag+MA 布标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10.标准配比。</t>
  </si>
  <si>
    <t>Shirley Zhou</t>
  </si>
  <si>
    <t>94159-1.23</t>
  </si>
  <si>
    <t>4500150797-60</t>
  </si>
  <si>
    <t>9298-S001</t>
  </si>
  <si>
    <t>Amazon Mexico, S. DE R.L. DE CV</t>
  </si>
  <si>
    <t>64SP3ZYY</t>
  </si>
  <si>
    <t>4500151559-60</t>
  </si>
  <si>
    <t>9298D-S001</t>
  </si>
  <si>
    <t>黑白斑点狗</t>
  </si>
  <si>
    <t>空白外箱加印ZURU Logo+MADE IN CHINA+SSCC LABEL(客供贴纸），</t>
  </si>
  <si>
    <t>UPC贴纸翻4500113996+12/4-进口商贴纸</t>
  </si>
  <si>
    <t>12/6-SSCC贴纸</t>
  </si>
  <si>
    <t>日期码格式：ZURU INC(BVI) 标准格式 日期：按实际生产日期
Packaging Info: 
9298: MA 加UPC贴纸，图稿跟返单4500113996。需混入稀有款， 常规款：稀有款=58：2。+进口商贴纸+SSCC贴纸。
Remark: Amazon FOB订单，出口Mexico，外箱最长边不能超过25" （超过了，case pack只能为1），不符合要求的大货，一律不接受。
1.空白外箱加印ZURU Logo+MADE IN CHINA+SSCC LABEL(客供贴纸），无shipping mark,日期使用ZURU 标准版本。SSCC Label显示的是客人自己的item#，SSCC Lab
el 贴在外箱正面的正中间，贴一面即可，跟单订购，贴纸离外箱距必须至少3cm,每一张SSCC Label都是唯一且有不同流水及条码的，没有损耗，绝对不可贴错，否
则贴错或损坏一张会导致全部都错，千万要注意！
2. 日期码使用ZURU标准版
3. 客户PO备注在remark处</t>
  </si>
  <si>
    <t>88897-1.6</t>
  </si>
  <si>
    <t>Amazon UK:
1YGF92CL</t>
  </si>
  <si>
    <t>4500149496-40</t>
  </si>
  <si>
    <t>9298B-S001</t>
  </si>
  <si>
    <t>贵妇犬</t>
  </si>
  <si>
    <t>UPC+IT sorting label翻4500124528+ES回收标翻4500149035</t>
  </si>
  <si>
    <t>日期码格式：ZURU INC(BVI) 标准格式 日期：按实际生产日期
Packaging Info: Amazon UK(9279H, 9283B, 9281A, 9298B, 71109B)
4. 9298B：12pcs/ctn, Poodle; MA 3L(9Lwarning）A版收缩膜包装+ 最新C版布标+5L warning poop polybag+9L warning scented puppycorn accessory polybag+
scented sticker polybag+5L收藏指南+3L secent surprice sticker +2张贴纸(含UPC#贴纸+IT环保标贴纸&lt;(&gt;,&lt;)&gt;参考翻单PO#4500114776)；
6. 最迟验货不得晚于2024/12/26;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</si>
  <si>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9298B-S001-3L</t>
  </si>
  <si>
    <t>ZURU France</t>
  </si>
  <si>
    <t>4500151118-30</t>
  </si>
  <si>
    <t>9298TQ1-S002-NB-MTS</t>
  </si>
  <si>
    <t>狗蛋四代（无闪粉）</t>
  </si>
  <si>
    <t>意大利西班牙环保标+EAN条码贴纸翻4500125887</t>
  </si>
  <si>
    <t>日期码格式：ZURU INC(BVI) 标准格式 日期：按实际生产日期
Packaging Info: 
3.9298TQ1:最新MA3L收缩膜+1张意大利西班牙环保标+EAN条码贴纸（翻4500125887）+最新MA5L收藏指南
Remark: 1. 西班牙国家内销单，需要通过ZURU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</si>
  <si>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88841-1.2</t>
  </si>
  <si>
    <t>9298TQ1-S002-NB-3L</t>
  </si>
  <si>
    <t>4500151018-30</t>
  </si>
  <si>
    <t>9298TQ1-S002-NB</t>
  </si>
  <si>
    <t>11/25-UPC贴纸+进口商贴纸</t>
  </si>
  <si>
    <t>日期码格式： 标准格式 日期：按实际生产日期
Packaging Info:
9298TQ1 MA 多语EAN+UPC贴纸，无硼版本。UPC号码193052057426
Remark: 出加拿大
每款产品都需要加进口商贴纸
Zuru验货.日期跟踪码：产品外包装及产品本身都必须有日期跟踪码，ZURU标准格式日期码</t>
  </si>
  <si>
    <t>4500152175-40</t>
  </si>
  <si>
    <t>翻单： 4500150993</t>
  </si>
  <si>
    <t>中文3C贴纸+中文布标(可用布标贴纸)+年龄贴纸 翻单： 4500150993</t>
  </si>
  <si>
    <t>12/6-芯片码（客供）</t>
  </si>
  <si>
    <t>日期码格式：ZURU INC(BVI) 标准格式 日期：按实际生产日期
Packaging Info: 物料要求 SKU 所有款号务必使用带有CCC 标识的AW 翻单：
4 9298TQ1 "MA+中文3C贴纸+中文收藏指南+中文布标(可用布标贴纸)+年龄贴纸+芯片码（客供）
（3Facing 6pcs/PDQ）" 翻单： 4500150993
Remark: 2.外箱材质如下：
1）毛重小于5kg 外箱纸质 K=B 爆破:1000Kpa 边压:4400N/M;
2）毛重大于5kg 外箱纸质 K636K 爆破:1400Kpa 边压:6300N/M;
3. 产品/销售包装/外箱日期码要一致，
4.芯片码横向平贴在上半部分蛋壳/彩盒内侧立面处，注意事项请见跟单提供文档资料。
5.此产品务必满足国内6P 测试标准，因为可能会被市场监督局抽查，如有问题产生，工厂要负全责
6. 这张订单做出厂价，我司自行安排车辆去贵司提货，贵司需要配合提供出口报关</t>
  </si>
  <si>
    <t>88880-1.6</t>
  </si>
  <si>
    <t>9298TQ1-S002-1</t>
  </si>
  <si>
    <t>33LNGKOU</t>
  </si>
  <si>
    <t>4500150978-80</t>
  </si>
  <si>
    <t>9298A-S001-NB</t>
  </si>
  <si>
    <t>牧羊犬</t>
  </si>
  <si>
    <t>1/1-1/17出</t>
  </si>
  <si>
    <t>11/12收到</t>
  </si>
  <si>
    <t>UPC贴纸翻4500113996</t>
  </si>
  <si>
    <t>日期码格式：ZURU INC(BVI) 标准格式 日期：按实际生产日期
Packaging Info: 出口加拿大，包装需要至少2/3L UPC版，无硼版本
#9298 MA 3L加UPC贴纸，图稿跟返单4500113996。需混入稀有款， 常规款：稀有款=58：2。A:193052062628, D:193052062642 , G:193052062666。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t>
  </si>
  <si>
    <t>Kelly/Mia</t>
  </si>
  <si>
    <t>88919-1.7</t>
  </si>
  <si>
    <t>23WGWAPR</t>
  </si>
  <si>
    <t>4500150978-100</t>
  </si>
  <si>
    <t>9298G-S001-NB</t>
  </si>
  <si>
    <t>咖啡斑点狗</t>
  </si>
  <si>
    <t>3GUQT55Y</t>
  </si>
  <si>
    <t>4500150978-110</t>
  </si>
  <si>
    <t>9298D-S001-NB</t>
  </si>
  <si>
    <t>TARGET US</t>
  </si>
  <si>
    <t>10001053805-3891</t>
  </si>
  <si>
    <t>4500150859-10</t>
  </si>
  <si>
    <t>9298TQ2-S002</t>
  </si>
  <si>
    <t>日期码格式：ZURU INC(BVI) 标准格式 日期：按实际生产日期
Packaging Info: 9298TQ2:MA 包装(UPC版), MA 1L收缩膜,MA PDQ
Remark: 9298TQ2:
1. 9298TQ2-S002-RAINBOCORNS-PUPPYCORN SURPRISE-SERIES 8 SCENT SURPRISE PLUSH SMALL,2Facing6pcs/PDQ,6pcs/CTN,No Inner,STD Color Assortment
2. MA 包装(UPC版),MA 1L收缩膜,MA PDQ; 收缩膜上的UPC显示193052057426;
3. 7 assortment (6 common + 1 rare)=CORGI:SHEPHERD:POODLE:DALMATIAN:SCHNAUZER:BROWN DALNATIAN:HOUND DOG=2:8:10:10:10:10:10;
4. 外箱正唛左上角位置粘贴条码箱贴纸，每箱只贴一张，由ZURU订购。来料贴纸上显示的客户DPCI# 086-08-7286， UPC显示10193052057423;
5. 产品和包装上印刷 tracking code信息，格式为ZURU常规格式;
6. 出货方式：货代自提。</t>
  </si>
  <si>
    <t>Holly Zheng</t>
  </si>
  <si>
    <t>88954-1.9</t>
  </si>
  <si>
    <t>10001053812-3890</t>
  </si>
  <si>
    <t>4500150863-10</t>
  </si>
  <si>
    <t>日期码格式：ZURU INC(BVI) 标准格式 日期：按实际生产日期
Packaging Info: 9298TQ2: MA 包装(UPC版), MA 1L收缩膜,MA PDQ
Remark: 9298TQ2:
1. 9298TQ2-S002-RAINBOCORNS-PUPPYCORN SURPRISE-SERIES 8 SCENT SURPRISE PLUSH SMALL,2Facing6pcs/PDQ,6pcs/CTN,No Inner,STD Color Assortment
2. MA 包装(UPC版),MA 1L收缩膜,MA PDQ; 收缩膜上的UPC显示193052057426;
3. 7 assortment (6 common + 1 rare)=CORGI:SHEPHERD:POODLE:DALMATIAN:SCHNAUZER:BROWN DALNATIAN:HOUND DOG=2:8:10:10:10:10:10;
4. 外箱正唛左上角位置粘贴条码箱贴纸，每箱只贴一张，由ZURU订购。来料贴纸上显示的客户DPCI# 086-08-7286， UPC显示10193052057423;
5. 产品和包装上印刷 tracking code信息，格式为ZURU常规格式;
6. 出货方式：货代自提。</t>
  </si>
  <si>
    <t>88884-1.6</t>
  </si>
  <si>
    <t>10001053761-3891</t>
  </si>
  <si>
    <t>4500151904-10</t>
  </si>
  <si>
    <t>11/28收到</t>
  </si>
  <si>
    <t>日期码格式：ZURU INC(BVI) 标准格式 日期：按实际生产日期 Tracking Code:
Packaging Info: 9298TQ2：MA 包装(UPC版), MA 1L收缩膜,MA PDQ
Remark: 9298TQ2：
 1. 9298TQ2-S002-RAINBOCORNS-PUPPYCORN SURPRISE-SERIES 8 SCENT SURPRISE PLUSH SMALL,2Facing6pcs/PDQ,6pcs/CTN,No Inner,STD Color Assortment
 2. MA 包装(UPC版),MA 1L收缩膜,MA PDQ; 收缩膜上的UPC显示193052057426;
 3. 7 assortment (6 common + 1 rare)=CORGI:SHEPHERD:POODLE:DALMATIAN:SCHNAUZER:BROWN DALNATIAN:HOUND DOG=2:8:10:10:10:10:10;
 4. 外箱正唛左上角位置粘贴条码箱贴纸，每箱只贴一张，由ZURU订购。来料贴纸上显示的客户DPCI# 086-08-7286， UPC显示10193052057423;
 5. 产品和包装上印刷 tracking code信息，格式为ZURU常规格式;
 6. 出货方式：货代自提。</t>
  </si>
  <si>
    <t>88829-1.2</t>
  </si>
  <si>
    <t>GP TURKEY</t>
  </si>
  <si>
    <t>土耳其</t>
  </si>
  <si>
    <t>45001514359-40</t>
  </si>
  <si>
    <t>9298TQ1-S001-NB</t>
  </si>
  <si>
    <t>11/28-客人贴纸（含客户条码</t>
  </si>
  <si>
    <t>ZUR4365</t>
  </si>
  <si>
    <t>日期码格式：ZUR4365 日期：
Packaging Info:
 9298TQ1:MA 1L 收缩膜+客人贴纸（含客户条码）+MA收藏指南，Slime需要无硼版本;MA PDQ
 2.客户日期码：ZUR4365, 产品/包装/外箱请保持一致。产品蛋壳需要印日期和item号码
 3.大货样版3套寄到客户香港办公室，请多备料
 4.大货验货需要由ZURU QC抽1pc样板寄到广州ITS做EN 71-3测试
Remark: 
 9298TQ1:scented slime（without boron, with glitter），accessories with scented beads，scented stickers，plush with some glitter fabric
 7 assortment (6 common + 1 rare)=CORGI:SHEPHERD:POODLE:DALMATIAN:SCHNAUZER:BROWN DALNATIAN:HOUND DOG=2:8:10:10:10:10:10;</t>
  </si>
  <si>
    <t>94160-1.23</t>
  </si>
  <si>
    <t>4500151625-10</t>
  </si>
  <si>
    <t>1/2-1/3出</t>
  </si>
  <si>
    <t>12/19-防盗贴纸+12/13-外箱贴纸</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</si>
  <si>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</si>
  <si>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88858-1.3</t>
  </si>
  <si>
    <t>4500151624-10</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</si>
  <si>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</si>
  <si>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88859-1.3</t>
  </si>
  <si>
    <t>4500153097-10</t>
  </si>
  <si>
    <t>客人贴纸翻4500151435（含客户条码</t>
  </si>
  <si>
    <t>日期码格式：ZUR4365 日期：
Packaging Info: 1. 9298TQ1:MA 1L 收缩膜+客人贴纸翻4500151435（含客户条码）+MA收藏指南，Slime需要无硼版本;MA PDQ
2. 客户日期码：ZUR4365, 产品/包装/外箱请保持一致。产品蛋壳需要印客户日期码和item号码
Remark: 9298TQ1:scented slime（without boron, with glitter），accessories with scented beads，scented stickers，plush with some glitter fabric
7 assortment (6 common + 1 rare)=CORGI:SHEPHERD:POODLE:DALMATIAN:SCHNAUZER:BROWN DALNATIAN:HOUND DOG=2:8:10:10:10:10:10;</t>
  </si>
  <si>
    <t>88952-1.9</t>
  </si>
  <si>
    <t>TJ MAXX
DC#891-156PCS
,
DC#894-138PCS
,
DC#896-126PCS
,
DC#897-252PCS
,
DC#898-126PCS</t>
  </si>
  <si>
    <t>4500147798-70</t>
  </si>
  <si>
    <t>9298-S003</t>
  </si>
  <si>
    <t>Marshalls
DC#881-126PCS
,
DC#884-96PCS,
DC#886-138PCS
,
DC#887-114PCS
,
DC#888-126PCS</t>
  </si>
  <si>
    <t>4500147794-70</t>
  </si>
  <si>
    <t>ToyChamp Belgium nv</t>
  </si>
  <si>
    <t>比利时</t>
  </si>
  <si>
    <t>4500151401-30</t>
  </si>
  <si>
    <t>1/19出</t>
  </si>
  <si>
    <t>EAN贴纸 翻单4500119591+NL警语贴纸翻单4500114399</t>
  </si>
  <si>
    <t>日期码格式：ZURU INC(BVI) 标准格式 日期：按实际生产日期
Packaging Info: 
9298TQ1: MA B版 3L+9L警语EAN收缩膜，MA5L收藏指南（含9L警语），MA 5L Slime polybag (+NL警语贴纸翻单4500114399)，MA3L贴纸，MA贴纸袋子，MA配件袋（
含9L警语），MA C版布标，MA PDQ（TQ1)；
Remark: 1.外箱需要印条码，请确保条码可以清晰扫描，且条码内容正确
2.出欧洲，微塑料需合规（如item本身不含微塑料,则忽略此要求）
3.STD配比</t>
  </si>
  <si>
    <t>94107-1.18</t>
  </si>
  <si>
    <t>4500152175-70</t>
  </si>
  <si>
    <t>4500150294-10</t>
  </si>
  <si>
    <t>88970-1.10</t>
  </si>
  <si>
    <t>THE WAREHOUSE LIMITED</t>
  </si>
  <si>
    <t>4500151710-10</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</si>
  <si>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此单出LYT
9298TQ1: 7 assortment (6 common + 1 rare)=CORGI:SHEPHERD:POODLE:DALMATIAN:SCHNAUZER:BROWN DALNATIAN:HOUND DOG=2:8:10:10:10:10:10;</t>
  </si>
  <si>
    <t>Abby Liang</t>
  </si>
  <si>
    <t>94006-1.13</t>
  </si>
  <si>
    <t>4500151707-10</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</si>
  <si>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此单出AKL
9298TQ1: 7 assortment (6 common + 1 rare)=CORGI:SHEPHERD:POODLE:DALMATIAN:SCHNAUZER:BROWN DALNATIAN:HOUND DOG=2:8:10:10:10:10:10;
92105: SLOTH:BUNNY:DALMATIAN:HIPPO:COW:KITTEN:POODLE=3:7:10:10:10:10:10; RARE: SLOTH
92104TQ1: MUNCHKIN(RARE): HIMALAYAN: PERSIAN: MAINE COON: RAGDOLL: RAGAMUFFIN: NORWEGIAN FOREST CAT = 2: 8: 10: 10: 10: 10: 10</t>
  </si>
  <si>
    <t>94025-1.14</t>
  </si>
  <si>
    <t>TJX
Europe(DE):
PO#55343906</t>
  </si>
  <si>
    <t>4500152906-50</t>
  </si>
  <si>
    <t>波兰警示语翻4500133932</t>
  </si>
  <si>
    <t>日期码格式：ZURU INC(BVI) 标准格式 日期：按实际生产日期 
Packaging Info: TJX Europe(DE): PO#55343895(9283) &lt;(&gt;&amp;&lt;)&gt; PO#55343898(9258) &lt;(&gt;&amp;&lt;)&gt; PO#55343898(9281) &lt;(&gt;&amp;&lt;)&gt; PO#55343901(9281) &lt;(&gt;&amp;&lt;)&gt; PO#55343906(9298) &lt;(&gt;&amp;
 &lt;)&gt; PO#55343909(9298) &lt;(&gt;&amp;&lt;)&gt; PO#55343918(7132) &lt;(&gt;&amp;&lt;)&gt; PO#55343920(7132) &lt;(&gt;&amp;&lt;)&gt; PO#55343920(92107) &lt;(&gt;&amp;&lt;)&gt; PO#55343844(9279) &lt;(&gt;&amp;&lt;)&gt; PO#553438
 77(9279)
 4) 9298: MA 3L(9Lwarning) A版收缩膜+ 其他最新MA配套包装+1张客供价格贴纸+1张贴纸（含波兰警示语，参考翻单PO#4500133932）
 8) 最迟验货时间不得晚于1/4
Remark: 1. 出往UK的产品+包装务必打上UKCA logo ，否则客人会退货且当地会有罚款；
 2.订单必须经过ZURU QC验货并且通过后方可出货；
 3. 订单每行对应客人不同的PO， 箱唛也有不同，做货的时候请分开堆放；
 4. 订单每行对应客人不同的PO，即同款item的价格贴纸都不相同，请注意收到贴纸后不要弄混!（客人PO号请参考PO最后一栏remark）；
 5. 价格贴纸位置为产品正面右上角，不能遮住产品信息，大货生产前，请把贴纸位置先发给跟单确认
 6. 涉及到相关款式会有闪粉的或者微塑料的，请统一默认出无闪粉或者不含微塑料版本;
 7. 外箱封箱必须是工字型封箱方式；</t>
  </si>
  <si>
    <t>9298-S003-3L</t>
  </si>
  <si>
    <t>TJX
Europe(DE):
PO#55343909</t>
  </si>
  <si>
    <t>4500152906-60</t>
  </si>
  <si>
    <t>ZU01-25</t>
  </si>
  <si>
    <t>4500152087-40</t>
  </si>
  <si>
    <t>12/10-进口商贴纸</t>
  </si>
  <si>
    <t>日期码格式：ZURU INC(BVI) 标准格式 日期：按实际生产日期
Packaging Info:9298TQ1:MA 1L包装+进口商贴纸+箱唛</t>
  </si>
  <si>
    <t>88961-1.9</t>
  </si>
  <si>
    <t>TJX UK:
PO#50343305</t>
  </si>
  <si>
    <t>4500152937-40</t>
  </si>
  <si>
    <t>日期码格式：ZURU INC(BVI) 标准格式 日期：按实际生产日期 
Packaging Info: TJX UK: PO#50343294(9283) &lt;(&gt;&amp;&lt;)&gt; PO#50343296(9258) &lt;(&gt;&amp;&lt;)&gt; PO#50343296(9281) &lt;(&gt;&amp;&lt;)&gt; PO#50343305(9298) &lt;(&gt;&amp;&lt;)&gt; PO#50343349(7132) &lt;(&gt;&amp;&lt;)&gt; PO#503
 43349(92107) &lt;(&gt;&amp;&lt;)&gt; PO#50343392(9279) &lt;(&gt;&amp;&lt;)&gt; PO#50343399(9279)
 4) 9298: MA 3L(9Lwarning) A版收缩膜+ 其他最新MA配套包装+1张客供价格贴纸
 8) 最迟验货时间不得晚于1/4
Remark: 1. 出往UK的产品+包装务必打上UKCA logo ，否则客人会退货且当地会有罚款；
 2. 订单必须经过ZURU QC验货并且通过后方可出货；
 3. 订单每行对应客人不同的PO， 箱唛也有不同，做货的时候请分开堆放；
 4. 订单每行对应客人不同的PO，即同款item的价格贴纸都不相同，请注意收到贴纸后不要弄混!（客人PO号请参考PO最后一栏remark）；
 5. 价格贴纸位置为产品正面右上角，不能遮住产品信息，大货生产前，请把贴纸位置先发给跟单确认
 6. 涉及到相关款式会有闪粉的或
者微塑料的，请统一默认出无闪粉或者不含微塑料
 版本;
 7. 外箱封箱必须是工字型封箱方式；</t>
  </si>
  <si>
    <t>Concentra, S.A.</t>
  </si>
  <si>
    <t>葡萄牙</t>
  </si>
  <si>
    <t>F202/20240072</t>
  </si>
  <si>
    <t>4500149882-20</t>
  </si>
  <si>
    <t>11/1收到</t>
  </si>
  <si>
    <t>11/1收到CONCENTRA" logo 彩色贴纸 +进口商黑白贴纸</t>
  </si>
  <si>
    <t>日期码格式：ZURU INC(BVI) 标准格式 日期：按实际生产日期
Packaging Info: 需要提供验货图片给客户审核通过后才可出货，请按时完货及时验货避免审批影响船期；
Remark: 
9298TQ1:{最新MA 3L 包装+1*CONCENTRA" logo 彩色贴纸 + 1*进口商黑白贴纸}+ MA 5L 收藏指南+MA PDQ;
每款需要提供两套大货样，请注意备料；</t>
  </si>
  <si>
    <t>Sherry Chen</t>
  </si>
  <si>
    <t>88969-1.10</t>
  </si>
  <si>
    <t>客户PO#383017
505</t>
  </si>
  <si>
    <t>4500151472-40</t>
  </si>
  <si>
    <t>客户PO#383019
405</t>
  </si>
  <si>
    <t>4500151472-90</t>
  </si>
  <si>
    <t>4500152326-20</t>
  </si>
  <si>
    <t>日期码格式：ZURU INC(BVI) 标准格式 日期：按实际生产日期
Packaging Info:9298TQ1:MA 3L包装+进口商贴纸+箱唛 +EAN贴纸，进口商贴纸/箱唛/EAN贴纸翻单PO4500123283
Remark: 进口商贴纸请多备料5pcs,出货后需要寄给客户</t>
  </si>
  <si>
    <t>N.V. DREAMLAND</t>
  </si>
  <si>
    <t>4500151910-10</t>
  </si>
  <si>
    <t>NL警语贴纸翻4500114399</t>
  </si>
  <si>
    <t>日期码格式：ZURU INC(BVI) 标准格式 日期：按实际生产日期 Tracking Code:
Packaging Info: 9298TQ1: MA B版 3L+9L警语EAN收缩膜，MA5L收藏指南（含9L警语），MA 5L Slime polybag (+NL警语贴纸翻PO#4500114399)，MA3L贴纸，MA贴纸袋子，MA配件袋（
 含9L警语），MA C版布标，MA PDQ（TQ1)；
Remark: 1.外箱需要印条码，请确保条码可以清晰扫描，且条码内容正确
 2.出欧洲，微塑料需合规（如item本身不含微塑料,则忽略此要求）
 3.STD配比
 4. 所有产品符合REACH申明</t>
  </si>
  <si>
    <t>94005-1.13</t>
  </si>
  <si>
    <t>WABRO</t>
  </si>
  <si>
    <t>阿根廷</t>
  </si>
  <si>
    <t>4500152720-110</t>
  </si>
  <si>
    <t>12/6收到进口商贴纸</t>
  </si>
  <si>
    <t>日期码格式：ZURU INC(BVI) 标准格式 日期：按实际生产日期
Packaging Info:
9298TQ1:MA 3L包装+进口商贴纸+箱唛
Remark: LR44 电池品牌为ONLY</t>
  </si>
  <si>
    <t>88958-1.9</t>
  </si>
  <si>
    <t>4500152261-20</t>
  </si>
  <si>
    <t>12/19-UPC贴纸+进口商贴纸</t>
  </si>
  <si>
    <t>日期码格式：ZURU INC(BVI) 标准格式 日期：按实际生产日期
Packaging Info:
9298TQ1：MA 3L EAN包装+UPC贴纸+MA PDQ包装+MA 多语收藏指南+进口商贴纸+箱唛
Remark:
9298TQ1: 7 assortment (6 common + 1 rare)=CORGI:SHEPHERD:POODLE:DALMATIAN:SCHNAUZER:BROWN DALNATIAN:HOUND DOG=2:8:10:10:10:10:10;
出货前要提供大货照片给客户确认后才能出货，请按期完货</t>
  </si>
  <si>
    <t>10001053693-3891</t>
  </si>
  <si>
    <t>4500151906-10</t>
  </si>
  <si>
    <t>12/25-外箱贴纸</t>
  </si>
  <si>
    <t>94061-1.16</t>
  </si>
  <si>
    <t>10001053759-3890</t>
  </si>
  <si>
    <t>4500151907-10</t>
  </si>
  <si>
    <t>94008-1.13</t>
  </si>
  <si>
    <t>Wonderland Toys Inc DBA The Zoofy G</t>
  </si>
  <si>
    <t>4500151635-60</t>
  </si>
  <si>
    <t>12/16-UCC贴纸+11/27-价格贴纸</t>
  </si>
  <si>
    <t>日期码格式：ZURU INC(BVI) 标准格式 日期：按实际生产日期
Packaging Info: 1. 出口美国，MA UPC 版本包装，优先1L。
#9298TQ1: PRICER TICK-12.99; 7 assortment (6 common + 1 rare)=CORGI:SHEPHERD:POODLE:DALMATIAN:SCHNAUZER:BROWN DALNATIAN:HOUND DOG=2:8:10:10:10:1
0:10;
2. 产品需要价格贴纸， 贴纸资料后面提供。
3. 外箱需要UCC贴纸。贴纸资料后面提供。
Remark: 4. Zuru QC 验货即可。</t>
  </si>
  <si>
    <t>Abby Mai, Lluviazeng</t>
  </si>
  <si>
    <t>94078-1.17</t>
  </si>
  <si>
    <t>HEB GROCERY COMPANY, LP</t>
  </si>
  <si>
    <t>PO#60X356210</t>
  </si>
  <si>
    <t>4500152429-10</t>
  </si>
  <si>
    <t>1/9第三方</t>
  </si>
  <si>
    <t>日期码格式：ZURU INC(BVI) 标准格式 日期：按实际生产日期
Packaging Info: 1. ZURU MA UPC版本，出口美国.
Remark: 2. 日期跟踪码：ZURU标准格式日期码，产品包装及产品本身都必须有ZURU标准格式日期码，并且确保两者信息保持一致(请自行调整具体年月日生产期，但不能为周末）。
 针对你们目前没办法保持日期码一致的做法是：
 * 大货：可以按照实际生产的日期码打，毛绒布标和蛋壳上的日期码格式和时间这次特例可以不保持一致出货；但到时需手动贴一套公仔的布标贴纸，使布标跟蛋壳
 日期码格式和时间一样，拍照给我们发给实验室review 日期码，让实验室知道订单大货出的日期码格式和时间是跟抽板指定款的保持一样。
 * 指定款抽板：需手动贴布标贴纸，保证布标跟蛋壳上的日期码格式和时间都一样，且这个时间要跟大货的时间一样。
 3. 大货样
 #9298TQ2 需在12月18日前寄出2齐套样板给到利丰重新签样，以下是收件人信息：
 Li &lt;(&gt;&amp;&lt;)&gt; Fung　
 深圳市福田区绒花路8号深福保大厦附楼3楼。
 收件人： Yoland Dai　电话：+0755 8825 3756
 4. 验货+ 抽板 （同一天进行）
预约1月9日第三方（利丰）到工厂做100%大货现场验货和抽板，验货需打印EPM出来跟客户回签样板供第三方验货参考。
 PS:EPM是跟单提供。
 抽板：
因#9298TQ2的ZURU测试报告上被客户指定实验室发现产品和产品包装上的日期码不一致，所以这款寄样给实验室的是按照
利丰验货员现场针对指定款随机抽板6PCS（须带包装）;其他利丰验货员现场针对指定款随机抽板6PCS。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t>
  </si>
  <si>
    <t>Elsa Zheng</t>
  </si>
  <si>
    <t>94212-2.11</t>
  </si>
  <si>
    <t>VM INTERNATIONAL</t>
  </si>
  <si>
    <t>4500151779-80</t>
  </si>
  <si>
    <t>9298TQ2-S001</t>
  </si>
  <si>
    <t>12/12收到</t>
  </si>
  <si>
    <t>Iris Yuan</t>
  </si>
  <si>
    <t>94112-1.18</t>
  </si>
  <si>
    <t>4500152205-60</t>
  </si>
  <si>
    <t>日期码格式：ZURU INC(BVI) 标准格式 日期：按实际生产日期
Packaging Info:
9298TQ1:1L MA收缩膜+进口商贴纸;MA指南;MA PDQ
2.此客户需要进行COC认证，装柜前在主拼工厂会有第三方验货，每款item需备2pcs 验货备品。
Remark: 标准产品标准配比</t>
  </si>
  <si>
    <t>Talent Show d.o.o.</t>
  </si>
  <si>
    <t>克罗地亚</t>
  </si>
  <si>
    <t>4500153308-30</t>
  </si>
  <si>
    <t>12/6收到</t>
  </si>
  <si>
    <t>日期码格式：ZURU INC(BVI) 标准格式 日期：按实际生产日期
Packaging Info:
9298TQ1：B 版 3L MA EAN 收缩膜+进口商贴纸；A 版 5L MA 收藏指南/MA PDQ
Remark: 1、若产品有比例使用ZURU STD 比例
2、所有item 均用MA EAN 条码，若包装不是EAN 条码的请告知
3、此单出欧洲需满足EU测试标准要求</t>
  </si>
  <si>
    <t>94038-1.15</t>
  </si>
  <si>
    <t>TIENDAS CHEDRAUI, S.A. DE C.V.</t>
  </si>
  <si>
    <t>4500153048-20</t>
  </si>
  <si>
    <t>12/12-进口商贴纸(已包含UPC条码</t>
  </si>
  <si>
    <t>日期码格式：ZURU INC(BVI) 标准格式 日期：按实际生产日期
Packaging Info: 1.9298TQ1：MA 3L EAN包装+MA PDQ包装+MA 多语收藏指南+进口商贴纸(已包含UPC条码)+箱唛
Remark:
 2. 9298：7 assortment (6 common + 1 rare)=CORGI:SHEPHERD:POODLE:DALMATIAN:SCHNAUZER:BROWN DALNATIAN:HOUND DOG=2:8:10:10:10:10:10;</t>
  </si>
  <si>
    <t>94048-1.15</t>
  </si>
  <si>
    <t>4500153347-40</t>
  </si>
  <si>
    <t>日期码格式：ZURU INC(BVI) 标准格式 日期：按实际生产日期
Packaging Info:
9298TQ1:MA 1LUPC 包装+进口商贴纸+箱唛，进口商贴纸贴于位置"B"</t>
  </si>
  <si>
    <t>77QEF3CP</t>
  </si>
  <si>
    <t>4500152544-20</t>
  </si>
  <si>
    <t>9298B-S001-NB</t>
  </si>
  <si>
    <t>1/16-1/21出</t>
  </si>
  <si>
    <t>UPC贴纸翻单4500113996</t>
  </si>
  <si>
    <t>日期码格式：ZURU INC(BVI) 标准格式 日期：按实际生产日期
Packaging Info: 出口加拿大，包装需要至少2/3L UPC版，无硼版本。
#9298: MA 3L加UPC贴纸, 图稿跟返单4500113996. 需混入稀有款, 常规款:稀有款=58:2; B:193052062635, E:193052062659；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</si>
  <si>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94134-1.21</t>
  </si>
  <si>
    <t>24T7WAKA</t>
  </si>
  <si>
    <t>4500152544-30</t>
  </si>
  <si>
    <t xml:space="preserve"> 
1N3GN6YT</t>
  </si>
  <si>
    <t>4500152544-60</t>
  </si>
  <si>
    <t xml:space="preserve"> 
1KGPBEWY</t>
  </si>
  <si>
    <t>4500152544-160</t>
  </si>
  <si>
    <t>5W2WJY2N</t>
  </si>
  <si>
    <t>4500152544-170</t>
  </si>
  <si>
    <t>4500149708-30</t>
  </si>
  <si>
    <t>1/17出</t>
  </si>
  <si>
    <t>意大利环保标和EAN条码贴纸翻4500125887</t>
  </si>
  <si>
    <t>日期码格式：ZURU INC(BVI) 标准格式 日期：按实际生产日期
Packaging Info:
2.9298TQ1:最新MA3L收缩膜+1张意大利环保标和EAN条码贴纸翻4500125887+最新MA5L收藏指南
Remark: 1.法国国家内销单，需要通过ZURU 验货结果后才能出货 (工厂需要主动提前同ZURU QC预约验货避免延期出货造成不必要麻烦)；
2.本订单所有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</si>
  <si>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94087-1.17</t>
  </si>
  <si>
    <t>4500150317-40</t>
  </si>
  <si>
    <t>CRACKER BARREL</t>
  </si>
  <si>
    <t>4500153610-10</t>
  </si>
  <si>
    <t>9298-S007-PKC</t>
  </si>
  <si>
    <t>狗蛋四代（胶袋24只装）</t>
  </si>
  <si>
    <t>12/9抽办</t>
  </si>
  <si>
    <t>1/17-1/20出</t>
  </si>
  <si>
    <t>12/12-客版贴纸和内袋</t>
  </si>
  <si>
    <t>日期码格式：ZURU INC(BVI) 标准格式 日期：按实际生产日期
Packaging Info: 1.ZURU标准MA UPC 包装(优先1L） +MA布标+客版贴纸和内袋，工厂自行订购。
Remark: 2.配比：
 9298-S007-PKC-RAINBOCORNS-PUPPYCORN SURPRISE-SERIES 8-PLUSH SMALL-SHRINK WRAP,6pcs/Polybag, 24pcs/4Polybag/CTN; 6PCS入一个内袋，4个内袋入一个外
 箱，24pcs产品入一个外箱。
 INNER POLYBAG的美国标准警示语内容为：
 WARNING: TO AVOID DANGER OF SUFFOCATION, KEEP THIS BAG AWAY FROM BABIES AND CHILDREN. DO
 NOT USE IN CRIBS, BEDS, CARRIAGES OR PLAY PENS. THIS BAG IS NOT A TOY. KNOT UP BAG BEFORE THROWING AWAY.
 （内袋AWS 跟单稍后提供）
 3.产品及包装上都要有日期码，日期码是一致的（但不能为周末)，格式为ZURU标准格式。
 4.此单需做产中抽板测试，测试通过后方可出货，25%抽样由客人指定的第三方ITS进行，现场在大货中抽样，具体要求如下面A,B,C,D所列：
 A.样板抽取12pcs/色（带包装，大货中抽取）。
 B.产品上有涂层的，每种涂层需要提供两张A4大小喷满同种油漆的底材（油漆喷厚一些避免用料不够，否则需客批才能另外补料给实验室）。
 C.如有液体材料，每种需提供50ml。
D.抽样前一天会将测式申请表发出，需打印出来随抽样一起寄给ITS。
 5.样板需求：
 满箱样：请在1/7/2025寄出一箱大货满箱样（产品须带客版贴纸，并带大货外箱）寄给深圳跟单Sharon/Peggy。
 Remark：满箱样以及测试样板数量不包含在订单数量里，做货需预备样板数量。</t>
  </si>
  <si>
    <t>94137-1.21</t>
  </si>
  <si>
    <t>10001053751-3891</t>
  </si>
  <si>
    <t>4500154083-10</t>
  </si>
  <si>
    <t>1/3-外箱贴纸</t>
  </si>
  <si>
    <t>日期码格式：ZURU INC(BVI) 标准格式 日期：按实际生产日期 
Packaging Info: 9298TQ2: MA 包装(UPC版), MA 1L收缩膜,MA PDQ
Remark: 9298TQ2:
 1. 9298TQ2-S002-RAINBOCORNS-PUPPYCORN SURPRISE-SERIES 8 SCENT SURPRISE PLUSH SMALL,2Facing6pcs/PDQ,6pcs/CTN,No Inner,STD Color Assortment
 2. MA 包装(UPC版),MA 1L收缩膜,MA PDQ; 收缩膜上的UPC显示193052057426;
 3. 7 assortment (6 common + 1 rare)=CORGI:SHEPHERD:POODLE:DALMATIAN:SCHNAUZER:BROWN DALNATIAN:HOUND DOG=2:8:10:10:10:10:10;
 4. 外箱正唛左上角位置粘贴条码箱贴纸，每箱只贴一张，由ZURU订购。来料贴纸上显示的客户DPCI# 086-08-7286， UPC显示10193052057423;
 5. 产品和包装上印刷 tracking code信息，格式为ZURU常规格式;
 6. 出货方式：货代自提。</t>
  </si>
  <si>
    <t>94079-1.17</t>
  </si>
  <si>
    <t>4500151283-20</t>
  </si>
  <si>
    <t>9298F-S001</t>
  </si>
  <si>
    <t>狗蛋四代展示架（无闪粉）</t>
  </si>
  <si>
    <t>12/2-意大利sorting logo含进口商地址</t>
  </si>
  <si>
    <t>日期码格式：ZURU INC(BVI) 标准格式 日期：按实际生产日期
Packaging Info:
9298F
MA B 3L+9L EAN收缩膜（+1*意大利sorting logo含进口商地址）+MA B 5L BAG+MA 5L 收藏指南+其他MA 物料
Remark: 1. 此单出意大利，需符合EU标准，不含微塑料，如果含slime等化学品，需要不含硼
2. 需保证按期1/15前完货，延期罚款
3.贴纸切勿盖住意大利警告语</t>
  </si>
  <si>
    <t>9298F-S001-3L</t>
  </si>
  <si>
    <t>4500151811-20</t>
  </si>
  <si>
    <t>12/12-EAN 贴纸+意大利sorting logo含进口商地址贴纸+展示架条码
 贴纸)</t>
  </si>
  <si>
    <t>日期码格式：ZURU INC(BVI) 标准格式 日期：按实际生产日期 
Packaging Info:
 9298F-MA B 3L +9L 收缩膜 （+1*EAN 贴纸+1*意大利sorting logo含进口商地址贴纸）+ MA B 5L Slime polybag+MA 5L 收藏指南+ MA 展示架(+1*展示架条码
 贴纸) 产品条码 4894680029828
Remark: 1.此单出意大利，需符合EU标准，不能含微塑料，如果有slime等化学品需要不含硼
 2.需保证按期1/15前完货，延期罚款
 3.贴纸切勿盖住意大利警告语文字(QC 务必检查）</t>
  </si>
  <si>
    <t>4500153302-40</t>
  </si>
  <si>
    <t>日期码格式：LOT2503 日期： 
Packaging Info: 
9298TQ1：MA_A_3L+9Lwarning-EAN版本收缩膜+最新MA5L收藏指南+1*进口商贴纸+1*产品贴纸
Remark: 1.RATIO 同MA 一致。
2.大货样品2套/item，用于客人验货签板。验货后还会抽办1套/item，请多备料。
 3.客人日期码：LOT2503，产品/包装/外箱 请保持一致,无须ZURU日期码
 4.产品均符合EU微塑料法规要求：不能含有微塑料/闪粉
 5. SMASHERS 或含Slime产品，所有化合物使用无硼版本出意大利。
 6. 本订单所有 具有 baby items / assorted items 的款式，零售包装上都要用 母 EAN;
 7，此客户需要第三方验货，请在约三方验货前必须PASS ZURU验货。</t>
  </si>
  <si>
    <t>9298TQ1-S001-NB-3L</t>
  </si>
  <si>
    <t>IDEN HAMBURG GMBH</t>
  </si>
  <si>
    <t>795620202412</t>
  </si>
  <si>
    <t>4500153463-10</t>
  </si>
  <si>
    <t>12/10收到</t>
  </si>
  <si>
    <t>贴纸+ EAN条码贴纸翻4500118424</t>
  </si>
  <si>
    <t>日期码格式：ZURU INC(BVI) 标准格式 日期：按实际生产日期
Packaging Info: 9298TQ2：最新MA PDQ+ 最新MA 3L+9L 收缩膜+ 最新MA 5L 收藏指南/Slime袋+ MA布标/贴纸+ EAN条码贴纸（翻单：4500118424)
Remark: 1. 纸箱上下须加保护盖
 2. 需准时完货，如有推期会有罚款。
 3. 产品出口欧洲，需合规</t>
  </si>
  <si>
    <t>Joyce Chen</t>
  </si>
  <si>
    <t>94090-1.18</t>
  </si>
  <si>
    <t>9298TQ2-S001-3L</t>
  </si>
  <si>
    <t>10001053692-3890</t>
  </si>
  <si>
    <t>4500154099-10</t>
  </si>
  <si>
    <t>日期码格式：ZURU INC(BVI) 标准格式 日期：按实际生产日期
Packaging Info: 9298TQ2: MA 包装(UPC版), MA 1L收缩膜,MA PDQ
Remark: 9298TQ2:
 1. 9298TQ2-S002-RAINBOCORNS-PUPPYCORN SURPRISE-SERIES 8 SCENT SURPRISE PLUSH SMALL,2Facing6pcs/PDQ,6pcs/CTN,No Inner,STD Color Assortment
 2. MA 包装(UPC版),MA 1L收缩膜,MA PDQ; 收缩膜上的UPC显示193052057426;
 3. 7 assortment (6 common + 1 rare)=CORGI:SHEPHERD:POODLE:DALMATIAN:SCHNAUZER:BROWN DALNATIAN:HOUND DOG=2:8:10:10:10:10:10;
 4. 外箱正唛左上角位置粘贴条码箱贴纸，每箱只贴一张，由ZURU订购。来料贴纸上显示的客户DPCI# 086-08-7286， UPC显示10193052057423;
 5. 产品和包装上印刷 tracking code信息，格式为ZURU常规格式;
 6. 出货方式：货代自提。</t>
  </si>
  <si>
    <t>94080-1.17</t>
  </si>
  <si>
    <t>Cladellas 2000 S.L</t>
  </si>
  <si>
    <t>4500153372-10</t>
  </si>
  <si>
    <t>12/12-客户警语贴纸（含环保标</t>
  </si>
  <si>
    <t>日期码格式：ZURU INC(BVI) 标准格式 日期：按实际生产日期
Packaging Info: 1.9298：最新MA 3L EAN 版本包装+一张客户警语贴纸（含环保标）+MA 5L 收藏指南；
Remark: 产品均符合EU微塑料法规要求：不含有微塑料，不含有闪粉；
此单需要在年前出货，请注意安排装柜人员；</t>
  </si>
  <si>
    <t>94203-2.10</t>
  </si>
  <si>
    <t>9298-S001-3L</t>
  </si>
  <si>
    <t>JUGUETES Y PELUCHES SANCHIS S.A.</t>
  </si>
  <si>
    <t>4500153328-10</t>
  </si>
  <si>
    <t>2/16出</t>
  </si>
  <si>
    <t>12/13-客户警语贴纸（含环保标</t>
  </si>
  <si>
    <t>日期码格式：ZURU INC(BVI) 标准格式 日期：按实际生产日期
Packaging Info: 1.9298：最新MA 3L EAN 版本包装+一张客户警语贴纸（含环保标）+MA 5L 收藏指南；
此单需要各item 准备一套大货样，请注意备料；
Remark: 产品均符合EU微塑料法规要求：不含有微塑料，不含有闪粉；
此单需要安排年前出货，请注意安排装柜人员；</t>
  </si>
  <si>
    <t>4500150534-30</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</si>
  <si>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t>
  </si>
  <si>
    <t>4500147799-50</t>
  </si>
  <si>
    <t>12/20-价格贴纸</t>
  </si>
  <si>
    <t>4500150488-50</t>
  </si>
  <si>
    <t>TJ MAXX
DC#891-162PCS
,
DC#894-138PCS
,
DC#896-126PCS
,
DC#897-246PCS
,
DC#898-126PCS</t>
  </si>
  <si>
    <t>4500147801-50</t>
  </si>
  <si>
    <t>COMERCIAL JOMAN S.L.</t>
  </si>
  <si>
    <t>4500153788-100</t>
  </si>
  <si>
    <t>12/17-进口商贴纸（含环保标</t>
  </si>
  <si>
    <t>日期码格式：ZURU INC(BVI) 标准格式 日期：按实际生产日期 
Packaging Info:
 10.9298TQ1：最新MA 3L EAN 版本包装+一张进口商贴纸（含环保标）+MA 5L 收藏指南；
Remark: 订单出西班牙，不能含微塑料/闪粉；</t>
  </si>
  <si>
    <t>94218-2.11</t>
  </si>
  <si>
    <t>SAINSBURY'S SUPERMARKET LTD</t>
  </si>
  <si>
    <t>PO#2702022-SK
U#138649929</t>
  </si>
  <si>
    <t>4500152775-10</t>
  </si>
  <si>
    <t>9298TQ4-S001</t>
  </si>
  <si>
    <t>日期码格式：ZURU INC(BVI) 标准格式 日期：按实际生产日期 Tracking Code:
Packaging Info: MA -1L UPC 包装+客版PDQ (可参考翻单PO#4500137175)
 订单对应客户1个PO号 ，备注有显示
Remark: *胶带最少宽度要保证6.0CM,厚度最少0.05毫米,外箱不可以打钉/扎带；以工字型封箱；
 *如果重量超过5KGS，箱唛需加黄色警示图标志 ，有疑问请与ZURU跟单同事联系,十分重要！
*订单出英国，请注意检查产品及包装应带UKCA图标，包装显示ZURU UK LTD信息，QC同事请查核，如有问题与跟单确认。
*MA版本按工厂现有最新库存即可，订单出英国，请注意检查产品及包装应带UKCA图标，包装显示ZURU UK LTD信息，QC同事请查核，如有问题与跟单确认。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，请安排生产前先核对再生产或者与Sherry 复核再安排 。
 *外箱上的条码请确保清晰可扫描 ，否则到目的仓无法扫描入仓由工厂承担责任 。
 *所有产品按符合欧洲标准走货，需要是不含微塑料版本 。
 *涉及到硼的，请使用低硼版本
 *客户不接受PVC材质</t>
  </si>
  <si>
    <t>94198-2.10</t>
  </si>
  <si>
    <t>THE ENTERTAINER</t>
  </si>
  <si>
    <t>4500152538-2:
FB12127</t>
  </si>
  <si>
    <t>4500152538-70</t>
  </si>
  <si>
    <t>9298TQ4-S003</t>
  </si>
  <si>
    <t>2/19出</t>
  </si>
  <si>
    <t>条码贴翻订单4500148687</t>
  </si>
  <si>
    <t>日期码格式：ZURU INC(BVI) 标准格式 日期：按实际生产日期
Packaging Info:
9298TQ4(客制Spec)：MA最新1L配套包装+客户EAN条码贴一张覆盖ZURU 原条码，条码贴翻订单4500148687
7 assortment (6 common + 1 rare)=CORGI:SHEPHERD:POODLE:DALMATIAN:SCHNAUZER:BROWN DALNATIAN:HOUND DOG=2:8:10:10:10:10:10;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t>
  </si>
  <si>
    <t>Amy Ding</t>
  </si>
  <si>
    <t>4500152538-3:
FB12155</t>
  </si>
  <si>
    <t>4500152538-160</t>
  </si>
  <si>
    <t>4500147806-60</t>
  </si>
  <si>
    <t>4500147804-60</t>
  </si>
  <si>
    <t>MB121-9298-S001</t>
  </si>
  <si>
    <t>MB121-S001</t>
  </si>
  <si>
    <t>PO#23JBW4ship
to DC96640</t>
  </si>
  <si>
    <t>4500154353-20</t>
  </si>
  <si>
    <t>测试样已安排-2/12第三方</t>
  </si>
  <si>
    <t>3/3出</t>
  </si>
  <si>
    <t>唛头需要翻单4500149775</t>
  </si>
  <si>
    <t>收缩膜新文档12/20收到+9298-S006-PKC内袋翻4500149775</t>
  </si>
  <si>
    <t>日期码格式：DOLLAR GENERAL 格式日期码 日期： 
Packaging Info: 
 #9298-S006-PKC.:客版包装+ZURU MA说明书，优选1L.
Remark: 1.包装：
 #9298-S006-PKC: 客版包装+ZURU MA说明书，优先1L.
 客版包装AWs跟单稍后提供。
 客户要求： “产品和包装不能含有PFAS 物质以及1,4 dioxane” 客户指定实验室做测试，请确保产品可以过美国标准ASTM F963-23测试。
 #9298-S006-PKC客户特批单坑外箱。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#9298: 31704302C25
 (2)产品日期码：
 #9298: DOLGEN31704302C25 （打在蛋壳底部）
 后三位C25代表25年3月的ETD 。
 （3）UPC条形码：
 #9298: 430001805807
 3. 无价贴。
 4. 样板：每款每色各2pcs，1月10寄出给跟单Hailey/Core转寄客户。
 5. 验货抽样事宜：
 2月12早上进行客人指定TUV的100%验货+抽测试样.
 抽样数量：
 #9298： 随机抽取12PCS成品+ 5套散件光身样 + 干漆。可以参考4500149775的抽板方式。
 封样：各2-3套。
 请在2月11前完成ZURU QC验货，并当天14点前提供验货报告+大货图片给跟单。
 6. 箱唛：此客人要求严格，外箱不接受水贴纸，材积以及重量必须按照以下要求，否则不符会导致验货fail从而影响货期而产生罚款。大货外箱材积绝对不可大于
 下述数据，材积只接受3%的变小；重量正负不得超过以下列出数据的5%，接受外箱以印章方式印上实际毛重。大货外箱尺寸请保持：
 #9298 唛头需要翻单4500149775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#9298- S006-PKC-RAINBOCORNS-PUPPYCORN SURPRISE-SERIES 8-SCENT SURPRISE PLUSH SMALL SHRINK WRAP,2PCS/Polybag,6pcs/3Polybag/CTN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#9298-S006-PKC内袋翻4500149775 .</t>
  </si>
  <si>
    <t>ZB00068-3.28/ZB00069-3.28</t>
  </si>
  <si>
    <t>TJX
Europe-DE:
PO#55471301</t>
  </si>
  <si>
    <t>4500154045-20</t>
  </si>
  <si>
    <t>12/25-贴纸（含波兰警示语</t>
  </si>
  <si>
    <t>日期码格式：ZURU INC(BVI) 标准格式 日期：按实际生产日期
Packaging Info: TJX Europe-DE: PO#55471297(7132) + PO#55471301(9298) + PO#55471302(9298) + PO#55471303(9279) + PO#55471304(9279) + PO#55471275(92107)
 2) 9298: MA 3L(9Lwarning) 最新EAN包装+1张客供价格贴纸+1张贴纸（含波兰警示语）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</si>
  <si>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TJX
Europe-DE:
PO#55471302</t>
  </si>
  <si>
    <t>4500154045-30</t>
  </si>
  <si>
    <t>TJX UK:
PO#50470917</t>
  </si>
  <si>
    <t>4500154092-20</t>
  </si>
  <si>
    <t>日期码格式：ZURU INC(BVI) 标准格式 日期：按实际生产日期 
Packaging Info: TJX UK: PO#50470844(9281) + PO#50470917(9298) + PO#50470959(9298) + PO#50470960(7132) + PO#50471043(9279) + PO#50471008(9279)
 2) 9298: MA 3L(9Lwarning) 最新EAN包装+1张客供价格贴纸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</si>
  <si>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TJX UK:
PO#50470959</t>
  </si>
  <si>
    <t>4500154092-30</t>
  </si>
  <si>
    <t>ZMPO250048</t>
  </si>
  <si>
    <t>Remark：大货最新版本/款号平均/麻烦按款号装箱/大货标准箱装箱/箱唛请参照邮件附件；备注：收到样品订单后尽快安排 ，注意样板品质质量要求要高于大货品质要求 ，送货时必须要附带送货单(没有送货单和QC检验合格报告的仓库一律拒绝收货)，请知悉，谢谢！</t>
  </si>
  <si>
    <t>WM MORRISON SUPERMARKET PLC</t>
  </si>
  <si>
    <t>4500142850-30</t>
  </si>
  <si>
    <t>9298TQ4-S002</t>
  </si>
  <si>
    <t>防盗贴纸翻单4500113544</t>
  </si>
  <si>
    <t>日期码格式：ZURU INC(BVI) 标准格式 日期：按实际生产日期
Packaging Info:
3.9298TQ4:MA 1L UPC包装+ 一张防盗贴纸（贴纸类型10111896: 40R ECON YBL DE 8.2 1kr，请工厂自行跟checkpoint供应商订购贴纸贴纸位置图翻单4500113544)+
客版 1L 版PDQ (2Facing4PCS/PDQ)-客版PDQ翻PO#4500142847;
UPC#193052057426，请先检查条码是否正确再安排做货；
4.配比都跟MA配比
Remark: 1）外箱有条码要求，排版时请留意并请确保条码清晰可扫描（封箱胶不要黏到条码上), 否则客人会有罚款。
2) 订单出英国，产品及包装需要印UKCA图标，包装需要有ZURU UK LTD/ZURU France地址信息，QC同事请查核，如有问题与跟单确认。
3) 箱唛日期码与包装保持一致
4) 若外箱重量超过16KGS，请提前告知ZURU跟单，需要客人批准才能出货，并且外箱需要印2 man lift标志</t>
  </si>
  <si>
    <t>10001053748-3890</t>
  </si>
  <si>
    <t>4500154105-10</t>
  </si>
  <si>
    <t>1/6收到</t>
  </si>
  <si>
    <t>10001053729-3891</t>
  </si>
  <si>
    <t>4500154981-10</t>
  </si>
  <si>
    <t>1/10收到</t>
  </si>
  <si>
    <t>日期码格式：ZURU INC(BVI) 标准格式 日期：按实际生产日期
Packaging Info: 9298TQ2: MA 包装(UPC版),MA 1L收缩膜,MA PDQ;
Remark: 9298TQ2:
 1. 9298TQ2-S002-RAINBOCORNS-PUPPYCORN SURPRISE-SERIES 8 SCENT SURPRISE PLUSH SMALL,2Facing6pcs/PDQ,6pcs/CTN,No Inner,STD Color Assortment
 2. MA 包装(UPC版),MA 1L收缩膜,MA PDQ; 收缩膜上的UPC显示193052057426;
 3. 7 assortment (6 common + 1 rare)=CORGI:SHEPHERD:POODLE:DALMATIAN:SCHNAUZER:BROWN DALNATIAN:HOUND DOG=2:8:10:10:10:10:10;
 4. 外箱正唛左上角位置粘贴条码箱贴纸，每箱只贴一张，由ZURU订购。来料贴纸上显示的客户DPCI# 086-08-7286， UPC显示10193052057423;
 此订单所有型号：
 1. 产品和包装上印刷 tracking code信息，格式为ZURU常规格式;
 2. 出货方式：货代自提</t>
  </si>
  <si>
    <t>AB Gee of Ripley Ltd.</t>
  </si>
  <si>
    <t>777 1MAR25</t>
  </si>
  <si>
    <t>4500154651-20</t>
  </si>
  <si>
    <t>9298TQ1-S003</t>
  </si>
  <si>
    <t>狗蛋四代PDQ（无闪粉）</t>
  </si>
  <si>
    <t>日期码格式：ZURU INC(BVI) 标准格式 日期：按实际生产日期
Packaging Info: MA 最新UPC包装，各款的条码如下，请先检查条码是否正确再安排做货，如有问题请告知
 9298TQ1-S003:193052057426
 配比跟MA
Remark: 1.产品及包装需要印UKCA图标，包装需要有ZURU UK LTD/ZURU France地址信息，QC同事请核查，如有问题与跟单确认。
 2. 需要符合欧洲标准不能含有闪粉和微塑料，否则不和法规会有客诉产生</t>
  </si>
  <si>
    <t>94345-2.25</t>
  </si>
  <si>
    <t>Amazon
ES:3BQLETFW</t>
  </si>
  <si>
    <t>4500154883-20</t>
  </si>
  <si>
    <t>9298A-S001</t>
  </si>
  <si>
    <t>12/27收到</t>
  </si>
  <si>
    <t>UPC+IT环保标翻4500114776+12/20-ES环保标+ZURU邮箱</t>
  </si>
  <si>
    <t>日期码格式：ZURU INC(BVI) 标准格式 日期：按实际生产日期 
Packaging Info: Amazon ES(9543A/9298A)
 2. 9298A：12pcs/ctn,Shepherd; MA 3L(9Lwarning）A版收缩膜包装+ 最新C版布标+5L warning poop polybag+9L warning scented puppycorn accessory polyba
 g+scented sticker polybag+5L收藏指南+3L secent surprice sticker +3张贴纸(1张UPC#，1张IT环保标，参考翻单PO#4500114776；1张ES环保标+ZURU邮箱)；
 3. 最迟验货不得晚于2025/02/18;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</si>
  <si>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94406-2.28</t>
  </si>
  <si>
    <t>9298A-S001-3L-1</t>
  </si>
  <si>
    <t>VEDES Grosshandel</t>
  </si>
  <si>
    <t>4500153900-20</t>
  </si>
  <si>
    <t>183563/02/2025</t>
  </si>
  <si>
    <t>日期码格式：183563/02/2025 日期：
Packaging Info: 
 9298TQ1：最新MA PDQ+3L-9L警语 EAN包装+5L收藏指南+5L Poop袋子+9L配件袋子+1张PDQ条码贴纸
 EAN: 4894680029828, 请先检查条码是否正确再安排做货
Remark: 1，出欧洲，微塑料需符合法规
 2，产品，包装，外箱Batch code:183563/02/2025，另外包装上的Batch code位置图在EAN条码位置旁边
 如产品位置太小印不下日期码则按照标准即可；
 如产品上有足够位置，请把每个item的款号#也印上，如无位置则可不加。
 3，塑料袋的厚度（单层）应在0.038～0.042mm之间,如含吸塑材料必须是非邻苯二甲酸酯材料或塑料包装编码的PET
 3. 外箱上下需加隔板，以保护开箱时不被划破产品。外箱不可打釘及打帶。 每箱不得超过5立方英尺，重量不得超过15公斤。
 4. 封箱胶带不能为PVC材质，需为PP 或者 OPP胶或者non-phthalate材料
 5. 此单出货前需要提供两套样品给客人确认放货，需准时寄出避免影响出货。
 6. 此单需准时出货，推期会有罚款
 7. 任何彩盒及陳列盒一定要用文書膠紙貼於開口的位置 , 不能使用封箱膠紙
 8. 外箱不可打釘及打帶
 9. 标准配比</t>
  </si>
  <si>
    <t>94316-2.21</t>
  </si>
  <si>
    <t>4O96EOVB</t>
  </si>
  <si>
    <t>4500154101-130</t>
  </si>
  <si>
    <t>9298E-S001</t>
  </si>
  <si>
    <t>雪纳瑞</t>
  </si>
  <si>
    <t>日期码格式： 标准格式 日期：按实际生产日期 
Packaging Info: 
 #9298: MA 1L 加UPC贴纸，图稿跟返单4500113996。需混入稀有款，常规款:稀有款=58:2，E:193052062659。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</si>
  <si>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7Q53UAZG</t>
  </si>
  <si>
    <t>4500154032-130</t>
  </si>
  <si>
    <t>日期码格式： 标准格式 日期：按实际生产日期 
Packaging Info: 
 #9298: MA 1L 加UPC贴纸，图稿跟返单4500113996。需混入稀有款，常规款:稀有款=58:2。E:193052062659。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</si>
  <si>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7ZONZMQG</t>
  </si>
  <si>
    <t>4500154144-120</t>
  </si>
  <si>
    <t>6ZGFSLVY</t>
  </si>
  <si>
    <t>4500154124-110</t>
  </si>
  <si>
    <t>日期码格式：ZURU INC(BVI) 标准格式 日期：按实际生产日期
Packaging Info: 
 #9298: MA 1L 加UPC贴纸，图稿跟返单4500113996。需混入稀有款，常规款:稀有款=58:2，E:193052062659。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</si>
  <si>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10001053726-3890</t>
  </si>
  <si>
    <t>4500155686-10</t>
  </si>
  <si>
    <t>日期码格式：ZURU INC(BVI) 标准格式 日期：按实际生产日期 
Packaging Info: 9298TQ2: MA 包装(UPC版),MA 1L收缩膜,MA PDQ;
Remark: 9298TQ2:
 1. 9298TQ2-S002-RAINBOCORNS-PUPPYCORN SURPRISE-SERIES 8 SCENT SURPRISE PLUSH SMALL,2Facing6pcs/PDQ,6pcs/CTN,No Inner,STD Color Assortment
 2. MA 包装(UPC版),MA 1L收缩膜,MA PDQ; 收缩膜上的UPC显示193052057426;
 3. 7 assortment (6 common + 1 rare)=CORGI:SHEPHERD:POODLE:DALMATIAN:SCHNAUZER:BROWN DALNATIAN:HOUND DOG=2:8:10:10:10:10:10;
 4. 外箱正唛左上角位置粘贴条码箱贴纸，每箱只贴一张，由ZURU订购。来料贴纸上显示的客户DPCI# 086-08-7286， UPC显示10193052057423;
 此订单所有型号：
 1. 产品和包装上印刷 tracking code信息，格式为ZURU常规格式;
 2. 出货方式：货代自提</t>
  </si>
  <si>
    <t>94331-2.24</t>
  </si>
  <si>
    <t>BRANDS IN STYLE (PVT) LTD</t>
  </si>
  <si>
    <t>斯里兰卡</t>
  </si>
  <si>
    <t>PO/24/Sep/03</t>
  </si>
  <si>
    <t>4500154499-10</t>
  </si>
  <si>
    <t>12/20收到</t>
  </si>
  <si>
    <t>日期码格式：ZURU INC(BVI) 标准格式 日期：按实际生产日期 
Packaging Info: MA UPC包装（优先1L)，无需加贴纸
Remark: 9298-7 assortment (6 common + 1 rare)=CORGI:SHEPHERD:POODLE:DALMATIAN:SCHNAUZER:BROWN DALNATIAN:HOUND DOG=2:8:10:10:10:10:10;</t>
  </si>
  <si>
    <t>30241146B</t>
  </si>
  <si>
    <t>4500150125-10</t>
  </si>
  <si>
    <t>11/22收到                                                                                                                                                                                                    外箱需要是5层瓦楞纸，厚度在5-9mm。</t>
  </si>
  <si>
    <t>德语callout及警告语贴纸+EAN条码贴纸翻单#4500149853）</t>
  </si>
  <si>
    <t>日期码格式：ZURU INC(BVI) 标准格式 日期：按实际生产日期
Packaging Info: 9298: 最新MA 1L 收缩膜+德语callout及警告语贴纸+EAN条码贴纸+5L 收藏指南/Polybag+MA 布标 （全部资料翻单#4500149853）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10.标准配比。</t>
  </si>
  <si>
    <t>94348-2.25</t>
  </si>
  <si>
    <t>4500151019-20</t>
  </si>
  <si>
    <t>11/29-UPC贴纸</t>
  </si>
  <si>
    <t>Amazon Italy</t>
  </si>
  <si>
    <t>2ENFV1OS</t>
  </si>
  <si>
    <t>4500154887-20</t>
  </si>
  <si>
    <t>3/3-3/7出</t>
  </si>
  <si>
    <t>日期码格式：ZURU INC(BVI) 标准格式 日期：按实际生产日期 
Packaging Info: Amazon IT(92104H/9298E)
 2. 9298E：12pcs/ctn, Schnauzer; MA 3L(9Lwarning）A版收缩膜包装+ 最新C版布标+5L warning poop polybag+9L warning scented puppycorn accessory poly
 bag+scented sticker polybag+5L收藏指南+3L secent surprice sticker +3张贴纸(1张UPC#，1张IT环保标，参考翻单PO#4500114776；1张ES环保标+ZURU邮箱)；
 3. 最迟验货不得晚于2025/02/21;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</si>
  <si>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94423-3.4</t>
  </si>
  <si>
    <t>9298E-S001-3L-1</t>
  </si>
  <si>
    <t>3UDOXDEZ</t>
  </si>
  <si>
    <t>4500154964-130</t>
  </si>
  <si>
    <t>9298E-S001-NB</t>
  </si>
  <si>
    <t>2/27-3/5出</t>
  </si>
  <si>
    <t>2/8-外箱贴纸</t>
  </si>
  <si>
    <t>日期码格式：ZURU INC(BVI) 标准格式 日期：按实际生产日期 
Packaging Info: 
 #9298: MA 3L加UPC贴纸, 图稿跟返单4500113996. 需混入稀有款, 常规款:稀有款=58:2; B:193052062635, E:193052062659,D:193052062642；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</si>
  <si>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94433-3.4</t>
  </si>
  <si>
    <t>81458AVT</t>
  </si>
  <si>
    <t>4500154964-140</t>
  </si>
  <si>
    <t>5BFXZ1MN</t>
  </si>
  <si>
    <t>4500154964-150</t>
  </si>
  <si>
    <t>7KL96KVB</t>
  </si>
  <si>
    <t>4500154964-160</t>
  </si>
  <si>
    <t>3HFDPLEY</t>
  </si>
  <si>
    <t>4500154964-50</t>
  </si>
  <si>
    <t>1V8C3F4B</t>
  </si>
  <si>
    <t>4500154964-170</t>
  </si>
  <si>
    <t>8EYRUF9D</t>
  </si>
  <si>
    <t>4500154964-180</t>
  </si>
  <si>
    <t>4500149460-80</t>
  </si>
  <si>
    <t>2/8-UPC贴纸+进口商贴纸+价标贴纸</t>
  </si>
  <si>
    <t>日期码格式：ZURU INC(BVI) 标准格式 日期：按实际生产日期 
Packaging Info: 
 9298TQ1:MA 3LEAN包装+UPC贴纸+进口商贴纸+价标贴纸+箱唛
Remark: 1. 此单价格贴纸（ZURU定购).
2.此单有第三方监柜，不用额外准备备品，会在大货中每款拆1pc，拆了包装的产品会由监装员用客供胶带封好或在外箱上写上""opened by telescope”</t>
  </si>
  <si>
    <t>4500151307-30</t>
  </si>
  <si>
    <t>1/9收到</t>
  </si>
  <si>
    <t>UPC贴纸+进口商贴纸翻4500149460</t>
  </si>
  <si>
    <t>日期码格式：ZURU INC(BVI) 标准格式 日期：按实际生产日期 
Packaging Info: 
 9298TQ1:MA 3LEAN包装+UPC贴纸+进口商贴纸+价标贴纸+箱唛,UPC贴纸/进口商贴纸翻单PO4500149460
Remark: 1. 此单价格贴纸（ZURU定购).
2.此单有第三方监柜，不用额外准备备品，会在大货中每款拆1pc，拆了包装的产品会由监装员用客供胶带封好或在外箱上写上""opened by telescope”</t>
  </si>
  <si>
    <t>94352-2.25</t>
  </si>
  <si>
    <t>4500154728-20</t>
  </si>
  <si>
    <t>翻单： 4500152175</t>
  </si>
  <si>
    <t>中文3C贴纸+中文布标(可用布标贴纸)+年龄贴纸+ 翻4500152175</t>
  </si>
  <si>
    <t>日期码格式：ZURU INC(BVI) 标准格式 日期：按实际生产日期 
Packaging Info: 物料要求 SKU 所有款号务必使用带有CCC 标识的AW
 2 9298TQ1 "MA+中文3C贴纸+中文收藏指南+中文布标(可用布标贴纸)+年龄贴纸+芯片码（客供）
 （3Facing 6pcs/PDQ）" 翻单： 4500152175
Remark: 2.外箱材质如下：
 1）毛重小于5kg 外箱纸质 K=B 爆破:1000Kpa 边压:4400N/M;
 2）毛重大于5kg 外箱纸质 K636K 爆破:1400Kpa 边压:6300N/M;
 3. 产品/销售包装/外箱日期码要一致，
4.芯片码横向平贴在上半部分蛋壳/彩盒内侧立面处，注意事项请见跟单提供文档资料。
 5.此产品务必满足国内6P 测试标准，因为可能会被市场监督局抽查，如有问题产生，工厂要负全责
 6. 这张订单做出厂价，我司自行安排车辆去贵司提货，贵司需要配合提供出口报关</t>
  </si>
  <si>
    <t>94357-2.26</t>
  </si>
  <si>
    <t>ZMPO250123</t>
  </si>
  <si>
    <t>完成</t>
  </si>
  <si>
    <t>Remark：大货最新3L版本/备注：收到样品订单后尽快安排,，谢谢！</t>
  </si>
  <si>
    <t>Angus</t>
  </si>
  <si>
    <t>4500153776-40</t>
  </si>
  <si>
    <t>日期码格式：ZURU INC(BVI) 标准格式 日期：按实际生产日期 Tracking Code:
Packaging Info: 9298TQ1:MA 3L包装+进口商贴纸+EAN贴纸+箱唛，进口商贴纸/EAN贴纸/箱唛翻单PO4500123283
 翻单箱唛请注意ZURU LOGO需要使用最新的
Remark: 进口商贴纸请多备料5pcs,出货后需要寄给客户</t>
  </si>
  <si>
    <t>KROGER (KRG LLC)</t>
  </si>
  <si>
    <t>PO#600-51058</t>
  </si>
  <si>
    <t>4500155435-40</t>
  </si>
  <si>
    <t>日期码格式：ZURU INC(BVI) 标准格式 日期：按实际生产日期 
Packaging Info: 1、包装方式：MA UPC优先1L最新版，出口美国
Remark: 2、无测试与第三方验货要求。
 3、纸箱4面印ZURU LOGO + 箱唛
 4、日期码请按ZURU标准版执行即可。
 5、ZURU QC验货。</t>
  </si>
  <si>
    <t>Vicky Wu</t>
  </si>
  <si>
    <t>ZB00067-3.28</t>
  </si>
  <si>
    <t>PO#500-79871</t>
  </si>
  <si>
    <t>4500155435-60</t>
  </si>
  <si>
    <t>WAL-MART STORES INC. USA</t>
  </si>
  <si>
    <t>0893502848</t>
  </si>
  <si>
    <t>4500156556-10</t>
  </si>
  <si>
    <t>9298SLB-S002</t>
  </si>
  <si>
    <t>狗蛋四代卡板装(无闪粉）</t>
  </si>
  <si>
    <t>3/3 BV 自检</t>
  </si>
  <si>
    <t>3/10出</t>
  </si>
  <si>
    <t>外箱四面印刷RFID箱唛，主唛左前下角印刷艾利贴纸替代标箱唛(ITF-14格式)，此条码只印刷一面，ZURU新logo右下角四面印刷，主唛右下角加印 MADE IN CHINA
MADE IN CHINA和ZURU字样</t>
  </si>
  <si>
    <t>客版布标贴纸</t>
  </si>
  <si>
    <t>2/11-客供RFID贴纸</t>
  </si>
  <si>
    <t>日期码格式：ZURU DGYYYYMMDD CHINA(日期避开周末和法定节假日即可） 日期：按实际生产日期
Packaging Info:
Remark: 9298
 1.包装信息：MA A版 UPC版 1L收缩膜，MA A版 5L收藏指南，MA A版贴纸袋子，MA A版配件袋子，MA A版 5L口水胶袋，MA A版 3L贴纸，MA B版车缝布标，客版PDQ
（1facing2pcs/PDQ），客版布标贴纸，客供RFID贴纸（位置由我们提供）。
 2.外箱四面印刷RFID箱唛，主唛左前下角印刷艾利贴纸替代标箱唛(ITF-14格式)，此条码只印刷一面，ZURU新logo右下角四面印刷，主唛右下角加印 MADE IN CHINA
 ，每个slip sheet上面贴一张艾利贴纸（工厂自己打印）和一张普通贴纸（可A4纸打印），slip sheet打印的普通贴纸的尺寸不能比艾利贴纸小。
3.在产品上和包装上要有日期码（避开周末和节假日）以及要有MADE IN CHINA和ZURU字样。
 4.产品如有扎带口要剪平，不能刮手。
 5.此单需要第三方验货，请自行多备包装物料。
6.此单打卡板出货（32x7H=192carton=384pcs/Slip Sheet）。
 7.其它信息：7 assortment (6 common + 1 rare)=CORGI : SHEPHERD : POODLE : DALMATIAN : SCHNAUZER : BROWN DALNATIAN : HOUND DOG=2:8:10:10:10:10:10
 此单请加急赶</t>
  </si>
  <si>
    <t>Effy Li</t>
  </si>
  <si>
    <t>94495-3.10</t>
  </si>
  <si>
    <t>9298SLB-SOO2</t>
  </si>
  <si>
    <t>TJX EU (DE):
PO#55565152</t>
  </si>
  <si>
    <t>4500155456-40</t>
  </si>
  <si>
    <t>日期码格式：ZURU INC(BVI) 标准格式 日期：按实际生产日期 
Packaging Info: TJX EU (DE): PO#55565152(9298)
 9298: MA 3L(9Lwarning) 最新EAN包装+1张客供价格贴纸+1张贴纸（含波兰警示语）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</si>
  <si>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94473-3.6</t>
  </si>
  <si>
    <t>TJX EU (DE):
PO#55565153</t>
  </si>
  <si>
    <t>4500155456-50</t>
  </si>
  <si>
    <t>日期码格式：ZURU INC(BVI) 标准格式 日期：按实际生产日期 Tracking Code:
Packaging Info: TJX EU (DE): -PO#55565153(9298)
 9298: MA 3L(9Lwarning) 最新EAN包装+1张客供价格贴纸+1张贴纸（含波兰警示语）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</si>
  <si>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TJX UK:
PO#50565014</t>
  </si>
  <si>
    <t>4500155467-30</t>
  </si>
  <si>
    <t>日期码格式：ZURU INC(BVI) 标准格式 日期：按实际生产日期 
Packaging Info: TJX UK: PO#50565014(9298)
 9298: MA 3L(9Lwarning) 最新EAN包装+1张客供价格贴纸
Remark: 1. 出往UK的产品+包装务必打上UKCA logo ，否则客人会退货且当地会有罚款；
 2. 订单必须经过ZURU QC验货并且通过后方可出货；
 3. 订单每行对应客人不同的PO， 箱唛也有不同，做货的时候请分开堆放；
 4. 订单每行对应客人不同的PO，即同款item的价格贴纸都不相同，请注意收到贴纸后不要弄混!（客人PO号请参考PO最后一栏remark）；
 5. 价格贴纸位置为产品正面右上角，不能遮住产品信息，大货生产前，请把贴纸位置先发给跟单确认
 6. 涉及到相关款式会有闪粉的或者微塑料的，请统一默认出无闪粉或者不含微塑料版本;
 7. 外箱封箱必须是工字型封箱方式；</t>
  </si>
  <si>
    <t>TJX UK:
PO#50565016</t>
  </si>
  <si>
    <t>4500155467-40</t>
  </si>
  <si>
    <t>日期码格式：ZURU INC(BVI) 标准格式 日期：按实际生产日期 
Packaging Info: TJX UK: PO#50565016(9298)
 9298: MA 3L(9Lwarning) 最新EAN包装+1张客供价格贴纸
Remark: 1. 出往UK的产品+包装务必打上UKCA logo ，否则客人会退货且当地会有罚款；
 2. 订单必须经过ZURU QC验货并且通过后方可出货；
 3. 订单每行对应客人不同的PO， 箱唛也有不同，做货的时候请分开堆放；
 4. 订单每行对应客人不同的PO，即同款item的价格贴纸都不相同，请注意收到贴纸后不要弄混!（客人PO号请参考PO最后一栏remark）；
 5. 价格贴纸位置为产品正面右上角，不能遮住产品信息，大货生产前，请把贴纸位置先发给跟单确认
 6. 涉及到相关款式会有闪粉的或者微塑料的，请统一默认出无闪粉或者不含微塑料版本;
 7. 外箱封箱必须是工字型封箱方式；</t>
  </si>
  <si>
    <t>4500155599-10</t>
  </si>
  <si>
    <t>3/5-3/7出</t>
  </si>
  <si>
    <t>2/10-防盗贴纸+1/9-外箱贴纸</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</si>
  <si>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</si>
  <si>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94471-3.6</t>
  </si>
  <si>
    <t>4500155600-10</t>
  </si>
  <si>
    <t>日期码格式：ZURU INC(BVI) 标准格式 日期：按实际生产日期 
Packaging Info: 9298TQ1:MA英语UPC版本包装（收缩膜和说明书, MA首选1L，如无1L可用多语且含英语的配套多语包装) + 1张防盗贴纸 (贴纸以及位置图翻单PO#4500110723）+ 箱
 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</si>
  <si>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94464-3.6</t>
  </si>
  <si>
    <t>4500155723-20</t>
  </si>
  <si>
    <t>1/16-UPC贴纸+进口商贴纸</t>
  </si>
  <si>
    <t>日期码格式：ZURU INC(BVI) 标准格式 日期：按实际生产日期
Packaging Info: 
 9298TQ1：MA 3L EAN包装+UPC贴纸+MA PDQ包装+MA 多语收藏指南+进口商贴纸+箱唛、
Remark: 9279SQ1: 7 assortment (6 common + 1 rare); RAGDOLL CA (RARE): AMERICAN SHORTHAIR: CALICO CAT: BLACK CAT: BENGAL CAT: EXOTIC CAT: CHINCHILLA CAT=
 1:9:10:10:10: 10:10;
 9298TQ1: 7 assortment (6 common + 1 rare)=CORGI:SHEPHERD:POODLE:DALMATIAN:SCHNAUZER:BROWN DALNATIAN:HOUND DOG=2:8:10:10:10:10:10;</t>
  </si>
  <si>
    <t>4500155852-30</t>
  </si>
  <si>
    <t>1/15收到</t>
  </si>
  <si>
    <t>意大利西班牙环保标（翻4500151118）</t>
  </si>
  <si>
    <t>日期码格式：ZURU INC(BVI) 标准格式 日期：按实际生产日期 
Packaging Info:
 9298TQ1：最新MA3L(9L warning) EAN收缩膜+最新MA5L收藏指南+1张意大利西班牙环保标（翻4500151118）
Remark: 1. 西班牙国家内销单，需要通过ZURU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</si>
  <si>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SD83</t>
  </si>
  <si>
    <t>94475-3.6</t>
  </si>
  <si>
    <t>4500154604-80</t>
  </si>
  <si>
    <t>日期码格式：ZURU INC(BVI) 标准格式 日期：按实际生产日期 
Packaging Info: 
 9298TQ1:MA 3LEAN包装+UPC贴纸+进口商贴纸+价标贴纸+箱唛，UPC贴纸/进口商贴纸翻单PO4500149460
Remark: 1. 此单价格贴纸（ZURU定购).
2.此单有第三方监柜，不用额外准备备品，会在大货中每款拆1pc，拆了包装的产品会由监装员用客供胶带封好或在外箱上写上""opened by telescope”</t>
  </si>
  <si>
    <t>0885773879</t>
  </si>
  <si>
    <t>4500155981-10</t>
  </si>
  <si>
    <t>3/7  BV 验货（自检）</t>
  </si>
  <si>
    <t>3/20出</t>
  </si>
  <si>
    <t>.外箱四面印刷RFID箱唛，主唛左前下角印刷艾利贴纸替代标箱唛(ITF-14格式)，此条码只印刷一面，ZURU新logo右下角四面印刷，主唛右下角加印 MADE IN CHINA</t>
  </si>
  <si>
    <t>日期码格式：ZURU DGYYYYMMDD CHINA(日期避开周末和法定节假日即可） 日期：按实际生产日期 
Packaging Info:
Remark: 9298
 1.包装信息：MA A版 UPC版 1L收缩膜，MA A版 5L收藏指南，MA A版贴纸袋子，MA A版配件袋子，MA A版 5L口水胶袋，MA A版 3L贴纸，MA B版车缝布标，客版PDQ
（1facing2pcs/PDQ），客版布标贴纸，客供RFID贴纸（位置由我们提供）。
 2.外箱四面印刷RFID箱唛，主唛左前下角印刷艾利贴纸替代标箱唛(ITF-14格式)，此条码只印刷一面，ZURU新logo右下角四面印刷，主唛右下角加印 MADE IN CHINA
 ，每个slip sheet上面贴一张艾利贴纸（工厂自己打印）和一张普通贴纸（可A4纸打印），slip sheet打印的普通贴纸的尺寸不能比艾利贴纸小。
3.在产品上和包装上要有日期码（避开周末和节假日）以及要有MADE IN CHINA和ZURU字样。
 4.产品如有扎带口要剪平，不能刮手。
 5.此单需要第三方验货，请自行多备包装物料。
6.此单打卡板出货（32x7H=192carton=384pcs/Slip Sheet）。
 7.其它信息：7 assortment (6 common + 1 rare)=CORGI : SHEPHERD : POODLE : DALMATIAN : SCHNAUZER : BROWN DALNATIAN : HOUND DOG=2:8:10:10:10:10:10</t>
  </si>
  <si>
    <t>ZB00007-3.19</t>
  </si>
  <si>
    <t>ALL BRANDS TOYS PTY LTD</t>
  </si>
  <si>
    <t>4500155386-10</t>
  </si>
  <si>
    <t>3/12出</t>
  </si>
  <si>
    <t>1/7收到</t>
  </si>
  <si>
    <t>客人通用进口商贴纸翻4500133774</t>
  </si>
  <si>
    <t>日期码格式：ZURU INC(BVI) 标准格式 日期：按实际生产日期 
Packaging Info: MA_UPC版本包装（收缩膜和说明书, MA首选1L，如无1L可用多语且含英语的配套多语UPC包装）+ 1张客人通用进口商贴纸
 9298贴纸位置图跟回PO#4500133774
Remark: 1.按实际生产日期;
 2.出澳大利亚，请按照相应标准生产;</t>
  </si>
  <si>
    <t>94506-3.11</t>
  </si>
  <si>
    <t>FUN 040-25</t>
  </si>
  <si>
    <t>4500155859-10</t>
  </si>
  <si>
    <t>1/24-进口商贴纸</t>
  </si>
  <si>
    <t>日期码格式：ZURU INC(BVI) 标准格式 日期：按实际生产日期 
Packaging Info: MA 1L 包装+进口商贴纸+箱唛
Remark: 9298：7 assortment (6 common + 1 rare)=CORGI:SHEPHERD:POODLE:DALMATIAN:SCHNAUZER:BROWN DALNATIAN:HOUND DOG=2:8:10:10:10:10:10;</t>
  </si>
  <si>
    <t>94484-3.7</t>
  </si>
  <si>
    <t>4500153293-40</t>
  </si>
  <si>
    <t>1/21-进口商贴纸+UPC贴纸</t>
  </si>
  <si>
    <t>日期码格式：ZURU INC(BVI) 标准格式 日期：按实际生产日期
Packaging Info: 
9298TQ1: MA 多语EAN包装+UPC贴纸+MA 多语收藏指南+MA PDQ+进口商贴纸+箱唛
Remark: 
9298TQ1: 7 assortment (6 common + 1 rare)=CORGI:SHEPHERD:POODLE:DALMATIAN:SCHNAUZER:BROWN DALNATIAN:HOUND DOG=2:8:10:10:10:10:10;</t>
  </si>
  <si>
    <t>Claire's European Distribution Limi</t>
  </si>
  <si>
    <t>4500156034-10</t>
  </si>
  <si>
    <t>客人条码贴纸+一张small part警语小册子+一张12L说明书小册子贴纸位置图翻4500119016</t>
  </si>
  <si>
    <t>日期码格式：ZURU INC(BVI) 标准格式 日期：按实际生产日期 
Packaging Info: 1.9298TQ1: MA收缩膜1L UPC版包装+一张客人条码贴纸(ZURU客供,覆盖原来条码，如果会遮住其他信息请推荐一个位置图给客人确认)+一张small part警语小册子+
 一张12L说明书小册子(ZURU客供，这两个小册子贴在包装表面需要给消费者看到,不遮住信息)
 ---所有贴纸位置图翻PO#4500119016;
 2.配比跟MA
Remark: 1.请务必按时完货否则客人有巨额罚款产生
 2.产品需要印UKCA Mark，包装也需要印刷有UKCA，包装还需要有ZURU UK LIMTED/ZURU France地址 QC验货请注意检查，否则客人会退货有罚款产生
 3. 需要符合欧洲标准不能含有闪粉和微塑料，否则不符合法规会有客诉产生
 4. 测试样：请在1/21前提供两个带包装的球+一整套散小配件装在一个袋子里给实验室做SCCP测试，等跟单邮件通知寄件地址
 5. 大货样：请在2/20 前提供两个带包装的球大货样+一整套散小配件装在一个袋子里给客人审批了才能出货，寄到罗湖办公室7B Sandy Shao 收</t>
  </si>
  <si>
    <t>94494-3.10</t>
  </si>
  <si>
    <t>360 SALES SOLUTIONS INC</t>
  </si>
  <si>
    <t>2025ZURU09</t>
  </si>
  <si>
    <t>4500155486-10</t>
  </si>
  <si>
    <t>9298TQ2-S002-NB</t>
  </si>
  <si>
    <t>1/14-UPC贴纸</t>
  </si>
  <si>
    <t>日期码格式：ZURU INC(BVI) 标准格式 日期：按实际生产日期 
Packaging Info: 9298 无硼版本 MA 多语EAN+UPC贴纸。UPC号码193052057426
Remark: 出加拿大
Zuru验货.日期跟踪码：产品外包装及产品本身都必须有日期跟踪码，ZURU标准格式日期码。（箱唛日期码按跟单提供格式）</t>
  </si>
  <si>
    <t>94669-3.29</t>
  </si>
  <si>
    <t>9298TQ2-S002-3L-NB</t>
  </si>
  <si>
    <t>0891979237</t>
  </si>
  <si>
    <t>4500156208-10</t>
  </si>
  <si>
    <t>3/12  BV 验货(自检）</t>
  </si>
  <si>
    <t>ZB00033-3.24</t>
  </si>
  <si>
    <t>0891979258</t>
  </si>
  <si>
    <t>4500156208-20</t>
  </si>
  <si>
    <t>ZB00096-4.2</t>
  </si>
  <si>
    <t>0891979262</t>
  </si>
  <si>
    <t>4500156208-30</t>
  </si>
  <si>
    <t>ZB00016-3.19</t>
  </si>
  <si>
    <t>ZURU Germany GMBH</t>
  </si>
  <si>
    <t>4500156082-70</t>
  </si>
  <si>
    <t>9298-S003-NB-MTS</t>
  </si>
  <si>
    <t>1/21收到</t>
  </si>
  <si>
    <t>2/10-PL/HU/SK/CZ/RO警语贴纸</t>
  </si>
  <si>
    <t>日期码格式：ZURU INC(BVI) 标准格式 日期：按实际生产日期 
Packaging Info:
 9298:MA最新版3L+9Lwaning EAN收缩膜+PL/HU/SK/CZ/RO警语贴纸+MA最新版5L复合袋+MA最新版5L收藏指南+MA最新版布标+MA最新版3L贴纸;
Remark: 1.波兰内销单，需要通过ZURU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</si>
  <si>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SD82</t>
  </si>
  <si>
    <t>94535-3.13</t>
  </si>
  <si>
    <t>9298-S003-3L-NB</t>
  </si>
  <si>
    <t>4500157623-40</t>
  </si>
  <si>
    <t>2/14收到</t>
  </si>
  <si>
    <t>警语贴纸（贴纸翻单4500156082</t>
  </si>
  <si>
    <t>日期码格式：ZURU INC(BVI) 标准格式 日期：按实际生产日期 
Packaging Info: 
 9298:MA最新版3L+9Lwaning EAN收缩膜+PL/HU/SK/CZ/RO警语贴纸（贴纸翻单4500156082）+MA最新版5L复合袋+MA最新版5L收藏指南+MA最新版布标+MA最新版3L贴纸
Remark: 1.波兰内销单，需要通过ZURU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</si>
  <si>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94593-3.21</t>
  </si>
  <si>
    <t>4500154624-80</t>
  </si>
  <si>
    <t>日期码格式：ZURU INC(BVI) 标准格式 日期：按实际生产日期
Packaging Info: 
 9298TQ1:MA 3L UPC包装+进口商贴纸+价标贴纸+箱唛,进口商贴纸翻单PO4500149460
Remark: 1. 此单价格贴纸（ZURU定购).
2.此单有第三方监柜，不用额外准备备品，会在大货中每款拆1pc，拆了包装的产品会由监装员用客供胶带封好或在外箱上写上""opened by telescope”</t>
  </si>
  <si>
    <t>Bol.com</t>
  </si>
  <si>
    <t>4500156115-310</t>
  </si>
  <si>
    <t>9298G-S001</t>
  </si>
  <si>
    <t>3/17出</t>
  </si>
  <si>
    <t>EAN贴纸翻4500120424</t>
  </si>
  <si>
    <t>日期码格式：ZURU INC(BVI) 标准格式 日期：按实际生产日期 Tracking Code:
Packaging Info: BOL NL(9298ABDEGH)
 10. 9298ABDEGH
 ---9298G: 12pcs/ctn, no inner,SMALL Brown Dalnatian, scented slime（with boron and glitter）,accessories with scented beads，scented stickers，p
 lush with some glitter fabric, Brown Dalnatian:Rare CORGI =58:2; MA 3L(9L warning EAN)B 收缩膜+1张EAN#贴纸(参考翻单PO#4500120424&lt;(&gt;,&lt;)&gt;贴在原EAN
 #位置)+MA C布标+MA 3L 贴纸+MA 贴纸胶袋+MA 5L(5L warning) B Slime 胶袋+MA 9L warning配件胶袋+MA 5L(9L warning)收藏指南；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</si>
  <si>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94548-3.14</t>
  </si>
  <si>
    <t>9298G-S001-3L-1</t>
  </si>
  <si>
    <t>4500156115-320</t>
  </si>
  <si>
    <t>日期码格式：ZURU INC(BVI) 标准格式 日期：按实际生产日期 Tracking Code:
Packaging Info: BOL NL(9298ABDEGH)
 10. 9298ABDEGH
 ---9298D: 12pcs/ctn, no inner,SMALL Dalmatian, scented slime（with boron and glitter）,accessories with scented beads，scented stickers，plush w
 ith some glitter fabric, Dalmatian:Rare CORGI =58:2;MA 3L(9L warning EAN)B 收缩膜+1张EAN#贴纸(参考翻单PO#4500120424&lt;(&gt;,&lt;)&gt;贴在原EAN#位置)+MA C布
 标+MA 3L 贴纸+MA 贴纸胶袋+MA 5L(5L warning) B Slime 胶袋+MA 9L warning配件胶袋+MA 5L(9L warning)收藏指南；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</si>
  <si>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9298D-S001-3L-1</t>
  </si>
  <si>
    <t>4500156115-340</t>
  </si>
  <si>
    <t>日期码格式：ZURU INC(BVI) 标准格式 日期：按实际生产日期 Tracking Code:
Packaging Info: BOL NL(9298ABDEGH)
 10. 9298ABDEGH
 ---9298E: 12pcs/ctn, no inner,SMALL Schnauzer, scented slime（with boron and glitter）,accessories with scented beads，scented stickers，plush w
 ith some glitter fabric, Schnauzer:Rare CORGI =58:2;MA 3L(9L warning EAN)B 收缩膜+1张EAN#贴纸(参考翻单PO#4500120424&lt;(&gt;,&lt;)&gt;贴在原EAN#位置)+MA C布
 标+MA 3L 贴纸+MA 贴纸胶袋+MA 5L(5L warning) B Slime 胶袋+MA 9L warning配件胶袋+MA 5L(9L warning)收藏指南；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</si>
  <si>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4500156115-360</t>
  </si>
  <si>
    <t>9298H-S001</t>
  </si>
  <si>
    <t>紫猎犬</t>
  </si>
  <si>
    <t>日期码格式：ZURU INC(BVI) 标准格式 日期：按实际生产日期 Tracking Code:
Packaging Info: BOL NL(9298ABDEGH)
 10. 9298ABDEGH
 ---9298H: 12pcs/ctn, no inner,SMALL Hound Dog, scented slime（with boron and glitter）,accessories with scented beads，scented stickers，plush w
 ith some glitter fabric, Hound Dog:Rare CORGI =58:2;MA 3L(9L warning EAN)B 收缩膜+1张EAN#贴纸(参考翻单PO#4500120424&lt;(&gt;,&lt;)&gt;贴在原EAN#位置)+MA C布
 标+MA 3L 贴纸+MA 贴纸胶袋+MA 5L(5L warning) B Slime 胶袋+MA 9L warning配件胶袋+MA 5L(9L warning)收藏指南；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</si>
  <si>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9298H-S001-3L-1</t>
  </si>
  <si>
    <t>4500156115-510</t>
  </si>
  <si>
    <t>日期码格式：ZURU INC(BVI) 标准格式 日期：按实际生产日期 Tracking Code:
Packaging Info: BOL NL(9298ABDEGH)
 10. 9298ABDEGH
 ---9298B: 12pcs/ctn, no inner,SMALL Poodle, scented slime（with boron and glitter）,accessories with scented beads，scented stickers，plush with
 some glitter fabric, Poodle:Rare CORGI =58:2; MA 3L(9L warning EAN)B 收缩膜+1张EAN#贴纸(参考翻单PO#4500120424&lt;(&gt;,&lt;)&gt;贴在原EAN#位置)+MA C布标+MA
 3L 贴纸+MA 贴纸胶袋+MA 5L(5L warning) B Slime 胶袋+MA 9L warning配件胶袋+MA 5L(9L warning)收藏指南；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</si>
  <si>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4500156115-350</t>
  </si>
  <si>
    <t>日期码格式：ZURU INC(BVI) 标准格式 日期：按实际生产日期 Tracking Code:
Packaging Info: BOL NL(9298ABDEGH)
 10. 9298ABDEGH
 ---9298A: 12pcs/ctn, no inner,SMALL Shepherd, scented slime（with boron and glitter）,accessories with scented beads，scented stickers，plush w
 ith some glitter fabric, Shepherd:Rare CORGI =58:2;MA 3L(9L warning EAN)B 收缩膜+1张EAN#贴纸(参考翻单PO#4500120424&lt;(&gt;,&lt;)&gt;贴在原EAN#位置)+MA C布
 标+MA 3L 贴纸+MA 贴纸胶袋+MA 5L(5L warning) B Slime 胶袋+MA 9L warning配件胶袋+MA 5L(9L warning)收藏指南；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</si>
  <si>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ALDI AUSTRALIA</t>
  </si>
  <si>
    <t>CUS
PO#8503070552
Minchinbury,
NSW</t>
  </si>
  <si>
    <t>4500153983-90</t>
  </si>
  <si>
    <t>MUQ55-S001-9298</t>
  </si>
  <si>
    <t>混装（9298+92104）</t>
  </si>
  <si>
    <t>东莞混装</t>
  </si>
  <si>
    <t>2/14-拆箱手册</t>
  </si>
  <si>
    <t>日期码格式：ZURU INC(BVI) 标准格式 日期：按实际生产日期
Packaging Info: MUQ55：客版PDQ，14PCS/PDQ/CTN（附带拆箱手册）
 兴信:
 9298：英文MA包装 (UPC版本，首选1L，无1L可用多L含英语)
 配比：7 assortment (6 common + 1 rare)=CORGI:SHEPHERD:POODLE:DALMATIAN:SCHNAUZER:BROWN DALNATIAN:HOUND DOG=1:1:1:1:1:1:1（可以随机，不要重复即可）
 超邦送货：MPO# MPO03169
Remark: 1. 出不同港口，每行对应客户不同DC，见备注栏；
 2. 待产前样确认后方可做大货；
 3. 此单出澳大利亚，请按澳洲标准生产并满足当地法规要求。</t>
  </si>
  <si>
    <t>Christine Liao</t>
  </si>
  <si>
    <t>94788-4.17</t>
  </si>
  <si>
    <t>MUQ55-S001</t>
  </si>
  <si>
    <t>CUS PO#8503006252
Derrimut, VIC</t>
  </si>
  <si>
    <t>4500153983-100</t>
  </si>
  <si>
    <t>CUS
PO#8503006253
Stapylton,
QLD</t>
  </si>
  <si>
    <t>4500153983-110</t>
  </si>
  <si>
    <t>CUS
PO#8503006254
Prestons, NSW</t>
  </si>
  <si>
    <t>4500153983-120</t>
  </si>
  <si>
    <t>CUS
PO#8503006255
Dandenong,
VIC</t>
  </si>
  <si>
    <t>4500153983-130</t>
  </si>
  <si>
    <t>CUS
PO#8503006256
Brendale, QLD</t>
  </si>
  <si>
    <t>4500153983-140</t>
  </si>
  <si>
    <t>CUS
PO#8503006257
Regency Park,
 SA</t>
  </si>
  <si>
    <t>4500153983-150</t>
  </si>
  <si>
    <t>CUS
PO#8503006258
Jandakot, WA</t>
  </si>
  <si>
    <t>4500153983-160</t>
  </si>
  <si>
    <t>JUGUETES PASTOR S.L.</t>
  </si>
  <si>
    <t>4500155907-10</t>
  </si>
  <si>
    <t>1/23收到</t>
  </si>
  <si>
    <t>2/6-西班牙环保标贴纸</t>
  </si>
  <si>
    <t>日期码格式：ZURU INC(BVI) 标准格式 日期：按实际生产日期 
Packaging Info: 1.9298TQ1:最新MA 3L EAN版本包装+一张西班牙环保标贴纸+MA PDQ；
Remark:</t>
  </si>
  <si>
    <t>Miya Fang</t>
  </si>
  <si>
    <t>94709-4..7</t>
  </si>
  <si>
    <t>PLASTICOSUR S.A.</t>
  </si>
  <si>
    <t>4500155934-10</t>
  </si>
  <si>
    <t>2/8收到</t>
  </si>
  <si>
    <t>西班牙环保标贴纸翻4500155907</t>
  </si>
  <si>
    <t>日期码格式：ZURU INC(BVI) 标准格式 日期：按实际生产日期 
Packaging Info: 1.9298TQ1:最新MA 3L EAN版本包装+一张西班牙环保标贴纸；（贴纸翻单4500155907）；
Remark:</t>
  </si>
  <si>
    <t>94601-3.21</t>
  </si>
  <si>
    <t>4500156707-20</t>
  </si>
  <si>
    <t>3/19-3/21出</t>
  </si>
  <si>
    <t>2/5收到</t>
  </si>
  <si>
    <t>3/4-防盗有贴纸+2/24-外箱贴纸</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</si>
  <si>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</si>
  <si>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94585-3.20</t>
  </si>
  <si>
    <t>4500156708-20</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</si>
  <si>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</si>
  <si>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94594-3.21</t>
  </si>
  <si>
    <t>4500156659-60</t>
  </si>
  <si>
    <t>日期码格式：ZURU INC(BVI) 标准格式 日期：按实际生产日期 
Packaging Info: 
 9298: MA 1L 收缩膜+进口商贴纸; MA 指南;
Remark: 标准配比</t>
  </si>
  <si>
    <t>4500156829-40</t>
  </si>
  <si>
    <t>日期码格式：ZURU INC(BVI) 标准格式 日期：按实际生产日期 
Packaging Info: 1. 无进口商贴纸
 2. 1L MA 包装/PDQ
Remark: 标准配比</t>
  </si>
  <si>
    <t>4500155167-10</t>
  </si>
  <si>
    <t>日期码格式：ZURU INC(BVI) 标准格式 日期：按实际生产日期 
Packaging Info: 1.9298TQ4: MA -1L UPC 包装+客版 1L PDQ (客版PDQ翻Morrison po#4500142847)
3.配比跟MA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，否则到目的仓无法扫描入仓由工厂承担责任 。
 *所有产品按符合欧洲标准走货，需要是不含微塑料版本 。
 *涉及到硼的，需要符合欧洲标准
 *客户不接受PVC材质</t>
  </si>
  <si>
    <t>94617-3.24</t>
  </si>
  <si>
    <t>Prenatal Retail Group Spain S.L.</t>
  </si>
  <si>
    <t>4500156067-110</t>
  </si>
  <si>
    <t>3/21 第三方</t>
  </si>
  <si>
    <t>4/3出</t>
  </si>
  <si>
    <t>2/21-进口商贴纸（含西班牙环保标）+一张产品贴纸</t>
  </si>
  <si>
    <t>LOT2511</t>
  </si>
  <si>
    <t>日期码格式：LOT2511 日期：
Packaging Info: 
 11.9298TQ1:最新MA 3L EAN收缩膜+最新MA 5L 收藏指南+最新MA 布标+最新MA 5L胶袋+最新MA PDQ+一张进口商贴纸（含西班牙环保标）+一张产品贴纸
Remark: 1. 订单出欧洲国家-西班牙，产品不能含有闪粉/微塑料，请确保所有包装都有西班牙环保标。
 2. 客人格式日期码 LOT2511，产品（蛋壳等）/包装（收缩膜等）/外箱都需要印此日期码，请务必保持一致。
 3. 新品需提供2套大货样品给客人，客人会签回一套，验货后验货员需要封1套板寄给香港办公室，请多备料。
 4. 需要符合欧洲标准不能含有闪粉和微塑料，否则不合法规会有客诉产生。
 5. 硼含量需要符合欧洲标准，否则不合法规会有客诉产生
 6，此客户需要第三方验货，请在约三方验货前必须PASS ZURU验货。</t>
  </si>
  <si>
    <t>94699-4.3</t>
  </si>
  <si>
    <t>WALGREEN CO.</t>
  </si>
  <si>
    <t>4500157177-40</t>
  </si>
  <si>
    <t>3/25抽办</t>
  </si>
  <si>
    <t>WIC贴纸翻4500114593</t>
  </si>
  <si>
    <t>对应款号，如A款 DG20250324A</t>
  </si>
  <si>
    <t>日期码格式：ZURU INC(BVI) 标准格式 日期：03-24-2025
Packaging Info:
Remark: MA 1L包装 + WIC贴纸 （同PO 4500114593）
 7 assortment (6 common + 1 rare)=CORGI:SHEPHERD:POODLE:DALMATIAN:SCHNAUZER:BROWN DALNATIAN:HOUND DOG=2:8:10:10:10:10:10;
 产品和包装上要有ZURU 标准格式 TRACKING CODE, DG20250324 + 对应款号，如A款 DG20250324A
 此单20%数量需要在3/24 完成大货并入箱以供抽版测试，3/25抽板，需要通过测试后才能出货 （化学含量要符合美国l联邦各州标准，镉和铅等重金属含量不得超过
 40PPM，来料要确保可以过测试再安排大货）。
 请在3/14前寄出2套大货样</t>
  </si>
  <si>
    <t>Cara Li</t>
  </si>
  <si>
    <t>ZB00147-4.17</t>
  </si>
  <si>
    <t>Royal Foods LLC</t>
  </si>
  <si>
    <t>4500157780-60</t>
  </si>
  <si>
    <t>4/7出</t>
  </si>
  <si>
    <t>日期码格式：ZURU INC(BVI) 标准格式 日期：按实际生产日期
Packaging Info: 1. 无进口商贴纸；
 2. 9298： 1L MA UPC 包装， MA PDQ/说明书/指南（如有）；
Remark: 标准配比</t>
  </si>
  <si>
    <t>94710-4.7</t>
  </si>
  <si>
    <t>4500156881-20</t>
  </si>
  <si>
    <t>5/20-恢复正常出货</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</si>
  <si>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t>
  </si>
  <si>
    <t>ZB00089-4.1</t>
  </si>
  <si>
    <t>TJ MAXXDC#891-240PCSDC#894-204PCSDC#896-186PCSDC#897-378PCSDC#898-192PCS</t>
  </si>
  <si>
    <t>4500157300-90</t>
  </si>
  <si>
    <t>ZB00060-3.28/ZB00074-3.29/ZB00099-4.3</t>
  </si>
  <si>
    <t>Marshalls
DC#881-210PCS
,
DC#884-162PCS
,
DC#886-234PCS
,
DC#887-192PCS
,
DC#888-204PCS</t>
  </si>
  <si>
    <t>4500157297-90</t>
  </si>
  <si>
    <t>ZB00053-3.27/ZB00100-4.3</t>
  </si>
  <si>
    <t>4500158641-10</t>
  </si>
  <si>
    <t>中文3C贴纸+中文布标(可用布标贴纸)+年龄贴纸翻4500154728</t>
  </si>
  <si>
    <t>3/10-芯片码（客供）</t>
  </si>
  <si>
    <t>日期码格式：ZURU INC(BVI) 标准格式 日期：按实际生产日期
Packaging Info: 物料要求 SKU 所有款号务必使用带有CCC 标识的AW
1 9298TQ1 "MA+中文3C贴纸+中文收藏指南+中文布标(可用布标贴纸)+年龄贴纸+芯片码（客供）
（3Facing 6pcs/PDQ）" 翻单： 4500154728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</si>
  <si>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Dona tang</t>
  </si>
  <si>
    <t>94689-4.2</t>
  </si>
  <si>
    <t>IMPORTADORA CHICOCOS</t>
  </si>
  <si>
    <t>玻利维亚</t>
  </si>
  <si>
    <t>4500158356-20</t>
  </si>
  <si>
    <t>2/24-UPC贴纸</t>
  </si>
  <si>
    <t>日期码格式：ZURU INC(BVI) 标准格式 日期：按实际生产日期 
Packaging Info: 9298TQ1：MA 3L EAN包装+UPC贴纸+MA PDQ包装+MA 多语收藏指南+箱唛
Remark:</t>
  </si>
  <si>
    <t>94687-4.1</t>
  </si>
  <si>
    <t>4500158156-20</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</si>
  <si>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</si>
  <si>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4500158157-20</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</si>
  <si>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</si>
  <si>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TJX UK:
PO#50565117</t>
  </si>
  <si>
    <t>4500157606-50</t>
  </si>
  <si>
    <t>日期码格式：ZURU INC(BVI) 标准格式 日期：按实际生产日期 
Packaging Info: TJX UK: -TJX UK: PO#50565117(9298)---TJX
 UK: PO#50565118(9298)
 9298: MA 3L(9Lwarning) 最新EAN包装+1张客供价格贴纸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</si>
  <si>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TJX UK:
PO#50565118</t>
  </si>
  <si>
    <t>4500157606-60</t>
  </si>
  <si>
    <t>TJX
Europe-DE:
PO#55565235</t>
  </si>
  <si>
    <t>4500157593-50</t>
  </si>
  <si>
    <t>2/13-波兰警示语</t>
  </si>
  <si>
    <t>日期码格式：ZURU INC(BVI) 标准格式 日期：按实际生产日期 
Packaging Info: TJX
 Europe-DE: PO#55565235(9298)---TJX Europe-DE: PO#55565240(9298)
 9298: MA 3L(9Lwarning) 最新EAN包装+1张客供价格贴纸+1张贴纸（含波兰警示语）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</si>
  <si>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TJX    Europe-DE:
PO#55565240</t>
  </si>
  <si>
    <t>4500157593-60</t>
  </si>
  <si>
    <t>0901328736</t>
  </si>
  <si>
    <t>4500159032-10</t>
  </si>
  <si>
    <t>4/11第三方</t>
  </si>
  <si>
    <t>3/24-客供RFID贴纸</t>
  </si>
  <si>
    <t>日期码格式：ZURU DGYYYYMMDD CHINA(日期避开周末和法定节假日即可） 日期：按实际生产日期
Packaging Info:
Remark: 
 9298:
 1.包装信息：MA A版 UPC版 1L收缩膜，MA A版 5L收藏指南，MA A版贴纸袋子，MA A版配件袋子，MA A版 5L口水胶袋，MA A版 3L贴纸，MA B版车缝布标，客版PDQ
（1facing2pcs/PDQ），客版布标贴纸，客供RFID贴纸（位置由我们提供）。
 2.外箱四面印刷RFID箱唛，主唛左前下角印刷艾利贴纸替代标箱唛(ITF-14格式)，此条码只印刷一面，ZURU新logo右下角四面印刷，主唛右下角加印 MADE IN CHINA
 ，每个slip sheet上面贴一张艾利贴纸（工厂自己打印）和一张普通贴纸（可A4纸打印），slip sheet打印的普通贴纸的尺寸不能比艾利贴纸小。
3.在产品上和包装上要有日期码（避开周末和节假日）以及要有MADE IN CHINA和ZURU字样。4.产品如有扎带口要剪平，不能刮手。
 5.此单需要第三方验货，请自行多备包装物料。
6.此单打卡板出货（32x7H=192carton=384pcs/Slip Sheet）。
 7.其它信息：7 assortment (6 common + 1 rare)=CORGI : SHEPHERD : POODLE : DALMATIAN : SCHNAUZER : BROWN DALNATIAN : HOUND DOG=2:8:10:10:10:10:10</t>
  </si>
  <si>
    <t>ZB00106-4.7</t>
  </si>
  <si>
    <t>0901328743</t>
  </si>
  <si>
    <t>4500159032-20</t>
  </si>
  <si>
    <t>ZB00110-4.8</t>
  </si>
  <si>
    <t>0901328751</t>
  </si>
  <si>
    <t>4500159032-50</t>
  </si>
  <si>
    <t>4/4-4/6出</t>
  </si>
  <si>
    <t>ZB00136-4.15</t>
  </si>
  <si>
    <t>FB12916</t>
  </si>
  <si>
    <t>4500157986-10</t>
  </si>
  <si>
    <t>MEC326-S001-9298</t>
  </si>
  <si>
    <t>狗蛋四代4款混装展示架（9298+92104+9296+9283)</t>
  </si>
  <si>
    <t>东莞华登混装</t>
  </si>
  <si>
    <t>2/19收到</t>
  </si>
  <si>
    <t>2/24-客户EAN条码贴</t>
  </si>
  <si>
    <t>日期码格式：ZURU INC(BVI) 标准格式 日期：按实际生产日期 
Packaging Info: MEC326
 58pcs一个展示架 ，展示架客版artwork,工厂自行订购展示架组装出货。
 9298, 92104,9296,9283：MA 最新版1L配套包装+客户EAN条码贴一张覆盖ZURU 原条码，请先检查包装条码是否正确再安排做货;
 EAN条码如下
 9280 5056296035542
 9298 5056296044834
 92104 5056296044865
 9296 5056296039526
 9283 5056296033685
展示架前挡板每个价格位需贴两个透明胶点（直径22-23mm），胶点需贴在12.5~14cm长度内的两端{客户价格贴大小 ：14.5x 4cm}
 展示架头卡位右上角以及两侧面的右上角 ，也需加胶点 ，四个胶点分别落在A4 纸尺寸4个角落范围内 { 客户价格贴大小为A4 纸大小：210mm×297mm}，请考虑
 客户的A4价格贴应离展示架两边缘位 1cm ,胶点距离A4角位的边缘 1cm。
 详细见放单邮件rendering图示添加 ，做大货前胶点位置必须由ZURU 跟单确认后方可做大货 （如未经复核直接做货，有问题需要返工由工厂承担），QC 验货一定
 要多加留意 ，如未按要求加到目的地会被退货 。
 为防止贴上去的胶点移位，需要在展示架包裹一层薄膜 ，需要拍照确认再安排。
Remark: 订单必须经过ZURU QC验货并且通过后方可出货。
 请务必准时交货，促销单延期会有巨额罚款。
包装和外箱日期码请按2025年4月01号打，这样可以所有产品日期一致，按ZURU格式即可。
 如对此单有疑问，请找PM Lucy Li, 跟单 Sandy Shao 核实
 每款需要提供2pcs 大货样，不需要展示架
 订单对应客户2个PO号 ，备注有显示 ，注意分开做货/验货/装柜 ，混装有罚款。</t>
  </si>
  <si>
    <t>94789-4.18</t>
  </si>
  <si>
    <t>FB12917</t>
  </si>
  <si>
    <t>4500157986-20</t>
  </si>
  <si>
    <t>出Bekasovo 2</t>
  </si>
  <si>
    <t>4500151398-60</t>
  </si>
  <si>
    <t>11/19收到</t>
  </si>
  <si>
    <t>11/25收到进口商贴纸+ EAN条码贴纸</t>
  </si>
  <si>
    <t>日期码格式：外包装/外箱不要打ZURU标准日期码 日期：按实际生产日期
Packaging Info: 注意 ：外包装 (指: 收缩膜/彩卡/铝箔袋/挂卡/PDQ) /外箱不要打ZURU标准日期码！胶件可以打日期码。
9298TQ1 : 1L MA 收缩膜 or 彩卡 + 进口商贴纸+ EAN条码贴纸，MA 指南 /说明书（如有）；
Remark: 标准配比
出BEKASOVO 2 和Ural 2 个港口；
货期不可延， 有罚金 。</t>
  </si>
  <si>
    <t>94894-4.30</t>
  </si>
  <si>
    <t>出Ural</t>
  </si>
  <si>
    <t>4500151398-140</t>
  </si>
  <si>
    <t>4500158785-20</t>
  </si>
  <si>
    <t>4500158787-20</t>
  </si>
  <si>
    <t>4500158125-10</t>
  </si>
  <si>
    <t>日期码格式：ZURU INC(BVI) 标准格式 日期：按实际生产日期 
Packaging Info: 9298 ： 1L MA包装 （UPC 条码）+进口商贴纸(含客人条码）， MA说明书/指南（如有）；
Remark: 标准配比
 1.外箱有贴纸：
 外箱正唛两面需要印产品黑白款式的图片；
 外箱侧唛（两面）的右上角各贴一张外箱贴纸.
 2.此客户验货时需要提供以下三种图片，请务必拍照清晰图片：
 产品净重图片；
 产品+包装毛重图片；
 一箱产品的毛重图片。</t>
  </si>
  <si>
    <t>4500159461-40</t>
  </si>
  <si>
    <t>92124-S001-9298</t>
  </si>
  <si>
    <t>狗蛋四代混装（92119+9298+92104）</t>
  </si>
  <si>
    <t>AOD</t>
  </si>
  <si>
    <t>外包装 (指: 收缩膜/彩卡/铝箔袋/挂卡/PDQ) /外箱不要打ZURU标准日期码！胶件可以打日期码-DG20250401</t>
  </si>
  <si>
    <t>日期码格式：外包装/外箱不要打ZURU标准日期码 日期： 
Packaging Info: 注意 ：外包装 (指: 收缩膜/彩卡/铝箔袋/挂卡/PDQ) /外箱不要打ZURU标准日期码！胶件可以打日期码。
 92124 ： 里面combo 产品1L MA 收缩膜（不含任何条码）+ 空白贴纸覆盖条码， 客版托盘 ， MA指南/说明书（如有）；
Remark: 标准配比 ；
 请按期完货， 会有罚金。
 出2个港口Bekasovo 2 和Ural .</t>
  </si>
  <si>
    <t>94896-4.30</t>
  </si>
  <si>
    <t>92124-S001</t>
  </si>
  <si>
    <t>4500159461-90</t>
  </si>
  <si>
    <t>4500159461-50</t>
  </si>
  <si>
    <t>92123-S001-9298</t>
  </si>
  <si>
    <t>狗蛋四代混装（92104+9298）</t>
  </si>
  <si>
    <t>拆单</t>
  </si>
  <si>
    <t>日期码格式：外包装/外箱不要打ZURU标准日期码 日期： 
Packaging Info: 注意 ：外包装 (指: 收缩膜/彩卡/铝箔袋/挂卡/PDQ) /外箱不要打ZURU标准日期码！胶件可以打日期码。
 92123 ： 里面combo 产品1L MA 收缩膜（不含任何条码）+ 空白贴纸覆盖条码， 客版托盘 ， MA指南/说明书（如有）；
Remark: 标准配比 ；
 请按期完货， 会有罚金。
 出2个港口Bekasovo 2 和Ural .</t>
  </si>
  <si>
    <t>92123-S001</t>
  </si>
  <si>
    <t>4500159461-100</t>
  </si>
  <si>
    <t>4500159461-110</t>
  </si>
  <si>
    <t>94897-4.30</t>
  </si>
  <si>
    <t>4500159461-120</t>
  </si>
  <si>
    <t>4500158103-10</t>
  </si>
  <si>
    <t>进口商贴纸+空白贴纸翻4500145310</t>
  </si>
  <si>
    <t>日期码格式：ZURU INC(BVI) 标准格式 日期：按实际生产日期
Packaging Info: 1.MA UPC包装（优先1L)+1张进口商贴纸+1张空白贴纸盖住包装上的G Mark(确保空白贴纸厚度足够，不会透出字体，贴纸颜色请严格按照要求，避免色差）
9298-贴纸AW、位置图翻单4500145310
其他item-MA UPC包装（优先1L)+1张进口商贴纸,不需要空白贴纸因为进口商贴纸已经盖住了G MARK。贴纸AW、位置图待提供
2.内容都是一样的，如果尺寸也一样，请一起订购节省成本
3.彩盒条码/纸箱不接受任何贴纸
Remark: 9298-7 assortment (6 common + 1 rare)=CORGI:SHEPHERD:POODLE:DALMATIAN:SCHNAUZER:BROWN DALNATIAN:HOUND DOG=2:8:10:10:10:10:10;</t>
  </si>
  <si>
    <t>PO#24L870 -
FCL</t>
  </si>
  <si>
    <t>4500158897-10</t>
  </si>
  <si>
    <t>4/30恢复正常出货</t>
  </si>
  <si>
    <t>5/8出</t>
  </si>
  <si>
    <t>翻4500149775</t>
  </si>
  <si>
    <t>内袋（翻单）+3/4-客办膜文档</t>
  </si>
  <si>
    <t>DOLGEN31704302E25</t>
  </si>
  <si>
    <t>日期码格式：DOLLAR GENERAL 格式日期码 日期：
Packaging Info: 1.包装：客版收缩膜 + 内袋（翻单）+ ZURU MA说明书，优先1L. 客版包装AWs跟单稍后提供。
 客户要求： "产品和包装不能含有PFAS 物质以及1,4 dioxane" 客户指定实验室做测试，请确保产品可以过美国标准ASTM F963-23测试。
Remark: 1.包装：客版收缩膜 + 内袋（翻单）+ ZURU MA说明书，优先1L. 客版包装AWs跟单稍后提供。
 客户要求： "产品和包装不能含有PFAS 物质以及1,4 dioxane" 客户指定实验室做测试，请确保产品可以过美国标准ASTM F963-23测试。
 #9298-S006-PKC客户特批单坑外箱。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包装日期码（已印在包装UPC码旁边竖排那里，无需额外添加），内容如#9298: 31704302E25
 (2)产品日期码：DOLGEN31704302E25 （打在蛋壳底部）后三位E25代表25年5月的ETD 。
 （3）UPC条形码：
 #9298: 430001805807
 3. 无价贴。
 4. 样板：无样板需求。
 5. 此单无第三方。
 6. 箱唛：此客人要求严格，外箱不接受水贴纸，材积以及重量必须按照以下要求，否则不符会导致验货fail从而影响货期而产生罚款。大货外箱材积绝对不可大于
 下述数据，材积只接受3%的变小；重量正负不得超过以下列出数据的5%，接受外箱以印章方式印上实际毛重。大货外箱材积必须不能大于0.68Cube Feet(0.019cbm);
 外箱毛重3.5LBS。如有变化，请收单后2周内告知跟单评估是否可行
 唛头需要翻单4500149775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#9298- S006-PKC-RAINBOCORNS-PUPPYCORN SURPRISE-SERIES 8-SCENT SURPRISE PLUSH SMALL SHRINK WRAP,2PCS/Polybag,6pcs/3Polybag/CTN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#9298-S006-PKC内袋翻4500149775 .</t>
  </si>
  <si>
    <t>ZB00205-5.8</t>
  </si>
  <si>
    <t>PO#24L870 -
LCL</t>
  </si>
  <si>
    <t>4500158897-20</t>
  </si>
  <si>
    <t>4500157310-30</t>
  </si>
  <si>
    <t>ZB00138-4.16   ZB00155-4.22  ZB00172-4.23</t>
  </si>
  <si>
    <t>TJ MAXX
DC#891-240PCS
,
DC#894-204PCS
,
DC#896-186PCS
,
DC#897-378PCS
,
DC#898-192PCS</t>
  </si>
  <si>
    <t>4500157311-30</t>
  </si>
  <si>
    <t>4500159190-20</t>
  </si>
  <si>
    <t>3/18-进口商贴纸+ EAN条码贴纸</t>
  </si>
  <si>
    <t>日期码格式：ZURU INC(BVI) 标准格式 日期：按实际生产日期
Packaging Info: 
 9298 ： 1L MA 包装+ 进口商贴纸+ EAN条码贴纸， MA 说明书/指南（如有）；
Remark: 标准配比</t>
  </si>
  <si>
    <t>0903761956</t>
  </si>
  <si>
    <t>4500159919-10</t>
  </si>
  <si>
    <t>4/15第三方（自检）</t>
  </si>
  <si>
    <t>日期码格式：ZURU DGYYYYMMDD CHINA(日期避开周末和法定节假日即可） 日期：按实际生产日期
Packaging Info:
Remark: 1.包装信息：MA A版 UPC版 1L收缩膜，MA A版 5L收藏指南，MA A版贴纸袋子，MA A版配件袋子，MA A版 5L口水胶袋，MA A版 3L贴纸，MA B版车缝布标，客版PDQ
（1facing2pcs/PDQ），客版布标贴纸，客供RFID贴纸（标贴位置严格按照我们签板的位置图，不可擅自调整位置，贴纸不能有任何破损或折坏，不可淋湿）。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5.此单需要第三方验货，请自行多备物料。
6.此单打卡板出货（32x7H=192carton=384pcs/Slip Sheet）。
7.其它信息：7 assortment (6 common + 1 rare)=CORGI : SHEPHERD : POODLE : DALMATIAN : SCHNAUZER : BROWN DALNATIAN : HOUND DOG=2:8:10:10:10:10:10
。</t>
  </si>
  <si>
    <t>Estate Chen</t>
  </si>
  <si>
    <t>ZB00170-4.23</t>
  </si>
  <si>
    <t>0903761968</t>
  </si>
  <si>
    <t>4500159919-20</t>
  </si>
  <si>
    <t>4/26出</t>
  </si>
  <si>
    <t>ZB00171-4.23</t>
  </si>
  <si>
    <t>0903761970</t>
  </si>
  <si>
    <t>4500159919-30</t>
  </si>
  <si>
    <t>ZB00183-4.26</t>
  </si>
  <si>
    <t>6AE29PED</t>
  </si>
  <si>
    <t>4500158947-10</t>
  </si>
  <si>
    <t>日期码格式：ZURU INC(BVI) 标准格式 日期：按实际生产日期 
Packaging Info: 出口加拿大，包装需要至少2/3L UPC版，无硼版本。
 #9298: MA 3L加UPC贴纸, 图稿跟返单4500113996. 需混入稀有款, 常规款:稀有款=58:2; B:193052062635,G:193052062666；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</si>
  <si>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94855-4.28</t>
  </si>
  <si>
    <t>6QVG8LTI</t>
  </si>
  <si>
    <t>4500158947-30</t>
  </si>
  <si>
    <t>日期码格式：ZURU INC(BVI) 标准格式 日期：按实际生产日期
Packaging Info: 出口加拿大，包装需要至少2/3L UPC版，无硼版本。
 #9298: MA 3L加UPC贴纸, 图稿跟返单4500113996. 需混入稀有款, 常规款:稀有款=58:2; B:193052062635,G:193052062666；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</si>
  <si>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5RWZ1B2T</t>
  </si>
  <si>
    <t>4500158947-40</t>
  </si>
  <si>
    <t>8M5NY7GU</t>
  </si>
  <si>
    <t>4500158947-50</t>
  </si>
  <si>
    <t>5TRQMEWI</t>
  </si>
  <si>
    <t>4500158947-60</t>
  </si>
  <si>
    <t>4ZD5VHEN</t>
  </si>
  <si>
    <t>4500158947-70</t>
  </si>
  <si>
    <t>5FQNJ79Y</t>
  </si>
  <si>
    <t>4500158947-80</t>
  </si>
  <si>
    <t>3VOJ41KU</t>
  </si>
  <si>
    <t>4500158947-90</t>
  </si>
  <si>
    <t>2IZ81A1N</t>
  </si>
  <si>
    <t>4500158947-100</t>
  </si>
  <si>
    <t>Walmart Central America-GT</t>
  </si>
  <si>
    <t>危地马拉</t>
  </si>
  <si>
    <t>4500158447-80</t>
  </si>
  <si>
    <t>3/24-双坑纸箱</t>
  </si>
  <si>
    <t>UPC贴纸+进口商贴纸翻单4500158302</t>
  </si>
  <si>
    <t>日期码格式：ZURU INC(BVI) 标准格式 日期：按实际生产日期 
Packaging Info: 
 5. 9298TQ1:MA 3L EAN包装+UPC贴纸+MA PDQ包装+MA 多语收藏指南+进口商贴纸+箱唛
 以上所有贴纸翻单PO4500158302
Remark: 1.使用双坑外箱
 2.请注意产品包装条形码必须是UPC
 3.无第三方验货
 9298：7 assortment (6 common + 1 rare)=CORGI:SHEPHERD:POODLE:DALMATIAN:SCHNAUZER:BROWN DALNATIAN:HOUND DOG=2:8:10:10:10:10:10;</t>
  </si>
  <si>
    <t>94923-5.5</t>
  </si>
  <si>
    <t>Walmart Central America-CR</t>
  </si>
  <si>
    <t>4500158535-80</t>
  </si>
  <si>
    <t>日期码格式：ZURU INC(BVI) 标准格式 日期：按实际生产日期 
Packaging Info: 
Remark: 1.使用双坑外箱
 2.请注意产品包装条形码必须是UPC
 3.无第三方验货
 9298：7 assortment (6 common + 1 rare)=CORGI:SHEPHERD:POODLE:DALMATIAN:SCHNAUZER:BROWN DALNATIAN:HOUND DOG=2:8:10:10:10:10:10;</t>
  </si>
  <si>
    <t>94882-4.29</t>
  </si>
  <si>
    <t>Walmart Central America</t>
  </si>
  <si>
    <t>萨尔瓦多</t>
  </si>
  <si>
    <t>4500158302-80</t>
  </si>
  <si>
    <t>3/21-UPC贴纸+进口商贴纸</t>
  </si>
  <si>
    <t>日期码格式：ZURU INC(BVI) 标准格式 日期：按实际生产日期
Packaging Info: 
Remark: 1.使用双坑外箱
 2.请注意产品包装条形码必须是UPC
 3.无第三方验货
 5. 9298：7 assortment (6 common + 1 rare)=CORGI:SHEPHERD:POODLE:DALMATIAN:SCHNAUZER:BROWN DALNATIAN:HOUND DOG=2:8:10:10:10:10:10;</t>
  </si>
  <si>
    <t>94865-4.28</t>
  </si>
  <si>
    <t>4500157177-10</t>
  </si>
  <si>
    <t>4500157177-20</t>
  </si>
  <si>
    <t>4500157177-30</t>
  </si>
  <si>
    <t>4500157177-50</t>
  </si>
  <si>
    <t>4500157177-60</t>
  </si>
  <si>
    <t>4500157177-70</t>
  </si>
  <si>
    <t>客户PO
30369394</t>
  </si>
  <si>
    <t>4500158873-70</t>
  </si>
  <si>
    <t>3/18-UPC贴纸</t>
  </si>
  <si>
    <t>3/31-价格贴纸</t>
  </si>
  <si>
    <t>日期码格式： 标准格式 日期：按实际生产日期 
Packaging Info: 
 9298 无硼版本. MA 多语 EAN版本+UPC贴纸。UPC号码193052057426
Remark: 出加拿大
 有客供价格贴
 每行对应不同的客户PO， 客户PO已分别备注
Zuru验货.日期跟踪码：产品外包装及产品本身都必须有日期跟踪码，ZURU标准格式
 日期码</t>
  </si>
  <si>
    <t>9298-S001-3L-1</t>
  </si>
  <si>
    <t>4500158873-170</t>
  </si>
  <si>
    <t>日期码格式： 标准格式 日期：按实际生产日期
Packaging Info:
 9298 无硼版本. MA 多语 EAN版本+UPC贴纸。UPC号码193052057426
Remark: 出加拿大
 有客供价格贴
 每行对应不同的客户PO， 客户PO已分别备注
Zuru验货.日期跟踪码：产品外包装及产品本身都必须有日期跟踪码，ZURU标准格式
 日期码</t>
  </si>
  <si>
    <t>客户PO
30369789</t>
  </si>
  <si>
    <t>4500158873-270</t>
  </si>
  <si>
    <t>4500159075-50</t>
  </si>
  <si>
    <t>日期码格式： 标准格式 日期：按实际生产日期
Packaging Info: 
 9298 无硼版本. MA 多语 EAN版本+UPC贴纸。UPC号码193052057426
Remark: 出加拿大
 每行对应不同的客户PO， 客户PO已分别备注
Zuru验货.日期跟踪码：产品外包装及产品本身都必须有日期跟踪码，ZURU标准格式
 日期码</t>
  </si>
  <si>
    <t>客户PO
35521528</t>
  </si>
  <si>
    <t>4500159075-110</t>
  </si>
  <si>
    <t>客户PO
35521974</t>
  </si>
  <si>
    <t>4500159075-250</t>
  </si>
  <si>
    <t>4500158924-100</t>
  </si>
  <si>
    <t>日期码格式：ZURU INC(BVI) 标准格式 日期：按实际生产日期
Packaging Info:
9298 无硼版本. MA 多语 EAN版本+UPC贴纸。UPC号码193052057426
Remark: 出加拿大
有客供价格贴
每行对应不同的客户PO， 客户PO已分别备注
Zuru验货.日期跟踪码：产品外包装及产品本身都必须有日期跟踪码，ZURU标准格式
日期码</t>
  </si>
  <si>
    <t>4500158924-200</t>
  </si>
  <si>
    <t>4500158924-300</t>
  </si>
  <si>
    <t>Distruibuciones Universales, SA - D</t>
  </si>
  <si>
    <t>洪都拉斯</t>
  </si>
  <si>
    <t>4500160421-30</t>
  </si>
  <si>
    <t>3/20收到</t>
  </si>
  <si>
    <t>3/25-UPC贴纸</t>
  </si>
  <si>
    <t>日期码格式：ZURU INC(BVI) 标准格式 日期：按实际生产日期 
Packaging Info: 
 9298TQ1：MA 3L EAN包装+UPC贴纸+MA PDQ包装+MA 多语收藏指南+箱唛
Remark: 
 9298TQ1: 7 assortment (6 common + 1 rare)=CORGI:SHEPHERD:POODLE:DALMATIAN:SCHNAUZER:BROWN DALNATIAN:HOUND DOG=2:8:10:10:10:10:10;</t>
  </si>
  <si>
    <t>94795-4.18</t>
  </si>
  <si>
    <t>4500160289-40</t>
  </si>
  <si>
    <t>4/28-4/30出</t>
  </si>
  <si>
    <t>3/25收到</t>
  </si>
  <si>
    <t>3/31-防盗贴纸+4/7-外箱贴纸</t>
  </si>
  <si>
    <t>94886-4.30</t>
  </si>
  <si>
    <t>4500160284-40</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</si>
  <si>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</si>
  <si>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94887-4.30</t>
  </si>
  <si>
    <t>4500155227-10</t>
  </si>
  <si>
    <t>日期码格式：ZURU INC(BVI) 标准格式 日期：按实际生产日期 
Packaging Info: 
 2.77555GQ1: MA 1L UPC包装
3.配比跟MA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，否则到目的仓无法扫描入仓由工厂承担责任 。
 *所有产品按符合欧洲标准走货，微塑料需符合欧规 。
 *涉及到硼的，需要符合欧洲标准
 *客户不接受PVC材质</t>
  </si>
  <si>
    <t>94940-5.7</t>
  </si>
  <si>
    <t>4500160901-1:
FB12977</t>
  </si>
  <si>
    <t>4500160901-30</t>
  </si>
  <si>
    <t>客户EAN条码贴翻4500148687</t>
  </si>
  <si>
    <t>日期码格式：ZURU INC(BVI) 标准格式 日期：按实际生产日期
Packaging Info:
"9298TQ4-S003: ""MA最新1L配套包装+客户EAN条码贴一张覆盖ZURU 原条码，条码贴翻订单4500148687，
7 assortment (6 common + 1 rare)=CORGI:SHEPHERD:POODLE:DALMATIAN:SCHNAUZER:BROWN DALNATIAN:HOUND DOG=2:8:10:10:10:10:10;""; BARCODE: 50562960448
34"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*条码以订单显示为准 ，请安排生产前先核对 ，有问题请提出。
*订单对应客户3个PO号 ，备注有显示 ，注意分开做货/验货/装柜 ，混装有罚款。
* 大货样： 请在4/10 前寄出每款1整套大货样到罗湖办公室7B Sandy Shao 收。</t>
  </si>
  <si>
    <t>94866-4.29</t>
  </si>
  <si>
    <t>4500160901-2:
FB12978</t>
  </si>
  <si>
    <t>4500160901-120</t>
  </si>
  <si>
    <t>4500160901-3:
FB12979</t>
  </si>
  <si>
    <t>4500160901-210</t>
  </si>
  <si>
    <t>TJ MAXX
DC#891-276PCS
,
DC#894-186PCS
,
DC#896-168PCS
,
DC#897-348PCS
,
DC#898-222PCS</t>
  </si>
  <si>
    <t>4500157317-20</t>
  </si>
  <si>
    <t>5/7出</t>
  </si>
  <si>
    <t>4/1-价格贴纸</t>
  </si>
  <si>
    <t>ZB00203-5.7</t>
  </si>
  <si>
    <t>Marshalls
DC#881-252PCS
,
DC#884-168PCS
,
DC#886-204PCS
,
DC#887-168PCS
,
DC#888-210PCS</t>
  </si>
  <si>
    <t>4500157316-20</t>
  </si>
  <si>
    <t>4/7-价格贴纸</t>
  </si>
  <si>
    <t>ZB00202-5.7</t>
  </si>
  <si>
    <t>WALMART INC.</t>
  </si>
  <si>
    <t>0906735636</t>
  </si>
  <si>
    <t>4500161382-10</t>
  </si>
  <si>
    <t>4/25第三方（自检）</t>
  </si>
  <si>
    <t>4/12-客供RFID贴纸</t>
  </si>
  <si>
    <t>日期码格式：ZURU DGYYYYMMDD CHINA(日期避开周末和法定节假日即可） 日期：按实际生产日期
Packaging Info:
Remark: 9298:
1.包装信息：MA A版 UPC版 1L收缩膜，MA A版 5L收藏指南，MA A版贴纸袋子，MA A版配件袋子，MA A版 5L口水胶袋，MA A版 3L贴纸，MA B版车缝布标，客版PDQ
（1facing2pcs/PDQ），客版布标贴纸，客供RFID贴纸（位置由我们提供）。
2.外箱四面印刷RFID箱唛，主唛左前下角印刷艾利贴纸替代标箱唛(ITF-14格式)，此条码只印刷一面，ZURU新logo右下角四面印刷，主唛右下角加印 MADE IN CHINA
，每个slip sheet上面贴一张艾利贴纸（工厂自己打印）和一张普通贴纸（可A4纸打印），slip sheet打印的普通贴纸的尺寸不能比艾利贴纸小。
3.在产品上和包装上要有日期码（避开周末和节假日）以及要有MADE IN CHINA和ZURU字样。4.产品如有扎带口要剪平，不能刮手。
5.此单需要第三方验货，请自行多备包装物料。
6.此单打卡板出货（32x7H=192carton=384pcs/Slip Sheet）。
7.其它信息：7 assortment (6 common + 1 rare)=CORGI : SHEPHERD : POODLE : DALMATIAN : SCHNAUZER : BROWN DALNATIAN : HOUND DOG=2:8:10:10:10:10:10</t>
  </si>
  <si>
    <t>ZB00199-5.7</t>
  </si>
  <si>
    <t>0906735638</t>
  </si>
  <si>
    <t>4500161382-20</t>
  </si>
  <si>
    <t>ZB00206-5.8</t>
  </si>
  <si>
    <t>0906735642</t>
  </si>
  <si>
    <t>4500161382-30</t>
  </si>
  <si>
    <t>ZB00212-5.9</t>
  </si>
  <si>
    <t>0906735643</t>
  </si>
  <si>
    <t>4500161382-40</t>
  </si>
  <si>
    <t>5/10出</t>
  </si>
  <si>
    <t>ZB00234-5.10</t>
  </si>
  <si>
    <t>0906735647</t>
  </si>
  <si>
    <t>4500161382-50</t>
  </si>
  <si>
    <t>ZB00236-5.12</t>
  </si>
  <si>
    <t>去Ural</t>
  </si>
  <si>
    <t>4500159526-140</t>
  </si>
  <si>
    <t>长尾巴猫（9298+92104）</t>
  </si>
  <si>
    <t>外包装 (指: 收缩膜/彩卡/铝箔袋/挂卡/PDQ) /外箱不要打ZURU标准日期码！胶件可以打日期码DG20250421</t>
  </si>
  <si>
    <t>日期码格式：外包装/外箱不要打ZURU标准日期码 日期： 
Packaging Info: 注意 ：外包装 (指: 收缩膜/彩卡/铝箔袋/挂卡/PDQ) /外箱不要打ZURU标准日期码！胶件可以打日期码。
 92123 ： 里面combo 产品1L MA 收缩膜（不含任何条码）+ 空白贴纸覆盖条码）， 客版托盘翻4500159461 ，MA指南/说明书（如有）；
Remark: 标准配比 ；
 请按期完货， 会有罚金。
 出2个港口Bekasovo 2 和Ural .</t>
  </si>
  <si>
    <t>92104-S001</t>
  </si>
  <si>
    <t>4500160611-30</t>
  </si>
  <si>
    <t>进口商贴纸翻4500156659</t>
  </si>
  <si>
    <t>日期码格式：ZURU INC(BVI) 标准格式 日期：按实际生产日期 
Packaging Info: 9298：1L B版 MA包装+进口商贴纸；MA指南(如有）
Remark: 标准配比</t>
  </si>
  <si>
    <t>4500161002-40</t>
  </si>
  <si>
    <t>4/28-4/29出</t>
  </si>
  <si>
    <t>翻 4500158641</t>
  </si>
  <si>
    <t>中文3C贴纸+中文布标(可用布标贴纸)+年龄贴纸翻 4500158641</t>
  </si>
  <si>
    <t>日期码格式：ZURU INC(BVI) 标准格式 日期：按实际生产日期
Packaging Info: 物料要求 SKU 所有款号务必使用带有CCC 标识的AW
4 9298TQ1 "MA+中文3C贴纸+中文收藏指南+中文布标(可用布标贴纸)+年龄贴纸
（3Facing 6pcs/PDQ）" 翻单： 4500158641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</si>
  <si>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94854-4.28</t>
  </si>
  <si>
    <t>4500159526-130</t>
  </si>
  <si>
    <t>客户取消物料转4500176865</t>
  </si>
  <si>
    <t>日期码格式：外包装/外箱不要打ZURU标准日期码 日期： 
Packaging Info: 注意 ：外包装 (指: 收缩膜/彩卡/铝箔袋/挂卡/PDQ) /外箱不要打ZURU标准日期码！胶件可以打日期码。
 92124 ： 里面combo 产品1L MA 收缩膜（不含任何条码）+ 空白贴纸覆盖条码）， 客版托盘翻4500159461 ，MA指南/说明书（如有）；
Remark: 标准配比 ；
 请按期完货， 会有罚金。
 出2个港口Bekasovo 2 和Ural .</t>
  </si>
  <si>
    <t>4500160092-110</t>
  </si>
  <si>
    <t>4/15-UPC贴纸+进口商贴纸</t>
  </si>
  <si>
    <t>日期码格式：2025-05 日期： 
Packaging Info: 
 9298TQ1：MA 3L EAN包装+UPC贴纸+MA PDQ包装+MA 多语收藏指南+进口商贴纸+箱唛
Remark: 1.指定日期码：2025-05（外箱/产品/包装/进口商贴纸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9298TQ1: 7 assortment (6 common + 1 rare)=CORGI:SHEPHERD:POODLE:DALMATIAN:SCHNAUZER:BROWN DALNATIAN:HOUND DOG=2:8:10:10:10:10:10;</t>
  </si>
  <si>
    <t>Andrés Dauhajre SA (LA NOVIA DE VIL</t>
  </si>
  <si>
    <t>4500160345-50</t>
  </si>
  <si>
    <t>3/27收到</t>
  </si>
  <si>
    <t>UPC贴纸翻4500160421</t>
  </si>
  <si>
    <t>日期码格式：ZURU INC(BVI) 标准格式 日期：按实际生产日期
Packaging Info:
9298TQ1:MA 3L EAN包装+UPC贴纸+MA PDQ包装+MA 多语收藏指南+箱唛,UPC贴纸翻单PO4500160421
Remark: 
9298TQ1: 7 assortment (6 common + 1 rare)=CORGI:SHEPHERD:POODLE:DALMATIAN:SCHNAUZER:BROWN DALNATIAN:HOUND DOG=2:8:10:10:10:10:10;</t>
  </si>
  <si>
    <t>94881-4.29</t>
  </si>
  <si>
    <t>KAUFHAUS MARTIN STOLZ GMBH</t>
  </si>
  <si>
    <t>25-179</t>
  </si>
  <si>
    <t>4500160738-30</t>
  </si>
  <si>
    <t>9298TQ2-S001-NB</t>
  </si>
  <si>
    <t>4/19-客供价格贴纸</t>
  </si>
  <si>
    <t>日期码格式：ZURU INC(BVI) 标准格式 日期：按实际生产日期
Packaging Info: 
9298TQ2: 最新MA PDQ+ 最新MA 3L+9L警语EAN收缩膜（4894680029828）+最新MA 5L 收藏指南+最新MA 5L史莱姆袋子++MA水洗标/贴纸/纸袋+ 客供价格贴纸
Remark: "1. 此单出德国，需要满足Zuru Standard欧洲标准测试要求；
2. 请准时出货，推期会有罚款；
3. 出口欧洲，微塑料需符合法规。
4. 配比：标准配比
5. 大货样品一套
6. 需提供验货图片给客人确认才可以安排出货
7. 所有包装警语部分需含德语警语"</t>
  </si>
  <si>
    <t>94961-5.10</t>
  </si>
  <si>
    <t>9298TQ2-S001-3L-NB</t>
  </si>
  <si>
    <t>4500157195-10</t>
  </si>
  <si>
    <t>正常出货</t>
  </si>
  <si>
    <t>ZB00213-5.9</t>
  </si>
  <si>
    <t>4500157203-30</t>
  </si>
  <si>
    <t>ZB00214-5.9</t>
  </si>
  <si>
    <t>SHOPRITE CHECKERS (PTY) LTD</t>
  </si>
  <si>
    <t>BRK1174931844</t>
  </si>
  <si>
    <t>4500160342-20</t>
  </si>
  <si>
    <t>3/14收到</t>
  </si>
  <si>
    <t>日期码格式：ZURU INC(BVI) 标准格式 日期：按实际生产日期 
Packaging Info: MA PKG(优先1L)
Remark: 请留意箱唛色带高度为40mm, 色带顶部需留出10mm高空白地方
 客户PO#BRK1174931844</t>
  </si>
  <si>
    <t>Marshalls
DC#881-234PCS
,
DC#884-162PCS
,
DC#886-210PCS
,
DC#887-228PCS
,
DC#888-168PCS</t>
  </si>
  <si>
    <t>4500157320-20</t>
  </si>
  <si>
    <t>TJ MAXX
DC#891-264PCS
,
DC#894-186PCS
,
DC#896-174PCS
,
DC#897-360PCS
,
DC#898-216PCS</t>
  </si>
  <si>
    <t>4500157321-20</t>
  </si>
  <si>
    <t>777 1MAY25</t>
  </si>
  <si>
    <t>4500161792-30</t>
  </si>
  <si>
    <t>4/14收到</t>
  </si>
  <si>
    <t>日期码格式：ZURU INC(BVI) 标准格式 日期：按实际生产日期
Packaging Info: MA 最新UPC包装，各款的条码如下，请先检查条码是否正确再安排做货，如有问题请告知
9298TQ1-S003:193052057426
配比跟MA
Remark: 1.产品及包装需要印UKCA图标，包装需要有ZURU UK LTD/ZURU France地址信息，QC同事请核查，如有问题与跟单确认。
2. 需要符合欧洲标准不能含有闪粉和微塑料，否则不和法规会有客诉产生</t>
  </si>
  <si>
    <t>4500161963-30</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</si>
  <si>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</si>
  <si>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4500161960-40</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</si>
  <si>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</si>
  <si>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PO2734192</t>
  </si>
  <si>
    <t>4500162070-10</t>
  </si>
  <si>
    <t>5/20出</t>
  </si>
  <si>
    <t>4/2收到</t>
  </si>
  <si>
    <t>日期码格式：ZURU INC(BVI) 标准格式 日期：按实际生产日期
Packaging Info: 1.9298TQ4: MA -1L UPC 包装+客版 1L PDQ (客版PDQ翻Morrison po#4500142847)；
Remark: *胶带最少宽度要保证6.0CM,厚度最少0.05毫米,外箱不可以打钉/扎带；以工字型封箱；
*如果重量超过5KGS，箱唛需加黄色警示图标志 ，有疑问请与ZURU跟单同事联系,十分重要！
*订单出英国，请注意检查产品及包装应带UKCA图标，包装显示ZURU UK LTD信息，QC同事请查核，如有问题与跟单确认。
*MA版本按工厂现有最新库存即可，订单出英国，请注意检查产品及包装应带UKCA图标，包装显示ZURU UK LTD信息，QC同事请查核，如有问题与跟单确认。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，请安排生产前先核对再生产或者与Sherry 复核再安排 。
*外箱上的条码请确保清晰可扫描 ，否则到目的仓无法扫描入仓由工厂承担责任 。
*所有产品按符合欧洲标准走货，需要是不含微塑料版本 。
*涉及到硼的，请使用低硼版本
*客户不接受PVC材质
*外箱不得使用带金属夹子或带扣</t>
  </si>
  <si>
    <t>May Wu</t>
  </si>
  <si>
    <t>MEIJER DISTRIBUTION, INC.</t>
  </si>
  <si>
    <t>4500162658-10</t>
  </si>
  <si>
    <t>日期码格式：ZURU INC(BVI) 标准格式 日期：
Packaging Info: 1. MA 1L 包装
2. 客人指定箱唛排版
Remark: 出货前 Zuru QC 验货</t>
  </si>
  <si>
    <t>Cherie Li</t>
  </si>
  <si>
    <t>4500162669-10</t>
  </si>
  <si>
    <t>包装要求参考4
500159461, 45
00159526全部
出Bekasovo 2
（部分货外箱
显示Ural 不需
要返工）</t>
  </si>
  <si>
    <t>4500164028-30</t>
  </si>
  <si>
    <t>原4500159461&amp;4500159526转单-注意不要重复生产</t>
  </si>
  <si>
    <t>进口商贴纸+EAN条码贴纸翻4500159461</t>
  </si>
  <si>
    <t>日期码格式：外包装/外箱不要打ZURU标准日期码 日期：
Packaging Info: 取代4500159461, 4500159526,4500158036,4500161032,4500158543中 对应的款 ;
包装要求参考4500159461, 4500159526,4500158036,4500161032,4500158543
Remark:</t>
  </si>
  <si>
    <t>4500163539-30</t>
  </si>
  <si>
    <t>5/12出货</t>
  </si>
  <si>
    <t>5/16出</t>
  </si>
  <si>
    <t>警告语贴纸翻4500156082</t>
  </si>
  <si>
    <t>日期码格式：ZURU INC(BVI) 标准格式 日期：按实际生产日期
Packaging Info: 
2.9298TQ1:MA B 3L+9L EAN 收缩膜+1张PL&lt;(&gt;&amp;&lt;)&gt;CZ&lt;(&gt;&amp;&lt;)&gt;SK&lt;(&gt;&amp;&lt;)&gt;BG警告语贴纸（翻单4500156082）+MA 5L收藏指南+1张PL&lt;(&gt;&amp;&lt;)&gt;CZ&lt;(&gt;&amp;&lt;)&gt;SK&lt;(&gt;&amp;&lt;)&gt;BG警告
语贴纸(同收缩膜一样）+其它MA包装+MA PDQ.
Remark: 1.波兰内销单，需要通过ZURU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</si>
  <si>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SD04</t>
  </si>
  <si>
    <t>4500162692-30</t>
  </si>
  <si>
    <t>5/21-5/23出</t>
  </si>
  <si>
    <t>4/25-防盗贴纸+4/28-外箱贴纸</t>
  </si>
  <si>
    <t>4500162690-40</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</si>
  <si>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</si>
  <si>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KING JOUET LOGISTIQUE</t>
  </si>
  <si>
    <t>4500161360-10</t>
  </si>
  <si>
    <t>5/23第三方</t>
  </si>
  <si>
    <t>4/27-进口商贴纸+产品贴纸+EAN贴纸</t>
  </si>
  <si>
    <t>LOT2521-产品（蛋壳等）/包装（收缩膜等）</t>
  </si>
  <si>
    <t>日期码格式：LOT2521 日期：
Packaging Info: "最新MA PDQ+一张进口商贴纸+一张产品贴纸+一张EAN 4894680038059 贴纸
9298：最新MA 3L EAN收缩膜+最新MA 5L收藏指南+最新MA 5L POLY BAG+最新MA 布标"
Remark: 1. 大货样品2套/item，用于客人验货签板。验货后还会抽办1套/item，请多备料；
2. 客版日期码LOT2521, 产品（蛋壳等）/包装（收缩膜等）/外箱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此客户需要第三方验货，请在约三方验货前必须PASS ZURU验货。</t>
  </si>
  <si>
    <t>92123-S001-3L</t>
  </si>
  <si>
    <t>4500160038-10</t>
  </si>
  <si>
    <t>日期码格式：LOT2521 日期：
Packaging Info: 最新MA PDQ+一张进口商贴纸（含希腊警语+意大利/希腊布标内容+希腊胶袋警语+意大利环保标志）+一张产品贴纸+一张EAN 4894680038059 贴纸
9298：最新MA 3L EAN收缩膜+最新MA 5L收藏指南+最新MA 5L POLY BAG+最新MA 布标
Remark: 1.RATIO 同MA 一致。
2.大货样品2套/item，用于客人验货签板。请于验货前9天寄到深圳办公室，验货后还会抽办1套/item，请多备料。
3.客人日期码：LOT2521，产品（蛋壳等）/包装（收缩膜等）/外箱 请保持一致。
4.产品均符合EU微塑料法规要求：不能含有微塑料/闪粉
5. SMASHERS 或含Slime产品，所有化合物使用无硼版本出意大利。
6. 本订单所有 具有 baby items / assorted items 的款式，零售包装上都要用 母 EAN;
7. 此客户需要第三方验货，请在约三方验货前必须PASS ZURU验货。</t>
  </si>
  <si>
    <t>COMERCIALIZADORA MEXICO AMERICANA S</t>
  </si>
  <si>
    <t>4500160573-60</t>
  </si>
  <si>
    <t>4/21收到</t>
  </si>
  <si>
    <t>4/23-进口商贴纸+UPC条码</t>
  </si>
  <si>
    <t>例如(LOTDG20240920) 需要在每箱放入4小包干燥剂，每包干燥剂重量2g</t>
  </si>
  <si>
    <t>日期码格式：LOTDGYYYYMMDD 日期：按实际生产日期
Packaging Info:
 5. 9298TQ1： MA 3L EAN包装+进口商贴纸+新UPC条码贴纸+MA 5L收藏指南+MA PDQ+箱唛
Remark: 1. 客版日期码要求：LOT+ZURU标准日期码格式。东莞生产的格式：LOTDGYYYYMMDD, DG是东莞拼音首字母，
YYYYMMDD是实际的年月日，例如(LOTDG20240920)
 9298TQ1： 7 assortment (6 common + 1 rare)=CORGI:SHEPHERD:POODLE:DALMATIAN:SCHNAUZER:BROWN DALNATIAN:HOUND DOG=2:8:10:10:10:10:10;
 4. 此单有第三方监柜，至少多备一套完整的物料用于监柜，请多备料。
 5.WM墨西哥防霉的新要求:货物必须在出货主箱和集装箱中按要求放置干燥剂，干燥剂指定品牌干霸
9298TQ1： 需要在每箱放入4小包干燥剂，每包干燥剂重量2g
 如走柜货等loading plan 确认后再通知集装箱干燥剂数量
 此单兴信将安排8*40HC柜子，每个HC需要放置10包干燥剂，每包干燥剂1KG</t>
  </si>
  <si>
    <t>9298TQ1-S002-3L</t>
  </si>
  <si>
    <t>4500160573-70</t>
  </si>
  <si>
    <t>4500161312-40</t>
  </si>
  <si>
    <t>箱唛翻4500158302</t>
  </si>
  <si>
    <t>UPC贴纸+进口商贴纸翻4500158302</t>
  </si>
  <si>
    <t>日期码格式：ZURU INC(BVI) 标准格式 日期：按实际生产日期
Packaging Info: 
3. 9298TQ1:MA 3L EAN包装+UPC贴纸+MA PDQ包装+MA 多语收藏指南+进口商贴纸+箱唛，贴纸翻单PO4500158302
Remark: 1.使用双坑外箱
2.请注意产品包装条形码必须是UPC
3.无第三方验货
5. 9298：7 assortment (6 common + 1 rare)=CORGI:SHEPHERD:POODLE:DALMATIAN:SCHNAUZER:BROWN DALNATIAN:HOUND DOG=2:8:10:10:10:10:10;</t>
  </si>
  <si>
    <t>4500164177-10</t>
  </si>
  <si>
    <t>5/23出</t>
  </si>
  <si>
    <t>翻4500161002</t>
  </si>
  <si>
    <t>取消芯片码（客供）</t>
  </si>
  <si>
    <t>日期码格式：ZURU INC(BVI) 标准格式 日期：按实际生产日期
Packaging Info: 物料要求 SKU 所有款号务必使用带有CCC 标识的AW
1 9298TQ1 "MA+中文3C贴纸+中文收藏指南+中文布标(可用布标贴纸)+年龄贴纸+芯片码（客供）
（3Facing 6pcs/PDQ）" 翻单： 4500161002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</si>
  <si>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4500164177-20</t>
  </si>
  <si>
    <t>4500164177-70</t>
  </si>
  <si>
    <t>F202/20250026</t>
  </si>
  <si>
    <t>4500163149-10</t>
  </si>
  <si>
    <t>4/22-CONCENTRA" logo 彩色贴纸 + 1*进口商黑白贴纸</t>
  </si>
  <si>
    <t>日期码格式：ZURU INC(BVI) 标准格式 日期：按实际生产日期
Packaging Info: 9298TQ1: 最新MA 3L 包装+ MA 5L 收藏指南+MA PDQ+1*CONCENTRA" logo 彩色贴纸 + 1*进口商黑白贴纸
Remark: 1, 所有产品不带闪粉和微塑料，客人需要验货图片确认OK 才能放货，请务必按时完货。</t>
  </si>
  <si>
    <t>COMSED PLC</t>
  </si>
  <si>
    <t>4500159898-20</t>
  </si>
  <si>
    <t>6/9出</t>
  </si>
  <si>
    <t>4/11-进口商贴纸</t>
  </si>
  <si>
    <t>日期码格式：ZURU INC(BVI) 标准格式 日期：按实际生产日期
Packaging Info:
9298：B 版 1L MA 收缩膜+进口商贴纸；A 版 5L MA 收藏指南
Remark: "1、所有item 均用MA UPC 条码，若包装不是UPC 条码的请告知
2、此单出欧洲需满足EU测试标准要求"</t>
  </si>
  <si>
    <t>FB12980</t>
  </si>
  <si>
    <t>4500159575-50</t>
  </si>
  <si>
    <t>5/28出</t>
  </si>
  <si>
    <t>3/11收到</t>
  </si>
  <si>
    <t>日期码格式：ZURU INC(BVI) 标准格式 日期：按实际生产日期 
Packaging Info: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*条码如下，请核查
 9298TQ4-S003 5056296044834
 * 大货样： 请在5/10 前寄出每款1整套大货样到罗湖办公室7B Sandy Shao 收。
Remark: 
 9298TQ4-S003 "MA最新1L配套包装+客户EAN条码贴一张覆盖ZURU 原条码，条码贴翻订单4500148687，
 7 assortment (6 common + 1 rare)=CORGI:SHEPHERD:POODLE:DALMATIAN:SCHNAUZER:BROWN DALNATIAN:HOUND DOG=2:8:10:10:10:10:10;"</t>
  </si>
  <si>
    <t>4500162547-20</t>
  </si>
  <si>
    <t>FB12981</t>
  </si>
  <si>
    <t>4500161772-10</t>
  </si>
  <si>
    <t>日期码格式：ZURU INC(BVI) 标准格式 日期：按实际生产日期
Packaging Info: 
9298TQ4-S003 MA最新1L配套包装+客户EAN条码贴一张覆盖ZURU 原条码，条码贴翻订单4500148687，
请核对订单条码：
9298TQ4-S003 5056296044834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包装基础上额外添加一张英文+阿拉伯文电池说明书。
*订单对应客户4个PO号 ，备注有显示 ，注意分开做货/验货/装柜 ，混装有罚款。
* 大货样： 请在5/10 前寄出每款1整套大货样到罗湖办公室7B Sandy Shao 收。</t>
  </si>
  <si>
    <t>PO#2734922--C
ustomer
SKU#146635359</t>
  </si>
  <si>
    <t>4500163542-10</t>
  </si>
  <si>
    <t>DG20250520</t>
  </si>
  <si>
    <t>日期码格式：ZURU INC(BVI) 标准格式 日期：按实际生产日期
Packaging Info: 92124
Combo pcak 92119 EGGZANIA FROZEN MANIA+ 9298 Puppycorn +92104 Kittycorn
9298: ML 1L UPC包装, 包装加空白条码贴覆盖包装原条码，确保卖场只能扫到92124 的条码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</si>
  <si>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4500162969-40</t>
  </si>
  <si>
    <t>5/12-防盗贴纸+5/6-外箱贴纸</t>
  </si>
  <si>
    <t>4500162968-50</t>
  </si>
  <si>
    <t>8KC5NAKX</t>
  </si>
  <si>
    <t>4500163897-160</t>
  </si>
  <si>
    <t>日期码格式：ZURU INC(BVI) 标准格式 日期：按实际生产日期
Packaging Info: 
#9298: MA 3L加UPC贴纸, 图稿跟返单4500113996. 需混入稀有款, 常规款:稀有款=58:2; E:193052062659；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</si>
  <si>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2EYT9OVO</t>
  </si>
  <si>
    <t>4500163897-170</t>
  </si>
  <si>
    <t>B&amp;M RETAIL LIMITED</t>
  </si>
  <si>
    <t>客户PO:019836
11/1</t>
  </si>
  <si>
    <t>4500163957-10</t>
  </si>
  <si>
    <t>6/10出</t>
  </si>
  <si>
    <t>4/19-价格贴</t>
  </si>
  <si>
    <t>4/21-客办收缩膜+客办底托</t>
  </si>
  <si>
    <t>日期码格式：ZURU INC(BVI) 标准格式 日期：按实际生产日期
Packaging Info: 客版收缩膜，客版底托，MA指南，底托上贴一张 􀂣12.99和 一张 2 for 􀂣20易撕价格贴纸 （共2张价格贴）；
（出带手脚的公仔，只是收缩膜和托盘的logo更新了， 里面的指南等还是旧LOGO）
Remark: 订单对应2个客户PO， 请分开做货， 不要混装。一个PO一个柜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</si>
  <si>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92123-S001-2</t>
  </si>
  <si>
    <t>客户PO:019835
62/1</t>
  </si>
  <si>
    <t>4500163957-20</t>
  </si>
  <si>
    <t>PO#60X273684</t>
  </si>
  <si>
    <t>4500158500-10</t>
  </si>
  <si>
    <t>6/17 第三方</t>
  </si>
  <si>
    <t>日期码格式：ZURU INC(BVI) 标准格式 日期：按实际生产日期 
Packaging Info: 1. 包材：ZURU MA 1L UPC最新版本，出口美国:
Remark: 2. 日期跟踪码：ZURU标准格式日期码，产品包装及产品本身都必须有ZURU标准格式日期码，并且确保两者日期码的格式和时间保持一致(请自行调整具体年月日生
 产期，但不能为周末）
 3. 验货+ 抽板 （同一天进行）
 预约5月21日第三方（利丰）到工厂做100%大货现场验货和抽板，验货需打印EPM出来跟客户回签样板供第三方验货参考。
 PS:EPM是跟单提供。
 抽板：
 利丰验货员现场针对指定款随机抽板6PCS 成品， 工厂需把抽板寄到以下MTS地址做测试，测试通过后才能出货；如产品有油漆的工厂需额外准备5G/色的油漆涂在
 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
#9298TQ2-S002-RAINBOCORNS-PUPPYCORN SURPRISE-SERIES 8 SCENT SURPRISE PLUSH SMALL,2Facing6pcs/PDQ,6pcs/CTN,No Inner,STD Color Assortment
 6. ZURU QA验货时需拍齐每款角色的产品和产品包装上的日期码照片（供实验室review）</t>
  </si>
  <si>
    <t>ZB00659-7.5</t>
  </si>
  <si>
    <t>FAMILY DOLLAR SERVICES, INC,</t>
  </si>
  <si>
    <t>客户PO#376255
47</t>
  </si>
  <si>
    <t>4500159427-10</t>
  </si>
  <si>
    <t>3/31收到</t>
  </si>
  <si>
    <t>4/15-客版可移动不粘胶价格贴+彩色贴纸</t>
  </si>
  <si>
    <t>客办PDQ文档</t>
  </si>
  <si>
    <t>蛋壳+收缩膜指定日期码: DG20250428</t>
  </si>
  <si>
    <t>日期码格式：ZURU INC(BVI) 标准格式 日期：2025-04-28
Packaging Info: 1)ZURU MA UPC 收缩膜包装, 优先1L英语包装, 出口美国。如有说明书请使用ZURU MA说明书, 优先放1L英语。6pcs/PDQ/CTN。
2)客版PDQ(印刷价格标)
3)客版可移动不粘胶价格贴＄12(需要贴在收缩膜上, 每个贴1张), 可移动价格贴以及具体位置, 待跟单提供。
4)ZURU标准日期码格式：工厂城市缩写+生产年月日(做产前样前需和跟单确认产品包装日期码和产品上日期码的打码位置+格式, 日期码需和大货日期码一样), 此单
指定日期码如下:
蛋壳+收缩膜指定日期码: DG20250428
布标日期码: 待工厂确认后提供给跟单更新PO备注
5)外箱箱唛正侧相邻两面粘贴产品彩色贴纸+印刷黑色标, 每箱两张彩色贴纸, 彩色产品贴纸待跟单提供。如侧唛位置放不下彩贴和唛头信息, 可改为放两个正唛。
无论是正唛+侧唛或者是两个正唛, 唛头信息和彩贴需放在同一个面。箱唛需排版给跟单确认。
Remark: 客户PO#37625547
客户SKU#1096142
1) Item#9298TQ2-S002
2) 样品
产前样5套：产前样5套要求在 2025/04/08 前寄给深圳办公室跟单Jenny Liu, 需转寄给美国客户确认, 客户确认了产前样之后, 会寄回一套给工厂, 工厂需按照已
确认的产前样安排大货生产。做产前样前需和跟单确认产品包装日期码和产品上日期码的打码位置+格式, 要求是和大货一样的日期码, 指定大货日期码为：DG20250
428) 。此单的客版物料"客版PDQ","可移动不粘胶价格贴"需等客户确认产前样后才可以开始大货印刷。
大货样2套：大货样2套满PDQ+1套光身样散件需在大货物料到厂后开始上线第一天寄出给深圳办公室；大货样需要同大货一个产线, 所有东西完全同大货一样(大货
样外箱没有要求), 1套我们需转寄客人审批出货；1套跟单需留样(请尽量安排早点寄出以便客人早点批出货！)
一套样品=1个PDQ (装6 pcs 完整包装的产品，并且都要不同assortment)+1套光身样散件(7 assortment*1pc)
注意：收缩膜上需要贴价格贴和指定日期码。PDQ上需要印刷价格标
3) 此单无第三方验货+抽样测试, ZURU QC验货PASS后, 跟单得到客户的approval之后方可安排出货
4) 大货外箱材积绝对不可大于下述数据, 材积只接受3%的变小；重量正负不得超过以下列出数据的5%, 接受外箱以印章方式印上实际毛重。
大货外箱尺寸请保持：33.5 x 30.0 x 20.5 cm (即13.19 x 11.81 x 8.07 inch), 材积必须不能大于0.7275 CubeFeet(即0.0206CBM); 外箱毛重 3.60 LBS(即1.64
KGS)
5) 大货配比：
#9298TQ2-S002
S002-RAINBOCORNS-PUPPYCORN SURPRISE-SERIES 8 SCENT SURPRISE PLUSH SMALL,2Facing6pcs/PDQ,6pcs/CTN,No Inner,STD Color Assortment
scented slime(with boron and glitter),accessories with scented beads,scented stickers,plush with some glitter fabric
2W*3D*1H=6PDQ/CTN
7 assortments (6 common + 1 rare)=CORGI:SHEPHERD:POODLE:DALMATIAN:SCHNAUZER:BROWN DALNATIAN:HOUND DOG=2:8:10:10:10:10:10;
每一个PDQ都要求装6个不同的assortment产品。
UPC: 193052057426
6) 客户Family Dollar不允许少数出货, 必须按照PO上的数量出货, 也不允许延期, 否则会有罚款
7) 客户要求:"产品和包装不能含有PFAS 物质以及1,4 dioxane",请确保产品可以过美国标准测试。
8) 任何产品包装和日期码的变更，在收到ZURU的订单后，不管是MA包装还是客版包装，都需要及时告知跟单并在生产前重新签板留样。ZURU验货员验货以Family D
ollar跟单寄给工厂的签板为准。如因工厂不及时告知变更而导致的无法出货，客诉或者罚款等，将保留对工厂追责的权利。请工厂务必重视和配合，避免任何额外
费用的产生。</t>
  </si>
  <si>
    <t>Jenny Liu/Shirley</t>
  </si>
  <si>
    <t>ZB00433-6.9</t>
  </si>
  <si>
    <t>4500159427-20</t>
  </si>
  <si>
    <t>6/9-6/11出</t>
  </si>
  <si>
    <t>ZB00441-6.10  ZB00450-6.11
ZB00465-6.13</t>
  </si>
  <si>
    <t>JSC 􀂫Grand-Trade</t>
  </si>
  <si>
    <t>客户PO:PGT-67
3718</t>
  </si>
  <si>
    <t>4500160211-10</t>
  </si>
  <si>
    <t>4/27收到-进口商贴纸+EAN 条码贴纸+外箱贴纸</t>
  </si>
  <si>
    <t>日期码格式：ZURU INC(BVI) 标准格式 日期：按实际生产日期
Packaging Info: 注意： 此客户不允许包装/产品/PDQ 上显示recycled material 字眼， 如有请告知跟单需要加贴纸覆盖；
1.9298TQ1：MA最新收缩膜(优先1L)+ 进口商贴纸+EAN 条码贴纸， MA 指南
2.外箱侧唛（两侧）右上角各一张贴纸 ；
3.客人需要安排loading inspection (装柜现场监柜)。
Remark: 标准配比
9298TQ1-S001：7 assortment (6 common + 1 rare)=CORGI:SHEPHERD:POODLE:DALMATIAN:SCHNAUZER:BROWN DALNATIAN:HOUND DOG=2:8:10:10:10:10:10;</t>
  </si>
  <si>
    <t>4500163069-50</t>
  </si>
  <si>
    <t>4500163821-30</t>
  </si>
  <si>
    <t>日期码格式：ZURU INC(BVI) 标准格式 日期：按实际生产日期
Packaging Info: MA_UPC版本包装（收缩膜和说明书, MA首选1L，如无1L可用多语且含英语的配套多语UPC包装）+ 1张客人通用进口商贴纸
9298TQ1贴纸及其位置图跟回PO#4500133774
Remark: 1. 按实际生产日期;
2. 出澳大利亚，请按照相应标准生产;</t>
  </si>
  <si>
    <t>4500163864-20</t>
  </si>
  <si>
    <t>6/4-6/6出</t>
  </si>
  <si>
    <t>4/29收到</t>
  </si>
  <si>
    <t>5/12-防盗贴纸+5/12-外箱贴纸</t>
  </si>
  <si>
    <t>4500163861-20</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</si>
  <si>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</si>
  <si>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0917251804</t>
  </si>
  <si>
    <t>4500166060-10</t>
  </si>
  <si>
    <t>6/3抽板-6/17第三方自检</t>
  </si>
  <si>
    <t>6/17出</t>
  </si>
  <si>
    <t>外箱四面印刷RFID箱唛，主唛左前下角印刷艾利贴纸替代标箱唛(ITF-14格式)，ZURU新logo右下角四面印刷，主唛右下角加印 MADE IN CHI
 NA</t>
  </si>
  <si>
    <t>5/26-客供RFID贴纸</t>
  </si>
  <si>
    <t>日期码格式：ZURU DGYYYYMMDD CHINA(日期避开周末和法定节假日即可） 日期：按实际生产日期
Packaging Info:
Remark: 9298:
 1.包装信息：MA A版 UPC版 1L收缩膜，MA A版 5L收藏指南，MA A版贴纸袋子，MA A版配件袋子，MA A版 5L口水胶袋，MA A版 3L贴纸，MA B版车缝布标，客版PDQ
（1facing2pcs/PDQ），客版布标贴纸，客供RFID贴纸（位置由我们提供）。
 2.外箱四面印刷RFID箱唛，主唛左前下角印刷艾利贴纸替代标箱唛(ITF-14格式)，此条码只印刷一面，ZURU新logo右下角四面印刷，主唛右下角加印 MADE IN CHI
 NA
 ，每个slip sheet上面贴一张艾利贴纸（工厂自己打印）和一张普通贴纸（可A4纸打印），slip sheet打印的普通贴纸的尺寸不能比艾利贴纸小。
3.在产品上和包装上要有日期码（避开周末和节假日）以及要有MADE IN CHINA和ZURU字样。4.产品如有扎带口要剪平，不能刮手。
 5.此单需要第三方验货，请自行多备包装物料。
6.此单打卡板出货（32x7H=192carton=384pcs/Slip Sheet）。
 7.其它信息：7 assortment (6 common + 1 rare)=CORGI : SHEPHERD : POODLE : DALMATIAN : SCHNAUZER : BROWN DALNATIAN : HOUND DOG=2:8:10:10:10:10:1
 0
注：因报告过期，0917251804需在6/3进行抽板测试，请至少完成504pcs的大货数量用于抽板</t>
  </si>
  <si>
    <t xml:space="preserve"> Effy Li</t>
  </si>
  <si>
    <t>ZB00559-6.24</t>
  </si>
  <si>
    <t>4500164822-20</t>
  </si>
  <si>
    <t>4/25收到</t>
  </si>
  <si>
    <t>警语贴纸翻4500156082+收藏指南警语贴纸翻4500156082+4/27-黑白slime 说明书</t>
  </si>
  <si>
    <t>日期码格式：ZURU INC(BVI) 标准格式 日期：按实际生产日期
Packaging Info:
2.9298TQ1： MA3L-9L EAN 收缩膜+1*5L（PL+HU+CZ+SK+RO)警语贴纸（翻4500156082）+MA 5L-9L收藏指南+1*5L（PL+HU+CZ+SK+RO)警语贴纸（翻4500156082）+MA 5
L SLIME Polybag+1*5L 黑白slime 说明书+MA 配件袋。
Remark: 1.波兰内销单，需要通过ZURU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</si>
  <si>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4500164781-30</t>
  </si>
  <si>
    <t>意大利西班牙环保标翻4500151118</t>
  </si>
  <si>
    <t>日期码格式：ZURU INC(BVI) 标准格式 日期：按实际生产日期
Packaging Info:
5.9298TQ1：最新MA3L(9L warning) EAN收缩膜+最新MA5L收藏指南+1张意大利西班牙环保标（翻4500151118）
Remark: 1. SMASHERS 或含Slime产品，所有化合物使用无硼版本出意大利。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意大利订单包装彩卡请确保含法规要求的环保回收logo。</t>
  </si>
  <si>
    <t>JUGATOYS S.L.</t>
  </si>
  <si>
    <t>4500163874-10</t>
  </si>
  <si>
    <t>5/13-进口商贴纸+产品包装和PDQ都需要贴纸</t>
  </si>
  <si>
    <t>LOTE：39-工厂城市名缩写 20250603,只显示在包装上面即可</t>
  </si>
  <si>
    <t>日期码格式：LOTE：39-工厂城市名缩写 20250603,只显示在包装上面即可 日期：
Packaging Info: 9298TQ1:（MA 最新PDQ+1张进口商EAN条码贴纸）+MA B 3L 收缩膜含EAN条码+进口商贴纸+MA A 5L收藏指南+MAA B 5L Slime polybag+MA布标/贴纸（产品包装和PDQ
都需要贴纸）
Remark: 1. 此单出西班牙，需满足EU测试标准要求，另外微塑料需符合EU法规；
2. 标准配比
3. 客户日期码格式 LOTE：39-工厂城市名缩写 20250603 ，客户日期码格式需显示在包装上，否则会有客诉。不用重复显示在产品上面，产品&lt;(&gt;&amp;&lt;)&gt; 外箱格式可
以用回ZURU格式。
4.根据新电池法规（EU） 2023/1542， 所有走欧洲市场的电子产品，都需要增加WEEE通用30L说明书（分带电池走货 跟 不带电池走货两种），如工厂没有此文件，
可以找我们跟单提供
5. 准时完货，需安排ZURU OQC验货。 另外， 包装贴纸上面的警告语不可以覆盖西班牙警告语。</t>
  </si>
  <si>
    <t>Mary Zhong</t>
  </si>
  <si>
    <t>BRICKLAND LLC</t>
  </si>
  <si>
    <t>蒙古</t>
  </si>
  <si>
    <t xml:space="preserve"> Zuru.2025Q2(June.addon)</t>
  </si>
  <si>
    <t>4500165462-30</t>
  </si>
  <si>
    <t>5/9收到</t>
  </si>
  <si>
    <t>5/13-进口商贴纸</t>
  </si>
  <si>
    <t>日期码格式：ZURU INC(BVI) 标准格式 日期：按实际生产日期
Packaging Info: MA UPC packages(优先1L)+1张进口商贴纸;贴纸aw及位置图待提供
Remark: 
 9298TQ2-7 assortment (6 common + 1 rare)=CORGI:SHEPHERD:POODLE:DALMATIAN:SCHNAUZER:BROWN DALNATIAN:HOUND DOG=2:8:10:10:10:10:10;</t>
  </si>
  <si>
    <t xml:space="preserve"> Emma Wu</t>
  </si>
  <si>
    <t>4500163328-20</t>
  </si>
  <si>
    <t>4/23-进口商贴纸</t>
  </si>
  <si>
    <t>日期码格式：ZURU INC(BVI) 标准格式 日期：按实际生产日期
Packaging Info:
9298TQ1：B 版 3L MA 收藏指南+进口商贴纸；A 版 5L MA收藏指南/MA PDQ
Remark: 1、若产品有比例使用ZURU STD 比例
2、所有item 均用MA EAN条码，若包装上的EAN 条码与PO 不一致的请告知
3、此单出欧洲需满足EU测试标准要求</t>
  </si>
  <si>
    <t>PO#2734212--C
ustomer
SKU#138649929</t>
  </si>
  <si>
    <t>4500163222-10</t>
  </si>
  <si>
    <t>4/28收到</t>
  </si>
  <si>
    <t>·3</t>
  </si>
  <si>
    <t>日期码格式：ZURU INC(BVI) 标准格式 日期：按实际生产日期
Packaging Info: 9298TQ4-S001: MA -1L UPC 包装+客版 1L PDQ (客版PDQ翻Morrison po#4500142847)；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</si>
  <si>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4500164851-20</t>
  </si>
  <si>
    <t>最晚6/11</t>
  </si>
  <si>
    <t>6/16出</t>
  </si>
  <si>
    <t>4/28收到-外箱上下需加隔板</t>
  </si>
  <si>
    <t>4/30收到PDQ条码贴纸</t>
  </si>
  <si>
    <t>日期码格式：185989/06/2025</t>
  </si>
  <si>
    <t>日期码格式：185989/06/2025 日期：
Packaging Info:
9298TQ1: 最新MA PDQ+ 3L+9L EAN包装+5L收藏指南+5L Poop袋子+9L配件袋子+1张PDQ条码贴纸
Remark: 1. 出口欧洲，微塑料需符合法规。
2. 产品，包装，外箱Batch code: 185989/06/2025, 布标按MA日期码即可。
3. 外箱上下需加隔板，以保护开箱时不被划破产品。外箱不可打釘及打帶。 每箱不得超过5立方英尺，重量不得超过15公斤。
4. 封箱胶带不能为PVC材质，需为PP 或者 OPP胶或者non-phthalate材料
5. 此单出货前需要提供3套大货样品给客人确认放货，需准时寄出避免影响出货。
6. 此单需准时出货，推期会有罚款
7. 任何彩盒及陳列盒一定要用文書膠紙貼於開口的位置 , 不能使用封箱膠紙. (如常规包装中彩盒和陈列盒无封口需求的，则无需再额外加胶纸)
8. 外箱不可打釘及打帶
9. 所有电子产品身上需要加字唛，为ZURU FRANCE 地址 (如无电子产品，产品布标有此地址，或产品太小无法增加可忽略此信息)
ZURU France 1/3, Rue d'Argenteuil 95210 SAINT-GRATIEN, FRANCE
10. 所有出往德国订单的电子产品需增加一张客版WEEE声明说明书，区分带电池和不带电池版本, 如已做客版说明书可忽略此要求。
11. 所有出往德国订单，化学品需无堋无香版本。
12. 标准配比</t>
  </si>
  <si>
    <t>DOLGENCORP, LLC</t>
  </si>
  <si>
    <t>252G50</t>
  </si>
  <si>
    <t>4500162695-20</t>
  </si>
  <si>
    <t>6/10 第三方</t>
  </si>
  <si>
    <t>翻4500158897</t>
  </si>
  <si>
    <t>内袋翻4500149775</t>
  </si>
  <si>
    <t>客版收缩膜（客版AWs翻4500160244）9298: DOLGEN31704302F25 （打在蛋壳底部）6月10早上进行客人指定TUV的VT抽样测试</t>
  </si>
  <si>
    <t>日期码格式：DOLLAR GENERAL 格式日期码 日期：
Packaging Info: 1.包装：
 #9298-S006-PKC: 客版收缩膜（客版AWs翻4500160244）
Remark: 1.包装：
 #9298-S006-PKC: 客版收缩膜（客版AWs翻4500160244）
 客户要求： "产品和包装不能含有PFAS 物质以及1,4 dioxane" 客户指定实验室做测试，请确保产品可以过美国标准ASTM F963-23测试。
 #9298-S006-PKC客户特批单坑外箱。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#9298: 31704302F25
 (2)产品日期码：
 #9298: DOLGEN31704302F25 （打在蛋壳底部）
 后三位F25代表25年6月的ETD 。
 （3）UPC条形码：
 #9298: 430001805807
 3. 无价贴。
 4. 无样板需求
 5. 验货抽样事宜：
 #9298：6月10早上进行客人指定TUV的VT抽样测试
 抽样数量：
 请在6月9前完成ZURU QC验货，并当天14点前提供验货报告+大货图片给跟单。
 6. 箱唛：
 翻4500160244。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#9298- S006-PKC-RAINBOCORNS-PUPPYCORN SURPRISE-SERIES 8-SCENT SURPRISE PLUSH SMALL SHRINK WRAP,2PCS/Polybag,6pcs/3Polybag/CTN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#9298-S006-PKC内袋翻4500149775 .</t>
  </si>
  <si>
    <t>ZB00587R1-6.25</t>
  </si>
  <si>
    <t>4500162848-20</t>
  </si>
  <si>
    <t>5/15-UPC条码贴纸+红色logo贴纸+进口商贴纸</t>
  </si>
  <si>
    <t>日期码格式：ZURU INC(BVI) 标准格式 日期：按实际生产日期
Packaging Info: 1. 9298TQ1：MA 3L EAN包装+UPC条码贴纸+MA PDQ包装+MA多语收藏指南+1个小的红色logo贴纸+进口商贴纸+箱唛
Remark:
2. 9298TQ1：7 assortment (6 common + 1 rare)=CORGI:SHEPHERD:POODLE:DALMATIAN:SCHNAUZER:BROWN DALNATIAN:HOUND DOG=2:8:10:10:10:10:10;
7. 集装箱及装柜要求：集装箱不能有破洞；不能太脏
8.每个item需要放1整箱在每个集装箱门口
8.装柜的时候要前、中、后拍照
10.此单有监装要求，请每款多备1个监柜样板用于监柜</t>
  </si>
  <si>
    <t>252GD5</t>
  </si>
  <si>
    <t>4500162695-60</t>
  </si>
  <si>
    <t>6/13 第三方</t>
  </si>
  <si>
    <t>6/25出</t>
  </si>
  <si>
    <t>客版收缩膜（客版AWs翻4500160244）9298: DOLGEN31704302F25 （打在蛋壳底部）</t>
  </si>
  <si>
    <t>ZB00615-6.30</t>
  </si>
  <si>
    <t>DOLLAR GENERAL</t>
  </si>
  <si>
    <t>4500160244-20</t>
  </si>
  <si>
    <t>4/2-收缩膜文档                                                                                                                                                                     DOLGEN31704302F25  客版收缩膜（客版AWs翻4500160244）</t>
  </si>
  <si>
    <t>日期码格式：DOLLAR GENERAL 格式日期码 日期：
Packaging Info: 1.包装：
 #9298-S006-PKC: 客版收缩膜（跟单邮件提供）
Remark: 1.包装：
 #9298-S006-PKC: 客版收缩膜（跟单邮件提供）
 客户要求： "产品和包装不能含有PFAS 物质以及1,4 dioxane" 客户指定实验室做测试，请确保产品可以过美国标准ASTM F963-23测试。
 #9298-S006-PKC客户特批单坑外箱。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#9298: 31704302F25
 (2)产品日期码：
 #9298: DOLGEN31704302F25 （打在蛋壳底部）
 后三位E25代表25年5月，F25代表25年6月的ETD 。
 （3）UPC条形码：
 #9298: 430001805807
 3. 无价贴。
 5. 验货抽样事宜：
 #9298：6月10上进行客人指定TUV的抽测试样
 随机抽取每款每色各12pcs + 足量干漆给实验室MTS 5套散件光身样（如适用），2-3套封样。
 请在6月9前完成ZURU QC验货，并当天14点前提供验货报告+大货图片给跟单。
 6. 箱唛：此客人要求严格，外箱不接受水贴纸，材积以及重量必须按照以下要求，否则不符会导致验货fail从而影响货期而产生罚款。大货外箱材积绝对不可大于
 下述数据，材积只接受3%的变小；重量正负不得超过以下列出数据的5%，接受外箱以印章方式印上实际毛重。大货外箱尺寸请保持：
 #9298 唛头需要翻单4500149775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#9298- S006-PKC-RAINBOCORNS-PUPPYCORN SURPRISE-SERIES 8-SCENT SURPRISE PLUSH SMALL SHRINK WRAP,2PCS/Polybag,6pcs/3Polybag/CTN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#9298-S006-PKC内袋翻4500149775 .</t>
  </si>
  <si>
    <t>ZB00614R1-6.30</t>
  </si>
  <si>
    <t>4500160253-10</t>
  </si>
  <si>
    <t>内袋（全部翻单4500158897）</t>
  </si>
  <si>
    <t>日期码格式：DOLLAR GENERAL 格式日期码 日期：
Packaging Info: 1.包装：
 #9298 客版收缩膜 + 内袋+ ZURU MA说明书，优先1L.
Remark: 1.包装：
 #9298 客版收缩膜 + 内袋+ ZURU MA说明书，优先1L.
 客户要求： "产品和包装不能含有PFAS 物质以及1,4 dioxane" 客户指定实验室做测试，请确保产品可以过美国标准ASTM F963-23测试。
 #9298-S006-PKC客户特批单坑外箱。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包装日期码（已印在包装UPC码旁边竖排那里，无需额外添加），内容如下
 #9298: 31704302F25
 (2)产品日期码：
 #9298：DOLGEN31704302F25 （打在蛋壳底部）
 后三位F25代表25年6月的ETD 。
 （3）UPC条形码：
 #9298: 430001805807
 3. 无价贴。
 4. 样板：无样板需求。
 5. 验货抽样事宜：
 #9298：6月10早上进行客人指定TUV抽样测试VT
 抽样数量:随机抽取每款每色各12pcs + 足量干漆给实验室MTS 5套散件光身样（如适用）。
 请在6月9前完成ZURU QC验货，并当天14点前提供验货报告+大货图片给跟单。
 6. 箱唛：此客人要求严格，外箱不接受水贴纸，材积以及重量必须按照以下要求，否则不符会导致验货fail从而影响货期而产生罚款。大货外箱材积绝对不可大于
 下述数据，材积只接受3%的变小；重量正负不得超过以下列出数据的5%，接受外箱以印章方式印上实际毛重。大货外箱尺寸请保持：
 #9298 唛头需要翻单4500149775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#9298- S006-PKC-RAINBOCORNS-PUPPYCORN SURPRISE-SERIES 8-SCENT SURPRISE PLUSH SMALL SHRINK WRAP,2PCS/Polybag,6pcs/3Polybag/CTN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#9298-S006-PKC内袋翻4500149775 .</t>
  </si>
  <si>
    <t>ZB00586R1-6.25
ZB00586R1-6.25</t>
  </si>
  <si>
    <t>TOY TRIANGLE COMPANY (UAE)</t>
  </si>
  <si>
    <t>阿拉伯联合酋长国</t>
  </si>
  <si>
    <t>2025TTC078</t>
  </si>
  <si>
    <t>4500162560-10</t>
  </si>
  <si>
    <t>92123-S001-1</t>
  </si>
  <si>
    <t>5/8-客办收缩膜+客办底托+客办指南</t>
  </si>
  <si>
    <t>5/6收到</t>
  </si>
  <si>
    <t>5/7-阿拉伯语翻译贴纸</t>
  </si>
  <si>
    <t>客版收缩膜(加白色贴纸覆盖条码)</t>
  </si>
  <si>
    <t>日期码格式：ZURU INC(BVI) 标准格式 日期：按实际生产日期
Packaging Info: 92123: 基于92104和9298的客版ITEM，二维码扫描结果：38711
9298：客版底座+客版收缩膜(加白色贴纸覆盖条码)+客版收藏指南+（MA slime polybag+阿拉伯语翻译贴纸）+MA stiker
Remark:</t>
  </si>
  <si>
    <t>SUPERMERCADOS INTERNACIONALES H.E.B</t>
  </si>
  <si>
    <t>MX-530-CH-ZUR
U25A</t>
  </si>
  <si>
    <t>4500159682-20</t>
  </si>
  <si>
    <t>5/16-UPC条码贴纸+进口商贴纸</t>
  </si>
  <si>
    <t>日期码格式：ZURU INC(BVI) 标准格式 日期：按实际生产日期 
Packaging Info: 
 2、 9298TQ1：MA 3L EAN包装+UPC条码贴纸+MA 多语收藏指南+MA PDQ包装+进口商贴纸+箱唛
Remark: 1. 此单有第三方监柜，多备一套样品随货送出
 3. 9298TQ1：7 assortment (6 common + 1rare)=CORGI:SHEPHERD:POODLE:DALMATIAN:SCHNAUZER:BROWN DALNATIAN:HOUND DOG=2:8:10:10:10:10:10;</t>
  </si>
  <si>
    <t>0917251805</t>
  </si>
  <si>
    <t>4500166060-20</t>
  </si>
  <si>
    <t>6/17 第三方自检</t>
  </si>
  <si>
    <t>ZB00481R1-6.16</t>
  </si>
  <si>
    <t>0917251808</t>
  </si>
  <si>
    <t>4500166060-30</t>
  </si>
  <si>
    <t>ZB00497-6.17</t>
  </si>
  <si>
    <t>0917251817</t>
  </si>
  <si>
    <t>4500166060-40</t>
  </si>
  <si>
    <t>ZB00822-7.21</t>
  </si>
  <si>
    <t>0917251818</t>
  </si>
  <si>
    <t>4500166060-50</t>
  </si>
  <si>
    <t>ZB00521-6.20</t>
  </si>
  <si>
    <t>SURTIDORA COMERCIAL DEL PACIFICO S.</t>
  </si>
  <si>
    <t>4500165792-20</t>
  </si>
  <si>
    <t>6/26出</t>
  </si>
  <si>
    <t>5/13收到</t>
  </si>
  <si>
    <t>5/30-进口商贴纸</t>
  </si>
  <si>
    <t>日期码格式：ZURU INC(BVI) 标准格式 日期：按实际生产日期
Packaging Info: 
 2. 9298TQ1：MA 3L UPC包装+MA 多语收藏指南+MA PDQ包装+进口商贴纸+箱唛
Remark:
 2. 9298: 7 assortment (6 common + 1 rare)=CORGI:SHEPHERD:POODLE:DALMATIAN:SCHNAUZER:BROWN DALNATIAN:HOUND DOG=2:8:10:10:10:10:10;</t>
  </si>
  <si>
    <t xml:space="preserve"> Ava Liang</t>
  </si>
  <si>
    <t>4500164587-20</t>
  </si>
  <si>
    <t>7/1第三方</t>
  </si>
  <si>
    <t>5/26-空白贴纸+进口商贴纸+产品贴纸+一张EAN条码贴纸</t>
  </si>
  <si>
    <t>客人格式日期码 LOT2524，产品（蛋壳等）/包装（收缩膜等）/外箱都需要印此日期码，请务必保持一致。</t>
  </si>
  <si>
    <t>日期码格式：LOT2524 日期：
Packaging Info:
2.92123：最新MA 9L收缩膜+最新MA 9L说明书+最新MA 3L展示架+进口商贴纸+产品贴纸+一张EAN条码贴纸
Remark: 1. 订单出欧洲国家-西班牙，产品不能含有闪粉/微塑料，请确保所有包装都有西班牙环保标。
2. 客人格式日期码 LOT2524，产品（蛋壳等）/包装（收缩膜等）/外箱都需要印此日期码，请务必保持一致。
3. 新品需提供2套大货样品给客人，客人会签回一套，验货后验货员需要封1套板寄给香港办公室，请多备料。
4. 需要符合欧洲标准不能含有闪粉和微塑料，否则不合法规会有客诉产生。
5. 硼含量需要符合欧洲标准，否则不合法规会有客诉产生
6，此客户需要第三方验货，请在约三方验货前必须PASS ZURU验货。</t>
  </si>
  <si>
    <t>CONTINENTE S.A.</t>
  </si>
  <si>
    <t>哥伦比亚</t>
  </si>
  <si>
    <t>COL66-25-FALL</t>
  </si>
  <si>
    <t>4500163691-100</t>
  </si>
  <si>
    <t>5/7收到</t>
  </si>
  <si>
    <t>6/5-进口商贴纸</t>
  </si>
  <si>
    <t>日期码格式：DG20250520 日期：
Packaging Info:
9298TQ1:MA 3L EAN 包装+进口商贴纸（进口商贴纸和UPC贴纸合并为一张）+箱唛
Remark:</t>
  </si>
  <si>
    <t>95523-7.1</t>
  </si>
  <si>
    <t>4500165903-20</t>
  </si>
  <si>
    <t>4500165903-70</t>
  </si>
  <si>
    <t>MTQ41-S001-92135</t>
  </si>
  <si>
    <t>MTQ41-S001</t>
  </si>
  <si>
    <t>M􀃄C GEIZ Handelsges. mbH</t>
  </si>
  <si>
    <t>4500161503-20</t>
  </si>
  <si>
    <t>6/23出</t>
  </si>
  <si>
    <t>日期码格式：ZURU INC(BVI) 标准格式 日期：按实际生产日期
Packaging Info:
9298TQ1: 最新MA PDQ + 3L+9L警语EAN包装 + 5L收藏指南+5L Poop袋子+9L配件袋子
EAN: 4894680029828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所有出往德国订单的电子产品需增加一张客版WEEE声明说明书，区分带电池和不带电池版本, 如已做客版说明书可忽略此要求。
6. 所有出往德国订单，化学品需无堋无香版本。
7. 标准配比
8. 大货样品2套，请多备料</t>
  </si>
  <si>
    <t xml:space="preserve"> PL Handelsgesellschaft mbH</t>
  </si>
  <si>
    <t>奥地利</t>
  </si>
  <si>
    <t>301909-01-25 EVD+XMS</t>
  </si>
  <si>
    <t>4500165723-40</t>
  </si>
  <si>
    <t>日期码格式：ZURU INC(BVI) 标准格式 日期：按实际生产日期
Packaging Info: 
 "9298TQ1-S001：MA EAN 3L+9L B版本收缩膜 + MA 5L收藏指南 + MA 纸袋 +MA 5L B版本Slime袋子 + MA 9L纸袋+MA贴纸 + MA布标+ MA PDQ
 4894680029828"
Remark: "1. 出口欧洲，微塑料需符合法规；
 2. 所有电子产品身上需要加字唛，为ZURU FRANCE 地址 (如无电子产品/产品布标有此地址/产品太小无法增加，可忽略此信息)
 ZURU France 1/3, Rue d'Argenteuil 95210 SAINT-GRATIEN, FRANCE
 3. 所有出往德国订单的电子产品需增加一张客版WEEE声明说明书，区分带电池(WEEE 带电池走货 通用30L 说明书)和不带电池版本(WEEE 不带电池走货 通用30L 说
 明书)
 4. 此单需要在CRD前一天预约ZURU QC验货提供验货图片给客户确认才能出货
 5. 需准时完成生产，推期出货会有罚款。"</t>
  </si>
  <si>
    <t xml:space="preserve"> Winnie zhong</t>
  </si>
  <si>
    <t>4500165914-20</t>
  </si>
  <si>
    <t>中文3C贴纸+中文布标(可用布标贴纸)+年龄贴纸 翻4500164177</t>
  </si>
  <si>
    <t>日期码格式：ZURU INC(BVI) 标准格式 日期：按实际生产日期
Packaging Info: 物料要求 SKU
 2 9298TQ1 MA+中文3C贴纸+中文收藏指南+中文布标(可用布标贴纸)+年龄贴纸 （3Facing 6pcs/PDQ） 翻单： 4500164177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</si>
  <si>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 xml:space="preserve"> Dona Tang</t>
  </si>
  <si>
    <t>4500160859-10</t>
  </si>
  <si>
    <t>MTQ39-S001
-NB-MTS-9298</t>
  </si>
  <si>
    <t>6/20出</t>
  </si>
  <si>
    <t>3/21收到</t>
  </si>
  <si>
    <t>日期码格式：ZURU INC(BVI) 标准格式 日期：按实际生产日期 
Packaging Info: MTQ39 : 9298 2Facing*3D=6pcs/PDQ+92104 2Facing*3D=6pcs/PDQ: 4facing * 3 deep =12pcs
 客版PDQ
 9298 MA B 3L+9L EAN 版本收缩膜+MA 5L B POOP 袋+MA5L 收藏指南+其他MA 包材 （ EAN 4894680029828）
 92104 MA A 3L+9L EAN 版本收缩膜+MA 5L+9L B POLY 袋+MA A 5L+23L 收藏指南+其他MA 包材 (EAN 4894680033542 )
Remark: 1.德国内销单，需要通过ZURU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</si>
  <si>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MTQ39-S001-NB-MTS</t>
  </si>
  <si>
    <t>AIS Ltd T/A plaY-room</t>
  </si>
  <si>
    <t>T-AW25-11</t>
  </si>
  <si>
    <t>4500164628-20</t>
  </si>
  <si>
    <t>日期码格式：ZURU INC(BVI) 标准格式 日期：按实际生产日期
Packaging Info: 
9298TQ1: MA-1L 最新UPC全套包装, 按ZURU标准配比;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t>
  </si>
  <si>
    <t>Savannah Liang</t>
  </si>
  <si>
    <t xml:space="preserve"> AB Gee of Ripley Ltd.</t>
  </si>
  <si>
    <t>777 24APR2526</t>
  </si>
  <si>
    <t>4500166127-50</t>
  </si>
  <si>
    <t>日期码格式：ZURU INC(BVI) 标准格式 日期：按实际生产日期
Packaging Info: 各款的条码如下，配比请跟MA, 请先检查条码是否正确再安排做货，如有问题请告知
 9298TQ1-S003 193052057426(MA 最新UPC包装)
Remark: 1.产品及包装需要印UKCA图标，包装需要有ZURU UK LTD/ZURU France地址信息，QC同事请核查，如有问题与跟单确认。
 2. 需要符合欧洲标准不能含有闪粉和微塑料，否则不合法规会有客诉产生</t>
  </si>
  <si>
    <t xml:space="preserve"> Yoga Huang</t>
  </si>
  <si>
    <t xml:space="preserve"> SUCKOT SAC</t>
  </si>
  <si>
    <t>4500165899-50</t>
  </si>
  <si>
    <t>6/25-进口商贴纸</t>
  </si>
  <si>
    <t>日期码格式：ZURU INC(BVI) 标准格式 日期：按实际生产日期
Packaging Info:
 3. 9298TQ1: MA多语UPC包装+MA多语收藏指南+MA PDQ包装+进口商贴纸+箱唛
Remark: 
 4. 9298TQ1：7 assortment (6 common + 1 rare)=CORGI:SHEPHERD:POODLE:DALMATIAN:SCHNAUZER:BROWN DALNATIAN:HOUND DOG=2:8:10:10:10:10:10;</t>
  </si>
  <si>
    <t>客户急出货，CRD 不晚于07/21，7月内要出掉</t>
  </si>
  <si>
    <t>2025/7/19周六</t>
  </si>
  <si>
    <t>0919543645</t>
  </si>
  <si>
    <t>4500167498-10</t>
  </si>
  <si>
    <t>6/20第三方（自检）</t>
  </si>
  <si>
    <t>6/6-客供RFID贴纸</t>
  </si>
  <si>
    <t>日期码格式：ZURU DGYYYYMMDD CHINA(日期避开周末和法定节假日即可） 日期：按实际生产日期
Packaging Info:
Remark: 9298:
1.包装信息：MA A版 UPC版 1L收缩膜，MA A版 5L收藏指南，MA A版贴纸袋子，MA A版配件袋子，MA A版 5L口水胶袋，MA A版 3L贴纸，MA B版车缝布标，客版PDQ
（1facing2pcs/PDQ），客版布标贴纸，客供RFID贴纸（位置由我们提供）。
2.外箱四面印刷RFID箱唛，主唛左前下角印刷艾利贴纸替代标箱唛(ITF-14格式)，此条码只印刷一面，ZURU新logo右下角四面印刷，主唛右下角加印 MADE IN CHI
NA
，每个slip sheet上面贴一张艾利贴纸（工厂自己打印）和一张普通贴纸（可A4纸打印），slip sheet打印的普通贴纸的尺寸不能比艾利贴纸小。
3.在产品上和包装上要有日期码（避开周末和节假日）以及要有MADE IN CHINA和ZURU字样。4.产品如有扎带口要剪平，不能刮手。
5.此单需要第三方验货，请自行多备包装物料。
6.此单打卡板出货（32x7H=192carton=384pcs/Slip Sheet）。
7.其它信息：7 assortment (6 common + 1 rare)=CORGI : SHEPHERD : POODLE : DALMATIAN : SCHNAUZER : BROWN DALNATIAN : HOUND DOG=2:8:10:10:10:10:1
0</t>
  </si>
  <si>
    <t>ZB00679-7.8</t>
  </si>
  <si>
    <t>0919543649</t>
  </si>
  <si>
    <t>4500167498-20</t>
  </si>
  <si>
    <t>ZB00947-7.29</t>
  </si>
  <si>
    <t>0919543651</t>
  </si>
  <si>
    <t>4500167498-30</t>
  </si>
  <si>
    <t>7/10出</t>
  </si>
  <si>
    <t>ZB00711-7.10</t>
  </si>
  <si>
    <t>0919543657</t>
  </si>
  <si>
    <t>4500167498-40</t>
  </si>
  <si>
    <t>ZB00592-6.27</t>
  </si>
  <si>
    <t>0919543665</t>
  </si>
  <si>
    <t>4500167498-50</t>
  </si>
  <si>
    <t>ZB00948-7.29</t>
  </si>
  <si>
    <t>KiK Textilien und Non-Food GmbH</t>
  </si>
  <si>
    <t>客人PO:
4500441498/10
0, 出DE德国；</t>
  </si>
  <si>
    <t>4500166501-10</t>
  </si>
  <si>
    <t>MB175-9298-S001-NB</t>
  </si>
  <si>
    <t>狗蛋四代混装（9298+92104各3pcs）</t>
  </si>
  <si>
    <t>5/20-价格贴纸+多语警语贴纸+警语贴纸+警语黑白说明书纸+西班牙环保贴纸</t>
  </si>
  <si>
    <t>日期码格式：ZURU INC(BVI) 标准格式 日期：按实际生产日期
Packaging Info: 9298: 最新MA 3L+9L警语包装+客人条码及价格贴纸+多语警语贴纸+23L袋子+5L收藏指南+警语贴纸+5L+9L警语Slime袋子+额外Slime警语黑白说明书纸+西班牙环保l
ogo贴纸(含care邮箱)
Remark: 1. 此单出德国，需要满足Zuru Standard欧洲标准测试要求；
2. 出口欧洲，微塑料需符合法规；
3. 所有电子产品身上需要加字唛，为ZURU FRANCE 地址 (如无电子产品，产品布标有此地址，或产品太小无法增加可忽略此信息)
ZURU France 1/3, Rue d'Argenteuil 95210 SAINT-GRATIEN, FRANCE
4. 所有电子产品需增加一张客版WEEE声明说明书，区分带电池和不带电池版本, 如已做客版说明书可忽略此要求。
5. 所有出往德国订单，化学品需无堋无香版本。
6. 货好前两周，需要3套大货样，客人确认OK后，才能走货
7. 此单需准时完成生产，推期出货会有罚款
8. 包装不能含有PVC材料，如含吸塑需要更改为PET吸塑
9. 产品，包装，外箱 日期码需一致。
10. 标准配比
11. 箱唛贴纸：出德国的300pcs/50箱(客人单号：4500441498/200)每一面都需要贴"Kik 24"红色贴纸，贴纸贴于箱子右下角处。贴纸文件会和箱唛文件一起确认给
工厂。</t>
  </si>
  <si>
    <t>MB175-S001</t>
  </si>
  <si>
    <t>客人PO:
4500441498/20
0, 出DE德国；</t>
  </si>
  <si>
    <t>4500166501-20</t>
  </si>
  <si>
    <t>4500166501-30</t>
  </si>
  <si>
    <t>客人PO:
4500487800/40
0, 出PL波兰;</t>
  </si>
  <si>
    <t>4500166501-40</t>
  </si>
  <si>
    <t xml:space="preserve"> THE ENTERTAINER</t>
  </si>
  <si>
    <t>FB13019</t>
  </si>
  <si>
    <t>4500161780-20</t>
  </si>
  <si>
    <t>EAN条码贴条码贴翻4500148687</t>
  </si>
  <si>
    <t>日期码格式：ZURU INC(BVI) 标准格式 日期：按实际生产日期
Packaging Info:
9298TQ4-S003：MA最新1L配套包装+客户EAN条码贴一张覆盖ZURU 原条码，条码贴翻订单4500148687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 大货样： 请在6/10 前: 未出货的新品请寄2套大货样到7B Sandy Shao 收，翻单不需要寄。</t>
  </si>
  <si>
    <t xml:space="preserve"> Sandy Shao</t>
  </si>
  <si>
    <t>FB13018</t>
  </si>
  <si>
    <t>4500159668-20</t>
  </si>
  <si>
    <t>EAN条码贴翻4500148687</t>
  </si>
  <si>
    <t>日期码格式：ZURU INC(BVI) 标准格式 日期：按实际生产日期
Packaging Info:
9298TQ4-S003：MA最新1L配套包装+客户EAN条码贴一张覆盖ZURU 原条码，条码贴翻订单4500148687，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 大货样： 请在6/10 前未出货的新品请寄2套大货样到7B Sandy Shao 收，翻单不需要寄</t>
  </si>
  <si>
    <t>SMYK S.A.</t>
  </si>
  <si>
    <t>4500166776-10</t>
  </si>
  <si>
    <t>5/26-进口商贴纸+EAN条码贴纸</t>
  </si>
  <si>
    <t>日期码格式：ZURU INC(BVI) 标准格式 日期：按实际生产日期
Packaging Info: 
9298：B 版 3L MA EAN收缩膜+进口商贴纸+EAN条码贴纸；B 版 5L MA 收藏指南
Remark: 1、若产品有比例使用ZURU STD 比例
2、所有item 均用MA EAN条码，若包装上的EAN 条码与PO 不一致的请告知
3、此单出欧洲需满足EU测试标准要求"</t>
  </si>
  <si>
    <t>AMIC TRADING (PTY) LTD</t>
  </si>
  <si>
    <t xml:space="preserve"> 6006-007111</t>
  </si>
  <si>
    <t>4500165851-40</t>
  </si>
  <si>
    <t>6/22出</t>
  </si>
  <si>
    <t>5/12收到</t>
  </si>
  <si>
    <t>5/14-进口商贴纸</t>
  </si>
  <si>
    <t>日期码格式：ZURU INC(BVI) 标准格式 日期：按实际生产日期
Packaging Info: MA 1L PKG ;
 MA 5L 收藏指南， MA说明书+ 1 张进口商贴纸（不得遮挡日期码）
(进口商贴纸新稿，后续新单以新版进口商贴纸为准，适用该客户订单的所有产品）
Remark:</t>
  </si>
  <si>
    <t xml:space="preserve"> PRO &amp; PACIFIC CO.,LTD</t>
  </si>
  <si>
    <t>台湾</t>
  </si>
  <si>
    <t>ZU25041801</t>
  </si>
  <si>
    <t>4500166599-10</t>
  </si>
  <si>
    <t>6/27出</t>
  </si>
  <si>
    <t>5/15收到</t>
  </si>
  <si>
    <t>5/26-进口商贴纸</t>
  </si>
  <si>
    <t>日期码格式：ZURU INC(BVI) 标准格式 日期：按实际生产日期
Packaging Info: 1.MA UPC包装（优先1L)+1张进口商贴纸
 其他item贴纸AW、位置图待提供
 3.此单分批出货，92125 7月出货，走20GP
Remark: 
 9298-7 assortment (6 common + 1 rare)=CORGI:SHEPHERD:POODLE:DALMATIAN:SCHNAUZER:BROWN DALNATIAN:HOUND DOG=2:8:10:10:10:10:10;</t>
  </si>
  <si>
    <t>4500167152-90</t>
  </si>
  <si>
    <t>日期码格式：ZURU INC(BVI) 标准格式 日期：按实际生产日期
Packaging Info: 
7. 9298TQ1：MA 多语EAN包装+MA多语收藏指南+MA多语PDQ +进口商贴纸+箱唛（UPC贴纸和进口商贴纸合并为一张）
77595GQ6：MA 多语EAN包装+UPC贴纸+MA多语收藏指南+MA多语PDQ +进口商贴纸+箱唛
Remark:
8. 9298TQ1：7 assortment (6 common + 1 rare)=CORGI:SHEPHERD:POODLE:DALMATIAN:SCHNAUZER:BROWN DALNATIAN:HOUND DOG=2:8:10:10:10:10:10;</t>
  </si>
  <si>
    <t xml:space="preserve"> KMART AUSTRALIA LTD</t>
  </si>
  <si>
    <t>4500165860-10</t>
  </si>
  <si>
    <t>6/25-6/27出</t>
  </si>
  <si>
    <t>5/23收到</t>
  </si>
  <si>
    <t>5/19-防盗贴纸+6/3-外箱贴纸</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</si>
  <si>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</si>
  <si>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 xml:space="preserve"> Lydia Wu</t>
  </si>
  <si>
    <t xml:space="preserve"> MEIJER DISTRIBUTION, INC.</t>
  </si>
  <si>
    <t>4500168889-10</t>
  </si>
  <si>
    <t>4500166083转单</t>
  </si>
  <si>
    <t>日期码格式：ZURU INC(BVI) 标准格式 日期：
Packaging Info:  1.  MA 1L 包装
  2. 客人指定箱唛排版
Remark: 出货前 Zuru QC 验货</t>
  </si>
  <si>
    <t xml:space="preserve"> Cherie Li</t>
  </si>
  <si>
    <t>ZB00606-6.30</t>
  </si>
  <si>
    <t>4500168832-50</t>
  </si>
  <si>
    <t>4500166087转单</t>
  </si>
  <si>
    <t>ZB00578-6.25</t>
  </si>
  <si>
    <t>25-188</t>
  </si>
  <si>
    <t>4500166868-30</t>
  </si>
  <si>
    <t>7/8出</t>
  </si>
  <si>
    <t>5/28-EAN条码贴纸</t>
  </si>
  <si>
    <t>6/4-客供价格贴纸</t>
  </si>
  <si>
    <t>日期码格式：ZURU INC(BVI) 标准格式 日期：按实际生产日期
Packaging Info: 
9298TQ2:最新MA A版PDQ+MA A版 3L+9L EAN 收缩膜（4894680029828） +MA A版 5L收藏指南+MA B版 5L警语纸袋+ 客供价格贴纸
Remark: 1. 此单出德国，需要满足Zuru Standard欧洲标准测试要求；
2. 请准时出货，推期会有罚款；
3. 出口欧洲，微塑料需符合法规。
4. 配比：标准配比
5. 大货样品一套
6. 需提供验货图片给客人确认才可以安排出货
7. 所有包装警语部分需含德语警语</t>
  </si>
  <si>
    <t>95580-7.7</t>
  </si>
  <si>
    <t>8K9NX1BJ</t>
  </si>
  <si>
    <t>4500167361-270</t>
  </si>
  <si>
    <t>7/6出</t>
  </si>
  <si>
    <t>UPC贴纸返4500113996+6/18-英法双语贴纸</t>
  </si>
  <si>
    <t>日期码格式：ZURU INC(BVI) 标准格式 日期：按实际生产日期
Packaging Info: 出口加拿大，包装需要至少2/3L UPC版，无硼版本。
#9298: MA 3L C版本加UPC贴纸，UPC贴纸图稿跟返单4500113996。需混入稀有款， 常规款：稀有款=58：2。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</si>
  <si>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B版本加贴英法文贴纸</t>
  </si>
  <si>
    <t>8DBU4GME</t>
  </si>
  <si>
    <t>4500167361-290</t>
  </si>
  <si>
    <t>8Q4TNJGC</t>
  </si>
  <si>
    <t>4500167361-320</t>
  </si>
  <si>
    <t>2V3TA7WL</t>
  </si>
  <si>
    <t>4500167361-330</t>
  </si>
  <si>
    <t>21SR4FZZ</t>
  </si>
  <si>
    <t>4500167361-340</t>
  </si>
  <si>
    <t>8R262VTL</t>
  </si>
  <si>
    <t>4500167361-440</t>
  </si>
  <si>
    <t>1MS25J2G</t>
  </si>
  <si>
    <t>4500167361-450</t>
  </si>
  <si>
    <t>4AKPACRA</t>
  </si>
  <si>
    <t>4500168127-20</t>
  </si>
  <si>
    <t>空白外箱加印ZURU Logo（四面加印）+MADE IN CHINA（只印一正一侧）</t>
  </si>
  <si>
    <t>6/12-UPC贴纸+进口商贴纸</t>
  </si>
  <si>
    <t>6/20-SSCC LABEL贴纸</t>
  </si>
  <si>
    <t>日期码格式：ZURU INC(BVI) 标准格式 日期：按实际生产日期
Packaging Info: 
2. 9298: MA 3L包装加UPC贴纸+进口商贴纸+SSCC label。需混入稀有款， 常规款：稀有款=58：2。B：193052062635，E：193052062659，G：193052062666，H：19
3052062673
Remark: 1. Amazon FOB订单，出口Mexico，外箱最长边不能超过25" （超过了，case pack只能为1），不符合要求的大货，一律不接受。
2. 空白外箱加印ZURU Logo（四面加印）+MADE IN CHINA（只印一正一侧）+SSCC LABEL(客供贴纸），无shipping mark,日期使用ZURU 标准版本。SSCC Label显示
的是客人自己的item#，SSCC Label 贴在外箱正面的正中间，贴一面即可，跟单订购，贴纸离外箱距必须至少3cm,每一张SSCC Label都是唯一且有不同流水及条码的
，没有损耗，绝对不可贴错，否则贴错或损坏一张会导致全部都错，千万要注意！
3. 日期码使用ZURU标准版
4.此单走整柜，需要安排监装，请每款多备1PC监柜样板</t>
  </si>
  <si>
    <t>95534-7.2</t>
  </si>
  <si>
    <t>4500168127-70</t>
  </si>
  <si>
    <t>4500168127-80</t>
  </si>
  <si>
    <t>6Q2YHEUW</t>
  </si>
  <si>
    <t>4500168127-100</t>
  </si>
  <si>
    <t>7Q2QB28K</t>
  </si>
  <si>
    <t>4500168127-260</t>
  </si>
  <si>
    <t>FB13332</t>
  </si>
  <si>
    <t>4500166375-30</t>
  </si>
  <si>
    <t>5/14收到</t>
  </si>
  <si>
    <t>EAN条码贴翻4500148687，条码：5056296044834</t>
  </si>
  <si>
    <t>日期码格式：ZURU INC(BVI) 标准格式 日期：按实际生产日期
Packaging Info:
9298TQ4-S003：MA最新1L配套包装+客户EAN条码贴一张覆盖ZURU 原条码，条码贴翻订单4500148687，条码：5056296044834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 大货样：新款请在6/17 前寄出每款2整套大货样到罗湖办公室7B Sandy Shao 收，翻单不用寄。</t>
  </si>
  <si>
    <t>95509-7.1</t>
  </si>
  <si>
    <t>JUGUETIBICI, S.A. DE C.V.</t>
  </si>
  <si>
    <t>4500165746-20</t>
  </si>
  <si>
    <t>6/12-UPC条码贴纸+进口商贴纸</t>
  </si>
  <si>
    <t>日期码格式：ZURU INC(BVI) 标准格式 日期：按实际生产日期
Packaging Info: 1.9298TQ1：MA 3L EAN包装+UPC条码贴纸+MA PDQ包装+进口商贴纸+箱唛
Remark:
9298TQ1:7 assortment (6 common + 1 rare)=CORGI:SHEPHERD:POODLE:DALMATIAN:SCHNAUZER:BROWN DALNATIAN:HOUND DOG=2:8:10:10:10:10:10;
此单有监柜要求，请每款多备1pc样板用于监装</t>
  </si>
  <si>
    <t>95533-7.2</t>
  </si>
  <si>
    <t>Customer PO:
273762</t>
  </si>
  <si>
    <t>4500164499-70</t>
  </si>
  <si>
    <t>日期码格式：ZURU INC(BVI) 标准格式 日期：按实际生产日期
Packaging Info:
 92124：
 1. MA -1L UPC包装+客人白色Cat.label 1张覆盖ZURU条码。
 9298：MA 1L UPC最新全套包装+MA布标，包装加空白条码贴覆盖包装原条码，空白贴纸待提供，确保卖场只能扫到92124的条码。
 2.注意Cat.label （要求易撕类贴纸，但是粘性不能过低），同时此贴纸每个订单都是不相同的（会显示客户对应的订单号），切勿翻旧订单购买。此贴纸由ZURU
 提供贴纸图稿和贴纸位置图给工厂后，工厂自行购买。
3.请先检查条码是否正确再安排做，标签上的目录编号数字（7695690）高度必须至少为5mm （14.17pt），条码扫描结果应为7695690。
 -此订单对应客户6个PO号 ，备注有显示 ，注意分开做货/验货/装柜，混装有罚款。
Remark: *MA包装按最新版本安排即可(只要MA包装上含英文信息就可以)。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</si>
  <si>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 xml:space="preserve"> Ina Song</t>
  </si>
  <si>
    <t>4500167897-20</t>
  </si>
  <si>
    <t>6/3收到</t>
  </si>
  <si>
    <t>进口商贴纸翻4500160573+6/3-新UPC条码贴纸</t>
  </si>
  <si>
    <t>日期码格式：LOTDGYYYYMMDD 日期：按实际生产日期
Packaging Info: 
9298： MA 3L EAN包装+进口商贴纸（翻单4500160573）+新UPC条码贴纸+MA 5L收藏指南+箱唛
Remark: 1. 客版日期码要求：LOT+ZURU标准日期码格式。东莞生产的格式：LOTDGYYYYMMDD, DG是东莞拼音首字母，
YYYYMMDD是实际的年月日，例如(LOTDG20240920)
9298：7 assortment (6 common + 1 rare)=CORGI:SHEPHERD:POODLE:DALMATIAN:SCHNAUZER:BROWN DALNATIAN:HOUND DOG=2:8:10:10:10:10:10;
4. 此单有第三方监柜，至少多备一套完整的物料用于监柜，请多备料。
5.WM墨西哥防霉的新要求:货物必须在出货主箱和集装箱中按要求放置干燥剂，干燥剂指定品牌干霸
9298：需要在每箱放入14小包干燥剂，每包干燥剂重量2-3g
6.如走柜货等loading plan 确认后再通知集装箱干燥剂数量</t>
  </si>
  <si>
    <t>95519-7.1</t>
  </si>
  <si>
    <t>4500166516-90</t>
  </si>
  <si>
    <t>5/18收到</t>
  </si>
  <si>
    <t>4500166286-40</t>
  </si>
  <si>
    <t>7/2-7/4出</t>
  </si>
  <si>
    <t>6/9-外箱贴纸SSCC Label</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</si>
  <si>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此订单有分两种装运类型，请注意外箱贴纸需要按贴纸文件顺序安排贴纸顺序，先贴整柜的数量，剩下的贴散货的数量。
如：柜货+散货：
25282 贴纸文件label no第1-48为墨尔本港口整柜装运部分的贴纸，第49-116为散货装运部分的贴纸。
以此类推，如不按此安排，此次出货请自行记录好外箱对应贴纸的相关信息。如客户收到后有贴纸重复或贴纸顺序记录错误等问题产生的相关费用需由工厂自己承担
。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</si>
  <si>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95855-7.31</t>
  </si>
  <si>
    <t>B版本膜+A版本指南+口水胶+C版本配件包（香味贴纸/指定配件）</t>
  </si>
  <si>
    <t>4500166286-60</t>
  </si>
  <si>
    <t>95856-7.31</t>
  </si>
  <si>
    <t>4500168055-20</t>
  </si>
  <si>
    <t>日期码格式：ZURU INC(BVI) 标准格式 日期：按实际生产日期
Packaging Info:9298TQ1:MA多语EAN+UPC贴纸+箱唛
Remark:</t>
  </si>
  <si>
    <t>4500167294-30</t>
  </si>
  <si>
    <t>ZB01057R1-8.5</t>
  </si>
  <si>
    <t>4500167294-70</t>
  </si>
  <si>
    <t>4500167894-20</t>
  </si>
  <si>
    <t>日期码格式：ZURU INC(BVI) 标准格式 日期：按实际生产日期
Packaging Info: MA UPC包装（优先1L)
可能会被抽样，请多准备样品，CRD前15天会告知有没有被抽中
有第三方验货，将于CRD前一周提供验货员信息，请按订单CRD准时完货
Remark: 
9298-7 assortment (6 common + 1 rare)=CORGI:SHEPHERD:POODLE:DALMATIAN:SCHNAUZER:BROWN DALNATIAN:HOUND DOG=2:8:10:10:10:10:10;</t>
  </si>
  <si>
    <t>客户PO:273495
9</t>
  </si>
  <si>
    <t>4500164068-10</t>
  </si>
  <si>
    <t>日期码格式：ZURU INC(BVI) 标准格式 日期：按实际生产日期
Packaging Info: MA 1L 收缩膜,MA指南（ 产品上的baby 条码需要用空白贴纸盖住）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</si>
  <si>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4500168463-30</t>
  </si>
  <si>
    <t>日期码格式：ZURU INC(BVI) 标准格式 日期：按实际生产日期
Packaging Info: 9298TQ1:MA多语EAN+UPC贴纸+箱唛
Remark: 请确保包装上的条形码是UPC，如有不一致，请及时提出。谢谢！</t>
  </si>
  <si>
    <t>4500168594-20</t>
  </si>
  <si>
    <t>95787-7.26</t>
  </si>
  <si>
    <t>4500168705-20</t>
  </si>
  <si>
    <t>7/13出</t>
  </si>
  <si>
    <t>95628-7.12</t>
  </si>
  <si>
    <t>8LJHDAQG</t>
  </si>
  <si>
    <t>4500168901-10</t>
  </si>
  <si>
    <t>7/15-7/16出</t>
  </si>
  <si>
    <t>UPC贴纸+进口商贴纸翻4500168127</t>
  </si>
  <si>
    <t>日期码格式：ZURU INC(BVI) 标准格式 日期：按实际生产日期
Packaging Info: 1. 9298: MA 3L包装加UPC贴纸+进口商贴纸翻单PO 4500168127+SSCC label。需混入稀有款， 常规款：稀有款=58：2。G：193052062666，H：193052062673
Remark: 1. Amazon FOB订单，出口Mexico，外箱最长边不能超过25" （超过了，case pack只能为1），不符合要求的大货，一律不接受。
2. 空白外箱加印ZURU Logo（四面加印）+MADE IN CHINA（只印一正一侧）+SSCC LABEL(客供贴纸），无shipping mark,日期使用ZURU 标准版本。SSCC Label显示
的是客人自己的item#，SSCC Label 贴在外箱正面的正中间，贴一面即可，跟单订购，贴纸离外箱距必须至少3cm,每一张SSCC Label都是唯一且有不同流水及条码的
，没有损耗，绝对不可贴错，否则贴错或损坏一张会导致全部都错，千万要注意！
3. 日期码使用ZURU标准版</t>
  </si>
  <si>
    <t>95659-7.16</t>
  </si>
  <si>
    <t>按7/5</t>
  </si>
  <si>
    <t>2025/7/5周六</t>
  </si>
  <si>
    <t>4500168901-20</t>
  </si>
  <si>
    <t>4500167316-10</t>
  </si>
  <si>
    <t>5/21-WIC贴纸</t>
  </si>
  <si>
    <t>日期码格式：ZURU INC(BVI) 标准格式 日期：07-02-2025
Packaging Info:
Remark: MA 1L包装 + WIC贴纸 （同PO 4500114593）
7 assortment (6 common + 1 rare)=CORGI:SHEPHERD:POODLE:DALMATIAN:SCHNAUZER:BROWN DALNATIAN:HOUND DOG=2:8:10:10:10:10:10;
产品和包装上要有ZURU 标准格式 TRACKING CODE, DG20250702 + 对应款号，如A款 DG20250702A</t>
  </si>
  <si>
    <t>ZB00692-7.9</t>
  </si>
  <si>
    <t>未回复</t>
  </si>
  <si>
    <t>4500167316-20</t>
  </si>
  <si>
    <t>ZB00693-7.9</t>
  </si>
  <si>
    <t>4500167316-30</t>
  </si>
  <si>
    <t>ZB00709-7.10</t>
  </si>
  <si>
    <t>4500167316-40</t>
  </si>
  <si>
    <t>7/14出</t>
  </si>
  <si>
    <t>ZB00813-7.21</t>
  </si>
  <si>
    <t>4500167316-50</t>
  </si>
  <si>
    <t>ZB00787-7.18</t>
  </si>
  <si>
    <t>4500167316-60</t>
  </si>
  <si>
    <t>7/19出</t>
  </si>
  <si>
    <t>ZB00786-7.18</t>
  </si>
  <si>
    <t>4500167316-70</t>
  </si>
  <si>
    <t>ZB00742-7.14</t>
  </si>
  <si>
    <t>4500167316-80</t>
  </si>
  <si>
    <t>ZB00694-7.9</t>
  </si>
  <si>
    <t>4500167316-90</t>
  </si>
  <si>
    <t>ZB00710-7.10</t>
  </si>
  <si>
    <t>4500151563-50</t>
  </si>
  <si>
    <t>4500165120-30</t>
  </si>
  <si>
    <t>5/27-多语折叠警语贴纸+警语贴纸翻4500156082</t>
  </si>
  <si>
    <t>日期码格式：ZURU INC(BVI) 标准格式 日期：按实际生产日期
Packaging Info:
9298TQ1： MA3L-9L EAN 收缩膜+1*多语折叠警语贴纸+MA 5L-9L收藏指南+1*5L（PL+HU+CZ+SK+RO)警语贴纸（翻4500156082）+MA 5L SLIME Polybag+1*5L 黑白slim
e 说明书（翻单4500164822）+MA 配件袋。
Remark: 1.波兰内销单，需要通过ZURU 验货结果后才能出货 (工厂需要主动提前同ZURU QC预约验货避免延期出货造成不必要麻烦)；
2. 产品如含有化学品，需要无硼；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所有电子产品身上需要加字唛，为ZURU FRANCE 地址 (如无电子产品，或者产品布标有此地址，可忽略此信息)
ZURU France 1/3, Rue d'Argenteuil 95210 SAINT-GRATIEN,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</si>
  <si>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AMY XIAO</t>
  </si>
  <si>
    <t>95550-7.4</t>
  </si>
  <si>
    <t>HARVEY WHOLESALE LTD</t>
  </si>
  <si>
    <t>4500167054-30</t>
  </si>
  <si>
    <t>日期码格式：ZURU INC(BVI) 标准格式 日期：按实际生产日期
Packaging Info: 
#9298TQ1:7 assortment (6 common + 1 rare)=CORGI:SHEPHERD:POODLE:DALMATIAN:SCHNAUZER:BROWN DALNATIAN:HOUND DOG=2:8:10:10:10:10:10;
Remark: MA UPC 英语包装（优先1L英语版本,或者3L/L含英语即可</t>
  </si>
  <si>
    <t>95651-7.15</t>
  </si>
  <si>
    <t>2025/7/8周二</t>
  </si>
  <si>
    <t>30250713A</t>
  </si>
  <si>
    <t>4500168067-20</t>
  </si>
  <si>
    <t>9298-S008-NB.PKC</t>
  </si>
  <si>
    <t>狗蛋四代-干燥剂</t>
  </si>
  <si>
    <t>6/3-收到-外箱上下需加整面保护卡
2外箱需要是5层瓦楞纸，厚度在5-9mm</t>
  </si>
  <si>
    <t>警告语贴纸纸翻4500149853+6/27-EAN条码贴纸</t>
  </si>
  <si>
    <t>日期码格式：ZURU INC(BVI) 标准格式 日期：按实际生产日期
Packaging Info:
9298: 最新MA 1L 收缩膜+德语callout及警告语贴纸(翻单#4500149853)+EAN条码贴纸+5L 收藏指南/Polybag+MA 布标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 标准配比
11. 所有电子产品身上需要加字唛，为ZURU FRANCE 地址 (如无电子产品，产品布标有此地址，或产品太小无法增加可忽略此信息)
ZURU France 1/3, Rue d'Argenteuil 95210 SAINT-GRATIEN, FRANCE
12. 所有出往德国订单的电子产品需增加一张欧洲通用WEEE声明说明书，区分带电池和不带电池版本, 如已做客版说明书可忽略此要求。</t>
  </si>
  <si>
    <t>9298-S008-NB</t>
  </si>
  <si>
    <t>PGT-684628</t>
  </si>
  <si>
    <t>4500166910-30</t>
  </si>
  <si>
    <t>6/12-进口商贴纸+EAN条码贴</t>
  </si>
  <si>
    <t>日期码格式：ZURU INC(BVI) 标准格式 日期：按实际生产日期
Packaging Info: 注意： 此客户不允许包装/产品/PDQ 上显示recycled material 字眼，如有请告知跟单需要加贴纸覆盖；
9298TQ1 MA UPC收缩膜+进口商贴纸+EAN条码贴 , MA收藏指南 ,MA PDQ
2. 有第三方监柜
3. 外箱侧唛右上角各一张贴纸 （共2张）
Remark: 标准配比</t>
  </si>
  <si>
    <t>95701-7.19</t>
  </si>
  <si>
    <t>2025/7/10周四</t>
  </si>
  <si>
    <t>ZURU Spain S.L.</t>
  </si>
  <si>
    <t>4500170289-50</t>
  </si>
  <si>
    <t>4500168521转单</t>
  </si>
  <si>
    <t>7/9出</t>
  </si>
  <si>
    <t>6/5收到</t>
  </si>
  <si>
    <t>6/10-多语折叠贴纸+意大利环保标贴纸</t>
  </si>
  <si>
    <t>日期码格式：ZURU INC(BVI) 标准格式 日期：按实际生产日期
Packaging Info:
9298TQ1：最新MA3L(23L warning) EAN收缩膜+最新MA5L收藏指南+最新MA PDQ+意大利环保标贴纸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</si>
  <si>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95652-7.15</t>
  </si>
  <si>
    <t>4500166290-50</t>
  </si>
  <si>
    <t>7/9-7/11出</t>
  </si>
  <si>
    <t>5/19-防盗贴纸翻</t>
  </si>
  <si>
    <t>95858-7.31</t>
  </si>
  <si>
    <t>2025/7/11周五</t>
  </si>
  <si>
    <t>4500166289-50</t>
  </si>
  <si>
    <t>张防盗贴纸翻4500110723</t>
  </si>
  <si>
    <t>95857-7.31</t>
  </si>
  <si>
    <t>4500168730-210</t>
  </si>
  <si>
    <t>日期码格式：ZURU INC(BVI) 标准格式 日期：按实际生产日期
Packaging Info:
9298：MA UPC收缩膜进口商贴纸；MA指南；
Remark: 标准配比</t>
  </si>
  <si>
    <t>95758-7.24</t>
  </si>
  <si>
    <t>2025/7/14周一</t>
  </si>
  <si>
    <t>4500168727-50</t>
  </si>
  <si>
    <t>日期码格式：ZURU INC(BVI) 标准格式 日期：按实际生产日期
Packaging Info:
9298F：MA UPC收缩膜+进口商贴纸；MA指南；3L展示架（产品和展架消耗库存）
Remark: 标准配比</t>
  </si>
  <si>
    <t xml:space="preserve">斯洛伐克 </t>
  </si>
  <si>
    <t>999-48321</t>
  </si>
  <si>
    <t>4500168661-10</t>
  </si>
  <si>
    <t>92123-S002-9298</t>
  </si>
  <si>
    <t>底托翻4500163957</t>
  </si>
  <si>
    <t>空白贴纸覆盖原有UPC条码+6/12-4国语警语贴纸</t>
  </si>
  <si>
    <t>日期码格式：ZURU INC(BVI) 标准格式 日期：按实际生产日期
Packaging Info: 92123彩盒翻单4500163957 (含UPC条码193052081940) + 4国语警语贴纸Czech-Hugarian-Polish-Slovak,不需要价格贴纸
9298: MA A版1L 空白贴纸覆盖收缩膜上原有UPC条码
Remark: "1. 此单出EU，需满足EU测试标准要求，不含微塑料。
产品及包装需要印UKCA图标，包装需要有ZURU UK LTD/ZURU France地址信息，QC同事请核查，如有问题与跟单确认。
2.裝櫃必須按TPND順序 (條形碼貼紙或正嘜必須要朝外向車門外)，不可额外打缠绕带
3.外箱上有条码要求，排版时请留意并请确保条码清晰可扫描（封箱胶不要黏到条码上), 否则客人会有罚款；
4. 如含硼的话， 需用低硼版本(小于300ppm),硼含量需要符合欧洲标准,否则客人会退货有罚款产生"</t>
  </si>
  <si>
    <t>95790-7.28</t>
  </si>
  <si>
    <t>92123-S002</t>
  </si>
  <si>
    <t>ZURU LLC</t>
  </si>
  <si>
    <t>B0CD2XQH84</t>
  </si>
  <si>
    <t>4500169465-130</t>
  </si>
  <si>
    <t>9298H-S001-MTS</t>
  </si>
  <si>
    <t>邮包盒图稿返4500154144</t>
  </si>
  <si>
    <t>7/11出</t>
  </si>
  <si>
    <t>UPC贴纸翻4500154144</t>
  </si>
  <si>
    <t>日期码格式：ZURU INC(BVI) 标准格式 日期：按实际生产日期
Packaging Info:
#9298: MA 1L 加UPC贴纸，图稿跟返单4500154144。需混入稀有款，常规款:稀有款=58:2，E:193052062659。
Remark: 1.Amazon domestic 订单。出口美国。外箱最长边不能超过25" （超过了，case pack只能为1），不符合要求的大货，一律不接受。
2.无第三方验货/测试要求。
3.日期码使用ZURU标准版本。
4.邮包盒要印刷日期码。</t>
  </si>
  <si>
    <t>ZB00732-7.12</t>
  </si>
  <si>
    <t>0923046283</t>
  </si>
  <si>
    <t>4500169373-10</t>
  </si>
  <si>
    <t>7/11第三方 自检</t>
  </si>
  <si>
    <t>7/17出</t>
  </si>
  <si>
    <t>客版布标贴纸+普通贴纸</t>
  </si>
  <si>
    <t>6/24-客供RFID贴纸</t>
  </si>
  <si>
    <t>ZB00748-7.15</t>
  </si>
  <si>
    <t>0923046285</t>
  </si>
  <si>
    <t>4500169373-20</t>
  </si>
  <si>
    <t>ZB00788-7.18</t>
  </si>
  <si>
    <t>0923046287</t>
  </si>
  <si>
    <t>4500169373-30</t>
  </si>
  <si>
    <t>ZB00826-7.22</t>
  </si>
  <si>
    <t>0923046300</t>
  </si>
  <si>
    <t>4500169373-40</t>
  </si>
  <si>
    <t>7/22出</t>
  </si>
  <si>
    <t>0923046305</t>
  </si>
  <si>
    <t>4500169373-50</t>
  </si>
  <si>
    <t>ZB00762-7.16</t>
  </si>
  <si>
    <t>4500168659-10</t>
  </si>
  <si>
    <t>日期码格式：ZURU INC(BVI) 标准格式 日期：按实际生产日期
Packaging Info: 7 assortment (6 common + 1 rare)=CORGI(Rare):SHEPHERD:POODLE:DALMATIAN:SCHNAUZER:BROWN DALNATIAN:HOUND DOG=2:8:10:10:10:10:10;
Remark: MA UPC 英语包装（优先1L英语版本，或者3L/5L含英语都可）
此客人不接受易掉落或者剥落或者可直接触碰的闪粉，可降解也不行，但可以接受符合欧洲微塑料标准的珠光粉或者闪片。</t>
  </si>
  <si>
    <t>Ivy Li</t>
  </si>
  <si>
    <t>95646-7.14</t>
  </si>
  <si>
    <t>2025/7/15周二</t>
  </si>
  <si>
    <t>4500168620-20</t>
  </si>
  <si>
    <t>日期码格式：ZURU INC(BVI) 标准格式 日期：按实际生产日期
Packaging Info:
#9298TQ1:7 assortment (6 common + 1 rare)=CORGI(Rare):SHEPHERD:POODLE:DALMATIAN:SCHNAUZER:BROWN DALNATIAN:HOUND DOG=2:8:10:10:10:10:10;
Remark: MA UPC 英语包装（优先1L英语版本，或者3L/5L含英语都可）
此客人不接受易掉落或者剥落或者可直接触碰的闪粉，可降解也不行，但可以接受符合欧洲微塑料标准的珠光粉或者闪片。</t>
  </si>
  <si>
    <t>95661-7.16</t>
  </si>
  <si>
    <t>29083574</t>
  </si>
  <si>
    <t>4500168930-10</t>
  </si>
  <si>
    <t>6/4收到</t>
  </si>
  <si>
    <t>日期码格式：ZURU INC(BVI) 标准格式 日期：按实际生产日期
Packaging Info: 1 Assortment(92104 + 9298)
Remark: MA UPC 英语包装（优先1L英语版本，或者3L/5L含英语都可）
此客人不接受易掉落或者剥落或者可直接触碰的闪粉，可降解也不行，但可以接受符合欧洲微塑料标准的珠光粉或者闪片。</t>
  </si>
  <si>
    <t>4500168934-10</t>
  </si>
  <si>
    <t>95734-7.23</t>
  </si>
  <si>
    <t>252GD0</t>
  </si>
  <si>
    <t>翻4500160244</t>
  </si>
  <si>
    <t>6/5客版收缩膜</t>
  </si>
  <si>
    <t>DOLGEN31704302H25 （打在蛋壳底部）</t>
  </si>
  <si>
    <t>日期码格式：DOLLAR GENERAL 格式日期码 日期：
Packaging Info: 1.包装：
 #9298-S006-PKC: 客版收缩膜（跟单邮件提供）
Remark: 1.包装：
 #9298-S006-PKC: 客版收缩膜（跟单邮件提供）
 客户要求： "产品和包装不能含有PFAS 物质以及1,4 dioxane" 客户指定实验室做测试，请确保产品可以过美国标准ASTM F963-23测试。
 #9298-S006-PKC客户特批单坑外箱。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#9298: 31704302H25
 (2)产品日期码：
 #9298: DOLGEN31704302H25 （打在蛋壳底部）
 后三位H25代表25年8月的ETD 。
 （3）UPC条形码：
 #9298: 430001805807
 3. 无价贴。
 4. 无样板需求
 5. 验货抽样事宜：
 #9298：无第三方验货
 抽样数量：
 随机抽取每款每色各12pcs + 足量干漆给实验室MT&lt;(&gt;&amp;&lt;)&gt; 5套散件光身样（如适用）
 请在7月14前完成ZURU QC验货，并当天14点前提供验货报告+大货图片给跟单。
 6. 箱唛：翻4500160244。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#9298- S006-PKC-RAINBOCORNS-PUPPYCORN SURPRISE-SERIES 8-SCENT SURPRISE PLUSH SMALL SHRINK WRAP,2PCS/Polybag,6pcs/3Polybag/CTN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#9298-S006-PKC内袋翻4500149775 .</t>
  </si>
  <si>
    <t xml:space="preserve"> Hailey Yu</t>
  </si>
  <si>
    <t>2025/7/18周五</t>
  </si>
  <si>
    <t>26AGYSWK</t>
  </si>
  <si>
    <t>4500169708-110</t>
  </si>
  <si>
    <t>消耗4500167361-G款外箱</t>
  </si>
  <si>
    <t>UPC贴纸返4500113996</t>
  </si>
  <si>
    <t>日期码格式：ZURU INC(BVI) 标准格式 日期：按实际生产日期
Packaging Info:
#9298: MA 3L C版本加UPC贴纸，MA 3L-C版本收缩膜+B版本收藏指南，配套使用最新版本包材。UPC贴纸图稿跟返单4500113996。需混入稀有款， 常规款：稀有款
=58：2。A:193052062628, B:193052062635,D:193052062642,G:193052062666,H:193052062673;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</si>
  <si>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2025/7/25周五</t>
  </si>
  <si>
    <t>8RUBRO2R</t>
  </si>
  <si>
    <t>4500169708-140</t>
  </si>
  <si>
    <t>5MKDLXVU</t>
  </si>
  <si>
    <t>4500169708-150</t>
  </si>
  <si>
    <t>8OM16C3Q</t>
  </si>
  <si>
    <t>4500169708-160</t>
  </si>
  <si>
    <t>8GQR5ZWF</t>
  </si>
  <si>
    <t>4500169708-170</t>
  </si>
  <si>
    <t>1CQ25K3R</t>
  </si>
  <si>
    <t>4500169708-180</t>
  </si>
  <si>
    <t>3T4C2CYK</t>
  </si>
  <si>
    <t>4500169708-230</t>
  </si>
  <si>
    <t>5QVG3QIE</t>
  </si>
  <si>
    <t>4500169708-240</t>
  </si>
  <si>
    <t>5GUNCJ1B</t>
  </si>
  <si>
    <t>4500169708-250</t>
  </si>
  <si>
    <t>8CVWA41Y</t>
  </si>
  <si>
    <t>4500169708-270</t>
  </si>
  <si>
    <t>62QFUE9W</t>
  </si>
  <si>
    <t>4500169708-280</t>
  </si>
  <si>
    <t>1UGNFZGF</t>
  </si>
  <si>
    <t>4500169708-290</t>
  </si>
  <si>
    <t>8Y6LBNTQ</t>
  </si>
  <si>
    <t>4500169708-310</t>
  </si>
  <si>
    <t>25PP90</t>
  </si>
  <si>
    <t>4500167752-10</t>
  </si>
  <si>
    <t>箱唛：翻4500160244</t>
  </si>
  <si>
    <t>#9298: DOLGEN31704302H25 （打在蛋壳底部）</t>
  </si>
  <si>
    <t>日期码格式：DOLLAR GENERAL 格式日期码 日期：
Packaging Info: 1.包装：#9298-S006-PKC: 客版收缩膜（AWs翻4500163953）
Remark: 1.包装：#9298-S006-PKC: 客版收缩膜（AWs翻4500163953）
客户要求： "产品和包装不能含有PFAS 物质以及1,4 dioxane" 客户指定实验室做测试，请确保产品可以过美国标准ASTM F963-23测试。
#9298-S006-PKC客户特批单坑外箱。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#9298: 31704302H25
(2)产品日期码：
#9298: DOLGEN31704302H25 （打在蛋壳底部）
后三位H25代表25年8月的ETD 。
（3）UPC条形码：
#9298: 430001805807
3. 无价贴。
4. 无样板需求
5. 此单无第三方验货抽样事宜
6. 箱唛：翻4500160244。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#9298- S006-PKC-RAINBOCORNS-PUPPYCORN SURPRISE-SERIES 8-SCENT SURPRISE PLUSH SMALL SHRINK WRAP,2PCS/Polybag,6pcs/3Polybag/CTN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内袋翻4500149775 .</t>
  </si>
  <si>
    <t>ZB00852-7.24
ZB00884-7.26</t>
  </si>
  <si>
    <t>全套新包装</t>
  </si>
  <si>
    <t>2025/7/24周四</t>
  </si>
  <si>
    <t xml:space="preserve"> SAINSBURY'S SUPERMARKET LTD</t>
  </si>
  <si>
    <t>9298TQ4：客户
PO 2734599</t>
  </si>
  <si>
    <t>日期码格式：ZURU INC(BVI) 标准格式 日期：按实际生产日期
Packaging Info: 9298TQ4:MA UPC 收缩膜，MA指南，客版PDQ翻 Morrison po#4500142847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</si>
  <si>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95755-7.24</t>
  </si>
  <si>
    <t>2025/7/21周一</t>
  </si>
  <si>
    <t>30250713B</t>
  </si>
  <si>
    <t>4500168346-20</t>
  </si>
  <si>
    <t>需要第三方验货</t>
  </si>
  <si>
    <t>6/11收到-外箱上下需加整面保护卡
2外箱需要是5层瓦楞纸，厚度在5-9mm</t>
  </si>
  <si>
    <t>警告语贴纸翻4500149853+EAN条码贴纸4500168067</t>
  </si>
  <si>
    <t>日期码格式：ZURU INC(BVI) 标准格式 日期：按实际生产日期
Packaging Info: 
9298: 最新MA 1L 收缩膜+德语callout及警告语贴纸(翻单#4500149853)+EAN条码贴纸(翻单#4500168067)+5L 收藏指南/Polybag+MA 布标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 所有电子产品身上需要加字唛，为ZURU FRANCE 地址 (如无电子产品，产品布标有此地址，或产品太小无法增加可忽略此信息)
ZURU France 1/3, Rue d'Argenteuil 95210 SAINT-GRATIEN, FRANCE
11. 所有出往德国订单的电子产品需增加一张欧洲通用WEEE声明说明书，区分带电池和不带电池版本, 如已做客版说明书可忽略此要求。
12. 标准配比</t>
  </si>
  <si>
    <t>收到SO，预计7/21出</t>
  </si>
  <si>
    <t>6/11收到</t>
  </si>
  <si>
    <t>UPC贴纸4500160421</t>
  </si>
  <si>
    <t>日期码格式：ZURU INC(BVI) 标准格式 日期：按实际生产日期
Packaging Info:
9298TQ1：MA 3L EAN包装+UPC贴纸+MA PDQ包装+MA 多语收藏指南+箱唛，UPC贴纸翻单PO4500160421,请同PO4500160345一起订购
Remark:
9298TQ1: 7 assortment (6 common + 1 rare)=CORGI:SHEPHERD:POODLE:DALMATIAN:SCHNAUZER:BROWN DALNATIAN:HOUND DOG=2:8:10:10:10:10:10;</t>
  </si>
  <si>
    <t>95728-7.22</t>
  </si>
  <si>
    <t>已订舱，待放船期
CRD 07/21, 出了预配船期后可以按船期调整</t>
  </si>
  <si>
    <t>4500169909-10</t>
  </si>
  <si>
    <t>多语折叠警语贴纸翻4500165120</t>
  </si>
  <si>
    <t>日期码格式：ZURU INC(BVI) 标准格式 日期：按实际生产日期
Packaging Info: 9298TQ1： MA3L-9L EAN 收缩膜+1*多语折叠警语贴纸（翻单4500165120）+MA 5L-9L收藏指南+MA 5L SLIME Polybag+MA 配件袋+MA PDQ
Remark: 1.德国内销单，需要通过ZURU 验货结果后才能出货 (工厂需要主动提前同ZURU QC预约验货避免延期出货造成不必要麻烦)；
2.产品如含有化学品，需要无硼。无微塑料版本。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7.ratio 同MA
8. 若有特定款有特殊外箱条码要求时,需要明确列出产品款对应的具体外箱条码号码/条码类型 (若无,可以忽略此需求)</t>
  </si>
  <si>
    <t>95757-7.24</t>
  </si>
  <si>
    <t>6/20装柜</t>
  </si>
  <si>
    <t>8USJRSKH</t>
  </si>
  <si>
    <t>4500169979-10</t>
  </si>
  <si>
    <t>9298H-S001-NB</t>
  </si>
  <si>
    <t>7/11-SSCC LABEL贴纸</t>
  </si>
  <si>
    <t>日期码格式：ZURU INC(BVI) 标准格式 日期：按实际生产日期
Packaging Info: #9298: MA 3L C版本加UPC贴纸，UPC贴纸图稿跟返单4500113996。需混入稀有款， 常规款：稀有款=58：2。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</si>
  <si>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8PK249GR</t>
  </si>
  <si>
    <t>4500169979-20</t>
  </si>
  <si>
    <t>56CI85UM</t>
  </si>
  <si>
    <t>4500169979-30</t>
  </si>
  <si>
    <t>5TRTS13T</t>
  </si>
  <si>
    <t>4500169979-40</t>
  </si>
  <si>
    <t>49R9XWWC</t>
  </si>
  <si>
    <t>4500169979-50</t>
  </si>
  <si>
    <t>11NPYHII</t>
  </si>
  <si>
    <t>4500169979-60</t>
  </si>
  <si>
    <t>5SZQ9XRQ</t>
  </si>
  <si>
    <t>4500169979-70</t>
  </si>
  <si>
    <t>462MYB3B</t>
  </si>
  <si>
    <t>4500169979-80</t>
  </si>
  <si>
    <t>5SZU2CVN</t>
  </si>
  <si>
    <t>4500169979-90</t>
  </si>
  <si>
    <t>8L8R2NLN</t>
  </si>
  <si>
    <t>4500169979-100</t>
  </si>
  <si>
    <t>5UZXC5WF</t>
  </si>
  <si>
    <t>4500169979-110</t>
  </si>
  <si>
    <t>1PV62F2S</t>
  </si>
  <si>
    <t>4500169979-130</t>
  </si>
  <si>
    <t>4O99ASYY</t>
  </si>
  <si>
    <t>4500169979-160</t>
  </si>
  <si>
    <t>1JEC9WVW</t>
  </si>
  <si>
    <t>4500169979-170</t>
  </si>
  <si>
    <t>1J3ROXNN</t>
  </si>
  <si>
    <t>4500169979-180</t>
  </si>
  <si>
    <t>36YBIU6R</t>
  </si>
  <si>
    <t>4500169979-190</t>
  </si>
  <si>
    <t>5C7K69VI</t>
  </si>
  <si>
    <t>4500169979-200</t>
  </si>
  <si>
    <t>4RSC1XEC</t>
  </si>
  <si>
    <t>4500169979-210</t>
  </si>
  <si>
    <t>4500155024-10</t>
  </si>
  <si>
    <t>日期码格式：ZURU INC(BVI) 标准格式 日期：按实际生产日期
Packaging Info: 1.ZURU MA UPC 现有版本包装+客供价格贴纸，出口美国 , 优先使用MA 1L 最新版本 。
Remark: 1.ZURU MA UPC 现有版本包装+客供价格贴纸，出口美国 , 优先使用MA 1L 最新版本 。
2.标准日期码格式，产品和包装必须有日期码 。
3.同个产品同个货期不可出现不同的包装。
4. 跟单提供ROSS通用的箱唛模版，工厂提供箱唛排版来确认。</t>
  </si>
  <si>
    <t>ZB00885-7.26</t>
  </si>
  <si>
    <t>ZU03-25</t>
  </si>
  <si>
    <t>4500167463-40</t>
  </si>
  <si>
    <t>7/31出</t>
  </si>
  <si>
    <t>UPC贴纸和进口商贴纸翻单4500167152</t>
  </si>
  <si>
    <t>日期码格式：ZURU INC(BVI) 标准格式 日期：按实际生产日期
Packaging Info:
4. 9298TQ1：MA 多语EAN包装+UPC贴纸+MA多语收藏指南+MA PDQ +进口商贴纸+箱唛，UPC贴纸和进口商贴纸翻单4500167152
Remark: 
4. 9298TQ1：7 assortment (6 common + 1 rare)=CORGI:SHEPHERD:POODLE:DALMATIAN:SCHNAUZER:BROWN DALNATIAN:HOUND DOG=2:8:10:10:10:10:10;</t>
  </si>
  <si>
    <t>2025/7/26周六</t>
  </si>
  <si>
    <t>4500169287-10</t>
  </si>
  <si>
    <t>防盗贴纸翻</t>
  </si>
  <si>
    <t>95773-7.25</t>
  </si>
  <si>
    <t>2025/7/31周四</t>
  </si>
  <si>
    <t>4500169286-10</t>
  </si>
  <si>
    <t>防盗贴纸翻4500110723</t>
  </si>
  <si>
    <t>8C3L4O9D</t>
  </si>
  <si>
    <t>4500170137-220</t>
  </si>
  <si>
    <t>6/16收到</t>
  </si>
  <si>
    <t>日期码格式：ZURU INC(BVI) 标准格式 日期：按实际生产日期
Packaging Info:
#9298: MA 3L C版本加UPC贴纸，UPC贴纸图稿跟返单4500113996。需混入稀有款， 常规款：稀有款=58：2。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</si>
  <si>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37JSVPJP</t>
  </si>
  <si>
    <t>4500170137-270</t>
  </si>
  <si>
    <t>1CQWOSDO</t>
  </si>
  <si>
    <t>4500170137-280</t>
  </si>
  <si>
    <t>8W56M48J</t>
  </si>
  <si>
    <t>4500170137-290</t>
  </si>
  <si>
    <t>7ATZT87N</t>
  </si>
  <si>
    <t>4500170137-300</t>
  </si>
  <si>
    <t>6G2MOJTK</t>
  </si>
  <si>
    <t>4500170137-310</t>
  </si>
  <si>
    <t>215JFKXU</t>
  </si>
  <si>
    <t>4500170137-420</t>
  </si>
  <si>
    <t>4HKX5IYU</t>
  </si>
  <si>
    <t>4500170137-430</t>
  </si>
  <si>
    <t>2YLNQNNE</t>
  </si>
  <si>
    <t>4500170137-440</t>
  </si>
  <si>
    <t>18FU7ZQE</t>
  </si>
  <si>
    <t>4500170146-10</t>
  </si>
  <si>
    <t>6S3IPKCF</t>
  </si>
  <si>
    <t>4500170146-20</t>
  </si>
  <si>
    <t>65KMCGLE</t>
  </si>
  <si>
    <t>4500170146-30</t>
  </si>
  <si>
    <t>3QNY7E1P</t>
  </si>
  <si>
    <t>4500170146-40</t>
  </si>
  <si>
    <t>65Q2SJVE</t>
  </si>
  <si>
    <t>4500170146-50</t>
  </si>
  <si>
    <t>7D5Z17SF</t>
  </si>
  <si>
    <t>4500170146-60</t>
  </si>
  <si>
    <t>6U3PRRHU</t>
  </si>
  <si>
    <t>4500170146-70</t>
  </si>
  <si>
    <t>8NCHF1KS</t>
  </si>
  <si>
    <t>4500170146-110</t>
  </si>
  <si>
    <t>1MBHU54O</t>
  </si>
  <si>
    <t>4500170146-120</t>
  </si>
  <si>
    <t>18W2SVHH</t>
  </si>
  <si>
    <t>4500170146-130</t>
  </si>
  <si>
    <t>6006-007624</t>
  </si>
  <si>
    <t>4500169407-20</t>
  </si>
  <si>
    <t>进口商贴纸AW翻4500165851</t>
  </si>
  <si>
    <t>日期码格式：ZURU INC(BVI) 标准格式 日期：按实际生产日期
Packaging Info: MA 1L PKG+1 张进口商贴纸（不得遮挡日期码）MA 收藏指南，
9298TQ2：进口商贴纸AW 和位置图翻单4500165851
进口商贴纸（不得遮挡日期码）
Remark:</t>
  </si>
  <si>
    <t>95852-7.31</t>
  </si>
  <si>
    <t>4500169407-40</t>
  </si>
  <si>
    <t>6/25-新档底托</t>
  </si>
  <si>
    <t>进口商贴纸AW翻4500165851+3张空白贴纸</t>
  </si>
  <si>
    <t>日期码格式：ZURU INC(BVI) 标准格式 日期：按实际生产日期
Packaging Info: MA 1L PKG+1 张进口商贴纸（不得遮挡日期码）MA 收藏指南，
92124：客版ZURU通用底托+1张进口商贴纸+MA 1L 收缩膜PKG+3张空白贴纸（覆盖92119/9298/92104条码）MA 收藏指南， 92119/9298/92104 包装出新版logo的收缩
膜（和底托logo统一）
进口商贴纸（不得遮挡日期码）
Remark:</t>
  </si>
  <si>
    <t>0926150155</t>
  </si>
  <si>
    <t>4500170802-100</t>
  </si>
  <si>
    <t>7/25第三方 自检</t>
  </si>
  <si>
    <t>7/30-8/1出</t>
  </si>
  <si>
    <t>7/21-客供RFID贴纸</t>
  </si>
  <si>
    <t>日期码格式：ZURU DGYYYYMMDD CHINA(日期避开周末和法定节假日即可） 日期：按实际生产日期
Packaging Info:
9298:
1.包装信息：MA A版 UPC版 1L收缩膜，MA A版 5L收藏指南，MA C版贴纸袋子，MA C版配件袋子，MA B版 5L口水胶袋，MA A版 3L贴纸，MA B版车缝布标，客版PDQ
（1facing2pcs/PDQ），客版布标贴纸，客供RFID贴纸（位置由我们提供）。
2.外箱四面印刷RFID箱唛，主唛左前下角印刷艾利贴纸替代标箱唛(ITF-14格式)，此条码只印刷一面，ZURU新logo右下角四面印刷，主唛右下角加印 MADE IN CHI
NA
，每个slip sheet上面贴一张艾利贴纸（工厂自己打印）和一张普通贴纸（可A4纸打印），slip sheet打印的普通贴纸的尺寸不能比艾利贴纸小。
3.在产品上和包装上要有日期码（避开周末和节假日）以及要有MADE IN CHINA和ZURU字样。4.产品如有扎带口要剪平，不能刮手。
5.此单需要第三方验货，请自行多备包装物料。
此单打卡板出货
Remark:</t>
  </si>
  <si>
    <t>ZB00945-7.29</t>
  </si>
  <si>
    <t>4500169300-10</t>
  </si>
  <si>
    <t>6/12收到</t>
  </si>
  <si>
    <t>进口商贴纸+产品贴纸+EAN翻4500160038</t>
  </si>
  <si>
    <t>客人日期码：LOT2529</t>
  </si>
  <si>
    <t>日期码格式：LOT2529 日期：
Packaging Info: 客版 底托（翻4500163957）+一张进口商贴纸（含希腊警语+意大利/希腊布标内容+希腊胶袋警语+意大利环保标志）+一张产品贴纸+一张EAN 4894680038059 贴纸
，贴纸翻4500160038
9298：最新MA 3L EAN收缩膜+最新MA 5L收藏指南+最新MA 5L POLY BAG+最新MA 布标"
Remark: 1.RATIO 同MA 一致。
2.大货样品2套/item，用于客人验货签板。验货后还会抽办1套/item，请多备料。
3.客人日期码：LOT2529，产品（蛋壳等）/包装（收缩膜等）/外箱 请保持一致。
4.产品均符合EU微塑料法规要求：不能含有微塑料/闪粉
5. SMASHERS 或含Slime产品，所有化合物使用无硼版本出意大利。
6. 本订单所有 具有 baby items / assorted items 的款式，零售包装上都要用 母 EAN;
7，此客户需要第三方验货，请在约三方验货前必须PASS ZURU验货。</t>
  </si>
  <si>
    <t>客户PO:019836
12/1</t>
  </si>
  <si>
    <t>4500163961-10</t>
  </si>
  <si>
    <t xml:space="preserve"> </t>
  </si>
  <si>
    <t>2025/7/28周一</t>
  </si>
  <si>
    <t>客户PO:019836
14/1</t>
  </si>
  <si>
    <t>4500163961-20</t>
  </si>
  <si>
    <t>95822-7.30</t>
  </si>
  <si>
    <t>4500169285-10</t>
  </si>
  <si>
    <t>进口商贴纸+产品贴纸+EAN贴纸，翻4500161360</t>
  </si>
  <si>
    <t>日期码格式：LOT2529 日期：
Packaging Info: 客版底托（翻4500163957）+一张进口商贴纸+一张产品贴纸+一张EAN 4894680038059 贴纸，贴纸翻4500161360
92104：最新MA 3L EAN收缩膜+最新MA 5L收藏指南+最新MA 5L POLY BAG+最新MA 布标
9298：最新MA 3L EAN收缩膜+最新MA 5L收藏指南+最新MA 5L POLY BAG+最新MA 布标"
Remark: 1. 大货样品2套/item，用于客人验货签板。验货后还会抽办1套/item，请多备料；
2. 客版日期码LOT2529, 产品（蛋壳等）/包装（收缩膜等）/外箱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此客户需要第三方验货，请在约三方验货前必须PASS ZURU验货。</t>
  </si>
  <si>
    <t>4500164774-130</t>
  </si>
  <si>
    <t>7/2-UPC贴纸+进口商贴纸</t>
  </si>
  <si>
    <t>日期码格式：2025-07 日期：
Packaging Info: 
9298TQ1：MA 3L EAN包装+UPC贴纸+MA PDQ包装+MA 多语收藏指南+进口商贴纸+箱唛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9298TQ1: 7 assortment (6 common + 1 rare)=CORGI:SHEPHERD:POODLE:DALMATIAN:SCHNAUZER:BROWN DALNATIAN:HOUND DOG=2:8:10:10:10:10:10;
Hershey's-Chocolate Syrup 24 oz
Hershey's-Mini Chocolate Syrup 24 oz
Hershey's-Strawberry Syrup 22 oz</t>
  </si>
  <si>
    <t>4500159848-110</t>
  </si>
  <si>
    <t>4500170116-20</t>
  </si>
  <si>
    <t>日期码格式：ZURU INC(BVI) 标准格式 日期：按实际生产日期
Packaging Info: MA 1L包装+进口商贴纸+箱唛
Remark:
9298TQ1: 7 assortment (6 common + 1 rare)=CORGI(Rare):SHEPHERD:POODLE:DALMATIAN:SCHNAUZER:BROWN DALNATIAN:HOUND DOG=2:8:10:10:10:10:10;</t>
  </si>
  <si>
    <t>2025/8/1周五</t>
  </si>
  <si>
    <t>4500170480-30</t>
  </si>
  <si>
    <t>进口商贴纸翻4500133774</t>
  </si>
  <si>
    <t>日期码格式：ZURU INC(BVI) 标准格式 日期：按实际生产日期
Packaging Info: 
9298TQ1： MA_UPC版本包装（收缩膜和说明书, MA首选1L，如无1L可用多语且含英语的配套多语UPC包装）+ 1张客人通用进口商贴纸（位置图翻单4500133774）
Remark: 1.按实际生产日期;
2.出澳大利亚，请按照相应标准生产;</t>
  </si>
  <si>
    <t>95778-7.25</t>
  </si>
  <si>
    <t>2025/8/3周日</t>
  </si>
  <si>
    <t>4500164920-40</t>
  </si>
  <si>
    <t>8/2出</t>
  </si>
  <si>
    <t>6/20-UPC贴纸+进口商贴纸+7/4-价标贴纸</t>
  </si>
  <si>
    <t>日期码格式：ZURU INC(BVI) 标准格式 日期：按实际生产日期
Packaging Info:
9298TQ1:MA 3L EAN包装+UPC贴纸+进口商贴纸+价标贴纸+箱唛
Remark: 1. 此单价格贴纸（ZURU定购).
2.此单有第三方监柜，不用额外准备备品，会在大货中每款拆1pc，拆了包装的产品会由监装员用客供胶带封好或在外箱上写上"opened by telescope"</t>
  </si>
  <si>
    <t>客户急出货，物料到齐后需要加急完货,CRD 07/18</t>
  </si>
  <si>
    <t>4500169751-40</t>
  </si>
  <si>
    <t>日期码格式：ZURU INC(BVI) 标准格式 日期：按实际生产日期
Packaging Info:
9298TQ1:MA 3L EAN PKG+MA PDQ+MA 多语收藏指南+进口商贴纸+客户条码贴纸+箱唛，进口商贴纸/客户条码贴纸可翻单PO#4500123283
Remark: 
9298TQ1:7 assortment (6 common + 1 rare)=CORGI(Rare):SHEPHERD:POODLE:DALMATIAN:SCHNAUZER:BROWN DALNATIAN:HOUND DOG=2:8:10:10:10:10:10;</t>
  </si>
  <si>
    <t>2025/8/4周一</t>
  </si>
  <si>
    <t>0926150156</t>
  </si>
  <si>
    <t>4500170802-110</t>
  </si>
  <si>
    <t>7/24第三方 自检</t>
  </si>
  <si>
    <t>ZB00852-7.24</t>
  </si>
  <si>
    <t>0926150158</t>
  </si>
  <si>
    <t>4500170802-120</t>
  </si>
  <si>
    <t>ZB01083-8.6</t>
  </si>
  <si>
    <t>0926150161</t>
  </si>
  <si>
    <t>4500170802-130</t>
  </si>
  <si>
    <t>ZB00946-7.29</t>
  </si>
  <si>
    <t>0926150162</t>
  </si>
  <si>
    <t>4500170802-140</t>
  </si>
  <si>
    <t>0926150164</t>
  </si>
  <si>
    <t>4500170802-150</t>
  </si>
  <si>
    <t>ZB01084-8.6</t>
  </si>
  <si>
    <t>0926150202</t>
  </si>
  <si>
    <t>4500170802-160</t>
  </si>
  <si>
    <t>ZB01030-8.4</t>
  </si>
  <si>
    <t>4500165982-80</t>
  </si>
  <si>
    <t>日期码格式：ZURU INC(BVI) 标准格式 日期：按实际生产日期
Packaging Info: 
9298TQ1: MA 3L EAN包装+UPC贴纸+进口商贴纸+价标贴纸+箱唛
Remark: 1. 此单价格贴纸（ZURU定购).
2.此单有第三方监柜，不用额外准备备品，会在大货中每款拆1pc，拆了包装的产品会由监装员用客供胶带封好或在外箱上写上""opened by telescope”</t>
  </si>
  <si>
    <t>客户急出货，物料到齐后需要加急完货，CRD 07/21</t>
  </si>
  <si>
    <t>2025/8/7周四</t>
  </si>
  <si>
    <t>Customer PO：
273767</t>
  </si>
  <si>
    <t>4500164564-10</t>
  </si>
  <si>
    <t>5/31收到</t>
  </si>
  <si>
    <t>空白贴纸翻单PO#4500164499</t>
  </si>
  <si>
    <t>日期码格式：ZURU INC(BVI) 标准格式 日期：按实际生产日期
Packaging Info: 92124：
1. MA -1L UPC包装+客人白色Cat.label 1张覆盖ZURU条码。
92119：MA 1L UPC最新全套包装+MA布标，包装加空白条码贴覆盖包装原条码，空白贴纸翻单PO#4500164499，确保卖场只能扫到92124的条码。
92104：MA 1L UPC最新全套包装+MA布标，包装加空白条码贴覆盖包装原条码，空白贴纸翻单PO#4500164499，确保卖场只能扫到92124的条码。
9298：MA 1L UPC最新全套包装+MA布标，包装加空白条码贴覆盖包装原条码，空白贴纸翻单PO#4500164499，确保卖场只能扫到92124的条码。
2.白色cat.label待提供，贴纸位置图翻单PO#4500164499。
-注意Cat.label （要求易撕类贴纸，但是粘性不能过低），同时此贴纸每个订单都是不相同的（会显示客户对应的订单号），切勿翻旧订单购买。此贴纸由ZURU提
供贴纸图稿和贴纸位置图给工厂后，工厂自行购买。
-请先检查条码是否正确再安排做，标签上的目录编号数字高度必须至少为5mm （14.17pt），
92124条码扫描结果应为7695690。
此订单对应客户3个PO号 ，备注有显示 ，注意分开做货/验货/装柜，混装有罚款。
Remark: *MA包装按最新版本安排即可(只要MA包装上含英文信息就可以)。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</si>
  <si>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Bella Wang</t>
  </si>
  <si>
    <t>Customer PO：
277441</t>
  </si>
  <si>
    <t>4500164564-20</t>
  </si>
  <si>
    <t>London Supply Group SA</t>
  </si>
  <si>
    <t>4500169604-30</t>
  </si>
  <si>
    <t>6/24收到</t>
  </si>
  <si>
    <t>日期码格式：ZURU INC(BVI) 标准格式 日期：按实际生产日期
Packaging Info: 
9298TQ1: MA 3L UPC PKG+MA PDQ+MA 多语收藏指南+箱唛
Remark:
9298TQ1: 7 assortment (6 common + 1 rare)=CORGI(Rare):SHEPHERD:POODLE:DALMATIAN:SCHNAUZER:BROWN DALNATIAN:HOUND DOG=2:8:10:10:10:10:10;</t>
  </si>
  <si>
    <t>2025/8/5周二</t>
  </si>
  <si>
    <t>4500169355-10</t>
  </si>
  <si>
    <t>日期码格式：ZURU INC(BVI) 标准格式 日期：按实际生产日期
Packaging Info: 1.9298 : 1L MA UPC 包装+进口商贴纸(含客人条码）， MA 说明书/指南（如有）；
Remark: 标准配比
1.外箱有贴纸：
外箱正唛两面需要印产品黑白款式的图片；
外箱侧唛（两面）的右上角各贴一张外箱贴纸.
2.此客户验货时需要提供以下三种图片，请务必拍照清晰图片：
产品净重图片；
产品+包装毛重图片；
一箱产品的毛重图片。</t>
  </si>
  <si>
    <t>4500169879-30</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</si>
  <si>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DOG=2:8:10:10:10:10:10;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</si>
  <si>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4500169878-40</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</si>
  <si>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DOG=2:8:10:10:10:10:10;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</si>
  <si>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252GF1</t>
  </si>
  <si>
    <t>4500164072-20</t>
  </si>
  <si>
    <t>8/1第三方</t>
  </si>
  <si>
    <t>日期码格式：DOLLAR GENERAL 格式日期码 日期：
Packaging Info: 1.包装：
#9298-S006-PKC: 客版收缩膜
客版AWs全部翻4500163953
Remark: 1.包装：
#9298-S006-PKC: 客版收缩膜
客版AWs全部翻4500163953
客户要求： "产品和包装不能含有PFAS 物质以及1,4 dioxane" 客户指定实验室做测试，请确保产品可以过美国标准ASTM F963-23测试。
#9298-S006-PKC客户特批单坑外箱。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#9298: 31704302H25
(2)产品日期码：
#9298: DOLGEN31704302H25 （打在蛋壳底部）
后三位H25代表25年8月的ETD 。
（3）UPC条形码：
#9298: 430001805807
3. 无价贴。
4. 无样板需求
5. 验货抽样事宜：
#9298：7月29早上进行客人指定TUV的100%验货
请在7月28前完成ZURU QC验货，并当天14点前提供验货报告+大货图片给跟单。
6. 箱唛：翻4500160244。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#9298- S006-PKC-RAINBOCORNS-PUPPYCORN SURPRISE-SERIES 8-SCENT SURPRISE PLUSH SMALL SHRINK WRAP,2PCS/Polybag,6pcs/3Polybag/CTN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#9298-S006-PKC内袋翻4500149775 .</t>
  </si>
  <si>
    <t>ZB01141-8.8</t>
  </si>
  <si>
    <t>跟回全套旧版本包材</t>
  </si>
  <si>
    <t>4500171335-80</t>
  </si>
  <si>
    <t>6/26-UPC 贴纸</t>
  </si>
  <si>
    <t>日期码格式：ZURU INC(BVI) 标准格式 日期：按实际生产日期
Packaging Info:、
9298 无硼版本 标版 C版 3L 收缩膜 +UPC 贴纸 ， B 版收藏指南， UPC 193052057426
Remark: 出加拿大
有客供价格贴
每行对应不同的客户PO，唛头要一一对应， 放唛头时跟单会提供清单
Zuru验货.日期跟踪码：产品外包装及产品本身都必须有日期跟踪码，ZURU标准格式
日期码</t>
  </si>
  <si>
    <t>2025/8/8周五</t>
  </si>
  <si>
    <t>4500171335-180</t>
  </si>
  <si>
    <t>4500171335-280</t>
  </si>
  <si>
    <t>4500171335-370</t>
  </si>
  <si>
    <t>4500171335-500</t>
  </si>
  <si>
    <t>4500171342-60</t>
  </si>
  <si>
    <t>日期码格式：ZURU INC(BVI) 标准格式 日期：按实际生产日期
Packaging Info: 
9298 无硼版本 标版 C版 3L 收缩膜 +UPC 贴纸 ， B 版收藏指南， UPC 193052057426
Remark: 出加拿大
有客供价格贴
每行对应不同的客户PO，唛头要一一对应， 放唛头时跟单会提供清单
Zuru验货.日期跟踪码：产品外包装及产品本身都必须有日期跟踪码，ZURU标准格式
日期码</t>
  </si>
  <si>
    <t>4500171342-120</t>
  </si>
  <si>
    <t>4500171342-180</t>
  </si>
  <si>
    <t>4500171342-230</t>
  </si>
  <si>
    <t>0927868757</t>
  </si>
  <si>
    <t>4500172341-10</t>
  </si>
  <si>
    <t>8/7第三方（自检）</t>
  </si>
  <si>
    <t>日期码格式：ZURU INC(BVI) 标准格式 日期：按实际生产日期
Packaging Info:
Remark: 9298:
1.包装信息：MA A版 UPC版 1L收缩膜，MA A版 5L收藏指南，MA A版贴纸袋子，MA A版配件袋子，MA A版 5L口水胶袋，MA A版 3L贴纸，MA B版车缝布标，客版PDQ
（1facing2pcs/PDQ），客版布标贴纸，客供RFID贴纸（位置由我们提供）。
2.外箱四面印刷RFID箱唛，主唛左前下角印刷艾利贴纸替代标箱唛(ITF-14格式)，此条码只印刷一面，ZURU新logo右下角四面印刷，主唛右下角加印 MADE IN CHI
NA
，每个slip sheet上面贴一张艾利贴纸（工厂自己打印）和一张普通贴纸（可A4纸打印），slip sheet打印的普通贴纸的尺寸不能比艾利贴纸小。
3.在产品上和包装上要有日期码（避开周末和节假日）以及要有MADE IN CHINA和ZURU字样。4.产品如有扎带口要剪平，不能刮手。
5.此单需要第三方验货，请自行多备包装物料。
6.此单打卡板出货（32x7H=192carton=384pcs/Slip Sheet）。
7.其它信息：7 assortment (6 common + 1 rare)=CORGI : SHEPHERD : POODLE : DALMATIAN : SCHNAUZER : BROWN DALNATIAN : HOUND DOG=2:8:10:10:10:10:1
0</t>
  </si>
  <si>
    <t>ZB01339-8.19</t>
  </si>
  <si>
    <t>0927868760</t>
  </si>
  <si>
    <t>4500172341-20</t>
  </si>
  <si>
    <t>ZB01201-8.12</t>
  </si>
  <si>
    <t>0927868763</t>
  </si>
  <si>
    <t>4500172341-30</t>
  </si>
  <si>
    <t>8/9出</t>
  </si>
  <si>
    <t>ZB01297-8.16</t>
  </si>
  <si>
    <t>0927868775</t>
  </si>
  <si>
    <t>4500172341-40</t>
  </si>
  <si>
    <t>ZB01202-8.12</t>
  </si>
  <si>
    <t>0927868777</t>
  </si>
  <si>
    <t>4500172341-50</t>
  </si>
  <si>
    <t>ZB01238-8.13</t>
  </si>
  <si>
    <t>0927868789</t>
  </si>
  <si>
    <t>4500172341-60</t>
  </si>
  <si>
    <t>8/15出</t>
  </si>
  <si>
    <t>ZB01174R1-8.11</t>
  </si>
  <si>
    <t>0927868795</t>
  </si>
  <si>
    <t>4500172341-70</t>
  </si>
  <si>
    <t>ZB01237-8.13</t>
  </si>
  <si>
    <t>4500171272-20</t>
  </si>
  <si>
    <t>7/18-UPC贴纸</t>
  </si>
  <si>
    <t>日期码格式：ZURU INC(BVI) 标准格式 日期：按实际生产日期
Packaging Info:
9298TQ1:MA多语EAN包装+UPC贴纸+MA多语收藏指南+MA PDQ+箱唛
Remark: 9298TQ1：7 assortment (6 common + 1 rare)=CORGI:SHEPHERD:POODLE:DALMATIAN:SCHNAUZER:BROWN DALNATIAN:HOUND DOG=2:8:10:10:10:10:10;</t>
  </si>
  <si>
    <t>最晚8/6</t>
  </si>
  <si>
    <t>4500172203-40</t>
  </si>
  <si>
    <t>2025/8/9周六</t>
  </si>
  <si>
    <t>4500164451-50</t>
  </si>
  <si>
    <t>注意:外包装(指:收缩膜/彩卡/铝箔袋/挂卡/PDQ)/外箱不要打ZURU标准日期码!胶件可以打日期码。</t>
  </si>
  <si>
    <t>日期码格式：外包装/外箱不要打ZURU标准日期码 日期：
Packaging Info: 注意:外包装(指:收缩膜/彩卡/铝箔袋/挂卡/PDQ)/外箱不要打ZURU标准日期码!胶件可以打日期码。
9298TQ1 : 客版收缩膜 ， MA 指南/说明书（如有）, 1L MA PDQ ；
Remark: 标准配比
请按期完货， 会有罚金。
出2个港口Bekasovo 2 &lt;(&gt;&amp;&lt;)&gt; Ural</t>
  </si>
  <si>
    <t>9298TQ1-S001-3</t>
  </si>
  <si>
    <t>2025/8/11周一</t>
  </si>
  <si>
    <t>4500164451-140</t>
  </si>
  <si>
    <t>收到SO，预计8/6出</t>
  </si>
  <si>
    <t>4500171253-100</t>
  </si>
  <si>
    <t>7/11收到</t>
  </si>
  <si>
    <t>7/18-进口商贴纸同UPC贴纸合并一张</t>
  </si>
  <si>
    <t>日期码格式：ZURU INC(BVI) 标准格式 日期：按实际生产日期
Packaging Info: 
9298TQ1 MA多语EAN包装+MA多语收藏指南+MA PDQ+进口商贴纸（进口商贴纸同UPC贴纸合并一张）+箱唛
Remark: LR44 BATTERY 指定品牌 NEW LEADER；AAA BATTERIES 指定品牌 VINNIC
9298TQ1 7 assortment (6 common + 1 rare)=CORGI:SHEPHERD:POODLE:DALMATIAN:SCHNAUZER:BROWN DALNATIAN:HOUND DOG=2:8:10:10:10:10:10;</t>
  </si>
  <si>
    <t>未确认到订单</t>
  </si>
  <si>
    <t>4500172103-30</t>
  </si>
  <si>
    <t>日期码格式：ZURU INC(BVI) 标准格式 日期：按实际生产日期
Packaging Info: 请确保包装上的条形码是UPC，如果是babyUPC，需要用mother UPC覆盖，如有不一致，请及时提出。谢谢!
9298TQ1 MA多语EAN包装+UPC贴纸+MA多语收藏指南+MA PDQ+箱唛
Remark:
9298TQ1,,7 assortment (6 common + 1 rare)=CORGI:SHEPHERD:POODLE:DALMATIAN:SCHNAUZER:BROWN DALNATIAN:HOUND DOG=2:8:10:10:10:10:10;,,</t>
  </si>
  <si>
    <t>2025/8/12周二</t>
  </si>
  <si>
    <t>4500171778-30</t>
  </si>
  <si>
    <t>Marshalls
PO#777702
SKU#857124
DC#881-450pcs
,
DC#884-528pcs
,
DC#886-378pcs
,
DC#887-378pcs
,
DC#888-468pcs</t>
  </si>
  <si>
    <t>4500172365-90</t>
  </si>
  <si>
    <t>2025/8/14周四</t>
  </si>
  <si>
    <t>TJ MAXX
PO#777711
SKU#137014
DC#891-546pcs
,
DC#894-372pcs
,
DC#896-342pcs
,
DC#897-702pcs
,
DC#898-438pcs</t>
  </si>
  <si>
    <t>4500172370-90</t>
  </si>
  <si>
    <t>TALENT SHOW D.O.O.</t>
  </si>
  <si>
    <t>4500171332-30</t>
  </si>
  <si>
    <t>进口商贴纸翻4500163328</t>
  </si>
  <si>
    <t>日期码格式：ZURU INC(BVI) 标准格式 日期：按实际生产日期
Packaging Info:
9298TQ1：B 版 3L MA 收藏指南+进口商贴纸（贴纸翻4500163328）；A 版 5L MA收藏指南/MA PDQ
Remark: 1、若产品有比例使用ZURU STD 比例
2、所有item 均用MA EAN条码，若包装上的EAN 条码与PO 不一致的请告知
3、此单出欧洲需满足EU测试标准要求</t>
  </si>
  <si>
    <t>Snowy Wu</t>
  </si>
  <si>
    <t>8N777NKU</t>
  </si>
  <si>
    <t>4500172612-80</t>
  </si>
  <si>
    <t>7/23-外箱贴纸</t>
  </si>
  <si>
    <t>8HHGX8PB</t>
  </si>
  <si>
    <t>4500172612-90</t>
  </si>
  <si>
    <t>6KEAJO7K</t>
  </si>
  <si>
    <t>4500172612-100</t>
  </si>
  <si>
    <t>111BCUWQ</t>
  </si>
  <si>
    <t>4500172612-110</t>
  </si>
  <si>
    <t>8K9NQ42W</t>
  </si>
  <si>
    <t>4500172612-120</t>
  </si>
  <si>
    <t>8T295RLQ</t>
  </si>
  <si>
    <t>4500172612-130</t>
  </si>
  <si>
    <t>7XIT9CUH</t>
  </si>
  <si>
    <t>4500172612-140</t>
  </si>
  <si>
    <t>1GLDWEYM</t>
  </si>
  <si>
    <t>4500172612-150</t>
  </si>
  <si>
    <t>888NWOFE</t>
  </si>
  <si>
    <t>4500172612-160</t>
  </si>
  <si>
    <t>5FKTPCCR</t>
  </si>
  <si>
    <t>4500172612-170</t>
  </si>
  <si>
    <t>78JPRYGI</t>
  </si>
  <si>
    <t>4500172612-180</t>
  </si>
  <si>
    <t>3B8XFMYK</t>
  </si>
  <si>
    <t>4500172612-190</t>
  </si>
  <si>
    <t>1CVUP79I</t>
  </si>
  <si>
    <t>4500172612-200</t>
  </si>
  <si>
    <t>13XTTFFO</t>
  </si>
  <si>
    <t>4500172612-210</t>
  </si>
  <si>
    <t>8IK8SODK</t>
  </si>
  <si>
    <t>4500172612-220</t>
  </si>
  <si>
    <t>8RT1T8NH</t>
  </si>
  <si>
    <t>4500172612-230</t>
  </si>
  <si>
    <t>2CWBJ6VY</t>
  </si>
  <si>
    <t>4500172604-330</t>
  </si>
  <si>
    <t>8XYUW55G</t>
  </si>
  <si>
    <t>4500172604-340</t>
  </si>
  <si>
    <t>87WVRVYB</t>
  </si>
  <si>
    <t>4500172604-350</t>
  </si>
  <si>
    <t>26A9UENW</t>
  </si>
  <si>
    <t>4500172604-360</t>
  </si>
  <si>
    <t>47W9E9HP</t>
  </si>
  <si>
    <t>4500172604-370</t>
  </si>
  <si>
    <t>5XBFZRPF</t>
  </si>
  <si>
    <t>4500172604-380</t>
  </si>
  <si>
    <t>1IAP2FJB</t>
  </si>
  <si>
    <t>4500172604-390</t>
  </si>
  <si>
    <t>3GS88YJD</t>
  </si>
  <si>
    <t>4500172604-400</t>
  </si>
  <si>
    <t>6IUB3CSY</t>
  </si>
  <si>
    <t>4500172604-410</t>
  </si>
  <si>
    <t>ARCHIBRAND, S.A. DE C.V.</t>
  </si>
  <si>
    <t>4500170750-10</t>
  </si>
  <si>
    <t>7/11-UPC条码贴纸+进口商贴纸</t>
  </si>
  <si>
    <t>日期码格式：ZURU INC(BVI) 标准格式 日期：按实际生产日期
Packaging Info: 9298TQ1:MA 3L EAN PKG+UPC条码贴纸+MA PDQ+MA 收藏指南+进口商贴纸+箱唛
所有带电产品的保证书通用1份
Remark: 9298TQ1:N/A7 assortment (6 common + 1 rare)=CORGI:SHEPHERD:POODLE:DALMATIAN:SCHNAUZER:BROWN DALNATIAN:HOUND DOG=2:8:10:10:10:10:10;</t>
  </si>
  <si>
    <t>4500164457-50</t>
  </si>
  <si>
    <t>日期码格式：外包装/外箱不要打ZURU标准日期码 日期：
Packaging Info: 注意:外包装(指:收缩膜/彩卡/铝箔袋/挂卡/PDQ)/外箱不要打ZURU标准日期码!胶件可以打日期码。
9298TQ1 : 客版收缩膜翻4500164451 ， MA 指南/说明书（如有）, 1L MA PDQ ；
Remark: 标准配比
请按期完货， 会有罚金。
出2个港口Bekasovo 2 &lt;(&gt;&amp;&lt;)&gt; Ural</t>
  </si>
  <si>
    <t>4500164457-140</t>
  </si>
  <si>
    <t>Customer PO:
277463</t>
  </si>
  <si>
    <t>4500171941-10</t>
  </si>
  <si>
    <t>收到SO，预计，8/9-8/13出</t>
  </si>
  <si>
    <t>6/30收到</t>
  </si>
  <si>
    <t>7/9-客人白色Cat.label覆盖ZURU条码+空白贴纸</t>
  </si>
  <si>
    <t>日期码格式：ZURU INC(BVI) 标准格式 日期：按实际生产日期
Packaging Info: 1. MA -1L UPC包装+客人白色Cat.label 1张覆盖ZURU条码。
9298：MA 1L UPC最新全套包装+MA布标，包装加空白条码贴覆盖包装原条码，空白贴纸翻单PO#4500164499，确保卖场只能扫到92124的条码。
2.白色cat.label待提供，贴纸位置图翻单PO#4500164499。
3.注意Cat.label （要求易撕类贴纸，但是粘性不能过低），同时此贴纸每个订单都是不相同的（会显示客户对应的订单号），切勿翻旧订单购买。此贴纸由ZURU
提供贴纸图稿和贴纸位置图给工厂后，工厂自行购买。
4.请先检查条码是否正确再安排做，标签上的目录编号数字（7695690）高度必须至少为5mm （14.17pt），条码扫描结果应为7695690。
Remark: *MA包装按最新版本安排即可(只要MA包装上含英文信息就可以)。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</si>
  <si>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Customer PO:
273769</t>
  </si>
  <si>
    <t>4500171941-20</t>
  </si>
  <si>
    <t xml:space="preserve">美国 </t>
  </si>
  <si>
    <t>4500170119-10</t>
  </si>
  <si>
    <t>8/17出</t>
  </si>
  <si>
    <t>ZB01310-8.16</t>
  </si>
  <si>
    <t>4500170092-10</t>
  </si>
  <si>
    <t>ZB01311-8.16</t>
  </si>
  <si>
    <t>2025/8/15周五</t>
  </si>
  <si>
    <t>4500172515-20</t>
  </si>
  <si>
    <t>日期码格式：ZURU INC(BVI) 标准格式 日期：按实际生产日期
Packaging Info:
9298 MA3L (9L warning) 最新EAN包装+1张客供价格贴纸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</si>
  <si>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2025/8/16周六</t>
  </si>
  <si>
    <t>4500172745-10</t>
  </si>
  <si>
    <t>7/4收到</t>
  </si>
  <si>
    <t>7/21-外箱贴纸</t>
  </si>
  <si>
    <t>日期码格式：ZURU INC(BVI) 标准格式 日期：按实际生产日期
Packaging Info: 1. ZURU MA （首选1L）UPC版本+外箱贴纸（为方便进行装柜区分，请按照后续提供的外箱贴纸文档去粘贴外箱），出口美国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外箱贴纸需要按照SHIPMENT ID (不会显示在贴纸上，在贴纸资料文档上命名上）去区分，也就是同个item line 但是SHIPMENT ID 不一样不可以混在一起
，贴纸和大货需要区分开，最后装柜会在不同的柜子里面。</t>
  </si>
  <si>
    <t>ZB01340-8.19</t>
  </si>
  <si>
    <t>4500172745-20</t>
  </si>
  <si>
    <t>日期码格式：ZURU INC(BVI) 标准格式 日期：按实际生产日期
Packaging Info: 9298 MA3L (9L warning) 最新EAN包装+1张客供价格贴纸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</si>
  <si>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70072665</t>
  </si>
  <si>
    <t>4500171781-20</t>
  </si>
  <si>
    <t>8/22出</t>
  </si>
  <si>
    <t>7/14-客供价格贴纸</t>
  </si>
  <si>
    <t>8/15 OK</t>
  </si>
  <si>
    <t>4500172499-20</t>
  </si>
  <si>
    <t>7/14收到-外箱上下需加保护卡，以防开箱时产品被划破。（保护卡需要是整面）</t>
  </si>
  <si>
    <t>日期码格式：ZURU INC(BVI) 标准格式 日期：按实际生产日期
Packaging Info:
9298TQ2-S001-NB: MA C版3L+23L警语ETA收缩膜，MA B版 5L+23L警语收藏指南，MA C版5L POOP袋子，MA B版PDQ
Remark: 1. 需准时完货，如有推期会有罚款。
2. 此客户要求：化学品无硼无香。
3. 出口欧洲，微塑料需符合法规，电池符合欧洲法规要求(如有)
4. 外箱上下需加保护卡，以防开箱时产品被划破。（保护卡需要是整面）
5. 此单出德国，走整柜请知悉。
6. 所有电子产品身上需要加字唛，为ZURU FRANCE 地址 (如无电子产品，产品布标有此地址，可忽略此信息；如无法在产品上加字唛，请找跟单提供Zuru France
地址贴纸)
ZURU France 1/3, Rue d'Argenteuil 95210 SAINT-GRATIEN, FRANCE
7. 所有出往德国订单的电子产品需增加一张客版WEEE声明说明书，区分带电池和不带电池版本, 如已做客版说明书可忽略此要求。
8. STD配比</t>
  </si>
  <si>
    <t>Nicole Ye</t>
  </si>
  <si>
    <t>PGT-684629</t>
  </si>
  <si>
    <t>4500166910-40</t>
  </si>
  <si>
    <t>GP- Giocheria</t>
  </si>
  <si>
    <t>4500163718-10</t>
  </si>
  <si>
    <t>6/20收到</t>
  </si>
  <si>
    <t>客人警语贴纸翻4500163648</t>
  </si>
  <si>
    <t>ZUR5201，产品/包装（收缩膜等）/外箱 请保持一致</t>
  </si>
  <si>
    <t>日期码格式：ZUR5201 日期：
Packaging Info: 1.9298：最新MA 3L EAN收缩膜+最新MA 5L收藏指南+最新MA 5L包装+最新MA 2L布标+最新MA PDQ+一张客人警语贴纸，翻4500163648
Remark: 1.客人日期码：ZUR5201，产品/包装（收缩膜等）/外箱 请保持一致
2.含Slime产品，所有化合物使用无硼版本出意大利
3.请自行根据产品是否带电池出货，相应订购"欧洲通用说明书EN+30L"</t>
  </si>
  <si>
    <t>Lena Li</t>
  </si>
  <si>
    <t>4500163648-10</t>
  </si>
  <si>
    <t>7/25-客人警语贴纸</t>
  </si>
  <si>
    <t>ZUR5201，产品/包装(收缩膜）/外箱 请保持一致</t>
  </si>
  <si>
    <t>日期码格式：ZUR5201 日期：
Packaging Info: 1.9298:最新MA 3L EAN收缩膜+最新MA 5L收藏指南+最新MA 5L包装+最新MA 2L布标+最新MA PDQ/展示架+一张客人警语贴纸
Remark: 1.大货样品2套，请多备料
2.客人日期码：ZUR5201，产品/包装(收缩膜）/外箱 请保持一致
3.含Slime产品，所有化合物使用无硼版本出意大利
4.请自行根据产品是否带电池出货，相应订购"欧洲通用说明书EN+30L"</t>
  </si>
  <si>
    <t>4500163683-10</t>
  </si>
  <si>
    <t>ZUR5201，产品/包装/外箱 请保持一致</t>
  </si>
  <si>
    <t>日期码格式：ZUR5201 日期：
Packaging Info: 1.9298：最新MA 3L EAN收缩膜+最新MA 5L收藏指南+最新MA 5L包装+最新MA 2L布标+最新MA PDQ/展示架+一张客人警语贴纸，翻4500163648
Remark:
2.客人日期码：ZUR5201，产品/包装/外箱 请保持一致
3.含Slime产品，所有化合物使用无硼版本出意大利
4.请自行根据产品是否带电池出货，相应订购"欧洲通用说明书EN+30L"</t>
  </si>
  <si>
    <t>4500163718-20</t>
  </si>
  <si>
    <t>日期码格式：ZUR5201 日期：
Packaging Info: 
2.9298F: 最新MA 3L EAN收缩膜+最新MA 5L收藏指南+最新MA 5L包装+最新MA 2L布标+最新MA展示架+一张客人警语贴纸，翻4500163648
Remark: 1.客人日期码：ZUR5201，产品/包装（收缩膜等）/外箱 请保持一致
2.含Slime产品，所有化合物使用无硼版本出意大利
3.请自行根据产品是否带电池出货，相应订购"欧洲通用说明书EN+30L"</t>
  </si>
  <si>
    <t>4500163648-20</t>
  </si>
  <si>
    <t>4500163683-20</t>
  </si>
  <si>
    <t>日期码格式：ZUR5201 日期：
Packaging Info: 
Remark:
2.客人日期码：ZUR5201，产品/包装/外箱 请保持一致
3.含Slime产品，所有化合物使用无硼版本出意大利
4.请自行根据产品是否带电池出货，相应订购"欧洲通用说明书EN+30L"</t>
  </si>
  <si>
    <t>H&amp;D RETAIL PTY LTD T/AS TOYMATE</t>
  </si>
  <si>
    <t>PO1132537-YTFCL-MELB</t>
  </si>
  <si>
    <t>4500173120-40</t>
  </si>
  <si>
    <t>日期码格式：ZURU INC(BVI) 标准格式 日期：按实际生产日期
Packaging Info: 
9298TQ1： 英文MA包装(UPC版本，首选1L，无1L可用多L含英语)+箱唛+1张进口商贴纸；
7 assortment (6 common + 1 rare)=CORGI(Rare):SHEPHERD:POODLE:DALMATIAN:SCHNAUZER:BROWN DALNATIAN:HOUND DOG=2:8:10:10:10:10:10;
Remark: 此单出澳大利亚，请按澳洲标准生产并满足当地法规要求</t>
  </si>
  <si>
    <t>PO1132536-YTFCL-BRIS</t>
  </si>
  <si>
    <t>4500173107-40</t>
  </si>
  <si>
    <t>日期码格式：ZURU INC(BVI) 标准格式 日期：按实际生产日期
Packaging Info:
9298TQ1： 英文MA包装(UPC版本，首选1L，无1L可用多L含英语)+箱唛+1张进口商贴纸；
7 assortment (6 common + 1 rare)=CORGI(Rare):SHEPHERD:POODLE:DALMATIAN:SCHNAUZER:BROWN DALNATIAN:HOUND DOG=2:8:10:10:10:10:10;
Remark: 此单出澳大利亚，请按澳洲标准生产并满足当地法规要求</t>
  </si>
  <si>
    <t>PO1132539-YTF
CL-PER</t>
  </si>
  <si>
    <t>4500173092-30</t>
  </si>
  <si>
    <t>日期码格式：ZURU INC(BVI) 标准格式 日期：按实际生产日期
Packaging Info: 
6. 9298TQ1： 英文MA包装(UPC版本，首选1L，无1L可用多L含英语)+箱唛+1张进口商贴纸；
7 assortment (6 common + 1 rare)=CORGI(Rare):SHEPHERD:POODLE:DALMATIAN:SCHNAUZER:BROWN DALNATIAN:HOUND DOG=2:8:10:10:10:10:10;
Remark: 1. 此单出澳大利亚，请按澳洲标准生产并满足当地法规要求</t>
  </si>
  <si>
    <t>PO1132538-YTFCL-PARA</t>
  </si>
  <si>
    <t>4500173094-40</t>
  </si>
  <si>
    <t>日期码格式：ZURU INC(BVI) 标准格式 日期：按实际生产日期
Packaging Info: 
7. 9298TQ1： 英文MA包装(UPC版本，首选1L，无1L可用多L含英语)+箱唛+1张进口商贴纸；
7 assortment (6 common + 1 rare)=CORGI(Rare):SHEPHERD:POODLE:DALMATIAN:SCHNAUZER:BROWN DALNATIAN:HOUND DOG=2:8:10:10:10:10:10;
Remark: 1. 此单出澳大利亚，请按澳洲标准生产并满足当地法规要求</t>
  </si>
  <si>
    <t>PO1132535-YTF
C2-SYD</t>
  </si>
  <si>
    <t>4500173087-80</t>
  </si>
  <si>
    <t>PO1132540-YTFCL-TWNS</t>
  </si>
  <si>
    <t>4500173090-40</t>
  </si>
  <si>
    <t>未受影响订单</t>
  </si>
  <si>
    <t>70072668</t>
  </si>
  <si>
    <t>4500171783-30</t>
  </si>
  <si>
    <t>8/29出</t>
  </si>
  <si>
    <t>8/2-客供价格贴纸</t>
  </si>
  <si>
    <t>0931286856</t>
  </si>
  <si>
    <t>4500173940-10</t>
  </si>
  <si>
    <t>8/22第三方(自检）</t>
  </si>
  <si>
    <t>外箱四面印刷RFID箱唛，主唛左前下角印刷艾利贴纸替代标箱唛(ITF-14格式)，此条码只印刷一面，ZURU新logo右下角四面印刷，主唛右下角加印 MADE IN CHI
 NA</t>
  </si>
  <si>
    <t>艾利贴纸（工厂自己打印）和一张普通贴纸（可A4纸打印）</t>
  </si>
  <si>
    <t>布标贴纸+7/23客供RFID贴纸</t>
  </si>
  <si>
    <t>ZURU DGYYYYMMDD CHINA(日期避开周末和法定节假日即可）</t>
  </si>
  <si>
    <t>0931286857</t>
  </si>
  <si>
    <t>4500173940-20</t>
  </si>
  <si>
    <t>0931286867</t>
  </si>
  <si>
    <t>4500173940-30</t>
  </si>
  <si>
    <t>ZB01707-9.5</t>
  </si>
  <si>
    <t>0931286901</t>
  </si>
  <si>
    <t>4500173940-40</t>
  </si>
  <si>
    <t>0931286903</t>
  </si>
  <si>
    <t>4500173940-50</t>
  </si>
  <si>
    <t>0931286928</t>
  </si>
  <si>
    <t>4500173940-60</t>
  </si>
  <si>
    <t>ZB01658-9.3</t>
  </si>
  <si>
    <t>0931286937</t>
  </si>
  <si>
    <t>4500173940-70</t>
  </si>
  <si>
    <t>出B-2</t>
  </si>
  <si>
    <t>4500176865-20</t>
  </si>
  <si>
    <t>4500159526转单（消耗PO-4500159526，2088pcs加406单中33pcs）406剩余：373</t>
  </si>
  <si>
    <t>全数使用4500159526/4500159511 成品库存</t>
  </si>
  <si>
    <t>不需
要返工贴纸和外箱</t>
  </si>
  <si>
    <t>日期码格式：外包装/外箱不要打ZURU标准日期码 日期：
Packaging Info: 注意 ：外包装 (指: 收缩膜/彩卡/铝箔袋/挂卡/PDQ) /外箱不要打ZURU标准日期码！胶件可以打日期码。
92124 ： 全数使用4500159526/4500159511 成品库存， 不需要返工贴纸和外箱 ； 里面combo 产品1L MA 收缩膜（不含任何条码）+ 空白贴纸覆盖条码）， 客
版托盘 ，MA指南/说明书（如有）；
Remark: 标准配比 ；
请按期完货， 会有罚金。
出2个港口Bekasovo 2 和Ural .
此单消耗成品在仓，随时走货</t>
  </si>
  <si>
    <t>4500176865-30</t>
  </si>
  <si>
    <t>4500159526转单（消耗PO-4500159526，6144pcs）6144剩余：1272pcs</t>
  </si>
  <si>
    <t>日期码格式：外包装/外箱不要打ZURU标准日期码 日期：
Packaging Info: 注意 ：外包装 (指: 收缩膜/彩卡/铝箔袋/挂卡/PDQ) /外箱不要打ZURU标准日期码！胶件可以打日期码。
92123 ： 全数使用4500159526 成品库存， 不需要返工贴纸和外箱 ； 92123 ： 里面combo 产品1L MA 收缩膜（不含任何条码）+ 空白贴纸覆盖条码）， 客版托
盘 ，MA指南/说明书（如有）；
Remark: 标准配比 ；
请按期完货， 会有罚金。
出2个港口Bekasovo 2 和Ural .
此单消耗成品在仓，随时走货</t>
  </si>
  <si>
    <t>4500176865-50</t>
  </si>
  <si>
    <t>4500159526转单（消耗PO-4500159526,406单中剩余的373pcs，再消耗PO-4500159511，711单中386pcs）711剩余：325</t>
  </si>
  <si>
    <t>4500176865-60</t>
  </si>
  <si>
    <t>4500159526转单（消耗PO-4500159526,6144pcs单中1272）6144剩余：0</t>
  </si>
  <si>
    <t>4500172669-20</t>
  </si>
  <si>
    <t>客人通用进口商贴纸翻单4500133774</t>
  </si>
  <si>
    <t>客户PO
2734606</t>
  </si>
  <si>
    <t>4500164512-10</t>
  </si>
  <si>
    <t>日期码格式：ZURU INC(BVI) 标准格式 日期：按实际生产日期
Packaging Info: 9298TQ4:MA UPC 收缩膜，MA指南，客版PDQ翻 Morrison po#4500142847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</si>
  <si>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ZURU SPAIN S.L.</t>
  </si>
  <si>
    <t>5200007239</t>
  </si>
  <si>
    <t>4500173486-40</t>
  </si>
  <si>
    <t>7/14收到</t>
  </si>
  <si>
    <t>意大利环保标贴纸翻4500170289</t>
  </si>
  <si>
    <t>日期码格式：ZURU INC(BVI) 标准格式 日期：按实际生产日期
Packaging Info: 
9298TQ1：最新MA3L(23L warning) EAN收缩膜+最新MA5L收藏指南+最新MA PDQ+意大利环保标贴纸（贴纸翻4500170289）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所有订单出口西班牙都需要有西班牙环保标和西班牙/葡萄牙警语的说明
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</si>
  <si>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4500173473-10</t>
  </si>
  <si>
    <t>客版PDQ翻4500142847</t>
  </si>
  <si>
    <t>日期码格式：ZURU INC(BVI) 标准格式 日期：按实际生产日期
Packaging Info: 9298TQ4:MA UPC 收缩膜，MA指南，客版PDQ翻 Morrison po#4500142847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</si>
  <si>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Zoe Zhou</t>
  </si>
  <si>
    <t>96286-9.1</t>
  </si>
  <si>
    <t>4500174183-130</t>
  </si>
  <si>
    <t>7/24-客人款号带EAN条码4894680029828贴纸</t>
  </si>
  <si>
    <t>日期码格式：ZURU INC(BVI) 标准格式 日期：按实际生产日期
Packaging Info: 
9298TQ1:MA 3L+23L警语彩盒+1张客人款号带EAN条码（4894680029828）贴纸，MA 布标，MA 5L+9Lpolybag,MA B版 5L+23L收藏指南，MA 贴纸， MA最新版PDQ
Remark: 1.所有产品按符合欧洲标准走货，微塑料需合规。
2.所有包装材料都不允许PVC, 请用PET代替
3.样板需求： 每个item 需要寄出1 PC 大货样，请多备料
4.日期码和批次号都要打在产品和包装上，日期码按ZURU标准格式，批次号是IO-2501981（IO是大写英文字母）
5.所有出往欧洲市场订单的电子产品需增加一张WEEE声明说明书，区分带电池和不带电池版本, 如已做客版说明书可忽略此要求。
6. 客人款号:
9298TQ1:576-9298</t>
  </si>
  <si>
    <t>AB GEE OF RIPLEY LTD.</t>
  </si>
  <si>
    <t>777 4SEP</t>
  </si>
  <si>
    <t>4500173548-10</t>
  </si>
  <si>
    <t>日期码格式：ZURU INC(BVI) 标准格式 日期：按实际生产日期
Packaging Info: 9298TQ1-S003:MA 最新UPC包装,配比请跟MA
UPC#193052057426, 请先检查条码是否正确再安排做货，如有问题请告知
以上产品如果是电子产品带电池出货，请加上WEEE带电池走货欧洲30语B版通用黑白说明书, 如果是电子产品不带电池出货，请加上WEEE不带电池走货欧洲30语B版
通用黑白说明书
Remark: 1.产品及包装需要印UKCA图标，包装需要有ZURU UK LTD/ZURU France地址信息，QC同事请核查，如有问题与跟单确认。
2. 需要符合欧洲标准不能含有闪粉和微塑料，否则不合法规会有客诉产生</t>
  </si>
  <si>
    <t>FRATELLO (PTY) LTD</t>
  </si>
  <si>
    <t>1100029671-3</t>
  </si>
  <si>
    <t>4500173241-150</t>
  </si>
  <si>
    <t>空白贴纸覆盖条码</t>
  </si>
  <si>
    <t>4500173241-70</t>
  </si>
  <si>
    <t>客制彩盒翻4500163957）</t>
  </si>
  <si>
    <t>日期码格式：ZURU INC(BVI) 标准格式 日期：按实际生产日期
Packaging Info: MA PKG , 优先1L
92123：客制彩盒（翻单4500163957），#92104 &lt;(&gt;&amp;&lt;)&gt;#9298 : MA 1L PKG +1张空白贴纸覆盖条码
(出旧版有手脚公仔）
Remark:</t>
  </si>
  <si>
    <t>4500164464-50</t>
  </si>
  <si>
    <t>4500164464-140</t>
  </si>
  <si>
    <t>RURAL KING</t>
  </si>
  <si>
    <t>39B5VH3A</t>
  </si>
  <si>
    <t>空白外箱加印ZURU Logo（四面加印）+MADE IN CHINA（只印一正一侧）+SSCC LABEL(客供贴纸），无shipping mark,日期使用ZURU 标准版本。SSCC Label显示
 的是客人自己的item#，SSCC Label 贴在外箱正面的正中间，贴一面即可，跟单订购，贴纸离外箱距必须至少3cm,每一张SSCC Label都是唯一且有不同流水及条码的
 没有损耗，绝对不可贴错，否则贴错或损坏一张会导致全部都错，千万要注意！</t>
  </si>
  <si>
    <t>8/15-进口商贴纸+UPC贴纸</t>
  </si>
  <si>
    <t>8/18-SSCC LABEL贴纸</t>
  </si>
  <si>
    <t>Date code format:ZURU INC(BVI) 标准格式                  Date：按实际生产日期MA 3L+进口商贴纸+SSCC LABEL(客供贴纸）+UPC贴纸（如果需要), Fuggler的产品入window box后再加polybag，polybag需印刷warning，polybag size                                                                                                                                                                                                            1. Amazon FOB订单，出口Mexico，外箱最长边不能超过25" （超过了，case pack只能为1），不符合要求的大货，一律不接受。
 2. 空白外箱加印ZURU Logo（四面加印）+MADE IN CHINA（只印一正一侧）+SSCC LABEL(客供贴纸），无shipping mark,日期使用ZURU 标准版本。SSCC Label显示
 的是客人自己的item#，SSCC Label 贴在外箱正面的正中间，贴一面即可，跟单订购，贴纸离外箱距必须至少3cm,每一张SSCC Label都是唯一且有不同流水及条码的
 没有损耗，绝对不可贴错，否则贴错或损坏一张会导致全部都错，千万要注意！
 3. 日期码使用ZURU标准</t>
  </si>
  <si>
    <t>Candy@zuru.com</t>
  </si>
  <si>
    <t>4500174240-20</t>
  </si>
  <si>
    <t>日期码格式：ZURU INC(BVI) 标准格式 日期：按实际生产日期
Packaging Info: 
SKU#9298: MA3L (9L warning) 最新EAN包装+1张客供价格贴纸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</si>
  <si>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4500174323-20</t>
  </si>
  <si>
    <t>日期码格式：ZURU INC(BVI) 标准格式 日期：按实际生产日期
Packaging Info: 
SKU#9298: MA3L (9L warning) 最新C版EAN包装+1张客供价格贴纸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</si>
  <si>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TJX AUSTRALIA PTY LIMITED</t>
  </si>
  <si>
    <t>4500174515-20</t>
  </si>
  <si>
    <t>日期码格式：ZURU INC(BVI) 标准格式 日期：按实际生产日期
Packaging Info: 
2. 9298TQ1：英文MA包装 (UPC版本，首选1L，无1L可用多L含英语) +1张客供价格贴纸；Ratio: 7 assortment (6 common + 1 rare)=CORGI(Rare):SHEPHERD:POODL
E:DALMATIAN:SCHNAUZER:BROWN DALNATIAN:HOUND DOG=2:8:10:10:10:10:10;
Remark: 1.箱唛不可出现任何手写内容，重量与实际须一致且不可手写;
2.产品上贴客供价格贴纸，贴纸位置为产品正面右上角，不能遮住产品信息；请与跟单确认贴纸位置后再生产大货；
3.订单每行对应客人不同的PO，即同款item的价格贴纸都不相同，请注意收到贴纸后不要弄混!（CUS PO号请参考行项目Remark）
4. 此单去澳大利亚，请按相应澳新标准生产并满足当地法规要求;
5.ZURU QC验货。
6.产品和包装上要有tracking label信息：日期码格式为Zuru标准格式；</t>
  </si>
  <si>
    <t>4500174515-70</t>
  </si>
  <si>
    <t>4500174515-120</t>
  </si>
  <si>
    <t>4500172982-40</t>
  </si>
  <si>
    <t>日期码格式：ZURU INC(BVI) 标准格式 日期：按实际生产日期
Packaging Info:9298TQ1:MA 多语包装+进口商贴纸+客户条码贴纸+箱唛，进口商贴纸/客户条码贴纸翻单PO4500123283
Remark: 进口商贴纸请多备料5pcs,出货后需要寄给客户</t>
  </si>
  <si>
    <t>4500172403-40</t>
  </si>
  <si>
    <t>9/3-9/5出</t>
  </si>
  <si>
    <t>防盗贴纸+8/11-外箱SSCC</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</si>
  <si>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
10:10:10:10:10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</si>
  <si>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4500172405-40</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</si>
  <si>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
10:10:10:10:10;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</si>
  <si>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0935462342</t>
  </si>
  <si>
    <t>4500175947-10</t>
  </si>
  <si>
    <t>9/3第三方（自检）</t>
  </si>
  <si>
    <t>布标贴纸+艾利贴纸+普通贴纸</t>
  </si>
  <si>
    <t>8/13-客供RFID贴纸</t>
  </si>
  <si>
    <t>日期码格式：ZURU DGYYYYMMDD CHINA(日期避开周末和法定节假日即可） 日期：按实际生产日期
Packaging Info:
Remark: 9298:
1.包装信息：MA 最新版 UPC版 1L收缩膜，MA 最新版 5L收藏指南，MA 最新版贴纸袋子，MA 最新版配件袋子，MA 最新版 5L口水胶袋，MA 最新版 3L贴纸，MA B
版车缝布标，客版PDQ（1facing2pcs/PDQ），客版布标贴纸，客供RFID贴纸（位置由我们提供）。
2.外箱四面印刷RFID箱唛，主唛左前下角印刷艾利贴纸替代标箱唛(ITF-14格式)，此条码只印刷一面，ZURU新logo右下角四面印刷，主唛右下角加印 MADE IN CHI
NA
，每个slip sheet上面贴一张艾利贴纸（工厂自己打印）和一张普通贴纸（可A4纸打印），slip sheet打印的普通贴纸的尺寸不能比艾利贴纸小。
3.在产品上和包装上要有日期码（避开周末和节假日）以及要有MADE IN CHINA和ZURU字样。4.产品如有扎带口要剪平，不能刮手。
5.此单需要第三方验货，请自行多备包装物料。
6.此单打卡板出货（32x7H=192carton=384pcs/Slip Sheet）。
7.其它信息：7 assortment (6 common + 1 rare)=CORGI : SHEPHERD : POODLE : DALMATIAN : SCHNAUZER : BROWN DALNATIAN : HOUND DOG=2:8:10:10:10:10:1
0</t>
  </si>
  <si>
    <t>ZB01866-9.12</t>
  </si>
  <si>
    <t>0935462324</t>
  </si>
  <si>
    <t>4500175910-40</t>
  </si>
  <si>
    <t>日期码格式：ZURU DGYYYYMMDD CHINA(日期避开周末和法定节假日即可） 日期：按实际生产日期
Packaging Info: 
9298:
9298:
1.包装信息：MA 最新版 UPC版 1L收缩膜，MA 最新版 5L收藏指南，MA 最新版贴纸袋子，MA 最新版配件袋子，MA 最新版 5L口水胶袋，MA 最新版 3L贴纸，MA B
版车缝布标，客版PDQ（1facing2pcs/PDQ），客版布标贴纸，客供RFID贴纸（位置由我们提供）。
2.外箱四面印刷RFID箱唛，主唛左前下角印刷艾利贴纸替代标箱唛(ITF-14格式)，此条码只印刷一面，ZURU新logo右下角四面印刷，主唛右下角加印 MADE IN CHI
NA
Remark: 
9298:
1.包装信息：MA 最新版 UPC版 1L收缩膜，MA 最新版 5L收藏指南，MA 最新版贴纸袋子，MA 最新版配件袋子，MA 最新版 5L口水胶袋，MA 最新版 3L贴纸，MA B
版车缝布标，客版PDQ
（1facing2pcs/PDQ），客版布标贴纸，客供RFID贴纸（位置由我们提供）。
2.外箱四面印刷RFID箱唛，主唛左前下角印刷艾利贴纸替代标箱唛(ITF-14格式)，此条码只印刷一面，ZURU新logo右下角四面印刷，主唛右下角加印 MADE IN CHI
NA
，每个slip sheet上面贴一张艾利贴纸（工厂自己打印）和一张普通贴纸（可A4纸打印），slip sheet打印的普通贴纸的尺寸不能比艾利贴纸小。
3.在产品上和包装上要有日期码（避开周末和节假日）以及要有MADE IN CHINA和ZURU字样。4.产品如有扎带口要剪平，不能刮手。
5.此单需要第三方验货，请自行多备包装物料。
6.此单打卡板出货（32x7H=192carton=384pcs/Slip Sheet）。
7.其它信息：7 assortment (6 common + 1 rare)=CORGI : SHEPHERD : POODLE : DALMATIAN : SCHNAUZER : BROWN DALNATIAN : HOUND DOG=2:8:10:10:10:10:1
0</t>
  </si>
  <si>
    <t>Maggie Xie</t>
  </si>
  <si>
    <t>ZB02263(REV1)-10.8</t>
  </si>
  <si>
    <t>4500174574-30</t>
  </si>
  <si>
    <t>ZB01739-9.6</t>
  </si>
  <si>
    <t>4500174543-30</t>
  </si>
  <si>
    <t>ZB01738-9.6</t>
  </si>
  <si>
    <t>4500174443-50</t>
  </si>
  <si>
    <t>131DGD5Y</t>
  </si>
  <si>
    <t>4500175043-160</t>
  </si>
  <si>
    <t>UPC贴纸图稿跟返单4500113996</t>
  </si>
  <si>
    <t>8/18-SSCC LABEL</t>
  </si>
  <si>
    <t>日期码格式：ZURU INC(BVI) 标准格式 日期：按实际生产日期
Packaging Info:
#9298: MA 3L C版本加UPC贴纸，UPC贴纸图稿跟返单4500113996。需混入稀有款， 常规款：稀有款=58：2。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</si>
  <si>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8FTA2SMM</t>
  </si>
  <si>
    <t>AMAZON MEXICO, S. DE R.L. DE CV</t>
  </si>
  <si>
    <t>4500176644-20</t>
  </si>
  <si>
    <t>收到SO，9/8-9/13出</t>
  </si>
  <si>
    <t>空白外箱加印ZURU Logo+MADE IN CHINA+SSCC LABEL(客供贴纸），无shipping mark,日期使用ZURU 标准版本。SSCC Label显示的是客人自己的item#，SSCC Lab
 el 贴在外箱正面的正中间，贴一面即可，跟单订购，贴纸离外箱距必须至少3cm,每一张SSCC Label都是唯一且有不同流水及条码的，没有损耗，绝对不可贴错，否
 则贴错或损坏一张会导致全部都错，千万要注意！</t>
  </si>
  <si>
    <t>UPC贴纸翻4500168127+8/15-进口商贴纸+SSCC label</t>
  </si>
  <si>
    <t>日期码格式：ZURU INC(BVI) 标准格式 日期：按实际生产日期
Packaging Info:
9298B: MA 3L包装加UPC贴纸（翻单4500168127）+进口商贴纸+SSCC label，需混入稀有款， 常规款：稀有款=58：2
Remark: Amazon FOB订单，出口Mexico，外箱最长边不能超过25" （超过了，case pack只能为1），不符合要求的大货，一律不接受。
1.空白外箱加印ZURU Logo+MADE IN CHINA+SSCC LABEL(客供贴纸），无shipping mark,日期使用ZURU 标准版本。SSCC Label显示的是客人自己的item#，SSCC Lab
el 贴在外箱正面的正中间，贴一面即可，跟单订购，贴纸离外箱距必须至少3cm,每一张SSCC Label都是唯一且有不同流水及条码的，没有损耗，绝对不可贴错，否
则贴错或损坏一张会导致全部都错，千万要注意！
2. 日期码使用ZURU标准版</t>
  </si>
  <si>
    <t>6006-008049</t>
  </si>
  <si>
    <t>4500173266-20</t>
  </si>
  <si>
    <t>7/10收到</t>
  </si>
  <si>
    <t>日期码格式：ZURU INC(BVI) 标准格式 日期：按实际生产日期
Packaging Info: MA PKG ， 优先1L +1张进口商贴纸（不得遮挡日期码）
进口商贴纸和位置图翻单4500165848
Remark:</t>
  </si>
  <si>
    <t>4500175177-30</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</si>
  <si>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
10:10:10:10:10;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
10:10:10:10:10;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</si>
  <si>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4500175177-70</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</si>
  <si>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
10:10:10:10:10;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</si>
  <si>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4500175179-30</t>
  </si>
  <si>
    <t>8/21防盗贴纸+8/18外箱SSCC Label</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</si>
  <si>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
10:10:10:10:10;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</si>
  <si>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WALGREENS CO.</t>
  </si>
  <si>
    <t>4500175905-10</t>
  </si>
  <si>
    <t>8/4收到</t>
  </si>
  <si>
    <t>WIC贴纸同4500114593</t>
  </si>
  <si>
    <t>09-15-2025</t>
  </si>
  <si>
    <t>日期码格式：ZURU INC(BVI) 标准格式 日期：09-15-2025
Packaging Info:
Remark: MA 1L包装 + WIC贴纸 （同PO 4500114593）
7 assortment (6 common + 1 rare)=CORGI:SHEPHERD:POODLE:DALMATIAN:SCHNAUZER:BROWN DALNATIAN:HOUND DOG=2:8:10:10:10:10:10;
产品和包装上要有ZURU 标准格式 TRACKING CODE, DG20250915 + 对应款号，如A款 DG20250915A</t>
  </si>
  <si>
    <t>ZB01910-9.15</t>
  </si>
  <si>
    <t>4500175905-20</t>
  </si>
  <si>
    <t>ZB01911-9.15</t>
  </si>
  <si>
    <t>4500175905-30</t>
  </si>
  <si>
    <t>ZB01912-9.15</t>
  </si>
  <si>
    <t>4500175905-40</t>
  </si>
  <si>
    <t>ZB01913-9.15</t>
  </si>
  <si>
    <t>4500175905-50</t>
  </si>
  <si>
    <t>ZB01914-9.15</t>
  </si>
  <si>
    <t>4500175905-60</t>
  </si>
  <si>
    <t>ZB01915-9.15</t>
  </si>
  <si>
    <t>4500175905-70</t>
  </si>
  <si>
    <t>ZB01916-9.15</t>
  </si>
  <si>
    <t>ZURU GERMANY GMBH</t>
  </si>
  <si>
    <t>4500176255-40</t>
  </si>
  <si>
    <t>9/18出</t>
  </si>
  <si>
    <t>8/13收到</t>
  </si>
  <si>
    <t>条码贴纸+多语折叠警语贴纸翻4500165120（PL+HU+CZ+SK+RO)警语贴纸翻450
 0156082</t>
  </si>
  <si>
    <t>日期码格式：ZURU INC(BVI) 标准格式 日期：按实际生产日期
Packaging Info: 
9298：MA 最新版 3L+9L EAN 收缩膜+1*BABY EAN 条码贴纸+1*多语折叠警语贴纸（翻单4500165120）+MA 5L+9L收藏指南+1*5L（PL+HU+CZ+SK+RO)警语贴纸（翻450
0156082）+MA 5L SLIME Polybag+1*EN+5L 黑白slime 通用说明书+MA 配件袋。
产品用BABY EAN,外箱用mother EAN
9298 MOTHER EAN 4894680051652
9298 Baby EAN:
9298A Shepherd 4894680035539
9298B Poodle 4894680035546
9298D Dalmatian 4894680035553
9298E Schnauzer 4894680035560
9298G Brown Dalnatian 4894680035577
9298H Hound Dog 4894680035584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所有电子产品身上需要加字唛，为ZURU FRANCE 地址 (如无电子产品，或者产品布标有此地址，可忽略此信息)
ZURU FRANCE 33 rue Paul Meurice 75020 Paris,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</si>
  <si>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9298-S002-NB-3L</t>
  </si>
  <si>
    <t>4500174767-10</t>
  </si>
  <si>
    <t>ZB01960-9.17</t>
  </si>
  <si>
    <t>4500175925-100</t>
  </si>
  <si>
    <t>8/21-防盗贴纸+8/27-外箱SSCC Label</t>
  </si>
  <si>
    <t>日期码格式：ZURU INC(BVI) 标准格式 日期：按实际生产日期  92124：客版1L UPC包装底托（翻单PO#4500169407） + 箱唛 + 外箱贴纸SSCC Label
 子件：
 92119：MA_1L_UPC B 版本包装（收缩膜和说明书) +一张空白贴纸
 9298：MA_1L_UPC C 版本包装（收缩膜和说明书) +一张空白贴纸
 92104：MA_1L_UPC B 版本包装（收缩膜和说明书) +一张空白贴纸
 配比信息：Combo pcak 92119 EGGZANIA FROZEN MANIA+ 9298 Puppycorn +92104 Kittycorn
 25282: 全套MA英语UPC包装（首选1L，如果无1L可用多语含英语）+ 箱唛 + 外箱SCC Label，包装材质为PET;
 71126: MA英语UPC版本包装（收缩膜和说明书, MA首选1L，如无1L可用多语且含英语的配套多语包装)
 9543GQ1: MA英语UPC版本包装（首选1LUPC，如果无1L可用多语含英语UPC版本）+ 客版PDQ (翻单4500124321)+ 防盗贴纸（贴纸以及位置图翻单4500116403） + 箱
 唛 + 外箱SSCC Label
 配比信息：Integral single ratio=bule/purple/pink/orange =1:1:1:1;
 9279SQ1: MA英语UPC版本包装（收缩膜和说明书, MA首选1L，如无1L可用多语且含英语的配套多语包装) + 1张防盗贴纸 (贴纸以及位置图翻单PO#4500095104）+ 箱
 唛 + 外箱SSCC Label
 配比信息：7 assortment (6 common + 1 rare); RAGDOLL CA (RARE): AMERICAN SHORTHAIR: CALICO CAT: BLACK CAT: BENGAL CAT: EXOTIC CAT: CHINCHILLA CA
 T= 1:9:10:10:10: 10:10;
 9548: MA英语UPC版本包装（收缩膜和说明书, MA首选1L，如无1L可用多语且含英语的配套多语包装) + 1张防盗贴纸 (贴纸以及位置图翻单PO#4500126567）+ 箱唛
 + 外箱SSCC Label
 92125:MA英语UPC版本包装（收缩膜和说明书, MA首选1L，如无1L可用多语且含英语的配套多语包装) + 1张防盗贴纸 (贴纸以及位置图翻单PO#4500166286）+ 箱唛
 + 外箱SSCC Label
 配比信息：6 Assortments,siamese cat:pink-white cat:purple cat:black cat:brown-white cat:orange cat=1:1:1:1:1:1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
 10:10:10:10:10;
 77711GQ1-S002-INT: MA 3L包装（MA收缩膜和说明书） + 一张UPC条码贴+ 防盗贴纸（两款贴纸以及防盗贴纸位置图翻单PO#4500160026）+ 箱唛 + 外箱贴纸SSCC L
 abel
 77770GQ1:MA英语UPC版本包装（收缩膜和说明书, MA首选1L，如无1L可用多语且含英语的配套多语包装) + 1张防盗贴纸+箱唛 + 外箱SSCC Label
 (贴纸以及位置图翻单PO#4500173688）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</si>
  <si>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4500175924-100</t>
  </si>
  <si>
    <t>日期码格式：ZURU INC(BVI) 标准格式 日期：按实际生产日期92124：客版1L UPC包装底托（翻单PO#4500169407） + 箱唛 + 外箱贴纸SSCC Label
 子件：
 92119：MA_1L_UPC B 版本包装（收缩膜和说明书) +一张空白贴纸
 9298：MA_1L_UPC C 版本包装（收缩膜和说明书) +一张空白贴纸
 92104：MA_1L_UPC B 版本包装（收缩膜和说明书) +一张空白贴纸
 配比信息：Combo pcak 92119 EGGZANIA FROZEN MANIA+ 9298 Puppycorn +92104 Kittycorn
 25282: 全套MA英语UPC包装（首选1L，如果无1L可用多语含英语）+ 箱唛 + 外箱SCC Label，包装材质为PET;
 71126: MA英语UPC版本包装（收缩膜和说明书, MA首选1L，如无1L可用多语且含英语的配套多语包装)
 9543GQ1: MA英语UPC版本包装（首选1LUPC，如果无1L可用多语含英语UPC版本）+ 客版PDQ (翻单4500124321)+ 防盗贴纸（贴纸以及位置图翻单4500116403） + 箱
 唛 + 外箱SSCC Label
 配比信息：Integral single ratio=bule/purple/pink/orange =1:1:1:1;
 9279SQ1: MA英语UPC版本包装（收缩膜和说明书, MA首选1L，如无1L可用多语且含英语的配套多语包装) + 1张防盗贴纸 (贴纸以及位置图翻单PO#4500095104）+ 箱
 唛 + 外箱SSCC Label
 配比信息：7 assortment (6 common + 1 rare); RAGDOLL CA (RARE): AMERICAN SHORTHAIR: CALICO CAT: BLACK CAT: BENGAL CAT: EXOTIC CAT: CHINCHILLA CA
 T= 1:9:10:10:10: 10:10;
 9548: MA英语UPC版本包装（收缩膜和说明书, MA首选1L，如无1L可用多语且含英语的配套多语包装) + 1张防盗贴纸 (贴纸以及位置图翻单PO#4500126567）+ 箱唛
 + 外箱SSCC Label
 92125:MA英语UPC版本包装（收缩膜和说明书, MA首选1L，如无1L可用多语且含英语的配套多语包装) + 1张防盗贴纸 (贴纸以及位置图翻单PO#4500166286）+ 箱唛
 + 外箱SSCC Label
 配比信息：6 Assortments,siamese cat:pink-white cat:purple cat:black cat:brown-white cat:orange cat=1:1:1:1:1:1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
 10:10:10:10:10;
 77711GQ1-S002-INT: MA 3L包装（MA收缩膜和说明书） + 一张UPC条码贴+ 防盗贴纸（两款贴纸以及防盗贴纸位置图翻单PO#4500160026）+ 箱唛 + 外箱贴纸SSCC L
 abel
 77770GQ1:MA英语UPC版本包装（收缩膜和说明书, MA首选1L，如无1L可用多语且含英语的配套多语包装) + 1张防盗贴纸+箱唛 + 外箱SSCC Label
 (贴纸以及位置图翻单PO#4500173688）
 9565GQ1: MA英语UPC版本包装（首选1LUPC，如果无1L可用多语含英语UPC版本）+ 防盗贴纸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</si>
  <si>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A96807-2-10.31
A96808-2-10.31</t>
  </si>
  <si>
    <t>4500176427-10</t>
  </si>
  <si>
    <t>箱唛翻4500165914</t>
  </si>
  <si>
    <t>中文3C贴纸+中文布标(可用布标贴纸)+年龄贴纸 （3Facing 6pcs/PDQ） 翻4500165914</t>
  </si>
  <si>
    <t>日期码格式：ZURU INC(BVI) 标准格式 日期：按实际生产日期
Packaging Info: 物料要求 SKU
1 9298TQ1 MA+中文3C贴纸+中文收藏指南+中文布标(可用布标贴纸)+年龄贴纸 （3Facing 6pcs/PDQ） 翻单： 4500165914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</si>
  <si>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4500175925-10</t>
  </si>
  <si>
    <t>底托翻4500169407</t>
  </si>
  <si>
    <t>4500175924-10</t>
  </si>
  <si>
    <t>4500174768-60</t>
  </si>
  <si>
    <t>0938508598</t>
  </si>
  <si>
    <t>4500177190-10</t>
  </si>
  <si>
    <t>9/19第三方</t>
  </si>
  <si>
    <t>8/25-RFID贴纸</t>
  </si>
  <si>
    <t>日期码格式：RASCALS INTERNATIONAL LTD 标准格式 日期：按实际生产日期
Packaging Info:
Remark: 9298:
1.包装信息：MA 最新版 UPC版 1L收缩膜，MA 最新版 5L收藏指南，MA 最新版贴纸袋子，MA 最新版配件袋子，MA 最新版 5L口水胶袋，MA 最新版 3L贴纸，MA B
版车缝布标，客版PDQ
（1facing2pcs/PDQ），客版布标贴纸，客供RFID贴纸（位置由我们提供）。
2.外箱四面印刷RFID箱唛，主唛左前下角印刷艾利贴纸替代标箱唛(ITF-14格式)，此条码只印刷一面，ZURU新logo右下角四面印刷，主唛右下角加印 MADE IN CHI
NA ，每个slip sheet上面贴一张艾利贴纸（工厂自己打印）和一张普通贴纸（可A4纸打印），slip sheet打印的普通贴纸的尺寸不能比艾利贴纸小。
3.在产品上和包装上要有日期码（避开周末和节假日）以及要有MADE IN CHINA和ZURU字样。4.产品如有扎带口要剪平，不能刮手。
5.此单需要第三方验货，请自行多备包装物料。
6.此单打卡板出货（32x7H=192carton=384pcs/Slip Sheet）。
7.其它信息：7 assortment (6 common + 1 rare)=CORGI : SHEPHERD : POODLE : DALMATIAN : SCHNAUZER : BROWN DALNATIAN : HOUND DOG=2:8:10:10:10:10:1
0</t>
  </si>
  <si>
    <t>ZB02124-9.26</t>
  </si>
  <si>
    <t>0938508654</t>
  </si>
  <si>
    <t>4500177190-20</t>
  </si>
  <si>
    <t>ZB02241-9.30</t>
  </si>
  <si>
    <t>0938508686</t>
  </si>
  <si>
    <t>4500177190-30</t>
  </si>
  <si>
    <t>9/28出</t>
  </si>
  <si>
    <t>ZB02175-9.27</t>
  </si>
  <si>
    <t>0938508778</t>
  </si>
  <si>
    <t>4500177190-40</t>
  </si>
  <si>
    <t>ZB02045-9.23</t>
  </si>
  <si>
    <t>0938508799</t>
  </si>
  <si>
    <t>4500177190-50</t>
  </si>
  <si>
    <t>10/2出</t>
  </si>
  <si>
    <t>ZB02176-9.27</t>
  </si>
  <si>
    <t>0938508807</t>
  </si>
  <si>
    <t>4500177190-60</t>
  </si>
  <si>
    <t>ZB02177-9.27</t>
  </si>
  <si>
    <t>0938508810</t>
  </si>
  <si>
    <t>4500177190-70</t>
  </si>
  <si>
    <t>ZB02082-9.25</t>
  </si>
  <si>
    <t xml:space="preserve"> DOLGENCORP, LLC</t>
  </si>
  <si>
    <t>252GF2</t>
  </si>
  <si>
    <t>4500164352-20</t>
  </si>
  <si>
    <t>客版收缩膜</t>
  </si>
  <si>
    <t>DOLGEN31704302J25 （打在蛋壳底部）</t>
  </si>
  <si>
    <t>日期码格式：DOLLAR GENERAL 格式日期码 日期：
Packaging Info: 1.包装：
 #9298-S006-PKC: 客版收缩膜（跟单邮件提供）
Remark: 1.包装：
 #9298-S006-PKC: 客版收缩膜（跟单邮件提供）
 客户要求： "产品和包装不能含有PFAS 物质以及1,4 dioxane" 客户指定实验室做测试，请确保产品可以过美国标准ASTM F963-23测试。
 #9298-S006-PKC客户特批单坑外箱。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#9298: 31704302J25
 (2)产品日期码：
 #9298: DOLGEN31704302J25 （打在蛋壳底部）
 后三位I、J25代表25年9、10月的ETD 。
 （3）UPC条形码：
 #9298: 430001805807
 3. 无价贴。
 4. 无样板需求
 5. 验货抽样事宜：
#9298：9.19早上进行客人指定TUV抽试测样VT，抽样数量:随机抽取每款每色各12pcs + 足量干漆给实验室MTS 5套散件光身样（如适用）。
 请在9月18前完成ZURU QC验货，并当天14点前提供验货报告+大货图片给跟单。
 6. 箱唛：翻4500160244。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#9298- S006-PKC-RAINBOCORNS-PUPPYCORN SURPRISE-SERIES 8-SCENT SURPRISE PLUSH SMALL SHRINK WRAP,2PCS/Polybag,6pcs/3Polybag/CTN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#9298-S006-PKC内袋翻4500149775 .</t>
  </si>
  <si>
    <t>ZB02189-9.27  ZB02194-9.29</t>
  </si>
  <si>
    <t>60235882</t>
  </si>
  <si>
    <t>4500172208-30</t>
  </si>
  <si>
    <t>ZB02125-9.26</t>
  </si>
  <si>
    <t>4500176886-60</t>
  </si>
  <si>
    <t>张进口商EAN条码贴纸+1张进口商贴纸（产品包装和PDQ都需要贴纸)</t>
  </si>
  <si>
    <t>日期码格式：ZURU INC(BVI) 标准格式 日期：按实际生产日期
Packaging Info:
6.9298TQ1：[MA 最新PDQ+1张进口商EAN条码贴纸]+[MA B 3L 收缩膜含EAN条码+1张进口商贴纸]+MA A 5L收藏指南+MAA B 5L Slime polybag+MA布标/贴纸（产品包
装和PDQ都需要贴纸）
Remark: 1. 此单出西班牙，需满足EU测试标准要求，另外微塑料需符合EU法规；
2. 标准配比
3.根据新电池法规（EU） 2023/1542，所有走欧洲市场的电子产品，都需要增加WEEE通用30L说明书（分带电池走货 跟
不带电池走货两种），如工厂没有此文件，可以找我们跟单提供
4. 准时完货，需安排ZURU OQC验货。 另外，包装贴纸上面的警告语不可以覆盖西班牙警告语。</t>
  </si>
  <si>
    <t>4500176907-10</t>
  </si>
  <si>
    <t>4500176837-90</t>
  </si>
  <si>
    <t>9/30出</t>
  </si>
  <si>
    <t>日期码格式：ZURU INC(BVI) 标准格式 日期：按实际生产日期
Packaging Info: MA UPC 英语包装（优先1L英语版本，或者3L/5L含英语都可）
Remark: 此客人不接受易掉落或者剥落或者可直接触碰的闪粉，可降解也不行，但可以接受符合欧洲微塑料标准的珠光粉或者闪片。
#9298：7 assortment (6 common + 1 rare)=CORGI(Rare):SHEPHERD:POODLE:DALMATIAN:SCHNAUZER:BROWN DALNATIAN:HOUND DOG=2:8:10:10:10:10:10;</t>
  </si>
  <si>
    <t>A96671-2-10.16</t>
  </si>
  <si>
    <t xml:space="preserve"> 
29145153</t>
  </si>
  <si>
    <t>4500176837-100</t>
  </si>
  <si>
    <t>Zuru.2025Q3</t>
  </si>
  <si>
    <t>4500177281-10</t>
  </si>
  <si>
    <t>进口商贴纸翻4500165462</t>
  </si>
  <si>
    <t>日期码格式：ZURU INC(BVI) 标准格式 日期：按实际生产日期
Packaging Info: MA UPC包装(优先1L)+1张进口商贴纸,贴纸资料及位置图翻单如下
9298TQ2-4500165462
其他items待提供
Remark: 9298TQ2
9298TQ2-7 assortment (6 common + 1 rare)=CORGI(Rare):SHEPHERD:POODLE:DALMATIAN:SCHNAUZER:BROWN DALNATIAN:HOUND DOG=2:8:10:10:10:10:10;</t>
  </si>
  <si>
    <t>96896-11.8</t>
  </si>
  <si>
    <t>4500177233-60</t>
  </si>
  <si>
    <t>8/18收到</t>
  </si>
  <si>
    <t>09-23-2025</t>
  </si>
  <si>
    <t>日期码格式：ZURU INC(BVI) 标准格式 日期：09-23-2025
Packaging Info: MA 1L包装 + WIC贴纸 （同PO 4500114593）
7 assortment (6 common + 1 rare)=CORGI:SHEPHERD:POODLE:DALMATIAN:SCHNAUZER:BROWN DALNATIAN:HOUND DOG=2:8:10:10:10:10:10;
产品和包装上要有ZURU 标准格式 TRACKING CODE, DG20250923 + 对应款号，如A款 DG20250923A
Remark:</t>
  </si>
  <si>
    <t>ZB02653-10.27</t>
  </si>
  <si>
    <t>4500177233-70</t>
  </si>
  <si>
    <t>ZB02654-10.27</t>
  </si>
  <si>
    <t>4500177233-10</t>
  </si>
  <si>
    <t>货期提前</t>
  </si>
  <si>
    <t>ZB02648-10.27</t>
  </si>
  <si>
    <t>4500177233-20</t>
  </si>
  <si>
    <t>ZB02649-10.27</t>
  </si>
  <si>
    <t>4500177233-30</t>
  </si>
  <si>
    <t>ZB02650-10.27</t>
  </si>
  <si>
    <t>4500177233-40</t>
  </si>
  <si>
    <t>ZB02651-10.27</t>
  </si>
  <si>
    <t>4500177233-50</t>
  </si>
  <si>
    <t>ZB02652-10.27</t>
  </si>
  <si>
    <t>4500176381-30</t>
  </si>
  <si>
    <t>A96679-10.17</t>
  </si>
  <si>
    <t>4500173508-10</t>
  </si>
  <si>
    <t>ZB02318-10.10</t>
  </si>
  <si>
    <t>PO0001345</t>
  </si>
  <si>
    <t>4500177527-60</t>
  </si>
  <si>
    <t>8/22-UPC贴纸+8/21-进口商贴纸</t>
  </si>
  <si>
    <t>日期码格式：ZURU INC(BVI) 标准格式 日期：按实际生产日期
Packaging Info:
9298 MA 多语加UPC贴纸 收缩膜用3L C版
Remark: 出加拿大
每款产品都需要加进口商贴纸
Zuru验货.日期跟踪码：产品外包装及产品本身都必须有日期跟踪码，ZURU标准格式日期码</t>
  </si>
  <si>
    <t>Bella Tan</t>
  </si>
  <si>
    <t>A96811-2-10.31</t>
  </si>
  <si>
    <t>4500174771-40</t>
  </si>
  <si>
    <t>updated order 4186</t>
  </si>
  <si>
    <t>4500176870-20</t>
  </si>
  <si>
    <t>4500159511转单,1794pcs(B-2)+358pcs(URAL) 使用4500159511 成品库存（全套旧包装）其中980pcs使用全套新包装，加新客版托盘翻4500176865</t>
  </si>
  <si>
    <t>日期码格式：外包装/外箱不要打ZURU标准日期码 日期：
Packaging Info: 注意 ：外包装 (指: 收缩膜/彩卡/铝箔袋/挂卡/PDQ) /外箱不要打ZURU标准日期码！胶件可以打日期码。
92124 ：1794pcs(B-2)+358pcs(URAL) 使用4500159511 成品库存（全套旧包装）， 里面combo 产品1L MA 收缩膜（不含任何条码）+ 空白贴纸覆盖条码），不需
要返工贴纸和外箱 ；外箱同库存的箱唛一致只要更改总箱数即可；MA指南/说明书（如有）；
剩余数量2100PCS： 使用全套新包装， 新客版托盘翻4500176865
Remark: 标准配比 ；
请按期完货， 会有罚金。
出2个港口Bekasovo 2（B-2） 和Ural .</t>
  </si>
  <si>
    <t>4500176870-50</t>
  </si>
  <si>
    <t>全套新包装+新客版托盘翻4500176865</t>
  </si>
  <si>
    <t>4500176870-60</t>
  </si>
  <si>
    <t>日期码格式：外包装/外箱不要打ZURU标准日期码 日期：
Packaging Info: 注意 ：外包装 (指: 收缩膜/彩卡/铝箔袋/挂卡/PDQ) /外箱不要打ZURU标准日期码！胶件可以打日期码。
92123 ：7728PCS（旧版本包装+旧版底托）使用4500159511 库存的客版底托， 不需要返工 ； 92123 ： 里面combo 产品1L MA 收缩膜（不含任何条码）+ 空白
贴纸覆盖条码），MA指南/说明书（如有）；剩余数量8100PCS：用全套新包装， 新客版托盘翻4500176865
Remark: 标准配比 ；
请按期完货， 会有罚金。
出2个港口Bekasovo 2（B-2） 和Ural .</t>
  </si>
  <si>
    <t>0941292511</t>
  </si>
  <si>
    <t>4500178282-10</t>
  </si>
  <si>
    <t>9/30第三方(转自检）</t>
  </si>
  <si>
    <t>.外箱四面印刷RFID箱唛，主唛左前下角印刷艾利贴纸替代标箱唛(ITF-14格式)，此条码只印刷一面，ZURU新logo右下角四面印刷，主唛右下角加印 MADE IN CHI
 NA
 ，每个slip sheet上面贴一张艾利贴纸（工厂自己打印）和一张普通贴纸（可A4纸打印），slip sheet打印的普通贴纸的尺寸不能比艾利贴纸小。</t>
  </si>
  <si>
    <t>9/10-RFID贴纸</t>
  </si>
  <si>
    <t>日期码格式：ZURU DGYYYYMMDD CHINA(日期避开周末和法定节假日即可） 日期：按实际生产日期 Tracking Code:
Packaging Info:
Remark: 9298:
 1.包装信息：MA 最新版 UPC版 1L收缩膜，MA 最新版 5L收藏指南，MA 最新版贴纸袋子，MA 最新版配件袋子，MA 最新版 5L口水胶袋，MA 最新版 3L贴纸，MA B
 版车缝布标，客版PDQ
（1facing2pcs/PDQ），客版布标贴纸，客供RFID贴纸（位置由我们提供）。
 2.外箱四面印刷RFID箱唛，主唛左前下角印刷艾利贴纸替代标箱唛(ITF-14格式)，此条码只印刷一面，ZURU新logo右下角四面印刷，主唛右下角加印 MADE IN CHI
 NA
 ，每个slip sheet上面贴一张艾利贴纸（工厂自己打印）和一张普通贴纸（可A4纸打印），slip sheet打印的普通贴纸的尺寸不能比艾利贴纸小。
3.在产品上和包装上要有日期码（避开周末和节假日）以及要有MADE IN CHINA和ZURU字样。4.产品如有扎带口要剪平，不能刮手。
 5.此单需要第三方验货，请自行多备包装物料。
6.此单打卡板出货（32x7H=192carton=384pcs/Slip Sheet）。
 7.其它信息：7 assortment (6 common + 1 rare)=CORGI : SHEPHERD : POODLE : DALMATIAN : SCHNAUZER : BROWN DALNATIAN : HOUND DOG=2:8:10:10:10:10:1
 0</t>
  </si>
  <si>
    <t>ZB02461-10.16</t>
  </si>
  <si>
    <t>0941292519</t>
  </si>
  <si>
    <t>4500178282-20</t>
  </si>
  <si>
    <t>ZB02264(REV1)-10.8</t>
  </si>
  <si>
    <t>0941292520</t>
  </si>
  <si>
    <t>4500178282-30</t>
  </si>
  <si>
    <t>ZB02444-10.15</t>
  </si>
  <si>
    <t>0941292527</t>
  </si>
  <si>
    <t>4500178282-40</t>
  </si>
  <si>
    <t>10/17出</t>
  </si>
  <si>
    <t>ZB02289-10.9</t>
  </si>
  <si>
    <t>0941292539</t>
  </si>
  <si>
    <t>4500178282-50</t>
  </si>
  <si>
    <t>ZB02380(REV1)-10.13</t>
  </si>
  <si>
    <t>0941292554</t>
  </si>
  <si>
    <t>4500178282-60</t>
  </si>
  <si>
    <t>ZB02288-10.9</t>
  </si>
  <si>
    <t>0941292558</t>
  </si>
  <si>
    <t>4500178282-70</t>
  </si>
  <si>
    <t>10/14出</t>
  </si>
  <si>
    <t>ZB02317-10.10</t>
  </si>
  <si>
    <t>4500176870-30</t>
  </si>
  <si>
    <t>4500159511转单，7728PCS（全套旧包装）使用4500159511 库存的客版底托， 不需要返工（其中3588用全套新包装+新客版托盘翻4500176865）</t>
  </si>
  <si>
    <t>4500176177-40</t>
  </si>
  <si>
    <t>26ZZG0</t>
  </si>
  <si>
    <t>4500176962-10</t>
  </si>
  <si>
    <t>客版收缩膜翻4500164352</t>
  </si>
  <si>
    <t>产品日期码：#9298: DOLGEN31704302J25 （打在蛋壳底部）后三位J25代表25年10月的ETD</t>
  </si>
  <si>
    <t>日期码格式：DOLLAR GENERAL 格式日期码 日期：
Packaging Info: 1.包装：#9298-S006-PKC: 客版收缩膜（AWs翻4500164352）
Remark: 1.包装：#9298-S006-PKC: 客版收缩膜（AWs翻4500164352）
客户要求： "产品和包装不能含有PFAS 物质以及1,4 dioxane" 客户指定实验室做测试，请确保产品可以过美国标准ASTM F963-23测试。
#9298-S006-PKC客户特批单坑外箱。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#9298: 31704302J25
(2)产品日期码：
#9298: DOLGEN31704302J25 （打在蛋壳底部）
后三位J25代表25年10月的ETD 。
（3）UPC条形码：
#9298: 430001805807
3. 无价贴。
4. 无样板需求
5. 此单无第三方验货抽样事宜
6. 箱唛：翻4500160244。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#9298- S006-PKC-RAINBOCORNS-PUPPYCORN SURPRISE-SERIES 8-SCENT SURPRISE PLUSH SMALL SHRINK WRAP,2PCS/Polybag,6pcs/3Polybag/CTN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内袋翻4500149775 .</t>
  </si>
  <si>
    <t>ZB02443-10.15  ZB02462-10.16</t>
  </si>
  <si>
    <t>AMAZON.COM SERVICES LLC</t>
  </si>
  <si>
    <t>5XAPSCTS</t>
  </si>
  <si>
    <t>4500177996-120</t>
  </si>
  <si>
    <t>10/15出</t>
  </si>
  <si>
    <t>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t>
  </si>
  <si>
    <t>UPC贴纸返4500146118</t>
  </si>
  <si>
    <t>日期码格式：ZURU INC(BVI) 标准格式 日期：按实际生产日期
Packaging Info: 
#9298: MA加UPC贴纸, 图稿跟返单4500146118. 需混入稀有款, 常规款:稀有款=58:2; A:193052062628; B:193052062635, D:193052062642, E:193052062659, H: 1
93052062673。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</si>
  <si>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ZB02421-10.14</t>
  </si>
  <si>
    <t>26FVO8JF</t>
  </si>
  <si>
    <t>4500178020-80</t>
  </si>
  <si>
    <t>ZB02447-10.15</t>
  </si>
  <si>
    <t>5KN6PDAU</t>
  </si>
  <si>
    <t>4500178020-120</t>
  </si>
  <si>
    <t>4500176184-50</t>
  </si>
  <si>
    <t>4500177974-40</t>
  </si>
  <si>
    <t>4500177972-50</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</si>
  <si>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
10:10:10:10:10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</si>
  <si>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Wal-mart US</t>
  </si>
  <si>
    <t>0944785651</t>
  </si>
  <si>
    <t>4500179538-10</t>
  </si>
  <si>
    <t>10/16第三方</t>
  </si>
  <si>
    <t>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t>
  </si>
  <si>
    <t>RFID贴纸</t>
  </si>
  <si>
    <t>日期码格式：ZURU DGYYYYMMDD CHINA(日期避开周末和法定节假日即可） 日期：按实际生产日期
Packaging Info:
Remark: 9298:
1.包装信息：MA 最新版 UPC版 1L收缩膜，MA 最新版 5L收藏指南，MA 最新版贴纸袋子，MA 最新版配件袋子，MA 最新版 5L口水胶袋，MA 最新版 3L贴纸，MA B
版车缝布标，客版PDQ
（1facing2pcs/PDQ），客版布标贴纸，客供RFID贴纸（位置由我们提供）。
2.外箱四面印刷RFID箱唛，主唛左前下角印刷艾利贴纸替代标箱唛(ITF-14格式)，此条码只印刷一面，ZURU新logo右下角四面印刷，主唛右下角加印 MADE IN CHI
NA
，每个slip sheet上面贴一张艾利贴纸（工厂自己打印）和一张普通贴纸（可A4纸打印），slip sheet打印的普通贴纸的尺寸不能比艾利贴纸小。
3.在产品上和包装上要有日期码（避开周末和节假日）以及要有MADE IN CHINA和ZURU字样。4.产品如有扎带口要剪平，不能刮手。
5.此单需要第三方验货，请自行多备包装物料。
6.此单打卡板出货（32x7H=192carton=384pcs/Slip Sheet）。
7.其它信息：7 assortment (6 common + 1 rare)=CORGI : SHEPHERD : POODLE : DALMATIAN : SCHNAUZER : BROWN DALNATIAN : HOUND DOG=2:8:10:10:10:10:1
0</t>
  </si>
  <si>
    <t>ZB02575-10.23</t>
  </si>
  <si>
    <t>0944785656</t>
  </si>
  <si>
    <t>4500179538-20</t>
  </si>
  <si>
    <t>10/23出</t>
  </si>
  <si>
    <t>ZB02556-10.23</t>
  </si>
  <si>
    <t>0944785681</t>
  </si>
  <si>
    <t>4500179538-40</t>
  </si>
  <si>
    <t>ZB02548-10.22</t>
  </si>
  <si>
    <t>0944785700</t>
  </si>
  <si>
    <t>4500179538-60</t>
  </si>
  <si>
    <t>10/28出</t>
  </si>
  <si>
    <t>ZB02647-10.27</t>
  </si>
  <si>
    <t>0944785703</t>
  </si>
  <si>
    <t>4500179538-70</t>
  </si>
  <si>
    <t>ZB02576-10.23</t>
  </si>
  <si>
    <t>0944785657</t>
  </si>
  <si>
    <t>4500179538-30</t>
  </si>
  <si>
    <t>10/30出</t>
  </si>
  <si>
    <t>ZB02684-10.29</t>
  </si>
  <si>
    <t>0944785684</t>
  </si>
  <si>
    <t>4500179538-50</t>
  </si>
  <si>
    <t>ZB02622-10.25</t>
  </si>
  <si>
    <t>BINGO GLOBAL GROUP FOR TRADING SUPP</t>
  </si>
  <si>
    <t>埃及</t>
  </si>
  <si>
    <t>4500178799-10</t>
  </si>
  <si>
    <t>9/10收到</t>
  </si>
  <si>
    <t>9/22-进口商贴纸</t>
  </si>
  <si>
    <t>日期码格式：ZURU INC(BVI) 标准格式 日期：按实际生产日期
Packaging Info: 9298TQ1: 包装MA EAN收缩膜+进口商贴纸，MA PDQ，收缩膜EAN条码显示4894680029828，产品年龄3+；
客人箱唛排版，印4面，条码内容4894680029828;
Remark: 9298TQ1: 7 assortment (6 common + 1 rare)= CORGI(Rare):SHEPHERD:POODLE:DALMATIAN: SCHNAUZER:BROWN DALNATIAN:HOUND DOG=2:8:10:10:10:10:10;</t>
  </si>
  <si>
    <t>Nora Pan</t>
  </si>
  <si>
    <t>A97467-1.7</t>
  </si>
  <si>
    <t>084060</t>
  </si>
  <si>
    <t>4500168517-10</t>
  </si>
  <si>
    <t>进口商贴纸+翻4500119826</t>
  </si>
  <si>
    <t>日期码格式：ZUR5199 日期：
Packaging Info:
Remark: 1.9298TQ1：MA 1L收缩膜+进口商贴纸（含客人条码：8056379165088），进口商贴纸翻单4500119826
2.客户日期码：ZUR5199，产品/包装/外箱请保持一致。
3.9298大货样随机寄2pcs 给客人香港办公室，请多备料。
地址如下：
Attn: Sylvia Li Company name: GP Services HK Limited Company address: Suite 1502, 15th Floor, Chinachem Golden Plaza, 77 Mody Road,TST East, Kow
loon, Hong Kong Company address (Chinese): 香港九龍尖沙咀東部麼地道77號華懋廣場1502室 Contact Tel: +852 2739 5363
4. 9298TQ1需测试通过后才能出货，随机寄2pcs大货样到到广州ITS做EN 71-3测试</t>
  </si>
  <si>
    <t>96872-11.5</t>
  </si>
  <si>
    <t>5HFMKU4Y</t>
  </si>
  <si>
    <t>4500178531-130</t>
  </si>
  <si>
    <t>日期码格式：ZURU INC(BVI) 标准格式 日期：按实际生产日期
Packaging Info: 
#9298: MA 3L C版本加UPC贴纸，UPC贴纸图稿跟返单4500113996。需混入稀有款， 常规款：稀有款=58：2。 H：193052062673;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</si>
  <si>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4500177281-100</t>
  </si>
  <si>
    <t>收到SO，预计10/24出</t>
  </si>
  <si>
    <t>9/17收到</t>
  </si>
  <si>
    <t>9/2-条码跟进口商贴纸</t>
  </si>
  <si>
    <t>A96716-10.23</t>
  </si>
  <si>
    <t>0947820090</t>
  </si>
  <si>
    <t>4500180595-10</t>
  </si>
  <si>
    <t>10/28第三方（转自检）</t>
  </si>
  <si>
    <t>11/4出</t>
  </si>
  <si>
    <t>10/7-客供RFID贴纸</t>
  </si>
  <si>
    <t>ZBO2797-11.4</t>
  </si>
  <si>
    <t>0947820094</t>
  </si>
  <si>
    <t>4500180595-20</t>
  </si>
  <si>
    <t>ZBO2746-11.1</t>
  </si>
  <si>
    <t>0947820096</t>
  </si>
  <si>
    <t>4500180595-30</t>
  </si>
  <si>
    <t>11/13出</t>
  </si>
  <si>
    <t>ZBO2901-11.13</t>
  </si>
  <si>
    <t>0947820102</t>
  </si>
  <si>
    <t>4500180595-40</t>
  </si>
  <si>
    <t>ZBO2796-11.4</t>
  </si>
  <si>
    <t>0947820103</t>
  </si>
  <si>
    <t>4500180595-50</t>
  </si>
  <si>
    <t>11/5出</t>
  </si>
  <si>
    <t>ZBO2767-11.3</t>
  </si>
  <si>
    <t>0947820116</t>
  </si>
  <si>
    <t>4500180595-60</t>
  </si>
  <si>
    <t>ZBO2747-11.1</t>
  </si>
  <si>
    <t>21105434</t>
  </si>
  <si>
    <t>4500179341-50</t>
  </si>
  <si>
    <t>收到SO，预计10/29-10/31出</t>
  </si>
  <si>
    <t>9/25收到</t>
  </si>
  <si>
    <t>防盗贴纸 + 10/7-外箱SSCC Label</t>
  </si>
  <si>
    <t>A96772-10.30</t>
  </si>
  <si>
    <t>4500179340-50</t>
  </si>
  <si>
    <t>防盗贴纸 + 10/9-外箱SSCC Label</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</si>
  <si>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
10:10:10:10:10;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</si>
  <si>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A96773-10.30</t>
  </si>
  <si>
    <t>WOOLWORTH TRADING S.A. DE C.V.</t>
  </si>
  <si>
    <t>25/453 CT</t>
  </si>
  <si>
    <t>4500177865-20</t>
  </si>
  <si>
    <t>9/9收到</t>
  </si>
  <si>
    <t>日期码格式：ZURU INC(BVI) 标准格式 日期：按实际生产日期
Packaging Info:
3. 9298TQ1：MA 3L EAN包装+MA 多语收藏指南+MA PDQ包装+进口商贴纸+箱唛
Remark: 1. 此单需提交自检报告给客户确认，待客户确认放货后，才允许出货。
3. 9298：7 assortment (6 common + 1 rare)=CORGI:SHEPHERD:POODLE:DALMATIAN:SCHNAUZER:BROWN DALNATIAN:HOUND DOG=2:8:10:10:10:10:10;</t>
  </si>
  <si>
    <t>A96743-10.28</t>
  </si>
  <si>
    <t>4500176188-30</t>
  </si>
  <si>
    <t>9/29-客供价格贴纸</t>
  </si>
  <si>
    <t>2025ZURU24</t>
  </si>
  <si>
    <t>4500180011-10</t>
  </si>
  <si>
    <t>9/26收到</t>
  </si>
  <si>
    <t>UPC贴纸翻单4500155486</t>
  </si>
  <si>
    <t>日期码格式：ZURU INC(BVI) 标准格式 日期：按实际生产日期
Packaging Info: 9298TQ2 无硼版本，MA B多语包装， EAN收缩膜+UPC 贴纸193052057426 ，UPC贴纸翻单4500155486
Remark: 出加拿大
Zuru验货.日期跟踪码：产品外包装及产品本身都必须有日期跟踪码，ZURU标准格式日期码。（箱唛日期码按跟单提供格式）</t>
  </si>
  <si>
    <t>96851-11.3</t>
  </si>
  <si>
    <t>4500179977-30</t>
  </si>
  <si>
    <t>9/30收到</t>
  </si>
  <si>
    <t>96880-11.6</t>
  </si>
  <si>
    <t>ASDA STORES LTD</t>
  </si>
  <si>
    <t>PO#2950867208</t>
  </si>
  <si>
    <t>4500180371-20</t>
  </si>
  <si>
    <t>9298SLB-S001</t>
  </si>
  <si>
    <t>11/12出</t>
  </si>
  <si>
    <t>日期码格式：ZURU INC(BVI) 标准格式 日期：按实际生产日期
Packaging Info: 
9298SLB-S001, MA最新UPC包装，UPC :193052057426，请先检查条码是否正确再安排做货。
Slip sheet: 9298TQ4-S001 (carton size:32*26.4*22.4cm)18*4H=288PCS/72CTN/SLIP SHEET
;一共需要8 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</si>
  <si>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Aaron Xia</t>
  </si>
  <si>
    <t>9298SLB-SOO1</t>
  </si>
  <si>
    <t>4500179716-10</t>
  </si>
  <si>
    <t>MTQ47-9298-S001-MTS</t>
  </si>
  <si>
    <t>狗蛋四代混装（9298+92104+92129+92120各6pcs）</t>
  </si>
  <si>
    <t>9/22收到</t>
  </si>
  <si>
    <t>日期码格式：ZURU INC(BVI) 标准格式 日期：按实际生产日期
Packaging Info: MTQ47：客版混装PDQ+
9298:最新 MA 3L+9L EAN 收缩膜+1*多语折叠警语贴纸（翻单4500165120）+最新MA 5L-9L收藏指南+最新MA 5L SLIME Polybag+MA 配件袋
所有item都需要无硼无香版本；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
ZURU France 1/3, Rue d'Argenteuil 95210 SAINT-GRATIEN,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</si>
  <si>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96984-11.21
96877-11.6
96883-11.7</t>
  </si>
  <si>
    <t>MTQ47-9298-S001-3L</t>
  </si>
  <si>
    <t>777 4JAN26</t>
  </si>
  <si>
    <t>4500180233-30</t>
  </si>
  <si>
    <t>11/10出</t>
  </si>
  <si>
    <t>日期码格式：ZURU INC(BVI) 标准格式 日期：按实际生产日期
Packaging Info: MA 最新UPC包装，各款的条码如下，请先检查条码是否正确再安排做货，如有问题请告知,配比跟MA
9298TQ1-S003:193052057426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</si>
  <si>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97005-11.24</t>
  </si>
  <si>
    <t>4500179381-20</t>
  </si>
  <si>
    <t>ZBO2909-11.14
ZBO2918-11.15</t>
  </si>
  <si>
    <t>4500179209-10</t>
  </si>
  <si>
    <t>箱唛翻4500176427</t>
  </si>
  <si>
    <t>中文3C贴纸+年龄贴纸</t>
  </si>
  <si>
    <t>日期码格式：ZURU INC(BVI) 标准格式 日期：按实际生产日期
Packaging Info: 物料要求 SKU
1 9298TQ1 MA+中文3C贴纸+中文收藏指南+中文布标(可用布标贴纸)+年龄贴纸 （3Facing 6pcs/PDQ） 翻单： 4500176427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t>
  </si>
  <si>
    <t>96931-11.11</t>
  </si>
  <si>
    <t>4500179209-40</t>
  </si>
  <si>
    <t>中文3C贴纸+(可用布标贴纸)+年龄贴纸 翻4500176427</t>
  </si>
  <si>
    <t>4500179209-50</t>
  </si>
  <si>
    <t>0948877811</t>
  </si>
  <si>
    <t>4500181139-10</t>
  </si>
  <si>
    <t>11/11第三方</t>
  </si>
  <si>
    <t>11/19出</t>
  </si>
  <si>
    <t>客供RFID贴纸</t>
  </si>
  <si>
    <t>日期码格式：ZURU DGYYYYMMDD CHINA(日期避开周末和法定节假日即可） 日期：按实际生产日期
Packaging Info: 
9298:
1.包装信息：MA 最新版 UPC版 1L收缩膜，MA 最新版 5L收藏指南，MA 最新版贴纸袋子，MA 最新版配件袋子，MA 最新版 5L口水胶袋，MA 最新版 3L贴纸，MA B
版车缝布标，客版PDQ（1facing2pcs/PDQ），客版布标贴纸，客供RFID贴纸（位置由我们提供）。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5.此单需要第三方验货，请自行多备物料。
6.此单打卡板出货 9296（23x7H=161carton=161pcs/Slip Sheet）。9298（32x7H=192carton=384pcs/Slip Sheet）。
9298其他信息：7 assortment (6 common + 1 rare)=CORGI : SHEPHERD : POODLE : DALMATIAN : SCHNAUZER : BROWN DALNATIAN : HOUND DOG=2:8:10:10:10:10:1
0
Remark:</t>
  </si>
  <si>
    <t>ZBO2917-11.15</t>
  </si>
  <si>
    <t>0948877848</t>
  </si>
  <si>
    <t>4500181139-60</t>
  </si>
  <si>
    <t>11/24出</t>
  </si>
  <si>
    <t>ZBO9103-11.26</t>
  </si>
  <si>
    <t>0948877850</t>
  </si>
  <si>
    <t>4500181139-70</t>
  </si>
  <si>
    <t>ZBO2935-11.17</t>
  </si>
  <si>
    <t>ROFU KINDERLAND SPIELWARENHANDELSGE</t>
  </si>
  <si>
    <t>4500180918-50</t>
  </si>
  <si>
    <t>11/25出</t>
  </si>
  <si>
    <t>10/16-布标贴纸</t>
  </si>
  <si>
    <t>10/16-价格贴纸</t>
  </si>
  <si>
    <t>日期码格式：ZURU INC(BVI) 标准格式 日期：按实际生产日期
Packaging Info:
9298TQ1: MA EAN 3L+9L B版本收缩膜+价格贴纸 + MA 5L收藏指南+MA 纸袋 +MA 5L B版本Slime袋子 + MA 9L纸袋+MA贴纸 +MA布标+非电子产品布标贴纸+ MA PDQ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通用30L 说明书)和不带电池版本(WEEE 不带电池走货 通用30L 说
明书)
4. 此单需要在CRD前一天预约ZURU QC验货提供验货图片给客户确认才能出货
5. 需准时完成生产，推期出货会有罚款。
6. 此客户要求含布标的毛绒公仔，需要额外贴一张布标贴纸，区分电子产品（带电布标贴纸)和非电子产品(不带电布标贴纸)"</t>
  </si>
  <si>
    <t>Winnie Zhong</t>
  </si>
  <si>
    <t>97008-11.24</t>
  </si>
  <si>
    <t>2508001997136</t>
  </si>
  <si>
    <t>4500179226-10</t>
  </si>
  <si>
    <t>10/22-进口商贴纸</t>
  </si>
  <si>
    <r>
      <rPr>
        <sz val="14"/>
        <color rgb="FF0000FF"/>
        <rFont val="宋体"/>
        <charset val="0"/>
      </rPr>
      <t>日期码格式：ZURU INC(BVI) 标准格式 日期：按实际生产日期
Packaging Info: 1. 外箱侧唛</t>
    </r>
    <r>
      <rPr>
        <sz val="14"/>
        <color rgb="FFFF0000"/>
        <rFont val="宋体"/>
        <charset val="0"/>
      </rPr>
      <t>（一面）</t>
    </r>
    <r>
      <rPr>
        <sz val="14"/>
        <color rgb="FF0000FF"/>
        <rFont val="宋体"/>
        <charset val="0"/>
      </rPr>
      <t>的右上角各贴一张外箱贴纸 ;
2. 9298/92106：1LMA 收缩膜+进口商贴纸（含EAN 条码）；MA指南
15759UQ1：MA UPC 彩盒+3+年龄贴纸+ QR 贴纸（含RU 警告语，客户EAN条码等....一物一码,格式要求DATA MATRIX GS1）, MA PDQ + 进口商贴纸 ；
15759UQ1 货期6月12 ， 9298/92106 货期 11月18 。
Remark: 1. 标准配比
2. 此客户验货时需要提供以下三种图片，请务必拍照清晰图片，</t>
    </r>
    <r>
      <rPr>
        <sz val="14"/>
        <color rgb="FFFF0000"/>
        <rFont val="宋体"/>
        <charset val="0"/>
      </rPr>
      <t>需要提供ZURU自检报告给客户确认后才能放货</t>
    </r>
    <r>
      <rPr>
        <sz val="14"/>
        <color rgb="FF0000FF"/>
        <rFont val="宋体"/>
        <charset val="0"/>
      </rPr>
      <t xml:space="preserve">
产品净重图片；
产品+包装毛重图片；
一箱产品的毛重图片。
</t>
    </r>
    <r>
      <rPr>
        <sz val="14"/>
        <color rgb="FFFF0000"/>
        <rFont val="宋体"/>
        <charset val="0"/>
      </rPr>
      <t>3. 零售包装上的QR code贴纸（要求一物一码，每PCS的二维码不一样，可按包装大小适当调整确保产品的美观 ，白底黑字，铜版纸印刷，印制的二维码必须清晰
且耐磨，确保在收银台处至少能连续读取两年，分辨率要大于300dpi ; QR CODE 格式要求DATA MATRIX GS1 ；
4. ZURU自检前2周需要提供QR CODE 入外箱以及入货柜的明细清单供客户清关使用;</t>
    </r>
  </si>
  <si>
    <t>96972-11.19</t>
  </si>
  <si>
    <t>4500176585-10</t>
  </si>
  <si>
    <t>11/29出</t>
  </si>
  <si>
    <t>10/16收到</t>
  </si>
  <si>
    <t>ZBO3137-11.28</t>
  </si>
  <si>
    <t>60235915</t>
  </si>
  <si>
    <t>4500176156-20</t>
  </si>
  <si>
    <t>ZBO3136-11.28</t>
  </si>
  <si>
    <t>PO#195851</t>
  </si>
  <si>
    <t>4500183152-10</t>
  </si>
  <si>
    <t>10/24收到</t>
  </si>
  <si>
    <t>10/31-客人白色Cat.label</t>
  </si>
  <si>
    <t>日期码格式：ZURU INC(BVI) 标准格式 日期：按实际生产日期
Packaging Info: 1.9298:1L MA 包装+客人白色Cat.label 1张覆盖ZURU条码; MA指南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3.请先检查条码是否正确再安排做，标签上的目录编号数字（9162475和3428775 7699926）高度必须至少为5mm （14.17pt）
9298扫描结果为9162475
Remark: *MA包装最新版本(MA包装上含英文信息)。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*出欧洲的电子产品需要有WEEE电池说明书，区分带电池版本和不带电池版本，如果不是电子产品可以忽略。
*整柜的装柜工厂需要准备紧密的安全网，否则会有客人罚款。</t>
  </si>
  <si>
    <t>97108-12.1</t>
  </si>
  <si>
    <t>PO#2950867424</t>
  </si>
  <si>
    <t>4500182528-20</t>
  </si>
  <si>
    <t>客版PDQ翻4500115216</t>
  </si>
  <si>
    <t>11/27出</t>
  </si>
  <si>
    <t>10/21收到</t>
  </si>
  <si>
    <t>日期码格式：ZURU INC(BVI) 标准格式 日期：按实际生产日期
Packaging Info: 
2. 9298SLB
9298TQ4-S001:MA 1L最新版包装+客版 1L 版PDQ (2Facing4PCS/PDQ)新logo文档----客版PDQ翻PO#4500115216
UPC#193052057426，请先检查条码是否正确再安排做货；
7 assortment (6 common + 1 rare)=CORGI:SHEPHERD:POODLE:DALMATIAN:SCHNAUZER:BROWN DALNATIAN:HOUND DOG=2:8:10:10:10:10:10;
Slip sheet:4pcs/ctn,18*4H=288PCS/72CTN/SLIP SHEET;一共需要8套Slip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</si>
  <si>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Meyya Liu</t>
  </si>
  <si>
    <t>4500182703-30</t>
  </si>
  <si>
    <t>10/30收到</t>
  </si>
  <si>
    <t>11/8-客供价格贴纸</t>
  </si>
  <si>
    <t>4500182703-40</t>
  </si>
  <si>
    <t>PO#55427736</t>
  </si>
  <si>
    <t>4500180187-30</t>
  </si>
  <si>
    <t>9/24收到</t>
  </si>
  <si>
    <t>10/31-客供价格贴纸</t>
  </si>
  <si>
    <t>日期码格式：ZURU INC(BVI) 标准格式 日期：按实际生产日期
Packaging Info:
9298: MA3L (9L warning) 最新C版EAN包装+1张客供价格贴纸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</si>
  <si>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AaronXia</t>
  </si>
  <si>
    <t>PO#50427373</t>
  </si>
  <si>
    <t>4500180135-60</t>
  </si>
  <si>
    <t>9/23收到</t>
  </si>
  <si>
    <t>日期码格式：ZURU INC(BVI) 标准格式 日期：按实际生产日期
Packaging Info: 
9298: MA 3L(9L warning)最新EAN包装version B+一张客供价格贴纸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</si>
  <si>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97159-12.8</t>
  </si>
  <si>
    <t>DIRK ROSSMANN GMBH</t>
  </si>
  <si>
    <t>30251376A</t>
  </si>
  <si>
    <t>4500183188-10</t>
  </si>
  <si>
    <t>12/4第三方</t>
  </si>
  <si>
    <t>警告语贴纸+EAN条码贴纸翻4500149853</t>
  </si>
  <si>
    <t>日期码格式：ZURU INC(BVI) 标准格式 日期：按实际生产日期
Packaging Info: 9298: 最新MA 1L 收缩膜+德语callout及警告语贴纸(翻单#4500149853)+EAN条码贴纸+5L 收藏指南/Polybag+MA 布标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 标准配比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新地址：ZURU France 33 rue Paul Meurice 75020 Paris, France
旧地址：ZURU France 1/3, Rue d'Argenteuil 95210 SAINT-GRATIEN, FRANCE
12. 所有出往GAS市场(德国/奥地利/瑞士)的电子产品需增加一张欧洲通用WEEE声明说明书，区分带电池和不带电池版本, 如已做客版说明书可忽略此要求。</t>
  </si>
  <si>
    <t>REWE - ZENTRAL GMBH</t>
  </si>
  <si>
    <t>4500179274-10</t>
  </si>
  <si>
    <t>MB179-9298-S001-NB</t>
  </si>
  <si>
    <t>狗蛋四代混装（9298-5pcs+74107-3pcs）</t>
  </si>
  <si>
    <t>12/2出</t>
  </si>
  <si>
    <t>9/17收到，上下需要加隔卡保护</t>
  </si>
  <si>
    <t>日期码格式：9521412492025 日期：
Packaging Info: MB179-S001-NB混装入箱
①母件厂兴信子件
RAINBOCORNS #9298-NB: MA收缩膜C版3L(EAN#4894680029828) + MA收藏指南B版 + MA贴纸B版 + MA复合纸袋C版5L + MA纸袋B版 + MA洗水标C版，请先检查条码是否
正确再安排做货。
②泰亨子件 (11月12日周三会送至兴信）
SMASHERS #74107-2025-NB: MA收缩膜A版3L (EAN#4894680056091) + MA袋A版9L + MA说明书A版23L，请先检查条码是否正确再安排做货。
Remark: 1, 本订单交期2025年11月19号周三，ZURU验货请在11月21号周五内完成，泰亨会11月12日周三会送至贵厂拼箱，第三方验货预计在11月24号周一；
2, 比例：5pcs 9298-2025-NB Rainbocorns Puppycorns (按照平均比例) + 3pcs 74107-2025-NB Smashers
3, 外箱条码: 10193052069624，包装/产品/外箱三处都要打客人的日期码: 9521412492025；
4, 客人不接受任何包装包含PVC材质，如果有请更改为PET；
5, 此单走德国，所有物料需满足ZURU 标准的测试要求；
6, 所有出往GAS市场(德国/奥地利/瑞士)订单，化学品需无堋无香版本；
7, 出口欧洲，微塑料需符合法规；
8, 所有出往GAS市场(德国/奥地利/瑞士)的电子产品身上需要加字唛，为ZURU FRANCE 地址 (如无电子产品，产品布标有此地址，或产品太小无法增加可忽略此信息
。如产品无法加字唛，需让对应跟单提供产品贴纸资料) ZURU France 33 rue Paul Meurice 75020 Paris, France；
9, 所有电子产品需增加一张欧洲通用WEEE声明说明书，区分带电池和不带电池版本, 如已做客版说明书可忽略此要求；
10, 客人要求3套大货样，出货前两周提供，即11月03日寄出；
11, 客人要求纸箱的底部和顶部加保护卡（需印环保logo），以免被产品被割破；
12, 封箱胶纸用50mm宽OPP透明封箱胶纸，工字形封箱；
13, 客人第三方验货，要求大货完成100%后验尾期；
14, 需提供装柜图片。</t>
  </si>
  <si>
    <t>Grace He</t>
  </si>
  <si>
    <t>9298-S001-NB-1</t>
  </si>
  <si>
    <t>4500181881-370</t>
  </si>
  <si>
    <t>12/1出</t>
  </si>
  <si>
    <t>10/20收到</t>
  </si>
  <si>
    <t>11/4-进口商贴纸+ QR code贴纸</t>
  </si>
  <si>
    <t>日期码格式：ZURU INC(BVI) 标准格式 日期：按实际生产日期
Packaging Info: MA UPC 彩卡 + 进口商贴纸+ QR code贴纸（要求每1PCS 的QR 不一样 ）。MA 说明书/指南/PDQ（如有）
Remark: 注意：
1. QR 贴纸要求： 二维码+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t>
  </si>
  <si>
    <t>97109-12.1</t>
  </si>
  <si>
    <t>45152387 45152401</t>
  </si>
  <si>
    <t>4500183001-70</t>
  </si>
  <si>
    <t>12/8出</t>
  </si>
  <si>
    <t>11/3收到</t>
  </si>
  <si>
    <t>10/27-UPC贴纸</t>
  </si>
  <si>
    <t>日期码格式：ZURU INC(BVI) 标准格式 日期：按实际生产日期
Packaging Info: 
9298 无硼版本 MA C 版3L 收缩膜 +UPC 贴纸 UPC 193052057426， B 版5L 收藏指南
Remark: 出加拿大
有客供价格贴
每行对应不同的客户PO，唛头要一一对应， 放唛头时跟单会提供清单
Zuru验货.日期跟踪码：产品外包装及产品本身都必须有日期跟踪码，ZURU标准格式
日期码</t>
  </si>
  <si>
    <t>40059009 40059370</t>
  </si>
  <si>
    <t>4500183043-50</t>
  </si>
  <si>
    <t>4500183043-100</t>
  </si>
  <si>
    <t>97154-12.6</t>
  </si>
  <si>
    <t>4500183043-170</t>
  </si>
  <si>
    <t>97149-12.5</t>
  </si>
  <si>
    <t>4500183043-250</t>
  </si>
  <si>
    <t>TJ MAXX
PO#533249,SKU
#170679
DC#891-396PCS
,
DC#894-270PCS
,
DC#896-432PCS
,
DC#897-342PCS
,
DC#898-360PCS</t>
  </si>
  <si>
    <t>4500183798-40</t>
  </si>
  <si>
    <t>Marshalls
PO#533156,SKU
#892257
DC#881-336PCS
,
DC#884-252PCS
,
DC#886-378PCS
,
DC#887-312PCS
,
DC#888-324PCS</t>
  </si>
  <si>
    <t>4500183797-40</t>
  </si>
  <si>
    <t>PRO &amp; PACIFIC CO.,LTD</t>
  </si>
  <si>
    <t>ZU25102101</t>
  </si>
  <si>
    <t>4500184755-20</t>
  </si>
  <si>
    <t>进口商贴纸翻4500166599</t>
  </si>
  <si>
    <t>日期码格式：ZURU INC(BVI) 标准格式 日期：按实际生产日期
Packaging Info: MA UPC包装(优先1L)+1张进口商贴纸,贴纸图稿及位置图翻单如下
9298-4500166599
Remark: 
9298-7 assortment (6 common + 1 rare)=CORGI(Rare):SHEPHERD:POODLE:DALMATIAN:SCHNAUZER:BROWN DALNATIAN:HOUND DOG=2:8:10:10:10:10:10;</t>
  </si>
  <si>
    <t>FB13931</t>
  </si>
  <si>
    <t>4500183275-150</t>
  </si>
  <si>
    <t>10/27收到</t>
  </si>
  <si>
    <t>条码贴翻4500148687</t>
  </si>
  <si>
    <t>日期码格式：ZURU INC(BVI) 标准格式 日期：按实际生产日期
Packaging Info: 
9298TQ4:MA最新1L配套包装+客户EAN条码贴一张覆盖ZURU 原条码，条码贴翻订单4500148687，条码请核对：5056296044834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</si>
  <si>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 xml:space="preserve"> Meyya Liu</t>
  </si>
  <si>
    <t>28JLC2
DC 96000</t>
  </si>
  <si>
    <t>4500187121-10</t>
  </si>
  <si>
    <t>9298SLB-S003</t>
  </si>
  <si>
    <t>4500182514改下新单4500187121打slip sheet</t>
  </si>
  <si>
    <t>箱唛：翻4500176962</t>
  </si>
  <si>
    <t>日期码格式：DOLLAR GENERAL 客日期码 日期：
Packaging Info: 客版收缩膜+客版PDQ，打纸滑托盘SLIP SHEET出货。
Remark: 此单是以下四张FOB订单的转单，因转单后客户要求出货加纸滑托盘SLIP SHEET，我们将以下四张订单删除，产品spec做了更新。 但是产品+外箱还是用这四单的物
料。
4500181787
4500181793
4500182514
4500183277
改物料后的item号是：
#9298-S006-PKC 改为
#9298SLB-S003--RAINBOCORNS-PUPPYCORN SURPRISE-SERIES 8-SCENT SURPRISE PLUSH SMALL SHRINK WRAP&lt;(&gt;,&lt;)&gt;6PCS/3POLYBAG/CTN,300PCS/50CTN/SLIP SHEET
托盘上打的产品是4500182514 #9298-S006-PKC ，因托盘需要整数，此款原订单数量是33684pcs，改打托后最终数量更新为33600pcs（共112个托），原单余数的
呆滞料有84pcs，后续如果有订单不做第三方的前提下可以消耗掉。
特别注意： 此款客户分了21个DC的数量下单，整柜到美国客户CIC仓库后需要以整托方式分发到21个DC，请根据订单所下行项目数量以DC为单位分别打托，客户不接
受混款以及混DC打托。我们会邮件提供每个DC的托盘贴纸给工厂进行标识区分出每个DC。
稍后邮件发送打slip sheet的loading 方案图。
打托注意事项：
1. DG客户slip sheet尺寸1219.2x1016x1219.2mm
,,长度Length: 48 inches
,,宽度Width: 40 inches
,,高度Height: Not explicitly specified for pallets; slip sheet builds are typically double stacked to about 48 inches (4 feet) tall 未明确指定托
盘；薄板建筑通常是双层堆叠，大约48英寸（4英尺）高
,,托盘等级Pallet Grade: No specific grade required, but wood pallets must comply with ISPM 15 (treated and officially marked) 没有特定的等级要求
，但木托盘必须符合ISPM 15（处理和正式标记）。
,,突出部分Overhang: Not allowed—product must fit entirely within pallet footprint 不允许-产品必须完全适合托盘的空间。
,,装载稳定性Load Stability: Loads must be stable and secure for handling and transport货物必须稳定、安全，便于搬运和运输
,,All pallets must be labeled with the Dollar General Purchase Order number and Dollar General destination distribution center. If cartons are
floor loaded, the PO should be listed on each carton.
,, 所有的托盘必须贴上DG采购订单号和DG目的地配送中心的标签。
,,我们计划是40HQ出货，客户允许一个柜子堆叠2层，但是2层中间需要加一个保护片。</t>
  </si>
  <si>
    <t>28JLD7
DC 96590</t>
  </si>
  <si>
    <t>4500187121-40</t>
  </si>
  <si>
    <t>28JLC6
DC 96100</t>
  </si>
  <si>
    <t>4500187121-70</t>
  </si>
  <si>
    <t>28JLD3
DC 96300</t>
  </si>
  <si>
    <t>4500187121-100</t>
  </si>
  <si>
    <t>28JLF4
DC96930</t>
  </si>
  <si>
    <t>4500187121-130</t>
  </si>
  <si>
    <t>28JLD9
DC 96700</t>
  </si>
  <si>
    <t>4500187121-160</t>
  </si>
  <si>
    <t>28JLF0
DC 96800</t>
  </si>
  <si>
    <t>4500187121-190</t>
  </si>
  <si>
    <t>28JLD6
DC 96570</t>
  </si>
  <si>
    <t>4500187121-220</t>
  </si>
  <si>
    <t>28JLD5
DC 96540</t>
  </si>
  <si>
    <t>4500187121-250</t>
  </si>
  <si>
    <t>28JLC9
DC 96140</t>
  </si>
  <si>
    <t>4500187121-280</t>
  </si>
  <si>
    <t>28JLF5
DC 96970</t>
  </si>
  <si>
    <t>4500187121-310</t>
  </si>
  <si>
    <t>28JLD8
DC 96600</t>
  </si>
  <si>
    <t>4500187121-340</t>
  </si>
  <si>
    <t>28JLF1
DC 96900</t>
  </si>
  <si>
    <t>4500187121-370</t>
  </si>
  <si>
    <t>28JLC8
DC 96130</t>
  </si>
  <si>
    <t>4500187121-400</t>
  </si>
  <si>
    <t>28JLC7
DC 96120</t>
  </si>
  <si>
    <t>4500187121-430</t>
  </si>
  <si>
    <t>28JLD0
DC 96150</t>
  </si>
  <si>
    <t>4500187121-460</t>
  </si>
  <si>
    <t>28JLD1
DC 96160</t>
  </si>
  <si>
    <t>4500187121-490</t>
  </si>
  <si>
    <t>28JLD4
DC 96500</t>
  </si>
  <si>
    <t>4500187121-520</t>
  </si>
  <si>
    <t>28JLF2
DC 96910</t>
  </si>
  <si>
    <t>4500187121-550</t>
  </si>
  <si>
    <t>28JLF3
DC 96920</t>
  </si>
  <si>
    <t>4500187121-580</t>
  </si>
  <si>
    <t>28JLD2
DC 96170</t>
  </si>
  <si>
    <t>4500187121-610</t>
  </si>
  <si>
    <t>4500180866-10</t>
  </si>
  <si>
    <t>狗蛋四代（干燥剂）</t>
  </si>
  <si>
    <t>9/29收到</t>
  </si>
  <si>
    <t>10/30-UPC贴纸+进口商贴纸可能会合并成一张贴纸</t>
  </si>
  <si>
    <t>日期码格式：LOTDGYYYYMMDD 日期：按实际生产日期
Packaging Info: 1. 9298TQ1: MA 3L EAN包装+新UPC条码贴纸+进口商贴纸+MA 5L收藏指南+MA PDQ+箱唛；UPC贴纸和进口商贴纸可能会合并成一张贴纸
注意所有带电产品所用的保证书是通用的。
Remark: 1. 客版日期码要求：LOT+ZURU标准日期码格式。东莞生产的格式：LOTDGYYYYMMDD, DG是东莞拼音首字母，
YYYYMMDD是实际的年月日，例如(LOTDG20240920)
2.9298TQ1: 7 assortment (6 common + 1 rare)=CORGI:SHEPHERD:POODLE:DALMATIAN:SCHNAUZER:BROWN DALNATIAN:HOUND DOG=2:8:10:10:10:10:10;
4. 此单有第三方监柜，至少多备一套完整的物料用于监柜，请多备料。
5. WM墨西哥防霉的新要求:货物必须在出货主箱和集装箱中按要求放置干燥剂，干燥剂指定品牌干霸
9298TQ1： 需要在每箱放入4小包干燥剂，每包干燥剂重量2g
如走柜货等loading plan 确认后再通知集装箱干燥剂数量
此单会和其他工厂订单合并出4*40HC，每个HC需要放置20包干燥剂，每包干燥剂1KG</t>
  </si>
  <si>
    <t>A97572-1.20</t>
  </si>
  <si>
    <t>4500180866-20</t>
  </si>
  <si>
    <t>WALMART CENTRAL AMERICA</t>
  </si>
  <si>
    <t>4500184422-20</t>
  </si>
  <si>
    <t>11/13收到</t>
  </si>
  <si>
    <t>日期码格式：ZURU INC(BVI) 标准格式 日期：按实际生产日期
Packaging Info: 1.9298TQ1：MA 3L EAN包装+UPC贴纸+MA PDQ包装+MA 多语收藏指南+进口商贴纸+箱唛，贴纸翻单PO4500158302
Remark: 1.请注意产品包装条形码必须是UPC
2.无第三方验货
4. 9298TQ1：7 assortment (6 common + 1 rare)=CORGI(Rare):SHEPHERD:POODLE:DALMATIAN:SCHNAUZER:BROWN DALNATIAN:HOUND DOG=2:8:10:10:10:10:10;</t>
  </si>
  <si>
    <t>WALMART CENTRAL AMERICA-GT</t>
  </si>
  <si>
    <t>4500184355-20</t>
  </si>
  <si>
    <t>日期码格式：ZURU INC(BVI) 标准格式 日期：按实际生产日期
Packaging Info: 1. 9298TQ1：MA 3L EAN包装+UPC贴纸+MA PDQ包装+MA 多语收藏指南+进口商贴纸+箱唛，贴纸翻单PO4500158302
Remark: 1.请注意产品包装条形码必须是UPC
2.无第三方验货
4. 9298TQ1：7 assortment (6 common + 1 rare)=CORGI(Rare):SHEPHERD:POODLE:DALMATIAN:SCHNAUZER:BROWN DALNATIAN:HOUND DOG=2:8:10:10:10:10:10;</t>
  </si>
  <si>
    <t>WALMART CENTRAL AMERICA-CR</t>
  </si>
  <si>
    <t>4500184316-20</t>
  </si>
  <si>
    <t>1/1出</t>
  </si>
  <si>
    <t>DISTRIBUIDORA LIVERPOOL S.A DE C.V.</t>
  </si>
  <si>
    <t>4500182578-20</t>
  </si>
  <si>
    <t>11/24-UPC贴纸+进口商贴纸+价标贴纸</t>
  </si>
  <si>
    <t>日期码格式：ZURU INC(BVI) 标准格式 日期：按实际生产日期
Packaging Info: 9298TQ1:MA 多语 EAN 包装+UPC贴纸+进口商贴纸+价标贴纸+箱唛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MOTHER UPC Barcode:</t>
  </si>
  <si>
    <t>A97534-1.14</t>
  </si>
  <si>
    <t>Marshalls
PO#533168,SKU
#892448
DC#881-252PCS
,
DC#884-186PCS
,
DC#886-282PCS
,
DC#887-234PCS
,
DC#888-246PCS</t>
  </si>
  <si>
    <t>4500183799-30</t>
  </si>
  <si>
    <t>TJ MAXX
PO#533271,SKU
#171097
DC#891-396PCS
,
DC#894-270PCS
,
DC#896-432PCS
,
DC#897-342PCS
,
DC#898-360PCS</t>
  </si>
  <si>
    <t>4500183800-30</t>
  </si>
  <si>
    <t>FB13915</t>
  </si>
  <si>
    <t>4500183596-130</t>
  </si>
  <si>
    <t>10/29收到</t>
  </si>
  <si>
    <t>日期码格式：ZURU INC(BVI) 标准格式 日期：按实际生产日期
Packaging Info: 
9298TQ4 "MA最新1L配套包装+客户EAN条码贴一张覆盖ZURU 原条码，条码贴翻订单4500148687，
7 assortment (6 common + 1 rare)=CORGI:SHEPHERD:POODLE:DALMATIAN:SCHNAUZER:BROWN DALNATIAN:HOUND DOG=2:8:10:10:10:10:10;""""; 条码请核对: 505629
604483"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t>
  </si>
  <si>
    <t>4500184779-20</t>
  </si>
  <si>
    <t>12/25出</t>
  </si>
  <si>
    <r>
      <rPr>
        <sz val="14"/>
        <color rgb="FF1506E0"/>
        <rFont val="宋体"/>
        <charset val="0"/>
      </rPr>
      <t xml:space="preserve">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
10:10:10:10:10;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t>
    </r>
    <r>
      <rPr>
        <sz val="14"/>
        <color rgb="FFFF0000"/>
        <rFont val="宋体"/>
        <charset val="0"/>
      </rPr>
      <t>请注意此订单与AU PO#4500184776一起合并计算</t>
    </r>
  </si>
  <si>
    <t>4500184776-20</t>
  </si>
  <si>
    <r>
      <rPr>
        <sz val="14"/>
        <color rgb="FF1506E0"/>
        <rFont val="宋体"/>
        <charset val="0"/>
      </rPr>
      <t xml:space="preserve">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
10:10:10:10:10;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t>
    </r>
    <r>
      <rPr>
        <sz val="14"/>
        <color rgb="FFFF0000"/>
        <rFont val="宋体"/>
        <charset val="0"/>
      </rPr>
      <t>请注意此订单与NZ PO#4500184779一起合并计算</t>
    </r>
  </si>
  <si>
    <t xml:space="preserve"> KING JOUET LOGISTIQUE</t>
  </si>
  <si>
    <t>4500183306-20</t>
  </si>
  <si>
    <t>底托翻4500169285、12/26第三方</t>
  </si>
  <si>
    <t>进口商贴纸+产品贴纸+EAN贴纸翻4500161360</t>
  </si>
  <si>
    <t>日期码格式：LOT2551 日期：
Packaging Info: 
 2. 92123: 最新MA 底托（翻4500169285）+一张进口商贴纸+一张产品贴纸+一张EAN 4894680038059 贴纸，贴纸都翻4500161360
 9298：最新MA 3L EAN收缩膜+最新MA 5L收藏指南+最新MA 5L POLY BAG+最新MA 布标"
Remark: 1. 大货样品2套/item，用于客人验货签板。验货后还会抽办1套/item，请多备料；
 2. 客版日期码LOT2551, 包装（含收缩膜等）/产品/外箱请保持一致。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此客户需要第三方验货，请在约三方验货前必须PASS ZURU验货。</t>
  </si>
  <si>
    <t>A97476</t>
  </si>
  <si>
    <t>PR􀃉NATAL RETAIL GROUP ASIA PACIFIC</t>
  </si>
  <si>
    <t>4500183322-30</t>
  </si>
  <si>
    <t>客版底托翻4500169300、12/16第三方</t>
  </si>
  <si>
    <t>进口商贴纸+产品贴纸+EAN贴纸翻4500160038</t>
  </si>
  <si>
    <t>日期码格式：LOT2551 日期：
Packaging Info:
3. 92123: 客版 底托（翻4500169300）+一张进口商贴纸（含希腊警语+意大利/希腊布标内容+意大利环保标）+一张产品贴纸+一张EAN 4894680038059 贴纸，贴纸
翻4500160038
9298：最新MA 3L EAN收缩膜+最新MA 5L收藏指南+最新MA 5L POLY BAG+最新MA 布标
Remark: 1.RATIO 同MA 一致。
2.大货样品2套/item，用于客人验货签板。验货后还会抽办1套/item，请多备料。
3.客人日期码：LOT2551，包装（含收缩膜等）/产品/外箱 请保持一致。
4.产品均符合EU微塑料法规要求：不能含有微塑料/闪粉
5. SMASHERS 或含Slime产品，所有化合物使用无硼版本出意大利。
6. 本订单所有 具有 baby items / assorted items 的款式，零售包装上都要用 母 EAN;
7. 此客户需要第三方验货，请在约三方验货前必须PASS ZURU验货。</t>
  </si>
  <si>
    <t>4500185895-60</t>
  </si>
  <si>
    <t>4500185825-10</t>
  </si>
  <si>
    <t>12/1收到</t>
  </si>
  <si>
    <t>日期码格式：ZURU INC(BVI) 标准格式 日期：按实际生产日期
Packaging Info: MA UPC PKG(优先1L)
Remark: 请留意箱唛顶部色带高度要求40mm, 色带上方需留空10mm高.
箱唛色带的数字代表生产年份"2025"</t>
  </si>
  <si>
    <t>4500185863-30</t>
  </si>
  <si>
    <t>防盗贴纸+12/6-外箱SSCC</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</si>
  <si>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
10:10:10:10:10;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PO#4500185865一起合并计算</t>
  </si>
  <si>
    <t>4500185865-20</t>
  </si>
  <si>
    <t>日期码格式：ZURU INC(BVI) 标准格式 日期：按实际生产日期
Packaging Info: =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
10:10:10:10:10;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PO#4500185863一起合并计算</t>
  </si>
  <si>
    <t>4500186722-30</t>
  </si>
  <si>
    <t xml:space="preserve">日期码格式：ZURU INC(BVI) 标准格式 日期：按实际生产日期
Packaging Info: MA UPC PKG(优先1L)，无需加进口商贴纸
9281 清尾阶段， 比例不是平均比例，要按工厂实际库存来出货了
Remark: </t>
  </si>
  <si>
    <t>MUELLER HANDELS GMBH &amp; CO. KG</t>
  </si>
  <si>
    <t>4500186835-20</t>
  </si>
  <si>
    <t>12/4-警语贴纸</t>
  </si>
  <si>
    <t>日期码格式：01/2026 日期：
Packaging Info: 
9298TQ2: 最新MA PDQ+ 3L+23L警语EAN C版包装+5L+23L警语收藏指南+23L棉花泥袋子+5L+9L警语POOP袋子+HR(克罗地亚)/SI(斯洛维尼亚))/HU(匈牙利)/SK(斯洛伐
克)/CZ(捷克语)警语贴纸
Remark: 1.外箱上下需要加保护卡，以便在开箱的时候胶袋和产品不会被划破。（保护卡需要是整面）
2.此单需要在12月26日提供验货图片给客户确认ok后，才能放货。
3.此单出口德国，需要15PAHs.需要符合德国的测试标准。
4.此单客人要求吸塑要求使用PET材质。
5.此单生产指定日期：01/2026 【格式为：month/ year (mm/yyyy)】产品、包装、外箱需保持一致。
6.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7. 所有出往GAS市场(德国/奥地利/瑞士)的电子产品需增加一张欧洲通用WEEE声明说明书，区分带电池和不带电池版本, 如已做客版说明书可忽略此要求。
8. 所有出往GAS市场(德国/奥地利/瑞士)订单，化学品需无堋无香版本。
9. 大货样品3套，请多备料。
10. 所有包装需包含西班牙logo及10L警语(DE(德语)/HR(克罗地亚)/SI(斯洛维尼亚))/HU(匈牙利)/ES(西班牙)/FR(法国)/IT(意大利)/GB(英语)/SK(斯洛伐克)/CZ(
捷克语)</t>
  </si>
  <si>
    <t>A97526-1.14</t>
  </si>
  <si>
    <t>4500183545-10</t>
  </si>
  <si>
    <t>10/31-通用贴纸</t>
  </si>
  <si>
    <t>日期码格式：ZURU INC(BVI) 标准格式 日期：按实际生产日期
Packaging Info: 9298：1L MA UPC收缩膜+通用贴纸；MA 指南
Remark:</t>
  </si>
  <si>
    <t>客户PO:022109
14/1</t>
  </si>
  <si>
    <t>4500181202-10</t>
  </si>
  <si>
    <t>12/22出</t>
  </si>
  <si>
    <t>空白贴纸+12.99价格贴纸翻PO4500163957</t>
  </si>
  <si>
    <t>日期码格式：ZURU INC(BVI) 标准格式 日期：按实际生产日期
Packaging Info: 9298:条码需要用空白贴覆盖，底托用UPC版本（底托上贴2个价格标，价格标及位置翻PO4500163957）
Remark: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*CRD之后2天请及时提供shipment images 供客户批复 ，如未提供照片就直接走柜，有问题由工厂负责 。
*最终出货工厂需要按船务要求为集装箱挂网，如不按要求挂网导致罚款由工厂承担 。</t>
  </si>
  <si>
    <t>客户PO:022109
16/1</t>
  </si>
  <si>
    <t>4500181202-20</t>
  </si>
  <si>
    <t>4500185851-30</t>
  </si>
  <si>
    <t>11/17收到</t>
  </si>
  <si>
    <t>11/20-客人白色Cat.label</t>
  </si>
  <si>
    <t>日期码格式：ZURU INC(BVI) 标准格式 日期：按实际生产日期
Packaging Info: 1.
9298:1L UPC包装+客人白色Cat.label 1张覆盖ZURU条码; MA指南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9298条码扫描结果应为9162475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*主拼工厂需要提前准备密网用于装柜，漏掉会导致客人罚款</t>
  </si>
  <si>
    <t>A97452-1.6</t>
  </si>
  <si>
    <t>Marshalls
PO#533173,SKU
#892482
DC#881-210PCS
,
DC#884-156PCS
,
DC#886-240PCS
,
DC#887-192PCS
,
DC#888-204PCS</t>
  </si>
  <si>
    <t>4500183803-30</t>
  </si>
  <si>
    <t>TJ MAXX
PO#533282,SKU
#170879
DC#891-264PCS
,
DC#894-180PCS
,
DC#896-288PCS
,
DC#897-228PCS
,
DC#898-240PCS</t>
  </si>
  <si>
    <t>4500183804-30</t>
  </si>
  <si>
    <t>AIS LTD T/A PLAY-ROOM</t>
  </si>
  <si>
    <t>T-SS26-06</t>
  </si>
  <si>
    <t>4500184889-40</t>
  </si>
  <si>
    <t>日期码格式：ZURU INC(BVI) 标准格式 日期：按实际生产日期
Packaging Info: 
9298TQ1: MA-1L 最新UPC配套包装;
7 assortment (6 common + 1 rare)=CORGI(Rare):SHEPHERD:POODLE:DALMATIAN:SCHNAUZER:BROWN DALNATIAN:HOUND DOG=2:8:10:10:10:10:10;
UPC#193052057426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t>
  </si>
  <si>
    <t>A97518-1.13</t>
  </si>
  <si>
    <t>PRENATAL RETAIL GROUP SPAIN S.L.</t>
  </si>
  <si>
    <t>4500183350-30</t>
  </si>
  <si>
    <t>底托翻4500164587</t>
  </si>
  <si>
    <t>进口商贴纸+产品贴纸+EAN贴纸翻4500164587</t>
  </si>
  <si>
    <t>日期码格式：LOT2552 日期：
Packaging Info: 
3. 92123: "客版 底托（翻4500164587）+一张进口商贴纸（含希腊警语+意大利/希腊布标内容+希腊胶袋警语+意大利环保标志）+一张产品贴纸+一张EAN 4894680
038059 贴纸，贴纸翻4500164587
9298：最新MA 3L EAN收缩膜+最新MA 5L收藏指南+最新MA 5L POLY BAG+最新MA 布标
Remark: 1. 订单出欧洲国家-西班牙，产品不能含有闪粉/微塑料，请确保所有包装都有西班牙环保标。
2. 客人格式日期码 LOT2552，包装（含收缩膜等）/产品/外箱 请保持一致。
3. 新品需提供2套大货样品给客人，客人会签回一套，验货后验货员需要封1套板寄给香港办公室，请多备料。
4. 需要符合欧洲标准不能含有闪粉和微塑料，否则不合法规会有客诉产生。
5. 硼含量需要符合欧洲标准，否则不合法规会有客诉产生
6. 此客户需要第三方验货，请在约三方验货前必须PASS ZURU验货。</t>
  </si>
  <si>
    <t>4500185070-90</t>
  </si>
  <si>
    <t>12/2-进口商贴纸同UPC贴纸为一张</t>
  </si>
  <si>
    <t>日期码格式：ZURU INC(BVI) 标准格式 日期：按实际生产日期
Packaging Info: 1. 请注意有电池指定品牌：
2. 请确保包装上的条形码是UPC，如果是babyUPC，需要用mother UPC覆盖，如有不一致，请及时提出。谢谢!
9298TQ1,,MA多语EAN包装+MA多语收藏指南+MA PDQ+进口商贴纸（进口商贴纸同UPC贴纸合并一张）+箱唛
Remark: 
9298TQ1,,7 assortment (6 common + 1 rare)=CORGI(Rare):SHEPHERD:POODLE:DALMATIAN:SCHNAUZER:BROWN DALNATIAN:HOUND DOG=2:8:10:10:10:10:10;,,</t>
  </si>
  <si>
    <t>4500186619-20</t>
  </si>
  <si>
    <t>12/3-价格贴纸+外箱贴纸</t>
  </si>
  <si>
    <t>日期码格式：ZURU INC(BVI) 标准格式 日期：按实际生产日期
Packaging Info: 1. ZURU MA （首选1L）UPC版本+加价格贴+外箱贴纸
（为方便进行装柜区分，请按照后续提供的外箱贴纸文档去粘贴外箱），出口美国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每份贴纸文档的数量对应的是装柜数量，一个ID对应一个柜子，外箱贴纸需要按照SHIPMENT ID (不会显示在贴纸上，在贴纸资料文档上命名上）去区分
，也就是同个item line 但是SHIPMENT ID 不一样不可以混在一起，贴纸和大货需要区分开，最后装柜会在不同的柜子里面。
5，每个产品有一个价格贴纸， 价格贴纸覆盖UPC条码上 （若UPC 条码太大，可以露出ITEM#, 覆盖条码即可），价格贴纸覆盖UPC 会挡住文字/图案，需用空白贴覆
盖UPC，价格贴纸移到空白处。贴的时候要是会覆盖包装上重要的信息和图案，需要告知跟单。</t>
  </si>
  <si>
    <t>4500186619-80</t>
  </si>
  <si>
    <t>4500186619-100</t>
  </si>
  <si>
    <t>4500184256-70</t>
  </si>
  <si>
    <t>11/11-进口商含EAN条码贴纸+进口商贴纸含水洗标内容</t>
  </si>
  <si>
    <t>日期码格式：ZURU INC(BVI) 标准格式 日期：按实际生产日期
Packaging Info:
7.9298TQ1：【MA 最新PDQ+1张进口商含EAN条码贴纸】+【MA B 3L 收缩膜含EAN条码+进口商贴纸含水洗标内容】+MA A 5L收藏指南；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5.此单需要准备2套大货样，请注意备料；</t>
  </si>
  <si>
    <t>Marshalls
PO#533219,SKU
#892526
DC#881-222PCS
,
DC#884-162PCS
,
DC#886-222PCS
,
DC#887-198PCS
,
DC#888-198PCS</t>
  </si>
  <si>
    <t>4500183805-30</t>
  </si>
  <si>
    <t>Marshalls
PO#534822,
SKU#892853</t>
  </si>
  <si>
    <t>4500183808-40</t>
  </si>
  <si>
    <t>TJ MAXX
PO#534823,
SKU#171156</t>
  </si>
  <si>
    <t>4500183810-40</t>
  </si>
  <si>
    <t>TJ MAXX
PO#534825,
SKU#171257</t>
  </si>
  <si>
    <t>4500183812-40</t>
  </si>
  <si>
    <t>Marshalls
PO#534820,
SKU#892737</t>
  </si>
  <si>
    <t>4500183806-40</t>
  </si>
  <si>
    <t>TJ MAXX
PO#533283,SKU
#170922
DC#891-264PCS
,
DC#894-180PCS
,
DC#896-288PCS
,
DC#897-228PCS
,
DC#898-240PCS</t>
  </si>
  <si>
    <t>4500183809-30</t>
  </si>
  <si>
    <t>4500188064-30</t>
  </si>
  <si>
    <t>1/7第三方（转自检）</t>
  </si>
  <si>
    <t>2/2出</t>
  </si>
  <si>
    <t>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t>
  </si>
  <si>
    <t>日期码格式：ZURU DGYYYYMMDD CHINA(日期避开周末和法定节假日即可） 日期：按实际生产日期
Packaging Info:
Remark: 
9298:
1.包装信息：MA 最新版 UPC版 1L收缩膜，MA 最新版 5L收藏指南，MA 最新版贴纸袋子，MA 最新版配件袋子，MA 最新版 5L口水胶袋，MA 最新版 3L贴纸，MA B
版车缝布标，客版PDQ
（1facing2pcs/PDQ），客版布标贴纸，客供RFID贴纸（位置由我们提供）。
2.外箱四面印刷RFID箱唛，主唛左前下角印刷艾利贴纸替代标箱唛(ITF-14格式)，此条码只印刷一面，ZURU新logo右下角四面印刷，主唛右下角加印 MADE IN CHI
NA
，每个slip sheet上面贴一张艾利贴纸（工厂自己打印）和一张普通贴纸（可A4纸打印），slip sheet打印的普通贴纸的尺寸不能比艾利贴纸小。
3.在产品上和包装上要有日期码（避开周末和节假日）以及要有MADE IN CHINA和ZURU字样。4.产品如有扎带口要剪平，不能刮手。
5.此单需要第三方验货，请自行多备包装物料。
6.此单打卡板出货（32x7H=192carton=384pcs/Slip Sheet）。
7.其它信息：7 assortment (6 common + 1 rare)=CORGI : SHEPHERD : POODLE : DALMATIAN : SCHNAUZER : BROWN DALNATIAN : HOUND DOG=2:8:10:10:10:10:1
0</t>
  </si>
  <si>
    <t>4500188064-40</t>
  </si>
  <si>
    <t>1/29出</t>
  </si>
  <si>
    <t>4500188064-60</t>
  </si>
  <si>
    <t>1/21出</t>
  </si>
  <si>
    <t>4500188064-70</t>
  </si>
  <si>
    <t>2/4出</t>
  </si>
  <si>
    <t>4500188064-90</t>
  </si>
  <si>
    <t>2/3出</t>
  </si>
  <si>
    <t>4500188064-120</t>
  </si>
  <si>
    <t>4500188064-140</t>
  </si>
  <si>
    <t>1/22出</t>
  </si>
  <si>
    <t>4500187539-20</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</si>
  <si>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
10:10:10:10:10;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请注意此单与NZ PO#4500187541一起combine计算</t>
  </si>
  <si>
    <t>4500187234-20</t>
  </si>
  <si>
    <t>12/13-价格贴纸</t>
  </si>
  <si>
    <t>日期码格式：ZURU INC(BVI) 标准格式 日期：按实际生产日期
Packaging Info: MA UPC包装(优先1L)+价格贴纸，价格贴纸客供。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item#9298: TJ MAXX PO#770792,SKU#178401 DC#891-396PCS, DC#894-306PCS, DC#896-252PCS, DC#897-504PCS, DC#898-342PCS;</t>
  </si>
  <si>
    <t>4500187229-20</t>
  </si>
  <si>
    <t>日期码格式：ZURU INC(BVI) 标准格式 日期：按实际生产日期
Packaging Info: MA UPC包装(优先1L)+价格贴纸，价格贴纸客供。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分3个DC出货，每款产品每个DC的箱唛资料不同，具体DC数量如下：
item#9298: Marshalls PO#770790,SKU#899740 DC#881-330PCS, DC#887-48PCS, DC#888-822PCS;</t>
  </si>
  <si>
    <t>4500184619-50</t>
  </si>
  <si>
    <t>产品使用4500151404 库存呆滞</t>
  </si>
  <si>
    <t>外箱使用呆滞</t>
  </si>
  <si>
    <t>11/27-QR code 贴纸+SSCC label+12/9-进口商贴纸+ 客户EAN条码贴纸</t>
  </si>
  <si>
    <t>日期码格式：外包装/外箱不要打ZURU标准日期码 日期：
Packaging Info: 注意: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/Art/size等&gt;,白底黑字，分辨率要大于300dpi，位置要远离条码。 可贴零售包装的侧面右下角/背面的右上角/挂卡的背面/正面的右上角，距离边距5mm）;
3 .外箱四面右上角需要加SSCC label （标准尺寸是16X5CM,可调整但是需要确保可扫）；
4. 9816pcs 92104TQ2/2160pcs 9298TQ1: 产品使用4500151404 库存呆滞+ QR code 贴纸 （一物一码）， 外箱使用呆滞+SSCC label ;
Remark: 标准配比
请按期完货， 会有罚金。
出2个港口Bekasovo 2(B-2) &lt;(&gt;&amp;&lt;)&gt; Ural
出货后24小时需要提供QR CODE 入外箱以及入货柜的明细清单供客户清关使用；</t>
  </si>
  <si>
    <t>4500184619-170</t>
  </si>
  <si>
    <t>A97446-1.5</t>
  </si>
  <si>
    <t>25HJV5</t>
  </si>
  <si>
    <t>4500186337-10</t>
  </si>
  <si>
    <t>1/6第三方</t>
  </si>
  <si>
    <t>箱唛翻4500176962</t>
  </si>
  <si>
    <t>产品日期码：
 #9298: DOLGEN31704302B26 （打在蛋壳底部）</t>
  </si>
  <si>
    <t>日期码格式：DOLLAR GENERAL 客日期码 日期：
Packaging Info: #9298-S006-PKC: 客版收缩膜
Remark: 1.包装：
#9298-S006-PKC: 客版收缩膜，跟单邮件发文档。
#9298-S006-PKC客户特批单坑外箱。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#9298: 31704302B26
(2)产品日期码：
#9298: DOLGEN31704302B26 （打在蛋壳底部）
后三位B26代表26年2月的ETD 。
（3）UPC条形码：
#9298: 430001805807
3. 无价贴。
4. 无样板需求
5. 验货抽样事宜：
1.6早上做第三方TUV的100%大货验货+抽样。第三方验货和抽样点数会按照几单的总数，抽板数量成品随机12pcs球+5套光身板+足量干漆面/油墨。
请在1月5前完成ZURU QC验货，并当天14点前提供验货报告+大货图片给跟单。
6. 箱唛：翻4500176962 &amp; 4500181787。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#9298- S006-PKC-RAINBOCORNS-PUPPYCORN SURPRISE-SERIES 8-SCENT SURPRISE PLUSH SMALL SHRINK WRAP,2PCS/Polybag,6pcs/3Polybag/CTN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#9298-S006-PKC内袋翻4500149775 .</t>
  </si>
  <si>
    <t>28HJ36</t>
  </si>
  <si>
    <t>4500186337-30</t>
  </si>
  <si>
    <t>1/28出</t>
  </si>
  <si>
    <t>4500183001-220</t>
  </si>
  <si>
    <t>97156-12.6</t>
  </si>
  <si>
    <t>40059747 40059835</t>
  </si>
  <si>
    <t>4500183051-110</t>
  </si>
  <si>
    <t>日期码格式：ZURU INC(BVI) 标准格式 日期：按实际生产日期
Packaging Info:
9298 无硼版本 MA C 版3L 收缩膜 +UPC 贴纸 UPC 193052057426， B 版5L 收藏指南
Remark: 出加拿大
有客供价格贴
每行对应不同的客户PO，唛头要一一对应， 放唛头时跟单会提供清单
Zuru验货.日期跟踪码：产品外包装及产品本身都必须有日期跟踪码，ZURU标准格式
日期码</t>
  </si>
  <si>
    <t>4500183051-170</t>
  </si>
  <si>
    <t>4500183051-220</t>
  </si>
  <si>
    <t>4500183043-360</t>
  </si>
  <si>
    <t>ZU02-26</t>
  </si>
  <si>
    <t>4500183616-60</t>
  </si>
  <si>
    <t>12/10-进口商贴纸+UPC贴纸</t>
  </si>
  <si>
    <t xml:space="preserve">日期码格式：ZURU INC(BVI) 标准格式 日期：按实际生产日期
Packaging Info: 
其余item：MA 多语EAN包装+进口商贴纸+UPC贴纸+箱唛
Remark: </t>
  </si>
  <si>
    <t>A97525-1.13</t>
  </si>
  <si>
    <t>4500187838-90</t>
  </si>
  <si>
    <t>无手脚转带手脚</t>
  </si>
  <si>
    <t>进口商贴纸翻4500153788</t>
  </si>
  <si>
    <t>日期码格式：ZURU INC(BVI) 标准格式 日期：按实际生产日期
Packaging Info:
9.9298TQ1：最新MA 3L EAN 版本包装+一张进口商贴纸（含环保标）+MA 5L 收藏指南；（贴纸翻单4500153788）；
Remark: 1.此单出西班牙市场，需满足EU测试标准要求，微塑料需符合EU法规。
2.包装必须要含西班牙环保标和 care@zuru.com 邮箱地址以及CE LOGO；
3.毛绒玩具需要西班牙语言的洗涤说明；
4.电子产品需要WEEE说明书；</t>
  </si>
  <si>
    <t>A97538-1.14</t>
  </si>
  <si>
    <t>ESAL TRADING L.L.C.</t>
  </si>
  <si>
    <t>UAE</t>
  </si>
  <si>
    <t>4500180717-110</t>
  </si>
  <si>
    <t>11/28-进口商贴纸</t>
  </si>
  <si>
    <t>日期码格式：ZURU INC(BVI) 标准格式 日期：按实际生产日期
Packaging Info: 
9298TQ1-S001: 客版收缩膜 (含G Mark, QR code, 阿拉伯警语); 贴纸上的QR code需微信可扫，扫描结果另外通知; UPC条码显示193052057426; 客版PDQ+进口商贴
纸; 客版收藏指南; MA 口水胶袋+贴纸；产品年龄3+；
客人箱唛排版，印4面，条码内容193052057426；
9298TQ1-S001: 7 assortment (6 common + 1 rare)=CORGI(Rare):SHEPHERD:POODLE:DALMATIAN: SCHNAUZER:BROWN DALNATIAN:HOUND DOG=2:8:10:10:10:10:10;
Remark:</t>
  </si>
  <si>
    <t>9298TQ1-S001-4</t>
  </si>
  <si>
    <t>ESAL TRADING LLC</t>
  </si>
  <si>
    <t>约旦</t>
  </si>
  <si>
    <t>4500189510-50</t>
  </si>
  <si>
    <t>4500180436/4500180453/4500180498/4500180758/4500180717/4500180735拆分</t>
  </si>
  <si>
    <t>2/10出</t>
  </si>
  <si>
    <t>日期码格式：ZURU INC(BVI) 标准格式 日期：按实际生产日期
Packaging Info:
9298TQ1-S001: 客版收缩膜 (含G Mark, QR code, 阿拉伯警语); 贴纸上的QR code需微信可扫，扫描结果另外通知; UPC条码显示193052057426; 客版PDQ+进口商贴
纸; 客版收藏指南; MA 口水胶袋+贴纸；产品年龄3+；
客人箱唛排版，印4面，条码内容193052057426；
9298TQ1-S001: 7 assortment (6 common + 1 rare)=CORGI(Rare):SHEPHERD:POODLE:DALMATIAN: SCHNAUZER:BROWN DALNATIAN:HOUND DOG=2:8:10:10:10:10:10;
Remark:</t>
  </si>
  <si>
    <t>#</t>
  </si>
  <si>
    <t>ESAL ENTERPRISES FZC</t>
  </si>
  <si>
    <t>卡塔尔</t>
  </si>
  <si>
    <t>QAT</t>
  </si>
  <si>
    <t>4500180735-120</t>
  </si>
  <si>
    <t>1/12出</t>
  </si>
  <si>
    <t>日期码格式：ZURU INC(BVI) 标准格式 日期：按实际生产日期
Packaging Info:
9298TQ1-S001: 客版收缩膜 (含G Mark, QR code, 阿拉伯警语); 贴纸上的QR code需微信可扫，扫描结果另外通知; UPC条码显示193052057426; 客版PDQ+进口商贴
纸; 客版收藏指南; MA 口水胶袋+贴纸；产品年龄3+；
客人箱唛排版，印4面，条码内容193052057426；
9298TQ1-S001: 7 assortment (6 common + 1 rare)=CORGI(Rare):SHEPHERD:POODLE:DALMATIAN: SCHNAUZER:BROWN DALNATIAN:HOUND DOG=2:8:10:10:10:10:10;
Qatar的订单需要寄样品给客户进行slime测试（产品含slime的每个item分别准备完整的4套样品）（此单#92125/92129TQ1/9283/92104TQ1/9298TQ1/92119/77685GQ
2需要寄样）
Remark:</t>
  </si>
  <si>
    <t>A97503-1.12</t>
  </si>
  <si>
    <t>沙特阿拉伯</t>
  </si>
  <si>
    <t>KSA</t>
  </si>
  <si>
    <t>4500180758-50</t>
  </si>
  <si>
    <t>4500187528-50</t>
  </si>
  <si>
    <t>日期码格式：ZURU INC(BVI) 标准格式 日期：按实际生产日期
Packaging Info:
"9298TQ4-S001:MA 1L最新版包装+客版 1L 版PDQ (2Facing4PCS/PDQ)新logo文档----客版PDQ翻PO#4500115216
UPC#193052057426，请先检查条码是否正确再安排做货；
7 assortment (6 common + 1 rare)=CORGI:SHEPHERD:POODLE:DALMATIAN:SCHNAUZER:BROWN DALNATIAN:HOUND DOG=2:8:10:10:10:10:10;
Slip sheet:4pcs/ctn,18*4H=288PCS/72CTN/SLIP SHEET;一共需要8套Slip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</si>
  <si>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4500188305-60</t>
  </si>
  <si>
    <t>日期码格式：ZURU INC(BVI) 标准格式 日期：按实际生产日期
Packaging Info:
2. 9298TQ1： 英文MA包装(UPC版本，首选1L，无1L可用多L含英语)； 7 assortment (6 common + 1 rare)=CORGI(Rare):SHEPHERD:POODLE:DALMATIAN:SCHNAUZER:
BROWN DALNATIAN:HOUND DOG=2:8:10:10:10:10:10;
Remark: 1. 箱唛不可出现任何手写内容（箱数除外），重量与实际一致且不可手写；
2. 此单去澳大利亚，请按相应澳新标准生产并满足当地法规要求;
3. ZURU QC验货。
4. 产品和包装上要有tracking label信息：日期码格式为Zuru标准格式；</t>
  </si>
  <si>
    <t>4500188305-120</t>
  </si>
  <si>
    <t>4500188305-130</t>
  </si>
  <si>
    <t>4500188305-180</t>
  </si>
  <si>
    <t>RVI JSC</t>
  </si>
  <si>
    <t>4500187841-30</t>
  </si>
  <si>
    <t>9298-S009</t>
  </si>
  <si>
    <t>空白外箱印ZURU LOGO ，正唛右上角贴一张外箱贴纸。</t>
  </si>
  <si>
    <t>12/12-进口商贴纸+EAN 条码贴纸+QR 贴纸</t>
  </si>
  <si>
    <t>日期码格式：外包装 (指: 收缩膜/彩卡/吊牌/PDQ) /外箱不要打ZURU标准日期码 日期：
Packaging Info: 1. 注意 ：外包装 (指: 收缩膜/彩卡/吊牌/PDQ)/外箱不要打ZURU标准日期码！胶件可以打日期码。
2. 空白外箱印ZURU LOGO ，正唛右上角贴一张外箱贴纸。
3. QR code 贴纸仅二维码尺寸要求边长大于1.3CM ，强占不易脱落 ， 材质同进口商贴纸 .（The size of QR-code area itself (not the whole sticker size)
need to be 13*13 mm at least or bigger）
4. 二维码贴纸位置要远离包装上的条码及其他二维码， 贴在背面。
5. QR code贴纸（要求每1PCS 的QR 不一样 ，需要可扫）
6. 出货前需要按船务的指示提供QR CODE 入外箱以及入货柜的明细清单供客户清关使用--用客户的模板；
7.9298 : MA UPC 收缩膜 +进口商贴纸（含EAN 条码+QR 贴纸 （一物一码 ），MA 指南 ；
Remark: 1. 货期不能延,有罚金。
2. 需要安排第三方验货。</t>
  </si>
  <si>
    <t xml:space="preserve"> TJX UK</t>
  </si>
  <si>
    <t>PO#50427473</t>
  </si>
  <si>
    <t>4500183206-30</t>
  </si>
  <si>
    <t>日期码格式：ZURU INC(BVI) 标准格式 日期：按实际生产日期
Packaging Info:
 9298:MA 3L(9L warning)最新EAN包装version B+一张客供价格贴纸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</si>
  <si>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 xml:space="preserve"> AaronXia</t>
  </si>
  <si>
    <t>A97568-1.19</t>
  </si>
  <si>
    <t>4500188101-10</t>
  </si>
  <si>
    <t>1/14-1/16出</t>
  </si>
  <si>
    <t>防盗贴纸+12/26-外箱SSCC</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</si>
  <si>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
10:10:10:10:10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PO#4500188102一起合并计算</t>
  </si>
  <si>
    <t>A97549-1.16</t>
  </si>
  <si>
    <t>4500188270-10</t>
  </si>
  <si>
    <t>WIC贴纸 翻4500114593</t>
  </si>
  <si>
    <t>日期码格式：ZURU INC(BVI) 标准格式 日期：01-12-2026
Packaging Info: MA 1L包装 + WIC贴纸 （同PO 4500114593）
7 assortment (6 common + 1 rare)=CORGI:SHEPHERD:POODLE:DALMATIAN:SCHNAUZER:BROWN DALNATIAN:HOUND DOG=2:8:10:10:10:10:10;
产品和包装上要有ZURU 标准格式 TRACKING CODE, DG20260112 + 对应款号，如A款 DG20260112A
Remark:</t>
  </si>
  <si>
    <t>4500188270-20</t>
  </si>
  <si>
    <t>4500188270-30</t>
  </si>
  <si>
    <t>4500188270-40</t>
  </si>
  <si>
    <t>4500188270-50</t>
  </si>
  <si>
    <t>4500188270-60</t>
  </si>
  <si>
    <t>4500188270-70</t>
  </si>
  <si>
    <t>4500188835-40</t>
  </si>
  <si>
    <t>日期码格式：ZURU INC(BVI) 标准格式 日期：按实际生产日期
Packaging Info: 􏁬 MA UPC 英语包装（优先1L英语版本，或者3L/5L含英语都可）
Remark:
#9298:7 assortment (6 common + 1 rare)=CORGI(Rare):SHEPHERD:POODLE:DALMATIAN:SCHNAUZER:BROWN DALNATIAN:HOUND DOG=2:8:10:10:10:10:10;</t>
  </si>
  <si>
    <t>FB13945</t>
  </si>
  <si>
    <t>4500187663-140</t>
  </si>
  <si>
    <t>客户EAN条码贴纸翻4500148687+PDQ数量贴纸翻4500183275</t>
  </si>
  <si>
    <t>日期码格式：ZURU INC(BVI) 标准格式 日期：按实际生产日期
Packaging Info: 
9298TQ4:9298TQ4:MA最新1L配套包装+客户EAN条码贴一张覆盖ZURU 原条码，条码贴翻订单4500148687，条码请核对：5056296044834 ，PDQ数量贴纸（翻单：45001
83275）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</si>
  <si>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A97580-1.20</t>
  </si>
  <si>
    <t>4500188651-10</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</si>
  <si>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
10:10:10:10:10;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</si>
  <si>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4500188650-10</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</si>
  <si>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
10:10:10:10:10;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</si>
  <si>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4500189283-70</t>
  </si>
  <si>
    <t>日期码格式：ZURU INC(BVI) 标准格式 日期：按实际生产日期
Packaging Info: 
其他items-MA 3L EAN package+1pc importer label
待提供整单的贴纸资料;
Remark: 
9298-7 assortment (6 common + 1 rare)=CORGI(Rare):SHEPHERD:POODLE:DALMATIAN:SCHNAUZER:BROWN DALNATIAN:HOUND DOG=2:8:10:10:10:10:10;</t>
  </si>
  <si>
    <t>4500183456-30</t>
  </si>
  <si>
    <t>底托翻4500160038</t>
  </si>
  <si>
    <t>日期码格式：LOT2604 日期：
Packaging Info: 
3. 92123：最新MA 底托（翻4500160038）+一张进口商贴纸+一张产品贴纸+一张EAN 4894680038059 贴纸（翻4500161360）
92104：最新MA 3L EAN收缩膜+最新MA 5L收藏指南+最新MA 5L POLY BAG+最新MA 布标
9298：最新MA 3L EAN收缩膜+最新MA 5L收藏指南+最新MA 5L POLY BAG+最新MA 布标"
Remark: 1. 大货样品2套/item，用于客人验货签板。验货后还会抽办1套/item，请多备料；
2. 客版日期码LOT2604, 包装（含收缩膜等）/产品/外箱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此客户需要第三方验货，请在约三方验货前必须PASS ZURU验货。</t>
  </si>
  <si>
    <t>4500188302-70</t>
  </si>
  <si>
    <t>UPC贴纸翻4500168463</t>
  </si>
  <si>
    <t>日期码格式：ZURU INC(BVI) 标准格式 日期：按实际生产日期
Packaging Info: 请确保包装上的条形码是UPC，如果是babyUPC，需要用mother UPC覆盖，如有不一致，请及时提出。谢谢!
9298TQ1,,MA多语EAN包装+UPC贴纸+MA多语收藏指南+MA PDQ+箱唛,,
Remark: 
9298TQ1,,7 assortment (6 common + 1 rare)=CORGI:SHEPHERD:POODLE:DALMATIAN:SCHNAUZER:BROWN DALNATIAN:HOUND DOG=2:8:10:10:10:10:10;,,</t>
  </si>
  <si>
    <t>4500189691-80</t>
  </si>
  <si>
    <t>日期码格式：ZURU INC(BVI) 标准格式 日期：按实际生产日期
Packaging Info: 请确保包装上的条形码是UPC，如果是babyUPC，需要用mother UPC覆盖，如有不一致，请及时提出。谢谢!
9298TQ1,,MA多语EAN包装+UPC贴纸+MA多语收藏指南+MA PDQ+箱唛,,
Remark: 
9298TQ1,,7 assortment (6 common + 1 rare)=CORGI(Rare):SHEPHERD:POODLE:DALMATIAN:SCHNAUZER:BROWN DALNATIAN:HOUND DOG=2:8:10:10:10:10:10;,,
Common: Equal ratio,,</t>
  </si>
  <si>
    <t>4500188875-20</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</si>
  <si>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
10:10:10:10:10;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PO#4500188871一起合并计算</t>
  </si>
  <si>
    <t>4500188875-40</t>
  </si>
  <si>
    <t>4500188875-70</t>
  </si>
  <si>
    <t>4500188871-20</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</si>
  <si>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DOG=2:8:10:10:10:10:10;
其他款：MA说明书+1张说明书纽扣电池警告语贴纸+ 1张收缩膜纽扣电池警告语贴纸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PO#4500188875一起合并计算</t>
  </si>
  <si>
    <t>4500188871-100</t>
  </si>
  <si>
    <t>4500187429-50</t>
  </si>
  <si>
    <t>防盗贴纸+1/10-外箱SSCC</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</si>
  <si>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
10:10:10:10:10;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PO#4500188118一起合并计算</t>
  </si>
  <si>
    <t>26-129</t>
  </si>
  <si>
    <t>4500189626-50</t>
  </si>
  <si>
    <t>1/9-价格贴纸</t>
  </si>
  <si>
    <t>日期码格式：ZURU INC(BVI) 标准格式 日期：按实际生产日期
Packaging Info:
此单有客供价格贴纸，预计1/5前提供
9298TQ1（NB版）：MA C版3L+23L警语EAN收缩膜，MA B版 5L+23L警语收藏指南，MA C版5L POOP袋子，MA布标，MA B版PDQ
Remark: 1.此单出德国，需要满足Zuru Standard欧洲标准测试要求；微塑料需符合法规；化学品无硼无香；电池符合欧洲法规要求(如有)。所有包装警语部分需含德语警语
。
2.请准时完货，推期会有罚款。请验货后马上上传验货报告和图片，需提供ZURU标准验货报告和验货图片给客人确认后才可以安排出货。
3.所有出往GAS市场(德国/奥地利/瑞士)的电子产品身上需要加字唛，为ZURU FRANCE 地址，需跟包装上的地址一致 （如该电子产品无法打上字唛但是可以在产品上
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4.所有出往德国订单的电子产品需增加一张客版WEEE声明说明书，区分带电池和不带电池版本, 如已做客版说明书可忽略此要求。
5.大货样品一套
6.STD配比</t>
  </si>
  <si>
    <t>0966920026</t>
  </si>
  <si>
    <t>4500189467-10</t>
  </si>
  <si>
    <t>1/20第三方</t>
  </si>
  <si>
    <t>0966920039</t>
  </si>
  <si>
    <t>4500189467-20</t>
  </si>
  <si>
    <t>0966920049</t>
  </si>
  <si>
    <t>4500189467-30</t>
  </si>
  <si>
    <t>0966920056</t>
  </si>
  <si>
    <t>4500189467-40</t>
  </si>
  <si>
    <t>0966920064</t>
  </si>
  <si>
    <t>4500189467-50</t>
  </si>
  <si>
    <t>0966920065</t>
  </si>
  <si>
    <t>4500189467-60</t>
  </si>
  <si>
    <t>0966920073</t>
  </si>
  <si>
    <t>4500189467-70</t>
  </si>
  <si>
    <t>4500188881-160</t>
  </si>
  <si>
    <t>1/6-进口商贴纸</t>
  </si>
  <si>
    <t>日期码格式：ZURU INC(BVI) 标准格式 日期：按实际生产日期
Packaging Info:9298TQ1:MA 多语包装+进口商贴纸+箱唛(进口商贴纸和条码贴纸合并为一张）
其余item：MA 多语包装+进口商贴纸+条码贴纸+箱唛
Remark: 进口商贴纸请多备料5pcs,出货后需要寄给客户
Mini Chocolate Syrup 24 oz ershey's-Strawberry Syrup 22 oz</t>
  </si>
  <si>
    <t>2025-4911</t>
  </si>
  <si>
    <t>4500188900-70</t>
  </si>
  <si>
    <t>1/4收到</t>
  </si>
  <si>
    <t>1/8-UPC贴纸+进口商贴纸</t>
  </si>
  <si>
    <t>日期码格式：ZURU INC(BVI) 标准格式 日期：按实际生产日期
Packaging Info: 
9298TQ1,,MA多语EAN包装+UPC贴纸+MA多语收藏指南+MA PDQ+进口商贴纸+箱唛,,
Remark: 
9298TQ1,,7 assortment (6 common + 1 rare)=CORGI(Rare):SHEPHERD:POODLE:DALMATIAN:SCHNAUZER:BROWN DALNATIAN:HOUND DOG=2:8:10:10:10:10:10;,,</t>
  </si>
  <si>
    <t>4500190435-10</t>
  </si>
  <si>
    <t>1/12-进口商贴纸+UPC贴纸</t>
  </si>
  <si>
    <t>日期码格式：ZURU INC(BVI) 标准格式 日期：按实际生产日期
Packaging Info: MA 多语包装+进口商贴纸+UPC贴纸+箱唛
Remark:</t>
  </si>
  <si>
    <t>4500187795-10</t>
  </si>
  <si>
    <t>12/15价格贴纸</t>
  </si>
  <si>
    <t>日期码格式：ZURU INC(BVI) 标准格式 日期：按实际生产日期
Packaging Info: 9298-S001:MA 3L(23L warning)最新EAN包装+一张客供价格贴纸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客供价格贴纸位置为产品正面右上角，不能遮住产品信息，有无客供价格贴纸请参考该单包装信息一栏的备注，没备注就是没有；如有请在大货生产前把贴纸位
置先发给跟单确认
7. 涉及到相关款式会有闪粉的或者微塑料的，请统一默认出无闪粉或者不含微塑料版本;
8. 外箱封箱必须是工字型封箱方式；</t>
  </si>
  <si>
    <t>4500187897-20</t>
  </si>
  <si>
    <t>日期码格式：ZURU INC(BVI) 标准格式 日期：按实际生产日期
Packaging Info:
9298:MA 3L(23L warning)最新EAN包装+一张客供价格贴纸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客供价格贴纸位置为产品正面右上角，不能遮住产品信息，有无客供价格贴纸请参考该单包装信息一栏的备注，没备注就是没有；如有请在大货生产前把贴纸位
置先发给跟单确认
7. 涉及到相关款式会有闪粉的或者微塑料的，请统一默认出无闪粉或者不含微塑料版本;
8. 外箱封箱必须是工字型封箱方式；</t>
  </si>
  <si>
    <t>951854</t>
  </si>
  <si>
    <t>4500189850-20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</si>
  <si>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item#9298: Marshalls PO#951854,SKU#903532 DC#881-216PCS, DC#884-168PCS, DC#886-222PCS, DC#887-192PCS, DC#888-204PCS</t>
  </si>
  <si>
    <t>4500189851-20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</si>
  <si>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item#9298: TJ MAXX PO#951857,SKU#182127 DC#891-264PCS, DC#894-204PCS, DC#896-168PCS, DC#897-336PCS, DC#898-228PCS</t>
  </si>
  <si>
    <t>2025-4892</t>
  </si>
  <si>
    <t>4500190081-80</t>
  </si>
  <si>
    <t>1/9-UPC贴纸+进口商贴纸</t>
  </si>
  <si>
    <t>日期码格式：ZURU INC(BVI) 标准格式 日期：按实际生产日期
Packaging Info: 1.优先多语 MA UPC或者3L/5L MA EAN 包装+进口商贴纸
2.请确保包装上的条形码是UPC，如果是babyUPC、需要用mother UPC覆盖，如有不一致，请及时提出。谢谢!
Remark:
#9298TQ1:MA多语EAN包装+UPC贴纸+MA多语收藏指南+MA PDQ+进口商贴纸+箱唛;7 assortment (6 common + 1 rare)=CORGI(Rare):SHEPHERD:POODLE:DALMATIAN:SCHN
AUZER:BROWN DALNATIAN:HOUND DOG=2:8:10:10:10:10:10;</t>
  </si>
  <si>
    <t>FB13925</t>
  </si>
  <si>
    <t>4500188247-40</t>
  </si>
  <si>
    <t>12/8收到</t>
  </si>
  <si>
    <t>条码贴翻4500148687+PDQ数量贴纸</t>
  </si>
  <si>
    <t>日期码格式：ZURU INC(BVI) 标准格式 日期：按实际生产日期
Packaging Info:
9298TQ4:9298TQ4:MA最新1L配套包装+客户EAN条码贴一张覆盖ZURU 原条码，条码贴翻订单4500148687，条码请核对：5056296044834, PDQ右后要加数量贴纸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</si>
  <si>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4500190462-20</t>
  </si>
  <si>
    <t>2/8出</t>
  </si>
  <si>
    <t>1/13收到</t>
  </si>
  <si>
    <t>1/12-进口商贴纸+说明书贴纸</t>
  </si>
  <si>
    <t>日期码格式：ZURU INC(BVI) 标准格式 日期：按实际生产日期
Packaging Info: 1. 优先多语 MA UPC或者3L/5L MA EAN 包装+进口商贴纸
2. 带有说明书需要说明书贴纸
3. 不带电只有一个贴纸贴在包装上,带电产品会有两个贴纸，分别贴到产品电池门+包装+一张保证书
5. 请确保包装上的条形码是UPC，如果是babyUPC、需要用mother UPC覆盖，如有不一致，请及时提出。谢谢
Remark: 9298TQ1: 7 assortment (6 common + 1 rare)=CORGI(Rare):SHEPHERD:POODLE:DALMATIAN:SCHNAUZER:BROWN DALNATIAN:HOUND DOG=2:8:10:10:10:10:10;
92129TQ1: 7 assortments, Ratio: Elephant: Toucan: Zebra: Sloth: Giraffe: Tiger: Peacock=10: 10: 10: 10: 10: 8: 2
9258: Unicorn/Lion/Bunny/Flamingo/Elephant/Kitten=1:1:1:1:1:1
92125: 6 Assortments,siamese cat:pink-white cat:purple cat:black cat:brown-white cat:orange cat=1:1:1:1:1:1, no rare</t>
  </si>
  <si>
    <t>76TJBFVD</t>
  </si>
  <si>
    <t>4500190063-120</t>
  </si>
  <si>
    <t>1/19-SSCC LABEL</t>
  </si>
  <si>
    <t>日期码格式：ZURU INC(BVI) 标准格式 日期：按实际生产日期
Packaging Info:
#9298: MA 3L C版本加UPC贴纸，UPC贴纸图稿跟返单4500113996。需混入稀有款， 常规款：稀有款=58：2。 B:193052062635, H：193052062673;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</si>
  <si>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7UKJ8OGQ</t>
  </si>
  <si>
    <t>4500190063-130</t>
  </si>
  <si>
    <t>77G7DEWG</t>
  </si>
  <si>
    <t>4500190063-140</t>
  </si>
  <si>
    <t>472SQKJV</t>
  </si>
  <si>
    <t>4500190063-150</t>
  </si>
  <si>
    <t>33JR7RHX</t>
  </si>
  <si>
    <t>4500190063-160</t>
  </si>
  <si>
    <t>32MFSF4O</t>
  </si>
  <si>
    <t>4500190063-170</t>
  </si>
  <si>
    <t>2OG5SCMJ</t>
  </si>
  <si>
    <t>4500190063-180</t>
  </si>
  <si>
    <t>8G261C4D</t>
  </si>
  <si>
    <t>4500190063-190</t>
  </si>
  <si>
    <t>4500187827-30</t>
  </si>
  <si>
    <t>3/9出</t>
  </si>
  <si>
    <t>12/10-客人白色Cat.label</t>
  </si>
  <si>
    <t>日期码格式：ZURU INC(BVI) 标准格式 日期：按实际生产日期
Packaging Info: 9548:-1L UPC包装+客人白色Cat.label 1张覆盖ZURU条码; MA说明书+B版WEEE不带电池走货说明书
77673:MA -1L UPC包装+客人白色Cat.label 1张覆盖ZURU条码+B版WEEE带电池走货说明书
9298:1L UPC包装+客人白色Cat.label 1张; MA指南
77711:.MA -3L 包装+客人白色Cat.label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9548扫描结果为7699926
77673扫描结果为7624348
9298扫描结果为9162475
77711扫描结果为7678363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*主拼工厂需要提前准备密网用于装柜，漏掉会导致客人罚款</t>
  </si>
  <si>
    <t>4500190510-60</t>
  </si>
  <si>
    <t>1/16-警语进口商贴纸</t>
  </si>
  <si>
    <t>日期码格式：ZURU INC(BVI) 标准格式 日期：按实际生产日期
Packaging Info: 
6.9298TQ1：最新MA 3L EAN 版本包装+一张客户警语进口商贴纸（含ES环保标）+MA 5L 收藏指南；
备注：整单CRD为2/6，因价格有效期维护限制，9296暂开到12月底，后续更新PO；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5.毛绒玩具需要西班牙语言的洗涤说明；
6.此单LC条款，延迟出货有罚款；
7.需要准备每款1套大货样，请注意备料。</t>
  </si>
  <si>
    <t>30251376B</t>
  </si>
  <si>
    <t>4500184740-20</t>
  </si>
  <si>
    <t>日期码格式：ZURU INC(BVI) 标准格式 日期：按实际生产日期
Packaging Info:
9298: 最新MA 1L 收缩膜+德语callout及警告语贴纸(翻单#4500149853)+EAN条码贴纸+5L 收藏指南/Polybag+MA 布标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 标准配比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新地址：ZURU France 33 rue Paul Meurice 75020 Paris, France
旧地址：ZURU France 1/3, Rue d'Argenteuil 95210 SAINT-GRATIEN, FRANCE
12. 所有出往GAS市场(德国/奥地利/瑞士)的电子产品需增加一张欧洲通用WEEE声明说明书，区分带电池和不带电池版本, 如已做客版说明书可忽略此要求。</t>
  </si>
  <si>
    <t>4500188546-10</t>
  </si>
  <si>
    <t>3/5-3/9出</t>
  </si>
  <si>
    <t>日期码格式：ZURU INC(BVI) 标准格式 日期：按实际生产日期
Packaging Info: 9298TQ4-S001:MA 1L最新版包装+客版 1L 版PDQ (2Facing4PCS/PDQ)新logo文档----客版PDQ翻PO#4500115216
UPC#193052057426，请先检查条码是否正确再安排做货；
7 assortment (6 common + 1 rare)=CORGI:SHEPHERD:POODLE:DALMATIAN:SCHNAUZER:BROWN DALNATIAN:HOUND DOG=2:8:10:10:10:10:10;
Slip sheet:4pcs/ctn,18*4H=288PCS/72CTN/SLIP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</si>
  <si>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AMBIENTAL PARAGUAY</t>
  </si>
  <si>
    <t>4500187657-10</t>
  </si>
  <si>
    <t>12/18收到</t>
  </si>
  <si>
    <t>12/24-进口商贴纸</t>
  </si>
  <si>
    <t>日期码格式：ZURU INC(BVI) 标准格式 日期：按实际生产日期
Packaging Info: 其余item:MA 多语包装+进口商贴纸+箱唛
Remark:</t>
  </si>
  <si>
    <t>4500181047-140</t>
  </si>
  <si>
    <t>4500181047拆分，总数量不变</t>
  </si>
  <si>
    <t>1/5收到</t>
  </si>
  <si>
    <t>10/17-UPC贴纸+红色logo贴纸+进口商贴纸</t>
  </si>
  <si>
    <t>日期码格式：ZURU INC(BVI) 标准格式 日期：按实际生产日期
Packaging Info:
2. 9298TQ1：MA 3L EAN包装+UPC贴纸+MA 多语收藏指南+MA PDQ包装+1个小的红色logo贴纸+进口商贴纸+箱唛
Remark: 1. 集装箱及装柜要求：集装箱不能有破洞；不能太脏
2.每个item需要放1整箱在每个集装箱门口
3.装柜的时候要前、中、后拍照
4. 此单有监柜要求，每款需要准备1pc监柜样板用于监装
5. 9298TQ1：7 ASSORTMENT (6 COMMON + 1 RARE)=CORGI:SHEPHERD:POODLE:DALMATIAN:SCHNAUZER:BROWN DALNATIAN:HOUND DOG=2:8:10:10:10:10:10;</t>
  </si>
  <si>
    <t>4500181047-280</t>
  </si>
  <si>
    <t>4500181047-20</t>
  </si>
  <si>
    <t>日期码格式：ZURU INC(BVI) 标准格式 日期：按实际生产日期
Packaging Info: 
2. 9298TQ1：MA 3L EAN包装+UPC贴纸+MA 多语收藏指南+MA PDQ包装+1个小的红色logo贴纸+进口商贴纸+箱唛
Remark: 1. 集装箱及装柜要求：集装箱不能有破洞；不能太脏
2.每个item需要放1整箱在每个集装箱门口
3.装柜的时候要前、中、后拍照
4. 此单有监柜要求，每款需要准备1pc监柜样板用于监装
5. 9298TQ1：7 ASSORTMENT (6 COMMON + 1 RARE)=CORGI:SHEPHERD:POODLE:DALMATIAN:SCHNAUZER:BROWN DALNATIAN:HOUND DOG=2:8:10:10:10:10:10;</t>
  </si>
  <si>
    <t>4500189593-20</t>
  </si>
  <si>
    <t>1/8-进口商贴纸</t>
  </si>
  <si>
    <t>0969889540</t>
  </si>
  <si>
    <t>4500190591-10</t>
  </si>
  <si>
    <t>2/10第三方（转自检）</t>
  </si>
  <si>
    <t>日期码格式：ZURU DGYYYYMMDD CHINA(日期避开周末和法定节假日即可） 日期：按实际生产日期
Packaging Info:
Remark: 9296：
1.包装信息：MA A版 UPC版 1L收缩膜，MA A版小蛋收缩膜，MA A版 5L收藏指南，MA A版 5L珠子纸袋，MA A版 5L口水胶袋，MA A版 3L吊牌，两种MA A版 2L车缝布
标（Axolotl + Chicky一种，Monkey + Zebra + Cow + Panda一种），两种客版布标贴纸（Axolotl + Chicky一种，Monkey + Zebra + Cow + Panda一种），客供
RF
ID贴纸（标贴位置严格按照我们签板的位置图，不可擅自调整位置，贴纸不能有任何破损或折坏，不可淋湿）。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5.此单需要第三方验货，请自行多备物料。
6.此单打卡板出货（23x7H=161carton=161pcs/Slip Sheet）。
7.其它信息：cow : monkey : panda : zebra : axolotl : chiken=1:1:1:1:1:1。
9298:
1.包装信息：MA 最新版 UPC版 1L收缩膜，MA 最新版 5L收藏指南，MA 最新版贴纸袋子，MA 最新版配件袋子，MA 最新版 5L口水胶袋，MA 最新版 3L贴纸，MA B
版车缝布标，客版PDQ
（1facing2pcs/PDQ），客版布标贴纸，客供RFID贴纸（位置由我们提供）。
2.外箱四面印刷RFID箱唛，主唛左前下角印刷艾利贴纸替代标箱唛(ITF-14格式)，此条码只印刷一面，ZURU新logo右下角四面印刷，主唛右下角加印 MADE IN CHI
NA
，每个slip sheet上面贴一张艾利贴纸（工厂自己打印）和一张普通贴纸（可A4纸打印），slip sheet打印的普通贴纸的尺寸不能比艾利贴纸小。
3.在产品上和包装上要有日期码（避开周末和节假日）以及要有MADE IN CHINA和ZURU字样。4.产品如有扎带口要剪平，不能刮手。
5.此单需要第三方验货，请自行多备包装物料。
6.此单打卡板出货（32x7H=192carton=384pcs/Slip Sheet）。
7.其它信息：7 assortment (6 common + 1 rare)=CORGI : SHEPHERD : POODLE : DALMATIAN : SCHNAUZER : BROWN DALNATIAN : HOUND DOG=11:8:10:10:8:6:7</t>
  </si>
  <si>
    <t>0969889605</t>
  </si>
  <si>
    <t>4500190591-40</t>
  </si>
  <si>
    <t>0969889622</t>
  </si>
  <si>
    <t>4500190591-70</t>
  </si>
  <si>
    <t>0969889633</t>
  </si>
  <si>
    <t>4500190591-80</t>
  </si>
  <si>
    <t>0969889649</t>
  </si>
  <si>
    <t>4500190591-90</t>
  </si>
  <si>
    <t>0969889679</t>
  </si>
  <si>
    <t>4500190591-110</t>
  </si>
  <si>
    <t>0969889735</t>
  </si>
  <si>
    <t>4500190591-120</t>
  </si>
  <si>
    <t>4500187429-70</t>
  </si>
  <si>
    <t>3-4/3-6出</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</si>
  <si>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
10:10:10:10:10;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PO#4500188118一起合并计算</t>
  </si>
  <si>
    <t>21387815</t>
  </si>
  <si>
    <t>4500188118-50</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</si>
  <si>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
10:10:10:10:10;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PO#4500187429一起合并计算</t>
  </si>
  <si>
    <t>4500190618-10</t>
  </si>
  <si>
    <t>防盗贴纸+1/16-外箱SSCC Label</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</si>
  <si>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
10:10:10:10:10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PO#4500190616一起合并计算</t>
  </si>
  <si>
    <t>4500190616-10</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</si>
  <si>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
10:10:10:10:10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PO#4500190618一起合并计算</t>
  </si>
  <si>
    <t>4500183333-10</t>
  </si>
  <si>
    <t>日期码格式：LOT2610 日期：
Packaging Info: 
2. 92123: 客版 底托（翻4500163957）+一张进口商贴纸（含希腊警语+意大利/希腊布标内容+希腊胶袋警语+意大利环保标志）+一张产品贴纸+一张EAN 489468003
8059 贴纸，贴纸翻4500160038
92104：最新MA 3L EAN收缩膜+最新MA 5L收藏指南+最新MA 5L POLY BAG+最新MA 布标
9298：最新MA 3L EAN收缩膜+最新MA 5L收藏指南+最新MA 5L POLY BAG+最新MA 布标"""
Remark: 1.RATIO 同MA 一致。
2.大货样品2套/item，用于客人验货签板。验货后还会抽办1套/item，请多备料。
3.客人日期码：LOT2610，包装（含收缩膜等）/产品/外箱 请保持一致。
4.产品均符合EU微塑料法规要求：不能含有微塑料/闪粉
5. SMASHERS 或含Slime产品，所有化合物使用无硼版本出意大利。
6. 本订单所有 具有 baby items / assorted items 的款式，零售包装上都要用 母 EAN;
7. 此客户需要第三方验货，请在约三方验货前必须PASS ZURU验货。</t>
  </si>
  <si>
    <t>4500190678-10</t>
  </si>
  <si>
    <t>进口商含EAN条码贴纸+进口商贴纸翻4500184256</t>
  </si>
  <si>
    <t>日期码格式：ZURU INC(BVI) 标准格式 日期：按实际生产日期
Packaging Info: 1.9298TQ1：【MA 最新PDQ+1张进口商含EAN条码贴纸】+【MA B 3L 收缩膜含EAN条码+进口商贴纸含水洗标内容】+MA A 5L收藏指南；
此单资料都翻4500184256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5.此单需要准备2套大货样，请注意备料；</t>
  </si>
  <si>
    <t>4500186204-10</t>
  </si>
  <si>
    <t>外箱只需四面印Zurulogo，再加2张贴纸，1张mu贴纸(条码贴)，1张ASN贴纸(尺寸6.5cm*6.3cm</t>
  </si>
  <si>
    <t>12/29-UPC贴纸+进口商贴纸+价标贴纸</t>
  </si>
  <si>
    <t>日期码格式：ZURU INC(BVI) 标准格式 日期：按实际生产日期
Packaging Info: 9298TQ1,,MA 3L EAN 包装+UPC贴纸+MA PDQ +MA 多语收藏指南+进口商贴纸+价标贴纸,,
Remark: 1.外箱只需四面印Zurulogo，再加2张贴纸，1张mu贴纸(条码贴)，1张ASN贴纸(尺寸6.5cm*6.3cm
潘通色号2597C)，都贴于侧唛，只需贴1面(HU贴纸和ASN贴纸客供)
2.一个外箱对应一个H’S(条形码)不可以混条码包装
3.含有说明书需要增加说明书贴纸
4.价格贴纸覆盖原有包装的条形码
5. 此单有监柜要求，需要每款多准备一套完整物料，用于监柜，不可以随大货走
6. 请确保包装上的条形码是UPC，如果是babyUPC，需要用mother UPC覆盖，如有不一致，请及时提出。谢谢
9298TQ1: 7 assortment (6 common + 1 rare)=CORGI(Rare):SHEPHERD:POODLE:DALMATIAN:SCHNAUZER:BROWN DALNATIAN:HOUND DOG=2:8:10:10:10:10:10;</t>
  </si>
  <si>
    <t>4500190237-20</t>
  </si>
  <si>
    <t>1/20-价格贴纸</t>
  </si>
  <si>
    <t>日期码格式：ZURU INC(BVI) 标准格式 日期：按实际生产日期
Packaging Info: 
9298:MA 3L(23L warning)最新EAN包装+一张客供价格贴纸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客供价格贴纸位置为产品正面右上角，不能遮住产品信息，有无客供价格贴纸请参考该单包装信息一栏的备注，没备注就是没有；如有请在大货生产前把贴纸位
置先发给跟单确认
7. 涉及到相关款式会有闪粉的或者微塑料的，请统一默认出无闪粉或者不含微塑料版本;
8. 外箱封箱必须是工字型封箱方式；</t>
  </si>
  <si>
    <t>4500190214-10</t>
  </si>
  <si>
    <t>日期码格式：ZURU INC(BVI) 标准格式 日期：按实际生产日期
Packaging Info: 9298:MA 3L(23L warning)最新EAN包装+一张客供价格贴纸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客供价格贴纸位置为产品正面右上角，不能遮住产品信息，有无客供价格贴纸请参考该单包装信息一栏的备注，没备注就是没有；如有请在大货生产前把贴纸位
置先发给跟单确认
7. 涉及到相关款式会有闪粉的或者微塑料的，请统一默认出无闪粉或者不含微塑料版本;
8. 外箱封箱必须是工字型封箱方式；"</t>
  </si>
  <si>
    <t>8TO6U7AF</t>
  </si>
  <si>
    <t>4500191206-40</t>
  </si>
  <si>
    <t>2/2-SSCC LABEL</t>
  </si>
  <si>
    <t>日期码格式：ZURU INC(BVI) 标准格式 日期：按实际生产日期
Packaging Info: 出口加拿大，包装需要至少2/3L UPC版，无硼版本。
#9298: MA 3L C版本加UPC贴纸，UPC贴纸图稿跟返单4500113996。需混入稀有款， 常规款：稀有款=58：2。 B:193052062635, H：193052062673;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</si>
  <si>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8BS53NMR</t>
  </si>
  <si>
    <t>4500191206-50</t>
  </si>
  <si>
    <t>0972931048</t>
  </si>
  <si>
    <t>4500191357-20</t>
  </si>
  <si>
    <t>3/6第三方</t>
  </si>
  <si>
    <t>日期码格式：ZURU DGYYYYMMDD CHINA(日期避开周末和法定节假日即可） 日期：按实际生产日期
Packaging Info:
Remark: 
9298:
1.包装信息：MA 最新版 UPC版 1L收缩膜，MA 最新版 5L收藏指南，MA 最新版贴纸袋子，MA 最新版配件袋子，MA 最新版 5L口水胶袋，MA 最新版 3L贴纸，MA B
版车缝布标，客版PDQ
（1facing2pcs/PDQ），客版布标贴纸，客供RFID贴纸（位置由我们提供）。
2.外箱四面印刷RFID箱唛，主唛左前下角印刷艾利贴纸替代标箱唛(ITF-14格式)，此条码只印刷一面，ZURU新logo右下角四面印刷，主唛右下角加印 MADE IN CHI
NA
，每个slip sheet上面贴一张艾利贴纸（工厂自己打印）和一张普通贴纸（可A4纸打印），slip sheet打印的普通贴纸的尺寸不能比艾利贴纸小。
3.在产品上和包装上要有日期码（避开周末和节假日）以及要有MADE IN CHINA和ZURU字样。4.产品如有扎带口要剪平，不能刮手。
5.此单需要第三方验货，请自行多备包装物料。
6.此单打卡板出货（32x7H=192carton=384pcs/Slip Sheet）。</t>
  </si>
  <si>
    <t>0972931049</t>
  </si>
  <si>
    <t>450019135730</t>
  </si>
  <si>
    <t>0972931057</t>
  </si>
  <si>
    <t>4500191357-40</t>
  </si>
  <si>
    <t>0972931059</t>
  </si>
  <si>
    <t>4500191357-60</t>
  </si>
  <si>
    <t>0972931060</t>
  </si>
  <si>
    <t>4500191357-70</t>
  </si>
  <si>
    <t>0972931067</t>
  </si>
  <si>
    <t>4500191357-80</t>
  </si>
  <si>
    <t>4500191234-40</t>
  </si>
  <si>
    <t>1/20-进口商贴纸+UPC条码贴纸</t>
  </si>
  <si>
    <t xml:space="preserve">日期码格式：ZURU INC(BVI) 标准格式 日期：按实际生产日期
Packaging Info:
4. 9298B： MA 3L EAN包装+进口商贴纸+baby UPC条码贴纸+MA 收藏指南+箱唛
Remark: </t>
  </si>
  <si>
    <t>4500191234-50</t>
  </si>
  <si>
    <t xml:space="preserve">日期码格式：ZURU INC(BVI) 标准格式 日期：按实际生产日期
Packaging Info:
4. 9298D： MA 3L EAN包装+进口商贴纸+baby UPC条码贴纸+MA 收藏指南+箱唛
Remark: </t>
  </si>
  <si>
    <t>4500191234-60</t>
  </si>
  <si>
    <t xml:space="preserve">日期码格式：ZURU INC(BVI) 标准格式 日期：按实际生产日期
Packaging Info:
4. 9298E： MA 3L EAN包装+进口商贴纸+baby UPC条码贴纸+MA 收藏指南+箱唛
Remark: </t>
  </si>
  <si>
    <t>CARLOS FEDERSPIEL &amp; CIA. - UNIVERSA</t>
  </si>
  <si>
    <t>4500191577-50</t>
  </si>
  <si>
    <t>1/26收到</t>
  </si>
  <si>
    <t>1/30-进口商贴纸+UPC贴纸</t>
  </si>
  <si>
    <t>日期码格式：ZURU INC(BVI) 标准格式 日期：按实际生产日期
Packaging Info:
其余item：MA 多语 包装+进口商贴纸+UPC贴纸+箱唛
Remark:</t>
  </si>
  <si>
    <t>4500191895-10</t>
  </si>
  <si>
    <t>1/20-WIC贴纸</t>
  </si>
  <si>
    <t>日期码格式：ZURU INC(BVI) 标准格式 日期：03-16-2026
Packaging Info:
Remark: MA 1L包装 + WIC贴纸 （同PO 4500114593）
7 assortment (6 common + 1 rare)=CORGI:SHEPHERD:POODLE:DALMATIAN:SCHNAUZER:BROWN DALNATIAN:HOUND DOG=2:8:10:10:10:10:10;
产品和包装上要有ZURU 标准格式 TRACKING CODE, DG20260316A + 对应款号，如A款 DG20260316A</t>
  </si>
  <si>
    <t>4500191895-20</t>
  </si>
  <si>
    <t>4500191895-30</t>
  </si>
  <si>
    <t>4500191895-40</t>
  </si>
  <si>
    <t>4500191895-50</t>
  </si>
  <si>
    <t>4500191895-60</t>
  </si>
  <si>
    <t>4500191895-110</t>
  </si>
  <si>
    <t>70和100行合并数量，总数不变</t>
  </si>
  <si>
    <t>4500191895-80</t>
  </si>
  <si>
    <t>4500191895-90</t>
  </si>
  <si>
    <t>4500190708-30</t>
  </si>
  <si>
    <t>2/13-进口商贴纸+UPC贴纸</t>
  </si>
  <si>
    <t>日期码格式：ZURU INC(BVI) 标准格式 日期：按实际生产日期
Packaging Info:
9298TQ1:MA 多语包装+进口商贴纸+UPC贴纸+箱唛
Remark:</t>
  </si>
  <si>
    <t>0976510291</t>
  </si>
  <si>
    <t>4500192729-20</t>
  </si>
  <si>
    <t>3/16第三方</t>
  </si>
  <si>
    <t>外箱四面印刷RFID箱唛，主唛左前下角印刷艾利贴纸替代标箱唛(ITF-14格式)，此条码只印刷一面，ZURU新logo右下角四面印刷，主唛右下角加印 MADE IN CHI
 NA
 ，每个slip sheet上面贴一张艾利贴纸（工厂自己打印）和一张普通贴纸（可A4纸打印），slip sheet打印的普通贴纸的尺寸不能比艾利贴纸小。</t>
  </si>
  <si>
    <t>日期码格式：ZURU DGYYYYMMDD CHINA(日期避开周末和法定节假日即可） 日期：按实际生产日期
Packaging Info:
Remark:
9298:
1.包装信息：MA 最新版 UPC版 1L收缩膜，MA 最新版 5L收藏指南，MA 最新版贴纸袋子，MA 最新版配件袋子，MA 最新版 5L口水胶袋，MA 最新版 3L贴纸，MA B
版车缝布标，客版PDQ
（1facing2pcs/PDQ），客版布标贴纸，客供RFID贴纸（位置由我们提供）。
2.外箱四面印刷RFID箱唛，主唛左前下角印刷艾利贴纸替代标箱唛(ITF-14格式)，此条码只印刷一面，ZURU新logo右下角四面印刷，主唛右下角加印 MADE IN CHI
NA
，每个slip sheet上面贴一张艾利贴纸（工厂自己打印）和一张普通贴纸（可A4纸打印），slip sheet打印的普通贴纸的尺寸不能比艾利贴纸小。
3.在产品上和包装上要有日期码（避开周末和节假日）以及要有MADE IN CHINA和ZURU字样。4.产品如有扎带口要剪平，不能刮手。
5.此单需要第三方验货，请自行多备包装物料。
6.此单打卡板出货（32x7H=192carton=384pcs/Slip Sheet）。
7.其它信息：7 assortment (6 common + 1 rare)=CORGI : SHEPHERD : POODLE : DALMATIAN : SCHNAUZER : BROWN DALNATIAN : HOUND DOG=2:8:10:10:10:10:1
0</t>
  </si>
  <si>
    <t>0976510298</t>
  </si>
  <si>
    <t>4500192729-40</t>
  </si>
  <si>
    <t>3/16出</t>
  </si>
  <si>
    <t>0976510299</t>
  </si>
  <si>
    <t>4500192729-50</t>
  </si>
  <si>
    <t>3/30出</t>
  </si>
  <si>
    <t>0976510322</t>
  </si>
  <si>
    <t>4500192729-110</t>
  </si>
  <si>
    <t>0976510323</t>
  </si>
  <si>
    <t>4500192729-120</t>
  </si>
  <si>
    <t>0976510324</t>
  </si>
  <si>
    <t>4500192729-130</t>
  </si>
  <si>
    <t>0976510325</t>
  </si>
  <si>
    <t>4500192729-140</t>
  </si>
  <si>
    <t>LONDON SUPPLY GROUP SA</t>
  </si>
  <si>
    <t>4500191880-30</t>
  </si>
  <si>
    <t>1/28-UPC贴纸</t>
  </si>
  <si>
    <t>日期码格式：ZURU INC(BVI) 标准格式 日期：按实际生产日期
Packaging Info: 9298TQ1:MA 多语包装+UPC贴纸+箱唛
Remark:</t>
  </si>
  <si>
    <t>3DPWI85G</t>
  </si>
  <si>
    <t>4500194427-150</t>
  </si>
  <si>
    <t>04/08-04/11出</t>
  </si>
  <si>
    <t>3/16-SSCC LABEL</t>
  </si>
  <si>
    <t>日期码格式：ZURU INC(BVI) 标准格式 日期：按实际生产日期
Packaging Info: 
#9298: MA 3L C版本加UPC贴纸，UPC贴纸图稿跟返单4500113996。需混入稀有款， 常规款：稀有款=58：2。 D:193052062642, G:193052062666;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</si>
  <si>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WOOLWORTH GMBH</t>
  </si>
  <si>
    <t>416580 / 00</t>
  </si>
  <si>
    <t>4500189376-10</t>
  </si>
  <si>
    <t>1/28收到</t>
  </si>
  <si>
    <t>3/9-价格贴纸</t>
  </si>
  <si>
    <t>日期码格式：ZURU INC(BVI) 标准格式 日期：按实际生产日期
Packaging Info: 9298TQ1-S002: MA C版 3L +23L EAN 收缩膜+价格贴纸+MA B版5L收藏指南+MA C 版Polybag+MA PDQ
Remark: "出口欧洲，微塑料需符合法规；
1.所有出往GAS市场(德国/奥地利/瑞士)的电子产品身上需要加字唛，为ZURU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ZURU France 33 rue Paul Meurice 75020 Paris, France
2.裝櫃必須按TPND順序 (條形碼貼紙或正嘜必須要朝外向車門外)
3.柜子需要挂网，柜门处需要每款产品放一箱以便被海关抽验
4 需要客户放货后才能走货。
5 晚交货会有罚金，请务必按时完货
6.所有出往欧洲订单的电子产品需增加一张客版 B版 WEEE声明说明书，区分带电池(WEEE 带电池走货 B版 通用30L 说明书)和不带电池版本(WEEE 不带电池走货
B版 通用30L 说明书)"</t>
  </si>
  <si>
    <t>4500190367-30</t>
  </si>
  <si>
    <t>1/26-价格贴纸</t>
  </si>
  <si>
    <t>日期码格式：ZURU INC(BVI) 标准格式 日期：按实际生产日期
Packaging Info: 
9298:MA 3L(23L warning)最新EAN包装+一张客供价格贴纸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客供价格贴纸位置为产品正面右上角，不能遮住产品信息，有无客供价格贴纸请参考该单包装信息一栏的备注，没备注就是没有；如有请在大货生产前把贴纸位
置先发给跟单确认
7. 涉及到相关款式会有闪粉的或者微塑料的，请统一默认出无闪粉或者不含微塑料版本;
8. 外箱封箱必须是工字型封箱方式；"</t>
  </si>
  <si>
    <t>ZU26012601</t>
  </si>
  <si>
    <t>4500193594-30</t>
  </si>
  <si>
    <t>4/9出</t>
  </si>
  <si>
    <t>3/6-进口商贴纸</t>
  </si>
  <si>
    <t>日期码格式：ZURU INC(BVI) 标准格式 日期：按实际生产日期
Packaging Info: MA UPC包装(优先1L)+进口商贴纸,待提供贴纸资料;
9298需维持STD 的配比, 客人不允许调整
Remark: 
9298-7 assortment (6 common + 1 rare)=CORGI(Rare):SHEPHERD:POODLE:DALMATIAN:SCHNAUZER:BROWN DALNATIAN:HOUND DOG=2:8:10:10:10:10:10;</t>
  </si>
  <si>
    <t>4500191650-20</t>
  </si>
  <si>
    <t>4/10出</t>
  </si>
  <si>
    <t>3/12-客供价格贴+外箱贴纸</t>
  </si>
  <si>
    <t>日期码格式：ZURU INC(BVI) 标准格式 日期：按实际生产日期
Packaging Info: 1. ZURU MA （首选1L）UPC版本+客供价格贴+外箱贴纸（为方便进行装柜区分，请按照后续提供的外箱贴纸文档去粘贴外箱），出口美国
价格贴参考4500186619 和4500186887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每份贴纸文档的数量对应的是装柜数量，一个ID对应一个柜子，外箱贴纸需要按照SHIPMENT ID (不会显示在贴纸上，在贴纸资料文档上命名上）去区分
，也就是同个item line 但是SHIPMENT ID 不一样不可以混在一起，贴纸和大货需要区分开，最后装柜会在不同的柜子里面。
5，每个产品有一个价格贴纸， 价格贴纸覆盖UPC条码上 （若UPC 条码太大，可以露出ITEM#, 覆盖条码即可），价格贴纸覆盖UPC 会挡住文字/图案，需用空白贴覆
盖UPC，价格贴纸移到空白处。贴的时候要是会覆盖包装上重要的信息和图案，需要告知跟单。</t>
  </si>
  <si>
    <t>4500191650-110</t>
  </si>
  <si>
    <t>DISTRUIBUCIONES UNIVERSALES, SA - D</t>
  </si>
  <si>
    <t>4500194168-60</t>
  </si>
  <si>
    <t>2/25-UPC贴纸</t>
  </si>
  <si>
    <t>日期码格式：ZURU INC(BVI) 标准格式 日期：按实际生产日期
Packaging Info: 
其余item：MA 多语包装+UPC贴纸+箱唛
Remark:</t>
  </si>
  <si>
    <t>4500193165-30</t>
  </si>
  <si>
    <t>4/15-4/17出</t>
  </si>
  <si>
    <t>3/12收到</t>
  </si>
  <si>
    <t>防盗贴纸+3/24-外箱SSCC Label</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</si>
  <si>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
10:10:10:10:10;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PO#4500193164一起合并计算，71172实际上为LCL散货出柜</t>
  </si>
  <si>
    <t>7JF7L8JL</t>
  </si>
  <si>
    <t>4500195135-90</t>
  </si>
  <si>
    <t>4/27出</t>
  </si>
  <si>
    <t>日期码格式：ZURU INC(BVI) 标准格式 日期：按实际生产日期
Packaging Info: 出口加拿大，包装需要至少2/3L UPC版，无硼版本。
#9298: MA 3L C版本加UPC贴纸，UPC贴纸图稿跟返单4500113996。需混入稀有款， 常规款：稀有款=58：2。 D:193052062642, G:193052062666;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</si>
  <si>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5D7JI9BH</t>
  </si>
  <si>
    <t>4500195135-100</t>
  </si>
  <si>
    <t>476KYA6Z</t>
  </si>
  <si>
    <t>4500195135-110</t>
  </si>
  <si>
    <t>4JICWH9U</t>
  </si>
  <si>
    <t>4500195135-120</t>
  </si>
  <si>
    <t>8DBALFQM</t>
  </si>
  <si>
    <t>4500195135-130</t>
  </si>
  <si>
    <t>6AHC9Y7P</t>
  </si>
  <si>
    <t>4500195135-140</t>
  </si>
  <si>
    <t>7U7Z348U</t>
  </si>
  <si>
    <t>4500195135-150</t>
  </si>
  <si>
    <t>2LHAFLSG</t>
  </si>
  <si>
    <t>4500195135-160</t>
  </si>
  <si>
    <t>68RWCJID</t>
  </si>
  <si>
    <t>4500195135-170</t>
  </si>
  <si>
    <t>1WNDO9CR</t>
  </si>
  <si>
    <t>4500195135-180</t>
  </si>
  <si>
    <t>569POOMC</t>
  </si>
  <si>
    <t>4500195135-190</t>
  </si>
  <si>
    <t>4500195041-10</t>
  </si>
  <si>
    <t>4/20出</t>
  </si>
  <si>
    <t>3/4-WIC贴纸</t>
  </si>
  <si>
    <t>日期码格式：ZURU INC(BVI) 标准格式 日期：04-20-2026
Packaging Info:
Remark: MA 1L包装 + WIC贴纸 （同PO 4500191895）
7 assortment (6 common + 1 rare)=CORGI:SHEPHERD:POODLE:DALMATIAN:SCHNAUZER:BROWN DALNATIAN:HOUND DOG=11:8:10:10:8:6:7;
产品和包装上要有ZURU 标准格式 TRACKING CODE, DG20260420A + 对应款号，如A款 DG20260420A</t>
  </si>
  <si>
    <t>4500195041-20</t>
  </si>
  <si>
    <t>4500195041-30</t>
  </si>
  <si>
    <t>4500195041-40</t>
  </si>
  <si>
    <t>4500195041-50</t>
  </si>
  <si>
    <t>4500195041-60</t>
  </si>
  <si>
    <t>4500195041-70</t>
  </si>
  <si>
    <t>4500195558-10</t>
  </si>
  <si>
    <t>3/9收到</t>
  </si>
  <si>
    <t>3/19-价格贴纸</t>
  </si>
  <si>
    <t>日期码格式：ZURU INC(BVI) 标准格式 日期：按实际生产日期
Packaging Info: MA UPC包装(优先1L)+价格贴纸，价格贴纸客供。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item#9298: TJ MAXX PO#332428,SKU#197896 DC#891-504PCS, DC#894-408PCS, DC#896-336PCS, DC#897-672PCS, DC#898-480PCS</t>
  </si>
  <si>
    <t>TJX  AUSTRALIA  PTY  LIMITED</t>
  </si>
  <si>
    <t>4500197431-10</t>
  </si>
  <si>
    <t>日期码格式：ZURU INC(BVI) 标准格式 日期：按实际生产日期
Packaging Info: 1. 9298TQ1：英文MA包装 (UPC版本，首选1L，无1L可用多L含英语) +1张客供价格贴纸；Ratio: (B) Poodle:(G) Brown Dalnatian:(D) Dalmatian:(H) Hound Dog
:(E) Schnauzer:(A) Shepherd:Corgi=6:4:15:8:7:9:11
Remark: 1. 箱唛不可出现任何手写内容（箱数除外），重量与实际一致且不可手写；
2. 产品上贴客供价格贴纸，贴纸位置为产品正面右上角，不能遮住产品信息；请与跟单确认贴纸位置后再生产大货；
3. 订单每行对应客人不同的PO，即同款item的价格贴纸都不相同，请注意收到贴纸后不要弄混!（CUS PO号请参考行项目Remark）
4. 此单去澳大利亚，请按相应澳新标准生产并满足当地法规要求;
5. ZURU QC验货。
6. 产品和包装上要有tracking label信息：日期码格式为Zuru标准格式；</t>
  </si>
  <si>
    <t>Christine  Liao</t>
  </si>
  <si>
    <t>4500197431-20</t>
  </si>
  <si>
    <t>5/4出</t>
  </si>
  <si>
    <t>4500197431-30</t>
  </si>
  <si>
    <t>4500197431-40</t>
  </si>
  <si>
    <t>4500197431-50</t>
  </si>
  <si>
    <t>4500195557-10</t>
  </si>
  <si>
    <t>日期码格式：ZURU INC(BVI) 标准格式 日期：按实际生产日期
Packaging Info: MA UPC包装(优先1L)+价格贴纸，价格贴纸客供。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item#9298: Marshalls PO#332426,SKU#918599 DC#881-450PCS, DC#884-402PCS, DC#886-438PCS, DC#887-366PCS, DC#888-546PCS</t>
  </si>
  <si>
    <t>4500197840-90</t>
  </si>
  <si>
    <t>4/2-价格贴纸</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</si>
  <si>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
3.样板：请在4.10前寄出#9561和#71126各两套样板寄到深圳办公室转寄给客人</t>
  </si>
  <si>
    <t>Hailey  Yu</t>
  </si>
  <si>
    <t>4500197840-120</t>
  </si>
  <si>
    <t>Rainbocorn
2026
Requisition
Order (</t>
  </si>
  <si>
    <t>4500196664-10</t>
  </si>
  <si>
    <t>日期码格式： 标准格式 日期：按实际生产日期
Packaging Info: MA UPC(优先1L)无需进口商贴纸
Remark: 9298-7 assortment (6 common + 1 rare)=CORGI(Rare):SHEPHERD:POODLE:DALMATIAN:SCHNAUZER:BROWN DALNATIAN:HOUND DOG=2:8:10:10:10:10:10;</t>
  </si>
  <si>
    <t>3CZMY7SY</t>
  </si>
  <si>
    <t>4500197925-10</t>
  </si>
  <si>
    <t>收到SO，预计5/10-5/15出</t>
  </si>
  <si>
    <t>4/17-SSCC LABEL</t>
  </si>
  <si>
    <t>日期码格式：ZURU INC(BVI) 标准格式                  日期：按实际生产日期
Packaging Info: 出口加拿大，包装需要至少2/3L UPC版，无硼版本。
#9298: MA 3L  C版本加UPC贴纸，UPC贴纸图稿跟返单4500113996。需混入稀有款，  常规款：稀有款=58：2。  D:193052062642, E:193052062659,G:193052062666,
H:193052062673;
#9543: MA 3L 加UPC贴纸，  UPC贴纸跟翻单4500098824。B:193052051783, D:193052051790;
#9548: MA 5L D版本 加UPC贴纸，MA 5L-D版本收缩膜配套使用最新版本的包材，贴纸资料跟翻单#4500146603，UPC：193052064196。
#9572: MA 3L包装入邮包盒，邮包盒图稿翻单4500177315, A: 2PK 9565 (Pink + Brown), B: 2PK 9565 (Blue + Orange)。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</si>
  <si>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7KSB1GMS</t>
  </si>
  <si>
    <t>4500197925-20</t>
  </si>
  <si>
    <t>76RBPN3F</t>
  </si>
  <si>
    <t>4500197925-30</t>
  </si>
  <si>
    <t>4IE1C2UQ</t>
  </si>
  <si>
    <t>4500197925-40</t>
  </si>
  <si>
    <t>629HOJMD</t>
  </si>
  <si>
    <t>4500197925-50</t>
  </si>
  <si>
    <t>2R4ONMPK</t>
  </si>
  <si>
    <t>4500197925-60</t>
  </si>
  <si>
    <t>55KIV4TF</t>
  </si>
  <si>
    <t>4500197925-70</t>
  </si>
  <si>
    <t>7I6R9HSR</t>
  </si>
  <si>
    <t>4500197925-80</t>
  </si>
  <si>
    <t>4500198191-10</t>
  </si>
  <si>
    <t>WIC贴纸 翻4500191895</t>
  </si>
  <si>
    <t>日期码格式：ZURU INC(BVI) 标准格式                  日期：05-08-2026
Packaging Info: MA 1L包装 + WIC贴纸  （同PO 4500191895）
7 assortment (6 common + 1 rare)=CORGI:SHEPHERD:POODLE:DALMATIAN:SCHNAUZER:BROWN DALNATIAN:HOUND DOG=11:9:6:15:7:4:8;
产品和包装上要有ZURU 标准格式 TRACKING CODE, DG20260508+ 对应款号，如A款 DG20260508A</t>
  </si>
  <si>
    <t>4500198191-20</t>
  </si>
  <si>
    <t>4500198191-30</t>
  </si>
  <si>
    <t>4500198191-50</t>
  </si>
  <si>
    <t>4500198191-60</t>
  </si>
  <si>
    <t>4500198191-70</t>
  </si>
  <si>
    <t>4500198191-80</t>
  </si>
  <si>
    <t>4500198191-90</t>
  </si>
  <si>
    <t>4500198191-100</t>
  </si>
  <si>
    <t>TESCO  CE</t>
  </si>
  <si>
    <t>999-74449</t>
  </si>
  <si>
    <t>4500197647-10</t>
  </si>
  <si>
    <t>5/26出</t>
  </si>
  <si>
    <t>3/26-4国语警语贴纸+空白贴纸</t>
  </si>
  <si>
    <t>日期码格式：ZURU INC(BVI) 标准格式 日期：按实际生产日期
Packaging Info: 92123彩盒新稿含UPC条码193052081940，请先检查UPC条码后再安排做大货
9298: MA 最新1L UPC收缩膜+4国语警语贴纸Czech-Hugarian-Polish-Slovak)覆盖原条码）
Remark: 1.此单出EU国家，需满足EU测试标准，微塑料需满足EU法规要求；
2.产品及包装需要印UKCA图标，包装需要有ZURU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t>
  </si>
  <si>
    <t>Mary  Zhong</t>
  </si>
  <si>
    <t>PGT-734058</t>
  </si>
  <si>
    <t>4500194834-10</t>
  </si>
  <si>
    <t>6/8出</t>
  </si>
  <si>
    <t>3/2收到</t>
  </si>
  <si>
    <t>3/31-进口商贴纸+QR code贴纸</t>
  </si>
  <si>
    <t>日期码格式：ZURU INC(BVI) 标准格式 日期：按实际生产日期
Packaging Info: MA 收缩膜+进口商贴纸+EAN 贴纸+QR code贴纸
不同数量对应不同客户型号,请留意不要贴错进口商贴纸：
324pcs：9298TQ1-S2
732pcs:9298TQ1
外箱：侧唛各贴1张进口商贴纸
验货：若是主拼， 装柜当天有验货，只看进口商贴纸内容，不拆包装
QR code:
需要打印3-5张二维码图给客户确认后再批量打印。
QRcode要求：贴纸上客户PO号及序号一起打印。尺寸（客户建议18*18mm非强制）根
据产品调整，最小接受10*10mm,要清晰可扫描，2年不褪色。
出货需要提供application report追踪二维码到箱/柜
Remark:</t>
  </si>
  <si>
    <t>4500194834-20</t>
  </si>
  <si>
    <t>FB14522</t>
  </si>
  <si>
    <t>4500198143-20</t>
  </si>
  <si>
    <t>3/23收到</t>
  </si>
  <si>
    <t>条码贴翻4500148687 + PDQ数量贴纸返4500183275</t>
  </si>
  <si>
    <t>日期码格式：ZURU INC(BVI) 标准格式                  日期：按实际生产日期
Packaging Info: 15760C1-S001 客制挂条+MA布标+客户EAN条码贴纸，贴纸翻单：4500177014，条码请 核对15760A
9298TQ4-S003 9298TQ4:MA最新1L配套包装+客户EAN条码贴一张覆盖ZURU 原条码，条码贴翻订单4500148687，条码请核对：5056296044834, PDQ数量贴纸 返单45001
83275
9565GQ3-S001 客制PDQ+MA+客户EAN条码贴纸（翻单4500173850），加30L含电池出货版WEEE说明书，条码请核对：5056296051412
15787G-S001 MA A版5L UPC版本
15787H-S001 MA A版5L UPC版本
71137-S001 MA最新1L配套包装+客户EAN条码贴一张覆盖ZURU 原条码(翻单4500148687)，另外产品内包装再加多一张C版WEEE不含电池出货版本29L说明书，即产品内
含2张说明书  （ZURU标准说明书1张+ZURU 标准WEEE不含电池出货版本29L说明书）
7149-S001 MA-1L-B版（含23L warning）包装配套，额外加一张条码贴覆盖ZURU条码，另外产品内包装再加多一张ZURU WEEE不带电池出货版说明书30L
2 assortment average; 2pcs AA battery are not included; Lizard with LED;
条码贴翻订单4500124991; BARCODE: 5056296033722"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</si>
  <si>
    <t>4500199774</t>
  </si>
  <si>
    <t>4500199774-30</t>
  </si>
  <si>
    <t>6/2出</t>
  </si>
  <si>
    <t>4/24-进口商贴纸+4/15-QR code</t>
  </si>
  <si>
    <t>日期码格式：ZURU INC(BVI) 标准格式                  日期：按实际生产日期
Packaging Info: 9283/9296/9298/9565/92104: MA UPC收缩膜+MA 收藏指南+ 进口商贴纸+QR code (一物一码)
9543: MA UPC收缩膜+MA 说明书+ 进口商贴纸+QR code (一物一码)
71152: MA UPC彩盒+MA 说明书+ 进口商贴纸+QR code (一物一码)
9561: MA  UPC收缩膜+MA 收藏指南+MA说明书+ 进口商贴纸+QR code (一物一码)
15757: MA UPC 彩盒+ 进口商贴纸+QR code (一物一码)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
 5. 整张单走EXW。</t>
  </si>
  <si>
    <t>4500200255</t>
  </si>
  <si>
    <t>4563241427</t>
  </si>
  <si>
    <t>4500200255-10</t>
  </si>
  <si>
    <t>4/7收到</t>
  </si>
  <si>
    <t>日期码格式：ZURU INC(BVI) 标准格式                  日期：05-14-2026
Remark: MA 1L包装 + WIC贴纸  （同PO 4500191895）
7 assortment (6 common + 1 rare)=CORGI:SHEPHERD:POODLE:DALMATIAN:SCHNAUZER:BROWN DALNATIAN:HOUND DOG=9:10:10:5:12:7:7;
产品和包装上要有ZURU 标准格式 TRACKING CODE, DG20260514 对应款号，如A款 DG20260514A</t>
  </si>
  <si>
    <t>4563241624</t>
  </si>
  <si>
    <t>4500200255-20</t>
  </si>
  <si>
    <t>4563241891</t>
  </si>
  <si>
    <t>4500200255-30</t>
  </si>
  <si>
    <t>取消单4500198191-40数量396pcs增加到此订单中</t>
  </si>
  <si>
    <t>4563241716</t>
  </si>
  <si>
    <t>4500200255-40</t>
  </si>
  <si>
    <t>4563242032</t>
  </si>
  <si>
    <t>4500200255-60</t>
  </si>
  <si>
    <t>ZU26031901</t>
  </si>
  <si>
    <t>4500201649-20</t>
  </si>
  <si>
    <t>狗蛋四代胶袋装</t>
  </si>
  <si>
    <t>5/25出</t>
  </si>
  <si>
    <t>4/13收到</t>
  </si>
  <si>
    <t>进口商贴纸翻4500193594</t>
  </si>
  <si>
    <t>日期码格式：ZURU INC(BVI) 标准格式 日期：按实际生产日期
Packaging Info: MA UPC包装(优先1L)+进口商贴纸,9283待提供贴纸资料;
9298 贴纸图稿和位置图翻单4500193594
92104 贴纸图稿和位置图翻单4500193594
注意92104是客版spec,每个产品外面需要 单价加个透明封口袋子;
Remark: 9283-Kitten:Bunny:Puppy:Cow:Elephant:Flamingo=1:1:1:1:1:1;
9298-7 assortment (6 common + 1 rare)=CORGI(Rare):SHEPHERD:POODLE:DALMATIAN:SCHNAUZER:BROWN DALNATIAN:HOUND DOG=2:8:10:10:10:10:10;
92104-MUNCHKIN(RARE): HIMALAYAN: PERSIAN: MAINE COON: RAGDOLL: RAGAMUFFIN: NORWEGIAN FOREST CAT = 2: 8: 10: 10: 10: 10: 10</t>
  </si>
  <si>
    <t>4500198544-30</t>
  </si>
  <si>
    <t>4/20收到</t>
  </si>
  <si>
    <t>UPC条码贴纸+进口商贴纸翻4500180866</t>
  </si>
  <si>
    <t>日期码格式：LOTDGYYYYMMDD 日期：按实际生产日期
Packaging Info:  3. 9298TQ1: MA 3L EAN包装+新UPC条码贴纸+进口商贴纸+MA 5L收藏指南+MA PDQ+箱唛，贴纸翻单PO4500180866
 Remark: 1. 客版日期码要求：LOT+ZURU标准日期码格式。东莞生产的格式：LOTDGYYYYMMDD, DG是东莞拼音首字母，YYYYMMDD是实际的年月日，例如(LOTDG20240920)
 2. 此单有第三方监柜，至少多备一套完整的物料用于监柜，请多备料。
 3. WM墨西哥防霉的新要求:货物必须在出货主箱和集装箱中按要求放置干燥剂，干燥剂指定品牌干霸SUPERDRY
 9298TQ1/92104/77673：每箱需放置4包干燥剂，每包重2-3g
 如走柜货等loading plan 确认后再通知集装箱干燥剂数量
此单工厂将安排7*40HC，每个HC要放置20包干燥剂，每包干燥剂1KG</t>
  </si>
  <si>
    <t>4500198544-40</t>
  </si>
  <si>
    <t>4500200896</t>
  </si>
  <si>
    <t>4500200896-60</t>
  </si>
  <si>
    <t>4/27-进口商含EAN条码贴纸+进口商贴纸含水洗标内容</t>
  </si>
  <si>
    <t>日期码格式：ZURU INC(BVI) 标准格式                  日期：按实际生产日期
Packaging Info: 77711GQ1：最新【MA 3L EAN版本收缩膜+一张进口商贴纸（含西班牙环保标）】+【MA 3L PDQ+一张PDQ贴纸含EAN条码】+最新MA 5L收藏指南
77711SK1：最新【MA 3L EAN版本收缩膜+一张进口商贴纸（含西班牙环保标）】+【MA 3L 展示架+一张展示架贴纸含EAN条码】+最新MA 5L收藏指南；
77773GQ1：最新【MA 3L EAN版本包装+一张客户进口商贴纸含西班牙环保标】+MA 23说明书+MA 收藏指南 +【MA 3L PDQ+一张PDQ贴纸含EAN条码】+WEEE带电池走货
欧洲29语通用黑白说明书；
77773SK1：最新【MA 3L EAN 版本包装+一张西班牙环保标和客户进口商贴纸】+MA 5L 收藏指南+【MA 3L 展示架+一张展示架贴纸含EAN条码+WEEE带电池走货欧洲29
语通用黑白说明书 ；
77673：最新【MA 3L 收缩膜含EAN条码+进口商贴纸】+MA 最新5L收藏指南，MA 最新23L说明书（产品包装和PDQ都需要贴纸）+WEEE带电池走货欧洲29语通用黑白说
明书;
9298TQ1：【MA 最新PDQ+1张进口商含EAN条码贴纸】+【MA B 3L 收缩膜含EAN条码+进口商贴纸含水洗标内容】+MA A 5L收藏指南；
71126：最新【MA 3LEAN包装+一张客户进口商贴纸含西班牙环保标】+最新MA 5L 说明书；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 有关PDQ的贴纸位置图，客户要求我们贴在PDQ的底部，这样客户在打开外箱的 时候不需要取出产品，即可以扫描PDQ条码，在做大货前需帮忙复查下设计提供的
贴纸位置图是否都贴到了底部，避免后续客诉发生
6.此单需要准备2套大货样寄到深圳办公室，请注意备料；</t>
  </si>
  <si>
    <t>DINO LLC</t>
  </si>
  <si>
    <t>4500200574</t>
  </si>
  <si>
    <t>4500200574-30</t>
  </si>
  <si>
    <t>收到SO，预计6/3出</t>
  </si>
  <si>
    <t>4/29-进口商贴纸+QR code</t>
  </si>
  <si>
    <t>日期码格式：ZURU INC(BVI) 标准格式                  日期：按实际生产日期
Packaging Info: MA UPC包装+进口商贴纸，  MA PDQ/说明书（如有）
Remark: 标准配比；</t>
  </si>
  <si>
    <t>4500203028-90</t>
  </si>
  <si>
    <t>拆分总数不变</t>
  </si>
  <si>
    <t>6/14出</t>
  </si>
  <si>
    <t>5/4-客供价格贴+5/11-外箱贴纸</t>
  </si>
  <si>
    <t>日期码格式：ZURU INC(BVI) 标准格式                  日期：按实际生产日期
Packaging Info: 1. ZURU MA  （首选1L）UPC版本+客供价格贴+外箱贴纸（为方便进行装柜区分，请按照后续提供的外箱贴纸文档去粘贴外箱），出口美国
92104-S004/9258-S004/9298-S003价格贴 位置参考4500191650
9298-S003配比Poodle:Brown Dalnation:Dalnation:Hound Dog: Schnauzer:Shepherd:Corgi：10:7:5:7:12:10:9
9283-S001价格贴参考4500171334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每份贴纸文档的数量对应的是装柜数量，一个ID对应一个柜子，外箱贴纸需要按照SHIPMENT ID (不会显示在贴纸上，在贴纸资料文档上命名上）去区分
,也就是同个item line 但是SHIPMENT ID 不一样不可以混在一起，贴纸和大货需要区分开，最后装柜会在不同的柜子里面。
5，每个产品有一个价格贴纸，  价格贴纸覆盖UPC条码上  （若UPC 条码太大，可以露出ITEM#, 覆盖条码即可），价格贴纸覆盖UPC 会挡住文字/图案，需用空白贴覆
盖UPC，价格贴纸移到空白处。贴的时候要是会覆盖包装上重要的信息和图案，需要告知跟单。</t>
  </si>
  <si>
    <t>4500203028</t>
  </si>
  <si>
    <t>4500203028-100</t>
  </si>
  <si>
    <t>4500199899</t>
  </si>
  <si>
    <t>FB14529</t>
  </si>
  <si>
    <t>4500199899-100</t>
  </si>
  <si>
    <t>EAN条码贴翻4500148687 + PDQ数量贴纸翻4500183275</t>
  </si>
  <si>
    <t>日期码格式：ZURU INC(BVI) 标准格式                  日期：按实际生产日期
Packaging Info:
9298TQ4-S003 MA最新1L配套包装+客户EAN条码贴一张覆盖ZURU 原条码，条码贴翻订单4500148687，配比：7 assortment (6 common + 1 rare)=CORGI:SHEPHERD:PO
ODLE:DALMATIAN:SCHNAUZER:BROWN DALNATIAN:HOUND DOG=2:8:10:10:10:10:10;.加PDQ数量贴纸（翻单：4500183275）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</si>
  <si>
    <t>4500200368</t>
  </si>
  <si>
    <t>412871</t>
  </si>
  <si>
    <t>4500200368-50</t>
  </si>
  <si>
    <t>5/27出</t>
  </si>
  <si>
    <t>4/8收到</t>
  </si>
  <si>
    <t>4/15-cat label</t>
  </si>
  <si>
    <t>日期码格式：ZURU INC(BVI) 标准格式                  日期：按实际生产日期
Packaging Info: 1.7196：MA彩盒+cat label 1张+客版说明书+WEEE不带电池说明书
7140：MA彩盒+cat label 1张+MA说明书+WEEE不带电池说明书
77673：1L MA UPC 包装+cat label 1张
9543：1L MA UPC 包装+cat label 1张;MA 说明书+WEEE不带电池说明书
9298/92147/92146:1L MA UPC 包装+cat label 1张;MA 指南
77711：3L MA包装+cat label 1张+UPC条码贴纸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*主拼工厂需要提前准备密网用于装柜，装柜拉网请务必按照客人要求固定好，避免货物在运输过程中坍塌，不规范的拉网或者漏掉都会导致客人罚款</t>
  </si>
  <si>
    <r>
      <rPr>
        <sz val="10"/>
        <color rgb="FF0000FF"/>
        <rFont val="等线"/>
        <charset val="134"/>
      </rPr>
      <t>GIOCHI PREZIOSI E</t>
    </r>
    <r>
      <rPr>
        <sz val="10"/>
        <color rgb="FF0000FF"/>
        <rFont val="Times New Roman"/>
        <charset val="134"/>
      </rPr>
      <t>Ğ</t>
    </r>
    <r>
      <rPr>
        <sz val="10"/>
        <color rgb="FF0000FF"/>
        <rFont val="等线"/>
        <charset val="134"/>
      </rPr>
      <t>ITIMARAÇLARI TIC</t>
    </r>
  </si>
  <si>
    <t>4500203892</t>
  </si>
  <si>
    <t>085061</t>
  </si>
  <si>
    <t>4500203892-10</t>
  </si>
  <si>
    <t>5/15-进口商贴纸</t>
  </si>
  <si>
    <t>日期码格式：ZUR6156 日期：
Packaging Info: 9298TQ1:MA 1L 收缩膜+进口商贴纸（含客户条码）+MA收藏指南；; MA PDQ；MA Slime polybag+MA 布标
工厂日期码 产品/包装/外箱请保持一致。
客户日期码: ZUR6156 包装/外箱请保持一致。
请将大货数量寄到以下地址：
9298TQ1：两套大货样带PDQ
Attn: Sylvia Li
Company name: GP Services HK Limited
Company address: Suite 1502, 15th Floor, Chinachem Golden Plaza, 77 Mody Road, TST East, Kowloon, Hong Kong
Company address (Chinese): 香港九龍尖沙咀東部麼地道77號華懋廣場1502室
Contact Tel: +852 2739 5363
Remark: 9298TQ1: assortment (6 common + 1 rare)=CORGI(Rare):SHEPHERD:POODLE:DALMATIAN:SCHNAUZER:BROWN DALNATIAN:HOUND DOG=2:8:10:10:10:10:10;</t>
  </si>
  <si>
    <t>4500203679</t>
  </si>
  <si>
    <t>4500203679-80</t>
  </si>
  <si>
    <t>6/18出</t>
  </si>
  <si>
    <t>日期码格式：ZURU INC(BVI) 标准格式                  日期：按实际生产日期
Packaging Info: 
 7. 9298TQ1：MA 3L EAN包装+UPC贴纸+进口商贴纸+MA PDQ包装+箱唛，贴纸翻单PO4500158302
Remark: 1.请注意产品包装条形码必须是UPC
2.无第三方验货
 3. 7127：Green/Grey=1:1，2PCS AAA BATTERIES(NOT INCLUDED)
 4. 71152：2PCS AAA BATTERIES(NOT INCLUDED)
 5. 71126：1 assortment，3PCS LR44 BATTERIES(INCLUDED)
 6. 77673：Fixed Collection，3PCS AG13 BATTERIES(INCLUDED)
 7. 9543GQ1：BULE/PURPLE/PINK/ORANGE =5:6:6:5;，2PCS AAA BATTERIES(NOT INCLUDED)
 8. 9298TQ1：(B) Poodle:(G) Brown Dalnatian:(D) Dalmatian:(H)  Hound Dog:(E) Schnauzer:(A)  Shepherd:Corgi=10：7：5：7：12：10：9
 9. 92129TQ1：7  assortments, Ratio: Elephant: Toucan: Zebra: Sloth: Giraffe: Tiger: Peacock=10: 10: 10: 10: 10: 8: 2
 10. 9296：COW:MONKEY:PANDA:ZEBRA:AXOLOTL;CHIKEN:=1:1:1:1:1:1;</t>
  </si>
  <si>
    <t>4500203765</t>
  </si>
  <si>
    <t>4500203765-80</t>
  </si>
  <si>
    <t>4500203765拆单，总数不变</t>
  </si>
  <si>
    <t>日期码格式：LOT2622 日期：
Packaging Info: 2. 77867：客版彩盒（翻4500194131）+一张进口商贴纸（含西班牙/葡萄牙警语+西班牙环保标）+一张产品贴纸+一张EAN条码贴纸+一张西/葡WEEE说明书纸
 77843：最新MA 3L EAN收缩膜+最新MA 5L收藏指南+最新MA 23L说明书+空白贴纸（覆盖条码）
Remark: 1. 订单出欧洲国家-西班牙，产品不能含有闪粉/微塑料，请确保所有包装都有西班牙环保标。
 2. 客人格式日期码 LOT2622，包装（含收缩膜等）/产品/外箱 请保持一致。
 3. 新品需提供2套大货样品给客人，客人会签回一套，验货后验货员需要封1套板寄给香港办公室，请多备料，具体样板需求详见后续邮件通知
 4. 需要符合欧洲标准不能含有闪粉和微塑料，否则不合法规会有客诉产生。
 5. 硼含量需要符合欧洲标准，否则不合法规会有客诉产生
 6. 此客户需要第三方验货，请在约三方验货前必须PASS ZURU验货。</t>
  </si>
  <si>
    <t>4500204007</t>
  </si>
  <si>
    <t>4500204007-80</t>
  </si>
  <si>
    <t>日期码格式：ZURU INC(BVI) 标准格式                  日期：按实际生产日期
Packaging Info:
 7. 9298TQ1：MA 3L EAN包装+UPC贴纸+进口商贴纸+MA PDQ包装+箱唛，贴纸翻单PO4500158302
Remark: 1.请注意产品包装条形码必须是UPC
2.无第三方验货
 3. 7127：Green/Grey=1:1，2PCS AAA BATTERIES(NOT INCLUDED)
 4. 71152：2PCS AAA BATTERIES(NOT INCLUDED)
 5. 71126：1 assortment，3PCS LR44 BATTERIES(INCLUDED)
 6. 77673：Fixed Collection，3PCS AG13 BATTERIES(INCLUDED)
 7. 9543GQ1：BULE/PURPLE/PINK/ORANGE =5:6:6:5;，2PCS AAA BATTERIES(NOT INCLUDED)
 8. 9298TQ1：(B) Poodle:(G) Brown Dalnatian:(D) Dalmatian:(H)  Hound Dog:(E) Schnauzer:(A)  Shepherd:Corgi=10：7：5：7：12：10：9
 9. 92129TQ1：7  assortments, Ratio: Elephant: Toucan: Zebra: Sloth: Giraffe: Tiger: Peacock=10: 10: 10: 10: 10: 8: 2
 10. 9296：COW:MONKEY:PANDA:ZEBRA:AXOLOTL;CHIKEN:=1:1:1:1:1:1;</t>
  </si>
  <si>
    <t>WALMART CENTRAL AMERICA-HN</t>
  </si>
  <si>
    <t>4500205650</t>
  </si>
  <si>
    <t>6607192050</t>
  </si>
  <si>
    <t>4500205650-80</t>
  </si>
  <si>
    <t xml:space="preserve">日期码格式：ZURU INC(BVI) 标准格式                  日期：按实际生产日期
Packaging Info: 
 7. 9298TQ1：MA 3L EAN包装+UPC贴纸+进口商贴纸+MA PDQ包装+箱唛，贴纸翻单PO4500158302
Remark: 1.请注意产品包装条形码必须是UPC
2.无第三方验货
 8. 9298TQ1：(B) Poodle:(G) Brown Dalnatian:(D) Dalmatian:(H)  Hound Dog:(E) Schnauzer:(A)  Shepherd:Corgi=10：7：5：7：12：10：9
</t>
  </si>
  <si>
    <t>SEARS OPERADORA MEXICO, SA DE CV</t>
  </si>
  <si>
    <t>4500201981</t>
  </si>
  <si>
    <t>17369082</t>
  </si>
  <si>
    <t>4500201981-30</t>
  </si>
  <si>
    <t>5/21-进口商贴纸+UPC贴纸</t>
  </si>
  <si>
    <t>日期码格式：ZURU INC(BVI) 标准格式                  日期：按实际生产日期
Packaging Info: 
9298TQ1/92104TQ1: MA  3L EAN包装+进口商贴纸+UPC贴纸+MA PDQ+箱唛
Remark: 1.客户有监装要求，每款需要各准备1pc监柜样板
2. 9298TQ1: 配比按照(B) Poodle:(G) Brown Dalnatian:(D) Dalmatian:(H)  Hound Dog:(E) Schnauzer:(A)  Shepherd:Corgi=10：7：5：7：12：10：9</t>
  </si>
  <si>
    <t xml:space="preserve"> MCD BRANDS SAS</t>
  </si>
  <si>
    <t>4500204440-90</t>
  </si>
  <si>
    <t>进口商贴纸翻4500188881</t>
  </si>
  <si>
    <t>日期码格式：ZURU INC(BVI) 标准格式 日期：按实际生产日期
Packaging Info: 
 9298TQ1 MA 多语包装+进口商贴纸+箱唛,进口商贴纸翻单PO4500188881
Remark: 1.进口商贴纸请多备料5pcs,出货后需要寄给客户留底
 2.如后续提供的贴纸文档中进口商贴纸和条码贴纸合并为一张，可忽略条码贴纸的需求</t>
  </si>
  <si>
    <t>4500207112</t>
  </si>
  <si>
    <t>2950868696</t>
  </si>
  <si>
    <t>4500207112-10</t>
  </si>
  <si>
    <t>9298TQ4-SLB-S001</t>
  </si>
  <si>
    <t>日期码格式：ZURU INC(BVI) 标准格式                  日期：按实际生产日期
Packaging Info: 9298SLB: MA 1L最新版包装+客版 1L 版PDQ (2Facing4PCS/PDQ)新logo文档--客版PDQ翻PO#4500115216。UPC#193052057426，请先检查条码是否正确再安排做货。
7 assortment (6 common + 1 rare)=CORGI:SHEPHERD:POODLE:DALMATIAN:SCHNAUZER:BROWN DALNATIAN:HOUND DOG=2:8:10:10:10:10:10;
Slip sheet:4pcs/ctn,18*4H=288PCS/72CTN/SLIP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
4.涉及到硼的，如可选择情况下应使用低硼版本  （slime 类别低硼一般低于300ppm)，无选择的应与跟单复核再安排 。
5.如果出运产品属于电子类产品需要在ZURU 包装基础上额外添加一张ZURU通用WEEE 电子产品说明书,带电池出货的加带电池出货版本通用D版29L的说明书，不带电
池出货的产品用C版29L不带电池出货版本的说明书</t>
  </si>
  <si>
    <t>4500202382</t>
  </si>
  <si>
    <t>4500202382-160</t>
  </si>
  <si>
    <t>AW全部翻单4500189510</t>
  </si>
  <si>
    <t>进口商贴纸 + 口水胶袋贴纸翻4500189510</t>
  </si>
  <si>
    <t>日期码格式：ZURU INC(BVI) 标准格式                  日期：按实际生产日期
Packaging Info: 出UAE, 包装不能有希伯来语，需备两套大货版寄到SZ办公室。
77673TQ1:MA 1L PKG, PDQ+彩色贴纸+进口商贴纸（贴纸翻单4500162345）；收缩膜+进口商贴纸(含G Mark, QR code, 阿拉伯警语)  （贴纸翻单4500162345）；贴
纸上的QR code需微信可扫;
 MA收藏指南+彩色贴纸（贴纸翻单4500162345）；  MA说明书+一张客制黑白说明书纸（书纸翻单4500162345）；
客人箱唛排版，印4面，条码内容：193052079404
 77803GQ2:MA 1L PKG,  收缩膜(加UPC贴纸+进口商贴纸) +贴纸+客版PDQ跟回77782GQ1-S001-INT（翻单号4500161302）+客版收藏指南（客版包装翻单4500162410）;
  PDQ+进口商贴纸，  贴纸AW翻单4500189510。
客人箱唛排版，印4面，条码内容193052092403
 77843GQ2:MA 1L PKG+进口商贴纸 (含G Mark, QR code, 阿拉伯警语); 贴纸上的QR code需微信可扫; 扫描结果另外通知；  UPC条码显示193052099105；
客人箱唛排版，印4面，条码内容193052099105
 77858:MA 1L PKG+进口商贴纸 (含G Mark, QR code, 阿拉伯警语); 贴纸上的QR code需微信可扫; 扫描结果另外通知；  UPC条码显示193052100238；
客人箱唛排版，印4面，条码内容193052100238
 9565GQ1:MA 1L 收缩膜+进口商贴纸(含G Mark, QR code, 阿拉伯警语) ；贴纸上的QR code需微信可扫; MA说明书(不含希伯来语/Hebrew/He)+一张客制黑白说明书
纸(翻单4500167242)；MA PDQ+进口商贴纸; 产品年龄2+;AW翻单4500193317
 4 assortment, Orange:blue:pink:brown=5:5:6:6
客人箱唛排版，印4面，条码内容：193052084545；
 9574:MA 1L PKG+进口商贴纸 (含G Mark, QR code, 阿拉伯警语); 贴纸上的QR code需微信可扫; 扫描结果另外通知；  UPC条码显示193052098436；
客人箱唛排版，印4面，条码内容193052098436
 92104TQ1: 客版收缩膜(含G Mark, QR code, 阿拉伯警语); 贴纸上的QR code需微信可扫; UPC条码显示193052064417; 客版PDQ+进口商贴纸; 客版收藏指南; 客版
镭射贴纸；MA 口水胶袋+贴纸；产品年龄3+；AW翻单4500189525
客人箱唛排版，印4面，条码内容193052064417；
 92105: 客版包装(含G Mark, QR code, 阿拉伯警语); 贴纸上的QR code需微信可扫，扫描结果另外通知;  UPC条码显示193052064165；客版收藏指南/客版贴纸/客
版证明卡，  MA 胶袋。
客人箱唛排版，印4面，条码内容193052064165
 92119:客版收缩膜 (含G Mark, QR code, 阿拉伯警语); 贴纸上的QR code需微信可扫; UPC条码显示193052078391; 客版收藏指南; MA 口水胶袋+贴纸；产品年龄3
 +；AW全部翻单4500189525
客人箱唛排版，印4面，条码内容193052078391；
 92119-S001: 7 Assortment, Polar bear: Penguin: Walrus: Mammoth: Owl: Seal: Snow man=10:10:10:10:10:8:2. Snow man is the rare item.
 92125：1. 客版收缩膜 (含G Mark, QR code, 阿拉伯警语); 贴纸上的QR code需微信可扫，扫描结果另外通知; UPC条码显示193052083951; 客版收藏指南；客版
镭射贴纸；客版出生证明卡片；MA 口水胶袋+贴纸；产品年龄3+；AW全部翻单4500189525
 2. 6 Assortments,siamese cat:pink-white cat:purple cat:black cat:brown-white cat:orange cat=1:1:1:1:1:1, no rare;
 3.客人箱唛排版，印4面，条码内容193052083951；
 92129TQ1：客版收缩膜(含G Mark, QR code, 阿拉伯警语); 贴纸上的QR code需微信可扫，扫描结果另外通知; UPC条码显示193052088925;客版PDQ+进口商贴纸; 客
版收藏指南; 客版镭射贴纸；MA 口水胶袋+贴纸；产品年龄3+；AW全部翻单4500189525
客人箱唛排版，印4面，条码内容193052088925；
 7  assortments, Ratio: Elephant: Toucan: Zebra: Sloth: Giraffe: Tiger: Peacock=10: 10: 10: 10: 10: 8: 2;
92146TQ1：客版收缩膜 (含G Mark, QR code, 阿拉伯警语); 贴纸上的QR code需微信可扫; 扫描结果另外通知；  UPC条码显示193052100375；客版PDQ, 客版收藏
指南，其他配件包装为MA。
客人箱唛排版，印4面，条码内容1193052100375.
92147：客版收缩膜 (含G Mark, QR code, 阿拉伯警语); 贴纸上的QR code需微信可扫; 扫描结果另外通知；  UPC条码显示193052100382；客版收藏指南，其他配件
等包装用MA.
客人箱唛排版，印4面，条码内容193052100382.
9283：客版收缩膜(含G Mark, QR code, 阿拉伯警语); 贴纸上的QR code需微信可扫; UPC条码显示193052050106; 客版收藏指南;客版卡片；客版地图指南；客版镭
射贴纸；MA 口水胶袋+贴纸；产品年龄3+；AW全部翻单4500189525
客人箱唛排版，印4面，条码内容193052050106；
9283-S001: Kitten:Bunny:Puppy:Cow:Elephant:Flamingo=1:1:1:1:1:1;
9296：客版收缩膜(含G Mark, QR code, 阿拉伯警语); 贴纸上的QR code需微信可扫; 扫描结果另外通知；  UPC条码显示193052057129；客版收藏指南，其他配件为
MA。
客人箱唛排版，印4面，条码内容193052057129.
9298TQ1：客版收缩膜 (含G Mark, QR code, 阿拉伯警语); 贴纸上的QR code需微信可扫; UPC条码显示193052057426; 客版PDQ+进口商贴纸; 客版收藏指南; MA 口
水胶袋+贴纸；产品年龄3+；AW全部翻单4500189510
客人箱唛排版，印4面，条码内容193052057426；
7 assortment (6 common + 1 rare)=CORGI(Rare):SHEPHERD:POODLE:DALMATIAN: SCHNAUZER:BROWN DALNATIAN:HOUND DOG=2:8:10:10:10:10:10;
71152：MA 1L 收缩膜+进口商贴纸 (含G Mark, QR code, 阿拉伯警语)( 贴纸翻单4500162474); 贴纸上的QR code需微信可扫，扫描结果另外通知; 收缩膜上UPC条
码为193052079190；说明书+贴纸(说明书贴纸翻单4500162345); 产品年龄3+；
客人箱唛排版，印4面，条码内容193052079190；
所有包装需要不含希伯来语/Hebrew/(He) 语言
71172：MA PKG+进口商贴纸 (含G Mark, QR code, 阿拉伯警语); 贴纸上的QR code需微信可扫; 扫描结果另外通知；  UPC条码显示193052098443；
客人箱唛排版，印4面，条码内容193052098443.
7132：1. MA 彩盒+进口商贴纸 (含G Mark, QR code, 阿拉伯警语)(贴纸翻单4500128286); 贴纸上的QR code需微信可扫，扫描结果为40935; UPC条码显示19305202
8174; MA说明书(不含希伯来语/Hebrew/He); 产品年龄3+;
2. 客人箱唛排版，印4面，条码内容193052028174；
所有包装需要不含希伯来语/Hebrew/(He) 语言
7133：MA 彩盒+进口商贴纸 (含G Mark, QR code, 阿拉伯警语)（贴纸翻单4500148906）; 贴纸上的QR code需微信可扫，扫描结果另外通知; 收缩膜上UPC条码为19
3052028181；客版说明书（说明书翻单4500148906）；产品年龄3+；
客人箱唛排版，印4面，条码内容193052028181；
所有包装需要不含希伯来语/Hebrew/(He) 语言</t>
  </si>
  <si>
    <t>沙特</t>
  </si>
  <si>
    <t>4500202631-170</t>
  </si>
  <si>
    <t>7/12出</t>
  </si>
  <si>
    <t>日期码格式：ZURU INC(BVI) 标准格式                  日期：按实际生产日期
Packaging Info: 出KSA, 所有包装不能有希伯来语（HE)
77673TQ1:MA 1L PKG, PDQ+彩色贴纸+进口商贴纸（贴纸翻单4500162345）；收缩膜+进口商贴纸(含G Mark, QR code, 阿拉伯警语)  （贴纸翻单4500162345）；贴
纸上的QR code需微信可扫;
MA收藏指南+彩色贴纸（贴纸翻单4500162345）；  MA说明书+一张客制黑白说明书纸（书纸翻单4500162345）；
客人箱唛排版，印4面，条码内容：193052079404
77803GQ2:MA 1L PKG,  收缩膜(加UPC贴纸+进口商贴纸) +贴纸+客版PDQ跟回77782GQ1-S001-INT（翻单号4500161302）+客版收藏指南（客版包装翻单4500162410）;
PDQ+进口商贴纸, 贴纸AW翻单4500189510.
客人箱唛排版，印4面，条码内容193052092403
77843GQ2:MA 1L PKG+进口商贴纸 (含G Mark, QR code, 阿拉伯警语); 贴纸上的QR code需微信可扫；  UPC条码显示193052099105；AW翻单4500202382。
客人箱唛排版，印4面，条码内容193052099105
77858:MA 1L PKG+进口商贴纸 (含G Mark, QR code, 阿拉伯警语); 贴纸上的QR code需微信可扫; 扫描结果另外通知；  UPC条码显示193052100238；AW翻单4500202
382。
客人箱唛排版，印4面，条码内容193052100238
9565GQ1:MA 1L 收缩膜+进口商贴纸(含G Mark, QR code, 阿拉伯警语) ；贴纸上的QR code需微信可扫; MA说明书(不含希伯来语/Hebrew/He)+一张客制黑白说明书
纸(翻单4500167242)；MA PDQ+进口商贴纸; 产品年龄2+;AW翻单4500193317
4 assortment, Orange:blue:pink:brown=5:5:6:6
客人箱唛排版，印4面，条码内容：193052084545；
9574:MA 1L PKG+进口商贴纸 (含G Mark, QR code, 阿拉伯警语); 贴纸上的QR code需微信可扫; 扫描结果另外通知；  UPC条码显示193052098436；AW翻单45002023
82。
客人箱唛排版，印4面，条码内容193052098436
92104TQ1: 客版收缩膜(含G Mark, QR code, 阿拉伯警语); 贴纸上的QR code需微信可扫; UPC条码显示193052064417; 客版PDQ+进口商贴纸; 客版收藏指南; 客版
镭射贴纸；MA 口水胶袋+贴纸；产品年龄3+；AW翻单4500189525
客人箱唛排版，印4面，条码内容193052064417；
92105: 客版包装(含G Mark, QR code, 阿拉伯警语); 贴纸上的QR code需微信可扫，扫描结果另外通知;  UPC条码显示193052064165；客版收藏指南/客版贴纸/客
版证明卡，  MA 胶袋。AW翻单4500202382。
客人箱唛排版，印4面，条码内容193052064165
92119:客版收缩膜 (含G Mark, QR code, 阿拉伯警语); 贴纸上的QR code需微信可扫; UPC条码显示193052078391; 客版收藏指南; MA 口水胶袋+贴纸；产品年龄3
+；AW全部翻单4500189525
客人箱唛排版，印4面，条码内容193052078391；
92119-S001: 7 Assortment, Polar bear: Penguin: Walrus: Mammoth: Owl: Seal: Snow man=10:10:10:10:10:8:2. Snow man is the rare item.
92125：1. 客版收缩膜 (含G Mark, QR code, 阿拉伯警语); 贴纸上的QR code需微信可扫，扫描结果另外通知; UPC条码显示193052083951; 客版收藏指南；客版
镭射贴纸；客版出生证明卡片；MA 口水胶袋+贴纸；产品年龄3+；AW全部翻单4500189525
2. 6 Assortments,siamese cat:pink-white cat:purple cat:black cat:brown-white cat:orange cat=1:1:1:1:1:1, no rare;
3.客人箱唛排版，印4面，条码内容193052083951；
92129TQ1：客版收缩膜(含G Mark, QR code, 阿拉伯警语); 贴纸上的QR code需微信可扫，扫描结果另外通知; UPC条码显示193052088925;客版PDQ+进口商贴纸; 客
版收藏指南; 客版镭射贴纸；MA 口水胶袋+贴纸；产品年龄3+；AW全部翻单4500189525
客人箱唛排版，印4面，条码内容193052088925；
7  assortments, Ratio: Elephant: Toucan: Zebra: Sloth: Giraffe: Tiger: Peacock=10: 10: 10: 10: 10: 8: 2;
92146TQ1：客版收缩膜 (含G Mark, QR code, 阿拉伯警语); 贴纸上的QR code需微信可扫; 扫描结果另外通知；  UPC条码显示193052100375；客版PDQ, 客版收藏
指南，其他配件包装为MA。AW翻单4500202382。
客人箱唛排版，印4面，条码内容1193052100375.
92147：客版收缩膜 (含G Mark, QR code, 阿拉伯警语); 贴纸上的QR code需微信可扫; 扫描结果另外通知；  UPC条码显示193052100382；客版收藏指南，其他配件
等包装用MA. AW翻单4500202382。
客人箱唛排版，印4面，条码内容193052100382.
9283：客版收缩膜(含G Mark, QR code, 阿拉伯警语); 贴纸上的QR code需微信可扫; UPC条码显示193052050106; 客版收藏指南;客版卡片；客版地图指南；客版镭
射贴纸；MA 口水胶袋+贴纸；产品年龄3+；AW全部翻单4500189525
客人箱唛排版，印4面，条码内容193052050106；
9283-S001: Kitten:Bunny:Puppy:Cow:Elephant:Flamingo=1:1:1:1:1:1;
9296：客版收缩膜(含G Mark, QR code, 阿拉伯警语); 贴纸上的QR code需微信可扫; 扫描结果另外通知；  UPC条码显示193052057129；客版收藏指南，其他配件为
MA。AW翻单4500202382。
客人箱唛排版，印4面，条码内容193052057129.
9298TQ1：客版收缩膜 (含G Mark, QR code, 阿拉伯警语); 贴纸上的QR code需微信可扫; UPC条码显示193052057426; 客版PDQ+进口商贴纸; 客版收藏指南; MA 口
水胶袋+贴纸；产品年龄3+；AW全部翻单4500189510
客人箱唛排版，印4面，条码内容193052057426；
7 assortment (6 common + 1 rare)=CORGI(Rare):SHEPHERD:POODLE:DALMATIAN: SCHNAUZER:BROWN DALNATIAN:HOUND DOG=2:8:10:10:10:10:10;
71172：MA PKG+进口商贴纸 (含G Mark, QR code, 阿拉伯警语); 贴纸上的QR code需微信可扫; 扫描结果另外通知；  UPC条码显示193052098443；AW翻单450020238
2。
客人箱唛排版，印4面，条码内容193052098443.
7132：1. MA 彩盒+进口商贴纸 (含G Mark, QR code, 阿拉伯警语)(贴纸翻单4500128286); 贴纸上的QR code需微信可扫，扫描结果为40935; UPC条码显示19305202
8174; MA说明书(不含希伯来语/Hebrew/He); 产品年龄3+;
2. 客人箱唛排版，印4面，条码内容193052028174；</t>
  </si>
  <si>
    <t>NASA  PANAMA</t>
  </si>
  <si>
    <t>4500205582</t>
  </si>
  <si>
    <t>04113-BOD-09FALL</t>
  </si>
  <si>
    <t>4500205582-30</t>
  </si>
  <si>
    <t>5/29-UPC 贴纸</t>
  </si>
  <si>
    <t>日期码格式：ZURU INC(BVI) 标准格式 日期：按实际生产日期
Packaging Info: 1.优先多语 MA UPC或者3L/5L MA EAN 包装,EAN 包装则需加UPC 贴纸.
2.请确保包装上的条形码是UPC， 如果是baby UPC，需要用mother UPC覆盖。
3 .MA PDQ 优先用3L,MA 只有1L版本的情况下就用1L PDQ
4.此单MA 3L UPC/EAN 包装（EAN 包装需要用UPC贴纸覆盖）+箱唛
Remark: 77843GQ2 SUSHI and RAINBOW CAKE(Rare) without batteries, other assortments: 3PCS AG13 BATTERIES(INCLUDED) Ratio: PIZZA: HAMBURGER: PANCAKES: BUB
BLE TEA: Matcha TEA: TACO: SUSHI: DONUT: Charcuterie Board: RAINBOW CAKE(Rare)=10.88%: 10.88%: 10.88%: 10.88%: 10.88%: 10.88%: 10.88%: 10.88%:
10.88%: 2.08%=68:68:68:68:68:68:68:68:68:13
77673 3PCS AG13 BATTERIES(INCLUDED) Fixed Collection
9298TQ1 7 assortment (6 common + 1 rare)=CORGI(Rare):SHEPHERD:POODLE:DALMATIAN:SCHNAUZER:BROWN DALNATIAN:HOUND DOG=2:8:10:10:10:10:10;
92146 Cat:Raccoon:Deer:Tiger:Pigeon:Owl=1:1:1:1:1:1
92119 7 Assortment, Polar bear: Penguin: Walrus: Mammoth: Owl: Seal: Snow man=10:10:10:10:10:8:2. Snow man is the rare item.
92125 6 Assortments,siamese cat:pink-white cat:purple cat:black cat:brown-white cat:orange cat=1:1:1:1:1:1, no rare.
9565GQ1 "2PCS AAA BATTERIES（NOT INCLUDED）
4 assortment, Orange:blue:pink:brown=5:5:6:6
9574 3PCS AAA BATTERIES(NOT INCLUDED) 2pcs baby capybara: 3pcs baby capybara= 5:1</t>
  </si>
  <si>
    <t>Aimee  Huang</t>
  </si>
  <si>
    <t>4500202772</t>
  </si>
  <si>
    <t>412870</t>
  </si>
  <si>
    <t>4500202772-10</t>
  </si>
  <si>
    <t>6/29出</t>
  </si>
  <si>
    <t>5/25-客人白色Cat.label</t>
  </si>
  <si>
    <t>日期码格式：ZURU INC(BVI) 标准格式                  日期：按实际生产日期
Packaging Info: 1.9298:1L UPC包装+客人白色Cat.label 1张; MA指南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9298扫描结果为9162475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*主拼工厂需要提前准备密网用于装柜，漏掉会导致客人罚款</t>
  </si>
  <si>
    <t>444443</t>
  </si>
  <si>
    <t>4500202772-20</t>
  </si>
  <si>
    <t>446765</t>
  </si>
  <si>
    <t>4500202772-30</t>
  </si>
  <si>
    <t>4500210580</t>
  </si>
  <si>
    <t>4TFQBLDC</t>
  </si>
  <si>
    <t>4500210580-170</t>
  </si>
  <si>
    <r>
      <rPr>
        <sz val="14"/>
        <color rgb="FF0000FF"/>
        <rFont val="宋体"/>
        <charset val="0"/>
      </rPr>
      <t>日期码格式：ZURU INC(BVI) 标准格式</t>
    </r>
    <r>
      <rPr>
        <sz val="14"/>
        <color rgb="FF0000FF"/>
        <rFont val="宋体"/>
        <charset val="134"/>
      </rPr>
      <t xml:space="preserve">                  日期：按实际生产日期
Packaging Info: 
#9298: MA 3L  C版本加UPC贴纸，UPC贴纸图稿跟返单4500113996。需混入稀有款，  常规款：稀有款=58：2。  D:193052062642, E:193052062659,G:193052062666,
H:193052062673;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r>
  </si>
  <si>
    <t>05712-LNV-FALL</t>
  </si>
  <si>
    <t>4500206390-220</t>
  </si>
  <si>
    <t>6/9-UPC 贴纸</t>
  </si>
  <si>
    <t>日期码格式：ZURU INC(BVI) 标准格式                  日期：按实际生产日期
Packaging Info: 1.优先多语 MA UPC或者3L/5L MA EAN 包装,EAN 包装则需加UPC 贴纸，2.请确保包装上的条形码是UPC，  如果是baby UPC，需要用mother UPC覆盖。
3 .MA PDQ 优先用3L,MA 只有1L版本的情况下就用1L PDQ
4.此单MA 3L UPC/EAN 包装（EAN 包装需要用UPC贴纸覆盖）+箱唛
Remark:9298TQ1  7 assortment (6 common + 1 rare)=CORGI(Rare):SHEPHERD:POODLE:DALMATIAN:SCHNAUZER:BROWN DALNATIAN:HOUND DOG=2:8:10:10:10:10:10;</t>
  </si>
  <si>
    <t>4500206414</t>
  </si>
  <si>
    <t>3AZPVZPN</t>
  </si>
  <si>
    <t>4500206414-50</t>
  </si>
  <si>
    <t>日期码格式：ZURU INC(BVI) 标准格式                  日期：按实际生产日期
Packaging Info: 
 2. #9298: MA 3L  C版本加UPC贴纸，UPC贴纸图稿跟返单4500113996。需混入稀有款，  常规款：稀有款=58：2。G:193052062666;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</si>
  <si>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AMAZON  CA  (VENDOR  CENTER)</t>
  </si>
  <si>
    <t>4500208414</t>
  </si>
  <si>
    <t>2KC31ZBY</t>
  </si>
  <si>
    <t>4500208414-130</t>
  </si>
  <si>
    <t>日期码格式：ZURU  INC(BVI)  标准格式                                    日期：按实际生产日期
Packaging Info:#9298:  MA  3L    C版本加UPC贴纸，UPC贴纸图稿跟返单4500113996。需混入稀有款，     常规款：稀有款=58：2。    D:193052062642,  E:193052062659,G:193052062666,
H:193052062673;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</si>
  <si>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Kelly  Shen</t>
  </si>
  <si>
    <t>PGT-740070</t>
  </si>
  <si>
    <t>4500198557-10</t>
  </si>
  <si>
    <t>3/26收到</t>
  </si>
  <si>
    <t>3/31-QR CODE贴纸+4/17-进口商贴纸</t>
  </si>
  <si>
    <t>日期码格式：ZURU INC(BVI) 标准格式 日期：按实际生产日期
Packaging Info: 包装备注："注意: 此客户不允许包装/产品/PDQ 上显示recycled material 字眼，如有请告知跟单需要加贴纸覆盖:
1.9298TQ1:MA收缩膜+QR CODE贴纸+进口商贴纸；MA收藏指南
2.如果是主拼有验货监柜
3.外箱侧唛右上角各一张贴纸 (共2张)"
4.出货前需要提供application report ，追踪QR code到每一箱/每一个柜子
QR code要求：每个PO需要打印3-5个二维码拍照给客户确认后再批量打印； QR code贴纸上客户PO号及序号一起打印。尺寸（客户建议18*18mm）根据产品调整，最
小接受10*10mm,要清晰可扫描，2年不褪色。
QR code格式：DATA MATRIX GS1
Remark:</t>
  </si>
  <si>
    <t>Wendy Wang</t>
  </si>
  <si>
    <t>4500203225</t>
  </si>
  <si>
    <t>4500203225-180</t>
  </si>
  <si>
    <t xml:space="preserve">日期码格式：ZURU INC(BVI) 标准格式                  日期：按实际生产日期
Packaging Info: 1.优先多语 MA UPC或者3L/5L MA EAN 包装
2.请确保包装上的条形码是UPC，如果是babyUPC、需要用mother UPC覆盖，如有不一致，请及时提出。谢谢!
9298TQ1 MA 多语EAN 包装+UPC 贴纸+MA 多语PDQ+箱唛
Remark:
9298TQ1  7 assortment (6 common + 1 rare)=CORGI(Rare):SHEPHERD:POODLE:DALMATIAN:SCHNAUZER:BROWN DALNATIAN:HOUND DOG=2:8:10:10:10:10:10;
</t>
  </si>
  <si>
    <t>4500203841</t>
  </si>
  <si>
    <t>4500203841-160</t>
  </si>
  <si>
    <t>7/26出</t>
  </si>
  <si>
    <t>进口商贴纸+UPC贴纸翻4500191577</t>
  </si>
  <si>
    <t>日期码格式： ZURU INC(BVI) 标准格式 日期：按实际生产日期
Packaging Info: 71126/9298TQ1/92104TQ1:MA 多语包装+进口商贴纸+箱唛，进口商贴纸翻单PO4500191577
其余item：MA 多语包装+进口商贴纸+UPC贴纸+箱唛
Remark</t>
  </si>
  <si>
    <t>4500206551</t>
  </si>
  <si>
    <t>70089447</t>
  </si>
  <si>
    <t>4500206551-70</t>
  </si>
  <si>
    <t>6/2收到</t>
  </si>
  <si>
    <t>6/8-价格贴纸</t>
  </si>
  <si>
    <t>日期码格式：ZURU INC(BVI) 标准格式                  日期：按实际生产日期
Packaging Info: 1.  STD Items: ZURU MA UPC 现有包装+客供价格贴纸，优先使用MA 1L最新版本（可接受多语）,出口美国
Cus Item: MA UPC 现有包装+PVC桶,铜板纸+客供价格贴纸，优先使用MA 1L最新版本（可接受多语）,出口美国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</si>
  <si>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4500211329</t>
  </si>
  <si>
    <t>2950869114</t>
  </si>
  <si>
    <t>4500211329-10</t>
  </si>
  <si>
    <t>7/27出</t>
  </si>
  <si>
    <r>
      <rPr>
        <sz val="14"/>
        <color rgb="FF1506E0"/>
        <rFont val="宋体"/>
        <charset val="0"/>
      </rPr>
      <t>日期码格式：ZURU INC(BVI) 标准格式</t>
    </r>
    <r>
      <rPr>
        <sz val="14"/>
        <color rgb="FF1506E0"/>
        <rFont val="宋体"/>
        <charset val="134"/>
      </rPr>
      <t xml:space="preserve">                  日期：按实际生产日期
Packaging Info: 9298TQ4-S001:MA 1L最新版包装+客版 1L 版PDQ (2Facing4PCS/PDQ)新logo文档----客版PDQ翻PO#4500115216
UPC#193052057426，请先检查条码是否正确再安排做货；
7 assortment (6 common + 1 rare)=CORGI:SHEPHERD:POODLE:DALMATIAN:SCHNAUZER:BROWN DALNATIAN:HOUND DOG=2:8:10:10:10:10:10;
Slip sheet:4pcs/ctn,18*4H=288PCS/72CTN/SLIP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
4.涉及到硼的，如可选择情况下应使用低硼版本  （slime 类别低硼一般低于300ppm)，无选择的应与跟单复核再安排 。
5.如果出运产品属于电子类产品需要在ZURU 包装基础上额外添加一张ZURU通用WEEE 电子产品说明书,带电池出货的加带电池出货版本通用D版29L的说明书，不带电
池出货的产品用C版29L不带电池出货版本的说明书</t>
    </r>
  </si>
  <si>
    <t>4500202901</t>
  </si>
  <si>
    <t>4500202901-320</t>
  </si>
  <si>
    <t>进口商贴纸+UPC贴纸翻4500182578</t>
  </si>
  <si>
    <t>价标贴纸翻4500182578</t>
  </si>
  <si>
    <t>日期码格式：ZURU INC(BVI) 标准格式 日期：按实际生产日期
Packaging Info: 
9298TQ1：MA多语包装+进口商贴纸+价标贴纸，进口商贴翻单4500182578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3.如后续进口商贴纸和UPC贴纸合并为一张，请忽略UPC的需求，包装上的条码必须是UPC。</t>
  </si>
  <si>
    <t>5BA5AL5P</t>
  </si>
  <si>
    <t>4500209931-380</t>
  </si>
  <si>
    <t>6/29-外箱贴纸</t>
  </si>
  <si>
    <r>
      <rPr>
        <sz val="14"/>
        <color rgb="FF0000FF"/>
        <rFont val="宋体"/>
        <charset val="0"/>
      </rPr>
      <t>日期码格式：ZURU</t>
    </r>
    <r>
      <rPr>
        <sz val="14"/>
        <color rgb="FF0000FF"/>
        <rFont val="宋体"/>
        <charset val="134"/>
      </rPr>
      <t xml:space="preserve">  INC(BVI)  标准格式                                    日期：按实际生产日期
Packaging Info:
#9298:  MA  3L    C版本加UPC贴纸，UPC贴纸图稿跟返单4500113996。需混入稀有款，     常规款：稀有款=58：2。A:193052062628;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r>
  </si>
  <si>
    <r>
      <rPr>
        <sz val="14"/>
        <color rgb="FF0000FF"/>
        <rFont val="宋体"/>
        <charset val="0"/>
        <scheme val="minor"/>
      </rPr>
      <t>Kelly</t>
    </r>
    <r>
      <rPr>
        <sz val="10"/>
        <color rgb="FF0000FF"/>
        <rFont val="等线"/>
        <charset val="134"/>
      </rPr>
      <t xml:space="preserve">  Shen</t>
    </r>
  </si>
  <si>
    <t>43OYUUYM</t>
  </si>
  <si>
    <t>4500209931-390</t>
  </si>
  <si>
    <t>33OBPAHX</t>
  </si>
  <si>
    <t>4500209931-400</t>
  </si>
  <si>
    <t>MX-530-JG-Zuru-Xmas26</t>
  </si>
  <si>
    <t>4500201970-90</t>
  </si>
  <si>
    <t>5/22收到</t>
  </si>
  <si>
    <t>7/1-UPC 贴纸+进口商贴纸</t>
  </si>
  <si>
    <t>日期码格式：ZURU INC(BVI) 标准格式                  日期：按实际生产日期
Packaging Info: 1. 请确保外箱和产品包装上使用的条码均为UPC。如目前使用的是baby UPC，请务必使用mother UPC覆盖。如有任何不一致之处，请及时告知。谢谢！
 2. 样品需求：本次订单的验货将由监柜公司进行开箱检验。订单每个ITEM（包括盲盒款）提前准备一整套完整包装的样品，所有样品必须与大货完全一致。
3.带电产品需要电池门/说明书贴纸/包装贴进口商贴纸+保证书，若MA说明书上有跟进口商贴纸上的信息，一般不需要说明书贴纸，具体按客人做完测试后提供的资
料。（具体按图稿安排做货）
71152 MA多语EAN包装+UPC贴纸+MA多语说明书+电池门进口商贴纸/说明书贴纸/包装贴进口商贴纸+保证书+箱唛
77773GQ2 MA多语EAN包装+UPC贴纸+MA 多语说明书+MA多语收藏指南+MA 多语PDQ +电池门进口商贴纸/说明书贴纸/包装贴进口商贴纸+保证书+箱唛
77843GQ2 MA多语EAN包装+UPC贴纸+MA 多语说明书+MA多语收藏指南+MA 多语PDQ +电池门进口商贴纸/说明书贴纸/包装贴进口商贴纸+保证书+箱唛
77711GQ2 MA多语EAN包装+UPC贴纸+MA多语收藏指南+MA 多语 PDQ+进口商贴纸+箱唛
77673 MA 多语 EAN 包装+UPC 贴纸+MA 多语说明书+MA 多语收藏指南+电池门进口商贴纸/说明书贴纸/包装贴进口商贴纸+保证书+箱唛
77772GQ2 MA多语EAN包装+UPC贴纸+MA多语收藏指南+MA 多语 PDQ+进口商贴纸+箱唛
77794UQ1 MA多语EAN包装+UPC贴纸+MA 多语说明书+MA多语收藏指南+MA 多语PDQ +电池门进口商贴纸/说明书贴纸/包装贴进口商贴纸+保证书+箱唛
15746 MA 多语UPC(Mother UPC 贴纸193052086228)+进口商贴纸+箱唛
9298TQ1 MA多语EAN包装+UPC 贴纸+MA多语收藏指南+MA PDQ+进口商贴纸+箱唛
92104TQ1 MA多语EAN包装+UPC 贴纸+MA多语收藏指南+MA PDQ+进口商贴纸+箱唛
92146 MA多语EAN包装+UPC 贴纸+MA多语收藏指南+进口商贴纸+箱唛
 92125 MA多语EAN包装+UPC 贴纸+MA多语收藏指南+进口商贴纸+箱唛
 92147 MA多语EAN包装+UPC 贴纸+MA多语收藏指南+进口商贴纸+箱唛
Remark: 71152 2PCS AAA BATTERIES(NOT INCLUDED)
77773GQ2 3PCS AG13 BATTERIES(INCLUDED)
77843GQ2 SUSHI and RAINBOW CAKE(Rare) without batteries, other assortments: 3PCS AG13 BATTERIES(INCLUDED)
77673 3PCS AG13 BATTERIES(INCLUDED)
77794UQ1 RECHARGEABLE LITHIUM BATTERY(INCLUDED)</t>
  </si>
  <si>
    <t>SANBORN HERMANOS, S. A. DE C. V.</t>
  </si>
  <si>
    <t>4500207643</t>
  </si>
  <si>
    <t>6040006</t>
  </si>
  <si>
    <t>4500207643-120</t>
  </si>
  <si>
    <t>日期码格式：ZURU INC(BVI) 标准格式                  日期：按实际生产日期
Packaging Info: 
9298TQ1:MA PDQ包装+ MA 3L EAN包装(+UPC 条码贴纸)+进口商贴纸+箱唛
Remark: 客户有监装要求，每款需要多备1pc监柜样板用于监装，监柜样板要和大货一致</t>
  </si>
  <si>
    <t>18X25B5L</t>
  </si>
  <si>
    <t>4500208735-500</t>
  </si>
  <si>
    <r>
      <rPr>
        <sz val="14"/>
        <color rgb="FF1506E0"/>
        <rFont val="宋体"/>
        <charset val="0"/>
      </rPr>
      <t>日期码格式：ZURU</t>
    </r>
    <r>
      <rPr>
        <sz val="14"/>
        <color rgb="FF1506E0"/>
        <rFont val="宋体"/>
        <charset val="134"/>
      </rPr>
      <t xml:space="preserve">  INC(BVI)  标准格式                                    日期：按实际生产日期
Packaging Info:#9298:  MA  3L    C版本加UPC贴纸，UPC贴纸图稿跟返单4500113996。需混入稀有款，     常规款：稀有款=58：2。G:193052062666;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r>
  </si>
  <si>
    <r>
      <rPr>
        <sz val="14"/>
        <color rgb="FF1506E0"/>
        <rFont val="宋体"/>
        <charset val="0"/>
        <scheme val="minor"/>
      </rPr>
      <t>Kelly</t>
    </r>
    <r>
      <rPr>
        <sz val="10"/>
        <color rgb="FF1506E0"/>
        <rFont val="等线"/>
        <charset val="134"/>
      </rPr>
      <t xml:space="preserve">  Shen</t>
    </r>
  </si>
  <si>
    <t>4500204719</t>
  </si>
  <si>
    <t>4500204719-200</t>
  </si>
  <si>
    <t>日期码格式：ZURU INC(BVI) 标准格式                  日期：按实际生产日期
Packaging Info: 出QATAR, 包装不能有希伯来语
所有RBC的产品（内外）包装上不能有彩虹。
9298TQ1：客版收缩膜 (含G Mark, QR code, 阿拉伯警语); 贴纸上的QR code需微信可扫; UPC条码显示193052057426; 客版PDQ+进口商贴纸; 客版收藏指南; MA 口
水胶袋+贴纸；产品年龄3+；AW全部翻单4500189510
客人箱唛排版，印4面，条码内容193052057426；
7 assortment (6 common + 1 rare)=CORGI(Rare):SHEPHERD:POODLE:DALMATIAN: SCHNAUZER:BROWN DALNATIAN:HOUND DOG=2:8:10:10:10:10:10;
Remark</t>
  </si>
  <si>
    <t>阿联酋</t>
  </si>
  <si>
    <t>4500204716</t>
  </si>
  <si>
    <t>4500204716-200</t>
  </si>
  <si>
    <t xml:space="preserve">日期码格式：ZURU INC(BVI) 标准格式 日期：按实际生产日期
Packaging Info: 出UAE, 包装不能有希伯来语
所有RBC的产品（内外）包装上不能有彩虹。
9298TQ1：客版收缩膜 (含G Mark, QR code, 阿拉伯警语); 贴纸上的QR code需微信可扫; UPC条码显示193052057426; 客版PDQ+进口商贴纸; 客版收藏指南; MA 口
水胶袋+贴纸；产品年龄3+；AW全部翻单4500189510
客人箱唛排版，印4面，条码内容193052057426；
7 assortment (6 common + 1 rare)=CORGI(Rare):SHEPHERD:POODLE:DALMATIAN: SCHNAUZER:BROWN DALNATIAN:HOUND DOG=2:8:10:10:10:10:10;
Remark: </t>
  </si>
  <si>
    <t>4500204723</t>
  </si>
  <si>
    <t>4500204723-200</t>
  </si>
  <si>
    <t>日期码格式：ZURU INC(BVI) 标准格式                  日期：按实际生产日期
Packaging Info: 出KSA 包装不能有希伯来语，
所有RBC的产品（内外）包装上不能有彩虹。
9298TQ1：客版收缩膜 (含G Mark, QR code, 阿拉伯警语); 贴纸上的QR code需微信可扫; UPC条码显示193052057426; 客版PDQ+进口商贴纸; 客版收藏指南; MA 口
水胶袋+贴纸；产品年龄3+；AW全部翻单4500189510
客人箱唛排版，印4面，条码内容193052057426；
7 assortment (6 common + 1 rare)=CORGI(Rare):SHEPHERD:POODLE:DALMATIAN: SCHNAUZER:BROWN DALNATIAN:HOUND DOG=2:8:10:10:10:10:10;
Remark</t>
  </si>
  <si>
    <t>4500195533-10</t>
  </si>
  <si>
    <t>UPC条码贴纸翻4500167897+进口商贴纸翻4500160573</t>
  </si>
  <si>
    <t>日期码格式：LOTDGYYYYMMDD 日期：按实际生产日期
Packaging Info: 9298：MA 3L EAN包装+新UPC条码贴纸+进口商贴纸+MA 5L收藏指南+箱唛；UPC条码贴纸翻单PO4500167897，进口商贴纸翻单PO4500160573
Remark: 1. 客版日期码要求：LOT+ZURU标准日期码格式。东莞生产的格式：LOTDGYYYYMMDD, DG是东莞拼音首字母，YYYYMMDD是实际的年月日，例如(LOTDG20240920)
2. 此单有第三方监柜，至少多备一套完整的物料用于监柜，请多备料。
3. WM墨西哥防霉的新要求:货物必须在出货主箱和集装箱中按要求放置干燥剂，干燥剂指定品牌干霸SUPERDRY
9298：每箱需放置14包干燥剂，每包重2-3g
4. 9298: 7 assortment (6 common + 1 rare)=CORGI:SHEPHERD:POODLE:DALMATIAN:SCHNAUZER:BROWN DALNATIAN:HOUND DOG=2:8:10:10:10:10:10;
如走柜货等loading plan 确认后再通知集装箱干燥剂数量</t>
  </si>
  <si>
    <t>CONCENTRA,  S.A.</t>
  </si>
  <si>
    <t>F202/20260063</t>
  </si>
  <si>
    <t>4500219730-30</t>
  </si>
  <si>
    <r>
      <rPr>
        <sz val="14"/>
        <rFont val="宋体"/>
        <charset val="0"/>
      </rPr>
      <t>日期码格式：ZURU</t>
    </r>
    <r>
      <rPr>
        <sz val="14"/>
        <color rgb="FF000000"/>
        <rFont val="宋体"/>
        <charset val="134"/>
      </rPr>
      <t xml:space="preserve">  INC(BVI)  标准格式                                    日期：按实际生产日期
Packaging Info: 
【行项目90】
9298TQ1：最新MA  PDQ(需配套最新MA版PDQ含有欧盟地址，     如还没放最新PDQ，需加上1张PDQ通用地址贴纸）+【MA  B  3L  收缩膜含EAN条码+1张客人logo贴纸+1张客
户进口商贴纸】+MA  最新  5L收藏指南；
Remark: 1.  此单出葡萄牙，需满足EU测试标准要求，另外微塑料需符合EU法规；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
5.此单出货前需提供验货图片给客户放货，     需ZURU  OQC验货，不能免检
6.  根据欧盟发布《包装和包装废弃物法规》（EU）2025/40（PPWR）新法规：需在PDQ  /展示架  以及外箱上增加制造商地址和邮箱地址（见如下内容）
运输包装：外箱上印刷：
ZURU  FRANCE.  33  rue  Paul  Meurice  75020  Paris,  France.
care@zuru.com
PDQ，SK展示架，ENDCAP    （含有二个欧盟地址，法国地址需下划线），需要配套最新MA版PDQ含有欧盟地址贴纸，     如没有，需要加如下贴纸内容：
ZURU  INC.  ROOM  1202,  ENERGY  PLAZA,  NO.92  GRANVILLE  ROAD,  TSIM  SHA  TSUI  EAST,  KOWLOON,  HONG  KONG.  /  ZURU  UK  LIMITED.  Ground  Floor,  Templeback,  10
Temple  Back,  Bristol,  United  Kingdom,  BS1  6FL.  /  ZURU  FRANCE.  33  rue  Paul  Meurice  75020  Paris,  France.  /  ZURU  DENMARK  APS.  OSLO  PLADS  2,  2100  K
BENHAVN    ,  DENMARK.
care@zuru.com</t>
    </r>
  </si>
  <si>
    <r>
      <rPr>
        <sz val="14"/>
        <rFont val="宋体"/>
        <charset val="0"/>
        <scheme val="minor"/>
      </rPr>
      <t>Mary</t>
    </r>
    <r>
      <rPr>
        <sz val="11"/>
        <color rgb="FF000000"/>
        <rFont val="宋体"/>
        <charset val="134"/>
      </rPr>
      <t xml:space="preserve">  </t>
    </r>
    <r>
      <rPr>
        <sz val="11"/>
        <color rgb="FF000000"/>
        <rFont val="宋体"/>
        <charset val="134"/>
      </rPr>
      <t>Zhong</t>
    </r>
  </si>
  <si>
    <t>2023年删除数：</t>
  </si>
  <si>
    <t>MA  1語收縮膜</t>
  </si>
  <si>
    <t>MA  1語收縮膜-B版本</t>
  </si>
  <si>
    <t>MA 3语收缩膜-B版本</t>
  </si>
  <si>
    <t>MA 5语
收藏指南
-B版本</t>
  </si>
  <si>
    <t>客版无硼口水胶-B版本</t>
  </si>
  <si>
    <t>PDQ TQ1-1L                  （3L通用）B版本</t>
  </si>
  <si>
    <t>PDQ TQ2-1L                   （3L通用）B版本</t>
  </si>
  <si>
    <t>PDQ TQ3               （WM-CA)</t>
  </si>
  <si>
    <t>PDQ TQ3-1L                   （3L通用）B版本</t>
  </si>
  <si>
    <t>TQ4                   -转订9279-TQ3</t>
  </si>
  <si>
    <t>TQ4                   -转订9279-TQ3（新版LOOG)</t>
  </si>
  <si>
    <t>PDQ TQ5</t>
  </si>
  <si>
    <t>展示架F-1L</t>
  </si>
  <si>
    <t>矮脚猫 Munchkin</t>
  </si>
  <si>
    <t>森林猫 Norwegian Forest Cat      (H)</t>
  </si>
  <si>
    <t>褴褛猫 Ragamuffin    (G)</t>
  </si>
  <si>
    <t>喜马拉雅猫 Hinalayan（E）</t>
  </si>
  <si>
    <t>布偶猫 Ragdoll   (D)</t>
  </si>
  <si>
    <t>缅因猫 Maine  Coon                (B)</t>
  </si>
  <si>
    <t>波斯猫 Persian     （A）</t>
  </si>
  <si>
    <t>工厂完成时间</t>
  </si>
  <si>
    <t>客户回复</t>
  </si>
  <si>
    <t>ZURU Denmark ApS</t>
  </si>
  <si>
    <t>4500149939-10</t>
  </si>
  <si>
    <t>92104TQ2-S002-NB-MTS</t>
  </si>
  <si>
    <t>长尾巴猫</t>
  </si>
  <si>
    <t>11/18-警语贴纸</t>
  </si>
  <si>
    <t>日期码格式：ZURU INC(BVI) 标准格式 日期：按实际生产日期
Packaging Info: 92104TQ2: MA EAN 3L+ 1 警语贴纸+MA 3L PDQ
Remark: 1/ 配比：92104TQ2：MUNCHKIN(RARE): HIMALAYAN: PERSIAN: MAINE COON: RAGDOLL: RAGAMUFFIN: NORWEGIAN FOREST CAT = 2: 8: 10: 10: 10: 10: 10
NO BORON , Fabric Non-Glitter
2/ 产品和包装要求无硼无香，包装不能含有PVC
3/ 如有微塑料，必须合规欧洲标准，闪粉也是微塑料的一种，目前仅接受三张方式1.去除，2.用可降解材料，和3. 永久封印在固体。
4/带电池出货的产品所用到的电池需要符合欧洲电池新规(EU) 2023-1542</t>
  </si>
  <si>
    <t>SD52</t>
  </si>
  <si>
    <t>88827-1.2</t>
  </si>
  <si>
    <t>92104TQ2-S002-3L-NB</t>
  </si>
  <si>
    <t>4500148621-50</t>
  </si>
  <si>
    <t>11/1产前抽样</t>
  </si>
  <si>
    <t>日期码格式：ZURU INC(BVI) 标准格式 日期：按实际生产日期
Packaging Info: 1.MA UPC包装(优先1L)
2.准备92104-assortment 粉尾巴猫8pcs，会有第三方实验室的人来抽样并打包，请告知样品最快货好时间
3.有第三方验货，将于CRD前一周提供验货员信息，请按订单CRD准时完货。
Remark:
92104-MUNCHKIN(RARE): HIMALAYAN: PERSIAN: MAINE COON: RAGDOLL: RAGAMUFFIN: NORWEGIAN FOREST CAT = 2: 8: 10: 10: 10: 10: 10</t>
  </si>
  <si>
    <t>88865-1.4</t>
  </si>
  <si>
    <t>4500149853-30</t>
  </si>
  <si>
    <t>92104-S001-NB</t>
  </si>
  <si>
    <t>11/13收到德语callout及警语贴纸(含EAN条码)</t>
  </si>
  <si>
    <t>日期码格式：ZURU INC(BVI) 标准格式 日期：按实际生产日期
Packaging Info: 92104: 最新MA 1L收缩膜+德语callout及警语贴纸(含EAN条码)+5L 收藏指南/Polybag/贴纸+MA 布标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10.标准配比。</t>
  </si>
  <si>
    <t>ZMPO24979</t>
  </si>
  <si>
    <t>92104F</t>
  </si>
  <si>
    <t>一套空展示架</t>
  </si>
  <si>
    <t>已寄出</t>
  </si>
  <si>
    <t>Remark：大货最新版本/可打平包寄出/请配齐展示架所有物料                                                                                   备注： 收到样品订单后尽快安排 ，注意样板品质质量要求要高于大货品质要求 ，送货时必须要附带送货单(没有送货单和QC检验合格报告的仓库一律拒绝收货)，请知悉，谢谢！</t>
  </si>
  <si>
    <t>*</t>
  </si>
  <si>
    <t>4500151118-20</t>
  </si>
  <si>
    <t>92104TQ1-S002-NB-MTS</t>
  </si>
  <si>
    <t>11/22-意西回收贴纸</t>
  </si>
  <si>
    <t>日期码格式：ZURU INC(BVI) 标准格式 日期：按实际生产日期
Packaging Info: 
2.92104TQ1:最新MA 3L EAN收缩膜+最新MA 5L收藏指南+最新MA PDQ+最新MA 5L胶袋+最新MA贴纸+最新MA布标+一张意西回收贴纸
Remark: 1. 西班牙国家内销单，需要通过ZURU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</si>
  <si>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92104TQ1-S002-NB</t>
  </si>
  <si>
    <t>4500147716-50</t>
  </si>
  <si>
    <t>7R5KK4UI</t>
  </si>
  <si>
    <t>4500150978-70</t>
  </si>
  <si>
    <t>92104B-S001-NB.WMB</t>
  </si>
  <si>
    <t>缅因猫（邮包盒）</t>
  </si>
  <si>
    <t>1/1-1/7出</t>
  </si>
  <si>
    <t>邮包盒图稿跟Amazon 4500127793</t>
  </si>
  <si>
    <t>日期码格式：ZURU INC(BVI) 标准格式 日期：按实际生产日期
Packaging Info: 出口加拿大，包装需要至少2/3L UPC版，无硼版本
#92104 MA3L+邮包盒,邮包盒图稿跟Amazon 4500127793;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t>
  </si>
  <si>
    <t>92104B-S001-NB-3L</t>
  </si>
  <si>
    <t>2FBSNQBG</t>
  </si>
  <si>
    <t>4500150978-120</t>
  </si>
  <si>
    <t>92104G-S001-NB.WMB</t>
  </si>
  <si>
    <t>褴褛猫（邮包盒）</t>
  </si>
  <si>
    <t>92104G-S001-NB-3L</t>
  </si>
  <si>
    <t>2GEKJ6YP</t>
  </si>
  <si>
    <t>4500150978-130</t>
  </si>
  <si>
    <t>92104H-S001-NB.WMB</t>
  </si>
  <si>
    <t>森林猫（邮包盒）</t>
  </si>
  <si>
    <t>92104H-S001-3L</t>
  </si>
  <si>
    <t>45001514359-50</t>
  </si>
  <si>
    <t>92104TQ1-S001-NB</t>
  </si>
  <si>
    <t>日期码格式：ZUR4365 日期：
 92104TQ1:MA 1L 收缩膜+进口商贴纸翻4500127527（含客户条码）+MA收藏指南+slime 袋子贴纸翻4500127527，Slime需要无硼版本; MA PDQ
 2.客户日期码：ZUR4365, 产品/包装/外箱请保持一致。产品蛋壳需要印日期和item号码
 3.大货样版3套寄到客户香港办公室，请多备料
 4.大货验货需要由ZURU QC抽1pc样板寄到广州ITS做EN 71-3测试</t>
  </si>
  <si>
    <t>083887</t>
  </si>
  <si>
    <t>4500153097-20</t>
  </si>
  <si>
    <t>进口商贴纸翻4500127527（含客户条码++slime 袋子贴纸翻4500127527</t>
  </si>
  <si>
    <t>日期码格式：ZUR4365 日期：
Packaging Info:
92104TQ1:MA 1L 收缩膜+进口商贴纸翻4500127527（含客户条码）+MA收藏指南+slime 袋子贴纸翻4500127527，Slime需要无硼版本; MA PDQ
2. 客户日期码：ZUR4365, 产品/包装/外箱请保持一致。产品蛋壳需要印客户日期码和item号码
Remark:
92104TQ1:Non-Boron, Fabric Non-Glitter MUNCHKIN(RARE): HIMALAYAN: PERSIAN: MAINE COON: RAGDOLL: RAGAMUFFIN: NORWEGIAN FOREST CAT = 2: 8: 10: 10:
10: 10: 10</t>
  </si>
  <si>
    <t>4500150141-2</t>
  </si>
  <si>
    <t>4500150141-90</t>
  </si>
  <si>
    <t>92104TQ4-S004</t>
  </si>
  <si>
    <t>11/14收到</t>
  </si>
  <si>
    <t>条码贴翻4500139632</t>
  </si>
  <si>
    <t>日期码格式：ZURU INC(BVI) 标准格式 日期：按实际生产日期
Packaging Info:
92104TQ4(客制Spec)：全套MA-1L包装+客户EAN条码贴一张覆盖ZURU 原条码 （条码贴翻4500139632），1L-ZURU标准客版PDQ
MUNCHKIN(RARE): HIMALAYAN: PERSIAN: MAINE COON: RAGDOLL: RAGAMUFFIN: NORWEGIAN FOREST CAT = 2: 8: 10: 10: 10: 10: 10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t>
  </si>
  <si>
    <t>Sherry Lu</t>
  </si>
  <si>
    <t>88877-1.4</t>
  </si>
  <si>
    <t>92104TQ4-S001</t>
  </si>
  <si>
    <t>4500151401-50</t>
  </si>
  <si>
    <t>92104TQ1-S001</t>
  </si>
  <si>
    <t>日期码格式：ZURU INC(BVI) 标准格式 日期：按实际生产日期
Packaging Info:
92104TQ1: MA 3L (含9L警语) EAN 版收缩膜，MA 5L 收藏指南 (含23L 警语)，MA 5L Slime plybag (含9L警语)， MA 5L 贴纸，MA 布标，MA PDQ
Remark: 1.外箱需要印条码，请确保条码可以清晰扫描，且条码内容正确
2.出欧洲，微塑料需合规（如item本身不含微塑料,则忽略此要求）
3.STD配比
4. 所有产品均需符合REACH 申明</t>
  </si>
  <si>
    <t>92104TQ1-S001-3L</t>
  </si>
  <si>
    <t>4500151863-10</t>
  </si>
  <si>
    <t>日期码格式：ZURU INC(BVI) 标准格式 日期：按实际生产日期
Packaging Info: 92104TQ1: MA 3L (含9L警语) EAN 版收缩膜，MA 5L 收藏指南 (含23L 警语)，MA 5L Slime plybag (含9L警语)， MA 5L 贴纸，MA 布标，MA PDQ
Remark: 1.外箱需要印条码，请确保条码可以清晰扫描，且条码内容正确
2.出欧洲，微塑料需合规（如item本身不含微塑料,则忽略此要求）
3.STD配比
4. 所有产品符合REACH申明</t>
  </si>
  <si>
    <t>88864-1.4</t>
  </si>
  <si>
    <t>4500150294-20</t>
  </si>
  <si>
    <t>4500151710-30</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</si>
  <si>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此单出LYT
92104TQ1: MUNCHKIN(RARE): HIMALAYAN: PERSIAN: MAINE COON: RAGDOLL: RAGAMUFFIN: NORWEGIAN FOREST CAT = 2: 8: 10: 10: 10: 10: 10</t>
  </si>
  <si>
    <t>4500151707-30</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</si>
  <si>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此单出AKL
92104TQ1: MUNCHKIN(RARE): HIMALAYAN: PERSIAN: MAINE COON: RAGDOLL: RAGAMUFFIN: NORWEGIAN FOREST CAT = 2: 8: 10: 10: 10: 10: 10</t>
  </si>
  <si>
    <t>4500152087-30</t>
  </si>
  <si>
    <t>日期码格式：ZURU INC(BVI) 标准格式 日期：按实际生产日期 
Packaging Info:92104TQ1:MA 1L包装+进口商贴纸+箱唛
Remark:</t>
  </si>
  <si>
    <t>4500152280-10</t>
  </si>
  <si>
    <t>日期码格式：ZURU INC(BVI) 标准格式 日期：按实际生产日期
Packaging Info: 92104TQ1:MA 1L包装+箱唛，无进口商贴纸</t>
  </si>
  <si>
    <t>88896-1.6</t>
  </si>
  <si>
    <t>4500151924-10</t>
  </si>
  <si>
    <t>1/7-1/10出</t>
  </si>
  <si>
    <t>进口商贴纸翻450014648</t>
  </si>
  <si>
    <t>日期码格式：ZURU INC(BVI) 标准格式 日期：按实际生产日期 Tracking Code:
Packaging Info: 1L MA 最新收缩膜+进口商贴纸（92104贴纸翻4500146482，92105贴纸翻4500148737）; MA指南/说明书（如有）;
Remark: 标准配比</t>
  </si>
  <si>
    <t>88951-1.9</t>
  </si>
  <si>
    <t>4500152720-100</t>
  </si>
  <si>
    <t>日期码格式：ZURU INC(BVI) 标准格式 日期：按实际生产日期
Packaging Info:
92104TQ1:MA 3L包装+进口商贴纸+箱唛
Remark: LR44 电池品牌为ONLY</t>
  </si>
  <si>
    <t>AEON TOPVALU (HONG KONG) CO.,LTD</t>
  </si>
  <si>
    <t>柬埔寨</t>
  </si>
  <si>
    <t>SDN24-0024</t>
  </si>
  <si>
    <t>4500150770-30</t>
  </si>
  <si>
    <t>日期码格式：ZURU INC(BVI) 标准格式 日期：按实际生产日期
Packaging Info: MA PKG, 优先1L
Remark: 出柬埔寨</t>
  </si>
  <si>
    <t>94063-1.16</t>
  </si>
  <si>
    <t>Jouets Broze Fils S.A.</t>
  </si>
  <si>
    <t>ZURZUR0120241031</t>
  </si>
  <si>
    <t>4500151318-10</t>
  </si>
  <si>
    <t>日期码格式：ZURU INC(BVI) 标准格式 日期：按实际生产日期
Packaging Info: 92104TQ1: MA 3L (含9L警语) EAN 版收缩膜，MA 5L 收藏指南 (含23L 警语)，MA 5L Slime plybag (含9L警语)， MA 5L 贴纸，MA 布标，MA PDQ
Remark: 1.大于10*10 cm的MA塑料袋必须有德语/法语/荷兰语/英语的警告语，印刷内容请与跟单确认(如MA包装没有塑料袋，可以忽略此点)
2.出欧洲，微塑料需合规（如item本身不含微塑料，则忽略此要求）
3.外箱需要印条码，请确保条码可以清晰扫描，且条码内容正确
4.STD配比</t>
  </si>
  <si>
    <t>88971-1.10</t>
  </si>
  <si>
    <t>4500151479-50</t>
  </si>
  <si>
    <t>92104-S004</t>
  </si>
  <si>
    <t>12/13-客供价格贴纸+12/12外箱贴纸</t>
  </si>
  <si>
    <t>日期码格式：ZURU INC(BVI) 标准格式 日期：按实际生产日期
Packaging Info: 1. ZURU MA （首选1L）UPC版本+客供价格贴纸+外箱贴纸，出口美国 有PVC桶的价格贴纸贴在PVC桶上面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5. 每个产品有一个价格贴纸，价格贴纸覆盖UPC条码上 （若UPC 条码太大，可以露出ITEM#, 覆盖条码即可）贴的时候要是会覆盖包装上重要的信息和图案，需要
告知跟单。</t>
  </si>
  <si>
    <t>94086-1.17</t>
  </si>
  <si>
    <t>5J9PG2ZV</t>
  </si>
  <si>
    <t>4500152379-200</t>
  </si>
  <si>
    <t>92104A-S001</t>
  </si>
  <si>
    <t>波斯猫（邮包盒）</t>
  </si>
  <si>
    <t>12/30-外箱贴纸</t>
  </si>
  <si>
    <t>邮包盒图稿跟Amazon4500124874</t>
  </si>
  <si>
    <t>日期码格式： 标准格式 日期：按实际生产日期 Tracking Code:
Packaging Info:
 #92104 MA 1L UPC版本+邮包盒,邮包盒图稿跟Amazon 4500124874。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</si>
  <si>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5CBVMIBQ</t>
  </si>
  <si>
    <t>4500152379-210</t>
  </si>
  <si>
    <t>2OU5PAUY</t>
  </si>
  <si>
    <t>4500152379-220</t>
  </si>
  <si>
    <t>日期码格式： 标准格式 日期：按实际生产日期
Packaging Info:
#92104 MA 1L UPC版本+邮包盒,邮包盒图稿跟Amazon 4500124874。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</si>
  <si>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5M78WMIT</t>
  </si>
  <si>
    <t>4500152657-50</t>
  </si>
  <si>
    <t>COLES SUPERMARKETS</t>
  </si>
  <si>
    <t>4500153210-10</t>
  </si>
  <si>
    <t>92104TQ5-S001</t>
  </si>
  <si>
    <t>箱唛翻单4500140993</t>
  </si>
  <si>
    <t>日期码格式：ZURU INC(BVI) 标准格式 日期：按实际生产日期
Packaging Info: 92104TQ5: MA UPC PACKAGING+客版PDQ， 客版PDQ 翻单4500124295, 箱唛翻单4500140993
Remark: 1.此单出口澳大利亚，请按相应的澳新标准生产；
 2.产品和包装上生产批号请按我司标准
 3.比例：
 92104TQ5:MUNCHKIN(RARE): HIMALAYAN: PERSIAN: MAINE COON: RAGDOLL: RAGAMUFFIN: NORWEGIAN FOREST CAT = 2: 8: 10: 10: 10: 10: 10
 4.当同一PO或item有多个批次代码时，每个批次代码的纸箱必须分组在一起，且明显分开</t>
  </si>
  <si>
    <t>94007-1.13</t>
  </si>
  <si>
    <t>4500153210-20</t>
  </si>
  <si>
    <t>4500153210-30</t>
  </si>
  <si>
    <t>4500151635-20</t>
  </si>
  <si>
    <t>92104TQ1-S002</t>
  </si>
  <si>
    <t>日期码格式：ZURU INC(BVI) 标准格式 日期：按实际生产日期
Packaging Info: 1. 出口美国，MA UPC 版本包装，优先1L。
#92104TQ1: PRICER TICK-11.99; MUNCHKIN(RARE): HIMALAYAN: PERSIAN: MAINE COON: RAGDOLL: RAGAMUFFIN: NORWEGIAN FOREST CAT=2:8:10:10:10:10:10;
2. 产品需要价格贴纸， 贴纸资料后面提供。
3. 外箱需要UCC贴纸。贴纸资料后面提供。
Remark: 4. Zuru QC 验货即可。</t>
  </si>
  <si>
    <t>94108-1.18</t>
  </si>
  <si>
    <t>4500152261-60</t>
  </si>
  <si>
    <t>日期码格式：ZURU INC(BVI) 标准格式 日期：按实际生产日期
Packaging Info:
92104TQ1：MA 3L EAN包装+UPC贴纸+MA PDQ包装+MA 多语收藏指南+进口商贴纸+箱唛
Remark:
92104TQ1: MUNCHKIN(RARE): HIMALAYAN: PERSIAN: MAINE COON: RAGDOLL: RAGAMUFFIN: NORWEGIAN FOREST CAT = 2: 8: 10: 10: 10: 10: 10
出货前要提供大货照片给客户确认后才能出货，请按期完货</t>
  </si>
  <si>
    <t>4500149669-30</t>
  </si>
  <si>
    <t>11/27-红色logo贴纸+进口商贴纸+UPC贴纸</t>
  </si>
  <si>
    <t>日期码格式：ZURU INC(BVI) 标准格式 日期：按实际生产日期
Packaging Info:
3. 92104TQ1：MA 3L EAN包装+UPC条码贴纸+MA PDQ包装+MA多语收藏指南+1个小的红色logo贴纸+进口商贴纸+箱唛
Remark:
3. 92104：MUNCHKIN(RARE): HIMALAYAN: PERSIAN: MAINE COON: RAGDOLL: RAGAMUFFIN: NORWEGIAN FOREST CAT = 2: 8: 10: 10: 10: 10: 10
6. 集装箱及装柜要求：集装箱不能有破洞；不能太脏
7.每个item需要放1整箱在每个集装箱门口
8.装柜的时候要前、中、后拍照</t>
  </si>
  <si>
    <t>4500151779-10</t>
  </si>
  <si>
    <t>92104TQ2-S001</t>
  </si>
  <si>
    <t>T. PLANET SHOPS SL</t>
  </si>
  <si>
    <t>4500150446-30</t>
  </si>
  <si>
    <t>12/13-进口商贴纸(含西班牙环保标)+产品贴纸</t>
  </si>
  <si>
    <t>日期码格式：ZURU INC(BVI) 标准格式 日期：按实际生产日期
Packaging Info:
8.92104TQ1:最新MA 3L EAN收缩膜+最新MA 5L收藏指南+最新MA5L复合袋（入slime）+最新MA布标+最新MA PDQ+进口商贴纸(含西班牙环保标)+产品贴纸
Remark: 1, 此货出西班牙，请确保所有包装都有西班牙环保标。
2，出货前两周需寄1套大货样品和1套测试样品，请多备料
3, 此客人推期有罚款，请按时完货
3, 出货前要验货图片给客人确认OK后才出货
4, 如有胶袋，需要增加胶袋警告语贴纸</t>
  </si>
  <si>
    <t>94066-1.16</t>
  </si>
  <si>
    <t>4500152205-50</t>
  </si>
  <si>
    <t>日期码格式：ZURU INC(BVI) 标准格式 日期：按实际生产日期
Packaging Info:
92104TQ1:1L MA收缩膜+进口商贴纸;MA指南;MA PDQ
2.此客户需要进行COC认证，装柜前在主拼工厂会有第三方验货，每款item需备2pcs 验货备品。
Remark: 标准产品标准配比</t>
  </si>
  <si>
    <t>4500153308-40</t>
  </si>
  <si>
    <t>日期码格式：ZURU INC(BVI) 标准格式 日期：按实际生产日期
Packaging Info:
92104TQ1：A版 3L MA EAN 收缩膜+进口商贴纸；A版 5L MA 指南/A 版 MA PDQ
Remark: 1、若产品有比例使用ZURU STD 比例
2、所有item 均用MA EAN 条码，若包装不是EAN 条码的请告知
3、此单出欧洲需满足EU测试标准要求</t>
  </si>
  <si>
    <t>TIENDAS CHEDRAUI, S.A. DE C.V</t>
  </si>
  <si>
    <t>4500153048-10</t>
  </si>
  <si>
    <t>日期码格式：ZURU INC(BVI) 标准格式 日期：按实际生产日期 
Packaging Info: 1. 92104TQ1：MA 3L EAN包装+MA PDQ包装+MA 多语收藏指南+进口商贴纸(已包含UPC条码)+箱唛
Remark: 1. 92104：MUNCHKIN(RARE): HIMALAYAN: PERSIAN: MAINE COON: RAGDOLL: RAGAMUFFIN: NORWEGIAN FOREST CAT = 2: 8: 10: 10: 10: 10: 10</t>
  </si>
  <si>
    <t>4500153567-20</t>
  </si>
  <si>
    <t>进口商贴纸翻4500146482</t>
  </si>
  <si>
    <t>日期码格式：ZURU INC(BVI) 标准格式 日期：按实际生产日期 
Packaging Info: 
 92104：1L MA 最新收缩膜+进口商贴纸 (贴纸翻4500146482), MA 指南
Remark: 标准配比</t>
  </si>
  <si>
    <t>94029-1.14</t>
  </si>
  <si>
    <t>PO#60X356498</t>
  </si>
  <si>
    <t>4500152429-50</t>
  </si>
  <si>
    <t>日期码格式：ZURU INC(BVI) 标准格式 日期：按实际生产日期 
Packaging Info: 1. ZURU MA UPC版本，出口美国.
Remark: 2. 日期跟踪码：ZURU标准格式日期码，产品包装及产品本身都必须有ZURU标准格式日期码，并且确保两者信息保持一致(请自行调整具体年月日生产期，但不能为周末）。
 针对你们目前没办法保持日期码一致的做法是：
 * 大货：可以按照实际生产的日期码打，毛绒布标和蛋壳上的日期码格式和时间这次特例可以不保持一致出货；但到时需手动贴一套公仔的布标贴纸，使布标跟蛋壳
 日期码格式和时间一样，拍照给我们发给实验室review 日期码，让实验室知道订单大货出的日期码格式和时间是跟抽板指定款的保持一样。
 * 指定款抽板：需手动贴布标贴纸，保证布标跟蛋壳上的日期码格式和时间都一样，且这个时间要跟大货的时间一样。
 3. 大货样
 4. 验货+ 抽板 （同一天进行）
预约1月9日第三方（利丰）到工厂做100%大货现场验货和抽板，验货需打印EPM出来跟客户回签样板供第三方验货参考。
 PS:EPM是跟单提供。
 抽板：
因 #92104TQ2 的ZURU测试报告上被客户指定实验室发现产品和产品包装上的日期码不一致，所以这款寄样给实验室的是按照
利丰验货员现场针对指定款随机抽板6PCS（须带包装）;其他利丰验货员现场针对指定款随机抽板6PCS。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t>
  </si>
  <si>
    <t>94152-1.22</t>
  </si>
  <si>
    <t>1887CHTI</t>
  </si>
  <si>
    <t>4500152472-20</t>
  </si>
  <si>
    <t>92104B-S001</t>
  </si>
  <si>
    <t>日期码格式：ZURU INC(BVI) 标准格式 日期：按实际生产日期 
Packaging Info:
 #92104：MA 1L UPC版本+邮包盒，邮包盒图稿跟Amazon#4500124874。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</si>
  <si>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94109-1.18</t>
  </si>
  <si>
    <t>8LKL7GGW</t>
  </si>
  <si>
    <t>4500152472-30</t>
  </si>
  <si>
    <t>92104G-S001</t>
  </si>
  <si>
    <t>ICA Sverige AB</t>
  </si>
  <si>
    <t>瑞典</t>
  </si>
  <si>
    <t>727372/31500</t>
  </si>
  <si>
    <t>4500151290-10</t>
  </si>
  <si>
    <t>92104TQ2-S002-NB</t>
  </si>
  <si>
    <t>警语贴纸和slime警语黑白说明书翻单PO4500135015</t>
  </si>
  <si>
    <t>日期码格式：ZURU INC(BVI) 标准格式 日期：按实际生产日期
Packaging Info: 1. 92104TQ2: 3L-9L warning EAN A版本包装+警语贴纸+slime警语黑白说明书(和slime袋子放一起)(警语贴纸和slime警语黑白说明书翻单PO4500135015)
Remark: 1. 包装如含PVC,请改为PET并第一时间通知跟单
2. 产品/包装要求无硼无香，出欧洲，微塑料需合规。
关于微塑料，所有的产品和包装和产品均不能包含，无微塑料的产品都要配套无微塑料的包装，如包装备注与此有争议，请工厂第一时间告知，跟单重新确认包装版
本
3. ICA针对带电池出货的产品，都要用碱性电池
4.带电池出货的产品所用到的电池需要符合欧洲电池新规(EU) 2023-1542
5.有胶袋的产品：要求产品的胶袋厚度要大于等于0.05mm
6.关于贴纸，如果贴纸位置图的包装版本与大货不一致，请工厂第一时间提前提出。跟单会重新调整确认是否更新贴纸或调整位置图
7.产品/包装不含PFAS成分
8.产品条码如下: 请先检查条码是否正确再安排做货，如有问题请告知
92104TQ2-S002-NB:4894680033542</t>
  </si>
  <si>
    <t>94128-1.21</t>
  </si>
  <si>
    <t>5TNQILKH</t>
  </si>
  <si>
    <t>4500152439-70</t>
  </si>
  <si>
    <t>日期码格式： 标准格式 日期：按实际生产日期
Packaging Info:
#92104：MA 1L UPC版本+邮包盒，邮包盒图稿跟Amazon4500124874。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</si>
  <si>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94019-1.13</t>
  </si>
  <si>
    <t>3B6XA9DM</t>
  </si>
  <si>
    <t>4500152439-80</t>
  </si>
  <si>
    <t>94033-1.14</t>
  </si>
  <si>
    <t>1I8Z3PBL</t>
  </si>
  <si>
    <t>4500152439-90</t>
  </si>
  <si>
    <t>92104D-S001</t>
  </si>
  <si>
    <t>布偶猫（邮包盒）</t>
  </si>
  <si>
    <t>1GE8HLGW</t>
  </si>
  <si>
    <t>4500152439-100</t>
  </si>
  <si>
    <t>35XFLP9W</t>
  </si>
  <si>
    <t>4500152439-110</t>
  </si>
  <si>
    <t>4500149708-20</t>
  </si>
  <si>
    <t>92104TQ1-S002-MTS</t>
  </si>
  <si>
    <t>意大利环保标贴纸翻4500128713</t>
  </si>
  <si>
    <t>日期码格式：ZURU INC(BVI) 标准格式 日期：按实际生产日期
Packaging Info: 1.92104TQ1:最新MA3LEAN包装+1张意大利环保标贴纸翻4500128713+最新MA5L收藏指南+MAPDQ
Remark: 1.法国国家内销单，需要通过ZURU 验货结果后才能出货 (工厂需要主动提前同ZURU QC预约验货避免延期出货造成不必要麻烦)；
2.本订单所有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</si>
  <si>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94099-1.18</t>
  </si>
  <si>
    <t>92104TQ1-S002-3L</t>
  </si>
  <si>
    <t>4500153795-50</t>
  </si>
  <si>
    <t>92104TQ2-S002</t>
  </si>
  <si>
    <t>翻单：4500139972</t>
  </si>
  <si>
    <t>中文布标(可用布标贴纸)</t>
  </si>
  <si>
    <t>12/19-客供芯片码</t>
  </si>
  <si>
    <t>日期码格式：ZURU INC(BVI) 标准格式 日期：按实际生产日期 
Packaging Info: 2.外箱材质如下：
 1）毛重小于5kg 外箱纸质 K=B 爆破:1000Kpa 边压:4400N/M;
 2）毛重大于5kg 外箱纸质 K636K 爆破:1400Kpa 边压:6300N/M;
 3. 产品/销售包装/外箱日期码要一致，
4.芯片码横向平贴在上半部分蛋壳/彩盒内侧立面处，注意事项请见跟单提供文档资料。
 5.此产品务必满足国内6P 测试标准，因为可能会被市场监督局抽查，如有问题产生，工厂要负全责
 6. 这张订单做出厂价，我司自行安排车辆去贵司提货，贵司需要配合提供出口报关
Remark: 物料要求 SKU 所有款号务必使用带有CCC 标识的AW
 D. 92104TQ2 MA PDQ+客制收缩膜+ 中文布标(可用布标贴纸)+中文收藏指南 +客供芯片码 翻单：4500139972</t>
  </si>
  <si>
    <t>94199-2.10</t>
  </si>
  <si>
    <t>92104TQ2-S002-3</t>
  </si>
  <si>
    <t>4500153328-20</t>
  </si>
  <si>
    <t>日期码格式：ZURU INC(BVI) 标准格式 日期：按实际生产日期
Packaging Info:
2.92104：最新MA 3L EAN 版本包装+一张客户警语贴纸（含环保标）+MA 5L 收藏指南；
此单需要各item 准备一套大货样，请注意备料；
Remark: 产品均符合EU微塑料法规要求：不含有微塑料，不含有闪粉；
此单需要安排年前出货，请注意安排装柜人员；</t>
  </si>
  <si>
    <t>92104-S001-3L</t>
  </si>
  <si>
    <t>24-1067175JDO</t>
  </si>
  <si>
    <t>4500153864-40</t>
  </si>
  <si>
    <t>日期码格式：2025-01</t>
  </si>
  <si>
    <t>日期码格式：2025-01 日期： 
Packaging Info:
 92104TQ1:MA 1L UPC包装+MA 多语收藏指南+MA PDQ+箱唛
Remark: 
 92104TQ1: MUNCHKIN(RARE): HIMALAYAN: PERSIAN: MAINE COON: RAGDOLL: RAGAMUFFIN: NORWEGIAN FOREST CAT = 2: 8: 10: 10: 10: 10: 10</t>
  </si>
  <si>
    <t>94113-1.18</t>
  </si>
  <si>
    <t>4500150488-60</t>
  </si>
  <si>
    <t>Amazon
UK:PO#5VTAYW8
A</t>
  </si>
  <si>
    <t>4500153435-20</t>
  </si>
  <si>
    <t>褴褛猫（邮包盒新稿）</t>
  </si>
  <si>
    <t>ES回收环保标志5号翻4500143120</t>
  </si>
  <si>
    <t>日期码格式：ZURU INC(BVI) 标准格式 日期：按实际生产日期 
Packaging Info: Amazon UK/DE (92104HG/9279B/9296A/9543A)
 1. 92104HG
 -92104G: 92104G KITTYCORN SURPRISE(Ragamuffin), 1pc/mailbox, 32mailboxes/ctn;MA 3L(9L warning)A收缩膜+MA 2L A布标+MA 5L(23L warning)A Slime胶袋+
 MA 5L A贴纸+MA 5L(23L warning)A 收藏指南+客版邮包盒(含英法德意西警告语+IT/FR sorting label+ZURU邮箱) +1张贴纸(ES回收环保标志5号，参考翻单PO#4500
 143120)；
 5. ZURU验货最迟不得晚于2025/1/27
 *92104G &amp; 92104H西班牙回收标贴纸因工厂重复贴，贴纸费用和人工费用不算进zuru；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</si>
  <si>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94197-2.10</t>
  </si>
  <si>
    <t>92104G-S001-3L</t>
  </si>
  <si>
    <t>4500153788-90</t>
  </si>
  <si>
    <t>日期码格式：ZURU INC(BVI) 标准格式 日期：按实际生产日期 
Packaging Info: 
 9.92104TQ1：最新MA 3L EAN 版本包装+一张进口商贴纸（含环保标）+MA 5L 收藏指南；
Remark: 订单出西班牙，不能含微塑料/闪粉；</t>
  </si>
  <si>
    <t>57M2QDKJ</t>
  </si>
  <si>
    <t>4500152472-40</t>
  </si>
  <si>
    <t>92104H-S001</t>
  </si>
  <si>
    <t>1A8EEOYX</t>
  </si>
  <si>
    <t>4500152439-120</t>
  </si>
  <si>
    <t>54ZBELIO</t>
  </si>
  <si>
    <t>4500152439-130</t>
  </si>
  <si>
    <t>4500150317-50</t>
  </si>
  <si>
    <t>4500153513-70</t>
  </si>
  <si>
    <t>12/12-进口商贴纸</t>
  </si>
  <si>
    <t>日期码格式：ZURU INC(BVI) 标准格式 日期：按实际生产日期 
Packaging Info: 
 92104TQ1:3L MA EAN 收缩膜+进口商贴纸;MA 指南;MA PDQ
Remark: 标准产品标准配比</t>
  </si>
  <si>
    <t>94081-1.17</t>
  </si>
  <si>
    <t>4500153435-10</t>
  </si>
  <si>
    <t>森林猫（邮包盒新稿）</t>
  </si>
  <si>
    <t>日期码格式：ZURU INC(BVI) 标准格式 日期：按实际生产日期 
Packaging Info: Amazon UK/DE (92104HG/9279B/9296A/9543A)
 1. 92104HG
 -92104H: "92104H KITTYCORN SURPRISE(Norwegian Forest Cat), 1pc/mailbox, 32mailboxes/ctn;MA 3L(9L warning)A收缩膜+MA 2L A布标+MA 5L(23L warning)
 A Slime胶袋+MA 5L A贴纸+MA 5L(23L warning)A 收藏指南+客版邮包盒(含英法德意西警告语+IT/FR sorting label+ZURU邮箱) +1张贴纸(ES回收环保标志5号，参
 考翻单PO#4500143120)；
 5. ZURU验货最迟不得晚于2025/1/27
 *92104G &amp; 92104H西班牙回收标贴纸因工厂重复贴，贴纸费用和人工费用不算进zuru；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</si>
  <si>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Amazon DE:
PO#7X17GFZM</t>
  </si>
  <si>
    <t>4500153435-40</t>
  </si>
  <si>
    <t>PO#2698218-SK
U#142917922</t>
  </si>
  <si>
    <t>4500151646-10</t>
  </si>
  <si>
    <t>92104TQ4-S003</t>
  </si>
  <si>
    <t>日期码格式：ZURU INC(BVI) 标准格式 日期：按实际生产日期
Packaging Info:92104TQ4: MA 1L UPC包装+客版PDQ(翻Morrison PO#4500142847)
-92104TQ4:MUNCHKIN(RARE): HIMALAYAN: PERSIAN: MAINE COON: RAGDOLL: RAGAMUFFIN: NORWEGIAN FOREST CAT = 2: 8: 10: 10: 10: 10: 10
订单对应客户1个PO号 ，备注有显示
Remark: *胶带最少宽度要保证6.0CM,厚度最少0.05毫米,外箱不可以打钉/扎带；以工字型封箱；
*如果重量超过5KGS，箱唛需加黄色警示图标志 ，有疑问请与ZURU跟单同事联系,十分重要！
*订单出英国，请注意检查产品及包装应带UKCA图标，包装显示ZURU UK LTD信息，QC同事请查核，如有问题与跟单确认。
*MA版本按工厂现有最新库存即可，订单出英国，请注意检查产品及包装应带UKCA图标，包装显示ZURU UK LTD信息，QC同事请查核，如有问题与跟单确认。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，请安排生产前先核对再生产或者与Sherry 复核再安排 。
*外箱上的条码请确保清晰可扫描 ，否则到目的仓无法扫描入仓由工厂承担责任 。
*所有产品按符合欧洲标准走货，需要是不含微塑料版本 。
*涉及到硼的，请使用低硼版本
*客户不接受PVC材质</t>
  </si>
  <si>
    <t>94219-2.11</t>
  </si>
  <si>
    <t>4500152538-100</t>
  </si>
  <si>
    <t>4500152538-210</t>
  </si>
  <si>
    <t>4500153372-20</t>
  </si>
  <si>
    <t>日期码格式：ZURU INC(BVI) 标准格式 日期：按实际生产日期
Packaging Info:
2.92104：最新MA 3L EAN 版本包装+一张客户警语贴纸（含环保标）+MA 5L 收藏指南；
Remark: 产品均符合EU微塑料法规要求：不含有微塑料，不含有闪粉；
此单需要在年前出货，请注意安排装柜人员；</t>
  </si>
  <si>
    <t>4500150534-40</t>
  </si>
  <si>
    <t>4500154564-30</t>
  </si>
  <si>
    <t>翻单： 4500153795</t>
  </si>
  <si>
    <t>1/7-客供芯片码</t>
  </si>
  <si>
    <t>日期码格式：ZURU INC(BVI) 标准格式 日期：按实际生产日期 
Packaging Info: 物料要求 SKU 所有款号务必使用带有CCC 标识的AW
 C. 92104TQ2 MA PDQ+客制收缩膜+ 中文布标(可用布标贴纸)+中文收藏指南 +客供芯片码 翻单： 4500153795
Remark: 2.外箱材质如下：
 1）毛重小于5kg 外箱纸质 K=B 爆破:1000Kpa 边压:4400N/M;
 2）毛重大于5kg 外箱纸质 K636K 爆破:1400Kpa 边压:6300N/M;
 3. 产品/销售包装/外箱日期码要一致，
4.芯片码横向平贴在上半部分蛋壳/彩盒内侧立面处，注意事项请见跟单提供文档资料。
 5.此产品务必满足国内6P 测试标准，因为可能会被市场监督局抽查，如有问题产生，工厂要负全责
 6. 这张订单做出厂价，我司自行安排车辆去贵司提货，贵司需要配合提供出口报关</t>
  </si>
  <si>
    <t>94234-2.13</t>
  </si>
  <si>
    <t>FAMILY DOLLAR SERVICES, INC</t>
  </si>
  <si>
    <t>4500152863-10</t>
  </si>
  <si>
    <t>预计25年总单量147956 pcs 此单为首单先备此单物料</t>
  </si>
  <si>
    <t>2/12-17-18出</t>
  </si>
  <si>
    <t>12/18-产品彩色贴纸</t>
  </si>
  <si>
    <t>12/25=客供防盗贴纸</t>
  </si>
  <si>
    <t>DG20250113</t>
  </si>
  <si>
    <t>日期码格式：ZURU INC(BVI) 标准格式 日期：2025-01-13 
Packaging Info: 1)客版PDQ，最新版ZURU MA UPC包装(去掉社交媒体标志，优先1L)，出口美国。如有说明书请使用ZURU MA说明书，优先放1L英语。
2)ZURU标准日期码格式：工厂城市缩写+生产年月日。此单指定日期码DG20250113, 与工厂确认布标需要用英法双语日期码印刷。
 收缩膜+蛋壳指定日期码：DG20250113
布标日期码：December(Décembre)06，2024 DG
 口水胶日期码：DG20250110 （后续会一个后缀，代表供应商那边追溯）
 3)外箱箱唛正侧相邻两面粘贴产品彩色贴纸，每箱两张彩色贴纸, 彩色产品贴纸待跟单提供。如侧唛位置放不下彩贴和唛头信息，可改为放两个正唛。无论是正唛+
 侧唛或者是两个正唛，唛头信息和彩贴需放在同一个面，需要工厂根据外箱尺寸建议预估的彩贴尺寸给跟单。箱唛需排版给跟单确认。
 4) 每个球贴一张客供防盗贴，贴在收缩膜上，防盗贴由跟单采购，供应商直接发货到工厂。防盗贴贴纸位置由跟单提供。
Remark: 客户PO#32610784
 客户SKU#1096260
 1) Item#92104TQ4-S003
 2) 样品
 产前样5套：产前样5套要求在2024/12/09前寄给深圳办公室跟单Jenny Liu，需转寄给美国客户确认，客户确认了产前样之后，会寄回一套给工厂，工厂需按照已确
 认的产前样安 排大货生产。做产前样前需和跟单确认产品包装日期码和产品上日期码的打码位置+格式，要求是和大货一样的日期码，指定大货日期码为：DG20250
 113） 。此单客版PDQ需等客户确认产前样后才可以开始大货印刷。
 大货样2套：大货样2套需在大货物料到厂后开始上线第一天寄出给深圳办公室；大货样需要同大货一个产线， 所有东西完全同大货一样, 1套我们需转寄客人审批出
 货；1套跟单需留样（请尽量安排早点寄出以便客人早点批出货！）
 1套样板 =4pcs蛋带1个客版PDQ+1套光身样散件
 6 PCS/ PDQ = 4个蛋入一个PDQ
 3) 此单无第三方验货+抽样测试，ZURU QC验货PASS后，跟单得到客户的approval之后方可安排出货
 4)大货外箱材积绝对不可大于下述数据，材积只接受3%的变小；重量正负不得超过以下列出数据的5%，接受外箱以印章方式印上实际毛重。
 大货外箱尺寸请保持： 30.0 x 23.0 x 22.0 cm(即11.81 x 9.06 x 8.66 inch)，材积必须不能大于0.5368CubeFeet（即0.0152CBM); 外箱毛重 2.4 LBS（即1.08 K
 GS）。
 5) 大货配比：
 Item#92104TQ4-S003
 S003-RAINBOCORN - KITTYCORN SURPRISE - SERIES 9 - PLUSH SMALL - SHRINK WRAP,2facing4PCS/
 PDQ/CTN
 UPC: 193052064417
 With BORON (Lower 300ppm), Non-Glitter
 2W*2D*1H=4PCS/PDQ
 MUNCHKIN(RARE): HIMALAYAN: PERSIAN: MAINE COON: RAGDOLL: RAGAMUFFIN: NORWEGIAN FOREST CAT = 2: 8: 10: 10: 10: 10: 10
 6) 客户Family Dollar不允许少数出货，必须按照PO上的数量出货，也不允许延期，否则会有罚款。
 7) 客户要求:"产品和包装不能含有PFAS 物质以及1,4 dioxane",请确保产品可以过美国标准测试。</t>
  </si>
  <si>
    <t>Jenny Liu/Andro</t>
  </si>
  <si>
    <t>4500142850-20</t>
  </si>
  <si>
    <t>防盗贴纸翻4500114513</t>
  </si>
  <si>
    <t>日期码格式：ZURU INC(BVI) 标准格式 日期：按实际生产日期
Packaging Info: 
2.92104TQ4：MA 1L UPC包装+一张防盗贴纸（贴纸类型10111896: 40R ECON YBL DE 8.2 1kr，请工厂自行跟checkpoint供应商订购贴纸-防盗贴位置图翻单PO450011
4513)+客版 1L 版PDQ (2Facing4pcs/PDQ)-客版PDQ翻PO#4500142847;
UPC#193052064417，请先检查包装条码是否正确再安排做货;
4.配比都跟MA配比
Remark: 1）外箱有条码要求，排版时请留意并请确保条码清晰可扫描（封箱胶不要黏到条码上), 否则客人会有罚款。
2) 订单出英国，产品及包装需要印UKCA图标，包装需要有ZURU UK LTD/ZURU France地址信息，QC同事请查核，如有问题与跟单确认。
3) 箱唛日期码与包装保持一致
4) 若外箱重量超过16KGS，请提前告知ZURU跟单，需要客人批准才能出货，并且外箱需要印2 man lift标志</t>
  </si>
  <si>
    <t>Intertoys B.V.</t>
  </si>
  <si>
    <t>4500150999-30</t>
  </si>
  <si>
    <t>11/18收到款号条码贴纸</t>
  </si>
  <si>
    <t>日期码格式：ZURU INC(BVI) 标准格式 日期：按实际生产日期
Packaging Info: 
92104TQ1: MA 3L (含9L警语) EAN 版收缩膜+ 款号条码贴纸，MA 5L 收藏指南 (含23L 警语)，MA 5L Slime plybag (含9L警语)， MA 5L 贴纸，MA 布标，MA PDQ
Remark: 1. STD配比
2. 出欧洲，微塑料需合规（如item本身不含微塑料 则忽略此要求）
3. 客人款号：
92104TQ1 2001575
4. 大货样
请在12/20日前寄出每个item 2pcs 到罗湖办公室</t>
  </si>
  <si>
    <t>94338-2.25</t>
  </si>
  <si>
    <t>4500154499-40</t>
  </si>
  <si>
    <t>日期码格式：ZURU INC(BVI) 标准格式 日期：按实际生产日期 
Packaging Info: MA UPC包装（优先1L)，无需加贴纸
Remark: 
 92104-MUNCHKIN(RARE): HIMALAYAN: PERSIAN: MAINE COON: RAGDOLL: RAGAMUFFIN: NORWEGIAN FOREST CAT = 2: 8: 10: 10: 10: 10: 10</t>
  </si>
  <si>
    <t>94233-2.13</t>
  </si>
  <si>
    <t>4500150125-30</t>
  </si>
  <si>
    <t>德语callout及警语贴纸(含EAN条码)+5L 收藏指南/Polybag/贴纸+翻4500149853</t>
  </si>
  <si>
    <t>日期码格式：ZURU INC(BVI) 标准格式 日期：按实际生产日期
Packaging Info:
92104: 最新MA 1L收缩膜+德语callout及警语贴纸(含EAN条码)+5L 收藏指南/Polybag/贴纸+MA 布标 （全部资料翻单#4500149853）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10.标准配比。</t>
  </si>
  <si>
    <t>THE FARMERS' TRADING COMPANY LIMITE</t>
  </si>
  <si>
    <t>4500153390-30</t>
  </si>
  <si>
    <t>消耗4500142349-成品</t>
  </si>
  <si>
    <t>2/27出</t>
  </si>
  <si>
    <t>12/16-价格贴纸</t>
  </si>
  <si>
    <t>日期码格式：ZURU INC(BVI) 标准格式 日期：按实际生产日期
Packaging Info: MA UPC英语包装（优先1L英语版本,或者3L/L含英语即可）+可移动材质的价格贴纸（价格贴纸要切虚线)
Remark: 
92104TQ1: MUNCHKIN(RARE): HIMALAYAN: PERSIAN: MAINE COON: RAGDOLL: RAGAMUFFIN: NORWEGIAN FOREST CAT = 2: 8: 10: 10: 10: 10: 10</t>
  </si>
  <si>
    <t>94350-2.25</t>
  </si>
  <si>
    <t>BIG W</t>
  </si>
  <si>
    <t>CUS
PO#47758607 -
SYD</t>
  </si>
  <si>
    <t>4500154142-40</t>
  </si>
  <si>
    <t>2/20出</t>
  </si>
  <si>
    <t>进口商贴纸翻4500124257</t>
  </si>
  <si>
    <t>日期码格式：ZURU INC(BVI) 标准格式 日期：按实际生产日期 
Packaging Info: 1.包装
 92104TQ1：MA UPC PKG+1张进口商贴纸，贴纸翻单4500124257
 2. 进口商贴纸上已经去掉日期码，产品和包装上的日期码一致，请按要求在包装上打日期码（进口商贴纸不覆盖日期码）
 3. 原指定日期码DDMMYY可改用ZURU标准日期码
Remark: 1.共出4港口(SYD,BNE,MEL,FRE)， 不同港口数量信息请见订单行项目，并请参考箱唛资料，港口不同，箱唛资料也不同；
 2. 箱唛不可出现任何手写内容（箱数除外），重量与实际一致且不可手写
 3.此单出澳大利亚，请按澳洲标准生产并满足当地法规要求
 4.出无闪粉版本，需符合欧洲微塑料法规</t>
  </si>
  <si>
    <t>94321-2.22</t>
  </si>
  <si>
    <t>CUS
PO#47758608 -
BNE</t>
  </si>
  <si>
    <t>4500154142-80</t>
  </si>
  <si>
    <t>94359-2.26</t>
  </si>
  <si>
    <t>CUS
PO#47758609 -
MEL</t>
  </si>
  <si>
    <t>4500154142-120</t>
  </si>
  <si>
    <t>94370-2.27</t>
  </si>
  <si>
    <t>CUS
PO#47791387 -
FRE</t>
  </si>
  <si>
    <t>4500154142-140</t>
  </si>
  <si>
    <t>94319-2.21</t>
  </si>
  <si>
    <t>CUS
PO#47763523 -
FRE</t>
  </si>
  <si>
    <t>4500153408-40</t>
  </si>
  <si>
    <t>日期码格式：ZURU INC(BVI) 标准格式 日期：按实际生产日期 
Packaging Info: 1. 包装
 92104TQ1：MA UPC PKG+1张进口商贴纸，贴纸翻单4500124257
 2. 进口商贴纸上已经去掉日期码，产品和包装上的日期码一致，请按要求在包装上打日期码（进口商贴纸不覆盖日期码）
 3. 原指定日期码DDMMYY可改用ZURU标准日期码
Remark: 1.共出4港口(SYD,BNE,MEL,FRE)， 不同港口数量信息请见订单行项目，并请参考箱唛资料，港口不同，箱唛资料也不同；
 2. 箱唛不可出现任何手写内容（箱数除外），重量与实际一致且不可手写
 3.此单出澳大利亚，请按澳洲标准生产并满足当地法规要求
 4.出无闪粉版本，需符合欧洲微塑料法规</t>
  </si>
  <si>
    <t>94320-2.21</t>
  </si>
  <si>
    <t>CUS
PO#47763726 -
BNE</t>
  </si>
  <si>
    <t>4500153408-110</t>
  </si>
  <si>
    <t>94358-2.26</t>
  </si>
  <si>
    <t>CUS
PO#47763727 -
MEL</t>
  </si>
  <si>
    <t>4500153408-150</t>
  </si>
  <si>
    <t>94371-2.27</t>
  </si>
  <si>
    <t>CUS
PO#47781667
SYD</t>
  </si>
  <si>
    <t>4500154505-30</t>
  </si>
  <si>
    <t>12/23收到</t>
  </si>
  <si>
    <t>日期码格式：ZURU INC(BVI) 标准格式 日期：按实际生产日期 Tracking Code:
Packaging Info: 1. 包装:
Ratio：cow:monkey:panda:zebra:axolotl;chiken:=1:1:1:1:1:1;
 92104TQ1：英文MA包装 (UPC版本，首选1L，无1L可用多L含英语) + 1张进口商贴纸，贴纸翻单4500124257；
 Ratio：MUNCHKIN(RARE): HIMALAYAN: PERSIAN: MAINE COON: RAGDOLL: RAGAMUFFIN: NORWEGIAN FOREST CAT = 2: 8: 10: 10: 10: 10: 10
 2. 产品和包装上的日期码一致，请按要求在包装上打日期码（进口商贴纸不覆盖日期码）
 3. 使用ZURU标准日期码
Remark: 1. 共出4港口(SYD, BNE, MEL, FRE), 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t>
  </si>
  <si>
    <t>94363-2.26</t>
  </si>
  <si>
    <t>CUS
PO#47781840
BNE</t>
  </si>
  <si>
    <t>4500154505-70</t>
  </si>
  <si>
    <t>Juguettos Ltd</t>
  </si>
  <si>
    <t>4500154244-10</t>
  </si>
  <si>
    <t>1/13-环保标贴纸</t>
  </si>
  <si>
    <t>日期码格式：ZURU INC(BVI) 标准格式 日期：按实际生产日期
Packaging Info: 1.92104TQ1：最新MA 3L EAN版本包装+一张环保标贴纸+MA 5L收藏指南；
Remark: 西班牙订单，需要符合EU标准，不能含微塑料/闪粉；</t>
  </si>
  <si>
    <t>94428-3.4</t>
  </si>
  <si>
    <t>5342989L</t>
  </si>
  <si>
    <t>4500154101-150</t>
  </si>
  <si>
    <t>邮包盒，邮包盒图稿跟Amazon 4500124874</t>
  </si>
  <si>
    <t>日期码格式： 标准格式 日期：按实际生产日期 
Packaging Info: 
 #92104：MA 1L UPC版本+邮包盒，邮包盒图稿跟Amazon 4500124874。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</si>
  <si>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58HVLGJE</t>
  </si>
  <si>
    <t>4500154032-140</t>
  </si>
  <si>
    <t>日期码格式： 标准格式 日期：按实际生产日期 
Packaging Info:
 #92104：MA 1L UPC版本+邮包盒，邮包盒图稿跟Amazon 4500124874。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</si>
  <si>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8SU7WQET</t>
  </si>
  <si>
    <t>4500154124-120</t>
  </si>
  <si>
    <t>日期码格式：ZURU INC(BVI) 标准格式 日期：按实际生产日期 
Packaging Info: 
 #92104：MA 1L UPC版本+邮包盒，邮包盒图稿跟Amazon 4500124874。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</si>
  <si>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4500154887-10</t>
  </si>
  <si>
    <t>IT/FR/ES环保标+ZURU邮箱翻单450015343</t>
  </si>
  <si>
    <t>客版邮包盒(含英法德意西5L警告语翻单PO#450015343</t>
  </si>
  <si>
    <t>日期码格式：ZURU INC(BVI) 标准格式 日期：按实际生产日期 
Packaging Info: Amazon IT(92104H/9298E)
 1. 92104H：92104H KITTYCORN SURPRISE(Norwegian Forest Cat), 1pc/mailbox, 32mailboxes/ctn;MA 3L(9L warning)A收缩膜+MA 2L A布标+MA 5L(23L warning)
 A Slime胶袋+MA 5L A贴纸+MA 5L(23L warning)A 收藏指南+客版邮包盒(含英法德意西5L警告语+IT/FR/ES环保标+ZURU邮箱，参考翻单PO#4500153435)；
 3. 最迟验货不得晚于2025/02/21;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</si>
  <si>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3DLCZXAL</t>
  </si>
  <si>
    <t>4500154800-10</t>
  </si>
  <si>
    <t>日期码格式：ZURU INC(BVI) 标准格式 日期：按实际生产日期
Packaging Info: Amazon FR(92104G)
1. 92104G：92104G KITTYCORN SURPRISE(Ragamuffin), 1pc/mailbox, 32mailboxes/ctn;客版邮包盒(UPC#+英法德意西5L警告语+IT/FR/ES环保标+ZURU邮箱，参考
翻单PO#4500153435)+MA 3L(9L warning)A收缩膜+MA 2L A布标+MA 5L(23L warning)A Slime胶袋+MA 5L A贴纸+MA 5L(23L warning)A 收藏指南；
2. 最迟验货不得晚于2025/02/21;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</si>
  <si>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94422-3.4</t>
  </si>
  <si>
    <t>4500151307-20</t>
  </si>
  <si>
    <t>日期码格式：ZURU INC(BVI) 标准格式 日期：按实际生产日期
Packaging Info: 
 92104TQ1:MA 3LEAN包装+进口商贴纸+价标贴纸+箱唛，进口商贴纸翻单PO4500149460
Remark: 1. 此单价格贴纸（ZURU定购).
2.此单有第三方监柜，不用额外准备备品，会在大货中每款拆1pc，拆了包装的产品会由监装员用客供胶带封好或在外箱上写上""opened by telescope”</t>
  </si>
  <si>
    <t>4500153570-10</t>
  </si>
  <si>
    <t>日期码格式：ZURU INC(BVI) 标准格式 日期：按实际生产日期 
Packaging Info: 1.92104TQ5: MA UPC PACKAGING+客版PDQ， 客版PDQ 翻单4500124295, 箱唛翻单4500140993
Remark: 1.此单出口澳大利亚，请按相应的澳新标准生产；
 2.产品和包装上生产批号请按我司标准
 3.比例：
 92104TQ5:MUNCHKIN(RARE): HIMALAYAN: PERSIAN: MAINE COON: RAGDOLL: RAGAMUFFIN: NORWEGIAN FOREST CAT = 2: 8: 10: 10: 10: 10: 10
 4.当同一PO或item有多个批次代码时，每个批次代码的纸箱必须分组在一起，且明显分开</t>
  </si>
  <si>
    <t>94435-3.4</t>
  </si>
  <si>
    <t>4500153570-20</t>
  </si>
  <si>
    <t>4500153570-30</t>
  </si>
  <si>
    <t>6MLY228D</t>
  </si>
  <si>
    <t>4500155048-20</t>
  </si>
  <si>
    <t>2/18-外箱贴纸</t>
  </si>
  <si>
    <t>,邮包盒图稿跟Amazon 4500124874</t>
  </si>
  <si>
    <t>日期码格式：ZURU INC(BVI) 标准格式 日期：按实际生产日期 
Packaging Info: 
 #92104 MA 1L UPC版本+邮包盒,邮包盒图稿跟Amazon 4500124874。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</si>
  <si>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Kelly Shen/Mia Pan</t>
  </si>
  <si>
    <t>94483-3.7</t>
  </si>
  <si>
    <t>5ZTODW6D</t>
  </si>
  <si>
    <t>4500155048-30</t>
  </si>
  <si>
    <t>3J27AKJX</t>
  </si>
  <si>
    <t>4500155048-40</t>
  </si>
  <si>
    <t>7E2X6LVI</t>
  </si>
  <si>
    <t>4500155020-50</t>
  </si>
  <si>
    <t>邮包盒图稿跟Amazon 4500124874</t>
  </si>
  <si>
    <t>94452-3.5</t>
  </si>
  <si>
    <t>6Z42NXHB</t>
  </si>
  <si>
    <t>4500155020-60</t>
  </si>
  <si>
    <t>88MDR3KS</t>
  </si>
  <si>
    <t>4500155020-70</t>
  </si>
  <si>
    <t>4USCZODN</t>
  </si>
  <si>
    <t>4500155020-80</t>
  </si>
  <si>
    <t>75L4VPSR</t>
  </si>
  <si>
    <t>4500155020-90</t>
  </si>
  <si>
    <t>4V455GTQ</t>
  </si>
  <si>
    <t>4500155020-100</t>
  </si>
  <si>
    <t>1R1OARYC</t>
  </si>
  <si>
    <t>4500155020-110</t>
  </si>
  <si>
    <t>Amazon IT:
6MR547DO</t>
  </si>
  <si>
    <t>4500154891-10</t>
  </si>
  <si>
    <t>日期码格式：ZURU INC(BVI) 标准格式 日期：按实际生产日期
Packaging Info: Amazon IT(92104D/77515)
 1. 92104D：92104D KITTYCORN SURPRISE(Ragdoll), 1pc/mailbox, 32mailboxes/ctn;MA 3L(9L warning)A收缩膜+MA 2L A布标+MA 5L(23L warning)A Slime胶袋+M
 A 5L A贴纸+MA 5L(23L warning)A 收藏指南+客版邮包盒(含UPC#+英法德意西5L警告语+IT/FR/ES环保标+ZURU邮箱)
 3. 最迟验货不得晚于2025/02/28;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</si>
  <si>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94547-3.14</t>
  </si>
  <si>
    <t>92104D-S001-3L</t>
  </si>
  <si>
    <t>512/2.20</t>
  </si>
  <si>
    <t>CUS
PO#47786195
SYD</t>
  </si>
  <si>
    <t>4500155576-40</t>
  </si>
  <si>
    <t>日期码格式：ZURU INC(BVI) 标准格式 日期：按实际生产日期 
Packaging Info: 1.包装：
 92104TQ1：MA UPC PKG+1张进口商贴纸，贴纸翻单4500124257
 2. 进口商贴纸上已经去掉日期码，产品和包装上的日期码一致，请按要求在包装上打日期码（进口商贴纸不覆盖日期码）
 3. 原指定日期码DDMMYY可改用ZURU标准日期码
Remark: 1.共出4港口(SYD,BNE,MEL,FRE)， 不同港口数量信息请见订单行项目，并请参考箱唛资料，港口不同，箱唛资料也不同；
 2. 箱唛不可出现任何手写内容（箱数除外），重量与实际一致且不可手写
 3.此单出澳大利亚，请按澳洲标准生产并满足当地法规要求
 4.出无闪粉版本，需符合欧洲微塑料法规</t>
  </si>
  <si>
    <t>94448-3.5</t>
  </si>
  <si>
    <t>576/2.20</t>
  </si>
  <si>
    <t>CUS
PO#47786512
BNE</t>
  </si>
  <si>
    <t>4500155576-80</t>
  </si>
  <si>
    <t>94621-3.24</t>
  </si>
  <si>
    <t>324/2.20</t>
  </si>
  <si>
    <t>CUS
PO#47786711
MEL</t>
  </si>
  <si>
    <t>4500155576-110</t>
  </si>
  <si>
    <t>420/2.20</t>
  </si>
  <si>
    <t>CUS
PO#47786712
FRE</t>
  </si>
  <si>
    <t>4500155576-150</t>
  </si>
  <si>
    <t>94437-3.4</t>
  </si>
  <si>
    <t>204/2.20</t>
  </si>
  <si>
    <t>4500155723-60</t>
  </si>
  <si>
    <t>日期码格式：ZURU INC(BVI) 标准格式 日期：按实际生产日期
Packaging Info: 
 92104TQ1：MA 3L EAN包装+UPC贴纸+MA PDQ包装+MA 多语收藏指南+进口商贴纸+箱唛
Remark: 
 92104TQ1: MUNCHKIN(RARE): HIMALAYAN: PERSIAN: MAINE COON: RAGDOLL: RAGAMUFFIN: NORWEGIAN FOREST CAT = 2: 8: 10: 10: 10: 10: 10</t>
  </si>
  <si>
    <t>3000/2.22</t>
  </si>
  <si>
    <t>4500149460-70</t>
  </si>
  <si>
    <r>
      <rPr>
        <sz val="14"/>
        <color rgb="FF1506E0"/>
        <rFont val="宋体"/>
        <charset val="134"/>
      </rPr>
      <t xml:space="preserve">日期码格式：ZURU INC(BVI) 标准格式 日期：按实际生产日期 
Packaging Info: 
</t>
    </r>
    <r>
      <rPr>
        <i/>
        <sz val="14"/>
        <color rgb="FF1506E0"/>
        <rFont val="宋体"/>
        <charset val="134"/>
      </rPr>
      <t xml:space="preserve"> 92104TQ1:MA 3LEAN包装+进口商贴纸+价标贴纸+箱唛</t>
    </r>
    <r>
      <rPr>
        <sz val="14"/>
        <color rgb="FF1506E0"/>
        <rFont val="宋体"/>
        <charset val="134"/>
      </rPr>
      <t xml:space="preserve">
Remark: 1. 此单价格贴纸（ZURU定购).
2.此单有第三方监柜，不用额外准备备品，会在大货中每款拆1pc，拆了包装的产品会由监装员用客供胶带封好或在外箱上写上""opened by telescope”</t>
    </r>
  </si>
  <si>
    <t>540/2.24</t>
  </si>
  <si>
    <t>TARGET AUSTRALIA PTY LTD</t>
  </si>
  <si>
    <t>4500154618-60</t>
  </si>
  <si>
    <t>2/26-2/28出</t>
  </si>
  <si>
    <t>2/12-外箱贴纸</t>
  </si>
  <si>
    <t>日期码格式：ZURU INC(BVI) 标准格式 日期：按实际生产日期
Packaging Info:
 5. 92104TQ1:MA_1L UPC版本包装（收缩膜和收藏指南, MA首选1L，如无1L可用多语且含英语的配套多语包装）+ 箱唛 + 外箱贴纸SSCC Label；MUNCHKIN(RARE): H
 IMALAYAN: PERSIAN: MAINE COON: RAGDOLL: RAGAMUFFIN: NORWEGIAN FOREST CAT = 2: 8: 10: 10: 10: 10: 10;
Remark: 1. 客人要求箱唛不可出现任何手写内容，重量与实际一致且不可手写;
 2. 此单去澳大利亚，请按相应澳新标准生产;
 3. 使用普通透明封箱胶封箱（若有客版封箱胶带库存可先消耗完库存）
 4. 外箱需要贴Target SSCC LABEL,客供PDF文档，工厂自行订购。请贴在正唛右下角（一箱一张，贴1面正唛右下角,封箱胶纸不能挡住贴纸内容。)；外箱贴纸距离
 外箱边缘应在2cm以上。如果正唛无位置可以贴在侧唛。
 5. 外箱材质为ZURU标准；
 6. 产品和包装上要有tracking label信息：格式为Zuru标准格式（可以自行调整具体年月日生产日期,避开节假期日）；
 7. SSCC Label 尺寸更新为：4x4 inch。
 8. 请务必按时完货，验货PASS后请按时送货入货代指定仓库，如果晚了导致船期Delay将会有罚金产生或者客户要求空运，所产生的罚金和空运费由工厂承担</t>
  </si>
  <si>
    <t>94374-2.27</t>
  </si>
  <si>
    <t>东莞完成</t>
  </si>
  <si>
    <t>4500154604-70</t>
  </si>
  <si>
    <t>日期码格式：ZURU INC(BVI) 标准格式 日期：按实际生产日期 
Packaging Info: 
 92104TQ1:MA 3LEAN包装+进口商贴纸+价标贴纸+箱唛,进口商贴纸翻单PO4500149460
Remark: 1. 此单价格贴纸（ZURU定购).
2.此单有第三方监柜，不用额外准备备品，会在大货中每款拆1pc，拆了包装的产品会由监装员用客供胶带封好或在外箱上写上""opened by telescope”</t>
  </si>
  <si>
    <t>Amazon IT:
77AL2RKU</t>
  </si>
  <si>
    <t>4500155641-10</t>
  </si>
  <si>
    <t>3/17-3/21出</t>
  </si>
  <si>
    <t>空白外箱（加印带Zuru字样的最新logo，除了邮包盒直接做外箱的产品） + SSCC LABEL一张, 无箱唛。’MADE IN CHINA 外箱只印一正一侧。</t>
  </si>
  <si>
    <t>1/26-外箱贴纸</t>
  </si>
  <si>
    <t>邮包盒新稿</t>
  </si>
  <si>
    <t>日期码格式：ZURU INC(BVI) 标准格式 日期：按实际生产日期 
Packaging Info: Amazon IT(92104H/92104D/77515)
 1. 92104H：92104H KITTYCORN SURPRISE(Norwegian Forest Cat), 1pc/mailbox, 32mailboxes/ctn;MA 3L(9L warning)A收缩膜+MA 2L A布标+MA 5L(23L warning)
 A Slime胶袋+MA 5L A贴纸+MA 5L(23L warning)A 收藏指南+客版邮包盒(含英法德意西5L警告语+IT/FR/ES环保标+ZURU邮箱，参考翻单PO#4500155641)；
 4. 最迟验货不得晚于2025/3/10.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</si>
  <si>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94600-3.21</t>
  </si>
  <si>
    <t>4500155641-20</t>
  </si>
  <si>
    <t>客版邮包盒(含UPC#+英法德意西5L警告语+IT/FR/ES环保标+ZURU邮箱，参考翻单PO#4500154891</t>
  </si>
  <si>
    <t>日期码格式：ZURU INC(BVI) 标准格式 日期：按实际生产日期 
Packaging Info: Amazon IT(92104H/92104D/77515)
 2. 92104D：92104D KITTYCORN SURPRISE(Ragdoll), 1pc/mailbox, 32mailboxes/ctn;MA 3L(9L warning)A收缩膜+MA 2L A布标+MA 5L(23L warning)A Slime胶袋+M
 A 5L A贴纸+MA 5L(23L warning)A 收藏指南+客版邮包盒(含UPC#+英法德意西5L警告语+IT/FR/ES环保标+ZURU邮箱，参考翻单PO#4500154891)
 4. 最迟验货不得晚于2025/3/10.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</si>
  <si>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3OLH3W4Q</t>
  </si>
  <si>
    <t>4500155812-90</t>
  </si>
  <si>
    <t>2/21-外箱贴纸</t>
  </si>
  <si>
    <t>邮包盒图稿跟Amazon 4500124874。</t>
  </si>
  <si>
    <t>日期码格式：ZURU INC(BVI) 标准格式 日期：按实际生产日期
Packaging Info: 
 #92104 MA 1L UPC版本+邮包盒,邮包盒图稿跟Amazon 4500124874。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</si>
  <si>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ZB00039-3.24</t>
  </si>
  <si>
    <t>3SAZB4TU</t>
  </si>
  <si>
    <t>4500155812-100</t>
  </si>
  <si>
    <t>78YUY62S</t>
  </si>
  <si>
    <t>4500155806-50</t>
  </si>
  <si>
    <t>日期码格式：ZURU INC(BVI) 标准格式 日期：按实际生产日期 
Packaging Info: 
 #92104 MA 1L UPC版本+邮包盒,邮包盒图稿跟Amazon 4500124874。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</si>
  <si>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ZB00030-3.21</t>
  </si>
  <si>
    <t>2QBOT36B</t>
  </si>
  <si>
    <t>4500155806-60</t>
  </si>
  <si>
    <t>83U3OF7F</t>
  </si>
  <si>
    <t>4500155806-70</t>
  </si>
  <si>
    <t>4500155852-10</t>
  </si>
  <si>
    <t>1/21-意西回收贴纸</t>
  </si>
  <si>
    <t>日期码格式：ZURU INC(BVI) 标准格式 日期：按实际生产日期 
Packaging Info: 92104TQ1: 最新MA 3L+9L warning EAN收缩膜+最新MA 5L收藏指南+最新MA PDQ+最新MA 5L胶袋+最新MA贴纸+最新MA布标+一张意西回收贴纸
Remark: 1. 西班牙国家内销单，需要通过ZURU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</si>
  <si>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G.T. WHOLESALE LIMITED</t>
  </si>
  <si>
    <t>2892611-00</t>
  </si>
  <si>
    <t>4500154715-10</t>
  </si>
  <si>
    <t>3/11出</t>
  </si>
  <si>
    <t>消耗4500142349滞留纸箱290pcs 水贴纸更正内容</t>
  </si>
  <si>
    <t>日期码格式： 标准格式 日期：按实际生产日期 
Packaging Info: 92104TQ2 无硼版本 MA 多语EAN+UPC贴纸UPC号码193052064417
Remark: 出口加拿大， 有 进口商贴纸
 2/21前寄出大货样2套
 Zuru验货 需要单个产品称重的图片和整箱产品称重的图片，还需要产品上made in China的晒字图片，包装上的警告语的清晰图片，以及单个产品的尺寸测量图片
 和外箱的尺寸测量图片
日期跟踪码：产品外包装必须有日期跟踪码，ZURU标准格式日期码</t>
  </si>
  <si>
    <t>94516-3.11</t>
  </si>
  <si>
    <t>1740/2.21</t>
  </si>
  <si>
    <t>DISTRIBUIDORA JUGUETRON S.A. DE C.V</t>
  </si>
  <si>
    <t>4500156374-10</t>
  </si>
  <si>
    <t>2/24-UPC贴纸+外箱贴纸+进口商贴纸</t>
  </si>
  <si>
    <t>日期码格式：ZURU INC(BVI) 标准格式 日期：按实际生产日期 
Packaging Info: 92104TQ1:MA 3L EAN包装+UPC贴纸+MA 3L PDQ+外箱贴纸+进口商贴纸+箱唛
Remark: 此单有第三方监柜，需要每款多备1套完整物料</t>
  </si>
  <si>
    <t>94515-3.11</t>
  </si>
  <si>
    <t>ZMPO250117</t>
  </si>
  <si>
    <t>Remark：大货最新版本/数量平均/麻烦按款号装箱/并在外箱上注明款号/箱唛请参照邮件附件；备注：收到样品订单后尽快安排,注意样板品质质量要求要高于大货品质要求 ，送货时必须要附带送货单(没有送货单和QC检验合格报告的仓库一律拒绝收货)，请知悉，谢谢！</t>
  </si>
  <si>
    <t>4500156082-50</t>
  </si>
  <si>
    <t>92104-S004-NB-MTS</t>
  </si>
  <si>
    <t>日期码格式：ZURU INC(BVI) 标准格式 日期：按实际生产日期
Packaging Info:
 92104:MA最新版3L+9Lwaning EAN收缩膜+PL/HU/SK/CZ/RO警语贴纸+MA最新版5L复合袋+MA最新版5L收藏指南+MA最新版布标+MA最新版5L贴纸;
Remark: 1.波兰内销单，需要通过ZURU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</si>
  <si>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92104-S004-NB</t>
  </si>
  <si>
    <t>4500157623-30</t>
  </si>
  <si>
    <t>警语贴纸翻4500156082</t>
  </si>
  <si>
    <t>日期码格式：ZURU INC(BVI) 标准格式 日期：按实际生产日期 
Packaging Info: 
 92104:MA最新版3L+9Lwaning EAN收缩膜+PL/HU/SK/CZ/RO警语贴纸（贴纸翻单4500156082）+MA最新版5L复合袋+MA最新版5L收藏指南+MA最新版布标+MA最新版5L贴纸
Remark: 1.波兰内销单，需要通过ZURU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</si>
  <si>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94553-3.14</t>
  </si>
  <si>
    <t>4500154624-70</t>
  </si>
  <si>
    <t>4500156115-140</t>
  </si>
  <si>
    <t>1/23-含NL警告语+EAN贴纸</t>
  </si>
  <si>
    <t>客版邮包盒(参考Amazon PO#4500124874</t>
  </si>
  <si>
    <t>日期码格式：ZURU INC(BVI) 标准格式 日期：按实际生产日期
Packaging Info: BOL NL(92104ABDEGH)
 3. 92104ABDEGH:
 ---92104A: 1 PCS/MAIL BOX, 32PCS/32MAIL BOX/CTN,Persian, With BORON (Lower 300ppm), Fabric Non-Glitter,PERSIAN: MUNCHKIN(RARE) = 58: 2; MA 3L(9L
 warning EAN)A收缩膜+MA 5L(23L warning)A收藏指南+MA 5L(9L warning)B Slime胶袋+MA A布标+MA 5L A贴纸+客版邮包盒(参考Amazon PO#4500124874)+1张贴纸(
 含NL警告语+EAN#, 直接覆盖原印刷位置)；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</si>
  <si>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92104A-S001-3L-1</t>
  </si>
  <si>
    <t>4500156115-150</t>
  </si>
  <si>
    <t>92104E-S001</t>
  </si>
  <si>
    <t>喜马拉雅猫（邮包盒）</t>
  </si>
  <si>
    <t>日期码格式：ZURU INC(BVI) 标准格式 日期：按实际生产日期 
Packaging Info: BOL NL(92104ABDEGH)
 3. 92104ABDEGH:
 ---92104E: 1 PCS/MAIL BOX, 32PCS/32MAIL BOX/CTN,Himalayan,With BORON (Lower 300ppm), Fabric Non-Glitter,HIMALAYAN: MUNCHKIN(RARE) = 58: 2; MA 3
 L(9L warning EAN)A收缩膜+MA 5L(23L warning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</si>
  <si>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92104E-S001-3L-1</t>
  </si>
  <si>
    <t>4500156115-170</t>
  </si>
  <si>
    <t>日期码格式：ZURU INC(BVI) 标准格式 日期：按实际生产日期 
Packaging Info: BOL NL(92104ABDEGH)
 3. 92104ABDEGH:
 ---92104B: 1 PCS/MAIL BOX, 32PCS/32MAIL BOX/CTN, Maine Coon,With BORON (Lower 300ppm), Fabric Non-Glitter, MAINE COON: MUNCHKIN(RARE) = 58: 2; M
 A 3L(9L warning EAN)A收缩膜+MA 5L(23L warning)A收藏指南+MA 5L(9L warning)B Slime胶袋+MA A布标+MA 5L A贴纸+客版邮包盒(参考Amazon PO#4500124874)+1
 张贴纸(含NL警告语+EAN#, 直接覆盖原印刷位置)；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</si>
  <si>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92104B-S001-3L-1</t>
  </si>
  <si>
    <t>4500156115-180</t>
  </si>
  <si>
    <t>日期码格式：ZURU INC(BVI) 标准格式 日期：按实际生产日期
Packaging Info: BOL NL(92104ABDEGH)
 3. 92104ABDEGH:
 ---92104G: 1 PCS/MAIL BOX, 32PCS/32MAIL BOX/CTN, Ragamuffin, With BORON (Lower 300ppm), Fabric Non-Glitter, RAGAMUFFIN: MUNCHKIN(RARE) = 58: 2;
 MA 3L(9L warning EAN)A收缩膜+MA 5L(23L warning)A收藏指南+MA 5L(9L warning)B Slime胶袋+MA A布标+MA 5L A贴纸+客版邮包盒(参考Amazon PO#4500124874)
 +1张贴纸(含NL警告语+EAN#, 直接覆盖原印刷位置)；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</si>
  <si>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92104G-S001-3L-1</t>
  </si>
  <si>
    <t>4500156115-470</t>
  </si>
  <si>
    <t>日期码格式：ZURU INC(BVI) 标准格式 日期：按实际生产日期 
Packaging Info: BOL NL(92104ABDEGH)
 3. 92104ABDEGH:
 ---92104D:1 PCS/MAIL BOX, 32PCS/32MAIL BOX/CTN, Ragdoll,With BORON (Lower 300ppm), Fabric Non-Glitter,RAGDOLL: MUNCHKIN(RARE) = 58: 2 ; MA 3L(9L
 warning EAN)A收缩膜+MA 5L(23L warning)A收藏指南+MA 5L(9L warning)B Slime胶袋+MA A布标+MA 5L A贴纸+客版邮包盒(参考Amazon PO#4500124874)+1张贴纸(
 含NL警告语+EAN#, 直接覆盖原印刷位置)；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</si>
  <si>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92104D-S001-3L-1</t>
  </si>
  <si>
    <t>4500156115-480</t>
  </si>
  <si>
    <t>日期码格式：ZURU INC(BVI) 标准格式 日期：按实际生产日期 
Packaging Info: BOL NL(92104ABDEGH)
 3. 92104ABDEGH:
 ---92104H: 1 PCS/MAIL BOX, 32PCS/32MAIL BOX/CTN, Norwegian Forest Cat,With BORON (Lower 300ppm), Fabric Non-Glitter, RAGAMUFFINNORWEGIAN FOREST
 CAT: MUNCHKIN(RARE) = 58: 2; MA 3L(9L warning EAN)A收缩膜+MA 5L(23L warning)A收藏指南+MA 5L(9L warning)B Slime胶袋+MA A布标+MA 5L A贴纸+客版邮
 包盒(参考Amazon PO#4500124874)+1张贴纸(含NL警告语+EAN#, 直接覆盖原印刷位置)；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</si>
  <si>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92104H-S001-3L-1</t>
  </si>
  <si>
    <t>JUGUETES PASTOR S.L</t>
  </si>
  <si>
    <t>4500155907-20</t>
  </si>
  <si>
    <t>西班牙环保标贴纸贴纸翻450015424</t>
  </si>
  <si>
    <t>日期码格式：ZURU INC(BVI) 标准格式 日期：按实际生产日期
Packaging Info:
 2.92104TQ1:最新MA 3L EAN版本包装+一张西班牙环保标贴纸+MA PDQ；(贴纸翻单4500154244）；
Remark:</t>
  </si>
  <si>
    <t>PLASTICOSUR S.A</t>
  </si>
  <si>
    <t>4500155934-20</t>
  </si>
  <si>
    <r>
      <rPr>
        <sz val="12"/>
        <color rgb="FF1506E0"/>
        <rFont val="宋体"/>
        <charset val="134"/>
      </rPr>
      <t>西班牙环保标贴纸翻</t>
    </r>
    <r>
      <rPr>
        <sz val="9"/>
        <color rgb="FF1506E0"/>
        <rFont val="STSong-Light"/>
        <charset val="134"/>
      </rPr>
      <t>4500154244</t>
    </r>
  </si>
  <si>
    <t>日期码格式：ZURU INC(BVI) 标准格式 日期：按实际生产日期 
Packaging Info: 
 2.92104TQ1:最新MA 3L EAN版本包装+一张西班牙环保标贴纸；(贴纸翻单4500154244）；
Remark:</t>
  </si>
  <si>
    <t>4500156659-20</t>
  </si>
  <si>
    <t>日期码格式：ZURU INC(BVI) 标准格式 日期：按实际生产日期 
Packaging Info:
 92104：1L MA 最新收缩膜+进口商贴纸(翻PO4500146482); MA指南/说明书（如有）;
Remark: 标准配比</t>
  </si>
  <si>
    <t>4500156544-10</t>
  </si>
  <si>
    <t>2/19-进口商贴纸</t>
  </si>
  <si>
    <t>日期码格式：ZURU INC(BVI) 标准格式 日期：按实际生产日期
Packaging Info: 92104:MA 3L EAN包装+进口商贴纸（进口商贴纸+UPC贴纸合并为一张）+箱唛
Remark:</t>
  </si>
  <si>
    <t>94726-4.8</t>
  </si>
  <si>
    <t>PPTOYS PTE LTD (SG)</t>
  </si>
  <si>
    <t>新加坡</t>
  </si>
  <si>
    <t>ZU25012002SG</t>
  </si>
  <si>
    <t>4500157618-30</t>
  </si>
  <si>
    <t>进口商贴纸翻4500128817</t>
  </si>
  <si>
    <t>日期码格式：ZURU INC(BVI) 标准格式 日期：按实际生产日期 
Packaging Info: MA UPC包装（优先1L)+1张进口商贴纸
 92104-贴纸AW、位置图翻单4500128817
此客人用的贴纸内容都是一样的，个别item可能存在尺寸差别，收到贴纸后如果尺寸没差别，请都统一订购节省成本
Remark: 
 92104-MUNCHKIN(RARE): HIMALAYAN: PERSIAN: MAINE COON: RAGDOLL: RAGAMUFFIN: NORWEGIAN FOREST CAT = 2: 8: 10: 10: 10: 10: 10</t>
  </si>
  <si>
    <t>94603-3.21</t>
  </si>
  <si>
    <t>4500156881-30</t>
  </si>
  <si>
    <t>4500157780-70</t>
  </si>
  <si>
    <t>日期码格式：ZURU INC(BVI) 标准格式 日期：按实际生产日期
Packaging Info: 1. 无进口商贴纸；
 2. 92104 ： 1L MA UPC 包装， MA PDQ/说明书/指南（如有）；
Remark: 标准配比</t>
  </si>
  <si>
    <t>2025ZURU10</t>
  </si>
  <si>
    <t>4500157213-40</t>
  </si>
  <si>
    <t>2/11-UPC贴纸</t>
  </si>
  <si>
    <t>日期码格式： 标准格式 日期：按实际生产日期 
Packaging Info: 
 92104TQ2 无硼版本MA 多语EAN+UPC贴纸 UPC 193052064417
Remark: 出加拿大
Zuru验货.日期跟踪码：产品外包装及产品本身都必须有日期跟踪码，ZURU标准格式日期码。（箱唛日期码按跟单提供格式）</t>
  </si>
  <si>
    <t>94638-3.25</t>
  </si>
  <si>
    <t>MUQ55-S001-92104</t>
  </si>
  <si>
    <t>日期码格式：ZURU INC(BVI) 标准格式 日期：按实际生产日期 
Packaging Info: MUQ55：客版PDQ，14PCS/PDQ/CTN（附带拆箱手册）
 兴信:
 92104：英文MA包装 (UPC版本，首选1L，无1L可用多L含英语)
 配比：MUNCHKIN(RARE): HIMALAYAN: PERSIAN: MAINE COON: RAGDOLL: RAGAMUFFIN: NORWEGIAN FOREST CAT = 1: 1: 1: 1: 1: 1: 1 （可以随机，不要重复即可）
 超邦送货：MPO# MPO03169
Remark: 1. 出不同港口，每行对应客户不同DC，见备注栏；
 2. 待产前样确认后方可做大货；
 3. 此单出澳大利亚，请按澳洲标准生产并满足当地法规要求。</t>
  </si>
  <si>
    <t>CUS  PO#8503006252
Derrimut, VIC</t>
  </si>
  <si>
    <t>ZU25021701</t>
  </si>
  <si>
    <t>4500158305-20</t>
  </si>
  <si>
    <t>92104-S002</t>
  </si>
  <si>
    <t>长尾巴猫（胶袋装）</t>
  </si>
  <si>
    <t>3/3-进口商贴纸</t>
  </si>
  <si>
    <t>日期码格式：ZURU INC(BVI) 标准格式 日期：按实际生产日期
Packaging Info: MA 1L UPC包装+1张进口商贴纸,
92104-因客人害怕产品的尾巴脏污,所以需增加一个透明袋包住产品,如PO#4500146291,新建客制spec 92104-S002;
 此单贴纸资料待提供;
Remark: 
 92104-MUNCHKIN(RARE): HIMALAYAN: PERSIAN: MAINE COON: RAGDOLL: RAGAMUFFIN: NORWEGIAN FOREST CAT = 2: 8: 10: 10: 10: 10: 10</t>
  </si>
  <si>
    <t>94629-3.25</t>
  </si>
  <si>
    <t>65QF3U9V</t>
  </si>
  <si>
    <t>4500156625-40</t>
  </si>
  <si>
    <t>3/31-4/4出</t>
  </si>
  <si>
    <t>2/26-外箱贴纸</t>
  </si>
  <si>
    <t>邮包盒,邮包盒图稿跟Amazon 4500127793</t>
  </si>
  <si>
    <t>日期码格式：ZURU INC(BVI) 标准格式 日期：按实际生产日期 
Packaging Info: 
 #92104 MA 1L UPC版本+邮包盒,邮包盒图稿跟Amazon 4500127793。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</si>
  <si>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ZB00097-4.2</t>
  </si>
  <si>
    <t>Amazon DE:
6L75SA6Q</t>
  </si>
  <si>
    <t>4500157663-10</t>
  </si>
  <si>
    <t>4/6-4/10出</t>
  </si>
  <si>
    <t>空白外箱（加印带Zuru字样的最新logo 无箱唛，MADE IN CHINA 外箱只印一正一侧。</t>
  </si>
  <si>
    <t>3/7-SSCC LABEL一张,</t>
  </si>
  <si>
    <t>日期码格式：ZURU INC(BVI) 标准格式 日期：按实际生产日期
Packaging Info: Amazon DE(92104G)
 1. 92104
 --92104G：92104G KITTYCORN SURPRISE(Ragamuffin), 1pc/mailbox, 32mailboxes/ctn; MA 3L(9L warning)A收缩膜+MA 2L A布标+MA 5L(23L warning)A Slime胶
 袋+MA 5L A贴纸+MA 5L(23L warning)A 收藏指南+客版邮包盒(UPC#+英法德意西5L警告语+IT/FR/ES环保标+ZURU邮箱)；
 2. 最迟验货不得晚于2025/3/31;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</si>
  <si>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94740-4.10</t>
  </si>
  <si>
    <t>Amazon FR:
5L4KZQSI</t>
  </si>
  <si>
    <t>4500157663-20</t>
  </si>
  <si>
    <t>日期码格式：ZURU INC(BVI) 标准格式 日期：按实际生产日期
Packaging Info: Amazon FR(92104A)
 1. 92104
 --92104A：92104A KITTYCORN SURPRISE(Persian), 1pc/mailbox, 32mailboxes/ctn; MA 3L(9L warning)A收缩膜+MA 2L A布标+MA 5L(23L warning)A Slime胶袋+M
 A 5L A贴纸+MA 5L(23L warning)A 收藏指南+客版邮包盒(UPC#+英法德意西5L警告语+IT/FR/ES环保标+ZURU邮箱)；
 2. 最迟验货不得晚于2025/3/31;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</si>
  <si>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94728-4.8</t>
  </si>
  <si>
    <t>92104A-S001-3L</t>
  </si>
  <si>
    <t>4500158665-60</t>
  </si>
  <si>
    <t>日期码格式：ZURU INC(BVI) 标准格式 日期：按实际生产日期
Packaging Info: MA UPC包装，无需加贴纸
Remark: 
92104-MUNCHKIN(RARE): HIMALAYAN: PERSIAN: MAINE COON: RAGDOLL: RAGAMUFFIN: NORWEGIAN FOREST CAT = 2: 8: 10: 10: 10: 10: 10</t>
  </si>
  <si>
    <t>4500158356-10</t>
  </si>
  <si>
    <t>日期码格式：ZURU INC(BVI) 标准格式 日期：按实际生产日期
Packaging Info: 92104TQ1：MA 3L EAN包装+UPC贴纸+MA PDQ包装+MA 多语收藏指南+箱唛
Remark:
 92104TQ1: MUNCHKIN(RARE): HIMALAYAN: PERSIAN: MAINE COON: RAGDOLL: RAGAMUFFIN: NORWEGIAN FOREST CAT = 2: 8: 10: 10: 10: 10: 10</t>
  </si>
  <si>
    <t>Amazon
DE:8YCX6ZPU</t>
  </si>
  <si>
    <t>4500158194-110</t>
  </si>
  <si>
    <t>4/11-4/15出</t>
  </si>
  <si>
    <t>空白外箱（加印带Zuru字样的最新logo，除了邮包盒直接做外箱的产品） 无箱唛，MADE IN CHINA 外箱只印一正一侧。</t>
  </si>
  <si>
    <t>3/10-外箱贴纸</t>
  </si>
  <si>
    <t>客版邮包盒(UPC#+英法德意西5L警告语+IT/FR/ES环保标+ZURU邮箱，参考翻单PO#4500155641</t>
  </si>
  <si>
    <t>日期码格式：ZURU INC(BVI) 标准格式 日期：按实际生产日期 
Packaging Info: Amazon UK(92104H)
 2. 92104H：92104H KITTYCORN SURPRISE(Norwegian Forest Cat), 1pc/mailbox, 32mailboxes/ctn;MA 3L(9L warning)A收缩膜+MA 2L A布标+MA 5L(23L warning)
 A Slime胶袋+MA 5L A贴纸+MA 5L(23L warning)A 收藏指南+客版邮包盒(UPC#+英法德意西5L警告语+IT/FR/ES环保标+ZURU邮箱，参考翻单PO#4500155641)；
 4. 最迟验货不得晚于2025/4/2;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</si>
  <si>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94762-4.14</t>
  </si>
  <si>
    <t>MEC326-S001-92104</t>
  </si>
  <si>
    <t>长尾巴猫4款混装展示架（9298+92104+9296+9283)</t>
  </si>
  <si>
    <t>MEC326-S001</t>
  </si>
  <si>
    <t>4500151398-80</t>
  </si>
  <si>
    <t>11/26收到新膜文档                                                                                                                                                                     外包装/外箱不要打ZURU标准日期码</t>
  </si>
  <si>
    <t>日期码格式：外包装/外箱不要打ZURU标准日期码 日期：按实际生产日期
Packaging Info: 注意 ：外包装 (指: 收缩膜/彩卡/铝箔袋/挂卡/PDQ) /外箱不要打ZURU标准日期码！胶件可以打日期码。
92104TQ2 ： 客版收缩膜 ， MA 指南/PDQ ；消耗4500143218 呆滞外箱：367个 用水贴纸
Remark: 标准配比
出BEKASOVO 2 和Ural 2 个港口；
货期不可延， 有罚金 。</t>
  </si>
  <si>
    <t>92104TQ2-S002-1</t>
  </si>
  <si>
    <t>4500151398-160</t>
  </si>
  <si>
    <t>11/19收到                                                                                                                                                                             消耗4500143218 呆滞外箱：367个 用水贴纸</t>
  </si>
  <si>
    <t>4500158103-20</t>
  </si>
  <si>
    <t>日期码格式：ZURU INC(BVI) 标准格式 日期：按实际生产日期
Packaging Info: 1.MA UPC包装（优先1L)+1张进口商贴纸+1张空白贴纸盖住包装上的G Mark(确保空白贴纸厚度足够，不会透出字体，贴纸颜色请严格按照要求，避免色差）
92104-贴纸AW、位置图翻单4500145310
其他item-MA UPC包装（优先1L)+1张进口商贴纸,不需要空白贴纸因为进口商贴纸已经盖住了G MARK。贴纸AW、位置图待提供
2.内容都是一样的，如果尺寸也一样，请一起订购节省成本
3.彩盒条码/纸箱不接受任何贴纸
Remark:
92104-MUNCHKIN(RARE): HIMALAYAN: PERSIAN: MAINE COON: RAGDOLL: RAGAMUFFIN: NORWEGIAN FOREST CAT = 2: 8: 10: 10: 10: 10: 10</t>
  </si>
  <si>
    <t>4500157195-20</t>
  </si>
  <si>
    <t>4500159192-40</t>
  </si>
  <si>
    <t>翻4500154564</t>
  </si>
  <si>
    <t>客制收缩膜+ 中文布标(可用布标贴纸)翻单： 4500154564</t>
  </si>
  <si>
    <t>日期码格式：ZURU INC(BVI) 标准格式 日期：按实际生产日期 
Packaging Info: 物料要求 SKU 所有款号务必使用带有CCC 标识的AW
 5 92104TQ2 MA PDQ+客制收缩膜+ 中文布标(可用布标贴纸)+中文收藏指南 翻单： 4500154564
 6. 40 50 60行 取消客供芯片码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</si>
  <si>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94782-4.17</t>
  </si>
  <si>
    <t>4500158447-70</t>
  </si>
  <si>
    <t>日期码格式：ZURU INC(BVI) 标准格式 日期：按实际生产日期
Packaging Info:
 5. 92104TQ1:MA 3L EAN包装+UPC贴纸+MA PDQ包装+MA 多语收藏指南+进口商贴纸+箱唛
 以上所有贴纸翻单PO4500158302
Remark: 1.使用双坑外箱
 2.请注意产品包装条形码必须是UPC
 3.无第三方验货
 92104：MUNCHKIN(RARE): HIMALAYAN: PERSIAN: MAINE COON: RAGDOLL: RAGAMUFFIN: NORWEGIAN FOREST CAT = 2: 8: 10: 10: 10: 10: 10</t>
  </si>
  <si>
    <t>4500158535-70</t>
  </si>
  <si>
    <t>日期码格式：ZURU INC(BVI) 标准格式 日期：按实际生产日期 
Packaging Info: 1. 
 5. 92104TQ1:MA 3L EAN包装+UPC贴纸+MA PDQ包装+MA 多语收藏指南+进口商贴纸+箱唛
 以上贴纸翻单PO 4500158302
Remark: 1.使用双坑外箱
 2.请注意产品包装条形码必须是UPC
 3.无第三方验货
 92104：MUNCHKIN(RARE): HIMALAYAN: PERSIAN: MAINE COON: RAGDOLL: RAGAMUFFIN: NORWEGIAN FOREST CAT = 2: 8: 10: 10: 10: 10: 10</t>
  </si>
  <si>
    <t>4500158302-70</t>
  </si>
  <si>
    <t>日期码格式：ZURU INC(BVI) 标准格式 日期：按实际生产日期 
Packaging Info: 
Remark: 1.使用双坑外箱
 2.请注意产品包装条形码必须是UPC
 3.无第三方验货
 4. 92104：MUNCHKIN(RARE): HIMALAYAN: PERSIAN: MAINE COON: RAGDOLL: RAGAMUFFIN: NORWEGIAN FOREST CAT = 2: 8: 10: 10: 10: 10: 10</t>
  </si>
  <si>
    <t>Walmart Central America-HN</t>
  </si>
  <si>
    <t>4500158415-60</t>
  </si>
  <si>
    <t>日期码格式：ZURU INC(BVI) 标准格式 日期：按实际生产日期 
Packaging Info: 
 5. 92104TQ1:MA 3L EAN包装+UPC贴纸+MA PDQ包装+MA 多语收藏指南+进口商贴纸+箱唛
 以上所有贴纸翻单PO4500158302
Remark: 1.使用双坑外箱
 2.请注意产品包装条形码必须是UPC
 3.无第三方验货
 4. 92104：MUNCHKIN(RARE): HIMALAYAN: PERSIAN: MAINE COON: RAGDOLL: RAGAMUFFIN: NORWEGIAN FOREST CAT = 2: 8: 10: 10: 10: 10: 10</t>
  </si>
  <si>
    <t>94891-4.30</t>
  </si>
  <si>
    <t>92124-S001-92104</t>
  </si>
  <si>
    <t>长尾巴猫（92119+9298+92104）</t>
  </si>
  <si>
    <t>92123-S001-92104</t>
  </si>
  <si>
    <t>92123-S001-929104</t>
  </si>
  <si>
    <t>4500156513-10</t>
  </si>
  <si>
    <t>4/24出</t>
  </si>
  <si>
    <t>每箱两张彩色贴纸, 彩色产品贴纸翻单4500152863</t>
  </si>
  <si>
    <t>2/18客供防盗贴</t>
  </si>
  <si>
    <t>DG20250306</t>
  </si>
  <si>
    <t>日期码格式：ZURU INC(BVI) 标准格式 日期：2025-03-06 
Packaging Info: 1)客版PDQ(翻单4500152863), 最新版ZURU MA UPC包装(去掉社交媒体标志，优先1L)，出口美国。如有说明书请使用ZURU MA说明书，优先放1L英语。
2)ZURU标准日期码格式：工厂城市缩写+生产年月日。此单收缩膜+蛋壳指定日期码：DG20250306
 ，布标日期码和口水胶日期码待工厂确定后尽快提供给跟单更新PO备注。
 3)外箱箱唛正侧相邻两面粘贴产品彩色贴纸，每箱两张彩色贴纸, 彩色产品贴纸翻单4500152863。如侧唛位置放不下彩贴和唛头信息，可改为放两个正唛。无论是正
 唛+侧唛或者是两个正唛，唛头信息和彩贴需放在同一个面。箱唛需排版给跟单确认。
 4) 每个球贴一张客供防盗贴，贴在收缩膜上，防盗贴由跟单采购，供应商直接发货到工厂。防盗贴贴纸位置与PO#4500152863确认的位置一致。
Remark: 客户PO#32806922
 客户SKU#1096260
 1) Item#92104TQ4-S003
 2) 此单无第三方验货+抽样测试，ZURU QC验货PASS后，跟单得到客户的approval之后方可安排出货
 3)大货外箱材积绝对不可大于下述数据，材积只接受3%的变小；重量正负不得超过以下列出数据的5%，接受外箱以印章方式印上实际毛重。
 大货外箱尺寸请保持： 30.0 x 23.0 x 22.0 cm(即11.81 x 9.06 x 8.66 inch)，材积必须不能大于0.5368CubeFeet（即0.0152CBM); 外箱毛重 2.4 LBS（即1.08 K
 GS）。
 4) 大货配比：
 Item#92104TQ4-S003
 S003-RAINBOCORN - KITTYCORN SURPRISE - SERIES 9 - PLUSH SMALL - SHRINK WRAP,2facing4PCS/
 PDQ/CTN
 UPC: 193052064417
 With BORON (Lower 300ppm), Non-Glitter
 2W*2D*1H=4PCS/PDQ
 MUNCHKIN(RARE): HIMALAYAN: PERSIAN: MAINE COON: RAGDOLL: RAGAMUFFIN: NORWEGIAN FOREST CAT = 2: 8: 10: 10: 10: 10: 10
 5) 客户Family Dollar不允许少数出货，必须按照PO上的数量出货，也不允许延期，否则会有罚款。
 6) 客户要求:"产品和包装不能含有PFAS 物质以及1,4 dioxane",请确保产品可以过美国标准测试。</t>
  </si>
  <si>
    <t>Jenny Liu/Nellie</t>
  </si>
  <si>
    <t>ZB00162-4.23</t>
  </si>
  <si>
    <t>Amazon UK:
6O1E2OTI</t>
  </si>
  <si>
    <t>4500159542-20</t>
  </si>
  <si>
    <t>客版邮包盒UPC#+英法德意西5L警告语+IT/FR/ES环保标+ZURU邮箱翻单450015766</t>
  </si>
  <si>
    <t>日期码格式：ZURU INC(BVI) 标准格式 日期：按实际生产日期 
Packaging Info: Amazon UK(92104G)
 2. 92104G：92104G KITTYCORN SURPRISE(Ragamuffin), 1pc/mailbox, 32mailboxes/ctn; MA 3L(9L warning)A收缩膜+MA 2L A布标+MA 5L(23L warning)A Slime胶
 袋+MA 5L A贴纸+MA 5L(23L warning)A 收藏指南+客版邮包盒(UPC#+英法德意西5L警告语+IT/FR/ES环保标+ZURU邮箱，参考翻单PO#4500157663)；
 6.最迟验货不得晚于2025/4/21;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</si>
  <si>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4500160421-20</t>
  </si>
  <si>
    <t>日期码格式：ZURU INC(BVI) 标准格式 日期：按实际生产日期 
Packaging Info: 
 92104TQ1：MA 3L EAN包装+UPC贴纸+MA PDQ包装+MA 多语收藏指南+箱唛
Remark: 
 92104TQ1: MUNCHKIN(RARE): HIMALAYAN: PERSIAN: MAINE COON: RAGDOLL: RAGAMUFFIN: NORWEGIAN FOREST CAT = 2: 8: 10: 10: 10: 10: 10</t>
  </si>
  <si>
    <t>4500157203-40</t>
  </si>
  <si>
    <t>4500160279-10</t>
  </si>
  <si>
    <t>94808-4.22</t>
  </si>
  <si>
    <t>4500160279-20</t>
  </si>
  <si>
    <t>4500160279-30</t>
  </si>
  <si>
    <t>4500159880-20</t>
  </si>
  <si>
    <t>4/30出</t>
  </si>
  <si>
    <t>3/28-进口商贴纸（含客户条码）+Slime polybag贴纸</t>
  </si>
  <si>
    <t>ZUR5114 #92104</t>
  </si>
  <si>
    <t>日期码格式：客户日期码ZUR5114 日期：
Packaging Info: 92104TQ1:Non-Boron, Fabric Non-Glitter MUNCHKIN(RARE): HIMALAYAN: PERSIAN: MAINE COON: RAGDOLL: RAGAMUFFIN: NORWEGIAN FOREST CAT = 2: 8: 10: 10:
10: 10: 10
Remark: 1.92104TQ1:MA 1L 收缩膜+进口商贴纸（含客户条码）+MA收藏指南，Slime需要无硼版本; MA PDQ；MA Slime polybag+贴纸
2.客户日期码：ZUR5114, 产品/包装/外箱请保持一致。产品蛋壳需要印日期ZUR5114和对应的item号码92104TQ1
3.92104TQ1需要1套满PDQ+1套完整大货样，寄到客户香港办公室，请多备料，地址如下：
Attn: Sylvia Li
Company name: GP Services HK Limited
Company address: Suite 1502, 15th Floor, Chinachem Golden Plaza, 77 Mody Road, TST East, Kowloon, Hong Kong
Company address (Chinese): 香港九龍尖沙咀東部麼地道77號華懋廣場1502室
Contact Tel: +852 2739 5363
4.大货验货需要由ZURU QC抽如下数量样板寄到广州ITS做EN 71-3测试
#92104TQ1-3pcs (含3不同个颜色slime的产品)</t>
  </si>
  <si>
    <t>94946-5.8</t>
  </si>
  <si>
    <t xml:space="preserve">已入 </t>
  </si>
  <si>
    <t>Smyths Toys EU HQ UC</t>
  </si>
  <si>
    <t>4500160238-10</t>
  </si>
  <si>
    <t>德语callout翻译贴纸翻4500123748</t>
  </si>
  <si>
    <t>日期码格式：ZURU INC(BVI) 标准格式 日期：按实际生产日期
Packaging Info: 最新MA PDQ + 3L(warning 9L)_EAN收缩膜+德语callout翻译贴纸+Polybag_MA_5L+Collector's guide_MA_5L(warning 23L)+MA布标, 贴纸及位置图翻4500123748
 EAN: 4894680033542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所有出往德国订单的电子产品需增加一张客版WEEE声明说明书，区分带电池和不带电池版本, 如已做客版说明书可忽略此要求。
 6. 标准配比</t>
  </si>
  <si>
    <t>94871-4.29</t>
  </si>
  <si>
    <t>4500160901-70</t>
  </si>
  <si>
    <t>客户EAN条码贴翻4500139632</t>
  </si>
  <si>
    <t>日期码格式：ZURU INC(BVI) 标准格式 日期：按实际生产日期
Packaging Info:
"92104TQ4-S004: 92104TQ4(客制Spec)：全套MA-1L包装+客户EAN条码贴一张覆盖ZURU 原条码 （条码贴翻4500139632），1L-ZURU标准客版PDQ
MUNCHKIN(RARE): HIMALAYAN: PERSIAN: MAINE COON: RAGDOLL: RAGAMUFFIN: NORWEGIAN FOREST CAT = 2: 8: 10: 10: 10: 10: 10; BARCODE: 5056296044865"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*条码以订单显示为准 ，请安排生产前先核对 ，有问题请提出。
*订单对应客户3个PO号 ，备注有显示 ，注意分开做货/验货/装柜 ，混装有罚款。
* 大货样： 请在4/10 前寄出每款1整套大货样到罗湖办公室7B Sandy Shao 收。</t>
  </si>
  <si>
    <t>94866-4.28</t>
  </si>
  <si>
    <t>4500160901-160</t>
  </si>
  <si>
    <t>4500160901-250</t>
  </si>
  <si>
    <t>WAL-MART CANADA CORP.</t>
  </si>
  <si>
    <t>4500161864-10</t>
  </si>
  <si>
    <t>92104TQ3-S001-NB</t>
  </si>
  <si>
    <t>4/29第三方抽办</t>
  </si>
  <si>
    <t>UPC条码贴纸翻4500126662</t>
  </si>
  <si>
    <t>日期码格式：ZURU INC(BVI) 标准格式 日期：按实际生产日期
Packaging Info: #92104TQ3: 客版英法双语PDQ(2装)+MA3L收缩膜+UPC条码贴纸(92104, 92104 B,D,E,G,H,J,共7款)+MA5L收藏指南+MA5L铝箔袋+MA5L贴纸+MA2L布标 (客版PDQ,UPC贴
纸翻单: 4500126662)
-UPC明细：
92104 PERSIAN 193052064417
92104B Maine Coon 193052067616
92104D RAGDOLL 193052067623
92104E HIMALAYAN 193052067630
92104G RAGAMUFFIN 193052067647
92104H NORWEGIAN FOREST CAT 193052067654
92104J MUNCHKIN(RARE) 193052071149
-产品配比：MUNCHKIN(RARE): HIMALAYAN: PERSIAN: MAINE COON: RAGDOLL: RAGAMUFFIN: NORWEGIAN FOREST CAT = 2: 8: 10: 10: 10: 10: 10
Remark: 1. 此单有箱唛;
2. 此单需要第三方验货，烦请多备包装物料;
3. 92104需使用无硼版本Slime；
4. 必须在原来错误的EAN条码上用黑色粗头笔涂黑直至不能扫描，再贴上正确的UPC;
5. 92104此单需于2025/4/28安排抽办测试，抽办数量：大货各5pcs+4sets 齐套散件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</si>
  <si>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Monica Zhou</t>
  </si>
  <si>
    <t>94928-5.6</t>
  </si>
  <si>
    <t>4500159816-30</t>
  </si>
  <si>
    <t>4/14-防盗贴纸</t>
  </si>
  <si>
    <t>日期码格式：ZURU INC(BVI) 标准格式 日期：按实际生产日期
Packaging Info:
3.92104TQ4-S001：MA 1L UPC包装+一张防盗贴纸（贴纸类型10111896: 40R ECON YBL DE 8.2 1kr，请工厂自行跟checkpoint供应商订购贴纸-防盗贴位置图翻单PO
4500114513)+客版 1L 版PDQ (2Facing4pcs/PDQ)-客版PDQ翻PO#4500142847;
UPC#193052064417，请先检查包装条码是否正确再安排做货;
Remark: 1）外箱有条码要求，排版时请留意并请确保条码清晰可扫描（封箱胶不要黏到条码上), 否则客人会有罚款。
2) 订单出英国，产品及包装需要印UKCA图标，包装需要有ZURU UK LTD/ZURU France地址信息，QC同事请查核，如有问题与跟单确认。
3) 箱唛日期码与包装保持一致
4) 若外箱重量超过16KGS，请提前告知ZURU跟单，需要客人批准才能出货，并且外箱需要印2 man lift标志</t>
  </si>
  <si>
    <t>4500156067-100</t>
  </si>
  <si>
    <t>4/29第三方</t>
  </si>
  <si>
    <t>5/13出</t>
  </si>
  <si>
    <t>4/7-进口商贴纸（含西班牙环保标）+一张产品贴纸</t>
  </si>
  <si>
    <t>客人格式日期码 LOT2511，产品（蛋壳等）/包装（收缩膜需要日期码）/外箱都需要印此日期码，请务必保持一致。</t>
  </si>
  <si>
    <t>日期码格式：LOT2511 日期： 
Packaging Info: 
 10.92104TQ1:最新MA 3L EAN收缩膜+最新MA 5L收藏指南+最新MA布标+最新MA PDQ+一张进口商贴纸（含西班牙环保标）+一张产品贴纸
Remark: 1. 订单出欧洲国家-西班牙，产品不能含有闪粉/微塑料，请确保所有包装都有西班牙环保标。
 2. 客人格式日期码 LOT2511，产品（蛋壳等）/包装（收缩膜等）/外箱都需要印此日期码，请务必保持一致。
 3. 新品需提供2套大货样品给客人，客人会签回一套，验货后验货员需要封1套板寄给香港办公室，请多备料。
 4. 需要符合欧洲标准不能含有闪粉和微塑料，否则不合法规会有客诉产生。
 5. 硼含量需要符合欧洲标准，否则不合法规会有客诉产生
 6，此客户需要第三方验货，请在约三方验货前必须PASS ZURU验货。</t>
  </si>
  <si>
    <t>92104TQ1-S001-NB-3L</t>
  </si>
  <si>
    <t>FREDMEYER INC</t>
  </si>
  <si>
    <t>PO#38933068</t>
  </si>
  <si>
    <t>4500160963-40</t>
  </si>
  <si>
    <t>日期码格式：ZURU INC(BVI) 标准格式 日期：按实际生产日期
Packaging Info: 1、包装方式: MA UPC优先1L最新版本，出口美国
Remark: 2、无测试无第三方验货要求。
3、纸箱4面印ZURU LOGO + 箱唛
4、日期码请按ZURU标准版执行即可。
5、ZURU QC验货。
6、Ratio:</t>
  </si>
  <si>
    <t>ZB00421-6.6</t>
  </si>
  <si>
    <t>4500160345-40</t>
  </si>
  <si>
    <t>3/31-UPC贴纸</t>
  </si>
  <si>
    <t>2025-0337</t>
  </si>
  <si>
    <t>4500160575-20</t>
  </si>
  <si>
    <t>4/10-进口商贴纸+UPC贴纸合并为一张</t>
  </si>
  <si>
    <t>日期码格式：ZURU INC(BVI) 标准格式 日期：按实际生产日期
Packaging Info:
92104TQ1：MA 多语包装+MA PDQ包装+进口商贴纸（进口商贴纸+UPC贴纸合并为一张）+箱唛</t>
  </si>
  <si>
    <t>94920-5.5</t>
  </si>
  <si>
    <t>Amazon
UK:6DAPTV5E</t>
  </si>
  <si>
    <t>4500160662-80</t>
  </si>
  <si>
    <t>空白外箱（加印带Zuru字样的最新logo，除了邮包盒直接做外箱的产品） +MADE IN CHINA 外箱只印一正一侧。</t>
  </si>
  <si>
    <t>4/7-外箱贴纸</t>
  </si>
  <si>
    <t>客版邮包盒(UPC#+英法德意西5L警告语+IT/FR/ES环保标+ZURU邮箱，参考翻单PO#4500155641)；</t>
  </si>
  <si>
    <t>日期码格式：ZURU INC(BVI) 标准格式 日期：按实际生产日期 
Packaging Info: Amazon UK(92104H)
 6. 92104H：92104H KITTYCORN SURPRISE(Norwegian Forest Cat), 1pc/mailbox, 32mailboxes/ctn;MA 3L(9L warning)A收缩膜+MA 2L A布标+MA 5L(23L warning)
 A Slime胶袋+MA 5L A贴纸+MA 5L(23L warning)A 收藏指南+客版邮包盒(UPC#+英法德意西5L警告语+IT/FR/ES环保标+ZURU邮箱，参考翻单PO#4500155641)；
 11. 最迟验货不得晚于2025/4/30;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</si>
  <si>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4500159576-30</t>
  </si>
  <si>
    <t>客人通用进口商贴纸翻4500142330</t>
  </si>
  <si>
    <t>日期码格式：ZURU INC(BVI) 标准格式 日期：按实际生产日期
Packaging Info:
3. 92104TQ1: MA_UPC版本包装（MA首选1L，如无1L可用多语且含英语的配套多语UPC包装）+ 1张客人通用进口商贴纸，贴纸及位置图翻单PO#4500142330
Remark: 1.按实际生产日期;
2.出澳大利亚，请按照相应标准生产;</t>
  </si>
  <si>
    <t>4500161800-10</t>
  </si>
  <si>
    <t>3/28收到</t>
  </si>
  <si>
    <t>日期码格式：ZURU INC(BVI) 标准格式 日期：按实际生产日期
Packaging Info: MA UPC包装（优先1L)，无需加贴纸
Remark: MUNCHKIN(RARE): HIMALAYAN: PERSIAN: MAINE COON: RAGDOLL: RAGAMUFFIN: NORWEGIAN FOREST CAT = 2: 8: 10: 10: 10: 10: 10</t>
  </si>
  <si>
    <t>94960-5.10</t>
  </si>
  <si>
    <t>Centro Atacadista Bar􀃣o Ltda</t>
  </si>
  <si>
    <t>FUN 075/25</t>
  </si>
  <si>
    <t>4500161209-10</t>
  </si>
  <si>
    <t>日期码格式：ZURU INC(BVI) 标准格式 日期：按实际生产日期
Packaging Info: MA 1L包装+进口商贴纸+箱唛
Remark: 92104TQ1:MUNCHKIN(RARE): HIMALAYAN: PERSIAN: MAINE COON: RAGDOLL: RAGAMUFFIN: NORWEGIAN FOREST CAT = 2: 8: 10: 10: 10: 10: 10</t>
  </si>
  <si>
    <t>94933-5.6</t>
  </si>
  <si>
    <t>999-43340</t>
  </si>
  <si>
    <t>4500162932-20</t>
  </si>
  <si>
    <t>CZ/HU/PL/SK警语贴纸翻单4500150450</t>
  </si>
  <si>
    <t>日期码格式：ZURU INC(BVI) 标准格式 日期：按实际生产日期
Packaging Info:
92104TQ4: MA最新版1L upc收缩膜+一张CZ/HU/PL/SK警语贴纸（贴纸翻单4500150450)+MA最新版PDQ+MA最新版5L收藏指南+MA最新版5L配件袋+MA最新版布标
Remark: 1. 此单出EU，需满足EU测试标准要求，不含微塑料。
产品及包装需要印UKCA图标，包装需要有ZURU UK LTD/ZURU France地址信息，QC同事请核查，如有问题与跟单确认。
2.裝櫃必須按TPND順序 (條形碼貼紙或正嘜必須要朝外向車門外)，不可额外打缠绕带
3.外箱上有条码要求，排版时请留意并请确保条码清晰可扫描（封箱胶不要黏到条码上), 否则客人会有罚款；
4. 如含硼的话， 需用低硼版本(小于300ppm),硼含量需要符合欧洲标准,否则客人会退货有罚款产生</t>
  </si>
  <si>
    <t>4500160092-100</t>
  </si>
  <si>
    <t>日期码格式：2025-05 日期： 
Packaging Info: 
 92104TQ1：MA 3L EAN包装+UPC贴纸+MA PDQ包装+MA 多语收藏指南+进口商贴纸+箱唛
Remark: 1.指定日期码：2025-05（外箱/产品/包装/进口商贴纸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92104TQ1: MUNCHKIN(RARE): HIMALAYAN: PERSIAN: MAINE COON: RAGDOLL: RAGAMUFFIN: NORWEGIAN FOREST CAT = 2: 8: 10: 10: 10: 10: 10</t>
  </si>
  <si>
    <t>4500162346-250</t>
  </si>
  <si>
    <t>警告语贴纸翻4500149939+北欧五语通用Slime黑白说明书</t>
  </si>
  <si>
    <t>日期码格式：ZURU INC(BVI) 标准格式 日期：按实际生产日期
Packaging Info: 
92104TQ2: MA A版PDQ + 3L+9L警语 EAN A版收缩膜 + 4L(DK+NO+SE+FI)警告语贴纸（贴纸翻单4500149939） + 5L+23L警语 A版收藏指南 + 5L+9L警语Slime袋子 +
北欧五语通用Slime黑白说明书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</si>
  <si>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94941-5.7</t>
  </si>
  <si>
    <t>4500160342-10</t>
  </si>
  <si>
    <t>4500162042-10</t>
  </si>
  <si>
    <t>日期码格式：ZURU INC(BVI) 标准格式 日期：按实际生产日期
Packaging Info: 92104TQ4: MA 1L UPC包装
MUNCHKIN(RARE): HIMALAYAN: PERSIAN: MAINE COON: RAGDOLL: RAGAMUFFIN: NORWEGIAN FOREST CAT = 2: 8: 10: 10: 10: 10: 10
Remark: *胶带最少宽度要保证6.0CM,厚度最少0.05毫米,外箱不可以打钉/扎带；以工字型封箱；
*如果重量超过5KGS，箱唛需加黄色警示图标志 ，有疑问请与ZURU跟单同事联系,十分重要！
*订单出英国，请注意检查产品及包装应带UKCA图标，包装显示ZURU UK LTD信息，QC同事请查核，如有问题与跟单确认。
*MA版本按工厂现有最新库存即可，订单出英国，请注意检查产品及包装应带UKCA图标，包装显示ZURU UK LTD信息，QC同事请查核，如有问题与跟单确认。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，请安排生产前先核对再生产或者与Sherry 复核再安排 。
*外箱上的条码请确保清晰可扫描 ，否则到目的仓无法扫描入仓由工厂承担责任 。
*所有产品按符合欧洲标准走货，需要是不含微塑料版本 。
*涉及到硼的，请使用低硼版本
*客户不接受PVC材质
*外箱不得使用带金属夹子或带扣</t>
  </si>
  <si>
    <t>CUS
PO#47792480
SYD</t>
  </si>
  <si>
    <t>4500157563-30</t>
  </si>
  <si>
    <t>CUS
PO#47792597
MEL</t>
  </si>
  <si>
    <t>4500157563-60</t>
  </si>
  <si>
    <t>CUS
PO#47793022
BNE</t>
  </si>
  <si>
    <t>4500157563-90</t>
  </si>
  <si>
    <t>CUS
PO#47792560
FRE</t>
  </si>
  <si>
    <t>4500157563-110</t>
  </si>
  <si>
    <t>5/17出</t>
  </si>
  <si>
    <t>4500161792-20</t>
  </si>
  <si>
    <t>92104TQ1-S003</t>
  </si>
  <si>
    <t>日期码格式：ZURU INC(BVI) 标准格式 日期：按实际生产日期
Packaging Info: MA 最新UPC包装，各款的条码如下，请先检查条码是否正确再安排做货，如有问题请告知
92104TQ1-S003:193052064417
配比跟MA
Remark: 1.产品及包装需要印UKCA图标，包装需要有ZURU UK LTD/ZURU France地址信息，QC同事请核查，如有问题与跟单确认。
2. 需要符合欧洲标准不能含有闪粉和微塑料，否则不和法规会有客诉产生</t>
  </si>
  <si>
    <t>47800376 BNE</t>
  </si>
  <si>
    <t>4500161957-30</t>
  </si>
  <si>
    <t>日期码格式：ZURU INC(BVI) 标准格式 日期：按实际生产日期
Packaging Info: 1. 包装：
92104TQ1：MA UPC PKG+1张进口商贴纸，贴纸翻单4500124257
2. 进口商贴纸上已经去掉日期码，产品和包装上的日期码一致，请按要求在包装上打日期码（进口商贴纸不覆盖日期码）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t>
  </si>
  <si>
    <t>47824044
MEL</t>
  </si>
  <si>
    <t>4500161957-50</t>
  </si>
  <si>
    <t>4500162408-60</t>
  </si>
  <si>
    <t>767559/33549</t>
  </si>
  <si>
    <t>4500159645-10</t>
  </si>
  <si>
    <t>警语贴纸+slime警语黑白说明书翻4500135015</t>
  </si>
  <si>
    <t>日期码格式：ZURU INC(BVI) 标准格式 日期：按实际生产日期
Packaging Info: 1. 92104TQ2: 3L-9L warning EAN A版本包装+警语贴纸+slime警语黑白说明书(和slime袋子放一起)(警语贴纸和slime警语黑白说明书翻单PO4500135015)
Remark: 1. 包装如含PVC,请改为PET并第一时间通知跟单
 2. 产品/包装要求无硼无香，出欧洲，微塑料需合规。
 关于微塑料，所有的产品和包装和产品均不能包含，无微塑料的产品都要配套无微塑料的包装，如包装备注与此有争议，请工厂第一时间告知，跟单重新确认包装版
 本
 3. ICA针对带电池出货的产品，都要用碱性电池
 4.带电池出货的产品所用到的电池需要符合欧洲电池新规(EU) 2023-1542
 5.有胶袋的产品：要求产品的胶袋厚度要大于等于0.05mm
 6.关于贴纸，如果贴纸位置图的包装版本与大货不一致，请工厂第一时间提前提出。跟单会重新调整确认是否更新贴纸或调整位置图
 7.产品/包装不含PFAS成分
 8.产品条码如下: 请先检查条码是否正确再安排做货，如有问题请告知
 92104TQ2-S002-NB:4894680033542</t>
  </si>
  <si>
    <t>Amazon DE:
4FQ3QE5Q</t>
  </si>
  <si>
    <t>4500162456-30</t>
  </si>
  <si>
    <t>5/26-5/30出</t>
  </si>
  <si>
    <t>.空白外箱（加印带Zuru字样的最新logo，除了邮包盒直接做外箱的产品） + SSCC LABEL一张, 无箱唛，MADE IN CHINA 外箱只印一正一侧</t>
  </si>
  <si>
    <t>4/21-外箱贴纸</t>
  </si>
  <si>
    <t>日期码格式：ZURU INC(BVI) 标准格式 日期：按实际生产日期
Packaging Info: Amazon UK(71126/9283D)/FR(9543BD)/DE(92104GH/9543BD)
4. 92104H
--92104H：92104H KITTYCORN SURPRISE(Norwegian Forest Cat), 1pc/mailbox, 32mailboxes/ctn;MA 3L(9L warning)A收缩膜+MA 2L A布标+MA 5L(23L warning)
A Slime胶袋+MA 5L A贴纸+MA 5L(23L warning)A 收藏指南+客版邮包盒(UPC#+英法德意西5L警告语+IT/FR/ES环保标+ZURU邮箱，参考翻单PO#4500155641)；
5.最迟验货不得晚于2025/5/16;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</si>
  <si>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Amazon DE:
3EQ7OVZK</t>
  </si>
  <si>
    <t>4500162456-60</t>
  </si>
  <si>
    <t>客版邮包盒(UPC#+英法德意西5L警告语+IT/FR/ES环保标+ZURU邮箱，参考翻单PO#4500157663)</t>
  </si>
  <si>
    <t>日期码格式：ZURU INC(BVI) 标准格式 日期：按实际生产日期
Packaging Info: Amazon UK(71126/9283D)/FR(9543BD)/DE(92104GH/9543BD)
4. 92104G
--92104G：92104G KITTYCORN SURPRISE(Ragamuffin), 1pc/mailbox, 32mailboxes/ctn; MA 3L(9L warning)A收缩膜+MA 2L A布标+MA 5L(23L warning)A Slime胶
袋+MA 5L A贴纸+MA 5L(23L warning)A 收藏指南+客版邮包盒(UPC#+英法德意西5L警告语+IT/FR/ES环保标+ZURU邮箱，参考翻单PO#4500157663)；
5.最迟验货不得晚于2025/5/16;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Order Modifiable Records
Revision #</t>
  </si>
  <si>
    <t>NUEVOS ALMACENES, S.A.</t>
  </si>
  <si>
    <t>4500162922-10</t>
  </si>
  <si>
    <t>5/16第三方</t>
  </si>
  <si>
    <t>4/8-UPC贴纸</t>
  </si>
  <si>
    <t>日期码格式：ZURU INC(BVI) 标准格式 日期：按实际生产日期
Packaging Info: 92104TQ1:MA 3L EAN包装+UPC贴纸+箱唛，无进口商贴纸
Remark: 订单需第三方（QIMA)验货，无需签板，请多备料。
外箱上的箱唛资料会显示日期30-MAY-2025,产品/包装/外箱可以按ZURU 标准日期码打，也可以跟回外箱日期码，工厂自行选择,两者均可接受</t>
  </si>
  <si>
    <t>TAS IMPORT AS(Lekekassen)</t>
  </si>
  <si>
    <t>挪威</t>
  </si>
  <si>
    <t>4500161075-10</t>
  </si>
  <si>
    <t>4/11-挪威语+瑞典语警告语/客人进口商地址贴纸+北欧五语通用Slime黑白说明书</t>
  </si>
  <si>
    <t>日期码格式：ZURU INC(BVI) 标准格式 日期：按实际生产日期
Packaging Info: 1. 92104: MA_A_3L(warning 9L)_EAN版收缩膜+挪威语&lt;(&gt;&amp;&lt;)&gt;瑞典语警告语/客人进口商地址做成一张贴纸+MA_A_5L(warning 23L)收藏指南+Slime Polybag_MA_B_5
L+warning 9L+北欧五语通用Slime黑白说明书+MA布标；
16.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92104:4894680033542</t>
  </si>
  <si>
    <t>Sheba</t>
  </si>
  <si>
    <t>Outlet Drift AS</t>
  </si>
  <si>
    <t>4500162375-70</t>
  </si>
  <si>
    <t>4/18-警示语贴纸+北欧五语通用Slime黑白说明书</t>
  </si>
  <si>
    <t>日期码格式：ZURU INC(BVI) 标准格式 日期：按实际生产日期
Packaging Info: 
 92104TQ2: 收缩膜MA EAN A 3L +1张警示语贴纸+北欧五语通用Slime黑白说明书
Remark: 1/配比:
 92104TQ2: MUNCHKIN(RARE): HIMALAYAN: PERSIAN: MAINE COON: RAGDOLL: RAGAMUFFIN: NORWEGIAN FOREST CAT = 2: 8: 10: 10: 10: 10: 10
 2/产品和包装要求无硼无香，包装不能含有PVC
 3/如有微塑料，必须合规欧洲标准，闪粉也是微塑料的一种，目前仅接受三张方式1.去除，2.用可降解材料，和3.永久封印在固体。
4/带电池出货的产品，所用到的电池需要符合欧洲电池新规(EU)2023-1542</t>
  </si>
  <si>
    <t>4500161312-30</t>
  </si>
  <si>
    <t>日期码格式：ZURU INC(BVI) 标准格式 日期：按实际生产日期
Packaging Info: 
3. 92104TQ1/9298TQ1:MA 3L EAN包装+UPC贴纸+MA PDQ包装+MA 多语收藏指南+进口商贴纸+箱唛，贴纸翻单PO4500158302
Remark: 1.使用双坑外箱
2.请注意产品包装条形码必须是UPC
3.无第三方验货
4. 92104：MUNCHKIN(RARE): HIMALAYAN: PERSIAN: MAINE COON: RAGDOLL: RAGAMUFFIN: NORWEGIAN FOREST CAT = 2: 8: 10: 10: 10: 10: 10</t>
  </si>
  <si>
    <t>4500159898-30</t>
  </si>
  <si>
    <t>日期码格式：ZURU INC(BVI) 标准格式 日期：按实际生产日期
Packaging Info:
92104：A 版 1L MA 收缩膜+进口商贴纸；A 版 5L MA 收藏指南
Remark: "1、所有item 均用MA UPC 条码，若包装不是UPC 条码的请告知
2、此单出欧洲需满足EU测试标准要求"</t>
  </si>
  <si>
    <t>4500159286-20</t>
  </si>
  <si>
    <t>日期码格式：ZURU INC(BVI) 标准格式 日期：按实际生产日期
Packaging Info: 
92104TQ1: MA 3L EAN 收缩膜+ 进口商贴纸 +MA收藏指南+ MA布标；MA PDQ
Remark: 
92104TQ1: MUNCHKIN(RARE): HIMALAYAN: PERSIAN: MAINE COON: RAGDOLL: RAGAMUFFIN: NORWEGIAN FOREST CAT = 2: 8: 10: 10: 10: 10: 10</t>
  </si>
  <si>
    <t>4500162547-50</t>
  </si>
  <si>
    <t>4500161772-30</t>
  </si>
  <si>
    <t>日期码格式：ZURU INC(BVI) 标准格式 日期：按实际生产日期
Packaging Info:
92104TQ4-S004 全套MA-1L包装+客户EAN条码贴一张覆盖ZURU 原条码 （条码贴翻4500139632），1L-ZURU标准客版PDQ
MUNCHKIN(RARE): HIMALAYAN: PERSIAN: MAINE COON: RAGDOLL: RAGAMUFFIN: NORWEGIAN FOREST CAT = 2: 8: 10: 10: 10: 10: 10; BARCODE: 5056296044865"""
请核对订单条码：
92104TQ4-S004 5056296044865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包装基础上额外添加一张英文+阿拉伯文电池说明书。
*订单对应客户4个PO号 ，备注有显示 ，注意分开做货/验货/装柜 ，混装有罚款。
* 大货样： 请在5/10 前寄出每款1整套大货样到罗湖办公室7B Sandy Shao 收。</t>
  </si>
  <si>
    <t>4500160573-40</t>
  </si>
  <si>
    <t>长尾巴猫（干燥剂）</t>
  </si>
  <si>
    <t>日期码格式：LOTDGYYYYMMDD 日期：按实际生产日期
Packaging Info:
 4. 92104TQ1： MA 3L EAN包装+进口商贴纸+新UPC条码贴纸+MA 5L 收藏指南+MA PDQ+箱唛
Remark: 1. 客版日期码要求：LOT+ZURU标准日期码格式。东莞生产的格式：LOTDGYYYYMMDD, DG是东莞拼音首字母，
YYYYMMDD是实际的年月日，例如(LOTDG20240920)
 2. 92104TQ1:MUNCHKIN(RARE): HIMALAYAN: PERSIAN: MAINE COON: RAGDOLL: RAGAMUFFIN: NORWEGIAN FOREST CAT = 2: 8: 10: 10: 10: 10: 10
 4. 此单有第三方监柜，至少多备一套完整的物料用于监柜，请多备料。
 5.WM墨西哥防霉的新要求:货物必须在出货主箱和集装箱中按要求放置干燥剂，干燥剂指定品牌干霸
 92104TQ1： 需要在每箱放入4小包干燥剂，每包干燥剂重量2g
 如走柜货等loading plan 确认后再通知集装箱干燥剂数量
 此单兴信将安排8*40HC柜子，每个HC需要放置10包干燥剂，每包干燥剂1KG</t>
  </si>
  <si>
    <t>4500160573-50</t>
  </si>
  <si>
    <t>4500164434-20</t>
  </si>
  <si>
    <t>BV验货转自检</t>
  </si>
  <si>
    <t>日期码格式：ZURU INC(BVI) 标准格式 日期：按实际生产日期
Packaging Info:
#92104TQ3: 客版英法双语PDQ(2装)+MA3L收缩膜+UPC条码贴纸(92104, 92104 B,D,E,G,H,J,共7款)+MA5L收藏指南+MA5L铝箔袋+MA5L贴纸+MA2L布标 (客版PDQ,UPC贴
纸翻单: 4500126662)
-UPC明细：
92104 PERSIAN 193052064417
92104B Maine Coon 193052067616
92104D RAGDOLL 193052067623
92104E HIMALAYAN 193052067630
92104G RAGAMUFFIN 193052067647
92104H NORWEGIAN FOREST CAT 193052067654
92104J MUNCHKIN(RARE) 193052071149
-产品配比：MUNCHKIN(RARE): HIMALAYAN: PERSIAN: MAINE COON: RAGDOLL: RAGAMUFFIN: NORWEGIAN FOREST CAT = 2: 8: 10: 10: 10: 10: 10
Remark: 1. 此单有箱唛；
2. 此单有第三方验货，烦请多备包装物料；
3. 必须在原来错误的UPC/EAN条码上用黑色粗头笔涂黑直至不能扫描，再贴上正确的UPC。
4. #9548/92104须使用无硼版本的slime;
5. #71137需重新安排签样，签样数量：大货样3pcs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</si>
  <si>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Coop Danmark A/S</t>
  </si>
  <si>
    <t>4500160515-70</t>
  </si>
  <si>
    <t>4/22-care@zuru.com邮箱地址贴纸</t>
  </si>
  <si>
    <t>日期码格式：ZURU INC(BVI) 标准格式 日期：按实际生产日期
Packaging Info: 
3. 92104TQ2：MA 3L-9L warning EAN 版收缩膜+care@zuru.com邮箱地址贴纸+ MA_A_5L(warning 23L)收藏指南+MA 布标/贴纸/吊牌+MA_B_5L+warning 9L polybag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ITEM-COOP ITEM-EAN-GTIN
92104TQ2-1000492586-4894680033542-10193052064414
8.比例：
92104TQ2:MUNCHKIN(RARE): HIMALAYAN: PERSIAN: MAINE COON: RAGDOLL: RAGAMUFFIN: NORWEGIAN FOREST CAT = 2: 8: 10: 10: 10: 10: 10
9. 验货注意，警告语需要包含丹麦语
10，要求样品，寄出时间5/15前，
其它产品各2套</t>
  </si>
  <si>
    <t>LOT2521-产品（蛋壳等）/包装（收缩膜）等都需要</t>
  </si>
  <si>
    <t>日期码格式：LOT2521 日期：
Packaging Info: 最新MA PDQ+一张进口商贴纸（含希腊警语+意大利/希腊布标内容+希腊胶袋警语+意大利环保标志）+一张产品贴纸+一张EAN 4894680038059 贴纸
92104：最新MA 3L EAN收缩膜+最新MA 5L收藏指南+最新MA 5L POLY BAG+最新MA 布标
Remark: 1.RATIO 同MA 一致。
2.大货样品2套/item，用于客人验货签板。请于验货前9天寄到深圳办公室，验货后还会抽办1套/item，请多备料。
3.客人日期码：LOT2521，产品（蛋壳等）/包装（收缩膜等）/外箱 请保持一致。
4.产品均符合EU微塑料法规要求：不能含有微塑料/闪粉
5. SMASHERS 或含Slime产品，所有化合物使用无硼版本出意大利。
6. 本订单所有 具有 baby items / assorted items 的款式，零售包装上都要用 母 EAN;
7. 此客户需要第三方验货，请在约三方验货前必须PASS ZURU验货。</t>
  </si>
  <si>
    <t>4/27收到-进口商贴纸+产品贴纸+EAN贴纸</t>
  </si>
  <si>
    <t>日期码格式：LOT2521 日期：
Packaging Info: "最新MA PDQ+一张进口商贴纸+一张产品贴纸+一张EAN 4894680038059 贴纸
92104：最新MA 3L EAN收缩膜+最新MA 5L收藏指南+最新MA 5L POLY BAG+最新MA 布标
Remark: 1. 大货样品2套/item，用于客人验货签板。验货后还会抽办1套/item，请多备料；
2. 客版日期码LOT2521, 产品（蛋壳等）/包装（收缩膜等）/外箱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此客户需要第三方验货，请在约三方验货前必须PASS ZURU验货。</t>
  </si>
  <si>
    <t>日期码格式：ZURU INC(BVI) 标准格式 日期：按实际生产日期
Packaging Info: 92124
Combo pcak 92119 EGGZANIA FROZEN MANIA+ 9298 Puppycorn +92104 Kittycorn
92104: ML 1L UPC包装, 包装加空白条码贴覆盖包装原条码，确保卖场只能扫到92124 的条码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</si>
  <si>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COOP NORGE HANDEL AS - DOM</t>
  </si>
  <si>
    <t>4500162222-20</t>
  </si>
  <si>
    <t>4/30收到-挪威语警语贴纸+布标贴纸+北欧五语通用Slime黑白说明书</t>
  </si>
  <si>
    <t>日期码格式：ZURU INC(BVI) 标准格式 日期：按实际生产日期
Packaging Info:
2.92104TQ2：MA_A EAN 3L+9L 收缩膜+3L展示盒+MA_A 5L+挪威语警语贴纸+1布标贴纸+北欧五语通用Slime黑白说明书；
Remark: 1/产品和包装要求无硼无香，包装不能含有PVC；
2/如有微塑料，必须合规欧洲标准，闪粉也是微塑料的一种，目前仅接受三张方式1.去除，2.用可降解材料，和3.永久封印在固体；
3/此订单有第三方验货，请准备三套大货样并不迟于5-14寄出给ZURU 深圳办公室；
4/带电池出货的产品所用到的电池需要符合欧洲电池新规(EU)2023-1542；
5/工厂货号-客户货号彩盒条码-外箱条码：
92104TQ2-7254574-4894680033542-10193052064414；
6/配比:92104TQ2:MUNCHKIN(RARE): HIMALAYAN: PERSIAN: MAINE COON: RAGDOLL: RAGAMUFFIN: NORWEGIAN FOREST CAT = 2: 8: 10: 10: 10: 10: 10；</t>
  </si>
  <si>
    <t>4500162850-30</t>
  </si>
  <si>
    <t>日期码格式：ZURU INC(BVI) 标准格式 日期：按实际生产日期
Packaging Info:
92104TQ1：MA 多语EAN 包装+MA 多语PDQ+进口商贴纸+价标贴纸
1. 外箱只需四面印Zuru logo，再加2张贴纸，1张Hu贴纸（条码贴），1张ASN贴纸（尺寸6.5cm*6.3cm,潘通色号2597C），都贴于侧唛，只需贴1面(HU贴纸和ASN贴
纸客供）
2. 一个外箱对应一个HU’S(条形码),不可以混条码包装
3.含有说明书需要增加说明书贴纸
4.价格贴纸覆盖原有包装的条形码
Remark:
92104TQ1:MUNCHKIN(RARE): HIMALAYAN: PERSIAN: MAINE COON: RAGDOLL: RAGAMUFFIN: NORWEGIAN FOREST CAT = 2: 8: 10: 10: 10: 10: 10
此单有监柜要求，需要每款多准备一套完整物料，用于监柜，不可以随大货走</t>
  </si>
  <si>
    <t>PO#239945--Cu
stomer
SKU#7662960</t>
  </si>
  <si>
    <t>4500163405-20</t>
  </si>
  <si>
    <t>客人白色Cat.label 1张覆盖ZURU条码</t>
  </si>
  <si>
    <t>日期码格式：ZURU INC(BVI) 标准格式 日期：按实际生产日期
Packaging Info:
92104-S001
MA -1L UPC包装+客人白色Cat.label 1张覆盖ZURU条码
-注意Cat.label (要求易撕类贴纸，但是粘性不能过低），同时此贴纸每个订单都是不相同的(会显示客户对应的订单号），切勿翻旧订单购买，该贴纸由工厂自行
购买。
-订单对应客户PO号备注有显示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t>
  </si>
  <si>
    <t>47815133 SYD</t>
  </si>
  <si>
    <t>4500163460-30</t>
  </si>
  <si>
    <t>6/7出</t>
  </si>
  <si>
    <t>日期码格式：ZURU INC(BVI) 标准格式 日期：按实际生产日期
Packaging Info: 1. 包装：
92104TQ1: MA UPC PKG+1张进口商贴纸，贴纸翻单4500124257
2. 进口商贴纸上已经去掉日期码，产品和包装上的日期码一致，请按要求在包装上打日期码（进口商贴纸不覆盖日期码）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</si>
  <si>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47813095 BNE</t>
  </si>
  <si>
    <t>4500163460-50</t>
  </si>
  <si>
    <t>47814878 MEL</t>
  </si>
  <si>
    <t>4500163460-90</t>
  </si>
  <si>
    <t>47813388 FRE</t>
  </si>
  <si>
    <t>4500163460-110</t>
  </si>
  <si>
    <t>Lekia AB</t>
  </si>
  <si>
    <t>156653-2</t>
  </si>
  <si>
    <t>4500164226-40</t>
  </si>
  <si>
    <t>5/9-警告语/进口商贴纸+北欧五语通用Slime黑白说明书</t>
  </si>
  <si>
    <t>日期码格式：ZURU INC(BVI) 标准格式 日期：按实际生产日期
Packaging Info:
92104TQ2-S002-NB:MA_A_3L(warning 9L)_EAN版收缩膜+警告语/进口商贴纸+MA_A_5L(warning 23L)收藏指南+Slime Polybag_MA_B_5L+warning 9L+北欧五语通用Sli
 me黑白说明书+MA布标
 北欧五语通用Slime黑白说明书
 带纽扣电池走货北欧六语通用黑白电池说明书
 不带电池走货北欧六语通用黑白电池说明书
上述说明书翻单4500162375,之前已通知按照MA采购，不要重复订购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92104TQ2-S002-NB//100-264010543//4894680033542</t>
  </si>
  <si>
    <t>JRC Toys</t>
  </si>
  <si>
    <t>040325-T</t>
  </si>
  <si>
    <t>4500163912-30</t>
  </si>
  <si>
    <t>4/16-UPC贴纸</t>
  </si>
  <si>
    <t>日期码格式： 标准格式 日期：按实际生产日期
Packaging Info:
92104无硼版本 .MA 多语EAN 版本+UPC贴纸 . UPC 193052064417
Remark: 出加拿大
Zuru验货.日期跟踪码：产品外包装及产品本身都必须有日期跟踪码，ZURU标准格式日期码</t>
  </si>
  <si>
    <t>92104-S001-NB-3L</t>
  </si>
  <si>
    <t>4500163328-30</t>
  </si>
  <si>
    <t>日期码格式：ZURU INC(BVI) 标准格式 日期：按实际生产日期
Packaging Info:
92104TQ1: A 版 3L MA 收缩膜+进口商贴纸；A 版 5L MA收藏指南/A 版 MA PDQ
Remark: 1、若产品有比例使用ZURU STD 比例
2、所有item 均用MA EAN条码，若包装上的EAN 条码与PO 不一致的请告知
3、此单出欧洲需满足EU测试标准要求</t>
  </si>
  <si>
    <t>NORDIC TOY TEAM AS - DOM</t>
  </si>
  <si>
    <t>4500164402-50</t>
  </si>
  <si>
    <t>92104TQ2-S001-NB</t>
  </si>
  <si>
    <t>5/9-进口商贴纸</t>
  </si>
  <si>
    <t>日期码格式：ZURU INC(BVI) 标准格式 日期：按实际生产日期
Packaging Info:
92104TQ2: MA EAN 3L+9L warning 收缩膜+1进口商贴纸
Remark: 1/产品和包装要求无硼无香，包装不能含有PVC
2/如有微塑料，必须合规欧洲标准，闪粉也是微塑料的一种，目前仅接受三张方式1.去除，2.用可降解材料，和3.永久封印在固体。
3/带电池出货的产品，所用到的电池需要符合欧洲电池新规(EU)2023-1542
4/产品配比
92104TQ2: MUNCHKIN(RARE): HIMALAYAN: PERSIAN: MAINE COON: RAGDOLL: RAGAMUFFIN: NORWEGIAN FOREST CAT = 2: 8: 10: 10: 10: 10: 10</t>
  </si>
  <si>
    <t>92104TQ2-S001-NB-3L</t>
  </si>
  <si>
    <t>4500164861-60</t>
  </si>
  <si>
    <t>4/30收到</t>
  </si>
  <si>
    <t>5/21-外箱贴纸+进口商贴纸翻4500156374</t>
  </si>
  <si>
    <t>日期码格式：ZURU INC(BVI) 标准格式 日期：按实际生产日期
Packaging Info: 
92104TQ1:MA 3L EAN包装+进口商贴纸+外箱贴纸+箱唛，进口商贴纸翻单PO4500156374
Remark: 此单有第三方监柜，需要每款多备1套完整物料</t>
  </si>
  <si>
    <t>CCD SELL OUT SERVICE SRL</t>
  </si>
  <si>
    <t>4500163782-10</t>
  </si>
  <si>
    <t>5/6-意大利环保标通用地址贴</t>
  </si>
  <si>
    <t>日期码格式：ZURU INC(BVI) 标准格式 日期：按实际生产日期
Packaging Info: 92104TQ1: 最新MA 3L+9L warning EAN收缩膜+最新MA 5L收藏指南+最新MA PDQ+最新MA 5L胶袋+最新MA贴纸+最新MA布标+意大利环保标通用地址贴
Remark: 1. 此单出意大利，需要满足EU标准，通过ZURU验货即可；
2. 产品均符合EU微塑料法规要求：不能含有微塑料/闪粉
3, SMASHERS 或含Slime产品，所有化合物使用无硼版本出意大利。</t>
  </si>
  <si>
    <t>4500165000-10</t>
  </si>
  <si>
    <t>布标贴纸+客供芯片码 翻单:4500159192</t>
  </si>
  <si>
    <t>日期码格式：ZURU INC(BVI) 标准格式 日期：按实际生产日期
Packaging Info: 物料要求 SKU
1 92104TQ2 MA PDQ+客制收缩膜+ 中文布标(可用布标贴纸)+中文收藏指南 +客供芯片码 翻单： 4500159192
2. 10行:箱唛-仓位:标注“K004”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</si>
  <si>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4500155024-20</t>
  </si>
  <si>
    <t>价格贴纸</t>
  </si>
  <si>
    <t>Amazon
DE:5XB2M8GT</t>
  </si>
  <si>
    <t>4500164250-20</t>
  </si>
  <si>
    <t>6/15-6/19出</t>
  </si>
  <si>
    <t>客版邮包盒(UPC#+英法德意西5L警告语+IT/FR/ES环保标+ZURU邮箱翻单4500157663</t>
  </si>
  <si>
    <t>日期码格式：ZURU INC(BVI) 标准格式 日期：按实际生产日期
Packaging Info: Amazon UK(15714K/7150B/77673/77723/92119AH/9279B/9561)/FR(9543D)/DE(71126/77555/77731/92104G/9543E)
11. 92104G: 92104G KITTYCORN SURPRISE(Ragamuffin), 1pc/mailbox, 32mailboxes/ctn; MA 3L(9L warning)A收缩膜+MA 2L A布标+MA 5L(23L warning)A Slime
胶袋+MA 5L A贴纸+MA 5L(23L warning)A 收藏指南+客版邮包盒(UPC#+英法德意西5L警告语+IT/FR/ES环保标+ZURU邮箱，参考翻单PO#4500157663)；
14. 最迟验货不得晚于2025/6/6 &amp; 2025/6/9;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</si>
  <si>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777 3APR25</t>
  </si>
  <si>
    <t>4500164759-20</t>
  </si>
  <si>
    <t>日期码格式：ZURU INC(BVI) 标准格式 日期：按实际生产日期
Packaging Info:
2.92104TQ1-S003: MA 最新UPC包装, 配比跟MA, UPC#193052064417，请先检查条码是否正确再安排做货，如有问题请告知
Remark: 1.产品及包装需要印UKCA图标，包装需要有ZURU UK LTD/ZURU France地址信息，QC同事请核查，如有问题与跟单确认。
2. 需要符合欧洲标准不能含有闪粉和微塑料，否则不合法规会有客诉产生</t>
  </si>
  <si>
    <t>CUS
PO#46528242Po
rt:BNE</t>
  </si>
  <si>
    <t>4500162407-10</t>
  </si>
  <si>
    <t>日期码格式：ZURU INC(BVI) 标准格式 日期：按实际生产日期
Packaging Info: 1.92104TQ5: MA UPC PACKAGING+客版PDQ， 客版PDQ 翻单4500124295, 箱唛翻单4500140993
Remark: 1.此单出口澳大利亚，请按相应的澳新标准生产；
2.产品和包装上生产批号请按我司标准
3.比例：
92104TQ5:MUNCHKIN(RARE): HIMALAYAN: PERSIAN: MAINE COON: RAGDOLL: RAGAMUFFIN: NORWEGIAN FOREST CAT = 2: 8: 10: 10: 10: 10: 10
4.当同一PO或item有多个批次代码时，每个批次代码的纸箱必须分组在一起，且明显分开</t>
  </si>
  <si>
    <t>CUS
PO#46528131Po
rt: SYD</t>
  </si>
  <si>
    <t>4500162407-20</t>
  </si>
  <si>
    <t>CUS
PO#46528132Po
rt:MEL</t>
  </si>
  <si>
    <t>4500162407-30</t>
  </si>
  <si>
    <t>PO#2734212--C
ustomer
SKU#142917922</t>
  </si>
  <si>
    <t>4500163222-20</t>
  </si>
  <si>
    <t>日期码格式：ZURU INC(BVI) 标准格式 日期：按实际生产日期
Packaging Info: 
92104TQ4-S003: MA 1L UPC包装
MUNCHKIN(RARE): HIMALAYAN: PERSIAN: MAINE COON: RAGDOLL: RAGAMUFFIN: NORWEGIAN FOREST CAT = 2: 8: 10: 10: 10: 10: 10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</si>
  <si>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KOTRYNA GROUP, UAB</t>
  </si>
  <si>
    <t>立陶苑</t>
  </si>
  <si>
    <t>pi0447951</t>
  </si>
  <si>
    <t>4500164995-30</t>
  </si>
  <si>
    <t>进口商贴纸翻4500135326</t>
  </si>
  <si>
    <t>日期码格式：ZURU INC(BVI) 标准格式 日期：按实际生产日期
Packaging Info: 
 92104:A 版 1L MA 收缩膜+进口商贴纸（贴纸翻4500135326 &lt;(&gt;&amp;&lt;)&gt;4500135339）；A版 5L MA 收藏指南
Remark: "1、若产品有比例使用ZURU STD 比例
 2、所有item 均用MA UPC 条码，若包装不是UPC 条码的请告知
 3、此单出欧洲需满足EU测试标准要求</t>
  </si>
  <si>
    <t>999-44517 999-44528</t>
  </si>
  <si>
    <t>4500164228-10</t>
  </si>
  <si>
    <t>警语贴纸翻4500150450</t>
  </si>
  <si>
    <t>日期码格式：ZURU INC(BVI) 标准格式 日期：按实际生产日期
Packaging Info: - 92104TQ4:MA最新版1L upc收缩膜+一张CZ/HU/PL/SK警语贴纸-翻单4500150450+MA最新版PDQ+MA最新版5L收藏指南+MA最新版5L配件袋+MA最新版布标
Remark: "1. 此单出EU，需满足EU测试标准要求，不含微塑料。
产品及包装需要印UKCA图标，包装需要有ZURU UK LTD/ZURU France地址信息，QC同事请核查，如有问题与跟单确认。
2.裝櫃必須按TPND順序 (條形碼貼紙或正嘜必須要朝外向車門外)，不可额外打缠绕带
3.外箱上有条码要求，排版时请留意并请确保条码清晰可扫描（封箱胶不要黏到条码上), 否则客人会有罚款；
4. 如含硼的话， 需用低硼版本(小于300ppm),硼含量需要符合欧洲标准,否则客人会退货有罚款产生"</t>
  </si>
  <si>
    <t>4500164616-70</t>
  </si>
  <si>
    <t>4-30收到-通用贴纸</t>
  </si>
  <si>
    <t>4500162848-10</t>
  </si>
  <si>
    <t>日期码格式：ZURU INC(BVI) 标准格式 日期：按实际生产日期
Packaging Info: 1. 92104TQ1：MA 3L EAN包装+UPC条码贴纸+MA PDQ包装+MA多语收藏指南+1个小的红色logo贴纸+进口商贴纸+箱唛
Remark: 1. 92104：MUNCHKIN(RARE): HIMALAYAN: PERSIAN: MAINE COON: RAGDOLL: RAGAMUFFIN: NORWEGIAN FOREST CAT = 2: 8: 10: 10: 10: 10: 10
7. 集装箱及装柜要求：集装箱不能有破洞；不能太脏
8.每个item需要放1整箱在每个集装箱门口
8.装柜的时候要前、中、后拍照
10.此单有监装要求，请每款多备1个监柜样板用于监柜</t>
  </si>
  <si>
    <t>790778/35035</t>
  </si>
  <si>
    <t>4500165241-10</t>
  </si>
  <si>
    <t>警语贴纸和位置图翻单PO4500135015</t>
  </si>
  <si>
    <t>日期码格式：ZURU INC(BVI) 标准格式 日期：按实际生产日期
Packaging Info: 1. 92104TQ2: MA 3L-9L warning EAN A版本包装+警语贴纸(警语贴纸和位置图翻单PO4500135015)+北欧五语通用Slime黑白说明书(通用，翻单4500161075)
Remark: 1. 包装如含PVC,请改为PET并第一时间通知跟单
2. 产品/包装要求无硼无香，出欧洲，微塑料需合规。
关于微塑料，所有的产品和包装和产品均不能包含，无微塑料的产品都要配套无微塑料的包装，如包装备注与此有争议，请工厂第一时间告知，跟单重新确认包装版
本
3. ICA针对带电池出货的产品，都要用碱性电池
4.带电池出货的产品所用到的电池需要符合欧洲电池新规(EU) 2023-1542
5.有胶袋的产品：要求产品的胶袋厚度要大于等于0.05mm
6.关于贴纸，如果贴纸位置图的包装版本与大货不一致，请工厂第一时间提前提出。跟单会重新调整确认是否更新贴纸或调整位置图
7.产品/包装不含PFAS成分
8.产品条码如下: 请先检查条码是否正确再安排做货，如有问题请告知
92104TQ2-S002-NB:4894680033542</t>
  </si>
  <si>
    <t>4500164596-60</t>
  </si>
  <si>
    <t>5/7-通用进口商贴纸</t>
  </si>
  <si>
    <t>4500159682-10</t>
  </si>
  <si>
    <t>日期码格式：ZURU INC(BVI) 标准格式 日期：按实际生产日期
Packaging Info: 1、 92104TQ1：MA 3L EAN包装+UPC贴纸+MA PDQ包装+MA 多语收藏指南+进口商贴纸+箱唛
Remark: 1. 此单有第三方监柜，多备一套样品随货送出
 2. 92104：MUNCHKIN(RARE): HIMALAYAN: PERSIAN: MAINE COON: RAGDOLL: RAGAMUFFIN: NORWEGIAN FOREST CAT = 2: 8: 10: 10: 10: 10: 10</t>
  </si>
  <si>
    <t>MILLS FLEET FARM</t>
  </si>
  <si>
    <t>PO#4647601</t>
  </si>
  <si>
    <t>4500160726-120</t>
  </si>
  <si>
    <t>日期码格式：ZURU INC(BVI) 标准格式 日期：按实际生产日期
Packaging Info: 1. 包材：ZURU 最新 MA 1L UPC 版本，出口美国;|
Remark: 2.日期跟踪码：产品包装及产品本身都必须有日期跟踪码，并且确保两者的日期跟踪码要一致；ZURU标准格式日期码(请自行调整具体年月日生产期，但不能为末).
3. 此单不同客户PO对应不同交期，PO详情看侧边remark ，交期请看PO上面的delivery date；
4. 外箱贴纸(请务必先发箱唛排版给跟单确认后再做印刷)
5. 出货配比：ZURU 标版配比</t>
  </si>
  <si>
    <t>Mila Yao</t>
  </si>
  <si>
    <t>ZB00493-6.17</t>
  </si>
  <si>
    <t xml:space="preserve"> BIG W</t>
  </si>
  <si>
    <t>47826600 SYD</t>
  </si>
  <si>
    <t>4500166054-10</t>
  </si>
  <si>
    <t>进口商贴纸，翻4500124257</t>
  </si>
  <si>
    <t>日期码格式：ZURU INC(BVI) 标准格式 日期：按实际生产日期
Packaging Info: 1. 包装：
 92104TQ1: MA UPC PKG+1张进口商贴纸，贴纸翻单4500124257
 2. 进口商贴纸上已经去掉日期码，产品和包装上的日期码一致，请按要求在包装上打日期码（进口商贴纸不覆盖日期码）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</si>
  <si>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 xml:space="preserve"> Christine Liao</t>
  </si>
  <si>
    <t>47826466 BNE</t>
  </si>
  <si>
    <t>4500166054-50</t>
  </si>
  <si>
    <t>47843716 MEL</t>
  </si>
  <si>
    <t>4500166054-70</t>
  </si>
  <si>
    <t>47843717 FRE</t>
  </si>
  <si>
    <t>4500166054-90</t>
  </si>
  <si>
    <t>Amazon
UK:4AUYIIYZ</t>
  </si>
  <si>
    <t>4500165439-10</t>
  </si>
  <si>
    <t>客版邮包盒翻4500157663</t>
  </si>
  <si>
    <t>日期码格式：ZURU INC(BVI) 标准格式 日期：按实际生产日期
Packaging Info: Amazon UK(71137/92104G/9296B/9543A)/DE(9279AE/9543BE)
2. 92104G：92104G KITTYCORN SURPRISE(Ragamuffin), 1pc/mailbox, 32mailboxes/ctn; MA 3L(9L warning)A收缩膜+MA 2L A布标+MA 5L(23L warning)A Slime胶
袋+MA 5L A贴纸+MA 5L(23L warning)A 收藏指南+客版邮包盒(UPC#+英法德意西5L警告语+IT/FR/ES环保标+ZURU邮箱，参考翻单PO#4500157663)；
6. 最迟验货不得晚于2025/6/18;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</si>
  <si>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4500166127-40</t>
  </si>
  <si>
    <t>日期码格式：ZURU INC(BVI) 标准格式 日期：按实际生产日期
Packaging Info: 各款的条码如下，配比请跟MA, 请先检查条码是否正确再安排做货，如有问题请告知
 92104TQ1-S003 193052064417(MA 最新UPC包装)
Remark: 1.产品及包装需要印UKCA图标，包装需要有ZURU UK LTD/ZURU France地址信息，QC同事请核查，如有问题与跟单确认。
 2. 需要符合欧洲标准不能含有闪粉和微塑料，否则不合法规会有客诉产生</t>
  </si>
  <si>
    <t>4500161780-30</t>
  </si>
  <si>
    <t>EAN条码贴翻4500139632</t>
  </si>
  <si>
    <t>日期码格式：ZURU INC(BVI) 标准格式 日期：按实际生产日期
Packaging Info:
92104TQ4-S004：全套MA-1L包装+客户EAN条码贴一张覆盖ZURU 原条码 （条码贴翻4500139632），1L-ZURU标准客版PDQ
 MUNCHKIN(RARE): HIMALAYAN: PERSIAN: MAINE COON: RAGDOLL: RAGAMUFFIN: NORWEGIAN FOREST CAT = 2: 8: 10: 10: 10: 10: 10;
 BARCODE: 5056296044865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 大货样： 请在6/10 前: 未出货的新品请寄2套大货样到7B Sandy Shao 收，翻单不需要寄。</t>
  </si>
  <si>
    <t>4/21-客办收缩膜</t>
  </si>
  <si>
    <t>92104-S001-1</t>
  </si>
  <si>
    <t>Salling Group A/S</t>
  </si>
  <si>
    <t>4500165307-20</t>
  </si>
  <si>
    <t>com邮箱地址贴纸翻coop PO#4500160515</t>
  </si>
  <si>
    <t>日期码格式：ZURU INC(BVI) 标准格式 日期：按实际生产日期
Packaging Info:
2. 92104TQ2: MA A 3L-9L warning EAN 版收缩膜+care@zuru.com邮箱地址贴纸(贴纸和位置图翻coop PO#4500160515)+ MA_A_5L(warning 23L)收藏指南+MA 布标/
贴纸/吊牌+MA_B_5L+warning 9L polybag
Remark: 9561： 是新品，请在6/2前寄两套大货样给客人留底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SKU-EAN-外箱条码
92104TQ2-S002-NB:489468003354210193052064414</t>
  </si>
  <si>
    <t>95676-7.17</t>
  </si>
  <si>
    <t xml:space="preserve"> ZU25041801</t>
  </si>
  <si>
    <t>4500166599-20</t>
  </si>
  <si>
    <t>贴纸AW翻4500158305</t>
  </si>
  <si>
    <t>日期码格式：ZURU INC(BVI) 标准格式 日期：按实际生产日期
Packaging Info: 1.MA UPC包装（优先1L)+1张进口商贴纸
92104贴纸AW、位置图翻单4500158305。92104要在产品外面套一个透明胶袋，防止尾巴弄脏。
 其他item贴纸AW、位置图待提供
 3.此单分批出货，92125 7月出货，走20GP
Remark:
 92104-MUNCHKIN(RARE): HIMALAYAN: PERSIAN: MAINE COON: RAGDOLL: RAGAMUFFIN: NORWEGIAN FOREST CAT = 2: 8: 10: 10: 10: 10: 10</t>
  </si>
  <si>
    <t xml:space="preserve"> AMIC TRADING (PTY) LTD</t>
  </si>
  <si>
    <t>4500165851-50</t>
  </si>
  <si>
    <t>4500158500-40</t>
  </si>
  <si>
    <t>日期码格式：ZURU INC(BVI) 标准格式 日期：按实际生产日期 
Packaging Info: 1. 包材：ZURU MA 1L UPC最新版本，出口美国:
Remark: 2. 日期跟踪码：ZURU标准格式日期码，产品包装及产品本身都必须有ZURU标准格式日期码，并且确保两者日期码的格式和时间保持一致(请自行调整具体年月日生
 产期，但不能为周末）
 3. 验货+ 抽板 （同一天进行）
 预约5月21日第三方（利丰）到工厂做100%大货现场验货和抽板，验货需打印EPM出来跟客户回签样板供第三方验货参考。
 PS:EPM是跟单提供。
 抽板：
 利丰验货员现场针对指定款随机抽板6PCS 成品， 工厂需把抽板寄到以下MTS地址做测试，测试通过后才能出货；如产品有油漆的工厂需额外准备5G/色的油漆涂在
 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
 #92104TQ2-S001-RAINBOCORN - KITTYCORN SURPRISE - SERIES 9 - PLUSH SMALL - SHRINK WRAP,2facing6PCS/PDQ,12PCS/2PDQ/CTN
 6. ZURU QA验货时需拍齐每款角色的产品和产品包装上的日期码照片（供实验室review）</t>
  </si>
  <si>
    <t>ZU25050201</t>
  </si>
  <si>
    <t>4500166838-20</t>
  </si>
  <si>
    <t>贴纸AW、位置图翻单4500158305</t>
  </si>
  <si>
    <t>92104要在产品外面套一个透明胶袋，防止尾巴弄脏，透明胶袋可以跟4500130555。</t>
  </si>
  <si>
    <t>日期码格式：ZURU INC(BVI) 标准格式 日期：按实际生产日期
Packaging Info: 此单分两批走，所以装运类型和CRD有两种，9283、9296为第二批。
MA UPC包装(优先1L)+1张进口商贴纸,
92104贴纸AW、位置图翻单4500158305。92104要在产品外面套一个透明胶袋，防止尾巴弄脏，透明胶袋可以跟4500130555。
Remark: 
92104-MUNCHKIN(RARE): HIMALAYAN: PERSIAN: MAINE COON: RAGDOLL: RAGAMUFFIN: NORWEGIAN FOREST CAT = 2: 8: 10: 10: 10: 10: 10</t>
  </si>
  <si>
    <t>Mid-States Distributing, LLC</t>
  </si>
  <si>
    <t>North 40 PO
A000188345</t>
  </si>
  <si>
    <t>4500161570-670</t>
  </si>
  <si>
    <t>日期码格式：ZURU INC(BVI) 标准格式 日期：按实际生产日期
Packaging Info: 1.使用 MA UPC版本包装，优先1L，出口美国。
Remark: 1.产品和包装上印刷tracking code信息，格式为ZURU常规。
2.ZURU QC验货</t>
  </si>
  <si>
    <t>ZB00612R1-6.30</t>
  </si>
  <si>
    <t>Bomgaars
Moberly PO
230530PT</t>
  </si>
  <si>
    <t>4500161570-690</t>
  </si>
  <si>
    <t>ZB00583R1-6.25</t>
  </si>
  <si>
    <t>Bomgaars
ZENITH PO
230504PT</t>
  </si>
  <si>
    <t>4500161570-680</t>
  </si>
  <si>
    <t>ZB00647-7.1</t>
  </si>
  <si>
    <t>Bucheits PO
40119926</t>
  </si>
  <si>
    <t>4500161570-660</t>
  </si>
  <si>
    <t>ZB00611-6.30</t>
  </si>
  <si>
    <t>SUOMEN OSUUSKAUPPOJEN KESKUSKUNTA</t>
  </si>
  <si>
    <t>芬兰</t>
  </si>
  <si>
    <t>4500161056-40</t>
  </si>
  <si>
    <t>5/20-邮箱地址做成一张贴纸贴+瑞典芬兰爱沙尼亚语布标贴纸</t>
  </si>
  <si>
    <t>北欧五语通用Slime黑白说明书翻4500161075</t>
  </si>
  <si>
    <t>日期码格式：ZURU INC(BVI) 标准格式 日期：按实际生产日期
Packaging Info: 
4. 92104TQ2: MA_A_3L(warning 9L)_EAN+瑞典芬兰爱沙尼亚语警告语/made in China/产品包含信息翻译成瑞典芬兰爱沙尼亚语/care@zuru.com邮箱地址做成一张贴
纸贴在收缩膜上+MA_A_5L(warning 23L)收藏指南+MA PDQ/贴纸/吊牌+MA_B_5L+warning 9L polybag+北欧五语通用Slime黑白说明书（翻PO#4500161075)+MA 2L布标+
瑞典芬兰爱沙尼亚语布标贴纸(不能覆盖英文，如不够位置图请直接把英文也一直做成贴纸)
Remark: *. 71152+15704UQ1 需要在6/11安排ITS第三方验货，请多备料
请在6/2之前各提供一套大货签板给我们签回供第三方验货用，签板必须跟大货完全一致，否则验货会不合格
*.71152+7166+15704UQ1+15733+15728新款: 请在6/2之前各提供两套大货样给我们寄给客人留底
*. 包装如含PVC,请改为PET并第一时间通知跟单
*. 产品/包装要求无硼无香，出欧洲，微塑料需合规。
*.带电池出货的产品所用到的电池需要符合欧洲电池新规(EU) 2023-1542
*.有胶袋的产品：要求产品的胶袋厚度要大于等于0.05mm
*.关于贴纸，如果贴纸位置图的包装版本与大货不一致，请工厂第一时间提前提出。跟单会重新调整确认是否更新贴纸或调整位置图
*.产品/包装不含PFAS成分
*.产品条码如下: 请先检查条码是否正确再安排做货，如有问题请告知
ZURU ITEM#&lt;(&gt;&amp;&lt;)&gt;EAN
92104TQ2-S001-NB:4894680033542</t>
  </si>
  <si>
    <t>95518-7.1</t>
  </si>
  <si>
    <t>4500167152-80</t>
  </si>
  <si>
    <t>UPC贴纸+进口商贴纸翻4500152087</t>
  </si>
  <si>
    <t>日期码格式：ZURU INC(BVI) 标准格式 日期：按实际生产日期
Packaging Info:
6. 92104TQ1：MA多语EAN包装+UPC贴纸+MA多语收藏指南+MA PDQ包装+进口商贴纸+箱唛,进口商贴纸翻单4500152087
Remark: 
7. 92104TQ1：MUNCHKIN(RARE): HIMALAYAN: PERSIAN: MAINE COON: RAGDOLL: RAGAMUFFIN: NORWEGIAN FOREST CAT = 2: 8: 10: 10: 10: 10: 10</t>
  </si>
  <si>
    <t>MTQ39-92104-S001
-NB-MTS</t>
  </si>
  <si>
    <t>长尾巴猫混装（92104+9298）</t>
  </si>
  <si>
    <t>日期码格式：ZURU INC(BVI) 标准格式 日期：按实际生产日期
Packaging Info: 92104：A 版 3L MA EAN收缩膜+进口商贴纸+EAN条码贴纸；B 版 5L MA 收藏指南
Remark: 1、若产品有比例使用ZURU STD 比例
2、所有item 均用MA EAN条码，若包装上的EAN 条码与PO 不一致的请告知
3、此单出欧洲需满足EU测试标准要求"</t>
  </si>
  <si>
    <t>Ahold Delhaize European Sourcing B.</t>
  </si>
  <si>
    <t>客人PO#P25066
62</t>
  </si>
  <si>
    <t>4500166699-10</t>
  </si>
  <si>
    <t>92104-S005</t>
  </si>
  <si>
    <t>6/30出</t>
  </si>
  <si>
    <t>日期码格式：ZURU INC(BVI) 标准格式 日期：按实际生产日期
Packaging Info:
92104-S005: MA 3L EAN收缩膜，MA 5L收藏指南，MA 5L slime polybay，MA贴纸，MA布标
Remark: 1.STD配比
2.所有包装材料都不允许PVC，请用PET代替
3.出口欧洲荷兰，须符合欧洲微塑料法规
4.客人款号
92104： 613587-004
5.大货样1套</t>
  </si>
  <si>
    <t>92104-S005-3L</t>
  </si>
  <si>
    <t>客人PO#P25066
63</t>
  </si>
  <si>
    <t>4500166699-20</t>
  </si>
  <si>
    <t>客人PO#P25066
64</t>
  </si>
  <si>
    <t>4500166699-30</t>
  </si>
  <si>
    <t>MB175-92104-S001-NB</t>
  </si>
  <si>
    <t>长尾巴猫混装（92104+9298各3pcs）</t>
  </si>
  <si>
    <t>5/20-价格贴纸+多语警语贴纸+警语黑白说明书纸+西班牙环保贴纸</t>
  </si>
  <si>
    <t>日期码格式：ZURU INC(BVI) 标准格式 日期：按实际生产日期
Packaging Info:
92104: 最新MA 3L+9L警语包装+客人条码及价格贴纸+多语警语贴纸+5L+9L警语Slime袋子+额外Slime警语黑白说明书纸+5L+23L收藏指南+西班牙环保logo贴纸(含car
e邮箱)
Remark: 1. 此单出德国，需要满足Zuru Standard欧洲标准测试要求；
2. 出口欧洲，微塑料需符合法规；
3. 所有电子产品身上需要加字唛，为ZURU FRANCE 地址 (如无电子产品，产品布标有此地址，或产品太小无法增加可忽略此信息)
ZURU France 1/3, Rue d'Argenteuil 95210 SAINT-GRATIEN, FRANCE
4. 所有电子产品需增加一张客版WEEE声明说明书，区分带电池和不带电池版本, 如已做客版说明书可忽略此要求。
5. 所有出往德国订单，化学品需无堋无香版本。
6. 货好前两周，需要3套大货样，客人确认OK后，才能走货
7. 此单需准时完成生产，推期出货会有罚款
8. 包装不能含有PVC材料，如含吸塑需要更改为PET吸塑
9. 产品，包装，外箱 日期码需一致。
10. 标准配比
11. 箱唛贴纸：出德国的300pcs/50箱(客人单号：4500441498/200)每一面都需要贴"Kik 24"红色贴纸，贴纸贴于箱子右下角处。贴纸文件会和箱唛文件一起确认给
工厂。</t>
  </si>
  <si>
    <t>客人PO:
4500441499/30
0, 出SK斯洛伐
克；</t>
  </si>
  <si>
    <t>收到SO，预计6/24出</t>
  </si>
  <si>
    <t>日期码格式：ZURU INC(BVI) 标准格式 日期：按实际生产日期
Packaging Info: 92123: 基于92104和9298的客版ITEM，二维码扫描结果：38711
92104: 客版底座+客版收缩膜（(加白色贴纸覆盖条码)）+客版收藏指南+（MA slime polybag+阿拉伯语翻译贴纸）+MA stiker
Remark:</t>
  </si>
  <si>
    <t>92104-S001-2</t>
  </si>
  <si>
    <t>4500165792-10</t>
  </si>
  <si>
    <t>5/30-UPC贴纸+进口商贴纸</t>
  </si>
  <si>
    <t>日期码格式：ZURU INC(BVI) 标准格式 日期：按实际生产日期
Packaging Info: 1. 92104TQ1：MA 3L EAN包装+UPC贴纸+MA 多语收藏指南+MA PDQ包装+进口商贴纸+箱唛
Remark: 1. 92104: MUNCHKIN(RARE): HIMALAYAN: PERSIAN: MAINE COON: RAGDOLL: RAGAMUFFIN: NORWEGIAN FOREST CAT = 2: 8: 10: 10: 10: 10: 10</t>
  </si>
  <si>
    <t xml:space="preserve"> Amazon EU SARL, Ndl Deutschland</t>
  </si>
  <si>
    <t>Amazon UK:
6Q72U58G</t>
  </si>
  <si>
    <t>4500166446-20</t>
  </si>
  <si>
    <t>7/6-7/10出</t>
  </si>
  <si>
    <t>UPC#+英法德意西5L警告语+IT/FR/ES环保标+ZURU邮箱翻4500157663</t>
  </si>
  <si>
    <t>日期码格式：ZURU INC(BVI) 标准格式 日期：按实际生产日期
Packaging Info: Amazon UK(92104A)/DE(15711B)
 2. 92104A：92104A KITTYCORN SURPRISE(Persian), 1pc/mailbox, 32mailboxes/ctn; MA 3L(9L warning)A收缩膜+MA 2L A布标+MA 5L(23L warning)A Slime胶袋+
 MA 5L A贴纸+MA 5L(23L warning)A 收藏指南+客版邮包盒(UPC#+英法德意西5L警告语+IT/FR/ES环保标+ZURU邮箱，参考翻单PO#4500157663)；
 3.最迟验货不得晚于2025/6/27;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</si>
  <si>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 xml:space="preserve"> Crystal Chen</t>
  </si>
  <si>
    <t>95599-7.9</t>
  </si>
  <si>
    <t>15INFYFV</t>
  </si>
  <si>
    <t>4500167361-520</t>
  </si>
  <si>
    <t>日期码格式：ZURU INC(BVI) 标准格式 日期：按实际生产日期
Packaging Info: 出口加拿大，包装需要至少2/3L UPC版，无硼版本。
#92104 :MA 3L+邮包盒,邮包盒图稿跟Amazon 4500127793;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</si>
  <si>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5ADP41EH</t>
  </si>
  <si>
    <t>4500167361-530</t>
  </si>
  <si>
    <t>26VPJHPS</t>
  </si>
  <si>
    <t>4500167361-540</t>
  </si>
  <si>
    <t>8NNEZGKK</t>
  </si>
  <si>
    <t>4500167361-550</t>
  </si>
  <si>
    <t>8EPHW3UN</t>
  </si>
  <si>
    <t>4500167361-560</t>
  </si>
  <si>
    <t>83B65N9Y</t>
  </si>
  <si>
    <t>4500167361-570</t>
  </si>
  <si>
    <t>3VVXB8FS</t>
  </si>
  <si>
    <t>4500167361-580</t>
  </si>
  <si>
    <t>51QK5G5N</t>
  </si>
  <si>
    <t>4500167361-590</t>
  </si>
  <si>
    <t>6ZS4VW9J</t>
  </si>
  <si>
    <t>4500167361-600</t>
  </si>
  <si>
    <t>92104A-S001-NB.WMB</t>
  </si>
  <si>
    <t>92104A-S001-NB-3L</t>
  </si>
  <si>
    <t>815IMCTJ</t>
  </si>
  <si>
    <t>4500167361-610</t>
  </si>
  <si>
    <t>2RJQJ3HH</t>
  </si>
  <si>
    <t>4500167361-650</t>
  </si>
  <si>
    <t>61K4MKGQ</t>
  </si>
  <si>
    <t>4500167361-660</t>
  </si>
  <si>
    <t>4500167165-10</t>
  </si>
  <si>
    <t>箱唛翻4500140993</t>
  </si>
  <si>
    <t>客版PDQ 翻单4500124295,</t>
  </si>
  <si>
    <t>4500167165-20</t>
  </si>
  <si>
    <t>46842315</t>
  </si>
  <si>
    <t>4500167165-30</t>
  </si>
  <si>
    <t>4500166868-20</t>
  </si>
  <si>
    <t>日期码格式：ZURU INC(BVI) 标准格式 日期：按实际生产日期
Packaging Info: 
92104TQ2:MA A版PDQ+ MA A版 3L+9L EAN 收缩膜（4894680033542）+MA A版 5L+23L 收藏指南+ MA B版5L+9L 纸袋+ 客供价格贴纸
Remark: 1. 此单出德国，需要满足Zuru Standard欧洲标准测试要求；
2. 请准时出货，推期会有罚款；
3. 出口欧洲，微塑料需符合法规。
4. 配比：标准配比
5. 大货样品一套
6. 需提供验货图片给客人确认才可以安排出货
7. 所有包装警语部分需含德语警语</t>
  </si>
  <si>
    <t>4500151563-60</t>
  </si>
  <si>
    <t>4500163691-90</t>
  </si>
  <si>
    <t>日期码格式：DG20250520 日期：
Packaging Info: 
92104TQ1:MA 3L EAN 包装+进口商贴纸（进口商贴纸和UPC贴纸合并为一张）+箱唛
Remark:</t>
  </si>
  <si>
    <t>4500167897-10</t>
  </si>
  <si>
    <t>进口商贴纸翻单4500160573+6/3-新UPC条码贴纸</t>
  </si>
  <si>
    <t>日期码格式：LOTDGYYYYMMDD 日期：按实际生产日期
Packaging Info: 92104： MA 3L EAN包装+进口商贴纸（翻单4500160573）+新UPC条码贴纸+MA 5L 收藏指南+箱唛
Remark: 1. 客版日期码要求：LOT+ZURU标准日期码格式。东莞生产的格式：LOTDGYYYYMMDD, DG是东莞拼音首字母，
YYYYMMDD是实际的年月日，例如(LOTDG20240920)
2. 92104：MUNCHKIN(RARE): HIMALAYAN: PERSIAN: MAINE COON: RAGDOLL: RAGAMUFFIN: NORWEGIAN FOREST CAT = 2: 8: 10: 10: 10: 10: 10
4. 此单有第三方监柜，至少多备一套完整的物料用于监柜，请多备料。
5.WM墨西哥防霉的新要求:货物必须在出货主箱和集装箱中按要求放置干燥剂，干燥剂指定品牌干霸
92104：需要在每箱放入14小包干燥剂，每包干燥剂重量2-3g
6.如走柜货等loading plan 确认后再通知集装箱干燥剂数量</t>
  </si>
  <si>
    <t>4500166516-100</t>
  </si>
  <si>
    <t>WH Smith High Street Limited</t>
  </si>
  <si>
    <t>20250324-459888 20250324-459893</t>
  </si>
  <si>
    <t>4500166846-10</t>
  </si>
  <si>
    <t>7/2 第三方</t>
  </si>
  <si>
    <t>5/30收到</t>
  </si>
  <si>
    <t>日期码格式：ZURU INC(BVI) 标准格式 日期：按实际生产日期
Packaging Info: 92104TQ1： MA-1L 最新UPC包装; RATIO: 按ZURU标准配比
71152： MA-1L(23L Warning) 最新UPC包装+WEEE(不带)电池走货欧洲30语通用黑白说明书
Remark: 1# 订单出英国，请注意检查产品及包装应带UKCA图标，包装显示ZURU UK LTD信息，QC同事请查核，如有问题与跟单确认；
2# 产品包装上的生产日期按实际(法定工作日)，按ZURU标准格式即可 ，但是请留意外箱箱唛日期码(Batch Code)需要按照客人格式:"Batch+DD(2位阿拉伯数字)+Mo
nth(用英文字母顺序代表，比如六月是F)+YY(年份后面2位阿拉伯数字)"，外箱日期需要与产品显示的日期为同一天，如有问题请及时和跟单联系；
3# 请注意所有订单都需要经过ZURU QC验货以及客人QC验货(或客人安排第三方验货)并且通过后方可出货，申请客人验货务必确保100%完货，如因产品质量问题或
其他工厂原因导致的客人验货未通过需要重验的，须由工厂承担重验费用USD300;
4# 包装统一使用UPC条码，请安排生产前先核对 ，有问题请提出；
5# 所有产品按符合欧洲标准走货，需要是不含微塑料版本 ；
6# 涉及到硼的，如可选择情况下应使用符合欧标的无硼或低硼版本 （slime 类别低硼一般低于300ppm)；</t>
  </si>
  <si>
    <t>95617-7.11</t>
  </si>
  <si>
    <t>H-E-B, LP</t>
  </si>
  <si>
    <t>PO#60X686709</t>
  </si>
  <si>
    <t>4500167106-40</t>
  </si>
  <si>
    <t>7/7第三方</t>
  </si>
  <si>
    <t>日期码格式：ZURU INC(BVI) 标准格式 日期：按实际生产日期
Packaging Info: 1. 包材：ZURU MA 1L UPC最新版本，出口美国;
Remark: 2. 日期跟踪码：ZURU标准格式日期码，产品包装及产品本身都必须有ZURU标准格式日期码，并且确保两者信息保持一致(请自行调整具体年月日生产期，但不能为
周末）。
3. 大货样
#92104TQ2需6月25日前需寄出3套大货样板(含PDQ)，样板须跟大货一模一样（含日期码）。
样板一套我们将给到美国HEB，两套寄到以下深圳利丰地址，到时利丰会回签一套用于第三方100%大货验货。
回签的样板工厂需要长期保存好，只要产品没更新每次的第三方验货都是用这套样板做参考不再走客户签样流程。
* 一套样板寄到以下地址（一套含PDQ）
深圳雨禾伟业实业有限公司
地址：广东省深圳市罗湖区东门南路1006号文锦渡口岸大厦B栋7楼
收件人：Elsa
电话：0755 6688 1988 Ext3337
*2套（盲盒类的：4pcs成品球+2个空PDQ+2套散件）寄到以下地址：
Li Fung　
深圳市福田区绒花路8号深福保大厦附楼3楼。
收件人： Yoland Dai　电话：+0755 8825 3756
4. 验货+ 抽板 （同一天进行）
预约6月25日第三方（利丰）到工厂做100%大货现场验货和抽板，验货需打印EPM出来跟客户回签样板供第三方验货参考。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 除15727，其他items出ZURU 标版配比;
6. ZURU QA 验货时需拍齐每款角色的产品和产品包装上的日期码照片（供实验室review）</t>
  </si>
  <si>
    <t>ZB00886R1-7.26</t>
  </si>
  <si>
    <t>4500168127-10</t>
  </si>
  <si>
    <t>6/12-进口商贴纸</t>
  </si>
  <si>
    <t>邮包盒翻4500124874</t>
  </si>
  <si>
    <t>日期码格式：ZURU INC(BVI) 标准格式 日期：按实际生产日期
Packaging Info: 1. 92104：MA 3L EAN包装+邮包盒+进口商贴纸+SSCC label，邮包盒翻单PO4500124874
Remark: 1. Amazon FOB订单，出口Mexico，外箱最长边不能超过25" （超过了，case pack只能为1），不符合要求的大货，一律不接受。
2. 空白外箱加印ZURU Logo（四面加印）+MADE IN CHINA（只印一正一侧）+SSCC LABEL(客供贴纸），无shipping mark,日期使用ZURU 标准版本。SSCC Label显示
的是客人自己的item#，SSCC Label 贴在外箱正面的正中间，贴一面即可，跟单订购，贴纸离外箱距必须至少3cm,每一张SSCC Label都是唯一且有不同流水及条码的
，没有损耗，绝对不可贴错，否则贴错或损坏一张会导致全部都错，千万要注意！
3. 日期码使用ZURU标准版
4.此单走整柜，需要安排监装，请每款多备1PC监柜样板</t>
  </si>
  <si>
    <t>4500168127-210</t>
  </si>
  <si>
    <t>4HNLYFNV</t>
  </si>
  <si>
    <t>4500168127-320</t>
  </si>
  <si>
    <t>4500168127-350</t>
  </si>
  <si>
    <t>4500165746-10</t>
  </si>
  <si>
    <t>日期码格式：ZURU INC(BVI) 标准格式 日期：按实际生产日期
Packaging Info: 1. 92104TQ1：MA 3L EAN包装+UPC条码贴纸+MA PDQ包装+进口商贴纸+箱唛
Remark: 92104TQ1:MUNCHKIN(RARE): HIMALAYAN: PERSIAN: MAINE COON: RAGDOLL: RAGAMUFFIN: NORWEGIAN FOREST CAT = 2: 8: 10: 10: 10: 10: 10
此单有监柜要求，请每款多备1pc样板用于监装</t>
  </si>
  <si>
    <t>4500167751-10</t>
  </si>
  <si>
    <t>95601-7.9</t>
  </si>
  <si>
    <t>4500167751-20</t>
  </si>
  <si>
    <t>4500167751-30</t>
  </si>
  <si>
    <t>Amazon DE:
7E16HDXQ</t>
  </si>
  <si>
    <t>4500168472-100</t>
  </si>
  <si>
    <t>暂未收到SO</t>
  </si>
  <si>
    <t>日期码格式：ZURU INC(BVI) 标准格式 日期：按实际生产日期
Packaging Info: Amazon UK(77555/71126/77515)/DE(15701AB/71126/92104AG/9258G)/FR(15711D)
5. 92104AG:
---92104G: 92104G KITTYCORN SURPRISE(Ragamuffin), 1pc/mailbox, 32mailboxes/ctn; MA 3L(13L warning)B收缩膜+其他MA最新配套包装+MA 5L(23L warnin
g)B 收藏指南+客版邮包盒(UPC#+英法德意西5L警告语+IT/FR/ES环保标+ZURU邮箱，参考翻单PO#4500157663)；
8. 验货时间不迟于2025/7/10.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</si>
  <si>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95733-7.23
95796-7.28</t>
  </si>
  <si>
    <t>Amazon DE:
2P8VH37I</t>
  </si>
  <si>
    <t>4500168472-110</t>
  </si>
  <si>
    <t>7/20-7/24出</t>
  </si>
  <si>
    <t>95733-7.23</t>
  </si>
  <si>
    <t>4500168472-120</t>
  </si>
  <si>
    <t>4500163807-20</t>
  </si>
  <si>
    <t>4/28-客人白色Cat.label</t>
  </si>
  <si>
    <t>日期码格式：ZURU INC(BVI) 标准格式 日期：按实际生产日期
Packaging Info:
92104：
1.MA -1L UPC包装+客人白色Cat.label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（14.17pt），条码扫描结果应为7662960。
Remark: *MA包装按最新版本安排即可(只要MA包装上含英文信息就可以)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</si>
  <si>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Ina Song</t>
  </si>
  <si>
    <t>95690-7.18</t>
  </si>
  <si>
    <t>日期码格式：ZURU INC(BVI) 标准格式 日期：按实际生产日期
Packaging Info:
 92124：
 1. MA -1L UPC包装+客人白色Cat.label 1张覆盖ZURU条码。
 92104：MA 1L UPC最新全套包装+MA布标，包装加空白条码贴覆盖包装原条码，空白贴纸待提供，确保卖场只能扫到92124的条码。
 2.注意Cat.label （要求易撕类贴纸，但是粘性不能过低），同时此贴纸每个订单都是不相同的（会显示客户对应的订单号），切勿翻旧订单购买。此贴纸由ZURU
 提供贴纸图稿和贴纸位置图给工厂后，工厂自行购买。
3.请先检查条码是否正确再安排做，标签上的目录编号数字（7695690）高度必须至少为5mm （14.17pt），条码扫描结果应为7695690。
 -此订单对应客户6个PO号 ，备注有显示 ，注意分开做货/验货/装柜，混装有罚款。
Remark: *MA包装按最新版本安排即可(只要MA包装上含英文信息就可以)。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</si>
  <si>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4500168055-10</t>
  </si>
  <si>
    <t>日期码格式：ZURU INC(BVI) 标准格式 日期：按实际生产日期
Packaging Info: 92104TQ1:MA多语EAN+UPC贴纸+箱唛
Remark:</t>
  </si>
  <si>
    <t>4500168238-20</t>
  </si>
  <si>
    <t>日期码格式：ZURU INC(BVI) 标准格式 日期：按实际生产日期
Packaging Info: 92104TQ1:MA多语EAN+UPC贴纸+箱唛
Remark: 请确保包装上的条形码是UPC，如有不一致，请及时提出。谢谢！</t>
  </si>
  <si>
    <t>95677-7.17</t>
  </si>
  <si>
    <t>4500167054-40</t>
  </si>
  <si>
    <t>日期码格式：ZURU INC(BVI) 标准格式 日期：按实际生产日期
Packaging Info: 
#92104TQ1:MUNCHKIN(RARE): HIMALAYAN: PERSIAN: MAINE COON: RAGDOLL: RAGAMUFFIN: NORWEGIAN FOREST CAT = 2: 8: 10: 10: 10: 10: 10
Remark: MA UPC 英语包装（优先1L英语版本,或者3L/L含英语即可</t>
  </si>
  <si>
    <t>4500168727-140</t>
  </si>
  <si>
    <t>7/23出</t>
  </si>
  <si>
    <t>日期码格式：ZURU INC(BVI) 标准格式 日期：按实际生产日期
Packaging Info:92104，：MA UPC收缩膜+进口商贴纸；MA指南；
Remark: 标准配比</t>
  </si>
  <si>
    <t>95746-7.23</t>
  </si>
  <si>
    <t>2025/7/4周五</t>
  </si>
  <si>
    <t>FB13022</t>
  </si>
  <si>
    <t>4500159670-10</t>
  </si>
  <si>
    <t>日期码格式：ZURU INC(BVI) 标准格式 日期：按实际生产日期
Packaging Info:
92104TQ4-S004：全套MA-1L包装+客户EAN条码贴一张覆盖ZURU 原条码 （条码贴翻4500139632），1L-ZURU标准客版PDQ。条码：5056296044865
MUNCHKIN(RARE): HIMALAYAN: PERSIAN: MAINE COON: RAGDOLL: RAGAMUFFIN: NORWEGIAN FOREST CAT = 2: 8: 10: 10: 10: 10: 10; BARCODE: 5056296044865"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 大货样： 新款请在6/30 前寄出每款2整套大货样到罗湖办公室7B Sandy Shao 收，翻单不用寄。</t>
  </si>
  <si>
    <t>95645-7.14</t>
  </si>
  <si>
    <t>2025/7/7周一</t>
  </si>
  <si>
    <t>4500168824-10</t>
  </si>
  <si>
    <t>日期码格式：ZURU INC(BVI) 标准格式 日期：按实际生产日期
Packaging Info: #92104TQ1:MUNCHKIN(RARE): HIMALAYAN: PERSIAN: MAINE COON: RAGDOLL: RAGAMUFFIN: NORWEGIAN FOREST CAT = 2: 8: 10: 10: 10: 10: 10
Remark: MA UPC 英语包装（优先1L英语版本，或者3L/5L含英语都可）
此客人不接受易掉落或者剥落或者可直接触碰的闪粉，可降解也不行，但可以接受符合欧洲微塑料标准的珠光粉或者闪片。</t>
  </si>
  <si>
    <t>95600-7.9</t>
  </si>
  <si>
    <t>4500168067-30</t>
  </si>
  <si>
    <t>92104-S006-NB.PKC</t>
  </si>
  <si>
    <t>警语贴纸翻4500149853</t>
  </si>
  <si>
    <t>日期码格式：ZURU INC(BVI) 标准格式 日期：按实际生产日期
Packaging Info:
92104: 最新MA 1L收缩膜+德语callout及警语贴纸(含EAN条码)+5L 收藏指南/Polybag/贴纸+MA 布标 （全部资料翻单#4500149853）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 标准配比
11. 所有电子产品身上需要加字唛，为ZURU FRANCE 地址 (如无电子产品，产品布标有此地址，或产品太小无法增加可忽略此信息)
ZURU France 1/3, Rue d'Argenteuil 95210 SAINT-GRATIEN, FRANCE
12. 所有出往德国订单的电子产品需增加一张欧洲通用WEEE声明说明书，区分带电池和不带电池版本, 如已做客版说明书可忽略此要求。</t>
  </si>
  <si>
    <t>92104-S006-NB</t>
  </si>
  <si>
    <t>29145148</t>
  </si>
  <si>
    <t>4500168620-10</t>
  </si>
  <si>
    <t>B0CPND4W6K</t>
  </si>
  <si>
    <t>4500169465-10</t>
  </si>
  <si>
    <t>92104H-S001-MTS</t>
  </si>
  <si>
    <t>森林猫-邮包盒</t>
  </si>
  <si>
    <t>邮包盒图稿跟4500156588</t>
  </si>
  <si>
    <t>日期码格式：ZURU INC(BVI) 标准格式 日期：按实际生产日期
Packaging Info: #92104 MA 1L UPC版本+邮包盒,邮包盒图稿跟Amazon 4500156588。
Remark: 1.Amazon domestic 订单。出口美国。外箱最长边不能超过25" （超过了，case pack只能为1），不符合要求的大货，一律不接受。
2.无第三方验货/测试要求。
3.日期码使用ZURU标准版本。
4.邮包盒要印刷日期码。</t>
  </si>
  <si>
    <t>ZB169465-7.12</t>
  </si>
  <si>
    <t>4500169190-10</t>
  </si>
  <si>
    <t>92104TQ1-S001-MTS</t>
  </si>
  <si>
    <t>6/11-EAN条码贴纸+1*多语折叠警告语贴纸+slime 说明书</t>
  </si>
  <si>
    <t>日期码格式：ZURU INC(BVI) 标准格式 日期：按实际生产日期
Packaging Info: 92104TQ1：MA 3L+9L 收缩膜+1*BABY EAN条码贴纸+1*多语折叠警告语贴纸+MA 5L 最新版收藏指南+MA 5L 最新版slime 袋子+1*5L slime 说明书+MA PDQ
92104 BABY EAN barcode ：
92104A (Persian) 4894680037830
92104B (Maine Coon) 4894680037847
92104D (Ragdoll) 4894680037854
92104E (Himalayan) 4894680037861
92104G (Ragamuffin) 4894680037878
92104H (Norwegian Forest Cat) 4894680037885
Remark: 1.波兰内销单，需要通过ZURU 验货结果后才能出货 (工厂需要主动提前同ZURU QC预约验货避免延期出货造成不必要麻烦)；
2. 产品无微塑料；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所有电子产品身上需要加字唛，为ZURU FRANCE 地址 (如无电子产品，或者产品布标有此地址，可忽略此信息)
ZURU France 1/3, Rue d'Argenteuil 95210 SAINT-GRATIEN,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</si>
  <si>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KENSHO Szolgaltato Kft.</t>
  </si>
  <si>
    <t>匈牙利</t>
  </si>
  <si>
    <t>4500169609-20</t>
  </si>
  <si>
    <t>接受混用包材版本</t>
  </si>
  <si>
    <t>收到SO，预计8/16出</t>
  </si>
  <si>
    <t>6/26-进口商贴纸</t>
  </si>
  <si>
    <t>日期码格式：ZURU INC(BVI) 标准格式 日期：按实际生产日期
Packaging Info: 
92104: MA UPC 最新包装+进口商贴纸
Remark: 此单出Hungary， 需满足EU测试标准要求，不能含微塑料。
92104: MUNCHKIN(RARE): HIMALAYAN: PERSIAN: MAINE COON: RAGDOLL: RAGAMUFFIN: NORWEGIAN FOREST CAT = 2: 8: 10: 10: 10: 10: 10</t>
  </si>
  <si>
    <t>AHLBERG-DOLLARSTORE AB</t>
  </si>
  <si>
    <t>4500168801-20</t>
  </si>
  <si>
    <t>6/20-警语贴纸+价钱贴纸</t>
  </si>
  <si>
    <t>日期码格式：ZURU INC(BVI) 标准格式 日期：按实际生产日期
Packaging Info:
92104TQ2:MA EAN 3L_B PET 膜+MA PDQ_B+警语贴纸+价钱贴纸
Remark: 1/产品和包装要求无硼无香，包装不能含有PVC
2/如有微塑料，必须合规欧洲标准，闪粉也是微塑料的一种，目前仅接受三张方式1.去除，2.用可降解材料，和3.永久封印在固体。
3/带电池出货的产品，所用到的电池需要符合欧洲电池新规(EU)2023-1542
4/产品配比
92104TQ2: MUNCHKIN(RARE): HIMALAYAN: PERSIAN: MAINE COON: RAGDOLL: RAGAMUFFIN: NORWEGIAN FOREST CAT = 2: 8: 10: 10: 10: 10: 10;</t>
  </si>
  <si>
    <t>95802-7.28</t>
  </si>
  <si>
    <t>14512214</t>
  </si>
  <si>
    <t>4500159839-40</t>
  </si>
  <si>
    <t>6/18-防盗贴纸翻</t>
  </si>
  <si>
    <t>日期码格式：ZURU INC(BVI) 标准格式 日期：按实际生产日期
Packaging Info:
4.92104TQ4-S001：MA 1L UPC包装+一张防盗贴纸（贴纸类型10111896: 40R ECON YBL DE 8.2 1kr，请工厂自行跟checkpoint供应商订购贴纸-防盗贴位置图翻单PO
4500114513)+客版 1L 版PDQ (2Facing4pcs/PDQ)-客版PDQ翻PO#4500142847;
UPC#193052064417，请先检查包装条码是否正确再安排做货;
Remark: 1）外箱有条码要求，排版时请留意并请确保条码清晰可扫描（封箱胶不要黏到条码上), 否则客人会有罚款。
2) 订单出英国，产品及包装需要印UKCA图标，包装需要有ZURU UK LTD/ZURU France地址信息，QC同事请查核，如有问题与跟单确认。
3) 箱唛日期码与包装保持一致
4) 若外箱重量超过16KGS，请提前告知ZURU跟单，需要客人批准才能出货，并且外箱需要印2 man lift标志</t>
  </si>
  <si>
    <t>95800-7.28</t>
  </si>
  <si>
    <t>4500168346-30</t>
  </si>
  <si>
    <t>日期码格式：ZURU INC(BVI) 标准格式 日期：按实际生产日期
Packaging Info: 
92104: 最新MA 1L收缩膜+德语callout及警语贴纸(含EAN条码)+5L 收藏指南/Polybag/贴纸+MA 布标 （全部资料翻单#4500149853）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 所有电子产品身上需要加字唛，为ZURU FRANCE 地址 (如无电子产品，产品布标有此地址，或产品太小无法增加可忽略此信息)
ZURU France 1/3, Rue d'Argenteuil 95210 SAINT-GRATIEN, FRANCE
11. 所有出往德国订单的电子产品需增加一张欧洲通用WEEE声明说明书，区分带电池和不带电池版本, 如已做客版说明书可忽略此要求。
12. 标准配比</t>
  </si>
  <si>
    <t>MAC HOLDING SRL</t>
  </si>
  <si>
    <t>4500166748-40</t>
  </si>
  <si>
    <t>92104F-S001</t>
  </si>
  <si>
    <t>长尾巴猫（展示架）</t>
  </si>
  <si>
    <t>6/18-邮箱地址贴纸</t>
  </si>
  <si>
    <t>日期码格式：ZURU INC(BVI) 标准格式 日期：按实际生产日期
Packaging Info: 
92104F:MA 最新展示架有3L的话则不用1L+MA 最新3L+9L 收缩膜含EAN条码+1*意大利sorting logo含进口商&lt;(&gt;&amp;&lt;)&gt;邮箱地址贴纸+MA最新5L收藏指南/polybag+MA 布
标+MA贴纸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</si>
  <si>
    <t>956671-7.17</t>
  </si>
  <si>
    <t>92104F-S001-3L</t>
  </si>
  <si>
    <t>按SO出货</t>
  </si>
  <si>
    <t>92104TQ4：客
户PO 2734599</t>
  </si>
  <si>
    <t>4500163516-20</t>
  </si>
  <si>
    <t>日期码格式：ZURU INC(BVI) 标准格式 日期：按实际生产日期
Packaging Info: 
 92104TQ4:MA UPC 收缩膜，MA指南
 MUNCHKIN(RARE): HIMALAYAN: PERSIAN: MAINE COON: RAGDOLL: RAGAMUFFIN: NORWEGIAN FOREST CAT = 2: 8: 10: 10: 10: 10: 10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</si>
  <si>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5LSA3VKR</t>
  </si>
  <si>
    <t>4500169708-320</t>
  </si>
  <si>
    <t>邮包盒翻4500127793</t>
  </si>
  <si>
    <t>日期码格式：ZURU INC(BVI) 标准格式 日期：按实际生产日期
Packaging Info:
#92104 :MA 3L+邮包盒,邮包盒图稿跟Amazon 4500127793;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</si>
  <si>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3CWP88ZI</t>
  </si>
  <si>
    <t>4500169708-330</t>
  </si>
  <si>
    <t>7M6IX6GH</t>
  </si>
  <si>
    <t>4500169708-340</t>
  </si>
  <si>
    <t>6HUAT2KP</t>
  </si>
  <si>
    <t>4500169708-350</t>
  </si>
  <si>
    <t>8KGAD8MJ</t>
  </si>
  <si>
    <t>4500169708-360</t>
  </si>
  <si>
    <t>2V4CJW9D</t>
  </si>
  <si>
    <t>4500169708-370</t>
  </si>
  <si>
    <t>5A8LNQSZ</t>
  </si>
  <si>
    <t>4500169708-380</t>
  </si>
  <si>
    <t>889XV4TO</t>
  </si>
  <si>
    <t>4500169708-390</t>
  </si>
  <si>
    <t>4WNNO87C</t>
  </si>
  <si>
    <t>4500169708-400</t>
  </si>
  <si>
    <t>92104D-S001-NB.MB</t>
  </si>
  <si>
    <t>92104D-S001-NB-3L</t>
  </si>
  <si>
    <t>7OSA9XIC</t>
  </si>
  <si>
    <t>4500169708-410</t>
  </si>
  <si>
    <t>3VPYLPWI</t>
  </si>
  <si>
    <t>4500169708-420</t>
  </si>
  <si>
    <t>3F356Q7D</t>
  </si>
  <si>
    <t>4500169708-430</t>
  </si>
  <si>
    <t>2AQYWOTU</t>
  </si>
  <si>
    <t>4500169708-440</t>
  </si>
  <si>
    <t>465GY4AU</t>
  </si>
  <si>
    <t>4500169708-450</t>
  </si>
  <si>
    <t>7FJH9E8F</t>
  </si>
  <si>
    <t>4500169708-460</t>
  </si>
  <si>
    <t>5KPI8FWI</t>
  </si>
  <si>
    <t>4500169708-470</t>
  </si>
  <si>
    <t>4500169637-90</t>
  </si>
  <si>
    <t>日期码格式：ZURU INC(BVI) 标准格式 日期：按实际生产日期
Packaging Info: 
92104： MA 1L UPC 收缩膜+ 进口商贴纸+MA 指南
Remark: 标准配比</t>
  </si>
  <si>
    <t>92123-S002-92104</t>
  </si>
  <si>
    <t>彩盒翻单4500163957</t>
  </si>
  <si>
    <t>日期码格式：ZURU INC(BVI) 标准格式 日期：按实际生产日期
Packaging Info: 92123彩盒翻单4500163957 (含UPC条码193052081940) + 4国语警语贴纸Czech-Hugarian-Polish-Slovak,不需要价格贴纸
92104: MA A版1L 空白贴纸覆盖收缩膜上原有UPC条码
Remark: "1. 此单出EU，需满足EU测试标准要求，不含微塑料。
产品及包装需要印UKCA图标，包装需要有ZURU UK LTD/ZURU France地址信息，QC同事请核查，如有问题与跟单确认。
2.裝櫃必須按TPND順序 (條形碼貼紙或正嘜必須要朝外向車門外)，不可额外打缠绕带
3.外箱上有条码要求，排版时请留意并请确保条码清晰可扫描（封箱胶不要黏到条码上), 否则客人会有罚款；
4. 如含硼的话， 需用低硼版本(小于300ppm),硼含量需要符合欧洲标准,否则客人会退货有罚款产生"</t>
  </si>
  <si>
    <t>4500160544-50</t>
  </si>
  <si>
    <t>UPC贴纸翻4500160345</t>
  </si>
  <si>
    <t>日期码格式：ZURU INC(BVI) 标准格式 日期：按实际生产日期
Packaging Info:
92104TQ1：MA 3L EAN包装+UPC贴纸+MA PDQ包装+MA 多语收藏指南+箱唛，UPC贴纸翻单PO4500160345,请一起订购
Remark: 
92104TQ1: MUNCHKIN(RARE): HIMALAYAN: PERSIAN: MAINE COON: RAGDOLL: RAGAMUFFIN: NORWEGIAN FOREST CAT = 2: 8: 10: 10: 10: 10: 10</t>
  </si>
  <si>
    <t>4500164920-30</t>
  </si>
  <si>
    <t>6/20-(进口商贴纸和UPC贴纸合并为1张）+7/4-价标贴纸</t>
  </si>
  <si>
    <t>日期码格式：ZURU INC(BVI) 标准格式 日期：按实际生产日期
Packaging Info: 
92104TQ1:MA 3L EAN包装+进口商贴纸(进口商贴纸和UPC贴纸合并为1张）+价标贴纸+箱唛
Remark: 1. 此单价格贴纸（ZURU定购).
2.此单有第三方监柜，不用额外准备备品，会在大货中每款拆1pc，拆了包装的产品会由监装员用客供胶带封好或在外箱上写上"opened by telescope"</t>
  </si>
  <si>
    <t>MENARD, INC.</t>
  </si>
  <si>
    <t>ECDC72508263</t>
  </si>
  <si>
    <t>4500168078-10</t>
  </si>
  <si>
    <t>不得混包材</t>
  </si>
  <si>
    <t>日期码格式：ZURU INC(BVI) 标准格式 日期：按实际生产日期
Packaging Info: 1. ZURU MA UPC 优先1L 最新包装，版本统一，不得混包材， 出口美国
Remark: 2. 产品和包装需有日期码, ZURU标准日期码格式, 按照实际生产自行调整日期,但不能为周末,日期保持一致。
3.出货时柜子要贴柜门纸（装箱单），如果没有贴导致客户罚款，费用会跟工厂收取
装柜要拍照留底，记录如何装柜，以防客户投诉货物短装时无证据
4.大货配比： ZURU 标版配比
Black Friday 订单， 不能延期。</t>
  </si>
  <si>
    <t>Yvonne Feng</t>
  </si>
  <si>
    <t>ZB00994-7.31</t>
  </si>
  <si>
    <t>ECDC72532011</t>
  </si>
  <si>
    <t>4500168078-20</t>
  </si>
  <si>
    <t>ZB01176-8.11</t>
  </si>
  <si>
    <t>797407/35384</t>
  </si>
  <si>
    <t>4500169371-10</t>
  </si>
  <si>
    <t>6/16-丹麦瑞典芬兰挪威警告语贴纸</t>
  </si>
  <si>
    <t>日期码格式：ZURU INC(BVI) 标准格式 日期：按实际生产日期
Packaging Info: 1. 92104TQ2: MA_B_3L(Warning9L)_EAN版收缩膜+丹麦瑞典芬兰挪威警告语贴纸+MA_B_5L(warning 23L)收藏指南+MA_C_5L(warning 9L) Slime Polybag+北欧五语通
用Slime黑白说明书(通用，翻单4500161075)+MA PDQ+MA 布标/贴纸/吊牌
Remark: 1. 包装如含PVC,请改为PET并第一时间通知跟单
2. 产品/包装要求无硼无香，出欧洲，微塑料需合规。
关于微塑料，所有的产品和包装和产品均不能包含，无微塑料的产品都要配套无微塑料的包装，如包装备注与此有争议，请工厂第一时间告知，跟单重新确认包装版
本
3. ICA针对带电池出货的产品，都要用碱性电池
4.带电池出货的产品所用到的电池需要符合欧洲电池新规(EU) 2023-1542
5.有胶袋的产品：要求产品的胶袋厚度要大于等于0.05mm
6.关于贴纸，如果贴纸位置图的包装版本与大货不一致，请工厂第一时间提前提出。跟单会重新调整确认是否更新贴纸或调整位置图
7.产品/包装不含PFAS成分
8.产品条码如下: 请先检查条码是否正确再安排做货，如有问题请告知
92104TQ2-S002-NB:4894680033542</t>
  </si>
  <si>
    <t>95795-7.28</t>
  </si>
  <si>
    <t>1LEN4J5I</t>
  </si>
  <si>
    <t>4500169971-200</t>
  </si>
  <si>
    <t>3ETKJ6CC</t>
  </si>
  <si>
    <t>4500169971-210</t>
  </si>
  <si>
    <t>198BMFCN</t>
  </si>
  <si>
    <t>4500169971-220</t>
  </si>
  <si>
    <t>5O8G7AED</t>
  </si>
  <si>
    <t>4500169971-230</t>
  </si>
  <si>
    <t>5RM79PNE</t>
  </si>
  <si>
    <t>4500169971-240</t>
  </si>
  <si>
    <t>6P1T9FBJ</t>
  </si>
  <si>
    <t>4500169971-250</t>
  </si>
  <si>
    <t>33KKGEWQ</t>
  </si>
  <si>
    <t>4500169971-260</t>
  </si>
  <si>
    <t>7XSRINQM</t>
  </si>
  <si>
    <t>4500169971-270</t>
  </si>
  <si>
    <t>5Y23VADQ</t>
  </si>
  <si>
    <t>4500170146-140</t>
  </si>
  <si>
    <t>日期码格式：ZURU INC(BVI) 标准格式 日期：按实际生产日期
Packaging Info: 
#92104 :MA 3L+邮包盒,邮包盒图稿跟Amazon 4500127793;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</si>
  <si>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481CZ78U</t>
  </si>
  <si>
    <t>4500170146-150</t>
  </si>
  <si>
    <t>2FMU4OCH</t>
  </si>
  <si>
    <t>4500170146-160</t>
  </si>
  <si>
    <t>51YMCTVP</t>
  </si>
  <si>
    <t>4500170146-170</t>
  </si>
  <si>
    <t>3AHCDA2N</t>
  </si>
  <si>
    <t>4500170146-180</t>
  </si>
  <si>
    <t>453TIMPW</t>
  </si>
  <si>
    <t>4500170146-190</t>
  </si>
  <si>
    <t>6EYUT46B</t>
  </si>
  <si>
    <t>4500170146-200</t>
  </si>
  <si>
    <t>8VYQ5ZXJ</t>
  </si>
  <si>
    <t>4500170146-210</t>
  </si>
  <si>
    <t>4500165899-60</t>
  </si>
  <si>
    <t>6/25-UPC贴纸+进口商贴纸</t>
  </si>
  <si>
    <t>日期码格式：ZURU INC(BVI) 标准格式 日期：按实际生产日期
Packaging Info: 
 4. 92104TQ1:MA多语EAN包装+UPC贴纸+MA多语收藏指南+MA PDQ包装+进口商贴纸+箱唛
Remark: 
 5. 92104TQ1：MUNCHKIN(RARE): HIMALAYAN: PERSIAN: MAINE COON: RAGDOLL: RAGAMUFFIN: NORWEGIAN FOREST CAT = 2: 8: 10: 10: 10: 10: 10</t>
  </si>
  <si>
    <t>4500169407-30</t>
  </si>
  <si>
    <t>日期码格式：ZURU INC(BVI) 标准格式 日期：按实际生产日期
Packaging Info: MA 1L PKG+1 张进口商贴纸（不得遮挡日期码）MA 收藏指南，
92104TQ2：进口商贴纸AW 和位置图翻单4500165851
进口商贴纸（不得遮挡日期码）
Remark:</t>
  </si>
  <si>
    <t>4500165982-70</t>
  </si>
  <si>
    <t>6/20-进口商贴纸+UPC贴纸+7/4-价标贴纸</t>
  </si>
  <si>
    <t>日期码格式：ZURU INC(BVI) 标准格式 日期：按实际生产日期
Packaging Info:
92104TQ1:MA 3L EAN包装+进口商贴纸(进口商贴纸和UPC贴纸合并为1张）+价标贴纸+箱唛
Remark: 1. 此单价格贴纸（ZURU定购).
2.此单有第三方监柜，不用额外准备备品，会在大货中每款拆1pc，拆了包装的产品会由监装员用客供胶带封好或在外箱上写上""opened by telescope”</t>
  </si>
  <si>
    <t>最新版本收缩膜</t>
  </si>
  <si>
    <t>4500171335-90</t>
  </si>
  <si>
    <t>6/26-UPC贴纸</t>
  </si>
  <si>
    <t>日期码格式：ZURU INC(BVI) 标准格式 日期：按实际生产日期
Packaging Info:
92104 无硼版本， 标版3L 包装+UPC 贴纸，+多语说明书， UPC 193052064417
Remark: 出加拿大
有客供价格贴
每行对应不同的客户PO，唛头要一一对应， 放唛头时跟单会提供清单
Zuru验货.日期跟踪码：产品外包装及产品本身都必须有日期跟踪码，ZURU标准格式
日期码</t>
  </si>
  <si>
    <t>4500171335-190</t>
  </si>
  <si>
    <t>4500171335-290</t>
  </si>
  <si>
    <t>4500171335-380</t>
  </si>
  <si>
    <t>4500171342-130</t>
  </si>
  <si>
    <t>4500171342-240</t>
  </si>
  <si>
    <t>4500169604-20</t>
  </si>
  <si>
    <t>6/24-条码贴纸</t>
  </si>
  <si>
    <t xml:space="preserve">日期码格式：ZURU INC(BVI) 标准格式 日期：按实际生产日期
Packaging Info:
92104TQ1: MA 3L EAN PKG+UPC 条码贴纸+MA PDQ+MA 收藏指南
Remark: </t>
  </si>
  <si>
    <t>CRD 08/01</t>
  </si>
  <si>
    <t>4500172103-20</t>
  </si>
  <si>
    <t>日期码格式：ZURU INC(BVI) 标准格式 日期：按实际生产日期
Packaging Info: 请确保包装上的条形码是UPC，如果是babyUPC，需要用mother UPC覆盖，如有不一致，请及时提出。谢谢!
92104TQ1 MA 3L EAN包装+UPC贴纸+MA 多语收藏指南+MA PDQ+箱唛
Remark:
92104TQ1,,MUNCHKIN(RARE): HIMALAYAN: PERSIAN: MAINE COON: RAGDOLL: RAGAMUFFIN: NORWEGIAN FOREST CAT = 2: 8: 10: 10: 10: 10: 10,,</t>
  </si>
  <si>
    <t>9298用新版收缩膜</t>
  </si>
  <si>
    <t>日期码格式：LOT2529 日期：
Packaging Info: 客版 底托（翻4500163957）+一张进口商贴纸（含希腊警语+意大利/希腊布标内容+希腊胶袋警语+意大利环保标志）+一张产品贴纸+一张EAN 4894680038059 贴纸
，贴纸翻4500160038
92104：最新MA 3L EAN收缩膜+最新MA 5L收藏指南+最新MA 5L POLY BAG+最新MA 布标
Remark: 1.RATIO 同MA 一致。
2.大货样品2套/item，用于客人验货签板。验货后还会抽办1套/item，请多备料。
3.客人日期码：LOT2529，产品（蛋壳等）/包装（收缩膜等）/外箱 请保持一致。
4.产品均符合EU微塑料法规要求：不能含有微塑料/闪粉
5. SMASHERS 或含Slime产品，所有化合物使用无硼版本出意大利。
6. 本订单所有 具有 baby items / assorted items 的款式，零售包装上都要用 母 EAN;
7，此客户需要第三方验货，请在约三方验货前必须PASS ZURU验货。</t>
  </si>
  <si>
    <t>2025/7/23周三</t>
  </si>
  <si>
    <t>HCDC72508345</t>
  </si>
  <si>
    <t>4500168080-10</t>
  </si>
  <si>
    <t>ZB01204-8.12</t>
  </si>
  <si>
    <t>HCDC72532017</t>
  </si>
  <si>
    <t>4500168080-20</t>
  </si>
  <si>
    <t>PLDC72508225</t>
  </si>
  <si>
    <t>4500168080-30</t>
  </si>
  <si>
    <t>ZB01177-8.11</t>
  </si>
  <si>
    <t>PLDC72532015</t>
  </si>
  <si>
    <t>4500168080-40</t>
  </si>
  <si>
    <t>ZB01676-9.4</t>
  </si>
  <si>
    <t>SHXD72508349</t>
  </si>
  <si>
    <t>4500168080-50</t>
  </si>
  <si>
    <t>ZB01152-8.8</t>
  </si>
  <si>
    <t>SHXD72532018</t>
  </si>
  <si>
    <t>4500168080-60</t>
  </si>
  <si>
    <t>4500164774-120</t>
  </si>
  <si>
    <t>日期码格式：2025-07 日期：
Packaging Info: 92104TQ1：MA 3L EAN包装+UPC贴纸+MA PDQ包装+MA 多语收藏指南+进口商贴纸+箱唛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92104TQ1: MUNCHKIN(RARE): HIMALAYAN: PERSIAN: MAINE COON: RAGDOLL: RAGAMUFFIN: NORWEGIAN FOREST CAT = 2: 8: 10: 10: 10: 10: 10
Hershey's-Chocolate Syrup 24 oz
Hershey's-Mini Chocolate Syrup 24 oz
Hershey's-Strawberry Syrup 22 oz</t>
  </si>
  <si>
    <t>4500159848-100</t>
  </si>
  <si>
    <t>收到SO，预计8/7出</t>
  </si>
  <si>
    <t>日期码格式：2025-07 日期：
Packaging Info:92104TQ1：MA 3L EAN包装+UPC贴纸+MA PDQ包装+MA 多语收藏指南+进口商贴纸+箱唛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92104TQ1: MUNCHKIN(RARE): HIMALAYAN: PERSIAN: MAINE COON: RAGDOLL: RAGAMUFFIN: NORWEGIAN FOREST CAT = 2: 8: 10: 10: 10: 10: 10
Hershey's-Chocolate Syrup 24 oz
Hershey's-Mini Chocolate Syrup 24 oz
Hershey's-Strawberry Syrup 22 oz</t>
  </si>
  <si>
    <t>4500164451-80</t>
  </si>
  <si>
    <t>长尾巴猫（新档）</t>
  </si>
  <si>
    <t>日期码格式：外包装/外箱不要打ZURU标准日期码 日期：
Packaging Info: 注意:外包装(指:收缩膜/彩卡/铝箔袋/挂卡/PDQ)/外箱不要打ZURU标准日期码!胶件可以打日期码。
92104TQ2 : 客版收缩膜 ， MA 指南/说明书（如有）, 1L MA PDQ ；
Remark: 标准配比
请按期完货， 会有罚金。
出2个港口Bekasovo 2 &lt;(&gt;&amp;&lt;)&gt; Ural</t>
  </si>
  <si>
    <t>4500164451-170</t>
  </si>
  <si>
    <t>4500171334-200</t>
  </si>
  <si>
    <t>ZB01097-8.6</t>
  </si>
  <si>
    <t>PICK N PAY RETAILERS (PTY) LTD.</t>
  </si>
  <si>
    <t>4500165940-10</t>
  </si>
  <si>
    <t>日期码格式：ZURU INC(BVI) 标准格式 日期：按实际生产日期
Packaging Info: MA PKG, 优先1L
Remark: 92104TQ2:MUNCHKIN(RARE): HIMALAYAN: PERSIAN: MAINE COON: RAGDOLL: RAGAMUFFIN: NORWEGIAN FOREST CAT = 2: 8: 10: 10: 10: 10: 10</t>
  </si>
  <si>
    <t>2025/8/13周三</t>
  </si>
  <si>
    <t>MULTIHEXA SDN BHD</t>
  </si>
  <si>
    <t>马来西亚</t>
  </si>
  <si>
    <t>4500170501-10</t>
  </si>
  <si>
    <t>6/27-进口商贴纸</t>
  </si>
  <si>
    <t>日期码格式：ZURU INC(BVI) 标准格式 日期：按实际生产日期
Packaging Info: 1.此单除了77803是7/31，77673是8/4，其他都是CRD 7/28
2.92104-MA UPC包装（优先1L)+1张进口商贴纸。贴纸翻单如下：71152- 4500158287，77673-4500165640；92104、92119贴纸AW、位置图待
提供。
5.因为此客人进口商贴纸是通用的（除了那些加了UPC条码的），只可能因为item不同尺寸会有差别，如果发现尺寸一样就请统一订购节省成本。
Remark: 92104-MUNCHKIN(RARE): HIMALAYAN: PERSIAN: MAINE COON: RAGDOLL: RAGAMUFFIN: NORWEGIAN FOREST CAT = 2: 8: 10: 10: 10: 10: 10</t>
  </si>
  <si>
    <t>4500171334-170</t>
  </si>
  <si>
    <t>ZB01094-8.6</t>
  </si>
  <si>
    <t>4500170750-80</t>
  </si>
  <si>
    <t>日期码格式：ZURU INC(BVI) 标准格式 日期：按实际生产日期
Packaging Info:
92104TQ1:MA 3L EAN PKG+UPC 条码贴纸+MA PDQ+MA 收藏指南+进口商贴纸+箱唛
所有带电产品的保证书通用1份
Remark: 
92104TQ1:MUNCHKIN(RARE): HIMALAYAN: PERSIAN: MAINE COON: RAGDOLL: RAGAMUFFIN: NORWEGIAN FOREST CAT = 2: 8: 10: 10: 10: 10: 10</t>
  </si>
  <si>
    <t>4500164221-10</t>
  </si>
  <si>
    <t>6/30-客人白色Cat.label 覆盖ZURU条码</t>
  </si>
  <si>
    <t>日期码格式：ZURU INC(BVI) 标准格式 日期：按实际生产日期
Packaging Info:
92104：
1.MA -1L UPC包装+客人白色Cat.label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（14.17pt），条码扫描结果应为7662960。
-订单对应客户2个PO号 ，备注有显示 ，注意分开做货/验货/装柜，混装有罚款。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</si>
  <si>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4500171253-90</t>
  </si>
  <si>
    <t>日期码格式：ZURU INC(BVI) 标准格式 日期：按实际生产日期
Packaging Info: 
92104TQ1 MA 3L EAN包装+MA 多语收藏指南+MA PDQ+进口商贴纸（进口商贴纸同UPC贴纸合并一张）+箱唛
Remark: LR44 BATTERY 指定品牌 NEW LEADER；AAA BATTERIES 指定品牌 VINNIC
92104TQ1 MUNCHKIN(RARE): HIMALAYAN: PERSIAN: MAINE COON: RAGDOLL: RAGAMUFFIN: NORWEGIAN FOREST CAT = 2: 8: 10: 10: 10: 10: 10</t>
  </si>
  <si>
    <t>4500172203-80</t>
  </si>
  <si>
    <t>SALLING GROUP A/S</t>
  </si>
  <si>
    <t>4041588248</t>
  </si>
  <si>
    <t>4500169773-30</t>
  </si>
  <si>
    <t>丹麦瑞典芬兰挪威警告语贴纸翻4500169371</t>
  </si>
  <si>
    <t>日期码格式：ZURU INC(BVI) 标准格式 日期：按实际生产日期
Packaging Info: 
3.92104TQ2-S002-NB:MA_B_3L(Warning 13L)_EAN版收缩膜+丹麦瑞典芬兰挪威警告语贴纸(贴纸和位置图翻ICA PO#4500169371)+MA_B_5L(warning 23L)收藏指南+MA_
A_5L(warning 9L) Slime Polybag++MA PDQ+MA 布标/贴纸/吊牌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sku-ean-外箱条码
92104TQ2-S002-NB:10734230-4894680033542-10193052064414</t>
  </si>
  <si>
    <t>ICA SVERIGE AB</t>
  </si>
  <si>
    <t>803650/35787</t>
  </si>
  <si>
    <t>4500169764-10</t>
  </si>
  <si>
    <t>日期码格式：ZURU INC(BVI) 标准格式 日期：按实际生产日期
Packaging Info: 92104TQ2-S002-NB:MA_B_3L(Warning9L)_EAN版收缩膜+丹麦瑞典芬兰挪威警告语贴纸(贴纸和位置图翻ICA PO#4500169371)+MA_B_5L(warning 23L)收藏指南+MA_C_5L
(warning 9L) Slime Polybag+北欧五语通用Slime黑白说明书(通用，翻单4500161075)+MA PDQ+MA 布标/贴纸/吊牌
Remark: 1. 包装如含PVC,请改为PET并第一时间通知跟单
2. 产品/包装要求无硼无香，出欧洲，微塑料需合规。
关于微塑料，所有的产品和包装和产品均不能包含，无微塑料的产品都要配套无微塑料的包装，如包装备注与此有争议，请工厂第一时间告知，跟单重新确认包装版
本
3. ICA针对带电池出货的产品，都要用碱性电池
4.带电池出货的产品所用到的电池需要符合欧洲电池新规(EU) 2023-1542
5.有胶袋的产品：要求产品的胶袋厚度要大于等于0.05mm
6.关于贴纸，如果贴纸位置图的包装版本与大货不一致，请工厂第一时间提前提出。跟单会重新调整确认是否更新贴纸或调整位置图
7.产品/包装不含PFAS成分
8.产品条码如下: 请先检查条码是否正确再安排做货，如有问题请告知
92104TQ2-S002-NB 600888 Rainbocorn Kitty Surprise S9 4894680033542 10193052064414
15727-S008 632070 Fuggler Hairy Fuggs 4894680041608 24894680041602</t>
  </si>
  <si>
    <t>1UH1JJCW</t>
  </si>
  <si>
    <t>4500172612-260</t>
  </si>
  <si>
    <t>邮包盒图稿跟翻单#4500169708</t>
  </si>
  <si>
    <t>日期码格式：ZURU INC(BVI) 标准格式 日期：按实际生产日期
Packaging Info: 出口加拿大，包装需要至少2/3L UPC版，无硼版本。
#92104 :MA 3L+邮包盒,邮包盒图稿跟翻单#4500169708；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</si>
  <si>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715ODJ1A</t>
  </si>
  <si>
    <t>4500172612-270</t>
  </si>
  <si>
    <t>8UVZQVGF</t>
  </si>
  <si>
    <t>4500172612-280</t>
  </si>
  <si>
    <t>3IMYU3ES</t>
  </si>
  <si>
    <t>4500172612-290</t>
  </si>
  <si>
    <t>87WZKB3Y</t>
  </si>
  <si>
    <t>4500172612-300</t>
  </si>
  <si>
    <t>5RR67G5M</t>
  </si>
  <si>
    <t>4500172612-310</t>
  </si>
  <si>
    <t>65AFKZVR</t>
  </si>
  <si>
    <t>4500172612-320</t>
  </si>
  <si>
    <t>8CZXZCSR</t>
  </si>
  <si>
    <t>4500172612-330</t>
  </si>
  <si>
    <t>6XSPKWTR</t>
  </si>
  <si>
    <t>4500172612-340</t>
  </si>
  <si>
    <t>8UACOWFC</t>
  </si>
  <si>
    <t>4500172612-350</t>
  </si>
  <si>
    <t>6ZNH71OG</t>
  </si>
  <si>
    <t>4500172612-360</t>
  </si>
  <si>
    <t>434YBL4C</t>
  </si>
  <si>
    <t>4500172612-370</t>
  </si>
  <si>
    <t>22KQN6XS</t>
  </si>
  <si>
    <t>4500172612-380</t>
  </si>
  <si>
    <t>61VOIKMQ</t>
  </si>
  <si>
    <t>4500172612-390</t>
  </si>
  <si>
    <t>1RZPNUKB</t>
  </si>
  <si>
    <t>4500172612-400</t>
  </si>
  <si>
    <t>Amazon DE:
8PTZAHMD</t>
  </si>
  <si>
    <t>4500171176-20</t>
  </si>
  <si>
    <t>空白外箱（加印带Zuru字样的最新logo，除了邮包盒直接做外箱的产品） + SSCC LABEL一张, 无箱唛，MADE IN CHINA 外箱只印一正一侧。箱唛资料按照给定的
 标准去做即可，无需发回我方再行审批(新标准将另行通知)</t>
  </si>
  <si>
    <t>7/16-SSCC LABEL</t>
  </si>
  <si>
    <t>日期码格式：ZURU INC(BVI) 标准格式 日期：按实际生产日期
Packaging Info: Amazon DE(71126/92104GH)/FR(92104GH)
2. 92104GH
--92104H：92104H KITTYCORN SURPRISE(Norwegian Forest Cat), 1pc/mailbox, 32mailboxes/ctn;MA 3L(13L warning)B收缩膜+其他MA最新配套包装+MA 5L(23L
warning)B 收藏指南+客版邮包盒(UPC#+英法德意西5L警告语+IT/FR/ES环保标+GPSR邮箱care@zuru.com，参考翻单PO#4500155641)；
3.最迟验货不得晚于2025/8/8;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</si>
  <si>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4500171176-30</t>
  </si>
  <si>
    <t>日期码格式：ZURU INC(BVI) 标准格式 日期：按实际生产日期
Packaging Info: Amazon DE(71126/92104GH)/FR(92104GH)
2. 92104GH
--92104G：92104G KITTYCORN SURPRISE(Ragamuffin), 1pc/mailbox, 32mailboxes/ctn; MA 3L(13L warning)B收缩膜+其他MA最新配套包装+MA 5L(23L warning)B
收藏指南+客版邮包盒(UPC#+英法德意西5L警告语+IT/FR/ES环保标+GPSR邮箱care@zuru.com，参考翻单PO#4500157663)；
3.最迟验货不得晚于2025/8/8;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</si>
  <si>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Amazon FR:
1MTVHF6G</t>
  </si>
  <si>
    <t>4500171176-40</t>
  </si>
  <si>
    <t>收到SO，预计8/17-8/21出</t>
  </si>
  <si>
    <t>4500171176-50</t>
  </si>
  <si>
    <t>4500164457-80</t>
  </si>
  <si>
    <t>日期码格式：外包装/外箱不要打ZURU标准日期码 日期：
Packaging Info: 注意:外包装(指:收缩膜/彩卡/铝箔袋/挂卡/PDQ)/外箱不要打ZURU标准日期码!胶件可以打日期码。
92104TQ2 : 客版收缩膜翻4500164451 ， MA 指南/说明书（如有）, 1L MA PDQ ；
Remark: 标准配比
请按期完货， 会有罚金。
出2个港口Bekasovo 2 &lt;(&gt;&amp;&lt;)&gt; Ural</t>
  </si>
  <si>
    <t>4500164457-170</t>
  </si>
  <si>
    <t>CONCENTRA, S.A.</t>
  </si>
  <si>
    <t>F202/20250045</t>
  </si>
  <si>
    <t>4500171189-10</t>
  </si>
  <si>
    <t>进口商贴纸+客人logo贴纸翻4500139033</t>
  </si>
  <si>
    <t>日期码格式：ZURU INC(BVI) 标准格式 日期：按实际生产日期
Packaging Info: "92104TQ1 ：最新 MA PDQ + 最新MA 3L （9L warning）收缩膜 + MA 布标 + MA 5L (23L warning) 收藏指南 + MA 5L Slime 胶袋+ 进口商贴纸+客人logo 贴 (
贴纸翻4500139033)
纸 + 进口商贴纸（贴纸都翻4500139033）"
Remark: 1. 所有产品不带闪粉和微塑料，客人需要验货图片确认OK 才能放货，请务必提前完货并通知跟单ZURU QC验货时间。
2. 此单出葡萄牙，需要满足EU标准，产品需要有葡萄牙警语；
3. 带电池产品需要带上WEEE欧洲通用电池回收说明书。</t>
  </si>
  <si>
    <t>2025/8/18周一</t>
  </si>
  <si>
    <t>po#60X269950</t>
  </si>
  <si>
    <t>4500169184-50</t>
  </si>
  <si>
    <t>8/18第三方（全套新版本）</t>
  </si>
  <si>
    <t>8/30出</t>
  </si>
  <si>
    <t>日期码格式：ZURU INC(BVI) 标准格式 日期：按实际生产日期
Packaging Info: 1. 包材：ZURU MA 1L UPC最新版本，出口美国:
Remark: 2. 日期跟踪码：ZURU标准格式日期码，产品包装及产品本身都必须有ZURU标准格式日期码，并且确保两者信息保持一致(请自行调整具体年月日生产期，但不能为
周末）。
3. 大货样
92104TQ2-S001需7月25日前需寄出3套大货样板(含PDQ)，样板须跟大货一模一样
（含日期码）。
样板一套我们将给到美国HEB，两套寄到以下深圳利丰地址，到时利丰会回签一套用于第三方100%大货验货。
回签的样板工厂需要长期保存好，只要产品没更新每次的第三方验货都是用这套样板做参考不再走客户签样流程。
* 一套样板寄到以下地址（一套含PDQ）
深圳雨禾伟业实业有限公司
地址：广东省深圳市罗湖区东门南路1006号文锦渡口岸大厦B栋7楼
收件人：Elsa
电话：0755 6688 1988 Ext3337
*带散件的产品： 2套（4pcs成品球+2个空PDQ+2套散件）；
不带散件： 成品2套；
寄到以下地址：
Li Fung　
深圳市福田区绒花路8号深福保大厦附楼3楼。
收件人： Yoland Dai　电话：+0755 8825 3756
4. 验货+ 抽板 （同一天进行）
预约8月13日第三方（利丰）到工厂做100%大货现场验货和抽板，验货需打印EPM出来跟客户回签样板供第三方验货参考。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#15727（不出L款）
6. ZURU QA 验货时需拍齐每款角色的产品和产品包装上的日期码照片（供实验室review）</t>
  </si>
  <si>
    <t>Amber liang</t>
  </si>
  <si>
    <t>ZB01666-9.3</t>
  </si>
  <si>
    <t>2025/8/19周二</t>
  </si>
  <si>
    <t>4500172499-10</t>
  </si>
  <si>
    <t>日期码格式：ZURU INC(BVI) 标准格式 日期：按实际生产日期
Packaging Info:
92104TQ1-S001-NB: MA B版3L+13L警语EAN收缩膜，MA B版 5L+23L警语收藏指南，MA C版5L+9L警语史莱姆袋子，MA B版 PDQ
Remark: 1. 需准时完货，如有推期会有罚款。
2. 此客户要求：化学品无硼无香。
3. 出口欧洲，微塑料需符合法规，电池符合欧洲法规要求(如有)
4. 外箱上下需加保护卡，以防开箱时产品被划破。（保护卡需要是整面）
5. 此单出德国，走整柜请知悉。
6. 所有电子产品身上需要加字唛，为ZURU FRANCE 地址 (如无电子产品，产品布标有此地址，可忽略此信息；如无法在产品上加字唛，请找跟单提供Zuru France
地址贴纸)
ZURU France 1/3, Rue d'Argenteuil 95210 SAINT-GRATIEN, FRANCE
7. 所有出往德国订单的电子产品需增加一张客版WEEE声明说明书，区分带电池和不带电池版本, 如已做客版说明书可忽略此要求。
8. STD配比</t>
  </si>
  <si>
    <t>4500171332-40</t>
  </si>
  <si>
    <t>日期码格式：ZURU INC(BVI) 标准格式 日期：按实际生产日期
Packaging Info:
92104TQ1: A 版 3L MA 收缩膜+进口商贴纸（贴纸翻4500163328）；A 版 5L MA收藏指南/A 版 MA PDQ
Remark: 1、若产品有比例使用ZURU STD 比例
2、所有item 均用MA EAN条码，若包装上的EAN 条码与PO 不一致的请告知
3、此单出欧洲需满足EU测试标准要求</t>
  </si>
  <si>
    <t>日期码格式：ZURU INC(BVI) 标准格式 日期：按实际生产日期
Packaging Info: 1. MA -1L UPC包装+客人白色Cat.label 1张覆盖ZURU条码。
92104：MA 1L UPC最新全套包装+MA布标，包装加空白条码贴覆盖包装原条码，空白贴纸翻单PO#4500164499，确保卖场只能扫到92124的条码。
2.白色cat.label待提供，贴纸位置图翻单PO#4500164499。
3.注意Cat.label （要求易撕类贴纸，但是粘性不能过低），同时此贴纸每个订单都是不相同的（会显示客户对应的订单号），切勿翻旧订单购买。此贴纸由ZURU
提供贴纸图稿和贴纸位置图给工厂后，工厂自行购买。
4.请先检查条码是否正确再安排做，标签上的目录编号数字（7695690）高度必须至少为5mm （14.17pt），条码扫描结果应为7695690。
Remark: *MA包装按最新版本安排即可(只要MA包装上含英文信息就可以)。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</si>
  <si>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4500160598-30</t>
  </si>
  <si>
    <t>Amazon UK:
8S3RFENQ</t>
  </si>
  <si>
    <t>4500173446-10</t>
  </si>
  <si>
    <t>收到SO，预计8/31-9/4出</t>
  </si>
  <si>
    <t>空白外箱（加印带Zuru字样的最新logo，除了邮包盒直接做外箱的产品）</t>
  </si>
  <si>
    <t>ES环保标+GPSR邮箱care@zuru.com参考翻单4500155641</t>
  </si>
  <si>
    <t>日期码格式：ZURU INC(BVI) 标准格式 日期：按实际生产日期
Packaging Info: Amazon UK(92104H/71109D/77486)/DE(92104H/9296E)/FR(71126/15701A)
1. 92104H: 92104H KITTYCORN SURPRISE(Norwegian Forest Cat), 1pc/mailbox, 32mailboxes/ctn;MA 3L(13L warning EAN)B收缩膜+其他MA最新配套包装+MA 5L(
23L warning)B 收藏指南+客版邮包盒(UPC#+英法德意西5L警告语+IT/FR/ES环保标+GPSR邮箱care@zuru.com，参考翻单PO#4500155641)；
7. 验货时间不迟于2025/8/20.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</si>
  <si>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Amazon DE:
43B2GL7S</t>
  </si>
  <si>
    <t>4500173446-40</t>
  </si>
  <si>
    <t>PO1132537-YTF
CL-MELB</t>
  </si>
  <si>
    <t>4500173120-90</t>
  </si>
  <si>
    <t>日期码格式：ZURU INC(BVI) 标准格式 日期：按实际生产日期
Packaging Info:
92104TQ1: MA_1L UPC版本包装（收缩膜和收藏指南, MA首选1L，如无1L可用多语且含英语的配套多语包装）+ 箱唛 + 1张进口商贴纸；MUNCHKIN(RARE): HIMALAYA
N: PERSIAN: MAINE COON: RAGDOLL: RAGAMUFFIN: NORWEGIAN FOREST CAT = 2: 8: 10: 10: 10: 10: 10;
Remark: 此单出澳大利亚，请按澳洲标准生产并满足当地法规要求</t>
  </si>
  <si>
    <t>PO1132536-YTF
CL-BRIS</t>
  </si>
  <si>
    <t>4500173107-90</t>
  </si>
  <si>
    <t>日期码格式：ZURU INC(BVI) 标准格式 日期：按实际生产日期
Packaging Info: 
92104TQ1: MA_1L UPC版本包装（收缩膜和收藏指南, MA首选1L，如无1L可用多语且含英语的配套多语包装）+ 箱唛 + 1张进口商贴纸；MUNCHKIN(RARE): HIMALAYA
N: PERSIAN: MAINE COON: RAGDOLL: RAGAMUFFIN: NORWEGIAN FOREST CAT = 2: 8: 10: 10: 10: 10: 10;
Remark: 此单出澳大利亚，请按澳洲标准生产并满足当地法规要求</t>
  </si>
  <si>
    <t>4500173092-80</t>
  </si>
  <si>
    <t>日期码格式：ZURU INC(BVI) 标准格式 日期：按实际生产日期
Packaging Info:
8. 92104TQ1: MA_1L UPC版本包装（收缩膜和收藏指南, MA首选1L，如无1L可用多语且含英语的配套多语包装）+ 箱唛 + 1张进口商贴纸；MUNCHKIN(RARE): HIMALA
YA
N: PERSIAN: MAINE COON: RAGDOLL: RAGAMUFFIN: NORWEGIAN FOREST CAT = 2: 8: 10: 10: 10: 10: 10;
Remark: 1. 此单出澳大利亚，请按澳洲标准生产并满足当地法规要求</t>
  </si>
  <si>
    <t>PO1132538-YTF
CL-PARA</t>
  </si>
  <si>
    <t>4500173094-90</t>
  </si>
  <si>
    <t>日期码格式：ZURU INC(BVI) 标准格式 日期：按实际生产日期
Packaging Info: 
9. 92104TQ1: MA_1L UPC版本包装（收缩膜和收藏指南, MA首选1L，如无1L可用多语且含英语的配套多语包装）+ 箱唛 + 1张进口商贴纸；MUNCHKIN(RARE): HIMALA
YA
N: PERSIAN: MAINE COON: RAGDOLL: RAGAMUFFIN: NORWEGIAN FOREST CAT = 2: 8: 10: 10: 10: 10: 10;
Remark: 1. 此单出澳大利亚，请按澳洲标准生产并满足当地法规要求</t>
  </si>
  <si>
    <t>4500173087-100</t>
  </si>
  <si>
    <t>PO1132540-YTF
CL-TWNS</t>
  </si>
  <si>
    <t>4500173090-90</t>
  </si>
  <si>
    <t>4500171781-50</t>
  </si>
  <si>
    <t>2025/8/20周三</t>
  </si>
  <si>
    <t>4500174183-40</t>
  </si>
  <si>
    <t>7/24-客人款号带EAN条码4894680033542贴纸</t>
  </si>
  <si>
    <t>日期码格式：ZURU INC(BVI) 标准格式 日期：按实际生产日期
Packaging Info: 
92104TQ1:MA B版3L+9L警语收缩膜+1张客人款号带EAN条码（4894680033542）贴纸，MA A版布标，MA C版5L+9Lpolybay,MA B版5L+23L收藏指南，MA最新版贴纸，MA
B版PDQ
Remark: 1.所有产品按符合欧洲标准走货，微塑料需合规。
2.所有包装材料都不允许PVC, 请用PET代替
3.样板需求： 每个item 需要寄出1 PC 大货样，请多备料
4.日期码和批次号都要打在产品和包装上，日期码按ZURU标准格式，批次号是IO-2501981（IO是大写英文字母）
5.所有出往欧洲市场订单的电子产品需增加一张WEEE声明说明书，区分带电池和不带电池版本, 如已做客版说明书可忽略此要求。
6. 客人款号:
92104TQ1:576-2104</t>
  </si>
  <si>
    <t>4500171778-60</t>
  </si>
  <si>
    <t>4500172224-10</t>
  </si>
  <si>
    <t>2025/8/21周四</t>
  </si>
  <si>
    <t>47847939 SYD</t>
  </si>
  <si>
    <t>4500173962-40</t>
  </si>
  <si>
    <t>日期码格式：ZURU INC(BVI) 标准格式 日期：按实际生产日期
Packaging Info: 1. 包装
92104TQ1：MA UPC PKG+1张进口商贴纸，贴纸翻单4500124257
2. 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</si>
  <si>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47847689 BNE</t>
  </si>
  <si>
    <t>4500173962-60</t>
  </si>
  <si>
    <t>47847679 MEL</t>
  </si>
  <si>
    <t>4500173962-80</t>
  </si>
  <si>
    <t>47847225 FRE</t>
  </si>
  <si>
    <t>4500173962-100</t>
  </si>
  <si>
    <t>4500164512-20</t>
  </si>
  <si>
    <t>日期码格式：ZURU INC(BVI) 标准格式 日期：按实际生产日期
Packaging Info:
 92104TQ4:MA UPC 收缩膜，MA指南
 MUNCHKIN(RARE): HIMALAYAN: PERSIAN: MAINE COON: RAGDOLL: RAGAMUFFIN: NORWEGIAN FOREST CAT = 2: 8: 10: 10: 10: 10: 10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</si>
  <si>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2025/8/22周五</t>
  </si>
  <si>
    <t>4500164464-80</t>
  </si>
  <si>
    <t>未受到影响订单</t>
  </si>
  <si>
    <t>4500164464-170</t>
  </si>
  <si>
    <t>FAMILY DOLLAR SERVICES, LLC.</t>
  </si>
  <si>
    <t>客户PO#450783
31</t>
  </si>
  <si>
    <t>4500171042-10</t>
  </si>
  <si>
    <t>客版PDQ4500152863</t>
  </si>
  <si>
    <t>彩色产品贴纸翻单4500152863+客供防盗贴纸</t>
  </si>
  <si>
    <t>此单收缩膜+蛋壳指定日期码：DG20250806，布标日期码：June(Juin)06,2025 DG
 口水胶日期码：SND25072501B，矮脚猫单独布标日期码：January（Janvier)21,2025 DG</t>
  </si>
  <si>
    <t>日期码格式：ZURU INC(BVI) 标准格式 日期：2025-08-06
Packaging Info: 1)客版PDQ(从此单开始使用带有最新LOGO设计的PDQ), 最新版ZURU MA UPC包装(优先1L)，出口美国。如有说明书请使用ZURU MA说明书，优先放1L英语。已确认从此
单开始使用全套最新包装，包括收缩膜，PDQ, 收藏指南，贴纸，口水胶袋。
2)ZURU标准日期码格式：工厂城市缩写+生产年月日。此单收缩膜+蛋壳指定日期码：DG20250806
布标日期码：
June(Juin)06,2025 DG
January（Janvier)21,2025 DG (矮脚猫 Munchkin)
口水胶日期码：SND25072501B
3)外箱箱唛正侧相邻两面粘贴产品彩色贴纸，每箱两张彩色贴纸, 彩色产品贴纸翻单4500152863。如侧唛位置放不下彩贴和唛头信息，可改为放两个正唛。无论是正
唛+侧唛或者是两个正唛，唛头信息和彩贴需放在同一个面。箱唛需排版给跟单确认。
4) 每个球贴一张客供防盗贴，贴在收缩膜上，防盗贴由跟单采购，供应商直接发货到工厂。防盗贴贴纸位置与PO#4500152863确认的位置一致。
Remark: 客户PO#45078331
客户SKU#1096260
1) Item#92104TQ4-S003
2) 此单无第三方验货+抽样测试，ZURU QC验货PASS后，跟单得到客户的approval之后方可安排出货
3)大货外箱材积绝对不可大于下述数据，材积只接受3%的变小；重量正负不得超过以下列出数据的5%，接受外箱以印章方式印上实际毛重。
大货外箱尺寸请保持： 30.0 x 23.0 x 22.0 cm(即11.81 x 9.06 x 8.66 inch)，材积必须不能大于0.5368CubeFeet（即0.0152CBM); 外箱毛重 2.4 LBS（即1.08 K
GS）。
4) 大货配比：
Item#92104TQ4-S003
S003-RAINBOCORNS - KITTYCORN SURPRISE - SERIES 9 - PLUSH SMALL - SHRINK WRAP,2facing4PCS/
PDQ/CTN
UPC: 193052064417
With BORON (Lower 300ppm), Non-Glitter
2W*2D*1H=4PCS/PDQ
MUNCHKIN(RARE): HIMALAYAN: PERSIAN: MAINE COON: RAGDOLL: RAGAMUFFIN: NORWEGIAN FOREST CAT = 2: 8: 10: 10: 10: 10: 10
5) 客户Family Dollar不允许少数出货，必须按照PO上的数量出货，也不允许延期，否则会有罚款。
6) 客户要求:"产品和包装不能含有PFAS 物质以及1,4 dioxane",请确保产品可以过美国标准测试。
7) 任何产品包装和日期码的变更，在收到ZURU的订单后，不管是MA包装还是客版包装，都需要及时告知跟单并在生产前与跟单确认是否需要重新签板留样。ZURU验
货员验货以Family Dollar跟单寄给工厂的签板为准。如因工厂不及时告知变更而导致的无法出货，客诉或者罚款等，将保留对工厂追责的权利。请工厂务必重视和
配合，避免任何额外费用的产生。</t>
  </si>
  <si>
    <t>2025/8/26 
必须验货PASS且随时能够出货</t>
  </si>
  <si>
    <t>4500170167-10</t>
  </si>
  <si>
    <t>7/23-进口商贴纸同UPC纸合并1张</t>
  </si>
  <si>
    <t>日期码格式：ZURU INC(BVI) 标准格式 日期：按实际生产日期
Packaging Info:
92104TQ1: MA多语EAN包装+MA多语收藏指南+MA PDQ+进口商贴纸(进口商贴纸同UPC纸合并1张) +箱唛
Remark: 92104TQ1：MUNCHKIN(RARE): HIMALAYAN: PERSIAN: MAINE COON: RAGDOLL: RAGAMUFFIN: NORWEGIAN FOREST CAT = 2: 8: 10: 10: 10: 10: 10</t>
  </si>
  <si>
    <t>4500164286-10</t>
  </si>
  <si>
    <t>日期码格式：ZURU INC(BVI) 标准格式 日期：按实际生产日期
Packaging Info: 92104：
1.MA -1L UPC包装+客人白色Cat.label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（14.17pt），条码扫描结果应为7662960。
-订单对应客户PO号备注有显示。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</si>
  <si>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4500172669-30</t>
  </si>
  <si>
    <t>日期码格式：ZURU INC(BVI) 标准格式 日期：按实际生产日期
Packaging Info: 
92104TQ1: MA_UPC版本包装（MA首选1L，如无1L可用多语且含英语的配套多语UPC包装）+ 1张客人通用进口商贴纸，贴纸及位置图翻单PO#4500142330
Remark: 1.按实际生产日期;
2.出澳大利亚，请按照相应标准生产;</t>
  </si>
  <si>
    <t>4500174443-60</t>
  </si>
  <si>
    <t>1.ZURU MA UPC 现有版本包装 + 客供价格贴纸，出口美国 , 优先使用MA 1L 最新版本 。</t>
  </si>
  <si>
    <t>纸箱需订水贴纸覆盖原装箱数</t>
  </si>
  <si>
    <t>4500171783-60</t>
  </si>
  <si>
    <t>8/22 OK</t>
  </si>
  <si>
    <t>4500173241-170</t>
  </si>
  <si>
    <t>Amazon UK:
5UXKX1EW</t>
  </si>
  <si>
    <t>4500175025-50</t>
  </si>
  <si>
    <t>客版邮包盒</t>
  </si>
  <si>
    <t>空白外箱（加印带Zuru字样的最新logo，除了邮包盒直接做外箱的产品） + SSCC LABEL一张, 无箱唛，MADE IN CHINA 外箱只印一正一侧。箱唛资料按照给定的标准去做即可，无需发回我方再行审批(新标准将另行通知)。</t>
  </si>
  <si>
    <t>UPC#+英法德意西5L警告语+IT/FR/ES环保标+GPSR邮箱care@zuru.com，参考翻单PO#4500157663</t>
  </si>
  <si>
    <t>日期码格式：ZURU INC(BVI) 标准格式 日期：按实际生产日期
Packaging Info: Amazon UK(71126/7190/92104G/9279BD)/DE(71109D/71126/92104H/9279AB/9543B)/FR(71126/92104H/9279ABD/9543BE)
4. 92104GH:
---92104G: 92104G KITTYCORN SURPRISE(Ragamuffin), 1pc/mailbox, 32mailboxes/ctn; MA 3L(13L warning)B收缩膜+其他MA最新配套包装+MA 5L(23L warning)B
收藏指南+客版邮包盒(UPC#+英法德意西5L警告语+IT/FR/ES环保标+GPSR邮箱care@zuru.com，参考翻单PO#4500157663)；
---92104H: 92104H KITTYCORN SURPRISE(Norwegian Forest Cat), 1pc/mailbox, 32mailboxes/ctn;MA 3L(13L warning EAN)B收缩膜+其他MA最新配套包装+MA 5L(
23L warning)B 收藏指南+客版邮包盒(UPC#+英法德意西5L警告语+IT/FR/ES环保标+GPSR邮箱care@zuru.com，参考翻单PO#4500155641)；
7. 验货时间不迟于2025/9/2.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</si>
  <si>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4500175025-70</t>
  </si>
  <si>
    <t>UPC#+英法德意西5L警告语+IT/FR/ES环保标+GPSR邮箱care@zuru.com，参考翻单PO#4500155641</t>
  </si>
  <si>
    <t>4500175025-150</t>
  </si>
  <si>
    <t>HOBBY LOBBY STORES, INC.</t>
  </si>
  <si>
    <t>MPO03721</t>
  </si>
  <si>
    <t>W0729959</t>
  </si>
  <si>
    <t>8/6-价格贴纸</t>
  </si>
  <si>
    <t>Remark:
产品包装：
1. MA UPC版包装，优先1L。
2. 加贴价格贴纸 $9.99, 贴在产品包装正面右上角(价格贴纸文档跟单提供)
3. 产品外包装及产品本身都必须有日期跟踪码，格式为：ZURU 标准日期码。
4. ZURU QC验货，无测试。</t>
  </si>
  <si>
    <t>Yvonne feng</t>
  </si>
  <si>
    <t>ZBO3161-11.29</t>
  </si>
  <si>
    <t>55R9E8BW</t>
  </si>
  <si>
    <t>4500175043-220</t>
  </si>
  <si>
    <t>日期码格式：ZURU INC(BVI) 标准格式 日期：按实际生产日期
Packaging Info: 
#92104 :MA 3L B版本+邮包盒,邮包盒图稿跟单提供.需混入稀有款， 常规款：稀有款=58：2。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</si>
  <si>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4O55FW1X</t>
  </si>
  <si>
    <t>4500175043-230</t>
  </si>
  <si>
    <t>5HC5E6BI</t>
  </si>
  <si>
    <t>4500175043-240</t>
  </si>
  <si>
    <t>5SQDD7SA</t>
  </si>
  <si>
    <t>4500175043-250</t>
  </si>
  <si>
    <t>522TYEPP</t>
  </si>
  <si>
    <t>4500175043-260</t>
  </si>
  <si>
    <t>6WJBRKEZ</t>
  </si>
  <si>
    <t>4500175043-270</t>
  </si>
  <si>
    <t>8PJ6VTJP</t>
  </si>
  <si>
    <t>4500175043-280</t>
  </si>
  <si>
    <t>815478/36360</t>
  </si>
  <si>
    <t>4500174233-10</t>
  </si>
  <si>
    <t>丹麦瑞典芬兰挪威警告语贴纸翻4500169371+北欧五语通用Slime黑白说明书翻4500161075</t>
  </si>
  <si>
    <t>1. 92104TQ2: MA_B_3L(Warning9L)_EAN版收缩膜+丹麦瑞典芬兰挪威警告语贴纸(贴纸和位置图翻PO#4500169371)+MA_B_5L(warning 23L)收藏指南+MA_C_5L(warnin
 g 9L) Slime Polybag+北欧五语通用Slime黑白说明书(通用，翻单4500161075)+MA PDQ+MA 布标/贴纸/吊牌
 2. 71152: MA_A_3L(23L warning) EAN版彩盒+客版说明书(英语/丹麦/瑞典/芬兰/挪威/爱沙尼亚语言--客版说明书翻TAS PO#4500161075)
Remark: 1. 包装如含PVC,请改为PET并第一时间通知跟单
 2. 产品/包装要求无硼无香，出欧洲，微塑料需合规。
 关于微塑料，所有的产品和包装和产品均不能包含，无微塑料的产品都要配套无微塑料的包装，如包装备注与此有争议，请工厂第一时间告知，跟单重新确认包装版
 本
 3. ICA针对带电池出货的产品，都要用碱性电池
 4.带电池出货的产品所用到的电池需要符合欧洲电池新规(EU) 2023-1542
 5.有胶袋的产品：要求产品的胶袋厚度要大于等于0.05mm
 6.关于贴纸，如果贴纸位置图的包装版本与大货不一致，请工厂第一时间提前提出。跟单会重新调整确认是否更新贴纸或调整位置图
 7.产品/包装不含PFAS成分
 8.产品条码如下: 请先检查条码是否正确再安排做货，如有问题请告知
 92104TQ2-S002-NB:4894680033542
 71152-S001:4894680042742</t>
  </si>
  <si>
    <t>92104TQ2-S002-NB-3L</t>
  </si>
  <si>
    <t>4500173754-20</t>
  </si>
  <si>
    <t>7/23收到</t>
  </si>
  <si>
    <t>日期码格式：ZURU INC(BVI) 标准格式 日期：按实际生产日期
Packaging Info:
Remark:
92104TQ1: MA_UPC版本包装（MA首选1L，如无1L可用多语且含英语的配套多语UPC包装）+ 1张客人通用进口商贴纸，贴纸及位置图翻单PO#4500142330</t>
  </si>
  <si>
    <t>3SI235ZX</t>
  </si>
  <si>
    <t>4500175051-10</t>
  </si>
  <si>
    <t>布偶猫（邮包盒新稿）</t>
  </si>
  <si>
    <t>日期码格式：ZURU INC(BVI) 标准格式 日期：按实际生产日期
Packaging Info: #92104 :MA 3L B版本+邮包盒,邮包盒图稿跟单提供。需要混入稀有款，常规款：稀有款=58：2.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</si>
  <si>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884CQ6ME</t>
  </si>
  <si>
    <t>4500175051-20</t>
  </si>
  <si>
    <t>6Q2PJVGX</t>
  </si>
  <si>
    <t>4500175051-30</t>
  </si>
  <si>
    <t>43GZNW5L</t>
  </si>
  <si>
    <t>4500175051-40</t>
  </si>
  <si>
    <t>2K2VOULW</t>
  </si>
  <si>
    <t>4500175051-50</t>
  </si>
  <si>
    <t>31YUD23P</t>
  </si>
  <si>
    <t>4500175051-60</t>
  </si>
  <si>
    <t>8PJEGMRJ</t>
  </si>
  <si>
    <t>4500175051-70</t>
  </si>
  <si>
    <t>66152GHR</t>
  </si>
  <si>
    <t>4500175051-80</t>
  </si>
  <si>
    <t>39ZG22FD</t>
  </si>
  <si>
    <t>4500175051-90</t>
  </si>
  <si>
    <t>8KAO8AFZ</t>
  </si>
  <si>
    <t>4500175051-100</t>
  </si>
  <si>
    <t>3UCSO9UM</t>
  </si>
  <si>
    <t>4500175051-110</t>
  </si>
  <si>
    <t>5B6BB9TJ</t>
  </si>
  <si>
    <t>4500175051-120</t>
  </si>
  <si>
    <t>18KJHALU</t>
  </si>
  <si>
    <t>4500175051-130</t>
  </si>
  <si>
    <t>6JFNV48V</t>
  </si>
  <si>
    <t>4500175043-290</t>
  </si>
  <si>
    <t>6RG9K4KJ</t>
  </si>
  <si>
    <t>4500175043-300</t>
  </si>
  <si>
    <t>8AQ7UCSW</t>
  </si>
  <si>
    <t>4500175043-310</t>
  </si>
  <si>
    <t>4TDN4G5N</t>
  </si>
  <si>
    <t>4500175043-320</t>
  </si>
  <si>
    <t>4X36BNUR</t>
  </si>
  <si>
    <t>4500175043-330</t>
  </si>
  <si>
    <t>7JOQ1FFL</t>
  </si>
  <si>
    <t>4500175043-340</t>
  </si>
  <si>
    <t>1VJNGA3Y</t>
  </si>
  <si>
    <t>4500175043-350</t>
  </si>
  <si>
    <t>8MQZ3Y7U</t>
  </si>
  <si>
    <t>4500175043-360</t>
  </si>
  <si>
    <t>4500173266-30</t>
  </si>
  <si>
    <t>进口商贴纸翻4500165848</t>
  </si>
  <si>
    <t>4500174767-30</t>
  </si>
  <si>
    <t>4500175498-10</t>
  </si>
  <si>
    <t>9/6-9/10出</t>
  </si>
  <si>
    <t>7/30收到</t>
  </si>
  <si>
    <t>8/4-客人白色Cat.label</t>
  </si>
  <si>
    <t>日期码格式：ZURU INC(BVI) 标准格式 日期：按实际生产日期
Packaging Info: 92104：
1.MA -1L UPC B版包装+客人白色Cat.label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（14.17pt），条码扫描结果应为7662960。
Remark: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</si>
  <si>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4500175732-20</t>
  </si>
  <si>
    <t>9/8第三方（转自检）</t>
  </si>
  <si>
    <t>8/1收到</t>
  </si>
  <si>
    <t>UPC贴纸翻4500126662</t>
  </si>
  <si>
    <t>客版3L,PDQ-B版(2个装)</t>
  </si>
  <si>
    <t>日期码格式：ZURU INC(BVI) 标准格式 日期：按实际生产日期
Packaging Info:
#92104TQ3:
客版3L,PDQ-B版(2装)+MA3L收缩膜+UPC条码贴纸(92104, 92104 B,D,E,G,H,J,共7款)+MA5L收藏指南(B)+MA5L胶袋(C)+MA5L贴纸+MA2L布标;
-UPC贴纸翻单：4500126662
-UPC明细：
92104 PERSIAN 193052064417
92104B Maine Coon 193052067616
92104D RAGDOLL 193052067623
92104E HIMALAYAN 193052067630
92104G RAGAMUFFIN 193052067647
92104H NORWEGIAN FOREST CAT 193052067654
92104J MUNCHKIN(RARE) 193052071149
-产品配比：MUNCHKIN(RARE): HIMALAYAN: PERSIAN: MAINE COON: RAGDOLL: RAGAMUFFIN: NORWEGIAN FOREST CAT = 2: 8: 10: 10: 10: 10: 10
Remark: 1. 此单有箱唛;
2. UPC贴纸：必须在原来错误的条码上用黑色粗头笔涂黑直至不能扫描，再贴上正确的UPC;
3. 此单有第三方验货，烦请多备包装物料；
4. 此单#92104需于8/28安排签样，签样数量：空PDQ2PCS+大货蛋各3pcs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</si>
  <si>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Fly Song</t>
  </si>
  <si>
    <t>条码贴纸翻4500169190+多语警语贴纸翻4500169190</t>
  </si>
  <si>
    <t>4500175435-40</t>
  </si>
  <si>
    <t>日期码格式：ZURU INC(BVI) 标准格式 日期：按实际生产日期
Packaging Info: 92104：1L MA UPC收缩膜+客户通用贴纸；MA 指南
Remark:</t>
  </si>
  <si>
    <t>4500175843-40</t>
  </si>
  <si>
    <t>92104D-S002-PKC</t>
  </si>
  <si>
    <t>布偶猫（胶袋装）</t>
  </si>
  <si>
    <t>8/6收到</t>
  </si>
  <si>
    <t>8/12-条码贴纸+进口商贴纸</t>
  </si>
  <si>
    <t>日期码格式：ZURU INC(BVI) 标准格式 日期：按实际生产日期
Packaging Info: 
3. 92104D/G/H：MA 3L EAN 包装+baby UPC 条码贴纸+MA 收藏指南+进口商贴纸+箱唛
除了7150/71126/9548/77731/77673不用加胶袋，剩余款都要按照单个产品入polybag胶袋后再装箱出货，需打孔，胶袋需封口
Remark:</t>
  </si>
  <si>
    <t>92104D-S002-3L</t>
  </si>
  <si>
    <t>4500175843-50</t>
  </si>
  <si>
    <t>92104G-S002-PKC</t>
  </si>
  <si>
    <t>褴褛猫（胶袋装）</t>
  </si>
  <si>
    <t>92104G-S002-3L</t>
  </si>
  <si>
    <t>4500175843-60</t>
  </si>
  <si>
    <t>92104H-S002-PKC</t>
  </si>
  <si>
    <t>森林猫（胶袋装）</t>
  </si>
  <si>
    <t>92104H-S002-3L</t>
  </si>
  <si>
    <t>4500174768-90</t>
  </si>
  <si>
    <t>Toynova GmbH</t>
  </si>
  <si>
    <t>BE3194ZUR03</t>
  </si>
  <si>
    <t>4500169388-10</t>
  </si>
  <si>
    <t>92104A-S002</t>
  </si>
  <si>
    <t>9/22出</t>
  </si>
  <si>
    <t>7/21-EAN 条码贴纸</t>
  </si>
  <si>
    <t>日期码格式：ZURU INC(BVI) 标准格式 日期：按实际生产日期 Tracking Code:
Packaging Info: 92104: MA B版EAN收缩膜+BABY EAN 条码贴纸 + MA B版5L+9Lpolybg +MAB版收藏指南5L+23L+其他物料用MA 即可
 BABY EAN 条码
 92104A 4894680037830
 92104B 4894680037847
 92104D 4894680037854
 92104E 4894680037861
 92104G 4894680037878
 92104H 4894680037885
Remark: 1. 出口欧洲，微塑料需符合法规；
 2. 所有电子产品身上需要加字唛，为ZURU FRANCE 地址 (如无电子产品/产品布标有此地址/产品太小无法增加，可忽略此信息)
 ZURU France 1/3, Rue d'Argenteuil 95210 SAINT-GRATIEN, FRANCE
 3. 所有出往德国订单的电子产品需增加一张客版WEEE声明说明书，区分带电池(WEEE 带电池走货 通用30L 说明书)和不带电池版本(WEEE 不带电池走货 通用30L 说
 明书)
 4. 此单需要在CRD前一天预约ZURU QC验货提供验货图片给客户确认才能出货
 5. 需准时完成生产，推期出货会有罚款。</t>
  </si>
  <si>
    <t>Winnie zhong</t>
  </si>
  <si>
    <t>92104A-S002-3L</t>
  </si>
  <si>
    <t>4500169388-20</t>
  </si>
  <si>
    <t>92104B-S002</t>
  </si>
  <si>
    <t>92104B-S002-3L</t>
  </si>
  <si>
    <t>4500169388-30</t>
  </si>
  <si>
    <t>92104D-S002</t>
  </si>
  <si>
    <t>4500169388-40</t>
  </si>
  <si>
    <t>92104E-S002</t>
  </si>
  <si>
    <t>92104E-S002-3L</t>
  </si>
  <si>
    <t>4500169388-50</t>
  </si>
  <si>
    <t>92104G-S002</t>
  </si>
  <si>
    <t>4500169388-60</t>
  </si>
  <si>
    <t>92104H-S002</t>
  </si>
  <si>
    <t>4500172208-70</t>
  </si>
  <si>
    <t>BARNES &amp; NOBLE PURCHASING, INC.</t>
  </si>
  <si>
    <t>PO#2949715 TO
NJ</t>
  </si>
  <si>
    <t>4500175550-40</t>
  </si>
  <si>
    <t>可消耗4500160320-20-3528 物料</t>
  </si>
  <si>
    <t>8/7-价格贴纸</t>
  </si>
  <si>
    <t>日期码格式：ZURU INC(BVI) 标准格式 日期：按实际生产日期
Packaging Info: 1. 包材：ZURU MA 1L UPC 最新版本，出口美国
#92104TQ2: ZURU MA 1L UPC 最新版本包装 +价格贴纸（价贴金额$12.99, 价贴位于产品包装上UPC条形码附近 + MA 1L PDQ（PDQ上需加价格贴纸 和 条码贴纸，PD
Q条形码贴纸位于PDQ背面左下角，PDQ上价贴位于PDQ正面右上角）,贴纸资料跟单提供，工厂采购。
Remark: 2. 日期跟踪码：产品包装及产品本身都必须有日期跟踪码，并且确保两者的日期跟踪码要一致；ZURU标准格式日期码(请自行调整具体年月日生产期，但不能为周
末）。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此客户有两个PO:
PO# 2949715 ship to NJ,
PO# 2949718 ship to NV,
5. 出货配比：ZURU 标准配比</t>
  </si>
  <si>
    <t>ZB02016-9.20</t>
  </si>
  <si>
    <t>PO#2949718 TO
NV</t>
  </si>
  <si>
    <t>4500175550-80</t>
  </si>
  <si>
    <t>可消耗4500160320-40-1512 物料</t>
  </si>
  <si>
    <t>ZB02084-9.25</t>
  </si>
  <si>
    <t>47854271 BNE</t>
  </si>
  <si>
    <t>4500176741-30</t>
  </si>
  <si>
    <t>8/12收到</t>
  </si>
  <si>
    <t>47854301 FRE</t>
  </si>
  <si>
    <t>4500176741-60</t>
  </si>
  <si>
    <t>47854369 SYD</t>
  </si>
  <si>
    <t>4500176741-100</t>
  </si>
  <si>
    <t>47854080 MEL</t>
  </si>
  <si>
    <t>4500176741-130</t>
  </si>
  <si>
    <t>TOY KINGDOM (PTY) LTD</t>
  </si>
  <si>
    <t>1100030564-2</t>
  </si>
  <si>
    <t>4500176300-120</t>
  </si>
  <si>
    <t>8/7收到</t>
  </si>
  <si>
    <t>日期码格式：ZURU INC(BVI) 标准格式 日期：按实际生产日期
Packaging Info: MA PKG,优先1L
Remark:</t>
  </si>
  <si>
    <t>日期码格式：ZURU INC(BVI) 标准格式 日期：按实际生产日期
Packaging Info: 92124：客版1L UPC包装底托（翻单PO#4500169407） + 箱唛 + 外箱贴纸SSCC Label
子件：
92104：MA_1L_UPC B 版本包装（收缩膜和说明书) +一张空白贴纸
配比信息：Combo pcak 92119 EGGZANIA FROZEN MANIA+ 9298 Puppycorn +92104 Kittycorn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</si>
  <si>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日期码格式：ZURU INC(BVI) 标准格式 日期：按实际生产日期
Packaging Info: 92124：客版1L UPC包装底托（翻单PO#4500169407） + 箱唛 + 外箱贴纸SSCC Label
子件：
92104：MA_1L_UPC B 版本包装（收缩膜和说明书) +一张空白贴纸
配比信息：Combo pcak 92119 EGGZANIA FROZEN MANIA+ 9298 Puppycorn +92104 Kittycorn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</si>
  <si>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4500178095-20</t>
  </si>
  <si>
    <t>8/28收到</t>
  </si>
  <si>
    <t>9/5进口商贴纸</t>
  </si>
  <si>
    <t>日期码格式： 标准格式 日期：按实际生产日期
Packaging Info: MA UPC包装(优先1L)+1张进口商贴纸,待提供贴纸资料;
5.因为此客人进口商贴纸是通用的（除了那些加了UPC条码的），只可能因为item不同尺寸会有差别，如果发现尺寸一样就请统一订购节省成本。
整单的贴纸图稿及位置图待提供
Remark: 
92104-MUNCHKIN(RARE): HIMALAYAN: PERSIAN: MAINE COON: RAGDOLL: RAGAMUFFIN: NORWEGIAN FOREST CAT = 2: 8: 10: 10: 10: 10: 10</t>
  </si>
  <si>
    <t>A96805-10.31</t>
  </si>
  <si>
    <t>4500176381-70</t>
  </si>
  <si>
    <t>4500174771-60</t>
  </si>
  <si>
    <t>4500176177-70</t>
  </si>
  <si>
    <t>7WBSN44A</t>
  </si>
  <si>
    <t>4500177996-100</t>
  </si>
  <si>
    <t>邮包盒图稿跟4500148503，此单可消耗库存4500156588-704pcs</t>
  </si>
  <si>
    <t>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t>
  </si>
  <si>
    <t>日期码格式：ZURU INC(BVI) 标准格式 日期：按实际生产日期
Packaging Info:
#92104 MA 1L UPC版本+邮包盒,邮包盒图稿跟Amazon 4500148503。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</si>
  <si>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5ZWH54VN</t>
  </si>
  <si>
    <t>4500178020-210</t>
  </si>
  <si>
    <t>邮包盒图稿跟4500148503，此单可消耗库存4500156588-992pcs</t>
  </si>
  <si>
    <t>2V9R9BVY</t>
  </si>
  <si>
    <t>4500178034-80</t>
  </si>
  <si>
    <t>邮包盒图稿跟4500148503</t>
  </si>
  <si>
    <t>ZB02522-10.20</t>
  </si>
  <si>
    <t>35AZGN6Y</t>
  </si>
  <si>
    <t>4500178034-160</t>
  </si>
  <si>
    <t>4500178210-10</t>
  </si>
  <si>
    <t>8/29收到</t>
  </si>
  <si>
    <t>9/5-外箱贴纸+进口商贴纸翻4500156374</t>
  </si>
  <si>
    <t>日期码格式：ZURU INC(BVI) 标准格式 日期：按实际生产日期
Packaging Info: 92104TQ1:MA 3L EAN包装+进口商贴纸+外箱贴纸+箱唛，进口商贴纸翻单PO4500156374
Remark: 此单有第三方监柜，需要每款多备1套完整物料</t>
  </si>
  <si>
    <t>4500173508-50</t>
  </si>
  <si>
    <t>ZB02341-10.11</t>
  </si>
  <si>
    <t>日期码格式：外包装/外箱不要打ZURU标准日期码 日期：
Packaging Info: 注意 ：外包装 (指: 收缩膜/彩卡/铝箔袋/挂卡/PDQ) /外箱不要打ZURU标准日期码！胶件可以打日期码。
92123 ： 8580PCS（新版本包装+旧版底托）使用4500159511 库存的客版底托， 不需要返工 ； 92123 ： 里面combo 产品1L MA 收缩膜（不含任何条码）+ 空白
贴纸覆盖条码），MA指南/说明书（如有）；剩余数量7248PCS：用全套新包装， 新客版托盘翻4500176865
Remark: 标准配比 ；
请按期完货， 会有罚金。
出2个港口Bekasovo 2（B-2） 和Ural .</t>
  </si>
  <si>
    <t>立陶宛</t>
  </si>
  <si>
    <t>4500178155-30</t>
  </si>
  <si>
    <t>10/31出</t>
  </si>
  <si>
    <t>日期码格式：ZURU INC(BVI) 标准格式 日期：按实际生产日期
Packaging Info: 
92104：A 版 1L MA UPC收缩膜+进口商贴纸（翻4500135326 &lt;(&gt;&amp;&lt;)&gt;4500135339）；B 版 5L MA 收藏指南
Remark: 1、若产品有比例使用ZURU STD 比例
2、所有item 均用MA UPC 条码，若包装不是UPC 条码的请告知
3、此单出欧洲需满足EU测试标准要求</t>
  </si>
  <si>
    <t>A96770-10.30</t>
  </si>
  <si>
    <t>777 3OCT</t>
  </si>
  <si>
    <t>4500175110-60</t>
  </si>
  <si>
    <t>请先检查条码是否正确再安排做货193052064417</t>
  </si>
  <si>
    <t>日期码格式：ZURU INC(BVI) 标准格式 日期：按实际生产日期
Packaging Info: 1.最新MA UPC包装,各款的条码如下，请先检查条码是否正确再安排做货，如有问题请告知
92104TQ1:193052064417
2.配比都跟MA
Remark: 1.产品及包装需要印UKCA图标，包装需要有ZURU UK LTD/ZURU France地址信息，QC同事请核查，如有问题与跟单确认。
2. 需要符合欧洲标准不能含有闪粉和微塑料，否则不合法规会有客诉产生</t>
  </si>
  <si>
    <t>A96654-10.15</t>
  </si>
  <si>
    <t>4500176184-80</t>
  </si>
  <si>
    <t>4500159511转单，8580PCS（全套旧包装）使用4500159511 库存的客版底托， 不需要返工（其中2736用全套新包装+新客版托盘翻4500176865）</t>
  </si>
  <si>
    <t>47859766 MEL</t>
  </si>
  <si>
    <t>4500178852-20</t>
  </si>
  <si>
    <t>2.进口商贴纸上已经去掉日期码，产品和包装上的日期码一致，请按要求在包装上打日期码（进口商贴纸不覆盖日期码）
3. 原指定日期码DDMMYY可改用ZURU标准日期码</t>
  </si>
  <si>
    <t>日期码格式：ZURU INC(BVI) 标准格式 日期：按实际生产日期
Packaging Info: 1. 包装：
92104TQ1：MA UPC PKG+1张进口商贴纸，贴纸翻单4500124257
2. 进口商贴纸上已经去掉日期码，产品和包装上的日期码一致，请按要求在包装上打日期码（进口商贴纸不覆盖日期码）
3. 原指定日期码DDMMYY可改用ZURU标准日期码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</si>
  <si>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A96720-10.24</t>
  </si>
  <si>
    <t>47860520 BNE</t>
  </si>
  <si>
    <t>4500178852-40</t>
  </si>
  <si>
    <t>47860619 SYD</t>
  </si>
  <si>
    <t>4500178852-60</t>
  </si>
  <si>
    <t>47860272 FRE</t>
  </si>
  <si>
    <t>4500178852-80</t>
  </si>
  <si>
    <t>A96751-10.29</t>
  </si>
  <si>
    <t xml:space="preserve">HOBBY LOBBY STORES, INC.
</t>
  </si>
  <si>
    <t>MPO03776</t>
  </si>
  <si>
    <t>9/24-价格贴纸</t>
  </si>
  <si>
    <t>Remark: ① 订单的所有测试与样品要求以跟单的要求为准，且为了避免QC验货拆货来不及补货，请准备适量的贴纸和产品备品。此订单数量只作为大货生产，不包
含样板与备品。
② 关于混装展示架，各工厂交子件到最终母件工厂时，务必要 "带卡板出+围好围膜"。
如果没按要求的，请各工厂自行安排人手卸货。
③ 请贵司确保交货数量准确，与收货方交收清楚，如收货方提出任何异常，请立即安排处理解决。
1. MA UPC版包装，优先1L。
2. 加贴价格贴纸 $9.99, 贴在产品包装正面右上角(价格贴纸文档跟单提供)
3. 产品外包装及产品本身都必须有日期跟踪码，格式为：ZURU 标准日期码。
4. ZURU QC验货，无测试。</t>
  </si>
  <si>
    <t xml:space="preserve">Yvonne feng
</t>
  </si>
  <si>
    <t>ZBO3162-11.29</t>
  </si>
  <si>
    <t>4500176188-40</t>
  </si>
  <si>
    <t>4500177865-50</t>
  </si>
  <si>
    <t>进口商贴纸翻4500147878</t>
  </si>
  <si>
    <t>日期码格式：ZURU INC(BVI) 标准格式 日期：按实际生产日期
Packaging Info:
4. 92104TQ1：MA 3L EAN包装+MA 多语收藏指南+MA PDQ包装+进口商贴纸+箱唛，进口商贴纸翻单PO 4500147878
Remark: 1. 此单需提交自检报告给客户确认，待客户确认放货后，才允许出货。
6. 92104：MUNCHKIN(RARE): HIMALAYAN: PERSIAN: MAINE COON: RAGDOLL: RAGAMUFFIN: NORWEGIAN FOREST CAT = 2: 8: 10: 10: 10: 10: 10</t>
  </si>
  <si>
    <t>A96767-10.30</t>
  </si>
  <si>
    <t>K􀃄RKK􀃄INEN OY /CENTRAWLA REHOUSE</t>
  </si>
  <si>
    <t>4500179713-10</t>
  </si>
  <si>
    <t>11/11出</t>
  </si>
  <si>
    <t>9/19收到</t>
  </si>
  <si>
    <t>日期码格式：ZURU INC(BVI) 标准格式 日期：按实际生产日期
Packaging Info: 1. 92104TQ2: MA_B_3L(Warning 13L)_EAN版收缩膜+丹麦瑞典芬兰挪威警告语贴纸(贴纸和位置图翻ICA PO#4500169371)+MA_B_5L(warning 23L)收藏指南+MA_C_5L(w
arning 9L) Slime Polybag+丹麦瑞典芬兰挪威爱沙尼亚警告语贴纸贴在袋子上+MA PDQ+MA 布标/贴纸/吊牌+MA B版PDQ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92104TQ2-S002-NB:4894680033542</t>
  </si>
  <si>
    <t>96893-11.8</t>
  </si>
  <si>
    <t>4500179668-20</t>
  </si>
  <si>
    <t>挪威语警语贴纸+布标贴纸翻4500162222</t>
  </si>
  <si>
    <t>日期码格式：ZURU INC(BVI) 标准格式 日期：按实际生产日期
Packaging Info:
92104TQ2: MA_A EAN 3L+挪威语警语贴纸（翻单4500162222）+1布标贴纸（翻单4500162222）+北欧五语通用Slime黑白说明书；
Remark: 1/产品和包装要求无硼无香，包装不能含有PVC；
2/如有微塑料，必须合规欧洲标准，闪粉也是微塑料的一种，目前仅接受三张方式1.去除，2.用可降解材料，和3.永久封印在固体；
3/此订单有第三方验货，92104签样用于4500162222；9296，77515签样请用4500128658
4/带电池出货的产品所用到的电池需要符合欧洲电池新规(EU)2023-1542；
5/工厂货号-客户货号彩盒条码-外箱条码：
92104TQ2-7254574-4894680033542-10193052064414；
6/配比:
92104TQ2:MUNCHKIN(RARE): HIMALAYAN: PERSIAN: MAINE COON: RAGDOLL: RAGAMUFFIN: NORWEGIAN FOREST CAT = 2: 8: 10: 10: 10: 10: 10；</t>
  </si>
  <si>
    <t>96874-11.5</t>
  </si>
  <si>
    <t>客户PO#474651
42</t>
  </si>
  <si>
    <t>4500178900-10</t>
  </si>
  <si>
    <t>客版PDQ翻4500171042</t>
  </si>
  <si>
    <t>外箱箱唛正侧相邻两面粘贴产品彩色贴纸，每箱两张彩色贴纸</t>
  </si>
  <si>
    <t>此单收缩膜+蛋壳指定日期码：DG20251010
布标日期码：June（Juin) 06 2025 DG
口水胶日期码：SND25091201B</t>
  </si>
  <si>
    <t>日期码格式：ZURU INC(BVI) 标准格式 日期：2025-10-10
Packaging Info: 1)客版PDQ,翻单PO#4500171042 最新版ZURU MA UPC包装(优先1L)，出口美国。如有说明书请使用ZURU MA说明书，优先放1L英语。已确认从此单开始使用全套最新
包装，包括收缩膜，PDQ, 收藏指南，贴纸，口水胶袋。
2)ZURU标准日期码格式：工厂城市缩写+生产年月日。此单收缩膜+蛋壳指定日期码：DG20251010
布标日期码：June（Juin) 06 2025 DG
口水胶日期码：SND25091201B
3)外箱箱唛正侧相邻两面粘贴产品彩色贴纸，每箱两张彩色贴纸, 彩色产品贴纸待跟单提供。如侧唛位置放不下彩贴和唛头信息，可改为放两个正唛。无论是正唛+
侧唛或者是两个正唛，唛头信息和彩贴需放在同一个面。箱唛需排版给跟单确认。
4) 每个球贴一张客供防盗贴，贴在收缩膜上，防盗贴由跟单采购，供应商直接发货到工厂。防盗贴贴纸位置与PO#4500171042确认的位置一致。
Remark: 客户PO#47465142
客户SKU#1096260
1) Item#92104TQ4-S003
2) 此单无第三方验货+抽样测试，ZURU QC验货PASS后，跟单得到客户的approval之后方可安排出货
3)大货外箱材积绝对不可大于下述数据，材积只接受3%的变小；重量正负不得超过以下列出数据的5%，接受外箱以印章方式印上实际毛重。
大货外箱尺寸请保持： 30.0 x 23.0 x 22.0 cm(即11.81 x 9.06 x 8.66 inch)，材积必须不能大于0.5368CubeFeet（即0.0152CBM); 外箱毛重 2.4 LBS（即1.08 K
GS）。
4) 大货配比：
Item#92104TQ4-S003
S003-RAINBOCORNS - KITTYCORN SURPRISE - SERIES 9 - PLUSH SMALL - SHRINK WRAP,2facing4PCS/
PDQ/CTN
UPC: 193052064417
With BORON (Lower 300ppm), Non-Glitter
2W*2D*1H=4PCS/PDQ
MUNCHKIN(RARE): HIMALAYAN: PERSIAN: MAINE COON: RAGDOLL: RAGAMUFFIN: NORWEGIAN FOREST CAT = 2: 8: 10: 10: 10: 10: 10
5) 客户Family Dollar不允许少数出货，必须按照PO上的数量出货，也不允许延期，否则会有罚款。
6) 客户要求:"产品和包装不能含有PFAS 物质以及1,4 dioxane",请确保产品可以过美国标准测试。
7) 任何产品包装和日期码的变更，在收到ZURU的订单后，不管是MA包装还是客版包装，都需要及时告知跟单并在生产前与跟单确认是否需要重新签板留样。ZURU验
货员验货以Family Dollar跟单寄给工厂的签板为准。如因工厂不及时告知变更而导致的无法出货，客诉或者罚款等，将保留对工厂追责的权利。请工厂务必重视和
配合，避免任何额外费用的产生。</t>
  </si>
  <si>
    <t>ZB02683-10.29  ZB02702-10.30  ZB02716-10.31</t>
  </si>
  <si>
    <t>4500180115-10</t>
  </si>
  <si>
    <t>日期码格式：ZURU INC(BVI) 标准格式 日期：按实际生产日期
Packaging Info: 92104TQ4:MA UPC 收缩膜，MA指南
MUNCHKIN(RARE): HIMALAYAN: PERSIAN: MAINE COON: RAGDOLL: RAGAMUFFIN: NORWEGIAN FOREST CAT = 2: 8: 10: 10: 10: 10: 10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</si>
  <si>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96850-11.3</t>
  </si>
  <si>
    <t>4500180247-10</t>
  </si>
  <si>
    <t>10/30-客人白色Cat.label</t>
  </si>
  <si>
    <t>日期码格式：ZURU INC(BVI) 标准格式 日期：按实际生产日期
Packaging Info: 92104：
1.MA -1L UPC 包装+客人白色Cat.label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（14.17pt），条码扫描结果应为7662960。
Remark: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</si>
  <si>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96844-11.1</t>
  </si>
  <si>
    <t>4500180233-40</t>
  </si>
  <si>
    <t>日期码格式：ZURU INC(BVI) 标准格式 日期：按实际生产日期
Packaging Info: MA 最新UPC包装，各款的条码如下，请先检查条码是否正确再安排做货，如有问题请告知,配比跟MA
92104TQ1-S003:193052064417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</si>
  <si>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4500179209-30</t>
  </si>
  <si>
    <t>箱唛翻4500165000</t>
  </si>
  <si>
    <t>贴纸翻4500165000</t>
  </si>
  <si>
    <t>客供芯片码 翻4500165000</t>
  </si>
  <si>
    <t>日期码格式：ZURU INC(BVI) 标准格式 日期：按实际生产日期
Packaging Info: 物料要求 SKU
3 92104TQ2 MA PDQ+客制收缩膜+ 中文布标(可用布标贴纸)+中文收藏指南 +客供芯片码 翻单： 4500165000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t>
  </si>
  <si>
    <t>Amazon
IT:2MAESEVE</t>
  </si>
  <si>
    <t>4500179692-90</t>
  </si>
  <si>
    <t>(UPC#+英法德意西5L警告语+IT/FR/ES环保标+GPSR邮箱care@zuru.com，翻4500157663)+9/18-贴纸（洗涤说明西班牙语）10/15-SSCC LABEL</t>
  </si>
  <si>
    <t>日期码格式：ZURU INC(BVI) 标准格式 日期：按实际生产日期
Packaging Info: Amazon ES(71126/71137/92104A/9279H/9543E/15701A/15710AB/15726E/15728B/15763BD/77515)/IT(77731/92104H/9543E/15711B)
3. 92104AH
--92104H：92104H KITTYCORN SURPRISE(Norwegian Forest Cat), 1pc/mailbox, 32mailboxes/ctn;MA 3L(13L warning EAN)B收缩膜+其他MA最新配套包装+MA 5L(
23L warning)B 收藏指南+客版邮包盒(UPC#+英法德意西5L警告语+IT/FR/ES环保标+GPSR邮箱care@zuru.com，参考翻单PO#4500155641)；
最迟验货不得晚于2025/11/7;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</si>
  <si>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96964-11.18</t>
  </si>
  <si>
    <t>4500180826-20</t>
  </si>
  <si>
    <t>11/3第三方</t>
  </si>
  <si>
    <t>11/8出</t>
  </si>
  <si>
    <t>9/28收到</t>
  </si>
  <si>
    <t>条码贴纸翻4500175732</t>
  </si>
  <si>
    <t>日期码格式：ZURU INC(BVI) 标准格式 日期：按实际生产日期
Packaging Info: 
#92104TQ3:
客版3L,PDQ-B版(2装)+MA3L收缩膜(B)+UPC条码贴纸(92104, 92104 B,D,E,G,H,J,共7款)+MA5L收藏指南(B)+MA5L胶袋(C)+MA5L贴纸+MA2L布标;
翻单：4500175732
-UPC明细：
92104 PERSIAN 193052064417
92104B Maine Coon 193052067616
92104D RAGDOLL 193052067623
92104E HIMALAYAN 193052067630
92104G RAGAMUFFIN 193052067647
92104H NORWEGIAN FOREST CAT 193052067654
92104J MUNCHKIN(RARE) 193052071149
-产品配比：MUNCHKIN(RARE): HIMALAYAN: PERSIAN: MAINE COON: RAGDOLL: RAGAMUFFIN: NORWEGIAN FOREST CAT = 2: 8: 10: 10: 10: 10: 10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</si>
  <si>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96865-11.4</t>
  </si>
  <si>
    <t>4500179692-50</t>
  </si>
  <si>
    <t>日期码格式：ZURU INC(BVI) 标准格式 日期：按实际生产日期
Packaging Info: Amazon ES(71126/71137/92104A/9279H/9543E/15701A/15710AB/15726E/15728B/15763BD/77515)/IT(77731/92104H/9543E/15711B)
3. 92104AH
--92104A：92104A KITTYCORN SURPRISE(Persian), 1pc/mailbox, 32mailboxes/ctn; MA 3L(13L warning)B收缩膜+其他MA最新配套包装+MA 5L(23L warning)B 收
藏指南+客版邮包盒(UPC#+英法德意西5L警告语+IT/FR/ES环保标+GPSR邮箱care@zuru.com，参考翻单PO#4500157663)+1张贴纸（洗涤说明西班牙语）；
最迟验货不得晚于2025/11/7;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</si>
  <si>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Amazon ES:
1XZQXBGA</t>
  </si>
  <si>
    <t>4500180299-20</t>
  </si>
  <si>
    <t>收到SO，预计11/24-11/28出</t>
  </si>
  <si>
    <t>(UPC#+英法德意西5L警告语+IT/FR/ES环保标+GPSR邮箱care@zuru.com，参考翻单PO#4500155641) +1张贴纸（洗涤说明西班牙语）</t>
  </si>
  <si>
    <t>日期码格式：ZURU INC(BVI) 标准格式 日期：按实际生产日期
Packaging Info: Amazon ES(15701B/92104H/9543AE)
2. 92104H：92104H KITTYCORN SURPRISE(Norwegian Forest Cat), 1pc/mailbox, 32mailboxes/ctn;MA 3L(13L warning EAN)B收缩膜+其他MA最新配套包装+MA 5L(
23L warning)B 收藏指南+客版邮包盒(UPC#+英法德意西5L警告语+IT/FR/ES环保标+GPSR邮箱care@zuru.com，参考翻单PO#4500155641) +1张贴纸（洗涤说明西班牙
语）；
4.最迟验货不得晚于2025/11/14;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</si>
  <si>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97042-11.27</t>
  </si>
  <si>
    <t>MTQ47-92104-S001-MTS</t>
  </si>
  <si>
    <t>长尾巴猫混装（92104+9298+92129+92120各6pcs）</t>
  </si>
  <si>
    <t>10/11-多语警语贴纸</t>
  </si>
  <si>
    <t>日期码格式：ZURU INC(BVI) 标准格式 日期：按实际生产日期
Packaging Info: MTQ47：客版混装PDQ+
92104：最新MA 3L+9L警语 EAN收缩膜+1*多语警语贴纸+ MA 5L+9L警语Slime袋子+最新MA 5L+23L警语收藏指南+MA 布标+其他MA包装
所有item都需要无硼无香版本；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
ZURU France 1/3, Rue d'Argenteuil 95210 SAINT-GRATIEN,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</si>
  <si>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 xml:space="preserve">96984-11.21
96877-11.6
96883-11.7
</t>
  </si>
  <si>
    <t>MTQ47-92104-S001-3L</t>
  </si>
  <si>
    <t>INDEKS RETAIL A/SSYSTEM TRANSPORT</t>
  </si>
  <si>
    <t>4500177426-40</t>
  </si>
  <si>
    <t>日期码格式：ZURU INC(BVI) 标准格式 日期：按实际生产日期
Packaging Info:
4. 92104TQ2: MA_B_3L(Warning 13L)_EAN版收缩膜+丹麦瑞典芬兰挪威警告语贴纸(贴纸和位置图翻ICA PO#4500169371)+MA_B_5L(warning 23L)收藏指南+MA_B_5L(w
arning 9L) Slime Polybag+MA PDQ+MA 布标/贴纸/吊牌+MA B版PDQ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92104TQ2-S002-NB:4894680033542</t>
  </si>
  <si>
    <t>96955-11.17</t>
  </si>
  <si>
    <t>4500176585-30</t>
  </si>
  <si>
    <t>4500176156-40</t>
  </si>
  <si>
    <t>4500179381-30</t>
  </si>
  <si>
    <t>OUTLET DRIFT AS</t>
  </si>
  <si>
    <t>20119</t>
  </si>
  <si>
    <t>4500181980-50</t>
  </si>
  <si>
    <t>警语贴纸翻4500162375</t>
  </si>
  <si>
    <t>日期码格式：ZURU INC(BVI) 标准格式 日期：按实际生产日期
Packaging Info: 
92104TQ2: MA EAN 3L+警语贴纸（翻单4500162375）
Remark: 1/配比:
92104TQ2: MUNCHKIN(RARE): HIMALAYAN: PERSIAN: MAINE COON: RAGDOLL: RAGAMUFFIN: NORWEGIAN FOREST CAT = 2: 8: 10: 10: 10: 10: 10
2/产品和包装要求无硼无香，包装不能含有PVC
3/如有微塑料，必须合规欧洲标准，并增加微塑料合规IFUD声明在说明书上
4/带电池出货的产品，所用到的电池需要符合欧洲电池新规(EU)2023-1542，并增加对应WEEE 说明书</t>
  </si>
  <si>
    <t>96999-11.22</t>
  </si>
  <si>
    <t>4500180060-10</t>
  </si>
  <si>
    <t>10/10收到</t>
  </si>
  <si>
    <t>丹麦瑞典芬兰挪威警告语贴纸翻4500169371+丹麦瑞典芬兰挪威爱沙尼亚警告语贴纸翻4500179713</t>
  </si>
  <si>
    <t>日期码格式：ZURU INC(BVI) 标准格式 日期：按实际生产日期
Packaging Info: 1. 92104TQ2: MA_B_3L(Warning 13L)_EAN版收缩膜+丹麦瑞典芬兰挪威警告语贴纸(贴纸和位置图翻ICA PO#4500169371)+MA_B_5L(warning 23L)收藏指南+MA_C_5L(w
arning 9L) Slime Polybag+丹麦瑞典芬兰挪威爱沙尼亚警告语贴纸贴在袋子上(贴纸和位置图翻K􀃤rkk􀃤inePn O#4500179713)+MA PDQ+MA 布标/贴纸/吊牌+MA B版PDQ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92104TQ2-S002-NB:4894680033542</t>
  </si>
  <si>
    <t>97117-12.2</t>
  </si>
  <si>
    <t>47876700 FRE</t>
  </si>
  <si>
    <t>4500181348-30</t>
  </si>
  <si>
    <t>97065-11.29</t>
  </si>
  <si>
    <t>47876736 BNE</t>
  </si>
  <si>
    <t>4500181348-60</t>
  </si>
  <si>
    <t>97066-11.29</t>
  </si>
  <si>
    <t>47876744 SYD</t>
  </si>
  <si>
    <t>4500181348-80</t>
  </si>
  <si>
    <t>4500180918-60</t>
  </si>
  <si>
    <t>10/20-价格贴纸</t>
  </si>
  <si>
    <t>日期码格式：ZURU INC(BVI) 标准格式 日期：按实际生产日期
Packaging Info: 
92104TQ1:MA_B_3L(Warning9L)_EAN 收缩膜+价格贴纸+MA B版5L 收藏指南+MA_B_5L+warning 9L Polybag+MA B版PDQ+MA 布标+非电子产品布标贴纸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通用30L 说明书)和不带电池版本(WEEE 不带电池走货 通用30L 说
明书)
4. 此单需要在CRD前一天预约ZURU QC验货提供验货图片给客户确认才能出货
5. 需准时完成生产，推期出货会有罚款。
6. 此客户要求含布标的毛绒公仔，需要额外贴一张布标贴纸，区分电子产品（带电布标贴纸)和非电子产品(不带电布标贴纸)"</t>
  </si>
  <si>
    <t>4500181871-10</t>
  </si>
  <si>
    <t>10/28-进口商贴纸+ QR code贴纸</t>
  </si>
  <si>
    <t>日期码格式：ZURU INC(BVI) 标准格式 日期：按实际生产日期
Packaging Info: 92104 ： 1L MA UPC 收缩膜+ 进口商贴纸+ QR code贴纸（要求每1PCS 的QR 不一样 ）， MA 说明书/指南（如
有）；
此单QR code 需要追踪到柜。
Remark: 注意： 1. QR code 贴纸需要含item和序列号 ， 二维码部分要求尺寸大于1CM （正方形边长间于1-1.5cm），强粘不易脱落 ， 材质同进口商贴纸 ，印刷质量不低
于1.5c .
2. 二维码贴纸位置要远离包装上的条码及其他二维码， 贴在背面。
3. QR code贴纸（要求一物一码，每PCS的二维码不一样）;
标准配比</t>
  </si>
  <si>
    <t>97062-11.29</t>
  </si>
  <si>
    <t>4500181278-260</t>
  </si>
  <si>
    <t>10/29-多语折叠警语贴纸</t>
  </si>
  <si>
    <t>日期码格式：ZURU INC(BVI) 标准格式 日期：按实际生产日期
Packaging Info:
92104TQ2 ： MA 3L+9L EAN 最新版收缩膜+1*多语折叠警语贴纸+ MA 5L+23L 收藏指南+MA5L+9L slime 袋子+1*北欧通用slime黑白说明书+MA 1L+3L PDQ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</si>
  <si>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Amazon FR:
6R6N2E8R</t>
  </si>
  <si>
    <t>4500180750-70</t>
  </si>
  <si>
    <t>收到SO，预计12/11-12/15出</t>
  </si>
  <si>
    <t>UPC#+英法德意西5L警告语+IT/FR/ES环保标+GPSR邮箱care@zuru.com，翻4500155641+洗涤说明西班牙语翻4500179692+ SSCC贴纸</t>
  </si>
  <si>
    <t>日期码格式：ZURU INC(BVI) 标准格式 日期：按实际生产日期
Packaging Info: Amazon UK(71109D/77515/9543AE)/DE(77555/9543E)/FR(92104H/9543AE)
5. 92104H: 92104H KITTYCORN SURPRISE(Norwegian Forest Cat), 1pc/mailbox, 32mailboxes/ctn; MA 3L(13L warning EAN)B收缩膜+其他MA最新配套包装+MA 5L
(23L warning)B 收藏指南+客版邮包盒(UPC#+英法德意西5L警告语+IT/FR/ES环保标+GPSR邮箱care@zuru.com，参考翻单PO#4500155641)+1张贴纸（洗涤说明西班牙
语，参考翻单PO#4500179692, 出ES需要）；
6. 验货时间不迟于2025/12/1.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</si>
  <si>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4500182488-10</t>
  </si>
  <si>
    <t>10/28收到</t>
  </si>
  <si>
    <t>日期码格式：ZURU INC(BVI) 标准格式 日期：按实际生产日期
Packaging Info: 92104TQ1:3L MA 收缩膜; MA 指南; MA PDQ
Remark: 1. 如MA 产品中有大于10*10cm的塑料袋，必须印上英语/荷兰语/法语/德语的防窒息警告语，印刷内容请与跟单确认；
2. 所有塑料袋的厚度不小于0.038mm；
3. 订单出比利时，产品及包装需要印CE图标；包装需要有ZURU France地址信息，QC同事请核查，如有问题与跟单确认；
4. 标准配比；
5. 出欧洲，微塑料需合规（如item本身不含微塑料 则忽略此要求）。</t>
  </si>
  <si>
    <t>97067-11.29</t>
  </si>
  <si>
    <t>TOYCHAMP BELGIUM NV</t>
  </si>
  <si>
    <t>251000009311</t>
  </si>
  <si>
    <t>4500182640-10</t>
  </si>
  <si>
    <t>日期码格式：ZURU INC(BVI) 标准格式 日期：按实际生产日期
Packaging Info: 92104TQ1:3L MA EAN收缩膜; MA 指南; MA PDQ
Remark: 1. 如MA 产品中有大于10*10cm的塑料袋，必须印上英语/荷兰语/法语/德语的防窒息警告语，印刷内容请与跟单确认；
2. 所有塑料袋的厚度不小于0.038mm；
3. 订单出比利时，产品及包装需要印CE图标；包装需要有ZURU France地址信息，QC同事请核查，如有问题与跟单确认；
4. 标准配比；
5. 出欧洲，微塑料需合规（如item本身不含微塑料 则忽略此要求）。</t>
  </si>
  <si>
    <t>97147-12.5</t>
  </si>
  <si>
    <t>4500183188-20</t>
  </si>
  <si>
    <t>日期码格式：ZURU INC(BVI) 标准格式 日期：按实际生产日期
Packaging Info:
92104: 最新MA 1L收缩膜+德语callout及警语贴纸(含EAN条码)+5L 收藏指南/Polybag/贴纸+MA 布标 （全部资料翻单#4500149853）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 标准配比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新地址：ZURU France 33 rue Paul Meurice 75020 Paris, France
旧地址：ZURU France 1/3, Rue d'Argenteuil 95210 SAINT-GRATIEN, FRANCE
12. 所有出往GAS市场(德国/奥地利/瑞士)的电子产品需增加一张欧洲通用WEEE声明说明书，区分带电池和不带电池版本, 如已做客版说明书可忽略此要求。</t>
  </si>
  <si>
    <t>4500182432-10</t>
  </si>
  <si>
    <t>10/29-意大利环保标通用地址贴纸</t>
  </si>
  <si>
    <t>日期码格式：ZURU INC(BVI) 标准格式 日期：按实际生产日期
Packaging Info: 92104TQ1:最新MA3L（9Lwarning）EAN收缩膜+最新MA5L (23L warning)收藏指南+最新MAPDQ+最新MA5L胶袋+最新MA贴纸/布标+意大利环保标通用地址贴纸
Remark: 1. 此单出意大利，需要满足EU标准，通过ZURU验货即可；
2. 产品均符合EU微塑料法规要求：不能含有微塑料/闪粉，BOB系列要符合欧洲要求不含亚硝酸版本; XShot Hyper系列，统一出EN71版本。
3, SMASHERS 或含Slime产品，所有化合物使用无硼版本出意大利。
4, 带电池产品需要带上最新WEEE欧洲通用电池回收说明书。
5, 意大利订单包装彩卡请确保含法规要求的环保回收logo。</t>
  </si>
  <si>
    <t>TJ MAXX
PO#533249,SKU
#170752
DC#891-264PCS
,
DC#894-168PCS
,
DC#896-288PCS
,
DC#897-240PCS
,
DC#898-240PCS</t>
  </si>
  <si>
    <t>4500183798-130</t>
  </si>
  <si>
    <t>Marshalls
PO#533156,SKU
#892332
DC#881-216PCS
,
DC#884-168PCS
,
DC#886-240PCS
,
DC#887-192PCS
,
DC#888-192PCS</t>
  </si>
  <si>
    <t>4500183797-130</t>
  </si>
  <si>
    <t>4500184755-30</t>
  </si>
  <si>
    <t>进口商贴纸翻4500158305</t>
  </si>
  <si>
    <t>日期码格式：ZURU INC(BVI) 标准格式 日期：按实际生产日期
Packaging Info: MA UPC包装(优先1L)+1张进口商贴纸,贴纸图稿及位置图翻单如下
92104-4500158305
注意92104是客版,每个产品需增加一个透明袋子
Remark:
92104-MUNCHKIN(RARE): HIMALAYAN: PERSIAN: MAINE COON: RAGDOLL: RAGAMUFFIN: NORWEGIAN FOREST CAT = 2: 8: 10: 10: 10: 10: 10</t>
  </si>
  <si>
    <t>LEKIA AB</t>
  </si>
  <si>
    <t>4500183825-130</t>
  </si>
  <si>
    <t>警告语翻译成挪威/瑞典/芬兰语&lt;(&gt;&amp;&lt;)&gt;EAN&lt;(&gt;&amp;&lt;)&gt;care@zuru.com贴纸翻4500179713</t>
  </si>
  <si>
    <t>日期码格式：ZURU INC(BVI) 标准格式 日期：按实际生产日期
Packaging Info:
92104TQ2-S002-NB//MA_B_3L(Warning9L)_EAN收缩膜4894680033542+警告语翻译成挪威/瑞典/芬兰语&lt;(&gt;&amp;&lt;)&gt;EAN贴纸+MA_B_5L+warning 9Lslime袋子+丹麦瑞典芬兰
挪威爱沙尼亚警告语贴纸贴在袋子上(贴纸和位置图翻K􀃤rkk􀃤nien PO#4500179713)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92104TQ2-S002-NB//MUNCHKIN(RARE): HIMALAYAN: PERSIAN: MAINE COON: RAGDOLL: RAGAMUFFIN: NORWEGIAN FOREST CAT = 2: 8: 10: 10: 10: 10: 10</t>
  </si>
  <si>
    <t>Luna</t>
  </si>
  <si>
    <t xml:space="preserve"> 56357/2025/1</t>
  </si>
  <si>
    <t>4500183478-20</t>
  </si>
  <si>
    <t>12/16出</t>
  </si>
  <si>
    <t>11/13-进口商贴纸+条码贴纸</t>
  </si>
  <si>
    <t>日期码格式：ZURU INC(BVI) 标准格式 日期：按实际生产日期
Packaging Info:
 92104：A 版 3L MA EAN收缩膜+进口商贴纸+baby EAN 条码贴纸；B 版 5L MA 收藏指南
Remark: 1、若产品有比例使用ZURU STD 比例
 2、所有item 均用MA EAN条码，若包装上的EAN 条码与PO 不一致的请告知
 baby EAN：
 92104A：4894680037830
 92104B：4894680037847
 92104D：4894680037854
 92104E：4894680037861
 92104G：4894680037878
 92104H：4894680037885
 3、此单出欧洲需满足EU测试标准要求
 4、此单LC 货期不可延</t>
  </si>
  <si>
    <t>PO# 35466</t>
  </si>
  <si>
    <t>4500183101-20</t>
  </si>
  <si>
    <t>12/12出</t>
  </si>
  <si>
    <t>4500177857-10</t>
  </si>
  <si>
    <t>日期码格式：ZURU INC(BVI) 标准格式 日期：按实际生产日期
Packaging Info: 92104TQ1:MA 多语EAN包装+UPC贴纸+进口商贴纸+价标贴纸+箱唛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t>
  </si>
  <si>
    <t>4500182578-10</t>
  </si>
  <si>
    <t>日期码格式：ZURU INC(BVI) 标准格式 日期：按实际生产日期
Packaging Info: 92104TQ1:MA 多语 EAN 包装+UPC贴纸+进口商贴纸+价标贴纸+箱唛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MOTHER UPC Barcode:</t>
  </si>
  <si>
    <t>4500183726-20</t>
  </si>
  <si>
    <t>日期码格式：ZURU INC(BVI) 标准格式 日期：按实际生产日期
Packaging Info: 1. 包装
 92104TQ1：MA UPC PKG+1张进口商贴纸，贴纸翻单4500124257
 2. 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</si>
  <si>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4500183726-40</t>
  </si>
  <si>
    <t>2025-138</t>
  </si>
  <si>
    <t>4500184922-50</t>
  </si>
  <si>
    <t>进口商贴纸翻4500159880</t>
  </si>
  <si>
    <t>日期码格式：ZURU INC(BVI) 标准格式 日期：按实际生产日期
Packaging Info: 1. 
92104TQ1：MA 1L 收缩膜+进口商贴纸（含客户条码）(贴纸翻单4500159880)+MA收藏指南；Slime需要无硼版本; MA PDQ；MA Slime polybag+贴纸(贴纸翻单4500159
880)；
2. 日期码：外箱上需要印客户日期码和ZURU STD日期码，其中客户日期码为ZUR5346；产品/布标/包装印zuru std生产日期的日期码，产品/包装/外箱上的ZURU STD
日期码必须保持一致。
3.每个item需要两套完整大货样, 寄到客户香港办公室，请多备料，地址如下：
Attn: Sylvia Li
Company name: GP Services HK Limited
Company address: Suite 1502, 15th Floor, Chinachem Golden Plaza, 77 Mody Road, TST East, Kowloon, Hong Kong
Company address (Chinese): 香港九龍尖沙咀東部麼地道77號華懋廣場1502室
Contact Tel: +852 2739 5363
4.大货验货需要由ZURU QC抽如下数量样板寄到广州ITS做EN 71-3测试
广东实验室地址：Mr. Sunday Huang /黄好远
Direct Line: 15360632289
深圳天祥质量技术服务有限公司广州分公司
广州市黄埔区保盈东路8号华盈科技大厦A座5楼 天祥检测 轻工玩具部 （邮编：510730）
样品数量：含slime的每款item1pcs的大货样
Remark:
92104TQ1：MUNCHKIN(RARE): HIMALAYAN: PERSIAN: MAINE COON: RAGDOLL: RAGAMUFFIN: NORWEGIAN FOREST CAT = 2: 8: 10: 10: 10: 10: 10.</t>
  </si>
  <si>
    <t>A97513-1.13</t>
  </si>
  <si>
    <t>日期码格式：LOT2551 日期：
Packaging Info: 
3. 92123: 客版 底托（翻4500169300）+一张进口商贴纸（含希腊警语+意大利/希腊布标内容+意大利环保标）+一张产品贴纸+一张EAN 4894680038059 贴纸，贴纸
翻4500160038
92104：最新MA 3L EAN收缩膜+最新MA 5L收藏指南+最新MA 5L POLY BAG+最新MA 布标
Remark: 1.RATIO 同MA 一致。
2.大货样品2套/item，用于客人验货签板。验货后还会抽办1套/item，请多备料。
3.客人日期码：LOT2551，包装（含收缩膜等）/产品/外箱 请保持一致。
4.产品均符合EU微塑料法规要求：不能含有微塑料/闪粉
5. SMASHERS 或含Slime产品，所有化合物使用无硼版本出意大利。
6. 本订单所有 具有 baby items / assorted items 的款式，零售包装上都要用 母 EAN;
7. 此客户需要第三方验货，请在约三方验货前必须PASS ZURU验货。</t>
  </si>
  <si>
    <t>日期码格式：LOT2551 日期：
Packaging Info: 
 2. 92123: 最新MA 底托（翻4500169285）+一张进口商贴纸+一张产品贴纸+一张EAN 4894680038059 贴纸，贴纸都翻4500161360
 92104：最新MA 3L EAN收缩膜+最新MA 5L收藏指南+最新MA 5L POLY BAG+最新MA 布标
Remark: 1. 大货样品2套/item，用于客人验货签板。验货后还会抽办1套/item，请多备料；
 2. 客版日期码LOT2551, 包装（含收缩膜等）/产品/外箱请保持一致。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此客户需要第三方验货，请在约三方验货前必须PASS ZURU验货。</t>
  </si>
  <si>
    <t>Amazon DE:
8QEPGNJR</t>
  </si>
  <si>
    <t>4500183904-20</t>
  </si>
  <si>
    <t>收到SO，预计12/29-1/2出</t>
  </si>
  <si>
    <t>英法德意西5L警告语+IT/FR/ES环保标+GPSR邮箱care@zuru.com，翻4500155641+11/24-SSCC LABEL一张</t>
  </si>
  <si>
    <t>日期码格式：ZURU INC(BVI) 标准格式 日期：按实际生产日期
Packaging Info: Amazon UK(77673)/DE(77555/92104H)
3. 92104H：92104H KITTYCORN SURPRISE(Norwegian Forest Cat), 1pc/mailbox, 32mailboxes/ctn;MA 3L(13L warning EAN)B收缩膜+其他MA最新配套包装+MA 5L(
23L warning)B 收藏指南+客版邮包盒(UPC#+英法德意西5L警告语+IT/FR/ES环保标+GPSR邮箱care@zuru.com，参考翻单PO#4500155641)；
4. 最迟验货不得晚于2025/12/19;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</si>
  <si>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WM MORRISON SUPERMARKETS
LIMITED</t>
  </si>
  <si>
    <t>MPO03891</t>
  </si>
  <si>
    <t>送货到丹尼时送货单请备
注上:#92104给 Morrison PO# 4500185253 / MEC411-S001展示架组装用</t>
  </si>
  <si>
    <t>日期码按2025年12月17号</t>
  </si>
  <si>
    <t>Product Requirement
Remark: ① 订单的所有测试与样品要求以跟单的要求为准，且为了避免QC验货拆货来不及补货，请准备适量的贴纸和产品备品。此订单数量只作为大货生
产，不包含样板与备品。
② 关于混装展示架，各工厂交子件到最终母件工厂时，务必要 "带卡板出+围好围膜"。
如果没按要求的，请各工厂自行安排人手卸货。
③ 请贵司确保交货数量准确，与收货方交收清楚，如收货方提出任何异常，请立即安排处理解决。
1. 全套MA-1L包装即可
2. 外箱用周转箱即可，每座展示架装: 15pcs ，比例如下（有疑问请提出） ，外箱需要对应的写好箱数，方便收货工厂点数和组装, 送货到丹尼时送货单请备
注上:#92104给 Morrison PO# 4500185253 / MEC411-S001展示架组装用
92104: MUNCHKIN(RARE): HIMALAYAN: PERSIAN: MAINE COON: RAGDOLL: RAGAMUFFIN: NORWEGIAN FOREST CAT = 2: 8: 10: 10: 10: 10: 10
3. 请务必在2025/12/19 前准时送货到丹尼，促销单延期会有巨额罚款，送货前需要提前与丹尼沟通，不要直接配送 。
4. 请准备适量的产品备品，避免到时候QC验货拆货来不及补货。
5.日期码按2025年12月17号 ，显示格式按ZURU 要求的，这里只是提供一个日期参考。
6.出货到丹尼工厂前请确保ZURU QC 有验货以免出货到目的工厂组装后才发现有问题导致整批货错误，如因此导致相关罚款将由引起此问题的工厂负全责。
7.产品包装条码显示为193052064417，注意核查再生产。</t>
  </si>
  <si>
    <t>4500184422-10</t>
  </si>
  <si>
    <t>日期码格式：ZURU INC(BVI) 标准格式 日期：按实际生产日期
Packaging Info: 1. 92104TQ1：MA 3L EAN包装+UPC贴纸+MA PDQ包装+MA 多语收藏指南+进口商贴纸+箱唛，贴纸翻单PO4500158302
Remark: 1.请注意产品包装条形码必须是UPC
2.无第三方验货
3. 92104TQ1：MUNCHKIN(RARE): HIMALAYAN: PERSIAN: MAINE COON: RAGDOLL: RAGAMUFFIN: NORWEGIAN FOREST CAT = 2: 8: 10: 10: 10: 10: 10</t>
  </si>
  <si>
    <t>4500184355-10</t>
  </si>
  <si>
    <t>4500184316-10</t>
  </si>
  <si>
    <t>日期码格式：ZURU INC(BVI) 标准格式 日期：按实际生产日期
Packaging Info: 92104:条码需要用空白贴覆盖，底托用UPC版本（底托上贴2个价格标，价格标及位置翻PO4500163957）
Remark: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*CRD之后2天请及时提供shipment images 供客户批复 ，如未提供照片就直接走柜，有问题由工厂负责 。
*最终出货工厂需要按船务要求为集装箱挂网，如不按要求挂网导致罚款由工厂承担 。</t>
  </si>
  <si>
    <t>FB13918</t>
  </si>
  <si>
    <t>4500184385-70</t>
  </si>
  <si>
    <t>日期码格式：ZURU INC(BVI) 标准格式 日期：按实际生产日期
Packaging Info: 92104TQ4:全套MA-1L包装+客户EAN条码贴一张覆盖ZURU 原条码 （条码贴翻4500139632），1L-ZURU标准客版PDQ， 条码请核对5056296044865，PDQ右上角加数量贴
纸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</si>
  <si>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4500185825-20</t>
  </si>
  <si>
    <t>4500184791-90</t>
  </si>
  <si>
    <t>12/2-进口商贴纸+外箱贴纸</t>
  </si>
  <si>
    <t>日期码格式：ZURU INC(BVI) 标准格式 日期：按实际生产日期
Packaging Info: 
92104TQ1:MA 多语包装+进口商贴纸+箱唛
Remark: 此单有第三方监柜，需要每款多备1套完整物料</t>
  </si>
  <si>
    <t>4500185895-50</t>
  </si>
  <si>
    <t>日期码格式：LOT2552 日期：
Packaging Info: 
3. 92123: "客版 底托（翻4500164587）+一张进口商贴纸（含希腊警语+意大利/希腊布标内容+希腊胶袋警语+意大利环保标志）+一张产品贴纸+一张EAN 4894680
038059 贴纸，贴纸翻4500164587
92104：最新MA 3L EAN收缩膜+最新MA 5L收藏指南+最新MA 5L POLY BAG+最新MA 布标
Remark: 1. 订单出欧洲国家-西班牙，产品不能含有闪粉/微塑料，请确保所有包装都有西班牙环保标。
2. 客人格式日期码 LOT2552，包装（含收缩膜等）/产品/外箱 请保持一致。
3. 新品需提供2套大货样品给客人，客人会签回一套，验货后验货员需要封1套板寄给香港办公室，请多备料。
4. 需要符合欧洲标准不能含有闪粉和微塑料，否则不合法规会有客诉产生。
5. 硼含量需要符合欧洲标准，否则不合法规会有客诉产生
6. 此客户需要第三方验货，请在约三方验货前必须PASS ZURU验货。</t>
  </si>
  <si>
    <t>4500183736-70</t>
  </si>
  <si>
    <t>4500186722-20</t>
  </si>
  <si>
    <t>日期码格式：ZURU INC(BVI) 标准格式 日期：按实际生产日期
Packaging Info: MA UPC PKG(优先1L)，无需加进口商贴纸
9281 清尾阶段， 比例不是平均比例，要按工厂实际库存来出货了
Remark:</t>
  </si>
  <si>
    <t>4500185215-10</t>
  </si>
  <si>
    <t>1/5出</t>
  </si>
  <si>
    <t>A97501-1.12</t>
  </si>
  <si>
    <t>4500185851-10</t>
  </si>
  <si>
    <t>日期码格式：ZURU INC(BVI) 标准格式 日期：按实际生产日期
Packaging Info: 1.92104:MA -1L UPC包装+客人白色Cat.label 1张覆盖ZURU条码; MA指南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92104条码扫描结果应为7662960。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*主拼工厂需要提前准备密网用于装柜，漏掉会导致客人罚款</t>
  </si>
  <si>
    <t>4500184619-40</t>
  </si>
  <si>
    <t>11/27-QR code 贴纸+SSCC label+12/9进口商贴纸+ 客户EAN条码贴纸</t>
  </si>
  <si>
    <t>A97456-1.6</t>
  </si>
  <si>
    <t>4500184619-160</t>
  </si>
  <si>
    <t>4500184485-20</t>
  </si>
  <si>
    <t>11/27-进口商贴纸+UPC条码贴纸</t>
  </si>
  <si>
    <t>日期码格式：LOTDGYYYYMMDD 日期：按实际生产日期
Packaging Info: 
2. 92104： MA 3L EAN包装+进口商贴纸+UPC条码贴纸+MA 5L 收藏指南+箱唛
Remark: 1. 客版日期码要求：LOT+ZURU标准日期码格式。东莞生产的格式：LOTDGYYYYMMDD, DG是东莞拼音首字母，
YYYYMMDD是实际的年月日，例如(LOTDG20240920)
2.
92104：MUNCHKIN(RARE): HIMALAYAN: PERSIAN: MAINE COON: RAGDOLL: RAGAMUFFIN: NORWEGIAN FOREST CAT = 2: 8: 10: 10: 10: 10: 10
4. 此单有第三方监柜，至少多备一套完整的物料用于监柜，请多备料。
5. WM墨西哥防霉的新要求:货物必须在出货主箱和集装箱中按要求放置干燥剂，干燥剂指定品牌干霸
92104：需要在每箱放入4小包干燥剂，每包干燥剂重量2-3g
如走柜货等loading plan 确认后再通知集装箱干燥剂数量
此单将由工厂安排1*40HC，每个HC需要放置20包干燥剂，每包干燥剂1KG</t>
  </si>
  <si>
    <t>92104-S004-3L</t>
  </si>
  <si>
    <t>4500184485-30</t>
  </si>
  <si>
    <t>FB13934</t>
  </si>
  <si>
    <t>4500184385-20</t>
  </si>
  <si>
    <t>Marshalls
PO#533219,SKU
#892596
DC#881-216PCS
,
DC#884-168PCS
,
DC#886-240PCS
,
DC#887-192PCS
,
DC#888-192PCS</t>
  </si>
  <si>
    <t>4500183805-110</t>
  </si>
  <si>
    <t>TJ MAXX
PO#533283,SKU
#170990
DC#891-264PCS
,
DC#894-168PCS
,
DC#896-288PCS
,
DC#897-240PCS
,
DC#898-240PCS</t>
  </si>
  <si>
    <t>4500183809-110</t>
  </si>
  <si>
    <t>斯洛瓦克</t>
  </si>
  <si>
    <t>999-62137</t>
  </si>
  <si>
    <t>4500186548-70</t>
  </si>
  <si>
    <t>12/3-四国语言警告语贴纸</t>
  </si>
  <si>
    <t>日期码格式：ZURU INC(BVI) 标准格式 日期：按实际生产日期
Packaging Info: 
92104TQ4：最新MA 1L UPC版本包装+1 张四国语言警告语贴纸( Czech-Hugarian-Polish-Slovak) +最新MA 5L收藏指南+MA 1L PDQ；
Remark: 1.此单出EU国家，需满足EU测试标准，不含微塑料，无闪粉；
2.产品及包装需要印UKCA图标，包装需要有ZURU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t>
  </si>
  <si>
    <t>A97497-1.12</t>
  </si>
  <si>
    <t>4500185070-80</t>
  </si>
  <si>
    <t>日期码格式：ZURU INC(BVI) 标准格式 日期：按实际生产日期
Packaging Info: 1. 请注意有电池指定品牌：
2. 请确保包装上的条形码是UPC，如果是babyUPC，需要用mother UPC覆盖，如有不一致，请及时提出。谢谢!
92104TQ1 MA 3L EAN包装+MA 多语收藏指南+MA PDQ+进口商贴纸（进口商贴纸同UPC贴纸合并一张）+箱唛
Remark: 
92104TQ1,,MUNCHKIN(RARE): HIMALAYAN: PERSIAN: MAINE COON: RAGDOLL: RAGAMUFFIN: NORWEGIAN FOREST CAT = 2: 8: 10: 10: 10: 10: 10,,</t>
  </si>
  <si>
    <t>4500186619-30</t>
  </si>
  <si>
    <t>4500186619-110</t>
  </si>
  <si>
    <t>INTERTOYS B.V.</t>
  </si>
  <si>
    <t>4500185039-30</t>
  </si>
  <si>
    <t>11/20-款号条码贴纸</t>
  </si>
  <si>
    <t>日期码格式：ZURU INC(BVI) 标准格式 日期：按实际生产日期
Packaging Info: 
92104TQ1:3L MA EAN收缩膜+款号条码贴纸; MA指南/PDQ
Remark: 1. STD配比
2. 出欧洲，微塑料需合规（如item本身不含微塑料 则忽略此要求）</t>
  </si>
  <si>
    <t>4500187228-50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</si>
  <si>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每款都只分1个DC出货，明细如下：
item#92104: Marshalls PO#765819,SKU#899690 DC#882-1008PCS;</t>
  </si>
  <si>
    <t>765820</t>
  </si>
  <si>
    <t>4500187232-50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</si>
  <si>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item#92104: TJ MAXX PO#765820,SKU#178340 DC#891-240PCS, DC#894-192PCS, DC#896-192PCS, DC#897-384PCS, DC#898-192PCS;</t>
  </si>
  <si>
    <t>4500186234-10</t>
  </si>
  <si>
    <t>12/9收到</t>
  </si>
  <si>
    <t>12/12-进口商贴纸+UPC条码贴纸</t>
  </si>
  <si>
    <t>日期码格式：ZURU INC(BVI) 标准格式 日期：按实际生产日期
Packaging Info: 1. 92104TQ1： MA 3L EAN包装+进口商贴纸+UPC条码贴纸+MA 5L 收藏指南+MA PDQ包装+箱唛
Remark: 1. 92104：MUNCHKIN(RARE): HIMALAYAN: PERSIAN: MAINE COON: RAGDOLL: RAGAMUFFIN: NORWEGIAN FOREST CAT = 2: 8: 10: 10: 10: 10: 10
10. 客户有监装要求，每款需要备1pc监装样板</t>
  </si>
  <si>
    <t>4500187838-100</t>
  </si>
  <si>
    <t>进口商贴纸翻4500153788+PDQ数量贴纸</t>
  </si>
  <si>
    <t>日期码格式：ZURU INC(BVI) 标准格式 日期：按实际生产日期
Packaging Info: 
10.92104TQ1：最新MA 3L EAN 版本包装+一张进口商贴纸（含环保标）+MA 5L 收藏指南；（贴纸翻单4500153788）；
Remark: 1.此单出西班牙市场，需满足EU测试标准要求，微塑料需符合EU法规。
2.包装必须要含西班牙环保标和 care@zuru.com 邮箱地址以及CE LOGO；
3.毛绒玩具需要西班牙语言的洗涤说明；
4.电子产品需要WEEE说明书；</t>
  </si>
  <si>
    <t>4500180717-100</t>
  </si>
  <si>
    <t>日期码格式：ZURU INC(BVI) 标准格式 日期：按实际生产日期
Packaging Info: 
92104TQ1-S001: 客版收缩膜(含G Mark, QR code, 阿拉伯警语); 贴纸上的QR code需微信可扫，扫描结果另外通知; UPC条码显示193052064417; 客版PDQ+进口商贴
纸; 客版收藏指南; 客版镭射贴纸；MA 口水胶袋+贴纸；产品年龄3+；
客人箱唛排版，印4面，条码内容193052064417；
92104TQ1-S001: MUNCHKIN(RARE): HIMALAYAN: PERSIAN: MAINE COON: RAGDOLL: RAGAMUFFIN: NORWEGIAN FOREST CAT = 2: 8: 10: 10: 10: 10: 10
Remark:</t>
  </si>
  <si>
    <t>92104TQ1-S001-4</t>
  </si>
  <si>
    <t>4500189510-40</t>
  </si>
  <si>
    <t>黎巴嫩</t>
  </si>
  <si>
    <t>4500189525-40</t>
  </si>
  <si>
    <t>4500180735-110</t>
  </si>
  <si>
    <t>日期码格式：ZURU INC(BVI) 标准格式 日期：按实际生产日期
Packaging Info:
92104TQ1-S001: 客版收缩膜(含G Mark, QR code, 阿拉伯警语); 贴纸上的QR code需微信可扫，扫描结果另外通知; UPC条码显示193052064417; 客版PDQ+进口商贴
纸; 客版收藏指南; 客版镭射贴纸；MA 口水胶袋+贴纸；产品年龄3+；
客人箱唛排版，印4面，条码内容193052064417；
92104TQ1-S001: MUNCHKIN(RARE): HIMALAYAN: PERSIAN: MAINE COON: RAGDOLL: RAGAMUFFIN: NORWEGIAN FOREST CAT = 2: 8: 10: 10: 10: 10: 10
Qatar的订单需要寄样品给客户进行slime测试（产品含slime的每个item分别准备完整的4套样品）（此单#92125/92129TQ1/9283/92104TQ1/9298TQ1/92119需要寄样
）
Remark:</t>
  </si>
  <si>
    <t>4500180758-40</t>
  </si>
  <si>
    <t>3X3IXSEH</t>
  </si>
  <si>
    <t>4500188366-60</t>
  </si>
  <si>
    <t>空白外箱加印ZURU Logo+MADE IN CHINA+SSCC LABEL(客供贴纸），无shippingmark,日期使用ZURU 标准版本。</t>
  </si>
  <si>
    <t>12/19-进口商贴纸翻+SSCC label+UPC 贴纸翻4500155806</t>
  </si>
  <si>
    <t>日期码格式：ZURU INC(BVI) 标准格式 日期：按实际生产日期
Packaging Info: 
3.92104,MA 3L EAN包装+UPC贴纸覆盖原EAN条码入邮包盒+SSCC label，邮包盒图稿跟Amazon 返单4500178034，G;193052067647和B:193052067616 ，92104H ；193
052067654 ，进口商贴纸/UPC贴纸资料跟图稿
Remark: Amazon FOB订单，出口Mexico，外箱最长边不能超过25" （超过了，casepack只能为1），不符合要求的大货，一律不接受。
1.空白外箱加印ZURU Logo+MADE IN CHINA+SSCC LABEL(客供贴纸），无shippingmark,日期使用ZURU 标准版本。SSCC Label显示的是客人自己的item#，SSCC Lab
el 贴在外箱正面的正中间，贴一面即可，跟单订购，贴纸离外箱距必须至少3cm
,每一张SSCC Label都是唯一且有不同流水及条码的，没有损耗，绝对不可贴错，否
则贴错或损坏一张会导致全部都错，千万要注意！
2. 日期码使用ZURU标准版</t>
  </si>
  <si>
    <t>Candy Liu</t>
  </si>
  <si>
    <t>A97565-1.19</t>
  </si>
  <si>
    <t>4500188366-70</t>
  </si>
  <si>
    <t>日期码格式：ZURU INC(BVI) 标准格式 日期：按实际生产日期
Packaging Info: 
3.92104,MA 3L EAN包装+UPC贴纸覆盖原EAN条码入邮包盒+进口商贴纸+SSCC label，邮包盒图稿，92104H UPC 贴纸193052067654跟Amazon 返单4500178034，G;1930
52067647和B:193052067616 UPC 贴纸资料跟翻单4500155806
Remark: Amazon FOB订单，出口Mexico，外箱最长边不能超过25" （超过了，casepack只能为1），不符合要求的大货，一律不接受。
1.空白外箱加印ZURU Logo+MADE IN CHINA+SSCC LABEL(客供贴纸），无shippingmark,日期使用ZURU 标准版本。SSCC Label显示的是客人自己的item#，SSCC Lab
el 贴在外箱正面的正中间，贴一面即可，跟单订购，贴纸离外箱距必须至少3cm
,每一张SSCC Label都是唯一且有不同流水及条码的，没有损耗，绝对不可贴错，否
则贴错或损坏一张会导致全部都错，千万要注意！
2. 日期码使用ZURU标准版</t>
  </si>
  <si>
    <t>92104B-S001-3L</t>
  </si>
  <si>
    <t>4500188366-80</t>
  </si>
  <si>
    <t>4500183616-50</t>
  </si>
  <si>
    <t>FB13921</t>
  </si>
  <si>
    <t>4500186899-80</t>
  </si>
  <si>
    <t>条码贴翻4500139632+PDQ数量贴纸翻4500184385</t>
  </si>
  <si>
    <t>日期码格式：ZURU INC(BVI) 标准格式 日期：按实际生产日期
Packaging Info: "MA布标+客户EAN条码贴纸，+PDQ数量贴纸 条码和PDQ贴纸翻单4500183275
条码请核对
92104TQ4:
全套MA-1L包装+客户EAN条码贴一张覆盖ZURU 原条码 （条码贴翻4500139632），1L-ZURU标准客版PDQ， 条码请核对5056296044865，PDQ右上角加数量贴纸,数量贴
纸翻单PO4500184385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</si>
  <si>
    <t>4500187780-30</t>
  </si>
  <si>
    <t>A97516-1.13</t>
  </si>
  <si>
    <t>4500187780-100</t>
  </si>
  <si>
    <t>4500187280-10</t>
  </si>
  <si>
    <t>92104-S007-PKC</t>
  </si>
  <si>
    <t>长尾巴猫（6pcs胶袋装）</t>
  </si>
  <si>
    <t>12/29第三方（验25%大货）</t>
  </si>
  <si>
    <t>12/9-客版产品条码贴纸+12/10-外箱贴纸</t>
  </si>
  <si>
    <t>日期码格式：ZURU INC(BVI) 标准格式 日期：按实际生产日期
Packaging Info: 1. 出口美国，ZURU标准UPC MA包装( 优先1L） + 客版产品条码贴纸+客版内袋+外箱贴, AW请使用最新artwork，跟单提供AW，工厂自行订购.
2.产品及包装上都要有日期码，日期码是一致的（但不能为周末)，格式为ZURU标准格式。
Remark: 3. 配比：
92104-S007-PKC-RAINBOCORNS-KITTYCORN SURPRISE-SERIES 9-PLUSH SMALL,6PCS/POLYBAG,24PCS/4POLYBAG/CTN
MUNCHKIN(RARE): HIMALAYAN: PERSIAN: MAINE COON: RAGDOLL: RAGAMUFFIN: NORWEGIAN FOREST CAT = 2: 8: 10: 10: 10: 10: 10
INNER POLYBAG的美国标准警示语内容为：
WARNING: TO AVOID DANGER OF SUFFOCATION, KEEP THIS BAG AWAYFROM BABIES AND CHILDREN. DO NOT USE IN CRIBS, BEDS, CARRIAGES OR PLAY PENS. THIS B
AG IS NOT A TOY. KNOT UP BAG BEFORE THROWING AWAY.
4.#92104-S007-PKC需在2025年12月25日前完成25%大货，12月26日早上进行ITS的25%大货抽样验货。100%大货可以在2026年1月6日前完成。收到PASS的测试报告后，
才可安排入仓出货。
25%抽样由客人指定的第三方ITS进行，现场在大货中抽样，具体要求如下面A,B,C,D所列：
A.样板抽取12pcs/色（带包装，大货中抽取）。
B.产品上有涂层的，每种涂层需要提供两张A4大小喷满同种油漆的底材（油漆喷厚一些避免用料不够，否则需客批才能另外补料给实验室）。
C.如有液体材料，每种需提供50ml。
D.抽样前一天会将测式申请表发出，需打印出来随抽样一起寄给ITS。
5. 大货样板需求：
每款一箱大货满箱样（产品须带客版贴纸+外箱贴纸，并带大货外箱）+ 每款每色各4套大货样（带客版贴纸包装）寄给深圳跟单Blanche， 大货样需在12/26日前寄
出，客户确认后方可出货。
Remark：满箱样/大货样以及测试样板数量不包含在订单数量里，做货需预备所有样板数量。</t>
  </si>
  <si>
    <t>92104-S007</t>
  </si>
  <si>
    <t>4500188305-80</t>
  </si>
  <si>
    <t>日期码格式：ZURU INC(BVI) 标准格式 日期：按实际生产日期
Packaging Info: 
4. 92104TQ1: MA_1L UPC版本包装（收缩膜和收藏指南, MA首选1L，如无1L可用多语且含英语的配套多语包装）；MUNCHKIN(RARE): HIMALAYAN: PERSIAN: MAINE CO
ON: RAGDOLL: RAGAMUFFIN: NORWEGIAN FOREST CAT = 2: 8: 10: 10: 10: 10: 10;
Remark: 1. 箱唛不可出现任何手写内容（箱数除外），重量与实际一致且不可手写；
2. 此单去澳大利亚，请按相应澳新标准生产并满足当地法规要求;
3. ZURU QC验货。
4. 产品和包装上要有tracking label信息：日期码格式为Zuru标准格式；</t>
  </si>
  <si>
    <t>4500188305-140</t>
  </si>
  <si>
    <t>4500188305-190</t>
  </si>
  <si>
    <t>FB13940</t>
  </si>
  <si>
    <t>4500187663-30</t>
  </si>
  <si>
    <t>日期码格式：ZURU INC(BVI) 标准格式 日期：按实际生产日期
Packaging Info:
92104TQ4:全套MA-1L包装+客户EAN条码贴一张覆盖ZURU 原条码 （条码贴翻4500139632），1L-ZURU标准客版PDQ， 条码请核对5056296044865，PDQ数量贴纸（翻单
：4500184385）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</si>
  <si>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4500188835-30</t>
  </si>
  <si>
    <t>日期码格式：ZURU INC(BVI) 标准格式 日期：按实际生产日期
Packaging Info: 􏁬 MA UPC 英语包装（优先1L英语版本，或者3L/5L含英语都可）
Remark:
#92104:MUNCHKIN(RARE): HIMALAYAN: PERSIAN: MAINE COON: RAGDOLL: RAGAMUFFIN: NORWEGIAN FOREST CAT = 2: 8: 10: 10: 10: 10: 10</t>
  </si>
  <si>
    <t>W0750693</t>
  </si>
  <si>
    <t>4500188455-30</t>
  </si>
  <si>
    <t>MB190-92104-S002</t>
  </si>
  <si>
    <t>混装（92104+92120各12pcs）</t>
  </si>
  <si>
    <t>1/12号送华康混装</t>
  </si>
  <si>
    <t>12/15收到</t>
  </si>
  <si>
    <t>12/15-价格贴纸</t>
  </si>
  <si>
    <t>日期码格式：ZURU INC(BVI) 标准格式 日期：按实际生产日期
Packaging Info: 1. MA UPC版包装，优先1L，需要加贴价格贴纸,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
MB190: #92120 Axolotlcorn Series 1-12pcs +#92104 Kitty Corn Series 9-12pcs, total 24pcs Mix in one CTN
兴信92104 完成生产后送到华康组装出货. 兴信要完成92104价格贴纸的粘贴。
4. 9560留意用新的价格贴纸位置， 不能贴在产品上</t>
  </si>
  <si>
    <t>4500189283-60</t>
  </si>
  <si>
    <t>日期码格式：ZURU INC(BVI) 标准格式 日期：按实际生产日期
Packaging Info:
其他items-MA 3L EAN package+1pc importer label
待提供整单的贴纸资料;
Remark:
92104-MUNCHKIN(RARE): HIMALAYAN: PERSIAN: MAINE COON: RAGDOLL: RAGAMUFFIN: NORWEGIAN FOREST CAT = 2: 8: 10: 10: 10: 10: 10</t>
  </si>
  <si>
    <t>4500187657-20</t>
  </si>
  <si>
    <t>4500189626-40</t>
  </si>
  <si>
    <t>日期码格式：ZURU INC(BVI) 标准格式 日期：按实际生产日期
Packaging Info:
此单有客供价格贴纸，预计1/5前提供
92104TQ1（NB版）：MA B版3L+13L警语EAN收缩膜，MA B版 5L+23L警语收藏指南，MA C版5L+9L警语史莱姆袋子，MA B版 PDQ
Remark: 1.此单出德国，需要满足Zuru Standard欧洲标准测试要求；微塑料需符合法规；化学品无硼无香；电池符合欧洲法规要求(如有)。所有包装警语部分需含德语警语
。
2.请准时完货，推期会有罚款。请验货后马上上传验货报告和图片，需提供ZURU标准验货报告和验货图片给客人确认后才可以安排出货。
3.所有出往GAS市场(德国/奥地利/瑞士)的电子产品身上需要加字唛，为ZURU FRANCE 地址，需跟包装上的地址一致 （如该电子产品无法打上字唛但是可以在产品上
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4.所有出往德国订单的电子产品需增加一张客版WEEE声明说明书，区分带电池和不带电池版本, 如已做客版说明书可忽略此要求。
5.大货样品一套
6.STD配比</t>
  </si>
  <si>
    <t>4500188248-110</t>
  </si>
  <si>
    <t>1/6-UPC贴纸</t>
  </si>
  <si>
    <t xml:space="preserve">日期码格式：ZURU INC(BVI) 标准格式 日期：按实际生产日期
Packaging Info: 请确保包装上的条形码是UPC，如果是babyUPC，需要用mother UPC覆盖，如有不一致，请及时提出。谢谢!
92104TQ1,,MA 3L EAN包装+UPC贴纸+MA 多语收藏指南+MA PDQ+箱唛,,
Remark: </t>
  </si>
  <si>
    <t>4500188900-60</t>
  </si>
  <si>
    <t xml:space="preserve">日期码格式：ZURU INC(BVI) 标准格式 日期：按实际生产日期
Packaging Info:
92104TQ1,,MA 3L EAN包装+UPC贴纸+MA 多语收藏指南+MA PDQ+进口商贴纸+箱唛,,
Remark: </t>
  </si>
  <si>
    <t>5NFXK1QX</t>
  </si>
  <si>
    <t>4500189841-10</t>
  </si>
  <si>
    <t>邮包盒返4500178034</t>
  </si>
  <si>
    <t>1/31-2/4出</t>
  </si>
  <si>
    <t>进口商贴纸/UPC贴纸翻4500188366</t>
  </si>
  <si>
    <t>1/14-SSCC label</t>
  </si>
  <si>
    <t>日期码格式：ZURU INC(BVI) 标准格式 日期：按实际生产日期
Packaging Info: 1.92104,MA 3L EAN包装+UPC贴纸覆盖原EAN条码入邮包盒+SSCC label，邮包盒图稿跟Amazon 返单4500178034，G;193052067647,进口商贴纸/UPC贴纸资料跟翻单45
00188366
Remark: Amazon FOB订单，出口Mexico，外箱最长边不能超过25" （超过了，casepack只能为1），不符合要求的大货，一律不接受。
1.空白外箱加印ZURU Logo+MADE IN CHINA+SSCC LABEL(客供贴纸），无shippingmark,日期使用ZURU 标准版本。SSCC Label显示的是客人自己的item#，SSCC Lab
el 贴在外箱正面的正中间，贴一面即可，跟单订购，贴纸离外箱距必须至少3cm
,每一张SSCC Label都是唯一且有不同流水及条码的，没有损耗，绝对不可贴错，否
则贴错或损坏一张会导致全部都错，千万要注意！
2. 日期码使用ZURU标准版</t>
  </si>
  <si>
    <t>4500181047-130</t>
  </si>
  <si>
    <t>10/17-红色logo贴纸+进口商贴纸</t>
  </si>
  <si>
    <t>日期码格式：ZURU INC(BVI) 标准格式 日期：按实际生产日期
Packaging Info: 1. 92104TQ1：MA 3L EAN包装+MA PDQ包装+MA多语收藏指南+1个小的红色logo贴纸+进口商贴纸+箱唛
Remark: 1. 集装箱及装柜要求：集装箱不能有破洞；不能太脏
2.每个item需要放1整箱在每个集装箱门口
3.装柜的时候要前、中、后拍照
4. 此单有监柜要求，每款需要准备1pc监柜样板用于监装
4. 92104TQ1：MUNCHKIN(RARE): HIMALAYAN: PERSIAN: MAINE COON: RAGDOLL: RAGAMUFFIN: NORWEGIAN FOREST CAT = 2: 8: 10: 10: 10: 10: 10</t>
  </si>
  <si>
    <t>4500181047-270</t>
  </si>
  <si>
    <t>4500181047-10</t>
  </si>
  <si>
    <t>ANSALDO CHILE</t>
  </si>
  <si>
    <t>2026-HKC066</t>
  </si>
  <si>
    <t>4500189773-10</t>
  </si>
  <si>
    <t>1/13-进口商贴纸+UPC贴纸</t>
  </si>
  <si>
    <t>PO0001591</t>
  </si>
  <si>
    <t>4500189941-120</t>
  </si>
  <si>
    <t>12/26-进口商贴纸+1/9UPC贴纸</t>
  </si>
  <si>
    <t>日期码格式：ZURU INC(BVI) 标准格式 日期：按实际生产日期
Packaging Info: 出加拿大
每款产品都需要加进口商贴纸
Zuru验货.日期跟踪码：产品外包装及产品本身都必须有日期跟踪码，ZURU标准格式日期码
Remark:
92104TQ1： MA 3L 加UPC贴纸</t>
  </si>
  <si>
    <t>4500190045-30</t>
  </si>
  <si>
    <t>1/6-进口商贴纸+UPC贴纸</t>
  </si>
  <si>
    <t>日期码格式：ZURU INC(BVI) 标准格式 日期：按实际生产日期
Packaging Info: 
3. 92104TQ1： MA 3L EAN包装+进口商贴纸+UPC条码贴纸+MA 5L 收藏指南+MA PDQ包装+箱唛
所有带电产品的保证书是通用的
Remark:
3. 92104：MUNCHKIN(RARE): HIMALAYAN: PERSIAN: MAINE COON: RAGDOLL: RAGAMUFFIN: NORWEGIAN FOREST CAT = 2: 8: 10: 10: 10: 10: 10</t>
  </si>
  <si>
    <t>TOYNOVA GMBH</t>
  </si>
  <si>
    <t>BEZUR2601</t>
  </si>
  <si>
    <t>4500190188-50</t>
  </si>
  <si>
    <t>邮包盒翻4500175043</t>
  </si>
  <si>
    <t>1/4-空白贴纸+EAN条码贴纸</t>
  </si>
  <si>
    <t>日期码格式：ZURU INC(BVI) 标准格式 日期：按实际生产日期
Packaging Info:
92104: 客版邮包盒(翻单:4500175043)+空白贴纸覆盖亚马逊款号+EAN条码贴纸+ MA C版EAN收缩膜+BABY EAN 条码贴纸 + MA D版5L+9Lpolybg +MA C版收藏指南5L+2
3L+其他物料用MA 即可
92104B: 4894680037847
92104D: 4894680037854
Remark: "1. 出口欧洲，微塑料需符合法规；
2.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4. 此单需要在CRD前一天预约ZURU QC验货,验货ok才能出货
5. 需准时完成生产，推期出货会有罚款。"</t>
  </si>
  <si>
    <t>4500190188-60</t>
  </si>
  <si>
    <t>4500190245-10</t>
  </si>
  <si>
    <t>布偶猫（胶袋单个装）</t>
  </si>
  <si>
    <t>1/6-进口商贴纸+UPC条码贴纸</t>
  </si>
  <si>
    <t>日期码格式：ZURU INC(BVI) 标准格式 日期：按实际生产日期
Packaging Info: 1. 92104G： MA 3L EAN包装+进口商贴纸+baby UPC条码贴纸+MA 5L 收藏指南+箱唛
除了9296和92106无需polybag外，其他剩余item都要按照单个产品入polybag胶袋后再装箱出货，胶袋厚度要求要大于0.038mm，袋子需打孔，胶袋需封口
Remark:</t>
  </si>
  <si>
    <t>4500190245-20</t>
  </si>
  <si>
    <t>褴褛猫（胶袋单个装）</t>
  </si>
  <si>
    <t>日期码格式：ZURU INC(BVI) 标准格式 日期：按实际生产日期
Packaging Info: 1. 92104D： MA 3L EAN包装+进口商贴纸+baby UPC条码贴纸+MA 5L 收藏指南+箱唛
除了9296和92106无需polybag外，其他剩余item都要按照单个产品入polybag胶袋后再装箱出货，胶袋厚度要求要大于0.038mm，袋子需打孔，胶袋需封口
Remark:</t>
  </si>
  <si>
    <t>4500189850-60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</si>
  <si>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item#92104: Marshalls PO#951854,SKU#903594 DC#881-216PCS, DC#884-168PCS, DC#886-216PCS, DC#887-192PCS, DC#888-216PCS</t>
  </si>
  <si>
    <t>951857</t>
  </si>
  <si>
    <t>4500189851-60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</si>
  <si>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item#92104: TJ MAXX PO#951857,SKU#182200 DC#891-264PCS, DC#894-192PCS, DC#896-168PCS, DC#897-336PCS, DC#898-240PCS</t>
  </si>
  <si>
    <t>4500190462-10</t>
  </si>
  <si>
    <t>4500190510-70</t>
  </si>
  <si>
    <t>日期码格式：ZURU INC(BVI) 标准格式 日期：按实际生产日期
Packaging Info: 
7.92104TQ1：最新MA 3L EAN 版本包装+一张进口商贴纸（含ES环保标）+MA 5L 收藏指南；
备注：整单CRD为2/6，因价格有效期维护限制，9296暂开到12月底，后续更新PO；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5.毛绒玩具需要西班牙语言的洗涤说明；
6.此单LC条款，延迟出货有罚款；
7.需要准备每款1套大货样，请注意备料。</t>
  </si>
  <si>
    <t>4500189593-10</t>
  </si>
  <si>
    <t xml:space="preserve">日期码格式：ZURU INC(BVI) 标准格式 日期：按实际生产日期
Packaging Info: MA 1L包装+进口商贴纸+箱唛
Remark: </t>
  </si>
  <si>
    <t>日期码格式：ZURU INC(BVI) 标准格式 日期：按实际生产日期
Packaging Info: 
2.92104TQ1:MA1L UPC条码收缩膜+1张进口商贴纸+MAPDQ+MA5L-23L收藏指南+MA布标/贴纸+MAPDQ
Remark: 1. 请备多1套大货样品；
2. 此票大货需符合EU市场法规；
3. 此票使用UPC条码；</t>
  </si>
  <si>
    <t>4500190081-70</t>
  </si>
  <si>
    <t>日期码格式：ZURU INC(BVI) 标准格式 日期：按实际生产日期
Packaging Info: 1.优先多语 MA UPC或者3L/5L MA EAN 包装+进口商贴纸
2.请确保包装上的条形码是UPC，如果是babyUPC、需要用mother UPC覆盖，如有不一致，请及时提出。谢谢!
Remark: 
#92104TQ1:"MA 3L EAN包装+UPC贴纸+MA 多语收藏指南+MA PDQ+进口商贴纸+箱唛</t>
  </si>
  <si>
    <t>4500189819-30</t>
  </si>
  <si>
    <t>4500189819-80</t>
  </si>
  <si>
    <t>4500189819-120</t>
  </si>
  <si>
    <t>4500189819-160</t>
  </si>
  <si>
    <t>4500191213-10</t>
  </si>
  <si>
    <t>日期码格式：ZURU INC(BVI) 标准格式 日期：按实际生产日期
Packaging Info: 1. ZURU 标准日期码格式，
2. 无第三方测试和验货，ZURU 内部QC验货即可出货
Remark: 3. 优先 MA 1L UPC包装;
4. 纸箱印ZURU LOGO，出口美国；</t>
  </si>
  <si>
    <t>999-62153</t>
  </si>
  <si>
    <t>4500189742-60</t>
  </si>
  <si>
    <t>客人减少数量3000</t>
  </si>
  <si>
    <t>四国语言警告语贴纸翻4500186548</t>
  </si>
  <si>
    <t>日期码格式：ZURU INC(BVI) 标准格式 日期：按实际生产日期
Packaging Info: 
92104TQ4: 最新MA 1L UPC版本包装+1 张四国语言警告语贴纸( Czech-Hugarian-Polish-Slovak) +最新MA 5L收藏指南+客版 1L 版PDQ (2Facing4pcs/PDQ) 翻单450
0171042；
UPC#193052064417，请先检查包装条码是否正确再安排做货
Remark: 1.此单出欧洲国家，需满足EU测试标准，微塑料需满足EU法规要求；
2.产品及包装需要印CE &lt;(&gt;&amp;&lt;)&gt; 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
7.货物不能用打包带缠绕外箱，否则会影响目的港派送及可能产生额外的拆打包带费用</t>
  </si>
  <si>
    <t>PO 777 1MAR26</t>
  </si>
  <si>
    <t>4500187028-70</t>
  </si>
  <si>
    <t>日期码格式：ZURU INC(BVI) 标准格式 日期：按实际生产日期
Packaging Info: MA 1L UPC最新包装+ MA PDQ（如果有的话)+其他MA 包装，MA 指南/说明书（如果有的话），请先核对条码无误后安排，配比按MA
92104TQ1-S003:193052064417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
黑白说明书</t>
  </si>
  <si>
    <t>INT. ZURU 2026 Q1</t>
  </si>
  <si>
    <t>4500191314-40</t>
  </si>
  <si>
    <t>日期码格式：ZURU INC(BVI) 标准格式 日期：按实际生产日期
Packaging Info: MA UPC包装(优先1L)，无需加贴纸
Remark:
92104-MUNCHKIN(RARE): HIMALAYAN: PERSIAN: MAINE COON: RAGDOLL: RAGAMUFFIN: NORWEGIAN FOREST CAT = 2: 8: 10: 10: 10: 10: 10</t>
  </si>
  <si>
    <t>4I915PAR</t>
  </si>
  <si>
    <t>4500190813-10</t>
  </si>
  <si>
    <t>3/22-3/26出</t>
  </si>
  <si>
    <t>ES环保标+UPC#+GPSR邮箱care@zuru.com翻4500173446+1/27-SSCC外箱贴纸</t>
  </si>
  <si>
    <t>日期码格式：ZURU INC(BVI) 标准格式 日期：按实际生产日期
Packaging Info: Amazon UK: PO#5HR1R8JN
Amazon DE: PO#4I915PAR
Amazon DE(92104H)
2. 92104H:92104H KITTYCORN SURPRISE(Norwegian Forest Cat), 1pc/mailbox, 32mailboxes/ctn;MA 3L(13L warning EAN)B收缩膜+其他MA最新配套包装+MA 5L(
23L warning)B 收藏指南+客版邮包盒(UPC#+英法德意西5L警告语+IT/FR/ES环保标+GPSR邮箱care@zuru.com+西班牙洗涤说明，参考翻单PO#4500190053)
3. 验货时间不迟于2026/3/16.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</si>
  <si>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2FSZI8CS</t>
  </si>
  <si>
    <t>4500191206-10</t>
  </si>
  <si>
    <t>邮包盒翻单4500175051</t>
  </si>
  <si>
    <t>日期码格式：ZURU INC(BVI) 标准格式 日期：按实际生产日期
Packaging Info: 出口加拿大，包装需要至少2/3L UPC版，无硼版本。
#92104 :MA 3L B版本+邮包盒,邮包盒图稿跟翻单#4500175051。需要混入稀有款，常规款：稀有款=58：2.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</si>
  <si>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2FI8DFVP</t>
  </si>
  <si>
    <t>4500191206-20</t>
  </si>
  <si>
    <t>2IA7X21N</t>
  </si>
  <si>
    <t>4500190063-10</t>
  </si>
  <si>
    <t>邮包盒翻4500175051</t>
  </si>
  <si>
    <t>日期码格式：ZURU INC(BVI) 标准格式 日期：按实际生产日期
Packaging Info: #92104 :MA 3L B版本+邮包盒,邮包盒图稿跟翻单#4500175051。需要混入稀有款，常规款：稀有款=58：2.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</si>
  <si>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74YNWWWR</t>
  </si>
  <si>
    <t>4500190063-20</t>
  </si>
  <si>
    <t>4AB85BMT</t>
  </si>
  <si>
    <t>4500190063-30</t>
  </si>
  <si>
    <t>57WBHNQI</t>
  </si>
  <si>
    <t>4500190063-40</t>
  </si>
  <si>
    <t>3STUDQKT</t>
  </si>
  <si>
    <t>4500190063-50</t>
  </si>
  <si>
    <t>3W8LG6TU</t>
  </si>
  <si>
    <t>4500190063-60</t>
  </si>
  <si>
    <t>7UPKSA3M</t>
  </si>
  <si>
    <t>4500190053-10</t>
  </si>
  <si>
    <t>1/19-SSCC LABE</t>
  </si>
  <si>
    <t>日期码格式：ZURU INC(BVI) 标准格式 日期：按实际生产日期
Packaging Info: Amazon DE（92104H）-7UPKSA3M
2. 92104H：92104H KITTYCORN SURPRISE(Norwegian Forest Cat), 1pc/mailbox, 32mailboxes/ctn;MA 3L(13L warning EAN)B收缩膜+其他MA最新配套包装+MA 5L(
23L warning)B 收藏指南+客版邮包盒(UPC#+英法德意西5L警告语+IT/FR/ES环保标+GPSR邮箱care@zuru.com+新FR/DK地址+西班牙语洗涤说明）；
最迟验货不得晚于2025/2/27;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</si>
  <si>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4500184740-30</t>
  </si>
  <si>
    <t>警语贴纸翻500149853</t>
  </si>
  <si>
    <t>日期码格式：ZURU INC(BVI) 标准格式 日期：按实际生产日期
Packaging Info: 
92104: 最新MA 1L收缩膜+德语callout及警语贴纸(含EAN条码)+5L 收藏指南/Polybag/贴纸+MA 布标 （全部资料翻单#4500149853）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 标准配比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新地址：ZURU France 33 rue Paul Meurice 75020 Paris, France
旧地址：ZURU France 1/3, Rue d'Argenteuil 95210 SAINT-GRATIEN, FRANCE
12. 所有出往GAS市场(德国/奥地利/瑞士)的电子产品需增加一张欧洲通用WEEE声明说明书，区分带电池和不带电池版本, 如已做客版说明书可忽略此要求。</t>
  </si>
  <si>
    <t>W0754362</t>
  </si>
  <si>
    <t>4500190547-10</t>
  </si>
  <si>
    <t>2/26送河源混装</t>
  </si>
  <si>
    <t>1/8-价格贴纸+外箱条码贴纸</t>
  </si>
  <si>
    <t>日期码格式：ZURU INC(BVI) 标准格式 日期：按实际生产日期
Packaging Info: 1. MA 优先1L UPC版包装,需要加贴价格贴纸,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2026/03/06
2. ZURU QC验货，无测试。
3. 产品配比按照MA标准配比执行。</t>
  </si>
  <si>
    <t>4500190606-20</t>
  </si>
  <si>
    <t>进口商贴纸翻4500189773</t>
  </si>
  <si>
    <t>日期码格式：ZURU INC(BVI) 标准格式 日期：按实际生产日期
Packaging Info:
92104TQ1:MA 多语包装+进口商贴纸+箱唛,进口商贴纸翻单PO4500189773
Remark:</t>
  </si>
  <si>
    <t>4500191234-30</t>
  </si>
  <si>
    <t>92104B-S002-PKC</t>
  </si>
  <si>
    <t>长尾巴猫（单个胶袋装）</t>
  </si>
  <si>
    <t>日期码格式：ZURU INC(BVI) 标准格式 日期：按实际生产日期
Packaging Info:
3. 92104B： MA 3L EAN包装+进口商贴纸+baby UPC条码贴纸+MA 5L 收藏指南+箱唛
Remark: 
92104都要按照单个产品入polybag胶袋后再装箱出货，胶袋厚度要求要大于
0.038mm，袋子需打孔，胶袋需封口</t>
  </si>
  <si>
    <t>4500191577-40</t>
  </si>
  <si>
    <t>日期码格式：ZURU INC(BVI) 标准格式 日期：按实际生产日期
Packaging Info: 77782GQ1:MA 多语包装（用77711的收缩膜）+客版收藏指南+客版PDQ+进口商贴纸+UPC贴纸+箱唛
其余item：MA 多语 包装+进口商贴纸+UPC贴纸+箱唛
Remark:</t>
  </si>
  <si>
    <t>4500192991-30</t>
  </si>
  <si>
    <t>2/3收到</t>
  </si>
  <si>
    <t>2/28-进口商贴纸</t>
  </si>
  <si>
    <t>日期码格式：ZURU INC(BVI) 标准格式 日期：按实际生产日期
Packaging Info: 1. 包装
92104TQ1：英文MA包装 (UPC版本，首选1L，无1L可用多L含英语) + 1张进口商贴纸；
2. 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</si>
  <si>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 xml:space="preserve">4500192991-90 </t>
  </si>
  <si>
    <t>4500192991-140</t>
  </si>
  <si>
    <t>4500192991-200</t>
  </si>
  <si>
    <t>422188 / 00</t>
  </si>
  <si>
    <t>4500189376-20</t>
  </si>
  <si>
    <t>3/9-警语贴纸</t>
  </si>
  <si>
    <r>
      <rPr>
        <sz val="14"/>
        <color rgb="FF2727F0"/>
        <rFont val="宋体"/>
        <charset val="0"/>
      </rPr>
      <t>日期码格式：ZURU INC(BVI) 标准格式 日期：按实际生产日期
Packaging Info: 9298TQ1-S002: MA C版 3L +23L EAN 收缩膜+价格贴纸+MA B版5L收藏指南+MA C 版Polybag+MA PDQ
92104TQ1-S002: MA B版 3L +13L EAN 收缩膜+价格贴纸+</t>
    </r>
    <r>
      <rPr>
        <sz val="14"/>
        <color rgb="FFFF0000"/>
        <rFont val="宋体"/>
        <charset val="0"/>
      </rPr>
      <t>多语警语贴纸+MA B版5L收藏指南+MA B 版Polybag+MA PDQ</t>
    </r>
    <r>
      <rPr>
        <sz val="14"/>
        <color rgb="FF2727F0"/>
        <rFont val="宋体"/>
        <charset val="0"/>
      </rPr>
      <t xml:space="preserve">
7132-S001: MA 3L+23L EAN 彩盒+价格贴纸+WEEE 不带电池走货 B版通用30L 说明书
Remark: "出口欧洲，微塑料需符合法规；
1.所有出往GAS市场(德国/奥地利/瑞士)的电子产品身上需要加字唛，为ZURU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ZURU France 33 rue Paul Meurice 75020 Paris, France
2.裝櫃必須按TPND順序 (條形碼貼紙或正嘜必須要朝外向車門外)
3.柜子需要挂网，柜门处需要每款产品放一箱以便被海关抽验
4 需要客户放货后才能走货。
5 晚交货会有罚金，请务必按时完货
6.所有出往欧洲订单的电子产品需增加一张客版 B版 WEEE声明说明书，区分带电池(WEEE 带电池走货 B版 通用30L 说明书)和不带电池版本(WEEE 不带电池走货
B版 通用30L 说明书)"</t>
    </r>
  </si>
  <si>
    <t>4500191880-20</t>
  </si>
  <si>
    <t>日期码格式：ZURU INC(BVI) 标准格式 日期：按实际生产日期
Packaging Info: 92104TQ1:MA 多语包装+UPC贴纸+箱唛
Remark:</t>
  </si>
  <si>
    <t>4500192711-50</t>
  </si>
  <si>
    <t>4/13出</t>
  </si>
  <si>
    <t>2/6收到</t>
  </si>
  <si>
    <t>收缩膜威警告语贴纸翻4500169371+Slime警告语贴纸翻4500179713</t>
  </si>
  <si>
    <t>日期码格式：ZURU INC(BVI) 标准格式 日期：按实际生产日期
Packaging Info: 
5.92104TQ2:MA_B_3L(Warning 13L)_EAN版收缩膜+丹麦瑞典芬兰挪威警告语贴纸(贴纸和位置图翻ICA PO#4500169371)+MA_B_5L(warning 23L)收藏指南+MA_C_5L(wa
rning 9L) Slime Polybag+丹麦瑞典芬兰挪威爱沙尼亚警告语贴纸贴在袋子上(贴纸和位置图翻K􀃤rkk􀃤inePn O#4500179713)+MA PDQ+MA 布标/贴纸/吊牌+MA B版PDQ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 and/or Bisfenol成分
7.产品条码如下: 请先检查条码是否正确再安排做货，如有问题请告知
ZURU ITEM#&lt;(&gt;&amp;&lt;)&gt;EAN
92104TQ2-S002-NB:4894680033542</t>
  </si>
  <si>
    <t>4500193594-40</t>
  </si>
  <si>
    <t>日期码格式：ZURU INC(BVI) 标准格式 日期：按实际生产日期
Packaging Info: MA UPC包装(优先1L)+进口商贴纸,待提供贴纸资料;
注意92104是客版spec,每个产品外面需要 单价加个透明封口袋子;
Remark:
92104-MUNCHKIN(RARE): HIMALAYAN: PERSIAN: MAINE COON: RAGDOLL: RAGAMUFFIN: NORWEGIAN FOREST CAT = 2: 8: 10: 10: 10: 10: 10</t>
  </si>
  <si>
    <t>4500191650-30</t>
  </si>
  <si>
    <t>4500191650-120</t>
  </si>
  <si>
    <t>4500194168-120</t>
  </si>
  <si>
    <t>W0762195</t>
  </si>
  <si>
    <t>4500194715-10</t>
  </si>
  <si>
    <t>4/9号送华康混装</t>
  </si>
  <si>
    <t>3/10收到</t>
  </si>
  <si>
    <t>日期码格式：ZURU INC(BVI) 标准格式 日期：按实际生产日期
Packaging Info: 1. MA 优先1L UPC版本包装,需要加贴价格贴纸,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t>
  </si>
  <si>
    <t>60X694224</t>
  </si>
  <si>
    <t>4500195786-10</t>
  </si>
  <si>
    <t>6/1出</t>
  </si>
  <si>
    <t>日期码格式：ZURU INC(BVI) 标准格式 日期：按实际生产日期
Packaging Info: 1. 包材：ZURU MA UPC 版本，出口美国；
#9548 用新包装
Remark: 2. 日期跟踪码：ZURU标准格式日期码，产品包装及产品本身都必须有ZURU标准格式日期码，并且确保两者信息保持一致(请自行调整具体年月日生产期，但不能为
周末）。
PS: 毛绒款产品包装和布标上日期码可以不一致，但需提前提供照片给到我们找客户特批出货.
3. 大货样
#92104TQ2签样同旧单#4500169184,但如订单最终出货有物料变更，须提前告知跟单决定是否重新寄签样。
样板一套我们将给到美国HEB，两套寄到以下深圳利丰地址，到时利丰会回签一套用于第三方100%大货验货。
回签的样板工厂需要长期保存好，只要产品没更新每次的第三方验货都是用这套样板做参考不再走客户签样流程。
* 一套样板寄到以下地址
深圳雨禾伟业实业有限公司
地址：广东省深圳市罗湖区东门南路1006号文锦渡口岸大厦B栋7楼
收件人：Elsa
电话：0755 6688 1988 Ext3337
*2套样板寄到以下地址（带散件产品，散件需寄齐）：
Li Fung　
深圳市福田区绒花路8号深福保大厦附楼3楼。
收件人： Yoland Dai　电话：+0755 8825 3756
4. 验货+ 抽板 （同一天进行）
#92104TQ2；预约4月21日；#7154预约4月29日第三方（利丰）到工厂做100%大货现场验货和抽板，验货需打印EPM出来跟客户回签样板供第三方验货参考。
PS:EPM是跟单提供。#92104TQ2 毛绒款在华登厂验货。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#7154-S003-ROBO ALIVE-WILDLIFE-SERIES 2-Mix Spider And Cockroach Gitd-12PCS/CTN
7151 S2 SPIDER GITD:6PCS;
7152 S2 COCKROACH GITD:6PCS;
6. ZURU QA 验货时需拍齐每款角色的产品和产品包装上的日期码照片（供实验室review）</t>
  </si>
  <si>
    <t>4500195859-50</t>
  </si>
  <si>
    <t>警告语贴纸翻4500169371 + Slime警告语贴纸翻4500179713</t>
  </si>
  <si>
    <t>日期码格式：ZURU INC(BVI) 标准格式 日期：按实际生产日期
Packaging Info: 
5. 92104TQ2: MA_B_3L(Warning 13L)_EAN版收缩膜+丹麦瑞典芬兰挪威警告语贴纸(贴纸和位置图翻ICA PO#4500169371)+MA_B_5L(warning 23L)收藏指南+MA_C_5L(w
arning 9L) Slime Polybag+丹麦瑞典芬兰挪威爱沙尼亚警告语贴纸贴在袋子上(贴纸和位置图翻K􀃤rkk􀃤inePn O#4500179713)+MA PDQ+MA 布标/贴纸/吊牌+MA B版PDQ
Remark: 1. 包装如含PVC,请改为PET
2. 产品/包装要求无硼无香；
3. 出欧洲，微塑料需合规。
4.带电池出货的产品所用到的电池需要符合欧洲电池新规(EU) 2023-1542
5.产品/包装不含PFAS and/or Bisfenol成分, 以及不含石棉成分
6. 产品条码如下: 请先检查条码是否正确再安排做货，如有问题请告知:
92104TQ2-S002-NB:4894680033542</t>
  </si>
  <si>
    <t>4500197857-90</t>
  </si>
  <si>
    <t>日期码格式：ZURU INC(BVI) 标准格式                  日期：按实际生产日期
Packaging Info: MA PKG , 优先1L
Remark: 15756UQ1:5 Assortments even ratio
15760UQ1: 10 Assortment even ratio
92129TQ1:7  assortments, Ratio: Elephant: Toucan: Zebra: Sloth: Giraffe: Tiger: Peacock=10: 10: 10: 10: 10: 8: 2
15733: 9 Assortment=1:1:1:1:1:1:1:1:1
9543GQ1:bule/purple/pink/orange =5:6:6:5;
92104TQ2:MUNCHKIN(RARE): HIMALAYAN: PERSIAN: MAINE COON: RAGDOLL: RAGAMUFFIN: NORWEGIAN FOREST CAT = 2: 8: 10: 10: 10: 10: 10
92119: 7 Assortment, Polar bear: Penguin: Walrus: Mammoth: Owl: Seal: Snow man=10:10:10:10:10:8:2. Snow man is the rare item.
25282：  Baby Shark(yellow)/ Mummy Shark(pink)/ Daddy Shark(blue) =1:1:1;</t>
  </si>
  <si>
    <t>4500196664-20</t>
  </si>
  <si>
    <t>日期码格式： 标准格式 日期：按实际生产日期
Packaging Info: MA UPC(优先1L)无需进口商贴纸
Remark: 
92104-MUNCHKIN(RARE): HIMALAYAN: PERSIAN: MAINE COON: RAGDOLL: RAGAMUFFIN: NORWEGIAN FOREST CAT = 2: 8: 10: 10: 10: 10: 10</t>
  </si>
  <si>
    <t>3YJBC22H</t>
  </si>
  <si>
    <t>4500194509-90</t>
  </si>
  <si>
    <t>邮包盒翻4500148503</t>
  </si>
  <si>
    <t>4/10-SSCC Label</t>
  </si>
  <si>
    <t>日期码格式：ZURU INC(BVI) 标准格式 日期：按实际生产日期
Packaging Info: 
#92104 MA 1L UPC版本+邮包盒,邮包盒图稿跟Amazon 4500148503。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</si>
  <si>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6N7JIIFL</t>
  </si>
  <si>
    <t>4500194511-110</t>
  </si>
  <si>
    <t>3X5C77HH</t>
  </si>
  <si>
    <t>4500194504-60</t>
  </si>
  <si>
    <t>3RQE2K3R</t>
  </si>
  <si>
    <t>4500194497-90</t>
  </si>
  <si>
    <t>6PCUOLIJ</t>
  </si>
  <si>
    <t>4500194506-20</t>
  </si>
  <si>
    <t>4KA9RB4Q</t>
  </si>
  <si>
    <t>4500194501-60</t>
  </si>
  <si>
    <t>4500199422</t>
  </si>
  <si>
    <t>W0765845</t>
  </si>
  <si>
    <t>4500199422-10</t>
  </si>
  <si>
    <t>4/30周装箱送河源混装</t>
  </si>
  <si>
    <t>4/10-价格贴纸</t>
  </si>
  <si>
    <r>
      <rPr>
        <sz val="14"/>
        <color rgb="FF2727F0"/>
        <rFont val="宋体"/>
        <charset val="0"/>
      </rPr>
      <t xml:space="preserve">日期码格式：ZURU INC(BVI) 标准格式 日期：按实际生产日期
Packaging Info: 1. MA 优先1L UPC版本包装,需要加贴价格贴纸, 贴在产品包装正面右上角(价格贴纸文档跟单提供)，出美国。
2. 外箱正唛(2面)右下角贴条码贴纸各贴1张(即1面1张共2张),贴纸大小：2.75 x 1.5 inch。(跟单提供文档，工厂采购)
</t>
    </r>
    <r>
      <rPr>
        <sz val="14"/>
        <color rgb="FFFF0000"/>
        <rFont val="宋体"/>
        <charset val="0"/>
      </rPr>
      <t>3. 产品收缩膜上贴CA 65警告语贴纸</t>
    </r>
    <r>
      <rPr>
        <sz val="14"/>
        <color rgb="FF2727F0"/>
        <rFont val="宋体"/>
        <charset val="0"/>
      </rPr>
      <t xml:space="preserve">
Remark: 1. 产品外包装及产品本身都必须有日期跟踪码，格式为：ZURU 标准日期码。
2. ZURU QC验货，无测试。
3. 产品配比按照MA标准配比执行。</t>
    </r>
  </si>
  <si>
    <t>OUTLET GROUP AS</t>
  </si>
  <si>
    <t>4500199666</t>
  </si>
  <si>
    <t>20173</t>
  </si>
  <si>
    <t>4500199666-30</t>
  </si>
  <si>
    <t>收缩膜警告语贴纸翻4500169371 + 口水胶警告语贴纸翻4500179713</t>
  </si>
  <si>
    <t>日期码格式：ZURU INC(BVI) 标准格式                  日期：按实际生产日期
Packaging Info: 9283:MA C 3L(EAN)收缩膜+挪威/瑞典/芬兰语警告语&lt;(&gt;&amp;&lt;)&gt;care@zuru.com全部信息做成一张贴纸(贴纸和位置图翻PO#4500183592)
9565GQ1:MA_3L_版 EAN收缩膜+警告语/MADE IN CHINA/收缩膜上的布标信息/电池信息都翻译成丹麦瑞典芬兰挪威爱沙尼亚语言做成一张贴纸(贴纸和位置图翻SOK P
O#4500176306)+客版说明书（翻单4500176306）
92104TQ2-S002-NB:MA B 3L(Warning 13L)_EAN版收缩膜+丹麦瑞典芬兰挪威警告语贴纸(贴纸和位置图翻ICA PO#4500169371)+MA B 5L(warning 23L)收藏指南+MA C 
5L(warning 9L) Slime Polybag+丹麦瑞典芬兰挪威爱沙尼亚警告语贴纸贴在袋子上(贴纸和位置图翻Kärkkäine O#4500179713)+MA PDQ+MA 布标/贴纸/吊牌+MA B
版PDQ
9543GQ1-S002:MA D_3L+5L EAN版收缩膜+警告语/MADE IN CHINA/收缩膜上的布标信息全部信息翻译成丹麦瑞典芬兰挪威爱沙尼亚语做成一张贴纸贴在收缩膜上(贴
纸和位置图翻Lekia PO#4500192711)+客版C6L 版说明书(英语丹麦瑞典芬兰挪威爱沙尼亚语言/WEEE信息直接印刷在说明书上--翻Lekia PO#4500192711)
92119-S001-NB:MA_B Version_3L(EAN)-Warning 23L收缩膜+MA_B Version_5L(23L warning)收藏指南+MA B Version_5L(WARNING 9L) SLIME POLYBAG+丹麦瑞典芬兰
挪威爱沙尼亚警告语贴纸贴在slime袋子上+MA B5L BEADS BAG+丹麦瑞典芬兰挪威爱沙尼亚警告语贴纸贴在bead袋子上+MA布标(所有贴纸和位置翻单4500198652)
9574-S001:MA A3L(23L warning) EAN版彩盒+客版6L说明书(英语丹麦瑞典芬兰挪威爱沙尼亚语言/WEEE信息直接印刷在说明书上--翻Salling Group PO#4500193716
))
Remark: 1. 配比：
9565GQ1-S002:4 assortment, Orange:blue:pink:brown=5:5:6:6
92104TQ2-S002-NB:MUNCHKIN(RARE): HIMALAYAN: PERSIAN: MAINE COON: RAGDOLL: RAGAMUFFIN: NORWEGIAN FOREST CAT = 2: 8: 10: 10: 10: 10: 10
"9543GQ1-S002:Integral single ratio=bule/purple/pink/orange =5:6:6:5;
"
92119-S001-NB:7 Assortment, Polar bear: Penguin: Walrus: Mammoth: Owl: Seal: Snow man=10:10:10:10:10:8:2. Snow man is the rare item.
9574-S001:2pcs baby capybara: 3pcs baby capybara= 5:1
2.产品和包装要求无硼无香，包装不能含有PVC
3.如有微塑料，必须合规欧洲标准，并增加微塑料合规IFUD声明在说明书上
4.带电池出货的产品，所用到的电池需要符合欧洲电池新规(EU)2023-1542，并增加对应WEEE 说明书</t>
  </si>
  <si>
    <t>日期码格式：ZURU INC(BVI) 标准格式 日期：按实际生产日期
Packaging Info: 92123彩盒新稿含UPC条码193052081940，请先检查UPC条码后再安排做大货
92104: MA 最新1L UPC收缩膜+4国语警语贴纸Czech-Hugarian-Polish-Slovak)覆盖原条码
Remark: 1.此单出EU国家，需满足EU测试标准，微塑料需满足EU法规要求；
2.产品及包装需要印UKCA图标，包装需要有ZURU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t>
  </si>
  <si>
    <t>4500201649-30</t>
  </si>
  <si>
    <t>4500198705-180</t>
  </si>
  <si>
    <t>4/29-进口商贴纸+UPC贴纸</t>
  </si>
  <si>
    <t>日期码格式：DG20260515                  日期：
Packaging Info: 7132:MA 多语包装+ UPC贴纸+进口商贴纸+箱唛
15789UQ1、15782UQ1:MA 多语包装+进口商贴纸+箱唛
15750、15788、15746:MA 多语包装+进口商贴纸+箱唛（进口商贴纸和mother UPC贴纸合并为一张）
其余item：MA 多语包装+进口商贴纸+UPC贴纸+箱唛
Remark: 1.包装/产品/外箱/进口商贴纸 指定日期码为DG20260515
.所有item包装上的条码必须是UPC，如果已将进口商贴纸和UPC条码合并到一张，则不需再订购UPC贴纸，仅订购一张进口商贴纸即可。</t>
  </si>
  <si>
    <t>4500198544-50</t>
  </si>
  <si>
    <t>长尾巴猫-干燥剂</t>
  </si>
  <si>
    <t>UPC条码贴纸+进口商贴纸翻4500184485</t>
  </si>
  <si>
    <t>日期码格式：LOTDGYYYYMMDD 日期：按实际生产日期
Packaging Info:4. 92104： MA 3L EAN包装+进口商贴纸+UPC条码贴纸+MA 5L 收藏指南+箱唛，进口商贴纸和UPC贴纸翻单4500184485
Remark: 1. 客版日期码要求：LOT+ZURU标准日期码格式。东莞生产的格式：LOTDGYYYYMMDD, DG是东莞拼音首字母，YYYYMMDD是实际的年月日，例如(LOTDG20240920)
 2. 此单有第三方监柜，至少多备一套完整的物料用于监柜，请多备料。
 3. WM墨西哥防霉的新要求:货物必须在出货主箱和集装箱中按要求放置干燥剂，干燥剂指定品牌干霸SUPERDRY
92104：MUNCHKIN(RARE): HIMALAYAN: PERSIAN: MAINE COON: RAGDOLL: RAGAMUFFIN: NORWEGIAN FOREST CAT = 2: 8: 10: 10: 10: 10: 10
  如走柜货等loading plan 确认后再通知集装箱干燥剂数量
此单工厂将安排7*40HC，每个HC要放置20包干燥剂，每包干燥剂1KG</t>
  </si>
  <si>
    <t>4500198544-60</t>
  </si>
  <si>
    <t>260167shipment 1-3</t>
  </si>
  <si>
    <t>4500198652-70</t>
  </si>
  <si>
    <t>收缩膜警告语贴纸翻4500169371+口水胶警告语贴纸翻4500179713</t>
  </si>
  <si>
    <t>日期码格式：ZURU INC(BVI) 标准格式                  日期：按实际生产日期
Packaging Info:
92104TQ2-S002-NB:MA B 3L(Warning 13L)_EAN版收缩膜+丹麦瑞典芬兰挪威警告语贴纸(贴纸和位置图翻ICA PO#4500169371)+MA B 5L(warning 23L)收藏指南+MA C 
5L(warning 9L) Slime Polybag+丹麦瑞典芬兰挪威爱沙尼亚警告语贴纸贴在袋子上(贴纸和位置图翻Kärkkäine O#4500179713)+MA PDQ+MA 布标/贴纸/吊牌+MA B
版PDQ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
重新调整确认是否更新贴纸或调整位置图
6.产品/包装不含PFAS成分
7. 产品条码如下: 请先检查条码是否正确再安排做货，如有问题请告知
7140-S001 4894680017528
71152-S001 4894680042742
7149-S001 4894680019928
92119-S005-NB 4894680042247
9296-S004-NB 4894680029606
92129TQ2-S002-NB 4894680049888
92104TQ2-S002-NB 4894680033542
7150-S001 4894680019836
9565GQ1-S002 4894680046511
9283-S001 4894680026841</t>
  </si>
  <si>
    <t>GIFI  DIFFUSION</t>
  </si>
  <si>
    <t>4500197249-40</t>
  </si>
  <si>
    <t>6/3出</t>
  </si>
  <si>
    <t>日期码格式：05/2026 日期：
Packaging Info: 9543GQ1:MA最新3L EAN收缩膜+MA5L说明书+最新欧洲通用29L WEEE电池声明书(不带电池版本)+MA3LPDQ
7133:MA最新多语包装+1张EAN条码贴纸翻4500133097+1张法国回收logo贴纸+MA5L说明书+最新欧洲通用29L WEEE电池声明书(不带电池版本)
92104TQ1:MA最新5L EAN收缩膜+MA5L袋子+MAPDQ/布标/贴纸
Remark: 1. 通过ZURU OQC验货即可出货; 需要大货样5套在CRD前一周备好, 请多备料;
2. 请确保产品/包装/外箱都日期码保持一致；
3. 此票出法国，请确保所有产品需符合EU法规；
4. 逾期出货罚款细则，8-14天罚款发票金额的3%，15-21天罚款发票金额的5%，22-28天罚款发票金额的7%，超过28天罚款发票金额的10%或空运由supplier承担空运
费用；</t>
  </si>
  <si>
    <t>Ula  Zhao</t>
  </si>
  <si>
    <t>LEKEKASSEN AS</t>
  </si>
  <si>
    <t>4500197359-10</t>
  </si>
  <si>
    <t>客人进口商地址信息贴纸+丹麦瑞典芬兰挪威爱沙尼亚警告语贴纸翻4500179713</t>
  </si>
  <si>
    <t>日期码格式：ZURU INC(BVI) 标准格式                  日期：按实际生产日期
Packaging Info: 1. 92104TQ2: MA B_3L(Warning 13L)_EAN版收缩膜+警告语和MADE IN CHINA翻译成丹麦瑞典挪威语/客人进口商地址信息做成一张贴纸贴在收缩膜上+MA_B_5L(warn
 ing 23L)收藏指南+MA_C_5L(warning 9L) Slime Polybag+丹麦瑞典芬兰挪威爱沙尼亚警告语贴纸贴在袋子上(贴纸和位置图翻Kärkkäine O#4500179713)+MA PDQ+
 MA 布标/贴纸/吊牌+MA B版PDQ
 2. 9543GQ1: MA D_3L+5L EAN版收缩膜+警告语和MADE IN CHINA翻译成丹麦瑞典挪威语/客人进口商地址信息做成一张贴纸贴在收缩膜上+客版C6L 版说明书(英语丹
麦瑞典芬兰挪威爱沙尼亚语言/WEEE信息直接印刷在说明书上--翻Lekia PO#4500192711)
--客版说明书消耗客版MA#1000036508库存"
 3. 71152: MA_A_3L(23L warning) EAN版彩盒+客人进口商地址贴纸贴在彩盒上+MA 5L(9L warning)说明书+说明书上的play instructions/to replace batteries/b
 attery safety information/警告语/WEEE以上全部信息全部翻译成丹麦瑞典挪威语做成贴纸贴在说明书上(不能覆盖英语--贴纸和位置图翻ICA PO#4500195356)
 4. 77673: MA 3L EAN B版收缩膜+警告语和MADE IN CHINA翻译成丹麦瑞典挪威语/客人进口商地址信息做成一张贴纸+MA paper bag+丹麦/挪威/瑞典/芬兰语警告语
贴在纸袋子上(贴纸和位置图翻PO#4500183825-共用#77111袋子的贴纸文档)+MA 5L收藏指南+MA B23L（电池+UV胶警告语-23L）说明书+MA 3L PDQ+WEEE_带电池走货
    说明书欧洲EN+29L_C版
 5. 92119: MA_B Version_3L(EAN)-Warning 23L收缩膜+客人进口商地址贴纸贴在收缩膜上+MA_B Version_5L(23L warning)收藏指南+MA B Version_5L(WARNING 9L
 ) SLIME POLYBAG+丹麦瑞典芬兰挪威爱沙尼亚警告语贴纸贴在slime袋子上(贴纸和位置图翻Indeks PO#4500177426)+MA B5L BEADS BAG+丹麦瑞典芬兰挪威爱沙尼亚
警告语贴纸贴在bead袋子上(贴纸和位置图翻Indeks PO#4500177426)+MA布标
 6. 71126: MA A 3L(23L warning) EAN版彩盒+客人进口商地址贴纸(贴纸和位置图翻Po#4500177965)+客版6L说明书(翻单4500162375)
 --客版说明书消耗客版MA#1000032701库存"
 7. 77770GQ1: MA A3L EAN版收缩膜+警告语和MADE IN CHINA翻译成丹麦瑞典挪威语/客人进口商地址做成一张贴纸(-贴纸和位置图翻PO#4500177965)+MA A5L(23L w
 arning)收藏指南+MA A3L PDQ
 8. 9574: MA A3L(23L warning) EAN版彩盒+客人进口商地址贴纸贴在彩盒上+客版6L说明书(英语丹麦瑞典芬兰挪威爱沙尼亚语言/WEEE信息直接印刷在说明书上--翻
 Salling Group PO#4500193716)
 9. 92147: MA A3L EAN版+警告语和MADE IN CHINA翻译成丹麦瑞典挪威语/客人进口商地址信息做成一张贴纸贴在收缩膜上+MA A5L(19L warning) guide book+警告
语/how to make your magic potion全部信息都翻译成丹麦瑞典芬兰挪威爱沙尼亚语做成贴纸贴在guide book上(不能覆盖英语---贴纸和位置图翻Salling Group PO
 #4500193716)+MA A5L(19L warning)收藏指南+瑞典芬兰挪威爱沙尼亚警告语贴纸贴在收藏指南上(不能覆盖英语和丹麦语--贴纸和位置图翻Salling Group PO#4500
 193716)+MA A5L(23L warning) ACCESSORIES BAGS+MA布标
 10. 9565GQ1: MA A3L EAN版收缩膜+警告语&lt;(&gt;&amp;&lt;)&gt;MADE IN CHINA&lt;(&gt;&amp;&lt;)&gt;收缩膜上的布标信息&lt;(&gt;&amp;&lt;)&gt;电池信息都翻译成丹麦瑞典挪威语/客人进口商地址全部信息
做成一张贴纸(--贴纸和位置图翻PO#4500177965)+客版6L收藏指南(英语丹麦瑞典芬兰挪威爱沙尼亚语言/WEEE信息/EN: WARNING! This product contains a coin
  battery. A coin battery can cause serious internel chemical burns if swallowed一并加上这句警告语并翻译成丹麦瑞典芬兰挪威爱沙尼亚语言全部信息印
刷在收藏指南上翻SOK PO#4500176306)+MA PDQ
11. 9561: MA B 5L-6L EAN版收缩膜+警告语和MADE IN CHINA翻译成丹麦瑞典挪威语/客人进口商地址信息做成一张贴纸贴在收缩膜上+北欧客版说明书B版(英语/丹
麦/瑞典/芬兰/挪威/爱沙尼亚/德语/荷兰语语言-翻Lekia PO#4500178665)+北欧客版guide book B版(英语/丹麦/瑞典/芬兰/挪威/爱沙尼亚/德语/荷兰语语言--翻Le
kia PO#4500178665)
---客版说明书和客版guide book消耗客版MA#1000032708 &lt;(&gt;&amp;&lt;)&gt; MA#1000032740库存"
 12. 15733: MA A5L UPC吊牌+baby EAN条码贴纸+警告语和MADE IN CHINA翻译成丹麦瑞典挪威语/care@zuru.com/客人进口商地址信息做成一张贴纸贴在吊牌上+MA布
标
 13. 9283: MA_C_3L(EAN)收缩膜+警告语和MADE IN CHINA翻译成丹麦瑞典挪威语/care@zuru.com/客人进口商地址信息全部信息做成一张贴纸贴在收缩膜上
 14. 15758: MA A5L UPC吊牌+baby EAN条码贴纸+警告语和MADE IN CHINA翻译成丹麦瑞典挪威语/care@zuru.com/客人进口商地址信息做成一张贴纸贴在吊牌上+MA布
标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 and/or  Bisfenol成分,以及不含石棉成分
7.产品条码如下: 请先检查条码是否正确再安排做货，如有问题请告知
ZURU ITEM#&lt;(&gt;&amp;&lt;)&gt;EAN
92104TQ2-S002-NB:4894680033542
9543GQ1-S002:4894680026995
71152-S001:4894680042742
77673-S001:4894680042773
92119-S005-NB:4894680042247
71126-S001:4894680033405
77770GQ1-S002:4894680050518
9574-S001:4894680057265
92147-S001:4894680058941
9565GQ1-S002:4894680046511
9561-S001:4894680042520
"15733-S001:15733A:4894680042322
15733B:4894680042339
15733D:4894680042346
15733E: 4894680042575
15733G:4894680042582
15733H:4894680042599
15733J:4894680048591
15733K:4894680048607
15733L:4894680048614"
9283-S005:4894680026841
"15758-S001:15758A:4894680049338
15758B:4894680049345
15758D:4894680049352
 15758E:4894680049369
 15758G:4894680049376
 15758H:4894680058378"</t>
  </si>
  <si>
    <t>4500199969</t>
  </si>
  <si>
    <t>4500199969-310</t>
  </si>
  <si>
    <t>进口商贴纸+UPC贴纸翻4500182578+5/14-价标贴纸</t>
  </si>
  <si>
    <t>日期码格式：ZURU INC(BVI) 标准格式 日期：按实际生产日期
Packaging Info: 
92104TQ1/9283/92125:MA 多语包装+进口商贴纸+价标贴纸+箱唛，进口商贴纸翻单PO4500182578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t>
  </si>
  <si>
    <t>4500200402</t>
  </si>
  <si>
    <t>4500200402-130</t>
  </si>
  <si>
    <t>日期码格式：ZURU INC(BVI) 标准格式 日期：按实际生产日期
Packaging Info: 77782GQ1:客版收缩膜+客版收藏指南+客版PDQ+进口商贴纸+箱唛，客版物料翻单PO4500161302,进口商贴纸翻单PO4500183983
77785:客版彩盒+进口商贴纸+箱唛（77673:MA 多语收缩膜/77711：MA 多语收缩膜+空白贴纸）,客版彩盒翻单PO4500194447
7151、7152：MA 1L包装+MA多语说明书+进口商贴纸+箱唛，进口商贴纸翻单PO4500165899
9543GQ1:MA 多语包装+进口商贴纸+UPC贴纸+箱唛，进口商贴纸翻单PO4500165899
71126:MA 多语包装+进口商贴纸+箱唛，进口商贴纸翻单PO4500166157
77673:MA 多语包装+进口商贴纸+UPC贴纸+箱唛，进口商贴纸翻单PO4500183983
15789UQ1:MA 多语包装+进口商贴纸+箱唛
其余item：MA多语包装+进口商贴纸+UPC贴纸+箱唛</t>
  </si>
  <si>
    <t>4500200650</t>
  </si>
  <si>
    <t>999-76649</t>
  </si>
  <si>
    <t>4500200650-60</t>
  </si>
  <si>
    <t>四国语言警告语翻4500186548</t>
  </si>
  <si>
    <t>日期码格式：ZURU INC(BVI) 标准格式 日期：按实际生产日期
Packaging Info: "92129TQ2： MA B版3L-23L收缩膜含4国警告语贴纸(Czech-Hugarian-Polish-Slovak）贴纸翻单4500186548+1张UPC条码贴纸193052088925+MA 5L收藏指南+MA PDQ；
"
"9565GQ1： 最新MA B 1L UPC版本+一张四国语言警告语贴纸( Czech-Hugarian-Polish-Slovak)贴纸翻单4500186548+MA 6L说明书+WEEE不带电池走货欧洲29语通用
黑白说明书+客版PDQ （3FACING11PCS/PDQ WITHDEMO）；UPC#193052084545，请先检查包装条码是否正确再安排做货
3W*2D*2H-1DEMO=11PCS/PDQ
4 assortment, Orange:blue:pink:brown=5:5:6:6
2PCS AAA BATTERIES（NOT INCLUDED）"
92106： MA 最新版1L UPC包装+1张4国警告语贴纸Czech-Hugarian-Polish-Slovak),请先检查包装条码#193052064905是否正确再安排做货)
92107：MA B版1L UPC收缩膜+1张4国警告语贴纸Czech-Hugarian-Polish-Slovak贴纸翻单4500186548,先检查包装条码#193052064738是否正确再安排做货)，其中150
0pcs是原4500189742取消的数量，可以优先消耗原PO物料
"9543GQ3：MA最新1L E版包装+一张四国语言警告语贴纸( Czech-Hugarian-Polish-Slovak不能覆盖GB)贴纸翻单PO#4500186548+客版 PDQ 1L版（2Facing7pcs/Gravi
ty PDQ)翻单PO#4500186548+WEEE不带电池走货欧洲29语通用黑白说明书
UPC#193052050328，请先检查包装条码是否正确再安排做货;
7product+demo;2pcs *AAA battery not include; Integral single
ratio=bule/purple/pink/orange =1:1:1:1"
"92104TQ4: 基于最新MA 1L UPC版本包装+1 张四国语言警告语( Czech-Hugarian-Polish-Slovak) 翻单4500186548+最新MA 5L收藏指南+客版 1L 版PDQ (2Facing4p
cs/PDQ) 翻单4500171042；
UPC#193052064417，请先检查包装条码是否正确再安排做货"， 其中3000pcs是原4500189742取消的数量，可以优先消耗原PO物料
"77673TQ1：MA 最新版1L UPC包装+1张4国警告语贴纸Czech-Hugarian-Polish-Slovak)+MA 最新 1L PDQ
UPC#193052079404，请先检查包装条码是否正确再安排做货
77711GQ1： MA 最新版3L UPC包装+1张四国警告语贴纸Czech-Hugarian-Polish-Slovak)+1张UPC条码贴纸,
UPC#193052080134，请先检查包装条码是否正确再安排做货, MA 最新版3L PDQ
92119： MA B版3L-23L收缩膜含4国警告语(Czech-Hugarian-Polish-Slovak）贴纸翻单4500186548 +1张UPC条码贴纸193052078391， 其中480pcs是原4500189742取
消的数量，可以优先消耗原PO物料
"92125: MA 最新版1L UPC收缩膜+1张四国警告语贴纸Czech-Hugarian-Polish-Slovak)，MA 收藏指南+挂卡+贴纸+袋子
UPC#193052083951，请先检查包装条码是否正确再安排做货"
9561: MA 最新版1L收缩膜+4国警告语贴纸(Czech-Hugarian-Polish-Slovak，不能覆盖GB语言），UPC#93052078902，请先检查条码是否正确再安排做货；
71152： MA B版1L彩卡含4国警告语贴纸(Czech-Hugarian-Polish-Slovak）贴纸翻单4500186548+WEEE不带电池走货欧洲29语通用黑白说明书，UPC#193052079190，
请先检查包装条码是否正确再安排做货，可以优先消耗原PO4500189742物料
9283：MA最新版1L包装+一张四国语言警告语贴纸( Czech-Hugarian-Polish-Slovak)，MA最新藏宝图+MA证书/纸袋+MA布标
UPC#193052050106，请先检查包装条码是否正确再安排做货;
Remark: 1.此单出欧洲国家，需满足EU测试标准，微塑料需满足EU法规要求；
2.产品及包装需要印CE &lt;(&gt;&amp;&lt;)&gt; 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
7.货物不能用打包带缠绕外箱，否则会影响目的港派送及可能产生额外的拆打包带费用
8.请多备料，需安排2套大货样寄到深圳办公室</t>
  </si>
  <si>
    <t>MaryZhong</t>
  </si>
  <si>
    <t>4500200490</t>
  </si>
  <si>
    <t>4500200490-10</t>
  </si>
  <si>
    <t>日期码格式：ZURU INC(BVI) 标准格式                  日期：按实际生产日期
Packaging Info: MA UPC PKG(优先1L)
Remark: 请留意箱唛顶部色带高度要求40mm, 色带上方需留空10mm高.
箱唛色带的数字代表生产年份"2026"
出南非市场，需符合当地法规</t>
  </si>
  <si>
    <t>4500200574-50</t>
  </si>
  <si>
    <t>795620202604</t>
  </si>
  <si>
    <t>4500202309-30</t>
  </si>
  <si>
    <t>日期码格式：ZURU INC(BVI) 标准格式                  日期：按实际生产日期
Packaging Info: 71126：MA 3L+23L警语 EAN彩盒 + 贴纸，MA B版5L+9L警语说明书，C版不带电池走货EU通用29L WEEE说明书
77673TQ1：MA B版 3L EAN收缩膜+DE IT警语贴纸（翻4500187921），MA 5L收藏指南，MA配件袋，C版带电池走货EU通用29L WEEE说明书，MA 3L PDQ
92104TQ1（NB版）：MA B版3L+13L警语EAN收缩膜，MA B版 5L+23L警语收藏指南，MA C版5L+9L警语史莱姆袋子，MA B版 PDQ
92146TQ1：MA 3L+8L警语EAN收缩膜，MA 5L+19L警语收藏指南，MA 5L+13L警语 FOAM袋子，MA 5L贴纸，MA布标，MA PDQ
9298TQ2（2025 NB版）：MA D版3L+23L警语EAN收缩膜，MA C版5L+23L经验与收藏指南，MA D版5L+9L警语 POOP袋子，MA D版布标，MA B版 PDQ
9543GQ1：MA D版3L+5L警语 EAN收缩膜，MA C版5L+9L警语说明书，C版不带电池走货EU通用29L WEEE说明书，MA C版3L PDQ
Remark: 1.外箱上下需加保护卡，以防开箱时产品被划破。（保护卡需要是整面）
2.此单出德国，走整柜。
3.如有推期会有罚款，请务必按时完货，并提醒QC需要在5月29号当天上传好ZURU STD验货报告，需要发给客人批放货。
4.出口欧洲，微塑料需符合法规；电池符合欧洲法规要求(如有)；化学品无硼无香。
5.所有出往GAS市场(德国/奥地利/瑞士)的电子产品身上需要加字唛，为ZURU FRANCE 地址，需跟包装上的地址一致  （如该电子产品无法打上字唛但是可以在产品上
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6.所有出往德国订单的电子产品需增加一张C版通用29L WEEE声明说明书，区分带电池出货和不带电池出货版本, 如已做客版说明书可忽略此要求。
7.STD配比</t>
  </si>
  <si>
    <t>4500203028-10</t>
  </si>
  <si>
    <t>日期码格式：ZURU INC(BVI) 标准格式 日期：按实际生产日期
Packaging Info: 1. ZURU MA （首选1L）UPC版本+客供价格贴+外箱贴纸（为方便进行装柜区分，请按照后续提供的外箱贴纸文档去粘贴外箱），出口美国
92104-S004/9258-S004/9298-S003价格贴 位置参考4500191650
92104-S004配比：HIMALAYAN: PERSIAN: MAINE COON: RAGDOLL: RAGAMUFFIN: NORWEGIAN FOREST CAT = 2: 8: 10: 10: 10: 10: 10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每份贴纸文档的数量对应的是装柜数量，一个ID对应一个柜子，外箱贴纸需要按照SHIPMENT ID (不会显示在贴纸上，在贴纸资料文档上命名上）去区分
，也就是同个item line 但是SHIPMENT ID 不一样不可以混在一起，贴纸和大货需要区分开，最后装柜会在不同的柜子里面。
5，每个产品有一个价格贴纸， 价格贴纸覆盖UPC条码上 （若UPC 条码太大，可以露出ITEM#, 覆盖条码即可），价格贴纸覆盖UPC 会挡住文字/图案，需用空白贴覆
盖UPC，价格贴纸移到空白处。贴的时候要是会覆盖包装上重要的信息和图案，需要告知跟单。</t>
  </si>
  <si>
    <t>CENTRO ATACADISTA BARÃO LTDA</t>
  </si>
  <si>
    <t>4500203274</t>
  </si>
  <si>
    <t>FUN 070/26</t>
  </si>
  <si>
    <t>4500203274-10</t>
  </si>
  <si>
    <t>5/8-进口商贴纸</t>
  </si>
  <si>
    <t>日期码格式：ZURU INC(BVI) 标准格式                  日期：按实际生产日期
Packaging Info: MA 1L包装+进口商贴纸+箱唛</t>
  </si>
  <si>
    <t>999-72896</t>
  </si>
  <si>
    <t>4500200650-150</t>
  </si>
  <si>
    <t>3000pcs是原4500189742取消的数量，可以优先消耗原PO物料</t>
  </si>
  <si>
    <t>36DXX2LP</t>
  </si>
  <si>
    <t>4500198659-10</t>
  </si>
  <si>
    <t>收到SO，预计6/12-6/16出</t>
  </si>
  <si>
    <t>4/30-SSCC Label</t>
  </si>
  <si>
    <t>日期码格式：ZURU INC(BVI) 标准格式 日期：按实际生产日期
Packaging Info: Amazon UK: 5XCD1V9S
 Amazon DE: 36DXX2LP
 Amazon ES: 7UONNMJW
 Amazon UK(9543A)/DE(92104H)/ES(9543A)
 2. 92104H: 92104H KITTYCORN SURPRISE(Norwegian Forest Cat), 1pc/mailbox, 32mailboxes/ctn;MA 1L(1L warning EAN)A收缩膜+其他MA最新配套包装+MA 5L(2
 3L warning)A 收藏指南+客版邮包盒(UPC#+英法德意西5L警告语+IT/FR/ES环保标+GPSR邮箱care@zuru.com+西班牙洗涤说明+UK/FR/DK新地址);
 3. 验货时间不迟于2026/6/3.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</si>
  <si>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4500202513</t>
  </si>
  <si>
    <t>8I5LJDDC</t>
  </si>
  <si>
    <t>4500202513-10</t>
  </si>
  <si>
    <t>英法德意西5L警告语+IT/FR/ES环保标+GPSR邮箱care@zuru.com+西班牙洗涤说明+UK/FR/DK新地址翻4500198659</t>
  </si>
  <si>
    <t>日期码格式：ZURU INC(BVI) 标准格式 日期：按实际生产日期
Packaging Info: Amazon UK:8I5LJDDC
UK(9543E/9279EH/92104H)
2. 92104H:92104H KITTYCORN SURPRISE(Norwegian Forest Cat), 1pc/mailbox, 32mailboxes/ctn;MA 1L(1L warning EAN)A收缩膜+其他MA最新配套包装+MA 5L(2
3L warning)A 收藏指南+客版邮包盒(UPC#+英法德意西5L警告语+IT/FR/ES环保标+GPSR邮箱care@zuru.com+西班牙洗涤说明+UK/FR/DK新地址，参考翻单PO#45001986
59);
3. 最迟验货不得晚于6/12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</si>
  <si>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4500201981-40</t>
  </si>
  <si>
    <t>ET-GROUP A/S</t>
  </si>
  <si>
    <t>4500202539</t>
  </si>
  <si>
    <t>308701</t>
  </si>
  <si>
    <t>4500202539-80</t>
  </si>
  <si>
    <t>5/11收到</t>
  </si>
  <si>
    <t>芬兰挪威警告语贴纸翻00169371 + 丹爱沙尼亚警告语贴纸翻4500179713</t>
  </si>
  <si>
    <t>日期码格式：ZURU INC(BVI) 标准格式                  日期：按实际生产日期
Packaging Info: 1. 9283: MA_C_3L(EAN)收缩膜+挪威/瑞典/芬兰语警告语&lt;(&gt;&amp;&lt;)&gt;care@zuru.com全部信息做成一张贴纸(贴纸和位置图翻PO#4500183592)
 2. 7150B: MA1L_B 彩盒+三岁以下警告语翻译成挪威语警告语&lt;(&gt;&amp;&lt;)&gt;7150B EAN#4894680021143&lt;(&gt;&amp;&lt;)&gt;care@zuru.com做成一张贴纸贴在彩盒上+彩盒上的瑞典语电
池信息错误,更新为Batterier ingårinte，做丹麦/芬兰/瑞典/挪威电池信息贴纸覆盖错误的部分(--贴纸和位置图翻PO#4500183825)+客版6L说明书(英语丹麦瑞典
芬兰挪威爱沙尼亚语言翻PO#4500162375)
--客版说明书消耗客版MA#1000032704库存
 3. 92129TQ2: MA_A_3L(Warning 23L)-EAN版收缩膜+MA A Version_5L(WARNING 9L) POOP POLYBAG_+丹麦瑞典芬兰挪威爱沙尼亚语警告语贴纸贴在polybag上(贴纸和
位置图翻SOK PO#4500175934)+MA 2L布标+MA_A_5L(Warning 23L)收藏指南+MA A版PDQ
 4. 9543GQ1: MA D_3L+5L EAN版收缩膜+警告语/MADE IN CHINA/收缩膜上的布标信息全部信息翻译成丹麦瑞典芬兰挪威爱沙尼亚语做成一张贴纸贴在收缩膜上(贴纸
和位置图翻Lekia PO#4500192711)+客版C6L 版说明书(英语丹麦瑞典芬兰挪威爱沙尼亚语言/WEEE信息直接印刷在说明书上--翻Lekia PO#4500192711)
 5. 9565GQ1: MA A3L EAN版收缩膜+警告语/MADE IN CHINA/收缩膜上的布标信息/电池信息都翻译成丹麦瑞典芬兰挪威爱沙尼亚语言做成一张贴纸(贴纸和位置图翻S
 OK PO#4500176306)+客版6L收藏指南(英语丹麦瑞典芬兰挪威爱沙尼亚语言/WEEE信息/EN: WARNING! This product contains a coin battery. A coin battery can
  cause serious internel chemical burns if swallowed一并加上这句警告语并翻译成丹麦瑞典芬兰挪威爱沙尼亚语言全部信息印刷在收藏指南上翻SOK PO#45001
 76306)+MA PDQ
--客版收藏海南消耗客版MA#1000038567库存
6. 77843GQ1: MA A3L EAN收缩膜+警告语和MADE IN CHINA都翻译成丹麦瑞典芬兰挪威爱沙尼亚语做成一张贴纸(贴纸和位置图翻ICA PO#4500195091)+MA A5L ACCES
SORY BAG+丹麦瑞典芬兰挪威爱沙尼亚警告语贴纸贴在袋子上(贴纸和位置图翻ICA PO#4500195091)+MA A5L收藏指南+MA A23L警告语和胶水说明书+WEEE_带电池走货
    说明书欧洲EN+29L_C版+MA 3L PDQ
7. 9258: MA_B_3L(warning 9L) UPC版收缩膜+EAN#4894680021082/丹麦瑞典芬兰挪威语警告语做成一张贴纸+slime polybag_MA_C_5L-9L warning+瑞典芬兰挪威语
警告语贴纸贴在slime袋子上+MA_B_5L(9L warning)收藏指南+MA_B beads bag+挪威瑞典丹麦芬兰爱沙尼亚警告语贴在beads bag袋子上(翻TAS PO#4500161075)+MA
布标
 8. 92104TQ2: MA_B_3L(Warning 13L)_EAN版收缩膜+丹麦瑞典芬兰挪威警告语贴纸(贴纸和位置图翻ICA PO#4500169371)+MA_B_5L(warning 23L)收藏指南+MA_C_5L(w
 arning 9L) Slime Polybag+丹麦瑞典芬兰挪威爱沙尼亚警告语贴纸贴在袋子上(贴纸和位置图翻Kärkkäine O#4500179713)+MA PDQ+MA 布标/贴纸/吊牌+MA B版PDQ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 and/or Bisfenol成分, 以及不含石棉成分
7. 产品条码如下: 请先检查条码是否正确再安排做货，如有问题请告知:
9283-S001:4894680026841
7150B-S002:4894680021143
92129TQ2-S002-NB:4894680049888
9543GQ1-S002:4894680026995
9565GQ1-S002:4894680046511
77843GQ1-S002:4894680057753
9258-S004-CA:4894680021082
92104TQ2-S002-NB:4894680033542</t>
  </si>
  <si>
    <t>4500200614</t>
  </si>
  <si>
    <t>4500200614-160</t>
  </si>
  <si>
    <t>进口商贴纸/UPC贴纸翻450020040</t>
  </si>
  <si>
    <t>日期码格式：ZURU INC(BVI) 标准格式                  日期：按实际生产日期
Packaging Info: 77782GQ1:客版收缩膜+客版收藏指南+客版PDQ+进口商贴纸+箱唛，客版物料翻单PO  500161302 进口商贴纸翻单PO4500200402
77785:客版彩盒+进口商贴纸+箱唛（77673:MA 多语收缩膜/77711：MA 多语收缩膜+空白贴纸）, 进口商贴纸翻单PO4500200402
7151、7152：MA 1L包装+MA多语说明书+进口商贴纸+箱唛,进口商贴纸翻单PO4500200402
15789UQ1:MA 多语包装+进口商贴纸+箱唛,进口商贴纸翻单PO4500200402
其余item：MA多语包装+进口商贴纸+UPC贴纸+箱唛，进口商贴纸/UPC贴纸翻单PO4500200402
157117UQ1:MA 多语包装+进口商贴纸+MOTHER UPC贴纸+箱唛
77794UQ1:MA多语包装+进口商贴纸+UPC贴纸+箱唛
Remark: 如某个item的进口商贴纸和UPC贴纸合并为一张，请忽略UPC贴纸的需求，包装上的条码必须是UPC</t>
  </si>
  <si>
    <t>IMPORTACIONES PICCOLINO - JACOBO WI</t>
  </si>
  <si>
    <t>4500199743</t>
  </si>
  <si>
    <t>4500199743-140</t>
  </si>
  <si>
    <t>5/27-UPC贴纸</t>
  </si>
  <si>
    <t>日期码格式：ZURU INC(BVI) 标准格式                  日期：按实际生产日期
Packaging Info: 77782GQ1:客版收缩膜+客版收藏指南+客版PDQ+箱唛，无客户贴纸，客版物料翻单PO 4500161302
15749、15787:MA 多语包装+MOTHER UPC贴纸+箱唛
其余item：MA多语包装+UPC贴纸+箱唛</t>
  </si>
  <si>
    <t>4500202382-70</t>
  </si>
  <si>
    <t>进口商贴纸+口水胶袋贴纸翻4500189525</t>
  </si>
  <si>
    <t xml:space="preserve">日期码格式：ZURU INC(BVI) 标准格式 日期：按实际生产日期
Packaging Info: 出UAE, 包装不能有希伯来语，需备两套大货版寄到SZ办公室。
所有RBC的产品（内外）包装上不能有彩虹。
77673TQ1:MA 1L PKG, PDQ+彩色贴纸+进口商贴纸（贴纸翻单4500162345）；收缩膜+进口商贴纸(含G Mark, QR code, 阿拉伯警语) （贴纸翻单4500162345）；贴
纸上的QR code需微信可扫;
MA收藏指南+彩色贴纸（贴纸翻单4500162345）； MA说明书+一张客制黑白说明书纸（书纸翻单4500162345）；
客人箱唛排版，印4面，条码内容：193052079404
77803GQ2:MA 1L PKG, 收缩膜(加UPC贴纸+进口商贴纸) +贴纸+客版PDQ跟回77782GQ1-S001-INT（翻单号4500161302）+客版收藏指南（客版包装翻单4500162410）;
PDQ+进口商贴纸， 贴纸AW翻单4500189510。
客人箱唛排版，印4面，条码内容193052092403
77843GQ2:MA 1L PKG+进口商贴纸 (含G Mark, QR code, 阿拉伯警语); 贴纸上的QR code需微信可扫; 扫描结果另外通知； UPC条码显示193052099105；
客人箱唛排版，印4面，条码内容193052099105
77858:MA 1L PKG+进口商贴纸 (含G Mark, QR code, 阿拉伯警语); 贴纸上的QR code需微信可扫; 扫描结果另外通知； UPC条码显示193052100238；
客人箱唛排版，印4面，条码内容193052100238
9565GQ1:MA 1L 收缩膜+进口商贴纸(含G Mark, QR code, 阿拉伯警语) ；贴纸上的QR code需微信可扫; MA说明书(不含希伯来语/Hebrew/He)+一张客制黑白说明书
纸(翻单4500167242)；MA PDQ+进口商贴纸; 产品年龄2+;AW翻单4500193317
4 assortment, Orange:blue:pink:brown=5:5:6:6
客人箱唛排版，印4面，条码内容：193052084545；
返工消耗4500189510/4500189525的库存，需将WEEE(含希伯来语）的说明书去除。
9574:MA 1L PKG+进口商贴纸 (含G Mark, QR code, 阿拉伯警语); 贴纸上的QR code需微信可扫; 扫描结果另外通知； UPC条码显示193052098436；
客人箱唛排版，印4面，条码内容193052098436
92104TQ1: 客版收缩膜(含G Mark, QR code, 阿拉伯警语); 贴纸上的QR code需微信可扫; UPC条码显示193052064417; 客版PDQ+进口商贴纸; 客版收藏指南; 客版
镭射贴纸；MA 口水胶袋+贴纸；产品年龄3+；AW翻单4500189525
客人箱唛排版，印4面，条码内容193052064417；
92105: 客版包装(含G Mark, QR code, 阿拉伯警语); 贴纸上的QR code需微信可扫，扫描结果另外通知; UPC条码显示193052064165；客版收藏指南/客版贴纸/客
版证明卡， MA 胶袋。
客人箱唛排版，印4面，条码内容193052064165
92119:客版收缩膜 (含G Mark, QR code, 阿拉伯警语); 贴纸上的QR code需微信可扫; UPC条码显示193052078391; 客版收藏指南; MA 口水胶袋+贴纸；产品年龄3
+；AW全部翻单4500189525
客人箱唛排版，印4面，条码内容193052078391；
92119-S001: 7 Assortment, Polar bear: Penguin: Walrus: Mammoth: Owl: Seal: Snow man=10:10:10:10:10:8:2. Snow man is the rare item.
92125：1. 客版收缩膜 (含G Mark, QR code, 阿拉伯警语); 贴纸上的QR code需微信可扫，扫描结果另外通知; UPC条码显示193052083951; 客版收藏指南；客版
镭射贴纸；客版出生证明卡片；MA 口水胶袋/罐子+logo贴纸；产品年龄3+；AW全部翻单4500189525
2. 6 Assortments,siamese cat:pink-white cat:purple cat:black cat:brown-white cat:orange cat=1:1:1:1:1:1, no rare;
3.客人箱唛排版，印4面，条码内容193052083951；
92129TQ1：客版收缩膜(含G Mark, QR code, 阿拉伯警语); 贴纸上的QR code需微信可扫，扫描结果另外通知; UPC条码显示193052088925;客版PDQ+进口商贴纸; 客
版收藏指南; 客版镭射贴纸；MA 口水胶袋+贴纸；产品年龄3+；AW全部翻单4500189525
客人箱唛排版，印4面，条码内容193052088925；
7 assortments, Ratio: Elephant: Toucan: Zebra: Sloth: Giraffe: Tiger: Peacock=10: 10: 10: 10: 10: 8: 2;
92146TQ1：客版收缩膜 (含G Mark, QR code, 阿拉伯警语); 贴纸上的QR code需微信可扫; 扫描结果另外通知； UPC条码显示193052100375；客版PDQ, 客版收藏
指南，其他配件包装为MA。
客人箱唛排版，印4面，条码内容1193052100375.
92147：客版收缩膜 (含G Mark, QR code, 阿拉伯警语); 贴纸上的QR code需微信可扫; 扫描结果另外通知； UPC条码显示193052100382；客版收藏指南，其他配件
等包装用MA.
客人箱唛排版，印4面，条码内容193052100382.
9283：客版收缩膜(含G Mark, QR code, 阿拉伯警语); 贴纸上的QR code需微信可扫; UPC条码显示193052050106; 客版收藏指南;客版卡片；客版地图指南；客版镭
射贴纸；MA 口水胶袋+贴纸；产品年龄3+；AW全部翻单4500189525
客人箱唛排版，印4面，条码内容193052050106；
9283-S001: Kitten:Bunny:Puppy:Cow:Elephant:Flamingo=1:1:1:1:1:1;
9296：客版收缩膜(含G Mark, QR code, 阿拉伯警语); 贴纸上的QR code需微信可扫; 扫描结果另外通知； UPC条码显示193052057129；客版收藏指南，其他配件为
MA。
客人箱唛排版，印4面，条码内容193052057129.
9298TQ1：客版收缩膜 (含G Mark, QR code, 阿拉伯警语); 贴纸上的QR code需微信可扫; UPC条码显示193052057426; 客版PDQ+进口商贴纸; 客版收藏指南; MA 口
水胶袋+贴纸；产品年龄3+；AW全部翻单4500189510
客人箱唛排版，印4面，条码内容193052057426；
7 assortment (6 common + 1 rare)=CORGI(Rare):SHEPHERD:POODLE:DALMATIAN: SCHNAUZER:BROWN DALNATIAN:HOUND DOG=2:8:10:10:10:10:10;
71152：MA 1L 收缩膜+进口商贴纸 (含G Mark, QR code, 阿拉伯警语)( 贴纸翻单4500162474); 贴纸上的QR code需微信可扫，扫描结果另外通知; 收缩膜上UPC条
码为193052079190；说明书+贴纸(说明书贴纸翻单4500162345); 产品年龄3+；
客人箱唛排版，印4面，条码内容193052079190；
所有包装需要不含希伯来语/Hebrew/(He) 语言
71172：MA PKG+进口商贴纸 (含G Mark, QR code, 阿拉伯警语); 贴纸上的QR code需微信可扫; 扫描结果另外通知； UPC条码显示193052098443；
客人箱唛排版，印4面，条码内容193052098443.
7132：1. MA 彩盒+进口商贴纸 (含G Mark, QR code, 阿拉伯警语)(贴纸翻单4500128286); 贴纸上的QR code需微信可扫，扫描结果为40935; UPC条码显示19305202
8174; MA说明书(不含希伯来语/Hebrew/He); 产品年龄3+;
2. 客人箱唛排版，印4面，条码内容193052028174；
所有包装需要不含希伯来语/Hebrew/(He) 语言
7133：MA 彩盒+进口商贴纸 (含G Mark, QR code, 阿拉伯警语)（贴纸翻单4500148906）; 贴纸上的QR code需微信可扫，扫描结果另外通知; 收缩膜上UPC条码为19
3052028181；客版说明书（说明书翻单4500148906）；产品年龄3+；
客人箱唛排版，印4面，条码内容193052028181；
所有包装需要不含希伯来语/Hebrew/(He) 语言
Remark:
</t>
  </si>
  <si>
    <t>4500202631</t>
  </si>
  <si>
    <t>4500202631-80</t>
  </si>
  <si>
    <t>日期码格式：ZURU INC(BVI) 标准格式 日期：按实际生产日期
Packaging Info: 出KSA, 所有包装不能有希伯来语（HE), 所有RBC的产品（内外）包装上都不能有彩虹
77673TQ1:MA 1L PKG, PDQ+彩色贴纸+进口商贴纸（贴纸翻单4500162345）；收缩膜+进口商贴纸(含G Mark, QR code, 阿拉伯警语) （贴纸翻单4500162345）；贴
纸上的QR code需微信可扫;
MA收藏指南+彩色贴纸（贴纸翻单4500162345）； MA说明书+一张客制黑白说明书纸（书纸翻单4500162345）；
客人箱唛排版，印4面，条码内容：193052079404
77803GQ2:MA 1L PKG, 收缩膜(加UPC贴纸+进口商贴纸) +贴纸+客版PDQ跟回77782GQ1-S001-INT（翻单号4500161302）+客版收藏指南（客版包装翻单4500162410）;
PDQ+进口商贴纸, 贴纸AW翻单4500189510.
客人箱唛排版，印4面，条码内容193052092403
77843GQ2:MA 1L PKG+进口商贴纸 (含G Mark, QR code, 阿拉伯警语); 贴纸上的QR code需微信可扫； UPC条码显示193052099105；AW翻单4500202382。
客人箱唛排版，印4面，条码内容193052099105
77858:MA 1L PKG+进口商贴纸 (含G Mark, QR code, 阿拉伯警语); 贴纸上的QR code需微信可扫; 扫描结果另外通知； UPC条码显示193052100238；AW翻单4500202
382。
客人箱唛排版，印4面，条码内容193052100238
9565GQ1:MA 1L 收缩膜+进口商贴纸(含G Mark, QR code, 阿拉伯警语) ；贴纸上的QR code需微信可扫; MA说明书(不含希伯来语/Hebrew/He)+一张客制黑白说明书
纸(翻单4500167242)；MA PDQ+进口商贴纸; 产品年龄2+;AW翻单4500193317
4 assortment, Orange:blue:pink:brown=5:5:6:6
客人箱唛排版，印4面，条码内容：193052084545；
9574:MA 1L PKG+进口商贴纸 (含G Mark, QR code, 阿拉伯警语); 贴纸上的QR code需微信可扫; 扫描结果另外通知； UPC条码显示193052098436；AW翻单45002023
82。
客人箱唛排版，印4面，条码内容193052098436
92104TQ1: 客版收缩膜(含G Mark, QR code, 阿拉伯警语); 贴纸上的QR code需微信可扫; UPC条码显示193052064417; 客版PDQ+进口商贴纸; 客版收藏指南; 客版
镭射贴纸；MA 口水胶袋+贴纸；产品年龄3+；AW翻单4500189525
客人箱唛排版，印4面，条码内容193052064417；
92105: 客版包装(含G Mark, QR code, 阿拉伯警语); 贴纸上的QR code需微信可扫，扫描结果另外通知; UPC条码显示193052064165；客版收藏指南/客版贴纸/客
版证明卡， MA 胶袋。AW翻单4500202382。
客人箱唛排版，印4面，条码内容193052064165
92119:客版收缩膜 (含G Mark, QR code, 阿拉伯警语); 贴纸上的QR code需微信可扫; UPC条码显示193052078391; 客版收藏指南; MA 口水胶袋+贴纸；产品年龄3
+；AW全部翻单4500189525
客人箱唛排版，印4面，条码内容193052078391；
92119-S001: 7 Assortment, Polar bear: Penguin: Walrus: Mammoth: Owl: Seal: Snow man=10:10:10:10:10:8:2. Snow man is the rare item.
92125：1. 客版收缩膜 (含G Mark, QR code, 阿拉伯警语); 贴纸上的QR code需微信可扫，扫描结果另外通知; UPC条码显示193052083951; 客版收藏指南；客版
镭射贴纸；客版出生证明卡片；MA 口水胶袋和罐子+logo贴纸；产品年龄3+；AW全部翻单4500189525
2. 6 Assortments,siamese cat:pink-white cat:purple cat:black cat:brown-white cat:orange cat=1:1:1:1:1:1, no rare;
3.客人箱唛排版，印4面，条码内容193052083951；
92129TQ1：客版收缩膜(含G Mark, QR code, 阿拉伯警语); 贴纸上的QR code需微信可扫，扫描结果另外通知; UPC条码显示193052088925;客版PDQ+进口商贴纸; 客
版收藏指南; 客版镭射贴纸；MA 口水胶袋+贴纸；产品年龄3+；AW全部翻单4500189525
客人箱唛排版，印4面，条码内容193052088925；
7 assortments, Ratio: Elephant: Toucan: Zebra: Sloth: Giraffe: Tiger: Peacock=10: 10: 10: 10: 10: 8: 2;
92146TQ1：客版收缩膜 (含G Mark, QR code, 阿拉伯警语); 贴纸上的QR code需微信可扫; 扫描结果另外通知； UPC条码显示193052100375；客版PDQ, 客版收藏
指南，其他配件包装为MA。AW翻单4500202382。
客人箱唛排版，印4面，条码内容1193052100375.
92147：客版收缩膜 (含G Mark, QR code, 阿拉伯警语); 贴纸上的QR code需微信可扫; 扫描结果另外通知； UPC条码显示193052100382；客版收藏指南，其他配件
等包装用MA. AW翻单4500202382。
客人箱唛排版，印4面，条码内容193052100382.
9283：客版收缩膜(含G Mark, QR code, 阿拉伯警语); 贴纸上的QR code需微信可扫; UPC条码显示193052050106; 客版收藏指南;客版卡片；客版地图指南；客版镭
射贴纸；MA 口水胶袋+贴纸；产品年龄3+；AW全部翻单4500189525
客人箱唛排版，印4面，条码内容193052050106；
9283-S001: Kitten:Bunny:Puppy:Cow:Elephant:Flamingo=1:1:1:1:1:1;
9296：客版收缩膜(含G Mark, QR code, 阿拉伯警语); 贴纸上的QR code需微信可扫; 扫描结果另外通知； UPC条码显示193052057129；客版收藏指南，其他配件为
MA。AW翻单4500202382。
客人箱唛排版，印4面，条码内容193052057129.
9298TQ1：客版收缩膜 (含G Mark, QR code, 阿拉伯警语); 贴纸上的QR code需微信可扫; UPC条码显示193052057426; 客版PDQ+进口商贴纸; 客版收藏指南; MA 口
水胶袋+贴纸；产品年龄3+；AW全部翻单4500189510
客人箱唛排版，印4面，条码内容193052057426；
7 assortment (6 common + 1 rare)=CORGI(Rare):SHEPHERD:POODLE:DALMATIAN: SCHNAUZER:BROWN DALNATIAN:HOUND DOG=2:8:10:10:10:10:10;
71172：MA PKG+进口商贴纸 (含G Mark, QR code, 阿拉伯警语); 贴纸上的QR code需微信可扫; 扫描结果另外通知； UPC条码显示193052098443；AW翻单450020238
2。
客人箱唛排版，印4面，条码内容193052098443.
7132：1. MA 彩盒+进口商贴纸 (含G Mark, QR code, 阿拉伯警语)(贴纸翻单4500128286); 贴纸上的QR code需微信可扫，扫描结果为40935; UPC条码显示19305202
8174; MA说明书(不含希伯来语/Hebrew/He); 产品年龄3+;
2. 客人箱唛排版，印4面，条码内容193052028174；</t>
  </si>
  <si>
    <t>COPPEL CORPORATION</t>
  </si>
  <si>
    <t>4500200487</t>
  </si>
  <si>
    <t>88792395</t>
  </si>
  <si>
    <t>4500200487-50</t>
  </si>
  <si>
    <t>6/5-UPC条码贴纸+价标贴纸+进口商贴纸</t>
  </si>
  <si>
    <t>日期码格式：ZURU INC(BVI) 标准格式 日期：按实际生产日期
Packaging Info: 92146: MA 3L EAN 包装+UPC条码贴纸+价标贴纸+进口商贴纸+箱唛;
Cat:Raccoon:Deer:Tiger:Pigeon:Owl=1:1:1:1:1:1
77878: MA 3L EAN 包装+UPC条码贴纸+价标贴纸+进口商贴纸+电池信息贴纸+箱唛;
Ratio: PIZZA: HAMBURGER: PANCAKES: BUBBLE TEA: Matcha TEA: TACO: SUSHI: DONUT: Charcuterie Board: RAINBOW CAKE(Rare)=10.88%: 10.88%: 10.88%: 10
.88%: 10.88%: 10.88%: 10.88%: 10.88%: 10.88%: 2.08%=68:68:68:68:68:68:68:68:68:13
92104: MA 3L EAN 包装+UPC条码贴纸+价标贴纸+进口商贴纸+箱唛;
MUNCHKIN(RARE): HIMALAYAN: PERSIAN: MAINE COON: RAGDOLL: RAGAMUFFIN: NORWEGIAN FOREST CAT = 2: 8: 10: 10: 10: 10: 10
77731: MA 3L EAN 包装+UPC条码贴纸+价标贴纸+进口商贴纸+箱唛;
Remark:</t>
  </si>
  <si>
    <t>88792394</t>
  </si>
  <si>
    <t>4500200487-60</t>
  </si>
  <si>
    <t>4500203841-170</t>
  </si>
  <si>
    <t>日期码格式： ZURU INC(BVI) 标准格式 日期：按实际生产日期
Packaging Info: 71126/9298TQ1/92104TQ1:MA 多语包装+进口商贴纸+箱唛，进口商贴纸翻单PO4500191577
其余item：MA 多语包装+进口商贴纸+UPC贴纸+箱唛
Remark</t>
  </si>
  <si>
    <t>4500200493</t>
  </si>
  <si>
    <t>88792595</t>
  </si>
  <si>
    <t>4500200493-50</t>
  </si>
  <si>
    <t>8/3出</t>
  </si>
  <si>
    <t>日期码格式：ZURU INC(BVI) 标准格式                  日期：按实际生产日期
Packaging Info: 9574: MA 3L EAN 包装+UPC条码贴纸+价标贴纸+进口商贴纸+电池信息贴纸+箱唛;
2pcs baby capybara: 3pcs baby capybara= 5:1；
77878: MA 3L EAN 包装+UPC条码贴纸+价标贴纸+进口商贴纸+电池信息贴纸+箱唛;
Ratio: PIZZA: HAMBURGER: PANCAKES: BUBBLE TEA:  Matcha TEA: TACO: SUSHI: DONUT: Charcuterie Board: RAINBOW CAKE(Rare)=10.88%: 10.88%: 10.88%: 10
.88%: 10.88%: 10.88%: 10.88%: 10.88%: 10.88%: 2.08%=68:68:68:68:68:68:68:68:68:13；
92146: MA 3L EAN 包装+UPC条码贴纸+价标贴纸+进口商贴纸+箱唛;
Cat:Raccoon:Deer:Tiger:Pigeon:Owl=1:1:1:1:1:1；
92104: MA 3L EAN 包装+UPC条码贴纸+价标贴纸+进口商贴纸+箱唛;
MUNCHKIN(RARE): HIMALAYAN: PERSIAN: MAINE COON: RAGDOLL: RAGAMUFFIN: NORWEGIAN FOREST CAT = 2: 8: 10: 10: 10: 10: 10；
77731: MA 3L EAN 包装+UPC条码贴纸+价标贴纸+进口商贴纸+箱唛;</t>
  </si>
  <si>
    <t>4500202901-330</t>
  </si>
  <si>
    <t>进口商贴纸+UPC贴纸翻4500199969</t>
  </si>
  <si>
    <t>价标贴纸翻4500199969</t>
  </si>
  <si>
    <t>日期码格式：ZURU INC(BVI) 标准格式                  日期：按实际生产日期
Packaging Info: 7152/7151/7150/7149/7133：:MA 1L包装+MA多语说明书（含西语）+进口商贴纸+价标贴纸+保证书+箱唛，包装/说明书都需要贴一张进口商贴纸,进口商贴纸和保证
书翻单PO4500199969
77673/77858/77773GQ2/77843GQ2/9574:MA 多语包装+进口商贴纸+UPC贴纸+价标贴纸+保证书+箱唛，包装/说明书都需要贴一张进口商贴纸进口商贴纸和UPC贴纸/保
证书翻单PO4500199969
77794UQ1/9565GQ1:MA 多语包装+进口商贴纸+UPC贴纸+价标贴纸+保证书+箱唛，包装/说明书都需要贴一张进口商贴纸
25252/25253:MA 1L包装+MA 多语说明书+进口商贴纸+价标贴纸+保证书+箱唛，包装/说明书都需要贴一张进口商贴纸
15752/15789UQ1/15750/15749/15787/15788:MA 多语UPC包装+进口商贴纸+价标贴纸+箱唛,进口商贴纸翻单PO4500199969
15756UQ1/15759UQ1/15760UQ1/157117UQ1:MA 多语UPC包装+进口商贴纸+MOTHER UPC贴纸+价标贴纸+箱唛,进口商贴纸和MOTHER UPC贴纸翻单PO4500199969
77711GQ2/77555GQ2/77770GQ2/92104TQ1/9296/9283:MA多语包装+进口商贴纸+UPC贴纸+价标贴纸+箱唛,进口商贴纸和UPC贴纸翻单PO4500199969
15747:MA 多语UPC包装+进口商贴纸+价标贴纸+箱唛
77685GQ2/77772GQ2/92107/9298TQ1/92146/92105/9297/92147:MA多语包装+进口商贴纸+UPC贴纸+价标贴纸+箱唛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3.如后续进口商贴纸和UPC贴纸合并为一张，请忽略UPC的需求，包装上的条码必须是UPC。</t>
  </si>
  <si>
    <t>4500201970-100</t>
  </si>
  <si>
    <t>4500204716-100</t>
  </si>
  <si>
    <t>进口商贴纸 + 口水胶袋贴纸翻4500189525</t>
  </si>
  <si>
    <t>日期码格式：ZURU INC(BVI) 标准格式 日期：按实际生产日期
Packaging Info: 出UAE, 包装不能有希伯来语
所有RBC的产品（内外）包装上不能有彩虹。
92104TQ1: 客版收缩膜(含G Mark, QR code, 阿拉伯警语); 贴纸上的QR code需微信可扫; UPC条码显示193052064417; 客版PDQ+进口商贴纸; 客版收藏指南; 客版
镭射贴纸；MA 口水胶袋+贴纸；产品年龄3+；AW翻单4500189525
客人箱唛排版，印4面，条码内容193052064417；
MUNCHKIN(RARE): HIMALAYAN: PERSIAN: MAINE COON: RAGDOLL: RAGAMUFFIN: NORWEGIAN FOREST CAT = 2: 8: 10: 10: 10: 10: 10
Remark: 77772GQ2-S001-PRODCC2:
WITH 4PCS DEMO/PDQ; Remove ？？ mini vinyls(squabble up/Low Down/Brick House/Last Friday Night (T.G.I.F.)/Not Like Us/Woah/Messy/Delicious/Good
Luck, Babe!/Pink Pony Club/Super Freak/Man! I Feel Like a Woman!/Thunder( rainbow and ？？)/Shake your Groove Thing" ( Kissing)/Sweet Home Alab
ama ( Rainbow))</t>
  </si>
  <si>
    <t>4500204719-100</t>
  </si>
  <si>
    <t>日期码格式：ZURU INC(BVI) 标准格式 日期：按实际生产日期
Packaging Info: 出QATAR, 包装不能有希伯来语
所有RBC的产品（内外）包装上不能有彩虹。92104TQ1: 客版收缩膜(含G Mark, QR code, 阿拉伯警语); 贴纸上的QR code需微信可扫; UPC条码显示193052064417; 客版PDQ+进口商贴纸; 客版收藏指南; 客版
镭射贴纸；MA 口水胶袋+贴纸；产品年龄3+；AW翻单4500189525
MUNCHKIN(RARE): HIMALAYAN: PERSIAN: MAINE COON: RAGDOLL: RAGAMUFFIN: NORWEGIAN FOREST CAT = 2: 8: 10: 10: 10: 10: 10
客人箱唛排版，印4面，条码内容193052064417；
Remark: 77772GQ2-S001-PRODCC2:
WITH 4PCS DEMO/PDQ; Remove 15 mini vinyls(squabble up/Low Down/Brick House/Last Friday Night (T.G.I.F.)/Not Like Us/Woah/Messy/Delicious/Good Lu
ck, Babe!/Pink Pony Club/Super Freak/Man! I Feel Like a Woman!/Thunder( rainbow)/Shake your Groove Thing" ( Kissing)/Sweet Home Alabama ( Rainb
ow))</t>
  </si>
  <si>
    <t>4500204723-100</t>
  </si>
  <si>
    <t>日期码格式：ZURU INC(BVI) 标准格式                  日期：按实际生产日期
Packaging Info: 出KSA 包装不能有希伯来语，
所有RBC的产品（内外）包装上不能有彩虹。
 92104TQ1: 客版收缩膜(含G Mark, QR code, 阿拉伯警语); 贴纸上的QR code需微信可扫; UPC条码显示193052064417; 客版PDQ+进口商贴纸; 客版收藏指南; 客版
镭射贴纸；MA 口水胶袋+贴纸；产品年龄3+；AW翻单4500189525
 MUNCHKIN(RARE): HIMALAYAN: PERSIAN: MAINE COON: RAGDOLL: RAGAMUFFIN: NORWEGIAN FOREST CAT = 2: 8: 10: 10: 10: 10: 10
客人箱唛排版，印4面，条码内容193052064417；
Remark</t>
  </si>
  <si>
    <t>88792594</t>
  </si>
  <si>
    <t>4500200493-60</t>
  </si>
  <si>
    <t>4500195533-20</t>
  </si>
  <si>
    <t>长尾巴猫(干燥剂）</t>
  </si>
  <si>
    <t>进口商贴纸+条码贴纸翻4500167897</t>
  </si>
  <si>
    <t>日期码格式：LOTDGYYYYMMDD 日期：按实际生产日期
Packaging Info: 
92104： MA 3L EAN包装+进口商贴纸+UPC条码贴纸+MA 5L 收藏指南+箱唛，UPC条码贴纸翻单PO4500167897
Remark: 1. 客版日期码要求：LOT+ZURU标准日期码格式。东莞生产的格式：LOTDGYYYYMMDD, DG是东莞拼音首字母，YYYYMMDD是实际的年月日，例如(LOTDG20240920)
2. 此单有第三方监柜，至少多备一套完整的物料用于监柜，请多备料。
3. WM墨西哥防霉的新要求:货物必须在出货主箱和集装箱中按要求放置干燥剂，干燥剂指定品牌干霸SUPERDRY
/92104：每箱需放置14包干燥剂，每包重2-3g
如走柜货等loading plan 确认后再通知集装箱干燥剂数量</t>
  </si>
  <si>
    <r>
      <rPr>
        <b/>
        <sz val="14"/>
        <rFont val="宋体"/>
        <charset val="0"/>
      </rPr>
      <t>MA  1</t>
    </r>
    <r>
      <rPr>
        <b/>
        <sz val="14"/>
        <rFont val="宋体"/>
        <charset val="134"/>
      </rPr>
      <t>語收縮膜</t>
    </r>
    <r>
      <rPr>
        <b/>
        <sz val="14"/>
        <rFont val="宋体"/>
        <charset val="0"/>
      </rPr>
      <t xml:space="preserve">
A</t>
    </r>
    <r>
      <rPr>
        <b/>
        <sz val="14"/>
        <rFont val="宋体"/>
        <charset val="134"/>
      </rPr>
      <t>版本</t>
    </r>
  </si>
  <si>
    <t>客版PDQ</t>
  </si>
  <si>
    <t>客办托盘</t>
  </si>
  <si>
    <t>考拉（D）</t>
  </si>
  <si>
    <t>犀牛（A）</t>
  </si>
  <si>
    <t>大象(B)</t>
  </si>
  <si>
    <t>ZPO2312012</t>
  </si>
  <si>
    <t>92106-S001</t>
  </si>
  <si>
    <t>超大一窝蛋</t>
  </si>
  <si>
    <t>Nicole Yu</t>
  </si>
  <si>
    <t>ZMPO24230</t>
  </si>
  <si>
    <t>92106D-S001</t>
  </si>
  <si>
    <t>考拉(邮包盒）</t>
  </si>
  <si>
    <t>备注： 收到样品订单后尽快安排 ，注意样板品质质量要求要高于大货品质要求 ，送货时必须要附带送货单(没有送货单和QC检验合格报告的仓库一律拒绝收货)，请知悉，谢谢！</t>
  </si>
  <si>
    <t>ZMPO24317</t>
  </si>
  <si>
    <t>超大一窝蛋（配件小蛋）</t>
  </si>
  <si>
    <t>已完成</t>
  </si>
  <si>
    <t>只需要左图红框中的小蛋，只需要空小蛋，里面不需要放公仔，也不需要加收缩膜;备注：收到样品订单后尽快安排 ，谢谢！</t>
  </si>
  <si>
    <t>090524-D2</t>
  </si>
  <si>
    <t>4500146026-10</t>
  </si>
  <si>
    <t>92113-S001</t>
  </si>
  <si>
    <t>2PK小蛋</t>
  </si>
  <si>
    <t>52512pcs</t>
  </si>
  <si>
    <t>11/23出</t>
  </si>
  <si>
    <t>日期码格式：ZURU INC(BVI) 标准格式 日期：按实际生产日期
Packaging Info: 92113 客版英法UPC版本,UPC号码为193052073426
Remark: 出加拿大，
Zuru验货.日期跟踪码：产品外包装及产品本身都必须有日期跟踪码，ZURU标准格式
日期码。</t>
  </si>
  <si>
    <t>88973-1.10</t>
  </si>
  <si>
    <t>4500150797-70</t>
  </si>
  <si>
    <t>4500147716-70</t>
  </si>
  <si>
    <t>4500150859-30</t>
  </si>
  <si>
    <t>12/6-外箱贴纸</t>
  </si>
  <si>
    <t>日期码格式：ZURU INC(BVI) 标准格式 日期：按实际生产日期
Packaging Info:
92106:MA 包装, MA 1L收缩膜
Remark: 92106:
1. 92106-S001-RAINBOCORN - EGGZANIA FAIRY MANIA - SERIES 1 - PLUSH SOFT LARGE - 4 PCS/CTN
2. MA 包装, MA 1L收缩膜；产品收缩膜上的UPC显示193052064905;
Assortments: 92106A RHINO:92106D KOALA:92106B ELEPHANT=1:1:1
3. 外箱正唛左上角位置粘贴条码箱贴纸，每箱只贴一张，由ZURU订购。来料贴纸上显示的客户DPCI#086-08-2605,UPC显示10193052064902;
4. 产品和包装上印刷 tracking code信息，格式为ZURU常规格式;
5. 出货方式：货代自提</t>
  </si>
  <si>
    <t>4500150863-30</t>
  </si>
  <si>
    <t>日期码格式：ZURU INC(BVI) 标准格式 日期：按实际生产日期
Packaging Info: 
92106: MA 包装, MA 1L收缩膜
Remark:
92106:
1. 92106-S001-RAINBOCORN - EGGZANIA FAIRY MANIA - SERIES 1 - PLUSH SOFT LARGE - 4 PCS/CTN
2. MA 包装, MA 1L收缩膜；产品收缩膜上的UPC显示193052064905;
Assortments: 92106A RHINO:92106D KOALA:92106B ELEPHANT=1:1:1
3. 外箱正唛左上角位置粘贴条码箱贴纸，每箱只贴一张，由ZURU订购。来料贴纸上显示的客户DPCI#086-08-2605,UPC显示10193052064902;
4. 产品和包装上印刷 tracking code信息，格式为ZURU常规格式;
5. 出货方式：货代自提</t>
  </si>
  <si>
    <t>4500151904-30</t>
  </si>
  <si>
    <t>日期码格式：ZURU INC(BVI) 标准格式 日期：按实际生产日期 Tracking Code:
Packaging Info:
 92106：MA 包装, MA 1L收缩膜
Remark: 
 92106：
 1. 92106-S001-RAINBOCORN - EGGZANIA FAIRY MANIA - SERIES 1 - PLUSH SOFT LARGE - 4 PCS/CTN
 2. MA 包装, MA 1L收缩膜；产品收缩膜上的UPC显示193052064905;
 Assortments: 92106A RHINO:92106D KOALA:92106B ELEPHANT=1:1:1
 3. 外箱正唛左上角位置粘贴条码箱贴纸，每箱只贴一张，由ZURU订购。来料贴纸上显示的客户DPCI#086-08-2605,UPC显示10193052064902;
 4. 产品和包装上印刷 tracking code信息，格式为ZURU常规格式;
 5. 出货方式：货代自提</t>
  </si>
  <si>
    <t>4500148621-70</t>
  </si>
  <si>
    <t>日期码格式：ZURU INC(BVI) 标准格式 日期：按实际生产日期
Packaging Info: 1.MA UPC包装(优先1L)
3.有第三方验货，将于CRD前一周提供验货员信息，请按订单CRD准时完货。
Remark: 92106-92106A RHINO:92106D KOALA:92106B ELEPHANT=1:1:1</t>
  </si>
  <si>
    <t>4500151907-30</t>
  </si>
  <si>
    <t>日期码格式：ZURU INC(BVI) 标准格式 日期：按实际生产日期 Tracking Code:
Packaging Info: 
 92106：MA 包装, MA 1L收缩膜
Remark:
 92106：
 1. 92106-S001-RAINBOCORN - EGGZANIA FAIRY MANIA - SERIES 1 - PLUSH SOFT LARGE - 4 PCS/CTN
 2. MA 包装, MA 1L收缩膜；产品收缩膜上的UPC显示193052064905;
 Assortments: 92106A RHINO:92106D KOALA:92106B ELEPHANT=1:1:1
 3. 外箱正唛左上角位置粘贴条码箱贴纸，每箱只贴一张，由ZURU订购。来料贴纸上显示的客户DPCI#086-08-2605,UPC显示10193052064902;
 4. 产品和包装上印刷 tracking code信息，格式为ZURU常规格式;
 5. 出货方式：货代自提</t>
  </si>
  <si>
    <t>4500151906-30</t>
  </si>
  <si>
    <t>日期码格式：ZURU INC(BVI) 标准格式 日期：按实际生产日期 Tracking Code:
Packaging Info: 
 92106：MA 包装, MA 1L收缩膜
Remark: 
 92106：
 1. 92106-S001-RAINBOCORN - EGGZANIA FAIRY MANIA - SERIES 1 - PLUSH SOFT LARGE - 4 PCS/CTN
 2. MA 包装, MA 1L收缩膜；产品收缩膜上的UPC显示193052064905;
 Assortments: 92106A RHINO:92106D KOALA:92106B ELEPHANT=1:1:1
 3. 外箱正唛左上角位置粘贴条码箱贴纸，每箱只贴一张，由ZURU订购。来料贴纸上显示的客户DPCI#086-08-2605,UPC显示10193052064902;
 4. 产品和包装上印刷 tracking code信息，格式为ZURU常规格式;
 5. 出货方式：货代自提</t>
  </si>
  <si>
    <t>4500153567-60</t>
  </si>
  <si>
    <t>进口商贴纸翻4500148737</t>
  </si>
  <si>
    <t>日期码格式：ZURU INC(BVI) 标准格式 日期：按实际生产日期
Packaging Info:
 92106: 1L MA 最新收缩膜+进口商贴纸 (贴纸翻4500148737), MA 指南
Remark: 标准配比</t>
  </si>
  <si>
    <t>4500153513-40</t>
  </si>
  <si>
    <t>日期码格式：ZURU INC(BVI) 标准格式 日期：按实际生产日期 
Packaging Info: 
 92106:3L MA EAN 收缩膜+进口商贴纸;MA指南
Remark: 标准产品标准配比</t>
  </si>
  <si>
    <t>92106-S001-3L</t>
  </si>
  <si>
    <t>4500153795-20</t>
  </si>
  <si>
    <t>翻单： 4500145122</t>
  </si>
  <si>
    <t>中文CCC贴纸+ 年龄贴（8+）翻4500145122</t>
  </si>
  <si>
    <t>日期码格式：ZURU INC(BVI) 标准格式 日期：按实际生产日期 
Packaging Info: 2.外箱材质如下：
 1）毛重小于5kg 外箱纸质 K=B 爆破:1000Kpa 边压:4400N/M;
 2）毛重大于5kg 外箱纸质 K636K 爆破:1400Kpa 边压:6300N/M;
 3. 产品/销售包装/外箱日期码要一致，
4.芯片码横向平贴在上半部分蛋壳/彩盒内侧立面处，注意事项请见跟单提供文档资料。
 5.此产品务必满足国内6P 测试标准，因为可能会被市场监督局抽查，如有问题产生，工厂要负全责
 6. 这张订单做出厂价，我司自行安排车辆去贵司提货，贵司需要配合提供出口报关
Remark: 物料要求 SKU 所有款号务必使用带有CCC 标识的AW
 B. 92106 MA+中文布标+中文收藏指南+外挂中文标签+中文CCC贴纸+ 年龄贴（8+）+客供芯片码 翻单： 4500145122</t>
  </si>
  <si>
    <t>92106-S001-2</t>
  </si>
  <si>
    <t>MA布标+贴纸</t>
  </si>
  <si>
    <t>4500153795-60</t>
  </si>
  <si>
    <t>日期码格式：ZURU INC(BVI) 标准格式 日期：按实际生产日期
Packaging Info: 2.外箱材质如下：
 1）毛重小于5kg 外箱纸质 K=B 爆破:1000Kpa 边压:4400N/M;
 2）毛重大于5kg 外箱纸质 K636K 爆破:1400Kpa 边压:6300N/M;
 3. 产品/销售包装/外箱日期码要一致，
4.芯片码横向平贴在上半部分蛋壳/彩盒内侧立面处，注意事项请见跟单提供文档资料。
 5.此产品务必满足国内6P 测试标准，因为可能会被市场监督局抽查，如有问题产生，工厂要负全责
 6. 这张订单做出厂价，我司自行安排车辆去贵司提货，贵司需要配合提供出口报关
Remark: 物料要求 SKU 所有款号务必使用带有CCC 标识的AW
 B. 92106 MA+中文布标+中文收藏指南+外挂中文标签+中文CCC贴纸+ 年龄贴（8+）+客供芯片码 翻单： 4500145122</t>
  </si>
  <si>
    <t>4500154083-30</t>
  </si>
  <si>
    <t>日期码格式：ZURU INC(BVI) 标准格式 日期：按实际生产日期
Packaging Info: 
 92106: MA 包装, MA 1L收缩膜
Remark: 
 92106:
 1. 92106-S001-RAINBOCORN - EGGZANIA FAIRY MANIA - SERIES 1 - PLUSH SOFT LARGE - 4 PCS/CTN
 2. MA 包装, MA 1L收缩膜；产品收缩膜上的UPC显示193052064905;
 Assortments: 92106A RHINO:92106D KOALA:92106B ELEPHANT=1:1:1
 3. 外箱正唛左上角位置粘贴条码箱贴纸，每箱只贴一张，由ZURU订购。来料贴纸上显示的客户DPCI#086-08-2605,UPC显示10193052064902;
 4. 产品和包装上印刷 tracking code信息，格式为ZURU常规格式;
 5. 出货方式：货代自提</t>
  </si>
  <si>
    <t>4500154099-30</t>
  </si>
  <si>
    <t>4500151479-40</t>
  </si>
  <si>
    <t>4500152720-140</t>
  </si>
  <si>
    <t>12/6-进口商贴纸</t>
  </si>
  <si>
    <t>日期码格式：ZURU INC(BVI) 标准格式 日期：按实际生产日期
Packaging Info:
92106:MA 3L包装+进口商贴纸+箱唛
Remark: LR44 电池品牌为ONLY</t>
  </si>
  <si>
    <t>2025TTC006</t>
  </si>
  <si>
    <t>4500151230-10</t>
  </si>
  <si>
    <t>92115-S001</t>
  </si>
  <si>
    <t>日期码格式：ZURU INC(BVI) 标准格式 日期：按实际生产日期
Packaging Info:
92115：客版收缩膜翻4500134696（改彩虹颜色，不含slime和希伯来警告语)，需要印G MARK，含进口商贴纸，含QR code), QR code要求印刷清晰且手机可扫描，
扫描结果38711
。客版指南翻4500134696（改彩虹颜色，不含slime和希伯来警告语));客版挂卡翻4500134696
Remark: 92115:#92106 Remove Slime
RHINO:KOALA:ELEPHANT=1:1:1</t>
  </si>
  <si>
    <t>94062-1.16</t>
  </si>
  <si>
    <t>IO-2403425</t>
  </si>
  <si>
    <t>4500153066-220</t>
  </si>
  <si>
    <t>12/6-客人款号贴纸</t>
  </si>
  <si>
    <t>日期码格式：ZURU INC(BVI) 标准格式 日期：按实际生产日期
Packaging Info: 
 92106: MA 3L (23L warning) EAN 版收缩膜（+ 客人款号贴纸）, MA 布标, MA 收藏指南, MA贴纸, MA 配件袋
Remark: 1.所有产品按符合欧洲标准走货，微塑料需合规。
 2.所有包装材料都不允许PVC, 请用PET代替
 3.样板需求： 每个item 需要寄出1 PC 大货样，请多备料
 4.日期码和批次号都要打在产品和包装上，日期码按ZURU标准格式，批次号是 IO-2403425（客人PO#）
 5. 客人款号
 92106 576-2106</t>
  </si>
  <si>
    <t>94141-1.21</t>
  </si>
  <si>
    <t>4500154105-30</t>
  </si>
  <si>
    <t>日期码格式：ZURU INC(BVI) 标准格式 日期：按实际生产日期 
Packaging Info: 
 92106: MA 包装, MA 1L收缩膜
Remark: 
 92106:
 1. 92106-S001-RAINBOCORN - EGGZANIA FAIRY MANIA - SERIES 1 - PLUSH SOFT LARGE - 4 PCS/CTN
 2. MA 包装, MA 1L收缩膜；产品收缩膜上的UPC显示193052064905;
 Assortments: 92106A RHINO:92106D KOALA:92106B ELEPHANT=1:1:1
 3. 外箱正唛左上角位置粘贴条码箱贴纸，每箱只贴一张，由ZURU订购。来料贴纸上显示的客户DPCI#086-08-2605,UPC显示10193052064902;
 4. 产品和包装上印刷 tracking code信息，格式为ZURU常规格式;
 5. 出货方式：货代自提</t>
  </si>
  <si>
    <t>4500154981-30</t>
  </si>
  <si>
    <t>日期码格式：ZURU INC(BVI) 标准格式 日期：按实际生产日期 
Packaging Info:
 92106: MA 包装, MA 1L收缩膜
Remark: 
 92106:
 1. 92106-S001-RAINBOCORN - EGGZANIA FAIRY MANIA - SERIES 1 - PLUSH SOFT LARGE - 4 PCS-CTN
 2. MA 包装, MA 1L收缩膜；产品收缩膜上的UPC显示193052064905;
 Assortments: 92106A RHINO:92106D KOALA:92106B ELEPHANT=1:1:1
 3. 外箱正唛左上角位置粘贴条码箱贴纸，每箱只贴一张，由ZURU订购。来料贴纸上显示的客户DPCI#086-08-2605,UPC显示10193052064902;
 此订单所有型号：
 1. 产品和包装上印刷 tracking code信息，格式为ZURU常规格式;
 2. 出货方式：货代自提</t>
  </si>
  <si>
    <t>4500151799-30</t>
  </si>
  <si>
    <t>进口商贴纸(翻4500148737</t>
  </si>
  <si>
    <t>日期码格式：ZURU INC(BVI) 标准格式 日期：按实际生产日期 Tracking Code:
Packaging Info: 
 92106：1L MA 最新收缩膜+进口商贴纸(翻4500148737); MA指南/说明书（如有）;
Remark: 标准配比</t>
  </si>
  <si>
    <t>94747-4.10</t>
  </si>
  <si>
    <t>4500155686-30</t>
  </si>
  <si>
    <t>日期码格式：ZURU INC(BVI) 标准格式 日期：按实际生产日期 
Packaging Info: 
 92106: MA 包装, MA 1L收缩膜
Remark: 
 92106:
 1. 92106-S001-RAINBOCORN - EGGZANIA FAIRY MANIA - SERIES 1 - PLUSH SOFT LARGE - 4 PCS-CTN
 2. MA 包装, MA 1L收缩膜；产品收缩膜上的UPC显示193052064905;
 Assortments: 92106A RHINO:92106D KOALA:92106B ELEPHANT=1:1:1
 3. 外箱正唛左上角位置粘贴条码箱贴纸，每箱只贴一张，由ZURU订购。来料贴纸上显示的客户DPCI#086-08-2605,UPC显示10193052064902;
 此订单所有型号：
 1. 产品和包装上印刷 tracking code信息，格式为ZURU常规格式;
 2. 出货方式：货代自提</t>
  </si>
  <si>
    <t>ZMPO24880</t>
  </si>
  <si>
    <t>Remark:大货最新版本/款号平均/麻烦按款号装箱/箱唛请参照邮件附件                                                                                                                                                          备注：收到样品订单后尽快安排 ，注意样板品质质量要求要高于大货品质要求 ，送货时必须要附带送货单(没有送货单和QC检验合格报告的仓库一律拒绝收货)，请知悉，谢谢！</t>
  </si>
  <si>
    <t>PO#6006-00522
6PI#110002571
5-2</t>
  </si>
  <si>
    <t>4500154694-70</t>
  </si>
  <si>
    <t>1/-2进口商贴纸</t>
  </si>
  <si>
    <t>日期码格式：ZURU INC(BVI) 标准格式 日期：按实际生产日期 
Packaging Info: MA PKG, 优先1L +1张进口商贴纸（贴条码附近空白处，不得遮挡日期码）
 该客户只有一款进口商贴纸，所有款通用，进口商贴纸AW可翻此客户旧订单
Remark:</t>
  </si>
  <si>
    <t>94351-2.25</t>
  </si>
  <si>
    <t>CUS
PO#47785177
SYD</t>
  </si>
  <si>
    <t>4500154476-10</t>
  </si>
  <si>
    <t>进口商贴纸翻4500135366</t>
  </si>
  <si>
    <t>日期码格式：ZURU INC(BVI) 标准格式 日期：按实际生产日期 
Packaging Info: 1. 92106: MA_1L UPC版本包装（收缩膜和收藏指南, MA首选1L，如无1L可用多语且含英语的配套多语包装）+ 进口商贴纸，贴纸翻单4500135366；
 2. 产品和包装上的日期码一致，请按要求在包装上打日期码（进口商贴纸不覆盖日期码）
 3. 使用ZURU标准日期码
Remark: 1. 共出4港口(SYD, BNE, MEL, FRE), 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t>
  </si>
  <si>
    <t>94453-3.6</t>
  </si>
  <si>
    <t>CUS
PO#47785178
BNE</t>
  </si>
  <si>
    <t>4500154476-20</t>
  </si>
  <si>
    <t>94828-4.22</t>
  </si>
  <si>
    <t>CUS
PO#47785179
MEL</t>
  </si>
  <si>
    <t>4500154476-30</t>
  </si>
  <si>
    <t>94453-3.6/94589-3.21</t>
  </si>
  <si>
    <t>CUS
PO#47785180
FRE</t>
  </si>
  <si>
    <t>4500154476-40</t>
  </si>
  <si>
    <t>94496-3.10</t>
  </si>
  <si>
    <t>4500156297-30</t>
  </si>
  <si>
    <t>日期码格式：ZURU INC(BVI) 标准格式 日期：按实际生产日期
Packaging Info:
92106: MA A版3L 收缩膜(含UPC条码)+进口商贴纸；MA A版5L收藏指南;MA A版 3L吊牌;MA B版5L复合纸袋;MA 纸袋 +布标
Remark:
92106:92106A RHINO:92106D KOALA:92106B ELEPHANT=1:1:1</t>
  </si>
  <si>
    <t>4500156374-40</t>
  </si>
  <si>
    <t>日期码格式：ZURU INC(BVI) 标准格式 日期：按实际生产日期
Packaging Info:
 92106:MA 3L EAN包装+UPC贴纸+外箱贴纸+进口商贴纸+箱唛
Remark: 此单有第三方监柜，需要每款多备1套完整物料</t>
  </si>
  <si>
    <t>4500156707-40</t>
  </si>
  <si>
    <t>3/10-防盗有贴纸+2/24-外箱贴纸</t>
  </si>
  <si>
    <t>日期码格式：ZURU INC(BVI) 标准格式 日期：按实际生产日期 
Packaging Info: 
 92106: MA英语UPC版本包装（收缩膜和说明书, MA首选1L，如无1L可用多语且含英语的配套多语包装) + 1张防盗贴纸 (贴纸以及位置图翻单PO#4500125322）
 +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</si>
  <si>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4500156708-40</t>
  </si>
  <si>
    <t>日期码格式：ZURU INC(BVI) 标准格式 日期：按实际生产日期 
Packaging Info: 
 92106: MA英语UPC版本包装（收缩膜和说明书, MA首选1L，如无1L可用多语且含英语的配套多语包装) + 1张防盗贴纸 (贴纸以及位置图翻单PO#4500125322）
 +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</si>
  <si>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4500157780-90</t>
  </si>
  <si>
    <t>日期码格式：ZURU INC(BVI) 标准格式 日期：按实际生产日期 Tracking Code:
Packaging Info: 1. 无进口商贴纸；
 2.92106 ： 1L MA UPC 包装， MA PDQ/说明书/指南（如有）；
Remark: 标准配比</t>
  </si>
  <si>
    <t>4500158305-30</t>
  </si>
  <si>
    <t>日期码格式：ZURU INC(BVI) 标准格式 日期：按实际生产日期 
Packaging Info: MA 1L UPC包装+1张进口商贴纸,
Remark: 
 92106-92106A RHINO:92106D KOALA:92106B ELEPHANT=1:1:1</t>
  </si>
  <si>
    <t>4500158665-80</t>
  </si>
  <si>
    <t>日期码格式：ZURU INC(BVI) 标准格式 日期：按实际生产日期
Packaging Info: MA UPC包装，无需加贴纸
Remark:
92106-92106A RHINO:92106D KOALA:92106B ELEPHANT=1:1:1</t>
  </si>
  <si>
    <t>4500158103-60</t>
  </si>
  <si>
    <t>日期码格式：ZURU INC(BVI) 标准格式 日期：按实际生产日期
Packaging Info: 1.MA UPC包装（优先1L)+1张进口商贴纸+1张空白贴纸盖住包装上的G Mark(确保空白贴纸厚度足够，不会透出字体，贴纸颜色请严格按照要求，避免色差）
其他item-MA UPC包装（优先1L)+1张进口商贴纸,不需要空白贴纸因为进口商贴纸已经盖住了G MARK。贴纸AW、位置图待提供
2.内容都是一样的，如果尺寸也一样，请一起订购节省成本
3.彩盒条码/纸箱不接受任何贴纸
Remark: 
92106-92106A RHINO:92106D KOALA:92106B ELEPHANT=1:1:1</t>
  </si>
  <si>
    <t>CatchMe.lk (PVT) LTD</t>
  </si>
  <si>
    <t>4500159239-60</t>
  </si>
  <si>
    <t>3/5收到</t>
  </si>
  <si>
    <t>日期码格式：ZURU INC(BVI) 标准格式 日期：按实际生产日期 Tracking Code:
Packaging Info: MA PKG, 优先1L(UPC 条码）
Remark: 出斯里兰卡，需送货到汕头仓库</t>
  </si>
  <si>
    <t>94841-4.25</t>
  </si>
  <si>
    <t>25/196 CC</t>
  </si>
  <si>
    <t>4500159234-40</t>
  </si>
  <si>
    <t>进口商贴纸翻4500130336</t>
  </si>
  <si>
    <t>日期码格式：ZURU INC(BVI) 标准格式 日期：按实际生产日期
Packaging Info: 
4. 92106：MA 3L EAN包装+MA多语收藏指南+进口商贴纸+箱唛, 贴纸翻单PO4500130336
Remark: 1. 此单需提交自检报告给客户确认，待客户确认放货后，才允许出货。
4. 92106：92106A RHINO:92106D KOALA:92106B ELEPHANT=1:1:1</t>
  </si>
  <si>
    <t>94856-4.28</t>
  </si>
  <si>
    <t>25/220 CT</t>
  </si>
  <si>
    <t>4500159248-40</t>
  </si>
  <si>
    <t>94857-4.28</t>
  </si>
  <si>
    <t>25/221 CM</t>
  </si>
  <si>
    <t>4500159256-40</t>
  </si>
  <si>
    <t>94873-4.29</t>
  </si>
  <si>
    <t>25/222 CL</t>
  </si>
  <si>
    <t>4500159262-40</t>
  </si>
  <si>
    <t>日期码格式：ZURU INC(BVI) 标准格式 日期：按实际生产日期
Packaging Info:
4. 92106：MA 3L EAN包装+MA多语收藏指南+进口商贴纸+箱唛, 贴纸翻单PO4500130336
Remark: 1. 此单需提交自检报告给客户确认，待客户确认放货后，才允许出货。
4. 92106：92106A RHINO:92106D KOALA:92106B ELEPHANT=1:1:1</t>
  </si>
  <si>
    <t>94858-4.28</t>
  </si>
  <si>
    <t>25/223 CVH</t>
  </si>
  <si>
    <t>4500159263-40</t>
  </si>
  <si>
    <t>94859-4.28</t>
  </si>
  <si>
    <t>4500158302-140</t>
  </si>
  <si>
    <t>日期码格式：ZURU INC(BVI) 标准格式 日期：按实际生产日期
Packaging Info: 
 6. 92106: MA 3L EAN包装+UPC贴纸+MA 多语收藏指南+进口商贴纸+箱唛
Remark: 1.使用双坑外箱
 2.请注意产品包装条形码必须是UPC
 3.无第三方验货
 11. 92106：92106A RHINO:92106D KOALA:92106B ELEPHANT=1:1:1</t>
  </si>
  <si>
    <t>3FSOEP2V</t>
  </si>
  <si>
    <t>4500158947-120</t>
  </si>
  <si>
    <t>92106B-S001-NB</t>
  </si>
  <si>
    <t>大象(邮包盒）</t>
  </si>
  <si>
    <t>日期码格式：ZURU INC(BVI) 标准格式 日期：按实际生产日期 
Packaging Info: 出口加拿大，包装需要至少2/3L UPC版，无硼版本。
 #92106 MA 3L+邮包盒,邮包盒图稿跟Amazon UK/EU PO4500124874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</si>
  <si>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92106B-S001-3L-NB</t>
  </si>
  <si>
    <t>8TP5TQ6C</t>
  </si>
  <si>
    <t>4500158947-130</t>
  </si>
  <si>
    <t>包装要求参考4
500159461，出
Bekasovo 2</t>
  </si>
  <si>
    <t>4500163959-60</t>
  </si>
  <si>
    <t>原4500159461转单-注意不要重复生产</t>
  </si>
  <si>
    <t>3/20-进口商贴纸(含EAN条码)</t>
  </si>
  <si>
    <t>外包装 (指: 收缩膜/彩卡/铝箔袋/挂卡/PDQ) /外箱不要打ZURU标准日期码！胶件可以打日期码</t>
  </si>
  <si>
    <t>日期码格式：外包装/外箱不要打ZURU标准日期码 日期：
Packaging Info: 取代4500150271/4500157991/4500146630/4500159461/4500158543中 对应的款 ;
包装要求参考4500150271/4500157991/4500146630/4500159461/4500158543
Remark:</t>
  </si>
  <si>
    <t>94862-4.28</t>
  </si>
  <si>
    <t>包装要求参考4
500159461，出
Ural （部分货
外箱显示Bekas
ovo 2不需要返
工）</t>
  </si>
  <si>
    <t>4500163959-80</t>
  </si>
  <si>
    <t>4500157158-50</t>
  </si>
  <si>
    <t>3/19收到</t>
  </si>
  <si>
    <t>3/20-进口商贴纸</t>
  </si>
  <si>
    <t>日期码格式：ZURU INC(BVI) 标准格式 日期：按实际生产日期 
Packaging Info: 
 92106; MA 3L EAN包装+MA多语收藏指南+进口商贴纸+箱唛(进口商贴纸和UPC贴纸合并为一张）
Remark:
 92106: 92106A RHINO:92106D KOALA:92106B ELEPHANT=1:1:1</t>
  </si>
  <si>
    <t>94962-5.10</t>
  </si>
  <si>
    <t>4500160575-30</t>
  </si>
  <si>
    <t>4/10-多语UPC贴纸+进口商贴纸合并为一张</t>
  </si>
  <si>
    <t>日期码格式：ZURU INC(BVI) 标准格式 日期：按实际生产日期
Packaging Info:
92106：MA 多语包装+进口商贴纸（进口商贴纸+UPC贴纸c）+箱唛</t>
  </si>
  <si>
    <t>4500160092-190</t>
  </si>
  <si>
    <t>日期码格式：2025-05 日期： 
Packaging Info: 
 92106; MA 3L EAN包装+UPC贴纸+MA多语收藏指南+进口商贴纸+箱唛
Remark: 1.指定日期码：2025-05（外箱/产品/包装/进口商贴纸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92106: 92106A RHINO:92106D KOALA:92106B ELEPHANT=1:1:1</t>
  </si>
  <si>
    <t>包装要求参考4
500159526, 全
部出Bekasovo
2 （部分货外
箱显示Ural 不
需要返工）</t>
  </si>
  <si>
    <t>4500164028-80</t>
  </si>
  <si>
    <t>原4500159526转单-注意不要重复生产</t>
  </si>
  <si>
    <t>进口商贴纸含EAN条码翻4500159461</t>
  </si>
  <si>
    <t>包装要求参考4
500159526, 出
URAL</t>
  </si>
  <si>
    <t>4500164028-100</t>
  </si>
  <si>
    <t>4500160573-130</t>
  </si>
  <si>
    <t>UPC条码贴纸/进口商贴纸翻单PO4500136618</t>
  </si>
  <si>
    <t>例如(LOTDG20240920)需要在每箱放入14小包干燥剂，每包干燥剂重量2g</t>
  </si>
  <si>
    <t>日期码格式：LOTDGYYYYMMDD 日期：按实际生产日期
Packaging Info:
 11. 92106: MA 3L EAN包装+UPC条码贴纸+进口商贴纸+MA多语收藏指南+箱唛，UPC条码贴纸/进口商贴纸翻单PO4500136618
Remark: 1. 客版日期码要求：LOT+ZURU标准日期码格式。东莞生产的格式：LOTDGYYYYMMDD, DG是东莞拼音首字母，
YYYYMMDD是实际的年月日，例如(LOTDG20240920)
 92106：92106A RHINO:92106D KOALA:92106B ELEPHANT=1:1:1
 4. 此单有第三方监柜，至少多备一套完整的物料用于监柜，请多备料。
 5.WM墨西哥防霉的新要求:货物必须在出货主箱和集装箱中按要求放置干燥剂，干燥剂指定品牌干霸
92106：需要在每箱放入14小包干燥剂，每包干燥剂重量2g
 如走柜货等loading plan 确认后再通知集装箱干燥剂数量
 此单兴信将安排8*40HC柜子，每个HC需要放置10包干燥剂，每包干燥剂1KG</t>
  </si>
  <si>
    <t>4500161302-50</t>
  </si>
  <si>
    <t>翻4500158302</t>
  </si>
  <si>
    <t>UPC贴纸++进口商贴纸翻4500158302</t>
  </si>
  <si>
    <t>日期码格式：ZURU INC(BVI) 标准格式 日期：按实际生产日期
Packaging Info:
5. 92106：MA 3L EAN包装+UPC贴纸+MA 多语收藏指南+进口商贴纸+箱唛，贴纸翻单PO4500158302
Remark: 1.使用双坑外箱
2.请注意产品包装条形码必须是UPC
3.无第三方验货
5. 92106:92106A RHINO:92106D KOALA:92106B ELEPHANT=1:1:1</t>
  </si>
  <si>
    <t>4500161306-40</t>
  </si>
  <si>
    <t>日期码格式：ZURU INC(BVI) 标准格式 日期：按实际生产日期
Packaging Info: 
5. 92106：MA 3L EAN包装+UPC贴纸+MA 多语收藏指南+进口商贴纸+箱唛，贴纸翻单PO4500158302
Remark: 1.使用双坑外箱
2.请注意产品包装条形码必须是UPC
3.无第三方验货
5. 92106:92106A RHINO:92106D KOALA:92106B ELEPHANT=1:1:1</t>
  </si>
  <si>
    <t>4500159898-10</t>
  </si>
  <si>
    <t>日期码格式：ZURU INC(BVI) 标准格式 日期：按实际生产日期
Packaging Info: 92106:1L MA 收缩膜+进口商贴纸；A 版 3L MA 挂卡/A 版 5L MA 收藏指南
Remark: "1、所有item 均用MA UPC 条码，若包装不是UPC 条码的请告知
2、此单出欧洲需满足EU测试标准要求"</t>
  </si>
  <si>
    <t>4500162283-100</t>
  </si>
  <si>
    <t>（要求每1PCS 的QR 不一样）</t>
  </si>
  <si>
    <t>日期码格式：ZURU INC(BVI) 标准格式 日期：按实际生产日期
Packaging Info: 注意：
 1. QR code 贴纸需要含item和序列号 ， 二维码部分要求尺寸大于1CM （正方形边长间于1-1.5cm），强粘不易脱落 ， 材质同进口商贴纸 ，印刷质量不低于1.5c
 .
 2. 二维码贴纸位置要远离包装上的条码及其他二维码， 贴在背面。
 3. QR code贴纸（要求每1PCS 的QR 不一样 ， 无法通过扫描核实内容）;
 4. 包装上有两个条码： ZURU UPC 和 客户EAN条码 ， 不要覆盖MA 包装上的UPC 条码；
92106 ： 1L MA 包装+ 进口商贴纸（含客户EAN条码）+ QR code贴纸（要求每1PCS 的QR 不一样）， MA 指南；
Remark: 标准配比，出厂价</t>
  </si>
  <si>
    <t>4500163912-80</t>
  </si>
  <si>
    <t>92106-S001-NB</t>
  </si>
  <si>
    <t>日期码格式： 标准格式 日期：按实际生产日期
Packaging Info:
92106无硼版本 .MA 多语EAN 版本+UPC贴纸 . UPC 193052064905
Remark: 出加拿大
Zuru验货.日期跟踪码：产品外包装及产品本身都必须有日期跟踪码，ZURU标准格式日期码</t>
  </si>
  <si>
    <t>92106-S001-NB-3L</t>
  </si>
  <si>
    <t>ZMPO250335</t>
  </si>
  <si>
    <t>Remark:大货最新版本/款号平均/麻烦按款号装箱/箱唛请参照邮件附件;备注： 收到样品订单后尽快安排 ，注意样板品质质量要求要高于大货品质要求 ，送货时必须要附带送货单(没有送货单和QC检验合格报告的仓库一律拒绝收货)，请知悉，谢谢！</t>
  </si>
  <si>
    <t>999-43824</t>
  </si>
  <si>
    <t>4500162935-20</t>
  </si>
  <si>
    <t>92106-S002</t>
  </si>
  <si>
    <t>警告语贴纸翻4500133271</t>
  </si>
  <si>
    <t>日期码格式：ZURU INC(BVI) 标准格式 日期：按实际生产日期
Packaging Info:
92106:MA 最新1L收缩膜+警告语贴纸(Czech-Hugarian-Polish-Slovak，不能覆盖GB语言)翻单4500133271,MA布标/袋子/贴纸,MA5L收藏指南
UPC#193052064905，请先检查包装条码是否正确再安排做货
比例:RHINO:KOALA::ELEPHANT=1:1:1
Remark: 1. 此单出EU，需满足EU测试标准要求，不含微塑料。
产品及包装需要印UKCA图标，包装需要有ZURU UK LTD/ZURU France地址信息，QC同事请核查，如有问题与跟单确认。
2.裝櫃必須按TPND順序 (條形碼貼紙或正嘜必須要朝外向車門外)，不可额外打缠绕带
3.外箱上有条码要求，排版时请留意并请确保条码清晰可扫描（封箱胶不要黏到条码上), 否则客人会有罚款；
4. 如含硼的话， 需用低硼版本(小于300ppm),硼含量需要符合欧洲标准,否则客人会退货有罚款产生</t>
  </si>
  <si>
    <t>4500162935-40</t>
  </si>
  <si>
    <t>4500165404-10</t>
  </si>
  <si>
    <t>进口商贴纸翻4500127527</t>
  </si>
  <si>
    <t>客户日期码：ZUR5156 #92106</t>
  </si>
  <si>
    <t xml:space="preserve">日期码格式：客户日期码 日期：
Packaging Info:
92106：MA+进口商贴纸，翻单4500127527
2.客户日期码：产品/包装/外箱请保持一致。
92106客人日期码：ZUR5156
3.92106需要三套完整大货样寄到客人香港办公室，请多备料。
地址如下： Attn: Sylvia Li Company name: GP Services HK Limited Company address: Suite 1502, 15th Floor, Chinachem Golden Plaza, 77 Mody Road,
TST East, Kowloon, Hong Kong Company address (Chinese): 香港九龍尖沙咀東部麼地道77號華懋廣場1502室 Contact Tel: +852 2739 5363
4.大货验货需要由ZURU QC抽1pc样板寄到广州ITS做EN 71-3测试
92106-1PCS
Remark: </t>
  </si>
  <si>
    <t>GEKAS ULLAREED AB</t>
  </si>
  <si>
    <t>4500160445-90</t>
  </si>
  <si>
    <t>6/19出</t>
  </si>
  <si>
    <t>5/13-EAN贴纸+进口商贴纸</t>
  </si>
  <si>
    <t>日期码格式：ZURU INC(BVI) 标准格式 日期：按实际生产日期
Packaging Info: 
 92106-S001-NB_3L EAN A版收缩膜+MA 袋子/收藏指南/布标+北欧五语通用Slime黑白说明书+进口商贴纸（贴收缩膜）
 北欧五语通用Slime黑白说明书
 带纽扣电池走货北欧六语通用黑白电池说明书
 上述贴纸翻单4500162375，之前已经安排MA 采购，请不要重复采购
Remark: "1. 包装如含PVC,请改为PET，此单出瑞典，需要瑞典语警告语和进口商信息（贴纸需要加上）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SKU-客户SKU-EAN-GTIN
 "
 92106-S001-NB-4894680033702</t>
  </si>
  <si>
    <t>CANADIAN TIRE</t>
  </si>
  <si>
    <t>09848926</t>
  </si>
  <si>
    <t>4500165230-10</t>
  </si>
  <si>
    <t>5/7-UPC贴纸</t>
  </si>
  <si>
    <t>日期码格式：ZURU INC(BVI) 标准格式 日期：按实际生产日期
Packaging Info: 92106： 无硼版本；MA 3L 包装+UPC 贴纸， UPC 193052064905；日期码按5.28号打
Remark: 出加拿大
Zuru验货.日期跟踪码：产品外包装及产品本身都必须有日期跟踪码，ZURU标准格式日期码</t>
  </si>
  <si>
    <t>4500164861-30</t>
  </si>
  <si>
    <t>5/21-外箱贴纸+进口商贴纸+UPC贴纸翻4500156374</t>
  </si>
  <si>
    <t>日期码格式：ZURU INC(BVI) 标准格式 日期：按实际生产日期
Packaging Info:
92106:MA 3L EAN包装+进口商贴纸+UPC贴纸+外箱贴纸+箱唛，进口商贴纸和UPC贴纸翻单PO4500156374
Remark: 此单有第三方监柜，需要每款多备1套完整物料</t>
  </si>
  <si>
    <t>PO#4647599</t>
  </si>
  <si>
    <t>4500160726-10</t>
  </si>
  <si>
    <t>ZB00447-6.11</t>
  </si>
  <si>
    <t>4500165851-30</t>
  </si>
  <si>
    <t>ZURU Q2 Orders</t>
  </si>
  <si>
    <t>4500166758-20</t>
  </si>
  <si>
    <t>日期码格式：ZURU INC(BVI) 标准格式 日期：按实际生产日期
Packaging Info: MA UPC包装(优先1L)，无需加贴纸
Remark: 
92106-92106A RHINO:92106D KOALA:92106B ELEPHANT=1:1:1</t>
  </si>
  <si>
    <t>4500166838-30</t>
  </si>
  <si>
    <t>日期码格式：ZURU INC(BVI) 标准格式 日期：按实际生产日期
Packaging Info: 此单分两批走，所以装运类型和CRD有两种，9283、9296为第二批。
MA UPC包装(优先1L)+1张进口商贴纸,
92106贴纸AW、位置图翻单4500158305。
Remark: 
92106-92106A RHINO:92106D KOALA:92106B ELEPHANT=1:1:1</t>
  </si>
  <si>
    <t>4500167152-230</t>
  </si>
  <si>
    <t>4500167463转</t>
  </si>
  <si>
    <t>日期码格式：ZURU INC(BVI) 标准格式 日期：按实际生产日期
Packaging Info:
12. 92106：MA多语EAN包装+UPC贴纸+MA 多语收藏指南+进口商贴纸+箱唛，UPC贴纸和进口商贴纸翻单4500167152
Remark:
12. 92106：92106A RHINO:92106D KOALA:92106B ELEPHANT=1:1:1</t>
  </si>
  <si>
    <t>4500167152-130</t>
  </si>
  <si>
    <t>日期码格式：ZURU INC(BVI) 标准格式 日期：按实际生产日期
Packaging Info:
11. 92106MA多语EAN包装+MA 多语收藏指南+进口商贴纸+箱唛（UPC贴纸和进口商贴纸合并为一张）
Remark:
12. 92106：92106A RHINO:92106D KOALA:92106B ELEPHANT=1:1:1</t>
  </si>
  <si>
    <t>4500151563-70</t>
  </si>
  <si>
    <t>FB13599</t>
  </si>
  <si>
    <t>4500167191-40</t>
  </si>
  <si>
    <t>客人条码贴纸EAN5056296050408</t>
  </si>
  <si>
    <t>日期码格式：ZURU INC(BVI) 标准格式 日期：按实际生产日期
Packaging Info: 92106:MA 1L UPC 全套包装+ 客人条码贴纸（ EAN 5056296050408）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*订单对应客户7个PO号 ，备注有显示 ，注意分开做货/验货/装柜 ，混装有罚款。
* 大货样： 新款请在6/14 前寄出每款2整套大货样到罗湖办公室7B Sandy Shao 收，翻单不用寄。</t>
  </si>
  <si>
    <t>FB13598</t>
  </si>
  <si>
    <t>4500167191-50</t>
  </si>
  <si>
    <t>ZMPO250412</t>
  </si>
  <si>
    <t xml:space="preserve">大货最新版本/款号平均/麻烦按款号装箱/箱唛请参照邮件附件                                                                                                                                                    备注： 收到样品订单后尽快安排 ，注意样板品质质量要求要高于大货品质要求 ，送货时必须要附带送货单(没有送货单和QC检验合格报告的仓库一律拒绝收货)，请知悉，谢谢！ </t>
  </si>
  <si>
    <t>4500167533-80</t>
  </si>
  <si>
    <t>5/28-UPC贴纸</t>
  </si>
  <si>
    <t>日期码格式：ZURU INC(BVI) 标准格式 日期：按实际生产日期
Packaging Info:
6. 92106: MA多语EAN包装+UPC贴纸+MA 多语收藏指南+箱唛
Remark:
8. 92106: 92106A RHINO:92106D KOALA:92106B ELEPHANT=1:1:1</t>
  </si>
  <si>
    <t>FB13595</t>
  </si>
  <si>
    <t>4500167191-10</t>
  </si>
  <si>
    <t>FB13596</t>
  </si>
  <si>
    <t>4500167191-20</t>
  </si>
  <si>
    <t>FB13597</t>
  </si>
  <si>
    <t>4500167191-30</t>
  </si>
  <si>
    <t>L &lt;(&gt;&amp;&lt;)&gt; M
Fleet Supply
PO P10007409</t>
  </si>
  <si>
    <t>4500161570-700</t>
  </si>
  <si>
    <t xml:space="preserve"> 999-46877 999-46992</t>
  </si>
  <si>
    <t>4500166306-30</t>
  </si>
  <si>
    <t>5/26-4国警告语贴纸</t>
  </si>
  <si>
    <t>请先检查包装条码#193052064905是否正确再安排做货</t>
  </si>
  <si>
    <t>日期码格式：ZURU INC(BVI) 标准格式 日期：按实际生产日期
Packaging Info:
92106: MA A版1L UPC包装(4国警告语贴纸Czech-Hugarian-Polish-Slovak-翻单4500133271),请先检查包装条码#193052064905是否正确再安排做货)
Remark: 1. 此单出EU，需满足EU测试标准要求，不含微塑料。
产品及包装需要印UKCA图标，包装需要有ZURU UK LTD/ZURU France地址信息，QC同事请核查，如有问题与跟单确认。
2.裝櫃必須按TPND順序 (條形碼貼紙或正嘜必須要朝外向車門外)，不可额外打缠绕带
3.外箱上有条码要求，排版时请留意并请确保条码清晰可扫描（封箱胶不要黏到条码上), 否则客人会有罚款；
4. 如含硼的话， 需用低硼版本(小于300ppm),硼含量需要符合欧洲标准,否则客人会退货有罚款产生</t>
  </si>
  <si>
    <t xml:space="preserve"> Sharon Zhao</t>
  </si>
  <si>
    <t>95531-7.2</t>
  </si>
  <si>
    <t>SAM'S MEXICO-COMERCIALIZADORA MEXIC</t>
  </si>
  <si>
    <t>TBC</t>
  </si>
  <si>
    <t>4500160204-10</t>
  </si>
  <si>
    <t>92106SLT-S001</t>
  </si>
  <si>
    <t>超大一窝单托盘</t>
  </si>
  <si>
    <t>6/3-UPC贴纸+产品贴纸</t>
  </si>
  <si>
    <t>例如(LOTDG20240920)</t>
  </si>
  <si>
    <t>日期码格式：LOT+ZURU标准日期码格式 日期：
Packaging Info: 92106SLT： MA 3L EAN包装+UPC贴纸+产品贴纸+客版托盘+箱唛
Remark: 1.此单要第三方验货以及监柜,货好前两周要准备签办给客人(一个托盘和2 sets产品)，请多备料. BV验货当天会要求工厂提供7天内内部的压箱测试报告，请留意安
排。
2.要在6月5号前准备一座完整的slip sheet送测试行做摔箱测试，请多备物料。内部测试要先PASS后才能送测试行做摔箱测试。
3.需要4套样品以及散件寄测试行做大货测试，请多备料
4.包装,托盘和纸箱要均要印保证章
5.托盘要有产品品牌名字及Sam's Mexico的网站地址
6.Sam's PL展示架是要用6mm厚度的护角。
7.3W*4D*3H=36pcs/Slip Sheet;
8.请按要求在集装箱的内侧放置干燥剂，并发照片给客人确认.此单有5个40HC，每个柜子放10袋干燥剂，每袋干燥剂1KG，指定品牌干霸SUPER DRY。
9.客版日期码要求：LOT+ZURU标准日期码格式。东莞生产的格式：LOTDGYYYYMMDD,YYYYMMDD是实际的年月日，例如(LOTDG20240920)
11.货如果需要用到透明贴纸，必须要使用圆形透明胶纸</t>
  </si>
  <si>
    <t xml:space="preserve"> Salling Group A/S</t>
  </si>
  <si>
    <t>4500166233-10</t>
  </si>
  <si>
    <t>5/23-警告语贴纸贴</t>
  </si>
  <si>
    <t>日期码格式：ZURU INC(BVI) 标准格式 日期：按实际生产日期
Packaging Info: 1. 92106: MA_A_3L(warning 23L)_EAN收缩膜+MA A3L Tag+MA_A_5L(warning 9L)收藏指南+MA Accessories bags/Hair Accessories bags+丹麦瑞典芬兰挪威爱沙
 尼亚警告语贴纸贴在袋子上+MA Slime polybag_MA_A_5L(warning 9L)+MA布标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92106-S001-NB:4894680033702</t>
  </si>
  <si>
    <t xml:space="preserve"> Sheba</t>
  </si>
  <si>
    <t>95854-7.31</t>
  </si>
  <si>
    <t>Tiendas Peruanas S.A.</t>
  </si>
  <si>
    <t>4500163837-10</t>
  </si>
  <si>
    <t>6/3-价格贴+Legal贴</t>
  </si>
  <si>
    <t>日期码格式：ZURU INC(BVI) 标准格式 日期：按实际生产日期
Packaging Info: MA 3L A版本包装+价格贴+Legal贴+箱唛
Remark: 1.箱唛：LPN贴（2张）+价格贴（2张），具体要求请跟回Manual
2.大货版本要跟文本备注版本一致，如版本有问题，请在放单时提出，后续不接受更改版本</t>
  </si>
  <si>
    <t>95804-7.28</t>
  </si>
  <si>
    <t>5UL3UKAR</t>
  </si>
  <si>
    <t>4500168127-150</t>
  </si>
  <si>
    <t>日期码格式：ZURU INC(BVI) 标准格式 日期：按实际生产日期
Packaging Info:
7. 92106：MA 3L EAN包装+邮包盒，邮包盒图稿翻单PO4500124874+进口商贴纸+SSCC label
Remark: 1. Amazon FOB订单，出口Mexico，外箱最长边不能超过25" （超过了，case pack只能为1），不符合要求的大货，一律不接受。
2. 空白外箱加印ZURU Logo（四面加印）+MADE IN CHINA（只印一正一侧）+SSCC LABEL(客供贴纸），无shipping mark,日期使用ZURU 标准版本。SSCC Label显示
的是客人自己的item#，SSCC Label 贴在外箱正面的正中间，贴一面即可，跟单订购，贴纸离外箱距必须至少3cm,每一张SSCC Label都是唯一且有不同流水及条码的
，没有损耗，绝对不可贴错，否则贴错或损坏一张会导致全部都错，千万要注意！
3. 日期码使用ZURU标准版
4.此单走整柜，需要安排监装，请每款多备1PC监柜样板</t>
  </si>
  <si>
    <t>12BDC2RG</t>
  </si>
  <si>
    <t>4500168127-300</t>
  </si>
  <si>
    <t>92106B-S001</t>
  </si>
  <si>
    <t>大象</t>
  </si>
  <si>
    <t>此单有第三方监柜，多备一套样品随货送出</t>
  </si>
  <si>
    <t>4LIGUCJC</t>
  </si>
  <si>
    <t>4500168127-420</t>
  </si>
  <si>
    <t>92106A-S001</t>
  </si>
  <si>
    <t>犀牛</t>
  </si>
  <si>
    <t>5R86227W</t>
  </si>
  <si>
    <t>4500168867-50</t>
  </si>
  <si>
    <t>进口商贴纸翻4500168127+6/19-SSCC label</t>
  </si>
  <si>
    <t>邮包盒图稿翻单PO4500124874</t>
  </si>
  <si>
    <t>日期码格式：ZURU INC(BVI) 标准格式 日期：按实际生产日期
Packaging Info:
3. 92106：MA 3L EAN包装+邮包盒，邮包盒图稿翻单PO4500124874+进口商贴纸翻单PO4500168127+SSCC label
Remark:
2. Amazon FOB订单，出口Mexico，外箱最长边不能超过25" （超过了，case pack只能为1），不符合要求的大货，一律不接受。
3. 空白外箱加印ZURU Logo（四面加印）+MADE IN CHINA（只印一正一侧）+SSCC LABEL(客供贴纸），无shipping mark,日期使用ZURU 标准版本。SSCC Label显示
的是客人自己的item#，SSCC Label 贴在外箱正面的正中间，贴一面即可，跟单订购，贴纸离外箱距必须至少3cm,每一张SSCC Label都是唯一且有不同流水及条码的
，没有损耗，绝对不可贴错，否则贴错或损坏一张会导致全部都错，千万要注意！
4. 日期码使用ZURU标准版</t>
  </si>
  <si>
    <t>95662-7.16</t>
  </si>
  <si>
    <t>250400000359</t>
  </si>
  <si>
    <t>4500166992-110</t>
  </si>
  <si>
    <t>日期码格式：ZURU INC(BVI) 标准格式 日期：按实际生产日期
Packaging Info:
11.92106：MA 最新版 3L+23L EAN 收缩膜+MA 5L+9L slime说明书+MA 5L+9L 收藏指南+其它MA包装；
Remark: 1.STD配比；
2.外箱需要印条码，请确保条码可以清晰扫描且条码内容正确；
3.出欧洲，微塑料需合规（如item本身不含微塑料,则忽略此要求）;
4.所有产品需要符合REACH申明。</t>
  </si>
  <si>
    <t>95850-7.31</t>
  </si>
  <si>
    <t>4500168730-20</t>
  </si>
  <si>
    <t>日期码格式：ZURU INC(BVI) 标准格式 日期：按实际生产日期
Packaging Info:；
92106：MA UPC收缩膜+进口商贴纸；MA指南；
Remark: 标准配比</t>
  </si>
  <si>
    <t>95717-7.21</t>
  </si>
  <si>
    <t>4500169123-80</t>
  </si>
  <si>
    <t>收到SO，预计7/19</t>
  </si>
  <si>
    <t>日期码格式：ZURU INC(BVI) 标准格式 日期：按实际生产日期
Packaging Info:
8.92106：MA 最新版 3L+23L EAN 收缩膜+MA 5L+9L slime polybag+MA 5L+9L 收藏指南+其它MA包装；
Remark: 1. 如MA 产品中有大于10*10cm的塑料袋，必须印上英语/荷兰语/法语/德语的防窒息警告语，印刷内容请与跟单确认；
2. 所有塑料袋的厚度不小于0.038mm；
3. 订单出比利时，产品及包装需要印CE图标；包装需要有ZURU France地址信息，QC同事请核查，如有问题与跟单确认；
4. 标准配比；
5. 出欧洲，微塑料需合规（如item本身不含微塑料 则忽略此要求）。</t>
  </si>
  <si>
    <t>516ARJ1G</t>
  </si>
  <si>
    <t>4500169872-110</t>
  </si>
  <si>
    <t>邮包盒4500124874</t>
  </si>
  <si>
    <t>进口商贴纸翻4500168127</t>
  </si>
  <si>
    <t>6/19-SSCC LABEL贴纸</t>
  </si>
  <si>
    <t>日期码格式：ZURU INC(BVI) 标准格式 日期：按实际生产日期
Packaging Info: 
4. 92106A：MA 3L EAN包装+邮包盒，邮包盒图稿翻单PO4500124874+进口商贴纸，进口商贴纸翻单PO4500168127
Remark: 1. Amazon FOB订单，出口Mexico，外箱最长边不能超过25" （超过了，case pack只能为1），不符合要求的大货，一律不接受。
2. 空白外箱加印ZURU Logo（四面加印）+MADE IN CHINA（只印一正一侧）+SSCC LABEL(客供贴纸），无shipping mark,日期使用ZURU 标准版本。SSCC Label显示
的是客人自己的item#，SSCC Label 贴在外箱正面的正中间，贴一面即可，跟单订购，贴纸离外箱距必须至少3cm,每一张SSCC Label都是唯一且有不同流水及条码的
，没有损耗，绝对不可贴错，否则贴错或损坏一张会导致全部都错，千万要注意！
3. 日期码使用ZURU标准版</t>
  </si>
  <si>
    <t>95803-7.28</t>
  </si>
  <si>
    <t>TJX UK:
PO#50345383</t>
  </si>
  <si>
    <t>4500167904-10</t>
  </si>
  <si>
    <t>7/11-客供价格贴纸</t>
  </si>
  <si>
    <t>日期码格式：ZURU INC(BVI) 标准格式 日期：按实际生产日期
Packaging Info: 92106：MA3L (23L warning) 最新EAN包装+1张客供价格贴纸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</si>
  <si>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95849-7.31</t>
  </si>
  <si>
    <t>4500163691-170</t>
  </si>
  <si>
    <t>日期码格式：DG20250520 日期：
Packaging Info: 92106:MA 3L EAN 包装+进口商贴纸（进口商贴纸和UPC贴纸合并为一张）+箱唛
Remark:</t>
  </si>
  <si>
    <t>TJX
Europe-DE:
PO#55345315</t>
  </si>
  <si>
    <t>4500167911-10</t>
  </si>
  <si>
    <t>95848-7.31</t>
  </si>
  <si>
    <t>TJX
Europe-DE:
PO#55345321</t>
  </si>
  <si>
    <t>4500167911-20</t>
  </si>
  <si>
    <t>TJX
Europe-DE:
PO#55345323</t>
  </si>
  <si>
    <t>4500167911-30</t>
  </si>
  <si>
    <t>4500160470-90</t>
  </si>
  <si>
    <t>日期码格式：ZURU INC(BVI) 标准格式 日期：按实际生产日期
Packaging Info: 
92106-S001-NB_3L EAN A版收缩膜+MA 袋子/收藏指南/布标+北欧五语通用Slime黑白说明书+进口商贴纸（贴收缩膜）
北欧五语通用Slime黑白说明书
带纽扣电池走货北欧六语通用黑白电池说明书
上述贴纸翻单4500162375，之前已经安排MA 采购，请不要重复采购
此单资料全部翻单4500160445
Remark: "1. 包装如含PVC,请改为PET，此单出瑞典，需要瑞典语警告语和进口商信息（贴纸需要加上）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SKU-客户SKU-EAN-GTIN
"
92106-S001-NB-4894680033702</t>
  </si>
  <si>
    <t>95851-7.31</t>
  </si>
  <si>
    <t>4500169407-10</t>
  </si>
  <si>
    <t>日期码格式：ZURU INC(BVI) 标准格式 日期：按实际生产日期
Packaging Info: MA 1L PKG+1 张进口商贴纸（不得遮挡日期码）MA 收藏指南，
92106：进口商贴纸AW 和位置图翻单4500165851
进口商贴纸（不得遮挡日期码）
Remark:</t>
  </si>
  <si>
    <t>TJX UK:
PO#50345390</t>
  </si>
  <si>
    <t>4500167904-20</t>
  </si>
  <si>
    <t>TJX UK:
PO#50345395</t>
  </si>
  <si>
    <t>4500167904-30</t>
  </si>
  <si>
    <t>TJX UK:
PO#50345396</t>
  </si>
  <si>
    <t>4500167904-40</t>
  </si>
  <si>
    <t>Asmodee Czech Republic s.r.o.</t>
  </si>
  <si>
    <t xml:space="preserve">捷克共和国 </t>
  </si>
  <si>
    <t>4500169186-30</t>
  </si>
  <si>
    <t>日期码格式：ZURU INC(BVI) 标准格式 日期：按实际生产日期
Packaging Info: 
92106：A 版 1L MA 收缩膜+进口商贴纸；A 版 3L MA 挂卡/A 版 5L MA 收藏指南
Remark: 1、若产品有比例使用ZURU STD 比例
2、所有item 均用MA UPC条码，若包装上的UPC 条码与PO 不一致的请告知
3、此单出欧洲需满足EU测试标准要求"</t>
  </si>
  <si>
    <t>95853-7.31</t>
  </si>
  <si>
    <t>4500159848-190</t>
  </si>
  <si>
    <t>日期码格式：2025-07 日期：
Packaging Info: 92106; MA 3L EAN包装+UPC贴纸+MA多语收藏指南+进口商贴纸+箱唛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92106: 92106A RHINO:92106D KOALA:92106B ELEPHANT=1:1:1
Hershey's-Chocolate Syrup 24 oz
Hershey's-Mini Chocolate Syrup 24 oz
Hershey's-Strawberry Syrup 22 oz</t>
  </si>
  <si>
    <t>4500164774-210</t>
  </si>
  <si>
    <t>日期码格式：2025-07 日期：
Packaging Info:92106: MA 3L EAN包装+UPC贴纸+MA多语收藏指南+进口商贴纸+箱唛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92106: 92106A RHINO:92106D KOALA:92106B ELEPHANT=1:1:1
Hershey's-Chocolate Syrup 24 oz
Hershey's-Mini Chocolate Syrup 24 oz
Hershey's-Strawberry Syrup 22 oz</t>
  </si>
  <si>
    <t xml:space="preserve"> TIENDAS POR DEPARTAMENTO</t>
  </si>
  <si>
    <t>4500164141-20</t>
  </si>
  <si>
    <t>7/8-进口商贴纸+7/10-RFID LABEL+UPC贴纸</t>
  </si>
  <si>
    <t>日期码格式：ZURU INC(BVI) 标准格式 日期：按实际生产日期
Packaging Info:
 92106：MA 3L A版本EAN包装+MA多语A版本说明书+进口商贴纸+RFID LABEL+箱唛+UPC贴纸
Remark:
 1. RFID lable 要跟Avery Dennison供应商订购
 2. 箱唛:LPN 贴纸(工厂可以选择跟指定供应商订，也可以选择根据提供的资料去找其他供应商，但要确保LPN的格式/尺寸/条形码流水号符合客户要求。否则会有U
 SD 5/一箱的罚款)，+Carton Label, 两款贴纸都只贴侧唛一面。
 3.请按照客户要求出货否则会产生相应的罚款"
 4.大货版本要跟文本备注版本一致，如版本有问题，请在放单时提出，后续不接受更改版本。</t>
  </si>
  <si>
    <t>4500169355-40</t>
  </si>
  <si>
    <t>日期码格式：ZURU INC(BVI) 标准格式 日期：按实际生产日期
Packaging Info:92106 : 1L MA UPC 包装+进口商贴纸(含客人条码）， MA 说明书/指南（如有）；
Remark: 标准配比
1.外箱有贴纸：
外箱正唛两面需要印产品黑白款式的图片；
外箱侧唛（两面）的右上角各贴一张外箱贴纸.
2.此客户验货时需要提供以下三种图片，请务必拍照清晰图片：
产品净重图片；
产品+包装毛重图片；
一箱产品的毛重图片。</t>
  </si>
  <si>
    <t>MX-530-CH-ZURU25B</t>
  </si>
  <si>
    <t>4500166920-50</t>
  </si>
  <si>
    <t>6/20-进口商贴纸</t>
  </si>
  <si>
    <t>日期码格式：ZURU INC(BVI) 标准格式 日期：按实际生产日期
Packaging Info:
92106: MA 3L EAN包装+进口商贴纸(进口商贴跟UPC贴纸合并一张）+箱唛
Remark: 1. 此单有第三方监柜，多备一套样品随货送出
6. 92106: 92106A RHINO:92106D KOALA:92106B ELEPHANT=1:1:1</t>
  </si>
  <si>
    <t>95841-7.31</t>
  </si>
  <si>
    <t>Marshalls
PO#767789
SKU#855195
DC#881-428pcs
,
DC#884-376pcs
,
DC#886-468pcs
,
DC#887-480pcs
,
DC#888-448pcs</t>
  </si>
  <si>
    <t>4500171908-90</t>
  </si>
  <si>
    <t>7/16-价格贴纸</t>
  </si>
  <si>
    <t>Marshalls
PO#767788
SKU#855963
DC#881-176pcs
,
DC#884-188pcs
,
DC#886-188pcs
,
DC#887-228pcs
,
DC#888-220pcs</t>
  </si>
  <si>
    <t>4500171907-90</t>
  </si>
  <si>
    <t>日期码格式：ZURU INC(BVI) 标准格式 日期：按实际生产日期
Packaging Info: MA UPC包装+价格贴纸，价格贴纸客供。
2PK/3PK的球用无条码收缩膜或者用空白贴纸覆盖原条码。
Remark: 1. 产品和包装上印刷tracking code信息，格式为ZURU常规格式。
2. 分4-5个DC出货，每款产品每个DC的箱唛资料不同。具体分DC数量，请参考后面行项目备注。
3. ZURU QC验货。</t>
  </si>
  <si>
    <t>ZB01100-8.6  ZB01158-8.8  ZB01208-8.12  ZB01230-8.13</t>
  </si>
  <si>
    <t>4500164920-90</t>
  </si>
  <si>
    <t>6/20-(进口商贴纸和UPC贴纸合并为1张）+7/4价标贴纸</t>
  </si>
  <si>
    <t>日期码格式：ZURU INC(BVI) 标准格式 日期：按实际生产日期
Packaging Info: 92106:MA 3L EAN包装+进口商贴纸(进口商贴纸和UPC贴纸合并为1张）+价标贴纸+箱唛
Remark: 1. 此单价格贴纸（ZURU定购).
2.此单有第三方监柜，不用额外准备备品，会在大货中每款拆1pc，拆了包装的产品会由监装员用客供胶带封好或在外箱上写上"opened by telescope"</t>
  </si>
  <si>
    <t>300579141</t>
  </si>
  <si>
    <t>4500171058-60</t>
  </si>
  <si>
    <t>7/3-+slime袋子贴纸+进口商贴纸翻4500160445</t>
  </si>
  <si>
    <t>日期码格式：ZURU INC(BVI) 标准格式 日期：按实际生产日期
Packaging Info:92106-S001-NB_3L EAN A版收缩膜+MA 其它包装+slime袋子贴纸（瑞典语警告语，不要挡住英语）+进口商贴纸（翻单4500160445）+MA_B_Hair Accessories bags贴
纸（瑞典语警告语，不要挡住英语）
Remark: 1. 包装如含PVC,请改为PET，此单出瑞典，需要瑞典语警告语和进口商信息（贴纸需要加上）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SKU-客户SKU-EAN-GTIN
92106-S001-NB-4894680033702</t>
  </si>
  <si>
    <t>TJ MAXX
PO#767796
SKU#134956
DC#891-584pcs
,
DC#894-384pcs
,
DC#896-352pcs
,
DC#897-676pcs
,
DC#898-404pcs</t>
  </si>
  <si>
    <t>4500171919-90</t>
  </si>
  <si>
    <t>TJ MAXX
PO#767795
SKU#136183
DC#891-304pcs
,
DC#894-136pcs
,
DC#896-196pcs
,
DC#897-356pcs
,
DC#898-208pcs</t>
  </si>
  <si>
    <t>4500171918-90</t>
  </si>
  <si>
    <t>Marshalls
PO#767790
SKU#856254
DC#881-428pcs
,
DC#884-380pcs
,
DC#886-464pcs
,
DC#887-480pcs
,
DC#888-448pcs</t>
  </si>
  <si>
    <t>4500171912-90</t>
  </si>
  <si>
    <t>日期码格式：ZURU INC(BVI) 标准格式 日期：按实际生产日期
Packaging Info: MA UPC包装+价格贴纸，价格贴纸客供。
2PK/3PK的球用无条码收缩膜或者用空白贴纸覆盖原条码。
Remark: 产品和包装上印刷tracking code信息，格式为ZURU常规格式。
2. 分5个DC出货，每款产品每个DC的箱唛资料不同。具体分DC数量，请参考后面行项目备注。
3. ZURU QC验货。</t>
  </si>
  <si>
    <t>Marshalls
PO#767786
SKU#855010
DC#881-204pcs
,
DC#884-148pcs
,
DC#886-240pcs
,
DC#887-220pcs
,
DC#888-188pcs</t>
  </si>
  <si>
    <t>4500171915-80</t>
  </si>
  <si>
    <t>TJ MAXX
PO#767798
SKU#135487
DC#891-580pcs
,
DC#894-384pcs
,
DC#896-356pcs
,
DC#897-676pcs
,
DC#898-404pcs</t>
  </si>
  <si>
    <t>4500171921-90</t>
  </si>
  <si>
    <t>4500164451-70</t>
  </si>
  <si>
    <t>5/28-进口商贴纸+EAN条码贴</t>
  </si>
  <si>
    <t>日期码格式：外包装/外箱不要打ZURU标准日期码 日期：
Packaging Info: 注意:外包装(指:收缩膜/彩卡/铝箔袋/挂卡/PDQ)/外箱不要打ZURU标准日期码!胶件可以打日期码。
92106: 1L MA UPC 包装+进口商贴纸+EAN条码贴纸， MA 指南/说明书（如有）；
Remark: 标准配比
请按期完货， 会有罚金。
出2个港口Bekasovo 2 &lt;(&gt;&amp;&lt;)&gt; Ural</t>
  </si>
  <si>
    <t>4500169776-10</t>
  </si>
  <si>
    <t>丹麦瑞典芬兰挪威爱沙尼亚警告语贴纸贴翻4500166233</t>
  </si>
  <si>
    <t>日期码格式：ZURU INC(BVI) 标准格式 日期：按实际生产日期
Packaging Info: 1. 92106: MA_A_3L(warning 23L)_EAN收缩膜+MA A3L Tag+MA_A_5L(warning 9L)收藏指南+MA Accessories bags/Hair Accessories bags+丹麦瑞典芬兰挪威爱沙
尼亚警告语贴纸贴在袋子上(贴纸和位置图翻PO#4500166233)+MA Slime polybag_MA_A_5L(warning 9L)+MA布标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92106-S001-NB:4894680033702</t>
  </si>
  <si>
    <t>INTERBRANDS ORBICO</t>
  </si>
  <si>
    <t>罗马尼亚</t>
  </si>
  <si>
    <t>4500170206-30</t>
  </si>
  <si>
    <t>6/25收到</t>
  </si>
  <si>
    <t>7/15-进口商贴纸</t>
  </si>
  <si>
    <t>日期码格式：ZURU INC(BVI) 标准格式 日期：按实际生产日期
Packaging Info:
92106: MA A版 1L UPC收缩膜+进口商贴纸
Remark: 1、若产品有比例使用ZURU STD 比例
2、所有item 均用MA UPC 条码，若包装不是UPC 条码的请告知
3、此单出欧洲需满足EU测试标准要求，另外不能出闪粉（若产品本身不含闪粉则忽略这句话）
92106: Ratio: 92106A RHINO:92106D KOALA:92106B ELEPHANT=1:1:1</t>
  </si>
  <si>
    <t>4500172203-50</t>
  </si>
  <si>
    <t>ZB01133-8.8</t>
  </si>
  <si>
    <t>4500170750-130</t>
  </si>
  <si>
    <t>日期码格式：ZURU INC(BVI) 标准格式 日期：按实际生产日期
Packaging Info:
92106:MA 3L EAN PKG+UPC 条码贴纸+MA 收藏指南+进口商贴纸+箱唛
所有带电产品的保证书通用1份
Remark: 
92106:92106A RHINO:92106D KOALA:92106B ELEPHANT=1:1:1</t>
  </si>
  <si>
    <t>4500164457-70</t>
  </si>
  <si>
    <t>进口商贴纸+EAN条码贴纸翻4500164451</t>
  </si>
  <si>
    <t>日期码格式：外包装/外箱不要打ZURU标准日期码 日期：
Packaging Info: 注意:外包装(指:收缩膜/彩卡/铝箔袋/挂卡/PDQ)/外箱不要打ZURU标准日期码!胶件可以打日期码。
92106: 1L MA UPC 包装+进口商贴纸翻4500164451+EAN条码贴纸翻4500164451， MA 指南/说明书（如有）；
Remark: 标准配比
请按期完货， 会有罚金。
出2个港口Bekasovo 2 &lt;(&gt;&amp;&lt;)&gt; Ural</t>
  </si>
  <si>
    <t>4500164457-160</t>
  </si>
  <si>
    <t>TJ MAXX
PO#767792
SKU#135756
DC#891-292pcs
,
DC#894-216pcs
,
DC#896-160pcs
,
DC#897-324pcs
,
DC#898-208pcs</t>
  </si>
  <si>
    <t>4500171923-80</t>
  </si>
  <si>
    <t>ZB01220-8.12</t>
  </si>
  <si>
    <t>4500164451-160</t>
  </si>
  <si>
    <t>4500170226-30</t>
  </si>
  <si>
    <t>日期码格式：ZURU INC(BVI) 标准格式 日期：按实际生产日期
Packaging Info: 
92106: MA A版 1L UPC收缩膜+进口商贴纸 (翻单4500170206)
Remark: 1、若产品有比例使用ZURU STD 比例
2、所有item 均用MA UPC 条码，若包装不是UPC 条码的请告知
3、此单出欧洲需满足EU测试标准要求，另外不能出闪粉（若产品本身不含闪粉则忽略这句话）
92106: Ratio: 92106A RHINO:92106D KOALA:92106B ELEPHANT=1:1:1</t>
  </si>
  <si>
    <t>4500173090-70</t>
  </si>
  <si>
    <t>日期码格式：ZURU INC(BVI) 标准格式 日期：按实际生产日期
Packaging Info:
13. 92106：MA_1L UPC版本包装（收缩膜和收藏指南, MA首选1L，如无1L可用多语且含英语的配套多语包装）+ 箱唛 +1张进口商贴纸
Remark: 1. 此单出澳大利亚，请按澳洲标准生产并满足当地法规要求</t>
  </si>
  <si>
    <t>PO1132534-YTF
C1-SYD</t>
  </si>
  <si>
    <t>4500173087-30</t>
  </si>
  <si>
    <t>日期码格式：ZURU INC(BVI) 标准格式 日期：按实际生产日期
Packaging Info:
92106：MA_1L UPC版本包装（收缩膜和收藏指南, MA首选1L，如无1L可用多语且含英语的配套多语包装）+ 箱唛 +1张进口商贴纸
Remark: 此单出澳大利亚，请按澳洲标准生产并满足当地法规要求</t>
  </si>
  <si>
    <t>4500173120-70</t>
  </si>
  <si>
    <t>日期码格式：ZURU INC(BVI) 标准格式 日期：按实际生产日期
Packaging Info: 
92106：MA_1L UPC版本包装（收缩膜和收藏指南, MA首选1L，如无1L可用多语且含英语的配套多语包装）+ 箱唛 +1张进口商贴纸
Remark: 此单出澳大利亚，请按澳洲标准生产并满足当地法规要求</t>
  </si>
  <si>
    <t>4500173107-70</t>
  </si>
  <si>
    <t>4500173092-60</t>
  </si>
  <si>
    <t>日期码格式：ZURU INC(BVI) 标准格式 日期：按实际生产日期
Packaging Info: 
12. 92106：MA_1L UPC版本包装（收缩膜和收藏指南, MA首选1L，如无1L可用多语且含英语的配套多语包装）+ 箱唛 +1张进口商贴纸
Remark: 1. 此单出澳大利亚，请按澳洲标准生产并满足当地法规要求</t>
  </si>
  <si>
    <t>4500173094-70</t>
  </si>
  <si>
    <t>4500169448-20</t>
  </si>
  <si>
    <t>日期码格式：ZURU INC(BVI) 标准格式 日期：按实际生产日期
Packaging Info: 注意 ： 外包装（包括PDQ,彩卡/收缩膜/挂卡，外箱）上不能有社交logo ,如有请加额外贴纸覆盖 ；
92106：1L MA UPC 版本收缩膜+进口商贴纸,MA 最新指南;
Remark: 标准配比；</t>
  </si>
  <si>
    <t>SMYTHS TOYS HQ UC IE</t>
  </si>
  <si>
    <t>爱尔兰</t>
  </si>
  <si>
    <t>CUS
PO#4400495964</t>
  </si>
  <si>
    <t>4500173325-10</t>
  </si>
  <si>
    <t>92106A-S002</t>
  </si>
  <si>
    <t>德语callout翻译贴纸翻4500126763</t>
  </si>
  <si>
    <t>日期码格式：ZURU INC(BVI) 标准格式 日期：按实际生产日期
Packaging Info: 92106A: MA 3L(23LWarning) EAN最新版彩盒 + 1张德语callout翻译贴纸(翻4500126763)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</si>
  <si>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92106A-S002-3L</t>
  </si>
  <si>
    <t>4500170167-30</t>
  </si>
  <si>
    <t>日期码格式：ZURU INC(BVI) 标准格式 日期：按实际生产日期
Packaging Info:
92106：MA多语EAN包+MA多语收藏指南++进口商贴纸(进口商贴纸同UPC贴纸合并一张)+箱唛
Remark: 
92106：92106A RHINO:92106D KOALA:92106B ELEPHANT=1:1:1</t>
  </si>
  <si>
    <t>4500174183-50</t>
  </si>
  <si>
    <t>7/24-客人款号带EAN条码4894680033702贴纸</t>
  </si>
  <si>
    <t>日期码格式：ZURU INC(BVI) 标准格式 日期：按实际生产日期
Packaging Info: 
92106:MA 3L+23L警语收缩膜+1张客人款号带EAN条码（4894680033702）贴纸，MA A版布标， MA 5L+9L收藏指南， MA 贴纸， MA 最新版袋子
Remark: 1.所有产品按符合欧洲标准走货，微塑料需合规。
2.所有包装材料都不允许PVC, 请用PET代替
3.样板需求： 每个item 需要寄出1 PC 大货样，请多备料
4.日期码和批次号都要打在产品和包装上，日期码按ZURU标准格式，批次号是IO-2501981（IO是大写英文字母）
5.所有出往欧洲市场订单的电子产品需增加一张WEEE声明说明书，区分带电池和不带电池版本, 如已做客版说明书可忽略此要求。
6. 客人款号:
92106:576-2106</t>
  </si>
  <si>
    <t>SMYTHS TOYS HQ UC UK</t>
  </si>
  <si>
    <t>CUS
PO#4400495967</t>
  </si>
  <si>
    <t>4500173322-10</t>
  </si>
  <si>
    <t>日期码格式：ZURU INC(BVI) 标准格式 日期：按实际生产日期
Packaging Info: 92106A：MA 3L(23LWarning) EAN最新版彩盒 + 1张德语callout翻译贴纸(翻4500126763)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</si>
  <si>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4500164464-70</t>
  </si>
  <si>
    <t>4500164464-160</t>
  </si>
  <si>
    <t>4500172982-120</t>
  </si>
  <si>
    <t>7/24-进口商贴纸</t>
  </si>
  <si>
    <t>日期码格式：ZURU INC(BVI) 标准格式 日期：按实际生产日期
Packaging Info:92106:MA 多语 EAN包装+进口商贴纸+箱唛
Remark: 进口商贴纸请多备料5pcs,出货后需要寄给客户</t>
  </si>
  <si>
    <t>4500174573-10</t>
  </si>
  <si>
    <t>8/8客供价格贴纸</t>
  </si>
  <si>
    <t>ZB01741-9.6</t>
  </si>
  <si>
    <t>4500174571-10</t>
  </si>
  <si>
    <t>ZB01740-9.6</t>
  </si>
  <si>
    <t>诶及</t>
  </si>
  <si>
    <t>4500175444-20</t>
  </si>
  <si>
    <t>8/13-进口商贴纸</t>
  </si>
  <si>
    <t>日期码格式：ZURU INC(BVI) 标准格式 日期：按实际生产日期
Packaging Info:
92106:包装MA EAN收缩膜+进口商贴纸，收缩膜EAN条码显示4894680033702，产品年龄3+
客人箱唛排版，印4面，条码内容4894680033702;
Remark:</t>
  </si>
  <si>
    <t>4500173266-10</t>
  </si>
  <si>
    <t>4500175435-10</t>
  </si>
  <si>
    <t>日期码格式：ZURU INC(BVI) 标准格式 日期：按实际生产日期
Packaging Info: 92106：1L MA UPC收缩膜+客户通用贴纸；MA 指南
Remark:</t>
  </si>
  <si>
    <t>CDM TRADE LLC</t>
  </si>
  <si>
    <t>4500175614-10</t>
  </si>
  <si>
    <t>日期码格式：ZURU INC(BVI) 标准格式 日期：按实际生产日期
Packaging Info: 1L MA UPC 包装+ 进口商贴纸， MA PDQ/指南/说明书 （如STD 产品包含）
Remark:</t>
  </si>
  <si>
    <t>A96644-10.14</t>
  </si>
  <si>
    <t>ADIR INTERNATIOAL/ CURACAO</t>
  </si>
  <si>
    <t>ALKAA-B</t>
  </si>
  <si>
    <t>4500175962-10</t>
  </si>
  <si>
    <t>8/14收到,外箱两正唛各贴一张UPC贴纸, 侧唛不用贴，贴纸做成普通白色贴纸即可</t>
  </si>
  <si>
    <t>日期码格式：ZURU INC(BVI) 标准格式 日期：按实际生产日期
Packaging Info: 1. 包装方式：MA UPC 优先1L 最新包装，出口美国
Remark: 2. 产品和包装上印刷tracking code信息，格式为ZURU常规;
3. ZURU QC验货即可出货;
4.92106外箱两正唛各贴一张UPC贴纸, 侧唛不用贴，贴纸做成普通白色贴纸即可.</t>
  </si>
  <si>
    <t>ZB02179-9.27</t>
  </si>
  <si>
    <t>4500172208-40</t>
  </si>
  <si>
    <t>4500173508-20</t>
  </si>
  <si>
    <t>4500176177-50</t>
  </si>
  <si>
    <t>4500178155-40</t>
  </si>
  <si>
    <t>日期码格式：ZURU INC(BVI) 标准格式 日期：按实际生产日期
Packaging Info:
92106：A 版 1L MA 收缩膜+进口商贴纸（翻4500135326 &lt;(&gt;&amp;&lt;)&gt;4500135339）；A 版 3L MA 挂卡/A 版 5L MA 收藏指南
Remark: 1、若产品有比例使用ZURU STD 比例
2、所有item 均用MA UPC 条码，若包装不是UPC 条码的请告知
3、此单出欧洲需满足EU测试标准要求</t>
  </si>
  <si>
    <t>4500179226-20</t>
  </si>
  <si>
    <r>
      <rPr>
        <sz val="14"/>
        <color rgb="FF1506E0"/>
        <rFont val="宋体"/>
        <charset val="134"/>
      </rPr>
      <t>日期码格式：ZURU INC(BVI) 标准格式 日期：按实际生产日期
Packaging Info: 1. 外箱侧唛</t>
    </r>
    <r>
      <rPr>
        <sz val="14"/>
        <color rgb="FFFF0000"/>
        <rFont val="宋体"/>
        <charset val="134"/>
      </rPr>
      <t>（一面）</t>
    </r>
    <r>
      <rPr>
        <sz val="14"/>
        <color rgb="FF1506E0"/>
        <rFont val="宋体"/>
        <charset val="134"/>
      </rPr>
      <t>的右上角各贴一张外箱贴纸 ;
2. 9298/92106：1LMA 收缩膜+进口商贴纸（含EAN 条码）；MA指南
15759UQ1：MA UPC 彩盒+3+年龄贴纸+ QR 贴纸（含RU 警告语，客户EAN条码等....一物一码,格式要求DATA MATRIX GS1）, MA PDQ + 进口商贴纸 ；
15759UQ1 货期6月12 ， 9298/92106 货期 11月18 。
Remark: 1. 标准配比
2. 此客户验货时需要提供以下三种图片，请务必拍照清晰图片，</t>
    </r>
    <r>
      <rPr>
        <sz val="14"/>
        <color rgb="FFFF0000"/>
        <rFont val="宋体"/>
        <charset val="134"/>
      </rPr>
      <t>需要提供ZURU自检报告给客户确认后才能放货</t>
    </r>
    <r>
      <rPr>
        <sz val="14"/>
        <color rgb="FF1506E0"/>
        <rFont val="宋体"/>
        <charset val="134"/>
      </rPr>
      <t xml:space="preserve">
产品净重图片；
产品+包装毛重图片；
一箱产品的毛重图片。
</t>
    </r>
    <r>
      <rPr>
        <sz val="14"/>
        <color rgb="FFFF0000"/>
        <rFont val="宋体"/>
        <charset val="134"/>
      </rPr>
      <t>3. 零售包装上的QR code贴纸（要求一物一码，每PCS的二维码不一样，可按包装大小适当调整确保产品的美观 ，白底黑字，铜版纸印刷，印制的二维码必须清晰
且耐磨，确保在收银台处至少能连续读取两年，分辨率要大于300dpi ; QR CODE 格式要求DATA MATRIX GS1 ；
4. ZURU自检前2周需要提供QR CODE 入外箱以及入货柜的明细清单供客户清关使用;</t>
    </r>
  </si>
  <si>
    <t>4500184922-70</t>
  </si>
  <si>
    <t>客人警告语贴纸翻4500127527</t>
  </si>
  <si>
    <t>日期码格式：ZURU INC(BVI) 标准格式 日期：按实际生产日期
Packaging Info: 1. 
92106：MA 1L收缩膜/MA收藏指南 +客人警告语贴纸（含客户条码）(贴纸翻单4500127527); MA布标；
2. 日期码：外箱上需要印客户日期码和ZURU STD日期码，其中客户日期码为ZUR5346；产品/布标/包装印zuru std生产日期的日期码，产品/包装/外箱上的ZURU STD
日期码必须保持一致。
3.每个item需要两套完整大货样, 寄到客户香港办公室，请多备料，地址如下：
Attn: Sylvia Li
Company name: GP Services HK Limited
Company address: Suite 1502, 15th Floor, Chinachem Golden Plaza, 77 Mody Road, TST East, Kowloon, Hong Kong
Company address (Chinese): 香港九龍尖沙咀東部麼地道77號華懋廣場1502室
Contact Tel: +852 2739 5363
4.大货验货需要由ZURU QC抽如下数量样板寄到广州ITS做EN 71-3测试
广东实验室地址：Mr. Sunday Huang /黄好远
Direct Line: 15360632289
深圳天祥质量技术服务有限公司广州分公司
广州市黄埔区保盈东路8号华盈科技大厦A座5楼 天祥检测 轻工玩具部 （邮编：510730）
样品数量：含slime的每款item1pcs的大货样
Remark:
92106：92106A RHINO:92106D KOALA:92106B ELEPHANT=1:1:1.</t>
  </si>
  <si>
    <t>A97499-1.12</t>
  </si>
  <si>
    <t>4500185221-30</t>
  </si>
  <si>
    <t>箱唛翻4500153795</t>
  </si>
  <si>
    <t>中文布标+中文收藏指南+外挂中文标签+中文CCC贴纸+ 年龄贴（8+）+客供芯片码 翻4500153795</t>
  </si>
  <si>
    <t>日期码格式：ZURU INC(BVI) 标准格式 日期：按实际生产日期
Packaging Info: 物料要求 SKU
3 92106 MA+中文布标+中文收藏指南+外挂中文标签+中文CCC贴纸+ 年龄贴（8+）+客供芯片码 翻单： 4500153795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 位置产品和箱唛对应贴好</t>
  </si>
  <si>
    <t>4500185070-180</t>
  </si>
  <si>
    <r>
      <rPr>
        <sz val="14"/>
        <color rgb="FF0000FF"/>
        <rFont val="宋体"/>
        <charset val="134"/>
      </rPr>
      <t xml:space="preserve">日期码格式：ZURU INC(BVI) 标准格式 日期：按实际生产日期
Packaging Info: 1. 请注意有电池指定品牌：
2. 请确保包装上的条形码是UPC，如果是babyUPC，需要用mother UPC覆盖，如有不一致，请及时提出。谢谢!
92106,,MA 3L EAN包装+MA 多语收藏指南+MA PDQ+进口商贴纸（进口商贴纸同UPC贴纸合并一张）+箱唛
Remark: 
</t>
    </r>
    <r>
      <rPr>
        <sz val="14"/>
        <color rgb="FFFF0000"/>
        <rFont val="宋体"/>
        <charset val="134"/>
      </rPr>
      <t>92106,,92106A RHINO:92106D KOALA:92106B ELEPHANT=1:1:1,,</t>
    </r>
  </si>
  <si>
    <t>4500189691-130</t>
  </si>
  <si>
    <t>日期码格式：ZURU INC(BVI) 标准格式 日期：按实际生产日期
Packaging Info: 请确保包装上的条形码是UPC，如果是babyUPC，需要用mother UPC覆盖，如有不一致，请及时提出。谢谢!
92106,,MA多语EAN包装+UPC贴纸+MA 多语收藏指南+箱唛,,
Remark: 
Common: Equal ratio,,
92106,,92106A RHINO:92106D KOALA:92106B ELEPHANT=1:1:1,,</t>
  </si>
  <si>
    <t>4500188900-110</t>
  </si>
  <si>
    <t>日期码格式：ZURU INC(BVI) 标准格式 日期：按实际生产日期
Packaging Info:
92106,,MA多语EAN包装+UPC贴纸+MA 多语收藏指南+进口商贴纸+箱唛,,
Remark: 
92106,,92106A RHINO:92106D KOALA:92106B ELEPHANT=1:1:1,,</t>
  </si>
  <si>
    <t>4500190045-90</t>
  </si>
  <si>
    <t>日期码格式：ZURU INC(BVI) 标准格式 日期：按实际生产日期
Packaging Info:
9. 92106： 3L EAN收缩膜+UPC 贴纸+ MA5L收藏指南+进口商贴纸+箱唛
所有带电产品的保证书是通用的
Remark: 
9. 92106：92106A RHINO:92106D KOALA:92106B ELEPHANT=1:1:1</t>
  </si>
  <si>
    <t>4500190544-10</t>
  </si>
  <si>
    <t>1/6-UPC贴纸+进口商贴纸</t>
  </si>
  <si>
    <t>日期码格式：ZURU INC(BVI) 标准格式 日期：按实际生产日期
Packaging Info: 1.优先多语 MA UPC或者3L/5L MA EAN 包装+进口商贴纸
2.请确保包装上的条形码是UPC，如果是babyUPC、需要用mother UPC覆盖，如有不一致，请及时提出。
92106：MA多语EAN包装+UPC贴纸+MA 多语收藏指南+进口商贴纸+箱唛
Remark: 
92106：92106A RHINO:92106D KOALA:92106B ELEPHANT=1:1:1</t>
  </si>
  <si>
    <t>4500190245-100</t>
  </si>
  <si>
    <t>92106D-S002</t>
  </si>
  <si>
    <t>考拉</t>
  </si>
  <si>
    <t>日期码格式：ZURU INC(BVI) 标准格式 日期：按实际生产日期
Packaging Info:
5. 92106A/B/D: MA 3L EAN包装+baby UPC条码贴纸+MA 多语收藏指南+进口商贴纸+箱唛
除了9296和92106无需polybag外，其他剩余item都要按照单个产品入polybag胶袋后再装箱出货，袋子需打孔，胶袋需封口
Remark:</t>
  </si>
  <si>
    <t>92106D-S002-3L</t>
  </si>
  <si>
    <t>4500190245-110</t>
  </si>
  <si>
    <t>4500190245-120</t>
  </si>
  <si>
    <t>92106B-S002</t>
  </si>
  <si>
    <t>92106B-S002-3L</t>
  </si>
  <si>
    <t>4500191663-140</t>
  </si>
  <si>
    <t>1/27收到</t>
  </si>
  <si>
    <t>1/27-进口商贴纸+UPC贴纸</t>
  </si>
  <si>
    <t>日期码格式：DG20260316 日期：
Packaging Info: 
其余item：MA 多语UPC包装+进口商贴纸+UPC贴纸+箱唛
Remark: 外箱/产品/包装-指定日期码：DG20260316</t>
  </si>
  <si>
    <t>26-1073773JEC</t>
  </si>
  <si>
    <t>4500195950-300</t>
  </si>
  <si>
    <t>4/3-进口商贴纸+UPC贴纸</t>
  </si>
  <si>
    <t xml:space="preserve">日期码格式：ZURU INC(BVI) 标准格式 日期：按实际生产日期
Packaging Info:
其余item：MA 多语包装+进口商贴纸+UPC贴纸+箱唛
Remark: 1.进口商贴纸内容会显示日期码为：2026-04，包装/产品/外箱可按照ZURU标准日期码，无需跟回进口商贴纸上的日期码。
2.所有item包装上的条码必须是UPC，如果已将进口商贴纸和UPC条码合并到一张，则不需再订购UPC贴纸，仅订购一张进口商贴纸即
可。 </t>
  </si>
  <si>
    <t>Grace Zhang</t>
  </si>
  <si>
    <t>26-1073774JDO</t>
  </si>
  <si>
    <t>4500196119-360</t>
  </si>
  <si>
    <t>PLANET OF TOYS LTD</t>
  </si>
  <si>
    <t>Kyrgyzstan</t>
  </si>
  <si>
    <t>4500198237-130</t>
  </si>
  <si>
    <t>3/25-通用贴纸</t>
  </si>
  <si>
    <t>日期码格式：ZURU INC(BVI) 标准格式                  日期：按实际生产日期
Packaging Info: 1L MA UPC 包装 + 通用贴纸 ，  MA 说明书/指南/PDQ  （如有）；
Remark: 标准配比；</t>
  </si>
  <si>
    <t>4500199684</t>
  </si>
  <si>
    <t>4500199684-70</t>
  </si>
  <si>
    <t>5/24出</t>
  </si>
  <si>
    <t>4/30-进口商贴纸+UPC贴纸</t>
  </si>
  <si>
    <t>日期码格式：ZURU INC(BVI) 标准格式                  日期：按实际生产日期
Packaging Info: 15746、15755：MA 多语包装+进口商贴纸+箱唛（进口商贴纸和mother UPC贴纸合并为一张）
其余item：MA 多语包装+进口商贴纸+UPC贴纸+箱唛</t>
  </si>
  <si>
    <t>4500198544-120</t>
  </si>
  <si>
    <t>超大一窝蛋-干燥剂</t>
  </si>
  <si>
    <t>UPC条码贴纸+进口商贴纸翻4500136618</t>
  </si>
  <si>
    <t>日期码格式：LOTDGYYYYMMDD 日期：按实际生产日期
Packaging Info:  10. 92106: MA 3L EAN包装+UPC条码贴纸+进口商贴纸+MA多语收藏指南+箱唛，进口商贴纸和UPC条码贴纸已合并成一张贴纸，贴纸翻单PO4500136618
Remark: 1. 客版日期码要求：LOT+ZURU标准日期码格式。东莞生产的格式：LOTDGYYYYMMDD, DG是东莞拼音首字母，YYYYMMDD是实际的年月日，例如(LOTDG20240920)
 2. 此单有第三方监柜，至少多备一套完整的物料用于监柜，请多备料。
 3. WM墨西哥防霉的新要求:货物必须在出货主箱和集装箱中按要求放置干燥剂，干燥剂指定品牌干霸SUPERDRY
  92106：92106A RHINO:92106D KOALA:92106B ELEPHANT=1:1:1
 如走柜货等loading plan 确认后再通知集装箱干燥剂数量
此单工厂将安排7*40HC，每个HC要放置20包干燥剂，每包干燥剂1KG</t>
  </si>
  <si>
    <t>999-76638</t>
  </si>
  <si>
    <t>4500200650-30</t>
  </si>
  <si>
    <t>4/21-4国警告语贴纸</t>
  </si>
  <si>
    <t>日期码格式：ZURU INC(BVI) 标准格式                  日期：按实际生产日期
Packaging Info: "92129TQ2：  MA B版3L-23L收缩膜含4国警告语贴纸(Czech-Hugarian-Polish-Slovak）贴纸翻单4500186548+1张UPC条码贴纸193052088925+MA 5L收藏指南+MA PDQ；
"
"9565GQ1：  最新MA B 1L UPC版本+一张四国语言警告语贴纸( Czech-Hugarian-Polish-Slovak)贴纸翻单4500186548+MA 6L说明书+WEEE不带电池走货欧洲29语通用
黑白说明书+客版PDQ  （3FACING11PCS/PDQ WITHDEMO）；UPC#193052084545，请先检查包装条码是否正确再安排做货
3W*2D*2H-1DEMO=11PCS/PDQ
4 assortment, Orange:blue:pink:brown=5:5:6:6
2PCS AAA BATTERIES（NOT INCLUDED）"
92106：  MA 最新版1L UPC包装+1张4国警告语贴纸Czech-Hugarian-Polish-Slovak),请先检查包装条码#193052064905是否正确再安排做货)
92107：MA B版1L UPC收缩膜+1张4国警告语贴纸Czech-Hugarian-Polish-Slovak贴纸翻单4500186548,先检查包装条码#193052064738是否正确再安排做货)，其中150
0pcs是原4500189742取消的数量，可以优先消耗原PO物料
"9543GQ3：MA最新1L E版包装+一张四国语言警告语贴纸( Czech-Hugarian-Polish-Slovak不能覆盖GB)贴纸翻单PO#4500186548+客版 PDQ 1L版（2Facing7pcs/Gravi
ty PDQ)翻单PO#4500186548+WEEE不带电池走货欧洲29语通用黑白说明书
UPC#193052050328，请先检查包装条码是否正确再安排做货;
7product+demo;2pcs *AAA battery not include; Integral single
ratio=bule/purple/pink/orange =1:1:1:1"
"92104TQ4: 客版收缩膜，基于最新MA 1L UPC版本包装+1 张四国语言警告语( Czech-Hugarian-Polish-Slovak) +最新MA 5L收藏指南+客版 1L 版PDQ (2Facing4pcs
/PDQ) 翻单4500171042；
UPC#193052064417，请先检查包装条码是否正确再安排做货"，   其中3000pcs是原4500189742取消的数量，可以优先消耗原PO物料
"77673TQ1：MA 最新版1L UPC包装+1张4国警告语贴纸Czech-Hugarian-Polish-Slovak)+MA 最新 1L PDQ
UPC#193052079404，请先检查包装条码是否正确再安排做货
"77711GQ1：  MA 最新版3L UPC包装(加4国警告语贴纸Czech-Hugarian-Polish-Slovak),
UPC#193052080134，请先检查包装条码是否正确再安排做货, MA 最新版3L PDQ"
92119：  MA B版3L-23L收缩膜含4国警告语(Czech-Hugarian-Polish-Slovak）贴纸翻单4500186548 +1张UPC条码贴纸193052078391，  其中480pcs是原4500189742取
消的数量，可以优先消耗原PO物料
"92125: MA 最新版1L UPC收缩膜+1张四国警告语贴纸Czech-Hugarian-Polish-Slovak)，MA 收藏指南+挂卡+贴纸+袋子
UPC#193052083951，请先检查包装条码是否正确再安排做货"
9561: MA 最新版1L收缩膜+4国警告语贴纸(Czech-Hugarian-Polish-Slovak，不能覆盖GB语言），UPC#93052078902，请先检查条码是否正确再安排做货；
71152：  MA B版1L彩卡含4国警告语贴纸(Czech-Hugarian-Polish-Slovak）贴纸翻单4500186548+WEEE不带电池走货欧洲29语通用黑白说明书，UPC#193052079190，
请先检查包装条码是否正确再安排做货，可以优先消耗原PO4500189742物料
9283：MA最新版1L包装+一张四国语言警告语贴纸( Czech-Hugarian-Polish-Slovak)，贴纸跟贴纸位置图翻4500100986，   MA最新藏宝图+MA证书/纸袋+MA布标
UPC#193052050106，请先检查包装条码是否正确再安排做货;
Remark: 1.此单出欧洲国家，需满足EU测试标准，微塑料需满足EU法规要求；
2.产品及包装需要印CE &lt;(&gt;&amp;&lt;)&gt; 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
7.货物不能用打包带缠绕外箱，否则会影响目的港派送及可能产生额外的拆打包带费用
8.请多备料，需安排2套大货样寄到深圳办公室</t>
  </si>
  <si>
    <t>WOOLWORTH  TRADING  S.A.  DE  C.V.</t>
  </si>
  <si>
    <t>26-215  CT</t>
  </si>
  <si>
    <t>4500197125-10</t>
  </si>
  <si>
    <t>日期码格式：ZURU INC(BVI) 标准格式 日期：按实际生产日期
Packaging Info: 1. 92106：MA 3L EAN包装+MA多语收藏指南+进口商贴纸+箱唛，进口商贴纸翻单PO4500130336
2. 77673/9574：MA 3L EAN包装+进口商贴纸+Rating Label(贴产品上)+warning warranty card+箱唛，warning warranty card(警告保修卡可用A4纸双面打印)
3. 92119：MA 3L EAN包装+MA 多语收藏指南+进口商贴纸+箱唛
4. 92125：MA 3L EAN包装+MA多语收藏指南+进口商贴纸+箱唛，进口商贴纸翻单PO4500177865
Remark: 1. 此单需提交自检报告给客户确认，待客户确认放货后，才允许出货。
2. 92106：92106A RHINO:92106D KOALA:92106B ELEPHANT=1:1:1
3. 77673：3PCS AG13 BATTERIES(INCLUDED)
4. 9574：3PCS AAA BATTERIES(NOT INCLUDED)
5. 92119：7 Assortment, Polar bear: Penguin: Walrus: Mammoth: Owl: Seal: Snow man=10:10:10:10:10:8:2. Snow man is the rare item.
6. 92125：6 Assortments,siamese cat:pink-white cat:purple cat:black cat:brown-white cat:orange cat=1:1:1:1:1:1, no rare.</t>
  </si>
  <si>
    <t>Ever  Li</t>
  </si>
  <si>
    <t>26-218  CC</t>
  </si>
  <si>
    <t>4500197160-10</t>
  </si>
  <si>
    <t>日期码格式：ZURU INC(BVI) 标准格式 日期：按实际生产日期
Packaging Info: 1. 92106：MA 3L EAN包装+MA多语收藏指南+进口商贴纸+箱唛，进口商贴纸翻单PO4500130336
2. 77673/9574：MA 3L EAN包装+进口商贴纸+Rating Label(贴产品上)+warning warranty card+箱唛，warning warranty card(警告保修卡可用A4纸双面打印)，所
有贴纸和warning warranty card都翻单PO 4500197125
3. 92119：MA 3L EAN包装+MA 多语收藏指南+进口商贴纸+箱唛，所有贴纸翻单PO 4500197125
4. 92125：MA 3L EAN包装+MA多语收藏指南+进口商贴纸+箱唛，进口商贴纸翻单PO4500177865
Remark: 1. 此单需提交自检报告给客户确认，待客户确认放货后，才允许出货。
2. 92106：92106A RHINO:92106D KOALA:92106B ELEPHANT=1:1:1
3. 77673：3PCS AG13 BATTERIES(INCLUDED)
4. 9574：3PCS AAA BATTERIES(NOT INCLUDED)
5. 92119：7 Assortment, Polar bear: Penguin: Walrus: Mammoth: Owl: Seal: Snow man=10:10:10:10:10:8:2. Snow man is the rare item.
6. 92125：6 Assortments,siamese cat:pink-white cat:purple cat:black cat:brown-white cat:orange cat=1:1:1:1:1:1, no rare.</t>
  </si>
  <si>
    <t>26-217  CVH</t>
  </si>
  <si>
    <t>4500197152-10</t>
  </si>
  <si>
    <t>26-216  CM</t>
  </si>
  <si>
    <t>4500197140-10</t>
  </si>
  <si>
    <t>4500200006</t>
  </si>
  <si>
    <t>4500200006-10</t>
  </si>
  <si>
    <t>收到SO，预计6/1出</t>
  </si>
  <si>
    <t>警告语贴纸贴翻4500166233 + 4/20-Slime瑞典芬兰挪威警告语贴纸</t>
  </si>
  <si>
    <t>日期码格式：ZURU INC(BVI) 标准格式                  日期：按实际生产日期
Packaging Info: 1. 92106: MA A 3L(warning 23L)_EAN收缩膜+MA A3L Tag+MA A 5L(warning 9L)收藏指南+MA Accessories bags/Hair Accessories bags+丹麦瑞典芬兰挪威爱沙
尼亚警告语贴纸贴在袋子上(贴纸和位置图翻PO#4500166233)+MA Slime polybag_MA A 5L(warning 9L)+瑞典芬兰挪威警告语贴纸贴在slime polybag上+MA布标
 2. 15783UQ1: MA C5L UPC彩盒+EAN#4894680058330条码贴纸+警告语和MADE IN CHINA翻译成丹麦瑞典芬兰挪威爱沙尼亚语贴纸+MA C版PDQ+MA布标
 3. 15797: MA A5L UPC吊牌+baby EAN条码贴纸+警告语和MADE IN CHINA翻译成丹麦瑞典芬兰挪威爱沙尼亚语贴纸+MA布标
 4. 15787: MA A5L彩盒+baby EAN条码/警告语和MADE IN CHINA翻译成丹麦瑞典芬兰挪威爱沙尼亚语做成一张贴纸贴在彩盒上+MA布标
Remark: 1. 包装如含PVC,请改为PET
 2. 产品/包装要求无硼无香；
 3. 出欧洲，微塑料需合规。
4.带电池出货的产品所用到的电池需要符合欧洲电池新规(EU) 2023-1542
5.产品/包装不含PFAS and/or  Bisfenol成分，, 以及不含石棉成分
6. 产品条码如下: 请先检查条码是否正确再安排做货，如有问题请告知:
92106-S001-NB:4894680033702
15783UQ1-S002:4894680058330
"15797-S001:15797A:4894680058446
15797B:4894680058453
15797D:4894680058460
15797E:4894680058477
15797G:4894680058484
15797H:4894680058491
15797J:4894680058507"
"15787-S003:15787A:4894680058163
15787B:4894680058170
15787D:4894680058187
15787E:4894680058194
15787G:4894680058200
15787H:4894680058217"</t>
  </si>
  <si>
    <t>BJ'S  WHOLESALE  CLUB,  INC.</t>
  </si>
  <si>
    <t>4500197044-10</t>
  </si>
  <si>
    <t>92106UQ1-S001</t>
  </si>
  <si>
    <t>5/22第三方抽样大货20%</t>
  </si>
  <si>
    <t>3/16收到</t>
  </si>
  <si>
    <t>日期码格式：ZURU INC(BVI) 标准格式 日期：按实际生产日期
Packaging Info: MA UPC版本包装+客版PDQ
外箱顶部需印有Box Certificate Stamp纸箱质量保证章，纸箱需满足最低强度要求为 200磅耐破强度或 32 ECT 边压强度等级。具体见箱唛资料
Remark: 1. 此款需在5/14前完成至少20%大货包装，5/15早上进行第三方实验室(暂定SGS)现场在大货中抽样去做测试
A. 抽板数量：由客人指定第三方实验室在大货中预计会随机抽取每款/每色各6套大货样(带包装)，现场进行密封后送去测试；
B. 如产品前面的小蛋是盲盒款，还需额外准备光身办小公仔每款/每色 各3pcs + 足够的干油办同抽板样一并寄出；
备注： 抽完大货样板后 工厂需自行补充抽取的大货数量；另外，还需要再备多3套大货样板到时候寄给客户。所需的样板数量不包含在订单数量里，做货请预备好
这些样板数量。
2. 此单需一个40HQ装完，但需超过客户要求的最少立方数，40HQ最少要60CBM，箱唛上体积数和实际要相符，如体积数和PO上有不一致，客人会有罚款。
3. 产品和包装上的日期按照ZURU标准格式。
4. 产品不含以下物质：
a. 不含任何的美国优先化学品priority chemicals；
b. 不含或者不超过美国缅因州的高度关注化学品Chemicals of High Concern清单中的最低水平(100mg/kg)；
c. 不含化学阻燃剂：TDCPP，TCEP，Antimony trioxide，HBCD，TBPH，TBB，SCCP，TCPP，Penta-BDE，Octa-BDE，TBBPA等。</t>
  </si>
  <si>
    <t>Emily    Wu</t>
  </si>
  <si>
    <t>4500197045-10</t>
  </si>
  <si>
    <t>日期码格式：ZURU INC(BVI) 标准格式 日期：按实际生产日期
Packaging Info: MA UPC版本包装+客版PDQ, 客版PDQ AW 翻单PO#4500197044
外箱顶部需印有Box Certificate Stamp纸箱质量保证章，纸箱需满足最低强度要求为 200磅耐破强度或 32 ECT 边压强度等级。具体见箱唛资料
Remark: 1. 此单需一个40HQ装完，但需超过客户要求的最少立方数，40HQ最少要60CBM，箱唛上体积数和实际要相符，如体积数和PO上有不一致，客人会有罚款。
2. 产品和包装上的日期按照ZURU标准格式。
3. 产品不含以下物质：
a. 不含任何的美国优先化学品priority chemicals；
b. 不含或者不超过美国缅因州的高度关注化学品Chemicals of High Concern清单中的最低水平(100mg/kg)；
c. 不含化学阻燃剂：TDCPP，TCEP，Antimony trioxide，HBCD，TBPH，TBB，SCCP，TCPP，Penta-BDE，Octa-BDE，TBBPA等。</t>
  </si>
  <si>
    <t>4500197046-10</t>
  </si>
  <si>
    <t>NORWEGIAN TOY IMPORT AS - DOM</t>
  </si>
  <si>
    <t>4500202500</t>
  </si>
  <si>
    <t>14992</t>
  </si>
  <si>
    <t>4500202500-10</t>
  </si>
  <si>
    <t>日期码格式：ZURU INC(BVI) 标准格式                  日期：按实际生产日期
Packaging Info: 92106：MA 3L EAN收缩膜+进口商贴纸；
71172：MA 3L EAN彩盒+进口商贴纸；
Remark: 1. 产品和包装要求无硼无香，包装不能含有PVC; 此客户NTI不能出14+的产品
 2. 如有微塑料，必须合规欧洲标准，闪粉也是微塑料的一种，目前仅接受三张方式1.去除，2.用可降解材料，和3. 永久封印在固体。
 3. 带电池出货的产品,电池需要符合欧洲电池新规(EU) 2023-1542.
 4. 同一个SKU, 如果客户同时下Bulk/PDQ/SK/EC, 进口商贴纸可以只显示Bulk 的客户客户款号。产品包装上必须有客户进口商信息。</t>
  </si>
  <si>
    <t>4500204454</t>
  </si>
  <si>
    <t>4500204454-50</t>
  </si>
  <si>
    <t>爱沙尼亚警告语贴纸贴在袋子上翻4500166233警告语贴纸贴在slime polybag上翻4500200006</t>
  </si>
  <si>
    <t>日期码格式：ZURU INC(BVI) 标准格式                  日期：按实际生产日期
Packaging Info:
5.5.92106-S001-NB:MA A 3L(warning 23L)_EAN收缩膜+MA A3L Tag+MA A 5L(warning 9L)收藏指南+MA Accessories bags/Hair Accessories bags+丹麦瑞典芬兰挪
威爱沙尼亚警告语贴纸贴在袋子上(贴纸和位置图翻PO#4500166233)+MA Slime polybag_MA A 5L(warning 9L)+瑞典芬兰挪威警告语贴纸贴在slime polybag上(贴纸
和位置图翻PO#4500200006)+MA布标
Remark: 1. 包装如含PVC,请改为PET
2. 产品/包装要求无硼无香；
 3. 出欧洲，微塑料需合规。
4.带电池出货的产品所用到的电池需要符合欧洲电池新规(EU) 2023-1542
5.产品/包装不含PFAS and/or Bisfenol成分, 以及不含石棉成分
6. 产品条码如下: 请先检查条码是否正确再安排做货，如有问题请告知:
77843GQ2-S002:4894680057753
92146TQ1-S002:4894680058934
92147-S001:4894680058941
92129TQ2-S002-NB:4894680049888
92106-S001-NB:4894680033702
15783UQ1-S002:4894680058330
77773GQ1-S002:4894680051157
15789UQ1-S002:4894680058354
7151-S001:4894680019911
77770GQ1-S002:4894680050518
15782UQ1-S002:4894680058538
"15788-S003:15788A:4894680058231
15788B:4894680058248
15788D:4894680058255
15788E:4894680058262
15788G:4894680058279
15788H:4894680058286"
"15758-S001:15758A:4894680049338
15758B:4894680049345
15758D:4894680049352
15758E:4894680049369
15758G:4894680049376
15758H:4894680058378"
92129F-S001-NB:4894680049888
77843SK1-S002:4894680057753</t>
  </si>
  <si>
    <t>ZETA PLAY LLC</t>
  </si>
  <si>
    <t>4500203207</t>
  </si>
  <si>
    <t>4500203207-40</t>
  </si>
  <si>
    <t>4/23-通用贴纸</t>
  </si>
  <si>
    <t>日期码格式：ZURU INC(BVI) 标准格式 日期：按实际生产日期
Packaging Info: MA UPC 包装+通用贴纸，MA PDQ/说明书/收藏指南（如有）
Remark:</t>
  </si>
  <si>
    <t>4500197047-10</t>
  </si>
  <si>
    <t>order 5383Bekasovo 2</t>
  </si>
  <si>
    <t>4500198108-50</t>
  </si>
  <si>
    <t>进口商贴纸 + 条码贴纸翻4500198067 + 3/31-QR code 贴纸</t>
  </si>
  <si>
    <t>3/31-SSCC label</t>
  </si>
  <si>
    <t>日期码格式：外包装/外箱不要打ZURU标准日期 日期：
Packaging Info: 9283/9296/9298TQ1/92105//92106/92119/9565GQ1/92129的进口商贴纸/EAN条码贴纸翻单4500198067；
1. 9283/9296/9298TQ1/92105//92106/92119/9565GQ1/92129：
1L MAUPC 收缩膜+ 进口商贴纸+ EAN条码贴纸+QR code 贴纸 （一物一码）,MA PDQ/说明书/指南（如有）；
Remark: 客户DM订单注意事项:
1. 标准配比
2. 请按期完货， 会有罚金。
3. 出仓库-Bekasovo 2；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</si>
  <si>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t>order 5383Ural</t>
  </si>
  <si>
    <t>4500198128-50</t>
  </si>
  <si>
    <t>7/20出</t>
  </si>
  <si>
    <t>日期码格式：外包装/外箱不要打ZURU标准日期                  日期：
Packaging Info: 9283/9296/9298TQ1/92105//92106/92119/9565GQ1/92129的进口商贴纸/EAN条码贴纸翻单4500198067；
9574/92146/92147的进口商贴纸/EAN条码贴纸翻单4500198108；
1. 9283/9296/9298TQ1/92105//92106/92119/9565GQ1/92129：
1L MAUPC 收缩膜+ 进口商贴纸+ EAN条码贴纸+QR code 贴纸  （一物一码）,MA PDQ/说明书/指南（如有）；
2. 9574：MA 1L UPC彩盒+ 进口商贴纸+ EAN条码贴纸+QR code 贴纸  （一物一码），MA说明书/指南（如有）；
3. 92146/92147：MA 1L UPC 收缩膜+ 进口商贴纸+ EAN条码贴纸+QR code 贴纸  （一物一码），MA说明书/指南（如有）；
Remark: 客户DM订单注意事项:
 1. 标准配比
 2. 请按期完货，  会有罚金。
 3. 出仓库-Ural
 4. 外包装(指:收缩膜/彩卡/铝箔袋/挂卡/PDQ)/外箱不要打ZURU标准日期码!胶件可以打日期码。
 5. 零售包装上的QR code贴纸（要求一物一码，每PCS的二维码不一样，二维码可扫描区域尺寸要大于15x15mm ，  整张贴纸尺寸25X40MM &lt;(&gt;&lt;&lt;)&gt;含二维码下序列号
 /Art/size等&gt;,白底黑字，分辨率要大于300dpi，位置要远离条码。  可贴零售   包装的侧面右下角/背面的右上角/挂卡的背面/正面的右上角，距离边距5mm）;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t>
  </si>
  <si>
    <t>4500198067-50</t>
  </si>
  <si>
    <t>6/4-进口商贴纸+ EAN条码贴纸 + 3/31-QR code</t>
  </si>
  <si>
    <t>日期码格式：外包装/外箱不要打ZURU标准日期 日期：
Packaging Info: 9283/9296/9298TQ1/92105//92106/92119/92129/92107/92108/9565GQ1:1L MAUPC 收缩膜+ 进口商贴纸+ EAN条码贴纸+QR code 贴纸 （一物一码）,MA PDQ/说明书
/指南（如有）；
Remark: 客户DM订单注意事项:
1. 标准配比
2. 请按期完货， 会有罚金。
3. 出仓库-Bekasovo 2;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</si>
  <si>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t>Amy xiao</t>
  </si>
  <si>
    <t>4500198079-50</t>
  </si>
  <si>
    <t>日期码格式：外包装/外箱不要打ZURU标准日期 日期：
Packaging Info: 此单所有item的进口商贴纸/EAN条码贴纸翻单4500198067；
9283/9296/9298TQ1/92105//92106/92107/92108/92119/9565GQ1/92129：
1L MAUPC 收缩膜+ 进口商贴纸+ EAN条码贴纸+QR code 贴纸 （一物一码）,MA PDQ/说明书/指南（如有）；
Remark: 客户DM订单注意事项:
1. 标准配比
2. 请按期完货， 会有罚金。
3. 出仓库- Ural ；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</si>
  <si>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t>4500203685</t>
  </si>
  <si>
    <t>4045802243</t>
  </si>
  <si>
    <t>4500203685-20</t>
  </si>
  <si>
    <t>威爱沙尼亚警告语贴纸贴在袋子上翻4500166233</t>
  </si>
  <si>
    <t>日期码格式：ZURU INC(BVI) 标准格式                  日期：按实际生产日期
Packaging Info:
 2. 92106: MA_A_3L(warning 23L)_EAN收缩膜+MA A3L Tag+MA_A_5L(warning 9L)收藏指南+MA Accessories bags/Hair Accessories bags+丹麦瑞典芬兰挪威爱沙
尼亚警告语贴纸贴在袋子上(贴纸和位置图翻PO#4500166233)+MA Slime polybag_MA_A_5L(warning 9L)+MA布标
Remark: * 请准备140尺高柜的安全网，客人要求所有柜货需要加安全网出货，漏拉网会有罚款产生
 * #77673: 新品，请在6/10寄两套大货样给客人留底
 1. 包装如含PVC,请改为PET
2. 产品/包装要求无硼无香；
 3. 出欧洲，微塑料需合规。
4.带电池出货的产品所用到的电池需要符合欧洲电池新规(EU) 2023-1542
5.关于贴纸，如果贴纸位置图的包装版本与大货不一致，请工厂提前提出, 跟单会重新调整确认是否更新贴纸或调整位置图
6.产品/包装不含PFAS and/or Bisfenol成分,以及不含石棉成分
7. 产品条码如下: 请先检查条码是否正确再安排做货，如有问题请告知:
77673TQ1-S001:4894680042773
92106-S001-NB:4894680033702</t>
  </si>
  <si>
    <t>4500197048-10</t>
  </si>
  <si>
    <t>4500197049-10</t>
  </si>
  <si>
    <t>4500206706</t>
  </si>
  <si>
    <t>160887</t>
  </si>
  <si>
    <t>4500206706-90</t>
  </si>
  <si>
    <t>5/25收到</t>
  </si>
  <si>
    <t>爱沙尼亚警告语贴纸贴在袋子上翻4500166233+警告语贴纸贴在slime polybag上翻4500200006</t>
  </si>
  <si>
    <t>日期码格式：ZURU INC(BVI) 标准格式 日期：按实际生产日期
Packaging Info: 8.92106-S001-NB:MA_A_3L(warning 23L)_EAN收缩膜+MA A3L Tag+MA_A_5L(warning 9L)收藏指南+MA Accessories bags/Hair Accessories bags+丹麦瑞典芬兰挪威
爱沙尼亚警告语贴纸贴在袋子上(贴纸和位置图翻PO#4500166233)+MA Slime polybag_MA_A_5L(warning 9L)+瑞典芬兰挪威警告语贴纸贴在slime polybag上(贴纸和
 位置图翻PO#4500200006)+MA布标
Remark: 1. 包装如含PVC,请改为PET
 2. 产品/包装要求无硼无香；
 3. 出欧洲，微塑料需合规。
 4.带电池出货的产品所用到的电池需要符合欧洲电池新规(EU) 2023-1542
 5.产品/包装不含PFAS and/or Bisfenol成分, 以及不含石棉成分
 6. 产品条码如下: 请先检查条码是否正确再安排做货，如有问题请告知:
 92106-S001-NB:4894680033702</t>
  </si>
  <si>
    <t>2826865</t>
  </si>
  <si>
    <t xml:space="preserve"> 4500204875-10</t>
  </si>
  <si>
    <t>6/25-进口商贴纸+6/5-RFID LABEL</t>
  </si>
  <si>
    <t>日期码格式：ZURU INC(BVI) 标准格式 日期：按实际生产日期
Packaging Info: 92106:MA 3L A版本+进口商贴纸+RFID LABEL +箱唛
Remark: 1. RFID lable 要跟Avery Dennison供应商订购
 2. 箱唛:LPN 贴纸(工厂可以选择跟指定供应商订，也可以选择根据提供的资料去找其他供应商，但要确保LPN的格式/尺寸/条形码流水号符合客户要求。否则会有U
 SD 5/一箱的罚款)，+Carton Label, 两款贴纸都只贴侧唛一面。
 3.请按照客户要求出货否则会产生相应的罚款
 4.大货版本要跟备注的包装版本一致</t>
  </si>
  <si>
    <t>4500205041</t>
  </si>
  <si>
    <t>62110212</t>
  </si>
  <si>
    <t>4500205041-270</t>
  </si>
  <si>
    <t>进口商贴纸+ UPC贴纸翻4500164920</t>
  </si>
  <si>
    <t>价格贴纸翻4500164920</t>
  </si>
  <si>
    <t>日期码格式：ZURU INC(BVI) 标准格式 日期：按实际生产日期
Packaging Info: 
92106:MA多语包装+进口商贴纸+价标贴纸，进口商贴纸翻单4500164920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3.如进口商贴纸和UPC贴纸合并为一张，请忽略UPC贴纸文档的需求</t>
  </si>
  <si>
    <t>4500207876</t>
  </si>
  <si>
    <t>26242</t>
  </si>
  <si>
    <t>4500207876-70</t>
  </si>
  <si>
    <t>6/18-UPC 贴纸+进口商贴纸</t>
  </si>
  <si>
    <t xml:space="preserve">日期码格式：ZURU INC(BVI) 标准格式                  日期：按实际生产日期
Packaging Info: 1. 进口商贴纸贴的位置不可以挡住西语信息
 2. 请确保包装上的条形码是UPC，如果是babyUPC、需要用motherUPC覆盖，如有不一致，请及时提出。谢谢
 3.有说明书的说明书必须要有西语
 92106 MA多语EAN包装+UPC 贴纸+MA 多语收藏指南+进口商贴纸+箱唛
Remark: 15789UQ1 7 Assortments; Rare assortment 1/24, others even ratio, others even ratio
 92106 92106A RHINO:92106D KOALA:92106B ELEPHANT=1:1:1
</t>
  </si>
  <si>
    <r>
      <rPr>
        <sz val="14"/>
        <color rgb="FF2727F0"/>
        <rFont val="宋体"/>
        <charset val="134"/>
      </rPr>
      <t>BURLINGTON</t>
    </r>
    <r>
      <rPr>
        <sz val="12"/>
        <color rgb="FF2727F0"/>
        <rFont val="宋体"/>
        <charset val="134"/>
      </rPr>
      <t xml:space="preserve">  STORES,  INC.</t>
    </r>
  </si>
  <si>
    <t>4500209889</t>
  </si>
  <si>
    <t>4500209889-270</t>
  </si>
  <si>
    <t>6/22-价格贴纸+6/23-外箱贴纸</t>
  </si>
  <si>
    <r>
      <rPr>
        <sz val="14"/>
        <color rgb="FF2727F0"/>
        <rFont val="宋体"/>
        <charset val="0"/>
      </rPr>
      <t>日期码格式：ZURU</t>
    </r>
    <r>
      <rPr>
        <sz val="14"/>
        <color rgb="FF2727F0"/>
        <rFont val="宋体"/>
        <charset val="134"/>
      </rPr>
      <t xml:space="preserve">  INC(BVI)  标准格式                                    日期：按实际生产日期
Packaging Info: 1.  ZURU  MA    （首选1L）UPC版本+客供价格贴+外箱贴纸（为方便进行装柜区分，请按照后续提供的外箱贴纸文档去粘贴外箱），出口美国
92106-S001翻单4500151479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每份贴纸文档的数量对应的是装柜数量，一个ID对应一个柜子，外箱贴纸需要按照SHIPMENT  ID  (不会显示在贴纸上，在贴纸资料文档上命名上）去区分
,也就是同个item  line  但是SHIPMENT  ID  不一样不可以混在一起，贴纸和大货需要区分开，最后装柜会在不同的柜子里面。
5，每个产品有一个价格贴纸，     价格贴纸覆盖UPC条码上    （若UPC  条码太大，可以露出ITEM#,  覆盖条码即可），收到价格贴时就要确认所有款式的价格贴是否太大
会覆盖UPC  会挡住文字/图案，需用空白贴覆盖UPC，价格贴纸移到空白处。贴的时候要是会覆盖包装上重要的信息和图案，需要告知跟单。</t>
    </r>
  </si>
  <si>
    <r>
      <rPr>
        <sz val="10"/>
        <color rgb="FF2727F0"/>
        <rFont val="宋体"/>
        <charset val="0"/>
        <scheme val="minor"/>
      </rPr>
      <t>Jessi</t>
    </r>
    <r>
      <rPr>
        <sz val="10"/>
        <color rgb="FF2727F0"/>
        <rFont val="等线"/>
        <charset val="134"/>
      </rPr>
      <t xml:space="preserve">  Xu</t>
    </r>
  </si>
  <si>
    <t>4500209212</t>
  </si>
  <si>
    <t>6006-013627</t>
  </si>
  <si>
    <t>4500209212-10</t>
  </si>
  <si>
    <t>6/1-进口商贴纸</t>
  </si>
  <si>
    <t>日期码格式：ZURU INC(BVI) 标准格式 日期：按实际生产日期
Packaging Info: 92106/92125/92147/92119: MA 1L PKG , MA 收藏指南， MA 布标 + 1张进口商贴纸（贴蛋壳背面空白处，不遮挡日期码）
所有贴纸不得遮挡日期码
Remark: 此单进口商贴纸通用所有item
92106: 考拉：犀牛：大象=30% ： 25% ：45%</t>
  </si>
  <si>
    <t>4500197050-10</t>
  </si>
  <si>
    <t>4500206390</t>
  </si>
  <si>
    <t>4500206390-280</t>
  </si>
  <si>
    <t>日期码格式：ZURU INC(BVI) 标准格式                  日期：按实际生产日期
Packaging Info: 1.优先多语 MA UPC或者3L/5L MA EAN 包装,EAN 包装则需加UPC 贴纸，2.请确保包装上的条形码是UPC，  如果是baby UPC，需要用mother UPC覆盖。
3 .MA PDQ 优先用3L,MA 只有1L版本的情况下就用1L PDQ
4.此单MA 3L UPC/EAN 包装（EAN 包装需要用UPC贴纸覆盖）+箱唛
Remark: 
92106  92106A RHINO:92106D KOALA:92106B ELEPHANT=1:1:1</t>
  </si>
  <si>
    <t>4500203225-250</t>
  </si>
  <si>
    <t xml:space="preserve">日期码格式：ZURU INC(BVI) 标准格式                  日期：按实际生产日期
Packaging Info: 1.优先多语 MA UPC或者3L/5L MA EAN 包装
2.请确保包装上的条形码是UPC，如果是babyUPC、需要用mother UPC覆盖，如有不一致，请及时提出。谢谢!
 92106 MA多语EAN包装+UPC 贴纸+MA 多语收藏指南+箱唛
Remark:
92106  92106A RHINO:92106D KOALA:92106B ELEPHANT=1:1:1
</t>
  </si>
  <si>
    <t>4500207090</t>
  </si>
  <si>
    <t>50212602021</t>
  </si>
  <si>
    <t>4500207090-40</t>
  </si>
  <si>
    <t>6/17-进口商贴纸</t>
  </si>
  <si>
    <t>6/17-外箱贴纸</t>
  </si>
  <si>
    <t>日期码格式：ZURU INC(BVI) 标准格式 日期：按实际生产日期
Packaging Info: 
92147/92106:MA 多语包装+进口商贴纸+外箱贴纸+箱唛
Remark: 1.此单有第三方监柜，需要每款多备1套完整物料
2.外箱贴纸只要一张，位置是正唛和侧唛的交接处，外箱贴纸上的客户PO号码是客户系统自动生成，会跟45单号的客户PO不一致，确认没问题
3.订单包装上的条码必须是UPC，后续提供的贴纸文档将进口商贴纸和UPC贴纸合并为一张，则可以忽略UPC文档的需求</t>
  </si>
  <si>
    <t>4500212375</t>
  </si>
  <si>
    <t>4500212375-160</t>
  </si>
  <si>
    <t>6/26-进口商贴纸+UPC贴纸</t>
  </si>
  <si>
    <t>日期码格式：ZURU INC(BVI) 标准格式                  日期：按实际生产日期
Packaging Info: 
9296/9283/92106：MA 3L EAN包装+UPC贴纸+进口商贴纸+箱唛</t>
  </si>
  <si>
    <t>4500211372-70</t>
  </si>
  <si>
    <r>
      <rPr>
        <sz val="14"/>
        <color rgb="FF1506E0"/>
        <rFont val="宋体"/>
        <charset val="0"/>
      </rPr>
      <t>日期码格式：ZURU INC(BVI) 标准格式</t>
    </r>
    <r>
      <rPr>
        <sz val="14"/>
        <color rgb="FF1506E0"/>
        <rFont val="宋体"/>
        <charset val="134"/>
      </rPr>
      <t xml:space="preserve">                  日期：按实际生产日期
Packaging Info: MA PKG ，  优先1L
Remark: </t>
    </r>
  </si>
  <si>
    <t>4500211468</t>
  </si>
  <si>
    <t>4500211468-10</t>
  </si>
  <si>
    <t>7/8-进口商贴纸+6/11-QR 贴纸</t>
  </si>
  <si>
    <r>
      <rPr>
        <sz val="14"/>
        <color rgb="FF1506E0"/>
        <rFont val="宋体"/>
        <charset val="0"/>
      </rPr>
      <t>日期码格式：ZURU INC(BVI) 标准格式</t>
    </r>
    <r>
      <rPr>
        <sz val="14"/>
        <color rgb="FF1506E0"/>
        <rFont val="宋体"/>
        <charset val="134"/>
      </rPr>
      <t xml:space="preserve">                  日期：按实际生产日期
Packaging Info: 最新MA UPC包装+进口商贴纸+QR 贴纸（一物一码）
条码：注意独立款要用独立款的条码，不可用混装的条码。
Remark: 1.包装：MA UPC包装+进口商贴纸+QR 贴纸
2.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3. 二维码贴纸位置要远离包装上的条码及其他二维码，  贴在背面。
 4. QR code贴纸（要求一物一码，每PCS的二维码不一样）;
 5. QR code 格式 ：DATA MATRIX GS1 ；
 6. 若多个柜子，BY TRAIN 要求带电池/不带电池不同柜；装柜时同一款必须放在同一个柜子里。
 7. 整张单走EXW。</t>
    </r>
  </si>
  <si>
    <t>Anna Lian</t>
  </si>
  <si>
    <t>4500211468-20</t>
  </si>
  <si>
    <t>4500211468-30</t>
  </si>
  <si>
    <t>4500212180</t>
  </si>
  <si>
    <t>4500212180-10</t>
  </si>
  <si>
    <t>日期码格式：ZURU INC(BVI) 标准格式                  日期：按实际生产日期
Packaging Info: 92106-MA EAN A 3L(warning 23L)_EAN收缩膜+MA A3L Tag+MA A 5L(warning 9L)收藏指南+MA Accessories bags/Hair Accessories bags+进口商贴纸+MA Slime p
olybag_MA A 5L(warning 9L)+MA布标
Remark: 1. 产品和包装要求无硼无香，包装不能含有PVC; 此客户NTI不能出14+的产品
 2. 微塑料按符合欧洲标准走货，微塑料需合规并增加IFUD声明，含电池的需要增加WEEE说明书。
 3. PVC不能用于包材，石棉不能用于玩具成分
 4. 带电池出货的产品,电池需要符合欧洲电池新规(EU) 2023-1542.
 5. 同一个SKU, 如果客户同时下Bulk/PDQ/SK/EC, 进口商贴纸可以只显示Bulk的客户客户款号。产品包装上必须有客户进口商信息。</t>
  </si>
  <si>
    <t>4500205175</t>
  </si>
  <si>
    <t>55822386</t>
  </si>
  <si>
    <t>4500205175-10</t>
  </si>
  <si>
    <t>6/28-价格贴纸</t>
  </si>
  <si>
    <r>
      <rPr>
        <sz val="14"/>
        <color rgb="FF1506E0"/>
        <rFont val="宋体"/>
        <charset val="0"/>
      </rPr>
      <t>日期码格式：ZURU INC(BVI) 标准格式</t>
    </r>
    <r>
      <rPr>
        <sz val="14"/>
        <color rgb="FF1506E0"/>
        <rFont val="宋体"/>
        <charset val="134"/>
      </rPr>
      <t xml:space="preserve">                  日期：按实际生产日期
Packaging Info: 92106-NB:MA 3L(warning 23L) EAN包装+一张客人价格贴纸
Remark: 1. 出往UK的产品+包装务必打上UKCA 以及CE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所有出往GAS市场(UK+德国/奥地利/瑞士)的电子产品需增加一张欧洲通用29L WEEE声明说明书，区分带电池和不带电池版本, 如已做客版说明书可忽略此要求
。
11. 所有出往GAS市场(德国/奥地利/瑞士)订单，化学品需无堋无香版本。</t>
    </r>
  </si>
  <si>
    <t>55822392</t>
  </si>
  <si>
    <t>4500205175-20</t>
  </si>
  <si>
    <t>55822393</t>
  </si>
  <si>
    <t>4500205175-30</t>
  </si>
  <si>
    <t>LONDON  SUPPLY  GROUP  SA</t>
  </si>
  <si>
    <t>4500212151-240</t>
  </si>
  <si>
    <t>7/7-UPC 贴纸</t>
  </si>
  <si>
    <r>
      <rPr>
        <sz val="14"/>
        <color rgb="FF1506E0"/>
        <rFont val="宋体"/>
        <charset val="0"/>
      </rPr>
      <t>日期码格式：ZURU</t>
    </r>
    <r>
      <rPr>
        <sz val="14"/>
        <color rgb="FF1506E0"/>
        <rFont val="宋体"/>
        <charset val="134"/>
      </rPr>
      <t xml:space="preserve">  INC(BVI)  标准格式                                    日期：按实际生产日期
Packaging Info:15760UQ1/15754/92107/9548/9283/92125/92106  MA  多语UPC包装+UPC贴纸+箱唛，无客户贴纸（包装上的条码必须是UPC）
Remark：</t>
    </r>
  </si>
  <si>
    <r>
      <rPr>
        <sz val="10"/>
        <color rgb="FF1506E0"/>
        <rFont val="宋体"/>
        <charset val="0"/>
        <scheme val="minor"/>
      </rPr>
      <t>Ava</t>
    </r>
    <r>
      <rPr>
        <sz val="10"/>
        <color rgb="FF1506E0"/>
        <rFont val="等线"/>
        <charset val="134"/>
      </rPr>
      <t xml:space="preserve">  Liang</t>
    </r>
  </si>
  <si>
    <t>4500208416</t>
  </si>
  <si>
    <t>4045728989</t>
  </si>
  <si>
    <t>4500208416-20</t>
  </si>
  <si>
    <t>爱沙
尼亚警告语贴纸贴在袋子上翻4500166233</t>
  </si>
  <si>
    <t>日期码格式：ZURU INC(BVI) 标准格式                  日期：按实际生产日期
Packaging Info:
 2. 92106: MA_A_3L(warning 23L)_EAN收缩膜+MA A3L Tag+MA_A_5L(warning 9L)收藏指南+MA Accessories bags/Hair Accessories bags+丹麦瑞典芬兰挪威爱沙
尼亚警告语贴纸贴在袋子上(贴纸和位置图翻PO#4500166233)+MA Slime polybag_MA_A_5L(warning 9L)+MA布标
Remark: * 请准备2个40尺高柜的安全网，客人要求所有柜货需要加安全网出货，漏拉网会有罚款产生
 1. 包装如含PVC,请改为PET
 2. 产品/包装要求无硼无香；
 3. 出欧洲，微塑料需合规。
4.带电池出货的产品所用到的电池需要符合欧洲电池新规(EU) 2023-1542
5.关于贴纸，如果贴纸位置图的包装版本与大货不一致，请工厂提前提出, 跟单会重新调整确认是否更新贴纸或调整位置图
6.产品/包装不含PFAS and/or Bisfenol成分,以及不含石棉成分
7. 产品条码如下: 请先检查条码是否正确再安排做货，如有问题请告知:
77673TQ1-S001:4894680042773
92106-S001-NB:4894680033702
92147-S001:4894680058941
92146TQ1-S002:4894680058934
92125-S001:4894680046306
77711GQ1-S002-INT:4894680043350
9574-S001:4894680057265
77858-S001:4894680058729</t>
  </si>
  <si>
    <t>4500211590</t>
  </si>
  <si>
    <t>4500211590-190</t>
  </si>
  <si>
    <t>6/29-UPC 贴纸+进口商贴纸</t>
  </si>
  <si>
    <r>
      <rPr>
        <sz val="14"/>
        <color rgb="FF1506E0"/>
        <rFont val="宋体"/>
        <charset val="0"/>
      </rPr>
      <t>日期码格式：ZURU INC(BVI) 标准格式</t>
    </r>
    <r>
      <rPr>
        <sz val="14"/>
        <color rgb="FF1506E0"/>
        <rFont val="宋体"/>
        <charset val="134"/>
      </rPr>
      <t xml:space="preserve">                  日期：按实际生产日期
Packaging Info: 请确保包装上的条形码是UPC，如果是babyUPC，需要用mother UPC覆盖，如有不一致，请及时提出。谢谢!
 92106 MA多语EAN包装+UPC 贴纸+MA 多语收藏指南+进口商贴纸+箱唛
Remark: 
92106  92106A RHINO:92106D KOALA:92106B ELEPHANT=1:1:1</t>
    </r>
  </si>
  <si>
    <t>4500212379</t>
  </si>
  <si>
    <t>115820</t>
  </si>
  <si>
    <t>4500212379-20</t>
  </si>
  <si>
    <t>8/6-8/7出</t>
  </si>
  <si>
    <t>7/13-价格贴纸</t>
  </si>
  <si>
    <t xml:space="preserve">日期码格式：ZURU INC(BVI) 标准格式                  日期：按实际生产日期
Packaging Info: MA UPC包装(优先1L)+价格贴纸，价格贴纸客供。2PK/3PK的球用无条码收缩膜或加空白贴纸覆盖原条码。
Remark: 1. 产品和包装上印刷tracking code信息，格式为ZURU常规格式。
 2. ZURU QC验货。
 3. 分5个DC出货，每款产品每个DC的箱唛资料不同，具体DC数量如下：
item#92106: Marshalls PO#115820,SKU#943690 DC#881-608PCS, DC#884-496PCS, DC#886-652PCS, DC#887-648PCS, DC#888-596PCS
</t>
  </si>
  <si>
    <t>Emily  Wu</t>
  </si>
  <si>
    <t>4500212386</t>
  </si>
  <si>
    <t>115827</t>
  </si>
  <si>
    <t>4500212386-20</t>
  </si>
  <si>
    <t>预计8/7出</t>
  </si>
  <si>
    <t xml:space="preserve">日期码格式：ZURU INC(BVI) 标准格式                  日期：按实际生产日期
Packaging Info: MA UPC包装(优先1L)+价格贴纸，价格贴纸客供。2PK/3PK的球用无条码收缩膜或加空白贴纸覆盖原条码。
Remark: 1. 产品和包装上印刷tracking code信息，格式为ZURU常规格式。
 2. ZURU QC验货。
 3. 分5个DC出货，每款产品每个DC的箱唛资料不同，具体DC数量如下：
item#92106: TJ MAXX PO#115827,SKU#223423 DC#891-652PCS, DC#894-516PCS, DC#896-444PCS, DC#897-868PCS, DC#898-520PCS
</t>
  </si>
  <si>
    <t>4500208189</t>
  </si>
  <si>
    <t>4500208189-160</t>
  </si>
  <si>
    <t>8/1出</t>
  </si>
  <si>
    <t>6/18-进口商贴纸+条码贴纸</t>
  </si>
  <si>
    <t>日期码格式：ZURU INC(BVI) 标准格式                  日期：按实际生产日期
Packaging Info: 77858/77772GQ1/77794UQ1/9548/92106:MA 多语包装+进口商贴纸+条码贴纸+箱唛
Remark: 1.进口商贴纸请多备料5pcs,出货后需要寄给客户留底
2.如后续提供的贴纸文档中进口商贴纸和条码贴纸合并为一张，可忽略条码贴纸的需求</t>
  </si>
  <si>
    <t>4500203233</t>
  </si>
  <si>
    <t>04197-BOD-12-FALL</t>
  </si>
  <si>
    <t>4500203233-190</t>
  </si>
  <si>
    <t>6/22-UPC 贴纸</t>
  </si>
  <si>
    <t xml:space="preserve">日期码格式：ZURU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4.此单MA 3L UPC/EAN 包装（EAN 包装需要用UPC贴纸覆盖）+箱唛
77794UQ1 MA多语EAN包装+UPC贴纸+MA 多语说明书+MA多语收藏指南+MA 多语PDQ +箱唛
Remark: 
92106  92106A RHINO:92106D KOALA:92106B ELEPHANT=1:1:1
</t>
  </si>
  <si>
    <t>GIOCHI  PREZIOSI  EĞITIMARAÇLARI  TIC</t>
  </si>
  <si>
    <t>4500205715</t>
  </si>
  <si>
    <t>4500205715-40</t>
  </si>
  <si>
    <t>6/22收到</t>
  </si>
  <si>
    <t>客人贴纸翻4500127527</t>
  </si>
  <si>
    <r>
      <rPr>
        <sz val="14"/>
        <rFont val="宋体"/>
        <charset val="0"/>
      </rPr>
      <t xml:space="preserve">日期码格式：ZUR6187 ZUR6218 日期：
Packaging Info:  92106:MA 1L包装+客人贴纸（含客户条码）+MA说明书+5L收藏指南+MA布标
 </t>
    </r>
    <r>
      <rPr>
        <sz val="14"/>
        <color rgb="FFFF0000"/>
        <rFont val="宋体"/>
        <charset val="0"/>
      </rPr>
      <t>AW翻单4500127527</t>
    </r>
    <r>
      <rPr>
        <sz val="14"/>
        <rFont val="宋体"/>
        <charset val="0"/>
      </rPr>
      <t xml:space="preserve">
 92106A RHINO:92106D KOALA:92106B ELEPHANT=1:1:1 </t>
    </r>
    <r>
      <rPr>
        <sz val="14"/>
        <color rgb="FFFF0000"/>
        <rFont val="宋体"/>
        <charset val="0"/>
      </rPr>
      <t>A</t>
    </r>
    <r>
      <rPr>
        <sz val="14"/>
        <rFont val="宋体"/>
        <charset val="0"/>
      </rPr>
      <t xml:space="preserve">
 工厂日期码 产品/包装/外箱请保持一致。
 客户日期码: ZUR6187 ZUR6218 包装/外箱请保持一致。
 CRD 7/6对应 ZUR6187
 CRD 8/6对应 ZUR6218
 以下数量大货样寄到以下地址：
 1.9574 大货样：4pcs
 2.92106大货样：6pcs随机成品
 Attn: Sylvia Li
 Company name: GP Services HK Limited
 Company address: Suite 1502, 15th Floor, Chinachem Golden Plaza, 77 Mody Road, TST East, Kowloon, Hong Kong
 Company address (Chinese): 香港九龍尖沙咀東部麼地道77號華懋廣場1502室
 Contact Tel: +852 2739 5363
Remark:</t>
    </r>
  </si>
  <si>
    <t>Doris  Shou</t>
  </si>
  <si>
    <t>4500211021</t>
  </si>
  <si>
    <t>order 5462Bekasovo 2</t>
  </si>
  <si>
    <t>4500211021-40</t>
  </si>
  <si>
    <t>7/9-进口商贴纸+EAN条码贴纸+6/18-QR code 贴纸</t>
  </si>
  <si>
    <t>6/18-SSCC贴纸</t>
  </si>
  <si>
    <t>日期码格式：外包装/外箱不要打ZURU标准日期 日期：
Packaging Info: 注意: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包装要求：
9574/92106/92119：MA UPC 包装（1L 优先）+进口商贴纸（含EAN条码贴纸）+QR code 贴纸 （一物一码），MA PDQ/说明书/指南（如有）
其余item：MA UPC 包装（1L 优先）+进口商贴纸+EAN条码贴纸+QR code 贴纸 （一物一码），MA PDQ/说明书/指南（如有）
Remark: 客户DM订单注意事项:
1. 9565GQ1-S003 ： 4 assortment, brown: orange: pink :blue=3:3:3:2
其他item：标准配比
2. 请按期完货， 会有罚金。
3. 出仓库-Bekasovo 2 仓库.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----QQR 二维码格式要求： DATA MATRIX GS1 , 请用苹果手机下载 Честный знак 官方APP 进行扫描，必须100%成功验证并显示正确商品信息 ; --ZUR
U QC 请留意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</si>
  <si>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t>4500211044</t>
  </si>
  <si>
    <t>order 5462Ural</t>
  </si>
  <si>
    <t>4500211044-40</t>
  </si>
  <si>
    <t>进口商贴纸+EAN条码贴纸翻4500211021+6/18-QR code 贴纸</t>
  </si>
  <si>
    <r>
      <rPr>
        <sz val="14"/>
        <color rgb="FF000000"/>
        <rFont val="宋体"/>
        <charset val="0"/>
      </rPr>
      <t>日期码格式：外包装/外箱不要打ZURU标准日期</t>
    </r>
    <r>
      <rPr>
        <sz val="14"/>
        <color rgb="FF000000"/>
        <rFont val="宋体"/>
        <charset val="134"/>
      </rPr>
      <t xml:space="preserve">                  日期：
Packaging Info: 注意:   此单进口商贴纸，EAN条码贴纸翻4500211021 ；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包装要求：MA  UPC 包装（1L 优先）+进口商贴纸+EAN条码贴纸+QR code 贴纸  （一物一码），MA PDQ/说明书/指南（如有）
Remark: 客户DM订单注意事项:
 1. 9565GQ1-S003 ：  4 assortment, brown: orange: pink :blue=3:3:3:2
其他item：标准配比
 2. 请按期完货，  会有罚金。
 3. 出仓库-Ural 仓库.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r>
  </si>
  <si>
    <t>AMIC  TRADING  (PTY)  LTD</t>
  </si>
  <si>
    <t>4500214659</t>
  </si>
  <si>
    <t>6006-014357</t>
  </si>
  <si>
    <t>4500214659-10</t>
  </si>
  <si>
    <t>7/2-通用进口商贴纸</t>
  </si>
  <si>
    <t>日期码格式：ZURU INC(BVI) 标准格式 日期：按实际生产日期
Packaging Info: 
92119/92106/92125： MA 1L PKG , MA 收藏指南+ 1 张通用进口商贴纸（贴收缩膜背面空白处，不遮挡日期码）
Remark:</t>
  </si>
  <si>
    <t>Chelsea  Luo</t>
  </si>
  <si>
    <t>4500211759</t>
  </si>
  <si>
    <t>50822365</t>
  </si>
  <si>
    <t>4500211759-10</t>
  </si>
  <si>
    <r>
      <rPr>
        <sz val="14"/>
        <color rgb="FF000000"/>
        <rFont val="宋体"/>
        <charset val="0"/>
      </rPr>
      <t>日期码格式：ZURU INC(BVI) 标准格式</t>
    </r>
    <r>
      <rPr>
        <sz val="14"/>
        <color rgb="FF000000"/>
        <rFont val="宋体"/>
        <charset val="134"/>
      </rPr>
      <t xml:space="preserve">                  日期：按实际生产日期
Packaging Info: 92106:MA 3L(warning 23L) EAN包装+一张客人价格贴纸
Remark: 1. 出往UK的产品+包装务必打上UKCA 以及CE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.如果出运产品属于电子类产品需要在ZURU 包装基础上额外添加一张ZURU通用WEEE 电子产品说明书,带电池出货的加带电池出货版本通用D版29L的说明书，不带
电池出货的产品用29LC版不带电池出货版本的说明书
 11. 所有出往GAS市场(德国/奥地利/瑞士)订单，化学品需无硼无香版本。</t>
    </r>
  </si>
  <si>
    <t>50822366</t>
  </si>
  <si>
    <t>4500211759-20</t>
  </si>
  <si>
    <t>50822367</t>
  </si>
  <si>
    <t>4500211759-30</t>
  </si>
  <si>
    <t>50822368</t>
  </si>
  <si>
    <t>4500211759-40</t>
  </si>
  <si>
    <t>4500197052-10</t>
  </si>
  <si>
    <r>
      <rPr>
        <sz val="14"/>
        <rFont val="宋体"/>
        <charset val="134"/>
      </rPr>
      <t xml:space="preserve">日期码格式：ZURU INC(BVI) 标准格式 日期：按实际生产日期
Packaging Info: MA UPC版本包装+客版PDQ, 客版PDQ AW 翻单PO#4500197044
</t>
    </r>
    <r>
      <rPr>
        <sz val="14"/>
        <color rgb="FFFF0000"/>
        <rFont val="宋体"/>
        <charset val="134"/>
      </rPr>
      <t>外箱顶部需印有Box Certificate Stamp纸箱质量保证章，纸箱需满足最低强度要求为 200磅耐破强度或 32 ECT 边压强度等级。具体见箱唛资料</t>
    </r>
    <r>
      <rPr>
        <sz val="14"/>
        <rFont val="宋体"/>
        <charset val="134"/>
      </rPr>
      <t xml:space="preserve">
Remark: 1. 此单需一个40HQ装完，但需超过客户要求的最少立方数，40HQ最少要60CBM，箱唛上体积数和实际要相符，如体积数和PO上有不一致，客人会有罚款。
2. 产品和包装上的日期按照ZURU标准格式。
3. 产品不含以下物质：
a. 不含任何的美国优先化学品priority chemicals；
b. 不含或者不超过美国缅因州的高度关注化学品Chemicals of High Concern清单中的最低水平(100mg/kg)；
c. 不含化学阻燃剂：TDCPP，TCEP，Antimony trioxide，HBCD，TBPH，TBB，SCCP，TCPP，Penta-BDE，Octa-BDE，TBBPA等。</t>
    </r>
  </si>
  <si>
    <t>4500210225</t>
  </si>
  <si>
    <t>4500210225-190</t>
  </si>
  <si>
    <t>7/24-UPC 贴纸+进口商贴纸</t>
  </si>
  <si>
    <t>日期码格式：ZURU INC(BVI) 标准格式 日期：按实际生产日期
Packaging Info: 
92147/92106B/92106D: MA 3L EAN包装+UPC 贴纸+进口商贴纸+箱唛
Remark:</t>
  </si>
  <si>
    <t>4500210225-200</t>
  </si>
  <si>
    <t>4500210228</t>
  </si>
  <si>
    <t>4500210228-130</t>
  </si>
  <si>
    <t>日期码格式：ZURU INC(BVI) 标准格式 日期：按实际生产日期
Packaging Info: 
92146/92106: MA 3L EAN包装+UPC 贴纸+进口商贴纸+箱唛,贴纸翻单PO4500212375
Remark:</t>
  </si>
  <si>
    <t>4500210229</t>
  </si>
  <si>
    <t>4500210229-250</t>
  </si>
  <si>
    <t>92106A-S002-PKC</t>
  </si>
  <si>
    <t>犀牛-胶袋装</t>
  </si>
  <si>
    <r>
      <rPr>
        <sz val="14"/>
        <color rgb="FF000000"/>
        <rFont val="宋体"/>
        <charset val="0"/>
      </rPr>
      <t xml:space="preserve">日期码格式：ZURU INC(BVI) 标准格式 日期：按实际生产日期 Tracking Code:
Packaging Info: 
 92106A/9283A/9283B/9283D: MA 3L EAN包装+进口商贴纸+UPC条码贴纸+箱唛, 按照单个产品入polybag胶袋后再装箱出货，胶袋无印刷警告语要求，但厚度要求要
 大于0.038mm，袋子需打孔，胶袋需封口
 </t>
    </r>
    <r>
      <rPr>
        <sz val="14"/>
        <color rgb="FFFF0000"/>
        <rFont val="宋体"/>
        <charset val="0"/>
      </rPr>
      <t>92106B/92106D: MA 3L EAN包装+进口商贴纸+UPC条码贴纸+箱唛, 贴纸翻单PO4500210225
 按照单个产品入polybag胶袋后再装箱出货，胶袋无印刷警告语要求，但厚度要求要大于0.038mm，袋子需打孔，胶袋需封口，</t>
    </r>
    <r>
      <rPr>
        <sz val="14"/>
        <color rgb="FF000000"/>
        <rFont val="宋体"/>
        <charset val="0"/>
      </rPr>
      <t xml:space="preserve">
Remark:</t>
    </r>
  </si>
  <si>
    <t>4500210229-260</t>
  </si>
  <si>
    <t>92106B-S002-PKC</t>
  </si>
  <si>
    <t>大象-胶袋装</t>
  </si>
  <si>
    <t>4500210229-270</t>
  </si>
  <si>
    <t>92106D-S002-PKC</t>
  </si>
  <si>
    <t>考拉-胶袋装</t>
  </si>
  <si>
    <r>
      <rPr>
        <sz val="14"/>
        <color rgb="FF000000"/>
        <rFont val="宋体"/>
        <charset val="134"/>
      </rPr>
      <t>NASA</t>
    </r>
    <r>
      <rPr>
        <sz val="12"/>
        <color rgb="FF000000"/>
        <rFont val="宋体"/>
        <charset val="134"/>
      </rPr>
      <t xml:space="preserve">  </t>
    </r>
    <r>
      <rPr>
        <sz val="12"/>
        <color rgb="FF000000"/>
        <rFont val="宋体"/>
        <charset val="134"/>
      </rPr>
      <t>PANAMA</t>
    </r>
  </si>
  <si>
    <t>4500216224</t>
  </si>
  <si>
    <r>
      <rPr>
        <sz val="14"/>
        <color rgb="FF000000"/>
        <rFont val="宋体"/>
        <charset val="0"/>
      </rPr>
      <t>Warehouse</t>
    </r>
    <r>
      <rPr>
        <sz val="12"/>
        <color rgb="FF000000"/>
        <rFont val="宋体"/>
        <charset val="134"/>
      </rPr>
      <t xml:space="preserve">  </t>
    </r>
    <r>
      <rPr>
        <sz val="12"/>
        <color rgb="FF000000"/>
        <rFont val="宋体"/>
        <charset val="134"/>
      </rPr>
      <t>1</t>
    </r>
  </si>
  <si>
    <t>4500216224-50</t>
  </si>
  <si>
    <t>7/29收到</t>
  </si>
  <si>
    <t>7/13-UPC 贴纸</t>
  </si>
  <si>
    <r>
      <rPr>
        <sz val="14"/>
        <color rgb="FF000000"/>
        <rFont val="宋体"/>
        <charset val="0"/>
      </rPr>
      <t>日期码格式：ZURU</t>
    </r>
    <r>
      <rPr>
        <sz val="14"/>
        <color rgb="FF000000"/>
        <rFont val="宋体"/>
        <charset val="134"/>
      </rPr>
      <t xml:space="preserve">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92106  MA  多语EAN  包装+UPC  贴纸+MA  多语收藏指南+箱唛
Remark:
   92106  92106A  RHINO:92106D  KOALA:92106B  ELEPHANT=1:1:1</t>
    </r>
  </si>
  <si>
    <r>
      <rPr>
        <sz val="10"/>
        <color rgb="FF000000"/>
        <rFont val="宋体"/>
        <charset val="0"/>
        <scheme val="minor"/>
      </rPr>
      <t>Aimee</t>
    </r>
    <r>
      <rPr>
        <sz val="10"/>
        <color rgb="FF000000"/>
        <rFont val="宋体"/>
        <charset val="134"/>
      </rPr>
      <t xml:space="preserve">  </t>
    </r>
    <r>
      <rPr>
        <sz val="10"/>
        <color rgb="FF000000"/>
        <rFont val="宋体"/>
        <charset val="134"/>
      </rPr>
      <t>Huang</t>
    </r>
  </si>
  <si>
    <t>4500214393</t>
  </si>
  <si>
    <t>1082777</t>
  </si>
  <si>
    <t>4500214393-40</t>
  </si>
  <si>
    <t>7/27-价格贴纸</t>
  </si>
  <si>
    <t>日期码格式：ZURU INC(BVI) 标准格式                  日期：按实际生产日期
Packaging Info: 
92106: 英文MA包装(UPC版本，首选1L，无1L可用多L含英语)+箱唛+1张客供价格贴纸；92106A RHINO:92106D KOALA:92106B ELEPHANT=1:1:1
Remark: 1. 箱唛不可出现任何手写内容（箱数除外），重量与实际一致且不可手写；
 2. 产品上贴客供价格贴纸，贴纸位置为产品正面右上角，不能遮住产品信息；请与跟单确认贴纸位置后再生产大货；
 3. 订单每行对应客人不同的PO，即同款item的价格贴纸都不相同，请注意收到贴纸后不要弄混!（CUS PO号请参考行项目Remark）
 4. 此单去澳大利亚，请按相应澳新标准生产并满足当地法规要求; 如产品含纽扣电池出货, 包装前面和说明书上需加纽扣电池警语贴纸;
 5. ZURU QC验货。
6. 产品和包装上要有tracking label信息：日期码格式为Zuru标准格式；</t>
  </si>
  <si>
    <t>4500214715</t>
  </si>
  <si>
    <t>6006-014363</t>
  </si>
  <si>
    <t>4500214715-20</t>
  </si>
  <si>
    <t>日期码格式：ZURU INC(BVI) 标准格式 日期：按实际生产日期
Packaging Info: 9296/92119/92106/92125/92146： MA 1L PKG , MA 收藏指南+ 1 张通用进口商贴纸（贴收缩膜背面空白处，不遮挡日期码）
Remark:</t>
  </si>
  <si>
    <t>4500215819</t>
  </si>
  <si>
    <t>6006-014365</t>
  </si>
  <si>
    <t>4500215819-10</t>
  </si>
  <si>
    <t>8/7-通用进口商贴纸</t>
  </si>
  <si>
    <r>
      <rPr>
        <sz val="14"/>
        <color rgb="FF000000"/>
        <rFont val="宋体"/>
        <charset val="0"/>
      </rPr>
      <t>日期码格式：ZURU INC(BVI) 标准格式</t>
    </r>
    <r>
      <rPr>
        <sz val="14"/>
        <color rgb="FF000000"/>
        <rFont val="宋体"/>
        <charset val="134"/>
      </rPr>
      <t xml:space="preserve">                  日期：按实际生产日期
Packaging Info: 92106/92119/92125/92146/92147：  MA 1L PKG , MA 收藏指南+ 1 张通用进口商贴纸（贴收缩膜背面空白处，不遮挡日期码）
Remark：</t>
    </r>
  </si>
  <si>
    <t>4500211065</t>
  </si>
  <si>
    <t>4500211065-50</t>
  </si>
  <si>
    <t>进口商贴纸+EAN条码贴纸翻4500211021+6/18-QR code贴纸</t>
  </si>
  <si>
    <t>7/9-SSCC贴纸</t>
  </si>
  <si>
    <r>
      <rPr>
        <sz val="14"/>
        <color rgb="FF000000"/>
        <rFont val="宋体"/>
        <charset val="0"/>
      </rPr>
      <t>日期码格式：外包装/外箱不要打ZURU标准日期</t>
    </r>
    <r>
      <rPr>
        <sz val="14"/>
        <color rgb="FF000000"/>
        <rFont val="宋体"/>
        <charset val="134"/>
      </rPr>
      <t xml:space="preserve">                  日期：
Packaging Info: 注意:   除了9543 ，此单的其他款的进口商贴纸，EAN条码贴纸翻4500211021 ；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包装要求：MA  UPC 包装（1L 优先）+进口商贴纸+EAN条码贴纸+QR code 贴纸  （一物一码），MA PDQ/说明书/指南（如有）
Remark: 客户DM订单注意事项:
 1. 9565GQ1-S003 ：  4 assortment, brown: orange: pink :blue=3:3:3:2
其他item：标准配比
 2. 请按期完货，  会有罚金。
 3. 出仓库-BEKASOVO 2 仓库.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r>
  </si>
  <si>
    <t>4500211083</t>
  </si>
  <si>
    <t>4500211083-50</t>
  </si>
  <si>
    <r>
      <rPr>
        <sz val="14"/>
        <color rgb="FF000000"/>
        <rFont val="宋体"/>
        <charset val="0"/>
      </rPr>
      <t>日期码格式：外包装/外箱不要打ZURU标准日期</t>
    </r>
    <r>
      <rPr>
        <sz val="14"/>
        <color rgb="FF000000"/>
        <rFont val="宋体"/>
        <charset val="134"/>
      </rPr>
      <t xml:space="preserve">                  日期：
Packaging Info: 注意:  此单9543进口商贴纸，EAN条码贴纸翻4500211065 ;
        其他款的进口商贴纸，EAN条码贴纸翻4500211021 ;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包装要求：MA  UPC 包装（1L 优先）+进口商贴纸+EAN条码贴纸+QR code 贴纸  （一物一码），MA PDQ/说明书/指南（如有）
Remark: 客户DM订单注意事项:
 1. 9565GQ1-S003 ：  4 assortment, brown: orange: pink :blue=3:3:3:2
其他item：标准配比
 2. 请按期完货，  会有罚金。
 3. 出仓库-Ural 仓库.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r>
  </si>
  <si>
    <t>ADIR  INTERNATIOAL/  CURACAO</t>
  </si>
  <si>
    <t>4500218039-50</t>
  </si>
  <si>
    <r>
      <rPr>
        <sz val="14"/>
        <color rgb="FF000000"/>
        <rFont val="宋体"/>
        <charset val="0"/>
      </rPr>
      <t>日期码格式：ZURU</t>
    </r>
    <r>
      <rPr>
        <sz val="14"/>
        <color rgb="FF000000"/>
        <rFont val="宋体"/>
        <charset val="134"/>
      </rPr>
      <t xml:space="preserve">  INC(BVI)  标准格式                                    日期：按实际生产日期
Remark: 1.  包装方式：MA  UPC  优先1L  最新包装，出口美国
   2.  产品和包装上印刷tracking  code信息，格式为ZURU常规;
   3.  ZURU  QC验货即可出货。</t>
    </r>
  </si>
  <si>
    <r>
      <rPr>
        <sz val="10"/>
        <color rgb="FF000000"/>
        <rFont val="宋体"/>
        <charset val="0"/>
        <scheme val="minor"/>
      </rPr>
      <t>Echo</t>
    </r>
    <r>
      <rPr>
        <sz val="10"/>
        <color rgb="FF000000"/>
        <rFont val="等线"/>
        <charset val="134"/>
      </rPr>
      <t xml:space="preserve">  Zhang</t>
    </r>
  </si>
  <si>
    <t>4500210108</t>
  </si>
  <si>
    <t>78301494</t>
  </si>
  <si>
    <t>4500210108-30</t>
  </si>
  <si>
    <t>欠条码贴纸+价标贴纸+进口商贴纸</t>
  </si>
  <si>
    <r>
      <rPr>
        <sz val="14"/>
        <color rgb="FF000000"/>
        <rFont val="宋体"/>
        <charset val="0"/>
      </rPr>
      <t>日期码格式：ZURU INC(BVI) 标准格式</t>
    </r>
    <r>
      <rPr>
        <sz val="14"/>
        <color rgb="FF000000"/>
        <rFont val="宋体"/>
        <charset val="134"/>
      </rPr>
      <t xml:space="preserve">                  日期：按实际生产日期
Packaging Info: 92106: MA  3L EAN 包装+UPC 条码贴纸+价标贴纸+进口商贴纸+箱唛;</t>
    </r>
  </si>
  <si>
    <r>
      <rPr>
        <sz val="14"/>
        <rFont val="宋体"/>
        <charset val="134"/>
      </rPr>
      <t>ARCHIBRAND,</t>
    </r>
    <r>
      <rPr>
        <sz val="11"/>
        <color rgb="FF000000"/>
        <rFont val="宋体"/>
        <charset val="134"/>
      </rPr>
      <t xml:space="preserve">  </t>
    </r>
    <r>
      <rPr>
        <sz val="11"/>
        <color rgb="FF000000"/>
        <rFont val="宋体"/>
        <charset val="134"/>
      </rPr>
      <t>S.A.</t>
    </r>
    <r>
      <rPr>
        <sz val="11"/>
        <color rgb="FF000000"/>
        <rFont val="宋体"/>
        <charset val="134"/>
      </rPr>
      <t xml:space="preserve">  </t>
    </r>
    <r>
      <rPr>
        <sz val="11"/>
        <color rgb="FF000000"/>
        <rFont val="宋体"/>
        <charset val="134"/>
      </rPr>
      <t>DE</t>
    </r>
    <r>
      <rPr>
        <sz val="11"/>
        <color rgb="FF000000"/>
        <rFont val="宋体"/>
        <charset val="134"/>
      </rPr>
      <t xml:space="preserve">  </t>
    </r>
    <r>
      <rPr>
        <sz val="11"/>
        <color rgb="FF000000"/>
        <rFont val="宋体"/>
        <charset val="134"/>
      </rPr>
      <t>C.V.</t>
    </r>
  </si>
  <si>
    <t>4500220001</t>
  </si>
  <si>
    <t>4500220001-350</t>
  </si>
  <si>
    <t>UPC 贴纸+进口商贴纸4500210229</t>
  </si>
  <si>
    <r>
      <rPr>
        <sz val="14"/>
        <color rgb="FF000000"/>
        <rFont val="宋体"/>
        <charset val="0"/>
      </rPr>
      <t>日期码格式：ZURU</t>
    </r>
    <r>
      <rPr>
        <sz val="11"/>
        <color rgb="FF000000"/>
        <rFont val="宋体"/>
        <charset val="134"/>
      </rPr>
      <t xml:space="preserve">  </t>
    </r>
    <r>
      <rPr>
        <sz val="11"/>
        <color rgb="FF000000"/>
        <rFont val="宋体"/>
        <charset val="134"/>
      </rPr>
      <t>INC(BVI)</t>
    </r>
    <r>
      <rPr>
        <sz val="11"/>
        <color rgb="FF000000"/>
        <rFont val="宋体"/>
        <charset val="134"/>
      </rPr>
      <t xml:space="preserve">  </t>
    </r>
    <r>
      <rPr>
        <sz val="11"/>
        <color rgb="FF000000"/>
        <rFont val="宋体"/>
        <charset val="134"/>
      </rPr>
      <t>标准格式</t>
    </r>
    <r>
      <rPr>
        <sz val="11"/>
        <color rgb="FF000000"/>
        <rFont val="宋体"/>
        <charset val="134"/>
      </rPr>
      <t xml:space="preserve">                                    </t>
    </r>
    <r>
      <rPr>
        <sz val="11"/>
        <color rgb="FF000000"/>
        <rFont val="宋体"/>
        <charset val="134"/>
      </rPr>
      <t>日期：按实际生产日期</t>
    </r>
    <r>
      <rPr>
        <sz val="11"/>
        <color rgb="FF000000"/>
        <rFont val="宋体"/>
        <charset val="134"/>
      </rPr>
      <t xml:space="preserve">
</t>
    </r>
    <r>
      <rPr>
        <sz val="11"/>
        <color rgb="FF000000"/>
        <rFont val="宋体"/>
        <charset val="134"/>
      </rPr>
      <t>Packaging Info:</t>
    </r>
    <r>
      <rPr>
        <sz val="11"/>
        <color rgb="FF000000"/>
        <rFont val="宋体"/>
        <charset val="134"/>
      </rPr>
      <t xml:space="preserve">
</t>
    </r>
    <r>
      <rPr>
        <sz val="11"/>
        <color rgb="FF000000"/>
        <rFont val="宋体"/>
        <charset val="134"/>
      </rPr>
      <t xml:space="preserve">   </t>
    </r>
    <r>
      <rPr>
        <sz val="11"/>
        <color rgb="FF000000"/>
        <rFont val="宋体"/>
        <charset val="134"/>
      </rPr>
      <t>15.</t>
    </r>
    <r>
      <rPr>
        <sz val="11"/>
        <color rgb="FF000000"/>
        <rFont val="宋体"/>
        <charset val="134"/>
      </rPr>
      <t xml:space="preserve">  </t>
    </r>
    <r>
      <rPr>
        <sz val="11"/>
        <color rgb="FF000000"/>
        <rFont val="宋体"/>
        <charset val="134"/>
      </rPr>
      <t>92106A/B/D:</t>
    </r>
    <r>
      <rPr>
        <sz val="11"/>
        <color rgb="FF000000"/>
        <rFont val="宋体"/>
        <charset val="134"/>
      </rPr>
      <t xml:space="preserve">  </t>
    </r>
    <r>
      <rPr>
        <sz val="11"/>
        <color rgb="FF000000"/>
        <rFont val="宋体"/>
        <charset val="134"/>
      </rPr>
      <t>MA</t>
    </r>
    <r>
      <rPr>
        <sz val="11"/>
        <color rgb="FF000000"/>
        <rFont val="宋体"/>
        <charset val="134"/>
      </rPr>
      <t xml:space="preserve">  </t>
    </r>
    <r>
      <rPr>
        <sz val="11"/>
        <color rgb="FF000000"/>
        <rFont val="宋体"/>
        <charset val="134"/>
      </rPr>
      <t>3L</t>
    </r>
    <r>
      <rPr>
        <sz val="11"/>
        <color rgb="FF000000"/>
        <rFont val="宋体"/>
        <charset val="134"/>
      </rPr>
      <t xml:space="preserve">  </t>
    </r>
    <r>
      <rPr>
        <sz val="11"/>
        <color rgb="FF000000"/>
        <rFont val="宋体"/>
        <charset val="134"/>
      </rPr>
      <t>EAN包装+UPC</t>
    </r>
    <r>
      <rPr>
        <sz val="11"/>
        <color rgb="FF000000"/>
        <rFont val="宋体"/>
        <charset val="134"/>
      </rPr>
      <t xml:space="preserve">  </t>
    </r>
    <r>
      <rPr>
        <sz val="11"/>
        <color rgb="FF000000"/>
        <rFont val="宋体"/>
        <charset val="134"/>
      </rPr>
      <t>贴纸+进口商贴纸+箱唛,</t>
    </r>
    <r>
      <rPr>
        <sz val="11"/>
        <color rgb="FF000000"/>
        <rFont val="宋体"/>
        <charset val="134"/>
      </rPr>
      <t xml:space="preserve">  </t>
    </r>
    <r>
      <rPr>
        <sz val="11"/>
        <color rgb="FF000000"/>
        <rFont val="宋体"/>
        <charset val="134"/>
      </rPr>
      <t>贴纸翻单PO4500210229</t>
    </r>
    <r>
      <rPr>
        <sz val="11"/>
        <color rgb="FF000000"/>
        <rFont val="宋体"/>
        <charset val="134"/>
      </rPr>
      <t xml:space="preserve">
</t>
    </r>
    <r>
      <rPr>
        <sz val="11"/>
        <color rgb="FF000000"/>
        <rFont val="宋体"/>
        <charset val="134"/>
      </rPr>
      <t>按照单个产品入polybag胶袋后再装箱出货，胶袋无印刷警告语要求，但厚度要求要大于0.038mm，袋子需打孔，胶袋需封口</t>
    </r>
    <r>
      <rPr>
        <sz val="11"/>
        <color rgb="FF000000"/>
        <rFont val="宋体"/>
        <charset val="134"/>
      </rPr>
      <t xml:space="preserve">
</t>
    </r>
    <r>
      <rPr>
        <sz val="11"/>
        <color rgb="FF000000"/>
        <rFont val="宋体"/>
        <charset val="134"/>
      </rPr>
      <t>Remark:</t>
    </r>
  </si>
  <si>
    <r>
      <rPr>
        <sz val="10"/>
        <rFont val="宋体"/>
        <charset val="0"/>
        <scheme val="minor"/>
      </rPr>
      <t>Ever</t>
    </r>
    <r>
      <rPr>
        <sz val="11"/>
        <color rgb="FF000000"/>
        <rFont val="宋体"/>
        <charset val="134"/>
      </rPr>
      <t xml:space="preserve">  </t>
    </r>
    <r>
      <rPr>
        <sz val="11"/>
        <color rgb="FF000000"/>
        <rFont val="宋体"/>
        <charset val="134"/>
      </rPr>
      <t>Li</t>
    </r>
  </si>
  <si>
    <t>4500220001-360</t>
  </si>
  <si>
    <t>4500220001-370</t>
  </si>
  <si>
    <t>4500211160</t>
  </si>
  <si>
    <t>4500211160-50</t>
  </si>
  <si>
    <t>进口商贴纸+EAN条码贴纸翻4500211021+欠QR code贴纸</t>
  </si>
  <si>
    <t>欠SSCC贴纸</t>
  </si>
  <si>
    <r>
      <rPr>
        <sz val="14"/>
        <color rgb="FF000000"/>
        <rFont val="宋体"/>
        <charset val="0"/>
      </rPr>
      <t>日期码格式：外包装/外箱不要打ZURU标准日期</t>
    </r>
    <r>
      <rPr>
        <sz val="14"/>
        <color rgb="FF000000"/>
        <rFont val="宋体"/>
        <charset val="134"/>
      </rPr>
      <t xml:space="preserve">                  日期：按实际生产日期
Packaging Info: 注意:  此单9543进口商贴纸，EAN条码贴纸翻4500211065 ;
        其他款的进口商贴纸，EAN条码贴纸翻4500211021 ;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包装要求：MA  UPC 包装（1L 优先）+进口商贴纸+EAN条码贴纸+QR code 贴纸  （一物一码），MA PDQ/说明书/指南（如有）
Remark: 客户DM订单注意事项:
 1. 9565GQ1-S003 ：  4 assortment, brown: orange: pink :blue=3:3:3:2
其他item：标准配比
 2. 请按期完货，  会有罚金。
 3. 出仓库-Ural 仓库.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r>
  </si>
  <si>
    <t>4500211176</t>
  </si>
  <si>
    <t>4500211176-50</t>
  </si>
  <si>
    <t>ZURU  Babycorns  Surprise  - S1 #92107</t>
  </si>
  <si>
    <t>中东客</t>
  </si>
  <si>
    <t>蝴蝶</t>
  </si>
  <si>
    <t>瓢虫</t>
  </si>
  <si>
    <t>长颈鹿</t>
  </si>
  <si>
    <t>收缩膜</t>
  </si>
  <si>
    <t>阅读卡 MA 5L</t>
  </si>
  <si>
    <t>阅读卡 MA 5L B版</t>
  </si>
  <si>
    <r>
      <rPr>
        <b/>
        <sz val="10"/>
        <color rgb="FF000000"/>
        <rFont val="宋体"/>
        <charset val="134"/>
        <scheme val="minor"/>
      </rPr>
      <t xml:space="preserve">阅读卡 </t>
    </r>
    <r>
      <rPr>
        <b/>
        <sz val="10"/>
        <color rgb="FFFF0000"/>
        <rFont val="宋体"/>
        <charset val="134"/>
        <scheme val="minor"/>
      </rPr>
      <t>中文</t>
    </r>
  </si>
  <si>
    <t>展示架F</t>
  </si>
  <si>
    <t>布标</t>
  </si>
  <si>
    <t>总MA</t>
  </si>
  <si>
    <t>接单日期</t>
  </si>
  <si>
    <t>SKU</t>
  </si>
  <si>
    <t>ITEM#</t>
  </si>
  <si>
    <t>中文名</t>
  </si>
  <si>
    <t>PO数量
(pcs)</t>
  </si>
  <si>
    <t>外箱装箱数量(pcs)</t>
  </si>
  <si>
    <t>ZURU订单走货日期</t>
  </si>
  <si>
    <t>ZURU验货
日期</t>
  </si>
  <si>
    <t>第三方验货</t>
  </si>
  <si>
    <t>出单情况</t>
  </si>
  <si>
    <t>车间回复完成时间</t>
  </si>
  <si>
    <t>箱唛资料</t>
  </si>
  <si>
    <t>是否有外箱贴</t>
  </si>
  <si>
    <t>贴纸资料</t>
  </si>
  <si>
    <t>ZURU跟单</t>
  </si>
  <si>
    <t>MA  1L</t>
  </si>
  <si>
    <t>MA  1L
B版</t>
  </si>
  <si>
    <t>MA  3L</t>
  </si>
  <si>
    <t>MA  3L
B版</t>
  </si>
  <si>
    <r>
      <rPr>
        <b/>
        <sz val="10"/>
        <color rgb="FFFF0000"/>
        <rFont val="宋体"/>
        <charset val="0"/>
        <scheme val="minor"/>
      </rPr>
      <t>134696中东客</t>
    </r>
    <r>
      <rPr>
        <b/>
        <sz val="10"/>
        <color rgb="FF00B0F0"/>
        <rFont val="宋体"/>
        <charset val="0"/>
        <scheme val="minor"/>
      </rPr>
      <t xml:space="preserve">
客版</t>
    </r>
  </si>
  <si>
    <t>客版</t>
  </si>
  <si>
    <t>MA 5L</t>
  </si>
  <si>
    <t>MA 5L
B版</t>
  </si>
  <si>
    <t>中文</t>
  </si>
  <si>
    <t>Butterfly 蝴蝶
D</t>
  </si>
  <si>
    <t>Ladybug瓢虫
E</t>
  </si>
  <si>
    <t>Giraffe长颈鹿
B</t>
  </si>
  <si>
    <t>Elephant大象
A</t>
  </si>
  <si>
    <t>Butterfly 蝴蝶</t>
  </si>
  <si>
    <t>Ladybug瓢虫</t>
  </si>
  <si>
    <t>Giraffe长颈鹿</t>
  </si>
  <si>
    <t>Elephant大象</t>
  </si>
  <si>
    <t>MA 1L</t>
  </si>
  <si>
    <t>MA 3L</t>
  </si>
  <si>
    <t>#9283中的两款沙子代替slime</t>
  </si>
  <si>
    <t>有硼</t>
  </si>
  <si>
    <t>无硼</t>
  </si>
  <si>
    <t>MA/客版</t>
  </si>
  <si>
    <t>Butterfly
蝴蝶
D</t>
  </si>
  <si>
    <t>Ladybug
瓢虫
E</t>
  </si>
  <si>
    <t>Giraffe
长颈鹿
B</t>
  </si>
  <si>
    <t xml:space="preserve"> Elephant
大象
A</t>
  </si>
  <si>
    <t>合计</t>
  </si>
  <si>
    <t>MA剩余</t>
  </si>
  <si>
    <t>ZPO2312005</t>
  </si>
  <si>
    <t>PP订单</t>
  </si>
  <si>
    <t>92107-S001</t>
  </si>
  <si>
    <t>摇篮公子</t>
  </si>
  <si>
    <t>1.OA Testing Samples (BULK)：数量 16；地址 深圳市罗湖区东门南路106号口岸大楼17B ，Angus  2 CTN
2.QA Testing samples (FSDU)：数量 30；地址 深圳市罗湖区东门南路106号口岸大楼17B ，Angus  1FSDU
3.Signed Sample (6套签+1套用于拆办)：数量 28；地址 深圳市罗湖区东门南路1006号口岸大楼A栋3楼，Jessy Zhang 13421384408 ，7套*4款=28
4.Show room：数量 80；地址 清溪镇光朗村易京街25号《库有样板房) 收件人:李志强电话: 18328402533 ，20套  注：开PP时候帮忙额外准备3套散件邮寄到深圳办公室
5.Sample room samples：数量 280；地址 清溪镇光朗村易京街25号《库有样板房) 收件人:李志强电话: 18328402533 ，70套  注：开PP时候帮忙额外准备3套散件邮寄到深圳办公室
6.散件：数量 12；地址 深圳市罗湖区东门南路1006号口岸大楼A栋16楼，Max Mlai 13632761211  2 CTN  3套散件（除蛋壳外的所有内含物），每套单独装好
合计数量434；PP订单数量合计 500PCS  注:PP PO数量含buffer，请按PP PO数量准备物料</t>
  </si>
  <si>
    <t>4500146212-20</t>
  </si>
  <si>
    <t>92107-S003-NB</t>
  </si>
  <si>
    <t>11/25抽办                                                                                                                                                                           12/18第三方</t>
  </si>
  <si>
    <t>UPC条码贴纸9/26</t>
  </si>
  <si>
    <t>日期码格式：ZURU INC(BVI) 标准格式 日期：按实际生产日期
Packaging Info:
#92107: MA3L收缩膜+UPC条码贴纸(UPC: 193052064738)+MA5L收藏指南+MA5L资料卡+MA5L胶袋+MA配件袋+MA2L布标
-产品配比: 4 Assortment Ratio (Ladybug: Giraffe: Butterfly: Elephant)=1:1:1:1
Remark: 1. 92107 须使用无硼slime;
3. 此单有箱唛；
4. 此单有第三方验货，烦请多备包装物料；
5. 此单#92108/92107/92105/9296/9554/15714 需签办；签办数量：大货样各3套;
6. 此单#92108/92107/92105/9296/9554 需于2024/11/25 抽办做测试；抽办数量：大货各5套;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</si>
  <si>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94003-1.13</t>
  </si>
  <si>
    <t>92107-S003-NB-3L</t>
  </si>
  <si>
    <t>MA</t>
  </si>
  <si>
    <t>4500143263-30</t>
  </si>
  <si>
    <t>进口商贴纸（翻4500143236）+EAN条码贴纸（翻4500143236）</t>
  </si>
  <si>
    <t>客版收缩膜翻4500143236</t>
  </si>
  <si>
    <t>外包装(指: 收缩膜/彩卡/吊牌/PDQ)/外箱不要打ZURU标准日期码！</t>
  </si>
  <si>
    <t>日期码格式：注意:外包装(指: 收缩膜/彩卡/吊牌/PDQ)/外箱不要打ZURU标准日期码！ 日期：
Packaging Info: 出Bekasovo 2 和Ural 2 个港口；
LC 货期不可延期有罚款 ；
92107 : 客版收缩膜翻4500143236 ， MA 指南 。
注意 ：外包装 (指: 收缩膜/彩卡/吊牌/PDQ) /外箱不要打ZURU标准日期码！
Remark: 标准配比</t>
  </si>
  <si>
    <t>94200-2.10</t>
  </si>
  <si>
    <t>92107-S001-2</t>
  </si>
  <si>
    <t>4500143263-60</t>
  </si>
  <si>
    <t>70054066</t>
  </si>
  <si>
    <t>4500150187-40</t>
  </si>
  <si>
    <t>11/19收到价格贴纸客供</t>
  </si>
  <si>
    <t>47:0003108131</t>
  </si>
  <si>
    <t>4500152217-10</t>
  </si>
  <si>
    <t>92107-S008</t>
  </si>
  <si>
    <t>摇篮公子
(三款公仔）</t>
  </si>
  <si>
    <t>日语贴纸翻4500135847）+6+贴纸</t>
  </si>
  <si>
    <t>日期码格式：ZURU INC(BVI) 标准格式 日期：按实际生产日期 Tracking Code:
Packaging Info: MA 1L UPC PKG A版收缩膜+MA 5L+23L Warning A版收藏指南 +日语贴纸(贴纸AW翻单4500135847）+1张6+贴纸覆盖3+。
Remark: 出日本， 大货品质/包装必须严格跟到PO#4500135847。
 请特别留意此单仅出以下3款， 按以下的数量分配。
 Ladybug: 184pcs
 Giraffe: 184pcs
 Butterfly: 184pcs
 装箱按以下配比。
 3 Assortment Ratio (Ladybug: Giraffe: Butterfly)=1:1:1, 2pcs of each+2pcs random=8pcs/CTN</t>
  </si>
  <si>
    <t>88889-1.6</t>
  </si>
  <si>
    <t>46:0003108129</t>
  </si>
  <si>
    <t>4500152215-10</t>
  </si>
  <si>
    <t>日期码格式：ZURU INC(BVI) 标准格式 日期：按实际生产日期
Packaging Info: MA 1L UPC PKG A版收缩膜+MA 5L+23L Warning A版收藏指南 +日语贴纸(贴纸AW翻单4500135847）+1张6+贴纸覆盖3+。
Remark: 出日本， 大货品质/包装必须严格跟到PO#4500135847。
请特别留意此单仅出以下3款， 按以下的数量分配。
Ladybug: 149pcs
Giraffe: 149pcs
Butterfly: 150pcs
装箱按以下配比。
3 Assortment Ratio (Ladybug: Giraffe: Butterfly)=1:1:1, 2pcs of each+2pcs random=8pcs/CTN</t>
  </si>
  <si>
    <t>88888-1.6</t>
  </si>
  <si>
    <t>Marshalls
DC#881-128PCS
,
DC#884-96PCS,
DC#886-136PCS
,
DC#887-120PCS
,
DC#888-120PCS</t>
  </si>
  <si>
    <t>4500147789-70</t>
  </si>
  <si>
    <t>5R6F4YLI</t>
  </si>
  <si>
    <t>4500150978-10</t>
  </si>
  <si>
    <t>92107E-S001-NB</t>
  </si>
  <si>
    <t>UPC贴纸翻4500134367</t>
  </si>
  <si>
    <t>日期码格式：ZURU INC(BVI) 标准格式 日期：按实际生产日期
Packaging Info: 出口加拿大，包装需要至少2/3L UPC版，无硼版本
#92107 MA 1L UPC版本+ UPC贴纸跟返单4500134367；92107A:193052066817, 92107B:193052066824, 92107D:193052066831, 92107E:193052066848;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</si>
  <si>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92107E-S001-3L-NB</t>
  </si>
  <si>
    <t>5GDMN3WZ</t>
  </si>
  <si>
    <t>4500150978-20</t>
  </si>
  <si>
    <t>92107D-S001-NB</t>
  </si>
  <si>
    <t>92107D-S001-3L-NB</t>
  </si>
  <si>
    <t>4500147792-70</t>
  </si>
  <si>
    <t>12/6-价格贴纸客供</t>
  </si>
  <si>
    <t>TJ MAXX
DC#891-160PCS
,
DC#894-136PCS
,
DC#896-128PCS
,
DC#897-248PCS
,
DC#898-128PCS</t>
  </si>
  <si>
    <t>4500147795-70</t>
  </si>
  <si>
    <t>Marshalls
DC#881-168PCS
,
DC#884-128PCS
,
DC#886-184PCS
,
DC#887-152PCS
,
DC#888-168PCS</t>
  </si>
  <si>
    <t>4500147793-90</t>
  </si>
  <si>
    <t>TJ MAXX
DC#891-200PCS
,
DC#894-168PCS
,
DC#896-160PCS
,
DC#897-312PCS
,
DC#898-160PCS</t>
  </si>
  <si>
    <t>4500147796-90</t>
  </si>
  <si>
    <t>2950866103</t>
  </si>
  <si>
    <t>4500150696-70</t>
  </si>
  <si>
    <t>92107SLB-S001</t>
  </si>
  <si>
    <t>摇篮公子88PCS/ctn/卡板</t>
  </si>
  <si>
    <t>11/29-卡板贴纸</t>
  </si>
  <si>
    <t>日期码格式：ZURU INC(BVI) 标准格式 日期：按实际生产日期
Packaging Info:
5.92107SLB
92107-S003：MA最新1L UPC包装
UPC#193052064738, 请先检查条码是否正确再安排做货；
4 Assortment Ratio (Ladybug: Giraffe: Butterfly: Elephant)=1:1:1:1
Slip Sheet: 1 PCS/CTN, 22*4=88ctn=88pcs/slip sheet, 一共需要11套slip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</si>
  <si>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88944-1.8</t>
  </si>
  <si>
    <t>Marshalls
DC#881-168PCS
,
DC#884-128PCS
,
DC#886-184PCS
,
DC#887-160PCS
,
DC#888-160PCS</t>
  </si>
  <si>
    <t>4500147794-100</t>
  </si>
  <si>
    <t>4500147798-100</t>
  </si>
  <si>
    <t>CUS
PO#47779210
SYD</t>
  </si>
  <si>
    <t>4500152763-20</t>
  </si>
  <si>
    <t>进口商贴纸翻4500129569</t>
  </si>
  <si>
    <t>日期码格式：ZURU INC(BVI) 标准格式 日期：按实际生产日期 Tracking Code:
Packaging Info: 1. 包装
 92107：英文MA包装 (UPC版本，首选1L，无1L可用多L含英语)+1张进口商贴纸，贴纸翻单4500129569
 2. 产品和包装上的日期码一致，请按要求在包装上打日期码（进口商贴纸不覆盖日期码）
 3. 使用ZURU标准日期码
Remark: 1. 共出4港口(SYD, BNE, MEL, FRE), 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t>
  </si>
  <si>
    <t>88832-1.2</t>
  </si>
  <si>
    <t>CUS
PO#47779211
BNE</t>
  </si>
  <si>
    <t>4500152763-40</t>
  </si>
  <si>
    <t>88853-1.3</t>
  </si>
  <si>
    <t>CUS
PO#47779212
MEL</t>
  </si>
  <si>
    <t>4500152763-60</t>
  </si>
  <si>
    <t>88887-1.6</t>
  </si>
  <si>
    <t>CUS
PO#47779213
FRE</t>
  </si>
  <si>
    <t>4500152763-80</t>
  </si>
  <si>
    <t>88867-1.4</t>
  </si>
  <si>
    <t>4500150141-1</t>
  </si>
  <si>
    <t>4500150141-20</t>
  </si>
  <si>
    <t>日期码格式：ZURU INC(BVI) 标准格式 日期：按实际生产日期
Packaging Info: 
92107：MA最新1L-UPC配套包装+客户EAN条码贴一张覆盖ZURU 原条码，条码贴翻订单4500148687
4 Assortment Ratio (Ladybug: Giraffe: Butterfly: Elephant)=1:1:1:1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t>
  </si>
  <si>
    <t>4500152087-120</t>
  </si>
  <si>
    <t>日期码格式：ZURU INC(BVI) 标准格式 日期：按实际生产日期 
Packaging Info: 92107:MA 1L包装+进口商贴纸+箱唛
Remark:</t>
  </si>
  <si>
    <t>PO#50343349</t>
  </si>
  <si>
    <t>4500152937-60</t>
  </si>
  <si>
    <t>日期码格式：ZURU INC(BVI) 标准格式 日期：按实际生产日期 
Packaging Info: TJX UK: PO#50343294(9283) &lt;(&gt;&amp;&lt;)&gt; PO#50343296(9258) &lt;(&gt;&amp;&lt;)&gt; PO#50343296(9281) &lt;(&gt;&amp;&lt;)&gt; PO#50343305(9298) &lt;(&gt;&amp;&lt;)&gt; PO#50343349(7132) &lt;(&gt;&amp;&lt;)&gt; PO#503
 43349(92107) &lt;(&gt;&amp;&lt;)&gt; PO#50343392(9279) &lt;(&gt;&amp;&lt;)&gt; PO#50343399(9279)
 6) 92107: MA3L (9Lwanrning) B版收缩膜+其他最新MA配套包装+1张客供价格贴纸
 8) 最迟验货时间不得晚于1/4
Remark: 1. 出往UK的产品+包装务必打上UKCA logo ，否则客人会退货且当地会有罚款；
 2. 订单必须经过ZURU QC验货并且通过后方可出货；
 3. 订单每行对应客人不同的PO， 箱唛也有不同，做货的时候请分开堆放；
 4. 订单每行对应客人不同的PO，即同款item的价格贴纸都不相同，请注意收到贴纸后不要弄混!（客人PO号请参考PO最后一栏remark）；
 5. 价格贴纸位置为产品正面右上角，不能遮住产品信息，大货生产前，请把贴纸位置先发给跟单确认
 6. 涉及到相关款式会有闪粉的或
者微塑料的，请统一默认出无闪粉或者不含微塑料
 版本;
 7. 外箱封箱必须是工字型封箱方式；</t>
  </si>
  <si>
    <t>92107-S001-3L</t>
  </si>
  <si>
    <t>TJX
Europe(DE):
PO#55343920</t>
  </si>
  <si>
    <t>4500152906-90</t>
  </si>
  <si>
    <t>12/6-客供价格贴纸+含波兰语警告语翻4500150830</t>
  </si>
  <si>
    <t>日期码格式：ZURU INC(BVI) 标准格式 日期：按实际生产日期
Packaging Info: TJX Europe(DE): PO#55343895(9283) &lt;(&gt;&amp;&lt;)&gt; PO#55343898(9258) &lt;(&gt;&amp;&lt;)&gt; PO#55343898(9281) &lt;(&gt;&amp;&lt;)&gt; PO#55343901(9281) &lt;(&gt;&amp;&lt;)&gt; PO#55343906(9298) &lt;(&gt;&amp;
&lt;)&gt; PO#55343909(9298) &lt;(&gt;&amp;&lt;)&gt; PO#55343918(7132) &lt;(&gt;&amp;&lt;)&gt; PO#55343920(7132) &lt;(&gt;&amp;&lt;)&gt; PO#55343920(92107) &lt;(&gt;&amp;&lt;)&gt; PO#55343844(9279) &lt;(&gt;&amp;&lt;)&gt; PO#553438
77(9279)
6) 92107: MA3L (9Lwanrning) B版收缩膜+其他最新MA配套包装+1张客供价格贴纸+1张贴纸（含波兰语警告语)
8) 最迟验货时间不得晚于1/4
Remark: 1. 出往UK的产品+包装务必打上UKCA logo ，否则客人会退货且当地会有罚款；
2.订单必须经过ZURU QC验货并且通过后方可出货；
3. 订单每行对应客人不同的PO， 箱唛也有不同，做货的时候请分开堆放；
4. 订单每行对应客人不同的PO，即同款item的价格贴纸都不相同，请注意收到贴纸后不要弄混!（客人PO号请参考PO最后一栏remark）；
5. 价格贴纸位置为产品正面右上角，不能遮住产品信息，大货生产前，请把贴纸位置先发给跟单确认
6. 涉及到相关款式会有闪粉的或者微塑料的，请统一默认出无闪粉或者不含微塑料版本;
7. 外箱封箱必须是工字型封箱方式；</t>
  </si>
  <si>
    <t>216641089</t>
  </si>
  <si>
    <t>4500152685-10</t>
  </si>
  <si>
    <t>92107-S005</t>
  </si>
  <si>
    <t>日期码格式：ZURU INC(BVI) 标准格式 日期：按实际生产日期
Packaging Info: 1. MA 1L 包装
2. 客人指定箱唛排版
Remark: 出货前 Zuru QC 验货</t>
  </si>
  <si>
    <t>88932-1.8</t>
  </si>
  <si>
    <t>216641085</t>
  </si>
  <si>
    <t>4500152678-10</t>
  </si>
  <si>
    <t>88931-1.8</t>
  </si>
  <si>
    <t>4500150770-10</t>
  </si>
  <si>
    <t>5NFG96GC</t>
  </si>
  <si>
    <t>4500152379-230</t>
  </si>
  <si>
    <t>92107D-S001</t>
  </si>
  <si>
    <t>UPC贴纸翻450013436</t>
  </si>
  <si>
    <t>日期码格式： 标准格式 日期：按实际生产日期
Packaging Info:
#92107 MA 1L UPC版本+ UPC贴纸跟返单4500134367；92107A:193052066817, 92107D:193052066831, 92107E:193052066848;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</si>
  <si>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2LWM8QCA</t>
  </si>
  <si>
    <t>4500152379-240</t>
  </si>
  <si>
    <t>5WZ1EI7C</t>
  </si>
  <si>
    <t>4500152657-60</t>
  </si>
  <si>
    <t>1/15-1/20出</t>
  </si>
  <si>
    <t>4500152429-60</t>
  </si>
  <si>
    <t>日期码格式：ZURU INC(BVI) 标准格式 日期：按实际生产日期 
Packaging Info: 1. ZURU MA UPC版本，出口美国.
Remark: 2. 日期跟踪码：ZURU标准格式日期码，产品包装及产品本身都必须有ZURU标准格式日期码，并且确保两者信息保持一致(请自行调整具体年月日生产期，但不能为周末）。
 针对你们目前没办法保持日期码一致的做法是：
 * 大货：可以按照实际生产的日期码打，毛绒布标和蛋壳上的日期码格式和时间这次特例可以不保持一致出货；但到时需手动贴一套公仔的布标贴纸，使布标跟蛋壳
 日期码格式和时间一样，拍照给我们发给实验室review 日期码，让实验室知道订单大货出的日期码格式和时间是跟抽板指定款的保持一样。
 * 指定款抽板：需手动贴布标贴纸，保证布标跟蛋壳上的日期码格式和时间都一样，且这个时间要跟大货的时间一样。
 3. 大货样
 4. 验货+ 抽板 （同一天进行）
预约1月9日第三方（利丰）到工厂做100%大货现场验货和抽板，验货需打印EPM出来跟客户回签样板供第三方验货参考。
 PS:EPM是跟单提供。
 抽板：
因#92107的ZURU测试报告上被客户指定实验室发现产品和产品包装上的日期码不一致，所以这款寄样给实验室的是按照
利丰验货员现场针对指定款随机抽板6PCS（须带包装）;其他利丰验货员现场针对指定款随机抽板6PCS。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t>
  </si>
  <si>
    <t>ZMPO24972</t>
  </si>
  <si>
    <t>Remark：大货最新版本/请用大货标准箱装箱/箱唛请参照邮件附件                                                                                备注： 收到样品订单后尽快安排 ，注意样板品质质量要求要高于大货品质要求 ，送货时必须要附带送货单(没有送货单和QC检验合格报告的仓库一律拒绝收货)，请知悉，谢谢！</t>
  </si>
  <si>
    <t>4500151779-30</t>
  </si>
  <si>
    <t>PO#0000373341
06</t>
  </si>
  <si>
    <t>4500153169-40</t>
  </si>
  <si>
    <t>92107-S002</t>
  </si>
  <si>
    <t>日期码格式：ZURU INC(BVI) 标准格式 日期：按实际生产日期 
Packaging Info: 1、包装方式: MA UPC优先1L最新版本，出口美国
Remark: 2、无测试无第三方验货要求。
 3、纸箱4面印ZURU LOGO + 箱唛
 4、日期码请按ZURU标准版执行即可。
 5、ZURU QC验货。
 6、Ratio:
 #92107: 4 Assortment Ratio (Ladybug: Giraffe: Butterfly: Elephant)=1:1:1:1</t>
  </si>
  <si>
    <t>94067-1.16</t>
  </si>
  <si>
    <t>4500153513-50</t>
  </si>
  <si>
    <t>12-12进口商贴纸</t>
  </si>
  <si>
    <t>日期码格式：ZURU INC(BVI) 标准格式 日期：按实际生产日期 
Packaging Info: 
92107:3L MA EAN 收缩膜+进口商贴纸;MA指南
Remark: 标准产品标准配比</t>
  </si>
  <si>
    <t>ZMPO24940</t>
  </si>
  <si>
    <t>已送货</t>
  </si>
  <si>
    <t>UPC条码贴纸</t>
  </si>
  <si>
    <t>Remark：跟订单4500146212一起安排/MA3L收缩膜+UPC条码贴纸(UPC: 193052064738)+MA5L收藏指南+MA5L资料卡+MA5L胶袋+MA配件袋+MA2L布标             备注： 收到样品订单后尽快安排 ，注意样板品质质量要求要高于大货品质要求 ，送货时必须要附带送货单(没有送货单和QC检验合格报告的仓库一律拒绝收货)，请知悉，谢谢！</t>
  </si>
  <si>
    <t>SUPERCENTER</t>
  </si>
  <si>
    <t>4500151758-30</t>
  </si>
  <si>
    <t>摇篮公子(干燥剂）</t>
  </si>
  <si>
    <t>进口商和UPC条码贴纸翻单4500136632</t>
  </si>
  <si>
    <t>LOTDGYYYYMMDD</t>
  </si>
  <si>
    <t>日期码格式：LOTDGYYYYMMDD 日期：按实际生产日期 
Packaging Info:
 2. 92107： MA 3L EAN包装+UPC条码贴纸+MA 5L 收藏指南+进口商贴纸+箱唛，进口商和UPC条码贴纸翻单4500136632
Remark: 1. 客版日期码要求：LOT+ZURU标准日期码格式。东莞生产的格式：LOTDGYYYYMMDD, DG是东莞拼音首字母，
YYYYMMDD是实际的年月日，例如(LOTDG20240920)
 2.92107： 4 Assortment Ratio (Ladybug: Giraffe: Butterfly: Elephant)=1:1:1:1
 4. 此单有第三方监柜，至少多备一套完整的物料用于监柜，请多备料。
 5.WM墨西哥防霉的新要求:货物必须在出货主箱和集装箱中按要求放置干燥剂，干燥剂指定品牌干霸
 92107：需要在每箱放入14小包干燥剂，每包干燥剂重量2-3g
 如走柜货等loading plan 确认后再通知集装箱干燥剂数量
 此单兴信将安排1*40HC，每个HC需要放置10包干燥剂，每包干燥剂1KG</t>
  </si>
  <si>
    <t>94014-1.13</t>
  </si>
  <si>
    <t>BODEGA</t>
  </si>
  <si>
    <t>4500151758-40</t>
  </si>
  <si>
    <t>9650903907</t>
  </si>
  <si>
    <t>4500147521-20</t>
  </si>
  <si>
    <t>第三方验货1/10（自检）</t>
  </si>
  <si>
    <t>1/27出</t>
  </si>
  <si>
    <t>UPC条码贴纸翻单：4500146212</t>
  </si>
  <si>
    <t>日期码格式：ZURU INC(BVI) 标准格式 日期：按实际生产日期
Packaging Info:
#92107: MA3L收缩膜+UPC条码贴纸(UPC: 193052064738)+MA5L收藏指南+MA5L资料卡+MA5L胶袋+MA配件袋+MA2L布标
-产品配比: 4 Assortment Ratio (Ladybug: Giraffe: Butterfly: Elephant)=1:1:1:1
-翻单：4500146212
Remark: 1. #92108/92107/9296 须使用无硼slime;
2. 此单有箱唛；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</si>
  <si>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94179-1.23</t>
  </si>
  <si>
    <t>4500151230-30</t>
  </si>
  <si>
    <t>92117-S001</t>
  </si>
  <si>
    <t>客版收缩膜翻4500134696+客版指南翻4500134696</t>
  </si>
  <si>
    <t>日期码格式：ZURU INC(BVI) 标准格式 日期：按实际生产日期
Packaging Info:
92117：客版收缩膜翻4500134696（改彩虹颜色，不含slime和希伯来警告语，需含阿拉伯警告语，印G mark+TTC panel 信息，客版指南翻4500134696（改彩
虹颜色，不含slime和希伯来警告语）;；客版收缩膜上的二维码微信可扫, 扫描结果38711. 客版沙子PE POLYBAG 含阿拉伯警语翻4500134696
Remark:
92117:#92107 Smart Sandy replaces slime
4 Assortment Ratio (Ladybug: Giraffe: Butterfly: Elephant)=1:1:1:1</t>
  </si>
  <si>
    <t>9650903908</t>
  </si>
  <si>
    <t>4500147521-70</t>
  </si>
  <si>
    <t>第三方验货1/17（自检）</t>
  </si>
  <si>
    <t>94237-2.13</t>
  </si>
  <si>
    <t>60190302</t>
  </si>
  <si>
    <t>4500150480-10</t>
  </si>
  <si>
    <t>94470-3.6</t>
  </si>
  <si>
    <t>28659766</t>
  </si>
  <si>
    <t>4500152174-10</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</si>
  <si>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92107: 4 Assortment Ratio (Ladybug: Giraffe: Butterfly: Elephant)=1:1:1:1</t>
  </si>
  <si>
    <t>94213-2.11</t>
  </si>
  <si>
    <t>28659765</t>
  </si>
  <si>
    <t>4500152173-10</t>
  </si>
  <si>
    <t>日期码格式：ZURU INC(BVI) 标准格式 日期：按实际生产日期 Tracking Code:
Packaging Info: MA UPC 英语包装（优先1L英语版本，或者3L/5L含英语都可）
 此客人不接受易掉落或者剥落或者可直接触碰的闪粉，可降解也不行，但可以接受符合欧洲微塑料标准的珠光粉或者闪片。
Remark: 92107: 4 Assortment Ratio (Ladybug: Giraffe: Butterfly: Elephant)=1:1:1:1</t>
  </si>
  <si>
    <t>94227-2.12</t>
  </si>
  <si>
    <t>4500147799-80</t>
  </si>
  <si>
    <t>12/20-价格贴纸客供</t>
  </si>
  <si>
    <t>4500147801-80</t>
  </si>
  <si>
    <t>4500147803-100</t>
  </si>
  <si>
    <t>4500147800-100</t>
  </si>
  <si>
    <t>4500152538-190</t>
  </si>
  <si>
    <t>日期码格式：ZURU INC(BVI) 标准格式 日期：按实际生产日期
Packaging Info:
92107：MA最新1L-UPC配套包装+客户EAN条码贴一张覆盖ZURU 原条码，条码贴翻订单4500148687
4 Assortment Ratio (Ladybug: Giraffe: Butterfly: Elephant)=1:1:1:1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t>
  </si>
  <si>
    <t>4500152538-4:
FB12134</t>
  </si>
  <si>
    <t>4500152538-270</t>
  </si>
  <si>
    <t>4500147806-90</t>
  </si>
  <si>
    <t>4500147804-90</t>
  </si>
  <si>
    <t>TJX Australia Pty Limited</t>
  </si>
  <si>
    <t>CUS PO#885182</t>
  </si>
  <si>
    <t>4500154316-20</t>
  </si>
  <si>
    <t>日期码格式：ZURU INC(BVI) 标准格式 日期：按实际生产日期 
Packaging Info: 包装：
92107：英文MA包装(UPC版本，首选1L，无1L可用多L含英语)+箱唛+1张客供价格贴纸；
 Ratio：
 92107-S001:4 Assortment Ratio (Ladybug: Giraffe: Butterfly: Elephant)=1:1:1:1;
Remark: 1.箱唛不可出现任何手写内容，重量与实际须一致且不可手写;
 2.产品上贴客供价格贴纸，贴纸位置为产品正面右上角，不能遮住产品信息；请与跟单确认贴纸位置后再生产大货；
 3.订单每行对应客人不同的PO，即同款item的价格贴纸都不相同，请注意收到贴纸后不要弄混!（CUS PO号请参考行项目Remark）
 4. 此单去澳大利亚，请按相应澳新标准生产并满足当地法规要求;
 5.ZURU QC验货。
 6.产品和包装上要有tracking label信息：日期码格式为Zuru标准格式；</t>
  </si>
  <si>
    <t>CUS PO#885186</t>
  </si>
  <si>
    <t>4500154316-60</t>
  </si>
  <si>
    <t>CUS PO#885190</t>
  </si>
  <si>
    <t>4500154316-100</t>
  </si>
  <si>
    <t>Europe-DE:
PO#55471275</t>
  </si>
  <si>
    <t>4500154045-60</t>
  </si>
  <si>
    <t>12/25-贴纸（含波兰语警告语)</t>
  </si>
  <si>
    <t>日期码格式：ZURU INC(BVI) 标准格式 日期：按实际生产日期 
Packaging Info: TJX Europe-DE: PO#55471297(7132) + PO#55471301(9298) + PO#55471302(9298) + PO#55471303(9279) + PO#55471304(9279) + PO#55471275(92107)
 4) 92107: MA3L (9Lwanrning)最新EAN包装+1张客供价格贴纸+1张贴纸（含波兰语警告语)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</si>
  <si>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4500154811-30</t>
  </si>
  <si>
    <t>进口商贴纸翻4500135339</t>
  </si>
  <si>
    <t>日期码格式：ZURU INC(BVI) 标准格式 日期：按实际生产日期 
Packaging Info: 
 92107：B 版 1L MA UPC 收缩膜+进口商贴纸（贴纸翻4500135339）；B 版 5L MA 收藏指南
Remark: 1、若产品有比例使用ZURU STD 比例
 2、所有item 均用MA UPC 条码，若包装不是UPC 条码的请告知
 3、此单出欧洲需满足EU测试标准要求。另外若产品本身含闪粉则需要出符合欧洲微塑料版本的产品</t>
  </si>
  <si>
    <t>25-49</t>
  </si>
  <si>
    <t>4500145550-10</t>
  </si>
  <si>
    <t>Top 10贴纸翻4500137432
 格贴纸</t>
  </si>
  <si>
    <t>11/29-客供价格贴纸</t>
  </si>
  <si>
    <t>日期码格式：ZURU INC(BVI) 标准格式 日期：按实际生产日期
Packaging Info: 92107: 最新MA 3L(9L warining)EAN 收缩膜+MA 5L(23L warning)收藏指南+MA 5L (9L warning)slime_polybag+MA布标+Top 10贴纸(翻单#4500137432)+1张客供价
格贴纸
Remark: 1. 此单出德国，需要满足Zuru Standard欧洲标准测试要求；
2. 请准时出货，推期会有罚款；
3. 出口欧洲，微塑料需符合法规。
4. 配比：标准配比
5. 大货样品一套
6. 需提供验货图片给客人确认才可以安排出货</t>
  </si>
  <si>
    <t>4500151765-50</t>
  </si>
  <si>
    <t>卡板贴纸</t>
  </si>
  <si>
    <t>日期码格式：ZURU INC(BVI) 标准格式 日期：按实际生产日期 
Packaging Info: 
 5.92107SLB
 92107-S003：MA最新1L UPC包装
 UPC#193052064738, 请先检查条码是否正确再安排做货；
 4 Assortment Ratio (Ladybug: Giraffe: Butterfly: Elephant)=1:1:1:1
 Slip Sheet: 1 PCS/CTN, 22*4=88ctn=88pcs/slip sheet, 一共需要11套slip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6.7151SLB
 7151-S005:MA 1L最新UPC包装
 UPC#193052033482, 请先检查条码是否正确再安排做货；
 Slip Sheet:3pcs/CTN, (5x7+7)x4H=168carton=504pcs/Slip Sheet,一共需要4套slip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</si>
  <si>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94349-2.25</t>
  </si>
  <si>
    <t>4500153580-10</t>
  </si>
  <si>
    <t>日期码格式：LOTDGYYYYMMDD 日期：按实际生产日期 
Packaging Info: 1. 92107： MA 3L EAN包装+UPC条码贴纸+MA 5L 收藏指南+进口商贴纸+箱唛，进口商和UPC条码贴纸翻单4500136632
Remark: 1. 客版日期码要求：LOT+ZURU标准日期码格式。东莞生产的格式：LOTDGYYYYMMDD, DG是东莞拼音首字母，
YYYYMMDD是实际的年月日，例如(LOTDG20240920)
 2. 92107： 4 Assortment Ratio (Ladybug: Giraffe: Butterfly: Elephant)=1:1:1:1
 4. 此单有第三方监柜，至少多备一套完整的物料用于监柜，请多备料。
 5.WM墨西哥防霉的新要求:货物必须在出货主箱和集装箱中按要求放置干燥剂，干燥剂指定品牌干霸 
 92107：需要在每箱放入14小包干燥剂，每包干燥剂重量2-3g
 如走柜货等loading plan 确认后再通知集装箱干燥剂数量
 此单兴信将安排1*40HC，每个HC需要放置10包干燥剂，每包干燥剂1KG</t>
  </si>
  <si>
    <t>94405-2.28</t>
  </si>
  <si>
    <t>4500153580-20</t>
  </si>
  <si>
    <t>4500151019-30</t>
  </si>
  <si>
    <t>92107-S001-NB</t>
  </si>
  <si>
    <t>摇篮公子-无硼</t>
  </si>
  <si>
    <t>12/25-UPC贴纸</t>
  </si>
  <si>
    <t>日期码格式： 标准格式 日期：按实际生产日期
Packaging Info:
92107 MA 多语EAN+UPC贴纸,无硼版本。UPC号码193052064738
Remark: 出加拿大
每款产品都需要加进口商贴纸
Zuru验货.日期跟踪码：产品外包装及产品本身都必须有日期跟踪码，ZURU标准格式日期码</t>
  </si>
  <si>
    <t>92107-S001-NB-3L</t>
  </si>
  <si>
    <t>4500154728-70</t>
  </si>
  <si>
    <t>翻4500146389</t>
  </si>
  <si>
    <t>中文布标(可用布标贴纸)+CCC贴纸+ 年龄贴（8+）翻4500146389</t>
  </si>
  <si>
    <t>日期码格式：ZURU INC(BVI) 标准格式 日期：按实际生产日期 
Packaging Info: 物料要求 SKU 所有款号务必使用带有CCC 标识的AW
 6 92107 MA+中文布标(可用布标贴纸)+中文收藏指南+ 中文资料卡+CCC贴纸+ 年龄贴（8+）+客供芯片码 翻单： 4500146389
Remark: 2.外箱材质如下：
 1）毛重小于5kg 外箱纸质 K=B 爆破:1000Kpa 边压:4400N/M;
 2）毛重大于5kg 外箱纸质 K636K 爆破:1400Kpa 边压:6300N/M;
 3. 产品/销售包装/外箱日期码要一致，
4.芯片码横向平贴在上半部分蛋壳/彩盒内侧立面处，注意事项请见跟单提供文档资料。
 5.此产品务必满足国内6P 测试标准，因为可能会被市场监督局抽查，如有问题产生，工厂要负全责
 6. 这张订单做出厂价，我司自行安排车辆去贵司提货，贵司需要配合提供出口报关</t>
  </si>
  <si>
    <t>92107-S002-1</t>
  </si>
  <si>
    <t>4500154694-10</t>
  </si>
  <si>
    <t>捷克共和国</t>
  </si>
  <si>
    <t>4500154192-40</t>
  </si>
  <si>
    <t>1/2-进口商贴纸</t>
  </si>
  <si>
    <t>日期码格式：ZURU INC(BVI) 标准格式 日期：按实际生产日期
Packaging Info: 
 92107：B 版 1L MA UPC 收缩膜+进口商贴纸；B 版 5L MA 收藏指南
Remark: 1、若产品有比例使用ZURU STD 比例
 2、所有item 均用MA UPC 条码，若包装不是UPC 条码的请告知
 3、此单出欧洲需满足EU测试标准要求，另外不能出闪粉（若产品本身不含闪粉则忽略这句话）</t>
  </si>
  <si>
    <t>94440-3.5</t>
  </si>
  <si>
    <t>4500154618-50</t>
  </si>
  <si>
    <t>2/12-外箱贴纸SSCC</t>
  </si>
  <si>
    <t>日期码格式：ZURU INC(BVI) 标准格式 日期：按实际生产日期 
Packaging Info:
 4. 92107:MA_1L UPC版本包装（收缩膜和收藏指南, MA首选1L，如无1L可用多语且含英语的配套多语包装）+ 箱唛 +外箱贴纸SSCC Label；4 Assortment Ratio (Ladybug: Giraffe: Butterfly: Elephant)=1:1:1:1;
Remark: 1. 客人要求箱唛不可出现任何手写内容，重量与实际一致且不可手写;
 2. 此单去澳大利亚，请按相应澳新标准生产;
 3. 使用普通透明封箱胶封箱（若有客版封箱胶带库存可先消耗完库存）
 4. 外箱需要贴Target SSCC LABEL,客供PDF文档，工厂自行订购。请贴在正唛右下角（一箱一张，贴1面正唛右下角,封箱胶纸不能挡住贴纸内容。)；外箱贴纸距离外箱边缘应在2cm以上。如果正唛无位置可以贴在侧唛。
 5. 外箱材质为ZURU标准；
 6. 产品和包装上要有tracking label信息：格式为Zuru标准格式（可以自行调整具体年月日生产日期,避开节假期日）；
 7. SSCC Label 尺寸更新为：4x4 inch。
 8. 请务必按时完货，验货PASS后请按时送货入货代指定仓库，如果晚了导致船期Delay将会有罚金产生或者客户要求空运，所产生的罚金和空运费由工厂承担。</t>
  </si>
  <si>
    <t>FB12130</t>
  </si>
  <si>
    <t>4500154847-10</t>
  </si>
  <si>
    <t>客户EAN条码(翻单4500148687)</t>
  </si>
  <si>
    <t>日期码格式：ZURU INC(BVI) 标准格式 日期：按实际生产日期 
Packaging Info: 92107: MA最新1L-UPC配套包装+客户EAN条码（翻单4500148687）覆盖ZURU 原条码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*条码以订单显示为准 ，请安排生产前先核对 ，有问题请提出。
 *订单对应客户2个PO号 ，备注有显示 ，注意分开做货/验货/装柜 ，混装有罚款。
 *样板： 请在1/20前每款寄出2pcs大货样到罗湖办公室 7B Sandy Shao收</t>
  </si>
  <si>
    <t>94436-3.4</t>
  </si>
  <si>
    <t>TJX UK:
PO#50565022</t>
  </si>
  <si>
    <t>4500155467-60</t>
  </si>
  <si>
    <t>日期码格式：ZURU INC(BVI) 标准格式 日期：按实际生产日期
Packaging Info: TJX UK: PO#50565022(92107)
 92107: MA3L (9Lwanrning)最新EAN包装+1张客供价格贴纸
Remark: 1. 出往UK的产品+包装务必打上UKCA logo ，否则客人会退货且当地会有罚款；
 2. 订单必须经过ZURU QC验货并且通过后方可出货；
 3. 订单每行对应客人不同的PO， 箱唛也有不同，做货的时候请分开堆放；
 4. 订单每行对应客人不同的PO，即同款item的价格贴纸都不相同，请注意收到贴纸后不要弄混!（客人PO号请参考PO最后一栏remark）；
 5. 价格贴纸位置为产品正面右上角，不能遮住产品信息，大货生产前，请把贴纸位置先发给跟单确认
 6. 涉及到相关款式会有闪粉的或者微塑料的，请统一默认出无闪粉或者不含微塑料版本;
 7. 外箱封箱必须是工字型封箱方式；</t>
  </si>
  <si>
    <t>4500155599-20</t>
  </si>
  <si>
    <t>2/10-防盗+1/9-外箱贴纸</t>
  </si>
  <si>
    <t>日期码格式：ZURU INC(BVI) 标准格式 日期：按实际生产日期 
Packaging Info: 
 92107: MA英语UPC版本包装（收缩膜和说明书, MA首选1L，如无1L可用多语且含英语的配套多语包装) + 1张防盗贴纸 (贴纸以及位置图翻单PO#4500125858）+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</si>
  <si>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4500147525-20</t>
  </si>
  <si>
    <t>3/7-第三方验货</t>
  </si>
  <si>
    <t>日期码格式：ZURU INC(BVI) 标准格式 日期：按实际生产日期
Packaging Info:
#92107: MA3L收缩膜+UPC条码贴纸(UPC: 193052064738)+MA5L收藏指南+MA5L资料卡+MA5L胶袋+MA配件袋+MA2L布标
-产品配比: 4 Assortment Ratio (Ladybug: Giraffe: Butterfly: Elephant)=1:1:1:1
-翻单：4500146212
Remark: 1. #92108/92107/9296 须使用无硼slime;
2. 此单有箱唛；
4.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</si>
  <si>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ZB00027-3.21</t>
  </si>
  <si>
    <t>46:0003108130</t>
  </si>
  <si>
    <t>4500152218-10</t>
  </si>
  <si>
    <t>日期码格式：ZURU INC(BVI) 标准格式 日期：按实际生产日期 Tracking Code:
Packaging Info: MA 1L UPC PKG A版收缩膜+MA 5L+23L Warning A版收藏指南 +日语贴纸(贴纸AW翻单4500135847）+1张6+贴纸覆盖3+。
Remark: 出日本， 大货品质/包装必须严格跟到PO#4500135847。
 请特别留意此单仅出以下3款， 按以下的数量分配。
 Ladybug: 149pcs
 Giraffe: 149pcs
 Butterfly: 150pcs
 装箱按以下配比。
 3 Assortment Ratio (Ladybug: Giraffe: Butterfly)=1:1:1, 2pcs of each+2pcs random=8pcs/CTN</t>
  </si>
  <si>
    <t>94586-3.21</t>
  </si>
  <si>
    <t>47:0003108132</t>
  </si>
  <si>
    <t>4500152221-10</t>
  </si>
  <si>
    <t>94587-3.21</t>
  </si>
  <si>
    <t>4500153609-10</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</si>
  <si>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92107: 4 Assortment Ratio (Ladybug: Giraffe: Butterfly: Elephant)=1:1:1:1</t>
  </si>
  <si>
    <t>94582-3.19</t>
  </si>
  <si>
    <t>4500153723-10</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</si>
  <si>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92107: 4 Assortment Ratio (Ladybug: Giraffe: Butterfly: Elephant)=1:1:1:1</t>
  </si>
  <si>
    <t>94598-3.21</t>
  </si>
  <si>
    <t>4500156082-10</t>
  </si>
  <si>
    <t>92107-S002-NB-MTS</t>
  </si>
  <si>
    <t>1/22-PL/HU/SK/CZ/RO警语贴纸</t>
  </si>
  <si>
    <t>日期码格式：ZURU INC(BVI) 标准格式 日期：按实际生产日期
Packaging Info: 92107:MA 最新版版 3L-9Lwarning EAN 收缩膜+PL/HU/SK/CZ/RO警语贴纸+MA 最新版纸袋+MA 最新版5L Library Card+MA 最新版 5L-23L 收藏指南 + 最新 MA布标;
Remark: 1.波兰内销单，需要通过ZURU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</si>
  <si>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94597-3.21</t>
  </si>
  <si>
    <t>92107-S002-NB-3L</t>
  </si>
  <si>
    <t>IVI-0117BC</t>
  </si>
  <si>
    <t>4500156433-10</t>
  </si>
  <si>
    <t>92107-S002-NB</t>
  </si>
  <si>
    <t>摇篮公子—无硼</t>
  </si>
  <si>
    <t>箱唛翻单4500141184</t>
  </si>
  <si>
    <t>2/8-2张韩语贴纸</t>
  </si>
  <si>
    <t>客版韩语收藏指南翻单4500141184</t>
  </si>
  <si>
    <t>日期码格式：ZURU INC(BVI) 标准格式 日期：按实际生产日期
Packaging Info: 此单出韩国，92107/92108 需出新版口水胶（无硼版，无MIT）
 92107:MA 1L PKG+2张韩语贴纸(正面一张韩语logo 贴纸，背面一张韩语警语贴纸（新稿）+客版韩语收藏指南翻单4500141184 ， 箱唛翻单4500141184
 请确保大货包装的生产年月 信息跟到到贴纸上的一致。确保生产年份"2025" 月份"03"
Remark: 由于韩国法律法规要求，吸塑需PET材质，产品需符合韩国KC测试标准。
 92107 需出新版口水胶（无硼版，无MIT）</t>
  </si>
  <si>
    <t>94520-3.12</t>
  </si>
  <si>
    <t>92107-S002-NB-1</t>
  </si>
  <si>
    <t>4500156115-10</t>
  </si>
  <si>
    <t>92107B-S001</t>
  </si>
  <si>
    <t>2/22-EAN条码贴纸</t>
  </si>
  <si>
    <t>日期码格式：ZURU INC(BVI) 标准格式 日期：按实际生产日期 Tracking Code:
Packaging Info: BOL NL(92107ABDE)
 4. 92107ABDE
 ---92107B: 8PCS/CTN, Giraffe, Non-glitter; MA 3L(9L warning, EAN版本)B收缩膜+EAN条码贴纸(贴在收缩膜上)+MA 2L A布标+MA 5L(23L warning)B收藏指南+M
 A 5L B图书卡+MA 5L(9L warning)B Slime胶袋+MA B配件袋;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</si>
  <si>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92107B-S001-3L</t>
  </si>
  <si>
    <t>4500156115-20</t>
  </si>
  <si>
    <t>92107A-S001</t>
  </si>
  <si>
    <t>日期码格式：ZURU INC(BVI) 标准格式 日期：按实际生产日期 Tracking Code:
Packaging Info: BOL NL(92107ABDE)
 4. 92107ABDE
 ---92107A: 8PCS/CTN, Elephant&lt;(&gt;,&lt;)&gt; Non-glitter; MA 3L(9L warning, EAN版本)B收缩膜+EAN条码贴纸(贴在收缩膜上)+MA 2L A布标+MA 5L(23L warning)B收
 藏指南+MA 5L B图书卡+MA 5L(9L warning)B Slime胶袋+MA B配件袋;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</si>
  <si>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92107A-S001-3L</t>
  </si>
  <si>
    <t>4500156115-40</t>
  </si>
  <si>
    <t>日期码格式：ZURU INC(BVI) 标准格式 日期：按实际生产日期 Tracking Code:
Packaging Info: BOL NL(92107ABDE)
 4. 92107ABDE
 ---92107D: 8PCS/CTN, Butterfly, Non-glitter; MA 3L(9L warning, EAN版本)B收缩膜+EAN条码贴纸(贴在收缩膜上)+MA 2L A布标+MA 5L(23L warning)B收藏指南
 +MA 5L B图书卡+MA 5L(9L warning)B Slime胶袋+MA B配件袋;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</si>
  <si>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92107D-S001-3L</t>
  </si>
  <si>
    <t>4500156115-80</t>
  </si>
  <si>
    <t>92107E-S001</t>
  </si>
  <si>
    <t>日期码格式：ZURU INC(BVI) 标准格式 日期：按实际生产日期 Tracking Code:
Packaging Info: BOL NL(92107ABDE)
 4. 92107ABDE
 ---92107E: 8PCS/CTN, Ladybug, Non-glitter; MA 3L(9L warning, EAN版本)B收缩膜+EAN条码贴纸(贴在收缩膜上)+MA 2L A布标+MA 5L(23L warning)B收藏指南+M
 A 5L B图书卡+MA 5L(9L warning)B Slime胶袋+MA B配件袋;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</si>
  <si>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92107E-S001-3L</t>
  </si>
  <si>
    <t>4500156829-20</t>
  </si>
  <si>
    <t>4500156659-40</t>
  </si>
  <si>
    <t>日期码格式：ZURU INC(BVI) 标准格式 日期：按实际生产日期
Packaging Info: 
 92107: 1L MA 收缩膜+进口商贴纸; MA指南;
Remark: 标准配比</t>
  </si>
  <si>
    <t>4500156873-30</t>
  </si>
  <si>
    <t>2/26- 客供价格贴纸</t>
  </si>
  <si>
    <t>000038358088</t>
  </si>
  <si>
    <t>4500157247-10</t>
  </si>
  <si>
    <t>2/12收到</t>
  </si>
  <si>
    <t>日期码格式：ZURU INC(BVI) 标准格式 日期：按实际生产日期
Packaging Info: 1、包装方式: MA UPC优先1L最新版本，出口美国
Remark: 2、无测试无第三方验货要求。
3、纸箱4面印ZURU LOGO + 箱唛
4、日期码请按ZURU标准版执行即可。
5、ZURU QC验货。
6、Ratio:#92107: 4 Assortment Ratio (Ladybug: Giraffe: Butterfly: Elephant)=1:1:1:1</t>
  </si>
  <si>
    <t>ZB00058-3.28</t>
  </si>
  <si>
    <t>2025Q1</t>
  </si>
  <si>
    <t>4500158005-20</t>
  </si>
  <si>
    <t>进口商贴纸翻450014205</t>
  </si>
  <si>
    <t>日期码格式：ZURU INC(BVI) 标准格式 日期：按实际生产日期 
Packaging Info: MA UPC包装(优先1L)+1张进口商贴纸,贴纸aw及位置图翻单如下
 92107-4500142053
Remark:
 92107-4 Assortment Ratio (Ladybug: Giraffe: Butterfly: Elephant)=1:1:1:1</t>
  </si>
  <si>
    <t>94648-3.27</t>
  </si>
  <si>
    <t>4500157780-20</t>
  </si>
  <si>
    <t>日期码格式：ZURU INC(BVI) 标准格式 日期：按实际生产日期 
Packaging Info: 1. 无进口商贴纸；
 2. 92107 ： 1L MA UPC 包装， MA PDQ/说明书/指南（如有）；
Remark: 标准配比</t>
  </si>
  <si>
    <t>CARREFOUR ARGENTINA</t>
  </si>
  <si>
    <t>4500154827-20</t>
  </si>
  <si>
    <t>92107F-S001</t>
  </si>
  <si>
    <t>摇篮公子展示架</t>
  </si>
  <si>
    <t>3/25第三方</t>
  </si>
  <si>
    <t>2/19收到-双坑纸箱</t>
  </si>
  <si>
    <t>3/7-进口商贴纸+警告语贴纸+EAN贴纸</t>
  </si>
  <si>
    <t>3/18-外箱贴纸</t>
  </si>
  <si>
    <t>DG20250213</t>
  </si>
  <si>
    <t>日期码格式：ZURU INC(BVI) 标准格式 日期：按实际生产日期
Packaging Info: 1.92107F:MA 3L EAN包装+进口商贴纸+警告语贴纸（警告语贴纸贴于产品正面，不需要贴展示架）+EAN贴纸+色丁贴纸(贴MA布标上）
2.箱唛：在正唛（只1面）加多虚线15 X 10.5 CM ( 高X 宽) 距左箱边2CM， 距箱底 3CM,1张外箱贴纸Carrefour master carton label（在CHECKPOINT网站上订）,
工厂自行订购,可参照家乐福其他地区的。请检查贴纸上的外箱尺寸和重量是否和实际一致，如果材积超出正负7%，订购时要在系统更新资料并且通知给跟单。如果
第三方验货时发现与实际超出7%，会产生罚款USD300/每款ITEM。
3.产品/包装/外箱都要打上日期码，产品、包装和外箱的日期码要一致。
4.外箱纸箱要用双坑的，否则会影响出货。
5.此单有API第三方验货，，提供1套大货签板留底，请在大货前两周寄给我们，工厂需提交签板图片给客户审核。
6.签版要与大货一致。
7.此单因验厂问题，搏锐/沙沙岛/百炼需要送到兴信验货，验货时间待通知。
 92107F 条码：4894680033603
Remark:92107F 包装条码：489469033603</t>
  </si>
  <si>
    <t>94681-4.1</t>
  </si>
  <si>
    <t>92107F-S001-3L-NB-B</t>
  </si>
  <si>
    <t>4500154827-30</t>
  </si>
  <si>
    <t>日期码格式：ZURU INC(BVI) 标准格式 日期：按实际生产日期
Packaging Info: 1.92107:MA 3L EAN包装+进口商贴纸+警告语贴纸（警告语贴纸贴于产品正面，不需要贴展示架）+EAN贴纸+色丁贴纸(贴MA布标上）
2.箱唛：在正唛（只1面）加多虚线15 X 10.5 CM ( 高X 宽) 距左箱边2CM， 距箱底 3CM,1张外箱贴纸Carrefour master carton label（在CHECKPOINT网站上订）,
工厂自行订购,可参照家乐福其他地区的。请检查贴纸上的外箱尺寸和重量是否和实际一致，如果材积超出正负7%，订购时要在系统更新资料并且通知给跟单。如果
第三方验货时发现与实际超出7%，会产生罚款USD300/每款ITEM。
3.产品/包装/外箱都要打上日期码，产品、包装和外箱的日期码要一致。
4.外箱纸箱要用双坑的，否则会影响出货。
5.此单有API第三方验货，，提供1套大货签板留底，请在大货前两周寄给我们，工厂需提交签板图片给客户审核。
6.签版要与大货一致。
7.此单因验厂问题，搏锐/沙沙岛/百炼需要送到兴信验货，验货时间待通知。
Remark: 92107包装条码：489469033603</t>
  </si>
  <si>
    <t>4500156544-40</t>
  </si>
  <si>
    <t>日期码格式：ZURU INC(BVI) 标准格式 日期：按实际生产日期 
Packaging Info: 92107:MA 3L EAN包装+进口商贴纸（进口商贴纸+UPC贴纸合并为一张）+箱唛
Remark:</t>
  </si>
  <si>
    <t>TJX UK:
PO#50565115</t>
  </si>
  <si>
    <t>4500157606-40</t>
  </si>
  <si>
    <t>3/10-客供价格贴纸</t>
  </si>
  <si>
    <t>日期码格式：ZURU INC(BVI) 标准格式 日期：按实际生产日期 
Packaging Info: TJX UK: PO#50565115(92107)
 92107: MA3L (9Lwanrning)最新EAN包装+1张客供价格贴纸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</si>
  <si>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4500157593-90</t>
  </si>
  <si>
    <t>2/13-波兰语警告语</t>
  </si>
  <si>
    <t>日期码格式：ZURU INC(BVI) 标准格式 日期：按实际生产日期 
Packaging Info: TJX Eur
 ope-DE: PO#55565212(92107)
 92107: MA3L (9Lwanrning)最新EAN包装+1张客供价格贴纸+1张贴纸（含波兰语警告语)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</si>
  <si>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4500147528-20</t>
  </si>
  <si>
    <t>3/31第三方（自检）</t>
  </si>
  <si>
    <t>94761-4.14</t>
  </si>
  <si>
    <t>4500158785-70</t>
  </si>
  <si>
    <t>日期码格式：ZURU INC(BVI) 标准格式 日期：按实际生产日期 
Packaging Info:
 92107: MA英语UPC版本包装（收缩膜和说明书, MA首选1L，如无1L可用多语且含英语的配套多语包装) + 1张防盗贴纸 (贴纸以及位置图翻单PO#4500125858）+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</si>
  <si>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4500158504-20</t>
  </si>
  <si>
    <t>3/7-进口商贴纸</t>
  </si>
  <si>
    <t>日期码格式：ZURU INC(BVI) 标准格式 日期：按实际生产日期 
Packaging Info: 1L MA 收缩膜+进口商贴纸; MA指南;
Remark: 标准配比</t>
  </si>
  <si>
    <t>Cors Zhou</t>
  </si>
  <si>
    <t>94776-4.16</t>
  </si>
  <si>
    <t>4500158504-10</t>
  </si>
  <si>
    <t>4500158504-30</t>
  </si>
  <si>
    <t>756943/32804</t>
  </si>
  <si>
    <t>4500157811-10</t>
  </si>
  <si>
    <t>警语贴纸翻4500145943</t>
  </si>
  <si>
    <t>日期码格式：ZURU INC(BVI) 标准格式 日期：按实际生产日期 
Packaging Info: 1.92107:MA 3L-9L warning EAN B 版包装+警语贴纸(贴纸和位置图翻PO#4500145943)+MA 5L-23L收藏指南
 2.配比跟MA
Remark: 1. 包装如含PVC,请改为PET并第一时间通知跟单
 2. 产品/包装要求无硼无香，出欧洲，微塑料需合规。
 3. ICA针对带电池出货的产品，都要用碱性电池
 4.带电池出货的产品所用到的电池需要符合欧洲电池新规(EU) 2023-1542
 5.有胶袋的产品：要求产品的胶袋厚度要大于等于0.05mm
 6.关于贴纸，如果贴纸位置图的包装版本与大货不一致，请工厂第一时间提前提出。跟单会重新调整确认是否更新贴纸或调整位置图
 7.产品/包装不含PFAS成分
 8.产品条码如下: 请先检查条码是否正确再安排做货，如有问题请告知
 92107-S001-NB:4894680033603</t>
  </si>
  <si>
    <t>94809-4.22</t>
  </si>
  <si>
    <t>4500160671-10</t>
  </si>
  <si>
    <t>进口商贴纸翻4500158504</t>
  </si>
  <si>
    <t>日期码格式：ZURU INC(BVI) 标准格式 日期：按实际生产日期
Packaging Info: 92107 ：MA UPC 收缩膜(优先1L)+进口商贴纸(三款进口商贴纸翻PO-4500158504)+UPC条码贴；MA指南
Remark:
标准配比</t>
  </si>
  <si>
    <t>94843-4.25</t>
  </si>
  <si>
    <t>4500160671-20</t>
  </si>
  <si>
    <t>4500160671-30</t>
  </si>
  <si>
    <t>762663/33191</t>
  </si>
  <si>
    <t>4500157818-10</t>
  </si>
  <si>
    <t>日期码格式：ZURU INC(BVI) 标准格式 日期：按实际生产日期
Packaging Info: 1. 92107:MA 3L-9L warning EAN B 版包装+警语贴纸(贴纸和位置图翻PO#4500145943)+MA 5L-23L收藏指南
 2.配比跟MA
Remark: 1. 包装如含PVC,请改为PET并第一时间通知跟单
 2. 产品/包装要求无硼无香，出欧洲，微塑料需合规。
 3. ICA针对带电池出货的产品，都要用碱性电池
 4.带电池出货的产品所用到的电池需要符合欧洲电池新规(EU) 2023-1542
 5.有胶袋的产品：要求产品的胶袋厚度要大于等于0.05mm
 6.关于贴纸，如果贴纸位置图的包装版本与大货不一致，请工厂第一时间提前提出。跟单会重新调整确认是否更新贴纸或调整位置图
 7.产品/包装不含PFAS成分
 8.产品条码如下: 请先检查条码是否正确再安排做货，如有问题请告知
 92107-S001-NB:4894680033603</t>
  </si>
  <si>
    <t>94921-5.5</t>
  </si>
  <si>
    <t>4500147531-10</t>
  </si>
  <si>
    <t>4/25-第三方验货自检</t>
  </si>
  <si>
    <t>日期码格式：ZURU INC(BVI) 标准格式 日期：按实际生产日期
Packaging Info: #92107: MA3L收缩膜+UPC条码贴纸(UPC: 193052064738)+MA5L收藏指南+MA5L资料卡+MA5L胶袋+MA配件袋+MA2L布标
-产品配比: 4 Assortment Ratio (Ladybug: Giraffe: Butterfly: Elephant)=1:1:1:1
-翻单：4500146212
Remark: 1. #92107须使用无硼slime;
2. 此单有箱唛；
4.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</si>
  <si>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94945-5.8</t>
  </si>
  <si>
    <t>4500159866-100</t>
  </si>
  <si>
    <t>日期码格式：ZURU INC(BVI) 标准格式 日期：按实际生产日期
Packaging Info:92107 : 1L MA 收缩膜 + 进口商贴纸 ; MA 说明书/指南（如有）;
Remark: 标准配比</t>
  </si>
  <si>
    <t>4500159263-20</t>
  </si>
  <si>
    <t>日期码格式：ZURU INC(BVI) 标准格式 日期：按实际生产日期
Packaging Info:
2. 92107：MA 3L EAN包装+MA多语收藏指南+进口商贴纸+箱唛, 贴纸翻单PO4500130336
Remark: 1. 此单需提交自检报告给客户确认，待客户确认放货后，才允许出货。</t>
  </si>
  <si>
    <t>4500159262-20</t>
  </si>
  <si>
    <t>4500159256-20</t>
  </si>
  <si>
    <t>4500159248-20</t>
  </si>
  <si>
    <t>4500159234-20</t>
  </si>
  <si>
    <t>日期码格式：ZURU INC(BVI) 标准格式 日期：按实际生产日期
Packaging Info: 
2. 92107：MA 3L EAN包装+MA多语收藏指南+进口商贴纸+箱唛, 贴纸翻单PO4500130336
Remark: 1. 此单需提交自检报告给客户确认，待客户确认放货后，才允许出货。</t>
  </si>
  <si>
    <t>4500160092-200</t>
  </si>
  <si>
    <t>日期码格式：2025-05 日期： 
Packaging Info:
 92107; MA 3L EAN包装+UPC贴纸+MA多语收藏指南+进口商贴纸+箱唛
Remark: 1.指定日期码：2025-05（外箱/产品/包装/进口商贴纸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t>
  </si>
  <si>
    <t>4500161960-10</t>
  </si>
  <si>
    <t>日期码格式：ZURU INC(BVI) 标准格式 日期：按实际生产日期
Packaging Info: 92107: MA英语UPC版本包装（收缩膜和说明书, MA首选1L，如无1L可用多语且含英语的配套多语包装) + 1张防盗贴纸 (贴纸以及位置图翻单PO#4500125858）+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</si>
  <si>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4500159868-230</t>
  </si>
  <si>
    <t>MB167-S001</t>
  </si>
  <si>
    <t>摇篮公子
(92107+92127混装)</t>
  </si>
  <si>
    <t>客版15L警语黑白书纸</t>
  </si>
  <si>
    <t>日期码格式：ZURU INC(BVI) 标准格式 日期：按实际生产日期
Packaging Info: 92107： 客版15L收缩膜， MA B版slime袋子+客版15L警语黑白书纸，客版15L警语收藏指南，MA B版配件袋， MA 布标/MA图书卡；
92127：客版15L收缩膜， MA B版slime袋子+客版15L警语黑白书纸，客版15L警语收藏指南，MA B版配件袋， MA 布标/MA图书卡；
92107B:4894680037762
92107D:4894680037779
92127A:4894680048980
92127B:4894680048997
Remark: 92107子件备注
1.所有产品按符合欧洲标准走货，微塑料需合规。
2.所有包装材料都不允许PVC, 请用PET代替
3. 此单需要4套产前样及4套大货样，请尽快准备产前样，客人确认产前样后才可以生产大货
4. ACTION 客版15L 收缩膜， MA B版slime袋子+Action客版15L警语黑白书纸，Action客版15L警语收藏指南，MA B版配件袋， MA 布标/MA图书卡
5. 此单跟单是Amber Zhang, 如有疑问请找Amber Zhang确认
92127子件备注
1.所有产品按符合欧洲标准走货，微塑料需合规。
2.所有包装材料都不允许PVC, 请用PET代替
3. 此单需要4套产前样及4套大货样，请尽快准备产前样，客人确认产前样后才可以生产大货
4. Action客版15L收缩膜， MA B版slime袋子+Action客版15L警语黑白书纸，Action客版15L警语收藏指南，MA B版配件袋， MA 布标/MA图书卡；
5. 此单跟单是Amber Zhang, 如有疑问请找Amber Zhang 确认</t>
  </si>
  <si>
    <t>4500159868-360</t>
  </si>
  <si>
    <t>4500159868-460</t>
  </si>
  <si>
    <t>4500159868-210</t>
  </si>
  <si>
    <t>4500159868-250</t>
  </si>
  <si>
    <t>43GM125ARNO0032</t>
  </si>
  <si>
    <t>4500159153-20</t>
  </si>
  <si>
    <t>5/19第三方</t>
  </si>
  <si>
    <t>口商贴纸/警告语贴纸/EAN贴纸翻4500154827+布标贴纸</t>
  </si>
  <si>
    <t>日期码格式：ZURU INC(BVI) 标准格式 日期：按实际生产日期 
Packaging Info: 1.92107F:MA 3L EAN包装+进口商贴纸+警告语贴纸（警告语贴纸贴于产品正面，不需要贴展示架）+EAN贴纸+色丁贴纸（贴MA 布标上），，进口商贴纸/警
 告语贴纸/EAN贴纸翻单PO4500154827
 2.箱唛：在正唛（只1面）加多虚线15 X 10.5 CM ( 高X 宽) 距左箱边2CM， 距箱底 3CM,1张外箱贴纸Carrefour master carton label（在CHECKPOINT网站上订）,
工厂自行订购,可参照家乐福其他地区的。请检查贴纸上的外箱尺寸和重量是否和实际一致，如果材积超出正负7%，订购时要在系统更新资料并且通知给跟单。如果
第三方验货时发现与实际超出7%，会产生罚款USD300/每款ITEM。
 3.产品/包装/外箱都要打上日期码，产品、包装和外箱的日期码要一致。
 4.外箱纸箱要用双坑的，否则会影响出货。
5.此单有API第三方验货，92107签板翻单PO4500154827,翻单签板请保留妥当，翻单验货无法提供签板，验货将直接fail 无法出货并且会有罚金。
 6.签版要与大货一致。
7.此单因验厂问题，搏锐/沙沙岛/百炼需要送到兴信验货，验货时间待通知。</t>
  </si>
  <si>
    <t>4500159868-50</t>
  </si>
  <si>
    <t>4500159868-200</t>
  </si>
  <si>
    <t>4500159868-190</t>
  </si>
  <si>
    <t>4500159868-110</t>
  </si>
  <si>
    <t>4500159868-10</t>
  </si>
  <si>
    <t>4500159868-180</t>
  </si>
  <si>
    <t>4500159868-100</t>
  </si>
  <si>
    <t>4500162375-10</t>
  </si>
  <si>
    <t>4/18-警示语贴纸+不带电池走货北欧六语通用黑白电池说明书</t>
  </si>
  <si>
    <t>日期码格式：ZURU INC(BVI) 标准格式 日期：按实际生产日期
Packaging Info: 92107: 收缩膜MA EAN 3L B+ 1张警示语贴纸
Remark: 1/配比:
 92107: 4 Assortment Ratio (Ladybug: Giraffe: Butterfly: Elephant)=1:1:1:1
 2/产品和包装要求无硼无香，包装不能含有PVC
 3/如有微塑料，必须合规欧洲标准，闪粉也是微塑料的一种，目前仅接受三张方式1.去除，2.用可降解材料，和3.永久封印在固体。
4/带电池出货的产品，所用到的电池需要符合欧洲电池新规(EU)2023-1542</t>
  </si>
  <si>
    <t>4500159868-220</t>
  </si>
  <si>
    <t>4500159868-70</t>
  </si>
  <si>
    <t>4500159868-130</t>
  </si>
  <si>
    <t>4500163149-20</t>
  </si>
  <si>
    <t>日期码格式：ZURU INC(BVI) 标准格式 日期：按实际生产日期
Packaging Info: 
92107: 最新MA 3L 包装+ MA 5L(23L warning) 收藏指南+MA布标+1*CONCENTRA" logo 彩色贴纸 + 1*进口商黑白贴纸}
Remark: 1, 所有产品不带闪粉和微塑料，客人需要验货图片确认OK 才能放货，请务必按时完货。</t>
  </si>
  <si>
    <t>4500160573-140</t>
  </si>
  <si>
    <t>SO已出，预计截SI 5/29需赶上此船期</t>
  </si>
  <si>
    <t>进口商和UPC条码贴纸翻4500136632</t>
  </si>
  <si>
    <t>日期码格式：LOTDGYYYYMMDD 日期：按实际生产日期
Packaging Info:
 12. 92107: MA 3L EAN包装+UPC条码贴纸+MA 5L 收藏指南+进口商贴纸+箱唛，进口商和UPC条码贴纸翻单4500136632
Remark: 1. 客版日期码要求：LOT+ZURU标准日期码格式。东莞生产的格式：LOTDGYYYYMMDD, DG是东莞拼音首字母，
YYYYMMDD是实际的年月日，例如(LOTDG20240920)
 92107：4 Assortment Ratio (Ladybug: Giraffe: Butterfly: Elephant)=1:1:1:1
 4. 此单有第三方监柜，至少多备一套完整的物料用于监柜，请多备料。
 5.WM墨西哥防霉的新要求:货物必须在出货主箱和集装箱中按要求放置干燥剂，干燥剂指定品牌干霸
92107：需要在每箱放入14小包干燥剂，每包干燥剂重量2g
 如走柜货等loading plan 确认后再通知集装箱干燥剂数量
 此单兴信将安排8*40HC柜子，每个HC需要放置10包干燥剂，每包干燥剂1KG</t>
  </si>
  <si>
    <t>4500160573-150</t>
  </si>
  <si>
    <t>4500162547-10</t>
  </si>
  <si>
    <t>BRK1177100734</t>
  </si>
  <si>
    <t>4500163743-10</t>
  </si>
  <si>
    <t>日期码格式：ZURU INC(BVI) 标准格式 日期：按实际生产日期
Packaging Info: MA PKG, 优先1L
Remark: 请留意箱唛色带高度为40mm, 色带顶部需留出10mm高空白地方
客户PO#BRK1177100734</t>
  </si>
  <si>
    <t>4500159575-20</t>
  </si>
  <si>
    <t>客户EAN条贴翻4500148687</t>
  </si>
  <si>
    <t>日期码格式：ZURU INC(BVI) 标准格式 日期：按实际生产日期
Packaging Info: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*条码如下，请核查
92107-S001 5056296043936
* 大货样： 请在5/10 前寄出每款1整套大货样到罗湖办公室7B Sandy Shao 收。
Remark:
92107-S001 MA最新1L-UPC配套包装+客户EAN条码贴一张覆盖ZURU 原条码，条码贴翻订单4500148687</t>
  </si>
  <si>
    <t>4500164177-50</t>
  </si>
  <si>
    <t>中文布标(可用布标贴纸)卡+CCC贴纸+ 年龄贴翻4500154728</t>
  </si>
  <si>
    <t>取消芯片贴纸</t>
  </si>
  <si>
    <t>日期码格式：ZURU INC(BVI) 标准格式 日期：按实际生产日期
Packaging Info: 物料要求 SKU 所有款号务必使用带有CCC 标识的AW
3 92107 MA+中文布标(可用布标贴纸)+中文收藏指南+ 中文资料卡+CCC贴纸+ 年龄贴（8+）+客供芯片码 翻单： 4500154728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</si>
  <si>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MA+布标贴纸</t>
  </si>
  <si>
    <t>4500164177-60</t>
  </si>
  <si>
    <t>4500163864-50</t>
  </si>
  <si>
    <t>同意6/7出货</t>
  </si>
  <si>
    <t>5/12-防盗贴纸+外箱贴纸</t>
  </si>
  <si>
    <t>日期码格式：ZURU INC(BVI) 标准格式 日期：按实际生产日期
Packaging Info:
92107: MA英语UPC版本包装（收缩膜和说明书, MA首选1L，如无1L可用多语且含英语的配套多语包装) + 1张防盗贴纸 (贴纸以及位置图翻单PO#4500125858）+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</si>
  <si>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4500159868-380</t>
  </si>
  <si>
    <t>最迟6/3完成</t>
  </si>
  <si>
    <t>776149/34091</t>
  </si>
  <si>
    <t>4500162119-10</t>
  </si>
  <si>
    <t>日期码格式：ZURU INC(BVI) 标准格式 日期：按实际生产日期
Packaging Info: 1. 92107:MA 3L-9L warning EAN B 版包装+警语贴纸(贴纸和位置图翻PO#4500145943)+MA 5L-23L收藏指南
2.配比跟MA
Remark: 1. 包装如含PVC,请改为PET并第一时间通知跟单
2. 产品/包装要求无硼无香，出欧洲，微塑料需合规。
3. ICA针对带电池出货的产品，都要用碱性电池
4.带电池出货的产品所用到的电池需要符合欧洲电池新规(EU) 2023-1542
5.有胶袋的产品：要求产品的胶袋厚度要大于等于0.05mm
6.关于贴纸，如果贴纸位置图的包装版本与大货不一致，请工厂第一时间提前提出。跟单会重新调整确认是否更新贴纸或调整位置图
7.产品/包装不含PFAS成分
8.产品条码如下: 请先检查条码是否正确再安排做货，如有问题请告知
92107-S001-NB:4894680033603</t>
  </si>
  <si>
    <t>95183-6.3</t>
  </si>
  <si>
    <t>4500159868-270</t>
  </si>
  <si>
    <t>最迟5/26完成</t>
  </si>
  <si>
    <t>4500163782-20</t>
  </si>
  <si>
    <t>已通知客人6/9装柜，但具体要看SO</t>
  </si>
  <si>
    <t>4/30-意大利环保标通用地址贴</t>
  </si>
  <si>
    <t>日期码格式：ZURU INC(BVI) 标准格式 日期：按实际生产日期
Packaging Info: 
92107: 最新MA 3L+9L warning EAN收缩膜+最新MA 5L(23Lwarning)收藏指南+最新MA布标+意大利环保标通用地址贴
Remark: 1. 此单出意大利，需要满足EU标准，通过ZURU验货即可；
2. 产品均符合EU微塑料法规要求：不能含有微塑料/闪粉
3, SMASHERS 或含Slime产品，所有化合物使用无硼版本出意大利。</t>
  </si>
  <si>
    <t>4500159868-300</t>
  </si>
  <si>
    <t>4500159868-390</t>
  </si>
  <si>
    <t>最迟6/6完成</t>
  </si>
  <si>
    <t>4500164228-30</t>
  </si>
  <si>
    <t>92107-S003</t>
  </si>
  <si>
    <t>日期码格式：ZURU INC(BVI) 标准格式 日期：按实际生产日期
Packaging Info:
- 92107：""MA 最新1L收缩膜+警告语贴纸(Czech-Hugarian-Polish-Slovak，不能覆盖GB语言，贴纸翻单4500133271,MA袋子/卡片+MA布标,MA5L收藏指南
UPC#193052064738，请先检查包装条码是否正确再安排做货
比例: 4 Assortment Ratio (Ladybug: Giraffe: Butterfly: Elephant)=1:1:1:1
Remark: "1. 此单出EU，需满足EU测试标准要求，不含微塑料。
产品及包装需要印UKCA图标，包装需要有ZURU UK LTD/ZURU France地址信息，QC同事请核查，如有问题与跟单确认。
2.裝櫃必須按TPND順序 (條形碼貼紙或正嘜必須要朝外向車門外)，不可额外打缠绕带
3.外箱上有条码要求，排版时请留意并请确保条码清晰可扫描（封箱胶不要黏到条码上), 否则客人会有罚款；
4. 如含硼的话， 需用低硼版本(小于300ppm),硼含量需要符合欧洲标准,否则客人会退货有罚款产生"</t>
  </si>
  <si>
    <t>PO#4647602</t>
  </si>
  <si>
    <t>4500160726-200</t>
  </si>
  <si>
    <t>日期码格式：ZURU INC(BVI) 标准格式 日期：按实际生产日期 
Packaging Info: 1. 包材：ZURU 最新 MA 1L UPC 版本，出口美国;|
Remark: 2.日期跟踪码：产品包装及产品本身都必须有日期跟踪码，并且确保两者的日期跟踪码要一致；ZURU标准格式日期码(请自行调整具体年月日生产期，但不能为末).
 3. 此单不同客户PO对应不同交期，PO详情看侧边remark ，交期请看PO上面的delivery date；
 4. 外箱贴纸(请务必先发箱唛排版给跟单确认后再做印刷)
 5. 出货配比：ZURU 标版配比</t>
  </si>
  <si>
    <t>4500160964-10</t>
  </si>
  <si>
    <t>5/22-com邮箱地址做成一张贴纸贴+瑞典芬兰爱沙尼亚语布标贴纸</t>
  </si>
  <si>
    <t>日期码格式：ZURU INC(BVI) 标准格式 日期：按实际生产日期
Packaging Info: 1. 92107: MA 3L(9L warning) EAN版收缩膜+收缩膜上的警告语/Made In China都翻译成瑞典芬兰爱沙尼亚语言/care@zuru.com邮箱地址做成一张贴纸贴在收缩膜上
+MA 5L-23L warning收藏指南+MA 5L-9L warning Slime bag+北欧五语通用Slime黑白说明书+MA 2L布标+瑞典芬兰爱沙尼亚语布标贴纸(不能覆盖英文，如不够位置
图请直接把英文也一直做成贴纸)
2.配比跟MA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92107-S001-NB:4894680033603</t>
  </si>
  <si>
    <t>4500165404-50</t>
  </si>
  <si>
    <t>水贴纸更正外箱日期码</t>
  </si>
  <si>
    <t>5/22-进口商贴纸+客户条码贴纸+警告语贴纸</t>
  </si>
  <si>
    <t>客户日期码：ZUR5163 #92107，产品和外箱需要一致</t>
  </si>
  <si>
    <t xml:space="preserve">日期码格式：客户日期码 日期：
Packaging Info:
92107:MA+进口商贴纸+客户条码贴纸+警告语贴纸
2.客户日期码：产品/包装/外箱请保持一致。
92107客人日期码：ZUR5163
3.92107需要三套完整大货样寄到客人香港办公室，请多备料。
地址如下： Attn: Sylvia Li Company name: GP Services HK Limited Company address: Suite 1502, 15th Floor, Chinachem Golden Plaza, 77 Mody Road,
TST East, Kowloon, Hong Kong Company address (Chinese): 香港九龍尖沙咀東部麼地道77號華懋廣場1502室 Contact Tel: +852 2739 5363
4.大货验货需要由ZURU QC抽1pc样板寄到广州ITS做EN 71-3测试
92107-1PCS
Remark: </t>
  </si>
  <si>
    <t>待定</t>
  </si>
  <si>
    <t>4500159868-430</t>
  </si>
  <si>
    <t>4500159868-410</t>
  </si>
  <si>
    <t>777 25APR2526</t>
  </si>
  <si>
    <t>4500166127-90</t>
  </si>
  <si>
    <t>日期码格式：ZURU INC(BVI) 标准格式 日期：按实际生产日期
Packaging Info: 各款的条码如下，配比请跟MA, 请先检查条码是否正确再安排做货，如有问题请告知
 92107-S001：193052064738(MA 最新UPC包装)
Remark: 1.产品及包装需要印UKCA图标，包装需要有ZURU UK LTD/ZURU France地址信息，QC同事请核查，如有问题与跟单确认。
 2. 需要符合欧洲标准不能含有闪粉和微塑料，否则不合法规会有客诉产生</t>
  </si>
  <si>
    <t>4500165851-60</t>
  </si>
  <si>
    <t>5/14进口商贴纸</t>
  </si>
  <si>
    <t>4500166776-30</t>
  </si>
  <si>
    <t>日期码格式：ZURU INC(BVI) 标准格式 日期：按实际生产日期
Packaging Info: 
92107：B 版 3L MA EAN包装+进口商贴纸+EAN条码贴纸；B 版 5L MA 收藏指南
Remark: 1、若产品有比例使用ZURU STD 比例
2、所有item 均用MA EAN条码，若包装上的EAN 条码与PO 不一致的请告知
3、此单出欧洲需满足EU测试标准要求"</t>
  </si>
  <si>
    <t>4500166306-40</t>
  </si>
  <si>
    <t>5/26-警告语贴纸</t>
  </si>
  <si>
    <t>日期码格式：ZURU INC(BVI) 标准格式 日期：按实际生产日期
Packaging Info:
92107: MA B版1L UPC包装(4国警告语贴纸Czech-Hugarian-Polish-Slovak-翻单4500133271),请先检查包装条码#193052064738是否正确再安排做货)
Remark: 1. 此单出EU，需满足EU测试标准要求，不含微塑料。
产品及包装需要印UKCA图标，包装需要有ZURU UK LTD/ZURU France地址信息，QC同事请核查，如有问题与跟单确认。
2.裝櫃必須按TPND順序 (條形碼貼紙或正嘜必須要朝外向車門外)，不可额外打缠绕带
3.外箱上有条码要求，排版时请留意并请确保条码清晰可扫描（封箱胶不要黏到条码上), 否则客人会有罚款；
4. 如含硼的话， 需用低硼版本(小于300ppm),硼含量需要符合欧洲标准,否则客人会退货有罚款产生</t>
  </si>
  <si>
    <t xml:space="preserve"> ATLAS AMBASSADOR</t>
  </si>
  <si>
    <t>4500166307-30</t>
  </si>
  <si>
    <t>日期码格式：ZURU INC(BVI) 标准格式 日期：按实际生产日期
Packaging Info: 1.92107: MA包装+进口商贴纸
 2.此客户需要进行COC认证，装柜前在主拼工厂会有第三方验货，每款item需备2pcs 验货备品。
Remark:</t>
  </si>
  <si>
    <t xml:space="preserve"> Lena Huang</t>
  </si>
  <si>
    <t>4500166516-40</t>
  </si>
  <si>
    <t xml:space="preserve">日期码格式：ZURU INC(BVI) 标准格式 日期：按实际生产日期
Packaging Info: 1. MA UPC PKG(优先1L)
Remark: </t>
  </si>
  <si>
    <t>4500168127-220</t>
  </si>
  <si>
    <t>日期码格式：ZURU INC(BVI) 标准格式 日期：按实际生产日期
Packaging Info:
9. 92107 MA 3L EAN版本+UPC贴纸+进口商贴纸+SSCC label；92107A:193052066817, 92107B：193052066824， 92107D:193052066831, 92107E:193052066848;
Remark: 1. Amazon FOB订单，出口Mexico，外箱最长边不能超过25" （超过了，case pack只能为1），不符合要求的大货，一律不接受。
2. 空白外箱加印ZURU Logo（四面加印）+MADE IN CHINA（只印一正一侧）+SSCC LABEL(客供贴纸），无shipping mark,日期使用ZURU 标准版本。SSCC Label显示
的是客人自己的item#，SSCC Label 贴在外箱正面的正中间，贴一面即可，跟单订购，贴纸离外箱距必须至少3cm,每一张SSCC Label都是唯一且有不同流水及条码的
，没有损耗，绝对不可贴错，否则贴错或损坏一张会导致全部都错，千万要注意！
3. 日期码使用ZURU标准版
4.此单走整柜，需要安排监装，请每款多备1PC监柜样板</t>
  </si>
  <si>
    <t>4500168127-240</t>
  </si>
  <si>
    <t>4500168127-330</t>
  </si>
  <si>
    <t>4500168127-370</t>
  </si>
  <si>
    <t>4500151563-80</t>
  </si>
  <si>
    <t>4500159868-320</t>
  </si>
  <si>
    <t>4500159868-20</t>
  </si>
  <si>
    <t>4500159868-30</t>
  </si>
  <si>
    <t>4500159868-440</t>
  </si>
  <si>
    <t>4500159868-370</t>
  </si>
  <si>
    <t>FB13021</t>
  </si>
  <si>
    <t>4500167693-10</t>
  </si>
  <si>
    <t>条码请核对：5056296043936</t>
  </si>
  <si>
    <t>日期码格式：ZURU INC(BVI) 标准格式 日期：按实际生产日期
Packaging Info:
92107-S001： MA最新1L-UPC配套包装+客户EAN条码贴一张覆盖ZURU 原条码，条码贴翻订单4500148687，条码请核对：5056296043936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 大货样： 新款请在6/30 前寄出每款2整套大货样到罗湖办公室7B Sandy Shao 收，翻单不用寄。</t>
  </si>
  <si>
    <t>95692-7.18</t>
  </si>
  <si>
    <t>4500168544-40</t>
  </si>
  <si>
    <t>7/14-BV验货（自检）</t>
  </si>
  <si>
    <t>UPC条码贴纸翻4500167322</t>
  </si>
  <si>
    <t>日期码格式：ZURU INC(BVI) 标准格式 日期：按实际生产日期
Packaging Info:
#92107：
MA3L收缩膜(B)+UPC条码贴纸(UPC: 193052064738)+MA5L收藏指南(B)+MA5L资料卡(B)+MA5L胶袋(B)+MA配件袋(B)+MA2L布标
UPC贴纸翻单：4500167322
-产品配比: 4 Assortment Ratio (Ladybug: Giraffe: Butterfly: Elephant)=1:1:1:1
Remark: 1. 此单有箱唛;
2. UPC贴纸：必须在原来错误的条码上用黑色粗头笔涂黑直至不能扫描，再贴上正确的UPC;
3. 此单有第三方验货，烦请多备包装物料；
4. #9548/92107/92105需2025/7/9更新签板，签样数量：大货样各3pcs+齐套散件各2sets.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</si>
  <si>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4500169637-40</t>
  </si>
  <si>
    <t>6/18进口商贴纸+UPC 条码贴纸</t>
  </si>
  <si>
    <t>日期码格式：ZURU INC(BVI) 标准格式 日期：按实际生产日期
Packaging Info: 
92107B： MA 1L UPC 收缩膜+ 进口商贴纸+UPC 条码贴纸 ， MA 指南；
Remark: 标准配比</t>
  </si>
  <si>
    <t>4500169637-50</t>
  </si>
  <si>
    <t>日期码格式：ZURU INC(BVI) 标准格式 日期：按实际生产日期
Packaging Info: 
92107D： MA 1L UPC 收缩膜+ 进口商贴纸+UPC 条码贴纸 ， MA 指南；
Remark: 标准配比</t>
  </si>
  <si>
    <t>4500169637-60</t>
  </si>
  <si>
    <t>日期码格式：ZURU INC(BVI) 标准格式 日期：按实际生产日期
Packaging Info: 
92107E： MA 1L UPC 收缩膜+ 进口商贴纸+UPC 条码贴纸 ， MA 指南；
Remark: 标准配比</t>
  </si>
  <si>
    <t>8IJ32IRW</t>
  </si>
  <si>
    <t>4500169872-70</t>
  </si>
  <si>
    <t>UPC条码贴纸和进口商贴纸翻4500168127</t>
  </si>
  <si>
    <t>日期码格式：ZURU INC(BVI) 标准格式 日期：按实际生产日期
Packaging Info: 
5. 92107D: MA 3L EAN版本+UPC贴纸+进口商贴纸, 92107D:193052066831, UPC条码贴纸和进口商贴纸翻单PO 4500168127
Remark: 1. Amazon FOB订单，出口Mexico，外箱最长边不能超过25" （超过了，case pack只能为1），不符合要求的大货，一律不接受。
2. 空白外箱加印ZURU Logo（四面加印）+MADE IN CHINA（只印一正一侧）+SSCC LABEL(客供贴纸），无shipping mark,日期使用ZURU 标准版本。SSCC Label显示
的是客人自己的item#，SSCC Label 贴在外箱正面的正中间，贴一面即可，跟单订购，贴纸离外箱距必须至少3cm,每一张SSCC Label都是唯一且有不同流水及条码的
，没有损耗，绝对不可贴错，否则贴错或损坏一张会导致全部都错，千万要注意！
3. 日期码使用ZURU标准版</t>
  </si>
  <si>
    <t>54JX2K6K</t>
  </si>
  <si>
    <t>4500169872-80</t>
  </si>
  <si>
    <t>3R68OYBA</t>
  </si>
  <si>
    <t>4500170160-10</t>
  </si>
  <si>
    <t>7/11-SSCC LABEL客供贴纸</t>
  </si>
  <si>
    <t>日期码格式：ZURU INC(BVI) 标准格式 日期：按实际生产日期
Packaging Info: #92107 MA 3L B版本+ UPC贴纸，UPC贴纸跟返单4500134367； 92107D:193052066831, 92107E:193052066848;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</si>
  <si>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5Z6KCU9P</t>
  </si>
  <si>
    <t>4500170160-20</t>
  </si>
  <si>
    <t>8WY3IOVZ</t>
  </si>
  <si>
    <t>4500170160-30</t>
  </si>
  <si>
    <t>6H6K945Y</t>
  </si>
  <si>
    <t>4500170160-40</t>
  </si>
  <si>
    <t>1Q6X77IV</t>
  </si>
  <si>
    <t>4500170160-50</t>
  </si>
  <si>
    <t>5K2T6L2T</t>
  </si>
  <si>
    <t>4500170160-60</t>
  </si>
  <si>
    <t>8HDZY5TD</t>
  </si>
  <si>
    <t>4500170160-70</t>
  </si>
  <si>
    <t>7EZI56TM</t>
  </si>
  <si>
    <t>4500170160-80</t>
  </si>
  <si>
    <t>2THDZFYH</t>
  </si>
  <si>
    <t>4500170160-90</t>
  </si>
  <si>
    <t>1JZVJHSC</t>
  </si>
  <si>
    <t>4500170160-100</t>
  </si>
  <si>
    <t>4BG9QQ5A</t>
  </si>
  <si>
    <t>4500170160-110</t>
  </si>
  <si>
    <t>4500168727-80</t>
  </si>
  <si>
    <t>6/18-进口商贴纸+7/8-UPC条码贴</t>
  </si>
  <si>
    <t>日期码格式：ZURU INC(BVI) 标准格式 日期：按实际生产日期
Packaging Info:
92107：MA 收缩膜+UPC条码贴+进口商贴纸；MA指南
Remark: 标准配比</t>
  </si>
  <si>
    <t>96591-2-9.30</t>
  </si>
  <si>
    <t>4500168727-90</t>
  </si>
  <si>
    <t>4500168727-100</t>
  </si>
  <si>
    <t>Importadora Sudamericana &amp; Generac</t>
  </si>
  <si>
    <t>LEGAJO 4390</t>
  </si>
  <si>
    <t>4500169474-10</t>
  </si>
  <si>
    <t>7/16出</t>
  </si>
  <si>
    <t>6/19收到的</t>
  </si>
  <si>
    <t>6/20-进口商贴纸+UPC贴纸</t>
  </si>
  <si>
    <t>日期码格式：ZURU INC(BVI) 标准格式 日期：按实际生产日期
Packaging Info: MA 3L EAN包装+进口商贴纸+UPC贴纸+箱唛
Remark:</t>
  </si>
  <si>
    <t>95682-7.18</t>
  </si>
  <si>
    <t>4500159868-310</t>
  </si>
  <si>
    <t>JOINCO IMPORTA􀃇􀃃O E EXPORTA􀃇 L􀃃DAO</t>
  </si>
  <si>
    <t>4500168108-40</t>
  </si>
  <si>
    <t>6/17收到</t>
  </si>
  <si>
    <t>6/25-EAN条码贴纸+进口商贴纸+6/27-收藏指南贴纸</t>
  </si>
  <si>
    <t>日期码格式：ZURU INC(BVI) 标准格式 日期：按实际生产日期
Packaging Info: 
92107：MA 最新3L收缩膜含EAN条码贴纸+1张进口商贴纸+（MA 最新 5L+23L收藏指南+1张收藏指南贴纸）+MA polybag
Remark:
1.此单有第三方验货，请多备料。走LC信用证。需准时完货 延期有罚款。
2.大货样品2套/item，CRD前两周寄出。
3. 此单出葡萄牙，需满足EU测试标准，微塑料需符合法规</t>
  </si>
  <si>
    <t>4500159868-330</t>
  </si>
  <si>
    <t>4500159868-400</t>
  </si>
  <si>
    <t>4500159868-420</t>
  </si>
  <si>
    <t>2LHW2SDD</t>
  </si>
  <si>
    <t>4500170146-300</t>
  </si>
  <si>
    <t>日期码格式：ZURU INC(BVI) 标准格式 日期：按实际生产日期
Packaging Info: 
#92107 MA 3L B版本+ UPC贴纸，UPC贴纸跟返单4500134367； 92107D:193052066831, 92107E:193052066848;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</si>
  <si>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5OXQBTDT</t>
  </si>
  <si>
    <t>4500170146-310</t>
  </si>
  <si>
    <t>4500163278-10</t>
  </si>
  <si>
    <t>6/6-logo彩色贴纸+1*进口商黑白贴纸</t>
  </si>
  <si>
    <t>日期码格式：ZURU INC(BVI) 标准格式 日期：按实际生产日期
Packaging Info: 92107:最新MA3L包装+MA5L(23Lwarning)收藏指南+MA布标+1*CONCENTRA"logo彩色贴纸+1*进口商黑白贴纸
Remark: 1, 所有产品不带闪粉和微塑料，客人需要验货图片确认OK 才能放货，请务必按时完货。</t>
  </si>
  <si>
    <t>95782-7.26</t>
  </si>
  <si>
    <t>4500159868-450</t>
  </si>
  <si>
    <t>4500159868-340</t>
  </si>
  <si>
    <t>8EUPLGNG</t>
  </si>
  <si>
    <t>4500172623-120</t>
  </si>
  <si>
    <t>UPC贴纸跟返单4500134367</t>
  </si>
  <si>
    <t>日期码格式：ZURU INC(BVI) 标准格式 日期：按实际生产日期
Packaging Info: 出口加拿大，包装需要至少2/3L UPC版，无硼版本。
#92107 MA 3L B版本+ UPC贴纸，UPC贴纸跟返单4500134367； 92107E:193052066848;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</si>
  <si>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4500159868-120</t>
  </si>
  <si>
    <t>4500159848-200</t>
  </si>
  <si>
    <t>日期码格式：2025-07 日期：
Packaging Info: 92107; MA 3L EAN包装+UPC贴纸+MA多语收藏指南+进口商贴纸+箱唛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Hershey's-Chocolate Syrup 24 oz
Hershey's-Mini Chocolate Syrup 24 oz
Hershey's-Strawberry Syrup 22 oz</t>
  </si>
  <si>
    <t>96592-4-9.30</t>
  </si>
  <si>
    <t>4500164774-220</t>
  </si>
  <si>
    <t>日期码格式：2025-07 日期：
Packaging Info:92107: MA 3L EAN包装+UPC贴纸+MA多语收藏指南+进口商贴纸+箱唛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Hershey's-Chocolate Syrup 24 oz
Hershey's-Mini Chocolate Syrup 24 oz
Hershey's-Strawberry Syrup 22 oz</t>
  </si>
  <si>
    <t>96593-5-9.30</t>
  </si>
  <si>
    <t>4500167322-10</t>
  </si>
  <si>
    <t>8/4第三方</t>
  </si>
  <si>
    <t>UPC条码贴纸翻：4500146212</t>
  </si>
  <si>
    <t>(UPC: 193052064738)</t>
  </si>
  <si>
    <t>日期码格式：ZURU INC(BVI) 标准格式 日期：按实际生产日期
Packaging Info: #92107: 客版3L收缩膜(UPC条码：193052064738)+MA5L收藏指南+MA5L资料卡+MA5L胶袋+MA配件袋+MA2L布标
-产品配比: 4 Assortment Ratio (Ladybug: Giraffe: Butterfly: Elephant)=1:1:1:1
Remark: 1. #92107须使用无硼slime;
2. 此单有箱唛；
4. 此单有第三方验货，烦请多备包装物料；
5. #92107需于7/23安排签板，签样数量：大货样各3pcs(四款共12pcs)+齐套散件2套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</si>
  <si>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4500159868-60</t>
  </si>
  <si>
    <t>4500159868-140</t>
  </si>
  <si>
    <t>4500159868-80</t>
  </si>
  <si>
    <t>4500172103-80</t>
  </si>
  <si>
    <t>7/16-UPC贴纸</t>
  </si>
  <si>
    <t>日期码格式：ZURU INC(BVI) 标准格式 日期：按实际生产日期
Packaging Info: 请确保包装上的条形码是UPC，如果是babyUPC，需要用mother UPC覆盖，如有不一致，请及时提出。谢谢!
92107 MA 多语EAN包装+UPC贴纸+MA 多语收藏指南+箱唛
92107 MA 多语EAN包装+UPC贴纸+MA 多语收藏指南 +箱唛
Remark:
92107,,4 Assortment Ratio (Ladybug: Giraffe: Butterfly: Elephant)=1:1:1:1,,
92107,,4 Assortment Ratio (Ladybug: Giraffe: Butterfly: Elephant)=1:1:1:1,,</t>
  </si>
  <si>
    <t>96595-2-9.30</t>
  </si>
  <si>
    <t>4500171778-40</t>
  </si>
  <si>
    <t>4500172203-60</t>
  </si>
  <si>
    <t>4500162048-10</t>
  </si>
  <si>
    <t>7/22-警语折叠贴纸</t>
  </si>
  <si>
    <t>客人日期码：ZUR5132</t>
  </si>
  <si>
    <t>日期码格式：ZUR5132 日期：
Packaging Info: 1.92107:最新MA 3L EAN收缩膜+最新MA 5L说明书+一张警语折叠贴纸+一张条码贴纸
Remark: 1.大货样品每款3pcs，请多备料；若有多个assortment，每个assortment寄3pcs
2.客人日期码：ZUR5132，产品/彩盒/外箱 请保持一致；客人只接受指定日期码
3.本单出意大利，需要出无硼版本</t>
  </si>
  <si>
    <t>4500170454-10</t>
  </si>
  <si>
    <t>8/15第三方</t>
  </si>
  <si>
    <t>收缩膜翻4500167322</t>
  </si>
  <si>
    <t>日期码格式：ZURU INC(BVI) 标准格式 日期：按实际生产日期
Packaging Info: #92107：
客版3L收缩膜(UPC条码: 193052064738)+MA5L收藏指南(B)+MA5L资料卡(B)+MA5L胶袋(B)+MA配件袋(B)+MA2L布标
-产品配比: 4 Assortment Ratio (Ladybug: Giraffe: Butterfly: Elephant)=1:1:1:1
-收缩膜翻单：4500167322
Remark: 1. 此单有箱唛;
2. UPC贴纸：必须在原来错误的条码上用黑色粗头笔涂黑直至不能扫描，再贴上正确的UPC;
3. 此单有第三方验货，烦请多备包装物料；
4. #15704需2025/8/6更新签板，签样数量：空PDQ 2pcs+大货样各3pcs.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</si>
  <si>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96292-9.2</t>
  </si>
  <si>
    <t>92107-S003-NB-1</t>
  </si>
  <si>
    <t>AEON CO. (M) BHD</t>
  </si>
  <si>
    <t>4500173798-10</t>
  </si>
  <si>
    <t>7/22-价格条码贴+警语贴</t>
  </si>
  <si>
    <t>日期码格式：ZURU INC(BVI) 标准格式 日期：按实际生产日期
Packaging Info: 1. MA 1L PKG+1张价格条码贴+1张警语贴（贴纸资料7/22发工厂）
2. 每个产品包装要贴1张价格贴纸和1张警语贴，每个外箱也要贴2张价格贴纸，订贴纸请留意数量）
Remark: 92107：4 Assortment Ratio (Ladybug: Giraffe: Butterfly: Elephant)=1:1:1:1</t>
  </si>
  <si>
    <t>Patsy Liang</t>
  </si>
  <si>
    <t>4500173295-10</t>
  </si>
  <si>
    <t>进口商贴纸+EAN条码贴纸翻4500164050</t>
  </si>
  <si>
    <t>日期码格式：外包装/外箱不要打ZURU标准日期码 日期：
Packaging Info: 注意:外包装(指:收缩膜/彩卡/铝箔袋/挂卡/PDQ)/外箱不要打ZURU标准日期码!胶件可以打日期码。
92107： 1L MA UPC包装+ 进口商贴纸翻4500164050+ EAN条码贴纸翻4500164050， MA 说明书/指南（如有） ;
Remark: 标准配比 ；
请按期完货， 会有罚金。
出港口Bekasovo 2 和 Ural</t>
  </si>
  <si>
    <t>96332-9.6</t>
  </si>
  <si>
    <t>4500173295-40</t>
  </si>
  <si>
    <t>96371-9.9</t>
  </si>
  <si>
    <t>4500171781-30</t>
  </si>
  <si>
    <t>7/25-价格贴纸</t>
  </si>
  <si>
    <t>ZB01431-8.22</t>
  </si>
  <si>
    <t>4500171342-380</t>
  </si>
  <si>
    <t xml:space="preserve"> 此款日期码请打在2025/5/31之前</t>
  </si>
  <si>
    <t>日期码格式：ZURU INC(BVI) 标准格式 日期：按实际生产日期
Packaging Info: 
92107 无硼版本 标版 B 版 3L 收缩膜+B 版多语说明书 ， 加UPC 贴纸， UPC 193052064738。 此款日期码请打在2025/5/31之前
Remark: 出加拿大
有客供价格贴
每行对应不同的客户PO，唛头要一一对应， 放唛头时跟单会提供清单
Zuru验货.日期跟踪码：产品外包装及产品本身都必须有日期跟踪码，ZURU标准格式
日期码</t>
  </si>
  <si>
    <t>4500171342-390</t>
  </si>
  <si>
    <t>4500171342-400</t>
  </si>
  <si>
    <t>4500171342-410</t>
  </si>
  <si>
    <t>4500171342-420</t>
  </si>
  <si>
    <t>4500171342-430</t>
  </si>
  <si>
    <t>4500171783-40</t>
  </si>
  <si>
    <t>8/2-价格贴纸</t>
  </si>
  <si>
    <t>ZB01551-8.28</t>
  </si>
  <si>
    <t>4500167327-10</t>
  </si>
  <si>
    <t>92107F1-S001-NB</t>
  </si>
  <si>
    <t>摇篮公子客版展示架-无棚</t>
  </si>
  <si>
    <t>客版英法双语展示架</t>
  </si>
  <si>
    <t>客版3L收缩膜翻4500167322</t>
  </si>
  <si>
    <t>日期码格式：ZURU INC(BVI) 标准格式 日期：按实际生产日期
Packaging Info: 92107F1-S001-NB：
客版英法双语展示架+客版3L收缩膜+(UPC条码: 193052064738)+MA5L收藏指南+MA5L资料卡+MA5L胶袋+MA配件袋+MA2L布标
-产品配比: 4 Assortment Ratio (Ladybug: Giraffe: Butterfly: Elephant)=1:1:1:1
-收缩膜翻单：4500167322
Remark: 1. #92107须使用无硼slime;
2. 此单有箱唛；
3. 此单有第三方验货，烦请多备包装物料；
4. 此单需另备一座空展示架用以签办。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</si>
  <si>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96386-9.10</t>
  </si>
  <si>
    <t>92107F1-S001-NB-1</t>
  </si>
  <si>
    <t>4500173317-10</t>
  </si>
  <si>
    <t>日期码格式：外包装/外箱不要打ZURU标准日期码 日期：
Packaging Info: 注意:外包装(指:收缩膜/彩卡/铝箔袋/挂卡/PDQ)/外箱不要打ZURU标准日期码!胶件可以打日期码。
92107： 1L MA UPC包装+ 进口商贴纸翻4500164050+ EAN条码贴纸翻4500164050， MA 说明书/指南（如有） ;
请按期完货， 会有罚金。
出港口Bekasovo 2 和 Ural</t>
  </si>
  <si>
    <t>96331-9.6</t>
  </si>
  <si>
    <t>4500173317-40</t>
  </si>
  <si>
    <t>96328-9.5</t>
  </si>
  <si>
    <t>4500174847-50</t>
  </si>
  <si>
    <t>7/24收到</t>
  </si>
  <si>
    <t>中文布标(可用布标贴纸)+CCC贴纸+ 年龄贴（8+）翻单：4500164177</t>
  </si>
  <si>
    <t>日期码格式：ZURU INC(BVI) 标准格式 日期：按实际生产日期
Packaging Info: 物料要求 SKU
4 92107 MA+中文布标(可用布标贴纸)+中文收藏指南+ 中文资料卡+CCC贴纸+ 年龄贴（8+） 翻单： 4500164177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</si>
  <si>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96309-9.3</t>
  </si>
  <si>
    <t>4500173241-80</t>
  </si>
  <si>
    <t>4500173750-80</t>
  </si>
  <si>
    <t>8/7-进口商贴纸</t>
  </si>
  <si>
    <t>日期码格式：ZURU INC(BVI) 标准格式 日期：按实际生产日期
Packaging Info: 92107：MA 多语EAN包装+进口商贴纸+箱唛
Remark:</t>
  </si>
  <si>
    <t>Eva long</t>
  </si>
  <si>
    <t>96400-2-9.11</t>
  </si>
  <si>
    <t>1617025</t>
  </si>
  <si>
    <t>4500174561-10</t>
  </si>
  <si>
    <t>8/8-客供价格贴纸</t>
  </si>
  <si>
    <t>ZB01705-9.5</t>
  </si>
  <si>
    <t>1617024</t>
  </si>
  <si>
    <t>4500174558-10</t>
  </si>
  <si>
    <t>ZB01733-9.6</t>
  </si>
  <si>
    <t>57RK8TKI</t>
  </si>
  <si>
    <t>4500175055-10</t>
  </si>
  <si>
    <t>日期码格式：ZURU INC(BVI) 标准格式 日期：按实际生产日期
Packaging Info: #92107 MA 3L B版本+ UPC贴纸，UPC贴纸跟返单4500134367； D:193052066831, 92107E:193052066848;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</si>
  <si>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96447-9.16</t>
  </si>
  <si>
    <t>5RSX6GBU</t>
  </si>
  <si>
    <t>4500175055-20</t>
  </si>
  <si>
    <t>49MXJ7QH</t>
  </si>
  <si>
    <t>4500175055-30</t>
  </si>
  <si>
    <t>1QRDDLPL</t>
  </si>
  <si>
    <t>4500175055-40</t>
  </si>
  <si>
    <t>5IKCPP9R</t>
  </si>
  <si>
    <t>4500175055-50</t>
  </si>
  <si>
    <t>3L3ZNPKP</t>
  </si>
  <si>
    <t>4500175055-60</t>
  </si>
  <si>
    <t>84PLNQDD</t>
  </si>
  <si>
    <t>4500175055-70</t>
  </si>
  <si>
    <t>4500167327-20</t>
  </si>
  <si>
    <t>4500174767-20</t>
  </si>
  <si>
    <t>4500175435-80</t>
  </si>
  <si>
    <t>日期码格式：ZURU INC(BVI) 标准格式 日期：按实际生产日期
Packaging Info:92107：1L MA UPC收缩膜+客户通用贴纸；MA 指南
Remark:</t>
  </si>
  <si>
    <t>70072691</t>
  </si>
  <si>
    <t>4500174768-70</t>
  </si>
  <si>
    <t>Customer PO#
ALKAA-D</t>
  </si>
  <si>
    <t>4500175994-40</t>
  </si>
  <si>
    <t>8/14收到，外箱两正唛各贴一张UPC贴纸, 侧唛不用贴，贴纸做成普通白色贴纸即可</t>
  </si>
  <si>
    <t>日期码格式：ZURU INC(BVI) 标准格式 日期：按实际生产日期
Packaging Info: 1. 包装方式：MA UPC 优先1L 最新包装，出口美国
Remark: 2. 产品和包装上印刷tracking code信息，格式为ZURU常规;
3. ZURU QC验货即可出货;
6. 92107外箱两正唛各贴一张UPC贴纸, 侧唛不用贴，贴纸做成普通白色贴纸即可.</t>
  </si>
  <si>
    <t>ZB02170-9.27</t>
  </si>
  <si>
    <t>4500175520-20</t>
  </si>
  <si>
    <t>92107-S002-MTS</t>
  </si>
  <si>
    <t>8/4-多语折叠警语贴纸</t>
  </si>
  <si>
    <t>日期码格式：ZURU INC(BVI) 标准格式 日期：按实际生产日期
Packaging Info:
2.92107：MA 最新版 3L EAN收缩膜+1*多语折叠警语贴纸+MA B 5L+9L slime polybag+MA-B 5L卡片+MA-B 5L+23L 收藏指南+MA 布标+其他 MA包装；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
ZURU France 1/3, Rue d'Argenteuil 95210 SAINT-GRATIEN,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</si>
  <si>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96412-9.12</t>
  </si>
  <si>
    <t>92107-S002-3L</t>
  </si>
  <si>
    <t>4500172208-50</t>
  </si>
  <si>
    <t>8/8-价格贴纸</t>
  </si>
  <si>
    <t>4500173369-10</t>
  </si>
  <si>
    <t>9/11第三方（转自检）</t>
  </si>
  <si>
    <t>10/4出</t>
  </si>
  <si>
    <t>日期码格式：ZURU INC(BVI) 标准格式 日期：按实际生产日期
Packaging Info: #92107：
客版3L收缩膜(UPC条码: 193052064738)+MA5L收藏指南(B)+MA5L资料卡(B)+MA5L胶袋(B)+MA配件袋(B)+MA2L布标
-产品配比: 4 Assortment Ratio (Ladybug: Giraffe: Butterfly: Elephant)=1:1:1:1
-收缩膜翻单：4500167322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</si>
  <si>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A96637-10.13</t>
  </si>
  <si>
    <t>70072697</t>
  </si>
  <si>
    <t>4500174771-50</t>
  </si>
  <si>
    <t>9/12-客供价格贴纸</t>
  </si>
  <si>
    <t>4500173508-30</t>
  </si>
  <si>
    <t>4500177534-30</t>
  </si>
  <si>
    <t>4500176184-60</t>
  </si>
  <si>
    <t>4500177865-10</t>
  </si>
  <si>
    <t>日期码格式：ZURU INC(BVI) 标准格式 日期：按实际生产日期
Packaging Info: 1. 92107：MA 3L EAN包装+MA多语收藏指南+进口商贴纸+箱唛，进口商贴纸翻单PO4500130336
Remark: 1. 此单需提交自检报告给客户确认，待客户确认放货后，才允许出货。
2. 92107：4 Assortment Ratio (Ladybug: Giraffe: Butterfly: Elephant)=1:1:1:1</t>
  </si>
  <si>
    <t>4500178603-10</t>
  </si>
  <si>
    <t>箱唛翻4500174847</t>
  </si>
  <si>
    <t>CCC贴纸+ 年龄贴（8+)翻4500174847</t>
  </si>
  <si>
    <t>日期码格式：ZURU INC(BVI) 标准格式 日期：按实际生产日期
Packaging Info: 物料要求 SKU
1 92107 MA+中文布标(可用布标贴纸)+中文收藏指南+ 中文资料卡+CCC贴纸+ 年龄贴（8+） 翻单： 4500174847
此单启用 防窜码贴纸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</si>
  <si>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96890-11.7</t>
  </si>
  <si>
    <t>4500178603-50</t>
  </si>
  <si>
    <t>翻4500174847</t>
  </si>
  <si>
    <t>CCC贴纸+ 年龄贴（8+）翻4500174847</t>
  </si>
  <si>
    <t>4500178603-70</t>
  </si>
  <si>
    <t>CCC贴纸+ 年龄贴（8+）翻4500174847+10/16-防窜码贴纸</t>
  </si>
  <si>
    <t>69613-11.10</t>
  </si>
  <si>
    <t>PO#2950867195</t>
  </si>
  <si>
    <t>4500180371-10</t>
  </si>
  <si>
    <t>需要在正唛、侧唛右下角各贴一张slip sheet贴纸，直接用A4纸打印出来即可</t>
  </si>
  <si>
    <t>日期码格式：ZURU INC(BVI) 标准格式 日期：按实际生产日期
Packaging Info: 92107SLB-S001, MA最新UPC包装，UPC :193052064738，请先检查条码是否正确再安排做货。
Slip sheet: 92107-S003 1 PCS/CTN(CTN SIZE:25.5*18*26.5CM) 22*4=88ctn=88pcs/SLB ;一共需要11 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</si>
  <si>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4500175911-20</t>
  </si>
  <si>
    <t>9/15收到</t>
  </si>
  <si>
    <t>care@zuru.com邮箱地址做成一张贴纸翻4500160964+9/15-瑞典芬兰挪威爱沙尼亚语警告语贴纸贴在Slime袋子上+MA 2L布标+瑞典芬兰爱沙尼亚语布标贴纸翻4500160964</t>
  </si>
  <si>
    <t>日期码格式：ZURU INC(BVI) 标准格式 日期：按实际生产日期
Packaging Info:
2. 92107: MA B3L(9L warning) EAN版收缩膜+收缩膜上的警告语/产品包含信息/Made In China都翻译成瑞典芬兰爱沙尼亚语言/care@zuru.com邮箱地址做成一张贴
纸贴在收缩膜上(贴纸和位置图翻PO#4500160964)+MA B5L-23L warning收藏指南+MA B5L-9L warning Slime bag+瑞典芬兰挪威爱沙尼亚语警告语贴纸贴在Slime袋子
上+MA 2L布标+瑞典芬兰爱沙尼亚语布标贴纸(贴纸和位置图翻PO#4500160964)+MA ACCESSORY BAG_B
Remark: 
*. 包装如含PVC,请改为PET并第一时间通知跟单
*. 产品/包装要求无硼无香，出欧洲，微塑料需合规。
*.带电池出货的产品所用到的电池需要符合欧洲电池新规(EU) 2023-1542
*.有胶袋的产品：要求产品的胶袋厚度要大于等于0.05mm
*.关于贴纸，如果贴纸位置图的包装版本与大货不一致，请工厂第一时间提前提出。跟单会重新调整确认是否更新贴纸或调整位置图
*.产品/包装不含PFAS成分
*.产品条码如下: 请先检查条码是否正确再安排做货，如有问题请告知
ZURU ITEM#&lt;(&gt;&amp;&lt;)&gt;EAN
92107-S001-NB:4894680033603</t>
  </si>
  <si>
    <t>218139593 DC
802</t>
  </si>
  <si>
    <t>4500179587-50</t>
  </si>
  <si>
    <t>9/16收到</t>
  </si>
  <si>
    <t>日期码格式：ZURU INC(BVI) 标准格式 日期：
Packaging Info: 1. MA 1L 包装
2. 客人指定箱唛排版
4. 92107-S005 4 Assortment Ratio (Ladybug: Giraffe: Butterfly: Elephant)=1:1:1:1
Remark: 出货前 Zuru QC 验货</t>
  </si>
  <si>
    <t>Agnes Zheng</t>
  </si>
  <si>
    <t>ZB03145-11.28</t>
  </si>
  <si>
    <t>218139591 DC
086</t>
  </si>
  <si>
    <t>4500179587-60</t>
  </si>
  <si>
    <t>4500176585-20</t>
  </si>
  <si>
    <t>ZB03137-11.28</t>
  </si>
  <si>
    <t>4500179449-10</t>
  </si>
  <si>
    <t>摇篮公子（干燥剂）</t>
  </si>
  <si>
    <t>11/21出</t>
  </si>
  <si>
    <t>10/10-UPC条码贴纸+进口商贴纸</t>
  </si>
  <si>
    <t>日期码格式：LOTDGYYYYMMDD 日期：按实际生产日期
Packaging Info: 1. 92107: MA 3L EAN包装+UPC条码贴纸+MA 5L 收藏指南+进口商贴纸+箱唛
Remark: 1. 客版日期码要求：LOT+ZURU标准日期码格式。东莞生产的格式：LOTDGYYYYMMDD, DG是东莞拼音首字母，
YYYYMMDD是实际的年月日，例如(LOTDG20240920)
92107： 4 Assortment Ratio (Ladybug: Giraffe: Butterfly: Elephant)=1:1:1:1
4. 此单有第三方监柜，至少多备一套完整的物料用于监柜，请多备料。
5.WM墨西哥防霉的新要求:货物必须在出货主箱和集装箱中按要求放置干燥剂，干燥剂指定品牌干霸
92107：需要在每箱放入14小包干燥剂，每包干燥剂重量2-3g
如走柜货等loading plan 确认后再通知集装箱干燥剂数量
此单工厂将安排1*40HC，每个柜子要放置20包干燥剂，每包干燥剂1KG</t>
  </si>
  <si>
    <t>96983-11.20/A97489-1.12</t>
  </si>
  <si>
    <t>4500179449-30</t>
  </si>
  <si>
    <t>96983-11.20</t>
  </si>
  <si>
    <t>849624/38433</t>
  </si>
  <si>
    <t>4500181046-10</t>
  </si>
  <si>
    <t>瑞典芬兰爱沙尼亚语言/care@zuru.com邮箱地址做成一张贴纸翻4500160964+瑞典芬兰挪威爱沙尼亚语警告语贴纸翻4500175911</t>
  </si>
  <si>
    <t>日期码格式：ZURU INC(BVI) 标准格式 日期：按实际生产日期
Packaging Info: 1. 92107: MA B3L(9L warning) EAN版收缩膜+收缩膜上的警告语/产品包含信息/Made In China都翻译成瑞典芬兰爱沙尼亚语言/care@zuru.com邮箱地址做成一张贴
纸贴在收缩膜上(贴纸和位置图翻SOK PO#4500160964)+MA B5L-23L warning收藏指南+MA B5L-9L warning Slime bag+瑞典芬兰挪威爱沙尼亚语警告语贴纸贴在Slime
袋子上(贴纸和位置图翻SOK PO#4500175911)+MA 2L布标MA ACCESSORY BAG_B
"
Remark: 1. 包装如含PVC,请改为PET并第一时间通知跟单
2. 产品/包装要求无硼无香，出欧洲，微塑料需合规。
3. ICA针对带电池出货的产品，都要用碱性电池
4. 不能出带军事元素的产品，如有:请拿掉并告知跟单
5. 带电池出货的产品所用到的电池需要符合欧洲电池新规(EU) 2023-1542
6. 有胶袋的产品：要求产品的胶袋厚度要大于等于0.05mm
7. 关于贴纸，如果贴纸位置图的包装版本与大货不一致，请工厂第一时间提前提出。跟单会重新调整确认是否更新贴纸或调整位置图
8. 产品/包装不含PFAS成分
9. 如外箱重量超过15KG请马上通知跟单，需要客人审批才能出货
10. 产品条码如下: 请先检查条码是否正确再安排做货，如有问题请告知
ZURU ITEM#&lt;(&gt;&amp;&lt;)&gt;EAN#
92107-S001-NB:4894680033603</t>
  </si>
  <si>
    <t>97110-12.1</t>
  </si>
  <si>
    <t>56357/2025/1</t>
  </si>
  <si>
    <t>4500183478-70</t>
  </si>
  <si>
    <t>11/13-进口商贴纸+EAN条码贴纸</t>
  </si>
  <si>
    <t>日期码格式：ZURU INC(BVI) 标准格式 日期：按实际生产日期
Packaging Info:
92107：B 版 3L MA EAN 收缩膜+进口商贴纸+baby EAN条码贴纸；B 版 5L MA 收藏指南
Remark: 1、若产品有比例使用ZURU STD 比例
2、所有item 均用MA EAN条码，若包装上的EAN 条码与PO 不一致的请告知
baby EAN：
92107A：4894680037755
92107B：4894680037762
92107D：4894680037779
92107E：4894680037786
3、此单出欧洲需满足EU测试标准要求
4、此单LC 货期不可延</t>
  </si>
  <si>
    <t>4500185354-60</t>
  </si>
  <si>
    <t>12/1-客供价格贴纸</t>
  </si>
  <si>
    <t>Blanche</t>
  </si>
  <si>
    <t>FB13908</t>
  </si>
  <si>
    <t>4500183596-10</t>
  </si>
  <si>
    <t>EAN条码翻4500148687</t>
  </si>
  <si>
    <t>日期码格式：ZURU INC(BVI) 标准格式 日期：按实际生产日期
Packaging Info: 92107 MA最新1L-UPC配套包装+客户EAN条码（翻单4500148687）覆盖ZURU 原条码,条码请核对：5056296043936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t>
  </si>
  <si>
    <t>4500177857-30</t>
  </si>
  <si>
    <t>11/27-UPC贴纸+进口商贴纸+价标贴纸</t>
  </si>
  <si>
    <t>日期码格式：ZURU INC(BVI) 标准格式 日期：按实际生产日期
Packaging Info: 92107:MA 多语EAN包装+UPC贴纸+进口商贴纸+价标贴纸+箱唛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t>
  </si>
  <si>
    <t>4500185221-40</t>
  </si>
  <si>
    <t>箱唛翻4500178603</t>
  </si>
  <si>
    <t>布标贴纸+CCC贴纸+ 年龄贴（8+） 翻4500178603</t>
  </si>
  <si>
    <t>防窜码贴纸</t>
  </si>
  <si>
    <t>日期码格式：ZURU INC(BVI) 标准格式 日期：按实际生产日期
Packaging Info: 物料要求 SKU
4 92107 MA+中文布标(可用布标贴纸)+中文收藏指南+ 中文资料卡+CCC贴纸+ 年龄贴（8+） 翻单： 4500178603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 位置产品和箱唛对应贴好</t>
  </si>
  <si>
    <t>4500184385-10</t>
  </si>
  <si>
    <t>日期码格式：ZURU INC(BVI) 标准格式 日期：按实际生产日期
Packaging Info: 
92107 MA最新1L-UPC配套包装+客户EAN条码贴一张覆盖ZURU 原条码，条码贴翻订单4500148687，条码请核对5056296043936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</si>
  <si>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4500184385-60</t>
  </si>
  <si>
    <t>4500186837-30</t>
  </si>
  <si>
    <t>日期码格式：ZURU INC(BVI) 标准格式 日期：按实际生产日期
Packaging Info: MA PKG， 优先1L PKG
Remark: 此单按EXW +送货运费实报实销，请留意船务出货通知安排。</t>
  </si>
  <si>
    <t>999-61810</t>
  </si>
  <si>
    <t>4500186548-20</t>
  </si>
  <si>
    <t>12/3-4国警告语贴纸</t>
  </si>
  <si>
    <t>日期码格式：ZURU INC(BVI) 标准格式 日期：按实际生产日期
Packaging Info:
92107：MA B版1L UPC收缩膜+1张4国警告语贴纸（Czech-Hugarian-Polish-Slovak）新稿,先检查包装条码#193052064738是否正确再安排做货)；
Remark: 1.此单出EU国家，需满足EU测试标准，微塑料需满足EU法规要求；
2.产品及包装需要印CE &lt;(&gt;&amp;&lt;)&gt; 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t>
  </si>
  <si>
    <t>4500187528-40</t>
  </si>
  <si>
    <t>日期码格式：ZURU INC(BVI) 标准格式 日期：按实际生产日期
Packaging Info: 
92107SLB-S001, MA最新UPC包装，UPC :193052064738，请先检查条码是否正确再安排做货。
Slip sheet: 92107-S003 1 PCS/CTN(CTN SIZE:25.5*18*26.5CM) 22*4=88ctn=88pcs/SLB
一共需要11个slip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</si>
  <si>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IMPORTADORA SUDAMERICANA &amp;</t>
  </si>
  <si>
    <t>4500185782-10</t>
  </si>
  <si>
    <t>12/8-进口商贴纸+UPC贴纸</t>
  </si>
  <si>
    <t>日期码格式：ZURU INC(BVI) 标准格式 日期：按实际生产日期
Packaging Info: 92107： MA 3L EAN包装+进口商贴纸+UPC贴纸+箱唛,,
Remark: 请确保包装上的条形码是UPC，如果是babyUPC，需要用mother UPC 覆盖，如有不一致，请及时提出。谢谢!</t>
  </si>
  <si>
    <t>COL-15-26-SPR</t>
  </si>
  <si>
    <t>4500187640-50</t>
  </si>
  <si>
    <t>12/19-进口商贴纸+UPC贴纸</t>
  </si>
  <si>
    <t>日期码格式：DG20260120 日期：按实际生产日期
Packaging Info: 其余item：MA 多语包装+进口商贴纸+UPC贴纸+箱唛
Remark: 外箱/产品/包装-指定日期码：DG20260120</t>
  </si>
  <si>
    <t>FB13919</t>
  </si>
  <si>
    <t>4500185539-60</t>
  </si>
  <si>
    <t>A97567-1.19</t>
  </si>
  <si>
    <t>4500187663-40</t>
  </si>
  <si>
    <t>日期码格式：ZURU INC(BVI) 标准格式 日期：按实际生产日期
Packaging Info: 
92107:MA最新1L-UPC配套包装+客户EAN条码贴一张覆盖ZURU 原条码，条码贴翻订单4500148687，条码请核对5056296043936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</si>
  <si>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4500188247-20</t>
  </si>
  <si>
    <t>4500188307-80</t>
  </si>
  <si>
    <t xml:space="preserve">日期码格式：ZURU INC(BVI) 标准格式 日期：按实际生产日期
Packaging Info: 1.请确保包装上的条形码是UPC，如果是babyUPC，需要用mother UPC覆盖，如有不一致，请及时提出。谢谢!
2. 包材请按照ZURU MA 生产 +语言必须含有西语+箱唛
3. 如果是EAN条码请用UPC 贴纸覆盖
Remark: </t>
  </si>
  <si>
    <t>4500189439-40</t>
  </si>
  <si>
    <t>1/6-进口商贴纸+UPC 条码贴纸+ 1/9-QR code</t>
  </si>
  <si>
    <t>日期码格式：ZURU INC(BVI) 标准格式 日期：按实际生产日期
Packaging Info: 
92107B: 1L MA UPC收缩膜+ 进口商贴纸+ UPC 条码贴纸+ QR code (一物一码) ，MA 指南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t>
  </si>
  <si>
    <t>4500189439-50</t>
  </si>
  <si>
    <t>日期码格式：ZURU INC(BVI) 标准格式 日期：按实际生产日期
Packaging Info:92107D: 1L MA UPC收缩膜+ 进口商贴纸+ UPC 条码贴纸+ QR code (一物一码) ，MA 指南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t>
  </si>
  <si>
    <t>4500189439-60</t>
  </si>
  <si>
    <t>日期码格式：ZURU INC(BVI) 标准格式 日期：按实际生产日期
Packaging Info: 92107E: 1L MA UPC收缩膜+ 进口商贴纸+ UPC 条码贴纸+ QR code (一物一码) ，MA 指南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t>
  </si>
  <si>
    <t>4500187747-10</t>
  </si>
  <si>
    <t>1/13-客供价格贴纸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</si>
  <si>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
6.所有产品和包装须符合华盛顿州及俄勒冈州HPCCCH测试要求</t>
  </si>
  <si>
    <t>LEGAJO 4610</t>
  </si>
  <si>
    <t>4500187691-10</t>
  </si>
  <si>
    <t>箱唛翻4500185782</t>
  </si>
  <si>
    <t>进口商贴纸+UPC贴纸翻4500185782</t>
  </si>
  <si>
    <t>日期码格式：ZURU INC(BVI) 标准格式 日期：按实际生产日期
Packaging Info: 92107： MA 3L EAN包装+进口商贴纸+UPC贴纸+箱唛
Remark: 请确保包装上的条形码是UPC，如果是babyUPC，需要用mother UPC 覆盖，如有不一致，请及时提出。谢谢!</t>
  </si>
  <si>
    <t>4500194261-110</t>
  </si>
  <si>
    <t>3/9-进口商贴纸+UPC贴纸+ QR贴纸</t>
  </si>
  <si>
    <t>日期码格式：ZURU INC(BVI) 标准格式 日期：按实际生产日期
Packaging Info: 
92107B/92107D/92107E ： MA UPC 收缩膜+ 进口商贴纸+ UPC 贴纸+QR code (一物一码) ，MA 指南；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t>
  </si>
  <si>
    <t>4500194261-120</t>
  </si>
  <si>
    <t>4500194261-130</t>
  </si>
  <si>
    <t>4500195950-160</t>
  </si>
  <si>
    <t>4/1进口商贴纸+UPC贴纸</t>
  </si>
  <si>
    <t>26-1073775JUS</t>
  </si>
  <si>
    <t>4500196056-60</t>
  </si>
  <si>
    <t>5/11出</t>
  </si>
  <si>
    <t>4500196119-200</t>
  </si>
  <si>
    <t>4500198237-90</t>
  </si>
  <si>
    <t>日期码格式：ZURU INC(BVI) 标准格式 日期：按实际生产日期
Packaging Info: 1L MA UPC 包装 + 通用贴纸 ， MA 说明书/指南/PDQ （如有）；
Remark: 标准配比；</t>
  </si>
  <si>
    <t>4500196073-80</t>
  </si>
  <si>
    <t>4/9-进口商贴纸+4/8-QR code+条码贴纸翻4500194261</t>
  </si>
  <si>
    <t>日期码格式：ZURU INC(BVI) 标准格式 日期：按实际生产日期
Packaging Info: 15760UQ1/15754/15749 ： 外箱有SSCC label ,格式要求code 128 ，需要可扫， 尺寸建议16X5CM ;
15754/15749/15752A/15752H/15752G： MA UPC 彩盒+ 进口商贴纸+QR code (一物一码)+ 3+ 年龄贴纸 ；
15760UQ1 ：MA UPC 挂卡+ 进口商贴纸+QR code (一物一码)+ 3+ 年龄贴纸，MA PDQ ；
92104 ： 1L MA UPC 收缩膜+ 进口商贴纸+QR code (一物一码) ；MA 指南
92107B/92107D/92107E ： 1L MA UPC 收缩膜+UPC条码贴纸翻4500194261
+ 进口商贴纸+QR code (一物一码) ；MA 指南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t>
  </si>
  <si>
    <t>4500196073-90</t>
  </si>
  <si>
    <t>4500196073-100</t>
  </si>
  <si>
    <t>43GM126ARNO00
60</t>
  </si>
  <si>
    <t>4500194849-10</t>
  </si>
  <si>
    <t>4/30第三方</t>
  </si>
  <si>
    <t>进口商贴纸+警告语贴纸+EAN贴纸+色丁贴纸+二维码贴纸+外箱贴纸翻4500154827</t>
  </si>
  <si>
    <t>日期码格式：ZURU INC(BVI) 标准格式 日期：按实际生产日期
Packaging Info: 92107F/92108F:MA 3L EAN包装+进口商贴纸+警告语贴纸（警告语贴纸贴于产品正面，不需要贴展示架）+EAN贴纸+色丁贴纸(贴MA布标上）+二维码贴纸,所有item贴
纸翻单4500154827
2.箱唛：在正唛（只1面）加多虚线15 X 10.5 CM ( 高X 宽) 距左箱边2CM， 距箱底 3CM,1张外箱贴纸Carrefour master carton label（在CHECKPOINT网站上订）,
工厂自行订购,可参照家乐福其他地区的。请检查贴纸上的外箱尺寸和重量是否和实际一致，如果材积超出正负7%，订购时要在系统更新资料并且通知给跟单。如
果第三方验货时发现与实际超出7%，会产生罚款USD300/每款ITEM。
3.产品/包装/外箱都要打上日期码，产品、包装和外箱的日期码要一致。
4.外箱纸箱要用双坑的，否则会影响出货。
5.此单有API第三方验货，验货时间：4/27，92107F/921078F 签板样参考翻单45001548276.签版要与大货一致
7.搏锐/沙沙岛/华康送货到兴信拼柜
Remark: EAN 条码如下：
92107F 4894680033603
92108F 3617702057606</t>
  </si>
  <si>
    <t>JIWILDY LTD</t>
  </si>
  <si>
    <t>4500199430-10</t>
  </si>
  <si>
    <t>日期码格式：ZURU INC(BVI) 标准格式                  日期：按实际生产日期
Packaging Info: MA UPC PKG, 优先1L</t>
  </si>
  <si>
    <t>4500200425</t>
  </si>
  <si>
    <t>4500200425-60</t>
  </si>
  <si>
    <t>日期码格式：ZURU INC(BVI) 标准格式 日期：按实际生产日期
Packaging Info: MA PKG , 优先1L
外箱上的客户名称是”RDL Ltd “
Remark:</t>
  </si>
  <si>
    <t>4500198544-20</t>
  </si>
  <si>
    <t>摇篮公子-干燥剂</t>
  </si>
  <si>
    <t>UPC条码贴纸+进口商贴纸翻4500179449</t>
  </si>
  <si>
    <t>日期码格式：LOTDGYYYYMMDD 日期：按实际生产日期
Packaging Info:
2. 92107: MA 3L EAN包装+UPC条码贴纸+MA 5L 收藏指南+进口商贴纸+箱唛，所有贴纸翻单PO4500179449
Remark: 1. 客版日期码要求：LOT+ZURU标准日期码格式。东莞生产的格式：LOTDGYYYYMMDD, DG是东莞拼音首字母，YYYYMMDD是实际的年月日，例如(LOTDG20240920)
2. 此单有第三方监柜，至少多备一套完整的物料用于监柜，请多备料。
3. WM墨西哥防霉的新要求:货物必须在出货主箱和集装箱中按要求放置干燥剂，干燥剂指定品牌干霸SUPERDRY
9298TQ1/92104/77673：每箱需放置4包干燥剂，每包重2-3g
77711GQ2/9296/9561：每箱需放置6包干燥剂，每包重2-3g
9283/9548：每箱需放置10包干燥剂，每包重2-3g
92107/9258/92125/92106：每箱需放置14包干燥剂，每包重2-3g
4. 92107： 4 Assortment Ratio (Ladybug: Giraffe: Butterfly: Elephant)=1:1:1:1
9298TQ1: 7 assortment (6 common + 1 rare)=CORGI:SHEPHERD:POODLE:DALMATIAN:SCHNAUZER:BROWN DALNATIAN:HOUND DOG=9：10：10：5：12：7：7
92104：MUNCHKIN(RARE): HIMALAYAN: PERSIAN: MAINE COON: RAGDOLL: RAGAMUFFIN: NORWEGIAN FOREST CAT = 2: 8: 10: 10: 10: 10: 10
9296: cow:monkey:panda:zebra:axolotl;chiken:=1:1:1:1:1:1;
9283: Kitten:Bunny:Puppy:Cow:Elephant:Flamingo=1:1:1:1:1:1;
9258: Unicorn/Lion/Bunny/Flamingo/Elephant/Kitten=3：2：2：2：4：1
92125 ：6 Assortments,siamese cat:pink-white cat:purple cat:black cat:brown-white cat:orange cat=1:1:1:1:1:1, no rare.
77673：3PCS AG13 BATTERIES(INCLUDED)
92106：92106A RHINO:92106D KOALA:92106B ELEPHANT=1:1:1
9561: 3pcs LR44 Batteries(Include)
9548: 3pcs AAA batteries(not included)
如走柜货等loading plan 确认后再通知集装箱干燥剂数量
此单工厂将安排7*40HC，每个HC要放置20包干燥剂，每包干燥剂1KG</t>
  </si>
  <si>
    <t>999-76640</t>
  </si>
  <si>
    <t>4500200650-40</t>
  </si>
  <si>
    <t>4国警告语贴纸翻4500186548</t>
  </si>
  <si>
    <t>4500200574-20</t>
  </si>
  <si>
    <t>999-61851</t>
  </si>
  <si>
    <t>4500200650-120</t>
  </si>
  <si>
    <t>4500199821</t>
  </si>
  <si>
    <t>4500199821-20</t>
  </si>
  <si>
    <t>日期码格式：ZURU INC(BVI) 标准格式                  日期：按实际生产日期
Packaging Info: 15757: MA UPC 彩盒+ 进口商贴纸+QR code (一物一码)
92107B/92107D/92107E/9283/9296/9298/9565/9298/92104/92146/92147: MA UPC收缩膜+MA 收藏指南+ 进口商贴纸+QR code (一物一码)
9574: MA 1L UPC彩盒+MA 说明书+ 进口商贴纸+QR code (一物一码)
71152: MA UPC彩盒+MA 说明书+ 进口商贴纸+QR code (一物一码)
9561: MA 1L UPC收缩膜+MA 收藏指南+MA说明书+ 进口商贴纸+QR code (一物一码)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
 5. 整张单走EXW.</t>
  </si>
  <si>
    <t>4500199821-30</t>
  </si>
  <si>
    <t>4500199821-40</t>
  </si>
  <si>
    <t>JOINCO  IMPORTACAO  E  EXPORTACAO  LDA</t>
  </si>
  <si>
    <t>4500205940</t>
  </si>
  <si>
    <t>PD/2026/654</t>
  </si>
  <si>
    <t>4500205940-50</t>
  </si>
  <si>
    <t>6/22第三方</t>
  </si>
  <si>
    <t>5/26-EAN条码贴纸+进口商贴纸+警告语贴纸</t>
  </si>
  <si>
    <t>日期码格式：ZURU INC(BVI) 标准格式 日期：按实际生产日期
Packaging Info:
5.92107：MA 最新3L收缩膜含EAN条码贴纸+1张进口商贴纸+MA 最新 5L+23L收藏指南/polybag+1张警告语贴纸；
Remark: 1.此单有第三方验货，请多备料。走LC信用证。需准时完货 延期有罚款。
2.大货样品2套/item，CRD前两周寄出。
3. 此单出葡萄牙，需满足EU测试标准，微塑料需符合法规</t>
  </si>
  <si>
    <t>Miya  Fang</t>
  </si>
  <si>
    <t>SMYK SP Z O.O.</t>
  </si>
  <si>
    <t>4500205388</t>
  </si>
  <si>
    <t>4500205388-50</t>
  </si>
  <si>
    <t>5/27-进口商贴纸</t>
  </si>
  <si>
    <t>日期码格式：ZURU INC(BVI) 标准格式 日期：按实际生产日期
Packaging Info: 77711GQ2：A 版 3L MA EAN 收缩膜+进口商贴纸+含客户款号的EAN条码贴纸；A 版 3L MA PDQ/C 版 5L MA 收藏指南
92107: B 版 3L MA EAN 收缩膜+进口商贴纸+baby EAN条码贴纸；B 版 5L MA 收藏指南
Remark: "1、若产品有比例使用ZURU STD 比例
2、所有item 均用MA EAN条码，若包装上的EAN 条码与PO 不一致的请告知
baby EAN:
"92107A：4894680037755
92107B：4894680037762
92107D：4894680037779
92107E：4894680037786</t>
  </si>
  <si>
    <t>DEMA VISION COMERCIAL SRL</t>
  </si>
  <si>
    <t>4500199742</t>
  </si>
  <si>
    <t>4500199742-10</t>
  </si>
  <si>
    <t>5/7-UPC贴纸+进口商贴纸</t>
  </si>
  <si>
    <t>日期码格式：ZURU INC(BVI) 标准格式                  日期：按实际生产日期
Packaging Info: 请确保包装上的条形码是UPC，如果是babyUPC，需要用mother UPC覆盖，如有不一致，请及时提出。谢谢!
 92107 MA EAN包装+UPC贴纸+MA 多语收藏指南+进口商贴纸+箱唛
 92108 MA EAN包装+UPC贴纸+MA 多语收藏指南+进口商贴纸+箱唛
Remark: 92107 4 ASSORTMENT RATIO (LADYBUG: GIRAFFE: BUTTERFLY:  ELEPHANT)=1:1:1:1
92108 3PCS AAA BATTERIES (NOT INCLUDED) 4 ASSORTMENTS (BUNNY: PUPPY: UNICORN: KITTEN)=1:1:1:1</t>
  </si>
  <si>
    <t>SMYK  SP  Z  O.O.</t>
  </si>
  <si>
    <t>4500207588</t>
  </si>
  <si>
    <t>4500207588-50</t>
  </si>
  <si>
    <t>进口商贴纸翻4500205388</t>
  </si>
  <si>
    <t>日期码格式：ZURU INC(BVI) 标准格式 日期：按实际生产日期 Tracking Code:
Packaging Info:  92107: B 版 3L MA EAN 收缩膜+进口商贴纸（翻4500205388）+baby EAN条码贴纸；B 版 5L MA 收藏指南（翻4500205388）
 Remark: 1、若产品有比例使用ZURU STD 比例
 2、所有item 均用MA EAN条码，若包装上的EAN 条码与PO 不一致的请告知
92107A：4894680037755
 92107B：4894680037762
 92107D：4894680037779
 92107E：4894680037786
3、此单出欧洲需满足EU测试标准要求，另外不能出闪粉（若产品本身不含闪粉则忽略这句话），电池产品（带电池/不带电池走货）需要添加WEEE通用说明书
 4、此单LC 货期不可延</t>
  </si>
  <si>
    <t>4500198079-60</t>
  </si>
  <si>
    <t>4500198067-60</t>
  </si>
  <si>
    <t>6/4-进口商贴纸 + 条码贴纸翻 + 3/31-QR code 贴纸</t>
  </si>
  <si>
    <t>4500207067</t>
  </si>
  <si>
    <t>70089438</t>
  </si>
  <si>
    <t>4500207067-70</t>
  </si>
  <si>
    <t>日期码格式：ZURU INC(BVI) 标准格式                  日期：按实际生产日期
Packaging Info: 1.  STD Items: ZURU MA UPC 现有包装+客供价格贴纸，优先使用MA 1L最新版本（可接受多语）,出口美国
Cus Item: #9579, #9564:   MA UPC 现有包装+PVC桶, 铜板纸+客供价格贴纸，优先使用MA 1L最新版本（可接受多语），出口美国。
Remark: #15714 Ratio —   b:d:e:g:m=2:2:2:2:4
#15733 去除K款，其余平均
#92107 Ratio —   蝴蝶D: 长颈鹿B：大象A= 1:1:2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</si>
  <si>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r>
      <rPr>
        <sz val="10"/>
        <color rgb="FF0000FF"/>
        <rFont val="宋体"/>
        <charset val="0"/>
      </rPr>
      <t>AMAZON</t>
    </r>
    <r>
      <rPr>
        <sz val="10"/>
        <color rgb="FF0000FF"/>
        <rFont val="宋体"/>
        <charset val="134"/>
      </rPr>
      <t xml:space="preserve">  CA  (VENDOR  CENTER)</t>
    </r>
  </si>
  <si>
    <t>4500209931</t>
  </si>
  <si>
    <t>37OPTORB</t>
  </si>
  <si>
    <t>4500209931-10</t>
  </si>
  <si>
    <t>UPC贴纸翻4500127793</t>
  </si>
  <si>
    <t>日期码格式：ZURU  INC(BVI)  标准格式                                    日期：按实际生产日期
Packaging Info: #92107  MA  3L  B版本+  UPC贴纸，UPC贴纸跟返单4500127793；A:193052066817,B:193052066824,  D:193052066831,  92107E:193052066848;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</si>
  <si>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r>
      <rPr>
        <sz val="10"/>
        <color rgb="FF0000FF"/>
        <rFont val="宋体"/>
        <charset val="0"/>
      </rPr>
      <t>Kelly</t>
    </r>
    <r>
      <rPr>
        <sz val="10"/>
        <color rgb="FF0000FF"/>
        <rFont val="宋体"/>
        <charset val="134"/>
      </rPr>
      <t xml:space="preserve">  Shen</t>
    </r>
  </si>
  <si>
    <t>6QC7PHVI</t>
  </si>
  <si>
    <t>4500209931-20</t>
  </si>
  <si>
    <t>6DDVHPVH</t>
  </si>
  <si>
    <t>4500209931-30</t>
  </si>
  <si>
    <t>5YPGUGDW</t>
  </si>
  <si>
    <t>4500209931-40</t>
  </si>
  <si>
    <t>89W1EYHR</t>
  </si>
  <si>
    <t>4500209931-50</t>
  </si>
  <si>
    <t>8IU2AQBL</t>
  </si>
  <si>
    <t>4500209931-60</t>
  </si>
  <si>
    <t>8OEC42VE</t>
  </si>
  <si>
    <t>4500209931-70</t>
  </si>
  <si>
    <t>34LQW1YD</t>
  </si>
  <si>
    <t>4500209931-80</t>
  </si>
  <si>
    <t>55VAXCUW</t>
  </si>
  <si>
    <t>4500209931-90</t>
  </si>
  <si>
    <t>1ZEENNZK</t>
  </si>
  <si>
    <t>4500209931-100</t>
  </si>
  <si>
    <t>8ME51UQP</t>
  </si>
  <si>
    <t>4500209931-110</t>
  </si>
  <si>
    <t>7INSVI2B</t>
  </si>
  <si>
    <t>4500209931-120</t>
  </si>
  <si>
    <t>2L5K7KHG</t>
  </si>
  <si>
    <t>4500209931-130</t>
  </si>
  <si>
    <t>5VMHWSKY</t>
  </si>
  <si>
    <t>4500209931-140</t>
  </si>
  <si>
    <t>1IFS3VTC</t>
  </si>
  <si>
    <t>4500209931-150</t>
  </si>
  <si>
    <t>1E4LTP3V</t>
  </si>
  <si>
    <t>4500209931-160</t>
  </si>
  <si>
    <t>1B73D5KX</t>
  </si>
  <si>
    <t>4500209931-170</t>
  </si>
  <si>
    <t>3DZZDOJA</t>
  </si>
  <si>
    <t>4500209931-180</t>
  </si>
  <si>
    <t>6AGD16DJ</t>
  </si>
  <si>
    <t>4500209931-190</t>
  </si>
  <si>
    <t>8MOW6N7S</t>
  </si>
  <si>
    <t>4500209931-200</t>
  </si>
  <si>
    <t>8WPOWUOV</t>
  </si>
  <si>
    <t>4500209931-210</t>
  </si>
  <si>
    <t>79V8GTIH</t>
  </si>
  <si>
    <t>4500209931-220</t>
  </si>
  <si>
    <r>
      <rPr>
        <sz val="10"/>
        <color rgb="FF0000FF"/>
        <rFont val="宋体"/>
        <charset val="0"/>
      </rPr>
      <t>BURLINGTON</t>
    </r>
    <r>
      <rPr>
        <sz val="10"/>
        <color rgb="FF0000FF"/>
        <rFont val="宋体"/>
        <charset val="134"/>
      </rPr>
      <t xml:space="preserve">  STORES,  INC.</t>
    </r>
  </si>
  <si>
    <t>4500209889-190</t>
  </si>
  <si>
    <t>6/23-价格贴纸+外箱贴纸</t>
  </si>
  <si>
    <t>日期码格式：ZURU  INC(BVI)  标准格式                                    日期：按实际生产日期
Packaging Info: 1.  ZURU  MA    （首选1L）UPC版本+客供价格贴+外箱贴纸（为方便进行装柜区分，请按照后续提供的外箱贴纸文档去粘贴外箱），出口美国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每份贴纸文档的数量对应的是装柜数量，一个ID对应一个柜子，外箱贴纸需要按照SHIPMENT  ID  (不会显示在贴纸上，在贴纸资料文档上命名上）去区分
,也就是同个item  line  但是SHIPMENT  ID  不一样不可以混在一起，贴纸和大货需要区分开，最后装柜会在不同的柜子里面。
5，每个产品有一个价格贴纸，     价格贴纸覆盖UPC条码上    （若UPC  条码太大，可以露出ITEM#,  覆盖条码即可），收到价格贴时就要确认所有款式的价格贴是否太大
会覆盖UPC  会挡住文字/图案，需用空白贴覆盖UPC，价格贴纸移到空白处。贴的时候要是会覆盖包装上重要的信息和图案，需要告知跟单。</t>
  </si>
  <si>
    <r>
      <rPr>
        <sz val="10"/>
        <color rgb="FF0000FF"/>
        <rFont val="宋体"/>
        <charset val="0"/>
      </rPr>
      <t>Jessi</t>
    </r>
    <r>
      <rPr>
        <sz val="10"/>
        <color rgb="FF0000FF"/>
        <rFont val="宋体"/>
        <charset val="134"/>
      </rPr>
      <t xml:space="preserve">  Xu</t>
    </r>
  </si>
  <si>
    <t>4500198921-20</t>
  </si>
  <si>
    <t>5/18-进口商贴纸+5/8-QR code</t>
  </si>
  <si>
    <t>日期码格式：ZURU INC(BVI) 标准格式 日期：按实际生产日期
Packaging Info: 15729G：MA UPC 彩盒+ 进口商贴纸+QR code (一物一码) ；
92105/92107B/D/E: 1L MA UPC 收缩膜+ 进口商贴纸+QR code (一物一码) ,MA 指南 ；
92105 消耗半成品呆滞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t>
  </si>
  <si>
    <t>4500198921-30</t>
  </si>
  <si>
    <t>4500198921-40</t>
  </si>
  <si>
    <t>4500198142-10</t>
  </si>
  <si>
    <t>进口商贴纸 + EAN条码贴纸翻4500198067+3/31-QR code 贴纸</t>
  </si>
  <si>
    <t>日期码格式：外包装/外箱不要打ZURU标准日期 日期：
Packaging Info: 92107/92108的进口商贴纸/EAN条码贴纸翻单4500198067 ；
92107/92108：1L MAUPC 收缩膜+ 进口商贴纸+ EAN条码贴纸+QR code 贴纸 （一物一码）,MA PDQ/说明书/指南（如有）；
Remark: 客户DM订单注意事项:
1. 标准配比
2. 请按期完货， 会有罚金。
3. 出2 个仓库-Bekasovo 2 &lt;(&gt;&amp;&lt;)&gt; Ural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</si>
  <si>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t>4500198142-50</t>
  </si>
  <si>
    <t>4500202901-290</t>
  </si>
  <si>
    <t>进口商贴纸翻4500177857</t>
  </si>
  <si>
    <t>价标贴纸翻4500177857</t>
  </si>
  <si>
    <t>日期码格式：ZURU INC(BVI) 标准格式 日期：按实际生产日期
Packaging Info: 
92107：MA多语包装+进口商贴纸+价标贴纸，进口商贴纸翻单4500177857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3.如后续进口商贴纸和UPC贴纸合并为一张，请忽略UPC的需求，包装上的条码必须是UPC。</t>
  </si>
  <si>
    <t>4500209002</t>
  </si>
  <si>
    <t>order 5602Bekasovo 2</t>
  </si>
  <si>
    <t>4500209002-10</t>
  </si>
  <si>
    <t>6/30-进口商贴纸+ 客户EAN 条码贴纸+6/11-QR code 贴纸</t>
  </si>
  <si>
    <t>日期码格式：外包装/外箱不要打ZURU标准日期 日期：按实际生产日期
Packaging Info: 注意: fuggler 包装需要显示4+
1. 外包装(指:收缩膜/彩卡/铝箔袋/挂卡/PDQ)/外箱不要打ZURU标准日期码!胶件可以打日期码
2 .外箱四面左下角需要加SSCC label （标准尺寸是16X5CM,可调整但是需要确保可扫）；
92107 ： 1L MA UPC 包装 + 进口商贴纸+ 客户EAN 条码贴纸+QR code 贴纸 （一物一码）， MA 说明书/指南（如有）;
Remark: 客户DM订单注意事项:
1. 标准配比
2. 请按期完货， 会有罚金。
3. 出仓库--Bekasovo 2 .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</si>
  <si>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t>4500209106</t>
  </si>
  <si>
    <t>order 5602Ural</t>
  </si>
  <si>
    <t>4500209106-10</t>
  </si>
  <si>
    <t>日期码格式：外包装/外箱不要打ZURU标准日期 日期：
Packaging Info: 注意: 此单进口商贴纸，EAN条码贴纸翻4500209002 ；fuggler 包装需要显示4+ 。
1. 外包装(指:收缩膜/彩卡/铝箔袋/挂卡/PDQ)/外箱不要打ZURU标准日期码!胶件可以打日期码
2 .外箱四面左下角需要加SSCC label （标准尺寸是16X5CM,可调整但是需要确保可扫）；
92107 ： 1L MA UPC 包装 + 进口商贴纸+ 客户EAN 条码贴纸+QR code 贴纸 （一物一码）， MA 说明书/指南（如有）;
Remark: 客户DM订单注意事项:
1. 标准配比
2. 请按期完货， 会有罚金。
3. 出仓库--Ural .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</si>
  <si>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t>4500212375-110</t>
  </si>
  <si>
    <t xml:space="preserve">日期码格式：ZURU INC(BVI) 标准格式                  日期：按实际生产日期
Packaging Info：
92107: MA 1L UPC 包装+进口商贴纸+箱唛
</t>
  </si>
  <si>
    <t>4500212151-130</t>
  </si>
  <si>
    <t>欠UPC贴纸</t>
  </si>
  <si>
    <t>日期码格式：ZURU  INC(BVI)  标准格式                                    日期：按实际生产日期
Packaging Info: 15760UQ1/15754/92107/9548/9283/92125/92106  MA  多语UPC包装+UPC贴纸+箱唛，无客户贴纸（包装上的条码必须是UPC）
Remark：</t>
  </si>
  <si>
    <t>Ava  Liang</t>
  </si>
  <si>
    <t>LULU  SRL</t>
  </si>
  <si>
    <t>4500209304</t>
  </si>
  <si>
    <t>4500209304-10</t>
  </si>
  <si>
    <t>5/29-客户通用贴纸</t>
  </si>
  <si>
    <t>日期码格式：ZURU  INC(BVI)  标准格式                                    日期：按实际生产日期
Packaging Info: 92107/9298/92104/9283/92119/921472026/5/26:MA  UPC  包装+客户通用贴纸，MA  收藏指南/说明书（如有）
Remark: 客户LULU订单注意事项:
  1.  标准配比
  2.    产品如含有化学品（slime  等），需要低硼不含闪粉；
  3.  需要通过ZURU  验货结果后才能出货  (工厂需要主动提前同ZURU  QC预约验货避免延期出货造成不必要麻烦)；
  4.  客户通用贴纸贴在包装空白处即可，切记最好不要遮住警语以及品牌，如不太确定可发跟单确认贴纸位置图；</t>
  </si>
  <si>
    <t>4500213545</t>
  </si>
  <si>
    <t>3301471401</t>
  </si>
  <si>
    <t>4500213545-10</t>
  </si>
  <si>
    <t>摇篮公仔-干燥剂</t>
  </si>
  <si>
    <t>PC条码贴纸+进口商贴纸翻4500179449</t>
  </si>
  <si>
    <t>日期码格式：LOTDGYYYYMMDD 日期：按实际生产日期
Packaging Info: 92107: MA 3L EAN包装+UPC条码贴纸+MA 5L 收藏指南+进口商贴纸+箱唛，所有贴纸翻单PO4500179449
Remark: "1. 客版日期码要求：LOT+ZURU标准日期码格式。东莞生产的格式：LOTDGYYYYMMDD, DG是东莞拼音首字母，YYYYMMDD是实际的年月日，例如(LOTDG20240920)
2. 此单有第三方监柜，至少多备一套完整的物料用于监柜，请多备料。
3. WM墨西哥防霉的新要求:货物必须在出货主箱和集装箱中按要求放置干燥剂，干燥剂指定品牌干霸SUPERDRY
92107：每箱需放置14包干燥剂，每包重2-3g
4. 92107： 4 Assortment Ratio (Ladybug: Giraffe: Butterfly: Elephant)=1:1:1:1
如走柜货等loading plan 确认后再通知集装箱干燥剂数量"</t>
  </si>
  <si>
    <t>4500209134</t>
  </si>
  <si>
    <t>4500209134-10</t>
  </si>
  <si>
    <t>进口商贴纸翻4500209002+ 6/30-客户EAN 条码贴纸+6/11-QR code 贴纸</t>
  </si>
  <si>
    <r>
      <rPr>
        <sz val="10"/>
        <color rgb="FF000000"/>
        <rFont val="宋体"/>
        <charset val="134"/>
      </rPr>
      <t>日期码格式：外包装/外箱不要打ZURU标准日期 日期：
Packaging Info: 注注意: 此单进口商贴纸，EAN条码贴纸翻4500209002 ；</t>
    </r>
    <r>
      <rPr>
        <sz val="10"/>
        <color rgb="FFFF0000"/>
        <rFont val="宋体"/>
        <charset val="134"/>
      </rPr>
      <t xml:space="preserve">fuggler 包装需要显示4+ </t>
    </r>
    <r>
      <rPr>
        <sz val="10"/>
        <color rgb="FF000000"/>
        <rFont val="宋体"/>
        <charset val="134"/>
      </rPr>
      <t>。
1. 外包装(指:收缩膜/彩卡/铝箔袋/挂卡/PDQ)/外箱不要打ZURU标准日期码!胶件可以打日期码
2 .外箱四面</t>
    </r>
    <r>
      <rPr>
        <sz val="10"/>
        <color rgb="FFFF0000"/>
        <rFont val="宋体"/>
        <charset val="134"/>
      </rPr>
      <t>左下角</t>
    </r>
    <r>
      <rPr>
        <sz val="10"/>
        <color rgb="FF000000"/>
        <rFont val="宋体"/>
        <charset val="134"/>
      </rPr>
      <t xml:space="preserve">需要加SSCC label （标准尺寸是16X5CM,可调整但是需要确保可扫）；
</t>
    </r>
    <r>
      <rPr>
        <sz val="10"/>
        <color rgb="FFFF0000"/>
        <rFont val="宋体"/>
        <charset val="134"/>
      </rPr>
      <t>92107 ： 1L MA UPC 包装 + 进口商贴纸+ 客户EAN 条码贴纸+QR code 贴纸 （一物一码）， MA 说明书/指南（如有）;</t>
    </r>
    <r>
      <rPr>
        <sz val="10"/>
        <color rgb="FF000000"/>
        <rFont val="宋体"/>
        <charset val="134"/>
      </rPr>
      <t xml:space="preserve">
Remark: 客户DM订单注意事项:
1. 标准配比
2. 请按期完货， 会有罚金。
3. 出仓库--BEKASOVO 2 .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r>
  </si>
  <si>
    <t>4500209142</t>
  </si>
  <si>
    <t>4500209142-10</t>
  </si>
  <si>
    <r>
      <rPr>
        <sz val="10"/>
        <color rgb="FF000000"/>
        <rFont val="宋体"/>
        <charset val="134"/>
      </rPr>
      <t>日期码格式：外包装/外箱不要打ZURU标准日期 日期：
Packaging Info: 注意: 此单进口商贴纸，EAN条码贴纸翻4500209002 ；</t>
    </r>
    <r>
      <rPr>
        <sz val="10"/>
        <color rgb="FFFF0000"/>
        <rFont val="宋体"/>
        <charset val="134"/>
      </rPr>
      <t>fuggler 包装需要显示4+ 。</t>
    </r>
    <r>
      <rPr>
        <sz val="10"/>
        <color rgb="FF000000"/>
        <rFont val="宋体"/>
        <charset val="134"/>
      </rPr>
      <t xml:space="preserve">
1. 外包装(指:收缩膜/彩卡/铝箔袋/挂卡/PDQ)/外箱不要打ZURU标准日期码!胶件可以打日期码
2 .外箱四面</t>
    </r>
    <r>
      <rPr>
        <sz val="10"/>
        <color rgb="FFFF0000"/>
        <rFont val="宋体"/>
        <charset val="134"/>
      </rPr>
      <t>左下角</t>
    </r>
    <r>
      <rPr>
        <sz val="10"/>
        <color rgb="FF000000"/>
        <rFont val="宋体"/>
        <charset val="134"/>
      </rPr>
      <t xml:space="preserve">需要加SSCC label （标准尺寸是16X5CM,可调整但是需要确保可扫）；
</t>
    </r>
    <r>
      <rPr>
        <sz val="10"/>
        <color rgb="FFFF0000"/>
        <rFont val="宋体"/>
        <charset val="134"/>
      </rPr>
      <t>92107 ： 1L MA UPC 包装 + 进口商贴纸+ 客户EAN 条码贴纸+QR code 贴纸 （一物一码）， MA 说明书/指南（如有）;</t>
    </r>
    <r>
      <rPr>
        <sz val="10"/>
        <color rgb="FF000000"/>
        <rFont val="宋体"/>
        <charset val="134"/>
      </rPr>
      <t xml:space="preserve">
Remark: 客户DM订单注意事项:
1. 标准配比
2. 请按期完货， 会有罚金。
3. 出仓库--Ural .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r>
  </si>
  <si>
    <t>Warehouse 1</t>
  </si>
  <si>
    <t>4500216583-280</t>
  </si>
  <si>
    <t>7/31-UPC贴纸</t>
  </si>
  <si>
    <t>日期码格式：ZURU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92107  MA EAN包装+UPC贴纸+MA 多语收藏指南+箱唛
Remark: 
Common: Equal ratio"
92107  4 ASSORTMENT RATIO (LADYBUG: GIRAFFE: BUTTERFLY:  ELEPHANT)=1:1:1:1</t>
  </si>
  <si>
    <t>PO1163639-USZCFS</t>
  </si>
  <si>
    <t>4500217241-10</t>
  </si>
  <si>
    <t>日期码格式：ZURU  INC(BVI) 标准格式                                    日期：按实际生产日期
Packaging Info: 92107: SLOB, 英文MA包装(UPC版本，首选1L，无1L可用多L含英语)
Remark: 此单出澳大利亚，请按澳洲标准生产并满足当地法规要求;  如产品含纽扣电池出货,  包装前面和说明书上需加纽扣电池警语贴纸；</t>
  </si>
  <si>
    <r>
      <rPr>
        <sz val="10"/>
        <color rgb="FF000000"/>
        <rFont val="宋体"/>
        <charset val="0"/>
      </rPr>
      <t>Christine</t>
    </r>
    <r>
      <rPr>
        <sz val="10"/>
        <color rgb="FF000000"/>
        <rFont val="宋体"/>
        <charset val="134"/>
      </rPr>
      <t xml:space="preserve">  Liao</t>
    </r>
  </si>
  <si>
    <t>4500211444</t>
  </si>
  <si>
    <t>70089440</t>
  </si>
  <si>
    <t>4500211444-20</t>
  </si>
  <si>
    <r>
      <rPr>
        <sz val="10"/>
        <rFont val="宋体"/>
        <charset val="134"/>
      </rPr>
      <t>日期码格式：ZURU INC(BVI) 标准格式</t>
    </r>
    <r>
      <rPr>
        <sz val="10"/>
        <color rgb="FF000000"/>
        <rFont val="宋体"/>
        <charset val="134"/>
      </rPr>
      <t xml:space="preserve">                  日期：按实际生产日期
Packaging Info: 1.ZURU MA UPC 最新版本包装 + 客供价格贴纸，出口美国 , 优先1L，可接受多语 。
Remark: #92107 比例   蝴蝶D: 长颈鹿B：大象A= 1:1:2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
6.所有产品和包装须符合华盛顿州及俄勒冈州 CHCC/ HPCCCH测试要求。</t>
    </r>
  </si>
  <si>
    <t>4500211833</t>
  </si>
  <si>
    <t>1906228</t>
  </si>
  <si>
    <t>4500211833-110</t>
  </si>
  <si>
    <r>
      <rPr>
        <sz val="10"/>
        <rFont val="宋体"/>
        <charset val="134"/>
      </rPr>
      <t>日期码格式：ZURU INC(BVI) 标准格式</t>
    </r>
    <r>
      <rPr>
        <sz val="10"/>
        <color rgb="FF000000"/>
        <rFont val="宋体"/>
        <charset val="134"/>
      </rPr>
      <t xml:space="preserve">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r>
  </si>
  <si>
    <t>1906202</t>
  </si>
  <si>
    <t>4500211833-130</t>
  </si>
  <si>
    <t>1906227</t>
  </si>
  <si>
    <t>4500211833-160</t>
  </si>
  <si>
    <t>TJX  CANADA</t>
  </si>
  <si>
    <t>4500218248-10</t>
  </si>
  <si>
    <t>7/30-UPC贴纸</t>
  </si>
  <si>
    <t>日期码格式：     标准格式                                    日期：按实际生产日期
Packaging Info: 92107  无硼版本    清SLOB呆滞库存  MA  多语EAN+UPC贴纸193052064738
Remark: 出加拿大
每行对应不同的客户PO，唛头要一一对应，     放唛头时跟单会提供清单
Zuru验货. 日期跟踪码：产品外包装及产品本身都必须有日期跟踪码，ZURU标准格式
日期码</t>
  </si>
  <si>
    <t>Katrina</t>
  </si>
  <si>
    <t>4500218248-20</t>
  </si>
  <si>
    <t>4500218248-30</t>
  </si>
  <si>
    <t>4500218248-40</t>
  </si>
  <si>
    <t>4500218039-60</t>
  </si>
  <si>
    <t>日期码格式：ZURU  INC(BVI)  标准格式                                    日期：按实际生产日期
Remark: 1.  包装方式：MA  UPC  优先1L  最新包装，出口美国
   2.  产品和包装上印刷tracking  code信息，格式为ZURU常规;
   3.  ZURU  QC验货即可出货。</t>
  </si>
  <si>
    <r>
      <rPr>
        <sz val="10"/>
        <color rgb="FF000000"/>
        <rFont val="宋体"/>
        <charset val="0"/>
      </rPr>
      <t>Echo</t>
    </r>
    <r>
      <rPr>
        <sz val="10"/>
        <color rgb="FF000000"/>
        <rFont val="等线"/>
        <charset val="134"/>
      </rPr>
      <t xml:space="preserve">  Zhang</t>
    </r>
  </si>
  <si>
    <r>
      <rPr>
        <sz val="10"/>
        <color rgb="FF000000"/>
        <rFont val="宋体"/>
        <charset val="0"/>
      </rPr>
      <t>DINO</t>
    </r>
    <r>
      <rPr>
        <sz val="11"/>
        <color rgb="FF000000"/>
        <rFont val="宋体"/>
        <charset val="134"/>
      </rPr>
      <t xml:space="preserve">  </t>
    </r>
    <r>
      <rPr>
        <sz val="11"/>
        <color rgb="FF000000"/>
        <rFont val="宋体"/>
        <charset val="134"/>
      </rPr>
      <t>LLC</t>
    </r>
  </si>
  <si>
    <t>4500219465</t>
  </si>
  <si>
    <t>4500219465-20</t>
  </si>
  <si>
    <t>欠进口商贴纸</t>
  </si>
  <si>
    <t>日期码格式：ZURU  INC(BVI)  标准格式                                    日期：按实际生产日期
Packaging Info: MA  UPC包装+进口商贴纸，    MA  PDQ/说明书（如有）
Remark: 标准配比</t>
  </si>
  <si>
    <r>
      <rPr>
        <sz val="10"/>
        <color rgb="FF000000"/>
        <rFont val="宋体"/>
        <charset val="0"/>
      </rPr>
      <t>Niki</t>
    </r>
    <r>
      <rPr>
        <sz val="11"/>
        <color rgb="FF000000"/>
        <rFont val="宋体"/>
        <charset val="134"/>
      </rPr>
      <t xml:space="preserve">  </t>
    </r>
    <r>
      <rPr>
        <sz val="11"/>
        <color rgb="FF000000"/>
        <rFont val="宋体"/>
        <charset val="134"/>
      </rPr>
      <t>Chen</t>
    </r>
  </si>
  <si>
    <t>4500213467</t>
  </si>
  <si>
    <t>4500213467-10</t>
  </si>
  <si>
    <t>日期码格式：ZURU INC(BVI) 标准格式                  日期：按实际生产日期
Packaging Info: 最新MA UPC包装+进口商贴纸+QR 贴纸（一物一码）
独立款必须用独立款的条码，不可以用混装的条码,条码以订单显示为准
Remark: 1.包装：MA UPC包装+进口商贴纸+QR 贴纸
 2. 条码以订单显示为准 ，请安排生产前先核对 ，有问题请提出。
 3.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4. 二维码贴纸位置要远离包装上的条码及其他二维码，  贴在背面。
 5. QR code贴纸（要求一物一码，每PCS的二维码不一样）;
 6. QR code 格式 ：DATA MATRIX GS1 ；
 7. 若多个柜子，BY TRAIN 要求带电池/不带电池不同柜；装柜时同一款必须放在同一个柜子里。
 8. 整张单走EXW。</t>
  </si>
  <si>
    <t>4500213467-20</t>
  </si>
  <si>
    <t>4500214894-20</t>
  </si>
  <si>
    <t>日期码格式：ZURU  INC(BVI) 标准格式                                    日期：按实际生产日期
Packaging Info: 1.ZURU MA UPC 最新版本包装  + 客供价格贴纸，出口美国  , 优先1L，可接受多语  。
Remark: #92107    比例：蝴蝶D: 长颈鹿B：大象A=  1:1:2
  2 .价格贴纸位于包装正面右下角，不挡住重要信息即可，可适当调整，价格贴纸由跟单提供。
  3 .标准日期码格式，产品和包装必须有日期码  。
  4 .同个产品同个货期不可出现不同的包装。
5. 跟单提供ROSS/DD's 箱唛模版和资料，工厂根据实际外箱尺寸，重量排版箱唛来确认。
  6.所有产品和包装须符合华盛顿州及俄勒冈州  CHCC/ HPCCCH测试要求。</t>
  </si>
  <si>
    <t>待生产</t>
  </si>
  <si>
    <t>；</t>
  </si>
  <si>
    <t>ZURU  Babycorns  Surprise  - S1生产排期表 #92108</t>
  </si>
  <si>
    <t>不带电出货</t>
  </si>
  <si>
    <t>ICMA剩余</t>
  </si>
  <si>
    <t>兔子（机芯款）</t>
  </si>
  <si>
    <t>兔子（小公仔）</t>
  </si>
  <si>
    <t>独角兽（机芯款）</t>
  </si>
  <si>
    <t>独角兽（小公仔）</t>
  </si>
  <si>
    <t>小猫（机芯款）</t>
  </si>
  <si>
    <t>美国猫（小公仔）</t>
  </si>
  <si>
    <t>斑点狗（机芯款）</t>
  </si>
  <si>
    <t>斑点狗（小公仔）</t>
  </si>
  <si>
    <t>92108F</t>
  </si>
  <si>
    <t>IC</t>
  </si>
  <si>
    <r>
      <rPr>
        <sz val="10"/>
        <rFont val="宋体"/>
        <charset val="134"/>
        <scheme val="minor"/>
      </rPr>
      <t>总</t>
    </r>
    <r>
      <rPr>
        <sz val="10"/>
        <rFont val="宋体"/>
        <charset val="0"/>
        <scheme val="minor"/>
      </rPr>
      <t>MA</t>
    </r>
  </si>
  <si>
    <t>134696中东客
客版</t>
  </si>
  <si>
    <t>bunny兔子A</t>
  </si>
  <si>
    <t>unicorn独角兽D</t>
  </si>
  <si>
    <t xml:space="preserve"> kitten小猫E</t>
  </si>
  <si>
    <t>puppy斑点狗B</t>
  </si>
  <si>
    <t>bunny兔子</t>
  </si>
  <si>
    <t>unicorn独角兽</t>
  </si>
  <si>
    <t xml:space="preserve"> kitten小猫</t>
  </si>
  <si>
    <t>puppy斑点狗</t>
  </si>
  <si>
    <t>展示架-3L</t>
  </si>
  <si>
    <t>bunny
兔子
A</t>
  </si>
  <si>
    <t xml:space="preserve"> unicorn
独角兽
D</t>
  </si>
  <si>
    <t xml:space="preserve"> kitten
小猫
E</t>
  </si>
  <si>
    <t>puppy
斑点狗
B</t>
  </si>
  <si>
    <t>公仔合计</t>
  </si>
  <si>
    <t>ZPO2312006</t>
  </si>
  <si>
    <t>92108-S001</t>
  </si>
  <si>
    <t>1.OA Testing Samples (BULK)：数量 8；地址 深圳市罗湖区东门南路106号口岸大楼17B ，Angus  2 CTN
2.QA Testing samples (FSDU)：数量 24；地址 深圳市罗湖区东门南路106号口岸大楼17B ，Angus  1FSDU
3.Signed Sample (6套签+1套用于拆办)：数量 28；地址 深圳市罗湖区东门南路1006号口岸大楼A栋3楼，Jessy Zhang 13421384408 ，7套*4款=28
4.Show room：数量 28；地址 清溪镇光朗村易京街25号《库有样板房) 收件人:李志强电话: 18328402533 ，7套  注：开PP时候帮忙额外准备3套散件邮寄到深圳办公室
5.Sample room samples：数量 292；地址 清溪镇光朗村易京街25号《库有样板房) 收件人:李志强电话: 18328402533 ，73套  注：开PP时候帮忙额外准备3套散件邮寄到深圳办公室
6.散件：数量 12；地址 深圳市罗湖区东门南路1006号口岸大楼A栋16楼，Max Mlai 13632761211  2 CTN  3套散件（除蛋壳外的所有内含物），每套单独装好
合计数量392；PP订单数量合计 500PCS  注:PP PO数量含buffer，请按PP PO数量准备物料  PP 数量包括了:QA 测试办、签样办、板房展厅样板</t>
  </si>
  <si>
    <t>ZMPO24254</t>
  </si>
  <si>
    <t>92108E-S003</t>
  </si>
  <si>
    <t>小猫 邮包盒装</t>
  </si>
  <si>
    <t>大货版本-UPC 193052067111</t>
  </si>
  <si>
    <t>ZMPO24638</t>
  </si>
  <si>
    <t>PAss</t>
  </si>
  <si>
    <t>大货最新版本/款号平均/麻烦按款号装箱/并在外箱上注明款款号/请用大货标准箱装箱/箱唛请参照邮件附件;备注： 收到样品订单后尽快安排 ，注意样板品质质量要求要高于大货品质要求 ，送货时必须要附带送货单(没有送货单和QC检验合格报告的仓库一律拒绝收货)，请知悉，谢谢！</t>
  </si>
  <si>
    <t>4500146212-10</t>
  </si>
  <si>
    <t>92108-S002-NB</t>
  </si>
  <si>
    <t>日期码格式：ZURU INC(BVI) 标准格式 日期：按实际生产日期
Packaging Info: #92108: MA3L收缩膜+UPC条码贴纸(UPC: 193052064721)+MA5L收藏指南+MA5L资料卡+MA5L胶袋+MA配件袋+MA2L布标
-产品配比: 4 Assortments (bunny: puppy: unicorn: kitten)=1:1:1:1
Remark: 1. #92108 须使用无硼slime;
3. 此单有箱唛；
4. 此单有第三方验货，烦请多备包装物料；
5. 此单#92108/92107/92105/9296/9554/15714 需签办；签办数量：大货样各3套;
6. 此单#92108/92107/92105/9296/9554 需于2024/11/25 抽办做测试；抽办数量：大货各5套;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</si>
  <si>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92108-S002-NB-3L</t>
  </si>
  <si>
    <t>4500150264-20</t>
  </si>
  <si>
    <t>11/26-进口商贴纸+ EAN条码贴纸</t>
  </si>
  <si>
    <t>日期码格式：外包装/外箱不要打ZURU标准日期码 日期：
Packaging Info: 注意 ：外包装 (指: 收缩膜/彩卡/铝箔袋/挂卡/PDQ) /外箱不要打ZURU标准日期码！胶件可以打日期码 .
92108 ： 1L MA 收缩膜+ 进口商贴纸+ EAN条码贴纸， MA 说明书or 指南（如有） ：
Remark: 标准配比 ；
请按期完货， 会有罚金。
出港口Bekasovo 2.</t>
  </si>
  <si>
    <t>94035-1.15</t>
  </si>
  <si>
    <t>4500150187-50</t>
  </si>
  <si>
    <t xml:space="preserve"> 383017704</t>
  </si>
  <si>
    <t>12/13-客供价格贴纸+12/11-外箱贴纸</t>
  </si>
  <si>
    <t>4357</t>
  </si>
  <si>
    <t>4500151635-30</t>
  </si>
  <si>
    <t>11/27-价格贴+外箱需要UCC贴纸</t>
  </si>
  <si>
    <t>日期码格式：ZURU INC(BVI) 标准格式 日期：按实际生产日期
Packaging Info: 1. 出口美国，MA UPC 版本包装，优先1L。
#92108: PRICER TICK-32.99; 4 Assortments (bunny: puppy: unicorn: kitten)=1:1:1:1; 3pcs AAA batteries (not included);
2. 产品需要价格贴纸， 贴纸资料后面提供。
3. 外箱需要UCC贴纸。贴纸资料后面提供。
Remark: 4. Zuru QC 验货即可。</t>
  </si>
  <si>
    <t>9650903902</t>
  </si>
  <si>
    <t>4500147521-10</t>
  </si>
  <si>
    <t>日期码格式：ZURU INC(BVI) 标准格式 日期：按实际生产日期
Packaging Info: #92108: MA3L收缩膜+UPC条码贴纸(UPC: 193052064721)+MA5L收藏指南+MA5L资料卡+MA5L胶袋+MA配件袋+MA2L布标
-产品配比: 4 Assortments (bunny: puppy: unicorn: kitten)=1:1:1:1
-翻单： 4500146212
Remark: 1. #92108/92107/9296 须使用无硼slime;
2. 此单有箱唛；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</si>
  <si>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9650903903</t>
  </si>
  <si>
    <t>4500147521-60</t>
  </si>
  <si>
    <t>Remark：跟订单4500146212一起安排/MA3L收缩膜+UPC条码贴纸(UPC: 193052064721)+MA5L收藏指南+MA5L资料卡+MA5L胶袋+MA配件袋+MA2L布标             备注： 收到样品订单后尽快安排 ，注意样板品质质量要求要高于大货品质要求 ，送货时必须要附带送货单(没有送货单和QC检验合格报告的仓库一律拒绝收货)，请知悉，谢谢！</t>
  </si>
  <si>
    <t>4500151779-90</t>
  </si>
  <si>
    <t>日期码格式：ZURU INC(BVI) 标准格式 日期：按实际生产日期 
Packaging Info: 1.ZURU 标准日期码格式，
 2.无第三方测试和验货，ZURU 内部QC验货即可出货
Remark: 3. 优先 MA 1L UPC包装;
 4. 纸箱印ZURU LOGO，出口美国；</t>
  </si>
  <si>
    <t>COOLSHOP(ENTERTAINMENT TRADINGS APS</t>
  </si>
  <si>
    <t xml:space="preserve"> 257441</t>
  </si>
  <si>
    <t>4500151829-40</t>
  </si>
  <si>
    <t>92108-S001-NB</t>
  </si>
  <si>
    <t>贴纸和位置图/电池说明书/slime说明书都翻4500129340</t>
  </si>
  <si>
    <t>日期码格式：ZURU INC(BVI) 标准格式 日期：按实际生产日期
Packaging Info: 
4. 92108: MA 3L EAN 包装+MA 收藏指南+AAA电池黑白说明书+黑白slime警语说明书(和slime袋子放一起)+进口商警语贴纸
--贴纸和位置图/电池说明书/slime说明书都翻PO#4500129340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92108:4 Assortments (bunny: puppy: unicorn: kitten)=1:1:1:1
8.SKU-客户款号-条码
92108-1254086-4894680033597</t>
  </si>
  <si>
    <t>88933-1.8</t>
  </si>
  <si>
    <t>92108-S001-NB-3L</t>
  </si>
  <si>
    <t>4500151230-40</t>
  </si>
  <si>
    <t>92118-S001</t>
  </si>
  <si>
    <t>日期码格式：ZURU INC(BVI) 标准格式 日期：按实际生产日期
Packaging Info:
92118：客版收缩膜翻4500134696（改彩虹颜色，不含slime和希伯来警告语，需含阿拉伯警告语，印G mark+TTC panel 信息，客版指南翻4500134696（改彩
虹颜色，不含slime和希伯来警告语）;；客版收缩膜上的二维码微信可扫, 扫描结果38711. 客版沙子PE POLYBAG 含阿拉伯警语翻4500134696
Remark:
92118:#92108 Smart Sandy replaces slime
4 Assortments (bunny: puppy: unicorn: kitten)=1:1:1:1
3pcs AAA batteries (not included)</t>
  </si>
  <si>
    <t>4500153567-50</t>
  </si>
  <si>
    <t>日期码格式：ZURU INC(BVI) 标准格式 日期：按实际生产日期
Packaging Info:
92108：1L MA 最新收缩膜+进口商贴纸, MA 指南
Remark: 标准配比</t>
  </si>
  <si>
    <t>4500153513-60</t>
  </si>
  <si>
    <t>日期码格式：ZURU INC(BVI) 标准格式 日期：按实际生产日期
Packaging Info: 
92108:3L MA EAN 收缩膜+进口商贴纸;MA指南
Remark: 标准产品标准配比</t>
  </si>
  <si>
    <t>94060-1.16</t>
  </si>
  <si>
    <t>92108-S001-3L</t>
  </si>
  <si>
    <t>4500150480-20</t>
  </si>
  <si>
    <t>Remark：大货最新版本/款号平均/麻烦按款号装箱/并在外箱上注明款款号/请用大货标准箱装箱/箱唛请参照邮件附件                                     备注： 收到样品订单后尽快安排 ，注意样板品质质量要求要高于大货品质要求 ，送货时必须要附带送货单(没有送货单和QC检验合格报告的仓库一律拒绝收货)，请知悉，谢谢！</t>
  </si>
  <si>
    <t>4500150271-20</t>
  </si>
  <si>
    <t>进口商贴纸翻4500150264+ EAN条码贴纸翻4500150264</t>
  </si>
  <si>
    <t>日期码格式：外包装/外箱不要打ZURU标准日期码 日期：
Packaging Info: 注意 ：外包装 (指: 收缩膜/彩卡/铝箔袋/挂卡/PDQ) /外箱不要打ZURU标准日期码！胶件可以打日期码 .
92108 ： 1L MA 收缩膜+ 进口商贴纸翻4500150264+ EAN条码贴纸翻4500150264， MA 说明书or 指南（如有） ：
Remark: 标准配比 ；
请按期完货， 会有罚金。
出港口Bekasovo 2.</t>
  </si>
  <si>
    <t>94369-2.27</t>
  </si>
  <si>
    <t>4500154694-20</t>
  </si>
  <si>
    <t>4500154192-50</t>
  </si>
  <si>
    <t>日期码格式：ZURU INC(BVI) 标准格式 日期：按实际生产日期
Packaging Info: 
 92108：B 版 1L MA 收缩膜+进口商贴纸；B 版 5L MA 收藏指南
Remark: 1、若产品有比例使用ZURU STD 比例
 2、所有item 均用MA UPC 条码，若包装不是UPC 条码的请告知
 3、此单出欧洲需满足EU测试标准要求，另外不能出闪粉（若产品本身不含闪粉则忽略这句话）</t>
  </si>
  <si>
    <t>9650903904</t>
  </si>
  <si>
    <t>4500147525-10</t>
  </si>
  <si>
    <t>3/7-第三方验货（自检）</t>
  </si>
  <si>
    <t>日期码格式：ZURU INC(BVI) 标准格式 日期：按实际生产日期
Packaging Info: #92108: MA3L收缩膜+UPC条码贴纸(UPC: 193052064721)+MA5L收藏指南+MA5L资料卡+MA5L胶袋+MA配件袋+MA2L布标
-产品配比: 4 Assortments (bunny: puppy: unicorn: kitten)=1:1:1:1
-翻单： 4500146212
Remark: 1. #92108/92107/9296 须使用无硼slime;
2. 此单有箱唛；
4.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</si>
  <si>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 xml:space="preserve">新西兰         </t>
  </si>
  <si>
    <t>28662059</t>
  </si>
  <si>
    <t>4500153609-20</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</si>
  <si>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92108: 4 Assortments (bunny: puppy: unicorn: kitten)=1:1:1:1; 3pcs AAA batteries (not included)</t>
  </si>
  <si>
    <t>28659771</t>
  </si>
  <si>
    <t>4500153723-20</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</si>
  <si>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92108: 4 Assortments (bunny: puppy: unicorn: kitten)=1:1:1:1; 3pcs AAA batteries (not included)</t>
  </si>
  <si>
    <t>4500156433-20</t>
  </si>
  <si>
    <t>日期码格式：ZURU INC(BVI) 标准格式 日期：按实际生产日期 
Packaging Info: 此单出韩国，92108 需出新版口水胶（无硼版，无MIT）
92108:MA 1L PKG+2张韩语贴纸(正面一张韩语logo 贴纸，背面一张韩语警语贴纸（新稿）+客版韩语收藏指南翻单4500141184 ， 箱唛翻单4500141184
请确保大货包装的生产年月 信息跟到到贴纸上的一致。确保生产年份"2025" 月份"03"
Remark: 由于韩国法律法规要求，吸塑需PET材质，产品需符合韩国KC测试标准。
92108 需出新版口水胶（无硼版，无MIT）</t>
  </si>
  <si>
    <t>92108-S001-NB-1</t>
  </si>
  <si>
    <t>7631985</t>
  </si>
  <si>
    <t>4500156115-50</t>
  </si>
  <si>
    <t>92108D-S003</t>
  </si>
  <si>
    <t>独角兽 邮包盒装</t>
  </si>
  <si>
    <t>2/8-贴纸1张(含NL警告
 语+EAN#条码贴纸</t>
  </si>
  <si>
    <t>日期码格式：ZURU INC(BVI) 标准格式 日期：按实际生产日期 
Packaging Info: BOL NL(92108ABDE)
5. 92108ABDE
 ---92108D:1 PCS/MAIL BOX, 2PCS/2MAIL BOX/CTN&lt;(&gt;,&lt;)&gt;unicorn, Non-glitter;magnet,3pcs AAA batteries (not included); MA 3L(9L warning EAN版本)B收缩
 膜+MA 2L A布标+MA 5L(9L warning)B收藏指南+MA 5L B图书卡+MA 5L(9L warning)B Slime胶袋+MA B配件袋+客版邮包盒(参考Amazon PO#4500124874)+贴纸1张(含N
 L警告语+EAN#条码贴纸，直接覆盖在邮包盒原警告语等位置)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</si>
  <si>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92108D-S001-3L新（V1）</t>
  </si>
  <si>
    <t>4500156115-60</t>
  </si>
  <si>
    <t>92108A-S003</t>
  </si>
  <si>
    <t>兔子 邮包盒装</t>
  </si>
  <si>
    <t>日期码格式：ZURU INC(BVI) 标准格式 日期：按实际生产日期 
Packaging Info: BOL NL(71126/77515/92104ABDEGH/92107ABDE/92108ABDE/9258ABDEGH/9281BDEGH/9283ABDE/9296ABDEGH/9298ABDEGH/9543ABDE/9548/9549ABD)
5. 92108ABDE
 ---92108D:1 PCS/MAIL BOX, 2PCS/2MAIL BOX/CTN&lt;(&gt;,&lt;)&gt;unicorn, Non-glitter;magnet,3pcs AAA batteries (not included); MA 3L(9L warning EAN版本)B收缩
 膜+MA 2L A布标+MA 5L(9L warning)B收藏指南+MA 5L B图书卡+MA 5L(9L warning)B Slime胶袋+MA B配件袋+客版邮包盒(参考Amazon PO#4500124874)+贴纸1张(含N
 L警告语+EAN#条码贴纸，直接覆盖在邮包盒原警告语等位置)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</si>
  <si>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92108A-S001-3L新（V1）</t>
  </si>
  <si>
    <t>4500156115-70</t>
  </si>
  <si>
    <t>92108B-S003</t>
  </si>
  <si>
    <t>斑点狗 邮包盒装</t>
  </si>
  <si>
    <t>日期码格式：ZURU INC(BVI) 标准格式 日期：按实际生产日期 
Packaging Info: BOL NL(71126/77515/92104ABDEGH/92107ABDE/92108ABDE/9258ABDEGH/9281BDEGH/9283ABDE/9296ABDEGH/9298ABDEGH/9543ABDE/9548/9549ABD)
5. 92108ABDE
 ---92108B: 1 PCS/MAIL BOX, 2PCS/2MAIL BOX/CTN,unicorn, Non-glitter;magnet,3pcs AAA batteries (not included); MA 3L(9L warning EAN版本)B收缩膜+MA
 2L A布标+MA 5L(9L warning)B收藏指南+MA 5L B图书卡+MA 5L(9L warning)B Slime胶袋+MA B配件袋+客版邮包盒(参考Amazon PO#4500124874)+贴纸1张(含NL警告
 语+EAN#条码贴纸，直接覆盖在邮包盒原警告语等位置)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</si>
  <si>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92108B-S001-3L新（V1）</t>
  </si>
  <si>
    <t>4500156115-90</t>
  </si>
  <si>
    <t>日期码格式：ZURU INC(BVI) 标准格式 日期：按实际生产日期 
Packaging Info: BOL NL(71126/77515/92104ABDEGH/92107ABDE/92108ABDE/9258ABDEGH/9281BDEGH/9283ABDE/9296ABDEGH/9298ABDEGH/9543ABDE/9548/9549ABD)
5. 92108ABDE
 ---92108E: 1 PCS/MAIL BOX, 2PCS/2MAIL BOX/CTN,unicorn, Non-glitter;magnet,3pcs AAA batteries (not included); MA 3L(9L warning EAN版本)B收缩膜+MA
 2L A布标+MA 5L(9L warning)B收藏指南+MA 5L B图书卡+MA 5L(9L warning)B Slime胶袋+MA B配件袋+客版邮包盒(参考Amazon PO#4500124874)+贴纸1张(含NL警告
 语+EAN#条码贴纸，直接覆盖在邮包盒原警告语等位置)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</si>
  <si>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92108E-S003-3L</t>
  </si>
  <si>
    <t>4500156659-90</t>
  </si>
  <si>
    <t>92108D-S001</t>
  </si>
  <si>
    <t>独角兽</t>
  </si>
  <si>
    <t>2/17-进口商贴纸(共用贴纸)+UPC条码贴纸</t>
  </si>
  <si>
    <t>日期码格式：ZURU INC(BVI) 标准格式 日期：按实际生产日期 
Packaging Info: 
 92108D：1L MA 最新收缩膜+进口商贴纸(共用贴纸)+UPC条码贴纸, MA 指南
Remark: 标准配比</t>
  </si>
  <si>
    <t>4500156659-100</t>
  </si>
  <si>
    <t>92108E-S001</t>
  </si>
  <si>
    <t>小猫</t>
  </si>
  <si>
    <t>日期码格式：ZURU INC(BVI) 标准格式 日期：按实际生产日期
Packaging Info: 
 92108E：1L MA 最新收缩膜+进口商贴纸(共用贴纸)+UPC条码贴纸, MA 指南
Remark: 标准配比</t>
  </si>
  <si>
    <t>4500156659-30</t>
  </si>
  <si>
    <t>进口商贴纸（翻PO4500153567)</t>
  </si>
  <si>
    <t>日期码格式：ZURU INC(BVI) 标准格式 日期：按实际生产日期
Packaging Info: 
 92108：1L MA 最新收缩膜+进口商贴纸（翻PO4500153567), MA 指南
Remark: 标准配比</t>
  </si>
  <si>
    <t>4500154827-10</t>
  </si>
  <si>
    <t>3/7-进口商贴纸+警告语贴纸+EAN贴纸+色丁贴纸</t>
  </si>
  <si>
    <t>日期码格式：ZURU INC(BVI) 标准格式 日期：按实际生产日期 
Packaging Info: 1.92108:MA 3L EAN包装+进口商贴纸+警告语贴纸（警告语贴纸贴于产品正面，不需要贴展示架）+EAN贴纸+色丁贴纸(贴MA布标上）
 2.箱唛：在正唛（只1面）加多虚线15 X 10.5 CM ( 高X 宽) 距左箱边2CM， 距箱底 3CM,1张外箱贴纸Carrefour master carton label（在CHECKPOINT网站上订）,
工厂自行订购,可参照家乐福其他地区的。请检查贴纸上的外箱尺寸和重量是否和实际一致，如果材积超出正负7%，订购时要在系统更新资料并且通知给跟单。如果
第三方验货时发现与实际超出7%，会产生罚款USD300/每款ITEM。
 3.产品/包装/外箱都要打上日期码，产品、包装和外箱的日期码要一致。
 4.外箱纸箱要用双坑的，否则会影响出货。
 5.此单有API第三方验货，，提供1套大货签板留底，请在大货前两周寄给我们，工厂需提交签板图片给客户审核。
 6.签版要与大货一致。
7.此单因验厂问题，搏锐/沙沙岛/百炼需要送到兴信验货，验货时间待通知。
Remark: 
 92108包装条码：3617702057606</t>
  </si>
  <si>
    <t>4500154827-40</t>
  </si>
  <si>
    <t>92108F-S001</t>
  </si>
  <si>
    <t>日期码格式：ZURU INC(BVI) 标准格式 日期：按实际生产日期 
Packaging Info: 1.92108F:MA 3L EAN包装+进口商贴纸+警告语贴纸（警告语贴纸贴于产品正面，不需要贴展示架）+EAN贴纸+色丁贴纸(贴MA布标上）
 2.箱唛：在正唛（只1面）加多虚线15 X 10.5 CM ( 高X 宽) 距左箱边2CM， 距箱底 3CM,1张外箱贴纸Carrefour master carton label（在CHECKPOINT网站上订）,
工厂自行订购,可参照家乐福其他地区的。请检查贴纸上的外箱尺寸和重量是否和实际一致，如果材积超出正负7%，订购时要在系统更新资料并且通知给跟单。如果
第三方验货时发现与实际超出7%，会产生罚款USD300/每款ITEM。
 3.产品/包装/外箱都要打上日期码，产品、包装和外箱的日期码要一致。
 4.外箱纸箱要用双坑的，否则会影响出货。
 5.此单有API第三方验货，，提供1套大货签板留底，请在大货前两周寄给我们，工厂需提交签板图片给客户审核。
 6.签版要与大货一致。
7.此单因验厂问题，搏锐/沙沙岛/百炼需要送到兴信验货，验货时间待通知。
 92108F 条码：3617702057606
Remark: 
 92108F包装条码：3617702057606</t>
  </si>
  <si>
    <t>92108F-S001-3L新（V1）</t>
  </si>
  <si>
    <t>4500157780-30</t>
  </si>
  <si>
    <t>日期码格式：ZURU INC(BVI) 标准格式 日期：按实际生产日期 
Packaging Info: 1. 无进口商贴纸；
 2. 92108 ： 1L MA UPC 包装， MA PDQ/说明书/指南（如有）；
Remark: 标准配比</t>
  </si>
  <si>
    <t>92108-S001新（V1）</t>
  </si>
  <si>
    <t>9650903905</t>
  </si>
  <si>
    <t>4500147528-10</t>
  </si>
  <si>
    <t>包装要求参考4
500158543，出
Bekasovo 2</t>
  </si>
  <si>
    <t>4500163959-70</t>
  </si>
  <si>
    <t>原4500158543转单-注意不要重复生产</t>
  </si>
  <si>
    <t>3/4-进口商贴纸+ EAN条码贴纸</t>
  </si>
  <si>
    <t>外包装/外箱不要打ZURU标准日期码 日期</t>
  </si>
  <si>
    <t>包装要求参考4
500158543，出
Ural</t>
  </si>
  <si>
    <t>4500163959-90</t>
  </si>
  <si>
    <t>4500164028-90</t>
  </si>
  <si>
    <t>4500164028-110</t>
  </si>
  <si>
    <t>9900926594</t>
  </si>
  <si>
    <t>4500161639-10</t>
  </si>
  <si>
    <t>4/25第三方自检</t>
  </si>
  <si>
    <t>UPC贴纸翻4500146212</t>
  </si>
  <si>
    <t>日期码格式：ZURU INC(BVI) 标准格式 日期：按实际生产日期
Packaging Info: #92108: MA3L收缩膜+UPC条码贴纸(UPC: 193052064721)+MA5L收藏指南+MA5L资料卡+MA5L胶袋+MA配件袋+MA2L布标 (UPC贴纸翻单: 4500146212)
-产品配比: 4 Assortments (bunny: puppy: unicorn: kitten)=1:1:1:1
Remark: 1. 此单有箱唛；
2. 此单有第三方验货，烦请多备包装物料；
3. 必须在原来错误的UPC/EAN条码上用黑色粗头笔涂黑直至不能扫描，再贴上正确的UPC。</t>
  </si>
  <si>
    <t>94935-5.6</t>
  </si>
  <si>
    <t>92108-S002-NB-3L新（V1）</t>
  </si>
  <si>
    <t>4500161136-50</t>
  </si>
  <si>
    <t>日期码格式：ZURU INC(BVI) 标准格式 日期：按实际生产日期
Packaging Info: MA PKG ,优先1L
Remark:</t>
  </si>
  <si>
    <t>94837-4.24</t>
  </si>
  <si>
    <t>4500159263-30</t>
  </si>
  <si>
    <t>进口商贴纸+Rating Labe翻4500159234</t>
  </si>
  <si>
    <t>日期码格式：ZURU INC(BVI) 标准格式 日期：按实际生产日期
Packaging Info: 
3. 92108：MA 3L EAN包装+MA多语收藏指南+进口商贴纸+Rating Label(贴产品上)+warning warranty card+箱唛，warning warranty card(警告保修卡可用A4纸双
面打印)，所有贴纸和warning warranty card翻单PO4500159234
Remark: 1. 此单需提交自检报告给客户确认，待客户确认放货后，才允许出货。
3. 92108：4 Assortments (bunny: puppy: unicorn: kitten)=1:1:1:1；3PCS AAA BATTERIES (NOT INCLUDED)</t>
  </si>
  <si>
    <t>92108-S001-3L新（V1）</t>
  </si>
  <si>
    <t>4500159262-30</t>
  </si>
  <si>
    <t>4500159256-30</t>
  </si>
  <si>
    <t>日期码格式：ZURU INC(BVI) 标准格式 日期：按实际生产日期
Packaging Info:
3. 92108：MA 3L EAN包装+MA多语收藏指南+进口商贴纸+Rating Label(贴产品上)+warning warranty card+箱唛，warning warranty card(警告保修卡可用A4纸双
面打印)，所有贴纸和warning warranty card翻单PO4500159234
Remark: 1. 此单需提交自检报告给客户确认，待客户确认放货后，才允许出货。
3. 92108：4 Assortments (bunny: puppy: unicorn: kitten)=1:1:1:1；3PCS AAA BATTERIES (NOT INCLUDED)</t>
  </si>
  <si>
    <t>4500159248-30</t>
  </si>
  <si>
    <t>4500159234-30</t>
  </si>
  <si>
    <t>日期码格式：ZURU INC(BVI) 标准格式 日期：按实际生产日期
Packaging Info:
3. 92108：MA 3L EAN包装+MA多语收藏指南+进口商贴纸+Rating Label(贴产品上)+warning warranty card+箱唛，warning warranty card(警告保修卡可用A4纸双
面打印)
Remark: 1. 此单需提交自检报告给客户确认，待客户确认放货后，才允许出货。
3. 92108：4 Assortments (bunny: puppy: unicorn: kitten)=1:1:1:1；3PCS AAA BATTERIES (NOT INCLUDED)</t>
  </si>
  <si>
    <t>4500160671-40</t>
  </si>
  <si>
    <t>92108B-S001</t>
  </si>
  <si>
    <t>斑点狗</t>
  </si>
  <si>
    <t>日期码格式：ZURU INC(BVI) 标准格式 日期：按实际生产日期
Packaging Info: 92108 ：MA UPC 收缩膜(优先1L)+进口商贴纸(三款进口商贴纸翻PO-4500158504)+UPC条码贴；MA指南
Remark:
标准配比</t>
  </si>
  <si>
    <t>92108B-S001新（V1）</t>
  </si>
  <si>
    <t>4500160671-50</t>
  </si>
  <si>
    <t>92108D-S001新（V1）</t>
  </si>
  <si>
    <t>4500160671-60</t>
  </si>
  <si>
    <t>92108E-S001新（V1）</t>
  </si>
  <si>
    <t>4500160092-210</t>
  </si>
  <si>
    <t>日期码格式：2025-05 日期： 
Packaging Info:
 92108; MA 3L EAN包装+UPC贴纸+MA多语收藏指南+进口商贴纸+箱唛
Remark: 1.指定日期码：2025-05（外箱/产品/包装/进口商贴纸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92108:3PCS AAA BATTERIES (NOT INCLUDED)</t>
  </si>
  <si>
    <t>4500159153-10</t>
  </si>
  <si>
    <t>进口商贴纸/告语贴纸/EAN贴纸翻4500154827+布标贴纸</t>
  </si>
  <si>
    <t>日期码格式：ZURU INC(BVI) 标准格式 日期：按实际生产日期 
Packaging Info: 1.92108:MA 3L EAN包装+进口商贴纸+警告语贴纸（警告语贴纸贴于产品正面，不需要贴展示架）+EAN贴纸+色丁贴纸（贴MA 布标上），，进口商贴纸/警
 告语贴纸/EAN贴纸翻单PO4500154827
 2.箱唛：在正唛（只1面）加多虚线15 X 10.5 CM ( 高X 宽) 距左箱边2CM， 距箱底 3CM,1张外箱贴纸Carrefour master carton label（在CHECKPOINT网站上订）,
工厂自行订购,可参照家乐福其他地区的。请检查贴纸上的外箱尺寸和重量是否和实际一致，如果材积超出正负7%，订购时要在系统更新资料并且通知给跟单。如果
第三方验货时发现与实际超出7%，会产生罚款USD300/每款ITEM。
 3.产品/包装/外箱都要打上日期码，产品、包装和外箱的日期码要一致。
 4.外箱纸箱要用双坑的，否则会影响出货。
5.此单有API第三方验货，92108签板翻单PO4500154827,翻单签板请保留妥当，翻单验货无法提供签板，验货将直接fail 无法出货并且会有罚金。
 6.签版要与大货一致。
7.此单因验厂问题，搏锐/沙沙岛/百炼需要送到兴信验货，验货时间待通知。</t>
  </si>
  <si>
    <t>20106</t>
  </si>
  <si>
    <t>4500162375-20</t>
  </si>
  <si>
    <t>92108-S003-NB</t>
  </si>
  <si>
    <t>日期码格式：ZURU INC(BVI) 标准格式 日期：按实际生产日期
Packaging Info:
92108: 收缩膜MA EAN 3L B+ 1张警示语贴纸+不带电池走货北欧六语通用黑白电池说明书_OL
Remark: 1/配比:
92108: 4 Assortments (bunny: puppy: unicorn: kitten)=1:1:1:1
2/产品和包装要求无硼无香，包装不能含有PVC
3/如有微塑料，必须合规欧洲标准，闪粉也是微塑料的一种，目前仅接受三张方式1.去除，2.用可降解材料，和3.永久封印在固体。
4/带电池出货的产品，所用到的电池需要符合欧洲电池新规(EU)2023-1542</t>
  </si>
  <si>
    <t>92108-S003-NB-3L新（V1）</t>
  </si>
  <si>
    <t>70054078</t>
  </si>
  <si>
    <t>4500151563-90</t>
  </si>
  <si>
    <t>斯洛代克</t>
  </si>
  <si>
    <t>4500162935-10</t>
  </si>
  <si>
    <t>92108-S002</t>
  </si>
  <si>
    <t>日期码格式：ZURU INC(BVI) 标准格式 日期：按实际生产日期
Packaging Info: 92108:MA 最新1L收缩膜+警告语贴纸(Czech-Hugarian-Polish-Slovak，不能覆盖GB语言)翻单4500133271,MA袋子/卡片+MA布标,MA5L收藏指南
UPC#193052064721，请先检查包装条码是否正确再安排做货
比例:4 Assortments (bunny: puppy: unicorn: kitten)=1:1:1:1,3pcs AAA batteries (not included)
Remark: 1. 此单出EU，需满足EU测试标准要求，不含微塑料。
产品及包装需要印UKCA图标，包装需要有ZURU UK LTD/ZURU France地址信息，QC同事请核查，如有问题与跟单确认。
2.裝櫃必須按TPND順序 (條形碼貼紙或正嘜必須要朝外向車門外)，不可额外打缠绕带
3.外箱上有条码要求，排版时请留意并请确保条码清晰可扫描（封箱胶不要黏到条码上), 否则客人会有罚款；
4. 如含硼的话， 需用低硼版本(小于300ppm),硼含量需要符合欧洲标准,否则客人会退货有罚款产生</t>
  </si>
  <si>
    <t>92108-S002新（V1）</t>
  </si>
  <si>
    <t>4500160726-210</t>
  </si>
  <si>
    <t>5251215538</t>
  </si>
  <si>
    <t>4500160573-160</t>
  </si>
  <si>
    <t>此单92108工厂将安排1*40HC，每个HC需要放置10包干燥剂，每包干燥剂1KG</t>
  </si>
  <si>
    <t>6/5-UPC条码贴纸+进口商贴纸+保证书</t>
  </si>
  <si>
    <t>日期码格式：LOTDGYYYYMMDD 日期：按实际生产日期
Packaging Info: 
13. 92108: MA 3L EAN包装+UPC条码贴纸+进口商贴纸+MA 多语收藏指南+保证书+箱唛，产品/包装/收藏指南分别要加1张进口商贴纸
Remark: 1. 客版日期码要求：LOT+ZURU标准日期码格式。东莞生产的格式：LOTDGYYYYMMDD, DG是东莞拼音首字母，
YYYYMMDD是实际的年月日，例如(LOTDG20240920)
92108：4 Assortments (bunny: puppy: unicorn: kitten)=1:1:1:1；3pcs AAA batteries (not included)
4. 此单有第三方监柜，至少多备一套完整的物料用于监柜，请多备料。
5.WM墨西哥防霉的新要求:货物必须在出货主箱和集装箱中按要求放置干燥剂，干燥剂指定品牌干霸
92108：需要在每箱放入10小包干燥剂，每包干燥剂重量2g
如走柜货等loading plan 确认后再通知集装箱干燥剂数量
此单兴信将安排8*40HC柜子，每个HC需要放置10包干燥剂，每包干燥剂1KG
此单92108工厂将安排1*40HC，每个HC需要放置10包干燥剂，每包干燥剂1KG</t>
  </si>
  <si>
    <t>95516-7.1</t>
  </si>
  <si>
    <t>4500161570-500</t>
  </si>
  <si>
    <t>4500166516-50</t>
  </si>
  <si>
    <t>4500158550-10</t>
  </si>
  <si>
    <t>数量从1320减少至1164</t>
  </si>
  <si>
    <t>日期码格式：外包装/外箱不要打ZURU标准日期码 日期：
Packaging Info: 注意:外包装(指:收缩膜/彩卡/铝箔袋/挂卡/PDQ)/外箱不要打ZURU标准日期码!胶件可以打日期码。
1L MA 收缩膜 + 进口商贴纸翻4500158543+ EAN条码贴纸翻4500158543 ， MA 指南
Remark: 标准配比
请按期完货， 会有罚金。
出港口Bekasovo 2 .</t>
  </si>
  <si>
    <t>96333-9.6</t>
  </si>
  <si>
    <t>4500168727-120</t>
  </si>
  <si>
    <t>92108D-S004</t>
  </si>
  <si>
    <t>日期码格式：ZURU INC(BVI) 标准格式 日期：按实际生产日期
Packaging Info:92108：MA 收缩膜+UPC条码贴+进口商贴纸；MA指南
Remark: 标准配比</t>
  </si>
  <si>
    <t>92108D-S004新（V1)</t>
  </si>
  <si>
    <t>4500168727-130</t>
  </si>
  <si>
    <t>92108E-S004</t>
  </si>
  <si>
    <t>92108E-S004新（V1)</t>
  </si>
  <si>
    <t>4500169474-20</t>
  </si>
  <si>
    <t>92108-S001-3L新(V1)</t>
  </si>
  <si>
    <t>4500169637-10</t>
  </si>
  <si>
    <t>6/18-进口商贴纸+UPC 条码贴纸</t>
  </si>
  <si>
    <t>日期码格式：ZURU INC(BVI) 标准格式 日期：按实际生产日期
Packaging Info: 92108B： MA 1L UPC 收缩膜+ 进口商贴纸+UPC 条码贴纸， MA Polybag+MA 指南；
Remark: 标准配比</t>
  </si>
  <si>
    <t>PriceSmart, Inc.</t>
  </si>
  <si>
    <t>4500162730-10</t>
  </si>
  <si>
    <t>92108SLT-S002</t>
  </si>
  <si>
    <t>摇篮公子(托盘45pcs装）</t>
  </si>
  <si>
    <t>7/21第三方</t>
  </si>
  <si>
    <t>4/14-UPC贴纸+TOY LABEL 贴纸</t>
  </si>
  <si>
    <t>指定日期码格式：DG20250718</t>
  </si>
  <si>
    <t>日期码格式：DG20250718 日期：
Packaging Info: 92108:MA 3L EAN包装+UPC贴纸+TOY LABEL 贴纸+箱唛+客版托盘
Remark: 1.92108SLT:3W*5D*3H=45pcs/slip sheet 3PCS AAA BATTERIES(NOT INCLUDED) 4 Assortments (bunny: puppy: unicorn: kitten)=1:1:1:1
2.产品和包装上要印tracking code，指定日期码格式：DG20250718
3.整柜出货，如果最终尺寸变大或者变小超过5%以上，一定要及时通知我们，否则所产生的一切额外费用由工厂承担。
4.需要BV验货OK后才可以出货
5.验货前2周（06/30)提供2套大货样，要给客户确认。</t>
  </si>
  <si>
    <t>A96611-10.8</t>
  </si>
  <si>
    <t>4500162730-20</t>
  </si>
  <si>
    <t>ZB01020-8.1
A96612-10.8</t>
  </si>
  <si>
    <t>4500168727-110</t>
  </si>
  <si>
    <t>92108B-S004</t>
  </si>
  <si>
    <t>92108B-S004新（V1)</t>
  </si>
  <si>
    <t>4500169637-20</t>
  </si>
  <si>
    <t>日期码格式：ZURU INC(BVI) 标准格式 日期：按实际生产日期
Packaging Info: 92108D： MA 1L UPC 收缩膜+ 进口商贴纸+UPC 条码贴纸， MA Polybag+MA 指南；
Remark: 标准配比</t>
  </si>
  <si>
    <t>4500169637-30</t>
  </si>
  <si>
    <t>日期码格式：ZURU INC(BVI) 标准格式 日期：按实际生产日期
Packaging Info: 92108E： MA 1L UPC 收缩膜+ 进口商贴纸+UPC 条码贴纸， MA Polybag+MA 指南；
Remark: 标准配比</t>
  </si>
  <si>
    <t>4500159848-210</t>
  </si>
  <si>
    <t>日期码格式：2025-07 日期：
Packaging Info: 92108; MA 3L EAN包装+UPC贴纸+MA多语收藏指南+进口商贴纸+箱唛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92108:3PCS AAA BATTERIES (NOT INCLUDED)
Hershey's-Chocolate Syrup 24 oz
Hershey's-Mini Chocolate Syrup 24 oz
Hershey's-Strawberry Syrup 22 oz</t>
  </si>
  <si>
    <t>96592-5-9.30</t>
  </si>
  <si>
    <t>4500164774-230</t>
  </si>
  <si>
    <t>日期码格式：2025-07 日期：
Packaging Info: 92108: MA 3L EAN包装+UPC贴纸+MA多语收藏指南+进口商贴纸+箱唛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92108:3PCS AAA BATTERIES (NOT INCLUDED)
Hershey's-Chocolate Syrup 24 oz
Hershey's-Mini Chocolate Syrup 24 oz
Hershey's-Strawberry Syrup 22 oz</t>
  </si>
  <si>
    <t>4500172203-70</t>
  </si>
  <si>
    <t>4500171778-50</t>
  </si>
  <si>
    <t>4500172103-90</t>
  </si>
  <si>
    <t>日期码格式：ZURU INC(BVI) 标准格式 日期：按实际生产日期
Packaging Info: 请确保包装上的条形码是UPC，如果是babyUPC，需要用mother UPC覆盖，如有不一致，请及时提出。谢谢!
92108 MA 多语EAN包装+UPC贴纸+MA 多语收藏指南 +箱唛
92108 MA 多语EAN包装+UPC贴纸+MA 多语收藏指南+箱唛
Remark:
92108,,4 Assortments (bunny: puppy: unicorn: kitten)=1:1:1:1; 3PCS AAA BATTERIES (NOT INCLUDED),,
92108,,4 Assortments (bunny: puppy: unicorn: kitten)=1:1:1:1; 3PCS AAA BATTERIES (NOT INCLUDED),,</t>
  </si>
  <si>
    <t>4500171933-30</t>
  </si>
  <si>
    <t>7/9-价格贴纸</t>
  </si>
  <si>
    <t>所有产品外包装及产品本身都必须有日期跟踪码(ZURU标准日期码格式，年月日的日期自行调整，但不能为周末)，并且确保产品及外包装的日期跟踪码要一致</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</si>
  <si>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</si>
  <si>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ZB01192-8.11</t>
  </si>
  <si>
    <t>4500171783-50</t>
  </si>
  <si>
    <t>4500173798-20</t>
  </si>
  <si>
    <t>日期码格式：ZURU INC(BVI) 标准格式 日期：按实际生产日期
Packaging Info: 1. MA 1L PKG+1张价格条码贴+1张警语贴（贴纸资料7/22发工厂）
2. 每个产品包装要贴1张价格贴纸和1张警语贴，每个外箱也要贴2张价格贴纸，订贴纸请留意数量）
Remark:
92108：4 Assortments (bunny: puppy: unicorn: kitten)=1:1:1:1</t>
  </si>
  <si>
    <t>4500171781-40</t>
  </si>
  <si>
    <t>383751802</t>
  </si>
  <si>
    <t>4500172745-30</t>
  </si>
  <si>
    <t>7/21-外箱UCC 条码贴纸</t>
  </si>
  <si>
    <t>ZB01341-8.19  ZB01449-8.23</t>
  </si>
  <si>
    <t>4500173241-160</t>
  </si>
  <si>
    <t>出Bekasovo 2
使用4500158
550成品库存无
需返工外箱/贴
纸</t>
  </si>
  <si>
    <t>4500173295-20</t>
  </si>
  <si>
    <t>全数使用4500158550成品库存无需返工外箱/贴纸</t>
  </si>
  <si>
    <t>日期码格式：外包装/外箱不要打ZURU标准日期码 日期：
Packaging Info: 注意:外包装(指:收缩膜/彩卡/铝箔袋/挂卡/PDQ)/外箱不要打ZURU标准日期码!胶件可以打日期码。
92108 ： 全数使用4500158550成品库存无需返工外箱/贴纸；1L MA UPC包装+ 进口商贴纸+ EAN条码贴纸， MA 说明书/指南（如有） ;
Remark: 标准配比 ；
请按期完货， 会有罚金。
出港口Bekasovo 2 和 Ural</t>
  </si>
  <si>
    <t>出Ural ，使用
4500158550成
品库存无需返
工外箱/贴纸</t>
  </si>
  <si>
    <t>4500173295-50</t>
  </si>
  <si>
    <t>588001</t>
  </si>
  <si>
    <t>4500174627-10</t>
  </si>
  <si>
    <t>ZB01675-9.4</t>
  </si>
  <si>
    <t>1617036</t>
  </si>
  <si>
    <t>4500174588-30</t>
  </si>
  <si>
    <t>ZB01746-9.6</t>
  </si>
  <si>
    <t>4500174768-80</t>
  </si>
  <si>
    <t>出Bekasovo 2-
760pcs 使用45
00158550成品
库存无需返工
外箱/贴纸</t>
  </si>
  <si>
    <t>4500173317-20</t>
  </si>
  <si>
    <t>使用4500158550成品库存无需返工外箱/贴纸</t>
  </si>
  <si>
    <t>使用4500158550成品库存无需返工外箱/贴纸   进口商贴纸+ EAN条码贴
 纸</t>
  </si>
  <si>
    <t>注意:外包装(指:收缩膜/彩卡/铝箔袋/挂卡/PDQ)/外箱不要打ZURU标准日期码!胶件可以打日期码。
92108 ：出Bekasovo 2- 760pcs &lt;(&gt;&amp;&lt;)&gt; 出Ural 276pcs 使用4500158550成品库存无需返工外箱/贴纸 ; 剩余的数量： 1L MA UPC包装+ 进口商贴纸+ EAN条码贴纸， MA 说明书/指南（如有）；
请按期完货， 会有罚金。
出港口Bekasovo 2 和 Ural</t>
  </si>
  <si>
    <t>出Ural 276pcs
使用450015855
0成品库存无需
返工外箱/贴纸</t>
  </si>
  <si>
    <t>4500173317-50</t>
  </si>
  <si>
    <t>96319-9.4</t>
  </si>
  <si>
    <t>4500172208-60</t>
  </si>
  <si>
    <t>4500173750-20</t>
  </si>
  <si>
    <t>日期码格式：ZURU INC(BVI) 标准格式 日期：按实际生产日期
Packaging Info: 92108：MA 多语EAN包装+进口商贴纸+箱唛
Remark:</t>
  </si>
  <si>
    <t>96400-9.11</t>
  </si>
  <si>
    <t>Customer PO#
ALKAA-C</t>
  </si>
  <si>
    <t>4500175977-20</t>
  </si>
  <si>
    <t>日期码格式：ZURU INC(BVI) 标准格式 日期：按实际生产日期
Packaging Info: 1. 包装方式：MA UPC 优先1L 最新包装，出口美国
Remark: 2. 产品和包装上印刷tracking code信息，格式为ZURU常规;
3. ZURU QC验货即可出货;
4. 92108外箱两正唛各贴一张UPC贴纸, 侧唛不用贴，贴纸做成普通白色贴纸即可</t>
  </si>
  <si>
    <t>ZB02187-9.27</t>
  </si>
  <si>
    <t>60235931</t>
  </si>
  <si>
    <t>4500173508-40</t>
  </si>
  <si>
    <t>4500176177-60</t>
  </si>
  <si>
    <t>4500176184-70</t>
  </si>
  <si>
    <t>Zuru.2025Q4</t>
  </si>
  <si>
    <t>4500181872-10</t>
  </si>
  <si>
    <t>日期码格式：ZURU INC(BVI) 标准格式 日期：按实际生产日期
Packaging Info: MA UPC包装(优先1L)+1张固定进口商贴纸,贴纸图稿及位置图翻单如下;
92108-待提供贴纸资料
此客人一般是集中所有货物在一个东莞的工厂提货, 做发票收款前请同我确认价格类型;订单先开EXW;
Remark: 92108-4 Assortments (bunny: puppy: unicorn: kitten)=1:1:1:1</t>
  </si>
  <si>
    <t>96961-11.18</t>
  </si>
  <si>
    <t>4500176156-30</t>
  </si>
  <si>
    <t>ZB03136-11.28</t>
  </si>
  <si>
    <t>4500179449-40</t>
  </si>
  <si>
    <t>产品/包装/收藏指南分别要加1张进口商贴纸，所有贴纸和保证书翻4500160573</t>
  </si>
  <si>
    <t>日期码格式：LOTDGYYYYMMDD 日期：按实际生产日期
Packaging Info:
3. 92108: MA 3L EAN包装+UPC条码贴纸+进口商贴纸+MA 多语收藏指南+保证书+箱唛，产品/包装/收藏指南分别要加1张进口商贴纸，所有贴纸和保证书翻单PO45001
60573
Remark: 1. 客版日期码要求：LOT+ZURU标准日期码格式。东莞生产的格式：LOTDGYYYYMMDD, DG是东莞拼音首字母，
YYYYMMDD是实际的年月日，例如(LOTDG20240920)
92108: 3PCS AAA BATTERIES (NOT INCLUDED)，4 Assortments (bunny: puppy: unicorn: kitten)=1:1:1:1
4. 此单有第三方监柜，至少多备一套完整的物料用于监柜，请多备料。
5.WM墨西哥防霉的新要求:货物必须在出货主箱和集装箱中按要求放置干燥剂，干燥剂指定品牌干霸
92108：需要在每箱放入14小包干燥剂，每包干燥剂重量2-3g
如走柜货等loading plan 确认后再通知集装箱干燥剂数量
此单工厂将安排1*40HC，每个柜子要放置20包干燥剂，每包干燥剂1KG</t>
  </si>
  <si>
    <t>62007655</t>
  </si>
  <si>
    <t>4500177859-10</t>
  </si>
  <si>
    <t>11/27-UPC贴纸+进口商贴纸+价标贴纸后续确认是否直接沿用，请不要报废PO4500165982的价标贴纸</t>
  </si>
  <si>
    <t>日期码格式：ZURU INC(BVI) 标准格式 日期：按实际生产日期
Packaging Info: MA 多语EAN包装+UPC贴纸+进口商贴纸+价标贴纸+保证书+MA 多语说明书（含西语）+箱唛，包装/说明书都需要贴一张进口商贴纸
外箱消耗取消订单PO4500165982,价标贴纸后续确认是否直接沿用，请不要报废PO4500165982的价标贴纸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t>
  </si>
  <si>
    <t>A97487</t>
  </si>
  <si>
    <t>62050798</t>
  </si>
  <si>
    <t>4500182578-250</t>
  </si>
  <si>
    <t>消耗取消订单PO4500164920,标贴纸后续确认是否直接沿用，请不要报废PO4500164920的价标贴纸</t>
  </si>
  <si>
    <t>请不要报废PO4500164920的价标贴纸</t>
  </si>
  <si>
    <t>日期码格式：ZURU INC(BVI) 标准格式 日期：按实际生产日期
Packaging Info: 92108:MA 多语 EAN 包装+MA 多语说明书+UPC贴纸+进口商贴纸+价标贴纸+保证书+箱唛,包装/说明书都需要贴一张进口商贴纸 （956
1/92108 消耗取消订单PO4500164920,标贴纸后续确认是否直接沿用，请不要报废PO4500164920的价标贴纸)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MOTHER UPC Barcode:</t>
  </si>
  <si>
    <t>4500185782-20</t>
  </si>
  <si>
    <t>日期码格式：ZURU INC(BVI) 标准格式 日期：按实际生产日期
Packaging Info:  92108： MA 3L EAN包装+进口商贴纸+UPC贴纸+箱唛,,
Remark: 请确保包装上的条形码是UPC，如果是babyUPC，需要用mother UPC 覆盖，如有不一致，请及时提出。谢谢!</t>
  </si>
  <si>
    <t>4500189086-10</t>
  </si>
  <si>
    <t>日期码格式：ZURU INC(BVI) 标准格式 日期：按实际生产日期
Packaging Info: MA PKG， 优先1L
Remark: 此单按EXW+送货运费实报实销， 无需报关，详情请留意出货通知安排
4 Assortments (bunny: puppy: unicorn: kitten)=1:1:1:1</t>
  </si>
  <si>
    <t>4500189439-70</t>
  </si>
  <si>
    <t>日期码格式：ZURU INC(BVI) 标准格式 日期：按实际生产日期
Packaging Info:
92108B : 用slowing moving 呆滞的半成品， 1L MA UPC收缩膜+ 进口商贴纸+ UPC 条码贴纸 + QR code (一物一码) ，MA 指南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t>
  </si>
  <si>
    <t>4500189439-80</t>
  </si>
  <si>
    <t>日期码格式：ZURU INC(BVI) 标准格式 日期：按实际生产日期
Packaging Info: 
92108D : 用slowing moving 呆滞的半成品， 1L MA UPC收缩膜+ 进口商贴纸+ UPC 条码贴纸 + QR code (一物一码) ，MA 指南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t>
  </si>
  <si>
    <t>4500189439-90</t>
  </si>
  <si>
    <t>日期码格式：ZURU INC(BVI) 标准格式 日期：按实际生产日期
Packaging Info: 92108E : 用slowing moving 呆滞的半成品， 1L MA UPC收缩膜+ 进口商贴纸+ UPC 条码贴纸 + QR code (一物一码) ，MA 指南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t>
  </si>
  <si>
    <t>HERMANEX EUROPE BV</t>
  </si>
  <si>
    <t>91-23276</t>
  </si>
  <si>
    <t>4500196013-10</t>
  </si>
  <si>
    <t>3/20-PL警语贴纸+slime PL警语贴纸</t>
  </si>
  <si>
    <t>日期码格式：ZURU INC(BVI) 标准格式 日期：按实际生产日期
Packaging Info: 92108-S001: MA B版3L+9L EAN收缩膜+PL警语贴纸（含西班牙/意大利环保LOGO），MA 5L+9L收藏指南+PL警语黑白书纸，MA B版9L slime polybay+PL警语贴纸，MA
B版配件袋，MA B版5L图书卡，MA布标，WEE 最新版不带电池走货29L说明书
Remark: 1.出欧洲荷兰，须符合欧洲微塑料法规（如item本身不含微塑料，则忽略此要求）;
2. 92108-S001：4894680033597</t>
  </si>
  <si>
    <t>92108-S001-3L新（V1）-1</t>
  </si>
  <si>
    <t>4500196119-210</t>
  </si>
  <si>
    <t>4/1-进口商贴纸+UPC贴纸</t>
  </si>
  <si>
    <t>日期码格式：ZURU INC(BVI) 标准格式 日期：按实际生产日期
Packaging Info: 
其余item：MA 多语包装+进口商贴纸+UPC贴纸+箱唛
Remark: 1.进口商贴纸内容会显示日期码为：2026-04，包装/产品/外箱可按照ZURU标准日期码，无需跟回进口商贴纸上的日期码。
2.所有item包装上的条码必须是UPC，如果已将进口商贴纸和UPC条码合并到一张，则不需再订购UPC贴纸，仅订购一张进口商贴纸即
可。 3.92108不出斑点狗。</t>
  </si>
  <si>
    <t>92108-S001-3L新(V1)-1</t>
  </si>
  <si>
    <t>4500194261-30</t>
  </si>
  <si>
    <t>日期码格式：ZURU INC(BVI) 标准格式 日期：按实际生产日期
Packaging Info: 92108B/92108D/92108E ： 清库存物料， MA UPC 收缩膜+ 进口商贴纸+UPC贴纸+ QR code (一物一码) ，MA 指南；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t>
  </si>
  <si>
    <t>4500194261-40</t>
  </si>
  <si>
    <t>4500194261-50</t>
  </si>
  <si>
    <t>4500195950-170</t>
  </si>
  <si>
    <t>4500196056-70</t>
  </si>
  <si>
    <t>4500187691-20</t>
  </si>
  <si>
    <t>日期码格式：ZURU INC(BVI) 标准格式 日期：按实际生产日期
Packaging Info: 92108： MA 3L EAN包装+进口商贴纸+UPC贴纸+箱唛
Remark: 请确保包装上的条形码是UPC，如果是babyUPC，需要用mother UPC 覆盖，如有不一致，请及时提出。谢谢!</t>
  </si>
  <si>
    <t>4500196024-10</t>
  </si>
  <si>
    <t>日期码格式：ZURU INC(BVI) 标准格式 日期：按实际生产日期
Packaging Info: 92108-S001: MA B版3L+9L EAN收缩膜+PL警语贴纸（含西班牙/意大利环保LOGO），MA 5L+9L收藏指南+PL警语黑白书纸，MA B版9L slime polybay+PL警语贴纸，MA
B版配件袋，MA B版5L图书卡，MA布标，WEE 最新版不带电池走货29L说明书（整单翻4500196013）
Remark: 1.出欧洲荷兰，须符合欧洲微塑料法规（如item本身不含微塑料，则忽略此要求）;
2. 条码：
92108:4894680033597</t>
  </si>
  <si>
    <t>4500194849-20</t>
  </si>
  <si>
    <t>进口商贴纸+警告语贴纸+EAN贴纸+色丁贴纸+二维码贴纸翻4500154827+3/18-外箱贴纸</t>
  </si>
  <si>
    <t>92108F-S001-3L新(V1)</t>
  </si>
  <si>
    <t>91-23278</t>
  </si>
  <si>
    <t>4500196032-12</t>
  </si>
  <si>
    <t>305518</t>
  </si>
  <si>
    <t>4500194778-10</t>
  </si>
  <si>
    <t>3/20-价格贴纸</t>
  </si>
  <si>
    <t>日期码格式：ZURU INC(BVI) 标准格式 日期：按实际生产日期 Tracking Code:
Packaging Info: 消耗库存的物料。
 MA UPC包装(优先1L)+价格贴纸，价格贴纸客供。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item#92108: TJ MAXX PO#305518,SKU#196279 DC#891-720PCS, DC#894-508PCS, DC#896-360PCS, DC#897-900PCS, DC#898-512PCS</t>
  </si>
  <si>
    <t>305512</t>
  </si>
  <si>
    <t>4500194776-10</t>
  </si>
  <si>
    <t>日期码格式：ZURU INC(BVI) 标准格式 日期：按实际生产日期 Tracking Code:
Packaging Info: 消耗库存的物料。
 MA UPC包装(优先1L)+价格贴纸，价格贴纸客供。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item#92108: Marshalls PO#305512,SKU#916720 DC#881-540PCS, DC#884-420PCS, DC#886-720PCS, DC#887-720PCS, DC#888-600PCS</t>
  </si>
  <si>
    <t>4500199742-20</t>
  </si>
  <si>
    <t>4500198079-70</t>
  </si>
  <si>
    <t>4500198067-70</t>
  </si>
  <si>
    <t>6/4-进口商贴纸 + 条码贴纸+ 3/31-QR code 贴纸</t>
  </si>
  <si>
    <t>4500198142-20</t>
  </si>
  <si>
    <t>92108-S001新（V1）-1</t>
  </si>
  <si>
    <t>4500198142-60</t>
  </si>
  <si>
    <t>9214棉花泥MA单</t>
  </si>
  <si>
    <t>无硼棉花泥（用3语袋子）</t>
  </si>
  <si>
    <r>
      <rPr>
        <sz val="11"/>
        <rFont val="Arial"/>
        <charset val="0"/>
      </rPr>
      <t>MA</t>
    </r>
    <r>
      <rPr>
        <sz val="11"/>
        <rFont val="宋体"/>
        <charset val="134"/>
      </rPr>
      <t>訂單號</t>
    </r>
  </si>
  <si>
    <t>日期</t>
  </si>
  <si>
    <t>红+黄</t>
  </si>
  <si>
    <t>红+蓝</t>
  </si>
  <si>
    <t>蓝+紫</t>
  </si>
  <si>
    <t>黄+蓝</t>
  </si>
  <si>
    <t>沙沙岛回复交期</t>
  </si>
  <si>
    <t>Amy邮件</t>
  </si>
  <si>
    <t>小计</t>
  </si>
  <si>
    <t>订单需求数量</t>
  </si>
  <si>
    <t>剩余数</t>
  </si>
  <si>
    <t>备注：9214无硼棉花泥用MA 3L的袋子，克重显示4g。</t>
  </si>
  <si>
    <r>
      <rPr>
        <b/>
        <sz val="14"/>
        <rFont val="Arial"/>
        <charset val="0"/>
      </rPr>
      <t>9237</t>
    </r>
    <r>
      <rPr>
        <b/>
        <sz val="14"/>
        <rFont val="宋体"/>
        <charset val="0"/>
      </rPr>
      <t>棉花泥</t>
    </r>
    <r>
      <rPr>
        <b/>
        <sz val="14"/>
        <rFont val="Arial"/>
        <charset val="0"/>
      </rPr>
      <t>MA</t>
    </r>
    <r>
      <rPr>
        <b/>
        <sz val="14"/>
        <rFont val="宋体"/>
        <charset val="0"/>
      </rPr>
      <t>单</t>
    </r>
  </si>
  <si>
    <r>
      <rPr>
        <b/>
        <sz val="14"/>
        <rFont val="Arial"/>
        <charset val="0"/>
      </rPr>
      <t>9259</t>
    </r>
    <r>
      <rPr>
        <b/>
        <sz val="14"/>
        <rFont val="宋体"/>
        <charset val="0"/>
      </rPr>
      <t>口水胶</t>
    </r>
    <r>
      <rPr>
        <b/>
        <sz val="14"/>
        <rFont val="Arial"/>
        <charset val="0"/>
      </rPr>
      <t>MA</t>
    </r>
  </si>
  <si>
    <r>
      <rPr>
        <b/>
        <sz val="14"/>
        <rFont val="Arial"/>
        <charset val="0"/>
      </rPr>
      <t>9259</t>
    </r>
    <r>
      <rPr>
        <b/>
        <sz val="14"/>
        <rFont val="宋体"/>
        <charset val="0"/>
      </rPr>
      <t>无闪粉口水胶</t>
    </r>
    <r>
      <rPr>
        <b/>
        <sz val="14"/>
        <rFont val="Arial"/>
        <charset val="0"/>
      </rPr>
      <t>MA</t>
    </r>
  </si>
  <si>
    <t>无硼口水胶</t>
  </si>
  <si>
    <t>蓝色</t>
  </si>
  <si>
    <t>金色</t>
  </si>
  <si>
    <t>粉色</t>
  </si>
  <si>
    <t>回复交期</t>
  </si>
  <si>
    <t>AMy邮件</t>
  </si>
  <si>
    <t>24年删除数</t>
  </si>
  <si>
    <t>9279口水胶MA</t>
  </si>
  <si>
    <t>无硼无闪粉口水胶</t>
  </si>
  <si>
    <t>有闪粉</t>
  </si>
  <si>
    <r>
      <rPr>
        <sz val="11"/>
        <rFont val="宋体"/>
        <charset val="0"/>
      </rPr>
      <t>无</t>
    </r>
    <r>
      <rPr>
        <sz val="11"/>
        <rFont val="Arial"/>
        <charset val="0"/>
      </rPr>
      <t xml:space="preserve">CMIT </t>
    </r>
    <r>
      <rPr>
        <sz val="11"/>
        <rFont val="宋体"/>
        <charset val="0"/>
      </rPr>
      <t>和</t>
    </r>
    <r>
      <rPr>
        <sz val="11"/>
        <rFont val="Arial"/>
        <charset val="0"/>
      </rPr>
      <t xml:space="preserve">MIT </t>
    </r>
    <r>
      <rPr>
        <sz val="11"/>
        <rFont val="宋体"/>
        <charset val="0"/>
      </rPr>
      <t>版本</t>
    </r>
  </si>
  <si>
    <r>
      <rPr>
        <b/>
        <sz val="14"/>
        <rFont val="Arial"/>
        <charset val="0"/>
      </rPr>
      <t>9298</t>
    </r>
    <r>
      <rPr>
        <b/>
        <sz val="14"/>
        <rFont val="宋体"/>
        <charset val="0"/>
      </rPr>
      <t>口水胶</t>
    </r>
    <r>
      <rPr>
        <b/>
        <sz val="14"/>
        <rFont val="Arial"/>
        <charset val="0"/>
      </rPr>
      <t>MA</t>
    </r>
  </si>
  <si>
    <t>草莓味粉色</t>
  </si>
  <si>
    <t>Doris邮件</t>
  </si>
  <si>
    <t>无闪粉</t>
  </si>
  <si>
    <t>没防腐剂</t>
  </si>
  <si>
    <t>B版本</t>
  </si>
  <si>
    <r>
      <rPr>
        <sz val="11"/>
        <rFont val="Arial"/>
        <charset val="0"/>
      </rPr>
      <t>Lynn</t>
    </r>
    <r>
      <rPr>
        <sz val="11"/>
        <rFont val="宋体"/>
        <charset val="0"/>
      </rPr>
      <t>邮件</t>
    </r>
  </si>
  <si>
    <t>92104无硼无闪粉口水胶</t>
  </si>
  <si>
    <t>总数:</t>
  </si>
  <si>
    <t>3色</t>
  </si>
  <si>
    <t>已接实单数:</t>
  </si>
  <si>
    <t>剩余数;</t>
  </si>
  <si>
    <t>92106无硼无闪粉口水胶</t>
  </si>
  <si>
    <t>1色</t>
  </si>
  <si>
    <t>Item</t>
  </si>
  <si>
    <t>Character</t>
  </si>
  <si>
    <t>Ratio</t>
  </si>
  <si>
    <t xml:space="preserve">Ratio     </t>
  </si>
  <si>
    <t>Materials Description</t>
  </si>
  <si>
    <t>部位</t>
  </si>
  <si>
    <t>MOQ</t>
  </si>
  <si>
    <t>MOQ生产数量</t>
  </si>
  <si>
    <t>MA-224</t>
  </si>
  <si>
    <t>MA-233</t>
  </si>
  <si>
    <t>MA-244</t>
  </si>
  <si>
    <t>MA-255</t>
  </si>
  <si>
    <t>MA-269</t>
  </si>
  <si>
    <t>MA-275</t>
  </si>
  <si>
    <t>MA-286</t>
  </si>
  <si>
    <t>MA-291</t>
  </si>
  <si>
    <t>MA-305</t>
  </si>
  <si>
    <t>MA-314</t>
  </si>
  <si>
    <t>Grand Total</t>
  </si>
  <si>
    <r>
      <rPr>
        <b/>
        <sz val="10"/>
        <color indexed="9"/>
        <rFont val="Tahoma"/>
        <charset val="134"/>
      </rPr>
      <t>MA</t>
    </r>
    <r>
      <rPr>
        <b/>
        <sz val="10"/>
        <color indexed="9"/>
        <rFont val="宋体"/>
        <charset val="134"/>
      </rPr>
      <t>可生产数量</t>
    </r>
  </si>
  <si>
    <t>Order Date</t>
  </si>
  <si>
    <t>BULK</t>
  </si>
  <si>
    <t>PDQ</t>
  </si>
  <si>
    <t>FSDU</t>
  </si>
  <si>
    <t>EC</t>
  </si>
  <si>
    <t>Delivery Date</t>
  </si>
  <si>
    <t>9204# Rainbocorns
Sparkle Heart Surprise</t>
  </si>
  <si>
    <t>白色独角兽
Unicorn</t>
  </si>
  <si>
    <r>
      <rPr>
        <sz val="10"/>
        <rFont val="Tahoma"/>
        <charset val="134"/>
      </rPr>
      <t>3mm白色水晶超柔剪毛布</t>
    </r>
  </si>
  <si>
    <r>
      <rPr>
        <sz val="10"/>
        <rFont val="宋体"/>
        <charset val="134"/>
      </rPr>
      <t>大身</t>
    </r>
  </si>
  <si>
    <r>
      <rPr>
        <sz val="10"/>
        <rFont val="宋体"/>
        <charset val="134"/>
      </rPr>
      <t>无MOQ</t>
    </r>
  </si>
  <si>
    <r>
      <rPr>
        <sz val="10"/>
        <rFont val="Tahoma"/>
        <charset val="134"/>
      </rPr>
      <t>45mm</t>
    </r>
    <r>
      <rPr>
        <sz val="10"/>
        <rFont val="宋体"/>
        <charset val="134"/>
      </rPr>
      <t>七彩长毛绒</t>
    </r>
  </si>
  <si>
    <r>
      <rPr>
        <sz val="10"/>
        <rFont val="宋体"/>
        <charset val="134"/>
      </rPr>
      <t>头发</t>
    </r>
    <r>
      <rPr>
        <sz val="10"/>
        <rFont val="Tahoma"/>
        <charset val="134"/>
      </rPr>
      <t>/</t>
    </r>
    <r>
      <rPr>
        <sz val="10"/>
        <rFont val="宋体"/>
        <charset val="134"/>
      </rPr>
      <t>尾巴</t>
    </r>
  </si>
  <si>
    <r>
      <rPr>
        <sz val="10"/>
        <rFont val="宋体"/>
        <charset val="134"/>
      </rPr>
      <t>共用物料</t>
    </r>
    <r>
      <rPr>
        <sz val="10"/>
        <rFont val="Tahoma"/>
        <charset val="134"/>
      </rPr>
      <t>1</t>
    </r>
  </si>
  <si>
    <r>
      <rPr>
        <sz val="10"/>
        <rFont val="宋体"/>
        <charset val="134"/>
      </rPr>
      <t>粉红色印花</t>
    </r>
    <r>
      <rPr>
        <sz val="10"/>
        <rFont val="Tahoma"/>
        <charset val="134"/>
      </rPr>
      <t>PU皮</t>
    </r>
  </si>
  <si>
    <r>
      <rPr>
        <sz val="10"/>
        <rFont val="宋体"/>
        <charset val="134"/>
      </rPr>
      <t>肚皮</t>
    </r>
  </si>
  <si>
    <r>
      <rPr>
        <sz val="10"/>
        <rFont val="宋体"/>
        <charset val="134"/>
      </rPr>
      <t>全套辅料</t>
    </r>
  </si>
  <si>
    <r>
      <rPr>
        <b/>
        <sz val="10"/>
        <rFont val="宋体"/>
        <charset val="134"/>
      </rPr>
      <t xml:space="preserve">白色羊驼
</t>
    </r>
    <r>
      <rPr>
        <b/>
        <sz val="10"/>
        <rFont val="Tahoma"/>
        <charset val="134"/>
      </rPr>
      <t>Llama</t>
    </r>
  </si>
  <si>
    <r>
      <rPr>
        <sz val="10"/>
        <rFont val="宋体"/>
        <charset val="134"/>
      </rPr>
      <t>舒棉绒布</t>
    </r>
  </si>
  <si>
    <r>
      <rPr>
        <sz val="10"/>
        <rFont val="宋体"/>
        <charset val="134"/>
      </rPr>
      <t>紫色印花</t>
    </r>
    <r>
      <rPr>
        <sz val="10"/>
        <rFont val="Tahoma"/>
        <charset val="134"/>
      </rPr>
      <t>PU</t>
    </r>
    <r>
      <rPr>
        <sz val="10"/>
        <rFont val="宋体"/>
        <charset val="134"/>
      </rPr>
      <t>皮</t>
    </r>
  </si>
  <si>
    <r>
      <rPr>
        <sz val="10"/>
        <rFont val="宋体"/>
        <charset val="134"/>
      </rPr>
      <t>共用物料</t>
    </r>
    <r>
      <rPr>
        <sz val="10"/>
        <rFont val="Tahoma"/>
        <charset val="134"/>
      </rPr>
      <t>2</t>
    </r>
  </si>
  <si>
    <t>紫色兔子
Bunny</t>
  </si>
  <si>
    <r>
      <rPr>
        <sz val="10"/>
        <rFont val="Tahoma"/>
        <charset val="134"/>
      </rPr>
      <t>3mm紫色水晶超柔剪毛布</t>
    </r>
  </si>
  <si>
    <r>
      <rPr>
        <sz val="10"/>
        <rFont val="宋体"/>
        <charset val="134"/>
      </rPr>
      <t>蓝色印花PU皮</t>
    </r>
  </si>
  <si>
    <r>
      <rPr>
        <sz val="10"/>
        <rFont val="宋体"/>
        <charset val="134"/>
      </rPr>
      <t>共用物料</t>
    </r>
    <r>
      <rPr>
        <sz val="10"/>
        <rFont val="Tahoma"/>
        <charset val="134"/>
      </rPr>
      <t>3</t>
    </r>
  </si>
  <si>
    <t>粉红色猫
Kitty</t>
  </si>
  <si>
    <r>
      <rPr>
        <sz val="10"/>
        <rFont val="Tahoma"/>
        <charset val="134"/>
      </rPr>
      <t>3mm</t>
    </r>
    <r>
      <rPr>
        <sz val="10"/>
        <rFont val="宋体"/>
        <charset val="134"/>
      </rPr>
      <t>粉色水晶超柔剪毛布</t>
    </r>
  </si>
  <si>
    <t>蓝色小狗
Puppy</t>
  </si>
  <si>
    <r>
      <rPr>
        <sz val="10"/>
        <rFont val="Tahoma"/>
        <charset val="134"/>
      </rPr>
      <t>480g20mm</t>
    </r>
    <r>
      <rPr>
        <sz val="10"/>
        <rFont val="宋体"/>
        <charset val="134"/>
      </rPr>
      <t>蓝色</t>
    </r>
    <r>
      <rPr>
        <sz val="10"/>
        <rFont val="Tahoma"/>
        <charset val="134"/>
      </rPr>
      <t>PV绒</t>
    </r>
  </si>
  <si>
    <r>
      <rPr>
        <b/>
        <sz val="10"/>
        <rFont val="宋体"/>
        <charset val="134"/>
      </rPr>
      <t>枚红色火烈鸟
Flamingo</t>
    </r>
  </si>
  <si>
    <r>
      <rPr>
        <sz val="10"/>
        <rFont val="Tahoma"/>
        <charset val="134"/>
      </rPr>
      <t>3mm</t>
    </r>
    <r>
      <rPr>
        <sz val="10"/>
        <rFont val="宋体"/>
        <charset val="134"/>
      </rPr>
      <t>玫红色水晶超柔剪毛布</t>
    </r>
  </si>
  <si>
    <t>Total</t>
  </si>
  <si>
    <r>
      <rPr>
        <b/>
        <sz val="10"/>
        <color indexed="9"/>
        <rFont val="宋体"/>
        <charset val="134"/>
      </rPr>
      <t>主布料</t>
    </r>
  </si>
  <si>
    <r>
      <rPr>
        <b/>
        <sz val="10"/>
        <color indexed="9"/>
        <rFont val="宋体"/>
        <charset val="134"/>
      </rPr>
      <t>专用款</t>
    </r>
  </si>
  <si>
    <r>
      <rPr>
        <b/>
        <sz val="10"/>
        <color indexed="9"/>
        <rFont val="宋体"/>
        <charset val="134"/>
      </rPr>
      <t>主布料</t>
    </r>
    <r>
      <rPr>
        <b/>
        <sz val="10"/>
        <color indexed="9"/>
        <rFont val="Tahoma"/>
        <charset val="134"/>
      </rPr>
      <t>-45mm</t>
    </r>
    <r>
      <rPr>
        <b/>
        <sz val="10"/>
        <color indexed="9"/>
        <rFont val="宋体"/>
        <charset val="134"/>
      </rPr>
      <t>七彩长毛绒</t>
    </r>
  </si>
  <si>
    <r>
      <rPr>
        <b/>
        <sz val="10"/>
        <color indexed="9"/>
        <rFont val="宋体"/>
        <charset val="134"/>
      </rPr>
      <t>共用物料</t>
    </r>
    <r>
      <rPr>
        <b/>
        <sz val="10"/>
        <color indexed="9"/>
        <rFont val="Tahoma"/>
        <charset val="134"/>
      </rPr>
      <t>1</t>
    </r>
  </si>
  <si>
    <r>
      <rPr>
        <b/>
        <sz val="10"/>
        <color indexed="9"/>
        <rFont val="宋体"/>
        <charset val="134"/>
      </rPr>
      <t>主布料</t>
    </r>
    <r>
      <rPr>
        <b/>
        <sz val="10"/>
        <color indexed="9"/>
        <rFont val="Tahoma"/>
        <charset val="134"/>
      </rPr>
      <t>-紫色印花PU皮</t>
    </r>
  </si>
  <si>
    <r>
      <rPr>
        <b/>
        <sz val="10"/>
        <color indexed="9"/>
        <rFont val="宋体"/>
        <charset val="134"/>
      </rPr>
      <t>共用物料</t>
    </r>
    <r>
      <rPr>
        <b/>
        <sz val="10"/>
        <color indexed="9"/>
        <rFont val="Tahoma"/>
        <charset val="134"/>
      </rPr>
      <t>2</t>
    </r>
  </si>
  <si>
    <r>
      <rPr>
        <b/>
        <sz val="10"/>
        <color indexed="9"/>
        <rFont val="宋体"/>
        <charset val="134"/>
      </rPr>
      <t>主布料-蓝色印花PU皮</t>
    </r>
  </si>
  <si>
    <r>
      <rPr>
        <b/>
        <sz val="10"/>
        <color indexed="9"/>
        <rFont val="宋体"/>
        <charset val="134"/>
      </rPr>
      <t>共用物料</t>
    </r>
    <r>
      <rPr>
        <b/>
        <sz val="10"/>
        <color indexed="9"/>
        <rFont val="Tahoma"/>
        <charset val="134"/>
      </rPr>
      <t>3</t>
    </r>
  </si>
  <si>
    <r>
      <rPr>
        <b/>
        <sz val="10"/>
        <color indexed="9"/>
        <rFont val="宋体"/>
        <charset val="134"/>
      </rPr>
      <t>配套辅料</t>
    </r>
  </si>
  <si>
    <t>MA-241</t>
  </si>
  <si>
    <t>MA-250</t>
  </si>
  <si>
    <t>MA-274</t>
  </si>
  <si>
    <r>
      <rPr>
        <b/>
        <sz val="10"/>
        <color indexed="9"/>
        <rFont val="Tahoma"/>
        <charset val="134"/>
      </rPr>
      <t>MA可生产数量</t>
    </r>
  </si>
  <si>
    <r>
      <rPr>
        <b/>
        <sz val="10"/>
        <rFont val="Tahoma"/>
        <charset val="134"/>
      </rPr>
      <t>9209# Rainbocorns Big Bow Surprise 
11</t>
    </r>
    <r>
      <rPr>
        <b/>
        <sz val="10"/>
        <rFont val="宋体"/>
        <charset val="134"/>
      </rPr>
      <t xml:space="preserve">寸绒公仔
</t>
    </r>
  </si>
  <si>
    <r>
      <rPr>
        <b/>
        <sz val="10"/>
        <rFont val="宋体"/>
        <charset val="134"/>
      </rPr>
      <t xml:space="preserve">白色独角兽
</t>
    </r>
    <r>
      <rPr>
        <b/>
        <sz val="10"/>
        <rFont val="Tahoma"/>
        <charset val="134"/>
      </rPr>
      <t>White Unicron</t>
    </r>
  </si>
  <si>
    <t>10mm扎染小兔毛</t>
  </si>
  <si>
    <t>大身</t>
  </si>
  <si>
    <r>
      <rPr>
        <sz val="10"/>
        <rFont val="Tahoma"/>
        <charset val="134"/>
      </rPr>
      <t>110mm七彩长毛绒-共用物料</t>
    </r>
  </si>
  <si>
    <r>
      <rPr>
        <sz val="10"/>
        <rFont val="宋体"/>
        <charset val="134"/>
      </rPr>
      <t>头毛/尾巴</t>
    </r>
  </si>
  <si>
    <t>全套辅料</t>
  </si>
  <si>
    <t>珠片</t>
  </si>
  <si>
    <t>肚片</t>
  </si>
  <si>
    <r>
      <rPr>
        <b/>
        <sz val="10"/>
        <rFont val="宋体"/>
        <charset val="134"/>
      </rPr>
      <t>白色羊驼
White Llama</t>
    </r>
  </si>
  <si>
    <t>白色羊驼</t>
  </si>
  <si>
    <r>
      <rPr>
        <b/>
        <sz val="10"/>
        <rFont val="宋体"/>
        <charset val="134"/>
      </rPr>
      <t xml:space="preserve">玫红色火烈鸟
</t>
    </r>
    <r>
      <rPr>
        <b/>
        <sz val="10"/>
        <rFont val="Tahoma"/>
        <charset val="134"/>
      </rPr>
      <t>Rose Flamingo</t>
    </r>
  </si>
  <si>
    <t>10mm橘红色小兔毛</t>
  </si>
  <si>
    <t>彩色毛绒</t>
  </si>
  <si>
    <t>侧翅</t>
  </si>
  <si>
    <t>110mm双色长毛绒</t>
  </si>
  <si>
    <t>头发</t>
  </si>
  <si>
    <t>绣珠片</t>
  </si>
  <si>
    <r>
      <rPr>
        <b/>
        <sz val="10"/>
        <color indexed="9"/>
        <rFont val="宋体"/>
        <charset val="134"/>
      </rPr>
      <t>珠片</t>
    </r>
  </si>
  <si>
    <t>MA-301</t>
  </si>
  <si>
    <t>MA-318</t>
  </si>
  <si>
    <t>MA-335</t>
  </si>
  <si>
    <t>MA-348</t>
  </si>
  <si>
    <t>MA-361</t>
  </si>
  <si>
    <t>MA-377</t>
  </si>
  <si>
    <t>MA-394</t>
  </si>
  <si>
    <t>MA-414</t>
  </si>
  <si>
    <t>MA-420</t>
  </si>
  <si>
    <t>MA-437</t>
  </si>
  <si>
    <t>MA-454</t>
  </si>
  <si>
    <t>MA-472</t>
  </si>
  <si>
    <t>MA-532</t>
  </si>
  <si>
    <t>MA-619</t>
  </si>
  <si>
    <r>
      <rPr>
        <b/>
        <sz val="10"/>
        <color theme="0"/>
        <rFont val="Tahoma"/>
        <charset val="134"/>
      </rPr>
      <t>MA</t>
    </r>
    <r>
      <rPr>
        <b/>
        <sz val="10"/>
        <color theme="0"/>
        <rFont val="宋体"/>
        <charset val="134"/>
      </rPr>
      <t>可生产数量</t>
    </r>
  </si>
  <si>
    <t>9214# Rainbocorns
Sparkle Heart Surprise S2</t>
  </si>
  <si>
    <r>
      <rPr>
        <b/>
        <sz val="10"/>
        <rFont val="宋体"/>
        <charset val="134"/>
      </rPr>
      <t xml:space="preserve">白色猫头鹰
</t>
    </r>
    <r>
      <rPr>
        <b/>
        <sz val="10"/>
        <rFont val="Tahoma"/>
        <charset val="134"/>
      </rPr>
      <t>White Owl</t>
    </r>
  </si>
  <si>
    <t>3mm烫金超柔布</t>
  </si>
  <si>
    <t>银色镭射圆点pu皮</t>
  </si>
  <si>
    <t>肚皮心</t>
  </si>
  <si>
    <t>50mm双色长绒布</t>
  </si>
  <si>
    <t>头发/尾巴</t>
  </si>
  <si>
    <t>共用物料1</t>
  </si>
  <si>
    <r>
      <rPr>
        <b/>
        <sz val="10"/>
        <rFont val="宋体"/>
        <charset val="134"/>
      </rPr>
      <t xml:space="preserve">粉色狮子
</t>
    </r>
    <r>
      <rPr>
        <b/>
        <sz val="10"/>
        <rFont val="Tahoma"/>
        <charset val="134"/>
      </rPr>
      <t>Pink Lion</t>
    </r>
  </si>
  <si>
    <t>3mm粉色超柔</t>
  </si>
  <si>
    <t>浅金色镭射圆点pu皮</t>
  </si>
  <si>
    <t>50mm玫红长毛绒</t>
  </si>
  <si>
    <t>胡须/头毛/尾尖</t>
  </si>
  <si>
    <r>
      <rPr>
        <b/>
        <sz val="10"/>
        <rFont val="宋体"/>
        <charset val="134"/>
      </rPr>
      <t xml:space="preserve">黄色猴子
</t>
    </r>
    <r>
      <rPr>
        <b/>
        <sz val="10"/>
        <rFont val="Tahoma"/>
        <charset val="134"/>
      </rPr>
      <t>Yellow Monkey</t>
    </r>
  </si>
  <si>
    <t>10mm黄色PV绒</t>
  </si>
  <si>
    <t>荧光绿色镭射圆点pu皮</t>
  </si>
  <si>
    <t>50mm七彩长绒布</t>
  </si>
  <si>
    <t>头毛</t>
  </si>
  <si>
    <t>共用物料2</t>
  </si>
  <si>
    <r>
      <rPr>
        <b/>
        <sz val="10"/>
        <rFont val="宋体"/>
        <charset val="134"/>
      </rPr>
      <t xml:space="preserve">紫色独角兽
</t>
    </r>
    <r>
      <rPr>
        <b/>
        <sz val="10"/>
        <rFont val="Tahoma"/>
        <charset val="134"/>
      </rPr>
      <t>Purple Unicorn</t>
    </r>
  </si>
  <si>
    <t>3mm紫色超柔</t>
  </si>
  <si>
    <t>土豪金色镭射圆点pu皮</t>
  </si>
  <si>
    <r>
      <rPr>
        <b/>
        <sz val="10"/>
        <rFont val="宋体"/>
        <charset val="134"/>
      </rPr>
      <t xml:space="preserve">白色熊猫
</t>
    </r>
    <r>
      <rPr>
        <b/>
        <sz val="10"/>
        <rFont val="Tahoma"/>
        <charset val="134"/>
      </rPr>
      <t>White Panda</t>
    </r>
  </si>
  <si>
    <t>3mm白色超柔</t>
  </si>
  <si>
    <t>无MOQ</t>
  </si>
  <si>
    <t>酒红色镭射圆点pu皮</t>
  </si>
  <si>
    <r>
      <rPr>
        <b/>
        <sz val="10"/>
        <rFont val="宋体"/>
        <charset val="134"/>
      </rPr>
      <t xml:space="preserve">彩色火烈鸟
</t>
    </r>
    <r>
      <rPr>
        <b/>
        <sz val="10"/>
        <rFont val="Tahoma"/>
        <charset val="134"/>
      </rPr>
      <t>Colour Flamingo</t>
    </r>
  </si>
  <si>
    <t>10mm版印小兔毛</t>
  </si>
  <si>
    <t>紫色镭射圆点pu皮</t>
  </si>
  <si>
    <t>主布料</t>
  </si>
  <si>
    <r>
      <rPr>
        <b/>
        <sz val="10"/>
        <color theme="0"/>
        <rFont val="宋体"/>
        <charset val="134"/>
      </rPr>
      <t>专用款</t>
    </r>
  </si>
  <si>
    <t>主布料-50mm双色长绒布</t>
  </si>
  <si>
    <r>
      <rPr>
        <b/>
        <sz val="10"/>
        <color theme="0"/>
        <rFont val="宋体"/>
        <charset val="134"/>
      </rPr>
      <t>共用物料</t>
    </r>
    <r>
      <rPr>
        <b/>
        <sz val="10"/>
        <color theme="0"/>
        <rFont val="Tahoma"/>
        <charset val="134"/>
      </rPr>
      <t>1</t>
    </r>
  </si>
  <si>
    <t>主布料-50mm七彩长绒布</t>
  </si>
  <si>
    <r>
      <rPr>
        <b/>
        <sz val="10"/>
        <color theme="0"/>
        <rFont val="宋体"/>
        <charset val="134"/>
      </rPr>
      <t>共用物料</t>
    </r>
    <r>
      <rPr>
        <b/>
        <sz val="10"/>
        <color theme="0"/>
        <rFont val="Tahoma"/>
        <charset val="134"/>
      </rPr>
      <t>2</t>
    </r>
  </si>
  <si>
    <t>配套辅料</t>
  </si>
  <si>
    <t>Body Parts</t>
  </si>
  <si>
    <t>USAGE</t>
  </si>
  <si>
    <t>Estimated Output of MOQ</t>
  </si>
  <si>
    <t>MA-342</t>
  </si>
  <si>
    <t>MA-389</t>
  </si>
  <si>
    <t>MA-459</t>
  </si>
  <si>
    <t>Cumulative Total of MA Order</t>
  </si>
  <si>
    <t>Estimated Output of MA QTY</t>
  </si>
  <si>
    <r>
      <rPr>
        <b/>
        <sz val="10"/>
        <rFont val="Tahoma"/>
        <charset val="134"/>
      </rPr>
      <t xml:space="preserve">9213# Rainbocorns Big Hair Surprise 
</t>
    </r>
    <r>
      <rPr>
        <b/>
        <sz val="10"/>
        <rFont val="Tahoma"/>
        <charset val="134"/>
      </rPr>
      <t xml:space="preserve">
</t>
    </r>
  </si>
  <si>
    <r>
      <rPr>
        <b/>
        <sz val="10"/>
        <rFont val="宋体"/>
        <charset val="134"/>
      </rPr>
      <t xml:space="preserve">小猫
</t>
    </r>
    <r>
      <rPr>
        <b/>
        <sz val="10"/>
        <rFont val="Tahoma"/>
        <charset val="134"/>
      </rPr>
      <t>Kitty</t>
    </r>
  </si>
  <si>
    <t>10mm扎染小兔毛布</t>
  </si>
  <si>
    <t>前身/后身/底</t>
  </si>
  <si>
    <t>粉色彩虹爆裂纹</t>
  </si>
  <si>
    <t>外手/内手/脚杆/脚底/耳朵/翅膀</t>
  </si>
  <si>
    <t>米白色彩虹爆裂纹</t>
  </si>
  <si>
    <t>肚片心/角</t>
  </si>
  <si>
    <t>8C#烫点布</t>
  </si>
  <si>
    <t>肚片心</t>
  </si>
  <si>
    <t>110mm彩色长毛绒(蓝/浅蓝/红/粉色）</t>
  </si>
  <si>
    <t>前头毛/后头毛</t>
  </si>
  <si>
    <t>尾巴</t>
  </si>
  <si>
    <t>58"蓝色闪粉PU皮</t>
  </si>
  <si>
    <t>眼睛垫片-左</t>
  </si>
  <si>
    <t>58"金色闪粉PU皮</t>
  </si>
  <si>
    <t>眼睛垫片-右</t>
  </si>
  <si>
    <r>
      <rPr>
        <b/>
        <sz val="10"/>
        <rFont val="宋体"/>
        <charset val="134"/>
      </rPr>
      <t xml:space="preserve">独角兽
</t>
    </r>
    <r>
      <rPr>
        <b/>
        <sz val="10"/>
        <rFont val="Tahoma"/>
        <charset val="134"/>
      </rPr>
      <t>Unicorn</t>
    </r>
  </si>
  <si>
    <t>10mm橘色小兔毛布</t>
  </si>
  <si>
    <t>前身/后身/底/手杆/脚杆</t>
  </si>
  <si>
    <t>幻彩绿色彩虹爆裂纹</t>
  </si>
  <si>
    <t>手面/脚面/手底/脚底/角/翅膀</t>
  </si>
  <si>
    <t>米白色爆裂纹</t>
  </si>
  <si>
    <t>肚片心/耳朵</t>
  </si>
  <si>
    <t>17#烫点布</t>
  </si>
  <si>
    <t>110mm彩色长毛绒(黄/浅蓝/紫/玫红）</t>
  </si>
  <si>
    <t>前头毛/后头毛/尾巴</t>
  </si>
  <si>
    <t>银色闪粉PU皮</t>
  </si>
  <si>
    <t>眼睛垫片</t>
  </si>
  <si>
    <r>
      <rPr>
        <b/>
        <sz val="10"/>
        <rFont val="宋体"/>
        <charset val="134"/>
      </rPr>
      <t xml:space="preserve">大嘴鸟
</t>
    </r>
    <r>
      <rPr>
        <b/>
        <sz val="10"/>
        <rFont val="Tahoma"/>
        <charset val="134"/>
      </rPr>
      <t>Toucon</t>
    </r>
  </si>
  <si>
    <t>15mm蓝色PV绒.</t>
  </si>
  <si>
    <t>前身/后身/底/侧翅</t>
  </si>
  <si>
    <t>黄色彩虹爆裂纹</t>
  </si>
  <si>
    <t>脚/眼贴布/角/翅膀</t>
  </si>
  <si>
    <t>110mm彩色长毛绒(紫/绿/浅灰）</t>
  </si>
  <si>
    <t>前头发/后头发</t>
  </si>
  <si>
    <t>浅绿彩虹爆裂纹</t>
  </si>
  <si>
    <t>肚皮心/嘴中</t>
  </si>
  <si>
    <t>3#烫点布</t>
  </si>
  <si>
    <t>蓝色闪粉PU皮</t>
  </si>
  <si>
    <r>
      <rPr>
        <b/>
        <sz val="10"/>
        <color theme="0"/>
        <rFont val="宋体"/>
        <charset val="134"/>
      </rPr>
      <t>部位</t>
    </r>
  </si>
  <si>
    <r>
      <rPr>
        <b/>
        <sz val="10"/>
        <color theme="0"/>
        <rFont val="宋体"/>
        <charset val="134"/>
      </rPr>
      <t>备注</t>
    </r>
  </si>
  <si>
    <r>
      <rPr>
        <b/>
        <sz val="10"/>
        <color theme="0"/>
        <rFont val="宋体"/>
        <charset val="134"/>
      </rPr>
      <t>用量</t>
    </r>
  </si>
  <si>
    <r>
      <rPr>
        <b/>
        <sz val="10"/>
        <color theme="0"/>
        <rFont val="Tahoma"/>
        <charset val="134"/>
      </rPr>
      <t>MOQ</t>
    </r>
    <r>
      <rPr>
        <b/>
        <sz val="10"/>
        <color theme="0"/>
        <rFont val="Tahoma"/>
        <charset val="134"/>
      </rPr>
      <t>生产数量</t>
    </r>
  </si>
  <si>
    <t>MA-403</t>
  </si>
  <si>
    <t>MA-450</t>
  </si>
  <si>
    <t>MA-481</t>
  </si>
  <si>
    <t>MA-500</t>
  </si>
  <si>
    <t>MA-515</t>
  </si>
  <si>
    <t>MA-534</t>
  </si>
  <si>
    <t>MA-543</t>
  </si>
  <si>
    <t>MA-555</t>
  </si>
  <si>
    <t>9237# Rainbocorns
Sparkle Heart Surprise S3</t>
  </si>
  <si>
    <r>
      <rPr>
        <b/>
        <sz val="10"/>
        <rFont val="宋体"/>
        <charset val="134"/>
      </rPr>
      <t>贵妇犬</t>
    </r>
    <r>
      <rPr>
        <b/>
        <sz val="10"/>
        <rFont val="Tahoma"/>
        <charset val="134"/>
      </rPr>
      <t>/Poodle</t>
    </r>
  </si>
  <si>
    <r>
      <rPr>
        <sz val="10"/>
        <rFont val="Tahoma"/>
        <charset val="134"/>
      </rPr>
      <t>2.5mm</t>
    </r>
    <r>
      <rPr>
        <sz val="10"/>
        <rFont val="宋体"/>
        <charset val="134"/>
      </rPr>
      <t>粉色塞乐绒</t>
    </r>
  </si>
  <si>
    <r>
      <rPr>
        <sz val="10"/>
        <rFont val="Tahoma"/>
        <charset val="134"/>
      </rPr>
      <t>前片</t>
    </r>
    <r>
      <rPr>
        <sz val="10"/>
        <rFont val="Tahoma"/>
        <charset val="134"/>
      </rPr>
      <t>/</t>
    </r>
    <r>
      <rPr>
        <sz val="10"/>
        <rFont val="Tahoma"/>
        <charset val="134"/>
      </rPr>
      <t>后身</t>
    </r>
    <r>
      <rPr>
        <sz val="10"/>
        <rFont val="Tahoma"/>
        <charset val="134"/>
      </rPr>
      <t>/</t>
    </r>
    <r>
      <rPr>
        <sz val="10"/>
        <rFont val="Tahoma"/>
        <charset val="134"/>
      </rPr>
      <t>底</t>
    </r>
    <r>
      <rPr>
        <sz val="10"/>
        <rFont val="Tahoma"/>
        <charset val="134"/>
      </rPr>
      <t>/</t>
    </r>
    <r>
      <rPr>
        <sz val="10"/>
        <rFont val="Tahoma"/>
        <charset val="134"/>
      </rPr>
      <t>尾巴</t>
    </r>
  </si>
  <si>
    <r>
      <rPr>
        <sz val="10"/>
        <rFont val="Tahoma"/>
        <charset val="134"/>
      </rPr>
      <t>1.5mm</t>
    </r>
    <r>
      <rPr>
        <sz val="10"/>
        <rFont val="Tahoma"/>
        <charset val="134"/>
      </rPr>
      <t>深粉色印银点水晶超柔</t>
    </r>
  </si>
  <si>
    <r>
      <rPr>
        <sz val="10"/>
        <rFont val="Tahoma"/>
        <charset val="134"/>
      </rPr>
      <t>耳朵</t>
    </r>
  </si>
  <si>
    <r>
      <rPr>
        <sz val="10"/>
        <rFont val="Tahoma"/>
        <charset val="134"/>
      </rPr>
      <t>24mm</t>
    </r>
    <r>
      <rPr>
        <sz val="10"/>
        <rFont val="Tahoma"/>
        <charset val="134"/>
      </rPr>
      <t>印花短毛绒</t>
    </r>
  </si>
  <si>
    <r>
      <rPr>
        <sz val="10"/>
        <rFont val="Tahoma"/>
        <charset val="134"/>
      </rPr>
      <t>头毛</t>
    </r>
  </si>
  <si>
    <r>
      <rPr>
        <sz val="10"/>
        <rFont val="Tahoma"/>
        <charset val="134"/>
      </rPr>
      <t>15mm</t>
    </r>
    <r>
      <rPr>
        <sz val="10"/>
        <rFont val="Tahoma"/>
        <charset val="134"/>
      </rPr>
      <t>深粉色</t>
    </r>
    <r>
      <rPr>
        <sz val="10"/>
        <rFont val="Tahoma"/>
        <charset val="134"/>
      </rPr>
      <t>PV</t>
    </r>
    <r>
      <rPr>
        <sz val="10"/>
        <rFont val="Tahoma"/>
        <charset val="134"/>
      </rPr>
      <t>绒</t>
    </r>
  </si>
  <si>
    <r>
      <rPr>
        <sz val="10"/>
        <rFont val="Tahoma"/>
        <charset val="134"/>
      </rPr>
      <t>脚</t>
    </r>
    <r>
      <rPr>
        <sz val="10"/>
        <rFont val="Tahoma"/>
        <charset val="134"/>
      </rPr>
      <t>/</t>
    </r>
    <r>
      <rPr>
        <sz val="10"/>
        <rFont val="Tahoma"/>
        <charset val="134"/>
      </rPr>
      <t>脚底</t>
    </r>
    <r>
      <rPr>
        <sz val="10"/>
        <rFont val="Tahoma"/>
        <charset val="134"/>
      </rPr>
      <t>/</t>
    </r>
    <r>
      <rPr>
        <sz val="10"/>
        <rFont val="Tahoma"/>
        <charset val="134"/>
      </rPr>
      <t>尾尖</t>
    </r>
  </si>
  <si>
    <r>
      <rPr>
        <sz val="10"/>
        <rFont val="Tahoma"/>
        <charset val="134"/>
      </rPr>
      <t>#38</t>
    </r>
    <r>
      <rPr>
        <sz val="10"/>
        <rFont val="Tahoma"/>
        <charset val="134"/>
      </rPr>
      <t>银色巴黎之星</t>
    </r>
  </si>
  <si>
    <r>
      <rPr>
        <sz val="10"/>
        <rFont val="Tahoma"/>
        <charset val="134"/>
      </rPr>
      <t>角</t>
    </r>
    <r>
      <rPr>
        <sz val="10"/>
        <rFont val="Tahoma"/>
        <charset val="134"/>
      </rPr>
      <t>/</t>
    </r>
    <r>
      <rPr>
        <sz val="10"/>
        <rFont val="Tahoma"/>
        <charset val="134"/>
      </rPr>
      <t>翅膀</t>
    </r>
  </si>
  <si>
    <r>
      <rPr>
        <sz val="10"/>
        <rFont val="Tahoma"/>
        <charset val="134"/>
      </rPr>
      <t>#68</t>
    </r>
    <r>
      <rPr>
        <sz val="10"/>
        <rFont val="Tahoma"/>
        <charset val="134"/>
      </rPr>
      <t>银色布底镜面彩虹膜</t>
    </r>
  </si>
  <si>
    <r>
      <rPr>
        <sz val="10"/>
        <rFont val="Tahoma"/>
        <charset val="134"/>
      </rPr>
      <t>肚皮心</t>
    </r>
  </si>
  <si>
    <r>
      <rPr>
        <sz val="10"/>
        <rFont val="Tahoma"/>
        <charset val="134"/>
      </rPr>
      <t>全套辅料</t>
    </r>
  </si>
  <si>
    <r>
      <rPr>
        <b/>
        <sz val="10"/>
        <rFont val="宋体"/>
        <charset val="134"/>
      </rPr>
      <t>斗牛犬</t>
    </r>
    <r>
      <rPr>
        <b/>
        <sz val="10"/>
        <rFont val="Tahoma"/>
        <charset val="134"/>
      </rPr>
      <t>/Bulldog</t>
    </r>
  </si>
  <si>
    <r>
      <rPr>
        <sz val="10"/>
        <rFont val="Tahoma"/>
        <charset val="134"/>
      </rPr>
      <t>3mm</t>
    </r>
    <r>
      <rPr>
        <sz val="10"/>
        <rFont val="Tahoma"/>
        <charset val="134"/>
      </rPr>
      <t>白色塞乐绒</t>
    </r>
    <r>
      <rPr>
        <sz val="10"/>
        <rFont val="Tahoma"/>
        <charset val="134"/>
      </rPr>
      <t>/</t>
    </r>
    <r>
      <rPr>
        <sz val="10"/>
        <rFont val="Tahoma"/>
        <charset val="134"/>
      </rPr>
      <t>数码定位印</t>
    </r>
  </si>
  <si>
    <r>
      <rPr>
        <sz val="10"/>
        <rFont val="Tahoma"/>
        <charset val="134"/>
      </rPr>
      <t>前身</t>
    </r>
    <r>
      <rPr>
        <sz val="10"/>
        <rFont val="Tahoma"/>
        <charset val="134"/>
      </rPr>
      <t>/</t>
    </r>
    <r>
      <rPr>
        <sz val="10"/>
        <rFont val="Tahoma"/>
        <charset val="134"/>
      </rPr>
      <t>后身</t>
    </r>
    <r>
      <rPr>
        <sz val="10"/>
        <rFont val="Tahoma"/>
        <charset val="134"/>
      </rPr>
      <t>/</t>
    </r>
    <r>
      <rPr>
        <sz val="10"/>
        <rFont val="Tahoma"/>
        <charset val="134"/>
      </rPr>
      <t>底</t>
    </r>
  </si>
  <si>
    <r>
      <rPr>
        <sz val="10"/>
        <rFont val="Tahoma"/>
        <charset val="134"/>
      </rPr>
      <t>44#</t>
    </r>
    <r>
      <rPr>
        <sz val="10"/>
        <rFont val="Tahoma"/>
        <charset val="134"/>
      </rPr>
      <t>浅金色巴黎之星</t>
    </r>
  </si>
  <si>
    <r>
      <rPr>
        <sz val="10"/>
        <rFont val="Tahoma"/>
        <charset val="134"/>
      </rPr>
      <t>#67</t>
    </r>
    <r>
      <rPr>
        <sz val="10"/>
        <rFont val="Tahoma"/>
        <charset val="134"/>
      </rPr>
      <t>黄色布底镜面彩虹膜</t>
    </r>
  </si>
  <si>
    <r>
      <rPr>
        <b/>
        <sz val="10"/>
        <rFont val="宋体"/>
        <charset val="134"/>
      </rPr>
      <t>哈士奇</t>
    </r>
    <r>
      <rPr>
        <b/>
        <sz val="10"/>
        <rFont val="Tahoma"/>
        <charset val="134"/>
      </rPr>
      <t>/Husky</t>
    </r>
  </si>
  <si>
    <r>
      <rPr>
        <sz val="10"/>
        <rFont val="Tahoma"/>
        <charset val="134"/>
      </rPr>
      <t>10mm</t>
    </r>
    <r>
      <rPr>
        <sz val="10"/>
        <rFont val="Tahoma"/>
        <charset val="134"/>
      </rPr>
      <t>雕染小兔毛</t>
    </r>
  </si>
  <si>
    <r>
      <rPr>
        <sz val="10"/>
        <rFont val="Tahoma"/>
        <charset val="134"/>
      </rPr>
      <t>前身</t>
    </r>
    <r>
      <rPr>
        <sz val="10"/>
        <rFont val="Tahoma"/>
        <charset val="134"/>
      </rPr>
      <t>/</t>
    </r>
    <r>
      <rPr>
        <sz val="10"/>
        <rFont val="Tahoma"/>
        <charset val="134"/>
      </rPr>
      <t>后身</t>
    </r>
    <r>
      <rPr>
        <sz val="10"/>
        <rFont val="Tahoma"/>
        <charset val="134"/>
      </rPr>
      <t>/</t>
    </r>
    <r>
      <rPr>
        <sz val="10"/>
        <rFont val="Tahoma"/>
        <charset val="134"/>
      </rPr>
      <t>底</t>
    </r>
    <r>
      <rPr>
        <sz val="10"/>
        <rFont val="Tahoma"/>
        <charset val="134"/>
      </rPr>
      <t>/</t>
    </r>
    <r>
      <rPr>
        <sz val="10"/>
        <rFont val="Tahoma"/>
        <charset val="134"/>
      </rPr>
      <t>尾巴</t>
    </r>
    <r>
      <rPr>
        <sz val="10"/>
        <rFont val="Tahoma"/>
        <charset val="134"/>
      </rPr>
      <t>/</t>
    </r>
    <r>
      <rPr>
        <sz val="10"/>
        <rFont val="Tahoma"/>
        <charset val="134"/>
      </rPr>
      <t>外耳</t>
    </r>
  </si>
  <si>
    <r>
      <rPr>
        <sz val="10"/>
        <rFont val="Tahoma"/>
        <charset val="134"/>
      </rPr>
      <t>#41</t>
    </r>
    <r>
      <rPr>
        <sz val="10"/>
        <rFont val="Tahoma"/>
        <charset val="134"/>
      </rPr>
      <t>紫色巴黎之星</t>
    </r>
  </si>
  <si>
    <r>
      <rPr>
        <sz val="10"/>
        <rFont val="Tahoma"/>
        <charset val="134"/>
      </rPr>
      <t>#69</t>
    </r>
    <r>
      <rPr>
        <sz val="10"/>
        <rFont val="Tahoma"/>
        <charset val="134"/>
      </rPr>
      <t>紫色布底镜面彩虹膜</t>
    </r>
  </si>
  <si>
    <r>
      <rPr>
        <b/>
        <sz val="10"/>
        <rFont val="宋体"/>
        <charset val="134"/>
      </rPr>
      <t>八哥犬</t>
    </r>
    <r>
      <rPr>
        <b/>
        <sz val="10"/>
        <rFont val="Tahoma"/>
        <charset val="134"/>
      </rPr>
      <t>/Puggy</t>
    </r>
  </si>
  <si>
    <r>
      <rPr>
        <sz val="10"/>
        <rFont val="Tahoma"/>
        <charset val="134"/>
      </rPr>
      <t>3mm</t>
    </r>
    <r>
      <rPr>
        <sz val="10"/>
        <rFont val="Tahoma"/>
        <charset val="134"/>
      </rPr>
      <t>米白色塞乐绒</t>
    </r>
  </si>
  <si>
    <r>
      <rPr>
        <sz val="10"/>
        <rFont val="Tahoma"/>
        <charset val="134"/>
      </rPr>
      <t>3mm</t>
    </r>
    <r>
      <rPr>
        <sz val="10"/>
        <rFont val="Tahoma"/>
        <charset val="134"/>
      </rPr>
      <t>卡其色塞乐绒</t>
    </r>
  </si>
  <si>
    <r>
      <rPr>
        <sz val="10"/>
        <rFont val="Tahoma"/>
        <charset val="134"/>
      </rPr>
      <t>外耳</t>
    </r>
    <r>
      <rPr>
        <sz val="10"/>
        <rFont val="Tahoma"/>
        <charset val="134"/>
      </rPr>
      <t>/</t>
    </r>
    <r>
      <rPr>
        <sz val="10"/>
        <rFont val="Tahoma"/>
        <charset val="134"/>
      </rPr>
      <t>外手</t>
    </r>
    <r>
      <rPr>
        <sz val="10"/>
        <rFont val="Tahoma"/>
        <charset val="134"/>
      </rPr>
      <t>/</t>
    </r>
    <r>
      <rPr>
        <sz val="10"/>
        <rFont val="Tahoma"/>
        <charset val="134"/>
      </rPr>
      <t>内手</t>
    </r>
    <r>
      <rPr>
        <sz val="10"/>
        <rFont val="Tahoma"/>
        <charset val="134"/>
      </rPr>
      <t>/</t>
    </r>
    <r>
      <rPr>
        <sz val="10"/>
        <rFont val="Tahoma"/>
        <charset val="134"/>
      </rPr>
      <t>内脚面</t>
    </r>
    <r>
      <rPr>
        <sz val="10"/>
        <rFont val="Tahoma"/>
        <charset val="134"/>
      </rPr>
      <t>/</t>
    </r>
    <r>
      <rPr>
        <sz val="10"/>
        <rFont val="Tahoma"/>
        <charset val="134"/>
      </rPr>
      <t>外脚面</t>
    </r>
    <r>
      <rPr>
        <sz val="10"/>
        <rFont val="Tahoma"/>
        <charset val="134"/>
      </rPr>
      <t>/</t>
    </r>
    <r>
      <rPr>
        <sz val="10"/>
        <rFont val="Tahoma"/>
        <charset val="134"/>
      </rPr>
      <t>尾巴</t>
    </r>
    <r>
      <rPr>
        <sz val="10"/>
        <rFont val="Tahoma"/>
        <charset val="134"/>
      </rPr>
      <t>/</t>
    </r>
    <r>
      <rPr>
        <sz val="10"/>
        <rFont val="Tahoma"/>
        <charset val="134"/>
      </rPr>
      <t>脚底</t>
    </r>
  </si>
  <si>
    <r>
      <rPr>
        <sz val="10"/>
        <rFont val="Tahoma"/>
        <charset val="134"/>
      </rPr>
      <t>#40</t>
    </r>
    <r>
      <rPr>
        <sz val="10"/>
        <rFont val="Tahoma"/>
        <charset val="134"/>
      </rPr>
      <t>蓝色巴黎之星</t>
    </r>
  </si>
  <si>
    <r>
      <rPr>
        <sz val="10"/>
        <rFont val="Tahoma"/>
        <charset val="134"/>
      </rPr>
      <t>#63</t>
    </r>
    <r>
      <rPr>
        <sz val="10"/>
        <rFont val="Tahoma"/>
        <charset val="134"/>
      </rPr>
      <t>蓝色布底镜面彩虹膜</t>
    </r>
  </si>
  <si>
    <r>
      <rPr>
        <b/>
        <sz val="10"/>
        <rFont val="宋体"/>
        <charset val="134"/>
      </rPr>
      <t>黑腊肠狗</t>
    </r>
    <r>
      <rPr>
        <b/>
        <sz val="10"/>
        <rFont val="Tahoma"/>
        <charset val="134"/>
      </rPr>
      <t>/Sausage</t>
    </r>
  </si>
  <si>
    <r>
      <rPr>
        <sz val="10"/>
        <rFont val="Tahoma"/>
        <charset val="134"/>
      </rPr>
      <t>3mm</t>
    </r>
    <r>
      <rPr>
        <sz val="10"/>
        <rFont val="Tahoma"/>
        <charset val="134"/>
      </rPr>
      <t>深灰色超柔</t>
    </r>
  </si>
  <si>
    <r>
      <rPr>
        <sz val="10"/>
        <rFont val="Tahoma"/>
        <charset val="134"/>
      </rPr>
      <t>3mm</t>
    </r>
    <r>
      <rPr>
        <sz val="10"/>
        <rFont val="Tahoma"/>
        <charset val="134"/>
      </rPr>
      <t>浅啡色塞乐绒</t>
    </r>
  </si>
  <si>
    <r>
      <rPr>
        <sz val="10"/>
        <rFont val="Tahoma"/>
        <charset val="134"/>
      </rPr>
      <t>外手</t>
    </r>
    <r>
      <rPr>
        <sz val="10"/>
        <rFont val="Tahoma"/>
        <charset val="134"/>
      </rPr>
      <t>/</t>
    </r>
    <r>
      <rPr>
        <sz val="10"/>
        <rFont val="Tahoma"/>
        <charset val="134"/>
      </rPr>
      <t>内手</t>
    </r>
    <r>
      <rPr>
        <sz val="10"/>
        <rFont val="Tahoma"/>
        <charset val="134"/>
      </rPr>
      <t>/</t>
    </r>
    <r>
      <rPr>
        <sz val="10"/>
        <rFont val="Tahoma"/>
        <charset val="134"/>
      </rPr>
      <t>内脚面</t>
    </r>
    <r>
      <rPr>
        <sz val="10"/>
        <rFont val="Tahoma"/>
        <charset val="134"/>
      </rPr>
      <t>/</t>
    </r>
    <r>
      <rPr>
        <sz val="10"/>
        <rFont val="Tahoma"/>
        <charset val="134"/>
      </rPr>
      <t>外脚面</t>
    </r>
    <r>
      <rPr>
        <sz val="10"/>
        <rFont val="Tahoma"/>
        <charset val="134"/>
      </rPr>
      <t>/</t>
    </r>
    <r>
      <rPr>
        <sz val="10"/>
        <rFont val="Tahoma"/>
        <charset val="134"/>
      </rPr>
      <t>脚底</t>
    </r>
  </si>
  <si>
    <r>
      <rPr>
        <sz val="10"/>
        <rFont val="Tahoma"/>
        <charset val="134"/>
      </rPr>
      <t>#34</t>
    </r>
    <r>
      <rPr>
        <sz val="10"/>
        <rFont val="Tahoma"/>
        <charset val="134"/>
      </rPr>
      <t>荧光绿巴黎之星</t>
    </r>
  </si>
  <si>
    <r>
      <rPr>
        <sz val="10"/>
        <rFont val="Tahoma"/>
        <charset val="134"/>
      </rPr>
      <t>#66</t>
    </r>
    <r>
      <rPr>
        <sz val="10"/>
        <rFont val="Tahoma"/>
        <charset val="134"/>
      </rPr>
      <t>银光绿布底镜面彩虹膜</t>
    </r>
  </si>
  <si>
    <r>
      <rPr>
        <b/>
        <sz val="10"/>
        <rFont val="宋体"/>
        <charset val="134"/>
      </rPr>
      <t>黄色拉布拉多犬</t>
    </r>
    <r>
      <rPr>
        <b/>
        <sz val="10"/>
        <rFont val="Tahoma"/>
        <charset val="134"/>
      </rPr>
      <t>/Labra</t>
    </r>
  </si>
  <si>
    <r>
      <rPr>
        <sz val="10"/>
        <rFont val="Tahoma"/>
        <charset val="134"/>
      </rPr>
      <t>3mm</t>
    </r>
    <r>
      <rPr>
        <sz val="10"/>
        <rFont val="Tahoma"/>
        <charset val="134"/>
      </rPr>
      <t>黄色塞乐绒</t>
    </r>
  </si>
  <si>
    <r>
      <rPr>
        <sz val="10"/>
        <rFont val="Tahoma"/>
        <charset val="134"/>
      </rPr>
      <t>前身</t>
    </r>
    <r>
      <rPr>
        <sz val="10"/>
        <rFont val="Tahoma"/>
        <charset val="134"/>
      </rPr>
      <t>/</t>
    </r>
    <r>
      <rPr>
        <sz val="10"/>
        <rFont val="Tahoma"/>
        <charset val="134"/>
      </rPr>
      <t>后身</t>
    </r>
    <r>
      <rPr>
        <sz val="10"/>
        <rFont val="Tahoma"/>
        <charset val="134"/>
      </rPr>
      <t>/</t>
    </r>
    <r>
      <rPr>
        <sz val="10"/>
        <rFont val="Tahoma"/>
        <charset val="134"/>
      </rPr>
      <t>底</t>
    </r>
    <r>
      <rPr>
        <sz val="10"/>
        <rFont val="Tahoma"/>
        <charset val="134"/>
      </rPr>
      <t>/</t>
    </r>
    <r>
      <rPr>
        <sz val="10"/>
        <rFont val="Tahoma"/>
        <charset val="134"/>
      </rPr>
      <t>外耳</t>
    </r>
    <r>
      <rPr>
        <sz val="10"/>
        <rFont val="Tahoma"/>
        <charset val="134"/>
      </rPr>
      <t>/</t>
    </r>
    <r>
      <rPr>
        <sz val="10"/>
        <rFont val="Tahoma"/>
        <charset val="134"/>
      </rPr>
      <t>外手</t>
    </r>
    <r>
      <rPr>
        <sz val="10"/>
        <rFont val="Tahoma"/>
        <charset val="134"/>
      </rPr>
      <t>/</t>
    </r>
    <r>
      <rPr>
        <sz val="10"/>
        <rFont val="Tahoma"/>
        <charset val="134"/>
      </rPr>
      <t>内手</t>
    </r>
    <r>
      <rPr>
        <sz val="10"/>
        <rFont val="Tahoma"/>
        <charset val="134"/>
      </rPr>
      <t>/</t>
    </r>
    <r>
      <rPr>
        <sz val="10"/>
        <rFont val="Tahoma"/>
        <charset val="134"/>
      </rPr>
      <t>内脚面</t>
    </r>
    <r>
      <rPr>
        <sz val="10"/>
        <rFont val="Tahoma"/>
        <charset val="134"/>
      </rPr>
      <t>/</t>
    </r>
    <r>
      <rPr>
        <sz val="10"/>
        <rFont val="Tahoma"/>
        <charset val="134"/>
      </rPr>
      <t>外脚面</t>
    </r>
    <r>
      <rPr>
        <sz val="10"/>
        <rFont val="Tahoma"/>
        <charset val="134"/>
      </rPr>
      <t>/</t>
    </r>
    <r>
      <rPr>
        <sz val="10"/>
        <rFont val="Tahoma"/>
        <charset val="134"/>
      </rPr>
      <t>尾巴</t>
    </r>
    <r>
      <rPr>
        <sz val="10"/>
        <rFont val="Tahoma"/>
        <charset val="134"/>
      </rPr>
      <t>/</t>
    </r>
    <r>
      <rPr>
        <sz val="10"/>
        <rFont val="Tahoma"/>
        <charset val="134"/>
      </rPr>
      <t>脚底</t>
    </r>
  </si>
  <si>
    <r>
      <rPr>
        <sz val="10"/>
        <rFont val="Tahoma"/>
        <charset val="134"/>
      </rPr>
      <t>#71</t>
    </r>
    <r>
      <rPr>
        <sz val="10"/>
        <rFont val="Tahoma"/>
        <charset val="134"/>
      </rPr>
      <t>紫色巴黎之星</t>
    </r>
  </si>
  <si>
    <r>
      <rPr>
        <sz val="10"/>
        <rFont val="Tahoma"/>
        <charset val="134"/>
      </rPr>
      <t>#65</t>
    </r>
    <r>
      <rPr>
        <sz val="10"/>
        <rFont val="Tahoma"/>
        <charset val="134"/>
      </rPr>
      <t>紫色布底镜面彩虹膜</t>
    </r>
  </si>
  <si>
    <r>
      <rPr>
        <b/>
        <sz val="10"/>
        <rFont val="宋体"/>
        <charset val="134"/>
      </rPr>
      <t>斑点狗</t>
    </r>
    <r>
      <rPr>
        <b/>
        <sz val="10"/>
        <rFont val="Tahoma"/>
        <charset val="134"/>
      </rPr>
      <t>/Damlatians</t>
    </r>
  </si>
  <si>
    <r>
      <rPr>
        <sz val="10"/>
        <rFont val="Tahoma"/>
        <charset val="134"/>
      </rPr>
      <t>前身</t>
    </r>
    <r>
      <rPr>
        <sz val="10"/>
        <rFont val="Tahoma"/>
        <charset val="134"/>
      </rPr>
      <t>/</t>
    </r>
    <r>
      <rPr>
        <sz val="10"/>
        <rFont val="Tahoma"/>
        <charset val="134"/>
      </rPr>
      <t>后身</t>
    </r>
    <r>
      <rPr>
        <sz val="10"/>
        <rFont val="Tahoma"/>
        <charset val="134"/>
      </rPr>
      <t>/</t>
    </r>
    <r>
      <rPr>
        <sz val="10"/>
        <rFont val="Tahoma"/>
        <charset val="134"/>
      </rPr>
      <t>底</t>
    </r>
    <r>
      <rPr>
        <sz val="10"/>
        <rFont val="Tahoma"/>
        <charset val="134"/>
      </rPr>
      <t>/</t>
    </r>
    <r>
      <rPr>
        <sz val="10"/>
        <rFont val="Tahoma"/>
        <charset val="134"/>
      </rPr>
      <t>外耳</t>
    </r>
    <r>
      <rPr>
        <sz val="10"/>
        <rFont val="Tahoma"/>
        <charset val="134"/>
      </rPr>
      <t>/</t>
    </r>
    <r>
      <rPr>
        <sz val="10"/>
        <rFont val="Tahoma"/>
        <charset val="134"/>
      </rPr>
      <t>外手</t>
    </r>
    <r>
      <rPr>
        <sz val="10"/>
        <rFont val="Tahoma"/>
        <charset val="134"/>
      </rPr>
      <t>/</t>
    </r>
    <r>
      <rPr>
        <sz val="10"/>
        <rFont val="Tahoma"/>
        <charset val="134"/>
      </rPr>
      <t>内手</t>
    </r>
    <r>
      <rPr>
        <sz val="10"/>
        <rFont val="Tahoma"/>
        <charset val="134"/>
      </rPr>
      <t>/</t>
    </r>
    <r>
      <rPr>
        <sz val="10"/>
        <rFont val="Tahoma"/>
        <charset val="134"/>
      </rPr>
      <t>内脚面</t>
    </r>
    <r>
      <rPr>
        <sz val="10"/>
        <rFont val="Tahoma"/>
        <charset val="134"/>
      </rPr>
      <t>/</t>
    </r>
    <r>
      <rPr>
        <sz val="10"/>
        <rFont val="Tahoma"/>
        <charset val="134"/>
      </rPr>
      <t>尾巴</t>
    </r>
    <r>
      <rPr>
        <sz val="10"/>
        <rFont val="Tahoma"/>
        <charset val="134"/>
      </rPr>
      <t>/</t>
    </r>
    <r>
      <rPr>
        <sz val="10"/>
        <rFont val="Tahoma"/>
        <charset val="134"/>
      </rPr>
      <t>脚底</t>
    </r>
  </si>
  <si>
    <r>
      <rPr>
        <sz val="10"/>
        <rFont val="Tahoma"/>
        <charset val="134"/>
      </rPr>
      <t>#70</t>
    </r>
    <r>
      <rPr>
        <sz val="10"/>
        <rFont val="Tahoma"/>
        <charset val="134"/>
      </rPr>
      <t>西瓜红色巴黎之星</t>
    </r>
  </si>
  <si>
    <r>
      <rPr>
        <sz val="10"/>
        <rFont val="Tahoma"/>
        <charset val="134"/>
      </rPr>
      <t>#64</t>
    </r>
    <r>
      <rPr>
        <sz val="10"/>
        <rFont val="Tahoma"/>
        <charset val="134"/>
      </rPr>
      <t>西瓜红色布底镜面彩虹膜</t>
    </r>
  </si>
  <si>
    <r>
      <rPr>
        <b/>
        <sz val="10"/>
        <color theme="0"/>
        <rFont val="Tahoma"/>
        <charset val="134"/>
      </rPr>
      <t>主布料</t>
    </r>
  </si>
  <si>
    <r>
      <rPr>
        <b/>
        <sz val="10"/>
        <color theme="0"/>
        <rFont val="Tahoma"/>
        <charset val="134"/>
      </rPr>
      <t>配套辅料</t>
    </r>
  </si>
  <si>
    <t>MA-478</t>
  </si>
  <si>
    <t>MA-517</t>
  </si>
  <si>
    <t>MA-537</t>
  </si>
  <si>
    <t>MA-557</t>
  </si>
  <si>
    <t>MA QTY</t>
  </si>
  <si>
    <t xml:space="preserve">9244# Rainbocorns Big Bow Surprise 
</t>
  </si>
  <si>
    <t>蜗牛</t>
  </si>
  <si>
    <t>3mm超柔+印金色点+网纱贴合</t>
  </si>
  <si>
    <t>蜗牛壳侧面                                                                                                                                                                                                                                                                                                                                                                                                                                                                                                                                                                                                                                                  /壳围</t>
  </si>
  <si>
    <t>5mm塞乐绒+网纱贴合</t>
  </si>
  <si>
    <t>肚皮/侧身</t>
  </si>
  <si>
    <t>#99玫红色闪粉佳积布+TC贴合</t>
  </si>
  <si>
    <t>触角</t>
  </si>
  <si>
    <t>60mm荧光粉色狐狸毛</t>
  </si>
  <si>
    <t>#98金色闪粉佳积布+2mm海绵+TC贴合</t>
  </si>
  <si>
    <t>头角/翅膀</t>
  </si>
  <si>
    <t>#101金色冰丝彩金料+65g无纺布贴合</t>
  </si>
  <si>
    <t>肚片芯</t>
  </si>
  <si>
    <t>#50银色闪粉PU皮</t>
  </si>
  <si>
    <t>直径42mm水晶眼+垫片</t>
  </si>
  <si>
    <t>小鹿</t>
  </si>
  <si>
    <t>10mm紫色小兔毛</t>
  </si>
  <si>
    <t>前幅/后幅/底/手杆/脚杆/外尾/外耳</t>
  </si>
  <si>
    <t>58"蓝色闪粉佳积布+TC 贴合</t>
  </si>
  <si>
    <t>头角</t>
  </si>
  <si>
    <r>
      <rPr>
        <sz val="10"/>
        <rFont val="Tahoma"/>
        <charset val="134"/>
      </rPr>
      <t>58"</t>
    </r>
    <r>
      <rPr>
        <sz val="10"/>
        <rFont val="宋体"/>
        <charset val="134"/>
      </rPr>
      <t>紫色闪粉佳积布</t>
    </r>
    <r>
      <rPr>
        <sz val="10"/>
        <rFont val="Tahoma"/>
        <charset val="134"/>
      </rPr>
      <t>+TC</t>
    </r>
    <r>
      <rPr>
        <sz val="10"/>
        <rFont val="宋体"/>
        <charset val="134"/>
      </rPr>
      <t>贴合</t>
    </r>
  </si>
  <si>
    <t>58"320g1.5mm白色水晶超柔</t>
  </si>
  <si>
    <t>嘴巴</t>
  </si>
  <si>
    <t>#97浅粉色闪粉佳积+TC 贴合</t>
  </si>
  <si>
    <t>内耳/手面/脚面/手底/脚底/内尾</t>
  </si>
  <si>
    <t>110mm夹葱三色长毛绒</t>
  </si>
  <si>
    <t>58"#96香槟色闪粉佳积布+2mm海绵+TC贴合</t>
  </si>
  <si>
    <t>翅膀</t>
  </si>
  <si>
    <t>54"#93号金色烫金布+65g无纺布贴合</t>
  </si>
  <si>
    <t>58"#48蓝色闪粉PU皮</t>
  </si>
  <si>
    <t>海豹</t>
  </si>
  <si>
    <t>后身/肚皮/手</t>
  </si>
  <si>
    <t>58"#98浅金色闪粉佳积布+TC 贴合</t>
  </si>
  <si>
    <t>角</t>
  </si>
  <si>
    <t>60"60mm荧光粉色狐狸毛</t>
  </si>
  <si>
    <t>58"#98浅金色闪粉佳积布+2mm海绵+TC 贴合</t>
  </si>
  <si>
    <t>58"#100古铜色烫金布+60g无纺布贴合</t>
  </si>
  <si>
    <r>
      <rPr>
        <b/>
        <sz val="10"/>
        <color theme="0"/>
        <rFont val="宋体"/>
        <charset val="134"/>
      </rPr>
      <t>主布料</t>
    </r>
  </si>
  <si>
    <r>
      <rPr>
        <b/>
        <sz val="10"/>
        <color theme="0"/>
        <rFont val="宋体"/>
        <charset val="134"/>
      </rPr>
      <t>配套辅料</t>
    </r>
  </si>
  <si>
    <r>
      <rPr>
        <b/>
        <sz val="10"/>
        <color theme="0"/>
        <rFont val="宋体"/>
        <charset val="134"/>
      </rPr>
      <t>珠片</t>
    </r>
  </si>
  <si>
    <t>产品用量</t>
  </si>
  <si>
    <r>
      <rPr>
        <b/>
        <sz val="10"/>
        <color theme="0"/>
        <rFont val="Tahoma"/>
        <charset val="134"/>
      </rPr>
      <t>MOQ</t>
    </r>
    <r>
      <rPr>
        <b/>
        <sz val="10"/>
        <color theme="0"/>
        <rFont val="宋体"/>
        <charset val="134"/>
      </rPr>
      <t>生产数量</t>
    </r>
  </si>
  <si>
    <t>MA-583</t>
  </si>
  <si>
    <t>MA-RR-607</t>
  </si>
  <si>
    <t>MA_RR_639</t>
  </si>
  <si>
    <t>MA_RR_646</t>
  </si>
  <si>
    <t>MA-RR-663</t>
  </si>
  <si>
    <t>MA-RR-678</t>
  </si>
  <si>
    <t>MA_RR_697</t>
  </si>
  <si>
    <t>MA-RR-732</t>
  </si>
  <si>
    <t>MA-RR-761</t>
  </si>
  <si>
    <t>MA-RR-778</t>
  </si>
  <si>
    <t>MA_RR_807</t>
  </si>
  <si>
    <t>INTL</t>
  </si>
  <si>
    <t>US</t>
  </si>
  <si>
    <t>TARGET</t>
  </si>
  <si>
    <t>WM</t>
  </si>
  <si>
    <t>Rainbocorn
Kittycorn S1 
9259#</t>
  </si>
  <si>
    <t>暹罗猫</t>
  </si>
  <si>
    <t>3MM杏色塞乐绒</t>
  </si>
  <si>
    <t>1.5MM啡色水晶超柔</t>
  </si>
  <si>
    <t>3MM啡色塞乐绒</t>
  </si>
  <si>
    <t>金色闪粉边伦布-JJ#4</t>
  </si>
  <si>
    <t>共用物料4</t>
  </si>
  <si>
    <t>金色巴黎之星-BLZX#44</t>
  </si>
  <si>
    <t>孟加拉猫</t>
  </si>
  <si>
    <t>3MM漂白色塞乐绒/数码印玫红豹纹</t>
  </si>
  <si>
    <t>粉色闪粉边伦布</t>
  </si>
  <si>
    <t>3MM粉色塞乐绒</t>
  </si>
  <si>
    <t>银色闪粉边伦布-JJ#12</t>
  </si>
  <si>
    <t>银色巴黎之星-BLZX#38</t>
  </si>
  <si>
    <t>美国猫</t>
  </si>
  <si>
    <t>3MM漂白色塞乐绒/数码定位印灰色斑纹</t>
  </si>
  <si>
    <t>蓝色闪粉边伦布</t>
  </si>
  <si>
    <t>亮粉色闪粉边伦布-JJ#4</t>
  </si>
  <si>
    <t>亮粉色巴黎之星-BLZX#4</t>
  </si>
  <si>
    <t>花斑猫</t>
  </si>
  <si>
    <t>3MM漂白色塞乐绒</t>
  </si>
  <si>
    <t>3MM玫红色塞乐绒</t>
  </si>
  <si>
    <t>3MM黑色塞乐绒</t>
  </si>
  <si>
    <t>共用物料3</t>
  </si>
  <si>
    <t>亮粉色闪粉边伦布-JJ#9</t>
  </si>
  <si>
    <t>亮粉色巴黎之星--BLZX#4</t>
  </si>
  <si>
    <t>加菲猫</t>
  </si>
  <si>
    <t>3MM漂白色塞乐绒/数码定位印黄色斑纹</t>
  </si>
  <si>
    <t>银色闪粉边伦布</t>
  </si>
  <si>
    <t>黄金色闪粉边伦布-JJ#22</t>
  </si>
  <si>
    <t>金色巴黎之星-BLZX#54</t>
  </si>
  <si>
    <t>黑猫</t>
  </si>
  <si>
    <t>玫红色闪粉边伦布</t>
  </si>
  <si>
    <t>黑色闪粉边伦布-JJ#23</t>
  </si>
  <si>
    <t>黑色巴黎之星-BLZX#3</t>
  </si>
  <si>
    <t>白猫</t>
  </si>
  <si>
    <t>15MM漂白PV绒</t>
  </si>
  <si>
    <t>玫红色闪粉边伦布-JJ#19</t>
  </si>
  <si>
    <t>西瓜红色巴黎之星-BLZX#70</t>
  </si>
  <si>
    <t>主布料-专用款</t>
  </si>
  <si>
    <r>
      <rPr>
        <b/>
        <sz val="10"/>
        <color theme="0"/>
        <rFont val="宋体"/>
        <charset val="134"/>
      </rPr>
      <t>金色闪粉边伦布</t>
    </r>
    <r>
      <rPr>
        <b/>
        <sz val="10"/>
        <color theme="0"/>
        <rFont val="Tahoma"/>
        <charset val="134"/>
      </rPr>
      <t>-JJ#4</t>
    </r>
  </si>
  <si>
    <r>
      <rPr>
        <b/>
        <sz val="10"/>
        <color theme="0"/>
        <rFont val="宋体"/>
        <charset val="134"/>
      </rPr>
      <t>共用物料</t>
    </r>
    <r>
      <rPr>
        <b/>
        <sz val="10"/>
        <color theme="0"/>
        <rFont val="Tahoma"/>
        <charset val="134"/>
      </rPr>
      <t>4</t>
    </r>
  </si>
  <si>
    <t>无闪粉布料</t>
  </si>
  <si>
    <r>
      <rPr>
        <b/>
        <sz val="10"/>
        <color theme="0"/>
        <rFont val="宋体"/>
        <charset val="134"/>
      </rPr>
      <t>产品用量</t>
    </r>
  </si>
  <si>
    <t>MA-RR-733</t>
  </si>
  <si>
    <t>MA-RR-782</t>
  </si>
  <si>
    <t>MA-RR-802</t>
  </si>
  <si>
    <t>MA-RR-827</t>
  </si>
  <si>
    <t>MA-RR-848</t>
  </si>
  <si>
    <t>MA-RR-878</t>
  </si>
  <si>
    <t>MA-RR-929</t>
  </si>
  <si>
    <t>MA-RR-946</t>
  </si>
  <si>
    <r>
      <rPr>
        <b/>
        <sz val="10"/>
        <color rgb="FFFFC000"/>
        <rFont val="Tahoma"/>
        <charset val="134"/>
      </rPr>
      <t>MA-RR-984
(</t>
    </r>
    <r>
      <rPr>
        <b/>
        <sz val="10"/>
        <color rgb="FFFFC000"/>
        <rFont val="宋体"/>
        <charset val="134"/>
      </rPr>
      <t>无闪粉)</t>
    </r>
  </si>
  <si>
    <t>MA-RR-1012
(无闪粉)</t>
  </si>
  <si>
    <r>
      <rPr>
        <b/>
        <sz val="10"/>
        <color rgb="FFFFC000"/>
        <rFont val="Tahoma"/>
        <charset val="134"/>
      </rPr>
      <t>MA-RR-1043
(</t>
    </r>
    <r>
      <rPr>
        <b/>
        <sz val="10"/>
        <color rgb="FFFFC000"/>
        <rFont val="宋体"/>
        <charset val="134"/>
      </rPr>
      <t>无闪粉</t>
    </r>
    <r>
      <rPr>
        <b/>
        <sz val="10"/>
        <color rgb="FFFFC000"/>
        <rFont val="Tahoma"/>
        <charset val="134"/>
      </rPr>
      <t>)</t>
    </r>
  </si>
  <si>
    <t>MA-RR-1096
(无闪粉)</t>
  </si>
  <si>
    <r>
      <rPr>
        <b/>
        <sz val="10"/>
        <color rgb="FFFFC000"/>
        <rFont val="Tahoma"/>
        <charset val="134"/>
      </rPr>
      <t>MA-RR-1096
(</t>
    </r>
    <r>
      <rPr>
        <b/>
        <sz val="10"/>
        <color rgb="FFFFC000"/>
        <rFont val="宋体"/>
        <charset val="134"/>
      </rPr>
      <t>无闪粉</t>
    </r>
    <r>
      <rPr>
        <b/>
        <sz val="10"/>
        <color rgb="FFFFC000"/>
        <rFont val="Tahoma"/>
        <charset val="134"/>
      </rPr>
      <t>)</t>
    </r>
  </si>
  <si>
    <t>MA-RR-1262
(无闪粉)</t>
  </si>
  <si>
    <t>MA-RR-1387
(无闪粉)</t>
  </si>
  <si>
    <t>MA-RR-1424
(无闪粉)</t>
  </si>
  <si>
    <t>MA-RR-1469
(无闪粉)</t>
  </si>
  <si>
    <t>MA-RR-1624
(无闪粉)</t>
  </si>
  <si>
    <t>MA-RR-1729
(无闪粉)</t>
  </si>
  <si>
    <t>MA-RR-1785
(无闪粉)</t>
  </si>
  <si>
    <t>Rainbocorn
Kittycorn S2 
9279#</t>
  </si>
  <si>
    <t>10MM白色兔毛</t>
  </si>
  <si>
    <t>10MM橙色兔毛</t>
  </si>
  <si>
    <t>25#白色闪粉边伦布</t>
  </si>
  <si>
    <t>白色幻彩PU</t>
  </si>
  <si>
    <t>2#白色巴黎之星</t>
  </si>
  <si>
    <t>1MM白色戟绒</t>
  </si>
  <si>
    <t>共用物料10</t>
  </si>
  <si>
    <t>棉花</t>
  </si>
  <si>
    <t>共用物料5</t>
  </si>
  <si>
    <t>6MM宽白色棉带</t>
  </si>
  <si>
    <t>共用物料6</t>
  </si>
  <si>
    <t>车缝线</t>
  </si>
  <si>
    <t>肚皮心丝印</t>
  </si>
  <si>
    <t>美国猫/American Cat</t>
  </si>
  <si>
    <t>29#粉色闪粉边伦布</t>
  </si>
  <si>
    <t>粉色烫金布/TC底</t>
  </si>
  <si>
    <t>6#粉色巴黎之星</t>
  </si>
  <si>
    <t>1MM粉色戟绒布</t>
  </si>
  <si>
    <t>孟加拉猫/Bengal cat</t>
  </si>
  <si>
    <t>3MM紫色塞乐绒</t>
  </si>
  <si>
    <t>#12银色闪粉边伦布</t>
  </si>
  <si>
    <t>共用物料7</t>
  </si>
  <si>
    <t>银色烫金布/边伦底</t>
  </si>
  <si>
    <t>38#银色巴黎之星</t>
  </si>
  <si>
    <t>共用物料8</t>
  </si>
  <si>
    <t>加菲猫/Exotic Cat</t>
  </si>
  <si>
    <t>27#蓝色闪粉边伦布</t>
  </si>
  <si>
    <t>蓝色幻彩PU</t>
  </si>
  <si>
    <t>7#蓝色巴黎之星</t>
  </si>
  <si>
    <t>1MM蓝色戟绒</t>
  </si>
  <si>
    <t>花斑猫/CalicoCat</t>
  </si>
  <si>
    <t>共用物料9</t>
  </si>
  <si>
    <t>银色烫金布/边纶底</t>
  </si>
  <si>
    <t>黑猫/ Black cat</t>
  </si>
  <si>
    <t>9#亮粉色闪粉边伦布</t>
  </si>
  <si>
    <t>亮粉色幻彩PU</t>
  </si>
  <si>
    <t>4#亮粉色巴黎之星</t>
  </si>
  <si>
    <t>1MM粉色戟绒</t>
  </si>
  <si>
    <t>粉色猫/Chinchilla cat</t>
  </si>
  <si>
    <t>15MM粉色PV绒+20D40针网纱</t>
  </si>
  <si>
    <t>3MM粉色色塞乐绒</t>
  </si>
  <si>
    <t>A版（有闪粉）</t>
  </si>
  <si>
    <t>B版（无闪粉）</t>
  </si>
  <si>
    <t>用量</t>
  </si>
  <si>
    <t>MA可生产</t>
  </si>
  <si>
    <t>有闪粉MA布料结余</t>
  </si>
  <si>
    <t>MA-823（有闪粉版）</t>
  </si>
  <si>
    <t>MA-918（有闪粉版）</t>
  </si>
  <si>
    <t>MA-952（有闪粉版）</t>
  </si>
  <si>
    <t>MA-992（无闪粉版）</t>
  </si>
  <si>
    <t>MA-1034（无闪粉版）</t>
  </si>
  <si>
    <t>MA-1081（无闪粉版）</t>
  </si>
  <si>
    <t>MA-1149（无闪粉版）</t>
  </si>
  <si>
    <t>MA-1187（无闪粉版）</t>
  </si>
  <si>
    <t>MA-1223（无闪粉版）</t>
  </si>
  <si>
    <t>MA-1309（无闪粉版）</t>
  </si>
  <si>
    <t>MA-1351（无闪粉版）</t>
  </si>
  <si>
    <t>MA-1402（无闪粉版）</t>
  </si>
  <si>
    <t>MA-1477（无闪粉版）</t>
  </si>
  <si>
    <t>MA-1590（无闪粉版）</t>
  </si>
  <si>
    <t>MA-1615（无闪粉版）</t>
  </si>
  <si>
    <t>MA-1647（无闪粉版）</t>
  </si>
  <si>
    <t>MA-1714（无闪粉版）</t>
  </si>
  <si>
    <t>MA-1799（无闪粉版）</t>
  </si>
  <si>
    <t>MA-1848（无闪粉版）</t>
  </si>
  <si>
    <t>MA可生产数量</t>
  </si>
  <si>
    <t>RAINBOCORNS-PUPPYCORN SURPRISE-SERIES 8 SCENT SURPRISE PLUSH SMALL#9298</t>
  </si>
  <si>
    <t>白色珍珠绒/软</t>
  </si>
  <si>
    <t>尾巴/前身/后身/底/手/脚</t>
  </si>
  <si>
    <t>粉色珍珠绒/软</t>
  </si>
  <si>
    <t>左右外耳</t>
  </si>
  <si>
    <t>/</t>
  </si>
  <si>
    <t>紫色烫金布+TC贴合</t>
  </si>
  <si>
    <t>左右内耳</t>
  </si>
  <si>
    <t>紫色闪粉边伦布底贴合TC</t>
  </si>
  <si>
    <t>翅膀/头角</t>
  </si>
  <si>
    <t>紫色巴黎之星</t>
  </si>
  <si>
    <t>前身-肚片芯</t>
  </si>
  <si>
    <t>共用物料15</t>
  </si>
  <si>
    <t>紫色幻彩烫金布</t>
  </si>
  <si>
    <t>1MM紫色戟绒</t>
  </si>
  <si>
    <t>前身-肚片芯/头角</t>
  </si>
  <si>
    <t>全套配料（线/棉花/丝印/电绣/棉带）</t>
  </si>
  <si>
    <t>5MM棕啡色塞乐绒</t>
  </si>
  <si>
    <t>尾巴/前上身/后身/底/外耳</t>
  </si>
  <si>
    <t>金色烫金布+TC贴合</t>
  </si>
  <si>
    <t>5MM白色塞乐绒/数码印啡色斑点</t>
  </si>
  <si>
    <t>前下身/手/脚</t>
  </si>
  <si>
    <t>橙红色闪粉边伦布底贴合TC</t>
  </si>
  <si>
    <t>橙红色巴黎之星</t>
  </si>
  <si>
    <t>橙色幻彩烫金布/TC底</t>
  </si>
  <si>
    <t>前身/后身/底/手/脚</t>
  </si>
  <si>
    <t>黑色珍珠绒布</t>
  </si>
  <si>
    <t>尾巴/左右外耳</t>
  </si>
  <si>
    <t>银色烫金布+TC贴合</t>
  </si>
  <si>
    <t>亮粉色闪粉边伦布底贴合TC</t>
  </si>
  <si>
    <t>共用物料12</t>
  </si>
  <si>
    <t>玫红烫金布/TC底</t>
  </si>
  <si>
    <t>1MM玫红色戟绒</t>
  </si>
  <si>
    <t>猎犬</t>
  </si>
  <si>
    <t>5mm紫色塞乐绒布</t>
  </si>
  <si>
    <t>#14玫红色烫金布+TC贴合</t>
  </si>
  <si>
    <t>前身-肚片芯匹</t>
  </si>
  <si>
    <t>玫红色烫金布+TC贴合</t>
  </si>
  <si>
    <t>5MM粉色塞乐绒</t>
  </si>
  <si>
    <t>尾巴/前身/后身/底/脚/手杆</t>
  </si>
  <si>
    <t>5MM白色塞乐绒</t>
  </si>
  <si>
    <t>手掌</t>
  </si>
  <si>
    <t>5MM粉色精品绒</t>
  </si>
  <si>
    <t>蓝色幻彩烫金布+TC贴合</t>
  </si>
  <si>
    <t>15MM 本白色兔毛</t>
  </si>
  <si>
    <t>眉毛</t>
  </si>
  <si>
    <t>绿色闪粉边伦布底贴合TC</t>
  </si>
  <si>
    <t>绿色巴黎之星</t>
  </si>
  <si>
    <t>共用物料13</t>
  </si>
  <si>
    <t>蓝色幻彩烫金布/TC底</t>
  </si>
  <si>
    <t>5MM黑色塞乐绒</t>
  </si>
  <si>
    <t>尾巴/前侧身/后身/底</t>
  </si>
  <si>
    <t>脚/手杆</t>
  </si>
  <si>
    <t>手掌/肚皮</t>
  </si>
  <si>
    <t>10MM黑色PV绒+稀网纱贴合</t>
  </si>
  <si>
    <t>外耳</t>
  </si>
  <si>
    <t>蓝色烫金布+TC贴合</t>
  </si>
  <si>
    <t>蓝色闪粉边伦布底贴合TC</t>
  </si>
  <si>
    <t>蓝色巴黎之星</t>
  </si>
  <si>
    <t>共用物料11</t>
  </si>
  <si>
    <t>蓝色烫金布/TC底</t>
  </si>
  <si>
    <t>柯基犬</t>
  </si>
  <si>
    <t>5MM黄杏色精品绒</t>
  </si>
  <si>
    <t>前侧身/后身/底/脚/外耳/内耳/手杆</t>
  </si>
  <si>
    <t>手掌/内耳/肚皮/屁股</t>
  </si>
  <si>
    <t>10MM黄杏色兔毛</t>
  </si>
  <si>
    <t>白色边伦布</t>
  </si>
  <si>
    <t>尾托</t>
  </si>
  <si>
    <t>浅金色闪粉边伦布底贴合TC</t>
  </si>
  <si>
    <t>浅金色巴黎之星</t>
  </si>
  <si>
    <t>共用物料14</t>
  </si>
  <si>
    <t>58"金色幻彩烫金布/TC底</t>
  </si>
  <si>
    <t>58"1MM杏色戟绒</t>
  </si>
  <si>
    <t>蓝色幻彩烫金布/边纶底</t>
  </si>
  <si>
    <r>
      <rPr>
        <b/>
        <sz val="10"/>
        <color theme="0"/>
        <rFont val="Times New Roman"/>
        <charset val="134"/>
      </rPr>
      <t>MOQ</t>
    </r>
    <r>
      <rPr>
        <b/>
        <sz val="10"/>
        <color theme="0"/>
        <rFont val="宋体"/>
        <charset val="134"/>
      </rPr>
      <t>生产数量</t>
    </r>
  </si>
  <si>
    <t>MA-RR-981</t>
  </si>
  <si>
    <t>MA-RR-1097</t>
  </si>
  <si>
    <t>MA-RR-1117</t>
  </si>
  <si>
    <t>MA-RR-1161</t>
  </si>
  <si>
    <t>MA-RR-1204</t>
  </si>
  <si>
    <t>MA-RR-1264</t>
  </si>
  <si>
    <t>MA-RR-1388</t>
  </si>
  <si>
    <t>MA-RR-1426</t>
  </si>
  <si>
    <t>MA-RR-1471</t>
  </si>
  <si>
    <t>MA_RR_1622</t>
  </si>
  <si>
    <t>MA-RR-1731</t>
  </si>
  <si>
    <t>MA-RR-1786</t>
  </si>
  <si>
    <t>MA-RR-1874</t>
  </si>
  <si>
    <r>
      <rPr>
        <b/>
        <sz val="10"/>
        <color theme="0"/>
        <rFont val="Times New Roman"/>
        <charset val="134"/>
      </rPr>
      <t>MA</t>
    </r>
    <r>
      <rPr>
        <b/>
        <sz val="10"/>
        <color theme="0"/>
        <rFont val="宋体"/>
        <charset val="134"/>
      </rPr>
      <t>可生产数量</t>
    </r>
  </si>
  <si>
    <t>Rainbocorn
 Kittycorn S3  92104#</t>
  </si>
  <si>
    <r>
      <rPr>
        <b/>
        <sz val="13"/>
        <rFont val="宋体"/>
        <charset val="134"/>
      </rPr>
      <t>矮脚猫</t>
    </r>
    <r>
      <rPr>
        <b/>
        <sz val="13"/>
        <rFont val="Times New Roman"/>
        <charset val="134"/>
      </rPr>
      <t xml:space="preserve"> Munchkin</t>
    </r>
  </si>
  <si>
    <r>
      <rPr>
        <sz val="10"/>
        <rFont val="Times New Roman"/>
        <charset val="134"/>
      </rPr>
      <t>10mm</t>
    </r>
    <r>
      <rPr>
        <sz val="10"/>
        <rFont val="Tahoma"/>
        <charset val="134"/>
      </rPr>
      <t>白色兔毛</t>
    </r>
    <r>
      <rPr>
        <sz val="10"/>
        <rFont val="Times New Roman"/>
        <charset val="134"/>
      </rPr>
      <t>/</t>
    </r>
    <r>
      <rPr>
        <sz val="10"/>
        <rFont val="Tahoma"/>
        <charset val="134"/>
      </rPr>
      <t>数码定位印</t>
    </r>
  </si>
  <si>
    <r>
      <rPr>
        <sz val="10"/>
        <rFont val="Tahoma"/>
        <charset val="134"/>
      </rPr>
      <t>共用物料</t>
    </r>
    <r>
      <rPr>
        <sz val="10"/>
        <rFont val="Times New Roman"/>
        <charset val="134"/>
      </rPr>
      <t>1</t>
    </r>
  </si>
  <si>
    <r>
      <rPr>
        <sz val="10"/>
        <rFont val="Times New Roman"/>
        <charset val="134"/>
      </rPr>
      <t>10mm</t>
    </r>
    <r>
      <rPr>
        <sz val="10"/>
        <rFont val="Tahoma"/>
        <charset val="134"/>
      </rPr>
      <t>白色兔毛</t>
    </r>
    <r>
      <rPr>
        <sz val="10"/>
        <rFont val="Times New Roman"/>
        <charset val="134"/>
      </rPr>
      <t>/</t>
    </r>
    <r>
      <rPr>
        <sz val="10"/>
        <rFont val="Tahoma"/>
        <charset val="134"/>
      </rPr>
      <t>数码印花</t>
    </r>
  </si>
  <si>
    <r>
      <rPr>
        <sz val="10"/>
        <rFont val="Times New Roman"/>
        <charset val="134"/>
      </rPr>
      <t>5mm</t>
    </r>
    <r>
      <rPr>
        <sz val="10"/>
        <rFont val="Tahoma"/>
        <charset val="134"/>
      </rPr>
      <t>白色塞乐绒</t>
    </r>
    <r>
      <rPr>
        <sz val="10"/>
        <rFont val="Times New Roman"/>
        <charset val="134"/>
      </rPr>
      <t>/</t>
    </r>
    <r>
      <rPr>
        <sz val="10"/>
        <rFont val="Tahoma"/>
        <charset val="134"/>
      </rPr>
      <t>数码满印黑色</t>
    </r>
  </si>
  <si>
    <r>
      <rPr>
        <sz val="10"/>
        <rFont val="Tahoma"/>
        <charset val="134"/>
      </rPr>
      <t>共用物料</t>
    </r>
    <r>
      <rPr>
        <sz val="10"/>
        <rFont val="Times New Roman"/>
        <charset val="134"/>
      </rPr>
      <t>2</t>
    </r>
  </si>
  <si>
    <r>
      <rPr>
        <sz val="10"/>
        <rFont val="Times New Roman"/>
        <charset val="134"/>
      </rPr>
      <t>5mm</t>
    </r>
    <r>
      <rPr>
        <sz val="10"/>
        <rFont val="Tahoma"/>
        <charset val="134"/>
      </rPr>
      <t>白色塞乐绒</t>
    </r>
    <r>
      <rPr>
        <sz val="10"/>
        <rFont val="Times New Roman"/>
        <charset val="134"/>
      </rPr>
      <t>/</t>
    </r>
    <r>
      <rPr>
        <sz val="10"/>
        <rFont val="Tahoma"/>
        <charset val="134"/>
      </rPr>
      <t>数码满印黄色</t>
    </r>
  </si>
  <si>
    <r>
      <rPr>
        <sz val="10"/>
        <rFont val="Times New Roman"/>
        <charset val="134"/>
      </rPr>
      <t>5mm</t>
    </r>
    <r>
      <rPr>
        <sz val="10"/>
        <rFont val="Tahoma"/>
        <charset val="134"/>
      </rPr>
      <t>白色塞乐绒</t>
    </r>
  </si>
  <si>
    <r>
      <rPr>
        <sz val="10"/>
        <rFont val="Tahoma"/>
        <charset val="134"/>
      </rPr>
      <t>浅金色彩虹条烫点布</t>
    </r>
    <r>
      <rPr>
        <sz val="10"/>
        <rFont val="Times New Roman"/>
        <charset val="134"/>
      </rPr>
      <t>+</t>
    </r>
    <r>
      <rPr>
        <sz val="10"/>
        <rFont val="Tahoma"/>
        <charset val="134"/>
      </rPr>
      <t>贴合</t>
    </r>
    <r>
      <rPr>
        <sz val="10"/>
        <rFont val="Times New Roman"/>
        <charset val="134"/>
      </rPr>
      <t>TC</t>
    </r>
  </si>
  <si>
    <r>
      <rPr>
        <sz val="10"/>
        <rFont val="Tahoma"/>
        <charset val="134"/>
      </rPr>
      <t>金色幻彩布</t>
    </r>
    <r>
      <rPr>
        <sz val="10"/>
        <rFont val="Times New Roman"/>
        <charset val="134"/>
      </rPr>
      <t>+</t>
    </r>
    <r>
      <rPr>
        <sz val="10"/>
        <rFont val="Tahoma"/>
        <charset val="134"/>
      </rPr>
      <t>贴合</t>
    </r>
    <r>
      <rPr>
        <sz val="10"/>
        <rFont val="Times New Roman"/>
        <charset val="134"/>
      </rPr>
      <t>TC</t>
    </r>
    <r>
      <rPr>
        <sz val="10"/>
        <rFont val="Tahoma"/>
        <charset val="134"/>
      </rPr>
      <t>贴合</t>
    </r>
  </si>
  <si>
    <r>
      <rPr>
        <sz val="10"/>
        <rFont val="Tahoma"/>
        <charset val="134"/>
      </rPr>
      <t>金色幻彩布</t>
    </r>
    <r>
      <rPr>
        <sz val="10"/>
        <rFont val="Times New Roman"/>
        <charset val="134"/>
      </rPr>
      <t>+1mm</t>
    </r>
    <r>
      <rPr>
        <sz val="10"/>
        <rFont val="Tahoma"/>
        <charset val="134"/>
      </rPr>
      <t>白色戟绒</t>
    </r>
    <r>
      <rPr>
        <sz val="10"/>
        <rFont val="Times New Roman"/>
        <charset val="134"/>
      </rPr>
      <t>+</t>
    </r>
    <r>
      <rPr>
        <sz val="10"/>
        <rFont val="Tahoma"/>
        <charset val="134"/>
      </rPr>
      <t>金色幻彩布底贴合</t>
    </r>
  </si>
  <si>
    <r>
      <rPr>
        <sz val="10"/>
        <rFont val="Times New Roman"/>
        <charset val="134"/>
      </rPr>
      <t>110mm</t>
    </r>
    <r>
      <rPr>
        <sz val="10"/>
        <rFont val="Tahoma"/>
        <charset val="134"/>
      </rPr>
      <t>黑色长毛绒</t>
    </r>
  </si>
  <si>
    <r>
      <rPr>
        <sz val="10"/>
        <rFont val="Tahoma"/>
        <charset val="134"/>
      </rPr>
      <t>浅金色巴黎之星</t>
    </r>
  </si>
  <si>
    <r>
      <rPr>
        <sz val="10"/>
        <rFont val="Tahoma"/>
        <charset val="134"/>
      </rPr>
      <t>共用物料</t>
    </r>
    <r>
      <rPr>
        <sz val="10"/>
        <rFont val="Times New Roman"/>
        <charset val="134"/>
      </rPr>
      <t>3</t>
    </r>
  </si>
  <si>
    <r>
      <rPr>
        <b/>
        <sz val="13"/>
        <rFont val="宋体"/>
        <charset val="134"/>
      </rPr>
      <t>森林猫</t>
    </r>
    <r>
      <rPr>
        <b/>
        <sz val="13"/>
        <rFont val="Times New Roman"/>
        <charset val="134"/>
      </rPr>
      <t xml:space="preserve"> Norwegian Forest Cat</t>
    </r>
  </si>
  <si>
    <r>
      <rPr>
        <sz val="10"/>
        <rFont val="Times New Roman"/>
        <charset val="134"/>
      </rPr>
      <t>5mm</t>
    </r>
    <r>
      <rPr>
        <sz val="10"/>
        <rFont val="Tahoma"/>
        <charset val="134"/>
      </rPr>
      <t>白色塞乐绒</t>
    </r>
    <r>
      <rPr>
        <sz val="10"/>
        <rFont val="Times New Roman"/>
        <charset val="134"/>
      </rPr>
      <t>/</t>
    </r>
    <r>
      <rPr>
        <sz val="10"/>
        <rFont val="Tahoma"/>
        <charset val="134"/>
      </rPr>
      <t>数码满印</t>
    </r>
  </si>
  <si>
    <r>
      <rPr>
        <sz val="10"/>
        <rFont val="Tahoma"/>
        <charset val="134"/>
      </rPr>
      <t>粉色彩虹条烫点布</t>
    </r>
    <r>
      <rPr>
        <sz val="10"/>
        <rFont val="Times New Roman"/>
        <charset val="134"/>
      </rPr>
      <t>+TC</t>
    </r>
    <r>
      <rPr>
        <sz val="10"/>
        <rFont val="Tahoma"/>
        <charset val="134"/>
      </rPr>
      <t>布底贴合</t>
    </r>
  </si>
  <si>
    <r>
      <rPr>
        <sz val="10"/>
        <rFont val="Tahoma"/>
        <charset val="134"/>
      </rPr>
      <t>蓝色幻彩</t>
    </r>
    <r>
      <rPr>
        <sz val="10"/>
        <rFont val="Times New Roman"/>
        <charset val="134"/>
      </rPr>
      <t>PU</t>
    </r>
  </si>
  <si>
    <r>
      <rPr>
        <sz val="10"/>
        <rFont val="Tahoma"/>
        <charset val="134"/>
      </rPr>
      <t>蓝色幻彩</t>
    </r>
    <r>
      <rPr>
        <sz val="10"/>
        <rFont val="Times New Roman"/>
        <charset val="134"/>
      </rPr>
      <t>PU+1mm</t>
    </r>
    <r>
      <rPr>
        <sz val="10"/>
        <rFont val="Tahoma"/>
        <charset val="134"/>
      </rPr>
      <t>蓝色戟绒</t>
    </r>
    <r>
      <rPr>
        <sz val="10"/>
        <rFont val="Times New Roman"/>
        <charset val="134"/>
      </rPr>
      <t>+</t>
    </r>
    <r>
      <rPr>
        <sz val="10"/>
        <rFont val="Tahoma"/>
        <charset val="134"/>
      </rPr>
      <t>蓝色幻彩</t>
    </r>
    <r>
      <rPr>
        <sz val="10"/>
        <rFont val="Times New Roman"/>
        <charset val="134"/>
      </rPr>
      <t>PU</t>
    </r>
    <r>
      <rPr>
        <sz val="10"/>
        <rFont val="Tahoma"/>
        <charset val="134"/>
      </rPr>
      <t>布底贴合</t>
    </r>
  </si>
  <si>
    <r>
      <rPr>
        <sz val="10"/>
        <rFont val="Times New Roman"/>
        <charset val="134"/>
      </rPr>
      <t>110mm</t>
    </r>
    <r>
      <rPr>
        <sz val="10"/>
        <rFont val="Tahoma"/>
        <charset val="134"/>
      </rPr>
      <t>橘红色长毛绒</t>
    </r>
  </si>
  <si>
    <r>
      <rPr>
        <sz val="10"/>
        <rFont val="Tahoma"/>
        <charset val="134"/>
      </rPr>
      <t>粉色巴黎之星</t>
    </r>
  </si>
  <si>
    <r>
      <rPr>
        <b/>
        <sz val="13"/>
        <rFont val="宋体"/>
        <charset val="134"/>
      </rPr>
      <t>褴褛猫</t>
    </r>
    <r>
      <rPr>
        <b/>
        <sz val="13"/>
        <rFont val="Times New Roman"/>
        <charset val="134"/>
      </rPr>
      <t xml:space="preserve"> Ragamuffin</t>
    </r>
  </si>
  <si>
    <r>
      <rPr>
        <sz val="10"/>
        <rFont val="Times New Roman"/>
        <charset val="134"/>
      </rPr>
      <t>10mm</t>
    </r>
    <r>
      <rPr>
        <sz val="10"/>
        <rFont val="Tahoma"/>
        <charset val="134"/>
      </rPr>
      <t>紫色雕染兔毛</t>
    </r>
  </si>
  <si>
    <r>
      <rPr>
        <sz val="10"/>
        <rFont val="Tahoma"/>
        <charset val="134"/>
      </rPr>
      <t>银色幻彩</t>
    </r>
    <r>
      <rPr>
        <sz val="10"/>
        <rFont val="Times New Roman"/>
        <charset val="134"/>
      </rPr>
      <t>PU</t>
    </r>
  </si>
  <si>
    <r>
      <rPr>
        <sz val="10"/>
        <rFont val="Tahoma"/>
        <charset val="134"/>
      </rPr>
      <t>浅金色幻彩布</t>
    </r>
    <r>
      <rPr>
        <sz val="10"/>
        <rFont val="Times New Roman"/>
        <charset val="134"/>
      </rPr>
      <t>+TC</t>
    </r>
    <r>
      <rPr>
        <sz val="10"/>
        <rFont val="Tahoma"/>
        <charset val="134"/>
      </rPr>
      <t>贴合</t>
    </r>
  </si>
  <si>
    <r>
      <rPr>
        <sz val="10"/>
        <rFont val="Tahoma"/>
        <charset val="134"/>
      </rPr>
      <t>浅金色幻彩布</t>
    </r>
    <r>
      <rPr>
        <sz val="10"/>
        <rFont val="Times New Roman"/>
        <charset val="134"/>
      </rPr>
      <t>+1mm</t>
    </r>
    <r>
      <rPr>
        <sz val="10"/>
        <rFont val="Tahoma"/>
        <charset val="134"/>
      </rPr>
      <t>白色戟绒</t>
    </r>
    <r>
      <rPr>
        <sz val="10"/>
        <rFont val="Times New Roman"/>
        <charset val="134"/>
      </rPr>
      <t>+</t>
    </r>
    <r>
      <rPr>
        <sz val="10"/>
        <rFont val="Tahoma"/>
        <charset val="134"/>
      </rPr>
      <t>浅金色幻彩布底贴合</t>
    </r>
  </si>
  <si>
    <r>
      <rPr>
        <sz val="10"/>
        <rFont val="Times New Roman"/>
        <charset val="134"/>
      </rPr>
      <t>110mm</t>
    </r>
    <r>
      <rPr>
        <sz val="10"/>
        <rFont val="Tahoma"/>
        <charset val="134"/>
      </rPr>
      <t>紫色长毛绒</t>
    </r>
  </si>
  <si>
    <r>
      <rPr>
        <sz val="10"/>
        <rFont val="Tahoma"/>
        <charset val="134"/>
      </rPr>
      <t>银色巴黎之星</t>
    </r>
  </si>
  <si>
    <r>
      <rPr>
        <b/>
        <sz val="13"/>
        <rFont val="宋体"/>
        <charset val="134"/>
      </rPr>
      <t>喜马拉雅猫</t>
    </r>
    <r>
      <rPr>
        <b/>
        <sz val="13"/>
        <rFont val="Times New Roman"/>
        <charset val="134"/>
      </rPr>
      <t xml:space="preserve"> Hinalayan</t>
    </r>
  </si>
  <si>
    <r>
      <rPr>
        <sz val="10"/>
        <rFont val="Times New Roman"/>
        <charset val="134"/>
      </rPr>
      <t>10mm</t>
    </r>
    <r>
      <rPr>
        <sz val="10"/>
        <rFont val="Tahoma"/>
        <charset val="134"/>
      </rPr>
      <t>杏色兔毛</t>
    </r>
    <r>
      <rPr>
        <sz val="10"/>
        <rFont val="Times New Roman"/>
        <charset val="134"/>
      </rPr>
      <t>+</t>
    </r>
    <r>
      <rPr>
        <sz val="10"/>
        <rFont val="Tahoma"/>
        <charset val="134"/>
      </rPr>
      <t>稀网纱贴合</t>
    </r>
  </si>
  <si>
    <r>
      <rPr>
        <sz val="10"/>
        <rFont val="Times New Roman"/>
        <charset val="134"/>
      </rPr>
      <t>10mm</t>
    </r>
    <r>
      <rPr>
        <sz val="10"/>
        <rFont val="Tahoma"/>
        <charset val="134"/>
      </rPr>
      <t>啡色兔毛</t>
    </r>
    <r>
      <rPr>
        <sz val="10"/>
        <rFont val="Times New Roman"/>
        <charset val="134"/>
      </rPr>
      <t>+</t>
    </r>
    <r>
      <rPr>
        <sz val="10"/>
        <rFont val="Tahoma"/>
        <charset val="134"/>
      </rPr>
      <t>稀网纱贴合</t>
    </r>
  </si>
  <si>
    <r>
      <rPr>
        <sz val="10"/>
        <rFont val="Times New Roman"/>
        <charset val="134"/>
      </rPr>
      <t>10mm</t>
    </r>
    <r>
      <rPr>
        <sz val="10"/>
        <rFont val="Tahoma"/>
        <charset val="134"/>
      </rPr>
      <t>杏色兔毛</t>
    </r>
  </si>
  <si>
    <r>
      <rPr>
        <sz val="10"/>
        <rFont val="Times New Roman"/>
        <charset val="134"/>
      </rPr>
      <t>5mm</t>
    </r>
    <r>
      <rPr>
        <sz val="10"/>
        <rFont val="Tahoma"/>
        <charset val="134"/>
      </rPr>
      <t>啡色塞乐绒</t>
    </r>
  </si>
  <si>
    <r>
      <rPr>
        <sz val="10"/>
        <rFont val="Tahoma"/>
        <charset val="134"/>
      </rPr>
      <t>白色幻彩</t>
    </r>
    <r>
      <rPr>
        <sz val="10"/>
        <rFont val="Times New Roman"/>
        <charset val="134"/>
      </rPr>
      <t>PU</t>
    </r>
  </si>
  <si>
    <r>
      <rPr>
        <sz val="10"/>
        <rFont val="Tahoma"/>
        <charset val="134"/>
      </rPr>
      <t>白色幻彩</t>
    </r>
    <r>
      <rPr>
        <sz val="10"/>
        <rFont val="Times New Roman"/>
        <charset val="134"/>
      </rPr>
      <t>PU+</t>
    </r>
    <r>
      <rPr>
        <sz val="10"/>
        <rFont val="Tahoma"/>
        <charset val="134"/>
      </rPr>
      <t>白色</t>
    </r>
    <r>
      <rPr>
        <sz val="10"/>
        <rFont val="Times New Roman"/>
        <charset val="134"/>
      </rPr>
      <t>1MM</t>
    </r>
    <r>
      <rPr>
        <sz val="10"/>
        <rFont val="Tahoma"/>
        <charset val="134"/>
      </rPr>
      <t>白色戟绒布</t>
    </r>
    <r>
      <rPr>
        <sz val="10"/>
        <rFont val="Times New Roman"/>
        <charset val="134"/>
      </rPr>
      <t>+</t>
    </r>
    <r>
      <rPr>
        <sz val="10"/>
        <rFont val="Tahoma"/>
        <charset val="134"/>
      </rPr>
      <t>白色幻彩</t>
    </r>
    <r>
      <rPr>
        <sz val="10"/>
        <rFont val="Times New Roman"/>
        <charset val="134"/>
      </rPr>
      <t>PU</t>
    </r>
    <r>
      <rPr>
        <sz val="10"/>
        <rFont val="Tahoma"/>
        <charset val="134"/>
      </rPr>
      <t>布底贴合</t>
    </r>
  </si>
  <si>
    <r>
      <rPr>
        <sz val="10"/>
        <rFont val="Times New Roman"/>
        <charset val="134"/>
      </rPr>
      <t>110mm</t>
    </r>
    <r>
      <rPr>
        <sz val="10"/>
        <rFont val="Tahoma"/>
        <charset val="134"/>
      </rPr>
      <t>啡色长毛绒</t>
    </r>
  </si>
  <si>
    <r>
      <rPr>
        <b/>
        <sz val="13"/>
        <rFont val="宋体"/>
        <charset val="134"/>
      </rPr>
      <t>布偶猫</t>
    </r>
    <r>
      <rPr>
        <b/>
        <sz val="13"/>
        <rFont val="Times New Roman"/>
        <charset val="134"/>
      </rPr>
      <t xml:space="preserve"> Ragdoll</t>
    </r>
  </si>
  <si>
    <r>
      <rPr>
        <sz val="10"/>
        <rFont val="Times New Roman"/>
        <charset val="134"/>
      </rPr>
      <t>10mm</t>
    </r>
    <r>
      <rPr>
        <sz val="10"/>
        <rFont val="Tahoma"/>
        <charset val="134"/>
      </rPr>
      <t>白色兔毛</t>
    </r>
    <r>
      <rPr>
        <sz val="10"/>
        <rFont val="Times New Roman"/>
        <charset val="134"/>
      </rPr>
      <t>/</t>
    </r>
    <r>
      <rPr>
        <sz val="10"/>
        <rFont val="Tahoma"/>
        <charset val="134"/>
      </rPr>
      <t>数码渗透印</t>
    </r>
  </si>
  <si>
    <r>
      <rPr>
        <sz val="10"/>
        <rFont val="Times New Roman"/>
        <charset val="134"/>
      </rPr>
      <t>10mm</t>
    </r>
    <r>
      <rPr>
        <sz val="10"/>
        <rFont val="Tahoma"/>
        <charset val="134"/>
      </rPr>
      <t>白色兔毛</t>
    </r>
  </si>
  <si>
    <r>
      <rPr>
        <sz val="10"/>
        <rFont val="Tahoma"/>
        <charset val="134"/>
      </rPr>
      <t>蓝色彩虹条烫点布</t>
    </r>
    <r>
      <rPr>
        <sz val="10"/>
        <rFont val="Times New Roman"/>
        <charset val="134"/>
      </rPr>
      <t>+TC</t>
    </r>
    <r>
      <rPr>
        <sz val="10"/>
        <rFont val="Tahoma"/>
        <charset val="134"/>
      </rPr>
      <t>贴合</t>
    </r>
  </si>
  <si>
    <r>
      <rPr>
        <sz val="10"/>
        <rFont val="Tahoma"/>
        <charset val="134"/>
      </rPr>
      <t>共用物料</t>
    </r>
    <r>
      <rPr>
        <sz val="10"/>
        <rFont val="Times New Roman"/>
        <charset val="134"/>
      </rPr>
      <t>4</t>
    </r>
  </si>
  <si>
    <r>
      <rPr>
        <sz val="10"/>
        <rFont val="Tahoma"/>
        <charset val="134"/>
      </rPr>
      <t>绿色幻彩</t>
    </r>
    <r>
      <rPr>
        <sz val="10"/>
        <rFont val="Times New Roman"/>
        <charset val="134"/>
      </rPr>
      <t>PU</t>
    </r>
  </si>
  <si>
    <r>
      <rPr>
        <sz val="10"/>
        <rFont val="Tahoma"/>
        <charset val="134"/>
      </rPr>
      <t>绿色幻彩</t>
    </r>
    <r>
      <rPr>
        <sz val="10"/>
        <rFont val="Times New Roman"/>
        <charset val="134"/>
      </rPr>
      <t>PU+1mm</t>
    </r>
    <r>
      <rPr>
        <sz val="10"/>
        <rFont val="Tahoma"/>
        <charset val="134"/>
      </rPr>
      <t>绿色戟绒</t>
    </r>
    <r>
      <rPr>
        <sz val="10"/>
        <rFont val="Times New Roman"/>
        <charset val="134"/>
      </rPr>
      <t>+</t>
    </r>
    <r>
      <rPr>
        <sz val="10"/>
        <rFont val="Tahoma"/>
        <charset val="134"/>
      </rPr>
      <t>绿色幻彩</t>
    </r>
    <r>
      <rPr>
        <sz val="10"/>
        <rFont val="Times New Roman"/>
        <charset val="134"/>
      </rPr>
      <t>PU</t>
    </r>
    <r>
      <rPr>
        <sz val="10"/>
        <rFont val="Tahoma"/>
        <charset val="134"/>
      </rPr>
      <t>布底贴合</t>
    </r>
  </si>
  <si>
    <r>
      <rPr>
        <sz val="10"/>
        <rFont val="Times New Roman"/>
        <charset val="134"/>
      </rPr>
      <t>110mm</t>
    </r>
    <r>
      <rPr>
        <sz val="10"/>
        <rFont val="Tahoma"/>
        <charset val="134"/>
      </rPr>
      <t>白色长毛绒</t>
    </r>
  </si>
  <si>
    <r>
      <rPr>
        <sz val="10"/>
        <rFont val="Tahoma"/>
        <charset val="134"/>
      </rPr>
      <t>蓝色巴黎之星</t>
    </r>
  </si>
  <si>
    <r>
      <rPr>
        <sz val="10"/>
        <rFont val="Microsoft YaHei UI"/>
        <charset val="134"/>
      </rPr>
      <t>共用物料</t>
    </r>
    <r>
      <rPr>
        <sz val="10"/>
        <rFont val="Times New Roman"/>
        <charset val="134"/>
      </rPr>
      <t>5</t>
    </r>
  </si>
  <si>
    <r>
      <rPr>
        <b/>
        <sz val="13"/>
        <rFont val="宋体"/>
        <charset val="134"/>
      </rPr>
      <t>缅因猫</t>
    </r>
    <r>
      <rPr>
        <b/>
        <sz val="13"/>
        <rFont val="Times New Roman"/>
        <charset val="134"/>
      </rPr>
      <t xml:space="preserve"> Maine  Coon</t>
    </r>
  </si>
  <si>
    <r>
      <rPr>
        <sz val="10"/>
        <rFont val="Times New Roman"/>
        <charset val="134"/>
      </rPr>
      <t>10mm</t>
    </r>
    <r>
      <rPr>
        <sz val="10"/>
        <rFont val="Tahoma"/>
        <charset val="134"/>
      </rPr>
      <t>蓝色兔毛</t>
    </r>
  </si>
  <si>
    <r>
      <rPr>
        <sz val="10"/>
        <rFont val="Times New Roman"/>
        <charset val="134"/>
      </rPr>
      <t>10mm</t>
    </r>
    <r>
      <rPr>
        <sz val="10"/>
        <rFont val="Tahoma"/>
        <charset val="134"/>
      </rPr>
      <t>白色兔毛</t>
    </r>
    <r>
      <rPr>
        <sz val="10"/>
        <rFont val="Times New Roman"/>
        <charset val="134"/>
      </rPr>
      <t>+</t>
    </r>
    <r>
      <rPr>
        <sz val="10"/>
        <rFont val="Tahoma"/>
        <charset val="134"/>
      </rPr>
      <t>稀网纱</t>
    </r>
  </si>
  <si>
    <r>
      <rPr>
        <sz val="10"/>
        <rFont val="Tahoma"/>
        <charset val="134"/>
      </rPr>
      <t>紫色幻彩</t>
    </r>
    <r>
      <rPr>
        <sz val="10"/>
        <rFont val="Times New Roman"/>
        <charset val="134"/>
      </rPr>
      <t>PU</t>
    </r>
  </si>
  <si>
    <r>
      <rPr>
        <sz val="10"/>
        <rFont val="Tahoma"/>
        <charset val="134"/>
      </rPr>
      <t>紫色幻彩</t>
    </r>
    <r>
      <rPr>
        <sz val="10"/>
        <rFont val="Times New Roman"/>
        <charset val="134"/>
      </rPr>
      <t>PU+1mm</t>
    </r>
    <r>
      <rPr>
        <sz val="10"/>
        <rFont val="Tahoma"/>
        <charset val="134"/>
      </rPr>
      <t>紫色戟绒</t>
    </r>
    <r>
      <rPr>
        <sz val="10"/>
        <rFont val="Times New Roman"/>
        <charset val="134"/>
      </rPr>
      <t>+</t>
    </r>
    <r>
      <rPr>
        <sz val="10"/>
        <rFont val="Tahoma"/>
        <charset val="134"/>
      </rPr>
      <t>紫色幻彩</t>
    </r>
    <r>
      <rPr>
        <sz val="10"/>
        <rFont val="Times New Roman"/>
        <charset val="134"/>
      </rPr>
      <t>PU</t>
    </r>
    <r>
      <rPr>
        <sz val="10"/>
        <rFont val="Tahoma"/>
        <charset val="134"/>
      </rPr>
      <t>布底贴合</t>
    </r>
  </si>
  <si>
    <r>
      <rPr>
        <sz val="10"/>
        <rFont val="Times New Roman"/>
        <charset val="134"/>
      </rPr>
      <t>110mm</t>
    </r>
    <r>
      <rPr>
        <sz val="10"/>
        <rFont val="Tahoma"/>
        <charset val="134"/>
      </rPr>
      <t>蓝色长毛绒</t>
    </r>
  </si>
  <si>
    <r>
      <rPr>
        <b/>
        <sz val="13"/>
        <rFont val="宋体"/>
        <charset val="134"/>
      </rPr>
      <t>波斯猫</t>
    </r>
    <r>
      <rPr>
        <b/>
        <sz val="13"/>
        <rFont val="Times New Roman"/>
        <charset val="134"/>
      </rPr>
      <t xml:space="preserve"> Persian</t>
    </r>
  </si>
  <si>
    <r>
      <rPr>
        <sz val="10"/>
        <rFont val="Times New Roman"/>
        <charset val="134"/>
      </rPr>
      <t>10mm</t>
    </r>
    <r>
      <rPr>
        <sz val="10"/>
        <rFont val="Tahoma"/>
        <charset val="134"/>
      </rPr>
      <t>黄杏色兔毛</t>
    </r>
  </si>
  <si>
    <r>
      <rPr>
        <sz val="10"/>
        <rFont val="Times New Roman"/>
        <charset val="134"/>
      </rPr>
      <t>5mm</t>
    </r>
    <r>
      <rPr>
        <sz val="10"/>
        <rFont val="Tahoma"/>
        <charset val="134"/>
      </rPr>
      <t>黄杏色塞乐绒</t>
    </r>
  </si>
  <si>
    <r>
      <rPr>
        <sz val="10"/>
        <rFont val="Tahoma"/>
        <charset val="134"/>
      </rPr>
      <t>玫红彩虹条烫点布</t>
    </r>
    <r>
      <rPr>
        <sz val="10"/>
        <rFont val="Times New Roman"/>
        <charset val="134"/>
      </rPr>
      <t>+TC</t>
    </r>
    <r>
      <rPr>
        <sz val="10"/>
        <rFont val="Tahoma"/>
        <charset val="134"/>
      </rPr>
      <t>贴合</t>
    </r>
  </si>
  <si>
    <r>
      <rPr>
        <sz val="10"/>
        <rFont val="Tahoma"/>
        <charset val="134"/>
      </rPr>
      <t>银色烫点布</t>
    </r>
    <r>
      <rPr>
        <sz val="10"/>
        <rFont val="Times New Roman"/>
        <charset val="134"/>
      </rPr>
      <t>+TC</t>
    </r>
    <r>
      <rPr>
        <sz val="10"/>
        <rFont val="Tahoma"/>
        <charset val="134"/>
      </rPr>
      <t>贴合</t>
    </r>
  </si>
  <si>
    <r>
      <rPr>
        <sz val="10"/>
        <rFont val="Tahoma"/>
        <charset val="134"/>
      </rPr>
      <t>银色烫点布</t>
    </r>
    <r>
      <rPr>
        <sz val="10"/>
        <rFont val="Times New Roman"/>
        <charset val="134"/>
      </rPr>
      <t>+1MM</t>
    </r>
    <r>
      <rPr>
        <sz val="10"/>
        <rFont val="Tahoma"/>
        <charset val="134"/>
      </rPr>
      <t>白色戟绒</t>
    </r>
    <r>
      <rPr>
        <sz val="10"/>
        <rFont val="Times New Roman"/>
        <charset val="134"/>
      </rPr>
      <t>+</t>
    </r>
    <r>
      <rPr>
        <sz val="10"/>
        <rFont val="Tahoma"/>
        <charset val="134"/>
      </rPr>
      <t>银色烫点布底贴合</t>
    </r>
  </si>
  <si>
    <r>
      <rPr>
        <sz val="10"/>
        <rFont val="Times New Roman"/>
        <charset val="134"/>
      </rPr>
      <t>110mm</t>
    </r>
    <r>
      <rPr>
        <sz val="10"/>
        <rFont val="Tahoma"/>
        <charset val="134"/>
      </rPr>
      <t>黄杏色长毛绒</t>
    </r>
  </si>
  <si>
    <r>
      <rPr>
        <sz val="10"/>
        <rFont val="Tahoma"/>
        <charset val="134"/>
      </rPr>
      <t>亮粉色巴黎之星</t>
    </r>
  </si>
  <si>
    <r>
      <rPr>
        <b/>
        <sz val="10"/>
        <color theme="0"/>
        <rFont val="Tahoma"/>
        <charset val="134"/>
      </rPr>
      <t>主布料</t>
    </r>
    <r>
      <rPr>
        <b/>
        <sz val="10"/>
        <color theme="0"/>
        <rFont val="Times New Roman"/>
        <charset val="134"/>
      </rPr>
      <t>-</t>
    </r>
    <r>
      <rPr>
        <b/>
        <sz val="10"/>
        <color theme="0"/>
        <rFont val="Tahoma"/>
        <charset val="134"/>
      </rPr>
      <t>专用款</t>
    </r>
  </si>
  <si>
    <r>
      <rPr>
        <b/>
        <sz val="10"/>
        <color theme="0"/>
        <rFont val="Times New Roman"/>
        <charset val="134"/>
      </rPr>
      <t>10mm</t>
    </r>
    <r>
      <rPr>
        <b/>
        <sz val="10"/>
        <color theme="0"/>
        <rFont val="Tahoma"/>
        <charset val="134"/>
      </rPr>
      <t>白色兔毛</t>
    </r>
  </si>
  <si>
    <r>
      <rPr>
        <b/>
        <sz val="10"/>
        <color theme="0"/>
        <rFont val="Microsoft YaHei UI"/>
        <charset val="134"/>
      </rPr>
      <t>共用物料</t>
    </r>
    <r>
      <rPr>
        <b/>
        <sz val="10"/>
        <color theme="0"/>
        <rFont val="Times New Roman"/>
        <charset val="134"/>
      </rPr>
      <t>1</t>
    </r>
  </si>
  <si>
    <r>
      <rPr>
        <b/>
        <sz val="10"/>
        <color theme="0"/>
        <rFont val="Times New Roman"/>
        <charset val="134"/>
      </rPr>
      <t>5mm</t>
    </r>
    <r>
      <rPr>
        <b/>
        <sz val="10"/>
        <color theme="0"/>
        <rFont val="Tahoma"/>
        <charset val="134"/>
      </rPr>
      <t>白色塞乐绒</t>
    </r>
    <r>
      <rPr>
        <b/>
        <sz val="10"/>
        <color theme="0"/>
        <rFont val="Times New Roman"/>
        <charset val="134"/>
      </rPr>
      <t>/</t>
    </r>
    <r>
      <rPr>
        <b/>
        <sz val="10"/>
        <color theme="0"/>
        <rFont val="Tahoma"/>
        <charset val="134"/>
      </rPr>
      <t>数码满印</t>
    </r>
  </si>
  <si>
    <r>
      <rPr>
        <b/>
        <sz val="10"/>
        <color theme="0"/>
        <rFont val="Microsoft YaHei UI"/>
        <charset val="134"/>
      </rPr>
      <t>共用物料</t>
    </r>
    <r>
      <rPr>
        <b/>
        <sz val="10"/>
        <color theme="0"/>
        <rFont val="Times New Roman"/>
        <charset val="134"/>
      </rPr>
      <t>2</t>
    </r>
  </si>
  <si>
    <r>
      <rPr>
        <b/>
        <sz val="10"/>
        <color theme="0"/>
        <rFont val="Tahoma"/>
        <charset val="134"/>
      </rPr>
      <t>浅金色巴黎之星</t>
    </r>
  </si>
  <si>
    <r>
      <rPr>
        <b/>
        <sz val="10"/>
        <color theme="0"/>
        <rFont val="Microsoft YaHei UI"/>
        <charset val="134"/>
      </rPr>
      <t>共用物料</t>
    </r>
    <r>
      <rPr>
        <b/>
        <sz val="10"/>
        <color theme="0"/>
        <rFont val="Times New Roman"/>
        <charset val="134"/>
      </rPr>
      <t>3</t>
    </r>
  </si>
  <si>
    <r>
      <rPr>
        <b/>
        <sz val="10"/>
        <color theme="0"/>
        <rFont val="Tahoma"/>
        <charset val="134"/>
      </rPr>
      <t>蓝色彩虹条烫点布</t>
    </r>
    <r>
      <rPr>
        <b/>
        <sz val="10"/>
        <color theme="0"/>
        <rFont val="Times New Roman"/>
        <charset val="134"/>
      </rPr>
      <t>+TC</t>
    </r>
    <r>
      <rPr>
        <b/>
        <sz val="10"/>
        <color theme="0"/>
        <rFont val="Tahoma"/>
        <charset val="134"/>
      </rPr>
      <t>贴合</t>
    </r>
  </si>
  <si>
    <r>
      <rPr>
        <b/>
        <sz val="10"/>
        <color theme="0"/>
        <rFont val="Microsoft YaHei UI"/>
        <charset val="134"/>
      </rPr>
      <t>共用物料</t>
    </r>
    <r>
      <rPr>
        <b/>
        <sz val="10"/>
        <color theme="0"/>
        <rFont val="Times New Roman"/>
        <charset val="134"/>
      </rPr>
      <t>4</t>
    </r>
  </si>
  <si>
    <r>
      <rPr>
        <b/>
        <sz val="10"/>
        <color theme="0"/>
        <rFont val="宋体"/>
        <charset val="134"/>
      </rPr>
      <t>共用物料</t>
    </r>
    <r>
      <rPr>
        <b/>
        <sz val="10"/>
        <color theme="0"/>
        <rFont val="Times New Roman"/>
        <charset val="134"/>
      </rPr>
      <t>5</t>
    </r>
  </si>
  <si>
    <r>
      <rPr>
        <b/>
        <sz val="10"/>
        <color theme="0"/>
        <rFont val="Tahoma"/>
        <charset val="134"/>
      </rPr>
      <t>全套辅料</t>
    </r>
  </si>
  <si>
    <t>MA-RR-991</t>
  </si>
  <si>
    <t>MA-RR-1100</t>
  </si>
  <si>
    <t>MA-RR-1270</t>
  </si>
  <si>
    <t>MA-RR-1391</t>
  </si>
  <si>
    <t>MA-RR-1769</t>
  </si>
  <si>
    <t>MA-RR-1828</t>
  </si>
  <si>
    <t>Rainbocorn
Eggzania Fairycorn  92106#</t>
  </si>
  <si>
    <t>灰色氨纶水晶超柔</t>
  </si>
  <si>
    <t>30mm本白色托卡毛</t>
  </si>
  <si>
    <t>喷棉</t>
  </si>
  <si>
    <t>黑色氨纶水晶超柔</t>
  </si>
  <si>
    <t>玫红色巴黎之星</t>
  </si>
  <si>
    <t>幻彩烫金布/TC底</t>
  </si>
  <si>
    <t>0.5MM TPU</t>
  </si>
  <si>
    <t>银色闪粉PU</t>
  </si>
  <si>
    <t>36mm玻璃水晶眼/戒子</t>
  </si>
  <si>
    <t>绿色氨纶水晶超柔</t>
  </si>
  <si>
    <t>10mm绿色小兔毛</t>
  </si>
  <si>
    <t>香槟色巴黎之星</t>
  </si>
  <si>
    <t>香槟色幻彩爆裂纹</t>
  </si>
  <si>
    <t>香槟色闪粉PU</t>
  </si>
  <si>
    <t>白色氨纶水晶超柔</t>
  </si>
  <si>
    <t>10mm本白兔毛</t>
  </si>
  <si>
    <t>绿色幻彩爆裂纹</t>
  </si>
  <si>
    <t>绿色闪粉PU</t>
  </si>
  <si>
    <t>Order Date:</t>
  </si>
  <si>
    <t>MA_RR_1092</t>
  </si>
  <si>
    <t>MA_RR_1133</t>
  </si>
  <si>
    <t>MA_RR_1176</t>
  </si>
  <si>
    <t>MA_RR_1215</t>
  </si>
  <si>
    <t>MA_RR_1238</t>
  </si>
  <si>
    <t>MA_RR_1304</t>
  </si>
  <si>
    <t>MA_RR_1398</t>
  </si>
  <si>
    <t>MA_RR_1484</t>
  </si>
  <si>
    <t>MA_RR_1543</t>
  </si>
  <si>
    <t>MA_RR_1600</t>
  </si>
  <si>
    <t>MA_RR_1645</t>
  </si>
  <si>
    <t>MA_RR_1712</t>
  </si>
  <si>
    <t>Shipment Date:</t>
  </si>
  <si>
    <r>
      <rPr>
        <sz val="13"/>
        <rFont val="Times New Roman"/>
        <charset val="134"/>
      </rPr>
      <t>MA</t>
    </r>
    <r>
      <rPr>
        <sz val="13"/>
        <rFont val="宋体"/>
        <charset val="134"/>
      </rPr>
      <t>编码</t>
    </r>
  </si>
  <si>
    <t>MA_RR_973</t>
  </si>
  <si>
    <t>Item #</t>
  </si>
  <si>
    <t>Name</t>
  </si>
  <si>
    <t>Remark</t>
  </si>
  <si>
    <t>MOQ QTY</t>
  </si>
  <si>
    <t>Usage QTY</t>
  </si>
  <si>
    <t>Unit</t>
  </si>
  <si>
    <t>Unit Price</t>
  </si>
  <si>
    <t>Amount</t>
  </si>
  <si>
    <t>BABYCORNS - BABYCORNS SURPRISE - SERIES 1 - PLUSH SMALL#92107</t>
  </si>
  <si>
    <t>蝴蝶（无机芯款）</t>
  </si>
  <si>
    <r>
      <rPr>
        <sz val="10"/>
        <rFont val="Times New Roman"/>
        <charset val="134"/>
      </rPr>
      <t>1.5MM</t>
    </r>
    <r>
      <rPr>
        <sz val="10"/>
        <rFont val="宋体"/>
        <charset val="134"/>
      </rPr>
      <t>粉色水晶超柔</t>
    </r>
  </si>
  <si>
    <r>
      <rPr>
        <sz val="10"/>
        <rFont val="宋体"/>
        <charset val="134"/>
      </rPr>
      <t>前身</t>
    </r>
    <r>
      <rPr>
        <sz val="10"/>
        <rFont val="Times New Roman"/>
        <charset val="134"/>
      </rPr>
      <t>/</t>
    </r>
    <r>
      <rPr>
        <sz val="10"/>
        <rFont val="宋体"/>
        <charset val="134"/>
      </rPr>
      <t>后身</t>
    </r>
    <r>
      <rPr>
        <sz val="10"/>
        <rFont val="Times New Roman"/>
        <charset val="134"/>
      </rPr>
      <t>/</t>
    </r>
    <r>
      <rPr>
        <sz val="10"/>
        <rFont val="宋体"/>
        <charset val="134"/>
      </rPr>
      <t>袖子</t>
    </r>
    <r>
      <rPr>
        <sz val="10"/>
        <rFont val="Times New Roman"/>
        <charset val="134"/>
      </rPr>
      <t>/</t>
    </r>
    <r>
      <rPr>
        <sz val="10"/>
        <rFont val="宋体"/>
        <charset val="134"/>
      </rPr>
      <t>脚面</t>
    </r>
    <r>
      <rPr>
        <sz val="10"/>
        <rFont val="Times New Roman"/>
        <charset val="134"/>
      </rPr>
      <t>/</t>
    </r>
    <r>
      <rPr>
        <sz val="10"/>
        <rFont val="宋体"/>
        <charset val="134"/>
      </rPr>
      <t>脚底</t>
    </r>
  </si>
  <si>
    <t>YDS</t>
  </si>
  <si>
    <r>
      <rPr>
        <sz val="10"/>
        <rFont val="Times New Roman"/>
        <charset val="134"/>
      </rPr>
      <t>1.5MM</t>
    </r>
    <r>
      <rPr>
        <sz val="10"/>
        <rFont val="宋体"/>
        <charset val="134"/>
      </rPr>
      <t>浅粉色水晶超柔</t>
    </r>
  </si>
  <si>
    <r>
      <rPr>
        <sz val="10"/>
        <rFont val="宋体"/>
        <charset val="134"/>
      </rPr>
      <t>后头</t>
    </r>
    <r>
      <rPr>
        <sz val="10"/>
        <rFont val="Times New Roman"/>
        <charset val="134"/>
      </rPr>
      <t>/</t>
    </r>
    <r>
      <rPr>
        <sz val="10"/>
        <rFont val="宋体"/>
        <charset val="134"/>
      </rPr>
      <t>前帽</t>
    </r>
    <r>
      <rPr>
        <sz val="10"/>
        <rFont val="Times New Roman"/>
        <charset val="134"/>
      </rPr>
      <t>/</t>
    </r>
    <r>
      <rPr>
        <sz val="10"/>
        <rFont val="宋体"/>
        <charset val="134"/>
      </rPr>
      <t>内领条</t>
    </r>
  </si>
  <si>
    <t>黑色边伦布</t>
  </si>
  <si>
    <r>
      <rPr>
        <sz val="10"/>
        <rFont val="宋体"/>
        <charset val="134"/>
      </rPr>
      <t>共用物料</t>
    </r>
    <r>
      <rPr>
        <sz val="10"/>
        <rFont val="Times New Roman"/>
        <charset val="134"/>
      </rPr>
      <t>12</t>
    </r>
  </si>
  <si>
    <t>银色巴黎之星</t>
  </si>
  <si>
    <r>
      <rPr>
        <sz val="10"/>
        <rFont val="宋体"/>
        <charset val="134"/>
      </rPr>
      <t>共用物料</t>
    </r>
    <r>
      <rPr>
        <sz val="10"/>
        <rFont val="Times New Roman"/>
        <charset val="134"/>
      </rPr>
      <t>4</t>
    </r>
  </si>
  <si>
    <r>
      <rPr>
        <sz val="10"/>
        <rFont val="Times New Roman"/>
        <charset val="134"/>
      </rPr>
      <t>0.55MM</t>
    </r>
    <r>
      <rPr>
        <sz val="10"/>
        <rFont val="宋体"/>
        <charset val="134"/>
      </rPr>
      <t>透明</t>
    </r>
    <r>
      <rPr>
        <sz val="10"/>
        <rFont val="Times New Roman"/>
        <charset val="134"/>
      </rPr>
      <t>PET</t>
    </r>
    <r>
      <rPr>
        <sz val="10"/>
        <rFont val="宋体"/>
        <charset val="134"/>
      </rPr>
      <t>胶片</t>
    </r>
  </si>
  <si>
    <t>待工程师确认方可采购</t>
  </si>
  <si>
    <r>
      <rPr>
        <b/>
        <sz val="10"/>
        <rFont val="宋体"/>
        <charset val="134"/>
      </rPr>
      <t>粉底毯子</t>
    </r>
    <r>
      <rPr>
        <b/>
        <sz val="10"/>
        <rFont val="Times New Roman"/>
        <charset val="134"/>
      </rPr>
      <t>-</t>
    </r>
    <r>
      <rPr>
        <b/>
        <sz val="10"/>
        <rFont val="宋体"/>
        <charset val="134"/>
      </rPr>
      <t>蝴蝶</t>
    </r>
  </si>
  <si>
    <r>
      <rPr>
        <sz val="10"/>
        <rFont val="Times New Roman"/>
        <charset val="134"/>
      </rPr>
      <t>1.5MM</t>
    </r>
    <r>
      <rPr>
        <sz val="10"/>
        <rFont val="宋体"/>
        <charset val="134"/>
      </rPr>
      <t>白色水晶超柔印</t>
    </r>
    <r>
      <rPr>
        <sz val="10"/>
        <rFont val="Times New Roman"/>
        <charset val="134"/>
      </rPr>
      <t>/</t>
    </r>
    <r>
      <rPr>
        <sz val="10"/>
        <rFont val="宋体"/>
        <charset val="134"/>
      </rPr>
      <t>粉底白奶瓶（</t>
    </r>
    <r>
      <rPr>
        <sz val="10"/>
        <rFont val="Times New Roman"/>
        <charset val="134"/>
      </rPr>
      <t>211C+</t>
    </r>
    <r>
      <rPr>
        <sz val="10"/>
        <rFont val="宋体"/>
        <charset val="134"/>
      </rPr>
      <t>白色）</t>
    </r>
  </si>
  <si>
    <t>毯子</t>
  </si>
  <si>
    <r>
      <rPr>
        <sz val="10"/>
        <rFont val="宋体"/>
        <charset val="134"/>
      </rPr>
      <t>共用物料</t>
    </r>
    <r>
      <rPr>
        <sz val="10"/>
        <rFont val="Times New Roman"/>
        <charset val="134"/>
      </rPr>
      <t>6</t>
    </r>
  </si>
  <si>
    <t>瓢虫（无机芯款）</t>
  </si>
  <si>
    <r>
      <rPr>
        <sz val="10"/>
        <rFont val="Times New Roman"/>
        <charset val="134"/>
      </rPr>
      <t>1.5MM</t>
    </r>
    <r>
      <rPr>
        <sz val="10"/>
        <rFont val="宋体"/>
        <charset val="134"/>
      </rPr>
      <t>白色水晶超柔</t>
    </r>
    <r>
      <rPr>
        <sz val="10"/>
        <rFont val="Times New Roman"/>
        <charset val="134"/>
      </rPr>
      <t>/</t>
    </r>
    <r>
      <rPr>
        <sz val="10"/>
        <rFont val="宋体"/>
        <charset val="134"/>
      </rPr>
      <t>数码印红底黑圆点</t>
    </r>
  </si>
  <si>
    <r>
      <rPr>
        <sz val="10"/>
        <rFont val="宋体"/>
        <charset val="134"/>
      </rPr>
      <t>前身</t>
    </r>
    <r>
      <rPr>
        <sz val="10"/>
        <rFont val="Times New Roman"/>
        <charset val="134"/>
      </rPr>
      <t>/</t>
    </r>
    <r>
      <rPr>
        <sz val="10"/>
        <rFont val="宋体"/>
        <charset val="134"/>
      </rPr>
      <t>后身</t>
    </r>
    <r>
      <rPr>
        <sz val="10"/>
        <rFont val="Times New Roman"/>
        <charset val="134"/>
      </rPr>
      <t>/</t>
    </r>
    <r>
      <rPr>
        <sz val="10"/>
        <rFont val="宋体"/>
        <charset val="134"/>
      </rPr>
      <t>袖子</t>
    </r>
    <r>
      <rPr>
        <sz val="10"/>
        <rFont val="Times New Roman"/>
        <charset val="134"/>
      </rPr>
      <t>/</t>
    </r>
    <r>
      <rPr>
        <sz val="10"/>
        <rFont val="宋体"/>
        <charset val="134"/>
      </rPr>
      <t>脚面</t>
    </r>
    <r>
      <rPr>
        <sz val="10"/>
        <rFont val="Times New Roman"/>
        <charset val="134"/>
      </rPr>
      <t>/</t>
    </r>
    <r>
      <rPr>
        <sz val="10"/>
        <rFont val="宋体"/>
        <charset val="134"/>
      </rPr>
      <t>脚底</t>
    </r>
    <r>
      <rPr>
        <sz val="10"/>
        <rFont val="Times New Roman"/>
        <charset val="134"/>
      </rPr>
      <t>/</t>
    </r>
    <r>
      <rPr>
        <sz val="10"/>
        <rFont val="宋体"/>
        <charset val="134"/>
      </rPr>
      <t>内领条</t>
    </r>
  </si>
  <si>
    <r>
      <rPr>
        <sz val="10"/>
        <rFont val="Times New Roman"/>
        <charset val="134"/>
      </rPr>
      <t>1.5MM</t>
    </r>
    <r>
      <rPr>
        <sz val="10"/>
        <rFont val="宋体"/>
        <charset val="134"/>
      </rPr>
      <t>黑色水晶超柔</t>
    </r>
  </si>
  <si>
    <r>
      <rPr>
        <sz val="10"/>
        <rFont val="宋体"/>
        <charset val="134"/>
      </rPr>
      <t>后头</t>
    </r>
    <r>
      <rPr>
        <sz val="10"/>
        <rFont val="Times New Roman"/>
        <charset val="134"/>
      </rPr>
      <t>/</t>
    </r>
    <r>
      <rPr>
        <sz val="10"/>
        <rFont val="宋体"/>
        <charset val="134"/>
      </rPr>
      <t>前帽</t>
    </r>
  </si>
  <si>
    <r>
      <rPr>
        <sz val="10"/>
        <rFont val="宋体"/>
        <charset val="134"/>
      </rPr>
      <t>共用物料</t>
    </r>
    <r>
      <rPr>
        <sz val="10"/>
        <rFont val="Times New Roman"/>
        <charset val="134"/>
      </rPr>
      <t>11</t>
    </r>
  </si>
  <si>
    <t>触角丙</t>
  </si>
  <si>
    <r>
      <rPr>
        <sz val="10"/>
        <rFont val="Times New Roman"/>
        <charset val="134"/>
      </rPr>
      <t>1mm</t>
    </r>
    <r>
      <rPr>
        <sz val="10"/>
        <rFont val="宋体"/>
        <charset val="134"/>
      </rPr>
      <t>黑色戟绒</t>
    </r>
  </si>
  <si>
    <r>
      <rPr>
        <sz val="10"/>
        <rFont val="Times New Roman"/>
        <charset val="134"/>
      </rPr>
      <t>10MM</t>
    </r>
    <r>
      <rPr>
        <sz val="10"/>
        <rFont val="宋体"/>
        <charset val="134"/>
      </rPr>
      <t>玫红兔毛</t>
    </r>
  </si>
  <si>
    <r>
      <rPr>
        <sz val="10"/>
        <rFont val="宋体"/>
        <charset val="134"/>
      </rPr>
      <t>共用物料</t>
    </r>
    <r>
      <rPr>
        <sz val="10"/>
        <rFont val="Times New Roman"/>
        <charset val="134"/>
      </rPr>
      <t>5</t>
    </r>
  </si>
  <si>
    <r>
      <rPr>
        <sz val="10"/>
        <rFont val="宋体"/>
        <charset val="134"/>
      </rPr>
      <t>肚皮心</t>
    </r>
    <r>
      <rPr>
        <sz val="10"/>
        <rFont val="Times New Roman"/>
        <charset val="134"/>
      </rPr>
      <t>/</t>
    </r>
    <r>
      <rPr>
        <sz val="10"/>
        <rFont val="宋体"/>
        <charset val="134"/>
      </rPr>
      <t>翅膀料</t>
    </r>
  </si>
  <si>
    <r>
      <rPr>
        <b/>
        <sz val="10"/>
        <rFont val="宋体"/>
        <charset val="134"/>
      </rPr>
      <t>玫红底毯子</t>
    </r>
    <r>
      <rPr>
        <b/>
        <sz val="10"/>
        <rFont val="Times New Roman"/>
        <charset val="134"/>
      </rPr>
      <t>-</t>
    </r>
    <r>
      <rPr>
        <b/>
        <sz val="10"/>
        <rFont val="宋体"/>
        <charset val="134"/>
      </rPr>
      <t>瓢虫</t>
    </r>
  </si>
  <si>
    <r>
      <rPr>
        <sz val="10"/>
        <rFont val="Times New Roman"/>
        <charset val="134"/>
      </rPr>
      <t>1.5MM</t>
    </r>
    <r>
      <rPr>
        <sz val="10"/>
        <rFont val="宋体"/>
        <charset val="134"/>
      </rPr>
      <t>白色水晶超柔印</t>
    </r>
    <r>
      <rPr>
        <sz val="10"/>
        <rFont val="Times New Roman"/>
        <charset val="134"/>
      </rPr>
      <t>/</t>
    </r>
    <r>
      <rPr>
        <sz val="10"/>
        <rFont val="宋体"/>
        <charset val="134"/>
      </rPr>
      <t>玫红底黑奶瓶（</t>
    </r>
    <r>
      <rPr>
        <sz val="10"/>
        <rFont val="Times New Roman"/>
        <charset val="134"/>
      </rPr>
      <t>213C+</t>
    </r>
    <r>
      <rPr>
        <sz val="10"/>
        <rFont val="宋体"/>
        <charset val="134"/>
      </rPr>
      <t>黑色）</t>
    </r>
  </si>
  <si>
    <t>长颈鹿（无机芯款）</t>
  </si>
  <si>
    <r>
      <rPr>
        <sz val="10"/>
        <rFont val="Times New Roman"/>
        <charset val="134"/>
      </rPr>
      <t>1.5MM</t>
    </r>
    <r>
      <rPr>
        <sz val="10"/>
        <rFont val="宋体"/>
        <charset val="134"/>
      </rPr>
      <t>白色水晶超柔</t>
    </r>
    <r>
      <rPr>
        <sz val="10"/>
        <rFont val="Times New Roman"/>
        <charset val="134"/>
      </rPr>
      <t>/</t>
    </r>
    <r>
      <rPr>
        <sz val="10"/>
        <rFont val="宋体"/>
        <charset val="134"/>
      </rPr>
      <t>数码印橙色鹿纹</t>
    </r>
  </si>
  <si>
    <r>
      <rPr>
        <sz val="10"/>
        <rFont val="宋体"/>
        <charset val="134"/>
      </rPr>
      <t>前身</t>
    </r>
    <r>
      <rPr>
        <sz val="10"/>
        <rFont val="Times New Roman"/>
        <charset val="134"/>
      </rPr>
      <t>/</t>
    </r>
    <r>
      <rPr>
        <sz val="10"/>
        <rFont val="宋体"/>
        <charset val="134"/>
      </rPr>
      <t>后身</t>
    </r>
    <r>
      <rPr>
        <sz val="10"/>
        <rFont val="Times New Roman"/>
        <charset val="134"/>
      </rPr>
      <t>/</t>
    </r>
    <r>
      <rPr>
        <sz val="10"/>
        <rFont val="宋体"/>
        <charset val="134"/>
      </rPr>
      <t>袖子</t>
    </r>
    <r>
      <rPr>
        <sz val="10"/>
        <rFont val="Times New Roman"/>
        <charset val="134"/>
      </rPr>
      <t>/</t>
    </r>
    <r>
      <rPr>
        <sz val="10"/>
        <rFont val="宋体"/>
        <charset val="134"/>
      </rPr>
      <t>脚面</t>
    </r>
    <r>
      <rPr>
        <sz val="10"/>
        <rFont val="Times New Roman"/>
        <charset val="134"/>
      </rPr>
      <t>/</t>
    </r>
    <r>
      <rPr>
        <sz val="10"/>
        <rFont val="宋体"/>
        <charset val="134"/>
      </rPr>
      <t>脚底</t>
    </r>
    <r>
      <rPr>
        <sz val="10"/>
        <rFont val="Times New Roman"/>
        <charset val="134"/>
      </rPr>
      <t>/</t>
    </r>
    <r>
      <rPr>
        <sz val="10"/>
        <rFont val="宋体"/>
        <charset val="134"/>
      </rPr>
      <t>后头</t>
    </r>
    <r>
      <rPr>
        <sz val="10"/>
        <rFont val="Times New Roman"/>
        <charset val="134"/>
      </rPr>
      <t>/</t>
    </r>
    <r>
      <rPr>
        <sz val="10"/>
        <rFont val="宋体"/>
        <charset val="134"/>
      </rPr>
      <t>前帽</t>
    </r>
    <r>
      <rPr>
        <sz val="10"/>
        <rFont val="Times New Roman"/>
        <charset val="134"/>
      </rPr>
      <t>/</t>
    </r>
    <r>
      <rPr>
        <sz val="10"/>
        <rFont val="宋体"/>
        <charset val="134"/>
      </rPr>
      <t>内领条</t>
    </r>
    <r>
      <rPr>
        <sz val="10"/>
        <rFont val="Times New Roman"/>
        <charset val="134"/>
      </rPr>
      <t>/</t>
    </r>
    <r>
      <rPr>
        <sz val="10"/>
        <rFont val="宋体"/>
        <charset val="134"/>
      </rPr>
      <t>外耳</t>
    </r>
    <r>
      <rPr>
        <sz val="10"/>
        <rFont val="Times New Roman"/>
        <charset val="134"/>
      </rPr>
      <t>/</t>
    </r>
    <r>
      <rPr>
        <sz val="10"/>
        <rFont val="宋体"/>
        <charset val="134"/>
      </rPr>
      <t>尾巴</t>
    </r>
  </si>
  <si>
    <t>白色海绵</t>
  </si>
  <si>
    <t>外耳料</t>
  </si>
  <si>
    <r>
      <rPr>
        <sz val="10"/>
        <rFont val="宋体"/>
        <charset val="134"/>
      </rPr>
      <t>共用物料</t>
    </r>
    <r>
      <rPr>
        <sz val="10"/>
        <rFont val="Times New Roman"/>
        <charset val="134"/>
      </rPr>
      <t>2</t>
    </r>
  </si>
  <si>
    <t>白色稀网纱</t>
  </si>
  <si>
    <r>
      <rPr>
        <sz val="10"/>
        <rFont val="宋体"/>
        <charset val="134"/>
      </rPr>
      <t>共用物料</t>
    </r>
    <r>
      <rPr>
        <sz val="10"/>
        <rFont val="Times New Roman"/>
        <charset val="134"/>
      </rPr>
      <t>3</t>
    </r>
  </si>
  <si>
    <r>
      <rPr>
        <sz val="10"/>
        <rFont val="Times New Roman"/>
        <charset val="134"/>
      </rPr>
      <t>30MM</t>
    </r>
    <r>
      <rPr>
        <sz val="10"/>
        <rFont val="宋体"/>
        <charset val="134"/>
      </rPr>
      <t>小毛皮漂白</t>
    </r>
    <r>
      <rPr>
        <sz val="10"/>
        <rFont val="Times New Roman"/>
        <charset val="134"/>
      </rPr>
      <t>KK</t>
    </r>
    <r>
      <rPr>
        <sz val="10"/>
        <rFont val="宋体"/>
        <charset val="134"/>
      </rPr>
      <t>纱</t>
    </r>
  </si>
  <si>
    <r>
      <rPr>
        <sz val="10"/>
        <rFont val="宋体"/>
        <charset val="134"/>
      </rPr>
      <t>尾尖</t>
    </r>
    <r>
      <rPr>
        <sz val="10"/>
        <rFont val="Times New Roman"/>
        <charset val="134"/>
      </rPr>
      <t>/</t>
    </r>
    <r>
      <rPr>
        <sz val="10"/>
        <rFont val="宋体"/>
        <charset val="134"/>
      </rPr>
      <t>头毛</t>
    </r>
  </si>
  <si>
    <r>
      <rPr>
        <sz val="10"/>
        <rFont val="宋体"/>
        <charset val="134"/>
      </rPr>
      <t>共用物料</t>
    </r>
    <r>
      <rPr>
        <sz val="10"/>
        <rFont val="Times New Roman"/>
        <charset val="134"/>
      </rPr>
      <t>13</t>
    </r>
  </si>
  <si>
    <t>金色巴黎之星</t>
  </si>
  <si>
    <r>
      <rPr>
        <sz val="10"/>
        <rFont val="宋体"/>
        <charset val="134"/>
      </rPr>
      <t>肚皮心</t>
    </r>
    <r>
      <rPr>
        <sz val="10"/>
        <rFont val="Times New Roman"/>
        <charset val="134"/>
      </rPr>
      <t>/</t>
    </r>
    <r>
      <rPr>
        <sz val="10"/>
        <rFont val="宋体"/>
        <charset val="134"/>
      </rPr>
      <t>触角料</t>
    </r>
    <r>
      <rPr>
        <sz val="10"/>
        <rFont val="Times New Roman"/>
        <charset val="134"/>
      </rPr>
      <t>/</t>
    </r>
    <r>
      <rPr>
        <sz val="10"/>
        <rFont val="宋体"/>
        <charset val="134"/>
      </rPr>
      <t>内耳</t>
    </r>
    <r>
      <rPr>
        <sz val="10"/>
        <rFont val="Times New Roman"/>
        <charset val="134"/>
      </rPr>
      <t>/</t>
    </r>
    <r>
      <rPr>
        <sz val="10"/>
        <rFont val="宋体"/>
        <charset val="134"/>
      </rPr>
      <t>翅膀料</t>
    </r>
  </si>
  <si>
    <r>
      <rPr>
        <sz val="10"/>
        <rFont val="宋体"/>
        <charset val="134"/>
      </rPr>
      <t>共用物料</t>
    </r>
    <r>
      <rPr>
        <sz val="10"/>
        <rFont val="Times New Roman"/>
        <charset val="134"/>
      </rPr>
      <t>9</t>
    </r>
  </si>
  <si>
    <r>
      <rPr>
        <b/>
        <sz val="10"/>
        <rFont val="宋体"/>
        <charset val="134"/>
      </rPr>
      <t>橙底毯子</t>
    </r>
    <r>
      <rPr>
        <b/>
        <sz val="10"/>
        <rFont val="Times New Roman"/>
        <charset val="134"/>
      </rPr>
      <t>-</t>
    </r>
    <r>
      <rPr>
        <b/>
        <sz val="10"/>
        <rFont val="宋体"/>
        <charset val="134"/>
      </rPr>
      <t>长颈鹿</t>
    </r>
  </si>
  <si>
    <r>
      <rPr>
        <sz val="10"/>
        <rFont val="Times New Roman"/>
        <charset val="134"/>
      </rPr>
      <t>1.5MM</t>
    </r>
    <r>
      <rPr>
        <sz val="10"/>
        <rFont val="宋体"/>
        <charset val="134"/>
      </rPr>
      <t>白色水晶超柔印</t>
    </r>
    <r>
      <rPr>
        <sz val="10"/>
        <rFont val="Times New Roman"/>
        <charset val="134"/>
      </rPr>
      <t>/</t>
    </r>
    <r>
      <rPr>
        <sz val="10"/>
        <rFont val="宋体"/>
        <charset val="134"/>
      </rPr>
      <t>橙底橘色奶瓶（</t>
    </r>
    <r>
      <rPr>
        <sz val="10"/>
        <rFont val="Times New Roman"/>
        <charset val="134"/>
      </rPr>
      <t>1365C+1505C</t>
    </r>
    <r>
      <rPr>
        <sz val="10"/>
        <rFont val="宋体"/>
        <charset val="134"/>
      </rPr>
      <t>）</t>
    </r>
  </si>
  <si>
    <t>大象（无机芯款）</t>
  </si>
  <si>
    <r>
      <rPr>
        <sz val="10"/>
        <rFont val="Times New Roman"/>
        <charset val="134"/>
      </rPr>
      <t>1.5MM</t>
    </r>
    <r>
      <rPr>
        <sz val="10"/>
        <rFont val="宋体"/>
        <charset val="134"/>
      </rPr>
      <t>蓝色水晶超柔</t>
    </r>
  </si>
  <si>
    <r>
      <rPr>
        <sz val="10"/>
        <rFont val="宋体"/>
        <charset val="134"/>
      </rPr>
      <t>前身</t>
    </r>
    <r>
      <rPr>
        <sz val="10"/>
        <rFont val="Times New Roman"/>
        <charset val="134"/>
      </rPr>
      <t>/</t>
    </r>
    <r>
      <rPr>
        <sz val="10"/>
        <rFont val="宋体"/>
        <charset val="134"/>
      </rPr>
      <t>后身</t>
    </r>
    <r>
      <rPr>
        <sz val="10"/>
        <rFont val="Times New Roman"/>
        <charset val="134"/>
      </rPr>
      <t>/</t>
    </r>
    <r>
      <rPr>
        <sz val="10"/>
        <rFont val="宋体"/>
        <charset val="134"/>
      </rPr>
      <t>袖子</t>
    </r>
    <r>
      <rPr>
        <sz val="10"/>
        <rFont val="Times New Roman"/>
        <charset val="134"/>
      </rPr>
      <t>/</t>
    </r>
    <r>
      <rPr>
        <sz val="10"/>
        <rFont val="宋体"/>
        <charset val="134"/>
      </rPr>
      <t>脚面</t>
    </r>
    <r>
      <rPr>
        <sz val="10"/>
        <rFont val="Times New Roman"/>
        <charset val="134"/>
      </rPr>
      <t>/</t>
    </r>
    <r>
      <rPr>
        <sz val="10"/>
        <rFont val="宋体"/>
        <charset val="134"/>
      </rPr>
      <t>脚底</t>
    </r>
    <r>
      <rPr>
        <sz val="10"/>
        <rFont val="Times New Roman"/>
        <charset val="134"/>
      </rPr>
      <t>/</t>
    </r>
    <r>
      <rPr>
        <sz val="10"/>
        <rFont val="宋体"/>
        <charset val="134"/>
      </rPr>
      <t>后头</t>
    </r>
    <r>
      <rPr>
        <sz val="10"/>
        <rFont val="Times New Roman"/>
        <charset val="134"/>
      </rPr>
      <t>/</t>
    </r>
    <r>
      <rPr>
        <sz val="10"/>
        <rFont val="宋体"/>
        <charset val="134"/>
      </rPr>
      <t>前帽</t>
    </r>
    <r>
      <rPr>
        <sz val="10"/>
        <rFont val="Times New Roman"/>
        <charset val="134"/>
      </rPr>
      <t>/</t>
    </r>
    <r>
      <rPr>
        <sz val="10"/>
        <rFont val="宋体"/>
        <charset val="134"/>
      </rPr>
      <t>内领条</t>
    </r>
    <r>
      <rPr>
        <sz val="10"/>
        <rFont val="Times New Roman"/>
        <charset val="134"/>
      </rPr>
      <t>/</t>
    </r>
    <r>
      <rPr>
        <sz val="10"/>
        <rFont val="宋体"/>
        <charset val="134"/>
      </rPr>
      <t>外耳</t>
    </r>
    <r>
      <rPr>
        <sz val="10"/>
        <rFont val="Times New Roman"/>
        <charset val="134"/>
      </rPr>
      <t>/</t>
    </r>
    <r>
      <rPr>
        <sz val="10"/>
        <rFont val="宋体"/>
        <charset val="134"/>
      </rPr>
      <t>内帽檐</t>
    </r>
    <r>
      <rPr>
        <sz val="10"/>
        <rFont val="Times New Roman"/>
        <charset val="134"/>
      </rPr>
      <t>/</t>
    </r>
    <r>
      <rPr>
        <sz val="10"/>
        <rFont val="宋体"/>
        <charset val="134"/>
      </rPr>
      <t>尾巴</t>
    </r>
  </si>
  <si>
    <r>
      <rPr>
        <sz val="10"/>
        <rFont val="宋体"/>
        <charset val="134"/>
      </rPr>
      <t>共用物料</t>
    </r>
    <r>
      <rPr>
        <sz val="10"/>
        <rFont val="Times New Roman"/>
        <charset val="134"/>
      </rPr>
      <t>1</t>
    </r>
  </si>
  <si>
    <r>
      <rPr>
        <sz val="10"/>
        <rFont val="Times New Roman"/>
        <charset val="134"/>
      </rPr>
      <t>1.5MM</t>
    </r>
    <r>
      <rPr>
        <sz val="10"/>
        <rFont val="宋体"/>
        <charset val="134"/>
      </rPr>
      <t>白色水晶超柔</t>
    </r>
  </si>
  <si>
    <r>
      <rPr>
        <sz val="10"/>
        <rFont val="宋体"/>
        <charset val="134"/>
      </rPr>
      <t>内耳</t>
    </r>
    <r>
      <rPr>
        <sz val="10"/>
        <rFont val="Times New Roman"/>
        <charset val="134"/>
      </rPr>
      <t>/</t>
    </r>
    <r>
      <rPr>
        <sz val="10"/>
        <rFont val="宋体"/>
        <charset val="134"/>
      </rPr>
      <t>象牙</t>
    </r>
  </si>
  <si>
    <t>尾尖</t>
  </si>
  <si>
    <r>
      <rPr>
        <b/>
        <sz val="10"/>
        <rFont val="宋体"/>
        <charset val="134"/>
      </rPr>
      <t>蓝底毯子</t>
    </r>
    <r>
      <rPr>
        <b/>
        <sz val="10"/>
        <rFont val="Times New Roman"/>
        <charset val="134"/>
      </rPr>
      <t>-</t>
    </r>
    <r>
      <rPr>
        <b/>
        <sz val="10"/>
        <rFont val="宋体"/>
        <charset val="134"/>
      </rPr>
      <t>大象</t>
    </r>
  </si>
  <si>
    <r>
      <rPr>
        <sz val="10"/>
        <rFont val="Times New Roman"/>
        <charset val="134"/>
      </rPr>
      <t>1.5MM</t>
    </r>
    <r>
      <rPr>
        <sz val="10"/>
        <rFont val="宋体"/>
        <charset val="134"/>
      </rPr>
      <t>白色水晶超柔印</t>
    </r>
    <r>
      <rPr>
        <sz val="10"/>
        <rFont val="Times New Roman"/>
        <charset val="134"/>
      </rPr>
      <t>/</t>
    </r>
    <r>
      <rPr>
        <sz val="10"/>
        <rFont val="宋体"/>
        <charset val="134"/>
      </rPr>
      <t>蓝底白奶瓶（</t>
    </r>
    <r>
      <rPr>
        <sz val="10"/>
        <rFont val="Times New Roman"/>
        <charset val="134"/>
      </rPr>
      <t>298C+</t>
    </r>
    <r>
      <rPr>
        <sz val="10"/>
        <rFont val="宋体"/>
        <charset val="134"/>
      </rPr>
      <t>白色）</t>
    </r>
  </si>
  <si>
    <t>BABYCORNS - BABYCORNS SURPRISE - SERIES 1 - PLUSH LARGE#92108</t>
  </si>
  <si>
    <r>
      <rPr>
        <sz val="10"/>
        <rFont val="宋体"/>
        <charset val="134"/>
      </rPr>
      <t>前右身</t>
    </r>
    <r>
      <rPr>
        <sz val="10"/>
        <rFont val="Times New Roman"/>
        <charset val="134"/>
      </rPr>
      <t>/</t>
    </r>
    <r>
      <rPr>
        <sz val="10"/>
        <rFont val="宋体"/>
        <charset val="134"/>
      </rPr>
      <t>后右身</t>
    </r>
    <r>
      <rPr>
        <sz val="10"/>
        <rFont val="Times New Roman"/>
        <charset val="134"/>
      </rPr>
      <t>/</t>
    </r>
    <r>
      <rPr>
        <sz val="10"/>
        <rFont val="宋体"/>
        <charset val="134"/>
      </rPr>
      <t>右袖</t>
    </r>
    <r>
      <rPr>
        <sz val="10"/>
        <rFont val="Times New Roman"/>
        <charset val="134"/>
      </rPr>
      <t>/</t>
    </r>
    <r>
      <rPr>
        <sz val="10"/>
        <rFont val="宋体"/>
        <charset val="134"/>
      </rPr>
      <t>右脚面</t>
    </r>
    <r>
      <rPr>
        <sz val="10"/>
        <rFont val="Times New Roman"/>
        <charset val="134"/>
      </rPr>
      <t>/</t>
    </r>
    <r>
      <rPr>
        <sz val="10"/>
        <rFont val="宋体"/>
        <charset val="134"/>
      </rPr>
      <t>右脚底</t>
    </r>
    <r>
      <rPr>
        <sz val="10"/>
        <rFont val="Times New Roman"/>
        <charset val="134"/>
      </rPr>
      <t>/</t>
    </r>
    <r>
      <rPr>
        <sz val="10"/>
        <rFont val="宋体"/>
        <charset val="134"/>
      </rPr>
      <t>右侧后头</t>
    </r>
    <r>
      <rPr>
        <sz val="10"/>
        <rFont val="Times New Roman"/>
        <charset val="134"/>
      </rPr>
      <t>/</t>
    </r>
    <r>
      <rPr>
        <sz val="10"/>
        <rFont val="宋体"/>
        <charset val="134"/>
      </rPr>
      <t>右耳前</t>
    </r>
    <r>
      <rPr>
        <sz val="10"/>
        <rFont val="Times New Roman"/>
        <charset val="134"/>
      </rPr>
      <t>/</t>
    </r>
    <r>
      <rPr>
        <sz val="10"/>
        <rFont val="宋体"/>
        <charset val="134"/>
      </rPr>
      <t>右前帽</t>
    </r>
    <r>
      <rPr>
        <sz val="10"/>
        <rFont val="Times New Roman"/>
        <charset val="134"/>
      </rPr>
      <t>/</t>
    </r>
    <r>
      <rPr>
        <sz val="10"/>
        <rFont val="宋体"/>
        <charset val="134"/>
      </rPr>
      <t>右后耳料</t>
    </r>
  </si>
  <si>
    <t>右后耳料</t>
  </si>
  <si>
    <r>
      <rPr>
        <sz val="10"/>
        <rFont val="Times New Roman"/>
        <charset val="134"/>
      </rPr>
      <t>1.5MM</t>
    </r>
    <r>
      <rPr>
        <sz val="10"/>
        <rFont val="宋体"/>
        <charset val="134"/>
      </rPr>
      <t>玫红色水晶超柔</t>
    </r>
  </si>
  <si>
    <r>
      <rPr>
        <sz val="10"/>
        <rFont val="宋体"/>
        <charset val="134"/>
      </rPr>
      <t>前左身</t>
    </r>
    <r>
      <rPr>
        <sz val="10"/>
        <rFont val="Times New Roman"/>
        <charset val="134"/>
      </rPr>
      <t>/</t>
    </r>
    <r>
      <rPr>
        <sz val="10"/>
        <rFont val="宋体"/>
        <charset val="134"/>
      </rPr>
      <t>后左身</t>
    </r>
    <r>
      <rPr>
        <sz val="10"/>
        <rFont val="Times New Roman"/>
        <charset val="134"/>
      </rPr>
      <t>/</t>
    </r>
    <r>
      <rPr>
        <sz val="10"/>
        <rFont val="宋体"/>
        <charset val="134"/>
      </rPr>
      <t>左袖</t>
    </r>
    <r>
      <rPr>
        <sz val="10"/>
        <rFont val="Times New Roman"/>
        <charset val="134"/>
      </rPr>
      <t>/</t>
    </r>
    <r>
      <rPr>
        <sz val="10"/>
        <rFont val="宋体"/>
        <charset val="134"/>
      </rPr>
      <t>左脚面</t>
    </r>
    <r>
      <rPr>
        <sz val="10"/>
        <rFont val="Times New Roman"/>
        <charset val="134"/>
      </rPr>
      <t>/</t>
    </r>
    <r>
      <rPr>
        <sz val="10"/>
        <rFont val="宋体"/>
        <charset val="134"/>
      </rPr>
      <t>左脚底</t>
    </r>
    <r>
      <rPr>
        <sz val="10"/>
        <rFont val="Times New Roman"/>
        <charset val="134"/>
      </rPr>
      <t>/</t>
    </r>
    <r>
      <rPr>
        <sz val="10"/>
        <rFont val="宋体"/>
        <charset val="134"/>
      </rPr>
      <t>左侧后头</t>
    </r>
    <r>
      <rPr>
        <sz val="10"/>
        <rFont val="Times New Roman"/>
        <charset val="134"/>
      </rPr>
      <t>/</t>
    </r>
    <r>
      <rPr>
        <sz val="10"/>
        <rFont val="宋体"/>
        <charset val="134"/>
      </rPr>
      <t>左耳前</t>
    </r>
    <r>
      <rPr>
        <sz val="10"/>
        <rFont val="Times New Roman"/>
        <charset val="134"/>
      </rPr>
      <t>/</t>
    </r>
    <r>
      <rPr>
        <sz val="10"/>
        <rFont val="宋体"/>
        <charset val="134"/>
      </rPr>
      <t>左前帽</t>
    </r>
    <r>
      <rPr>
        <sz val="10"/>
        <rFont val="Times New Roman"/>
        <charset val="134"/>
      </rPr>
      <t>/</t>
    </r>
    <r>
      <rPr>
        <sz val="10"/>
        <rFont val="宋体"/>
        <charset val="134"/>
      </rPr>
      <t>内领条</t>
    </r>
    <r>
      <rPr>
        <sz val="10"/>
        <rFont val="Times New Roman"/>
        <charset val="134"/>
      </rPr>
      <t>/</t>
    </r>
    <r>
      <rPr>
        <sz val="10"/>
        <rFont val="宋体"/>
        <charset val="134"/>
      </rPr>
      <t>左后耳料</t>
    </r>
  </si>
  <si>
    <r>
      <rPr>
        <sz val="10"/>
        <rFont val="宋体"/>
        <charset val="134"/>
      </rPr>
      <t>共用物料</t>
    </r>
    <r>
      <rPr>
        <sz val="10"/>
        <rFont val="Times New Roman"/>
        <charset val="134"/>
      </rPr>
      <t>10</t>
    </r>
  </si>
  <si>
    <t>左后耳料</t>
  </si>
  <si>
    <r>
      <rPr>
        <sz val="10"/>
        <rFont val="宋体"/>
        <charset val="134"/>
      </rPr>
      <t>肚皮心</t>
    </r>
    <r>
      <rPr>
        <sz val="10"/>
        <rFont val="Times New Roman"/>
        <charset val="134"/>
      </rPr>
      <t>/</t>
    </r>
    <r>
      <rPr>
        <sz val="10"/>
        <rFont val="宋体"/>
        <charset val="134"/>
      </rPr>
      <t>内耳</t>
    </r>
    <r>
      <rPr>
        <sz val="10"/>
        <rFont val="Times New Roman"/>
        <charset val="134"/>
      </rPr>
      <t>/</t>
    </r>
    <r>
      <rPr>
        <sz val="10"/>
        <rFont val="宋体"/>
        <charset val="134"/>
      </rPr>
      <t>翅膀料</t>
    </r>
  </si>
  <si>
    <r>
      <rPr>
        <sz val="10"/>
        <rFont val="Times New Roman"/>
        <charset val="134"/>
      </rPr>
      <t>1.5MM</t>
    </r>
    <r>
      <rPr>
        <sz val="10"/>
        <rFont val="宋体"/>
        <charset val="134"/>
      </rPr>
      <t>白色水晶超柔</t>
    </r>
    <r>
      <rPr>
        <sz val="10"/>
        <rFont val="Times New Roman"/>
        <charset val="134"/>
      </rPr>
      <t>/</t>
    </r>
    <r>
      <rPr>
        <sz val="10"/>
        <rFont val="宋体"/>
        <charset val="134"/>
      </rPr>
      <t>数码定位印</t>
    </r>
  </si>
  <si>
    <t>前身</t>
  </si>
  <si>
    <r>
      <rPr>
        <sz val="10"/>
        <rFont val="宋体"/>
        <charset val="134"/>
      </rPr>
      <t>左后身</t>
    </r>
    <r>
      <rPr>
        <sz val="10"/>
        <rFont val="Times New Roman"/>
        <charset val="134"/>
      </rPr>
      <t>/</t>
    </r>
    <r>
      <rPr>
        <sz val="10"/>
        <rFont val="宋体"/>
        <charset val="134"/>
      </rPr>
      <t>左外耳</t>
    </r>
  </si>
  <si>
    <r>
      <rPr>
        <sz val="10"/>
        <rFont val="宋体"/>
        <charset val="134"/>
      </rPr>
      <t>右后身</t>
    </r>
    <r>
      <rPr>
        <sz val="10"/>
        <rFont val="Times New Roman"/>
        <charset val="134"/>
      </rPr>
      <t>/</t>
    </r>
    <r>
      <rPr>
        <sz val="10"/>
        <rFont val="宋体"/>
        <charset val="134"/>
      </rPr>
      <t>右外耳</t>
    </r>
  </si>
  <si>
    <r>
      <rPr>
        <sz val="10"/>
        <rFont val="宋体"/>
        <charset val="134"/>
      </rPr>
      <t>银色烫金布</t>
    </r>
    <r>
      <rPr>
        <sz val="10"/>
        <rFont val="Times New Roman"/>
        <charset val="134"/>
      </rPr>
      <t>/</t>
    </r>
    <r>
      <rPr>
        <sz val="10"/>
        <rFont val="宋体"/>
        <charset val="134"/>
      </rPr>
      <t>边伦底</t>
    </r>
  </si>
  <si>
    <r>
      <rPr>
        <sz val="10"/>
        <rFont val="宋体"/>
        <charset val="134"/>
      </rPr>
      <t>头角</t>
    </r>
    <r>
      <rPr>
        <sz val="10"/>
        <rFont val="Times New Roman"/>
        <charset val="134"/>
      </rPr>
      <t>/</t>
    </r>
  </si>
  <si>
    <r>
      <rPr>
        <sz val="10"/>
        <rFont val="宋体"/>
        <charset val="134"/>
      </rPr>
      <t>共用物料</t>
    </r>
    <r>
      <rPr>
        <sz val="10"/>
        <rFont val="Times New Roman"/>
        <charset val="134"/>
      </rPr>
      <t>15</t>
    </r>
  </si>
  <si>
    <t>新增布料（92108兔子头角与92105斑点狗头角共用）</t>
  </si>
  <si>
    <r>
      <rPr>
        <sz val="10"/>
        <rFont val="宋体"/>
        <charset val="134"/>
      </rPr>
      <t>内耳绣花</t>
    </r>
    <r>
      <rPr>
        <sz val="10"/>
        <rFont val="Times New Roman"/>
        <charset val="134"/>
      </rPr>
      <t>/</t>
    </r>
    <r>
      <rPr>
        <sz val="10"/>
        <rFont val="宋体"/>
        <charset val="134"/>
      </rPr>
      <t>肚皮心</t>
    </r>
    <r>
      <rPr>
        <sz val="10"/>
        <rFont val="Times New Roman"/>
        <charset val="134"/>
      </rPr>
      <t>/</t>
    </r>
    <r>
      <rPr>
        <sz val="10"/>
        <rFont val="宋体"/>
        <charset val="134"/>
      </rPr>
      <t>眼垫片</t>
    </r>
    <r>
      <rPr>
        <sz val="10"/>
        <rFont val="Times New Roman"/>
        <charset val="134"/>
      </rPr>
      <t>/</t>
    </r>
    <r>
      <rPr>
        <sz val="10"/>
        <rFont val="宋体"/>
        <charset val="134"/>
      </rPr>
      <t>翅膀料</t>
    </r>
  </si>
  <si>
    <t>变更单用量</t>
  </si>
  <si>
    <r>
      <rPr>
        <b/>
        <sz val="10"/>
        <rFont val="宋体"/>
        <charset val="134"/>
      </rPr>
      <t>蓝底毯子</t>
    </r>
    <r>
      <rPr>
        <b/>
        <sz val="10"/>
        <rFont val="Times New Roman"/>
        <charset val="134"/>
      </rPr>
      <t>-</t>
    </r>
    <r>
      <rPr>
        <b/>
        <sz val="10"/>
        <rFont val="宋体"/>
        <charset val="134"/>
      </rPr>
      <t>兔子</t>
    </r>
  </si>
  <si>
    <r>
      <rPr>
        <sz val="10"/>
        <rFont val="Times New Roman"/>
        <charset val="134"/>
      </rPr>
      <t>1.5MM</t>
    </r>
    <r>
      <rPr>
        <sz val="10"/>
        <rFont val="宋体"/>
        <charset val="134"/>
      </rPr>
      <t>白色水晶超柔印</t>
    </r>
    <r>
      <rPr>
        <sz val="10"/>
        <rFont val="Times New Roman"/>
        <charset val="134"/>
      </rPr>
      <t>/</t>
    </r>
    <r>
      <rPr>
        <sz val="10"/>
        <rFont val="宋体"/>
        <charset val="134"/>
      </rPr>
      <t>蓝底玫红奶瓶（</t>
    </r>
    <r>
      <rPr>
        <sz val="10"/>
        <rFont val="Times New Roman"/>
        <charset val="134"/>
      </rPr>
      <t>298C+813C</t>
    </r>
    <r>
      <rPr>
        <sz val="10"/>
        <rFont val="宋体"/>
        <charset val="134"/>
      </rPr>
      <t>）</t>
    </r>
  </si>
  <si>
    <r>
      <rPr>
        <sz val="10"/>
        <rFont val="Times New Roman"/>
        <charset val="134"/>
      </rPr>
      <t>1.5MM</t>
    </r>
    <r>
      <rPr>
        <sz val="10"/>
        <rFont val="宋体"/>
        <charset val="134"/>
      </rPr>
      <t>紫色水晶超柔</t>
    </r>
  </si>
  <si>
    <r>
      <rPr>
        <sz val="10"/>
        <rFont val="宋体"/>
        <charset val="134"/>
      </rPr>
      <t>前身</t>
    </r>
    <r>
      <rPr>
        <sz val="10"/>
        <rFont val="Times New Roman"/>
        <charset val="134"/>
      </rPr>
      <t>/</t>
    </r>
    <r>
      <rPr>
        <sz val="10"/>
        <rFont val="宋体"/>
        <charset val="134"/>
      </rPr>
      <t>后身</t>
    </r>
    <r>
      <rPr>
        <sz val="10"/>
        <rFont val="Times New Roman"/>
        <charset val="134"/>
      </rPr>
      <t>/</t>
    </r>
    <r>
      <rPr>
        <sz val="10"/>
        <rFont val="宋体"/>
        <charset val="134"/>
      </rPr>
      <t>袖子</t>
    </r>
    <r>
      <rPr>
        <sz val="10"/>
        <rFont val="Times New Roman"/>
        <charset val="134"/>
      </rPr>
      <t>/</t>
    </r>
    <r>
      <rPr>
        <sz val="10"/>
        <rFont val="宋体"/>
        <charset val="134"/>
      </rPr>
      <t>脚面</t>
    </r>
    <r>
      <rPr>
        <sz val="10"/>
        <rFont val="Times New Roman"/>
        <charset val="134"/>
      </rPr>
      <t>/</t>
    </r>
    <r>
      <rPr>
        <sz val="10"/>
        <rFont val="宋体"/>
        <charset val="134"/>
      </rPr>
      <t>脚底</t>
    </r>
    <r>
      <rPr>
        <sz val="10"/>
        <rFont val="Times New Roman"/>
        <charset val="134"/>
      </rPr>
      <t>/</t>
    </r>
    <r>
      <rPr>
        <sz val="10"/>
        <rFont val="宋体"/>
        <charset val="134"/>
      </rPr>
      <t>后头</t>
    </r>
    <r>
      <rPr>
        <sz val="10"/>
        <rFont val="Times New Roman"/>
        <charset val="134"/>
      </rPr>
      <t>/</t>
    </r>
    <r>
      <rPr>
        <sz val="10"/>
        <rFont val="宋体"/>
        <charset val="134"/>
      </rPr>
      <t>前帽</t>
    </r>
    <r>
      <rPr>
        <sz val="10"/>
        <rFont val="Times New Roman"/>
        <charset val="134"/>
      </rPr>
      <t>/</t>
    </r>
    <r>
      <rPr>
        <sz val="10"/>
        <rFont val="宋体"/>
        <charset val="134"/>
      </rPr>
      <t>内领条</t>
    </r>
    <r>
      <rPr>
        <sz val="10"/>
        <rFont val="Times New Roman"/>
        <charset val="134"/>
      </rPr>
      <t>/</t>
    </r>
    <r>
      <rPr>
        <sz val="10"/>
        <rFont val="宋体"/>
        <charset val="134"/>
      </rPr>
      <t>外耳</t>
    </r>
  </si>
  <si>
    <r>
      <rPr>
        <sz val="10"/>
        <rFont val="宋体"/>
        <charset val="134"/>
      </rPr>
      <t>共用物料</t>
    </r>
    <r>
      <rPr>
        <sz val="10"/>
        <rFont val="Times New Roman"/>
        <charset val="134"/>
      </rPr>
      <t>14</t>
    </r>
  </si>
  <si>
    <r>
      <rPr>
        <sz val="10"/>
        <rFont val="Times New Roman"/>
        <charset val="134"/>
      </rPr>
      <t>110MM</t>
    </r>
    <r>
      <rPr>
        <sz val="10"/>
        <rFont val="宋体"/>
        <charset val="134"/>
      </rPr>
      <t>玫红长毛绒</t>
    </r>
  </si>
  <si>
    <r>
      <rPr>
        <sz val="10"/>
        <rFont val="宋体"/>
        <charset val="134"/>
      </rPr>
      <t>头毛</t>
    </r>
    <r>
      <rPr>
        <sz val="10"/>
        <rFont val="Times New Roman"/>
        <charset val="134"/>
      </rPr>
      <t>/</t>
    </r>
    <r>
      <rPr>
        <sz val="10"/>
        <rFont val="宋体"/>
        <charset val="134"/>
      </rPr>
      <t>尾巴</t>
    </r>
  </si>
  <si>
    <r>
      <rPr>
        <sz val="10"/>
        <rFont val="宋体"/>
        <charset val="134"/>
      </rPr>
      <t>前身</t>
    </r>
    <r>
      <rPr>
        <sz val="10"/>
        <rFont val="Times New Roman"/>
        <charset val="134"/>
      </rPr>
      <t>/</t>
    </r>
    <r>
      <rPr>
        <sz val="10"/>
        <rFont val="宋体"/>
        <charset val="134"/>
      </rPr>
      <t>后身</t>
    </r>
    <r>
      <rPr>
        <sz val="10"/>
        <rFont val="Times New Roman"/>
        <charset val="134"/>
      </rPr>
      <t>/</t>
    </r>
    <r>
      <rPr>
        <sz val="10"/>
        <rFont val="宋体"/>
        <charset val="134"/>
      </rPr>
      <t>耳朵料</t>
    </r>
  </si>
  <si>
    <t>金色烫金布</t>
  </si>
  <si>
    <r>
      <rPr>
        <sz val="10"/>
        <rFont val="宋体"/>
        <charset val="134"/>
      </rPr>
      <t>耳朵料</t>
    </r>
    <r>
      <rPr>
        <sz val="10"/>
        <rFont val="Times New Roman"/>
        <charset val="134"/>
      </rPr>
      <t>/</t>
    </r>
    <r>
      <rPr>
        <sz val="10"/>
        <rFont val="宋体"/>
        <charset val="134"/>
      </rPr>
      <t>头角</t>
    </r>
    <r>
      <rPr>
        <sz val="10"/>
        <rFont val="Times New Roman"/>
        <charset val="134"/>
      </rPr>
      <t>/</t>
    </r>
  </si>
  <si>
    <t>新增布料</t>
  </si>
  <si>
    <r>
      <rPr>
        <sz val="10"/>
        <rFont val="Times New Roman"/>
        <charset val="134"/>
      </rPr>
      <t>25MM</t>
    </r>
    <r>
      <rPr>
        <sz val="10"/>
        <rFont val="宋体"/>
        <charset val="134"/>
      </rPr>
      <t>玫红长毛绒</t>
    </r>
  </si>
  <si>
    <r>
      <rPr>
        <sz val="10"/>
        <rFont val="宋体"/>
        <charset val="134"/>
      </rPr>
      <t>金色闪粉</t>
    </r>
    <r>
      <rPr>
        <sz val="10"/>
        <rFont val="Times New Roman"/>
        <charset val="134"/>
      </rPr>
      <t>PU</t>
    </r>
  </si>
  <si>
    <t>眼垫片</t>
  </si>
  <si>
    <r>
      <rPr>
        <b/>
        <sz val="10"/>
        <rFont val="宋体"/>
        <charset val="134"/>
      </rPr>
      <t>紫底毯子</t>
    </r>
    <r>
      <rPr>
        <b/>
        <sz val="10"/>
        <rFont val="Times New Roman"/>
        <charset val="134"/>
      </rPr>
      <t>-</t>
    </r>
    <r>
      <rPr>
        <b/>
        <sz val="10"/>
        <rFont val="宋体"/>
        <charset val="134"/>
      </rPr>
      <t>独角兽</t>
    </r>
  </si>
  <si>
    <r>
      <rPr>
        <sz val="10"/>
        <rFont val="Times New Roman"/>
        <charset val="134"/>
      </rPr>
      <t>1.5MM</t>
    </r>
    <r>
      <rPr>
        <sz val="10"/>
        <rFont val="宋体"/>
        <charset val="134"/>
      </rPr>
      <t>白色水晶超柔印</t>
    </r>
    <r>
      <rPr>
        <sz val="10"/>
        <rFont val="Times New Roman"/>
        <charset val="134"/>
      </rPr>
      <t>/</t>
    </r>
    <r>
      <rPr>
        <sz val="10"/>
        <rFont val="宋体"/>
        <charset val="134"/>
      </rPr>
      <t>紫底玫红奶瓶（</t>
    </r>
    <r>
      <rPr>
        <sz val="10"/>
        <rFont val="Times New Roman"/>
        <charset val="134"/>
      </rPr>
      <t>928C+806C</t>
    </r>
    <r>
      <rPr>
        <sz val="10"/>
        <rFont val="宋体"/>
        <charset val="134"/>
      </rPr>
      <t>）</t>
    </r>
  </si>
  <si>
    <r>
      <rPr>
        <sz val="10"/>
        <rFont val="宋体"/>
        <charset val="134"/>
      </rPr>
      <t>前身</t>
    </r>
    <r>
      <rPr>
        <sz val="10"/>
        <rFont val="Times New Roman"/>
        <charset val="134"/>
      </rPr>
      <t>/</t>
    </r>
    <r>
      <rPr>
        <sz val="10"/>
        <rFont val="宋体"/>
        <charset val="134"/>
      </rPr>
      <t>后身</t>
    </r>
    <r>
      <rPr>
        <sz val="10"/>
        <rFont val="Times New Roman"/>
        <charset val="134"/>
      </rPr>
      <t>/</t>
    </r>
    <r>
      <rPr>
        <sz val="10"/>
        <rFont val="宋体"/>
        <charset val="134"/>
      </rPr>
      <t>袖子</t>
    </r>
    <r>
      <rPr>
        <sz val="10"/>
        <rFont val="Times New Roman"/>
        <charset val="134"/>
      </rPr>
      <t>/</t>
    </r>
    <r>
      <rPr>
        <sz val="10"/>
        <rFont val="宋体"/>
        <charset val="134"/>
      </rPr>
      <t>后头</t>
    </r>
    <r>
      <rPr>
        <sz val="10"/>
        <rFont val="Times New Roman"/>
        <charset val="134"/>
      </rPr>
      <t>/</t>
    </r>
    <r>
      <rPr>
        <sz val="10"/>
        <rFont val="宋体"/>
        <charset val="134"/>
      </rPr>
      <t>尾巴</t>
    </r>
    <r>
      <rPr>
        <sz val="10"/>
        <rFont val="Times New Roman"/>
        <charset val="134"/>
      </rPr>
      <t>/</t>
    </r>
    <r>
      <rPr>
        <sz val="10"/>
        <rFont val="宋体"/>
        <charset val="134"/>
      </rPr>
      <t>外耳</t>
    </r>
  </si>
  <si>
    <r>
      <rPr>
        <sz val="10"/>
        <rFont val="Times New Roman"/>
        <charset val="134"/>
      </rPr>
      <t>1.5MM</t>
    </r>
    <r>
      <rPr>
        <sz val="10"/>
        <rFont val="宋体"/>
        <charset val="134"/>
      </rPr>
      <t>白色水晶超柔</t>
    </r>
    <r>
      <rPr>
        <sz val="10"/>
        <rFont val="Times New Roman"/>
        <charset val="134"/>
      </rPr>
      <t>/</t>
    </r>
    <r>
      <rPr>
        <sz val="10"/>
        <rFont val="宋体"/>
        <charset val="134"/>
      </rPr>
      <t>数码满印</t>
    </r>
  </si>
  <si>
    <r>
      <rPr>
        <sz val="10"/>
        <rFont val="宋体"/>
        <charset val="134"/>
      </rPr>
      <t>前帽</t>
    </r>
    <r>
      <rPr>
        <sz val="10"/>
        <rFont val="Times New Roman"/>
        <charset val="134"/>
      </rPr>
      <t>/</t>
    </r>
    <r>
      <rPr>
        <sz val="10"/>
        <rFont val="宋体"/>
        <charset val="134"/>
      </rPr>
      <t>内领条</t>
    </r>
  </si>
  <si>
    <r>
      <rPr>
        <sz val="10"/>
        <rFont val="宋体"/>
        <charset val="134"/>
      </rPr>
      <t>脚面</t>
    </r>
    <r>
      <rPr>
        <sz val="10"/>
        <rFont val="Times New Roman"/>
        <charset val="134"/>
      </rPr>
      <t>/</t>
    </r>
    <r>
      <rPr>
        <sz val="10"/>
        <rFont val="宋体"/>
        <charset val="134"/>
      </rPr>
      <t>脚底</t>
    </r>
  </si>
  <si>
    <t>粉色巴黎之星</t>
  </si>
  <si>
    <r>
      <rPr>
        <sz val="10"/>
        <rFont val="宋体"/>
        <charset val="134"/>
      </rPr>
      <t>共用物料</t>
    </r>
    <r>
      <rPr>
        <sz val="10"/>
        <rFont val="Times New Roman"/>
        <charset val="134"/>
      </rPr>
      <t>7</t>
    </r>
  </si>
  <si>
    <t>后身</t>
  </si>
  <si>
    <r>
      <rPr>
        <sz val="10"/>
        <rFont val="宋体"/>
        <charset val="134"/>
      </rPr>
      <t>粉色烫金布</t>
    </r>
    <r>
      <rPr>
        <sz val="10"/>
        <rFont val="Times New Roman"/>
        <charset val="134"/>
      </rPr>
      <t>/TC</t>
    </r>
    <r>
      <rPr>
        <sz val="10"/>
        <rFont val="宋体"/>
        <charset val="134"/>
      </rPr>
      <t>底</t>
    </r>
  </si>
  <si>
    <r>
      <rPr>
        <sz val="10"/>
        <rFont val="宋体"/>
        <charset val="134"/>
      </rPr>
      <t>头角</t>
    </r>
    <r>
      <rPr>
        <sz val="10"/>
        <rFont val="Times New Roman"/>
        <charset val="134"/>
      </rPr>
      <t>/</t>
    </r>
    <r>
      <rPr>
        <sz val="10"/>
        <rFont val="宋体"/>
        <charset val="134"/>
      </rPr>
      <t>内耳</t>
    </r>
    <r>
      <rPr>
        <sz val="10"/>
        <rFont val="Times New Roman"/>
        <charset val="134"/>
      </rPr>
      <t>/</t>
    </r>
  </si>
  <si>
    <r>
      <rPr>
        <sz val="10"/>
        <rFont val="宋体"/>
        <charset val="134"/>
      </rPr>
      <t>新增布料</t>
    </r>
    <r>
      <rPr>
        <sz val="10"/>
        <rFont val="Times New Roman"/>
        <charset val="134"/>
      </rPr>
      <t>92108</t>
    </r>
    <r>
      <rPr>
        <sz val="10"/>
        <rFont val="宋体"/>
        <charset val="134"/>
      </rPr>
      <t>美国猫头角</t>
    </r>
    <r>
      <rPr>
        <sz val="10"/>
        <rFont val="Times New Roman"/>
        <charset val="134"/>
      </rPr>
      <t>/</t>
    </r>
    <r>
      <rPr>
        <sz val="10"/>
        <rFont val="宋体"/>
        <charset val="134"/>
      </rPr>
      <t>内耳与</t>
    </r>
    <r>
      <rPr>
        <sz val="10"/>
        <rFont val="Times New Roman"/>
        <charset val="134"/>
      </rPr>
      <t>92105</t>
    </r>
    <r>
      <rPr>
        <sz val="10"/>
        <rFont val="宋体"/>
        <charset val="134"/>
      </rPr>
      <t>河马翅膀共用物料</t>
    </r>
  </si>
  <si>
    <r>
      <rPr>
        <sz val="10"/>
        <rFont val="宋体"/>
        <charset val="134"/>
      </rPr>
      <t>内耳</t>
    </r>
    <r>
      <rPr>
        <sz val="10"/>
        <rFont val="Times New Roman"/>
        <charset val="134"/>
      </rPr>
      <t>/</t>
    </r>
    <r>
      <rPr>
        <sz val="10"/>
        <rFont val="宋体"/>
        <charset val="134"/>
      </rPr>
      <t>头角</t>
    </r>
    <r>
      <rPr>
        <sz val="10"/>
        <rFont val="Times New Roman"/>
        <charset val="134"/>
      </rPr>
      <t>/</t>
    </r>
    <r>
      <rPr>
        <sz val="10"/>
        <rFont val="宋体"/>
        <charset val="134"/>
      </rPr>
      <t>肚皮心</t>
    </r>
    <r>
      <rPr>
        <sz val="10"/>
        <rFont val="Times New Roman"/>
        <charset val="134"/>
      </rPr>
      <t>/</t>
    </r>
    <r>
      <rPr>
        <sz val="10"/>
        <rFont val="宋体"/>
        <charset val="134"/>
      </rPr>
      <t>翅膀料</t>
    </r>
  </si>
  <si>
    <r>
      <rPr>
        <sz val="10"/>
        <rFont val="宋体"/>
        <charset val="134"/>
      </rPr>
      <t>粉色</t>
    </r>
    <r>
      <rPr>
        <sz val="10"/>
        <rFont val="Times New Roman"/>
        <charset val="134"/>
      </rPr>
      <t>PU</t>
    </r>
  </si>
  <si>
    <r>
      <rPr>
        <b/>
        <sz val="10"/>
        <rFont val="宋体"/>
        <charset val="134"/>
      </rPr>
      <t>灰蓝底毯子</t>
    </r>
    <r>
      <rPr>
        <b/>
        <sz val="10"/>
        <rFont val="Times New Roman"/>
        <charset val="134"/>
      </rPr>
      <t>-</t>
    </r>
    <r>
      <rPr>
        <b/>
        <sz val="10"/>
        <rFont val="宋体"/>
        <charset val="134"/>
      </rPr>
      <t>美国猫</t>
    </r>
  </si>
  <si>
    <r>
      <rPr>
        <sz val="10"/>
        <rFont val="Times New Roman"/>
        <charset val="134"/>
      </rPr>
      <t>1.5MM</t>
    </r>
    <r>
      <rPr>
        <sz val="10"/>
        <rFont val="宋体"/>
        <charset val="134"/>
      </rPr>
      <t>白色水晶超柔印</t>
    </r>
    <r>
      <rPr>
        <sz val="10"/>
        <rFont val="Times New Roman"/>
        <charset val="134"/>
      </rPr>
      <t>/</t>
    </r>
    <r>
      <rPr>
        <sz val="10"/>
        <rFont val="宋体"/>
        <charset val="134"/>
      </rPr>
      <t>灰蓝底白奶瓶（</t>
    </r>
    <r>
      <rPr>
        <sz val="10"/>
        <rFont val="Times New Roman"/>
        <charset val="134"/>
      </rPr>
      <t>7452C+</t>
    </r>
    <r>
      <rPr>
        <sz val="10"/>
        <rFont val="宋体"/>
        <charset val="134"/>
      </rPr>
      <t>白色）</t>
    </r>
  </si>
  <si>
    <r>
      <rPr>
        <sz val="10"/>
        <rFont val="Times New Roman"/>
        <charset val="134"/>
      </rPr>
      <t>1.5MM</t>
    </r>
    <r>
      <rPr>
        <sz val="10"/>
        <rFont val="宋体"/>
        <charset val="134"/>
      </rPr>
      <t>白色水晶超柔</t>
    </r>
    <r>
      <rPr>
        <sz val="10"/>
        <rFont val="Times New Roman"/>
        <charset val="134"/>
      </rPr>
      <t>/</t>
    </r>
    <r>
      <rPr>
        <sz val="10"/>
        <rFont val="宋体"/>
        <charset val="134"/>
      </rPr>
      <t>数码印花</t>
    </r>
  </si>
  <si>
    <r>
      <rPr>
        <sz val="10"/>
        <rFont val="宋体"/>
        <charset val="134"/>
      </rPr>
      <t>前身</t>
    </r>
    <r>
      <rPr>
        <sz val="10"/>
        <rFont val="Times New Roman"/>
        <charset val="134"/>
      </rPr>
      <t>/</t>
    </r>
    <r>
      <rPr>
        <sz val="10"/>
        <rFont val="宋体"/>
        <charset val="134"/>
      </rPr>
      <t>后身</t>
    </r>
    <r>
      <rPr>
        <sz val="10"/>
        <rFont val="Times New Roman"/>
        <charset val="134"/>
      </rPr>
      <t>/</t>
    </r>
    <r>
      <rPr>
        <sz val="10"/>
        <rFont val="宋体"/>
        <charset val="134"/>
      </rPr>
      <t>袖子</t>
    </r>
    <r>
      <rPr>
        <sz val="10"/>
        <rFont val="Times New Roman"/>
        <charset val="134"/>
      </rPr>
      <t>/</t>
    </r>
    <r>
      <rPr>
        <sz val="10"/>
        <rFont val="宋体"/>
        <charset val="134"/>
      </rPr>
      <t>脚面</t>
    </r>
    <r>
      <rPr>
        <sz val="10"/>
        <rFont val="Times New Roman"/>
        <charset val="134"/>
      </rPr>
      <t>/</t>
    </r>
    <r>
      <rPr>
        <sz val="10"/>
        <rFont val="宋体"/>
        <charset val="134"/>
      </rPr>
      <t>脚底</t>
    </r>
    <r>
      <rPr>
        <sz val="10"/>
        <rFont val="Times New Roman"/>
        <charset val="134"/>
      </rPr>
      <t>/</t>
    </r>
    <r>
      <rPr>
        <sz val="10"/>
        <rFont val="宋体"/>
        <charset val="134"/>
      </rPr>
      <t>后头</t>
    </r>
    <r>
      <rPr>
        <sz val="10"/>
        <rFont val="Times New Roman"/>
        <charset val="134"/>
      </rPr>
      <t>/</t>
    </r>
    <r>
      <rPr>
        <sz val="10"/>
        <rFont val="宋体"/>
        <charset val="134"/>
      </rPr>
      <t>前帽</t>
    </r>
    <r>
      <rPr>
        <sz val="10"/>
        <rFont val="Times New Roman"/>
        <charset val="134"/>
      </rPr>
      <t>/</t>
    </r>
    <r>
      <rPr>
        <sz val="10"/>
        <rFont val="宋体"/>
        <charset val="134"/>
      </rPr>
      <t>内领条</t>
    </r>
    <r>
      <rPr>
        <sz val="10"/>
        <rFont val="Times New Roman"/>
        <charset val="134"/>
      </rPr>
      <t>/</t>
    </r>
    <r>
      <rPr>
        <sz val="10"/>
        <rFont val="宋体"/>
        <charset val="134"/>
      </rPr>
      <t>尾巴</t>
    </r>
    <r>
      <rPr>
        <sz val="10"/>
        <rFont val="Times New Roman"/>
        <charset val="134"/>
      </rPr>
      <t>/</t>
    </r>
    <r>
      <rPr>
        <sz val="10"/>
        <rFont val="宋体"/>
        <charset val="134"/>
      </rPr>
      <t>耳后</t>
    </r>
  </si>
  <si>
    <r>
      <rPr>
        <sz val="10"/>
        <rFont val="Times New Roman"/>
        <charset val="134"/>
      </rPr>
      <t>#14</t>
    </r>
    <r>
      <rPr>
        <sz val="10"/>
        <rFont val="宋体"/>
        <charset val="134"/>
      </rPr>
      <t>玫红烫点布</t>
    </r>
  </si>
  <si>
    <t>内耳</t>
  </si>
  <si>
    <r>
      <rPr>
        <sz val="10"/>
        <rFont val="宋体"/>
        <charset val="134"/>
      </rPr>
      <t>白色贴合</t>
    </r>
    <r>
      <rPr>
        <sz val="10"/>
        <rFont val="Times New Roman"/>
        <charset val="134"/>
      </rPr>
      <t>T/C</t>
    </r>
    <r>
      <rPr>
        <sz val="10"/>
        <rFont val="宋体"/>
        <charset val="134"/>
      </rPr>
      <t>布</t>
    </r>
  </si>
  <si>
    <t>亮粉色巴黎之星</t>
  </si>
  <si>
    <r>
      <rPr>
        <sz val="10"/>
        <rFont val="宋体"/>
        <charset val="134"/>
      </rPr>
      <t>共用物料</t>
    </r>
    <r>
      <rPr>
        <sz val="10"/>
        <rFont val="Times New Roman"/>
        <charset val="134"/>
      </rPr>
      <t>8</t>
    </r>
  </si>
  <si>
    <r>
      <rPr>
        <sz val="10"/>
        <rFont val="宋体"/>
        <charset val="134"/>
      </rPr>
      <t>前身</t>
    </r>
    <r>
      <rPr>
        <sz val="10"/>
        <rFont val="Times New Roman"/>
        <charset val="134"/>
      </rPr>
      <t>/</t>
    </r>
    <r>
      <rPr>
        <sz val="10"/>
        <rFont val="宋体"/>
        <charset val="134"/>
      </rPr>
      <t>后身</t>
    </r>
  </si>
  <si>
    <r>
      <rPr>
        <sz val="10"/>
        <rFont val="宋体"/>
        <charset val="134"/>
      </rPr>
      <t>右外耳</t>
    </r>
    <r>
      <rPr>
        <sz val="10"/>
        <rFont val="Times New Roman"/>
        <charset val="134"/>
      </rPr>
      <t>/</t>
    </r>
    <r>
      <rPr>
        <sz val="10"/>
        <rFont val="宋体"/>
        <charset val="134"/>
      </rPr>
      <t>尾巴料</t>
    </r>
  </si>
  <si>
    <t>左外耳</t>
  </si>
  <si>
    <r>
      <rPr>
        <sz val="10"/>
        <rFont val="宋体"/>
        <charset val="134"/>
      </rPr>
      <t>玫红烫点布</t>
    </r>
    <r>
      <rPr>
        <sz val="10"/>
        <rFont val="Times New Roman"/>
        <charset val="134"/>
      </rPr>
      <t>+TC</t>
    </r>
    <r>
      <rPr>
        <sz val="10"/>
        <rFont val="宋体"/>
        <charset val="134"/>
      </rPr>
      <t>贴合</t>
    </r>
  </si>
  <si>
    <r>
      <rPr>
        <sz val="10"/>
        <rFont val="宋体"/>
        <charset val="134"/>
      </rPr>
      <t>内耳</t>
    </r>
    <r>
      <rPr>
        <sz val="10"/>
        <rFont val="Times New Roman"/>
        <charset val="134"/>
      </rPr>
      <t>/</t>
    </r>
    <r>
      <rPr>
        <sz val="10"/>
        <rFont val="宋体"/>
        <charset val="134"/>
      </rPr>
      <t>头角</t>
    </r>
    <r>
      <rPr>
        <sz val="10"/>
        <rFont val="Times New Roman"/>
        <charset val="134"/>
      </rPr>
      <t>/</t>
    </r>
  </si>
  <si>
    <r>
      <rPr>
        <sz val="10"/>
        <rFont val="宋体"/>
        <charset val="134"/>
      </rPr>
      <t>肚皮心</t>
    </r>
    <r>
      <rPr>
        <sz val="10"/>
        <rFont val="Times New Roman"/>
        <charset val="134"/>
      </rPr>
      <t>/</t>
    </r>
    <r>
      <rPr>
        <sz val="10"/>
        <rFont val="宋体"/>
        <charset val="134"/>
      </rPr>
      <t>眼垫片</t>
    </r>
    <r>
      <rPr>
        <sz val="10"/>
        <rFont val="Times New Roman"/>
        <charset val="134"/>
      </rPr>
      <t>/</t>
    </r>
    <r>
      <rPr>
        <sz val="10"/>
        <rFont val="宋体"/>
        <charset val="134"/>
      </rPr>
      <t>翅膀料</t>
    </r>
  </si>
  <si>
    <r>
      <rPr>
        <b/>
        <sz val="10"/>
        <rFont val="宋体"/>
        <charset val="134"/>
      </rPr>
      <t>白底毯子</t>
    </r>
    <r>
      <rPr>
        <b/>
        <sz val="10"/>
        <rFont val="Times New Roman"/>
        <charset val="134"/>
      </rPr>
      <t>-</t>
    </r>
    <r>
      <rPr>
        <b/>
        <sz val="10"/>
        <rFont val="宋体"/>
        <charset val="134"/>
      </rPr>
      <t>斑点狗</t>
    </r>
  </si>
  <si>
    <r>
      <rPr>
        <sz val="10"/>
        <rFont val="Times New Roman"/>
        <charset val="134"/>
      </rPr>
      <t>1.5MM</t>
    </r>
    <r>
      <rPr>
        <sz val="10"/>
        <rFont val="宋体"/>
        <charset val="134"/>
      </rPr>
      <t>白色水晶超柔印</t>
    </r>
    <r>
      <rPr>
        <sz val="10"/>
        <rFont val="Times New Roman"/>
        <charset val="134"/>
      </rPr>
      <t>/</t>
    </r>
    <r>
      <rPr>
        <sz val="10"/>
        <rFont val="宋体"/>
        <charset val="134"/>
      </rPr>
      <t>白底玫红奶瓶（白色</t>
    </r>
    <r>
      <rPr>
        <sz val="10"/>
        <rFont val="Times New Roman"/>
        <charset val="134"/>
      </rPr>
      <t>+</t>
    </r>
    <r>
      <rPr>
        <sz val="10"/>
        <rFont val="宋体"/>
        <charset val="134"/>
      </rPr>
      <t>荧光墨</t>
    </r>
    <r>
      <rPr>
        <sz val="10"/>
        <rFont val="Times New Roman"/>
        <charset val="134"/>
      </rPr>
      <t>806C</t>
    </r>
    <r>
      <rPr>
        <sz val="10"/>
        <rFont val="宋体"/>
        <charset val="134"/>
      </rPr>
      <t>）</t>
    </r>
  </si>
  <si>
    <t>TOTAL</t>
  </si>
  <si>
    <t>PCS</t>
  </si>
  <si>
    <r>
      <rPr>
        <sz val="10"/>
        <color theme="0"/>
        <rFont val="Times New Roman"/>
        <charset val="134"/>
      </rPr>
      <t>1.5MM</t>
    </r>
    <r>
      <rPr>
        <sz val="10"/>
        <color theme="0"/>
        <rFont val="宋体"/>
        <charset val="134"/>
      </rPr>
      <t>蓝色水晶超柔</t>
    </r>
  </si>
  <si>
    <r>
      <rPr>
        <sz val="10"/>
        <color theme="0"/>
        <rFont val="宋体"/>
        <charset val="134"/>
      </rPr>
      <t>共用物料</t>
    </r>
    <r>
      <rPr>
        <sz val="10"/>
        <color theme="0"/>
        <rFont val="Times New Roman"/>
        <charset val="134"/>
      </rPr>
      <t>1</t>
    </r>
  </si>
  <si>
    <r>
      <rPr>
        <sz val="10"/>
        <color theme="0"/>
        <rFont val="宋体"/>
        <charset val="134"/>
      </rPr>
      <t>共用物料</t>
    </r>
    <r>
      <rPr>
        <sz val="10"/>
        <color theme="0"/>
        <rFont val="Times New Roman"/>
        <charset val="134"/>
      </rPr>
      <t>2</t>
    </r>
  </si>
  <si>
    <r>
      <rPr>
        <sz val="10"/>
        <color theme="0"/>
        <rFont val="宋体"/>
        <charset val="134"/>
      </rPr>
      <t>共用物料</t>
    </r>
    <r>
      <rPr>
        <sz val="10"/>
        <color theme="0"/>
        <rFont val="Times New Roman"/>
        <charset val="134"/>
      </rPr>
      <t>3</t>
    </r>
  </si>
  <si>
    <r>
      <rPr>
        <sz val="10"/>
        <color theme="0"/>
        <rFont val="宋体"/>
        <charset val="134"/>
      </rPr>
      <t>共用物料</t>
    </r>
    <r>
      <rPr>
        <sz val="10"/>
        <color theme="0"/>
        <rFont val="Times New Roman"/>
        <charset val="134"/>
      </rPr>
      <t>4</t>
    </r>
  </si>
  <si>
    <r>
      <rPr>
        <sz val="10"/>
        <color theme="0"/>
        <rFont val="Times New Roman"/>
        <charset val="134"/>
      </rPr>
      <t>10MM</t>
    </r>
    <r>
      <rPr>
        <sz val="10"/>
        <color theme="0"/>
        <rFont val="宋体"/>
        <charset val="134"/>
      </rPr>
      <t>玫红兔毛</t>
    </r>
  </si>
  <si>
    <r>
      <rPr>
        <sz val="10"/>
        <color theme="0"/>
        <rFont val="宋体"/>
        <charset val="134"/>
      </rPr>
      <t>共用物料</t>
    </r>
    <r>
      <rPr>
        <sz val="10"/>
        <color theme="0"/>
        <rFont val="Times New Roman"/>
        <charset val="134"/>
      </rPr>
      <t>5</t>
    </r>
  </si>
  <si>
    <r>
      <rPr>
        <sz val="10"/>
        <color theme="0"/>
        <rFont val="Times New Roman"/>
        <charset val="134"/>
      </rPr>
      <t>1.5MM</t>
    </r>
    <r>
      <rPr>
        <sz val="10"/>
        <color theme="0"/>
        <rFont val="宋体"/>
        <charset val="134"/>
      </rPr>
      <t>白色水晶超柔</t>
    </r>
  </si>
  <si>
    <r>
      <rPr>
        <sz val="10"/>
        <color theme="0"/>
        <rFont val="宋体"/>
        <charset val="134"/>
      </rPr>
      <t>共用物料</t>
    </r>
    <r>
      <rPr>
        <sz val="10"/>
        <color theme="0"/>
        <rFont val="Times New Roman"/>
        <charset val="134"/>
      </rPr>
      <t>6</t>
    </r>
  </si>
  <si>
    <r>
      <rPr>
        <sz val="10"/>
        <color theme="0"/>
        <rFont val="宋体"/>
        <charset val="134"/>
      </rPr>
      <t>共用物料</t>
    </r>
    <r>
      <rPr>
        <sz val="10"/>
        <color theme="0"/>
        <rFont val="Times New Roman"/>
        <charset val="134"/>
      </rPr>
      <t>7</t>
    </r>
  </si>
  <si>
    <r>
      <rPr>
        <sz val="10"/>
        <color theme="0"/>
        <rFont val="宋体"/>
        <charset val="134"/>
      </rPr>
      <t>共用物料</t>
    </r>
    <r>
      <rPr>
        <sz val="10"/>
        <color theme="0"/>
        <rFont val="Times New Roman"/>
        <charset val="134"/>
      </rPr>
      <t>8</t>
    </r>
  </si>
  <si>
    <r>
      <rPr>
        <sz val="10"/>
        <color theme="0"/>
        <rFont val="宋体"/>
        <charset val="134"/>
      </rPr>
      <t>共用物料</t>
    </r>
    <r>
      <rPr>
        <sz val="10"/>
        <color theme="0"/>
        <rFont val="Times New Roman"/>
        <charset val="134"/>
      </rPr>
      <t>9</t>
    </r>
  </si>
  <si>
    <r>
      <rPr>
        <sz val="10"/>
        <color theme="0"/>
        <rFont val="Times New Roman"/>
        <charset val="134"/>
      </rPr>
      <t>1.5MM</t>
    </r>
    <r>
      <rPr>
        <sz val="10"/>
        <color theme="0"/>
        <rFont val="宋体"/>
        <charset val="134"/>
      </rPr>
      <t>玫红色水晶超柔</t>
    </r>
  </si>
  <si>
    <r>
      <rPr>
        <sz val="10"/>
        <color theme="0"/>
        <rFont val="宋体"/>
        <charset val="134"/>
      </rPr>
      <t>共用物料</t>
    </r>
    <r>
      <rPr>
        <sz val="10"/>
        <color theme="0"/>
        <rFont val="Times New Roman"/>
        <charset val="134"/>
      </rPr>
      <t>10</t>
    </r>
  </si>
  <si>
    <r>
      <rPr>
        <sz val="10"/>
        <color theme="0"/>
        <rFont val="Times New Roman"/>
        <charset val="134"/>
      </rPr>
      <t>1.5MM</t>
    </r>
    <r>
      <rPr>
        <sz val="10"/>
        <color theme="0"/>
        <rFont val="宋体"/>
        <charset val="134"/>
      </rPr>
      <t>黑色水晶超柔</t>
    </r>
  </si>
  <si>
    <r>
      <rPr>
        <sz val="10"/>
        <color theme="0"/>
        <rFont val="宋体"/>
        <charset val="134"/>
      </rPr>
      <t>共用物料</t>
    </r>
    <r>
      <rPr>
        <sz val="10"/>
        <color theme="0"/>
        <rFont val="Times New Roman"/>
        <charset val="134"/>
      </rPr>
      <t>11</t>
    </r>
  </si>
  <si>
    <r>
      <rPr>
        <sz val="10"/>
        <color theme="0"/>
        <rFont val="宋体"/>
        <charset val="134"/>
      </rPr>
      <t>共用物料</t>
    </r>
    <r>
      <rPr>
        <sz val="10"/>
        <color theme="0"/>
        <rFont val="Times New Roman"/>
        <charset val="134"/>
      </rPr>
      <t>12</t>
    </r>
  </si>
  <si>
    <r>
      <rPr>
        <sz val="10"/>
        <color theme="0"/>
        <rFont val="Times New Roman"/>
        <charset val="134"/>
      </rPr>
      <t>30MM</t>
    </r>
    <r>
      <rPr>
        <sz val="10"/>
        <color theme="0"/>
        <rFont val="宋体"/>
        <charset val="134"/>
      </rPr>
      <t>小毛皮漂白</t>
    </r>
    <r>
      <rPr>
        <sz val="10"/>
        <color theme="0"/>
        <rFont val="Times New Roman"/>
        <charset val="134"/>
      </rPr>
      <t>KK</t>
    </r>
    <r>
      <rPr>
        <sz val="10"/>
        <color theme="0"/>
        <rFont val="宋体"/>
        <charset val="134"/>
      </rPr>
      <t>纱</t>
    </r>
  </si>
  <si>
    <r>
      <rPr>
        <sz val="10"/>
        <color theme="0"/>
        <rFont val="宋体"/>
        <charset val="134"/>
      </rPr>
      <t>共用物料</t>
    </r>
    <r>
      <rPr>
        <sz val="10"/>
        <color theme="0"/>
        <rFont val="Times New Roman"/>
        <charset val="134"/>
      </rPr>
      <t>13</t>
    </r>
  </si>
  <si>
    <r>
      <rPr>
        <sz val="10"/>
        <color theme="0"/>
        <rFont val="Times New Roman"/>
        <charset val="134"/>
      </rPr>
      <t>1.5MM</t>
    </r>
    <r>
      <rPr>
        <sz val="10"/>
        <color theme="0"/>
        <rFont val="宋体"/>
        <charset val="134"/>
      </rPr>
      <t>紫色水晶超柔</t>
    </r>
  </si>
  <si>
    <r>
      <rPr>
        <sz val="10"/>
        <color theme="0"/>
        <rFont val="宋体"/>
        <charset val="134"/>
      </rPr>
      <t>共用物料</t>
    </r>
    <r>
      <rPr>
        <sz val="10"/>
        <color theme="0"/>
        <rFont val="Times New Roman"/>
        <charset val="134"/>
      </rPr>
      <t>14</t>
    </r>
  </si>
  <si>
    <r>
      <rPr>
        <b/>
        <sz val="14"/>
        <rFont val="Arial"/>
        <charset val="0"/>
      </rPr>
      <t>#9259 MA</t>
    </r>
    <r>
      <rPr>
        <b/>
        <sz val="14"/>
        <rFont val="宋体"/>
        <charset val="0"/>
      </rPr>
      <t>半成品扣數表（猫蛋）</t>
    </r>
  </si>
  <si>
    <r>
      <rPr>
        <sz val="11"/>
        <rFont val="Arial"/>
        <charset val="0"/>
      </rPr>
      <t>MA</t>
    </r>
    <r>
      <rPr>
        <sz val="11"/>
        <rFont val="宋体"/>
        <charset val="0"/>
      </rPr>
      <t>布料数</t>
    </r>
  </si>
  <si>
    <t>布料剩余</t>
  </si>
  <si>
    <r>
      <rPr>
        <sz val="11"/>
        <rFont val="Arial"/>
        <charset val="0"/>
      </rPr>
      <t>MA</t>
    </r>
    <r>
      <rPr>
        <sz val="11"/>
        <rFont val="宋体"/>
        <charset val="0"/>
      </rPr>
      <t>布标</t>
    </r>
  </si>
  <si>
    <t>每批MA预留客版布标</t>
  </si>
  <si>
    <r>
      <rPr>
        <sz val="11"/>
        <rFont val="Arial"/>
        <charset val="0"/>
      </rPr>
      <t>6</t>
    </r>
    <r>
      <rPr>
        <sz val="11"/>
        <rFont val="宋体"/>
        <charset val="134"/>
      </rPr>
      <t>款合計</t>
    </r>
  </si>
  <si>
    <t>要求完成時間</t>
  </si>
  <si>
    <t>MA_RR_601</t>
  </si>
  <si>
    <t>MA_RR_638</t>
  </si>
  <si>
    <t>MA-RR-645</t>
  </si>
  <si>
    <t>MA-RR-664</t>
  </si>
  <si>
    <t>MA_RR_688</t>
  </si>
  <si>
    <t>MA_RR_698</t>
  </si>
  <si>
    <t>MA_RR_719</t>
  </si>
  <si>
    <t>MA_RR_748</t>
  </si>
  <si>
    <t>MA-RR-771</t>
  </si>
  <si>
    <t>MA_RR_801</t>
  </si>
  <si>
    <r>
      <rPr>
        <sz val="11"/>
        <color rgb="FFFF0000"/>
        <rFont val="Arial"/>
        <charset val="0"/>
      </rPr>
      <t>MA</t>
    </r>
    <r>
      <rPr>
        <sz val="11"/>
        <color rgb="FFFF0000"/>
        <rFont val="宋体"/>
        <charset val="0"/>
      </rPr>
      <t>布标无闪粉</t>
    </r>
  </si>
  <si>
    <t>MA_RR_877</t>
  </si>
  <si>
    <t>客办布标无闪粉</t>
  </si>
  <si>
    <t>11.5万客办布标无闪粉+5000-MA布标</t>
  </si>
  <si>
    <t>12万-MA布标</t>
  </si>
  <si>
    <r>
      <rPr>
        <sz val="11"/>
        <rFont val="Arial"/>
        <charset val="0"/>
      </rPr>
      <t>MA</t>
    </r>
    <r>
      <rPr>
        <sz val="11"/>
        <rFont val="宋体"/>
        <charset val="134"/>
      </rPr>
      <t>合計</t>
    </r>
  </si>
  <si>
    <r>
      <rPr>
        <sz val="11"/>
        <color rgb="FFFF0000"/>
        <rFont val="Arial"/>
        <charset val="0"/>
      </rPr>
      <t>2022</t>
    </r>
    <r>
      <rPr>
        <sz val="11"/>
        <color rgb="FFFF0000"/>
        <rFont val="宋体"/>
        <charset val="0"/>
      </rPr>
      <t>年删除数；</t>
    </r>
  </si>
  <si>
    <r>
      <rPr>
        <sz val="11"/>
        <color rgb="FFFF0000"/>
        <rFont val="Arial"/>
        <charset val="0"/>
      </rPr>
      <t>2024</t>
    </r>
    <r>
      <rPr>
        <sz val="11"/>
        <color rgb="FFFF0000"/>
        <rFont val="宋体"/>
        <charset val="0"/>
      </rPr>
      <t>年删除数</t>
    </r>
    <r>
      <rPr>
        <sz val="11"/>
        <color rgb="FFFF0000"/>
        <rFont val="Arial"/>
        <charset val="0"/>
      </rPr>
      <t>:</t>
    </r>
  </si>
  <si>
    <r>
      <rPr>
        <sz val="11"/>
        <color rgb="FFFF0000"/>
        <rFont val="Arial"/>
        <charset val="0"/>
      </rPr>
      <t>2023</t>
    </r>
    <r>
      <rPr>
        <sz val="11"/>
        <color rgb="FFFF0000"/>
        <rFont val="宋体"/>
        <charset val="0"/>
      </rPr>
      <t>年删除数</t>
    </r>
    <r>
      <rPr>
        <sz val="11"/>
        <color rgb="FFFF0000"/>
        <rFont val="Arial"/>
        <charset val="0"/>
      </rPr>
      <t>:</t>
    </r>
  </si>
  <si>
    <r>
      <rPr>
        <sz val="11"/>
        <rFont val="Arial"/>
        <charset val="0"/>
      </rPr>
      <t>PO</t>
    </r>
    <r>
      <rPr>
        <sz val="11"/>
        <rFont val="宋体"/>
        <charset val="134"/>
      </rPr>
      <t>接單數量</t>
    </r>
  </si>
  <si>
    <r>
      <rPr>
        <sz val="11"/>
        <rFont val="Arial"/>
        <charset val="0"/>
      </rPr>
      <t>MA</t>
    </r>
    <r>
      <rPr>
        <sz val="11"/>
        <rFont val="宋体"/>
        <charset val="134"/>
      </rPr>
      <t>半成品剩餘數</t>
    </r>
  </si>
  <si>
    <r>
      <rPr>
        <sz val="11"/>
        <rFont val="Arial"/>
        <charset val="0"/>
      </rPr>
      <t>MA</t>
    </r>
    <r>
      <rPr>
        <sz val="11"/>
        <rFont val="宋体"/>
        <charset val="134"/>
      </rPr>
      <t>剩餘總數</t>
    </r>
  </si>
  <si>
    <r>
      <rPr>
        <b/>
        <sz val="14"/>
        <rFont val="Arial"/>
        <charset val="0"/>
      </rPr>
      <t>#9279 MA</t>
    </r>
    <r>
      <rPr>
        <b/>
        <sz val="14"/>
        <rFont val="宋体"/>
        <charset val="0"/>
      </rPr>
      <t>半成品扣數表（猫蛋）（</t>
    </r>
    <r>
      <rPr>
        <b/>
        <sz val="14"/>
        <color rgb="FFFF0000"/>
        <rFont val="宋体"/>
        <charset val="0"/>
      </rPr>
      <t>有闪粉毛绒</t>
    </r>
    <r>
      <rPr>
        <b/>
        <sz val="14"/>
        <rFont val="宋体"/>
        <charset val="0"/>
      </rPr>
      <t>）</t>
    </r>
  </si>
  <si>
    <r>
      <rPr>
        <b/>
        <sz val="14"/>
        <rFont val="Arial"/>
        <charset val="0"/>
      </rPr>
      <t>#9279 MA</t>
    </r>
    <r>
      <rPr>
        <b/>
        <sz val="14"/>
        <rFont val="宋体"/>
        <charset val="0"/>
      </rPr>
      <t>半成品扣數表（猫蛋）（</t>
    </r>
    <r>
      <rPr>
        <b/>
        <sz val="14"/>
        <color rgb="FFFF0000"/>
        <rFont val="宋体"/>
        <charset val="0"/>
      </rPr>
      <t>无闪粉毛绒）</t>
    </r>
  </si>
  <si>
    <t>布偶猫</t>
  </si>
  <si>
    <t>粉色猫</t>
  </si>
  <si>
    <t>MA_RR_779</t>
  </si>
  <si>
    <r>
      <rPr>
        <sz val="11"/>
        <rFont val="Arial"/>
        <charset val="0"/>
      </rPr>
      <t>A</t>
    </r>
    <r>
      <rPr>
        <sz val="11"/>
        <rFont val="宋体"/>
        <charset val="0"/>
      </rPr>
      <t>版本布标</t>
    </r>
  </si>
  <si>
    <t>MA_RR_1011</t>
  </si>
  <si>
    <t>MA_RR_803</t>
  </si>
  <si>
    <r>
      <rPr>
        <sz val="11"/>
        <rFont val="Arial"/>
        <charset val="0"/>
      </rPr>
      <t>B</t>
    </r>
    <r>
      <rPr>
        <sz val="11"/>
        <rFont val="宋体"/>
        <charset val="0"/>
      </rPr>
      <t>版本布标</t>
    </r>
  </si>
  <si>
    <t>MA_RR_1042</t>
  </si>
  <si>
    <t>MA_RR_828</t>
  </si>
  <si>
    <t>MA_RR_1066</t>
  </si>
  <si>
    <t>预3万新布标-WM单</t>
  </si>
  <si>
    <t>MA_RR_853</t>
  </si>
  <si>
    <t>MA_RR_1159</t>
  </si>
  <si>
    <t>新日期格式布标</t>
  </si>
  <si>
    <t>May(Mai)20,2024 DG</t>
  </si>
  <si>
    <t>MA_RR_879</t>
  </si>
  <si>
    <t>MA_RR_1263</t>
  </si>
  <si>
    <r>
      <rPr>
        <sz val="11"/>
        <rFont val="Arial"/>
        <charset val="0"/>
      </rPr>
      <t>June</t>
    </r>
    <r>
      <rPr>
        <sz val="11"/>
        <rFont val="宋体"/>
        <charset val="0"/>
      </rPr>
      <t>（</t>
    </r>
    <r>
      <rPr>
        <sz val="11"/>
        <rFont val="Arial"/>
        <charset val="0"/>
      </rPr>
      <t xml:space="preserve">Juin) 26 </t>
    </r>
    <r>
      <rPr>
        <sz val="11"/>
        <rFont val="宋体"/>
        <charset val="0"/>
      </rPr>
      <t>，</t>
    </r>
    <r>
      <rPr>
        <sz val="11"/>
        <rFont val="Arial"/>
        <charset val="0"/>
      </rPr>
      <t>2024 DG</t>
    </r>
  </si>
  <si>
    <t>MA_RR_923</t>
  </si>
  <si>
    <t>MA_RR_1321</t>
  </si>
  <si>
    <t>MA_RR_940</t>
  </si>
  <si>
    <t>MA_RR_966</t>
  </si>
  <si>
    <r>
      <rPr>
        <sz val="11"/>
        <rFont val="宋体"/>
        <charset val="0"/>
      </rPr>
      <t>口水胶</t>
    </r>
    <r>
      <rPr>
        <sz val="11"/>
        <rFont val="Arial"/>
        <charset val="0"/>
      </rPr>
      <t>B</t>
    </r>
    <r>
      <rPr>
        <sz val="11"/>
        <rFont val="宋体"/>
        <charset val="0"/>
      </rPr>
      <t>版本</t>
    </r>
  </si>
  <si>
    <t>MA_RR_1423</t>
  </si>
  <si>
    <t>超MA数：</t>
  </si>
  <si>
    <t>MA_RR_1479</t>
  </si>
  <si>
    <t>MA_RR_1553</t>
  </si>
  <si>
    <t>MA_RR_1625</t>
  </si>
  <si>
    <t>MA_RR_1781</t>
  </si>
  <si>
    <t>MA_RR_1836</t>
  </si>
  <si>
    <r>
      <rPr>
        <sz val="11"/>
        <color rgb="FFFF0000"/>
        <rFont val="Arial"/>
        <charset val="0"/>
      </rPr>
      <t>2023</t>
    </r>
    <r>
      <rPr>
        <sz val="11"/>
        <color rgb="FFFF0000"/>
        <rFont val="宋体"/>
        <charset val="0"/>
      </rPr>
      <t>年删除数：</t>
    </r>
  </si>
  <si>
    <r>
      <rPr>
        <sz val="11"/>
        <color rgb="FFFF0000"/>
        <rFont val="宋体"/>
        <charset val="0"/>
      </rPr>
      <t>合计</t>
    </r>
    <r>
      <rPr>
        <sz val="11"/>
        <color rgb="FFFF0000"/>
        <rFont val="Arial"/>
        <charset val="0"/>
      </rPr>
      <t>MA:</t>
    </r>
  </si>
  <si>
    <r>
      <rPr>
        <sz val="11"/>
        <color rgb="FFFF0000"/>
        <rFont val="Arial"/>
        <charset val="0"/>
      </rPr>
      <t>2024</t>
    </r>
    <r>
      <rPr>
        <sz val="11"/>
        <color rgb="FFFF0000"/>
        <rFont val="宋体"/>
        <charset val="0"/>
      </rPr>
      <t>年删除数：</t>
    </r>
  </si>
  <si>
    <t>樣板PO接單數</t>
  </si>
  <si>
    <t>累计接单：</t>
  </si>
  <si>
    <t>还可接单：</t>
  </si>
  <si>
    <r>
      <rPr>
        <b/>
        <sz val="14"/>
        <rFont val="Arial"/>
        <charset val="0"/>
      </rPr>
      <t>#9298 MA</t>
    </r>
    <r>
      <rPr>
        <b/>
        <sz val="14"/>
        <rFont val="宋体"/>
        <charset val="0"/>
      </rPr>
      <t>半成品扣數表（猫蛋）（</t>
    </r>
    <r>
      <rPr>
        <b/>
        <sz val="14"/>
        <color rgb="FFFF0000"/>
        <rFont val="宋体"/>
        <charset val="0"/>
      </rPr>
      <t>有闪粉毛绒</t>
    </r>
    <r>
      <rPr>
        <b/>
        <sz val="14"/>
        <rFont val="宋体"/>
        <charset val="0"/>
      </rPr>
      <t>）</t>
    </r>
  </si>
  <si>
    <r>
      <rPr>
        <sz val="11"/>
        <color rgb="FFFF0000"/>
        <rFont val="Arial"/>
        <charset val="0"/>
      </rPr>
      <t>MA</t>
    </r>
    <r>
      <rPr>
        <sz val="11"/>
        <color rgb="FFFF0000"/>
        <rFont val="宋体"/>
        <charset val="0"/>
      </rPr>
      <t>布料数</t>
    </r>
  </si>
  <si>
    <r>
      <rPr>
        <b/>
        <sz val="14"/>
        <rFont val="Arial"/>
        <charset val="0"/>
      </rPr>
      <t>#9298 MA</t>
    </r>
    <r>
      <rPr>
        <b/>
        <sz val="14"/>
        <rFont val="宋体"/>
        <charset val="0"/>
      </rPr>
      <t>半成品扣數表（猫蛋）（</t>
    </r>
    <r>
      <rPr>
        <b/>
        <i/>
        <sz val="14"/>
        <color rgb="FFFF0000"/>
        <rFont val="宋体"/>
        <charset val="0"/>
      </rPr>
      <t>无闪粉毛绒</t>
    </r>
    <r>
      <rPr>
        <b/>
        <sz val="14"/>
        <rFont val="宋体"/>
        <charset val="0"/>
      </rPr>
      <t>）</t>
    </r>
  </si>
  <si>
    <t>MA-RR-919</t>
  </si>
  <si>
    <r>
      <rPr>
        <sz val="11"/>
        <color rgb="FFFF0000"/>
        <rFont val="Arial"/>
        <charset val="0"/>
      </rPr>
      <t>B</t>
    </r>
    <r>
      <rPr>
        <sz val="11"/>
        <color rgb="FFFF0000"/>
        <rFont val="宋体"/>
        <charset val="0"/>
      </rPr>
      <t>版本布标</t>
    </r>
  </si>
  <si>
    <t>MA-RR-953</t>
  </si>
  <si>
    <t>MA-RR-1005</t>
  </si>
  <si>
    <t>MA-RR-975</t>
  </si>
  <si>
    <t>MA-RR-1037</t>
  </si>
  <si>
    <t>C版本布标</t>
  </si>
  <si>
    <t>MA-RR-1076</t>
  </si>
  <si>
    <t>日码新格式布标</t>
  </si>
  <si>
    <r>
      <rPr>
        <sz val="11"/>
        <color rgb="FFFF0000"/>
        <rFont val="宋体"/>
        <charset val="0"/>
      </rPr>
      <t>超</t>
    </r>
    <r>
      <rPr>
        <sz val="11"/>
        <color rgb="FFFF0000"/>
        <rFont val="Arial"/>
        <charset val="0"/>
      </rPr>
      <t>MA</t>
    </r>
    <r>
      <rPr>
        <sz val="11"/>
        <color rgb="FFFF0000"/>
        <rFont val="宋体"/>
        <charset val="0"/>
      </rPr>
      <t>数：</t>
    </r>
  </si>
  <si>
    <t>MA-RR-1079</t>
  </si>
  <si>
    <t>MA-RR-1188</t>
  </si>
  <si>
    <t>MA-RR-1222</t>
  </si>
  <si>
    <t>MA-RR-1283</t>
  </si>
  <si>
    <t>MA-RR-1310</t>
  </si>
  <si>
    <t>MA-RR-1350</t>
  </si>
  <si>
    <t>MA-RR-1401</t>
  </si>
  <si>
    <t>MA-RR-1420</t>
  </si>
  <si>
    <t>累计还可接单：</t>
  </si>
  <si>
    <t>MA-RR-1562</t>
  </si>
  <si>
    <t>需要车客版布标，蛋壳颜色需啤92135颜色，PEPCO POLAND SP. Z.O.O. 客人专用</t>
  </si>
  <si>
    <t>MA-RR-1616</t>
  </si>
  <si>
    <r>
      <rPr>
        <sz val="11"/>
        <rFont val="宋体"/>
        <charset val="0"/>
      </rPr>
      <t>预留</t>
    </r>
    <r>
      <rPr>
        <sz val="11"/>
        <rFont val="Arial"/>
        <charset val="0"/>
      </rPr>
      <t>3</t>
    </r>
    <r>
      <rPr>
        <sz val="11"/>
        <rFont val="宋体"/>
        <charset val="0"/>
      </rPr>
      <t>万布标待采购，用来车客版布标</t>
    </r>
  </si>
  <si>
    <t>MA-RR-1646</t>
  </si>
  <si>
    <t>MA-RR-1681</t>
  </si>
  <si>
    <r>
      <rPr>
        <b/>
        <sz val="14"/>
        <rFont val="Arial"/>
        <charset val="0"/>
      </rPr>
      <t>#92104 MA</t>
    </r>
    <r>
      <rPr>
        <b/>
        <sz val="14"/>
        <rFont val="宋体"/>
        <charset val="0"/>
      </rPr>
      <t>半成品扣數表</t>
    </r>
  </si>
  <si>
    <t>MA-RR-1713</t>
  </si>
  <si>
    <t>森林猫 Norwegian Forest Cat</t>
  </si>
  <si>
    <t>褴褛猫 Ragamuffin</t>
  </si>
  <si>
    <t>喜马拉雅猫 Hinalayan</t>
  </si>
  <si>
    <t>布偶猫 Ragdoll</t>
  </si>
  <si>
    <t>缅因猫 Maine  Coon</t>
  </si>
  <si>
    <t>波斯猫 Persian</t>
  </si>
  <si>
    <t>MA-RR-1793</t>
  </si>
  <si>
    <t>比列</t>
  </si>
  <si>
    <t>MA-RR-1847</t>
  </si>
  <si>
    <t>MA-RR-1895</t>
  </si>
  <si>
    <t>MA_RR_1057</t>
  </si>
  <si>
    <t>MA_RR_1118</t>
  </si>
  <si>
    <t>MA_RR_1160</t>
  </si>
  <si>
    <r>
      <rPr>
        <sz val="11"/>
        <color rgb="FFFF0000"/>
        <rFont val="Arial"/>
        <charset val="0"/>
      </rPr>
      <t>24</t>
    </r>
    <r>
      <rPr>
        <sz val="11"/>
        <color rgb="FFFF0000"/>
        <rFont val="宋体"/>
        <charset val="0"/>
      </rPr>
      <t>年删除：</t>
    </r>
  </si>
  <si>
    <t>MA_RR_1203</t>
  </si>
  <si>
    <t>MA_RR_1265</t>
  </si>
  <si>
    <r>
      <rPr>
        <sz val="11"/>
        <rFont val="Arial"/>
        <charset val="0"/>
      </rPr>
      <t>July</t>
    </r>
    <r>
      <rPr>
        <sz val="11"/>
        <rFont val="宋体"/>
        <charset val="0"/>
      </rPr>
      <t>（</t>
    </r>
    <r>
      <rPr>
        <sz val="11"/>
        <rFont val="Arial"/>
        <charset val="0"/>
      </rPr>
      <t>Juillet</t>
    </r>
    <r>
      <rPr>
        <sz val="11"/>
        <rFont val="宋体"/>
        <charset val="0"/>
      </rPr>
      <t>）</t>
    </r>
    <r>
      <rPr>
        <sz val="11"/>
        <rFont val="Arial"/>
        <charset val="0"/>
      </rPr>
      <t xml:space="preserve"> 29 </t>
    </r>
    <r>
      <rPr>
        <sz val="11"/>
        <rFont val="宋体"/>
        <charset val="0"/>
      </rPr>
      <t>，</t>
    </r>
    <r>
      <rPr>
        <sz val="11"/>
        <rFont val="Arial"/>
        <charset val="0"/>
      </rPr>
      <t>2024 DG</t>
    </r>
  </si>
  <si>
    <t>实际库存数</t>
  </si>
  <si>
    <t>MA_RR_1331</t>
  </si>
  <si>
    <t>MA_RR_1425</t>
  </si>
  <si>
    <t>MA_RR_1470</t>
  </si>
  <si>
    <t>MA_RR_1554</t>
  </si>
  <si>
    <t>MA_RR_1730</t>
  </si>
  <si>
    <t>MA_RR_1782</t>
  </si>
  <si>
    <t>MA_RR_1849</t>
  </si>
  <si>
    <t>MA_RR_1936</t>
  </si>
  <si>
    <r>
      <rPr>
        <b/>
        <sz val="11"/>
        <rFont val="Arial"/>
        <charset val="0"/>
      </rPr>
      <t>9298</t>
    </r>
    <r>
      <rPr>
        <b/>
        <sz val="11"/>
        <rFont val="宋体"/>
        <charset val="0"/>
      </rPr>
      <t>实际库存数</t>
    </r>
  </si>
  <si>
    <r>
      <rPr>
        <b/>
        <sz val="11"/>
        <rFont val="Arial"/>
        <charset val="0"/>
      </rPr>
      <t>92104</t>
    </r>
    <r>
      <rPr>
        <b/>
        <sz val="11"/>
        <rFont val="宋体"/>
        <charset val="0"/>
      </rPr>
      <t>实际库存数</t>
    </r>
  </si>
  <si>
    <t>#92106 MA半成品扣數表</t>
  </si>
  <si>
    <t>3款合計</t>
  </si>
  <si>
    <t>MA_RR_1059</t>
  </si>
  <si>
    <t>MA_RR_1209</t>
  </si>
  <si>
    <t>MA_RR_1271</t>
  </si>
  <si>
    <r>
      <rPr>
        <sz val="9"/>
        <rFont val="Arial"/>
        <charset val="0"/>
      </rPr>
      <t>July</t>
    </r>
    <r>
      <rPr>
        <sz val="9"/>
        <rFont val="宋体"/>
        <charset val="0"/>
      </rPr>
      <t>（</t>
    </r>
    <r>
      <rPr>
        <sz val="9"/>
        <rFont val="Arial"/>
        <charset val="0"/>
      </rPr>
      <t>Juillet</t>
    </r>
    <r>
      <rPr>
        <sz val="9"/>
        <rFont val="宋体"/>
        <charset val="0"/>
      </rPr>
      <t>）</t>
    </r>
    <r>
      <rPr>
        <sz val="9"/>
        <rFont val="Arial"/>
        <charset val="0"/>
      </rPr>
      <t xml:space="preserve"> 17 </t>
    </r>
    <r>
      <rPr>
        <sz val="9"/>
        <rFont val="宋体"/>
        <charset val="0"/>
      </rPr>
      <t>，</t>
    </r>
    <r>
      <rPr>
        <sz val="9"/>
        <rFont val="Arial"/>
        <charset val="0"/>
      </rPr>
      <t>2024 DG</t>
    </r>
  </si>
  <si>
    <t>MA_RR_1330</t>
  </si>
  <si>
    <t>MA_RR_1429</t>
  </si>
  <si>
    <t>MA_RR_1770</t>
  </si>
  <si>
    <t>MA_RR_2356</t>
  </si>
  <si>
    <t>车缝损耗</t>
  </si>
  <si>
    <t>92107半成品MA</t>
  </si>
  <si>
    <t>92108半成品MA</t>
  </si>
  <si>
    <t>Description</t>
  </si>
  <si>
    <t>下单日期</t>
  </si>
  <si>
    <t>要求完货日期</t>
  </si>
  <si>
    <t>布标日期码</t>
  </si>
  <si>
    <t>MA-RR-1060</t>
  </si>
  <si>
    <t>DG20240306</t>
  </si>
  <si>
    <t>DG20240307</t>
  </si>
  <si>
    <t>MA-RR-1093</t>
  </si>
  <si>
    <t>DG20240508</t>
  </si>
  <si>
    <t>MA-RR-1132</t>
  </si>
  <si>
    <t>DG20240606</t>
  </si>
  <si>
    <t>MA-RR-1175</t>
  </si>
  <si>
    <t>MA-RR-1305</t>
  </si>
  <si>
    <t>MA-RR-1239</t>
  </si>
  <si>
    <t>MA-RR-1544</t>
  </si>
  <si>
    <t>MA-RR-1803</t>
  </si>
  <si>
    <t>MA-RR-1397</t>
  </si>
  <si>
    <t>MA-RR-1480</t>
  </si>
  <si>
    <t>MA-RR-1599</t>
  </si>
  <si>
    <t>MA-RR-1644</t>
  </si>
  <si>
    <r>
      <rPr>
        <sz val="10"/>
        <rFont val="Tahoma"/>
        <charset val="0"/>
      </rPr>
      <t>MA</t>
    </r>
    <r>
      <rPr>
        <sz val="10"/>
        <rFont val="宋体"/>
        <charset val="0"/>
      </rPr>
      <t>色</t>
    </r>
  </si>
  <si>
    <t>MA-RR-1711</t>
  </si>
  <si>
    <t>MA-RR-2147</t>
  </si>
  <si>
    <r>
      <rPr>
        <sz val="10"/>
        <color rgb="FFFF0000"/>
        <rFont val="Tahoma"/>
        <charset val="0"/>
      </rPr>
      <t>24</t>
    </r>
    <r>
      <rPr>
        <sz val="10"/>
        <color rgb="FFFF0000"/>
        <rFont val="宋体"/>
        <charset val="0"/>
      </rPr>
      <t>年删除数：</t>
    </r>
  </si>
  <si>
    <t>布料MA</t>
  </si>
  <si>
    <t>布料MA剩余</t>
  </si>
  <si>
    <t>接单合计</t>
  </si>
  <si>
    <t>预留客布标/款</t>
  </si>
  <si>
    <t>MA 剩余</t>
  </si>
  <si>
    <t>IC剩余：</t>
  </si>
  <si>
    <r>
      <rPr>
        <sz val="10"/>
        <rFont val="Tahoma"/>
        <charset val="0"/>
      </rPr>
      <t xml:space="preserve">#92107&amp;#92108 </t>
    </r>
    <r>
      <rPr>
        <sz val="10"/>
        <rFont val="宋体"/>
        <charset val="0"/>
      </rPr>
      <t>公用</t>
    </r>
  </si>
  <si>
    <t>金色口水胶（低硼）</t>
  </si>
  <si>
    <t>粉色口水胶（低硼）</t>
  </si>
  <si>
    <t>金色口水胶（无硼）</t>
  </si>
  <si>
    <t>粉色口水胶（无硼）</t>
  </si>
  <si>
    <t>MA总数</t>
  </si>
  <si>
    <t>PO</t>
  </si>
  <si>
    <t>MA-RR-1214</t>
  </si>
  <si>
    <t>剩余</t>
  </si>
  <si>
    <t>损耗/过期</t>
  </si>
  <si>
    <t>实际</t>
  </si>
  <si>
    <t>不含MIT成分</t>
  </si>
  <si>
    <t>剩余：</t>
  </si>
  <si>
    <t>24年删除数：</t>
  </si>
  <si>
    <t>#9204 S1毛絨公仔MA包裝扣數表</t>
  </si>
  <si>
    <r>
      <rPr>
        <sz val="20"/>
        <rFont val="Arial"/>
        <charset val="0"/>
      </rPr>
      <t>#9214 S2</t>
    </r>
    <r>
      <rPr>
        <sz val="20"/>
        <rFont val="宋体"/>
        <charset val="0"/>
      </rPr>
      <t>毛絨公仔</t>
    </r>
    <r>
      <rPr>
        <sz val="20"/>
        <rFont val="Arial"/>
        <charset val="0"/>
      </rPr>
      <t>MA</t>
    </r>
    <r>
      <rPr>
        <sz val="20"/>
        <rFont val="宋体"/>
        <charset val="0"/>
      </rPr>
      <t>包裝扣數表</t>
    </r>
  </si>
  <si>
    <t>#9237狗蛋系列MA 包装扣数表</t>
  </si>
  <si>
    <t>#9209 超大蛋壳毛绒公仔MA包裝扣數表</t>
  </si>
  <si>
    <t>#9213 S2超大蛋壳毛绒公仔MA包裝扣數表</t>
  </si>
  <si>
    <t>#9244 S3超大蛋壳毛绒公仔MA包裝扣數表</t>
  </si>
  <si>
    <t>9259猫蛋毛绒公仔</t>
  </si>
  <si>
    <t>9279猫蛋二代</t>
  </si>
  <si>
    <t>9298 狗蛋四代</t>
  </si>
  <si>
    <t>92104  猫蛋三代</t>
  </si>
  <si>
    <t>92106  超大一窝蛋</t>
  </si>
  <si>
    <r>
      <rPr>
        <sz val="10"/>
        <rFont val="宋体"/>
        <charset val="134"/>
      </rPr>
      <t>日期</t>
    </r>
  </si>
  <si>
    <r>
      <rPr>
        <sz val="10"/>
        <rFont val="宋体"/>
        <charset val="134"/>
      </rPr>
      <t>MA PO</t>
    </r>
  </si>
  <si>
    <t>負責</t>
  </si>
  <si>
    <t>MA PO</t>
  </si>
  <si>
    <r>
      <rPr>
        <b/>
        <sz val="12"/>
        <rFont val="Arial"/>
        <charset val="0"/>
      </rPr>
      <t>MA 1</t>
    </r>
    <r>
      <rPr>
        <b/>
        <sz val="12"/>
        <rFont val="宋体"/>
        <charset val="134"/>
      </rPr>
      <t>语版本</t>
    </r>
  </si>
  <si>
    <r>
      <rPr>
        <b/>
        <sz val="12"/>
        <rFont val="Arial"/>
        <charset val="0"/>
      </rPr>
      <t>MA 3</t>
    </r>
    <r>
      <rPr>
        <b/>
        <sz val="12"/>
        <rFont val="宋体"/>
        <charset val="134"/>
      </rPr>
      <t>语版本（</t>
    </r>
    <r>
      <rPr>
        <b/>
        <sz val="12"/>
        <rFont val="Arial"/>
        <charset val="0"/>
      </rPr>
      <t>3L</t>
    </r>
    <r>
      <rPr>
        <b/>
        <sz val="12"/>
        <rFont val="宋体"/>
        <charset val="0"/>
      </rPr>
      <t>）</t>
    </r>
  </si>
  <si>
    <r>
      <rPr>
        <sz val="10"/>
        <rFont val="宋体"/>
        <charset val="0"/>
      </rPr>
      <t>扣</t>
    </r>
    <r>
      <rPr>
        <sz val="10"/>
        <rFont val="Arial"/>
        <charset val="0"/>
      </rPr>
      <t>MA</t>
    </r>
  </si>
  <si>
    <t>扣MA</t>
  </si>
  <si>
    <r>
      <rPr>
        <sz val="10"/>
        <color rgb="FFFF0000"/>
        <rFont val="宋体"/>
        <charset val="0"/>
      </rPr>
      <t>不扣</t>
    </r>
    <r>
      <rPr>
        <sz val="10"/>
        <color rgb="FFFF0000"/>
        <rFont val="Arial"/>
        <charset val="0"/>
      </rPr>
      <t>MA</t>
    </r>
  </si>
  <si>
    <t>6个装</t>
  </si>
  <si>
    <t>4个装</t>
  </si>
  <si>
    <r>
      <rPr>
        <sz val="8"/>
        <rFont val="宋体"/>
        <charset val="0"/>
      </rPr>
      <t>扣</t>
    </r>
    <r>
      <rPr>
        <sz val="8"/>
        <rFont val="Arial"/>
        <charset val="0"/>
      </rPr>
      <t>MA</t>
    </r>
  </si>
  <si>
    <t>客办包装</t>
  </si>
  <si>
    <r>
      <rPr>
        <sz val="10"/>
        <rFont val="Arial"/>
        <charset val="0"/>
      </rPr>
      <t>MA 1</t>
    </r>
    <r>
      <rPr>
        <sz val="10"/>
        <rFont val="宋体"/>
        <charset val="134"/>
      </rPr>
      <t>語收縮膜</t>
    </r>
  </si>
  <si>
    <r>
      <rPr>
        <sz val="10"/>
        <rFont val="Arial"/>
        <charset val="0"/>
      </rPr>
      <t>MA 1</t>
    </r>
    <r>
      <rPr>
        <sz val="10"/>
        <rFont val="宋体"/>
        <charset val="134"/>
      </rPr>
      <t>語說明書</t>
    </r>
  </si>
  <si>
    <r>
      <rPr>
        <sz val="10"/>
        <rFont val="Arial"/>
        <charset val="0"/>
      </rPr>
      <t>MA</t>
    </r>
    <r>
      <rPr>
        <sz val="10"/>
        <rFont val="宋体"/>
        <charset val="134"/>
      </rPr>
      <t>领养卡</t>
    </r>
  </si>
  <si>
    <t>MA 2語收縮膜（加拿大版本）</t>
  </si>
  <si>
    <r>
      <rPr>
        <sz val="10"/>
        <rFont val="宋体"/>
        <charset val="134"/>
      </rPr>
      <t>落加拿大</t>
    </r>
    <r>
      <rPr>
        <sz val="10"/>
        <rFont val="Arial"/>
        <charset val="0"/>
      </rPr>
      <t xml:space="preserve">
棉花泥</t>
    </r>
  </si>
  <si>
    <t>9204SQ1</t>
  </si>
  <si>
    <t>9204UQ1</t>
  </si>
  <si>
    <t>9204F</t>
  </si>
  <si>
    <t>9204EC</t>
  </si>
  <si>
    <r>
      <rPr>
        <sz val="10"/>
        <rFont val="Arial"/>
        <charset val="0"/>
      </rPr>
      <t>MA 1</t>
    </r>
    <r>
      <rPr>
        <sz val="10"/>
        <rFont val="宋体"/>
        <charset val="134"/>
      </rPr>
      <t>语收缩膜</t>
    </r>
  </si>
  <si>
    <r>
      <rPr>
        <sz val="10"/>
        <rFont val="Arial"/>
        <charset val="0"/>
      </rPr>
      <t>MA 1</t>
    </r>
    <r>
      <rPr>
        <sz val="10"/>
        <rFont val="宋体"/>
        <charset val="134"/>
      </rPr>
      <t>语说明书</t>
    </r>
  </si>
  <si>
    <r>
      <rPr>
        <sz val="10"/>
        <rFont val="Arial"/>
        <charset val="0"/>
      </rPr>
      <t>MA 1</t>
    </r>
    <r>
      <rPr>
        <sz val="10"/>
        <rFont val="宋体"/>
        <charset val="134"/>
      </rPr>
      <t>语领养卡</t>
    </r>
  </si>
  <si>
    <r>
      <rPr>
        <sz val="10"/>
        <rFont val="Arial"/>
        <charset val="0"/>
      </rPr>
      <t>9214SQ1
MA PDQ</t>
    </r>
    <r>
      <rPr>
        <sz val="10"/>
        <rFont val="宋体"/>
        <charset val="134"/>
      </rPr>
      <t>盒</t>
    </r>
    <r>
      <rPr>
        <sz val="10"/>
        <rFont val="Arial"/>
        <charset val="0"/>
      </rPr>
      <t xml:space="preserve">
1</t>
    </r>
    <r>
      <rPr>
        <sz val="10"/>
        <rFont val="宋体"/>
        <charset val="134"/>
      </rPr>
      <t>语</t>
    </r>
  </si>
  <si>
    <r>
      <rPr>
        <sz val="10"/>
        <rFont val="Arial"/>
        <charset val="0"/>
      </rPr>
      <t>MA 3</t>
    </r>
    <r>
      <rPr>
        <sz val="10"/>
        <rFont val="宋体"/>
        <charset val="134"/>
      </rPr>
      <t>语收缩膜</t>
    </r>
  </si>
  <si>
    <r>
      <rPr>
        <sz val="10"/>
        <rFont val="Arial"/>
        <charset val="0"/>
      </rPr>
      <t>MA 3</t>
    </r>
    <r>
      <rPr>
        <sz val="10"/>
        <rFont val="宋体"/>
        <charset val="134"/>
      </rPr>
      <t>语说明书</t>
    </r>
  </si>
  <si>
    <r>
      <rPr>
        <sz val="10"/>
        <rFont val="Arial"/>
        <charset val="0"/>
      </rPr>
      <t>MA 3</t>
    </r>
    <r>
      <rPr>
        <sz val="10"/>
        <rFont val="宋体"/>
        <charset val="134"/>
      </rPr>
      <t>语领养卡</t>
    </r>
  </si>
  <si>
    <r>
      <rPr>
        <sz val="10"/>
        <rFont val="Arial"/>
        <charset val="0"/>
      </rPr>
      <t>9214SQ1
MA PDQ</t>
    </r>
    <r>
      <rPr>
        <sz val="10"/>
        <rFont val="宋体"/>
        <charset val="0"/>
      </rPr>
      <t>盒</t>
    </r>
    <r>
      <rPr>
        <sz val="10"/>
        <rFont val="Arial"/>
        <charset val="0"/>
      </rPr>
      <t xml:space="preserve">
3</t>
    </r>
    <r>
      <rPr>
        <sz val="10"/>
        <rFont val="宋体"/>
        <charset val="0"/>
      </rPr>
      <t>语</t>
    </r>
  </si>
  <si>
    <r>
      <rPr>
        <sz val="10"/>
        <color rgb="FFFF0000"/>
        <rFont val="Arial"/>
        <charset val="0"/>
      </rPr>
      <t>9214</t>
    </r>
    <r>
      <rPr>
        <sz val="10"/>
        <color rgb="FFFF0000"/>
        <rFont val="宋体"/>
        <charset val="0"/>
      </rPr>
      <t>客办收缩膜</t>
    </r>
  </si>
  <si>
    <r>
      <rPr>
        <sz val="10"/>
        <color rgb="FFFF0000"/>
        <rFont val="Arial"/>
        <charset val="0"/>
      </rPr>
      <t>9214</t>
    </r>
    <r>
      <rPr>
        <sz val="10"/>
        <color rgb="FFFF0000"/>
        <rFont val="宋体"/>
        <charset val="0"/>
      </rPr>
      <t>客办说明书</t>
    </r>
  </si>
  <si>
    <r>
      <rPr>
        <sz val="10"/>
        <color rgb="FFFF0000"/>
        <rFont val="Arial"/>
        <charset val="0"/>
      </rPr>
      <t>9214</t>
    </r>
    <r>
      <rPr>
        <sz val="10"/>
        <color rgb="FFFF0000"/>
        <rFont val="宋体"/>
        <charset val="0"/>
      </rPr>
      <t>客办领养卡</t>
    </r>
  </si>
  <si>
    <r>
      <rPr>
        <sz val="10"/>
        <rFont val="Arial"/>
        <charset val="0"/>
      </rPr>
      <t xml:space="preserve">9214EC
</t>
    </r>
    <r>
      <rPr>
        <sz val="10"/>
        <rFont val="宋体"/>
        <charset val="134"/>
      </rPr>
      <t>展示架</t>
    </r>
  </si>
  <si>
    <t>MA 1语收缩膜</t>
  </si>
  <si>
    <r>
      <rPr>
        <sz val="10"/>
        <rFont val="Arial"/>
        <charset val="0"/>
      </rPr>
      <t>MA 1</t>
    </r>
    <r>
      <rPr>
        <sz val="10"/>
        <rFont val="宋体"/>
        <charset val="134"/>
      </rPr>
      <t>语收藏指南</t>
    </r>
  </si>
  <si>
    <r>
      <rPr>
        <sz val="10"/>
        <rFont val="Arial"/>
        <charset val="0"/>
      </rPr>
      <t>MA 3</t>
    </r>
    <r>
      <rPr>
        <sz val="10"/>
        <rFont val="宋体"/>
        <charset val="134"/>
      </rPr>
      <t>语收藏指南</t>
    </r>
  </si>
  <si>
    <r>
      <rPr>
        <sz val="10"/>
        <rFont val="Arial"/>
        <charset val="0"/>
      </rPr>
      <t>MA 3</t>
    </r>
    <r>
      <rPr>
        <sz val="10"/>
        <rFont val="宋体"/>
        <charset val="0"/>
      </rPr>
      <t>语收藏指南</t>
    </r>
  </si>
  <si>
    <r>
      <rPr>
        <sz val="10"/>
        <rFont val="Arial"/>
        <charset val="0"/>
      </rPr>
      <t>9237SQ1
PDQ</t>
    </r>
    <r>
      <rPr>
        <sz val="10"/>
        <rFont val="宋体"/>
        <charset val="134"/>
      </rPr>
      <t>盒</t>
    </r>
    <r>
      <rPr>
        <sz val="10"/>
        <rFont val="Arial"/>
        <charset val="0"/>
      </rPr>
      <t xml:space="preserve">
1L</t>
    </r>
    <r>
      <rPr>
        <sz val="10"/>
        <rFont val="宋体"/>
        <charset val="134"/>
      </rPr>
      <t>版本</t>
    </r>
  </si>
  <si>
    <r>
      <rPr>
        <sz val="10"/>
        <rFont val="Arial"/>
        <charset val="0"/>
      </rPr>
      <t>9237SQ1
PDQ</t>
    </r>
    <r>
      <rPr>
        <sz val="10"/>
        <rFont val="宋体"/>
        <charset val="134"/>
      </rPr>
      <t>盒</t>
    </r>
    <r>
      <rPr>
        <sz val="10"/>
        <rFont val="Arial"/>
        <charset val="0"/>
      </rPr>
      <t xml:space="preserve">
3L版本</t>
    </r>
  </si>
  <si>
    <r>
      <rPr>
        <sz val="10"/>
        <color indexed="10"/>
        <rFont val="Arial"/>
        <charset val="0"/>
      </rPr>
      <t xml:space="preserve">9237UQ1
</t>
    </r>
    <r>
      <rPr>
        <sz val="10"/>
        <color indexed="10"/>
        <rFont val="宋体"/>
        <charset val="134"/>
      </rPr>
      <t>客版</t>
    </r>
    <r>
      <rPr>
        <sz val="10"/>
        <color indexed="10"/>
        <rFont val="Arial"/>
        <charset val="0"/>
      </rPr>
      <t>PDQ
WM</t>
    </r>
    <r>
      <rPr>
        <sz val="10"/>
        <color indexed="10"/>
        <rFont val="宋体"/>
        <charset val="134"/>
      </rPr>
      <t>专用</t>
    </r>
  </si>
  <si>
    <r>
      <rPr>
        <sz val="10"/>
        <rFont val="Arial"/>
        <charset val="0"/>
      </rPr>
      <t xml:space="preserve">9237EC
</t>
    </r>
    <r>
      <rPr>
        <sz val="10"/>
        <rFont val="宋体"/>
        <charset val="134"/>
      </rPr>
      <t>展示架</t>
    </r>
  </si>
  <si>
    <t>MEC121
展示架</t>
  </si>
  <si>
    <r>
      <rPr>
        <sz val="10"/>
        <rFont val="Arial"/>
        <charset val="0"/>
      </rPr>
      <t>MA 3</t>
    </r>
    <r>
      <rPr>
        <sz val="10"/>
        <rFont val="宋体"/>
        <charset val="134"/>
      </rPr>
      <t>語收縮膜</t>
    </r>
  </si>
  <si>
    <r>
      <rPr>
        <sz val="10"/>
        <rFont val="Arial"/>
        <charset val="0"/>
      </rPr>
      <t>MA 3</t>
    </r>
    <r>
      <rPr>
        <sz val="10"/>
        <rFont val="宋体"/>
        <charset val="134"/>
      </rPr>
      <t>語說明書</t>
    </r>
  </si>
  <si>
    <r>
      <rPr>
        <sz val="10"/>
        <rFont val="Arial"/>
        <charset val="0"/>
      </rPr>
      <t>2</t>
    </r>
    <r>
      <rPr>
        <sz val="10"/>
        <rFont val="宋体"/>
        <charset val="134"/>
      </rPr>
      <t>款卷膜</t>
    </r>
    <r>
      <rPr>
        <sz val="10"/>
        <rFont val="Arial"/>
        <charset val="0"/>
      </rPr>
      <t xml:space="preserve">
</t>
    </r>
    <r>
      <rPr>
        <sz val="10"/>
        <rFont val="宋体"/>
        <charset val="134"/>
      </rPr>
      <t>（手链、葱粉）</t>
    </r>
  </si>
  <si>
    <t>3款包装袋
（发箍、发夹、啪啪圈）</t>
  </si>
  <si>
    <r>
      <rPr>
        <sz val="10"/>
        <color indexed="10"/>
        <rFont val="Arial"/>
        <charset val="0"/>
      </rPr>
      <t>MA 1</t>
    </r>
    <r>
      <rPr>
        <sz val="10"/>
        <color indexed="10"/>
        <rFont val="宋体"/>
        <charset val="134"/>
      </rPr>
      <t>语收藏指南</t>
    </r>
  </si>
  <si>
    <r>
      <rPr>
        <sz val="10"/>
        <color indexed="10"/>
        <rFont val="Arial"/>
        <charset val="0"/>
      </rPr>
      <t>MA 3</t>
    </r>
    <r>
      <rPr>
        <sz val="10"/>
        <color indexed="10"/>
        <rFont val="宋体"/>
        <charset val="134"/>
      </rPr>
      <t>语收藏指南</t>
    </r>
  </si>
  <si>
    <r>
      <rPr>
        <sz val="10"/>
        <rFont val="Arial"/>
        <charset val="0"/>
      </rPr>
      <t>MA 1</t>
    </r>
    <r>
      <rPr>
        <sz val="10"/>
        <rFont val="宋体"/>
        <charset val="0"/>
      </rPr>
      <t>语收缩膜</t>
    </r>
  </si>
  <si>
    <t>MA 1語收藏指南</t>
  </si>
  <si>
    <r>
      <rPr>
        <sz val="8"/>
        <rFont val="Arial"/>
        <charset val="0"/>
      </rPr>
      <t>MA 1</t>
    </r>
    <r>
      <rPr>
        <sz val="8"/>
        <rFont val="宋体"/>
        <charset val="0"/>
      </rPr>
      <t>語</t>
    </r>
    <r>
      <rPr>
        <sz val="8"/>
        <rFont val="Arial"/>
        <charset val="0"/>
      </rPr>
      <t>PDQ</t>
    </r>
  </si>
  <si>
    <r>
      <rPr>
        <sz val="8"/>
        <rFont val="Arial"/>
        <charset val="0"/>
      </rPr>
      <t>MA  3</t>
    </r>
    <r>
      <rPr>
        <sz val="8"/>
        <rFont val="宋体"/>
        <charset val="0"/>
      </rPr>
      <t>語收縮膜</t>
    </r>
  </si>
  <si>
    <r>
      <rPr>
        <sz val="8"/>
        <rFont val="Arial"/>
        <charset val="0"/>
      </rPr>
      <t>MA 3</t>
    </r>
    <r>
      <rPr>
        <sz val="8"/>
        <rFont val="宋体"/>
        <charset val="0"/>
      </rPr>
      <t>語收藏指南</t>
    </r>
  </si>
  <si>
    <r>
      <rPr>
        <sz val="8"/>
        <rFont val="Arial"/>
        <charset val="0"/>
      </rPr>
      <t>MA 3</t>
    </r>
    <r>
      <rPr>
        <sz val="8"/>
        <rFont val="宋体"/>
        <charset val="0"/>
      </rPr>
      <t>語</t>
    </r>
    <r>
      <rPr>
        <sz val="8"/>
        <rFont val="Arial"/>
        <charset val="0"/>
      </rPr>
      <t>PDQ</t>
    </r>
  </si>
  <si>
    <r>
      <rPr>
        <b/>
        <sz val="11"/>
        <rFont val="宋体"/>
        <charset val="134"/>
      </rPr>
      <t xml:space="preserve">客办PDQ   </t>
    </r>
    <r>
      <rPr>
        <b/>
        <sz val="11"/>
        <color rgb="FFF7241F"/>
        <rFont val="宋体"/>
        <charset val="134"/>
      </rPr>
      <t>TQ1-S001-1L WM专用</t>
    </r>
  </si>
  <si>
    <r>
      <rPr>
        <b/>
        <sz val="11"/>
        <rFont val="宋体"/>
        <charset val="134"/>
      </rPr>
      <t xml:space="preserve">客办PDQ   </t>
    </r>
    <r>
      <rPr>
        <b/>
        <sz val="11"/>
        <color rgb="FFF7241F"/>
        <rFont val="宋体"/>
        <charset val="134"/>
      </rPr>
      <t>TQ1-S001-3L WM专用</t>
    </r>
  </si>
  <si>
    <r>
      <rPr>
        <b/>
        <sz val="11"/>
        <rFont val="宋体"/>
        <charset val="134"/>
      </rPr>
      <t xml:space="preserve">客办PDQ   </t>
    </r>
    <r>
      <rPr>
        <b/>
        <sz val="11"/>
        <color rgb="FFF7241F"/>
        <rFont val="宋体"/>
        <charset val="134"/>
      </rPr>
      <t>TQ2-S001 
WM 莫里森专用</t>
    </r>
  </si>
  <si>
    <r>
      <rPr>
        <b/>
        <sz val="11"/>
        <rFont val="宋体"/>
        <charset val="134"/>
      </rPr>
      <t xml:space="preserve">客办PDQ   </t>
    </r>
    <r>
      <rPr>
        <b/>
        <sz val="11"/>
        <color rgb="FFF7241F"/>
        <rFont val="宋体"/>
        <charset val="134"/>
      </rPr>
      <t xml:space="preserve">TQ3-S001 TARGET
</t>
    </r>
  </si>
  <si>
    <t>客办收缩膜</t>
  </si>
  <si>
    <r>
      <rPr>
        <sz val="10"/>
        <rFont val="Calibri"/>
        <charset val="0"/>
      </rPr>
      <t>9259EC</t>
    </r>
    <r>
      <rPr>
        <sz val="10"/>
        <rFont val="宋体"/>
        <charset val="0"/>
      </rPr>
      <t>展示架</t>
    </r>
  </si>
  <si>
    <r>
      <rPr>
        <sz val="10"/>
        <rFont val="宋体"/>
        <charset val="0"/>
      </rPr>
      <t>客办扣数</t>
    </r>
    <r>
      <rPr>
        <sz val="10"/>
        <rFont val="Arial"/>
        <charset val="0"/>
      </rPr>
      <t>PO</t>
    </r>
  </si>
  <si>
    <r>
      <rPr>
        <sz val="11"/>
        <rFont val="Arial"/>
        <charset val="0"/>
      </rPr>
      <t>MA  1</t>
    </r>
    <r>
      <rPr>
        <sz val="11"/>
        <rFont val="宋体"/>
        <charset val="0"/>
      </rPr>
      <t>語收縮膜</t>
    </r>
  </si>
  <si>
    <r>
      <rPr>
        <sz val="11"/>
        <rFont val="Arial"/>
        <charset val="0"/>
      </rPr>
      <t>MA 1</t>
    </r>
    <r>
      <rPr>
        <sz val="11"/>
        <rFont val="宋体"/>
        <charset val="0"/>
      </rPr>
      <t>語</t>
    </r>
    <r>
      <rPr>
        <sz val="11"/>
        <rFont val="Arial"/>
        <charset val="0"/>
      </rPr>
      <t>PDQ</t>
    </r>
  </si>
  <si>
    <r>
      <rPr>
        <sz val="11"/>
        <rFont val="Arial"/>
        <charset val="0"/>
      </rPr>
      <t xml:space="preserve">MA-1L-3L-PDQ   </t>
    </r>
    <r>
      <rPr>
        <sz val="11"/>
        <color rgb="FFFF0000"/>
        <rFont val="Arial"/>
        <charset val="0"/>
      </rPr>
      <t>(</t>
    </r>
    <r>
      <rPr>
        <sz val="11"/>
        <color rgb="FFFF0000"/>
        <rFont val="宋体"/>
        <charset val="0"/>
      </rPr>
      <t>共用</t>
    </r>
    <r>
      <rPr>
        <sz val="11"/>
        <color rgb="FFFF0000"/>
        <rFont val="Arial"/>
        <charset val="0"/>
      </rPr>
      <t>)</t>
    </r>
  </si>
  <si>
    <r>
      <rPr>
        <sz val="11"/>
        <rFont val="Arial"/>
        <charset val="0"/>
      </rPr>
      <t>MA  3</t>
    </r>
    <r>
      <rPr>
        <sz val="11"/>
        <rFont val="宋体"/>
        <charset val="0"/>
      </rPr>
      <t>語收縮膜</t>
    </r>
  </si>
  <si>
    <r>
      <rPr>
        <sz val="8"/>
        <rFont val="宋体"/>
        <charset val="0"/>
      </rPr>
      <t>客办</t>
    </r>
    <r>
      <rPr>
        <sz val="8"/>
        <rFont val="Arial"/>
        <charset val="0"/>
      </rPr>
      <t>-EU-3L</t>
    </r>
    <r>
      <rPr>
        <sz val="8"/>
        <rFont val="宋体"/>
        <charset val="0"/>
      </rPr>
      <t>收缩膜</t>
    </r>
  </si>
  <si>
    <r>
      <rPr>
        <sz val="8"/>
        <color rgb="FFFF0000"/>
        <rFont val="Arial"/>
        <charset val="0"/>
      </rPr>
      <t>MA 5</t>
    </r>
    <r>
      <rPr>
        <sz val="8"/>
        <color rgb="FFFF0000"/>
        <rFont val="宋体"/>
        <charset val="0"/>
      </rPr>
      <t>語收藏指南</t>
    </r>
  </si>
  <si>
    <r>
      <rPr>
        <sz val="11"/>
        <color rgb="FFFF0000"/>
        <rFont val="Arial"/>
        <charset val="0"/>
      </rPr>
      <t>MA 5</t>
    </r>
    <r>
      <rPr>
        <sz val="11"/>
        <color rgb="FFFF0000"/>
        <rFont val="宋体"/>
        <charset val="0"/>
      </rPr>
      <t>語收藏指南</t>
    </r>
  </si>
  <si>
    <r>
      <rPr>
        <sz val="11"/>
        <rFont val="Arial"/>
        <charset val="0"/>
      </rPr>
      <t>MA 3</t>
    </r>
    <r>
      <rPr>
        <sz val="11"/>
        <rFont val="宋体"/>
        <charset val="0"/>
      </rPr>
      <t>語</t>
    </r>
    <r>
      <rPr>
        <sz val="11"/>
        <rFont val="Arial"/>
        <charset val="0"/>
      </rPr>
      <t>PDQ</t>
    </r>
  </si>
  <si>
    <t>TQ1-1L</t>
  </si>
  <si>
    <t>TQ1-3L</t>
  </si>
  <si>
    <t>TQ1-1L-3L通用</t>
  </si>
  <si>
    <r>
      <rPr>
        <sz val="11"/>
        <rFont val="宋体"/>
        <charset val="134"/>
      </rPr>
      <t xml:space="preserve">TQ2-1L </t>
    </r>
    <r>
      <rPr>
        <sz val="11"/>
        <color rgb="FFFF0000"/>
        <rFont val="宋体"/>
        <charset val="134"/>
      </rPr>
      <t>WM单</t>
    </r>
  </si>
  <si>
    <r>
      <rPr>
        <sz val="11"/>
        <rFont val="宋体"/>
        <charset val="134"/>
      </rPr>
      <t xml:space="preserve">TQ3-1L   </t>
    </r>
    <r>
      <rPr>
        <sz val="11"/>
        <color rgb="FFFF0000"/>
        <rFont val="宋体"/>
        <charset val="134"/>
      </rPr>
      <t>WM莫里森</t>
    </r>
  </si>
  <si>
    <r>
      <rPr>
        <sz val="11"/>
        <rFont val="宋体"/>
        <charset val="134"/>
      </rPr>
      <t>TQ3-1L-    B版本</t>
    </r>
    <r>
      <rPr>
        <sz val="11"/>
        <color rgb="FFFF0000"/>
        <rFont val="宋体"/>
        <charset val="134"/>
      </rPr>
      <t>WM莫里森</t>
    </r>
  </si>
  <si>
    <r>
      <rPr>
        <sz val="11"/>
        <rFont val="宋体"/>
        <charset val="134"/>
      </rPr>
      <t xml:space="preserve">PDQ    </t>
    </r>
    <r>
      <rPr>
        <sz val="12"/>
        <color rgb="FFFF0000"/>
        <rFont val="宋体"/>
        <charset val="134"/>
      </rPr>
      <t>TQ5-1L</t>
    </r>
  </si>
  <si>
    <r>
      <rPr>
        <sz val="11"/>
        <rFont val="宋体"/>
        <charset val="134"/>
      </rPr>
      <t xml:space="preserve">PDQ    </t>
    </r>
    <r>
      <rPr>
        <sz val="12"/>
        <color rgb="FFFF0000"/>
        <rFont val="宋体"/>
        <charset val="134"/>
      </rPr>
      <t>TQ5-2L</t>
    </r>
  </si>
  <si>
    <r>
      <rPr>
        <sz val="10"/>
        <rFont val="Calibri"/>
        <charset val="0"/>
      </rPr>
      <t>9279F</t>
    </r>
    <r>
      <rPr>
        <sz val="10"/>
        <rFont val="宋体"/>
        <charset val="0"/>
      </rPr>
      <t>展示架</t>
    </r>
  </si>
  <si>
    <r>
      <rPr>
        <b/>
        <sz val="10"/>
        <rFont val="Arial"/>
        <charset val="0"/>
      </rPr>
      <t>MA  1</t>
    </r>
    <r>
      <rPr>
        <b/>
        <sz val="10"/>
        <rFont val="宋体"/>
        <charset val="0"/>
      </rPr>
      <t>語收縮膜</t>
    </r>
    <r>
      <rPr>
        <b/>
        <sz val="10"/>
        <rFont val="Arial"/>
        <charset val="0"/>
      </rPr>
      <t>-B</t>
    </r>
    <r>
      <rPr>
        <b/>
        <sz val="10"/>
        <rFont val="宋体"/>
        <charset val="0"/>
      </rPr>
      <t>版本</t>
    </r>
  </si>
  <si>
    <r>
      <rPr>
        <b/>
        <sz val="10"/>
        <color rgb="FFFF0000"/>
        <rFont val="Arial"/>
        <charset val="0"/>
      </rPr>
      <t>MA  1</t>
    </r>
    <r>
      <rPr>
        <b/>
        <sz val="10"/>
        <color rgb="FFFF0000"/>
        <rFont val="宋体"/>
        <charset val="0"/>
      </rPr>
      <t>語收縮膜</t>
    </r>
    <r>
      <rPr>
        <b/>
        <sz val="10"/>
        <color rgb="FFFF0000"/>
        <rFont val="Arial"/>
        <charset val="0"/>
      </rPr>
      <t>-C</t>
    </r>
    <r>
      <rPr>
        <b/>
        <sz val="10"/>
        <color rgb="FFFF0000"/>
        <rFont val="宋体"/>
        <charset val="0"/>
      </rPr>
      <t>版本</t>
    </r>
  </si>
  <si>
    <r>
      <rPr>
        <b/>
        <sz val="10"/>
        <rFont val="Arial"/>
        <charset val="0"/>
      </rPr>
      <t>MA  3</t>
    </r>
    <r>
      <rPr>
        <b/>
        <sz val="10"/>
        <rFont val="宋体"/>
        <charset val="0"/>
      </rPr>
      <t>語收縮膜</t>
    </r>
    <r>
      <rPr>
        <b/>
        <sz val="10"/>
        <rFont val="Arial"/>
        <charset val="0"/>
      </rPr>
      <t>-B</t>
    </r>
    <r>
      <rPr>
        <b/>
        <sz val="10"/>
        <rFont val="宋体"/>
        <charset val="0"/>
      </rPr>
      <t>版本</t>
    </r>
  </si>
  <si>
    <r>
      <rPr>
        <b/>
        <sz val="10"/>
        <color rgb="FFFF0000"/>
        <rFont val="Arial"/>
        <charset val="0"/>
      </rPr>
      <t>MA  3</t>
    </r>
    <r>
      <rPr>
        <b/>
        <sz val="10"/>
        <color rgb="FFFF0000"/>
        <rFont val="宋体"/>
        <charset val="0"/>
      </rPr>
      <t>語收縮膜</t>
    </r>
    <r>
      <rPr>
        <b/>
        <sz val="10"/>
        <color rgb="FFFF0000"/>
        <rFont val="Arial"/>
        <charset val="0"/>
      </rPr>
      <t>-C</t>
    </r>
    <r>
      <rPr>
        <b/>
        <sz val="10"/>
        <color rgb="FFFF0000"/>
        <rFont val="宋体"/>
        <charset val="0"/>
      </rPr>
      <t>版本</t>
    </r>
  </si>
  <si>
    <r>
      <rPr>
        <b/>
        <sz val="11"/>
        <color rgb="FFFF0000"/>
        <rFont val="Arial"/>
        <charset val="0"/>
      </rPr>
      <t>MA 5</t>
    </r>
    <r>
      <rPr>
        <b/>
        <sz val="11"/>
        <color rgb="FFFF0000"/>
        <rFont val="宋体"/>
        <charset val="0"/>
      </rPr>
      <t>語收藏指南</t>
    </r>
  </si>
  <si>
    <r>
      <rPr>
        <b/>
        <sz val="11"/>
        <color rgb="FFFF0000"/>
        <rFont val="Arial"/>
        <charset val="0"/>
      </rPr>
      <t>MA 5</t>
    </r>
    <r>
      <rPr>
        <b/>
        <sz val="11"/>
        <color rgb="FFFF0000"/>
        <rFont val="宋体"/>
        <charset val="0"/>
      </rPr>
      <t>語收藏指南</t>
    </r>
    <r>
      <rPr>
        <b/>
        <sz val="11"/>
        <color rgb="FFFF0000"/>
        <rFont val="Arial"/>
        <charset val="0"/>
      </rPr>
      <t>-B</t>
    </r>
    <r>
      <rPr>
        <b/>
        <sz val="11"/>
        <color rgb="FFFF0000"/>
        <rFont val="宋体"/>
        <charset val="0"/>
      </rPr>
      <t>版本</t>
    </r>
  </si>
  <si>
    <r>
      <rPr>
        <sz val="11"/>
        <rFont val="宋体"/>
        <charset val="134"/>
      </rPr>
      <t xml:space="preserve">TQ1-1L-3L  </t>
    </r>
    <r>
      <rPr>
        <sz val="11"/>
        <color rgb="FFFF0000"/>
        <rFont val="宋体"/>
        <charset val="134"/>
      </rPr>
      <t>(通用）</t>
    </r>
  </si>
  <si>
    <r>
      <rPr>
        <b/>
        <sz val="11"/>
        <rFont val="宋体"/>
        <charset val="134"/>
      </rPr>
      <t xml:space="preserve">TQ1-1L-3L  </t>
    </r>
    <r>
      <rPr>
        <b/>
        <sz val="11"/>
        <color rgb="FFFF0000"/>
        <rFont val="宋体"/>
        <charset val="134"/>
      </rPr>
      <t>(通用）-B版本</t>
    </r>
  </si>
  <si>
    <r>
      <rPr>
        <sz val="11"/>
        <rFont val="宋体"/>
        <charset val="134"/>
      </rPr>
      <t xml:space="preserve">TQ2-1L-3L  </t>
    </r>
    <r>
      <rPr>
        <sz val="11"/>
        <color rgb="FFFF0000"/>
        <rFont val="宋体"/>
        <charset val="134"/>
      </rPr>
      <t>(通用）</t>
    </r>
  </si>
  <si>
    <r>
      <rPr>
        <sz val="11"/>
        <rFont val="宋体"/>
        <charset val="134"/>
      </rPr>
      <t xml:space="preserve">TQ2-1L-3L  </t>
    </r>
    <r>
      <rPr>
        <sz val="11"/>
        <color rgb="FFFF0000"/>
        <rFont val="宋体"/>
        <charset val="134"/>
      </rPr>
      <t>(通用）-B版本</t>
    </r>
  </si>
  <si>
    <t>TQ3-WM CA</t>
  </si>
  <si>
    <t>TQ4</t>
  </si>
  <si>
    <t>TQ5-WM单</t>
  </si>
  <si>
    <t>9298F-展示架1L</t>
  </si>
  <si>
    <r>
      <rPr>
        <b/>
        <sz val="11"/>
        <rFont val="Arial"/>
        <charset val="0"/>
      </rPr>
      <t>MA  1</t>
    </r>
    <r>
      <rPr>
        <b/>
        <sz val="11"/>
        <rFont val="宋体"/>
        <charset val="0"/>
      </rPr>
      <t>語收縮膜</t>
    </r>
  </si>
  <si>
    <r>
      <rPr>
        <b/>
        <sz val="11"/>
        <rFont val="Arial"/>
        <charset val="0"/>
      </rPr>
      <t>MA  1</t>
    </r>
    <r>
      <rPr>
        <b/>
        <sz val="11"/>
        <rFont val="宋体"/>
        <charset val="0"/>
      </rPr>
      <t>語收縮膜（</t>
    </r>
    <r>
      <rPr>
        <b/>
        <sz val="11"/>
        <rFont val="Arial"/>
        <charset val="0"/>
      </rPr>
      <t>B</t>
    </r>
    <r>
      <rPr>
        <b/>
        <sz val="11"/>
        <rFont val="宋体"/>
        <charset val="0"/>
      </rPr>
      <t>版本）</t>
    </r>
  </si>
  <si>
    <r>
      <rPr>
        <b/>
        <sz val="11"/>
        <rFont val="Arial"/>
        <charset val="0"/>
      </rPr>
      <t>MA  3</t>
    </r>
    <r>
      <rPr>
        <b/>
        <sz val="11"/>
        <rFont val="宋体"/>
        <charset val="0"/>
      </rPr>
      <t>語收縮膜</t>
    </r>
  </si>
  <si>
    <r>
      <rPr>
        <b/>
        <sz val="11"/>
        <rFont val="Arial"/>
        <charset val="0"/>
      </rPr>
      <t>MA  3</t>
    </r>
    <r>
      <rPr>
        <b/>
        <sz val="11"/>
        <rFont val="宋体"/>
        <charset val="0"/>
      </rPr>
      <t>語收縮膜（</t>
    </r>
    <r>
      <rPr>
        <b/>
        <sz val="11"/>
        <rFont val="Arial"/>
        <charset val="0"/>
      </rPr>
      <t>B</t>
    </r>
    <r>
      <rPr>
        <b/>
        <sz val="11"/>
        <rFont val="宋体"/>
        <charset val="0"/>
      </rPr>
      <t>版本）</t>
    </r>
  </si>
  <si>
    <r>
      <rPr>
        <b/>
        <sz val="11"/>
        <color rgb="FFFF0000"/>
        <rFont val="Arial"/>
        <charset val="0"/>
      </rPr>
      <t>MA 5</t>
    </r>
    <r>
      <rPr>
        <b/>
        <sz val="11"/>
        <color rgb="FFFF0000"/>
        <rFont val="宋体"/>
        <charset val="0"/>
      </rPr>
      <t>語收藏指南（</t>
    </r>
    <r>
      <rPr>
        <b/>
        <sz val="11"/>
        <color rgb="FFFF0000"/>
        <rFont val="Arial"/>
        <charset val="0"/>
      </rPr>
      <t>B</t>
    </r>
    <r>
      <rPr>
        <b/>
        <sz val="11"/>
        <color rgb="FFFF0000"/>
        <rFont val="宋体"/>
        <charset val="0"/>
      </rPr>
      <t>版本）</t>
    </r>
  </si>
  <si>
    <r>
      <rPr>
        <b/>
        <sz val="11"/>
        <rFont val="宋体"/>
        <charset val="134"/>
      </rPr>
      <t xml:space="preserve">TQ1-1L-3L  </t>
    </r>
    <r>
      <rPr>
        <b/>
        <sz val="11"/>
        <color rgb="FFFF0000"/>
        <rFont val="宋体"/>
        <charset val="134"/>
      </rPr>
      <t>(通用）</t>
    </r>
  </si>
  <si>
    <r>
      <rPr>
        <b/>
        <sz val="11"/>
        <rFont val="宋体"/>
        <charset val="134"/>
      </rPr>
      <t xml:space="preserve">TQ2-1L-3L  </t>
    </r>
    <r>
      <rPr>
        <b/>
        <sz val="11"/>
        <color rgb="FFFF0000"/>
        <rFont val="宋体"/>
        <charset val="134"/>
      </rPr>
      <t>(通用）</t>
    </r>
  </si>
  <si>
    <r>
      <rPr>
        <b/>
        <sz val="11"/>
        <rFont val="宋体"/>
        <charset val="134"/>
      </rPr>
      <t xml:space="preserve">TQ3-                    </t>
    </r>
    <r>
      <rPr>
        <b/>
        <sz val="11"/>
        <color rgb="FFFF0000"/>
        <rFont val="宋体"/>
        <charset val="134"/>
      </rPr>
      <t>(WM-CA)</t>
    </r>
  </si>
  <si>
    <r>
      <rPr>
        <b/>
        <sz val="11"/>
        <rFont val="宋体"/>
        <charset val="134"/>
      </rPr>
      <t>TQ4                   -</t>
    </r>
    <r>
      <rPr>
        <b/>
        <sz val="11"/>
        <color rgb="FFFF0000"/>
        <rFont val="宋体"/>
        <charset val="134"/>
      </rPr>
      <t>转订9279-TQ3</t>
    </r>
  </si>
  <si>
    <t>TQ5</t>
  </si>
  <si>
    <t>92104F-展示架1L</t>
  </si>
  <si>
    <r>
      <rPr>
        <b/>
        <sz val="11"/>
        <rFont val="宋体"/>
        <charset val="0"/>
      </rPr>
      <t>客办扣数</t>
    </r>
    <r>
      <rPr>
        <b/>
        <sz val="11"/>
        <rFont val="Arial"/>
        <charset val="0"/>
      </rPr>
      <t>PO</t>
    </r>
  </si>
  <si>
    <t>A版本</t>
  </si>
  <si>
    <r>
      <rPr>
        <sz val="10"/>
        <rFont val="Arial"/>
        <charset val="0"/>
      </rPr>
      <t>A</t>
    </r>
    <r>
      <rPr>
        <sz val="10"/>
        <rFont val="宋体"/>
        <charset val="134"/>
      </rPr>
      <t>版本</t>
    </r>
  </si>
  <si>
    <r>
      <rPr>
        <sz val="10"/>
        <rFont val="Arial"/>
        <charset val="0"/>
      </rPr>
      <t>B</t>
    </r>
    <r>
      <rPr>
        <sz val="10"/>
        <rFont val="宋体"/>
        <charset val="134"/>
      </rPr>
      <t>版本</t>
    </r>
  </si>
  <si>
    <t>加拿大版</t>
  </si>
  <si>
    <t>客办</t>
  </si>
  <si>
    <t>1L版本</t>
  </si>
  <si>
    <t>3L版本</t>
  </si>
  <si>
    <t>欧洲版本</t>
  </si>
  <si>
    <r>
      <rPr>
        <sz val="10"/>
        <color rgb="FFDD0806"/>
        <rFont val="Arial"/>
        <charset val="0"/>
      </rPr>
      <t>B</t>
    </r>
    <r>
      <rPr>
        <sz val="10"/>
        <color rgb="FFDD0806"/>
        <rFont val="宋体"/>
        <charset val="0"/>
      </rPr>
      <t>版本</t>
    </r>
  </si>
  <si>
    <r>
      <rPr>
        <sz val="10"/>
        <color indexed="10"/>
        <rFont val="Arial"/>
        <charset val="0"/>
      </rPr>
      <t>B</t>
    </r>
    <r>
      <rPr>
        <sz val="10"/>
        <color indexed="10"/>
        <rFont val="宋体"/>
        <charset val="134"/>
      </rPr>
      <t>版本</t>
    </r>
  </si>
  <si>
    <r>
      <rPr>
        <sz val="10"/>
        <color rgb="FFFF0000"/>
        <rFont val="Arial"/>
        <charset val="0"/>
      </rPr>
      <t>B</t>
    </r>
    <r>
      <rPr>
        <sz val="10"/>
        <color rgb="FFFF0000"/>
        <rFont val="宋体"/>
        <charset val="0"/>
      </rPr>
      <t>版本</t>
    </r>
  </si>
  <si>
    <r>
      <rPr>
        <sz val="8"/>
        <rFont val="Arial"/>
        <charset val="0"/>
      </rPr>
      <t>A</t>
    </r>
    <r>
      <rPr>
        <sz val="8"/>
        <rFont val="宋体"/>
        <charset val="0"/>
      </rPr>
      <t>版本</t>
    </r>
  </si>
  <si>
    <r>
      <rPr>
        <sz val="8"/>
        <color rgb="FFFF0000"/>
        <rFont val="Arial"/>
        <charset val="0"/>
      </rPr>
      <t>B</t>
    </r>
    <r>
      <rPr>
        <sz val="8"/>
        <color rgb="FFFF0000"/>
        <rFont val="宋体"/>
        <charset val="0"/>
      </rPr>
      <t>版本</t>
    </r>
  </si>
  <si>
    <r>
      <rPr>
        <sz val="10"/>
        <rFont val="Arial"/>
        <charset val="0"/>
      </rPr>
      <t>A</t>
    </r>
    <r>
      <rPr>
        <sz val="10"/>
        <rFont val="宋体"/>
        <charset val="0"/>
      </rPr>
      <t>版本</t>
    </r>
  </si>
  <si>
    <t>C版本</t>
  </si>
  <si>
    <t>Vicky</t>
  </si>
  <si>
    <t>1000003924</t>
  </si>
  <si>
    <t>1000005908</t>
  </si>
  <si>
    <t>TBA</t>
  </si>
  <si>
    <t>Sukey</t>
  </si>
  <si>
    <t>Lizz Li</t>
  </si>
  <si>
    <t>Amy</t>
  </si>
  <si>
    <t>Doris</t>
  </si>
  <si>
    <t>AMY</t>
  </si>
  <si>
    <t>1000003925</t>
  </si>
  <si>
    <t>1000005909</t>
  </si>
  <si>
    <t>1000004197</t>
  </si>
  <si>
    <t>1000005910</t>
  </si>
  <si>
    <t>1000004198</t>
  </si>
  <si>
    <t>1000005911</t>
  </si>
  <si>
    <t>1000005912</t>
  </si>
  <si>
    <t>1000007739</t>
  </si>
  <si>
    <t>Zoey</t>
  </si>
  <si>
    <t>1000003274</t>
  </si>
  <si>
    <t>1000003922</t>
  </si>
  <si>
    <t>1000005913</t>
  </si>
  <si>
    <t>1000007740</t>
  </si>
  <si>
    <t>1000003275</t>
  </si>
  <si>
    <t>TAB</t>
  </si>
  <si>
    <t>1000003923</t>
  </si>
  <si>
    <t>1000005914</t>
  </si>
  <si>
    <t>1000007741</t>
  </si>
  <si>
    <t>1000009935</t>
  </si>
  <si>
    <t>1000003456</t>
  </si>
  <si>
    <t>1000005915</t>
  </si>
  <si>
    <t>1000007742</t>
  </si>
  <si>
    <t>1000009936</t>
  </si>
  <si>
    <t>Jenny Shen</t>
  </si>
  <si>
    <t>Lena用于#4500125608-3600 PCS                                                                                                                                                                                   4500125610-5208 PCS                                                                                                                                                                                                                 4500150727-10008pcs</t>
  </si>
  <si>
    <t>4500134696-3000pcs</t>
  </si>
  <si>
    <t>1000003457</t>
  </si>
  <si>
    <t>邮件确认</t>
  </si>
  <si>
    <t>1000004072</t>
  </si>
  <si>
    <t>1000005916</t>
  </si>
  <si>
    <t>1000008224</t>
  </si>
  <si>
    <t>1000009939</t>
  </si>
  <si>
    <t>Camilla</t>
  </si>
  <si>
    <t>4500107905-4500pcs                                                                                                                                                                     4500107915-5400 PCS                                                                                                                                                                             4500116561-10008 pcs</t>
  </si>
  <si>
    <t>以色列</t>
  </si>
  <si>
    <t>4500118439-20628 pcs                                                                                                                                                                                           4500118449-7218 pcs                                                                                                                                                                                  4500118459-6750 PCS</t>
  </si>
  <si>
    <t>1000004073</t>
  </si>
  <si>
    <t>1000005917</t>
  </si>
  <si>
    <t>1000008225</t>
  </si>
  <si>
    <t>1000009937</t>
  </si>
  <si>
    <t>Andy#Morrison 4500126843-536 pcs                                                                                                                                                                       4500129564-504pcs                                                                                                                                                                                            4500129565-1172pcs</t>
  </si>
  <si>
    <t>1000005918</t>
  </si>
  <si>
    <t>1000008226</t>
  </si>
  <si>
    <t>1000009938</t>
  </si>
  <si>
    <t>Emma &amp; 4500109250-6000 PCS                                                                                                                                                                            4500124897-15000pcs                                                                                                                                                                                       4500127943-9000PCS</t>
  </si>
  <si>
    <t>阿拉伯</t>
  </si>
  <si>
    <t>按邮件</t>
  </si>
  <si>
    <t>1000004620</t>
  </si>
  <si>
    <t>1000005919</t>
  </si>
  <si>
    <t>1000008227</t>
  </si>
  <si>
    <t>1000009959</t>
  </si>
  <si>
    <t>Daisy</t>
  </si>
  <si>
    <t>@Willow      4500096964
             4500096965
             4500096966
             4500096967</t>
  </si>
  <si>
    <t>Emma &amp; 4500109250</t>
  </si>
  <si>
    <t>Effy 用于订单 4500128764 4500128765</t>
  </si>
  <si>
    <t>展示架</t>
  </si>
  <si>
    <t>邮件</t>
  </si>
  <si>
    <t>1000005955</t>
  </si>
  <si>
    <t>1000008629</t>
  </si>
  <si>
    <t>1000009960</t>
  </si>
  <si>
    <t>Effy 用于订单 4500097035 4500097036 4500097038</t>
  </si>
  <si>
    <t>1000004802</t>
  </si>
  <si>
    <t>1000005956</t>
  </si>
  <si>
    <t>1000008630</t>
  </si>
  <si>
    <t>1000009992</t>
  </si>
  <si>
    <t>@Effy                                                                                                                                                                                                                               4500070660                                                                                                                                                                                            4500070662                                                                                                                                                                                                                                                                           4500070663                                                                                                                                                                                                         4500070665                                                                                                                                                                                  4500070666                                                                                                                                                                                                                          4500070668                                                                                                                                                                                        4500070669</t>
  </si>
  <si>
    <t>@Crystal   4500095293  4500095306  4500095623  4500095638                                                                                                                                                                             @Sheba 4500096190  4500096191</t>
  </si>
  <si>
    <t>1000004803</t>
  </si>
  <si>
    <t>1000008631</t>
  </si>
  <si>
    <t>1000010017</t>
  </si>
  <si>
    <t>@Holly 4500070727 4500070728  4500071143 4500071144  4500071146</t>
  </si>
  <si>
    <t>Emma   4500097084 &amp; 4500101379</t>
  </si>
  <si>
    <t>1000004804</t>
  </si>
  <si>
    <t>1000006709</t>
  </si>
  <si>
    <t>1000008632</t>
  </si>
  <si>
    <t>1000010054</t>
  </si>
  <si>
    <t>@Willow       4500071872 4500072095 4500072901 4500072900</t>
  </si>
  <si>
    <t>2023/4/12</t>
  </si>
  <si>
    <t>Mona Yao</t>
  </si>
  <si>
    <t>Emma 4500094451 &amp; 4500116561</t>
  </si>
  <si>
    <t>1000006710</t>
  </si>
  <si>
    <t>1000006245</t>
  </si>
  <si>
    <t>1000008798</t>
  </si>
  <si>
    <t>1000010087</t>
  </si>
  <si>
    <t>@Effy 4500072546 4500072547 4500072548 4500072551 4500072552 4500072554 4500072555 4500072557 4500072560 4500072562 4500072567 4500072569 4500072571 4500072573  4500072564             4500072784</t>
  </si>
  <si>
    <t>4500115262&amp;4500115266&amp;4500115268&amp;4500115269&amp;4500115270</t>
  </si>
  <si>
    <t>1000003837</t>
  </si>
  <si>
    <t>1000005137</t>
  </si>
  <si>
    <t>1000006713</t>
  </si>
  <si>
    <t>1000006246</t>
  </si>
  <si>
    <t>1000009508</t>
  </si>
  <si>
    <t>1000010126</t>
  </si>
  <si>
    <t>@Holly 4500071147 4500071148                                                                                                                                                                       @Emily 4500073402</t>
  </si>
  <si>
    <t>1000003838</t>
  </si>
  <si>
    <t>1000004870</t>
  </si>
  <si>
    <t>1000006711</t>
  </si>
  <si>
    <t>1000006243</t>
  </si>
  <si>
    <t>1000009509</t>
  </si>
  <si>
    <t>1000003839</t>
  </si>
  <si>
    <t>1000004871</t>
  </si>
  <si>
    <t>1000006712</t>
  </si>
  <si>
    <r>
      <rPr>
        <sz val="12"/>
        <rFont val="宋体"/>
        <charset val="134"/>
      </rPr>
      <t>合计</t>
    </r>
    <r>
      <rPr>
        <sz val="12"/>
        <rFont val="宋体"/>
        <charset val="0"/>
      </rPr>
      <t>MA数量</t>
    </r>
  </si>
  <si>
    <t>1000006244</t>
  </si>
  <si>
    <t>1000009510</t>
  </si>
  <si>
    <t>4500126662&amp;4500126665&amp;4500126667&amp;4500126670&amp;4500126671&amp;4500126674</t>
  </si>
  <si>
    <t>1000003840</t>
  </si>
  <si>
    <t>1000005138</t>
  </si>
  <si>
    <t>1000007106</t>
  </si>
  <si>
    <t>訂單需求數</t>
  </si>
  <si>
    <t>1000009511</t>
  </si>
  <si>
    <t>1000010218</t>
  </si>
  <si>
    <t>@Sheba  ASDA&amp;TESCO UK订单  4500071735 4500071366  4500076393</t>
  </si>
  <si>
    <t>Effy用于订单 4500101177 4500101167 4500101167 4500101168 4500101168 4500101171 4500101209 4500101173 4500101175 4500101211 4500101211 4500101212 4500101629 4500101630</t>
  </si>
  <si>
    <t>Effy 用于订单 4500131138 4500130717</t>
  </si>
  <si>
    <t>1000005133</t>
  </si>
  <si>
    <t>1000007107</t>
  </si>
  <si>
    <t>樣板需求</t>
  </si>
  <si>
    <t>1000007408</t>
  </si>
  <si>
    <t>1000003918</t>
  </si>
  <si>
    <t>1000005134</t>
  </si>
  <si>
    <t>1000007108</t>
  </si>
  <si>
    <r>
      <rPr>
        <sz val="12"/>
        <rFont val="宋体"/>
        <charset val="0"/>
      </rPr>
      <t>MA</t>
    </r>
    <r>
      <rPr>
        <sz val="12"/>
        <rFont val="宋体"/>
        <charset val="134"/>
      </rPr>
      <t>庫存數</t>
    </r>
  </si>
  <si>
    <t>1000007409</t>
  </si>
  <si>
    <t>1000003919</t>
  </si>
  <si>
    <t>1000005135</t>
  </si>
  <si>
    <t>1000007109</t>
  </si>
  <si>
    <t>1000007410</t>
  </si>
  <si>
    <t>1000005136</t>
  </si>
  <si>
    <t>1000007110</t>
  </si>
  <si>
    <t>1000007807</t>
  </si>
  <si>
    <t>1000005139</t>
  </si>
  <si>
    <t>1000007111</t>
  </si>
  <si>
    <t>1000007808</t>
  </si>
  <si>
    <t>此批MA  600PCS展示架取消</t>
  </si>
  <si>
    <t>合计MA数量</t>
  </si>
  <si>
    <t>1000005140</t>
  </si>
  <si>
    <t>1000007385</t>
  </si>
  <si>
    <t>1000008238</t>
  </si>
  <si>
    <t>4500119703 &amp; 4500120115 &amp; 4500119650</t>
  </si>
  <si>
    <t>24年删除：</t>
  </si>
  <si>
    <t>1000003920</t>
  </si>
  <si>
    <t>1000005038</t>
  </si>
  <si>
    <t>1000007386</t>
  </si>
  <si>
    <t>1000008239</t>
  </si>
  <si>
    <t>Amy.yang</t>
  </si>
  <si>
    <t>Effy 用于订单 4500104848 4500104852 4500104853 4500104855 4500104857 4500104865 4500104867 4500104862 4500104858 4500104869 4500104873 4500104876 4500104880 4500104863 4500104883</t>
  </si>
  <si>
    <t>4500131413&amp;4500132827</t>
  </si>
  <si>
    <t>订单需求数</t>
  </si>
  <si>
    <t>1000003921</t>
  </si>
  <si>
    <t>1000005039</t>
  </si>
  <si>
    <t>1000007387</t>
  </si>
  <si>
    <t>1000008795</t>
  </si>
  <si>
    <t>根据实单订购</t>
  </si>
  <si>
    <t>1000010577</t>
  </si>
  <si>
    <t>Effy  4500074308 4500074317 4500074304 4500074311 4500074302 4500074309 4500074305 4500074313 4500074303 4500074310 4500074306 4500074314 4500076303 4500072573 4500074307 4500074316 4500076306</t>
  </si>
  <si>
    <t>Effy用于订单   4500099591 4500099594 4500099596 4500099597 4500099599 4500099600 4500099601 4500099603 4500099604 4500099605 4500099606 4500099607 4500098266 4500098297 4500098299 4500098298 4500098300 4500098301 4500098302 4500098303 4500098304 4500098306 4500098307</t>
  </si>
  <si>
    <t>MA库存数</t>
  </si>
  <si>
    <t>1000004068</t>
  </si>
  <si>
    <t>1000005141</t>
  </si>
  <si>
    <t>1000007388</t>
  </si>
  <si>
    <t>1000009248</t>
  </si>
  <si>
    <t>1000004069</t>
  </si>
  <si>
    <t>1000005120</t>
  </si>
  <si>
    <t>1000007389</t>
  </si>
  <si>
    <t>1000004070</t>
  </si>
  <si>
    <t>1000005121</t>
  </si>
  <si>
    <t>1000007390</t>
  </si>
  <si>
    <t>按接到实单</t>
  </si>
  <si>
    <t>1000004071</t>
  </si>
  <si>
    <t>1000005122</t>
  </si>
  <si>
    <t>1000004292</t>
  </si>
  <si>
    <t>1000005123</t>
  </si>
  <si>
    <t>1000007384</t>
  </si>
  <si>
    <t>4500131243-44604pcs</t>
  </si>
  <si>
    <t>1000004293</t>
  </si>
  <si>
    <t>1000005225</t>
  </si>
  <si>
    <t>1000007549</t>
  </si>
  <si>
    <r>
      <rPr>
        <sz val="12"/>
        <rFont val="宋体"/>
        <charset val="0"/>
      </rPr>
      <t>MA 1</t>
    </r>
    <r>
      <rPr>
        <sz val="12"/>
        <rFont val="宋体"/>
        <charset val="134"/>
      </rPr>
      <t>语收藏指南</t>
    </r>
  </si>
  <si>
    <r>
      <rPr>
        <sz val="12"/>
        <rFont val="宋体"/>
        <charset val="0"/>
      </rPr>
      <t>MA 3</t>
    </r>
    <r>
      <rPr>
        <sz val="12"/>
        <rFont val="宋体"/>
        <charset val="134"/>
      </rPr>
      <t>语收缩膜</t>
    </r>
  </si>
  <si>
    <r>
      <rPr>
        <sz val="12"/>
        <rFont val="宋体"/>
        <charset val="0"/>
      </rPr>
      <t>MA 3</t>
    </r>
    <r>
      <rPr>
        <sz val="12"/>
        <rFont val="宋体"/>
        <charset val="134"/>
      </rPr>
      <t>语收藏指南</t>
    </r>
  </si>
  <si>
    <t>4500068659 &amp; 4500079534</t>
  </si>
  <si>
    <t>Charine Chen</t>
  </si>
  <si>
    <t>Sainsbury #4500106652 
Sainsbury 待下订单 
Sainsbury待下订单 
TESCO UK #4500103560 
TESCO CE 4500100986 
ASDA 4500102493      4500108064 &amp;  4500109559</t>
  </si>
  <si>
    <t>Dona用于PO#4500135501-3600pcs                                                                                                                                                                       4500139972-3600pcs</t>
  </si>
  <si>
    <t>1000004294</t>
  </si>
  <si>
    <t>1000005226</t>
  </si>
  <si>
    <t>1000007662</t>
  </si>
  <si>
    <t>1000010777</t>
  </si>
  <si>
    <t xml:space="preserve"> Peggy Wu</t>
  </si>
  <si>
    <t>@Holly 4500071150 4500071776 4500076216</t>
  </si>
  <si>
    <t>4500121242 &amp; 4500121936 &amp; 4500122579 &amp; 4500122335 &amp; 4500122821</t>
  </si>
  <si>
    <t>Lillian用于AU Coles订单4500136107 -3500pcs                                                                                                                                                                   4500140993-1000PCS</t>
  </si>
  <si>
    <t>1000004295</t>
  </si>
  <si>
    <t>1000005227</t>
  </si>
  <si>
    <t>1000010804</t>
  </si>
  <si>
    <t xml:space="preserve">@Holly        4500071149  4500076212 4500076213 </t>
  </si>
  <si>
    <t>Effy 用于订单 4500137449 4500137452</t>
  </si>
  <si>
    <t>1000005228</t>
  </si>
  <si>
    <t>1000007749</t>
  </si>
  <si>
    <r>
      <rPr>
        <sz val="12"/>
        <rFont val="宋体"/>
        <charset val="0"/>
      </rPr>
      <t>MA 1</t>
    </r>
    <r>
      <rPr>
        <sz val="12"/>
        <rFont val="宋体"/>
        <charset val="134"/>
      </rPr>
      <t>语收缩膜</t>
    </r>
  </si>
  <si>
    <r>
      <rPr>
        <sz val="12"/>
        <color indexed="10"/>
        <rFont val="宋体"/>
        <charset val="0"/>
      </rPr>
      <t>MA 1</t>
    </r>
    <r>
      <rPr>
        <sz val="12"/>
        <color indexed="10"/>
        <rFont val="宋体"/>
        <charset val="134"/>
      </rPr>
      <t>语收藏指南</t>
    </r>
  </si>
  <si>
    <r>
      <rPr>
        <sz val="12"/>
        <color indexed="10"/>
        <rFont val="宋体"/>
        <charset val="0"/>
      </rPr>
      <t>MA 3</t>
    </r>
    <r>
      <rPr>
        <sz val="12"/>
        <color indexed="10"/>
        <rFont val="宋体"/>
        <charset val="134"/>
      </rPr>
      <t>语收藏指南</t>
    </r>
  </si>
  <si>
    <t>Emma</t>
  </si>
  <si>
    <t>4500134696-15000pcs</t>
  </si>
  <si>
    <t>1000004616</t>
  </si>
  <si>
    <t>1000005329</t>
  </si>
  <si>
    <t>1000007750</t>
  </si>
  <si>
    <t>1000010963</t>
  </si>
  <si>
    <t>Peggy</t>
  </si>
  <si>
    <t>@Tracy 4500076734 4500076825 4500076829 4500078589</t>
  </si>
  <si>
    <t>4500134696-2500pcs</t>
  </si>
  <si>
    <t>1000004617</t>
  </si>
  <si>
    <t>1000005330</t>
  </si>
  <si>
    <t>@Holly 4500071711 4500071778 4500076217</t>
  </si>
  <si>
    <t>1000004618</t>
  </si>
  <si>
    <t>1000005331</t>
  </si>
  <si>
    <t>1000007751</t>
  </si>
  <si>
    <t>1000011128</t>
  </si>
  <si>
    <t xml:space="preserve"> Lusi Li</t>
  </si>
  <si>
    <t>Effy            4500076290
4500076291
4500076292
4500076293
4500076294
4500076296
4500076297
4500076300
4500076301
4500076302
4500076304
4500076306
4500076308</t>
  </si>
  <si>
    <t>4500125113 &amp; 4500126843</t>
  </si>
  <si>
    <t>4500135277-437pcs                                                                                                                                                                                4500137175-793pcs</t>
  </si>
  <si>
    <t>1000004619</t>
  </si>
  <si>
    <t>1000005332</t>
  </si>
  <si>
    <t>1000007774</t>
  </si>
  <si>
    <t>Daisy.Li</t>
  </si>
  <si>
    <t>Effy用于订单   4500108084 4500108086 4500108086 4500108091 4500108087 4500108088 4500108092 4500108093 4500108090 4500108094</t>
  </si>
  <si>
    <t>1000005333</t>
  </si>
  <si>
    <t>1000007752</t>
  </si>
  <si>
    <t>1000005325</t>
  </si>
  <si>
    <t>1000005334</t>
  </si>
  <si>
    <t>1000008387</t>
  </si>
  <si>
    <t>1000005326</t>
  </si>
  <si>
    <t>1000005335</t>
  </si>
  <si>
    <t>1000008388</t>
  </si>
  <si>
    <t>4500128974&amp;4500128980</t>
  </si>
  <si>
    <t>1000005327</t>
  </si>
  <si>
    <t>1000005336</t>
  </si>
  <si>
    <t>1000008389</t>
  </si>
  <si>
    <t>Effy订单 4500130829 4500130832 4500128974</t>
  </si>
  <si>
    <t>1000005328</t>
  </si>
  <si>
    <t>1000005563</t>
  </si>
  <si>
    <t>1000008390</t>
  </si>
  <si>
    <t>4500138138 &amp; 4500139682 &amp; 4500139679</t>
  </si>
  <si>
    <t>1000005564</t>
  </si>
  <si>
    <t>1000008391</t>
  </si>
  <si>
    <t>1000011140</t>
  </si>
  <si>
    <t>Peggy Wu</t>
  </si>
  <si>
    <t>@Holly/Jaycee                                                                                                                                                                                            4500071710                                                                                                                                                                                                                  4500076220</t>
  </si>
  <si>
    <t>Amy : ROSSMANN 4500105374 : 8520 PCS
Amy : Rossmann  2016 pcs
Linda Smyths: 6852pcs;
Linda Zuru Germany: 4500106869: 4800pcs
Sandy: BOL.com 4500109185 792 pcs</t>
  </si>
  <si>
    <t>实单订购</t>
  </si>
  <si>
    <t>4500140587 &amp; 4500140592</t>
  </si>
  <si>
    <t>1000005565</t>
  </si>
  <si>
    <t>1000008392</t>
  </si>
  <si>
    <t>1000011240</t>
  </si>
  <si>
    <t>@Tracy                                                                                                                                                                                                                              4500076828                                                                                                                                                                                                           4500076509                                                                                                                                                                                            4500080268</t>
  </si>
  <si>
    <t>SHEBA</t>
  </si>
  <si>
    <t>4500131413&amp;4500132040</t>
  </si>
  <si>
    <t>Effy 用于订单 4500142641</t>
  </si>
  <si>
    <t>1000005566</t>
  </si>
  <si>
    <t>1000008623</t>
  </si>
  <si>
    <t>1000011245</t>
  </si>
  <si>
    <t>@Holly/Jaycee 4500076221</t>
  </si>
  <si>
    <t>EFFY</t>
  </si>
  <si>
    <t>4500108693 &amp; 4500110373</t>
  </si>
  <si>
    <t>4500129564 &amp; 4500129565</t>
  </si>
  <si>
    <t>1000005567</t>
  </si>
  <si>
    <t>1000008624</t>
  </si>
  <si>
    <t>Charine</t>
  </si>
  <si>
    <t>Lydia wu     4500081449</t>
  </si>
  <si>
    <t>Effy订单 4500133726</t>
  </si>
  <si>
    <t>1000005568</t>
  </si>
  <si>
    <t>1000008625</t>
  </si>
  <si>
    <t>@Sheba                                                                                                                                                                                             4500078502                                                                                                                                                                                 4500079430                                                                                                                                                                                                                4500080467                                                                                                                                                                                                                                4500081087                                                                                                                                                                                               4500082757                                                                                                                                                                                         4500082773</t>
  </si>
  <si>
    <t>1000005569</t>
  </si>
  <si>
    <t>1000008626</t>
  </si>
  <si>
    <t>1000005570</t>
  </si>
  <si>
    <t>1000008627</t>
  </si>
  <si>
    <t>1000011532</t>
  </si>
  <si>
    <t xml:space="preserve">@Tracy  4500084138                                                                                                                                                                                                                                    ,        4500085978 </t>
  </si>
  <si>
    <t>1000005749</t>
  </si>
  <si>
    <t>1000008628</t>
  </si>
  <si>
    <t>@Lydia Wu   4500083786</t>
  </si>
  <si>
    <t>1000005750</t>
  </si>
  <si>
    <t>1000008799</t>
  </si>
  <si>
    <t>@Eos  4500085181    4500088103</t>
  </si>
  <si>
    <t>4500142847 &amp; 4500142849 &amp; 4500142850</t>
  </si>
  <si>
    <t>1000005751</t>
  </si>
  <si>
    <t>1000011754</t>
  </si>
  <si>
    <t>Lusi Li</t>
  </si>
  <si>
    <t>@Willow  4500079255</t>
  </si>
  <si>
    <t>4500111433 &amp; 4500111831</t>
  </si>
  <si>
    <t>Lillian用于Coles PO#4500143030</t>
  </si>
  <si>
    <t>1000005752</t>
  </si>
  <si>
    <t>1000008800</t>
  </si>
  <si>
    <t xml:space="preserve">@Tracy  4500085183   </t>
  </si>
  <si>
    <t>1000005753</t>
  </si>
  <si>
    <t>1000009128</t>
  </si>
  <si>
    <t>1000011859</t>
  </si>
  <si>
    <t>@Holly/Jaycee 4500085184</t>
  </si>
  <si>
    <t>1000005754</t>
  </si>
  <si>
    <t>1000009129</t>
  </si>
  <si>
    <t>Effy用于订单  4500116820</t>
  </si>
  <si>
    <t>1000005755</t>
  </si>
  <si>
    <t>1000009131</t>
  </si>
  <si>
    <t>Effy订单 4500137413 4500137418</t>
  </si>
  <si>
    <t>1000005756</t>
  </si>
  <si>
    <t>1000009512</t>
  </si>
  <si>
    <t>4500135277                                                                                                                                                                                    4500135496</t>
  </si>
  <si>
    <t>1000005961</t>
  </si>
  <si>
    <t>1000009513</t>
  </si>
  <si>
    <t>1000005962</t>
  </si>
  <si>
    <t>1000009930</t>
  </si>
  <si>
    <t>1000005963</t>
  </si>
  <si>
    <t>1000009931</t>
  </si>
  <si>
    <t>1000011953</t>
  </si>
  <si>
    <t>@Holly/Jaycee 4500085185</t>
  </si>
  <si>
    <t>Jenny</t>
  </si>
  <si>
    <t>Daisy用于ASDA#4500116051-936pcs#4500117981-750pcs；TESCO#4500114513-752pcs #4500115216-768pcs ；Morrison#4500113547 -635pcs</t>
  </si>
  <si>
    <t>1000005964</t>
  </si>
  <si>
    <t>1000009932</t>
  </si>
  <si>
    <t>1000012044</t>
  </si>
  <si>
    <t>@Holly/Jaycee 4500086336</t>
  </si>
  <si>
    <t>1000005965</t>
  </si>
  <si>
    <t>1000009933</t>
  </si>
  <si>
    <t>@Kali Chen    4500086990</t>
  </si>
  <si>
    <t>1000005966</t>
  </si>
  <si>
    <t>1000009934</t>
  </si>
  <si>
    <t>1000012109</t>
  </si>
  <si>
    <t>Charine,</t>
  </si>
  <si>
    <t>@Lydia Wu   4500086522</t>
  </si>
  <si>
    <t>4500150450：4500150141</t>
  </si>
  <si>
    <t>4500139679 &amp; 4500140587 &amp; 4500140592</t>
  </si>
  <si>
    <t>4500151646：4500152538</t>
  </si>
  <si>
    <t>1000005967</t>
  </si>
  <si>
    <t>Effy订单 4500142634</t>
  </si>
  <si>
    <t>1000006250</t>
  </si>
  <si>
    <t>1000012181</t>
  </si>
  <si>
    <t>@Holly/Jaycee 4500086338  Kroger 4500088264</t>
  </si>
  <si>
    <t>1000006251</t>
  </si>
  <si>
    <t>1000012426</t>
  </si>
  <si>
    <t>@Holly/Jaycee 4500086339 /Kroger/Fredmeyer 4500090599   134PCS</t>
  </si>
  <si>
    <t>Daisy用于#4500118933-900pcs；#4500119703-432pcs；#4500120115-423pcs；#4500121395-1145pcs；#4500121936-423pcs；#4500122335-423pcs；#4500119761-768pcs；Cindy#4500119990-750pcs</t>
  </si>
  <si>
    <t>1000006252</t>
  </si>
  <si>
    <t>1000012462</t>
  </si>
  <si>
    <t xml:space="preserve">Daisy.Li </t>
  </si>
  <si>
    <t>Effy 45000905174500090519 4500090513 4500090514 4500090515 4500090516 4500090518 4500090512 4500089567 4500089568 4500089569 4500089570  4500089572 4500089573 4500089574 4500089575 4500089576 4500089577 4500089579 4500089580 4500089581 4500089582</t>
  </si>
  <si>
    <t>1000006253</t>
  </si>
  <si>
    <t>4500122821 &amp;  4500124969</t>
  </si>
  <si>
    <t>1000006254</t>
  </si>
  <si>
    <t>1000006496</t>
  </si>
  <si>
    <t>1000006497</t>
  </si>
  <si>
    <t>4500151635 &amp; 4500152261 &amp; 4500149669</t>
  </si>
  <si>
    <t>1000006498</t>
  </si>
  <si>
    <r>
      <rPr>
        <sz val="12"/>
        <rFont val="宋体"/>
        <charset val="0"/>
      </rPr>
      <t xml:space="preserve">Nicole </t>
    </r>
    <r>
      <rPr>
        <sz val="10"/>
        <rFont val="宋体"/>
        <charset val="0"/>
      </rPr>
      <t>用于订单4500161864及后续订单消耗 Nicole 用于订单4500164434</t>
    </r>
  </si>
  <si>
    <t>1000006499</t>
  </si>
  <si>
    <t>Mona</t>
  </si>
  <si>
    <t>1000006500</t>
  </si>
  <si>
    <t>MA庫存數</t>
  </si>
  <si>
    <t>1000012649</t>
  </si>
  <si>
    <t xml:space="preserve">@Holly/Jaycee 4500086340/4500086341/4500086342 </t>
  </si>
  <si>
    <t>4500162932 &amp; 4500162042 &amp; 4500161772</t>
  </si>
  <si>
    <t>1000006501</t>
  </si>
  <si>
    <t xml:space="preserve">Charine  </t>
  </si>
  <si>
    <t>Sherry lu'4500089787</t>
  </si>
  <si>
    <t>1000006502</t>
  </si>
  <si>
    <t>MA 3语收藏指南</t>
  </si>
  <si>
    <r>
      <rPr>
        <sz val="12"/>
        <rFont val="宋体"/>
        <charset val="0"/>
      </rPr>
      <t>9237SQ1
PDQ</t>
    </r>
    <r>
      <rPr>
        <sz val="12"/>
        <rFont val="宋体"/>
        <charset val="134"/>
      </rPr>
      <t>盒</t>
    </r>
    <r>
      <rPr>
        <sz val="12"/>
        <rFont val="宋体"/>
        <charset val="0"/>
      </rPr>
      <t xml:space="preserve">
1L</t>
    </r>
    <r>
      <rPr>
        <sz val="12"/>
        <rFont val="宋体"/>
        <charset val="134"/>
      </rPr>
      <t>版本</t>
    </r>
  </si>
  <si>
    <r>
      <rPr>
        <sz val="12"/>
        <rFont val="宋体"/>
        <charset val="0"/>
      </rPr>
      <t>9237SQ1
PDQ</t>
    </r>
    <r>
      <rPr>
        <sz val="12"/>
        <rFont val="宋体"/>
        <charset val="134"/>
      </rPr>
      <t>盒</t>
    </r>
    <r>
      <rPr>
        <sz val="12"/>
        <rFont val="宋体"/>
        <charset val="0"/>
      </rPr>
      <t xml:space="preserve">
3L版本</t>
    </r>
  </si>
  <si>
    <r>
      <rPr>
        <sz val="12"/>
        <color indexed="10"/>
        <rFont val="宋体"/>
        <charset val="0"/>
      </rPr>
      <t xml:space="preserve">9237UQ1
</t>
    </r>
    <r>
      <rPr>
        <sz val="12"/>
        <color indexed="10"/>
        <rFont val="宋体"/>
        <charset val="134"/>
      </rPr>
      <t>客版</t>
    </r>
    <r>
      <rPr>
        <sz val="12"/>
        <color indexed="10"/>
        <rFont val="宋体"/>
        <charset val="0"/>
      </rPr>
      <t>PDQ
WM</t>
    </r>
    <r>
      <rPr>
        <sz val="12"/>
        <color indexed="10"/>
        <rFont val="宋体"/>
        <charset val="134"/>
      </rPr>
      <t>专用</t>
    </r>
  </si>
  <si>
    <r>
      <rPr>
        <sz val="12"/>
        <rFont val="宋体"/>
        <charset val="0"/>
      </rPr>
      <t xml:space="preserve">9237EC
</t>
    </r>
    <r>
      <rPr>
        <sz val="12"/>
        <rFont val="宋体"/>
        <charset val="134"/>
      </rPr>
      <t>展示架</t>
    </r>
  </si>
  <si>
    <t>1000012860</t>
  </si>
  <si>
    <t>@Holly/Jaycee 4500086343</t>
  </si>
  <si>
    <t>1000006503</t>
  </si>
  <si>
    <t>Nicole 用于订单4500164434</t>
  </si>
  <si>
    <t>1000006719</t>
  </si>
  <si>
    <t>1000006721</t>
  </si>
  <si>
    <t>1000006722</t>
  </si>
  <si>
    <t>@Holly/Jaycee  4500095189=4500095910(400pcs)</t>
  </si>
  <si>
    <t>1000006723</t>
  </si>
  <si>
    <t>4500152775 &amp; 4500152538</t>
  </si>
  <si>
    <t>1000006724</t>
  </si>
  <si>
    <t>1000007102</t>
  </si>
  <si>
    <t>1000013245</t>
  </si>
  <si>
    <t>Effy  4500095594 4500095592 4500095595 4500095587 4500095589 45000955834500095590</t>
  </si>
  <si>
    <t>1000007103</t>
  </si>
  <si>
    <t>@Holly/Jaycee 4500095910</t>
  </si>
  <si>
    <t>1000007104</t>
  </si>
  <si>
    <t>1000007105</t>
  </si>
  <si>
    <t>1000007418</t>
  </si>
  <si>
    <t>4500135747-600pcs</t>
  </si>
  <si>
    <t>1000007416</t>
  </si>
  <si>
    <t>4500139161-4008pcs                                                                                                                                                                          4500140673-1200pcs                                                                                                                                                                         4500141500-1500pcs                                                                                                                                                                                                                             4500141487-5004pcs</t>
  </si>
  <si>
    <t>1000027749</t>
  </si>
  <si>
    <t>Cora用于4500163516  4500164512</t>
  </si>
  <si>
    <t>1000007417</t>
  </si>
  <si>
    <t>100000749</t>
  </si>
  <si>
    <t>Effy订单 4500156208 4500156556</t>
  </si>
  <si>
    <t>Effy订单 4500159032</t>
  </si>
  <si>
    <r>
      <rPr>
        <sz val="10"/>
        <rFont val="Calibri"/>
        <charset val="0"/>
      </rPr>
      <t>Effy</t>
    </r>
    <r>
      <rPr>
        <sz val="10"/>
        <rFont val="宋体"/>
        <charset val="0"/>
      </rPr>
      <t>订单</t>
    </r>
    <r>
      <rPr>
        <sz val="10"/>
        <rFont val="Calibri"/>
        <charset val="0"/>
      </rPr>
      <t xml:space="preserve"> 4500159919</t>
    </r>
  </si>
  <si>
    <t>1000007819</t>
  </si>
  <si>
    <t>4500155167&amp;4500155227</t>
  </si>
  <si>
    <t>1000007766</t>
  </si>
  <si>
    <t>1000007767</t>
  </si>
  <si>
    <t>4500159670 &amp; 4500159839 &amp; 4500160598</t>
  </si>
  <si>
    <t>1000008240</t>
  </si>
  <si>
    <t>4500159461&amp;4500159526&amp;4500159511</t>
  </si>
  <si>
    <t>1000008241</t>
  </si>
  <si>
    <t>1000008242</t>
  </si>
  <si>
    <t>Nellie 用于订单4500159427</t>
  </si>
  <si>
    <t>1000008243</t>
  </si>
  <si>
    <t>1000008618</t>
  </si>
  <si>
    <t>1000008619</t>
  </si>
  <si>
    <t xml:space="preserve">Jessi Xu'4500119266 /4500119295 </t>
  </si>
  <si>
    <t>1000008620</t>
  </si>
  <si>
    <t>1000008621</t>
  </si>
  <si>
    <t>Effy订单 4500161382</t>
  </si>
  <si>
    <t>1000008622</t>
  </si>
  <si>
    <t>4500160901 &amp; 4500162070 &amp; 4500161772</t>
  </si>
  <si>
    <t>2022年删除数：</t>
  </si>
  <si>
    <t>4500162543 &amp; 4500162573 &amp; 4500162577 &amp; 4500162579 &amp; 4500162586 &amp; 4500162590</t>
  </si>
  <si>
    <t>4500161360 &amp; 4500160038</t>
  </si>
  <si>
    <t>1000008796</t>
  </si>
  <si>
    <t>2024年删除数：</t>
  </si>
  <si>
    <t>1000008797</t>
  </si>
  <si>
    <t>1000009249</t>
  </si>
  <si>
    <t>1000009123</t>
  </si>
  <si>
    <t>4500163542 &amp; 4500164068 &amp; 4500164499</t>
  </si>
  <si>
    <t>1000009122</t>
  </si>
  <si>
    <t>1000009124</t>
  </si>
  <si>
    <t>1000009125</t>
  </si>
  <si>
    <t>1000009426</t>
  </si>
  <si>
    <t>1000009427</t>
  </si>
  <si>
    <t>1000009428</t>
  </si>
  <si>
    <t>4500163957 &amp; 4500163961</t>
  </si>
  <si>
    <t>20221/17</t>
  </si>
  <si>
    <t>100000507</t>
  </si>
  <si>
    <t>Cora用于4500164512-1000PCS，4500163516-1000PCS</t>
  </si>
  <si>
    <t>4500161780+4500159668+4500166375</t>
  </si>
  <si>
    <t>4500168661 &amp; 4500168930 &amp; 4500168934</t>
  </si>
  <si>
    <t>Chelsea用于订单4500169407，
剩余用于KMART后续订单消耗</t>
  </si>
  <si>
    <t>324pcs 用于订单4500173241  消耗；剩余底托库存待后续来单继续消耗。</t>
  </si>
  <si>
    <r>
      <rPr>
        <sz val="12"/>
        <color rgb="FFFF0000"/>
        <rFont val="宋体"/>
        <charset val="0"/>
      </rPr>
      <t>Effy</t>
    </r>
    <r>
      <rPr>
        <sz val="10"/>
        <color rgb="FF000000"/>
        <rFont val="微软雅黑"/>
        <charset val="134"/>
      </rPr>
      <t>订单</t>
    </r>
    <r>
      <rPr>
        <sz val="10"/>
        <color rgb="FF000000"/>
        <rFont val="Calibri"/>
        <charset val="134"/>
      </rPr>
      <t> </t>
    </r>
    <r>
      <rPr>
        <sz val="10"/>
        <color rgb="FF000000"/>
        <rFont val="Calibri"/>
        <charset val="134"/>
      </rPr>
      <t>4500175910/4500175947</t>
    </r>
  </si>
  <si>
    <t xml:space="preserve"> Effy用于订单4500178282</t>
  </si>
  <si>
    <t>Talia</t>
  </si>
  <si>
    <t>已完成订单需求</t>
  </si>
  <si>
    <t>待生产订单需求</t>
  </si>
  <si>
    <t>客版膜&amp;说明书</t>
  </si>
  <si>
    <r>
      <rPr>
        <b/>
        <sz val="14"/>
        <rFont val="Arial"/>
        <charset val="0"/>
      </rPr>
      <t>ZURU  Babycorns  Surprise  - S1 #92107  92108  MA</t>
    </r>
    <r>
      <rPr>
        <b/>
        <sz val="14"/>
        <rFont val="宋体"/>
        <charset val="0"/>
      </rPr>
      <t>包裝扣数表</t>
    </r>
  </si>
  <si>
    <t>包材</t>
  </si>
  <si>
    <t>版本</t>
  </si>
  <si>
    <t>ZURU跟进负责人员</t>
  </si>
  <si>
    <t>外收縮膜</t>
  </si>
  <si>
    <t>内收缩膜</t>
  </si>
  <si>
    <t>阅读卡 5L A版</t>
  </si>
  <si>
    <t>阅读卡 5L B版</t>
  </si>
  <si>
    <t>92107F</t>
  </si>
  <si>
    <t>客版阅读卡</t>
  </si>
  <si>
    <t>MA 1L
A版本</t>
  </si>
  <si>
    <t>MA 1L
B版本</t>
  </si>
  <si>
    <t>MA 3L
A版本</t>
  </si>
  <si>
    <t>MA 3L
B版本</t>
  </si>
  <si>
    <t>1L/3l共用 MA</t>
  </si>
  <si>
    <t>MA 5L
A版本</t>
  </si>
  <si>
    <t>MA 5L
B版本</t>
  </si>
  <si>
    <t>kitten小猫</t>
  </si>
  <si>
    <t>out Shrink Wrap</t>
  </si>
  <si>
    <t>1L</t>
  </si>
  <si>
    <t>Doris xiao</t>
  </si>
  <si>
    <t>首次放订，待设计签样后方可采购</t>
  </si>
  <si>
    <t>Inner shrink film</t>
  </si>
  <si>
    <t>Collector guide</t>
  </si>
  <si>
    <t>5L(警告语9L）</t>
  </si>
  <si>
    <t>Butterfly 蝴蝶Library card</t>
  </si>
  <si>
    <t>5L</t>
  </si>
  <si>
    <t>Ladybug瓢虫 Library card</t>
  </si>
  <si>
    <t>Giraffe长颈鹿Library card</t>
  </si>
  <si>
    <t xml:space="preserve"> Elephant大象 Library card</t>
  </si>
  <si>
    <t>bunny兔子Library card</t>
  </si>
  <si>
    <t>unicorn独角兽Library card</t>
  </si>
  <si>
    <t xml:space="preserve"> kitten小猫 Library card</t>
  </si>
  <si>
    <t>puppy斑点狗Library card</t>
  </si>
  <si>
    <t>3L</t>
  </si>
  <si>
    <t>Shrink Wrap</t>
  </si>
  <si>
    <t>Lena用于#4500125608/4500125610/4500125611</t>
  </si>
  <si>
    <r>
      <rPr>
        <sz val="10"/>
        <rFont val="宋体"/>
        <charset val="134"/>
      </rPr>
      <t>5L(</t>
    </r>
    <r>
      <rPr>
        <sz val="11"/>
        <rFont val="宋体"/>
        <charset val="134"/>
      </rPr>
      <t>警告语</t>
    </r>
    <r>
      <rPr>
        <sz val="11"/>
        <rFont val="Calibri"/>
        <charset val="0"/>
      </rPr>
      <t>9L</t>
    </r>
    <r>
      <rPr>
        <sz val="11"/>
        <rFont val="宋体"/>
        <charset val="134"/>
      </rPr>
      <t>）</t>
    </r>
  </si>
  <si>
    <t>Dona</t>
  </si>
  <si>
    <t>Dona用于订单4500140818</t>
  </si>
  <si>
    <t xml:space="preserve">Dona用于订单4500140818    </t>
  </si>
  <si>
    <t>92107</t>
  </si>
  <si>
    <t>4500143236 &amp;  4500143261 &amp; 4500143263</t>
  </si>
  <si>
    <t>Nicole Yao</t>
  </si>
  <si>
    <t>4500167322
4500167327
4500170454</t>
  </si>
  <si>
    <t>Emily</t>
  </si>
  <si>
    <t>Lizzy</t>
  </si>
  <si>
    <r>
      <rPr>
        <sz val="10"/>
        <rFont val="宋体"/>
        <charset val="134"/>
      </rPr>
      <t>合计MA数量</t>
    </r>
  </si>
  <si>
    <t>接单数量</t>
  </si>
  <si>
    <r>
      <rPr>
        <sz val="10"/>
        <rFont val="Arial"/>
        <charset val="0"/>
      </rPr>
      <t>MA</t>
    </r>
    <r>
      <rPr>
        <sz val="10"/>
        <rFont val="宋体"/>
        <charset val="0"/>
      </rPr>
      <t>库存数</t>
    </r>
  </si>
  <si>
    <t>50万</t>
  </si>
  <si>
    <t>31万</t>
  </si>
  <si>
    <t>多1.1万</t>
  </si>
  <si>
    <t>更改原因:  因现有大货个别机触摸感应太灵敏导致异常，经客人确认需要更改PCBA板。</t>
  </si>
  <si>
    <t>用新的PCBA板：R2电阻改为0402/4.7R，触摸线改短5MM变成45MM</t>
  </si>
  <si>
    <t>MA NO.</t>
  </si>
  <si>
    <r>
      <rPr>
        <b/>
        <sz val="10"/>
        <color indexed="9"/>
        <rFont val="Tahoma"/>
        <charset val="0"/>
      </rPr>
      <t>子件名称</t>
    </r>
    <r>
      <rPr>
        <b/>
        <sz val="10"/>
        <color indexed="9"/>
        <rFont val="Times New Roman"/>
        <charset val="0"/>
      </rPr>
      <t>Description</t>
    </r>
  </si>
  <si>
    <r>
      <rPr>
        <b/>
        <sz val="10"/>
        <color indexed="9"/>
        <rFont val="Tahoma"/>
        <charset val="0"/>
      </rPr>
      <t>规格</t>
    </r>
    <r>
      <rPr>
        <b/>
        <sz val="10"/>
        <color indexed="9"/>
        <rFont val="Times New Roman"/>
        <charset val="0"/>
      </rPr>
      <t>(Specification)</t>
    </r>
  </si>
  <si>
    <r>
      <rPr>
        <b/>
        <sz val="10"/>
        <color theme="0"/>
        <rFont val="Times New Roman"/>
        <charset val="0"/>
      </rPr>
      <t xml:space="preserve"> </t>
    </r>
    <r>
      <rPr>
        <b/>
        <sz val="10"/>
        <color indexed="9"/>
        <rFont val="Tahoma"/>
        <charset val="0"/>
      </rPr>
      <t>供应商（</t>
    </r>
    <r>
      <rPr>
        <b/>
        <sz val="10"/>
        <color indexed="9"/>
        <rFont val="Times New Roman"/>
        <charset val="0"/>
      </rPr>
      <t>Supplier</t>
    </r>
    <r>
      <rPr>
        <b/>
        <sz val="10"/>
        <color indexed="9"/>
        <rFont val="宋体"/>
        <charset val="134"/>
      </rPr>
      <t>）</t>
    </r>
  </si>
  <si>
    <r>
      <rPr>
        <b/>
        <sz val="10"/>
        <color indexed="9"/>
        <rFont val="Tahoma"/>
        <charset val="0"/>
      </rPr>
      <t>单价</t>
    </r>
  </si>
  <si>
    <t>L/T</t>
  </si>
  <si>
    <t>MA_RR_974</t>
  </si>
  <si>
    <t>MA_RR_1019</t>
  </si>
  <si>
    <t>MA_RR_1049</t>
  </si>
  <si>
    <t>MA_RR_1075</t>
  </si>
  <si>
    <t>MA_RR_1134</t>
  </si>
  <si>
    <t>MA_RR_1153</t>
  </si>
  <si>
    <t>MA_RR_1177</t>
  </si>
  <si>
    <t>MA_RR_1460</t>
  </si>
  <si>
    <t>MA_RR_1696</t>
  </si>
  <si>
    <t>Ordered Date</t>
  </si>
  <si>
    <t>Required Delivery Date</t>
  </si>
  <si>
    <r>
      <rPr>
        <b/>
        <sz val="10"/>
        <color indexed="10"/>
        <rFont val="宋体"/>
        <charset val="134"/>
      </rPr>
      <t>供应商回复货期</t>
    </r>
  </si>
  <si>
    <t>92108# Baby Corns IC</t>
  </si>
  <si>
    <r>
      <rPr>
        <sz val="10"/>
        <rFont val="微软雅黑"/>
        <charset val="134"/>
      </rPr>
      <t>霍尔</t>
    </r>
    <r>
      <rPr>
        <sz val="10"/>
        <rFont val="Times New Roman"/>
        <charset val="0"/>
      </rPr>
      <t>(</t>
    </r>
    <r>
      <rPr>
        <sz val="10"/>
        <rFont val="宋体"/>
        <charset val="134"/>
      </rPr>
      <t>磁控</t>
    </r>
    <r>
      <rPr>
        <sz val="10"/>
        <rFont val="Times New Roman"/>
        <charset val="0"/>
      </rPr>
      <t>PCB</t>
    </r>
    <r>
      <rPr>
        <sz val="10"/>
        <rFont val="宋体"/>
        <charset val="134"/>
      </rPr>
      <t>）</t>
    </r>
  </si>
  <si>
    <r>
      <rPr>
        <sz val="10"/>
        <rFont val="Arial"/>
        <charset val="0"/>
      </rPr>
      <t>无极性高灵敏度霍尔</t>
    </r>
    <r>
      <rPr>
        <sz val="10"/>
        <rFont val="Times New Roman"/>
        <charset val="0"/>
      </rPr>
      <t xml:space="preserve"> MH261AA  SOT-23 </t>
    </r>
  </si>
  <si>
    <r>
      <rPr>
        <sz val="10"/>
        <rFont val="Arial"/>
        <charset val="0"/>
      </rPr>
      <t>深圳市铭华微科技有限公司</t>
    </r>
  </si>
  <si>
    <r>
      <rPr>
        <sz val="10"/>
        <color indexed="10"/>
        <rFont val="微软雅黑"/>
        <charset val="134"/>
      </rPr>
      <t>贴片语音</t>
    </r>
    <r>
      <rPr>
        <sz val="10"/>
        <color indexed="10"/>
        <rFont val="Times New Roman"/>
        <charset val="0"/>
      </rPr>
      <t>IC</t>
    </r>
    <r>
      <rPr>
        <sz val="10"/>
        <color indexed="10"/>
        <rFont val="宋体"/>
        <charset val="134"/>
      </rPr>
      <t>（主</t>
    </r>
    <r>
      <rPr>
        <sz val="10"/>
        <color indexed="10"/>
        <rFont val="Times New Roman"/>
        <charset val="0"/>
      </rPr>
      <t>PCB</t>
    </r>
    <r>
      <rPr>
        <sz val="10"/>
        <color indexed="10"/>
        <rFont val="宋体"/>
        <charset val="134"/>
      </rPr>
      <t>）</t>
    </r>
  </si>
  <si>
    <t>CST2307108-7F  SMD SOP-16</t>
  </si>
  <si>
    <r>
      <rPr>
        <sz val="10"/>
        <rFont val="Arial"/>
        <charset val="0"/>
      </rPr>
      <t>深圳市矽源特科技有限公司</t>
    </r>
  </si>
  <si>
    <r>
      <rPr>
        <sz val="10"/>
        <rFont val="微软雅黑"/>
        <charset val="134"/>
      </rPr>
      <t>触摸</t>
    </r>
    <r>
      <rPr>
        <sz val="10"/>
        <rFont val="Times New Roman"/>
        <charset val="0"/>
      </rPr>
      <t>IC</t>
    </r>
    <r>
      <rPr>
        <sz val="10"/>
        <rFont val="宋体"/>
        <charset val="134"/>
      </rPr>
      <t>（主</t>
    </r>
    <r>
      <rPr>
        <sz val="10"/>
        <rFont val="Times New Roman"/>
        <charset val="0"/>
      </rPr>
      <t>PCB</t>
    </r>
    <r>
      <rPr>
        <sz val="10"/>
        <rFont val="宋体"/>
        <charset val="134"/>
      </rPr>
      <t>）</t>
    </r>
  </si>
  <si>
    <r>
      <rPr>
        <sz val="10"/>
        <rFont val="微软雅黑"/>
        <charset val="134"/>
      </rPr>
      <t>贴片</t>
    </r>
    <r>
      <rPr>
        <sz val="10"/>
        <rFont val="Times New Roman"/>
        <charset val="0"/>
      </rPr>
      <t xml:space="preserve"> MH233B SOT23-6</t>
    </r>
  </si>
  <si>
    <r>
      <rPr>
        <sz val="10"/>
        <rFont val="微软雅黑"/>
        <charset val="134"/>
      </rPr>
      <t>共阳极</t>
    </r>
    <r>
      <rPr>
        <sz val="10"/>
        <rFont val="Times New Roman"/>
        <charset val="0"/>
      </rPr>
      <t>RGB</t>
    </r>
    <r>
      <rPr>
        <sz val="10"/>
        <rFont val="微软雅黑"/>
        <charset val="134"/>
      </rPr>
      <t>灯</t>
    </r>
    <r>
      <rPr>
        <sz val="10"/>
        <rFont val="宋体"/>
        <charset val="134"/>
      </rPr>
      <t>（主</t>
    </r>
    <r>
      <rPr>
        <sz val="10"/>
        <rFont val="Times New Roman"/>
        <charset val="0"/>
      </rPr>
      <t>PCB</t>
    </r>
    <r>
      <rPr>
        <sz val="10"/>
        <rFont val="宋体"/>
        <charset val="134"/>
      </rPr>
      <t>）</t>
    </r>
  </si>
  <si>
    <r>
      <rPr>
        <sz val="10"/>
        <rFont val="Times New Roman"/>
        <charset val="0"/>
      </rPr>
      <t xml:space="preserve">FY-F5RGBY1-DMXW  DIP </t>
    </r>
    <r>
      <rPr>
        <sz val="10"/>
        <rFont val="Arial"/>
        <charset val="0"/>
      </rPr>
      <t>（</t>
    </r>
    <r>
      <rPr>
        <sz val="10"/>
        <rFont val="Times New Roman"/>
        <charset val="0"/>
      </rPr>
      <t>4</t>
    </r>
    <r>
      <rPr>
        <sz val="10"/>
        <rFont val="Arial"/>
        <charset val="0"/>
      </rPr>
      <t>个脚）</t>
    </r>
  </si>
  <si>
    <r>
      <rPr>
        <sz val="10"/>
        <rFont val="Arial"/>
        <charset val="0"/>
      </rPr>
      <t>东莞市福圆电子科技有限公司</t>
    </r>
  </si>
  <si>
    <t>Sum</t>
  </si>
  <si>
    <t>小PO号</t>
  </si>
  <si>
    <t>取消时间</t>
  </si>
  <si>
    <t>是否有物料产生</t>
  </si>
  <si>
    <t>消耗明细</t>
  </si>
  <si>
    <t>纸箱滞留（消耗后）</t>
  </si>
  <si>
    <t>成品滞留（消耗后）</t>
  </si>
  <si>
    <t>SHINE S.A.</t>
  </si>
  <si>
    <t>20-9259-S001</t>
  </si>
  <si>
    <t>11/10 取消订单</t>
  </si>
  <si>
    <t>此单成品物料消耗在4500087186/85640这两单中</t>
  </si>
  <si>
    <t>0086-8715403-0581</t>
  </si>
  <si>
    <t>4500086343-20</t>
  </si>
  <si>
    <t>9259SQ1-S001-1</t>
  </si>
  <si>
    <t>9259TQ3-S001</t>
  </si>
  <si>
    <t>猫蛋PDQ</t>
  </si>
  <si>
    <t>1/30取消订单</t>
  </si>
  <si>
    <t>Amazon DE</t>
  </si>
  <si>
    <t>8Z199LIE</t>
  </si>
  <si>
    <t>4500095358-80</t>
  </si>
  <si>
    <t>9237E-S001</t>
  </si>
  <si>
    <t>狗蛋</t>
  </si>
  <si>
    <t>取消订单</t>
  </si>
  <si>
    <t>未混装</t>
  </si>
  <si>
    <t>北美洲</t>
  </si>
  <si>
    <t>AKMRH-A</t>
  </si>
  <si>
    <t>4500094129-40</t>
  </si>
  <si>
    <t>GIFI DIFFUSION SAS</t>
  </si>
  <si>
    <t>CHI0223109</t>
  </si>
  <si>
    <t>4500096384-10</t>
  </si>
  <si>
    <t>4月14日前准备3套production sample 寄往GIFI香港办公室</t>
  </si>
  <si>
    <t>4/26取消订单</t>
  </si>
  <si>
    <t>4500098917-40</t>
  </si>
  <si>
    <t>9259SLB-S001</t>
  </si>
  <si>
    <t>猫蛋卡板装</t>
  </si>
  <si>
    <t>5/6取消订单</t>
  </si>
  <si>
    <t>BIG LOTS STORES, INC</t>
  </si>
  <si>
    <t>4500096669-10</t>
  </si>
  <si>
    <t>Amazon
DE27522FJV</t>
  </si>
  <si>
    <t>4500106695-150</t>
  </si>
  <si>
    <t>9259B-S001-3L</t>
  </si>
  <si>
    <t>9259B-S001</t>
  </si>
  <si>
    <t>取消</t>
  </si>
  <si>
    <t>Amazon
DE2ZHZDNBS</t>
  </si>
  <si>
    <t>4500106695-170</t>
  </si>
  <si>
    <t>9259E-S001-3L</t>
  </si>
  <si>
    <t>9259E-S001</t>
  </si>
  <si>
    <t>Amazon
UK6FU9EM6O</t>
  </si>
  <si>
    <t>4500106695-210</t>
  </si>
  <si>
    <t>MO05250024</t>
  </si>
  <si>
    <t>MO05250024-20</t>
  </si>
  <si>
    <t xml:space="preserve">7/6取消 </t>
  </si>
  <si>
    <t>4500111177-30</t>
  </si>
  <si>
    <t>4500106533-20</t>
  </si>
  <si>
    <t>9/12取消订单</t>
  </si>
  <si>
    <t>MO20230828</t>
  </si>
  <si>
    <t>9/18取消</t>
  </si>
  <si>
    <t>4500113789-30</t>
  </si>
  <si>
    <t>9298-S002</t>
  </si>
  <si>
    <t>4500113788-30</t>
  </si>
  <si>
    <t>Loblaws INC.</t>
  </si>
  <si>
    <t>4864171114 61</t>
  </si>
  <si>
    <t>4500118800-10</t>
  </si>
  <si>
    <t>暂停备料，等通知</t>
  </si>
  <si>
    <t>NEW KIDS SERVICE</t>
  </si>
  <si>
    <t>4500115438-50</t>
  </si>
  <si>
    <t>4500115348-30</t>
  </si>
  <si>
    <t>4500115348-10</t>
  </si>
  <si>
    <t>4500115438-10</t>
  </si>
  <si>
    <t>15Q2DV5R</t>
  </si>
  <si>
    <t>4500124528-60</t>
  </si>
  <si>
    <t>9298J-S001</t>
  </si>
  <si>
    <t>柯基犬（无闪粉）</t>
  </si>
  <si>
    <t>Jo-Ann Stores LLC</t>
  </si>
  <si>
    <t>PO#0170972329
TO DC01</t>
  </si>
  <si>
    <t>4500126628-20</t>
  </si>
  <si>
    <t>3/26取消订单</t>
  </si>
  <si>
    <t>PO#0170972340
TO DC04</t>
  </si>
  <si>
    <t>4500126628-50</t>
  </si>
  <si>
    <t>PO#0170972351
TO DC06</t>
  </si>
  <si>
    <t>4500126628-80</t>
  </si>
  <si>
    <t>4500126628-30</t>
  </si>
  <si>
    <t>4500126628-60</t>
  </si>
  <si>
    <t>4500126628-90</t>
  </si>
  <si>
    <t>1THGYKDL</t>
  </si>
  <si>
    <t>4500124647-40</t>
  </si>
  <si>
    <t>9259H-S001</t>
  </si>
  <si>
    <t>白猫（无闪粉）</t>
  </si>
  <si>
    <t>3/27取消</t>
  </si>
  <si>
    <t>4500127793-200</t>
  </si>
  <si>
    <t>92106D-S001-1L</t>
  </si>
  <si>
    <t>92106D-S001-MTS</t>
  </si>
  <si>
    <t>2Y5AG46T</t>
  </si>
  <si>
    <t>4500128123-130</t>
  </si>
  <si>
    <t>92104E-S001-3L</t>
  </si>
  <si>
    <t>客户取消</t>
  </si>
  <si>
    <t>8VT4OGPF</t>
  </si>
  <si>
    <t>4500128123-200</t>
  </si>
  <si>
    <t>4500128123-210</t>
  </si>
  <si>
    <t>4500129905-10</t>
  </si>
  <si>
    <t>6/13取消</t>
  </si>
  <si>
    <t>20134848</t>
  </si>
  <si>
    <t>4500135948-70</t>
  </si>
  <si>
    <t>6K24AENM</t>
  </si>
  <si>
    <t>4500134390-10</t>
  </si>
  <si>
    <t>6/27取消订单</t>
  </si>
  <si>
    <t>4500139475消耗46箱</t>
  </si>
  <si>
    <t>4500134390-20</t>
  </si>
  <si>
    <t>4500134390-30</t>
  </si>
  <si>
    <t>4500134390-40</t>
  </si>
  <si>
    <t>4500134390-50</t>
  </si>
  <si>
    <t>4500134390-60</t>
  </si>
  <si>
    <t>2342709</t>
  </si>
  <si>
    <t>4500138632-20</t>
  </si>
  <si>
    <t>客户取消-7/3</t>
  </si>
  <si>
    <t>4500139220</t>
  </si>
  <si>
    <t>6Z7F436R</t>
  </si>
  <si>
    <t>4500139220-120</t>
  </si>
  <si>
    <t>6MEFJZCT</t>
  </si>
  <si>
    <t>4500139220-520</t>
  </si>
  <si>
    <t>9279B-S001-NB</t>
  </si>
  <si>
    <t>6Q3XR82X</t>
  </si>
  <si>
    <t>4500139220-550</t>
  </si>
  <si>
    <t>4500139232</t>
  </si>
  <si>
    <t>4OU526ZA</t>
  </si>
  <si>
    <t>4500139232-80</t>
  </si>
  <si>
    <t>4OZKIAAA</t>
  </si>
  <si>
    <t>4500139232-140</t>
  </si>
  <si>
    <t>16LNENSE</t>
  </si>
  <si>
    <t>4500139232-400</t>
  </si>
  <si>
    <t>6LBNOJOK</t>
  </si>
  <si>
    <t>4500139232-420</t>
  </si>
  <si>
    <t>3H89MZKK</t>
  </si>
  <si>
    <t>4500139232-560</t>
  </si>
  <si>
    <t>1XAAKUZM</t>
  </si>
  <si>
    <t>4500139232-580</t>
  </si>
  <si>
    <t>4500138198-10</t>
  </si>
  <si>
    <t>7/12 取消</t>
  </si>
  <si>
    <t>Carlos Federspiel &amp; Cia. - UNIVERSA</t>
  </si>
  <si>
    <t>4500134694-50</t>
  </si>
  <si>
    <t>7/12取消订单</t>
  </si>
  <si>
    <t>4500134694-60</t>
  </si>
  <si>
    <t>货期后延</t>
  </si>
  <si>
    <t>4500124647-30</t>
  </si>
  <si>
    <t>9259G-S001</t>
  </si>
  <si>
    <t>加菲猫（无闪粉）</t>
  </si>
  <si>
    <t>7/15取消订单</t>
  </si>
  <si>
    <t>53SNC4GC</t>
  </si>
  <si>
    <t>4500140333-20</t>
  </si>
  <si>
    <t>4500140333</t>
  </si>
  <si>
    <t>7LNYB7HN</t>
  </si>
  <si>
    <t>4500140333-30</t>
  </si>
  <si>
    <t>64GEDI8M</t>
  </si>
  <si>
    <t>4500140333-70</t>
  </si>
  <si>
    <t>3ATUKPNB</t>
  </si>
  <si>
    <t>4500140333-440</t>
  </si>
  <si>
    <t>4SYQOJWQ</t>
  </si>
  <si>
    <t>4500140333-50</t>
  </si>
  <si>
    <t>81IX81NG</t>
  </si>
  <si>
    <t>4500140333-130</t>
  </si>
  <si>
    <t>4G1FGRWP</t>
  </si>
  <si>
    <t>4500140268-10</t>
  </si>
  <si>
    <t>4500140268</t>
  </si>
  <si>
    <t>4W82AVVR</t>
  </si>
  <si>
    <t>4500140268-110</t>
  </si>
  <si>
    <t>6N4C3AYJ</t>
  </si>
  <si>
    <t>4500140268-270</t>
  </si>
  <si>
    <t>45UB1V9J</t>
  </si>
  <si>
    <t>4500140354-110</t>
  </si>
  <si>
    <t>CORA NON ALIMENTAIRE</t>
  </si>
  <si>
    <t>JB44240013</t>
  </si>
  <si>
    <t>4500129737-10</t>
  </si>
  <si>
    <t>6/21 取消</t>
  </si>
  <si>
    <t>滞留成品</t>
  </si>
  <si>
    <t>车间回复自行消耗</t>
  </si>
  <si>
    <t>Amazon UK:
7EISROPD</t>
  </si>
  <si>
    <t>4500142712-70</t>
  </si>
  <si>
    <t>8/16取消</t>
  </si>
  <si>
    <t xml:space="preserve"> AMAZON UK</t>
  </si>
  <si>
    <t>Amazon UK:
1TF8MUQJ</t>
  </si>
  <si>
    <t>4500142673-100</t>
  </si>
  <si>
    <t>Amazon DE:
8M5ZOH3V</t>
  </si>
  <si>
    <t>4500142632-10</t>
  </si>
  <si>
    <r>
      <rPr>
        <sz val="12"/>
        <color rgb="FFFF0000"/>
        <rFont val="宋体"/>
        <charset val="0"/>
      </rPr>
      <t>8/19</t>
    </r>
    <r>
      <rPr>
        <b/>
        <sz val="12"/>
        <color rgb="FFFF0000"/>
        <rFont val="宋体"/>
        <charset val="0"/>
      </rPr>
      <t>取</t>
    </r>
    <r>
      <rPr>
        <sz val="12"/>
        <color rgb="FFFF0000"/>
        <rFont val="宋体"/>
        <charset val="0"/>
      </rPr>
      <t>消</t>
    </r>
  </si>
  <si>
    <t>纸箱已订回</t>
  </si>
  <si>
    <t>消耗在4500142885此单</t>
  </si>
  <si>
    <t>Amazon DE:
4HVHS1TL</t>
  </si>
  <si>
    <t>4500142632-30</t>
  </si>
  <si>
    <t xml:space="preserve"> Amazon UK:
4CHYRZVJ</t>
  </si>
  <si>
    <t>4500142673-30</t>
  </si>
  <si>
    <t>8/23取消</t>
  </si>
  <si>
    <t>无物料产生</t>
  </si>
  <si>
    <t xml:space="preserve"> Amazon UK:
453XDKGB</t>
  </si>
  <si>
    <t>4500142673-60</t>
  </si>
  <si>
    <t>Amazon UK:
1ZAAKYRF</t>
  </si>
  <si>
    <t>4500142673-80</t>
  </si>
  <si>
    <t>Amazon UK:
1N3Y3UYK</t>
  </si>
  <si>
    <t>4500142673-110</t>
  </si>
  <si>
    <t>犀牛(邮包盒）</t>
  </si>
  <si>
    <t>4500142712-60</t>
  </si>
  <si>
    <t>4500131695-40</t>
  </si>
  <si>
    <t>客户取消8/14</t>
  </si>
  <si>
    <t>68GSBR3E</t>
  </si>
  <si>
    <t>4500143631-60</t>
  </si>
  <si>
    <t>8/27取消</t>
  </si>
  <si>
    <t>3UN8ECIP</t>
  </si>
  <si>
    <t>4500143631-90</t>
  </si>
  <si>
    <t>7E9GA2LL</t>
  </si>
  <si>
    <t>4500143631-100</t>
  </si>
  <si>
    <t>5URAZ4VW</t>
  </si>
  <si>
    <t>4500143709-130</t>
  </si>
  <si>
    <t>4P4T612U</t>
  </si>
  <si>
    <t>4500143709-180</t>
  </si>
  <si>
    <t>3FZL1JXZ</t>
  </si>
  <si>
    <t>4500143709-190</t>
  </si>
  <si>
    <t>69JNYLUK</t>
  </si>
  <si>
    <t>4500143709-200</t>
  </si>
  <si>
    <t>4QID696G</t>
  </si>
  <si>
    <t>4500143730-120</t>
  </si>
  <si>
    <t>3HE8T76I</t>
  </si>
  <si>
    <t>4500143730-140</t>
  </si>
  <si>
    <t>44WVYVWL</t>
  </si>
  <si>
    <t>4500143730-150</t>
  </si>
  <si>
    <t>1M3IFQ5I</t>
  </si>
  <si>
    <t>4500143730-170</t>
  </si>
  <si>
    <t>7XDPD57I</t>
  </si>
  <si>
    <t>4500143730-180</t>
  </si>
  <si>
    <t>1A7Y3ESQ</t>
  </si>
  <si>
    <t>4500143730-250</t>
  </si>
  <si>
    <t>4B92QHKN</t>
  </si>
  <si>
    <t>4500143631-120</t>
  </si>
  <si>
    <t>6DUQGEHU</t>
  </si>
  <si>
    <t>4500143709-300</t>
  </si>
  <si>
    <t>4GXRZWFG</t>
  </si>
  <si>
    <t>4500143709-310</t>
  </si>
  <si>
    <t>4500122654-40</t>
  </si>
  <si>
    <t>9/21取消</t>
  </si>
  <si>
    <t>成品</t>
  </si>
  <si>
    <t>消耗在4500145547</t>
  </si>
  <si>
    <t>4500122654-20</t>
  </si>
  <si>
    <t>0086-1821435-3890</t>
  </si>
  <si>
    <t>4500142349-20</t>
  </si>
  <si>
    <t>9/26取消</t>
  </si>
  <si>
    <t>4500154715-消耗纸箱290pcs                                                                                                                                                               4500153408、4500154142、4500154505、4500154618 合计7740pcs 成品</t>
  </si>
  <si>
    <t>0086-7813701-3890</t>
  </si>
  <si>
    <t>4500143218-20</t>
  </si>
  <si>
    <t>纸箱滞留</t>
  </si>
  <si>
    <t>消耗在4500146341-300pcs滞留367PCS                                                                                                                                                                           消耗在4500151398-367pcs</t>
  </si>
  <si>
    <t>2RXMY6NQ</t>
  </si>
  <si>
    <t>4500148453-90</t>
  </si>
  <si>
    <t>11/4取消订单</t>
  </si>
  <si>
    <t>7ZI485YG</t>
  </si>
  <si>
    <t>4500148453-130</t>
  </si>
  <si>
    <t>4UUVJTZC</t>
  </si>
  <si>
    <t>4500148453-180</t>
  </si>
  <si>
    <t>2DLVIKNA</t>
  </si>
  <si>
    <t>4500148453-100</t>
  </si>
  <si>
    <t>7THI1JJN</t>
  </si>
  <si>
    <t>4500148453-140</t>
  </si>
  <si>
    <t xml:space="preserve">4TMRZP6Q
</t>
  </si>
  <si>
    <t>4500148453-150</t>
  </si>
  <si>
    <t>38E793DS</t>
  </si>
  <si>
    <t>4500149548-20</t>
  </si>
  <si>
    <t>2025ZURU05</t>
  </si>
  <si>
    <t>4500148922-120</t>
  </si>
  <si>
    <t>11/26取消订单</t>
  </si>
  <si>
    <t>日期码格式： 标准格式 日期：按实际生产日期
Packaging Info:9298TQ1 无硼版本 MA 多语UPC版本UPC号码193052057426
Remark: "出加拿大
Zuru验货.日期跟踪码：产品外包装及产品本身都必须有日期跟踪码，ZURU标准格式日期码"</t>
  </si>
  <si>
    <t>4500148922-140</t>
  </si>
  <si>
    <r>
      <rPr>
        <sz val="14"/>
        <color rgb="FFFF0000"/>
        <rFont val="宋体"/>
        <charset val="0"/>
      </rPr>
      <t xml:space="preserve">纸箱滞留                                                                                                                                                                     </t>
    </r>
    <r>
      <rPr>
        <sz val="14"/>
        <rFont val="宋体"/>
        <charset val="0"/>
      </rPr>
      <t>成品消耗在4500150436</t>
    </r>
  </si>
  <si>
    <t>日期码格式： 标准格式 日期：按实际生产日期
Packaging Info:92104TQ2 无硼版本 MA 多语EAN+UPC贴纸UPC号码193052064417
Remark: "出加拿大
Zuru验货.日期跟踪码：产品外包装及产品本身都必须有日期跟踪码，ZURU标准格式日期码"</t>
  </si>
  <si>
    <t>4500152016-10</t>
  </si>
  <si>
    <t>12/13取消</t>
  </si>
  <si>
    <t>欠防盗贴纸+外箱贴纸</t>
  </si>
  <si>
    <t>日期码格式：ZURU INC(BVI) 标准格式 日期：按实际生产日期 Tracking Code:
Packaging Info: 9298TQ1:MA英语UPC版本包装（收缩膜和说明书, MA首选1L，如无1L可用多语且含英语的配套多语包装) + + 1张防盗贴纸 (贴纸以及位置图翻单PO#4500110723）+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</si>
  <si>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4500152293-20</t>
  </si>
  <si>
    <t>日期码格式：ZURU INC(BVI) 标准格式 日期：按实际生产日期 Tracking Code:
Packaging Info: 
 9298TQ1:MA英语UPC版本包装（收缩膜和说明书, MA首选1L，如无1L可用多语且含英语的配套多语包装) + + 1张防盗贴纸 (贴纸以及位置图翻单PO#4500110723）+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</si>
  <si>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4500152293-30</t>
  </si>
  <si>
    <t>4500152292-80</t>
  </si>
  <si>
    <t>日期码格式：ZURU INC(BVI) 标准格式 日期：按实际生产日期 Tracking Code:
Packaging Info:
 9298TQ1:MA英语UPC版本包装（收缩膜和说明书, MA首选1L，如无1L可用多语且含英语的配套多语包装) + + 1张防盗贴纸 (贴纸以及位置图翻单PO#4500110723）+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</si>
  <si>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4500152292-70</t>
  </si>
  <si>
    <t>4500152292-90</t>
  </si>
  <si>
    <t>4500152016-30</t>
  </si>
  <si>
    <t>日期码格式：ZURU INC(BVI) 标准格式 日期：按实际生产日期 Tracking Code:
Packaging Info:
 92106: MA英语UPC版本包装（收缩膜和说明书, MA首选1L，如无1L可用多语且含英语的配套多语包装) + 1张防盗贴纸 (贴纸以及位置图翻单PO#4500125322）+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</si>
  <si>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4500152006-40</t>
  </si>
  <si>
    <t>日期码格式：ZURU INC(BVI) 标准格式 日期：按实际生产日期 Tracking Code:
Packaging Info:
 92106: MA英语UPC版本包装（收缩膜和说明书, MA首选1L，如无1L可用多语且含英语的配套多语包装) + 1张防盗贴纸 (贴纸以及位置图翻单PO#4500125322）+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</si>
  <si>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4500152006-10</t>
  </si>
  <si>
    <t>12/16取消</t>
  </si>
  <si>
    <t>日期码格式：ZURU INC(BVI) 标准格式 日期：按实际生产日期 Tracking Code:
Packaging Info: 9298TQ1:MA英语UPC版本包装（收缩膜和说明书, MA首选1L，如无1L可用多语且含英语的配套多语包装) + + 1张防盗贴纸 (贴纸以及位置图翻单PO#4500110723）+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</si>
  <si>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4500152006-20</t>
  </si>
  <si>
    <t>2F857F1P</t>
  </si>
  <si>
    <t>4500155812-60</t>
  </si>
  <si>
    <t>2/11取消</t>
  </si>
  <si>
    <t>外箱已订回</t>
  </si>
  <si>
    <t>暂无订单消耗</t>
  </si>
  <si>
    <t>4OMIWRVO</t>
  </si>
  <si>
    <t>4500155812-70</t>
  </si>
  <si>
    <t>7MZY2DPC</t>
  </si>
  <si>
    <t>4500155812-80</t>
  </si>
  <si>
    <t>4W1KC8BW</t>
  </si>
  <si>
    <t>4500155812-110</t>
  </si>
  <si>
    <t>4MRRBO1Z</t>
  </si>
  <si>
    <t>4500155806-30</t>
  </si>
  <si>
    <t>7COE6DRW</t>
  </si>
  <si>
    <t>4500155806-40</t>
  </si>
  <si>
    <t>4500154762-10</t>
  </si>
  <si>
    <t>2/17取消订单</t>
  </si>
  <si>
    <t>彩色产品贴纸翻单4500152863</t>
  </si>
  <si>
    <t>欠客供防盗贴纸</t>
  </si>
  <si>
    <t>DG20250708</t>
  </si>
  <si>
    <t>日期码格式：ZURU INC(BVI) 标准格式 日期：2025-07-08 
Packaging Info: 1) 客版PDQ(翻单4500152863), 最新版ZURU MA UPC包装(去掉社交媒体标志，优先1L)，出口美国。如有说明书请使用ZURU MA说明书，优先放1L英语。
2)ZURU标准日期码格式：工厂城市缩写+生产年月日。此单收缩膜+蛋壳指定日期码：DG20250708
 ，布标日期码和口水胶日期码待工厂确定后尽快提供给跟单更新PO备注。
 3)外箱箱唛正侧相邻两面粘贴产品彩色贴纸，每箱两张彩色贴纸, 彩色产品贴纸翻单4500152863。如侧唛位置放不下彩贴和唛头信息，可改为放两个正唛。无论是正
 唛+侧唛或者是两个正唛，唛头信息和彩贴需放在同一个面。箱唛需排版给跟单确认。
 4) 每个球贴一张客供防盗贴，贴在收缩膜上，防盗贴由跟单采购，供应商直接发货到工厂。防盗贴贴纸位置与PO#4500152863确认的位置一致。
Remark: 客户PO#32806923
 客户SKU#1096260
 1) Item#92104TQ4-S003
 2) 此单无第三方验货+抽样测试，ZURU QC验货PASS后，跟单得到客户的approval之后方可安排出货
 ss
 3)大货外箱材积绝对不可大于下述数据，材积只接受3%的变小；重量正负不得超过以下列出数据的5%，接受外箱以印章方式印上实际毛重。
 大货外箱尺寸请保持： 30.0 x 23.0 x 22.0 cm(即11.81 x 9.06 x 8.66 inch)，材积必须不能大于0.5368CubeFeet（即0.0152CBM); 外箱毛重 2.4 LBS（即1.08 K
 GS）。
 4) 大货配比：
 Item#92104TQ4-S003
 S003-RAINBOCORN - KITTYCORN SURPRISE - SERIES 9 - PLUSH SMALL - SHRINK WRAP,2facing4PCS/
 PDQ/CTN
 UPC: 193052064417
 With BORON (Lower 300ppm), Non-Glitter
 2W*2D*1H=4PCS/PDQ
 MUNCHKIN(RARE): HIMALAYAN: PERSIAN: MAINE COON: RAGDOLL: RAGAMUFFIN: NORWEGIAN FOREST CAT = 2: 8: 10: 10: 10: 10: 10
 5) 客户Family Dollar不允许少数出货，必须按照PO上的数量出货，也不允许延期，否则会有罚款。
 6) 客户要求:"产品和包装不能含有PFAS 物质以及1,4 dioxane",请确保产品可以过美国标准测试。</t>
  </si>
  <si>
    <t>去Bekasovo 2</t>
  </si>
  <si>
    <t>4500159526-30</t>
  </si>
  <si>
    <t>转单4500164028</t>
  </si>
  <si>
    <r>
      <rPr>
        <sz val="14"/>
        <rFont val="宋体"/>
        <charset val="0"/>
        <scheme val="minor"/>
      </rPr>
      <t xml:space="preserve">日期码格式：外包装/外箱不要打ZURU标准日期码 日期： 
Packaging Info: 注意 ：外包装 (指: 收缩膜/彩卡/铝箔袋/挂卡/PDQ) /外箱不要打ZURU标准日期码！胶件可以打日期码。
 9298TQ1 ：1L MA 收缩膜+ </t>
    </r>
    <r>
      <rPr>
        <sz val="14"/>
        <color rgb="FFFF0000"/>
        <rFont val="宋体"/>
        <charset val="0"/>
        <scheme val="minor"/>
      </rPr>
      <t>进口商贴纸含EAN条码翻4500159461</t>
    </r>
    <r>
      <rPr>
        <sz val="14"/>
        <rFont val="宋体"/>
        <charset val="0"/>
        <scheme val="minor"/>
      </rPr>
      <t>， MA指南/说明书（如有）；
Remark: 标准配比 ；
 请按期完货， 会有罚金。
 出2个港口Bekasovo 2 和Ural .</t>
    </r>
  </si>
  <si>
    <t>4500159526-100</t>
  </si>
  <si>
    <t>4500159461-20</t>
  </si>
  <si>
    <t>4500159461-70</t>
  </si>
  <si>
    <t>4500159461-30</t>
  </si>
  <si>
    <t>转单4500163959</t>
  </si>
  <si>
    <t>日期码格式：外包装/外箱不要打ZURU标准日期码 日期： 
Packaging Info: 注意 ：外包装 (指: 收缩膜/彩卡/铝箔袋/挂卡/PDQ) /外箱不要打ZURU标准日期码！胶件可以打日期码。
 92106 ：1L MA 收缩膜+ 进口商贴纸(含EAN条码) ， MA指南/说明书（如有）；
Remark: 标准配比 ；
 请按期完货， 会有罚金。
 出2个港口Bekasovo 2 和Ural .</t>
  </si>
  <si>
    <t>4500159461-80</t>
  </si>
  <si>
    <t>4500159526-50</t>
  </si>
  <si>
    <r>
      <rPr>
        <sz val="14"/>
        <rFont val="宋体"/>
        <charset val="0"/>
        <scheme val="minor"/>
      </rPr>
      <t xml:space="preserve">日期码格式：外包装/外箱不要打ZURU标准日期码 日期： 
Packaging Info: 注意 ：外包装 (指: 收缩膜/彩卡/铝箔袋/挂卡/PDQ) /外箱不要打ZURU标准日期码！胶件可以打日期码。
 92106 ：1L MA 收缩膜+ </t>
    </r>
    <r>
      <rPr>
        <sz val="14"/>
        <color rgb="FFFF0000"/>
        <rFont val="宋体"/>
        <charset val="0"/>
        <scheme val="minor"/>
      </rPr>
      <t>进口商贴纸含EAN条码翻4500159461</t>
    </r>
    <r>
      <rPr>
        <sz val="14"/>
        <rFont val="宋体"/>
        <charset val="0"/>
        <scheme val="minor"/>
      </rPr>
      <t>， MA指南/说明书（如有）；
Remark: 标准配比 ；
 请按期完货， 会有罚金。
 出2个港口Bekasovo 2 和Ural .</t>
    </r>
  </si>
  <si>
    <t>4500159526-120</t>
  </si>
  <si>
    <t>Murdoch's
Southern DC
PO 671605134</t>
  </si>
  <si>
    <t>4500161570-630</t>
  </si>
  <si>
    <t>4/23取消</t>
  </si>
  <si>
    <t>日期码格式：外包装/外箱不要打ZURU标准日期码 日期： 
Packaging Info: 注意 ：外包装 (指: 收缩膜/彩卡/铝箔袋/挂卡/PDQ) /外箱不要打ZURU标准日期码！胶件可以打日期码。
 92106 ：1L MA 收缩膜+ 进口商贴纸含EAN条码翻4500159461， MA指南/说明书（如有）；
Remark: 标准配比 ；
 请按期完货， 会有罚金。
 出2个港口Bekasovo 2 和Ural .</t>
  </si>
  <si>
    <t>Murdoch's
Norther DC PO
671605135</t>
  </si>
  <si>
    <t>4500161570-640</t>
  </si>
  <si>
    <t>Murdoch's TX
DC PO
671605136</t>
  </si>
  <si>
    <t>4500161570-650</t>
  </si>
  <si>
    <t>4500164783-120</t>
  </si>
  <si>
    <t>预计取消订单</t>
  </si>
  <si>
    <t>日期码格式：ZURU INC(BVI) 标准格式 日期：按实际生产日期
Packaging Info: 
12.92104：最新MA PDQ + 3L(warning 9L)_EAN收缩膜+1*5L（PL+HU+CZ+SK+RO)警语贴纸（翻4500156082）+MA_5L Polybag+MA_5L(warning 23L)收藏指南。
Remark: 1.波兰内销单，需要通过ZURU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</si>
  <si>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PI:1100028548</t>
  </si>
  <si>
    <t>4500162852-150</t>
  </si>
  <si>
    <t>取消转新PO号</t>
  </si>
  <si>
    <t>日期码格式：ZURU INC(BVI) 标准格式 日期：按实际生产日期
Packaging Info:
92104:1L MA 最新收缩膜+进口商贴纸; MA指南/说明书（如有）;(贴纸翻PO4500146482)
Remark: 标准配比</t>
  </si>
  <si>
    <t>757FZEOD</t>
  </si>
  <si>
    <t>4500156588-60</t>
  </si>
  <si>
    <t>5/6号客户取消</t>
  </si>
  <si>
    <t>3/12-外箱贴纸</t>
  </si>
  <si>
    <t>3YKDG5JB</t>
  </si>
  <si>
    <t>4500156588-70</t>
  </si>
  <si>
    <t>3EDGA1ES</t>
  </si>
  <si>
    <t>4500156588-80</t>
  </si>
  <si>
    <t xml:space="preserve"> Amazon CA (Vendor Center)</t>
  </si>
  <si>
    <t>89HQ5V3T</t>
  </si>
  <si>
    <t>4500166334-10</t>
  </si>
  <si>
    <t>5/21取消</t>
  </si>
  <si>
    <t>欠客供贴纸</t>
  </si>
  <si>
    <t>日期码格式：ZURU INC(BVI) 标准格式 日期：按实际生产日期
Packaging Info: #92104 MA3L+邮包盒,邮包盒图稿跟Amazon 4500127793;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</si>
  <si>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 xml:space="preserve"> Kelly Shen</t>
  </si>
  <si>
    <t>591OSUZQ</t>
  </si>
  <si>
    <t>4500166334-20</t>
  </si>
  <si>
    <t>8U5UWUYF</t>
  </si>
  <si>
    <t>4500166334-30</t>
  </si>
  <si>
    <t>7ZK7KF2T</t>
  </si>
  <si>
    <t>4500166334-40</t>
  </si>
  <si>
    <t>2UMOW8TW</t>
  </si>
  <si>
    <t>4500166334-50</t>
  </si>
  <si>
    <t>7O5USYGE</t>
  </si>
  <si>
    <t>4500166334-60</t>
  </si>
  <si>
    <t>2HDLJODS</t>
  </si>
  <si>
    <t>4500166334-70</t>
  </si>
  <si>
    <t>4500158476-30</t>
  </si>
  <si>
    <t>之前的PO#4500158476现在变更为PO#4500167544 / Item#9279的数量从360pcs变更为1440pcs. 外箱总箱数烦请加水贴纸修改. 5/23</t>
  </si>
  <si>
    <t>转-4500167544消耗</t>
  </si>
  <si>
    <t>2OWZ7BFM</t>
  </si>
  <si>
    <t>4500167361-620</t>
  </si>
  <si>
    <t>5/23取消</t>
  </si>
  <si>
    <t>5V7AC4KT</t>
  </si>
  <si>
    <t>4500167361-630</t>
  </si>
  <si>
    <t>2R3MPLUB</t>
  </si>
  <si>
    <t>4500167361-640</t>
  </si>
  <si>
    <t>1OC1LUGS</t>
  </si>
  <si>
    <t>4500167361-670</t>
  </si>
  <si>
    <t>1SN43N3C</t>
  </si>
  <si>
    <t>4500167361-260</t>
  </si>
  <si>
    <t>6/4取消</t>
  </si>
  <si>
    <t>4500167954-10</t>
  </si>
  <si>
    <t>6.6取消</t>
  </si>
  <si>
    <t>中文3C贴纸+中文布标(可用布标贴纸)+年龄贴纸 翻4500162951</t>
  </si>
  <si>
    <t>日期码格式：ZURU INC(BVI) 标准格式 日期：按实际生产日期
Packaging Info: 物料要求 SKU
1 9279SQ1 UPC# 193052050014， MA PDQ+中文3C贴纸+中文收藏指南+中文布标(可用布标贴纸)+年龄贴纸 翻单： 4500162951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</si>
  <si>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4500159511-40</t>
  </si>
  <si>
    <t>7/9取消</t>
  </si>
  <si>
    <t>自行消耗</t>
  </si>
  <si>
    <t>日期码格式：外包装/外箱不要打ZURU标准日期码 日期： 
Packaging Info: 注意 ：外包装 (指: 收缩膜/彩卡/铝箔袋/挂卡/PDQ) /外箱不要打ZURU标准日期码！胶件可以打日期码。
 9298TQ1 ：1L MA 收缩膜+ 进口商贴纸含EAN条码翻4500159461， MA指南/说明书（如有）；
Remark: 标准配比 ；
 请按期完货， 会有罚金。
 出2个港口Bekasovo 2 和Ural .</t>
  </si>
  <si>
    <t>4500159511-120</t>
  </si>
  <si>
    <t>4500159511-80</t>
  </si>
  <si>
    <t>暂停生产</t>
  </si>
  <si>
    <t>欠一款款毛绒</t>
  </si>
  <si>
    <t>外包装 (指: 收缩膜/彩卡/铝箔袋/挂卡/PDQ) /外箱不要打ZURU标准日期码！胶件可以打日期码DG20250523</t>
  </si>
  <si>
    <t>日期码格式：外包装/外箱不要打ZURU标准日期码 日期： 
Packaging Info: 注意 ：外包装 (指: 收缩膜/彩卡/铝箔袋/挂卡/PDQ) /外箱不要打ZURU标准日期码！胶件可以打日期码。
 92123 ： 里面combo 产品1L MA 收缩膜（不含任何条码）+ 空白贴纸覆盖条码， 客版托盘翻4500159461 ，MA指南/说明书（如有）；
Remark: 标准配比 ；
 请按期完货， 会有罚金。
 出2个港口Bekasovo 2 和Ural .</t>
  </si>
  <si>
    <t>4500159511-160</t>
  </si>
  <si>
    <t>39838M6H</t>
  </si>
  <si>
    <t>4500169708-120</t>
  </si>
  <si>
    <t>欠SSCC LABEL（客供贴纸)</t>
  </si>
  <si>
    <t>4EMA8ZDL</t>
  </si>
  <si>
    <t>4500169708-130</t>
  </si>
  <si>
    <t>8JOAMKFD</t>
  </si>
  <si>
    <t>4500169708-260</t>
  </si>
  <si>
    <t>客户预计取消</t>
  </si>
  <si>
    <t>5GEFQNAY</t>
  </si>
  <si>
    <t>4500169708-300</t>
  </si>
  <si>
    <t>82A5ZHIK</t>
  </si>
  <si>
    <t>4500169979-120</t>
  </si>
  <si>
    <t>欠SSCC LABEL贴纸</t>
  </si>
  <si>
    <t>7PXMAQOY</t>
  </si>
  <si>
    <t>4500169979-140</t>
  </si>
  <si>
    <t>71A76QMF</t>
  </si>
  <si>
    <t>4500169979-150</t>
  </si>
  <si>
    <t>418IJHNF</t>
  </si>
  <si>
    <t>4500167361-280</t>
  </si>
  <si>
    <t>1OXKVFDY</t>
  </si>
  <si>
    <t>4500167361-300</t>
  </si>
  <si>
    <t>35OIPVYN</t>
  </si>
  <si>
    <t>4500167361-460</t>
  </si>
  <si>
    <t>17O76UQN</t>
  </si>
  <si>
    <t>4500167361-470</t>
  </si>
  <si>
    <t>36GIGK6T</t>
  </si>
  <si>
    <t>4500167361-480</t>
  </si>
  <si>
    <t>15TFKQVY</t>
  </si>
  <si>
    <t>4500167361-490</t>
  </si>
  <si>
    <t>BARNES &amp; NOBLE PURCHASING, INC</t>
  </si>
  <si>
    <t>PO#2871741 TO
NJ</t>
  </si>
  <si>
    <t>4500160320-20</t>
  </si>
  <si>
    <t>客户取消订单物料转单4500175550</t>
  </si>
  <si>
    <t>价格贴纸翻4500139754</t>
  </si>
  <si>
    <t>PO#2871742 TO
NV</t>
  </si>
  <si>
    <t>4500160320-40</t>
  </si>
  <si>
    <t>4500151414-70</t>
  </si>
  <si>
    <t>进口商贴纸+ EAN条码贴纸翻4500151398</t>
  </si>
  <si>
    <t>日期码格式：外包装/外箱不要打ZURU标准日期码 日期：
Packaging Info: 注意 ：外包装 (指: 收缩膜/彩卡/铝箔袋/挂卡/PDQ) /外箱不要打ZURU标准日期码！胶件可以打日期码。
9298TQ1 : 1L MA 收缩膜 or 彩卡 + 进口商贴纸翻4500151398+ EAN条码贴纸翻4500151398，MA 指南 /说明书（如有）；
Remark:</t>
  </si>
  <si>
    <t>4500151414-140</t>
  </si>
  <si>
    <t>4500151414-90</t>
  </si>
  <si>
    <t>8/6取消</t>
  </si>
  <si>
    <t>客版收缩膜 翻4500151398                                                                                                                                                                     外包装/外箱不要打ZURU标准日期码</t>
  </si>
  <si>
    <t>日期码格式：外包装/外箱不要打ZURU标准日期码 日期：
Packaging Info: 注意 ：外包装 (指: 收缩膜/彩卡/铝箔袋/挂卡/PDQ) /外箱不要打ZURU标准日期码！胶件可以打日期码。
92104TQ2 ： 客版收缩膜 翻4500151398， MA 指南/PDQ ；
Remark:</t>
  </si>
  <si>
    <t>4500151414-180</t>
  </si>
  <si>
    <t>4500159526-60</t>
  </si>
  <si>
    <t>4500159526-70</t>
  </si>
  <si>
    <t>4500159511-70</t>
  </si>
  <si>
    <t>客户取消物料转4500176870</t>
  </si>
  <si>
    <t>日期码格式：外包装/外箱不要打ZURU标准日期码 日期： 
Packaging Info: 注意 ：外包装 (指: 收缩膜/彩卡/铝箔袋/挂卡/PDQ) /外箱不要打ZURU标准日期码！胶件可以打日期码。
 92124 ： 里面combo 产品1L MA 收缩膜（不含任何条码）+ 空白贴纸覆盖条码， 客版托盘翻4500159461 ，MA指南/说明书（如有）；
Remark: 标准配比 ；
 请按期完货， 会有罚金。
 出2个港口Bekasovo 2 和Ural .</t>
  </si>
  <si>
    <t>4500159511-150</t>
  </si>
  <si>
    <t>4500179341-30</t>
  </si>
  <si>
    <t>客人需要取消</t>
  </si>
  <si>
    <t>防盗贴纸 + 欠外箱SSCC Label</t>
  </si>
  <si>
    <t>21105432</t>
  </si>
  <si>
    <t>4500179340-30</t>
  </si>
  <si>
    <t>4500178517-40</t>
  </si>
  <si>
    <t>客人10/10取消</t>
  </si>
  <si>
    <t>4500178515-50</t>
  </si>
  <si>
    <t>4500151404-80</t>
  </si>
  <si>
    <t>日期码格式：外包装/外箱不要打ZURU标准日期码 日期：
Packaging Info: 注意 ：外包装 (指: 收缩膜/彩卡/铝箔袋/挂卡/PDQ) /外箱不要打ZURU标准日期码！胶件可以打日期码。
92104TQ2 ： 客版收缩膜 翻4500151398， MA 指南/PDQ ；
Remark: 标准配比
出BEKASOVO 2 和Ural 2 个港口；
货期不可延， 有罚金 。</t>
  </si>
  <si>
    <t>4500151404-160</t>
  </si>
  <si>
    <t>4500151404-60</t>
  </si>
  <si>
    <t>日期码格式：外包装/外箱不要打ZURU标准日期码 日期：
Packaging Info: 注意 ：外包装 (指: 收缩膜/彩卡/铝箔袋/挂卡/PDQ) /外箱不要打ZURU标准日期码！胶件可以打日期码。
9298TQ1: 1L MA 收缩膜 or 彩卡 + 进口商贴纸翻4500151398+ EAN条码贴纸翻4500151398，MA 指南 /说明书（如有）；
Remark: 标准配比
出BEKASOVO 2 和Ural 2 个港口；
货期不可延， 有罚金 。</t>
  </si>
  <si>
    <t>4500151404-140</t>
  </si>
  <si>
    <t>4500159511-60</t>
  </si>
  <si>
    <t>恢复正常出货</t>
  </si>
  <si>
    <t>4500159511-140</t>
  </si>
  <si>
    <t>ZURU FRANCE</t>
  </si>
  <si>
    <t>4500182649-60</t>
  </si>
  <si>
    <t>客户取消10/28</t>
  </si>
  <si>
    <t>10/23收到</t>
  </si>
  <si>
    <t>欠多语警语折叠贴纸（含缺失的意法西环保标）</t>
  </si>
  <si>
    <t>日期码格式：ZURU INC(BVI) 标准格式 日期：按实际生产日期
Packaging Info:
6. 92104TQ1:最新MA 3L EAN 收缩膜+最新MA 5L收藏指南+最新MA 5L包装+最新MA PDQ+多语警语折叠贴纸（含缺失的意法西环保标）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t>
  </si>
  <si>
    <t>4500184399-10</t>
  </si>
  <si>
    <t>4500184399-20</t>
  </si>
  <si>
    <t>PO#27YPD3</t>
  </si>
  <si>
    <t>4500182514-10</t>
  </si>
  <si>
    <t>12/5第三方</t>
  </si>
  <si>
    <t>产品日期码：#9298: DOLGEN31704302L25 （打在蛋壳底部）</t>
  </si>
  <si>
    <t>日期码格式：DOLLAR GENERAL 客日期码 日期：
Packaging Info: #9298-S006-PKC: 客版收缩膜
Remark: 1.包装：
#9298-S006-PKC: 客版收缩膜，跟单邮件发文档。
客户要求： "产品和包装不能含有PFAS 物质以及1,4 dioxane" 客户指定实验室做测试，请确保产品可以过美国标准ASTM F963-23测试。
#9298-S006-PKC客户特批单坑外箱。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#9298: 31704302L25
(2)产品日期码：
#9298: DOLGEN31704302L25 （打在蛋壳底部）
后三位L25代表25年12月的ETD 。
（3）UPC条形码：
#9298: 430001805807
3. 无价贴。
4. 无样板需求
5. 验货抽样事宜：
#9298：12月5早上进行客人指定TUV的100% VT抽样，无验货。
请在12月4前完成ZURU QC验货，并当天14点前提供验货报告+大货图片给跟单。
6. 箱唛：翻4500176962 &amp; 4500181787。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#9298- S006-PKC-RAINBOCORNS-PUPPYCORN SURPRISE-SERIES 8-SCENT SURPRISE PLUSH SMALL SHRINK WRAP,2PCS/Polybag,6pcs/3Polybag/CTN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#9298-S006-PKC内袋翻4500149775 .</t>
  </si>
  <si>
    <t>TG JONES HIGH STREET LIMITED</t>
  </si>
  <si>
    <t>CUS
PO#20251003-5
36289CUS
SKU#61332447</t>
  </si>
  <si>
    <t>4500182716-30</t>
  </si>
  <si>
    <t>11/28客户取消</t>
  </si>
  <si>
    <t>12/21出</t>
  </si>
  <si>
    <t>日期码格式：ZURU INC(BVI) 标准格式 日期：按实际生产日期
Packaging Info:
9298TQ1 MA(UPC版本）最新包装，条码请核对：193052057426
Remark: "1# 订单出英国，请注意检查产品及包装应带UKCA图标，包装显示ZURU UK LTD信息，QC同事请查核，如有问题与跟单确认；
2# 产品包装上的生产日期按实际(法定工作日)，按ZURU标准格式即可 ，但是请留意外箱箱唛日期码(Batch Code)需要按照客人格式:""Batch+DD(2位阿拉伯数字)+M
o
nth(用英文字母顺序代表，比如六月是F)+YY(年份后面2位阿拉伯数字)""，外箱日期需要与产品显示的日期为同一天，如有问题请及时和跟单联系；
3# 请注意所有订单都需要经过ZURU QC验货以及客人QC验货(或客人安排第三方验货)并且通过后方可出货，申请客人验货务必确保100%完货，如因产品质量问题或
其他工厂原因导致的客人验货未通过需要重验的，须由工厂承担重验费用USD300;
4# 包装统一使用UPC条码，请安排生产前先核对 ，有问题请提出；
5# 所有产品按符合欧洲标准走货，需要是不含微塑料版本 ；
6# 涉及到硼的，如可选择情况下应使用符合欧标的无硼或低硼版本 （slime 类别低硼一般低于300ppm)</t>
  </si>
  <si>
    <t>4500190626-20</t>
  </si>
  <si>
    <t>1/19客人取消</t>
  </si>
  <si>
    <t>防盗贴纸+欠外箱SSCC Label</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</si>
  <si>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
10:10:10:10:10;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PO#4500190629一起合并计算</t>
  </si>
  <si>
    <t>4500190629-10</t>
  </si>
  <si>
    <t>日期码格式：ZURU INC(BVI) 标准格式 日期：按实际生产日期
Packaging Info: 9298TQ1:MA英语UPC版本包装（收缩膜和说明书, MA首选1L，如无1L可用多语且含英语的配套多语包装) + + 1张防盗贴纸 (贴纸以及位置图翻单PO#4500110723）+
箱唛 + 外箱SSCC Label 配比信息：7 assortment (6 common + 1 rare)=CORGI(Rare):SHEPHERD:POODLE:DALMATIAN:SCHNAUZER:BROWN DALNATIAN:HOUND DOG=2:8:
10:10:10:10:10;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PO#4500190626一起合并计算</t>
  </si>
  <si>
    <t>4500191895-100</t>
  </si>
  <si>
    <t>4500202279-40</t>
  </si>
  <si>
    <t>日期码格式：ZURU INC(BVI) 标准格式                  日期：按实际生产日期
Packaging Info: 1.ZURU MA UPC 最新版本包装 + 客供价格贴纸，出口美国 , 优先1L，可接受多语 。
Remark: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
6.所有产品和包装须符合华盛顿州及俄勒冈州 CHCC/ HPCCCH测试要求。</t>
  </si>
  <si>
    <t>Blanche Huang</t>
  </si>
  <si>
    <t>4563241638</t>
  </si>
  <si>
    <t>4500200255-50</t>
  </si>
  <si>
    <r>
      <rPr>
        <sz val="14"/>
        <color rgb="FFFF0000"/>
        <rFont val="宋体"/>
        <charset val="0"/>
      </rPr>
      <t>GIOCHI PREZIOSI E</t>
    </r>
    <r>
      <rPr>
        <sz val="14"/>
        <color rgb="FFFF0000"/>
        <rFont val="Times New Roman"/>
        <charset val="0"/>
      </rPr>
      <t>Ğ</t>
    </r>
    <r>
      <rPr>
        <sz val="14"/>
        <color rgb="FFFF0000"/>
        <rFont val="宋体"/>
        <charset val="0"/>
      </rPr>
      <t>ITIMARAÇLARI TIC</t>
    </r>
  </si>
  <si>
    <t>2026-068</t>
  </si>
  <si>
    <t>4500203892-40</t>
  </si>
  <si>
    <t>日期码格式：ZUR6156                              日期：
Packaging Info: 需备2套大货版寄出
92104TQ1:MA 1L 收缩膜+进口商贴纸（含客户条码）(贴纸翻单4500159880)+MA收藏指南；Slime需要无硼版本; MA PDQ；MA Slime polybag+贴纸(贴纸翻单4500159
880)；
工厂日期码 产品/包装/外箱请保持一致。
客户日期码: ZUR6156 包装/外箱请保持一致。
Remark: 9298TQ1: assortment (6 common + 1 rare)=CORGI(Rare):SHEPHERD:POODLE:DALMATIAN:SCHNAUZER:BROWN DALNATIAN:HOUND DOG=2:8:10:10:10:10:10;
92125:6 Assortments,siamese cat:pink-white cat:purple cat:black cat:brown-white cat:orange cat=1:1:1:1:1:1, no rare.
9283:Kitten:Bunny:Puppy:Cow:Elephant:Flamingo=1:1:1:1:1:1;
92104TQ1:MUNCHKIN(RARE): HIMALAYAN: PERSIAN: MAINE COON: RAGDOLL: RAGAMUFFIN: NORWEGIAN FOREST CAT = 2: 8: 10: 10: 10: 10: 10
92119:7 Assortment, Polar bear: Penguin: Walrus: Mammoth: Owl: Seal: Snow man=10:10:10:10:10:8:2. Snow man is the rare item.
9296: cow:monkey:panda:zebra:axolotl;chiken:=1:1:1:1:1:1.</t>
  </si>
  <si>
    <t>4500204693</t>
  </si>
  <si>
    <t>4500204693-50</t>
  </si>
  <si>
    <t>欠进口商贴纸+UPC贴纸</t>
  </si>
  <si>
    <t>日期码格式：ZURU INC(BVI) 标准格式                  日期：按实际生产日期
Packaging Info: MA 多语包装+进口商贴纸+UPC贴纸+箱唛
Remark</t>
  </si>
  <si>
    <t>JOUETS BROZE FILS S.A.</t>
  </si>
  <si>
    <t>4500204640</t>
  </si>
  <si>
    <t>ZURZUR1120260407</t>
  </si>
  <si>
    <t>4500204640-30</t>
  </si>
  <si>
    <t>92104TQ1-2
025-S001</t>
  </si>
  <si>
    <t>日期码格式：ZURU INC(BVI) 标准格式                  日期：按实际生产日期
Packaging Info: 92104TQ1:3L MA EAN收缩膜+MA指南; MA PDQ
SUSHI and RAINBOW CAKE(Rare) without batteries,
other assortments: 3PCS AG13 BATTERIES(INCLUDED)+D版WEEE带电池走货说明书
Remark: 1.大于10*10 cm的MA塑料袋必须有德语/法语/荷兰语/英语的警告语，印刷内容请与跟单确认(如MA包装没有塑料袋，可以忽略此点)
2.出欧洲，微塑料需合规（如item本身不含微塑料，则忽略此要求）
3.外箱需要印条码，请确保条码可以清晰扫描，且条码内容正确
4.STD配比
5.所有出往欧洲市场订单的电子产品需增加一张WEEE声明说明书，区分带电池和不带电池版本, 如已做客版说明书可忽略此要求。</t>
  </si>
  <si>
    <t>4500198191-40</t>
  </si>
  <si>
    <t>BOSCOV'S DEPARTMENT STORE,LLC</t>
  </si>
  <si>
    <t>4500209005</t>
  </si>
  <si>
    <t>725922</t>
  </si>
  <si>
    <t>4500209005-70</t>
  </si>
  <si>
    <t>欠价格贴纸+外箱贴纸</t>
  </si>
  <si>
    <t>日期码格式：ZURU INC(BVI) 标准格式                  日期：按实际生产日期
Packaging Info: 1.包装：ZURU MA UPC 最新版本包装+价格贴纸(价贴位于产品包装背面右下角，跟单提供价贴资料，工厂采购）；出口美国 , 优先1L，可接受多语 。
Remark: 2. 日期跟踪码：产品包装及产品本身都必须有日期跟踪码，并且确保两者的日期跟踪码要一致；ZURU标准格式日期码(请自行调整具体年月日生产期，但不能为周末
  )。
3.外箱贴纸：  每个外箱除了印刷箱唛信息外，还需加贴一张UCC LABEL,贴纸尺寸4''*6''；  垂直貼在外箱一面正唛(箱子最長的那面)的右下角并与箱边保持距离约3
CM。UCC Label 由跟单提供，工厂直接贴，每一张UCC Label都是唯一且有不同流水及条码的,没有损耗,绝对不可以贴错.
4.出货配比：
#77711GQ2-S001-NA-MINI BRANDS-FILL THE FRIDGE-SERIES 1-CAPSULE,WITH DEMO,25PCS/GRAVITY PDQ,50PCS/2PDQ/CTN
#77673TQ1-S002-MINI BRANDS-FILL THE FRIDGE PLAYSET-SERIES 1-SHRINK WRAP,4PCS/PDQ,16PCS/4PDQ/CTN
Ratio---Fixed Collection
#77858-S001-MINI BRANDS-MAGIC COOK KITCHEN PLAYSET-SERIES 1-WINDOW BOX,3PCS/CTN
#77772GQ2-S001-MINI BRANDS-VINYL-SERIES 1-CAPSULE,WITH DEMO,25PCS/GRAVITY PDQ,50PCS/2PDQ/CTN
Ratio---4  mini vinyls,1 accessory
#77843GQ2-S001-MINI BRANDS-KAWAII KITCHEN-SERIES 1-CAPSULE,WITH DEMO,25PCS/GRAVITY PDQ,50PCS/2PDQ/CTN
Ratio---PIZZA: HAMBURGER: PANCAKES: BUBBLE TEA:  Matcha TEA: TACO: SUSHI: DONUT: Charcuterie Board: RAINBOW CAKE(Rare)=10.88%: 10.88%: 10.88%: 1
0.88%: 10.88%: 10.88%: 10.88%: 10.88%: 10.88%: 2.08%=68:68:68:68:68:68:68:68:68:13
#77770GQ2-S001-MINI BRANDS-FASHION-SERIES 4-CAPSULE,WITH DEMO,25PCS/GRAVITY PDQ,50PCS/2PDQ/CTN
#9298TQ1-S001-RAINBOCORNS-PUPPYCORN SURPRISE-SERIES 8 SCENT SURPRISE PLUSH SMALL,3FACING 6PCS/PDQ,12PCS/2PDQ//CTN
Ratio---7 assortment (6 common + 1 rare)=CORGI(Rare):SHEPHERD:POODLE:DALMATIAN:SCHNAUZER:BROWN DALNATIAN:HOUND DOG=2:8:10:10:10:10:10;</t>
  </si>
  <si>
    <t>4500209724</t>
  </si>
  <si>
    <t>5000002236</t>
  </si>
  <si>
    <t>4500209724-130</t>
  </si>
  <si>
    <t>箱唛翻4500179209</t>
  </si>
  <si>
    <t>中文3C贴纸+中文布标贴纸+年龄贴纸翻4500179209</t>
  </si>
  <si>
    <r>
      <rPr>
        <sz val="14"/>
        <color rgb="FFFF0000"/>
        <rFont val="宋体"/>
        <charset val="0"/>
        <scheme val="minor"/>
      </rPr>
      <t>日期码格式：ZURU INC(BVI) 标准格式</t>
    </r>
    <r>
      <rPr>
        <sz val="14"/>
        <color rgb="FFFF0000"/>
        <rFont val="宋体"/>
        <charset val="134"/>
      </rPr>
      <t xml:space="preserve">                  日期：按实际生产日期
Packaging Info: 物料要求 SKU
4 9298TQ1 MA+中文3C贴纸+中文收藏指南+中文布标(可用布标贴纸)+年龄贴纸  （3Facing 6pcs/PDQ）出无手脚版本 翻单：  4500179209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t>
    </r>
  </si>
  <si>
    <t>AMAZON MEXICO, S. DE RL  DE CV</t>
  </si>
  <si>
    <t>6257Z5MN</t>
  </si>
  <si>
    <t>4500217358-20</t>
  </si>
  <si>
    <t>7/24客人取消</t>
  </si>
  <si>
    <t>日期码格式：ZURU  INC(BVI) 标准格式                                    日期：按实际生产日期
Packaging Info:
#9298: MA  3L  C版本加UPC贴纸，UPC贴纸图稿跟返单4500113996。需混入稀有款，    常规款：稀有款=58：2。    B:193052062635, H：193052062673;
Remark: Amazon FOB订单，出口Mexico，外箱最长边不能超过25"    （超过了，casepack只能为1），不符合要求的大货，  一律不接受。
  1.空白外箱加印ZURU Logo+MADE IN CHINA+SSCC LABEL(客供贴纸），无shippingmark,日期使用ZURU 标准版本。SSCC Label显示的是客人自己的item#，SSCC  Label
贴在外箱正面的正中间，贴一面即可，跟单订购，贴纸离外箱距必须至少3cm,每一张SSCC  Label都是唯一且有不同流水及条码的，没有损耗，绝对不可贴错，否则贴
错或损坏一张会导致全部都错，千万要注意！
  2. 日期码使用ZURU标准版</t>
  </si>
  <si>
    <t>4500217358-100</t>
  </si>
  <si>
    <t>日期码格式：ZURU  INC(BVI) 标准格式                                    日期：按实际生产日期
Packaging Info: 
#9298: MA  3L  C版本加UPC贴纸，UPC贴纸图稿跟返单4500113996。需混入稀有款，    常规款：稀有款=58：2。    B:193052062635, H：193052062673;
Remark: Amazon FOB订单，出口Mexico，外箱最长边不能超过25"    （超过了，casepack只能为1），不符合要求的大货，  一律不接受。
  1.空白外箱加印ZURU Logo+MADE IN CHINA+SSCC LABEL(客供贴纸），无shippingmark,日期使用ZURU 标准版本。SSCC Label显示的是客人自己的item#，SSCC  Label
贴在外箱正面的正中间，贴一面即可，跟单订购，贴纸离外箱距必须至少3cm,每一张SSCC  Label都是唯一且有不同流水及条码的，没有损耗，绝对不可贴错，否则贴
错或损坏一张会导致全部都错，千万要注意！
  2. 日期码使用ZURU标准版</t>
  </si>
  <si>
    <t>199Q7BSD</t>
  </si>
  <si>
    <t>4500217358-120</t>
  </si>
  <si>
    <r>
      <rPr>
        <sz val="14"/>
        <color rgb="FFFF0000"/>
        <rFont val="宋体"/>
        <charset val="0"/>
      </rPr>
      <t>日期码格式：ZURU</t>
    </r>
    <r>
      <rPr>
        <sz val="14"/>
        <color rgb="FFFF0000"/>
        <rFont val="宋体"/>
        <charset val="134"/>
      </rPr>
      <t xml:space="preserve">  INC(BVI) 标准格式                                    日期：按实际生产日期
Packaging Info: 
#9298: MA  3L  C版本加UPC贴纸，UPC贴纸图稿跟返单4500113996。需混入稀有款，    常规款：稀有款=58：2。    B:193052062635, H：193052062673;
Remark: Amazon FOB订单，出口Mexico，外箱最长边不能超过25"    （超过了，casepack只能为1），不符合要求的大货，  一律不接受。
  1.空白外箱加印ZURU Logo+MADE IN CHINA+SSCC LABEL(客供贴纸），无shippingmark,日期使用ZURU 标准版本。SSCC Label显示的是客人自己的item#，SSCC  Label
贴在外箱正面的正中间，贴一面即可，跟单订购，贴纸离外箱距必须至少3cm,每一张SSCC  Label都是唯一且有不同流水及条码的，没有损耗，绝对不可贴错，否则贴
错或损坏一张会导致全部都错，千万要注意！
  2. 日期码使用ZURU标准版</t>
    </r>
  </si>
  <si>
    <t>4500217358-190</t>
  </si>
  <si>
    <t>3ZVHFYAU</t>
  </si>
  <si>
    <t>4500217358-220</t>
  </si>
  <si>
    <t>4500217358-180</t>
  </si>
  <si>
    <t>日期码格式：ZURU  INC(BVI) 标准格式                                    日期：按实际生产日期
Packaging Info: 
Remark: Amazon FOB订单，出口Mexico，外箱最长边不能超过25"    （超过了，casepack只能为1），不符合要求的大货，  一律不接受。
  1.空白外箱加印ZURU Logo+MADE IN CHINA+SSCC LABEL(客供贴纸），无shippingmark,日期使用ZURU 标准版本。SSCC Label显示的是客人自己的item#，SSCC  Label
贴在外箱正面的正中间，贴一面即可，跟单订购，贴纸离外箱距必须至少3cm,每一张SSCC  Label都是唯一且有不同流水及条码的，没有损耗，绝对不可贴错，否则贴
错或损坏一张会导致全部都错，千万要注意！
  2. 日期码使用ZURU标准版</t>
  </si>
  <si>
    <t>客PO号</t>
  </si>
  <si>
    <r>
      <rPr>
        <b/>
        <sz val="10"/>
        <rFont val="宋体"/>
        <charset val="0"/>
        <scheme val="minor"/>
      </rPr>
      <t>MA/</t>
    </r>
    <r>
      <rPr>
        <b/>
        <sz val="10"/>
        <color rgb="FF00B0F0"/>
        <rFont val="宋体"/>
        <charset val="0"/>
        <scheme val="minor"/>
      </rPr>
      <t>客版</t>
    </r>
  </si>
  <si>
    <t>4500127793-290</t>
  </si>
  <si>
    <t>92108E-S003-MTS</t>
  </si>
  <si>
    <t>2024/4/28取消转新单4500132022</t>
  </si>
  <si>
    <t>4/2 邮包盒图稿跟Amazon UK/EU PO 4500124874</t>
  </si>
  <si>
    <t>日期码格式：ZURU INC(BVI) 标准格式 日期：按实际生产日期
Packaging Info: 
92108 MA 1L UPC版本+ 邮包盒，邮包盒图稿跟Amazon UK/EU PO 4500124874
Remark: 1.Amazon domestic 订单，外箱加印箱唛 （跟单提供）。出口美国。外箱最长边不能超过25" （超过了，case pack只能为1). QC验货要检查这一点，不符合要求
的大货，一律不接受。
2.无第三方验货/测试要求。
3.日期码使用ZURU标准版本。
邮包盒上要打上日期码</t>
  </si>
  <si>
    <t>SD24</t>
  </si>
  <si>
    <t>4500127793-220</t>
  </si>
  <si>
    <t>92107A-S001-MTS</t>
  </si>
  <si>
    <t>4/8UPC贴纸</t>
  </si>
  <si>
    <t>日期码格式：ZURU INC(BVI) 标准格式 日期：按实际生产日期
Packaging Info: 
92107 MA 1L UPC版本+ UPC贴纸，跟单提供贴纸图稿
Remark: 1.Amazon domestic 订单，外箱加印箱唛 （跟单提供）。出口美国。外箱最长边不能超过25" （超过了，case pack只能为1). QC验货要检查这一点，不符合要求
的大货，一律不接受。
2.无第三方验货/测试要求。
3.日期码使用ZURU标准版本。
邮包盒上要打上日期码</t>
  </si>
  <si>
    <t>4500127793-230</t>
  </si>
  <si>
    <t>92107B-S001-MTS</t>
  </si>
  <si>
    <t>4500127793-240</t>
  </si>
  <si>
    <t>92107D-S001-MTS</t>
  </si>
  <si>
    <t>4500127793-250</t>
  </si>
  <si>
    <t>92107E-S001-MTS</t>
  </si>
  <si>
    <t>手工单</t>
  </si>
  <si>
    <t xml:space="preserve"> 92107-S002-NB-MTS</t>
  </si>
  <si>
    <t>92107：MA 3L(warning 9L)_EAN版本收缩膜+Baby EAN条码贴纸+意大利环保标贴纸+MA 5L收藏指南</t>
  </si>
  <si>
    <t>92108-S001-MTS</t>
  </si>
  <si>
    <t>包装请以正式订单的包装备注为准</t>
  </si>
  <si>
    <t>1TL9HS9C</t>
  </si>
  <si>
    <t>4500128123-10</t>
  </si>
  <si>
    <t>5/20取消</t>
  </si>
  <si>
    <t>外箱已消耗</t>
  </si>
  <si>
    <t>有</t>
  </si>
  <si>
    <t>4/12SSCC LABEL</t>
  </si>
  <si>
    <t>日期码格式：ZURU INC(BVI) 标准格式 日期：按实际生产日期
Packaging Info: Amazon IT(71126,77612,77614,92104ABDEGH,92105ADEGH,92107ABDE,92108DE,9548,9549AB)
6. 92107E
---92107E：92107E Ladybug, 8pcs/ctn; MA 3L(5L warning) A(EAN#版本)收缩膜+1张贴纸(1张UPC#贴纸+ITsorting label贴纸,参考翻单PO#4500124874)+MA 5L(23
L warning)A收藏指南+MA 5L A library card+MA 2L A布标+MA 1L A配件袋+MA 5L(9L warning)Slime胶袋；参考翻单PO#4500124874;
10. 验货时间不迟于2024/5/20.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</si>
  <si>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Melody Zhan</t>
  </si>
  <si>
    <t>15ZL98US</t>
  </si>
  <si>
    <t>4500128123-30</t>
  </si>
  <si>
    <t>日期码格式：ZURU INC(BVI) 标准格式 日期：按实际生产日期
Packaging Info: Amazon IT(71126,77612,77614,92104ABDEGH,92105ADEGH,92107ABDE,92108DE,9548,9549AB)
6. 92107A
---92107A：92107A Elephant, 8pcs/ctn; MA 3L(5L warning) A(EAN#版本)收缩膜+1张贴纸(1张UPC#贴纸+1张ITsorting label贴纸,参考翻单PO#4500124874)+MA
5L(23L warning)A收藏指南+MA 5L A library card+MA 2L A布标+MA 1L A配件袋+MA 5L(9L warning)Slime胶袋；参考翻单PO#4500124874;
10. 验货时间不迟于2024/5/20.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</si>
  <si>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23WKIRJH</t>
  </si>
  <si>
    <t>日期码格式：ZURU INC(BVI) 标准格式 日期：按实际生产日期
Packaging Info: Amazon IT(71126,77612,77614,92104ABDEGH,92105ADEGH,92107ABDE,92108DE,9548,9549AB)
6. 92107D
---92107D：92107D Butterfly, 8pcs/ctn; MA 3L(5L warning) A(EAN#版本)收缩膜+1张贴纸(1张UPC#贴纸+ITsorting label贴纸,参考翻单PO#4500124874)+MA 5L(
23L warning)A收藏指南+MA 5L A library card+MA 2L A布标+MA 1L A配件袋+MA 5L(9L warning)Slime胶袋；参考翻单PO#4500124874;
10. 验货时间不迟于2024/5/20.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</si>
  <si>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4500128123-150</t>
  </si>
  <si>
    <t>日期码格式：ZURU INC(BVI) 标准格式 日期：按实际生产日期
Packaging Info: Amazon IT(71126,77612,77614,92104ABDEGH,92105ADEGH,92107ABDE,92108DE,9548,9549AB)
6. 92107B
---92107B：92107B Giraffe, 8pcs/ctn; MA 3L(5L warning) A(EAN#版本)收缩膜+1张贴纸(1张UPC#贴纸+ITsorting label贴纸,参考翻单PO#4500124874)+MA 5L(23
L warning)A收藏指南+MA 5L A library card+MA 2L A布标+MA 1L A配件袋+MA 5L(9L warning)Slime胶袋；参考翻单PO#4500124874;
10. 验货时间不迟于2024/5/20.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</si>
  <si>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4500128123-100</t>
  </si>
  <si>
    <t>成品和外箱消耗到4500144675-92108E（内部）</t>
  </si>
  <si>
    <t>日期码格式：ZURU INC(BVI) 标准格式 日期：按实际生产日期
Packaging Info: Amazon IT(71126,77612,77614,92104ABDEGH,92105ADEGH,92107ABDE,92108DE,9548,9549AB)
7. 92108E
---92108E：92108E kitten, 1pc/mailbox, 2mailboxes/ctn; MA 1L A(UPC#版本)收缩膜+MA 5L(9L warning)A收藏指南+MA 1L A配件袋+MA 5L A Library Card+MA
2L A布标+MA 5L(9L warning) A Slime胶袋+客版邮包盒；参考翻单PO#4500124874;
;
10. 验货时间不迟于2024/5/20.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</si>
  <si>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5200004979</t>
  </si>
  <si>
    <t>4500138198-30</t>
  </si>
  <si>
    <t>92107-S001-MTS</t>
  </si>
  <si>
    <t>外箱，贴纸待消耗（92108有120个箱子待消耗）</t>
  </si>
  <si>
    <t>环保标贴纸 (翻单PO#4500131367)</t>
  </si>
  <si>
    <t>日期码格式：ZURU INC(BVI) 标准格式 日期：按实际生产日期
Packaging Info:
92107 ： MA A版 3L-9L EAN 收缩膜 + MA A版 5L-23L 收藏指南 + MA A版5L名字彩卡 + MA A版 5L-9L史莱姆袋子 + 一张贴于收缩膜上的意大利环保标贴纸 (翻
单PO#4500131367)
Remark: 1.法国内销单，ZURU 验货后即可出货；
2. 本订单所有 具有 baby items / assorted items 的款式，零售包装上都要用 母 EAN
3. 外箱GTIN 物流条码请参考箱唛指引
4.所有出口欧洲的产品, 法规规定禁止在包装和共公众用的印刷品中使用矿物油中含有的物质, 包装印刷油墨中含有的MOAH/MOSH的质量浓度不能超过1%, 否则出货
到法国被抽检出现问题, 供应商需要对此负责;
5. date code: 外箱/产品/包装 保持一致，完货后提供date code 信息以便我们保存记录做批次管理；</t>
  </si>
  <si>
    <t>SD45-Constance</t>
  </si>
  <si>
    <t>4503916401</t>
  </si>
  <si>
    <t>4500138726-30</t>
  </si>
  <si>
    <t>7/18取消</t>
  </si>
  <si>
    <t>欠可移动材质的价格贴纸</t>
  </si>
  <si>
    <t>日期码格式：ZURU INC(BVI) 标准格式 日期：按实际生产日期
Packaging Info: MA UPC英语包装（优先1L英语版本,或者3L/L含英语即可）+可移动材质的价格贴纸
Remark:
92107: 4 Assortment Ratio (Ladybug: Giraffe: Butterfly: Elephant)=1:1:1:1</t>
  </si>
  <si>
    <t>Coral Wu</t>
  </si>
  <si>
    <t>4500138726-40</t>
  </si>
  <si>
    <t>日期码格式：ZURU INC(BVI) 标准格式 日期：按实际生产日期
Packaging Info: MA UPC英语包装（优先1L英语版本,或者3L/L含英语即可）+可移动材质的价格贴纸
Remark:
92108: 4 Assortments (bunny: puppy: unicorn: kitten)=1:1:1:1; 3pcs AAA batteries (not included)</t>
  </si>
  <si>
    <t>7UGJPV1H</t>
  </si>
  <si>
    <t>4500140354-30</t>
  </si>
  <si>
    <t>日期码格式： 标准格式 日期：按实际生产日期
Packaging Info:
#92107: MA 1L UPC版本+ UPC贴纸跟返单4500134367；92107A:193052066817, 92107B:193052066824, 92107D:193052066831, 92107E:193052066848。
Remark: 1. Amazon FOB订单，出口US。外箱最长边不能超过25" (超过了，case pack只能为1)，不符合要求的大货，一律不接受。
2. 外箱正面印ZURU Logo+SSCC LABEL(客供贴纸)，侧面印item#(订单上显示的SKU#)+carton size(以工厂实际尺寸为准，单位: inch) +MADE IN CHINA，日期使用Z
URU 标准版本 SSCC Label 显示的是客人自己的item#， SSCC Label 贴在外箱正面的正中间，贴一面即可，跟单订购，贴纸离外箱距必须至少3cm，每一张SSCC la
bel 都是唯一且有不同流水及条码的，没有损耗，绝对不可贴错，否则贴错或损坏一张会导致全部都错。千万要注意，SSCC 贴纸务必要在正中间(可以覆盖Logo
&lt;(&gt;&amp;&lt;)&gt; 箱唛)，否则会影响到仓库扫描识别。
3. 日期码使用ZURU标准版本
邮包盒上要打上日期码
4. 按照客户PO# 装柜/箱号顺序装柜，跟单会提前给到装柜计划。请大货生产/仓库存放时留意，以便装柜时不混乱（装错/装漏/找不到货号）</t>
  </si>
  <si>
    <t>7SLS4R6S</t>
  </si>
  <si>
    <t>4500140354-70</t>
  </si>
  <si>
    <t>2ORA7M1U</t>
  </si>
  <si>
    <t>4500140354-90</t>
  </si>
  <si>
    <t>2O5PX24O</t>
  </si>
  <si>
    <t>4500140354-130</t>
  </si>
  <si>
    <t>2XJUMAKO</t>
  </si>
  <si>
    <t>4500140354-200</t>
  </si>
  <si>
    <t>1U3ZIHSL</t>
  </si>
  <si>
    <t>4500140333-60</t>
  </si>
  <si>
    <t>日期码格式：ZURU INC(BVI) 标准格式 日期：按实际生产日期
Packaging Info: #92107: MA 1L UPC版本 + UPC贴纸跟返单4500134367; 92107A:193052066817, 92107B:193052066824, 92107D:193052066831, 92107E:193052066848;
Remark: 1. Amazon FOB订单，出口US。外箱最长边不能超过25" （超过了，case pack只能为1），不符合要求的大货，一律不接受。
2. 外箱正面印ZURU Logo+SSCC LABEL（客供贴纸)，侧面印item#（订单上显示的SKU#)+carton size(以工厂实际尺寸为准，单位: inch) +MADE IN CHINA，日期使
用ZURU 标准版本 SSCC Label 显示的是客人自己的item#， SSCC Label 贴在外箱正面的正中间，贴一面即可，跟单订购，贴纸离外箱距必须至少3cm，每一张SSCC
label 都是唯一且有不同流水及条码的，没有损耗，绝对不可贴错，否则贴错或损坏一张会导致全部都错，千万要注意，SSCC 贴纸务必要在正中间(可以覆盖Logo
&lt;(&gt;&amp;&lt;)&gt; 箱唛)，否则会影响到仓库扫描识别。
3. 日期码使用ZURU标准版本
邮包盒上要打上日期码
4. 按照客户PO# 装柜/箱号顺序装柜，跟单会提前给到装柜计划。请大货生产/仓库存放时留意，以便装柜时不混乱（装错/装漏/找不到货号）</t>
  </si>
  <si>
    <t>77MV7YTD</t>
  </si>
  <si>
    <t>4500140333-180</t>
  </si>
  <si>
    <t>3ZYIALGX</t>
  </si>
  <si>
    <t>4500140333-210</t>
  </si>
  <si>
    <t>885YVSVI</t>
  </si>
  <si>
    <t>4500140333-360</t>
  </si>
  <si>
    <t>4D9CGBOR</t>
  </si>
  <si>
    <t>4500140333-390</t>
  </si>
  <si>
    <t>2V8VFAYW</t>
  </si>
  <si>
    <t>4500140333-400</t>
  </si>
  <si>
    <t>2FD5IDKU</t>
  </si>
  <si>
    <t>4500140333-410</t>
  </si>
  <si>
    <t>88M7HOML</t>
  </si>
  <si>
    <t>4500140333-110</t>
  </si>
  <si>
    <t>日期码格式：ZURU INC(BVI) 标准格式 日期：按实际生产日期
Packaging Info: 
#92108: MA 1L UPC版本+ 邮包盒, 邮包盒图稿跟返单4500134367;
Remark: 1. Amazon FOB订单，出口US。外箱最长边不能超过25" （超过了，case pack只能为1），不符合要求的大货，一律不接受。
2. 外箱正面印ZURU Logo+SSCC LABEL（客供贴纸)，侧面印item#（订单上显示的SKU#)+carton size(以工厂实际尺寸为准，单位: inch) +MADE IN CHINA，日期使
用ZURU 标准版本 SSCC Label 显示的是客人自己的item#， SSCC Label 贴在外箱正面的正中间，贴一面即可，跟单订购，贴纸离外箱距必须至少3cm，每一张SSCC
label 都是唯一且有不同流水及条码的，没有损耗，绝对不可贴错，否则贴错或损坏一张会导致全部都错，千万要注意，SSCC 贴纸务必要在正中间(可以覆盖Logo
&lt;(&gt;&amp;&lt;)&gt; 箱唛)，否则会影响到仓库扫描识别。
3. 日期码使用ZURU标准版本
邮包盒上要打上日期码
4. 按照客户PO# 装柜/箱号顺序装柜，跟单会提前给到装柜计划。请大货生产/仓库存放时留意，以便装柜时不混乱（装错/装漏/找不到货号）</t>
  </si>
  <si>
    <t>7XUASBAI</t>
  </si>
  <si>
    <t>4500140333-230</t>
  </si>
  <si>
    <t>7IQFTMYP</t>
  </si>
  <si>
    <t>4500140268-30</t>
  </si>
  <si>
    <t>日期码格式：ZURU INC(BVI) 标准格式 日期：按实际生产日期
Packaging Info: 
#92107 MA 1L UPC版本+ UPC贴纸跟返单4500134367；92107A:193052066817, 92107B:193052066824, 92107D:193052066831, 92107E:193052066848;
Remark: 1.Amazon FOB订单，出口US。外箱最长边不能超过25"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邮包盒上要打上日期码
4.按照客户PO# 装柜/箱号顺序装柜，跟单会提前给到装柜计划。请大货生产/仓库存放时留意，以便装柜时不混乱（装错/装漏/找不到货号）</t>
  </si>
  <si>
    <t>8FK1B9BQ</t>
  </si>
  <si>
    <t>4500140268-120</t>
  </si>
  <si>
    <t>17ABZLLH</t>
  </si>
  <si>
    <t>4500140268-150</t>
  </si>
  <si>
    <t>3DGLWHPW</t>
  </si>
  <si>
    <t>4500140268-220</t>
  </si>
  <si>
    <t>1MUEK5ND</t>
  </si>
  <si>
    <t>4500140268-230</t>
  </si>
  <si>
    <t>8PKT2GST</t>
  </si>
  <si>
    <t>4500140268-240</t>
  </si>
  <si>
    <t>6W2CY2SD</t>
  </si>
  <si>
    <t>4500140268-300</t>
  </si>
  <si>
    <t>22V1VHBW</t>
  </si>
  <si>
    <t>4500140268-260</t>
  </si>
  <si>
    <t>日期码格式：ZURU INC(BVI) 标准格式 日期：按实际生产日期
Packaging Info:
#92108 MA 1L UPC版本+ 邮包盒，邮包盒图稿跟返单4500134367；
Remark: 1.Amazon FOB订单，出口US。外箱最长边不能超过25"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邮包盒上要打上日期码
4.按照客户PO# 装柜/箱号顺序装柜，跟单会提前给到装柜计划。请大货生产/仓库存放时留意，以便装柜时不混乱（装错/装漏/找不到货号）</t>
  </si>
  <si>
    <t>6I19UU5T</t>
  </si>
  <si>
    <t>4500140268-310</t>
  </si>
  <si>
    <t>20229314</t>
  </si>
  <si>
    <t>4500140952-30</t>
  </si>
  <si>
    <t>8/2取消</t>
  </si>
  <si>
    <t>欠外箱SSCC Label+防盗贴纸 (贴纸以及位置图翻单PO#4500125858）</t>
  </si>
  <si>
    <t>日期码格式：ZURU INC(BVI) 标准格式 日期：按实际生产日期
Packaging Info: 
92107: MA英语UPC版本包装（收缩膜和说明书, MA首选1L，如无1L可用多语且含英语的配套多语包装) + 1张防盗贴纸 (贴纸以及位置图翻单PO#4500125858）+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</si>
  <si>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Amazon UK:
4CHYRZVJ</t>
  </si>
  <si>
    <t>4500142673-10</t>
  </si>
  <si>
    <t>8/22取消</t>
  </si>
  <si>
    <t>未定外箱已定贴纸</t>
  </si>
  <si>
    <t>翻单PO#4500124874</t>
  </si>
  <si>
    <t xml:space="preserve"> 日期码格式：ZURU INC(BVI) 标准格式 日期：按实际生产日期
Packaging Info:
Remark: Amazon UK(92107D, )
 1. 92107D：92107D Butterfly, 8pcs/ctn; MA 3L(5L warning) A(EAN#版本)收缩膜+1张贴纸(1张UPC#贴纸+ITsorting label贴纸&lt;(&gt;,&lt;)&gt;参考翻单PO#4500124874)+
 MA 5L(23L warning)B收藏指南+MA 5L B library card+MA 2L A布标+MA 1L B配件袋+MA 5L(9L warning)Slime B胶袋；
 10. 最迟验货不得晚于2024/9/11;</t>
  </si>
  <si>
    <t>Amazon UK:
7TMNQD1W</t>
  </si>
  <si>
    <t>4500142712-20</t>
  </si>
  <si>
    <t>外箱已消耗已定贴纸</t>
  </si>
  <si>
    <t>空白外箱（加印带Zuru字样的最新logo，除了邮包盒直接做外箱的产品） + SSCC LABEL一张</t>
  </si>
  <si>
    <t>翻单PO#4500124874+欠SSCC LABEL一张</t>
  </si>
  <si>
    <t>: 日期码格式：ZURU INC(BVI) 标准格式 日期：按实际生产日期
 3. 92107ABE:
 ---92107A: 92107A Elephant, 8pcs/ctn; MA 3L(9L warning) B(EAN#版本)收缩膜+1张贴纸(1张UPC#贴纸+1张ITsorting label贴纸&lt;(&gt;,&lt;)&gt;参考翻单PO#450012487
 4)+MA 5L(23L warning)B收藏指南+MA 5L B library card+MA 2L A布标+MA 1L B配件袋+MA 5L(9L warning)Slime B胶袋；
 6. 验货时间不迟于2024/9/16.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
 9. 箱唛资料按照给定的标准去做
即可，无需发回我方再行审批(新标准将另行通知)
 ;</t>
  </si>
  <si>
    <t>4500142712-30</t>
  </si>
  <si>
    <t>PRODUCT REQUERIMENTS
 Tracking Code: 日期码格式：ZURU INC(BVI) 标准格式 日期：按实际生产日期
Packaging Info: Amazon UK(71126,92104ADH, 92107ABE, 92108ABD,9548):
 ---92107B: 92107B Giraffe, 8pcs/ctn; MA 3L(9L warning) B(EAN#版本)收缩膜+1张贴纸(1张UPC#贴纸+ITsorting label贴纸&lt;(&gt;,&lt;)&gt;参考翻单PO#4500124874)+MA
 5L(23L warning)B收藏指南+MA 5L B library card+MA 2L A布标+MA 1L B配件袋+MA 5L(9L warning)Slime B胶袋；
 6. 验货时间不迟于2024/9/16.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
 9. 箱唛资料按照给定的标准去做
即可，无需发回我方再行审批(新标准将另行通知)
 ;</t>
  </si>
  <si>
    <t>4500142712-10</t>
  </si>
  <si>
    <t>未订外箱已定贴纸</t>
  </si>
  <si>
    <t>欠SSCC LABEL一张</t>
  </si>
  <si>
    <t>客版邮包盒参考翻单PO#4500124874</t>
  </si>
  <si>
    <t>PRODUCT REQUERIMENTS
 Tracking Code: 日期码格式：ZURU INC(BVI) 标准格式 日期：按实际生产日期
 4. 92108ABD:
 ---92108A: 92108A bunny, 1pc/mailbox, 2mailboxes/ctn; MA 1L A(UPC#版本)收缩膜+MA 5L(9L warning)A收藏指南+MA 1L A配件袋+MA 5L A Library Card+MA
 2L A布标+MA 5L(9L warning) A Slime胶袋+客版邮包盒；参考翻单PO#4500124874;
 6. 验货时间不迟于2024/9/16.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
 9. 箱唛资料按照给定的标准去做
即可，无需发回我方再行审批(新标准将另行通知)</t>
  </si>
  <si>
    <t>Amazon UK:
4G7HZ8LN</t>
  </si>
  <si>
    <t>4500142712-80</t>
  </si>
  <si>
    <t>: 日期码格式：ZURU INC(BVI) 标准格式 日期：按实际生产日期
 4. 92108ABD:
 ---92108B: 92108B puppy, 1pc/mailbox, 2mailboxes/ctn;MA 1L A(UPC#版本)收缩膜+MA 5L(9L warning)A收藏指南+MA 1L A配件袋+MA 5L A Library Card+MA 2L
 A布标+MA 5L(9L warning) A Slime胶袋+客版邮包盒；参考翻单PO#4500124874;;
 6. 验货时间不迟于2024/9/16.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
 9. 箱唛资料按照给定的标准去做
即可，无需发回我方再行审批(新标准将另行通知)</t>
  </si>
  <si>
    <t>4500142712-90</t>
  </si>
  <si>
    <t>: 日期码格式：ZURU INC(BVI) 标准格式 日期：按实际生产日期
 ---92108D: 92108D unicorn, 1pc/mailbox, 2mailboxes/ctn; MA 1L A(UPC#版本)收缩膜+MA 5L(9L warning)A收藏指南+MA 1L A配件袋+MA 5L A Library Card+MA
 2L A布标+MA 5L(9L warning) A Slime胶袋+客版邮包盒；参考翻单PO#4500124874;
 6. 验货时间不迟于2024/9/16.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
 9. 箱唛资料按照给定的标准去做
即可，无需发回我方再行审批(新标准将另行通知)</t>
  </si>
  <si>
    <t xml:space="preserve"> Amazon ES</t>
  </si>
  <si>
    <t xml:space="preserve"> 3TDZ9C4P</t>
  </si>
  <si>
    <t>4500142610-10</t>
  </si>
  <si>
    <t>已订外箱已定贴纸</t>
  </si>
  <si>
    <t>欠SSCC LABEL一张+翻单PO#4500124874</t>
  </si>
  <si>
    <t xml:space="preserve"> 日期码格式：ZURU INC(BVI) 标准格式 日期：按实际生产日期
Packaging Info: Amazon ES(92107AD)
 2. 92107D：92107D Butterfly, 8pcs/ctn; MA 3L(5L warning) A(EAN#版本)收缩膜+1张贴纸(1张UPC#贴纸+ITsorting label贴纸,参考翻单PO#4500124874)+MA 5L(
 23L warning)B收藏指南+MA 5L B library card+MA 2L A布标+MA 1L B配件袋+MA 5L(9L warning)Slime B胶袋；
 3. 最迟验货不得晚于2024/9/11;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</si>
  <si>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 xml:space="preserve"> Mandy Hu</t>
  </si>
  <si>
    <t>4500142610-20</t>
  </si>
  <si>
    <t xml:space="preserve"> 日期码格式：ZURU INC(BVI) 标准格式 日期：按实际生产日期
Packaging Info: Amazon ES(92107AD)
 1. 92107A：92107A Elephant, 8pcs/ctn; MA 3L(5L warning)  A(EAN#版本)收缩膜+1张贴纸(1张UPC#贴纸+1张ITsorting label贴纸,参考翻单PO#4500124874)+MA
 5L(23L warning)B收藏指南+MA 5L B library card+MA 2L A布标+MA 1L B配件袋+MA 5L(9L warning)Slime B胶袋；
 3. 最迟验货不得晚于2024/9/11;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</si>
  <si>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 xml:space="preserve"> 3POH24EL</t>
  </si>
  <si>
    <t>4500142613-10</t>
  </si>
  <si>
    <t xml:space="preserve">空白外箱（加印带Zuru字样的最新logo，除了邮包盒直接做外箱的产品） </t>
  </si>
  <si>
    <t>欠SSCC LABEL+(1张UPC#贴纸+ITsorting label贴纸,参考翻单PO#4500124874</t>
  </si>
  <si>
    <t xml:space="preserve"> 日期码格式：ZURU INC(BVI) 标准格式 日期：按实际生产日期
Packaging Info: Amazon ES(92107B,
 1. 92107B：92107B Giraffe, 8pcs/ctn; MA 3L(5L warning) B(EAN#版本)收缩膜+1张贴纸(1张UPC#贴纸+ITsorting label贴纸,参考翻单PO#4500124874)+MA 5L(2
 6. 最迟验货不得晚于2024/9/24;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</si>
  <si>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3R9L4BDL</t>
  </si>
  <si>
    <t>4500143709-220</t>
  </si>
  <si>
    <t>8/28取消</t>
  </si>
  <si>
    <t>外箱正面印ZURU Logo+SSCC LABEL（客供贴纸), 侧面印item#（订单上显示的SKU#)+carton size(以工厂实际尺寸为准,单位: inch) +MADE IN CHINA</t>
  </si>
  <si>
    <t>欠客供SSCC Label+UPC贴纸跟返单4500134367；92107A:193052066817, 92107B:193052066824, #92107 MA 1L UPC版本+ UPC贴纸跟返单4500134367；92107A:1
93052066817, 92107B:193052066824, 92107D:193052066831, 92107E:193052066848;</t>
  </si>
  <si>
    <t>日期码格式：ZURU INC(BVI) 标准格式 日期：按实际生产日期
Packaging Info: 
#92107 MA 1L UPC版本+ UPC贴纸跟返单4500134367；92107A:193052066817, 92107B:193052066824, #92107 MA 1L UPC版本+ UPC贴纸跟返单4500134367；92107A:1
93052066817, 92107B:193052066824, 92107D:193052066831, 92107E:193052066848;
Remark: 1.Amazon FOB订单，出口US。外箱最长边不能超过25"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邮包盒上要打日期码
4.按照客户PO# 装柜/箱号顺序装柜，跟单会提前给到装柜计划。请大货生产/仓库存放时留意，以便装柜时不混乱（装错/装漏/找不到货号）</t>
  </si>
  <si>
    <t>4500143709</t>
  </si>
  <si>
    <t>7F6VGT3R</t>
  </si>
  <si>
    <t>4500143709-230</t>
  </si>
  <si>
    <t>49ZY7CQB</t>
  </si>
  <si>
    <t>4500143709-240</t>
  </si>
  <si>
    <t>4IN45WZV</t>
  </si>
  <si>
    <t>4500143709-250</t>
  </si>
  <si>
    <t>4W83FO1Z</t>
  </si>
  <si>
    <t>4500143709-260</t>
  </si>
  <si>
    <t>715SDLFH</t>
  </si>
  <si>
    <t>4500143709-270</t>
  </si>
  <si>
    <t>7O4WCKWL</t>
  </si>
  <si>
    <t>4500143709-280</t>
  </si>
  <si>
    <t>3UHVPNCM</t>
  </si>
  <si>
    <t>4500143709-290</t>
  </si>
  <si>
    <t>7CK5521W</t>
  </si>
  <si>
    <t>4500143730-190</t>
  </si>
  <si>
    <t>欠客供SSCC Label+UPC贴纸跟返单4500134367；92107A:193052066817, 92107B:193052066824, 92107D:193052066831;</t>
  </si>
  <si>
    <t>日期码格式：ZURU INC(BVI) 标准格式 日期：按实际生产日期
Packaging Info: 
#92107 MA 1L UPC版本+ UPC贴纸跟返单4500134367；92107A:193052066817, 92107B:193052066824, 92107D:193052066831;
Remark: 1.Amazon FOB订单，出口US。
2.日期码使用ZURU标准版本。
3.如果大货有要求入邮包盒，则对应的邮包盒上面要打上日期码。
4.箱尺寸要求：外箱最长边不能超过25" （超过了，case pack只能为1），不符合要求的大货，一律不接受。
5.外箱箱唛要求：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6.装柜要求：按照客户PO# 装柜/箱号顺序装柜，跟单会提前给到装柜计划。
在大货生产/仓库存放时，请留意该装柜要求，以便装柜时不混乱（避免装错/装漏/找不到货号等）。</t>
  </si>
  <si>
    <t>88CMXPYY</t>
  </si>
  <si>
    <t>4500143730-200</t>
  </si>
  <si>
    <t>日期码格式：ZURU INC(BVI) 标准格式 日期：按实际生产日期
Packaging Info:
#92107 MA 1L UPC版本+ UPC贴纸跟返单4500134367；92107A:193052066817, 92107B:193052066824, 92107D:193052066831;
Remark: 1.Amazon FOB订单，出口US。
2.日期码使用ZURU标准版本。
3.如果大货有要求入邮包盒，则对应的邮包盒上面要打上日期码。
4.箱尺寸要求：外箱最长边不能超过25" （超过了，case pack只能为1），不符合要求的大货，一律不接受。
5.外箱箱唛要求：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6.装柜要求：按照客户PO# 装柜/箱号顺序装柜，跟单会提前给到装柜计划。
在大货生产/仓库存放时，请留意该装柜要求，以便装柜时不混乱（避免装错/装漏/找不到货号等）。</t>
  </si>
  <si>
    <t>2RXMJJIL</t>
  </si>
  <si>
    <t>4500143730-210</t>
  </si>
  <si>
    <t>4G6SA98A</t>
  </si>
  <si>
    <t>4500143730-220</t>
  </si>
  <si>
    <t>16YNH2TP</t>
  </si>
  <si>
    <t>4500143730-230</t>
  </si>
  <si>
    <t>3455GMPE</t>
  </si>
  <si>
    <t>4500143730-240</t>
  </si>
  <si>
    <t>欠客供SSCC Label</t>
  </si>
  <si>
    <t>邮包盒图稿跟返单4500134367</t>
  </si>
  <si>
    <t>日期码格式：ZURU INC(BVI) 标准格式 日期：按实际生产日期
Packaging Info: 
#92108 MA 1L UPC版本+ 邮包盒，邮包盒图稿跟返单4500134367；
Remark: 1.Amazon FOB订单，出口US。
2.日期码使用ZURU标准版本。
3.如果大货有要求入邮包盒，则对应的邮包盒上面要打上日期码。
4.箱尺寸要求：外箱最长边不能超过25" （超过了，case pack只能为1），不符合要求的大货，一律不接受。
5.外箱箱唛要求：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6.装柜要求：按照客户PO# 装柜/箱号顺序装柜，跟单会提前给到装柜计划。
在大货生产/仓库存放时，请留意该装柜要求，以便装柜时不混乱（避免装错/装漏/找不到货号等）。</t>
  </si>
  <si>
    <t>1YVE7EUJ</t>
  </si>
  <si>
    <t>4500143631-110</t>
  </si>
  <si>
    <t>欠客供SSCC Label+UPC贴纸跟返单4500134367；92107A:193052066817</t>
  </si>
  <si>
    <t>日期码格式：ZURU INC(BVI) 标准格式 日期：按实际生产日期
Packaging Info: 
#92107 MA 1L UPC版本+ UPC贴纸跟返单4500134367；92107A:193052066817.
Remark: 1. Amazon FOB订单，出口US。外箱最长边不能超过25" （超过了，case pack只能为1），不符合要求的大货，一律不接受。
2. 外箱正面印ZURU Logo+SSCC LABEL(客供贴纸)，侧面印item#(订单上显示的SKU#)+carton size(以工厂实际尺寸为准，单位: inch) +MADE IN CHINA，日期使用Z
URU 标准版本 SSCC Label 显示的是客人自己的item#， SSCC Label 贴在外箱正面的正中间，贴一面即可，跟单订购，贴纸离外箱距必须至少3cm，每一张SSCC la
bel 都是唯一且有不同流水及条码的，没有损耗，绝对不可贴错，否则贴错或损坏一张会导致全部都错，千万要注意，SSCC 贴纸务必要在正中间(可以覆盖Logo
&lt;(&gt;&amp;&lt;)&gt; 箱唛)，否则会影响到仓库扫描识别。
3. 日期码使用ZURU标准版本
邮包盒上要打上日期码
4. 按照客户PO# 装柜/箱号顺序装柜，跟单会提前给到装柜计划。请大货生产/仓库存放时留意，以便装柜时不混乱（装错/装漏/找不到货号）</t>
  </si>
  <si>
    <t>4500141730-10</t>
  </si>
  <si>
    <t>成品未消耗</t>
  </si>
  <si>
    <t>9/5客供SSCC Label</t>
  </si>
  <si>
    <t>日期码格式：ZURU INC(BVI) 标准格式 日期：按实际生产日期
Packaging Info: #92108: MA 1L UPC版本+ 邮包盒，邮包盒图稿跟返单4500134367；
Remark: 1.Amazon FOB订单，出口US。
2.日期码使用ZURU标准版本。邮包盒上要打日期码。
3.箱尺寸要求：外箱最长边不能超过25" （超过了，case pack只能为1），不符合要求的大货，一律不接受。
4.外箱箱唛要求：
①外箱正面印ZURU Logo+SSCC Label（客供贴纸，由跟单订购)。关于 SSCC Label 请注意：
SSCC Label 显示的是客人自己的item#。
SSCC Label 必须贴在外箱正面的正中间位置（贴一面即可），并且贴纸离外箱边距必须至少3cm(可以覆盖Logo&lt;(&gt;&amp;&lt;)&gt;箱唛)，否则会影响到客户那边仓库的扫描识
别。
每一张SSCC label 都是唯一且有不同流水及条码的，没有损耗，绝对不可贴错 。如果贴错或损坏任何一张，都会导致全部都错，千万要注意！
②外箱侧面印item#（订单上显示的SKU#)+carton size(以工厂实际尺寸为准,单位: inch) +MADE IN CHINA,日期使用ZURU 标准版本。
5.装柜要求：按照客户PO# 装柜/箱号顺序装柜，跟单会提前给到装柜计划。
在大货生产/仓库存放时，请留意该装柜要求，以便装柜时不混乱（避免装错/装漏/找不到货号等）。</t>
  </si>
  <si>
    <t>4500141730-50</t>
  </si>
  <si>
    <t>日期码格式：ZURU INC(BVI) 标准格式 日期：按实际生产日期
Packaging Info: #92108: MA 1L UPC版本+ 邮包盒，邮包盒图稿跟返单4500134367；
Remark: 1.Amazon FOB订单，出口US。
2.日期码使用ZURU标准版本。邮包盒上要打日期码。
3.箱尺寸要求：外箱最长边不能超过25" （超过了，case pack只能为1），不符合要求的大货，一律不接受。
4.外箱箱唛要求：
①外箱正面印ZURU Logo+SSCC Label（客供贴纸，由跟单订购)。关于 SSCC Label 请注意：
SSCC Label 显示的是客人自己的item#。
SSCC Label 必须贴在外箱正面的正中间位置（贴一面即可），并且贴纸离外箱边距必须至少3cm(可以覆盖Logo&lt;(&gt;&amp;&lt;)&gt;箱唛)，否则会影响到客户那边仓库的扫描识
别。
每一张SSCC label 都是唯一且有不同流水及条码的，没有损耗，绝对不可贴错 。如果贴错或损坏任何一张，都会导致全部都错，千万要注意！
②外箱侧面印item#（订单上显示的SKU#)+carton size(以工厂实际尺寸为准,单位: inch) +MADE IN CHINA,日期使用ZURU 标准版本。
5.装柜要求：按照客户PO# 装柜/箱号顺序装柜，跟单会提前给到装柜计划。
在大货生产/仓库存放时，请留意该装柜要求，以便装柜时不混乱（避免装错/装漏/找不到货号等）</t>
  </si>
  <si>
    <t>4500141730-80</t>
  </si>
  <si>
    <t>ROFU Kinderland Spielwarenhandelsge</t>
  </si>
  <si>
    <t>242273</t>
  </si>
  <si>
    <t>4500145189-30</t>
  </si>
  <si>
    <t>改期到4500145271订单（已完货）</t>
  </si>
  <si>
    <t>9/29*客供价格贴纸+德国TOP 10贴纸+1*不带电布标贴纸贴纸全部翻单：4500126384"</t>
  </si>
  <si>
    <t>日期码格式：ZURU INC(BVI) 标准格式 日期：按实际生产日期
Packaging Info:
"92107:MA A版3L 收缩膜+1*客供价格贴纸+德国TOP 10贴纸+MA 5L 收藏指南+MA 5L 史莱姆袋子+MA 布标+1*不带电布标贴纸+MA 纸袋+MA 5L BABY CARD
贴纸全部翻单：4500126384"
Remark: "1 此单出欧洲，需要无闪粉版本
2 此单需要在CRD当天传验货图片给客户确认才能出货。
3 需准时完成生产，推期出货会有罚款。"</t>
  </si>
  <si>
    <t>摇篮公子30pcs/展示架</t>
  </si>
  <si>
    <t>10/25取消</t>
  </si>
  <si>
    <t>摇篮公子24pcs/展示架</t>
  </si>
  <si>
    <t>4500148922-30</t>
  </si>
  <si>
    <t>2024/11/26取消</t>
  </si>
  <si>
    <t>10/28收到UPC贴纸</t>
  </si>
  <si>
    <t>日期码格式： 标准格式 日期：按实际生产日期
Packaging Info: 
92107 MA 3L EAN包装版本+UPC贴纸，无硼版本 UPC号码193052064738
Remark: "出加拿大
Zuru验货.日期跟踪码：产品外包装及产品本身都必须有日期跟踪码，ZURU标准格式日期码"</t>
  </si>
  <si>
    <t>4500158543-10</t>
  </si>
  <si>
    <t>转单4500163959&amp;4500164028</t>
  </si>
  <si>
    <t>日期码格式：外包装/外箱不要打ZURU标准日期码 日期： 
Packaging Info: 注意:外包装(指:收缩膜/彩卡/铝箔袋/挂卡/PDQ)/外箱不要打ZURU标准日期码!胶件可以打日期码。
 1L MA 收缩膜 + 进口商贴纸+ EAN条码贴纸 ， MA 指南
Remark: 标准配比
 请按期完货， 会有罚金。
 出2个港口Bekasovo 2 &lt;(&gt;&amp;&lt;)&gt; Ural</t>
  </si>
  <si>
    <t>4500158543-20</t>
  </si>
  <si>
    <t>日期码格式：外包装/外箱不要打ZURU标准日期码 日期：
Packaging Info: 注意:外包装(指:收缩膜/彩卡/铝箔袋/挂卡/PDQ)/外箱不要打ZURU标准日期码!胶件可以打日期码。
 1L MA 收缩膜 + 进口商贴纸+ EAN条码贴纸 ， MA 指南
Remark: 标准配比
 请按期完货， 会有罚金。
 出2个港口Bekasovo 2 &lt;(&gt;&amp;&lt;)&gt; Ural</t>
  </si>
  <si>
    <t>4/24取消</t>
  </si>
  <si>
    <t>4500162852-90</t>
  </si>
  <si>
    <t>消耗4500160671-10箱成品</t>
  </si>
  <si>
    <t>转单等通知</t>
  </si>
  <si>
    <t>4500162852-100</t>
  </si>
  <si>
    <t>4500162852-110</t>
  </si>
  <si>
    <t>PI:1100028524</t>
  </si>
  <si>
    <t>4500162852-10</t>
  </si>
  <si>
    <t>4500162852-20</t>
  </si>
  <si>
    <t>4500162852-30</t>
  </si>
  <si>
    <t>4500167846-10</t>
  </si>
  <si>
    <t>客人取消</t>
  </si>
  <si>
    <t>需要在正唛、侧唛右下角各贴一张slip sheet贴纸，直接用A4纸打印出来即可，贴纸尺寸160mm width x 140mm high</t>
  </si>
  <si>
    <t>日期码格式：ZURU INC(BVI) 标准格式 日期：按实际生产日期
Packaging Info: 1.92107SLB
92107-S003：MA最新1L UPC包装
UPC#193052064738, 请先检查条码是否正确再安排做货；
4 Assortment Ratio (Ladybug: Giraffe: Butterfly: Elephant)=1:1:1:1
Slip Sheet: 1 PCS/CTN, 22*4=88ctn=88pcs/slip sheet, 一共需要26套slip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3.以上产品如果是电子产品带电池出货，请加上WEEE带电池走货欧洲30语通用黑白说明书, 如果是电子产品不带电池出货，请加上WEEE不带电池走货欧洲30语通用黑
白说明书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</si>
  <si>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4500167852-10</t>
  </si>
  <si>
    <t>日期码格式：ZURU INC(BVI) 标准格式 日期：按实际生产日期
Packaging Info: 1.92107-S003：MA最新1L UPC包装
UPC#193052064738, 请先检查条码是否正确再安排做货；
4 Assortment Ratio (Ladybug: Giraffe: Butterfly: Elephant)=1:1:1:1
3.以上产品如果是电子产品带电池出货，请加上WEEE带电池走货欧洲30语通用黑白说明书, 如果是电子产品不带电池出货，请加上WEEE不带电池走货欧洲30语通用黑
白说明书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
4. 此单空运</t>
  </si>
  <si>
    <t>20935533</t>
  </si>
  <si>
    <t>4500170975-30</t>
  </si>
  <si>
    <t>4500166289-90</t>
  </si>
  <si>
    <t>4500169933-20</t>
  </si>
  <si>
    <t>欠外箱贴纸SSCC Label</t>
  </si>
  <si>
    <t>日期码格式：ZURU INC(BVI) 标准格式 日期：按实际生产日期
Packaging Info: 
2. 92107: MA_1L UPC版本包装（收缩膜和收藏指南, MA首选1L，如无1L可用多语且含英语的配套多语包装）+ 箱唛 +外箱贴纸SSCC Label；4 Assortment Ratio (
Ladybug: Giraffe: Butterfly: Elephant)=1:1:1:1;
Remark: 1.客人要求箱唛不可出现任何手写内容，重量与实际一致且不可手写;
2.此单去澳大利亚，请按相应澳新标准生产;
3.取消使用TARGET新版封箱胶封顶，外箱全部使用普通透明封箱胶纸(客版胶纸如还有库存，可先消耗库存)；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</si>
  <si>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4500164920-100</t>
  </si>
  <si>
    <t>日期码格式：ZURU INC(BVI) 标准格式 日期：按实际生产日期
Packaging Info:
92108:MA 3L EAN包装+UPC贴纸+MA 5L说明书+进口商贴纸+价标贴纸+箱唛+保证书，包装和说明书都需要贴一张进口商贴纸
Remark: 1. 此单价格贴纸（ZURU定购).
2.此单有第三方监柜，不用额外准备备品，会在大货中每款拆1pc，拆了包装的产品会由监装员用客供胶带封好或在外箱上写上"opened by telescope"</t>
  </si>
  <si>
    <t xml:space="preserve"> 61971743</t>
  </si>
  <si>
    <t>4500165982-160</t>
  </si>
  <si>
    <t>日期码格式：ZURU INC(BVI) 标准格式 日期：按实际生产日期
Packaging Info:
92108:MA 3L EAN包装+UPC贴纸+MA 5L说明书+进口商贴纸+价标贴纸+箱唛+保证，包装和说明书都需要贴一张进口商贴纸
Remark: 1. 此单价格贴纸（ZURU定购).
2.此单有第三方监柜，不用额外准备备品，会在大货中每款拆1pc，拆了包装的产品会由监装员用客供胶带封好或在外箱上写上""opened by telescope”</t>
  </si>
  <si>
    <t>4500158550-20</t>
  </si>
  <si>
    <t>日期码格式：外包装/外箱不要打ZURU标准日期码 日期： 
Packaging Info: 注意:外包装(指:收缩膜/彩卡/铝箔袋/挂卡/PDQ)/外箱不要打ZURU标准日期码!胶件可以打日期码。
 1L MA 收缩膜 + 进口商贴纸翻4500158543+ EAN条码贴纸翻4500158543 ， MA 指南
Remark: 标准配比
 请按期完货， 会有罚金。
 出2个港口Bekasovo 2 &lt;(&gt;&amp;&lt;)&gt; Ural</t>
  </si>
  <si>
    <t>4500164094-20</t>
  </si>
  <si>
    <t>日期码格式：外包装/外箱不要打ZURU标准日期码 日期：
Packaging Info: 注意:外包装(指:收缩膜/彩卡/铝箔袋/挂卡/PDQ)/外箱不要打ZURU标准日期码!胶件可以打日期码。
1L MA UPC包装+ 进口商贴纸翻4500164050+ EAN条码贴纸翻4500164050， MA 说明书/指南（如有） ;
Remark: 标准配比
请按期完货， 会有罚金。
出2个港口Bekasovo 2 &lt;(&gt;&amp;&lt;)&gt; Ural</t>
  </si>
  <si>
    <t>4500164094-40</t>
  </si>
  <si>
    <t>4500164094-10</t>
  </si>
  <si>
    <t>进口商贴纸EAN条码贴纸翻4500164050</t>
  </si>
  <si>
    <t>4500164094-30</t>
  </si>
  <si>
    <t>4500164050-10</t>
  </si>
  <si>
    <t>5/12-进口商贴纸+ EAN条码贴纸</t>
  </si>
  <si>
    <t>日期码格式：外包装/外箱不要打ZURU标准日期码 日期：
Packaging Info: 注意:外包装(指:收缩膜/彩卡/铝箔袋/挂卡/PDQ)/外箱不要打ZURU标准日期码!胶件可以打日期码。
1L MA UPC包装+ 进口商贴纸+ EAN条码贴纸， MA 说明书/指南（如有） ;
Remark: 标准配比
请按期完货， 会有罚金。
出2个港口Bekasovo 2 &lt;(&gt;&amp;&lt;)&gt; Ural</t>
  </si>
  <si>
    <t>4500164050-30</t>
  </si>
  <si>
    <t>4500164050-20</t>
  </si>
  <si>
    <t>4500164050-40</t>
  </si>
  <si>
    <t>4500189742-20</t>
  </si>
  <si>
    <t>1/21客人取消</t>
  </si>
  <si>
    <t>日期码格式：ZURU INC(BVI) 标准格式 日期：按实际生产日期
Packaging Info: 9
92107：MA B版1L UPC收缩膜+1张4国警告语贴纸（Czech-Hugarian-Polish-Slovak）新稿,先检查包装条码#193052064738是否正确再安排做货)；
Remark: 1.此单出欧洲国家，需满足EU测试标准，微塑料需满足EU法规要求；
2.产品及包装需要印CE &lt;(&gt;&amp;&lt;)&gt; 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
7.货物不能用打包带缠绕外箱，否则会影响目的港派送及可能产生额外的拆打包带费用</t>
  </si>
  <si>
    <t>完成期</t>
  </si>
  <si>
    <r>
      <rPr>
        <b/>
        <sz val="14"/>
        <rFont val="宋体"/>
        <charset val="0"/>
      </rPr>
      <t>MA  1語收縮膜-</t>
    </r>
    <r>
      <rPr>
        <b/>
        <sz val="14"/>
        <color rgb="FFFF0000"/>
        <rFont val="宋体"/>
        <charset val="0"/>
      </rPr>
      <t>B版本</t>
    </r>
  </si>
  <si>
    <r>
      <rPr>
        <b/>
        <sz val="14"/>
        <rFont val="宋体"/>
        <charset val="134"/>
      </rPr>
      <t xml:space="preserve">MA 5语
收藏指南
</t>
    </r>
    <r>
      <rPr>
        <b/>
        <sz val="14"/>
        <color rgb="FFFF0000"/>
        <rFont val="宋体"/>
        <charset val="134"/>
      </rPr>
      <t>-B版本</t>
    </r>
  </si>
  <si>
    <t>全套旧版本</t>
  </si>
  <si>
    <t>B版本收缩膜/收藏指南+A版本口水胶/猫脸贴纸</t>
  </si>
  <si>
    <t>B版本收缩膜+A版本指南/口水胶/猫脸贴纸</t>
  </si>
  <si>
    <t>B版本收缩膜+A版本口水胶/收藏指南/猫脸贴纸</t>
  </si>
  <si>
    <t>客办膜+B版本收藏指南/猫脸贴纸+A版本口水胶</t>
  </si>
  <si>
    <t>B版本收缩膜/收藏指南/猫脸贴纸+A版本口水胶</t>
  </si>
  <si>
    <t>客办收缩膜+全套新包材</t>
  </si>
  <si>
    <t>客户PO#42620724</t>
  </si>
  <si>
    <t>待确认生产</t>
  </si>
  <si>
    <t>红色字体版本为最新包装，黑色为旧版本包装</t>
  </si>
  <si>
    <r>
      <rPr>
        <sz val="16"/>
        <rFont val="宋体"/>
        <charset val="134"/>
        <scheme val="minor"/>
      </rPr>
      <t>A版本口水胶+</t>
    </r>
    <r>
      <rPr>
        <sz val="16"/>
        <color rgb="FFFF0000"/>
        <rFont val="宋体"/>
        <charset val="134"/>
        <scheme val="minor"/>
      </rPr>
      <t>C版本配件包（香味贴纸/指定配件）</t>
    </r>
  </si>
  <si>
    <r>
      <rPr>
        <sz val="16"/>
        <rFont val="宋体"/>
        <charset val="134"/>
        <scheme val="minor"/>
      </rPr>
      <t>B版本膜+A版本指南+口水胶</t>
    </r>
    <r>
      <rPr>
        <sz val="16"/>
        <color rgb="FFFF0000"/>
        <rFont val="宋体"/>
        <charset val="134"/>
        <scheme val="minor"/>
      </rPr>
      <t>+C版本配件包（香味贴纸/指定配件）</t>
    </r>
  </si>
  <si>
    <t>版本待定</t>
  </si>
  <si>
    <t>最晚6/16</t>
  </si>
  <si>
    <t>最晚6/21</t>
  </si>
  <si>
    <t>最晚6/19</t>
  </si>
  <si>
    <r>
      <rPr>
        <sz val="16"/>
        <rFont val="宋体"/>
        <charset val="134"/>
        <scheme val="minor"/>
      </rPr>
      <t>B版本膜+A版本口水胶+</t>
    </r>
    <r>
      <rPr>
        <sz val="16"/>
        <color rgb="FFFF0000"/>
        <rFont val="宋体"/>
        <charset val="134"/>
        <scheme val="minor"/>
      </rPr>
      <t>C版本配件包（香味贴纸/指定配件）</t>
    </r>
  </si>
  <si>
    <t>最晚6/23</t>
  </si>
  <si>
    <t>6/20第三方（大概率现场验货）</t>
  </si>
  <si>
    <t>最晚6/20</t>
  </si>
  <si>
    <t>暂定6/25出</t>
  </si>
  <si>
    <t>最晚6/28</t>
  </si>
  <si>
    <t>最晚6/24</t>
  </si>
  <si>
    <t>最晚6/27</t>
  </si>
  <si>
    <t>6/27第三方</t>
  </si>
  <si>
    <t>最晚6/30</t>
  </si>
  <si>
    <t>最晚7/7</t>
  </si>
  <si>
    <r>
      <rPr>
        <sz val="16"/>
        <color rgb="FFFF0000"/>
        <rFont val="宋体"/>
        <charset val="134"/>
        <scheme val="minor"/>
      </rPr>
      <t>C版本收缩膜+指南</t>
    </r>
    <r>
      <rPr>
        <sz val="16"/>
        <rFont val="宋体"/>
        <charset val="134"/>
        <scheme val="minor"/>
      </rPr>
      <t>+A版本口水胶+</t>
    </r>
    <r>
      <rPr>
        <sz val="16"/>
        <color rgb="FFFF0000"/>
        <rFont val="宋体"/>
        <charset val="134"/>
        <scheme val="minor"/>
      </rPr>
      <t>C版本配件包（香味贴纸/指定配件）</t>
    </r>
  </si>
  <si>
    <t>最晚7/1</t>
  </si>
  <si>
    <t>最晚7/4</t>
  </si>
  <si>
    <t>最晚7/2</t>
  </si>
  <si>
    <r>
      <rPr>
        <sz val="16"/>
        <rFont val="宋体"/>
        <charset val="134"/>
        <scheme val="minor"/>
      </rPr>
      <t>B版本膜+A版本口水胶+指南+</t>
    </r>
    <r>
      <rPr>
        <sz val="16"/>
        <color rgb="FFFF0000"/>
        <rFont val="宋体"/>
        <charset val="134"/>
        <scheme val="minor"/>
      </rPr>
      <t>C版本配件包（香味贴纸/指定配件）</t>
    </r>
  </si>
  <si>
    <t>最晚7/3</t>
  </si>
  <si>
    <t>最晚7/8</t>
  </si>
  <si>
    <t>货期待定</t>
  </si>
  <si>
    <r>
      <rPr>
        <sz val="16"/>
        <color rgb="FFFF0000"/>
        <rFont val="宋体"/>
        <charset val="134"/>
        <scheme val="minor"/>
      </rPr>
      <t>C版本收缩膜</t>
    </r>
    <r>
      <rPr>
        <sz val="16"/>
        <rFont val="宋体"/>
        <charset val="134"/>
        <scheme val="minor"/>
      </rPr>
      <t>+A版本指南+口水胶+</t>
    </r>
    <r>
      <rPr>
        <sz val="16"/>
        <color rgb="FFFF0000"/>
        <rFont val="宋体"/>
        <charset val="134"/>
        <scheme val="minor"/>
      </rPr>
      <t>C版本配件包（香味贴纸/指定配件）</t>
    </r>
  </si>
  <si>
    <t>最晚7/10</t>
  </si>
  <si>
    <t>货期待定  底托翻4500163957</t>
  </si>
  <si>
    <t>9298H-S001-MTS-邮包盒</t>
  </si>
  <si>
    <r>
      <rPr>
        <sz val="16"/>
        <rFont val="宋体"/>
        <charset val="134"/>
        <scheme val="minor"/>
      </rPr>
      <t>A版本口水胶+</t>
    </r>
    <r>
      <rPr>
        <sz val="16"/>
        <color rgb="FFFF0000"/>
        <rFont val="宋体"/>
        <charset val="134"/>
        <scheme val="minor"/>
      </rPr>
      <t>B版本指南+C版本配件包（香味贴纸/指定配件）</t>
    </r>
  </si>
  <si>
    <t>9298-S008-NB-PKC</t>
  </si>
  <si>
    <r>
      <rPr>
        <sz val="16"/>
        <color rgb="FFFF0000"/>
        <rFont val="宋体"/>
        <charset val="134"/>
        <scheme val="minor"/>
      </rPr>
      <t>C版本收缩膜+B版本指南</t>
    </r>
    <r>
      <rPr>
        <sz val="16"/>
        <rFont val="宋体"/>
        <charset val="134"/>
        <scheme val="minor"/>
      </rPr>
      <t>+A版本口水胶+</t>
    </r>
    <r>
      <rPr>
        <sz val="16"/>
        <color rgb="FFFF0000"/>
        <rFont val="宋体"/>
        <charset val="134"/>
        <scheme val="minor"/>
      </rPr>
      <t>C版本配件包（香味贴纸/指定配件）</t>
    </r>
  </si>
  <si>
    <t>B版本口水胶+C版本配件包（香味贴纸/指定配件）</t>
  </si>
  <si>
    <t>全套新包装-除PDQ</t>
  </si>
  <si>
    <t>7/29第三方</t>
  </si>
  <si>
    <r>
      <rPr>
        <b/>
        <sz val="16"/>
        <rFont val="Arial"/>
        <charset val="0"/>
      </rPr>
      <t xml:space="preserve">ZURU  Rainbocorn </t>
    </r>
    <r>
      <rPr>
        <b/>
        <sz val="16"/>
        <rFont val="宋体"/>
        <charset val="134"/>
      </rPr>
      <t>樣板訂單</t>
    </r>
  </si>
  <si>
    <r>
      <rPr>
        <b/>
        <sz val="20"/>
        <color indexed="39"/>
        <rFont val="Arial"/>
        <charset val="0"/>
      </rPr>
      <t>1</t>
    </r>
    <r>
      <rPr>
        <b/>
        <sz val="20"/>
        <color indexed="39"/>
        <rFont val="宋体"/>
        <charset val="134"/>
      </rPr>
      <t>代珠片公仔</t>
    </r>
    <r>
      <rPr>
        <b/>
        <sz val="20"/>
        <color indexed="39"/>
        <rFont val="Arial"/>
        <charset val="0"/>
      </rPr>
      <t>#9201</t>
    </r>
  </si>
  <si>
    <r>
      <rPr>
        <b/>
        <sz val="20"/>
        <color indexed="10"/>
        <rFont val="宋体"/>
        <charset val="134"/>
      </rPr>
      <t>2代珠片公仔</t>
    </r>
    <r>
      <rPr>
        <b/>
        <sz val="20"/>
        <color indexed="10"/>
        <rFont val="Arial"/>
        <charset val="0"/>
      </rPr>
      <t>#9202</t>
    </r>
  </si>
  <si>
    <t>#9204</t>
  </si>
  <si>
    <t>#9214</t>
  </si>
  <si>
    <t>#9209</t>
  </si>
  <si>
    <t>#9202</t>
  </si>
  <si>
    <r>
      <rPr>
        <b/>
        <sz val="16"/>
        <rFont val="Arial"/>
        <charset val="0"/>
      </rPr>
      <t>#9214</t>
    </r>
    <r>
      <rPr>
        <b/>
        <sz val="16"/>
        <rFont val="宋体"/>
        <charset val="134"/>
      </rPr>
      <t>（第二代）</t>
    </r>
  </si>
  <si>
    <t>#9215</t>
  </si>
  <si>
    <t>#9212</t>
  </si>
  <si>
    <t>#9213</t>
  </si>
  <si>
    <t>#9207</t>
  </si>
  <si>
    <t>#9208</t>
  </si>
  <si>
    <r>
      <rPr>
        <b/>
        <sz val="11"/>
        <color indexed="39"/>
        <rFont val="Arial"/>
        <charset val="0"/>
      </rPr>
      <t>A</t>
    </r>
    <r>
      <rPr>
        <b/>
        <sz val="11"/>
        <color indexed="39"/>
        <rFont val="宋体"/>
        <charset val="134"/>
      </rPr>
      <t>版本</t>
    </r>
  </si>
  <si>
    <r>
      <rPr>
        <b/>
        <sz val="11"/>
        <color indexed="39"/>
        <rFont val="Arial"/>
        <charset val="0"/>
      </rPr>
      <t>B</t>
    </r>
    <r>
      <rPr>
        <b/>
        <sz val="11"/>
        <color indexed="39"/>
        <rFont val="宋体"/>
        <charset val="134"/>
      </rPr>
      <t>版本</t>
    </r>
  </si>
  <si>
    <t>香港接单日期</t>
  </si>
  <si>
    <r>
      <rPr>
        <b/>
        <sz val="11"/>
        <rFont val="Arial"/>
        <charset val="0"/>
      </rPr>
      <t xml:space="preserve">ZURU </t>
    </r>
    <r>
      <rPr>
        <b/>
        <sz val="11"/>
        <rFont val="宋体"/>
        <charset val="134"/>
      </rPr>
      <t>跟单</t>
    </r>
  </si>
  <si>
    <t>ZURU PO NO#</t>
  </si>
  <si>
    <r>
      <rPr>
        <b/>
        <sz val="11"/>
        <rFont val="Arial"/>
        <charset val="0"/>
      </rPr>
      <t>第三方客户</t>
    </r>
    <r>
      <rPr>
        <b/>
        <sz val="11"/>
        <rFont val="Arial"/>
        <charset val="0"/>
      </rPr>
      <t xml:space="preserve">
 PO NO#</t>
    </r>
  </si>
  <si>
    <r>
      <rPr>
        <b/>
        <sz val="10"/>
        <rFont val="Arial"/>
        <charset val="0"/>
      </rPr>
      <t>PO</t>
    </r>
    <r>
      <rPr>
        <b/>
        <sz val="10"/>
        <rFont val="宋体"/>
        <charset val="134"/>
      </rPr>
      <t>数量</t>
    </r>
    <r>
      <rPr>
        <b/>
        <sz val="10"/>
        <rFont val="Arial"/>
        <charset val="0"/>
      </rPr>
      <t xml:space="preserve">
(pcs)</t>
    </r>
  </si>
  <si>
    <r>
      <rPr>
        <b/>
        <sz val="10"/>
        <rFont val="Arial"/>
        <charset val="0"/>
      </rPr>
      <t>内箱装箱数量</t>
    </r>
    <r>
      <rPr>
        <b/>
        <sz val="10"/>
        <rFont val="Arial"/>
        <charset val="0"/>
      </rPr>
      <t>(pcs)</t>
    </r>
  </si>
  <si>
    <r>
      <rPr>
        <b/>
        <sz val="11"/>
        <rFont val="Arial"/>
        <charset val="0"/>
      </rPr>
      <t>外箱装箱数量</t>
    </r>
    <r>
      <rPr>
        <b/>
        <sz val="11"/>
        <rFont val="Arial"/>
        <charset val="0"/>
      </rPr>
      <t>(pcs)</t>
    </r>
  </si>
  <si>
    <r>
      <rPr>
        <b/>
        <sz val="11"/>
        <rFont val="Arial"/>
        <charset val="0"/>
      </rPr>
      <t>单价</t>
    </r>
    <r>
      <rPr>
        <b/>
        <sz val="11"/>
        <rFont val="Arial"/>
        <charset val="0"/>
      </rPr>
      <t>USD</t>
    </r>
  </si>
  <si>
    <r>
      <rPr>
        <b/>
        <sz val="11"/>
        <rFont val="Arial"/>
        <charset val="0"/>
      </rPr>
      <t>金额</t>
    </r>
    <r>
      <rPr>
        <b/>
        <sz val="11"/>
        <rFont val="Arial"/>
        <charset val="0"/>
      </rPr>
      <t>USD</t>
    </r>
  </si>
  <si>
    <r>
      <rPr>
        <b/>
        <sz val="11"/>
        <rFont val="Arial"/>
        <charset val="0"/>
      </rPr>
      <t>ZURU</t>
    </r>
    <r>
      <rPr>
        <b/>
        <sz val="11"/>
        <rFont val="宋体"/>
        <charset val="134"/>
      </rPr>
      <t>验货</t>
    </r>
    <r>
      <rPr>
        <b/>
        <sz val="11"/>
        <rFont val="Arial"/>
        <charset val="0"/>
      </rPr>
      <t xml:space="preserve">
</t>
    </r>
    <r>
      <rPr>
        <b/>
        <sz val="11"/>
        <rFont val="宋体"/>
        <charset val="134"/>
      </rPr>
      <t>日期</t>
    </r>
  </si>
  <si>
    <t>第三方客户公证行验货</t>
  </si>
  <si>
    <r>
      <rPr>
        <b/>
        <sz val="11"/>
        <rFont val="Arial"/>
        <charset val="0"/>
      </rPr>
      <t>ZURU</t>
    </r>
    <r>
      <rPr>
        <b/>
        <sz val="11"/>
        <rFont val="宋体"/>
        <charset val="134"/>
      </rPr>
      <t>订单走货日期</t>
    </r>
  </si>
  <si>
    <r>
      <rPr>
        <b/>
        <sz val="11"/>
        <rFont val="Arial"/>
        <charset val="0"/>
      </rPr>
      <t>ZURU</t>
    </r>
    <r>
      <rPr>
        <b/>
        <sz val="11"/>
        <rFont val="宋体"/>
        <charset val="134"/>
      </rPr>
      <t>确认走货日期</t>
    </r>
  </si>
  <si>
    <r>
      <rPr>
        <b/>
        <sz val="11"/>
        <rFont val="Arial"/>
        <charset val="0"/>
      </rPr>
      <t>箱唛资料</t>
    </r>
    <r>
      <rPr>
        <b/>
        <sz val="11"/>
        <rFont val="Arial"/>
        <charset val="0"/>
      </rPr>
      <t>(</t>
    </r>
    <r>
      <rPr>
        <b/>
        <sz val="11"/>
        <rFont val="宋体"/>
        <charset val="134"/>
      </rPr>
      <t>收到日期</t>
    </r>
    <r>
      <rPr>
        <b/>
        <sz val="11"/>
        <rFont val="Arial"/>
        <charset val="0"/>
      </rPr>
      <t>)</t>
    </r>
  </si>
  <si>
    <r>
      <rPr>
        <b/>
        <sz val="11"/>
        <rFont val="Arial"/>
        <charset val="0"/>
      </rPr>
      <t>箱唛资料</t>
    </r>
    <r>
      <rPr>
        <b/>
        <sz val="11"/>
        <rFont val="Arial"/>
        <charset val="0"/>
      </rPr>
      <t>(确认日期)</t>
    </r>
  </si>
  <si>
    <r>
      <rPr>
        <b/>
        <sz val="11"/>
        <rFont val="Arial"/>
        <charset val="0"/>
      </rPr>
      <t>客供贴纸</t>
    </r>
    <r>
      <rPr>
        <b/>
        <sz val="11"/>
        <rFont val="Arial"/>
        <charset val="0"/>
      </rPr>
      <t>AI(</t>
    </r>
    <r>
      <rPr>
        <b/>
        <sz val="11"/>
        <rFont val="宋体"/>
        <charset val="134"/>
      </rPr>
      <t>收到日期</t>
    </r>
    <r>
      <rPr>
        <b/>
        <sz val="11"/>
        <rFont val="Arial"/>
        <charset val="0"/>
      </rPr>
      <t>)</t>
    </r>
  </si>
  <si>
    <r>
      <rPr>
        <b/>
        <sz val="11"/>
        <color indexed="39"/>
        <rFont val="Arial"/>
        <charset val="0"/>
      </rPr>
      <t>MA  1</t>
    </r>
    <r>
      <rPr>
        <b/>
        <sz val="11"/>
        <color indexed="39"/>
        <rFont val="宋体"/>
        <charset val="134"/>
      </rPr>
      <t>語收縮膜</t>
    </r>
  </si>
  <si>
    <r>
      <rPr>
        <b/>
        <sz val="11"/>
        <color indexed="39"/>
        <rFont val="Arial"/>
        <charset val="0"/>
      </rPr>
      <t>MA 3</t>
    </r>
    <r>
      <rPr>
        <b/>
        <sz val="11"/>
        <color indexed="39"/>
        <rFont val="宋体"/>
        <charset val="134"/>
      </rPr>
      <t>語收縮膜</t>
    </r>
  </si>
  <si>
    <r>
      <rPr>
        <b/>
        <sz val="11"/>
        <color indexed="39"/>
        <rFont val="Arial"/>
        <charset val="0"/>
      </rPr>
      <t>MA 1</t>
    </r>
    <r>
      <rPr>
        <b/>
        <sz val="11"/>
        <color indexed="39"/>
        <rFont val="宋体"/>
        <charset val="134"/>
      </rPr>
      <t>語说明书
A版本</t>
    </r>
  </si>
  <si>
    <r>
      <rPr>
        <b/>
        <sz val="11"/>
        <color indexed="39"/>
        <rFont val="Arial"/>
        <charset val="0"/>
      </rPr>
      <t>MA 1</t>
    </r>
    <r>
      <rPr>
        <b/>
        <sz val="11"/>
        <color indexed="39"/>
        <rFont val="宋体"/>
        <charset val="134"/>
      </rPr>
      <t>語说明书</t>
    </r>
    <r>
      <rPr>
        <b/>
        <sz val="11"/>
        <color indexed="39"/>
        <rFont val="Arial"/>
        <charset val="0"/>
      </rPr>
      <t xml:space="preserve">
B版本</t>
    </r>
  </si>
  <si>
    <r>
      <rPr>
        <b/>
        <sz val="11"/>
        <color indexed="39"/>
        <rFont val="Arial"/>
        <charset val="0"/>
      </rPr>
      <t>MA 3</t>
    </r>
    <r>
      <rPr>
        <b/>
        <sz val="11"/>
        <color indexed="39"/>
        <rFont val="宋体"/>
        <charset val="134"/>
      </rPr>
      <t>語說明書</t>
    </r>
    <r>
      <rPr>
        <b/>
        <sz val="11"/>
        <color indexed="39"/>
        <rFont val="Arial"/>
        <charset val="0"/>
      </rPr>
      <t xml:space="preserve">
A版本</t>
    </r>
  </si>
  <si>
    <r>
      <rPr>
        <b/>
        <sz val="11"/>
        <color indexed="39"/>
        <rFont val="Arial"/>
        <charset val="0"/>
      </rPr>
      <t>MA 3</t>
    </r>
    <r>
      <rPr>
        <b/>
        <sz val="11"/>
        <color indexed="39"/>
        <rFont val="宋体"/>
        <charset val="134"/>
      </rPr>
      <t>語說明書</t>
    </r>
    <r>
      <rPr>
        <b/>
        <sz val="11"/>
        <color indexed="39"/>
        <rFont val="Arial"/>
        <charset val="0"/>
      </rPr>
      <t xml:space="preserve">
B</t>
    </r>
    <r>
      <rPr>
        <b/>
        <sz val="11"/>
        <color indexed="39"/>
        <rFont val="宋体"/>
        <charset val="134"/>
      </rPr>
      <t>版本</t>
    </r>
  </si>
  <si>
    <t>客版說明書</t>
  </si>
  <si>
    <r>
      <rPr>
        <b/>
        <sz val="11"/>
        <color indexed="10"/>
        <rFont val="Arial"/>
        <charset val="0"/>
      </rPr>
      <t>MA  1</t>
    </r>
    <r>
      <rPr>
        <b/>
        <sz val="11"/>
        <color indexed="10"/>
        <rFont val="宋体"/>
        <charset val="134"/>
      </rPr>
      <t>語收縮膜</t>
    </r>
  </si>
  <si>
    <r>
      <rPr>
        <b/>
        <sz val="11"/>
        <color indexed="10"/>
        <rFont val="Arial"/>
        <charset val="0"/>
      </rPr>
      <t>MA 3</t>
    </r>
    <r>
      <rPr>
        <b/>
        <sz val="11"/>
        <color indexed="10"/>
        <rFont val="宋体"/>
        <charset val="134"/>
      </rPr>
      <t>語收縮膜</t>
    </r>
  </si>
  <si>
    <r>
      <rPr>
        <b/>
        <sz val="11"/>
        <color indexed="10"/>
        <rFont val="Arial"/>
        <charset val="0"/>
      </rPr>
      <t>MA 1</t>
    </r>
    <r>
      <rPr>
        <b/>
        <sz val="11"/>
        <color indexed="10"/>
        <rFont val="宋体"/>
        <charset val="134"/>
      </rPr>
      <t>語说明书</t>
    </r>
    <r>
      <rPr>
        <b/>
        <sz val="11"/>
        <color indexed="10"/>
        <rFont val="Arial"/>
        <charset val="0"/>
      </rPr>
      <t xml:space="preserve">
A</t>
    </r>
    <r>
      <rPr>
        <b/>
        <sz val="11"/>
        <color indexed="10"/>
        <rFont val="宋体"/>
        <charset val="134"/>
      </rPr>
      <t>版本</t>
    </r>
  </si>
  <si>
    <r>
      <rPr>
        <b/>
        <sz val="11"/>
        <color indexed="10"/>
        <rFont val="Arial"/>
        <charset val="0"/>
      </rPr>
      <t>MA 1</t>
    </r>
    <r>
      <rPr>
        <b/>
        <sz val="11"/>
        <color indexed="10"/>
        <rFont val="宋体"/>
        <charset val="134"/>
      </rPr>
      <t>語说明书</t>
    </r>
    <r>
      <rPr>
        <b/>
        <sz val="11"/>
        <color indexed="10"/>
        <rFont val="Arial"/>
        <charset val="0"/>
      </rPr>
      <t xml:space="preserve">
B版本</t>
    </r>
  </si>
  <si>
    <r>
      <rPr>
        <b/>
        <sz val="11"/>
        <color indexed="10"/>
        <rFont val="Arial"/>
        <charset val="0"/>
      </rPr>
      <t>MA 3</t>
    </r>
    <r>
      <rPr>
        <b/>
        <sz val="11"/>
        <color indexed="10"/>
        <rFont val="宋体"/>
        <charset val="134"/>
      </rPr>
      <t>語說明書</t>
    </r>
    <r>
      <rPr>
        <b/>
        <sz val="11"/>
        <color indexed="10"/>
        <rFont val="Arial"/>
        <charset val="0"/>
      </rPr>
      <t xml:space="preserve">
A版本</t>
    </r>
  </si>
  <si>
    <r>
      <rPr>
        <b/>
        <sz val="11"/>
        <color indexed="10"/>
        <rFont val="Arial"/>
        <charset val="0"/>
      </rPr>
      <t>MA 3</t>
    </r>
    <r>
      <rPr>
        <b/>
        <sz val="11"/>
        <color indexed="10"/>
        <rFont val="宋体"/>
        <charset val="134"/>
      </rPr>
      <t>語說明書
B版本</t>
    </r>
  </si>
  <si>
    <t>MA 1語收縮膜</t>
  </si>
  <si>
    <t>MA 1語說明書</t>
  </si>
  <si>
    <t>MA 2語說明書（加拿大版本）</t>
  </si>
  <si>
    <t>落加拿大
棉花泥</t>
  </si>
  <si>
    <t>9201SQ1</t>
  </si>
  <si>
    <r>
      <rPr>
        <sz val="10"/>
        <rFont val="Arial"/>
        <charset val="0"/>
      </rPr>
      <t>MA 1</t>
    </r>
    <r>
      <rPr>
        <sz val="10"/>
        <rFont val="宋体"/>
        <charset val="134"/>
      </rPr>
      <t>語收縮膜</t>
    </r>
    <r>
      <rPr>
        <sz val="10"/>
        <rFont val="Arial"/>
        <charset val="0"/>
      </rPr>
      <t xml:space="preserve">
A</t>
    </r>
  </si>
  <si>
    <r>
      <rPr>
        <sz val="10"/>
        <rFont val="Arial"/>
        <charset val="0"/>
      </rPr>
      <t>MA 1</t>
    </r>
    <r>
      <rPr>
        <sz val="10"/>
        <rFont val="宋体"/>
        <charset val="134"/>
      </rPr>
      <t>語收縮膜
B</t>
    </r>
  </si>
  <si>
    <r>
      <rPr>
        <sz val="10"/>
        <rFont val="Arial"/>
        <charset val="0"/>
      </rPr>
      <t>MA 1</t>
    </r>
    <r>
      <rPr>
        <sz val="10"/>
        <rFont val="宋体"/>
        <charset val="134"/>
      </rPr>
      <t>語說明書</t>
    </r>
    <r>
      <rPr>
        <sz val="10"/>
        <rFont val="Arial"/>
        <charset val="0"/>
      </rPr>
      <t xml:space="preserve">
A</t>
    </r>
  </si>
  <si>
    <r>
      <rPr>
        <sz val="10"/>
        <rFont val="Arial"/>
        <charset val="0"/>
      </rPr>
      <t>MA 1</t>
    </r>
    <r>
      <rPr>
        <sz val="10"/>
        <rFont val="宋体"/>
        <charset val="134"/>
      </rPr>
      <t>語說明書
B</t>
    </r>
  </si>
  <si>
    <r>
      <rPr>
        <sz val="10"/>
        <rFont val="Arial"/>
        <charset val="0"/>
      </rPr>
      <t>9214SQ1
MA PDQ</t>
    </r>
    <r>
      <rPr>
        <sz val="10"/>
        <rFont val="宋体"/>
        <charset val="134"/>
      </rPr>
      <t>盒</t>
    </r>
  </si>
  <si>
    <r>
      <rPr>
        <sz val="10"/>
        <rFont val="Arial"/>
        <charset val="0"/>
      </rPr>
      <t xml:space="preserve">9214UQ1
</t>
    </r>
    <r>
      <rPr>
        <sz val="10"/>
        <rFont val="宋体"/>
        <charset val="134"/>
      </rPr>
      <t>客办</t>
    </r>
    <r>
      <rPr>
        <sz val="10"/>
        <rFont val="Arial"/>
        <charset val="0"/>
      </rPr>
      <t>PDQ盒</t>
    </r>
  </si>
  <si>
    <r>
      <rPr>
        <b/>
        <sz val="11"/>
        <color indexed="10"/>
        <rFont val="Arial"/>
        <charset val="0"/>
      </rPr>
      <t>MA 1</t>
    </r>
    <r>
      <rPr>
        <b/>
        <sz val="11"/>
        <color indexed="10"/>
        <rFont val="宋体"/>
        <charset val="134"/>
      </rPr>
      <t>語收縮膜</t>
    </r>
  </si>
  <si>
    <r>
      <rPr>
        <b/>
        <sz val="11"/>
        <color indexed="10"/>
        <rFont val="Arial"/>
        <charset val="0"/>
      </rPr>
      <t>MA 1</t>
    </r>
    <r>
      <rPr>
        <b/>
        <sz val="11"/>
        <color indexed="10"/>
        <rFont val="宋体"/>
        <charset val="134"/>
      </rPr>
      <t>語說明書</t>
    </r>
  </si>
  <si>
    <r>
      <rPr>
        <b/>
        <sz val="11"/>
        <color indexed="10"/>
        <rFont val="Arial"/>
        <charset val="0"/>
      </rPr>
      <t>MA 3</t>
    </r>
    <r>
      <rPr>
        <b/>
        <sz val="11"/>
        <color indexed="10"/>
        <rFont val="宋体"/>
        <charset val="134"/>
      </rPr>
      <t>語說明書</t>
    </r>
  </si>
  <si>
    <r>
      <rPr>
        <b/>
        <sz val="11"/>
        <color indexed="39"/>
        <rFont val="宋体"/>
        <charset val="134"/>
      </rPr>
      <t>玫紅猴子</t>
    </r>
    <r>
      <rPr>
        <b/>
        <sz val="11"/>
        <color indexed="39"/>
        <rFont val="Arial"/>
        <charset val="0"/>
      </rPr>
      <t xml:space="preserve">
Monkey（A）</t>
    </r>
  </si>
  <si>
    <r>
      <rPr>
        <b/>
        <sz val="11"/>
        <color indexed="39"/>
        <rFont val="宋体"/>
        <charset val="134"/>
      </rPr>
      <t>黃色猴子</t>
    </r>
    <r>
      <rPr>
        <b/>
        <sz val="11"/>
        <color indexed="39"/>
        <rFont val="Arial"/>
        <charset val="0"/>
      </rPr>
      <t xml:space="preserve">
Monkey</t>
    </r>
    <r>
      <rPr>
        <b/>
        <sz val="11"/>
        <color indexed="39"/>
        <rFont val="宋体"/>
        <charset val="134"/>
      </rPr>
      <t>（B）</t>
    </r>
  </si>
  <si>
    <r>
      <rPr>
        <b/>
        <sz val="11"/>
        <color indexed="39"/>
        <rFont val="宋体"/>
        <charset val="134"/>
      </rPr>
      <t>粉紅貓</t>
    </r>
    <r>
      <rPr>
        <b/>
        <sz val="11"/>
        <color indexed="39"/>
        <rFont val="Arial"/>
        <charset val="0"/>
      </rPr>
      <t xml:space="preserve">
Kitty
</t>
    </r>
    <r>
      <rPr>
        <b/>
        <sz val="11"/>
        <color indexed="39"/>
        <rFont val="宋体"/>
        <charset val="134"/>
      </rPr>
      <t>（A）</t>
    </r>
  </si>
  <si>
    <r>
      <rPr>
        <b/>
        <sz val="11"/>
        <color indexed="39"/>
        <rFont val="宋体"/>
        <charset val="134"/>
      </rPr>
      <t>玫紅貓</t>
    </r>
    <r>
      <rPr>
        <b/>
        <sz val="11"/>
        <color indexed="39"/>
        <rFont val="Arial"/>
        <charset val="0"/>
      </rPr>
      <t xml:space="preserve">
Kitty
</t>
    </r>
    <r>
      <rPr>
        <b/>
        <sz val="11"/>
        <color indexed="39"/>
        <rFont val="宋体"/>
        <charset val="134"/>
      </rPr>
      <t>（B）</t>
    </r>
  </si>
  <si>
    <r>
      <rPr>
        <b/>
        <sz val="11"/>
        <color indexed="39"/>
        <rFont val="宋体"/>
        <charset val="134"/>
      </rPr>
      <t>白色兔子</t>
    </r>
    <r>
      <rPr>
        <b/>
        <sz val="11"/>
        <color indexed="39"/>
        <rFont val="Arial"/>
        <charset val="0"/>
      </rPr>
      <t xml:space="preserve">
Rabbit
</t>
    </r>
    <r>
      <rPr>
        <b/>
        <sz val="11"/>
        <color indexed="39"/>
        <rFont val="宋体"/>
        <charset val="134"/>
      </rPr>
      <t>（</t>
    </r>
    <r>
      <rPr>
        <b/>
        <sz val="11"/>
        <color indexed="39"/>
        <rFont val="Arial"/>
        <charset val="0"/>
      </rPr>
      <t>A）</t>
    </r>
  </si>
  <si>
    <r>
      <rPr>
        <b/>
        <sz val="11"/>
        <color indexed="39"/>
        <rFont val="宋体"/>
        <charset val="134"/>
      </rPr>
      <t>玫紅兔子</t>
    </r>
    <r>
      <rPr>
        <b/>
        <sz val="11"/>
        <color indexed="39"/>
        <rFont val="Arial"/>
        <charset val="0"/>
      </rPr>
      <t xml:space="preserve">
Rabbit
（B）</t>
    </r>
  </si>
  <si>
    <r>
      <rPr>
        <b/>
        <sz val="11"/>
        <color indexed="39"/>
        <rFont val="宋体"/>
        <charset val="134"/>
      </rPr>
      <t>白色獨角獸</t>
    </r>
    <r>
      <rPr>
        <b/>
        <sz val="11"/>
        <color indexed="39"/>
        <rFont val="Arial"/>
        <charset val="0"/>
      </rPr>
      <t xml:space="preserve">
Unicorn
</t>
    </r>
    <r>
      <rPr>
        <b/>
        <sz val="11"/>
        <color indexed="39"/>
        <rFont val="宋体"/>
        <charset val="134"/>
      </rPr>
      <t>（A）</t>
    </r>
  </si>
  <si>
    <r>
      <rPr>
        <b/>
        <sz val="11"/>
        <color indexed="39"/>
        <rFont val="宋体"/>
        <charset val="134"/>
      </rPr>
      <t>玫紅獨角獸</t>
    </r>
    <r>
      <rPr>
        <b/>
        <sz val="11"/>
        <color indexed="39"/>
        <rFont val="Arial"/>
        <charset val="0"/>
      </rPr>
      <t xml:space="preserve">
Unicorn
</t>
    </r>
    <r>
      <rPr>
        <b/>
        <sz val="11"/>
        <color indexed="39"/>
        <rFont val="宋体"/>
        <charset val="134"/>
      </rPr>
      <t>（B）</t>
    </r>
  </si>
  <si>
    <r>
      <rPr>
        <b/>
        <sz val="11"/>
        <color indexed="39"/>
        <rFont val="宋体"/>
        <charset val="134"/>
      </rPr>
      <t>紫色小狗</t>
    </r>
    <r>
      <rPr>
        <b/>
        <sz val="11"/>
        <color indexed="39"/>
        <rFont val="Arial"/>
        <charset val="0"/>
      </rPr>
      <t xml:space="preserve">
Puppy
（A）</t>
    </r>
  </si>
  <si>
    <r>
      <rPr>
        <b/>
        <sz val="11"/>
        <color indexed="39"/>
        <rFont val="宋体"/>
        <charset val="134"/>
      </rPr>
      <t>藍色小狗</t>
    </r>
    <r>
      <rPr>
        <b/>
        <sz val="11"/>
        <color indexed="39"/>
        <rFont val="Arial"/>
        <charset val="0"/>
      </rPr>
      <t xml:space="preserve">
Puppy
</t>
    </r>
    <r>
      <rPr>
        <b/>
        <sz val="11"/>
        <color indexed="39"/>
        <rFont val="宋体"/>
        <charset val="134"/>
      </rPr>
      <t>（B）</t>
    </r>
  </si>
  <si>
    <r>
      <rPr>
        <b/>
        <sz val="11"/>
        <color indexed="39"/>
        <rFont val="宋体"/>
        <charset val="134"/>
      </rPr>
      <t>粉色倉鼠</t>
    </r>
    <r>
      <rPr>
        <b/>
        <sz val="11"/>
        <color indexed="39"/>
        <rFont val="Arial"/>
        <charset val="0"/>
      </rPr>
      <t xml:space="preserve">
Hamster
（A）</t>
    </r>
  </si>
  <si>
    <r>
      <rPr>
        <b/>
        <sz val="11"/>
        <color indexed="39"/>
        <rFont val="宋体"/>
        <charset val="134"/>
      </rPr>
      <t>橙色倉鼠</t>
    </r>
    <r>
      <rPr>
        <b/>
        <sz val="11"/>
        <color indexed="39"/>
        <rFont val="Arial"/>
        <charset val="0"/>
      </rPr>
      <t xml:space="preserve">
Hamster
（B）</t>
    </r>
  </si>
  <si>
    <t>羊駝
Llama（白色）</t>
  </si>
  <si>
    <t>羊駝
Llama（紫色）</t>
  </si>
  <si>
    <t>火烈鳥
Flamingo
（玫紅色）</t>
  </si>
  <si>
    <t>火烈鳥
Flamingo
（彩虹色）</t>
  </si>
  <si>
    <t>火烈鳥
Flamingo
（金色）</t>
  </si>
  <si>
    <t>熊貓
Panda
（黑白色）</t>
  </si>
  <si>
    <t>熊貓
Panda
（粉紅色）</t>
  </si>
  <si>
    <t>貓頭鷹
OWL
（紫色）</t>
  </si>
  <si>
    <t>貓頭鷹
OWL
（白色）</t>
  </si>
  <si>
    <t>獨角獸
Unicorn
（白色）</t>
  </si>
  <si>
    <t>獨角獸
Unicorn
（紫色）</t>
  </si>
  <si>
    <t>獅子
Lion
（粉紅色）</t>
  </si>
  <si>
    <t>獅子
Lion
（黃色）</t>
  </si>
  <si>
    <t xml:space="preserve">白色獨角獸
Unicorn </t>
  </si>
  <si>
    <t>枚红色火烈鸟
Flamingo</t>
  </si>
  <si>
    <t>白色羊驼
Llama</t>
  </si>
  <si>
    <t>白色猫头鹰
White Owl</t>
  </si>
  <si>
    <t>粉色狮子
Pink Lion</t>
  </si>
  <si>
    <t>黄色猴子
Yellow Monkey</t>
  </si>
  <si>
    <t>紫色独角兽
Purple Unicorn</t>
  </si>
  <si>
    <t>白色熊猫
White Panda</t>
  </si>
  <si>
    <t>彩色火烈鸟
Colour Flamingo</t>
  </si>
  <si>
    <t xml:space="preserve">獨角獸
Unicorn </t>
  </si>
  <si>
    <t>孔雀
Peacock</t>
  </si>
  <si>
    <t>火烈鸟
Toucan</t>
  </si>
  <si>
    <t>树懒
Sloth</t>
  </si>
  <si>
    <t>大象
Elephant</t>
  </si>
  <si>
    <t>老虎
Tiger</t>
  </si>
  <si>
    <t>梅花鹿
Giraffe</t>
  </si>
  <si>
    <t>斑马
Zebra</t>
  </si>
  <si>
    <r>
      <rPr>
        <sz val="11"/>
        <color indexed="39"/>
        <rFont val="宋体"/>
        <charset val="134"/>
      </rPr>
      <t>兔子</t>
    </r>
    <r>
      <rPr>
        <sz val="11"/>
        <color indexed="39"/>
        <rFont val="Arial"/>
        <charset val="0"/>
      </rPr>
      <t xml:space="preserve">
Bunny
</t>
    </r>
    <r>
      <rPr>
        <sz val="11"/>
        <color indexed="39"/>
        <rFont val="宋体"/>
        <charset val="134"/>
      </rPr>
      <t>含海绵</t>
    </r>
  </si>
  <si>
    <r>
      <rPr>
        <sz val="11"/>
        <color indexed="39"/>
        <rFont val="宋体"/>
        <charset val="134"/>
      </rPr>
      <t>小狗</t>
    </r>
    <r>
      <rPr>
        <sz val="11"/>
        <color indexed="39"/>
        <rFont val="Arial"/>
        <charset val="0"/>
      </rPr>
      <t xml:space="preserve">
Puppy</t>
    </r>
  </si>
  <si>
    <r>
      <rPr>
        <sz val="11"/>
        <color indexed="39"/>
        <rFont val="宋体"/>
        <charset val="134"/>
      </rPr>
      <t>羊驼</t>
    </r>
    <r>
      <rPr>
        <sz val="11"/>
        <color indexed="39"/>
        <rFont val="Arial"/>
        <charset val="0"/>
      </rPr>
      <t xml:space="preserve"> 
Llama</t>
    </r>
  </si>
  <si>
    <r>
      <rPr>
        <sz val="11"/>
        <color indexed="39"/>
        <rFont val="宋体"/>
        <charset val="134"/>
      </rPr>
      <t>小猫</t>
    </r>
    <r>
      <rPr>
        <sz val="11"/>
        <color indexed="39"/>
        <rFont val="Arial"/>
        <charset val="0"/>
      </rPr>
      <t xml:space="preserve">
Kitty
</t>
    </r>
    <r>
      <rPr>
        <sz val="11"/>
        <color indexed="39"/>
        <rFont val="宋体"/>
        <charset val="134"/>
      </rPr>
      <t>含海绵</t>
    </r>
  </si>
  <si>
    <r>
      <rPr>
        <sz val="11"/>
        <color indexed="39"/>
        <rFont val="宋体"/>
        <charset val="134"/>
      </rPr>
      <t>独角兽</t>
    </r>
    <r>
      <rPr>
        <sz val="11"/>
        <color indexed="39"/>
        <rFont val="Arial"/>
        <charset val="0"/>
      </rPr>
      <t xml:space="preserve">
Unicorn</t>
    </r>
  </si>
  <si>
    <r>
      <rPr>
        <sz val="11"/>
        <color indexed="39"/>
        <rFont val="宋体"/>
        <charset val="134"/>
      </rPr>
      <t>猴子</t>
    </r>
    <r>
      <rPr>
        <sz val="11"/>
        <color indexed="39"/>
        <rFont val="Arial"/>
        <charset val="0"/>
      </rPr>
      <t xml:space="preserve">
Monkey</t>
    </r>
  </si>
  <si>
    <t>小猫
Kitten</t>
  </si>
  <si>
    <t>独角兽
Unicorn</t>
  </si>
  <si>
    <t>大嘴鸟
Toucan</t>
  </si>
  <si>
    <t>2PK超小蛋殼公仔</t>
  </si>
  <si>
    <t>4PK超小蛋殼公仔</t>
  </si>
  <si>
    <t>Binnie</t>
  </si>
  <si>
    <t>ZMPO18068</t>
  </si>
  <si>
    <t>9201-S001</t>
  </si>
  <si>
    <t>珠片公仔</t>
  </si>
  <si>
    <t>MA布標</t>
  </si>
  <si>
    <t>Amanda</t>
  </si>
  <si>
    <t>ZMPO18078</t>
  </si>
  <si>
    <t>Angela</t>
  </si>
  <si>
    <t>簽板</t>
  </si>
  <si>
    <t>Lingly</t>
  </si>
  <si>
    <r>
      <rPr>
        <sz val="12"/>
        <rFont val="Arial"/>
        <charset val="0"/>
      </rPr>
      <t>GP</t>
    </r>
    <r>
      <rPr>
        <sz val="12"/>
        <rFont val="宋体"/>
        <charset val="134"/>
      </rPr>
      <t>測試版</t>
    </r>
  </si>
  <si>
    <t>Holly</t>
  </si>
  <si>
    <t>寄客版</t>
  </si>
  <si>
    <t>Sara</t>
  </si>
  <si>
    <t>郵件</t>
  </si>
  <si>
    <t>Candide客户样品</t>
  </si>
  <si>
    <t>Tiffany</t>
  </si>
  <si>
    <t>大貨簽板</t>
  </si>
  <si>
    <t>EURO TOYS EUROPE BV</t>
  </si>
  <si>
    <t>Lucky</t>
  </si>
  <si>
    <t>產前測試</t>
  </si>
  <si>
    <t>CENCOSUD CHILE</t>
  </si>
  <si>
    <t>年齡評估樣品</t>
  </si>
  <si>
    <t>ZMPO18086</t>
  </si>
  <si>
    <t>丹麥布標</t>
  </si>
  <si>
    <t>GP FRANCE</t>
  </si>
  <si>
    <t>法國布標</t>
  </si>
  <si>
    <t>GP ITALY</t>
  </si>
  <si>
    <t>意大利布標</t>
  </si>
  <si>
    <t>TOY TRIANGLE CO.W.L.L</t>
  </si>
  <si>
    <t>Express Gifts Ltd</t>
  </si>
  <si>
    <t>9201-S006</t>
  </si>
  <si>
    <t>P.M.I TRADING &amp; ENTERPRISE LTS34</t>
  </si>
  <si>
    <t>TOYS kingdom</t>
  </si>
  <si>
    <t>CANDIDE IND E COM LTDA</t>
  </si>
  <si>
    <t>巴西布標</t>
  </si>
  <si>
    <t>WAL-MART.COM</t>
  </si>
  <si>
    <t>大貨版、簽板</t>
  </si>
  <si>
    <t>GP SPAIN</t>
  </si>
  <si>
    <t>西班牙布標</t>
  </si>
  <si>
    <t>土耳其布標</t>
  </si>
  <si>
    <t>MA 3語簽板</t>
  </si>
  <si>
    <t>大貨樣板</t>
  </si>
  <si>
    <t>9201-S003</t>
  </si>
  <si>
    <t>Intek 客户样品</t>
  </si>
  <si>
    <t>ZMPO18108</t>
  </si>
  <si>
    <t>DISTRIBUIDORA JUGUETRON S.A DE C.V</t>
  </si>
  <si>
    <t>抽版</t>
  </si>
  <si>
    <t>粉紅色獨角獸</t>
  </si>
  <si>
    <t>大貨版</t>
  </si>
  <si>
    <t>GP法國</t>
  </si>
  <si>
    <t>ZMPO18123</t>
  </si>
  <si>
    <t>樣品訂單</t>
  </si>
  <si>
    <t>ZMPO18131</t>
  </si>
  <si>
    <t>測試樣品</t>
  </si>
  <si>
    <t>C/Sam's club</t>
  </si>
  <si>
    <t>MO 20181120</t>
  </si>
  <si>
    <t>WMCA</t>
  </si>
  <si>
    <t>Ever</t>
  </si>
  <si>
    <r>
      <rPr>
        <sz val="11"/>
        <rFont val="Arial"/>
        <charset val="0"/>
      </rPr>
      <t>GP</t>
    </r>
    <r>
      <rPr>
        <sz val="11"/>
        <rFont val="宋体"/>
        <charset val="134"/>
      </rPr>
      <t>法國</t>
    </r>
  </si>
  <si>
    <r>
      <rPr>
        <sz val="11"/>
        <rFont val="Arial"/>
        <charset val="0"/>
      </rPr>
      <t>GP</t>
    </r>
    <r>
      <rPr>
        <sz val="11"/>
        <rFont val="宋体"/>
        <charset val="134"/>
      </rPr>
      <t>西班牙</t>
    </r>
  </si>
  <si>
    <t>GP西班牙</t>
  </si>
  <si>
    <t>Aimee</t>
  </si>
  <si>
    <t>ZY#5700005</t>
  </si>
  <si>
    <t>筑愉</t>
  </si>
  <si>
    <t>9201EC-S002</t>
  </si>
  <si>
    <t>空展示櫃</t>
  </si>
  <si>
    <t>SAM’S CLUB US</t>
  </si>
  <si>
    <t>9201PL-S002</t>
  </si>
  <si>
    <t>Ada</t>
  </si>
  <si>
    <t>ZMPO18162</t>
  </si>
  <si>
    <t>庫有</t>
  </si>
  <si>
    <t>廣州ITS測試版</t>
  </si>
  <si>
    <t>holly</t>
  </si>
  <si>
    <t>Elaine</t>
  </si>
  <si>
    <t>測試版</t>
  </si>
  <si>
    <t>RELIANCE LIFESTYLE HOLDINGS LIMITED</t>
  </si>
  <si>
    <t>Christal</t>
  </si>
  <si>
    <t>WM簽板</t>
  </si>
  <si>
    <t>WAL-MART STORES INC.USA</t>
  </si>
  <si>
    <t>9201PL-S003</t>
  </si>
  <si>
    <t>GP Spain</t>
  </si>
  <si>
    <t>大貨樣品</t>
  </si>
  <si>
    <t>EUROPRIS</t>
  </si>
  <si>
    <t>Tony</t>
  </si>
  <si>
    <t>BV測試版</t>
  </si>
  <si>
    <t>GP</t>
  </si>
  <si>
    <t>GP測試版</t>
  </si>
  <si>
    <t>9202-S001</t>
  </si>
  <si>
    <t>2代珠片公仔</t>
  </si>
  <si>
    <t>9202-WMUS-S001</t>
  </si>
  <si>
    <t>Maria</t>
  </si>
  <si>
    <t>QA測試版</t>
  </si>
  <si>
    <t>Bella</t>
  </si>
  <si>
    <t>9202-S005</t>
  </si>
  <si>
    <t>GRUPO RUZ</t>
  </si>
  <si>
    <t>1代珠片公仔</t>
  </si>
  <si>
    <t>小蛋殼毛絨公仔</t>
  </si>
  <si>
    <t>9204UQ3-S001</t>
  </si>
  <si>
    <t>Target US</t>
  </si>
  <si>
    <t>9202-S002</t>
  </si>
  <si>
    <t>9204UQ1-S002</t>
  </si>
  <si>
    <t>Hailey</t>
  </si>
  <si>
    <t>9204-S004</t>
  </si>
  <si>
    <t>小蛋殼毛絨公仔
PDQ裝</t>
  </si>
  <si>
    <t>Victoria</t>
  </si>
  <si>
    <t>WM CA</t>
  </si>
  <si>
    <t>WM US</t>
  </si>
  <si>
    <t>測試樣+大貨樣</t>
  </si>
  <si>
    <t>bella</t>
  </si>
  <si>
    <t>B&amp;M</t>
  </si>
  <si>
    <t>9204SQ1-S001</t>
  </si>
  <si>
    <t>Toy triangle</t>
  </si>
  <si>
    <t>樣板</t>
  </si>
  <si>
    <t>harmony</t>
  </si>
  <si>
    <t>广告样品</t>
  </si>
  <si>
    <t>estate</t>
  </si>
  <si>
    <t>产前测试版</t>
  </si>
  <si>
    <t>9209-S001</t>
  </si>
  <si>
    <t>超大蛋壳</t>
  </si>
  <si>
    <t>Lori</t>
  </si>
  <si>
    <t>TOY TRIANGLE COMPANY(UAE)</t>
  </si>
  <si>
    <t>大货样板</t>
  </si>
  <si>
    <t>Vivian</t>
  </si>
  <si>
    <t>KC测试样品需求</t>
  </si>
  <si>
    <t>Monica</t>
  </si>
  <si>
    <t>Sam's</t>
  </si>
  <si>
    <t>见客版</t>
  </si>
  <si>
    <t>Andy</t>
  </si>
  <si>
    <t>Colony Brands</t>
  </si>
  <si>
    <t>测试样板</t>
  </si>
  <si>
    <t>9209A-S001</t>
  </si>
  <si>
    <t>火烈鸟</t>
  </si>
  <si>
    <t>TOYS R US JAPAN LTD</t>
  </si>
  <si>
    <t>Estate</t>
  </si>
  <si>
    <t>签版</t>
  </si>
  <si>
    <t>测试办</t>
  </si>
  <si>
    <t>GSS</t>
  </si>
  <si>
    <t>产前办</t>
  </si>
  <si>
    <t>小蛋壳毛絨公仔</t>
  </si>
  <si>
    <t>产中抽板</t>
  </si>
  <si>
    <t>签办</t>
  </si>
  <si>
    <t>Kalyn</t>
  </si>
  <si>
    <t>大货办</t>
  </si>
  <si>
    <t>9202-S009</t>
  </si>
  <si>
    <t>Abbey</t>
  </si>
  <si>
    <t>THE FARMERS'TRADING COMPANY LIMITE</t>
  </si>
  <si>
    <t>Kate</t>
  </si>
  <si>
    <t>筑愉（深圳）贸易有限公司</t>
  </si>
  <si>
    <t>IDA LI</t>
  </si>
  <si>
    <t>Lois</t>
  </si>
  <si>
    <t xml:space="preserve"> A.S. WATSON RETAIL (HK) LIMITED
</t>
  </si>
  <si>
    <t>9204SQ1-S002</t>
  </si>
  <si>
    <t>ORBICO SP.Z O O</t>
  </si>
  <si>
    <t>筑愉(深圳）贸易有限公司</t>
  </si>
  <si>
    <r>
      <rPr>
        <sz val="11"/>
        <rFont val="Arial"/>
        <charset val="0"/>
      </rPr>
      <t>9202-S007
(A</t>
    </r>
    <r>
      <rPr>
        <sz val="11"/>
        <rFont val="宋体"/>
        <charset val="134"/>
      </rPr>
      <t>款）</t>
    </r>
  </si>
  <si>
    <t>Sherry</t>
  </si>
  <si>
    <t>Smyths Toys HQ UC</t>
  </si>
  <si>
    <t>9209B-S001</t>
  </si>
  <si>
    <t>羊駝</t>
  </si>
  <si>
    <t>Angel</t>
  </si>
  <si>
    <t>WAL-MART CANADA CORP</t>
  </si>
  <si>
    <t>9202A</t>
  </si>
  <si>
    <t>Jannie</t>
  </si>
  <si>
    <t>LINIEX Aps</t>
  </si>
  <si>
    <r>
      <rPr>
        <sz val="10"/>
        <rFont val="Arial"/>
        <charset val="0"/>
      </rPr>
      <t>14</t>
    </r>
    <r>
      <rPr>
        <sz val="10"/>
        <rFont val="宋体"/>
        <charset val="134"/>
      </rPr>
      <t>寸蛋壳公仔</t>
    </r>
  </si>
  <si>
    <t>9202L</t>
  </si>
  <si>
    <t>Allyson</t>
  </si>
  <si>
    <t>COLRUYT GROUP-DREAMLAND</t>
  </si>
  <si>
    <t>Kiann</t>
  </si>
  <si>
    <t>Hester</t>
  </si>
  <si>
    <t>Blokker B.V</t>
  </si>
  <si>
    <t>9202-S010</t>
  </si>
  <si>
    <t>Sun, Ling</t>
  </si>
  <si>
    <t>SAM'S CLUB US</t>
  </si>
  <si>
    <t>9202PL-S006</t>
  </si>
  <si>
    <t>2代珠片公仔展示柜装</t>
  </si>
  <si>
    <t>9209-S003</t>
  </si>
  <si>
    <t>贴纸测试办</t>
  </si>
  <si>
    <t>Sarah</t>
  </si>
  <si>
    <t>EUROPRIS AS</t>
  </si>
  <si>
    <t>Judy</t>
  </si>
  <si>
    <t>样板</t>
  </si>
  <si>
    <t>14寸蛋壳公仔</t>
  </si>
  <si>
    <t>Shirley</t>
  </si>
  <si>
    <t>CONCENTRA-PRODUTOS PARA CRIANCAS</t>
  </si>
  <si>
    <t>GLOBAL SOURCING SERVICES LIMITED</t>
  </si>
  <si>
    <t>Icy</t>
  </si>
  <si>
    <t>PDQ样板</t>
  </si>
  <si>
    <t>Megan</t>
  </si>
  <si>
    <t>POPTOYS DE MEXICO</t>
  </si>
  <si>
    <t>Gama Brands S.M.P.C</t>
  </si>
  <si>
    <r>
      <rPr>
        <sz val="9"/>
        <rFont val="宋体"/>
        <charset val="134"/>
      </rPr>
      <t>筑愉</t>
    </r>
    <r>
      <rPr>
        <sz val="9"/>
        <rFont val="Arial"/>
        <charset val="0"/>
      </rPr>
      <t>(</t>
    </r>
    <r>
      <rPr>
        <sz val="9"/>
        <rFont val="宋体"/>
        <charset val="134"/>
      </rPr>
      <t>深圳</t>
    </r>
    <r>
      <rPr>
        <sz val="9"/>
        <rFont val="Arial"/>
        <charset val="0"/>
      </rPr>
      <t>)贸易有限公司</t>
    </r>
  </si>
  <si>
    <t>Sunday</t>
  </si>
  <si>
    <t>Eudora</t>
  </si>
  <si>
    <t>LINIEX ApS</t>
  </si>
  <si>
    <t>Marcia</t>
  </si>
  <si>
    <t>筑愉(深圳)贸易有限公司</t>
  </si>
  <si>
    <t>Winnie</t>
  </si>
  <si>
    <t>DAS Companies Inc</t>
  </si>
  <si>
    <t>9204UQ1-S002-CA</t>
  </si>
  <si>
    <t>9204-S001</t>
  </si>
  <si>
    <t>PAKA SA</t>
  </si>
  <si>
    <t>ROFU KINDERLAND</t>
  </si>
  <si>
    <t>Susan</t>
  </si>
  <si>
    <t>carstensen</t>
  </si>
  <si>
    <t>Agnes</t>
  </si>
  <si>
    <t>AMAZON .COM</t>
  </si>
  <si>
    <r>
      <rPr>
        <sz val="10"/>
        <rFont val="Arial"/>
        <charset val="0"/>
      </rPr>
      <t>14</t>
    </r>
    <r>
      <rPr>
        <sz val="10"/>
        <rFont val="宋体"/>
        <charset val="134"/>
      </rPr>
      <t>寸蛋壳公仔邮包盒装</t>
    </r>
  </si>
  <si>
    <t>9214UQ1-S002
9214SLB-S001</t>
  </si>
  <si>
    <t>2代小蛋壳
PDQ盒装牛皮纸托盘</t>
  </si>
  <si>
    <t>9214SQ1-S001</t>
  </si>
  <si>
    <t>JAnnie</t>
  </si>
  <si>
    <t>TOYROCK OY</t>
  </si>
  <si>
    <t>9214SQ1-S00</t>
  </si>
  <si>
    <t>9202PL-S004</t>
  </si>
  <si>
    <t xml:space="preserve">TOY TRIANGLE COMPANY (UAE)
</t>
  </si>
  <si>
    <t>9214SQ1-S002</t>
  </si>
  <si>
    <t>WAL MART.COM</t>
  </si>
  <si>
    <t>9214-S001</t>
  </si>
  <si>
    <t>Ms.Yan Meng</t>
  </si>
  <si>
    <t>9214SQ1</t>
  </si>
  <si>
    <t>BARNES &amp; NOBLE PURCHASING,  INC.</t>
  </si>
  <si>
    <t>Harmony</t>
  </si>
  <si>
    <t>船头办</t>
  </si>
  <si>
    <t>A.S. WATSON RETAIL (HK)  LIMITED</t>
  </si>
  <si>
    <t>Shabalin Kirill</t>
  </si>
  <si>
    <t>ALISA</t>
  </si>
  <si>
    <t>9214-S002</t>
  </si>
  <si>
    <t>光身</t>
  </si>
  <si>
    <t>9215-WMUS-004</t>
  </si>
  <si>
    <t>中蛋殼毛絨公仔</t>
  </si>
  <si>
    <t>Coral</t>
  </si>
  <si>
    <t>DANIEL&amp;CO.(0/B D&amp;G ENTERPRISES LTD</t>
  </si>
  <si>
    <t>推销办</t>
  </si>
  <si>
    <t>9215-S001</t>
  </si>
  <si>
    <t>DAS Companies,Inc</t>
  </si>
  <si>
    <t>AMY ZHANG</t>
  </si>
  <si>
    <r>
      <rPr>
        <sz val="11"/>
        <rFont val="宋体"/>
        <charset val="134"/>
      </rPr>
      <t>筑愉</t>
    </r>
    <r>
      <rPr>
        <sz val="11"/>
        <rFont val="Arial"/>
        <charset val="0"/>
      </rPr>
      <t>(</t>
    </r>
    <r>
      <rPr>
        <sz val="11"/>
        <rFont val="宋体"/>
        <charset val="134"/>
      </rPr>
      <t>深圳）贸易有限公司</t>
    </r>
  </si>
  <si>
    <t>参考办</t>
  </si>
  <si>
    <t>9215-WMUS-S004</t>
  </si>
  <si>
    <r>
      <rPr>
        <sz val="11"/>
        <rFont val="Arial"/>
        <charset val="0"/>
      </rPr>
      <t>MA B</t>
    </r>
    <r>
      <rPr>
        <sz val="11"/>
        <rFont val="宋体"/>
        <charset val="134"/>
      </rPr>
      <t>版本</t>
    </r>
  </si>
  <si>
    <t>WM TEAM</t>
  </si>
  <si>
    <t>产前测试办</t>
  </si>
  <si>
    <t>9212-WMUS-S002</t>
  </si>
  <si>
    <t>奖杯公仔</t>
  </si>
  <si>
    <t>LINIEX APS</t>
  </si>
  <si>
    <t>样办</t>
  </si>
  <si>
    <t>9215-S001-CA</t>
  </si>
  <si>
    <t>TOYS "R" US(CANADA)LTD</t>
  </si>
  <si>
    <t>Ruby Lan</t>
  </si>
  <si>
    <t>内销单</t>
  </si>
  <si>
    <t xml:space="preserve">补办                                       </t>
  </si>
  <si>
    <t>9215-WMUS-S001</t>
  </si>
  <si>
    <t>QA办</t>
  </si>
  <si>
    <t>9207TQ1</t>
  </si>
  <si>
    <t>9208TQ1</t>
  </si>
  <si>
    <t>DANIEL&amp;CO (0/B ENTERPRISES LTD</t>
  </si>
  <si>
    <t>KC测试办</t>
  </si>
  <si>
    <t>9214UQ2</t>
  </si>
  <si>
    <t>4PK超小蛋壳公仔</t>
  </si>
  <si>
    <t>PJSC&lt;&lt;Detskymir&gt;&gt;</t>
  </si>
  <si>
    <t>开会办</t>
  </si>
  <si>
    <t>Irene</t>
  </si>
  <si>
    <t>韩国KC</t>
  </si>
  <si>
    <t>JANNIE</t>
  </si>
  <si>
    <t>Sam's Club US</t>
  </si>
  <si>
    <t>Laura</t>
  </si>
  <si>
    <t>2PK超小蛋壳公仔</t>
  </si>
  <si>
    <t>BARNES &amp; NOBLE PURCHASING.INC</t>
  </si>
  <si>
    <t>BV测试办</t>
  </si>
  <si>
    <t>SUSAN</t>
  </si>
  <si>
    <t>REAL,SB-WARENHAUS GMBH(MGB)</t>
  </si>
  <si>
    <t>BIG  W</t>
  </si>
  <si>
    <t>SAM'S CLUB US DOT.COM</t>
  </si>
  <si>
    <t>大蛋殼毛絨公仔</t>
  </si>
  <si>
    <t>中文内销单</t>
  </si>
  <si>
    <t>TOYS "R" US(CANADA) LTD</t>
  </si>
  <si>
    <t>LINIES APS</t>
  </si>
  <si>
    <t>改PET签办</t>
  </si>
  <si>
    <t>ALBERTSONS LLC</t>
  </si>
  <si>
    <t xml:space="preserve">Daisy </t>
  </si>
  <si>
    <t>Aldi,Inc</t>
  </si>
  <si>
    <r>
      <rPr>
        <sz val="11"/>
        <rFont val="Arial"/>
        <charset val="0"/>
      </rPr>
      <t>QA</t>
    </r>
    <r>
      <rPr>
        <sz val="11"/>
        <rFont val="宋体"/>
        <charset val="134"/>
      </rPr>
      <t>办</t>
    </r>
  </si>
  <si>
    <t>Aubrey</t>
  </si>
  <si>
    <t>见客办</t>
  </si>
  <si>
    <t>MEGAN</t>
  </si>
  <si>
    <t>I-VISION TOYS .INC</t>
  </si>
  <si>
    <t>9214SQ1-S004</t>
  </si>
  <si>
    <t>9215-S007</t>
  </si>
  <si>
    <t>4500031762</t>
  </si>
  <si>
    <t>9212-S001</t>
  </si>
  <si>
    <t>Amazon US</t>
  </si>
  <si>
    <t>小蛋壳毛绒公仔</t>
  </si>
  <si>
    <t>超大蛋毛绒公仔</t>
  </si>
  <si>
    <t>Lydia</t>
  </si>
  <si>
    <t>ZUFU France</t>
  </si>
  <si>
    <t>4500033659</t>
  </si>
  <si>
    <t xml:space="preserve"> STUDIO RETAIL LTD</t>
  </si>
  <si>
    <t>A.S WATSON RETAIL (HK) LIMITED</t>
  </si>
  <si>
    <t>4500033736</t>
  </si>
  <si>
    <t>DAVID LOWE &amp; CO LTD</t>
  </si>
  <si>
    <t>SHOPPER'S DRUGMART</t>
  </si>
  <si>
    <t>4500033542</t>
  </si>
  <si>
    <t>4500033596</t>
  </si>
  <si>
    <t>4500031801</t>
  </si>
  <si>
    <t>4500032893</t>
  </si>
  <si>
    <t>4500033943</t>
  </si>
  <si>
    <t>9215B</t>
  </si>
  <si>
    <t>4500032716</t>
  </si>
  <si>
    <t>PRICE SMART INC</t>
  </si>
  <si>
    <t>4500033224</t>
  </si>
  <si>
    <t>4500029405</t>
  </si>
  <si>
    <t>9215-TGUS-S003</t>
  </si>
  <si>
    <t>9207TQ3-S002</t>
  </si>
  <si>
    <t>9208TQ4-S001</t>
  </si>
  <si>
    <t>4500032688</t>
  </si>
  <si>
    <t>4500033217</t>
  </si>
  <si>
    <t>4500028065</t>
  </si>
  <si>
    <t>Maggie</t>
  </si>
  <si>
    <t>4500034461</t>
  </si>
  <si>
    <t>G.T WHOLESALE LIMITED</t>
  </si>
  <si>
    <t>Kmart</t>
  </si>
  <si>
    <t>超大蛋壳毛绒公仔</t>
  </si>
  <si>
    <t>4500033222</t>
  </si>
  <si>
    <t>4500033553</t>
  </si>
  <si>
    <t>WOOLWORTHS LTD</t>
  </si>
  <si>
    <t>4500033074</t>
  </si>
  <si>
    <t>4500031109</t>
  </si>
  <si>
    <t>4500030141</t>
  </si>
  <si>
    <t>Liniex Aps</t>
  </si>
  <si>
    <t>4500029422</t>
  </si>
  <si>
    <t>UPD,INC</t>
  </si>
  <si>
    <t>4500035722</t>
  </si>
  <si>
    <t>4500033144</t>
  </si>
  <si>
    <t>4500035469</t>
  </si>
  <si>
    <t>4500032866</t>
  </si>
  <si>
    <t>GLOBUS Logistik GmbH &amp;Co KG</t>
  </si>
  <si>
    <t>Angel/Belle</t>
  </si>
  <si>
    <t>TRU CA</t>
  </si>
  <si>
    <t>4500035520</t>
  </si>
  <si>
    <t>ITM ALIMENTAIRE INTERNATIONAL</t>
  </si>
  <si>
    <t>4500032575</t>
  </si>
  <si>
    <r>
      <rPr>
        <sz val="9"/>
        <rFont val="宋体"/>
        <charset val="134"/>
      </rPr>
      <t>筑恰</t>
    </r>
    <r>
      <rPr>
        <sz val="9"/>
        <rFont val="Arial"/>
        <charset val="0"/>
      </rPr>
      <t>(</t>
    </r>
    <r>
      <rPr>
        <sz val="9"/>
        <rFont val="宋体"/>
        <charset val="134"/>
      </rPr>
      <t>深圳）贸易有限公司</t>
    </r>
  </si>
  <si>
    <t>4500035040</t>
  </si>
  <si>
    <t>KIK Textilien und Non-Food GmbH</t>
  </si>
  <si>
    <t>4500032114</t>
  </si>
  <si>
    <t>TOYS "R" US IBERIA</t>
  </si>
  <si>
    <t>GLOBUS Logistik GmbH &amp; CO KG</t>
  </si>
  <si>
    <t>Rainbocorn系列2020年接单情况</t>
  </si>
  <si>
    <t>Rainbocorn系列MA情况</t>
  </si>
  <si>
    <t>9214PP样板出板数量（总数量600pcs）</t>
  </si>
  <si>
    <t>ITEM</t>
  </si>
  <si>
    <t>2020年接单数量</t>
  </si>
  <si>
    <t>单价</t>
  </si>
  <si>
    <t>金额HK$</t>
  </si>
  <si>
    <t>MA总数量</t>
  </si>
  <si>
    <t>MA剩余数量</t>
  </si>
  <si>
    <t>用途</t>
  </si>
  <si>
    <t>样板数量/pcs</t>
  </si>
  <si>
    <t>套数/set</t>
  </si>
  <si>
    <t>#9201</t>
  </si>
  <si>
    <t>PP改善测试版</t>
  </si>
  <si>
    <t>ASDA测试版</t>
  </si>
  <si>
    <t>设计师拍照用</t>
  </si>
  <si>
    <t>#9237</t>
  </si>
  <si>
    <t>安排送库有</t>
  </si>
  <si>
    <t>补FEP版</t>
  </si>
  <si>
    <t>还剩余132pcs/22套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</si>
</sst>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2">
    <numFmt numFmtId="7" formatCode="&quot;￥&quot;#,##0.00;&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d/mmm/yy;@"/>
    <numFmt numFmtId="177" formatCode="[$-409]mmm/yy;@"/>
    <numFmt numFmtId="178" formatCode="[$-409]dd\-mmm\-yy;@"/>
    <numFmt numFmtId="179" formatCode="_-* #,##0.00_-;\-* #,##0.00_-;_-* &quot;-&quot;??_-;_-@_-"/>
    <numFmt numFmtId="180" formatCode="_(* #,##0.00_);_(* \(#,##0.00\);_(* &quot;-&quot;??_);_(@_)"/>
    <numFmt numFmtId="181" formatCode="[$-F800]dddd\,\ mmmm\ dd\,\ yyyy"/>
    <numFmt numFmtId="182" formatCode="0_ "/>
    <numFmt numFmtId="183" formatCode="[$HK$-C04]#,##0.00;\-[$HK$-C04]#,##0.00"/>
    <numFmt numFmtId="184" formatCode="[$HK$-C04]#,##0;\-[$HK$-C04]#,##0"/>
    <numFmt numFmtId="185" formatCode="&quot;US$&quot;#,##0_);[Red]\(&quot;US$&quot;#,##0\)"/>
    <numFmt numFmtId="186" formatCode="m/d;@"/>
    <numFmt numFmtId="187" formatCode="0_);[Red]\(0\)"/>
    <numFmt numFmtId="188" formatCode="yyyy/mm/dd\ aaaa\ "/>
    <numFmt numFmtId="189" formatCode="&quot;US$&quot;#,##0.00;\-&quot;US$&quot;#,##0.00"/>
    <numFmt numFmtId="190" formatCode="yyyy/m/d&quot;周&quot;aaa"/>
    <numFmt numFmtId="191" formatCode="0.00_);[Red]\(0.00\)"/>
    <numFmt numFmtId="192" formatCode="m&quot;月&quot;d&quot;日&quot;;@"/>
    <numFmt numFmtId="193" formatCode="yyyy/m/d;@"/>
    <numFmt numFmtId="194" formatCode="0.00_ "/>
    <numFmt numFmtId="195" formatCode="0.0000_ "/>
    <numFmt numFmtId="196" formatCode="0.00##"/>
    <numFmt numFmtId="197" formatCode="#,##0_);[Red]\(#,##0\)"/>
    <numFmt numFmtId="198" formatCode="_-* #,##0_-;\-* #,##0_-;_-* &quot;-&quot;??_-;_-@_-"/>
    <numFmt numFmtId="199" formatCode="0_ ;[Red]\-0\ "/>
    <numFmt numFmtId="200" formatCode="#,##0_ "/>
    <numFmt numFmtId="201" formatCode="yyyy&quot;年&quot;m&quot;月&quot;d&quot;日&quot;;@"/>
    <numFmt numFmtId="202" formatCode="\¥#,##0.00_);[Red]\(\¥#,##0.00\)"/>
    <numFmt numFmtId="203" formatCode="#,##0.000000_);[Red]\(#,##0.000000\)"/>
    <numFmt numFmtId="204" formatCode="\¥#,##0_);[Red]\(\¥#,##0\)"/>
    <numFmt numFmtId="205" formatCode="&quot;$&quot;#,##0.00_);[Red]\(&quot;$&quot;#,##0.00\)"/>
    <numFmt numFmtId="206" formatCode="_ * #,##0_ ;_ * \-#,##0_ ;_ * &quot;-&quot;??_ ;_ @_ "/>
    <numFmt numFmtId="207" formatCode="#,##0.000_);[Red]\(#,##0.000\)"/>
    <numFmt numFmtId="208" formatCode="0.000000_);[Red]\(0.000000\)"/>
    <numFmt numFmtId="209" formatCode="#,##0.0000_);[Red]\(#,##0.0000\)"/>
    <numFmt numFmtId="210" formatCode="#,##0_ ;[Red]\-#,##0\ "/>
    <numFmt numFmtId="211" formatCode="0.0E+00"/>
    <numFmt numFmtId="212" formatCode="0;[Red]0"/>
  </numFmts>
  <fonts count="484">
    <font>
      <sz val="12"/>
      <name val="宋体"/>
      <charset val="134"/>
    </font>
    <font>
      <b/>
      <sz val="14"/>
      <name val="宋体"/>
      <charset val="134"/>
    </font>
    <font>
      <sz val="12"/>
      <color indexed="39"/>
      <name val="宋体"/>
      <charset val="134"/>
    </font>
    <font>
      <sz val="11"/>
      <name val="Arial"/>
      <charset val="0"/>
    </font>
    <font>
      <sz val="11"/>
      <color indexed="39"/>
      <name val="Arial"/>
      <charset val="0"/>
    </font>
    <font>
      <sz val="11"/>
      <color indexed="10"/>
      <name val="Arial"/>
      <charset val="0"/>
    </font>
    <font>
      <b/>
      <sz val="11"/>
      <color indexed="39"/>
      <name val="Arial"/>
      <charset val="0"/>
    </font>
    <font>
      <b/>
      <sz val="11"/>
      <name val="Arial"/>
      <charset val="0"/>
    </font>
    <font>
      <b/>
      <sz val="16"/>
      <name val="Arial"/>
      <charset val="0"/>
    </font>
    <font>
      <b/>
      <sz val="20"/>
      <color indexed="39"/>
      <name val="Arial"/>
      <charset val="0"/>
    </font>
    <font>
      <b/>
      <sz val="20"/>
      <color indexed="10"/>
      <name val="宋体"/>
      <charset val="134"/>
    </font>
    <font>
      <b/>
      <sz val="20"/>
      <color indexed="10"/>
      <name val="Arial"/>
      <charset val="0"/>
    </font>
    <font>
      <b/>
      <sz val="20"/>
      <name val="Arial"/>
      <charset val="0"/>
    </font>
    <font>
      <b/>
      <sz val="16"/>
      <color indexed="10"/>
      <name val="Arial"/>
      <charset val="0"/>
    </font>
    <font>
      <b/>
      <sz val="16"/>
      <color indexed="39"/>
      <name val="Arial"/>
      <charset val="0"/>
    </font>
    <font>
      <sz val="22"/>
      <name val="Arial"/>
      <charset val="0"/>
    </font>
    <font>
      <sz val="22"/>
      <color indexed="10"/>
      <name val="Arial"/>
      <charset val="0"/>
    </font>
    <font>
      <b/>
      <sz val="11"/>
      <color indexed="10"/>
      <name val="宋体"/>
      <charset val="134"/>
    </font>
    <font>
      <b/>
      <sz val="11"/>
      <color indexed="39"/>
      <name val="宋体"/>
      <charset val="134"/>
    </font>
    <font>
      <b/>
      <sz val="11"/>
      <color indexed="10"/>
      <name val="Arial"/>
      <charset val="0"/>
    </font>
    <font>
      <b/>
      <sz val="10"/>
      <name val="Arial"/>
      <charset val="0"/>
    </font>
    <font>
      <sz val="10"/>
      <name val="Arial"/>
      <charset val="0"/>
    </font>
    <font>
      <b/>
      <sz val="11"/>
      <name val="宋体"/>
      <charset val="134"/>
    </font>
    <font>
      <sz val="11"/>
      <color indexed="39"/>
      <name val="宋体"/>
      <charset val="134"/>
    </font>
    <font>
      <sz val="10"/>
      <color indexed="39"/>
      <name val="Arial"/>
      <charset val="0"/>
    </font>
    <font>
      <sz val="12"/>
      <color indexed="39"/>
      <name val="Arial"/>
      <charset val="0"/>
    </font>
    <font>
      <sz val="11"/>
      <color indexed="10"/>
      <name val="宋体"/>
      <charset val="134"/>
    </font>
    <font>
      <sz val="11"/>
      <name val="宋体"/>
      <charset val="134"/>
    </font>
    <font>
      <sz val="12"/>
      <name val="Arial"/>
      <charset val="0"/>
    </font>
    <font>
      <sz val="9"/>
      <name val="Arial"/>
      <charset val="0"/>
    </font>
    <font>
      <sz val="9"/>
      <name val="宋体"/>
      <charset val="134"/>
    </font>
    <font>
      <sz val="10"/>
      <name val="宋体"/>
      <charset val="134"/>
    </font>
    <font>
      <sz val="8"/>
      <name val="Arial"/>
      <charset val="0"/>
    </font>
    <font>
      <sz val="14"/>
      <name val="宋体"/>
      <charset val="0"/>
      <scheme val="minor"/>
    </font>
    <font>
      <sz val="14"/>
      <name val="宋体"/>
      <charset val="134"/>
      <scheme val="minor"/>
    </font>
    <font>
      <sz val="14"/>
      <color rgb="FF2727F0"/>
      <name val="宋体"/>
      <charset val="134"/>
      <scheme val="minor"/>
    </font>
    <font>
      <sz val="14"/>
      <color rgb="FF0000FF"/>
      <name val="宋体"/>
      <charset val="134"/>
      <scheme val="minor"/>
    </font>
    <font>
      <sz val="14"/>
      <color rgb="FFFF0000"/>
      <name val="宋体"/>
      <charset val="134"/>
      <scheme val="minor"/>
    </font>
    <font>
      <b/>
      <sz val="14"/>
      <name val="宋体"/>
      <charset val="0"/>
      <scheme val="minor"/>
    </font>
    <font>
      <sz val="16"/>
      <name val="宋体"/>
      <charset val="134"/>
      <scheme val="minor"/>
    </font>
    <font>
      <sz val="16"/>
      <name val="宋体"/>
      <charset val="0"/>
      <scheme val="minor"/>
    </font>
    <font>
      <b/>
      <sz val="14"/>
      <name val="宋体"/>
      <charset val="134"/>
      <scheme val="minor"/>
    </font>
    <font>
      <b/>
      <sz val="14"/>
      <color rgb="FFFF0000"/>
      <name val="宋体"/>
      <charset val="134"/>
      <scheme val="minor"/>
    </font>
    <font>
      <b/>
      <sz val="14"/>
      <color rgb="FFFF0000"/>
      <name val="宋体"/>
      <charset val="0"/>
      <scheme val="minor"/>
    </font>
    <font>
      <b/>
      <sz val="24"/>
      <color rgb="FFFF0000"/>
      <name val="宋体"/>
      <charset val="134"/>
      <scheme val="minor"/>
    </font>
    <font>
      <sz val="14"/>
      <color rgb="FF2727F0"/>
      <name val="宋体"/>
      <charset val="0"/>
      <scheme val="minor"/>
    </font>
    <font>
      <sz val="14"/>
      <color rgb="FF0000FF"/>
      <name val="宋体"/>
      <charset val="0"/>
      <scheme val="minor"/>
    </font>
    <font>
      <sz val="14"/>
      <color rgb="FFFF0000"/>
      <name val="宋体"/>
      <charset val="0"/>
      <scheme val="minor"/>
    </font>
    <font>
      <sz val="16"/>
      <color rgb="FFFF0000"/>
      <name val="宋体"/>
      <charset val="134"/>
      <scheme val="minor"/>
    </font>
    <font>
      <sz val="14"/>
      <color rgb="FF000000"/>
      <name val="宋体"/>
      <charset val="0"/>
      <scheme val="minor"/>
    </font>
    <font>
      <sz val="14"/>
      <name val="宋体"/>
      <charset val="0"/>
    </font>
    <font>
      <sz val="14"/>
      <color rgb="FFF7241F"/>
      <name val="宋体"/>
      <charset val="134"/>
      <scheme val="minor"/>
    </font>
    <font>
      <sz val="14"/>
      <name val="宋体"/>
      <charset val="134"/>
    </font>
    <font>
      <sz val="14"/>
      <color rgb="FF000000"/>
      <name val="宋体"/>
      <charset val="134"/>
      <scheme val="minor"/>
    </font>
    <font>
      <sz val="14"/>
      <color rgb="FFF7241F"/>
      <name val="宋体"/>
      <charset val="0"/>
      <scheme val="minor"/>
    </font>
    <font>
      <sz val="14"/>
      <color rgb="FFFF0000"/>
      <name val="宋体"/>
      <charset val="134"/>
    </font>
    <font>
      <sz val="14"/>
      <color rgb="FF0000FF"/>
      <name val="宋体"/>
      <charset val="134"/>
    </font>
    <font>
      <b/>
      <sz val="14"/>
      <name val="宋体"/>
      <charset val="0"/>
    </font>
    <font>
      <sz val="22"/>
      <name val="宋体"/>
      <charset val="134"/>
    </font>
    <font>
      <sz val="22"/>
      <name val="宋体"/>
      <charset val="0"/>
    </font>
    <font>
      <b/>
      <sz val="20"/>
      <name val="宋体"/>
      <charset val="0"/>
    </font>
    <font>
      <b/>
      <sz val="14"/>
      <color rgb="FFFF0000"/>
      <name val="宋体"/>
      <charset val="134"/>
    </font>
    <font>
      <sz val="14"/>
      <color rgb="FFFF0000"/>
      <name val="宋体"/>
      <charset val="0"/>
    </font>
    <font>
      <sz val="22"/>
      <color rgb="FFFF0000"/>
      <name val="宋体"/>
      <charset val="134"/>
    </font>
    <font>
      <sz val="14"/>
      <color rgb="FFF7241F"/>
      <name val="宋体"/>
      <charset val="134"/>
    </font>
    <font>
      <sz val="14"/>
      <color rgb="FFE228EE"/>
      <name val="宋体"/>
      <charset val="134"/>
    </font>
    <font>
      <sz val="14"/>
      <color rgb="FFF7241F"/>
      <name val="宋体"/>
      <charset val="0"/>
    </font>
    <font>
      <sz val="14"/>
      <color rgb="FFE228EE"/>
      <name val="宋体"/>
      <charset val="134"/>
      <scheme val="minor"/>
    </font>
    <font>
      <sz val="14"/>
      <color rgb="FF1506E0"/>
      <name val="宋体"/>
      <charset val="0"/>
    </font>
    <font>
      <sz val="14"/>
      <color rgb="FF0000FF"/>
      <name val="宋体"/>
      <charset val="0"/>
    </font>
    <font>
      <sz val="14"/>
      <color indexed="10"/>
      <name val="宋体"/>
      <charset val="0"/>
    </font>
    <font>
      <b/>
      <sz val="14"/>
      <color rgb="FF0000FF"/>
      <name val="宋体"/>
      <charset val="0"/>
    </font>
    <font>
      <sz val="22"/>
      <color rgb="FF0000FF"/>
      <name val="宋体"/>
      <charset val="134"/>
    </font>
    <font>
      <sz val="10"/>
      <name val="宋体"/>
      <charset val="134"/>
      <scheme val="minor"/>
    </font>
    <font>
      <sz val="10"/>
      <color rgb="FFFF0000"/>
      <name val="宋体"/>
      <charset val="134"/>
      <scheme val="minor"/>
    </font>
    <font>
      <sz val="10"/>
      <color rgb="FFF7241F"/>
      <name val="宋体"/>
      <charset val="134"/>
      <scheme val="minor"/>
    </font>
    <font>
      <sz val="11"/>
      <color theme="1"/>
      <name val="宋体"/>
      <charset val="134"/>
      <scheme val="minor"/>
    </font>
    <font>
      <b/>
      <sz val="10"/>
      <name val="宋体"/>
      <charset val="0"/>
      <scheme val="minor"/>
    </font>
    <font>
      <b/>
      <sz val="12"/>
      <color rgb="FFFF0000"/>
      <name val="宋体"/>
      <charset val="0"/>
    </font>
    <font>
      <b/>
      <sz val="10"/>
      <name val="宋体"/>
      <charset val="134"/>
      <scheme val="minor"/>
    </font>
    <font>
      <b/>
      <sz val="10"/>
      <color rgb="FF00B0F0"/>
      <name val="宋体"/>
      <charset val="0"/>
      <scheme val="minor"/>
    </font>
    <font>
      <sz val="10"/>
      <name val="等线"/>
      <charset val="134"/>
    </font>
    <font>
      <sz val="10"/>
      <name val="宋体"/>
      <charset val="0"/>
      <scheme val="minor"/>
    </font>
    <font>
      <sz val="10"/>
      <name val="宋体"/>
      <charset val="0"/>
    </font>
    <font>
      <sz val="11"/>
      <name val="宋体"/>
      <charset val="0"/>
    </font>
    <font>
      <sz val="10"/>
      <name val="Arial"/>
      <charset val="134"/>
    </font>
    <font>
      <sz val="12"/>
      <name val="宋体"/>
      <charset val="0"/>
      <scheme val="major"/>
    </font>
    <font>
      <sz val="10"/>
      <color rgb="FFFF0000"/>
      <name val="宋体"/>
      <charset val="134"/>
    </font>
    <font>
      <sz val="11"/>
      <color rgb="FFFF0000"/>
      <name val="Arial"/>
      <charset val="0"/>
    </font>
    <font>
      <sz val="11"/>
      <name val="宋体"/>
      <charset val="134"/>
      <scheme val="minor"/>
    </font>
    <font>
      <sz val="10"/>
      <color rgb="FFFF0000"/>
      <name val="宋体"/>
      <charset val="0"/>
      <scheme val="minor"/>
    </font>
    <font>
      <sz val="10"/>
      <color rgb="FF0000FF"/>
      <name val="宋体"/>
      <charset val="0"/>
      <scheme val="minor"/>
    </font>
    <font>
      <sz val="10"/>
      <color rgb="FFF7241F"/>
      <name val="宋体"/>
      <charset val="0"/>
      <scheme val="minor"/>
    </font>
    <font>
      <sz val="10"/>
      <color rgb="FF1506E0"/>
      <name val="宋体"/>
      <charset val="134"/>
      <scheme val="minor"/>
    </font>
    <font>
      <b/>
      <sz val="10"/>
      <color rgb="FFFF0000"/>
      <name val="宋体"/>
      <charset val="134"/>
      <scheme val="minor"/>
    </font>
    <font>
      <b/>
      <sz val="11"/>
      <color rgb="FFFF0000"/>
      <name val="宋体"/>
      <charset val="134"/>
    </font>
    <font>
      <sz val="12"/>
      <color rgb="FFFF0000"/>
      <name val="宋体"/>
      <charset val="0"/>
    </font>
    <font>
      <sz val="12"/>
      <color rgb="FFFF0000"/>
      <name val="宋体"/>
      <charset val="134"/>
    </font>
    <font>
      <sz val="12"/>
      <color rgb="FFF7241F"/>
      <name val="宋体"/>
      <charset val="134"/>
    </font>
    <font>
      <b/>
      <sz val="12"/>
      <name val="宋体"/>
      <charset val="0"/>
    </font>
    <font>
      <b/>
      <sz val="18"/>
      <name val="宋体"/>
      <charset val="0"/>
    </font>
    <font>
      <sz val="18"/>
      <name val="宋体"/>
      <charset val="0"/>
    </font>
    <font>
      <sz val="12"/>
      <name val="宋体"/>
      <charset val="0"/>
    </font>
    <font>
      <sz val="16"/>
      <name val="宋体"/>
      <charset val="0"/>
    </font>
    <font>
      <sz val="14"/>
      <color theme="1"/>
      <name val="宋体"/>
      <charset val="0"/>
    </font>
    <font>
      <sz val="12"/>
      <color theme="1"/>
      <name val="宋体"/>
      <charset val="0"/>
    </font>
    <font>
      <sz val="14"/>
      <color theme="1"/>
      <name val="宋体"/>
      <charset val="134"/>
    </font>
    <font>
      <sz val="16"/>
      <color rgb="FFFF0000"/>
      <name val="宋体"/>
      <charset val="0"/>
    </font>
    <font>
      <sz val="16"/>
      <name val="宋体"/>
      <charset val="134"/>
    </font>
    <font>
      <b/>
      <sz val="14"/>
      <color rgb="FFF7241F"/>
      <name val="宋体"/>
      <charset val="0"/>
      <scheme val="minor"/>
    </font>
    <font>
      <sz val="11"/>
      <color rgb="FF0E2EF0"/>
      <name val="宋体"/>
      <charset val="134"/>
    </font>
    <font>
      <sz val="14"/>
      <color rgb="FF2727F0"/>
      <name val="宋体"/>
      <charset val="0"/>
    </font>
    <font>
      <b/>
      <sz val="14"/>
      <color rgb="FFFF0000"/>
      <name val="宋体"/>
      <charset val="0"/>
    </font>
    <font>
      <sz val="12"/>
      <color rgb="FFFF0000"/>
      <name val="宋体"/>
      <charset val="134"/>
      <scheme val="minor"/>
    </font>
    <font>
      <b/>
      <sz val="14"/>
      <color rgb="FF2727F0"/>
      <name val="宋体"/>
      <charset val="0"/>
    </font>
    <font>
      <sz val="11"/>
      <color rgb="FFFF0000"/>
      <name val="宋体"/>
      <charset val="134"/>
      <scheme val="minor"/>
    </font>
    <font>
      <b/>
      <sz val="10"/>
      <color theme="0"/>
      <name val="Times New Roman"/>
      <charset val="0"/>
    </font>
    <font>
      <b/>
      <sz val="10"/>
      <color rgb="FFFFFF00"/>
      <name val="Times New Roman"/>
      <charset val="0"/>
    </font>
    <font>
      <b/>
      <sz val="10"/>
      <name val="Times New Roman"/>
      <charset val="0"/>
    </font>
    <font>
      <sz val="10"/>
      <name val="Times New Roman"/>
      <charset val="0"/>
    </font>
    <font>
      <b/>
      <sz val="10"/>
      <color rgb="FFC00000"/>
      <name val="Times New Roman"/>
      <charset val="0"/>
    </font>
    <font>
      <sz val="10"/>
      <color rgb="FFC00000"/>
      <name val="Times New Roman"/>
      <charset val="0"/>
    </font>
    <font>
      <sz val="10"/>
      <color rgb="FFFF0000"/>
      <name val="Times New Roman"/>
      <charset val="0"/>
    </font>
    <font>
      <b/>
      <sz val="14"/>
      <name val="Arial"/>
      <charset val="0"/>
    </font>
    <font>
      <b/>
      <sz val="14"/>
      <color rgb="FFFF0000"/>
      <name val="Arial"/>
      <charset val="0"/>
    </font>
    <font>
      <b/>
      <sz val="10"/>
      <name val="宋体"/>
      <charset val="134"/>
    </font>
    <font>
      <b/>
      <sz val="10"/>
      <name val="宋体"/>
      <charset val="0"/>
    </font>
    <font>
      <b/>
      <sz val="10"/>
      <color rgb="FFFF0000"/>
      <name val="宋体"/>
      <charset val="134"/>
    </font>
    <font>
      <b/>
      <sz val="10"/>
      <color rgb="FFFF0000"/>
      <name val="宋体"/>
      <charset val="0"/>
    </font>
    <font>
      <b/>
      <sz val="10"/>
      <color rgb="FF00B0F0"/>
      <name val="宋体"/>
      <charset val="0"/>
    </font>
    <font>
      <sz val="8"/>
      <name val="宋体"/>
      <charset val="134"/>
    </font>
    <font>
      <sz val="10"/>
      <name val="Calibri"/>
      <charset val="134"/>
    </font>
    <font>
      <sz val="11"/>
      <name val="Calibri"/>
      <charset val="0"/>
    </font>
    <font>
      <sz val="11"/>
      <color theme="1"/>
      <name val="Calibri"/>
      <charset val="0"/>
    </font>
    <font>
      <sz val="10"/>
      <color rgb="FFFF0000"/>
      <name val="Arial"/>
      <charset val="0"/>
    </font>
    <font>
      <sz val="10"/>
      <color indexed="10"/>
      <name val="Arial"/>
      <charset val="0"/>
    </font>
    <font>
      <sz val="20"/>
      <name val="Arial"/>
      <charset val="0"/>
    </font>
    <font>
      <b/>
      <sz val="8"/>
      <name val="宋体"/>
      <charset val="134"/>
    </font>
    <font>
      <b/>
      <sz val="12"/>
      <name val="Arial"/>
      <charset val="0"/>
    </font>
    <font>
      <sz val="10"/>
      <color rgb="FFFF0000"/>
      <name val="宋体"/>
      <charset val="0"/>
    </font>
    <font>
      <sz val="8"/>
      <name val="宋体"/>
      <charset val="0"/>
    </font>
    <font>
      <sz val="10"/>
      <name val="Calibri"/>
      <charset val="0"/>
    </font>
    <font>
      <sz val="8"/>
      <color rgb="FFFF0000"/>
      <name val="Arial"/>
      <charset val="0"/>
    </font>
    <font>
      <b/>
      <sz val="10"/>
      <color rgb="FFFF0000"/>
      <name val="Arial"/>
      <charset val="0"/>
    </font>
    <font>
      <b/>
      <sz val="11"/>
      <color rgb="FFFF0000"/>
      <name val="Arial"/>
      <charset val="0"/>
    </font>
    <font>
      <b/>
      <sz val="11"/>
      <name val="宋体"/>
      <charset val="0"/>
    </font>
    <font>
      <sz val="10"/>
      <color rgb="FFDD0806"/>
      <name val="Arial"/>
      <charset val="0"/>
    </font>
    <font>
      <sz val="12"/>
      <color indexed="10"/>
      <name val="宋体"/>
      <charset val="0"/>
    </font>
    <font>
      <sz val="12"/>
      <color rgb="FF000000"/>
      <name val="宋体"/>
      <charset val="0"/>
    </font>
    <font>
      <sz val="8"/>
      <color rgb="FFFF0000"/>
      <name val="宋体"/>
      <charset val="0"/>
    </font>
    <font>
      <sz val="8"/>
      <color rgb="FF000000"/>
      <name val="宋体"/>
      <charset val="0"/>
    </font>
    <font>
      <sz val="12"/>
      <color rgb="FFF7241F"/>
      <name val="宋体"/>
      <charset val="0"/>
    </font>
    <font>
      <sz val="12"/>
      <color rgb="FF000000"/>
      <name val="宋体"/>
      <charset val="134"/>
    </font>
    <font>
      <sz val="12"/>
      <color theme="1"/>
      <name val="宋体"/>
      <charset val="134"/>
    </font>
    <font>
      <sz val="12"/>
      <color rgb="FFDD0806"/>
      <name val="宋体"/>
      <charset val="0"/>
    </font>
    <font>
      <sz val="12"/>
      <color indexed="39"/>
      <name val="宋体"/>
      <charset val="0"/>
    </font>
    <font>
      <sz val="10"/>
      <name val="Tahoma"/>
      <charset val="0"/>
    </font>
    <font>
      <sz val="10"/>
      <color rgb="FFFF0000"/>
      <name val="Tahoma"/>
      <charset val="0"/>
    </font>
    <font>
      <sz val="11"/>
      <color rgb="FFFF0000"/>
      <name val="宋体"/>
      <charset val="0"/>
    </font>
    <font>
      <b/>
      <sz val="14"/>
      <name val="等线"/>
      <charset val="134"/>
    </font>
    <font>
      <sz val="11"/>
      <color rgb="FFF7241F"/>
      <name val="宋体"/>
      <charset val="0"/>
    </font>
    <font>
      <sz val="11"/>
      <color rgb="FF000000"/>
      <name val="Arial"/>
      <charset val="0"/>
    </font>
    <font>
      <b/>
      <sz val="14"/>
      <color rgb="FFFF0000"/>
      <name val="等线"/>
      <charset val="134"/>
    </font>
    <font>
      <sz val="11"/>
      <color rgb="FFF7241F"/>
      <name val="Arial"/>
      <charset val="0"/>
    </font>
    <font>
      <sz val="13"/>
      <name val="Times New Roman"/>
      <charset val="134"/>
    </font>
    <font>
      <b/>
      <sz val="10"/>
      <color rgb="FF0000CC"/>
      <name val="Times New Roman"/>
      <charset val="134"/>
    </font>
    <font>
      <sz val="12"/>
      <name val="Times New Roman"/>
      <charset val="134"/>
    </font>
    <font>
      <b/>
      <sz val="10"/>
      <color theme="0"/>
      <name val="Times New Roman"/>
      <charset val="134"/>
    </font>
    <font>
      <b/>
      <sz val="10"/>
      <color theme="0"/>
      <name val="宋体"/>
      <charset val="134"/>
    </font>
    <font>
      <b/>
      <sz val="10"/>
      <name val="Times New Roman"/>
      <charset val="134"/>
    </font>
    <font>
      <sz val="10"/>
      <name val="Times New Roman"/>
      <charset val="134"/>
    </font>
    <font>
      <b/>
      <sz val="10"/>
      <color rgb="FF0070C0"/>
      <name val="Times New Roman"/>
      <charset val="134"/>
    </font>
    <font>
      <sz val="10"/>
      <color rgb="FFFF0000"/>
      <name val="Times New Roman"/>
      <charset val="134"/>
    </font>
    <font>
      <sz val="10"/>
      <color theme="0"/>
      <name val="Times New Roman"/>
      <charset val="134"/>
    </font>
    <font>
      <sz val="10"/>
      <color theme="0"/>
      <name val="宋体"/>
      <charset val="134"/>
    </font>
    <font>
      <sz val="10"/>
      <name val="Tahoma"/>
      <charset val="134"/>
    </font>
    <font>
      <b/>
      <sz val="10"/>
      <color indexed="9"/>
      <name val="Tahoma"/>
      <charset val="134"/>
    </font>
    <font>
      <b/>
      <sz val="10"/>
      <color rgb="FFFFFFFF"/>
      <name val="Tahoma"/>
      <charset val="134"/>
    </font>
    <font>
      <b/>
      <sz val="10"/>
      <color indexed="9"/>
      <name val="宋体"/>
      <charset val="134"/>
    </font>
    <font>
      <b/>
      <sz val="10"/>
      <color indexed="34"/>
      <name val="Tahoma"/>
      <charset val="134"/>
    </font>
    <font>
      <b/>
      <sz val="10"/>
      <name val="Tahoma"/>
      <charset val="134"/>
    </font>
    <font>
      <b/>
      <sz val="10"/>
      <color indexed="10"/>
      <name val="Tahoma"/>
      <charset val="134"/>
    </font>
    <font>
      <b/>
      <sz val="10"/>
      <color indexed="12"/>
      <name val="Tahoma"/>
      <charset val="134"/>
    </font>
    <font>
      <b/>
      <sz val="10"/>
      <color theme="0"/>
      <name val="Tahoma"/>
      <charset val="134"/>
    </font>
    <font>
      <b/>
      <sz val="10"/>
      <color rgb="FFFFFF00"/>
      <name val="Tahoma"/>
      <charset val="134"/>
    </font>
    <font>
      <sz val="12"/>
      <name val="Tahoma"/>
      <charset val="134"/>
    </font>
    <font>
      <b/>
      <sz val="10"/>
      <color rgb="FF0000CC"/>
      <name val="Tahoma"/>
      <charset val="134"/>
    </font>
    <font>
      <b/>
      <sz val="10"/>
      <color rgb="FF0033CC"/>
      <name val="Tahoma"/>
      <charset val="134"/>
    </font>
    <font>
      <sz val="10"/>
      <color indexed="10"/>
      <name val="Tahoma"/>
      <charset val="134"/>
    </font>
    <font>
      <b/>
      <sz val="12"/>
      <name val="宋体"/>
      <charset val="134"/>
    </font>
    <font>
      <b/>
      <sz val="12"/>
      <name val="Tahoma"/>
      <charset val="134"/>
    </font>
    <font>
      <b/>
      <sz val="13"/>
      <name val="宋体"/>
      <charset val="134"/>
    </font>
    <font>
      <b/>
      <sz val="13"/>
      <name val="Tahoma"/>
      <charset val="134"/>
    </font>
    <font>
      <b/>
      <sz val="13"/>
      <color rgb="FF0000CC"/>
      <name val="Tahoma"/>
      <charset val="134"/>
    </font>
    <font>
      <b/>
      <sz val="10"/>
      <color rgb="FFFF0000"/>
      <name val="Tahoma"/>
      <charset val="134"/>
    </font>
    <font>
      <b/>
      <sz val="13"/>
      <color theme="0"/>
      <name val="Tahoma"/>
      <charset val="134"/>
    </font>
    <font>
      <b/>
      <sz val="10"/>
      <color rgb="FFFFC000"/>
      <name val="Tahoma"/>
      <charset val="134"/>
    </font>
    <font>
      <b/>
      <sz val="10"/>
      <color theme="1"/>
      <name val="Tahoma"/>
      <charset val="134"/>
    </font>
    <font>
      <sz val="10"/>
      <name val="Microsoft YaHei UI"/>
      <charset val="134"/>
    </font>
    <font>
      <b/>
      <sz val="10"/>
      <color rgb="FFFFFF00"/>
      <name val="Times New Roman"/>
      <charset val="134"/>
    </font>
    <font>
      <b/>
      <sz val="10"/>
      <color rgb="FFFFC000"/>
      <name val="Times New Roman"/>
      <charset val="134"/>
    </font>
    <font>
      <b/>
      <sz val="14"/>
      <name val="Times New Roman"/>
      <charset val="134"/>
    </font>
    <font>
      <b/>
      <sz val="13"/>
      <name val="Times New Roman"/>
      <charset val="134"/>
    </font>
    <font>
      <b/>
      <sz val="12"/>
      <color indexed="10"/>
      <name val="宋体"/>
      <charset val="134"/>
    </font>
    <font>
      <b/>
      <sz val="12"/>
      <color indexed="10"/>
      <name val="Arial"/>
      <charset val="0"/>
    </font>
    <font>
      <sz val="10"/>
      <color rgb="FF2727F0"/>
      <name val="宋体"/>
      <charset val="134"/>
      <scheme val="minor"/>
    </font>
    <font>
      <sz val="10"/>
      <color rgb="FF0000FF"/>
      <name val="宋体"/>
      <charset val="134"/>
      <scheme val="minor"/>
    </font>
    <font>
      <sz val="10"/>
      <color rgb="FF000000"/>
      <name val="宋体"/>
      <charset val="134"/>
      <scheme val="minor"/>
    </font>
    <font>
      <sz val="10"/>
      <color theme="1"/>
      <name val="宋体"/>
      <charset val="134"/>
      <scheme val="minor"/>
    </font>
    <font>
      <b/>
      <sz val="10"/>
      <color rgb="FF000000"/>
      <name val="宋体"/>
      <charset val="0"/>
      <scheme val="minor"/>
    </font>
    <font>
      <b/>
      <sz val="10"/>
      <color rgb="FFFF0000"/>
      <name val="宋体"/>
      <charset val="0"/>
      <scheme val="minor"/>
    </font>
    <font>
      <b/>
      <sz val="10"/>
      <color indexed="10"/>
      <name val="宋体"/>
      <charset val="0"/>
      <scheme val="minor"/>
    </font>
    <font>
      <b/>
      <sz val="10"/>
      <color rgb="FF0000FF"/>
      <name val="宋体"/>
      <charset val="0"/>
      <scheme val="minor"/>
    </font>
    <font>
      <b/>
      <sz val="10"/>
      <color indexed="8"/>
      <name val="宋体"/>
      <charset val="134"/>
      <scheme val="minor"/>
    </font>
    <font>
      <b/>
      <sz val="10"/>
      <color rgb="FF000000"/>
      <name val="宋体"/>
      <charset val="134"/>
      <scheme val="minor"/>
    </font>
    <font>
      <sz val="10"/>
      <color rgb="FF2727F0"/>
      <name val="宋体"/>
      <charset val="0"/>
      <scheme val="minor"/>
    </font>
    <font>
      <sz val="10"/>
      <color rgb="FF2727F0"/>
      <name val="宋体"/>
      <charset val="0"/>
      <scheme val="major"/>
    </font>
    <font>
      <sz val="12"/>
      <color rgb="FF2727F0"/>
      <name val="宋体"/>
      <charset val="134"/>
    </font>
    <font>
      <sz val="10"/>
      <color rgb="FF1506E0"/>
      <name val="宋体"/>
      <charset val="0"/>
      <scheme val="minor"/>
    </font>
    <font>
      <sz val="11"/>
      <color rgb="FF2727F0"/>
      <name val="Arial"/>
      <charset val="0"/>
    </font>
    <font>
      <sz val="11"/>
      <color rgb="FF2727F0"/>
      <name val="宋体"/>
      <charset val="134"/>
      <scheme val="minor"/>
    </font>
    <font>
      <sz val="10"/>
      <color rgb="FF2727F0"/>
      <name val="宋体"/>
      <charset val="0"/>
    </font>
    <font>
      <sz val="11"/>
      <color rgb="FF1506E0"/>
      <name val="宋体"/>
      <charset val="0"/>
    </font>
    <font>
      <sz val="10"/>
      <color rgb="FF0000FF"/>
      <name val="宋体"/>
      <charset val="134"/>
    </font>
    <font>
      <sz val="10"/>
      <color rgb="FF2727F0"/>
      <name val="宋体"/>
      <charset val="134"/>
    </font>
    <font>
      <sz val="12"/>
      <color rgb="FF0000FF"/>
      <name val="宋体"/>
      <charset val="134"/>
    </font>
    <font>
      <sz val="10"/>
      <color rgb="FF1506E0"/>
      <name val="宋体"/>
      <charset val="134"/>
    </font>
    <font>
      <sz val="10"/>
      <color rgb="FF0E2EF0"/>
      <name val="宋体"/>
      <charset val="134"/>
    </font>
    <font>
      <sz val="10"/>
      <color rgb="FF000000"/>
      <name val="宋体"/>
      <charset val="134"/>
    </font>
    <font>
      <b/>
      <sz val="10"/>
      <color theme="1"/>
      <name val="宋体"/>
      <charset val="134"/>
      <scheme val="minor"/>
    </font>
    <font>
      <sz val="10"/>
      <color theme="1"/>
      <name val="宋体"/>
      <charset val="134"/>
    </font>
    <font>
      <b/>
      <sz val="11"/>
      <color rgb="FF7030A0"/>
      <name val="宋体"/>
      <charset val="0"/>
    </font>
    <font>
      <b/>
      <sz val="11"/>
      <color rgb="FF7030A0"/>
      <name val="新宋体"/>
      <charset val="0"/>
    </font>
    <font>
      <b/>
      <sz val="10"/>
      <color rgb="FF2727F0"/>
      <name val="宋体"/>
      <charset val="134"/>
    </font>
    <font>
      <sz val="10"/>
      <color rgb="FF0000FF"/>
      <name val="宋体"/>
      <charset val="0"/>
    </font>
    <font>
      <sz val="10"/>
      <color rgb="FF1506E0"/>
      <name val="宋体"/>
      <charset val="0"/>
    </font>
    <font>
      <sz val="10"/>
      <color rgb="FF000000"/>
      <name val="宋体"/>
      <charset val="0"/>
    </font>
    <font>
      <sz val="10"/>
      <color theme="1"/>
      <name val="宋体"/>
      <charset val="0"/>
    </font>
    <font>
      <sz val="10"/>
      <color rgb="FF0E2EF0"/>
      <name val="宋体"/>
      <charset val="0"/>
    </font>
    <font>
      <b/>
      <sz val="10"/>
      <color rgb="FF2727F0"/>
      <name val="宋体"/>
      <charset val="0"/>
    </font>
    <font>
      <b/>
      <sz val="10"/>
      <color rgb="FF0E2EF0"/>
      <name val="宋体"/>
      <charset val="134"/>
    </font>
    <font>
      <b/>
      <sz val="10"/>
      <color rgb="FF0000FF"/>
      <name val="宋体"/>
      <charset val="0"/>
    </font>
    <font>
      <b/>
      <sz val="10"/>
      <color rgb="FF0000FF"/>
      <name val="宋体"/>
      <charset val="134"/>
    </font>
    <font>
      <b/>
      <sz val="10"/>
      <color rgb="FF0E2EF0"/>
      <name val="宋体"/>
      <charset val="0"/>
    </font>
    <font>
      <b/>
      <sz val="10"/>
      <color rgb="FF1506E0"/>
      <name val="宋体"/>
      <charset val="0"/>
    </font>
    <font>
      <b/>
      <sz val="10"/>
      <color rgb="FF1506E0"/>
      <name val="宋体"/>
      <charset val="134"/>
    </font>
    <font>
      <b/>
      <sz val="10"/>
      <color rgb="FF000000"/>
      <name val="宋体"/>
      <charset val="134"/>
    </font>
    <font>
      <b/>
      <sz val="10"/>
      <color rgb="FF000000"/>
      <name val="宋体"/>
      <charset val="0"/>
    </font>
    <font>
      <b/>
      <sz val="10"/>
      <color rgb="FF2727F0"/>
      <name val="宋体"/>
      <charset val="0"/>
      <scheme val="minor"/>
    </font>
    <font>
      <sz val="10"/>
      <color rgb="FF000000"/>
      <name val="宋体"/>
      <charset val="0"/>
      <scheme val="minor"/>
    </font>
    <font>
      <sz val="10"/>
      <color rgb="FFFFFFFF"/>
      <name val="宋体"/>
      <charset val="0"/>
      <scheme val="minor"/>
    </font>
    <font>
      <sz val="14"/>
      <color rgb="FF1506E0"/>
      <name val="宋体"/>
      <charset val="134"/>
    </font>
    <font>
      <sz val="14"/>
      <color rgb="FF2727F0"/>
      <name val="宋体"/>
      <charset val="134"/>
    </font>
    <font>
      <sz val="14"/>
      <color rgb="FF000000"/>
      <name val="宋体"/>
      <charset val="134"/>
    </font>
    <font>
      <b/>
      <sz val="14"/>
      <color indexed="10"/>
      <name val="宋体"/>
      <charset val="134"/>
    </font>
    <font>
      <sz val="12"/>
      <color rgb="FF1506E0"/>
      <name val="宋体"/>
      <charset val="0"/>
    </font>
    <font>
      <sz val="12"/>
      <color rgb="FF1506E0"/>
      <name val="宋体"/>
      <charset val="134"/>
    </font>
    <font>
      <sz val="14"/>
      <color rgb="FF1506E0"/>
      <name val="宋体"/>
      <charset val="0"/>
      <scheme val="minor"/>
    </font>
    <font>
      <sz val="14"/>
      <color rgb="FF1506E0"/>
      <name val="宋体"/>
      <charset val="134"/>
      <scheme val="minor"/>
    </font>
    <font>
      <sz val="12"/>
      <color rgb="FF1506E0"/>
      <name val="宋体"/>
      <charset val="0"/>
      <scheme val="major"/>
    </font>
    <font>
      <sz val="16"/>
      <color rgb="FF1506E0"/>
      <name val="宋体"/>
      <charset val="0"/>
    </font>
    <font>
      <sz val="12"/>
      <color rgb="FF0E2EF0"/>
      <name val="宋体"/>
      <charset val="0"/>
      <scheme val="minor"/>
    </font>
    <font>
      <sz val="11"/>
      <color rgb="FF0000FF"/>
      <name val="宋体"/>
      <charset val="134"/>
      <scheme val="minor"/>
    </font>
    <font>
      <sz val="11"/>
      <color rgb="FF0E2EF0"/>
      <name val="Arial"/>
      <charset val="0"/>
    </font>
    <font>
      <sz val="12"/>
      <color rgb="FF2727F0"/>
      <name val="宋体"/>
      <charset val="134"/>
      <scheme val="minor"/>
    </font>
    <font>
      <sz val="16"/>
      <color rgb="FF2727F0"/>
      <name val="宋体"/>
      <charset val="0"/>
    </font>
    <font>
      <sz val="16"/>
      <color rgb="FF0000FF"/>
      <name val="宋体"/>
      <charset val="0"/>
    </font>
    <font>
      <sz val="14"/>
      <color rgb="FF000000"/>
      <name val="宋体"/>
      <charset val="0"/>
    </font>
    <font>
      <sz val="14"/>
      <color rgb="FFC00000"/>
      <name val="宋体"/>
      <charset val="134"/>
    </font>
    <font>
      <sz val="14"/>
      <color rgb="FF0E2EF0"/>
      <name val="宋体"/>
      <charset val="134"/>
    </font>
    <font>
      <b/>
      <sz val="14"/>
      <color rgb="FF7030A0"/>
      <name val="宋体"/>
      <charset val="0"/>
    </font>
    <font>
      <b/>
      <sz val="14"/>
      <color rgb="FF7030A0"/>
      <name val="宋体"/>
      <charset val="0"/>
      <scheme val="minor"/>
    </font>
    <font>
      <b/>
      <sz val="14"/>
      <color rgb="FFE228EE"/>
      <name val="宋体"/>
      <charset val="0"/>
    </font>
    <font>
      <b/>
      <sz val="14"/>
      <color rgb="FFE228EE"/>
      <name val="宋体"/>
      <charset val="134"/>
    </font>
    <font>
      <sz val="20"/>
      <name val="宋体"/>
      <charset val="134"/>
    </font>
    <font>
      <sz val="20"/>
      <color rgb="FFF7241F"/>
      <name val="宋体"/>
      <charset val="134"/>
    </font>
    <font>
      <b/>
      <sz val="14"/>
      <color rgb="FF1506E0"/>
      <name val="宋体"/>
      <charset val="0"/>
    </font>
    <font>
      <b/>
      <sz val="14"/>
      <color rgb="FF1506E0"/>
      <name val="宋体"/>
      <charset val="134"/>
    </font>
    <font>
      <b/>
      <sz val="14"/>
      <color rgb="FF1506E0"/>
      <name val="宋体"/>
      <charset val="134"/>
      <scheme val="minor"/>
    </font>
    <font>
      <sz val="16"/>
      <color rgb="FF1506E0"/>
      <name val="宋体"/>
      <charset val="134"/>
    </font>
    <font>
      <b/>
      <sz val="14"/>
      <color rgb="FF1506E0"/>
      <name val="宋体"/>
      <charset val="0"/>
      <scheme val="minor"/>
    </font>
    <font>
      <sz val="11"/>
      <color rgb="FF1506E0"/>
      <name val="宋体"/>
      <charset val="134"/>
    </font>
    <font>
      <b/>
      <sz val="11"/>
      <color rgb="FF1506E0"/>
      <name val="宋体"/>
      <charset val="134"/>
    </font>
    <font>
      <sz val="12"/>
      <color rgb="FF2727F0"/>
      <name val="宋体"/>
      <charset val="0"/>
    </font>
    <font>
      <sz val="11"/>
      <color rgb="FF2727F0"/>
      <name val="宋体"/>
      <charset val="134"/>
    </font>
    <font>
      <b/>
      <sz val="11"/>
      <color rgb="FF2727F0"/>
      <name val="宋体"/>
      <charset val="134"/>
    </font>
    <font>
      <sz val="12"/>
      <color rgb="FF0000FF"/>
      <name val="宋体"/>
      <charset val="0"/>
    </font>
    <font>
      <sz val="11"/>
      <color rgb="FF0000FF"/>
      <name val="宋体"/>
      <charset val="134"/>
    </font>
    <font>
      <b/>
      <sz val="11"/>
      <color rgb="FF0000FF"/>
      <name val="宋体"/>
      <charset val="134"/>
    </font>
    <font>
      <sz val="11"/>
      <color rgb="FF0000FF"/>
      <name val="Arial"/>
      <charset val="0"/>
    </font>
    <font>
      <b/>
      <sz val="14"/>
      <color rgb="FF0000FF"/>
      <name val="宋体"/>
      <charset val="134"/>
    </font>
    <font>
      <b/>
      <sz val="14"/>
      <color rgb="FF2727F0"/>
      <name val="宋体"/>
      <charset val="134"/>
    </font>
    <font>
      <b/>
      <sz val="14"/>
      <color rgb="FF0000FF"/>
      <name val="宋体"/>
      <charset val="134"/>
      <scheme val="minor"/>
    </font>
    <font>
      <sz val="12"/>
      <color rgb="FF2727F0"/>
      <name val="宋体"/>
      <charset val="0"/>
      <scheme val="minor"/>
    </font>
    <font>
      <b/>
      <sz val="14"/>
      <color rgb="FF2727F0"/>
      <name val="宋体"/>
      <charset val="0"/>
      <scheme val="minor"/>
    </font>
    <font>
      <b/>
      <sz val="14"/>
      <color rgb="FF2727F0"/>
      <name val="宋体"/>
      <charset val="134"/>
      <scheme val="minor"/>
    </font>
    <font>
      <sz val="12"/>
      <color rgb="FF1506E0"/>
      <name val="宋体"/>
      <charset val="134"/>
      <scheme val="minor"/>
    </font>
    <font>
      <sz val="12"/>
      <color rgb="FF0000FF"/>
      <name val="宋体"/>
      <charset val="134"/>
      <scheme val="minor"/>
    </font>
    <font>
      <sz val="10"/>
      <color rgb="FF0000FF"/>
      <name val="等线"/>
      <charset val="134"/>
    </font>
    <font>
      <b/>
      <sz val="14"/>
      <color rgb="FF000000"/>
      <name val="宋体"/>
      <charset val="0"/>
    </font>
    <font>
      <b/>
      <sz val="14"/>
      <color rgb="FF0000FF"/>
      <name val="宋体"/>
      <charset val="0"/>
      <scheme val="minor"/>
    </font>
    <font>
      <sz val="12"/>
      <color rgb="FF0E2EF0"/>
      <name val="宋体"/>
      <charset val="0"/>
    </font>
    <font>
      <sz val="14"/>
      <color rgb="FF0E2EF0"/>
      <name val="宋体"/>
      <charset val="0"/>
    </font>
    <font>
      <sz val="14"/>
      <color rgb="FF0E2EF0"/>
      <name val="宋体"/>
      <charset val="0"/>
      <scheme val="minor"/>
    </font>
    <font>
      <b/>
      <sz val="14"/>
      <color rgb="FF0E2EF0"/>
      <name val="宋体"/>
      <charset val="0"/>
    </font>
    <font>
      <b/>
      <sz val="14"/>
      <color rgb="FF0E2EF0"/>
      <name val="宋体"/>
      <charset val="134"/>
    </font>
    <font>
      <sz val="14"/>
      <color rgb="FF0E2EF0"/>
      <name val="宋体"/>
      <charset val="134"/>
      <scheme val="minor"/>
    </font>
    <font>
      <sz val="12"/>
      <color rgb="FF0E2EF0"/>
      <name val="宋体"/>
      <charset val="134"/>
      <scheme val="minor"/>
    </font>
    <font>
      <sz val="12"/>
      <name val="宋体"/>
      <charset val="134"/>
      <scheme val="minor"/>
    </font>
    <font>
      <b/>
      <sz val="20"/>
      <name val="宋体"/>
      <charset val="134"/>
      <scheme val="minor"/>
    </font>
    <font>
      <b/>
      <sz val="22"/>
      <color rgb="FFFF0000"/>
      <name val="宋体"/>
      <charset val="134"/>
      <scheme val="minor"/>
    </font>
    <font>
      <sz val="14"/>
      <color theme="1"/>
      <name val="宋体"/>
      <charset val="0"/>
      <scheme val="minor"/>
    </font>
    <font>
      <sz val="11"/>
      <color rgb="FF1506E0"/>
      <name val="宋体"/>
      <charset val="0"/>
      <scheme val="minor"/>
    </font>
    <font>
      <sz val="12"/>
      <color rgb="FF1506E0"/>
      <name val="宋体"/>
      <charset val="0"/>
      <scheme val="minor"/>
    </font>
    <font>
      <sz val="12"/>
      <color rgb="FF1506E0"/>
      <name val="Microsoft YaHei UI"/>
      <charset val="134"/>
    </font>
    <font>
      <sz val="14"/>
      <color rgb="FF1506E0"/>
      <name val="宋体"/>
      <charset val="0"/>
      <scheme val="major"/>
    </font>
    <font>
      <sz val="11"/>
      <color rgb="FF0000CC"/>
      <name val="Arial"/>
      <charset val="0"/>
    </font>
    <font>
      <b/>
      <sz val="20"/>
      <color rgb="FF2727F0"/>
      <name val="宋体"/>
      <charset val="134"/>
      <scheme val="minor"/>
    </font>
    <font>
      <sz val="10"/>
      <color rgb="FF2727F0"/>
      <name val="等线"/>
      <charset val="134"/>
    </font>
    <font>
      <sz val="12"/>
      <color rgb="FF0E2EF0"/>
      <name val="宋体"/>
      <charset val="134"/>
    </font>
    <font>
      <b/>
      <sz val="14"/>
      <color rgb="FF000000"/>
      <name val="宋体"/>
      <charset val="134"/>
    </font>
    <font>
      <b/>
      <sz val="14"/>
      <color rgb="FF000000"/>
      <name val="宋体"/>
      <charset val="134"/>
      <scheme val="minor"/>
    </font>
    <font>
      <sz val="14"/>
      <color indexed="10"/>
      <name val="宋体"/>
      <charset val="0"/>
      <scheme val="minor"/>
    </font>
    <font>
      <b/>
      <sz val="14"/>
      <color indexed="39"/>
      <name val="宋体"/>
      <charset val="0"/>
      <scheme val="minor"/>
    </font>
    <font>
      <b/>
      <sz val="14"/>
      <color indexed="10"/>
      <name val="宋体"/>
      <charset val="0"/>
      <scheme val="minor"/>
    </font>
    <font>
      <b/>
      <sz val="14"/>
      <color indexed="10"/>
      <name val="宋体"/>
      <charset val="134"/>
      <scheme val="minor"/>
    </font>
    <font>
      <b/>
      <sz val="14"/>
      <color indexed="39"/>
      <name val="宋体"/>
      <charset val="134"/>
      <scheme val="minor"/>
    </font>
    <font>
      <b/>
      <sz val="14"/>
      <color rgb="FF000000"/>
      <name val="宋体"/>
      <charset val="0"/>
      <scheme val="minor"/>
    </font>
    <font>
      <b/>
      <sz val="14"/>
      <color rgb="FFE51DF7"/>
      <name val="宋体"/>
      <charset val="134"/>
      <scheme val="minor"/>
    </font>
    <font>
      <b/>
      <sz val="14"/>
      <color theme="1"/>
      <name val="宋体"/>
      <charset val="0"/>
      <scheme val="minor"/>
    </font>
    <font>
      <sz val="14"/>
      <color theme="1"/>
      <name val="宋体"/>
      <charset val="134"/>
      <scheme val="minor"/>
    </font>
    <font>
      <sz val="16"/>
      <color rgb="FF2727F0"/>
      <name val="宋体"/>
      <charset val="134"/>
    </font>
    <font>
      <b/>
      <sz val="14"/>
      <color rgb="FF0E2EF0"/>
      <name val="宋体"/>
      <charset val="0"/>
      <scheme val="minor"/>
    </font>
    <font>
      <sz val="14"/>
      <color rgb="FF00B0F0"/>
      <name val="宋体"/>
      <charset val="0"/>
      <scheme val="minor"/>
    </font>
    <font>
      <sz val="14"/>
      <name val="Arial"/>
      <charset val="0"/>
    </font>
    <font>
      <sz val="11"/>
      <name val="新宋体"/>
      <charset val="0"/>
    </font>
    <font>
      <sz val="16"/>
      <color rgb="FFFF0000"/>
      <name val="Arial"/>
      <charset val="0"/>
    </font>
    <font>
      <sz val="16"/>
      <name val="Arial"/>
      <charset val="0"/>
    </font>
    <font>
      <b/>
      <sz val="16"/>
      <name val="新宋体"/>
      <charset val="0"/>
    </font>
    <font>
      <b/>
      <sz val="9"/>
      <name val="Arial"/>
      <charset val="0"/>
    </font>
    <font>
      <b/>
      <sz val="12"/>
      <color indexed="39"/>
      <name val="宋体"/>
      <charset val="134"/>
    </font>
    <font>
      <sz val="11"/>
      <color rgb="FFC00000"/>
      <name val="宋体"/>
      <charset val="134"/>
    </font>
    <font>
      <sz val="11"/>
      <color rgb="FFC00000"/>
      <name val="Arial"/>
      <charset val="0"/>
    </font>
    <font>
      <b/>
      <sz val="12"/>
      <name val="宋体"/>
      <charset val="0"/>
      <scheme val="minor"/>
    </font>
    <font>
      <b/>
      <sz val="14"/>
      <name val="宋体"/>
      <charset val="134"/>
      <scheme val="major"/>
    </font>
    <font>
      <b/>
      <sz val="14"/>
      <color indexed="39"/>
      <name val="宋体"/>
      <charset val="134"/>
    </font>
    <font>
      <sz val="12"/>
      <color rgb="FF1506E0"/>
      <name val="Arial"/>
      <charset val="0"/>
    </font>
    <font>
      <sz val="11"/>
      <color rgb="FF1506E0"/>
      <name val="新宋体"/>
      <charset val="134"/>
    </font>
    <font>
      <sz val="11"/>
      <color rgb="FF1506E0"/>
      <name val="Arial"/>
      <charset val="0"/>
    </font>
    <font>
      <b/>
      <sz val="11"/>
      <color rgb="FF1506E0"/>
      <name val="Arial"/>
      <charset val="0"/>
    </font>
    <font>
      <b/>
      <sz val="12"/>
      <color rgb="FF1506E0"/>
      <name val="Arial"/>
      <charset val="0"/>
    </font>
    <font>
      <sz val="11"/>
      <color rgb="FF1506E0"/>
      <name val="宋体"/>
      <charset val="134"/>
      <scheme val="minor"/>
    </font>
    <font>
      <sz val="12"/>
      <color rgb="FF2727F0"/>
      <name val="Arial"/>
      <charset val="0"/>
    </font>
    <font>
      <sz val="11"/>
      <color rgb="FF2727F0"/>
      <name val="新宋体"/>
      <charset val="134"/>
    </font>
    <font>
      <sz val="12"/>
      <color rgb="FF2727F0"/>
      <name val="宋体"/>
      <charset val="0"/>
      <scheme val="major"/>
    </font>
    <font>
      <sz val="11"/>
      <color rgb="FF2727F0"/>
      <name val="宋体"/>
      <charset val="0"/>
    </font>
    <font>
      <b/>
      <sz val="11"/>
      <color rgb="FF2727F0"/>
      <name val="Arial"/>
      <charset val="0"/>
    </font>
    <font>
      <b/>
      <sz val="12"/>
      <color rgb="FF2727F0"/>
      <name val="Arial"/>
      <charset val="0"/>
    </font>
    <font>
      <sz val="12"/>
      <color rgb="FF0000FF"/>
      <name val="Arial"/>
      <charset val="0"/>
    </font>
    <font>
      <sz val="11"/>
      <color rgb="FF0000FF"/>
      <name val="新宋体"/>
      <charset val="134"/>
    </font>
    <font>
      <sz val="12"/>
      <color rgb="FF0000FF"/>
      <name val="宋体"/>
      <charset val="0"/>
      <scheme val="major"/>
    </font>
    <font>
      <sz val="11"/>
      <color rgb="FF0000FF"/>
      <name val="宋体"/>
      <charset val="0"/>
    </font>
    <font>
      <b/>
      <sz val="11"/>
      <color rgb="FF0000FF"/>
      <name val="Arial"/>
      <charset val="0"/>
    </font>
    <font>
      <b/>
      <sz val="12"/>
      <color rgb="FF0000FF"/>
      <name val="Arial"/>
      <charset val="0"/>
    </font>
    <font>
      <sz val="11"/>
      <color rgb="FF2727F0"/>
      <name val="新宋体"/>
      <charset val="0"/>
    </font>
    <font>
      <sz val="9"/>
      <color rgb="FF000000"/>
      <name val="STSong-Light"/>
      <charset val="134"/>
    </font>
    <font>
      <sz val="11"/>
      <name val="新宋体"/>
      <charset val="134"/>
    </font>
    <font>
      <sz val="9"/>
      <color rgb="FF000000"/>
      <name val="宋体"/>
      <charset val="134"/>
    </font>
    <font>
      <sz val="10"/>
      <color rgb="FF0000FF"/>
      <name val="Arial"/>
      <charset val="0"/>
    </font>
    <font>
      <sz val="10"/>
      <color rgb="FF0000FF"/>
      <name val="Calibri"/>
      <charset val="134"/>
    </font>
    <font>
      <sz val="10"/>
      <color rgb="FFFF0000"/>
      <name val="微软雅黑"/>
      <charset val="134"/>
    </font>
    <font>
      <u/>
      <sz val="12"/>
      <color indexed="39"/>
      <name val="宋体"/>
      <charset val="134"/>
    </font>
    <font>
      <u/>
      <sz val="12"/>
      <color indexed="36"/>
      <name val="宋体"/>
      <charset val="134"/>
    </font>
    <font>
      <b/>
      <sz val="18"/>
      <color indexed="62"/>
      <name val="宋体"/>
      <charset val="134"/>
    </font>
    <font>
      <i/>
      <sz val="11"/>
      <color indexed="23"/>
      <name val="宋体"/>
      <charset val="134"/>
    </font>
    <font>
      <b/>
      <sz val="15"/>
      <color indexed="62"/>
      <name val="宋体"/>
      <charset val="134"/>
    </font>
    <font>
      <b/>
      <sz val="13"/>
      <color indexed="62"/>
      <name val="宋体"/>
      <charset val="134"/>
    </font>
    <font>
      <b/>
      <sz val="11"/>
      <color indexed="62"/>
      <name val="宋体"/>
      <charset val="134"/>
    </font>
    <font>
      <sz val="11"/>
      <color indexed="62"/>
      <name val="宋体"/>
      <charset val="134"/>
    </font>
    <font>
      <b/>
      <sz val="11"/>
      <color indexed="63"/>
      <name val="宋体"/>
      <charset val="134"/>
    </font>
    <font>
      <b/>
      <sz val="11"/>
      <color indexed="53"/>
      <name val="宋体"/>
      <charset val="134"/>
    </font>
    <font>
      <b/>
      <sz val="11"/>
      <color indexed="9"/>
      <name val="宋体"/>
      <charset val="134"/>
    </font>
    <font>
      <sz val="11"/>
      <color indexed="53"/>
      <name val="宋体"/>
      <charset val="134"/>
    </font>
    <font>
      <b/>
      <sz val="11"/>
      <color indexed="8"/>
      <name val="宋体"/>
      <charset val="134"/>
    </font>
    <font>
      <sz val="11"/>
      <color indexed="17"/>
      <name val="宋体"/>
      <charset val="134"/>
    </font>
    <font>
      <sz val="11"/>
      <color indexed="16"/>
      <name val="宋体"/>
      <charset val="134"/>
    </font>
    <font>
      <sz val="11"/>
      <color indexed="60"/>
      <name val="宋体"/>
      <charset val="134"/>
    </font>
    <font>
      <sz val="11"/>
      <color indexed="9"/>
      <name val="宋体"/>
      <charset val="134"/>
    </font>
    <font>
      <sz val="11"/>
      <color indexed="8"/>
      <name val="宋体"/>
      <charset val="134"/>
    </font>
    <font>
      <b/>
      <sz val="11"/>
      <color indexed="52"/>
      <name val="宋体"/>
      <charset val="134"/>
    </font>
    <font>
      <sz val="12"/>
      <color indexed="8"/>
      <name val="新細明體"/>
      <charset val="134"/>
    </font>
    <font>
      <sz val="10"/>
      <color indexed="8"/>
      <name val="Arial"/>
      <charset val="0"/>
    </font>
    <font>
      <sz val="11"/>
      <color indexed="62"/>
      <name val="Calibri"/>
      <charset val="0"/>
    </font>
    <font>
      <sz val="12"/>
      <color indexed="62"/>
      <name val="新細明體"/>
      <charset val="134"/>
    </font>
    <font>
      <b/>
      <sz val="11"/>
      <color indexed="56"/>
      <name val="Calibri"/>
      <charset val="0"/>
    </font>
    <font>
      <sz val="12"/>
      <color indexed="10"/>
      <name val="新細明體"/>
      <charset val="134"/>
    </font>
    <font>
      <sz val="12"/>
      <color indexed="0"/>
      <name val="新細明體"/>
      <charset val="134"/>
    </font>
    <font>
      <b/>
      <sz val="18"/>
      <color indexed="56"/>
      <name val="新細明體"/>
      <charset val="134"/>
    </font>
    <font>
      <b/>
      <sz val="12"/>
      <color indexed="8"/>
      <name val="新細明體"/>
      <charset val="134"/>
    </font>
    <font>
      <b/>
      <sz val="18"/>
      <color indexed="62"/>
      <name val="新細明體"/>
      <charset val="134"/>
    </font>
    <font>
      <i/>
      <sz val="12"/>
      <color indexed="23"/>
      <name val="新細明體"/>
      <charset val="134"/>
    </font>
    <font>
      <sz val="11"/>
      <color indexed="8"/>
      <name val="Calibri"/>
      <charset val="0"/>
    </font>
    <font>
      <sz val="12"/>
      <color indexed="8"/>
      <name val="宋体"/>
      <charset val="134"/>
    </font>
    <font>
      <sz val="11"/>
      <color indexed="10"/>
      <name val="Calibri"/>
      <charset val="0"/>
    </font>
    <font>
      <sz val="10"/>
      <name val="Helv"/>
      <charset val="0"/>
    </font>
    <font>
      <b/>
      <sz val="13"/>
      <color indexed="56"/>
      <name val="Calibri"/>
      <charset val="0"/>
    </font>
    <font>
      <sz val="12"/>
      <color indexed="17"/>
      <name val="Calibri"/>
      <charset val="0"/>
    </font>
    <font>
      <sz val="11"/>
      <color indexed="9"/>
      <name val="Calibri"/>
      <charset val="0"/>
    </font>
    <font>
      <b/>
      <sz val="15"/>
      <color indexed="56"/>
      <name val="新細明體"/>
      <charset val="134"/>
    </font>
    <font>
      <b/>
      <sz val="13"/>
      <color indexed="56"/>
      <name val="新細明體"/>
      <charset val="134"/>
    </font>
    <font>
      <b/>
      <sz val="11"/>
      <color indexed="56"/>
      <name val="新細明體"/>
      <charset val="134"/>
    </font>
    <font>
      <sz val="12"/>
      <color indexed="9"/>
      <name val="新細明體"/>
      <charset val="134"/>
    </font>
    <font>
      <sz val="11"/>
      <color indexed="17"/>
      <name val="Calibri"/>
      <charset val="0"/>
    </font>
    <font>
      <sz val="11"/>
      <color indexed="60"/>
      <name val="Calibri"/>
      <charset val="0"/>
    </font>
    <font>
      <sz val="11"/>
      <color indexed="20"/>
      <name val="Calibri"/>
      <charset val="0"/>
    </font>
    <font>
      <b/>
      <sz val="11"/>
      <color indexed="52"/>
      <name val="Calibri"/>
      <charset val="0"/>
    </font>
    <font>
      <b/>
      <sz val="11"/>
      <color indexed="9"/>
      <name val="Calibri"/>
      <charset val="0"/>
    </font>
    <font>
      <b/>
      <sz val="12"/>
      <name val="新細明體"/>
      <charset val="134"/>
    </font>
    <font>
      <i/>
      <sz val="11"/>
      <color indexed="23"/>
      <name val="Calibri"/>
      <charset val="0"/>
    </font>
    <font>
      <b/>
      <sz val="15"/>
      <color indexed="56"/>
      <name val="Calibri"/>
      <charset val="0"/>
    </font>
    <font>
      <sz val="11"/>
      <color indexed="52"/>
      <name val="Calibri"/>
      <charset val="0"/>
    </font>
    <font>
      <sz val="12"/>
      <name val="新細明體"/>
      <charset val="134"/>
    </font>
    <font>
      <b/>
      <sz val="11"/>
      <color indexed="8"/>
      <name val="Calibri"/>
      <charset val="0"/>
    </font>
    <font>
      <sz val="11"/>
      <color indexed="20"/>
      <name val="宋体"/>
      <charset val="134"/>
    </font>
    <font>
      <sz val="12"/>
      <color indexed="20"/>
      <name val="新細明體"/>
      <charset val="134"/>
    </font>
    <font>
      <b/>
      <sz val="18"/>
      <color indexed="56"/>
      <name val="Cambria"/>
      <charset val="0"/>
    </font>
    <font>
      <b/>
      <sz val="18"/>
      <color indexed="56"/>
      <name val="宋体"/>
      <charset val="134"/>
    </font>
    <font>
      <b/>
      <sz val="11"/>
      <color indexed="63"/>
      <name val="Calibri"/>
      <charset val="0"/>
    </font>
    <font>
      <sz val="10"/>
      <name val="Ottawa"/>
      <charset val="0"/>
    </font>
    <font>
      <b/>
      <sz val="15"/>
      <color indexed="56"/>
      <name val="宋体"/>
      <charset val="134"/>
    </font>
    <font>
      <b/>
      <sz val="13"/>
      <color indexed="56"/>
      <name val="宋体"/>
      <charset val="134"/>
    </font>
    <font>
      <b/>
      <sz val="11"/>
      <color indexed="56"/>
      <name val="宋体"/>
      <charset val="134"/>
    </font>
    <font>
      <sz val="12"/>
      <color indexed="20"/>
      <name val="Calibri"/>
      <charset val="0"/>
    </font>
    <font>
      <sz val="12"/>
      <color indexed="17"/>
      <name val="新細明體"/>
      <charset val="134"/>
    </font>
    <font>
      <sz val="12"/>
      <color indexed="14"/>
      <name val="新細明體"/>
      <charset val="134"/>
    </font>
    <font>
      <sz val="12"/>
      <color indexed="8"/>
      <name val="Arial"/>
      <charset val="0"/>
    </font>
    <font>
      <sz val="12"/>
      <color indexed="52"/>
      <name val="新細明體"/>
      <charset val="134"/>
    </font>
    <font>
      <b/>
      <sz val="12"/>
      <color indexed="9"/>
      <name val="新細明體"/>
      <charset val="134"/>
    </font>
    <font>
      <b/>
      <sz val="12"/>
      <color indexed="52"/>
      <name val="新細明體"/>
      <charset val="134"/>
    </font>
    <font>
      <sz val="11"/>
      <color indexed="52"/>
      <name val="宋体"/>
      <charset val="134"/>
    </font>
    <font>
      <b/>
      <sz val="12"/>
      <color indexed="63"/>
      <name val="新細明體"/>
      <charset val="134"/>
    </font>
    <font>
      <sz val="12"/>
      <color indexed="60"/>
      <name val="新細明體"/>
      <charset val="134"/>
    </font>
    <font>
      <sz val="10"/>
      <color indexed="10"/>
      <name val="宋体"/>
      <charset val="134"/>
    </font>
    <font>
      <sz val="10"/>
      <color rgb="FF0000FF"/>
      <name val="Times New Roman"/>
      <charset val="134"/>
    </font>
    <font>
      <b/>
      <sz val="11"/>
      <color rgb="FFF7241F"/>
      <name val="宋体"/>
      <charset val="134"/>
    </font>
    <font>
      <sz val="9"/>
      <color rgb="FF1506E0"/>
      <name val="STSong-Light"/>
      <charset val="134"/>
    </font>
    <font>
      <b/>
      <sz val="10"/>
      <color theme="0"/>
      <name val="Microsoft YaHei UI"/>
      <charset val="134"/>
    </font>
    <font>
      <sz val="11"/>
      <color rgb="FFFF0000"/>
      <name val="宋体"/>
      <charset val="134"/>
    </font>
    <font>
      <sz val="11"/>
      <color rgb="FF000000"/>
      <name val="宋体"/>
      <charset val="134"/>
    </font>
    <font>
      <sz val="10"/>
      <name val="微软雅黑"/>
      <charset val="134"/>
    </font>
    <font>
      <b/>
      <sz val="10"/>
      <color rgb="FFFFC000"/>
      <name val="宋体"/>
      <charset val="134"/>
    </font>
    <font>
      <sz val="10"/>
      <color rgb="FF000000"/>
      <name val="等线"/>
      <charset val="134"/>
    </font>
    <font>
      <sz val="20"/>
      <name val="宋体"/>
      <charset val="0"/>
    </font>
    <font>
      <b/>
      <sz val="10"/>
      <color indexed="10"/>
      <name val="宋体"/>
      <charset val="134"/>
    </font>
    <font>
      <b/>
      <sz val="10"/>
      <color indexed="9"/>
      <name val="Tahoma"/>
      <charset val="0"/>
    </font>
    <font>
      <b/>
      <sz val="10"/>
      <color indexed="9"/>
      <name val="Times New Roman"/>
      <charset val="0"/>
    </font>
    <font>
      <sz val="12"/>
      <color indexed="10"/>
      <name val="宋体"/>
      <charset val="134"/>
    </font>
    <font>
      <b/>
      <i/>
      <sz val="14"/>
      <color rgb="FFFF0000"/>
      <name val="宋体"/>
      <charset val="0"/>
    </font>
    <font>
      <b/>
      <sz val="11"/>
      <color rgb="FFFF0000"/>
      <name val="宋体"/>
      <charset val="0"/>
    </font>
    <font>
      <b/>
      <sz val="16"/>
      <name val="宋体"/>
      <charset val="134"/>
    </font>
    <font>
      <sz val="12"/>
      <color rgb="FF000000"/>
      <name val="等线"/>
      <charset val="134"/>
    </font>
    <font>
      <b/>
      <sz val="20"/>
      <color indexed="39"/>
      <name val="宋体"/>
      <charset val="134"/>
    </font>
    <font>
      <sz val="13"/>
      <name val="宋体"/>
      <charset val="134"/>
    </font>
    <font>
      <sz val="10"/>
      <color rgb="FFDD0806"/>
      <name val="宋体"/>
      <charset val="0"/>
    </font>
    <font>
      <sz val="14"/>
      <color rgb="FFFF0000"/>
      <name val="Times New Roman"/>
      <charset val="0"/>
    </font>
    <font>
      <sz val="9"/>
      <name val="宋体"/>
      <charset val="0"/>
    </font>
    <font>
      <sz val="10"/>
      <color rgb="FF000000"/>
      <name val="微软雅黑"/>
      <charset val="134"/>
    </font>
    <font>
      <sz val="10"/>
      <color rgb="FF000000"/>
      <name val="Calibri"/>
      <charset val="134"/>
    </font>
    <font>
      <sz val="10"/>
      <color rgb="FF1506E0"/>
      <name val="等线"/>
      <charset val="134"/>
    </font>
    <font>
      <i/>
      <sz val="14"/>
      <color rgb="FF1506E0"/>
      <name val="宋体"/>
      <charset val="134"/>
    </font>
    <font>
      <sz val="10"/>
      <color indexed="10"/>
      <name val="微软雅黑"/>
      <charset val="134"/>
    </font>
    <font>
      <sz val="10"/>
      <color indexed="10"/>
      <name val="Times New Roman"/>
      <charset val="0"/>
    </font>
    <font>
      <sz val="28"/>
      <name val="宋体"/>
      <charset val="134"/>
    </font>
    <font>
      <sz val="14"/>
      <name val="宋体"/>
      <charset val="134"/>
    </font>
    <font>
      <b/>
      <sz val="14"/>
      <name val="宋体"/>
      <charset val="134"/>
    </font>
    <font>
      <sz val="12"/>
      <name val="宋体"/>
      <charset val="134"/>
    </font>
    <font>
      <b/>
      <sz val="12"/>
      <name val="宋体"/>
      <charset val="134"/>
    </font>
    <font>
      <b/>
      <sz val="9"/>
      <name val="宋体"/>
      <charset val="0"/>
    </font>
    <font>
      <sz val="11"/>
      <name val="宋体"/>
      <charset val="134"/>
    </font>
    <font>
      <b/>
      <sz val="11"/>
      <name val="宋体"/>
      <charset val="134"/>
    </font>
    <font>
      <sz val="16"/>
      <name val="宋体"/>
      <charset val="134"/>
    </font>
    <font>
      <sz val="9"/>
      <name val="宋体"/>
      <charset val="134"/>
    </font>
    <font>
      <b/>
      <sz val="16"/>
      <name val="宋体"/>
      <charset val="134"/>
    </font>
    <font>
      <b/>
      <sz val="9"/>
      <name val="宋体"/>
      <charset val="134"/>
    </font>
  </fonts>
  <fills count="60">
    <fill>
      <patternFill patternType="none"/>
    </fill>
    <fill>
      <patternFill patternType="gray125"/>
    </fill>
    <fill>
      <patternFill patternType="solid">
        <fgColor indexed="34"/>
        <bgColor indexed="64"/>
      </patternFill>
    </fill>
    <fill>
      <patternFill patternType="solid">
        <fgColor rgb="FFFFFF00"/>
        <bgColor indexed="64"/>
      </patternFill>
    </fill>
    <fill>
      <patternFill patternType="solid">
        <fgColor rgb="FF00B0F0"/>
        <bgColor indexed="64"/>
      </patternFill>
    </fill>
    <fill>
      <patternFill patternType="solid">
        <fgColor rgb="FFE228EE"/>
        <bgColor indexed="64"/>
      </patternFill>
    </fill>
    <fill>
      <patternFill patternType="solid">
        <fgColor rgb="FFFFC000"/>
        <bgColor indexed="64"/>
      </patternFill>
    </fill>
    <fill>
      <patternFill patternType="solid">
        <fgColor rgb="FFFFFFFF"/>
        <bgColor indexed="64"/>
      </patternFill>
    </fill>
    <fill>
      <patternFill patternType="solid">
        <fgColor theme="1" tint="0.499984740745262"/>
        <bgColor indexed="64"/>
      </patternFill>
    </fill>
    <fill>
      <patternFill patternType="solid">
        <fgColor theme="0" tint="-0.149998474074526"/>
        <bgColor indexed="64"/>
      </patternFill>
    </fill>
    <fill>
      <patternFill patternType="solid">
        <fgColor theme="6" tint="0.799981688894314"/>
        <bgColor indexed="64"/>
      </patternFill>
    </fill>
    <fill>
      <patternFill patternType="solid">
        <fgColor theme="9" tint="-0.249977111117893"/>
        <bgColor indexed="64"/>
      </patternFill>
    </fill>
    <fill>
      <patternFill patternType="solid">
        <fgColor theme="0"/>
        <bgColor indexed="64"/>
      </patternFill>
    </fill>
    <fill>
      <patternFill patternType="solid">
        <fgColor indexed="31"/>
        <bgColor indexed="64"/>
      </patternFill>
    </fill>
    <fill>
      <patternFill patternType="solid">
        <fgColor indexed="22"/>
        <bgColor indexed="64"/>
      </patternFill>
    </fill>
    <fill>
      <patternFill patternType="solid">
        <fgColor theme="0" tint="-0.15"/>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indexed="43"/>
        <bgColor indexed="64"/>
      </patternFill>
    </fill>
    <fill>
      <patternFill patternType="solid">
        <fgColor theme="2" tint="-0.1"/>
        <bgColor indexed="64"/>
      </patternFill>
    </fill>
    <fill>
      <patternFill patternType="solid">
        <fgColor rgb="FF92D050"/>
        <bgColor indexed="64"/>
      </patternFill>
    </fill>
    <fill>
      <patternFill patternType="solid">
        <fgColor theme="8" tint="0.8"/>
        <bgColor indexed="64"/>
      </patternFill>
    </fill>
    <fill>
      <patternFill patternType="solid">
        <fgColor theme="6" tint="0.8"/>
        <bgColor indexed="64"/>
      </patternFill>
    </fill>
    <fill>
      <patternFill patternType="solid">
        <fgColor indexed="44"/>
        <bgColor indexed="64"/>
      </patternFill>
    </fill>
    <fill>
      <patternFill patternType="solid">
        <fgColor indexed="9"/>
        <bgColor indexed="64"/>
      </patternFill>
    </fill>
    <fill>
      <patternFill patternType="solid">
        <fgColor theme="1" tint="0.349986266670736"/>
        <bgColor indexed="64"/>
      </patternFill>
    </fill>
    <fill>
      <patternFill patternType="solid">
        <fgColor theme="6" tint="0.599993896298105"/>
        <bgColor indexed="64"/>
      </patternFill>
    </fill>
    <fill>
      <patternFill patternType="solid">
        <fgColor rgb="FF99FF99"/>
        <bgColor indexed="64"/>
      </patternFill>
    </fill>
    <fill>
      <patternFill patternType="solid">
        <fgColor rgb="FFFFFF66"/>
        <bgColor indexed="64"/>
      </patternFill>
    </fill>
    <fill>
      <patternFill patternType="solid">
        <fgColor theme="7" tint="0.799981688894314"/>
        <bgColor indexed="64"/>
      </patternFill>
    </fill>
    <fill>
      <patternFill patternType="solid">
        <fgColor theme="6" tint="-0.249977111117893"/>
        <bgColor indexed="64"/>
      </patternFill>
    </fill>
    <fill>
      <patternFill patternType="solid">
        <fgColor theme="0" tint="-0.349986266670736"/>
        <bgColor indexed="64"/>
      </patternFill>
    </fill>
    <fill>
      <patternFill patternType="solid">
        <fgColor indexed="23"/>
        <bgColor indexed="64"/>
      </patternFill>
    </fill>
    <fill>
      <patternFill patternType="solid">
        <fgColor indexed="47"/>
        <bgColor indexed="64"/>
      </patternFill>
    </fill>
    <fill>
      <patternFill patternType="solid">
        <fgColor indexed="11"/>
        <bgColor indexed="64"/>
      </patternFill>
    </fill>
    <fill>
      <patternFill patternType="solid">
        <fgColor indexed="19"/>
        <bgColor indexed="64"/>
      </patternFill>
    </fill>
    <fill>
      <patternFill patternType="solid">
        <fgColor theme="9" tint="0.399975585192419"/>
        <bgColor indexed="64"/>
      </patternFill>
    </fill>
    <fill>
      <patternFill patternType="solid">
        <fgColor theme="1" tint="0.5"/>
        <bgColor indexed="64"/>
      </patternFill>
    </fill>
    <fill>
      <patternFill patternType="solid">
        <fgColor theme="0" tint="-0.5"/>
        <bgColor indexed="64"/>
      </patternFill>
    </fill>
    <fill>
      <patternFill patternType="solid">
        <fgColor theme="9"/>
        <bgColor indexed="64"/>
      </patternFill>
    </fill>
    <fill>
      <patternFill patternType="solid">
        <fgColor theme="3" tint="0.599993896298105"/>
        <bgColor indexed="64"/>
      </patternFill>
    </fill>
    <fill>
      <patternFill patternType="solid">
        <fgColor theme="0" tint="-0.249977111117893"/>
        <bgColor indexed="64"/>
      </patternFill>
    </fill>
    <fill>
      <patternFill patternType="solid">
        <fgColor indexed="26"/>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54"/>
        <bgColor indexed="64"/>
      </patternFill>
    </fill>
    <fill>
      <patternFill patternType="solid">
        <fgColor indexed="27"/>
        <bgColor indexed="64"/>
      </patternFill>
    </fill>
    <fill>
      <patternFill patternType="solid">
        <fgColor indexed="25"/>
        <bgColor indexed="64"/>
      </patternFill>
    </fill>
    <fill>
      <patternFill patternType="solid">
        <fgColor indexed="29"/>
        <bgColor indexed="64"/>
      </patternFill>
    </fill>
    <fill>
      <patternFill patternType="solid">
        <fgColor indexed="49"/>
        <bgColor indexed="64"/>
      </patternFill>
    </fill>
    <fill>
      <patternFill patternType="solid">
        <fgColor indexed="46"/>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s>
  <borders count="120">
    <border>
      <left/>
      <right/>
      <top/>
      <bottom/>
      <diagonal/>
    </border>
    <border>
      <left style="thin">
        <color auto="1"/>
      </left>
      <right style="thin">
        <color auto="1"/>
      </right>
      <top style="thin">
        <color auto="1"/>
      </top>
      <bottom style="thin">
        <color auto="1"/>
      </bottom>
      <diagonal/>
    </border>
    <border>
      <left style="medium">
        <color auto="1"/>
      </left>
      <right/>
      <top/>
      <bottom/>
      <diagonal/>
    </border>
    <border>
      <left/>
      <right style="medium">
        <color auto="1"/>
      </right>
      <top/>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diagonal/>
    </border>
    <border>
      <left style="thick">
        <color auto="1"/>
      </left>
      <right/>
      <top style="thin">
        <color auto="1"/>
      </top>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ck">
        <color auto="1"/>
      </left>
      <right/>
      <top/>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thick">
        <color auto="1"/>
      </left>
      <right style="thin">
        <color auto="1"/>
      </right>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right style="thin">
        <color auto="1"/>
      </right>
      <top/>
      <bottom/>
      <diagonal/>
    </border>
    <border>
      <left style="thick">
        <color auto="1"/>
      </left>
      <right style="thin">
        <color auto="1"/>
      </right>
      <top style="thin">
        <color auto="1"/>
      </top>
      <bottom style="thick">
        <color auto="1"/>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thick">
        <color auto="1"/>
      </bottom>
      <diagonal/>
    </border>
    <border>
      <left style="thick">
        <color auto="1"/>
      </left>
      <right/>
      <top/>
      <bottom style="thick">
        <color auto="1"/>
      </bottom>
      <diagonal/>
    </border>
    <border>
      <left style="thin">
        <color auto="1"/>
      </left>
      <right style="thick">
        <color auto="1"/>
      </right>
      <top style="thin">
        <color auto="1"/>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auto="1"/>
      </left>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style="thick">
        <color auto="1"/>
      </bottom>
      <diagonal/>
    </border>
    <border>
      <left style="thin">
        <color auto="1"/>
      </left>
      <right style="medium">
        <color auto="1"/>
      </right>
      <top style="thin">
        <color auto="1"/>
      </top>
      <bottom style="thick">
        <color auto="1"/>
      </bottom>
      <diagonal/>
    </border>
    <border>
      <left style="thin">
        <color auto="1"/>
      </left>
      <right style="thick">
        <color auto="1"/>
      </right>
      <top style="thin">
        <color auto="1"/>
      </top>
      <bottom/>
      <diagonal/>
    </border>
    <border>
      <left style="thin">
        <color auto="1"/>
      </left>
      <right style="thick">
        <color auto="1"/>
      </right>
      <top/>
      <bottom style="thin">
        <color auto="1"/>
      </bottom>
      <diagonal/>
    </border>
    <border>
      <left style="thin">
        <color auto="1"/>
      </left>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right style="thin">
        <color auto="1"/>
      </right>
      <top style="thin">
        <color auto="1"/>
      </top>
      <bottom style="medium">
        <color auto="1"/>
      </bottom>
      <diagonal/>
    </border>
    <border>
      <left/>
      <right/>
      <top style="thin">
        <color auto="1"/>
      </top>
      <bottom style="medium">
        <color auto="1"/>
      </bottom>
      <diagonal/>
    </border>
    <border>
      <left/>
      <right/>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style="medium">
        <color auto="1"/>
      </left>
      <right/>
      <top/>
      <bottom style="medium">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medium">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bottom style="medium">
        <color auto="1"/>
      </bottom>
      <diagonal/>
    </border>
    <border>
      <left/>
      <right style="medium">
        <color auto="1"/>
      </right>
      <top/>
      <bottom style="medium">
        <color auto="1"/>
      </bottom>
      <diagonal/>
    </border>
    <border>
      <left/>
      <right style="medium">
        <color auto="1"/>
      </right>
      <top/>
      <bottom style="thin">
        <color auto="1"/>
      </bottom>
      <diagonal/>
    </border>
    <border>
      <left style="thick">
        <color auto="1"/>
      </left>
      <right/>
      <top style="thin">
        <color auto="1"/>
      </top>
      <bottom style="thin">
        <color auto="1"/>
      </bottom>
      <diagonal/>
    </border>
    <border>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style="thin">
        <color rgb="FF000000"/>
      </top>
      <bottom/>
      <diagonal/>
    </border>
    <border>
      <left style="thin">
        <color auto="1"/>
      </left>
      <right style="thin">
        <color auto="1"/>
      </right>
      <top style="medium">
        <color auto="1"/>
      </top>
      <bottom style="medium">
        <color auto="1"/>
      </bottom>
      <diagonal/>
    </border>
    <border>
      <left style="thin">
        <color indexed="22"/>
      </left>
      <right style="thin">
        <color indexed="22"/>
      </right>
      <top style="thin">
        <color indexed="22"/>
      </top>
      <bottom style="thin">
        <color indexed="22"/>
      </bottom>
      <diagonal/>
    </border>
    <border>
      <left/>
      <right/>
      <top/>
      <bottom style="thick">
        <color indexed="54"/>
      </bottom>
      <diagonal/>
    </border>
    <border>
      <left/>
      <right/>
      <top/>
      <bottom style="thick">
        <color indexed="44"/>
      </bottom>
      <diagonal/>
    </border>
    <border>
      <left/>
      <right/>
      <top/>
      <bottom style="medium">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54"/>
      </top>
      <bottom style="double">
        <color indexed="54"/>
      </bottom>
      <diagonal/>
    </border>
    <border>
      <left/>
      <right/>
      <top/>
      <bottom style="medium">
        <color indexed="30"/>
      </bottom>
      <diagonal/>
    </border>
    <border>
      <left/>
      <right/>
      <top style="thin">
        <color indexed="62"/>
      </top>
      <bottom style="double">
        <color indexed="62"/>
      </bottom>
      <diagonal/>
    </border>
    <border>
      <left/>
      <right/>
      <top/>
      <bottom style="thick">
        <color indexed="22"/>
      </bottom>
      <diagonal/>
    </border>
    <border>
      <left/>
      <right/>
      <top/>
      <bottom style="thick">
        <color indexed="62"/>
      </bottom>
      <diagonal/>
    </border>
    <border>
      <left style="thin">
        <color auto="1"/>
      </left>
      <right style="thin">
        <color auto="1"/>
      </right>
      <top style="hair">
        <color auto="1"/>
      </top>
      <bottom style="hair">
        <color auto="1"/>
      </bottom>
      <diagonal/>
    </border>
  </borders>
  <cellStyleXfs count="17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71" fillId="0" borderId="0" applyNumberFormat="0" applyFill="0" applyBorder="0" applyAlignment="0" applyProtection="0">
      <alignment vertical="top"/>
      <protection locked="0"/>
    </xf>
    <xf numFmtId="0" fontId="372" fillId="0" borderId="0" applyNumberFormat="0" applyFill="0" applyBorder="0" applyAlignment="0" applyProtection="0">
      <alignment vertical="top"/>
      <protection locked="0"/>
    </xf>
    <xf numFmtId="0" fontId="0" fillId="42" borderId="106" applyNumberFormat="0" applyFont="0" applyAlignment="0" applyProtection="0">
      <alignment vertical="center"/>
    </xf>
    <xf numFmtId="0" fontId="26" fillId="0" borderId="0" applyNumberFormat="0" applyFill="0" applyBorder="0" applyAlignment="0" applyProtection="0">
      <alignment vertical="center"/>
    </xf>
    <xf numFmtId="0" fontId="373" fillId="0" borderId="0" applyNumberFormat="0" applyFill="0" applyBorder="0" applyAlignment="0" applyProtection="0">
      <alignment vertical="center"/>
    </xf>
    <xf numFmtId="0" fontId="374" fillId="0" borderId="0" applyNumberFormat="0" applyFill="0" applyBorder="0" applyAlignment="0" applyProtection="0">
      <alignment vertical="center"/>
    </xf>
    <xf numFmtId="0" fontId="375" fillId="0" borderId="107" applyNumberFormat="0" applyFill="0" applyAlignment="0" applyProtection="0">
      <alignment vertical="center"/>
    </xf>
    <xf numFmtId="0" fontId="376" fillId="0" borderId="108" applyNumberFormat="0" applyFill="0" applyAlignment="0" applyProtection="0">
      <alignment vertical="center"/>
    </xf>
    <xf numFmtId="0" fontId="377" fillId="0" borderId="109" applyNumberFormat="0" applyFill="0" applyAlignment="0" applyProtection="0">
      <alignment vertical="center"/>
    </xf>
    <xf numFmtId="0" fontId="377" fillId="0" borderId="0" applyNumberFormat="0" applyFill="0" applyBorder="0" applyAlignment="0" applyProtection="0">
      <alignment vertical="center"/>
    </xf>
    <xf numFmtId="0" fontId="378" fillId="33" borderId="110" applyNumberFormat="0" applyAlignment="0" applyProtection="0">
      <alignment vertical="center"/>
    </xf>
    <xf numFmtId="0" fontId="379" fillId="24" borderId="111" applyNumberFormat="0" applyAlignment="0" applyProtection="0">
      <alignment vertical="center"/>
    </xf>
    <xf numFmtId="0" fontId="380" fillId="24" borderId="110" applyNumberFormat="0" applyAlignment="0" applyProtection="0">
      <alignment vertical="center"/>
    </xf>
    <xf numFmtId="0" fontId="381" fillId="43" borderId="112" applyNumberFormat="0" applyAlignment="0" applyProtection="0">
      <alignment vertical="center"/>
    </xf>
    <xf numFmtId="0" fontId="382" fillId="0" borderId="113" applyNumberFormat="0" applyFill="0" applyAlignment="0" applyProtection="0">
      <alignment vertical="center"/>
    </xf>
    <xf numFmtId="0" fontId="383" fillId="0" borderId="114" applyNumberFormat="0" applyFill="0" applyAlignment="0" applyProtection="0">
      <alignment vertical="center"/>
    </xf>
    <xf numFmtId="0" fontId="384" fillId="44" borderId="0" applyNumberFormat="0" applyBorder="0" applyAlignment="0" applyProtection="0">
      <alignment vertical="center"/>
    </xf>
    <xf numFmtId="0" fontId="385" fillId="45" borderId="0" applyNumberFormat="0" applyBorder="0" applyAlignment="0" applyProtection="0">
      <alignment vertical="center"/>
    </xf>
    <xf numFmtId="0" fontId="386" fillId="18" borderId="0" applyNumberFormat="0" applyBorder="0" applyAlignment="0" applyProtection="0">
      <alignment vertical="center"/>
    </xf>
    <xf numFmtId="0" fontId="387" fillId="46" borderId="0" applyNumberFormat="0" applyBorder="0" applyAlignment="0" applyProtection="0">
      <alignment vertical="center"/>
    </xf>
    <xf numFmtId="0" fontId="388" fillId="47" borderId="0" applyNumberFormat="0" applyBorder="0" applyAlignment="0" applyProtection="0">
      <alignment vertical="center"/>
    </xf>
    <xf numFmtId="0" fontId="388" fillId="13" borderId="0" applyNumberFormat="0" applyBorder="0" applyAlignment="0" applyProtection="0">
      <alignment vertical="center"/>
    </xf>
    <xf numFmtId="0" fontId="387" fillId="14" borderId="0" applyNumberFormat="0" applyBorder="0" applyAlignment="0" applyProtection="0">
      <alignment vertical="center"/>
    </xf>
    <xf numFmtId="0" fontId="387" fillId="48" borderId="0" applyNumberFormat="0" applyBorder="0" applyAlignment="0" applyProtection="0">
      <alignment vertical="center"/>
    </xf>
    <xf numFmtId="0" fontId="388" fillId="42" borderId="0" applyNumberFormat="0" applyBorder="0" applyAlignment="0" applyProtection="0">
      <alignment vertical="center"/>
    </xf>
    <xf numFmtId="0" fontId="388" fillId="33" borderId="0" applyNumberFormat="0" applyBorder="0" applyAlignment="0" applyProtection="0">
      <alignment vertical="center"/>
    </xf>
    <xf numFmtId="0" fontId="387" fillId="49" borderId="0" applyNumberFormat="0" applyBorder="0" applyAlignment="0" applyProtection="0">
      <alignment vertical="center"/>
    </xf>
    <xf numFmtId="0" fontId="387" fillId="32" borderId="0" applyNumberFormat="0" applyBorder="0" applyAlignment="0" applyProtection="0">
      <alignment vertical="center"/>
    </xf>
    <xf numFmtId="0" fontId="388" fillId="42" borderId="0" applyNumberFormat="0" applyBorder="0" applyAlignment="0" applyProtection="0">
      <alignment vertical="center"/>
    </xf>
    <xf numFmtId="0" fontId="388" fillId="44" borderId="0" applyNumberFormat="0" applyBorder="0" applyAlignment="0" applyProtection="0">
      <alignment vertical="center"/>
    </xf>
    <xf numFmtId="0" fontId="387" fillId="14" borderId="0" applyNumberFormat="0" applyBorder="0" applyAlignment="0" applyProtection="0">
      <alignment vertical="center"/>
    </xf>
    <xf numFmtId="0" fontId="387" fillId="46" borderId="0" applyNumberFormat="0" applyBorder="0" applyAlignment="0" applyProtection="0">
      <alignment vertical="center"/>
    </xf>
    <xf numFmtId="0" fontId="388" fillId="13" borderId="0" applyNumberFormat="0" applyBorder="0" applyAlignment="0" applyProtection="0">
      <alignment vertical="center"/>
    </xf>
    <xf numFmtId="0" fontId="388" fillId="14" borderId="0" applyNumberFormat="0" applyBorder="0" applyAlignment="0" applyProtection="0">
      <alignment vertical="center"/>
    </xf>
    <xf numFmtId="0" fontId="387" fillId="14" borderId="0" applyNumberFormat="0" applyBorder="0" applyAlignment="0" applyProtection="0">
      <alignment vertical="center"/>
    </xf>
    <xf numFmtId="0" fontId="387" fillId="50" borderId="0" applyNumberFormat="0" applyBorder="0" applyAlignment="0" applyProtection="0">
      <alignment vertical="center"/>
    </xf>
    <xf numFmtId="0" fontId="388" fillId="47" borderId="0" applyNumberFormat="0" applyBorder="0" applyAlignment="0" applyProtection="0">
      <alignment vertical="center"/>
    </xf>
    <xf numFmtId="0" fontId="388" fillId="13" borderId="0" applyNumberFormat="0" applyBorder="0" applyAlignment="0" applyProtection="0">
      <alignment vertical="center"/>
    </xf>
    <xf numFmtId="0" fontId="387" fillId="23" borderId="0" applyNumberFormat="0" applyBorder="0" applyAlignment="0" applyProtection="0">
      <alignment vertical="center"/>
    </xf>
    <xf numFmtId="0" fontId="387" fillId="49" borderId="0" applyNumberFormat="0" applyBorder="0" applyAlignment="0" applyProtection="0">
      <alignment vertical="center"/>
    </xf>
    <xf numFmtId="0" fontId="388" fillId="42" borderId="0" applyNumberFormat="0" applyBorder="0" applyAlignment="0" applyProtection="0">
      <alignment vertical="center"/>
    </xf>
    <xf numFmtId="0" fontId="388" fillId="33" borderId="0" applyNumberFormat="0" applyBorder="0" applyAlignment="0" applyProtection="0">
      <alignment vertical="center"/>
    </xf>
    <xf numFmtId="0" fontId="387" fillId="33" borderId="0" applyNumberFormat="0" applyBorder="0" applyAlignment="0" applyProtection="0">
      <alignment vertical="center"/>
    </xf>
    <xf numFmtId="176" fontId="0" fillId="0" borderId="0"/>
    <xf numFmtId="0" fontId="388" fillId="0" borderId="0">
      <alignment vertical="center"/>
    </xf>
    <xf numFmtId="0" fontId="388" fillId="0" borderId="0"/>
    <xf numFmtId="0" fontId="389" fillId="14" borderId="110" applyNumberFormat="0" applyAlignment="0" applyProtection="0">
      <alignment vertical="center"/>
    </xf>
    <xf numFmtId="0" fontId="390" fillId="51" borderId="0" applyNumberFormat="0" applyBorder="0" applyAlignment="0" applyProtection="0">
      <alignment vertical="center"/>
    </xf>
    <xf numFmtId="0" fontId="390" fillId="49" borderId="0" applyNumberFormat="0" applyBorder="0" applyAlignment="0" applyProtection="0">
      <alignment vertical="center"/>
    </xf>
    <xf numFmtId="0" fontId="21" fillId="0" borderId="0"/>
    <xf numFmtId="0" fontId="391" fillId="0" borderId="0">
      <alignment vertical="top"/>
    </xf>
    <xf numFmtId="0" fontId="392" fillId="33" borderId="110" applyNumberFormat="0" applyAlignment="0" applyProtection="0"/>
    <xf numFmtId="0" fontId="388" fillId="51" borderId="0" applyNumberFormat="0" applyBorder="0" applyAlignment="0" applyProtection="0">
      <alignment vertical="center"/>
    </xf>
    <xf numFmtId="0" fontId="393" fillId="33" borderId="110" applyNumberFormat="0" applyAlignment="0" applyProtection="0">
      <alignment vertical="center"/>
    </xf>
    <xf numFmtId="0" fontId="394" fillId="0" borderId="115" applyNumberFormat="0" applyFill="0" applyAlignment="0" applyProtection="0"/>
    <xf numFmtId="0" fontId="395" fillId="0" borderId="0" applyNumberFormat="0" applyFill="0" applyBorder="0" applyAlignment="0" applyProtection="0">
      <alignment vertical="center"/>
    </xf>
    <xf numFmtId="0" fontId="396" fillId="0" borderId="0" applyNumberFormat="0" applyBorder="0" applyProtection="0">
      <alignment vertical="center"/>
    </xf>
    <xf numFmtId="0" fontId="390" fillId="45" borderId="0" applyNumberFormat="0" applyBorder="0" applyAlignment="0" applyProtection="0">
      <alignment vertical="center"/>
    </xf>
    <xf numFmtId="0" fontId="379" fillId="14" borderId="111" applyNumberFormat="0" applyAlignment="0" applyProtection="0">
      <alignment vertical="center"/>
    </xf>
    <xf numFmtId="0" fontId="390" fillId="44" borderId="0" applyNumberFormat="0" applyBorder="0" applyAlignment="0" applyProtection="0">
      <alignment vertical="center"/>
    </xf>
    <xf numFmtId="0" fontId="397" fillId="0" borderId="0" applyNumberFormat="0" applyFill="0" applyBorder="0" applyAlignment="0" applyProtection="0">
      <alignment vertical="center"/>
    </xf>
    <xf numFmtId="0" fontId="390" fillId="47" borderId="0" applyNumberFormat="0" applyBorder="0" applyAlignment="0" applyProtection="0">
      <alignment vertical="center"/>
    </xf>
    <xf numFmtId="176" fontId="388" fillId="0" borderId="0">
      <alignment vertical="center"/>
    </xf>
    <xf numFmtId="0" fontId="390" fillId="33" borderId="0" applyNumberFormat="0" applyBorder="0" applyAlignment="0" applyProtection="0">
      <alignment vertical="center"/>
    </xf>
    <xf numFmtId="0" fontId="398" fillId="0" borderId="116" applyNumberFormat="0" applyFill="0" applyAlignment="0" applyProtection="0">
      <alignment vertical="center"/>
    </xf>
    <xf numFmtId="0" fontId="399" fillId="0" borderId="0" applyNumberFormat="0" applyFill="0" applyBorder="0" applyAlignment="0" applyProtection="0">
      <alignment vertical="center"/>
    </xf>
    <xf numFmtId="0" fontId="400" fillId="0" borderId="0" applyNumberFormat="0" applyFill="0" applyBorder="0" applyAlignment="0" applyProtection="0">
      <alignment vertical="center"/>
    </xf>
    <xf numFmtId="0" fontId="401" fillId="51" borderId="0" applyNumberFormat="0" applyBorder="0" applyAlignment="0" applyProtection="0"/>
    <xf numFmtId="0" fontId="401" fillId="45" borderId="0" applyNumberFormat="0" applyBorder="0" applyAlignment="0" applyProtection="0"/>
    <xf numFmtId="0" fontId="401" fillId="44" borderId="0" applyNumberFormat="0" applyBorder="0" applyAlignment="0" applyProtection="0"/>
    <xf numFmtId="0" fontId="401" fillId="47" borderId="0" applyNumberFormat="0" applyBorder="0" applyAlignment="0" applyProtection="0"/>
    <xf numFmtId="0" fontId="401" fillId="33" borderId="0" applyNumberFormat="0" applyBorder="0" applyAlignment="0" applyProtection="0"/>
    <xf numFmtId="0" fontId="402" fillId="0" borderId="0"/>
    <xf numFmtId="0" fontId="21" fillId="0" borderId="0">
      <alignment vertical="center"/>
    </xf>
    <xf numFmtId="0" fontId="403" fillId="0" borderId="0" applyNumberFormat="0" applyFill="0" applyBorder="0" applyAlignment="0" applyProtection="0"/>
    <xf numFmtId="177" fontId="0" fillId="0" borderId="0"/>
    <xf numFmtId="0" fontId="404" fillId="0" borderId="0"/>
    <xf numFmtId="0" fontId="390" fillId="13" borderId="0" applyNumberFormat="0" applyBorder="0" applyAlignment="0" applyProtection="0">
      <alignment vertical="center"/>
    </xf>
    <xf numFmtId="0" fontId="401" fillId="13" borderId="0" applyNumberFormat="0" applyBorder="0" applyAlignment="0" applyProtection="0"/>
    <xf numFmtId="0" fontId="388" fillId="45" borderId="0" applyNumberFormat="0" applyBorder="0" applyAlignment="0" applyProtection="0">
      <alignment vertical="center"/>
    </xf>
    <xf numFmtId="0" fontId="405" fillId="0" borderId="117" applyNumberFormat="0" applyFill="0" applyAlignment="0" applyProtection="0"/>
    <xf numFmtId="0" fontId="406" fillId="44" borderId="0" applyNumberFormat="0" applyBorder="0" applyAlignment="0" applyProtection="0"/>
    <xf numFmtId="0" fontId="401" fillId="23" borderId="0" applyNumberFormat="0" applyBorder="0" applyAlignment="0" applyProtection="0"/>
    <xf numFmtId="0" fontId="401" fillId="49" borderId="0" applyNumberFormat="0" applyBorder="0" applyAlignment="0" applyProtection="0"/>
    <xf numFmtId="0" fontId="401" fillId="34" borderId="0" applyNumberFormat="0" applyBorder="0" applyAlignment="0" applyProtection="0"/>
    <xf numFmtId="0" fontId="401" fillId="52" borderId="0" applyNumberFormat="0" applyBorder="0" applyAlignment="0" applyProtection="0"/>
    <xf numFmtId="0" fontId="390" fillId="23" borderId="0" applyNumberFormat="0" applyBorder="0" applyAlignment="0" applyProtection="0">
      <alignment vertical="center"/>
    </xf>
    <xf numFmtId="0" fontId="390" fillId="34" borderId="0" applyNumberFormat="0" applyBorder="0" applyAlignment="0" applyProtection="0">
      <alignment vertical="center"/>
    </xf>
    <xf numFmtId="0" fontId="390" fillId="52" borderId="0" applyNumberFormat="0" applyBorder="0" applyAlignment="0" applyProtection="0">
      <alignment vertical="center"/>
    </xf>
    <xf numFmtId="0" fontId="388" fillId="23" borderId="0" applyNumberFormat="0" applyBorder="0" applyAlignment="0" applyProtection="0">
      <alignment vertical="center"/>
    </xf>
    <xf numFmtId="0" fontId="388" fillId="49" borderId="0" applyNumberFormat="0" applyBorder="0" applyAlignment="0" applyProtection="0">
      <alignment vertical="center"/>
    </xf>
    <xf numFmtId="0" fontId="388" fillId="34" borderId="0" applyNumberFormat="0" applyBorder="0" applyAlignment="0" applyProtection="0">
      <alignment vertical="center"/>
    </xf>
    <xf numFmtId="0" fontId="388" fillId="52" borderId="0" applyNumberFormat="0" applyBorder="0" applyAlignment="0" applyProtection="0">
      <alignment vertical="center"/>
    </xf>
    <xf numFmtId="0" fontId="407" fillId="53" borderId="0" applyNumberFormat="0" applyBorder="0" applyAlignment="0" applyProtection="0"/>
    <xf numFmtId="0" fontId="407" fillId="49" borderId="0" applyNumberFormat="0" applyBorder="0" applyAlignment="0" applyProtection="0"/>
    <xf numFmtId="0" fontId="407" fillId="34" borderId="0" applyNumberFormat="0" applyBorder="0" applyAlignment="0" applyProtection="0"/>
    <xf numFmtId="0" fontId="408" fillId="0" borderId="118" applyNumberFormat="0" applyFill="0" applyAlignment="0" applyProtection="0">
      <alignment vertical="center"/>
    </xf>
    <xf numFmtId="0" fontId="407" fillId="54" borderId="0" applyNumberFormat="0" applyBorder="0" applyAlignment="0" applyProtection="0"/>
    <xf numFmtId="0" fontId="409" fillId="0" borderId="117" applyNumberFormat="0" applyFill="0" applyAlignment="0" applyProtection="0">
      <alignment vertical="center"/>
    </xf>
    <xf numFmtId="0" fontId="387" fillId="54" borderId="0" applyNumberFormat="0" applyBorder="0" applyAlignment="0" applyProtection="0">
      <alignment vertical="center"/>
    </xf>
    <xf numFmtId="0" fontId="407" fillId="50" borderId="0" applyNumberFormat="0" applyBorder="0" applyAlignment="0" applyProtection="0"/>
    <xf numFmtId="0" fontId="410" fillId="0" borderId="115" applyNumberFormat="0" applyFill="0" applyAlignment="0" applyProtection="0">
      <alignment vertical="center"/>
    </xf>
    <xf numFmtId="0" fontId="407" fillId="55" borderId="0" applyNumberFormat="0" applyBorder="0" applyAlignment="0" applyProtection="0"/>
    <xf numFmtId="0" fontId="411" fillId="53" borderId="0" applyNumberFormat="0" applyBorder="0" applyAlignment="0" applyProtection="0">
      <alignment vertical="center"/>
    </xf>
    <xf numFmtId="0" fontId="411" fillId="49" borderId="0" applyNumberFormat="0" applyBorder="0" applyAlignment="0" applyProtection="0">
      <alignment vertical="center"/>
    </xf>
    <xf numFmtId="0" fontId="412" fillId="44" borderId="0" applyNumberFormat="0" applyBorder="0" applyAlignment="0" applyProtection="0"/>
    <xf numFmtId="0" fontId="411" fillId="34" borderId="0" applyNumberFormat="0" applyBorder="0" applyAlignment="0" applyProtection="0">
      <alignment vertical="center"/>
    </xf>
    <xf numFmtId="0" fontId="411" fillId="54" borderId="0" applyNumberFormat="0" applyBorder="0" applyAlignment="0" applyProtection="0">
      <alignment vertical="center"/>
    </xf>
    <xf numFmtId="0" fontId="411" fillId="50" borderId="0" applyNumberFormat="0" applyBorder="0" applyAlignment="0" applyProtection="0">
      <alignment vertical="center"/>
    </xf>
    <xf numFmtId="0" fontId="411" fillId="55" borderId="0" applyNumberFormat="0" applyBorder="0" applyAlignment="0" applyProtection="0">
      <alignment vertical="center"/>
    </xf>
    <xf numFmtId="0" fontId="394" fillId="0" borderId="0" applyNumberFormat="0" applyFill="0" applyBorder="0" applyAlignment="0" applyProtection="0"/>
    <xf numFmtId="0" fontId="387" fillId="53" borderId="0" applyNumberFormat="0" applyBorder="0" applyAlignment="0" applyProtection="0">
      <alignment vertical="center"/>
    </xf>
    <xf numFmtId="0" fontId="387" fillId="34" borderId="0" applyNumberFormat="0" applyBorder="0" applyAlignment="0" applyProtection="0">
      <alignment vertical="center"/>
    </xf>
    <xf numFmtId="0" fontId="413" fillId="18" borderId="0" applyNumberFormat="0" applyBorder="0" applyAlignment="0" applyProtection="0"/>
    <xf numFmtId="177" fontId="0" fillId="0" borderId="0">
      <alignment vertical="center"/>
    </xf>
    <xf numFmtId="0" fontId="387" fillId="55" borderId="0" applyNumberFormat="0" applyBorder="0" applyAlignment="0" applyProtection="0">
      <alignment vertical="center"/>
    </xf>
    <xf numFmtId="0" fontId="407" fillId="56" borderId="0" applyNumberFormat="0" applyBorder="0" applyAlignment="0" applyProtection="0"/>
    <xf numFmtId="0" fontId="407" fillId="57" borderId="0" applyNumberFormat="0" applyBorder="0" applyAlignment="0" applyProtection="0"/>
    <xf numFmtId="0" fontId="407" fillId="58" borderId="0" applyNumberFormat="0" applyBorder="0" applyAlignment="0" applyProtection="0"/>
    <xf numFmtId="0" fontId="407" fillId="59" borderId="0" applyNumberFormat="0" applyBorder="0" applyAlignment="0" applyProtection="0"/>
    <xf numFmtId="0" fontId="414" fillId="45" borderId="0" applyNumberFormat="0" applyBorder="0" applyAlignment="0" applyProtection="0"/>
    <xf numFmtId="0" fontId="415" fillId="14" borderId="110" applyNumberFormat="0" applyAlignment="0" applyProtection="0"/>
    <xf numFmtId="0" fontId="416" fillId="43" borderId="112" applyNumberFormat="0" applyAlignment="0" applyProtection="0"/>
    <xf numFmtId="0" fontId="417" fillId="0" borderId="0" applyNumberFormat="0" applyFill="0" applyBorder="0" applyAlignment="0" applyProtection="0"/>
    <xf numFmtId="43" fontId="0" fillId="0" borderId="0" applyFont="0" applyFill="0" applyBorder="0" applyAlignment="0" applyProtection="0"/>
    <xf numFmtId="0" fontId="418" fillId="0" borderId="0" applyNumberFormat="0" applyFill="0" applyBorder="0" applyAlignment="0" applyProtection="0"/>
    <xf numFmtId="0" fontId="387" fillId="56" borderId="0" applyNumberFormat="0" applyBorder="0" applyAlignment="0" applyProtection="0">
      <alignment vertical="center"/>
    </xf>
    <xf numFmtId="0" fontId="419" fillId="0" borderId="118" applyNumberFormat="0" applyFill="0" applyAlignment="0" applyProtection="0"/>
    <xf numFmtId="0" fontId="420" fillId="0" borderId="113" applyNumberFormat="0" applyFill="0" applyAlignment="0" applyProtection="0"/>
    <xf numFmtId="0" fontId="421" fillId="0" borderId="0">
      <alignment vertical="center"/>
    </xf>
    <xf numFmtId="0" fontId="422" fillId="0" borderId="116" applyNumberFormat="0" applyFill="0" applyAlignment="0" applyProtection="0"/>
    <xf numFmtId="0" fontId="423" fillId="45" borderId="0" applyNumberFormat="0" applyBorder="0" applyAlignment="0" applyProtection="0">
      <alignment vertical="center"/>
    </xf>
    <xf numFmtId="9" fontId="0" fillId="0" borderId="0" applyFont="0" applyFill="0" applyBorder="0" applyAlignment="0" applyProtection="0"/>
    <xf numFmtId="0" fontId="424" fillId="45" borderId="0" applyNumberFormat="0" applyBorder="0" applyAlignment="0" applyProtection="0">
      <alignment vertical="center"/>
    </xf>
    <xf numFmtId="0" fontId="425" fillId="0" borderId="0" applyNumberFormat="0" applyFill="0" applyBorder="0" applyAlignment="0" applyProtection="0"/>
    <xf numFmtId="0" fontId="0" fillId="0" borderId="0"/>
    <xf numFmtId="0" fontId="426" fillId="0" borderId="0" applyNumberFormat="0" applyFill="0" applyBorder="0" applyAlignment="0" applyProtection="0">
      <alignment vertical="center"/>
    </xf>
    <xf numFmtId="0" fontId="0" fillId="42" borderId="106" applyNumberFormat="0" applyFont="0" applyAlignment="0" applyProtection="0"/>
    <xf numFmtId="0" fontId="427" fillId="14" borderId="111" applyNumberFormat="0" applyAlignment="0" applyProtection="0"/>
    <xf numFmtId="0" fontId="428" fillId="0" borderId="119"/>
    <xf numFmtId="0" fontId="429" fillId="0" borderId="118" applyNumberFormat="0" applyFill="0" applyAlignment="0" applyProtection="0">
      <alignment vertical="center"/>
    </xf>
    <xf numFmtId="0" fontId="430" fillId="0" borderId="117" applyNumberFormat="0" applyFill="0" applyAlignment="0" applyProtection="0">
      <alignment vertical="center"/>
    </xf>
    <xf numFmtId="0" fontId="431" fillId="0" borderId="115" applyNumberFormat="0" applyFill="0" applyAlignment="0" applyProtection="0">
      <alignment vertical="center"/>
    </xf>
    <xf numFmtId="0" fontId="431" fillId="0" borderId="0" applyNumberFormat="0" applyFill="0" applyBorder="0" applyAlignment="0" applyProtection="0">
      <alignment vertical="center"/>
    </xf>
    <xf numFmtId="0" fontId="410" fillId="0" borderId="0" applyNumberFormat="0" applyFill="0" applyBorder="0" applyAlignment="0" applyProtection="0">
      <alignment vertical="center"/>
    </xf>
    <xf numFmtId="176" fontId="388" fillId="0" borderId="0"/>
    <xf numFmtId="0" fontId="432" fillId="45" borderId="0" applyNumberFormat="0" applyBorder="0" applyAlignment="0" applyProtection="0"/>
    <xf numFmtId="0" fontId="433" fillId="44" borderId="0" applyNumberFormat="0" applyBorder="0" applyAlignment="0" applyProtection="0">
      <alignment vertical="center"/>
    </xf>
    <xf numFmtId="0" fontId="434" fillId="45" borderId="0" applyNumberFormat="0" applyBorder="0" applyAlignment="0" applyProtection="0">
      <alignment vertical="center"/>
    </xf>
    <xf numFmtId="0" fontId="435" fillId="0" borderId="0">
      <alignment vertical="center"/>
    </xf>
    <xf numFmtId="178" fontId="0" fillId="0" borderId="0"/>
    <xf numFmtId="0" fontId="436" fillId="0" borderId="113" applyNumberFormat="0" applyFill="0" applyAlignment="0" applyProtection="0">
      <alignment vertical="center"/>
    </xf>
    <xf numFmtId="0" fontId="0" fillId="0" borderId="0"/>
    <xf numFmtId="0" fontId="437" fillId="43" borderId="112" applyNumberFormat="0" applyAlignment="0" applyProtection="0">
      <alignment vertical="center"/>
    </xf>
    <xf numFmtId="0" fontId="411" fillId="56" borderId="0" applyNumberFormat="0" applyBorder="0" applyAlignment="0" applyProtection="0">
      <alignment vertical="center"/>
    </xf>
    <xf numFmtId="0" fontId="411" fillId="57" borderId="0" applyNumberFormat="0" applyBorder="0" applyAlignment="0" applyProtection="0">
      <alignment vertical="center"/>
    </xf>
    <xf numFmtId="178" fontId="85" fillId="0" borderId="0"/>
    <xf numFmtId="0" fontId="411" fillId="58" borderId="0" applyNumberFormat="0" applyBorder="0" applyAlignment="0" applyProtection="0">
      <alignment vertical="center"/>
    </xf>
    <xf numFmtId="0" fontId="411" fillId="59" borderId="0" applyNumberFormat="0" applyBorder="0" applyAlignment="0" applyProtection="0">
      <alignment vertical="center"/>
    </xf>
    <xf numFmtId="0" fontId="383" fillId="0" borderId="116" applyNumberFormat="0" applyFill="0" applyAlignment="0" applyProtection="0">
      <alignment vertical="center"/>
    </xf>
    <xf numFmtId="0" fontId="438" fillId="14" borderId="110" applyNumberFormat="0" applyAlignment="0" applyProtection="0">
      <alignment vertical="center"/>
    </xf>
    <xf numFmtId="0" fontId="439" fillId="0" borderId="113" applyNumberFormat="0" applyFill="0" applyAlignment="0" applyProtection="0">
      <alignment vertical="center"/>
    </xf>
    <xf numFmtId="179" fontId="21" fillId="0" borderId="0" applyFont="0" applyFill="0" applyBorder="0" applyAlignment="0" applyProtection="0">
      <alignment vertical="center"/>
    </xf>
    <xf numFmtId="180" fontId="0" fillId="0" borderId="0" applyFont="0" applyFill="0" applyBorder="0" applyAlignment="0" applyProtection="0">
      <alignment vertical="center"/>
    </xf>
    <xf numFmtId="0" fontId="387" fillId="57" borderId="0" applyNumberFormat="0" applyBorder="0" applyAlignment="0" applyProtection="0">
      <alignment vertical="center"/>
    </xf>
    <xf numFmtId="0" fontId="387" fillId="58" borderId="0" applyNumberFormat="0" applyBorder="0" applyAlignment="0" applyProtection="0">
      <alignment vertical="center"/>
    </xf>
    <xf numFmtId="0" fontId="387" fillId="59" borderId="0" applyNumberFormat="0" applyBorder="0" applyAlignment="0" applyProtection="0">
      <alignment vertical="center"/>
    </xf>
    <xf numFmtId="0" fontId="440" fillId="14" borderId="111" applyNumberFormat="0" applyAlignment="0" applyProtection="0">
      <alignment vertical="center"/>
    </xf>
    <xf numFmtId="0" fontId="390" fillId="0" borderId="0">
      <alignment vertical="center"/>
    </xf>
    <xf numFmtId="0" fontId="441" fillId="18" borderId="0" applyNumberFormat="0" applyBorder="0" applyAlignment="0" applyProtection="0">
      <alignment vertical="center"/>
    </xf>
    <xf numFmtId="177" fontId="388" fillId="0" borderId="0">
      <alignment vertical="center"/>
    </xf>
    <xf numFmtId="181" fontId="85" fillId="0" borderId="0"/>
    <xf numFmtId="0" fontId="76" fillId="0" borderId="0">
      <alignment vertical="center"/>
    </xf>
  </cellStyleXfs>
  <cellXfs count="5455">
    <xf numFmtId="0" fontId="0" fillId="0" borderId="0" xfId="0">
      <alignment vertical="center"/>
    </xf>
    <xf numFmtId="0" fontId="0" fillId="0" borderId="0" xfId="0" applyAlignment="1">
      <alignment horizontal="center" vertical="center"/>
    </xf>
    <xf numFmtId="0" fontId="1" fillId="0" borderId="1" xfId="0" applyFont="1" applyBorder="1" applyAlignment="1">
      <alignment horizontal="center" vertical="center"/>
    </xf>
    <xf numFmtId="0" fontId="0" fillId="0" borderId="0" xfId="0" applyAlignment="1">
      <alignment vertical="center"/>
    </xf>
    <xf numFmtId="0" fontId="0" fillId="0" borderId="1" xfId="0" applyBorder="1" applyAlignment="1">
      <alignment horizontal="center" vertical="center"/>
    </xf>
    <xf numFmtId="0" fontId="2" fillId="0" borderId="1" xfId="0" applyFont="1" applyBorder="1" applyAlignment="1">
      <alignment horizontal="center" vertical="center"/>
    </xf>
    <xf numFmtId="182" fontId="0" fillId="0" borderId="1" xfId="0" applyNumberFormat="1" applyBorder="1" applyAlignment="1">
      <alignment horizontal="center" vertical="center"/>
    </xf>
    <xf numFmtId="183" fontId="0" fillId="0" borderId="1" xfId="0" applyNumberFormat="1" applyBorder="1" applyAlignment="1">
      <alignment horizontal="center" vertical="center"/>
    </xf>
    <xf numFmtId="184" fontId="0" fillId="0" borderId="1" xfId="0" applyNumberFormat="1" applyBorder="1" applyAlignment="1">
      <alignment horizontal="center" vertical="center"/>
    </xf>
    <xf numFmtId="182" fontId="2" fillId="0" borderId="1" xfId="0" applyNumberFormat="1" applyFont="1" applyBorder="1" applyAlignment="1">
      <alignment horizontal="center" vertical="center"/>
    </xf>
    <xf numFmtId="58" fontId="0" fillId="0" borderId="1" xfId="0" applyNumberFormat="1" applyBorder="1" applyAlignment="1">
      <alignment horizontal="center" vertical="center"/>
    </xf>
    <xf numFmtId="58" fontId="0" fillId="2" borderId="1" xfId="0" applyNumberFormat="1" applyFill="1" applyBorder="1" applyAlignment="1">
      <alignment horizontal="center" vertical="center"/>
    </xf>
    <xf numFmtId="0" fontId="0" fillId="2" borderId="1" xfId="0" applyFill="1" applyBorder="1" applyAlignment="1">
      <alignment horizontal="center" vertical="center"/>
    </xf>
    <xf numFmtId="0" fontId="0" fillId="0" borderId="0" xfId="0" applyBorder="1" applyAlignment="1">
      <alignment horizontal="center" vertical="center"/>
    </xf>
    <xf numFmtId="182" fontId="0" fillId="0" borderId="0" xfId="0" applyNumberFormat="1" applyBorder="1" applyAlignment="1">
      <alignment horizontal="center" vertical="center"/>
    </xf>
    <xf numFmtId="182" fontId="2" fillId="0" borderId="0" xfId="0" applyNumberFormat="1" applyFont="1" applyBorder="1" applyAlignment="1">
      <alignment horizontal="center" vertical="center"/>
    </xf>
    <xf numFmtId="58" fontId="0" fillId="0" borderId="0" xfId="0" applyNumberFormat="1" applyAlignment="1">
      <alignment horizontal="center" vertical="center"/>
    </xf>
    <xf numFmtId="0" fontId="3" fillId="0" borderId="0" xfId="0" applyFont="1" applyFill="1">
      <alignment vertical="center"/>
    </xf>
    <xf numFmtId="0" fontId="3" fillId="0" borderId="0" xfId="0" applyFont="1" applyFill="1" applyAlignment="1">
      <alignment horizontal="center" vertical="center" wrapText="1"/>
    </xf>
    <xf numFmtId="0" fontId="4" fillId="0" borderId="0" xfId="0" applyFont="1" applyFill="1" applyAlignment="1">
      <alignment horizontal="center" vertical="center"/>
    </xf>
    <xf numFmtId="0" fontId="3" fillId="0" borderId="0" xfId="0" applyFont="1" applyFill="1" applyAlignment="1">
      <alignment horizontal="center" vertical="center"/>
    </xf>
    <xf numFmtId="0" fontId="3" fillId="2" borderId="0" xfId="0" applyFont="1" applyFill="1" applyAlignment="1">
      <alignment horizontal="center" vertical="center"/>
    </xf>
    <xf numFmtId="185" fontId="3" fillId="0" borderId="0" xfId="0" applyNumberFormat="1" applyFont="1" applyFill="1" applyAlignment="1">
      <alignment horizontal="center" vertical="center"/>
    </xf>
    <xf numFmtId="186" fontId="3" fillId="0" borderId="0" xfId="0" applyNumberFormat="1" applyFont="1" applyFill="1" applyAlignment="1">
      <alignment horizontal="center" vertical="center" wrapText="1"/>
    </xf>
    <xf numFmtId="0" fontId="5" fillId="0" borderId="0" xfId="0" applyFont="1" applyFill="1" applyAlignment="1">
      <alignment horizontal="center" vertical="center" wrapText="1"/>
    </xf>
    <xf numFmtId="0" fontId="6" fillId="0" borderId="0" xfId="0" applyFont="1" applyFill="1" applyAlignment="1">
      <alignment horizontal="center" vertical="center"/>
    </xf>
    <xf numFmtId="187" fontId="5" fillId="0" borderId="0" xfId="0" applyNumberFormat="1" applyFont="1" applyFill="1" applyAlignment="1">
      <alignment horizontal="center" vertical="center"/>
    </xf>
    <xf numFmtId="187" fontId="6" fillId="0" borderId="0" xfId="0" applyNumberFormat="1" applyFont="1" applyFill="1" applyAlignment="1">
      <alignment horizontal="center" vertical="center"/>
    </xf>
    <xf numFmtId="187" fontId="7" fillId="0" borderId="0" xfId="0" applyNumberFormat="1" applyFont="1" applyFill="1" applyAlignment="1">
      <alignment horizontal="center" vertical="center"/>
    </xf>
    <xf numFmtId="0" fontId="3" fillId="0" borderId="0" xfId="0" applyNumberFormat="1" applyFont="1" applyFill="1" applyAlignment="1">
      <alignment horizontal="center" vertical="center"/>
    </xf>
    <xf numFmtId="187" fontId="3" fillId="0" borderId="0" xfId="0" applyNumberFormat="1" applyFont="1" applyFill="1" applyAlignment="1">
      <alignment horizontal="center" vertical="center"/>
    </xf>
    <xf numFmtId="187" fontId="4" fillId="0" borderId="0" xfId="0" applyNumberFormat="1" applyFont="1" applyFill="1" applyAlignment="1">
      <alignment horizontal="center" vertical="center"/>
    </xf>
    <xf numFmtId="0" fontId="5" fillId="0" borderId="0" xfId="0" applyFont="1" applyFill="1" applyAlignment="1">
      <alignment horizontal="center" vertical="center"/>
    </xf>
    <xf numFmtId="0" fontId="8" fillId="0" borderId="0" xfId="0" applyFont="1" applyFill="1" applyAlignment="1">
      <alignment horizontal="center" vertical="center"/>
    </xf>
    <xf numFmtId="0" fontId="8" fillId="0" borderId="0" xfId="0" applyFont="1" applyFill="1" applyAlignment="1">
      <alignment horizontal="center" vertical="center" wrapText="1"/>
    </xf>
    <xf numFmtId="0" fontId="8" fillId="0" borderId="0" xfId="0" applyFont="1" applyFill="1" applyAlignment="1">
      <alignment vertical="center"/>
    </xf>
    <xf numFmtId="186" fontId="8" fillId="0" borderId="0" xfId="0" applyNumberFormat="1" applyFont="1" applyFill="1" applyAlignment="1">
      <alignment vertical="center" wrapText="1"/>
    </xf>
    <xf numFmtId="0" fontId="8" fillId="0" borderId="0" xfId="0" applyFont="1" applyFill="1" applyAlignment="1">
      <alignment vertical="center" wrapText="1"/>
    </xf>
    <xf numFmtId="0" fontId="9"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9" fillId="0" borderId="0" xfId="0" applyFont="1" applyFill="1" applyAlignment="1">
      <alignment horizontal="center" vertical="center" wrapText="1"/>
    </xf>
    <xf numFmtId="0" fontId="12" fillId="0" borderId="0" xfId="0" applyFont="1" applyFill="1" applyAlignment="1">
      <alignment horizontal="center" vertical="center"/>
    </xf>
    <xf numFmtId="0" fontId="13" fillId="0" borderId="0" xfId="0" applyFont="1" applyFill="1" applyAlignment="1">
      <alignment horizontal="center" vertical="center" wrapText="1"/>
    </xf>
    <xf numFmtId="0" fontId="8" fillId="0" borderId="0" xfId="0" applyNumberFormat="1" applyFont="1" applyFill="1" applyAlignment="1">
      <alignment vertical="center"/>
    </xf>
    <xf numFmtId="187" fontId="8" fillId="0" borderId="0" xfId="0" applyNumberFormat="1" applyFont="1" applyFill="1" applyAlignment="1">
      <alignment vertical="center"/>
    </xf>
    <xf numFmtId="187" fontId="13" fillId="0" borderId="0" xfId="0" applyNumberFormat="1" applyFont="1" applyFill="1" applyAlignment="1">
      <alignment horizontal="center" vertical="center"/>
    </xf>
    <xf numFmtId="187" fontId="14" fillId="0" borderId="0" xfId="0" applyNumberFormat="1" applyFont="1" applyFill="1" applyAlignment="1">
      <alignment horizontal="center" vertical="center"/>
    </xf>
    <xf numFmtId="187" fontId="8" fillId="0" borderId="2" xfId="0" applyNumberFormat="1" applyFont="1" applyFill="1" applyBorder="1" applyAlignment="1">
      <alignment horizontal="center" vertical="center"/>
    </xf>
    <xf numFmtId="187" fontId="8" fillId="0" borderId="0" xfId="0" applyNumberFormat="1" applyFont="1" applyFill="1" applyAlignment="1">
      <alignment horizontal="center" vertical="center"/>
    </xf>
    <xf numFmtId="187" fontId="8" fillId="0" borderId="3" xfId="0" applyNumberFormat="1" applyFont="1" applyFill="1" applyBorder="1" applyAlignment="1">
      <alignment horizontal="center" vertical="center"/>
    </xf>
    <xf numFmtId="0" fontId="15" fillId="0" borderId="0" xfId="0" applyFont="1" applyFill="1" applyAlignment="1">
      <alignment horizontal="center" vertical="center"/>
    </xf>
    <xf numFmtId="0" fontId="16" fillId="0" borderId="0" xfId="0" applyFont="1" applyFill="1" applyAlignment="1">
      <alignment horizontal="center" vertical="center"/>
    </xf>
    <xf numFmtId="0" fontId="15" fillId="0" borderId="0" xfId="0" applyFont="1" applyFill="1" applyAlignment="1">
      <alignment vertical="center"/>
    </xf>
    <xf numFmtId="188" fontId="17" fillId="0" borderId="4" xfId="0" applyNumberFormat="1" applyFont="1" applyFill="1" applyBorder="1" applyAlignment="1">
      <alignment horizontal="center" vertical="center"/>
    </xf>
    <xf numFmtId="0" fontId="18" fillId="0" borderId="4" xfId="0" applyFont="1" applyFill="1" applyBorder="1" applyAlignment="1">
      <alignment horizontal="left" vertical="center" wrapText="1"/>
    </xf>
    <xf numFmtId="0" fontId="7" fillId="0" borderId="0" xfId="0" applyFont="1" applyFill="1" applyAlignment="1">
      <alignment horizontal="center" vertical="center"/>
    </xf>
    <xf numFmtId="185" fontId="7" fillId="0" borderId="0" xfId="0" applyNumberFormat="1" applyFont="1" applyFill="1" applyAlignment="1">
      <alignment horizontal="center" vertical="center"/>
    </xf>
    <xf numFmtId="186" fontId="7" fillId="0" borderId="0" xfId="0" applyNumberFormat="1" applyFont="1" applyFill="1" applyAlignment="1">
      <alignment horizontal="center" vertical="center" wrapText="1"/>
    </xf>
    <xf numFmtId="0" fontId="7" fillId="0" borderId="0" xfId="0" applyFont="1" applyFill="1" applyAlignment="1">
      <alignment horizontal="center" vertical="center" wrapText="1"/>
    </xf>
    <xf numFmtId="0" fontId="18" fillId="0" borderId="1" xfId="0" applyFont="1" applyFill="1" applyBorder="1" applyAlignment="1">
      <alignment horizontal="center" vertical="center" wrapText="1"/>
    </xf>
    <xf numFmtId="0" fontId="6" fillId="0" borderId="1" xfId="0" applyFont="1" applyFill="1" applyBorder="1" applyAlignment="1">
      <alignment horizontal="center" vertical="center"/>
    </xf>
    <xf numFmtId="187" fontId="18" fillId="0" borderId="1" xfId="0" applyNumberFormat="1" applyFont="1" applyFill="1" applyBorder="1" applyAlignment="1">
      <alignment horizontal="center" vertical="center"/>
    </xf>
    <xf numFmtId="187" fontId="6" fillId="0" borderId="1" xfId="0" applyNumberFormat="1" applyFont="1" applyFill="1" applyBorder="1" applyAlignment="1">
      <alignment horizontal="center" vertical="center"/>
    </xf>
    <xf numFmtId="0" fontId="17" fillId="0" borderId="1" xfId="0" applyFont="1" applyFill="1" applyBorder="1" applyAlignment="1">
      <alignment horizontal="center" vertical="center" wrapText="1"/>
    </xf>
    <xf numFmtId="0" fontId="19" fillId="0" borderId="1" xfId="0" applyFont="1" applyFill="1" applyBorder="1" applyAlignment="1">
      <alignment horizontal="center" vertical="center"/>
    </xf>
    <xf numFmtId="187" fontId="17" fillId="0" borderId="1" xfId="0" applyNumberFormat="1" applyFont="1" applyFill="1" applyBorder="1" applyAlignment="1">
      <alignment horizontal="center" vertical="center"/>
    </xf>
    <xf numFmtId="187" fontId="19" fillId="0" borderId="1" xfId="0" applyNumberFormat="1" applyFont="1" applyFill="1" applyBorder="1" applyAlignment="1">
      <alignment horizontal="center" vertical="center"/>
    </xf>
    <xf numFmtId="0" fontId="19" fillId="0" borderId="0" xfId="0" applyFont="1" applyFill="1" applyAlignment="1">
      <alignment horizontal="center" vertical="center" wrapText="1"/>
    </xf>
    <xf numFmtId="0" fontId="17" fillId="0" borderId="0" xfId="0" applyFont="1" applyFill="1" applyAlignment="1">
      <alignment horizontal="center" vertical="center" wrapText="1"/>
    </xf>
    <xf numFmtId="0" fontId="7" fillId="0" borderId="0" xfId="0" applyNumberFormat="1" applyFont="1" applyFill="1" applyAlignment="1">
      <alignment horizontal="center" vertical="center"/>
    </xf>
    <xf numFmtId="187" fontId="18" fillId="0" borderId="5" xfId="0" applyNumberFormat="1" applyFont="1" applyFill="1" applyBorder="1" applyAlignment="1">
      <alignment horizontal="center" vertical="center"/>
    </xf>
    <xf numFmtId="187" fontId="18" fillId="0" borderId="5" xfId="0" applyNumberFormat="1" applyFont="1" applyFill="1" applyBorder="1" applyAlignment="1">
      <alignment vertical="center"/>
    </xf>
    <xf numFmtId="0" fontId="5" fillId="0" borderId="0" xfId="0" applyFont="1" applyFill="1">
      <alignment vertical="center"/>
    </xf>
    <xf numFmtId="0" fontId="7" fillId="0" borderId="1" xfId="0" applyFont="1" applyFill="1" applyBorder="1" applyAlignment="1">
      <alignment horizontal="center" vertical="center" wrapText="1" shrinkToFit="1"/>
    </xf>
    <xf numFmtId="0" fontId="20" fillId="0" borderId="1" xfId="0" applyFont="1" applyFill="1" applyBorder="1" applyAlignment="1">
      <alignment horizontal="center" vertical="center" wrapText="1" shrinkToFit="1"/>
    </xf>
    <xf numFmtId="185" fontId="7" fillId="0" borderId="1" xfId="0" applyNumberFormat="1" applyFont="1" applyFill="1" applyBorder="1" applyAlignment="1">
      <alignment horizontal="center" vertical="center" wrapText="1" shrinkToFit="1"/>
    </xf>
    <xf numFmtId="186" fontId="7" fillId="0" borderId="1" xfId="0" applyNumberFormat="1" applyFont="1" applyFill="1" applyBorder="1" applyAlignment="1">
      <alignment horizontal="center" vertical="center" wrapText="1" shrinkToFit="1"/>
    </xf>
    <xf numFmtId="0" fontId="7" fillId="0" borderId="6" xfId="0" applyFont="1" applyFill="1" applyBorder="1" applyAlignment="1">
      <alignment horizontal="center" vertical="center" wrapText="1" shrinkToFit="1"/>
    </xf>
    <xf numFmtId="0" fontId="6" fillId="0" borderId="1" xfId="0" applyFont="1" applyFill="1" applyBorder="1" applyAlignment="1">
      <alignment horizontal="center" vertical="center" wrapText="1" shrinkToFit="1"/>
    </xf>
    <xf numFmtId="0" fontId="18" fillId="0" borderId="1" xfId="0" applyFont="1" applyFill="1" applyBorder="1" applyAlignment="1">
      <alignment horizontal="center" vertical="center" wrapText="1" shrinkToFit="1"/>
    </xf>
    <xf numFmtId="187" fontId="6" fillId="0" borderId="1" xfId="0" applyNumberFormat="1" applyFont="1" applyFill="1" applyBorder="1" applyAlignment="1">
      <alignment horizontal="center" vertical="center" wrapText="1" shrinkToFit="1"/>
    </xf>
    <xf numFmtId="187" fontId="18" fillId="0" borderId="1" xfId="0" applyNumberFormat="1" applyFont="1" applyFill="1" applyBorder="1" applyAlignment="1">
      <alignment horizontal="center" vertical="center" wrapText="1" shrinkToFit="1"/>
    </xf>
    <xf numFmtId="0" fontId="19" fillId="0" borderId="1" xfId="0" applyFont="1" applyFill="1" applyBorder="1" applyAlignment="1">
      <alignment horizontal="center" vertical="center" wrapText="1" shrinkToFit="1"/>
    </xf>
    <xf numFmtId="0" fontId="17" fillId="0" borderId="1" xfId="0" applyFont="1" applyFill="1" applyBorder="1" applyAlignment="1">
      <alignment horizontal="center" vertical="center" wrapText="1" shrinkToFit="1"/>
    </xf>
    <xf numFmtId="187" fontId="19" fillId="0" borderId="1" xfId="0" applyNumberFormat="1" applyFont="1" applyFill="1" applyBorder="1" applyAlignment="1">
      <alignment horizontal="center" vertical="center" wrapText="1" shrinkToFit="1"/>
    </xf>
    <xf numFmtId="187" fontId="17" fillId="0" borderId="1" xfId="0" applyNumberFormat="1" applyFont="1" applyFill="1" applyBorder="1" applyAlignment="1">
      <alignment horizontal="center" vertical="center" wrapText="1" shrinkToFit="1"/>
    </xf>
    <xf numFmtId="187" fontId="18" fillId="0" borderId="7" xfId="0" applyNumberFormat="1" applyFont="1" applyFill="1" applyBorder="1" applyAlignment="1">
      <alignment horizontal="center" vertical="center" wrapText="1" shrinkToFit="1"/>
    </xf>
    <xf numFmtId="0" fontId="21" fillId="0" borderId="1" xfId="158" applyFont="1" applyBorder="1" applyAlignment="1">
      <alignment horizontal="center" vertical="center" wrapText="1"/>
    </xf>
    <xf numFmtId="0" fontId="21" fillId="0" borderId="8" xfId="158" applyFont="1" applyFill="1" applyBorder="1" applyAlignment="1">
      <alignment horizontal="center" vertical="center" wrapText="1"/>
    </xf>
    <xf numFmtId="0" fontId="7" fillId="0" borderId="7" xfId="0" applyNumberFormat="1" applyFont="1" applyFill="1" applyBorder="1" applyAlignment="1">
      <alignment horizontal="center" vertical="center" wrapText="1" shrinkToFit="1"/>
    </xf>
    <xf numFmtId="187" fontId="18" fillId="0" borderId="9" xfId="0" applyNumberFormat="1" applyFont="1" applyFill="1" applyBorder="1" applyAlignment="1">
      <alignment horizontal="center" vertical="center" wrapText="1" shrinkToFit="1"/>
    </xf>
    <xf numFmtId="187" fontId="18" fillId="0" borderId="10" xfId="0" applyNumberFormat="1" applyFont="1" applyFill="1" applyBorder="1" applyAlignment="1">
      <alignment horizontal="center" vertical="center" wrapText="1" shrinkToFit="1"/>
    </xf>
    <xf numFmtId="187" fontId="22" fillId="0" borderId="11" xfId="0" applyNumberFormat="1" applyFont="1" applyFill="1" applyBorder="1" applyAlignment="1">
      <alignment horizontal="center" vertical="center" wrapText="1" shrinkToFit="1"/>
    </xf>
    <xf numFmtId="187" fontId="22" fillId="0" borderId="9" xfId="0" applyNumberFormat="1" applyFont="1" applyFill="1" applyBorder="1" applyAlignment="1">
      <alignment horizontal="center" vertical="center" wrapText="1" shrinkToFit="1"/>
    </xf>
    <xf numFmtId="187" fontId="22" fillId="0" borderId="12" xfId="0" applyNumberFormat="1" applyFont="1" applyFill="1" applyBorder="1" applyAlignment="1">
      <alignment horizontal="center" vertical="center" wrapText="1" shrinkToFit="1"/>
    </xf>
    <xf numFmtId="187" fontId="17" fillId="0" borderId="13" xfId="0" applyNumberFormat="1" applyFont="1" applyFill="1" applyBorder="1" applyAlignment="1">
      <alignment horizontal="center" vertical="center" wrapText="1" shrinkToFit="1"/>
    </xf>
    <xf numFmtId="187" fontId="17" fillId="0" borderId="9" xfId="0" applyNumberFormat="1" applyFont="1" applyFill="1" applyBorder="1" applyAlignment="1">
      <alignment horizontal="center" vertical="center" wrapText="1" shrinkToFit="1"/>
    </xf>
    <xf numFmtId="187" fontId="17" fillId="0" borderId="10" xfId="0" applyNumberFormat="1" applyFont="1" applyFill="1" applyBorder="1" applyAlignment="1">
      <alignment horizontal="center" vertical="center" wrapText="1" shrinkToFi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shrinkToFit="1"/>
    </xf>
    <xf numFmtId="0" fontId="23" fillId="0" borderId="1" xfId="0" applyFont="1" applyFill="1" applyBorder="1" applyAlignment="1">
      <alignment horizontal="center" vertical="center" wrapText="1"/>
    </xf>
    <xf numFmtId="188" fontId="24" fillId="0" borderId="4" xfId="0" applyNumberFormat="1" applyFont="1" applyFill="1" applyBorder="1" applyAlignment="1">
      <alignment horizontal="center" vertical="center"/>
    </xf>
    <xf numFmtId="0" fontId="4" fillId="0" borderId="1" xfId="0" applyFont="1" applyFill="1" applyBorder="1" applyAlignment="1">
      <alignment horizontal="center" vertical="center"/>
    </xf>
    <xf numFmtId="0" fontId="4" fillId="0" borderId="1" xfId="0" applyNumberFormat="1" applyFont="1" applyFill="1" applyBorder="1" applyAlignment="1">
      <alignment horizontal="center" vertical="center"/>
    </xf>
    <xf numFmtId="49" fontId="4" fillId="0" borderId="1" xfId="0" applyNumberFormat="1" applyFont="1" applyFill="1" applyBorder="1" applyAlignment="1">
      <alignment horizontal="center" vertical="center" wrapText="1"/>
    </xf>
    <xf numFmtId="0" fontId="25" fillId="0" borderId="1" xfId="0" applyFont="1" applyFill="1" applyBorder="1" applyAlignment="1">
      <alignment horizontal="center" vertical="center" wrapText="1"/>
    </xf>
    <xf numFmtId="0" fontId="4" fillId="0" borderId="1" xfId="0" applyFont="1" applyFill="1" applyBorder="1" applyAlignment="1">
      <alignment horizontal="center" vertical="center" shrinkToFit="1"/>
    </xf>
    <xf numFmtId="0" fontId="4" fillId="0" borderId="6" xfId="0" applyFont="1" applyFill="1" applyBorder="1" applyAlignment="1">
      <alignment horizontal="center" vertical="center"/>
    </xf>
    <xf numFmtId="189" fontId="4" fillId="0" borderId="1" xfId="0" applyNumberFormat="1" applyFont="1" applyFill="1" applyBorder="1" applyAlignment="1">
      <alignment horizontal="center" vertical="center"/>
    </xf>
    <xf numFmtId="185" fontId="4" fillId="0" borderId="1" xfId="0" applyNumberFormat="1" applyFont="1" applyFill="1" applyBorder="1" applyAlignment="1">
      <alignment horizontal="center" vertical="center"/>
    </xf>
    <xf numFmtId="186" fontId="4" fillId="0" borderId="1" xfId="0" applyNumberFormat="1" applyFont="1" applyFill="1" applyBorder="1" applyAlignment="1">
      <alignment horizontal="center" vertical="center"/>
    </xf>
    <xf numFmtId="186" fontId="4" fillId="0" borderId="1" xfId="0" applyNumberFormat="1" applyFont="1" applyFill="1" applyBorder="1" applyAlignment="1">
      <alignment horizontal="center" vertical="center" wrapText="1"/>
    </xf>
    <xf numFmtId="58" fontId="23" fillId="0" borderId="1" xfId="0" applyNumberFormat="1" applyFont="1" applyFill="1" applyBorder="1" applyAlignment="1">
      <alignment horizontal="center" vertical="center" wrapText="1" shrinkToFit="1"/>
    </xf>
    <xf numFmtId="186" fontId="23" fillId="0" borderId="6" xfId="0" applyNumberFormat="1" applyFont="1" applyFill="1" applyBorder="1" applyAlignment="1">
      <alignment horizontal="center" vertical="center" wrapText="1"/>
    </xf>
    <xf numFmtId="187" fontId="4" fillId="0" borderId="1" xfId="0" applyNumberFormat="1" applyFont="1" applyFill="1" applyBorder="1" applyAlignment="1">
      <alignment horizontal="center" vertical="center" wrapText="1" shrinkToFit="1"/>
    </xf>
    <xf numFmtId="187" fontId="18" fillId="0" borderId="14" xfId="0" applyNumberFormat="1" applyFont="1" applyFill="1" applyBorder="1" applyAlignment="1">
      <alignment horizontal="center" vertical="center" wrapText="1" shrinkToFit="1"/>
    </xf>
    <xf numFmtId="187" fontId="22" fillId="0" borderId="4" xfId="0" applyNumberFormat="1" applyFont="1" applyFill="1" applyBorder="1" applyAlignment="1">
      <alignment horizontal="center" vertical="center" wrapText="1" shrinkToFit="1"/>
    </xf>
    <xf numFmtId="186" fontId="26" fillId="0" borderId="15" xfId="0" applyNumberFormat="1" applyFont="1" applyFill="1" applyBorder="1" applyAlignment="1">
      <alignment horizontal="center" vertical="center"/>
    </xf>
    <xf numFmtId="0" fontId="5" fillId="0" borderId="16" xfId="0" applyFont="1" applyFill="1" applyBorder="1" applyAlignment="1">
      <alignment horizontal="center" vertical="center" wrapText="1"/>
    </xf>
    <xf numFmtId="0" fontId="4" fillId="0" borderId="14" xfId="0" applyFont="1" applyFill="1" applyBorder="1" applyAlignment="1">
      <alignment horizontal="center" vertical="center"/>
    </xf>
    <xf numFmtId="187" fontId="4" fillId="0" borderId="1" xfId="0" applyNumberFormat="1" applyFont="1" applyFill="1" applyBorder="1" applyAlignment="1">
      <alignment horizontal="center" vertical="center"/>
    </xf>
    <xf numFmtId="187" fontId="4" fillId="0" borderId="16" xfId="0" applyNumberFormat="1" applyFont="1" applyFill="1" applyBorder="1" applyAlignment="1">
      <alignment horizontal="center" vertical="center"/>
    </xf>
    <xf numFmtId="187" fontId="5" fillId="0" borderId="16" xfId="0" applyNumberFormat="1" applyFont="1" applyFill="1" applyBorder="1" applyAlignment="1">
      <alignment horizontal="center" vertical="center"/>
    </xf>
    <xf numFmtId="187" fontId="4" fillId="0" borderId="15" xfId="0" applyNumberFormat="1" applyFont="1" applyFill="1" applyBorder="1" applyAlignment="1">
      <alignment horizontal="center" vertical="center"/>
    </xf>
    <xf numFmtId="187" fontId="3" fillId="0" borderId="17" xfId="0" applyNumberFormat="1" applyFont="1" applyFill="1" applyBorder="1" applyAlignment="1">
      <alignment horizontal="center" vertical="center"/>
    </xf>
    <xf numFmtId="187" fontId="3" fillId="0" borderId="16" xfId="0" applyNumberFormat="1" applyFont="1" applyFill="1" applyBorder="1" applyAlignment="1">
      <alignment horizontal="center" vertical="center"/>
    </xf>
    <xf numFmtId="187" fontId="3" fillId="0" borderId="18" xfId="0" applyNumberFormat="1" applyFont="1" applyFill="1" applyBorder="1" applyAlignment="1">
      <alignment horizontal="center" vertical="center"/>
    </xf>
    <xf numFmtId="187" fontId="5" fillId="0" borderId="14" xfId="0" applyNumberFormat="1" applyFont="1" applyFill="1" applyBorder="1" applyAlignment="1">
      <alignment horizontal="center" vertical="center"/>
    </xf>
    <xf numFmtId="187" fontId="5" fillId="0" borderId="15" xfId="0" applyNumberFormat="1" applyFont="1" applyFill="1" applyBorder="1" applyAlignment="1">
      <alignment horizontal="center" vertical="center"/>
    </xf>
    <xf numFmtId="0" fontId="5" fillId="0" borderId="1" xfId="0" applyFont="1" applyFill="1" applyBorder="1" applyAlignment="1">
      <alignment horizontal="center" vertical="center"/>
    </xf>
    <xf numFmtId="188" fontId="21" fillId="0" borderId="4" xfId="0" applyNumberFormat="1" applyFont="1" applyFill="1" applyBorder="1" applyAlignment="1">
      <alignment horizontal="center" vertical="center"/>
    </xf>
    <xf numFmtId="0" fontId="3" fillId="0" borderId="1" xfId="0" applyFont="1" applyFill="1" applyBorder="1" applyAlignment="1">
      <alignment horizontal="center" vertical="center"/>
    </xf>
    <xf numFmtId="0" fontId="3" fillId="0" borderId="1" xfId="0" applyNumberFormat="1" applyFont="1" applyFill="1" applyBorder="1" applyAlignment="1">
      <alignment horizontal="center" vertical="center"/>
    </xf>
    <xf numFmtId="49" fontId="3" fillId="0" borderId="1" xfId="0" applyNumberFormat="1" applyFont="1" applyFill="1" applyBorder="1" applyAlignment="1">
      <alignment horizontal="center" vertical="center" wrapText="1"/>
    </xf>
    <xf numFmtId="0" fontId="0" fillId="0" borderId="1" xfId="0" applyFont="1" applyFill="1" applyBorder="1" applyAlignment="1">
      <alignment horizontal="center" vertical="center" wrapText="1"/>
    </xf>
    <xf numFmtId="0" fontId="3" fillId="0" borderId="1" xfId="0" applyFont="1" applyFill="1" applyBorder="1" applyAlignment="1">
      <alignment horizontal="center" vertical="center" shrinkToFit="1"/>
    </xf>
    <xf numFmtId="0" fontId="27" fillId="0" borderId="1" xfId="0" applyFont="1" applyFill="1" applyBorder="1" applyAlignment="1">
      <alignment horizontal="center" vertical="center" wrapText="1"/>
    </xf>
    <xf numFmtId="0" fontId="3" fillId="0" borderId="6" xfId="0" applyFont="1" applyFill="1" applyBorder="1" applyAlignment="1">
      <alignment horizontal="center" vertical="center"/>
    </xf>
    <xf numFmtId="189" fontId="3" fillId="0" borderId="1" xfId="0" applyNumberFormat="1" applyFont="1" applyFill="1" applyBorder="1" applyAlignment="1">
      <alignment horizontal="center" vertical="center"/>
    </xf>
    <xf numFmtId="185" fontId="3" fillId="0" borderId="1" xfId="0" applyNumberFormat="1" applyFont="1" applyFill="1" applyBorder="1" applyAlignment="1">
      <alignment horizontal="center" vertical="center"/>
    </xf>
    <xf numFmtId="186" fontId="3" fillId="0" borderId="1" xfId="0" applyNumberFormat="1" applyFont="1" applyFill="1" applyBorder="1" applyAlignment="1">
      <alignment horizontal="center" vertical="center"/>
    </xf>
    <xf numFmtId="186" fontId="3" fillId="0" borderId="1" xfId="0" applyNumberFormat="1" applyFont="1" applyFill="1" applyBorder="1" applyAlignment="1">
      <alignment horizontal="center" vertical="center" wrapText="1"/>
    </xf>
    <xf numFmtId="58" fontId="27" fillId="0" borderId="1" xfId="0" applyNumberFormat="1" applyFont="1" applyFill="1" applyBorder="1" applyAlignment="1">
      <alignment horizontal="center" vertical="center" wrapText="1" shrinkToFit="1"/>
    </xf>
    <xf numFmtId="186" fontId="27" fillId="0" borderId="6"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xf>
    <xf numFmtId="187" fontId="5" fillId="0" borderId="1" xfId="0" applyNumberFormat="1" applyFont="1" applyFill="1" applyBorder="1" applyAlignment="1">
      <alignment horizontal="center" vertical="center" wrapText="1" shrinkToFit="1"/>
    </xf>
    <xf numFmtId="187" fontId="3" fillId="0" borderId="1" xfId="0" applyNumberFormat="1" applyFont="1" applyFill="1" applyBorder="1" applyAlignment="1">
      <alignment horizontal="center" vertical="center" wrapText="1" shrinkToFit="1"/>
    </xf>
    <xf numFmtId="187" fontId="22" fillId="0" borderId="1" xfId="0" applyNumberFormat="1" applyFont="1" applyFill="1" applyBorder="1" applyAlignment="1">
      <alignment horizontal="center" vertical="center" wrapText="1" shrinkToFit="1"/>
    </xf>
    <xf numFmtId="187" fontId="22" fillId="0" borderId="14" xfId="0" applyNumberFormat="1" applyFont="1" applyFill="1" applyBorder="1" applyAlignment="1">
      <alignment horizontal="center" vertical="center" wrapText="1" shrinkToFit="1"/>
    </xf>
    <xf numFmtId="0" fontId="3" fillId="0" borderId="14" xfId="0" applyFont="1" applyFill="1" applyBorder="1" applyAlignment="1">
      <alignment horizontal="center" vertical="center"/>
    </xf>
    <xf numFmtId="0" fontId="28" fillId="0" borderId="1" xfId="0" applyFont="1" applyFill="1" applyBorder="1" applyAlignment="1">
      <alignment horizontal="center" vertical="center" wrapText="1"/>
    </xf>
    <xf numFmtId="186" fontId="27" fillId="0" borderId="1" xfId="0" applyNumberFormat="1" applyFont="1" applyFill="1" applyBorder="1" applyAlignment="1">
      <alignment horizontal="center" vertical="center" wrapText="1"/>
    </xf>
    <xf numFmtId="0" fontId="5" fillId="0" borderId="6" xfId="0" applyNumberFormat="1" applyFont="1" applyFill="1" applyBorder="1" applyAlignment="1">
      <alignment horizontal="center" vertical="center"/>
    </xf>
    <xf numFmtId="0" fontId="3" fillId="0" borderId="10" xfId="0" applyNumberFormat="1" applyFont="1" applyFill="1" applyBorder="1" applyAlignment="1">
      <alignment horizontal="center" vertical="center"/>
    </xf>
    <xf numFmtId="0" fontId="6" fillId="0" borderId="9" xfId="0" applyFont="1" applyFill="1" applyBorder="1" applyAlignment="1">
      <alignment horizontal="center" vertical="center" wrapText="1" shrinkToFit="1"/>
    </xf>
    <xf numFmtId="187" fontId="5" fillId="0" borderId="6" xfId="0" applyNumberFormat="1" applyFont="1" applyFill="1" applyBorder="1" applyAlignment="1">
      <alignment horizontal="center" vertical="center" wrapText="1" shrinkToFit="1"/>
    </xf>
    <xf numFmtId="187" fontId="3" fillId="0" borderId="6" xfId="0" applyNumberFormat="1" applyFont="1" applyFill="1" applyBorder="1" applyAlignment="1">
      <alignment horizontal="center" vertical="center" wrapText="1" shrinkToFit="1"/>
    </xf>
    <xf numFmtId="187" fontId="6" fillId="0" borderId="6" xfId="0" applyNumberFormat="1" applyFont="1" applyFill="1" applyBorder="1" applyAlignment="1">
      <alignment horizontal="center" vertical="center" wrapText="1" shrinkToFit="1"/>
    </xf>
    <xf numFmtId="187" fontId="22" fillId="0" borderId="15" xfId="0" applyNumberFormat="1" applyFont="1" applyFill="1" applyBorder="1" applyAlignment="1">
      <alignment horizontal="center" vertical="center" wrapText="1" shrinkToFit="1"/>
    </xf>
    <xf numFmtId="0" fontId="27" fillId="0" borderId="1" xfId="0" applyNumberFormat="1" applyFont="1" applyFill="1" applyBorder="1" applyAlignment="1">
      <alignment horizontal="center" vertical="center"/>
    </xf>
    <xf numFmtId="49" fontId="27"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186" fontId="23" fillId="0" borderId="1" xfId="0" applyNumberFormat="1" applyFont="1" applyFill="1" applyBorder="1" applyAlignment="1">
      <alignment horizontal="center" vertical="center" wrapText="1"/>
    </xf>
    <xf numFmtId="0" fontId="4" fillId="0" borderId="6" xfId="0" applyNumberFormat="1" applyFont="1" applyFill="1" applyBorder="1" applyAlignment="1">
      <alignment horizontal="center" vertical="center"/>
    </xf>
    <xf numFmtId="0" fontId="4" fillId="0" borderId="10" xfId="0" applyNumberFormat="1" applyFont="1" applyFill="1" applyBorder="1" applyAlignment="1">
      <alignment horizontal="center" vertical="center"/>
    </xf>
    <xf numFmtId="187" fontId="4" fillId="0" borderId="6" xfId="0" applyNumberFormat="1" applyFont="1" applyFill="1" applyBorder="1" applyAlignment="1">
      <alignment horizontal="center" vertical="center" wrapText="1" shrinkToFit="1"/>
    </xf>
    <xf numFmtId="187" fontId="18" fillId="0" borderId="15" xfId="0" applyNumberFormat="1" applyFont="1" applyFill="1" applyBorder="1" applyAlignment="1">
      <alignment horizontal="center" vertical="center" wrapText="1" shrinkToFit="1"/>
    </xf>
    <xf numFmtId="187" fontId="18" fillId="0" borderId="4" xfId="0" applyNumberFormat="1" applyFont="1" applyFill="1" applyBorder="1" applyAlignment="1">
      <alignment horizontal="center" vertical="center" wrapText="1" shrinkToFit="1"/>
    </xf>
    <xf numFmtId="188" fontId="21" fillId="2" borderId="4" xfId="0" applyNumberFormat="1" applyFont="1" applyFill="1" applyBorder="1" applyAlignment="1">
      <alignment horizontal="center" vertical="center"/>
    </xf>
    <xf numFmtId="0" fontId="3" fillId="2" borderId="1" xfId="0" applyFont="1" applyFill="1" applyBorder="1" applyAlignment="1">
      <alignment horizontal="center" vertical="center"/>
    </xf>
    <xf numFmtId="0" fontId="27" fillId="2" borderId="1" xfId="0" applyNumberFormat="1" applyFont="1" applyFill="1" applyBorder="1" applyAlignment="1">
      <alignment horizontal="center" vertical="center"/>
    </xf>
    <xf numFmtId="49" fontId="27"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shrinkToFit="1"/>
    </xf>
    <xf numFmtId="0" fontId="3" fillId="2" borderId="1" xfId="0" applyFont="1" applyFill="1" applyBorder="1" applyAlignment="1">
      <alignment horizontal="center" vertical="center" shrinkToFit="1"/>
    </xf>
    <xf numFmtId="0" fontId="27" fillId="2" borderId="1" xfId="0" applyFont="1" applyFill="1" applyBorder="1" applyAlignment="1">
      <alignment horizontal="center" vertical="center" wrapText="1"/>
    </xf>
    <xf numFmtId="0" fontId="3" fillId="2" borderId="6" xfId="0" applyFont="1" applyFill="1" applyBorder="1" applyAlignment="1">
      <alignment horizontal="center" vertical="center"/>
    </xf>
    <xf numFmtId="189" fontId="3" fillId="2" borderId="1" xfId="0" applyNumberFormat="1" applyFont="1" applyFill="1" applyBorder="1" applyAlignment="1">
      <alignment horizontal="center" vertical="center"/>
    </xf>
    <xf numFmtId="185" fontId="3" fillId="2" borderId="1" xfId="0" applyNumberFormat="1" applyFont="1" applyFill="1" applyBorder="1" applyAlignment="1">
      <alignment horizontal="center" vertical="center"/>
    </xf>
    <xf numFmtId="0" fontId="5" fillId="2" borderId="6" xfId="0" applyNumberFormat="1" applyFont="1" applyFill="1" applyBorder="1" applyAlignment="1">
      <alignment horizontal="center" vertical="center"/>
    </xf>
    <xf numFmtId="0" fontId="3" fillId="2" borderId="10" xfId="0" applyNumberFormat="1" applyFont="1" applyFill="1" applyBorder="1" applyAlignment="1">
      <alignment horizontal="center" vertical="center"/>
    </xf>
    <xf numFmtId="0" fontId="6" fillId="2" borderId="9" xfId="0" applyFont="1" applyFill="1" applyBorder="1" applyAlignment="1">
      <alignment horizontal="center" vertical="center" wrapText="1" shrinkToFit="1"/>
    </xf>
    <xf numFmtId="187" fontId="5" fillId="2" borderId="1" xfId="0" applyNumberFormat="1" applyFont="1" applyFill="1" applyBorder="1" applyAlignment="1">
      <alignment horizontal="center" vertical="center" wrapText="1" shrinkToFit="1"/>
    </xf>
    <xf numFmtId="187" fontId="5" fillId="2" borderId="6" xfId="0" applyNumberFormat="1" applyFont="1" applyFill="1" applyBorder="1" applyAlignment="1">
      <alignment horizontal="center" vertical="center" wrapText="1" shrinkToFit="1"/>
    </xf>
    <xf numFmtId="187" fontId="3" fillId="2" borderId="6" xfId="0" applyNumberFormat="1" applyFont="1" applyFill="1" applyBorder="1" applyAlignment="1">
      <alignment horizontal="center" vertical="center" wrapText="1" shrinkToFit="1"/>
    </xf>
    <xf numFmtId="187" fontId="6" fillId="2" borderId="6" xfId="0" applyNumberFormat="1" applyFont="1" applyFill="1" applyBorder="1" applyAlignment="1">
      <alignment horizontal="center" vertical="center" wrapText="1" shrinkToFit="1"/>
    </xf>
    <xf numFmtId="187" fontId="22" fillId="2" borderId="15" xfId="0" applyNumberFormat="1" applyFont="1" applyFill="1" applyBorder="1" applyAlignment="1">
      <alignment horizontal="center" vertical="center" wrapText="1" shrinkToFit="1"/>
    </xf>
    <xf numFmtId="187" fontId="22" fillId="2" borderId="4" xfId="0" applyNumberFormat="1" applyFont="1" applyFill="1" applyBorder="1" applyAlignment="1">
      <alignment horizontal="center" vertical="center" wrapText="1" shrinkToFit="1"/>
    </xf>
    <xf numFmtId="0" fontId="3" fillId="2" borderId="14" xfId="0" applyFont="1" applyFill="1" applyBorder="1" applyAlignment="1">
      <alignment horizontal="center" vertical="center"/>
    </xf>
    <xf numFmtId="187" fontId="4" fillId="2" borderId="1" xfId="0" applyNumberFormat="1" applyFont="1" applyFill="1" applyBorder="1" applyAlignment="1">
      <alignment horizontal="center" vertical="center"/>
    </xf>
    <xf numFmtId="187" fontId="5" fillId="2" borderId="1" xfId="0" applyNumberFormat="1" applyFont="1" applyFill="1" applyBorder="1" applyAlignment="1">
      <alignment horizontal="center" vertical="center"/>
    </xf>
    <xf numFmtId="187" fontId="4" fillId="2" borderId="6" xfId="0" applyNumberFormat="1" applyFont="1" applyFill="1" applyBorder="1" applyAlignment="1">
      <alignment horizontal="center" vertical="center"/>
    </xf>
    <xf numFmtId="187" fontId="3" fillId="2" borderId="19" xfId="0" applyNumberFormat="1" applyFont="1" applyFill="1" applyBorder="1" applyAlignment="1">
      <alignment horizontal="center" vertical="center"/>
    </xf>
    <xf numFmtId="187" fontId="3" fillId="2" borderId="1" xfId="0" applyNumberFormat="1" applyFont="1" applyFill="1" applyBorder="1" applyAlignment="1">
      <alignment horizontal="center" vertical="center"/>
    </xf>
    <xf numFmtId="187" fontId="3" fillId="2" borderId="20" xfId="0" applyNumberFormat="1" applyFont="1" applyFill="1" applyBorder="1" applyAlignment="1">
      <alignment horizontal="center" vertical="center"/>
    </xf>
    <xf numFmtId="187" fontId="5" fillId="2" borderId="7" xfId="0" applyNumberFormat="1" applyFont="1" applyFill="1" applyBorder="1" applyAlignment="1">
      <alignment horizontal="center" vertical="center"/>
    </xf>
    <xf numFmtId="187" fontId="5" fillId="2" borderId="6"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187" fontId="5" fillId="0" borderId="1" xfId="0" applyNumberFormat="1" applyFont="1" applyFill="1" applyBorder="1" applyAlignment="1">
      <alignment horizontal="center" vertical="center"/>
    </xf>
    <xf numFmtId="187" fontId="4" fillId="0" borderId="6" xfId="0" applyNumberFormat="1" applyFont="1" applyFill="1" applyBorder="1" applyAlignment="1">
      <alignment horizontal="center" vertical="center"/>
    </xf>
    <xf numFmtId="187" fontId="3" fillId="0" borderId="19" xfId="0" applyNumberFormat="1" applyFont="1" applyFill="1" applyBorder="1" applyAlignment="1">
      <alignment horizontal="center" vertical="center"/>
    </xf>
    <xf numFmtId="187" fontId="3" fillId="0" borderId="1" xfId="0" applyNumberFormat="1" applyFont="1" applyFill="1" applyBorder="1" applyAlignment="1">
      <alignment horizontal="center" vertical="center"/>
    </xf>
    <xf numFmtId="187" fontId="3" fillId="0" borderId="20" xfId="0" applyNumberFormat="1" applyFont="1" applyFill="1" applyBorder="1" applyAlignment="1">
      <alignment horizontal="center" vertical="center"/>
    </xf>
    <xf numFmtId="187" fontId="5" fillId="0" borderId="7" xfId="0" applyNumberFormat="1" applyFont="1" applyFill="1" applyBorder="1" applyAlignment="1">
      <alignment horizontal="center" vertical="center"/>
    </xf>
    <xf numFmtId="187" fontId="5" fillId="0" borderId="6" xfId="0" applyNumberFormat="1" applyFont="1" applyFill="1" applyBorder="1" applyAlignment="1">
      <alignment horizontal="center" vertical="center"/>
    </xf>
    <xf numFmtId="0" fontId="27" fillId="0" borderId="1" xfId="0" applyFont="1" applyFill="1" applyBorder="1" applyAlignment="1">
      <alignment horizontal="center" vertical="center" wrapText="1" shrinkToFit="1"/>
    </xf>
    <xf numFmtId="0" fontId="27" fillId="2" borderId="1" xfId="0" applyFont="1" applyFill="1" applyBorder="1" applyAlignment="1">
      <alignment horizontal="center" vertical="center" wrapText="1" shrinkToFit="1"/>
    </xf>
    <xf numFmtId="186" fontId="3" fillId="2" borderId="1" xfId="0" applyNumberFormat="1" applyFont="1" applyFill="1" applyBorder="1" applyAlignment="1">
      <alignment horizontal="center" vertical="center"/>
    </xf>
    <xf numFmtId="186" fontId="3" fillId="2" borderId="1" xfId="0" applyNumberFormat="1" applyFont="1" applyFill="1" applyBorder="1" applyAlignment="1">
      <alignment horizontal="center" vertical="center" wrapText="1"/>
    </xf>
    <xf numFmtId="58" fontId="27" fillId="2" borderId="1" xfId="0" applyNumberFormat="1" applyFont="1" applyFill="1" applyBorder="1" applyAlignment="1">
      <alignment horizontal="center" vertical="center" wrapText="1" shrinkToFit="1"/>
    </xf>
    <xf numFmtId="186" fontId="27" fillId="2" borderId="1" xfId="0" applyNumberFormat="1" applyFont="1" applyFill="1" applyBorder="1" applyAlignment="1">
      <alignment horizontal="center" vertical="center" wrapText="1"/>
    </xf>
    <xf numFmtId="186" fontId="26" fillId="2" borderId="15" xfId="0" applyNumberFormat="1" applyFont="1" applyFill="1" applyBorder="1" applyAlignment="1">
      <alignment horizontal="center" vertical="center"/>
    </xf>
    <xf numFmtId="0" fontId="5" fillId="2" borderId="16" xfId="0" applyFont="1" applyFill="1" applyBorder="1" applyAlignment="1">
      <alignment horizontal="center" vertical="center" wrapText="1"/>
    </xf>
    <xf numFmtId="0" fontId="29" fillId="0" borderId="9" xfId="0" applyFont="1" applyFill="1" applyBorder="1" applyAlignment="1">
      <alignment horizontal="center" vertical="center" wrapText="1"/>
    </xf>
    <xf numFmtId="0" fontId="29" fillId="0" borderId="1" xfId="0" applyFont="1" applyFill="1" applyBorder="1" applyAlignment="1">
      <alignment horizontal="center" vertical="center" wrapText="1"/>
    </xf>
    <xf numFmtId="182" fontId="26" fillId="2" borderId="15" xfId="0" applyNumberFormat="1" applyFont="1" applyFill="1" applyBorder="1" applyAlignment="1">
      <alignment horizontal="center" vertical="center"/>
    </xf>
    <xf numFmtId="182" fontId="5" fillId="2" borderId="16" xfId="0" applyNumberFormat="1" applyFont="1" applyFill="1" applyBorder="1" applyAlignment="1">
      <alignment horizontal="center" vertical="center" wrapText="1"/>
    </xf>
    <xf numFmtId="0" fontId="30" fillId="0" borderId="1" xfId="0" applyFont="1" applyFill="1" applyBorder="1" applyAlignment="1">
      <alignment horizontal="center" vertical="center" wrapText="1"/>
    </xf>
    <xf numFmtId="0" fontId="27" fillId="0" borderId="1" xfId="0" applyNumberFormat="1" applyFont="1" applyFill="1" applyBorder="1" applyAlignment="1">
      <alignment horizontal="center" vertical="center" wrapText="1"/>
    </xf>
    <xf numFmtId="0" fontId="27" fillId="0" borderId="0" xfId="0" applyFont="1" applyFill="1" applyAlignment="1">
      <alignment horizontal="center" vertical="center" wrapText="1"/>
    </xf>
    <xf numFmtId="0" fontId="27" fillId="0" borderId="1" xfId="0" applyFont="1" applyFill="1" applyBorder="1" applyAlignment="1">
      <alignment horizontal="center" vertical="center" shrinkToFit="1"/>
    </xf>
    <xf numFmtId="0" fontId="21" fillId="0" borderId="1" xfId="0" applyFont="1" applyFill="1" applyBorder="1" applyAlignment="1">
      <alignment horizontal="center" vertical="center" wrapText="1" shrinkToFit="1"/>
    </xf>
    <xf numFmtId="187" fontId="7" fillId="0" borderId="4" xfId="0" applyNumberFormat="1" applyFont="1" applyFill="1" applyBorder="1" applyAlignment="1">
      <alignment horizontal="center" vertical="center"/>
    </xf>
    <xf numFmtId="188" fontId="21" fillId="0" borderId="1" xfId="0" applyNumberFormat="1" applyFont="1" applyFill="1" applyBorder="1" applyAlignment="1">
      <alignment horizontal="center" vertical="center"/>
    </xf>
    <xf numFmtId="0" fontId="31" fillId="0" borderId="1" xfId="0" applyFont="1" applyFill="1" applyBorder="1" applyAlignment="1">
      <alignment horizontal="center" vertical="center" wrapText="1" shrinkToFit="1"/>
    </xf>
    <xf numFmtId="0" fontId="32" fillId="0" borderId="1" xfId="0" applyFont="1" applyFill="1" applyBorder="1" applyAlignment="1">
      <alignment horizontal="center" vertical="center"/>
    </xf>
    <xf numFmtId="186" fontId="5" fillId="0" borderId="1" xfId="0" applyNumberFormat="1" applyFont="1" applyFill="1" applyBorder="1" applyAlignment="1">
      <alignment horizontal="center" vertical="center" wrapText="1"/>
    </xf>
    <xf numFmtId="186" fontId="6" fillId="0" borderId="1" xfId="0" applyNumberFormat="1" applyFont="1" applyFill="1" applyBorder="1" applyAlignment="1">
      <alignment horizontal="center" vertical="center"/>
    </xf>
    <xf numFmtId="187" fontId="7" fillId="0" borderId="1" xfId="0" applyNumberFormat="1" applyFont="1" applyFill="1" applyBorder="1" applyAlignment="1">
      <alignment horizontal="center" vertical="center"/>
    </xf>
    <xf numFmtId="182" fontId="5" fillId="0" borderId="1" xfId="0" applyNumberFormat="1" applyFont="1" applyFill="1" applyBorder="1" applyAlignment="1">
      <alignment horizontal="center" vertical="center" wrapText="1"/>
    </xf>
    <xf numFmtId="182" fontId="5" fillId="0" borderId="16" xfId="0" applyNumberFormat="1" applyFont="1" applyFill="1" applyBorder="1" applyAlignment="1">
      <alignment horizontal="center" vertical="center" wrapText="1"/>
    </xf>
    <xf numFmtId="0" fontId="29" fillId="0" borderId="1" xfId="0" applyFont="1" applyFill="1" applyBorder="1" applyAlignment="1">
      <alignment horizontal="center" vertical="center"/>
    </xf>
    <xf numFmtId="0" fontId="5" fillId="0" borderId="1" xfId="0" applyFont="1" applyFill="1" applyBorder="1" applyAlignment="1">
      <alignment horizontal="center" vertical="center" wrapText="1"/>
    </xf>
    <xf numFmtId="0" fontId="3" fillId="0" borderId="1" xfId="0" applyNumberFormat="1" applyFont="1" applyFill="1" applyBorder="1" applyAlignment="1">
      <alignment horizontal="center" vertical="center" shrinkToFit="1"/>
    </xf>
    <xf numFmtId="0" fontId="27" fillId="0" borderId="1" xfId="0" applyNumberFormat="1" applyFont="1" applyFill="1" applyBorder="1" applyAlignment="1">
      <alignment horizontal="center" vertical="center" shrinkToFit="1"/>
    </xf>
    <xf numFmtId="0" fontId="5" fillId="0" borderId="1"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xf>
    <xf numFmtId="0" fontId="7" fillId="0" borderId="1" xfId="0" applyNumberFormat="1" applyFont="1" applyFill="1" applyBorder="1" applyAlignment="1">
      <alignment horizontal="center" vertical="center"/>
    </xf>
    <xf numFmtId="0" fontId="3" fillId="0" borderId="0" xfId="0" applyFont="1" applyFill="1" applyAlignment="1">
      <alignment horizontal="left" vertical="center" wrapText="1"/>
    </xf>
    <xf numFmtId="189" fontId="3" fillId="0" borderId="0" xfId="0" applyNumberFormat="1" applyFont="1" applyFill="1" applyAlignment="1">
      <alignment horizontal="center" vertical="center"/>
    </xf>
    <xf numFmtId="184" fontId="7" fillId="0" borderId="0" xfId="0" applyNumberFormat="1" applyFont="1" applyFill="1" applyAlignment="1">
      <alignment horizontal="center" vertical="center"/>
    </xf>
    <xf numFmtId="186" fontId="3" fillId="0" borderId="0" xfId="0" applyNumberFormat="1" applyFont="1" applyFill="1" applyAlignment="1">
      <alignment horizontal="center" vertical="center"/>
    </xf>
    <xf numFmtId="182" fontId="19" fillId="0" borderId="0" xfId="0" applyNumberFormat="1" applyFont="1" applyFill="1" applyAlignment="1">
      <alignment horizontal="center" vertical="center" wrapText="1"/>
    </xf>
    <xf numFmtId="182" fontId="7" fillId="0" borderId="0" xfId="0" applyNumberFormat="1" applyFont="1" applyFill="1" applyAlignment="1">
      <alignment horizontal="center" vertical="center" wrapText="1"/>
    </xf>
    <xf numFmtId="182" fontId="6" fillId="0" borderId="0" xfId="0" applyNumberFormat="1" applyFont="1" applyFill="1" applyAlignment="1">
      <alignment horizontal="center" vertical="center" wrapText="1"/>
    </xf>
    <xf numFmtId="187" fontId="19" fillId="0" borderId="0" xfId="0" applyNumberFormat="1" applyFont="1" applyFill="1" applyAlignment="1">
      <alignment horizontal="center" vertical="center"/>
    </xf>
    <xf numFmtId="186" fontId="5" fillId="0" borderId="0" xfId="0" applyNumberFormat="1" applyFont="1" applyFill="1" applyAlignment="1">
      <alignment horizontal="center" vertical="center" wrapText="1"/>
    </xf>
    <xf numFmtId="186" fontId="6" fillId="0" borderId="0" xfId="0" applyNumberFormat="1" applyFont="1" applyFill="1" applyAlignment="1">
      <alignment horizontal="center" vertical="center"/>
    </xf>
    <xf numFmtId="0" fontId="33" fillId="0" borderId="0" xfId="0" applyFont="1" applyFill="1" applyAlignment="1">
      <alignment horizontal="center" vertical="center"/>
    </xf>
    <xf numFmtId="0" fontId="33" fillId="0" borderId="0" xfId="0" applyFont="1" applyFill="1">
      <alignment vertical="center"/>
    </xf>
    <xf numFmtId="0" fontId="34" fillId="0" borderId="0" xfId="0" applyFont="1" applyFill="1">
      <alignment vertical="center"/>
    </xf>
    <xf numFmtId="0" fontId="35" fillId="0" borderId="0" xfId="0" applyFont="1" applyFill="1">
      <alignment vertical="center"/>
    </xf>
    <xf numFmtId="0" fontId="36" fillId="0" borderId="0" xfId="0" applyFont="1" applyFill="1">
      <alignment vertical="center"/>
    </xf>
    <xf numFmtId="0" fontId="37" fillId="0" borderId="0" xfId="0" applyFont="1" applyFill="1">
      <alignment vertical="center"/>
    </xf>
    <xf numFmtId="0" fontId="34" fillId="3" borderId="0" xfId="0" applyFont="1" applyFill="1">
      <alignment vertical="center"/>
    </xf>
    <xf numFmtId="0" fontId="34" fillId="0" borderId="0" xfId="0" applyFont="1" applyFill="1" applyBorder="1">
      <alignment vertical="center"/>
    </xf>
    <xf numFmtId="0" fontId="33" fillId="0" borderId="0" xfId="0" applyFont="1" applyFill="1" applyAlignment="1">
      <alignment horizontal="center" vertical="center" wrapText="1"/>
    </xf>
    <xf numFmtId="185" fontId="33" fillId="0" borderId="0" xfId="0" applyNumberFormat="1" applyFont="1" applyFill="1" applyAlignment="1">
      <alignment horizontal="center" vertical="center"/>
    </xf>
    <xf numFmtId="186" fontId="33" fillId="0" borderId="0" xfId="0" applyNumberFormat="1" applyFont="1" applyFill="1" applyAlignment="1">
      <alignment horizontal="center" vertical="center" wrapText="1"/>
    </xf>
    <xf numFmtId="49" fontId="33" fillId="0" borderId="0" xfId="0" applyNumberFormat="1" applyFont="1" applyFill="1" applyAlignment="1">
      <alignment horizontal="center" vertical="center" wrapText="1"/>
    </xf>
    <xf numFmtId="0" fontId="38" fillId="0" borderId="0" xfId="0" applyFont="1" applyFill="1" applyAlignment="1">
      <alignment horizontal="center" vertical="center"/>
    </xf>
    <xf numFmtId="187" fontId="33" fillId="0" borderId="0" xfId="0" applyNumberFormat="1" applyFont="1" applyFill="1" applyAlignment="1">
      <alignment horizontal="center" vertical="center"/>
    </xf>
    <xf numFmtId="187" fontId="38" fillId="0" borderId="0" xfId="0" applyNumberFormat="1" applyFont="1" applyFill="1" applyAlignment="1">
      <alignment horizontal="center" vertical="center"/>
    </xf>
    <xf numFmtId="0" fontId="39" fillId="0" borderId="0" xfId="0" applyFont="1" applyFill="1" applyAlignment="1">
      <alignment horizontal="center" vertical="center"/>
    </xf>
    <xf numFmtId="0" fontId="0" fillId="0" borderId="0" xfId="0" applyFill="1">
      <alignment vertical="center"/>
    </xf>
    <xf numFmtId="0" fontId="38" fillId="0" borderId="0" xfId="0" applyFont="1" applyFill="1" applyAlignment="1">
      <alignment horizontal="center" vertical="center" wrapText="1"/>
    </xf>
    <xf numFmtId="0" fontId="38" fillId="0" borderId="0" xfId="0" applyFont="1" applyFill="1" applyAlignment="1">
      <alignment vertical="center"/>
    </xf>
    <xf numFmtId="58" fontId="38" fillId="0" borderId="0" xfId="0" applyNumberFormat="1" applyFont="1" applyFill="1" applyAlignment="1">
      <alignment vertical="center"/>
    </xf>
    <xf numFmtId="0" fontId="34" fillId="0" borderId="0" xfId="0" applyFont="1" applyFill="1" applyAlignment="1">
      <alignment horizontal="center" vertical="center"/>
    </xf>
    <xf numFmtId="186" fontId="38" fillId="0" borderId="0" xfId="0" applyNumberFormat="1" applyFont="1" applyFill="1" applyAlignment="1">
      <alignment vertical="center" wrapText="1"/>
    </xf>
    <xf numFmtId="49" fontId="38" fillId="0" borderId="0" xfId="0" applyNumberFormat="1" applyFont="1" applyFill="1" applyAlignment="1">
      <alignment horizontal="center" vertical="center" wrapText="1"/>
    </xf>
    <xf numFmtId="186" fontId="38" fillId="0" borderId="0" xfId="0" applyNumberFormat="1" applyFont="1" applyFill="1" applyAlignment="1">
      <alignment horizontal="center" vertical="center" wrapText="1"/>
    </xf>
    <xf numFmtId="0" fontId="38" fillId="0" borderId="0" xfId="0" applyFont="1" applyFill="1" applyAlignment="1">
      <alignment vertical="center" wrapText="1"/>
    </xf>
    <xf numFmtId="187" fontId="38" fillId="0" borderId="0" xfId="0" applyNumberFormat="1" applyFont="1" applyFill="1" applyBorder="1" applyAlignment="1">
      <alignment vertical="center"/>
    </xf>
    <xf numFmtId="187" fontId="38" fillId="0" borderId="0" xfId="0" applyNumberFormat="1" applyFont="1" applyFill="1" applyAlignment="1">
      <alignment vertical="center"/>
    </xf>
    <xf numFmtId="0" fontId="40" fillId="0" borderId="0" xfId="0" applyFont="1" applyFill="1" applyAlignment="1">
      <alignment horizontal="center" vertical="center"/>
    </xf>
    <xf numFmtId="0" fontId="41" fillId="0" borderId="0" xfId="0" applyFont="1" applyFill="1" applyBorder="1" applyAlignment="1">
      <alignment horizontal="center" vertical="center" wrapText="1"/>
    </xf>
    <xf numFmtId="188" fontId="41" fillId="0" borderId="0" xfId="0" applyNumberFormat="1" applyFont="1" applyFill="1" applyBorder="1" applyAlignment="1">
      <alignment horizontal="center" vertical="center"/>
    </xf>
    <xf numFmtId="0" fontId="41" fillId="0" borderId="0" xfId="0" applyFont="1" applyFill="1" applyAlignment="1">
      <alignment horizontal="center" vertical="center" wrapText="1"/>
    </xf>
    <xf numFmtId="185" fontId="38" fillId="0" borderId="0" xfId="0" applyNumberFormat="1" applyFont="1" applyFill="1" applyAlignment="1">
      <alignment horizontal="center" vertical="center"/>
    </xf>
    <xf numFmtId="0" fontId="41" fillId="0" borderId="9" xfId="0" applyFont="1" applyFill="1" applyBorder="1" applyAlignment="1">
      <alignment horizontal="center" vertical="center" wrapText="1"/>
    </xf>
    <xf numFmtId="187" fontId="41" fillId="0" borderId="9" xfId="0" applyNumberFormat="1" applyFont="1" applyFill="1" applyBorder="1" applyAlignment="1">
      <alignment horizontal="center" vertical="center"/>
    </xf>
    <xf numFmtId="187" fontId="38" fillId="0" borderId="9" xfId="0" applyNumberFormat="1" applyFont="1" applyFill="1" applyBorder="1" applyAlignment="1">
      <alignment horizontal="center" vertical="center"/>
    </xf>
    <xf numFmtId="0" fontId="38" fillId="0" borderId="1" xfId="0" applyFont="1" applyFill="1" applyBorder="1" applyAlignment="1">
      <alignment horizontal="center" vertical="center" wrapText="1" shrinkToFit="1"/>
    </xf>
    <xf numFmtId="186" fontId="38" fillId="0" borderId="1" xfId="0" applyNumberFormat="1" applyFont="1" applyFill="1" applyBorder="1" applyAlignment="1">
      <alignment horizontal="center" vertical="center" wrapText="1" shrinkToFit="1"/>
    </xf>
    <xf numFmtId="49" fontId="41" fillId="0" borderId="1" xfId="0" applyNumberFormat="1" applyFont="1" applyFill="1" applyBorder="1" applyAlignment="1">
      <alignment horizontal="center" vertical="center" wrapText="1"/>
    </xf>
    <xf numFmtId="0" fontId="41" fillId="0" borderId="1" xfId="0" applyFont="1" applyFill="1" applyBorder="1" applyAlignment="1">
      <alignment horizontal="center" vertical="center" wrapText="1"/>
    </xf>
    <xf numFmtId="0" fontId="38" fillId="3" borderId="1" xfId="0" applyFont="1" applyFill="1" applyBorder="1" applyAlignment="1">
      <alignment horizontal="center" vertical="center" wrapText="1" shrinkToFit="1"/>
    </xf>
    <xf numFmtId="0" fontId="41" fillId="0" borderId="1" xfId="0" applyFont="1" applyFill="1" applyBorder="1" applyAlignment="1">
      <alignment horizontal="center" vertical="center" wrapText="1" shrinkToFit="1"/>
    </xf>
    <xf numFmtId="0" fontId="42" fillId="0" borderId="1" xfId="0" applyFont="1" applyFill="1" applyBorder="1" applyAlignment="1">
      <alignment horizontal="center" vertical="center" wrapText="1" shrinkToFit="1"/>
    </xf>
    <xf numFmtId="0" fontId="42" fillId="3" borderId="1" xfId="0" applyFont="1" applyFill="1" applyBorder="1" applyAlignment="1">
      <alignment horizontal="center" vertical="center" wrapText="1" shrinkToFit="1"/>
    </xf>
    <xf numFmtId="187" fontId="41" fillId="0" borderId="1" xfId="0" applyNumberFormat="1" applyFont="1" applyFill="1" applyBorder="1" applyAlignment="1">
      <alignment horizontal="center" vertical="center" wrapText="1" shrinkToFit="1"/>
    </xf>
    <xf numFmtId="187" fontId="42" fillId="0" borderId="1" xfId="0" applyNumberFormat="1" applyFont="1" applyFill="1" applyBorder="1" applyAlignment="1">
      <alignment horizontal="center" vertical="center" wrapText="1" shrinkToFit="1"/>
    </xf>
    <xf numFmtId="0" fontId="43" fillId="0" borderId="1" xfId="0" applyFont="1" applyFill="1" applyBorder="1" applyAlignment="1">
      <alignment horizontal="center" vertical="center" wrapText="1" shrinkToFit="1"/>
    </xf>
    <xf numFmtId="0" fontId="44" fillId="3" borderId="0" xfId="0" applyFont="1" applyFill="1" applyAlignment="1">
      <alignment horizontal="center" vertical="center"/>
    </xf>
    <xf numFmtId="49" fontId="35" fillId="0" borderId="1" xfId="0" applyNumberFormat="1" applyFont="1" applyFill="1" applyBorder="1" applyAlignment="1">
      <alignment horizontal="center" vertical="center" wrapText="1"/>
    </xf>
    <xf numFmtId="0" fontId="45" fillId="0" borderId="1" xfId="0" applyFont="1" applyFill="1" applyBorder="1" applyAlignment="1">
      <alignment horizontal="center" vertical="center" wrapText="1"/>
    </xf>
    <xf numFmtId="0" fontId="45" fillId="0" borderId="1" xfId="0" applyNumberFormat="1" applyFont="1" applyFill="1" applyBorder="1" applyAlignment="1">
      <alignment horizontal="center" vertical="center" shrinkToFit="1"/>
    </xf>
    <xf numFmtId="0" fontId="45" fillId="0" borderId="1" xfId="0" applyFont="1" applyFill="1" applyBorder="1" applyAlignment="1">
      <alignment horizontal="center" vertical="center"/>
    </xf>
    <xf numFmtId="190" fontId="35" fillId="0" borderId="1" xfId="0" applyNumberFormat="1" applyFont="1" applyFill="1" applyBorder="1" applyAlignment="1">
      <alignment horizontal="center" vertical="center" wrapText="1" shrinkToFit="1"/>
    </xf>
    <xf numFmtId="49" fontId="45" fillId="4" borderId="1" xfId="0" applyNumberFormat="1" applyFont="1" applyFill="1" applyBorder="1" applyAlignment="1">
      <alignment horizontal="center" vertical="center" wrapText="1"/>
    </xf>
    <xf numFmtId="186" fontId="45" fillId="4" borderId="1" xfId="0" applyNumberFormat="1" applyFont="1" applyFill="1" applyBorder="1" applyAlignment="1">
      <alignment horizontal="center" vertical="center" wrapText="1"/>
    </xf>
    <xf numFmtId="0" fontId="45" fillId="4" borderId="1" xfId="0" applyFont="1" applyFill="1" applyBorder="1" applyAlignment="1">
      <alignment horizontal="center" vertical="center" wrapText="1"/>
    </xf>
    <xf numFmtId="187" fontId="45" fillId="0" borderId="1" xfId="0" applyNumberFormat="1" applyFont="1" applyFill="1" applyBorder="1" applyAlignment="1">
      <alignment horizontal="center" vertical="center"/>
    </xf>
    <xf numFmtId="187" fontId="45" fillId="4" borderId="1" xfId="0" applyNumberFormat="1" applyFont="1" applyFill="1" applyBorder="1" applyAlignment="1">
      <alignment horizontal="center" vertical="center"/>
    </xf>
    <xf numFmtId="187" fontId="45" fillId="5" borderId="1" xfId="0" applyNumberFormat="1" applyFont="1" applyFill="1" applyBorder="1" applyAlignment="1">
      <alignment horizontal="center" vertical="center"/>
    </xf>
    <xf numFmtId="49" fontId="36" fillId="0" borderId="1" xfId="0" applyNumberFormat="1" applyFont="1" applyFill="1" applyBorder="1" applyAlignment="1">
      <alignment horizontal="center" vertical="center" wrapText="1"/>
    </xf>
    <xf numFmtId="0" fontId="46" fillId="0" borderId="1" xfId="0" applyFont="1" applyFill="1" applyBorder="1" applyAlignment="1">
      <alignment horizontal="center" vertical="center" wrapText="1"/>
    </xf>
    <xf numFmtId="0" fontId="46" fillId="0" borderId="1" xfId="0" applyNumberFormat="1" applyFont="1" applyFill="1" applyBorder="1" applyAlignment="1">
      <alignment horizontal="center" vertical="center" shrinkToFit="1"/>
    </xf>
    <xf numFmtId="0" fontId="46" fillId="0" borderId="1" xfId="0" applyFont="1" applyFill="1" applyBorder="1" applyAlignment="1">
      <alignment horizontal="center" vertical="center"/>
    </xf>
    <xf numFmtId="190" fontId="36" fillId="0" borderId="1" xfId="0" applyNumberFormat="1" applyFont="1" applyFill="1" applyBorder="1" applyAlignment="1">
      <alignment horizontal="center" vertical="center" wrapText="1" shrinkToFit="1"/>
    </xf>
    <xf numFmtId="49" fontId="46" fillId="4" borderId="1" xfId="0" applyNumberFormat="1" applyFont="1" applyFill="1" applyBorder="1" applyAlignment="1">
      <alignment horizontal="center" vertical="center" wrapText="1"/>
    </xf>
    <xf numFmtId="186" fontId="46" fillId="4" borderId="1" xfId="0" applyNumberFormat="1" applyFont="1" applyFill="1" applyBorder="1" applyAlignment="1">
      <alignment horizontal="center" vertical="center" wrapText="1"/>
    </xf>
    <xf numFmtId="0" fontId="46" fillId="4" borderId="1" xfId="0" applyFont="1" applyFill="1" applyBorder="1" applyAlignment="1">
      <alignment horizontal="center" vertical="center" wrapText="1"/>
    </xf>
    <xf numFmtId="187" fontId="46" fillId="0" borderId="1" xfId="0" applyNumberFormat="1" applyFont="1" applyFill="1" applyBorder="1" applyAlignment="1">
      <alignment horizontal="center" vertical="center"/>
    </xf>
    <xf numFmtId="187" fontId="46" fillId="4" borderId="1" xfId="0" applyNumberFormat="1" applyFont="1" applyFill="1" applyBorder="1" applyAlignment="1">
      <alignment horizontal="center" vertical="center"/>
    </xf>
    <xf numFmtId="49" fontId="37" fillId="0" borderId="1" xfId="0" applyNumberFormat="1" applyFont="1" applyFill="1" applyBorder="1" applyAlignment="1">
      <alignment horizontal="center" vertical="center" wrapText="1"/>
    </xf>
    <xf numFmtId="0" fontId="47" fillId="0" borderId="1" xfId="0" applyFont="1" applyFill="1" applyBorder="1" applyAlignment="1">
      <alignment horizontal="center" vertical="center" wrapText="1"/>
    </xf>
    <xf numFmtId="0" fontId="47" fillId="0" borderId="1" xfId="0" applyNumberFormat="1" applyFont="1" applyFill="1" applyBorder="1" applyAlignment="1">
      <alignment horizontal="center" vertical="center" shrinkToFit="1"/>
    </xf>
    <xf numFmtId="0" fontId="47" fillId="0" borderId="1" xfId="0" applyFont="1" applyFill="1" applyBorder="1" applyAlignment="1">
      <alignment horizontal="center" vertical="center"/>
    </xf>
    <xf numFmtId="190" fontId="37" fillId="0" borderId="1" xfId="0" applyNumberFormat="1" applyFont="1" applyFill="1" applyBorder="1" applyAlignment="1">
      <alignment horizontal="center" vertical="center" wrapText="1" shrinkToFit="1"/>
    </xf>
    <xf numFmtId="49" fontId="33" fillId="0" borderId="1" xfId="0" applyNumberFormat="1" applyFont="1" applyFill="1" applyBorder="1" applyAlignment="1">
      <alignment horizontal="center" vertical="center" wrapText="1"/>
    </xf>
    <xf numFmtId="186" fontId="33" fillId="0" borderId="1" xfId="0" applyNumberFormat="1" applyFont="1" applyFill="1" applyBorder="1" applyAlignment="1">
      <alignment horizontal="center" vertical="center" wrapText="1"/>
    </xf>
    <xf numFmtId="0" fontId="33" fillId="0" borderId="1" xfId="0" applyFont="1" applyFill="1" applyBorder="1" applyAlignment="1">
      <alignment horizontal="center" vertical="center" wrapText="1"/>
    </xf>
    <xf numFmtId="187" fontId="47" fillId="0" borderId="1" xfId="0" applyNumberFormat="1" applyFont="1" applyFill="1" applyBorder="1" applyAlignment="1">
      <alignment horizontal="center" vertical="center"/>
    </xf>
    <xf numFmtId="187" fontId="33" fillId="4" borderId="1" xfId="0" applyNumberFormat="1" applyFont="1" applyFill="1" applyBorder="1" applyAlignment="1">
      <alignment horizontal="center" vertical="center"/>
    </xf>
    <xf numFmtId="0" fontId="48" fillId="0" borderId="0" xfId="0" applyFont="1" applyFill="1" applyAlignment="1">
      <alignment horizontal="center" vertical="center"/>
    </xf>
    <xf numFmtId="49" fontId="33" fillId="4" borderId="1" xfId="0" applyNumberFormat="1" applyFont="1" applyFill="1" applyBorder="1" applyAlignment="1">
      <alignment horizontal="center" vertical="center" wrapText="1"/>
    </xf>
    <xf numFmtId="186" fontId="33" fillId="4" borderId="1" xfId="0" applyNumberFormat="1" applyFont="1" applyFill="1" applyBorder="1" applyAlignment="1">
      <alignment horizontal="center" vertical="center" wrapText="1"/>
    </xf>
    <xf numFmtId="0" fontId="33" fillId="4" borderId="1" xfId="0" applyFont="1" applyFill="1" applyBorder="1" applyAlignment="1">
      <alignment horizontal="center" vertical="center" wrapText="1"/>
    </xf>
    <xf numFmtId="49" fontId="34" fillId="0" borderId="1" xfId="0" applyNumberFormat="1" applyFont="1" applyFill="1" applyBorder="1" applyAlignment="1">
      <alignment horizontal="center" vertical="center" wrapText="1"/>
    </xf>
    <xf numFmtId="0" fontId="33" fillId="0" borderId="1" xfId="0" applyNumberFormat="1" applyFont="1" applyFill="1" applyBorder="1" applyAlignment="1">
      <alignment horizontal="center" vertical="center" shrinkToFit="1"/>
    </xf>
    <xf numFmtId="0" fontId="33" fillId="0" borderId="1" xfId="0" applyFont="1" applyFill="1" applyBorder="1" applyAlignment="1">
      <alignment horizontal="center" vertical="center"/>
    </xf>
    <xf numFmtId="190" fontId="34" fillId="0" borderId="1" xfId="0" applyNumberFormat="1" applyFont="1" applyFill="1" applyBorder="1" applyAlignment="1">
      <alignment horizontal="center" vertical="center" wrapText="1" shrinkToFit="1"/>
    </xf>
    <xf numFmtId="0" fontId="47" fillId="3" borderId="1" xfId="0" applyFont="1" applyFill="1" applyBorder="1" applyAlignment="1">
      <alignment horizontal="center" vertical="center" wrapText="1"/>
    </xf>
    <xf numFmtId="49" fontId="49" fillId="4" borderId="1" xfId="0" applyNumberFormat="1" applyFont="1" applyFill="1" applyBorder="1" applyAlignment="1">
      <alignment horizontal="center" vertical="center" wrapText="1"/>
    </xf>
    <xf numFmtId="186" fontId="49" fillId="4" borderId="1" xfId="0" applyNumberFormat="1" applyFont="1" applyFill="1" applyBorder="1" applyAlignment="1">
      <alignment horizontal="center" vertical="center" wrapText="1"/>
    </xf>
    <xf numFmtId="0" fontId="49" fillId="4" borderId="1" xfId="0" applyFont="1" applyFill="1" applyBorder="1" applyAlignment="1">
      <alignment horizontal="center" vertical="center" wrapText="1"/>
    </xf>
    <xf numFmtId="0" fontId="49" fillId="3" borderId="1" xfId="0" applyFont="1" applyFill="1" applyBorder="1" applyAlignment="1">
      <alignment horizontal="center" vertical="center" wrapText="1"/>
    </xf>
    <xf numFmtId="187" fontId="33" fillId="0" borderId="1" xfId="0" applyNumberFormat="1" applyFont="1" applyFill="1" applyBorder="1" applyAlignment="1">
      <alignment horizontal="center" vertical="center"/>
    </xf>
    <xf numFmtId="187" fontId="49" fillId="4" borderId="1" xfId="0" applyNumberFormat="1" applyFont="1" applyFill="1" applyBorder="1" applyAlignment="1">
      <alignment horizontal="center" vertical="center"/>
    </xf>
    <xf numFmtId="14" fontId="37" fillId="3" borderId="1" xfId="0" applyNumberFormat="1" applyFont="1" applyFill="1" applyBorder="1" applyAlignment="1">
      <alignment horizontal="center" vertical="center"/>
    </xf>
    <xf numFmtId="187" fontId="33" fillId="5" borderId="1" xfId="0" applyNumberFormat="1" applyFont="1" applyFill="1" applyBorder="1" applyAlignment="1">
      <alignment horizontal="center" vertical="center"/>
    </xf>
    <xf numFmtId="0" fontId="33" fillId="5" borderId="1" xfId="0" applyFont="1" applyFill="1" applyBorder="1" applyAlignment="1">
      <alignment horizontal="center" vertical="center"/>
    </xf>
    <xf numFmtId="0" fontId="50" fillId="0" borderId="1" xfId="0" applyFont="1" applyFill="1" applyBorder="1" applyAlignment="1">
      <alignment horizontal="center" vertical="center"/>
    </xf>
    <xf numFmtId="0" fontId="33" fillId="0" borderId="0" xfId="0" applyFont="1" applyFill="1" applyBorder="1" applyAlignment="1">
      <alignment horizontal="justify" vertical="center" wrapText="1"/>
    </xf>
    <xf numFmtId="14" fontId="51" fillId="0" borderId="1" xfId="0" applyNumberFormat="1" applyFont="1" applyFill="1" applyBorder="1" applyAlignment="1">
      <alignment horizontal="center" vertical="center" wrapText="1"/>
    </xf>
    <xf numFmtId="0" fontId="50" fillId="0" borderId="14" xfId="0" applyFont="1" applyFill="1" applyBorder="1" applyAlignment="1">
      <alignment horizontal="center" vertical="center" wrapText="1"/>
    </xf>
    <xf numFmtId="49" fontId="52" fillId="0" borderId="16" xfId="0" applyNumberFormat="1" applyFont="1" applyFill="1" applyBorder="1" applyAlignment="1">
      <alignment horizontal="center" vertical="center" wrapText="1"/>
    </xf>
    <xf numFmtId="0" fontId="52" fillId="0" borderId="16" xfId="0" applyFont="1" applyFill="1" applyBorder="1" applyAlignment="1">
      <alignment horizontal="center" vertical="center" wrapText="1" shrinkToFit="1"/>
    </xf>
    <xf numFmtId="0" fontId="50" fillId="0" borderId="1" xfId="0" applyNumberFormat="1" applyFont="1" applyFill="1" applyBorder="1" applyAlignment="1">
      <alignment horizontal="center" vertical="center" shrinkToFit="1"/>
    </xf>
    <xf numFmtId="0" fontId="50" fillId="0" borderId="1" xfId="0" applyFont="1" applyFill="1" applyBorder="1" applyAlignment="1">
      <alignment horizontal="center" vertical="center" wrapText="1" shrinkToFit="1"/>
    </xf>
    <xf numFmtId="190" fontId="52" fillId="0" borderId="1" xfId="0" applyNumberFormat="1" applyFont="1" applyFill="1" applyBorder="1" applyAlignment="1">
      <alignment horizontal="center" vertical="center" wrapText="1" shrinkToFit="1"/>
    </xf>
    <xf numFmtId="0" fontId="52" fillId="0" borderId="1" xfId="0" applyFont="1" applyFill="1" applyBorder="1" applyAlignment="1">
      <alignment horizontal="center" vertical="center" wrapText="1"/>
    </xf>
    <xf numFmtId="49" fontId="33" fillId="3" borderId="1" xfId="0" applyNumberFormat="1" applyFont="1" applyFill="1" applyBorder="1" applyAlignment="1">
      <alignment horizontal="center" vertical="center" wrapText="1"/>
    </xf>
    <xf numFmtId="186" fontId="33" fillId="3" borderId="1" xfId="0" applyNumberFormat="1" applyFont="1" applyFill="1" applyBorder="1" applyAlignment="1">
      <alignment horizontal="center" vertical="center" wrapText="1"/>
    </xf>
    <xf numFmtId="0" fontId="33" fillId="3" borderId="1" xfId="0" applyFont="1" applyFill="1" applyBorder="1" applyAlignment="1">
      <alignment horizontal="center" vertical="center" wrapText="1"/>
    </xf>
    <xf numFmtId="0" fontId="33" fillId="5" borderId="1" xfId="0" applyFont="1" applyFill="1" applyBorder="1" applyAlignment="1">
      <alignment horizontal="center" vertical="center" wrapText="1"/>
    </xf>
    <xf numFmtId="187" fontId="33" fillId="3" borderId="1" xfId="0" applyNumberFormat="1" applyFont="1" applyFill="1" applyBorder="1" applyAlignment="1">
      <alignment horizontal="center" vertical="center"/>
    </xf>
    <xf numFmtId="0" fontId="33" fillId="0" borderId="1" xfId="0" applyFont="1" applyFill="1" applyBorder="1" applyAlignment="1">
      <alignment horizontal="justify" vertical="center" wrapText="1"/>
    </xf>
    <xf numFmtId="0" fontId="47" fillId="3" borderId="1" xfId="0" applyFont="1" applyFill="1" applyBorder="1" applyAlignment="1">
      <alignment horizontal="center" vertical="center"/>
    </xf>
    <xf numFmtId="0" fontId="33" fillId="3" borderId="1" xfId="0" applyNumberFormat="1" applyFont="1" applyFill="1" applyBorder="1" applyAlignment="1">
      <alignment horizontal="center" vertical="center" shrinkToFit="1"/>
    </xf>
    <xf numFmtId="14" fontId="37" fillId="0" borderId="1" xfId="0" applyNumberFormat="1" applyFont="1" applyFill="1" applyBorder="1" applyAlignment="1">
      <alignment horizontal="center" vertical="center"/>
    </xf>
    <xf numFmtId="49" fontId="34" fillId="0" borderId="16" xfId="0" applyNumberFormat="1" applyFont="1" applyFill="1" applyBorder="1" applyAlignment="1">
      <alignment horizontal="center" vertical="center" wrapText="1"/>
    </xf>
    <xf numFmtId="0" fontId="50" fillId="0" borderId="16" xfId="0" applyFont="1" applyFill="1" applyBorder="1" applyAlignment="1">
      <alignment horizontal="center" vertical="center" wrapText="1"/>
    </xf>
    <xf numFmtId="0" fontId="50" fillId="0" borderId="16" xfId="0" applyFont="1" applyFill="1" applyBorder="1" applyAlignment="1">
      <alignment horizontal="center" vertical="center"/>
    </xf>
    <xf numFmtId="0" fontId="50" fillId="0" borderId="1" xfId="0" applyFont="1" applyFill="1" applyBorder="1" applyAlignment="1">
      <alignment horizontal="center" vertical="center" wrapText="1"/>
    </xf>
    <xf numFmtId="190" fontId="53" fillId="3" borderId="1" xfId="0" applyNumberFormat="1" applyFont="1" applyFill="1" applyBorder="1" applyAlignment="1">
      <alignment horizontal="center" vertical="center" wrapText="1" shrinkToFit="1"/>
    </xf>
    <xf numFmtId="14" fontId="34" fillId="0" borderId="1" xfId="0" applyNumberFormat="1" applyFont="1" applyFill="1" applyBorder="1" applyAlignment="1">
      <alignment horizontal="center" vertical="center"/>
    </xf>
    <xf numFmtId="190" fontId="34" fillId="3" borderId="1" xfId="0" applyNumberFormat="1" applyFont="1" applyFill="1" applyBorder="1" applyAlignment="1">
      <alignment horizontal="center" vertical="center" wrapText="1" shrinkToFit="1"/>
    </xf>
    <xf numFmtId="0" fontId="54" fillId="3" borderId="1" xfId="0" applyFont="1" applyFill="1" applyBorder="1" applyAlignment="1">
      <alignment horizontal="center" vertical="center" wrapText="1"/>
    </xf>
    <xf numFmtId="0" fontId="47" fillId="5" borderId="1" xfId="0" applyFont="1" applyFill="1" applyBorder="1" applyAlignment="1">
      <alignment horizontal="center" vertical="center" wrapText="1"/>
    </xf>
    <xf numFmtId="58" fontId="47" fillId="3" borderId="1" xfId="0" applyNumberFormat="1" applyFont="1" applyFill="1" applyBorder="1" applyAlignment="1">
      <alignment horizontal="center" vertical="center" wrapText="1"/>
    </xf>
    <xf numFmtId="190" fontId="51" fillId="3" borderId="1" xfId="0" applyNumberFormat="1" applyFont="1" applyFill="1" applyBorder="1" applyAlignment="1">
      <alignment horizontal="center" vertical="center" wrapText="1" shrinkToFit="1"/>
    </xf>
    <xf numFmtId="190" fontId="37" fillId="3" borderId="1" xfId="0" applyNumberFormat="1" applyFont="1" applyFill="1" applyBorder="1" applyAlignment="1">
      <alignment horizontal="center" vertical="center" wrapText="1" shrinkToFit="1"/>
    </xf>
    <xf numFmtId="191" fontId="33" fillId="3" borderId="1" xfId="0" applyNumberFormat="1" applyFont="1" applyFill="1" applyBorder="1" applyAlignment="1">
      <alignment horizontal="center" vertical="center" wrapText="1"/>
    </xf>
    <xf numFmtId="0" fontId="33" fillId="0" borderId="16" xfId="0" applyFont="1" applyFill="1" applyBorder="1" applyAlignment="1">
      <alignment horizontal="center" vertical="center" wrapText="1"/>
    </xf>
    <xf numFmtId="3" fontId="33" fillId="0" borderId="1" xfId="0" applyNumberFormat="1" applyFont="1" applyFill="1" applyBorder="1" applyAlignment="1">
      <alignment horizontal="center" vertical="center"/>
    </xf>
    <xf numFmtId="49" fontId="34" fillId="3" borderId="1" xfId="0" applyNumberFormat="1" applyFont="1" applyFill="1" applyBorder="1" applyAlignment="1">
      <alignment horizontal="center" vertical="center" wrapText="1"/>
    </xf>
    <xf numFmtId="0" fontId="33" fillId="3" borderId="1" xfId="0" applyFont="1" applyFill="1" applyBorder="1" applyAlignment="1">
      <alignment horizontal="center" vertical="center"/>
    </xf>
    <xf numFmtId="191" fontId="33" fillId="0" borderId="1" xfId="0" applyNumberFormat="1" applyFont="1" applyFill="1" applyBorder="1" applyAlignment="1">
      <alignment horizontal="center" vertical="center" wrapText="1"/>
    </xf>
    <xf numFmtId="0" fontId="33" fillId="3" borderId="1" xfId="0" applyFont="1" applyFill="1" applyBorder="1" applyAlignment="1">
      <alignment horizontal="justify" vertical="center" wrapText="1"/>
    </xf>
    <xf numFmtId="0" fontId="48" fillId="3" borderId="0" xfId="0" applyFont="1" applyFill="1" applyAlignment="1">
      <alignment horizontal="center" vertical="center"/>
    </xf>
    <xf numFmtId="0" fontId="50" fillId="3" borderId="16" xfId="0" applyFont="1" applyFill="1" applyBorder="1" applyAlignment="1">
      <alignment horizontal="center" vertical="center" wrapText="1"/>
    </xf>
    <xf numFmtId="0" fontId="50" fillId="3" borderId="1" xfId="0" applyFont="1" applyFill="1" applyBorder="1" applyAlignment="1">
      <alignment horizontal="center" vertical="center"/>
    </xf>
    <xf numFmtId="0" fontId="50" fillId="3" borderId="1" xfId="0" applyFont="1" applyFill="1" applyBorder="1" applyAlignment="1">
      <alignment horizontal="center" vertical="center" wrapText="1"/>
    </xf>
    <xf numFmtId="190" fontId="52" fillId="3" borderId="1" xfId="0" applyNumberFormat="1" applyFont="1" applyFill="1" applyBorder="1" applyAlignment="1">
      <alignment horizontal="center" vertical="center" wrapText="1" shrinkToFit="1"/>
    </xf>
    <xf numFmtId="49" fontId="34" fillId="0" borderId="0" xfId="0" applyNumberFormat="1" applyFont="1" applyFill="1" applyBorder="1" applyAlignment="1">
      <alignment horizontal="center" vertical="center" wrapText="1"/>
    </xf>
    <xf numFmtId="0" fontId="33" fillId="0" borderId="0" xfId="0" applyFont="1" applyFill="1" applyBorder="1" applyAlignment="1">
      <alignment horizontal="center" vertical="center" wrapText="1"/>
    </xf>
    <xf numFmtId="0" fontId="33" fillId="0" borderId="0" xfId="0" applyNumberFormat="1" applyFont="1" applyFill="1" applyBorder="1" applyAlignment="1">
      <alignment horizontal="center" vertical="center" shrinkToFit="1"/>
    </xf>
    <xf numFmtId="0" fontId="33" fillId="0" borderId="0" xfId="0" applyFont="1" applyFill="1" applyBorder="1" applyAlignment="1">
      <alignment horizontal="center" vertical="center"/>
    </xf>
    <xf numFmtId="190" fontId="34" fillId="0" borderId="0" xfId="0" applyNumberFormat="1" applyFont="1" applyFill="1" applyBorder="1" applyAlignment="1">
      <alignment horizontal="center" vertical="center" wrapText="1" shrinkToFit="1"/>
    </xf>
    <xf numFmtId="49" fontId="33" fillId="0" borderId="0" xfId="0" applyNumberFormat="1" applyFont="1" applyFill="1" applyBorder="1" applyAlignment="1">
      <alignment horizontal="center" vertical="center" wrapText="1"/>
    </xf>
    <xf numFmtId="186" fontId="33" fillId="0" borderId="0" xfId="0" applyNumberFormat="1" applyFont="1" applyFill="1" applyBorder="1" applyAlignment="1">
      <alignment horizontal="center" vertical="center" wrapText="1"/>
    </xf>
    <xf numFmtId="187" fontId="33" fillId="0" borderId="0" xfId="0" applyNumberFormat="1" applyFont="1" applyFill="1" applyBorder="1" applyAlignment="1">
      <alignment horizontal="center" vertical="center"/>
    </xf>
    <xf numFmtId="187" fontId="33" fillId="4" borderId="0" xfId="0" applyNumberFormat="1" applyFont="1" applyFill="1" applyBorder="1" applyAlignment="1">
      <alignment horizontal="center" vertical="center"/>
    </xf>
    <xf numFmtId="0" fontId="39" fillId="0" borderId="0" xfId="0" applyFont="1" applyFill="1" applyBorder="1" applyAlignment="1">
      <alignment horizontal="center" vertical="center"/>
    </xf>
    <xf numFmtId="0" fontId="50" fillId="0" borderId="0" xfId="0" applyFont="1" applyFill="1" applyAlignment="1">
      <alignment horizontal="center" vertical="center"/>
    </xf>
    <xf numFmtId="0" fontId="50" fillId="0" borderId="0" xfId="0" applyFont="1" applyFill="1">
      <alignment vertical="center"/>
    </xf>
    <xf numFmtId="0" fontId="52" fillId="0" borderId="0" xfId="0" applyFont="1" applyFill="1">
      <alignment vertical="center"/>
    </xf>
    <xf numFmtId="0" fontId="55" fillId="0" borderId="0" xfId="0" applyFont="1" applyFill="1">
      <alignment vertical="center"/>
    </xf>
    <xf numFmtId="0" fontId="56" fillId="0" borderId="0" xfId="0" applyFont="1" applyFill="1">
      <alignment vertical="center"/>
    </xf>
    <xf numFmtId="0" fontId="50" fillId="0" borderId="0" xfId="0" applyFont="1" applyFill="1" applyAlignment="1">
      <alignment horizontal="center" vertical="center" wrapText="1"/>
    </xf>
    <xf numFmtId="185" fontId="50" fillId="3" borderId="0" xfId="0" applyNumberFormat="1" applyFont="1" applyFill="1" applyAlignment="1">
      <alignment horizontal="center" vertical="center"/>
    </xf>
    <xf numFmtId="186" fontId="50" fillId="0" borderId="0" xfId="0" applyNumberFormat="1" applyFont="1" applyFill="1" applyAlignment="1">
      <alignment horizontal="center" vertical="center" wrapText="1"/>
    </xf>
    <xf numFmtId="0" fontId="57" fillId="0" borderId="0" xfId="0" applyFont="1" applyFill="1" applyAlignment="1">
      <alignment horizontal="center" vertical="center"/>
    </xf>
    <xf numFmtId="187" fontId="50" fillId="0" borderId="0" xfId="0" applyNumberFormat="1" applyFont="1" applyFill="1" applyAlignment="1">
      <alignment horizontal="center" vertical="center"/>
    </xf>
    <xf numFmtId="187" fontId="57" fillId="0" borderId="0" xfId="0" applyNumberFormat="1" applyFont="1" applyFill="1" applyAlignment="1">
      <alignment horizontal="center" vertical="center"/>
    </xf>
    <xf numFmtId="0" fontId="58" fillId="0" borderId="0" xfId="0" applyFont="1" applyFill="1" applyAlignment="1">
      <alignment horizontal="center" vertical="center"/>
    </xf>
    <xf numFmtId="0" fontId="57" fillId="0" borderId="0" xfId="0" applyFont="1" applyFill="1" applyAlignment="1">
      <alignment horizontal="center" vertical="center" wrapText="1"/>
    </xf>
    <xf numFmtId="0" fontId="57" fillId="0" borderId="0" xfId="0" applyFont="1" applyFill="1" applyAlignment="1">
      <alignment vertical="center"/>
    </xf>
    <xf numFmtId="58" fontId="57" fillId="0" borderId="0" xfId="0" applyNumberFormat="1" applyFont="1" applyFill="1" applyAlignment="1">
      <alignment vertical="center"/>
    </xf>
    <xf numFmtId="0" fontId="52" fillId="3" borderId="0" xfId="0" applyFont="1" applyFill="1">
      <alignment vertical="center"/>
    </xf>
    <xf numFmtId="0" fontId="57" fillId="0" borderId="0" xfId="0" applyFont="1" applyFill="1" applyAlignment="1">
      <alignment vertical="center" wrapText="1"/>
    </xf>
    <xf numFmtId="186" fontId="57" fillId="0" borderId="0" xfId="0" applyNumberFormat="1" applyFont="1" applyFill="1" applyAlignment="1">
      <alignment vertical="center" wrapText="1"/>
    </xf>
    <xf numFmtId="187" fontId="57" fillId="0" borderId="0" xfId="0" applyNumberFormat="1" applyFont="1" applyFill="1" applyBorder="1" applyAlignment="1">
      <alignment vertical="center"/>
    </xf>
    <xf numFmtId="187" fontId="57" fillId="0" borderId="0" xfId="0" applyNumberFormat="1" applyFont="1" applyFill="1" applyAlignment="1">
      <alignment vertical="center"/>
    </xf>
    <xf numFmtId="0" fontId="59" fillId="0" borderId="0" xfId="0" applyFont="1" applyFill="1" applyAlignment="1">
      <alignment horizontal="center" vertical="center"/>
    </xf>
    <xf numFmtId="0" fontId="1" fillId="0" borderId="0" xfId="0" applyFont="1" applyFill="1" applyBorder="1" applyAlignment="1">
      <alignment horizontal="center" vertical="center" wrapText="1"/>
    </xf>
    <xf numFmtId="188" fontId="1" fillId="0" borderId="0" xfId="0" applyNumberFormat="1" applyFont="1" applyFill="1" applyBorder="1" applyAlignment="1">
      <alignment horizontal="center" vertical="center"/>
    </xf>
    <xf numFmtId="0" fontId="1" fillId="0" borderId="0" xfId="0" applyFont="1" applyFill="1" applyAlignment="1">
      <alignment horizontal="center" vertical="center" wrapText="1"/>
    </xf>
    <xf numFmtId="185" fontId="57" fillId="3" borderId="0" xfId="0" applyNumberFormat="1" applyFont="1" applyFill="1" applyAlignment="1">
      <alignment horizontal="center" vertical="center"/>
    </xf>
    <xf numFmtId="186" fontId="57" fillId="0" borderId="0" xfId="0" applyNumberFormat="1" applyFont="1" applyFill="1" applyAlignment="1">
      <alignment horizontal="center" vertical="center" wrapText="1"/>
    </xf>
    <xf numFmtId="0" fontId="1" fillId="0" borderId="1" xfId="0" applyFont="1" applyFill="1" applyBorder="1" applyAlignment="1">
      <alignment horizontal="center" vertical="center" wrapText="1"/>
    </xf>
    <xf numFmtId="187" fontId="1" fillId="0" borderId="1" xfId="0" applyNumberFormat="1" applyFont="1" applyFill="1" applyBorder="1" applyAlignment="1">
      <alignment horizontal="center" vertical="center"/>
    </xf>
    <xf numFmtId="187" fontId="57" fillId="0" borderId="1" xfId="0" applyNumberFormat="1" applyFont="1" applyFill="1" applyBorder="1" applyAlignment="1">
      <alignment horizontal="center" vertical="center"/>
    </xf>
    <xf numFmtId="0" fontId="57" fillId="0" borderId="1" xfId="0" applyFont="1" applyFill="1" applyBorder="1" applyAlignment="1">
      <alignment horizontal="center" vertical="center" wrapText="1" shrinkToFit="1"/>
    </xf>
    <xf numFmtId="0" fontId="60" fillId="3" borderId="1" xfId="0" applyFont="1" applyFill="1" applyBorder="1" applyAlignment="1">
      <alignment horizontal="center" vertical="center" wrapText="1" shrinkToFit="1"/>
    </xf>
    <xf numFmtId="186" fontId="57" fillId="0" borderId="1" xfId="0" applyNumberFormat="1" applyFont="1" applyFill="1" applyBorder="1" applyAlignment="1">
      <alignment horizontal="center" vertical="center" wrapText="1" shrinkToFit="1"/>
    </xf>
    <xf numFmtId="0" fontId="57" fillId="3" borderId="1" xfId="0" applyFont="1" applyFill="1" applyBorder="1" applyAlignment="1">
      <alignment horizontal="center" vertical="center" wrapText="1" shrinkToFit="1"/>
    </xf>
    <xf numFmtId="0" fontId="61" fillId="0" borderId="1" xfId="0" applyFont="1" applyFill="1" applyBorder="1" applyAlignment="1">
      <alignment horizontal="center" vertical="center" wrapText="1" shrinkToFit="1"/>
    </xf>
    <xf numFmtId="0" fontId="61" fillId="3" borderId="1" xfId="0" applyFont="1" applyFill="1" applyBorder="1" applyAlignment="1">
      <alignment horizontal="center" vertical="center" wrapText="1" shrinkToFit="1"/>
    </xf>
    <xf numFmtId="0" fontId="1" fillId="0" borderId="1" xfId="0" applyFont="1" applyFill="1" applyBorder="1" applyAlignment="1">
      <alignment horizontal="center" vertical="center" wrapText="1" shrinkToFit="1"/>
    </xf>
    <xf numFmtId="0" fontId="1" fillId="3" borderId="1" xfId="0" applyFont="1" applyFill="1" applyBorder="1" applyAlignment="1">
      <alignment horizontal="center" vertical="center" wrapText="1" shrinkToFit="1"/>
    </xf>
    <xf numFmtId="187" fontId="61" fillId="0" borderId="1" xfId="0" applyNumberFormat="1" applyFont="1" applyFill="1" applyBorder="1" applyAlignment="1">
      <alignment horizontal="center" vertical="center" wrapText="1" shrinkToFit="1"/>
    </xf>
    <xf numFmtId="187" fontId="1" fillId="0" borderId="1" xfId="0" applyNumberFormat="1" applyFont="1" applyFill="1" applyBorder="1" applyAlignment="1">
      <alignment horizontal="center" vertical="center" wrapText="1" shrinkToFit="1"/>
    </xf>
    <xf numFmtId="187" fontId="61" fillId="3" borderId="1" xfId="0" applyNumberFormat="1" applyFont="1" applyFill="1" applyBorder="1" applyAlignment="1">
      <alignment horizontal="center" vertical="center" wrapText="1" shrinkToFit="1"/>
    </xf>
    <xf numFmtId="0" fontId="62" fillId="0" borderId="16" xfId="0" applyFont="1" applyFill="1" applyBorder="1" applyAlignment="1">
      <alignment horizontal="center" vertical="center" wrapText="1"/>
    </xf>
    <xf numFmtId="0" fontId="62" fillId="0" borderId="16" xfId="0" applyFont="1" applyFill="1" applyBorder="1" applyAlignment="1">
      <alignment horizontal="center" vertical="center"/>
    </xf>
    <xf numFmtId="0" fontId="62" fillId="0" borderId="1" xfId="0" applyFont="1" applyFill="1" applyBorder="1" applyAlignment="1">
      <alignment horizontal="center" vertical="center" wrapText="1"/>
    </xf>
    <xf numFmtId="0" fontId="62" fillId="0" borderId="1" xfId="0" applyFont="1" applyFill="1" applyBorder="1" applyAlignment="1">
      <alignment horizontal="center" vertical="center"/>
    </xf>
    <xf numFmtId="190" fontId="55" fillId="0" borderId="1" xfId="0" applyNumberFormat="1" applyFont="1" applyFill="1" applyBorder="1" applyAlignment="1">
      <alignment horizontal="center" vertical="center" wrapText="1" shrinkToFit="1"/>
    </xf>
    <xf numFmtId="190" fontId="55" fillId="3" borderId="1" xfId="0" applyNumberFormat="1" applyFont="1" applyFill="1" applyBorder="1" applyAlignment="1">
      <alignment horizontal="center" vertical="center" wrapText="1" shrinkToFit="1"/>
    </xf>
    <xf numFmtId="187" fontId="62" fillId="0" borderId="1" xfId="0" applyNumberFormat="1" applyFont="1" applyFill="1" applyBorder="1" applyAlignment="1">
      <alignment horizontal="center" vertical="center"/>
    </xf>
    <xf numFmtId="0" fontId="63" fillId="0" borderId="0" xfId="0" applyFont="1" applyFill="1" applyAlignment="1">
      <alignment horizontal="center" vertical="center"/>
    </xf>
    <xf numFmtId="190" fontId="64" fillId="0" borderId="1" xfId="0" applyNumberFormat="1" applyFont="1" applyFill="1" applyBorder="1" applyAlignment="1">
      <alignment horizontal="center" vertical="center" wrapText="1" shrinkToFit="1"/>
    </xf>
    <xf numFmtId="187" fontId="50" fillId="0" borderId="1" xfId="0" applyNumberFormat="1" applyFont="1" applyFill="1" applyBorder="1" applyAlignment="1">
      <alignment horizontal="center" vertical="center"/>
    </xf>
    <xf numFmtId="0" fontId="63" fillId="3" borderId="0" xfId="0" applyFont="1" applyFill="1" applyAlignment="1">
      <alignment horizontal="center" vertical="center"/>
    </xf>
    <xf numFmtId="190" fontId="65" fillId="0" borderId="1" xfId="0" applyNumberFormat="1" applyFont="1" applyFill="1" applyBorder="1" applyAlignment="1">
      <alignment horizontal="center" vertical="center" wrapText="1" shrinkToFit="1"/>
    </xf>
    <xf numFmtId="0" fontId="62" fillId="6" borderId="1" xfId="0" applyFont="1" applyFill="1" applyBorder="1" applyAlignment="1">
      <alignment horizontal="center" vertical="center"/>
    </xf>
    <xf numFmtId="190" fontId="65" fillId="3" borderId="1" xfId="0" applyNumberFormat="1" applyFont="1" applyFill="1" applyBorder="1" applyAlignment="1">
      <alignment horizontal="center" vertical="center" wrapText="1" shrinkToFit="1"/>
    </xf>
    <xf numFmtId="0" fontId="66" fillId="0" borderId="1" xfId="0" applyFont="1" applyFill="1" applyBorder="1" applyAlignment="1">
      <alignment horizontal="center" vertical="center"/>
    </xf>
    <xf numFmtId="190" fontId="67" fillId="3" borderId="1" xfId="0" applyNumberFormat="1" applyFont="1" applyFill="1" applyBorder="1" applyAlignment="1">
      <alignment horizontal="center" vertical="center" wrapText="1" shrinkToFit="1"/>
    </xf>
    <xf numFmtId="186" fontId="34" fillId="0" borderId="1" xfId="0" applyNumberFormat="1" applyFont="1" applyFill="1" applyBorder="1" applyAlignment="1">
      <alignment horizontal="center" vertical="center" wrapText="1"/>
    </xf>
    <xf numFmtId="0" fontId="68" fillId="0" borderId="1" xfId="0" applyFont="1" applyFill="1" applyBorder="1" applyAlignment="1">
      <alignment horizontal="center" vertical="center" wrapText="1"/>
    </xf>
    <xf numFmtId="0" fontId="54" fillId="0" borderId="1" xfId="0" applyFont="1" applyFill="1" applyBorder="1" applyAlignment="1">
      <alignment horizontal="center" vertical="center" wrapText="1"/>
    </xf>
    <xf numFmtId="187" fontId="50" fillId="4" borderId="1" xfId="0" applyNumberFormat="1" applyFont="1" applyFill="1" applyBorder="1" applyAlignment="1">
      <alignment horizontal="center" vertical="center"/>
    </xf>
    <xf numFmtId="187" fontId="69" fillId="0" borderId="1" xfId="0" applyNumberFormat="1" applyFont="1" applyFill="1" applyBorder="1" applyAlignment="1">
      <alignment horizontal="center" vertical="center"/>
    </xf>
    <xf numFmtId="0" fontId="52" fillId="0" borderId="16" xfId="0" applyNumberFormat="1" applyFont="1" applyFill="1" applyBorder="1" applyAlignment="1">
      <alignment horizontal="center" vertical="center" wrapText="1"/>
    </xf>
    <xf numFmtId="0" fontId="50" fillId="0" borderId="16" xfId="0" applyNumberFormat="1" applyFont="1" applyFill="1" applyBorder="1" applyAlignment="1">
      <alignment horizontal="center" vertical="center" shrinkToFit="1"/>
    </xf>
    <xf numFmtId="185" fontId="50" fillId="0" borderId="0" xfId="0" applyNumberFormat="1" applyFont="1" applyFill="1" applyAlignment="1">
      <alignment horizontal="center" vertical="center"/>
    </xf>
    <xf numFmtId="0" fontId="50" fillId="3" borderId="0" xfId="0" applyFont="1" applyFill="1" applyAlignment="1">
      <alignment horizontal="center" vertical="center"/>
    </xf>
    <xf numFmtId="187" fontId="70" fillId="0" borderId="0" xfId="0" applyNumberFormat="1" applyFont="1" applyFill="1" applyAlignment="1">
      <alignment horizontal="center" vertical="center" wrapText="1"/>
    </xf>
    <xf numFmtId="0" fontId="69" fillId="0" borderId="1" xfId="0" applyFont="1" applyFill="1" applyBorder="1" applyAlignment="1">
      <alignment horizontal="center" vertical="center"/>
    </xf>
    <xf numFmtId="0" fontId="69" fillId="0" borderId="0" xfId="0" applyFont="1" applyFill="1" applyAlignment="1">
      <alignment horizontal="center" vertical="center"/>
    </xf>
    <xf numFmtId="0" fontId="69" fillId="0" borderId="0" xfId="0" applyFont="1" applyFill="1" applyAlignment="1">
      <alignment horizontal="center" vertical="center" wrapText="1"/>
    </xf>
    <xf numFmtId="185" fontId="69" fillId="0" borderId="0" xfId="0" applyNumberFormat="1" applyFont="1" applyFill="1" applyAlignment="1">
      <alignment horizontal="center" vertical="center"/>
    </xf>
    <xf numFmtId="0" fontId="69" fillId="3" borderId="0" xfId="0" applyFont="1" applyFill="1" applyAlignment="1">
      <alignment horizontal="center" vertical="center"/>
    </xf>
    <xf numFmtId="186" fontId="69" fillId="0" borderId="0" xfId="0" applyNumberFormat="1" applyFont="1" applyFill="1" applyAlignment="1">
      <alignment horizontal="center" vertical="center" wrapText="1"/>
    </xf>
    <xf numFmtId="0" fontId="71" fillId="0" borderId="0" xfId="0" applyFont="1" applyFill="1" applyAlignment="1">
      <alignment horizontal="center" vertical="center"/>
    </xf>
    <xf numFmtId="187" fontId="69" fillId="0" borderId="0" xfId="0" applyNumberFormat="1" applyFont="1" applyFill="1" applyAlignment="1">
      <alignment horizontal="center" vertical="center"/>
    </xf>
    <xf numFmtId="187" fontId="71" fillId="0" borderId="0" xfId="0" applyNumberFormat="1" applyFont="1" applyFill="1" applyAlignment="1">
      <alignment horizontal="center" vertical="center"/>
    </xf>
    <xf numFmtId="0" fontId="72" fillId="0" borderId="0" xfId="0" applyFont="1" applyFill="1" applyAlignment="1">
      <alignment horizontal="center" vertical="center"/>
    </xf>
    <xf numFmtId="0" fontId="50" fillId="0" borderId="0" xfId="0" applyNumberFormat="1" applyFont="1" applyFill="1" applyAlignment="1">
      <alignment horizontal="center" vertical="center"/>
    </xf>
    <xf numFmtId="0" fontId="3" fillId="0" borderId="0" xfId="0" applyFont="1" applyFill="1" applyBorder="1" applyAlignment="1">
      <alignment horizontal="center" vertical="top" wrapText="1"/>
    </xf>
    <xf numFmtId="0" fontId="0" fillId="0" borderId="1" xfId="0" applyFont="1" applyFill="1" applyBorder="1" applyAlignment="1">
      <alignment vertical="center"/>
    </xf>
    <xf numFmtId="0" fontId="0" fillId="0" borderId="0" xfId="0" applyFont="1" applyFill="1" applyBorder="1" applyAlignment="1">
      <alignment vertical="center"/>
    </xf>
    <xf numFmtId="0" fontId="27" fillId="0" borderId="0" xfId="0" applyFont="1" applyFill="1" applyBorder="1" applyAlignment="1">
      <alignment vertical="center"/>
    </xf>
    <xf numFmtId="0" fontId="73" fillId="0" borderId="0" xfId="0" applyFont="1" applyFill="1" applyBorder="1" applyAlignment="1">
      <alignment vertical="center"/>
    </xf>
    <xf numFmtId="0" fontId="74" fillId="0" borderId="0" xfId="0" applyFont="1" applyFill="1" applyBorder="1" applyAlignment="1">
      <alignment vertical="center"/>
    </xf>
    <xf numFmtId="0" fontId="75" fillId="0" borderId="0" xfId="0" applyFont="1" applyFill="1" applyBorder="1" applyAlignment="1">
      <alignment vertical="center"/>
    </xf>
    <xf numFmtId="0" fontId="74" fillId="0" borderId="0" xfId="0" applyFont="1" applyFill="1" applyBorder="1" applyAlignment="1" applyProtection="1">
      <alignment vertical="center"/>
      <protection locked="0"/>
    </xf>
    <xf numFmtId="0" fontId="76" fillId="0" borderId="0" xfId="0" applyFont="1" applyFill="1" applyAlignment="1">
      <alignment vertical="center"/>
    </xf>
    <xf numFmtId="0" fontId="76" fillId="0" borderId="0" xfId="0" applyFont="1" applyFill="1" applyAlignment="1">
      <alignment horizontal="center" vertical="center"/>
    </xf>
    <xf numFmtId="0" fontId="77" fillId="0" borderId="1" xfId="0" applyFont="1" applyFill="1" applyBorder="1" applyAlignment="1">
      <alignment horizontal="center" vertical="top" wrapText="1" shrinkToFit="1"/>
    </xf>
    <xf numFmtId="186" fontId="77" fillId="0" borderId="1" xfId="0" applyNumberFormat="1" applyFont="1" applyFill="1" applyBorder="1" applyAlignment="1">
      <alignment horizontal="center" vertical="top" wrapText="1" shrinkToFit="1"/>
    </xf>
    <xf numFmtId="0" fontId="78" fillId="3" borderId="1" xfId="0" applyFont="1" applyFill="1" applyBorder="1" applyAlignment="1">
      <alignment horizontal="center" vertical="center" wrapText="1" shrinkToFit="1"/>
    </xf>
    <xf numFmtId="0" fontId="79" fillId="0" borderId="1" xfId="0" applyNumberFormat="1" applyFont="1" applyFill="1" applyBorder="1" applyAlignment="1">
      <alignment horizontal="center" vertical="top" wrapText="1" shrinkToFit="1"/>
    </xf>
    <xf numFmtId="185" fontId="77" fillId="0" borderId="1" xfId="0" applyNumberFormat="1" applyFont="1" applyFill="1" applyBorder="1" applyAlignment="1">
      <alignment horizontal="center" vertical="top" wrapText="1" shrinkToFit="1"/>
    </xf>
    <xf numFmtId="0" fontId="77" fillId="0" borderId="1" xfId="0" applyNumberFormat="1" applyFont="1" applyFill="1" applyBorder="1" applyAlignment="1">
      <alignment horizontal="center" vertical="top" wrapText="1" shrinkToFit="1"/>
    </xf>
    <xf numFmtId="0" fontId="77" fillId="0" borderId="6" xfId="0" applyNumberFormat="1" applyFont="1" applyFill="1" applyBorder="1" applyAlignment="1">
      <alignment horizontal="center" vertical="top" wrapText="1" shrinkToFit="1"/>
    </xf>
    <xf numFmtId="0" fontId="80" fillId="0" borderId="1" xfId="0" applyFont="1" applyFill="1" applyBorder="1" applyAlignment="1">
      <alignment horizontal="center" vertical="top" wrapText="1" shrinkToFit="1"/>
    </xf>
    <xf numFmtId="187" fontId="77" fillId="0" borderId="1" xfId="0" applyNumberFormat="1" applyFont="1" applyFill="1" applyBorder="1" applyAlignment="1">
      <alignment horizontal="center" vertical="top" wrapText="1" shrinkToFit="1"/>
    </xf>
    <xf numFmtId="187" fontId="80" fillId="0" borderId="1" xfId="0" applyNumberFormat="1" applyFont="1" applyFill="1" applyBorder="1" applyAlignment="1">
      <alignment horizontal="center" vertical="top" wrapText="1" shrinkToFit="1"/>
    </xf>
    <xf numFmtId="187" fontId="79" fillId="0" borderId="1" xfId="0" applyNumberFormat="1" applyFont="1" applyFill="1" applyBorder="1" applyAlignment="1">
      <alignment horizontal="center" vertical="top" wrapText="1" shrinkToFit="1"/>
    </xf>
    <xf numFmtId="0" fontId="3" fillId="0" borderId="1" xfId="0" applyFont="1" applyFill="1" applyBorder="1" applyAlignment="1">
      <alignment horizontal="center" vertical="top" wrapText="1"/>
    </xf>
    <xf numFmtId="0" fontId="3" fillId="0" borderId="7" xfId="0" applyFont="1" applyFill="1" applyBorder="1" applyAlignment="1">
      <alignment horizontal="center" vertical="top" wrapText="1"/>
    </xf>
    <xf numFmtId="190" fontId="81" fillId="0" borderId="1" xfId="0" applyNumberFormat="1" applyFont="1" applyFill="1" applyBorder="1" applyAlignment="1">
      <alignment horizontal="center" vertical="center" wrapText="1" shrinkToFit="1"/>
    </xf>
    <xf numFmtId="0" fontId="73" fillId="0" borderId="1" xfId="0" applyFont="1" applyFill="1" applyBorder="1" applyAlignment="1">
      <alignment horizontal="center" vertical="center" wrapText="1"/>
    </xf>
    <xf numFmtId="0" fontId="73" fillId="0" borderId="1" xfId="0" applyFont="1" applyFill="1" applyBorder="1" applyAlignment="1">
      <alignment horizontal="center" vertical="center"/>
    </xf>
    <xf numFmtId="0" fontId="82" fillId="0" borderId="1" xfId="0" applyFont="1" applyFill="1" applyBorder="1" applyAlignment="1">
      <alignment horizontal="center" vertical="center"/>
    </xf>
    <xf numFmtId="0" fontId="83" fillId="0" borderId="1" xfId="0" applyFont="1" applyFill="1" applyBorder="1" applyAlignment="1">
      <alignment horizontal="center" vertical="center"/>
    </xf>
    <xf numFmtId="190" fontId="31" fillId="0" borderId="1" xfId="0" applyNumberFormat="1" applyFont="1" applyFill="1" applyBorder="1" applyAlignment="1">
      <alignment horizontal="center" vertical="center" wrapText="1" shrinkToFit="1"/>
    </xf>
    <xf numFmtId="190" fontId="73" fillId="0" borderId="1" xfId="0" applyNumberFormat="1" applyFont="1" applyFill="1" applyBorder="1" applyAlignment="1">
      <alignment horizontal="center" vertical="center" wrapText="1" shrinkToFit="1"/>
    </xf>
    <xf numFmtId="186" fontId="73" fillId="0" borderId="1" xfId="0" applyNumberFormat="1" applyFont="1" applyFill="1" applyBorder="1" applyAlignment="1">
      <alignment horizontal="center" vertical="center" wrapText="1"/>
    </xf>
    <xf numFmtId="186" fontId="31" fillId="0" borderId="1" xfId="0" applyNumberFormat="1" applyFont="1" applyFill="1" applyBorder="1" applyAlignment="1">
      <alignment horizontal="center" vertical="center" wrapText="1"/>
    </xf>
    <xf numFmtId="192" fontId="31" fillId="0" borderId="1" xfId="0" applyNumberFormat="1" applyFont="1" applyFill="1" applyBorder="1" applyAlignment="1">
      <alignment horizontal="center" vertical="center" wrapText="1"/>
    </xf>
    <xf numFmtId="0" fontId="31" fillId="0" borderId="1" xfId="0" applyNumberFormat="1" applyFont="1" applyFill="1" applyBorder="1" applyAlignment="1">
      <alignment horizontal="left" vertical="center" wrapText="1"/>
    </xf>
    <xf numFmtId="189" fontId="83" fillId="0" borderId="1" xfId="0" applyNumberFormat="1" applyFont="1" applyFill="1" applyBorder="1" applyAlignment="1">
      <alignment horizontal="center" vertical="center"/>
    </xf>
    <xf numFmtId="185" fontId="83" fillId="0" borderId="1" xfId="0" applyNumberFormat="1" applyFont="1" applyFill="1" applyBorder="1" applyAlignment="1">
      <alignment horizontal="center" vertical="center"/>
    </xf>
    <xf numFmtId="0" fontId="83" fillId="0" borderId="1" xfId="0" applyNumberFormat="1" applyFont="1" applyFill="1" applyBorder="1" applyAlignment="1">
      <alignment horizontal="center" vertical="center"/>
    </xf>
    <xf numFmtId="187" fontId="83" fillId="0" borderId="1" xfId="0" applyNumberFormat="1" applyFont="1" applyFill="1" applyBorder="1" applyAlignment="1">
      <alignment horizontal="center" vertical="center" wrapText="1" shrinkToFit="1"/>
    </xf>
    <xf numFmtId="187" fontId="83" fillId="0" borderId="9" xfId="0" applyNumberFormat="1" applyFont="1" applyFill="1" applyBorder="1" applyAlignment="1">
      <alignment horizontal="center" vertical="center" wrapText="1" shrinkToFit="1"/>
    </xf>
    <xf numFmtId="187" fontId="82" fillId="0" borderId="1" xfId="0" applyNumberFormat="1" applyFont="1" applyFill="1" applyBorder="1" applyAlignment="1">
      <alignment horizontal="center" vertical="center"/>
    </xf>
    <xf numFmtId="187" fontId="83" fillId="0" borderId="1" xfId="0" applyNumberFormat="1" applyFont="1" applyFill="1" applyBorder="1" applyAlignment="1">
      <alignment horizontal="center" vertical="center"/>
    </xf>
    <xf numFmtId="190" fontId="81" fillId="0" borderId="16" xfId="0" applyNumberFormat="1" applyFont="1" applyFill="1" applyBorder="1" applyAlignment="1">
      <alignment horizontal="center" vertical="center" wrapText="1" shrinkToFit="1"/>
    </xf>
    <xf numFmtId="0" fontId="73" fillId="0" borderId="16" xfId="0" applyFont="1" applyFill="1" applyBorder="1" applyAlignment="1">
      <alignment horizontal="center" vertical="center" wrapText="1"/>
    </xf>
    <xf numFmtId="0" fontId="73" fillId="0" borderId="16" xfId="0" applyFont="1" applyFill="1" applyBorder="1" applyAlignment="1">
      <alignment horizontal="center" vertical="center"/>
    </xf>
    <xf numFmtId="192" fontId="73" fillId="0" borderId="1" xfId="0" applyNumberFormat="1" applyFont="1" applyFill="1" applyBorder="1" applyAlignment="1">
      <alignment horizontal="center" vertical="center" wrapText="1"/>
    </xf>
    <xf numFmtId="0" fontId="73" fillId="0" borderId="1" xfId="0" applyNumberFormat="1" applyFont="1" applyFill="1" applyBorder="1" applyAlignment="1">
      <alignment horizontal="center" vertical="center" wrapText="1"/>
    </xf>
    <xf numFmtId="189" fontId="82" fillId="0" borderId="1" xfId="0" applyNumberFormat="1" applyFont="1" applyFill="1" applyBorder="1" applyAlignment="1">
      <alignment horizontal="center" vertical="center"/>
    </xf>
    <xf numFmtId="185" fontId="82" fillId="0" borderId="1" xfId="0" applyNumberFormat="1" applyFont="1" applyFill="1" applyBorder="1" applyAlignment="1">
      <alignment horizontal="center" vertical="center"/>
    </xf>
    <xf numFmtId="0" fontId="82" fillId="0" borderId="1" xfId="0" applyNumberFormat="1" applyFont="1" applyFill="1" applyBorder="1" applyAlignment="1">
      <alignment horizontal="center" vertical="center"/>
    </xf>
    <xf numFmtId="187" fontId="82" fillId="0" borderId="1" xfId="0" applyNumberFormat="1" applyFont="1" applyFill="1" applyBorder="1" applyAlignment="1">
      <alignment horizontal="center" vertical="center" wrapText="1" shrinkToFit="1"/>
    </xf>
    <xf numFmtId="0" fontId="3" fillId="0" borderId="0" xfId="0" applyFont="1" applyFill="1" applyBorder="1" applyAlignment="1">
      <alignment horizontal="center" vertical="center"/>
    </xf>
    <xf numFmtId="190" fontId="81" fillId="0" borderId="1" xfId="0" applyNumberFormat="1" applyFont="1" applyFill="1" applyBorder="1" applyAlignment="1">
      <alignment horizontal="center" vertical="center" shrinkToFit="1"/>
    </xf>
    <xf numFmtId="0" fontId="84" fillId="0" borderId="1" xfId="0" applyNumberFormat="1" applyFont="1" applyFill="1" applyBorder="1" applyAlignment="1">
      <alignment horizontal="center" vertical="center" shrinkToFit="1"/>
    </xf>
    <xf numFmtId="0" fontId="85" fillId="0" borderId="1" xfId="0" applyFont="1" applyFill="1" applyBorder="1" applyAlignment="1">
      <alignment horizontal="center" vertical="center" wrapText="1"/>
    </xf>
    <xf numFmtId="0" fontId="27" fillId="0" borderId="0" xfId="0" applyFont="1" applyFill="1" applyBorder="1" applyAlignment="1">
      <alignment vertical="center" wrapText="1"/>
    </xf>
    <xf numFmtId="0" fontId="31" fillId="0" borderId="1" xfId="0" applyFont="1" applyFill="1" applyBorder="1" applyAlignment="1">
      <alignment horizontal="center" vertical="center" wrapText="1"/>
    </xf>
    <xf numFmtId="0" fontId="86" fillId="0" borderId="16" xfId="0" applyFont="1" applyFill="1" applyBorder="1" applyAlignment="1">
      <alignment horizontal="center" vertical="center"/>
    </xf>
    <xf numFmtId="0" fontId="81" fillId="0" borderId="16" xfId="0" applyNumberFormat="1" applyFont="1" applyFill="1" applyBorder="1" applyAlignment="1">
      <alignment horizontal="center" vertical="center" wrapText="1"/>
    </xf>
    <xf numFmtId="176" fontId="81" fillId="0" borderId="16" xfId="0" applyNumberFormat="1" applyFont="1" applyFill="1" applyBorder="1" applyAlignment="1">
      <alignment horizontal="center" vertical="center" wrapText="1"/>
    </xf>
    <xf numFmtId="0" fontId="81" fillId="0" borderId="16" xfId="0" applyNumberFormat="1" applyFont="1" applyFill="1" applyBorder="1" applyAlignment="1">
      <alignment horizontal="center" vertical="center"/>
    </xf>
    <xf numFmtId="0" fontId="31" fillId="0" borderId="16" xfId="0" applyNumberFormat="1" applyFont="1" applyFill="1" applyBorder="1" applyAlignment="1">
      <alignment horizontal="center" vertical="center" wrapText="1"/>
    </xf>
    <xf numFmtId="186" fontId="31" fillId="3" borderId="1" xfId="0" applyNumberFormat="1" applyFont="1" applyFill="1" applyBorder="1" applyAlignment="1">
      <alignment horizontal="center" vertical="center" wrapText="1"/>
    </xf>
    <xf numFmtId="192" fontId="31" fillId="0" borderId="9" xfId="0" applyNumberFormat="1" applyFont="1" applyFill="1" applyBorder="1" applyAlignment="1">
      <alignment horizontal="center" vertical="center" wrapText="1"/>
    </xf>
    <xf numFmtId="0" fontId="31" fillId="0" borderId="1" xfId="0" applyNumberFormat="1" applyFont="1" applyFill="1" applyBorder="1" applyAlignment="1">
      <alignment horizontal="center" vertical="center" wrapText="1"/>
    </xf>
    <xf numFmtId="193" fontId="82" fillId="0" borderId="1" xfId="0" applyNumberFormat="1" applyFont="1" applyFill="1" applyBorder="1" applyAlignment="1">
      <alignment horizontal="center" vertical="center"/>
    </xf>
    <xf numFmtId="0" fontId="82" fillId="0" borderId="1" xfId="0" applyFont="1" applyFill="1" applyBorder="1" applyAlignment="1">
      <alignment horizontal="center" vertical="center" wrapText="1"/>
    </xf>
    <xf numFmtId="0" fontId="73" fillId="0" borderId="1" xfId="0" applyFont="1" applyFill="1" applyBorder="1" applyAlignment="1">
      <alignment horizontal="center" vertical="center" wrapText="1" shrinkToFit="1"/>
    </xf>
    <xf numFmtId="0" fontId="82" fillId="0" borderId="1" xfId="0" applyNumberFormat="1" applyFont="1" applyFill="1" applyBorder="1" applyAlignment="1">
      <alignment horizontal="center" vertical="center" shrinkToFit="1"/>
    </xf>
    <xf numFmtId="49" fontId="73" fillId="0" borderId="1" xfId="0" applyNumberFormat="1" applyFont="1" applyFill="1" applyBorder="1" applyAlignment="1">
      <alignment horizontal="center" vertical="center" wrapText="1"/>
    </xf>
    <xf numFmtId="0" fontId="82" fillId="0" borderId="16" xfId="0" applyFont="1" applyFill="1" applyBorder="1" applyAlignment="1">
      <alignment horizontal="center" vertical="center"/>
    </xf>
    <xf numFmtId="187" fontId="83" fillId="0" borderId="6" xfId="0" applyNumberFormat="1" applyFont="1" applyFill="1" applyBorder="1" applyAlignment="1">
      <alignment horizontal="center" vertical="center"/>
    </xf>
    <xf numFmtId="186" fontId="73" fillId="0" borderId="0" xfId="0" applyNumberFormat="1" applyFont="1" applyFill="1" applyBorder="1" applyAlignment="1">
      <alignment horizontal="center" vertical="center" wrapText="1"/>
    </xf>
    <xf numFmtId="187" fontId="82" fillId="0" borderId="6" xfId="0" applyNumberFormat="1" applyFont="1" applyFill="1" applyBorder="1" applyAlignment="1">
      <alignment horizontal="center" vertical="center"/>
    </xf>
    <xf numFmtId="186" fontId="73" fillId="3" borderId="1" xfId="0" applyNumberFormat="1" applyFont="1" applyFill="1" applyBorder="1" applyAlignment="1">
      <alignment horizontal="center" vertical="center" wrapText="1"/>
    </xf>
    <xf numFmtId="193" fontId="83" fillId="0" borderId="1" xfId="0" applyNumberFormat="1" applyFont="1" applyFill="1" applyBorder="1" applyAlignment="1">
      <alignment horizontal="center" vertical="center"/>
    </xf>
    <xf numFmtId="0" fontId="83" fillId="0" borderId="1" xfId="0" applyFont="1" applyFill="1" applyBorder="1" applyAlignment="1">
      <alignment horizontal="center" vertical="center" wrapText="1"/>
    </xf>
    <xf numFmtId="0" fontId="83" fillId="0" borderId="1" xfId="0" applyNumberFormat="1" applyFont="1" applyFill="1" applyBorder="1" applyAlignment="1">
      <alignment horizontal="center" vertical="center" shrinkToFit="1"/>
    </xf>
    <xf numFmtId="49" fontId="31" fillId="0" borderId="1" xfId="0" applyNumberFormat="1" applyFont="1" applyFill="1" applyBorder="1" applyAlignment="1">
      <alignment horizontal="center" vertical="center" wrapText="1"/>
    </xf>
    <xf numFmtId="0" fontId="83" fillId="0" borderId="1" xfId="0" applyFont="1" applyFill="1" applyBorder="1" applyAlignment="1">
      <alignment horizontal="center" vertical="center" wrapText="1" shrinkToFit="1"/>
    </xf>
    <xf numFmtId="186" fontId="87" fillId="0" borderId="1" xfId="0" applyNumberFormat="1" applyFont="1" applyFill="1" applyBorder="1" applyAlignment="1">
      <alignment horizontal="center" vertical="center" wrapText="1"/>
    </xf>
    <xf numFmtId="0" fontId="0" fillId="0" borderId="1" xfId="0" applyFont="1" applyFill="1" applyBorder="1" applyAlignment="1">
      <alignment horizontal="center" vertical="center"/>
    </xf>
    <xf numFmtId="0" fontId="88" fillId="0" borderId="1" xfId="0" applyFont="1" applyFill="1" applyBorder="1" applyAlignment="1">
      <alignment horizontal="center" vertical="center" wrapText="1"/>
    </xf>
    <xf numFmtId="0" fontId="89" fillId="0" borderId="1" xfId="0" applyFont="1" applyFill="1" applyBorder="1" applyAlignment="1">
      <alignment horizontal="center" vertical="center"/>
    </xf>
    <xf numFmtId="0" fontId="82" fillId="0" borderId="1" xfId="0" applyNumberFormat="1" applyFont="1" applyFill="1" applyBorder="1" applyAlignment="1">
      <alignment horizontal="center" vertical="center" wrapText="1" shrinkToFit="1"/>
    </xf>
    <xf numFmtId="0" fontId="73" fillId="0" borderId="1" xfId="0" applyNumberFormat="1" applyFont="1" applyFill="1" applyBorder="1" applyAlignment="1">
      <alignment vertical="center" wrapText="1"/>
    </xf>
    <xf numFmtId="0" fontId="31" fillId="0" borderId="1" xfId="0" applyNumberFormat="1" applyFont="1" applyFill="1" applyBorder="1" applyAlignment="1">
      <alignment vertical="center" wrapText="1"/>
    </xf>
    <xf numFmtId="186" fontId="74" fillId="0" borderId="1" xfId="0" applyNumberFormat="1" applyFont="1" applyFill="1" applyBorder="1" applyAlignment="1">
      <alignment horizontal="center" vertical="center" wrapText="1"/>
    </xf>
    <xf numFmtId="0" fontId="82" fillId="3" borderId="1" xfId="0" applyNumberFormat="1" applyFont="1" applyFill="1" applyBorder="1" applyAlignment="1">
      <alignment horizontal="center" vertical="center"/>
    </xf>
    <xf numFmtId="187" fontId="82" fillId="3" borderId="1" xfId="0" applyNumberFormat="1" applyFont="1" applyFill="1" applyBorder="1" applyAlignment="1">
      <alignment horizontal="center" vertical="center" wrapText="1" shrinkToFit="1"/>
    </xf>
    <xf numFmtId="190" fontId="73" fillId="0" borderId="16" xfId="0" applyNumberFormat="1" applyFont="1" applyFill="1" applyBorder="1" applyAlignment="1">
      <alignment horizontal="center" vertical="center" wrapText="1" shrinkToFit="1"/>
    </xf>
    <xf numFmtId="0" fontId="82" fillId="0" borderId="1" xfId="0" applyFont="1" applyFill="1" applyBorder="1" applyAlignment="1">
      <alignment horizontal="center" vertical="center" wrapText="1" shrinkToFit="1"/>
    </xf>
    <xf numFmtId="186" fontId="74" fillId="3" borderId="1" xfId="0" applyNumberFormat="1" applyFont="1" applyFill="1" applyBorder="1" applyAlignment="1">
      <alignment horizontal="center" vertical="center" wrapText="1"/>
    </xf>
    <xf numFmtId="187" fontId="82" fillId="0" borderId="6" xfId="0" applyNumberFormat="1" applyFont="1" applyFill="1" applyBorder="1" applyAlignment="1">
      <alignment horizontal="center" vertical="center" wrapText="1" shrinkToFit="1"/>
    </xf>
    <xf numFmtId="187" fontId="82" fillId="0" borderId="19" xfId="0" applyNumberFormat="1" applyFont="1" applyFill="1" applyBorder="1" applyAlignment="1">
      <alignment horizontal="center" vertical="center" wrapText="1" shrinkToFit="1"/>
    </xf>
    <xf numFmtId="187" fontId="82" fillId="0" borderId="20" xfId="0" applyNumberFormat="1" applyFont="1" applyFill="1" applyBorder="1" applyAlignment="1">
      <alignment horizontal="center" vertical="center" wrapText="1" shrinkToFit="1"/>
    </xf>
    <xf numFmtId="187" fontId="82" fillId="0" borderId="7" xfId="0" applyNumberFormat="1" applyFont="1" applyFill="1" applyBorder="1" applyAlignment="1">
      <alignment horizontal="center" vertical="center" wrapText="1" shrinkToFit="1"/>
    </xf>
    <xf numFmtId="0" fontId="82" fillId="0" borderId="0" xfId="0" applyFont="1" applyFill="1" applyBorder="1" applyAlignment="1">
      <alignment horizontal="center" vertical="center"/>
    </xf>
    <xf numFmtId="190" fontId="74" fillId="0" borderId="16" xfId="0" applyNumberFormat="1" applyFont="1" applyFill="1" applyBorder="1" applyAlignment="1">
      <alignment horizontal="center" vertical="center" wrapText="1" shrinkToFit="1"/>
    </xf>
    <xf numFmtId="0" fontId="90" fillId="0" borderId="1" xfId="0" applyFont="1" applyFill="1" applyBorder="1" applyAlignment="1">
      <alignment horizontal="center" vertical="center" wrapText="1"/>
    </xf>
    <xf numFmtId="0" fontId="74" fillId="0" borderId="1" xfId="0" applyFont="1" applyFill="1" applyBorder="1" applyAlignment="1">
      <alignment horizontal="center" vertical="center" wrapText="1" shrinkToFit="1"/>
    </xf>
    <xf numFmtId="0" fontId="90" fillId="0" borderId="1" xfId="0" applyNumberFormat="1" applyFont="1" applyFill="1" applyBorder="1" applyAlignment="1">
      <alignment horizontal="center" vertical="center" shrinkToFit="1"/>
    </xf>
    <xf numFmtId="49" fontId="74" fillId="0" borderId="1" xfId="0" applyNumberFormat="1" applyFont="1" applyFill="1" applyBorder="1" applyAlignment="1">
      <alignment horizontal="center" vertical="center" wrapText="1"/>
    </xf>
    <xf numFmtId="0" fontId="90" fillId="0" borderId="1" xfId="0" applyNumberFormat="1" applyFont="1" applyFill="1" applyBorder="1" applyAlignment="1">
      <alignment horizontal="center" vertical="center" wrapText="1" shrinkToFit="1"/>
    </xf>
    <xf numFmtId="0" fontId="90" fillId="0" borderId="1" xfId="0" applyFont="1" applyFill="1" applyBorder="1" applyAlignment="1">
      <alignment horizontal="center" vertical="center" wrapText="1" shrinkToFit="1"/>
    </xf>
    <xf numFmtId="0" fontId="74" fillId="0" borderId="1" xfId="0" applyFont="1" applyFill="1" applyBorder="1" applyAlignment="1">
      <alignment horizontal="center" vertical="center" wrapText="1"/>
    </xf>
    <xf numFmtId="0" fontId="90" fillId="0" borderId="1" xfId="0" applyFont="1" applyFill="1" applyBorder="1" applyAlignment="1">
      <alignment horizontal="center" vertical="center"/>
    </xf>
    <xf numFmtId="190" fontId="74" fillId="0" borderId="1" xfId="0" applyNumberFormat="1" applyFont="1" applyFill="1" applyBorder="1" applyAlignment="1">
      <alignment horizontal="center" vertical="center" wrapText="1" shrinkToFit="1"/>
    </xf>
    <xf numFmtId="192" fontId="74" fillId="0" borderId="1" xfId="0" applyNumberFormat="1" applyFont="1" applyFill="1" applyBorder="1" applyAlignment="1">
      <alignment horizontal="center" vertical="center" wrapText="1"/>
    </xf>
    <xf numFmtId="0" fontId="74" fillId="0" borderId="1" xfId="0" applyFont="1" applyFill="1" applyBorder="1" applyAlignment="1">
      <alignment vertical="center" wrapText="1"/>
    </xf>
    <xf numFmtId="189" fontId="90" fillId="0" borderId="1" xfId="0" applyNumberFormat="1" applyFont="1" applyFill="1" applyBorder="1" applyAlignment="1">
      <alignment horizontal="center" vertical="center"/>
    </xf>
    <xf numFmtId="185" fontId="90" fillId="0" borderId="1" xfId="0" applyNumberFormat="1" applyFont="1" applyFill="1" applyBorder="1" applyAlignment="1">
      <alignment horizontal="center" vertical="center"/>
    </xf>
    <xf numFmtId="0" fontId="90" fillId="0" borderId="1" xfId="0" applyNumberFormat="1" applyFont="1" applyFill="1" applyBorder="1" applyAlignment="1">
      <alignment horizontal="center" vertical="center"/>
    </xf>
    <xf numFmtId="187" fontId="90" fillId="0" borderId="1" xfId="0" applyNumberFormat="1" applyFont="1" applyFill="1" applyBorder="1" applyAlignment="1">
      <alignment horizontal="center" vertical="center" wrapText="1" shrinkToFit="1"/>
    </xf>
    <xf numFmtId="187" fontId="90" fillId="0" borderId="6" xfId="0" applyNumberFormat="1" applyFont="1" applyFill="1" applyBorder="1" applyAlignment="1">
      <alignment horizontal="center" vertical="center" wrapText="1" shrinkToFit="1"/>
    </xf>
    <xf numFmtId="187" fontId="90" fillId="0" borderId="19" xfId="0" applyNumberFormat="1" applyFont="1" applyFill="1" applyBorder="1" applyAlignment="1">
      <alignment horizontal="center" vertical="center" wrapText="1" shrinkToFit="1"/>
    </xf>
    <xf numFmtId="187" fontId="90" fillId="0" borderId="20" xfId="0" applyNumberFormat="1" applyFont="1" applyFill="1" applyBorder="1" applyAlignment="1">
      <alignment horizontal="center" vertical="center" wrapText="1" shrinkToFit="1"/>
    </xf>
    <xf numFmtId="187" fontId="90" fillId="0" borderId="7" xfId="0" applyNumberFormat="1" applyFont="1" applyFill="1" applyBorder="1" applyAlignment="1">
      <alignment horizontal="center" vertical="center" wrapText="1" shrinkToFit="1"/>
    </xf>
    <xf numFmtId="187" fontId="90" fillId="0" borderId="1" xfId="0" applyNumberFormat="1" applyFont="1" applyFill="1" applyBorder="1" applyAlignment="1">
      <alignment horizontal="center" vertical="center"/>
    </xf>
    <xf numFmtId="0" fontId="90" fillId="0" borderId="0" xfId="0" applyFont="1" applyFill="1" applyBorder="1" applyAlignment="1">
      <alignment horizontal="center" vertical="center"/>
    </xf>
    <xf numFmtId="187" fontId="82" fillId="4" borderId="1" xfId="0" applyNumberFormat="1" applyFont="1" applyFill="1" applyBorder="1" applyAlignment="1">
      <alignment horizontal="center" vertical="center" wrapText="1" shrinkToFit="1"/>
    </xf>
    <xf numFmtId="187" fontId="82" fillId="4" borderId="19" xfId="0" applyNumberFormat="1" applyFont="1" applyFill="1" applyBorder="1" applyAlignment="1">
      <alignment horizontal="center" vertical="center" wrapText="1" shrinkToFit="1"/>
    </xf>
    <xf numFmtId="187" fontId="82" fillId="4" borderId="20" xfId="0" applyNumberFormat="1" applyFont="1" applyFill="1" applyBorder="1" applyAlignment="1">
      <alignment horizontal="center" vertical="center" wrapText="1" shrinkToFit="1"/>
    </xf>
    <xf numFmtId="187" fontId="82" fillId="4" borderId="1" xfId="0" applyNumberFormat="1" applyFont="1" applyFill="1" applyBorder="1" applyAlignment="1">
      <alignment horizontal="center" vertical="center"/>
    </xf>
    <xf numFmtId="187" fontId="91" fillId="0" borderId="1" xfId="0" applyNumberFormat="1" applyFont="1" applyFill="1" applyBorder="1" applyAlignment="1">
      <alignment horizontal="center" vertical="center"/>
    </xf>
    <xf numFmtId="0" fontId="73" fillId="0" borderId="1" xfId="0" applyFont="1" applyFill="1" applyBorder="1" applyAlignment="1">
      <alignment vertical="center" wrapText="1"/>
    </xf>
    <xf numFmtId="190" fontId="75" fillId="0" borderId="16" xfId="0" applyNumberFormat="1" applyFont="1" applyFill="1" applyBorder="1" applyAlignment="1">
      <alignment horizontal="center" vertical="center" wrapText="1" shrinkToFit="1"/>
    </xf>
    <xf numFmtId="0" fontId="92" fillId="0" borderId="1" xfId="0" applyFont="1" applyFill="1" applyBorder="1" applyAlignment="1">
      <alignment horizontal="center" vertical="center" wrapText="1"/>
    </xf>
    <xf numFmtId="0" fontId="75" fillId="0" borderId="1" xfId="0" applyFont="1" applyFill="1" applyBorder="1" applyAlignment="1">
      <alignment horizontal="center" vertical="center" wrapText="1" shrinkToFit="1"/>
    </xf>
    <xf numFmtId="0" fontId="92" fillId="0" borderId="1" xfId="0" applyNumberFormat="1" applyFont="1" applyFill="1" applyBorder="1" applyAlignment="1">
      <alignment horizontal="center" vertical="center" shrinkToFit="1"/>
    </xf>
    <xf numFmtId="0" fontId="75" fillId="0" borderId="1" xfId="0" applyNumberFormat="1" applyFont="1" applyFill="1" applyBorder="1" applyAlignment="1">
      <alignment horizontal="center" vertical="center" wrapText="1"/>
    </xf>
    <xf numFmtId="0" fontId="92" fillId="0" borderId="1" xfId="0" applyFont="1" applyFill="1" applyBorder="1" applyAlignment="1">
      <alignment horizontal="center" vertical="center" wrapText="1" shrinkToFit="1"/>
    </xf>
    <xf numFmtId="0" fontId="75" fillId="0" borderId="1" xfId="0" applyFont="1" applyFill="1" applyBorder="1" applyAlignment="1">
      <alignment horizontal="center" vertical="center" wrapText="1"/>
    </xf>
    <xf numFmtId="0" fontId="92" fillId="0" borderId="1" xfId="0" applyFont="1" applyFill="1" applyBorder="1" applyAlignment="1">
      <alignment horizontal="center" vertical="center"/>
    </xf>
    <xf numFmtId="190" fontId="75" fillId="0" borderId="1" xfId="0" applyNumberFormat="1" applyFont="1" applyFill="1" applyBorder="1" applyAlignment="1">
      <alignment horizontal="center" vertical="center" wrapText="1" shrinkToFit="1"/>
    </xf>
    <xf numFmtId="186" fontId="75" fillId="0" borderId="1" xfId="0" applyNumberFormat="1" applyFont="1" applyFill="1" applyBorder="1" applyAlignment="1">
      <alignment horizontal="center" vertical="center" wrapText="1"/>
    </xf>
    <xf numFmtId="192" fontId="75" fillId="0" borderId="1" xfId="0" applyNumberFormat="1" applyFont="1" applyFill="1" applyBorder="1" applyAlignment="1">
      <alignment horizontal="center" vertical="center" wrapText="1"/>
    </xf>
    <xf numFmtId="0" fontId="75" fillId="0" borderId="0" xfId="0" applyFont="1" applyFill="1" applyAlignment="1">
      <alignment vertical="center" wrapText="1"/>
    </xf>
    <xf numFmtId="189" fontId="92" fillId="0" borderId="1" xfId="0" applyNumberFormat="1" applyFont="1" applyFill="1" applyBorder="1" applyAlignment="1">
      <alignment horizontal="center" vertical="center"/>
    </xf>
    <xf numFmtId="185" fontId="92" fillId="0" borderId="1" xfId="0" applyNumberFormat="1" applyFont="1" applyFill="1" applyBorder="1" applyAlignment="1">
      <alignment horizontal="center" vertical="center"/>
    </xf>
    <xf numFmtId="0" fontId="92" fillId="4" borderId="1" xfId="0" applyNumberFormat="1" applyFont="1" applyFill="1" applyBorder="1" applyAlignment="1">
      <alignment horizontal="center" vertical="center"/>
    </xf>
    <xf numFmtId="0" fontId="92" fillId="0" borderId="1" xfId="0" applyNumberFormat="1" applyFont="1" applyFill="1" applyBorder="1" applyAlignment="1">
      <alignment horizontal="center" vertical="center"/>
    </xf>
    <xf numFmtId="187" fontId="92" fillId="4" borderId="6" xfId="0" applyNumberFormat="1" applyFont="1" applyFill="1" applyBorder="1" applyAlignment="1">
      <alignment horizontal="center" vertical="center" wrapText="1" shrinkToFit="1"/>
    </xf>
    <xf numFmtId="187" fontId="92" fillId="0" borderId="1" xfId="0" applyNumberFormat="1" applyFont="1" applyFill="1" applyBorder="1" applyAlignment="1">
      <alignment horizontal="center" vertical="center" wrapText="1" shrinkToFit="1"/>
    </xf>
    <xf numFmtId="187" fontId="92" fillId="0" borderId="6" xfId="0" applyNumberFormat="1" applyFont="1" applyFill="1" applyBorder="1" applyAlignment="1">
      <alignment horizontal="center" vertical="center" wrapText="1" shrinkToFit="1"/>
    </xf>
    <xf numFmtId="187" fontId="92" fillId="4" borderId="7" xfId="0" applyNumberFormat="1" applyFont="1" applyFill="1" applyBorder="1" applyAlignment="1">
      <alignment horizontal="center" vertical="center" wrapText="1" shrinkToFit="1"/>
    </xf>
    <xf numFmtId="187" fontId="92" fillId="4" borderId="1" xfId="0" applyNumberFormat="1" applyFont="1" applyFill="1" applyBorder="1" applyAlignment="1">
      <alignment horizontal="center" vertical="center" wrapText="1" shrinkToFit="1"/>
    </xf>
    <xf numFmtId="187" fontId="92" fillId="0" borderId="7" xfId="0" applyNumberFormat="1" applyFont="1" applyFill="1" applyBorder="1" applyAlignment="1">
      <alignment horizontal="center" vertical="center" wrapText="1" shrinkToFit="1"/>
    </xf>
    <xf numFmtId="187" fontId="92" fillId="0" borderId="1" xfId="0" applyNumberFormat="1" applyFont="1" applyFill="1" applyBorder="1" applyAlignment="1">
      <alignment horizontal="center" vertical="center"/>
    </xf>
    <xf numFmtId="0" fontId="92" fillId="0" borderId="0" xfId="0" applyFont="1" applyFill="1" applyBorder="1" applyAlignment="1">
      <alignment horizontal="center" vertical="center"/>
    </xf>
    <xf numFmtId="0" fontId="74" fillId="0" borderId="1" xfId="0" applyNumberFormat="1" applyFont="1" applyFill="1" applyBorder="1" applyAlignment="1">
      <alignment horizontal="center" vertical="center" wrapText="1"/>
    </xf>
    <xf numFmtId="186" fontId="93" fillId="0" borderId="1" xfId="0" applyNumberFormat="1" applyFont="1" applyFill="1" applyBorder="1" applyAlignment="1">
      <alignment horizontal="center" vertical="center" wrapText="1"/>
    </xf>
    <xf numFmtId="0" fontId="90" fillId="4" borderId="1" xfId="0" applyNumberFormat="1" applyFont="1" applyFill="1" applyBorder="1" applyAlignment="1">
      <alignment horizontal="center" vertical="center"/>
    </xf>
    <xf numFmtId="187" fontId="90" fillId="4" borderId="1" xfId="0" applyNumberFormat="1" applyFont="1" applyFill="1" applyBorder="1" applyAlignment="1">
      <alignment horizontal="center" vertical="center" wrapText="1" shrinkToFit="1"/>
    </xf>
    <xf numFmtId="187" fontId="90" fillId="4" borderId="19" xfId="0" applyNumberFormat="1" applyFont="1" applyFill="1" applyBorder="1" applyAlignment="1">
      <alignment horizontal="center" vertical="center" wrapText="1" shrinkToFit="1"/>
    </xf>
    <xf numFmtId="187" fontId="90" fillId="4" borderId="20" xfId="0" applyNumberFormat="1" applyFont="1" applyFill="1" applyBorder="1" applyAlignment="1">
      <alignment horizontal="center" vertical="center" wrapText="1" shrinkToFit="1"/>
    </xf>
    <xf numFmtId="193" fontId="82" fillId="0" borderId="16" xfId="0" applyNumberFormat="1" applyFont="1" applyFill="1" applyBorder="1" applyAlignment="1">
      <alignment horizontal="center" vertical="center"/>
    </xf>
    <xf numFmtId="0" fontId="90" fillId="3" borderId="1" xfId="0" applyNumberFormat="1" applyFont="1" applyFill="1" applyBorder="1" applyAlignment="1">
      <alignment horizontal="center" vertical="center" shrinkToFit="1"/>
    </xf>
    <xf numFmtId="190" fontId="73" fillId="3" borderId="1" xfId="0" applyNumberFormat="1" applyFont="1" applyFill="1" applyBorder="1" applyAlignment="1">
      <alignment horizontal="center" vertical="center" wrapText="1" shrinkToFit="1"/>
    </xf>
    <xf numFmtId="0" fontId="73" fillId="4" borderId="1" xfId="0" applyFont="1" applyFill="1" applyBorder="1" applyAlignment="1">
      <alignment vertical="center" wrapText="1"/>
    </xf>
    <xf numFmtId="187" fontId="91" fillId="0" borderId="6" xfId="0" applyNumberFormat="1" applyFont="1" applyFill="1" applyBorder="1" applyAlignment="1">
      <alignment horizontal="center" vertical="center" wrapText="1" shrinkToFit="1"/>
    </xf>
    <xf numFmtId="187" fontId="91" fillId="0" borderId="19" xfId="0" applyNumberFormat="1" applyFont="1" applyFill="1" applyBorder="1" applyAlignment="1">
      <alignment horizontal="center" vertical="center" wrapText="1" shrinkToFit="1"/>
    </xf>
    <xf numFmtId="187" fontId="91" fillId="0" borderId="1" xfId="0" applyNumberFormat="1" applyFont="1" applyFill="1" applyBorder="1" applyAlignment="1">
      <alignment horizontal="center" vertical="center" wrapText="1" shrinkToFit="1"/>
    </xf>
    <xf numFmtId="187" fontId="91" fillId="0" borderId="20" xfId="0" applyNumberFormat="1" applyFont="1" applyFill="1" applyBorder="1" applyAlignment="1">
      <alignment horizontal="center" vertical="center" wrapText="1" shrinkToFit="1"/>
    </xf>
    <xf numFmtId="0" fontId="91" fillId="0" borderId="1" xfId="0" applyNumberFormat="1" applyFont="1" applyFill="1" applyBorder="1" applyAlignment="1">
      <alignment horizontal="center" vertical="center"/>
    </xf>
    <xf numFmtId="193" fontId="90" fillId="0" borderId="16" xfId="0" applyNumberFormat="1" applyFont="1" applyFill="1" applyBorder="1" applyAlignment="1">
      <alignment horizontal="center" vertical="center"/>
    </xf>
    <xf numFmtId="0" fontId="82" fillId="4" borderId="1" xfId="0" applyNumberFormat="1" applyFont="1" applyFill="1" applyBorder="1" applyAlignment="1">
      <alignment horizontal="center" vertical="center"/>
    </xf>
    <xf numFmtId="190" fontId="74" fillId="0" borderId="16" xfId="0" applyNumberFormat="1" applyFont="1" applyFill="1" applyBorder="1" applyAlignment="1" applyProtection="1">
      <alignment horizontal="center" vertical="center" wrapText="1" shrinkToFit="1"/>
    </xf>
    <xf numFmtId="0" fontId="90" fillId="0" borderId="1" xfId="0" applyFont="1" applyFill="1" applyBorder="1" applyAlignment="1" applyProtection="1">
      <alignment horizontal="center" vertical="center" wrapText="1"/>
      <protection locked="0"/>
    </xf>
    <xf numFmtId="0" fontId="74" fillId="0" borderId="1" xfId="0" applyFont="1" applyFill="1" applyBorder="1" applyAlignment="1" applyProtection="1">
      <alignment horizontal="center" vertical="center" wrapText="1" shrinkToFit="1"/>
      <protection locked="0"/>
    </xf>
    <xf numFmtId="0" fontId="90" fillId="0" borderId="1" xfId="0" applyNumberFormat="1" applyFont="1" applyFill="1" applyBorder="1" applyAlignment="1" applyProtection="1">
      <alignment horizontal="center" vertical="center" shrinkToFit="1"/>
      <protection locked="0"/>
    </xf>
    <xf numFmtId="0" fontId="74" fillId="0" borderId="1" xfId="0" applyNumberFormat="1" applyFont="1" applyFill="1" applyBorder="1" applyAlignment="1" applyProtection="1">
      <alignment horizontal="center" vertical="center" wrapText="1"/>
      <protection locked="0"/>
    </xf>
    <xf numFmtId="0" fontId="90" fillId="0" borderId="1" xfId="0" applyFont="1" applyFill="1" applyBorder="1" applyAlignment="1" applyProtection="1">
      <alignment horizontal="center" vertical="center" wrapText="1" shrinkToFit="1"/>
      <protection locked="0"/>
    </xf>
    <xf numFmtId="0" fontId="74" fillId="0" borderId="1" xfId="0" applyFont="1" applyFill="1" applyBorder="1" applyAlignment="1" applyProtection="1">
      <alignment horizontal="center" vertical="center" wrapText="1"/>
      <protection locked="0"/>
    </xf>
    <xf numFmtId="3" fontId="90" fillId="0" borderId="1" xfId="0" applyNumberFormat="1" applyFont="1" applyFill="1" applyBorder="1" applyAlignment="1" applyProtection="1">
      <alignment horizontal="center" vertical="center"/>
      <protection locked="0"/>
    </xf>
    <xf numFmtId="0" fontId="90" fillId="0" borderId="1" xfId="0" applyFont="1" applyFill="1" applyBorder="1" applyAlignment="1" applyProtection="1">
      <alignment horizontal="center" vertical="center"/>
      <protection locked="0"/>
    </xf>
    <xf numFmtId="190" fontId="74" fillId="0" borderId="1" xfId="0" applyNumberFormat="1" applyFont="1" applyFill="1" applyBorder="1" applyAlignment="1" applyProtection="1">
      <alignment horizontal="center" vertical="center" wrapText="1" shrinkToFit="1"/>
      <protection locked="0"/>
    </xf>
    <xf numFmtId="190" fontId="74" fillId="0" borderId="1" xfId="0" applyNumberFormat="1" applyFont="1" applyFill="1" applyBorder="1" applyAlignment="1" applyProtection="1">
      <alignment horizontal="center" vertical="center" wrapText="1" shrinkToFit="1"/>
    </xf>
    <xf numFmtId="186" fontId="74" fillId="0" borderId="1" xfId="0" applyNumberFormat="1" applyFont="1" applyFill="1" applyBorder="1" applyAlignment="1" applyProtection="1">
      <alignment horizontal="center" vertical="center" wrapText="1"/>
      <protection locked="0"/>
    </xf>
    <xf numFmtId="186" fontId="94" fillId="0" borderId="1" xfId="0" applyNumberFormat="1" applyFont="1" applyFill="1" applyBorder="1" applyAlignment="1" applyProtection="1">
      <alignment horizontal="center" vertical="center" wrapText="1"/>
      <protection locked="0"/>
    </xf>
    <xf numFmtId="0" fontId="95" fillId="0" borderId="1" xfId="0" applyNumberFormat="1" applyFont="1" applyFill="1" applyBorder="1" applyAlignment="1" applyProtection="1">
      <alignment horizontal="center" vertical="center" wrapText="1"/>
      <protection locked="0"/>
    </xf>
    <xf numFmtId="186" fontId="74" fillId="0" borderId="1" xfId="0" applyNumberFormat="1" applyFont="1" applyFill="1" applyBorder="1" applyAlignment="1" applyProtection="1">
      <alignment horizontal="center" vertical="center" wrapText="1"/>
    </xf>
    <xf numFmtId="192" fontId="74" fillId="0" borderId="1" xfId="0" applyNumberFormat="1" applyFont="1" applyFill="1" applyBorder="1" applyAlignment="1" applyProtection="1">
      <alignment horizontal="center" vertical="center" wrapText="1"/>
      <protection locked="0"/>
    </xf>
    <xf numFmtId="189" fontId="90" fillId="0" borderId="1" xfId="0" applyNumberFormat="1" applyFont="1" applyFill="1" applyBorder="1" applyAlignment="1" applyProtection="1">
      <alignment horizontal="center" vertical="center"/>
      <protection locked="0"/>
    </xf>
    <xf numFmtId="185" fontId="90" fillId="0" borderId="1" xfId="0" applyNumberFormat="1" applyFont="1" applyFill="1" applyBorder="1" applyAlignment="1" applyProtection="1">
      <alignment horizontal="center" vertical="center"/>
      <protection locked="0"/>
    </xf>
    <xf numFmtId="0" fontId="90" fillId="3" borderId="7" xfId="0" applyNumberFormat="1" applyFont="1" applyFill="1" applyBorder="1" applyAlignment="1" applyProtection="1">
      <alignment horizontal="center" vertical="center"/>
      <protection locked="0"/>
    </xf>
    <xf numFmtId="0" fontId="90" fillId="0" borderId="1" xfId="0" applyNumberFormat="1" applyFont="1" applyFill="1" applyBorder="1" applyAlignment="1" applyProtection="1">
      <alignment horizontal="center" vertical="center"/>
      <protection locked="0"/>
    </xf>
    <xf numFmtId="0" fontId="90" fillId="3" borderId="1" xfId="0" applyNumberFormat="1" applyFont="1" applyFill="1" applyBorder="1" applyAlignment="1" applyProtection="1">
      <alignment horizontal="center" vertical="center"/>
      <protection locked="0"/>
    </xf>
    <xf numFmtId="187" fontId="90" fillId="3" borderId="1" xfId="0" applyNumberFormat="1" applyFont="1" applyFill="1" applyBorder="1" applyAlignment="1" applyProtection="1">
      <alignment horizontal="center" vertical="center" wrapText="1" shrinkToFit="1"/>
      <protection locked="0"/>
    </xf>
    <xf numFmtId="187" fontId="90" fillId="0" borderId="1" xfId="0" applyNumberFormat="1" applyFont="1" applyFill="1" applyBorder="1" applyAlignment="1" applyProtection="1">
      <alignment horizontal="center" vertical="center" wrapText="1" shrinkToFit="1"/>
      <protection locked="0"/>
    </xf>
    <xf numFmtId="187" fontId="90" fillId="0" borderId="6" xfId="0" applyNumberFormat="1" applyFont="1" applyFill="1" applyBorder="1" applyAlignment="1" applyProtection="1">
      <alignment horizontal="center" vertical="center" wrapText="1" shrinkToFit="1"/>
      <protection locked="0"/>
    </xf>
    <xf numFmtId="187" fontId="90" fillId="3" borderId="19" xfId="0" applyNumberFormat="1" applyFont="1" applyFill="1" applyBorder="1" applyAlignment="1" applyProtection="1">
      <alignment horizontal="center" vertical="center" wrapText="1" shrinkToFit="1"/>
      <protection locked="0"/>
    </xf>
    <xf numFmtId="187" fontId="90" fillId="3" borderId="20" xfId="0" applyNumberFormat="1" applyFont="1" applyFill="1" applyBorder="1" applyAlignment="1" applyProtection="1">
      <alignment horizontal="center" vertical="center" wrapText="1" shrinkToFit="1"/>
      <protection locked="0"/>
    </xf>
    <xf numFmtId="187" fontId="90" fillId="0" borderId="19" xfId="0" applyNumberFormat="1" applyFont="1" applyFill="1" applyBorder="1" applyAlignment="1" applyProtection="1">
      <alignment horizontal="center" vertical="center" wrapText="1" shrinkToFit="1"/>
      <protection locked="0"/>
    </xf>
    <xf numFmtId="187" fontId="90" fillId="0" borderId="20" xfId="0" applyNumberFormat="1" applyFont="1" applyFill="1" applyBorder="1" applyAlignment="1" applyProtection="1">
      <alignment horizontal="center" vertical="center" wrapText="1" shrinkToFit="1"/>
      <protection locked="0"/>
    </xf>
    <xf numFmtId="187" fontId="90" fillId="0" borderId="7" xfId="0" applyNumberFormat="1" applyFont="1" applyFill="1" applyBorder="1" applyAlignment="1" applyProtection="1">
      <alignment horizontal="center" vertical="center" wrapText="1" shrinkToFit="1"/>
      <protection locked="0"/>
    </xf>
    <xf numFmtId="187" fontId="90" fillId="0" borderId="1" xfId="0" applyNumberFormat="1" applyFont="1" applyFill="1" applyBorder="1" applyAlignment="1" applyProtection="1">
      <alignment horizontal="center" vertical="center"/>
      <protection locked="0"/>
    </xf>
    <xf numFmtId="0" fontId="96" fillId="0" borderId="0" xfId="0" applyFont="1" applyFill="1" applyBorder="1" applyAlignment="1">
      <alignment horizontal="center" vertical="center" wrapText="1"/>
    </xf>
    <xf numFmtId="0" fontId="97" fillId="0" borderId="0" xfId="0" applyFont="1" applyFill="1" applyBorder="1">
      <alignment vertical="center"/>
    </xf>
    <xf numFmtId="0" fontId="97" fillId="0" borderId="0" xfId="0" applyFont="1" applyFill="1">
      <alignment vertical="center"/>
    </xf>
    <xf numFmtId="0" fontId="97" fillId="0" borderId="0" xfId="0" applyFont="1" applyFill="1" applyAlignment="1">
      <alignment horizontal="center" vertical="center"/>
    </xf>
    <xf numFmtId="0" fontId="98" fillId="0" borderId="0" xfId="0" applyFont="1" applyFill="1">
      <alignment vertical="center"/>
    </xf>
    <xf numFmtId="0" fontId="51" fillId="0" borderId="0" xfId="0" applyFont="1" applyFill="1">
      <alignment vertical="center"/>
    </xf>
    <xf numFmtId="0" fontId="37" fillId="0" borderId="0" xfId="0" applyFont="1" applyFill="1" applyProtection="1">
      <alignment vertical="center"/>
      <protection locked="0"/>
    </xf>
    <xf numFmtId="0" fontId="55" fillId="0" borderId="0" xfId="0" applyFont="1" applyFill="1" applyProtection="1">
      <alignment vertical="center"/>
      <protection locked="0"/>
    </xf>
    <xf numFmtId="0" fontId="37" fillId="7" borderId="0" xfId="0" applyFont="1" applyFill="1" applyProtection="1">
      <alignment vertical="center"/>
      <protection locked="0"/>
    </xf>
    <xf numFmtId="0" fontId="37" fillId="0" borderId="0" xfId="0" applyFont="1" applyFill="1" applyBorder="1" applyProtection="1">
      <alignment vertical="center"/>
      <protection locked="0"/>
    </xf>
    <xf numFmtId="0" fontId="37" fillId="3" borderId="0" xfId="0" applyFont="1" applyFill="1" applyProtection="1">
      <alignment vertical="center"/>
      <protection locked="0"/>
    </xf>
    <xf numFmtId="0" fontId="34" fillId="3" borderId="0" xfId="0" applyFont="1" applyFill="1" applyProtection="1">
      <alignment vertical="center"/>
      <protection locked="0"/>
    </xf>
    <xf numFmtId="0" fontId="55" fillId="3" borderId="0" xfId="0" applyFont="1" applyFill="1" applyProtection="1">
      <alignment vertical="center"/>
      <protection locked="0"/>
    </xf>
    <xf numFmtId="0" fontId="96" fillId="0" borderId="0" xfId="0" applyFont="1" applyFill="1" applyAlignment="1">
      <alignment horizontal="center" vertical="center"/>
    </xf>
    <xf numFmtId="0" fontId="96" fillId="0" borderId="0" xfId="0" applyFont="1" applyFill="1" applyAlignment="1">
      <alignment horizontal="center" vertical="center" wrapText="1"/>
    </xf>
    <xf numFmtId="185" fontId="96" fillId="0" borderId="0" xfId="0" applyNumberFormat="1" applyFont="1" applyFill="1" applyAlignment="1">
      <alignment horizontal="center" vertical="center"/>
    </xf>
    <xf numFmtId="193" fontId="99" fillId="0" borderId="1" xfId="0" applyNumberFormat="1" applyFont="1" applyFill="1" applyBorder="1" applyAlignment="1">
      <alignment horizontal="center" vertical="center" wrapText="1" shrinkToFit="1"/>
    </xf>
    <xf numFmtId="0" fontId="99" fillId="0" borderId="1" xfId="0" applyFont="1" applyFill="1" applyBorder="1" applyAlignment="1">
      <alignment horizontal="center" vertical="center" wrapText="1" shrinkToFit="1"/>
    </xf>
    <xf numFmtId="0" fontId="100" fillId="0" borderId="1" xfId="0" applyFont="1" applyFill="1" applyBorder="1" applyAlignment="1">
      <alignment horizontal="center" vertical="center" wrapText="1" shrinkToFit="1"/>
    </xf>
    <xf numFmtId="186" fontId="99" fillId="0" borderId="1" xfId="0" applyNumberFormat="1" applyFont="1" applyFill="1" applyBorder="1" applyAlignment="1">
      <alignment horizontal="center" vertical="center" wrapText="1" shrinkToFit="1"/>
    </xf>
    <xf numFmtId="0" fontId="78" fillId="0" borderId="1" xfId="0" applyFont="1" applyFill="1" applyBorder="1" applyAlignment="1">
      <alignment horizontal="center" vertical="center" wrapText="1" shrinkToFit="1"/>
    </xf>
    <xf numFmtId="0" fontId="101" fillId="0" borderId="1" xfId="0" applyFont="1" applyFill="1" applyBorder="1" applyAlignment="1">
      <alignment horizontal="center" vertical="center" wrapText="1"/>
    </xf>
    <xf numFmtId="188" fontId="102" fillId="0" borderId="16" xfId="0" applyNumberFormat="1" applyFont="1" applyFill="1" applyBorder="1" applyAlignment="1">
      <alignment horizontal="center" vertical="center"/>
    </xf>
    <xf numFmtId="49" fontId="0" fillId="0" borderId="16" xfId="0" applyNumberFormat="1" applyFont="1" applyFill="1" applyBorder="1" applyAlignment="1">
      <alignment horizontal="center" vertical="center" wrapText="1"/>
    </xf>
    <xf numFmtId="0" fontId="0" fillId="0" borderId="16" xfId="0" applyFont="1" applyFill="1" applyBorder="1" applyAlignment="1">
      <alignment horizontal="center" vertical="center" wrapText="1" shrinkToFit="1"/>
    </xf>
    <xf numFmtId="0" fontId="102" fillId="0" borderId="16" xfId="0" applyNumberFormat="1" applyFont="1" applyFill="1" applyBorder="1" applyAlignment="1">
      <alignment horizontal="center" vertical="center" shrinkToFit="1"/>
    </xf>
    <xf numFmtId="0" fontId="102" fillId="0" borderId="1" xfId="0" applyFont="1" applyFill="1" applyBorder="1" applyAlignment="1">
      <alignment horizontal="center" vertical="center" wrapText="1"/>
    </xf>
    <xf numFmtId="0" fontId="101" fillId="0" borderId="1" xfId="0" applyFont="1" applyFill="1" applyBorder="1" applyAlignment="1">
      <alignment horizontal="center" vertical="center" wrapText="1" shrinkToFit="1"/>
    </xf>
    <xf numFmtId="0" fontId="102" fillId="0" borderId="1" xfId="0" applyFont="1" applyFill="1" applyBorder="1" applyAlignment="1">
      <alignment horizontal="center" vertical="center" wrapText="1" shrinkToFit="1"/>
    </xf>
    <xf numFmtId="0" fontId="102" fillId="0" borderId="1" xfId="0" applyFont="1" applyFill="1" applyBorder="1" applyAlignment="1">
      <alignment horizontal="center" vertical="center"/>
    </xf>
    <xf numFmtId="190" fontId="0" fillId="0" borderId="1" xfId="0" applyNumberFormat="1" applyFont="1" applyFill="1" applyBorder="1" applyAlignment="1">
      <alignment horizontal="center" vertical="center" wrapText="1" shrinkToFit="1"/>
    </xf>
    <xf numFmtId="190" fontId="97" fillId="0" borderId="1" xfId="0" applyNumberFormat="1" applyFont="1" applyFill="1" applyBorder="1" applyAlignment="1">
      <alignment horizontal="center" vertical="center" wrapText="1" shrinkToFit="1"/>
    </xf>
    <xf numFmtId="186" fontId="0" fillId="0" borderId="1" xfId="0" applyNumberFormat="1" applyFont="1" applyFill="1" applyBorder="1" applyAlignment="1">
      <alignment horizontal="center" vertical="center" wrapText="1"/>
    </xf>
    <xf numFmtId="49" fontId="0" fillId="0" borderId="1" xfId="0" applyNumberFormat="1" applyFont="1" applyFill="1" applyBorder="1" applyAlignment="1">
      <alignment horizontal="center" vertical="center" wrapText="1"/>
    </xf>
    <xf numFmtId="0" fontId="0" fillId="0" borderId="1" xfId="0" applyFont="1" applyFill="1" applyBorder="1" applyAlignment="1">
      <alignment horizontal="center" vertical="center" wrapText="1" shrinkToFit="1"/>
    </xf>
    <xf numFmtId="0" fontId="102" fillId="0" borderId="16" xfId="0" applyNumberFormat="1" applyFont="1" applyFill="1" applyBorder="1" applyAlignment="1">
      <alignment horizontal="center" vertical="center" wrapText="1" shrinkToFit="1"/>
    </xf>
    <xf numFmtId="188" fontId="102" fillId="0" borderId="1" xfId="0" applyNumberFormat="1" applyFont="1" applyFill="1" applyBorder="1" applyAlignment="1">
      <alignment horizontal="center" vertical="center"/>
    </xf>
    <xf numFmtId="0" fontId="102" fillId="0" borderId="1" xfId="0" applyNumberFormat="1" applyFont="1" applyFill="1" applyBorder="1" applyAlignment="1">
      <alignment horizontal="center" vertical="center" shrinkToFit="1"/>
    </xf>
    <xf numFmtId="0" fontId="102" fillId="0" borderId="1" xfId="0" applyNumberFormat="1" applyFont="1" applyFill="1" applyBorder="1" applyAlignment="1">
      <alignment horizontal="center" vertical="center" wrapText="1" shrinkToFit="1"/>
    </xf>
    <xf numFmtId="0" fontId="102" fillId="0" borderId="1" xfId="0" applyFont="1" applyFill="1" applyBorder="1" applyAlignment="1">
      <alignment horizontal="center" vertical="center" shrinkToFit="1"/>
    </xf>
    <xf numFmtId="0" fontId="101" fillId="0" borderId="1" xfId="0" applyFont="1" applyFill="1" applyBorder="1" applyAlignment="1">
      <alignment horizontal="center" vertical="center" shrinkToFit="1"/>
    </xf>
    <xf numFmtId="0" fontId="0" fillId="0" borderId="1" xfId="0" applyNumberFormat="1" applyFont="1" applyFill="1" applyBorder="1" applyAlignment="1">
      <alignment horizontal="center" vertical="center" wrapText="1"/>
    </xf>
    <xf numFmtId="182" fontId="102" fillId="0" borderId="1" xfId="0" applyNumberFormat="1" applyFont="1" applyFill="1" applyBorder="1" applyAlignment="1">
      <alignment horizontal="center" vertical="center" wrapText="1" shrinkToFit="1"/>
    </xf>
    <xf numFmtId="186" fontId="102" fillId="0" borderId="1" xfId="0" applyNumberFormat="1" applyFont="1" applyFill="1" applyBorder="1" applyAlignment="1">
      <alignment horizontal="center" vertical="center" wrapText="1"/>
    </xf>
    <xf numFmtId="0" fontId="102" fillId="0" borderId="16" xfId="0" applyFont="1" applyFill="1" applyBorder="1" applyAlignment="1">
      <alignment horizontal="center" vertical="center" wrapText="1"/>
    </xf>
    <xf numFmtId="0" fontId="102" fillId="0" borderId="1" xfId="0" applyFont="1" applyFill="1" applyBorder="1" applyAlignment="1">
      <alignment horizontal="justify" vertical="center" wrapText="1"/>
    </xf>
    <xf numFmtId="0" fontId="96" fillId="0" borderId="1" xfId="0" applyFont="1" applyFill="1" applyBorder="1" applyAlignment="1">
      <alignment horizontal="center" vertical="center" wrapText="1"/>
    </xf>
    <xf numFmtId="0" fontId="96" fillId="0" borderId="1" xfId="0" applyFont="1" applyFill="1" applyBorder="1" applyAlignment="1">
      <alignment horizontal="center" vertical="center"/>
    </xf>
    <xf numFmtId="3" fontId="102" fillId="0" borderId="1" xfId="0" applyNumberFormat="1" applyFont="1" applyFill="1" applyBorder="1" applyAlignment="1">
      <alignment horizontal="center" vertical="center"/>
    </xf>
    <xf numFmtId="14" fontId="97" fillId="0" borderId="1" xfId="0" applyNumberFormat="1" applyFont="1" applyFill="1" applyBorder="1" applyAlignment="1">
      <alignment horizontal="center" vertical="center"/>
    </xf>
    <xf numFmtId="0" fontId="102" fillId="0" borderId="9" xfId="0" applyFont="1" applyFill="1" applyBorder="1" applyAlignment="1">
      <alignment horizontal="center" vertical="center"/>
    </xf>
    <xf numFmtId="0" fontId="102" fillId="0" borderId="1" xfId="0" applyFont="1" applyFill="1" applyBorder="1" applyAlignment="1">
      <alignment horizontal="justify" vertical="center"/>
    </xf>
    <xf numFmtId="14" fontId="0" fillId="0" borderId="1" xfId="0" applyNumberFormat="1" applyFont="1" applyFill="1" applyBorder="1" applyAlignment="1">
      <alignment horizontal="center" vertical="center"/>
    </xf>
    <xf numFmtId="0" fontId="0" fillId="0" borderId="16" xfId="0" applyFont="1" applyFill="1" applyBorder="1" applyAlignment="1">
      <alignment horizontal="center" vertical="center" wrapText="1"/>
    </xf>
    <xf numFmtId="0" fontId="96" fillId="0" borderId="1" xfId="0" applyFont="1" applyFill="1" applyBorder="1" applyAlignment="1">
      <alignment horizontal="justify" vertical="center"/>
    </xf>
    <xf numFmtId="190" fontId="0" fillId="0" borderId="1" xfId="0" applyNumberFormat="1" applyFont="1" applyFill="1" applyBorder="1" applyAlignment="1">
      <alignment horizontal="center" vertical="center" shrinkToFit="1"/>
    </xf>
    <xf numFmtId="176" fontId="0" fillId="0" borderId="1" xfId="0" applyNumberFormat="1" applyFont="1" applyFill="1" applyBorder="1" applyAlignment="1">
      <alignment horizontal="center" vertical="center" wrapText="1"/>
    </xf>
    <xf numFmtId="0" fontId="0" fillId="0" borderId="16" xfId="0" applyFont="1" applyFill="1" applyBorder="1" applyAlignment="1">
      <alignment horizontal="center" vertical="center"/>
    </xf>
    <xf numFmtId="0" fontId="0" fillId="0" borderId="16" xfId="0" applyNumberFormat="1" applyFont="1" applyFill="1" applyBorder="1" applyAlignment="1">
      <alignment horizontal="center" vertical="center"/>
    </xf>
    <xf numFmtId="0" fontId="0" fillId="0" borderId="16" xfId="0" applyNumberFormat="1" applyFont="1" applyFill="1" applyBorder="1" applyAlignment="1">
      <alignment horizontal="center" vertical="center" wrapText="1"/>
    </xf>
    <xf numFmtId="0" fontId="0" fillId="0" borderId="1" xfId="0" applyNumberFormat="1" applyFont="1" applyFill="1" applyBorder="1" applyAlignment="1">
      <alignment horizontal="center" vertical="center"/>
    </xf>
    <xf numFmtId="0" fontId="102" fillId="0" borderId="16" xfId="0" applyFont="1" applyFill="1" applyBorder="1" applyAlignment="1">
      <alignment horizontal="center" vertical="center"/>
    </xf>
    <xf numFmtId="186" fontId="97" fillId="0" borderId="1" xfId="0" applyNumberFormat="1" applyFont="1" applyFill="1" applyBorder="1" applyAlignment="1">
      <alignment horizontal="center" vertical="center" wrapText="1"/>
    </xf>
    <xf numFmtId="186" fontId="50" fillId="0" borderId="1" xfId="0" applyNumberFormat="1" applyFont="1" applyFill="1" applyBorder="1" applyAlignment="1">
      <alignment horizontal="center" vertical="center" wrapText="1"/>
    </xf>
    <xf numFmtId="0" fontId="52" fillId="0" borderId="1" xfId="0" applyFont="1" applyFill="1" applyBorder="1" applyAlignment="1">
      <alignment horizontal="center" vertical="center"/>
    </xf>
    <xf numFmtId="0" fontId="52" fillId="0" borderId="1" xfId="0" applyFont="1" applyFill="1" applyBorder="1" applyAlignment="1">
      <alignment horizontal="center" vertical="center" wrapText="1" shrinkToFit="1"/>
    </xf>
    <xf numFmtId="0" fontId="52" fillId="0" borderId="16" xfId="0" applyFont="1" applyFill="1" applyBorder="1" applyAlignment="1">
      <alignment horizontal="center" vertical="center" wrapText="1"/>
    </xf>
    <xf numFmtId="0" fontId="52" fillId="0" borderId="1" xfId="0" applyNumberFormat="1" applyFont="1" applyFill="1" applyBorder="1" applyAlignment="1">
      <alignment horizontal="center" vertical="center" wrapText="1"/>
    </xf>
    <xf numFmtId="0" fontId="50" fillId="0" borderId="16" xfId="0" applyNumberFormat="1" applyFont="1" applyFill="1" applyBorder="1" applyAlignment="1">
      <alignment horizontal="center" vertical="center" wrapText="1" shrinkToFit="1"/>
    </xf>
    <xf numFmtId="0" fontId="50" fillId="0" borderId="16" xfId="0" applyNumberFormat="1" applyFont="1" applyFill="1" applyBorder="1" applyAlignment="1">
      <alignment horizontal="center" vertical="center"/>
    </xf>
    <xf numFmtId="0" fontId="86" fillId="0" borderId="1" xfId="0" applyFont="1" applyFill="1" applyBorder="1" applyAlignment="1">
      <alignment horizontal="center" vertical="center" wrapText="1"/>
    </xf>
    <xf numFmtId="186" fontId="55" fillId="0" borderId="1" xfId="0" applyNumberFormat="1" applyFont="1" applyFill="1" applyBorder="1" applyAlignment="1">
      <alignment horizontal="center" vertical="center" wrapText="1"/>
    </xf>
    <xf numFmtId="0" fontId="55" fillId="0" borderId="1" xfId="0" applyFont="1" applyFill="1" applyBorder="1" applyAlignment="1">
      <alignment horizontal="center" vertical="center"/>
    </xf>
    <xf numFmtId="0" fontId="62" fillId="0" borderId="9" xfId="0" applyFont="1" applyFill="1" applyBorder="1" applyAlignment="1">
      <alignment horizontal="center" vertical="center" wrapText="1"/>
    </xf>
    <xf numFmtId="0" fontId="62" fillId="0" borderId="1" xfId="0" applyFont="1" applyFill="1" applyBorder="1" applyAlignment="1">
      <alignment horizontal="justify" vertical="center"/>
    </xf>
    <xf numFmtId="186" fontId="62" fillId="0" borderId="1" xfId="0" applyNumberFormat="1" applyFont="1" applyFill="1" applyBorder="1" applyAlignment="1">
      <alignment horizontal="center" vertical="center" wrapText="1"/>
    </xf>
    <xf numFmtId="0" fontId="62" fillId="0" borderId="14" xfId="0" applyFont="1" applyFill="1" applyBorder="1" applyAlignment="1">
      <alignment horizontal="center" vertical="center"/>
    </xf>
    <xf numFmtId="187" fontId="62" fillId="0" borderId="6" xfId="0" applyNumberFormat="1" applyFont="1" applyFill="1" applyBorder="1" applyAlignment="1">
      <alignment horizontal="center" vertical="center"/>
    </xf>
    <xf numFmtId="187" fontId="62" fillId="0" borderId="19" xfId="0" applyNumberFormat="1" applyFont="1" applyFill="1" applyBorder="1" applyAlignment="1">
      <alignment horizontal="center" vertical="center"/>
    </xf>
    <xf numFmtId="187" fontId="62" fillId="0" borderId="20" xfId="0" applyNumberFormat="1" applyFont="1" applyFill="1" applyBorder="1" applyAlignment="1">
      <alignment horizontal="center" vertical="center"/>
    </xf>
    <xf numFmtId="187" fontId="62" fillId="0" borderId="11" xfId="0" applyNumberFormat="1" applyFont="1" applyFill="1" applyBorder="1" applyAlignment="1">
      <alignment horizontal="center" vertical="center"/>
    </xf>
    <xf numFmtId="187" fontId="62" fillId="0" borderId="9" xfId="0" applyNumberFormat="1" applyFont="1" applyFill="1" applyBorder="1" applyAlignment="1">
      <alignment horizontal="center" vertical="center"/>
    </xf>
    <xf numFmtId="182" fontId="62" fillId="0" borderId="9" xfId="0" applyNumberFormat="1" applyFont="1" applyFill="1" applyBorder="1" applyAlignment="1">
      <alignment horizontal="center" vertical="center"/>
    </xf>
    <xf numFmtId="182" fontId="62" fillId="0" borderId="20" xfId="0" applyNumberFormat="1" applyFont="1" applyFill="1" applyBorder="1" applyAlignment="1">
      <alignment horizontal="center" vertical="center" wrapText="1"/>
    </xf>
    <xf numFmtId="187" fontId="62" fillId="0" borderId="7" xfId="0" applyNumberFormat="1" applyFont="1" applyFill="1" applyBorder="1" applyAlignment="1">
      <alignment horizontal="center" vertical="center" wrapText="1"/>
    </xf>
    <xf numFmtId="187" fontId="62" fillId="0" borderId="1" xfId="0" applyNumberFormat="1" applyFont="1" applyFill="1" applyBorder="1" applyAlignment="1">
      <alignment horizontal="center" vertical="center" wrapText="1"/>
    </xf>
    <xf numFmtId="0" fontId="88" fillId="0" borderId="16" xfId="0" applyFont="1" applyFill="1" applyBorder="1" applyAlignment="1">
      <alignment horizontal="center" vertical="center"/>
    </xf>
    <xf numFmtId="194" fontId="62" fillId="0" borderId="1" xfId="0" applyNumberFormat="1" applyFont="1" applyFill="1" applyBorder="1" applyAlignment="1">
      <alignment horizontal="center" vertical="center"/>
    </xf>
    <xf numFmtId="182" fontId="62" fillId="0" borderId="1" xfId="0" applyNumberFormat="1" applyFont="1" applyFill="1" applyBorder="1" applyAlignment="1">
      <alignment horizontal="center" vertical="center"/>
    </xf>
    <xf numFmtId="182" fontId="62" fillId="0" borderId="1" xfId="0" applyNumberFormat="1" applyFont="1" applyFill="1" applyBorder="1" applyAlignment="1">
      <alignment horizontal="center" vertical="center" wrapText="1"/>
    </xf>
    <xf numFmtId="58" fontId="50" fillId="0" borderId="9" xfId="0" applyNumberFormat="1" applyFont="1" applyFill="1" applyBorder="1" applyAlignment="1">
      <alignment horizontal="center" vertical="center" wrapText="1"/>
    </xf>
    <xf numFmtId="186" fontId="55" fillId="0" borderId="7" xfId="0" applyNumberFormat="1" applyFont="1" applyFill="1" applyBorder="1" applyAlignment="1">
      <alignment horizontal="center" vertical="center" wrapText="1"/>
    </xf>
    <xf numFmtId="187" fontId="103" fillId="0" borderId="1" xfId="0" applyNumberFormat="1" applyFont="1" applyFill="1" applyBorder="1" applyAlignment="1">
      <alignment horizontal="center" vertical="center"/>
    </xf>
    <xf numFmtId="182" fontId="50" fillId="0" borderId="1" xfId="0" applyNumberFormat="1" applyFont="1" applyFill="1" applyBorder="1" applyAlignment="1">
      <alignment horizontal="center" vertical="center" wrapText="1"/>
    </xf>
    <xf numFmtId="187" fontId="50" fillId="0" borderId="6" xfId="0" applyNumberFormat="1" applyFont="1" applyFill="1" applyBorder="1" applyAlignment="1">
      <alignment horizontal="center" vertical="center"/>
    </xf>
    <xf numFmtId="187" fontId="103" fillId="0" borderId="19" xfId="0" applyNumberFormat="1" applyFont="1" applyFill="1" applyBorder="1" applyAlignment="1">
      <alignment horizontal="center" vertical="center"/>
    </xf>
    <xf numFmtId="187" fontId="50" fillId="0" borderId="12" xfId="0" applyNumberFormat="1" applyFont="1" applyFill="1" applyBorder="1" applyAlignment="1">
      <alignment horizontal="center" vertical="center"/>
    </xf>
    <xf numFmtId="182" fontId="50" fillId="0" borderId="20" xfId="0" applyNumberFormat="1" applyFont="1" applyFill="1" applyBorder="1" applyAlignment="1">
      <alignment horizontal="center" vertical="center" wrapText="1"/>
    </xf>
    <xf numFmtId="187" fontId="103" fillId="0" borderId="7" xfId="0" applyNumberFormat="1" applyFont="1" applyFill="1" applyBorder="1" applyAlignment="1">
      <alignment horizontal="center" vertical="center" wrapText="1"/>
    </xf>
    <xf numFmtId="187" fontId="50" fillId="0" borderId="1" xfId="0" applyNumberFormat="1" applyFont="1" applyFill="1" applyBorder="1" applyAlignment="1">
      <alignment horizontal="center" vertical="center" wrapText="1"/>
    </xf>
    <xf numFmtId="186" fontId="0" fillId="0" borderId="9" xfId="0" applyNumberFormat="1" applyFont="1" applyFill="1" applyBorder="1" applyAlignment="1">
      <alignment horizontal="center" vertical="center" wrapText="1"/>
    </xf>
    <xf numFmtId="186" fontId="52" fillId="0" borderId="1" xfId="0" applyNumberFormat="1" applyFont="1" applyFill="1" applyBorder="1" applyAlignment="1">
      <alignment horizontal="center" vertical="center" wrapText="1"/>
    </xf>
    <xf numFmtId="0" fontId="50" fillId="0" borderId="1" xfId="0" applyFont="1" applyFill="1" applyBorder="1" applyAlignment="1">
      <alignment horizontal="justify" vertical="center"/>
    </xf>
    <xf numFmtId="187" fontId="104" fillId="0" borderId="1" xfId="0" applyNumberFormat="1" applyFont="1" applyFill="1" applyBorder="1" applyAlignment="1">
      <alignment horizontal="center" vertical="center"/>
    </xf>
    <xf numFmtId="187" fontId="50" fillId="0" borderId="11" xfId="0" applyNumberFormat="1" applyFont="1" applyFill="1" applyBorder="1" applyAlignment="1">
      <alignment horizontal="center" vertical="center"/>
    </xf>
    <xf numFmtId="187" fontId="50" fillId="0" borderId="9" xfId="0" applyNumberFormat="1" applyFont="1" applyFill="1" applyBorder="1" applyAlignment="1">
      <alignment horizontal="center" vertical="center"/>
    </xf>
    <xf numFmtId="182" fontId="50" fillId="0" borderId="9" xfId="0" applyNumberFormat="1" applyFont="1" applyFill="1" applyBorder="1" applyAlignment="1">
      <alignment horizontal="center" vertical="center"/>
    </xf>
    <xf numFmtId="187" fontId="104" fillId="0" borderId="11" xfId="0" applyNumberFormat="1" applyFont="1" applyFill="1" applyBorder="1" applyAlignment="1">
      <alignment horizontal="center" vertical="center"/>
    </xf>
    <xf numFmtId="187" fontId="104" fillId="0" borderId="9" xfId="0" applyNumberFormat="1" applyFont="1" applyFill="1" applyBorder="1" applyAlignment="1">
      <alignment horizontal="center" vertical="center"/>
    </xf>
    <xf numFmtId="182" fontId="104" fillId="0" borderId="9" xfId="0" applyNumberFormat="1" applyFont="1" applyFill="1" applyBorder="1" applyAlignment="1">
      <alignment horizontal="center" vertical="center"/>
    </xf>
    <xf numFmtId="188" fontId="50" fillId="0" borderId="16" xfId="0" applyNumberFormat="1" applyFont="1" applyFill="1" applyBorder="1" applyAlignment="1">
      <alignment horizontal="center" vertical="center"/>
    </xf>
    <xf numFmtId="186" fontId="52" fillId="0" borderId="7" xfId="0" applyNumberFormat="1" applyFont="1" applyFill="1" applyBorder="1" applyAlignment="1">
      <alignment horizontal="center" vertical="center" wrapText="1"/>
    </xf>
    <xf numFmtId="0" fontId="104" fillId="0" borderId="1" xfId="0" applyFont="1" applyFill="1" applyBorder="1" applyAlignment="1">
      <alignment horizontal="center" vertical="center" wrapText="1"/>
    </xf>
    <xf numFmtId="190" fontId="52" fillId="0" borderId="7" xfId="0" applyNumberFormat="1" applyFont="1" applyFill="1" applyBorder="1" applyAlignment="1">
      <alignment horizontal="center" vertical="center" wrapText="1" shrinkToFit="1"/>
    </xf>
    <xf numFmtId="188" fontId="105" fillId="0" borderId="16" xfId="0" applyNumberFormat="1" applyFont="1" applyFill="1" applyBorder="1" applyAlignment="1">
      <alignment horizontal="center" vertical="center"/>
    </xf>
    <xf numFmtId="49" fontId="106" fillId="0" borderId="16" xfId="0" applyNumberFormat="1" applyFont="1" applyFill="1" applyBorder="1" applyAlignment="1">
      <alignment horizontal="center" vertical="center" wrapText="1"/>
    </xf>
    <xf numFmtId="0" fontId="106" fillId="0" borderId="16" xfId="0" applyFont="1" applyFill="1" applyBorder="1" applyAlignment="1">
      <alignment horizontal="center" vertical="center" wrapText="1" shrinkToFit="1"/>
    </xf>
    <xf numFmtId="0" fontId="104" fillId="0" borderId="16" xfId="0" applyNumberFormat="1" applyFont="1" applyFill="1" applyBorder="1" applyAlignment="1">
      <alignment horizontal="center" vertical="center" shrinkToFit="1"/>
    </xf>
    <xf numFmtId="0" fontId="104" fillId="0" borderId="1" xfId="0" applyFont="1" applyFill="1" applyBorder="1" applyAlignment="1">
      <alignment horizontal="center" vertical="center"/>
    </xf>
    <xf numFmtId="187" fontId="107" fillId="0" borderId="1" xfId="0" applyNumberFormat="1" applyFont="1" applyFill="1" applyBorder="1" applyAlignment="1">
      <alignment horizontal="center" vertical="center"/>
    </xf>
    <xf numFmtId="187" fontId="107" fillId="0" borderId="19" xfId="0" applyNumberFormat="1" applyFont="1" applyFill="1" applyBorder="1" applyAlignment="1">
      <alignment horizontal="center" vertical="center"/>
    </xf>
    <xf numFmtId="187" fontId="62" fillId="0" borderId="12" xfId="0" applyNumberFormat="1" applyFont="1" applyFill="1" applyBorder="1" applyAlignment="1">
      <alignment horizontal="center" vertical="center"/>
    </xf>
    <xf numFmtId="187" fontId="107" fillId="0" borderId="7" xfId="0" applyNumberFormat="1" applyFont="1" applyFill="1" applyBorder="1" applyAlignment="1">
      <alignment horizontal="center" vertical="center" wrapText="1"/>
    </xf>
    <xf numFmtId="187" fontId="108" fillId="0" borderId="9" xfId="0" applyNumberFormat="1" applyFont="1" applyFill="1" applyBorder="1" applyAlignment="1">
      <alignment horizontal="center" vertical="center" wrapText="1"/>
    </xf>
    <xf numFmtId="195" fontId="50" fillId="0" borderId="1" xfId="0" applyNumberFormat="1" applyFont="1" applyFill="1" applyBorder="1" applyAlignment="1">
      <alignment horizontal="center" vertical="center"/>
    </xf>
    <xf numFmtId="191" fontId="50" fillId="0" borderId="1" xfId="0" applyNumberFormat="1" applyFont="1" applyFill="1" applyBorder="1" applyAlignment="1">
      <alignment horizontal="center" vertical="center" wrapText="1"/>
    </xf>
    <xf numFmtId="182" fontId="50" fillId="0" borderId="1" xfId="0" applyNumberFormat="1" applyFont="1" applyFill="1" applyBorder="1" applyAlignment="1">
      <alignment horizontal="center" vertical="center"/>
    </xf>
    <xf numFmtId="187" fontId="108" fillId="0" borderId="1" xfId="0" applyNumberFormat="1" applyFont="1" applyFill="1" applyBorder="1" applyAlignment="1">
      <alignment horizontal="center" vertical="center" wrapText="1"/>
    </xf>
    <xf numFmtId="186" fontId="52" fillId="0" borderId="9" xfId="0" applyNumberFormat="1" applyFont="1" applyFill="1" applyBorder="1" applyAlignment="1">
      <alignment horizontal="center" vertical="center" wrapText="1"/>
    </xf>
    <xf numFmtId="0" fontId="50" fillId="0" borderId="9" xfId="0" applyFont="1" applyFill="1" applyBorder="1" applyAlignment="1">
      <alignment horizontal="justify" vertical="center"/>
    </xf>
    <xf numFmtId="188" fontId="33" fillId="0" borderId="1" xfId="0" applyNumberFormat="1" applyFont="1" applyFill="1" applyBorder="1" applyAlignment="1">
      <alignment horizontal="center" vertical="center"/>
    </xf>
    <xf numFmtId="0" fontId="33" fillId="0" borderId="1" xfId="0" applyFont="1" applyFill="1" applyBorder="1" applyAlignment="1">
      <alignment horizontal="justify" vertical="center"/>
    </xf>
    <xf numFmtId="0" fontId="46" fillId="0" borderId="1" xfId="0" applyFont="1" applyFill="1" applyBorder="1" applyAlignment="1">
      <alignment horizontal="justify" vertical="center"/>
    </xf>
    <xf numFmtId="195" fontId="33" fillId="0" borderId="1" xfId="0" applyNumberFormat="1" applyFont="1" applyFill="1" applyBorder="1" applyAlignment="1">
      <alignment horizontal="center" vertical="center"/>
    </xf>
    <xf numFmtId="182" fontId="33" fillId="0" borderId="1" xfId="0" applyNumberFormat="1" applyFont="1" applyFill="1" applyBorder="1" applyAlignment="1">
      <alignment horizontal="center" vertical="center" wrapText="1"/>
    </xf>
    <xf numFmtId="187" fontId="33" fillId="0" borderId="1" xfId="0" applyNumberFormat="1" applyFont="1" applyFill="1" applyBorder="1" applyAlignment="1">
      <alignment horizontal="center" vertical="center" wrapText="1"/>
    </xf>
    <xf numFmtId="186" fontId="34" fillId="0" borderId="9" xfId="0" applyNumberFormat="1" applyFont="1" applyFill="1" applyBorder="1" applyAlignment="1">
      <alignment horizontal="center" vertical="center" wrapText="1"/>
    </xf>
    <xf numFmtId="194" fontId="50" fillId="0" borderId="1" xfId="0" applyNumberFormat="1" applyFont="1" applyFill="1" applyBorder="1" applyAlignment="1">
      <alignment horizontal="center" vertical="center"/>
    </xf>
    <xf numFmtId="187" fontId="34" fillId="0" borderId="1" xfId="0" applyNumberFormat="1" applyFont="1" applyFill="1" applyBorder="1" applyAlignment="1">
      <alignment horizontal="center" vertical="center" wrapText="1"/>
    </xf>
    <xf numFmtId="188" fontId="33" fillId="0" borderId="16" xfId="0" applyNumberFormat="1" applyFont="1" applyFill="1" applyBorder="1" applyAlignment="1">
      <alignment horizontal="center" vertical="center"/>
    </xf>
    <xf numFmtId="0" fontId="33" fillId="0" borderId="16" xfId="0" applyNumberFormat="1" applyFont="1" applyFill="1" applyBorder="1" applyAlignment="1">
      <alignment horizontal="center" vertical="center" shrinkToFit="1"/>
    </xf>
    <xf numFmtId="0" fontId="33" fillId="0" borderId="16" xfId="0" applyNumberFormat="1" applyFont="1" applyFill="1" applyBorder="1" applyAlignment="1">
      <alignment horizontal="center" vertical="center" wrapText="1" shrinkToFit="1"/>
    </xf>
    <xf numFmtId="0" fontId="33" fillId="0" borderId="1" xfId="0" applyFont="1" applyFill="1" applyBorder="1" applyAlignment="1">
      <alignment horizontal="left" vertical="center" wrapText="1"/>
    </xf>
    <xf numFmtId="0" fontId="34" fillId="0" borderId="9" xfId="0" applyNumberFormat="1" applyFont="1" applyFill="1" applyBorder="1" applyAlignment="1">
      <alignment horizontal="center" vertical="center" wrapText="1"/>
    </xf>
    <xf numFmtId="0" fontId="34" fillId="0" borderId="1" xfId="0" applyNumberFormat="1" applyFont="1" applyFill="1" applyBorder="1" applyAlignment="1">
      <alignment horizontal="center" vertical="center" wrapText="1"/>
    </xf>
    <xf numFmtId="0" fontId="33" fillId="0" borderId="7" xfId="0" applyFont="1" applyFill="1" applyBorder="1" applyAlignment="1">
      <alignment horizontal="center" vertical="center" wrapText="1"/>
    </xf>
    <xf numFmtId="0" fontId="34" fillId="0" borderId="1" xfId="0" applyFont="1" applyFill="1" applyBorder="1">
      <alignment vertical="center"/>
    </xf>
    <xf numFmtId="182" fontId="33" fillId="0" borderId="1" xfId="0" applyNumberFormat="1" applyFont="1" applyFill="1" applyBorder="1" applyAlignment="1">
      <alignment horizontal="center" vertical="center"/>
    </xf>
    <xf numFmtId="182" fontId="46" fillId="0" borderId="1" xfId="0" applyNumberFormat="1" applyFont="1" applyFill="1" applyBorder="1" applyAlignment="1">
      <alignment horizontal="center" vertical="center" wrapText="1"/>
    </xf>
    <xf numFmtId="187" fontId="33" fillId="0" borderId="6" xfId="0" applyNumberFormat="1" applyFont="1" applyFill="1" applyBorder="1" applyAlignment="1">
      <alignment horizontal="center" vertical="center" wrapText="1"/>
    </xf>
    <xf numFmtId="188" fontId="54" fillId="0" borderId="1" xfId="0" applyNumberFormat="1" applyFont="1" applyFill="1" applyBorder="1" applyAlignment="1">
      <alignment horizontal="center" vertical="center"/>
    </xf>
    <xf numFmtId="49" fontId="51" fillId="0" borderId="1" xfId="0" applyNumberFormat="1" applyFont="1" applyFill="1" applyBorder="1" applyAlignment="1">
      <alignment horizontal="center" vertical="center" wrapText="1"/>
    </xf>
    <xf numFmtId="0" fontId="54" fillId="0" borderId="1" xfId="0" applyNumberFormat="1" applyFont="1" applyFill="1" applyBorder="1" applyAlignment="1">
      <alignment horizontal="center" vertical="center" shrinkToFit="1"/>
    </xf>
    <xf numFmtId="3" fontId="54" fillId="0" borderId="1" xfId="0" applyNumberFormat="1" applyFont="1" applyFill="1" applyBorder="1" applyAlignment="1">
      <alignment horizontal="center" vertical="center"/>
    </xf>
    <xf numFmtId="0" fontId="54" fillId="0" borderId="1" xfId="0" applyFont="1" applyFill="1" applyBorder="1" applyAlignment="1">
      <alignment horizontal="center" vertical="center"/>
    </xf>
    <xf numFmtId="190" fontId="51" fillId="0" borderId="1" xfId="0" applyNumberFormat="1" applyFont="1" applyFill="1" applyBorder="1" applyAlignment="1">
      <alignment horizontal="center" vertical="center" wrapText="1" shrinkToFit="1"/>
    </xf>
    <xf numFmtId="186" fontId="54" fillId="0" borderId="1" xfId="0" applyNumberFormat="1" applyFont="1" applyFill="1" applyBorder="1" applyAlignment="1">
      <alignment horizontal="center" vertical="center" wrapText="1"/>
    </xf>
    <xf numFmtId="186" fontId="51" fillId="0" borderId="9" xfId="0" applyNumberFormat="1" applyFont="1" applyFill="1" applyBorder="1" applyAlignment="1">
      <alignment horizontal="center" vertical="center" wrapText="1"/>
    </xf>
    <xf numFmtId="182" fontId="51" fillId="0" borderId="9" xfId="0" applyNumberFormat="1" applyFont="1" applyFill="1" applyBorder="1" applyAlignment="1">
      <alignment horizontal="center" vertical="center" wrapText="1"/>
    </xf>
    <xf numFmtId="186" fontId="51" fillId="0" borderId="1" xfId="0" applyNumberFormat="1" applyFont="1" applyFill="1" applyBorder="1" applyAlignment="1">
      <alignment horizontal="center" vertical="center" wrapText="1"/>
    </xf>
    <xf numFmtId="195" fontId="54" fillId="0" borderId="1" xfId="0" applyNumberFormat="1" applyFont="1" applyFill="1" applyBorder="1" applyAlignment="1">
      <alignment horizontal="center" vertical="center"/>
    </xf>
    <xf numFmtId="187" fontId="54" fillId="0" borderId="1" xfId="0" applyNumberFormat="1" applyFont="1" applyFill="1" applyBorder="1" applyAlignment="1">
      <alignment horizontal="center" vertical="center"/>
    </xf>
    <xf numFmtId="187" fontId="38" fillId="0" borderId="1" xfId="0" applyNumberFormat="1" applyFont="1" applyFill="1" applyBorder="1" applyAlignment="1">
      <alignment horizontal="center" vertical="center"/>
    </xf>
    <xf numFmtId="187" fontId="109" fillId="0" borderId="1" xfId="0" applyNumberFormat="1" applyFont="1" applyFill="1" applyBorder="1" applyAlignment="1">
      <alignment horizontal="center" vertical="center"/>
    </xf>
    <xf numFmtId="182" fontId="54" fillId="0" borderId="6" xfId="0" applyNumberFormat="1" applyFont="1" applyFill="1" applyBorder="1" applyAlignment="1">
      <alignment horizontal="center" vertical="center" wrapText="1"/>
    </xf>
    <xf numFmtId="182" fontId="54" fillId="0" borderId="19" xfId="0" applyNumberFormat="1" applyFont="1" applyFill="1" applyBorder="1" applyAlignment="1">
      <alignment horizontal="center" vertical="center" wrapText="1"/>
    </xf>
    <xf numFmtId="182" fontId="54" fillId="0" borderId="1" xfId="0" applyNumberFormat="1" applyFont="1" applyFill="1" applyBorder="1" applyAlignment="1">
      <alignment horizontal="center" vertical="center" wrapText="1"/>
    </xf>
    <xf numFmtId="182" fontId="54" fillId="0" borderId="1" xfId="0" applyNumberFormat="1" applyFont="1" applyFill="1" applyBorder="1" applyAlignment="1">
      <alignment horizontal="center" vertical="center"/>
    </xf>
    <xf numFmtId="182" fontId="33" fillId="0" borderId="11" xfId="0" applyNumberFormat="1" applyFont="1" applyFill="1" applyBorder="1" applyAlignment="1">
      <alignment horizontal="center" vertical="center" wrapText="1"/>
    </xf>
    <xf numFmtId="182" fontId="33" fillId="0" borderId="9" xfId="0" applyNumberFormat="1" applyFont="1" applyFill="1" applyBorder="1" applyAlignment="1">
      <alignment horizontal="center" vertical="center" wrapText="1"/>
    </xf>
    <xf numFmtId="182" fontId="33" fillId="0" borderId="9" xfId="0" applyNumberFormat="1" applyFont="1" applyFill="1" applyBorder="1" applyAlignment="1">
      <alignment horizontal="center" vertical="center"/>
    </xf>
    <xf numFmtId="182" fontId="33" fillId="0" borderId="12" xfId="0" applyNumberFormat="1" applyFont="1" applyFill="1" applyBorder="1" applyAlignment="1">
      <alignment horizontal="center" vertical="center"/>
    </xf>
    <xf numFmtId="0" fontId="54" fillId="0" borderId="7" xfId="0" applyFont="1" applyFill="1" applyBorder="1" applyAlignment="1">
      <alignment horizontal="center" vertical="center" wrapText="1"/>
    </xf>
    <xf numFmtId="0" fontId="34" fillId="0" borderId="1" xfId="0" applyFont="1" applyFill="1" applyBorder="1" applyAlignment="1">
      <alignment horizontal="center" vertical="center"/>
    </xf>
    <xf numFmtId="0" fontId="51" fillId="0" borderId="1" xfId="0" applyFont="1" applyFill="1" applyBorder="1">
      <alignment vertical="center"/>
    </xf>
    <xf numFmtId="188" fontId="47" fillId="0" borderId="1" xfId="0" applyNumberFormat="1" applyFont="1" applyFill="1" applyBorder="1" applyAlignment="1">
      <alignment horizontal="center" vertical="center"/>
    </xf>
    <xf numFmtId="186" fontId="47" fillId="0" borderId="1" xfId="0" applyNumberFormat="1" applyFont="1" applyFill="1" applyBorder="1" applyAlignment="1">
      <alignment horizontal="center" vertical="center" wrapText="1"/>
    </xf>
    <xf numFmtId="186" fontId="37" fillId="0" borderId="1" xfId="0" applyNumberFormat="1" applyFont="1" applyFill="1" applyBorder="1" applyAlignment="1">
      <alignment horizontal="center" vertical="center" wrapText="1"/>
    </xf>
    <xf numFmtId="187" fontId="47" fillId="0" borderId="1" xfId="0" applyNumberFormat="1" applyFont="1" applyFill="1" applyBorder="1" applyAlignment="1">
      <alignment horizontal="center" vertical="center" wrapText="1"/>
    </xf>
    <xf numFmtId="187" fontId="47" fillId="0" borderId="6" xfId="0" applyNumberFormat="1" applyFont="1" applyFill="1" applyBorder="1" applyAlignment="1">
      <alignment horizontal="center" vertical="center" wrapText="1"/>
    </xf>
    <xf numFmtId="0" fontId="37" fillId="0" borderId="1" xfId="0" applyFont="1" applyFill="1" applyBorder="1">
      <alignment vertical="center"/>
    </xf>
    <xf numFmtId="14" fontId="37" fillId="0" borderId="1" xfId="0" applyNumberFormat="1" applyFont="1" applyFill="1" applyBorder="1" applyAlignment="1">
      <alignment horizontal="center" vertical="center" wrapText="1"/>
    </xf>
    <xf numFmtId="0" fontId="47" fillId="0" borderId="1" xfId="0" applyFont="1" applyFill="1" applyBorder="1" applyAlignment="1">
      <alignment horizontal="justify" vertical="center"/>
    </xf>
    <xf numFmtId="0" fontId="37" fillId="0" borderId="0" xfId="0" applyFont="1" applyFill="1" applyAlignment="1">
      <alignment horizontal="center" vertical="center"/>
    </xf>
    <xf numFmtId="188" fontId="96" fillId="0" borderId="16" xfId="0" applyNumberFormat="1" applyFont="1" applyFill="1" applyBorder="1" applyAlignment="1">
      <alignment horizontal="center" vertical="center"/>
    </xf>
    <xf numFmtId="0" fontId="55" fillId="0" borderId="16" xfId="0" applyNumberFormat="1" applyFont="1" applyFill="1" applyBorder="1" applyAlignment="1">
      <alignment horizontal="center" vertical="center" wrapText="1"/>
    </xf>
    <xf numFmtId="0" fontId="62" fillId="0" borderId="16" xfId="0" applyNumberFormat="1" applyFont="1" applyFill="1" applyBorder="1" applyAlignment="1">
      <alignment horizontal="center" vertical="center" shrinkToFit="1"/>
    </xf>
    <xf numFmtId="0" fontId="62" fillId="0" borderId="16" xfId="0" applyNumberFormat="1" applyFont="1" applyFill="1" applyBorder="1" applyAlignment="1">
      <alignment horizontal="center" vertical="center" wrapText="1" shrinkToFit="1"/>
    </xf>
    <xf numFmtId="0" fontId="62" fillId="3" borderId="1" xfId="0" applyFont="1" applyFill="1" applyBorder="1" applyAlignment="1">
      <alignment horizontal="center" vertical="center" wrapText="1"/>
    </xf>
    <xf numFmtId="186" fontId="97" fillId="0" borderId="9" xfId="0" applyNumberFormat="1" applyFont="1" applyFill="1" applyBorder="1" applyAlignment="1">
      <alignment horizontal="center" vertical="center" wrapText="1"/>
    </xf>
    <xf numFmtId="186" fontId="55" fillId="0" borderId="9" xfId="0" applyNumberFormat="1" applyFont="1" applyFill="1" applyBorder="1" applyAlignment="1">
      <alignment horizontal="center" vertical="center" wrapText="1"/>
    </xf>
    <xf numFmtId="191" fontId="62" fillId="0" borderId="1" xfId="0" applyNumberFormat="1" applyFont="1" applyFill="1" applyBorder="1" applyAlignment="1">
      <alignment horizontal="center" vertical="center" wrapText="1"/>
    </xf>
    <xf numFmtId="0" fontId="55" fillId="0" borderId="0" xfId="0" applyFont="1" applyFill="1" applyAlignment="1">
      <alignment horizontal="center" vertical="center"/>
    </xf>
    <xf numFmtId="193" fontId="55" fillId="0" borderId="0" xfId="0" applyNumberFormat="1" applyFont="1" applyFill="1" applyAlignment="1">
      <alignment horizontal="center" vertical="center" wrapText="1"/>
    </xf>
    <xf numFmtId="188" fontId="47" fillId="0" borderId="1" xfId="0" applyNumberFormat="1" applyFont="1" applyFill="1" applyBorder="1" applyAlignment="1" applyProtection="1">
      <alignment horizontal="center" vertical="center"/>
    </xf>
    <xf numFmtId="49" fontId="37" fillId="0" borderId="1" xfId="0" applyNumberFormat="1" applyFont="1" applyFill="1" applyBorder="1" applyAlignment="1" applyProtection="1">
      <alignment horizontal="center" vertical="center" wrapText="1"/>
      <protection locked="0"/>
    </xf>
    <xf numFmtId="0" fontId="47" fillId="0" borderId="1" xfId="0" applyFont="1" applyFill="1" applyBorder="1" applyAlignment="1" applyProtection="1">
      <alignment horizontal="center" vertical="center" wrapText="1"/>
      <protection locked="0"/>
    </xf>
    <xf numFmtId="0" fontId="47" fillId="0" borderId="1" xfId="0" applyNumberFormat="1" applyFont="1" applyFill="1" applyBorder="1" applyAlignment="1" applyProtection="1">
      <alignment horizontal="center" vertical="center" shrinkToFit="1"/>
      <protection locked="0"/>
    </xf>
    <xf numFmtId="0" fontId="47" fillId="0" borderId="1" xfId="0" applyFont="1" applyFill="1" applyBorder="1" applyAlignment="1" applyProtection="1">
      <alignment horizontal="center" vertical="center"/>
      <protection locked="0"/>
    </xf>
    <xf numFmtId="190" fontId="37" fillId="0" borderId="1" xfId="0" applyNumberFormat="1" applyFont="1" applyFill="1" applyBorder="1" applyAlignment="1" applyProtection="1">
      <alignment horizontal="center" vertical="center" wrapText="1" shrinkToFit="1"/>
      <protection locked="0"/>
    </xf>
    <xf numFmtId="14" fontId="37" fillId="0" borderId="1" xfId="0" applyNumberFormat="1" applyFont="1" applyFill="1" applyBorder="1" applyAlignment="1" applyProtection="1">
      <alignment horizontal="center" vertical="center"/>
      <protection locked="0"/>
    </xf>
    <xf numFmtId="186" fontId="47" fillId="0" borderId="1" xfId="0" applyNumberFormat="1" applyFont="1" applyFill="1" applyBorder="1" applyAlignment="1" applyProtection="1">
      <alignment horizontal="center" vertical="center" wrapText="1"/>
      <protection locked="0"/>
    </xf>
    <xf numFmtId="186" fontId="37" fillId="0" borderId="1" xfId="0" applyNumberFormat="1" applyFont="1" applyFill="1" applyBorder="1" applyAlignment="1" applyProtection="1">
      <alignment horizontal="center" vertical="center" wrapText="1"/>
      <protection locked="0"/>
    </xf>
    <xf numFmtId="0" fontId="47" fillId="0" borderId="1" xfId="0" applyFont="1" applyFill="1" applyBorder="1" applyAlignment="1" applyProtection="1">
      <alignment horizontal="justify" vertical="center"/>
      <protection locked="0"/>
    </xf>
    <xf numFmtId="0" fontId="33" fillId="0" borderId="1" xfId="0" applyFont="1" applyFill="1" applyBorder="1" applyAlignment="1" applyProtection="1">
      <alignment horizontal="center" vertical="center" wrapText="1"/>
      <protection locked="0"/>
    </xf>
    <xf numFmtId="187" fontId="47" fillId="0" borderId="1" xfId="0" applyNumberFormat="1" applyFont="1" applyFill="1" applyBorder="1" applyAlignment="1" applyProtection="1">
      <alignment horizontal="center" vertical="center"/>
      <protection locked="0"/>
    </xf>
    <xf numFmtId="187" fontId="33" fillId="4" borderId="1" xfId="0" applyNumberFormat="1" applyFont="1" applyFill="1" applyBorder="1" applyAlignment="1" applyProtection="1">
      <alignment horizontal="center" vertical="center"/>
      <protection locked="0"/>
    </xf>
    <xf numFmtId="187" fontId="33" fillId="0" borderId="1" xfId="0" applyNumberFormat="1" applyFont="1" applyFill="1" applyBorder="1" applyAlignment="1" applyProtection="1">
      <alignment horizontal="center" vertical="center"/>
      <protection locked="0"/>
    </xf>
    <xf numFmtId="182" fontId="33" fillId="0" borderId="1" xfId="0" applyNumberFormat="1" applyFont="1" applyFill="1" applyBorder="1" applyAlignment="1" applyProtection="1">
      <alignment horizontal="center" vertical="center"/>
      <protection locked="0"/>
    </xf>
    <xf numFmtId="182" fontId="33" fillId="0" borderId="1" xfId="0" applyNumberFormat="1" applyFont="1" applyFill="1" applyBorder="1" applyAlignment="1" applyProtection="1">
      <alignment horizontal="center" vertical="center" wrapText="1"/>
      <protection locked="0"/>
    </xf>
    <xf numFmtId="187" fontId="47" fillId="0" borderId="1" xfId="0" applyNumberFormat="1" applyFont="1" applyFill="1" applyBorder="1" applyAlignment="1" applyProtection="1">
      <alignment horizontal="center" vertical="center" wrapText="1"/>
      <protection locked="0"/>
    </xf>
    <xf numFmtId="187" fontId="47" fillId="0" borderId="6" xfId="0" applyNumberFormat="1" applyFont="1" applyFill="1" applyBorder="1" applyAlignment="1" applyProtection="1">
      <alignment horizontal="center" vertical="center" wrapText="1"/>
      <protection locked="0"/>
    </xf>
    <xf numFmtId="0" fontId="37" fillId="0" borderId="1" xfId="0" applyFont="1" applyFill="1" applyBorder="1" applyProtection="1">
      <alignment vertical="center"/>
      <protection locked="0"/>
    </xf>
    <xf numFmtId="0" fontId="37" fillId="0" borderId="0" xfId="0" applyFont="1" applyFill="1" applyAlignment="1" applyProtection="1">
      <alignment horizontal="center" vertical="center"/>
      <protection locked="0"/>
    </xf>
    <xf numFmtId="193" fontId="37" fillId="0" borderId="0" xfId="0" applyNumberFormat="1" applyFont="1" applyFill="1" applyAlignment="1" applyProtection="1">
      <alignment horizontal="center" vertical="center" wrapText="1"/>
      <protection locked="0"/>
    </xf>
    <xf numFmtId="188" fontId="96" fillId="0" borderId="16" xfId="0" applyNumberFormat="1" applyFont="1" applyFill="1" applyBorder="1" applyAlignment="1" applyProtection="1">
      <alignment horizontal="center" vertical="center"/>
    </xf>
    <xf numFmtId="0" fontId="62" fillId="0" borderId="16" xfId="0" applyFont="1" applyFill="1" applyBorder="1" applyAlignment="1" applyProtection="1">
      <alignment horizontal="center" vertical="center" wrapText="1"/>
      <protection locked="0"/>
    </xf>
    <xf numFmtId="0" fontId="62" fillId="0" borderId="1" xfId="0" applyFont="1" applyFill="1" applyBorder="1" applyAlignment="1" applyProtection="1">
      <alignment horizontal="center" vertical="center"/>
      <protection locked="0"/>
    </xf>
    <xf numFmtId="0" fontId="62" fillId="0" borderId="1" xfId="0" applyFont="1" applyFill="1" applyBorder="1" applyAlignment="1" applyProtection="1">
      <alignment horizontal="center" vertical="center" wrapText="1"/>
      <protection locked="0"/>
    </xf>
    <xf numFmtId="190" fontId="55" fillId="0" borderId="1" xfId="0" applyNumberFormat="1" applyFont="1" applyFill="1" applyBorder="1" applyAlignment="1" applyProtection="1">
      <alignment horizontal="center" vertical="center" wrapText="1" shrinkToFit="1"/>
      <protection locked="0"/>
    </xf>
    <xf numFmtId="186" fontId="62" fillId="0" borderId="1" xfId="0" applyNumberFormat="1" applyFont="1" applyFill="1" applyBorder="1" applyAlignment="1" applyProtection="1">
      <alignment horizontal="center" vertical="center" wrapText="1"/>
      <protection locked="0"/>
    </xf>
    <xf numFmtId="186" fontId="97" fillId="0" borderId="9" xfId="0" applyNumberFormat="1" applyFont="1" applyFill="1" applyBorder="1" applyAlignment="1" applyProtection="1">
      <alignment horizontal="center" vertical="center" wrapText="1"/>
      <protection locked="0"/>
    </xf>
    <xf numFmtId="0" fontId="62" fillId="0" borderId="1" xfId="0" applyFont="1" applyFill="1" applyBorder="1" applyAlignment="1" applyProtection="1">
      <alignment horizontal="justify" vertical="center"/>
      <protection locked="0"/>
    </xf>
    <xf numFmtId="0" fontId="62" fillId="0" borderId="16" xfId="0" applyFont="1" applyFill="1" applyBorder="1" applyAlignment="1" applyProtection="1">
      <alignment horizontal="center" vertical="center"/>
      <protection locked="0"/>
    </xf>
    <xf numFmtId="191" fontId="62" fillId="0" borderId="1" xfId="0" applyNumberFormat="1" applyFont="1" applyFill="1" applyBorder="1" applyAlignment="1" applyProtection="1">
      <alignment horizontal="center" vertical="center" wrapText="1"/>
      <protection locked="0"/>
    </xf>
    <xf numFmtId="187" fontId="62" fillId="0" borderId="1" xfId="0" applyNumberFormat="1" applyFont="1" applyFill="1" applyBorder="1" applyAlignment="1" applyProtection="1">
      <alignment horizontal="center" vertical="center"/>
      <protection locked="0"/>
    </xf>
    <xf numFmtId="182" fontId="62" fillId="0" borderId="1" xfId="0" applyNumberFormat="1" applyFont="1" applyFill="1" applyBorder="1" applyAlignment="1" applyProtection="1">
      <alignment horizontal="center" vertical="center"/>
      <protection locked="0"/>
    </xf>
    <xf numFmtId="182" fontId="62" fillId="0" borderId="1" xfId="0" applyNumberFormat="1" applyFont="1" applyFill="1" applyBorder="1" applyAlignment="1" applyProtection="1">
      <alignment horizontal="center" vertical="center" wrapText="1"/>
      <protection locked="0"/>
    </xf>
    <xf numFmtId="0" fontId="52" fillId="0" borderId="0" xfId="0" applyFont="1" applyFill="1" applyAlignment="1" applyProtection="1">
      <alignment horizontal="center" vertical="center"/>
      <protection locked="0"/>
    </xf>
    <xf numFmtId="193" fontId="64" fillId="0" borderId="0" xfId="0" applyNumberFormat="1" applyFont="1" applyFill="1" applyAlignment="1" applyProtection="1">
      <alignment horizontal="center" vertical="center" wrapText="1"/>
      <protection locked="0"/>
    </xf>
    <xf numFmtId="0" fontId="55" fillId="0" borderId="0" xfId="0" applyFont="1" applyFill="1" applyAlignment="1" applyProtection="1">
      <alignment horizontal="center" vertical="center"/>
      <protection locked="0"/>
    </xf>
    <xf numFmtId="194" fontId="62" fillId="0" borderId="1" xfId="0" applyNumberFormat="1" applyFont="1" applyFill="1" applyBorder="1" applyAlignment="1" applyProtection="1">
      <alignment horizontal="center" vertical="center"/>
      <protection locked="0"/>
    </xf>
    <xf numFmtId="195" fontId="47" fillId="0" borderId="1" xfId="0" applyNumberFormat="1" applyFont="1" applyFill="1" applyBorder="1" applyAlignment="1" applyProtection="1">
      <alignment horizontal="center" vertical="center"/>
      <protection locked="0"/>
    </xf>
    <xf numFmtId="49" fontId="47" fillId="0" borderId="1" xfId="0" applyNumberFormat="1" applyFont="1" applyFill="1" applyBorder="1" applyAlignment="1" applyProtection="1">
      <alignment horizontal="center" vertical="center" wrapText="1"/>
      <protection locked="0"/>
    </xf>
    <xf numFmtId="0" fontId="46" fillId="0" borderId="1" xfId="0" applyFont="1" applyFill="1" applyBorder="1" applyAlignment="1" applyProtection="1">
      <alignment horizontal="center" vertical="center" wrapText="1"/>
      <protection locked="0"/>
    </xf>
    <xf numFmtId="0" fontId="46" fillId="0" borderId="1" xfId="0" applyFont="1" applyFill="1" applyBorder="1" applyAlignment="1" applyProtection="1">
      <alignment horizontal="center" vertical="center"/>
      <protection locked="0"/>
    </xf>
    <xf numFmtId="187" fontId="46" fillId="4" borderId="1" xfId="0" applyNumberFormat="1" applyFont="1" applyFill="1" applyBorder="1" applyAlignment="1" applyProtection="1">
      <alignment horizontal="center" vertical="center"/>
      <protection locked="0"/>
    </xf>
    <xf numFmtId="182" fontId="47" fillId="0" borderId="1" xfId="0" applyNumberFormat="1" applyFont="1" applyFill="1" applyBorder="1" applyAlignment="1" applyProtection="1">
      <alignment horizontal="center" vertical="center" wrapText="1"/>
      <protection locked="0"/>
    </xf>
    <xf numFmtId="0" fontId="36" fillId="4" borderId="0" xfId="0" applyFont="1" applyFill="1" applyProtection="1">
      <alignment vertical="center"/>
      <protection locked="0"/>
    </xf>
    <xf numFmtId="182" fontId="46" fillId="4" borderId="1" xfId="0" applyNumberFormat="1" applyFont="1" applyFill="1" applyBorder="1" applyAlignment="1" applyProtection="1">
      <alignment horizontal="center" vertical="center"/>
      <protection locked="0"/>
    </xf>
    <xf numFmtId="182" fontId="46" fillId="4" borderId="1" xfId="0" applyNumberFormat="1" applyFont="1" applyFill="1" applyBorder="1" applyAlignment="1" applyProtection="1">
      <alignment horizontal="center" vertical="center" wrapText="1"/>
      <protection locked="0"/>
    </xf>
    <xf numFmtId="0" fontId="34" fillId="4" borderId="0" xfId="0" applyFont="1" applyFill="1" applyProtection="1">
      <alignment vertical="center"/>
      <protection locked="0"/>
    </xf>
    <xf numFmtId="3" fontId="47" fillId="0" borderId="1" xfId="0" applyNumberFormat="1" applyFont="1" applyFill="1" applyBorder="1" applyAlignment="1" applyProtection="1">
      <alignment horizontal="center" vertical="center"/>
      <protection locked="0"/>
    </xf>
    <xf numFmtId="0" fontId="47" fillId="0" borderId="6" xfId="0" applyFont="1" applyFill="1" applyBorder="1" applyAlignment="1" applyProtection="1">
      <alignment horizontal="center" vertical="center"/>
      <protection locked="0"/>
    </xf>
    <xf numFmtId="0" fontId="55" fillId="3" borderId="1" xfId="0" applyNumberFormat="1" applyFont="1" applyFill="1" applyBorder="1" applyAlignment="1" applyProtection="1">
      <alignment horizontal="center" vertical="center" wrapText="1"/>
      <protection locked="0"/>
    </xf>
    <xf numFmtId="0" fontId="55" fillId="0" borderId="1" xfId="0" applyNumberFormat="1" applyFont="1" applyFill="1" applyBorder="1" applyAlignment="1" applyProtection="1">
      <alignment horizontal="center" vertical="center" wrapText="1"/>
      <protection locked="0"/>
    </xf>
    <xf numFmtId="186" fontId="47" fillId="0" borderId="7" xfId="0" applyNumberFormat="1" applyFont="1" applyFill="1" applyBorder="1" applyAlignment="1" applyProtection="1">
      <alignment horizontal="center" vertical="center" wrapText="1"/>
      <protection locked="0"/>
    </xf>
    <xf numFmtId="0" fontId="47" fillId="3" borderId="1" xfId="0" applyFont="1" applyFill="1" applyBorder="1" applyAlignment="1" applyProtection="1">
      <alignment horizontal="center" vertical="center" wrapText="1"/>
      <protection locked="0"/>
    </xf>
    <xf numFmtId="0" fontId="47" fillId="0" borderId="1" xfId="0" applyFont="1" applyFill="1" applyBorder="1" applyAlignment="1" applyProtection="1">
      <alignment horizontal="center" vertical="center" wrapText="1"/>
    </xf>
    <xf numFmtId="0" fontId="47" fillId="0" borderId="1" xfId="0" applyFont="1" applyFill="1" applyBorder="1" applyAlignment="1" applyProtection="1">
      <alignment horizontal="center" vertical="center"/>
    </xf>
    <xf numFmtId="187" fontId="47" fillId="0" borderId="1" xfId="0" applyNumberFormat="1" applyFont="1" applyFill="1" applyBorder="1" applyAlignment="1" applyProtection="1">
      <alignment horizontal="center" vertical="center"/>
    </xf>
    <xf numFmtId="187" fontId="47" fillId="3" borderId="1" xfId="0" applyNumberFormat="1" applyFont="1" applyFill="1" applyBorder="1" applyAlignment="1" applyProtection="1">
      <alignment horizontal="center" vertical="center"/>
      <protection locked="0"/>
    </xf>
    <xf numFmtId="187" fontId="43" fillId="3" borderId="1" xfId="0" applyNumberFormat="1" applyFont="1" applyFill="1" applyBorder="1" applyAlignment="1" applyProtection="1">
      <alignment horizontal="center" vertical="center"/>
      <protection locked="0"/>
    </xf>
    <xf numFmtId="182" fontId="47" fillId="3" borderId="6" xfId="0" applyNumberFormat="1" applyFont="1" applyFill="1" applyBorder="1" applyAlignment="1" applyProtection="1">
      <alignment horizontal="center" vertical="center" wrapText="1"/>
      <protection locked="0"/>
    </xf>
    <xf numFmtId="182" fontId="47" fillId="0" borderId="19" xfId="0" applyNumberFormat="1" applyFont="1" applyFill="1" applyBorder="1" applyAlignment="1" applyProtection="1">
      <alignment horizontal="center" vertical="center" wrapText="1"/>
      <protection locked="0"/>
    </xf>
    <xf numFmtId="182" fontId="47" fillId="3" borderId="1" xfId="0" applyNumberFormat="1" applyFont="1" applyFill="1" applyBorder="1" applyAlignment="1" applyProtection="1">
      <alignment horizontal="center" vertical="center" wrapText="1"/>
      <protection locked="0"/>
    </xf>
    <xf numFmtId="182" fontId="47" fillId="0" borderId="1" xfId="0" applyNumberFormat="1" applyFont="1" applyFill="1" applyBorder="1" applyAlignment="1" applyProtection="1">
      <alignment horizontal="center" vertical="center"/>
      <protection locked="0"/>
    </xf>
    <xf numFmtId="187" fontId="47" fillId="0" borderId="7" xfId="0" applyNumberFormat="1" applyFont="1" applyFill="1" applyBorder="1" applyAlignment="1" applyProtection="1">
      <alignment horizontal="center" vertical="center" wrapText="1"/>
      <protection locked="0"/>
    </xf>
    <xf numFmtId="0" fontId="37" fillId="0" borderId="1" xfId="0" applyFont="1" applyFill="1" applyBorder="1" applyAlignment="1" applyProtection="1">
      <alignment horizontal="center" vertical="center"/>
      <protection locked="0"/>
    </xf>
    <xf numFmtId="0" fontId="47" fillId="0" borderId="7" xfId="0" applyFont="1" applyFill="1" applyBorder="1" applyAlignment="1" applyProtection="1">
      <alignment horizontal="center" vertical="center" wrapText="1"/>
      <protection locked="0"/>
    </xf>
    <xf numFmtId="188" fontId="47" fillId="7" borderId="1" xfId="0" applyNumberFormat="1" applyFont="1" applyFill="1" applyBorder="1" applyAlignment="1" applyProtection="1">
      <alignment horizontal="center" vertical="center"/>
    </xf>
    <xf numFmtId="49" fontId="37" fillId="7" borderId="1" xfId="0" applyNumberFormat="1" applyFont="1" applyFill="1" applyBorder="1" applyAlignment="1" applyProtection="1">
      <alignment horizontal="center" vertical="center" wrapText="1"/>
      <protection locked="0"/>
    </xf>
    <xf numFmtId="0" fontId="47" fillId="7" borderId="1" xfId="0" applyFont="1" applyFill="1" applyBorder="1" applyAlignment="1" applyProtection="1">
      <alignment horizontal="center" vertical="center" wrapText="1"/>
      <protection locked="0"/>
    </xf>
    <xf numFmtId="0" fontId="47" fillId="7" borderId="1" xfId="0" applyNumberFormat="1" applyFont="1" applyFill="1" applyBorder="1" applyAlignment="1" applyProtection="1">
      <alignment horizontal="center" vertical="center" shrinkToFit="1"/>
      <protection locked="0"/>
    </xf>
    <xf numFmtId="0" fontId="47" fillId="7" borderId="1" xfId="0" applyFont="1" applyFill="1" applyBorder="1" applyAlignment="1" applyProtection="1">
      <alignment horizontal="center" vertical="center"/>
      <protection locked="0"/>
    </xf>
    <xf numFmtId="190" fontId="37" fillId="7" borderId="1" xfId="0" applyNumberFormat="1" applyFont="1" applyFill="1" applyBorder="1" applyAlignment="1" applyProtection="1">
      <alignment horizontal="center" vertical="center" wrapText="1" shrinkToFit="1"/>
      <protection locked="0"/>
    </xf>
    <xf numFmtId="14" fontId="37" fillId="7" borderId="1" xfId="0" applyNumberFormat="1" applyFont="1" applyFill="1" applyBorder="1" applyAlignment="1" applyProtection="1">
      <alignment horizontal="center" vertical="center" wrapText="1"/>
      <protection locked="0"/>
    </xf>
    <xf numFmtId="186" fontId="47" fillId="7" borderId="1" xfId="0" applyNumberFormat="1" applyFont="1" applyFill="1" applyBorder="1" applyAlignment="1" applyProtection="1">
      <alignment horizontal="center" vertical="center" wrapText="1"/>
      <protection locked="0"/>
    </xf>
    <xf numFmtId="186" fontId="37" fillId="7" borderId="9" xfId="0" applyNumberFormat="1" applyFont="1" applyFill="1" applyBorder="1" applyAlignment="1" applyProtection="1">
      <alignment horizontal="center" vertical="center" wrapText="1"/>
      <protection locked="0"/>
    </xf>
    <xf numFmtId="186" fontId="37" fillId="7" borderId="1" xfId="0" applyNumberFormat="1" applyFont="1" applyFill="1" applyBorder="1" applyAlignment="1" applyProtection="1">
      <alignment horizontal="center" vertical="center" wrapText="1"/>
      <protection locked="0"/>
    </xf>
    <xf numFmtId="0" fontId="47" fillId="4" borderId="1" xfId="0" applyFont="1" applyFill="1" applyBorder="1" applyAlignment="1" applyProtection="1">
      <alignment horizontal="center" vertical="center" wrapText="1"/>
      <protection locked="0"/>
    </xf>
    <xf numFmtId="0" fontId="47" fillId="7" borderId="1" xfId="0" applyFont="1" applyFill="1" applyBorder="1" applyAlignment="1" applyProtection="1">
      <alignment horizontal="center" vertical="center"/>
    </xf>
    <xf numFmtId="187" fontId="47" fillId="7" borderId="1" xfId="0" applyNumberFormat="1" applyFont="1" applyFill="1" applyBorder="1" applyAlignment="1" applyProtection="1">
      <alignment horizontal="center" vertical="center"/>
      <protection locked="0"/>
    </xf>
    <xf numFmtId="187" fontId="47" fillId="4" borderId="1" xfId="0" applyNumberFormat="1" applyFont="1" applyFill="1" applyBorder="1" applyAlignment="1" applyProtection="1">
      <alignment horizontal="center" vertical="center"/>
      <protection locked="0"/>
    </xf>
    <xf numFmtId="187" fontId="47" fillId="7" borderId="1" xfId="0" applyNumberFormat="1" applyFont="1" applyFill="1" applyBorder="1" applyAlignment="1" applyProtection="1">
      <alignment horizontal="center" vertical="center"/>
    </xf>
    <xf numFmtId="182" fontId="47" fillId="4" borderId="1" xfId="0" applyNumberFormat="1" applyFont="1" applyFill="1" applyBorder="1" applyAlignment="1" applyProtection="1">
      <alignment horizontal="center" vertical="center"/>
      <protection locked="0"/>
    </xf>
    <xf numFmtId="182" fontId="47" fillId="4" borderId="1" xfId="0" applyNumberFormat="1" applyFont="1" applyFill="1" applyBorder="1" applyAlignment="1" applyProtection="1">
      <alignment horizontal="center" vertical="center" wrapText="1"/>
      <protection locked="0"/>
    </xf>
    <xf numFmtId="187" fontId="47" fillId="7" borderId="1" xfId="0" applyNumberFormat="1" applyFont="1" applyFill="1" applyBorder="1" applyAlignment="1" applyProtection="1">
      <alignment horizontal="center" vertical="center" wrapText="1"/>
    </xf>
    <xf numFmtId="187" fontId="47" fillId="7" borderId="6" xfId="0" applyNumberFormat="1" applyFont="1" applyFill="1" applyBorder="1" applyAlignment="1" applyProtection="1">
      <alignment horizontal="center" vertical="center" wrapText="1"/>
    </xf>
    <xf numFmtId="0" fontId="37" fillId="7" borderId="1" xfId="0" applyFont="1" applyFill="1" applyBorder="1" applyProtection="1">
      <alignment vertical="center"/>
      <protection locked="0"/>
    </xf>
    <xf numFmtId="0" fontId="37" fillId="7" borderId="0" xfId="0" applyFont="1" applyFill="1" applyAlignment="1" applyProtection="1">
      <alignment horizontal="center" vertical="center"/>
      <protection locked="0"/>
    </xf>
    <xf numFmtId="193" fontId="37" fillId="7" borderId="0" xfId="0" applyNumberFormat="1" applyFont="1" applyFill="1" applyAlignment="1" applyProtection="1">
      <alignment horizontal="center" vertical="center" wrapText="1"/>
      <protection locked="0"/>
    </xf>
    <xf numFmtId="0" fontId="37" fillId="7" borderId="1" xfId="0" applyFont="1" applyFill="1" applyBorder="1" applyProtection="1">
      <alignment vertical="center"/>
    </xf>
    <xf numFmtId="49" fontId="37" fillId="0" borderId="16" xfId="0" applyNumberFormat="1" applyFont="1" applyFill="1" applyBorder="1" applyAlignment="1" applyProtection="1">
      <alignment horizontal="center" vertical="center" wrapText="1"/>
      <protection locked="0"/>
    </xf>
    <xf numFmtId="0" fontId="47" fillId="0" borderId="16" xfId="0" applyFont="1" applyFill="1" applyBorder="1" applyAlignment="1" applyProtection="1">
      <alignment horizontal="center" vertical="center" wrapText="1"/>
      <protection locked="0"/>
    </xf>
    <xf numFmtId="0" fontId="47" fillId="0" borderId="16" xfId="0" applyNumberFormat="1" applyFont="1" applyFill="1" applyBorder="1" applyAlignment="1" applyProtection="1">
      <alignment horizontal="center" vertical="center" shrinkToFit="1"/>
      <protection locked="0"/>
    </xf>
    <xf numFmtId="0" fontId="47" fillId="0" borderId="16" xfId="0" applyNumberFormat="1" applyFont="1" applyFill="1" applyBorder="1" applyAlignment="1" applyProtection="1">
      <alignment horizontal="center" vertical="center" wrapText="1" shrinkToFit="1"/>
      <protection locked="0"/>
    </xf>
    <xf numFmtId="0" fontId="62" fillId="0" borderId="1" xfId="0" applyFont="1" applyFill="1" applyBorder="1" applyAlignment="1" applyProtection="1">
      <alignment horizontal="center" vertical="center"/>
    </xf>
    <xf numFmtId="0" fontId="68" fillId="0" borderId="1" xfId="0" applyFont="1" applyFill="1" applyBorder="1" applyAlignment="1" applyProtection="1">
      <alignment horizontal="center" vertical="center" wrapText="1"/>
      <protection locked="0"/>
    </xf>
    <xf numFmtId="193" fontId="55" fillId="0" borderId="0" xfId="0" applyNumberFormat="1" applyFont="1" applyFill="1" applyAlignment="1" applyProtection="1">
      <alignment horizontal="center" vertical="center" wrapText="1"/>
      <protection locked="0"/>
    </xf>
    <xf numFmtId="0" fontId="110" fillId="0" borderId="1" xfId="0" applyNumberFormat="1" applyFont="1" applyFill="1" applyBorder="1" applyAlignment="1" applyProtection="1">
      <alignment horizontal="center" vertical="center" wrapText="1"/>
      <protection locked="0"/>
    </xf>
    <xf numFmtId="188" fontId="62" fillId="0" borderId="16" xfId="0" applyNumberFormat="1" applyFont="1" applyFill="1" applyBorder="1" applyAlignment="1" applyProtection="1">
      <alignment horizontal="center" vertical="center"/>
    </xf>
    <xf numFmtId="49" fontId="55" fillId="0" borderId="16" xfId="0" applyNumberFormat="1" applyFont="1" applyFill="1" applyBorder="1" applyAlignment="1" applyProtection="1">
      <alignment horizontal="center" vertical="center" wrapText="1"/>
      <protection locked="0"/>
    </xf>
    <xf numFmtId="0" fontId="62" fillId="0" borderId="16" xfId="0" applyNumberFormat="1" applyFont="1" applyFill="1" applyBorder="1" applyAlignment="1" applyProtection="1">
      <alignment horizontal="center" vertical="center" shrinkToFit="1"/>
      <protection locked="0"/>
    </xf>
    <xf numFmtId="0" fontId="62" fillId="0" borderId="9" xfId="0" applyFont="1" applyFill="1" applyBorder="1" applyAlignment="1" applyProtection="1">
      <alignment horizontal="center" vertical="center" wrapText="1"/>
      <protection locked="0"/>
    </xf>
    <xf numFmtId="186" fontId="62" fillId="0" borderId="9" xfId="0" applyNumberFormat="1" applyFont="1" applyFill="1" applyBorder="1" applyAlignment="1" applyProtection="1">
      <alignment horizontal="center" vertical="center" wrapText="1"/>
      <protection locked="0"/>
    </xf>
    <xf numFmtId="186" fontId="111" fillId="4" borderId="1" xfId="0" applyNumberFormat="1" applyFont="1" applyFill="1" applyBorder="1" applyAlignment="1" applyProtection="1">
      <alignment horizontal="center" vertical="center" wrapText="1"/>
      <protection locked="0"/>
    </xf>
    <xf numFmtId="187" fontId="62" fillId="0" borderId="9" xfId="0" applyNumberFormat="1" applyFont="1" applyFill="1" applyBorder="1" applyAlignment="1" applyProtection="1">
      <alignment horizontal="center" vertical="center"/>
      <protection locked="0"/>
    </xf>
    <xf numFmtId="186" fontId="55" fillId="0" borderId="9" xfId="0" applyNumberFormat="1" applyFont="1" applyFill="1" applyBorder="1" applyAlignment="1" applyProtection="1">
      <alignment horizontal="center" vertical="center" wrapText="1"/>
      <protection locked="0"/>
    </xf>
    <xf numFmtId="186" fontId="37" fillId="0" borderId="9" xfId="0" applyNumberFormat="1" applyFont="1" applyFill="1" applyBorder="1" applyAlignment="1" applyProtection="1">
      <alignment horizontal="center" vertical="center" wrapText="1"/>
      <protection locked="0"/>
    </xf>
    <xf numFmtId="0" fontId="62" fillId="0" borderId="1" xfId="0" applyFont="1" applyFill="1" applyBorder="1" applyAlignment="1" applyProtection="1">
      <alignment horizontal="center" vertical="center" wrapText="1"/>
    </xf>
    <xf numFmtId="187" fontId="62" fillId="0" borderId="1" xfId="0" applyNumberFormat="1" applyFont="1" applyFill="1" applyBorder="1" applyAlignment="1" applyProtection="1">
      <alignment horizontal="center" vertical="center"/>
    </xf>
    <xf numFmtId="0" fontId="50" fillId="3" borderId="1" xfId="0" applyFont="1" applyFill="1" applyBorder="1" applyAlignment="1" applyProtection="1">
      <alignment horizontal="center" vertical="center" wrapText="1"/>
      <protection locked="0"/>
    </xf>
    <xf numFmtId="182" fontId="62" fillId="0" borderId="1" xfId="0" applyNumberFormat="1" applyFont="1" applyFill="1" applyBorder="1" applyAlignment="1" applyProtection="1">
      <alignment horizontal="center" vertical="center"/>
    </xf>
    <xf numFmtId="182" fontId="62" fillId="0" borderId="1" xfId="0" applyNumberFormat="1" applyFont="1" applyFill="1" applyBorder="1" applyAlignment="1" applyProtection="1">
      <alignment horizontal="center" vertical="center" wrapText="1"/>
    </xf>
    <xf numFmtId="190" fontId="37" fillId="0" borderId="1" xfId="0" applyNumberFormat="1" applyFont="1" applyFill="1" applyBorder="1" applyAlignment="1" applyProtection="1">
      <alignment horizontal="center" vertical="center" wrapText="1" shrinkToFit="1"/>
    </xf>
    <xf numFmtId="0" fontId="47" fillId="0" borderId="1" xfId="0" applyFont="1" applyFill="1" applyBorder="1" applyAlignment="1" applyProtection="1">
      <alignment horizontal="justify" vertical="center" wrapText="1"/>
      <protection locked="0"/>
    </xf>
    <xf numFmtId="14" fontId="37" fillId="0" borderId="1" xfId="0" applyNumberFormat="1" applyFont="1" applyFill="1" applyBorder="1" applyAlignment="1" applyProtection="1">
      <alignment horizontal="center" vertical="center" wrapText="1"/>
      <protection locked="0"/>
    </xf>
    <xf numFmtId="0" fontId="33" fillId="3" borderId="1" xfId="0" applyFont="1" applyFill="1" applyBorder="1" applyAlignment="1" applyProtection="1">
      <alignment horizontal="center" vertical="center" wrapText="1"/>
      <protection locked="0"/>
    </xf>
    <xf numFmtId="187" fontId="33" fillId="3" borderId="1" xfId="0" applyNumberFormat="1" applyFont="1" applyFill="1" applyBorder="1" applyAlignment="1" applyProtection="1">
      <alignment horizontal="center" vertical="center"/>
      <protection locked="0"/>
    </xf>
    <xf numFmtId="182" fontId="33" fillId="3" borderId="1" xfId="0" applyNumberFormat="1" applyFont="1" applyFill="1" applyBorder="1" applyAlignment="1" applyProtection="1">
      <alignment horizontal="center" vertical="center"/>
      <protection locked="0"/>
    </xf>
    <xf numFmtId="182" fontId="33" fillId="3" borderId="1" xfId="0" applyNumberFormat="1" applyFont="1" applyFill="1" applyBorder="1" applyAlignment="1" applyProtection="1">
      <alignment horizontal="center" vertical="center" wrapText="1"/>
      <protection locked="0"/>
    </xf>
    <xf numFmtId="0" fontId="37" fillId="0" borderId="1" xfId="0" applyFont="1" applyFill="1" applyBorder="1" applyProtection="1">
      <alignment vertical="center"/>
    </xf>
    <xf numFmtId="0" fontId="33" fillId="4" borderId="1" xfId="0" applyFont="1" applyFill="1" applyBorder="1" applyAlignment="1" applyProtection="1">
      <alignment horizontal="center" vertical="center" wrapText="1"/>
      <protection locked="0"/>
    </xf>
    <xf numFmtId="187" fontId="33" fillId="4" borderId="0" xfId="0" applyNumberFormat="1" applyFont="1" applyFill="1" applyBorder="1" applyAlignment="1" applyProtection="1">
      <alignment horizontal="center" vertical="center"/>
      <protection locked="0"/>
    </xf>
    <xf numFmtId="182" fontId="33" fillId="4" borderId="0" xfId="0" applyNumberFormat="1" applyFont="1" applyFill="1" applyBorder="1" applyAlignment="1" applyProtection="1">
      <alignment horizontal="center" vertical="center"/>
      <protection locked="0"/>
    </xf>
    <xf numFmtId="182" fontId="33" fillId="4" borderId="0" xfId="0" applyNumberFormat="1" applyFont="1" applyFill="1" applyBorder="1" applyAlignment="1" applyProtection="1">
      <alignment horizontal="center" vertical="center" wrapText="1"/>
      <protection locked="0"/>
    </xf>
    <xf numFmtId="187" fontId="47" fillId="0" borderId="0" xfId="0" applyNumberFormat="1" applyFont="1" applyFill="1" applyBorder="1" applyAlignment="1" applyProtection="1">
      <alignment horizontal="center" vertical="center" wrapText="1"/>
      <protection locked="0"/>
    </xf>
    <xf numFmtId="0" fontId="37" fillId="0" borderId="0" xfId="0" applyFont="1" applyFill="1" applyBorder="1" applyAlignment="1" applyProtection="1">
      <alignment horizontal="center" vertical="center"/>
      <protection locked="0"/>
    </xf>
    <xf numFmtId="193" fontId="37" fillId="0" borderId="0" xfId="0" applyNumberFormat="1" applyFont="1" applyFill="1" applyBorder="1" applyAlignment="1" applyProtection="1">
      <alignment horizontal="center" vertical="center" wrapText="1"/>
      <protection locked="0"/>
    </xf>
    <xf numFmtId="182" fontId="33" fillId="4" borderId="1" xfId="0" applyNumberFormat="1" applyFont="1" applyFill="1" applyBorder="1" applyAlignment="1" applyProtection="1">
      <alignment horizontal="center" vertical="center"/>
      <protection locked="0"/>
    </xf>
    <xf numFmtId="182" fontId="33" fillId="4" borderId="1" xfId="0" applyNumberFormat="1" applyFont="1" applyFill="1" applyBorder="1" applyAlignment="1" applyProtection="1">
      <alignment horizontal="center" vertical="center" wrapText="1"/>
      <protection locked="0"/>
    </xf>
    <xf numFmtId="14" fontId="42" fillId="0" borderId="1" xfId="0" applyNumberFormat="1" applyFont="1" applyFill="1" applyBorder="1" applyAlignment="1" applyProtection="1">
      <alignment horizontal="center" vertical="center" wrapText="1"/>
      <protection locked="0"/>
    </xf>
    <xf numFmtId="0" fontId="47" fillId="3" borderId="0" xfId="0" applyFont="1" applyFill="1" applyAlignment="1" applyProtection="1">
      <alignment horizontal="center" vertical="center" wrapText="1"/>
      <protection locked="0"/>
    </xf>
    <xf numFmtId="182" fontId="47" fillId="3" borderId="0" xfId="0" applyNumberFormat="1" applyFont="1" applyFill="1" applyAlignment="1" applyProtection="1">
      <alignment horizontal="center" vertical="center" wrapText="1"/>
      <protection locked="0"/>
    </xf>
    <xf numFmtId="187" fontId="47" fillId="3" borderId="0" xfId="0" applyNumberFormat="1" applyFont="1" applyFill="1" applyAlignment="1" applyProtection="1">
      <alignment horizontal="center" vertical="center"/>
      <protection locked="0"/>
    </xf>
    <xf numFmtId="187" fontId="47" fillId="0" borderId="16" xfId="0" applyNumberFormat="1" applyFont="1" applyFill="1" applyBorder="1" applyAlignment="1" applyProtection="1">
      <alignment horizontal="center" vertical="center"/>
    </xf>
    <xf numFmtId="187" fontId="47" fillId="0" borderId="16" xfId="0" applyNumberFormat="1" applyFont="1" applyFill="1" applyBorder="1" applyAlignment="1" applyProtection="1">
      <alignment horizontal="center" vertical="center"/>
      <protection locked="0"/>
    </xf>
    <xf numFmtId="187" fontId="47" fillId="0" borderId="16" xfId="0" applyNumberFormat="1" applyFont="1" applyFill="1" applyBorder="1" applyAlignment="1" applyProtection="1">
      <alignment horizontal="center" vertical="center" wrapText="1"/>
      <protection locked="0"/>
    </xf>
    <xf numFmtId="0" fontId="47" fillId="4" borderId="0" xfId="0" applyFont="1" applyFill="1" applyAlignment="1" applyProtection="1">
      <alignment horizontal="center" vertical="center" wrapText="1"/>
      <protection locked="0"/>
    </xf>
    <xf numFmtId="182" fontId="47" fillId="4" borderId="0" xfId="0" applyNumberFormat="1" applyFont="1" applyFill="1" applyAlignment="1" applyProtection="1">
      <alignment horizontal="center" vertical="center" wrapText="1"/>
      <protection locked="0"/>
    </xf>
    <xf numFmtId="187" fontId="47" fillId="4" borderId="0" xfId="0" applyNumberFormat="1" applyFont="1" applyFill="1" applyAlignment="1" applyProtection="1">
      <alignment horizontal="center" vertical="center"/>
      <protection locked="0"/>
    </xf>
    <xf numFmtId="0" fontId="61" fillId="0" borderId="1" xfId="0" applyNumberFormat="1" applyFont="1" applyFill="1" applyBorder="1" applyAlignment="1" applyProtection="1">
      <alignment horizontal="center" vertical="center" wrapText="1"/>
      <protection locked="0"/>
    </xf>
    <xf numFmtId="14" fontId="42" fillId="0" borderId="16" xfId="0" applyNumberFormat="1" applyFont="1" applyFill="1" applyBorder="1" applyAlignment="1" applyProtection="1">
      <alignment horizontal="center" vertical="center" wrapText="1"/>
      <protection locked="0"/>
    </xf>
    <xf numFmtId="187" fontId="47" fillId="3" borderId="1" xfId="0" applyNumberFormat="1" applyFont="1" applyFill="1" applyBorder="1" applyAlignment="1" applyProtection="1">
      <alignment horizontal="center" vertical="center"/>
    </xf>
    <xf numFmtId="187" fontId="47" fillId="3" borderId="9" xfId="0" applyNumberFormat="1" applyFont="1" applyFill="1" applyBorder="1" applyAlignment="1" applyProtection="1">
      <alignment horizontal="center" vertical="center" wrapText="1"/>
    </xf>
    <xf numFmtId="187" fontId="47" fillId="3" borderId="10" xfId="0" applyNumberFormat="1" applyFont="1" applyFill="1" applyBorder="1" applyAlignment="1" applyProtection="1">
      <alignment horizontal="center" vertical="center" wrapText="1"/>
    </xf>
    <xf numFmtId="0" fontId="33" fillId="0" borderId="0" xfId="0" applyFont="1" applyFill="1" applyAlignment="1" applyProtection="1">
      <alignment horizontal="center" vertical="center" wrapText="1"/>
      <protection locked="0"/>
    </xf>
    <xf numFmtId="182" fontId="33" fillId="0" borderId="0" xfId="0" applyNumberFormat="1" applyFont="1" applyFill="1" applyAlignment="1" applyProtection="1">
      <alignment horizontal="center" vertical="center" wrapText="1"/>
      <protection locked="0"/>
    </xf>
    <xf numFmtId="187" fontId="33" fillId="0" borderId="0" xfId="0" applyNumberFormat="1" applyFont="1" applyFill="1" applyAlignment="1" applyProtection="1">
      <alignment horizontal="center" vertical="center"/>
      <protection locked="0"/>
    </xf>
    <xf numFmtId="0" fontId="37" fillId="0" borderId="9" xfId="0" applyFont="1" applyFill="1" applyBorder="1" applyAlignment="1" applyProtection="1">
      <alignment horizontal="center" vertical="center"/>
      <protection locked="0"/>
    </xf>
    <xf numFmtId="0" fontId="37" fillId="0" borderId="9" xfId="0" applyFont="1" applyFill="1" applyBorder="1" applyProtection="1">
      <alignment vertical="center"/>
      <protection locked="0"/>
    </xf>
    <xf numFmtId="196" fontId="47" fillId="0" borderId="1" xfId="0" applyNumberFormat="1" applyFont="1" applyFill="1" applyBorder="1" applyAlignment="1" applyProtection="1">
      <alignment horizontal="center" vertical="center"/>
      <protection locked="0"/>
    </xf>
    <xf numFmtId="0" fontId="37" fillId="0" borderId="1" xfId="0" applyFont="1" applyFill="1" applyBorder="1" applyAlignment="1" applyProtection="1">
      <alignment horizontal="center" vertical="center" wrapText="1"/>
      <protection locked="0"/>
    </xf>
    <xf numFmtId="187" fontId="47" fillId="0" borderId="9" xfId="0" applyNumberFormat="1" applyFont="1" applyFill="1" applyBorder="1" applyAlignment="1" applyProtection="1">
      <alignment horizontal="center" vertical="center" wrapText="1"/>
    </xf>
    <xf numFmtId="187" fontId="47" fillId="0" borderId="10" xfId="0" applyNumberFormat="1" applyFont="1" applyFill="1" applyBorder="1" applyAlignment="1" applyProtection="1">
      <alignment horizontal="center" vertical="center" wrapText="1"/>
    </xf>
    <xf numFmtId="187" fontId="45" fillId="3" borderId="9" xfId="0" applyNumberFormat="1" applyFont="1" applyFill="1" applyBorder="1" applyAlignment="1" applyProtection="1">
      <alignment horizontal="center" vertical="center"/>
      <protection locked="0"/>
    </xf>
    <xf numFmtId="182" fontId="45" fillId="3" borderId="9" xfId="0" applyNumberFormat="1" applyFont="1" applyFill="1" applyBorder="1" applyAlignment="1" applyProtection="1">
      <alignment horizontal="center" vertical="center"/>
      <protection locked="0"/>
    </xf>
    <xf numFmtId="182" fontId="45" fillId="3" borderId="9" xfId="0" applyNumberFormat="1" applyFont="1" applyFill="1" applyBorder="1" applyAlignment="1" applyProtection="1">
      <alignment horizontal="center" vertical="center" wrapText="1"/>
      <protection locked="0"/>
    </xf>
    <xf numFmtId="0" fontId="112" fillId="0" borderId="1" xfId="0" applyFont="1" applyFill="1" applyBorder="1" applyAlignment="1" applyProtection="1">
      <alignment horizontal="center" vertical="center" wrapText="1"/>
      <protection locked="0"/>
    </xf>
    <xf numFmtId="187" fontId="47" fillId="0" borderId="1" xfId="0" applyNumberFormat="1" applyFont="1" applyFill="1" applyBorder="1" applyAlignment="1" applyProtection="1">
      <alignment horizontal="center" vertical="center" wrapText="1"/>
    </xf>
    <xf numFmtId="0" fontId="34" fillId="3" borderId="1" xfId="0" applyFont="1" applyFill="1" applyBorder="1" applyAlignment="1" applyProtection="1">
      <alignment horizontal="center" vertical="center"/>
      <protection locked="0"/>
    </xf>
    <xf numFmtId="193" fontId="34" fillId="3" borderId="1" xfId="0" applyNumberFormat="1" applyFont="1" applyFill="1" applyBorder="1" applyAlignment="1" applyProtection="1">
      <alignment horizontal="center" vertical="center" wrapText="1"/>
      <protection locked="0"/>
    </xf>
    <xf numFmtId="0" fontId="62" fillId="3" borderId="1" xfId="0" applyFont="1" applyFill="1" applyBorder="1" applyAlignment="1" applyProtection="1">
      <alignment horizontal="center" vertical="center" wrapText="1"/>
      <protection locked="0"/>
    </xf>
    <xf numFmtId="0" fontId="43" fillId="0" borderId="1" xfId="0" applyFont="1" applyFill="1" applyBorder="1" applyAlignment="1" applyProtection="1">
      <alignment horizontal="center" vertical="center"/>
      <protection locked="0"/>
    </xf>
    <xf numFmtId="186" fontId="47" fillId="3" borderId="1" xfId="0" applyNumberFormat="1" applyFont="1" applyFill="1" applyBorder="1" applyAlignment="1" applyProtection="1">
      <alignment horizontal="center" vertical="center" wrapText="1"/>
      <protection locked="0"/>
    </xf>
    <xf numFmtId="186" fontId="37" fillId="3" borderId="1" xfId="0" applyNumberFormat="1" applyFont="1" applyFill="1" applyBorder="1" applyAlignment="1" applyProtection="1">
      <alignment horizontal="center" vertical="center" wrapText="1"/>
      <protection locked="0"/>
    </xf>
    <xf numFmtId="186" fontId="47" fillId="3" borderId="9" xfId="0" applyNumberFormat="1" applyFont="1" applyFill="1" applyBorder="1" applyAlignment="1" applyProtection="1">
      <alignment horizontal="center" vertical="center" wrapText="1"/>
      <protection locked="0"/>
    </xf>
    <xf numFmtId="186" fontId="37" fillId="3" borderId="9" xfId="0" applyNumberFormat="1" applyFont="1" applyFill="1" applyBorder="1" applyAlignment="1" applyProtection="1">
      <alignment horizontal="center" vertical="center" wrapText="1"/>
      <protection locked="0"/>
    </xf>
    <xf numFmtId="0" fontId="62" fillId="3" borderId="1" xfId="0" applyFont="1" applyFill="1" applyBorder="1" applyAlignment="1" applyProtection="1">
      <alignment horizontal="center" vertical="center"/>
      <protection locked="0"/>
    </xf>
    <xf numFmtId="191" fontId="62" fillId="3" borderId="1" xfId="0" applyNumberFormat="1" applyFont="1" applyFill="1" applyBorder="1" applyAlignment="1" applyProtection="1">
      <alignment horizontal="center" vertical="center" wrapText="1"/>
      <protection locked="0"/>
    </xf>
    <xf numFmtId="187" fontId="113" fillId="3" borderId="16" xfId="0" applyNumberFormat="1" applyFont="1" applyFill="1" applyBorder="1" applyAlignment="1" applyProtection="1">
      <alignment horizontal="center" vertical="center" wrapText="1" shrinkToFit="1"/>
      <protection locked="0"/>
    </xf>
    <xf numFmtId="0" fontId="62" fillId="3" borderId="1" xfId="0" applyFont="1" applyFill="1" applyBorder="1" applyAlignment="1" applyProtection="1">
      <alignment horizontal="center" vertical="center" wrapText="1"/>
    </xf>
    <xf numFmtId="0" fontId="62" fillId="3" borderId="1" xfId="0" applyFont="1" applyFill="1" applyBorder="1" applyAlignment="1" applyProtection="1">
      <alignment horizontal="center" vertical="center"/>
    </xf>
    <xf numFmtId="187" fontId="62" fillId="3" borderId="1" xfId="0" applyNumberFormat="1" applyFont="1" applyFill="1" applyBorder="1" applyAlignment="1" applyProtection="1">
      <alignment horizontal="center" vertical="center"/>
      <protection locked="0"/>
    </xf>
    <xf numFmtId="187" fontId="62" fillId="3" borderId="1" xfId="0" applyNumberFormat="1" applyFont="1" applyFill="1" applyBorder="1" applyAlignment="1" applyProtection="1">
      <alignment horizontal="center" vertical="center"/>
    </xf>
    <xf numFmtId="182" fontId="62" fillId="3" borderId="1" xfId="0" applyNumberFormat="1" applyFont="1" applyFill="1" applyBorder="1" applyAlignment="1" applyProtection="1">
      <alignment horizontal="center" vertical="center"/>
      <protection locked="0"/>
    </xf>
    <xf numFmtId="182" fontId="62" fillId="3" borderId="1" xfId="0" applyNumberFormat="1" applyFont="1" applyFill="1" applyBorder="1" applyAlignment="1" applyProtection="1">
      <alignment horizontal="center" vertical="center" wrapText="1"/>
      <protection locked="0"/>
    </xf>
    <xf numFmtId="182" fontId="62" fillId="0" borderId="6" xfId="0" applyNumberFormat="1" applyFont="1" applyFill="1" applyBorder="1" applyAlignment="1" applyProtection="1">
      <alignment horizontal="center" vertical="center" wrapText="1"/>
      <protection locked="0"/>
    </xf>
    <xf numFmtId="187" fontId="45" fillId="3" borderId="1" xfId="0" applyNumberFormat="1" applyFont="1" applyFill="1" applyBorder="1" applyAlignment="1" applyProtection="1">
      <alignment horizontal="center" vertical="center"/>
      <protection locked="0"/>
    </xf>
    <xf numFmtId="182" fontId="45" fillId="3" borderId="1" xfId="0" applyNumberFormat="1" applyFont="1" applyFill="1" applyBorder="1" applyAlignment="1" applyProtection="1">
      <alignment horizontal="center" vertical="center"/>
      <protection locked="0"/>
    </xf>
    <xf numFmtId="182" fontId="45" fillId="3" borderId="6" xfId="0" applyNumberFormat="1" applyFont="1" applyFill="1" applyBorder="1" applyAlignment="1" applyProtection="1">
      <alignment horizontal="center" vertical="center" wrapText="1"/>
      <protection locked="0"/>
    </xf>
    <xf numFmtId="0" fontId="62" fillId="4" borderId="1" xfId="0" applyFont="1" applyFill="1" applyBorder="1" applyAlignment="1" applyProtection="1">
      <alignment horizontal="center" vertical="center"/>
      <protection locked="0"/>
    </xf>
    <xf numFmtId="0" fontId="62" fillId="4" borderId="1" xfId="0" applyFont="1" applyFill="1" applyBorder="1" applyAlignment="1" applyProtection="1">
      <alignment horizontal="center" vertical="center" wrapText="1"/>
      <protection locked="0"/>
    </xf>
    <xf numFmtId="186" fontId="47" fillId="0" borderId="9" xfId="0" applyNumberFormat="1" applyFont="1" applyFill="1" applyBorder="1" applyAlignment="1" applyProtection="1">
      <alignment horizontal="center" vertical="center" wrapText="1"/>
      <protection locked="0"/>
    </xf>
    <xf numFmtId="187" fontId="113" fillId="0" borderId="16" xfId="0" applyNumberFormat="1" applyFont="1" applyFill="1" applyBorder="1" applyAlignment="1" applyProtection="1">
      <alignment horizontal="center" vertical="center" wrapText="1" shrinkToFit="1"/>
      <protection locked="0"/>
    </xf>
    <xf numFmtId="0" fontId="114" fillId="0" borderId="21" xfId="0" applyFont="1" applyFill="1" applyBorder="1" applyAlignment="1" applyProtection="1">
      <alignment horizontal="center" vertical="center" wrapText="1"/>
      <protection locked="0"/>
    </xf>
    <xf numFmtId="187" fontId="45" fillId="0" borderId="1" xfId="0" applyNumberFormat="1" applyFont="1" applyFill="1" applyBorder="1" applyAlignment="1" applyProtection="1">
      <alignment horizontal="center" vertical="center"/>
      <protection locked="0"/>
    </xf>
    <xf numFmtId="0" fontId="45" fillId="0" borderId="0" xfId="0" applyFont="1" applyFill="1" applyAlignment="1" applyProtection="1">
      <alignment horizontal="center" vertical="center" wrapText="1"/>
      <protection locked="0"/>
    </xf>
    <xf numFmtId="182" fontId="45" fillId="0" borderId="0" xfId="0" applyNumberFormat="1" applyFont="1" applyFill="1" applyAlignment="1" applyProtection="1">
      <alignment horizontal="center" vertical="center" wrapText="1"/>
      <protection locked="0"/>
    </xf>
    <xf numFmtId="187" fontId="45" fillId="0" borderId="0" xfId="0" applyNumberFormat="1" applyFont="1" applyFill="1" applyAlignment="1" applyProtection="1">
      <alignment horizontal="center" vertical="center"/>
      <protection locked="0"/>
    </xf>
    <xf numFmtId="0" fontId="97" fillId="0" borderId="0" xfId="0" applyFont="1" applyFill="1" applyProtection="1">
      <alignment vertical="center"/>
      <protection locked="0"/>
    </xf>
    <xf numFmtId="188" fontId="47" fillId="3" borderId="16" xfId="0" applyNumberFormat="1" applyFont="1" applyFill="1" applyBorder="1" applyAlignment="1" applyProtection="1">
      <alignment horizontal="center" vertical="center"/>
    </xf>
    <xf numFmtId="49" fontId="37" fillId="3" borderId="16" xfId="0" applyNumberFormat="1" applyFont="1" applyFill="1" applyBorder="1" applyAlignment="1" applyProtection="1">
      <alignment horizontal="center" vertical="center" wrapText="1"/>
      <protection locked="0"/>
    </xf>
    <xf numFmtId="0" fontId="47" fillId="3" borderId="16" xfId="0" applyFont="1" applyFill="1" applyBorder="1" applyAlignment="1" applyProtection="1">
      <alignment horizontal="center" vertical="center" wrapText="1"/>
      <protection locked="0"/>
    </xf>
    <xf numFmtId="0" fontId="47" fillId="3" borderId="16" xfId="0" applyNumberFormat="1" applyFont="1" applyFill="1" applyBorder="1" applyAlignment="1" applyProtection="1">
      <alignment horizontal="center" vertical="center" shrinkToFit="1"/>
      <protection locked="0"/>
    </xf>
    <xf numFmtId="0" fontId="47" fillId="3" borderId="16" xfId="0" applyFont="1" applyFill="1" applyBorder="1" applyAlignment="1" applyProtection="1">
      <alignment horizontal="center" vertical="center"/>
      <protection locked="0"/>
    </xf>
    <xf numFmtId="190" fontId="37" fillId="3" borderId="16" xfId="0" applyNumberFormat="1" applyFont="1" applyFill="1" applyBorder="1" applyAlignment="1" applyProtection="1">
      <alignment horizontal="center" vertical="center" wrapText="1" shrinkToFit="1"/>
      <protection locked="0"/>
    </xf>
    <xf numFmtId="190" fontId="37" fillId="3" borderId="16" xfId="0" applyNumberFormat="1" applyFont="1" applyFill="1" applyBorder="1" applyAlignment="1" applyProtection="1">
      <alignment horizontal="center" vertical="center" wrapText="1" shrinkToFit="1"/>
    </xf>
    <xf numFmtId="0" fontId="47" fillId="3" borderId="16" xfId="0" applyFont="1" applyFill="1" applyBorder="1" applyAlignment="1" applyProtection="1">
      <alignment horizontal="justify" vertical="center" wrapText="1"/>
      <protection locked="0"/>
    </xf>
    <xf numFmtId="14" fontId="37" fillId="3" borderId="16" xfId="0" applyNumberFormat="1" applyFont="1" applyFill="1" applyBorder="1" applyAlignment="1" applyProtection="1">
      <alignment horizontal="center" vertical="center" wrapText="1"/>
      <protection locked="0"/>
    </xf>
    <xf numFmtId="0" fontId="61" fillId="3" borderId="16" xfId="0" applyNumberFormat="1" applyFont="1" applyFill="1" applyBorder="1" applyAlignment="1" applyProtection="1">
      <alignment horizontal="center" vertical="center" wrapText="1"/>
      <protection locked="0"/>
    </xf>
    <xf numFmtId="0" fontId="61" fillId="3" borderId="1" xfId="0" applyNumberFormat="1" applyFont="1" applyFill="1" applyBorder="1" applyAlignment="1" applyProtection="1">
      <alignment horizontal="center" vertical="center" wrapText="1"/>
      <protection locked="0"/>
    </xf>
    <xf numFmtId="14" fontId="42" fillId="3" borderId="16" xfId="0" applyNumberFormat="1" applyFont="1" applyFill="1" applyBorder="1" applyAlignment="1" applyProtection="1">
      <alignment horizontal="center" vertical="center" wrapText="1"/>
      <protection locked="0"/>
    </xf>
    <xf numFmtId="186" fontId="47" fillId="3" borderId="16" xfId="0" applyNumberFormat="1" applyFont="1" applyFill="1" applyBorder="1" applyAlignment="1" applyProtection="1">
      <alignment horizontal="center" vertical="center" wrapText="1"/>
      <protection locked="0"/>
    </xf>
    <xf numFmtId="186" fontId="37" fillId="3" borderId="16" xfId="0" applyNumberFormat="1" applyFont="1" applyFill="1" applyBorder="1" applyAlignment="1" applyProtection="1">
      <alignment horizontal="center" vertical="center" wrapText="1"/>
      <protection locked="0"/>
    </xf>
    <xf numFmtId="196" fontId="47" fillId="3" borderId="16" xfId="0" applyNumberFormat="1" applyFont="1" applyFill="1" applyBorder="1" applyAlignment="1" applyProtection="1">
      <alignment horizontal="center" vertical="center"/>
      <protection locked="0"/>
    </xf>
    <xf numFmtId="0" fontId="37" fillId="3" borderId="1" xfId="0" applyFont="1" applyFill="1" applyBorder="1" applyAlignment="1" applyProtection="1">
      <alignment horizontal="center" vertical="center" wrapText="1"/>
      <protection locked="0"/>
    </xf>
    <xf numFmtId="0" fontId="47" fillId="3" borderId="16" xfId="0" applyFont="1" applyFill="1" applyBorder="1" applyAlignment="1" applyProtection="1">
      <alignment horizontal="center" vertical="center" wrapText="1"/>
    </xf>
    <xf numFmtId="187" fontId="47" fillId="3" borderId="16" xfId="0" applyNumberFormat="1" applyFont="1" applyFill="1" applyBorder="1" applyAlignment="1" applyProtection="1">
      <alignment horizontal="center" vertical="center"/>
      <protection locked="0"/>
    </xf>
    <xf numFmtId="0" fontId="47" fillId="3" borderId="1" xfId="0" applyFont="1" applyFill="1" applyBorder="1" applyAlignment="1" applyProtection="1">
      <alignment horizontal="center" vertical="center"/>
      <protection locked="0"/>
    </xf>
    <xf numFmtId="187" fontId="33" fillId="3" borderId="16" xfId="0" applyNumberFormat="1" applyFont="1" applyFill="1" applyBorder="1" applyAlignment="1" applyProtection="1">
      <alignment horizontal="center" vertical="center"/>
    </xf>
    <xf numFmtId="187" fontId="33" fillId="3" borderId="16" xfId="0" applyNumberFormat="1" applyFont="1" applyFill="1" applyBorder="1" applyAlignment="1" applyProtection="1">
      <alignment horizontal="center" vertical="center"/>
      <protection locked="0"/>
    </xf>
    <xf numFmtId="187" fontId="47" fillId="3" borderId="16" xfId="0" applyNumberFormat="1" applyFont="1" applyFill="1" applyBorder="1" applyAlignment="1" applyProtection="1">
      <alignment horizontal="center" vertical="center"/>
    </xf>
    <xf numFmtId="187" fontId="47" fillId="3" borderId="21" xfId="0" applyNumberFormat="1" applyFont="1" applyFill="1" applyBorder="1" applyAlignment="1" applyProtection="1">
      <alignment horizontal="center" vertical="center" wrapText="1"/>
    </xf>
    <xf numFmtId="187" fontId="47" fillId="3" borderId="22" xfId="0" applyNumberFormat="1" applyFont="1" applyFill="1" applyBorder="1" applyAlignment="1" applyProtection="1">
      <alignment horizontal="center" vertical="center" wrapText="1"/>
    </xf>
    <xf numFmtId="0" fontId="37" fillId="3" borderId="16" xfId="0" applyFont="1" applyFill="1" applyBorder="1" applyAlignment="1" applyProtection="1">
      <alignment horizontal="center" vertical="center"/>
      <protection locked="0"/>
    </xf>
    <xf numFmtId="0" fontId="37" fillId="3" borderId="1" xfId="0" applyFont="1" applyFill="1" applyBorder="1" applyAlignment="1" applyProtection="1">
      <alignment horizontal="center" vertical="center"/>
      <protection locked="0"/>
    </xf>
    <xf numFmtId="0" fontId="37" fillId="3" borderId="7" xfId="0" applyFont="1" applyFill="1" applyBorder="1" applyProtection="1">
      <alignment vertical="center"/>
      <protection locked="0"/>
    </xf>
    <xf numFmtId="0" fontId="37" fillId="3" borderId="1" xfId="0" applyFont="1" applyFill="1" applyBorder="1" applyProtection="1">
      <alignment vertical="center"/>
      <protection locked="0"/>
    </xf>
    <xf numFmtId="0" fontId="37" fillId="3" borderId="0" xfId="0" applyFont="1" applyFill="1" applyAlignment="1" applyProtection="1">
      <alignment horizontal="center" vertical="center"/>
      <protection locked="0"/>
    </xf>
    <xf numFmtId="193" fontId="37" fillId="3" borderId="0" xfId="0" applyNumberFormat="1" applyFont="1" applyFill="1" applyAlignment="1" applyProtection="1">
      <alignment horizontal="center" vertical="center" wrapText="1"/>
      <protection locked="0"/>
    </xf>
    <xf numFmtId="0" fontId="97" fillId="3" borderId="0" xfId="0" applyFont="1" applyFill="1" applyProtection="1">
      <alignment vertical="center"/>
      <protection locked="0"/>
    </xf>
    <xf numFmtId="186" fontId="55" fillId="0" borderId="1" xfId="0" applyNumberFormat="1" applyFont="1" applyFill="1" applyBorder="1" applyAlignment="1" applyProtection="1">
      <alignment horizontal="center" vertical="center" wrapText="1"/>
      <protection locked="0"/>
    </xf>
    <xf numFmtId="187" fontId="47" fillId="0" borderId="6" xfId="0" applyNumberFormat="1" applyFont="1" applyFill="1" applyBorder="1" applyAlignment="1" applyProtection="1">
      <alignment horizontal="center" vertical="center"/>
      <protection locked="0"/>
    </xf>
    <xf numFmtId="187" fontId="47" fillId="0" borderId="23" xfId="0" applyNumberFormat="1" applyFont="1" applyFill="1" applyBorder="1" applyAlignment="1" applyProtection="1">
      <alignment horizontal="center" vertical="center"/>
      <protection locked="0"/>
    </xf>
    <xf numFmtId="187" fontId="47" fillId="0" borderId="0" xfId="0" applyNumberFormat="1" applyFont="1" applyFill="1" applyBorder="1" applyAlignment="1" applyProtection="1">
      <alignment horizontal="center" vertical="center"/>
    </xf>
    <xf numFmtId="187" fontId="33" fillId="3" borderId="24" xfId="0" applyNumberFormat="1" applyFont="1" applyFill="1" applyBorder="1" applyAlignment="1" applyProtection="1">
      <alignment horizontal="center" vertical="center"/>
    </xf>
    <xf numFmtId="187" fontId="33" fillId="3" borderId="23" xfId="0" applyNumberFormat="1" applyFont="1" applyFill="1" applyBorder="1" applyAlignment="1" applyProtection="1">
      <alignment horizontal="center" vertical="center"/>
    </xf>
    <xf numFmtId="187" fontId="33" fillId="3" borderId="23" xfId="0" applyNumberFormat="1" applyFont="1" applyFill="1" applyBorder="1" applyAlignment="1" applyProtection="1">
      <alignment horizontal="center" vertical="center" wrapText="1"/>
    </xf>
    <xf numFmtId="0" fontId="34" fillId="3" borderId="23" xfId="0" applyFont="1" applyFill="1" applyBorder="1" applyAlignment="1" applyProtection="1">
      <alignment horizontal="center" vertical="center"/>
      <protection locked="0"/>
    </xf>
    <xf numFmtId="182" fontId="34" fillId="3" borderId="23" xfId="0" applyNumberFormat="1" applyFont="1" applyFill="1" applyBorder="1" applyAlignment="1" applyProtection="1">
      <alignment horizontal="center" vertical="center"/>
      <protection locked="0"/>
    </xf>
    <xf numFmtId="187" fontId="33" fillId="3" borderId="23" xfId="0" applyNumberFormat="1" applyFont="1" applyFill="1" applyBorder="1" applyAlignment="1" applyProtection="1">
      <alignment horizontal="center" vertical="center"/>
      <protection locked="0"/>
    </xf>
    <xf numFmtId="193" fontId="34" fillId="3" borderId="23" xfId="0" applyNumberFormat="1" applyFont="1" applyFill="1" applyBorder="1" applyAlignment="1" applyProtection="1">
      <alignment horizontal="center" vertical="center" wrapText="1"/>
      <protection locked="0"/>
    </xf>
    <xf numFmtId="0" fontId="34" fillId="3" borderId="7" xfId="0" applyFont="1" applyFill="1" applyBorder="1" applyProtection="1">
      <alignment vertical="center"/>
      <protection locked="0"/>
    </xf>
    <xf numFmtId="0" fontId="34" fillId="3" borderId="1" xfId="0" applyFont="1" applyFill="1" applyBorder="1" applyProtection="1">
      <alignment vertical="center"/>
      <protection locked="0"/>
    </xf>
    <xf numFmtId="0" fontId="34" fillId="3" borderId="0" xfId="0" applyFont="1" applyFill="1" applyAlignment="1" applyProtection="1">
      <alignment horizontal="center" vertical="center"/>
      <protection locked="0"/>
    </xf>
    <xf numFmtId="193" fontId="34" fillId="3" borderId="0" xfId="0" applyNumberFormat="1" applyFont="1" applyFill="1" applyAlignment="1" applyProtection="1">
      <alignment horizontal="center" vertical="center" wrapText="1"/>
      <protection locked="0"/>
    </xf>
    <xf numFmtId="0" fontId="0" fillId="3" borderId="0" xfId="0" applyFill="1" applyProtection="1">
      <alignment vertical="center"/>
      <protection locked="0"/>
    </xf>
    <xf numFmtId="188" fontId="33" fillId="3" borderId="1" xfId="0" applyNumberFormat="1" applyFont="1" applyFill="1" applyBorder="1" applyAlignment="1" applyProtection="1">
      <alignment horizontal="center" vertical="center"/>
    </xf>
    <xf numFmtId="49" fontId="34" fillId="3" borderId="1" xfId="0" applyNumberFormat="1" applyFont="1" applyFill="1" applyBorder="1" applyAlignment="1" applyProtection="1">
      <alignment horizontal="center" vertical="center" wrapText="1"/>
      <protection locked="0"/>
    </xf>
    <xf numFmtId="0" fontId="33" fillId="3" borderId="1" xfId="0" applyNumberFormat="1" applyFont="1" applyFill="1" applyBorder="1" applyAlignment="1" applyProtection="1">
      <alignment horizontal="center" vertical="center" shrinkToFit="1"/>
      <protection locked="0"/>
    </xf>
    <xf numFmtId="0" fontId="33" fillId="3" borderId="6" xfId="0" applyNumberFormat="1" applyFont="1" applyFill="1" applyBorder="1" applyAlignment="1" applyProtection="1">
      <alignment horizontal="center" vertical="center" shrinkToFit="1"/>
      <protection locked="0"/>
    </xf>
    <xf numFmtId="0" fontId="47" fillId="0" borderId="0" xfId="0" applyFont="1" applyFill="1" applyBorder="1" applyAlignment="1" applyProtection="1">
      <alignment horizontal="center" vertical="center" wrapText="1"/>
      <protection locked="0"/>
    </xf>
    <xf numFmtId="0" fontId="47" fillId="0" borderId="0" xfId="0" applyFont="1" applyFill="1" applyBorder="1" applyAlignment="1" applyProtection="1">
      <alignment horizontal="center" vertical="center"/>
      <protection locked="0"/>
    </xf>
    <xf numFmtId="188" fontId="47" fillId="3" borderId="1" xfId="0" applyNumberFormat="1" applyFont="1" applyFill="1" applyBorder="1" applyAlignment="1" applyProtection="1">
      <alignment horizontal="center" vertical="center"/>
    </xf>
    <xf numFmtId="49" fontId="37" fillId="3" borderId="1" xfId="0" applyNumberFormat="1" applyFont="1" applyFill="1" applyBorder="1" applyAlignment="1" applyProtection="1">
      <alignment horizontal="center" vertical="center" wrapText="1"/>
      <protection locked="0"/>
    </xf>
    <xf numFmtId="0" fontId="47" fillId="3" borderId="1" xfId="0" applyNumberFormat="1" applyFont="1" applyFill="1" applyBorder="1" applyAlignment="1" applyProtection="1">
      <alignment horizontal="center" vertical="center" shrinkToFit="1"/>
      <protection locked="0"/>
    </xf>
    <xf numFmtId="190" fontId="37" fillId="3" borderId="1" xfId="0" applyNumberFormat="1" applyFont="1" applyFill="1" applyBorder="1" applyAlignment="1" applyProtection="1">
      <alignment horizontal="center" vertical="center" wrapText="1" shrinkToFit="1"/>
      <protection locked="0"/>
    </xf>
    <xf numFmtId="190" fontId="37" fillId="3" borderId="1" xfId="0" applyNumberFormat="1" applyFont="1" applyFill="1" applyBorder="1" applyAlignment="1" applyProtection="1">
      <alignment horizontal="center" vertical="center" wrapText="1" shrinkToFit="1"/>
    </xf>
    <xf numFmtId="0" fontId="62" fillId="3" borderId="1" xfId="0" applyFont="1" applyFill="1" applyBorder="1" applyAlignment="1" applyProtection="1">
      <alignment horizontal="justify" vertical="center" wrapText="1"/>
      <protection locked="0"/>
    </xf>
    <xf numFmtId="14" fontId="37" fillId="3" borderId="1" xfId="0" applyNumberFormat="1" applyFont="1" applyFill="1" applyBorder="1" applyAlignment="1" applyProtection="1">
      <alignment horizontal="center" vertical="center" wrapText="1"/>
      <protection locked="0"/>
    </xf>
    <xf numFmtId="14" fontId="61" fillId="3" borderId="1" xfId="0" applyNumberFormat="1" applyFont="1" applyFill="1" applyBorder="1" applyAlignment="1" applyProtection="1">
      <alignment horizontal="center" vertical="center" wrapText="1"/>
      <protection locked="0"/>
    </xf>
    <xf numFmtId="186" fontId="55" fillId="3" borderId="1" xfId="0" applyNumberFormat="1" applyFont="1" applyFill="1" applyBorder="1" applyAlignment="1" applyProtection="1">
      <alignment horizontal="center" vertical="center" wrapText="1"/>
      <protection locked="0"/>
    </xf>
    <xf numFmtId="186" fontId="62" fillId="3" borderId="1" xfId="0" applyNumberFormat="1" applyFont="1" applyFill="1" applyBorder="1" applyAlignment="1" applyProtection="1">
      <alignment horizontal="center" vertical="center" wrapText="1"/>
      <protection locked="0"/>
    </xf>
    <xf numFmtId="196" fontId="47" fillId="3" borderId="1" xfId="0" applyNumberFormat="1" applyFont="1" applyFill="1" applyBorder="1" applyAlignment="1" applyProtection="1">
      <alignment horizontal="center" vertical="center"/>
      <protection locked="0"/>
    </xf>
    <xf numFmtId="0" fontId="47" fillId="3" borderId="1" xfId="0" applyFont="1" applyFill="1" applyBorder="1" applyAlignment="1" applyProtection="1">
      <alignment horizontal="center" vertical="center" wrapText="1"/>
    </xf>
    <xf numFmtId="187" fontId="47" fillId="3" borderId="6" xfId="0" applyNumberFormat="1" applyFont="1" applyFill="1" applyBorder="1" applyAlignment="1" applyProtection="1">
      <alignment horizontal="center" vertical="center"/>
    </xf>
    <xf numFmtId="187" fontId="47" fillId="3" borderId="23" xfId="0" applyNumberFormat="1" applyFont="1" applyFill="1" applyBorder="1" applyAlignment="1" applyProtection="1">
      <alignment horizontal="center" vertical="center"/>
    </xf>
    <xf numFmtId="187" fontId="47" fillId="3" borderId="23" xfId="0" applyNumberFormat="1" applyFont="1" applyFill="1" applyBorder="1" applyAlignment="1" applyProtection="1">
      <alignment horizontal="center" vertical="center" wrapText="1"/>
    </xf>
    <xf numFmtId="0" fontId="37" fillId="3" borderId="23" xfId="0" applyFont="1" applyFill="1" applyBorder="1" applyAlignment="1" applyProtection="1">
      <alignment horizontal="center" vertical="center"/>
      <protection locked="0"/>
    </xf>
    <xf numFmtId="182" fontId="37" fillId="3" borderId="23" xfId="0" applyNumberFormat="1" applyFont="1" applyFill="1" applyBorder="1" applyAlignment="1" applyProtection="1">
      <alignment horizontal="center" vertical="center"/>
      <protection locked="0"/>
    </xf>
    <xf numFmtId="187" fontId="47" fillId="3" borderId="23" xfId="0" applyNumberFormat="1" applyFont="1" applyFill="1" applyBorder="1" applyAlignment="1" applyProtection="1">
      <alignment horizontal="center" vertical="center"/>
      <protection locked="0"/>
    </xf>
    <xf numFmtId="193" fontId="37" fillId="3" borderId="23" xfId="0" applyNumberFormat="1" applyFont="1" applyFill="1" applyBorder="1" applyAlignment="1" applyProtection="1">
      <alignment horizontal="center" vertical="center" wrapText="1"/>
      <protection locked="0"/>
    </xf>
    <xf numFmtId="0" fontId="62" fillId="3" borderId="16" xfId="0" applyFont="1" applyFill="1" applyBorder="1" applyAlignment="1" applyProtection="1">
      <alignment horizontal="center" vertical="center" wrapText="1"/>
      <protection locked="0"/>
    </xf>
    <xf numFmtId="190" fontId="55" fillId="3" borderId="1" xfId="0" applyNumberFormat="1" applyFont="1" applyFill="1" applyBorder="1" applyAlignment="1" applyProtection="1">
      <alignment horizontal="center" vertical="center" wrapText="1" shrinkToFit="1"/>
      <protection locked="0"/>
    </xf>
    <xf numFmtId="0" fontId="112" fillId="3" borderId="1" xfId="0" applyFont="1" applyFill="1" applyBorder="1" applyAlignment="1" applyProtection="1">
      <alignment horizontal="center" vertical="center" wrapText="1"/>
      <protection locked="0"/>
    </xf>
    <xf numFmtId="0" fontId="43" fillId="3" borderId="1" xfId="0" applyFont="1" applyFill="1" applyBorder="1" applyAlignment="1" applyProtection="1">
      <alignment horizontal="center" vertical="center"/>
      <protection locked="0"/>
    </xf>
    <xf numFmtId="182" fontId="62" fillId="3" borderId="6" xfId="0" applyNumberFormat="1" applyFont="1" applyFill="1" applyBorder="1" applyAlignment="1" applyProtection="1">
      <alignment horizontal="center" vertical="center" wrapText="1"/>
      <protection locked="0"/>
    </xf>
    <xf numFmtId="182" fontId="62" fillId="3" borderId="1" xfId="0" applyNumberFormat="1" applyFont="1" applyFill="1" applyBorder="1" applyAlignment="1" applyProtection="1">
      <alignment horizontal="center" vertical="center" wrapText="1"/>
    </xf>
    <xf numFmtId="0" fontId="76" fillId="3" borderId="0" xfId="0" applyFont="1" applyFill="1" applyAlignment="1">
      <alignment horizontal="center" vertical="center" wrapText="1"/>
    </xf>
    <xf numFmtId="0" fontId="115" fillId="0" borderId="0" xfId="0" applyFont="1" applyFill="1" applyAlignment="1">
      <alignment horizontal="center" vertical="center" wrapText="1"/>
    </xf>
    <xf numFmtId="0" fontId="116" fillId="8" borderId="1" xfId="0" applyFont="1" applyFill="1" applyBorder="1" applyAlignment="1" applyProtection="1">
      <alignment horizontal="center" vertical="center" wrapText="1"/>
      <protection locked="0"/>
    </xf>
    <xf numFmtId="0" fontId="117" fillId="8" borderId="1" xfId="0" applyFont="1" applyFill="1" applyBorder="1" applyAlignment="1" applyProtection="1">
      <alignment horizontal="center" vertical="center" wrapText="1"/>
      <protection locked="0"/>
    </xf>
    <xf numFmtId="0" fontId="118" fillId="9" borderId="1" xfId="0" applyFont="1" applyFill="1" applyBorder="1" applyAlignment="1" applyProtection="1">
      <protection locked="0"/>
    </xf>
    <xf numFmtId="0" fontId="118" fillId="9" borderId="1" xfId="0" applyFont="1" applyFill="1" applyBorder="1" applyAlignment="1" applyProtection="1">
      <alignment horizontal="left"/>
      <protection locked="0"/>
    </xf>
    <xf numFmtId="0" fontId="118" fillId="9" borderId="1" xfId="0" applyFont="1" applyFill="1" applyBorder="1" applyAlignment="1" applyProtection="1">
      <alignment horizontal="center"/>
      <protection locked="0"/>
    </xf>
    <xf numFmtId="14" fontId="119" fillId="9" borderId="1" xfId="0" applyNumberFormat="1" applyFont="1" applyFill="1" applyBorder="1" applyAlignment="1" applyProtection="1">
      <alignment horizontal="center" vertical="center"/>
      <protection locked="0"/>
    </xf>
    <xf numFmtId="0" fontId="120" fillId="9" borderId="1" xfId="0" applyFont="1" applyFill="1" applyBorder="1" applyAlignment="1" applyProtection="1">
      <protection locked="0"/>
    </xf>
    <xf numFmtId="0" fontId="120" fillId="9" borderId="1" xfId="0" applyFont="1" applyFill="1" applyBorder="1" applyAlignment="1" applyProtection="1">
      <alignment horizontal="left"/>
      <protection locked="0"/>
    </xf>
    <xf numFmtId="0" fontId="120" fillId="9" borderId="1" xfId="0" applyFont="1" applyFill="1" applyBorder="1" applyAlignment="1" applyProtection="1">
      <alignment horizontal="center"/>
      <protection locked="0"/>
    </xf>
    <xf numFmtId="14" fontId="121" fillId="9" borderId="1" xfId="0" applyNumberFormat="1" applyFont="1" applyFill="1" applyBorder="1" applyAlignment="1" applyProtection="1">
      <alignment horizontal="center" vertical="center"/>
      <protection locked="0"/>
    </xf>
    <xf numFmtId="0" fontId="119" fillId="10" borderId="9" xfId="0" applyFont="1" applyFill="1" applyBorder="1" applyAlignment="1" applyProtection="1">
      <alignment horizontal="center" vertical="center"/>
      <protection locked="0"/>
    </xf>
    <xf numFmtId="0" fontId="119" fillId="10" borderId="1" xfId="0" applyFont="1" applyFill="1" applyBorder="1" applyAlignment="1" applyProtection="1">
      <alignment horizontal="left" vertical="center"/>
      <protection locked="0"/>
    </xf>
    <xf numFmtId="0" fontId="119" fillId="10" borderId="1" xfId="0" applyFont="1" applyFill="1" applyBorder="1" applyAlignment="1" applyProtection="1">
      <alignment horizontal="center" vertical="center"/>
      <protection locked="0"/>
    </xf>
    <xf numFmtId="7" fontId="119" fillId="10" borderId="1" xfId="0" applyNumberFormat="1" applyFont="1" applyFill="1" applyBorder="1" applyAlignment="1" applyProtection="1">
      <alignment horizontal="center" vertical="center"/>
      <protection locked="0"/>
    </xf>
    <xf numFmtId="197" fontId="119" fillId="10" borderId="1" xfId="0" applyNumberFormat="1" applyFont="1" applyFill="1" applyBorder="1" applyAlignment="1" applyProtection="1">
      <alignment horizontal="center" vertical="center"/>
      <protection locked="0"/>
    </xf>
    <xf numFmtId="197" fontId="119" fillId="0" borderId="1" xfId="0" applyNumberFormat="1" applyFont="1" applyFill="1" applyBorder="1" applyAlignment="1" applyProtection="1">
      <alignment horizontal="center" vertical="center"/>
    </xf>
    <xf numFmtId="197" fontId="116" fillId="8" borderId="1" xfId="0" applyNumberFormat="1" applyFont="1" applyFill="1" applyBorder="1" applyAlignment="1" applyProtection="1">
      <alignment horizontal="center" vertical="center"/>
      <protection locked="0"/>
    </xf>
    <xf numFmtId="0" fontId="119" fillId="10" borderId="21" xfId="0" applyFont="1" applyFill="1" applyBorder="1" applyAlignment="1" applyProtection="1">
      <alignment horizontal="center" vertical="center"/>
      <protection locked="0"/>
    </xf>
    <xf numFmtId="0" fontId="122" fillId="10" borderId="1" xfId="0" applyFont="1" applyFill="1" applyBorder="1" applyAlignment="1" applyProtection="1">
      <alignment horizontal="left" vertical="center"/>
      <protection locked="0"/>
    </xf>
    <xf numFmtId="0" fontId="119" fillId="10" borderId="16" xfId="0" applyFont="1" applyFill="1" applyBorder="1" applyAlignment="1" applyProtection="1">
      <alignment horizontal="center" vertical="center"/>
      <protection locked="0"/>
    </xf>
    <xf numFmtId="0" fontId="116" fillId="8" borderId="16" xfId="0" applyFont="1" applyFill="1" applyBorder="1" applyAlignment="1" applyProtection="1">
      <protection locked="0"/>
    </xf>
    <xf numFmtId="0" fontId="116" fillId="8" borderId="16" xfId="0" applyFont="1" applyFill="1" applyBorder="1" applyAlignment="1" applyProtection="1">
      <alignment horizontal="left"/>
      <protection locked="0"/>
    </xf>
    <xf numFmtId="0" fontId="116" fillId="8" borderId="16" xfId="0" applyFont="1" applyFill="1" applyBorder="1" applyAlignment="1" applyProtection="1">
      <alignment horizontal="center"/>
      <protection locked="0"/>
    </xf>
    <xf numFmtId="198" fontId="116" fillId="8" borderId="16" xfId="1" applyNumberFormat="1" applyFont="1" applyFill="1" applyBorder="1" applyAlignment="1" applyProtection="1">
      <alignment horizontal="center"/>
      <protection locked="0"/>
    </xf>
    <xf numFmtId="197" fontId="116" fillId="11" borderId="16" xfId="0" applyNumberFormat="1" applyFont="1" applyFill="1" applyBorder="1" applyAlignment="1" applyProtection="1">
      <alignment horizontal="center"/>
      <protection locked="0"/>
    </xf>
    <xf numFmtId="0" fontId="89" fillId="0" borderId="0" xfId="0" applyFont="1" applyFill="1" applyAlignment="1">
      <alignment vertical="center"/>
    </xf>
    <xf numFmtId="0" fontId="115" fillId="3" borderId="0" xfId="0" applyFont="1" applyFill="1" applyAlignment="1">
      <alignment vertical="center"/>
    </xf>
    <xf numFmtId="187" fontId="76" fillId="0" borderId="0" xfId="0" applyNumberFormat="1" applyFont="1" applyFill="1" applyAlignment="1">
      <alignment vertical="center"/>
    </xf>
    <xf numFmtId="193" fontId="123" fillId="0" borderId="25" xfId="135" applyNumberFormat="1" applyFont="1" applyFill="1" applyBorder="1" applyAlignment="1">
      <alignment horizontal="center" vertical="center" wrapText="1"/>
    </xf>
    <xf numFmtId="193" fontId="123" fillId="0" borderId="26" xfId="135" applyNumberFormat="1" applyFont="1" applyFill="1" applyBorder="1" applyAlignment="1">
      <alignment horizontal="center" vertical="center" wrapText="1"/>
    </xf>
    <xf numFmtId="0" fontId="123" fillId="0" borderId="26" xfId="135" applyFont="1" applyFill="1" applyBorder="1" applyAlignment="1">
      <alignment horizontal="center" vertical="center" wrapText="1"/>
    </xf>
    <xf numFmtId="0" fontId="124" fillId="0" borderId="26" xfId="135" applyFont="1" applyFill="1" applyBorder="1" applyAlignment="1">
      <alignment horizontal="center" vertical="center" wrapText="1"/>
    </xf>
    <xf numFmtId="0" fontId="123" fillId="0" borderId="27" xfId="135" applyFont="1" applyFill="1" applyBorder="1" applyAlignment="1">
      <alignment horizontal="center" vertical="center" wrapText="1"/>
    </xf>
    <xf numFmtId="193" fontId="125" fillId="0" borderId="28" xfId="135" applyNumberFormat="1" applyFont="1" applyBorder="1" applyAlignment="1">
      <alignment horizontal="center" vertical="center"/>
    </xf>
    <xf numFmtId="187" fontId="125" fillId="0" borderId="1" xfId="135" applyNumberFormat="1" applyFont="1" applyBorder="1" applyAlignment="1">
      <alignment horizontal="center" vertical="center"/>
    </xf>
    <xf numFmtId="193" fontId="126" fillId="0" borderId="1" xfId="135" applyNumberFormat="1" applyFont="1" applyBorder="1" applyAlignment="1">
      <alignment horizontal="center" vertical="center"/>
    </xf>
    <xf numFmtId="193" fontId="126" fillId="0" borderId="1" xfId="135" applyNumberFormat="1" applyFont="1" applyBorder="1" applyAlignment="1">
      <alignment horizontal="center" vertical="center" wrapText="1"/>
    </xf>
    <xf numFmtId="0" fontId="125" fillId="0" borderId="6" xfId="135" applyFont="1" applyBorder="1" applyAlignment="1">
      <alignment horizontal="center" vertical="center" wrapText="1"/>
    </xf>
    <xf numFmtId="0" fontId="126" fillId="0" borderId="29" xfId="135" applyFont="1" applyFill="1" applyBorder="1" applyAlignment="1">
      <alignment horizontal="center" vertical="center" wrapText="1"/>
    </xf>
    <xf numFmtId="0" fontId="126" fillId="0" borderId="13" xfId="135" applyFont="1" applyFill="1" applyBorder="1" applyAlignment="1">
      <alignment horizontal="center" vertical="center" wrapText="1"/>
    </xf>
    <xf numFmtId="0" fontId="126" fillId="0" borderId="9" xfId="135" applyFont="1" applyFill="1" applyBorder="1" applyAlignment="1">
      <alignment horizontal="center" vertical="center" wrapText="1"/>
    </xf>
    <xf numFmtId="0" fontId="126" fillId="0" borderId="10" xfId="135" applyFont="1" applyFill="1" applyBorder="1" applyAlignment="1">
      <alignment horizontal="center" vertical="center" wrapText="1"/>
    </xf>
    <xf numFmtId="0" fontId="126" fillId="0" borderId="6" xfId="135" applyFont="1" applyFill="1" applyBorder="1" applyAlignment="1">
      <alignment horizontal="center" vertical="center" wrapText="1"/>
    </xf>
    <xf numFmtId="0" fontId="126" fillId="0" borderId="30" xfId="135" applyFont="1" applyFill="1" applyBorder="1" applyAlignment="1">
      <alignment horizontal="center" vertical="center" wrapText="1"/>
    </xf>
    <xf numFmtId="0" fontId="126" fillId="0" borderId="1" xfId="135" applyFont="1" applyFill="1" applyBorder="1" applyAlignment="1">
      <alignment horizontal="center" vertical="center" wrapText="1"/>
    </xf>
    <xf numFmtId="0" fontId="126" fillId="0" borderId="8" xfId="135" applyFont="1" applyFill="1" applyBorder="1" applyAlignment="1">
      <alignment horizontal="center" vertical="center" wrapText="1"/>
    </xf>
    <xf numFmtId="193" fontId="126" fillId="0" borderId="28" xfId="135" applyNumberFormat="1" applyFont="1" applyBorder="1" applyAlignment="1">
      <alignment horizontal="center" vertical="center"/>
    </xf>
    <xf numFmtId="0" fontId="125" fillId="12" borderId="31" xfId="0" applyFont="1" applyFill="1" applyBorder="1" applyAlignment="1">
      <alignment horizontal="center" vertical="center" wrapText="1"/>
    </xf>
    <xf numFmtId="0" fontId="125" fillId="12" borderId="32" xfId="0" applyFont="1" applyFill="1" applyBorder="1" applyAlignment="1">
      <alignment horizontal="center" vertical="center" wrapText="1"/>
    </xf>
    <xf numFmtId="0" fontId="125" fillId="12" borderId="33" xfId="0" applyFont="1" applyFill="1" applyBorder="1" applyAlignment="1">
      <alignment horizontal="center" vertical="center" wrapText="1"/>
    </xf>
    <xf numFmtId="0" fontId="125" fillId="12" borderId="34" xfId="0" applyFont="1" applyFill="1" applyBorder="1" applyAlignment="1">
      <alignment horizontal="center" vertical="center" wrapText="1"/>
    </xf>
    <xf numFmtId="0" fontId="125" fillId="12" borderId="35" xfId="0" applyFont="1" applyFill="1" applyBorder="1" applyAlignment="1">
      <alignment horizontal="center" vertical="center" wrapText="1"/>
    </xf>
    <xf numFmtId="0" fontId="125" fillId="12" borderId="36" xfId="0" applyFont="1" applyFill="1" applyBorder="1" applyAlignment="1">
      <alignment horizontal="center" vertical="center" wrapText="1"/>
    </xf>
    <xf numFmtId="0" fontId="125" fillId="12" borderId="37" xfId="0" applyFont="1" applyFill="1" applyBorder="1" applyAlignment="1">
      <alignment horizontal="center" vertical="center" wrapText="1"/>
    </xf>
    <xf numFmtId="0" fontId="125" fillId="12" borderId="38" xfId="0" applyFont="1" applyFill="1" applyBorder="1" applyAlignment="1">
      <alignment horizontal="center" vertical="center" wrapText="1"/>
    </xf>
    <xf numFmtId="0" fontId="127" fillId="3" borderId="35" xfId="0" applyFont="1" applyFill="1" applyBorder="1" applyAlignment="1">
      <alignment horizontal="center" vertical="center" wrapText="1"/>
    </xf>
    <xf numFmtId="0" fontId="127" fillId="3" borderId="36" xfId="0" applyFont="1" applyFill="1" applyBorder="1" applyAlignment="1">
      <alignment horizontal="center" vertical="center" wrapText="1"/>
    </xf>
    <xf numFmtId="0" fontId="127" fillId="3" borderId="37" xfId="0" applyFont="1" applyFill="1" applyBorder="1" applyAlignment="1">
      <alignment horizontal="center" vertical="center" wrapText="1"/>
    </xf>
    <xf numFmtId="0" fontId="126" fillId="12" borderId="35" xfId="0" applyFont="1" applyFill="1" applyBorder="1" applyAlignment="1">
      <alignment horizontal="center" vertical="center" wrapText="1" shrinkToFit="1"/>
    </xf>
    <xf numFmtId="0" fontId="126" fillId="12" borderId="37" xfId="0" applyFont="1" applyFill="1" applyBorder="1" applyAlignment="1">
      <alignment horizontal="center" vertical="center" wrapText="1" shrinkToFit="1"/>
    </xf>
    <xf numFmtId="187" fontId="126" fillId="12" borderId="5" xfId="0" applyNumberFormat="1" applyFont="1" applyFill="1" applyBorder="1" applyAlignment="1">
      <alignment vertical="center"/>
    </xf>
    <xf numFmtId="0" fontId="126" fillId="0" borderId="39" xfId="135" applyFont="1" applyFill="1" applyBorder="1" applyAlignment="1">
      <alignment horizontal="center" vertical="center" wrapText="1"/>
    </xf>
    <xf numFmtId="0" fontId="125" fillId="12" borderId="40" xfId="0" applyFont="1" applyFill="1" applyBorder="1" applyAlignment="1">
      <alignment horizontal="center" vertical="center" wrapText="1"/>
    </xf>
    <xf numFmtId="0" fontId="125" fillId="12" borderId="41" xfId="0" applyFont="1" applyFill="1" applyBorder="1" applyAlignment="1">
      <alignment horizontal="center" vertical="center" wrapText="1"/>
    </xf>
    <xf numFmtId="0" fontId="125" fillId="12" borderId="42" xfId="0" applyFont="1" applyFill="1" applyBorder="1" applyAlignment="1">
      <alignment horizontal="center" vertical="center" wrapText="1"/>
    </xf>
    <xf numFmtId="187" fontId="126" fillId="12" borderId="7" xfId="0" applyNumberFormat="1" applyFont="1" applyFill="1" applyBorder="1" applyAlignment="1">
      <alignment vertical="center"/>
    </xf>
    <xf numFmtId="0" fontId="126" fillId="0" borderId="8" xfId="0" applyFont="1" applyFill="1" applyBorder="1" applyAlignment="1">
      <alignment horizontal="center" vertical="center"/>
    </xf>
    <xf numFmtId="0" fontId="126" fillId="12" borderId="19" xfId="0" applyFont="1" applyFill="1" applyBorder="1" applyAlignment="1">
      <alignment horizontal="center" vertical="center" wrapText="1" shrinkToFit="1"/>
    </xf>
    <xf numFmtId="0" fontId="128" fillId="3" borderId="1" xfId="0" applyFont="1" applyFill="1" applyBorder="1" applyAlignment="1">
      <alignment horizontal="center" vertical="center" wrapText="1" shrinkToFit="1"/>
    </xf>
    <xf numFmtId="0" fontId="126" fillId="12" borderId="1" xfId="0" applyFont="1" applyFill="1" applyBorder="1" applyAlignment="1">
      <alignment horizontal="center" vertical="center" wrapText="1" shrinkToFit="1"/>
    </xf>
    <xf numFmtId="0" fontId="129" fillId="12" borderId="20" xfId="0" applyFont="1" applyFill="1" applyBorder="1" applyAlignment="1">
      <alignment horizontal="center" vertical="center" wrapText="1" shrinkToFit="1"/>
    </xf>
    <xf numFmtId="0" fontId="126" fillId="12" borderId="43" xfId="0" applyFont="1" applyFill="1" applyBorder="1" applyAlignment="1">
      <alignment horizontal="center" vertical="center" wrapText="1" shrinkToFit="1"/>
    </xf>
    <xf numFmtId="0" fontId="126" fillId="12" borderId="20" xfId="0" applyFont="1" applyFill="1" applyBorder="1" applyAlignment="1">
      <alignment horizontal="center" vertical="center" wrapText="1" shrinkToFit="1"/>
    </xf>
    <xf numFmtId="0" fontId="128" fillId="3" borderId="19" xfId="0" applyFont="1" applyFill="1" applyBorder="1" applyAlignment="1">
      <alignment horizontal="center" vertical="center" wrapText="1" shrinkToFit="1"/>
    </xf>
    <xf numFmtId="0" fontId="128" fillId="3" borderId="20" xfId="0" applyFont="1" applyFill="1" applyBorder="1" applyAlignment="1">
      <alignment horizontal="center" vertical="center" wrapText="1" shrinkToFit="1"/>
    </xf>
    <xf numFmtId="187" fontId="125" fillId="12" borderId="5" xfId="0" applyNumberFormat="1" applyFont="1" applyFill="1" applyBorder="1" applyAlignment="1">
      <alignment horizontal="center" vertical="center" wrapText="1" shrinkToFit="1"/>
    </xf>
    <xf numFmtId="0" fontId="126" fillId="12" borderId="44" xfId="0" applyFont="1" applyFill="1" applyBorder="1" applyAlignment="1">
      <alignment horizontal="center" vertical="center" wrapText="1" shrinkToFit="1"/>
    </xf>
    <xf numFmtId="0" fontId="128" fillId="3" borderId="44" xfId="0" applyFont="1" applyFill="1" applyBorder="1" applyAlignment="1">
      <alignment horizontal="center" vertical="center" wrapText="1" shrinkToFit="1"/>
    </xf>
    <xf numFmtId="0" fontId="126" fillId="12" borderId="16" xfId="0" applyFont="1" applyFill="1" applyBorder="1" applyAlignment="1">
      <alignment horizontal="center" vertical="center" wrapText="1" shrinkToFit="1"/>
    </xf>
    <xf numFmtId="0" fontId="128" fillId="3" borderId="16" xfId="0" applyFont="1" applyFill="1" applyBorder="1" applyAlignment="1">
      <alignment horizontal="center" vertical="center" wrapText="1" shrinkToFit="1"/>
    </xf>
    <xf numFmtId="0" fontId="129" fillId="12" borderId="15" xfId="0" applyFont="1" applyFill="1" applyBorder="1" applyAlignment="1">
      <alignment horizontal="center" vertical="center" wrapText="1" shrinkToFit="1"/>
    </xf>
    <xf numFmtId="187" fontId="125" fillId="12" borderId="7" xfId="0" applyNumberFormat="1" applyFont="1" applyFill="1" applyBorder="1" applyAlignment="1">
      <alignment horizontal="center" vertical="center" wrapText="1" shrinkToFit="1"/>
    </xf>
    <xf numFmtId="0" fontId="125" fillId="0" borderId="8" xfId="0" applyFont="1" applyFill="1" applyBorder="1" applyAlignment="1">
      <alignment horizontal="center" vertical="center" wrapText="1"/>
    </xf>
    <xf numFmtId="193" fontId="31" fillId="0" borderId="28" xfId="0" applyNumberFormat="1" applyFont="1" applyFill="1" applyBorder="1" applyAlignment="1">
      <alignment horizontal="center" vertical="center"/>
    </xf>
    <xf numFmtId="49" fontId="31" fillId="0" borderId="1" xfId="0" applyNumberFormat="1" applyFont="1" applyFill="1" applyBorder="1" applyAlignment="1">
      <alignment horizontal="center" vertical="center"/>
    </xf>
    <xf numFmtId="49" fontId="130" fillId="0" borderId="1" xfId="0" applyNumberFormat="1" applyFont="1" applyFill="1" applyBorder="1" applyAlignment="1">
      <alignment horizontal="center" vertical="center" wrapText="1"/>
    </xf>
    <xf numFmtId="0" fontId="31" fillId="0" borderId="1" xfId="0" applyFont="1" applyFill="1" applyBorder="1" applyAlignment="1">
      <alignment horizontal="center" vertical="center"/>
    </xf>
    <xf numFmtId="0" fontId="31" fillId="0" borderId="6" xfId="0" applyFont="1" applyFill="1" applyBorder="1" applyAlignment="1">
      <alignment horizontal="center" vertical="center"/>
    </xf>
    <xf numFmtId="0" fontId="31" fillId="0" borderId="19" xfId="0" applyFont="1" applyFill="1" applyBorder="1" applyAlignment="1">
      <alignment horizontal="center" vertical="center"/>
    </xf>
    <xf numFmtId="0" fontId="31" fillId="0" borderId="7" xfId="0" applyFont="1" applyFill="1" applyBorder="1" applyAlignment="1">
      <alignment horizontal="center" vertical="center"/>
    </xf>
    <xf numFmtId="0" fontId="31" fillId="0" borderId="20" xfId="0" applyFont="1" applyFill="1" applyBorder="1" applyAlignment="1">
      <alignment horizontal="center" vertical="center"/>
    </xf>
    <xf numFmtId="0" fontId="31" fillId="0" borderId="43" xfId="0" applyFont="1" applyFill="1" applyBorder="1" applyAlignment="1">
      <alignment horizontal="center" vertical="center"/>
    </xf>
    <xf numFmtId="0" fontId="31" fillId="0" borderId="45" xfId="0" applyFont="1" applyFill="1" applyBorder="1" applyAlignment="1">
      <alignment horizontal="center" vertical="center"/>
    </xf>
    <xf numFmtId="0" fontId="31" fillId="0" borderId="5" xfId="0" applyFont="1" applyFill="1" applyBorder="1" applyAlignment="1">
      <alignment horizontal="center" vertical="center"/>
    </xf>
    <xf numFmtId="0" fontId="31" fillId="0" borderId="28" xfId="0" applyFont="1" applyFill="1" applyBorder="1" applyAlignment="1">
      <alignment horizontal="center" vertical="center"/>
    </xf>
    <xf numFmtId="0" fontId="31" fillId="0" borderId="8" xfId="0" applyFont="1" applyFill="1" applyBorder="1" applyAlignment="1">
      <alignment horizontal="left" vertical="center" shrinkToFit="1"/>
    </xf>
    <xf numFmtId="0" fontId="87" fillId="3" borderId="43" xfId="0" applyFont="1" applyFill="1" applyBorder="1" applyAlignment="1">
      <alignment horizontal="center" vertical="center"/>
    </xf>
    <xf numFmtId="0" fontId="87" fillId="0" borderId="5" xfId="0" applyFont="1" applyFill="1" applyBorder="1" applyAlignment="1">
      <alignment horizontal="center" vertical="center"/>
    </xf>
    <xf numFmtId="0" fontId="87" fillId="0" borderId="6" xfId="0" applyFont="1" applyFill="1" applyBorder="1" applyAlignment="1">
      <alignment horizontal="center" vertical="center"/>
    </xf>
    <xf numFmtId="0" fontId="87" fillId="0" borderId="43" xfId="0" applyFont="1" applyFill="1" applyBorder="1" applyAlignment="1">
      <alignment horizontal="center" vertical="center"/>
    </xf>
    <xf numFmtId="0" fontId="87" fillId="0" borderId="7" xfId="0" applyFont="1" applyFill="1" applyBorder="1" applyAlignment="1">
      <alignment horizontal="center" vertical="center"/>
    </xf>
    <xf numFmtId="0" fontId="83" fillId="0" borderId="19" xfId="0" applyFont="1" applyFill="1" applyBorder="1" applyAlignment="1">
      <alignment horizontal="center" vertical="center"/>
    </xf>
    <xf numFmtId="0" fontId="83" fillId="0" borderId="7" xfId="0" applyFont="1" applyFill="1" applyBorder="1" applyAlignment="1">
      <alignment horizontal="center" vertical="center"/>
    </xf>
    <xf numFmtId="0" fontId="31" fillId="0" borderId="46" xfId="0" applyFont="1" applyFill="1" applyBorder="1" applyAlignment="1">
      <alignment horizontal="center" vertical="center" wrapText="1" shrinkToFit="1"/>
    </xf>
    <xf numFmtId="0" fontId="31" fillId="0" borderId="8" xfId="0" applyFont="1" applyFill="1" applyBorder="1" applyAlignment="1">
      <alignment horizontal="center" vertical="center" shrinkToFit="1"/>
    </xf>
    <xf numFmtId="0" fontId="31" fillId="0" borderId="46" xfId="0" applyFont="1" applyFill="1" applyBorder="1" applyAlignment="1">
      <alignment horizontal="center" vertical="center" shrinkToFit="1"/>
    </xf>
    <xf numFmtId="0" fontId="115" fillId="3" borderId="0" xfId="0" applyFont="1" applyFill="1" applyAlignment="1">
      <alignment horizontal="center" vertical="center"/>
    </xf>
    <xf numFmtId="0" fontId="131" fillId="0" borderId="1" xfId="0" applyFont="1" applyFill="1" applyBorder="1" applyAlignment="1">
      <alignment vertical="center" wrapText="1"/>
    </xf>
    <xf numFmtId="0" fontId="31" fillId="3" borderId="45" xfId="0" applyFont="1" applyFill="1" applyBorder="1" applyAlignment="1">
      <alignment horizontal="center" vertical="center"/>
    </xf>
    <xf numFmtId="0" fontId="31" fillId="3" borderId="6" xfId="0" applyFont="1" applyFill="1" applyBorder="1" applyAlignment="1">
      <alignment horizontal="center" vertical="center"/>
    </xf>
    <xf numFmtId="0" fontId="31" fillId="3" borderId="20" xfId="0" applyFont="1" applyFill="1" applyBorder="1" applyAlignment="1">
      <alignment horizontal="center" vertical="center"/>
    </xf>
    <xf numFmtId="0" fontId="87" fillId="0" borderId="1" xfId="0" applyFont="1" applyFill="1" applyBorder="1" applyAlignment="1">
      <alignment horizontal="center" vertical="center"/>
    </xf>
    <xf numFmtId="14" fontId="132" fillId="0" borderId="1" xfId="0" applyNumberFormat="1" applyFont="1" applyFill="1" applyBorder="1" applyAlignment="1">
      <alignment horizontal="center" vertical="center"/>
    </xf>
    <xf numFmtId="0" fontId="133" fillId="0" borderId="1" xfId="0" applyNumberFormat="1" applyFont="1" applyFill="1" applyBorder="1" applyAlignment="1">
      <alignment horizontal="center" vertical="center" wrapText="1"/>
    </xf>
    <xf numFmtId="0" fontId="133" fillId="0" borderId="1" xfId="0" applyNumberFormat="1" applyFont="1" applyFill="1" applyBorder="1" applyAlignment="1">
      <alignment horizontal="center" vertical="center"/>
    </xf>
    <xf numFmtId="0" fontId="87" fillId="0" borderId="5" xfId="0" applyFont="1" applyFill="1" applyBorder="1" applyAlignment="1">
      <alignment horizontal="center" vertical="center" wrapText="1"/>
    </xf>
    <xf numFmtId="0" fontId="31" fillId="0" borderId="1" xfId="0" applyNumberFormat="1" applyFont="1" applyFill="1" applyBorder="1" applyAlignment="1">
      <alignment horizontal="center" vertical="center"/>
    </xf>
    <xf numFmtId="0" fontId="132" fillId="0" borderId="1" xfId="0" applyNumberFormat="1" applyFont="1" applyFill="1" applyBorder="1" applyAlignment="1">
      <alignment horizontal="center" vertical="center"/>
    </xf>
    <xf numFmtId="0" fontId="31" fillId="0" borderId="29" xfId="0" applyFont="1" applyFill="1" applyBorder="1" applyAlignment="1">
      <alignment horizontal="center" vertical="center"/>
    </xf>
    <xf numFmtId="0" fontId="31" fillId="0" borderId="13" xfId="0" applyFont="1" applyFill="1" applyBorder="1" applyAlignment="1">
      <alignment horizontal="center" vertical="center"/>
    </xf>
    <xf numFmtId="0" fontId="31" fillId="0" borderId="10" xfId="0" applyFont="1" applyFill="1" applyBorder="1" applyAlignment="1">
      <alignment horizontal="center" vertical="center"/>
    </xf>
    <xf numFmtId="0" fontId="132" fillId="0" borderId="1" xfId="0" applyNumberFormat="1" applyFont="1" applyFill="1" applyBorder="1" applyAlignment="1">
      <alignment horizontal="center" vertical="center" wrapText="1"/>
    </xf>
    <xf numFmtId="14" fontId="132" fillId="0" borderId="7" xfId="0" applyNumberFormat="1" applyFont="1" applyFill="1" applyBorder="1" applyAlignment="1">
      <alignment horizontal="center" vertical="center"/>
    </xf>
    <xf numFmtId="14" fontId="132" fillId="3" borderId="7" xfId="0" applyNumberFormat="1" applyFont="1" applyFill="1" applyBorder="1" applyAlignment="1">
      <alignment horizontal="center" vertical="center"/>
    </xf>
    <xf numFmtId="0" fontId="133" fillId="3" borderId="1" xfId="0" applyNumberFormat="1" applyFont="1" applyFill="1" applyBorder="1" applyAlignment="1">
      <alignment horizontal="center" vertical="center"/>
    </xf>
    <xf numFmtId="0" fontId="31" fillId="3" borderId="1" xfId="0" applyNumberFormat="1" applyFont="1" applyFill="1" applyBorder="1" applyAlignment="1">
      <alignment horizontal="center" vertical="center"/>
    </xf>
    <xf numFmtId="49" fontId="31" fillId="3" borderId="1" xfId="0" applyNumberFormat="1" applyFont="1" applyFill="1" applyBorder="1" applyAlignment="1">
      <alignment horizontal="center" vertical="center"/>
    </xf>
    <xf numFmtId="0" fontId="31" fillId="3" borderId="1" xfId="0" applyFont="1" applyFill="1" applyBorder="1" applyAlignment="1">
      <alignment horizontal="center" vertical="center"/>
    </xf>
    <xf numFmtId="0" fontId="87" fillId="3" borderId="19" xfId="0" applyFont="1" applyFill="1" applyBorder="1" applyAlignment="1">
      <alignment horizontal="center" vertical="center"/>
    </xf>
    <xf numFmtId="0" fontId="87" fillId="3" borderId="7" xfId="0" applyFont="1" applyFill="1" applyBorder="1" applyAlignment="1">
      <alignment horizontal="center" vertical="center"/>
    </xf>
    <xf numFmtId="0" fontId="87" fillId="3" borderId="20" xfId="0" applyFont="1" applyFill="1" applyBorder="1" applyAlignment="1">
      <alignment horizontal="center" vertical="center"/>
    </xf>
    <xf numFmtId="0" fontId="87" fillId="3" borderId="1" xfId="0" applyFont="1" applyFill="1" applyBorder="1" applyAlignment="1">
      <alignment horizontal="center" vertical="center"/>
    </xf>
    <xf numFmtId="0" fontId="87" fillId="3" borderId="6" xfId="0" applyFont="1" applyFill="1" applyBorder="1" applyAlignment="1">
      <alignment horizontal="center" vertical="center"/>
    </xf>
    <xf numFmtId="0" fontId="87" fillId="3" borderId="45" xfId="0" applyFont="1" applyFill="1" applyBorder="1" applyAlignment="1">
      <alignment horizontal="center" vertical="center"/>
    </xf>
    <xf numFmtId="0" fontId="87" fillId="3" borderId="5" xfId="0" applyFont="1" applyFill="1" applyBorder="1" applyAlignment="1">
      <alignment horizontal="center" vertical="center"/>
    </xf>
    <xf numFmtId="0" fontId="31" fillId="3" borderId="29" xfId="0" applyFont="1" applyFill="1" applyBorder="1" applyAlignment="1">
      <alignment horizontal="center" vertical="center"/>
    </xf>
    <xf numFmtId="0" fontId="87" fillId="3" borderId="13" xfId="0" applyFont="1" applyFill="1" applyBorder="1" applyAlignment="1">
      <alignment horizontal="center" vertical="center"/>
    </xf>
    <xf numFmtId="0" fontId="31" fillId="3" borderId="13" xfId="0" applyFont="1" applyFill="1" applyBorder="1" applyAlignment="1">
      <alignment horizontal="center" vertical="center"/>
    </xf>
    <xf numFmtId="0" fontId="87" fillId="3" borderId="10" xfId="0" applyFont="1" applyFill="1" applyBorder="1" applyAlignment="1">
      <alignment horizontal="center" vertical="center"/>
    </xf>
    <xf numFmtId="0" fontId="31" fillId="3" borderId="19" xfId="0" applyFont="1" applyFill="1" applyBorder="1" applyAlignment="1">
      <alignment horizontal="center" vertical="center"/>
    </xf>
    <xf numFmtId="0" fontId="31" fillId="3" borderId="8" xfId="0" applyFont="1" applyFill="1" applyBorder="1" applyAlignment="1">
      <alignment horizontal="center" vertical="center" shrinkToFit="1"/>
    </xf>
    <xf numFmtId="0" fontId="87" fillId="0" borderId="10" xfId="0" applyFont="1" applyFill="1" applyBorder="1" applyAlignment="1">
      <alignment horizontal="center" vertical="center"/>
    </xf>
    <xf numFmtId="0" fontId="31" fillId="0" borderId="8" xfId="0" applyFont="1" applyFill="1" applyBorder="1" applyAlignment="1">
      <alignment horizontal="center" vertical="center"/>
    </xf>
    <xf numFmtId="193" fontId="87" fillId="3" borderId="28" xfId="0" applyNumberFormat="1" applyFont="1" applyFill="1" applyBorder="1" applyAlignment="1">
      <alignment horizontal="center" vertical="center"/>
    </xf>
    <xf numFmtId="49" fontId="87" fillId="3" borderId="7" xfId="0" applyNumberFormat="1" applyFont="1" applyFill="1" applyBorder="1" applyAlignment="1">
      <alignment horizontal="center" vertical="center"/>
    </xf>
    <xf numFmtId="0" fontId="128" fillId="3" borderId="39" xfId="135" applyFont="1" applyFill="1" applyBorder="1" applyAlignment="1">
      <alignment horizontal="center" vertical="center" wrapText="1"/>
    </xf>
    <xf numFmtId="187" fontId="87" fillId="3" borderId="47" xfId="0" applyNumberFormat="1" applyFont="1" applyFill="1" applyBorder="1" applyAlignment="1">
      <alignment horizontal="center" vertical="center"/>
    </xf>
    <xf numFmtId="187" fontId="87" fillId="3" borderId="22" xfId="0" applyNumberFormat="1" applyFont="1" applyFill="1" applyBorder="1" applyAlignment="1">
      <alignment horizontal="center" vertical="center"/>
    </xf>
    <xf numFmtId="187" fontId="87" fillId="3" borderId="43" xfId="0" applyNumberFormat="1" applyFont="1" applyFill="1" applyBorder="1" applyAlignment="1">
      <alignment horizontal="center" vertical="center"/>
    </xf>
    <xf numFmtId="187" fontId="87" fillId="3" borderId="19" xfId="0" applyNumberFormat="1" applyFont="1" applyFill="1" applyBorder="1" applyAlignment="1">
      <alignment horizontal="center" vertical="center"/>
    </xf>
    <xf numFmtId="187" fontId="87" fillId="3" borderId="1" xfId="0" applyNumberFormat="1" applyFont="1" applyFill="1" applyBorder="1" applyAlignment="1">
      <alignment horizontal="center" vertical="center"/>
    </xf>
    <xf numFmtId="187" fontId="87" fillId="3" borderId="20" xfId="0" applyNumberFormat="1" applyFont="1" applyFill="1" applyBorder="1" applyAlignment="1">
      <alignment horizontal="center" vertical="center"/>
    </xf>
    <xf numFmtId="0" fontId="87" fillId="3" borderId="8" xfId="0" applyFont="1" applyFill="1" applyBorder="1" applyAlignment="1">
      <alignment horizontal="center" vertical="center"/>
    </xf>
    <xf numFmtId="0" fontId="21" fillId="0" borderId="28" xfId="135" applyFont="1" applyFill="1" applyBorder="1" applyAlignment="1">
      <alignment horizontal="center" vertical="center" wrapText="1"/>
    </xf>
    <xf numFmtId="0" fontId="21" fillId="0" borderId="7" xfId="135" applyFont="1" applyFill="1" applyBorder="1" applyAlignment="1">
      <alignment horizontal="center" vertical="center" wrapText="1"/>
    </xf>
    <xf numFmtId="187" fontId="21" fillId="0" borderId="1" xfId="135" applyNumberFormat="1" applyFont="1" applyFill="1" applyBorder="1" applyAlignment="1">
      <alignment horizontal="center" vertical="center" wrapText="1"/>
    </xf>
    <xf numFmtId="0" fontId="21" fillId="0" borderId="6" xfId="158" applyFont="1" applyFill="1" applyBorder="1" applyAlignment="1">
      <alignment horizontal="center" vertical="center" wrapText="1" shrinkToFit="1"/>
    </xf>
    <xf numFmtId="0" fontId="21" fillId="0" borderId="19" xfId="158" applyFont="1" applyFill="1" applyBorder="1" applyAlignment="1">
      <alignment horizontal="center" vertical="center" wrapText="1" shrinkToFit="1"/>
    </xf>
    <xf numFmtId="0" fontId="21" fillId="3" borderId="1" xfId="158" applyFont="1" applyFill="1" applyBorder="1" applyAlignment="1">
      <alignment horizontal="center" vertical="center" wrapText="1" shrinkToFit="1"/>
    </xf>
    <xf numFmtId="0" fontId="21" fillId="0" borderId="1" xfId="158" applyFont="1" applyFill="1" applyBorder="1" applyAlignment="1">
      <alignment horizontal="center" vertical="center" wrapText="1" shrinkToFit="1"/>
    </xf>
    <xf numFmtId="0" fontId="21" fillId="0" borderId="20" xfId="158" applyFont="1" applyFill="1" applyBorder="1" applyAlignment="1">
      <alignment horizontal="center" vertical="center" wrapText="1" shrinkToFit="1"/>
    </xf>
    <xf numFmtId="0" fontId="21" fillId="0" borderId="43" xfId="158" applyFont="1" applyFill="1" applyBorder="1" applyAlignment="1">
      <alignment horizontal="center" vertical="center" wrapText="1" shrinkToFit="1"/>
    </xf>
    <xf numFmtId="182" fontId="21" fillId="0" borderId="19" xfId="158" applyNumberFormat="1" applyFont="1" applyFill="1" applyBorder="1" applyAlignment="1">
      <alignment horizontal="center" vertical="center" wrapText="1" shrinkToFit="1"/>
    </xf>
    <xf numFmtId="182" fontId="21" fillId="0" borderId="1" xfId="158" applyNumberFormat="1" applyFont="1" applyFill="1" applyBorder="1" applyAlignment="1">
      <alignment horizontal="center" vertical="center" wrapText="1" shrinkToFit="1"/>
    </xf>
    <xf numFmtId="182" fontId="21" fillId="0" borderId="20" xfId="158" applyNumberFormat="1" applyFont="1" applyFill="1" applyBorder="1" applyAlignment="1">
      <alignment horizontal="center" vertical="center" wrapText="1" shrinkToFit="1"/>
    </xf>
    <xf numFmtId="0" fontId="21" fillId="0" borderId="5" xfId="158" applyFont="1" applyFill="1" applyBorder="1" applyAlignment="1">
      <alignment horizontal="center" vertical="center" wrapText="1" shrinkToFit="1"/>
    </xf>
    <xf numFmtId="0" fontId="21" fillId="0" borderId="31" xfId="158" applyFont="1" applyFill="1" applyBorder="1" applyAlignment="1">
      <alignment horizontal="center" vertical="center" wrapText="1" shrinkToFit="1"/>
    </xf>
    <xf numFmtId="0" fontId="21" fillId="0" borderId="38" xfId="158" applyFont="1" applyFill="1" applyBorder="1" applyAlignment="1">
      <alignment horizontal="center" vertical="center" wrapText="1" shrinkToFit="1"/>
    </xf>
    <xf numFmtId="0" fontId="21" fillId="0" borderId="33" xfId="158" applyFont="1" applyFill="1" applyBorder="1" applyAlignment="1">
      <alignment horizontal="center" vertical="center" wrapText="1" shrinkToFit="1"/>
    </xf>
    <xf numFmtId="0" fontId="21" fillId="0" borderId="7" xfId="158" applyFont="1" applyFill="1" applyBorder="1" applyAlignment="1">
      <alignment horizontal="center" vertical="center" wrapText="1" shrinkToFit="1"/>
    </xf>
    <xf numFmtId="0" fontId="21" fillId="0" borderId="8" xfId="158" applyFont="1" applyFill="1" applyBorder="1" applyAlignment="1">
      <alignment horizontal="center" vertical="center" wrapText="1" shrinkToFit="1"/>
    </xf>
    <xf numFmtId="0" fontId="83" fillId="0" borderId="7" xfId="135" applyFont="1" applyFill="1" applyBorder="1" applyAlignment="1">
      <alignment horizontal="center" vertical="center" wrapText="1"/>
    </xf>
    <xf numFmtId="0" fontId="83" fillId="0" borderId="6" xfId="158" applyFont="1" applyFill="1" applyBorder="1" applyAlignment="1">
      <alignment horizontal="center" vertical="center" wrapText="1" shrinkToFit="1"/>
    </xf>
    <xf numFmtId="182" fontId="21" fillId="0" borderId="6" xfId="158" applyNumberFormat="1" applyFont="1" applyFill="1" applyBorder="1" applyAlignment="1">
      <alignment horizontal="center" vertical="center" wrapText="1" shrinkToFit="1"/>
    </xf>
    <xf numFmtId="182" fontId="21" fillId="0" borderId="45" xfId="158" applyNumberFormat="1" applyFont="1" applyFill="1" applyBorder="1" applyAlignment="1">
      <alignment horizontal="center" vertical="center" wrapText="1" shrinkToFit="1"/>
    </xf>
    <xf numFmtId="0" fontId="21" fillId="0" borderId="45" xfId="158" applyFont="1" applyFill="1" applyBorder="1" applyAlignment="1">
      <alignment horizontal="center" vertical="center" wrapText="1" shrinkToFit="1"/>
    </xf>
    <xf numFmtId="0" fontId="21" fillId="0" borderId="48" xfId="135" applyFont="1" applyFill="1" applyBorder="1" applyAlignment="1">
      <alignment horizontal="center" vertical="center" wrapText="1"/>
    </xf>
    <xf numFmtId="0" fontId="21" fillId="0" borderId="49" xfId="135" applyFont="1" applyFill="1" applyBorder="1" applyAlignment="1">
      <alignment horizontal="center" vertical="center" wrapText="1"/>
    </xf>
    <xf numFmtId="187" fontId="21" fillId="0" borderId="50" xfId="135" applyNumberFormat="1" applyFont="1" applyFill="1" applyBorder="1" applyAlignment="1">
      <alignment horizontal="center" vertical="center" wrapText="1"/>
    </xf>
    <xf numFmtId="0" fontId="21" fillId="0" borderId="51" xfId="158" applyFont="1" applyFill="1" applyBorder="1" applyAlignment="1">
      <alignment horizontal="center" vertical="center" wrapText="1" shrinkToFit="1"/>
    </xf>
    <xf numFmtId="199" fontId="21" fillId="0" borderId="52" xfId="158" applyNumberFormat="1" applyFont="1" applyFill="1" applyBorder="1" applyAlignment="1">
      <alignment horizontal="center" vertical="center" wrapText="1" shrinkToFit="1"/>
    </xf>
    <xf numFmtId="199" fontId="21" fillId="3" borderId="53" xfId="158" applyNumberFormat="1" applyFont="1" applyFill="1" applyBorder="1" applyAlignment="1">
      <alignment horizontal="center" vertical="center" wrapText="1" shrinkToFit="1"/>
    </xf>
    <xf numFmtId="199" fontId="21" fillId="0" borderId="53" xfId="158" applyNumberFormat="1" applyFont="1" applyFill="1" applyBorder="1" applyAlignment="1">
      <alignment horizontal="center" vertical="center" wrapText="1" shrinkToFit="1"/>
    </xf>
    <xf numFmtId="199" fontId="21" fillId="0" borderId="54" xfId="158" applyNumberFormat="1" applyFont="1" applyFill="1" applyBorder="1" applyAlignment="1">
      <alignment horizontal="center" vertical="center" wrapText="1" shrinkToFit="1"/>
    </xf>
    <xf numFmtId="199" fontId="21" fillId="0" borderId="55" xfId="158" applyNumberFormat="1" applyFont="1" applyFill="1" applyBorder="1" applyAlignment="1">
      <alignment horizontal="center" vertical="center" wrapText="1" shrinkToFit="1"/>
    </xf>
    <xf numFmtId="182" fontId="21" fillId="0" borderId="52" xfId="158" applyNumberFormat="1" applyFont="1" applyFill="1" applyBorder="1" applyAlignment="1">
      <alignment horizontal="center" vertical="center" wrapText="1" shrinkToFit="1"/>
    </xf>
    <xf numFmtId="182" fontId="21" fillId="0" borderId="53" xfId="158" applyNumberFormat="1" applyFont="1" applyFill="1" applyBorder="1" applyAlignment="1">
      <alignment horizontal="center" vertical="center" wrapText="1" shrinkToFit="1"/>
    </xf>
    <xf numFmtId="182" fontId="21" fillId="0" borderId="54" xfId="158" applyNumberFormat="1" applyFont="1" applyFill="1" applyBorder="1" applyAlignment="1">
      <alignment horizontal="center" vertical="center" wrapText="1" shrinkToFit="1"/>
    </xf>
    <xf numFmtId="199" fontId="21" fillId="0" borderId="56" xfId="158" applyNumberFormat="1" applyFont="1" applyFill="1" applyBorder="1" applyAlignment="1">
      <alignment horizontal="center" vertical="center" wrapText="1" shrinkToFit="1"/>
    </xf>
    <xf numFmtId="0" fontId="126" fillId="0" borderId="57" xfId="135" applyFont="1" applyFill="1" applyBorder="1" applyAlignment="1">
      <alignment horizontal="center" vertical="center" wrapText="1"/>
    </xf>
    <xf numFmtId="182" fontId="134" fillId="0" borderId="52" xfId="158" applyNumberFormat="1" applyFont="1" applyFill="1" applyBorder="1" applyAlignment="1">
      <alignment horizontal="center" vertical="center" wrapText="1" shrinkToFit="1"/>
    </xf>
    <xf numFmtId="182" fontId="134" fillId="0" borderId="53" xfId="158" applyNumberFormat="1" applyFont="1" applyFill="1" applyBorder="1" applyAlignment="1">
      <alignment horizontal="center" vertical="center" wrapText="1" shrinkToFit="1"/>
    </xf>
    <xf numFmtId="199" fontId="21" fillId="0" borderId="49" xfId="158" applyNumberFormat="1" applyFont="1" applyFill="1" applyBorder="1" applyAlignment="1">
      <alignment horizontal="center" vertical="center" wrapText="1" shrinkToFit="1"/>
    </xf>
    <xf numFmtId="199" fontId="21" fillId="0" borderId="58" xfId="158" applyNumberFormat="1" applyFont="1" applyFill="1" applyBorder="1" applyAlignment="1">
      <alignment horizontal="center" vertical="center" wrapText="1" shrinkToFit="1"/>
    </xf>
    <xf numFmtId="187" fontId="76" fillId="0" borderId="1" xfId="0" applyNumberFormat="1" applyFont="1" applyFill="1" applyBorder="1" applyAlignment="1">
      <alignment horizontal="center" vertical="center"/>
    </xf>
    <xf numFmtId="187" fontId="76" fillId="0" borderId="0" xfId="0" applyNumberFormat="1" applyFont="1" applyFill="1" applyAlignment="1">
      <alignment horizontal="center" vertical="center"/>
    </xf>
    <xf numFmtId="0" fontId="102" fillId="0" borderId="0" xfId="0" applyFont="1" applyAlignment="1">
      <alignment horizontal="center" vertical="center"/>
    </xf>
    <xf numFmtId="0" fontId="102" fillId="0" borderId="0" xfId="0" applyFont="1" applyFill="1" applyAlignment="1">
      <alignment horizontal="center" vertical="center"/>
    </xf>
    <xf numFmtId="0" fontId="21" fillId="0" borderId="0" xfId="0" applyFont="1" applyAlignment="1">
      <alignment horizontal="center" vertical="center"/>
    </xf>
    <xf numFmtId="187" fontId="21" fillId="0" borderId="0" xfId="0" applyNumberFormat="1" applyFont="1" applyAlignment="1">
      <alignment horizontal="center" vertical="center"/>
    </xf>
    <xf numFmtId="0" fontId="135" fillId="0" borderId="0" xfId="0" applyFont="1" applyAlignment="1">
      <alignment horizontal="center" vertical="center"/>
    </xf>
    <xf numFmtId="0" fontId="21" fillId="0" borderId="0" xfId="0" applyFont="1" applyFill="1" applyAlignment="1">
      <alignment horizontal="center" vertical="center"/>
    </xf>
    <xf numFmtId="0" fontId="32" fillId="0" borderId="0" xfId="0" applyFont="1" applyAlignment="1">
      <alignment horizontal="center" vertical="center"/>
    </xf>
    <xf numFmtId="0" fontId="21" fillId="0" borderId="0" xfId="0" applyFont="1" applyBorder="1" applyAlignment="1">
      <alignment horizontal="center" vertical="center"/>
    </xf>
    <xf numFmtId="0" fontId="21" fillId="0" borderId="0" xfId="0" applyFont="1" applyAlignment="1">
      <alignment horizontal="center" vertical="center" wrapText="1"/>
    </xf>
    <xf numFmtId="0" fontId="1" fillId="13" borderId="59" xfId="0" applyFont="1" applyFill="1" applyBorder="1" applyAlignment="1">
      <alignment horizontal="center" vertical="center"/>
    </xf>
    <xf numFmtId="0" fontId="1" fillId="13" borderId="60" xfId="0" applyFont="1" applyFill="1" applyBorder="1" applyAlignment="1">
      <alignment horizontal="center" vertical="center"/>
    </xf>
    <xf numFmtId="0" fontId="1" fillId="13" borderId="61" xfId="0" applyFont="1" applyFill="1" applyBorder="1" applyAlignment="1">
      <alignment horizontal="center" vertical="center"/>
    </xf>
    <xf numFmtId="0" fontId="136" fillId="0" borderId="1" xfId="0" applyFont="1" applyBorder="1" applyAlignment="1">
      <alignment horizontal="center" vertical="center"/>
    </xf>
    <xf numFmtId="0" fontId="1" fillId="14" borderId="59" xfId="0" applyFont="1" applyFill="1" applyBorder="1" applyAlignment="1">
      <alignment horizontal="center" vertical="center"/>
    </xf>
    <xf numFmtId="0" fontId="1" fillId="14" borderId="60" xfId="0" applyFont="1" applyFill="1" applyBorder="1" applyAlignment="1">
      <alignment horizontal="center" vertical="center"/>
    </xf>
    <xf numFmtId="0" fontId="1" fillId="0" borderId="60" xfId="0" applyFont="1" applyFill="1" applyBorder="1" applyAlignment="1">
      <alignment horizontal="center" vertical="center"/>
    </xf>
    <xf numFmtId="0" fontId="1" fillId="14" borderId="61" xfId="0" applyFont="1" applyFill="1" applyBorder="1" applyAlignment="1">
      <alignment horizontal="center" vertical="center"/>
    </xf>
    <xf numFmtId="0" fontId="1" fillId="14" borderId="25" xfId="0" applyFont="1" applyFill="1" applyBorder="1" applyAlignment="1">
      <alignment horizontal="center" vertical="center"/>
    </xf>
    <xf numFmtId="0" fontId="1" fillId="14" borderId="26" xfId="0" applyFont="1" applyFill="1" applyBorder="1" applyAlignment="1">
      <alignment horizontal="center" vertical="center"/>
    </xf>
    <xf numFmtId="0" fontId="1" fillId="14" borderId="27" xfId="0" applyFont="1" applyFill="1" applyBorder="1" applyAlignment="1">
      <alignment horizontal="center" vertical="center"/>
    </xf>
    <xf numFmtId="0" fontId="1" fillId="0" borderId="0" xfId="0" applyFont="1" applyFill="1" applyAlignment="1">
      <alignment horizontal="center" vertical="center"/>
    </xf>
    <xf numFmtId="0" fontId="1" fillId="14" borderId="31" xfId="0" applyFont="1" applyFill="1" applyBorder="1" applyAlignment="1">
      <alignment horizontal="center" vertical="center"/>
    </xf>
    <xf numFmtId="0" fontId="1" fillId="14" borderId="38" xfId="0" applyFont="1" applyFill="1" applyBorder="1" applyAlignment="1">
      <alignment horizontal="center" vertical="center"/>
    </xf>
    <xf numFmtId="0" fontId="1" fillId="14" borderId="33" xfId="0" applyFont="1" applyFill="1" applyBorder="1" applyAlignment="1">
      <alignment horizontal="center" vertical="center"/>
    </xf>
    <xf numFmtId="0" fontId="1" fillId="14" borderId="62" xfId="0" applyFont="1" applyFill="1" applyBorder="1" applyAlignment="1">
      <alignment horizontal="center" vertical="center"/>
    </xf>
    <xf numFmtId="0" fontId="21" fillId="0" borderId="34" xfId="0" applyFont="1" applyBorder="1" applyAlignment="1">
      <alignment horizontal="center" vertical="center"/>
    </xf>
    <xf numFmtId="0" fontId="137" fillId="14" borderId="38" xfId="0" applyFont="1" applyFill="1" applyBorder="1" applyAlignment="1">
      <alignment horizontal="center" vertical="center"/>
    </xf>
    <xf numFmtId="0" fontId="21" fillId="0" borderId="34" xfId="0" applyFont="1" applyBorder="1" applyAlignment="1">
      <alignment horizontal="center" vertical="center" wrapText="1"/>
    </xf>
    <xf numFmtId="0" fontId="21" fillId="0" borderId="28" xfId="135" applyFont="1" applyBorder="1" applyAlignment="1">
      <alignment horizontal="center" vertical="center"/>
    </xf>
    <xf numFmtId="187" fontId="31" fillId="0" borderId="1" xfId="135" applyNumberFormat="1" applyFont="1" applyBorder="1" applyAlignment="1">
      <alignment horizontal="center" vertical="center"/>
    </xf>
    <xf numFmtId="0" fontId="31" fillId="0" borderId="1" xfId="135" applyFont="1" applyBorder="1" applyAlignment="1">
      <alignment horizontal="center" vertical="center"/>
    </xf>
    <xf numFmtId="0" fontId="21" fillId="0" borderId="6" xfId="158" applyFont="1" applyBorder="1" applyAlignment="1">
      <alignment horizontal="center" vertical="center" wrapText="1"/>
    </xf>
    <xf numFmtId="0" fontId="21" fillId="0" borderId="8" xfId="0" applyFont="1" applyBorder="1" applyAlignment="1">
      <alignment horizontal="center" vertical="center"/>
    </xf>
    <xf numFmtId="0" fontId="138" fillId="0" borderId="1" xfId="158" applyFont="1" applyBorder="1" applyAlignment="1">
      <alignment horizontal="center" vertical="center" wrapText="1"/>
    </xf>
    <xf numFmtId="0" fontId="83" fillId="0" borderId="6" xfId="158" applyFont="1" applyBorder="1" applyAlignment="1">
      <alignment horizontal="center" vertical="center" wrapText="1"/>
    </xf>
    <xf numFmtId="0" fontId="83" fillId="0" borderId="6" xfId="158" applyFont="1" applyFill="1" applyBorder="1" applyAlignment="1">
      <alignment horizontal="center" vertical="center" wrapText="1"/>
    </xf>
    <xf numFmtId="0" fontId="139" fillId="0" borderId="6" xfId="158" applyFont="1" applyBorder="1" applyAlignment="1">
      <alignment horizontal="center" vertical="center" wrapText="1"/>
    </xf>
    <xf numFmtId="0" fontId="83" fillId="0" borderId="8" xfId="0" applyFont="1" applyBorder="1" applyAlignment="1">
      <alignment horizontal="center" vertical="center"/>
    </xf>
    <xf numFmtId="0" fontId="21" fillId="0" borderId="1" xfId="158" applyFont="1" applyBorder="1" applyAlignment="1">
      <alignment vertical="center" wrapText="1"/>
    </xf>
    <xf numFmtId="0" fontId="21" fillId="0" borderId="6" xfId="158" applyFont="1" applyBorder="1" applyAlignment="1">
      <alignment vertical="center" wrapText="1"/>
    </xf>
    <xf numFmtId="0" fontId="21" fillId="0" borderId="8" xfId="158" applyFont="1" applyBorder="1" applyAlignment="1">
      <alignment vertical="center" wrapText="1"/>
    </xf>
    <xf numFmtId="0" fontId="21" fillId="0" borderId="0" xfId="158" applyFont="1" applyFill="1" applyAlignment="1">
      <alignment vertical="center" wrapText="1"/>
    </xf>
    <xf numFmtId="0" fontId="21" fillId="0" borderId="19" xfId="135" applyFont="1" applyBorder="1" applyAlignment="1">
      <alignment horizontal="center" vertical="center"/>
    </xf>
    <xf numFmtId="0" fontId="21" fillId="0" borderId="20" xfId="158" applyFont="1" applyBorder="1" applyAlignment="1">
      <alignment vertical="center" wrapText="1"/>
    </xf>
    <xf numFmtId="0" fontId="83" fillId="0" borderId="19" xfId="0" applyFont="1" applyBorder="1" applyAlignment="1">
      <alignment horizontal="center" vertical="center"/>
    </xf>
    <xf numFmtId="0" fontId="83" fillId="0" borderId="1" xfId="0" applyFont="1" applyBorder="1" applyAlignment="1">
      <alignment horizontal="center" vertical="center"/>
    </xf>
    <xf numFmtId="0" fontId="21" fillId="0" borderId="6" xfId="0" applyFont="1" applyBorder="1" applyAlignment="1">
      <alignment horizontal="center" vertical="center"/>
    </xf>
    <xf numFmtId="0" fontId="21" fillId="0" borderId="43" xfId="0" applyFont="1" applyBorder="1" applyAlignment="1">
      <alignment horizontal="center" vertical="center"/>
    </xf>
    <xf numFmtId="0" fontId="140" fillId="0" borderId="1" xfId="0" applyFont="1" applyBorder="1" applyAlignment="1">
      <alignment horizontal="center" vertical="center"/>
    </xf>
    <xf numFmtId="0" fontId="139" fillId="0" borderId="1" xfId="0" applyFont="1" applyBorder="1" applyAlignment="1">
      <alignment horizontal="center" vertical="center"/>
    </xf>
    <xf numFmtId="0" fontId="139" fillId="0" borderId="6" xfId="0" applyFont="1" applyBorder="1" applyAlignment="1">
      <alignment horizontal="center" vertical="center"/>
    </xf>
    <xf numFmtId="0" fontId="21" fillId="0" borderId="20" xfId="0" applyFont="1" applyBorder="1" applyAlignment="1">
      <alignment horizontal="center" vertical="center"/>
    </xf>
    <xf numFmtId="0" fontId="21" fillId="0" borderId="43" xfId="0" applyFont="1" applyBorder="1" applyAlignment="1">
      <alignment horizontal="center" vertical="center" wrapText="1"/>
    </xf>
    <xf numFmtId="187" fontId="21" fillId="0" borderId="1" xfId="135" applyNumberFormat="1" applyFont="1" applyBorder="1" applyAlignment="1">
      <alignment horizontal="center" vertical="center"/>
    </xf>
    <xf numFmtId="0" fontId="21" fillId="0" borderId="1" xfId="135" applyFont="1" applyBorder="1" applyAlignment="1">
      <alignment horizontal="center" vertical="center"/>
    </xf>
    <xf numFmtId="0" fontId="31" fillId="2" borderId="6" xfId="158" applyFont="1" applyFill="1" applyBorder="1" applyAlignment="1">
      <alignment horizontal="center" vertical="center" wrapText="1"/>
    </xf>
    <xf numFmtId="0" fontId="21" fillId="2" borderId="6" xfId="158" applyFont="1" applyFill="1" applyBorder="1" applyAlignment="1">
      <alignment horizontal="center" vertical="center" wrapText="1"/>
    </xf>
    <xf numFmtId="0" fontId="31" fillId="2" borderId="8" xfId="0" applyFont="1" applyFill="1" applyBorder="1" applyAlignment="1">
      <alignment horizontal="center" vertical="center" wrapText="1"/>
    </xf>
    <xf numFmtId="0" fontId="21" fillId="0" borderId="1" xfId="158" applyFont="1" applyFill="1" applyBorder="1" applyAlignment="1">
      <alignment horizontal="center" vertical="center" wrapText="1"/>
    </xf>
    <xf numFmtId="0" fontId="134" fillId="0" borderId="1" xfId="158" applyFont="1" applyFill="1" applyBorder="1" applyAlignment="1">
      <alignment horizontal="center" vertical="center" wrapText="1"/>
    </xf>
    <xf numFmtId="0" fontId="21" fillId="3" borderId="1" xfId="158" applyFont="1" applyFill="1" applyBorder="1" applyAlignment="1">
      <alignment horizontal="center" vertical="center" wrapText="1"/>
    </xf>
    <xf numFmtId="0" fontId="135" fillId="0" borderId="6" xfId="158" applyFont="1" applyBorder="1" applyAlignment="1">
      <alignment horizontal="center" vertical="center" wrapText="1"/>
    </xf>
    <xf numFmtId="0" fontId="31" fillId="0" borderId="8" xfId="0" applyFont="1" applyBorder="1" applyAlignment="1">
      <alignment horizontal="center" vertical="center" wrapText="1"/>
    </xf>
    <xf numFmtId="0" fontId="135" fillId="0" borderId="1" xfId="158" applyFont="1" applyBorder="1" applyAlignment="1">
      <alignment horizontal="center" vertical="center" wrapText="1"/>
    </xf>
    <xf numFmtId="0" fontId="135" fillId="0" borderId="8" xfId="158" applyFont="1" applyBorder="1" applyAlignment="1">
      <alignment horizontal="center" vertical="center" wrapText="1"/>
    </xf>
    <xf numFmtId="0" fontId="21" fillId="0" borderId="0" xfId="158" applyFont="1" applyFill="1" applyAlignment="1">
      <alignment horizontal="center" vertical="center" wrapText="1"/>
    </xf>
    <xf numFmtId="0" fontId="21" fillId="0" borderId="20" xfId="158" applyFont="1" applyBorder="1" applyAlignment="1">
      <alignment horizontal="center" vertical="center" wrapText="1"/>
    </xf>
    <xf numFmtId="0" fontId="21" fillId="0" borderId="19" xfId="0" applyFont="1" applyBorder="1" applyAlignment="1">
      <alignment horizontal="center" vertical="center"/>
    </xf>
    <xf numFmtId="0" fontId="32" fillId="0" borderId="1" xfId="0" applyFont="1" applyFill="1" applyBorder="1" applyAlignment="1">
      <alignment horizontal="center" vertical="center" wrapText="1" shrinkToFit="1"/>
    </xf>
    <xf numFmtId="187" fontId="32" fillId="0" borderId="1" xfId="0" applyNumberFormat="1" applyFont="1" applyFill="1" applyBorder="1" applyAlignment="1">
      <alignment horizontal="center" vertical="center" wrapText="1" shrinkToFit="1"/>
    </xf>
    <xf numFmtId="0" fontId="141" fillId="0" borderId="6" xfId="0" applyFont="1" applyFill="1" applyBorder="1" applyAlignment="1">
      <alignment horizontal="center" vertical="center" wrapText="1"/>
    </xf>
    <xf numFmtId="0" fontId="83" fillId="0" borderId="43" xfId="0" applyFont="1" applyBorder="1" applyAlignment="1">
      <alignment horizontal="center" vertical="center"/>
    </xf>
    <xf numFmtId="0" fontId="3" fillId="3" borderId="1" xfId="0" applyFont="1" applyFill="1" applyBorder="1" applyAlignment="1">
      <alignment horizontal="center" vertical="center" wrapText="1" shrinkToFit="1"/>
    </xf>
    <xf numFmtId="187" fontId="3" fillId="3" borderId="1" xfId="0" applyNumberFormat="1" applyFont="1" applyFill="1" applyBorder="1" applyAlignment="1">
      <alignment horizontal="center" vertical="center" wrapText="1" shrinkToFit="1"/>
    </xf>
    <xf numFmtId="0" fontId="140" fillId="0" borderId="1" xfId="0" applyFont="1" applyFill="1" applyBorder="1" applyAlignment="1">
      <alignment horizontal="center" vertical="center" wrapText="1" shrinkToFit="1"/>
    </xf>
    <xf numFmtId="187" fontId="142" fillId="0" borderId="1" xfId="0" applyNumberFormat="1" applyFont="1" applyFill="1" applyBorder="1" applyAlignment="1">
      <alignment horizontal="center" vertical="center" wrapText="1" shrinkToFit="1"/>
    </xf>
    <xf numFmtId="187" fontId="88" fillId="3" borderId="1" xfId="0" applyNumberFormat="1" applyFont="1" applyFill="1" applyBorder="1" applyAlignment="1">
      <alignment horizontal="center" vertical="center" wrapText="1" shrinkToFit="1"/>
    </xf>
    <xf numFmtId="187" fontId="27" fillId="0" borderId="1" xfId="0" applyNumberFormat="1" applyFont="1" applyFill="1" applyBorder="1" applyAlignment="1">
      <alignment horizontal="center" vertical="center" wrapText="1" shrinkToFit="1"/>
    </xf>
    <xf numFmtId="187" fontId="27" fillId="3" borderId="1" xfId="0" applyNumberFormat="1" applyFont="1" applyFill="1" applyBorder="1" applyAlignment="1">
      <alignment horizontal="center" vertical="center" wrapText="1" shrinkToFit="1"/>
    </xf>
    <xf numFmtId="187" fontId="22" fillId="0" borderId="6" xfId="0" applyNumberFormat="1" applyFont="1" applyFill="1" applyBorder="1" applyAlignment="1">
      <alignment horizontal="center" vertical="center" wrapText="1" shrinkToFit="1"/>
    </xf>
    <xf numFmtId="0" fontId="143" fillId="3" borderId="1" xfId="0" applyFont="1" applyFill="1" applyBorder="1" applyAlignment="1">
      <alignment horizontal="center" vertical="center" wrapText="1" shrinkToFit="1"/>
    </xf>
    <xf numFmtId="187" fontId="144" fillId="0" borderId="1" xfId="0" applyNumberFormat="1" applyFont="1" applyFill="1" applyBorder="1" applyAlignment="1">
      <alignment horizontal="center" vertical="center" wrapText="1" shrinkToFit="1"/>
    </xf>
    <xf numFmtId="187" fontId="22" fillId="3" borderId="1" xfId="0" applyNumberFormat="1" applyFont="1" applyFill="1" applyBorder="1" applyAlignment="1">
      <alignment horizontal="center" vertical="center" wrapText="1" shrinkToFit="1"/>
    </xf>
    <xf numFmtId="0" fontId="83" fillId="0" borderId="20" xfId="0" applyFont="1" applyFill="1" applyBorder="1" applyAlignment="1">
      <alignment horizontal="center" vertical="center" wrapText="1"/>
    </xf>
    <xf numFmtId="0" fontId="83" fillId="0" borderId="43" xfId="0" applyFont="1" applyBorder="1" applyAlignment="1">
      <alignment horizontal="center" vertical="center" wrapText="1"/>
    </xf>
    <xf numFmtId="0" fontId="7" fillId="3" borderId="1" xfId="0" applyFont="1" applyFill="1" applyBorder="1" applyAlignment="1">
      <alignment horizontal="center" vertical="center" wrapText="1" shrinkToFit="1"/>
    </xf>
    <xf numFmtId="187" fontId="144" fillId="3" borderId="1" xfId="0" applyNumberFormat="1" applyFont="1" applyFill="1" applyBorder="1" applyAlignment="1">
      <alignment horizontal="center" vertical="center" wrapText="1" shrinkToFit="1"/>
    </xf>
    <xf numFmtId="0" fontId="83" fillId="0" borderId="6" xfId="0" applyFont="1" applyFill="1" applyBorder="1" applyAlignment="1">
      <alignment horizontal="center" vertical="center" wrapText="1"/>
    </xf>
    <xf numFmtId="0" fontId="83" fillId="0" borderId="0" xfId="0" applyFont="1" applyAlignment="1">
      <alignment horizontal="center" vertical="center"/>
    </xf>
    <xf numFmtId="0" fontId="145" fillId="0" borderId="6" xfId="0" applyFont="1" applyFill="1" applyBorder="1" applyAlignment="1">
      <alignment horizontal="center" vertical="center" wrapText="1"/>
    </xf>
    <xf numFmtId="0" fontId="145" fillId="0" borderId="43" xfId="0" applyFont="1" applyBorder="1" applyAlignment="1">
      <alignment horizontal="center" vertical="center"/>
    </xf>
    <xf numFmtId="0" fontId="31" fillId="0" borderId="1" xfId="158" applyFont="1" applyBorder="1" applyAlignment="1">
      <alignment horizontal="center" vertical="center" wrapText="1"/>
    </xf>
    <xf numFmtId="0" fontId="31" fillId="0" borderId="6" xfId="158" applyFont="1" applyBorder="1" applyAlignment="1">
      <alignment horizontal="center" vertical="center" wrapText="1"/>
    </xf>
    <xf numFmtId="0" fontId="139" fillId="0" borderId="1" xfId="158" applyFont="1" applyFill="1" applyBorder="1" applyAlignment="1">
      <alignment horizontal="center" vertical="center" wrapText="1"/>
    </xf>
    <xf numFmtId="0" fontId="87" fillId="0" borderId="1" xfId="158" applyFont="1" applyFill="1" applyBorder="1" applyAlignment="1">
      <alignment horizontal="center" vertical="center" wrapText="1"/>
    </xf>
    <xf numFmtId="0" fontId="31" fillId="3" borderId="1" xfId="158" applyFont="1" applyFill="1" applyBorder="1" applyAlignment="1">
      <alignment horizontal="center" vertical="center" wrapText="1"/>
    </xf>
    <xf numFmtId="0" fontId="87" fillId="0" borderId="1" xfId="158" applyFont="1" applyBorder="1" applyAlignment="1">
      <alignment horizontal="center" vertical="center" wrapText="1"/>
    </xf>
    <xf numFmtId="0" fontId="87" fillId="3" borderId="1" xfId="158" applyFont="1" applyFill="1" applyBorder="1" applyAlignment="1">
      <alignment horizontal="center" vertical="center" wrapText="1"/>
    </xf>
    <xf numFmtId="0" fontId="146" fillId="0" borderId="1" xfId="158" applyFont="1" applyBorder="1" applyAlignment="1">
      <alignment horizontal="center" vertical="center" wrapText="1"/>
    </xf>
    <xf numFmtId="0" fontId="21" fillId="0" borderId="1" xfId="0" applyFont="1" applyBorder="1" applyAlignment="1">
      <alignment horizontal="center" vertical="center"/>
    </xf>
    <xf numFmtId="0" fontId="21" fillId="0" borderId="1" xfId="0" applyFont="1" applyFill="1" applyBorder="1" applyAlignment="1">
      <alignment horizontal="center" vertical="center"/>
    </xf>
    <xf numFmtId="0" fontId="134" fillId="0" borderId="1" xfId="0" applyFont="1" applyBorder="1" applyAlignment="1">
      <alignment horizontal="center" vertical="center"/>
    </xf>
    <xf numFmtId="0" fontId="32" fillId="0" borderId="1" xfId="0" applyFont="1" applyBorder="1" applyAlignment="1">
      <alignment horizontal="center" vertical="center"/>
    </xf>
    <xf numFmtId="0" fontId="142" fillId="0" borderId="1" xfId="0" applyFont="1" applyBorder="1" applyAlignment="1">
      <alignment horizontal="center" vertical="center"/>
    </xf>
    <xf numFmtId="0" fontId="126" fillId="0" borderId="1" xfId="0" applyFont="1" applyFill="1" applyBorder="1" applyAlignment="1">
      <alignment horizontal="center" vertical="center"/>
    </xf>
    <xf numFmtId="0" fontId="128" fillId="3" borderId="1" xfId="0" applyFont="1" applyFill="1" applyBorder="1" applyAlignment="1">
      <alignment horizontal="center" vertical="center"/>
    </xf>
    <xf numFmtId="193" fontId="102" fillId="0" borderId="28" xfId="135" applyNumberFormat="1" applyFont="1" applyBorder="1" applyAlignment="1">
      <alignment horizontal="center" vertical="center"/>
    </xf>
    <xf numFmtId="187" fontId="102" fillId="0" borderId="1" xfId="135" applyNumberFormat="1" applyFont="1" applyBorder="1" applyAlignment="1">
      <alignment horizontal="center" vertical="center" wrapText="1"/>
    </xf>
    <xf numFmtId="0" fontId="102" fillId="0" borderId="1" xfId="135" applyFont="1" applyBorder="1" applyAlignment="1">
      <alignment horizontal="center" vertical="center"/>
    </xf>
    <xf numFmtId="0" fontId="102" fillId="0" borderId="1" xfId="158" applyFont="1" applyBorder="1" applyAlignment="1">
      <alignment horizontal="center" vertical="center" wrapText="1"/>
    </xf>
    <xf numFmtId="0" fontId="102" fillId="0" borderId="6" xfId="158" applyFont="1" applyBorder="1" applyAlignment="1">
      <alignment horizontal="center" vertical="center" wrapText="1"/>
    </xf>
    <xf numFmtId="0" fontId="102" fillId="0" borderId="6" xfId="0" applyFont="1" applyBorder="1" applyAlignment="1">
      <alignment horizontal="center" vertical="center"/>
    </xf>
    <xf numFmtId="0" fontId="102" fillId="0" borderId="8" xfId="0" applyFont="1" applyBorder="1" applyAlignment="1">
      <alignment horizontal="center" vertical="center"/>
    </xf>
    <xf numFmtId="58" fontId="102" fillId="0" borderId="1" xfId="0" applyNumberFormat="1" applyFont="1" applyBorder="1" applyAlignment="1">
      <alignment horizontal="center" vertical="center"/>
    </xf>
    <xf numFmtId="0" fontId="102" fillId="0" borderId="1" xfId="0" applyFont="1" applyBorder="1" applyAlignment="1">
      <alignment horizontal="center" vertical="center"/>
    </xf>
    <xf numFmtId="193" fontId="102" fillId="0" borderId="28" xfId="135" applyNumberFormat="1" applyFont="1" applyFill="1" applyBorder="1" applyAlignment="1">
      <alignment horizontal="center" vertical="center"/>
    </xf>
    <xf numFmtId="187" fontId="102" fillId="0" borderId="1" xfId="135" applyNumberFormat="1" applyFont="1" applyFill="1" applyBorder="1" applyAlignment="1">
      <alignment horizontal="center" vertical="center" wrapText="1"/>
    </xf>
    <xf numFmtId="0" fontId="102" fillId="0" borderId="1" xfId="135" applyFont="1" applyFill="1" applyBorder="1" applyAlignment="1">
      <alignment horizontal="center" vertical="center"/>
    </xf>
    <xf numFmtId="0" fontId="102" fillId="0" borderId="1" xfId="158" applyFont="1" applyFill="1" applyBorder="1" applyAlignment="1">
      <alignment horizontal="center" vertical="center" wrapText="1"/>
    </xf>
    <xf numFmtId="0" fontId="102" fillId="0" borderId="6" xfId="0" applyFont="1" applyFill="1" applyBorder="1" applyAlignment="1">
      <alignment horizontal="center" vertical="center"/>
    </xf>
    <xf numFmtId="0" fontId="102" fillId="0" borderId="8" xfId="0" applyFont="1" applyFill="1" applyBorder="1" applyAlignment="1">
      <alignment horizontal="center" vertical="center"/>
    </xf>
    <xf numFmtId="0" fontId="147" fillId="0" borderId="1" xfId="158" applyFont="1" applyFill="1" applyBorder="1" applyAlignment="1">
      <alignment horizontal="center" vertical="center" wrapText="1"/>
    </xf>
    <xf numFmtId="0" fontId="147" fillId="0" borderId="8" xfId="0" applyFont="1" applyFill="1" applyBorder="1" applyAlignment="1">
      <alignment horizontal="center" vertical="center"/>
    </xf>
    <xf numFmtId="193" fontId="102" fillId="0" borderId="19" xfId="135" applyNumberFormat="1" applyFont="1" applyFill="1" applyBorder="1" applyAlignment="1">
      <alignment horizontal="center" vertical="center"/>
    </xf>
    <xf numFmtId="49" fontId="102" fillId="0" borderId="1" xfId="0" applyNumberFormat="1" applyFont="1" applyFill="1" applyBorder="1" applyAlignment="1">
      <alignment horizontal="center" vertical="center"/>
    </xf>
    <xf numFmtId="0" fontId="102" fillId="0" borderId="20" xfId="0" applyFont="1" applyFill="1" applyBorder="1" applyAlignment="1">
      <alignment horizontal="center" vertical="center"/>
    </xf>
    <xf numFmtId="14" fontId="102" fillId="0" borderId="19" xfId="0" applyNumberFormat="1" applyFont="1" applyFill="1" applyBorder="1" applyAlignment="1">
      <alignment horizontal="center" vertical="center"/>
    </xf>
    <xf numFmtId="0" fontId="102" fillId="0" borderId="1" xfId="0" applyNumberFormat="1" applyFont="1" applyFill="1" applyBorder="1" applyAlignment="1">
      <alignment horizontal="center" vertical="center"/>
    </xf>
    <xf numFmtId="0" fontId="0" fillId="7" borderId="1" xfId="0" applyFont="1" applyFill="1" applyBorder="1" applyAlignment="1">
      <alignment horizontal="center" vertical="top" wrapText="1"/>
    </xf>
    <xf numFmtId="0" fontId="102" fillId="0" borderId="43" xfId="0" applyFont="1" applyBorder="1" applyAlignment="1">
      <alignment horizontal="center" vertical="center"/>
    </xf>
    <xf numFmtId="0" fontId="105" fillId="0" borderId="1" xfId="0" applyFont="1" applyFill="1" applyBorder="1" applyAlignment="1">
      <alignment horizontal="center" vertical="center"/>
    </xf>
    <xf numFmtId="0" fontId="0" fillId="7" borderId="1" xfId="0" applyFont="1" applyFill="1" applyBorder="1" applyAlignment="1">
      <alignment horizontal="center" vertical="center" wrapText="1"/>
    </xf>
    <xf numFmtId="0" fontId="102" fillId="0" borderId="0" xfId="0" applyFont="1" applyBorder="1" applyAlignment="1">
      <alignment horizontal="center" vertical="center"/>
    </xf>
    <xf numFmtId="0" fontId="102" fillId="0" borderId="43" xfId="0" applyFont="1" applyFill="1" applyBorder="1" applyAlignment="1">
      <alignment horizontal="center" vertical="center" wrapText="1"/>
    </xf>
    <xf numFmtId="0" fontId="102" fillId="0" borderId="43" xfId="0" applyFont="1" applyFill="1" applyBorder="1" applyAlignment="1">
      <alignment horizontal="center" vertical="center"/>
    </xf>
    <xf numFmtId="200" fontId="102" fillId="0" borderId="1" xfId="0" applyNumberFormat="1" applyFont="1" applyFill="1" applyBorder="1" applyAlignment="1">
      <alignment horizontal="center" vertical="center" wrapText="1"/>
    </xf>
    <xf numFmtId="200" fontId="140" fillId="0" borderId="1" xfId="0" applyNumberFormat="1" applyFont="1" applyFill="1" applyBorder="1" applyAlignment="1">
      <alignment horizontal="center" vertical="center" wrapText="1"/>
    </xf>
    <xf numFmtId="0" fontId="140" fillId="0" borderId="1" xfId="0" applyFont="1" applyFill="1" applyBorder="1" applyAlignment="1">
      <alignment horizontal="center" vertical="center"/>
    </xf>
    <xf numFmtId="0" fontId="105" fillId="0" borderId="1" xfId="0" applyNumberFormat="1" applyFont="1" applyFill="1" applyBorder="1" applyAlignment="1">
      <alignment horizontal="center" vertical="center"/>
    </xf>
    <xf numFmtId="0" fontId="96" fillId="0" borderId="6" xfId="0" applyFont="1" applyFill="1" applyBorder="1" applyAlignment="1">
      <alignment horizontal="center" vertical="center"/>
    </xf>
    <xf numFmtId="0" fontId="102" fillId="0" borderId="43" xfId="0" applyFont="1" applyFill="1" applyBorder="1" applyAlignment="1">
      <alignment horizontal="justify" vertical="center"/>
    </xf>
    <xf numFmtId="187" fontId="0" fillId="0" borderId="1" xfId="135" applyNumberFormat="1" applyFont="1" applyFill="1" applyBorder="1" applyAlignment="1">
      <alignment horizontal="center" vertical="center" wrapText="1"/>
    </xf>
    <xf numFmtId="0" fontId="102" fillId="0" borderId="43" xfId="0" applyFont="1" applyFill="1" applyBorder="1" applyAlignment="1">
      <alignment horizontal="justify" vertical="center" wrapText="1"/>
    </xf>
    <xf numFmtId="14" fontId="102" fillId="0" borderId="11" xfId="0" applyNumberFormat="1" applyFont="1" applyFill="1" applyBorder="1" applyAlignment="1">
      <alignment horizontal="center" vertical="center"/>
    </xf>
    <xf numFmtId="0" fontId="102" fillId="0" borderId="10" xfId="0" applyFont="1" applyFill="1" applyBorder="1" applyAlignment="1">
      <alignment horizontal="center" vertical="center"/>
    </xf>
    <xf numFmtId="0" fontId="102" fillId="0" borderId="63" xfId="0" applyFont="1" applyFill="1" applyBorder="1" applyAlignment="1">
      <alignment horizontal="center" vertical="center" wrapText="1"/>
    </xf>
    <xf numFmtId="0" fontId="148" fillId="0" borderId="1" xfId="0" applyFont="1" applyFill="1" applyBorder="1" applyAlignment="1">
      <alignment horizontal="center" vertical="center" wrapText="1"/>
    </xf>
    <xf numFmtId="0" fontId="102" fillId="0" borderId="20" xfId="0" applyFont="1" applyBorder="1" applyAlignment="1">
      <alignment horizontal="center" vertical="center"/>
    </xf>
    <xf numFmtId="0" fontId="102" fillId="0" borderId="43" xfId="0" applyFont="1" applyBorder="1" applyAlignment="1">
      <alignment horizontal="justify" vertical="center" wrapText="1"/>
    </xf>
    <xf numFmtId="0" fontId="96" fillId="0" borderId="0" xfId="0" applyFont="1" applyAlignment="1">
      <alignment horizontal="center" vertical="center"/>
    </xf>
    <xf numFmtId="187" fontId="0" fillId="0" borderId="1" xfId="135" applyNumberFormat="1" applyFont="1" applyBorder="1" applyAlignment="1">
      <alignment horizontal="center" vertical="center" wrapText="1"/>
    </xf>
    <xf numFmtId="3" fontId="102" fillId="0" borderId="20" xfId="0" applyNumberFormat="1" applyFont="1" applyFill="1" applyBorder="1" applyAlignment="1">
      <alignment horizontal="center" vertical="center"/>
    </xf>
    <xf numFmtId="0" fontId="149" fillId="0" borderId="1" xfId="0" applyFont="1" applyFill="1" applyBorder="1" applyAlignment="1">
      <alignment horizontal="center" vertical="center"/>
    </xf>
    <xf numFmtId="0" fontId="102" fillId="0" borderId="43" xfId="0" applyFont="1" applyBorder="1" applyAlignment="1">
      <alignment horizontal="center" vertical="center" wrapText="1"/>
    </xf>
    <xf numFmtId="0" fontId="0" fillId="0" borderId="1" xfId="0" applyFont="1" applyBorder="1" applyAlignment="1">
      <alignment horizontal="center" vertical="center"/>
    </xf>
    <xf numFmtId="0" fontId="148" fillId="0" borderId="43" xfId="0" applyFont="1" applyFill="1" applyBorder="1" applyAlignment="1">
      <alignment horizontal="center" vertical="center" wrapText="1"/>
    </xf>
    <xf numFmtId="0" fontId="102" fillId="0" borderId="43" xfId="0" applyFont="1" applyBorder="1" applyAlignment="1">
      <alignment horizontal="justify" vertical="center"/>
    </xf>
    <xf numFmtId="0" fontId="102" fillId="15" borderId="0" xfId="0" applyFont="1" applyFill="1" applyAlignment="1">
      <alignment horizontal="center" vertical="center"/>
    </xf>
    <xf numFmtId="193" fontId="0" fillId="0" borderId="28" xfId="135" applyNumberFormat="1" applyFont="1" applyBorder="1" applyAlignment="1">
      <alignment horizontal="center" vertical="center"/>
    </xf>
    <xf numFmtId="14" fontId="0" fillId="0" borderId="19" xfId="0" applyNumberFormat="1" applyFont="1" applyFill="1" applyBorder="1" applyAlignment="1">
      <alignment horizontal="center" vertical="center"/>
    </xf>
    <xf numFmtId="187" fontId="102" fillId="15" borderId="0" xfId="0" applyNumberFormat="1" applyFont="1" applyFill="1" applyAlignment="1">
      <alignment horizontal="center" vertical="center"/>
    </xf>
    <xf numFmtId="0" fontId="102" fillId="0" borderId="6" xfId="158" applyFont="1" applyFill="1" applyBorder="1" applyAlignment="1">
      <alignment horizontal="center" vertical="center" wrapText="1"/>
    </xf>
    <xf numFmtId="0" fontId="102" fillId="0" borderId="1" xfId="158" applyFont="1" applyFill="1" applyBorder="1" applyAlignment="1">
      <alignment horizontal="center" vertical="center" wrapText="1" shrinkToFit="1"/>
    </xf>
    <xf numFmtId="14" fontId="102" fillId="0" borderId="19" xfId="0" applyNumberFormat="1" applyFont="1" applyFill="1" applyBorder="1" applyAlignment="1">
      <alignment horizontal="center" vertical="center" wrapText="1"/>
    </xf>
    <xf numFmtId="58" fontId="102" fillId="0" borderId="19" xfId="135" applyNumberFormat="1" applyFont="1" applyFill="1" applyBorder="1" applyAlignment="1">
      <alignment horizontal="center" vertical="center"/>
    </xf>
    <xf numFmtId="0" fontId="102" fillId="0" borderId="1" xfId="135" applyFont="1" applyFill="1" applyBorder="1" applyAlignment="1">
      <alignment horizontal="center" vertical="center" wrapText="1"/>
    </xf>
    <xf numFmtId="0" fontId="102" fillId="0" borderId="20" xfId="135" applyFont="1" applyFill="1" applyBorder="1" applyAlignment="1">
      <alignment horizontal="center" vertical="center" wrapText="1"/>
    </xf>
    <xf numFmtId="0" fontId="148" fillId="0" borderId="1" xfId="0" applyFont="1" applyFill="1" applyBorder="1" applyAlignment="1">
      <alignment horizontal="center" vertical="center"/>
    </xf>
    <xf numFmtId="58" fontId="102" fillId="0" borderId="28" xfId="135" applyNumberFormat="1" applyFont="1" applyBorder="1" applyAlignment="1">
      <alignment horizontal="center" vertical="center"/>
    </xf>
    <xf numFmtId="0" fontId="0" fillId="0" borderId="1" xfId="0" applyFont="1" applyFill="1" applyBorder="1" applyAlignment="1">
      <alignment horizontal="center" vertical="top" wrapText="1"/>
    </xf>
    <xf numFmtId="0" fontId="102" fillId="0" borderId="0" xfId="0" applyFont="1" applyFill="1" applyBorder="1" applyAlignment="1">
      <alignment horizontal="center" vertical="center"/>
    </xf>
    <xf numFmtId="0" fontId="148" fillId="0" borderId="1" xfId="0" applyNumberFormat="1" applyFont="1" applyFill="1" applyBorder="1" applyAlignment="1">
      <alignment horizontal="center" vertical="center"/>
    </xf>
    <xf numFmtId="200" fontId="148" fillId="0" borderId="1" xfId="0" applyNumberFormat="1" applyFont="1" applyFill="1" applyBorder="1" applyAlignment="1">
      <alignment horizontal="center" vertical="center" wrapText="1"/>
    </xf>
    <xf numFmtId="0" fontId="148" fillId="0" borderId="20" xfId="0" applyFont="1" applyFill="1" applyBorder="1" applyAlignment="1">
      <alignment horizontal="center" vertical="center"/>
    </xf>
    <xf numFmtId="0" fontId="102" fillId="0" borderId="28" xfId="135" applyFont="1" applyBorder="1" applyAlignment="1">
      <alignment horizontal="center" vertical="center"/>
    </xf>
    <xf numFmtId="0" fontId="102" fillId="14" borderId="28" xfId="135" applyFont="1" applyFill="1" applyBorder="1" applyAlignment="1">
      <alignment horizontal="center" vertical="center" wrapText="1"/>
    </xf>
    <xf numFmtId="187" fontId="102" fillId="14" borderId="1" xfId="135" applyNumberFormat="1" applyFont="1" applyFill="1" applyBorder="1" applyAlignment="1">
      <alignment horizontal="center" vertical="center" wrapText="1"/>
    </xf>
    <xf numFmtId="0" fontId="0" fillId="14" borderId="1" xfId="158" applyFont="1" applyFill="1" applyBorder="1" applyAlignment="1">
      <alignment horizontal="center" vertical="center" wrapText="1" shrinkToFit="1"/>
    </xf>
    <xf numFmtId="0" fontId="102" fillId="14" borderId="1" xfId="158" applyFont="1" applyFill="1" applyBorder="1" applyAlignment="1">
      <alignment horizontal="center" vertical="center" wrapText="1" shrinkToFit="1"/>
    </xf>
    <xf numFmtId="0" fontId="102" fillId="14" borderId="6" xfId="158" applyFont="1" applyFill="1" applyBorder="1" applyAlignment="1">
      <alignment horizontal="center" vertical="center" wrapText="1" shrinkToFit="1"/>
    </xf>
    <xf numFmtId="0" fontId="102" fillId="14" borderId="8" xfId="158" applyFont="1" applyFill="1" applyBorder="1" applyAlignment="1">
      <alignment horizontal="center" vertical="center" wrapText="1" shrinkToFit="1"/>
    </xf>
    <xf numFmtId="0" fontId="102" fillId="0" borderId="0" xfId="158" applyFont="1" applyFill="1" applyAlignment="1">
      <alignment horizontal="center" vertical="center" wrapText="1" shrinkToFit="1"/>
    </xf>
    <xf numFmtId="0" fontId="0" fillId="14" borderId="28" xfId="135" applyFont="1" applyFill="1" applyBorder="1" applyAlignment="1">
      <alignment horizontal="center" vertical="center"/>
    </xf>
    <xf numFmtId="0" fontId="102" fillId="14" borderId="1" xfId="135" applyFont="1" applyFill="1" applyBorder="1" applyAlignment="1">
      <alignment horizontal="center" vertical="center"/>
    </xf>
    <xf numFmtId="0" fontId="102" fillId="14" borderId="1" xfId="135" applyFont="1" applyFill="1" applyBorder="1" applyAlignment="1">
      <alignment horizontal="center" vertical="center" wrapText="1"/>
    </xf>
    <xf numFmtId="0" fontId="102" fillId="14" borderId="6" xfId="135" applyFont="1" applyFill="1" applyBorder="1" applyAlignment="1">
      <alignment horizontal="center" vertical="center" wrapText="1"/>
    </xf>
    <xf numFmtId="0" fontId="102" fillId="14" borderId="8" xfId="135" applyFont="1" applyFill="1" applyBorder="1" applyAlignment="1">
      <alignment horizontal="center" vertical="center" wrapText="1"/>
    </xf>
    <xf numFmtId="0" fontId="102" fillId="0" borderId="0" xfId="135" applyFont="1" applyFill="1" applyAlignment="1">
      <alignment horizontal="center" vertical="center" wrapText="1"/>
    </xf>
    <xf numFmtId="0" fontId="148" fillId="0" borderId="9" xfId="0" applyFont="1" applyFill="1" applyBorder="1" applyAlignment="1">
      <alignment horizontal="center" vertical="center"/>
    </xf>
    <xf numFmtId="14" fontId="102" fillId="16" borderId="19" xfId="0" applyNumberFormat="1" applyFont="1" applyFill="1" applyBorder="1" applyAlignment="1">
      <alignment horizontal="center" vertical="center"/>
    </xf>
    <xf numFmtId="0" fontId="105" fillId="16" borderId="1" xfId="0" applyNumberFormat="1" applyFont="1" applyFill="1" applyBorder="1" applyAlignment="1">
      <alignment horizontal="center" vertical="center"/>
    </xf>
    <xf numFmtId="0" fontId="150" fillId="0" borderId="1" xfId="0" applyFont="1" applyFill="1" applyBorder="1" applyAlignment="1">
      <alignment horizontal="center" vertical="center"/>
    </xf>
    <xf numFmtId="0" fontId="148" fillId="0" borderId="6" xfId="0" applyFont="1" applyFill="1" applyBorder="1" applyAlignment="1">
      <alignment horizontal="center" vertical="center"/>
    </xf>
    <xf numFmtId="0" fontId="102" fillId="3" borderId="1" xfId="0" applyFont="1" applyFill="1" applyBorder="1" applyAlignment="1">
      <alignment horizontal="center" vertical="center"/>
    </xf>
    <xf numFmtId="199" fontId="102" fillId="14" borderId="48" xfId="135" applyNumberFormat="1" applyFont="1" applyFill="1" applyBorder="1" applyAlignment="1">
      <alignment horizontal="center" vertical="center"/>
    </xf>
    <xf numFmtId="187" fontId="102" fillId="14" borderId="50" xfId="135" applyNumberFormat="1" applyFont="1" applyFill="1" applyBorder="1" applyAlignment="1">
      <alignment horizontal="center" vertical="center" wrapText="1"/>
    </xf>
    <xf numFmtId="199" fontId="102" fillId="14" borderId="50" xfId="135" applyNumberFormat="1" applyFont="1" applyFill="1" applyBorder="1" applyAlignment="1">
      <alignment horizontal="center" vertical="center"/>
    </xf>
    <xf numFmtId="199" fontId="102" fillId="14" borderId="50" xfId="135" applyNumberFormat="1" applyFont="1" applyFill="1" applyBorder="1" applyAlignment="1">
      <alignment horizontal="center" vertical="center" wrapText="1"/>
    </xf>
    <xf numFmtId="199" fontId="102" fillId="14" borderId="51" xfId="135" applyNumberFormat="1" applyFont="1" applyFill="1" applyBorder="1" applyAlignment="1">
      <alignment horizontal="center" vertical="center" wrapText="1"/>
    </xf>
    <xf numFmtId="199" fontId="102" fillId="14" borderId="58" xfId="135" applyNumberFormat="1" applyFont="1" applyFill="1" applyBorder="1" applyAlignment="1">
      <alignment horizontal="center" vertical="center" wrapText="1"/>
    </xf>
    <xf numFmtId="199" fontId="102" fillId="0" borderId="0" xfId="135" applyNumberFormat="1" applyFont="1" applyFill="1" applyAlignment="1">
      <alignment horizontal="center" vertical="center" wrapText="1"/>
    </xf>
    <xf numFmtId="14" fontId="102" fillId="3" borderId="11" xfId="0" applyNumberFormat="1" applyFont="1" applyFill="1" applyBorder="1" applyAlignment="1">
      <alignment horizontal="center" vertical="center"/>
    </xf>
    <xf numFmtId="0" fontId="102" fillId="3" borderId="9" xfId="0" applyFont="1" applyFill="1" applyBorder="1" applyAlignment="1">
      <alignment horizontal="center" vertical="center"/>
    </xf>
    <xf numFmtId="0" fontId="96" fillId="3" borderId="9" xfId="0" applyFont="1" applyFill="1" applyBorder="1" applyAlignment="1">
      <alignment horizontal="center" vertical="center"/>
    </xf>
    <xf numFmtId="0" fontId="102" fillId="3" borderId="10" xfId="0" applyFont="1" applyFill="1" applyBorder="1" applyAlignment="1">
      <alignment horizontal="center" vertical="center"/>
    </xf>
    <xf numFmtId="0" fontId="102" fillId="3" borderId="63" xfId="0" applyFont="1" applyFill="1" applyBorder="1" applyAlignment="1">
      <alignment horizontal="center" vertical="center" wrapText="1"/>
    </xf>
    <xf numFmtId="200" fontId="102" fillId="0" borderId="20" xfId="0" applyNumberFormat="1" applyFont="1" applyFill="1" applyBorder="1" applyAlignment="1">
      <alignment horizontal="center" vertical="center" wrapText="1"/>
    </xf>
    <xf numFmtId="14" fontId="102" fillId="17" borderId="19" xfId="0" applyNumberFormat="1" applyFont="1" applyFill="1" applyBorder="1" applyAlignment="1">
      <alignment horizontal="center" vertical="center"/>
    </xf>
    <xf numFmtId="0" fontId="102" fillId="17" borderId="1" xfId="0" applyFont="1" applyFill="1" applyBorder="1" applyAlignment="1">
      <alignment horizontal="center" vertical="center"/>
    </xf>
    <xf numFmtId="14" fontId="102" fillId="0" borderId="52" xfId="0" applyNumberFormat="1" applyFont="1" applyFill="1" applyBorder="1" applyAlignment="1">
      <alignment horizontal="center" vertical="center"/>
    </xf>
    <xf numFmtId="0" fontId="102" fillId="0" borderId="53" xfId="0" applyFont="1" applyFill="1" applyBorder="1" applyAlignment="1">
      <alignment horizontal="center" vertical="center"/>
    </xf>
    <xf numFmtId="0" fontId="102" fillId="0" borderId="63" xfId="0" applyFont="1" applyFill="1" applyBorder="1" applyAlignment="1">
      <alignment horizontal="center" vertical="center"/>
    </xf>
    <xf numFmtId="14" fontId="96" fillId="0" borderId="19" xfId="0" applyNumberFormat="1" applyFont="1" applyFill="1" applyBorder="1" applyAlignment="1">
      <alignment horizontal="center" vertical="center"/>
    </xf>
    <xf numFmtId="0" fontId="97" fillId="0" borderId="1" xfId="0" applyFont="1" applyFill="1" applyBorder="1" applyAlignment="1">
      <alignment horizontal="center" vertical="center" wrapText="1"/>
    </xf>
    <xf numFmtId="0" fontId="96" fillId="0" borderId="43" xfId="0" applyFont="1" applyFill="1" applyBorder="1" applyAlignment="1">
      <alignment horizontal="justify" vertical="center"/>
    </xf>
    <xf numFmtId="0" fontId="102" fillId="15" borderId="31" xfId="0" applyFont="1" applyFill="1" applyBorder="1" applyAlignment="1">
      <alignment horizontal="center" vertical="center"/>
    </xf>
    <xf numFmtId="0" fontId="102" fillId="15" borderId="38" xfId="0" applyFont="1" applyFill="1" applyBorder="1" applyAlignment="1">
      <alignment horizontal="center" vertical="center"/>
    </xf>
    <xf numFmtId="0" fontId="102" fillId="15" borderId="33" xfId="0" applyFont="1" applyFill="1" applyBorder="1" applyAlignment="1">
      <alignment horizontal="center" vertical="center"/>
    </xf>
    <xf numFmtId="0" fontId="96" fillId="15" borderId="17" xfId="0" applyFont="1" applyFill="1" applyBorder="1" applyAlignment="1">
      <alignment horizontal="center" vertical="center"/>
    </xf>
    <xf numFmtId="0" fontId="96" fillId="15" borderId="16" xfId="0" applyFont="1" applyFill="1" applyBorder="1" applyAlignment="1">
      <alignment horizontal="center" vertical="center"/>
    </xf>
    <xf numFmtId="0" fontId="96" fillId="15" borderId="18" xfId="0" applyFont="1" applyFill="1" applyBorder="1" applyAlignment="1">
      <alignment horizontal="center" vertical="center"/>
    </xf>
    <xf numFmtId="0" fontId="102" fillId="15" borderId="19" xfId="0" applyFont="1" applyFill="1" applyBorder="1" applyAlignment="1">
      <alignment horizontal="center" vertical="center"/>
    </xf>
    <xf numFmtId="0" fontId="102" fillId="15" borderId="1" xfId="0" applyFont="1" applyFill="1" applyBorder="1" applyAlignment="1">
      <alignment horizontal="center" vertical="center"/>
    </xf>
    <xf numFmtId="0" fontId="102" fillId="15" borderId="20" xfId="0" applyFont="1" applyFill="1" applyBorder="1" applyAlignment="1">
      <alignment horizontal="center" vertical="center"/>
    </xf>
    <xf numFmtId="199" fontId="102" fillId="0" borderId="64" xfId="135" applyNumberFormat="1" applyFont="1" applyFill="1" applyBorder="1" applyAlignment="1">
      <alignment horizontal="center" vertical="center"/>
    </xf>
    <xf numFmtId="187" fontId="96" fillId="0" borderId="50" xfId="135" applyNumberFormat="1" applyFont="1" applyFill="1" applyBorder="1" applyAlignment="1">
      <alignment horizontal="center" vertical="center" wrapText="1"/>
    </xf>
    <xf numFmtId="199" fontId="96" fillId="0" borderId="50" xfId="135" applyNumberFormat="1" applyFont="1" applyFill="1" applyBorder="1" applyAlignment="1">
      <alignment horizontal="center" vertical="center"/>
    </xf>
    <xf numFmtId="199" fontId="96" fillId="0" borderId="50" xfId="135" applyNumberFormat="1" applyFont="1" applyFill="1" applyBorder="1" applyAlignment="1">
      <alignment horizontal="center" vertical="center" wrapText="1"/>
    </xf>
    <xf numFmtId="199" fontId="96" fillId="0" borderId="65" xfId="135" applyNumberFormat="1" applyFont="1" applyFill="1" applyBorder="1" applyAlignment="1">
      <alignment horizontal="center" vertical="center" wrapText="1"/>
    </xf>
    <xf numFmtId="0" fontId="102" fillId="15" borderId="52" xfId="0" applyFont="1" applyFill="1" applyBorder="1" applyAlignment="1">
      <alignment horizontal="center" vertical="center"/>
    </xf>
    <xf numFmtId="187" fontId="102" fillId="15" borderId="53" xfId="0" applyNumberFormat="1" applyFont="1" applyFill="1" applyBorder="1" applyAlignment="1">
      <alignment horizontal="center" vertical="center"/>
    </xf>
    <xf numFmtId="187" fontId="102" fillId="15" borderId="54" xfId="0" applyNumberFormat="1" applyFont="1" applyFill="1" applyBorder="1" applyAlignment="1">
      <alignment horizontal="center" vertical="center"/>
    </xf>
    <xf numFmtId="49" fontId="102" fillId="0" borderId="16" xfId="0" applyNumberFormat="1" applyFont="1" applyFill="1" applyBorder="1" applyAlignment="1">
      <alignment horizontal="center" vertical="center"/>
    </xf>
    <xf numFmtId="0" fontId="102" fillId="14" borderId="19" xfId="135" applyFont="1" applyFill="1" applyBorder="1" applyAlignment="1">
      <alignment horizontal="center" vertical="center" wrapText="1"/>
    </xf>
    <xf numFmtId="0" fontId="102" fillId="14" borderId="20" xfId="158" applyFont="1" applyFill="1" applyBorder="1" applyAlignment="1">
      <alignment horizontal="center" vertical="center" wrapText="1" shrinkToFit="1"/>
    </xf>
    <xf numFmtId="0" fontId="0" fillId="14" borderId="19" xfId="135" applyFont="1" applyFill="1" applyBorder="1" applyAlignment="1">
      <alignment horizontal="center" vertical="center"/>
    </xf>
    <xf numFmtId="0" fontId="102" fillId="14" borderId="20" xfId="135" applyFont="1" applyFill="1" applyBorder="1" applyAlignment="1">
      <alignment horizontal="center" vertical="center" wrapText="1"/>
    </xf>
    <xf numFmtId="0" fontId="102" fillId="0" borderId="43" xfId="0" applyFont="1" applyFill="1" applyBorder="1" applyAlignment="1">
      <alignment horizontal="left" vertical="center"/>
    </xf>
    <xf numFmtId="49" fontId="96" fillId="0" borderId="16" xfId="0" applyNumberFormat="1" applyFont="1" applyFill="1" applyBorder="1" applyAlignment="1">
      <alignment horizontal="center" vertical="center"/>
    </xf>
    <xf numFmtId="0" fontId="96" fillId="0" borderId="1" xfId="135" applyFont="1" applyFill="1" applyBorder="1" applyAlignment="1">
      <alignment horizontal="center" vertical="center"/>
    </xf>
    <xf numFmtId="0" fontId="96" fillId="0" borderId="1" xfId="158" applyFont="1" applyFill="1" applyBorder="1" applyAlignment="1">
      <alignment horizontal="center" vertical="center" wrapText="1"/>
    </xf>
    <xf numFmtId="0" fontId="96" fillId="0" borderId="1" xfId="0" applyFont="1" applyBorder="1" applyAlignment="1">
      <alignment horizontal="center" vertical="center"/>
    </xf>
    <xf numFmtId="3" fontId="96" fillId="0" borderId="1" xfId="0" applyNumberFormat="1" applyFont="1" applyFill="1" applyBorder="1" applyAlignment="1">
      <alignment horizontal="center" vertical="center"/>
    </xf>
    <xf numFmtId="0" fontId="96" fillId="0" borderId="8" xfId="0" applyFont="1" applyFill="1" applyBorder="1" applyAlignment="1">
      <alignment horizontal="center" vertical="center"/>
    </xf>
    <xf numFmtId="199" fontId="102" fillId="14" borderId="52" xfId="135" applyNumberFormat="1" applyFont="1" applyFill="1" applyBorder="1" applyAlignment="1">
      <alignment horizontal="center" vertical="center"/>
    </xf>
    <xf numFmtId="187" fontId="102" fillId="14" borderId="53" xfId="135" applyNumberFormat="1" applyFont="1" applyFill="1" applyBorder="1" applyAlignment="1">
      <alignment horizontal="center" vertical="center" wrapText="1"/>
    </xf>
    <xf numFmtId="199" fontId="102" fillId="14" borderId="53" xfId="135" applyNumberFormat="1" applyFont="1" applyFill="1" applyBorder="1" applyAlignment="1">
      <alignment horizontal="center" vertical="center"/>
    </xf>
    <xf numFmtId="199" fontId="102" fillId="14" borderId="53" xfId="135" applyNumberFormat="1" applyFont="1" applyFill="1" applyBorder="1" applyAlignment="1">
      <alignment horizontal="center" vertical="center" wrapText="1"/>
    </xf>
    <xf numFmtId="199" fontId="102" fillId="14" borderId="54" xfId="135" applyNumberFormat="1" applyFont="1" applyFill="1" applyBorder="1" applyAlignment="1">
      <alignment horizontal="center" vertical="center" wrapText="1"/>
    </xf>
    <xf numFmtId="49" fontId="151" fillId="0" borderId="1" xfId="0" applyNumberFormat="1" applyFont="1" applyFill="1" applyBorder="1" applyAlignment="1">
      <alignment horizontal="center" vertical="center"/>
    </xf>
    <xf numFmtId="0" fontId="102" fillId="0" borderId="6" xfId="0" applyNumberFormat="1" applyFont="1" applyFill="1" applyBorder="1" applyAlignment="1">
      <alignment horizontal="center" vertical="center"/>
    </xf>
    <xf numFmtId="0" fontId="152" fillId="0" borderId="1" xfId="0" applyFont="1" applyFill="1" applyBorder="1" applyAlignment="1">
      <alignment horizontal="center" vertical="center"/>
    </xf>
    <xf numFmtId="182" fontId="102" fillId="18" borderId="1" xfId="0" applyNumberFormat="1" applyFont="1" applyFill="1" applyBorder="1" applyAlignment="1">
      <alignment horizontal="center" vertical="center"/>
    </xf>
    <xf numFmtId="187" fontId="153" fillId="0" borderId="1" xfId="0" applyNumberFormat="1" applyFont="1" applyFill="1" applyBorder="1" applyAlignment="1">
      <alignment horizontal="center" vertical="center"/>
    </xf>
    <xf numFmtId="3" fontId="102" fillId="0" borderId="43" xfId="0" applyNumberFormat="1" applyFont="1" applyFill="1" applyBorder="1" applyAlignment="1">
      <alignment horizontal="center" vertical="center" wrapText="1"/>
    </xf>
    <xf numFmtId="0" fontId="147" fillId="0" borderId="1" xfId="158" applyFont="1" applyBorder="1" applyAlignment="1">
      <alignment horizontal="center" vertical="center" wrapText="1"/>
    </xf>
    <xf numFmtId="0" fontId="102" fillId="3" borderId="0" xfId="0" applyFont="1" applyFill="1" applyAlignment="1">
      <alignment horizontal="center" vertical="center"/>
    </xf>
    <xf numFmtId="58" fontId="102" fillId="0" borderId="1" xfId="0" applyNumberFormat="1" applyFont="1" applyFill="1" applyBorder="1" applyAlignment="1">
      <alignment horizontal="center" vertical="center"/>
    </xf>
    <xf numFmtId="182" fontId="102" fillId="18" borderId="9" xfId="0" applyNumberFormat="1" applyFont="1" applyFill="1" applyBorder="1" applyAlignment="1">
      <alignment horizontal="center" vertical="center"/>
    </xf>
    <xf numFmtId="0" fontId="153" fillId="0" borderId="1" xfId="0" applyFont="1" applyFill="1" applyBorder="1" applyAlignment="1">
      <alignment horizontal="center" vertical="center"/>
    </xf>
    <xf numFmtId="193" fontId="102" fillId="0" borderId="29" xfId="135" applyNumberFormat="1" applyFont="1" applyFill="1" applyBorder="1" applyAlignment="1">
      <alignment horizontal="center" vertical="center"/>
    </xf>
    <xf numFmtId="187" fontId="102" fillId="0" borderId="9" xfId="135" applyNumberFormat="1" applyFont="1" applyFill="1" applyBorder="1" applyAlignment="1">
      <alignment horizontal="center" vertical="center" wrapText="1"/>
    </xf>
    <xf numFmtId="0" fontId="102" fillId="0" borderId="9" xfId="135" applyFont="1" applyFill="1" applyBorder="1" applyAlignment="1">
      <alignment horizontal="center" vertical="center"/>
    </xf>
    <xf numFmtId="0" fontId="102" fillId="0" borderId="9" xfId="158" applyFont="1" applyFill="1" applyBorder="1" applyAlignment="1">
      <alignment horizontal="center" vertical="center" wrapText="1"/>
    </xf>
    <xf numFmtId="0" fontId="102" fillId="0" borderId="66" xfId="0" applyFont="1" applyFill="1" applyBorder="1" applyAlignment="1">
      <alignment horizontal="center" vertical="center"/>
    </xf>
    <xf numFmtId="14" fontId="102" fillId="0" borderId="16" xfId="0" applyNumberFormat="1" applyFont="1" applyFill="1" applyBorder="1" applyAlignment="1">
      <alignment horizontal="center" vertical="center"/>
    </xf>
    <xf numFmtId="0" fontId="102" fillId="0" borderId="38" xfId="135" applyFont="1" applyFill="1" applyBorder="1" applyAlignment="1">
      <alignment horizontal="center" vertical="center"/>
    </xf>
    <xf numFmtId="0" fontId="102" fillId="0" borderId="38" xfId="158" applyFont="1" applyFill="1" applyBorder="1" applyAlignment="1">
      <alignment horizontal="center" vertical="center" wrapText="1"/>
    </xf>
    <xf numFmtId="3" fontId="102" fillId="0" borderId="16" xfId="0" applyNumberFormat="1" applyFont="1" applyFill="1" applyBorder="1" applyAlignment="1">
      <alignment horizontal="center" vertical="center"/>
    </xf>
    <xf numFmtId="0" fontId="102" fillId="0" borderId="38" xfId="0" applyFont="1" applyFill="1" applyBorder="1" applyAlignment="1">
      <alignment horizontal="center" vertical="center"/>
    </xf>
    <xf numFmtId="0" fontId="102" fillId="0" borderId="62" xfId="0" applyFont="1" applyFill="1" applyBorder="1" applyAlignment="1">
      <alignment horizontal="center" vertical="center"/>
    </xf>
    <xf numFmtId="0" fontId="102" fillId="0" borderId="33" xfId="0" applyFont="1" applyFill="1" applyBorder="1" applyAlignment="1">
      <alignment horizontal="center" vertical="center"/>
    </xf>
    <xf numFmtId="200" fontId="102" fillId="0" borderId="6" xfId="0" applyNumberFormat="1" applyFont="1" applyFill="1" applyBorder="1" applyAlignment="1">
      <alignment horizontal="center" vertical="center" wrapText="1"/>
    </xf>
    <xf numFmtId="200" fontId="102" fillId="0" borderId="43" xfId="0" applyNumberFormat="1" applyFont="1" applyFill="1" applyBorder="1" applyAlignment="1">
      <alignment horizontal="center" vertical="center" wrapText="1"/>
    </xf>
    <xf numFmtId="3" fontId="102" fillId="0" borderId="43" xfId="0" applyNumberFormat="1" applyFont="1" applyFill="1" applyBorder="1" applyAlignment="1">
      <alignment horizontal="justify" vertical="center" wrapText="1"/>
    </xf>
    <xf numFmtId="14" fontId="102" fillId="0" borderId="43" xfId="0" applyNumberFormat="1" applyFont="1" applyFill="1" applyBorder="1" applyAlignment="1">
      <alignment horizontal="justify" vertical="center"/>
    </xf>
    <xf numFmtId="0" fontId="102" fillId="13" borderId="28" xfId="135" applyFont="1" applyFill="1" applyBorder="1" applyAlignment="1">
      <alignment horizontal="center" vertical="center" wrapText="1"/>
    </xf>
    <xf numFmtId="187" fontId="102" fillId="13" borderId="1" xfId="135" applyNumberFormat="1" applyFont="1" applyFill="1" applyBorder="1" applyAlignment="1">
      <alignment horizontal="center" vertical="center" wrapText="1"/>
    </xf>
    <xf numFmtId="0" fontId="0" fillId="13" borderId="1" xfId="158" applyFont="1" applyFill="1" applyBorder="1" applyAlignment="1">
      <alignment horizontal="center" vertical="center" wrapText="1" shrinkToFit="1"/>
    </xf>
    <xf numFmtId="0" fontId="102" fillId="13" borderId="1" xfId="158" applyFont="1" applyFill="1" applyBorder="1" applyAlignment="1">
      <alignment horizontal="center" vertical="center" wrapText="1" shrinkToFit="1"/>
    </xf>
    <xf numFmtId="0" fontId="102" fillId="13" borderId="8" xfId="158" applyFont="1" applyFill="1" applyBorder="1" applyAlignment="1">
      <alignment horizontal="center" vertical="center" wrapText="1" shrinkToFit="1"/>
    </xf>
    <xf numFmtId="0" fontId="0" fillId="0" borderId="43" xfId="0" applyFont="1" applyBorder="1" applyAlignment="1">
      <alignment horizontal="justify" vertical="center"/>
    </xf>
    <xf numFmtId="0" fontId="0" fillId="13" borderId="28" xfId="135" applyFont="1" applyFill="1" applyBorder="1" applyAlignment="1">
      <alignment horizontal="center" vertical="center"/>
    </xf>
    <xf numFmtId="0" fontId="102" fillId="13" borderId="1" xfId="135" applyFont="1" applyFill="1" applyBorder="1" applyAlignment="1">
      <alignment horizontal="center" vertical="center"/>
    </xf>
    <xf numFmtId="0" fontId="102" fillId="13" borderId="1" xfId="135" applyFont="1" applyFill="1" applyBorder="1" applyAlignment="1">
      <alignment horizontal="center" vertical="center" wrapText="1"/>
    </xf>
    <xf numFmtId="0" fontId="102" fillId="13" borderId="6" xfId="135" applyFont="1" applyFill="1" applyBorder="1" applyAlignment="1">
      <alignment horizontal="center" vertical="center" wrapText="1"/>
    </xf>
    <xf numFmtId="0" fontId="102" fillId="13" borderId="8" xfId="135" applyFont="1" applyFill="1" applyBorder="1" applyAlignment="1">
      <alignment horizontal="center" vertical="center" wrapText="1"/>
    </xf>
    <xf numFmtId="0" fontId="102" fillId="13" borderId="28" xfId="135" applyFont="1" applyFill="1" applyBorder="1" applyAlignment="1">
      <alignment horizontal="center" vertical="center"/>
    </xf>
    <xf numFmtId="187" fontId="102" fillId="0" borderId="43" xfId="0" applyNumberFormat="1" applyFont="1" applyFill="1" applyBorder="1" applyAlignment="1">
      <alignment horizontal="justify" vertical="center" wrapText="1"/>
    </xf>
    <xf numFmtId="0" fontId="102" fillId="0" borderId="28" xfId="135" applyFont="1" applyFill="1" applyBorder="1" applyAlignment="1">
      <alignment horizontal="center" vertical="center"/>
    </xf>
    <xf numFmtId="0" fontId="102" fillId="0" borderId="6" xfId="135" applyFont="1" applyFill="1" applyBorder="1" applyAlignment="1">
      <alignment horizontal="center" vertical="center" wrapText="1"/>
    </xf>
    <xf numFmtId="0" fontId="102" fillId="0" borderId="8" xfId="135" applyFont="1" applyFill="1" applyBorder="1" applyAlignment="1">
      <alignment horizontal="center" vertical="center" wrapText="1"/>
    </xf>
    <xf numFmtId="14" fontId="148" fillId="0" borderId="19" xfId="0" applyNumberFormat="1" applyFont="1" applyFill="1" applyBorder="1" applyAlignment="1">
      <alignment horizontal="center" vertical="center"/>
    </xf>
    <xf numFmtId="0" fontId="152" fillId="0" borderId="1" xfId="0" applyFont="1" applyFill="1" applyBorder="1" applyAlignment="1">
      <alignment horizontal="center" vertical="center" wrapText="1"/>
    </xf>
    <xf numFmtId="200" fontId="150" fillId="0" borderId="1" xfId="0" applyNumberFormat="1" applyFont="1" applyFill="1" applyBorder="1" applyAlignment="1">
      <alignment horizontal="center" vertical="center" wrapText="1"/>
    </xf>
    <xf numFmtId="200" fontId="148" fillId="0" borderId="6" xfId="0" applyNumberFormat="1" applyFont="1" applyFill="1" applyBorder="1" applyAlignment="1">
      <alignment horizontal="center" vertical="center" wrapText="1"/>
    </xf>
    <xf numFmtId="187" fontId="148" fillId="0" borderId="43" xfId="0" applyNumberFormat="1" applyFont="1" applyFill="1" applyBorder="1" applyAlignment="1">
      <alignment horizontal="justify" vertical="center" wrapText="1"/>
    </xf>
    <xf numFmtId="3" fontId="96" fillId="0" borderId="16" xfId="0" applyNumberFormat="1" applyFont="1" applyFill="1" applyBorder="1" applyAlignment="1">
      <alignment horizontal="center" vertical="center"/>
    </xf>
    <xf numFmtId="0" fontId="0" fillId="0" borderId="28" xfId="135" applyFont="1" applyFill="1" applyBorder="1" applyAlignment="1">
      <alignment horizontal="center" vertical="center"/>
    </xf>
    <xf numFmtId="0" fontId="148" fillId="0" borderId="43" xfId="0" applyFont="1" applyFill="1" applyBorder="1" applyAlignment="1">
      <alignment horizontal="center" vertical="center"/>
    </xf>
    <xf numFmtId="199" fontId="102" fillId="0" borderId="48" xfId="135" applyNumberFormat="1" applyFont="1" applyFill="1" applyBorder="1" applyAlignment="1">
      <alignment horizontal="center" vertical="center"/>
    </xf>
    <xf numFmtId="187" fontId="102" fillId="0" borderId="50" xfId="135" applyNumberFormat="1" applyFont="1" applyFill="1" applyBorder="1" applyAlignment="1">
      <alignment horizontal="center" vertical="center" wrapText="1"/>
    </xf>
    <xf numFmtId="199" fontId="102" fillId="0" borderId="50" xfId="135" applyNumberFormat="1" applyFont="1" applyFill="1" applyBorder="1" applyAlignment="1">
      <alignment horizontal="center" vertical="center"/>
    </xf>
    <xf numFmtId="199" fontId="102" fillId="0" borderId="50" xfId="135" applyNumberFormat="1" applyFont="1" applyFill="1" applyBorder="1" applyAlignment="1">
      <alignment horizontal="center" vertical="center" wrapText="1"/>
    </xf>
    <xf numFmtId="199" fontId="102" fillId="0" borderId="58" xfId="135" applyNumberFormat="1" applyFont="1" applyFill="1" applyBorder="1" applyAlignment="1">
      <alignment horizontal="center" vertical="center" wrapText="1"/>
    </xf>
    <xf numFmtId="199" fontId="102" fillId="13" borderId="47" xfId="135" applyNumberFormat="1" applyFont="1" applyFill="1" applyBorder="1" applyAlignment="1">
      <alignment horizontal="center" vertical="center"/>
    </xf>
    <xf numFmtId="187" fontId="102" fillId="13" borderId="21" xfId="135" applyNumberFormat="1" applyFont="1" applyFill="1" applyBorder="1" applyAlignment="1">
      <alignment horizontal="center" vertical="center" wrapText="1"/>
    </xf>
    <xf numFmtId="199" fontId="102" fillId="13" borderId="22" xfId="135" applyNumberFormat="1" applyFont="1" applyFill="1" applyBorder="1" applyAlignment="1">
      <alignment horizontal="center" vertical="center"/>
    </xf>
    <xf numFmtId="199" fontId="102" fillId="13" borderId="47" xfId="135" applyNumberFormat="1" applyFont="1" applyFill="1" applyBorder="1" applyAlignment="1">
      <alignment horizontal="center" vertical="center" wrapText="1"/>
    </xf>
    <xf numFmtId="199" fontId="102" fillId="13" borderId="0" xfId="135" applyNumberFormat="1" applyFont="1" applyFill="1" applyAlignment="1">
      <alignment horizontal="center" vertical="center" wrapText="1"/>
    </xf>
    <xf numFmtId="0" fontId="148" fillId="0" borderId="43" xfId="0" applyFont="1" applyFill="1" applyBorder="1" applyAlignment="1">
      <alignment horizontal="justify" vertical="center"/>
    </xf>
    <xf numFmtId="3" fontId="96" fillId="0" borderId="43" xfId="0" applyNumberFormat="1" applyFont="1" applyFill="1" applyBorder="1" applyAlignment="1">
      <alignment horizontal="center" vertical="center" wrapText="1"/>
    </xf>
    <xf numFmtId="14" fontId="102" fillId="16" borderId="1" xfId="0" applyNumberFormat="1" applyFont="1" applyFill="1" applyBorder="1" applyAlignment="1">
      <alignment horizontal="center" vertical="center"/>
    </xf>
    <xf numFmtId="58" fontId="102" fillId="0" borderId="21" xfId="158" applyNumberFormat="1" applyFont="1" applyBorder="1" applyAlignment="1">
      <alignment horizontal="center" vertical="center"/>
    </xf>
    <xf numFmtId="187" fontId="102" fillId="0" borderId="21" xfId="158" applyNumberFormat="1" applyFont="1" applyBorder="1" applyAlignment="1">
      <alignment horizontal="center" vertical="center" wrapText="1"/>
    </xf>
    <xf numFmtId="0" fontId="102" fillId="0" borderId="22" xfId="158" applyFont="1" applyBorder="1" applyAlignment="1">
      <alignment horizontal="center" vertical="center"/>
    </xf>
    <xf numFmtId="0" fontId="102" fillId="0" borderId="47" xfId="158" applyFont="1" applyBorder="1" applyAlignment="1">
      <alignment horizontal="center" vertical="center"/>
    </xf>
    <xf numFmtId="0" fontId="102" fillId="0" borderId="0" xfId="158" applyFont="1" applyAlignment="1">
      <alignment horizontal="center" vertical="center"/>
    </xf>
    <xf numFmtId="187" fontId="102" fillId="0" borderId="0" xfId="0" applyNumberFormat="1" applyFont="1" applyAlignment="1">
      <alignment horizontal="center" vertical="center"/>
    </xf>
    <xf numFmtId="193" fontId="96" fillId="0" borderId="52" xfId="135" applyNumberFormat="1" applyFont="1" applyFill="1" applyBorder="1" applyAlignment="1">
      <alignment horizontal="center" vertical="center"/>
    </xf>
    <xf numFmtId="0" fontId="96" fillId="0" borderId="53" xfId="0" applyFont="1" applyBorder="1" applyAlignment="1">
      <alignment horizontal="center" vertical="center"/>
    </xf>
    <xf numFmtId="0" fontId="96" fillId="0" borderId="53" xfId="135" applyFont="1" applyBorder="1" applyAlignment="1">
      <alignment horizontal="center" vertical="center"/>
    </xf>
    <xf numFmtId="0" fontId="96" fillId="0" borderId="53" xfId="158" applyFont="1" applyBorder="1" applyAlignment="1">
      <alignment horizontal="center" vertical="center" wrapText="1"/>
    </xf>
    <xf numFmtId="0" fontId="96" fillId="0" borderId="53" xfId="158" applyFont="1" applyFill="1" applyBorder="1" applyAlignment="1">
      <alignment horizontal="center" vertical="center" wrapText="1"/>
    </xf>
    <xf numFmtId="0" fontId="96" fillId="0" borderId="54" xfId="0" applyFont="1" applyBorder="1" applyAlignment="1">
      <alignment horizontal="center" vertical="center"/>
    </xf>
    <xf numFmtId="0" fontId="102" fillId="14" borderId="44" xfId="135" applyFont="1" applyFill="1" applyBorder="1" applyAlignment="1">
      <alignment horizontal="center" vertical="center" wrapText="1"/>
    </xf>
    <xf numFmtId="187" fontId="102" fillId="14" borderId="16" xfId="135" applyNumberFormat="1" applyFont="1" applyFill="1" applyBorder="1" applyAlignment="1">
      <alignment horizontal="center" vertical="center" wrapText="1"/>
    </xf>
    <xf numFmtId="0" fontId="102" fillId="14" borderId="16" xfId="158" applyFont="1" applyFill="1" applyBorder="1" applyAlignment="1">
      <alignment horizontal="center" vertical="center" wrapText="1" shrinkToFit="1"/>
    </xf>
    <xf numFmtId="0" fontId="102" fillId="14" borderId="67" xfId="158" applyFont="1" applyFill="1" applyBorder="1" applyAlignment="1">
      <alignment horizontal="center" vertical="center" wrapText="1" shrinkToFit="1"/>
    </xf>
    <xf numFmtId="0" fontId="102" fillId="14" borderId="28" xfId="135" applyFont="1" applyFill="1" applyBorder="1" applyAlignment="1">
      <alignment horizontal="center" vertical="center"/>
    </xf>
    <xf numFmtId="14" fontId="151" fillId="0" borderId="11" xfId="0" applyNumberFormat="1" applyFont="1" applyFill="1" applyBorder="1" applyAlignment="1">
      <alignment horizontal="center" vertical="center"/>
    </xf>
    <xf numFmtId="0" fontId="151" fillId="0" borderId="9" xfId="0" applyFont="1" applyFill="1" applyBorder="1" applyAlignment="1">
      <alignment horizontal="center" vertical="center"/>
    </xf>
    <xf numFmtId="0" fontId="151" fillId="0" borderId="10" xfId="0" applyFont="1" applyFill="1" applyBorder="1" applyAlignment="1">
      <alignment horizontal="center" vertical="center"/>
    </xf>
    <xf numFmtId="0" fontId="152" fillId="0" borderId="1" xfId="0" applyFont="1" applyFill="1" applyBorder="1" applyAlignment="1">
      <alignment vertical="center" wrapText="1"/>
    </xf>
    <xf numFmtId="0" fontId="102" fillId="3" borderId="1" xfId="158" applyFont="1" applyFill="1" applyBorder="1" applyAlignment="1">
      <alignment horizontal="center" vertical="center" wrapText="1"/>
    </xf>
    <xf numFmtId="0" fontId="96" fillId="0" borderId="9" xfId="0" applyFont="1" applyFill="1" applyBorder="1" applyAlignment="1">
      <alignment horizontal="center" vertical="center"/>
    </xf>
    <xf numFmtId="0" fontId="96" fillId="0" borderId="10" xfId="0" applyFont="1" applyFill="1" applyBorder="1" applyAlignment="1">
      <alignment horizontal="center" vertical="center"/>
    </xf>
    <xf numFmtId="0" fontId="96" fillId="0" borderId="63" xfId="0" applyFont="1" applyFill="1" applyBorder="1" applyAlignment="1">
      <alignment horizontal="center" vertical="center" wrapText="1"/>
    </xf>
    <xf numFmtId="14" fontId="96" fillId="0" borderId="11" xfId="0" applyNumberFormat="1" applyFont="1" applyFill="1" applyBorder="1" applyAlignment="1">
      <alignment horizontal="center" vertical="center"/>
    </xf>
    <xf numFmtId="193" fontId="102" fillId="0" borderId="0" xfId="135" applyNumberFormat="1" applyFont="1" applyFill="1" applyBorder="1" applyAlignment="1">
      <alignment horizontal="center" vertical="center"/>
    </xf>
    <xf numFmtId="187" fontId="102" fillId="0" borderId="0" xfId="135" applyNumberFormat="1" applyFont="1" applyFill="1" applyBorder="1" applyAlignment="1">
      <alignment horizontal="center" vertical="center" wrapText="1"/>
    </xf>
    <xf numFmtId="0" fontId="102" fillId="0" borderId="0" xfId="135" applyFont="1" applyFill="1" applyBorder="1" applyAlignment="1">
      <alignment horizontal="center" vertical="center"/>
    </xf>
    <xf numFmtId="0" fontId="102" fillId="0" borderId="0" xfId="158" applyFont="1" applyFill="1" applyBorder="1" applyAlignment="1">
      <alignment horizontal="center" vertical="center" wrapText="1"/>
    </xf>
    <xf numFmtId="182" fontId="102" fillId="0" borderId="0" xfId="0" applyNumberFormat="1" applyFont="1" applyFill="1" applyBorder="1" applyAlignment="1">
      <alignment horizontal="center" vertical="center"/>
    </xf>
    <xf numFmtId="3" fontId="105" fillId="0" borderId="1" xfId="0" applyNumberFormat="1" applyFont="1" applyFill="1" applyBorder="1" applyAlignment="1">
      <alignment horizontal="center" vertical="center"/>
    </xf>
    <xf numFmtId="0" fontId="141" fillId="0" borderId="1" xfId="0" applyFont="1" applyFill="1" applyBorder="1" applyAlignment="1">
      <alignment horizontal="center" vertical="center"/>
    </xf>
    <xf numFmtId="0" fontId="152" fillId="0" borderId="1" xfId="0" applyFont="1" applyFill="1" applyBorder="1" applyAlignment="1">
      <alignment horizontal="center" vertical="top" wrapText="1"/>
    </xf>
    <xf numFmtId="3" fontId="148" fillId="0" borderId="1" xfId="0" applyNumberFormat="1" applyFont="1" applyFill="1" applyBorder="1" applyAlignment="1">
      <alignment horizontal="center" vertical="center"/>
    </xf>
    <xf numFmtId="0" fontId="141" fillId="0" borderId="1" xfId="0" applyFont="1" applyFill="1" applyBorder="1" applyAlignment="1">
      <alignment horizontal="center" vertical="center" wrapText="1"/>
    </xf>
    <xf numFmtId="14" fontId="102" fillId="0" borderId="1" xfId="0" applyNumberFormat="1" applyFont="1" applyFill="1" applyBorder="1" applyAlignment="1">
      <alignment horizontal="center" vertical="center"/>
    </xf>
    <xf numFmtId="58" fontId="105" fillId="0" borderId="1" xfId="0" applyNumberFormat="1" applyFont="1" applyFill="1" applyBorder="1" applyAlignment="1">
      <alignment horizontal="center" vertical="center"/>
    </xf>
    <xf numFmtId="0" fontId="96" fillId="3" borderId="1" xfId="0" applyFont="1" applyFill="1" applyBorder="1" applyAlignment="1">
      <alignment horizontal="center" vertical="center"/>
    </xf>
    <xf numFmtId="14" fontId="102" fillId="3" borderId="19" xfId="0" applyNumberFormat="1" applyFont="1" applyFill="1" applyBorder="1" applyAlignment="1">
      <alignment horizontal="center" vertical="center"/>
    </xf>
    <xf numFmtId="0" fontId="102" fillId="3" borderId="1" xfId="0" applyNumberFormat="1" applyFont="1" applyFill="1" applyBorder="1" applyAlignment="1">
      <alignment horizontal="center" vertical="center"/>
    </xf>
    <xf numFmtId="0" fontId="0" fillId="3" borderId="1" xfId="0" applyFont="1" applyFill="1" applyBorder="1" applyAlignment="1">
      <alignment horizontal="center" vertical="center"/>
    </xf>
    <xf numFmtId="200" fontId="102" fillId="3" borderId="1" xfId="0" applyNumberFormat="1" applyFont="1" applyFill="1" applyBorder="1" applyAlignment="1">
      <alignment horizontal="center" vertical="center" wrapText="1"/>
    </xf>
    <xf numFmtId="3" fontId="102" fillId="3" borderId="1" xfId="0" applyNumberFormat="1" applyFont="1" applyFill="1" applyBorder="1" applyAlignment="1">
      <alignment horizontal="center" vertical="center"/>
    </xf>
    <xf numFmtId="0" fontId="102" fillId="3" borderId="6" xfId="0" applyFont="1" applyFill="1" applyBorder="1" applyAlignment="1">
      <alignment horizontal="center" vertical="center"/>
    </xf>
    <xf numFmtId="187" fontId="102" fillId="14" borderId="19" xfId="135" applyNumberFormat="1" applyFont="1" applyFill="1" applyBorder="1" applyAlignment="1">
      <alignment horizontal="center" vertical="center" wrapText="1"/>
    </xf>
    <xf numFmtId="187" fontId="102" fillId="14" borderId="6" xfId="135" applyNumberFormat="1" applyFont="1" applyFill="1" applyBorder="1" applyAlignment="1">
      <alignment horizontal="center" vertical="center" wrapText="1"/>
    </xf>
    <xf numFmtId="187" fontId="96" fillId="0" borderId="19" xfId="135" applyNumberFormat="1" applyFont="1" applyFill="1" applyBorder="1" applyAlignment="1">
      <alignment horizontal="center" vertical="center" wrapText="1"/>
    </xf>
    <xf numFmtId="187" fontId="96" fillId="0" borderId="1" xfId="135" applyNumberFormat="1" applyFont="1" applyFill="1" applyBorder="1" applyAlignment="1">
      <alignment horizontal="center" vertical="center" wrapText="1"/>
    </xf>
    <xf numFmtId="187" fontId="96" fillId="0" borderId="6" xfId="135" applyNumberFormat="1" applyFont="1" applyFill="1" applyBorder="1" applyAlignment="1">
      <alignment horizontal="center" vertical="center" wrapText="1"/>
    </xf>
    <xf numFmtId="14" fontId="105" fillId="0" borderId="11" xfId="0" applyNumberFormat="1" applyFont="1" applyFill="1" applyBorder="1" applyAlignment="1">
      <alignment horizontal="center" vertical="center"/>
    </xf>
    <xf numFmtId="0" fontId="105" fillId="0" borderId="9" xfId="0" applyFont="1" applyFill="1" applyBorder="1" applyAlignment="1">
      <alignment horizontal="center" vertical="center"/>
    </xf>
    <xf numFmtId="0" fontId="105" fillId="0" borderId="10" xfId="0" applyFont="1" applyFill="1" applyBorder="1" applyAlignment="1">
      <alignment horizontal="center" vertical="center"/>
    </xf>
    <xf numFmtId="0" fontId="105" fillId="0" borderId="63" xfId="0" applyFont="1" applyFill="1" applyBorder="1" applyAlignment="1">
      <alignment horizontal="center" vertical="center" wrapText="1"/>
    </xf>
    <xf numFmtId="0" fontId="102" fillId="14" borderId="6" xfId="135" applyFont="1" applyFill="1" applyBorder="1" applyAlignment="1">
      <alignment horizontal="center" vertical="center"/>
    </xf>
    <xf numFmtId="0" fontId="0" fillId="0" borderId="1" xfId="0" applyFont="1" applyBorder="1">
      <alignment vertical="center"/>
    </xf>
    <xf numFmtId="187" fontId="102" fillId="0" borderId="0" xfId="0" applyNumberFormat="1" applyFont="1" applyFill="1" applyAlignment="1">
      <alignment horizontal="center" vertical="center"/>
    </xf>
    <xf numFmtId="187" fontId="96" fillId="14" borderId="53" xfId="135" applyNumberFormat="1" applyFont="1" applyFill="1" applyBorder="1" applyAlignment="1">
      <alignment horizontal="center" vertical="center"/>
    </xf>
    <xf numFmtId="187" fontId="102" fillId="14" borderId="53" xfId="135" applyNumberFormat="1" applyFont="1" applyFill="1" applyBorder="1" applyAlignment="1">
      <alignment horizontal="center" vertical="center"/>
    </xf>
    <xf numFmtId="187" fontId="148" fillId="14" borderId="53" xfId="135" applyNumberFormat="1" applyFont="1" applyFill="1" applyBorder="1" applyAlignment="1">
      <alignment horizontal="center" vertical="center"/>
    </xf>
    <xf numFmtId="187" fontId="102" fillId="14" borderId="68" xfId="135" applyNumberFormat="1" applyFont="1" applyFill="1" applyBorder="1" applyAlignment="1">
      <alignment horizontal="center" vertical="center"/>
    </xf>
    <xf numFmtId="0" fontId="102" fillId="0" borderId="55" xfId="0" applyFont="1" applyBorder="1" applyAlignment="1">
      <alignment horizontal="center" vertical="center"/>
    </xf>
    <xf numFmtId="0" fontId="154" fillId="0" borderId="0" xfId="0" applyFont="1" applyAlignment="1">
      <alignment horizontal="center" vertical="center"/>
    </xf>
    <xf numFmtId="0" fontId="96" fillId="3" borderId="10" xfId="0" applyFont="1" applyFill="1" applyBorder="1" applyAlignment="1">
      <alignment horizontal="center" vertical="center"/>
    </xf>
    <xf numFmtId="0" fontId="96" fillId="3" borderId="63" xfId="0" applyFont="1" applyFill="1" applyBorder="1" applyAlignment="1">
      <alignment horizontal="center" vertical="center" wrapText="1"/>
    </xf>
    <xf numFmtId="0" fontId="102" fillId="19" borderId="0" xfId="0" applyFont="1" applyFill="1" applyAlignment="1">
      <alignment horizontal="center" vertical="center"/>
    </xf>
    <xf numFmtId="0" fontId="102" fillId="0" borderId="9" xfId="0" applyNumberFormat="1" applyFont="1" applyFill="1" applyBorder="1" applyAlignment="1">
      <alignment horizontal="center" vertical="center"/>
    </xf>
    <xf numFmtId="14" fontId="102" fillId="0" borderId="17" xfId="0" applyNumberFormat="1" applyFont="1" applyFill="1" applyBorder="1" applyAlignment="1">
      <alignment horizontal="center" vertical="center"/>
    </xf>
    <xf numFmtId="0" fontId="102" fillId="0" borderId="16" xfId="0" applyNumberFormat="1" applyFont="1" applyFill="1" applyBorder="1" applyAlignment="1">
      <alignment horizontal="center" vertical="center"/>
    </xf>
    <xf numFmtId="0" fontId="102" fillId="0" borderId="68" xfId="0" applyFont="1" applyFill="1" applyBorder="1" applyAlignment="1">
      <alignment horizontal="center" vertical="center"/>
    </xf>
    <xf numFmtId="0" fontId="102" fillId="0" borderId="55" xfId="0" applyFont="1" applyFill="1" applyBorder="1" applyAlignment="1">
      <alignment horizontal="justify" vertical="center"/>
    </xf>
    <xf numFmtId="49" fontId="102" fillId="3" borderId="1" xfId="0" applyNumberFormat="1" applyFont="1" applyFill="1" applyBorder="1" applyAlignment="1">
      <alignment horizontal="center" vertical="center"/>
    </xf>
    <xf numFmtId="3" fontId="96" fillId="3" borderId="16" xfId="0" applyNumberFormat="1" applyFont="1" applyFill="1" applyBorder="1" applyAlignment="1">
      <alignment horizontal="center" vertical="center"/>
    </xf>
    <xf numFmtId="0" fontId="102" fillId="15" borderId="18" xfId="0" applyFont="1" applyFill="1" applyBorder="1" applyAlignment="1">
      <alignment horizontal="center" vertical="center"/>
    </xf>
    <xf numFmtId="0" fontId="96" fillId="3" borderId="1" xfId="0" applyFont="1" applyFill="1" applyBorder="1" applyAlignment="1">
      <alignment horizontal="center" vertical="center" wrapText="1"/>
    </xf>
    <xf numFmtId="0" fontId="96" fillId="3" borderId="6" xfId="0" applyFont="1" applyFill="1" applyBorder="1" applyAlignment="1">
      <alignment horizontal="center" vertical="center"/>
    </xf>
    <xf numFmtId="0" fontId="96" fillId="3" borderId="43" xfId="0" applyFont="1" applyFill="1" applyBorder="1" applyAlignment="1">
      <alignment horizontal="justify" vertical="center"/>
    </xf>
    <xf numFmtId="0" fontId="102" fillId="13" borderId="1" xfId="0" applyFont="1" applyFill="1" applyBorder="1" applyAlignment="1">
      <alignment horizontal="center" vertical="center"/>
    </xf>
    <xf numFmtId="0" fontId="96" fillId="0" borderId="1" xfId="158" applyFont="1" applyFill="1" applyBorder="1" applyAlignment="1">
      <alignment horizontal="center" vertical="center" wrapText="1" shrinkToFit="1"/>
    </xf>
    <xf numFmtId="0" fontId="0" fillId="13" borderId="1" xfId="135" applyFont="1" applyFill="1" applyBorder="1" applyAlignment="1">
      <alignment horizontal="center" vertical="center"/>
    </xf>
    <xf numFmtId="182" fontId="102" fillId="13" borderId="1" xfId="0" applyNumberFormat="1" applyFont="1" applyFill="1" applyBorder="1" applyAlignment="1">
      <alignment horizontal="center" vertical="center"/>
    </xf>
    <xf numFmtId="0" fontId="147" fillId="13" borderId="1" xfId="0" applyFont="1" applyFill="1" applyBorder="1" applyAlignment="1">
      <alignment horizontal="center" vertical="center"/>
    </xf>
    <xf numFmtId="0" fontId="155" fillId="13" borderId="1" xfId="0" applyFont="1" applyFill="1" applyBorder="1" applyAlignment="1">
      <alignment horizontal="center" vertical="center"/>
    </xf>
    <xf numFmtId="0" fontId="102" fillId="14" borderId="19" xfId="135" applyFont="1" applyFill="1" applyBorder="1" applyAlignment="1">
      <alignment horizontal="center" vertical="center"/>
    </xf>
    <xf numFmtId="199" fontId="102" fillId="13" borderId="1" xfId="135" applyNumberFormat="1" applyFont="1" applyFill="1" applyBorder="1" applyAlignment="1">
      <alignment horizontal="center" vertical="center"/>
    </xf>
    <xf numFmtId="199" fontId="102" fillId="13" borderId="1" xfId="0" applyNumberFormat="1" applyFont="1" applyFill="1" applyBorder="1" applyAlignment="1">
      <alignment horizontal="center" vertical="center"/>
    </xf>
    <xf numFmtId="199" fontId="155" fillId="13" borderId="1" xfId="0" applyNumberFormat="1" applyFont="1" applyFill="1" applyBorder="1" applyAlignment="1">
      <alignment horizontal="center" vertical="center"/>
    </xf>
    <xf numFmtId="0" fontId="140" fillId="14" borderId="1" xfId="135" applyFont="1" applyFill="1" applyBorder="1" applyAlignment="1">
      <alignment horizontal="center" vertical="center" wrapText="1"/>
    </xf>
    <xf numFmtId="0" fontId="140" fillId="14" borderId="1" xfId="135" applyFont="1" applyFill="1" applyBorder="1" applyAlignment="1">
      <alignment horizontal="center" vertical="center"/>
    </xf>
    <xf numFmtId="199" fontId="102" fillId="0" borderId="0" xfId="0" applyNumberFormat="1" applyFont="1" applyAlignment="1">
      <alignment horizontal="center" vertical="center"/>
    </xf>
    <xf numFmtId="199" fontId="147" fillId="0" borderId="0" xfId="0" applyNumberFormat="1" applyFont="1" applyAlignment="1">
      <alignment horizontal="center" vertical="center"/>
    </xf>
    <xf numFmtId="0" fontId="0" fillId="14" borderId="11" xfId="135" applyFont="1" applyFill="1" applyBorder="1" applyAlignment="1">
      <alignment horizontal="center" vertical="center"/>
    </xf>
    <xf numFmtId="187" fontId="102" fillId="14" borderId="9" xfId="135" applyNumberFormat="1" applyFont="1" applyFill="1" applyBorder="1" applyAlignment="1">
      <alignment horizontal="center" vertical="center" wrapText="1"/>
    </xf>
    <xf numFmtId="0" fontId="102" fillId="14" borderId="9" xfId="135" applyFont="1" applyFill="1" applyBorder="1" applyAlignment="1">
      <alignment horizontal="center" vertical="center"/>
    </xf>
    <xf numFmtId="0" fontId="102" fillId="14" borderId="9" xfId="135" applyFont="1" applyFill="1" applyBorder="1" applyAlignment="1">
      <alignment horizontal="center" vertical="center" wrapText="1"/>
    </xf>
    <xf numFmtId="0" fontId="140" fillId="14" borderId="9" xfId="135" applyFont="1" applyFill="1" applyBorder="1" applyAlignment="1">
      <alignment horizontal="center" vertical="center" wrapText="1"/>
    </xf>
    <xf numFmtId="0" fontId="140" fillId="14" borderId="9" xfId="135" applyFont="1" applyFill="1" applyBorder="1" applyAlignment="1">
      <alignment horizontal="center" vertical="center"/>
    </xf>
    <xf numFmtId="0" fontId="102" fillId="14" borderId="10" xfId="135" applyFont="1" applyFill="1" applyBorder="1" applyAlignment="1">
      <alignment horizontal="center" vertical="center"/>
    </xf>
    <xf numFmtId="0" fontId="102" fillId="0" borderId="63" xfId="0" applyFont="1" applyBorder="1" applyAlignment="1">
      <alignment horizontal="center" vertical="center"/>
    </xf>
    <xf numFmtId="0" fontId="147" fillId="0" borderId="0" xfId="0" applyFont="1" applyAlignment="1">
      <alignment horizontal="center" vertical="center"/>
    </xf>
    <xf numFmtId="0" fontId="0" fillId="0" borderId="0" xfId="0" applyFont="1">
      <alignment vertical="center"/>
    </xf>
    <xf numFmtId="199" fontId="50" fillId="14" borderId="53" xfId="135" applyNumberFormat="1" applyFont="1" applyFill="1" applyBorder="1" applyAlignment="1">
      <alignment horizontal="center" vertical="center" wrapText="1"/>
    </xf>
    <xf numFmtId="199" fontId="50" fillId="14" borderId="68" xfId="135" applyNumberFormat="1" applyFont="1" applyFill="1" applyBorder="1" applyAlignment="1">
      <alignment horizontal="center" vertical="center" wrapText="1"/>
    </xf>
    <xf numFmtId="199" fontId="103" fillId="14" borderId="68" xfId="135" applyNumberFormat="1" applyFont="1" applyFill="1" applyBorder="1" applyAlignment="1">
      <alignment horizontal="center" vertical="center" wrapText="1"/>
    </xf>
    <xf numFmtId="0" fontId="140" fillId="0" borderId="0" xfId="0" applyFont="1" applyAlignment="1">
      <alignment horizontal="center" vertical="center"/>
    </xf>
    <xf numFmtId="0" fontId="96" fillId="0" borderId="20" xfId="0" applyFont="1" applyFill="1" applyBorder="1" applyAlignment="1">
      <alignment horizontal="center" vertical="center"/>
    </xf>
    <xf numFmtId="0" fontId="96" fillId="0" borderId="43" xfId="0" applyFont="1" applyFill="1" applyBorder="1" applyAlignment="1">
      <alignment horizontal="center" vertical="center" wrapText="1"/>
    </xf>
    <xf numFmtId="0" fontId="140" fillId="0" borderId="0" xfId="0" applyFont="1" applyFill="1" applyAlignment="1">
      <alignment horizontal="center" vertical="center"/>
    </xf>
    <xf numFmtId="187" fontId="102" fillId="0" borderId="6" xfId="135" applyNumberFormat="1" applyFont="1" applyFill="1" applyBorder="1" applyAlignment="1">
      <alignment horizontal="center" vertical="center" wrapText="1"/>
    </xf>
    <xf numFmtId="0" fontId="105" fillId="3" borderId="1" xfId="0" applyNumberFormat="1" applyFont="1" applyFill="1" applyBorder="1" applyAlignment="1">
      <alignment horizontal="center" vertical="center"/>
    </xf>
    <xf numFmtId="0" fontId="102" fillId="3" borderId="43" xfId="0" applyFont="1" applyFill="1" applyBorder="1" applyAlignment="1">
      <alignment horizontal="center" vertical="center" wrapText="1"/>
    </xf>
    <xf numFmtId="0" fontId="102" fillId="0" borderId="19" xfId="0" applyFont="1" applyBorder="1" applyAlignment="1">
      <alignment horizontal="center" vertical="center"/>
    </xf>
    <xf numFmtId="187" fontId="96" fillId="0" borderId="20" xfId="135" applyNumberFormat="1" applyFont="1" applyFill="1" applyBorder="1" applyAlignment="1">
      <alignment horizontal="center" vertical="center" wrapText="1"/>
    </xf>
    <xf numFmtId="187" fontId="102" fillId="14" borderId="1" xfId="135" applyNumberFormat="1" applyFont="1" applyFill="1" applyBorder="1" applyAlignment="1">
      <alignment horizontal="center" vertical="center"/>
    </xf>
    <xf numFmtId="0" fontId="102" fillId="14" borderId="20" xfId="135" applyFont="1" applyFill="1" applyBorder="1" applyAlignment="1">
      <alignment horizontal="center" vertical="center"/>
    </xf>
    <xf numFmtId="187" fontId="148" fillId="14" borderId="1" xfId="135" applyNumberFormat="1" applyFont="1" applyFill="1" applyBorder="1" applyAlignment="1">
      <alignment horizontal="center" vertical="center" wrapText="1"/>
    </xf>
    <xf numFmtId="187" fontId="102" fillId="14" borderId="20" xfId="135" applyNumberFormat="1" applyFont="1" applyFill="1" applyBorder="1" applyAlignment="1">
      <alignment horizontal="center" vertical="center" wrapText="1"/>
    </xf>
    <xf numFmtId="182" fontId="102" fillId="3" borderId="1" xfId="0" applyNumberFormat="1" applyFont="1" applyFill="1" applyBorder="1" applyAlignment="1">
      <alignment horizontal="center" vertical="center"/>
    </xf>
    <xf numFmtId="0" fontId="102" fillId="3" borderId="20" xfId="0" applyFont="1" applyFill="1" applyBorder="1" applyAlignment="1">
      <alignment horizontal="center" vertical="center"/>
    </xf>
    <xf numFmtId="0" fontId="102" fillId="0" borderId="52" xfId="0" applyFont="1" applyBorder="1" applyAlignment="1">
      <alignment horizontal="center" vertical="center"/>
    </xf>
    <xf numFmtId="0" fontId="102" fillId="0" borderId="53" xfId="0" applyFont="1" applyBorder="1" applyAlignment="1">
      <alignment horizontal="center" vertical="center"/>
    </xf>
    <xf numFmtId="0" fontId="102" fillId="3" borderId="53" xfId="0" applyFont="1" applyFill="1" applyBorder="1" applyAlignment="1">
      <alignment horizontal="center" vertical="center"/>
    </xf>
    <xf numFmtId="0" fontId="102" fillId="3" borderId="54" xfId="0" applyFont="1" applyFill="1" applyBorder="1" applyAlignment="1">
      <alignment horizontal="center" vertical="center"/>
    </xf>
    <xf numFmtId="0" fontId="102" fillId="0" borderId="55" xfId="0" applyFont="1" applyBorder="1" applyAlignment="1">
      <alignment horizontal="center" vertical="center" wrapText="1"/>
    </xf>
    <xf numFmtId="0" fontId="102" fillId="0" borderId="0" xfId="0" applyFont="1" applyAlignment="1">
      <alignment horizontal="center" vertical="center" wrapText="1"/>
    </xf>
    <xf numFmtId="187" fontId="102" fillId="19" borderId="0" xfId="0" applyNumberFormat="1" applyFont="1" applyFill="1" applyAlignment="1">
      <alignment horizontal="center" vertical="center"/>
    </xf>
    <xf numFmtId="0" fontId="28" fillId="0" borderId="16" xfId="0" applyNumberFormat="1" applyFont="1" applyFill="1" applyBorder="1" applyAlignment="1">
      <alignment horizontal="center" vertical="center" shrinkToFit="1"/>
    </xf>
    <xf numFmtId="0" fontId="102" fillId="0" borderId="0" xfId="0" applyFont="1" applyFill="1" applyAlignment="1">
      <alignment horizontal="center" vertical="center" wrapText="1"/>
    </xf>
    <xf numFmtId="0" fontId="28" fillId="0" borderId="0" xfId="0" applyNumberFormat="1" applyFont="1" applyFill="1" applyAlignment="1">
      <alignment horizontal="center" vertical="center" shrinkToFit="1"/>
    </xf>
    <xf numFmtId="0" fontId="32" fillId="0" borderId="0" xfId="0" applyNumberFormat="1" applyFont="1" applyFill="1" applyAlignment="1">
      <alignment horizontal="center" vertical="center" shrinkToFit="1"/>
    </xf>
    <xf numFmtId="0" fontId="32" fillId="0" borderId="0" xfId="0" applyFont="1" applyFill="1" applyAlignment="1">
      <alignment horizontal="center" vertical="center"/>
    </xf>
    <xf numFmtId="0" fontId="21" fillId="0" borderId="0" xfId="0" applyFont="1" applyFill="1" applyAlignment="1">
      <alignment horizontal="center" vertical="center" wrapText="1"/>
    </xf>
    <xf numFmtId="0" fontId="76" fillId="20" borderId="0" xfId="0" applyFont="1" applyFill="1" applyAlignment="1">
      <alignment horizontal="center" vertical="center"/>
    </xf>
    <xf numFmtId="0" fontId="156" fillId="20" borderId="9" xfId="0" applyFont="1" applyFill="1" applyBorder="1" applyAlignment="1">
      <alignment horizontal="center" vertical="center" wrapText="1"/>
    </xf>
    <xf numFmtId="0" fontId="156" fillId="20" borderId="21" xfId="0" applyFont="1" applyFill="1" applyBorder="1" applyAlignment="1">
      <alignment horizontal="center" vertical="center" wrapText="1"/>
    </xf>
    <xf numFmtId="0" fontId="76" fillId="20" borderId="0" xfId="0" applyFont="1" applyFill="1" applyAlignment="1">
      <alignment vertical="center"/>
    </xf>
    <xf numFmtId="0" fontId="76" fillId="20" borderId="69" xfId="0" applyFont="1" applyFill="1" applyBorder="1" applyAlignment="1">
      <alignment horizontal="center" vertical="center"/>
    </xf>
    <xf numFmtId="0" fontId="76" fillId="20" borderId="70" xfId="0" applyFont="1" applyFill="1" applyBorder="1" applyAlignment="1">
      <alignment horizontal="center" vertical="center"/>
    </xf>
    <xf numFmtId="0" fontId="76" fillId="20" borderId="71" xfId="0" applyFont="1" applyFill="1" applyBorder="1" applyAlignment="1">
      <alignment horizontal="center" vertical="center"/>
    </xf>
    <xf numFmtId="0" fontId="156" fillId="20" borderId="47" xfId="0" applyFont="1" applyFill="1" applyBorder="1" applyAlignment="1">
      <alignment horizontal="center" vertical="center" wrapText="1"/>
    </xf>
    <xf numFmtId="0" fontId="156" fillId="0" borderId="1" xfId="0" applyFont="1" applyFill="1" applyBorder="1" applyAlignment="1">
      <alignment horizontal="center" vertical="center"/>
    </xf>
    <xf numFmtId="0" fontId="31" fillId="0" borderId="1" xfId="0" applyFont="1" applyFill="1" applyBorder="1" applyAlignment="1">
      <alignment horizontal="left" vertical="center"/>
    </xf>
    <xf numFmtId="0" fontId="31" fillId="0" borderId="1" xfId="0" applyFont="1" applyFill="1" applyBorder="1" applyAlignment="1">
      <alignment vertical="center" wrapText="1"/>
    </xf>
    <xf numFmtId="0" fontId="156" fillId="0" borderId="19" xfId="0" applyFont="1" applyFill="1" applyBorder="1" applyAlignment="1">
      <alignment horizontal="center" vertical="center"/>
    </xf>
    <xf numFmtId="0" fontId="31" fillId="0" borderId="20" xfId="0" applyFont="1" applyFill="1" applyBorder="1" applyAlignment="1">
      <alignment horizontal="left" vertical="center"/>
    </xf>
    <xf numFmtId="0" fontId="31" fillId="0" borderId="32" xfId="0" applyFont="1" applyFill="1" applyBorder="1" applyAlignment="1">
      <alignment vertical="center" wrapText="1"/>
    </xf>
    <xf numFmtId="0" fontId="31" fillId="0" borderId="33" xfId="0" applyFont="1" applyFill="1" applyBorder="1" applyAlignment="1">
      <alignment vertical="center" wrapText="1"/>
    </xf>
    <xf numFmtId="0" fontId="31" fillId="0" borderId="31" xfId="0" applyFont="1" applyFill="1" applyBorder="1" applyAlignment="1">
      <alignment vertical="center" wrapText="1"/>
    </xf>
    <xf numFmtId="0" fontId="31" fillId="0" borderId="34" xfId="0" applyFont="1" applyFill="1" applyBorder="1" applyAlignment="1">
      <alignment vertical="center" wrapText="1"/>
    </xf>
    <xf numFmtId="0" fontId="31" fillId="0" borderId="7" xfId="0" applyFont="1" applyFill="1" applyBorder="1" applyAlignment="1">
      <alignment vertical="center" wrapText="1"/>
    </xf>
    <xf numFmtId="14" fontId="156" fillId="0" borderId="1" xfId="0" applyNumberFormat="1" applyFont="1" applyFill="1" applyBorder="1" applyAlignment="1">
      <alignment horizontal="center" vertical="center"/>
    </xf>
    <xf numFmtId="197" fontId="156" fillId="0" borderId="1" xfId="0" applyNumberFormat="1" applyFont="1" applyFill="1" applyBorder="1" applyAlignment="1">
      <alignment vertical="center"/>
    </xf>
    <xf numFmtId="197" fontId="156" fillId="0" borderId="1" xfId="0" applyNumberFormat="1" applyFont="1" applyFill="1" applyBorder="1" applyAlignment="1">
      <alignment horizontal="center" vertical="center"/>
    </xf>
    <xf numFmtId="197" fontId="139" fillId="0" borderId="1" xfId="0" applyNumberFormat="1" applyFont="1" applyFill="1" applyBorder="1" applyAlignment="1">
      <alignment vertical="center" wrapText="1"/>
    </xf>
    <xf numFmtId="14" fontId="156" fillId="0" borderId="20" xfId="0" applyNumberFormat="1" applyFont="1" applyFill="1" applyBorder="1" applyAlignment="1">
      <alignment horizontal="center" vertical="center"/>
    </xf>
    <xf numFmtId="197" fontId="156" fillId="0" borderId="7" xfId="0" applyNumberFormat="1" applyFont="1" applyFill="1" applyBorder="1" applyAlignment="1">
      <alignment horizontal="center" vertical="center"/>
    </xf>
    <xf numFmtId="197" fontId="156" fillId="0" borderId="20" xfId="0" applyNumberFormat="1" applyFont="1" applyFill="1" applyBorder="1" applyAlignment="1">
      <alignment horizontal="center" vertical="center"/>
    </xf>
    <xf numFmtId="197" fontId="156" fillId="0" borderId="19" xfId="0" applyNumberFormat="1" applyFont="1" applyFill="1" applyBorder="1" applyAlignment="1">
      <alignment horizontal="center" vertical="center"/>
    </xf>
    <xf numFmtId="197" fontId="156" fillId="0" borderId="43" xfId="0" applyNumberFormat="1" applyFont="1" applyFill="1" applyBorder="1" applyAlignment="1">
      <alignment horizontal="center" vertical="center"/>
    </xf>
    <xf numFmtId="197" fontId="139" fillId="0" borderId="7" xfId="0" applyNumberFormat="1" applyFont="1" applyFill="1" applyBorder="1" applyAlignment="1">
      <alignment vertical="center" wrapText="1"/>
    </xf>
    <xf numFmtId="197" fontId="139" fillId="0" borderId="16" xfId="0" applyNumberFormat="1" applyFont="1" applyFill="1" applyBorder="1" applyAlignment="1">
      <alignment horizontal="center" vertical="center" wrapText="1"/>
    </xf>
    <xf numFmtId="0" fontId="76" fillId="0" borderId="72" xfId="0" applyFont="1" applyFill="1" applyBorder="1" applyAlignment="1">
      <alignment vertical="center"/>
    </xf>
    <xf numFmtId="0" fontId="156" fillId="3" borderId="19" xfId="0" applyFont="1" applyFill="1" applyBorder="1" applyAlignment="1">
      <alignment horizontal="center" vertical="center"/>
    </xf>
    <xf numFmtId="14" fontId="156" fillId="3" borderId="1" xfId="0" applyNumberFormat="1" applyFont="1" applyFill="1" applyBorder="1" applyAlignment="1">
      <alignment horizontal="center" vertical="center"/>
    </xf>
    <xf numFmtId="14" fontId="156" fillId="3" borderId="6" xfId="0" applyNumberFormat="1" applyFont="1" applyFill="1" applyBorder="1" applyAlignment="1">
      <alignment horizontal="center" vertical="center"/>
    </xf>
    <xf numFmtId="197" fontId="156" fillId="3" borderId="19" xfId="0" applyNumberFormat="1" applyFont="1" applyFill="1" applyBorder="1" applyAlignment="1">
      <alignment horizontal="center" vertical="center"/>
    </xf>
    <xf numFmtId="197" fontId="156" fillId="3" borderId="20" xfId="0" applyNumberFormat="1" applyFont="1" applyFill="1" applyBorder="1" applyAlignment="1">
      <alignment horizontal="center" vertical="center"/>
    </xf>
    <xf numFmtId="197" fontId="156" fillId="3" borderId="7" xfId="0" applyNumberFormat="1" applyFont="1" applyFill="1" applyBorder="1" applyAlignment="1">
      <alignment horizontal="center" vertical="center"/>
    </xf>
    <xf numFmtId="197" fontId="139" fillId="0" borderId="1" xfId="0" applyNumberFormat="1" applyFont="1" applyFill="1" applyBorder="1" applyAlignment="1">
      <alignment horizontal="center" vertical="center" wrapText="1"/>
    </xf>
    <xf numFmtId="0" fontId="76" fillId="0" borderId="2" xfId="0" applyFont="1" applyFill="1" applyBorder="1" applyAlignment="1">
      <alignment vertical="center"/>
    </xf>
    <xf numFmtId="0" fontId="76" fillId="0" borderId="3" xfId="0" applyFont="1" applyFill="1" applyBorder="1" applyAlignment="1">
      <alignment vertical="center"/>
    </xf>
    <xf numFmtId="0" fontId="76" fillId="0" borderId="0" xfId="0" applyFont="1" applyFill="1" applyBorder="1" applyAlignment="1">
      <alignment vertical="center"/>
    </xf>
    <xf numFmtId="197" fontId="139" fillId="0" borderId="0" xfId="0" applyNumberFormat="1" applyFont="1" applyFill="1" applyAlignment="1">
      <alignment horizontal="center" vertical="center" wrapText="1"/>
    </xf>
    <xf numFmtId="0" fontId="156" fillId="3" borderId="1" xfId="0" applyFont="1" applyFill="1" applyBorder="1" applyAlignment="1">
      <alignment horizontal="center" vertical="center"/>
    </xf>
    <xf numFmtId="197" fontId="156" fillId="3" borderId="1" xfId="0" applyNumberFormat="1" applyFont="1" applyFill="1" applyBorder="1" applyAlignment="1">
      <alignment vertical="center"/>
    </xf>
    <xf numFmtId="197" fontId="156" fillId="3" borderId="1" xfId="0" applyNumberFormat="1" applyFont="1" applyFill="1" applyBorder="1" applyAlignment="1">
      <alignment horizontal="center" vertical="center"/>
    </xf>
    <xf numFmtId="197" fontId="139" fillId="3" borderId="1" xfId="0" applyNumberFormat="1" applyFont="1" applyFill="1" applyBorder="1" applyAlignment="1">
      <alignment horizontal="center" vertical="center" wrapText="1"/>
    </xf>
    <xf numFmtId="0" fontId="157" fillId="0" borderId="1" xfId="0" applyFont="1" applyFill="1" applyBorder="1" applyAlignment="1">
      <alignment horizontal="center" vertical="center"/>
    </xf>
    <xf numFmtId="14" fontId="157" fillId="0" borderId="1" xfId="0" applyNumberFormat="1" applyFont="1" applyFill="1" applyBorder="1" applyAlignment="1">
      <alignment horizontal="center" vertical="center"/>
    </xf>
    <xf numFmtId="187" fontId="115" fillId="0" borderId="1" xfId="0" applyNumberFormat="1" applyFont="1" applyFill="1" applyBorder="1" applyAlignment="1">
      <alignment horizontal="center" vertical="center"/>
    </xf>
    <xf numFmtId="197" fontId="157" fillId="0" borderId="1" xfId="0" applyNumberFormat="1" applyFont="1" applyFill="1" applyBorder="1" applyAlignment="1">
      <alignment horizontal="center" vertical="center"/>
    </xf>
    <xf numFmtId="182" fontId="115" fillId="0" borderId="0" xfId="0" applyNumberFormat="1" applyFont="1" applyFill="1" applyBorder="1" applyAlignment="1">
      <alignment vertical="center"/>
    </xf>
    <xf numFmtId="182" fontId="115" fillId="0" borderId="3" xfId="0" applyNumberFormat="1" applyFont="1" applyFill="1" applyBorder="1" applyAlignment="1">
      <alignment vertical="center"/>
    </xf>
    <xf numFmtId="182" fontId="115" fillId="0" borderId="2" xfId="0" applyNumberFormat="1" applyFont="1" applyFill="1" applyBorder="1" applyAlignment="1">
      <alignment vertical="center"/>
    </xf>
    <xf numFmtId="182" fontId="115" fillId="0" borderId="72" xfId="0" applyNumberFormat="1" applyFont="1" applyFill="1" applyBorder="1" applyAlignment="1">
      <alignment vertical="center"/>
    </xf>
    <xf numFmtId="0" fontId="31" fillId="3" borderId="1" xfId="0" applyFont="1" applyFill="1" applyBorder="1" applyAlignment="1">
      <alignment horizontal="center" vertical="center" wrapText="1"/>
    </xf>
    <xf numFmtId="0" fontId="76" fillId="3" borderId="1" xfId="0" applyFont="1" applyFill="1" applyBorder="1" applyAlignment="1">
      <alignment horizontal="center" vertical="center"/>
    </xf>
    <xf numFmtId="0" fontId="31" fillId="3" borderId="19" xfId="0" applyFont="1" applyFill="1" applyBorder="1" applyAlignment="1">
      <alignment horizontal="center" vertical="center" wrapText="1"/>
    </xf>
    <xf numFmtId="187" fontId="76" fillId="0" borderId="20" xfId="0" applyNumberFormat="1" applyFont="1" applyFill="1" applyBorder="1" applyAlignment="1">
      <alignment horizontal="center" vertical="center"/>
    </xf>
    <xf numFmtId="187" fontId="76" fillId="0" borderId="7" xfId="0" applyNumberFormat="1" applyFont="1" applyFill="1" applyBorder="1" applyAlignment="1">
      <alignment horizontal="center" vertical="center"/>
    </xf>
    <xf numFmtId="187" fontId="76" fillId="0" borderId="19" xfId="0" applyNumberFormat="1" applyFont="1" applyFill="1" applyBorder="1" applyAlignment="1">
      <alignment horizontal="center" vertical="center"/>
    </xf>
    <xf numFmtId="187" fontId="76" fillId="0" borderId="43" xfId="0" applyNumberFormat="1" applyFont="1" applyFill="1" applyBorder="1" applyAlignment="1">
      <alignment horizontal="center" vertical="center"/>
    </xf>
    <xf numFmtId="0" fontId="76" fillId="3" borderId="19" xfId="0" applyFont="1" applyFill="1" applyBorder="1" applyAlignment="1">
      <alignment horizontal="center" vertical="center"/>
    </xf>
    <xf numFmtId="187" fontId="76" fillId="21" borderId="1" xfId="0" applyNumberFormat="1" applyFont="1" applyFill="1" applyBorder="1" applyAlignment="1">
      <alignment horizontal="center" vertical="center"/>
    </xf>
    <xf numFmtId="0" fontId="76" fillId="3" borderId="52" xfId="0" applyFont="1" applyFill="1" applyBorder="1" applyAlignment="1">
      <alignment horizontal="center" vertical="center"/>
    </xf>
    <xf numFmtId="0" fontId="31" fillId="3" borderId="53" xfId="0" applyFont="1" applyFill="1" applyBorder="1" applyAlignment="1">
      <alignment horizontal="center" vertical="center" wrapText="1"/>
    </xf>
    <xf numFmtId="187" fontId="76" fillId="21" borderId="54" xfId="0" applyNumberFormat="1" applyFont="1" applyFill="1" applyBorder="1" applyAlignment="1">
      <alignment horizontal="center" vertical="center"/>
    </xf>
    <xf numFmtId="187" fontId="76" fillId="21" borderId="73" xfId="0" applyNumberFormat="1" applyFont="1" applyFill="1" applyBorder="1" applyAlignment="1">
      <alignment horizontal="center" vertical="center"/>
    </xf>
    <xf numFmtId="187" fontId="76" fillId="21" borderId="52" xfId="0" applyNumberFormat="1" applyFont="1" applyFill="1" applyBorder="1" applyAlignment="1">
      <alignment horizontal="center" vertical="center"/>
    </xf>
    <xf numFmtId="187" fontId="76" fillId="21" borderId="55" xfId="0" applyNumberFormat="1" applyFont="1" applyFill="1" applyBorder="1" applyAlignment="1">
      <alignment horizontal="center" vertical="center"/>
    </xf>
    <xf numFmtId="182" fontId="76" fillId="0" borderId="0" xfId="0" applyNumberFormat="1" applyFont="1" applyFill="1" applyAlignment="1">
      <alignment horizontal="center" vertical="center"/>
    </xf>
    <xf numFmtId="0" fontId="76" fillId="3" borderId="0" xfId="0" applyFont="1" applyFill="1" applyAlignment="1">
      <alignment vertical="center"/>
    </xf>
    <xf numFmtId="0" fontId="156" fillId="22" borderId="1" xfId="0" applyFont="1" applyFill="1" applyBorder="1" applyAlignment="1">
      <alignment horizontal="center" vertical="center" wrapText="1"/>
    </xf>
    <xf numFmtId="0" fontId="87" fillId="0" borderId="1" xfId="0" applyFont="1" applyFill="1" applyBorder="1" applyAlignment="1">
      <alignment vertical="center" wrapText="1"/>
    </xf>
    <xf numFmtId="0" fontId="76" fillId="0" borderId="0" xfId="0" applyFont="1" applyFill="1" applyBorder="1" applyAlignment="1">
      <alignment horizontal="center" vertical="center"/>
    </xf>
    <xf numFmtId="0" fontId="76" fillId="0" borderId="31" xfId="0" applyFont="1" applyFill="1" applyBorder="1" applyAlignment="1">
      <alignment horizontal="center" vertical="center"/>
    </xf>
    <xf numFmtId="0" fontId="31" fillId="0" borderId="38" xfId="0" applyFont="1" applyFill="1" applyBorder="1" applyAlignment="1">
      <alignment horizontal="center" vertical="center" wrapText="1"/>
    </xf>
    <xf numFmtId="0" fontId="87" fillId="0" borderId="38" xfId="0" applyFont="1" applyFill="1" applyBorder="1" applyAlignment="1">
      <alignment horizontal="center" vertical="center" wrapText="1"/>
    </xf>
    <xf numFmtId="0" fontId="76" fillId="0" borderId="33" xfId="0" applyFont="1" applyFill="1" applyBorder="1" applyAlignment="1">
      <alignment horizontal="center" vertical="center"/>
    </xf>
    <xf numFmtId="0" fontId="76" fillId="0" borderId="19" xfId="0" applyFont="1" applyFill="1" applyBorder="1" applyAlignment="1">
      <alignment horizontal="center" vertical="center"/>
    </xf>
    <xf numFmtId="0" fontId="76" fillId="0" borderId="1" xfId="0" applyFont="1" applyFill="1" applyBorder="1" applyAlignment="1">
      <alignment horizontal="center" vertical="center"/>
    </xf>
    <xf numFmtId="0" fontId="76" fillId="0" borderId="20" xfId="0" applyFont="1" applyFill="1" applyBorder="1" applyAlignment="1">
      <alignment horizontal="center" vertical="center"/>
    </xf>
    <xf numFmtId="0" fontId="76" fillId="0" borderId="52" xfId="0" applyFont="1" applyFill="1" applyBorder="1" applyAlignment="1">
      <alignment horizontal="center" vertical="center"/>
    </xf>
    <xf numFmtId="0" fontId="76" fillId="0" borderId="53" xfId="0" applyFont="1" applyFill="1" applyBorder="1" applyAlignment="1">
      <alignment horizontal="center" vertical="center"/>
    </xf>
    <xf numFmtId="0" fontId="76" fillId="0" borderId="54" xfId="0" applyFont="1" applyFill="1" applyBorder="1" applyAlignment="1">
      <alignment horizontal="center" vertical="center"/>
    </xf>
    <xf numFmtId="0" fontId="115" fillId="0" borderId="0" xfId="0" applyFont="1" applyFill="1" applyAlignment="1">
      <alignment vertical="center"/>
    </xf>
    <xf numFmtId="14" fontId="156" fillId="0" borderId="6" xfId="0" applyNumberFormat="1" applyFont="1" applyFill="1" applyBorder="1" applyAlignment="1">
      <alignment horizontal="center" vertical="center"/>
    </xf>
    <xf numFmtId="0" fontId="156" fillId="3" borderId="7" xfId="0" applyFont="1" applyFill="1" applyBorder="1" applyAlignment="1">
      <alignment horizontal="center" vertical="center"/>
    </xf>
    <xf numFmtId="0" fontId="76" fillId="3" borderId="0" xfId="0" applyFont="1" applyFill="1" applyAlignment="1">
      <alignment horizontal="center" vertical="center"/>
    </xf>
    <xf numFmtId="0" fontId="115" fillId="0" borderId="0" xfId="0" applyFont="1" applyFill="1" applyAlignment="1">
      <alignment horizontal="center" vertical="center"/>
    </xf>
    <xf numFmtId="0" fontId="3" fillId="0" borderId="0" xfId="0" applyFont="1" applyAlignment="1">
      <alignment horizontal="center" vertical="center"/>
    </xf>
    <xf numFmtId="0" fontId="84" fillId="0" borderId="0" xfId="0" applyFont="1" applyAlignment="1">
      <alignment horizontal="center" vertical="center"/>
    </xf>
    <xf numFmtId="0" fontId="123" fillId="23" borderId="35" xfId="0" applyFont="1" applyFill="1" applyBorder="1" applyAlignment="1">
      <alignment horizontal="center" vertical="center"/>
    </xf>
    <xf numFmtId="0" fontId="123" fillId="23" borderId="36" xfId="0" applyFont="1" applyFill="1" applyBorder="1" applyAlignment="1">
      <alignment horizontal="center" vertical="center"/>
    </xf>
    <xf numFmtId="0" fontId="123" fillId="23" borderId="37" xfId="0" applyFont="1" applyFill="1" applyBorder="1" applyAlignment="1">
      <alignment horizontal="center" vertical="center"/>
    </xf>
    <xf numFmtId="0" fontId="3" fillId="0" borderId="19" xfId="0" applyFont="1" applyBorder="1" applyAlignment="1">
      <alignment horizontal="center" vertical="center"/>
    </xf>
    <xf numFmtId="0" fontId="27" fillId="0" borderId="1" xfId="0" applyFont="1" applyBorder="1" applyAlignment="1">
      <alignment horizontal="center" vertical="center"/>
    </xf>
    <xf numFmtId="0" fontId="57" fillId="0" borderId="9" xfId="0" applyFont="1" applyFill="1" applyBorder="1" applyAlignment="1">
      <alignment horizontal="center" vertical="center" wrapText="1" shrinkToFit="1"/>
    </xf>
    <xf numFmtId="187" fontId="1" fillId="0" borderId="9" xfId="0" applyNumberFormat="1" applyFont="1" applyFill="1" applyBorder="1" applyAlignment="1">
      <alignment horizontal="center" vertical="center" wrapText="1" shrinkToFit="1"/>
    </xf>
    <xf numFmtId="0" fontId="3" fillId="0" borderId="1" xfId="0" applyFont="1" applyBorder="1" applyAlignment="1">
      <alignment horizontal="center" vertical="center"/>
    </xf>
    <xf numFmtId="0" fontId="27" fillId="0" borderId="20" xfId="0" applyFont="1" applyBorder="1" applyAlignment="1">
      <alignment horizontal="center" vertical="center"/>
    </xf>
    <xf numFmtId="0" fontId="3" fillId="0" borderId="19" xfId="0" applyFont="1" applyFill="1" applyBorder="1" applyAlignment="1">
      <alignment horizontal="center" vertical="center"/>
    </xf>
    <xf numFmtId="201" fontId="3" fillId="0" borderId="1" xfId="0" applyNumberFormat="1" applyFont="1" applyBorder="1" applyAlignment="1">
      <alignment horizontal="center" vertical="center"/>
    </xf>
    <xf numFmtId="193" fontId="3" fillId="0" borderId="20" xfId="0" applyNumberFormat="1" applyFont="1" applyBorder="1" applyAlignment="1">
      <alignment horizontal="center" vertical="center"/>
    </xf>
    <xf numFmtId="201" fontId="3" fillId="0" borderId="1" xfId="0" applyNumberFormat="1" applyFont="1" applyFill="1" applyBorder="1" applyAlignment="1">
      <alignment horizontal="center" vertical="center"/>
    </xf>
    <xf numFmtId="193" fontId="3" fillId="0" borderId="20" xfId="0" applyNumberFormat="1" applyFont="1" applyFill="1" applyBorder="1" applyAlignment="1">
      <alignment horizontal="center" vertical="center"/>
    </xf>
    <xf numFmtId="201" fontId="158" fillId="0" borderId="1" xfId="0" applyNumberFormat="1" applyFont="1" applyFill="1" applyBorder="1" applyAlignment="1">
      <alignment horizontal="center" vertical="center"/>
    </xf>
    <xf numFmtId="0" fontId="88" fillId="0" borderId="0" xfId="0" applyFont="1" applyFill="1" applyAlignment="1">
      <alignment horizontal="center" vertical="center"/>
    </xf>
    <xf numFmtId="0" fontId="158" fillId="0" borderId="0" xfId="0" applyFont="1" applyFill="1" applyAlignment="1">
      <alignment horizontal="center" vertical="center"/>
    </xf>
    <xf numFmtId="58" fontId="158" fillId="0" borderId="19" xfId="0" applyNumberFormat="1" applyFont="1" applyFill="1" applyBorder="1" applyAlignment="1">
      <alignment horizontal="center" vertical="center"/>
    </xf>
    <xf numFmtId="58" fontId="158" fillId="3" borderId="19" xfId="0" applyNumberFormat="1" applyFont="1" applyFill="1" applyBorder="1" applyAlignment="1">
      <alignment horizontal="center" vertical="center"/>
    </xf>
    <xf numFmtId="201" fontId="3" fillId="3" borderId="1" xfId="0" applyNumberFormat="1" applyFont="1" applyFill="1" applyBorder="1" applyAlignment="1">
      <alignment horizontal="center" vertical="center"/>
    </xf>
    <xf numFmtId="0" fontId="3" fillId="3" borderId="1" xfId="0" applyFont="1" applyFill="1" applyBorder="1" applyAlignment="1">
      <alignment horizontal="center" vertical="center"/>
    </xf>
    <xf numFmtId="193" fontId="3" fillId="3" borderId="20" xfId="0" applyNumberFormat="1" applyFont="1" applyFill="1" applyBorder="1" applyAlignment="1">
      <alignment horizontal="center" vertical="center"/>
    </xf>
    <xf numFmtId="0" fontId="3" fillId="23" borderId="19" xfId="0" applyFont="1" applyFill="1" applyBorder="1" applyAlignment="1">
      <alignment horizontal="center" vertical="center"/>
    </xf>
    <xf numFmtId="0" fontId="3" fillId="23" borderId="1" xfId="0" applyFont="1" applyFill="1" applyBorder="1" applyAlignment="1">
      <alignment horizontal="center" vertical="center"/>
    </xf>
    <xf numFmtId="0" fontId="3" fillId="23" borderId="20" xfId="0" applyFont="1" applyFill="1" applyBorder="1" applyAlignment="1">
      <alignment horizontal="center" vertical="center"/>
    </xf>
    <xf numFmtId="0" fontId="88" fillId="23" borderId="19" xfId="0" applyFont="1" applyFill="1" applyBorder="1" applyAlignment="1">
      <alignment horizontal="center" vertical="center"/>
    </xf>
    <xf numFmtId="182" fontId="88" fillId="23" borderId="1" xfId="0" applyNumberFormat="1" applyFont="1" applyFill="1" applyBorder="1" applyAlignment="1">
      <alignment horizontal="center" vertical="center"/>
    </xf>
    <xf numFmtId="0" fontId="88" fillId="23" borderId="1" xfId="0" applyFont="1" applyFill="1" applyBorder="1" applyAlignment="1">
      <alignment horizontal="center" vertical="center"/>
    </xf>
    <xf numFmtId="182" fontId="3" fillId="23" borderId="1" xfId="0" applyNumberFormat="1" applyFont="1" applyFill="1" applyBorder="1" applyAlignment="1">
      <alignment horizontal="center" vertical="center"/>
    </xf>
    <xf numFmtId="182" fontId="3" fillId="0" borderId="0" xfId="0" applyNumberFormat="1" applyFont="1" applyAlignment="1">
      <alignment horizontal="center" vertical="center"/>
    </xf>
    <xf numFmtId="182" fontId="28" fillId="0" borderId="0" xfId="0" applyNumberFormat="1" applyFont="1" applyAlignment="1">
      <alignment horizontal="center" vertical="center"/>
    </xf>
    <xf numFmtId="0" fontId="3" fillId="23" borderId="52" xfId="0" applyFont="1" applyFill="1" applyBorder="1" applyAlignment="1">
      <alignment horizontal="center" vertical="center"/>
    </xf>
    <xf numFmtId="0" fontId="3" fillId="23" borderId="53" xfId="0" applyFont="1" applyFill="1" applyBorder="1" applyAlignment="1">
      <alignment horizontal="center" vertical="center"/>
    </xf>
    <xf numFmtId="182" fontId="3" fillId="23" borderId="68" xfId="0" applyNumberFormat="1" applyFont="1" applyFill="1" applyBorder="1" applyAlignment="1">
      <alignment horizontal="center" vertical="center"/>
    </xf>
    <xf numFmtId="182" fontId="3" fillId="23" borderId="74" xfId="0" applyNumberFormat="1" applyFont="1" applyFill="1" applyBorder="1" applyAlignment="1">
      <alignment horizontal="center" vertical="center"/>
    </xf>
    <xf numFmtId="182" fontId="3" fillId="23" borderId="73" xfId="0" applyNumberFormat="1" applyFont="1" applyFill="1" applyBorder="1" applyAlignment="1">
      <alignment horizontal="center" vertical="center"/>
    </xf>
    <xf numFmtId="0" fontId="3" fillId="23" borderId="54" xfId="0" applyFont="1" applyFill="1" applyBorder="1" applyAlignment="1">
      <alignment horizontal="center" vertical="center"/>
    </xf>
    <xf numFmtId="0" fontId="159" fillId="0" borderId="6" xfId="0" applyFont="1" applyFill="1" applyBorder="1" applyAlignment="1">
      <alignment horizontal="center" vertical="center" wrapText="1"/>
    </xf>
    <xf numFmtId="0" fontId="3" fillId="3" borderId="0" xfId="0" applyFont="1" applyFill="1" applyAlignment="1">
      <alignment horizontal="center" vertical="center"/>
    </xf>
    <xf numFmtId="0" fontId="160" fillId="0" borderId="0" xfId="0" applyFont="1" applyFill="1" applyAlignment="1">
      <alignment horizontal="center" vertical="center"/>
    </xf>
    <xf numFmtId="0" fontId="84" fillId="0" borderId="0" xfId="0" applyFont="1" applyFill="1" applyAlignment="1">
      <alignment horizontal="center" vertical="center"/>
    </xf>
    <xf numFmtId="0" fontId="88" fillId="0" borderId="1" xfId="0" applyFont="1" applyFill="1" applyBorder="1" applyAlignment="1">
      <alignment horizontal="center" vertical="center"/>
    </xf>
    <xf numFmtId="14" fontId="3" fillId="0" borderId="19" xfId="0" applyNumberFormat="1" applyFont="1" applyFill="1" applyBorder="1" applyAlignment="1">
      <alignment horizontal="center" vertical="center"/>
    </xf>
    <xf numFmtId="14" fontId="88" fillId="3" borderId="19" xfId="0" applyNumberFormat="1" applyFont="1" applyFill="1" applyBorder="1" applyAlignment="1">
      <alignment horizontal="center" vertical="center"/>
    </xf>
    <xf numFmtId="201" fontId="88" fillId="3" borderId="1" xfId="0" applyNumberFormat="1" applyFont="1" applyFill="1" applyBorder="1" applyAlignment="1">
      <alignment horizontal="center" vertical="center"/>
    </xf>
    <xf numFmtId="0" fontId="88" fillId="3" borderId="1" xfId="0" applyFont="1" applyFill="1" applyBorder="1" applyAlignment="1">
      <alignment horizontal="center" vertical="center"/>
    </xf>
    <xf numFmtId="193" fontId="88" fillId="3" borderId="20" xfId="0" applyNumberFormat="1" applyFont="1" applyFill="1" applyBorder="1" applyAlignment="1">
      <alignment horizontal="center" vertical="center"/>
    </xf>
    <xf numFmtId="0" fontId="88" fillId="0" borderId="19" xfId="0" applyFont="1" applyFill="1" applyBorder="1" applyAlignment="1">
      <alignment horizontal="center" vertical="center"/>
    </xf>
    <xf numFmtId="0" fontId="88" fillId="0" borderId="7" xfId="0" applyFont="1" applyFill="1" applyBorder="1" applyAlignment="1">
      <alignment horizontal="center" vertical="center"/>
    </xf>
    <xf numFmtId="182" fontId="88" fillId="0" borderId="1" xfId="0" applyNumberFormat="1" applyFont="1" applyFill="1" applyBorder="1" applyAlignment="1">
      <alignment horizontal="center" vertical="center"/>
    </xf>
    <xf numFmtId="0" fontId="88" fillId="0" borderId="20" xfId="0" applyFont="1" applyFill="1" applyBorder="1" applyAlignment="1">
      <alignment horizontal="center" vertical="center"/>
    </xf>
    <xf numFmtId="0" fontId="88" fillId="3" borderId="0" xfId="0" applyFont="1" applyFill="1" applyAlignment="1">
      <alignment horizontal="center" vertical="center"/>
    </xf>
    <xf numFmtId="187" fontId="3" fillId="23" borderId="1" xfId="0" applyNumberFormat="1" applyFont="1" applyFill="1" applyBorder="1" applyAlignment="1">
      <alignment horizontal="center" vertical="center"/>
    </xf>
    <xf numFmtId="0" fontId="158" fillId="3" borderId="31" xfId="0" applyFont="1" applyFill="1" applyBorder="1" applyAlignment="1">
      <alignment horizontal="center" vertical="center"/>
    </xf>
    <xf numFmtId="0" fontId="88" fillId="3" borderId="33" xfId="0" applyFont="1" applyFill="1" applyBorder="1" applyAlignment="1">
      <alignment horizontal="center" vertical="center"/>
    </xf>
    <xf numFmtId="0" fontId="3" fillId="23" borderId="6" xfId="0" applyFont="1" applyFill="1" applyBorder="1" applyAlignment="1">
      <alignment horizontal="center" vertical="center"/>
    </xf>
    <xf numFmtId="0" fontId="158" fillId="3" borderId="19" xfId="0" applyFont="1" applyFill="1" applyBorder="1" applyAlignment="1">
      <alignment horizontal="center" vertical="center"/>
    </xf>
    <xf numFmtId="182" fontId="88" fillId="3" borderId="20" xfId="0" applyNumberFormat="1" applyFont="1" applyFill="1" applyBorder="1" applyAlignment="1">
      <alignment horizontal="center" vertical="center"/>
    </xf>
    <xf numFmtId="0" fontId="158" fillId="3" borderId="52" xfId="0" applyFont="1" applyFill="1" applyBorder="1" applyAlignment="1">
      <alignment horizontal="center" vertical="center"/>
    </xf>
    <xf numFmtId="182" fontId="88" fillId="3" borderId="54" xfId="0" applyNumberFormat="1" applyFont="1" applyFill="1" applyBorder="1" applyAlignment="1">
      <alignment horizontal="center" vertical="center"/>
    </xf>
    <xf numFmtId="0" fontId="3" fillId="23" borderId="7" xfId="0" applyFont="1" applyFill="1" applyBorder="1" applyAlignment="1">
      <alignment horizontal="center" vertical="center"/>
    </xf>
    <xf numFmtId="0" fontId="3" fillId="23" borderId="68" xfId="0" applyFont="1" applyFill="1" applyBorder="1" applyAlignment="1">
      <alignment horizontal="center" vertical="center"/>
    </xf>
    <xf numFmtId="182" fontId="161" fillId="23" borderId="68" xfId="0" applyNumberFormat="1" applyFont="1" applyFill="1" applyBorder="1" applyAlignment="1">
      <alignment horizontal="center" vertical="center"/>
    </xf>
    <xf numFmtId="182" fontId="161" fillId="23" borderId="74" xfId="0" applyNumberFormat="1" applyFont="1" applyFill="1" applyBorder="1" applyAlignment="1">
      <alignment horizontal="center" vertical="center"/>
    </xf>
    <xf numFmtId="182" fontId="161" fillId="23" borderId="73" xfId="0" applyNumberFormat="1" applyFont="1" applyFill="1" applyBorder="1" applyAlignment="1">
      <alignment horizontal="center" vertical="center"/>
    </xf>
    <xf numFmtId="0" fontId="3" fillId="0" borderId="2" xfId="0" applyFont="1" applyBorder="1" applyAlignment="1">
      <alignment horizontal="center" vertical="center"/>
    </xf>
    <xf numFmtId="0" fontId="88" fillId="3" borderId="32" xfId="0" applyFont="1" applyFill="1" applyBorder="1" applyAlignment="1">
      <alignment horizontal="center" vertical="center"/>
    </xf>
    <xf numFmtId="0" fontId="158" fillId="3" borderId="62" xfId="0" applyFont="1" applyFill="1" applyBorder="1" applyAlignment="1">
      <alignment horizontal="center" vertical="center"/>
    </xf>
    <xf numFmtId="0" fontId="88" fillId="3" borderId="73" xfId="0" applyFont="1" applyFill="1" applyBorder="1" applyAlignment="1">
      <alignment horizontal="center" vertical="center"/>
    </xf>
    <xf numFmtId="182" fontId="88" fillId="3" borderId="68" xfId="0" applyNumberFormat="1" applyFont="1" applyFill="1" applyBorder="1" applyAlignment="1">
      <alignment horizontal="center" vertical="center"/>
    </xf>
    <xf numFmtId="0" fontId="88" fillId="0" borderId="0" xfId="0" applyFont="1" applyAlignment="1">
      <alignment horizontal="center" vertical="center"/>
    </xf>
    <xf numFmtId="0" fontId="158" fillId="0" borderId="0" xfId="0" applyFont="1" applyAlignment="1">
      <alignment horizontal="center" vertical="center"/>
    </xf>
    <xf numFmtId="182" fontId="3" fillId="0" borderId="1" xfId="0" applyNumberFormat="1" applyFont="1" applyFill="1" applyBorder="1" applyAlignment="1">
      <alignment horizontal="center" vertical="center"/>
    </xf>
    <xf numFmtId="193" fontId="84" fillId="0" borderId="20" xfId="0" applyNumberFormat="1" applyFont="1" applyFill="1" applyBorder="1" applyAlignment="1">
      <alignment horizontal="center" vertical="center"/>
    </xf>
    <xf numFmtId="0" fontId="158" fillId="3" borderId="32" xfId="0" applyFont="1" applyFill="1" applyBorder="1" applyAlignment="1">
      <alignment horizontal="center" vertical="center"/>
    </xf>
    <xf numFmtId="182" fontId="88" fillId="3" borderId="62" xfId="0" applyNumberFormat="1" applyFont="1" applyFill="1" applyBorder="1" applyAlignment="1">
      <alignment horizontal="center" vertical="center"/>
    </xf>
    <xf numFmtId="0" fontId="158" fillId="3" borderId="7" xfId="0" applyFont="1" applyFill="1" applyBorder="1" applyAlignment="1">
      <alignment horizontal="center" vertical="center"/>
    </xf>
    <xf numFmtId="182" fontId="88" fillId="3" borderId="6" xfId="0" applyNumberFormat="1" applyFont="1" applyFill="1" applyBorder="1" applyAlignment="1">
      <alignment horizontal="center" vertical="center"/>
    </xf>
    <xf numFmtId="0" fontId="158" fillId="3" borderId="73" xfId="0" applyFont="1" applyFill="1" applyBorder="1" applyAlignment="1">
      <alignment horizontal="center" vertical="center"/>
    </xf>
    <xf numFmtId="0" fontId="158" fillId="0" borderId="0" xfId="0" applyFont="1" applyAlignment="1">
      <alignment horizontal="center" vertical="center" wrapText="1"/>
    </xf>
    <xf numFmtId="0" fontId="84" fillId="0" borderId="0" xfId="0" applyFont="1" applyAlignment="1">
      <alignment horizontal="center" vertical="center" wrapText="1"/>
    </xf>
    <xf numFmtId="187" fontId="3" fillId="0" borderId="0" xfId="0" applyNumberFormat="1" applyFont="1" applyAlignment="1">
      <alignment horizontal="center" vertical="center"/>
    </xf>
    <xf numFmtId="0" fontId="88" fillId="3" borderId="31" xfId="0" applyFont="1" applyFill="1" applyBorder="1" applyAlignment="1">
      <alignment horizontal="center" vertical="center"/>
    </xf>
    <xf numFmtId="0" fontId="158" fillId="3" borderId="33" xfId="0" applyFont="1" applyFill="1" applyBorder="1" applyAlignment="1">
      <alignment horizontal="center" vertical="center"/>
    </xf>
    <xf numFmtId="0" fontId="27" fillId="0" borderId="6" xfId="0" applyFont="1" applyBorder="1" applyAlignment="1">
      <alignment horizontal="center" vertical="center"/>
    </xf>
    <xf numFmtId="0" fontId="88" fillId="3" borderId="52" xfId="0" applyFont="1" applyFill="1" applyBorder="1" applyAlignment="1">
      <alignment horizontal="center" vertical="center"/>
    </xf>
    <xf numFmtId="0" fontId="88" fillId="3" borderId="54" xfId="0" applyFont="1" applyFill="1" applyBorder="1" applyAlignment="1">
      <alignment horizontal="center" vertical="center"/>
    </xf>
    <xf numFmtId="0" fontId="84" fillId="0" borderId="19" xfId="0" applyFont="1" applyBorder="1" applyAlignment="1">
      <alignment horizontal="center" vertical="center"/>
    </xf>
    <xf numFmtId="0" fontId="162" fillId="0" borderId="6" xfId="0" applyFont="1" applyFill="1" applyBorder="1" applyAlignment="1">
      <alignment horizontal="center" vertical="center" wrapText="1"/>
    </xf>
    <xf numFmtId="0" fontId="3" fillId="3" borderId="19" xfId="0" applyFont="1" applyFill="1" applyBorder="1" applyAlignment="1">
      <alignment horizontal="center" vertical="center"/>
    </xf>
    <xf numFmtId="0" fontId="163" fillId="3" borderId="1" xfId="0" applyFont="1" applyFill="1" applyBorder="1" applyAlignment="1">
      <alignment horizontal="center" vertical="center"/>
    </xf>
    <xf numFmtId="187" fontId="88" fillId="23" borderId="1" xfId="0" applyNumberFormat="1" applyFont="1" applyFill="1" applyBorder="1" applyAlignment="1">
      <alignment horizontal="center" vertical="center"/>
    </xf>
    <xf numFmtId="201" fontId="3" fillId="0" borderId="7" xfId="0" applyNumberFormat="1" applyFont="1" applyFill="1" applyBorder="1" applyAlignment="1">
      <alignment horizontal="center" vertical="center"/>
    </xf>
    <xf numFmtId="0" fontId="84" fillId="3" borderId="1" xfId="0" applyFont="1" applyFill="1" applyBorder="1" applyAlignment="1">
      <alignment horizontal="center" vertical="center"/>
    </xf>
    <xf numFmtId="187" fontId="3" fillId="3" borderId="1" xfId="0" applyNumberFormat="1" applyFont="1" applyFill="1" applyBorder="1" applyAlignment="1">
      <alignment horizontal="center" vertical="center"/>
    </xf>
    <xf numFmtId="182" fontId="88" fillId="23" borderId="68" xfId="0" applyNumberFormat="1" applyFont="1" applyFill="1" applyBorder="1" applyAlignment="1">
      <alignment horizontal="center" vertical="center"/>
    </xf>
    <xf numFmtId="182" fontId="88" fillId="23" borderId="74" xfId="0" applyNumberFormat="1" applyFont="1" applyFill="1" applyBorder="1" applyAlignment="1">
      <alignment horizontal="center" vertical="center"/>
    </xf>
    <xf numFmtId="182" fontId="88" fillId="23" borderId="73" xfId="0" applyNumberFormat="1" applyFont="1" applyFill="1" applyBorder="1" applyAlignment="1">
      <alignment horizontal="center" vertical="center"/>
    </xf>
    <xf numFmtId="201" fontId="3" fillId="3" borderId="7" xfId="0" applyNumberFormat="1" applyFont="1" applyFill="1" applyBorder="1" applyAlignment="1">
      <alignment horizontal="center" vertical="center"/>
    </xf>
    <xf numFmtId="0" fontId="84" fillId="23" borderId="1" xfId="0" applyFont="1" applyFill="1" applyBorder="1" applyAlignment="1">
      <alignment horizontal="center" vertical="center"/>
    </xf>
    <xf numFmtId="0" fontId="88" fillId="23" borderId="1" xfId="0" applyNumberFormat="1" applyFont="1" applyFill="1" applyBorder="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center" vertical="center" wrapText="1"/>
    </xf>
    <xf numFmtId="0" fontId="123" fillId="23" borderId="31" xfId="0" applyFont="1" applyFill="1" applyBorder="1" applyAlignment="1">
      <alignment horizontal="center" vertical="center"/>
    </xf>
    <xf numFmtId="0" fontId="123" fillId="23" borderId="38" xfId="0" applyFont="1" applyFill="1" applyBorder="1" applyAlignment="1">
      <alignment horizontal="center" vertical="center"/>
    </xf>
    <xf numFmtId="0" fontId="123" fillId="23" borderId="33" xfId="0" applyFont="1" applyFill="1" applyBorder="1" applyAlignment="1">
      <alignment horizontal="center" vertical="center"/>
    </xf>
    <xf numFmtId="0" fontId="88" fillId="3" borderId="7" xfId="0" applyFont="1" applyFill="1" applyBorder="1" applyAlignment="1">
      <alignment horizontal="center" vertical="center"/>
    </xf>
    <xf numFmtId="0" fontId="158" fillId="3" borderId="1" xfId="0" applyFont="1" applyFill="1" applyBorder="1" applyAlignment="1">
      <alignment horizontal="center" vertical="center"/>
    </xf>
    <xf numFmtId="0" fontId="88" fillId="0" borderId="1" xfId="0" applyFont="1" applyBorder="1" applyAlignment="1">
      <alignment horizontal="center" vertical="center"/>
    </xf>
    <xf numFmtId="0" fontId="159" fillId="0" borderId="1" xfId="0" applyFont="1" applyFill="1" applyBorder="1" applyAlignment="1">
      <alignment horizontal="center" vertical="center" wrapText="1"/>
    </xf>
    <xf numFmtId="0" fontId="84" fillId="0" borderId="1" xfId="0" applyFont="1" applyBorder="1" applyAlignment="1">
      <alignment horizontal="center" vertical="center"/>
    </xf>
    <xf numFmtId="0" fontId="162" fillId="0" borderId="1" xfId="0" applyFont="1" applyFill="1" applyBorder="1" applyAlignment="1">
      <alignment horizontal="center" vertical="center" wrapText="1"/>
    </xf>
    <xf numFmtId="0" fontId="144" fillId="0" borderId="1" xfId="0" applyFont="1" applyBorder="1" applyAlignment="1">
      <alignment horizontal="center" vertical="center"/>
    </xf>
    <xf numFmtId="0" fontId="29" fillId="0" borderId="0" xfId="0" applyFont="1" applyFill="1" applyAlignment="1">
      <alignment horizontal="center" vertical="center"/>
    </xf>
    <xf numFmtId="0" fontId="29" fillId="0" borderId="0" xfId="0" applyFont="1" applyAlignment="1">
      <alignment horizontal="center" vertical="center"/>
    </xf>
    <xf numFmtId="201" fontId="161" fillId="0" borderId="1" xfId="0" applyNumberFormat="1" applyFont="1" applyFill="1" applyBorder="1" applyAlignment="1">
      <alignment horizontal="center" vertical="center"/>
    </xf>
    <xf numFmtId="1" fontId="3" fillId="0" borderId="1" xfId="0" applyNumberFormat="1" applyFont="1" applyFill="1" applyBorder="1" applyAlignment="1">
      <alignment horizontal="center" vertical="center"/>
    </xf>
    <xf numFmtId="182" fontId="161" fillId="23" borderId="1" xfId="0" applyNumberFormat="1" applyFont="1" applyFill="1" applyBorder="1" applyAlignment="1">
      <alignment horizontal="center" vertical="center"/>
    </xf>
    <xf numFmtId="182" fontId="88" fillId="23" borderId="53" xfId="0" applyNumberFormat="1" applyFont="1" applyFill="1" applyBorder="1" applyAlignment="1">
      <alignment horizontal="center" vertical="center"/>
    </xf>
    <xf numFmtId="182" fontId="88" fillId="23" borderId="54" xfId="0" applyNumberFormat="1" applyFont="1" applyFill="1" applyBorder="1" applyAlignment="1">
      <alignment horizontal="center" vertical="center"/>
    </xf>
    <xf numFmtId="3" fontId="164" fillId="0" borderId="1" xfId="0" applyNumberFormat="1" applyFont="1" applyFill="1" applyBorder="1" applyAlignment="1">
      <alignment horizontal="right" vertical="center"/>
    </xf>
    <xf numFmtId="14" fontId="165" fillId="0" borderId="1" xfId="0" applyNumberFormat="1" applyFont="1" applyFill="1" applyBorder="1" applyAlignment="1">
      <alignment horizontal="left" vertical="center"/>
    </xf>
    <xf numFmtId="14" fontId="165" fillId="3" borderId="0" xfId="0" applyNumberFormat="1" applyFont="1" applyFill="1" applyAlignment="1">
      <alignment horizontal="left" vertical="center"/>
    </xf>
    <xf numFmtId="0" fontId="166" fillId="0" borderId="0" xfId="0" applyFont="1" applyFill="1" applyAlignment="1">
      <alignment vertical="center"/>
    </xf>
    <xf numFmtId="3" fontId="166" fillId="0" borderId="1" xfId="0" applyNumberFormat="1" applyFont="1" applyFill="1" applyBorder="1" applyAlignment="1">
      <alignment horizontal="right" vertical="center"/>
    </xf>
    <xf numFmtId="3" fontId="164" fillId="24" borderId="1" xfId="0" applyNumberFormat="1" applyFont="1" applyFill="1" applyBorder="1" applyAlignment="1">
      <alignment horizontal="right" vertical="center"/>
    </xf>
    <xf numFmtId="0" fontId="165" fillId="0" borderId="1" xfId="0" applyFont="1" applyFill="1" applyBorder="1" applyAlignment="1">
      <alignment horizontal="left" vertical="center"/>
    </xf>
    <xf numFmtId="0" fontId="166" fillId="0" borderId="75" xfId="0" applyFont="1" applyFill="1" applyBorder="1" applyAlignment="1">
      <alignment vertical="center"/>
    </xf>
    <xf numFmtId="0" fontId="167" fillId="25" borderId="76" xfId="0" applyFont="1" applyFill="1" applyBorder="1" applyAlignment="1">
      <alignment horizontal="center" vertical="top" wrapText="1"/>
    </xf>
    <xf numFmtId="0" fontId="167" fillId="25" borderId="77" xfId="0" applyFont="1" applyFill="1" applyBorder="1" applyAlignment="1">
      <alignment horizontal="center" vertical="top" wrapText="1"/>
    </xf>
    <xf numFmtId="0" fontId="167" fillId="25" borderId="78" xfId="0" applyFont="1" applyFill="1" applyBorder="1" applyAlignment="1">
      <alignment vertical="top" wrapText="1"/>
    </xf>
    <xf numFmtId="0" fontId="168" fillId="25" borderId="78" xfId="0" applyFont="1" applyFill="1" applyBorder="1" applyAlignment="1">
      <alignment vertical="top" wrapText="1"/>
    </xf>
    <xf numFmtId="0" fontId="167" fillId="25" borderId="77" xfId="0" applyFont="1" applyFill="1" applyBorder="1" applyAlignment="1">
      <alignment horizontal="left" vertical="top"/>
    </xf>
    <xf numFmtId="0" fontId="167" fillId="25" borderId="79" xfId="0" applyFont="1" applyFill="1" applyBorder="1" applyAlignment="1">
      <alignment vertical="top" wrapText="1"/>
    </xf>
    <xf numFmtId="0" fontId="169" fillId="26" borderId="35" xfId="0" applyFont="1" applyFill="1" applyBorder="1" applyAlignment="1">
      <alignment horizontal="left" vertical="center" wrapText="1"/>
    </xf>
    <xf numFmtId="0" fontId="125" fillId="26" borderId="76" xfId="0" applyFont="1" applyFill="1" applyBorder="1" applyAlignment="1">
      <alignment horizontal="center" vertical="center" wrapText="1"/>
    </xf>
    <xf numFmtId="0" fontId="170" fillId="0" borderId="38" xfId="0" applyFont="1" applyFill="1" applyBorder="1" applyAlignment="1">
      <alignment vertical="center" wrapText="1"/>
    </xf>
    <xf numFmtId="0" fontId="31" fillId="0" borderId="38" xfId="0" applyFont="1" applyFill="1" applyBorder="1" applyAlignment="1">
      <alignment vertical="center" wrapText="1"/>
    </xf>
    <xf numFmtId="202" fontId="170" fillId="0" borderId="38" xfId="0" applyNumberFormat="1" applyFont="1" applyFill="1" applyBorder="1" applyAlignment="1">
      <alignment horizontal="left" vertical="center"/>
    </xf>
    <xf numFmtId="197" fontId="170" fillId="0" borderId="38" xfId="0" applyNumberFormat="1" applyFont="1" applyFill="1" applyBorder="1" applyAlignment="1">
      <alignment vertical="center"/>
    </xf>
    <xf numFmtId="203" fontId="170" fillId="0" borderId="38" xfId="0" applyNumberFormat="1" applyFont="1" applyFill="1" applyBorder="1" applyAlignment="1">
      <alignment vertical="center"/>
    </xf>
    <xf numFmtId="197" fontId="169" fillId="27" borderId="38" xfId="0" applyNumberFormat="1" applyFont="1" applyFill="1" applyBorder="1" applyAlignment="1">
      <alignment horizontal="right" vertical="center"/>
    </xf>
    <xf numFmtId="197" fontId="169" fillId="27" borderId="38" xfId="0" applyNumberFormat="1" applyFont="1" applyFill="1" applyBorder="1" applyAlignment="1">
      <alignment vertical="center"/>
    </xf>
    <xf numFmtId="200" fontId="170" fillId="0" borderId="38" xfId="0" applyNumberFormat="1" applyFont="1" applyFill="1" applyBorder="1" applyAlignment="1">
      <alignment vertical="center"/>
    </xf>
    <xf numFmtId="200" fontId="169" fillId="28" borderId="38" xfId="0" applyNumberFormat="1" applyFont="1" applyFill="1" applyBorder="1" applyAlignment="1">
      <alignment vertical="center"/>
    </xf>
    <xf numFmtId="202" fontId="170" fillId="0" borderId="38" xfId="0" applyNumberFormat="1" applyFont="1" applyFill="1" applyBorder="1" applyAlignment="1">
      <alignment horizontal="right" vertical="center" wrapText="1"/>
    </xf>
    <xf numFmtId="204" fontId="170" fillId="0" borderId="38" xfId="0" applyNumberFormat="1" applyFont="1" applyFill="1" applyBorder="1" applyAlignment="1">
      <alignment vertical="center" wrapText="1"/>
    </xf>
    <xf numFmtId="14" fontId="170" fillId="0" borderId="33" xfId="0" applyNumberFormat="1" applyFont="1" applyFill="1" applyBorder="1" applyAlignment="1">
      <alignment vertical="center"/>
    </xf>
    <xf numFmtId="0" fontId="169" fillId="26" borderId="45" xfId="0" applyFont="1" applyFill="1" applyBorder="1" applyAlignment="1">
      <alignment horizontal="left" vertical="center" wrapText="1"/>
    </xf>
    <xf numFmtId="0" fontId="169" fillId="26" borderId="80" xfId="0" applyFont="1" applyFill="1" applyBorder="1" applyAlignment="1">
      <alignment horizontal="center" vertical="center" wrapText="1"/>
    </xf>
    <xf numFmtId="0" fontId="170" fillId="0" borderId="1" xfId="0" applyFont="1" applyFill="1" applyBorder="1" applyAlignment="1">
      <alignment vertical="center" wrapText="1"/>
    </xf>
    <xf numFmtId="202" fontId="170" fillId="0" borderId="1" xfId="0" applyNumberFormat="1" applyFont="1" applyFill="1" applyBorder="1" applyAlignment="1">
      <alignment horizontal="left" vertical="center"/>
    </xf>
    <xf numFmtId="197" fontId="170" fillId="0" borderId="1" xfId="0" applyNumberFormat="1" applyFont="1" applyFill="1" applyBorder="1" applyAlignment="1">
      <alignment vertical="center"/>
    </xf>
    <xf numFmtId="203" fontId="170" fillId="0" borderId="1" xfId="0" applyNumberFormat="1" applyFont="1" applyFill="1" applyBorder="1" applyAlignment="1">
      <alignment vertical="center"/>
    </xf>
    <xf numFmtId="197" fontId="169" fillId="27" borderId="1" xfId="0" applyNumberFormat="1" applyFont="1" applyFill="1" applyBorder="1" applyAlignment="1">
      <alignment horizontal="right" vertical="center"/>
    </xf>
    <xf numFmtId="197" fontId="169" fillId="27" borderId="1" xfId="0" applyNumberFormat="1" applyFont="1" applyFill="1" applyBorder="1" applyAlignment="1">
      <alignment vertical="center"/>
    </xf>
    <xf numFmtId="200" fontId="170" fillId="0" borderId="1" xfId="0" applyNumberFormat="1" applyFont="1" applyFill="1" applyBorder="1" applyAlignment="1">
      <alignment vertical="center"/>
    </xf>
    <xf numFmtId="202" fontId="170" fillId="0" borderId="1" xfId="0" applyNumberFormat="1" applyFont="1" applyFill="1" applyBorder="1" applyAlignment="1">
      <alignment horizontal="right" vertical="center" wrapText="1"/>
    </xf>
    <xf numFmtId="204" fontId="170" fillId="0" borderId="1" xfId="0" applyNumberFormat="1" applyFont="1" applyFill="1" applyBorder="1" applyAlignment="1">
      <alignment vertical="center" wrapText="1"/>
    </xf>
    <xf numFmtId="14" fontId="170" fillId="0" borderId="20" xfId="0" applyNumberFormat="1" applyFont="1" applyFill="1" applyBorder="1" applyAlignment="1">
      <alignment vertical="center"/>
    </xf>
    <xf numFmtId="202" fontId="31" fillId="0" borderId="1" xfId="0" applyNumberFormat="1" applyFont="1" applyFill="1" applyBorder="1" applyAlignment="1">
      <alignment horizontal="left" vertical="center"/>
    </xf>
    <xf numFmtId="197" fontId="171" fillId="27" borderId="1" xfId="0" applyNumberFormat="1" applyFont="1" applyFill="1" applyBorder="1" applyAlignment="1">
      <alignment vertical="center"/>
    </xf>
    <xf numFmtId="0" fontId="170" fillId="3" borderId="1" xfId="0" applyFont="1" applyFill="1" applyBorder="1" applyAlignment="1">
      <alignment vertical="center" wrapText="1"/>
    </xf>
    <xf numFmtId="0" fontId="31" fillId="3" borderId="1" xfId="0" applyFont="1" applyFill="1" applyBorder="1" applyAlignment="1">
      <alignment vertical="center" wrapText="1"/>
    </xf>
    <xf numFmtId="202" fontId="170" fillId="3" borderId="1" xfId="0" applyNumberFormat="1" applyFont="1" applyFill="1" applyBorder="1" applyAlignment="1">
      <alignment horizontal="left" vertical="center"/>
    </xf>
    <xf numFmtId="197" fontId="170" fillId="3" borderId="1" xfId="0" applyNumberFormat="1" applyFont="1" applyFill="1" applyBorder="1" applyAlignment="1">
      <alignment vertical="center"/>
    </xf>
    <xf numFmtId="203" fontId="170" fillId="3" borderId="1" xfId="0" applyNumberFormat="1" applyFont="1" applyFill="1" applyBorder="1" applyAlignment="1">
      <alignment vertical="center"/>
    </xf>
    <xf numFmtId="14" fontId="31" fillId="0" borderId="20" xfId="0" applyNumberFormat="1" applyFont="1" applyFill="1" applyBorder="1" applyAlignment="1">
      <alignment vertical="center"/>
    </xf>
    <xf numFmtId="0" fontId="169" fillId="26" borderId="17" xfId="0" applyFont="1" applyFill="1" applyBorder="1" applyAlignment="1">
      <alignment horizontal="center" vertical="center" wrapText="1"/>
    </xf>
    <xf numFmtId="204" fontId="172" fillId="0" borderId="1" xfId="0" applyNumberFormat="1" applyFont="1" applyFill="1" applyBorder="1" applyAlignment="1">
      <alignment vertical="center"/>
    </xf>
    <xf numFmtId="0" fontId="125" fillId="26" borderId="11" xfId="0" applyFont="1" applyFill="1" applyBorder="1" applyAlignment="1">
      <alignment horizontal="center" vertical="center" wrapText="1"/>
    </xf>
    <xf numFmtId="0" fontId="169" fillId="26" borderId="81" xfId="0" applyFont="1" applyFill="1" applyBorder="1" applyAlignment="1">
      <alignment horizontal="center" vertical="center" wrapText="1"/>
    </xf>
    <xf numFmtId="0" fontId="31" fillId="0" borderId="53" xfId="0" applyFont="1" applyFill="1" applyBorder="1" applyAlignment="1">
      <alignment vertical="center" wrapText="1"/>
    </xf>
    <xf numFmtId="0" fontId="170" fillId="0" borderId="53" xfId="0" applyFont="1" applyFill="1" applyBorder="1" applyAlignment="1">
      <alignment vertical="center" wrapText="1"/>
    </xf>
    <xf numFmtId="202" fontId="170" fillId="0" borderId="53" xfId="0" applyNumberFormat="1" applyFont="1" applyFill="1" applyBorder="1" applyAlignment="1">
      <alignment horizontal="left" vertical="center"/>
    </xf>
    <xf numFmtId="197" fontId="170" fillId="0" borderId="53" xfId="0" applyNumberFormat="1" applyFont="1" applyFill="1" applyBorder="1" applyAlignment="1">
      <alignment vertical="center"/>
    </xf>
    <xf numFmtId="203" fontId="170" fillId="0" borderId="53" xfId="0" applyNumberFormat="1" applyFont="1" applyFill="1" applyBorder="1" applyAlignment="1">
      <alignment vertical="center"/>
    </xf>
    <xf numFmtId="197" fontId="169" fillId="27" borderId="53" xfId="0" applyNumberFormat="1" applyFont="1" applyFill="1" applyBorder="1" applyAlignment="1">
      <alignment horizontal="right" vertical="center"/>
    </xf>
    <xf numFmtId="197" fontId="169" fillId="27" borderId="9" xfId="0" applyNumberFormat="1" applyFont="1" applyFill="1" applyBorder="1" applyAlignment="1">
      <alignment horizontal="right" vertical="center"/>
    </xf>
    <xf numFmtId="197" fontId="169" fillId="27" borderId="9" xfId="0" applyNumberFormat="1" applyFont="1" applyFill="1" applyBorder="1" applyAlignment="1">
      <alignment vertical="center"/>
    </xf>
    <xf numFmtId="200" fontId="170" fillId="0" borderId="53" xfId="0" applyNumberFormat="1" applyFont="1" applyFill="1" applyBorder="1" applyAlignment="1">
      <alignment vertical="center"/>
    </xf>
    <xf numFmtId="202" fontId="170" fillId="0" borderId="53" xfId="0" applyNumberFormat="1" applyFont="1" applyFill="1" applyBorder="1" applyAlignment="1">
      <alignment horizontal="right" vertical="center" wrapText="1"/>
    </xf>
    <xf numFmtId="204" fontId="172" fillId="0" borderId="53" xfId="0" applyNumberFormat="1" applyFont="1" applyFill="1" applyBorder="1" applyAlignment="1">
      <alignment vertical="center"/>
    </xf>
    <xf numFmtId="14" fontId="170" fillId="0" borderId="54" xfId="0" applyNumberFormat="1" applyFont="1" applyFill="1" applyBorder="1" applyAlignment="1">
      <alignment vertical="center"/>
    </xf>
    <xf numFmtId="202" fontId="31" fillId="0" borderId="38" xfId="0" applyNumberFormat="1" applyFont="1" applyFill="1" applyBorder="1" applyAlignment="1">
      <alignment horizontal="left" vertical="center"/>
    </xf>
    <xf numFmtId="204" fontId="172" fillId="0" borderId="38" xfId="0" applyNumberFormat="1" applyFont="1" applyFill="1" applyBorder="1" applyAlignment="1">
      <alignment vertical="center"/>
    </xf>
    <xf numFmtId="197" fontId="169" fillId="27" borderId="53" xfId="0" applyNumberFormat="1" applyFont="1" applyFill="1" applyBorder="1" applyAlignment="1">
      <alignment vertical="center"/>
    </xf>
    <xf numFmtId="204" fontId="170" fillId="0" borderId="53" xfId="0" applyNumberFormat="1" applyFont="1" applyFill="1" applyBorder="1" applyAlignment="1">
      <alignment vertical="center" wrapText="1"/>
    </xf>
    <xf numFmtId="204" fontId="170" fillId="0" borderId="38" xfId="0" applyNumberFormat="1" applyFont="1" applyFill="1" applyBorder="1" applyAlignment="1">
      <alignment vertical="center" shrinkToFit="1"/>
    </xf>
    <xf numFmtId="204" fontId="170" fillId="0" borderId="1" xfId="0" applyNumberFormat="1" applyFont="1" applyFill="1" applyBorder="1" applyAlignment="1">
      <alignment vertical="center"/>
    </xf>
    <xf numFmtId="0" fontId="169" fillId="26" borderId="82" xfId="0" applyFont="1" applyFill="1" applyBorder="1" applyAlignment="1">
      <alignment horizontal="left" vertical="center" wrapText="1"/>
    </xf>
    <xf numFmtId="0" fontId="169" fillId="29" borderId="69" xfId="0" applyFont="1" applyFill="1" applyBorder="1" applyAlignment="1">
      <alignment horizontal="left" vertical="center" wrapText="1"/>
    </xf>
    <xf numFmtId="0" fontId="125" fillId="29" borderId="76" xfId="0" applyFont="1" applyFill="1" applyBorder="1" applyAlignment="1">
      <alignment horizontal="center" vertical="center" wrapText="1"/>
    </xf>
    <xf numFmtId="0" fontId="169" fillId="29" borderId="2" xfId="0" applyFont="1" applyFill="1" applyBorder="1" applyAlignment="1">
      <alignment horizontal="left" vertical="center" wrapText="1"/>
    </xf>
    <xf numFmtId="0" fontId="169" fillId="29" borderId="80" xfId="0" applyFont="1" applyFill="1" applyBorder="1" applyAlignment="1">
      <alignment horizontal="center" vertical="center" wrapText="1"/>
    </xf>
    <xf numFmtId="204" fontId="170" fillId="0" borderId="20" xfId="0" applyNumberFormat="1" applyFont="1" applyFill="1" applyBorder="1" applyAlignment="1">
      <alignment vertical="center" wrapText="1"/>
    </xf>
    <xf numFmtId="0" fontId="169" fillId="29" borderId="17" xfId="0" applyFont="1" applyFill="1" applyBorder="1" applyAlignment="1">
      <alignment horizontal="center" vertical="center" wrapText="1"/>
    </xf>
    <xf numFmtId="0" fontId="125" fillId="29" borderId="11" xfId="0" applyFont="1" applyFill="1" applyBorder="1" applyAlignment="1">
      <alignment horizontal="center" vertical="center" wrapText="1"/>
    </xf>
    <xf numFmtId="0" fontId="31" fillId="6" borderId="1" xfId="0" applyFont="1" applyFill="1" applyBorder="1" applyAlignment="1">
      <alignment vertical="center" wrapText="1"/>
    </xf>
    <xf numFmtId="202" fontId="31" fillId="6" borderId="1" xfId="0" applyNumberFormat="1" applyFont="1" applyFill="1" applyBorder="1" applyAlignment="1">
      <alignment horizontal="left" vertical="center"/>
    </xf>
    <xf numFmtId="197" fontId="170" fillId="6" borderId="1" xfId="0" applyNumberFormat="1" applyFont="1" applyFill="1" applyBorder="1" applyAlignment="1">
      <alignment vertical="center"/>
    </xf>
    <xf numFmtId="203" fontId="170" fillId="6" borderId="1" xfId="0" applyNumberFormat="1" applyFont="1" applyFill="1" applyBorder="1" applyAlignment="1">
      <alignment vertical="center"/>
    </xf>
    <xf numFmtId="0" fontId="169" fillId="29" borderId="81" xfId="0" applyFont="1" applyFill="1" applyBorder="1" applyAlignment="1">
      <alignment horizontal="center" vertical="center" wrapText="1"/>
    </xf>
    <xf numFmtId="202" fontId="170" fillId="6" borderId="1" xfId="0" applyNumberFormat="1" applyFont="1" applyFill="1" applyBorder="1" applyAlignment="1">
      <alignment horizontal="left" vertical="center"/>
    </xf>
    <xf numFmtId="0" fontId="31" fillId="3" borderId="53" xfId="0" applyFont="1" applyFill="1" applyBorder="1" applyAlignment="1">
      <alignment vertical="center" wrapText="1"/>
    </xf>
    <xf numFmtId="204" fontId="170" fillId="0" borderId="1" xfId="0" applyNumberFormat="1" applyFont="1" applyFill="1" applyBorder="1" applyAlignment="1">
      <alignment vertical="center" shrinkToFit="1"/>
    </xf>
    <xf numFmtId="0" fontId="169" fillId="29" borderId="83" xfId="0" applyFont="1" applyFill="1" applyBorder="1" applyAlignment="1">
      <alignment horizontal="left" vertical="center" wrapText="1"/>
    </xf>
    <xf numFmtId="0" fontId="167" fillId="30" borderId="31" xfId="0" applyFont="1" applyFill="1" applyBorder="1" applyAlignment="1">
      <alignment horizontal="left" vertical="center"/>
    </xf>
    <xf numFmtId="0" fontId="167" fillId="30" borderId="62" xfId="0" applyFont="1" applyFill="1" applyBorder="1" applyAlignment="1">
      <alignment vertical="center"/>
    </xf>
    <xf numFmtId="200" fontId="173" fillId="30" borderId="62" xfId="0" applyNumberFormat="1" applyFont="1" applyFill="1" applyBorder="1" applyAlignment="1">
      <alignment vertical="center"/>
    </xf>
    <xf numFmtId="0" fontId="174" fillId="30" borderId="32" xfId="141" applyFont="1" applyFill="1" applyBorder="1" applyAlignment="1">
      <alignment horizontal="left" vertical="center"/>
    </xf>
    <xf numFmtId="0" fontId="173" fillId="30" borderId="32" xfId="141" applyFont="1" applyFill="1" applyBorder="1" applyAlignment="1">
      <alignment horizontal="left" vertical="center"/>
    </xf>
    <xf numFmtId="0" fontId="173" fillId="30" borderId="38" xfId="0" applyFont="1" applyFill="1" applyBorder="1" applyAlignment="1">
      <alignment vertical="center"/>
    </xf>
    <xf numFmtId="197" fontId="167" fillId="30" borderId="38" xfId="0" applyNumberFormat="1" applyFont="1" applyFill="1" applyBorder="1" applyAlignment="1">
      <alignment vertical="center"/>
    </xf>
    <xf numFmtId="197" fontId="167" fillId="30" borderId="38" xfId="0" applyNumberFormat="1" applyFont="1" applyFill="1" applyBorder="1" applyAlignment="1">
      <alignment horizontal="right" vertical="center"/>
    </xf>
    <xf numFmtId="204" fontId="167" fillId="30" borderId="32" xfId="0" applyNumberFormat="1" applyFont="1" applyFill="1" applyBorder="1" applyAlignment="1">
      <alignment horizontal="left" vertical="center" wrapText="1"/>
    </xf>
    <xf numFmtId="204" fontId="167" fillId="30" borderId="38" xfId="0" applyNumberFormat="1" applyFont="1" applyFill="1" applyBorder="1" applyAlignment="1">
      <alignment horizontal="right" vertical="center" wrapText="1"/>
    </xf>
    <xf numFmtId="205" fontId="173" fillId="30" borderId="37" xfId="0" applyNumberFormat="1" applyFont="1" applyFill="1" applyBorder="1" applyAlignment="1">
      <alignment vertical="center"/>
    </xf>
    <xf numFmtId="0" fontId="167" fillId="30" borderId="19" xfId="0" applyFont="1" applyFill="1" applyBorder="1" applyAlignment="1">
      <alignment horizontal="left" vertical="center"/>
    </xf>
    <xf numFmtId="0" fontId="167" fillId="30" borderId="6" xfId="0" applyFont="1" applyFill="1" applyBorder="1" applyAlignment="1">
      <alignment vertical="center"/>
    </xf>
    <xf numFmtId="200" fontId="173" fillId="30" borderId="6" xfId="0" applyNumberFormat="1" applyFont="1" applyFill="1" applyBorder="1" applyAlignment="1">
      <alignment vertical="center"/>
    </xf>
    <xf numFmtId="200" fontId="174" fillId="30" borderId="1" xfId="0" applyNumberFormat="1" applyFont="1" applyFill="1" applyBorder="1" applyAlignment="1">
      <alignment vertical="center"/>
    </xf>
    <xf numFmtId="0" fontId="173" fillId="30" borderId="7" xfId="141" applyFont="1" applyFill="1" applyBorder="1" applyAlignment="1">
      <alignment horizontal="left" vertical="center"/>
    </xf>
    <xf numFmtId="0" fontId="173" fillId="30" borderId="1" xfId="0" applyFont="1" applyFill="1" applyBorder="1" applyAlignment="1">
      <alignment vertical="center"/>
    </xf>
    <xf numFmtId="197" fontId="167" fillId="30" borderId="1" xfId="0" applyNumberFormat="1" applyFont="1" applyFill="1" applyBorder="1" applyAlignment="1">
      <alignment vertical="center"/>
    </xf>
    <xf numFmtId="197" fontId="167" fillId="30" borderId="16" xfId="0" applyNumberFormat="1" applyFont="1" applyFill="1" applyBorder="1" applyAlignment="1">
      <alignment horizontal="right" vertical="center"/>
    </xf>
    <xf numFmtId="204" fontId="167" fillId="30" borderId="14" xfId="0" applyNumberFormat="1" applyFont="1" applyFill="1" applyBorder="1" applyAlignment="1">
      <alignment horizontal="left" vertical="center" wrapText="1"/>
    </xf>
    <xf numFmtId="204" fontId="167" fillId="30" borderId="16" xfId="0" applyNumberFormat="1" applyFont="1" applyFill="1" applyBorder="1" applyAlignment="1">
      <alignment horizontal="right" vertical="center" wrapText="1"/>
    </xf>
    <xf numFmtId="205" fontId="173" fillId="30" borderId="84" xfId="0" applyNumberFormat="1" applyFont="1" applyFill="1" applyBorder="1" applyAlignment="1">
      <alignment vertical="center"/>
    </xf>
    <xf numFmtId="200" fontId="173" fillId="30" borderId="1" xfId="0" applyNumberFormat="1" applyFont="1" applyFill="1" applyBorder="1" applyAlignment="1">
      <alignment vertical="center"/>
    </xf>
    <xf numFmtId="0" fontId="174" fillId="30" borderId="7" xfId="141" applyFont="1" applyFill="1" applyBorder="1" applyAlignment="1">
      <alignment horizontal="left" vertical="center"/>
    </xf>
    <xf numFmtId="197" fontId="167" fillId="30" borderId="1" xfId="0" applyNumberFormat="1" applyFont="1" applyFill="1" applyBorder="1" applyAlignment="1">
      <alignment horizontal="right" vertical="center"/>
    </xf>
    <xf numFmtId="204" fontId="167" fillId="30" borderId="7" xfId="0" applyNumberFormat="1" applyFont="1" applyFill="1" applyBorder="1" applyAlignment="1">
      <alignment horizontal="left" vertical="center" wrapText="1"/>
    </xf>
    <xf numFmtId="204" fontId="167" fillId="30" borderId="1" xfId="0" applyNumberFormat="1" applyFont="1" applyFill="1" applyBorder="1" applyAlignment="1">
      <alignment horizontal="right" vertical="center" wrapText="1"/>
    </xf>
    <xf numFmtId="0" fontId="167" fillId="30" borderId="52" xfId="0" applyFont="1" applyFill="1" applyBorder="1" applyAlignment="1">
      <alignment horizontal="left" vertical="center"/>
    </xf>
    <xf numFmtId="0" fontId="167" fillId="30" borderId="68" xfId="0" applyFont="1" applyFill="1" applyBorder="1" applyAlignment="1">
      <alignment vertical="center"/>
    </xf>
    <xf numFmtId="200" fontId="173" fillId="30" borderId="68" xfId="0" applyNumberFormat="1" applyFont="1" applyFill="1" applyBorder="1" applyAlignment="1">
      <alignment vertical="center"/>
    </xf>
    <xf numFmtId="200" fontId="173" fillId="30" borderId="53" xfId="0" applyNumberFormat="1" applyFont="1" applyFill="1" applyBorder="1" applyAlignment="1">
      <alignment vertical="center"/>
    </xf>
    <xf numFmtId="0" fontId="174" fillId="30" borderId="73" xfId="141" applyFont="1" applyFill="1" applyBorder="1" applyAlignment="1">
      <alignment horizontal="left" vertical="center"/>
    </xf>
    <xf numFmtId="0" fontId="173" fillId="30" borderId="53" xfId="0" applyFont="1" applyFill="1" applyBorder="1" applyAlignment="1">
      <alignment vertical="center"/>
    </xf>
    <xf numFmtId="197" fontId="167" fillId="30" borderId="53" xfId="0" applyNumberFormat="1" applyFont="1" applyFill="1" applyBorder="1" applyAlignment="1">
      <alignment vertical="center"/>
    </xf>
    <xf numFmtId="197" fontId="167" fillId="30" borderId="53" xfId="0" applyNumberFormat="1" applyFont="1" applyFill="1" applyBorder="1" applyAlignment="1">
      <alignment horizontal="right" vertical="center"/>
    </xf>
    <xf numFmtId="204" fontId="167" fillId="30" borderId="73" xfId="0" applyNumberFormat="1" applyFont="1" applyFill="1" applyBorder="1" applyAlignment="1">
      <alignment horizontal="left" vertical="center" wrapText="1"/>
    </xf>
    <xf numFmtId="204" fontId="167" fillId="30" borderId="53" xfId="0" applyNumberFormat="1" applyFont="1" applyFill="1" applyBorder="1" applyAlignment="1">
      <alignment horizontal="right" vertical="center" wrapText="1"/>
    </xf>
    <xf numFmtId="205" fontId="173" fillId="30" borderId="85" xfId="0" applyNumberFormat="1" applyFont="1" applyFill="1" applyBorder="1" applyAlignment="1">
      <alignment vertical="center"/>
    </xf>
    <xf numFmtId="206" fontId="169" fillId="31" borderId="38" xfId="1" applyNumberFormat="1" applyFont="1" applyFill="1" applyBorder="1" applyAlignment="1"/>
    <xf numFmtId="206" fontId="169" fillId="31" borderId="0" xfId="1" applyNumberFormat="1" applyFont="1" applyFill="1" applyAlignment="1"/>
    <xf numFmtId="0" fontId="175" fillId="0" borderId="0" xfId="0" applyFont="1" applyFill="1" applyBorder="1" applyAlignment="1"/>
    <xf numFmtId="0" fontId="176" fillId="32" borderId="34" xfId="0" applyFont="1" applyFill="1" applyBorder="1" applyAlignment="1">
      <alignment horizontal="left" vertical="center"/>
    </xf>
    <xf numFmtId="0" fontId="176" fillId="32" borderId="31" xfId="0" applyFont="1" applyFill="1" applyBorder="1" applyAlignment="1">
      <alignment horizontal="left" vertical="center"/>
    </xf>
    <xf numFmtId="0" fontId="176" fillId="32" borderId="32" xfId="0" applyFont="1" applyFill="1" applyBorder="1" applyAlignment="1">
      <alignment horizontal="left" vertical="center" wrapText="1"/>
    </xf>
    <xf numFmtId="0" fontId="177" fillId="32" borderId="38" xfId="0" applyFont="1" applyFill="1" applyBorder="1" applyAlignment="1">
      <alignment horizontal="left" vertical="center" wrapText="1"/>
    </xf>
    <xf numFmtId="0" fontId="176" fillId="32" borderId="38" xfId="0" applyFont="1" applyFill="1" applyBorder="1" applyAlignment="1">
      <alignment horizontal="left" vertical="center" wrapText="1"/>
    </xf>
    <xf numFmtId="0" fontId="176" fillId="32" borderId="33" xfId="0" applyFont="1" applyFill="1" applyBorder="1" applyAlignment="1">
      <alignment horizontal="left" vertical="center" wrapText="1"/>
    </xf>
    <xf numFmtId="0" fontId="178" fillId="32" borderId="32" xfId="0" applyFont="1" applyFill="1" applyBorder="1" applyAlignment="1">
      <alignment horizontal="left" vertical="center" wrapText="1"/>
    </xf>
    <xf numFmtId="197" fontId="176" fillId="32" borderId="38" xfId="0" applyNumberFormat="1" applyFont="1" applyFill="1" applyBorder="1" applyAlignment="1">
      <alignment horizontal="left" vertical="center" wrapText="1"/>
    </xf>
    <xf numFmtId="197" fontId="176" fillId="32" borderId="62" xfId="0" applyNumberFormat="1" applyFont="1" applyFill="1" applyBorder="1" applyAlignment="1">
      <alignment horizontal="center" vertical="center" wrapText="1"/>
    </xf>
    <xf numFmtId="197" fontId="179" fillId="32" borderId="62" xfId="0" applyNumberFormat="1" applyFont="1" applyFill="1" applyBorder="1" applyAlignment="1">
      <alignment horizontal="center" vertical="center" wrapText="1"/>
    </xf>
    <xf numFmtId="0" fontId="176" fillId="32" borderId="38" xfId="0" applyFont="1" applyFill="1" applyBorder="1" applyAlignment="1">
      <alignment horizontal="center" vertical="center" wrapText="1"/>
    </xf>
    <xf numFmtId="0" fontId="176" fillId="32" borderId="33" xfId="0" applyFont="1" applyFill="1" applyBorder="1" applyAlignment="1">
      <alignment horizontal="center" vertical="center" wrapText="1"/>
    </xf>
    <xf numFmtId="14" fontId="176" fillId="32" borderId="43" xfId="0" applyNumberFormat="1" applyFont="1" applyFill="1" applyBorder="1" applyAlignment="1">
      <alignment horizontal="left" vertical="center"/>
    </xf>
    <xf numFmtId="14" fontId="176" fillId="32" borderId="19" xfId="0" applyNumberFormat="1" applyFont="1" applyFill="1" applyBorder="1" applyAlignment="1">
      <alignment horizontal="left" vertical="center"/>
    </xf>
    <xf numFmtId="14" fontId="176" fillId="32" borderId="7" xfId="0" applyNumberFormat="1" applyFont="1" applyFill="1" applyBorder="1" applyAlignment="1">
      <alignment horizontal="center" vertical="center"/>
    </xf>
    <xf numFmtId="14" fontId="176" fillId="32" borderId="1" xfId="0" applyNumberFormat="1" applyFont="1" applyFill="1" applyBorder="1" applyAlignment="1">
      <alignment horizontal="center" vertical="center"/>
    </xf>
    <xf numFmtId="14" fontId="176" fillId="32" borderId="20" xfId="0" applyNumberFormat="1" applyFont="1" applyFill="1" applyBorder="1" applyAlignment="1">
      <alignment horizontal="center" vertical="center"/>
    </xf>
    <xf numFmtId="14" fontId="176" fillId="32" borderId="7" xfId="0" applyNumberFormat="1" applyFont="1" applyFill="1" applyBorder="1" applyAlignment="1">
      <alignment horizontal="left" vertical="center" wrapText="1"/>
    </xf>
    <xf numFmtId="14" fontId="176" fillId="32" borderId="1" xfId="0" applyNumberFormat="1" applyFont="1" applyFill="1" applyBorder="1" applyAlignment="1">
      <alignment horizontal="center" vertical="center" wrapText="1"/>
    </xf>
    <xf numFmtId="14" fontId="179" fillId="32" borderId="1" xfId="0" applyNumberFormat="1" applyFont="1" applyFill="1" applyBorder="1" applyAlignment="1">
      <alignment horizontal="center" vertical="center"/>
    </xf>
    <xf numFmtId="14" fontId="176" fillId="32" borderId="20" xfId="0" applyNumberFormat="1" applyFont="1" applyFill="1" applyBorder="1" applyAlignment="1">
      <alignment horizontal="right" vertical="center" wrapText="1"/>
    </xf>
    <xf numFmtId="14" fontId="176" fillId="32" borderId="55" xfId="0" applyNumberFormat="1" applyFont="1" applyFill="1" applyBorder="1" applyAlignment="1">
      <alignment horizontal="left" vertical="center"/>
    </xf>
    <xf numFmtId="14" fontId="176" fillId="32" borderId="11" xfId="0" applyNumberFormat="1" applyFont="1" applyFill="1" applyBorder="1" applyAlignment="1">
      <alignment horizontal="left" vertical="center"/>
    </xf>
    <xf numFmtId="14" fontId="176" fillId="32" borderId="13" xfId="0" applyNumberFormat="1" applyFont="1" applyFill="1" applyBorder="1" applyAlignment="1">
      <alignment horizontal="left" vertical="center"/>
    </xf>
    <xf numFmtId="14" fontId="176" fillId="32" borderId="9" xfId="0" applyNumberFormat="1" applyFont="1" applyFill="1" applyBorder="1" applyAlignment="1">
      <alignment horizontal="left" vertical="center"/>
    </xf>
    <xf numFmtId="14" fontId="176" fillId="32" borderId="12" xfId="0" applyNumberFormat="1" applyFont="1" applyFill="1" applyBorder="1" applyAlignment="1">
      <alignment horizontal="left" vertical="center"/>
    </xf>
    <xf numFmtId="14" fontId="176" fillId="32" borderId="13" xfId="0" applyNumberFormat="1" applyFont="1" applyFill="1" applyBorder="1" applyAlignment="1">
      <alignment horizontal="left" vertical="center" wrapText="1"/>
    </xf>
    <xf numFmtId="14" fontId="176" fillId="32" borderId="9" xfId="0" applyNumberFormat="1" applyFont="1" applyFill="1" applyBorder="1" applyAlignment="1">
      <alignment horizontal="center" vertical="center" wrapText="1"/>
    </xf>
    <xf numFmtId="14" fontId="176" fillId="32" borderId="9" xfId="0" applyNumberFormat="1" applyFont="1" applyFill="1" applyBorder="1" applyAlignment="1">
      <alignment horizontal="center" vertical="center"/>
    </xf>
    <xf numFmtId="14" fontId="179" fillId="32" borderId="9" xfId="0" applyNumberFormat="1" applyFont="1" applyFill="1" applyBorder="1" applyAlignment="1">
      <alignment horizontal="center" vertical="center"/>
    </xf>
    <xf numFmtId="14" fontId="176" fillId="32" borderId="12" xfId="0" applyNumberFormat="1" applyFont="1" applyFill="1" applyBorder="1" applyAlignment="1">
      <alignment horizontal="right" vertical="center" wrapText="1"/>
    </xf>
    <xf numFmtId="0" fontId="180" fillId="0" borderId="86" xfId="0" applyFont="1" applyFill="1" applyBorder="1" applyAlignment="1">
      <alignment horizontal="left" vertical="center" wrapText="1"/>
    </xf>
    <xf numFmtId="0" fontId="180" fillId="18" borderId="31" xfId="0" applyFont="1" applyFill="1" applyBorder="1" applyAlignment="1">
      <alignment horizontal="left" vertical="center" wrapText="1"/>
    </xf>
    <xf numFmtId="0" fontId="180" fillId="18" borderId="32" xfId="0" applyFont="1" applyFill="1" applyBorder="1" applyAlignment="1">
      <alignment horizontal="center" vertical="center" wrapText="1"/>
    </xf>
    <xf numFmtId="0" fontId="180" fillId="18" borderId="38" xfId="0" applyFont="1" applyFill="1" applyBorder="1" applyAlignment="1">
      <alignment horizontal="center" vertical="center" wrapText="1"/>
    </xf>
    <xf numFmtId="0" fontId="180" fillId="18" borderId="33" xfId="0" applyFont="1" applyFill="1" applyBorder="1" applyAlignment="1">
      <alignment horizontal="center" vertical="center" wrapText="1"/>
    </xf>
    <xf numFmtId="0" fontId="175" fillId="0" borderId="32" xfId="0" applyFont="1" applyFill="1" applyBorder="1" applyAlignment="1">
      <alignment vertical="center"/>
    </xf>
    <xf numFmtId="197" fontId="175" fillId="0" borderId="38" xfId="0" applyNumberFormat="1" applyFont="1" applyFill="1" applyBorder="1" applyAlignment="1">
      <alignment vertical="center"/>
    </xf>
    <xf numFmtId="197" fontId="180" fillId="14" borderId="38" xfId="0" applyNumberFormat="1" applyFont="1" applyFill="1" applyBorder="1" applyAlignment="1">
      <alignment horizontal="right" vertical="center"/>
    </xf>
    <xf numFmtId="197" fontId="180" fillId="14" borderId="77" xfId="0" applyNumberFormat="1" applyFont="1" applyFill="1" applyBorder="1" applyAlignment="1">
      <alignment vertical="center"/>
    </xf>
    <xf numFmtId="197" fontId="180" fillId="14" borderId="38" xfId="0" applyNumberFormat="1" applyFont="1" applyFill="1" applyBorder="1" applyAlignment="1">
      <alignment vertical="center"/>
    </xf>
    <xf numFmtId="197" fontId="180" fillId="18" borderId="38" xfId="0" applyNumberFormat="1" applyFont="1" applyFill="1" applyBorder="1" applyAlignment="1">
      <alignment vertical="center"/>
    </xf>
    <xf numFmtId="197" fontId="180" fillId="33" borderId="33" xfId="0" applyNumberFormat="1" applyFont="1" applyFill="1" applyBorder="1" applyAlignment="1">
      <alignment horizontal="right" vertical="center"/>
    </xf>
    <xf numFmtId="0" fontId="180" fillId="0" borderId="72" xfId="0" applyFont="1" applyFill="1" applyBorder="1" applyAlignment="1">
      <alignment horizontal="left" vertical="center" wrapText="1"/>
    </xf>
    <xf numFmtId="0" fontId="180" fillId="18" borderId="19" xfId="0" applyFont="1" applyFill="1" applyBorder="1" applyAlignment="1">
      <alignment horizontal="left" vertical="center" wrapText="1"/>
    </xf>
    <xf numFmtId="0" fontId="180" fillId="18" borderId="7" xfId="0" applyFont="1" applyFill="1" applyBorder="1" applyAlignment="1">
      <alignment horizontal="center" vertical="center" wrapText="1"/>
    </xf>
    <xf numFmtId="0" fontId="180" fillId="18" borderId="1" xfId="0" applyFont="1" applyFill="1" applyBorder="1" applyAlignment="1">
      <alignment horizontal="center" vertical="center" wrapText="1"/>
    </xf>
    <xf numFmtId="0" fontId="180" fillId="18" borderId="20" xfId="0" applyFont="1" applyFill="1" applyBorder="1" applyAlignment="1">
      <alignment horizontal="center" vertical="center" wrapText="1"/>
    </xf>
    <xf numFmtId="0" fontId="175" fillId="0" borderId="7" xfId="0" applyFont="1" applyFill="1" applyBorder="1" applyAlignment="1">
      <alignment vertical="center"/>
    </xf>
    <xf numFmtId="197" fontId="175" fillId="0" borderId="1" xfId="0" applyNumberFormat="1" applyFont="1" applyFill="1" applyBorder="1" applyAlignment="1">
      <alignment vertical="center"/>
    </xf>
    <xf numFmtId="197" fontId="180" fillId="14" borderId="1" xfId="0" applyNumberFormat="1" applyFont="1" applyFill="1" applyBorder="1" applyAlignment="1">
      <alignment horizontal="right" vertical="center"/>
    </xf>
    <xf numFmtId="197" fontId="180" fillId="14" borderId="1" xfId="0" applyNumberFormat="1" applyFont="1" applyFill="1" applyBorder="1" applyAlignment="1">
      <alignment vertical="center"/>
    </xf>
    <xf numFmtId="197" fontId="180" fillId="18" borderId="1" xfId="0" applyNumberFormat="1" applyFont="1" applyFill="1" applyBorder="1" applyAlignment="1">
      <alignment vertical="center"/>
    </xf>
    <xf numFmtId="197" fontId="180" fillId="33" borderId="20" xfId="0" applyNumberFormat="1" applyFont="1" applyFill="1" applyBorder="1" applyAlignment="1">
      <alignment horizontal="right" vertical="center"/>
    </xf>
    <xf numFmtId="0" fontId="180" fillId="18" borderId="52" xfId="0" applyFont="1" applyFill="1" applyBorder="1" applyAlignment="1">
      <alignment horizontal="left" vertical="center" wrapText="1"/>
    </xf>
    <xf numFmtId="0" fontId="180" fillId="18" borderId="73" xfId="0" applyFont="1" applyFill="1" applyBorder="1" applyAlignment="1">
      <alignment horizontal="center" vertical="center" wrapText="1"/>
    </xf>
    <xf numFmtId="0" fontId="180" fillId="18" borderId="53" xfId="0" applyFont="1" applyFill="1" applyBorder="1" applyAlignment="1">
      <alignment horizontal="center" vertical="center" wrapText="1"/>
    </xf>
    <xf numFmtId="0" fontId="180" fillId="18" borderId="54" xfId="0" applyFont="1" applyFill="1" applyBorder="1" applyAlignment="1">
      <alignment horizontal="center" vertical="center" wrapText="1"/>
    </xf>
    <xf numFmtId="0" fontId="175" fillId="0" borderId="73" xfId="0" applyFont="1" applyFill="1" applyBorder="1" applyAlignment="1">
      <alignment vertical="center"/>
    </xf>
    <xf numFmtId="197" fontId="175" fillId="0" borderId="53" xfId="0" applyNumberFormat="1" applyFont="1" applyFill="1" applyBorder="1" applyAlignment="1">
      <alignment vertical="center"/>
    </xf>
    <xf numFmtId="197" fontId="180" fillId="14" borderId="53" xfId="0" applyNumberFormat="1" applyFont="1" applyFill="1" applyBorder="1" applyAlignment="1">
      <alignment horizontal="right" vertical="center"/>
    </xf>
    <xf numFmtId="197" fontId="180" fillId="14" borderId="53" xfId="0" applyNumberFormat="1" applyFont="1" applyFill="1" applyBorder="1" applyAlignment="1">
      <alignment vertical="center"/>
    </xf>
    <xf numFmtId="197" fontId="180" fillId="18" borderId="53" xfId="0" applyNumberFormat="1" applyFont="1" applyFill="1" applyBorder="1" applyAlignment="1">
      <alignment vertical="center"/>
    </xf>
    <xf numFmtId="197" fontId="180" fillId="33" borderId="54" xfId="0" applyNumberFormat="1" applyFont="1" applyFill="1" applyBorder="1" applyAlignment="1">
      <alignment horizontal="right" vertical="center"/>
    </xf>
    <xf numFmtId="197" fontId="180" fillId="34" borderId="1" xfId="0" applyNumberFormat="1" applyFont="1" applyFill="1" applyBorder="1" applyAlignment="1">
      <alignment vertical="center"/>
    </xf>
    <xf numFmtId="197" fontId="180" fillId="34" borderId="38" xfId="0" applyNumberFormat="1" applyFont="1" applyFill="1" applyBorder="1" applyAlignment="1">
      <alignment vertical="center"/>
    </xf>
    <xf numFmtId="197" fontId="180" fillId="13" borderId="1" xfId="0" applyNumberFormat="1" applyFont="1" applyFill="1" applyBorder="1" applyAlignment="1">
      <alignment vertical="center"/>
    </xf>
    <xf numFmtId="0" fontId="180" fillId="18" borderId="11" xfId="0" applyFont="1" applyFill="1" applyBorder="1" applyAlignment="1">
      <alignment horizontal="left" vertical="center" wrapText="1"/>
    </xf>
    <xf numFmtId="0" fontId="180" fillId="0" borderId="87" xfId="0" applyFont="1" applyFill="1" applyBorder="1" applyAlignment="1">
      <alignment horizontal="left" vertical="center" wrapText="1"/>
    </xf>
    <xf numFmtId="0" fontId="176" fillId="35" borderId="31" xfId="0" applyFont="1" applyFill="1" applyBorder="1" applyAlignment="1">
      <alignment horizontal="left" vertical="center"/>
    </xf>
    <xf numFmtId="0" fontId="176" fillId="35" borderId="38" xfId="0" applyNumberFormat="1" applyFont="1" applyFill="1" applyBorder="1" applyAlignment="1">
      <alignment vertical="center"/>
    </xf>
    <xf numFmtId="0" fontId="176" fillId="35" borderId="32" xfId="0" applyNumberFormat="1" applyFont="1" applyFill="1" applyBorder="1" applyAlignment="1">
      <alignment horizontal="center" vertical="center"/>
    </xf>
    <xf numFmtId="0" fontId="176" fillId="35" borderId="38" xfId="0" applyNumberFormat="1" applyFont="1" applyFill="1" applyBorder="1" applyAlignment="1">
      <alignment horizontal="center" vertical="center"/>
    </xf>
    <xf numFmtId="0" fontId="176" fillId="35" borderId="33" xfId="0" applyNumberFormat="1" applyFont="1" applyFill="1" applyBorder="1" applyAlignment="1">
      <alignment horizontal="center" vertical="center"/>
    </xf>
    <xf numFmtId="0" fontId="176" fillId="35" borderId="31" xfId="0" applyNumberFormat="1" applyFont="1" applyFill="1" applyBorder="1" applyAlignment="1">
      <alignment vertical="center"/>
    </xf>
    <xf numFmtId="0" fontId="176" fillId="35" borderId="32" xfId="0" applyNumberFormat="1" applyFont="1" applyFill="1" applyBorder="1" applyAlignment="1">
      <alignment vertical="center"/>
    </xf>
    <xf numFmtId="197" fontId="176" fillId="35" borderId="38" xfId="0" applyNumberFormat="1" applyFont="1" applyFill="1" applyBorder="1" applyAlignment="1">
      <alignment vertical="center"/>
    </xf>
    <xf numFmtId="197" fontId="176" fillId="35" borderId="88" xfId="0" applyNumberFormat="1" applyFont="1" applyFill="1" applyBorder="1" applyAlignment="1">
      <alignment horizontal="right" vertical="center"/>
    </xf>
    <xf numFmtId="0" fontId="176" fillId="35" borderId="17" xfId="0" applyFont="1" applyFill="1" applyBorder="1" applyAlignment="1">
      <alignment horizontal="left" vertical="center"/>
    </xf>
    <xf numFmtId="0" fontId="176" fillId="35" borderId="16" xfId="0" applyNumberFormat="1" applyFont="1" applyFill="1" applyBorder="1" applyAlignment="1">
      <alignment vertical="center"/>
    </xf>
    <xf numFmtId="0" fontId="176" fillId="35" borderId="14" xfId="0" applyNumberFormat="1" applyFont="1" applyFill="1" applyBorder="1" applyAlignment="1">
      <alignment vertical="center"/>
    </xf>
    <xf numFmtId="0" fontId="176" fillId="35" borderId="18" xfId="0" applyNumberFormat="1" applyFont="1" applyFill="1" applyBorder="1" applyAlignment="1">
      <alignment vertical="center"/>
    </xf>
    <xf numFmtId="0" fontId="176" fillId="35" borderId="17" xfId="0" applyNumberFormat="1" applyFont="1" applyFill="1" applyBorder="1" applyAlignment="1">
      <alignment vertical="center"/>
    </xf>
    <xf numFmtId="197" fontId="176" fillId="35" borderId="1" xfId="0" applyNumberFormat="1" applyFont="1" applyFill="1" applyBorder="1" applyAlignment="1">
      <alignment vertical="center"/>
    </xf>
    <xf numFmtId="197" fontId="176" fillId="35" borderId="16" xfId="0" applyNumberFormat="1" applyFont="1" applyFill="1" applyBorder="1" applyAlignment="1">
      <alignment vertical="center"/>
    </xf>
    <xf numFmtId="197" fontId="176" fillId="35" borderId="89" xfId="0" applyNumberFormat="1" applyFont="1" applyFill="1" applyBorder="1" applyAlignment="1">
      <alignment horizontal="right" vertical="center"/>
    </xf>
    <xf numFmtId="0" fontId="176" fillId="35" borderId="52" xfId="0" applyFont="1" applyFill="1" applyBorder="1" applyAlignment="1">
      <alignment horizontal="left" vertical="center"/>
    </xf>
    <xf numFmtId="0" fontId="176" fillId="35" borderId="53" xfId="0" applyNumberFormat="1" applyFont="1" applyFill="1" applyBorder="1" applyAlignment="1">
      <alignment horizontal="left" vertical="center"/>
    </xf>
    <xf numFmtId="0" fontId="176" fillId="35" borderId="73" xfId="0" applyNumberFormat="1" applyFont="1" applyFill="1" applyBorder="1" applyAlignment="1">
      <alignment horizontal="left" vertical="center"/>
    </xf>
    <xf numFmtId="0" fontId="176" fillId="35" borderId="54" xfId="0" applyNumberFormat="1" applyFont="1" applyFill="1" applyBorder="1" applyAlignment="1">
      <alignment horizontal="left" vertical="center"/>
    </xf>
    <xf numFmtId="0" fontId="176" fillId="35" borderId="52" xfId="0" applyNumberFormat="1" applyFont="1" applyFill="1" applyBorder="1" applyAlignment="1">
      <alignment vertical="center"/>
    </xf>
    <xf numFmtId="0" fontId="176" fillId="35" borderId="73" xfId="0" applyNumberFormat="1" applyFont="1" applyFill="1" applyBorder="1" applyAlignment="1">
      <alignment vertical="center"/>
    </xf>
    <xf numFmtId="197" fontId="176" fillId="35" borderId="53" xfId="0" applyNumberFormat="1" applyFont="1" applyFill="1" applyBorder="1" applyAlignment="1">
      <alignment vertical="center"/>
    </xf>
    <xf numFmtId="197" fontId="176" fillId="35" borderId="90" xfId="0" applyNumberFormat="1" applyFont="1" applyFill="1" applyBorder="1" applyAlignment="1">
      <alignment horizontal="right" vertical="center"/>
    </xf>
    <xf numFmtId="0" fontId="176" fillId="32" borderId="35" xfId="0" applyFont="1" applyFill="1" applyBorder="1" applyAlignment="1">
      <alignment horizontal="left" vertical="center"/>
    </xf>
    <xf numFmtId="0" fontId="176" fillId="32" borderId="31" xfId="0" applyFont="1" applyFill="1" applyBorder="1" applyAlignment="1">
      <alignment horizontal="left" vertical="center" wrapText="1"/>
    </xf>
    <xf numFmtId="197" fontId="176" fillId="32" borderId="38" xfId="0" applyNumberFormat="1" applyFont="1" applyFill="1" applyBorder="1" applyAlignment="1">
      <alignment horizontal="center" vertical="center" wrapText="1"/>
    </xf>
    <xf numFmtId="0" fontId="176" fillId="32" borderId="62" xfId="0" applyFont="1" applyFill="1" applyBorder="1" applyAlignment="1">
      <alignment horizontal="center" vertical="center" wrapText="1"/>
    </xf>
    <xf numFmtId="0" fontId="176" fillId="32" borderId="19" xfId="0" applyFont="1" applyFill="1" applyBorder="1" applyAlignment="1">
      <alignment horizontal="left" vertical="center"/>
    </xf>
    <xf numFmtId="0" fontId="176" fillId="32" borderId="6" xfId="0" applyFont="1" applyFill="1" applyBorder="1" applyAlignment="1">
      <alignment horizontal="left" vertical="center"/>
    </xf>
    <xf numFmtId="0" fontId="176" fillId="32" borderId="19" xfId="0" applyFont="1" applyFill="1" applyBorder="1" applyAlignment="1">
      <alignment horizontal="left" vertical="center" wrapText="1"/>
    </xf>
    <xf numFmtId="0" fontId="176" fillId="32" borderId="7" xfId="0" applyFont="1" applyFill="1" applyBorder="1" applyAlignment="1">
      <alignment horizontal="left" vertical="center" wrapText="1"/>
    </xf>
    <xf numFmtId="197" fontId="176" fillId="32" borderId="1" xfId="0" applyNumberFormat="1" applyFont="1" applyFill="1" applyBorder="1" applyAlignment="1">
      <alignment horizontal="center" vertical="center" wrapText="1"/>
    </xf>
    <xf numFmtId="0" fontId="176" fillId="32" borderId="1" xfId="0" applyFont="1" applyFill="1" applyBorder="1" applyAlignment="1">
      <alignment horizontal="center" vertical="center" wrapText="1"/>
    </xf>
    <xf numFmtId="0" fontId="176" fillId="32" borderId="20" xfId="0" applyFont="1" applyFill="1" applyBorder="1" applyAlignment="1">
      <alignment horizontal="right" vertical="center" wrapText="1"/>
    </xf>
    <xf numFmtId="0" fontId="180" fillId="0" borderId="2" xfId="0" applyFont="1" applyFill="1" applyBorder="1" applyAlignment="1">
      <alignment horizontal="left" vertical="center" wrapText="1"/>
    </xf>
    <xf numFmtId="0" fontId="180" fillId="18" borderId="91" xfId="0" applyFont="1" applyFill="1" applyBorder="1" applyAlignment="1">
      <alignment horizontal="left" vertical="center" wrapText="1"/>
    </xf>
    <xf numFmtId="0" fontId="175" fillId="0" borderId="17" xfId="0" applyFont="1" applyFill="1" applyBorder="1" applyAlignment="1">
      <alignment vertical="center"/>
    </xf>
    <xf numFmtId="0" fontId="175" fillId="0" borderId="14" xfId="0" applyFont="1" applyFill="1" applyBorder="1" applyAlignment="1">
      <alignment vertical="center"/>
    </xf>
    <xf numFmtId="197" fontId="175" fillId="0" borderId="16" xfId="0" applyNumberFormat="1" applyFont="1" applyFill="1" applyBorder="1" applyAlignment="1">
      <alignment vertical="center"/>
    </xf>
    <xf numFmtId="197" fontId="180" fillId="14" borderId="16" xfId="0" applyNumberFormat="1" applyFont="1" applyFill="1" applyBorder="1" applyAlignment="1">
      <alignment horizontal="right" vertical="center"/>
    </xf>
    <xf numFmtId="197" fontId="180" fillId="14" borderId="16" xfId="0" applyNumberFormat="1" applyFont="1" applyFill="1" applyBorder="1" applyAlignment="1">
      <alignment vertical="center"/>
    </xf>
    <xf numFmtId="197" fontId="180" fillId="18" borderId="16" xfId="0" applyNumberFormat="1" applyFont="1" applyFill="1" applyBorder="1" applyAlignment="1">
      <alignment vertical="center"/>
    </xf>
    <xf numFmtId="197" fontId="180" fillId="33" borderId="18" xfId="0" applyNumberFormat="1" applyFont="1" applyFill="1" applyBorder="1" applyAlignment="1">
      <alignment horizontal="right" vertical="center"/>
    </xf>
    <xf numFmtId="0" fontId="175" fillId="0" borderId="19" xfId="0" applyFont="1" applyFill="1" applyBorder="1" applyAlignment="1">
      <alignment vertical="center"/>
    </xf>
    <xf numFmtId="0" fontId="180" fillId="18" borderId="45" xfId="0" applyFont="1" applyFill="1" applyBorder="1" applyAlignment="1">
      <alignment horizontal="left" vertical="center" wrapText="1"/>
    </xf>
    <xf numFmtId="0" fontId="180" fillId="18" borderId="82" xfId="0" applyFont="1" applyFill="1" applyBorder="1" applyAlignment="1">
      <alignment horizontal="left" vertical="center" wrapText="1"/>
    </xf>
    <xf numFmtId="0" fontId="175" fillId="0" borderId="52" xfId="0" applyFont="1" applyFill="1" applyBorder="1" applyAlignment="1">
      <alignment vertical="center"/>
    </xf>
    <xf numFmtId="197" fontId="181" fillId="14" borderId="53" xfId="0" applyNumberFormat="1" applyFont="1" applyFill="1" applyBorder="1" applyAlignment="1">
      <alignment horizontal="right" vertical="center"/>
    </xf>
    <xf numFmtId="197" fontId="182" fillId="14" borderId="53" xfId="0" applyNumberFormat="1" applyFont="1" applyFill="1" applyBorder="1" applyAlignment="1">
      <alignment vertical="center"/>
    </xf>
    <xf numFmtId="0" fontId="180" fillId="18" borderId="35" xfId="0" applyFont="1" applyFill="1" applyBorder="1" applyAlignment="1">
      <alignment horizontal="left" vertical="center" wrapText="1"/>
    </xf>
    <xf numFmtId="0" fontId="175" fillId="0" borderId="31" xfId="0" applyFont="1" applyFill="1" applyBorder="1" applyAlignment="1">
      <alignment vertical="center"/>
    </xf>
    <xf numFmtId="197" fontId="175" fillId="0" borderId="32" xfId="0" applyNumberFormat="1" applyFont="1" applyFill="1" applyBorder="1" applyAlignment="1">
      <alignment vertical="center"/>
    </xf>
    <xf numFmtId="197" fontId="175" fillId="0" borderId="7" xfId="0" applyNumberFormat="1" applyFont="1" applyFill="1" applyBorder="1" applyAlignment="1">
      <alignment vertical="center"/>
    </xf>
    <xf numFmtId="0" fontId="176" fillId="35" borderId="33" xfId="0" applyNumberFormat="1" applyFont="1" applyFill="1" applyBorder="1" applyAlignment="1">
      <alignment vertical="center"/>
    </xf>
    <xf numFmtId="197" fontId="176" fillId="35" borderId="33" xfId="0" applyNumberFormat="1" applyFont="1" applyFill="1" applyBorder="1" applyAlignment="1">
      <alignment vertical="center"/>
    </xf>
    <xf numFmtId="0" fontId="176" fillId="35" borderId="19" xfId="0" applyFont="1" applyFill="1" applyBorder="1" applyAlignment="1">
      <alignment horizontal="left" vertical="center"/>
    </xf>
    <xf numFmtId="0" fontId="176" fillId="35" borderId="20" xfId="0" applyNumberFormat="1" applyFont="1" applyFill="1" applyBorder="1" applyAlignment="1">
      <alignment horizontal="left" vertical="center"/>
    </xf>
    <xf numFmtId="0" fontId="176" fillId="35" borderId="19" xfId="0" applyNumberFormat="1" applyFont="1" applyFill="1" applyBorder="1" applyAlignment="1">
      <alignment vertical="center"/>
    </xf>
    <xf numFmtId="0" fontId="176" fillId="35" borderId="7" xfId="0" applyNumberFormat="1" applyFont="1" applyFill="1" applyBorder="1" applyAlignment="1">
      <alignment vertical="center"/>
    </xf>
    <xf numFmtId="197" fontId="176" fillId="35" borderId="20" xfId="0" applyNumberFormat="1" applyFont="1" applyFill="1" applyBorder="1" applyAlignment="1">
      <alignment vertical="center"/>
    </xf>
    <xf numFmtId="197" fontId="176" fillId="35" borderId="54" xfId="0" applyNumberFormat="1" applyFont="1" applyFill="1" applyBorder="1" applyAlignment="1">
      <alignment vertical="center"/>
    </xf>
    <xf numFmtId="0" fontId="183" fillId="8" borderId="34" xfId="0" applyFont="1" applyFill="1" applyBorder="1" applyAlignment="1">
      <alignment horizontal="left" vertical="center"/>
    </xf>
    <xf numFmtId="0" fontId="183" fillId="8" borderId="31" xfId="0" applyFont="1" applyFill="1" applyBorder="1" applyAlignment="1">
      <alignment horizontal="left" vertical="center"/>
    </xf>
    <xf numFmtId="0" fontId="183" fillId="8" borderId="32" xfId="0" applyFont="1" applyFill="1" applyBorder="1" applyAlignment="1">
      <alignment horizontal="left" vertical="center" wrapText="1"/>
    </xf>
    <xf numFmtId="0" fontId="183" fillId="8" borderId="38" xfId="0" applyFont="1" applyFill="1" applyBorder="1" applyAlignment="1">
      <alignment horizontal="left" vertical="center" wrapText="1"/>
    </xf>
    <xf numFmtId="0" fontId="183" fillId="8" borderId="33" xfId="0" applyFont="1" applyFill="1" applyBorder="1" applyAlignment="1">
      <alignment horizontal="left" vertical="center" wrapText="1"/>
    </xf>
    <xf numFmtId="0" fontId="168" fillId="8" borderId="32" xfId="0" applyFont="1" applyFill="1" applyBorder="1" applyAlignment="1">
      <alignment horizontal="left" vertical="center" wrapText="1"/>
    </xf>
    <xf numFmtId="197" fontId="183" fillId="8" borderId="38" xfId="0" applyNumberFormat="1" applyFont="1" applyFill="1" applyBorder="1" applyAlignment="1">
      <alignment horizontal="left" vertical="center" wrapText="1"/>
    </xf>
    <xf numFmtId="197" fontId="183" fillId="8" borderId="62" xfId="0" applyNumberFormat="1" applyFont="1" applyFill="1" applyBorder="1" applyAlignment="1">
      <alignment horizontal="center" vertical="center" wrapText="1"/>
    </xf>
    <xf numFmtId="197" fontId="184" fillId="8" borderId="62" xfId="0" applyNumberFormat="1" applyFont="1" applyFill="1" applyBorder="1" applyAlignment="1">
      <alignment horizontal="center" vertical="center" wrapText="1"/>
    </xf>
    <xf numFmtId="0" fontId="183" fillId="8" borderId="38" xfId="0" applyFont="1" applyFill="1" applyBorder="1" applyAlignment="1">
      <alignment horizontal="center" vertical="center" wrapText="1"/>
    </xf>
    <xf numFmtId="0" fontId="183" fillId="8" borderId="33" xfId="0" applyFont="1" applyFill="1" applyBorder="1" applyAlignment="1">
      <alignment horizontal="center" vertical="center" wrapText="1"/>
    </xf>
    <xf numFmtId="14" fontId="183" fillId="8" borderId="43" xfId="0" applyNumberFormat="1" applyFont="1" applyFill="1" applyBorder="1" applyAlignment="1">
      <alignment horizontal="left" vertical="center"/>
    </xf>
    <xf numFmtId="14" fontId="183" fillId="8" borderId="19" xfId="0" applyNumberFormat="1" applyFont="1" applyFill="1" applyBorder="1" applyAlignment="1">
      <alignment horizontal="left" vertical="center"/>
    </xf>
    <xf numFmtId="14" fontId="183" fillId="8" borderId="7" xfId="0" applyNumberFormat="1" applyFont="1" applyFill="1" applyBorder="1" applyAlignment="1">
      <alignment horizontal="center" vertical="center"/>
    </xf>
    <xf numFmtId="14" fontId="183" fillId="8" borderId="1" xfId="0" applyNumberFormat="1" applyFont="1" applyFill="1" applyBorder="1" applyAlignment="1">
      <alignment horizontal="center" vertical="center"/>
    </xf>
    <xf numFmtId="14" fontId="183" fillId="8" borderId="20" xfId="0" applyNumberFormat="1" applyFont="1" applyFill="1" applyBorder="1" applyAlignment="1">
      <alignment horizontal="center" vertical="center"/>
    </xf>
    <xf numFmtId="14" fontId="183" fillId="8" borderId="7" xfId="0" applyNumberFormat="1" applyFont="1" applyFill="1" applyBorder="1" applyAlignment="1">
      <alignment horizontal="left" vertical="center" wrapText="1"/>
    </xf>
    <xf numFmtId="14" fontId="183" fillId="8" borderId="1" xfId="0" applyNumberFormat="1" applyFont="1" applyFill="1" applyBorder="1" applyAlignment="1">
      <alignment horizontal="center" vertical="center" wrapText="1"/>
    </xf>
    <xf numFmtId="14" fontId="184" fillId="8" borderId="1" xfId="0" applyNumberFormat="1" applyFont="1" applyFill="1" applyBorder="1" applyAlignment="1">
      <alignment horizontal="center" vertical="center"/>
    </xf>
    <xf numFmtId="14" fontId="183" fillId="8" borderId="20" xfId="0" applyNumberFormat="1" applyFont="1" applyFill="1" applyBorder="1" applyAlignment="1">
      <alignment horizontal="right" vertical="center" wrapText="1"/>
    </xf>
    <xf numFmtId="14" fontId="183" fillId="8" borderId="55" xfId="0" applyNumberFormat="1" applyFont="1" applyFill="1" applyBorder="1" applyAlignment="1">
      <alignment horizontal="left" vertical="center"/>
    </xf>
    <xf numFmtId="14" fontId="183" fillId="8" borderId="11" xfId="0" applyNumberFormat="1" applyFont="1" applyFill="1" applyBorder="1" applyAlignment="1">
      <alignment horizontal="left" vertical="center"/>
    </xf>
    <xf numFmtId="14" fontId="183" fillId="8" borderId="13" xfId="0" applyNumberFormat="1" applyFont="1" applyFill="1" applyBorder="1" applyAlignment="1">
      <alignment horizontal="left" vertical="center"/>
    </xf>
    <xf numFmtId="14" fontId="183" fillId="8" borderId="9" xfId="0" applyNumberFormat="1" applyFont="1" applyFill="1" applyBorder="1" applyAlignment="1">
      <alignment horizontal="left" vertical="center"/>
    </xf>
    <xf numFmtId="14" fontId="183" fillId="8" borderId="12" xfId="0" applyNumberFormat="1" applyFont="1" applyFill="1" applyBorder="1" applyAlignment="1">
      <alignment horizontal="left" vertical="center"/>
    </xf>
    <xf numFmtId="14" fontId="183" fillId="8" borderId="13" xfId="0" applyNumberFormat="1" applyFont="1" applyFill="1" applyBorder="1" applyAlignment="1">
      <alignment horizontal="left" vertical="center" wrapText="1"/>
    </xf>
    <xf numFmtId="14" fontId="183" fillId="8" borderId="9" xfId="0" applyNumberFormat="1" applyFont="1" applyFill="1" applyBorder="1" applyAlignment="1">
      <alignment horizontal="center" vertical="center" wrapText="1"/>
    </xf>
    <xf numFmtId="14" fontId="183" fillId="8" borderId="9" xfId="0" applyNumberFormat="1" applyFont="1" applyFill="1" applyBorder="1" applyAlignment="1">
      <alignment horizontal="center" vertical="center"/>
    </xf>
    <xf numFmtId="14" fontId="184" fillId="8" borderId="9" xfId="0" applyNumberFormat="1" applyFont="1" applyFill="1" applyBorder="1" applyAlignment="1">
      <alignment horizontal="center" vertical="center"/>
    </xf>
    <xf numFmtId="14" fontId="183" fillId="8" borderId="12" xfId="0" applyNumberFormat="1" applyFont="1" applyFill="1" applyBorder="1" applyAlignment="1">
      <alignment horizontal="right" vertical="center" wrapText="1"/>
    </xf>
    <xf numFmtId="0" fontId="180" fillId="28" borderId="31" xfId="0" applyFont="1" applyFill="1" applyBorder="1" applyAlignment="1">
      <alignment horizontal="left" vertical="center" wrapText="1"/>
    </xf>
    <xf numFmtId="0" fontId="180" fillId="28" borderId="32" xfId="0" applyFont="1" applyFill="1" applyBorder="1" applyAlignment="1">
      <alignment horizontal="center" vertical="center" wrapText="1"/>
    </xf>
    <xf numFmtId="0" fontId="180" fillId="28" borderId="38" xfId="0" applyFont="1" applyFill="1" applyBorder="1" applyAlignment="1">
      <alignment horizontal="center" vertical="center" wrapText="1"/>
    </xf>
    <xf numFmtId="0" fontId="180" fillId="28" borderId="33" xfId="0" applyFont="1" applyFill="1" applyBorder="1" applyAlignment="1">
      <alignment horizontal="center" vertical="center" wrapText="1"/>
    </xf>
    <xf numFmtId="197" fontId="180" fillId="27" borderId="38" xfId="0" applyNumberFormat="1" applyFont="1" applyFill="1" applyBorder="1" applyAlignment="1">
      <alignment horizontal="right" vertical="center"/>
    </xf>
    <xf numFmtId="197" fontId="180" fillId="27" borderId="77" xfId="0" applyNumberFormat="1" applyFont="1" applyFill="1" applyBorder="1" applyAlignment="1">
      <alignment vertical="center"/>
    </xf>
    <xf numFmtId="197" fontId="180" fillId="27" borderId="38" xfId="0" applyNumberFormat="1" applyFont="1" applyFill="1" applyBorder="1" applyAlignment="1">
      <alignment vertical="center"/>
    </xf>
    <xf numFmtId="197" fontId="185" fillId="27" borderId="38" xfId="0" applyNumberFormat="1" applyFont="1" applyFill="1" applyBorder="1" applyAlignment="1">
      <alignment horizontal="right" vertical="center"/>
    </xf>
    <xf numFmtId="197" fontId="180" fillId="28" borderId="38" xfId="0" applyNumberFormat="1" applyFont="1" applyFill="1" applyBorder="1" applyAlignment="1">
      <alignment vertical="center"/>
    </xf>
    <xf numFmtId="197" fontId="180" fillId="36" borderId="33" xfId="0" applyNumberFormat="1" applyFont="1" applyFill="1" applyBorder="1" applyAlignment="1">
      <alignment horizontal="right" vertical="center"/>
    </xf>
    <xf numFmtId="0" fontId="180" fillId="28" borderId="19" xfId="0" applyFont="1" applyFill="1" applyBorder="1" applyAlignment="1">
      <alignment horizontal="left" vertical="center" wrapText="1"/>
    </xf>
    <xf numFmtId="0" fontId="180" fillId="28" borderId="7" xfId="0" applyFont="1" applyFill="1" applyBorder="1" applyAlignment="1">
      <alignment horizontal="center" vertical="center" wrapText="1"/>
    </xf>
    <xf numFmtId="0" fontId="180" fillId="28" borderId="1" xfId="0" applyFont="1" applyFill="1" applyBorder="1" applyAlignment="1">
      <alignment horizontal="center" vertical="center" wrapText="1"/>
    </xf>
    <xf numFmtId="0" fontId="180" fillId="28" borderId="20" xfId="0" applyFont="1" applyFill="1" applyBorder="1" applyAlignment="1">
      <alignment horizontal="center" vertical="center" wrapText="1"/>
    </xf>
    <xf numFmtId="197" fontId="186" fillId="27" borderId="1" xfId="0" applyNumberFormat="1" applyFont="1" applyFill="1" applyBorder="1" applyAlignment="1">
      <alignment horizontal="right" vertical="center"/>
    </xf>
    <xf numFmtId="197" fontId="187" fillId="27" borderId="1" xfId="0" applyNumberFormat="1" applyFont="1" applyFill="1" applyBorder="1" applyAlignment="1">
      <alignment vertical="center"/>
    </xf>
    <xf numFmtId="197" fontId="186" fillId="27" borderId="1" xfId="0" applyNumberFormat="1" applyFont="1" applyFill="1" applyBorder="1" applyAlignment="1">
      <alignment vertical="center"/>
    </xf>
    <xf numFmtId="197" fontId="185" fillId="27" borderId="1" xfId="0" applyNumberFormat="1" applyFont="1" applyFill="1" applyBorder="1" applyAlignment="1">
      <alignment horizontal="right" vertical="center"/>
    </xf>
    <xf numFmtId="197" fontId="180" fillId="36" borderId="20" xfId="0" applyNumberFormat="1" applyFont="1" applyFill="1" applyBorder="1" applyAlignment="1">
      <alignment horizontal="right" vertical="center"/>
    </xf>
    <xf numFmtId="0" fontId="180" fillId="28" borderId="11" xfId="0" applyFont="1" applyFill="1" applyBorder="1" applyAlignment="1">
      <alignment horizontal="left" vertical="center" wrapText="1"/>
    </xf>
    <xf numFmtId="197" fontId="180" fillId="27" borderId="1" xfId="0" applyNumberFormat="1" applyFont="1" applyFill="1" applyBorder="1" applyAlignment="1">
      <alignment horizontal="right" vertical="center"/>
    </xf>
    <xf numFmtId="197" fontId="180" fillId="27" borderId="1" xfId="0" applyNumberFormat="1" applyFont="1" applyFill="1" applyBorder="1" applyAlignment="1">
      <alignment vertical="center"/>
    </xf>
    <xf numFmtId="197" fontId="185" fillId="27" borderId="9" xfId="0" applyNumberFormat="1" applyFont="1" applyFill="1" applyBorder="1" applyAlignment="1">
      <alignment horizontal="right" vertical="center"/>
    </xf>
    <xf numFmtId="0" fontId="180" fillId="28" borderId="52" xfId="0" applyFont="1" applyFill="1" applyBorder="1" applyAlignment="1">
      <alignment horizontal="left" vertical="center" wrapText="1"/>
    </xf>
    <xf numFmtId="0" fontId="180" fillId="28" borderId="73" xfId="0" applyFont="1" applyFill="1" applyBorder="1" applyAlignment="1">
      <alignment horizontal="center" vertical="center" wrapText="1"/>
    </xf>
    <xf numFmtId="0" fontId="180" fillId="28" borderId="53" xfId="0" applyFont="1" applyFill="1" applyBorder="1" applyAlignment="1">
      <alignment horizontal="center" vertical="center" wrapText="1"/>
    </xf>
    <xf numFmtId="0" fontId="180" fillId="28" borderId="54" xfId="0" applyFont="1" applyFill="1" applyBorder="1" applyAlignment="1">
      <alignment horizontal="center" vertical="center" wrapText="1"/>
    </xf>
    <xf numFmtId="197" fontId="180" fillId="27" borderId="53" xfId="0" applyNumberFormat="1" applyFont="1" applyFill="1" applyBorder="1" applyAlignment="1">
      <alignment horizontal="right" vertical="center"/>
    </xf>
    <xf numFmtId="197" fontId="180" fillId="27" borderId="53" xfId="0" applyNumberFormat="1" applyFont="1" applyFill="1" applyBorder="1" applyAlignment="1">
      <alignment vertical="center"/>
    </xf>
    <xf numFmtId="197" fontId="185" fillId="27" borderId="53" xfId="0" applyNumberFormat="1" applyFont="1" applyFill="1" applyBorder="1" applyAlignment="1">
      <alignment horizontal="right" vertical="center"/>
    </xf>
    <xf numFmtId="197" fontId="180" fillId="36" borderId="54" xfId="0" applyNumberFormat="1" applyFont="1" applyFill="1" applyBorder="1" applyAlignment="1">
      <alignment horizontal="right" vertical="center"/>
    </xf>
    <xf numFmtId="0" fontId="183" fillId="30" borderId="31" xfId="0" applyFont="1" applyFill="1" applyBorder="1" applyAlignment="1">
      <alignment horizontal="left" vertical="center"/>
    </xf>
    <xf numFmtId="0" fontId="183" fillId="30" borderId="38" xfId="0" applyNumberFormat="1" applyFont="1" applyFill="1" applyBorder="1" applyAlignment="1">
      <alignment vertical="center"/>
    </xf>
    <xf numFmtId="0" fontId="183" fillId="30" borderId="32" xfId="0" applyNumberFormat="1" applyFont="1" applyFill="1" applyBorder="1" applyAlignment="1">
      <alignment horizontal="center" vertical="center"/>
    </xf>
    <xf numFmtId="0" fontId="183" fillId="30" borderId="38" xfId="0" applyNumberFormat="1" applyFont="1" applyFill="1" applyBorder="1" applyAlignment="1">
      <alignment horizontal="center" vertical="center"/>
    </xf>
    <xf numFmtId="0" fontId="183" fillId="30" borderId="62" xfId="0" applyNumberFormat="1" applyFont="1" applyFill="1" applyBorder="1" applyAlignment="1">
      <alignment horizontal="center" vertical="center"/>
    </xf>
    <xf numFmtId="0" fontId="183" fillId="30" borderId="32" xfId="0" applyNumberFormat="1" applyFont="1" applyFill="1" applyBorder="1" applyAlignment="1">
      <alignment vertical="center"/>
    </xf>
    <xf numFmtId="197" fontId="183" fillId="30" borderId="38" xfId="0" applyNumberFormat="1" applyFont="1" applyFill="1" applyBorder="1" applyAlignment="1">
      <alignment vertical="center"/>
    </xf>
    <xf numFmtId="197" fontId="183" fillId="30" borderId="88" xfId="0" applyNumberFormat="1" applyFont="1" applyFill="1" applyBorder="1" applyAlignment="1">
      <alignment horizontal="right" vertical="center"/>
    </xf>
    <xf numFmtId="0" fontId="183" fillId="30" borderId="17" xfId="0" applyFont="1" applyFill="1" applyBorder="1" applyAlignment="1">
      <alignment horizontal="left" vertical="center"/>
    </xf>
    <xf numFmtId="0" fontId="183" fillId="30" borderId="16" xfId="0" applyNumberFormat="1" applyFont="1" applyFill="1" applyBorder="1" applyAlignment="1">
      <alignment vertical="center"/>
    </xf>
    <xf numFmtId="0" fontId="183" fillId="30" borderId="14" xfId="0" applyNumberFormat="1" applyFont="1" applyFill="1" applyBorder="1" applyAlignment="1">
      <alignment vertical="center"/>
    </xf>
    <xf numFmtId="0" fontId="183" fillId="30" borderId="15" xfId="0" applyNumberFormat="1" applyFont="1" applyFill="1" applyBorder="1" applyAlignment="1">
      <alignment vertical="center"/>
    </xf>
    <xf numFmtId="197" fontId="183" fillId="30" borderId="1" xfId="0" applyNumberFormat="1" applyFont="1" applyFill="1" applyBorder="1" applyAlignment="1">
      <alignment vertical="center"/>
    </xf>
    <xf numFmtId="197" fontId="183" fillId="30" borderId="16" xfId="0" applyNumberFormat="1" applyFont="1" applyFill="1" applyBorder="1" applyAlignment="1">
      <alignment vertical="center"/>
    </xf>
    <xf numFmtId="197" fontId="183" fillId="30" borderId="89" xfId="0" applyNumberFormat="1" applyFont="1" applyFill="1" applyBorder="1" applyAlignment="1">
      <alignment horizontal="right" vertical="center"/>
    </xf>
    <xf numFmtId="0" fontId="183" fillId="30" borderId="52" xfId="0" applyFont="1" applyFill="1" applyBorder="1" applyAlignment="1">
      <alignment horizontal="left" vertical="center"/>
    </xf>
    <xf numFmtId="0" fontId="183" fillId="30" borderId="53" xfId="0" applyNumberFormat="1" applyFont="1" applyFill="1" applyBorder="1" applyAlignment="1">
      <alignment horizontal="left" vertical="center"/>
    </xf>
    <xf numFmtId="0" fontId="183" fillId="30" borderId="73" xfId="0" applyNumberFormat="1" applyFont="1" applyFill="1" applyBorder="1" applyAlignment="1">
      <alignment horizontal="left" vertical="center"/>
    </xf>
    <xf numFmtId="0" fontId="183" fillId="30" borderId="68" xfId="0" applyNumberFormat="1" applyFont="1" applyFill="1" applyBorder="1" applyAlignment="1">
      <alignment horizontal="left" vertical="center"/>
    </xf>
    <xf numFmtId="0" fontId="183" fillId="30" borderId="53" xfId="0" applyNumberFormat="1" applyFont="1" applyFill="1" applyBorder="1" applyAlignment="1">
      <alignment vertical="center"/>
    </xf>
    <xf numFmtId="0" fontId="183" fillId="30" borderId="73" xfId="0" applyNumberFormat="1" applyFont="1" applyFill="1" applyBorder="1" applyAlignment="1">
      <alignment vertical="center"/>
    </xf>
    <xf numFmtId="197" fontId="183" fillId="30" borderId="53" xfId="0" applyNumberFormat="1" applyFont="1" applyFill="1" applyBorder="1" applyAlignment="1">
      <alignment vertical="center"/>
    </xf>
    <xf numFmtId="197" fontId="183" fillId="30" borderId="90" xfId="0" applyNumberFormat="1" applyFont="1" applyFill="1" applyBorder="1" applyAlignment="1">
      <alignment horizontal="right" vertical="center"/>
    </xf>
    <xf numFmtId="0" fontId="176" fillId="32" borderId="31" xfId="0" applyFont="1" applyFill="1" applyBorder="1" applyAlignment="1">
      <alignment horizontal="left" vertical="top"/>
    </xf>
    <xf numFmtId="0" fontId="176" fillId="32" borderId="35" xfId="0" applyFont="1" applyFill="1" applyBorder="1" applyAlignment="1">
      <alignment horizontal="left" vertical="top"/>
    </xf>
    <xf numFmtId="0" fontId="176" fillId="32" borderId="31" xfId="0" applyFont="1" applyFill="1" applyBorder="1" applyAlignment="1">
      <alignment horizontal="left" vertical="top" wrapText="1"/>
    </xf>
    <xf numFmtId="0" fontId="176" fillId="32" borderId="32" xfId="0" applyFont="1" applyFill="1" applyBorder="1" applyAlignment="1">
      <alignment horizontal="left" vertical="top" wrapText="1"/>
    </xf>
    <xf numFmtId="197" fontId="176" fillId="32" borderId="38" xfId="0" applyNumberFormat="1" applyFont="1" applyFill="1" applyBorder="1" applyAlignment="1">
      <alignment horizontal="center" vertical="top" wrapText="1"/>
    </xf>
    <xf numFmtId="197" fontId="176" fillId="32" borderId="62" xfId="0" applyNumberFormat="1" applyFont="1" applyFill="1" applyBorder="1" applyAlignment="1">
      <alignment horizontal="center" vertical="top" wrapText="1"/>
    </xf>
    <xf numFmtId="197" fontId="179" fillId="32" borderId="62" xfId="0" applyNumberFormat="1" applyFont="1" applyFill="1" applyBorder="1" applyAlignment="1">
      <alignment horizontal="center" vertical="top" wrapText="1"/>
    </xf>
    <xf numFmtId="0" fontId="176" fillId="32" borderId="62" xfId="0" applyFont="1" applyFill="1" applyBorder="1" applyAlignment="1">
      <alignment horizontal="center" vertical="top" wrapText="1"/>
    </xf>
    <xf numFmtId="0" fontId="176" fillId="32" borderId="38" xfId="0" applyFont="1" applyFill="1" applyBorder="1" applyAlignment="1">
      <alignment horizontal="center" vertical="top" wrapText="1"/>
    </xf>
    <xf numFmtId="0" fontId="176" fillId="32" borderId="33" xfId="0" applyFont="1" applyFill="1" applyBorder="1" applyAlignment="1">
      <alignment horizontal="center" vertical="top" wrapText="1"/>
    </xf>
    <xf numFmtId="207" fontId="175" fillId="0" borderId="16" xfId="0" applyNumberFormat="1" applyFont="1" applyFill="1" applyBorder="1" applyAlignment="1">
      <alignment vertical="center"/>
    </xf>
    <xf numFmtId="197" fontId="180" fillId="14" borderId="18" xfId="0" applyNumberFormat="1" applyFont="1" applyFill="1" applyBorder="1" applyAlignment="1">
      <alignment horizontal="right" vertical="center"/>
    </xf>
    <xf numFmtId="197" fontId="180" fillId="14" borderId="20" xfId="0" applyNumberFormat="1" applyFont="1" applyFill="1" applyBorder="1" applyAlignment="1">
      <alignment horizontal="right" vertical="center"/>
    </xf>
    <xf numFmtId="0" fontId="175" fillId="13" borderId="19" xfId="0" applyFont="1" applyFill="1" applyBorder="1" applyAlignment="1">
      <alignment vertical="center"/>
    </xf>
    <xf numFmtId="0" fontId="175" fillId="13" borderId="7" xfId="0" applyFont="1" applyFill="1" applyBorder="1" applyAlignment="1">
      <alignment vertical="center"/>
    </xf>
    <xf numFmtId="207" fontId="175" fillId="0" borderId="1" xfId="0" applyNumberFormat="1" applyFont="1" applyFill="1" applyBorder="1" applyAlignment="1">
      <alignment vertical="center"/>
    </xf>
    <xf numFmtId="207" fontId="188" fillId="0" borderId="1" xfId="0" applyNumberFormat="1" applyFont="1" applyFill="1" applyBorder="1" applyAlignment="1">
      <alignment vertical="center"/>
    </xf>
    <xf numFmtId="0" fontId="180" fillId="18" borderId="92" xfId="0" applyFont="1" applyFill="1" applyBorder="1" applyAlignment="1">
      <alignment horizontal="left" vertical="center" wrapText="1"/>
    </xf>
    <xf numFmtId="0" fontId="175" fillId="18" borderId="11" xfId="0" applyFont="1" applyFill="1" applyBorder="1" applyAlignment="1">
      <alignment vertical="center"/>
    </xf>
    <xf numFmtId="0" fontId="175" fillId="18" borderId="13" xfId="0" applyFont="1" applyFill="1" applyBorder="1" applyAlignment="1">
      <alignment vertical="center"/>
    </xf>
    <xf numFmtId="197" fontId="175" fillId="0" borderId="9" xfId="0" applyNumberFormat="1" applyFont="1" applyFill="1" applyBorder="1" applyAlignment="1">
      <alignment vertical="center"/>
    </xf>
    <xf numFmtId="207" fontId="175" fillId="0" borderId="9" xfId="0" applyNumberFormat="1" applyFont="1" applyFill="1" applyBorder="1" applyAlignment="1">
      <alignment vertical="center"/>
    </xf>
    <xf numFmtId="207" fontId="188" fillId="0" borderId="9" xfId="0" applyNumberFormat="1" applyFont="1" applyFill="1" applyBorder="1" applyAlignment="1">
      <alignment vertical="center"/>
    </xf>
    <xf numFmtId="197" fontId="180" fillId="14" borderId="9" xfId="0" applyNumberFormat="1" applyFont="1" applyFill="1" applyBorder="1" applyAlignment="1">
      <alignment horizontal="right" vertical="center"/>
    </xf>
    <xf numFmtId="197" fontId="180" fillId="14" borderId="9" xfId="0" applyNumberFormat="1" applyFont="1" applyFill="1" applyBorder="1" applyAlignment="1">
      <alignment vertical="center"/>
    </xf>
    <xf numFmtId="0" fontId="175" fillId="0" borderId="11" xfId="0" applyFont="1" applyFill="1" applyBorder="1" applyAlignment="1">
      <alignment vertical="center"/>
    </xf>
    <xf numFmtId="0" fontId="175" fillId="0" borderId="13" xfId="0" applyFont="1" applyFill="1" applyBorder="1" applyAlignment="1">
      <alignment vertical="center"/>
    </xf>
    <xf numFmtId="197" fontId="182" fillId="14" borderId="9" xfId="0" applyNumberFormat="1" applyFont="1" applyFill="1" applyBorder="1" applyAlignment="1">
      <alignment vertical="center"/>
    </xf>
    <xf numFmtId="197" fontId="182" fillId="14" borderId="9" xfId="0" applyNumberFormat="1" applyFont="1" applyFill="1" applyBorder="1" applyAlignment="1">
      <alignment horizontal="right" vertical="center"/>
    </xf>
    <xf numFmtId="207" fontId="175" fillId="0" borderId="53" xfId="0" applyNumberFormat="1" applyFont="1" applyFill="1" applyBorder="1" applyAlignment="1">
      <alignment vertical="center"/>
    </xf>
    <xf numFmtId="207" fontId="175" fillId="0" borderId="38" xfId="0" applyNumberFormat="1" applyFont="1" applyFill="1" applyBorder="1" applyAlignment="1">
      <alignment vertical="center"/>
    </xf>
    <xf numFmtId="197" fontId="180" fillId="14" borderId="33" xfId="0" applyNumberFormat="1" applyFont="1" applyFill="1" applyBorder="1" applyAlignment="1">
      <alignment horizontal="right" vertical="center"/>
    </xf>
    <xf numFmtId="0" fontId="175" fillId="13" borderId="17" xfId="0" applyFont="1" applyFill="1" applyBorder="1" applyAlignment="1">
      <alignment vertical="center"/>
    </xf>
    <xf numFmtId="0" fontId="175" fillId="13" borderId="14" xfId="0" applyFont="1" applyFill="1" applyBorder="1" applyAlignment="1">
      <alignment vertical="center"/>
    </xf>
    <xf numFmtId="207" fontId="188" fillId="0" borderId="16" xfId="0" applyNumberFormat="1" applyFont="1" applyFill="1" applyBorder="1" applyAlignment="1">
      <alignment vertical="center"/>
    </xf>
    <xf numFmtId="0" fontId="175" fillId="18" borderId="17" xfId="0" applyFont="1" applyFill="1" applyBorder="1" applyAlignment="1">
      <alignment vertical="center"/>
    </xf>
    <xf numFmtId="0" fontId="175" fillId="18" borderId="14" xfId="0" applyFont="1" applyFill="1" applyBorder="1" applyAlignment="1">
      <alignment vertical="center"/>
    </xf>
    <xf numFmtId="197" fontId="182" fillId="14" borderId="16" xfId="0" applyNumberFormat="1" applyFont="1" applyFill="1" applyBorder="1" applyAlignment="1">
      <alignment horizontal="right" vertical="center"/>
    </xf>
    <xf numFmtId="197" fontId="180" fillId="14" borderId="54" xfId="0" applyNumberFormat="1" applyFont="1" applyFill="1" applyBorder="1" applyAlignment="1">
      <alignment horizontal="right" vertical="center"/>
    </xf>
    <xf numFmtId="207" fontId="175" fillId="0" borderId="32" xfId="0" applyNumberFormat="1" applyFont="1" applyFill="1" applyBorder="1" applyAlignment="1">
      <alignment vertical="center"/>
    </xf>
    <xf numFmtId="197" fontId="175" fillId="0" borderId="14" xfId="0" applyNumberFormat="1" applyFont="1" applyFill="1" applyBorder="1" applyAlignment="1">
      <alignment vertical="center"/>
    </xf>
    <xf numFmtId="207" fontId="175" fillId="0" borderId="14" xfId="0" applyNumberFormat="1" applyFont="1" applyFill="1" applyBorder="1" applyAlignment="1">
      <alignment vertical="center"/>
    </xf>
    <xf numFmtId="207" fontId="175" fillId="0" borderId="7" xfId="0" applyNumberFormat="1" applyFont="1" applyFill="1" applyBorder="1" applyAlignment="1">
      <alignment vertical="center"/>
    </xf>
    <xf numFmtId="207" fontId="188" fillId="0" borderId="7" xfId="0" applyNumberFormat="1" applyFont="1" applyFill="1" applyBorder="1" applyAlignment="1">
      <alignment vertical="center"/>
    </xf>
    <xf numFmtId="0" fontId="175" fillId="18" borderId="19" xfId="0" applyFont="1" applyFill="1" applyBorder="1" applyAlignment="1">
      <alignment vertical="center"/>
    </xf>
    <xf numFmtId="0" fontId="175" fillId="18" borderId="7" xfId="0" applyFont="1" applyFill="1" applyBorder="1" applyAlignment="1">
      <alignment vertical="center"/>
    </xf>
    <xf numFmtId="197" fontId="182" fillId="14" borderId="1" xfId="0" applyNumberFormat="1" applyFont="1" applyFill="1" applyBorder="1" applyAlignment="1">
      <alignment horizontal="right" vertical="center"/>
    </xf>
    <xf numFmtId="0" fontId="176" fillId="32" borderId="33" xfId="0" applyNumberFormat="1" applyFont="1" applyFill="1" applyBorder="1" applyAlignment="1">
      <alignment vertical="center"/>
    </xf>
    <xf numFmtId="0" fontId="176" fillId="32" borderId="31" xfId="0" applyNumberFormat="1" applyFont="1" applyFill="1" applyBorder="1" applyAlignment="1">
      <alignment vertical="center"/>
    </xf>
    <xf numFmtId="0" fontId="176" fillId="32" borderId="32" xfId="0" applyNumberFormat="1" applyFont="1" applyFill="1" applyBorder="1" applyAlignment="1">
      <alignment vertical="center"/>
    </xf>
    <xf numFmtId="197" fontId="176" fillId="32" borderId="38" xfId="0" applyNumberFormat="1" applyFont="1" applyFill="1" applyBorder="1" applyAlignment="1">
      <alignment vertical="center"/>
    </xf>
    <xf numFmtId="0" fontId="176" fillId="32" borderId="20" xfId="0" applyNumberFormat="1" applyFont="1" applyFill="1" applyBorder="1" applyAlignment="1">
      <alignment horizontal="left" vertical="center"/>
    </xf>
    <xf numFmtId="0" fontId="176" fillId="32" borderId="19" xfId="0" applyNumberFormat="1" applyFont="1" applyFill="1" applyBorder="1" applyAlignment="1">
      <alignment vertical="center"/>
    </xf>
    <xf numFmtId="0" fontId="176" fillId="32" borderId="7" xfId="0" applyNumberFormat="1" applyFont="1" applyFill="1" applyBorder="1" applyAlignment="1">
      <alignment vertical="center"/>
    </xf>
    <xf numFmtId="197" fontId="176" fillId="32" borderId="1" xfId="0" applyNumberFormat="1" applyFont="1" applyFill="1" applyBorder="1" applyAlignment="1">
      <alignment vertical="center"/>
    </xf>
    <xf numFmtId="0" fontId="176" fillId="32" borderId="52" xfId="0" applyFont="1" applyFill="1" applyBorder="1" applyAlignment="1">
      <alignment horizontal="left" vertical="center"/>
    </xf>
    <xf numFmtId="0" fontId="176" fillId="32" borderId="54" xfId="0" applyNumberFormat="1" applyFont="1" applyFill="1" applyBorder="1" applyAlignment="1">
      <alignment horizontal="left" vertical="center"/>
    </xf>
    <xf numFmtId="0" fontId="176" fillId="32" borderId="52" xfId="0" applyNumberFormat="1" applyFont="1" applyFill="1" applyBorder="1" applyAlignment="1">
      <alignment vertical="center"/>
    </xf>
    <xf numFmtId="0" fontId="176" fillId="32" borderId="73" xfId="0" applyNumberFormat="1" applyFont="1" applyFill="1" applyBorder="1" applyAlignment="1">
      <alignment vertical="center"/>
    </xf>
    <xf numFmtId="197" fontId="176" fillId="32" borderId="53" xfId="0" applyNumberFormat="1" applyFont="1" applyFill="1" applyBorder="1" applyAlignment="1">
      <alignment vertical="center"/>
    </xf>
    <xf numFmtId="208" fontId="183" fillId="8" borderId="38" xfId="0" applyNumberFormat="1" applyFont="1" applyFill="1" applyBorder="1" applyAlignment="1">
      <alignment horizontal="left" vertical="center" wrapText="1"/>
    </xf>
    <xf numFmtId="208" fontId="183" fillId="8" borderId="1" xfId="0" applyNumberFormat="1" applyFont="1" applyFill="1" applyBorder="1" applyAlignment="1">
      <alignment horizontal="center" vertical="center" wrapText="1"/>
    </xf>
    <xf numFmtId="208" fontId="183" fillId="8" borderId="9" xfId="0" applyNumberFormat="1" applyFont="1" applyFill="1" applyBorder="1" applyAlignment="1">
      <alignment horizontal="center" vertical="center" wrapText="1"/>
    </xf>
    <xf numFmtId="0" fontId="180" fillId="28" borderId="77" xfId="0" applyFont="1" applyFill="1" applyBorder="1" applyAlignment="1">
      <alignment horizontal="center" vertical="center" wrapText="1"/>
    </xf>
    <xf numFmtId="0" fontId="180" fillId="28" borderId="88" xfId="0" applyFont="1" applyFill="1" applyBorder="1" applyAlignment="1">
      <alignment horizontal="center" vertical="center" wrapText="1"/>
    </xf>
    <xf numFmtId="208" fontId="175" fillId="0" borderId="38" xfId="0" applyNumberFormat="1" applyFont="1" applyFill="1" applyBorder="1" applyAlignment="1">
      <alignment vertical="center"/>
    </xf>
    <xf numFmtId="0" fontId="180" fillId="28" borderId="21" xfId="0" applyFont="1" applyFill="1" applyBorder="1" applyAlignment="1">
      <alignment horizontal="center" vertical="center" wrapText="1"/>
    </xf>
    <xf numFmtId="0" fontId="180" fillId="28" borderId="89" xfId="0" applyFont="1" applyFill="1" applyBorder="1" applyAlignment="1">
      <alignment horizontal="center" vertical="center" wrapText="1"/>
    </xf>
    <xf numFmtId="208" fontId="175" fillId="0" borderId="1" xfId="0" applyNumberFormat="1" applyFont="1" applyFill="1" applyBorder="1" applyAlignment="1">
      <alignment vertical="center"/>
    </xf>
    <xf numFmtId="197" fontId="180" fillId="28" borderId="1" xfId="0" applyNumberFormat="1" applyFont="1" applyFill="1" applyBorder="1" applyAlignment="1">
      <alignment vertical="center"/>
    </xf>
    <xf numFmtId="0" fontId="180" fillId="28" borderId="93" xfId="0" applyFont="1" applyFill="1" applyBorder="1" applyAlignment="1">
      <alignment horizontal="center" vertical="center" wrapText="1"/>
    </xf>
    <xf numFmtId="0" fontId="180" fillId="28" borderId="90" xfId="0" applyFont="1" applyFill="1" applyBorder="1" applyAlignment="1">
      <alignment horizontal="center" vertical="center" wrapText="1"/>
    </xf>
    <xf numFmtId="208" fontId="175" fillId="0" borderId="53" xfId="0" applyNumberFormat="1" applyFont="1" applyFill="1" applyBorder="1" applyAlignment="1">
      <alignment vertical="center"/>
    </xf>
    <xf numFmtId="197" fontId="180" fillId="28" borderId="53" xfId="0" applyNumberFormat="1" applyFont="1" applyFill="1" applyBorder="1" applyAlignment="1">
      <alignment vertical="center"/>
    </xf>
    <xf numFmtId="0" fontId="180" fillId="28" borderId="76" xfId="0" applyFont="1" applyFill="1" applyBorder="1" applyAlignment="1">
      <alignment horizontal="left" vertical="center" wrapText="1"/>
    </xf>
    <xf numFmtId="208" fontId="175" fillId="0" borderId="16" xfId="0" applyNumberFormat="1" applyFont="1" applyFill="1" applyBorder="1" applyAlignment="1">
      <alignment vertical="center"/>
    </xf>
    <xf numFmtId="197" fontId="180" fillId="27" borderId="16" xfId="0" applyNumberFormat="1" applyFont="1" applyFill="1" applyBorder="1" applyAlignment="1">
      <alignment horizontal="right" vertical="center"/>
    </xf>
    <xf numFmtId="197" fontId="180" fillId="27" borderId="16" xfId="0" applyNumberFormat="1" applyFont="1" applyFill="1" applyBorder="1" applyAlignment="1">
      <alignment vertical="center"/>
    </xf>
    <xf numFmtId="197" fontId="180" fillId="28" borderId="16" xfId="0" applyNumberFormat="1" applyFont="1" applyFill="1" applyBorder="1" applyAlignment="1">
      <alignment vertical="center"/>
    </xf>
    <xf numFmtId="197" fontId="180" fillId="36" borderId="18" xfId="0" applyNumberFormat="1" applyFont="1" applyFill="1" applyBorder="1" applyAlignment="1">
      <alignment horizontal="right" vertical="center"/>
    </xf>
    <xf numFmtId="0" fontId="180" fillId="28" borderId="80" xfId="0" applyFont="1" applyFill="1" applyBorder="1" applyAlignment="1">
      <alignment horizontal="left" vertical="center" wrapText="1"/>
    </xf>
    <xf numFmtId="0" fontId="180" fillId="28" borderId="81" xfId="0" applyFont="1" applyFill="1" applyBorder="1" applyAlignment="1">
      <alignment horizontal="left" vertical="center" wrapText="1"/>
    </xf>
    <xf numFmtId="208" fontId="183" fillId="30" borderId="38" xfId="0" applyNumberFormat="1" applyFont="1" applyFill="1" applyBorder="1" applyAlignment="1">
      <alignment vertical="center"/>
    </xf>
    <xf numFmtId="208" fontId="183" fillId="30" borderId="53" xfId="0" applyNumberFormat="1" applyFont="1" applyFill="1" applyBorder="1" applyAlignment="1">
      <alignment vertical="center"/>
    </xf>
    <xf numFmtId="191" fontId="175" fillId="0" borderId="0" xfId="0" applyNumberFormat="1" applyFont="1" applyFill="1" applyBorder="1" applyAlignment="1"/>
    <xf numFmtId="0" fontId="183" fillId="8" borderId="31" xfId="0" applyFont="1" applyFill="1" applyBorder="1" applyAlignment="1">
      <alignment horizontal="left" vertical="top"/>
    </xf>
    <xf numFmtId="0" fontId="183" fillId="8" borderId="35" xfId="0" applyFont="1" applyFill="1" applyBorder="1" applyAlignment="1">
      <alignment horizontal="left" vertical="top"/>
    </xf>
    <xf numFmtId="0" fontId="183" fillId="8" borderId="31" xfId="0" applyFont="1" applyFill="1" applyBorder="1" applyAlignment="1">
      <alignment horizontal="left" vertical="top" wrapText="1"/>
    </xf>
    <xf numFmtId="0" fontId="183" fillId="8" borderId="32" xfId="0" applyFont="1" applyFill="1" applyBorder="1" applyAlignment="1">
      <alignment horizontal="left" vertical="top" wrapText="1"/>
    </xf>
    <xf numFmtId="197" fontId="183" fillId="8" borderId="38" xfId="0" applyNumberFormat="1" applyFont="1" applyFill="1" applyBorder="1" applyAlignment="1">
      <alignment horizontal="center" vertical="top" wrapText="1"/>
    </xf>
    <xf numFmtId="197" fontId="183" fillId="8" borderId="62" xfId="0" applyNumberFormat="1" applyFont="1" applyFill="1" applyBorder="1" applyAlignment="1">
      <alignment horizontal="center" vertical="top" wrapText="1"/>
    </xf>
    <xf numFmtId="0" fontId="184" fillId="8" borderId="62" xfId="0" applyFont="1" applyFill="1" applyBorder="1" applyAlignment="1">
      <alignment horizontal="center" vertical="top" wrapText="1"/>
    </xf>
    <xf numFmtId="0" fontId="183" fillId="8" borderId="38" xfId="0" applyFont="1" applyFill="1" applyBorder="1" applyAlignment="1">
      <alignment horizontal="center" vertical="top" wrapText="1"/>
    </xf>
    <xf numFmtId="0" fontId="183" fillId="8" borderId="33" xfId="0" applyFont="1" applyFill="1" applyBorder="1" applyAlignment="1">
      <alignment horizontal="center" vertical="top" wrapText="1"/>
    </xf>
    <xf numFmtId="0" fontId="183" fillId="8" borderId="19" xfId="0" applyFont="1" applyFill="1" applyBorder="1" applyAlignment="1">
      <alignment horizontal="left" vertical="center"/>
    </xf>
    <xf numFmtId="0" fontId="183" fillId="8" borderId="6" xfId="0" applyFont="1" applyFill="1" applyBorder="1" applyAlignment="1">
      <alignment horizontal="left" vertical="center"/>
    </xf>
    <xf numFmtId="0" fontId="183" fillId="8" borderId="19" xfId="0" applyFont="1" applyFill="1" applyBorder="1" applyAlignment="1">
      <alignment horizontal="left" vertical="center" wrapText="1"/>
    </xf>
    <xf numFmtId="0" fontId="183" fillId="8" borderId="7" xfId="0" applyFont="1" applyFill="1" applyBorder="1" applyAlignment="1">
      <alignment horizontal="left" vertical="center" wrapText="1"/>
    </xf>
    <xf numFmtId="197" fontId="183" fillId="8" borderId="1" xfId="0" applyNumberFormat="1" applyFont="1" applyFill="1" applyBorder="1" applyAlignment="1">
      <alignment horizontal="center" vertical="center" wrapText="1"/>
    </xf>
    <xf numFmtId="0" fontId="183" fillId="8" borderId="1" xfId="0" applyFont="1" applyFill="1" applyBorder="1" applyAlignment="1">
      <alignment horizontal="center" vertical="center" wrapText="1"/>
    </xf>
    <xf numFmtId="0" fontId="183" fillId="8" borderId="20" xfId="0" applyFont="1" applyFill="1" applyBorder="1" applyAlignment="1">
      <alignment horizontal="right" vertical="center" wrapText="1"/>
    </xf>
    <xf numFmtId="0" fontId="189" fillId="28" borderId="91" xfId="0" applyFont="1" applyFill="1" applyBorder="1" applyAlignment="1">
      <alignment horizontal="left" vertical="center" wrapText="1"/>
    </xf>
    <xf numFmtId="0" fontId="190" fillId="28" borderId="91" xfId="0" applyFont="1" applyFill="1" applyBorder="1" applyAlignment="1">
      <alignment horizontal="left" vertical="center" wrapText="1"/>
    </xf>
    <xf numFmtId="0" fontId="190" fillId="28" borderId="45" xfId="0" applyFont="1" applyFill="1" applyBorder="1" applyAlignment="1">
      <alignment horizontal="left" vertical="center" wrapText="1"/>
    </xf>
    <xf numFmtId="0" fontId="190" fillId="28" borderId="92" xfId="0" applyFont="1" applyFill="1" applyBorder="1" applyAlignment="1">
      <alignment horizontal="left" vertical="center" wrapText="1"/>
    </xf>
    <xf numFmtId="197" fontId="186" fillId="27" borderId="9" xfId="0" applyNumberFormat="1" applyFont="1" applyFill="1" applyBorder="1" applyAlignment="1">
      <alignment horizontal="right" vertical="center"/>
    </xf>
    <xf numFmtId="197" fontId="180" fillId="27" borderId="9" xfId="0" applyNumberFormat="1" applyFont="1" applyFill="1" applyBorder="1" applyAlignment="1">
      <alignment horizontal="right" vertical="center"/>
    </xf>
    <xf numFmtId="197" fontId="180" fillId="27" borderId="9" xfId="0" applyNumberFormat="1" applyFont="1" applyFill="1" applyBorder="1" applyAlignment="1">
      <alignment vertical="center"/>
    </xf>
    <xf numFmtId="197" fontId="180" fillId="36" borderId="12" xfId="0" applyNumberFormat="1" applyFont="1" applyFill="1" applyBorder="1" applyAlignment="1">
      <alignment horizontal="right" vertical="center"/>
    </xf>
    <xf numFmtId="0" fontId="189" fillId="28" borderId="35" xfId="0" applyFont="1" applyFill="1" applyBorder="1" applyAlignment="1">
      <alignment horizontal="left" vertical="center" wrapText="1"/>
    </xf>
    <xf numFmtId="197" fontId="180" fillId="27" borderId="21" xfId="0" applyNumberFormat="1" applyFont="1" applyFill="1" applyBorder="1" applyAlignment="1">
      <alignment vertical="center"/>
    </xf>
    <xf numFmtId="197" fontId="186" fillId="27" borderId="16" xfId="0" applyNumberFormat="1" applyFont="1" applyFill="1" applyBorder="1" applyAlignment="1">
      <alignment vertical="center"/>
    </xf>
    <xf numFmtId="197" fontId="186" fillId="27" borderId="16" xfId="0" applyNumberFormat="1" applyFont="1" applyFill="1" applyBorder="1" applyAlignment="1">
      <alignment horizontal="right" vertical="center"/>
    </xf>
    <xf numFmtId="0" fontId="175" fillId="0" borderId="1" xfId="0" applyFont="1" applyFill="1" applyBorder="1" applyAlignment="1">
      <alignment vertical="center"/>
    </xf>
    <xf numFmtId="0" fontId="190" fillId="28" borderId="82" xfId="0" applyFont="1" applyFill="1" applyBorder="1" applyAlignment="1">
      <alignment horizontal="left" vertical="center" wrapText="1"/>
    </xf>
    <xf numFmtId="197" fontId="180" fillId="27" borderId="93" xfId="0" applyNumberFormat="1" applyFont="1" applyFill="1" applyBorder="1" applyAlignment="1">
      <alignment vertical="center"/>
    </xf>
    <xf numFmtId="0" fontId="183" fillId="30" borderId="33" xfId="0" applyNumberFormat="1" applyFont="1" applyFill="1" applyBorder="1" applyAlignment="1">
      <alignment vertical="center"/>
    </xf>
    <xf numFmtId="0" fontId="183" fillId="30" borderId="31" xfId="0" applyNumberFormat="1" applyFont="1" applyFill="1" applyBorder="1" applyAlignment="1">
      <alignment vertical="center"/>
    </xf>
    <xf numFmtId="197" fontId="183" fillId="37" borderId="16" xfId="0" applyNumberFormat="1" applyFont="1" applyFill="1" applyBorder="1" applyAlignment="1">
      <alignment vertical="center"/>
    </xf>
    <xf numFmtId="0" fontId="183" fillId="30" borderId="19" xfId="0" applyFont="1" applyFill="1" applyBorder="1" applyAlignment="1">
      <alignment horizontal="left" vertical="center"/>
    </xf>
    <xf numFmtId="0" fontId="183" fillId="30" borderId="20" xfId="0" applyNumberFormat="1" applyFont="1" applyFill="1" applyBorder="1" applyAlignment="1">
      <alignment horizontal="left" vertical="center"/>
    </xf>
    <xf numFmtId="0" fontId="183" fillId="30" borderId="19" xfId="0" applyNumberFormat="1" applyFont="1" applyFill="1" applyBorder="1" applyAlignment="1">
      <alignment vertical="center"/>
    </xf>
    <xf numFmtId="0" fontId="183" fillId="30" borderId="7" xfId="0" applyNumberFormat="1" applyFont="1" applyFill="1" applyBorder="1" applyAlignment="1">
      <alignment vertical="center"/>
    </xf>
    <xf numFmtId="0" fontId="183" fillId="30" borderId="54" xfId="0" applyNumberFormat="1" applyFont="1" applyFill="1" applyBorder="1" applyAlignment="1">
      <alignment horizontal="left" vertical="center"/>
    </xf>
    <xf numFmtId="0" fontId="183" fillId="30" borderId="52" xfId="0" applyNumberFormat="1" applyFont="1" applyFill="1" applyBorder="1" applyAlignment="1">
      <alignment vertical="center"/>
    </xf>
    <xf numFmtId="0" fontId="183" fillId="8" borderId="35" xfId="0" applyFont="1" applyFill="1" applyBorder="1" applyAlignment="1">
      <alignment horizontal="left" vertical="center"/>
    </xf>
    <xf numFmtId="197" fontId="183" fillId="8" borderId="38" xfId="0" applyNumberFormat="1" applyFont="1" applyFill="1" applyBorder="1" applyAlignment="1">
      <alignment horizontal="center" vertical="center" wrapText="1"/>
    </xf>
    <xf numFmtId="209" fontId="168" fillId="8" borderId="38" xfId="0" applyNumberFormat="1" applyFont="1" applyFill="1" applyBorder="1" applyAlignment="1">
      <alignment horizontal="left" vertical="center" wrapText="1"/>
    </xf>
    <xf numFmtId="0" fontId="183" fillId="8" borderId="62" xfId="0" applyFont="1" applyFill="1" applyBorder="1" applyAlignment="1">
      <alignment horizontal="center" vertical="center" wrapText="1"/>
    </xf>
    <xf numFmtId="14" fontId="183" fillId="8" borderId="62" xfId="0" applyNumberFormat="1" applyFont="1" applyFill="1" applyBorder="1" applyAlignment="1">
      <alignment horizontal="center" vertical="center" wrapText="1"/>
    </xf>
    <xf numFmtId="0" fontId="183" fillId="8" borderId="1" xfId="0" applyFont="1" applyFill="1" applyBorder="1" applyAlignment="1">
      <alignment horizontal="center" vertical="center"/>
    </xf>
    <xf numFmtId="209" fontId="183" fillId="8" borderId="1" xfId="0" applyNumberFormat="1" applyFont="1" applyFill="1" applyBorder="1" applyAlignment="1">
      <alignment horizontal="center" vertical="center" wrapText="1"/>
    </xf>
    <xf numFmtId="0" fontId="183" fillId="8" borderId="52" xfId="0" applyFont="1" applyFill="1" applyBorder="1" applyAlignment="1">
      <alignment horizontal="left" vertical="center"/>
    </xf>
    <xf numFmtId="0" fontId="183" fillId="8" borderId="10" xfId="0" applyFont="1" applyFill="1" applyBorder="1" applyAlignment="1">
      <alignment horizontal="left" vertical="center"/>
    </xf>
    <xf numFmtId="0" fontId="183" fillId="8" borderId="1" xfId="0" applyFont="1" applyFill="1" applyBorder="1" applyAlignment="1">
      <alignment horizontal="left" vertical="center"/>
    </xf>
    <xf numFmtId="0" fontId="183" fillId="8" borderId="13" xfId="0" applyFont="1" applyFill="1" applyBorder="1" applyAlignment="1">
      <alignment horizontal="left" vertical="center" wrapText="1"/>
    </xf>
    <xf numFmtId="197" fontId="183" fillId="8" borderId="9" xfId="0" applyNumberFormat="1" applyFont="1" applyFill="1" applyBorder="1" applyAlignment="1">
      <alignment horizontal="center" vertical="center" wrapText="1"/>
    </xf>
    <xf numFmtId="209" fontId="183" fillId="8" borderId="9" xfId="0" applyNumberFormat="1" applyFont="1" applyFill="1" applyBorder="1" applyAlignment="1">
      <alignment horizontal="center" vertical="center" wrapText="1"/>
    </xf>
    <xf numFmtId="0" fontId="183" fillId="8" borderId="12" xfId="0" applyFont="1" applyFill="1" applyBorder="1" applyAlignment="1">
      <alignment horizontal="right" vertical="center" wrapText="1"/>
    </xf>
    <xf numFmtId="0" fontId="180" fillId="0" borderId="71" xfId="0" applyFont="1" applyFill="1" applyBorder="1" applyAlignment="1">
      <alignment horizontal="left" vertical="center" wrapText="1"/>
    </xf>
    <xf numFmtId="0" fontId="191" fillId="28" borderId="19" xfId="0" applyFont="1" applyFill="1" applyBorder="1" applyAlignment="1">
      <alignment horizontal="left" vertical="center" wrapText="1"/>
    </xf>
    <xf numFmtId="0" fontId="175" fillId="12" borderId="1" xfId="0" applyFont="1" applyFill="1" applyBorder="1" applyAlignment="1">
      <alignment vertical="center"/>
    </xf>
    <xf numFmtId="209" fontId="175" fillId="0" borderId="1" xfId="0" applyNumberFormat="1" applyFont="1" applyFill="1" applyBorder="1" applyAlignment="1">
      <alignment vertical="center"/>
    </xf>
    <xf numFmtId="197" fontId="192" fillId="27" borderId="1" xfId="0" applyNumberFormat="1" applyFont="1" applyFill="1" applyBorder="1" applyAlignment="1">
      <alignment horizontal="right" vertical="center"/>
    </xf>
    <xf numFmtId="0" fontId="180" fillId="0" borderId="3" xfId="0" applyFont="1" applyFill="1" applyBorder="1" applyAlignment="1">
      <alignment horizontal="left" vertical="center" wrapText="1"/>
    </xf>
    <xf numFmtId="0" fontId="192" fillId="28" borderId="19" xfId="0" applyFont="1" applyFill="1" applyBorder="1" applyAlignment="1">
      <alignment horizontal="left" vertical="center" wrapText="1"/>
    </xf>
    <xf numFmtId="0" fontId="192" fillId="28" borderId="11" xfId="0" applyFont="1" applyFill="1" applyBorder="1" applyAlignment="1">
      <alignment horizontal="left" vertical="center" wrapText="1"/>
    </xf>
    <xf numFmtId="0" fontId="180" fillId="28" borderId="9" xfId="0" applyFont="1" applyFill="1" applyBorder="1" applyAlignment="1">
      <alignment horizontal="center" vertical="center" wrapText="1"/>
    </xf>
    <xf numFmtId="0" fontId="175" fillId="12" borderId="9" xfId="0" applyFont="1" applyFill="1" applyBorder="1" applyAlignment="1">
      <alignment vertical="center"/>
    </xf>
    <xf numFmtId="0" fontId="175" fillId="0" borderId="9" xfId="0" applyFont="1" applyFill="1" applyBorder="1" applyAlignment="1">
      <alignment vertical="center"/>
    </xf>
    <xf numFmtId="209" fontId="175" fillId="0" borderId="9" xfId="0" applyNumberFormat="1" applyFont="1" applyFill="1" applyBorder="1" applyAlignment="1">
      <alignment vertical="center"/>
    </xf>
    <xf numFmtId="197" fontId="192" fillId="27" borderId="53" xfId="0" applyNumberFormat="1" applyFont="1" applyFill="1" applyBorder="1" applyAlignment="1">
      <alignment horizontal="right" vertical="center"/>
    </xf>
    <xf numFmtId="0" fontId="191" fillId="28" borderId="31" xfId="0" applyFont="1" applyFill="1" applyBorder="1" applyAlignment="1">
      <alignment horizontal="left" vertical="center" wrapText="1"/>
    </xf>
    <xf numFmtId="0" fontId="175" fillId="12" borderId="38" xfId="0" applyFont="1" applyFill="1" applyBorder="1" applyAlignment="1">
      <alignment vertical="center"/>
    </xf>
    <xf numFmtId="0" fontId="175" fillId="0" borderId="38" xfId="0" applyFont="1" applyFill="1" applyBorder="1" applyAlignment="1">
      <alignment vertical="center"/>
    </xf>
    <xf numFmtId="209" fontId="175" fillId="0" borderId="38" xfId="0" applyNumberFormat="1" applyFont="1" applyFill="1" applyBorder="1" applyAlignment="1">
      <alignment vertical="center"/>
    </xf>
    <xf numFmtId="197" fontId="192" fillId="27" borderId="16" xfId="0" applyNumberFormat="1" applyFont="1" applyFill="1" applyBorder="1" applyAlignment="1">
      <alignment horizontal="right" vertical="center"/>
    </xf>
    <xf numFmtId="0" fontId="192" fillId="28" borderId="52" xfId="0" applyFont="1" applyFill="1" applyBorder="1" applyAlignment="1">
      <alignment horizontal="left" vertical="center" wrapText="1"/>
    </xf>
    <xf numFmtId="0" fontId="175" fillId="12" borderId="53" xfId="0" applyFont="1" applyFill="1" applyBorder="1" applyAlignment="1">
      <alignment vertical="center"/>
    </xf>
    <xf numFmtId="0" fontId="175" fillId="0" borderId="53" xfId="0" applyFont="1" applyFill="1" applyBorder="1" applyAlignment="1">
      <alignment vertical="center"/>
    </xf>
    <xf numFmtId="209" fontId="175" fillId="0" borderId="53" xfId="0" applyNumberFormat="1" applyFont="1" applyFill="1" applyBorder="1" applyAlignment="1">
      <alignment vertical="center"/>
    </xf>
    <xf numFmtId="0" fontId="191" fillId="28" borderId="17" xfId="0" applyFont="1" applyFill="1" applyBorder="1" applyAlignment="1">
      <alignment horizontal="left" vertical="center" wrapText="1"/>
    </xf>
    <xf numFmtId="0" fontId="180" fillId="28" borderId="16" xfId="0" applyFont="1" applyFill="1" applyBorder="1" applyAlignment="1">
      <alignment horizontal="center" vertical="center" wrapText="1"/>
    </xf>
    <xf numFmtId="0" fontId="175" fillId="12" borderId="16" xfId="0" applyFont="1" applyFill="1" applyBorder="1" applyAlignment="1">
      <alignment vertical="center"/>
    </xf>
    <xf numFmtId="0" fontId="175" fillId="0" borderId="16" xfId="0" applyFont="1" applyFill="1" applyBorder="1" applyAlignment="1">
      <alignment vertical="center"/>
    </xf>
    <xf numFmtId="209" fontId="175" fillId="0" borderId="16" xfId="0" applyNumberFormat="1" applyFont="1" applyFill="1" applyBorder="1" applyAlignment="1">
      <alignment vertical="center"/>
    </xf>
    <xf numFmtId="197" fontId="193" fillId="27" borderId="1" xfId="0" applyNumberFormat="1" applyFont="1" applyFill="1" applyBorder="1" applyAlignment="1">
      <alignment horizontal="right" vertical="center"/>
    </xf>
    <xf numFmtId="197" fontId="194" fillId="27" borderId="1" xfId="0" applyNumberFormat="1" applyFont="1" applyFill="1" applyBorder="1" applyAlignment="1">
      <alignment horizontal="right" vertical="center"/>
    </xf>
    <xf numFmtId="0" fontId="180" fillId="0" borderId="94" xfId="0" applyFont="1" applyFill="1" applyBorder="1" applyAlignment="1">
      <alignment horizontal="left" vertical="center" wrapText="1"/>
    </xf>
    <xf numFmtId="0" fontId="183" fillId="30" borderId="34" xfId="0" applyFont="1" applyFill="1" applyBorder="1" applyAlignment="1">
      <alignment horizontal="left" vertical="center"/>
    </xf>
    <xf numFmtId="0" fontId="183" fillId="30" borderId="17" xfId="0" applyNumberFormat="1" applyFont="1" applyFill="1" applyBorder="1" applyAlignment="1">
      <alignment vertical="center"/>
    </xf>
    <xf numFmtId="0" fontId="183" fillId="30" borderId="16" xfId="0" applyNumberFormat="1" applyFont="1" applyFill="1" applyBorder="1" applyAlignment="1">
      <alignment horizontal="center" vertical="center"/>
    </xf>
    <xf numFmtId="209" fontId="183" fillId="30" borderId="16" xfId="0" applyNumberFormat="1" applyFont="1" applyFill="1" applyBorder="1" applyAlignment="1">
      <alignment vertical="center"/>
    </xf>
    <xf numFmtId="197" fontId="195" fillId="30" borderId="38" xfId="0" applyNumberFormat="1" applyFont="1" applyFill="1" applyBorder="1" applyAlignment="1">
      <alignment horizontal="right" vertical="center"/>
    </xf>
    <xf numFmtId="197" fontId="195" fillId="30" borderId="16" xfId="0" applyNumberFormat="1" applyFont="1" applyFill="1" applyBorder="1" applyAlignment="1">
      <alignment horizontal="right" vertical="center"/>
    </xf>
    <xf numFmtId="197" fontId="183" fillId="30" borderId="18" xfId="0" applyNumberFormat="1" applyFont="1" applyFill="1" applyBorder="1" applyAlignment="1">
      <alignment horizontal="center" vertical="center"/>
    </xf>
    <xf numFmtId="0" fontId="183" fillId="30" borderId="43" xfId="0" applyFont="1" applyFill="1" applyBorder="1" applyAlignment="1">
      <alignment horizontal="left" vertical="center"/>
    </xf>
    <xf numFmtId="0" fontId="183" fillId="30" borderId="1" xfId="0" applyNumberFormat="1" applyFont="1" applyFill="1" applyBorder="1" applyAlignment="1">
      <alignment vertical="center"/>
    </xf>
    <xf numFmtId="0" fontId="168" fillId="30" borderId="1" xfId="0" applyNumberFormat="1" applyFont="1" applyFill="1" applyBorder="1" applyAlignment="1">
      <alignment vertical="center"/>
    </xf>
    <xf numFmtId="209" fontId="183" fillId="30" borderId="1" xfId="0" applyNumberFormat="1" applyFont="1" applyFill="1" applyBorder="1" applyAlignment="1">
      <alignment vertical="center"/>
    </xf>
    <xf numFmtId="197" fontId="183" fillId="38" borderId="1" xfId="0" applyNumberFormat="1" applyFont="1" applyFill="1" applyBorder="1" applyAlignment="1">
      <alignment vertical="center"/>
    </xf>
    <xf numFmtId="197" fontId="195" fillId="30" borderId="1" xfId="0" applyNumberFormat="1" applyFont="1" applyFill="1" applyBorder="1" applyAlignment="1">
      <alignment horizontal="right" vertical="center"/>
    </xf>
    <xf numFmtId="197" fontId="183" fillId="30" borderId="20" xfId="0" applyNumberFormat="1" applyFont="1" applyFill="1" applyBorder="1" applyAlignment="1">
      <alignment horizontal="center" vertical="center"/>
    </xf>
    <xf numFmtId="0" fontId="183" fillId="30" borderId="55" xfId="0" applyFont="1" applyFill="1" applyBorder="1" applyAlignment="1">
      <alignment horizontal="left" vertical="center"/>
    </xf>
    <xf numFmtId="209" fontId="183" fillId="30" borderId="53" xfId="0" applyNumberFormat="1" applyFont="1" applyFill="1" applyBorder="1" applyAlignment="1">
      <alignment vertical="center"/>
    </xf>
    <xf numFmtId="197" fontId="195" fillId="30" borderId="9" xfId="0" applyNumberFormat="1" applyFont="1" applyFill="1" applyBorder="1" applyAlignment="1">
      <alignment horizontal="right" vertical="center"/>
    </xf>
    <xf numFmtId="197" fontId="183" fillId="30" borderId="54" xfId="0" applyNumberFormat="1" applyFont="1" applyFill="1" applyBorder="1" applyAlignment="1">
      <alignment horizontal="center" vertical="center"/>
    </xf>
    <xf numFmtId="0" fontId="87" fillId="3" borderId="0" xfId="0" applyFont="1" applyFill="1" applyBorder="1" applyAlignment="1">
      <alignment horizontal="center" vertical="center"/>
    </xf>
    <xf numFmtId="209" fontId="183" fillId="8" borderId="38" xfId="0" applyNumberFormat="1" applyFont="1" applyFill="1" applyBorder="1" applyAlignment="1">
      <alignment horizontal="left" vertical="center" wrapText="1"/>
    </xf>
    <xf numFmtId="0" fontId="196" fillId="8" borderId="62" xfId="0" applyFont="1" applyFill="1" applyBorder="1" applyAlignment="1">
      <alignment horizontal="center" vertical="center" wrapText="1"/>
    </xf>
    <xf numFmtId="14" fontId="196" fillId="8" borderId="1" xfId="0" applyNumberFormat="1" applyFont="1" applyFill="1" applyBorder="1" applyAlignment="1">
      <alignment horizontal="center" vertical="center"/>
    </xf>
    <xf numFmtId="0" fontId="183" fillId="8" borderId="9" xfId="0" applyFont="1" applyFill="1" applyBorder="1" applyAlignment="1">
      <alignment horizontal="left" vertical="center"/>
    </xf>
    <xf numFmtId="14" fontId="196" fillId="8" borderId="9" xfId="0" applyNumberFormat="1" applyFont="1" applyFill="1" applyBorder="1" applyAlignment="1">
      <alignment horizontal="center" vertical="center"/>
    </xf>
    <xf numFmtId="0" fontId="183" fillId="8" borderId="9" xfId="0" applyFont="1" applyFill="1" applyBorder="1" applyAlignment="1">
      <alignment horizontal="center" vertical="center" wrapText="1"/>
    </xf>
    <xf numFmtId="0" fontId="175" fillId="9" borderId="1" xfId="0" applyFont="1" applyFill="1" applyBorder="1" applyAlignment="1">
      <alignment vertical="center"/>
    </xf>
    <xf numFmtId="209" fontId="175" fillId="6" borderId="1" xfId="0" applyNumberFormat="1" applyFont="1" applyFill="1" applyBorder="1" applyAlignment="1">
      <alignment vertical="center"/>
    </xf>
    <xf numFmtId="0" fontId="175" fillId="17" borderId="1" xfId="0" applyFont="1" applyFill="1" applyBorder="1" applyAlignment="1">
      <alignment vertical="center"/>
    </xf>
    <xf numFmtId="0" fontId="191" fillId="28" borderId="80" xfId="0" applyFont="1" applyFill="1" applyBorder="1" applyAlignment="1">
      <alignment vertical="center" wrapText="1"/>
    </xf>
    <xf numFmtId="0" fontId="191" fillId="28" borderId="81" xfId="0" applyFont="1" applyFill="1" applyBorder="1" applyAlignment="1">
      <alignment vertical="center" wrapText="1"/>
    </xf>
    <xf numFmtId="0" fontId="191" fillId="28" borderId="80" xfId="0" applyFont="1" applyFill="1" applyBorder="1" applyAlignment="1">
      <alignment horizontal="center" vertical="center" wrapText="1"/>
    </xf>
    <xf numFmtId="197" fontId="175" fillId="0" borderId="21" xfId="0" applyNumberFormat="1" applyFont="1" applyFill="1" applyBorder="1" applyAlignment="1">
      <alignment vertical="center"/>
    </xf>
    <xf numFmtId="209" fontId="175" fillId="0" borderId="21" xfId="0" applyNumberFormat="1" applyFont="1" applyFill="1" applyBorder="1" applyAlignment="1">
      <alignment vertical="center"/>
    </xf>
    <xf numFmtId="0" fontId="191" fillId="28" borderId="81" xfId="0" applyFont="1" applyFill="1" applyBorder="1" applyAlignment="1">
      <alignment horizontal="center" vertical="center" wrapText="1"/>
    </xf>
    <xf numFmtId="197" fontId="183" fillId="30" borderId="18" xfId="0" applyNumberFormat="1" applyFont="1" applyFill="1" applyBorder="1" applyAlignment="1">
      <alignment horizontal="right" vertical="center"/>
    </xf>
    <xf numFmtId="197" fontId="183" fillId="30" borderId="20" xfId="0" applyNumberFormat="1" applyFont="1" applyFill="1" applyBorder="1" applyAlignment="1">
      <alignment horizontal="right" vertical="center"/>
    </xf>
    <xf numFmtId="197" fontId="183" fillId="30" borderId="21" xfId="0" applyNumberFormat="1" applyFont="1" applyFill="1" applyBorder="1" applyAlignment="1">
      <alignment vertical="center"/>
    </xf>
    <xf numFmtId="197" fontId="183" fillId="30" borderId="54" xfId="0" applyNumberFormat="1" applyFont="1" applyFill="1" applyBorder="1" applyAlignment="1">
      <alignment horizontal="right" vertical="center"/>
    </xf>
    <xf numFmtId="0" fontId="183" fillId="0" borderId="0" xfId="0" applyFont="1" applyFill="1" applyBorder="1" applyAlignment="1">
      <alignment horizontal="left" vertical="center"/>
    </xf>
    <xf numFmtId="0" fontId="183" fillId="0" borderId="0" xfId="0" applyNumberFormat="1" applyFont="1" applyFill="1" applyBorder="1" applyAlignment="1">
      <alignment vertical="center"/>
    </xf>
    <xf numFmtId="197" fontId="183" fillId="0" borderId="0" xfId="0" applyNumberFormat="1" applyFont="1" applyFill="1" applyBorder="1" applyAlignment="1">
      <alignment vertical="center"/>
    </xf>
    <xf numFmtId="209" fontId="183" fillId="0" borderId="0" xfId="0" applyNumberFormat="1" applyFont="1" applyFill="1" applyBorder="1" applyAlignment="1">
      <alignment vertical="center"/>
    </xf>
    <xf numFmtId="197" fontId="180" fillId="0" borderId="0" xfId="0" applyNumberFormat="1" applyFont="1" applyFill="1" applyBorder="1" applyAlignment="1">
      <alignment vertical="center"/>
    </xf>
    <xf numFmtId="197" fontId="183" fillId="0" borderId="0" xfId="0" applyNumberFormat="1" applyFont="1" applyFill="1" applyBorder="1" applyAlignment="1">
      <alignment horizontal="right" vertical="center"/>
    </xf>
    <xf numFmtId="208" fontId="183" fillId="8" borderId="62" xfId="0" applyNumberFormat="1" applyFont="1" applyFill="1" applyBorder="1" applyAlignment="1">
      <alignment horizontal="left" vertical="center" wrapText="1"/>
    </xf>
    <xf numFmtId="14" fontId="184" fillId="8" borderId="15" xfId="0" applyNumberFormat="1" applyFont="1" applyFill="1" applyBorder="1" applyAlignment="1">
      <alignment horizontal="center" vertical="center"/>
    </xf>
    <xf numFmtId="14" fontId="184" fillId="8" borderId="15" xfId="0" applyNumberFormat="1" applyFont="1" applyFill="1" applyBorder="1" applyAlignment="1">
      <alignment horizontal="center" vertical="center" wrapText="1"/>
    </xf>
    <xf numFmtId="14" fontId="184" fillId="8" borderId="22" xfId="0" applyNumberFormat="1" applyFont="1" applyFill="1" applyBorder="1" applyAlignment="1">
      <alignment horizontal="center" vertical="center"/>
    </xf>
    <xf numFmtId="14" fontId="184" fillId="8" borderId="22" xfId="0" applyNumberFormat="1" applyFont="1" applyFill="1" applyBorder="1" applyAlignment="1">
      <alignment horizontal="center" vertical="center" wrapText="1"/>
    </xf>
    <xf numFmtId="0" fontId="180" fillId="3" borderId="71" xfId="0" applyFont="1" applyFill="1" applyBorder="1" applyAlignment="1">
      <alignment horizontal="left" vertical="center" wrapText="1"/>
    </xf>
    <xf numFmtId="0" fontId="125" fillId="28" borderId="31" xfId="0" applyFont="1" applyFill="1" applyBorder="1" applyAlignment="1">
      <alignment horizontal="left" vertical="center" wrapText="1"/>
    </xf>
    <xf numFmtId="0" fontId="169" fillId="0" borderId="77" xfId="0" applyFont="1" applyFill="1" applyBorder="1" applyAlignment="1">
      <alignment horizontal="center" vertical="center" wrapText="1"/>
    </xf>
    <xf numFmtId="0" fontId="125" fillId="0" borderId="38" xfId="0" applyFont="1" applyFill="1" applyBorder="1" applyAlignment="1">
      <alignment vertical="center" wrapText="1"/>
    </xf>
    <xf numFmtId="210" fontId="175" fillId="0" borderId="38" xfId="0" applyNumberFormat="1" applyFont="1" applyFill="1" applyBorder="1" applyAlignment="1">
      <alignment vertical="center"/>
    </xf>
    <xf numFmtId="0" fontId="180" fillId="3" borderId="3" xfId="0" applyFont="1" applyFill="1" applyBorder="1" applyAlignment="1">
      <alignment horizontal="left" vertical="center" wrapText="1"/>
    </xf>
    <xf numFmtId="0" fontId="169" fillId="28" borderId="19" xfId="0" applyFont="1" applyFill="1" applyBorder="1" applyAlignment="1">
      <alignment horizontal="left" vertical="center" wrapText="1"/>
    </xf>
    <xf numFmtId="0" fontId="169" fillId="0" borderId="21" xfId="0" applyFont="1" applyFill="1" applyBorder="1" applyAlignment="1">
      <alignment horizontal="center" vertical="center" wrapText="1"/>
    </xf>
    <xf numFmtId="0" fontId="125" fillId="0" borderId="1" xfId="0" applyFont="1" applyFill="1" applyBorder="1" applyAlignment="1">
      <alignment vertical="center" wrapText="1"/>
    </xf>
    <xf numFmtId="210" fontId="175" fillId="0" borderId="1" xfId="0" applyNumberFormat="1" applyFont="1" applyFill="1" applyBorder="1" applyAlignment="1">
      <alignment vertical="center"/>
    </xf>
    <xf numFmtId="197" fontId="197" fillId="27" borderId="1" xfId="0" applyNumberFormat="1" applyFont="1" applyFill="1" applyBorder="1" applyAlignment="1">
      <alignment horizontal="right" vertical="center"/>
    </xf>
    <xf numFmtId="208" fontId="175" fillId="3" borderId="1" xfId="0" applyNumberFormat="1" applyFont="1" applyFill="1" applyBorder="1" applyAlignment="1">
      <alignment vertical="center"/>
    </xf>
    <xf numFmtId="0" fontId="175" fillId="39" borderId="1" xfId="0" applyFont="1" applyFill="1" applyBorder="1" applyAlignment="1">
      <alignment vertical="center"/>
    </xf>
    <xf numFmtId="197" fontId="180" fillId="3" borderId="1" xfId="0" applyNumberFormat="1" applyFont="1" applyFill="1" applyBorder="1" applyAlignment="1">
      <alignment horizontal="right" vertical="center"/>
    </xf>
    <xf numFmtId="0" fontId="175" fillId="40" borderId="1" xfId="0" applyFont="1" applyFill="1" applyBorder="1" applyAlignment="1">
      <alignment vertical="center"/>
    </xf>
    <xf numFmtId="0" fontId="169" fillId="28" borderId="11" xfId="0" applyFont="1" applyFill="1" applyBorder="1" applyAlignment="1">
      <alignment horizontal="left" vertical="center" wrapText="1"/>
    </xf>
    <xf numFmtId="0" fontId="169" fillId="0" borderId="93" xfId="0" applyFont="1" applyFill="1" applyBorder="1" applyAlignment="1">
      <alignment horizontal="center" vertical="center" wrapText="1"/>
    </xf>
    <xf numFmtId="0" fontId="125" fillId="0" borderId="9" xfId="0" applyFont="1" applyFill="1" applyBorder="1" applyAlignment="1">
      <alignment vertical="center" wrapText="1"/>
    </xf>
    <xf numFmtId="208" fontId="175" fillId="0" borderId="9" xfId="0" applyNumberFormat="1" applyFont="1" applyFill="1" applyBorder="1" applyAlignment="1">
      <alignment vertical="center"/>
    </xf>
    <xf numFmtId="210" fontId="175" fillId="0" borderId="9" xfId="0" applyNumberFormat="1" applyFont="1" applyFill="1" applyBorder="1" applyAlignment="1">
      <alignment vertical="center"/>
    </xf>
    <xf numFmtId="197" fontId="186" fillId="27" borderId="21" xfId="0" applyNumberFormat="1" applyFont="1" applyFill="1" applyBorder="1" applyAlignment="1">
      <alignment horizontal="right" vertical="center"/>
    </xf>
    <xf numFmtId="197" fontId="186" fillId="27" borderId="38" xfId="0" applyNumberFormat="1" applyFont="1" applyFill="1" applyBorder="1" applyAlignment="1">
      <alignment horizontal="right" vertical="center"/>
    </xf>
    <xf numFmtId="0" fontId="175" fillId="41" borderId="1" xfId="0" applyFont="1" applyFill="1" applyBorder="1" applyAlignment="1">
      <alignment vertical="center"/>
    </xf>
    <xf numFmtId="0" fontId="31" fillId="0" borderId="1" xfId="0" applyFont="1" applyFill="1" applyBorder="1" applyAlignment="1">
      <alignment vertical="center"/>
    </xf>
    <xf numFmtId="197" fontId="186" fillId="27" borderId="9" xfId="0" applyNumberFormat="1" applyFont="1" applyFill="1" applyBorder="1" applyAlignment="1">
      <alignment vertical="center"/>
    </xf>
    <xf numFmtId="197" fontId="186" fillId="27" borderId="21" xfId="0" applyNumberFormat="1" applyFont="1" applyFill="1" applyBorder="1" applyAlignment="1">
      <alignment vertical="center"/>
    </xf>
    <xf numFmtId="0" fontId="125" fillId="28" borderId="17" xfId="0" applyFont="1" applyFill="1" applyBorder="1" applyAlignment="1">
      <alignment horizontal="left" vertical="center" wrapText="1"/>
    </xf>
    <xf numFmtId="197" fontId="175" fillId="3" borderId="1" xfId="0" applyNumberFormat="1" applyFont="1" applyFill="1" applyBorder="1" applyAlignment="1">
      <alignment vertical="center"/>
    </xf>
    <xf numFmtId="0" fontId="180" fillId="0" borderId="9" xfId="0" applyFont="1" applyFill="1" applyBorder="1" applyAlignment="1">
      <alignment vertical="center" wrapText="1"/>
    </xf>
    <xf numFmtId="0" fontId="180" fillId="0" borderId="38" xfId="0" applyFont="1" applyFill="1" applyBorder="1" applyAlignment="1">
      <alignment vertical="center" wrapText="1"/>
    </xf>
    <xf numFmtId="0" fontId="31" fillId="0" borderId="38" xfId="0" applyFont="1" applyFill="1" applyBorder="1" applyAlignment="1">
      <alignment vertical="center"/>
    </xf>
    <xf numFmtId="197" fontId="186" fillId="27" borderId="38" xfId="0" applyNumberFormat="1" applyFont="1" applyFill="1" applyBorder="1" applyAlignment="1">
      <alignment vertical="center"/>
    </xf>
    <xf numFmtId="0" fontId="180" fillId="0" borderId="1" xfId="0" applyFont="1" applyFill="1" applyBorder="1" applyAlignment="1">
      <alignment vertical="center" wrapText="1"/>
    </xf>
    <xf numFmtId="197" fontId="197" fillId="27" borderId="1" xfId="0" applyNumberFormat="1" applyFont="1" applyFill="1" applyBorder="1" applyAlignment="1">
      <alignment vertical="center"/>
    </xf>
    <xf numFmtId="0" fontId="169" fillId="28" borderId="52" xfId="0" applyFont="1" applyFill="1" applyBorder="1" applyAlignment="1">
      <alignment horizontal="left" vertical="center" wrapText="1"/>
    </xf>
    <xf numFmtId="0" fontId="180" fillId="0" borderId="53" xfId="0" applyFont="1" applyFill="1" applyBorder="1" applyAlignment="1">
      <alignment vertical="center" wrapText="1"/>
    </xf>
    <xf numFmtId="210" fontId="175" fillId="0" borderId="53" xfId="0" applyNumberFormat="1" applyFont="1" applyFill="1" applyBorder="1" applyAlignment="1">
      <alignment vertical="center"/>
    </xf>
    <xf numFmtId="197" fontId="197" fillId="27" borderId="53" xfId="0" applyNumberFormat="1" applyFont="1" applyFill="1" applyBorder="1" applyAlignment="1">
      <alignment vertical="center"/>
    </xf>
    <xf numFmtId="0" fontId="180" fillId="3" borderId="95" xfId="0" applyFont="1" applyFill="1" applyBorder="1" applyAlignment="1">
      <alignment horizontal="left" vertical="center" wrapText="1"/>
    </xf>
    <xf numFmtId="0" fontId="183" fillId="30" borderId="1" xfId="0" applyFont="1" applyFill="1" applyBorder="1" applyAlignment="1">
      <alignment horizontal="left" vertical="center"/>
    </xf>
    <xf numFmtId="208" fontId="183" fillId="30" borderId="16" xfId="0" applyNumberFormat="1" applyFont="1" applyFill="1" applyBorder="1" applyAlignment="1">
      <alignment vertical="center"/>
    </xf>
    <xf numFmtId="197" fontId="183" fillId="30" borderId="10" xfId="0" applyNumberFormat="1" applyFont="1" applyFill="1" applyBorder="1" applyAlignment="1">
      <alignment horizontal="center" vertical="center"/>
    </xf>
    <xf numFmtId="0" fontId="183" fillId="30" borderId="1" xfId="0" applyNumberFormat="1" applyFont="1" applyFill="1" applyBorder="1" applyAlignment="1">
      <alignment horizontal="left" vertical="center"/>
    </xf>
    <xf numFmtId="208" fontId="183" fillId="30" borderId="1" xfId="0" applyNumberFormat="1" applyFont="1" applyFill="1" applyBorder="1" applyAlignment="1">
      <alignment vertical="center"/>
    </xf>
    <xf numFmtId="197" fontId="183" fillId="30" borderId="22" xfId="0" applyNumberFormat="1" applyFont="1" applyFill="1" applyBorder="1" applyAlignment="1">
      <alignment horizontal="center" vertical="center"/>
    </xf>
    <xf numFmtId="0" fontId="175" fillId="30" borderId="1" xfId="0" applyNumberFormat="1" applyFont="1" applyFill="1" applyBorder="1" applyAlignment="1">
      <alignment vertical="center"/>
    </xf>
    <xf numFmtId="197" fontId="175" fillId="30" borderId="1" xfId="0" applyNumberFormat="1" applyFont="1" applyFill="1" applyBorder="1" applyAlignment="1">
      <alignment vertical="center"/>
    </xf>
    <xf numFmtId="0" fontId="198" fillId="30" borderId="1" xfId="0" applyNumberFormat="1" applyFont="1" applyFill="1" applyBorder="1" applyAlignment="1">
      <alignment vertical="center"/>
    </xf>
    <xf numFmtId="0" fontId="167" fillId="8" borderId="31" xfId="0" applyFont="1" applyFill="1" applyBorder="1" applyAlignment="1">
      <alignment horizontal="left" vertical="center"/>
    </xf>
    <xf numFmtId="0" fontId="167" fillId="8" borderId="35" xfId="0" applyFont="1" applyFill="1" applyBorder="1" applyAlignment="1">
      <alignment horizontal="left" vertical="center"/>
    </xf>
    <xf numFmtId="0" fontId="167" fillId="8" borderId="38" xfId="0" applyFont="1" applyFill="1" applyBorder="1" applyAlignment="1">
      <alignment horizontal="left" vertical="center" wrapText="1"/>
    </xf>
    <xf numFmtId="0" fontId="167" fillId="8" borderId="32" xfId="0" applyFont="1" applyFill="1" applyBorder="1" applyAlignment="1">
      <alignment horizontal="left" vertical="center" wrapText="1"/>
    </xf>
    <xf numFmtId="197" fontId="167" fillId="8" borderId="38" xfId="0" applyNumberFormat="1" applyFont="1" applyFill="1" applyBorder="1" applyAlignment="1">
      <alignment horizontal="center" vertical="center" wrapText="1"/>
    </xf>
    <xf numFmtId="209" fontId="167" fillId="8" borderId="38" xfId="0" applyNumberFormat="1" applyFont="1" applyFill="1" applyBorder="1" applyAlignment="1">
      <alignment horizontal="left" vertical="center" wrapText="1"/>
    </xf>
    <xf numFmtId="0" fontId="199" fillId="8" borderId="62" xfId="0" applyFont="1" applyFill="1" applyBorder="1" applyAlignment="1">
      <alignment horizontal="center" vertical="center" wrapText="1"/>
    </xf>
    <xf numFmtId="0" fontId="167" fillId="8" borderId="62" xfId="0" applyFont="1" applyFill="1" applyBorder="1" applyAlignment="1">
      <alignment horizontal="center" vertical="center" wrapText="1"/>
    </xf>
    <xf numFmtId="0" fontId="200" fillId="8" borderId="62" xfId="0" applyFont="1" applyFill="1" applyBorder="1" applyAlignment="1">
      <alignment horizontal="center" vertical="center" wrapText="1"/>
    </xf>
    <xf numFmtId="0" fontId="167" fillId="8" borderId="38" xfId="0" applyFont="1" applyFill="1" applyBorder="1" applyAlignment="1">
      <alignment horizontal="center" vertical="center" wrapText="1"/>
    </xf>
    <xf numFmtId="0" fontId="167" fillId="8" borderId="33" xfId="0" applyFont="1" applyFill="1" applyBorder="1" applyAlignment="1">
      <alignment horizontal="center" vertical="center" wrapText="1"/>
    </xf>
    <xf numFmtId="0" fontId="167" fillId="8" borderId="19" xfId="0" applyFont="1" applyFill="1" applyBorder="1" applyAlignment="1">
      <alignment horizontal="left" vertical="center"/>
    </xf>
    <xf numFmtId="0" fontId="167" fillId="8" borderId="6" xfId="0" applyFont="1" applyFill="1" applyBorder="1" applyAlignment="1">
      <alignment horizontal="left" vertical="center"/>
    </xf>
    <xf numFmtId="0" fontId="167" fillId="8" borderId="1" xfId="0" applyFont="1" applyFill="1" applyBorder="1" applyAlignment="1">
      <alignment horizontal="center" vertical="center"/>
    </xf>
    <xf numFmtId="0" fontId="167" fillId="8" borderId="7" xfId="0" applyFont="1" applyFill="1" applyBorder="1" applyAlignment="1">
      <alignment horizontal="left" vertical="center" wrapText="1"/>
    </xf>
    <xf numFmtId="197" fontId="167" fillId="8" borderId="1" xfId="0" applyNumberFormat="1" applyFont="1" applyFill="1" applyBorder="1" applyAlignment="1">
      <alignment horizontal="center" vertical="center" wrapText="1"/>
    </xf>
    <xf numFmtId="209" fontId="167" fillId="8" borderId="1" xfId="0" applyNumberFormat="1" applyFont="1" applyFill="1" applyBorder="1" applyAlignment="1">
      <alignment horizontal="center" vertical="center" wrapText="1"/>
    </xf>
    <xf numFmtId="14" fontId="199" fillId="8" borderId="1" xfId="0" applyNumberFormat="1" applyFont="1" applyFill="1" applyBorder="1" applyAlignment="1">
      <alignment horizontal="center" vertical="center"/>
    </xf>
    <xf numFmtId="14" fontId="167" fillId="8" borderId="1" xfId="0" applyNumberFormat="1" applyFont="1" applyFill="1" applyBorder="1" applyAlignment="1">
      <alignment horizontal="center" vertical="center"/>
    </xf>
    <xf numFmtId="14" fontId="200" fillId="8" borderId="1" xfId="0" applyNumberFormat="1" applyFont="1" applyFill="1" applyBorder="1" applyAlignment="1">
      <alignment horizontal="center" vertical="center"/>
    </xf>
    <xf numFmtId="0" fontId="167" fillId="8" borderId="1" xfId="0" applyFont="1" applyFill="1" applyBorder="1" applyAlignment="1">
      <alignment horizontal="center" vertical="center" wrapText="1"/>
    </xf>
    <xf numFmtId="0" fontId="167" fillId="8" borderId="20" xfId="0" applyFont="1" applyFill="1" applyBorder="1" applyAlignment="1">
      <alignment horizontal="right" vertical="center" wrapText="1"/>
    </xf>
    <xf numFmtId="0" fontId="167" fillId="8" borderId="52" xfId="0" applyFont="1" applyFill="1" applyBorder="1" applyAlignment="1">
      <alignment horizontal="left" vertical="center"/>
    </xf>
    <xf numFmtId="0" fontId="167" fillId="8" borderId="10" xfId="0" applyFont="1" applyFill="1" applyBorder="1" applyAlignment="1">
      <alignment horizontal="left" vertical="center"/>
    </xf>
    <xf numFmtId="0" fontId="167" fillId="8" borderId="9" xfId="0" applyFont="1" applyFill="1" applyBorder="1" applyAlignment="1">
      <alignment horizontal="left" vertical="center"/>
    </xf>
    <xf numFmtId="0" fontId="167" fillId="8" borderId="13" xfId="0" applyFont="1" applyFill="1" applyBorder="1" applyAlignment="1">
      <alignment horizontal="left" vertical="center" wrapText="1"/>
    </xf>
    <xf numFmtId="197" fontId="167" fillId="8" borderId="9" xfId="0" applyNumberFormat="1" applyFont="1" applyFill="1" applyBorder="1" applyAlignment="1">
      <alignment horizontal="center" vertical="center" wrapText="1"/>
    </xf>
    <xf numFmtId="209" fontId="167" fillId="8" borderId="9" xfId="0" applyNumberFormat="1" applyFont="1" applyFill="1" applyBorder="1" applyAlignment="1">
      <alignment horizontal="center" vertical="center" wrapText="1"/>
    </xf>
    <xf numFmtId="14" fontId="199" fillId="8" borderId="9" xfId="0" applyNumberFormat="1" applyFont="1" applyFill="1" applyBorder="1" applyAlignment="1">
      <alignment horizontal="center" vertical="center"/>
    </xf>
    <xf numFmtId="14" fontId="167" fillId="8" borderId="9" xfId="0" applyNumberFormat="1" applyFont="1" applyFill="1" applyBorder="1" applyAlignment="1">
      <alignment horizontal="center" vertical="center"/>
    </xf>
    <xf numFmtId="14" fontId="200" fillId="8" borderId="9" xfId="0" applyNumberFormat="1" applyFont="1" applyFill="1" applyBorder="1" applyAlignment="1">
      <alignment horizontal="center" vertical="center"/>
    </xf>
    <xf numFmtId="0" fontId="167" fillId="8" borderId="9" xfId="0" applyFont="1" applyFill="1" applyBorder="1" applyAlignment="1">
      <alignment horizontal="center" vertical="center" wrapText="1"/>
    </xf>
    <xf numFmtId="0" fontId="167" fillId="8" borderId="12" xfId="0" applyFont="1" applyFill="1" applyBorder="1" applyAlignment="1">
      <alignment horizontal="right" vertical="center" wrapText="1"/>
    </xf>
    <xf numFmtId="0" fontId="201" fillId="0" borderId="86" xfId="0" applyFont="1" applyFill="1" applyBorder="1" applyAlignment="1">
      <alignment horizontal="left" vertical="center" wrapText="1"/>
    </xf>
    <xf numFmtId="0" fontId="202" fillId="28" borderId="31" xfId="0" applyFont="1" applyFill="1" applyBorder="1" applyAlignment="1">
      <alignment horizontal="center" vertical="center" wrapText="1"/>
    </xf>
    <xf numFmtId="0" fontId="169" fillId="28" borderId="38" xfId="0" applyFont="1" applyFill="1" applyBorder="1" applyAlignment="1">
      <alignment horizontal="center" vertical="center" wrapText="1"/>
    </xf>
    <xf numFmtId="0" fontId="170" fillId="12" borderId="38" xfId="0" applyFont="1" applyFill="1" applyBorder="1" applyAlignment="1">
      <alignment vertical="center"/>
    </xf>
    <xf numFmtId="0" fontId="170" fillId="0" borderId="38" xfId="0" applyFont="1" applyFill="1" applyBorder="1" applyAlignment="1">
      <alignment vertical="center"/>
    </xf>
    <xf numFmtId="209" fontId="170" fillId="0" borderId="38" xfId="0" applyNumberFormat="1" applyFont="1" applyFill="1" applyBorder="1" applyAlignment="1">
      <alignment vertical="center"/>
    </xf>
    <xf numFmtId="197" fontId="169" fillId="28" borderId="38" xfId="0" applyNumberFormat="1" applyFont="1" applyFill="1" applyBorder="1" applyAlignment="1">
      <alignment vertical="center"/>
    </xf>
    <xf numFmtId="197" fontId="169" fillId="36" borderId="33" xfId="0" applyNumberFormat="1" applyFont="1" applyFill="1" applyBorder="1" applyAlignment="1">
      <alignment horizontal="right" vertical="center"/>
    </xf>
    <xf numFmtId="0" fontId="201" fillId="0" borderId="72" xfId="0" applyFont="1" applyFill="1" applyBorder="1" applyAlignment="1">
      <alignment horizontal="left" vertical="center" wrapText="1"/>
    </xf>
    <xf numFmtId="0" fontId="202" fillId="28" borderId="19" xfId="0" applyFont="1" applyFill="1" applyBorder="1" applyAlignment="1">
      <alignment horizontal="center" vertical="center" wrapText="1"/>
    </xf>
    <xf numFmtId="0" fontId="169" fillId="28" borderId="1" xfId="0" applyFont="1" applyFill="1" applyBorder="1" applyAlignment="1">
      <alignment horizontal="center" vertical="center" wrapText="1"/>
    </xf>
    <xf numFmtId="0" fontId="170" fillId="12" borderId="1" xfId="0" applyFont="1" applyFill="1" applyBorder="1" applyAlignment="1">
      <alignment vertical="center"/>
    </xf>
    <xf numFmtId="0" fontId="170" fillId="0" borderId="1" xfId="0" applyFont="1" applyFill="1" applyBorder="1" applyAlignment="1">
      <alignment vertical="center"/>
    </xf>
    <xf numFmtId="209" fontId="170" fillId="0" borderId="1" xfId="0" applyNumberFormat="1" applyFont="1" applyFill="1" applyBorder="1" applyAlignment="1">
      <alignment vertical="center"/>
    </xf>
    <xf numFmtId="197" fontId="169" fillId="27" borderId="16" xfId="0" applyNumberFormat="1" applyFont="1" applyFill="1" applyBorder="1" applyAlignment="1">
      <alignment vertical="center"/>
    </xf>
    <xf numFmtId="197" fontId="169" fillId="36" borderId="20" xfId="0" applyNumberFormat="1" applyFont="1" applyFill="1" applyBorder="1" applyAlignment="1">
      <alignment horizontal="right" vertical="center"/>
    </xf>
    <xf numFmtId="197" fontId="165" fillId="27" borderId="1" xfId="0" applyNumberFormat="1" applyFont="1" applyFill="1" applyBorder="1" applyAlignment="1">
      <alignment vertical="center"/>
    </xf>
    <xf numFmtId="197" fontId="165" fillId="27" borderId="16" xfId="0" applyNumberFormat="1" applyFont="1" applyFill="1" applyBorder="1" applyAlignment="1">
      <alignment vertical="center"/>
    </xf>
    <xf numFmtId="197" fontId="165" fillId="27" borderId="21" xfId="0" applyNumberFormat="1" applyFont="1" applyFill="1" applyBorder="1" applyAlignment="1">
      <alignment vertical="center"/>
    </xf>
    <xf numFmtId="0" fontId="202" fillId="28" borderId="52" xfId="0" applyFont="1" applyFill="1" applyBorder="1" applyAlignment="1">
      <alignment horizontal="center" vertical="center" wrapText="1"/>
    </xf>
    <xf numFmtId="0" fontId="169" fillId="28" borderId="53" xfId="0" applyFont="1" applyFill="1" applyBorder="1" applyAlignment="1">
      <alignment horizontal="center" vertical="center" wrapText="1"/>
    </xf>
    <xf numFmtId="0" fontId="170" fillId="12" borderId="53" xfId="0" applyFont="1" applyFill="1" applyBorder="1" applyAlignment="1">
      <alignment vertical="center"/>
    </xf>
    <xf numFmtId="0" fontId="170" fillId="0" borderId="53" xfId="0" applyFont="1" applyFill="1" applyBorder="1" applyAlignment="1">
      <alignment vertical="center"/>
    </xf>
    <xf numFmtId="209" fontId="170" fillId="0" borderId="53" xfId="0" applyNumberFormat="1" applyFont="1" applyFill="1" applyBorder="1" applyAlignment="1">
      <alignment vertical="center"/>
    </xf>
    <xf numFmtId="197" fontId="169" fillId="27" borderId="93" xfId="0" applyNumberFormat="1" applyFont="1" applyFill="1" applyBorder="1" applyAlignment="1">
      <alignment vertical="center"/>
    </xf>
    <xf numFmtId="197" fontId="169" fillId="27" borderId="21" xfId="0" applyNumberFormat="1" applyFont="1" applyFill="1" applyBorder="1" applyAlignment="1">
      <alignment vertical="center"/>
    </xf>
    <xf numFmtId="197" fontId="169" fillId="36" borderId="54" xfId="0" applyNumberFormat="1" applyFont="1" applyFill="1" applyBorder="1" applyAlignment="1">
      <alignment horizontal="right" vertical="center"/>
    </xf>
    <xf numFmtId="0" fontId="202" fillId="28" borderId="80" xfId="0" applyFont="1" applyFill="1" applyBorder="1" applyAlignment="1">
      <alignment horizontal="center" vertical="center" wrapText="1"/>
    </xf>
    <xf numFmtId="0" fontId="169" fillId="28" borderId="21" xfId="0" applyFont="1" applyFill="1" applyBorder="1" applyAlignment="1">
      <alignment horizontal="center" vertical="center" wrapText="1"/>
    </xf>
    <xf numFmtId="0" fontId="170" fillId="12" borderId="16" xfId="0" applyFont="1" applyFill="1" applyBorder="1" applyAlignment="1">
      <alignment vertical="center"/>
    </xf>
    <xf numFmtId="0" fontId="170" fillId="0" borderId="16" xfId="0" applyFont="1" applyFill="1" applyBorder="1" applyAlignment="1">
      <alignment vertical="center"/>
    </xf>
    <xf numFmtId="197" fontId="170" fillId="0" borderId="16" xfId="0" applyNumberFormat="1" applyFont="1" applyFill="1" applyBorder="1" applyAlignment="1">
      <alignment vertical="center"/>
    </xf>
    <xf numFmtId="209" fontId="170" fillId="0" borderId="16" xfId="0" applyNumberFormat="1" applyFont="1" applyFill="1" applyBorder="1" applyAlignment="1">
      <alignment vertical="center"/>
    </xf>
    <xf numFmtId="197" fontId="165" fillId="27" borderId="16" xfId="0" applyNumberFormat="1" applyFont="1" applyFill="1" applyBorder="1" applyAlignment="1">
      <alignment horizontal="right" vertical="center"/>
    </xf>
    <xf numFmtId="197" fontId="169" fillId="27" borderId="16" xfId="0" applyNumberFormat="1" applyFont="1" applyFill="1" applyBorder="1" applyAlignment="1">
      <alignment horizontal="right" vertical="center"/>
    </xf>
    <xf numFmtId="197" fontId="169" fillId="36" borderId="18" xfId="0" applyNumberFormat="1" applyFont="1" applyFill="1" applyBorder="1" applyAlignment="1">
      <alignment horizontal="right" vertical="center"/>
    </xf>
    <xf numFmtId="0" fontId="202" fillId="28" borderId="81" xfId="0" applyFont="1" applyFill="1" applyBorder="1" applyAlignment="1">
      <alignment horizontal="center" vertical="center" wrapText="1"/>
    </xf>
    <xf numFmtId="0" fontId="169" fillId="28" borderId="93" xfId="0" applyFont="1" applyFill="1" applyBorder="1" applyAlignment="1">
      <alignment horizontal="center" vertical="center" wrapText="1"/>
    </xf>
    <xf numFmtId="0" fontId="202" fillId="28" borderId="76" xfId="0" applyFont="1" applyFill="1" applyBorder="1" applyAlignment="1">
      <alignment horizontal="center" vertical="center" wrapText="1"/>
    </xf>
    <xf numFmtId="0" fontId="169" fillId="28" borderId="77" xfId="0" applyFont="1" applyFill="1" applyBorder="1" applyAlignment="1">
      <alignment horizontal="center" vertical="center" wrapText="1"/>
    </xf>
    <xf numFmtId="197" fontId="170" fillId="0" borderId="77" xfId="0" applyNumberFormat="1" applyFont="1" applyFill="1" applyBorder="1" applyAlignment="1">
      <alignment vertical="center"/>
    </xf>
    <xf numFmtId="209" fontId="170" fillId="0" borderId="77" xfId="0" applyNumberFormat="1" applyFont="1" applyFill="1" applyBorder="1" applyAlignment="1">
      <alignment vertical="center"/>
    </xf>
    <xf numFmtId="0" fontId="201" fillId="0" borderId="87" xfId="0" applyFont="1" applyFill="1" applyBorder="1" applyAlignment="1">
      <alignment horizontal="left" vertical="center" wrapText="1"/>
    </xf>
    <xf numFmtId="197" fontId="165" fillId="27" borderId="53" xfId="0" applyNumberFormat="1" applyFont="1" applyFill="1" applyBorder="1" applyAlignment="1">
      <alignment vertical="center"/>
    </xf>
    <xf numFmtId="197" fontId="165" fillId="27" borderId="93" xfId="0" applyNumberFormat="1" applyFont="1" applyFill="1" applyBorder="1" applyAlignment="1">
      <alignment vertical="center"/>
    </xf>
    <xf numFmtId="0" fontId="170" fillId="0" borderId="0" xfId="0" applyFont="1" applyFill="1" applyAlignment="1"/>
    <xf numFmtId="0" fontId="167" fillId="30" borderId="31" xfId="0" applyNumberFormat="1" applyFont="1" applyFill="1" applyBorder="1" applyAlignment="1">
      <alignment vertical="center"/>
    </xf>
    <xf numFmtId="0" fontId="167" fillId="30" borderId="38" xfId="0" applyNumberFormat="1" applyFont="1" applyFill="1" applyBorder="1" applyAlignment="1">
      <alignment horizontal="center" vertical="center"/>
    </xf>
    <xf numFmtId="0" fontId="167" fillId="30" borderId="38" xfId="0" applyNumberFormat="1" applyFont="1" applyFill="1" applyBorder="1" applyAlignment="1">
      <alignment vertical="center"/>
    </xf>
    <xf numFmtId="209" fontId="167" fillId="30" borderId="38" xfId="0" applyNumberFormat="1" applyFont="1" applyFill="1" applyBorder="1" applyAlignment="1">
      <alignment vertical="center"/>
    </xf>
    <xf numFmtId="197" fontId="167" fillId="30" borderId="88" xfId="0" applyNumberFormat="1" applyFont="1" applyFill="1" applyBorder="1" applyAlignment="1">
      <alignment horizontal="right" vertical="center"/>
    </xf>
    <xf numFmtId="0" fontId="167" fillId="30" borderId="17" xfId="0" applyNumberFormat="1" applyFont="1" applyFill="1" applyBorder="1" applyAlignment="1">
      <alignment vertical="center"/>
    </xf>
    <xf numFmtId="0" fontId="167" fillId="30" borderId="16" xfId="0" applyNumberFormat="1" applyFont="1" applyFill="1" applyBorder="1" applyAlignment="1">
      <alignment horizontal="center" vertical="center"/>
    </xf>
    <xf numFmtId="0" fontId="167" fillId="30" borderId="16" xfId="0" applyNumberFormat="1" applyFont="1" applyFill="1" applyBorder="1" applyAlignment="1">
      <alignment vertical="center"/>
    </xf>
    <xf numFmtId="209" fontId="167" fillId="30" borderId="16" xfId="0" applyNumberFormat="1" applyFont="1" applyFill="1" applyBorder="1" applyAlignment="1">
      <alignment vertical="center"/>
    </xf>
    <xf numFmtId="197" fontId="167" fillId="30" borderId="16" xfId="0" applyNumberFormat="1" applyFont="1" applyFill="1" applyBorder="1" applyAlignment="1">
      <alignment vertical="center"/>
    </xf>
    <xf numFmtId="197" fontId="167" fillId="30" borderId="89" xfId="0" applyNumberFormat="1" applyFont="1" applyFill="1" applyBorder="1" applyAlignment="1">
      <alignment horizontal="right" vertical="center"/>
    </xf>
    <xf numFmtId="0" fontId="167" fillId="30" borderId="19" xfId="0" applyNumberFormat="1" applyFont="1" applyFill="1" applyBorder="1" applyAlignment="1">
      <alignment vertical="center"/>
    </xf>
    <xf numFmtId="0" fontId="167" fillId="30" borderId="1" xfId="0" applyNumberFormat="1" applyFont="1" applyFill="1" applyBorder="1" applyAlignment="1">
      <alignment vertical="center"/>
    </xf>
    <xf numFmtId="209" fontId="167" fillId="30" borderId="1" xfId="0" applyNumberFormat="1" applyFont="1" applyFill="1" applyBorder="1" applyAlignment="1">
      <alignment vertical="center"/>
    </xf>
    <xf numFmtId="0" fontId="167" fillId="30" borderId="11" xfId="0" applyNumberFormat="1" applyFont="1" applyFill="1" applyBorder="1" applyAlignment="1">
      <alignment vertical="center"/>
    </xf>
    <xf numFmtId="0" fontId="167" fillId="30" borderId="9" xfId="0" applyNumberFormat="1" applyFont="1" applyFill="1" applyBorder="1" applyAlignment="1">
      <alignment vertical="center"/>
    </xf>
    <xf numFmtId="197" fontId="167" fillId="30" borderId="9" xfId="0" applyNumberFormat="1" applyFont="1" applyFill="1" applyBorder="1" applyAlignment="1">
      <alignment vertical="center"/>
    </xf>
    <xf numFmtId="209" fontId="167" fillId="30" borderId="9" xfId="0" applyNumberFormat="1" applyFont="1" applyFill="1" applyBorder="1" applyAlignment="1">
      <alignment vertical="center"/>
    </xf>
    <xf numFmtId="197" fontId="167" fillId="30" borderId="21" xfId="0" applyNumberFormat="1" applyFont="1" applyFill="1" applyBorder="1" applyAlignment="1">
      <alignment vertical="center"/>
    </xf>
    <xf numFmtId="197" fontId="167" fillId="30" borderId="18" xfId="0" applyNumberFormat="1" applyFont="1" applyFill="1" applyBorder="1" applyAlignment="1">
      <alignment horizontal="right" vertical="center"/>
    </xf>
    <xf numFmtId="0" fontId="167" fillId="30" borderId="52" xfId="0" applyNumberFormat="1" applyFont="1" applyFill="1" applyBorder="1" applyAlignment="1">
      <alignment vertical="center"/>
    </xf>
    <xf numFmtId="0" fontId="167" fillId="30" borderId="53" xfId="0" applyNumberFormat="1" applyFont="1" applyFill="1" applyBorder="1" applyAlignment="1">
      <alignment vertical="center"/>
    </xf>
    <xf numFmtId="209" fontId="167" fillId="30" borderId="53" xfId="0" applyNumberFormat="1" applyFont="1" applyFill="1" applyBorder="1" applyAlignment="1">
      <alignment vertical="center"/>
    </xf>
    <xf numFmtId="0" fontId="167" fillId="30" borderId="54" xfId="0" applyNumberFormat="1" applyFont="1" applyFill="1" applyBorder="1" applyAlignment="1">
      <alignment horizontal="right" vertical="center"/>
    </xf>
    <xf numFmtId="0" fontId="167" fillId="8" borderId="31" xfId="0" applyFont="1" applyFill="1" applyBorder="1" applyAlignment="1">
      <alignment horizontal="left" vertical="top"/>
    </xf>
    <xf numFmtId="0" fontId="167" fillId="8" borderId="35" xfId="0" applyFont="1" applyFill="1" applyBorder="1" applyAlignment="1">
      <alignment horizontal="left" vertical="top"/>
    </xf>
    <xf numFmtId="0" fontId="167" fillId="8" borderId="38" xfId="0" applyFont="1" applyFill="1" applyBorder="1" applyAlignment="1">
      <alignment horizontal="left" vertical="top" wrapText="1"/>
    </xf>
    <xf numFmtId="0" fontId="167" fillId="8" borderId="32" xfId="0" applyFont="1" applyFill="1" applyBorder="1" applyAlignment="1">
      <alignment horizontal="left" vertical="top" wrapText="1"/>
    </xf>
    <xf numFmtId="197" fontId="167" fillId="8" borderId="38" xfId="0" applyNumberFormat="1" applyFont="1" applyFill="1" applyBorder="1" applyAlignment="1">
      <alignment horizontal="center" vertical="top" wrapText="1"/>
    </xf>
    <xf numFmtId="209" fontId="167" fillId="8" borderId="38" xfId="0" applyNumberFormat="1" applyFont="1" applyFill="1" applyBorder="1" applyAlignment="1">
      <alignment horizontal="left" vertical="top" wrapText="1"/>
    </xf>
    <xf numFmtId="0" fontId="167" fillId="8" borderId="62" xfId="0" applyFont="1" applyFill="1" applyBorder="1" applyAlignment="1">
      <alignment horizontal="center" vertical="top" wrapText="1"/>
    </xf>
    <xf numFmtId="0" fontId="199" fillId="8" borderId="62" xfId="0" applyFont="1" applyFill="1" applyBorder="1" applyAlignment="1">
      <alignment horizontal="center" vertical="top" wrapText="1"/>
    </xf>
    <xf numFmtId="0" fontId="200" fillId="8" borderId="62" xfId="0" applyFont="1" applyFill="1" applyBorder="1" applyAlignment="1">
      <alignment horizontal="center" vertical="top" wrapText="1"/>
    </xf>
    <xf numFmtId="0" fontId="167" fillId="8" borderId="38" xfId="0" applyFont="1" applyFill="1" applyBorder="1" applyAlignment="1">
      <alignment horizontal="center" vertical="top" wrapText="1"/>
    </xf>
    <xf numFmtId="0" fontId="167" fillId="8" borderId="33" xfId="0" applyFont="1" applyFill="1" applyBorder="1" applyAlignment="1">
      <alignment horizontal="center" vertical="top" wrapText="1"/>
    </xf>
    <xf numFmtId="14" fontId="199" fillId="8" borderId="53" xfId="0" applyNumberFormat="1" applyFont="1" applyFill="1" applyBorder="1" applyAlignment="1">
      <alignment horizontal="center" vertical="center"/>
    </xf>
    <xf numFmtId="0" fontId="191" fillId="28" borderId="31" xfId="0" applyFont="1" applyFill="1" applyBorder="1" applyAlignment="1">
      <alignment horizontal="center" vertical="center" wrapText="1"/>
    </xf>
    <xf numFmtId="0" fontId="202" fillId="28" borderId="11" xfId="0" applyFont="1" applyFill="1" applyBorder="1" applyAlignment="1">
      <alignment horizontal="center" vertical="center" wrapText="1"/>
    </xf>
    <xf numFmtId="0" fontId="169" fillId="28" borderId="9" xfId="0" applyFont="1" applyFill="1" applyBorder="1" applyAlignment="1">
      <alignment horizontal="center" vertical="center" wrapText="1"/>
    </xf>
    <xf numFmtId="0" fontId="170" fillId="12" borderId="9" xfId="0" applyFont="1" applyFill="1" applyBorder="1" applyAlignment="1">
      <alignment vertical="center"/>
    </xf>
    <xf numFmtId="0" fontId="170" fillId="0" borderId="9" xfId="0" applyFont="1" applyFill="1" applyBorder="1" applyAlignment="1">
      <alignment vertical="center"/>
    </xf>
    <xf numFmtId="197" fontId="170" fillId="0" borderId="9" xfId="0" applyNumberFormat="1" applyFont="1" applyFill="1" applyBorder="1" applyAlignment="1">
      <alignment vertical="center"/>
    </xf>
    <xf numFmtId="209" fontId="170" fillId="0" borderId="9" xfId="0" applyNumberFormat="1" applyFont="1" applyFill="1" applyBorder="1" applyAlignment="1">
      <alignment vertical="center"/>
    </xf>
    <xf numFmtId="197" fontId="165" fillId="27" borderId="9" xfId="0" applyNumberFormat="1" applyFont="1" applyFill="1" applyBorder="1" applyAlignment="1">
      <alignment vertical="center"/>
    </xf>
    <xf numFmtId="197" fontId="169" fillId="36" borderId="12" xfId="0" applyNumberFormat="1" applyFont="1" applyFill="1" applyBorder="1" applyAlignment="1">
      <alignment horizontal="right" vertical="center"/>
    </xf>
    <xf numFmtId="0" fontId="191" fillId="28" borderId="76" xfId="0" applyFont="1" applyFill="1" applyBorder="1" applyAlignment="1">
      <alignment horizontal="center" vertical="center" wrapText="1"/>
    </xf>
    <xf numFmtId="197" fontId="165" fillId="27" borderId="38" xfId="0" applyNumberFormat="1" applyFont="1" applyFill="1" applyBorder="1" applyAlignment="1">
      <alignment horizontal="right" vertical="center"/>
    </xf>
    <xf numFmtId="0" fontId="175" fillId="0" borderId="1" xfId="0" applyFont="1" applyFill="1" applyBorder="1" applyAlignment="1"/>
    <xf numFmtId="0" fontId="175" fillId="0" borderId="1" xfId="0" applyFont="1" applyFill="1" applyBorder="1" applyAlignment="1">
      <alignment horizontal="center"/>
    </xf>
    <xf numFmtId="0" fontId="123" fillId="0" borderId="35" xfId="0" applyFont="1" applyFill="1" applyBorder="1" applyAlignment="1">
      <alignment horizontal="center" vertical="center"/>
    </xf>
    <xf numFmtId="0" fontId="123" fillId="0" borderId="36" xfId="0" applyFont="1" applyFill="1" applyBorder="1" applyAlignment="1">
      <alignment horizontal="center" vertical="center"/>
    </xf>
    <xf numFmtId="0" fontId="123" fillId="0" borderId="37" xfId="0" applyFont="1" applyFill="1" applyBorder="1" applyAlignment="1">
      <alignment horizontal="center" vertical="center"/>
    </xf>
    <xf numFmtId="0" fontId="123" fillId="0" borderId="1" xfId="0" applyFont="1" applyFill="1" applyBorder="1" applyAlignment="1">
      <alignment horizontal="center" vertical="center"/>
    </xf>
    <xf numFmtId="0" fontId="203" fillId="0" borderId="28" xfId="0" applyFont="1" applyFill="1" applyBorder="1" applyAlignment="1">
      <alignment horizontal="center" vertical="center"/>
    </xf>
    <xf numFmtId="0" fontId="204" fillId="0" borderId="1" xfId="0" applyFont="1" applyFill="1" applyBorder="1" applyAlignment="1">
      <alignment horizontal="center" vertical="center"/>
    </xf>
    <xf numFmtId="0" fontId="27" fillId="0" borderId="1" xfId="0" applyFont="1" applyFill="1" applyBorder="1" applyAlignment="1">
      <alignment horizontal="center" vertical="center"/>
    </xf>
    <xf numFmtId="0" fontId="26" fillId="0" borderId="28" xfId="0" applyFont="1" applyFill="1" applyBorder="1" applyAlignment="1">
      <alignment horizontal="center" vertical="center"/>
    </xf>
    <xf numFmtId="0" fontId="26" fillId="0" borderId="1" xfId="0" applyFont="1" applyFill="1" applyBorder="1" applyAlignment="1">
      <alignment horizontal="center" vertical="center"/>
    </xf>
    <xf numFmtId="0" fontId="27" fillId="0" borderId="20" xfId="0" applyFont="1" applyFill="1" applyBorder="1" applyAlignment="1">
      <alignment horizontal="center" vertical="center" wrapText="1"/>
    </xf>
    <xf numFmtId="0" fontId="27" fillId="0" borderId="19" xfId="0" applyFont="1" applyFill="1" applyBorder="1" applyAlignment="1">
      <alignment horizontal="center" vertical="center"/>
    </xf>
    <xf numFmtId="0" fontId="5" fillId="0" borderId="28" xfId="0" applyFont="1" applyFill="1" applyBorder="1" applyAlignment="1">
      <alignment horizontal="center" vertical="center"/>
    </xf>
    <xf numFmtId="0" fontId="5" fillId="0" borderId="6" xfId="0" applyFont="1" applyFill="1" applyBorder="1" applyAlignment="1">
      <alignment horizontal="center" vertical="center"/>
    </xf>
    <xf numFmtId="201" fontId="3" fillId="0" borderId="20" xfId="0" applyNumberFormat="1" applyFont="1" applyFill="1" applyBorder="1" applyAlignment="1">
      <alignment horizontal="center" vertical="center"/>
    </xf>
    <xf numFmtId="0" fontId="3" fillId="0" borderId="20" xfId="0" applyNumberFormat="1" applyFont="1" applyFill="1" applyBorder="1" applyAlignment="1">
      <alignment horizontal="center" vertical="center"/>
    </xf>
    <xf numFmtId="0" fontId="27" fillId="2" borderId="19" xfId="0" applyFont="1" applyFill="1" applyBorder="1" applyAlignment="1">
      <alignment horizontal="center" vertical="center"/>
    </xf>
    <xf numFmtId="201" fontId="3" fillId="2" borderId="1" xfId="0" applyNumberFormat="1" applyFont="1" applyFill="1" applyBorder="1" applyAlignment="1">
      <alignment horizontal="center" vertical="center"/>
    </xf>
    <xf numFmtId="0" fontId="5" fillId="2" borderId="28" xfId="0" applyFont="1" applyFill="1" applyBorder="1" applyAlignment="1">
      <alignment horizontal="center" vertical="center"/>
    </xf>
    <xf numFmtId="0" fontId="5" fillId="2" borderId="6" xfId="0" applyFont="1" applyFill="1" applyBorder="1" applyAlignment="1">
      <alignment horizontal="center" vertical="center"/>
    </xf>
    <xf numFmtId="0" fontId="3" fillId="2" borderId="20" xfId="0" applyNumberFormat="1" applyFont="1" applyFill="1" applyBorder="1" applyAlignment="1">
      <alignment horizontal="center" vertical="center"/>
    </xf>
    <xf numFmtId="0" fontId="3" fillId="0" borderId="20" xfId="0" applyFont="1" applyFill="1" applyBorder="1" applyAlignment="1">
      <alignment horizontal="center" vertical="center"/>
    </xf>
    <xf numFmtId="0" fontId="5" fillId="0" borderId="96" xfId="0" applyFont="1" applyFill="1" applyBorder="1" applyAlignment="1">
      <alignment horizontal="center" vertical="center"/>
    </xf>
    <xf numFmtId="0" fontId="5" fillId="0" borderId="5" xfId="0" applyFont="1" applyFill="1" applyBorder="1" applyAlignment="1">
      <alignment horizontal="center" vertical="center"/>
    </xf>
    <xf numFmtId="182" fontId="5" fillId="0" borderId="96" xfId="0" applyNumberFormat="1" applyFont="1" applyFill="1" applyBorder="1" applyAlignment="1">
      <alignment horizontal="center" vertical="center"/>
    </xf>
    <xf numFmtId="182" fontId="5" fillId="0" borderId="5" xfId="0" applyNumberFormat="1" applyFont="1" applyFill="1" applyBorder="1" applyAlignment="1">
      <alignment horizontal="center" vertical="center"/>
    </xf>
    <xf numFmtId="0" fontId="3" fillId="0" borderId="11" xfId="0" applyFont="1" applyFill="1" applyBorder="1" applyAlignment="1">
      <alignment horizontal="center" vertical="center"/>
    </xf>
    <xf numFmtId="0" fontId="27" fillId="0" borderId="9" xfId="0" applyFont="1" applyFill="1" applyBorder="1" applyAlignment="1">
      <alignment horizontal="center" vertical="center"/>
    </xf>
    <xf numFmtId="199" fontId="5" fillId="0" borderId="30" xfId="0" applyNumberFormat="1" applyFont="1" applyFill="1" applyBorder="1" applyAlignment="1">
      <alignment horizontal="center" vertical="center"/>
    </xf>
    <xf numFmtId="199" fontId="5" fillId="0" borderId="97" xfId="0" applyNumberFormat="1" applyFont="1" applyFill="1" applyBorder="1" applyAlignment="1">
      <alignment horizontal="center" vertical="center"/>
    </xf>
    <xf numFmtId="0" fontId="3" fillId="0" borderId="12" xfId="0" applyFont="1" applyFill="1" applyBorder="1" applyAlignment="1">
      <alignment horizontal="center" vertical="center"/>
    </xf>
    <xf numFmtId="0" fontId="203" fillId="0" borderId="1" xfId="0" applyFont="1" applyBorder="1" applyAlignment="1">
      <alignment horizontal="left" vertical="center"/>
    </xf>
    <xf numFmtId="0" fontId="203" fillId="0" borderId="0" xfId="0" applyFont="1">
      <alignment vertical="center"/>
    </xf>
    <xf numFmtId="0" fontId="123" fillId="0" borderId="31" xfId="0" applyFont="1" applyFill="1" applyBorder="1" applyAlignment="1">
      <alignment horizontal="center" vertical="center"/>
    </xf>
    <xf numFmtId="0" fontId="123" fillId="0" borderId="38" xfId="0" applyFont="1" applyFill="1" applyBorder="1" applyAlignment="1">
      <alignment horizontal="center" vertical="center"/>
    </xf>
    <xf numFmtId="0" fontId="123" fillId="0" borderId="33" xfId="0" applyFont="1" applyFill="1" applyBorder="1" applyAlignment="1">
      <alignment horizontal="center" vertical="center"/>
    </xf>
    <xf numFmtId="0" fontId="123" fillId="0" borderId="0" xfId="0" applyFont="1" applyFill="1" applyBorder="1" applyAlignment="1">
      <alignment horizontal="center" vertical="center"/>
    </xf>
    <xf numFmtId="0" fontId="123" fillId="0" borderId="19" xfId="0" applyFont="1" applyFill="1" applyBorder="1" applyAlignment="1">
      <alignment horizontal="center" vertical="center"/>
    </xf>
    <xf numFmtId="0" fontId="203" fillId="0" borderId="1" xfId="0" applyFont="1" applyFill="1" applyBorder="1" applyAlignment="1">
      <alignment horizontal="center" vertical="center"/>
    </xf>
    <xf numFmtId="0" fontId="123" fillId="0" borderId="20" xfId="0" applyFont="1" applyFill="1" applyBorder="1" applyAlignment="1">
      <alignment horizontal="center" vertical="center"/>
    </xf>
    <xf numFmtId="0" fontId="203" fillId="0" borderId="0" xfId="0" applyFont="1" applyFill="1" applyBorder="1" applyAlignment="1">
      <alignment horizontal="center" vertical="center"/>
    </xf>
    <xf numFmtId="0" fontId="204" fillId="0" borderId="0" xfId="0" applyFont="1" applyFill="1" applyBorder="1" applyAlignment="1">
      <alignment horizontal="center" vertical="center"/>
    </xf>
    <xf numFmtId="0" fontId="27" fillId="0" borderId="0" xfId="0" applyFont="1" applyFill="1" applyBorder="1" applyAlignment="1">
      <alignment horizontal="center" vertical="center"/>
    </xf>
    <xf numFmtId="0" fontId="26" fillId="0" borderId="0" xfId="0" applyFont="1" applyFill="1" applyBorder="1" applyAlignment="1">
      <alignment horizontal="center" vertical="center"/>
    </xf>
    <xf numFmtId="0" fontId="27" fillId="0" borderId="0" xfId="0" applyFont="1" applyFill="1" applyBorder="1" applyAlignment="1">
      <alignment horizontal="center" vertical="center" wrapText="1"/>
    </xf>
    <xf numFmtId="201" fontId="3" fillId="0" borderId="0" xfId="0" applyNumberFormat="1" applyFont="1" applyFill="1" applyBorder="1" applyAlignment="1">
      <alignment horizontal="center" vertical="center"/>
    </xf>
    <xf numFmtId="0" fontId="5" fillId="0" borderId="0" xfId="0" applyFont="1" applyFill="1" applyBorder="1" applyAlignment="1">
      <alignment horizontal="center" vertical="center"/>
    </xf>
    <xf numFmtId="187" fontId="3" fillId="0" borderId="0" xfId="0" applyNumberFormat="1" applyFont="1" applyFill="1" applyBorder="1" applyAlignment="1">
      <alignment horizontal="center" vertical="center"/>
    </xf>
    <xf numFmtId="182" fontId="5" fillId="0" borderId="1" xfId="0" applyNumberFormat="1" applyFont="1" applyFill="1" applyBorder="1" applyAlignment="1">
      <alignment horizontal="center" vertical="center"/>
    </xf>
    <xf numFmtId="182" fontId="5" fillId="0" borderId="0" xfId="0" applyNumberFormat="1" applyFont="1" applyFill="1" applyBorder="1" applyAlignment="1">
      <alignment horizontal="center" vertical="center"/>
    </xf>
    <xf numFmtId="0" fontId="3" fillId="0" borderId="52" xfId="0" applyFont="1" applyFill="1" applyBorder="1" applyAlignment="1">
      <alignment horizontal="center" vertical="center"/>
    </xf>
    <xf numFmtId="0" fontId="27" fillId="0" borderId="53" xfId="0" applyFont="1" applyFill="1" applyBorder="1" applyAlignment="1">
      <alignment horizontal="center" vertical="center"/>
    </xf>
    <xf numFmtId="199" fontId="3" fillId="0" borderId="53" xfId="0" applyNumberFormat="1" applyFont="1" applyFill="1" applyBorder="1" applyAlignment="1">
      <alignment horizontal="center" vertical="center"/>
    </xf>
    <xf numFmtId="0" fontId="3" fillId="0" borderId="54" xfId="0" applyFont="1" applyFill="1" applyBorder="1" applyAlignment="1">
      <alignment horizontal="center" vertical="center"/>
    </xf>
    <xf numFmtId="199" fontId="5" fillId="0" borderId="0" xfId="0" applyNumberFormat="1" applyFont="1" applyFill="1" applyBorder="1" applyAlignment="1">
      <alignment horizontal="center" vertical="center"/>
    </xf>
    <xf numFmtId="0" fontId="123" fillId="0" borderId="0" xfId="0" applyFont="1" applyFill="1" applyAlignment="1">
      <alignment horizontal="center" vertical="center"/>
    </xf>
    <xf numFmtId="0" fontId="203" fillId="0" borderId="83" xfId="0" applyFont="1" applyFill="1" applyBorder="1" applyAlignment="1">
      <alignment horizontal="center" vertical="center"/>
    </xf>
    <xf numFmtId="0" fontId="203" fillId="0" borderId="75" xfId="0" applyFont="1" applyFill="1" applyBorder="1" applyAlignment="1">
      <alignment horizontal="center" vertical="center"/>
    </xf>
    <xf numFmtId="0" fontId="203" fillId="0" borderId="94" xfId="0" applyFont="1" applyFill="1" applyBorder="1" applyAlignment="1">
      <alignment horizontal="center" vertical="center"/>
    </xf>
    <xf numFmtId="0" fontId="3" fillId="0" borderId="31" xfId="0" applyFont="1" applyFill="1" applyBorder="1" applyAlignment="1">
      <alignment horizontal="center" vertical="center"/>
    </xf>
    <xf numFmtId="0" fontId="27" fillId="0" borderId="38" xfId="0" applyFont="1" applyFill="1" applyBorder="1" applyAlignment="1">
      <alignment horizontal="center" vertical="center"/>
    </xf>
    <xf numFmtId="0" fontId="26" fillId="0" borderId="38" xfId="0" applyFont="1" applyFill="1" applyBorder="1" applyAlignment="1">
      <alignment horizontal="center" vertical="center"/>
    </xf>
    <xf numFmtId="0" fontId="27" fillId="0" borderId="33" xfId="0" applyFont="1" applyFill="1" applyBorder="1" applyAlignment="1">
      <alignment horizontal="center" vertical="center" wrapText="1"/>
    </xf>
    <xf numFmtId="201" fontId="3" fillId="0" borderId="0" xfId="0" applyNumberFormat="1" applyFont="1" applyFill="1" applyAlignment="1">
      <alignment horizontal="center" vertical="center"/>
    </xf>
    <xf numFmtId="0" fontId="27" fillId="3" borderId="19" xfId="0" applyFont="1" applyFill="1" applyBorder="1" applyAlignment="1">
      <alignment horizontal="center" vertical="center"/>
    </xf>
    <xf numFmtId="0" fontId="5" fillId="3" borderId="1" xfId="0" applyFont="1" applyFill="1" applyBorder="1" applyAlignment="1">
      <alignment horizontal="center" vertical="center"/>
    </xf>
    <xf numFmtId="0" fontId="5" fillId="0" borderId="73" xfId="0" applyFont="1" applyFill="1" applyBorder="1" applyAlignment="1">
      <alignment horizontal="center" vertical="center"/>
    </xf>
    <xf numFmtId="0" fontId="5" fillId="0" borderId="53" xfId="0" applyFont="1" applyFill="1" applyBorder="1" applyAlignment="1">
      <alignment horizontal="center" vertical="center"/>
    </xf>
    <xf numFmtId="0" fontId="5" fillId="0" borderId="54" xfId="0" applyFont="1" applyFill="1" applyBorder="1" applyAlignment="1">
      <alignment horizontal="center" vertical="center"/>
    </xf>
    <xf numFmtId="0" fontId="0" fillId="3" borderId="0" xfId="0" applyFill="1" applyAlignment="1">
      <alignment horizontal="center" vertical="center"/>
    </xf>
    <xf numFmtId="182" fontId="5" fillId="0" borderId="38" xfId="0" applyNumberFormat="1" applyFont="1" applyFill="1" applyBorder="1" applyAlignment="1">
      <alignment horizontal="center" vertical="center"/>
    </xf>
    <xf numFmtId="182" fontId="5" fillId="0" borderId="33" xfId="0" applyNumberFormat="1" applyFont="1" applyFill="1" applyBorder="1" applyAlignment="1">
      <alignment horizontal="center" vertical="center"/>
    </xf>
    <xf numFmtId="182" fontId="5" fillId="0" borderId="0" xfId="0" applyNumberFormat="1" applyFont="1" applyFill="1" applyAlignment="1">
      <alignment horizontal="center" vertical="center"/>
    </xf>
    <xf numFmtId="0" fontId="27" fillId="0" borderId="68" xfId="0" applyFont="1" applyFill="1" applyBorder="1" applyAlignment="1">
      <alignment horizontal="center" vertical="center"/>
    </xf>
    <xf numFmtId="0" fontId="3" fillId="0" borderId="73" xfId="0" applyFont="1" applyFill="1" applyBorder="1" applyAlignment="1">
      <alignment horizontal="center" vertical="center"/>
    </xf>
    <xf numFmtId="0" fontId="3" fillId="0" borderId="53" xfId="0" applyFont="1" applyFill="1" applyBorder="1" applyAlignment="1">
      <alignment horizontal="center" vertical="center"/>
    </xf>
    <xf numFmtId="201" fontId="158" fillId="0" borderId="20" xfId="0" applyNumberFormat="1" applyFont="1" applyFill="1" applyBorder="1" applyAlignment="1">
      <alignment horizontal="center" vertical="center"/>
    </xf>
    <xf numFmtId="201" fontId="84" fillId="0" borderId="20" xfId="0" applyNumberFormat="1" applyFont="1" applyFill="1" applyBorder="1" applyAlignment="1">
      <alignment horizontal="center" vertical="center"/>
    </xf>
    <xf numFmtId="0" fontId="5" fillId="0" borderId="68" xfId="0" applyFont="1" applyFill="1" applyBorder="1" applyAlignment="1">
      <alignment horizontal="center" vertical="center"/>
    </xf>
    <xf numFmtId="0" fontId="5" fillId="0" borderId="74" xfId="0" applyFont="1" applyFill="1" applyBorder="1" applyAlignment="1">
      <alignment horizontal="center" vertical="center"/>
    </xf>
    <xf numFmtId="0" fontId="5" fillId="0" borderId="85" xfId="0" applyFont="1" applyFill="1" applyBorder="1" applyAlignment="1">
      <alignment horizontal="center" vertical="center"/>
    </xf>
    <xf numFmtId="182" fontId="5" fillId="0" borderId="62" xfId="0" applyNumberFormat="1" applyFont="1" applyFill="1" applyBorder="1" applyAlignment="1">
      <alignment horizontal="center" vertical="center"/>
    </xf>
    <xf numFmtId="182" fontId="5" fillId="0" borderId="36" xfId="0" applyNumberFormat="1" applyFont="1" applyFill="1" applyBorder="1" applyAlignment="1">
      <alignment horizontal="center" vertical="center"/>
    </xf>
    <xf numFmtId="182" fontId="5" fillId="0" borderId="37" xfId="0" applyNumberFormat="1" applyFont="1" applyFill="1" applyBorder="1" applyAlignment="1">
      <alignment horizontal="center" vertical="center"/>
    </xf>
    <xf numFmtId="0" fontId="3" fillId="0" borderId="68" xfId="0" applyFont="1" applyFill="1" applyBorder="1" applyAlignment="1">
      <alignment horizontal="center" vertical="center"/>
    </xf>
    <xf numFmtId="0" fontId="3" fillId="0" borderId="74" xfId="0" applyFont="1" applyFill="1" applyBorder="1" applyAlignment="1">
      <alignment horizontal="center" vertical="center"/>
    </xf>
    <xf numFmtId="0" fontId="3" fillId="0" borderId="85" xfId="0" applyFont="1" applyFill="1" applyBorder="1" applyAlignment="1">
      <alignment horizontal="center" vertical="center"/>
    </xf>
    <xf numFmtId="0" fontId="97" fillId="3" borderId="0" xfId="0" applyFont="1" applyFill="1" applyAlignment="1">
      <alignment horizontal="center" vertical="center"/>
    </xf>
    <xf numFmtId="0" fontId="26" fillId="0" borderId="62" xfId="0" applyFont="1" applyFill="1" applyBorder="1" applyAlignment="1">
      <alignment horizontal="center" vertical="center"/>
    </xf>
    <xf numFmtId="0" fontId="26" fillId="0" borderId="32" xfId="0" applyFont="1" applyFill="1" applyBorder="1" applyAlignment="1">
      <alignment horizontal="center" vertical="center"/>
    </xf>
    <xf numFmtId="0" fontId="5" fillId="0" borderId="7" xfId="0" applyFont="1" applyFill="1" applyBorder="1" applyAlignment="1">
      <alignment horizontal="center" vertical="center"/>
    </xf>
    <xf numFmtId="0" fontId="97" fillId="0" borderId="0" xfId="0" applyFont="1">
      <alignment vertical="center"/>
    </xf>
    <xf numFmtId="0" fontId="88" fillId="0" borderId="6" xfId="0" applyFont="1" applyFill="1" applyBorder="1" applyAlignment="1">
      <alignment horizontal="center" vertical="center"/>
    </xf>
    <xf numFmtId="0" fontId="27" fillId="0" borderId="11" xfId="0" applyFont="1" applyFill="1" applyBorder="1" applyAlignment="1">
      <alignment horizontal="center" vertical="center"/>
    </xf>
    <xf numFmtId="201" fontId="3" fillId="0" borderId="9" xfId="0" applyNumberFormat="1" applyFont="1" applyFill="1" applyBorder="1" applyAlignment="1">
      <alignment horizontal="center" vertical="center"/>
    </xf>
    <xf numFmtId="0" fontId="5" fillId="0" borderId="10" xfId="0" applyFont="1" applyFill="1" applyBorder="1" applyAlignment="1">
      <alignment horizontal="center" vertical="center"/>
    </xf>
    <xf numFmtId="0" fontId="5" fillId="0" borderId="13" xfId="0" applyFont="1" applyFill="1" applyBorder="1" applyAlignment="1">
      <alignment horizontal="center" vertical="center"/>
    </xf>
    <xf numFmtId="201" fontId="3" fillId="0" borderId="12" xfId="0" applyNumberFormat="1" applyFont="1" applyFill="1" applyBorder="1" applyAlignment="1">
      <alignment horizontal="center" vertical="center"/>
    </xf>
    <xf numFmtId="201" fontId="158" fillId="0" borderId="12" xfId="0" applyNumberFormat="1" applyFont="1" applyFill="1" applyBorder="1" applyAlignment="1">
      <alignment horizontal="center" vertical="center"/>
    </xf>
    <xf numFmtId="0" fontId="3" fillId="3" borderId="11" xfId="0" applyFont="1" applyFill="1" applyBorder="1" applyAlignment="1">
      <alignment horizontal="center" vertical="center"/>
    </xf>
    <xf numFmtId="0" fontId="5" fillId="3" borderId="10" xfId="0" applyFont="1" applyFill="1" applyBorder="1" applyAlignment="1">
      <alignment horizontal="center" vertical="center"/>
    </xf>
    <xf numFmtId="0" fontId="5" fillId="3" borderId="13" xfId="0" applyFont="1" applyFill="1" applyBorder="1" applyAlignment="1">
      <alignment horizontal="center" vertical="center"/>
    </xf>
    <xf numFmtId="201" fontId="158" fillId="3" borderId="20" xfId="0" applyNumberFormat="1" applyFont="1" applyFill="1" applyBorder="1" applyAlignment="1">
      <alignment horizontal="center" vertical="center"/>
    </xf>
    <xf numFmtId="0" fontId="5" fillId="0" borderId="38" xfId="0" applyFont="1" applyFill="1" applyBorder="1" applyAlignment="1">
      <alignment horizontal="center" vertical="center"/>
    </xf>
    <xf numFmtId="0" fontId="5" fillId="0" borderId="33" xfId="0" applyFont="1" applyFill="1" applyBorder="1" applyAlignment="1">
      <alignment vertical="center"/>
    </xf>
    <xf numFmtId="182" fontId="5" fillId="0" borderId="20" xfId="0" applyNumberFormat="1" applyFont="1" applyFill="1" applyBorder="1" applyAlignment="1">
      <alignment vertical="center"/>
    </xf>
    <xf numFmtId="0" fontId="88" fillId="0" borderId="53" xfId="0" applyFont="1" applyFill="1" applyBorder="1" applyAlignment="1">
      <alignment horizontal="center" vertical="center"/>
    </xf>
    <xf numFmtId="0" fontId="3" fillId="0" borderId="54" xfId="0" applyFont="1" applyFill="1" applyBorder="1" applyAlignment="1">
      <alignment vertical="center"/>
    </xf>
    <xf numFmtId="0" fontId="97" fillId="0" borderId="0" xfId="0" applyFont="1" applyAlignment="1">
      <alignment horizontal="center" vertical="center"/>
    </xf>
    <xf numFmtId="0" fontId="203" fillId="0" borderId="98" xfId="0" applyFont="1" applyFill="1" applyBorder="1" applyAlignment="1">
      <alignment horizontal="center" vertical="center"/>
    </xf>
    <xf numFmtId="0" fontId="203" fillId="0" borderId="99" xfId="0" applyFont="1" applyFill="1" applyBorder="1" applyAlignment="1">
      <alignment horizontal="center" vertical="center"/>
    </xf>
    <xf numFmtId="0" fontId="203" fillId="0" borderId="100" xfId="0" applyFont="1" applyFill="1" applyBorder="1" applyAlignment="1">
      <alignment horizontal="center" vertical="center"/>
    </xf>
    <xf numFmtId="0" fontId="27" fillId="0" borderId="0" xfId="0" applyFont="1" applyFill="1" applyAlignment="1">
      <alignment horizontal="center" vertical="center"/>
    </xf>
    <xf numFmtId="0" fontId="0" fillId="0" borderId="1" xfId="0" applyBorder="1">
      <alignment vertical="center"/>
    </xf>
    <xf numFmtId="0" fontId="82" fillId="0" borderId="0" xfId="0" applyFont="1" applyFill="1" applyBorder="1" applyAlignment="1" applyProtection="1">
      <alignment horizontal="center" vertical="center"/>
      <protection locked="0"/>
    </xf>
    <xf numFmtId="0" fontId="82" fillId="0" borderId="0" xfId="0" applyFont="1" applyFill="1" applyBorder="1" applyAlignment="1" applyProtection="1">
      <alignment vertical="center"/>
      <protection locked="0"/>
    </xf>
    <xf numFmtId="0" fontId="82" fillId="0" borderId="0" xfId="0" applyFont="1" applyFill="1" applyBorder="1" applyAlignment="1" applyProtection="1">
      <alignment horizontal="center" vertical="center" wrapText="1"/>
      <protection locked="0"/>
    </xf>
    <xf numFmtId="0" fontId="205" fillId="0" borderId="0" xfId="0" applyFont="1" applyFill="1" applyBorder="1" applyAlignment="1" applyProtection="1">
      <alignment vertical="center"/>
      <protection locked="0"/>
    </xf>
    <xf numFmtId="0" fontId="205" fillId="0" borderId="1" xfId="0" applyFont="1" applyFill="1" applyBorder="1" applyAlignment="1" applyProtection="1">
      <alignment vertical="center"/>
      <protection locked="0"/>
    </xf>
    <xf numFmtId="0" fontId="206" fillId="0" borderId="0" xfId="0" applyFont="1" applyFill="1" applyBorder="1" applyAlignment="1" applyProtection="1">
      <alignment vertical="center"/>
      <protection locked="0"/>
    </xf>
    <xf numFmtId="0" fontId="73" fillId="0" borderId="0" xfId="0" applyFont="1" applyFill="1" applyBorder="1" applyAlignment="1" applyProtection="1">
      <alignment vertical="center"/>
      <protection locked="0"/>
    </xf>
    <xf numFmtId="187" fontId="89" fillId="0" borderId="0" xfId="0" applyNumberFormat="1" applyFont="1" applyFill="1" applyAlignment="1" applyProtection="1">
      <alignment horizontal="center" vertical="center"/>
      <protection locked="0"/>
    </xf>
    <xf numFmtId="0" fontId="89" fillId="0" borderId="0" xfId="0" applyFont="1" applyFill="1" applyAlignment="1" applyProtection="1">
      <alignment vertical="center"/>
      <protection locked="0"/>
    </xf>
    <xf numFmtId="0" fontId="73" fillId="0" borderId="0" xfId="0" applyFont="1" applyFill="1" applyAlignment="1" applyProtection="1">
      <alignment vertical="center"/>
      <protection locked="0"/>
    </xf>
    <xf numFmtId="0" fontId="207" fillId="0" borderId="0" xfId="0" applyFont="1" applyFill="1" applyAlignment="1" applyProtection="1">
      <alignment vertical="center"/>
    </xf>
    <xf numFmtId="0" fontId="208" fillId="0" borderId="0" xfId="0" applyFont="1" applyFill="1" applyAlignment="1" applyProtection="1">
      <alignment vertical="center"/>
      <protection locked="0"/>
    </xf>
    <xf numFmtId="0" fontId="208" fillId="0" borderId="0" xfId="0" applyFont="1" applyFill="1" applyAlignment="1" applyProtection="1">
      <alignment vertical="center" wrapText="1"/>
      <protection locked="0"/>
    </xf>
    <xf numFmtId="0" fontId="209" fillId="0" borderId="10" xfId="0" applyFont="1" applyFill="1" applyBorder="1" applyAlignment="1" applyProtection="1">
      <alignment horizontal="center" vertical="center"/>
    </xf>
    <xf numFmtId="0" fontId="77" fillId="0" borderId="97" xfId="0" applyFont="1" applyFill="1" applyBorder="1" applyAlignment="1" applyProtection="1">
      <alignment horizontal="center" vertical="center"/>
      <protection locked="0"/>
    </xf>
    <xf numFmtId="0" fontId="210" fillId="0" borderId="0" xfId="0" applyFont="1" applyFill="1" applyBorder="1" applyAlignment="1" applyProtection="1">
      <alignment vertical="center"/>
      <protection locked="0"/>
    </xf>
    <xf numFmtId="0" fontId="77" fillId="0" borderId="0" xfId="0" applyFont="1" applyFill="1" applyBorder="1" applyAlignment="1" applyProtection="1">
      <alignment vertical="center"/>
      <protection locked="0"/>
    </xf>
    <xf numFmtId="0" fontId="77" fillId="0" borderId="0" xfId="0" applyFont="1" applyFill="1" applyBorder="1" applyAlignment="1" applyProtection="1">
      <alignment vertical="center" wrapText="1"/>
      <protection locked="0"/>
    </xf>
    <xf numFmtId="186" fontId="77" fillId="0" borderId="0" xfId="0" applyNumberFormat="1" applyFont="1" applyFill="1" applyBorder="1" applyAlignment="1" applyProtection="1">
      <alignment vertical="center" wrapText="1"/>
      <protection locked="0"/>
    </xf>
    <xf numFmtId="0" fontId="77" fillId="0" borderId="0" xfId="0" applyNumberFormat="1" applyFont="1" applyFill="1" applyBorder="1" applyAlignment="1" applyProtection="1">
      <alignment vertical="center" wrapText="1"/>
      <protection locked="0"/>
    </xf>
    <xf numFmtId="0" fontId="211" fillId="0" borderId="0" xfId="0" applyFont="1" applyFill="1" applyBorder="1" applyAlignment="1" applyProtection="1">
      <alignment vertical="center" wrapText="1"/>
      <protection locked="0"/>
    </xf>
    <xf numFmtId="187" fontId="211" fillId="0" borderId="0" xfId="0" applyNumberFormat="1" applyFont="1" applyFill="1" applyBorder="1" applyAlignment="1" applyProtection="1">
      <alignment vertical="center"/>
      <protection locked="0"/>
    </xf>
    <xf numFmtId="187" fontId="90" fillId="0" borderId="0" xfId="0" applyNumberFormat="1" applyFont="1" applyFill="1" applyBorder="1" applyAlignment="1" applyProtection="1">
      <alignment horizontal="center" vertical="center"/>
      <protection locked="0"/>
    </xf>
    <xf numFmtId="187" fontId="80" fillId="0" borderId="1" xfId="0" applyNumberFormat="1" applyFont="1" applyFill="1" applyBorder="1" applyAlignment="1" applyProtection="1">
      <alignment horizontal="center" vertical="center"/>
      <protection locked="0"/>
    </xf>
    <xf numFmtId="187" fontId="212" fillId="0" borderId="1" xfId="0" applyNumberFormat="1" applyFont="1" applyFill="1" applyBorder="1" applyAlignment="1" applyProtection="1">
      <alignment horizontal="center" vertical="center"/>
      <protection locked="0"/>
    </xf>
    <xf numFmtId="187" fontId="212" fillId="0" borderId="0" xfId="0" applyNumberFormat="1" applyFont="1" applyFill="1" applyBorder="1" applyAlignment="1" applyProtection="1">
      <alignment horizontal="center" vertical="center"/>
      <protection locked="0"/>
    </xf>
    <xf numFmtId="0" fontId="73" fillId="0" borderId="7" xfId="0" applyFont="1" applyFill="1" applyBorder="1" applyAlignment="1" applyProtection="1">
      <alignment vertical="center" wrapText="1"/>
      <protection locked="0"/>
    </xf>
    <xf numFmtId="0" fontId="73" fillId="0" borderId="1" xfId="0" applyFont="1" applyFill="1" applyBorder="1" applyAlignment="1" applyProtection="1">
      <alignment vertical="center" wrapText="1"/>
      <protection locked="0"/>
    </xf>
    <xf numFmtId="0" fontId="82" fillId="0" borderId="1" xfId="0" applyFont="1" applyFill="1" applyBorder="1" applyAlignment="1" applyProtection="1">
      <alignment horizontal="center" vertical="center"/>
      <protection locked="0"/>
    </xf>
    <xf numFmtId="0" fontId="209" fillId="0" borderId="15" xfId="0" applyFont="1" applyFill="1" applyBorder="1" applyAlignment="1" applyProtection="1">
      <alignment horizontal="center" vertical="center"/>
    </xf>
    <xf numFmtId="0" fontId="77" fillId="0" borderId="4" xfId="0" applyFont="1" applyFill="1" applyBorder="1" applyAlignment="1" applyProtection="1">
      <alignment horizontal="center" vertical="center"/>
      <protection locked="0"/>
    </xf>
    <xf numFmtId="185" fontId="77" fillId="0" borderId="0" xfId="0" applyNumberFormat="1" applyFont="1" applyFill="1" applyBorder="1" applyAlignment="1" applyProtection="1">
      <alignment horizontal="center" vertical="center"/>
      <protection locked="0"/>
    </xf>
    <xf numFmtId="186" fontId="77" fillId="0" borderId="0" xfId="0" applyNumberFormat="1" applyFont="1" applyFill="1" applyBorder="1" applyAlignment="1" applyProtection="1">
      <alignment horizontal="center" vertical="center" wrapText="1"/>
      <protection locked="0"/>
    </xf>
    <xf numFmtId="0" fontId="210" fillId="0" borderId="0" xfId="0" applyFont="1" applyFill="1" applyBorder="1" applyAlignment="1" applyProtection="1">
      <alignment horizontal="center" vertical="center" wrapText="1"/>
      <protection locked="0"/>
    </xf>
    <xf numFmtId="0" fontId="77" fillId="0" borderId="0" xfId="0" applyNumberFormat="1" applyFont="1" applyFill="1" applyBorder="1" applyAlignment="1" applyProtection="1">
      <alignment horizontal="center" vertical="center" wrapText="1"/>
      <protection locked="0"/>
    </xf>
    <xf numFmtId="0" fontId="79" fillId="0" borderId="0" xfId="0" applyFont="1" applyFill="1" applyBorder="1" applyAlignment="1" applyProtection="1">
      <alignment vertical="center" wrapText="1"/>
      <protection locked="0"/>
    </xf>
    <xf numFmtId="0" fontId="77" fillId="0" borderId="0" xfId="0" applyFont="1" applyFill="1" applyBorder="1" applyAlignment="1" applyProtection="1">
      <alignment horizontal="center" vertical="center" wrapText="1"/>
      <protection locked="0"/>
    </xf>
    <xf numFmtId="0" fontId="79" fillId="0" borderId="1" xfId="0" applyFont="1" applyFill="1" applyBorder="1" applyAlignment="1" applyProtection="1">
      <alignment horizontal="center" vertical="center" wrapText="1"/>
      <protection locked="0"/>
    </xf>
    <xf numFmtId="187" fontId="213" fillId="0" borderId="1" xfId="0" applyNumberFormat="1" applyFont="1" applyFill="1" applyBorder="1" applyAlignment="1" applyProtection="1">
      <alignment horizontal="center" vertical="center"/>
      <protection locked="0"/>
    </xf>
    <xf numFmtId="187" fontId="213" fillId="0" borderId="6" xfId="0" applyNumberFormat="1" applyFont="1" applyFill="1" applyBorder="1" applyAlignment="1" applyProtection="1">
      <alignment horizontal="center" vertical="center"/>
      <protection locked="0"/>
    </xf>
    <xf numFmtId="187" fontId="213" fillId="0" borderId="31" xfId="0" applyNumberFormat="1" applyFont="1" applyFill="1" applyBorder="1" applyAlignment="1" applyProtection="1">
      <alignment horizontal="center" vertical="center"/>
      <protection locked="0"/>
    </xf>
    <xf numFmtId="187" fontId="213" fillId="0" borderId="38" xfId="0" applyNumberFormat="1" applyFont="1" applyFill="1" applyBorder="1" applyAlignment="1" applyProtection="1">
      <alignment horizontal="center" vertical="center"/>
      <protection locked="0"/>
    </xf>
    <xf numFmtId="187" fontId="213" fillId="0" borderId="33" xfId="0" applyNumberFormat="1" applyFont="1" applyFill="1" applyBorder="1" applyAlignment="1" applyProtection="1">
      <alignment horizontal="center" vertical="center"/>
      <protection locked="0"/>
    </xf>
    <xf numFmtId="187" fontId="94" fillId="0" borderId="31" xfId="0" applyNumberFormat="1" applyFont="1" applyFill="1" applyBorder="1" applyAlignment="1" applyProtection="1">
      <alignment horizontal="center" vertical="center"/>
      <protection locked="0"/>
    </xf>
    <xf numFmtId="187" fontId="94" fillId="0" borderId="38" xfId="0" applyNumberFormat="1" applyFont="1" applyFill="1" applyBorder="1" applyAlignment="1" applyProtection="1">
      <alignment horizontal="center" vertical="center"/>
      <protection locked="0"/>
    </xf>
    <xf numFmtId="187" fontId="94" fillId="0" borderId="33" xfId="0" applyNumberFormat="1" applyFont="1" applyFill="1" applyBorder="1" applyAlignment="1" applyProtection="1">
      <alignment horizontal="center" vertical="center"/>
      <protection locked="0"/>
    </xf>
    <xf numFmtId="187" fontId="214" fillId="0" borderId="31" xfId="0" applyNumberFormat="1" applyFont="1" applyFill="1" applyBorder="1" applyAlignment="1" applyProtection="1">
      <alignment horizontal="center" vertical="center"/>
      <protection locked="0"/>
    </xf>
    <xf numFmtId="187" fontId="213" fillId="0" borderId="35" xfId="0" applyNumberFormat="1" applyFont="1" applyFill="1" applyBorder="1" applyAlignment="1" applyProtection="1">
      <alignment horizontal="center" vertical="center"/>
      <protection locked="0"/>
    </xf>
    <xf numFmtId="187" fontId="213" fillId="0" borderId="37" xfId="0" applyNumberFormat="1" applyFont="1" applyFill="1" applyBorder="1" applyAlignment="1" applyProtection="1">
      <alignment horizontal="center" vertical="center"/>
      <protection locked="0"/>
    </xf>
    <xf numFmtId="187" fontId="77" fillId="0" borderId="7" xfId="0" applyNumberFormat="1" applyFont="1" applyFill="1" applyBorder="1" applyAlignment="1" applyProtection="1">
      <alignment horizontal="center" vertical="center" wrapText="1" shrinkToFit="1"/>
      <protection locked="0"/>
    </xf>
    <xf numFmtId="187" fontId="213" fillId="0" borderId="7" xfId="0" applyNumberFormat="1" applyFont="1" applyFill="1" applyBorder="1" applyAlignment="1" applyProtection="1">
      <alignment horizontal="center" vertical="center"/>
      <protection locked="0"/>
    </xf>
    <xf numFmtId="187" fontId="77" fillId="0" borderId="1" xfId="0" applyNumberFormat="1" applyFont="1" applyFill="1" applyBorder="1" applyAlignment="1" applyProtection="1">
      <alignment horizontal="center" vertical="center" wrapText="1" shrinkToFit="1"/>
      <protection locked="0"/>
    </xf>
    <xf numFmtId="187" fontId="79" fillId="0" borderId="1" xfId="0" applyNumberFormat="1" applyFont="1" applyFill="1" applyBorder="1" applyAlignment="1" applyProtection="1">
      <alignment horizontal="center" vertical="center" wrapText="1" shrinkToFit="1"/>
      <protection locked="0"/>
    </xf>
    <xf numFmtId="0" fontId="73" fillId="0" borderId="0" xfId="0" applyFont="1" applyFill="1" applyBorder="1" applyAlignment="1" applyProtection="1">
      <alignment horizontal="center" vertical="center"/>
      <protection locked="0"/>
    </xf>
    <xf numFmtId="0" fontId="82" fillId="0" borderId="7" xfId="0" applyFont="1" applyFill="1" applyBorder="1" applyAlignment="1" applyProtection="1">
      <alignment horizontal="center" vertical="center"/>
      <protection locked="0"/>
    </xf>
    <xf numFmtId="0" fontId="82" fillId="0" borderId="1" xfId="0" applyFont="1" applyFill="1" applyBorder="1" applyAlignment="1" applyProtection="1">
      <alignment vertical="center"/>
      <protection locked="0"/>
    </xf>
    <xf numFmtId="0" fontId="77" fillId="0" borderId="1" xfId="0" applyFont="1" applyFill="1" applyBorder="1" applyAlignment="1" applyProtection="1">
      <alignment horizontal="center" vertical="center" wrapText="1" shrinkToFit="1"/>
    </xf>
    <xf numFmtId="0" fontId="77" fillId="0" borderId="1" xfId="0" applyFont="1" applyFill="1" applyBorder="1" applyAlignment="1" applyProtection="1">
      <alignment horizontal="center" vertical="center" wrapText="1" shrinkToFit="1"/>
      <protection locked="0"/>
    </xf>
    <xf numFmtId="186" fontId="77" fillId="0" borderId="1" xfId="0" applyNumberFormat="1" applyFont="1" applyFill="1" applyBorder="1" applyAlignment="1" applyProtection="1">
      <alignment horizontal="center" vertical="center" wrapText="1" shrinkToFit="1"/>
      <protection locked="0"/>
    </xf>
    <xf numFmtId="0" fontId="79" fillId="0" borderId="1" xfId="0" applyNumberFormat="1" applyFont="1" applyFill="1" applyBorder="1" applyAlignment="1" applyProtection="1">
      <alignment horizontal="center" vertical="center" wrapText="1" shrinkToFit="1"/>
      <protection locked="0"/>
    </xf>
    <xf numFmtId="185" fontId="77" fillId="0" borderId="1" xfId="0" applyNumberFormat="1" applyFont="1" applyFill="1" applyBorder="1" applyAlignment="1" applyProtection="1">
      <alignment horizontal="center" vertical="center" wrapText="1" shrinkToFit="1"/>
      <protection locked="0"/>
    </xf>
    <xf numFmtId="0" fontId="77" fillId="0" borderId="1" xfId="0" applyNumberFormat="1" applyFont="1" applyFill="1" applyBorder="1" applyAlignment="1" applyProtection="1">
      <alignment horizontal="center" vertical="center" wrapText="1" shrinkToFit="1"/>
      <protection locked="0"/>
    </xf>
    <xf numFmtId="0" fontId="77" fillId="0" borderId="6" xfId="0" applyNumberFormat="1" applyFont="1" applyFill="1" applyBorder="1" applyAlignment="1" applyProtection="1">
      <alignment horizontal="center" vertical="center" wrapText="1" shrinkToFit="1"/>
      <protection locked="0"/>
    </xf>
    <xf numFmtId="0" fontId="210" fillId="0" borderId="1" xfId="0" applyFont="1" applyFill="1" applyBorder="1" applyAlignment="1" applyProtection="1">
      <alignment horizontal="center" vertical="center" wrapText="1" shrinkToFit="1"/>
      <protection locked="0"/>
    </xf>
    <xf numFmtId="187" fontId="210" fillId="0" borderId="1" xfId="0" applyNumberFormat="1" applyFont="1" applyFill="1" applyBorder="1" applyAlignment="1" applyProtection="1">
      <alignment horizontal="center" vertical="center" wrapText="1" shrinkToFit="1"/>
      <protection locked="0"/>
    </xf>
    <xf numFmtId="0" fontId="77" fillId="0" borderId="6" xfId="0" applyFont="1" applyFill="1" applyBorder="1" applyAlignment="1" applyProtection="1">
      <alignment horizontal="center" vertical="center" wrapText="1" shrinkToFit="1"/>
      <protection locked="0"/>
    </xf>
    <xf numFmtId="187" fontId="77" fillId="0" borderId="19" xfId="0" applyNumberFormat="1" applyFont="1" applyFill="1" applyBorder="1" applyAlignment="1" applyProtection="1">
      <alignment horizontal="center" vertical="center" wrapText="1" shrinkToFit="1"/>
      <protection locked="0"/>
    </xf>
    <xf numFmtId="187" fontId="77" fillId="0" borderId="20" xfId="0" applyNumberFormat="1" applyFont="1" applyFill="1" applyBorder="1" applyAlignment="1" applyProtection="1">
      <alignment horizontal="center" vertical="center" wrapText="1" shrinkToFit="1"/>
      <protection locked="0"/>
    </xf>
    <xf numFmtId="0" fontId="82" fillId="0" borderId="1" xfId="0" applyFont="1" applyFill="1" applyBorder="1" applyAlignment="1" applyProtection="1">
      <alignment horizontal="center" vertical="center" wrapText="1"/>
      <protection locked="0"/>
    </xf>
    <xf numFmtId="0" fontId="82" fillId="0" borderId="7" xfId="0" applyFont="1" applyFill="1" applyBorder="1" applyAlignment="1" applyProtection="1">
      <alignment horizontal="center" vertical="center" wrapText="1"/>
      <protection locked="0"/>
    </xf>
    <xf numFmtId="190" fontId="205" fillId="0" borderId="16" xfId="0" applyNumberFormat="1" applyFont="1" applyFill="1" applyBorder="1" applyAlignment="1" applyProtection="1">
      <alignment horizontal="center" vertical="center" wrapText="1" shrinkToFit="1"/>
    </xf>
    <xf numFmtId="0" fontId="215" fillId="0" borderId="1" xfId="0" applyFont="1" applyFill="1" applyBorder="1" applyAlignment="1" applyProtection="1">
      <alignment horizontal="center" vertical="center" wrapText="1"/>
      <protection locked="0"/>
    </xf>
    <xf numFmtId="0" fontId="205" fillId="0" borderId="1" xfId="0" applyFont="1" applyFill="1" applyBorder="1" applyAlignment="1" applyProtection="1">
      <alignment horizontal="center" vertical="center" wrapText="1" shrinkToFit="1"/>
      <protection locked="0"/>
    </xf>
    <xf numFmtId="0" fontId="215" fillId="0" borderId="1" xfId="0" applyNumberFormat="1" applyFont="1" applyFill="1" applyBorder="1" applyAlignment="1" applyProtection="1">
      <alignment horizontal="center" vertical="center" shrinkToFit="1"/>
      <protection locked="0"/>
    </xf>
    <xf numFmtId="49" fontId="205" fillId="0" borderId="1" xfId="0" applyNumberFormat="1" applyFont="1" applyFill="1" applyBorder="1" applyAlignment="1" applyProtection="1">
      <alignment horizontal="center" vertical="center" wrapText="1"/>
      <protection locked="0"/>
    </xf>
    <xf numFmtId="0" fontId="215" fillId="0" borderId="1" xfId="0" applyNumberFormat="1" applyFont="1" applyFill="1" applyBorder="1" applyAlignment="1" applyProtection="1">
      <alignment horizontal="center" vertical="center" wrapText="1" shrinkToFit="1"/>
      <protection locked="0"/>
    </xf>
    <xf numFmtId="0" fontId="205" fillId="0" borderId="1" xfId="0" applyFont="1" applyFill="1" applyBorder="1" applyAlignment="1" applyProtection="1">
      <alignment horizontal="center" vertical="center" wrapText="1"/>
      <protection locked="0"/>
    </xf>
    <xf numFmtId="0" fontId="215" fillId="0" borderId="1" xfId="0" applyFont="1" applyFill="1" applyBorder="1" applyAlignment="1" applyProtection="1">
      <alignment horizontal="center" vertical="center"/>
      <protection locked="0"/>
    </xf>
    <xf numFmtId="190" fontId="205" fillId="0" borderId="1" xfId="0" applyNumberFormat="1" applyFont="1" applyFill="1" applyBorder="1" applyAlignment="1" applyProtection="1">
      <alignment horizontal="center" vertical="center" wrapText="1" shrinkToFit="1"/>
      <protection locked="0"/>
    </xf>
    <xf numFmtId="186" fontId="205" fillId="0" borderId="1" xfId="0" applyNumberFormat="1" applyFont="1" applyFill="1" applyBorder="1" applyAlignment="1" applyProtection="1">
      <alignment horizontal="center" vertical="center" wrapText="1"/>
      <protection locked="0"/>
    </xf>
    <xf numFmtId="192" fontId="205" fillId="0" borderId="1" xfId="0" applyNumberFormat="1" applyFont="1" applyFill="1" applyBorder="1" applyAlignment="1" applyProtection="1">
      <alignment horizontal="center" vertical="center" wrapText="1"/>
      <protection locked="0"/>
    </xf>
    <xf numFmtId="0" fontId="205" fillId="0" borderId="1" xfId="0" applyNumberFormat="1" applyFont="1" applyFill="1" applyBorder="1" applyAlignment="1" applyProtection="1">
      <alignment vertical="center" wrapText="1"/>
      <protection locked="0"/>
    </xf>
    <xf numFmtId="189" fontId="215" fillId="0" borderId="1" xfId="0" applyNumberFormat="1" applyFont="1" applyFill="1" applyBorder="1" applyAlignment="1" applyProtection="1">
      <alignment horizontal="center" vertical="center"/>
      <protection locked="0"/>
    </xf>
    <xf numFmtId="185" fontId="215" fillId="0" borderId="1" xfId="0" applyNumberFormat="1" applyFont="1" applyFill="1" applyBorder="1" applyAlignment="1" applyProtection="1">
      <alignment horizontal="center" vertical="center"/>
      <protection locked="0"/>
    </xf>
    <xf numFmtId="0" fontId="215" fillId="0" borderId="1" xfId="0" applyNumberFormat="1" applyFont="1" applyFill="1" applyBorder="1" applyAlignment="1" applyProtection="1">
      <alignment horizontal="center" vertical="center"/>
      <protection locked="0"/>
    </xf>
    <xf numFmtId="0" fontId="91" fillId="0" borderId="1" xfId="0" applyNumberFormat="1" applyFont="1" applyFill="1" applyBorder="1" applyAlignment="1" applyProtection="1">
      <alignment horizontal="center" vertical="center"/>
      <protection locked="0"/>
    </xf>
    <xf numFmtId="187" fontId="215" fillId="0" borderId="1" xfId="0" applyNumberFormat="1" applyFont="1" applyFill="1" applyBorder="1" applyAlignment="1" applyProtection="1">
      <alignment horizontal="center" vertical="center" wrapText="1" shrinkToFit="1"/>
      <protection locked="0"/>
    </xf>
    <xf numFmtId="187" fontId="215" fillId="0" borderId="6" xfId="0" applyNumberFormat="1" applyFont="1" applyFill="1" applyBorder="1" applyAlignment="1" applyProtection="1">
      <alignment horizontal="center" vertical="center" wrapText="1" shrinkToFit="1"/>
      <protection locked="0"/>
    </xf>
    <xf numFmtId="187" fontId="215" fillId="0" borderId="19" xfId="0" applyNumberFormat="1" applyFont="1" applyFill="1" applyBorder="1" applyAlignment="1" applyProtection="1">
      <alignment horizontal="center" vertical="center" wrapText="1" shrinkToFit="1"/>
      <protection locked="0"/>
    </xf>
    <xf numFmtId="187" fontId="215" fillId="0" borderId="20" xfId="0" applyNumberFormat="1" applyFont="1" applyFill="1" applyBorder="1" applyAlignment="1" applyProtection="1">
      <alignment horizontal="center" vertical="center" wrapText="1" shrinkToFit="1"/>
      <protection locked="0"/>
    </xf>
    <xf numFmtId="187" fontId="215" fillId="0" borderId="7" xfId="0" applyNumberFormat="1" applyFont="1" applyFill="1" applyBorder="1" applyAlignment="1" applyProtection="1">
      <alignment horizontal="center" vertical="center" wrapText="1" shrinkToFit="1"/>
      <protection locked="0"/>
    </xf>
    <xf numFmtId="187" fontId="215" fillId="0" borderId="1" xfId="0" applyNumberFormat="1" applyFont="1" applyFill="1" applyBorder="1" applyAlignment="1" applyProtection="1">
      <alignment horizontal="center" vertical="center"/>
      <protection locked="0"/>
    </xf>
    <xf numFmtId="0" fontId="215" fillId="0" borderId="0" xfId="0" applyFont="1" applyFill="1" applyBorder="1" applyAlignment="1" applyProtection="1">
      <alignment horizontal="center" vertical="center"/>
      <protection locked="0"/>
    </xf>
    <xf numFmtId="0" fontId="205" fillId="0" borderId="16" xfId="0" applyNumberFormat="1" applyFont="1" applyFill="1" applyBorder="1" applyAlignment="1" applyProtection="1">
      <alignment horizontal="left" vertical="center" wrapText="1"/>
      <protection locked="0"/>
    </xf>
    <xf numFmtId="0" fontId="205" fillId="0" borderId="1" xfId="0" applyNumberFormat="1" applyFont="1" applyFill="1" applyBorder="1" applyAlignment="1" applyProtection="1">
      <alignment horizontal="center" vertical="center" wrapText="1"/>
      <protection locked="0"/>
    </xf>
    <xf numFmtId="0" fontId="215" fillId="0" borderId="1" xfId="0" applyFont="1" applyFill="1" applyBorder="1" applyAlignment="1" applyProtection="1">
      <alignment horizontal="center" vertical="center" wrapText="1" shrinkToFit="1"/>
      <protection locked="0"/>
    </xf>
    <xf numFmtId="0" fontId="205" fillId="0" borderId="1" xfId="0" applyFont="1" applyFill="1" applyBorder="1" applyAlignment="1" applyProtection="1">
      <alignment vertical="center" wrapText="1"/>
      <protection locked="0"/>
    </xf>
    <xf numFmtId="186" fontId="216" fillId="0" borderId="1" xfId="0" applyNumberFormat="1" applyFont="1" applyFill="1" applyBorder="1" applyAlignment="1" applyProtection="1">
      <alignment horizontal="center" vertical="center" wrapText="1"/>
      <protection locked="0"/>
    </xf>
    <xf numFmtId="0" fontId="91" fillId="3" borderId="1" xfId="0" applyNumberFormat="1" applyFont="1" applyFill="1" applyBorder="1" applyAlignment="1" applyProtection="1">
      <alignment horizontal="center" vertical="center"/>
      <protection locked="0"/>
    </xf>
    <xf numFmtId="0" fontId="217" fillId="0" borderId="1" xfId="0" applyFont="1" applyFill="1" applyBorder="1" applyAlignment="1" applyProtection="1">
      <alignment horizontal="center" vertical="center"/>
      <protection locked="0"/>
    </xf>
    <xf numFmtId="186" fontId="215" fillId="0" borderId="1" xfId="0" applyNumberFormat="1" applyFont="1" applyFill="1" applyBorder="1" applyAlignment="1" applyProtection="1">
      <alignment horizontal="center" vertical="center" wrapText="1"/>
      <protection locked="0"/>
    </xf>
    <xf numFmtId="0" fontId="82" fillId="0" borderId="1" xfId="0" applyNumberFormat="1" applyFont="1" applyFill="1" applyBorder="1" applyAlignment="1" applyProtection="1">
      <alignment horizontal="center" vertical="center"/>
      <protection locked="0"/>
    </xf>
    <xf numFmtId="187" fontId="215" fillId="3" borderId="1" xfId="0" applyNumberFormat="1" applyFont="1" applyFill="1" applyBorder="1" applyAlignment="1" applyProtection="1">
      <alignment horizontal="center" vertical="center" wrapText="1" shrinkToFit="1"/>
      <protection locked="0"/>
    </xf>
    <xf numFmtId="187" fontId="215" fillId="3" borderId="19" xfId="0" applyNumberFormat="1" applyFont="1" applyFill="1" applyBorder="1" applyAlignment="1" applyProtection="1">
      <alignment horizontal="center" vertical="center" wrapText="1" shrinkToFit="1"/>
      <protection locked="0"/>
    </xf>
    <xf numFmtId="187" fontId="215" fillId="3" borderId="20" xfId="0" applyNumberFormat="1" applyFont="1" applyFill="1" applyBorder="1" applyAlignment="1" applyProtection="1">
      <alignment horizontal="center" vertical="center" wrapText="1" shrinkToFit="1"/>
      <protection locked="0"/>
    </xf>
    <xf numFmtId="0" fontId="82" fillId="3" borderId="1" xfId="0" applyNumberFormat="1" applyFont="1" applyFill="1" applyBorder="1" applyAlignment="1" applyProtection="1">
      <alignment horizontal="center" vertical="center"/>
      <protection locked="0"/>
    </xf>
    <xf numFmtId="193" fontId="215" fillId="0" borderId="16" xfId="0" applyNumberFormat="1" applyFont="1" applyFill="1" applyBorder="1" applyAlignment="1" applyProtection="1">
      <alignment horizontal="center" vertical="center"/>
    </xf>
    <xf numFmtId="193" fontId="215" fillId="0" borderId="16" xfId="0" applyNumberFormat="1" applyFont="1" applyFill="1" applyBorder="1" applyAlignment="1" applyProtection="1">
      <alignment horizontal="center" vertical="center"/>
      <protection locked="0"/>
    </xf>
    <xf numFmtId="193" fontId="215" fillId="0" borderId="0" xfId="0" applyNumberFormat="1" applyFont="1" applyFill="1" applyBorder="1" applyAlignment="1" applyProtection="1">
      <alignment horizontal="center" vertical="center"/>
      <protection locked="0"/>
    </xf>
    <xf numFmtId="0" fontId="215" fillId="3" borderId="1" xfId="0" applyNumberFormat="1" applyFont="1" applyFill="1" applyBorder="1" applyAlignment="1" applyProtection="1">
      <alignment horizontal="center" vertical="center"/>
      <protection locked="0"/>
    </xf>
    <xf numFmtId="0" fontId="218" fillId="4" borderId="1" xfId="0" applyNumberFormat="1" applyFont="1" applyFill="1" applyBorder="1" applyAlignment="1" applyProtection="1">
      <alignment horizontal="center" vertical="center"/>
      <protection locked="0"/>
    </xf>
    <xf numFmtId="0" fontId="91" fillId="4" borderId="1" xfId="0" applyNumberFormat="1" applyFont="1" applyFill="1" applyBorder="1" applyAlignment="1" applyProtection="1">
      <alignment horizontal="center" vertical="center"/>
      <protection locked="0"/>
    </xf>
    <xf numFmtId="0" fontId="219" fillId="0" borderId="16" xfId="0" applyFont="1" applyFill="1" applyBorder="1" applyAlignment="1" applyProtection="1">
      <alignment horizontal="center" vertical="center"/>
    </xf>
    <xf numFmtId="187" fontId="220" fillId="0" borderId="0" xfId="0" applyNumberFormat="1" applyFont="1" applyFill="1" applyAlignment="1" applyProtection="1">
      <alignment horizontal="center" vertical="center" wrapText="1"/>
      <protection locked="0"/>
    </xf>
    <xf numFmtId="0" fontId="215" fillId="4" borderId="1" xfId="0" applyNumberFormat="1" applyFont="1" applyFill="1" applyBorder="1" applyAlignment="1" applyProtection="1">
      <alignment horizontal="center" vertical="center"/>
      <protection locked="0"/>
    </xf>
    <xf numFmtId="0" fontId="206" fillId="0" borderId="1" xfId="0" applyFont="1" applyFill="1" applyBorder="1" applyAlignment="1" applyProtection="1">
      <alignment vertical="center"/>
      <protection locked="0"/>
    </xf>
    <xf numFmtId="193" fontId="215" fillId="0" borderId="1" xfId="0" applyNumberFormat="1" applyFont="1" applyFill="1" applyBorder="1" applyAlignment="1" applyProtection="1">
      <alignment horizontal="center" vertical="center"/>
    </xf>
    <xf numFmtId="192" fontId="205" fillId="0" borderId="9" xfId="0" applyNumberFormat="1" applyFont="1" applyFill="1" applyBorder="1" applyAlignment="1" applyProtection="1">
      <alignment horizontal="center" vertical="center" wrapText="1"/>
      <protection locked="0"/>
    </xf>
    <xf numFmtId="0" fontId="205" fillId="0" borderId="1" xfId="0" applyFont="1" applyFill="1" applyBorder="1" applyAlignment="1" applyProtection="1">
      <alignment horizontal="center" vertical="center"/>
      <protection locked="0"/>
    </xf>
    <xf numFmtId="0" fontId="206" fillId="4" borderId="1" xfId="0" applyFont="1" applyFill="1" applyBorder="1" applyAlignment="1" applyProtection="1">
      <alignment vertical="center"/>
      <protection locked="0"/>
    </xf>
    <xf numFmtId="0" fontId="215" fillId="0" borderId="7" xfId="0" applyFont="1" applyFill="1" applyBorder="1" applyAlignment="1" applyProtection="1">
      <alignment horizontal="center" vertical="center"/>
      <protection locked="0"/>
    </xf>
    <xf numFmtId="193" fontId="215" fillId="0" borderId="1" xfId="0" applyNumberFormat="1" applyFont="1" applyFill="1" applyBorder="1" applyAlignment="1" applyProtection="1">
      <alignment horizontal="center" vertical="center"/>
      <protection locked="0"/>
    </xf>
    <xf numFmtId="0" fontId="205" fillId="0" borderId="16" xfId="0" applyFont="1" applyFill="1" applyBorder="1" applyAlignment="1" applyProtection="1">
      <alignment horizontal="center" vertical="center" wrapText="1"/>
      <protection locked="0"/>
    </xf>
    <xf numFmtId="0" fontId="215" fillId="0" borderId="16" xfId="0" applyFont="1" applyFill="1" applyBorder="1" applyAlignment="1" applyProtection="1">
      <alignment horizontal="center" vertical="center"/>
      <protection locked="0"/>
    </xf>
    <xf numFmtId="186" fontId="205" fillId="0" borderId="1" xfId="0" applyNumberFormat="1" applyFont="1" applyFill="1" applyBorder="1" applyAlignment="1" applyProtection="1">
      <alignment horizontal="center" vertical="center" wrapText="1"/>
    </xf>
    <xf numFmtId="189" fontId="215" fillId="0" borderId="16" xfId="0" applyNumberFormat="1" applyFont="1" applyFill="1" applyBorder="1" applyAlignment="1" applyProtection="1">
      <alignment horizontal="center" vertical="center"/>
      <protection locked="0"/>
    </xf>
    <xf numFmtId="185" fontId="215" fillId="0" borderId="16" xfId="0" applyNumberFormat="1" applyFont="1" applyFill="1" applyBorder="1" applyAlignment="1" applyProtection="1">
      <alignment horizontal="center" vertical="center"/>
      <protection locked="0"/>
    </xf>
    <xf numFmtId="193" fontId="215" fillId="0" borderId="21" xfId="0" applyNumberFormat="1" applyFont="1" applyFill="1" applyBorder="1" applyAlignment="1" applyProtection="1">
      <alignment horizontal="center" vertical="center"/>
      <protection locked="0"/>
    </xf>
    <xf numFmtId="187" fontId="220" fillId="0" borderId="1" xfId="0" applyNumberFormat="1" applyFont="1" applyFill="1" applyBorder="1" applyAlignment="1" applyProtection="1">
      <alignment horizontal="center" vertical="center" wrapText="1"/>
      <protection locked="0"/>
    </xf>
    <xf numFmtId="0" fontId="215" fillId="0" borderId="16" xfId="0" applyNumberFormat="1" applyFont="1" applyFill="1" applyBorder="1" applyAlignment="1" applyProtection="1">
      <alignment horizontal="center" vertical="center"/>
      <protection locked="0"/>
    </xf>
    <xf numFmtId="0" fontId="91" fillId="4" borderId="16" xfId="0" applyNumberFormat="1" applyFont="1" applyFill="1" applyBorder="1" applyAlignment="1" applyProtection="1">
      <alignment horizontal="center" vertical="center"/>
      <protection locked="0"/>
    </xf>
    <xf numFmtId="187" fontId="215" fillId="0" borderId="16" xfId="0" applyNumberFormat="1" applyFont="1" applyFill="1" applyBorder="1" applyAlignment="1" applyProtection="1">
      <alignment horizontal="center" vertical="center" wrapText="1" shrinkToFit="1"/>
      <protection locked="0"/>
    </xf>
    <xf numFmtId="0" fontId="218" fillId="0" borderId="1" xfId="0" applyNumberFormat="1" applyFont="1" applyFill="1" applyBorder="1" applyAlignment="1" applyProtection="1">
      <alignment horizontal="center" vertical="center"/>
      <protection locked="0"/>
    </xf>
    <xf numFmtId="0" fontId="218" fillId="3" borderId="1" xfId="0" applyNumberFormat="1" applyFont="1" applyFill="1" applyBorder="1" applyAlignment="1" applyProtection="1">
      <alignment horizontal="center" vertical="center"/>
      <protection locked="0"/>
    </xf>
    <xf numFmtId="0" fontId="221" fillId="0" borderId="1" xfId="0" applyFont="1" applyFill="1" applyBorder="1" applyAlignment="1" applyProtection="1">
      <alignment horizontal="center" vertical="center"/>
      <protection locked="0"/>
    </xf>
    <xf numFmtId="0" fontId="222" fillId="0" borderId="23" xfId="0" applyFont="1" applyBorder="1" applyAlignment="1" applyProtection="1">
      <alignment horizontal="center" vertical="center"/>
      <protection locked="0"/>
    </xf>
    <xf numFmtId="190" fontId="205" fillId="0" borderId="1" xfId="0" applyNumberFormat="1" applyFont="1" applyFill="1" applyBorder="1" applyAlignment="1" applyProtection="1">
      <alignment horizontal="center" vertical="center" wrapText="1" shrinkToFit="1"/>
    </xf>
    <xf numFmtId="193" fontId="91" fillId="0" borderId="1" xfId="0" applyNumberFormat="1" applyFont="1" applyFill="1" applyBorder="1" applyAlignment="1" applyProtection="1">
      <alignment horizontal="center" vertical="center"/>
    </xf>
    <xf numFmtId="0" fontId="206" fillId="0" borderId="1" xfId="0" applyFont="1" applyFill="1" applyBorder="1" applyAlignment="1" applyProtection="1">
      <alignment horizontal="center" vertical="center" wrapText="1" shrinkToFit="1"/>
      <protection locked="0"/>
    </xf>
    <xf numFmtId="0" fontId="91" fillId="0" borderId="1" xfId="0" applyFont="1" applyFill="1" applyBorder="1" applyAlignment="1" applyProtection="1">
      <alignment horizontal="center" vertical="center" wrapText="1"/>
      <protection locked="0"/>
    </xf>
    <xf numFmtId="49" fontId="206" fillId="0" borderId="1" xfId="0" applyNumberFormat="1" applyFont="1" applyFill="1" applyBorder="1" applyAlignment="1" applyProtection="1">
      <alignment horizontal="center" vertical="center" wrapText="1"/>
      <protection locked="0"/>
    </xf>
    <xf numFmtId="0" fontId="91" fillId="0" borderId="1" xfId="0" applyFont="1" applyFill="1" applyBorder="1" applyAlignment="1" applyProtection="1">
      <alignment horizontal="center" vertical="center" wrapText="1" shrinkToFit="1"/>
      <protection locked="0"/>
    </xf>
    <xf numFmtId="0" fontId="206" fillId="0" borderId="1" xfId="0" applyFont="1" applyFill="1" applyBorder="1" applyAlignment="1" applyProtection="1">
      <alignment horizontal="center" vertical="center" wrapText="1"/>
      <protection locked="0"/>
    </xf>
    <xf numFmtId="3" fontId="91" fillId="0" borderId="1" xfId="0" applyNumberFormat="1" applyFont="1" applyFill="1" applyBorder="1" applyAlignment="1" applyProtection="1">
      <alignment horizontal="center" vertical="center"/>
      <protection locked="0"/>
    </xf>
    <xf numFmtId="0" fontId="91" fillId="0" borderId="1" xfId="0" applyFont="1" applyFill="1" applyBorder="1" applyAlignment="1" applyProtection="1">
      <alignment horizontal="center" vertical="center"/>
      <protection locked="0"/>
    </xf>
    <xf numFmtId="190" fontId="206" fillId="0" borderId="1" xfId="0" applyNumberFormat="1" applyFont="1" applyFill="1" applyBorder="1" applyAlignment="1" applyProtection="1">
      <alignment horizontal="center" vertical="center" wrapText="1" shrinkToFit="1"/>
      <protection locked="0"/>
    </xf>
    <xf numFmtId="190" fontId="206" fillId="0" borderId="1" xfId="0" applyNumberFormat="1" applyFont="1" applyFill="1" applyBorder="1" applyAlignment="1" applyProtection="1">
      <alignment horizontal="center" vertical="center" wrapText="1" shrinkToFit="1"/>
    </xf>
    <xf numFmtId="186" fontId="206" fillId="0" borderId="1" xfId="0" applyNumberFormat="1" applyFont="1" applyFill="1" applyBorder="1" applyAlignment="1" applyProtection="1">
      <alignment horizontal="center" vertical="center" wrapText="1"/>
      <protection locked="0"/>
    </xf>
    <xf numFmtId="186" fontId="223" fillId="0" borderId="1" xfId="0" applyNumberFormat="1" applyFont="1" applyFill="1" applyBorder="1" applyAlignment="1" applyProtection="1">
      <alignment horizontal="center" vertical="center" wrapText="1"/>
      <protection locked="0"/>
    </xf>
    <xf numFmtId="192" fontId="206" fillId="0" borderId="1" xfId="0" applyNumberFormat="1" applyFont="1" applyFill="1" applyBorder="1" applyAlignment="1" applyProtection="1">
      <alignment horizontal="center" vertical="center" wrapText="1"/>
      <protection locked="0"/>
    </xf>
    <xf numFmtId="0" fontId="206" fillId="0" borderId="1" xfId="0" applyFont="1" applyFill="1" applyBorder="1" applyAlignment="1" applyProtection="1">
      <alignment vertical="center" wrapText="1"/>
      <protection locked="0"/>
    </xf>
    <xf numFmtId="189" fontId="91" fillId="0" borderId="1" xfId="0" applyNumberFormat="1" applyFont="1" applyFill="1" applyBorder="1" applyAlignment="1" applyProtection="1">
      <alignment horizontal="center" vertical="center"/>
      <protection locked="0"/>
    </xf>
    <xf numFmtId="185" fontId="91" fillId="0" borderId="1" xfId="0" applyNumberFormat="1" applyFont="1" applyFill="1" applyBorder="1" applyAlignment="1" applyProtection="1">
      <alignment horizontal="center" vertical="center"/>
      <protection locked="0"/>
    </xf>
    <xf numFmtId="187" fontId="91" fillId="0" borderId="1" xfId="0" applyNumberFormat="1" applyFont="1" applyFill="1" applyBorder="1" applyAlignment="1" applyProtection="1">
      <alignment horizontal="center" vertical="center" wrapText="1" shrinkToFit="1"/>
      <protection locked="0"/>
    </xf>
    <xf numFmtId="187" fontId="91" fillId="0" borderId="6" xfId="0" applyNumberFormat="1" applyFont="1" applyFill="1" applyBorder="1" applyAlignment="1" applyProtection="1">
      <alignment horizontal="center" vertical="center" wrapText="1" shrinkToFit="1"/>
      <protection locked="0"/>
    </xf>
    <xf numFmtId="187" fontId="91" fillId="0" borderId="19" xfId="0" applyNumberFormat="1" applyFont="1" applyFill="1" applyBorder="1" applyAlignment="1" applyProtection="1">
      <alignment horizontal="center" vertical="center" wrapText="1" shrinkToFit="1"/>
      <protection locked="0"/>
    </xf>
    <xf numFmtId="187" fontId="91" fillId="0" borderId="20" xfId="0" applyNumberFormat="1" applyFont="1" applyFill="1" applyBorder="1" applyAlignment="1" applyProtection="1">
      <alignment horizontal="center" vertical="center" wrapText="1" shrinkToFit="1"/>
      <protection locked="0"/>
    </xf>
    <xf numFmtId="187" fontId="91" fillId="0" borderId="7" xfId="0" applyNumberFormat="1" applyFont="1" applyFill="1" applyBorder="1" applyAlignment="1" applyProtection="1">
      <alignment horizontal="center" vertical="center" wrapText="1" shrinkToFit="1"/>
      <protection locked="0"/>
    </xf>
    <xf numFmtId="187" fontId="91" fillId="0" borderId="1" xfId="0" applyNumberFormat="1" applyFont="1" applyFill="1" applyBorder="1" applyAlignment="1" applyProtection="1">
      <alignment horizontal="center" vertical="center"/>
      <protection locked="0"/>
    </xf>
    <xf numFmtId="0" fontId="91" fillId="0" borderId="0" xfId="0" applyFont="1" applyFill="1" applyBorder="1" applyAlignment="1" applyProtection="1">
      <alignment horizontal="center" vertical="center"/>
      <protection locked="0"/>
    </xf>
    <xf numFmtId="3" fontId="215" fillId="0" borderId="1" xfId="0" applyNumberFormat="1" applyFont="1" applyFill="1" applyBorder="1" applyAlignment="1" applyProtection="1">
      <alignment horizontal="center" vertical="center"/>
      <protection locked="0"/>
    </xf>
    <xf numFmtId="186" fontId="224" fillId="0" borderId="1" xfId="0" applyNumberFormat="1" applyFont="1" applyFill="1" applyBorder="1" applyAlignment="1" applyProtection="1">
      <alignment horizontal="center" vertical="center" wrapText="1"/>
      <protection locked="0"/>
    </xf>
    <xf numFmtId="190" fontId="206" fillId="0" borderId="16" xfId="0" applyNumberFormat="1" applyFont="1" applyFill="1" applyBorder="1" applyAlignment="1" applyProtection="1">
      <alignment horizontal="center" vertical="center" wrapText="1" shrinkToFit="1"/>
    </xf>
    <xf numFmtId="0" fontId="91" fillId="0" borderId="1" xfId="0" applyNumberFormat="1" applyFont="1" applyFill="1" applyBorder="1" applyAlignment="1" applyProtection="1">
      <alignment horizontal="center" vertical="center" shrinkToFit="1"/>
      <protection locked="0"/>
    </xf>
    <xf numFmtId="186" fontId="223" fillId="0" borderId="1" xfId="0" applyNumberFormat="1" applyFont="1" applyFill="1" applyBorder="1" applyAlignment="1" applyProtection="1">
      <alignment horizontal="center" vertical="center" wrapText="1"/>
    </xf>
    <xf numFmtId="0" fontId="91" fillId="0" borderId="1" xfId="0" applyNumberFormat="1" applyFont="1" applyFill="1" applyBorder="1" applyAlignment="1" applyProtection="1">
      <alignment horizontal="center" vertical="center" wrapText="1" shrinkToFit="1"/>
      <protection locked="0"/>
    </xf>
    <xf numFmtId="0" fontId="225" fillId="0" borderId="1" xfId="0" applyNumberFormat="1" applyFont="1" applyFill="1" applyBorder="1" applyAlignment="1" applyProtection="1">
      <alignment vertical="center" wrapText="1"/>
      <protection locked="0"/>
    </xf>
    <xf numFmtId="196" fontId="91" fillId="0" borderId="1" xfId="0" applyNumberFormat="1" applyFont="1" applyFill="1" applyBorder="1" applyAlignment="1" applyProtection="1">
      <alignment horizontal="center" vertical="center"/>
      <protection locked="0"/>
    </xf>
    <xf numFmtId="192" fontId="223" fillId="0" borderId="1" xfId="0" applyNumberFormat="1" applyFont="1" applyFill="1" applyBorder="1" applyAlignment="1" applyProtection="1">
      <alignment horizontal="center" vertical="center" wrapText="1"/>
      <protection locked="0"/>
    </xf>
    <xf numFmtId="0" fontId="223" fillId="0" borderId="1" xfId="0" applyNumberFormat="1" applyFont="1" applyFill="1" applyBorder="1" applyAlignment="1" applyProtection="1">
      <alignment vertical="center" wrapText="1"/>
      <protection locked="0"/>
    </xf>
    <xf numFmtId="193" fontId="82" fillId="0" borderId="1" xfId="0" applyNumberFormat="1" applyFont="1" applyFill="1" applyBorder="1" applyAlignment="1" applyProtection="1">
      <alignment horizontal="center" vertical="center"/>
    </xf>
    <xf numFmtId="0" fontId="73" fillId="0" borderId="1" xfId="0" applyFont="1" applyFill="1" applyBorder="1" applyAlignment="1" applyProtection="1">
      <alignment horizontal="center" vertical="center" wrapText="1" shrinkToFit="1"/>
      <protection locked="0"/>
    </xf>
    <xf numFmtId="0" fontId="82" fillId="0" borderId="1" xfId="0" applyNumberFormat="1" applyFont="1" applyFill="1" applyBorder="1" applyAlignment="1" applyProtection="1">
      <alignment horizontal="center" vertical="center" shrinkToFit="1"/>
      <protection locked="0"/>
    </xf>
    <xf numFmtId="49" fontId="73" fillId="0" borderId="1" xfId="0" applyNumberFormat="1" applyFont="1" applyFill="1" applyBorder="1" applyAlignment="1" applyProtection="1">
      <alignment horizontal="center" vertical="center" wrapText="1"/>
      <protection locked="0"/>
    </xf>
    <xf numFmtId="0" fontId="82" fillId="0" borderId="1" xfId="0" applyNumberFormat="1" applyFont="1" applyFill="1" applyBorder="1" applyAlignment="1" applyProtection="1">
      <alignment horizontal="center" vertical="center" wrapText="1" shrinkToFit="1"/>
      <protection locked="0"/>
    </xf>
    <xf numFmtId="0" fontId="82" fillId="0" borderId="1" xfId="0" applyFont="1" applyFill="1" applyBorder="1" applyAlignment="1" applyProtection="1">
      <alignment horizontal="center" vertical="center" wrapText="1" shrinkToFit="1"/>
      <protection locked="0"/>
    </xf>
    <xf numFmtId="0" fontId="73" fillId="0" borderId="1" xfId="0" applyFont="1" applyFill="1" applyBorder="1" applyAlignment="1" applyProtection="1">
      <alignment horizontal="center" vertical="center" wrapText="1"/>
      <protection locked="0"/>
    </xf>
    <xf numFmtId="190" fontId="73" fillId="0" borderId="1" xfId="0" applyNumberFormat="1" applyFont="1" applyFill="1" applyBorder="1" applyAlignment="1" applyProtection="1">
      <alignment horizontal="center" vertical="center" wrapText="1" shrinkToFit="1"/>
      <protection locked="0"/>
    </xf>
    <xf numFmtId="186" fontId="73" fillId="0" borderId="1" xfId="0" applyNumberFormat="1" applyFont="1" applyFill="1" applyBorder="1" applyAlignment="1" applyProtection="1">
      <alignment horizontal="center" vertical="center" wrapText="1"/>
      <protection locked="0"/>
    </xf>
    <xf numFmtId="192" fontId="73" fillId="0" borderId="1" xfId="0" applyNumberFormat="1" applyFont="1" applyFill="1" applyBorder="1" applyAlignment="1" applyProtection="1">
      <alignment horizontal="center" vertical="center" wrapText="1"/>
      <protection locked="0"/>
    </xf>
    <xf numFmtId="189" fontId="82" fillId="0" borderId="1" xfId="0" applyNumberFormat="1" applyFont="1" applyFill="1" applyBorder="1" applyAlignment="1" applyProtection="1">
      <alignment horizontal="center" vertical="center"/>
      <protection locked="0"/>
    </xf>
    <xf numFmtId="185" fontId="82" fillId="0" borderId="1" xfId="0" applyNumberFormat="1" applyFont="1" applyFill="1" applyBorder="1" applyAlignment="1" applyProtection="1">
      <alignment horizontal="center" vertical="center"/>
      <protection locked="0"/>
    </xf>
    <xf numFmtId="187" fontId="82" fillId="0" borderId="1" xfId="0" applyNumberFormat="1" applyFont="1" applyFill="1" applyBorder="1" applyAlignment="1" applyProtection="1">
      <alignment horizontal="center" vertical="center" wrapText="1" shrinkToFit="1"/>
      <protection locked="0"/>
    </xf>
    <xf numFmtId="187" fontId="82" fillId="0" borderId="19" xfId="0" applyNumberFormat="1" applyFont="1" applyFill="1" applyBorder="1" applyAlignment="1" applyProtection="1">
      <alignment horizontal="center" vertical="center" wrapText="1" shrinkToFit="1"/>
      <protection locked="0"/>
    </xf>
    <xf numFmtId="187" fontId="82" fillId="0" borderId="20" xfId="0" applyNumberFormat="1" applyFont="1" applyFill="1" applyBorder="1" applyAlignment="1" applyProtection="1">
      <alignment horizontal="center" vertical="center" wrapText="1" shrinkToFit="1"/>
      <protection locked="0"/>
    </xf>
    <xf numFmtId="187" fontId="82" fillId="0" borderId="7" xfId="0" applyNumberFormat="1" applyFont="1" applyFill="1" applyBorder="1" applyAlignment="1" applyProtection="1">
      <alignment horizontal="center" vertical="center" wrapText="1" shrinkToFit="1"/>
      <protection locked="0"/>
    </xf>
    <xf numFmtId="187" fontId="82" fillId="0" borderId="1" xfId="0" applyNumberFormat="1" applyFont="1" applyFill="1" applyBorder="1" applyAlignment="1" applyProtection="1">
      <alignment horizontal="center" vertical="center"/>
      <protection locked="0"/>
    </xf>
    <xf numFmtId="0" fontId="73" fillId="0" borderId="1" xfId="0" applyNumberFormat="1" applyFont="1" applyFill="1" applyBorder="1" applyAlignment="1" applyProtection="1">
      <alignment horizontal="center" vertical="center" wrapText="1"/>
      <protection locked="0"/>
    </xf>
    <xf numFmtId="187" fontId="73" fillId="0" borderId="0" xfId="0" applyNumberFormat="1" applyFont="1" applyFill="1" applyAlignment="1" applyProtection="1">
      <alignment horizontal="center" vertical="center"/>
    </xf>
    <xf numFmtId="187" fontId="73" fillId="0" borderId="0" xfId="0" applyNumberFormat="1" applyFont="1" applyFill="1" applyAlignment="1" applyProtection="1">
      <alignment horizontal="center" vertical="center"/>
      <protection locked="0"/>
    </xf>
    <xf numFmtId="187" fontId="73" fillId="0" borderId="0" xfId="0" applyNumberFormat="1" applyFont="1" applyFill="1" applyAlignment="1" applyProtection="1">
      <alignment horizontal="center" vertical="center" wrapText="1"/>
      <protection locked="0"/>
    </xf>
    <xf numFmtId="187" fontId="89" fillId="0" borderId="0" xfId="0" applyNumberFormat="1" applyFont="1" applyFill="1" applyAlignment="1" applyProtection="1">
      <alignment horizontal="center" vertical="center" wrapText="1"/>
      <protection locked="0"/>
    </xf>
    <xf numFmtId="0" fontId="73" fillId="0" borderId="0" xfId="0" applyFont="1" applyFill="1" applyAlignment="1" applyProtection="1">
      <alignment vertical="center"/>
    </xf>
    <xf numFmtId="0" fontId="73" fillId="0" borderId="0" xfId="0" applyFont="1" applyFill="1" applyAlignment="1" applyProtection="1">
      <alignment vertical="center" wrapText="1"/>
      <protection locked="0"/>
    </xf>
    <xf numFmtId="0" fontId="73" fillId="0" borderId="0" xfId="0" applyFont="1" applyFill="1" applyAlignment="1" applyProtection="1">
      <alignment horizontal="center" vertical="center"/>
      <protection locked="0"/>
    </xf>
    <xf numFmtId="0" fontId="74" fillId="0" borderId="0" xfId="0" applyFont="1" applyFill="1" applyAlignment="1" applyProtection="1">
      <alignment vertical="center"/>
      <protection locked="0"/>
    </xf>
    <xf numFmtId="0" fontId="224" fillId="0" borderId="0" xfId="0" applyFont="1" applyFill="1" applyBorder="1" applyAlignment="1" applyProtection="1">
      <alignment vertical="center"/>
      <protection locked="0"/>
    </xf>
    <xf numFmtId="0" fontId="223" fillId="0" borderId="0" xfId="0" applyFont="1" applyFill="1" applyBorder="1" applyAlignment="1" applyProtection="1">
      <alignment vertical="center"/>
      <protection locked="0"/>
    </xf>
    <xf numFmtId="0" fontId="226" fillId="0" borderId="0" xfId="0" applyFont="1" applyFill="1" applyBorder="1" applyAlignment="1" applyProtection="1">
      <alignment vertical="center"/>
      <protection locked="0"/>
    </xf>
    <xf numFmtId="0" fontId="224" fillId="0" borderId="1" xfId="0" applyFont="1" applyFill="1" applyBorder="1" applyAlignment="1" applyProtection="1">
      <alignment vertical="center"/>
      <protection locked="0"/>
    </xf>
    <xf numFmtId="0" fontId="223" fillId="0" borderId="1" xfId="0" applyFont="1" applyFill="1" applyBorder="1" applyAlignment="1" applyProtection="1">
      <alignment vertical="center"/>
      <protection locked="0"/>
    </xf>
    <xf numFmtId="0" fontId="227" fillId="0" borderId="0" xfId="0" applyFont="1" applyFill="1" applyBorder="1" applyAlignment="1" applyProtection="1">
      <alignment vertical="center"/>
      <protection locked="0"/>
    </xf>
    <xf numFmtId="0" fontId="31" fillId="0" borderId="0" xfId="0" applyFont="1" applyFill="1" applyBorder="1" applyAlignment="1" applyProtection="1">
      <alignment vertical="center"/>
      <protection locked="0"/>
    </xf>
    <xf numFmtId="0" fontId="31" fillId="3" borderId="0" xfId="0" applyFont="1" applyFill="1" applyBorder="1" applyAlignment="1" applyProtection="1">
      <alignment vertical="center"/>
      <protection locked="0"/>
    </xf>
    <xf numFmtId="0" fontId="228" fillId="0" borderId="0" xfId="0" applyFont="1" applyFill="1" applyBorder="1" applyAlignment="1" applyProtection="1">
      <alignment vertical="center"/>
      <protection locked="0"/>
    </xf>
    <xf numFmtId="0" fontId="228" fillId="0" borderId="0" xfId="0" applyFont="1" applyFill="1" applyBorder="1" applyAlignment="1" applyProtection="1">
      <alignment vertical="center"/>
      <protection locked="0"/>
    </xf>
    <xf numFmtId="0" fontId="228" fillId="0" borderId="23" xfId="0" applyFont="1" applyFill="1" applyBorder="1" applyAlignment="1" applyProtection="1">
      <alignment vertical="center"/>
      <protection locked="0"/>
    </xf>
    <xf numFmtId="0" fontId="208" fillId="0" borderId="0" xfId="0" applyFont="1" applyFill="1" applyAlignment="1" applyProtection="1">
      <alignment vertical="center"/>
    </xf>
    <xf numFmtId="0" fontId="229" fillId="0" borderId="0" xfId="0" applyFont="1" applyFill="1" applyAlignment="1" applyProtection="1">
      <alignment vertical="center"/>
      <protection locked="0"/>
    </xf>
    <xf numFmtId="0" fontId="230" fillId="0" borderId="0" xfId="0" applyFont="1" applyFill="1" applyAlignment="1" applyProtection="1">
      <alignment vertical="center"/>
      <protection locked="0"/>
    </xf>
    <xf numFmtId="0" fontId="208" fillId="0" borderId="0" xfId="0" applyFont="1" applyFill="1" applyAlignment="1" applyProtection="1">
      <alignment horizontal="center" vertical="center"/>
      <protection locked="0"/>
    </xf>
    <xf numFmtId="0" fontId="77" fillId="0" borderId="10" xfId="0" applyFont="1" applyFill="1" applyBorder="1" applyAlignment="1" applyProtection="1">
      <alignment horizontal="center" vertical="center"/>
    </xf>
    <xf numFmtId="186" fontId="77" fillId="0" borderId="0" xfId="0" applyNumberFormat="1" applyFont="1" applyFill="1" applyBorder="1" applyAlignment="1" applyProtection="1">
      <alignment vertical="center" wrapText="1"/>
    </xf>
    <xf numFmtId="186" fontId="126" fillId="0" borderId="0" xfId="0" applyNumberFormat="1" applyFont="1" applyFill="1" applyBorder="1" applyAlignment="1" applyProtection="1">
      <alignment vertical="center" wrapText="1"/>
      <protection locked="0"/>
    </xf>
    <xf numFmtId="187" fontId="211" fillId="0" borderId="0" xfId="0" applyNumberFormat="1" applyFont="1" applyFill="1" applyBorder="1" applyAlignment="1" applyProtection="1">
      <alignment horizontal="center" vertical="center"/>
      <protection locked="0"/>
    </xf>
    <xf numFmtId="187" fontId="77" fillId="0" borderId="0" xfId="0" applyNumberFormat="1" applyFont="1" applyFill="1" applyBorder="1" applyAlignment="1" applyProtection="1">
      <alignment vertical="center"/>
      <protection locked="0"/>
    </xf>
    <xf numFmtId="187" fontId="77" fillId="0" borderId="0" xfId="0" applyNumberFormat="1" applyFont="1" applyFill="1" applyAlignment="1" applyProtection="1">
      <alignment vertical="center"/>
      <protection locked="0"/>
    </xf>
    <xf numFmtId="0" fontId="77" fillId="0" borderId="15" xfId="0" applyFont="1" applyFill="1" applyBorder="1" applyAlignment="1" applyProtection="1">
      <alignment horizontal="center" vertical="center"/>
    </xf>
    <xf numFmtId="185" fontId="77" fillId="0" borderId="16" xfId="0" applyNumberFormat="1" applyFont="1" applyFill="1" applyBorder="1" applyAlignment="1" applyProtection="1">
      <alignment horizontal="center" vertical="center"/>
      <protection locked="0"/>
    </xf>
    <xf numFmtId="186" fontId="77" fillId="0" borderId="15" xfId="0" applyNumberFormat="1" applyFont="1" applyFill="1" applyBorder="1" applyAlignment="1" applyProtection="1">
      <alignment horizontal="center" vertical="center" wrapText="1"/>
    </xf>
    <xf numFmtId="0" fontId="128" fillId="0" borderId="0" xfId="0" applyFont="1" applyFill="1" applyBorder="1" applyAlignment="1" applyProtection="1">
      <alignment horizontal="center" vertical="center" wrapText="1"/>
      <protection locked="0"/>
    </xf>
    <xf numFmtId="187" fontId="213" fillId="0" borderId="5" xfId="0" applyNumberFormat="1" applyFont="1" applyFill="1" applyBorder="1" applyAlignment="1" applyProtection="1">
      <alignment horizontal="center" vertical="center"/>
      <protection locked="0"/>
    </xf>
    <xf numFmtId="187" fontId="214" fillId="0" borderId="7" xfId="0" applyNumberFormat="1" applyFont="1" applyFill="1" applyBorder="1" applyAlignment="1" applyProtection="1">
      <alignment horizontal="center" vertical="center"/>
      <protection locked="0"/>
    </xf>
    <xf numFmtId="187" fontId="77" fillId="0" borderId="6" xfId="0" applyNumberFormat="1" applyFont="1" applyFill="1" applyBorder="1" applyAlignment="1" applyProtection="1">
      <alignment horizontal="center" vertical="center" wrapText="1" shrinkToFit="1"/>
      <protection locked="0"/>
    </xf>
    <xf numFmtId="187" fontId="77" fillId="0" borderId="0" xfId="0" applyNumberFormat="1" applyFont="1" applyFill="1" applyBorder="1" applyAlignment="1" applyProtection="1">
      <alignment horizontal="center" vertical="center" wrapText="1" shrinkToFit="1"/>
      <protection locked="0"/>
    </xf>
    <xf numFmtId="0" fontId="231" fillId="0" borderId="1" xfId="0" applyNumberFormat="1" applyFont="1" applyFill="1" applyBorder="1" applyAlignment="1" applyProtection="1">
      <alignment horizontal="center" vertical="center" wrapText="1" shrinkToFit="1"/>
      <protection locked="0"/>
    </xf>
    <xf numFmtId="0" fontId="232" fillId="0" borderId="1" xfId="0" applyFont="1" applyFill="1" applyBorder="1" applyAlignment="1" applyProtection="1">
      <alignment horizontal="center" vertical="center" wrapText="1" shrinkToFit="1"/>
      <protection locked="0"/>
    </xf>
    <xf numFmtId="0" fontId="125" fillId="0" borderId="1" xfId="0" applyNumberFormat="1" applyFont="1" applyFill="1" applyBorder="1" applyAlignment="1" applyProtection="1">
      <alignment horizontal="center" vertical="center" wrapText="1" shrinkToFit="1"/>
      <protection locked="0"/>
    </xf>
    <xf numFmtId="190" fontId="224" fillId="0" borderId="16" xfId="0" applyNumberFormat="1" applyFont="1" applyFill="1" applyBorder="1" applyAlignment="1" applyProtection="1">
      <alignment horizontal="center" vertical="center" wrapText="1" shrinkToFit="1"/>
    </xf>
    <xf numFmtId="0" fontId="221" fillId="0" borderId="1" xfId="0" applyFont="1" applyFill="1" applyBorder="1" applyAlignment="1" applyProtection="1">
      <alignment horizontal="center" vertical="center" wrapText="1"/>
      <protection locked="0"/>
    </xf>
    <xf numFmtId="0" fontId="224" fillId="0" borderId="1" xfId="0" applyFont="1" applyFill="1" applyBorder="1" applyAlignment="1" applyProtection="1">
      <alignment horizontal="center" vertical="center" wrapText="1" shrinkToFit="1"/>
      <protection locked="0"/>
    </xf>
    <xf numFmtId="0" fontId="221" fillId="0" borderId="1" xfId="0" applyNumberFormat="1" applyFont="1" applyFill="1" applyBorder="1" applyAlignment="1" applyProtection="1">
      <alignment horizontal="center" vertical="center" shrinkToFit="1"/>
      <protection locked="0"/>
    </xf>
    <xf numFmtId="49" fontId="224" fillId="0" borderId="1" xfId="0" applyNumberFormat="1" applyFont="1" applyFill="1" applyBorder="1" applyAlignment="1" applyProtection="1">
      <alignment horizontal="center" vertical="center" wrapText="1"/>
      <protection locked="0"/>
    </xf>
    <xf numFmtId="0" fontId="221" fillId="0" borderId="1" xfId="0" applyNumberFormat="1" applyFont="1" applyFill="1" applyBorder="1" applyAlignment="1" applyProtection="1">
      <alignment horizontal="center" vertical="center" wrapText="1" shrinkToFit="1"/>
      <protection locked="0"/>
    </xf>
    <xf numFmtId="0" fontId="224" fillId="0" borderId="1" xfId="0" applyFont="1" applyFill="1" applyBorder="1" applyAlignment="1" applyProtection="1">
      <alignment horizontal="center" vertical="center" wrapText="1"/>
      <protection locked="0"/>
    </xf>
    <xf numFmtId="190" fontId="224" fillId="0" borderId="1" xfId="0" applyNumberFormat="1" applyFont="1" applyFill="1" applyBorder="1" applyAlignment="1" applyProtection="1">
      <alignment horizontal="center" vertical="center" wrapText="1" shrinkToFit="1"/>
      <protection locked="0"/>
    </xf>
    <xf numFmtId="186" fontId="233" fillId="0" borderId="1" xfId="0" applyNumberFormat="1" applyFont="1" applyFill="1" applyBorder="1" applyAlignment="1" applyProtection="1">
      <alignment horizontal="center" vertical="center" wrapText="1"/>
      <protection locked="0"/>
    </xf>
    <xf numFmtId="186" fontId="224" fillId="0" borderId="1" xfId="0" applyNumberFormat="1" applyFont="1" applyFill="1" applyBorder="1" applyAlignment="1" applyProtection="1">
      <alignment horizontal="center" vertical="center" wrapText="1"/>
    </xf>
    <xf numFmtId="192" fontId="224" fillId="0" borderId="1" xfId="0" applyNumberFormat="1" applyFont="1" applyFill="1" applyBorder="1" applyAlignment="1" applyProtection="1">
      <alignment horizontal="center" vertical="center" wrapText="1"/>
      <protection locked="0"/>
    </xf>
    <xf numFmtId="0" fontId="224" fillId="0" borderId="1" xfId="0" applyNumberFormat="1" applyFont="1" applyFill="1" applyBorder="1" applyAlignment="1" applyProtection="1">
      <alignment vertical="center" wrapText="1"/>
      <protection locked="0"/>
    </xf>
    <xf numFmtId="189" fontId="221" fillId="0" borderId="1" xfId="0" applyNumberFormat="1" applyFont="1" applyFill="1" applyBorder="1" applyAlignment="1" applyProtection="1">
      <alignment horizontal="center" vertical="center"/>
      <protection locked="0"/>
    </xf>
    <xf numFmtId="185" fontId="221" fillId="0" borderId="1" xfId="0" applyNumberFormat="1" applyFont="1" applyFill="1" applyBorder="1" applyAlignment="1" applyProtection="1">
      <alignment horizontal="center" vertical="center"/>
      <protection locked="0"/>
    </xf>
    <xf numFmtId="0" fontId="234" fillId="0" borderId="1" xfId="0" applyNumberFormat="1" applyFont="1" applyFill="1" applyBorder="1" applyAlignment="1" applyProtection="1">
      <alignment horizontal="center" vertical="center"/>
      <protection locked="0"/>
    </xf>
    <xf numFmtId="0" fontId="221" fillId="0" borderId="1" xfId="0" applyNumberFormat="1" applyFont="1" applyFill="1" applyBorder="1" applyAlignment="1" applyProtection="1">
      <alignment horizontal="center" vertical="center"/>
      <protection locked="0"/>
    </xf>
    <xf numFmtId="187" fontId="234" fillId="0" borderId="1" xfId="0" applyNumberFormat="1" applyFont="1" applyFill="1" applyBorder="1" applyAlignment="1" applyProtection="1">
      <alignment horizontal="center" vertical="center" wrapText="1" shrinkToFit="1"/>
      <protection locked="0"/>
    </xf>
    <xf numFmtId="187" fontId="221" fillId="0" borderId="1" xfId="0" applyNumberFormat="1" applyFont="1" applyFill="1" applyBorder="1" applyAlignment="1" applyProtection="1">
      <alignment horizontal="center" vertical="center" wrapText="1" shrinkToFit="1"/>
      <protection locked="0"/>
    </xf>
    <xf numFmtId="187" fontId="221" fillId="0" borderId="6" xfId="0" applyNumberFormat="1" applyFont="1" applyFill="1" applyBorder="1" applyAlignment="1" applyProtection="1">
      <alignment horizontal="center" vertical="center" wrapText="1" shrinkToFit="1"/>
      <protection locked="0"/>
    </xf>
    <xf numFmtId="187" fontId="235" fillId="0" borderId="19" xfId="0" applyNumberFormat="1" applyFont="1" applyFill="1" applyBorder="1" applyAlignment="1" applyProtection="1">
      <alignment horizontal="center" vertical="center" wrapText="1" shrinkToFit="1"/>
      <protection locked="0"/>
    </xf>
    <xf numFmtId="187" fontId="235" fillId="0" borderId="1" xfId="0" applyNumberFormat="1" applyFont="1" applyFill="1" applyBorder="1" applyAlignment="1" applyProtection="1">
      <alignment horizontal="center" vertical="center" wrapText="1" shrinkToFit="1"/>
      <protection locked="0"/>
    </xf>
    <xf numFmtId="187" fontId="235" fillId="0" borderId="20" xfId="0" applyNumberFormat="1" applyFont="1" applyFill="1" applyBorder="1" applyAlignment="1" applyProtection="1">
      <alignment horizontal="center" vertical="center" wrapText="1" shrinkToFit="1"/>
      <protection locked="0"/>
    </xf>
    <xf numFmtId="187" fontId="221" fillId="0" borderId="19" xfId="0" applyNumberFormat="1" applyFont="1" applyFill="1" applyBorder="1" applyAlignment="1" applyProtection="1">
      <alignment horizontal="center" vertical="center" wrapText="1" shrinkToFit="1"/>
      <protection locked="0"/>
    </xf>
    <xf numFmtId="187" fontId="221" fillId="0" borderId="20" xfId="0" applyNumberFormat="1" applyFont="1" applyFill="1" applyBorder="1" applyAlignment="1" applyProtection="1">
      <alignment horizontal="center" vertical="center" wrapText="1" shrinkToFit="1"/>
      <protection locked="0"/>
    </xf>
    <xf numFmtId="187" fontId="221" fillId="0" borderId="7" xfId="0" applyNumberFormat="1" applyFont="1" applyFill="1" applyBorder="1" applyAlignment="1" applyProtection="1">
      <alignment horizontal="center" vertical="center" wrapText="1" shrinkToFit="1"/>
      <protection locked="0"/>
    </xf>
    <xf numFmtId="187" fontId="221" fillId="0" borderId="1" xfId="0" applyNumberFormat="1" applyFont="1" applyFill="1" applyBorder="1" applyAlignment="1" applyProtection="1">
      <alignment horizontal="center" vertical="center"/>
      <protection locked="0"/>
    </xf>
    <xf numFmtId="0" fontId="224" fillId="0" borderId="1" xfId="0" applyFont="1" applyFill="1" applyBorder="1" applyAlignment="1" applyProtection="1">
      <alignment horizontal="center" vertical="center"/>
      <protection locked="0"/>
    </xf>
    <xf numFmtId="0" fontId="233" fillId="0" borderId="1" xfId="0" applyFont="1" applyFill="1" applyBorder="1" applyAlignment="1" applyProtection="1">
      <alignment horizontal="center" vertical="center"/>
      <protection locked="0"/>
    </xf>
    <xf numFmtId="0" fontId="224" fillId="0" borderId="1" xfId="0" applyNumberFormat="1" applyFont="1" applyFill="1" applyBorder="1" applyAlignment="1" applyProtection="1">
      <alignment horizontal="center" vertical="center" wrapText="1"/>
      <protection locked="0"/>
    </xf>
    <xf numFmtId="0" fontId="234" fillId="4" borderId="1" xfId="0" applyNumberFormat="1" applyFont="1" applyFill="1" applyBorder="1" applyAlignment="1" applyProtection="1">
      <alignment horizontal="center" vertical="center"/>
      <protection locked="0"/>
    </xf>
    <xf numFmtId="0" fontId="83" fillId="4" borderId="1" xfId="0" applyNumberFormat="1" applyFont="1" applyFill="1" applyBorder="1" applyAlignment="1" applyProtection="1">
      <alignment horizontal="center" vertical="center"/>
      <protection locked="0"/>
    </xf>
    <xf numFmtId="187" fontId="83" fillId="4" borderId="1" xfId="0" applyNumberFormat="1" applyFont="1" applyFill="1" applyBorder="1" applyAlignment="1" applyProtection="1">
      <alignment horizontal="center" vertical="center" wrapText="1" shrinkToFit="1"/>
      <protection locked="0"/>
    </xf>
    <xf numFmtId="0" fontId="236" fillId="3" borderId="1" xfId="0" applyNumberFormat="1" applyFont="1" applyFill="1" applyBorder="1" applyAlignment="1" applyProtection="1">
      <alignment horizontal="center" vertical="center"/>
      <protection locked="0"/>
    </xf>
    <xf numFmtId="187" fontId="83" fillId="0" borderId="1" xfId="0" applyNumberFormat="1" applyFont="1" applyFill="1" applyBorder="1" applyAlignment="1" applyProtection="1">
      <alignment horizontal="center" vertical="center" wrapText="1" shrinkToFit="1"/>
      <protection locked="0"/>
    </xf>
    <xf numFmtId="187" fontId="234" fillId="4" borderId="1" xfId="0" applyNumberFormat="1" applyFont="1" applyFill="1" applyBorder="1" applyAlignment="1" applyProtection="1">
      <alignment horizontal="center" vertical="center" wrapText="1" shrinkToFit="1"/>
      <protection locked="0"/>
    </xf>
    <xf numFmtId="0" fontId="221" fillId="0" borderId="1" xfId="0" applyFont="1" applyFill="1" applyBorder="1" applyAlignment="1" applyProtection="1">
      <alignment horizontal="center" vertical="center" wrapText="1" shrinkToFit="1"/>
      <protection locked="0"/>
    </xf>
    <xf numFmtId="0" fontId="237" fillId="4" borderId="1" xfId="0" applyNumberFormat="1" applyFont="1" applyFill="1" applyBorder="1" applyAlignment="1" applyProtection="1">
      <alignment horizontal="center" vertical="center"/>
      <protection locked="0"/>
    </xf>
    <xf numFmtId="187" fontId="237" fillId="4" borderId="1" xfId="0" applyNumberFormat="1" applyFont="1" applyFill="1" applyBorder="1" applyAlignment="1" applyProtection="1">
      <alignment horizontal="center" vertical="center" wrapText="1" shrinkToFit="1"/>
      <protection locked="0"/>
    </xf>
    <xf numFmtId="176" fontId="224" fillId="0" borderId="1" xfId="0" applyNumberFormat="1" applyFont="1" applyFill="1" applyBorder="1" applyAlignment="1" applyProtection="1">
      <alignment horizontal="center" vertical="center" wrapText="1"/>
      <protection locked="0"/>
    </xf>
    <xf numFmtId="187" fontId="234" fillId="3" borderId="1" xfId="0" applyNumberFormat="1" applyFont="1" applyFill="1" applyBorder="1" applyAlignment="1" applyProtection="1">
      <alignment horizontal="center" vertical="center" wrapText="1" shrinkToFit="1"/>
      <protection locked="0"/>
    </xf>
    <xf numFmtId="0" fontId="234" fillId="3" borderId="1" xfId="0" applyNumberFormat="1" applyFont="1" applyFill="1" applyBorder="1" applyAlignment="1" applyProtection="1">
      <alignment horizontal="center" vertical="center"/>
      <protection locked="0"/>
    </xf>
    <xf numFmtId="0" fontId="236" fillId="4" borderId="1" xfId="0" applyNumberFormat="1" applyFont="1" applyFill="1" applyBorder="1" applyAlignment="1" applyProtection="1">
      <alignment horizontal="center" vertical="center"/>
      <protection locked="0"/>
    </xf>
    <xf numFmtId="0" fontId="224" fillId="0" borderId="1" xfId="0" applyFont="1" applyFill="1" applyBorder="1" applyAlignment="1" applyProtection="1">
      <alignment horizontal="center" vertical="center"/>
    </xf>
    <xf numFmtId="186" fontId="221" fillId="0" borderId="1" xfId="0" applyNumberFormat="1" applyFont="1" applyFill="1" applyBorder="1" applyAlignment="1" applyProtection="1">
      <alignment horizontal="center" vertical="center" wrapText="1"/>
    </xf>
    <xf numFmtId="0" fontId="221" fillId="0" borderId="0" xfId="0" applyFont="1" applyFill="1" applyBorder="1" applyAlignment="1" applyProtection="1">
      <alignment horizontal="center" vertical="center"/>
      <protection locked="0"/>
    </xf>
    <xf numFmtId="0" fontId="83" fillId="0" borderId="1" xfId="0" applyNumberFormat="1" applyFont="1" applyFill="1" applyBorder="1" applyAlignment="1" applyProtection="1">
      <alignment horizontal="center" vertical="center"/>
      <protection locked="0"/>
    </xf>
    <xf numFmtId="187" fontId="234" fillId="0" borderId="19" xfId="0" applyNumberFormat="1" applyFont="1" applyFill="1" applyBorder="1" applyAlignment="1" applyProtection="1">
      <alignment horizontal="center" vertical="center" wrapText="1" shrinkToFit="1"/>
      <protection locked="0"/>
    </xf>
    <xf numFmtId="187" fontId="234" fillId="0" borderId="20" xfId="0" applyNumberFormat="1" applyFont="1" applyFill="1" applyBorder="1" applyAlignment="1" applyProtection="1">
      <alignment horizontal="center" vertical="center" wrapText="1" shrinkToFit="1"/>
      <protection locked="0"/>
    </xf>
    <xf numFmtId="186" fontId="221" fillId="0" borderId="1" xfId="0" applyNumberFormat="1" applyFont="1" applyFill="1" applyBorder="1" applyAlignment="1" applyProtection="1">
      <alignment horizontal="center" vertical="center" wrapText="1"/>
      <protection locked="0"/>
    </xf>
    <xf numFmtId="0" fontId="83" fillId="3" borderId="1" xfId="0" applyNumberFormat="1" applyFont="1" applyFill="1" applyBorder="1" applyAlignment="1" applyProtection="1">
      <alignment horizontal="center" vertical="center"/>
      <protection locked="0"/>
    </xf>
    <xf numFmtId="187" fontId="83" fillId="3" borderId="1" xfId="0" applyNumberFormat="1" applyFont="1" applyFill="1" applyBorder="1" applyAlignment="1" applyProtection="1">
      <alignment horizontal="center" vertical="center" wrapText="1" shrinkToFit="1"/>
      <protection locked="0"/>
    </xf>
    <xf numFmtId="187" fontId="83" fillId="0" borderId="19" xfId="0" applyNumberFormat="1" applyFont="1" applyFill="1" applyBorder="1" applyAlignment="1" applyProtection="1">
      <alignment horizontal="center" vertical="center" wrapText="1" shrinkToFit="1"/>
      <protection locked="0"/>
    </xf>
    <xf numFmtId="187" fontId="83" fillId="0" borderId="20" xfId="0" applyNumberFormat="1" applyFont="1" applyFill="1" applyBorder="1" applyAlignment="1" applyProtection="1">
      <alignment horizontal="center" vertical="center" wrapText="1" shrinkToFit="1"/>
      <protection locked="0"/>
    </xf>
    <xf numFmtId="187" fontId="234" fillId="3" borderId="19" xfId="0" applyNumberFormat="1" applyFont="1" applyFill="1" applyBorder="1" applyAlignment="1" applyProtection="1">
      <alignment horizontal="center" vertical="center" wrapText="1" shrinkToFit="1"/>
      <protection locked="0"/>
    </xf>
    <xf numFmtId="187" fontId="234" fillId="3" borderId="20" xfId="0" applyNumberFormat="1" applyFont="1" applyFill="1" applyBorder="1" applyAlignment="1" applyProtection="1">
      <alignment horizontal="center" vertical="center" wrapText="1" shrinkToFit="1"/>
      <protection locked="0"/>
    </xf>
    <xf numFmtId="187" fontId="234" fillId="3" borderId="1" xfId="0" applyNumberFormat="1" applyFont="1" applyFill="1" applyBorder="1" applyAlignment="1" applyProtection="1">
      <alignment horizontal="center" vertical="center"/>
      <protection locked="0"/>
    </xf>
    <xf numFmtId="190" fontId="224" fillId="0" borderId="16" xfId="0" applyNumberFormat="1" applyFont="1" applyFill="1" applyBorder="1" applyAlignment="1" applyProtection="1">
      <alignment horizontal="center" vertical="center" wrapText="1" shrinkToFit="1"/>
      <protection locked="0"/>
    </xf>
    <xf numFmtId="0" fontId="224" fillId="0" borderId="1" xfId="0" applyFont="1" applyFill="1" applyBorder="1" applyAlignment="1" applyProtection="1">
      <alignment vertical="center" wrapText="1"/>
      <protection locked="0"/>
    </xf>
    <xf numFmtId="187" fontId="83" fillId="3" borderId="19" xfId="0" applyNumberFormat="1" applyFont="1" applyFill="1" applyBorder="1" applyAlignment="1" applyProtection="1">
      <alignment horizontal="center" vertical="center" wrapText="1" shrinkToFit="1"/>
      <protection locked="0"/>
    </xf>
    <xf numFmtId="187" fontId="83" fillId="3" borderId="20" xfId="0" applyNumberFormat="1" applyFont="1" applyFill="1" applyBorder="1" applyAlignment="1" applyProtection="1">
      <alignment horizontal="center" vertical="center" wrapText="1" shrinkToFit="1"/>
      <protection locked="0"/>
    </xf>
    <xf numFmtId="187" fontId="83" fillId="4" borderId="19" xfId="0" applyNumberFormat="1" applyFont="1" applyFill="1" applyBorder="1" applyAlignment="1" applyProtection="1">
      <alignment horizontal="center" vertical="center" wrapText="1" shrinkToFit="1"/>
      <protection locked="0"/>
    </xf>
    <xf numFmtId="187" fontId="83" fillId="4" borderId="20" xfId="0" applyNumberFormat="1" applyFont="1" applyFill="1" applyBorder="1" applyAlignment="1" applyProtection="1">
      <alignment horizontal="center" vertical="center" wrapText="1" shrinkToFit="1"/>
      <protection locked="0"/>
    </xf>
    <xf numFmtId="187" fontId="83" fillId="4" borderId="1" xfId="0" applyNumberFormat="1" applyFont="1" applyFill="1" applyBorder="1" applyAlignment="1" applyProtection="1">
      <alignment horizontal="center" vertical="center"/>
      <protection locked="0"/>
    </xf>
    <xf numFmtId="0" fontId="235" fillId="0" borderId="1" xfId="0" applyNumberFormat="1" applyFont="1" applyFill="1" applyBorder="1" applyAlignment="1" applyProtection="1">
      <alignment horizontal="center" vertical="center"/>
      <protection locked="0"/>
    </xf>
    <xf numFmtId="187" fontId="235" fillId="3" borderId="1" xfId="0" applyNumberFormat="1" applyFont="1" applyFill="1" applyBorder="1" applyAlignment="1" applyProtection="1">
      <alignment horizontal="center" vertical="center" wrapText="1" shrinkToFit="1"/>
      <protection locked="0"/>
    </xf>
    <xf numFmtId="187" fontId="235" fillId="3" borderId="19" xfId="0" applyNumberFormat="1" applyFont="1" applyFill="1" applyBorder="1" applyAlignment="1" applyProtection="1">
      <alignment horizontal="center" vertical="center" wrapText="1" shrinkToFit="1"/>
      <protection locked="0"/>
    </xf>
    <xf numFmtId="187" fontId="235" fillId="3" borderId="20" xfId="0" applyNumberFormat="1" applyFont="1" applyFill="1" applyBorder="1" applyAlignment="1" applyProtection="1">
      <alignment horizontal="center" vertical="center" wrapText="1" shrinkToFit="1"/>
      <protection locked="0"/>
    </xf>
    <xf numFmtId="187" fontId="235" fillId="3" borderId="1" xfId="0" applyNumberFormat="1" applyFont="1" applyFill="1" applyBorder="1" applyAlignment="1" applyProtection="1">
      <alignment horizontal="center" vertical="center"/>
      <protection locked="0"/>
    </xf>
    <xf numFmtId="0" fontId="235" fillId="4" borderId="1" xfId="0" applyNumberFormat="1" applyFont="1" applyFill="1" applyBorder="1" applyAlignment="1" applyProtection="1">
      <alignment horizontal="center" vertical="center"/>
      <protection locked="0"/>
    </xf>
    <xf numFmtId="187" fontId="235" fillId="4" borderId="1" xfId="0" applyNumberFormat="1" applyFont="1" applyFill="1" applyBorder="1" applyAlignment="1" applyProtection="1">
      <alignment horizontal="center" vertical="center" wrapText="1" shrinkToFit="1"/>
      <protection locked="0"/>
    </xf>
    <xf numFmtId="0" fontId="221" fillId="3" borderId="1" xfId="0" applyNumberFormat="1" applyFont="1" applyFill="1" applyBorder="1" applyAlignment="1" applyProtection="1">
      <alignment horizontal="center" vertical="center"/>
      <protection locked="0"/>
    </xf>
    <xf numFmtId="187" fontId="221" fillId="3" borderId="1" xfId="0" applyNumberFormat="1" applyFont="1" applyFill="1" applyBorder="1" applyAlignment="1" applyProtection="1">
      <alignment horizontal="center" vertical="center" wrapText="1" shrinkToFit="1"/>
      <protection locked="0"/>
    </xf>
    <xf numFmtId="187" fontId="221" fillId="3" borderId="19" xfId="0" applyNumberFormat="1" applyFont="1" applyFill="1" applyBorder="1" applyAlignment="1" applyProtection="1">
      <alignment horizontal="center" vertical="center" wrapText="1" shrinkToFit="1"/>
      <protection locked="0"/>
    </xf>
    <xf numFmtId="187" fontId="221" fillId="3" borderId="20" xfId="0" applyNumberFormat="1" applyFont="1" applyFill="1" applyBorder="1" applyAlignment="1" applyProtection="1">
      <alignment horizontal="center" vertical="center" wrapText="1" shrinkToFit="1"/>
      <protection locked="0"/>
    </xf>
    <xf numFmtId="0" fontId="224" fillId="0" borderId="0" xfId="0" applyFont="1" applyFill="1" applyAlignment="1" applyProtection="1">
      <alignment vertical="center" wrapText="1"/>
      <protection locked="0"/>
    </xf>
    <xf numFmtId="0" fontId="221" fillId="4" borderId="1" xfId="0" applyNumberFormat="1" applyFont="1" applyFill="1" applyBorder="1" applyAlignment="1" applyProtection="1">
      <alignment horizontal="center" vertical="center"/>
      <protection locked="0"/>
    </xf>
    <xf numFmtId="187" fontId="221" fillId="4" borderId="6" xfId="0" applyNumberFormat="1" applyFont="1" applyFill="1" applyBorder="1" applyAlignment="1" applyProtection="1">
      <alignment horizontal="center" vertical="center" wrapText="1" shrinkToFit="1"/>
      <protection locked="0"/>
    </xf>
    <xf numFmtId="187" fontId="221" fillId="4" borderId="7" xfId="0" applyNumberFormat="1" applyFont="1" applyFill="1" applyBorder="1" applyAlignment="1" applyProtection="1">
      <alignment horizontal="center" vertical="center" wrapText="1" shrinkToFit="1"/>
      <protection locked="0"/>
    </xf>
    <xf numFmtId="187" fontId="221" fillId="4" borderId="1" xfId="0" applyNumberFormat="1" applyFont="1" applyFill="1" applyBorder="1" applyAlignment="1" applyProtection="1">
      <alignment horizontal="center" vertical="center" wrapText="1" shrinkToFit="1"/>
      <protection locked="0"/>
    </xf>
    <xf numFmtId="187" fontId="221" fillId="4" borderId="19" xfId="0" applyNumberFormat="1" applyFont="1" applyFill="1" applyBorder="1" applyAlignment="1" applyProtection="1">
      <alignment horizontal="center" vertical="center" wrapText="1" shrinkToFit="1"/>
      <protection locked="0"/>
    </xf>
    <xf numFmtId="187" fontId="221" fillId="4" borderId="20" xfId="0" applyNumberFormat="1" applyFont="1" applyFill="1" applyBorder="1" applyAlignment="1" applyProtection="1">
      <alignment horizontal="center" vertical="center" wrapText="1" shrinkToFit="1"/>
      <protection locked="0"/>
    </xf>
    <xf numFmtId="190" fontId="224" fillId="0" borderId="0" xfId="0" applyNumberFormat="1" applyFont="1" applyFill="1" applyBorder="1" applyAlignment="1" applyProtection="1">
      <alignment horizontal="center" vertical="center" wrapText="1" shrinkToFit="1"/>
      <protection locked="0"/>
    </xf>
    <xf numFmtId="0" fontId="221" fillId="0" borderId="0" xfId="0" applyFont="1" applyFill="1" applyBorder="1" applyAlignment="1" applyProtection="1">
      <alignment horizontal="center" vertical="center" wrapText="1"/>
      <protection locked="0"/>
    </xf>
    <xf numFmtId="0" fontId="224" fillId="0" borderId="0" xfId="0" applyFont="1" applyFill="1" applyBorder="1" applyAlignment="1" applyProtection="1">
      <alignment horizontal="center" vertical="center" wrapText="1" shrinkToFit="1"/>
      <protection locked="0"/>
    </xf>
    <xf numFmtId="187" fontId="235" fillId="4" borderId="19" xfId="0" applyNumberFormat="1" applyFont="1" applyFill="1" applyBorder="1" applyAlignment="1" applyProtection="1">
      <alignment horizontal="center" vertical="center" wrapText="1" shrinkToFit="1"/>
      <protection locked="0"/>
    </xf>
    <xf numFmtId="187" fontId="235" fillId="4" borderId="20" xfId="0" applyNumberFormat="1" applyFont="1" applyFill="1" applyBorder="1" applyAlignment="1" applyProtection="1">
      <alignment horizontal="center" vertical="center" wrapText="1" shrinkToFit="1"/>
      <protection locked="0"/>
    </xf>
    <xf numFmtId="187" fontId="234" fillId="4" borderId="19" xfId="0" applyNumberFormat="1" applyFont="1" applyFill="1" applyBorder="1" applyAlignment="1" applyProtection="1">
      <alignment horizontal="center" vertical="center" wrapText="1" shrinkToFit="1"/>
      <protection locked="0"/>
    </xf>
    <xf numFmtId="187" fontId="234" fillId="4" borderId="20" xfId="0" applyNumberFormat="1" applyFont="1" applyFill="1" applyBorder="1" applyAlignment="1" applyProtection="1">
      <alignment horizontal="center" vertical="center" wrapText="1" shrinkToFit="1"/>
      <protection locked="0"/>
    </xf>
    <xf numFmtId="193" fontId="221" fillId="0" borderId="16" xfId="0" applyNumberFormat="1" applyFont="1" applyFill="1" applyBorder="1" applyAlignment="1" applyProtection="1">
      <alignment horizontal="center" vertical="center"/>
    </xf>
    <xf numFmtId="187" fontId="234" fillId="3" borderId="6" xfId="0" applyNumberFormat="1" applyFont="1" applyFill="1" applyBorder="1" applyAlignment="1" applyProtection="1">
      <alignment horizontal="center" vertical="center" wrapText="1" shrinkToFit="1"/>
      <protection locked="0"/>
    </xf>
    <xf numFmtId="191" fontId="235" fillId="0" borderId="1" xfId="0" applyNumberFormat="1" applyFont="1" applyFill="1" applyBorder="1" applyAlignment="1" applyProtection="1">
      <alignment horizontal="center" vertical="center" wrapText="1"/>
      <protection locked="0"/>
    </xf>
    <xf numFmtId="0" fontId="235" fillId="3" borderId="1" xfId="0" applyNumberFormat="1" applyFont="1" applyFill="1" applyBorder="1" applyAlignment="1" applyProtection="1">
      <alignment horizontal="center" vertical="center"/>
      <protection locked="0"/>
    </xf>
    <xf numFmtId="187" fontId="235" fillId="3" borderId="6" xfId="0" applyNumberFormat="1" applyFont="1" applyFill="1" applyBorder="1" applyAlignment="1" applyProtection="1">
      <alignment horizontal="center" vertical="center" wrapText="1" shrinkToFit="1"/>
      <protection locked="0"/>
    </xf>
    <xf numFmtId="187" fontId="235" fillId="3" borderId="5" xfId="0" applyNumberFormat="1" applyFont="1" applyFill="1" applyBorder="1" applyAlignment="1" applyProtection="1">
      <alignment horizontal="center" vertical="center" wrapText="1" shrinkToFit="1"/>
      <protection locked="0"/>
    </xf>
    <xf numFmtId="187" fontId="221" fillId="0" borderId="7" xfId="0" applyNumberFormat="1" applyFont="1" applyFill="1" applyBorder="1" applyAlignment="1" applyProtection="1">
      <alignment horizontal="center" vertical="center"/>
      <protection locked="0"/>
    </xf>
    <xf numFmtId="193" fontId="221" fillId="0" borderId="0" xfId="0" applyNumberFormat="1" applyFont="1" applyFill="1" applyBorder="1" applyAlignment="1" applyProtection="1">
      <alignment horizontal="center" vertical="center"/>
      <protection locked="0"/>
    </xf>
    <xf numFmtId="187" fontId="235" fillId="3" borderId="45" xfId="0" applyNumberFormat="1" applyFont="1" applyFill="1" applyBorder="1" applyAlignment="1" applyProtection="1">
      <alignment horizontal="center" vertical="center" wrapText="1" shrinkToFit="1"/>
      <protection locked="0"/>
    </xf>
    <xf numFmtId="0" fontId="238" fillId="0" borderId="16" xfId="0" applyFont="1" applyFill="1" applyBorder="1" applyAlignment="1" applyProtection="1">
      <alignment horizontal="center" vertical="center"/>
    </xf>
    <xf numFmtId="0" fontId="234" fillId="0" borderId="7" xfId="0" applyNumberFormat="1" applyFont="1" applyFill="1" applyBorder="1" applyAlignment="1" applyProtection="1">
      <alignment horizontal="center" vertical="center"/>
      <protection locked="0"/>
    </xf>
    <xf numFmtId="0" fontId="221" fillId="0" borderId="7" xfId="0" applyNumberFormat="1" applyFont="1" applyFill="1" applyBorder="1" applyAlignment="1" applyProtection="1">
      <alignment horizontal="center" vertical="center"/>
      <protection locked="0"/>
    </xf>
    <xf numFmtId="0" fontId="235" fillId="0" borderId="7" xfId="0" applyNumberFormat="1" applyFont="1" applyFill="1" applyBorder="1" applyAlignment="1" applyProtection="1">
      <alignment horizontal="center" vertical="center"/>
      <protection locked="0"/>
    </xf>
    <xf numFmtId="0" fontId="223" fillId="4" borderId="0" xfId="0" applyFont="1" applyFill="1" applyBorder="1" applyAlignment="1" applyProtection="1">
      <alignment vertical="center"/>
      <protection locked="0"/>
    </xf>
    <xf numFmtId="193" fontId="221" fillId="0" borderId="16" xfId="0" applyNumberFormat="1" applyFont="1" applyFill="1" applyBorder="1" applyAlignment="1" applyProtection="1">
      <alignment horizontal="center" vertical="center"/>
      <protection locked="0"/>
    </xf>
    <xf numFmtId="187" fontId="221" fillId="0" borderId="16" xfId="0" applyNumberFormat="1" applyFont="1" applyFill="1" applyBorder="1" applyAlignment="1" applyProtection="1">
      <alignment horizontal="center" vertical="center" wrapText="1" shrinkToFit="1"/>
      <protection locked="0"/>
    </xf>
    <xf numFmtId="187" fontId="221" fillId="0" borderId="1" xfId="0" applyNumberFormat="1" applyFont="1" applyFill="1" applyBorder="1" applyAlignment="1" applyProtection="1">
      <alignment horizontal="center" vertical="center" wrapText="1" shrinkToFit="1"/>
    </xf>
    <xf numFmtId="186" fontId="233" fillId="0" borderId="1" xfId="0" applyNumberFormat="1" applyFont="1" applyFill="1" applyBorder="1" applyAlignment="1" applyProtection="1">
      <alignment horizontal="center" vertical="center" wrapText="1"/>
    </xf>
    <xf numFmtId="190" fontId="223" fillId="0" borderId="16" xfId="0" applyNumberFormat="1" applyFont="1" applyFill="1" applyBorder="1" applyAlignment="1" applyProtection="1">
      <alignment horizontal="center" vertical="center" wrapText="1" shrinkToFit="1"/>
    </xf>
    <xf numFmtId="0" fontId="234" fillId="0" borderId="1" xfId="0" applyFont="1" applyFill="1" applyBorder="1" applyAlignment="1" applyProtection="1">
      <alignment horizontal="center" vertical="center" wrapText="1"/>
      <protection locked="0"/>
    </xf>
    <xf numFmtId="0" fontId="223" fillId="0" borderId="1" xfId="0" applyFont="1" applyFill="1" applyBorder="1" applyAlignment="1" applyProtection="1">
      <alignment horizontal="center" vertical="center" wrapText="1" shrinkToFit="1"/>
      <protection locked="0"/>
    </xf>
    <xf numFmtId="0" fontId="234" fillId="0" borderId="1" xfId="0" applyNumberFormat="1" applyFont="1" applyFill="1" applyBorder="1" applyAlignment="1" applyProtection="1">
      <alignment horizontal="center" vertical="center" shrinkToFit="1"/>
      <protection locked="0"/>
    </xf>
    <xf numFmtId="0" fontId="223" fillId="0" borderId="1" xfId="0" applyNumberFormat="1" applyFont="1" applyFill="1" applyBorder="1" applyAlignment="1" applyProtection="1">
      <alignment horizontal="center" vertical="center" wrapText="1"/>
      <protection locked="0"/>
    </xf>
    <xf numFmtId="0" fontId="234" fillId="0" borderId="1" xfId="0" applyFont="1" applyFill="1" applyBorder="1" applyAlignment="1" applyProtection="1">
      <alignment horizontal="center" vertical="center" wrapText="1" shrinkToFit="1"/>
      <protection locked="0"/>
    </xf>
    <xf numFmtId="0" fontId="223" fillId="0" borderId="1" xfId="0" applyFont="1" applyFill="1" applyBorder="1" applyAlignment="1" applyProtection="1">
      <alignment horizontal="center" vertical="center" wrapText="1"/>
      <protection locked="0"/>
    </xf>
    <xf numFmtId="0" fontId="234" fillId="0" borderId="1" xfId="0" applyFont="1" applyFill="1" applyBorder="1" applyAlignment="1" applyProtection="1">
      <alignment horizontal="center" vertical="center"/>
      <protection locked="0"/>
    </xf>
    <xf numFmtId="190" fontId="223" fillId="0" borderId="1" xfId="0" applyNumberFormat="1" applyFont="1" applyFill="1" applyBorder="1" applyAlignment="1" applyProtection="1">
      <alignment horizontal="center" vertical="center" wrapText="1" shrinkToFit="1"/>
      <protection locked="0"/>
    </xf>
    <xf numFmtId="189" fontId="234" fillId="0" borderId="1" xfId="0" applyNumberFormat="1" applyFont="1" applyFill="1" applyBorder="1" applyAlignment="1" applyProtection="1">
      <alignment horizontal="center" vertical="center"/>
      <protection locked="0"/>
    </xf>
    <xf numFmtId="185" fontId="234" fillId="0" borderId="1" xfId="0" applyNumberFormat="1" applyFont="1" applyFill="1" applyBorder="1" applyAlignment="1" applyProtection="1">
      <alignment horizontal="center" vertical="center"/>
      <protection locked="0"/>
    </xf>
    <xf numFmtId="187" fontId="234" fillId="0" borderId="6" xfId="0" applyNumberFormat="1" applyFont="1" applyFill="1" applyBorder="1" applyAlignment="1" applyProtection="1">
      <alignment horizontal="center" vertical="center" wrapText="1" shrinkToFit="1"/>
      <protection locked="0"/>
    </xf>
    <xf numFmtId="187" fontId="234" fillId="0" borderId="7" xfId="0" applyNumberFormat="1" applyFont="1" applyFill="1" applyBorder="1" applyAlignment="1" applyProtection="1">
      <alignment horizontal="center" vertical="center" wrapText="1" shrinkToFit="1"/>
      <protection locked="0"/>
    </xf>
    <xf numFmtId="187" fontId="234" fillId="0" borderId="1" xfId="0" applyNumberFormat="1" applyFont="1" applyFill="1" applyBorder="1" applyAlignment="1" applyProtection="1">
      <alignment horizontal="center" vertical="center"/>
      <protection locked="0"/>
    </xf>
    <xf numFmtId="187" fontId="234" fillId="0" borderId="1" xfId="0" applyNumberFormat="1" applyFont="1" applyFill="1" applyBorder="1" applyAlignment="1" applyProtection="1">
      <alignment horizontal="center" vertical="center" wrapText="1" shrinkToFit="1"/>
    </xf>
    <xf numFmtId="190" fontId="226" fillId="0" borderId="16" xfId="0" applyNumberFormat="1" applyFont="1" applyFill="1" applyBorder="1" applyAlignment="1" applyProtection="1">
      <alignment horizontal="center" vertical="center" wrapText="1" shrinkToFit="1"/>
    </xf>
    <xf numFmtId="0" fontId="235" fillId="0" borderId="1" xfId="0" applyFont="1" applyFill="1" applyBorder="1" applyAlignment="1" applyProtection="1">
      <alignment horizontal="center" vertical="center" wrapText="1"/>
      <protection locked="0"/>
    </xf>
    <xf numFmtId="0" fontId="226" fillId="0" borderId="1" xfId="0" applyFont="1" applyFill="1" applyBorder="1" applyAlignment="1" applyProtection="1">
      <alignment horizontal="center" vertical="center" wrapText="1" shrinkToFit="1"/>
      <protection locked="0"/>
    </xf>
    <xf numFmtId="0" fontId="235" fillId="0" borderId="1" xfId="0" applyNumberFormat="1" applyFont="1" applyFill="1" applyBorder="1" applyAlignment="1" applyProtection="1">
      <alignment horizontal="center" vertical="center" shrinkToFit="1"/>
      <protection locked="0"/>
    </xf>
    <xf numFmtId="0" fontId="226" fillId="0" borderId="1" xfId="0" applyNumberFormat="1" applyFont="1" applyFill="1" applyBorder="1" applyAlignment="1" applyProtection="1">
      <alignment horizontal="center" vertical="center" wrapText="1"/>
      <protection locked="0"/>
    </xf>
    <xf numFmtId="0" fontId="235" fillId="0" borderId="1" xfId="0" applyFont="1" applyFill="1" applyBorder="1" applyAlignment="1" applyProtection="1">
      <alignment horizontal="center" vertical="center" wrapText="1" shrinkToFit="1"/>
      <protection locked="0"/>
    </xf>
    <xf numFmtId="0" fontId="226" fillId="0" borderId="1" xfId="0" applyFont="1" applyFill="1" applyBorder="1" applyAlignment="1" applyProtection="1">
      <alignment horizontal="center" vertical="center" wrapText="1"/>
      <protection locked="0"/>
    </xf>
    <xf numFmtId="0" fontId="235" fillId="0" borderId="1" xfId="0" applyFont="1" applyFill="1" applyBorder="1" applyAlignment="1" applyProtection="1">
      <alignment horizontal="center" vertical="center"/>
      <protection locked="0"/>
    </xf>
    <xf numFmtId="190" fontId="226" fillId="0" borderId="1" xfId="0" applyNumberFormat="1" applyFont="1" applyFill="1" applyBorder="1" applyAlignment="1" applyProtection="1">
      <alignment horizontal="center" vertical="center" wrapText="1" shrinkToFit="1"/>
      <protection locked="0"/>
    </xf>
    <xf numFmtId="186" fontId="226" fillId="0" borderId="1" xfId="0" applyNumberFormat="1" applyFont="1" applyFill="1" applyBorder="1" applyAlignment="1" applyProtection="1">
      <alignment horizontal="center" vertical="center" wrapText="1"/>
      <protection locked="0"/>
    </xf>
    <xf numFmtId="186" fontId="226" fillId="0" borderId="1" xfId="0" applyNumberFormat="1" applyFont="1" applyFill="1" applyBorder="1" applyAlignment="1" applyProtection="1">
      <alignment horizontal="center" vertical="center" wrapText="1"/>
    </xf>
    <xf numFmtId="192" fontId="226" fillId="0" borderId="1" xfId="0" applyNumberFormat="1" applyFont="1" applyFill="1" applyBorder="1" applyAlignment="1" applyProtection="1">
      <alignment horizontal="center" vertical="center" wrapText="1"/>
      <protection locked="0"/>
    </xf>
    <xf numFmtId="189" fontId="235" fillId="0" borderId="1" xfId="0" applyNumberFormat="1" applyFont="1" applyFill="1" applyBorder="1" applyAlignment="1" applyProtection="1">
      <alignment horizontal="center" vertical="center"/>
      <protection locked="0"/>
    </xf>
    <xf numFmtId="185" fontId="235" fillId="0" borderId="1" xfId="0" applyNumberFormat="1" applyFont="1" applyFill="1" applyBorder="1" applyAlignment="1" applyProtection="1">
      <alignment horizontal="center" vertical="center"/>
      <protection locked="0"/>
    </xf>
    <xf numFmtId="187" fontId="235" fillId="0" borderId="6" xfId="0" applyNumberFormat="1" applyFont="1" applyFill="1" applyBorder="1" applyAlignment="1" applyProtection="1">
      <alignment horizontal="center" vertical="center" wrapText="1" shrinkToFit="1"/>
      <protection locked="0"/>
    </xf>
    <xf numFmtId="187" fontId="235" fillId="0" borderId="7" xfId="0" applyNumberFormat="1" applyFont="1" applyFill="1" applyBorder="1" applyAlignment="1" applyProtection="1">
      <alignment horizontal="center" vertical="center" wrapText="1" shrinkToFit="1"/>
      <protection locked="0"/>
    </xf>
    <xf numFmtId="187" fontId="235" fillId="0" borderId="1" xfId="0" applyNumberFormat="1" applyFont="1" applyFill="1" applyBorder="1" applyAlignment="1" applyProtection="1">
      <alignment horizontal="center" vertical="center" wrapText="1" shrinkToFit="1"/>
    </xf>
    <xf numFmtId="187" fontId="235" fillId="0" borderId="1" xfId="0" applyNumberFormat="1" applyFont="1" applyFill="1" applyBorder="1" applyAlignment="1" applyProtection="1">
      <alignment horizontal="center" vertical="center"/>
      <protection locked="0"/>
    </xf>
    <xf numFmtId="187" fontId="235" fillId="3" borderId="7" xfId="0" applyNumberFormat="1" applyFont="1" applyFill="1" applyBorder="1" applyAlignment="1" applyProtection="1">
      <alignment horizontal="center" vertical="center" wrapText="1" shrinkToFit="1"/>
      <protection locked="0"/>
    </xf>
    <xf numFmtId="187" fontId="235" fillId="0" borderId="1" xfId="0" applyNumberFormat="1" applyFont="1" applyFill="1" applyBorder="1" applyAlignment="1" applyProtection="1">
      <alignment horizontal="center" vertical="center"/>
    </xf>
    <xf numFmtId="182" fontId="235" fillId="0" borderId="1" xfId="0" applyNumberFormat="1" applyFont="1" applyFill="1" applyBorder="1" applyAlignment="1" applyProtection="1">
      <alignment horizontal="center" vertical="center"/>
    </xf>
    <xf numFmtId="0" fontId="226" fillId="0" borderId="1" xfId="0" applyFont="1" applyFill="1" applyBorder="1" applyAlignment="1" applyProtection="1">
      <alignment vertical="center"/>
      <protection locked="0"/>
    </xf>
    <xf numFmtId="190" fontId="223" fillId="0" borderId="1" xfId="0" applyNumberFormat="1" applyFont="1" applyFill="1" applyBorder="1" applyAlignment="1" applyProtection="1">
      <alignment horizontal="center" vertical="center" wrapText="1" shrinkToFit="1"/>
    </xf>
    <xf numFmtId="190" fontId="224" fillId="0" borderId="1" xfId="0" applyNumberFormat="1" applyFont="1" applyFill="1" applyBorder="1" applyAlignment="1" applyProtection="1">
      <alignment horizontal="center" vertical="center" wrapText="1" shrinkToFit="1"/>
    </xf>
    <xf numFmtId="0" fontId="239" fillId="0" borderId="1" xfId="0" applyFont="1" applyFill="1" applyBorder="1" applyAlignment="1" applyProtection="1">
      <alignment horizontal="center" vertical="center"/>
      <protection locked="0"/>
    </xf>
    <xf numFmtId="0" fontId="240" fillId="0" borderId="1" xfId="0" applyNumberFormat="1" applyFont="1" applyFill="1" applyBorder="1" applyAlignment="1" applyProtection="1">
      <alignment horizontal="center" vertical="center" wrapText="1"/>
      <protection locked="0"/>
    </xf>
    <xf numFmtId="0" fontId="233" fillId="0" borderId="1" xfId="0" applyNumberFormat="1" applyFont="1" applyFill="1" applyBorder="1" applyAlignment="1" applyProtection="1">
      <alignment horizontal="center" vertical="center" wrapText="1"/>
      <protection locked="0"/>
    </xf>
    <xf numFmtId="186" fontId="233" fillId="0" borderId="9" xfId="0" applyNumberFormat="1" applyFont="1" applyFill="1" applyBorder="1" applyAlignment="1" applyProtection="1">
      <alignment horizontal="center" vertical="center" wrapText="1"/>
      <protection locked="0"/>
    </xf>
    <xf numFmtId="186" fontId="233" fillId="0" borderId="21" xfId="0" applyNumberFormat="1" applyFont="1" applyFill="1" applyBorder="1" applyAlignment="1" applyProtection="1">
      <alignment horizontal="center" vertical="center" wrapText="1"/>
      <protection locked="0"/>
    </xf>
    <xf numFmtId="186" fontId="233" fillId="0" borderId="16" xfId="0" applyNumberFormat="1" applyFont="1" applyFill="1" applyBorder="1" applyAlignment="1" applyProtection="1">
      <alignment horizontal="center" vertical="center" wrapText="1"/>
      <protection locked="0"/>
    </xf>
    <xf numFmtId="58" fontId="224" fillId="0" borderId="1" xfId="0" applyNumberFormat="1" applyFont="1" applyFill="1" applyBorder="1" applyAlignment="1" applyProtection="1">
      <alignment horizontal="center" vertical="center" wrapText="1"/>
      <protection locked="0"/>
    </xf>
    <xf numFmtId="196" fontId="221" fillId="0" borderId="1" xfId="0" applyNumberFormat="1" applyFont="1" applyFill="1" applyBorder="1" applyAlignment="1" applyProtection="1">
      <alignment horizontal="center" vertical="center"/>
      <protection locked="0"/>
    </xf>
    <xf numFmtId="187" fontId="221" fillId="0" borderId="19" xfId="0" applyNumberFormat="1" applyFont="1" applyFill="1" applyBorder="1" applyAlignment="1" applyProtection="1">
      <alignment horizontal="center" vertical="center" wrapText="1" shrinkToFit="1"/>
    </xf>
    <xf numFmtId="187" fontId="221" fillId="0" borderId="20" xfId="0" applyNumberFormat="1" applyFont="1" applyFill="1" applyBorder="1" applyAlignment="1" applyProtection="1">
      <alignment horizontal="center" vertical="center" wrapText="1" shrinkToFit="1"/>
    </xf>
    <xf numFmtId="187" fontId="221" fillId="0" borderId="9" xfId="0" applyNumberFormat="1" applyFont="1" applyFill="1" applyBorder="1" applyAlignment="1" applyProtection="1">
      <alignment horizontal="center" vertical="center" wrapText="1" shrinkToFit="1"/>
      <protection locked="0"/>
    </xf>
    <xf numFmtId="187" fontId="221" fillId="0" borderId="9" xfId="0" applyNumberFormat="1" applyFont="1" applyFill="1" applyBorder="1" applyAlignment="1" applyProtection="1">
      <alignment horizontal="center" vertical="center"/>
      <protection locked="0"/>
    </xf>
    <xf numFmtId="187" fontId="221" fillId="0" borderId="21" xfId="0" applyNumberFormat="1" applyFont="1" applyFill="1" applyBorder="1" applyAlignment="1" applyProtection="1">
      <alignment horizontal="center" vertical="center" wrapText="1" shrinkToFit="1"/>
      <protection locked="0"/>
    </xf>
    <xf numFmtId="187" fontId="221" fillId="0" borderId="21" xfId="0" applyNumberFormat="1" applyFont="1" applyFill="1" applyBorder="1" applyAlignment="1" applyProtection="1">
      <alignment horizontal="center" vertical="center"/>
      <protection locked="0"/>
    </xf>
    <xf numFmtId="0" fontId="224" fillId="0" borderId="7" xfId="0" applyFont="1" applyFill="1" applyBorder="1" applyAlignment="1" applyProtection="1">
      <alignment horizontal="center" vertical="center"/>
      <protection locked="0"/>
    </xf>
    <xf numFmtId="0" fontId="241" fillId="0" borderId="1" xfId="0" applyFont="1" applyFill="1" applyBorder="1" applyAlignment="1" applyProtection="1">
      <alignment horizontal="center" vertical="center"/>
      <protection locked="0"/>
    </xf>
    <xf numFmtId="0" fontId="242" fillId="0" borderId="1" xfId="0" applyNumberFormat="1" applyFont="1" applyFill="1" applyBorder="1" applyAlignment="1" applyProtection="1">
      <alignment horizontal="center" vertical="center" wrapText="1"/>
      <protection locked="0"/>
    </xf>
    <xf numFmtId="186" fontId="242" fillId="0" borderId="1" xfId="0" applyNumberFormat="1" applyFont="1" applyFill="1" applyBorder="1" applyAlignment="1" applyProtection="1">
      <alignment horizontal="center" vertical="center" wrapText="1"/>
      <protection locked="0"/>
    </xf>
    <xf numFmtId="187" fontId="234" fillId="0" borderId="19" xfId="0" applyNumberFormat="1" applyFont="1" applyFill="1" applyBorder="1" applyAlignment="1" applyProtection="1">
      <alignment horizontal="center" vertical="center" wrapText="1" shrinkToFit="1"/>
    </xf>
    <xf numFmtId="187" fontId="234" fillId="0" borderId="20" xfId="0" applyNumberFormat="1" applyFont="1" applyFill="1" applyBorder="1" applyAlignment="1" applyProtection="1">
      <alignment horizontal="center" vertical="center" wrapText="1" shrinkToFit="1"/>
    </xf>
    <xf numFmtId="0" fontId="223" fillId="0" borderId="1" xfId="0" applyFont="1" applyFill="1" applyBorder="1" applyAlignment="1" applyProtection="1">
      <alignment horizontal="center" vertical="center"/>
      <protection locked="0"/>
    </xf>
    <xf numFmtId="0" fontId="223" fillId="0" borderId="7" xfId="0" applyFont="1" applyFill="1" applyBorder="1" applyAlignment="1" applyProtection="1">
      <alignment horizontal="center" vertical="center"/>
      <protection locked="0"/>
    </xf>
    <xf numFmtId="0" fontId="223" fillId="0" borderId="7" xfId="0" applyFont="1" applyFill="1" applyBorder="1" applyAlignment="1" applyProtection="1">
      <alignment vertical="center"/>
      <protection locked="0"/>
    </xf>
    <xf numFmtId="196" fontId="234" fillId="0" borderId="1" xfId="0" applyNumberFormat="1" applyFont="1" applyFill="1" applyBorder="1" applyAlignment="1" applyProtection="1">
      <alignment horizontal="center" vertical="center"/>
      <protection locked="0"/>
    </xf>
    <xf numFmtId="187" fontId="234" fillId="3" borderId="1" xfId="0" applyNumberFormat="1" applyFont="1" applyFill="1" applyBorder="1" applyAlignment="1" applyProtection="1">
      <alignment horizontal="center" vertical="center" wrapText="1" shrinkToFit="1"/>
    </xf>
    <xf numFmtId="187" fontId="234" fillId="3" borderId="20" xfId="0" applyNumberFormat="1" applyFont="1" applyFill="1" applyBorder="1" applyAlignment="1" applyProtection="1">
      <alignment horizontal="center" vertical="center" wrapText="1" shrinkToFit="1"/>
    </xf>
    <xf numFmtId="0" fontId="223" fillId="3" borderId="1" xfId="0" applyFont="1" applyFill="1" applyBorder="1" applyAlignment="1" applyProtection="1">
      <alignment vertical="center"/>
      <protection locked="0"/>
    </xf>
    <xf numFmtId="14" fontId="233" fillId="0" borderId="9" xfId="0" applyNumberFormat="1" applyFont="1" applyFill="1" applyBorder="1" applyAlignment="1" applyProtection="1">
      <alignment horizontal="center" vertical="center" wrapText="1"/>
      <protection locked="0"/>
    </xf>
    <xf numFmtId="186" fontId="242" fillId="0" borderId="9" xfId="0" applyNumberFormat="1" applyFont="1" applyFill="1" applyBorder="1" applyAlignment="1" applyProtection="1">
      <alignment horizontal="center" vertical="center" wrapText="1"/>
      <protection locked="0"/>
    </xf>
    <xf numFmtId="186" fontId="242" fillId="0" borderId="21" xfId="0" applyNumberFormat="1" applyFont="1" applyFill="1" applyBorder="1" applyAlignment="1" applyProtection="1">
      <alignment horizontal="center" vertical="center" wrapText="1"/>
      <protection locked="0"/>
    </xf>
    <xf numFmtId="186" fontId="242" fillId="0" borderId="16" xfId="0" applyNumberFormat="1" applyFont="1" applyFill="1" applyBorder="1" applyAlignment="1" applyProtection="1">
      <alignment horizontal="center" vertical="center" wrapText="1"/>
      <protection locked="0"/>
    </xf>
    <xf numFmtId="0" fontId="234" fillId="0" borderId="16" xfId="0" applyFont="1" applyFill="1" applyBorder="1" applyAlignment="1" applyProtection="1">
      <alignment horizontal="center" vertical="center" wrapText="1"/>
      <protection locked="0"/>
    </xf>
    <xf numFmtId="0" fontId="223" fillId="0" borderId="16" xfId="0" applyFont="1" applyFill="1" applyBorder="1" applyAlignment="1" applyProtection="1">
      <alignment horizontal="center" vertical="center" wrapText="1" shrinkToFit="1"/>
      <protection locked="0"/>
    </xf>
    <xf numFmtId="0" fontId="234" fillId="0" borderId="16" xfId="0" applyNumberFormat="1" applyFont="1" applyFill="1" applyBorder="1" applyAlignment="1" applyProtection="1">
      <alignment horizontal="center" vertical="center" shrinkToFit="1"/>
      <protection locked="0"/>
    </xf>
    <xf numFmtId="0" fontId="223" fillId="0" borderId="16" xfId="0" applyNumberFormat="1" applyFont="1" applyFill="1" applyBorder="1" applyAlignment="1" applyProtection="1">
      <alignment horizontal="center" vertical="center" wrapText="1"/>
      <protection locked="0"/>
    </xf>
    <xf numFmtId="0" fontId="234" fillId="0" borderId="16" xfId="0" applyFont="1" applyFill="1" applyBorder="1" applyAlignment="1" applyProtection="1">
      <alignment horizontal="center" vertical="center" wrapText="1" shrinkToFit="1"/>
      <protection locked="0"/>
    </xf>
    <xf numFmtId="0" fontId="223" fillId="0" borderId="16" xfId="0" applyFont="1" applyFill="1" applyBorder="1" applyAlignment="1" applyProtection="1">
      <alignment horizontal="center" vertical="center" wrapText="1"/>
      <protection locked="0"/>
    </xf>
    <xf numFmtId="0" fontId="234" fillId="0" borderId="16" xfId="0" applyFont="1" applyFill="1" applyBorder="1" applyAlignment="1" applyProtection="1">
      <alignment horizontal="center" vertical="center"/>
      <protection locked="0"/>
    </xf>
    <xf numFmtId="190" fontId="223" fillId="0" borderId="16" xfId="0" applyNumberFormat="1" applyFont="1" applyFill="1" applyBorder="1" applyAlignment="1" applyProtection="1">
      <alignment horizontal="center" vertical="center" wrapText="1" shrinkToFit="1"/>
      <protection locked="0"/>
    </xf>
    <xf numFmtId="0" fontId="242" fillId="0" borderId="6" xfId="0" applyNumberFormat="1" applyFont="1" applyFill="1" applyBorder="1" applyAlignment="1" applyProtection="1">
      <alignment horizontal="center" vertical="center" wrapText="1"/>
      <protection locked="0"/>
    </xf>
    <xf numFmtId="186" fontId="242" fillId="0" borderId="23" xfId="0" applyNumberFormat="1" applyFont="1" applyFill="1" applyBorder="1" applyAlignment="1" applyProtection="1">
      <alignment horizontal="center" vertical="center" wrapText="1"/>
      <protection locked="0"/>
    </xf>
    <xf numFmtId="186" fontId="242" fillId="0" borderId="7" xfId="0" applyNumberFormat="1" applyFont="1" applyFill="1" applyBorder="1" applyAlignment="1" applyProtection="1">
      <alignment horizontal="center" vertical="center" wrapText="1"/>
      <protection locked="0"/>
    </xf>
    <xf numFmtId="186" fontId="223" fillId="0" borderId="16" xfId="0" applyNumberFormat="1" applyFont="1" applyFill="1" applyBorder="1" applyAlignment="1" applyProtection="1">
      <alignment horizontal="center" vertical="center" wrapText="1"/>
    </xf>
    <xf numFmtId="186" fontId="223" fillId="0" borderId="16" xfId="0" applyNumberFormat="1" applyFont="1" applyFill="1" applyBorder="1" applyAlignment="1" applyProtection="1">
      <alignment horizontal="center" vertical="center" wrapText="1"/>
      <protection locked="0"/>
    </xf>
    <xf numFmtId="192" fontId="223" fillId="0" borderId="16" xfId="0" applyNumberFormat="1" applyFont="1" applyFill="1" applyBorder="1" applyAlignment="1" applyProtection="1">
      <alignment horizontal="center" vertical="center" wrapText="1"/>
      <protection locked="0"/>
    </xf>
    <xf numFmtId="196" fontId="234" fillId="0" borderId="16" xfId="0" applyNumberFormat="1" applyFont="1" applyFill="1" applyBorder="1" applyAlignment="1" applyProtection="1">
      <alignment horizontal="center" vertical="center"/>
      <protection locked="0"/>
    </xf>
    <xf numFmtId="185" fontId="234" fillId="0" borderId="16" xfId="0" applyNumberFormat="1" applyFont="1" applyFill="1" applyBorder="1" applyAlignment="1" applyProtection="1">
      <alignment horizontal="center" vertical="center"/>
      <protection locked="0"/>
    </xf>
    <xf numFmtId="0" fontId="234" fillId="0" borderId="14" xfId="0" applyNumberFormat="1" applyFont="1" applyFill="1" applyBorder="1" applyAlignment="1" applyProtection="1">
      <alignment horizontal="center" vertical="center"/>
      <protection locked="0"/>
    </xf>
    <xf numFmtId="0" fontId="234" fillId="0" borderId="16" xfId="0" applyNumberFormat="1" applyFont="1" applyFill="1" applyBorder="1" applyAlignment="1" applyProtection="1">
      <alignment horizontal="center" vertical="center"/>
      <protection locked="0"/>
    </xf>
    <xf numFmtId="0" fontId="234" fillId="3" borderId="16" xfId="0" applyNumberFormat="1" applyFont="1" applyFill="1" applyBorder="1" applyAlignment="1" applyProtection="1">
      <alignment horizontal="center" vertical="center"/>
      <protection locked="0"/>
    </xf>
    <xf numFmtId="187" fontId="234" fillId="3" borderId="16" xfId="0" applyNumberFormat="1" applyFont="1" applyFill="1" applyBorder="1" applyAlignment="1" applyProtection="1">
      <alignment horizontal="center" vertical="center" wrapText="1" shrinkToFit="1"/>
      <protection locked="0"/>
    </xf>
    <xf numFmtId="187" fontId="234" fillId="0" borderId="15" xfId="0" applyNumberFormat="1" applyFont="1" applyFill="1" applyBorder="1" applyAlignment="1" applyProtection="1">
      <alignment horizontal="center" vertical="center" wrapText="1" shrinkToFit="1"/>
      <protection locked="0"/>
    </xf>
    <xf numFmtId="187" fontId="234" fillId="0" borderId="17" xfId="0" applyNumberFormat="1" applyFont="1" applyFill="1" applyBorder="1" applyAlignment="1" applyProtection="1">
      <alignment horizontal="center" vertical="center" wrapText="1" shrinkToFit="1"/>
      <protection locked="0"/>
    </xf>
    <xf numFmtId="187" fontId="234" fillId="0" borderId="16" xfId="0" applyNumberFormat="1" applyFont="1" applyFill="1" applyBorder="1" applyAlignment="1" applyProtection="1">
      <alignment horizontal="center" vertical="center" wrapText="1" shrinkToFit="1"/>
      <protection locked="0"/>
    </xf>
    <xf numFmtId="187" fontId="234" fillId="3" borderId="18" xfId="0" applyNumberFormat="1" applyFont="1" applyFill="1" applyBorder="1" applyAlignment="1" applyProtection="1">
      <alignment horizontal="center" vertical="center" wrapText="1" shrinkToFit="1"/>
      <protection locked="0"/>
    </xf>
    <xf numFmtId="187" fontId="234" fillId="3" borderId="14" xfId="0" applyNumberFormat="1" applyFont="1" applyFill="1" applyBorder="1" applyAlignment="1" applyProtection="1">
      <alignment horizontal="center" vertical="center" wrapText="1" shrinkToFit="1"/>
      <protection locked="0"/>
    </xf>
    <xf numFmtId="0" fontId="223" fillId="0" borderId="16" xfId="0" applyFont="1" applyBorder="1">
      <alignment vertical="center"/>
    </xf>
    <xf numFmtId="187" fontId="234" fillId="3" borderId="17" xfId="0" applyNumberFormat="1" applyFont="1" applyFill="1" applyBorder="1" applyAlignment="1" applyProtection="1">
      <alignment horizontal="center" vertical="center" wrapText="1" shrinkToFit="1"/>
      <protection locked="0"/>
    </xf>
    <xf numFmtId="187" fontId="234" fillId="0" borderId="17" xfId="0" applyNumberFormat="1" applyFont="1" applyFill="1" applyBorder="1" applyAlignment="1" applyProtection="1">
      <alignment horizontal="center" vertical="center" wrapText="1" shrinkToFit="1"/>
    </xf>
    <xf numFmtId="187" fontId="234" fillId="0" borderId="16" xfId="0" applyNumberFormat="1" applyFont="1" applyFill="1" applyBorder="1" applyAlignment="1" applyProtection="1">
      <alignment horizontal="center" vertical="center" wrapText="1" shrinkToFit="1"/>
    </xf>
    <xf numFmtId="187" fontId="234" fillId="0" borderId="18" xfId="0" applyNumberFormat="1" applyFont="1" applyFill="1" applyBorder="1" applyAlignment="1" applyProtection="1">
      <alignment horizontal="center" vertical="center" wrapText="1" shrinkToFit="1"/>
    </xf>
    <xf numFmtId="187" fontId="234" fillId="0" borderId="14" xfId="0" applyNumberFormat="1" applyFont="1" applyFill="1" applyBorder="1" applyAlignment="1" applyProtection="1">
      <alignment horizontal="center" vertical="center" wrapText="1" shrinkToFit="1"/>
      <protection locked="0"/>
    </xf>
    <xf numFmtId="190" fontId="227" fillId="0" borderId="16" xfId="0" applyNumberFormat="1" applyFont="1" applyFill="1" applyBorder="1" applyAlignment="1" applyProtection="1">
      <alignment horizontal="center" vertical="center" wrapText="1" shrinkToFit="1"/>
    </xf>
    <xf numFmtId="0" fontId="238" fillId="0" borderId="1" xfId="0" applyFont="1" applyFill="1" applyBorder="1" applyAlignment="1" applyProtection="1">
      <alignment horizontal="center" vertical="center" wrapText="1"/>
      <protection locked="0"/>
    </xf>
    <xf numFmtId="0" fontId="227" fillId="0" borderId="1" xfId="0" applyFont="1" applyFill="1" applyBorder="1" applyAlignment="1" applyProtection="1">
      <alignment horizontal="center" vertical="center" wrapText="1" shrinkToFit="1"/>
      <protection locked="0"/>
    </xf>
    <xf numFmtId="0" fontId="238" fillId="0" borderId="1" xfId="0" applyNumberFormat="1" applyFont="1" applyFill="1" applyBorder="1" applyAlignment="1" applyProtection="1">
      <alignment horizontal="center" vertical="center" shrinkToFit="1"/>
      <protection locked="0"/>
    </xf>
    <xf numFmtId="0" fontId="227" fillId="0" borderId="1" xfId="0" applyNumberFormat="1" applyFont="1" applyFill="1" applyBorder="1" applyAlignment="1" applyProtection="1">
      <alignment horizontal="center" vertical="center" wrapText="1"/>
      <protection locked="0"/>
    </xf>
    <xf numFmtId="0" fontId="238" fillId="0" borderId="1" xfId="0" applyFont="1" applyFill="1" applyBorder="1" applyAlignment="1" applyProtection="1">
      <alignment horizontal="center" vertical="center" wrapText="1" shrinkToFit="1"/>
      <protection locked="0"/>
    </xf>
    <xf numFmtId="0" fontId="227" fillId="0" borderId="1" xfId="0" applyFont="1" applyFill="1" applyBorder="1" applyAlignment="1" applyProtection="1">
      <alignment horizontal="center" vertical="center" wrapText="1"/>
      <protection locked="0"/>
    </xf>
    <xf numFmtId="0" fontId="238" fillId="0" borderId="1" xfId="0" applyFont="1" applyFill="1" applyBorder="1" applyAlignment="1" applyProtection="1">
      <alignment horizontal="center" vertical="center"/>
      <protection locked="0"/>
    </xf>
    <xf numFmtId="190" fontId="227" fillId="0" borderId="1" xfId="0" applyNumberFormat="1" applyFont="1" applyFill="1" applyBorder="1" applyAlignment="1" applyProtection="1">
      <alignment horizontal="center" vertical="center" wrapText="1" shrinkToFit="1"/>
      <protection locked="0"/>
    </xf>
    <xf numFmtId="190" fontId="227" fillId="0" borderId="1" xfId="0" applyNumberFormat="1" applyFont="1" applyFill="1" applyBorder="1" applyAlignment="1" applyProtection="1">
      <alignment horizontal="center" vertical="center" wrapText="1" shrinkToFit="1"/>
    </xf>
    <xf numFmtId="186" fontId="227" fillId="0" borderId="1" xfId="0" applyNumberFormat="1" applyFont="1" applyFill="1" applyBorder="1" applyAlignment="1" applyProtection="1">
      <alignment horizontal="center" vertical="center" wrapText="1"/>
      <protection locked="0"/>
    </xf>
    <xf numFmtId="0" fontId="243" fillId="0" borderId="1" xfId="0" applyFont="1" applyFill="1" applyBorder="1" applyAlignment="1" applyProtection="1">
      <alignment horizontal="center" vertical="center"/>
      <protection locked="0"/>
    </xf>
    <xf numFmtId="186" fontId="240" fillId="0" borderId="1" xfId="0" applyNumberFormat="1" applyFont="1" applyFill="1" applyBorder="1" applyAlignment="1" applyProtection="1">
      <alignment horizontal="center" vertical="center" wrapText="1"/>
      <protection locked="0"/>
    </xf>
    <xf numFmtId="186" fontId="227" fillId="0" borderId="1" xfId="0" applyNumberFormat="1" applyFont="1" applyFill="1" applyBorder="1" applyAlignment="1" applyProtection="1">
      <alignment horizontal="center" vertical="center" wrapText="1"/>
    </xf>
    <xf numFmtId="192" fontId="227" fillId="0" borderId="1" xfId="0" applyNumberFormat="1" applyFont="1" applyFill="1" applyBorder="1" applyAlignment="1" applyProtection="1">
      <alignment horizontal="center" vertical="center" wrapText="1"/>
      <protection locked="0"/>
    </xf>
    <xf numFmtId="196" fontId="238" fillId="0" borderId="1" xfId="0" applyNumberFormat="1" applyFont="1" applyFill="1" applyBorder="1" applyAlignment="1" applyProtection="1">
      <alignment horizontal="center" vertical="center"/>
      <protection locked="0"/>
    </xf>
    <xf numFmtId="185" fontId="238" fillId="0" borderId="1" xfId="0" applyNumberFormat="1" applyFont="1" applyFill="1" applyBorder="1" applyAlignment="1" applyProtection="1">
      <alignment horizontal="center" vertical="center"/>
      <protection locked="0"/>
    </xf>
    <xf numFmtId="0" fontId="238" fillId="0" borderId="7" xfId="0" applyNumberFormat="1" applyFont="1" applyFill="1" applyBorder="1" applyAlignment="1" applyProtection="1">
      <alignment horizontal="center" vertical="center"/>
      <protection locked="0"/>
    </xf>
    <xf numFmtId="0" fontId="238" fillId="0" borderId="1" xfId="0" applyNumberFormat="1" applyFont="1" applyFill="1" applyBorder="1" applyAlignment="1" applyProtection="1">
      <alignment horizontal="center" vertical="center"/>
      <protection locked="0"/>
    </xf>
    <xf numFmtId="0" fontId="238" fillId="3" borderId="1" xfId="0" applyNumberFormat="1" applyFont="1" applyFill="1" applyBorder="1" applyAlignment="1" applyProtection="1">
      <alignment horizontal="center" vertical="center"/>
      <protection locked="0"/>
    </xf>
    <xf numFmtId="187" fontId="238" fillId="3" borderId="1" xfId="0" applyNumberFormat="1" applyFont="1" applyFill="1" applyBorder="1" applyAlignment="1" applyProtection="1">
      <alignment horizontal="center" vertical="center" wrapText="1" shrinkToFit="1"/>
      <protection locked="0"/>
    </xf>
    <xf numFmtId="187" fontId="238" fillId="0" borderId="1" xfId="0" applyNumberFormat="1" applyFont="1" applyFill="1" applyBorder="1" applyAlignment="1" applyProtection="1">
      <alignment horizontal="center" vertical="center" wrapText="1" shrinkToFit="1"/>
      <protection locked="0"/>
    </xf>
    <xf numFmtId="187" fontId="238" fillId="0" borderId="1" xfId="0" applyNumberFormat="1" applyFont="1" applyFill="1" applyBorder="1" applyAlignment="1" applyProtection="1">
      <alignment horizontal="center" vertical="center" wrapText="1" shrinkToFit="1"/>
    </xf>
    <xf numFmtId="187" fontId="238" fillId="0" borderId="6" xfId="0" applyNumberFormat="1" applyFont="1" applyFill="1" applyBorder="1" applyAlignment="1" applyProtection="1">
      <alignment horizontal="center" vertical="center" wrapText="1" shrinkToFit="1"/>
    </xf>
    <xf numFmtId="187" fontId="238" fillId="3" borderId="19" xfId="0" applyNumberFormat="1" applyFont="1" applyFill="1" applyBorder="1" applyAlignment="1" applyProtection="1">
      <alignment horizontal="center" vertical="center" wrapText="1" shrinkToFit="1"/>
    </xf>
    <xf numFmtId="187" fontId="238" fillId="3" borderId="20" xfId="0" applyNumberFormat="1" applyFont="1" applyFill="1" applyBorder="1" applyAlignment="1" applyProtection="1">
      <alignment horizontal="center" vertical="center" wrapText="1" shrinkToFit="1"/>
      <protection locked="0"/>
    </xf>
    <xf numFmtId="187" fontId="238" fillId="0" borderId="19" xfId="0" applyNumberFormat="1" applyFont="1" applyFill="1" applyBorder="1" applyAlignment="1" applyProtection="1">
      <alignment horizontal="center" vertical="center" wrapText="1" shrinkToFit="1"/>
    </xf>
    <xf numFmtId="187" fontId="238" fillId="0" borderId="20" xfId="0" applyNumberFormat="1" applyFont="1" applyFill="1" applyBorder="1" applyAlignment="1" applyProtection="1">
      <alignment horizontal="center" vertical="center" wrapText="1" shrinkToFit="1"/>
    </xf>
    <xf numFmtId="187" fontId="238" fillId="0" borderId="7" xfId="0" applyNumberFormat="1" applyFont="1" applyFill="1" applyBorder="1" applyAlignment="1" applyProtection="1">
      <alignment horizontal="center" vertical="center" wrapText="1" shrinkToFit="1"/>
      <protection locked="0"/>
    </xf>
    <xf numFmtId="187" fontId="238" fillId="0" borderId="1" xfId="0" applyNumberFormat="1" applyFont="1" applyFill="1" applyBorder="1" applyAlignment="1" applyProtection="1">
      <alignment horizontal="center" vertical="center"/>
      <protection locked="0"/>
    </xf>
    <xf numFmtId="187" fontId="238" fillId="3" borderId="1" xfId="0" applyNumberFormat="1" applyFont="1" applyFill="1" applyBorder="1" applyAlignment="1" applyProtection="1">
      <alignment horizontal="center" vertical="center"/>
      <protection locked="0"/>
    </xf>
    <xf numFmtId="0" fontId="227" fillId="0" borderId="1" xfId="0" applyFont="1" applyFill="1" applyBorder="1" applyAlignment="1" applyProtection="1">
      <alignment horizontal="center" vertical="center"/>
      <protection locked="0"/>
    </xf>
    <xf numFmtId="0" fontId="227" fillId="0" borderId="1" xfId="0" applyFont="1" applyFill="1" applyBorder="1" applyAlignment="1" applyProtection="1">
      <alignment vertical="center"/>
      <protection locked="0"/>
    </xf>
    <xf numFmtId="190" fontId="227" fillId="0" borderId="0" xfId="0" applyNumberFormat="1" applyFont="1" applyFill="1" applyBorder="1" applyAlignment="1" applyProtection="1">
      <alignment horizontal="center" vertical="center" wrapText="1" shrinkToFit="1"/>
    </xf>
    <xf numFmtId="0" fontId="238" fillId="0" borderId="0" xfId="0" applyFont="1" applyFill="1" applyBorder="1" applyAlignment="1" applyProtection="1">
      <alignment horizontal="center" vertical="center" wrapText="1"/>
      <protection locked="0"/>
    </xf>
    <xf numFmtId="0" fontId="227" fillId="0" borderId="0" xfId="0" applyFont="1" applyFill="1" applyBorder="1" applyAlignment="1" applyProtection="1">
      <alignment horizontal="center" vertical="center" wrapText="1" shrinkToFit="1"/>
      <protection locked="0"/>
    </xf>
    <xf numFmtId="0" fontId="238" fillId="0" borderId="0" xfId="0" applyNumberFormat="1" applyFont="1" applyFill="1" applyBorder="1" applyAlignment="1" applyProtection="1">
      <alignment horizontal="center" vertical="center" shrinkToFit="1"/>
      <protection locked="0"/>
    </xf>
    <xf numFmtId="0" fontId="227" fillId="0" borderId="0" xfId="0" applyNumberFormat="1" applyFont="1" applyFill="1" applyBorder="1" applyAlignment="1" applyProtection="1">
      <alignment horizontal="center" vertical="center" wrapText="1"/>
      <protection locked="0"/>
    </xf>
    <xf numFmtId="0" fontId="238" fillId="0" borderId="0" xfId="0" applyFont="1" applyFill="1" applyBorder="1" applyAlignment="1" applyProtection="1">
      <alignment horizontal="center" vertical="center" wrapText="1" shrinkToFit="1"/>
      <protection locked="0"/>
    </xf>
    <xf numFmtId="0" fontId="227" fillId="0" borderId="0" xfId="0" applyFont="1" applyFill="1" applyBorder="1" applyAlignment="1" applyProtection="1">
      <alignment horizontal="center" vertical="center" wrapText="1"/>
      <protection locked="0"/>
    </xf>
    <xf numFmtId="190" fontId="226" fillId="0" borderId="1" xfId="0" applyNumberFormat="1" applyFont="1" applyFill="1" applyBorder="1" applyAlignment="1" applyProtection="1">
      <alignment horizontal="center" vertical="center" wrapText="1" shrinkToFit="1"/>
    </xf>
    <xf numFmtId="0" fontId="244" fillId="0" borderId="1" xfId="0" applyFont="1" applyFill="1" applyBorder="1" applyAlignment="1" applyProtection="1">
      <alignment horizontal="center" vertical="center"/>
      <protection locked="0"/>
    </xf>
    <xf numFmtId="0" fontId="245" fillId="0" borderId="1" xfId="0" applyNumberFormat="1" applyFont="1" applyFill="1" applyBorder="1" applyAlignment="1" applyProtection="1">
      <alignment horizontal="center" vertical="center" wrapText="1"/>
      <protection locked="0"/>
    </xf>
    <xf numFmtId="186" fontId="245" fillId="0" borderId="1" xfId="0" applyNumberFormat="1" applyFont="1" applyFill="1" applyBorder="1" applyAlignment="1" applyProtection="1">
      <alignment horizontal="center" vertical="center" wrapText="1"/>
      <protection locked="0"/>
    </xf>
    <xf numFmtId="196" fontId="235" fillId="0" borderId="1" xfId="0" applyNumberFormat="1" applyFont="1" applyFill="1" applyBorder="1" applyAlignment="1" applyProtection="1">
      <alignment horizontal="center" vertical="center"/>
      <protection locked="0"/>
    </xf>
    <xf numFmtId="187" fontId="235" fillId="0" borderId="17" xfId="0" applyNumberFormat="1" applyFont="1" applyFill="1" applyBorder="1" applyAlignment="1" applyProtection="1">
      <alignment horizontal="center" vertical="center" wrapText="1" shrinkToFit="1"/>
    </xf>
    <xf numFmtId="187" fontId="235" fillId="0" borderId="16" xfId="0" applyNumberFormat="1" applyFont="1" applyFill="1" applyBorder="1" applyAlignment="1" applyProtection="1">
      <alignment horizontal="center" vertical="center" wrapText="1" shrinkToFit="1"/>
    </xf>
    <xf numFmtId="187" fontId="235" fillId="0" borderId="18" xfId="0" applyNumberFormat="1" applyFont="1" applyFill="1" applyBorder="1" applyAlignment="1" applyProtection="1">
      <alignment horizontal="center" vertical="center" wrapText="1" shrinkToFit="1"/>
    </xf>
    <xf numFmtId="0" fontId="226" fillId="0" borderId="23" xfId="0" applyFont="1" applyFill="1" applyBorder="1" applyAlignment="1">
      <alignment vertical="center" wrapText="1"/>
    </xf>
    <xf numFmtId="187" fontId="235" fillId="0" borderId="19" xfId="0" applyNumberFormat="1" applyFont="1" applyFill="1" applyBorder="1" applyAlignment="1" applyProtection="1">
      <alignment horizontal="center" vertical="center" wrapText="1" shrinkToFit="1"/>
    </xf>
    <xf numFmtId="187" fontId="235" fillId="0" borderId="20" xfId="0" applyNumberFormat="1" applyFont="1" applyFill="1" applyBorder="1" applyAlignment="1" applyProtection="1">
      <alignment horizontal="center" vertical="center" wrapText="1" shrinkToFit="1"/>
    </xf>
    <xf numFmtId="187" fontId="235" fillId="0" borderId="9" xfId="0" applyNumberFormat="1" applyFont="1" applyFill="1" applyBorder="1" applyAlignment="1" applyProtection="1">
      <alignment horizontal="center" vertical="center" wrapText="1" shrinkToFit="1"/>
      <protection locked="0"/>
    </xf>
    <xf numFmtId="190" fontId="31" fillId="0" borderId="16" xfId="0" applyNumberFormat="1" applyFont="1" applyFill="1" applyBorder="1" applyAlignment="1" applyProtection="1">
      <alignment horizontal="center" vertical="center" wrapText="1" shrinkToFit="1"/>
    </xf>
    <xf numFmtId="0" fontId="83" fillId="0" borderId="1" xfId="0" applyFont="1" applyFill="1" applyBorder="1" applyAlignment="1" applyProtection="1">
      <alignment horizontal="center" vertical="center" wrapText="1"/>
      <protection locked="0"/>
    </xf>
    <xf numFmtId="0" fontId="31" fillId="0" borderId="1" xfId="0" applyFont="1" applyFill="1" applyBorder="1" applyAlignment="1" applyProtection="1">
      <alignment horizontal="center" vertical="center" wrapText="1" shrinkToFit="1"/>
      <protection locked="0"/>
    </xf>
    <xf numFmtId="0" fontId="83" fillId="0" borderId="1" xfId="0" applyNumberFormat="1" applyFont="1" applyFill="1" applyBorder="1" applyAlignment="1" applyProtection="1">
      <alignment horizontal="center" vertical="center" shrinkToFit="1"/>
      <protection locked="0"/>
    </xf>
    <xf numFmtId="0" fontId="31" fillId="0" borderId="1" xfId="0" applyNumberFormat="1" applyFont="1" applyFill="1" applyBorder="1" applyAlignment="1" applyProtection="1">
      <alignment horizontal="center" vertical="center" wrapText="1"/>
      <protection locked="0"/>
    </xf>
    <xf numFmtId="0" fontId="83" fillId="0" borderId="1" xfId="0" applyFont="1" applyFill="1" applyBorder="1" applyAlignment="1" applyProtection="1">
      <alignment horizontal="center" vertical="center" wrapText="1" shrinkToFit="1"/>
      <protection locked="0"/>
    </xf>
    <xf numFmtId="0" fontId="228" fillId="0" borderId="1" xfId="0" applyFont="1" applyFill="1" applyBorder="1" applyAlignment="1" applyProtection="1">
      <alignment horizontal="center" vertical="center" wrapText="1"/>
      <protection locked="0"/>
    </xf>
    <xf numFmtId="0" fontId="83" fillId="0" borderId="1" xfId="0" applyFont="1" applyFill="1" applyBorder="1" applyAlignment="1" applyProtection="1">
      <alignment horizontal="center" vertical="center"/>
      <protection locked="0"/>
    </xf>
    <xf numFmtId="190" fontId="31" fillId="0" borderId="1" xfId="0" applyNumberFormat="1" applyFont="1" applyFill="1" applyBorder="1" applyAlignment="1" applyProtection="1">
      <alignment horizontal="center" vertical="center" wrapText="1" shrinkToFit="1"/>
      <protection locked="0"/>
    </xf>
    <xf numFmtId="190" fontId="31" fillId="0" borderId="1" xfId="0" applyNumberFormat="1" applyFont="1" applyFill="1" applyBorder="1" applyAlignment="1" applyProtection="1">
      <alignment horizontal="center" vertical="center" wrapText="1" shrinkToFit="1"/>
    </xf>
    <xf numFmtId="186" fontId="31" fillId="0" borderId="1" xfId="0" applyNumberFormat="1" applyFont="1" applyFill="1" applyBorder="1" applyAlignment="1" applyProtection="1">
      <alignment horizontal="center" vertical="center" wrapText="1"/>
      <protection locked="0"/>
    </xf>
    <xf numFmtId="186" fontId="246" fillId="0" borderId="1" xfId="0" applyNumberFormat="1" applyFont="1" applyFill="1" applyBorder="1" applyAlignment="1" applyProtection="1">
      <alignment horizontal="center" vertical="center" wrapText="1"/>
      <protection locked="0"/>
    </xf>
    <xf numFmtId="186" fontId="31" fillId="0" borderId="1" xfId="0" applyNumberFormat="1" applyFont="1" applyFill="1" applyBorder="1" applyAlignment="1" applyProtection="1">
      <alignment horizontal="center" vertical="center" wrapText="1"/>
    </xf>
    <xf numFmtId="192" fontId="228" fillId="0" borderId="1" xfId="0" applyNumberFormat="1" applyFont="1" applyFill="1" applyBorder="1" applyAlignment="1" applyProtection="1">
      <alignment horizontal="center" vertical="center" wrapText="1"/>
      <protection locked="0"/>
    </xf>
    <xf numFmtId="192" fontId="31" fillId="0" borderId="1" xfId="0" applyNumberFormat="1" applyFont="1" applyFill="1" applyBorder="1" applyAlignment="1" applyProtection="1">
      <alignment horizontal="center" vertical="center" wrapText="1"/>
      <protection locked="0"/>
    </xf>
    <xf numFmtId="0" fontId="228" fillId="0" borderId="1" xfId="0" applyNumberFormat="1" applyFont="1" applyFill="1" applyBorder="1" applyAlignment="1" applyProtection="1">
      <alignment horizontal="center" vertical="center" wrapText="1"/>
      <protection locked="0"/>
    </xf>
    <xf numFmtId="196" fontId="83" fillId="0" borderId="1" xfId="0" applyNumberFormat="1" applyFont="1" applyFill="1" applyBorder="1" applyAlignment="1" applyProtection="1">
      <alignment horizontal="center" vertical="center"/>
      <protection locked="0"/>
    </xf>
    <xf numFmtId="185" fontId="83" fillId="0" borderId="1" xfId="0" applyNumberFormat="1" applyFont="1" applyFill="1" applyBorder="1" applyAlignment="1" applyProtection="1">
      <alignment horizontal="center" vertical="center"/>
      <protection locked="0"/>
    </xf>
    <xf numFmtId="0" fontId="236" fillId="0" borderId="1" xfId="0" applyFont="1" applyFill="1" applyBorder="1" applyAlignment="1" applyProtection="1">
      <alignment horizontal="center" vertical="center"/>
      <protection locked="0"/>
    </xf>
    <xf numFmtId="0" fontId="83" fillId="0" borderId="7" xfId="0" applyNumberFormat="1" applyFont="1" applyFill="1" applyBorder="1" applyAlignment="1" applyProtection="1">
      <alignment horizontal="center" vertical="center"/>
      <protection locked="0"/>
    </xf>
    <xf numFmtId="187" fontId="83" fillId="0" borderId="6" xfId="0" applyNumberFormat="1" applyFont="1" applyFill="1" applyBorder="1" applyAlignment="1" applyProtection="1">
      <alignment horizontal="center" vertical="center" wrapText="1" shrinkToFit="1"/>
      <protection locked="0"/>
    </xf>
    <xf numFmtId="187" fontId="83" fillId="0" borderId="19" xfId="0" applyNumberFormat="1" applyFont="1" applyFill="1" applyBorder="1" applyAlignment="1" applyProtection="1">
      <alignment horizontal="center" vertical="center" wrapText="1" shrinkToFit="1"/>
    </xf>
    <xf numFmtId="187" fontId="83" fillId="0" borderId="1" xfId="0" applyNumberFormat="1" applyFont="1" applyFill="1" applyBorder="1" applyAlignment="1" applyProtection="1">
      <alignment horizontal="center" vertical="center" wrapText="1" shrinkToFit="1"/>
    </xf>
    <xf numFmtId="187" fontId="83" fillId="0" borderId="20" xfId="0" applyNumberFormat="1" applyFont="1" applyFill="1" applyBorder="1" applyAlignment="1" applyProtection="1">
      <alignment horizontal="center" vertical="center" wrapText="1" shrinkToFit="1"/>
    </xf>
    <xf numFmtId="187" fontId="83" fillId="0" borderId="7" xfId="0" applyNumberFormat="1" applyFont="1" applyFill="1" applyBorder="1" applyAlignment="1" applyProtection="1">
      <alignment horizontal="center" vertical="center" wrapText="1" shrinkToFit="1"/>
      <protection locked="0"/>
    </xf>
    <xf numFmtId="187" fontId="236" fillId="0" borderId="1" xfId="0" applyNumberFormat="1" applyFont="1" applyFill="1" applyBorder="1" applyAlignment="1" applyProtection="1">
      <alignment horizontal="center" vertical="center" wrapText="1" shrinkToFit="1"/>
      <protection locked="0"/>
    </xf>
    <xf numFmtId="187" fontId="83" fillId="0" borderId="7" xfId="0" applyNumberFormat="1" applyFont="1" applyFill="1" applyBorder="1" applyAlignment="1" applyProtection="1">
      <alignment horizontal="center" vertical="center"/>
      <protection locked="0"/>
    </xf>
    <xf numFmtId="187" fontId="83" fillId="0" borderId="1" xfId="0" applyNumberFormat="1" applyFont="1" applyFill="1" applyBorder="1" applyAlignment="1" applyProtection="1">
      <alignment horizontal="center" vertical="center"/>
      <protection locked="0"/>
    </xf>
    <xf numFmtId="0" fontId="31" fillId="0" borderId="1" xfId="0" applyFont="1" applyFill="1" applyBorder="1" applyAlignment="1" applyProtection="1">
      <alignment horizontal="center" vertical="center" wrapText="1"/>
      <protection locked="0"/>
    </xf>
    <xf numFmtId="187" fontId="83" fillId="0" borderId="9" xfId="0" applyNumberFormat="1" applyFont="1" applyFill="1" applyBorder="1" applyAlignment="1" applyProtection="1">
      <alignment horizontal="center" vertical="center" wrapText="1" shrinkToFit="1"/>
      <protection locked="0"/>
    </xf>
    <xf numFmtId="187" fontId="83" fillId="3" borderId="9" xfId="0" applyNumberFormat="1" applyFont="1" applyFill="1" applyBorder="1" applyAlignment="1" applyProtection="1">
      <alignment horizontal="center" vertical="center" wrapText="1" shrinkToFit="1"/>
      <protection locked="0"/>
    </xf>
    <xf numFmtId="187" fontId="83" fillId="0" borderId="10" xfId="0" applyNumberFormat="1" applyFont="1" applyFill="1" applyBorder="1" applyAlignment="1" applyProtection="1">
      <alignment horizontal="center" vertical="center"/>
      <protection locked="0"/>
    </xf>
    <xf numFmtId="187" fontId="83" fillId="0" borderId="101" xfId="0" applyNumberFormat="1" applyFont="1" applyFill="1" applyBorder="1" applyAlignment="1" applyProtection="1">
      <alignment horizontal="center" vertical="center" wrapText="1" shrinkToFit="1"/>
      <protection locked="0"/>
    </xf>
    <xf numFmtId="187" fontId="83" fillId="0" borderId="13" xfId="0" applyNumberFormat="1" applyFont="1" applyFill="1" applyBorder="1" applyAlignment="1" applyProtection="1">
      <alignment horizontal="center" vertical="center"/>
      <protection locked="0"/>
    </xf>
    <xf numFmtId="187" fontId="83" fillId="0" borderId="9" xfId="0" applyNumberFormat="1" applyFont="1" applyFill="1" applyBorder="1" applyAlignment="1" applyProtection="1">
      <alignment horizontal="center" vertical="center"/>
      <protection locked="0"/>
    </xf>
    <xf numFmtId="0" fontId="83" fillId="0" borderId="9" xfId="0" applyNumberFormat="1" applyFont="1" applyFill="1" applyBorder="1" applyAlignment="1" applyProtection="1">
      <alignment horizontal="center" vertical="center"/>
      <protection locked="0"/>
    </xf>
    <xf numFmtId="0" fontId="83" fillId="3" borderId="9" xfId="0" applyNumberFormat="1" applyFont="1" applyFill="1" applyBorder="1" applyAlignment="1" applyProtection="1">
      <alignment horizontal="center" vertical="center"/>
      <protection locked="0"/>
    </xf>
    <xf numFmtId="187" fontId="83" fillId="0" borderId="23" xfId="0" applyNumberFormat="1" applyFont="1" applyFill="1" applyBorder="1" applyAlignment="1" applyProtection="1">
      <alignment horizontal="center" vertical="center" wrapText="1" shrinkToFit="1"/>
      <protection locked="0"/>
    </xf>
    <xf numFmtId="187" fontId="83" fillId="3" borderId="23" xfId="0" applyNumberFormat="1" applyFont="1" applyFill="1" applyBorder="1" applyAlignment="1" applyProtection="1">
      <alignment horizontal="center" vertical="center" wrapText="1" shrinkToFit="1"/>
      <protection locked="0"/>
    </xf>
    <xf numFmtId="187" fontId="83" fillId="0" borderId="23" xfId="0" applyNumberFormat="1" applyFont="1" applyFill="1" applyBorder="1" applyAlignment="1" applyProtection="1">
      <alignment horizontal="center" vertical="center"/>
      <protection locked="0"/>
    </xf>
    <xf numFmtId="0" fontId="83" fillId="3" borderId="6" xfId="0" applyNumberFormat="1" applyFont="1" applyFill="1" applyBorder="1" applyAlignment="1" applyProtection="1">
      <alignment horizontal="center" vertical="center"/>
      <protection locked="0"/>
    </xf>
    <xf numFmtId="0" fontId="83" fillId="0" borderId="23" xfId="0" applyNumberFormat="1" applyFont="1" applyFill="1" applyBorder="1" applyAlignment="1" applyProtection="1">
      <alignment horizontal="center" vertical="center"/>
      <protection locked="0"/>
    </xf>
    <xf numFmtId="187" fontId="83" fillId="0" borderId="7" xfId="0" applyNumberFormat="1" applyFont="1" applyFill="1" applyBorder="1" applyAlignment="1" applyProtection="1">
      <alignment horizontal="center" vertical="center" wrapText="1" shrinkToFit="1"/>
    </xf>
    <xf numFmtId="187" fontId="83" fillId="3" borderId="20" xfId="0" applyNumberFormat="1" applyFont="1" applyFill="1" applyBorder="1" applyAlignment="1" applyProtection="1">
      <alignment horizontal="center" vertical="center" wrapText="1" shrinkToFit="1"/>
    </xf>
    <xf numFmtId="187" fontId="83" fillId="3" borderId="7" xfId="0" applyNumberFormat="1" applyFont="1" applyFill="1" applyBorder="1" applyAlignment="1" applyProtection="1">
      <alignment horizontal="center" vertical="center" wrapText="1" shrinkToFit="1"/>
      <protection locked="0"/>
    </xf>
    <xf numFmtId="187" fontId="83" fillId="0" borderId="6" xfId="0" applyNumberFormat="1" applyFont="1" applyFill="1" applyBorder="1" applyAlignment="1" applyProtection="1">
      <alignment horizontal="center" vertical="center"/>
      <protection locked="0"/>
    </xf>
    <xf numFmtId="187" fontId="236" fillId="0" borderId="23" xfId="0" applyNumberFormat="1" applyFont="1" applyFill="1" applyBorder="1" applyAlignment="1" applyProtection="1">
      <alignment horizontal="center" vertical="center"/>
      <protection locked="0"/>
    </xf>
    <xf numFmtId="187" fontId="83" fillId="3" borderId="23" xfId="0" applyNumberFormat="1" applyFont="1" applyFill="1" applyBorder="1" applyAlignment="1" applyProtection="1">
      <alignment horizontal="center" vertical="center"/>
      <protection locked="0"/>
    </xf>
    <xf numFmtId="0" fontId="31" fillId="0" borderId="23" xfId="0" applyFont="1" applyFill="1" applyBorder="1" applyAlignment="1" applyProtection="1">
      <alignment horizontal="center" vertical="center"/>
      <protection locked="0"/>
    </xf>
    <xf numFmtId="190" fontId="31" fillId="3" borderId="16" xfId="0" applyNumberFormat="1" applyFont="1" applyFill="1" applyBorder="1" applyAlignment="1" applyProtection="1">
      <alignment horizontal="center" vertical="center" wrapText="1" shrinkToFit="1"/>
    </xf>
    <xf numFmtId="0" fontId="83" fillId="3" borderId="1" xfId="0" applyFont="1" applyFill="1" applyBorder="1" applyAlignment="1" applyProtection="1">
      <alignment horizontal="center" vertical="center" wrapText="1"/>
      <protection locked="0"/>
    </xf>
    <xf numFmtId="0" fontId="31" fillId="3" borderId="1" xfId="0" applyFont="1" applyFill="1" applyBorder="1" applyAlignment="1" applyProtection="1">
      <alignment horizontal="center" vertical="center" wrapText="1" shrinkToFit="1"/>
      <protection locked="0"/>
    </xf>
    <xf numFmtId="0" fontId="83" fillId="3" borderId="1" xfId="0" applyNumberFormat="1" applyFont="1" applyFill="1" applyBorder="1" applyAlignment="1" applyProtection="1">
      <alignment horizontal="center" vertical="center" shrinkToFit="1"/>
      <protection locked="0"/>
    </xf>
    <xf numFmtId="0" fontId="31" fillId="3" borderId="1" xfId="0" applyNumberFormat="1" applyFont="1" applyFill="1" applyBorder="1" applyAlignment="1" applyProtection="1">
      <alignment horizontal="center" vertical="center" wrapText="1"/>
      <protection locked="0"/>
    </xf>
    <xf numFmtId="0" fontId="83" fillId="3" borderId="1" xfId="0" applyFont="1" applyFill="1" applyBorder="1" applyAlignment="1" applyProtection="1">
      <alignment horizontal="center" vertical="center" wrapText="1" shrinkToFit="1"/>
      <protection locked="0"/>
    </xf>
    <xf numFmtId="0" fontId="31" fillId="3" borderId="1" xfId="0" applyFont="1" applyFill="1" applyBorder="1" applyAlignment="1" applyProtection="1">
      <alignment horizontal="center" vertical="center" wrapText="1"/>
      <protection locked="0"/>
    </xf>
    <xf numFmtId="190" fontId="228" fillId="0" borderId="16" xfId="0" applyNumberFormat="1" applyFont="1" applyFill="1" applyBorder="1" applyAlignment="1" applyProtection="1">
      <alignment horizontal="center" vertical="center" wrapText="1" shrinkToFit="1"/>
    </xf>
    <xf numFmtId="0" fontId="236" fillId="0" borderId="1" xfId="0" applyFont="1" applyFill="1" applyBorder="1" applyAlignment="1" applyProtection="1">
      <alignment horizontal="center" vertical="center" wrapText="1"/>
      <protection locked="0"/>
    </xf>
    <xf numFmtId="0" fontId="228" fillId="0" borderId="1" xfId="0" applyFont="1" applyFill="1" applyBorder="1" applyAlignment="1" applyProtection="1">
      <alignment horizontal="center" vertical="center" wrapText="1" shrinkToFit="1"/>
      <protection locked="0"/>
    </xf>
    <xf numFmtId="0" fontId="236" fillId="0" borderId="1" xfId="0" applyNumberFormat="1" applyFont="1" applyFill="1" applyBorder="1" applyAlignment="1" applyProtection="1">
      <alignment horizontal="center" vertical="center" shrinkToFit="1"/>
      <protection locked="0"/>
    </xf>
    <xf numFmtId="0" fontId="236" fillId="0" borderId="1" xfId="0" applyFont="1" applyFill="1" applyBorder="1" applyAlignment="1" applyProtection="1">
      <alignment horizontal="center" vertical="center" wrapText="1" shrinkToFit="1"/>
      <protection locked="0"/>
    </xf>
    <xf numFmtId="190" fontId="228" fillId="0" borderId="1" xfId="0" applyNumberFormat="1" applyFont="1" applyFill="1" applyBorder="1" applyAlignment="1" applyProtection="1">
      <alignment horizontal="center" vertical="center" wrapText="1" shrinkToFit="1"/>
      <protection locked="0"/>
    </xf>
    <xf numFmtId="190" fontId="228" fillId="0" borderId="1" xfId="0" applyNumberFormat="1" applyFont="1" applyFill="1" applyBorder="1" applyAlignment="1" applyProtection="1">
      <alignment horizontal="center" vertical="center" wrapText="1" shrinkToFit="1"/>
    </xf>
    <xf numFmtId="186" fontId="228" fillId="0" borderId="1" xfId="0" applyNumberFormat="1" applyFont="1" applyFill="1" applyBorder="1" applyAlignment="1" applyProtection="1">
      <alignment horizontal="center" vertical="center" wrapText="1"/>
      <protection locked="0"/>
    </xf>
    <xf numFmtId="0" fontId="247" fillId="0" borderId="1" xfId="0" applyFont="1" applyFill="1" applyBorder="1" applyAlignment="1" applyProtection="1">
      <alignment horizontal="center" vertical="center"/>
      <protection locked="0"/>
    </xf>
    <xf numFmtId="186" fontId="228" fillId="0" borderId="1" xfId="0" applyNumberFormat="1" applyFont="1" applyFill="1" applyBorder="1" applyAlignment="1" applyProtection="1">
      <alignment horizontal="center" vertical="center" wrapText="1"/>
    </xf>
    <xf numFmtId="196" fontId="236" fillId="0" borderId="1" xfId="0" applyNumberFormat="1" applyFont="1" applyFill="1" applyBorder="1" applyAlignment="1" applyProtection="1">
      <alignment horizontal="center" vertical="center"/>
      <protection locked="0"/>
    </xf>
    <xf numFmtId="185" fontId="236" fillId="0" borderId="1" xfId="0" applyNumberFormat="1" applyFont="1" applyFill="1" applyBorder="1" applyAlignment="1" applyProtection="1">
      <alignment horizontal="center" vertical="center"/>
      <protection locked="0"/>
    </xf>
    <xf numFmtId="0" fontId="236" fillId="0" borderId="7" xfId="0" applyNumberFormat="1" applyFont="1" applyFill="1" applyBorder="1" applyAlignment="1" applyProtection="1">
      <alignment horizontal="center" vertical="center"/>
      <protection locked="0"/>
    </xf>
    <xf numFmtId="0" fontId="236" fillId="0" borderId="1" xfId="0" applyNumberFormat="1" applyFont="1" applyFill="1" applyBorder="1" applyAlignment="1" applyProtection="1">
      <alignment horizontal="center" vertical="center"/>
      <protection locked="0"/>
    </xf>
    <xf numFmtId="0" fontId="236" fillId="3" borderId="6" xfId="0" applyNumberFormat="1" applyFont="1" applyFill="1" applyBorder="1" applyAlignment="1" applyProtection="1">
      <alignment horizontal="center" vertical="center"/>
      <protection locked="0"/>
    </xf>
    <xf numFmtId="187" fontId="236" fillId="0" borderId="23" xfId="0" applyNumberFormat="1" applyFont="1" applyFill="1" applyBorder="1" applyAlignment="1" applyProtection="1">
      <alignment horizontal="center" vertical="center" wrapText="1" shrinkToFit="1"/>
      <protection locked="0"/>
    </xf>
    <xf numFmtId="187" fontId="236" fillId="3" borderId="23" xfId="0" applyNumberFormat="1" applyFont="1" applyFill="1" applyBorder="1" applyAlignment="1" applyProtection="1">
      <alignment horizontal="center" vertical="center" wrapText="1" shrinkToFit="1"/>
      <protection locked="0"/>
    </xf>
    <xf numFmtId="187" fontId="236" fillId="0" borderId="23" xfId="0" applyNumberFormat="1" applyFont="1" applyFill="1" applyBorder="1" applyAlignment="1" applyProtection="1">
      <alignment horizontal="center" vertical="center" wrapText="1" shrinkToFit="1"/>
    </xf>
    <xf numFmtId="187" fontId="236" fillId="3" borderId="23" xfId="0" applyNumberFormat="1" applyFont="1" applyFill="1" applyBorder="1" applyAlignment="1" applyProtection="1">
      <alignment horizontal="center" vertical="center" wrapText="1" shrinkToFit="1"/>
    </xf>
    <xf numFmtId="187" fontId="236" fillId="0" borderId="7" xfId="0" applyNumberFormat="1" applyFont="1" applyFill="1" applyBorder="1" applyAlignment="1" applyProtection="1">
      <alignment horizontal="center" vertical="center" wrapText="1" shrinkToFit="1"/>
    </xf>
    <xf numFmtId="187" fontId="236" fillId="0" borderId="1" xfId="0" applyNumberFormat="1" applyFont="1" applyFill="1" applyBorder="1" applyAlignment="1" applyProtection="1">
      <alignment horizontal="center" vertical="center" wrapText="1" shrinkToFit="1"/>
    </xf>
    <xf numFmtId="187" fontId="236" fillId="3" borderId="20" xfId="0" applyNumberFormat="1" applyFont="1" applyFill="1" applyBorder="1" applyAlignment="1" applyProtection="1">
      <alignment horizontal="center" vertical="center" wrapText="1" shrinkToFit="1"/>
    </xf>
    <xf numFmtId="187" fontId="236" fillId="3" borderId="1" xfId="0" applyNumberFormat="1" applyFont="1" applyFill="1" applyBorder="1" applyAlignment="1" applyProtection="1">
      <alignment horizontal="center" vertical="center" wrapText="1" shrinkToFit="1"/>
      <protection locked="0"/>
    </xf>
    <xf numFmtId="187" fontId="236" fillId="0" borderId="1" xfId="0" applyNumberFormat="1" applyFont="1" applyFill="1" applyBorder="1" applyAlignment="1" applyProtection="1">
      <alignment horizontal="center" vertical="center"/>
      <protection locked="0"/>
    </xf>
    <xf numFmtId="187" fontId="236" fillId="0" borderId="6" xfId="0" applyNumberFormat="1" applyFont="1" applyFill="1" applyBorder="1" applyAlignment="1" applyProtection="1">
      <alignment horizontal="center" vertical="center"/>
      <protection locked="0"/>
    </xf>
    <xf numFmtId="0" fontId="228" fillId="0" borderId="102" xfId="0" applyFont="1" applyFill="1" applyBorder="1" applyAlignment="1" applyProtection="1">
      <alignment horizontal="center" vertical="center"/>
      <protection locked="0"/>
    </xf>
    <xf numFmtId="0" fontId="228" fillId="0" borderId="23" xfId="0" applyFont="1" applyFill="1" applyBorder="1" applyAlignment="1" applyProtection="1">
      <alignment horizontal="center" vertical="center"/>
      <protection locked="0"/>
    </xf>
    <xf numFmtId="0" fontId="228" fillId="3" borderId="23" xfId="0" applyFont="1" applyFill="1" applyBorder="1" applyAlignment="1" applyProtection="1">
      <alignment horizontal="center" vertical="center"/>
      <protection locked="0"/>
    </xf>
    <xf numFmtId="0" fontId="83" fillId="0" borderId="16" xfId="0" applyNumberFormat="1" applyFont="1" applyFill="1" applyBorder="1" applyAlignment="1" applyProtection="1">
      <alignment horizontal="center" vertical="center"/>
      <protection locked="0"/>
    </xf>
    <xf numFmtId="0" fontId="83" fillId="3" borderId="16" xfId="0" applyNumberFormat="1" applyFont="1" applyFill="1" applyBorder="1" applyAlignment="1" applyProtection="1">
      <alignment horizontal="center" vertical="center"/>
      <protection locked="0"/>
    </xf>
    <xf numFmtId="187" fontId="83" fillId="3" borderId="16" xfId="0" applyNumberFormat="1" applyFont="1" applyFill="1" applyBorder="1" applyAlignment="1" applyProtection="1">
      <alignment horizontal="center" vertical="center" wrapText="1" shrinkToFit="1"/>
      <protection locked="0"/>
    </xf>
    <xf numFmtId="187" fontId="83" fillId="0" borderId="16" xfId="0" applyNumberFormat="1" applyFont="1" applyFill="1" applyBorder="1" applyAlignment="1" applyProtection="1">
      <alignment horizontal="center" vertical="center" wrapText="1" shrinkToFit="1"/>
      <protection locked="0"/>
    </xf>
    <xf numFmtId="187" fontId="236" fillId="0" borderId="16" xfId="0" applyNumberFormat="1" applyFont="1" applyFill="1" applyBorder="1" applyAlignment="1" applyProtection="1">
      <alignment horizontal="center" vertical="center" wrapText="1" shrinkToFit="1"/>
      <protection locked="0"/>
    </xf>
    <xf numFmtId="187" fontId="83" fillId="0" borderId="15" xfId="0" applyNumberFormat="1" applyFont="1" applyFill="1" applyBorder="1" applyAlignment="1" applyProtection="1">
      <alignment horizontal="center" vertical="center"/>
      <protection locked="0"/>
    </xf>
    <xf numFmtId="187" fontId="83" fillId="0" borderId="103" xfId="0" applyNumberFormat="1" applyFont="1" applyFill="1" applyBorder="1" applyAlignment="1" applyProtection="1">
      <alignment horizontal="center" vertical="center" wrapText="1" shrinkToFit="1"/>
      <protection locked="0"/>
    </xf>
    <xf numFmtId="187" fontId="83" fillId="0" borderId="14" xfId="0" applyNumberFormat="1" applyFont="1" applyFill="1" applyBorder="1" applyAlignment="1" applyProtection="1">
      <alignment horizontal="center" vertical="center"/>
      <protection locked="0"/>
    </xf>
    <xf numFmtId="187" fontId="83" fillId="0" borderId="16" xfId="0" applyNumberFormat="1" applyFont="1" applyFill="1" applyBorder="1" applyAlignment="1" applyProtection="1">
      <alignment horizontal="center" vertical="center"/>
      <protection locked="0"/>
    </xf>
    <xf numFmtId="189" fontId="236" fillId="0" borderId="1" xfId="0" applyNumberFormat="1" applyFont="1" applyFill="1" applyBorder="1" applyAlignment="1" applyProtection="1">
      <alignment horizontal="center" vertical="center"/>
      <protection locked="0"/>
    </xf>
    <xf numFmtId="187" fontId="236" fillId="0" borderId="6" xfId="0" applyNumberFormat="1" applyFont="1" applyFill="1" applyBorder="1" applyAlignment="1" applyProtection="1">
      <alignment horizontal="center" vertical="center" wrapText="1" shrinkToFit="1"/>
      <protection locked="0"/>
    </xf>
    <xf numFmtId="187" fontId="236" fillId="0" borderId="19" xfId="0" applyNumberFormat="1" applyFont="1" applyFill="1" applyBorder="1" applyAlignment="1" applyProtection="1">
      <alignment horizontal="center" vertical="center" wrapText="1" shrinkToFit="1"/>
      <protection locked="0"/>
    </xf>
    <xf numFmtId="187" fontId="234" fillId="3" borderId="7" xfId="0" applyNumberFormat="1" applyFont="1" applyFill="1" applyBorder="1" applyAlignment="1" applyProtection="1">
      <alignment horizontal="center" vertical="center" wrapText="1" shrinkToFit="1"/>
      <protection locked="0"/>
    </xf>
    <xf numFmtId="187" fontId="236" fillId="0" borderId="19" xfId="0" applyNumberFormat="1" applyFont="1" applyFill="1" applyBorder="1" applyAlignment="1" applyProtection="1">
      <alignment horizontal="center" vertical="center" wrapText="1" shrinkToFit="1"/>
    </xf>
    <xf numFmtId="187" fontId="83" fillId="3" borderId="1" xfId="0" applyNumberFormat="1" applyFont="1" applyFill="1" applyBorder="1" applyAlignment="1" applyProtection="1">
      <alignment horizontal="center" vertical="center"/>
      <protection locked="0"/>
    </xf>
    <xf numFmtId="190" fontId="228" fillId="0" borderId="16" xfId="0" applyNumberFormat="1" applyFont="1" applyFill="1" applyBorder="1" applyAlignment="1" applyProtection="1">
      <alignment horizontal="center" vertical="center" wrapText="1" shrinkToFit="1"/>
    </xf>
    <xf numFmtId="0" fontId="236" fillId="0" borderId="1" xfId="0" applyFont="1" applyFill="1" applyBorder="1" applyAlignment="1" applyProtection="1">
      <alignment horizontal="center" vertical="center" wrapText="1"/>
      <protection locked="0"/>
    </xf>
    <xf numFmtId="0" fontId="228" fillId="0" borderId="1" xfId="0" applyFont="1" applyFill="1" applyBorder="1" applyAlignment="1" applyProtection="1">
      <alignment horizontal="center" vertical="center" wrapText="1" shrinkToFit="1"/>
      <protection locked="0"/>
    </xf>
    <xf numFmtId="0" fontId="236" fillId="0" borderId="1" xfId="0" applyNumberFormat="1" applyFont="1" applyFill="1" applyBorder="1" applyAlignment="1" applyProtection="1">
      <alignment horizontal="center" vertical="center" shrinkToFit="1"/>
      <protection locked="0"/>
    </xf>
    <xf numFmtId="0" fontId="228" fillId="0" borderId="1" xfId="0" applyNumberFormat="1" applyFont="1" applyFill="1" applyBorder="1" applyAlignment="1" applyProtection="1">
      <alignment horizontal="center" vertical="center" wrapText="1"/>
      <protection locked="0"/>
    </xf>
    <xf numFmtId="0" fontId="236" fillId="0" borderId="1" xfId="0" applyFont="1" applyFill="1" applyBorder="1" applyAlignment="1" applyProtection="1">
      <alignment horizontal="center" vertical="center" wrapText="1" shrinkToFit="1"/>
      <protection locked="0"/>
    </xf>
    <xf numFmtId="0" fontId="228" fillId="0" borderId="1" xfId="0" applyFont="1" applyFill="1" applyBorder="1" applyAlignment="1" applyProtection="1">
      <alignment horizontal="center" vertical="center" wrapText="1"/>
      <protection locked="0"/>
    </xf>
    <xf numFmtId="0" fontId="236" fillId="0" borderId="1" xfId="0" applyFont="1" applyFill="1" applyBorder="1" applyAlignment="1" applyProtection="1">
      <alignment horizontal="center" vertical="center"/>
      <protection locked="0"/>
    </xf>
    <xf numFmtId="190" fontId="228" fillId="0" borderId="1" xfId="0" applyNumberFormat="1" applyFont="1" applyFill="1" applyBorder="1" applyAlignment="1" applyProtection="1">
      <alignment horizontal="center" vertical="center" wrapText="1" shrinkToFit="1"/>
      <protection locked="0"/>
    </xf>
    <xf numFmtId="190" fontId="228" fillId="0" borderId="1" xfId="0" applyNumberFormat="1" applyFont="1" applyFill="1" applyBorder="1" applyAlignment="1" applyProtection="1">
      <alignment horizontal="center" vertical="center" wrapText="1" shrinkToFit="1"/>
    </xf>
    <xf numFmtId="186" fontId="228" fillId="0" borderId="1" xfId="0" applyNumberFormat="1" applyFont="1" applyFill="1" applyBorder="1" applyAlignment="1" applyProtection="1">
      <alignment horizontal="center" vertical="center" wrapText="1"/>
      <protection locked="0"/>
    </xf>
    <xf numFmtId="0" fontId="247" fillId="0" borderId="1" xfId="0" applyFont="1" applyFill="1" applyBorder="1" applyAlignment="1" applyProtection="1">
      <alignment horizontal="center" vertical="center"/>
      <protection locked="0"/>
    </xf>
    <xf numFmtId="0" fontId="239" fillId="0" borderId="1" xfId="0" applyFont="1" applyFill="1" applyBorder="1" applyAlignment="1" applyProtection="1">
      <alignment horizontal="center" vertical="center"/>
      <protection locked="0"/>
    </xf>
    <xf numFmtId="0" fontId="233" fillId="0" borderId="1" xfId="0" applyNumberFormat="1" applyFont="1" applyFill="1" applyBorder="1" applyAlignment="1" applyProtection="1">
      <alignment horizontal="center" vertical="center" wrapText="1"/>
      <protection locked="0"/>
    </xf>
    <xf numFmtId="186" fontId="246" fillId="0" borderId="1" xfId="0" applyNumberFormat="1" applyFont="1" applyFill="1" applyBorder="1" applyAlignment="1" applyProtection="1">
      <alignment horizontal="center" vertical="center" wrapText="1"/>
      <protection locked="0"/>
    </xf>
    <xf numFmtId="186" fontId="228" fillId="0" borderId="1" xfId="0" applyNumberFormat="1" applyFont="1" applyFill="1" applyBorder="1" applyAlignment="1" applyProtection="1">
      <alignment horizontal="center" vertical="center" wrapText="1"/>
    </xf>
    <xf numFmtId="192" fontId="228" fillId="0" borderId="1" xfId="0" applyNumberFormat="1" applyFont="1" applyFill="1" applyBorder="1" applyAlignment="1" applyProtection="1">
      <alignment horizontal="center" vertical="center" wrapText="1"/>
      <protection locked="0"/>
    </xf>
    <xf numFmtId="196" fontId="236" fillId="0" borderId="1" xfId="0" applyNumberFormat="1" applyFont="1" applyFill="1" applyBorder="1" applyAlignment="1" applyProtection="1">
      <alignment horizontal="center" vertical="center"/>
      <protection locked="0"/>
    </xf>
    <xf numFmtId="185" fontId="236" fillId="0" borderId="1" xfId="0" applyNumberFormat="1" applyFont="1" applyFill="1" applyBorder="1" applyAlignment="1" applyProtection="1">
      <alignment horizontal="center" vertical="center"/>
      <protection locked="0"/>
    </xf>
    <xf numFmtId="0" fontId="236" fillId="0" borderId="7" xfId="0" applyNumberFormat="1" applyFont="1" applyFill="1" applyBorder="1" applyAlignment="1" applyProtection="1">
      <alignment horizontal="center" vertical="center"/>
      <protection locked="0"/>
    </xf>
    <xf numFmtId="0" fontId="236" fillId="0" borderId="1" xfId="0" applyNumberFormat="1" applyFont="1" applyFill="1" applyBorder="1" applyAlignment="1" applyProtection="1">
      <alignment horizontal="center" vertical="center"/>
      <protection locked="0"/>
    </xf>
    <xf numFmtId="187" fontId="236" fillId="0" borderId="1" xfId="0" applyNumberFormat="1" applyFont="1" applyFill="1" applyBorder="1" applyAlignment="1" applyProtection="1">
      <alignment horizontal="center" vertical="center" wrapText="1" shrinkToFit="1"/>
      <protection locked="0"/>
    </xf>
    <xf numFmtId="187" fontId="236" fillId="0" borderId="6" xfId="0" applyNumberFormat="1" applyFont="1" applyFill="1" applyBorder="1" applyAlignment="1" applyProtection="1">
      <alignment horizontal="center" vertical="center" wrapText="1" shrinkToFit="1"/>
      <protection locked="0"/>
    </xf>
    <xf numFmtId="187" fontId="236" fillId="0" borderId="19" xfId="0" applyNumberFormat="1" applyFont="1" applyFill="1" applyBorder="1" applyAlignment="1" applyProtection="1">
      <alignment horizontal="center" vertical="center" wrapText="1" shrinkToFit="1"/>
    </xf>
    <xf numFmtId="187" fontId="236" fillId="0" borderId="1" xfId="0" applyNumberFormat="1" applyFont="1" applyFill="1" applyBorder="1" applyAlignment="1" applyProtection="1">
      <alignment horizontal="center" vertical="center" wrapText="1" shrinkToFit="1"/>
    </xf>
    <xf numFmtId="187" fontId="83" fillId="0" borderId="19" xfId="0" applyNumberFormat="1" applyFont="1" applyFill="1" applyBorder="1" applyAlignment="1" applyProtection="1">
      <alignment horizontal="center" vertical="center" wrapText="1" shrinkToFit="1"/>
    </xf>
    <xf numFmtId="187" fontId="83" fillId="0" borderId="1" xfId="0" applyNumberFormat="1" applyFont="1" applyFill="1" applyBorder="1" applyAlignment="1" applyProtection="1">
      <alignment horizontal="center" vertical="center" wrapText="1" shrinkToFit="1"/>
    </xf>
    <xf numFmtId="187" fontId="83" fillId="0" borderId="20" xfId="0" applyNumberFormat="1" applyFont="1" applyFill="1" applyBorder="1" applyAlignment="1" applyProtection="1">
      <alignment horizontal="center" vertical="center" wrapText="1" shrinkToFit="1"/>
    </xf>
    <xf numFmtId="187" fontId="236" fillId="0" borderId="1" xfId="0" applyNumberFormat="1" applyFont="1" applyFill="1" applyBorder="1" applyAlignment="1" applyProtection="1">
      <alignment horizontal="center" vertical="center"/>
      <protection locked="0"/>
    </xf>
    <xf numFmtId="187" fontId="236" fillId="0" borderId="6" xfId="0" applyNumberFormat="1" applyFont="1" applyFill="1" applyBorder="1" applyAlignment="1" applyProtection="1">
      <alignment horizontal="center" vertical="center"/>
      <protection locked="0"/>
    </xf>
    <xf numFmtId="0" fontId="228" fillId="0" borderId="23" xfId="0" applyFont="1" applyFill="1" applyBorder="1" applyAlignment="1" applyProtection="1">
      <alignment horizontal="center" vertical="center"/>
      <protection locked="0"/>
    </xf>
    <xf numFmtId="0" fontId="228" fillId="0" borderId="23" xfId="0" applyFont="1" applyFill="1" applyBorder="1" applyAlignment="1" applyProtection="1">
      <alignment vertical="center"/>
      <protection locked="0"/>
    </xf>
    <xf numFmtId="186" fontId="125" fillId="0" borderId="1" xfId="0" applyNumberFormat="1" applyFont="1" applyFill="1" applyBorder="1" applyAlignment="1" applyProtection="1">
      <alignment horizontal="center" vertical="center" wrapText="1"/>
      <protection locked="0"/>
    </xf>
    <xf numFmtId="190" fontId="31" fillId="0" borderId="21" xfId="0" applyNumberFormat="1" applyFont="1" applyFill="1" applyBorder="1" applyAlignment="1" applyProtection="1">
      <alignment horizontal="center" vertical="center" wrapText="1" shrinkToFit="1"/>
    </xf>
    <xf numFmtId="0" fontId="83" fillId="0" borderId="9" xfId="0" applyFont="1" applyFill="1" applyBorder="1" applyAlignment="1" applyProtection="1">
      <alignment horizontal="center" vertical="center" wrapText="1"/>
      <protection locked="0"/>
    </xf>
    <xf numFmtId="0" fontId="31" fillId="0" borderId="9" xfId="0" applyFont="1" applyFill="1" applyBorder="1" applyAlignment="1" applyProtection="1">
      <alignment horizontal="center" vertical="center" wrapText="1" shrinkToFit="1"/>
      <protection locked="0"/>
    </xf>
    <xf numFmtId="0" fontId="83" fillId="0" borderId="9" xfId="0" applyNumberFormat="1" applyFont="1" applyFill="1" applyBorder="1" applyAlignment="1" applyProtection="1">
      <alignment horizontal="center" vertical="center" shrinkToFit="1"/>
      <protection locked="0"/>
    </xf>
    <xf numFmtId="0" fontId="31" fillId="0" borderId="9" xfId="0" applyNumberFormat="1" applyFont="1" applyFill="1" applyBorder="1" applyAlignment="1" applyProtection="1">
      <alignment horizontal="center" vertical="center" wrapText="1"/>
      <protection locked="0"/>
    </xf>
    <xf numFmtId="0" fontId="83" fillId="0" borderId="9" xfId="0" applyFont="1" applyFill="1" applyBorder="1" applyAlignment="1" applyProtection="1">
      <alignment horizontal="center" vertical="center" wrapText="1" shrinkToFit="1"/>
      <protection locked="0"/>
    </xf>
    <xf numFmtId="0" fontId="31" fillId="0" borderId="9" xfId="0" applyFont="1" applyFill="1" applyBorder="1" applyAlignment="1" applyProtection="1">
      <alignment horizontal="center" vertical="center" wrapText="1"/>
      <protection locked="0"/>
    </xf>
    <xf numFmtId="0" fontId="83" fillId="0" borderId="9" xfId="0" applyFont="1" applyFill="1" applyBorder="1" applyAlignment="1" applyProtection="1">
      <alignment horizontal="center" vertical="center"/>
      <protection locked="0"/>
    </xf>
    <xf numFmtId="190" fontId="31" fillId="0" borderId="9" xfId="0" applyNumberFormat="1" applyFont="1" applyFill="1" applyBorder="1" applyAlignment="1" applyProtection="1">
      <alignment horizontal="center" vertical="center" wrapText="1" shrinkToFit="1"/>
      <protection locked="0"/>
    </xf>
    <xf numFmtId="190" fontId="31" fillId="0" borderId="9" xfId="0" applyNumberFormat="1" applyFont="1" applyFill="1" applyBorder="1" applyAlignment="1" applyProtection="1">
      <alignment horizontal="center" vertical="center" wrapText="1" shrinkToFit="1"/>
    </xf>
    <xf numFmtId="186" fontId="31" fillId="0" borderId="9" xfId="0" applyNumberFormat="1" applyFont="1" applyFill="1" applyBorder="1" applyAlignment="1" applyProtection="1">
      <alignment horizontal="center" vertical="center" wrapText="1"/>
      <protection locked="0"/>
    </xf>
    <xf numFmtId="0" fontId="239" fillId="0" borderId="9" xfId="0" applyFont="1" applyFill="1" applyBorder="1" applyAlignment="1" applyProtection="1">
      <alignment horizontal="center" vertical="center"/>
      <protection locked="0"/>
    </xf>
    <xf numFmtId="0" fontId="233" fillId="0" borderId="9" xfId="0" applyNumberFormat="1" applyFont="1" applyFill="1" applyBorder="1" applyAlignment="1" applyProtection="1">
      <alignment horizontal="center" vertical="center" wrapText="1"/>
      <protection locked="0"/>
    </xf>
    <xf numFmtId="186" fontId="125" fillId="0" borderId="9" xfId="0" applyNumberFormat="1" applyFont="1" applyFill="1" applyBorder="1" applyAlignment="1" applyProtection="1">
      <alignment horizontal="center" vertical="center" wrapText="1"/>
      <protection locked="0"/>
    </xf>
    <xf numFmtId="186" fontId="31" fillId="0" borderId="9" xfId="0" applyNumberFormat="1" applyFont="1" applyFill="1" applyBorder="1" applyAlignment="1" applyProtection="1">
      <alignment horizontal="center" vertical="center" wrapText="1"/>
    </xf>
    <xf numFmtId="192" fontId="228" fillId="0" borderId="9" xfId="0" applyNumberFormat="1" applyFont="1" applyFill="1" applyBorder="1" applyAlignment="1" applyProtection="1">
      <alignment horizontal="center" vertical="center" wrapText="1"/>
      <protection locked="0"/>
    </xf>
    <xf numFmtId="192" fontId="31" fillId="0" borderId="9" xfId="0" applyNumberFormat="1" applyFont="1" applyFill="1" applyBorder="1" applyAlignment="1" applyProtection="1">
      <alignment horizontal="center" vertical="center" wrapText="1"/>
      <protection locked="0"/>
    </xf>
    <xf numFmtId="196" fontId="83" fillId="0" borderId="9" xfId="0" applyNumberFormat="1" applyFont="1" applyFill="1" applyBorder="1" applyAlignment="1" applyProtection="1">
      <alignment horizontal="center" vertical="center"/>
      <protection locked="0"/>
    </xf>
    <xf numFmtId="185" fontId="83" fillId="0" borderId="9" xfId="0" applyNumberFormat="1" applyFont="1" applyFill="1" applyBorder="1" applyAlignment="1" applyProtection="1">
      <alignment horizontal="center" vertical="center"/>
      <protection locked="0"/>
    </xf>
    <xf numFmtId="0" fontId="236" fillId="0" borderId="9" xfId="0" applyFont="1" applyFill="1" applyBorder="1" applyAlignment="1" applyProtection="1">
      <alignment horizontal="center" vertical="center"/>
      <protection locked="0"/>
    </xf>
    <xf numFmtId="0" fontId="83" fillId="0" borderId="13" xfId="0" applyNumberFormat="1" applyFont="1" applyFill="1" applyBorder="1" applyAlignment="1" applyProtection="1">
      <alignment horizontal="center" vertical="center"/>
      <protection locked="0"/>
    </xf>
    <xf numFmtId="187" fontId="83" fillId="0" borderId="10" xfId="0" applyNumberFormat="1" applyFont="1" applyFill="1" applyBorder="1" applyAlignment="1" applyProtection="1">
      <alignment horizontal="center" vertical="center" wrapText="1" shrinkToFit="1"/>
      <protection locked="0"/>
    </xf>
    <xf numFmtId="187" fontId="83" fillId="3" borderId="11" xfId="0" applyNumberFormat="1" applyFont="1" applyFill="1" applyBorder="1" applyAlignment="1" applyProtection="1">
      <alignment horizontal="center" vertical="center" wrapText="1" shrinkToFit="1"/>
      <protection locked="0"/>
    </xf>
    <xf numFmtId="187" fontId="83" fillId="3" borderId="12" xfId="0" applyNumberFormat="1" applyFont="1" applyFill="1" applyBorder="1" applyAlignment="1" applyProtection="1">
      <alignment horizontal="center" vertical="center" wrapText="1" shrinkToFit="1"/>
      <protection locked="0"/>
    </xf>
    <xf numFmtId="187" fontId="83" fillId="0" borderId="11" xfId="0" applyNumberFormat="1" applyFont="1" applyFill="1" applyBorder="1" applyAlignment="1" applyProtection="1">
      <alignment horizontal="center" vertical="center" wrapText="1" shrinkToFit="1"/>
    </xf>
    <xf numFmtId="187" fontId="83" fillId="0" borderId="9" xfId="0" applyNumberFormat="1" applyFont="1" applyFill="1" applyBorder="1" applyAlignment="1" applyProtection="1">
      <alignment horizontal="center" vertical="center" wrapText="1" shrinkToFit="1"/>
    </xf>
    <xf numFmtId="187" fontId="83" fillId="0" borderId="12" xfId="0" applyNumberFormat="1" applyFont="1" applyFill="1" applyBorder="1" applyAlignment="1" applyProtection="1">
      <alignment horizontal="center" vertical="center" wrapText="1" shrinkToFit="1"/>
    </xf>
    <xf numFmtId="187" fontId="83" fillId="0" borderId="13" xfId="0" applyNumberFormat="1" applyFont="1" applyFill="1" applyBorder="1" applyAlignment="1" applyProtection="1">
      <alignment horizontal="center" vertical="center" wrapText="1" shrinkToFit="1"/>
      <protection locked="0"/>
    </xf>
    <xf numFmtId="187" fontId="236" fillId="0" borderId="9" xfId="0" applyNumberFormat="1" applyFont="1" applyFill="1" applyBorder="1" applyAlignment="1" applyProtection="1">
      <alignment horizontal="center" vertical="center" wrapText="1" shrinkToFit="1"/>
      <protection locked="0"/>
    </xf>
    <xf numFmtId="190" fontId="228" fillId="0" borderId="23" xfId="0" applyNumberFormat="1" applyFont="1" applyFill="1" applyBorder="1" applyAlignment="1" applyProtection="1">
      <alignment horizontal="center" vertical="center" wrapText="1" shrinkToFit="1"/>
    </xf>
    <xf numFmtId="0" fontId="236" fillId="0" borderId="23" xfId="0" applyFont="1" applyFill="1" applyBorder="1" applyAlignment="1" applyProtection="1">
      <alignment horizontal="center" vertical="center" wrapText="1"/>
      <protection locked="0"/>
    </xf>
    <xf numFmtId="0" fontId="228" fillId="0" borderId="23" xfId="0" applyFont="1" applyFill="1" applyBorder="1" applyAlignment="1" applyProtection="1">
      <alignment horizontal="center" vertical="center" wrapText="1" shrinkToFit="1"/>
      <protection locked="0"/>
    </xf>
    <xf numFmtId="0" fontId="236" fillId="0" borderId="23" xfId="0" applyNumberFormat="1" applyFont="1" applyFill="1" applyBorder="1" applyAlignment="1" applyProtection="1">
      <alignment horizontal="center" vertical="center" shrinkToFit="1"/>
      <protection locked="0"/>
    </xf>
    <xf numFmtId="0" fontId="228" fillId="0" borderId="23" xfId="0" applyNumberFormat="1" applyFont="1" applyFill="1" applyBorder="1" applyAlignment="1" applyProtection="1">
      <alignment horizontal="center" vertical="center" wrapText="1"/>
      <protection locked="0"/>
    </xf>
    <xf numFmtId="0" fontId="236" fillId="0" borderId="23" xfId="0" applyFont="1" applyFill="1" applyBorder="1" applyAlignment="1" applyProtection="1">
      <alignment horizontal="center" vertical="center" wrapText="1" shrinkToFit="1"/>
      <protection locked="0"/>
    </xf>
    <xf numFmtId="0" fontId="228" fillId="0" borderId="23" xfId="0" applyFont="1" applyFill="1" applyBorder="1" applyAlignment="1" applyProtection="1">
      <alignment horizontal="center" vertical="center" wrapText="1"/>
      <protection locked="0"/>
    </xf>
    <xf numFmtId="0" fontId="236" fillId="0" borderId="23" xfId="0" applyFont="1" applyFill="1" applyBorder="1" applyAlignment="1" applyProtection="1">
      <alignment horizontal="center" vertical="center"/>
      <protection locked="0"/>
    </xf>
    <xf numFmtId="0" fontId="83" fillId="0" borderId="23" xfId="0" applyFont="1" applyFill="1" applyBorder="1" applyAlignment="1" applyProtection="1">
      <alignment horizontal="center" vertical="center"/>
      <protection locked="0"/>
    </xf>
    <xf numFmtId="190" fontId="228" fillId="0" borderId="23" xfId="0" applyNumberFormat="1" applyFont="1" applyFill="1" applyBorder="1" applyAlignment="1" applyProtection="1">
      <alignment horizontal="center" vertical="center" wrapText="1" shrinkToFit="1"/>
      <protection locked="0"/>
    </xf>
    <xf numFmtId="186" fontId="228" fillId="0" borderId="23" xfId="0" applyNumberFormat="1" applyFont="1" applyFill="1" applyBorder="1" applyAlignment="1" applyProtection="1">
      <alignment horizontal="center" vertical="center" wrapText="1"/>
      <protection locked="0"/>
    </xf>
    <xf numFmtId="0" fontId="247" fillId="0" borderId="23" xfId="0" applyFont="1" applyFill="1" applyBorder="1" applyAlignment="1" applyProtection="1">
      <alignment horizontal="center" vertical="center"/>
      <protection locked="0"/>
    </xf>
    <xf numFmtId="0" fontId="239" fillId="0" borderId="23" xfId="0" applyFont="1" applyFill="1" applyBorder="1" applyAlignment="1" applyProtection="1">
      <alignment horizontal="center" vertical="center"/>
      <protection locked="0"/>
    </xf>
    <xf numFmtId="0" fontId="233" fillId="0" borderId="23" xfId="0" applyNumberFormat="1" applyFont="1" applyFill="1" applyBorder="1" applyAlignment="1" applyProtection="1">
      <alignment horizontal="center" vertical="center" wrapText="1"/>
      <protection locked="0"/>
    </xf>
    <xf numFmtId="186" fontId="246" fillId="0" borderId="23" xfId="0" applyNumberFormat="1" applyFont="1" applyFill="1" applyBorder="1" applyAlignment="1" applyProtection="1">
      <alignment horizontal="center" vertical="center" wrapText="1"/>
      <protection locked="0"/>
    </xf>
    <xf numFmtId="186" fontId="228" fillId="0" borderId="23" xfId="0" applyNumberFormat="1" applyFont="1" applyFill="1" applyBorder="1" applyAlignment="1" applyProtection="1">
      <alignment horizontal="center" vertical="center" wrapText="1"/>
    </xf>
    <xf numFmtId="192" fontId="228" fillId="3" borderId="23" xfId="0" applyNumberFormat="1" applyFont="1" applyFill="1" applyBorder="1" applyAlignment="1" applyProtection="1">
      <alignment horizontal="center" vertical="center" wrapText="1"/>
      <protection locked="0"/>
    </xf>
    <xf numFmtId="192" fontId="228" fillId="0" borderId="23" xfId="0" applyNumberFormat="1" applyFont="1" applyFill="1" applyBorder="1" applyAlignment="1" applyProtection="1">
      <alignment horizontal="center" vertical="center" wrapText="1"/>
      <protection locked="0"/>
    </xf>
    <xf numFmtId="196" fontId="236" fillId="0" borderId="23" xfId="0" applyNumberFormat="1" applyFont="1" applyFill="1" applyBorder="1" applyAlignment="1" applyProtection="1">
      <alignment horizontal="center" vertical="center"/>
      <protection locked="0"/>
    </xf>
    <xf numFmtId="185" fontId="236" fillId="0" borderId="23" xfId="0" applyNumberFormat="1" applyFont="1" applyFill="1" applyBorder="1" applyAlignment="1" applyProtection="1">
      <alignment horizontal="center" vertical="center"/>
      <protection locked="0"/>
    </xf>
    <xf numFmtId="0" fontId="236" fillId="0" borderId="23" xfId="0" applyNumberFormat="1" applyFont="1" applyFill="1" applyBorder="1" applyAlignment="1" applyProtection="1">
      <alignment horizontal="center" vertical="center"/>
      <protection locked="0"/>
    </xf>
    <xf numFmtId="0" fontId="236" fillId="3" borderId="23" xfId="0" applyNumberFormat="1" applyFont="1" applyFill="1" applyBorder="1" applyAlignment="1" applyProtection="1">
      <alignment horizontal="center" vertical="center"/>
      <protection locked="0"/>
    </xf>
    <xf numFmtId="187" fontId="83" fillId="0" borderId="23" xfId="0" applyNumberFormat="1" applyFont="1" applyFill="1" applyBorder="1" applyAlignment="1" applyProtection="1">
      <alignment horizontal="center" vertical="center" wrapText="1" shrinkToFit="1"/>
    </xf>
    <xf numFmtId="187" fontId="83" fillId="3" borderId="23" xfId="0" applyNumberFormat="1" applyFont="1" applyFill="1" applyBorder="1" applyAlignment="1" applyProtection="1">
      <alignment horizontal="center" vertical="center" wrapText="1" shrinkToFit="1"/>
    </xf>
    <xf numFmtId="0" fontId="228" fillId="3" borderId="23" xfId="0" applyFont="1" applyFill="1" applyBorder="1" applyAlignment="1" applyProtection="1">
      <alignment vertical="center"/>
      <protection locked="0"/>
    </xf>
    <xf numFmtId="193" fontId="82" fillId="0" borderId="16" xfId="0" applyNumberFormat="1" applyFont="1" applyFill="1" applyBorder="1" applyAlignment="1" applyProtection="1">
      <alignment horizontal="center" vertical="center"/>
    </xf>
    <xf numFmtId="0" fontId="82" fillId="0" borderId="16" xfId="0" applyFont="1" applyFill="1" applyBorder="1" applyAlignment="1" applyProtection="1">
      <alignment horizontal="center" vertical="center" wrapText="1"/>
      <protection locked="0"/>
    </xf>
    <xf numFmtId="0" fontId="73" fillId="0" borderId="16" xfId="0" applyFont="1" applyFill="1" applyBorder="1" applyAlignment="1" applyProtection="1">
      <alignment horizontal="center" vertical="center" wrapText="1" shrinkToFit="1"/>
      <protection locked="0"/>
    </xf>
    <xf numFmtId="0" fontId="82" fillId="0" borderId="16" xfId="0" applyNumberFormat="1" applyFont="1" applyFill="1" applyBorder="1" applyAlignment="1" applyProtection="1">
      <alignment horizontal="center" vertical="center" shrinkToFit="1"/>
      <protection locked="0"/>
    </xf>
    <xf numFmtId="49" fontId="73" fillId="0" borderId="16" xfId="0" applyNumberFormat="1" applyFont="1" applyFill="1" applyBorder="1" applyAlignment="1" applyProtection="1">
      <alignment horizontal="center" vertical="center" wrapText="1"/>
      <protection locked="0"/>
    </xf>
    <xf numFmtId="0" fontId="82" fillId="0" borderId="16" xfId="0" applyNumberFormat="1" applyFont="1" applyFill="1" applyBorder="1" applyAlignment="1" applyProtection="1">
      <alignment horizontal="center" vertical="center" wrapText="1" shrinkToFit="1"/>
      <protection locked="0"/>
    </xf>
    <xf numFmtId="0" fontId="82" fillId="0" borderId="16" xfId="0" applyFont="1" applyFill="1" applyBorder="1" applyAlignment="1" applyProtection="1">
      <alignment horizontal="center" vertical="center" wrapText="1" shrinkToFit="1"/>
      <protection locked="0"/>
    </xf>
    <xf numFmtId="0" fontId="73" fillId="0" borderId="16" xfId="0" applyFont="1" applyFill="1" applyBorder="1" applyAlignment="1" applyProtection="1">
      <alignment horizontal="center" vertical="center" wrapText="1"/>
      <protection locked="0"/>
    </xf>
    <xf numFmtId="0" fontId="82" fillId="0" borderId="16" xfId="0" applyFont="1" applyFill="1" applyBorder="1" applyAlignment="1" applyProtection="1">
      <alignment horizontal="center" vertical="center"/>
      <protection locked="0"/>
    </xf>
    <xf numFmtId="190" fontId="73" fillId="0" borderId="16" xfId="0" applyNumberFormat="1" applyFont="1" applyFill="1" applyBorder="1" applyAlignment="1" applyProtection="1">
      <alignment horizontal="center" vertical="center" wrapText="1" shrinkToFit="1"/>
      <protection locked="0"/>
    </xf>
    <xf numFmtId="186" fontId="73" fillId="0" borderId="16" xfId="0" applyNumberFormat="1" applyFont="1" applyFill="1" applyBorder="1" applyAlignment="1" applyProtection="1">
      <alignment horizontal="center" vertical="center" wrapText="1"/>
      <protection locked="0"/>
    </xf>
    <xf numFmtId="0" fontId="248" fillId="0" borderId="16" xfId="0" applyFont="1" applyFill="1" applyBorder="1" applyAlignment="1" applyProtection="1">
      <alignment horizontal="center" vertical="center"/>
      <protection locked="0"/>
    </xf>
    <xf numFmtId="186" fontId="79" fillId="0" borderId="16" xfId="0" applyNumberFormat="1" applyFont="1" applyFill="1" applyBorder="1" applyAlignment="1" applyProtection="1">
      <alignment horizontal="center" vertical="center" wrapText="1"/>
      <protection locked="0"/>
    </xf>
    <xf numFmtId="186" fontId="73" fillId="0" borderId="16" xfId="0" applyNumberFormat="1" applyFont="1" applyFill="1" applyBorder="1" applyAlignment="1" applyProtection="1">
      <alignment horizontal="center" vertical="center" wrapText="1"/>
    </xf>
    <xf numFmtId="192" fontId="73" fillId="0" borderId="16" xfId="0" applyNumberFormat="1" applyFont="1" applyFill="1" applyBorder="1" applyAlignment="1" applyProtection="1">
      <alignment horizontal="center" vertical="center" wrapText="1"/>
      <protection locked="0"/>
    </xf>
    <xf numFmtId="0" fontId="31" fillId="0" borderId="16" xfId="0" applyNumberFormat="1" applyFont="1" applyFill="1" applyBorder="1" applyAlignment="1" applyProtection="1">
      <alignment horizontal="center" vertical="center" wrapText="1"/>
      <protection locked="0"/>
    </xf>
    <xf numFmtId="189" fontId="82" fillId="0" borderId="16" xfId="0" applyNumberFormat="1" applyFont="1" applyFill="1" applyBorder="1" applyAlignment="1" applyProtection="1">
      <alignment horizontal="center" vertical="center"/>
      <protection locked="0"/>
    </xf>
    <xf numFmtId="185" fontId="82" fillId="0" borderId="16" xfId="0" applyNumberFormat="1" applyFont="1" applyFill="1" applyBorder="1" applyAlignment="1" applyProtection="1">
      <alignment horizontal="center" vertical="center"/>
      <protection locked="0"/>
    </xf>
    <xf numFmtId="0" fontId="82" fillId="0" borderId="16" xfId="0" applyNumberFormat="1" applyFont="1" applyFill="1" applyBorder="1" applyAlignment="1" applyProtection="1">
      <alignment horizontal="center" vertical="center"/>
      <protection locked="0"/>
    </xf>
    <xf numFmtId="0" fontId="249" fillId="0" borderId="16" xfId="0" applyNumberFormat="1" applyFont="1" applyFill="1" applyBorder="1" applyAlignment="1" applyProtection="1">
      <alignment horizontal="center" vertical="center"/>
      <protection locked="0"/>
    </xf>
    <xf numFmtId="187" fontId="82" fillId="0" borderId="16" xfId="0" applyNumberFormat="1" applyFont="1" applyFill="1" applyBorder="1" applyAlignment="1" applyProtection="1">
      <alignment horizontal="center" vertical="center" wrapText="1" shrinkToFit="1"/>
      <protection locked="0"/>
    </xf>
    <xf numFmtId="187" fontId="249" fillId="0" borderId="16" xfId="0" applyNumberFormat="1" applyFont="1" applyFill="1" applyBorder="1" applyAlignment="1" applyProtection="1">
      <alignment horizontal="center" vertical="center" wrapText="1" shrinkToFit="1"/>
      <protection locked="0"/>
    </xf>
    <xf numFmtId="187" fontId="82" fillId="0" borderId="15" xfId="0" applyNumberFormat="1" applyFont="1" applyFill="1" applyBorder="1" applyAlignment="1" applyProtection="1">
      <alignment horizontal="center" vertical="center" wrapText="1" shrinkToFit="1"/>
      <protection locked="0"/>
    </xf>
    <xf numFmtId="187" fontId="82" fillId="0" borderId="17" xfId="0" applyNumberFormat="1" applyFont="1" applyFill="1" applyBorder="1" applyAlignment="1" applyProtection="1">
      <alignment horizontal="center" vertical="center" wrapText="1" shrinkToFit="1"/>
      <protection locked="0"/>
    </xf>
    <xf numFmtId="187" fontId="82" fillId="0" borderId="18" xfId="0" applyNumberFormat="1" applyFont="1" applyFill="1" applyBorder="1" applyAlignment="1" applyProtection="1">
      <alignment horizontal="center" vertical="center" wrapText="1" shrinkToFit="1"/>
      <protection locked="0"/>
    </xf>
    <xf numFmtId="187" fontId="82" fillId="0" borderId="14" xfId="0" applyNumberFormat="1" applyFont="1" applyFill="1" applyBorder="1" applyAlignment="1" applyProtection="1">
      <alignment horizontal="center" vertical="center" wrapText="1" shrinkToFit="1"/>
      <protection locked="0"/>
    </xf>
    <xf numFmtId="187" fontId="91" fillId="0" borderId="16" xfId="0" applyNumberFormat="1" applyFont="1" applyFill="1" applyBorder="1" applyAlignment="1" applyProtection="1">
      <alignment horizontal="center" vertical="center" wrapText="1" shrinkToFit="1"/>
      <protection locked="0"/>
    </xf>
    <xf numFmtId="187" fontId="250" fillId="0" borderId="16" xfId="0" applyNumberFormat="1" applyFont="1" applyFill="1" applyBorder="1" applyAlignment="1" applyProtection="1">
      <alignment horizontal="center" vertical="center" wrapText="1" shrinkToFit="1"/>
      <protection locked="0"/>
    </xf>
    <xf numFmtId="187" fontId="250" fillId="0" borderId="16" xfId="0" applyNumberFormat="1" applyFont="1" applyFill="1" applyBorder="1" applyAlignment="1" applyProtection="1">
      <alignment horizontal="center" vertical="center"/>
      <protection locked="0"/>
    </xf>
    <xf numFmtId="187" fontId="218" fillId="0" borderId="16" xfId="0" applyNumberFormat="1" applyFont="1" applyFill="1" applyBorder="1" applyAlignment="1" applyProtection="1">
      <alignment horizontal="center" vertical="center"/>
      <protection locked="0"/>
    </xf>
    <xf numFmtId="187" fontId="91" fillId="0" borderId="16" xfId="0" applyNumberFormat="1" applyFont="1" applyFill="1" applyBorder="1" applyAlignment="1" applyProtection="1">
      <alignment horizontal="center" vertical="center"/>
      <protection locked="0"/>
    </xf>
    <xf numFmtId="187" fontId="82" fillId="0" borderId="16" xfId="0" applyNumberFormat="1" applyFont="1" applyFill="1" applyBorder="1" applyAlignment="1" applyProtection="1">
      <alignment horizontal="center" vertical="center"/>
      <protection locked="0"/>
    </xf>
    <xf numFmtId="0" fontId="248" fillId="0" borderId="1" xfId="0" applyFont="1" applyFill="1" applyBorder="1" applyAlignment="1" applyProtection="1">
      <alignment horizontal="center" vertical="center"/>
      <protection locked="0"/>
    </xf>
    <xf numFmtId="186" fontId="79" fillId="0" borderId="1" xfId="0" applyNumberFormat="1" applyFont="1" applyFill="1" applyBorder="1" applyAlignment="1" applyProtection="1">
      <alignment horizontal="center" vertical="center" wrapText="1"/>
      <protection locked="0"/>
    </xf>
    <xf numFmtId="186" fontId="73" fillId="0" borderId="1" xfId="0" applyNumberFormat="1" applyFont="1" applyFill="1" applyBorder="1" applyAlignment="1" applyProtection="1">
      <alignment horizontal="center" vertical="center" wrapText="1"/>
    </xf>
    <xf numFmtId="0" fontId="249" fillId="0" borderId="1" xfId="0" applyNumberFormat="1" applyFont="1" applyFill="1" applyBorder="1" applyAlignment="1" applyProtection="1">
      <alignment horizontal="center" vertical="center"/>
      <protection locked="0"/>
    </xf>
    <xf numFmtId="187" fontId="249" fillId="0" borderId="1" xfId="0" applyNumberFormat="1" applyFont="1" applyFill="1" applyBorder="1" applyAlignment="1" applyProtection="1">
      <alignment horizontal="center" vertical="center" wrapText="1" shrinkToFit="1"/>
      <protection locked="0"/>
    </xf>
    <xf numFmtId="187" fontId="82" fillId="0" borderId="6" xfId="0" applyNumberFormat="1" applyFont="1" applyFill="1" applyBorder="1" applyAlignment="1" applyProtection="1">
      <alignment horizontal="center" vertical="center" wrapText="1" shrinkToFit="1"/>
      <protection locked="0"/>
    </xf>
    <xf numFmtId="187" fontId="218" fillId="0" borderId="1" xfId="0" applyNumberFormat="1" applyFont="1" applyFill="1" applyBorder="1" applyAlignment="1" applyProtection="1">
      <alignment horizontal="center" vertical="center"/>
      <protection locked="0"/>
    </xf>
    <xf numFmtId="187" fontId="82" fillId="0" borderId="52" xfId="0" applyNumberFormat="1" applyFont="1" applyFill="1" applyBorder="1" applyAlignment="1" applyProtection="1">
      <alignment horizontal="center" vertical="center" wrapText="1" shrinkToFit="1"/>
      <protection locked="0"/>
    </xf>
    <xf numFmtId="187" fontId="82" fillId="0" borderId="53" xfId="0" applyNumberFormat="1" applyFont="1" applyFill="1" applyBorder="1" applyAlignment="1" applyProtection="1">
      <alignment horizontal="center" vertical="center" wrapText="1" shrinkToFit="1"/>
      <protection locked="0"/>
    </xf>
    <xf numFmtId="187" fontId="82" fillId="0" borderId="54" xfId="0" applyNumberFormat="1" applyFont="1" applyFill="1" applyBorder="1" applyAlignment="1" applyProtection="1">
      <alignment horizontal="center" vertical="center" wrapText="1" shrinkToFit="1"/>
      <protection locked="0"/>
    </xf>
    <xf numFmtId="0" fontId="248" fillId="0" borderId="0" xfId="0" applyFont="1" applyFill="1" applyBorder="1" applyAlignment="1" applyProtection="1">
      <alignment horizontal="center" vertical="center"/>
      <protection locked="0"/>
    </xf>
    <xf numFmtId="182" fontId="208" fillId="0" borderId="0" xfId="0" applyNumberFormat="1" applyFont="1" applyFill="1" applyAlignment="1" applyProtection="1">
      <alignment horizontal="center" vertical="center"/>
      <protection locked="0"/>
    </xf>
    <xf numFmtId="187" fontId="208" fillId="0" borderId="0" xfId="0" applyNumberFormat="1" applyFont="1" applyFill="1" applyAlignment="1" applyProtection="1">
      <alignment horizontal="center" vertical="center"/>
      <protection locked="0"/>
    </xf>
    <xf numFmtId="0" fontId="79" fillId="0" borderId="0" xfId="0" applyFont="1" applyFill="1" applyAlignment="1" applyProtection="1">
      <alignment vertical="center"/>
      <protection locked="0"/>
    </xf>
    <xf numFmtId="0" fontId="31" fillId="0" borderId="0" xfId="0" applyFont="1" applyFill="1" applyAlignment="1" applyProtection="1">
      <alignment vertical="center"/>
      <protection locked="0"/>
    </xf>
    <xf numFmtId="0" fontId="208" fillId="0" borderId="1" xfId="0" applyFont="1" applyFill="1" applyBorder="1" applyAlignment="1" applyProtection="1">
      <alignment horizontal="center" vertical="center"/>
      <protection locked="0"/>
    </xf>
    <xf numFmtId="187" fontId="208" fillId="0" borderId="1" xfId="0" applyNumberFormat="1" applyFont="1" applyFill="1" applyBorder="1" applyAlignment="1" applyProtection="1">
      <alignment horizontal="center" vertical="center"/>
      <protection locked="0"/>
    </xf>
    <xf numFmtId="182" fontId="208" fillId="0" borderId="1" xfId="0" applyNumberFormat="1" applyFont="1" applyFill="1" applyBorder="1" applyAlignment="1" applyProtection="1">
      <alignment horizontal="center" vertical="center"/>
      <protection locked="0"/>
    </xf>
    <xf numFmtId="0" fontId="230" fillId="0" borderId="0" xfId="0" applyFont="1" applyFill="1" applyAlignment="1" applyProtection="1">
      <alignment vertical="center" wrapText="1"/>
      <protection locked="0"/>
    </xf>
    <xf numFmtId="0" fontId="206" fillId="0" borderId="0" xfId="0" applyFont="1" applyFill="1" applyAlignment="1" applyProtection="1">
      <alignment horizontal="center" vertical="center"/>
      <protection locked="0"/>
    </xf>
    <xf numFmtId="0" fontId="206" fillId="0" borderId="1" xfId="0" applyFont="1" applyFill="1" applyBorder="1" applyAlignment="1" applyProtection="1">
      <alignment horizontal="center" vertical="center"/>
      <protection locked="0"/>
    </xf>
    <xf numFmtId="0" fontId="207" fillId="0" borderId="0" xfId="0" applyFont="1" applyFill="1" applyAlignment="1" applyProtection="1">
      <alignment vertical="center"/>
      <protection locked="0"/>
    </xf>
    <xf numFmtId="0" fontId="214" fillId="0" borderId="0" xfId="0" applyFont="1" applyFill="1" applyAlignment="1" applyProtection="1">
      <alignment vertical="center"/>
      <protection locked="0"/>
    </xf>
    <xf numFmtId="0" fontId="50" fillId="0" borderId="0" xfId="0" applyFont="1" applyFill="1" applyAlignment="1" applyProtection="1">
      <alignment horizontal="center" vertical="center"/>
      <protection locked="0"/>
    </xf>
    <xf numFmtId="0" fontId="50" fillId="0" borderId="0" xfId="0" applyFont="1" applyFill="1" applyProtection="1">
      <alignment vertical="center"/>
      <protection locked="0"/>
    </xf>
    <xf numFmtId="0" fontId="52" fillId="0" borderId="0" xfId="0" applyFont="1" applyFill="1" applyProtection="1">
      <alignment vertical="center"/>
      <protection locked="0"/>
    </xf>
    <xf numFmtId="0" fontId="251" fillId="0" borderId="0" xfId="0" applyFont="1" applyFill="1" applyProtection="1">
      <alignment vertical="center"/>
      <protection locked="0"/>
    </xf>
    <xf numFmtId="0" fontId="252" fillId="0" borderId="0" xfId="0" applyFont="1" applyFill="1" applyProtection="1">
      <alignment vertical="center"/>
      <protection locked="0"/>
    </xf>
    <xf numFmtId="0" fontId="56" fillId="0" borderId="0" xfId="0" applyFont="1" applyFill="1" applyProtection="1">
      <alignment vertical="center"/>
      <protection locked="0"/>
    </xf>
    <xf numFmtId="0" fontId="252" fillId="0" borderId="1" xfId="0" applyFont="1" applyFill="1" applyBorder="1" applyProtection="1">
      <alignment vertical="center"/>
      <protection locked="0"/>
    </xf>
    <xf numFmtId="0" fontId="56" fillId="0" borderId="1" xfId="0" applyFont="1" applyFill="1" applyBorder="1" applyProtection="1">
      <alignment vertical="center"/>
      <protection locked="0"/>
    </xf>
    <xf numFmtId="0" fontId="251" fillId="0" borderId="1" xfId="0" applyFont="1" applyFill="1" applyBorder="1" applyProtection="1">
      <alignment vertical="center"/>
      <protection locked="0"/>
    </xf>
    <xf numFmtId="0" fontId="52" fillId="0" borderId="1" xfId="0" applyFont="1" applyFill="1" applyBorder="1" applyProtection="1">
      <alignment vertical="center"/>
      <protection locked="0"/>
    </xf>
    <xf numFmtId="0" fontId="253" fillId="0" borderId="1" xfId="0" applyFont="1" applyFill="1" applyBorder="1" applyProtection="1">
      <alignment vertical="center"/>
      <protection locked="0"/>
    </xf>
    <xf numFmtId="0" fontId="52" fillId="0" borderId="1" xfId="0" applyFont="1" applyFill="1" applyBorder="1" applyProtection="1">
      <alignment vertical="center"/>
      <protection locked="0"/>
    </xf>
    <xf numFmtId="0" fontId="50" fillId="0" borderId="0" xfId="0" applyFont="1" applyFill="1" applyAlignment="1" applyProtection="1">
      <alignment horizontal="center" vertical="center"/>
    </xf>
    <xf numFmtId="0" fontId="50" fillId="0" borderId="0" xfId="0" applyFont="1" applyFill="1" applyAlignment="1" applyProtection="1">
      <alignment horizontal="center" vertical="center" wrapText="1"/>
      <protection locked="0"/>
    </xf>
    <xf numFmtId="185" fontId="50" fillId="0" borderId="0" xfId="0" applyNumberFormat="1" applyFont="1" applyFill="1" applyAlignment="1" applyProtection="1">
      <alignment horizontal="center" vertical="center"/>
      <protection locked="0"/>
    </xf>
    <xf numFmtId="186" fontId="50" fillId="0" borderId="0" xfId="0" applyNumberFormat="1" applyFont="1" applyFill="1" applyAlignment="1" applyProtection="1">
      <alignment horizontal="center" vertical="center" wrapText="1"/>
      <protection locked="0"/>
    </xf>
    <xf numFmtId="0" fontId="50" fillId="0" borderId="0" xfId="0" applyFont="1" applyFill="1" applyBorder="1" applyAlignment="1" applyProtection="1">
      <alignment horizontal="center" vertical="center" wrapText="1"/>
      <protection locked="0"/>
    </xf>
    <xf numFmtId="0" fontId="57" fillId="0" borderId="0" xfId="0" applyFont="1" applyFill="1" applyAlignment="1" applyProtection="1">
      <alignment horizontal="center" vertical="center"/>
      <protection locked="0"/>
    </xf>
    <xf numFmtId="187" fontId="50" fillId="0" borderId="0" xfId="0" applyNumberFormat="1" applyFont="1" applyFill="1" applyAlignment="1" applyProtection="1">
      <alignment horizontal="center" vertical="center"/>
      <protection locked="0"/>
    </xf>
    <xf numFmtId="187" fontId="57" fillId="0" borderId="0" xfId="0" applyNumberFormat="1" applyFont="1" applyFill="1" applyAlignment="1" applyProtection="1">
      <alignment horizontal="center" vertical="center"/>
      <protection locked="0"/>
    </xf>
    <xf numFmtId="0" fontId="57" fillId="0" borderId="0" xfId="0" applyFont="1" applyFill="1" applyAlignment="1" applyProtection="1">
      <alignment horizontal="center" vertical="center"/>
    </xf>
    <xf numFmtId="0" fontId="57" fillId="0" borderId="0" xfId="0" applyFont="1" applyFill="1" applyAlignment="1" applyProtection="1">
      <alignment vertical="center"/>
      <protection locked="0"/>
    </xf>
    <xf numFmtId="58" fontId="57" fillId="0" borderId="0" xfId="0" applyNumberFormat="1" applyFont="1" applyFill="1" applyAlignment="1" applyProtection="1">
      <alignment vertical="center"/>
      <protection locked="0"/>
    </xf>
    <xf numFmtId="0" fontId="57" fillId="0" borderId="0" xfId="0" applyFont="1" applyFill="1" applyAlignment="1" applyProtection="1">
      <alignment vertical="center" wrapText="1"/>
      <protection locked="0"/>
    </xf>
    <xf numFmtId="186" fontId="57" fillId="0" borderId="0" xfId="0" applyNumberFormat="1" applyFont="1" applyFill="1" applyAlignment="1" applyProtection="1">
      <alignment vertical="center" wrapText="1"/>
      <protection locked="0"/>
    </xf>
    <xf numFmtId="0" fontId="57" fillId="0" borderId="0" xfId="0" applyFont="1" applyFill="1" applyBorder="1" applyAlignment="1" applyProtection="1">
      <alignment horizontal="center" vertical="center" wrapText="1"/>
      <protection locked="0"/>
    </xf>
    <xf numFmtId="186" fontId="57" fillId="0" borderId="0" xfId="0" applyNumberFormat="1" applyFont="1" applyFill="1" applyAlignment="1" applyProtection="1">
      <alignment horizontal="center" vertical="center" wrapText="1"/>
      <protection locked="0"/>
    </xf>
    <xf numFmtId="187" fontId="57" fillId="0" borderId="0" xfId="0" applyNumberFormat="1" applyFont="1" applyFill="1" applyBorder="1" applyAlignment="1" applyProtection="1">
      <alignment vertical="center"/>
      <protection locked="0"/>
    </xf>
    <xf numFmtId="187" fontId="57" fillId="0" borderId="0" xfId="0" applyNumberFormat="1" applyFont="1" applyFill="1" applyAlignment="1" applyProtection="1">
      <alignment vertical="center"/>
      <protection locked="0"/>
    </xf>
    <xf numFmtId="0" fontId="57" fillId="0" borderId="0" xfId="0" applyFont="1" applyFill="1" applyAlignment="1" applyProtection="1">
      <alignment horizontal="center" vertical="center" wrapText="1"/>
      <protection locked="0"/>
    </xf>
    <xf numFmtId="188" fontId="1" fillId="0" borderId="0" xfId="0" applyNumberFormat="1" applyFont="1" applyFill="1" applyBorder="1" applyAlignment="1" applyProtection="1">
      <alignment horizontal="center" vertical="center"/>
    </xf>
    <xf numFmtId="188" fontId="1" fillId="0" borderId="0" xfId="0" applyNumberFormat="1" applyFont="1" applyFill="1" applyAlignment="1" applyProtection="1">
      <alignment horizontal="center" vertical="center" wrapText="1"/>
      <protection locked="0"/>
    </xf>
    <xf numFmtId="0" fontId="1" fillId="0" borderId="0" xfId="0" applyFont="1" applyFill="1" applyAlignment="1" applyProtection="1">
      <alignment horizontal="center" vertical="center" wrapText="1"/>
      <protection locked="0"/>
    </xf>
    <xf numFmtId="185" fontId="57" fillId="0" borderId="0" xfId="0" applyNumberFormat="1" applyFont="1" applyFill="1" applyAlignment="1" applyProtection="1">
      <alignment horizontal="center" vertical="center"/>
      <protection locked="0"/>
    </xf>
    <xf numFmtId="188" fontId="254" fillId="0" borderId="0" xfId="0" applyNumberFormat="1" applyFont="1" applyFill="1" applyAlignment="1" applyProtection="1">
      <alignment horizontal="center" vertical="center"/>
      <protection locked="0"/>
    </xf>
    <xf numFmtId="0" fontId="1" fillId="0" borderId="1" xfId="0" applyFont="1" applyFill="1" applyBorder="1" applyAlignment="1" applyProtection="1">
      <alignment horizontal="center" vertical="center" wrapText="1"/>
      <protection locked="0"/>
    </xf>
    <xf numFmtId="187" fontId="1" fillId="0" borderId="1" xfId="0" applyNumberFormat="1" applyFont="1" applyFill="1" applyBorder="1" applyAlignment="1" applyProtection="1">
      <alignment horizontal="center" vertical="center"/>
      <protection locked="0"/>
    </xf>
    <xf numFmtId="187" fontId="57" fillId="0" borderId="1" xfId="0" applyNumberFormat="1" applyFont="1" applyFill="1" applyBorder="1" applyAlignment="1" applyProtection="1">
      <alignment horizontal="center" vertical="center"/>
      <protection locked="0"/>
    </xf>
    <xf numFmtId="0" fontId="50" fillId="0" borderId="0" xfId="0" applyFont="1" applyFill="1" applyAlignment="1" applyProtection="1">
      <alignment vertical="center" wrapText="1"/>
      <protection locked="0"/>
    </xf>
    <xf numFmtId="193" fontId="99" fillId="0" borderId="1" xfId="0" applyNumberFormat="1" applyFont="1" applyFill="1" applyBorder="1" applyAlignment="1" applyProtection="1">
      <alignment horizontal="center" vertical="center" wrapText="1" shrinkToFit="1"/>
    </xf>
    <xf numFmtId="0" fontId="57" fillId="0" borderId="1" xfId="0" applyFont="1" applyFill="1" applyBorder="1" applyAlignment="1" applyProtection="1">
      <alignment horizontal="center" vertical="center" wrapText="1" shrinkToFit="1"/>
      <protection locked="0"/>
    </xf>
    <xf numFmtId="0" fontId="50" fillId="0" borderId="1" xfId="0" applyFont="1" applyFill="1" applyBorder="1" applyAlignment="1" applyProtection="1">
      <alignment horizontal="center" vertical="center" wrapText="1" shrinkToFit="1"/>
      <protection locked="0"/>
    </xf>
    <xf numFmtId="186" fontId="57" fillId="0" borderId="1" xfId="0" applyNumberFormat="1" applyFont="1" applyFill="1" applyBorder="1" applyAlignment="1" applyProtection="1">
      <alignment horizontal="center" vertical="center" wrapText="1" shrinkToFit="1"/>
      <protection locked="0"/>
    </xf>
    <xf numFmtId="0" fontId="1" fillId="0" borderId="1" xfId="0" applyFont="1" applyFill="1" applyBorder="1" applyAlignment="1" applyProtection="1">
      <alignment horizontal="center" vertical="center"/>
      <protection locked="0"/>
    </xf>
    <xf numFmtId="0" fontId="1" fillId="0" borderId="1" xfId="0" applyNumberFormat="1" applyFont="1" applyFill="1" applyBorder="1" applyAlignment="1" applyProtection="1">
      <alignment horizontal="center" vertical="center" wrapText="1" shrinkToFit="1"/>
      <protection locked="0"/>
    </xf>
    <xf numFmtId="185" fontId="57" fillId="0" borderId="1" xfId="0" applyNumberFormat="1" applyFont="1" applyFill="1" applyBorder="1" applyAlignment="1" applyProtection="1">
      <alignment horizontal="center" vertical="center" wrapText="1" shrinkToFit="1"/>
      <protection locked="0"/>
    </xf>
    <xf numFmtId="0" fontId="57" fillId="0" borderId="1" xfId="0" applyNumberFormat="1" applyFont="1" applyFill="1" applyBorder="1" applyAlignment="1" applyProtection="1">
      <alignment horizontal="center" vertical="center" wrapText="1" shrinkToFit="1"/>
      <protection locked="0"/>
    </xf>
    <xf numFmtId="0" fontId="41" fillId="0" borderId="1" xfId="0" applyFont="1" applyFill="1" applyBorder="1" applyAlignment="1" applyProtection="1">
      <alignment horizontal="center" vertical="center"/>
      <protection locked="0"/>
    </xf>
    <xf numFmtId="0" fontId="61" fillId="0" borderId="1" xfId="0" applyFont="1" applyFill="1" applyBorder="1" applyAlignment="1" applyProtection="1">
      <alignment horizontal="center" vertical="center" wrapText="1" shrinkToFit="1"/>
      <protection locked="0"/>
    </xf>
    <xf numFmtId="0" fontId="1" fillId="0" borderId="1" xfId="0" applyFont="1" applyFill="1" applyBorder="1" applyAlignment="1" applyProtection="1">
      <alignment horizontal="center" vertical="center" wrapText="1" shrinkToFit="1"/>
      <protection locked="0"/>
    </xf>
    <xf numFmtId="187" fontId="61" fillId="0" borderId="1" xfId="0" applyNumberFormat="1" applyFont="1" applyFill="1" applyBorder="1" applyAlignment="1" applyProtection="1">
      <alignment horizontal="center" vertical="center" wrapText="1" shrinkToFit="1"/>
      <protection locked="0"/>
    </xf>
    <xf numFmtId="187" fontId="1" fillId="0" borderId="1" xfId="0" applyNumberFormat="1" applyFont="1" applyFill="1" applyBorder="1" applyAlignment="1" applyProtection="1">
      <alignment horizontal="center" vertical="center" wrapText="1" shrinkToFit="1"/>
      <protection locked="0"/>
    </xf>
    <xf numFmtId="0" fontId="50" fillId="0" borderId="1" xfId="0" applyFont="1" applyFill="1" applyBorder="1" applyAlignment="1" applyProtection="1">
      <alignment horizontal="center" vertical="center" wrapText="1"/>
      <protection locked="0"/>
    </xf>
    <xf numFmtId="188" fontId="68" fillId="0" borderId="16" xfId="0" applyNumberFormat="1" applyFont="1" applyFill="1" applyBorder="1" applyAlignment="1" applyProtection="1">
      <alignment horizontal="center" vertical="center"/>
    </xf>
    <xf numFmtId="0" fontId="68" fillId="0" borderId="16" xfId="0" applyFont="1" applyFill="1" applyBorder="1" applyAlignment="1" applyProtection="1">
      <alignment horizontal="center" vertical="center" wrapText="1"/>
      <protection locked="0"/>
    </xf>
    <xf numFmtId="0" fontId="68" fillId="0" borderId="1" xfId="0" applyFont="1" applyFill="1" applyBorder="1" applyAlignment="1" applyProtection="1">
      <alignment horizontal="center" vertical="center"/>
      <protection locked="0"/>
    </xf>
    <xf numFmtId="190" fontId="251" fillId="0" borderId="1" xfId="0" applyNumberFormat="1" applyFont="1" applyFill="1" applyBorder="1" applyAlignment="1" applyProtection="1">
      <alignment horizontal="center" vertical="center" wrapText="1" shrinkToFit="1"/>
      <protection locked="0"/>
    </xf>
    <xf numFmtId="186" fontId="68" fillId="0" borderId="1" xfId="0" applyNumberFormat="1" applyFont="1" applyFill="1" applyBorder="1" applyAlignment="1" applyProtection="1">
      <alignment horizontal="center" vertical="center" wrapText="1"/>
      <protection locked="0"/>
    </xf>
    <xf numFmtId="0" fontId="68" fillId="0" borderId="9" xfId="0" applyFont="1" applyFill="1" applyBorder="1" applyAlignment="1" applyProtection="1">
      <alignment horizontal="center" vertical="center"/>
      <protection locked="0"/>
    </xf>
    <xf numFmtId="186" fontId="251" fillId="0" borderId="1" xfId="0" applyNumberFormat="1" applyFont="1" applyFill="1" applyBorder="1" applyAlignment="1" applyProtection="1">
      <alignment horizontal="center" vertical="center" wrapText="1"/>
      <protection locked="0"/>
    </xf>
    <xf numFmtId="0" fontId="68" fillId="0" borderId="1" xfId="0" applyFont="1" applyFill="1" applyBorder="1" applyAlignment="1" applyProtection="1">
      <alignment horizontal="justify" vertical="center"/>
      <protection locked="0"/>
    </xf>
    <xf numFmtId="0" fontId="68" fillId="0" borderId="16" xfId="0" applyFont="1" applyFill="1" applyBorder="1" applyAlignment="1" applyProtection="1">
      <alignment horizontal="center" vertical="center"/>
      <protection locked="0"/>
    </xf>
    <xf numFmtId="186" fontId="69" fillId="0" borderId="1" xfId="0" applyNumberFormat="1" applyFont="1" applyFill="1" applyBorder="1" applyAlignment="1" applyProtection="1">
      <alignment horizontal="center" vertical="center" wrapText="1"/>
      <protection locked="0"/>
    </xf>
    <xf numFmtId="187" fontId="68" fillId="0" borderId="1" xfId="0" applyNumberFormat="1" applyFont="1" applyFill="1" applyBorder="1" applyAlignment="1" applyProtection="1">
      <alignment horizontal="center" vertical="center"/>
      <protection locked="0"/>
    </xf>
    <xf numFmtId="182" fontId="68" fillId="0" borderId="1" xfId="0" applyNumberFormat="1" applyFont="1" applyFill="1" applyBorder="1" applyAlignment="1" applyProtection="1">
      <alignment horizontal="center" vertical="center" wrapText="1"/>
      <protection locked="0"/>
    </xf>
    <xf numFmtId="0" fontId="251" fillId="0" borderId="16" xfId="0" applyFont="1" applyFill="1" applyBorder="1" applyAlignment="1" applyProtection="1">
      <alignment horizontal="center" vertical="center" wrapText="1" shrinkToFit="1"/>
      <protection locked="0"/>
    </xf>
    <xf numFmtId="0" fontId="68" fillId="0" borderId="16" xfId="0" applyNumberFormat="1" applyFont="1" applyFill="1" applyBorder="1" applyAlignment="1" applyProtection="1">
      <alignment horizontal="center" vertical="center" shrinkToFit="1"/>
      <protection locked="0"/>
    </xf>
    <xf numFmtId="49" fontId="251" fillId="0" borderId="16" xfId="0" applyNumberFormat="1" applyFont="1" applyFill="1" applyBorder="1" applyAlignment="1" applyProtection="1">
      <alignment horizontal="center" vertical="center" wrapText="1"/>
      <protection locked="0"/>
    </xf>
    <xf numFmtId="0" fontId="68" fillId="0" borderId="16" xfId="0" applyNumberFormat="1" applyFont="1" applyFill="1" applyBorder="1" applyAlignment="1" applyProtection="1">
      <alignment horizontal="center" vertical="center" wrapText="1" shrinkToFit="1"/>
      <protection locked="0"/>
    </xf>
    <xf numFmtId="0" fontId="68" fillId="0" borderId="14" xfId="0" applyFont="1" applyFill="1" applyBorder="1" applyAlignment="1" applyProtection="1">
      <alignment horizontal="center" vertical="center"/>
      <protection locked="0"/>
    </xf>
    <xf numFmtId="191" fontId="68" fillId="0" borderId="1" xfId="0" applyNumberFormat="1" applyFont="1" applyFill="1" applyBorder="1" applyAlignment="1" applyProtection="1">
      <alignment horizontal="center" vertical="center" wrapText="1"/>
      <protection locked="0"/>
    </xf>
    <xf numFmtId="0" fontId="251" fillId="0" borderId="16" xfId="0" applyNumberFormat="1" applyFont="1" applyFill="1" applyBorder="1" applyAlignment="1" applyProtection="1">
      <alignment horizontal="center" vertical="center" wrapText="1"/>
      <protection locked="0"/>
    </xf>
    <xf numFmtId="188" fontId="255" fillId="0" borderId="16" xfId="0" applyNumberFormat="1" applyFont="1" applyFill="1" applyBorder="1" applyAlignment="1" applyProtection="1">
      <alignment horizontal="center" vertical="center"/>
    </xf>
    <xf numFmtId="0" fontId="68" fillId="0" borderId="9" xfId="0" applyFont="1" applyFill="1" applyBorder="1" applyAlignment="1" applyProtection="1">
      <alignment horizontal="center" vertical="center" wrapText="1"/>
      <protection locked="0"/>
    </xf>
    <xf numFmtId="0" fontId="68" fillId="0" borderId="7" xfId="0" applyFont="1" applyFill="1" applyBorder="1" applyAlignment="1" applyProtection="1">
      <alignment horizontal="center" vertical="center"/>
      <protection locked="0"/>
    </xf>
    <xf numFmtId="0" fontId="251" fillId="0" borderId="1" xfId="0" applyNumberFormat="1" applyFont="1" applyFill="1" applyBorder="1" applyAlignment="1" applyProtection="1">
      <alignment horizontal="center" vertical="center" wrapText="1"/>
      <protection locked="0"/>
    </xf>
    <xf numFmtId="0" fontId="218" fillId="0" borderId="1" xfId="0" applyFont="1" applyFill="1" applyBorder="1" applyAlignment="1" applyProtection="1">
      <alignment horizontal="center" vertical="center"/>
      <protection locked="0"/>
    </xf>
    <xf numFmtId="186" fontId="256" fillId="0" borderId="9" xfId="0" applyNumberFormat="1" applyFont="1" applyFill="1" applyBorder="1" applyAlignment="1" applyProtection="1">
      <alignment horizontal="center" vertical="center" wrapText="1"/>
      <protection locked="0"/>
    </xf>
    <xf numFmtId="190" fontId="256" fillId="0" borderId="1" xfId="0" applyNumberFormat="1" applyFont="1" applyFill="1" applyBorder="1" applyAlignment="1" applyProtection="1">
      <alignment horizontal="center" vertical="center" wrapText="1" shrinkToFit="1"/>
      <protection locked="0"/>
    </xf>
    <xf numFmtId="186" fontId="256" fillId="0" borderId="13" xfId="0" applyNumberFormat="1" applyFont="1" applyFill="1" applyBorder="1" applyAlignment="1" applyProtection="1">
      <alignment horizontal="center" vertical="center" wrapText="1"/>
      <protection locked="0"/>
    </xf>
    <xf numFmtId="190" fontId="251" fillId="0" borderId="7" xfId="0" applyNumberFormat="1" applyFont="1" applyFill="1" applyBorder="1" applyAlignment="1" applyProtection="1">
      <alignment horizontal="center" vertical="center" wrapText="1" shrinkToFit="1"/>
      <protection locked="0"/>
    </xf>
    <xf numFmtId="190" fontId="251" fillId="0" borderId="9" xfId="0" applyNumberFormat="1" applyFont="1" applyFill="1" applyBorder="1" applyAlignment="1" applyProtection="1">
      <alignment horizontal="center" vertical="center" wrapText="1" shrinkToFit="1"/>
      <protection locked="0"/>
    </xf>
    <xf numFmtId="186" fontId="257" fillId="0" borderId="1" xfId="0" applyNumberFormat="1" applyFont="1" applyFill="1" applyBorder="1" applyAlignment="1" applyProtection="1">
      <alignment horizontal="center" vertical="center" wrapText="1"/>
      <protection locked="0"/>
    </xf>
    <xf numFmtId="58" fontId="68" fillId="0" borderId="9" xfId="0" applyNumberFormat="1" applyFont="1" applyFill="1" applyBorder="1" applyAlignment="1" applyProtection="1">
      <alignment horizontal="center" vertical="center" wrapText="1"/>
      <protection locked="0"/>
    </xf>
    <xf numFmtId="186" fontId="256" fillId="0" borderId="1" xfId="0" applyNumberFormat="1" applyFont="1" applyFill="1" applyBorder="1" applyAlignment="1" applyProtection="1">
      <alignment horizontal="center" vertical="center" wrapText="1"/>
      <protection locked="0"/>
    </xf>
    <xf numFmtId="188" fontId="68" fillId="0" borderId="16" xfId="0" applyNumberFormat="1" applyFont="1" applyFill="1" applyBorder="1" applyAlignment="1" applyProtection="1">
      <alignment horizontal="center" vertical="center"/>
      <protection locked="0"/>
    </xf>
    <xf numFmtId="186" fontId="258" fillId="0" borderId="9" xfId="0" applyNumberFormat="1" applyFont="1" applyFill="1" applyBorder="1" applyAlignment="1" applyProtection="1">
      <alignment horizontal="center" vertical="center" wrapText="1"/>
      <protection locked="0"/>
    </xf>
    <xf numFmtId="0" fontId="251" fillId="0" borderId="9" xfId="0" applyNumberFormat="1" applyFont="1" applyFill="1" applyBorder="1" applyAlignment="1" applyProtection="1">
      <alignment horizontal="center" vertical="center" wrapText="1"/>
      <protection locked="0"/>
    </xf>
    <xf numFmtId="0" fontId="218" fillId="0" borderId="9" xfId="0" applyFont="1" applyFill="1" applyBorder="1" applyAlignment="1" applyProtection="1">
      <alignment horizontal="center" vertical="center"/>
      <protection locked="0"/>
    </xf>
    <xf numFmtId="191" fontId="68" fillId="0" borderId="9" xfId="0" applyNumberFormat="1" applyFont="1" applyFill="1" applyBorder="1" applyAlignment="1" applyProtection="1">
      <alignment horizontal="center" vertical="center" wrapText="1"/>
      <protection locked="0"/>
    </xf>
    <xf numFmtId="186" fontId="68" fillId="0" borderId="9" xfId="0" applyNumberFormat="1" applyFont="1" applyFill="1" applyBorder="1" applyAlignment="1" applyProtection="1">
      <alignment horizontal="center" vertical="center" wrapText="1"/>
      <protection locked="0"/>
    </xf>
    <xf numFmtId="186" fontId="69" fillId="0" borderId="9" xfId="0" applyNumberFormat="1" applyFont="1" applyFill="1" applyBorder="1" applyAlignment="1" applyProtection="1">
      <alignment horizontal="center" vertical="center" wrapText="1"/>
      <protection locked="0"/>
    </xf>
    <xf numFmtId="187" fontId="68" fillId="0" borderId="9" xfId="0" applyNumberFormat="1" applyFont="1" applyFill="1" applyBorder="1" applyAlignment="1" applyProtection="1">
      <alignment horizontal="center" vertical="center"/>
      <protection locked="0"/>
    </xf>
    <xf numFmtId="182" fontId="68" fillId="0" borderId="9" xfId="0" applyNumberFormat="1" applyFont="1" applyFill="1" applyBorder="1" applyAlignment="1" applyProtection="1">
      <alignment horizontal="center" vertical="center" wrapText="1"/>
      <protection locked="0"/>
    </xf>
    <xf numFmtId="186" fontId="258" fillId="0" borderId="1" xfId="0" applyNumberFormat="1" applyFont="1" applyFill="1" applyBorder="1" applyAlignment="1" applyProtection="1">
      <alignment horizontal="center" vertical="center" wrapText="1"/>
      <protection locked="0"/>
    </xf>
    <xf numFmtId="186" fontId="50" fillId="0" borderId="1" xfId="0" applyNumberFormat="1" applyFont="1" applyFill="1" applyBorder="1" applyAlignment="1" applyProtection="1">
      <alignment horizontal="center" vertical="center" wrapText="1"/>
      <protection locked="0"/>
    </xf>
    <xf numFmtId="190" fontId="258" fillId="0" borderId="1" xfId="0" applyNumberFormat="1" applyFont="1" applyFill="1" applyBorder="1" applyAlignment="1" applyProtection="1">
      <alignment horizontal="center" vertical="center" wrapText="1" shrinkToFit="1"/>
      <protection locked="0"/>
    </xf>
    <xf numFmtId="186" fontId="50" fillId="0" borderId="9" xfId="0" applyNumberFormat="1" applyFont="1" applyFill="1" applyBorder="1" applyAlignment="1" applyProtection="1">
      <alignment horizontal="center" vertical="center" wrapText="1"/>
      <protection locked="0"/>
    </xf>
    <xf numFmtId="0" fontId="257" fillId="0" borderId="1" xfId="0" applyFont="1" applyFill="1" applyBorder="1" applyAlignment="1" applyProtection="1">
      <alignment horizontal="justify" vertical="center"/>
      <protection locked="0"/>
    </xf>
    <xf numFmtId="186" fontId="50" fillId="4" borderId="9" xfId="0" applyNumberFormat="1" applyFont="1" applyFill="1" applyBorder="1" applyAlignment="1" applyProtection="1">
      <alignment horizontal="center" vertical="center" wrapText="1"/>
      <protection locked="0"/>
    </xf>
    <xf numFmtId="0" fontId="257" fillId="0" borderId="16" xfId="0" applyFont="1" applyFill="1" applyBorder="1" applyAlignment="1" applyProtection="1">
      <alignment horizontal="center" vertical="center" wrapText="1"/>
      <protection locked="0"/>
    </xf>
    <xf numFmtId="0" fontId="257" fillId="0" borderId="1" xfId="0" applyFont="1" applyFill="1" applyBorder="1" applyAlignment="1" applyProtection="1">
      <alignment horizontal="center" vertical="center" wrapText="1"/>
      <protection locked="0"/>
    </xf>
    <xf numFmtId="186" fontId="50" fillId="4" borderId="1" xfId="0" applyNumberFormat="1" applyFont="1" applyFill="1" applyBorder="1" applyAlignment="1" applyProtection="1">
      <alignment horizontal="center" vertical="center" wrapText="1"/>
      <protection locked="0"/>
    </xf>
    <xf numFmtId="186" fontId="50" fillId="3" borderId="1" xfId="0" applyNumberFormat="1" applyFont="1" applyFill="1" applyBorder="1" applyAlignment="1" applyProtection="1">
      <alignment horizontal="center" vertical="center" wrapText="1"/>
      <protection locked="0"/>
    </xf>
    <xf numFmtId="186" fontId="69" fillId="4" borderId="1" xfId="0" applyNumberFormat="1" applyFont="1" applyFill="1" applyBorder="1" applyAlignment="1" applyProtection="1">
      <alignment horizontal="center" vertical="center" wrapText="1"/>
      <protection locked="0"/>
    </xf>
    <xf numFmtId="187" fontId="68" fillId="0" borderId="1" xfId="0" applyNumberFormat="1" applyFont="1" applyFill="1" applyBorder="1" applyAlignment="1" applyProtection="1">
      <alignment horizontal="center" vertical="center" wrapText="1"/>
      <protection locked="0"/>
    </xf>
    <xf numFmtId="187" fontId="68" fillId="0" borderId="9" xfId="0" applyNumberFormat="1" applyFont="1" applyFill="1" applyBorder="1" applyAlignment="1" applyProtection="1">
      <alignment horizontal="center" vertical="center" wrapText="1"/>
      <protection locked="0"/>
    </xf>
    <xf numFmtId="0" fontId="68" fillId="0" borderId="1" xfId="0" applyNumberFormat="1" applyFont="1" applyFill="1" applyBorder="1" applyAlignment="1" applyProtection="1">
      <alignment horizontal="center" vertical="center" wrapText="1"/>
      <protection locked="0"/>
    </xf>
    <xf numFmtId="0" fontId="111" fillId="4" borderId="1" xfId="0" applyFont="1" applyFill="1" applyBorder="1" applyAlignment="1" applyProtection="1">
      <alignment horizontal="center" vertical="center" wrapText="1"/>
      <protection locked="0"/>
    </xf>
    <xf numFmtId="0" fontId="259" fillId="0" borderId="1" xfId="0" applyFont="1" applyFill="1" applyBorder="1" applyAlignment="1" applyProtection="1">
      <alignment horizontal="center" vertical="center" wrapText="1"/>
      <protection locked="0"/>
    </xf>
    <xf numFmtId="186" fontId="69" fillId="3" borderId="9" xfId="0" applyNumberFormat="1" applyFont="1" applyFill="1" applyBorder="1" applyAlignment="1" applyProtection="1">
      <alignment horizontal="center" vertical="center" wrapText="1"/>
      <protection locked="0"/>
    </xf>
    <xf numFmtId="186" fontId="68" fillId="4" borderId="1" xfId="0" applyNumberFormat="1" applyFont="1" applyFill="1" applyBorder="1" applyAlignment="1" applyProtection="1">
      <alignment horizontal="center" vertical="center" wrapText="1"/>
      <protection locked="0"/>
    </xf>
    <xf numFmtId="188" fontId="68" fillId="0" borderId="1" xfId="0" applyNumberFormat="1" applyFont="1" applyFill="1" applyBorder="1" applyAlignment="1" applyProtection="1">
      <alignment horizontal="center" vertical="center"/>
    </xf>
    <xf numFmtId="0" fontId="260" fillId="0" borderId="1" xfId="0" applyNumberFormat="1" applyFont="1" applyFill="1" applyBorder="1" applyAlignment="1" applyProtection="1">
      <alignment horizontal="center" vertical="center" shrinkToFit="1"/>
      <protection locked="0"/>
    </xf>
    <xf numFmtId="0" fontId="68" fillId="0" borderId="1" xfId="0" applyFont="1" applyFill="1" applyBorder="1" applyAlignment="1" applyProtection="1">
      <alignment horizontal="center" vertical="center" wrapText="1" shrinkToFit="1"/>
      <protection locked="0"/>
    </xf>
    <xf numFmtId="0" fontId="251" fillId="0" borderId="1" xfId="0" applyFont="1" applyFill="1" applyBorder="1" applyAlignment="1" applyProtection="1">
      <alignment horizontal="center" vertical="center"/>
      <protection locked="0"/>
    </xf>
    <xf numFmtId="0" fontId="260" fillId="0" borderId="16" xfId="0" applyNumberFormat="1" applyFont="1" applyFill="1" applyBorder="1" applyAlignment="1" applyProtection="1">
      <alignment horizontal="center" vertical="center" shrinkToFit="1"/>
      <protection locked="0"/>
    </xf>
    <xf numFmtId="186" fontId="111" fillId="0" borderId="1" xfId="0" applyNumberFormat="1" applyFont="1" applyFill="1" applyBorder="1" applyAlignment="1" applyProtection="1">
      <alignment horizontal="center" vertical="center" wrapText="1"/>
      <protection locked="0"/>
    </xf>
    <xf numFmtId="0" fontId="69" fillId="4" borderId="1" xfId="0" applyFont="1" applyFill="1" applyBorder="1" applyAlignment="1" applyProtection="1">
      <alignment horizontal="center" vertical="center" wrapText="1"/>
      <protection locked="0"/>
    </xf>
    <xf numFmtId="14" fontId="258" fillId="0" borderId="1" xfId="0" applyNumberFormat="1" applyFont="1" applyFill="1" applyBorder="1" applyAlignment="1" applyProtection="1">
      <alignment horizontal="center" vertical="center"/>
      <protection locked="0"/>
    </xf>
    <xf numFmtId="0" fontId="261" fillId="0" borderId="1" xfId="0" applyNumberFormat="1" applyFont="1" applyFill="1" applyBorder="1" applyAlignment="1" applyProtection="1">
      <alignment horizontal="center" vertical="center"/>
    </xf>
    <xf numFmtId="0" fontId="262" fillId="0" borderId="1" xfId="0" applyFont="1" applyFill="1" applyBorder="1" applyAlignment="1" applyProtection="1">
      <alignment horizontal="center" vertical="center"/>
      <protection locked="0"/>
    </xf>
    <xf numFmtId="0" fontId="263" fillId="0" borderId="16" xfId="0" applyFont="1" applyFill="1" applyBorder="1" applyAlignment="1" applyProtection="1">
      <alignment horizontal="center" vertical="center"/>
    </xf>
    <xf numFmtId="195" fontId="68" fillId="0" borderId="1" xfId="0" applyNumberFormat="1" applyFont="1" applyFill="1" applyBorder="1" applyAlignment="1" applyProtection="1">
      <alignment horizontal="center" vertical="center"/>
      <protection locked="0"/>
    </xf>
    <xf numFmtId="182" fontId="251" fillId="0" borderId="1" xfId="0" applyNumberFormat="1" applyFont="1" applyFill="1" applyBorder="1" applyAlignment="1" applyProtection="1">
      <alignment horizontal="center" vertical="center"/>
      <protection locked="0"/>
    </xf>
    <xf numFmtId="188" fontId="257" fillId="0" borderId="1" xfId="0" applyNumberFormat="1" applyFont="1" applyFill="1" applyBorder="1" applyAlignment="1" applyProtection="1">
      <alignment horizontal="center" vertical="center"/>
    </xf>
    <xf numFmtId="49" fontId="258" fillId="0" borderId="1" xfId="0" applyNumberFormat="1" applyFont="1" applyFill="1" applyBorder="1" applyAlignment="1" applyProtection="1">
      <alignment horizontal="center" vertical="center" wrapText="1"/>
      <protection locked="0"/>
    </xf>
    <xf numFmtId="0" fontId="257" fillId="0" borderId="1" xfId="0" applyNumberFormat="1" applyFont="1" applyFill="1" applyBorder="1" applyAlignment="1" applyProtection="1">
      <alignment horizontal="center" vertical="center" shrinkToFit="1"/>
      <protection locked="0"/>
    </xf>
    <xf numFmtId="0" fontId="257" fillId="0" borderId="1" xfId="0" applyFont="1" applyFill="1" applyBorder="1" applyAlignment="1" applyProtection="1">
      <alignment horizontal="center" vertical="center"/>
      <protection locked="0"/>
    </xf>
    <xf numFmtId="191" fontId="255" fillId="0" borderId="1" xfId="0" applyNumberFormat="1" applyFont="1" applyFill="1" applyBorder="1" applyAlignment="1" applyProtection="1">
      <alignment horizontal="center" vertical="center" wrapText="1"/>
      <protection locked="0"/>
    </xf>
    <xf numFmtId="0" fontId="69" fillId="4" borderId="1" xfId="0" applyFont="1" applyFill="1" applyBorder="1" applyAlignment="1" applyProtection="1">
      <alignment horizontal="center" vertical="center"/>
      <protection locked="0"/>
    </xf>
    <xf numFmtId="187" fontId="68" fillId="3" borderId="9" xfId="0" applyNumberFormat="1" applyFont="1" applyFill="1" applyBorder="1" applyAlignment="1" applyProtection="1">
      <alignment horizontal="center" vertical="center"/>
      <protection locked="0"/>
    </xf>
    <xf numFmtId="186" fontId="251" fillId="0" borderId="9" xfId="0" applyNumberFormat="1" applyFont="1" applyFill="1" applyBorder="1" applyAlignment="1" applyProtection="1">
      <alignment horizontal="center" vertical="center" wrapText="1"/>
      <protection locked="0"/>
    </xf>
    <xf numFmtId="0" fontId="68" fillId="4" borderId="1" xfId="0" applyFont="1" applyFill="1" applyBorder="1" applyAlignment="1" applyProtection="1">
      <alignment horizontal="center" vertical="center"/>
      <protection locked="0"/>
    </xf>
    <xf numFmtId="0" fontId="68" fillId="4" borderId="1" xfId="0" applyFont="1" applyFill="1" applyBorder="1" applyAlignment="1" applyProtection="1">
      <alignment horizontal="center" vertical="center" wrapText="1"/>
      <protection locked="0"/>
    </xf>
    <xf numFmtId="0" fontId="111" fillId="4" borderId="1" xfId="0" applyFont="1" applyFill="1" applyBorder="1" applyAlignment="1" applyProtection="1">
      <alignment horizontal="center" vertical="center"/>
      <protection locked="0"/>
    </xf>
    <xf numFmtId="0" fontId="111" fillId="0" borderId="1" xfId="0" applyFont="1" applyFill="1" applyBorder="1" applyAlignment="1" applyProtection="1">
      <alignment horizontal="center" vertical="center"/>
      <protection locked="0"/>
    </xf>
    <xf numFmtId="0" fontId="111" fillId="0" borderId="1" xfId="0" applyFont="1" applyFill="1" applyBorder="1" applyAlignment="1" applyProtection="1">
      <alignment horizontal="center" vertical="center" wrapText="1"/>
      <protection locked="0"/>
    </xf>
    <xf numFmtId="186" fontId="257" fillId="0" borderId="7" xfId="0" applyNumberFormat="1" applyFont="1" applyFill="1" applyBorder="1" applyAlignment="1" applyProtection="1">
      <alignment horizontal="center" vertical="center" wrapText="1"/>
      <protection locked="0"/>
    </xf>
    <xf numFmtId="0" fontId="68" fillId="4" borderId="9" xfId="0" applyFont="1" applyFill="1" applyBorder="1" applyAlignment="1" applyProtection="1">
      <alignment horizontal="center" vertical="center" wrapText="1"/>
      <protection locked="0"/>
    </xf>
    <xf numFmtId="188" fontId="111" fillId="0" borderId="16" xfId="0" applyNumberFormat="1" applyFont="1" applyFill="1" applyBorder="1" applyAlignment="1" applyProtection="1">
      <alignment horizontal="center" vertical="center"/>
    </xf>
    <xf numFmtId="49" fontId="252" fillId="0" borderId="16" xfId="0" applyNumberFormat="1" applyFont="1" applyFill="1" applyBorder="1" applyAlignment="1" applyProtection="1">
      <alignment horizontal="center" vertical="center" wrapText="1"/>
      <protection locked="0"/>
    </xf>
    <xf numFmtId="0" fontId="252" fillId="0" borderId="16" xfId="0" applyFont="1" applyFill="1" applyBorder="1" applyAlignment="1" applyProtection="1">
      <alignment horizontal="center" vertical="center" wrapText="1" shrinkToFit="1"/>
      <protection locked="0"/>
    </xf>
    <xf numFmtId="0" fontId="111" fillId="0" borderId="16" xfId="0" applyNumberFormat="1" applyFont="1" applyFill="1" applyBorder="1" applyAlignment="1" applyProtection="1">
      <alignment horizontal="center" vertical="center" shrinkToFit="1"/>
      <protection locked="0"/>
    </xf>
    <xf numFmtId="190" fontId="252" fillId="0" borderId="1" xfId="0" applyNumberFormat="1" applyFont="1" applyFill="1" applyBorder="1" applyAlignment="1" applyProtection="1">
      <alignment horizontal="center" vertical="center" wrapText="1" shrinkToFit="1"/>
      <protection locked="0"/>
    </xf>
    <xf numFmtId="0" fontId="45" fillId="0" borderId="1" xfId="0" applyFont="1" applyFill="1" applyBorder="1" applyAlignment="1" applyProtection="1">
      <alignment horizontal="center" vertical="center" wrapText="1"/>
      <protection locked="0"/>
    </xf>
    <xf numFmtId="186" fontId="35" fillId="0" borderId="9" xfId="0" applyNumberFormat="1" applyFont="1" applyFill="1" applyBorder="1" applyAlignment="1" applyProtection="1">
      <alignment horizontal="center" vertical="center" wrapText="1"/>
      <protection locked="0"/>
    </xf>
    <xf numFmtId="186" fontId="252" fillId="0" borderId="9" xfId="0" applyNumberFormat="1" applyFont="1" applyFill="1" applyBorder="1" applyAlignment="1" applyProtection="1">
      <alignment horizontal="center" vertical="center" wrapText="1"/>
      <protection locked="0"/>
    </xf>
    <xf numFmtId="186" fontId="35" fillId="0" borderId="1" xfId="0" applyNumberFormat="1" applyFont="1" applyFill="1" applyBorder="1" applyAlignment="1" applyProtection="1">
      <alignment horizontal="center" vertical="center" wrapText="1"/>
      <protection locked="0"/>
    </xf>
    <xf numFmtId="0" fontId="45" fillId="0" borderId="1" xfId="0" applyFont="1" applyFill="1" applyBorder="1" applyAlignment="1" applyProtection="1">
      <alignment horizontal="justify" vertical="center"/>
      <protection locked="0"/>
    </xf>
    <xf numFmtId="0" fontId="252" fillId="0" borderId="1" xfId="0" applyNumberFormat="1" applyFont="1" applyFill="1" applyBorder="1" applyAlignment="1" applyProtection="1">
      <alignment horizontal="center" vertical="center" wrapText="1"/>
      <protection locked="0"/>
    </xf>
    <xf numFmtId="195" fontId="111" fillId="0" borderId="1" xfId="0" applyNumberFormat="1" applyFont="1" applyFill="1" applyBorder="1" applyAlignment="1" applyProtection="1">
      <alignment horizontal="center" vertical="center"/>
      <protection locked="0"/>
    </xf>
    <xf numFmtId="191" fontId="111" fillId="0" borderId="1" xfId="0" applyNumberFormat="1" applyFont="1" applyFill="1" applyBorder="1" applyAlignment="1" applyProtection="1">
      <alignment horizontal="center" vertical="center" wrapText="1"/>
      <protection locked="0"/>
    </xf>
    <xf numFmtId="186" fontId="111" fillId="0" borderId="9" xfId="0" applyNumberFormat="1" applyFont="1" applyFill="1" applyBorder="1" applyAlignment="1" applyProtection="1">
      <alignment horizontal="center" vertical="center" wrapText="1"/>
      <protection locked="0"/>
    </xf>
    <xf numFmtId="0" fontId="111" fillId="4" borderId="9" xfId="0" applyFont="1" applyFill="1" applyBorder="1" applyAlignment="1" applyProtection="1">
      <alignment horizontal="center" vertical="center" wrapText="1"/>
      <protection locked="0"/>
    </xf>
    <xf numFmtId="187" fontId="111" fillId="0" borderId="9" xfId="0" applyNumberFormat="1" applyFont="1" applyFill="1" applyBorder="1" applyAlignment="1" applyProtection="1">
      <alignment horizontal="center" vertical="center"/>
      <protection locked="0"/>
    </xf>
    <xf numFmtId="187" fontId="111" fillId="0" borderId="1" xfId="0" applyNumberFormat="1" applyFont="1" applyFill="1" applyBorder="1" applyAlignment="1" applyProtection="1">
      <alignment horizontal="center" vertical="center" wrapText="1"/>
      <protection locked="0"/>
    </xf>
    <xf numFmtId="187" fontId="111" fillId="3" borderId="9" xfId="0" applyNumberFormat="1" applyFont="1" applyFill="1" applyBorder="1" applyAlignment="1" applyProtection="1">
      <alignment horizontal="center" vertical="center"/>
      <protection locked="0"/>
    </xf>
    <xf numFmtId="182" fontId="111" fillId="0" borderId="1" xfId="0" applyNumberFormat="1" applyFont="1" applyFill="1" applyBorder="1" applyAlignment="1" applyProtection="1">
      <alignment horizontal="center" vertical="center" wrapText="1"/>
      <protection locked="0"/>
    </xf>
    <xf numFmtId="182" fontId="111" fillId="0" borderId="9" xfId="0" applyNumberFormat="1" applyFont="1" applyFill="1" applyBorder="1" applyAlignment="1" applyProtection="1">
      <alignment horizontal="center" vertical="center" wrapText="1"/>
      <protection locked="0"/>
    </xf>
    <xf numFmtId="182" fontId="252" fillId="0" borderId="1" xfId="0" applyNumberFormat="1" applyFont="1" applyFill="1" applyBorder="1" applyAlignment="1" applyProtection="1">
      <alignment horizontal="center" vertical="center"/>
      <protection locked="0"/>
    </xf>
    <xf numFmtId="0" fontId="252" fillId="0" borderId="1" xfId="0" applyFont="1" applyFill="1" applyBorder="1" applyAlignment="1" applyProtection="1">
      <alignment horizontal="center" vertical="center"/>
      <protection locked="0"/>
    </xf>
    <xf numFmtId="211" fontId="252" fillId="0" borderId="1" xfId="0" applyNumberFormat="1" applyFont="1" applyFill="1" applyBorder="1" applyAlignment="1" applyProtection="1">
      <alignment horizontal="center" vertical="center"/>
      <protection locked="0"/>
    </xf>
    <xf numFmtId="186" fontId="45" fillId="0" borderId="1" xfId="0" applyNumberFormat="1" applyFont="1" applyFill="1" applyBorder="1" applyAlignment="1" applyProtection="1">
      <alignment horizontal="center" vertical="center" wrapText="1"/>
      <protection locked="0"/>
    </xf>
    <xf numFmtId="186" fontId="45" fillId="0" borderId="7" xfId="0" applyNumberFormat="1" applyFont="1" applyFill="1" applyBorder="1" applyAlignment="1" applyProtection="1">
      <alignment horizontal="center" vertical="center" wrapText="1"/>
      <protection locked="0"/>
    </xf>
    <xf numFmtId="0" fontId="68" fillId="3" borderId="1" xfId="0" applyFont="1" applyFill="1" applyBorder="1" applyAlignment="1" applyProtection="1">
      <alignment horizontal="center" vertical="center"/>
      <protection locked="0"/>
    </xf>
    <xf numFmtId="0" fontId="68" fillId="3" borderId="1" xfId="0" applyFont="1" applyFill="1" applyBorder="1" applyAlignment="1" applyProtection="1">
      <alignment horizontal="center" vertical="center" wrapText="1"/>
      <protection locked="0"/>
    </xf>
    <xf numFmtId="0" fontId="68" fillId="3" borderId="9" xfId="0" applyFont="1" applyFill="1" applyBorder="1" applyAlignment="1" applyProtection="1">
      <alignment horizontal="center" vertical="center" wrapText="1"/>
      <protection locked="0"/>
    </xf>
    <xf numFmtId="188" fontId="69" fillId="0" borderId="16" xfId="0" applyNumberFormat="1" applyFont="1" applyFill="1" applyBorder="1" applyAlignment="1" applyProtection="1">
      <alignment horizontal="center" vertical="center"/>
    </xf>
    <xf numFmtId="49" fontId="56" fillId="0" borderId="16" xfId="0" applyNumberFormat="1" applyFont="1" applyFill="1" applyBorder="1" applyAlignment="1" applyProtection="1">
      <alignment horizontal="center" vertical="center" wrapText="1"/>
      <protection locked="0"/>
    </xf>
    <xf numFmtId="0" fontId="56" fillId="0" borderId="16" xfId="0" applyFont="1" applyFill="1" applyBorder="1" applyAlignment="1" applyProtection="1">
      <alignment horizontal="center" vertical="center" wrapText="1" shrinkToFit="1"/>
      <protection locked="0"/>
    </xf>
    <xf numFmtId="0" fontId="69" fillId="0" borderId="16" xfId="0" applyNumberFormat="1" applyFont="1" applyFill="1" applyBorder="1" applyAlignment="1" applyProtection="1">
      <alignment horizontal="center" vertical="center" shrinkToFit="1"/>
      <protection locked="0"/>
    </xf>
    <xf numFmtId="0" fontId="69" fillId="0" borderId="1" xfId="0" applyFont="1" applyFill="1" applyBorder="1" applyAlignment="1" applyProtection="1">
      <alignment horizontal="center" vertical="center" wrapText="1"/>
      <protection locked="0"/>
    </xf>
    <xf numFmtId="0" fontId="69" fillId="0" borderId="1" xfId="0" applyFont="1" applyFill="1" applyBorder="1" applyAlignment="1" applyProtection="1">
      <alignment horizontal="center" vertical="center"/>
      <protection locked="0"/>
    </xf>
    <xf numFmtId="190" fontId="56" fillId="0" borderId="1" xfId="0" applyNumberFormat="1" applyFont="1" applyFill="1" applyBorder="1" applyAlignment="1" applyProtection="1">
      <alignment horizontal="center" vertical="center" wrapText="1" shrinkToFit="1"/>
      <protection locked="0"/>
    </xf>
    <xf numFmtId="186" fontId="36" fillId="0" borderId="9" xfId="0" applyNumberFormat="1" applyFont="1" applyFill="1" applyBorder="1" applyAlignment="1" applyProtection="1">
      <alignment horizontal="center" vertical="center" wrapText="1"/>
      <protection locked="0"/>
    </xf>
    <xf numFmtId="186" fontId="36" fillId="0" borderId="1" xfId="0" applyNumberFormat="1" applyFont="1" applyFill="1" applyBorder="1" applyAlignment="1" applyProtection="1">
      <alignment horizontal="center" vertical="center" wrapText="1"/>
      <protection locked="0"/>
    </xf>
    <xf numFmtId="0" fontId="46" fillId="0" borderId="1" xfId="0" applyFont="1" applyFill="1" applyBorder="1" applyAlignment="1" applyProtection="1">
      <alignment horizontal="justify" vertical="center"/>
      <protection locked="0"/>
    </xf>
    <xf numFmtId="0" fontId="56" fillId="0" borderId="1" xfId="0" applyNumberFormat="1" applyFont="1" applyFill="1" applyBorder="1" applyAlignment="1" applyProtection="1">
      <alignment horizontal="center" vertical="center" wrapText="1"/>
      <protection locked="0"/>
    </xf>
    <xf numFmtId="191" fontId="69" fillId="0" borderId="1" xfId="0" applyNumberFormat="1" applyFont="1" applyFill="1" applyBorder="1" applyAlignment="1" applyProtection="1">
      <alignment horizontal="center" vertical="center" wrapText="1"/>
      <protection locked="0"/>
    </xf>
    <xf numFmtId="0" fontId="69" fillId="3" borderId="1" xfId="0" applyFont="1" applyFill="1" applyBorder="1" applyAlignment="1" applyProtection="1">
      <alignment horizontal="center" vertical="center"/>
      <protection locked="0"/>
    </xf>
    <xf numFmtId="0" fontId="69" fillId="3" borderId="1" xfId="0" applyFont="1" applyFill="1" applyBorder="1" applyAlignment="1" applyProtection="1">
      <alignment horizontal="center" vertical="center" wrapText="1"/>
      <protection locked="0"/>
    </xf>
    <xf numFmtId="0" fontId="69" fillId="3" borderId="9" xfId="0" applyFont="1" applyFill="1" applyBorder="1" applyAlignment="1" applyProtection="1">
      <alignment horizontal="center" vertical="center" wrapText="1"/>
      <protection locked="0"/>
    </xf>
    <xf numFmtId="187" fontId="69" fillId="0" borderId="9" xfId="0" applyNumberFormat="1" applyFont="1" applyFill="1" applyBorder="1" applyAlignment="1" applyProtection="1">
      <alignment horizontal="center" vertical="center"/>
      <protection locked="0"/>
    </xf>
    <xf numFmtId="187" fontId="69" fillId="0" borderId="1" xfId="0" applyNumberFormat="1" applyFont="1" applyFill="1" applyBorder="1" applyAlignment="1" applyProtection="1">
      <alignment horizontal="center" vertical="center" wrapText="1"/>
      <protection locked="0"/>
    </xf>
    <xf numFmtId="182" fontId="69" fillId="0" borderId="1" xfId="0" applyNumberFormat="1" applyFont="1" applyFill="1" applyBorder="1" applyAlignment="1" applyProtection="1">
      <alignment horizontal="center" vertical="center" wrapText="1"/>
      <protection locked="0"/>
    </xf>
    <xf numFmtId="182" fontId="69" fillId="0" borderId="9" xfId="0" applyNumberFormat="1" applyFont="1" applyFill="1" applyBorder="1" applyAlignment="1" applyProtection="1">
      <alignment horizontal="center" vertical="center" wrapText="1"/>
      <protection locked="0"/>
    </xf>
    <xf numFmtId="187" fontId="69" fillId="0" borderId="1" xfId="0" applyNumberFormat="1" applyFont="1" applyFill="1" applyBorder="1" applyAlignment="1" applyProtection="1">
      <alignment horizontal="center" vertical="center"/>
      <protection locked="0"/>
    </xf>
    <xf numFmtId="195" fontId="69" fillId="0" borderId="1" xfId="0" applyNumberFormat="1" applyFont="1" applyFill="1" applyBorder="1" applyAlignment="1" applyProtection="1">
      <alignment horizontal="center" vertical="center"/>
      <protection locked="0"/>
    </xf>
    <xf numFmtId="0" fontId="69" fillId="4" borderId="9" xfId="0" applyFont="1" applyFill="1" applyBorder="1" applyAlignment="1" applyProtection="1">
      <alignment horizontal="center" vertical="center" wrapText="1"/>
      <protection locked="0"/>
    </xf>
    <xf numFmtId="182" fontId="56" fillId="0" borderId="1" xfId="0" applyNumberFormat="1" applyFont="1" applyFill="1" applyBorder="1" applyAlignment="1" applyProtection="1">
      <alignment horizontal="center" vertical="center"/>
      <protection locked="0"/>
    </xf>
    <xf numFmtId="0" fontId="56" fillId="0" borderId="1" xfId="0" applyFont="1" applyFill="1" applyBorder="1" applyAlignment="1" applyProtection="1">
      <alignment horizontal="center" vertical="center"/>
      <protection locked="0"/>
    </xf>
    <xf numFmtId="0" fontId="111" fillId="3" borderId="1" xfId="0" applyFont="1" applyFill="1" applyBorder="1" applyAlignment="1" applyProtection="1">
      <alignment horizontal="center" vertical="center"/>
      <protection locked="0"/>
    </xf>
    <xf numFmtId="0" fontId="111" fillId="3" borderId="1" xfId="0" applyFont="1" applyFill="1" applyBorder="1" applyAlignment="1" applyProtection="1">
      <alignment horizontal="center" vertical="center" wrapText="1"/>
      <protection locked="0"/>
    </xf>
    <xf numFmtId="182" fontId="111" fillId="4" borderId="1" xfId="0" applyNumberFormat="1" applyFont="1" applyFill="1" applyBorder="1" applyAlignment="1" applyProtection="1">
      <alignment horizontal="center" vertical="center" wrapText="1"/>
      <protection locked="0"/>
    </xf>
    <xf numFmtId="182" fontId="111" fillId="4" borderId="9" xfId="0" applyNumberFormat="1" applyFont="1" applyFill="1" applyBorder="1" applyAlignment="1" applyProtection="1">
      <alignment horizontal="center" vertical="center" wrapText="1"/>
      <protection locked="0"/>
    </xf>
    <xf numFmtId="187" fontId="111" fillId="0" borderId="1" xfId="0" applyNumberFormat="1" applyFont="1" applyFill="1" applyBorder="1" applyAlignment="1" applyProtection="1">
      <alignment horizontal="center" vertical="center"/>
      <protection locked="0"/>
    </xf>
    <xf numFmtId="182" fontId="111" fillId="3" borderId="1" xfId="0" applyNumberFormat="1" applyFont="1" applyFill="1" applyBorder="1" applyAlignment="1" applyProtection="1">
      <alignment horizontal="center" vertical="center" wrapText="1"/>
      <protection locked="0"/>
    </xf>
    <xf numFmtId="182" fontId="111" fillId="3" borderId="9" xfId="0" applyNumberFormat="1" applyFont="1" applyFill="1" applyBorder="1" applyAlignment="1" applyProtection="1">
      <alignment horizontal="center" vertical="center" wrapText="1"/>
      <protection locked="0"/>
    </xf>
    <xf numFmtId="182" fontId="252" fillId="0" borderId="9" xfId="0" applyNumberFormat="1" applyFont="1" applyFill="1" applyBorder="1" applyAlignment="1" applyProtection="1">
      <alignment horizontal="center" vertical="center"/>
      <protection locked="0"/>
    </xf>
    <xf numFmtId="0" fontId="252" fillId="0" borderId="9" xfId="0" applyFont="1" applyFill="1" applyBorder="1" applyAlignment="1" applyProtection="1">
      <alignment horizontal="center" vertical="center"/>
      <protection locked="0"/>
    </xf>
    <xf numFmtId="190" fontId="264" fillId="0" borderId="1" xfId="0" applyNumberFormat="1" applyFont="1" applyFill="1" applyBorder="1" applyAlignment="1">
      <alignment horizontal="center" vertical="center" wrapText="1" shrinkToFit="1"/>
    </xf>
    <xf numFmtId="187" fontId="111" fillId="3" borderId="1" xfId="0" applyNumberFormat="1" applyFont="1" applyFill="1" applyBorder="1" applyAlignment="1" applyProtection="1">
      <alignment horizontal="center" vertical="center"/>
      <protection locked="0"/>
    </xf>
    <xf numFmtId="0" fontId="111" fillId="0" borderId="16" xfId="0" applyFont="1" applyFill="1" applyBorder="1" applyAlignment="1" applyProtection="1">
      <alignment horizontal="center" vertical="center" wrapText="1"/>
      <protection locked="0"/>
    </xf>
    <xf numFmtId="0" fontId="45" fillId="0" borderId="9" xfId="0" applyFont="1" applyFill="1" applyBorder="1" applyAlignment="1" applyProtection="1">
      <alignment horizontal="center" vertical="center"/>
      <protection locked="0"/>
    </xf>
    <xf numFmtId="0" fontId="111" fillId="0" borderId="1" xfId="0" applyFont="1" applyFill="1" applyBorder="1" applyAlignment="1" applyProtection="1">
      <alignment horizontal="justify" vertical="center"/>
      <protection locked="0"/>
    </xf>
    <xf numFmtId="0" fontId="111" fillId="0" borderId="16" xfId="0" applyFont="1" applyFill="1" applyBorder="1" applyAlignment="1" applyProtection="1">
      <alignment horizontal="center" vertical="center"/>
      <protection locked="0"/>
    </xf>
    <xf numFmtId="196" fontId="111" fillId="0" borderId="1" xfId="0" applyNumberFormat="1" applyFont="1" applyFill="1" applyBorder="1" applyAlignment="1" applyProtection="1">
      <alignment horizontal="center" vertical="center"/>
      <protection locked="0"/>
    </xf>
    <xf numFmtId="188" fontId="111" fillId="0" borderId="1" xfId="0" applyNumberFormat="1" applyFont="1" applyFill="1" applyBorder="1" applyAlignment="1" applyProtection="1">
      <alignment horizontal="center" vertical="center"/>
    </xf>
    <xf numFmtId="0" fontId="252" fillId="0" borderId="10" xfId="0" applyFont="1" applyFill="1" applyBorder="1" applyAlignment="1" applyProtection="1">
      <alignment horizontal="center" vertical="center"/>
      <protection locked="0"/>
    </xf>
    <xf numFmtId="0" fontId="252" fillId="0" borderId="23" xfId="0" applyFont="1" applyFill="1" applyBorder="1" applyAlignment="1" applyProtection="1">
      <alignment horizontal="center" vertical="center"/>
      <protection locked="0"/>
    </xf>
    <xf numFmtId="0" fontId="252" fillId="0" borderId="0" xfId="0" applyFont="1" applyFill="1" applyBorder="1" applyProtection="1">
      <alignment vertical="center"/>
      <protection locked="0"/>
    </xf>
    <xf numFmtId="0" fontId="252" fillId="0" borderId="7" xfId="0" applyFont="1" applyFill="1" applyBorder="1" applyProtection="1">
      <alignment vertical="center"/>
      <protection locked="0"/>
    </xf>
    <xf numFmtId="188" fontId="111" fillId="0" borderId="21" xfId="0" applyNumberFormat="1" applyFont="1" applyFill="1" applyBorder="1" applyAlignment="1" applyProtection="1">
      <alignment horizontal="center" vertical="center"/>
    </xf>
    <xf numFmtId="0" fontId="111" fillId="0" borderId="21" xfId="0" applyFont="1" applyFill="1" applyBorder="1" applyAlignment="1" applyProtection="1">
      <alignment horizontal="center" vertical="center" wrapText="1"/>
      <protection locked="0"/>
    </xf>
    <xf numFmtId="0" fontId="111" fillId="0" borderId="21" xfId="0" applyFont="1" applyFill="1" applyBorder="1" applyAlignment="1" applyProtection="1">
      <alignment horizontal="center" vertical="center"/>
      <protection locked="0"/>
    </xf>
    <xf numFmtId="190" fontId="252" fillId="0" borderId="21" xfId="0" applyNumberFormat="1" applyFont="1" applyFill="1" applyBorder="1" applyAlignment="1" applyProtection="1">
      <alignment horizontal="center" vertical="center" wrapText="1" shrinkToFit="1"/>
      <protection locked="0"/>
    </xf>
    <xf numFmtId="186" fontId="35" fillId="0" borderId="21" xfId="0" applyNumberFormat="1" applyFont="1" applyFill="1" applyBorder="1" applyAlignment="1" applyProtection="1">
      <alignment horizontal="center" vertical="center" wrapText="1"/>
      <protection locked="0"/>
    </xf>
    <xf numFmtId="0" fontId="111" fillId="0" borderId="21" xfId="0" applyFont="1" applyFill="1" applyBorder="1" applyAlignment="1" applyProtection="1">
      <alignment horizontal="justify" vertical="center"/>
      <protection locked="0"/>
    </xf>
    <xf numFmtId="186" fontId="111" fillId="0" borderId="21" xfId="0" applyNumberFormat="1" applyFont="1" applyFill="1" applyBorder="1" applyAlignment="1" applyProtection="1">
      <alignment horizontal="center" vertical="center" wrapText="1"/>
      <protection locked="0"/>
    </xf>
    <xf numFmtId="196" fontId="111" fillId="0" borderId="21" xfId="0" applyNumberFormat="1" applyFont="1" applyFill="1" applyBorder="1" applyAlignment="1" applyProtection="1">
      <alignment horizontal="center" vertical="center"/>
      <protection locked="0"/>
    </xf>
    <xf numFmtId="187" fontId="111" fillId="0" borderId="21" xfId="0" applyNumberFormat="1" applyFont="1" applyFill="1" applyBorder="1" applyAlignment="1" applyProtection="1">
      <alignment horizontal="center" vertical="center"/>
      <protection locked="0"/>
    </xf>
    <xf numFmtId="182" fontId="252" fillId="0" borderId="21" xfId="0" applyNumberFormat="1" applyFont="1" applyFill="1" applyBorder="1" applyAlignment="1" applyProtection="1">
      <alignment horizontal="center" vertical="center"/>
      <protection locked="0"/>
    </xf>
    <xf numFmtId="0" fontId="252" fillId="0" borderId="22" xfId="0" applyFont="1" applyFill="1" applyBorder="1" applyAlignment="1" applyProtection="1">
      <alignment horizontal="center" vertical="center"/>
      <protection locked="0"/>
    </xf>
    <xf numFmtId="49" fontId="252" fillId="0" borderId="1" xfId="0" applyNumberFormat="1" applyFont="1" applyFill="1" applyBorder="1" applyAlignment="1" applyProtection="1">
      <alignment horizontal="center" vertical="center" wrapText="1"/>
      <protection locked="0"/>
    </xf>
    <xf numFmtId="0" fontId="252" fillId="0" borderId="1" xfId="0" applyFont="1" applyFill="1" applyBorder="1" applyAlignment="1" applyProtection="1">
      <alignment horizontal="center" vertical="center" wrapText="1" shrinkToFit="1"/>
      <protection locked="0"/>
    </xf>
    <xf numFmtId="0" fontId="265" fillId="0" borderId="1" xfId="0" applyNumberFormat="1" applyFont="1" applyFill="1" applyBorder="1" applyAlignment="1" applyProtection="1">
      <alignment horizontal="center" vertical="center" shrinkToFit="1"/>
      <protection locked="0"/>
    </xf>
    <xf numFmtId="0" fontId="111" fillId="0" borderId="1" xfId="0" applyFont="1" applyFill="1" applyBorder="1" applyAlignment="1" applyProtection="1">
      <alignment horizontal="center" vertical="center" wrapText="1" shrinkToFit="1"/>
      <protection locked="0"/>
    </xf>
    <xf numFmtId="182" fontId="111" fillId="0" borderId="6" xfId="0" applyNumberFormat="1" applyFont="1" applyFill="1" applyBorder="1" applyAlignment="1" applyProtection="1">
      <alignment horizontal="center" vertical="center" wrapText="1"/>
      <protection locked="0"/>
    </xf>
    <xf numFmtId="182" fontId="111" fillId="0" borderId="23" xfId="0" applyNumberFormat="1" applyFont="1" applyFill="1" applyBorder="1" applyAlignment="1" applyProtection="1">
      <alignment horizontal="center" vertical="center" wrapText="1"/>
      <protection locked="0"/>
    </xf>
    <xf numFmtId="190" fontId="252" fillId="0" borderId="16" xfId="0" applyNumberFormat="1" applyFont="1" applyFill="1" applyBorder="1" applyAlignment="1" applyProtection="1">
      <alignment horizontal="center" vertical="center" wrapText="1" shrinkToFit="1"/>
      <protection locked="0"/>
    </xf>
    <xf numFmtId="186" fontId="111" fillId="0" borderId="16" xfId="0" applyNumberFormat="1" applyFont="1" applyFill="1" applyBorder="1" applyAlignment="1" applyProtection="1">
      <alignment horizontal="center" vertical="center" wrapText="1"/>
      <protection locked="0"/>
    </xf>
    <xf numFmtId="0" fontId="111" fillId="0" borderId="16" xfId="0" applyFont="1" applyFill="1" applyBorder="1" applyAlignment="1" applyProtection="1">
      <alignment horizontal="justify" vertical="center"/>
      <protection locked="0"/>
    </xf>
    <xf numFmtId="196" fontId="111" fillId="0" borderId="16" xfId="0" applyNumberFormat="1" applyFont="1" applyFill="1" applyBorder="1" applyAlignment="1" applyProtection="1">
      <alignment horizontal="center" vertical="center"/>
      <protection locked="0"/>
    </xf>
    <xf numFmtId="187" fontId="111" fillId="0" borderId="16" xfId="0" applyNumberFormat="1" applyFont="1" applyFill="1" applyBorder="1" applyAlignment="1" applyProtection="1">
      <alignment horizontal="center" vertical="center"/>
      <protection locked="0"/>
    </xf>
    <xf numFmtId="182" fontId="252" fillId="0" borderId="16" xfId="0" applyNumberFormat="1" applyFont="1" applyFill="1" applyBorder="1" applyAlignment="1" applyProtection="1">
      <alignment horizontal="center" vertical="center"/>
      <protection locked="0"/>
    </xf>
    <xf numFmtId="0" fontId="252" fillId="0" borderId="15" xfId="0" applyFont="1" applyFill="1" applyBorder="1" applyAlignment="1" applyProtection="1">
      <alignment horizontal="center" vertical="center"/>
      <protection locked="0"/>
    </xf>
    <xf numFmtId="0" fontId="252" fillId="0" borderId="6" xfId="0" applyFont="1" applyFill="1" applyBorder="1" applyAlignment="1" applyProtection="1">
      <alignment horizontal="center" vertical="center"/>
      <protection locked="0"/>
    </xf>
    <xf numFmtId="0" fontId="111" fillId="0" borderId="9" xfId="0" applyFont="1" applyFill="1" applyBorder="1" applyAlignment="1" applyProtection="1">
      <alignment horizontal="center" vertical="center" wrapText="1"/>
      <protection locked="0"/>
    </xf>
    <xf numFmtId="0" fontId="111" fillId="0" borderId="9" xfId="0" applyFont="1" applyFill="1" applyBorder="1" applyAlignment="1" applyProtection="1">
      <alignment horizontal="center" vertical="center"/>
      <protection locked="0"/>
    </xf>
    <xf numFmtId="190" fontId="252" fillId="0" borderId="9" xfId="0" applyNumberFormat="1" applyFont="1" applyFill="1" applyBorder="1" applyAlignment="1" applyProtection="1">
      <alignment horizontal="center" vertical="center" wrapText="1" shrinkToFit="1"/>
      <protection locked="0"/>
    </xf>
    <xf numFmtId="0" fontId="111" fillId="0" borderId="9" xfId="0" applyFont="1" applyFill="1" applyBorder="1" applyAlignment="1" applyProtection="1">
      <alignment horizontal="justify" vertical="center"/>
      <protection locked="0"/>
    </xf>
    <xf numFmtId="196" fontId="111" fillId="0" borderId="9" xfId="0" applyNumberFormat="1" applyFont="1" applyFill="1" applyBorder="1" applyAlignment="1" applyProtection="1">
      <alignment horizontal="center" vertical="center"/>
      <protection locked="0"/>
    </xf>
    <xf numFmtId="182" fontId="252" fillId="0" borderId="23" xfId="0" applyNumberFormat="1" applyFont="1" applyFill="1" applyBorder="1" applyAlignment="1" applyProtection="1">
      <alignment horizontal="center" vertical="center"/>
      <protection locked="0"/>
    </xf>
    <xf numFmtId="188" fontId="69" fillId="0" borderId="1" xfId="0" applyNumberFormat="1" applyFont="1" applyFill="1" applyBorder="1" applyAlignment="1" applyProtection="1">
      <alignment horizontal="center" vertical="center"/>
    </xf>
    <xf numFmtId="49" fontId="56" fillId="0" borderId="1" xfId="0" applyNumberFormat="1" applyFont="1" applyFill="1" applyBorder="1" applyAlignment="1" applyProtection="1">
      <alignment horizontal="center" vertical="center" wrapText="1"/>
      <protection locked="0"/>
    </xf>
    <xf numFmtId="0" fontId="56" fillId="0" borderId="1" xfId="0" applyFont="1" applyFill="1" applyBorder="1" applyAlignment="1" applyProtection="1">
      <alignment horizontal="center" vertical="center" wrapText="1" shrinkToFit="1"/>
      <protection locked="0"/>
    </xf>
    <xf numFmtId="0" fontId="266" fillId="0" borderId="1" xfId="0" applyNumberFormat="1" applyFont="1" applyFill="1" applyBorder="1" applyAlignment="1" applyProtection="1">
      <alignment horizontal="center" vertical="center" shrinkToFit="1"/>
      <protection locked="0"/>
    </xf>
    <xf numFmtId="0" fontId="69" fillId="0" borderId="1" xfId="0" applyFont="1" applyFill="1" applyBorder="1" applyAlignment="1" applyProtection="1">
      <alignment horizontal="center" vertical="center" wrapText="1" shrinkToFit="1"/>
      <protection locked="0"/>
    </xf>
    <xf numFmtId="187" fontId="69" fillId="3" borderId="1" xfId="0" applyNumberFormat="1" applyFont="1" applyFill="1" applyBorder="1" applyAlignment="1" applyProtection="1">
      <alignment horizontal="center" vertical="center"/>
      <protection locked="0"/>
    </xf>
    <xf numFmtId="0" fontId="56" fillId="0" borderId="6" xfId="0" applyFont="1" applyFill="1" applyBorder="1" applyAlignment="1" applyProtection="1">
      <alignment horizontal="center" vertical="center"/>
      <protection locked="0"/>
    </xf>
    <xf numFmtId="0" fontId="56" fillId="0" borderId="23" xfId="0" applyFont="1" applyFill="1" applyBorder="1" applyAlignment="1" applyProtection="1">
      <alignment horizontal="center" vertical="center"/>
      <protection locked="0"/>
    </xf>
    <xf numFmtId="0" fontId="56" fillId="0" borderId="0" xfId="0" applyFont="1" applyFill="1" applyBorder="1" applyProtection="1">
      <alignment vertical="center"/>
      <protection locked="0"/>
    </xf>
    <xf numFmtId="0" fontId="56" fillId="0" borderId="7" xfId="0" applyFont="1" applyFill="1" applyBorder="1" applyProtection="1">
      <alignment vertical="center"/>
      <protection locked="0"/>
    </xf>
    <xf numFmtId="0" fontId="69" fillId="0" borderId="1" xfId="0" applyNumberFormat="1" applyFont="1" applyFill="1" applyBorder="1" applyAlignment="1" applyProtection="1">
      <alignment horizontal="center" vertical="center" shrinkToFit="1"/>
      <protection locked="0"/>
    </xf>
    <xf numFmtId="196" fontId="69" fillId="0" borderId="1" xfId="0" applyNumberFormat="1" applyFont="1" applyFill="1" applyBorder="1" applyAlignment="1" applyProtection="1">
      <alignment horizontal="center" vertical="center"/>
      <protection locked="0"/>
    </xf>
    <xf numFmtId="187" fontId="69" fillId="3" borderId="9" xfId="0" applyNumberFormat="1" applyFont="1" applyFill="1" applyBorder="1" applyAlignment="1" applyProtection="1">
      <alignment horizontal="center" vertical="center"/>
      <protection locked="0"/>
    </xf>
    <xf numFmtId="186" fontId="56" fillId="0" borderId="1" xfId="0" applyNumberFormat="1" applyFont="1" applyFill="1" applyBorder="1" applyAlignment="1" applyProtection="1">
      <alignment horizontal="center" vertical="center" wrapText="1"/>
      <protection locked="0"/>
    </xf>
    <xf numFmtId="0" fontId="69" fillId="0" borderId="16" xfId="0" applyFont="1" applyFill="1" applyBorder="1" applyAlignment="1" applyProtection="1">
      <alignment horizontal="center" vertical="center" wrapText="1"/>
      <protection locked="0"/>
    </xf>
    <xf numFmtId="190" fontId="56" fillId="0" borderId="21" xfId="0" applyNumberFormat="1" applyFont="1" applyFill="1" applyBorder="1" applyAlignment="1" applyProtection="1">
      <alignment horizontal="center" vertical="center" wrapText="1" shrinkToFit="1"/>
      <protection locked="0"/>
    </xf>
    <xf numFmtId="0" fontId="69" fillId="0" borderId="16" xfId="0" applyFont="1" applyFill="1" applyBorder="1" applyAlignment="1" applyProtection="1">
      <alignment horizontal="center" vertical="center"/>
      <protection locked="0"/>
    </xf>
    <xf numFmtId="0" fontId="69" fillId="0" borderId="9" xfId="0" applyFont="1" applyFill="1" applyBorder="1" applyAlignment="1" applyProtection="1">
      <alignment horizontal="center" vertical="center" wrapText="1"/>
      <protection locked="0"/>
    </xf>
    <xf numFmtId="0" fontId="69" fillId="0" borderId="9" xfId="0" applyFont="1" applyFill="1" applyBorder="1" applyAlignment="1" applyProtection="1">
      <alignment horizontal="center" vertical="center"/>
      <protection locked="0"/>
    </xf>
    <xf numFmtId="182" fontId="56" fillId="0" borderId="16" xfId="0" applyNumberFormat="1" applyFont="1" applyFill="1" applyBorder="1" applyAlignment="1" applyProtection="1">
      <alignment horizontal="center" vertical="center"/>
      <protection locked="0"/>
    </xf>
    <xf numFmtId="0" fontId="56" fillId="0" borderId="10" xfId="0" applyFont="1" applyFill="1" applyBorder="1" applyAlignment="1" applyProtection="1">
      <alignment horizontal="center" vertical="center"/>
      <protection locked="0"/>
    </xf>
    <xf numFmtId="182" fontId="56" fillId="0" borderId="23" xfId="0" applyNumberFormat="1" applyFont="1" applyFill="1" applyBorder="1" applyAlignment="1" applyProtection="1">
      <alignment horizontal="center" vertical="center"/>
      <protection locked="0"/>
    </xf>
    <xf numFmtId="190" fontId="56" fillId="0" borderId="15" xfId="0" applyNumberFormat="1" applyFont="1" applyFill="1" applyBorder="1" applyAlignment="1" applyProtection="1">
      <alignment horizontal="center" vertical="center" wrapText="1" shrinkToFit="1"/>
      <protection locked="0"/>
    </xf>
    <xf numFmtId="190" fontId="56" fillId="0" borderId="23" xfId="0" applyNumberFormat="1" applyFont="1" applyFill="1" applyBorder="1" applyAlignment="1" applyProtection="1">
      <alignment horizontal="center" vertical="center" wrapText="1" shrinkToFit="1"/>
      <protection locked="0"/>
    </xf>
    <xf numFmtId="0" fontId="69" fillId="0" borderId="14" xfId="0" applyFont="1" applyFill="1" applyBorder="1" applyAlignment="1" applyProtection="1">
      <alignment horizontal="center" vertical="center"/>
      <protection locked="0"/>
    </xf>
    <xf numFmtId="186" fontId="69" fillId="0" borderId="16" xfId="0" applyNumberFormat="1" applyFont="1" applyFill="1" applyBorder="1" applyAlignment="1" applyProtection="1">
      <alignment horizontal="center" vertical="center" wrapText="1"/>
      <protection locked="0"/>
    </xf>
    <xf numFmtId="186" fontId="36" fillId="0" borderId="21" xfId="0" applyNumberFormat="1" applyFont="1" applyFill="1" applyBorder="1" applyAlignment="1" applyProtection="1">
      <alignment horizontal="center" vertical="center" wrapText="1"/>
      <protection locked="0"/>
    </xf>
    <xf numFmtId="196" fontId="69" fillId="0" borderId="16" xfId="0" applyNumberFormat="1" applyFont="1" applyFill="1" applyBorder="1" applyAlignment="1" applyProtection="1">
      <alignment horizontal="center" vertical="center"/>
      <protection locked="0"/>
    </xf>
    <xf numFmtId="186" fontId="69" fillId="0" borderId="15" xfId="0" applyNumberFormat="1" applyFont="1" applyFill="1" applyBorder="1" applyAlignment="1" applyProtection="1">
      <alignment horizontal="center" vertical="center" wrapText="1"/>
      <protection locked="0"/>
    </xf>
    <xf numFmtId="0" fontId="69" fillId="0" borderId="23" xfId="0" applyFont="1" applyFill="1" applyBorder="1" applyAlignment="1" applyProtection="1">
      <alignment horizontal="center" vertical="center"/>
      <protection locked="0"/>
    </xf>
    <xf numFmtId="186" fontId="69" fillId="0" borderId="14" xfId="0" applyNumberFormat="1" applyFont="1" applyFill="1" applyBorder="1" applyAlignment="1" applyProtection="1">
      <alignment horizontal="center" vertical="center" wrapText="1"/>
      <protection locked="0"/>
    </xf>
    <xf numFmtId="187" fontId="69" fillId="0" borderId="16" xfId="0" applyNumberFormat="1" applyFont="1" applyFill="1" applyBorder="1" applyAlignment="1" applyProtection="1">
      <alignment horizontal="center" vertical="center"/>
      <protection locked="0"/>
    </xf>
    <xf numFmtId="0" fontId="56" fillId="0" borderId="15" xfId="0" applyFont="1" applyFill="1" applyBorder="1" applyAlignment="1" applyProtection="1">
      <alignment horizontal="center" vertical="center"/>
      <protection locked="0"/>
    </xf>
    <xf numFmtId="188" fontId="69" fillId="0" borderId="101" xfId="0" applyNumberFormat="1" applyFont="1" applyFill="1" applyBorder="1" applyAlignment="1" applyProtection="1">
      <alignment horizontal="center" vertical="center"/>
    </xf>
    <xf numFmtId="0" fontId="69" fillId="0" borderId="101" xfId="0" applyFont="1" applyFill="1" applyBorder="1" applyAlignment="1" applyProtection="1">
      <alignment horizontal="center" vertical="center" wrapText="1"/>
      <protection locked="0"/>
    </xf>
    <xf numFmtId="0" fontId="69" fillId="0" borderId="101" xfId="0" applyFont="1" applyFill="1" applyBorder="1" applyAlignment="1" applyProtection="1">
      <alignment horizontal="center" vertical="center"/>
      <protection locked="0"/>
    </xf>
    <xf numFmtId="190" fontId="56" fillId="0" borderId="101" xfId="0" applyNumberFormat="1" applyFont="1" applyFill="1" applyBorder="1" applyAlignment="1" applyProtection="1">
      <alignment horizontal="center" vertical="center" wrapText="1" shrinkToFit="1"/>
      <protection locked="0"/>
    </xf>
    <xf numFmtId="190" fontId="56" fillId="0" borderId="9" xfId="0" applyNumberFormat="1" applyFont="1" applyFill="1" applyBorder="1" applyAlignment="1" applyProtection="1">
      <alignment horizontal="center" vertical="center" wrapText="1" shrinkToFit="1"/>
      <protection locked="0"/>
    </xf>
    <xf numFmtId="0" fontId="251" fillId="0" borderId="1" xfId="0" applyFont="1" applyFill="1" applyBorder="1" applyAlignment="1">
      <alignment horizontal="center" vertical="center"/>
    </xf>
    <xf numFmtId="186" fontId="56" fillId="0" borderId="101" xfId="0" applyNumberFormat="1" applyFont="1" applyFill="1" applyBorder="1" applyAlignment="1" applyProtection="1">
      <alignment horizontal="center" vertical="center" wrapText="1"/>
      <protection locked="0"/>
    </xf>
    <xf numFmtId="186" fontId="36" fillId="0" borderId="101" xfId="0" applyNumberFormat="1" applyFont="1" applyFill="1" applyBorder="1" applyAlignment="1" applyProtection="1">
      <alignment horizontal="center" vertical="center" wrapText="1"/>
      <protection locked="0"/>
    </xf>
    <xf numFmtId="0" fontId="56" fillId="0" borderId="9" xfId="0" applyNumberFormat="1" applyFont="1" applyFill="1" applyBorder="1" applyAlignment="1" applyProtection="1">
      <alignment horizontal="center" vertical="center" wrapText="1"/>
      <protection locked="0"/>
    </xf>
    <xf numFmtId="196" fontId="69" fillId="0" borderId="23" xfId="0" applyNumberFormat="1" applyFont="1" applyFill="1" applyBorder="1" applyAlignment="1" applyProtection="1">
      <alignment horizontal="center" vertical="center"/>
      <protection locked="0"/>
    </xf>
    <xf numFmtId="186" fontId="69" fillId="0" borderId="23" xfId="0" applyNumberFormat="1" applyFont="1" applyFill="1" applyBorder="1" applyAlignment="1" applyProtection="1">
      <alignment horizontal="center" vertical="center" wrapText="1"/>
      <protection locked="0"/>
    </xf>
    <xf numFmtId="0" fontId="69" fillId="0" borderId="23" xfId="0" applyFont="1" applyFill="1" applyBorder="1" applyAlignment="1" applyProtection="1">
      <alignment horizontal="center" vertical="center" wrapText="1"/>
      <protection locked="0"/>
    </xf>
    <xf numFmtId="187" fontId="69" fillId="0" borderId="23" xfId="0" applyNumberFormat="1" applyFont="1" applyFill="1" applyBorder="1" applyAlignment="1" applyProtection="1">
      <alignment horizontal="center" vertical="center"/>
      <protection locked="0"/>
    </xf>
    <xf numFmtId="0" fontId="56" fillId="0" borderId="102" xfId="0" applyFont="1" applyFill="1" applyBorder="1" applyAlignment="1" applyProtection="1">
      <alignment horizontal="center" vertical="center"/>
      <protection locked="0"/>
    </xf>
    <xf numFmtId="188" fontId="69" fillId="0" borderId="23" xfId="0" applyNumberFormat="1" applyFont="1" applyFill="1" applyBorder="1" applyAlignment="1" applyProtection="1">
      <alignment horizontal="center" vertical="center"/>
    </xf>
    <xf numFmtId="186" fontId="36" fillId="0" borderId="23" xfId="0" applyNumberFormat="1" applyFont="1" applyFill="1" applyBorder="1" applyAlignment="1" applyProtection="1">
      <alignment horizontal="center" vertical="center" wrapText="1"/>
      <protection locked="0"/>
    </xf>
    <xf numFmtId="0" fontId="56" fillId="0" borderId="23" xfId="0" applyNumberFormat="1" applyFont="1" applyFill="1" applyBorder="1" applyAlignment="1" applyProtection="1">
      <alignment horizontal="center" vertical="center" wrapText="1"/>
      <protection locked="0"/>
    </xf>
    <xf numFmtId="0" fontId="69" fillId="0" borderId="47" xfId="0" applyFont="1" applyFill="1" applyBorder="1" applyAlignment="1" applyProtection="1">
      <alignment horizontal="center" vertical="center"/>
      <protection locked="0"/>
    </xf>
    <xf numFmtId="196" fontId="69" fillId="0" borderId="9" xfId="0" applyNumberFormat="1" applyFont="1" applyFill="1" applyBorder="1" applyAlignment="1" applyProtection="1">
      <alignment horizontal="center" vertical="center"/>
      <protection locked="0"/>
    </xf>
    <xf numFmtId="182" fontId="56" fillId="0" borderId="9" xfId="0" applyNumberFormat="1" applyFont="1" applyFill="1" applyBorder="1" applyAlignment="1" applyProtection="1">
      <alignment horizontal="center" vertical="center"/>
      <protection locked="0"/>
    </xf>
    <xf numFmtId="187" fontId="69" fillId="3" borderId="1" xfId="0" applyNumberFormat="1" applyFont="1" applyFill="1" applyBorder="1" applyAlignment="1" applyProtection="1">
      <alignment horizontal="center" vertical="center" wrapText="1"/>
      <protection locked="0"/>
    </xf>
    <xf numFmtId="182" fontId="56" fillId="0" borderId="6" xfId="0" applyNumberFormat="1" applyFont="1" applyFill="1" applyBorder="1" applyAlignment="1" applyProtection="1">
      <alignment horizontal="center" vertical="center"/>
      <protection locked="0"/>
    </xf>
    <xf numFmtId="49" fontId="251" fillId="0" borderId="1" xfId="0" applyNumberFormat="1" applyFont="1" applyFill="1" applyBorder="1" applyAlignment="1" applyProtection="1">
      <alignment horizontal="center" vertical="center" wrapText="1"/>
      <protection locked="0"/>
    </xf>
    <xf numFmtId="0" fontId="251" fillId="0" borderId="1" xfId="0" applyFont="1" applyFill="1" applyBorder="1" applyAlignment="1" applyProtection="1">
      <alignment horizontal="center" vertical="center" wrapText="1" shrinkToFit="1"/>
      <protection locked="0"/>
    </xf>
    <xf numFmtId="0" fontId="68" fillId="0" borderId="1" xfId="0" applyNumberFormat="1" applyFont="1" applyFill="1" applyBorder="1" applyAlignment="1" applyProtection="1">
      <alignment horizontal="center" vertical="center" shrinkToFit="1"/>
      <protection locked="0"/>
    </xf>
    <xf numFmtId="196" fontId="68" fillId="0" borderId="1" xfId="0" applyNumberFormat="1" applyFont="1" applyFill="1" applyBorder="1" applyAlignment="1" applyProtection="1">
      <alignment horizontal="center" vertical="center"/>
      <protection locked="0"/>
    </xf>
    <xf numFmtId="0" fontId="251" fillId="0" borderId="6" xfId="0" applyFont="1" applyFill="1" applyBorder="1" applyAlignment="1" applyProtection="1">
      <alignment horizontal="center" vertical="center"/>
      <protection locked="0"/>
    </xf>
    <xf numFmtId="0" fontId="251" fillId="0" borderId="23" xfId="0" applyFont="1" applyFill="1" applyBorder="1" applyAlignment="1" applyProtection="1">
      <alignment horizontal="center" vertical="center"/>
      <protection locked="0"/>
    </xf>
    <xf numFmtId="0" fontId="251" fillId="0" borderId="0" xfId="0" applyFont="1" applyFill="1" applyBorder="1" applyProtection="1">
      <alignment vertical="center"/>
      <protection locked="0"/>
    </xf>
    <xf numFmtId="0" fontId="251" fillId="0" borderId="7" xfId="0" applyFont="1" applyFill="1" applyBorder="1" applyProtection="1">
      <alignment vertical="center"/>
      <protection locked="0"/>
    </xf>
    <xf numFmtId="182" fontId="69" fillId="3" borderId="1" xfId="0" applyNumberFormat="1" applyFont="1" applyFill="1" applyBorder="1" applyAlignment="1" applyProtection="1">
      <alignment horizontal="center" vertical="center" wrapText="1"/>
      <protection locked="0"/>
    </xf>
    <xf numFmtId="190" fontId="56" fillId="0" borderId="10" xfId="0" applyNumberFormat="1" applyFont="1" applyFill="1" applyBorder="1" applyAlignment="1" applyProtection="1">
      <alignment horizontal="center" vertical="center" wrapText="1" shrinkToFit="1"/>
      <protection locked="0"/>
    </xf>
    <xf numFmtId="1" fontId="56" fillId="0" borderId="1" xfId="0" applyNumberFormat="1" applyFont="1" applyFill="1" applyBorder="1" applyAlignment="1" applyProtection="1">
      <alignment horizontal="center" vertical="center"/>
      <protection locked="0"/>
    </xf>
    <xf numFmtId="191" fontId="69" fillId="0" borderId="6" xfId="0" applyNumberFormat="1" applyFont="1" applyFill="1" applyBorder="1" applyAlignment="1" applyProtection="1">
      <alignment horizontal="center" vertical="center" wrapText="1"/>
      <protection locked="0"/>
    </xf>
    <xf numFmtId="186" fontId="69" fillId="0" borderId="7" xfId="0" applyNumberFormat="1" applyFont="1" applyFill="1" applyBorder="1" applyAlignment="1" applyProtection="1">
      <alignment horizontal="center" vertical="center" wrapText="1"/>
      <protection locked="0"/>
    </xf>
    <xf numFmtId="0" fontId="111" fillId="0" borderId="1" xfId="0" applyNumberFormat="1" applyFont="1" applyFill="1" applyBorder="1" applyAlignment="1" applyProtection="1">
      <alignment horizontal="center" vertical="center" shrinkToFit="1"/>
      <protection locked="0"/>
    </xf>
    <xf numFmtId="186" fontId="252" fillId="0" borderId="1" xfId="0" applyNumberFormat="1" applyFont="1" applyFill="1" applyBorder="1" applyAlignment="1" applyProtection="1">
      <alignment horizontal="center" vertical="center" wrapText="1"/>
      <protection locked="0"/>
    </xf>
    <xf numFmtId="182" fontId="252" fillId="3" borderId="1" xfId="0" applyNumberFormat="1" applyFont="1" applyFill="1" applyBorder="1" applyAlignment="1" applyProtection="1">
      <alignment horizontal="center" vertical="center"/>
      <protection locked="0"/>
    </xf>
    <xf numFmtId="1" fontId="252" fillId="3" borderId="1" xfId="0" applyNumberFormat="1" applyFont="1" applyFill="1" applyBorder="1" applyAlignment="1" applyProtection="1">
      <alignment horizontal="center" vertical="center"/>
      <protection locked="0"/>
    </xf>
    <xf numFmtId="0" fontId="252" fillId="3" borderId="1" xfId="0" applyFont="1" applyFill="1" applyBorder="1" applyAlignment="1" applyProtection="1">
      <alignment horizontal="center" vertical="center"/>
      <protection locked="0"/>
    </xf>
    <xf numFmtId="0" fontId="68" fillId="0" borderId="21" xfId="0" applyFont="1" applyFill="1" applyBorder="1" applyAlignment="1" applyProtection="1">
      <alignment horizontal="center" vertical="center"/>
      <protection locked="0"/>
    </xf>
    <xf numFmtId="187" fontId="68" fillId="3" borderId="1" xfId="0" applyNumberFormat="1" applyFont="1" applyFill="1" applyBorder="1" applyAlignment="1" applyProtection="1">
      <alignment horizontal="center" vertical="center" wrapText="1"/>
      <protection locked="0"/>
    </xf>
    <xf numFmtId="187" fontId="68" fillId="3" borderId="1" xfId="0" applyNumberFormat="1" applyFont="1" applyFill="1" applyBorder="1" applyAlignment="1" applyProtection="1">
      <alignment horizontal="center" vertical="center"/>
      <protection locked="0"/>
    </xf>
    <xf numFmtId="182" fontId="251" fillId="3" borderId="1" xfId="0" applyNumberFormat="1" applyFont="1" applyFill="1" applyBorder="1" applyAlignment="1" applyProtection="1">
      <alignment horizontal="center" vertical="center"/>
      <protection locked="0"/>
    </xf>
    <xf numFmtId="1" fontId="251" fillId="3" borderId="1" xfId="0" applyNumberFormat="1" applyFont="1" applyFill="1" applyBorder="1" applyAlignment="1" applyProtection="1">
      <alignment horizontal="center" vertical="center"/>
      <protection locked="0"/>
    </xf>
    <xf numFmtId="0" fontId="251" fillId="3" borderId="1" xfId="0" applyFont="1" applyFill="1" applyBorder="1" applyAlignment="1" applyProtection="1">
      <alignment horizontal="center" vertical="center"/>
      <protection locked="0"/>
    </xf>
    <xf numFmtId="58" fontId="251" fillId="0" borderId="16" xfId="0" applyNumberFormat="1" applyFont="1" applyFill="1" applyBorder="1" applyAlignment="1" applyProtection="1">
      <alignment horizontal="center" vertical="center" wrapText="1" shrinkToFit="1"/>
      <protection locked="0"/>
    </xf>
    <xf numFmtId="186" fontId="68" fillId="0" borderId="7" xfId="0" applyNumberFormat="1" applyFont="1" applyFill="1" applyBorder="1" applyAlignment="1" applyProtection="1">
      <alignment horizontal="center" vertical="center" wrapText="1"/>
      <protection locked="0"/>
    </xf>
    <xf numFmtId="191" fontId="68" fillId="0" borderId="6" xfId="0" applyNumberFormat="1" applyFont="1" applyFill="1" applyBorder="1" applyAlignment="1" applyProtection="1">
      <alignment horizontal="center" vertical="center" wrapText="1"/>
      <protection locked="0"/>
    </xf>
    <xf numFmtId="0" fontId="68" fillId="0" borderId="23" xfId="0" applyFont="1" applyFill="1" applyBorder="1" applyAlignment="1" applyProtection="1">
      <alignment horizontal="center" vertical="center"/>
      <protection locked="0"/>
    </xf>
    <xf numFmtId="0" fontId="251" fillId="0" borderId="15" xfId="0" applyFont="1" applyFill="1" applyBorder="1" applyAlignment="1" applyProtection="1">
      <alignment horizontal="center" vertical="center"/>
      <protection locked="0"/>
    </xf>
    <xf numFmtId="188" fontId="50" fillId="0" borderId="1" xfId="0" applyNumberFormat="1" applyFont="1" applyFill="1" applyBorder="1" applyAlignment="1" applyProtection="1">
      <alignment horizontal="center" vertical="center"/>
    </xf>
    <xf numFmtId="49" fontId="52" fillId="0" borderId="1" xfId="0" applyNumberFormat="1" applyFont="1" applyFill="1" applyBorder="1" applyAlignment="1" applyProtection="1">
      <alignment horizontal="center" vertical="center" wrapText="1"/>
      <protection locked="0"/>
    </xf>
    <xf numFmtId="0" fontId="52" fillId="0" borderId="1" xfId="0" applyFont="1" applyFill="1" applyBorder="1" applyAlignment="1" applyProtection="1">
      <alignment horizontal="center" vertical="center" wrapText="1" shrinkToFit="1"/>
      <protection locked="0"/>
    </xf>
    <xf numFmtId="0" fontId="50" fillId="0" borderId="1" xfId="0" applyNumberFormat="1" applyFont="1" applyFill="1" applyBorder="1" applyAlignment="1" applyProtection="1">
      <alignment horizontal="center" vertical="center" shrinkToFit="1"/>
      <protection locked="0"/>
    </xf>
    <xf numFmtId="0" fontId="50" fillId="0" borderId="1" xfId="0" applyFont="1" applyFill="1" applyBorder="1" applyAlignment="1" applyProtection="1">
      <alignment horizontal="center" vertical="center"/>
      <protection locked="0"/>
    </xf>
    <xf numFmtId="190" fontId="52" fillId="0" borderId="1" xfId="0" applyNumberFormat="1" applyFont="1" applyFill="1" applyBorder="1" applyAlignment="1" applyProtection="1">
      <alignment horizontal="center" vertical="center" wrapText="1" shrinkToFit="1"/>
      <protection locked="0"/>
    </xf>
    <xf numFmtId="186" fontId="253" fillId="0" borderId="1" xfId="0" applyNumberFormat="1" applyFont="1" applyFill="1" applyBorder="1" applyAlignment="1" applyProtection="1">
      <alignment horizontal="center" vertical="center" wrapText="1"/>
      <protection locked="0"/>
    </xf>
    <xf numFmtId="186" fontId="34" fillId="0" borderId="1" xfId="0" applyNumberFormat="1" applyFont="1" applyFill="1" applyBorder="1" applyAlignment="1" applyProtection="1">
      <alignment horizontal="center" vertical="center" wrapText="1"/>
      <protection locked="0"/>
    </xf>
    <xf numFmtId="0" fontId="33" fillId="0" borderId="1" xfId="0" applyFont="1" applyFill="1" applyBorder="1" applyAlignment="1" applyProtection="1">
      <alignment horizontal="justify" vertical="center"/>
      <protection locked="0"/>
    </xf>
    <xf numFmtId="186" fontId="267" fillId="0" borderId="1" xfId="0" applyNumberFormat="1" applyFont="1" applyFill="1" applyBorder="1" applyAlignment="1" applyProtection="1">
      <alignment horizontal="center" vertical="center" wrapText="1"/>
      <protection locked="0"/>
    </xf>
    <xf numFmtId="196" fontId="50" fillId="0" borderId="1" xfId="0" applyNumberFormat="1" applyFont="1" applyFill="1" applyBorder="1" applyAlignment="1" applyProtection="1">
      <alignment horizontal="center" vertical="center"/>
      <protection locked="0"/>
    </xf>
    <xf numFmtId="191" fontId="50" fillId="0" borderId="1" xfId="0" applyNumberFormat="1" applyFont="1" applyFill="1" applyBorder="1" applyAlignment="1" applyProtection="1">
      <alignment horizontal="center" vertical="center" wrapText="1"/>
      <protection locked="0"/>
    </xf>
    <xf numFmtId="0" fontId="50" fillId="0" borderId="9" xfId="0" applyFont="1" applyFill="1" applyBorder="1" applyAlignment="1" applyProtection="1">
      <alignment horizontal="center" vertical="center"/>
      <protection locked="0"/>
    </xf>
    <xf numFmtId="187" fontId="50" fillId="0" borderId="1" xfId="0" applyNumberFormat="1" applyFont="1" applyFill="1" applyBorder="1" applyAlignment="1" applyProtection="1">
      <alignment horizontal="center" vertical="center" wrapText="1"/>
      <protection locked="0"/>
    </xf>
    <xf numFmtId="187" fontId="50" fillId="0" borderId="1" xfId="0" applyNumberFormat="1" applyFont="1" applyFill="1" applyBorder="1" applyAlignment="1" applyProtection="1">
      <alignment horizontal="center" vertical="center"/>
      <protection locked="0"/>
    </xf>
    <xf numFmtId="182" fontId="50" fillId="0" borderId="1" xfId="0" applyNumberFormat="1" applyFont="1" applyFill="1" applyBorder="1" applyAlignment="1" applyProtection="1">
      <alignment horizontal="center" vertical="center" wrapText="1"/>
      <protection locked="0"/>
    </xf>
    <xf numFmtId="182" fontId="52" fillId="0" borderId="1" xfId="0" applyNumberFormat="1" applyFont="1" applyFill="1" applyBorder="1" applyAlignment="1" applyProtection="1">
      <alignment horizontal="center" vertical="center"/>
      <protection locked="0"/>
    </xf>
    <xf numFmtId="182" fontId="52" fillId="3" borderId="1" xfId="0" applyNumberFormat="1" applyFont="1" applyFill="1" applyBorder="1" applyAlignment="1" applyProtection="1">
      <alignment horizontal="center" vertical="center"/>
      <protection locked="0"/>
    </xf>
    <xf numFmtId="1" fontId="52" fillId="3" borderId="1" xfId="0" applyNumberFormat="1" applyFont="1" applyFill="1" applyBorder="1" applyAlignment="1" applyProtection="1">
      <alignment horizontal="center" vertical="center"/>
      <protection locked="0"/>
    </xf>
    <xf numFmtId="0" fontId="52" fillId="3" borderId="1" xfId="0" applyFont="1" applyFill="1" applyBorder="1" applyAlignment="1" applyProtection="1">
      <alignment horizontal="center" vertical="center"/>
      <protection locked="0"/>
    </xf>
    <xf numFmtId="0" fontId="52" fillId="0" borderId="6" xfId="0" applyFont="1" applyFill="1" applyBorder="1" applyAlignment="1" applyProtection="1">
      <alignment horizontal="center" vertical="center"/>
      <protection locked="0"/>
    </xf>
    <xf numFmtId="0" fontId="52" fillId="0" borderId="23" xfId="0" applyFont="1" applyFill="1" applyBorder="1" applyAlignment="1" applyProtection="1">
      <alignment horizontal="center" vertical="center"/>
      <protection locked="0"/>
    </xf>
    <xf numFmtId="0" fontId="52" fillId="0" borderId="0" xfId="0" applyFont="1" applyFill="1" applyBorder="1" applyProtection="1">
      <alignment vertical="center"/>
      <protection locked="0"/>
    </xf>
    <xf numFmtId="0" fontId="52" fillId="0" borderId="7" xfId="0" applyFont="1" applyFill="1" applyBorder="1" applyProtection="1">
      <alignment vertical="center"/>
      <protection locked="0"/>
    </xf>
    <xf numFmtId="191" fontId="50" fillId="0" borderId="6" xfId="0" applyNumberFormat="1" applyFont="1" applyFill="1" applyBorder="1" applyAlignment="1" applyProtection="1">
      <alignment horizontal="center" vertical="center" wrapText="1"/>
      <protection locked="0"/>
    </xf>
    <xf numFmtId="0" fontId="50" fillId="0" borderId="23" xfId="0" applyFont="1" applyFill="1" applyBorder="1" applyAlignment="1" applyProtection="1">
      <alignment horizontal="center" vertical="center"/>
      <protection locked="0"/>
    </xf>
    <xf numFmtId="186" fontId="50" fillId="0" borderId="7" xfId="0" applyNumberFormat="1" applyFont="1" applyFill="1" applyBorder="1" applyAlignment="1" applyProtection="1">
      <alignment horizontal="center" vertical="center" wrapText="1"/>
      <protection locked="0"/>
    </xf>
    <xf numFmtId="182" fontId="253" fillId="0" borderId="1" xfId="0" applyNumberFormat="1" applyFont="1" applyFill="1" applyBorder="1" applyAlignment="1" applyProtection="1">
      <alignment horizontal="center" vertical="center"/>
      <protection locked="0"/>
    </xf>
    <xf numFmtId="0" fontId="52" fillId="0" borderId="10" xfId="0" applyFont="1" applyFill="1" applyBorder="1" applyAlignment="1" applyProtection="1">
      <alignment horizontal="center" vertical="center"/>
      <protection locked="0"/>
    </xf>
    <xf numFmtId="187" fontId="50" fillId="3" borderId="1" xfId="0" applyNumberFormat="1" applyFont="1" applyFill="1" applyBorder="1" applyAlignment="1" applyProtection="1">
      <alignment horizontal="center" vertical="center"/>
      <protection locked="0"/>
    </xf>
    <xf numFmtId="182" fontId="50" fillId="3" borderId="1" xfId="0" applyNumberFormat="1" applyFont="1" applyFill="1" applyBorder="1" applyAlignment="1" applyProtection="1">
      <alignment horizontal="center" vertical="center" wrapText="1"/>
      <protection locked="0"/>
    </xf>
    <xf numFmtId="188" fontId="267" fillId="0" borderId="1" xfId="0" applyNumberFormat="1" applyFont="1" applyFill="1" applyBorder="1" applyAlignment="1" applyProtection="1">
      <alignment horizontal="center" vertical="center"/>
    </xf>
    <xf numFmtId="49" fontId="253" fillId="0" borderId="1" xfId="0" applyNumberFormat="1" applyFont="1" applyFill="1" applyBorder="1" applyAlignment="1" applyProtection="1">
      <alignment horizontal="center" vertical="center" wrapText="1"/>
      <protection locked="0"/>
    </xf>
    <xf numFmtId="0" fontId="253" fillId="0" borderId="1" xfId="0" applyFont="1" applyFill="1" applyBorder="1" applyAlignment="1" applyProtection="1">
      <alignment horizontal="center" vertical="center" wrapText="1" shrinkToFit="1"/>
      <protection locked="0"/>
    </xf>
    <xf numFmtId="0" fontId="267" fillId="0" borderId="1" xfId="0" applyNumberFormat="1" applyFont="1" applyFill="1" applyBorder="1" applyAlignment="1" applyProtection="1">
      <alignment horizontal="center" vertical="center" shrinkToFit="1"/>
      <protection locked="0"/>
    </xf>
    <xf numFmtId="0" fontId="267" fillId="0" borderId="1" xfId="0" applyFont="1" applyFill="1" applyBorder="1" applyAlignment="1" applyProtection="1">
      <alignment horizontal="center" vertical="center" wrapText="1"/>
      <protection locked="0"/>
    </xf>
    <xf numFmtId="0" fontId="267" fillId="0" borderId="1" xfId="0" applyFont="1" applyFill="1" applyBorder="1" applyAlignment="1" applyProtection="1">
      <alignment horizontal="center" vertical="center"/>
      <protection locked="0"/>
    </xf>
    <xf numFmtId="190" fontId="253" fillId="0" borderId="1" xfId="0" applyNumberFormat="1" applyFont="1" applyFill="1" applyBorder="1" applyAlignment="1" applyProtection="1">
      <alignment horizontal="center" vertical="center" wrapText="1" shrinkToFit="1"/>
      <protection locked="0"/>
    </xf>
    <xf numFmtId="0" fontId="49" fillId="0" borderId="1" xfId="0" applyFont="1" applyFill="1" applyBorder="1" applyAlignment="1" applyProtection="1">
      <alignment horizontal="center" vertical="center" wrapText="1"/>
      <protection locked="0"/>
    </xf>
    <xf numFmtId="58" fontId="253" fillId="0" borderId="16" xfId="0" applyNumberFormat="1" applyFont="1" applyFill="1" applyBorder="1" applyAlignment="1" applyProtection="1">
      <alignment horizontal="center" vertical="center" wrapText="1" shrinkToFit="1"/>
      <protection locked="0"/>
    </xf>
    <xf numFmtId="186" fontId="53" fillId="0" borderId="1" xfId="0" applyNumberFormat="1" applyFont="1" applyFill="1" applyBorder="1" applyAlignment="1" applyProtection="1">
      <alignment horizontal="center" vertical="center" wrapText="1"/>
      <protection locked="0"/>
    </xf>
    <xf numFmtId="0" fontId="49" fillId="0" borderId="1" xfId="0" applyFont="1" applyFill="1" applyBorder="1" applyAlignment="1" applyProtection="1">
      <alignment horizontal="justify" vertical="center"/>
      <protection locked="0"/>
    </xf>
    <xf numFmtId="0" fontId="249" fillId="0" borderId="1" xfId="0" applyFont="1" applyFill="1" applyBorder="1" applyAlignment="1" applyProtection="1">
      <alignment horizontal="center" vertical="center"/>
      <protection locked="0"/>
    </xf>
    <xf numFmtId="196" fontId="267" fillId="0" borderId="1" xfId="0" applyNumberFormat="1" applyFont="1" applyFill="1" applyBorder="1" applyAlignment="1" applyProtection="1">
      <alignment horizontal="center" vertical="center"/>
      <protection locked="0"/>
    </xf>
    <xf numFmtId="191" fontId="267" fillId="0" borderId="1" xfId="0" applyNumberFormat="1" applyFont="1" applyFill="1" applyBorder="1" applyAlignment="1" applyProtection="1">
      <alignment horizontal="center" vertical="center" wrapText="1"/>
      <protection locked="0"/>
    </xf>
    <xf numFmtId="0" fontId="267" fillId="3" borderId="1" xfId="0" applyFont="1" applyFill="1" applyBorder="1" applyAlignment="1" applyProtection="1">
      <alignment horizontal="center" vertical="center"/>
      <protection locked="0"/>
    </xf>
    <xf numFmtId="0" fontId="267" fillId="3" borderId="1" xfId="0" applyFont="1" applyFill="1" applyBorder="1" applyAlignment="1" applyProtection="1">
      <alignment horizontal="center" vertical="center" wrapText="1"/>
      <protection locked="0"/>
    </xf>
    <xf numFmtId="187" fontId="267" fillId="3" borderId="9" xfId="0" applyNumberFormat="1" applyFont="1" applyFill="1" applyBorder="1" applyAlignment="1" applyProtection="1">
      <alignment horizontal="center" vertical="center"/>
      <protection locked="0"/>
    </xf>
    <xf numFmtId="187" fontId="267" fillId="0" borderId="1" xfId="0" applyNumberFormat="1" applyFont="1" applyFill="1" applyBorder="1" applyAlignment="1" applyProtection="1">
      <alignment horizontal="center" vertical="center" wrapText="1"/>
      <protection locked="0"/>
    </xf>
    <xf numFmtId="187" fontId="267" fillId="0" borderId="1" xfId="0" applyNumberFormat="1" applyFont="1" applyFill="1" applyBorder="1" applyAlignment="1" applyProtection="1">
      <alignment horizontal="center" vertical="center"/>
      <protection locked="0"/>
    </xf>
    <xf numFmtId="182" fontId="267" fillId="0" borderId="1" xfId="0" applyNumberFormat="1" applyFont="1" applyFill="1" applyBorder="1" applyAlignment="1" applyProtection="1">
      <alignment horizontal="center" vertical="center" wrapText="1"/>
      <protection locked="0"/>
    </xf>
    <xf numFmtId="0" fontId="253" fillId="0" borderId="6" xfId="0" applyFont="1" applyFill="1" applyBorder="1" applyAlignment="1" applyProtection="1">
      <alignment horizontal="center" vertical="center"/>
      <protection locked="0"/>
    </xf>
    <xf numFmtId="0" fontId="253" fillId="0" borderId="23" xfId="0" applyFont="1" applyFill="1" applyBorder="1" applyAlignment="1" applyProtection="1">
      <alignment horizontal="center" vertical="center"/>
      <protection locked="0"/>
    </xf>
    <xf numFmtId="0" fontId="253" fillId="0" borderId="0" xfId="0" applyFont="1" applyFill="1" applyBorder="1" applyProtection="1">
      <alignment vertical="center"/>
      <protection locked="0"/>
    </xf>
    <xf numFmtId="0" fontId="253" fillId="0" borderId="7" xfId="0" applyFont="1" applyFill="1" applyBorder="1" applyProtection="1">
      <alignment vertical="center"/>
      <protection locked="0"/>
    </xf>
    <xf numFmtId="0" fontId="50" fillId="0" borderId="16" xfId="0" applyFont="1" applyFill="1" applyBorder="1" applyAlignment="1" applyProtection="1">
      <alignment horizontal="center" vertical="center" wrapText="1"/>
      <protection locked="0"/>
    </xf>
    <xf numFmtId="186" fontId="52" fillId="0" borderId="1" xfId="0" applyNumberFormat="1" applyFont="1" applyFill="1" applyBorder="1" applyAlignment="1" applyProtection="1">
      <alignment horizontal="center" vertical="center" wrapText="1"/>
      <protection locked="0"/>
    </xf>
    <xf numFmtId="186" fontId="268" fillId="0" borderId="1" xfId="0" applyNumberFormat="1" applyFont="1" applyFill="1" applyBorder="1" applyAlignment="1" applyProtection="1">
      <alignment horizontal="center" vertical="center" wrapText="1"/>
      <protection locked="0"/>
    </xf>
    <xf numFmtId="182" fontId="267" fillId="0" borderId="9" xfId="0" applyNumberFormat="1" applyFont="1" applyFill="1" applyBorder="1" applyAlignment="1" applyProtection="1">
      <alignment horizontal="center" vertical="center" wrapText="1"/>
      <protection locked="0"/>
    </xf>
    <xf numFmtId="182" fontId="253" fillId="0" borderId="9" xfId="0" applyNumberFormat="1" applyFont="1" applyFill="1" applyBorder="1" applyAlignment="1" applyProtection="1">
      <alignment horizontal="center" vertical="center"/>
      <protection locked="0"/>
    </xf>
    <xf numFmtId="182" fontId="253" fillId="3" borderId="1" xfId="0" applyNumberFormat="1" applyFont="1" applyFill="1" applyBorder="1" applyAlignment="1" applyProtection="1">
      <alignment horizontal="center" vertical="center"/>
      <protection locked="0"/>
    </xf>
    <xf numFmtId="182" fontId="253" fillId="3" borderId="9" xfId="0" applyNumberFormat="1" applyFont="1" applyFill="1" applyBorder="1" applyAlignment="1" applyProtection="1">
      <alignment horizontal="center" vertical="center"/>
      <protection locked="0"/>
    </xf>
    <xf numFmtId="0" fontId="253" fillId="0" borderId="10" xfId="0" applyFont="1" applyFill="1" applyBorder="1" applyAlignment="1" applyProtection="1">
      <alignment horizontal="center" vertical="center"/>
      <protection locked="0"/>
    </xf>
    <xf numFmtId="0" fontId="253" fillId="0" borderId="101" xfId="0" applyFont="1" applyFill="1" applyBorder="1" applyAlignment="1" applyProtection="1">
      <alignment horizontal="center" vertical="center"/>
      <protection locked="0"/>
    </xf>
    <xf numFmtId="187" fontId="267" fillId="3" borderId="1" xfId="0" applyNumberFormat="1" applyFont="1" applyFill="1" applyBorder="1" applyAlignment="1" applyProtection="1">
      <alignment horizontal="center" vertical="center" wrapText="1"/>
      <protection locked="0"/>
    </xf>
    <xf numFmtId="187" fontId="267" fillId="3" borderId="1" xfId="0" applyNumberFormat="1" applyFont="1" applyFill="1" applyBorder="1" applyAlignment="1" applyProtection="1">
      <alignment horizontal="center" vertical="center"/>
      <protection locked="0"/>
    </xf>
    <xf numFmtId="182" fontId="253" fillId="0" borderId="6" xfId="0" applyNumberFormat="1" applyFont="1" applyFill="1" applyBorder="1" applyAlignment="1" applyProtection="1">
      <alignment horizontal="center" vertical="center"/>
      <protection locked="0"/>
    </xf>
    <xf numFmtId="182" fontId="253" fillId="0" borderId="23" xfId="0" applyNumberFormat="1" applyFont="1" applyFill="1" applyBorder="1" applyAlignment="1" applyProtection="1">
      <alignment horizontal="center" vertical="center"/>
      <protection locked="0"/>
    </xf>
    <xf numFmtId="1" fontId="253" fillId="0" borderId="23" xfId="0" applyNumberFormat="1" applyFont="1" applyFill="1" applyBorder="1" applyAlignment="1" applyProtection="1">
      <alignment horizontal="center" vertical="center"/>
      <protection locked="0"/>
    </xf>
    <xf numFmtId="182" fontId="253" fillId="0" borderId="16" xfId="0" applyNumberFormat="1" applyFont="1" applyFill="1" applyBorder="1" applyAlignment="1" applyProtection="1">
      <alignment horizontal="center" vertical="center"/>
      <protection locked="0"/>
    </xf>
    <xf numFmtId="0" fontId="52" fillId="0" borderId="15" xfId="0" applyFont="1" applyFill="1" applyBorder="1" applyAlignment="1" applyProtection="1">
      <alignment horizontal="center" vertical="center"/>
      <protection locked="0"/>
    </xf>
    <xf numFmtId="0" fontId="52" fillId="0" borderId="103" xfId="0" applyFont="1" applyFill="1" applyBorder="1" applyAlignment="1" applyProtection="1">
      <alignment horizontal="center" vertical="center"/>
      <protection locked="0"/>
    </xf>
    <xf numFmtId="188" fontId="50" fillId="0" borderId="1" xfId="0" applyNumberFormat="1" applyFont="1" applyFill="1" applyBorder="1" applyAlignment="1" applyProtection="1">
      <alignment horizontal="center" vertical="center"/>
    </xf>
    <xf numFmtId="49" fontId="52" fillId="0" borderId="1" xfId="0" applyNumberFormat="1" applyFont="1" applyFill="1" applyBorder="1" applyAlignment="1" applyProtection="1">
      <alignment horizontal="center" vertical="center" wrapText="1"/>
      <protection locked="0"/>
    </xf>
    <xf numFmtId="0" fontId="52" fillId="0" borderId="1" xfId="0" applyFont="1" applyFill="1" applyBorder="1" applyAlignment="1" applyProtection="1">
      <alignment horizontal="center" vertical="center" wrapText="1" shrinkToFit="1"/>
      <protection locked="0"/>
    </xf>
    <xf numFmtId="0" fontId="50" fillId="0" borderId="1" xfId="0" applyNumberFormat="1" applyFont="1" applyFill="1" applyBorder="1" applyAlignment="1" applyProtection="1">
      <alignment horizontal="center" vertical="center" shrinkToFit="1"/>
      <protection locked="0"/>
    </xf>
    <xf numFmtId="0" fontId="50" fillId="0" borderId="1" xfId="0"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protection locked="0"/>
    </xf>
    <xf numFmtId="190" fontId="52" fillId="0" borderId="1" xfId="0" applyNumberFormat="1" applyFont="1" applyFill="1" applyBorder="1" applyAlignment="1" applyProtection="1">
      <alignment horizontal="center" vertical="center" wrapText="1" shrinkToFit="1"/>
      <protection locked="0"/>
    </xf>
    <xf numFmtId="0" fontId="33" fillId="0" borderId="1" xfId="0" applyFont="1" applyFill="1" applyBorder="1" applyAlignment="1" applyProtection="1">
      <alignment horizontal="center" vertical="center" wrapText="1"/>
      <protection locked="0"/>
    </xf>
    <xf numFmtId="186" fontId="50" fillId="0" borderId="1" xfId="0" applyNumberFormat="1" applyFont="1" applyFill="1" applyBorder="1" applyAlignment="1" applyProtection="1">
      <alignment horizontal="center" vertical="center" wrapText="1"/>
      <protection locked="0"/>
    </xf>
    <xf numFmtId="186" fontId="253" fillId="0" borderId="1" xfId="0" applyNumberFormat="1" applyFont="1" applyFill="1" applyBorder="1" applyAlignment="1" applyProtection="1">
      <alignment horizontal="center" vertical="center" wrapText="1"/>
      <protection locked="0"/>
    </xf>
    <xf numFmtId="186" fontId="34" fillId="0" borderId="1" xfId="0" applyNumberFormat="1" applyFont="1" applyFill="1" applyBorder="1" applyAlignment="1" applyProtection="1">
      <alignment horizontal="center" vertical="center" wrapText="1"/>
      <protection locked="0"/>
    </xf>
    <xf numFmtId="0" fontId="33" fillId="0" borderId="1" xfId="0" applyFont="1" applyFill="1" applyBorder="1" applyAlignment="1" applyProtection="1">
      <alignment horizontal="justify" vertical="center"/>
      <protection locked="0"/>
    </xf>
    <xf numFmtId="186" fontId="267" fillId="0" borderId="1" xfId="0" applyNumberFormat="1" applyFont="1" applyFill="1" applyBorder="1" applyAlignment="1" applyProtection="1">
      <alignment horizontal="center" vertical="center" wrapText="1"/>
      <protection locked="0"/>
    </xf>
    <xf numFmtId="0" fontId="82" fillId="0" borderId="1" xfId="0" applyFont="1" applyFill="1" applyBorder="1" applyAlignment="1" applyProtection="1">
      <alignment horizontal="center" vertical="center"/>
      <protection locked="0"/>
    </xf>
    <xf numFmtId="196" fontId="50" fillId="0" borderId="1" xfId="0" applyNumberFormat="1" applyFont="1" applyFill="1" applyBorder="1" applyAlignment="1" applyProtection="1">
      <alignment horizontal="center" vertical="center"/>
      <protection locked="0"/>
    </xf>
    <xf numFmtId="191" fontId="50" fillId="0" borderId="1" xfId="0" applyNumberFormat="1" applyFont="1" applyFill="1" applyBorder="1" applyAlignment="1" applyProtection="1">
      <alignment horizontal="center" vertical="center" wrapText="1"/>
      <protection locked="0"/>
    </xf>
    <xf numFmtId="0" fontId="50" fillId="0" borderId="9" xfId="0" applyFont="1" applyFill="1" applyBorder="1" applyAlignment="1" applyProtection="1">
      <alignment horizontal="center" vertical="center"/>
      <protection locked="0"/>
    </xf>
    <xf numFmtId="187" fontId="50" fillId="0" borderId="1" xfId="0" applyNumberFormat="1" applyFont="1" applyFill="1" applyBorder="1" applyAlignment="1" applyProtection="1">
      <alignment horizontal="center" vertical="center" wrapText="1"/>
      <protection locked="0"/>
    </xf>
    <xf numFmtId="187" fontId="50" fillId="0" borderId="1" xfId="0" applyNumberFormat="1" applyFont="1" applyFill="1" applyBorder="1" applyAlignment="1" applyProtection="1">
      <alignment horizontal="center" vertical="center"/>
      <protection locked="0"/>
    </xf>
    <xf numFmtId="182" fontId="50" fillId="0" borderId="1" xfId="0" applyNumberFormat="1" applyFont="1" applyFill="1" applyBorder="1" applyAlignment="1" applyProtection="1">
      <alignment horizontal="center" vertical="center" wrapText="1"/>
      <protection locked="0"/>
    </xf>
    <xf numFmtId="182" fontId="253" fillId="0" borderId="1" xfId="0" applyNumberFormat="1" applyFont="1" applyFill="1" applyBorder="1" applyAlignment="1" applyProtection="1">
      <alignment horizontal="center" vertical="center"/>
      <protection locked="0"/>
    </xf>
    <xf numFmtId="182" fontId="253" fillId="0" borderId="16" xfId="0" applyNumberFormat="1" applyFont="1" applyFill="1" applyBorder="1" applyAlignment="1" applyProtection="1">
      <alignment horizontal="center" vertical="center"/>
      <protection locked="0"/>
    </xf>
    <xf numFmtId="0" fontId="52" fillId="0" borderId="15" xfId="0" applyFont="1" applyFill="1" applyBorder="1" applyAlignment="1" applyProtection="1">
      <alignment horizontal="center" vertical="center"/>
      <protection locked="0"/>
    </xf>
    <xf numFmtId="0" fontId="52" fillId="0" borderId="103" xfId="0" applyFont="1" applyFill="1" applyBorder="1" applyAlignment="1" applyProtection="1">
      <alignment horizontal="center" vertical="center"/>
      <protection locked="0"/>
    </xf>
    <xf numFmtId="0" fontId="52" fillId="0" borderId="0" xfId="0" applyFont="1" applyFill="1" applyBorder="1" applyProtection="1">
      <alignment vertical="center"/>
      <protection locked="0"/>
    </xf>
    <xf numFmtId="0" fontId="52" fillId="0" borderId="7" xfId="0" applyFont="1" applyFill="1" applyBorder="1" applyProtection="1">
      <alignment vertical="center"/>
      <protection locked="0"/>
    </xf>
    <xf numFmtId="182" fontId="267" fillId="0" borderId="6" xfId="0" applyNumberFormat="1" applyFont="1" applyFill="1" applyBorder="1" applyAlignment="1" applyProtection="1">
      <alignment horizontal="center" vertical="center" wrapText="1"/>
      <protection locked="0"/>
    </xf>
    <xf numFmtId="182" fontId="267" fillId="0" borderId="23" xfId="0" applyNumberFormat="1" applyFont="1" applyFill="1" applyBorder="1" applyAlignment="1" applyProtection="1">
      <alignment horizontal="center" vertical="center" wrapText="1"/>
      <protection locked="0"/>
    </xf>
    <xf numFmtId="182" fontId="253" fillId="3" borderId="7" xfId="0" applyNumberFormat="1" applyFont="1" applyFill="1" applyBorder="1" applyAlignment="1" applyProtection="1">
      <alignment horizontal="center" vertical="center"/>
      <protection locked="0"/>
    </xf>
    <xf numFmtId="188" fontId="50" fillId="0" borderId="16" xfId="0" applyNumberFormat="1" applyFont="1" applyFill="1" applyBorder="1" applyAlignment="1" applyProtection="1">
      <alignment horizontal="center" vertical="center"/>
    </xf>
    <xf numFmtId="49" fontId="52" fillId="0" borderId="16" xfId="0" applyNumberFormat="1" applyFont="1" applyFill="1" applyBorder="1" applyAlignment="1" applyProtection="1">
      <alignment horizontal="center" vertical="center" wrapText="1"/>
      <protection locked="0"/>
    </xf>
    <xf numFmtId="0" fontId="52" fillId="0" borderId="16" xfId="0" applyFont="1" applyFill="1" applyBorder="1" applyAlignment="1" applyProtection="1">
      <alignment horizontal="center" vertical="center" wrapText="1" shrinkToFit="1"/>
      <protection locked="0"/>
    </xf>
    <xf numFmtId="0" fontId="50" fillId="0" borderId="16" xfId="0" applyNumberFormat="1" applyFont="1" applyFill="1" applyBorder="1" applyAlignment="1" applyProtection="1">
      <alignment horizontal="center" vertical="center" shrinkToFit="1"/>
      <protection locked="0"/>
    </xf>
    <xf numFmtId="186" fontId="34" fillId="0" borderId="9" xfId="0" applyNumberFormat="1" applyFont="1" applyFill="1" applyBorder="1" applyAlignment="1" applyProtection="1">
      <alignment horizontal="center" vertical="center" wrapText="1"/>
      <protection locked="0"/>
    </xf>
    <xf numFmtId="190" fontId="52" fillId="0" borderId="9" xfId="0" applyNumberFormat="1" applyFont="1" applyFill="1" applyBorder="1" applyAlignment="1" applyProtection="1">
      <alignment horizontal="center" vertical="center" wrapText="1" shrinkToFit="1"/>
      <protection locked="0"/>
    </xf>
    <xf numFmtId="0" fontId="52" fillId="0" borderId="1" xfId="0" applyNumberFormat="1" applyFont="1" applyFill="1" applyBorder="1" applyAlignment="1" applyProtection="1">
      <alignment horizontal="center" vertical="center" wrapText="1"/>
      <protection locked="0"/>
    </xf>
    <xf numFmtId="0" fontId="50" fillId="0" borderId="16" xfId="0" applyFont="1" applyFill="1" applyBorder="1" applyAlignment="1" applyProtection="1">
      <alignment horizontal="center" vertical="center"/>
      <protection locked="0"/>
    </xf>
    <xf numFmtId="0" fontId="50" fillId="0" borderId="15" xfId="0" applyFont="1" applyFill="1" applyBorder="1" applyAlignment="1" applyProtection="1">
      <alignment horizontal="center" vertical="center" wrapText="1"/>
      <protection locked="0"/>
    </xf>
    <xf numFmtId="0" fontId="50" fillId="0" borderId="23" xfId="0" applyFont="1" applyFill="1" applyBorder="1" applyAlignment="1" applyProtection="1">
      <alignment horizontal="center" vertical="center" wrapText="1"/>
      <protection locked="0"/>
    </xf>
    <xf numFmtId="0" fontId="50" fillId="0" borderId="14" xfId="0" applyFont="1" applyFill="1" applyBorder="1" applyAlignment="1" applyProtection="1">
      <alignment horizontal="center" vertical="center" wrapText="1"/>
      <protection locked="0"/>
    </xf>
    <xf numFmtId="187" fontId="50" fillId="0" borderId="16" xfId="0" applyNumberFormat="1" applyFont="1" applyFill="1" applyBorder="1" applyAlignment="1" applyProtection="1">
      <alignment horizontal="center" vertical="center" wrapText="1"/>
      <protection locked="0"/>
    </xf>
    <xf numFmtId="187" fontId="50" fillId="0" borderId="21" xfId="0" applyNumberFormat="1" applyFont="1" applyFill="1" applyBorder="1" applyAlignment="1" applyProtection="1">
      <alignment horizontal="center" vertical="center" wrapText="1"/>
      <protection locked="0"/>
    </xf>
    <xf numFmtId="187" fontId="50" fillId="0" borderId="21" xfId="0" applyNumberFormat="1" applyFont="1" applyFill="1" applyBorder="1" applyAlignment="1" applyProtection="1">
      <alignment horizontal="center" vertical="center"/>
      <protection locked="0"/>
    </xf>
    <xf numFmtId="187" fontId="50" fillId="0" borderId="16" xfId="0" applyNumberFormat="1" applyFont="1" applyFill="1" applyBorder="1" applyAlignment="1" applyProtection="1">
      <alignment horizontal="center" vertical="center"/>
      <protection locked="0"/>
    </xf>
    <xf numFmtId="182" fontId="50" fillId="0" borderId="15" xfId="0" applyNumberFormat="1" applyFont="1" applyFill="1" applyBorder="1" applyAlignment="1" applyProtection="1">
      <alignment horizontal="center" vertical="center" wrapText="1"/>
      <protection locked="0"/>
    </xf>
    <xf numFmtId="182" fontId="50" fillId="0" borderId="23" xfId="0" applyNumberFormat="1" applyFont="1" applyFill="1" applyBorder="1" applyAlignment="1" applyProtection="1">
      <alignment horizontal="center" vertical="center" wrapText="1"/>
      <protection locked="0"/>
    </xf>
    <xf numFmtId="195" fontId="50" fillId="0" borderId="1" xfId="0" applyNumberFormat="1" applyFont="1" applyFill="1" applyBorder="1" applyAlignment="1" applyProtection="1">
      <alignment horizontal="center" vertical="center"/>
      <protection locked="0"/>
    </xf>
    <xf numFmtId="187" fontId="50" fillId="0" borderId="6" xfId="0" applyNumberFormat="1" applyFont="1" applyFill="1" applyBorder="1" applyAlignment="1" applyProtection="1">
      <alignment horizontal="center" vertical="center" wrapText="1"/>
      <protection locked="0"/>
    </xf>
    <xf numFmtId="187" fontId="50" fillId="0" borderId="23" xfId="0" applyNumberFormat="1" applyFont="1" applyFill="1" applyBorder="1" applyAlignment="1" applyProtection="1">
      <alignment horizontal="center" vertical="center" wrapText="1"/>
      <protection locked="0"/>
    </xf>
    <xf numFmtId="1" fontId="50" fillId="0" borderId="1" xfId="0" applyNumberFormat="1" applyFont="1" applyFill="1" applyBorder="1" applyAlignment="1" applyProtection="1">
      <alignment horizontal="center" vertical="center" wrapText="1"/>
      <protection locked="0"/>
    </xf>
    <xf numFmtId="0" fontId="50" fillId="0" borderId="6" xfId="0" applyFont="1" applyFill="1" applyBorder="1" applyAlignment="1" applyProtection="1">
      <alignment horizontal="center" vertical="center" wrapText="1"/>
      <protection locked="0"/>
    </xf>
    <xf numFmtId="186" fontId="52" fillId="0" borderId="0" xfId="0" applyNumberFormat="1" applyFont="1" applyFill="1" applyBorder="1" applyAlignment="1" applyProtection="1">
      <alignment horizontal="center" vertical="center" wrapText="1"/>
      <protection locked="0"/>
    </xf>
    <xf numFmtId="0" fontId="70" fillId="0" borderId="0" xfId="0" applyFont="1" applyFill="1" applyAlignment="1" applyProtection="1">
      <alignment horizontal="center" vertical="center" wrapText="1"/>
      <protection locked="0"/>
    </xf>
    <xf numFmtId="0" fontId="50" fillId="0" borderId="0" xfId="0" applyNumberFormat="1" applyFont="1" applyFill="1" applyAlignment="1" applyProtection="1">
      <alignment horizontal="center" vertical="center"/>
      <protection locked="0"/>
    </xf>
    <xf numFmtId="182" fontId="50" fillId="0" borderId="0" xfId="0" applyNumberFormat="1" applyFont="1" applyFill="1" applyAlignment="1" applyProtection="1">
      <alignment horizontal="center" vertical="center" wrapText="1"/>
      <protection locked="0"/>
    </xf>
    <xf numFmtId="191" fontId="50" fillId="0" borderId="0" xfId="0" applyNumberFormat="1" applyFont="1" applyFill="1" applyAlignment="1" applyProtection="1">
      <alignment horizontal="center" vertical="center" wrapText="1"/>
      <protection locked="0"/>
    </xf>
    <xf numFmtId="187" fontId="50" fillId="0" borderId="0" xfId="0" applyNumberFormat="1" applyFont="1" applyFill="1" applyAlignment="1" applyProtection="1">
      <alignment horizontal="center" vertical="center" wrapText="1"/>
      <protection locked="0"/>
    </xf>
    <xf numFmtId="0" fontId="1" fillId="0" borderId="0" xfId="0" applyFont="1" applyFill="1" applyBorder="1" applyAlignment="1" applyProtection="1">
      <alignment horizontal="center" vertical="center" wrapText="1"/>
      <protection locked="0"/>
    </xf>
    <xf numFmtId="0" fontId="52" fillId="0" borderId="0" xfId="0" applyFont="1" applyFill="1" applyBorder="1" applyAlignment="1" applyProtection="1">
      <alignment horizontal="center" vertical="center" wrapText="1"/>
      <protection locked="0"/>
    </xf>
    <xf numFmtId="193" fontId="50" fillId="0" borderId="0" xfId="0" applyNumberFormat="1" applyFont="1" applyFill="1" applyBorder="1" applyAlignment="1" applyProtection="1">
      <alignment horizontal="center" vertical="center" wrapText="1"/>
      <protection locked="0"/>
    </xf>
    <xf numFmtId="186" fontId="50" fillId="0" borderId="0" xfId="0" applyNumberFormat="1" applyFont="1" applyFill="1" applyBorder="1" applyAlignment="1" applyProtection="1">
      <alignment horizontal="center" vertical="center" wrapText="1"/>
      <protection locked="0"/>
    </xf>
    <xf numFmtId="0" fontId="52" fillId="0" borderId="1" xfId="0" applyFont="1" applyFill="1" applyBorder="1" applyAlignment="1" applyProtection="1">
      <alignment horizontal="center" vertical="center"/>
      <protection locked="0"/>
    </xf>
    <xf numFmtId="0" fontId="258" fillId="0" borderId="0" xfId="0" applyFont="1" applyFill="1" applyProtection="1">
      <alignment vertical="center"/>
      <protection locked="0"/>
    </xf>
    <xf numFmtId="0" fontId="252" fillId="3" borderId="0" xfId="0" applyFont="1" applyFill="1" applyProtection="1">
      <alignment vertical="center"/>
      <protection locked="0"/>
    </xf>
    <xf numFmtId="0" fontId="251" fillId="0" borderId="0" xfId="0" applyFont="1" applyFill="1">
      <alignment vertical="center"/>
    </xf>
    <xf numFmtId="0" fontId="251" fillId="7" borderId="0" xfId="0" applyFont="1" applyFill="1" applyProtection="1">
      <alignment vertical="center"/>
      <protection locked="0"/>
    </xf>
    <xf numFmtId="0" fontId="269" fillId="0" borderId="0" xfId="0" applyFont="1" applyFill="1" applyProtection="1">
      <alignment vertical="center"/>
      <protection locked="0"/>
    </xf>
    <xf numFmtId="0" fontId="102" fillId="0" borderId="0" xfId="0" applyFont="1" applyFill="1" applyAlignment="1" applyProtection="1">
      <alignment horizontal="center" vertical="center"/>
    </xf>
    <xf numFmtId="193" fontId="52" fillId="0" borderId="0" xfId="0" applyNumberFormat="1" applyFont="1" applyFill="1" applyAlignment="1" applyProtection="1">
      <alignment horizontal="center" vertical="center" wrapText="1"/>
      <protection locked="0"/>
    </xf>
    <xf numFmtId="0" fontId="99" fillId="0" borderId="0" xfId="0" applyFont="1" applyFill="1" applyAlignment="1" applyProtection="1">
      <alignment vertical="center"/>
    </xf>
    <xf numFmtId="1" fontId="57" fillId="0" borderId="0" xfId="0" applyNumberFormat="1" applyFont="1" applyFill="1" applyAlignment="1" applyProtection="1">
      <alignment horizontal="center" vertical="center" wrapText="1"/>
      <protection locked="0"/>
    </xf>
    <xf numFmtId="1" fontId="50" fillId="0" borderId="0" xfId="0" applyNumberFormat="1" applyFont="1" applyFill="1" applyAlignment="1" applyProtection="1">
      <alignment horizontal="center" vertical="center" wrapText="1"/>
      <protection locked="0"/>
    </xf>
    <xf numFmtId="1" fontId="57" fillId="0" borderId="0" xfId="0" applyNumberFormat="1" applyFont="1" applyFill="1" applyBorder="1" applyAlignment="1" applyProtection="1">
      <alignment horizontal="center" vertical="center"/>
      <protection locked="0"/>
    </xf>
    <xf numFmtId="193" fontId="50" fillId="0" borderId="0" xfId="0" applyNumberFormat="1" applyFont="1" applyFill="1" applyAlignment="1" applyProtection="1">
      <alignment horizontal="center" vertical="center" wrapText="1"/>
      <protection locked="0"/>
    </xf>
    <xf numFmtId="188" fontId="189" fillId="0" borderId="0" xfId="0" applyNumberFormat="1" applyFont="1" applyFill="1" applyBorder="1" applyAlignment="1" applyProtection="1">
      <alignment horizontal="center" vertical="center"/>
    </xf>
    <xf numFmtId="188" fontId="1" fillId="0" borderId="0" xfId="0" applyNumberFormat="1" applyFont="1" applyFill="1" applyBorder="1" applyAlignment="1" applyProtection="1">
      <alignment horizontal="center" vertical="center"/>
      <protection locked="0"/>
    </xf>
    <xf numFmtId="0" fontId="61" fillId="0" borderId="0" xfId="0" applyFont="1" applyFill="1" applyAlignment="1" applyProtection="1">
      <alignment horizontal="center" vertical="center" wrapText="1"/>
      <protection locked="0"/>
    </xf>
    <xf numFmtId="182" fontId="61" fillId="0" borderId="0" xfId="0" applyNumberFormat="1" applyFont="1" applyFill="1" applyAlignment="1" applyProtection="1">
      <alignment horizontal="center" vertical="center" wrapText="1"/>
      <protection locked="0"/>
    </xf>
    <xf numFmtId="0" fontId="57" fillId="0" borderId="1" xfId="0" applyFont="1" applyFill="1" applyBorder="1" applyAlignment="1" applyProtection="1">
      <alignment horizontal="center" vertical="center" wrapText="1" shrinkToFit="1"/>
    </xf>
    <xf numFmtId="0" fontId="270" fillId="0" borderId="1" xfId="0" applyNumberFormat="1" applyFont="1" applyFill="1" applyBorder="1" applyAlignment="1" applyProtection="1">
      <alignment horizontal="center" vertical="center" wrapText="1" shrinkToFit="1"/>
      <protection locked="0"/>
    </xf>
    <xf numFmtId="0" fontId="271" fillId="0" borderId="1" xfId="0" applyFont="1" applyFill="1" applyBorder="1" applyAlignment="1" applyProtection="1">
      <alignment horizontal="center" vertical="center" wrapText="1" shrinkToFit="1"/>
      <protection locked="0"/>
    </xf>
    <xf numFmtId="0" fontId="41" fillId="0" borderId="1" xfId="0" applyFont="1" applyFill="1" applyBorder="1" applyAlignment="1" applyProtection="1">
      <alignment horizontal="center" vertical="center" wrapText="1"/>
      <protection locked="0"/>
    </xf>
    <xf numFmtId="0" fontId="272" fillId="0" borderId="1" xfId="0" applyFont="1" applyFill="1" applyBorder="1" applyAlignment="1" applyProtection="1">
      <alignment horizontal="center" vertical="center" wrapText="1" shrinkToFit="1"/>
      <protection locked="0"/>
    </xf>
    <xf numFmtId="0" fontId="273" fillId="0" borderId="1" xfId="0" applyFont="1" applyFill="1" applyBorder="1" applyAlignment="1" applyProtection="1">
      <alignment horizontal="center" vertical="center" wrapText="1" shrinkToFit="1"/>
      <protection locked="0"/>
    </xf>
    <xf numFmtId="187" fontId="273" fillId="0" borderId="1" xfId="0" applyNumberFormat="1" applyFont="1" applyFill="1" applyBorder="1" applyAlignment="1" applyProtection="1">
      <alignment horizontal="center" vertical="center" wrapText="1" shrinkToFit="1"/>
      <protection locked="0"/>
    </xf>
    <xf numFmtId="0" fontId="112" fillId="0" borderId="1" xfId="0" applyFont="1" applyFill="1" applyBorder="1" applyAlignment="1" applyProtection="1">
      <alignment horizontal="center" vertical="center" wrapText="1" shrinkToFit="1"/>
      <protection locked="0"/>
    </xf>
    <xf numFmtId="0" fontId="61" fillId="0" borderId="1" xfId="0" applyFont="1" applyFill="1" applyBorder="1" applyAlignment="1" applyProtection="1">
      <alignment horizontal="center" vertical="center" wrapText="1"/>
      <protection locked="0"/>
    </xf>
    <xf numFmtId="0" fontId="274" fillId="0" borderId="0" xfId="0" applyFont="1" applyFill="1" applyBorder="1" applyAlignment="1" applyProtection="1">
      <alignment horizontal="center" vertical="center"/>
      <protection locked="0"/>
    </xf>
    <xf numFmtId="193" fontId="275" fillId="0" borderId="0" xfId="0" applyNumberFormat="1" applyFont="1" applyFill="1" applyBorder="1" applyAlignment="1" applyProtection="1">
      <alignment horizontal="center" vertical="center" wrapText="1"/>
      <protection locked="0"/>
    </xf>
    <xf numFmtId="0" fontId="68" fillId="0" borderId="1" xfId="0" applyFont="1" applyFill="1" applyBorder="1" applyAlignment="1" applyProtection="1">
      <alignment horizontal="center" vertical="center"/>
    </xf>
    <xf numFmtId="0" fontId="276" fillId="0" borderId="1" xfId="0" applyFont="1" applyFill="1" applyBorder="1" applyAlignment="1" applyProtection="1">
      <alignment horizontal="center" vertical="center" wrapText="1"/>
      <protection locked="0"/>
    </xf>
    <xf numFmtId="0" fontId="218" fillId="0" borderId="16" xfId="0" applyFont="1" applyFill="1" applyBorder="1" applyAlignment="1" applyProtection="1">
      <alignment horizontal="center" vertical="center"/>
      <protection locked="0"/>
    </xf>
    <xf numFmtId="182" fontId="68" fillId="0" borderId="1" xfId="0" applyNumberFormat="1" applyFont="1" applyFill="1" applyBorder="1" applyAlignment="1" applyProtection="1">
      <alignment horizontal="center" vertical="center"/>
      <protection locked="0"/>
    </xf>
    <xf numFmtId="0" fontId="251" fillId="0" borderId="0" xfId="0" applyFont="1" applyFill="1" applyAlignment="1" applyProtection="1">
      <alignment horizontal="center" vertical="center"/>
      <protection locked="0"/>
    </xf>
    <xf numFmtId="193" fontId="251" fillId="0" borderId="0" xfId="0" applyNumberFormat="1" applyFont="1" applyFill="1" applyAlignment="1" applyProtection="1">
      <alignment horizontal="center" vertical="center" wrapText="1"/>
      <protection locked="0"/>
    </xf>
    <xf numFmtId="194" fontId="68" fillId="0" borderId="1" xfId="0" applyNumberFormat="1" applyFont="1" applyFill="1" applyBorder="1" applyAlignment="1" applyProtection="1">
      <alignment horizontal="center" vertical="center"/>
      <protection locked="0"/>
    </xf>
    <xf numFmtId="187" fontId="260" fillId="0" borderId="1" xfId="0" applyNumberFormat="1" applyFont="1" applyFill="1" applyBorder="1" applyAlignment="1" applyProtection="1">
      <alignment horizontal="center" vertical="center"/>
      <protection locked="0"/>
    </xf>
    <xf numFmtId="193" fontId="68" fillId="0" borderId="6" xfId="0" applyNumberFormat="1" applyFont="1" applyFill="1" applyBorder="1" applyAlignment="1" applyProtection="1">
      <alignment horizontal="center" vertical="center" wrapText="1"/>
      <protection locked="0"/>
    </xf>
    <xf numFmtId="187" fontId="68" fillId="0" borderId="13" xfId="0" applyNumberFormat="1" applyFont="1" applyFill="1" applyBorder="1" applyAlignment="1" applyProtection="1">
      <alignment horizontal="center" vertical="center"/>
      <protection locked="0"/>
    </xf>
    <xf numFmtId="182" fontId="68" fillId="0" borderId="9" xfId="0" applyNumberFormat="1" applyFont="1" applyFill="1" applyBorder="1" applyAlignment="1" applyProtection="1">
      <alignment horizontal="center" vertical="center"/>
      <protection locked="0"/>
    </xf>
    <xf numFmtId="182" fontId="68" fillId="0" borderId="20" xfId="0" applyNumberFormat="1" applyFont="1" applyFill="1" applyBorder="1" applyAlignment="1" applyProtection="1">
      <alignment horizontal="center" vertical="center" wrapText="1"/>
      <protection locked="0"/>
    </xf>
    <xf numFmtId="187" fontId="260" fillId="0" borderId="7" xfId="0" applyNumberFormat="1" applyFont="1" applyFill="1" applyBorder="1" applyAlignment="1" applyProtection="1">
      <alignment horizontal="center" vertical="center" wrapText="1"/>
      <protection locked="0"/>
    </xf>
    <xf numFmtId="186" fontId="68" fillId="0" borderId="0" xfId="0" applyNumberFormat="1" applyFont="1" applyFill="1" applyAlignment="1" applyProtection="1">
      <alignment horizontal="center" vertical="center" wrapText="1"/>
      <protection locked="0"/>
    </xf>
    <xf numFmtId="14" fontId="251" fillId="0" borderId="1" xfId="0" applyNumberFormat="1" applyFont="1" applyFill="1" applyBorder="1" applyAlignment="1" applyProtection="1">
      <alignment horizontal="center" vertical="center"/>
      <protection locked="0"/>
    </xf>
    <xf numFmtId="14" fontId="277" fillId="0" borderId="1" xfId="0" applyNumberFormat="1" applyFont="1" applyFill="1" applyBorder="1" applyAlignment="1" applyProtection="1">
      <alignment horizontal="center" vertical="center"/>
      <protection locked="0"/>
    </xf>
    <xf numFmtId="187" fontId="68" fillId="0" borderId="0" xfId="0" applyNumberFormat="1" applyFont="1" applyFill="1" applyAlignment="1" applyProtection="1">
      <alignment horizontal="center" vertical="center"/>
      <protection locked="0"/>
    </xf>
    <xf numFmtId="193" fontId="68" fillId="0" borderId="0" xfId="0" applyNumberFormat="1" applyFont="1" applyFill="1" applyAlignment="1" applyProtection="1">
      <alignment horizontal="center" vertical="center" wrapText="1"/>
      <protection locked="0"/>
    </xf>
    <xf numFmtId="182" fontId="68" fillId="0" borderId="0" xfId="0" applyNumberFormat="1" applyFont="1" applyFill="1" applyAlignment="1" applyProtection="1">
      <alignment horizontal="center" vertical="center"/>
      <protection locked="0"/>
    </xf>
    <xf numFmtId="182" fontId="68" fillId="0" borderId="0" xfId="0" applyNumberFormat="1" applyFont="1" applyFill="1" applyAlignment="1" applyProtection="1">
      <alignment horizontal="center" vertical="center" wrapText="1"/>
      <protection locked="0"/>
    </xf>
    <xf numFmtId="187" fontId="260" fillId="0" borderId="0" xfId="0" applyNumberFormat="1" applyFont="1" applyFill="1" applyAlignment="1" applyProtection="1">
      <alignment horizontal="center" vertical="center" wrapText="1"/>
      <protection locked="0"/>
    </xf>
    <xf numFmtId="187" fontId="68" fillId="0" borderId="0" xfId="0" applyNumberFormat="1" applyFont="1" applyFill="1" applyAlignment="1" applyProtection="1">
      <alignment horizontal="center" vertical="center" wrapText="1"/>
      <protection locked="0"/>
    </xf>
    <xf numFmtId="17" fontId="68" fillId="0" borderId="1" xfId="0" applyNumberFormat="1" applyFont="1" applyFill="1" applyBorder="1" applyAlignment="1" applyProtection="1">
      <alignment horizontal="justify" vertical="center"/>
      <protection locked="0"/>
    </xf>
    <xf numFmtId="0" fontId="68" fillId="0" borderId="1" xfId="0" applyNumberFormat="1" applyFont="1" applyFill="1" applyBorder="1" applyAlignment="1" applyProtection="1">
      <alignment horizontal="center" vertical="center"/>
      <protection locked="0"/>
    </xf>
    <xf numFmtId="0" fontId="276" fillId="0" borderId="9" xfId="0" applyFont="1" applyFill="1" applyBorder="1" applyAlignment="1" applyProtection="1">
      <alignment horizontal="center" vertical="center" wrapText="1"/>
      <protection locked="0"/>
    </xf>
    <xf numFmtId="0" fontId="257" fillId="0" borderId="16" xfId="0" applyNumberFormat="1" applyFont="1" applyFill="1" applyBorder="1" applyAlignment="1" applyProtection="1">
      <alignment horizontal="center" vertical="center" shrinkToFit="1"/>
      <protection locked="0"/>
    </xf>
    <xf numFmtId="0" fontId="276" fillId="0" borderId="1" xfId="0" applyFont="1" applyFill="1" applyBorder="1" applyAlignment="1" applyProtection="1">
      <alignment horizontal="center" vertical="center"/>
      <protection locked="0"/>
    </xf>
    <xf numFmtId="182" fontId="68" fillId="0" borderId="1" xfId="0" applyNumberFormat="1" applyFont="1" applyFill="1" applyBorder="1" applyAlignment="1" applyProtection="1">
      <alignment horizontal="center" vertical="center"/>
    </xf>
    <xf numFmtId="49" fontId="258" fillId="0" borderId="16" xfId="0" applyNumberFormat="1" applyFont="1" applyFill="1" applyBorder="1" applyAlignment="1" applyProtection="1">
      <alignment horizontal="center" vertical="center" wrapText="1"/>
      <protection locked="0"/>
    </xf>
    <xf numFmtId="0" fontId="257" fillId="0" borderId="16" xfId="0" applyNumberFormat="1" applyFont="1" applyFill="1" applyBorder="1" applyAlignment="1" applyProtection="1">
      <alignment horizontal="center" vertical="center" wrapText="1" shrinkToFit="1"/>
      <protection locked="0"/>
    </xf>
    <xf numFmtId="0" fontId="257" fillId="0" borderId="1" xfId="0" applyFont="1" applyFill="1" applyBorder="1" applyAlignment="1" applyProtection="1">
      <alignment horizontal="center" vertical="center"/>
    </xf>
    <xf numFmtId="14" fontId="278" fillId="0" borderId="1" xfId="0" applyNumberFormat="1" applyFont="1" applyFill="1" applyBorder="1" applyAlignment="1" applyProtection="1">
      <alignment horizontal="center" vertical="center"/>
      <protection locked="0"/>
    </xf>
    <xf numFmtId="0" fontId="257" fillId="0" borderId="16" xfId="0" applyFont="1" applyFill="1" applyBorder="1" applyAlignment="1" applyProtection="1">
      <alignment horizontal="center" vertical="center"/>
      <protection locked="0"/>
    </xf>
    <xf numFmtId="0" fontId="257" fillId="0" borderId="1" xfId="0" applyFont="1" applyFill="1" applyBorder="1" applyAlignment="1" applyProtection="1">
      <alignment horizontal="justify" vertical="center" wrapText="1"/>
      <protection locked="0"/>
    </xf>
    <xf numFmtId="0" fontId="257" fillId="0" borderId="1" xfId="0" applyNumberFormat="1" applyFont="1" applyFill="1" applyBorder="1" applyAlignment="1" applyProtection="1">
      <alignment horizontal="center" vertical="center" wrapText="1" shrinkToFit="1"/>
      <protection locked="0"/>
    </xf>
    <xf numFmtId="195" fontId="257" fillId="0" borderId="1" xfId="0" applyNumberFormat="1" applyFont="1" applyFill="1" applyBorder="1" applyAlignment="1" applyProtection="1">
      <alignment horizontal="center" vertical="center"/>
      <protection locked="0"/>
    </xf>
    <xf numFmtId="49" fontId="257" fillId="0" borderId="1" xfId="0" applyNumberFormat="1" applyFont="1" applyFill="1" applyBorder="1" applyAlignment="1" applyProtection="1">
      <alignment horizontal="center" vertical="center" wrapText="1"/>
      <protection locked="0"/>
    </xf>
    <xf numFmtId="187" fontId="257" fillId="0" borderId="1" xfId="0" applyNumberFormat="1" applyFont="1" applyFill="1" applyBorder="1" applyAlignment="1" applyProtection="1">
      <alignment horizontal="center" vertical="center"/>
      <protection locked="0"/>
    </xf>
    <xf numFmtId="186" fontId="279" fillId="0" borderId="9" xfId="0" applyNumberFormat="1" applyFont="1" applyFill="1" applyBorder="1" applyAlignment="1" applyProtection="1">
      <alignment horizontal="center" vertical="center" wrapText="1"/>
      <protection locked="0"/>
    </xf>
    <xf numFmtId="0" fontId="68" fillId="0" borderId="9" xfId="0" applyFont="1" applyFill="1" applyBorder="1" applyAlignment="1" applyProtection="1">
      <alignment horizontal="justify" vertical="center"/>
      <protection locked="0"/>
    </xf>
    <xf numFmtId="0" fontId="251" fillId="0" borderId="16" xfId="0" applyFont="1" applyFill="1" applyBorder="1" applyAlignment="1" applyProtection="1">
      <alignment horizontal="center" vertical="center"/>
      <protection locked="0"/>
    </xf>
    <xf numFmtId="186" fontId="278" fillId="0" borderId="1" xfId="0" applyNumberFormat="1" applyFont="1" applyFill="1" applyBorder="1" applyAlignment="1" applyProtection="1">
      <alignment horizontal="center" vertical="center" wrapText="1"/>
      <protection locked="0"/>
    </xf>
    <xf numFmtId="0" fontId="280" fillId="0" borderId="1" xfId="0" applyFont="1" applyFill="1" applyBorder="1" applyAlignment="1" applyProtection="1">
      <alignment horizontal="center" vertical="center"/>
      <protection locked="0"/>
    </xf>
    <xf numFmtId="0" fontId="280" fillId="0" borderId="1" xfId="0" applyFont="1" applyFill="1" applyBorder="1" applyAlignment="1" applyProtection="1">
      <alignment horizontal="center" vertical="center" wrapText="1"/>
      <protection locked="0"/>
    </xf>
    <xf numFmtId="0" fontId="277" fillId="0" borderId="0" xfId="0" applyFont="1" applyFill="1" applyAlignment="1" applyProtection="1">
      <alignment horizontal="center" vertical="center"/>
      <protection locked="0"/>
    </xf>
    <xf numFmtId="14" fontId="258" fillId="0" borderId="1" xfId="0" applyNumberFormat="1" applyFont="1" applyFill="1" applyBorder="1" applyAlignment="1" applyProtection="1">
      <alignment horizontal="center" vertical="center" wrapText="1"/>
      <protection locked="0"/>
    </xf>
    <xf numFmtId="191" fontId="257" fillId="0" borderId="1" xfId="0" applyNumberFormat="1" applyFont="1" applyFill="1" applyBorder="1" applyAlignment="1" applyProtection="1">
      <alignment horizontal="center" vertical="center" wrapText="1"/>
      <protection locked="0"/>
    </xf>
    <xf numFmtId="0" fontId="68" fillId="0" borderId="7" xfId="0" applyFont="1" applyFill="1" applyBorder="1" applyAlignment="1" applyProtection="1">
      <alignment horizontal="center" vertical="center" wrapText="1"/>
      <protection locked="0"/>
    </xf>
    <xf numFmtId="0" fontId="276" fillId="0" borderId="7" xfId="0" applyFont="1" applyFill="1" applyBorder="1" applyAlignment="1" applyProtection="1">
      <alignment horizontal="center" vertical="center" wrapText="1"/>
      <protection locked="0"/>
    </xf>
    <xf numFmtId="0" fontId="277" fillId="0" borderId="1" xfId="0" applyNumberFormat="1" applyFont="1" applyFill="1" applyBorder="1" applyAlignment="1" applyProtection="1">
      <alignment horizontal="center" vertical="center" wrapText="1"/>
      <protection locked="0"/>
    </xf>
    <xf numFmtId="0" fontId="251" fillId="0" borderId="7" xfId="0" applyNumberFormat="1" applyFont="1" applyFill="1" applyBorder="1" applyAlignment="1" applyProtection="1">
      <alignment horizontal="center" vertical="center" wrapText="1"/>
      <protection locked="0"/>
    </xf>
    <xf numFmtId="0" fontId="277" fillId="0" borderId="7" xfId="0" applyNumberFormat="1" applyFont="1" applyFill="1" applyBorder="1" applyAlignment="1" applyProtection="1">
      <alignment horizontal="center" vertical="center" wrapText="1"/>
      <protection locked="0"/>
    </xf>
    <xf numFmtId="0" fontId="281" fillId="0" borderId="1" xfId="0" applyNumberFormat="1" applyFont="1" applyFill="1" applyBorder="1" applyAlignment="1" applyProtection="1">
      <alignment horizontal="center" vertical="center" wrapText="1"/>
      <protection locked="0"/>
    </xf>
    <xf numFmtId="0" fontId="282" fillId="0" borderId="1" xfId="0" applyNumberFormat="1" applyFont="1" applyFill="1" applyBorder="1" applyAlignment="1" applyProtection="1">
      <alignment horizontal="center" vertical="center" wrapText="1"/>
      <protection locked="0"/>
    </xf>
    <xf numFmtId="0" fontId="281" fillId="0" borderId="7" xfId="0" applyNumberFormat="1" applyFont="1" applyFill="1" applyBorder="1" applyAlignment="1" applyProtection="1">
      <alignment horizontal="center" vertical="center" wrapText="1"/>
      <protection locked="0"/>
    </xf>
    <xf numFmtId="0" fontId="282" fillId="0" borderId="7" xfId="0" applyNumberFormat="1" applyFont="1" applyFill="1" applyBorder="1" applyAlignment="1" applyProtection="1">
      <alignment horizontal="center" vertical="center" wrapText="1"/>
      <protection locked="0"/>
    </xf>
    <xf numFmtId="0" fontId="68" fillId="0" borderId="1" xfId="0" applyFont="1" applyFill="1" applyBorder="1" applyAlignment="1" applyProtection="1">
      <alignment horizontal="center" vertical="center" wrapText="1"/>
    </xf>
    <xf numFmtId="187" fontId="68" fillId="0" borderId="1" xfId="0" applyNumberFormat="1" applyFont="1" applyFill="1" applyBorder="1" applyAlignment="1" applyProtection="1">
      <alignment horizontal="center" vertical="center"/>
    </xf>
    <xf numFmtId="182" fontId="68" fillId="0" borderId="1" xfId="0" applyNumberFormat="1" applyFont="1" applyFill="1" applyBorder="1" applyAlignment="1" applyProtection="1">
      <alignment horizontal="center" vertical="center" wrapText="1"/>
    </xf>
    <xf numFmtId="190" fontId="258" fillId="0" borderId="1" xfId="0" applyNumberFormat="1" applyFont="1" applyFill="1" applyBorder="1" applyAlignment="1" applyProtection="1">
      <alignment horizontal="center" vertical="center" wrapText="1" shrinkToFit="1"/>
    </xf>
    <xf numFmtId="188" fontId="283" fillId="0" borderId="16" xfId="0" applyNumberFormat="1" applyFont="1" applyFill="1" applyBorder="1" applyAlignment="1" applyProtection="1">
      <alignment horizontal="center" vertical="center"/>
    </xf>
    <xf numFmtId="0" fontId="111" fillId="0" borderId="1" xfId="0" applyFont="1" applyFill="1" applyBorder="1" applyAlignment="1" applyProtection="1">
      <alignment horizontal="center" vertical="center"/>
    </xf>
    <xf numFmtId="0" fontId="284" fillId="0" borderId="1" xfId="0" applyNumberFormat="1" applyFont="1" applyFill="1" applyBorder="1" applyAlignment="1" applyProtection="1">
      <alignment horizontal="center" vertical="center" wrapText="1"/>
      <protection locked="0"/>
    </xf>
    <xf numFmtId="0" fontId="285" fillId="0" borderId="1" xfId="0" applyNumberFormat="1" applyFont="1" applyFill="1" applyBorder="1" applyAlignment="1" applyProtection="1">
      <alignment horizontal="center" vertical="center" wrapText="1"/>
      <protection locked="0"/>
    </xf>
    <xf numFmtId="186" fontId="252" fillId="12" borderId="9" xfId="0" applyNumberFormat="1" applyFont="1" applyFill="1" applyBorder="1" applyAlignment="1" applyProtection="1">
      <alignment horizontal="center" vertical="center" wrapText="1"/>
      <protection locked="0"/>
    </xf>
    <xf numFmtId="0" fontId="45" fillId="0" borderId="1" xfId="0" applyFont="1" applyFill="1" applyBorder="1" applyAlignment="1" applyProtection="1">
      <alignment horizontal="justify" vertical="center" wrapText="1"/>
      <protection locked="0"/>
    </xf>
    <xf numFmtId="194" fontId="111" fillId="0" borderId="1" xfId="0" applyNumberFormat="1" applyFont="1" applyFill="1" applyBorder="1" applyAlignment="1" applyProtection="1">
      <alignment horizontal="center" vertical="center"/>
      <protection locked="0"/>
    </xf>
    <xf numFmtId="0" fontId="111" fillId="0" borderId="1" xfId="0" applyFont="1" applyFill="1" applyBorder="1" applyAlignment="1" applyProtection="1">
      <alignment horizontal="center" vertical="center" wrapText="1"/>
    </xf>
    <xf numFmtId="187" fontId="111" fillId="0" borderId="1" xfId="0" applyNumberFormat="1" applyFont="1" applyFill="1" applyBorder="1" applyAlignment="1" applyProtection="1">
      <alignment horizontal="center" vertical="center"/>
    </xf>
    <xf numFmtId="182" fontId="111" fillId="0" borderId="1" xfId="0" applyNumberFormat="1" applyFont="1" applyFill="1" applyBorder="1" applyAlignment="1" applyProtection="1">
      <alignment horizontal="center" vertical="center"/>
    </xf>
    <xf numFmtId="182" fontId="111" fillId="0" borderId="1" xfId="0" applyNumberFormat="1" applyFont="1" applyFill="1" applyBorder="1" applyAlignment="1" applyProtection="1">
      <alignment horizontal="center" vertical="center" wrapText="1"/>
    </xf>
    <xf numFmtId="0" fontId="252" fillId="0" borderId="0" xfId="0" applyFont="1" applyFill="1" applyAlignment="1" applyProtection="1">
      <alignment horizontal="center" vertical="center"/>
      <protection locked="0"/>
    </xf>
    <xf numFmtId="193" fontId="252" fillId="0" borderId="0" xfId="0" applyNumberFormat="1" applyFont="1" applyFill="1" applyAlignment="1" applyProtection="1">
      <alignment horizontal="center" vertical="center" wrapText="1"/>
      <protection locked="0"/>
    </xf>
    <xf numFmtId="188" fontId="286" fillId="0" borderId="16" xfId="0" applyNumberFormat="1" applyFont="1" applyFill="1" applyBorder="1" applyAlignment="1" applyProtection="1">
      <alignment horizontal="center" vertical="center"/>
    </xf>
    <xf numFmtId="0" fontId="287" fillId="0" borderId="1" xfId="0" applyNumberFormat="1" applyFont="1" applyFill="1" applyBorder="1" applyAlignment="1" applyProtection="1">
      <alignment horizontal="center" vertical="center" wrapText="1"/>
      <protection locked="0"/>
    </xf>
    <xf numFmtId="0" fontId="288" fillId="0" borderId="1" xfId="0" applyNumberFormat="1" applyFont="1" applyFill="1" applyBorder="1" applyAlignment="1" applyProtection="1">
      <alignment horizontal="center" vertical="center" wrapText="1"/>
      <protection locked="0"/>
    </xf>
    <xf numFmtId="186" fontId="56" fillId="0" borderId="9" xfId="0" applyNumberFormat="1" applyFont="1" applyFill="1" applyBorder="1" applyAlignment="1" applyProtection="1">
      <alignment horizontal="center" vertical="center" wrapText="1"/>
      <protection locked="0"/>
    </xf>
    <xf numFmtId="0" fontId="46" fillId="0" borderId="1" xfId="0" applyFont="1" applyFill="1" applyBorder="1" applyAlignment="1" applyProtection="1">
      <alignment horizontal="justify" vertical="center" wrapText="1"/>
      <protection locked="0"/>
    </xf>
    <xf numFmtId="194" fontId="69" fillId="0" borderId="1" xfId="0" applyNumberFormat="1" applyFont="1" applyFill="1" applyBorder="1" applyAlignment="1" applyProtection="1">
      <alignment horizontal="center" vertical="center"/>
      <protection locked="0"/>
    </xf>
    <xf numFmtId="0" fontId="69" fillId="0" borderId="1" xfId="0" applyFont="1" applyFill="1" applyBorder="1" applyAlignment="1" applyProtection="1">
      <alignment horizontal="center" vertical="center" wrapText="1"/>
    </xf>
    <xf numFmtId="0" fontId="69" fillId="0" borderId="1" xfId="0" applyFont="1" applyFill="1" applyBorder="1" applyAlignment="1" applyProtection="1">
      <alignment horizontal="center" vertical="center"/>
    </xf>
    <xf numFmtId="187" fontId="69" fillId="0" borderId="1" xfId="0" applyNumberFormat="1" applyFont="1" applyFill="1" applyBorder="1" applyAlignment="1" applyProtection="1">
      <alignment horizontal="center" vertical="center"/>
    </xf>
    <xf numFmtId="182" fontId="69" fillId="0" borderId="1" xfId="0" applyNumberFormat="1" applyFont="1" applyFill="1" applyBorder="1" applyAlignment="1" applyProtection="1">
      <alignment horizontal="center" vertical="center"/>
    </xf>
    <xf numFmtId="182" fontId="69" fillId="0" borderId="1" xfId="0" applyNumberFormat="1" applyFont="1" applyFill="1" applyBorder="1" applyAlignment="1" applyProtection="1">
      <alignment horizontal="center" vertical="center" wrapText="1"/>
    </xf>
    <xf numFmtId="0" fontId="56" fillId="0" borderId="0" xfId="0" applyFont="1" applyFill="1" applyAlignment="1" applyProtection="1">
      <alignment horizontal="center" vertical="center"/>
      <protection locked="0"/>
    </xf>
    <xf numFmtId="193" fontId="56" fillId="0" borderId="0" xfId="0" applyNumberFormat="1" applyFont="1" applyFill="1" applyAlignment="1" applyProtection="1">
      <alignment horizontal="center" vertical="center" wrapText="1"/>
      <protection locked="0"/>
    </xf>
    <xf numFmtId="0" fontId="287" fillId="0" borderId="7" xfId="0" applyNumberFormat="1" applyFont="1" applyFill="1" applyBorder="1" applyAlignment="1" applyProtection="1">
      <alignment horizontal="center" vertical="center" wrapText="1"/>
      <protection locked="0"/>
    </xf>
    <xf numFmtId="0" fontId="288" fillId="0" borderId="7" xfId="0" applyNumberFormat="1" applyFont="1" applyFill="1" applyBorder="1" applyAlignment="1" applyProtection="1">
      <alignment horizontal="center" vertical="center" wrapText="1"/>
      <protection locked="0"/>
    </xf>
    <xf numFmtId="186" fontId="46" fillId="0" borderId="7" xfId="0" applyNumberFormat="1" applyFont="1" applyFill="1" applyBorder="1" applyAlignment="1" applyProtection="1">
      <alignment horizontal="center" vertical="center" wrapText="1"/>
      <protection locked="0"/>
    </xf>
    <xf numFmtId="182" fontId="69" fillId="0" borderId="1" xfId="0" applyNumberFormat="1" applyFont="1" applyFill="1" applyBorder="1" applyAlignment="1" applyProtection="1">
      <alignment horizontal="center" vertical="center"/>
      <protection locked="0"/>
    </xf>
    <xf numFmtId="0" fontId="71" fillId="0" borderId="1" xfId="0" applyFont="1" applyFill="1" applyBorder="1" applyAlignment="1" applyProtection="1">
      <alignment horizontal="center" vertical="center" wrapText="1"/>
      <protection locked="0"/>
    </xf>
    <xf numFmtId="186" fontId="56" fillId="12" borderId="9" xfId="0" applyNumberFormat="1" applyFont="1" applyFill="1" applyBorder="1" applyAlignment="1" applyProtection="1">
      <alignment horizontal="center" vertical="center" wrapText="1"/>
      <protection locked="0"/>
    </xf>
    <xf numFmtId="191" fontId="286" fillId="0" borderId="1" xfId="0" applyNumberFormat="1" applyFont="1" applyFill="1" applyBorder="1" applyAlignment="1" applyProtection="1">
      <alignment horizontal="center" vertical="center" wrapText="1"/>
      <protection locked="0"/>
    </xf>
    <xf numFmtId="0" fontId="114" fillId="0" borderId="1" xfId="0" applyFont="1" applyFill="1" applyBorder="1" applyAlignment="1" applyProtection="1">
      <alignment horizontal="center" vertical="center" wrapText="1"/>
      <protection locked="0"/>
    </xf>
    <xf numFmtId="182" fontId="111" fillId="0" borderId="1" xfId="0" applyNumberFormat="1" applyFont="1" applyFill="1" applyBorder="1" applyAlignment="1" applyProtection="1">
      <alignment horizontal="center" vertical="center"/>
      <protection locked="0"/>
    </xf>
    <xf numFmtId="0" fontId="263" fillId="0" borderId="1" xfId="0" applyNumberFormat="1" applyFont="1" applyFill="1" applyBorder="1" applyAlignment="1" applyProtection="1">
      <alignment horizontal="center" vertical="center"/>
      <protection locked="0"/>
    </xf>
    <xf numFmtId="186" fontId="46" fillId="0" borderId="1" xfId="0" applyNumberFormat="1" applyFont="1" applyFill="1" applyBorder="1" applyAlignment="1" applyProtection="1">
      <alignment horizontal="center" vertical="center" wrapText="1"/>
      <protection locked="0"/>
    </xf>
    <xf numFmtId="0" fontId="289" fillId="0" borderId="1" xfId="0" applyNumberFormat="1" applyFont="1" applyFill="1" applyBorder="1" applyAlignment="1" applyProtection="1">
      <alignment horizontal="center" vertical="center"/>
      <protection locked="0"/>
    </xf>
    <xf numFmtId="0" fontId="57" fillId="0" borderId="1" xfId="0" applyFont="1" applyFill="1" applyBorder="1" applyAlignment="1" applyProtection="1">
      <alignment horizontal="center" vertical="center" wrapText="1"/>
      <protection locked="0"/>
    </xf>
    <xf numFmtId="0" fontId="36" fillId="0" borderId="1" xfId="0" applyNumberFormat="1" applyFont="1" applyFill="1" applyBorder="1" applyAlignment="1" applyProtection="1">
      <alignment horizontal="center" vertical="center" wrapText="1"/>
      <protection locked="0"/>
    </xf>
    <xf numFmtId="0" fontId="46" fillId="0" borderId="9" xfId="0" applyFont="1" applyFill="1" applyBorder="1" applyAlignment="1" applyProtection="1">
      <alignment horizontal="center" vertical="center"/>
      <protection locked="0"/>
    </xf>
    <xf numFmtId="190" fontId="252" fillId="0" borderId="1" xfId="0" applyNumberFormat="1" applyFont="1" applyFill="1" applyBorder="1" applyAlignment="1" applyProtection="1">
      <alignment horizontal="center" vertical="center" wrapText="1" shrinkToFit="1"/>
    </xf>
    <xf numFmtId="0" fontId="45" fillId="0" borderId="1" xfId="0" applyFont="1" applyFill="1" applyBorder="1" applyAlignment="1" applyProtection="1">
      <alignment horizontal="center" vertical="center"/>
      <protection locked="0"/>
    </xf>
    <xf numFmtId="0" fontId="35" fillId="0" borderId="1" xfId="0" applyNumberFormat="1" applyFont="1" applyFill="1" applyBorder="1" applyAlignment="1" applyProtection="1">
      <alignment horizontal="center" vertical="center" wrapText="1"/>
      <protection locked="0"/>
    </xf>
    <xf numFmtId="0" fontId="290" fillId="0" borderId="1" xfId="0" applyNumberFormat="1" applyFont="1" applyFill="1" applyBorder="1" applyAlignment="1" applyProtection="1">
      <alignment horizontal="center" vertical="center" wrapText="1"/>
      <protection locked="0"/>
    </xf>
    <xf numFmtId="0" fontId="291" fillId="0" borderId="1" xfId="0" applyNumberFormat="1" applyFont="1" applyFill="1" applyBorder="1" applyAlignment="1" applyProtection="1">
      <alignment horizontal="center" vertical="center" wrapText="1"/>
      <protection locked="0"/>
    </xf>
    <xf numFmtId="58" fontId="114" fillId="0" borderId="1" xfId="0" applyNumberFormat="1" applyFont="1" applyFill="1" applyBorder="1" applyAlignment="1" applyProtection="1">
      <alignment horizontal="center" vertical="center" wrapText="1"/>
      <protection locked="0"/>
    </xf>
    <xf numFmtId="14" fontId="292" fillId="0" borderId="1" xfId="0" applyNumberFormat="1" applyFont="1" applyFill="1" applyBorder="1" applyAlignment="1" applyProtection="1">
      <alignment horizontal="center" vertical="center"/>
      <protection locked="0"/>
    </xf>
    <xf numFmtId="0" fontId="35" fillId="0" borderId="1" xfId="0" applyFont="1" applyFill="1" applyBorder="1" applyAlignment="1" applyProtection="1">
      <alignment horizontal="center" vertical="center"/>
      <protection locked="0"/>
    </xf>
    <xf numFmtId="0" fontId="289" fillId="0" borderId="16" xfId="0" applyFont="1" applyFill="1" applyBorder="1" applyAlignment="1" applyProtection="1">
      <alignment horizontal="center" vertical="center"/>
      <protection locked="0"/>
    </xf>
    <xf numFmtId="0" fontId="291" fillId="0" borderId="21" xfId="0" applyNumberFormat="1" applyFont="1" applyFill="1" applyBorder="1" applyAlignment="1" applyProtection="1">
      <alignment horizontal="center" vertical="center" wrapText="1"/>
      <protection locked="0"/>
    </xf>
    <xf numFmtId="0" fontId="293" fillId="0" borderId="16" xfId="0" applyFont="1" applyFill="1" applyBorder="1" applyAlignment="1" applyProtection="1">
      <alignment horizontal="center" vertical="center" wrapText="1"/>
      <protection locked="0"/>
    </xf>
    <xf numFmtId="0" fontId="264" fillId="0" borderId="16" xfId="0" applyFont="1" applyFill="1" applyBorder="1" applyAlignment="1" applyProtection="1">
      <alignment horizontal="center" vertical="center" wrapText="1" shrinkToFit="1"/>
      <protection locked="0"/>
    </xf>
    <xf numFmtId="0" fontId="293" fillId="0" borderId="16" xfId="0" applyNumberFormat="1" applyFont="1" applyFill="1" applyBorder="1" applyAlignment="1" applyProtection="1">
      <alignment horizontal="center" vertical="center" shrinkToFit="1"/>
      <protection locked="0"/>
    </xf>
    <xf numFmtId="0" fontId="293" fillId="0" borderId="1" xfId="0" applyFont="1" applyFill="1" applyBorder="1" applyAlignment="1" applyProtection="1">
      <alignment horizontal="center" vertical="center" wrapText="1"/>
    </xf>
    <xf numFmtId="188" fontId="293" fillId="0" borderId="16" xfId="0" applyNumberFormat="1" applyFont="1" applyFill="1" applyBorder="1" applyAlignment="1" applyProtection="1">
      <alignment horizontal="center" vertical="center"/>
    </xf>
    <xf numFmtId="0" fontId="114" fillId="0" borderId="9" xfId="0" applyFont="1" applyFill="1" applyBorder="1" applyAlignment="1" applyProtection="1">
      <alignment horizontal="center" vertical="center" wrapText="1"/>
      <protection locked="0"/>
    </xf>
    <xf numFmtId="0" fontId="114" fillId="0" borderId="16" xfId="0" applyFont="1" applyFill="1" applyBorder="1" applyAlignment="1" applyProtection="1">
      <alignment horizontal="center" vertical="center" wrapText="1"/>
      <protection locked="0"/>
    </xf>
    <xf numFmtId="0" fontId="294" fillId="0" borderId="1" xfId="0" applyFont="1" applyFill="1" applyBorder="1" applyAlignment="1" applyProtection="1">
      <alignment horizontal="center" vertical="center"/>
      <protection locked="0"/>
    </xf>
    <xf numFmtId="14" fontId="41" fillId="0" borderId="1" xfId="0" applyNumberFormat="1" applyFont="1" applyFill="1" applyBorder="1" applyAlignment="1" applyProtection="1">
      <alignment horizontal="center" vertical="center" wrapText="1"/>
      <protection locked="0"/>
    </xf>
    <xf numFmtId="14" fontId="295" fillId="0" borderId="9" xfId="0" applyNumberFormat="1" applyFont="1" applyFill="1" applyBorder="1" applyAlignment="1" applyProtection="1">
      <alignment horizontal="center" vertical="center"/>
      <protection locked="0"/>
    </xf>
    <xf numFmtId="14" fontId="295" fillId="0" borderId="1" xfId="0" applyNumberFormat="1" applyFont="1" applyFill="1" applyBorder="1" applyAlignment="1" applyProtection="1">
      <alignment horizontal="center" vertical="center" wrapText="1"/>
      <protection locked="0"/>
    </xf>
    <xf numFmtId="0" fontId="291" fillId="0" borderId="9" xfId="0" applyNumberFormat="1" applyFont="1" applyFill="1" applyBorder="1" applyAlignment="1" applyProtection="1">
      <alignment horizontal="center" vertical="center" wrapText="1"/>
      <protection locked="0"/>
    </xf>
    <xf numFmtId="3" fontId="111" fillId="0" borderId="1" xfId="0" applyNumberFormat="1" applyFont="1" applyFill="1" applyBorder="1" applyAlignment="1" applyProtection="1">
      <alignment horizontal="center" vertical="center"/>
      <protection locked="0"/>
    </xf>
    <xf numFmtId="0" fontId="219" fillId="0" borderId="1" xfId="0" applyFont="1" applyFill="1" applyBorder="1" applyAlignment="1" applyProtection="1">
      <alignment horizontal="center" vertical="center" wrapText="1"/>
      <protection locked="0"/>
    </xf>
    <xf numFmtId="0" fontId="284" fillId="0" borderId="1" xfId="0" applyFont="1" applyFill="1" applyBorder="1" applyAlignment="1" applyProtection="1">
      <alignment horizontal="center" vertical="center" wrapText="1" shrinkToFit="1"/>
      <protection locked="0"/>
    </xf>
    <xf numFmtId="186" fontId="284" fillId="0" borderId="1" xfId="0" applyNumberFormat="1" applyFont="1" applyFill="1" applyBorder="1" applyAlignment="1" applyProtection="1">
      <alignment horizontal="center" vertical="center" wrapText="1"/>
      <protection locked="0"/>
    </xf>
    <xf numFmtId="0" fontId="219" fillId="0" borderId="16" xfId="0" applyFont="1" applyFill="1" applyBorder="1" applyAlignment="1" applyProtection="1">
      <alignment horizontal="center" vertical="center" wrapText="1"/>
      <protection locked="0"/>
    </xf>
    <xf numFmtId="0" fontId="284" fillId="0" borderId="16" xfId="0" applyFont="1" applyFill="1" applyBorder="1" applyAlignment="1" applyProtection="1">
      <alignment horizontal="center" vertical="center" wrapText="1" shrinkToFit="1"/>
      <protection locked="0"/>
    </xf>
    <xf numFmtId="186" fontId="284" fillId="0" borderId="16" xfId="0" applyNumberFormat="1" applyFont="1" applyFill="1" applyBorder="1" applyAlignment="1" applyProtection="1">
      <alignment horizontal="center" vertical="center" wrapText="1"/>
      <protection locked="0"/>
    </xf>
    <xf numFmtId="186" fontId="295" fillId="0" borderId="1" xfId="0" applyNumberFormat="1" applyFont="1" applyFill="1" applyBorder="1" applyAlignment="1" applyProtection="1">
      <alignment horizontal="center" vertical="center" wrapText="1"/>
      <protection locked="0"/>
    </xf>
    <xf numFmtId="186" fontId="295" fillId="0" borderId="9" xfId="0" applyNumberFormat="1" applyFont="1" applyFill="1" applyBorder="1" applyAlignment="1" applyProtection="1">
      <alignment horizontal="center" vertical="center" wrapText="1"/>
      <protection locked="0"/>
    </xf>
    <xf numFmtId="186" fontId="295" fillId="0" borderId="21" xfId="0" applyNumberFormat="1" applyFont="1" applyFill="1" applyBorder="1" applyAlignment="1" applyProtection="1">
      <alignment horizontal="center" vertical="center" wrapText="1"/>
      <protection locked="0"/>
    </xf>
    <xf numFmtId="186" fontId="295" fillId="0" borderId="16" xfId="0" applyNumberFormat="1" applyFont="1" applyFill="1" applyBorder="1" applyAlignment="1" applyProtection="1">
      <alignment horizontal="center" vertical="center" wrapText="1"/>
      <protection locked="0"/>
    </xf>
    <xf numFmtId="0" fontId="294" fillId="0" borderId="9" xfId="0" applyFont="1" applyFill="1" applyBorder="1" applyAlignment="1" applyProtection="1">
      <alignment horizontal="center" vertical="center"/>
      <protection locked="0"/>
    </xf>
    <xf numFmtId="0" fontId="252" fillId="0" borderId="0" xfId="0" applyFont="1" applyFill="1" applyBorder="1" applyAlignment="1" applyProtection="1">
      <alignment horizontal="center" vertical="center"/>
      <protection locked="0"/>
    </xf>
    <xf numFmtId="194" fontId="111" fillId="0" borderId="9" xfId="0" applyNumberFormat="1" applyFont="1" applyFill="1" applyBorder="1" applyAlignment="1" applyProtection="1">
      <alignment horizontal="center" vertical="center"/>
      <protection locked="0"/>
    </xf>
    <xf numFmtId="191" fontId="111" fillId="0" borderId="9" xfId="0" applyNumberFormat="1" applyFont="1" applyFill="1" applyBorder="1" applyAlignment="1" applyProtection="1">
      <alignment horizontal="center" vertical="center" wrapText="1"/>
      <protection locked="0"/>
    </xf>
    <xf numFmtId="0" fontId="111" fillId="0" borderId="9" xfId="0" applyFont="1" applyFill="1" applyBorder="1" applyAlignment="1" applyProtection="1">
      <alignment horizontal="center" vertical="center" wrapText="1"/>
    </xf>
    <xf numFmtId="0" fontId="111" fillId="0" borderId="9" xfId="0" applyFont="1" applyFill="1" applyBorder="1" applyAlignment="1" applyProtection="1">
      <alignment horizontal="center" vertical="center"/>
    </xf>
    <xf numFmtId="187" fontId="111" fillId="0" borderId="9" xfId="0" applyNumberFormat="1" applyFont="1" applyFill="1" applyBorder="1" applyAlignment="1" applyProtection="1">
      <alignment horizontal="center" vertical="center"/>
    </xf>
    <xf numFmtId="182" fontId="111" fillId="0" borderId="10" xfId="0" applyNumberFormat="1" applyFont="1" applyFill="1" applyBorder="1" applyAlignment="1" applyProtection="1">
      <alignment horizontal="center" vertical="center"/>
      <protection locked="0"/>
    </xf>
    <xf numFmtId="186" fontId="252" fillId="0" borderId="21" xfId="0" applyNumberFormat="1" applyFont="1" applyFill="1" applyBorder="1" applyAlignment="1" applyProtection="1">
      <alignment horizontal="center" vertical="center" wrapText="1"/>
      <protection locked="0"/>
    </xf>
    <xf numFmtId="186" fontId="35" fillId="0" borderId="16" xfId="0" applyNumberFormat="1" applyFont="1" applyFill="1" applyBorder="1" applyAlignment="1" applyProtection="1">
      <alignment horizontal="center" vertical="center" wrapText="1"/>
      <protection locked="0"/>
    </xf>
    <xf numFmtId="186" fontId="45" fillId="0" borderId="16" xfId="0" applyNumberFormat="1" applyFont="1" applyFill="1" applyBorder="1" applyAlignment="1" applyProtection="1">
      <alignment horizontal="center" vertical="center" wrapText="1"/>
      <protection locked="0"/>
    </xf>
    <xf numFmtId="191" fontId="111" fillId="0" borderId="16" xfId="0" applyNumberFormat="1" applyFont="1" applyFill="1" applyBorder="1" applyAlignment="1" applyProtection="1">
      <alignment horizontal="center" vertical="center" wrapText="1"/>
      <protection locked="0"/>
    </xf>
    <xf numFmtId="0" fontId="111" fillId="0" borderId="16" xfId="0" applyFont="1" applyFill="1" applyBorder="1" applyAlignment="1" applyProtection="1">
      <alignment horizontal="center" vertical="center" wrapText="1"/>
    </xf>
    <xf numFmtId="0" fontId="111" fillId="0" borderId="16" xfId="0" applyFont="1" applyFill="1" applyBorder="1" applyAlignment="1" applyProtection="1">
      <alignment horizontal="center" vertical="center"/>
    </xf>
    <xf numFmtId="187" fontId="111" fillId="0" borderId="16" xfId="0" applyNumberFormat="1" applyFont="1" applyFill="1" applyBorder="1" applyAlignment="1" applyProtection="1">
      <alignment horizontal="center" vertical="center"/>
    </xf>
    <xf numFmtId="182" fontId="111" fillId="0" borderId="16" xfId="0" applyNumberFormat="1" applyFont="1" applyFill="1" applyBorder="1" applyAlignment="1" applyProtection="1">
      <alignment horizontal="center" vertical="center"/>
    </xf>
    <xf numFmtId="182" fontId="111" fillId="0" borderId="16" xfId="0" applyNumberFormat="1" applyFont="1" applyFill="1" applyBorder="1" applyAlignment="1" applyProtection="1">
      <alignment horizontal="center" vertical="center" wrapText="1"/>
    </xf>
    <xf numFmtId="182" fontId="111" fillId="0" borderId="15" xfId="0" applyNumberFormat="1" applyFont="1" applyFill="1" applyBorder="1" applyAlignment="1" applyProtection="1">
      <alignment horizontal="center" vertical="center" wrapText="1"/>
    </xf>
    <xf numFmtId="188" fontId="283" fillId="0" borderId="1" xfId="0" applyNumberFormat="1" applyFont="1" applyFill="1" applyBorder="1" applyAlignment="1" applyProtection="1">
      <alignment horizontal="center" vertical="center"/>
    </xf>
    <xf numFmtId="193" fontId="252" fillId="0" borderId="0" xfId="0" applyNumberFormat="1" applyFont="1" applyFill="1" applyBorder="1" applyAlignment="1" applyProtection="1">
      <alignment horizontal="center" vertical="center" wrapText="1"/>
      <protection locked="0"/>
    </xf>
    <xf numFmtId="182" fontId="111" fillId="3" borderId="1" xfId="0" applyNumberFormat="1" applyFont="1" applyFill="1" applyBorder="1" applyAlignment="1" applyProtection="1">
      <alignment horizontal="center" vertical="center"/>
      <protection locked="0"/>
    </xf>
    <xf numFmtId="182" fontId="111" fillId="3" borderId="6" xfId="0" applyNumberFormat="1" applyFont="1" applyFill="1" applyBorder="1" applyAlignment="1" applyProtection="1">
      <alignment horizontal="center" vertical="center" wrapText="1"/>
      <protection locked="0"/>
    </xf>
    <xf numFmtId="194" fontId="111" fillId="0" borderId="1" xfId="0" applyNumberFormat="1" applyFont="1" applyFill="1" applyBorder="1" applyAlignment="1" applyProtection="1">
      <alignment horizontal="center" vertical="center" wrapText="1"/>
      <protection locked="0"/>
    </xf>
    <xf numFmtId="0" fontId="294" fillId="0" borderId="21" xfId="0" applyFont="1" applyFill="1" applyBorder="1" applyAlignment="1" applyProtection="1">
      <alignment horizontal="center" vertical="center"/>
      <protection locked="0"/>
    </xf>
    <xf numFmtId="0" fontId="294" fillId="0" borderId="16" xfId="0" applyFont="1" applyFill="1" applyBorder="1" applyAlignment="1" applyProtection="1">
      <alignment horizontal="center" vertical="center"/>
      <protection locked="0"/>
    </xf>
    <xf numFmtId="187" fontId="264" fillId="0" borderId="1" xfId="0" applyNumberFormat="1" applyFont="1" applyFill="1" applyBorder="1" applyAlignment="1" applyProtection="1">
      <alignment horizontal="center" vertical="center" wrapText="1" shrinkToFit="1"/>
      <protection locked="0"/>
    </xf>
    <xf numFmtId="186" fontId="45" fillId="0" borderId="9" xfId="0" applyNumberFormat="1" applyFont="1" applyFill="1" applyBorder="1" applyAlignment="1" applyProtection="1">
      <alignment horizontal="center" vertical="center" wrapText="1"/>
      <protection locked="0"/>
    </xf>
    <xf numFmtId="187" fontId="264" fillId="0" borderId="16" xfId="0" applyNumberFormat="1" applyFont="1" applyFill="1" applyBorder="1" applyAlignment="1" applyProtection="1">
      <alignment horizontal="center" vertical="center" wrapText="1" shrinkToFit="1"/>
      <protection locked="0"/>
    </xf>
    <xf numFmtId="186" fontId="217" fillId="0" borderId="9" xfId="0" applyNumberFormat="1" applyFont="1" applyFill="1" applyBorder="1" applyAlignment="1" applyProtection="1">
      <alignment horizontal="center" vertical="center" wrapText="1"/>
      <protection locked="0"/>
    </xf>
    <xf numFmtId="0" fontId="111" fillId="7" borderId="1" xfId="0" applyFont="1" applyFill="1" applyBorder="1" applyAlignment="1" applyProtection="1">
      <alignment horizontal="center" vertical="center" wrapText="1"/>
      <protection locked="0"/>
    </xf>
    <xf numFmtId="0" fontId="114" fillId="7" borderId="1" xfId="0" applyFont="1" applyFill="1" applyBorder="1" applyAlignment="1" applyProtection="1">
      <alignment horizontal="center" vertical="center" wrapText="1"/>
      <protection locked="0"/>
    </xf>
    <xf numFmtId="0" fontId="291" fillId="7" borderId="1" xfId="0" applyNumberFormat="1" applyFont="1" applyFill="1" applyBorder="1" applyAlignment="1" applyProtection="1">
      <alignment horizontal="center" vertical="center" wrapText="1"/>
      <protection locked="0"/>
    </xf>
    <xf numFmtId="0" fontId="294" fillId="7" borderId="1" xfId="0" applyFont="1" applyFill="1" applyBorder="1" applyAlignment="1" applyProtection="1">
      <alignment horizontal="center" vertical="center"/>
      <protection locked="0"/>
    </xf>
    <xf numFmtId="14" fontId="295" fillId="0" borderId="1" xfId="0" applyNumberFormat="1" applyFont="1" applyFill="1" applyBorder="1" applyAlignment="1" applyProtection="1">
      <alignment horizontal="center" vertical="center"/>
      <protection locked="0"/>
    </xf>
    <xf numFmtId="191" fontId="111" fillId="4" borderId="1" xfId="0" applyNumberFormat="1" applyFont="1" applyFill="1" applyBorder="1" applyAlignment="1" applyProtection="1">
      <alignment horizontal="center" vertical="center" wrapText="1"/>
      <protection locked="0"/>
    </xf>
    <xf numFmtId="186" fontId="257" fillId="0" borderId="9" xfId="0" applyNumberFormat="1" applyFont="1" applyFill="1" applyBorder="1" applyAlignment="1" applyProtection="1">
      <alignment horizontal="center" vertical="center" wrapText="1"/>
      <protection locked="0"/>
    </xf>
    <xf numFmtId="187" fontId="296" fillId="0" borderId="16" xfId="0" applyNumberFormat="1" applyFont="1" applyFill="1" applyBorder="1" applyAlignment="1" applyProtection="1">
      <alignment horizontal="center" vertical="center" wrapText="1" shrinkToFit="1"/>
      <protection locked="0"/>
    </xf>
    <xf numFmtId="182" fontId="68" fillId="0" borderId="6" xfId="0" applyNumberFormat="1" applyFont="1" applyFill="1" applyBorder="1" applyAlignment="1" applyProtection="1">
      <alignment horizontal="center" vertical="center" wrapText="1"/>
      <protection locked="0"/>
    </xf>
    <xf numFmtId="3" fontId="68" fillId="0" borderId="1" xfId="0" applyNumberFormat="1" applyFont="1" applyFill="1" applyBorder="1" applyAlignment="1" applyProtection="1">
      <alignment horizontal="center" vertical="center"/>
      <protection locked="0"/>
    </xf>
    <xf numFmtId="0" fontId="277" fillId="0" borderId="1" xfId="0" applyFont="1" applyFill="1" applyBorder="1" applyAlignment="1" applyProtection="1">
      <alignment horizontal="center" vertical="center"/>
      <protection locked="0"/>
    </xf>
    <xf numFmtId="14" fontId="278" fillId="0" borderId="1" xfId="0" applyNumberFormat="1" applyFont="1" applyFill="1" applyBorder="1" applyAlignment="1" applyProtection="1">
      <alignment horizontal="center" vertical="center" wrapText="1"/>
      <protection locked="0"/>
    </xf>
    <xf numFmtId="0" fontId="68" fillId="0" borderId="0" xfId="0" applyFont="1" applyFill="1" applyAlignment="1">
      <alignment horizontal="center" vertical="center"/>
    </xf>
    <xf numFmtId="0" fontId="276" fillId="7" borderId="1" xfId="0" applyFont="1" applyFill="1" applyBorder="1" applyAlignment="1" applyProtection="1">
      <alignment horizontal="center" vertical="center" wrapText="1"/>
      <protection locked="0"/>
    </xf>
    <xf numFmtId="0" fontId="277" fillId="7" borderId="1" xfId="0" applyNumberFormat="1" applyFont="1" applyFill="1" applyBorder="1" applyAlignment="1" applyProtection="1">
      <alignment horizontal="center" vertical="center" wrapText="1"/>
      <protection locked="0"/>
    </xf>
    <xf numFmtId="0" fontId="280" fillId="7" borderId="1" xfId="0" applyFont="1" applyFill="1" applyBorder="1" applyAlignment="1" applyProtection="1">
      <alignment horizontal="center" vertical="center"/>
      <protection locked="0"/>
    </xf>
    <xf numFmtId="0" fontId="252" fillId="0" borderId="1" xfId="0" applyFont="1" applyFill="1" applyBorder="1" applyAlignment="1" applyProtection="1">
      <alignment horizontal="center" vertical="center"/>
    </xf>
    <xf numFmtId="0" fontId="71" fillId="0" borderId="9" xfId="0" applyFont="1" applyFill="1" applyBorder="1" applyAlignment="1" applyProtection="1">
      <alignment horizontal="center" vertical="center"/>
      <protection locked="0"/>
    </xf>
    <xf numFmtId="187" fontId="297" fillId="0" borderId="16" xfId="0" applyNumberFormat="1" applyFont="1" applyFill="1" applyBorder="1" applyAlignment="1" applyProtection="1">
      <alignment horizontal="center" vertical="center" wrapText="1" shrinkToFit="1"/>
      <protection locked="0"/>
    </xf>
    <xf numFmtId="182" fontId="69" fillId="0" borderId="6" xfId="0" applyNumberFormat="1" applyFont="1" applyFill="1" applyBorder="1" applyAlignment="1" applyProtection="1">
      <alignment horizontal="center" vertical="center" wrapText="1"/>
      <protection locked="0"/>
    </xf>
    <xf numFmtId="176" fontId="298" fillId="0" borderId="1" xfId="0" applyNumberFormat="1" applyFont="1" applyFill="1" applyBorder="1" applyAlignment="1" applyProtection="1">
      <alignment horizontal="center" vertical="center" wrapText="1"/>
      <protection locked="0"/>
    </xf>
    <xf numFmtId="0" fontId="299" fillId="0" borderId="1" xfId="0" applyFont="1" applyFill="1" applyBorder="1" applyAlignment="1" applyProtection="1">
      <alignment horizontal="center" vertical="center"/>
      <protection locked="0"/>
    </xf>
    <xf numFmtId="0" fontId="71" fillId="0" borderId="1" xfId="0" applyFont="1" applyFill="1" applyBorder="1" applyAlignment="1" applyProtection="1">
      <alignment horizontal="center" vertical="center"/>
      <protection locked="0"/>
    </xf>
    <xf numFmtId="0" fontId="290" fillId="0" borderId="6" xfId="0" applyNumberFormat="1" applyFont="1" applyFill="1" applyBorder="1" applyAlignment="1" applyProtection="1">
      <alignment horizontal="center" vertical="center" wrapText="1"/>
      <protection locked="0"/>
    </xf>
    <xf numFmtId="0" fontId="71" fillId="0" borderId="104" xfId="0" applyFont="1" applyFill="1" applyBorder="1" applyAlignment="1" applyProtection="1">
      <alignment horizontal="center" vertical="center"/>
      <protection locked="0"/>
    </xf>
    <xf numFmtId="0" fontId="71" fillId="0" borderId="7" xfId="0" applyFont="1" applyFill="1" applyBorder="1" applyAlignment="1" applyProtection="1">
      <alignment horizontal="center" vertical="center" wrapText="1"/>
      <protection locked="0"/>
    </xf>
    <xf numFmtId="186" fontId="46" fillId="0" borderId="9" xfId="0" applyNumberFormat="1" applyFont="1" applyFill="1" applyBorder="1" applyAlignment="1" applyProtection="1">
      <alignment horizontal="center" vertical="center" wrapText="1"/>
      <protection locked="0"/>
    </xf>
    <xf numFmtId="0" fontId="71" fillId="0" borderId="16" xfId="0" applyFont="1" applyFill="1" applyBorder="1" applyAlignment="1" applyProtection="1">
      <alignment horizontal="center" vertical="center"/>
      <protection locked="0"/>
    </xf>
    <xf numFmtId="0" fontId="300" fillId="0" borderId="1" xfId="0" applyFont="1" applyFill="1" applyBorder="1" applyAlignment="1" applyProtection="1">
      <alignment horizontal="center" vertical="center"/>
      <protection locked="0"/>
    </xf>
    <xf numFmtId="0" fontId="71" fillId="0" borderId="23" xfId="0" applyFont="1" applyFill="1" applyBorder="1" applyAlignment="1" applyProtection="1">
      <alignment horizontal="center" vertical="center"/>
      <protection locked="0"/>
    </xf>
    <xf numFmtId="188" fontId="301" fillId="0" borderId="16" xfId="0" applyNumberFormat="1" applyFont="1" applyFill="1" applyBorder="1" applyAlignment="1" applyProtection="1">
      <alignment horizontal="center" vertical="center"/>
    </xf>
    <xf numFmtId="0" fontId="302" fillId="0" borderId="16" xfId="0" applyFont="1" applyFill="1" applyBorder="1" applyAlignment="1" applyProtection="1">
      <alignment horizontal="center" vertical="center" wrapText="1"/>
      <protection locked="0"/>
    </xf>
    <xf numFmtId="0" fontId="302" fillId="0" borderId="1" xfId="0" applyFont="1" applyFill="1" applyBorder="1" applyAlignment="1" applyProtection="1">
      <alignment horizontal="center" vertical="center"/>
      <protection locked="0"/>
    </xf>
    <xf numFmtId="0" fontId="302" fillId="0" borderId="1" xfId="0" applyFont="1" applyFill="1" applyBorder="1" applyAlignment="1" applyProtection="1">
      <alignment horizontal="center" vertical="center" wrapText="1"/>
      <protection locked="0"/>
    </xf>
    <xf numFmtId="0" fontId="302" fillId="0" borderId="1" xfId="0" applyFont="1" applyFill="1" applyBorder="1" applyAlignment="1" applyProtection="1">
      <alignment horizontal="center" vertical="center"/>
    </xf>
    <xf numFmtId="190" fontId="269" fillId="0" borderId="1" xfId="0" applyNumberFormat="1" applyFont="1" applyFill="1" applyBorder="1" applyAlignment="1" applyProtection="1">
      <alignment horizontal="center" vertical="center" wrapText="1" shrinkToFit="1"/>
      <protection locked="0"/>
    </xf>
    <xf numFmtId="0" fontId="303" fillId="0" borderId="1" xfId="0" applyFont="1" applyFill="1" applyBorder="1" applyAlignment="1" applyProtection="1">
      <alignment horizontal="center" vertical="center" wrapText="1"/>
      <protection locked="0"/>
    </xf>
    <xf numFmtId="0" fontId="304" fillId="0" borderId="1" xfId="0" applyFont="1" applyFill="1" applyBorder="1" applyAlignment="1" applyProtection="1">
      <alignment horizontal="center" vertical="center" wrapText="1"/>
      <protection locked="0"/>
    </xf>
    <xf numFmtId="0" fontId="305" fillId="0" borderId="1" xfId="0" applyNumberFormat="1" applyFont="1" applyFill="1" applyBorder="1" applyAlignment="1" applyProtection="1">
      <alignment horizontal="center" vertical="center" wrapText="1"/>
      <protection locked="0"/>
    </xf>
    <xf numFmtId="14" fontId="305" fillId="0" borderId="9" xfId="0" applyNumberFormat="1" applyFont="1" applyFill="1" applyBorder="1" applyAlignment="1" applyProtection="1">
      <alignment horizontal="center" vertical="center" wrapText="1"/>
      <protection locked="0"/>
    </xf>
    <xf numFmtId="186" fontId="302" fillId="0" borderId="1" xfId="0" applyNumberFormat="1" applyFont="1" applyFill="1" applyBorder="1" applyAlignment="1" applyProtection="1">
      <alignment horizontal="center" vertical="center" wrapText="1"/>
      <protection locked="0"/>
    </xf>
    <xf numFmtId="186" fontId="306" fillId="0" borderId="1" xfId="0" applyNumberFormat="1" applyFont="1" applyFill="1" applyBorder="1" applyAlignment="1" applyProtection="1">
      <alignment horizontal="center" vertical="center" wrapText="1"/>
      <protection locked="0"/>
    </xf>
    <xf numFmtId="186" fontId="269" fillId="0" borderId="1" xfId="0" applyNumberFormat="1" applyFont="1" applyFill="1" applyBorder="1" applyAlignment="1" applyProtection="1">
      <alignment horizontal="center" vertical="center" wrapText="1"/>
      <protection locked="0"/>
    </xf>
    <xf numFmtId="191" fontId="302" fillId="0" borderId="1" xfId="0" applyNumberFormat="1" applyFont="1" applyFill="1" applyBorder="1" applyAlignment="1" applyProtection="1">
      <alignment horizontal="center" vertical="center" wrapText="1"/>
      <protection locked="0"/>
    </xf>
    <xf numFmtId="187" fontId="307" fillId="0" borderId="16" xfId="0" applyNumberFormat="1" applyFont="1" applyFill="1" applyBorder="1" applyAlignment="1" applyProtection="1">
      <alignment horizontal="center" vertical="center" wrapText="1" shrinkToFit="1"/>
      <protection locked="0"/>
    </xf>
    <xf numFmtId="0" fontId="302" fillId="0" borderId="1" xfId="0" applyFont="1" applyFill="1" applyBorder="1" applyAlignment="1" applyProtection="1">
      <alignment horizontal="center" vertical="center" wrapText="1"/>
    </xf>
    <xf numFmtId="187" fontId="302" fillId="0" borderId="1" xfId="0" applyNumberFormat="1" applyFont="1" applyFill="1" applyBorder="1" applyAlignment="1" applyProtection="1">
      <alignment horizontal="center" vertical="center"/>
      <protection locked="0"/>
    </xf>
    <xf numFmtId="187" fontId="302" fillId="0" borderId="1" xfId="0" applyNumberFormat="1" applyFont="1" applyFill="1" applyBorder="1" applyAlignment="1" applyProtection="1">
      <alignment horizontal="center" vertical="center"/>
    </xf>
    <xf numFmtId="182" fontId="302" fillId="0" borderId="1" xfId="0" applyNumberFormat="1" applyFont="1" applyFill="1" applyBorder="1" applyAlignment="1" applyProtection="1">
      <alignment horizontal="center" vertical="center"/>
      <protection locked="0"/>
    </xf>
    <xf numFmtId="182" fontId="302" fillId="0" borderId="1" xfId="0" applyNumberFormat="1" applyFont="1" applyFill="1" applyBorder="1" applyAlignment="1" applyProtection="1">
      <alignment horizontal="center" vertical="center" wrapText="1"/>
      <protection locked="0"/>
    </xf>
    <xf numFmtId="182" fontId="302" fillId="0" borderId="6" xfId="0" applyNumberFormat="1" applyFont="1" applyFill="1" applyBorder="1" applyAlignment="1" applyProtection="1">
      <alignment horizontal="center" vertical="center" wrapText="1"/>
      <protection locked="0"/>
    </xf>
    <xf numFmtId="182" fontId="302" fillId="0" borderId="1" xfId="0" applyNumberFormat="1" applyFont="1" applyFill="1" applyBorder="1" applyAlignment="1" applyProtection="1">
      <alignment horizontal="center" vertical="center" wrapText="1"/>
    </xf>
    <xf numFmtId="0" fontId="276" fillId="0" borderId="16" xfId="0" applyFont="1" applyFill="1" applyBorder="1" applyAlignment="1" applyProtection="1">
      <alignment horizontal="center" vertical="center"/>
      <protection locked="0"/>
    </xf>
    <xf numFmtId="0" fontId="276" fillId="0" borderId="9" xfId="0" applyFont="1" applyFill="1" applyBorder="1" applyAlignment="1" applyProtection="1">
      <alignment horizontal="center" vertical="center"/>
      <protection locked="0"/>
    </xf>
    <xf numFmtId="191" fontId="68" fillId="3" borderId="1" xfId="0" applyNumberFormat="1" applyFont="1" applyFill="1" applyBorder="1" applyAlignment="1" applyProtection="1">
      <alignment horizontal="center" vertical="center" wrapText="1"/>
      <protection locked="0"/>
    </xf>
    <xf numFmtId="182" fontId="50" fillId="0" borderId="1" xfId="0" applyNumberFormat="1" applyFont="1" applyFill="1" applyBorder="1" applyAlignment="1" applyProtection="1">
      <alignment horizontal="center" vertical="center"/>
      <protection locked="0"/>
    </xf>
    <xf numFmtId="182" fontId="50" fillId="0" borderId="6" xfId="0" applyNumberFormat="1" applyFont="1" applyFill="1" applyBorder="1" applyAlignment="1" applyProtection="1">
      <alignment horizontal="center" vertical="center" wrapText="1"/>
      <protection locked="0"/>
    </xf>
    <xf numFmtId="0" fontId="280" fillId="0" borderId="21" xfId="0" applyFont="1" applyFill="1" applyBorder="1" applyAlignment="1" applyProtection="1">
      <alignment horizontal="center" vertical="center"/>
      <protection locked="0"/>
    </xf>
    <xf numFmtId="0" fontId="280" fillId="0" borderId="16" xfId="0" applyFont="1" applyFill="1" applyBorder="1" applyAlignment="1" applyProtection="1">
      <alignment horizontal="center" vertical="center"/>
      <protection locked="0"/>
    </xf>
    <xf numFmtId="188" fontId="102" fillId="0" borderId="16" xfId="0" applyNumberFormat="1" applyFont="1" applyFill="1" applyBorder="1" applyAlignment="1" applyProtection="1">
      <alignment horizontal="center" vertical="center"/>
    </xf>
    <xf numFmtId="0" fontId="50" fillId="0" borderId="1" xfId="0" applyFont="1" applyFill="1" applyBorder="1" applyAlignment="1" applyProtection="1">
      <alignment horizontal="center" vertical="center"/>
    </xf>
    <xf numFmtId="0" fontId="291" fillId="0" borderId="6" xfId="0" applyNumberFormat="1" applyFont="1" applyFill="1" applyBorder="1" applyAlignment="1" applyProtection="1">
      <alignment horizontal="center" vertical="center" wrapText="1"/>
      <protection locked="0"/>
    </xf>
    <xf numFmtId="0" fontId="114" fillId="0" borderId="7" xfId="0" applyFont="1" applyFill="1" applyBorder="1" applyAlignment="1" applyProtection="1">
      <alignment horizontal="center" vertical="center" wrapText="1"/>
      <protection locked="0"/>
    </xf>
    <xf numFmtId="186" fontId="33" fillId="0" borderId="1" xfId="0" applyNumberFormat="1" applyFont="1" applyFill="1" applyBorder="1" applyAlignment="1" applyProtection="1">
      <alignment horizontal="center" vertical="center" wrapText="1"/>
      <protection locked="0"/>
    </xf>
    <xf numFmtId="186" fontId="33" fillId="0" borderId="9" xfId="0" applyNumberFormat="1" applyFont="1" applyFill="1" applyBorder="1" applyAlignment="1" applyProtection="1">
      <alignment horizontal="center" vertical="center" wrapText="1"/>
      <protection locked="0"/>
    </xf>
    <xf numFmtId="187" fontId="308" fillId="0" borderId="16" xfId="0" applyNumberFormat="1" applyFont="1" applyFill="1" applyBorder="1" applyAlignment="1" applyProtection="1">
      <alignment horizontal="center" vertical="center" wrapText="1" shrinkToFit="1"/>
      <protection locked="0"/>
    </xf>
    <xf numFmtId="0" fontId="50" fillId="0" borderId="1" xfId="0" applyFont="1" applyFill="1" applyBorder="1" applyAlignment="1" applyProtection="1">
      <alignment horizontal="center" vertical="center" wrapText="1"/>
    </xf>
    <xf numFmtId="187" fontId="50" fillId="0" borderId="1" xfId="0" applyNumberFormat="1" applyFont="1" applyFill="1" applyBorder="1" applyAlignment="1" applyProtection="1">
      <alignment horizontal="center" vertical="center"/>
    </xf>
    <xf numFmtId="182" fontId="50" fillId="0" borderId="1" xfId="0" applyNumberFormat="1" applyFont="1" applyFill="1" applyBorder="1" applyAlignment="1" applyProtection="1">
      <alignment horizontal="center" vertical="center" wrapText="1"/>
    </xf>
    <xf numFmtId="3" fontId="50" fillId="3" borderId="1" xfId="0" applyNumberFormat="1" applyFont="1" applyFill="1" applyBorder="1" applyAlignment="1" applyProtection="1">
      <alignment horizontal="center" vertical="center"/>
      <protection locked="0"/>
    </xf>
    <xf numFmtId="0" fontId="50" fillId="3" borderId="1" xfId="0" applyFont="1" applyFill="1" applyBorder="1" applyAlignment="1" applyProtection="1">
      <alignment horizontal="center" vertical="center"/>
    </xf>
    <xf numFmtId="190" fontId="52" fillId="3" borderId="1" xfId="0" applyNumberFormat="1" applyFont="1" applyFill="1" applyBorder="1" applyAlignment="1" applyProtection="1">
      <alignment horizontal="center" vertical="center" wrapText="1" shrinkToFit="1"/>
      <protection locked="0"/>
    </xf>
    <xf numFmtId="190" fontId="253" fillId="3" borderId="1" xfId="0" applyNumberFormat="1" applyFont="1" applyFill="1" applyBorder="1" applyAlignment="1" applyProtection="1">
      <alignment horizontal="center" vertical="center" wrapText="1" shrinkToFit="1"/>
      <protection locked="0"/>
    </xf>
    <xf numFmtId="0" fontId="38" fillId="0" borderId="1" xfId="0" applyFont="1" applyFill="1" applyBorder="1" applyAlignment="1" applyProtection="1">
      <alignment horizontal="center" vertical="center"/>
      <protection locked="0"/>
    </xf>
    <xf numFmtId="1" fontId="52" fillId="0" borderId="1" xfId="0" applyNumberFormat="1" applyFont="1" applyFill="1" applyBorder="1" applyAlignment="1" applyProtection="1">
      <alignment horizontal="center" vertical="center"/>
      <protection locked="0"/>
    </xf>
    <xf numFmtId="186" fontId="52" fillId="0" borderId="9" xfId="0" applyNumberFormat="1" applyFont="1" applyFill="1" applyBorder="1" applyAlignment="1" applyProtection="1">
      <alignment horizontal="center" vertical="center" wrapText="1"/>
      <protection locked="0"/>
    </xf>
    <xf numFmtId="0" fontId="50" fillId="0" borderId="9" xfId="0" applyFont="1" applyFill="1" applyBorder="1" applyAlignment="1" applyProtection="1">
      <alignment horizontal="justify" vertical="center"/>
      <protection locked="0"/>
    </xf>
    <xf numFmtId="0" fontId="50" fillId="0" borderId="1" xfId="0" applyFont="1" applyFill="1" applyBorder="1" applyAlignment="1" applyProtection="1">
      <alignment horizontal="justify" vertical="center"/>
      <protection locked="0"/>
    </xf>
    <xf numFmtId="187" fontId="70" fillId="0" borderId="0" xfId="0" applyNumberFormat="1" applyFont="1" applyFill="1" applyAlignment="1" applyProtection="1">
      <alignment horizontal="center" vertical="center" wrapText="1"/>
      <protection locked="0"/>
    </xf>
    <xf numFmtId="0" fontId="69" fillId="0" borderId="0" xfId="0" applyFont="1" applyFill="1" applyAlignment="1" applyProtection="1">
      <alignment horizontal="center" vertical="center"/>
      <protection locked="0"/>
    </xf>
    <xf numFmtId="0" fontId="286" fillId="0" borderId="0" xfId="0" applyFont="1" applyFill="1" applyAlignment="1" applyProtection="1">
      <alignment horizontal="center" vertical="center"/>
    </xf>
    <xf numFmtId="0" fontId="69" fillId="0" borderId="0" xfId="0" applyFont="1" applyFill="1" applyAlignment="1" applyProtection="1">
      <alignment horizontal="center" vertical="center" wrapText="1"/>
      <protection locked="0"/>
    </xf>
    <xf numFmtId="185" fontId="69" fillId="0" borderId="0" xfId="0" applyNumberFormat="1" applyFont="1" applyFill="1" applyAlignment="1" applyProtection="1">
      <alignment horizontal="center" vertical="center"/>
      <protection locked="0"/>
    </xf>
    <xf numFmtId="186" fontId="56" fillId="0" borderId="0" xfId="0" applyNumberFormat="1" applyFont="1" applyFill="1" applyBorder="1" applyAlignment="1" applyProtection="1">
      <alignment horizontal="center" vertical="center" wrapText="1"/>
      <protection locked="0"/>
    </xf>
    <xf numFmtId="186" fontId="69" fillId="0" borderId="0" xfId="0" applyNumberFormat="1" applyFont="1" applyFill="1" applyAlignment="1" applyProtection="1">
      <alignment horizontal="center" vertical="center" wrapText="1"/>
      <protection locked="0"/>
    </xf>
    <xf numFmtId="191" fontId="69" fillId="0" borderId="0" xfId="0" applyNumberFormat="1" applyFont="1" applyFill="1" applyBorder="1" applyAlignment="1" applyProtection="1">
      <alignment horizontal="center" vertical="center" wrapText="1"/>
      <protection locked="0"/>
    </xf>
    <xf numFmtId="0" fontId="71" fillId="0" borderId="0" xfId="0" applyFont="1" applyFill="1" applyAlignment="1" applyProtection="1">
      <alignment horizontal="center" vertical="center"/>
      <protection locked="0"/>
    </xf>
    <xf numFmtId="187" fontId="69" fillId="0" borderId="0" xfId="0" applyNumberFormat="1" applyFont="1" applyFill="1" applyAlignment="1" applyProtection="1">
      <alignment horizontal="center" vertical="center"/>
      <protection locked="0"/>
    </xf>
    <xf numFmtId="187" fontId="71" fillId="0" borderId="0" xfId="0" applyNumberFormat="1" applyFont="1" applyFill="1" applyAlignment="1" applyProtection="1">
      <alignment horizontal="center" vertical="center"/>
      <protection locked="0"/>
    </xf>
    <xf numFmtId="0" fontId="69" fillId="0" borderId="0" xfId="0" applyNumberFormat="1" applyFont="1" applyFill="1" applyAlignment="1" applyProtection="1">
      <alignment horizontal="center" vertical="center"/>
      <protection locked="0"/>
    </xf>
    <xf numFmtId="187" fontId="69" fillId="0" borderId="0" xfId="0" applyNumberFormat="1" applyFont="1" applyFill="1" applyAlignment="1" applyProtection="1">
      <alignment horizontal="center" vertical="center" wrapText="1"/>
      <protection locked="0"/>
    </xf>
    <xf numFmtId="186" fontId="52" fillId="0" borderId="0" xfId="0" applyNumberFormat="1" applyFont="1" applyFill="1" applyAlignment="1" applyProtection="1">
      <alignment horizontal="center" vertical="center" wrapText="1"/>
      <protection locked="0"/>
    </xf>
    <xf numFmtId="186" fontId="1" fillId="0" borderId="0" xfId="0" applyNumberFormat="1" applyFont="1" applyFill="1" applyAlignment="1" applyProtection="1">
      <alignment horizontal="center" vertical="center" wrapText="1"/>
      <protection locked="0"/>
    </xf>
    <xf numFmtId="193" fontId="52" fillId="0" borderId="6" xfId="0" applyNumberFormat="1" applyFont="1" applyFill="1" applyBorder="1" applyAlignment="1" applyProtection="1">
      <alignment horizontal="center" vertical="center" wrapText="1"/>
      <protection locked="0"/>
    </xf>
    <xf numFmtId="0" fontId="33" fillId="0" borderId="0" xfId="0" applyFont="1" applyFill="1" applyAlignment="1" applyProtection="1">
      <alignment horizontal="center" vertical="center"/>
      <protection locked="0"/>
    </xf>
    <xf numFmtId="0" fontId="33" fillId="0" borderId="0" xfId="0" applyFont="1" applyFill="1" applyProtection="1">
      <alignment vertical="center"/>
      <protection locked="0"/>
    </xf>
    <xf numFmtId="0" fontId="34" fillId="0" borderId="0" xfId="0" applyFont="1" applyFill="1" applyProtection="1">
      <alignment vertical="center"/>
      <protection locked="0"/>
    </xf>
    <xf numFmtId="0" fontId="0" fillId="0" borderId="0" xfId="0" applyBorder="1">
      <alignment vertical="center"/>
    </xf>
    <xf numFmtId="0" fontId="258" fillId="0" borderId="9" xfId="0" applyFont="1" applyFill="1" applyBorder="1" applyProtection="1">
      <alignment vertical="center"/>
      <protection locked="0"/>
    </xf>
    <xf numFmtId="0" fontId="258" fillId="7" borderId="0" xfId="0" applyFont="1" applyFill="1" applyBorder="1" applyProtection="1">
      <alignment vertical="center"/>
      <protection locked="0"/>
    </xf>
    <xf numFmtId="0" fontId="258" fillId="7" borderId="0" xfId="0" applyFont="1" applyFill="1" applyProtection="1">
      <alignment vertical="center"/>
      <protection locked="0"/>
    </xf>
    <xf numFmtId="0" fontId="35" fillId="0" borderId="0" xfId="0" applyFont="1" applyFill="1" applyProtection="1">
      <alignment vertical="center"/>
      <protection locked="0"/>
    </xf>
    <xf numFmtId="0" fontId="36" fillId="0" borderId="0" xfId="0" applyFont="1" applyFill="1" applyBorder="1" applyProtection="1">
      <alignment vertical="center"/>
      <protection locked="0"/>
    </xf>
    <xf numFmtId="0" fontId="36" fillId="0" borderId="0" xfId="0" applyFont="1" applyFill="1" applyProtection="1">
      <alignment vertical="center"/>
      <protection locked="0"/>
    </xf>
    <xf numFmtId="0" fontId="258" fillId="0" borderId="0" xfId="0" applyFont="1" applyFill="1" applyBorder="1" applyProtection="1">
      <alignment vertical="center"/>
      <protection locked="0"/>
    </xf>
    <xf numFmtId="0" fontId="35" fillId="0" borderId="0" xfId="0" applyFont="1" applyFill="1" applyBorder="1" applyProtection="1">
      <alignment vertical="center"/>
      <protection locked="0"/>
    </xf>
    <xf numFmtId="0" fontId="256" fillId="0" borderId="0" xfId="0" applyFont="1" applyBorder="1">
      <alignment vertical="center"/>
    </xf>
    <xf numFmtId="0" fontId="225" fillId="0" borderId="0" xfId="0" applyFont="1" applyBorder="1">
      <alignment vertical="center"/>
    </xf>
    <xf numFmtId="0" fontId="35" fillId="0" borderId="1" xfId="0" applyFont="1" applyFill="1" applyBorder="1" applyProtection="1">
      <alignment vertical="center"/>
      <protection locked="0"/>
    </xf>
    <xf numFmtId="0" fontId="306" fillId="0" borderId="0" xfId="0" applyFont="1" applyFill="1" applyProtection="1">
      <alignment vertical="center"/>
      <protection locked="0"/>
    </xf>
    <xf numFmtId="0" fontId="34" fillId="0" borderId="0" xfId="0" applyFont="1" applyFill="1" applyBorder="1" applyProtection="1">
      <alignment vertical="center"/>
      <protection locked="0"/>
    </xf>
    <xf numFmtId="0" fontId="33" fillId="0" borderId="0" xfId="0" applyFont="1" applyFill="1" applyAlignment="1" applyProtection="1">
      <alignment horizontal="center" vertical="center"/>
    </xf>
    <xf numFmtId="185" fontId="33" fillId="0" borderId="0" xfId="0" applyNumberFormat="1" applyFont="1" applyFill="1" applyAlignment="1" applyProtection="1">
      <alignment horizontal="center" vertical="center"/>
      <protection locked="0"/>
    </xf>
    <xf numFmtId="0" fontId="38" fillId="0" borderId="0" xfId="0" applyFont="1" applyFill="1" applyAlignment="1" applyProtection="1">
      <alignment horizontal="center" vertical="center" wrapText="1"/>
      <protection locked="0"/>
    </xf>
    <xf numFmtId="186" fontId="33" fillId="0" borderId="0" xfId="0" applyNumberFormat="1" applyFont="1" applyFill="1" applyAlignment="1" applyProtection="1">
      <alignment horizontal="center" vertical="center" wrapText="1"/>
      <protection locked="0"/>
    </xf>
    <xf numFmtId="0" fontId="33" fillId="0" borderId="0" xfId="0" applyFont="1" applyFill="1" applyBorder="1" applyAlignment="1" applyProtection="1">
      <alignment horizontal="center" vertical="center" wrapText="1"/>
      <protection locked="0"/>
    </xf>
    <xf numFmtId="0" fontId="38" fillId="0" borderId="0" xfId="0" applyFont="1" applyFill="1" applyAlignment="1" applyProtection="1">
      <alignment horizontal="center" vertical="center"/>
      <protection locked="0"/>
    </xf>
    <xf numFmtId="187" fontId="38" fillId="0" borderId="0" xfId="0" applyNumberFormat="1" applyFont="1" applyFill="1" applyAlignment="1" applyProtection="1">
      <alignment horizontal="center" vertical="center"/>
      <protection locked="0"/>
    </xf>
    <xf numFmtId="0" fontId="34" fillId="0" borderId="1" xfId="0" applyFont="1" applyFill="1" applyBorder="1" applyProtection="1">
      <alignment vertical="center"/>
      <protection locked="0"/>
    </xf>
    <xf numFmtId="0" fontId="34" fillId="0" borderId="0" xfId="0" applyFont="1" applyFill="1" applyAlignment="1" applyProtection="1">
      <alignment horizontal="center" vertical="center"/>
      <protection locked="0"/>
    </xf>
    <xf numFmtId="193" fontId="34" fillId="0" borderId="0" xfId="0" applyNumberFormat="1" applyFont="1" applyFill="1" applyAlignment="1" applyProtection="1">
      <alignment horizontal="center" vertical="center" wrapText="1"/>
      <protection locked="0"/>
    </xf>
    <xf numFmtId="0" fontId="0" fillId="0" borderId="0" xfId="0" applyFill="1" applyProtection="1">
      <alignment vertical="center"/>
      <protection locked="0"/>
    </xf>
    <xf numFmtId="0" fontId="38" fillId="0" borderId="0" xfId="0" applyFont="1" applyFill="1" applyAlignment="1" applyProtection="1">
      <alignment horizontal="center" vertical="center"/>
    </xf>
    <xf numFmtId="0" fontId="38" fillId="0" borderId="0" xfId="0" applyFont="1" applyFill="1" applyAlignment="1" applyProtection="1">
      <alignment vertical="center"/>
    </xf>
    <xf numFmtId="0" fontId="38" fillId="0" borderId="0" xfId="0" applyFont="1" applyFill="1" applyAlignment="1" applyProtection="1">
      <alignment vertical="center"/>
      <protection locked="0"/>
    </xf>
    <xf numFmtId="58" fontId="38" fillId="0" borderId="0" xfId="0" applyNumberFormat="1" applyFont="1" applyFill="1" applyAlignment="1" applyProtection="1">
      <alignment vertical="center"/>
      <protection locked="0"/>
    </xf>
    <xf numFmtId="0" fontId="38" fillId="0" borderId="0" xfId="0" applyFont="1" applyFill="1" applyAlignment="1" applyProtection="1">
      <alignment vertical="center" wrapText="1"/>
      <protection locked="0"/>
    </xf>
    <xf numFmtId="186" fontId="38" fillId="0" borderId="0" xfId="0" applyNumberFormat="1" applyFont="1" applyFill="1" applyAlignment="1" applyProtection="1">
      <alignment vertical="center" wrapText="1"/>
      <protection locked="0"/>
    </xf>
    <xf numFmtId="186" fontId="38" fillId="0" borderId="0" xfId="0" applyNumberFormat="1" applyFont="1" applyFill="1" applyAlignment="1" applyProtection="1">
      <alignment horizontal="center" vertical="center" wrapText="1"/>
      <protection locked="0"/>
    </xf>
    <xf numFmtId="187" fontId="38" fillId="0" borderId="0" xfId="0" applyNumberFormat="1" applyFont="1" applyFill="1" applyBorder="1" applyAlignment="1" applyProtection="1">
      <alignment vertical="center"/>
      <protection locked="0"/>
    </xf>
    <xf numFmtId="187" fontId="38" fillId="0" borderId="0" xfId="0" applyNumberFormat="1" applyFont="1" applyFill="1" applyAlignment="1" applyProtection="1">
      <alignment vertical="center"/>
      <protection locked="0"/>
    </xf>
    <xf numFmtId="0" fontId="43" fillId="0" borderId="40" xfId="0" applyFont="1" applyFill="1" applyBorder="1" applyAlignment="1" applyProtection="1">
      <alignment horizontal="center" vertical="center" wrapText="1"/>
      <protection locked="0"/>
    </xf>
    <xf numFmtId="0" fontId="43" fillId="0" borderId="105" xfId="0" applyFont="1" applyFill="1" applyBorder="1" applyAlignment="1" applyProtection="1">
      <alignment horizontal="center" vertical="center" wrapText="1"/>
      <protection locked="0"/>
    </xf>
    <xf numFmtId="0" fontId="43" fillId="0" borderId="42" xfId="0" applyFont="1" applyFill="1" applyBorder="1" applyAlignment="1" applyProtection="1">
      <alignment horizontal="center" vertical="center" wrapText="1"/>
      <protection locked="0"/>
    </xf>
    <xf numFmtId="0" fontId="33" fillId="0" borderId="1" xfId="0" applyFont="1" applyFill="1" applyBorder="1" applyAlignment="1" applyProtection="1">
      <alignment horizontal="center" vertical="center"/>
      <protection locked="0"/>
    </xf>
    <xf numFmtId="0" fontId="309" fillId="0" borderId="1" xfId="0" applyFont="1" applyFill="1" applyBorder="1" applyAlignment="1" applyProtection="1">
      <alignment horizontal="center" vertical="center" wrapText="1"/>
      <protection locked="0"/>
    </xf>
    <xf numFmtId="0" fontId="309" fillId="0" borderId="6" xfId="0" applyFont="1" applyFill="1" applyBorder="1" applyAlignment="1" applyProtection="1">
      <alignment horizontal="center" vertical="center" wrapText="1"/>
      <protection locked="0"/>
    </xf>
    <xf numFmtId="188" fontId="41" fillId="0" borderId="0" xfId="0" applyNumberFormat="1" applyFont="1" applyFill="1" applyBorder="1" applyAlignment="1" applyProtection="1">
      <alignment horizontal="center" vertical="center"/>
    </xf>
    <xf numFmtId="0" fontId="41" fillId="0" borderId="0" xfId="0" applyFont="1" applyFill="1" applyBorder="1" applyAlignment="1" applyProtection="1">
      <alignment horizontal="center" vertical="center" wrapText="1"/>
      <protection locked="0"/>
    </xf>
    <xf numFmtId="188" fontId="41" fillId="0" borderId="0" xfId="0" applyNumberFormat="1" applyFont="1" applyFill="1" applyBorder="1" applyAlignment="1" applyProtection="1">
      <alignment horizontal="center" vertical="center"/>
      <protection locked="0"/>
    </xf>
    <xf numFmtId="188" fontId="41" fillId="0" borderId="0" xfId="0" applyNumberFormat="1" applyFont="1" applyFill="1" applyAlignment="1" applyProtection="1">
      <alignment horizontal="center" vertical="center" wrapText="1"/>
      <protection locked="0"/>
    </xf>
    <xf numFmtId="0" fontId="41" fillId="0" borderId="0" xfId="0" applyFont="1" applyFill="1" applyAlignment="1" applyProtection="1">
      <alignment horizontal="center" vertical="center" wrapText="1"/>
      <protection locked="0"/>
    </xf>
    <xf numFmtId="185" fontId="38" fillId="0" borderId="0" xfId="0" applyNumberFormat="1" applyFont="1" applyFill="1" applyAlignment="1" applyProtection="1">
      <alignment horizontal="center" vertical="center"/>
      <protection locked="0"/>
    </xf>
    <xf numFmtId="0" fontId="38" fillId="0" borderId="0" xfId="0" applyFont="1" applyFill="1" applyBorder="1" applyAlignment="1" applyProtection="1">
      <alignment horizontal="center" vertical="center" wrapText="1"/>
      <protection locked="0"/>
    </xf>
    <xf numFmtId="0" fontId="41" fillId="0" borderId="9" xfId="0" applyFont="1" applyFill="1" applyBorder="1" applyAlignment="1" applyProtection="1">
      <alignment horizontal="center" vertical="center" wrapText="1"/>
      <protection locked="0"/>
    </xf>
    <xf numFmtId="187" fontId="41" fillId="0" borderId="9" xfId="0" applyNumberFormat="1" applyFont="1" applyFill="1" applyBorder="1" applyAlignment="1" applyProtection="1">
      <alignment horizontal="center" vertical="center"/>
      <protection locked="0"/>
    </xf>
    <xf numFmtId="187" fontId="38" fillId="0" borderId="9" xfId="0" applyNumberFormat="1" applyFont="1" applyFill="1" applyBorder="1" applyAlignment="1" applyProtection="1">
      <alignment horizontal="center" vertical="center"/>
      <protection locked="0"/>
    </xf>
    <xf numFmtId="182" fontId="41" fillId="0" borderId="0" xfId="0" applyNumberFormat="1" applyFont="1" applyFill="1" applyAlignment="1" applyProtection="1">
      <alignment horizontal="center" vertical="center" wrapText="1"/>
      <protection locked="0"/>
    </xf>
    <xf numFmtId="0" fontId="33" fillId="0" borderId="0" xfId="0" applyFont="1" applyFill="1" applyAlignment="1" applyProtection="1">
      <alignment vertical="center" wrapText="1"/>
      <protection locked="0"/>
    </xf>
    <xf numFmtId="0" fontId="33" fillId="0" borderId="1" xfId="0" applyFont="1" applyFill="1" applyBorder="1" applyProtection="1">
      <alignment vertical="center"/>
      <protection locked="0"/>
    </xf>
    <xf numFmtId="0" fontId="47" fillId="0" borderId="0" xfId="0" applyFont="1" applyFill="1" applyAlignment="1" applyProtection="1">
      <alignment horizontal="center" vertical="center"/>
      <protection locked="0"/>
    </xf>
    <xf numFmtId="0" fontId="47" fillId="0" borderId="0" xfId="0" applyFont="1" applyFill="1" applyProtection="1">
      <alignment vertical="center"/>
      <protection locked="0"/>
    </xf>
    <xf numFmtId="193" fontId="47" fillId="0" borderId="0" xfId="0" applyNumberFormat="1" applyFont="1" applyFill="1" applyAlignment="1" applyProtection="1">
      <alignment horizontal="center" vertical="center" wrapText="1"/>
      <protection locked="0"/>
    </xf>
    <xf numFmtId="193" fontId="38" fillId="0" borderId="1" xfId="0" applyNumberFormat="1" applyFont="1" applyFill="1" applyBorder="1" applyAlignment="1" applyProtection="1">
      <alignment horizontal="center" vertical="center" wrapText="1" shrinkToFit="1"/>
    </xf>
    <xf numFmtId="0" fontId="38" fillId="0" borderId="1" xfId="0" applyFont="1" applyFill="1" applyBorder="1" applyAlignment="1" applyProtection="1">
      <alignment horizontal="center" vertical="center" wrapText="1" shrinkToFit="1"/>
      <protection locked="0"/>
    </xf>
    <xf numFmtId="186" fontId="38" fillId="0" borderId="1" xfId="0" applyNumberFormat="1" applyFont="1" applyFill="1" applyBorder="1" applyAlignment="1" applyProtection="1">
      <alignment horizontal="center" vertical="center" wrapText="1" shrinkToFit="1"/>
      <protection locked="0"/>
    </xf>
    <xf numFmtId="185" fontId="38" fillId="0" borderId="1" xfId="0" applyNumberFormat="1" applyFont="1" applyFill="1" applyBorder="1" applyAlignment="1" applyProtection="1">
      <alignment horizontal="center" vertical="center" wrapText="1" shrinkToFit="1"/>
      <protection locked="0"/>
    </xf>
    <xf numFmtId="0" fontId="38" fillId="0" borderId="1" xfId="0" applyNumberFormat="1" applyFont="1" applyFill="1" applyBorder="1" applyAlignment="1" applyProtection="1">
      <alignment horizontal="center" vertical="center" wrapText="1" shrinkToFit="1"/>
      <protection locked="0"/>
    </xf>
    <xf numFmtId="0" fontId="41" fillId="0" borderId="1" xfId="0" applyFont="1" applyFill="1" applyBorder="1" applyAlignment="1" applyProtection="1">
      <alignment horizontal="center" vertical="center" wrapText="1" shrinkToFit="1"/>
      <protection locked="0"/>
    </xf>
    <xf numFmtId="0" fontId="42" fillId="0" borderId="1" xfId="0" applyFont="1" applyFill="1" applyBorder="1" applyAlignment="1" applyProtection="1">
      <alignment horizontal="center" vertical="center" wrapText="1" shrinkToFit="1"/>
      <protection locked="0"/>
    </xf>
    <xf numFmtId="187" fontId="41" fillId="0" borderId="1" xfId="0" applyNumberFormat="1" applyFont="1" applyFill="1" applyBorder="1" applyAlignment="1" applyProtection="1">
      <alignment horizontal="center" vertical="center" wrapText="1" shrinkToFit="1"/>
      <protection locked="0"/>
    </xf>
    <xf numFmtId="187" fontId="42" fillId="0" borderId="1" xfId="0" applyNumberFormat="1" applyFont="1" applyFill="1" applyBorder="1" applyAlignment="1" applyProtection="1">
      <alignment horizontal="center" vertical="center" wrapText="1" shrinkToFit="1"/>
      <protection locked="0"/>
    </xf>
    <xf numFmtId="0" fontId="43" fillId="0" borderId="1" xfId="0" applyFont="1" applyFill="1" applyBorder="1" applyAlignment="1" applyProtection="1">
      <alignment horizontal="center" vertical="center" wrapText="1" shrinkToFit="1"/>
      <protection locked="0"/>
    </xf>
    <xf numFmtId="0" fontId="33" fillId="0" borderId="6" xfId="0" applyFont="1" applyFill="1" applyBorder="1" applyAlignment="1" applyProtection="1">
      <alignment horizontal="center" vertical="center" wrapText="1"/>
      <protection locked="0"/>
    </xf>
    <xf numFmtId="0" fontId="310" fillId="0" borderId="1" xfId="0" applyFont="1" applyFill="1" applyBorder="1" applyAlignment="1" applyProtection="1">
      <alignment horizontal="center" vertical="center"/>
      <protection locked="0"/>
    </xf>
    <xf numFmtId="0" fontId="310" fillId="0" borderId="6" xfId="0" applyFont="1" applyFill="1" applyBorder="1" applyAlignment="1" applyProtection="1">
      <alignment horizontal="center" vertical="center"/>
      <protection locked="0"/>
    </xf>
    <xf numFmtId="0" fontId="258" fillId="0" borderId="1" xfId="0" applyFont="1" applyFill="1" applyBorder="1" applyAlignment="1" applyProtection="1">
      <alignment horizontal="center" vertical="center" wrapText="1" shrinkToFit="1"/>
      <protection locked="0"/>
    </xf>
    <xf numFmtId="187" fontId="46" fillId="0" borderId="1" xfId="0" applyNumberFormat="1" applyFont="1" applyFill="1" applyBorder="1" applyAlignment="1" applyProtection="1">
      <alignment horizontal="center" vertical="center"/>
      <protection locked="0"/>
    </xf>
    <xf numFmtId="182" fontId="46" fillId="0" borderId="1" xfId="0" applyNumberFormat="1" applyFont="1" applyFill="1" applyBorder="1" applyAlignment="1" applyProtection="1">
      <alignment horizontal="center" vertical="center"/>
      <protection locked="0"/>
    </xf>
    <xf numFmtId="182" fontId="46" fillId="0" borderId="1" xfId="0" applyNumberFormat="1" applyFont="1" applyFill="1" applyBorder="1" applyAlignment="1" applyProtection="1">
      <alignment horizontal="center" vertical="center" wrapText="1"/>
      <protection locked="0"/>
    </xf>
    <xf numFmtId="187" fontId="257" fillId="0" borderId="1" xfId="0" applyNumberFormat="1" applyFont="1" applyFill="1" applyBorder="1" applyAlignment="1" applyProtection="1">
      <alignment horizontal="center" vertical="center" wrapText="1"/>
      <protection locked="0"/>
    </xf>
    <xf numFmtId="187" fontId="257" fillId="0" borderId="6" xfId="0" applyNumberFormat="1" applyFont="1" applyFill="1" applyBorder="1" applyAlignment="1" applyProtection="1">
      <alignment horizontal="center" vertical="center" wrapText="1"/>
      <protection locked="0"/>
    </xf>
    <xf numFmtId="0" fontId="258" fillId="0" borderId="1" xfId="0" applyFont="1" applyFill="1" applyBorder="1" applyProtection="1">
      <alignment vertical="center"/>
      <protection locked="0"/>
    </xf>
    <xf numFmtId="0" fontId="258" fillId="0" borderId="0" xfId="0" applyFont="1" applyFill="1" applyAlignment="1" applyProtection="1">
      <alignment horizontal="center" vertical="center"/>
      <protection locked="0"/>
    </xf>
    <xf numFmtId="193" fontId="258" fillId="0" borderId="0" xfId="0" applyNumberFormat="1" applyFont="1" applyFill="1" applyAlignment="1" applyProtection="1">
      <alignment horizontal="center" vertical="center" wrapText="1"/>
      <protection locked="0"/>
    </xf>
    <xf numFmtId="0" fontId="258" fillId="0" borderId="1" xfId="0" applyFont="1" applyFill="1" applyBorder="1" applyAlignment="1" applyProtection="1">
      <alignment horizontal="center" vertical="center"/>
      <protection locked="0"/>
    </xf>
    <xf numFmtId="0" fontId="258" fillId="0" borderId="0" xfId="0" applyFont="1" applyFill="1" applyBorder="1" applyAlignment="1" applyProtection="1">
      <alignment horizontal="center" vertical="center"/>
      <protection locked="0"/>
    </xf>
    <xf numFmtId="193" fontId="258" fillId="0" borderId="0" xfId="0" applyNumberFormat="1" applyFont="1" applyFill="1" applyBorder="1" applyAlignment="1" applyProtection="1">
      <alignment horizontal="center" vertical="center" wrapText="1"/>
      <protection locked="0"/>
    </xf>
    <xf numFmtId="0" fontId="257" fillId="0" borderId="1" xfId="0" applyFont="1" applyFill="1" applyBorder="1" applyAlignment="1" applyProtection="1">
      <alignment horizontal="center" vertical="center" wrapText="1"/>
    </xf>
    <xf numFmtId="212" fontId="257" fillId="0" borderId="6" xfId="0" applyNumberFormat="1" applyFont="1" applyFill="1" applyBorder="1" applyAlignment="1" applyProtection="1">
      <alignment horizontal="center" vertical="center" wrapText="1"/>
      <protection locked="0"/>
    </xf>
    <xf numFmtId="0" fontId="257" fillId="0" borderId="1" xfId="0" applyNumberFormat="1" applyFont="1" applyFill="1" applyBorder="1" applyAlignment="1" applyProtection="1">
      <alignment horizontal="center" vertical="center" wrapText="1"/>
      <protection locked="0"/>
    </xf>
    <xf numFmtId="0" fontId="257" fillId="0" borderId="0" xfId="0" applyFont="1" applyFill="1" applyBorder="1" applyAlignment="1" applyProtection="1">
      <alignment horizontal="center" vertical="center"/>
      <protection locked="0"/>
    </xf>
    <xf numFmtId="187" fontId="311" fillId="4" borderId="1" xfId="0" applyNumberFormat="1" applyFont="1" applyFill="1" applyBorder="1" applyAlignment="1" applyProtection="1">
      <alignment horizontal="center" vertical="center"/>
      <protection locked="0"/>
    </xf>
    <xf numFmtId="0" fontId="300" fillId="0" borderId="1" xfId="0" applyFont="1" applyFill="1" applyBorder="1" applyAlignment="1" applyProtection="1">
      <alignment horizontal="center" vertical="center" wrapText="1"/>
      <protection locked="0"/>
    </xf>
    <xf numFmtId="187" fontId="311" fillId="0" borderId="1" xfId="0" applyNumberFormat="1" applyFont="1" applyFill="1" applyBorder="1" applyAlignment="1" applyProtection="1">
      <alignment horizontal="center" vertical="center"/>
      <protection locked="0"/>
    </xf>
    <xf numFmtId="182" fontId="311" fillId="0" borderId="1" xfId="0" applyNumberFormat="1" applyFont="1" applyFill="1" applyBorder="1" applyAlignment="1" applyProtection="1">
      <alignment horizontal="center" vertical="center"/>
      <protection locked="0"/>
    </xf>
    <xf numFmtId="3" fontId="257" fillId="0" borderId="1" xfId="0" applyNumberFormat="1" applyFont="1" applyFill="1" applyBorder="1" applyAlignment="1" applyProtection="1">
      <alignment horizontal="center" vertical="center"/>
      <protection locked="0"/>
    </xf>
    <xf numFmtId="194" fontId="257" fillId="0" borderId="1" xfId="0" applyNumberFormat="1" applyFont="1" applyFill="1" applyBorder="1" applyAlignment="1" applyProtection="1">
      <alignment horizontal="center" vertical="center" wrapText="1"/>
      <protection locked="0"/>
    </xf>
    <xf numFmtId="182" fontId="257" fillId="0" borderId="1" xfId="0" applyNumberFormat="1" applyFont="1" applyFill="1" applyBorder="1" applyAlignment="1" applyProtection="1">
      <alignment horizontal="center" vertical="center" wrapText="1"/>
      <protection locked="0"/>
    </xf>
    <xf numFmtId="182" fontId="257" fillId="0" borderId="1" xfId="0" applyNumberFormat="1" applyFont="1" applyFill="1" applyBorder="1" applyAlignment="1" applyProtection="1">
      <alignment horizontal="center" vertical="center"/>
      <protection locked="0"/>
    </xf>
    <xf numFmtId="0" fontId="46" fillId="3" borderId="1" xfId="0" applyFont="1" applyFill="1" applyBorder="1" applyAlignment="1" applyProtection="1">
      <alignment horizontal="center" vertical="center" wrapText="1"/>
      <protection locked="0"/>
    </xf>
    <xf numFmtId="14" fontId="258" fillId="0" borderId="9" xfId="0" applyNumberFormat="1" applyFont="1" applyFill="1" applyBorder="1" applyAlignment="1" applyProtection="1">
      <alignment horizontal="center" vertical="center"/>
      <protection locked="0"/>
    </xf>
    <xf numFmtId="14" fontId="278" fillId="0" borderId="9" xfId="0" applyNumberFormat="1" applyFont="1" applyFill="1" applyBorder="1" applyAlignment="1" applyProtection="1">
      <alignment horizontal="center" vertical="center"/>
      <protection locked="0"/>
    </xf>
    <xf numFmtId="187" fontId="33" fillId="0" borderId="1" xfId="0" applyNumberFormat="1" applyFont="1" applyFill="1" applyBorder="1" applyAlignment="1" applyProtection="1">
      <alignment horizontal="center" vertical="center" wrapText="1"/>
      <protection locked="0"/>
    </xf>
    <xf numFmtId="0" fontId="36" fillId="0" borderId="1" xfId="0" applyFont="1" applyFill="1" applyBorder="1" applyProtection="1">
      <alignment vertical="center"/>
      <protection locked="0"/>
    </xf>
    <xf numFmtId="0" fontId="0" fillId="0" borderId="1" xfId="0" applyBorder="1" applyProtection="1">
      <alignment vertical="center"/>
      <protection locked="0"/>
    </xf>
    <xf numFmtId="187" fontId="257" fillId="4" borderId="1" xfId="0" applyNumberFormat="1" applyFont="1" applyFill="1" applyBorder="1" applyAlignment="1" applyProtection="1">
      <alignment horizontal="center" vertical="center"/>
      <protection locked="0"/>
    </xf>
    <xf numFmtId="0" fontId="45" fillId="3" borderId="1" xfId="0" applyFont="1" applyFill="1" applyBorder="1" applyAlignment="1" applyProtection="1">
      <alignment horizontal="center" vertical="center" wrapText="1"/>
      <protection locked="0"/>
    </xf>
    <xf numFmtId="187" fontId="45" fillId="4" borderId="1" xfId="0" applyNumberFormat="1" applyFont="1" applyFill="1" applyBorder="1" applyAlignment="1" applyProtection="1">
      <alignment horizontal="center" vertical="center"/>
      <protection locked="0"/>
    </xf>
    <xf numFmtId="182" fontId="45" fillId="0" borderId="1" xfId="0" applyNumberFormat="1" applyFont="1" applyFill="1" applyBorder="1" applyAlignment="1" applyProtection="1">
      <alignment horizontal="center" vertical="center"/>
      <protection locked="0"/>
    </xf>
    <xf numFmtId="182" fontId="45" fillId="0" borderId="1" xfId="0" applyNumberFormat="1" applyFont="1" applyFill="1" applyBorder="1" applyAlignment="1" applyProtection="1">
      <alignment horizontal="center" vertical="center" wrapText="1"/>
      <protection locked="0"/>
    </xf>
    <xf numFmtId="0" fontId="225" fillId="0" borderId="1" xfId="0" applyFont="1" applyBorder="1" applyProtection="1">
      <alignment vertical="center"/>
      <protection locked="0"/>
    </xf>
    <xf numFmtId="187" fontId="46" fillId="3" borderId="1" xfId="0" applyNumberFormat="1" applyFont="1" applyFill="1" applyBorder="1" applyAlignment="1" applyProtection="1">
      <alignment horizontal="center" vertical="center"/>
      <protection locked="0"/>
    </xf>
    <xf numFmtId="182" fontId="46" fillId="3" borderId="1" xfId="0" applyNumberFormat="1" applyFont="1" applyFill="1" applyBorder="1" applyAlignment="1" applyProtection="1">
      <alignment horizontal="center" vertical="center" wrapText="1"/>
      <protection locked="0"/>
    </xf>
    <xf numFmtId="186" fontId="312" fillId="0" borderId="1" xfId="0" applyNumberFormat="1" applyFont="1" applyFill="1" applyBorder="1" applyAlignment="1" applyProtection="1">
      <alignment horizontal="center" vertical="center" wrapText="1"/>
      <protection locked="0"/>
    </xf>
    <xf numFmtId="186" fontId="313" fillId="0" borderId="1" xfId="0" applyNumberFormat="1" applyFont="1" applyFill="1" applyBorder="1" applyAlignment="1" applyProtection="1">
      <alignment horizontal="center" vertical="center" wrapText="1"/>
      <protection locked="0"/>
    </xf>
    <xf numFmtId="0" fontId="257" fillId="0" borderId="1" xfId="0" applyNumberFormat="1" applyFont="1" applyFill="1" applyBorder="1" applyAlignment="1" applyProtection="1">
      <alignment horizontal="center" vertical="center"/>
      <protection locked="0"/>
    </xf>
    <xf numFmtId="0" fontId="46" fillId="4" borderId="1" xfId="0" applyFont="1" applyFill="1" applyBorder="1" applyAlignment="1" applyProtection="1">
      <alignment horizontal="center" vertical="center" wrapText="1"/>
      <protection locked="0"/>
    </xf>
    <xf numFmtId="0" fontId="256" fillId="0" borderId="1" xfId="0" applyFont="1" applyFill="1" applyBorder="1" applyAlignment="1" applyProtection="1">
      <alignment horizontal="center" vertical="center"/>
      <protection locked="0"/>
    </xf>
    <xf numFmtId="186" fontId="280" fillId="0" borderId="1" xfId="0" applyNumberFormat="1" applyFont="1" applyFill="1" applyBorder="1" applyAlignment="1" applyProtection="1">
      <alignment horizontal="center" vertical="center" wrapText="1"/>
      <protection locked="0"/>
    </xf>
    <xf numFmtId="0" fontId="33" fillId="4" borderId="1" xfId="0" applyFont="1" applyFill="1" applyBorder="1" applyAlignment="1" applyProtection="1">
      <alignment horizontal="center" vertical="center"/>
      <protection locked="0"/>
    </xf>
    <xf numFmtId="0" fontId="46" fillId="3" borderId="1" xfId="0" applyFont="1" applyFill="1" applyBorder="1" applyAlignment="1" applyProtection="1">
      <alignment horizontal="center" vertical="center"/>
      <protection locked="0"/>
    </xf>
    <xf numFmtId="0" fontId="46" fillId="4" borderId="1" xfId="0" applyFont="1" applyFill="1" applyBorder="1" applyAlignment="1" applyProtection="1">
      <alignment horizontal="center" vertical="center"/>
      <protection locked="0"/>
    </xf>
    <xf numFmtId="188" fontId="255" fillId="0" borderId="1" xfId="0" applyNumberFormat="1" applyFont="1" applyFill="1" applyBorder="1" applyAlignment="1" applyProtection="1">
      <alignment horizontal="center" vertical="center"/>
    </xf>
    <xf numFmtId="188" fontId="257" fillId="0" borderId="16" xfId="0" applyNumberFormat="1" applyFont="1" applyFill="1" applyBorder="1" applyAlignment="1" applyProtection="1">
      <alignment horizontal="center" vertical="center"/>
    </xf>
    <xf numFmtId="0" fontId="45" fillId="4" borderId="1" xfId="0" applyFont="1" applyFill="1" applyBorder="1" applyAlignment="1" applyProtection="1">
      <alignment horizontal="center" vertical="center" wrapText="1"/>
      <protection locked="0"/>
    </xf>
    <xf numFmtId="182" fontId="45" fillId="4" borderId="1" xfId="0" applyNumberFormat="1" applyFont="1" applyFill="1" applyBorder="1" applyAlignment="1" applyProtection="1">
      <alignment horizontal="center" vertical="center"/>
      <protection locked="0"/>
    </xf>
    <xf numFmtId="182" fontId="45" fillId="4" borderId="1" xfId="0" applyNumberFormat="1" applyFont="1" applyFill="1" applyBorder="1" applyAlignment="1" applyProtection="1">
      <alignment horizontal="center" vertical="center" wrapText="1"/>
      <protection locked="0"/>
    </xf>
    <xf numFmtId="190" fontId="68" fillId="0" borderId="1" xfId="0" applyNumberFormat="1" applyFont="1" applyFill="1" applyBorder="1" applyAlignment="1" applyProtection="1">
      <alignment horizontal="center" vertical="center" wrapText="1" shrinkToFit="1"/>
      <protection locked="0"/>
    </xf>
    <xf numFmtId="187" fontId="45" fillId="4" borderId="0" xfId="0" applyNumberFormat="1" applyFont="1" applyFill="1" applyBorder="1" applyAlignment="1" applyProtection="1">
      <alignment horizontal="center" vertical="center"/>
      <protection locked="0"/>
    </xf>
    <xf numFmtId="182" fontId="45" fillId="4" borderId="0" xfId="0" applyNumberFormat="1" applyFont="1" applyFill="1" applyBorder="1" applyAlignment="1" applyProtection="1">
      <alignment horizontal="center" vertical="center"/>
      <protection locked="0"/>
    </xf>
    <xf numFmtId="182" fontId="45" fillId="4" borderId="0" xfId="0" applyNumberFormat="1" applyFont="1" applyFill="1" applyBorder="1" applyAlignment="1" applyProtection="1">
      <alignment horizontal="center" vertical="center" wrapText="1"/>
      <protection locked="0"/>
    </xf>
    <xf numFmtId="187" fontId="46" fillId="0" borderId="0" xfId="0" applyNumberFormat="1" applyFont="1" applyFill="1" applyBorder="1" applyAlignment="1" applyProtection="1">
      <alignment horizontal="center" vertical="center"/>
      <protection locked="0"/>
    </xf>
    <xf numFmtId="182" fontId="46" fillId="0" borderId="0" xfId="0" applyNumberFormat="1" applyFont="1" applyFill="1" applyBorder="1" applyAlignment="1" applyProtection="1">
      <alignment horizontal="center" vertical="center"/>
      <protection locked="0"/>
    </xf>
    <xf numFmtId="182" fontId="46" fillId="0" borderId="0" xfId="0" applyNumberFormat="1" applyFont="1" applyFill="1" applyBorder="1" applyAlignment="1" applyProtection="1">
      <alignment horizontal="center" vertical="center" wrapText="1"/>
      <protection locked="0"/>
    </xf>
    <xf numFmtId="187" fontId="46" fillId="4" borderId="0" xfId="0" applyNumberFormat="1" applyFont="1" applyFill="1" applyBorder="1" applyAlignment="1" applyProtection="1">
      <alignment horizontal="center" vertical="center"/>
      <protection locked="0"/>
    </xf>
    <xf numFmtId="182" fontId="46" fillId="4" borderId="0" xfId="0" applyNumberFormat="1" applyFont="1" applyFill="1" applyBorder="1" applyAlignment="1" applyProtection="1">
      <alignment horizontal="center" vertical="center"/>
      <protection locked="0"/>
    </xf>
    <xf numFmtId="182" fontId="46" fillId="4" borderId="0" xfId="0" applyNumberFormat="1" applyFont="1" applyFill="1" applyBorder="1" applyAlignment="1" applyProtection="1">
      <alignment horizontal="center" vertical="center" wrapText="1"/>
      <protection locked="0"/>
    </xf>
    <xf numFmtId="187" fontId="45" fillId="4" borderId="0" xfId="0" applyNumberFormat="1" applyFont="1" applyFill="1" applyAlignment="1" applyProtection="1">
      <alignment horizontal="center" vertical="center"/>
      <protection locked="0"/>
    </xf>
    <xf numFmtId="182" fontId="45" fillId="4" borderId="0" xfId="0" applyNumberFormat="1" applyFont="1" applyFill="1" applyAlignment="1" applyProtection="1">
      <alignment horizontal="center" vertical="center"/>
      <protection locked="0"/>
    </xf>
    <xf numFmtId="182" fontId="45" fillId="4" borderId="0" xfId="0" applyNumberFormat="1" applyFont="1" applyFill="1" applyAlignment="1" applyProtection="1">
      <alignment horizontal="center" vertical="center" wrapText="1"/>
      <protection locked="0"/>
    </xf>
    <xf numFmtId="0" fontId="257" fillId="0" borderId="14" xfId="0" applyFont="1" applyFill="1" applyBorder="1" applyAlignment="1" applyProtection="1">
      <alignment horizontal="center" vertical="center"/>
      <protection locked="0"/>
    </xf>
    <xf numFmtId="0" fontId="35" fillId="4" borderId="1" xfId="0" applyFont="1" applyFill="1" applyBorder="1" applyProtection="1">
      <alignment vertical="center"/>
      <protection locked="0"/>
    </xf>
    <xf numFmtId="0" fontId="257" fillId="4" borderId="1" xfId="0" applyFont="1" applyFill="1" applyBorder="1" applyAlignment="1" applyProtection="1">
      <alignment horizontal="center" vertical="center" wrapText="1"/>
      <protection locked="0"/>
    </xf>
    <xf numFmtId="187" fontId="257" fillId="4" borderId="0" xfId="0" applyNumberFormat="1" applyFont="1" applyFill="1" applyBorder="1" applyAlignment="1" applyProtection="1">
      <alignment horizontal="center" vertical="center"/>
      <protection locked="0"/>
    </xf>
    <xf numFmtId="182" fontId="257" fillId="4" borderId="0" xfId="0" applyNumberFormat="1" applyFont="1" applyFill="1" applyBorder="1" applyAlignment="1" applyProtection="1">
      <alignment horizontal="center" vertical="center"/>
      <protection locked="0"/>
    </xf>
    <xf numFmtId="182" fontId="257" fillId="4" borderId="0" xfId="0" applyNumberFormat="1" applyFont="1" applyFill="1" applyBorder="1" applyAlignment="1" applyProtection="1">
      <alignment horizontal="center" vertical="center" wrapText="1"/>
      <protection locked="0"/>
    </xf>
    <xf numFmtId="0" fontId="314" fillId="0" borderId="1" xfId="0" applyFont="1" applyFill="1" applyBorder="1" applyProtection="1">
      <alignment vertical="center"/>
      <protection locked="0"/>
    </xf>
    <xf numFmtId="182" fontId="257" fillId="4" borderId="1" xfId="0" applyNumberFormat="1" applyFont="1" applyFill="1" applyBorder="1" applyAlignment="1" applyProtection="1">
      <alignment horizontal="center" vertical="center"/>
      <protection locked="0"/>
    </xf>
    <xf numFmtId="182" fontId="257" fillId="4" borderId="1" xfId="0" applyNumberFormat="1" applyFont="1" applyFill="1" applyBorder="1" applyAlignment="1" applyProtection="1">
      <alignment horizontal="center" vertical="center" wrapText="1"/>
      <protection locked="0"/>
    </xf>
    <xf numFmtId="0" fontId="35" fillId="4" borderId="0" xfId="0" applyFont="1" applyFill="1" applyBorder="1" applyProtection="1">
      <alignment vertical="center"/>
      <protection locked="0"/>
    </xf>
    <xf numFmtId="0" fontId="258" fillId="4" borderId="0" xfId="0" applyFont="1" applyFill="1" applyBorder="1" applyProtection="1">
      <alignment vertical="center"/>
      <protection locked="0"/>
    </xf>
    <xf numFmtId="58" fontId="257" fillId="0" borderId="1" xfId="0" applyNumberFormat="1" applyFont="1" applyFill="1" applyBorder="1" applyAlignment="1" applyProtection="1">
      <alignment horizontal="center" vertical="center" wrapText="1"/>
      <protection locked="0"/>
    </xf>
    <xf numFmtId="0" fontId="258" fillId="4" borderId="1" xfId="0" applyFont="1" applyFill="1" applyBorder="1" applyProtection="1">
      <alignment vertical="center"/>
      <protection locked="0"/>
    </xf>
    <xf numFmtId="187" fontId="257" fillId="0" borderId="0" xfId="0" applyNumberFormat="1" applyFont="1" applyFill="1" applyBorder="1" applyAlignment="1" applyProtection="1">
      <alignment horizontal="center" vertical="center"/>
      <protection locked="0"/>
    </xf>
    <xf numFmtId="182" fontId="257" fillId="0" borderId="0" xfId="0" applyNumberFormat="1" applyFont="1" applyFill="1" applyBorder="1" applyAlignment="1" applyProtection="1">
      <alignment horizontal="center" vertical="center"/>
      <protection locked="0"/>
    </xf>
    <xf numFmtId="182" fontId="257" fillId="0" borderId="0" xfId="0" applyNumberFormat="1" applyFont="1" applyFill="1" applyBorder="1" applyAlignment="1" applyProtection="1">
      <alignment horizontal="center" vertical="center" wrapText="1"/>
      <protection locked="0"/>
    </xf>
    <xf numFmtId="0" fontId="36" fillId="4" borderId="1" xfId="0" applyFont="1" applyFill="1" applyBorder="1" applyProtection="1">
      <alignment vertical="center"/>
      <protection locked="0"/>
    </xf>
    <xf numFmtId="187" fontId="257" fillId="3" borderId="1" xfId="0" applyNumberFormat="1" applyFont="1" applyFill="1" applyBorder="1" applyAlignment="1" applyProtection="1">
      <alignment horizontal="center" vertical="center"/>
      <protection locked="0"/>
    </xf>
    <xf numFmtId="182" fontId="257" fillId="3" borderId="1" xfId="0" applyNumberFormat="1" applyFont="1" applyFill="1" applyBorder="1" applyAlignment="1" applyProtection="1">
      <alignment horizontal="center" vertical="center"/>
      <protection locked="0"/>
    </xf>
    <xf numFmtId="182" fontId="257" fillId="3" borderId="1" xfId="0" applyNumberFormat="1" applyFont="1" applyFill="1" applyBorder="1" applyAlignment="1" applyProtection="1">
      <alignment horizontal="center" vertical="center" wrapText="1"/>
      <protection locked="0"/>
    </xf>
    <xf numFmtId="187" fontId="257" fillId="4" borderId="0" xfId="0" applyNumberFormat="1" applyFont="1" applyFill="1" applyAlignment="1" applyProtection="1">
      <alignment horizontal="center" vertical="center"/>
      <protection locked="0"/>
    </xf>
    <xf numFmtId="182" fontId="257" fillId="4" borderId="0" xfId="0" applyNumberFormat="1" applyFont="1" applyFill="1" applyAlignment="1" applyProtection="1">
      <alignment horizontal="center" vertical="center"/>
      <protection locked="0"/>
    </xf>
    <xf numFmtId="182" fontId="257" fillId="4" borderId="0" xfId="0" applyNumberFormat="1" applyFont="1" applyFill="1" applyAlignment="1" applyProtection="1">
      <alignment horizontal="center" vertical="center" wrapText="1"/>
      <protection locked="0"/>
    </xf>
    <xf numFmtId="187" fontId="33" fillId="0" borderId="0" xfId="0" applyNumberFormat="1" applyFont="1" applyFill="1" applyBorder="1" applyAlignment="1" applyProtection="1">
      <alignment horizontal="center" vertical="center"/>
      <protection locked="0"/>
    </xf>
    <xf numFmtId="182" fontId="33" fillId="0" borderId="0" xfId="0" applyNumberFormat="1" applyFont="1" applyFill="1" applyBorder="1" applyAlignment="1" applyProtection="1">
      <alignment horizontal="center" vertical="center"/>
      <protection locked="0"/>
    </xf>
    <xf numFmtId="186" fontId="281" fillId="0" borderId="1" xfId="0" applyNumberFormat="1" applyFont="1" applyFill="1" applyBorder="1" applyAlignment="1" applyProtection="1">
      <alignment horizontal="center" vertical="center" wrapText="1"/>
      <protection locked="0"/>
    </xf>
    <xf numFmtId="182" fontId="46" fillId="3" borderId="1" xfId="0" applyNumberFormat="1" applyFont="1" applyFill="1" applyBorder="1" applyAlignment="1" applyProtection="1">
      <alignment horizontal="center" vertical="center"/>
      <protection locked="0"/>
    </xf>
    <xf numFmtId="0" fontId="0" fillId="0" borderId="6" xfId="0" applyBorder="1">
      <alignment vertical="center"/>
    </xf>
    <xf numFmtId="0" fontId="0" fillId="0" borderId="7" xfId="0" applyBorder="1">
      <alignment vertical="center"/>
    </xf>
    <xf numFmtId="0" fontId="0" fillId="0" borderId="13" xfId="0" applyBorder="1">
      <alignment vertical="center"/>
    </xf>
    <xf numFmtId="0" fontId="258" fillId="0" borderId="6" xfId="0" applyFont="1" applyFill="1" applyBorder="1" applyProtection="1">
      <alignment vertical="center"/>
      <protection locked="0"/>
    </xf>
    <xf numFmtId="0" fontId="258" fillId="0" borderId="7" xfId="0" applyFont="1" applyFill="1" applyBorder="1" applyProtection="1">
      <alignment vertical="center"/>
      <protection locked="0"/>
    </xf>
    <xf numFmtId="0" fontId="258" fillId="0" borderId="13" xfId="0" applyFont="1" applyFill="1" applyBorder="1" applyProtection="1">
      <alignment vertical="center"/>
      <protection locked="0"/>
    </xf>
    <xf numFmtId="0" fontId="278" fillId="0" borderId="1" xfId="0" applyFont="1" applyFill="1" applyBorder="1" applyAlignment="1" applyProtection="1">
      <alignment horizontal="center" vertical="center"/>
      <protection locked="0"/>
    </xf>
    <xf numFmtId="0" fontId="315" fillId="0" borderId="1" xfId="0" applyFont="1" applyFill="1" applyBorder="1" applyAlignment="1" applyProtection="1">
      <alignment horizontal="center" vertical="center" wrapText="1"/>
      <protection locked="0"/>
    </xf>
    <xf numFmtId="14" fontId="258" fillId="0" borderId="0" xfId="0" applyNumberFormat="1" applyFont="1" applyFill="1" applyBorder="1" applyAlignment="1" applyProtection="1">
      <alignment horizontal="center" vertical="center"/>
      <protection locked="0"/>
    </xf>
    <xf numFmtId="14" fontId="278" fillId="0" borderId="0" xfId="0" applyNumberFormat="1" applyFont="1" applyFill="1" applyBorder="1" applyAlignment="1" applyProtection="1">
      <alignment horizontal="center" vertical="center"/>
      <protection locked="0"/>
    </xf>
    <xf numFmtId="0" fontId="257" fillId="0" borderId="6" xfId="0" applyFont="1" applyFill="1" applyBorder="1" applyAlignment="1" applyProtection="1">
      <alignment horizontal="center" vertical="center" wrapText="1"/>
      <protection locked="0"/>
    </xf>
    <xf numFmtId="0" fontId="257" fillId="3" borderId="1" xfId="0" applyFont="1" applyFill="1" applyBorder="1" applyAlignment="1" applyProtection="1">
      <alignment horizontal="center" vertical="center" wrapText="1"/>
      <protection locked="0"/>
    </xf>
    <xf numFmtId="201" fontId="258" fillId="0" borderId="0" xfId="0" applyNumberFormat="1" applyFont="1" applyFill="1" applyBorder="1" applyAlignment="1" applyProtection="1">
      <alignment horizontal="center" vertical="center" wrapText="1"/>
      <protection locked="0"/>
    </xf>
    <xf numFmtId="187" fontId="257" fillId="5" borderId="1" xfId="0" applyNumberFormat="1" applyFont="1" applyFill="1" applyBorder="1" applyAlignment="1" applyProtection="1">
      <alignment horizontal="center" vertical="center"/>
      <protection locked="0"/>
    </xf>
    <xf numFmtId="187" fontId="280" fillId="0" borderId="1" xfId="0" applyNumberFormat="1" applyFont="1" applyFill="1" applyBorder="1" applyAlignment="1" applyProtection="1">
      <alignment horizontal="center" vertical="center"/>
      <protection locked="0"/>
    </xf>
    <xf numFmtId="14" fontId="258" fillId="0" borderId="7" xfId="0" applyNumberFormat="1" applyFont="1" applyFill="1" applyBorder="1" applyAlignment="1" applyProtection="1">
      <alignment horizontal="center" vertical="center"/>
      <protection locked="0"/>
    </xf>
    <xf numFmtId="14" fontId="278" fillId="0" borderId="7" xfId="0" applyNumberFormat="1" applyFont="1" applyFill="1" applyBorder="1" applyAlignment="1" applyProtection="1">
      <alignment horizontal="center" vertical="center"/>
      <protection locked="0"/>
    </xf>
    <xf numFmtId="14" fontId="258" fillId="0" borderId="7" xfId="0" applyNumberFormat="1" applyFont="1" applyFill="1" applyBorder="1" applyAlignment="1" applyProtection="1">
      <alignment horizontal="center" vertical="center" wrapText="1"/>
      <protection locked="0"/>
    </xf>
    <xf numFmtId="14" fontId="278" fillId="0" borderId="7" xfId="0" applyNumberFormat="1" applyFont="1" applyFill="1" applyBorder="1" applyAlignment="1" applyProtection="1">
      <alignment horizontal="center" vertical="center" wrapText="1"/>
      <protection locked="0"/>
    </xf>
    <xf numFmtId="0" fontId="256" fillId="0" borderId="1" xfId="0" applyFont="1" applyFill="1" applyBorder="1" applyProtection="1">
      <alignment vertical="center"/>
      <protection locked="0"/>
    </xf>
    <xf numFmtId="186" fontId="258" fillId="0" borderId="0" xfId="0" applyNumberFormat="1" applyFont="1" applyFill="1" applyBorder="1" applyAlignment="1" applyProtection="1">
      <alignment horizontal="center" vertical="center" wrapText="1"/>
      <protection locked="0"/>
    </xf>
    <xf numFmtId="188" fontId="257" fillId="0" borderId="1" xfId="0" applyNumberFormat="1" applyFont="1" applyFill="1" applyBorder="1" applyAlignment="1" applyProtection="1">
      <alignment horizontal="center" vertical="center"/>
      <protection locked="0"/>
    </xf>
    <xf numFmtId="187" fontId="257" fillId="0" borderId="1" xfId="0" applyNumberFormat="1" applyFont="1" applyFill="1" applyBorder="1" applyAlignment="1" applyProtection="1">
      <alignment horizontal="center" vertical="center"/>
    </xf>
    <xf numFmtId="187" fontId="257" fillId="0" borderId="1" xfId="0" applyNumberFormat="1" applyFont="1" applyFill="1" applyBorder="1" applyAlignment="1" applyProtection="1">
      <alignment horizontal="center" vertical="center" wrapText="1"/>
    </xf>
    <xf numFmtId="187" fontId="257" fillId="0" borderId="6" xfId="0" applyNumberFormat="1" applyFont="1" applyFill="1" applyBorder="1" applyAlignment="1" applyProtection="1">
      <alignment horizontal="center" vertical="center" wrapText="1"/>
    </xf>
    <xf numFmtId="186" fontId="218" fillId="0" borderId="1" xfId="0" applyNumberFormat="1" applyFont="1" applyFill="1" applyBorder="1" applyAlignment="1" applyProtection="1">
      <alignment horizontal="center" vertical="center" wrapText="1"/>
      <protection locked="0"/>
    </xf>
    <xf numFmtId="0" fontId="257" fillId="5" borderId="1" xfId="0" applyFont="1" applyFill="1" applyBorder="1" applyAlignment="1" applyProtection="1">
      <alignment horizontal="center" vertical="center"/>
      <protection locked="0"/>
    </xf>
    <xf numFmtId="188" fontId="45" fillId="0" borderId="1" xfId="0" applyNumberFormat="1" applyFont="1" applyFill="1" applyBorder="1" applyAlignment="1" applyProtection="1">
      <alignment horizontal="center" vertical="center"/>
    </xf>
    <xf numFmtId="49" fontId="35" fillId="0" borderId="1" xfId="0" applyNumberFormat="1" applyFont="1" applyFill="1" applyBorder="1" applyAlignment="1" applyProtection="1">
      <alignment horizontal="center" vertical="center" wrapText="1"/>
      <protection locked="0"/>
    </xf>
    <xf numFmtId="0" fontId="45" fillId="0" borderId="1" xfId="0" applyNumberFormat="1" applyFont="1" applyFill="1" applyBorder="1" applyAlignment="1" applyProtection="1">
      <alignment horizontal="center" vertical="center" shrinkToFit="1"/>
      <protection locked="0"/>
    </xf>
    <xf numFmtId="190" fontId="35" fillId="0" borderId="1" xfId="0" applyNumberFormat="1" applyFont="1" applyFill="1" applyBorder="1" applyAlignment="1" applyProtection="1">
      <alignment horizontal="center" vertical="center" wrapText="1" shrinkToFit="1"/>
      <protection locked="0"/>
    </xf>
    <xf numFmtId="195" fontId="45" fillId="0" borderId="1" xfId="0" applyNumberFormat="1" applyFont="1" applyFill="1" applyBorder="1" applyAlignment="1" applyProtection="1">
      <alignment horizontal="center" vertical="center"/>
      <protection locked="0"/>
    </xf>
    <xf numFmtId="187" fontId="45" fillId="0" borderId="1" xfId="0" applyNumberFormat="1" applyFont="1" applyFill="1" applyBorder="1" applyAlignment="1" applyProtection="1">
      <alignment horizontal="center" vertical="center" wrapText="1"/>
      <protection locked="0"/>
    </xf>
    <xf numFmtId="187" fontId="45" fillId="0" borderId="6" xfId="0" applyNumberFormat="1" applyFont="1" applyFill="1" applyBorder="1" applyAlignment="1" applyProtection="1">
      <alignment horizontal="center" vertical="center" wrapText="1"/>
      <protection locked="0"/>
    </xf>
    <xf numFmtId="0" fontId="35" fillId="0" borderId="0" xfId="0" applyFont="1" applyFill="1" applyBorder="1" applyAlignment="1" applyProtection="1">
      <alignment horizontal="center" vertical="center"/>
      <protection locked="0"/>
    </xf>
    <xf numFmtId="193" fontId="35" fillId="0" borderId="0" xfId="0" applyNumberFormat="1" applyFont="1" applyFill="1" applyBorder="1" applyAlignment="1" applyProtection="1">
      <alignment horizontal="center" vertical="center" wrapText="1"/>
      <protection locked="0"/>
    </xf>
    <xf numFmtId="0" fontId="45" fillId="0" borderId="1" xfId="0" applyFont="1" applyFill="1" applyBorder="1" applyAlignment="1" applyProtection="1">
      <alignment horizontal="center" vertical="center"/>
    </xf>
    <xf numFmtId="187" fontId="45" fillId="0" borderId="1" xfId="0" applyNumberFormat="1" applyFont="1" applyFill="1" applyBorder="1" applyAlignment="1" applyProtection="1">
      <alignment horizontal="center" vertical="center"/>
    </xf>
    <xf numFmtId="0" fontId="35" fillId="0" borderId="0" xfId="0" applyFont="1" applyFill="1" applyAlignment="1" applyProtection="1">
      <alignment horizontal="center" vertical="center"/>
      <protection locked="0"/>
    </xf>
    <xf numFmtId="193" fontId="35" fillId="0" borderId="0" xfId="0" applyNumberFormat="1" applyFont="1" applyFill="1" applyAlignment="1" applyProtection="1">
      <alignment horizontal="center" vertical="center" wrapText="1"/>
      <protection locked="0"/>
    </xf>
    <xf numFmtId="188" fontId="46" fillId="0" borderId="1" xfId="0" applyNumberFormat="1" applyFont="1" applyFill="1" applyBorder="1" applyAlignment="1" applyProtection="1">
      <alignment horizontal="center" vertical="center"/>
    </xf>
    <xf numFmtId="49" fontId="36" fillId="0" borderId="1" xfId="0" applyNumberFormat="1" applyFont="1" applyFill="1" applyBorder="1" applyAlignment="1" applyProtection="1">
      <alignment horizontal="center" vertical="center" wrapText="1"/>
      <protection locked="0"/>
    </xf>
    <xf numFmtId="0" fontId="46" fillId="0" borderId="1" xfId="0" applyNumberFormat="1" applyFont="1" applyFill="1" applyBorder="1" applyAlignment="1" applyProtection="1">
      <alignment horizontal="center" vertical="center" shrinkToFit="1"/>
      <protection locked="0"/>
    </xf>
    <xf numFmtId="190" fontId="36" fillId="0" borderId="1" xfId="0" applyNumberFormat="1" applyFont="1" applyFill="1" applyBorder="1" applyAlignment="1" applyProtection="1">
      <alignment horizontal="center" vertical="center" wrapText="1" shrinkToFit="1"/>
      <protection locked="0"/>
    </xf>
    <xf numFmtId="0" fontId="46" fillId="0" borderId="1" xfId="0" applyFont="1" applyFill="1" applyBorder="1" applyAlignment="1" applyProtection="1">
      <alignment horizontal="center" vertical="center"/>
    </xf>
    <xf numFmtId="187" fontId="46" fillId="0" borderId="1" xfId="0" applyNumberFormat="1" applyFont="1" applyFill="1" applyBorder="1" applyAlignment="1" applyProtection="1">
      <alignment horizontal="center" vertical="center"/>
    </xf>
    <xf numFmtId="187" fontId="46" fillId="0" borderId="1" xfId="0" applyNumberFormat="1" applyFont="1" applyFill="1" applyBorder="1" applyAlignment="1" applyProtection="1">
      <alignment horizontal="center" vertical="center" wrapText="1"/>
    </xf>
    <xf numFmtId="187" fontId="46" fillId="0" borderId="6" xfId="0" applyNumberFormat="1" applyFont="1" applyFill="1" applyBorder="1" applyAlignment="1" applyProtection="1">
      <alignment horizontal="center" vertical="center" wrapText="1"/>
    </xf>
    <xf numFmtId="0" fontId="36" fillId="0" borderId="0" xfId="0" applyFont="1" applyFill="1" applyBorder="1" applyAlignment="1" applyProtection="1">
      <alignment horizontal="center" vertical="center"/>
      <protection locked="0"/>
    </xf>
    <xf numFmtId="193" fontId="36" fillId="0" borderId="0" xfId="0" applyNumberFormat="1" applyFont="1" applyFill="1" applyBorder="1" applyAlignment="1" applyProtection="1">
      <alignment horizontal="center" vertical="center" wrapText="1"/>
      <protection locked="0"/>
    </xf>
    <xf numFmtId="195" fontId="46" fillId="0" borderId="1" xfId="0" applyNumberFormat="1" applyFont="1" applyFill="1" applyBorder="1" applyAlignment="1" applyProtection="1">
      <alignment horizontal="center" vertical="center"/>
      <protection locked="0"/>
    </xf>
    <xf numFmtId="182" fontId="45" fillId="3" borderId="1" xfId="0" applyNumberFormat="1" applyFont="1" applyFill="1" applyBorder="1" applyAlignment="1" applyProtection="1">
      <alignment horizontal="center" vertical="center" wrapText="1"/>
      <protection locked="0"/>
    </xf>
    <xf numFmtId="187" fontId="45" fillId="0" borderId="1" xfId="0" applyNumberFormat="1" applyFont="1" applyFill="1" applyBorder="1" applyAlignment="1" applyProtection="1">
      <alignment horizontal="center" vertical="center" wrapText="1"/>
    </xf>
    <xf numFmtId="187" fontId="45" fillId="0" borderId="6" xfId="0" applyNumberFormat="1" applyFont="1" applyFill="1" applyBorder="1" applyAlignment="1" applyProtection="1">
      <alignment horizontal="center" vertical="center" wrapText="1"/>
    </xf>
    <xf numFmtId="14" fontId="36" fillId="0" borderId="1" xfId="0" applyNumberFormat="1" applyFont="1" applyFill="1" applyBorder="1" applyAlignment="1" applyProtection="1">
      <alignment horizontal="center" vertical="center"/>
      <protection locked="0"/>
    </xf>
    <xf numFmtId="0" fontId="46" fillId="0" borderId="1" xfId="0" applyFont="1" applyFill="1" applyBorder="1" applyAlignment="1" applyProtection="1">
      <alignment horizontal="center" vertical="center" wrapText="1"/>
    </xf>
    <xf numFmtId="187" fontId="46" fillId="0" borderId="1" xfId="0" applyNumberFormat="1" applyFont="1" applyFill="1" applyBorder="1" applyAlignment="1" applyProtection="1">
      <alignment horizontal="center" vertical="center" wrapText="1"/>
      <protection locked="0"/>
    </xf>
    <xf numFmtId="187" fontId="46" fillId="0" borderId="6" xfId="0" applyNumberFormat="1" applyFont="1" applyFill="1" applyBorder="1" applyAlignment="1" applyProtection="1">
      <alignment horizontal="center" vertical="center" wrapText="1"/>
      <protection locked="0"/>
    </xf>
    <xf numFmtId="14" fontId="36" fillId="0" borderId="7" xfId="0" applyNumberFormat="1" applyFont="1" applyFill="1" applyBorder="1" applyAlignment="1" applyProtection="1">
      <alignment horizontal="center" vertical="center"/>
      <protection locked="0"/>
    </xf>
    <xf numFmtId="14" fontId="292" fillId="0" borderId="7" xfId="0" applyNumberFormat="1" applyFont="1" applyFill="1" applyBorder="1" applyAlignment="1" applyProtection="1">
      <alignment horizontal="center" vertical="center"/>
      <protection locked="0"/>
    </xf>
    <xf numFmtId="58" fontId="45" fillId="0" borderId="1" xfId="0" applyNumberFormat="1" applyFont="1" applyFill="1" applyBorder="1" applyAlignment="1" applyProtection="1">
      <alignment horizontal="center" vertical="center" wrapText="1"/>
      <protection locked="0"/>
    </xf>
    <xf numFmtId="188" fontId="286" fillId="0" borderId="1" xfId="0" applyNumberFormat="1" applyFont="1" applyFill="1" applyBorder="1" applyAlignment="1" applyProtection="1">
      <alignment horizontal="center" vertical="center"/>
    </xf>
    <xf numFmtId="191" fontId="69" fillId="3" borderId="1" xfId="0" applyNumberFormat="1" applyFont="1" applyFill="1" applyBorder="1" applyAlignment="1" applyProtection="1">
      <alignment horizontal="center" vertical="center" wrapText="1"/>
      <protection locked="0"/>
    </xf>
    <xf numFmtId="186" fontId="69" fillId="3" borderId="1" xfId="0" applyNumberFormat="1" applyFont="1" applyFill="1" applyBorder="1" applyAlignment="1" applyProtection="1">
      <alignment horizontal="center" vertical="center" wrapText="1"/>
      <protection locked="0"/>
    </xf>
    <xf numFmtId="188" fontId="46" fillId="0" borderId="16" xfId="0" applyNumberFormat="1" applyFont="1" applyFill="1" applyBorder="1" applyAlignment="1" applyProtection="1">
      <alignment horizontal="center" vertical="center"/>
    </xf>
    <xf numFmtId="49" fontId="36" fillId="0" borderId="16" xfId="0" applyNumberFormat="1" applyFont="1" applyFill="1" applyBorder="1" applyAlignment="1" applyProtection="1">
      <alignment horizontal="center" vertical="center" wrapText="1"/>
      <protection locked="0"/>
    </xf>
    <xf numFmtId="0" fontId="46" fillId="0" borderId="16" xfId="0" applyFont="1" applyFill="1" applyBorder="1" applyAlignment="1" applyProtection="1">
      <alignment horizontal="center" vertical="center" wrapText="1"/>
      <protection locked="0"/>
    </xf>
    <xf numFmtId="0" fontId="46" fillId="0" borderId="16" xfId="0" applyFont="1" applyFill="1" applyBorder="1" applyAlignment="1" applyProtection="1">
      <alignment horizontal="center" vertical="center"/>
      <protection locked="0"/>
    </xf>
    <xf numFmtId="0" fontId="258" fillId="0" borderId="1" xfId="0" applyFont="1" applyFill="1" applyBorder="1" applyProtection="1">
      <alignment vertical="center"/>
    </xf>
    <xf numFmtId="190" fontId="36" fillId="0" borderId="1" xfId="0" applyNumberFormat="1" applyFont="1" applyFill="1" applyBorder="1" applyAlignment="1" applyProtection="1">
      <alignment horizontal="center" vertical="center" wrapText="1" shrinkToFit="1"/>
    </xf>
    <xf numFmtId="0" fontId="36" fillId="0" borderId="1" xfId="0" applyFont="1" applyFill="1" applyBorder="1" applyProtection="1">
      <alignment vertical="center"/>
    </xf>
    <xf numFmtId="0" fontId="36" fillId="0" borderId="1" xfId="0" applyFont="1" applyFill="1" applyBorder="1" applyAlignment="1" applyProtection="1">
      <alignment horizontal="center" vertical="center"/>
      <protection locked="0"/>
    </xf>
    <xf numFmtId="0" fontId="258" fillId="0" borderId="1" xfId="0" applyNumberFormat="1" applyFont="1" applyFill="1" applyBorder="1" applyAlignment="1" applyProtection="1">
      <alignment horizontal="center" vertical="center" wrapText="1"/>
      <protection locked="0"/>
    </xf>
    <xf numFmtId="0" fontId="257" fillId="3" borderId="1" xfId="0" applyFont="1" applyFill="1" applyBorder="1" applyAlignment="1" applyProtection="1">
      <alignment horizontal="center" vertical="center"/>
      <protection locked="0"/>
    </xf>
    <xf numFmtId="0" fontId="258" fillId="3" borderId="1" xfId="0" applyFont="1" applyFill="1" applyBorder="1" applyProtection="1">
      <alignment vertical="center"/>
    </xf>
    <xf numFmtId="0" fontId="258" fillId="3" borderId="1" xfId="0" applyFont="1" applyFill="1" applyBorder="1" applyAlignment="1" applyProtection="1">
      <alignment horizontal="center" vertical="center"/>
      <protection locked="0"/>
    </xf>
    <xf numFmtId="193" fontId="258" fillId="3" borderId="1" xfId="0" applyNumberFormat="1" applyFont="1" applyFill="1" applyBorder="1" applyAlignment="1" applyProtection="1">
      <alignment horizontal="center" vertical="center" wrapText="1"/>
      <protection locked="0"/>
    </xf>
    <xf numFmtId="0" fontId="36" fillId="0" borderId="0" xfId="0" applyFont="1" applyFill="1" applyAlignment="1" applyProtection="1">
      <alignment horizontal="center" vertical="center"/>
      <protection locked="0"/>
    </xf>
    <xf numFmtId="193" fontId="36" fillId="0" borderId="0" xfId="0" applyNumberFormat="1" applyFont="1" applyFill="1" applyAlignment="1" applyProtection="1">
      <alignment horizontal="center" vertical="center" wrapText="1"/>
      <protection locked="0"/>
    </xf>
    <xf numFmtId="0" fontId="289" fillId="0" borderId="16" xfId="0" applyNumberFormat="1" applyFont="1" applyFill="1" applyBorder="1" applyAlignment="1" applyProtection="1">
      <alignment horizontal="center" vertical="center"/>
      <protection locked="0"/>
    </xf>
    <xf numFmtId="190" fontId="35" fillId="0" borderId="1" xfId="0" applyNumberFormat="1" applyFont="1" applyFill="1" applyBorder="1" applyAlignment="1" applyProtection="1">
      <alignment horizontal="center" vertical="center" wrapText="1" shrinkToFit="1"/>
    </xf>
    <xf numFmtId="0" fontId="35" fillId="0" borderId="1" xfId="0" applyFont="1" applyFill="1" applyBorder="1" applyProtection="1">
      <alignment vertical="center"/>
    </xf>
    <xf numFmtId="182" fontId="35" fillId="0" borderId="0" xfId="0" applyNumberFormat="1" applyFont="1" applyFill="1" applyAlignment="1" applyProtection="1">
      <alignment horizontal="center" vertical="center"/>
    </xf>
    <xf numFmtId="14" fontId="292" fillId="0" borderId="9" xfId="0" applyNumberFormat="1" applyFont="1" applyFill="1" applyBorder="1" applyAlignment="1" applyProtection="1">
      <alignment horizontal="center" vertical="center"/>
      <protection locked="0"/>
    </xf>
    <xf numFmtId="14" fontId="292" fillId="0" borderId="16" xfId="0" applyNumberFormat="1" applyFont="1" applyFill="1" applyBorder="1" applyAlignment="1" applyProtection="1">
      <alignment horizontal="center" vertical="center"/>
      <protection locked="0"/>
    </xf>
    <xf numFmtId="182" fontId="45" fillId="0" borderId="1" xfId="0" applyNumberFormat="1" applyFont="1" applyFill="1" applyBorder="1" applyAlignment="1" applyProtection="1">
      <alignment horizontal="center" vertical="center" wrapText="1"/>
    </xf>
    <xf numFmtId="187" fontId="45" fillId="4" borderId="1" xfId="0" applyNumberFormat="1" applyFont="1" applyFill="1" applyBorder="1" applyAlignment="1" applyProtection="1">
      <alignment horizontal="center" vertical="center"/>
    </xf>
    <xf numFmtId="182" fontId="45" fillId="4" borderId="1" xfId="0" applyNumberFormat="1" applyFont="1" applyFill="1" applyBorder="1" applyAlignment="1" applyProtection="1">
      <alignment horizontal="center" vertical="center"/>
    </xf>
    <xf numFmtId="182" fontId="45" fillId="4" borderId="1" xfId="0" applyNumberFormat="1" applyFont="1" applyFill="1" applyBorder="1" applyAlignment="1" applyProtection="1">
      <alignment horizontal="center" vertical="center" wrapText="1"/>
    </xf>
    <xf numFmtId="0" fontId="35" fillId="0" borderId="1" xfId="0" applyFont="1" applyFill="1" applyBorder="1" applyAlignment="1" applyProtection="1">
      <alignment horizontal="center" vertical="center"/>
    </xf>
    <xf numFmtId="0" fontId="316" fillId="0" borderId="1" xfId="0" applyFont="1" applyFill="1" applyBorder="1" applyAlignment="1" applyProtection="1">
      <alignment horizontal="center" vertical="center"/>
    </xf>
    <xf numFmtId="14" fontId="292" fillId="0" borderId="21" xfId="0" applyNumberFormat="1" applyFont="1" applyFill="1" applyBorder="1" applyAlignment="1" applyProtection="1">
      <alignment horizontal="center" vertical="center"/>
      <protection locked="0"/>
    </xf>
    <xf numFmtId="182" fontId="35" fillId="3" borderId="0" xfId="0" applyNumberFormat="1" applyFont="1" applyFill="1" applyAlignment="1" applyProtection="1">
      <alignment horizontal="center" vertical="center"/>
    </xf>
    <xf numFmtId="193" fontId="35" fillId="0" borderId="1" xfId="0" applyNumberFormat="1" applyFont="1" applyFill="1" applyBorder="1" applyAlignment="1" applyProtection="1">
      <alignment horizontal="center" vertical="center" wrapText="1"/>
      <protection locked="0"/>
    </xf>
    <xf numFmtId="0" fontId="317" fillId="0" borderId="0" xfId="0" applyFont="1" applyFill="1" applyAlignment="1" applyProtection="1">
      <alignment horizontal="center" vertical="center"/>
    </xf>
    <xf numFmtId="0" fontId="45" fillId="3" borderId="1" xfId="0" applyFont="1" applyFill="1" applyBorder="1" applyAlignment="1" applyProtection="1">
      <alignment horizontal="center" vertical="center"/>
      <protection locked="0"/>
    </xf>
    <xf numFmtId="0" fontId="35" fillId="3" borderId="1" xfId="0" applyFont="1" applyFill="1" applyBorder="1" applyProtection="1">
      <alignment vertical="center"/>
    </xf>
    <xf numFmtId="0" fontId="35" fillId="3" borderId="0" xfId="0" applyFont="1" applyFill="1" applyAlignment="1" applyProtection="1">
      <alignment horizontal="center" vertical="center"/>
      <protection locked="0"/>
    </xf>
    <xf numFmtId="0" fontId="45" fillId="3" borderId="0" xfId="0" applyFont="1" applyFill="1" applyAlignment="1" applyProtection="1">
      <alignment horizontal="center" vertical="center" wrapText="1"/>
      <protection locked="0"/>
    </xf>
    <xf numFmtId="193" fontId="35" fillId="3" borderId="0" xfId="0" applyNumberFormat="1" applyFont="1" applyFill="1" applyAlignment="1" applyProtection="1">
      <alignment horizontal="center" vertical="center" wrapText="1"/>
      <protection locked="0"/>
    </xf>
    <xf numFmtId="187" fontId="45" fillId="3" borderId="0" xfId="0" applyNumberFormat="1" applyFont="1" applyFill="1" applyAlignment="1" applyProtection="1">
      <alignment horizontal="center" vertical="center"/>
      <protection locked="0"/>
    </xf>
    <xf numFmtId="0" fontId="45" fillId="4" borderId="1" xfId="0" applyFont="1" applyFill="1" applyBorder="1" applyAlignment="1" applyProtection="1">
      <alignment horizontal="center" vertical="center"/>
      <protection locked="0"/>
    </xf>
    <xf numFmtId="0" fontId="45" fillId="0" borderId="1" xfId="0" applyFont="1" applyFill="1" applyBorder="1" applyAlignment="1" applyProtection="1">
      <alignment horizontal="center" vertical="center" wrapText="1"/>
    </xf>
    <xf numFmtId="0" fontId="35" fillId="4" borderId="1" xfId="0" applyFont="1" applyFill="1" applyBorder="1" applyProtection="1">
      <alignment vertical="center"/>
    </xf>
    <xf numFmtId="0" fontId="35" fillId="4" borderId="0" xfId="0" applyFont="1" applyFill="1" applyAlignment="1" applyProtection="1">
      <alignment horizontal="center" vertical="center"/>
      <protection locked="0"/>
    </xf>
    <xf numFmtId="0" fontId="45" fillId="4" borderId="0" xfId="0" applyFont="1" applyFill="1" applyAlignment="1" applyProtection="1">
      <alignment horizontal="center" vertical="center" wrapText="1"/>
      <protection locked="0"/>
    </xf>
    <xf numFmtId="193" fontId="35" fillId="4" borderId="0" xfId="0" applyNumberFormat="1" applyFont="1" applyFill="1" applyAlignment="1" applyProtection="1">
      <alignment horizontal="center" vertical="center" wrapText="1"/>
      <protection locked="0"/>
    </xf>
    <xf numFmtId="0" fontId="1" fillId="0" borderId="9" xfId="0" applyNumberFormat="1" applyFont="1" applyFill="1" applyBorder="1" applyAlignment="1" applyProtection="1">
      <alignment horizontal="center" vertical="center" wrapText="1"/>
      <protection locked="0"/>
    </xf>
    <xf numFmtId="0" fontId="1" fillId="0" borderId="16" xfId="0" applyNumberFormat="1" applyFont="1" applyFill="1" applyBorder="1" applyAlignment="1" applyProtection="1">
      <alignment horizontal="center" vertical="center" wrapText="1"/>
      <protection locked="0"/>
    </xf>
    <xf numFmtId="0" fontId="35" fillId="0" borderId="1" xfId="0" applyFont="1" applyFill="1" applyBorder="1" applyAlignment="1" applyProtection="1">
      <alignment horizontal="center" vertical="center" wrapText="1"/>
      <protection locked="0"/>
    </xf>
    <xf numFmtId="188" fontId="45" fillId="0" borderId="16" xfId="0" applyNumberFormat="1" applyFont="1" applyFill="1" applyBorder="1" applyAlignment="1" applyProtection="1">
      <alignment horizontal="center" vertical="center"/>
    </xf>
    <xf numFmtId="49" fontId="35" fillId="0" borderId="16" xfId="0" applyNumberFormat="1" applyFont="1" applyFill="1" applyBorder="1" applyAlignment="1" applyProtection="1">
      <alignment horizontal="center" vertical="center" wrapText="1"/>
      <protection locked="0"/>
    </xf>
    <xf numFmtId="0" fontId="45" fillId="0" borderId="16" xfId="0" applyFont="1" applyFill="1" applyBorder="1" applyAlignment="1" applyProtection="1">
      <alignment horizontal="center" vertical="center" wrapText="1"/>
      <protection locked="0"/>
    </xf>
    <xf numFmtId="187" fontId="45" fillId="0" borderId="9" xfId="0" applyNumberFormat="1" applyFont="1" applyFill="1" applyBorder="1" applyAlignment="1" applyProtection="1">
      <alignment horizontal="center" vertical="center" wrapText="1"/>
    </xf>
    <xf numFmtId="187" fontId="45" fillId="0" borderId="10" xfId="0" applyNumberFormat="1" applyFont="1" applyFill="1" applyBorder="1" applyAlignment="1" applyProtection="1">
      <alignment horizontal="center" vertical="center" wrapText="1"/>
    </xf>
    <xf numFmtId="0" fontId="35" fillId="0" borderId="9" xfId="0" applyFont="1" applyFill="1" applyBorder="1" applyProtection="1">
      <alignment vertical="center"/>
      <protection locked="0"/>
    </xf>
    <xf numFmtId="182" fontId="35" fillId="0" borderId="1" xfId="0" applyNumberFormat="1" applyFont="1" applyFill="1" applyBorder="1" applyAlignment="1" applyProtection="1">
      <alignment horizontal="center" vertical="center"/>
    </xf>
    <xf numFmtId="0" fontId="35" fillId="4" borderId="1" xfId="0" applyFont="1" applyFill="1" applyBorder="1" applyAlignment="1" applyProtection="1">
      <alignment horizontal="center" vertical="center"/>
    </xf>
    <xf numFmtId="0" fontId="35" fillId="4" borderId="1" xfId="0" applyFont="1" applyFill="1" applyBorder="1" applyAlignment="1" applyProtection="1">
      <alignment horizontal="center" vertical="center"/>
      <protection locked="0"/>
    </xf>
    <xf numFmtId="193" fontId="35" fillId="4" borderId="1" xfId="0" applyNumberFormat="1" applyFont="1" applyFill="1" applyBorder="1" applyAlignment="1" applyProtection="1">
      <alignment horizontal="center" vertical="center" wrapText="1"/>
      <protection locked="0"/>
    </xf>
    <xf numFmtId="3" fontId="45" fillId="0" borderId="1" xfId="0" applyNumberFormat="1" applyFont="1" applyFill="1" applyBorder="1" applyAlignment="1" applyProtection="1">
      <alignment horizontal="center" vertical="center"/>
      <protection locked="0"/>
    </xf>
    <xf numFmtId="0" fontId="34" fillId="3" borderId="1" xfId="0" applyFont="1" applyFill="1" applyBorder="1" applyProtection="1">
      <alignment vertical="center"/>
    </xf>
    <xf numFmtId="182" fontId="34" fillId="3" borderId="0" xfId="0" applyNumberFormat="1" applyFont="1" applyFill="1" applyAlignment="1" applyProtection="1">
      <alignment horizontal="center" vertical="center"/>
    </xf>
    <xf numFmtId="187" fontId="45" fillId="0" borderId="16" xfId="0" applyNumberFormat="1" applyFont="1" applyFill="1" applyBorder="1" applyAlignment="1" applyProtection="1">
      <alignment horizontal="center" vertical="center" wrapText="1"/>
      <protection locked="0"/>
    </xf>
    <xf numFmtId="187" fontId="45" fillId="0" borderId="15" xfId="0" applyNumberFormat="1" applyFont="1" applyFill="1" applyBorder="1" applyAlignment="1" applyProtection="1">
      <alignment horizontal="center" vertical="center" wrapText="1"/>
      <protection locked="0"/>
    </xf>
    <xf numFmtId="0" fontId="35" fillId="0" borderId="16" xfId="0" applyFont="1" applyFill="1" applyBorder="1" applyProtection="1">
      <alignment vertical="center"/>
      <protection locked="0"/>
    </xf>
    <xf numFmtId="14" fontId="295" fillId="0" borderId="21" xfId="0" applyNumberFormat="1" applyFont="1" applyFill="1" applyBorder="1" applyAlignment="1" applyProtection="1">
      <alignment horizontal="center" vertical="center"/>
      <protection locked="0"/>
    </xf>
    <xf numFmtId="14" fontId="295" fillId="0" borderId="16" xfId="0" applyNumberFormat="1" applyFont="1" applyFill="1" applyBorder="1" applyAlignment="1" applyProtection="1">
      <alignment horizontal="center" vertical="center"/>
      <protection locked="0"/>
    </xf>
    <xf numFmtId="0" fontId="217" fillId="0" borderId="1" xfId="0" applyFont="1" applyFill="1" applyBorder="1" applyAlignment="1">
      <alignment vertical="center" wrapText="1"/>
    </xf>
    <xf numFmtId="14" fontId="295" fillId="0" borderId="9" xfId="0" applyNumberFormat="1" applyFont="1" applyFill="1" applyBorder="1" applyAlignment="1" applyProtection="1">
      <alignment horizontal="center" vertical="center" wrapText="1"/>
      <protection locked="0"/>
    </xf>
    <xf numFmtId="14" fontId="295" fillId="0" borderId="21" xfId="0" applyNumberFormat="1" applyFont="1" applyFill="1" applyBorder="1" applyAlignment="1" applyProtection="1">
      <alignment horizontal="center" vertical="center" wrapText="1"/>
      <protection locked="0"/>
    </xf>
    <xf numFmtId="14" fontId="295" fillId="0" borderId="16" xfId="0" applyNumberFormat="1" applyFont="1" applyFill="1" applyBorder="1" applyAlignment="1" applyProtection="1">
      <alignment horizontal="center" vertical="center" wrapText="1"/>
      <protection locked="0"/>
    </xf>
    <xf numFmtId="0" fontId="114" fillId="12" borderId="1" xfId="0" applyFont="1" applyFill="1" applyBorder="1" applyAlignment="1" applyProtection="1">
      <alignment horizontal="center" vertical="center" wrapText="1"/>
      <protection locked="0"/>
    </xf>
    <xf numFmtId="187" fontId="45" fillId="3" borderId="6" xfId="0" applyNumberFormat="1" applyFont="1" applyFill="1" applyBorder="1" applyAlignment="1" applyProtection="1">
      <alignment horizontal="center" vertical="center"/>
      <protection locked="0"/>
    </xf>
    <xf numFmtId="182" fontId="45" fillId="0" borderId="6" xfId="0" applyNumberFormat="1" applyFont="1" applyFill="1" applyBorder="1" applyAlignment="1" applyProtection="1">
      <alignment horizontal="center" vertical="center" wrapText="1"/>
      <protection locked="0"/>
    </xf>
    <xf numFmtId="187" fontId="45" fillId="3" borderId="1" xfId="0" applyNumberFormat="1" applyFont="1" applyFill="1" applyBorder="1" applyAlignment="1" applyProtection="1">
      <alignment horizontal="center" vertical="center"/>
    </xf>
    <xf numFmtId="187" fontId="45" fillId="3" borderId="9" xfId="0" applyNumberFormat="1" applyFont="1" applyFill="1" applyBorder="1" applyAlignment="1" applyProtection="1">
      <alignment horizontal="center" vertical="center" wrapText="1"/>
    </xf>
    <xf numFmtId="187" fontId="45" fillId="3" borderId="10" xfId="0" applyNumberFormat="1" applyFont="1" applyFill="1" applyBorder="1" applyAlignment="1" applyProtection="1">
      <alignment horizontal="center" vertical="center" wrapText="1"/>
    </xf>
    <xf numFmtId="0" fontId="35" fillId="4" borderId="6" xfId="0" applyFont="1" applyFill="1" applyBorder="1" applyAlignment="1" applyProtection="1">
      <alignment horizontal="center" vertical="center"/>
      <protection locked="0"/>
    </xf>
    <xf numFmtId="182" fontId="45" fillId="3" borderId="0" xfId="0" applyNumberFormat="1" applyFont="1" applyFill="1" applyAlignment="1" applyProtection="1">
      <alignment horizontal="center" vertical="center" wrapText="1"/>
      <protection locked="0"/>
    </xf>
    <xf numFmtId="0" fontId="35" fillId="3" borderId="1" xfId="0" applyFont="1" applyFill="1" applyBorder="1" applyProtection="1">
      <alignment vertical="center"/>
      <protection locked="0"/>
    </xf>
    <xf numFmtId="0" fontId="35" fillId="0" borderId="1" xfId="0" applyFont="1" applyFill="1" applyBorder="1" applyAlignment="1" applyProtection="1">
      <alignment horizontal="center" vertical="center" wrapText="1" shrinkToFit="1"/>
      <protection locked="0"/>
    </xf>
    <xf numFmtId="0" fontId="45" fillId="0" borderId="1" xfId="0" applyNumberFormat="1" applyFont="1" applyFill="1" applyBorder="1" applyAlignment="1" applyProtection="1">
      <alignment horizontal="center" vertical="center" wrapText="1" shrinkToFit="1"/>
      <protection locked="0"/>
    </xf>
    <xf numFmtId="196" fontId="45" fillId="0" borderId="1" xfId="0" applyNumberFormat="1" applyFont="1" applyFill="1" applyBorder="1" applyAlignment="1" applyProtection="1">
      <alignment horizontal="center" vertical="center"/>
      <protection locked="0"/>
    </xf>
    <xf numFmtId="191" fontId="45" fillId="0" borderId="1" xfId="0" applyNumberFormat="1" applyFont="1" applyFill="1" applyBorder="1" applyAlignment="1" applyProtection="1">
      <alignment horizontal="center" vertical="center" wrapText="1"/>
      <protection locked="0"/>
    </xf>
    <xf numFmtId="0" fontId="217" fillId="0" borderId="0" xfId="0" applyFont="1" applyFill="1" applyProtection="1">
      <alignment vertical="center"/>
      <protection locked="0"/>
    </xf>
    <xf numFmtId="0" fontId="35" fillId="3" borderId="1" xfId="0" applyFont="1" applyFill="1" applyBorder="1" applyAlignment="1" applyProtection="1">
      <alignment horizontal="center" vertical="center"/>
      <protection locked="0"/>
    </xf>
    <xf numFmtId="193" fontId="35" fillId="3" borderId="1" xfId="0" applyNumberFormat="1" applyFont="1" applyFill="1" applyBorder="1" applyAlignment="1" applyProtection="1">
      <alignment horizontal="center" vertical="center" wrapText="1"/>
      <protection locked="0"/>
    </xf>
    <xf numFmtId="187" fontId="45" fillId="0" borderId="6" xfId="0" applyNumberFormat="1" applyFont="1" applyFill="1" applyBorder="1" applyAlignment="1" applyProtection="1">
      <alignment horizontal="center" vertical="center"/>
    </xf>
    <xf numFmtId="187" fontId="294" fillId="0" borderId="1" xfId="0" applyNumberFormat="1" applyFont="1" applyFill="1" applyBorder="1" applyAlignment="1" applyProtection="1">
      <alignment horizontal="center" vertical="center"/>
      <protection locked="0"/>
    </xf>
    <xf numFmtId="0" fontId="35" fillId="3" borderId="7" xfId="0" applyFont="1" applyFill="1" applyBorder="1" applyProtection="1">
      <alignment vertical="center"/>
      <protection locked="0"/>
    </xf>
    <xf numFmtId="0" fontId="35" fillId="3" borderId="7" xfId="0" applyFont="1" applyFill="1" applyBorder="1" applyAlignment="1" applyProtection="1">
      <alignment horizontal="center" vertical="center"/>
      <protection locked="0"/>
    </xf>
    <xf numFmtId="0" fontId="35" fillId="3" borderId="6" xfId="0" applyFont="1" applyFill="1" applyBorder="1" applyAlignment="1" applyProtection="1">
      <alignment horizontal="center" vertical="center"/>
      <protection locked="0"/>
    </xf>
    <xf numFmtId="0" fontId="35" fillId="3" borderId="0" xfId="0" applyFont="1" applyFill="1" applyProtection="1">
      <alignment vertical="center"/>
      <protection locked="0"/>
    </xf>
    <xf numFmtId="49" fontId="298" fillId="0" borderId="1" xfId="0" applyNumberFormat="1" applyFont="1" applyFill="1" applyBorder="1" applyAlignment="1" applyProtection="1">
      <alignment horizontal="center" vertical="center" wrapText="1"/>
      <protection locked="0"/>
    </xf>
    <xf numFmtId="14" fontId="292" fillId="0" borderId="1" xfId="0" applyNumberFormat="1" applyFont="1" applyFill="1" applyBorder="1" applyAlignment="1" applyProtection="1">
      <alignment horizontal="center" vertical="center" wrapText="1"/>
      <protection locked="0"/>
    </xf>
    <xf numFmtId="196" fontId="46" fillId="0" borderId="1" xfId="0" applyNumberFormat="1" applyFont="1" applyFill="1" applyBorder="1" applyAlignment="1" applyProtection="1">
      <alignment horizontal="center" vertical="center"/>
      <protection locked="0"/>
    </xf>
    <xf numFmtId="0" fontId="36" fillId="0" borderId="1" xfId="0" applyFont="1" applyFill="1" applyBorder="1" applyAlignment="1" applyProtection="1">
      <alignment horizontal="center" vertical="center" wrapText="1"/>
      <protection locked="0"/>
    </xf>
    <xf numFmtId="187" fontId="46" fillId="0" borderId="9" xfId="0" applyNumberFormat="1" applyFont="1" applyFill="1" applyBorder="1" applyAlignment="1" applyProtection="1">
      <alignment horizontal="center" vertical="center" wrapText="1"/>
    </xf>
    <xf numFmtId="187" fontId="46" fillId="0" borderId="10" xfId="0" applyNumberFormat="1" applyFont="1" applyFill="1" applyBorder="1" applyAlignment="1" applyProtection="1">
      <alignment horizontal="center" vertical="center" wrapText="1"/>
    </xf>
    <xf numFmtId="182" fontId="46" fillId="3" borderId="6" xfId="0" applyNumberFormat="1" applyFont="1" applyFill="1" applyBorder="1" applyAlignment="1" applyProtection="1">
      <alignment horizontal="center" vertical="center" wrapText="1"/>
      <protection locked="0"/>
    </xf>
    <xf numFmtId="0" fontId="225" fillId="0" borderId="0" xfId="0" applyFont="1" applyFill="1" applyProtection="1">
      <alignment vertical="center"/>
      <protection locked="0"/>
    </xf>
    <xf numFmtId="14" fontId="290" fillId="0" borderId="1" xfId="0" applyNumberFormat="1" applyFont="1" applyFill="1" applyBorder="1" applyAlignment="1" applyProtection="1">
      <alignment horizontal="center" vertical="center" wrapText="1"/>
      <protection locked="0"/>
    </xf>
    <xf numFmtId="182" fontId="46" fillId="0" borderId="6" xfId="0" applyNumberFormat="1" applyFont="1" applyFill="1" applyBorder="1" applyAlignment="1" applyProtection="1">
      <alignment horizontal="center" vertical="center" wrapText="1"/>
      <protection locked="0"/>
    </xf>
    <xf numFmtId="0" fontId="287" fillId="0" borderId="1" xfId="0" applyNumberFormat="1" applyFont="1" applyFill="1" applyBorder="1" applyAlignment="1" applyProtection="1">
      <alignment horizontal="center" vertical="center" wrapText="1" shrinkToFit="1"/>
      <protection locked="0"/>
    </xf>
    <xf numFmtId="182" fontId="36" fillId="0" borderId="1" xfId="0" applyNumberFormat="1" applyFont="1" applyFill="1" applyBorder="1" applyAlignment="1" applyProtection="1">
      <alignment horizontal="center" vertical="center"/>
      <protection locked="0"/>
    </xf>
    <xf numFmtId="187" fontId="46" fillId="0" borderId="0" xfId="0" applyNumberFormat="1" applyFont="1" applyFill="1" applyAlignment="1" applyProtection="1">
      <alignment horizontal="center" vertical="center"/>
      <protection locked="0"/>
    </xf>
    <xf numFmtId="0" fontId="36" fillId="0" borderId="7" xfId="0" applyFont="1" applyFill="1" applyBorder="1" applyProtection="1">
      <alignment vertical="center"/>
      <protection locked="0"/>
    </xf>
    <xf numFmtId="14" fontId="291" fillId="0" borderId="1" xfId="0" applyNumberFormat="1" applyFont="1" applyFill="1" applyBorder="1" applyAlignment="1" applyProtection="1">
      <alignment horizontal="center" vertical="center" wrapText="1"/>
      <protection locked="0"/>
    </xf>
    <xf numFmtId="14" fontId="291" fillId="0" borderId="1" xfId="0" applyNumberFormat="1" applyFont="1" applyFill="1" applyBorder="1" applyAlignment="1" applyProtection="1">
      <alignment horizontal="center" vertical="center"/>
      <protection locked="0"/>
    </xf>
    <xf numFmtId="176" fontId="318" fillId="0" borderId="1" xfId="0" applyNumberFormat="1" applyFont="1" applyFill="1" applyBorder="1" applyAlignment="1" applyProtection="1">
      <alignment horizontal="center" vertical="center" wrapText="1"/>
      <protection locked="0"/>
    </xf>
    <xf numFmtId="0" fontId="36" fillId="3" borderId="1" xfId="0" applyFont="1" applyFill="1" applyBorder="1" applyAlignment="1" applyProtection="1">
      <alignment horizontal="center" vertical="center"/>
      <protection locked="0"/>
    </xf>
    <xf numFmtId="0" fontId="36" fillId="3" borderId="0" xfId="0" applyFont="1" applyFill="1" applyAlignment="1" applyProtection="1">
      <alignment horizontal="center" vertical="center"/>
      <protection locked="0"/>
    </xf>
    <xf numFmtId="187" fontId="46" fillId="3" borderId="0" xfId="0" applyNumberFormat="1" applyFont="1" applyFill="1" applyAlignment="1" applyProtection="1">
      <alignment horizontal="center" vertical="center"/>
      <protection locked="0"/>
    </xf>
    <xf numFmtId="193" fontId="36" fillId="3" borderId="0" xfId="0" applyNumberFormat="1" applyFont="1" applyFill="1" applyAlignment="1" applyProtection="1">
      <alignment horizontal="center" vertical="center" wrapText="1"/>
      <protection locked="0"/>
    </xf>
    <xf numFmtId="187" fontId="36" fillId="0" borderId="1" xfId="0" applyNumberFormat="1" applyFont="1" applyFill="1" applyBorder="1" applyAlignment="1" applyProtection="1">
      <alignment horizontal="center" vertical="center"/>
      <protection locked="0"/>
    </xf>
    <xf numFmtId="0" fontId="36" fillId="3" borderId="1" xfId="0" applyFont="1" applyFill="1" applyBorder="1" applyProtection="1">
      <alignment vertical="center"/>
      <protection locked="0"/>
    </xf>
    <xf numFmtId="0" fontId="36" fillId="3" borderId="0" xfId="0" applyFont="1" applyFill="1" applyProtection="1">
      <alignment vertical="center"/>
      <protection locked="0"/>
    </xf>
    <xf numFmtId="0" fontId="36" fillId="0" borderId="7" xfId="0" applyFont="1" applyFill="1" applyBorder="1" applyAlignment="1" applyProtection="1">
      <alignment horizontal="center" vertical="center"/>
      <protection locked="0"/>
    </xf>
    <xf numFmtId="0" fontId="36" fillId="3" borderId="7" xfId="0" applyFont="1" applyFill="1" applyBorder="1" applyProtection="1">
      <alignment vertical="center"/>
      <protection locked="0"/>
    </xf>
    <xf numFmtId="1" fontId="36" fillId="0" borderId="1" xfId="0" applyNumberFormat="1" applyFont="1" applyFill="1" applyBorder="1" applyAlignment="1" applyProtection="1">
      <alignment horizontal="center" vertical="center"/>
      <protection locked="0"/>
    </xf>
    <xf numFmtId="0" fontId="46" fillId="0" borderId="16" xfId="0" applyNumberFormat="1" applyFont="1" applyFill="1" applyBorder="1" applyAlignment="1" applyProtection="1">
      <alignment horizontal="center" vertical="center" shrinkToFit="1"/>
      <protection locked="0"/>
    </xf>
    <xf numFmtId="190" fontId="36" fillId="0" borderId="16" xfId="0" applyNumberFormat="1" applyFont="1" applyFill="1" applyBorder="1" applyAlignment="1" applyProtection="1">
      <alignment horizontal="center" vertical="center" wrapText="1" shrinkToFit="1"/>
      <protection locked="0"/>
    </xf>
    <xf numFmtId="190" fontId="36" fillId="0" borderId="16" xfId="0" applyNumberFormat="1" applyFont="1" applyFill="1" applyBorder="1" applyAlignment="1" applyProtection="1">
      <alignment horizontal="center" vertical="center" wrapText="1" shrinkToFit="1"/>
    </xf>
    <xf numFmtId="0" fontId="46" fillId="0" borderId="16" xfId="0" applyFont="1" applyFill="1" applyBorder="1" applyAlignment="1" applyProtection="1">
      <alignment horizontal="justify" vertical="center" wrapText="1"/>
      <protection locked="0"/>
    </xf>
    <xf numFmtId="0" fontId="290" fillId="0" borderId="16" xfId="0" applyNumberFormat="1" applyFont="1" applyFill="1" applyBorder="1" applyAlignment="1" applyProtection="1">
      <alignment horizontal="center" vertical="center" wrapText="1"/>
      <protection locked="0"/>
    </xf>
    <xf numFmtId="14" fontId="290" fillId="0" borderId="16" xfId="0" applyNumberFormat="1" applyFont="1" applyFill="1" applyBorder="1" applyAlignment="1" applyProtection="1">
      <alignment horizontal="center" vertical="center" wrapText="1"/>
      <protection locked="0"/>
    </xf>
    <xf numFmtId="186" fontId="46" fillId="0" borderId="16" xfId="0" applyNumberFormat="1" applyFont="1" applyFill="1" applyBorder="1" applyAlignment="1" applyProtection="1">
      <alignment horizontal="center" vertical="center" wrapText="1"/>
      <protection locked="0"/>
    </xf>
    <xf numFmtId="186" fontId="36" fillId="0" borderId="16" xfId="0" applyNumberFormat="1" applyFont="1" applyFill="1" applyBorder="1" applyAlignment="1" applyProtection="1">
      <alignment horizontal="center" vertical="center" wrapText="1"/>
      <protection locked="0"/>
    </xf>
    <xf numFmtId="186" fontId="56" fillId="0" borderId="16" xfId="0" applyNumberFormat="1" applyFont="1" applyFill="1" applyBorder="1" applyAlignment="1" applyProtection="1">
      <alignment horizontal="center" vertical="center" wrapText="1"/>
      <protection locked="0"/>
    </xf>
    <xf numFmtId="196" fontId="46" fillId="0" borderId="16" xfId="0" applyNumberFormat="1" applyFont="1" applyFill="1" applyBorder="1" applyAlignment="1" applyProtection="1">
      <alignment horizontal="center" vertical="center"/>
      <protection locked="0"/>
    </xf>
    <xf numFmtId="0" fontId="46" fillId="0" borderId="16" xfId="0" applyFont="1" applyFill="1" applyBorder="1" applyAlignment="1" applyProtection="1">
      <alignment horizontal="center" vertical="center" wrapText="1"/>
    </xf>
    <xf numFmtId="187" fontId="46" fillId="0" borderId="16" xfId="0" applyNumberFormat="1" applyFont="1" applyFill="1" applyBorder="1" applyAlignment="1" applyProtection="1">
      <alignment horizontal="center" vertical="center"/>
      <protection locked="0"/>
    </xf>
    <xf numFmtId="187" fontId="46" fillId="0" borderId="16" xfId="0" applyNumberFormat="1" applyFont="1" applyFill="1" applyBorder="1" applyAlignment="1" applyProtection="1">
      <alignment horizontal="center" vertical="center"/>
    </xf>
    <xf numFmtId="187" fontId="46" fillId="0" borderId="21" xfId="0" applyNumberFormat="1" applyFont="1" applyFill="1" applyBorder="1" applyAlignment="1" applyProtection="1">
      <alignment horizontal="center" vertical="center" wrapText="1"/>
    </xf>
    <xf numFmtId="187" fontId="46" fillId="0" borderId="22" xfId="0" applyNumberFormat="1" applyFont="1" applyFill="1" applyBorder="1" applyAlignment="1" applyProtection="1">
      <alignment horizontal="center" vertical="center" wrapText="1"/>
    </xf>
    <xf numFmtId="0" fontId="36" fillId="0" borderId="21" xfId="0" applyFont="1" applyFill="1" applyBorder="1" applyAlignment="1" applyProtection="1">
      <alignment horizontal="center" vertical="center"/>
      <protection locked="0"/>
    </xf>
    <xf numFmtId="0" fontId="36" fillId="3" borderId="21" xfId="0" applyFont="1" applyFill="1" applyBorder="1" applyAlignment="1" applyProtection="1">
      <alignment horizontal="center" vertical="center"/>
      <protection locked="0"/>
    </xf>
    <xf numFmtId="0" fontId="36" fillId="0" borderId="14" xfId="0" applyFont="1" applyFill="1" applyBorder="1" applyProtection="1">
      <alignment vertical="center"/>
      <protection locked="0"/>
    </xf>
    <xf numFmtId="0" fontId="36" fillId="0" borderId="16" xfId="0" applyFont="1" applyFill="1" applyBorder="1" applyProtection="1">
      <alignment vertical="center"/>
      <protection locked="0"/>
    </xf>
    <xf numFmtId="14" fontId="290" fillId="0" borderId="1" xfId="0" applyNumberFormat="1" applyFont="1" applyFill="1" applyBorder="1" applyAlignment="1" applyProtection="1">
      <alignment horizontal="center" vertical="center"/>
      <protection locked="0"/>
    </xf>
    <xf numFmtId="182" fontId="46" fillId="3" borderId="0" xfId="0" applyNumberFormat="1" applyFont="1" applyFill="1" applyAlignment="1" applyProtection="1">
      <alignment horizontal="center" vertical="center" wrapText="1"/>
      <protection locked="0"/>
    </xf>
    <xf numFmtId="0" fontId="225" fillId="0" borderId="1" xfId="0" applyFont="1" applyFill="1" applyBorder="1" applyAlignment="1" applyProtection="1">
      <alignment horizontal="center" vertical="center"/>
      <protection locked="0"/>
    </xf>
    <xf numFmtId="187" fontId="35" fillId="0" borderId="1" xfId="0" applyNumberFormat="1" applyFont="1" applyFill="1" applyBorder="1" applyAlignment="1" applyProtection="1">
      <alignment horizontal="center" vertical="center"/>
      <protection locked="0"/>
    </xf>
    <xf numFmtId="190" fontId="258" fillId="0" borderId="16" xfId="0" applyNumberFormat="1" applyFont="1" applyFill="1" applyBorder="1" applyAlignment="1" applyProtection="1">
      <alignment horizontal="center" vertical="center" wrapText="1" shrinkToFit="1"/>
      <protection locked="0"/>
    </xf>
    <xf numFmtId="190" fontId="258" fillId="0" borderId="16" xfId="0" applyNumberFormat="1" applyFont="1" applyFill="1" applyBorder="1" applyAlignment="1" applyProtection="1">
      <alignment horizontal="center" vertical="center" wrapText="1" shrinkToFit="1"/>
    </xf>
    <xf numFmtId="0" fontId="257" fillId="0" borderId="16" xfId="0" applyFont="1" applyFill="1" applyBorder="1" applyAlignment="1" applyProtection="1">
      <alignment horizontal="justify" vertical="center" wrapText="1"/>
      <protection locked="0"/>
    </xf>
    <xf numFmtId="14" fontId="277" fillId="0" borderId="16" xfId="0" applyNumberFormat="1" applyFont="1" applyFill="1" applyBorder="1" applyAlignment="1" applyProtection="1">
      <alignment horizontal="center" vertical="center" wrapText="1"/>
      <protection locked="0"/>
    </xf>
    <xf numFmtId="14" fontId="277" fillId="0" borderId="1" xfId="0" applyNumberFormat="1" applyFont="1" applyFill="1" applyBorder="1" applyAlignment="1" applyProtection="1">
      <alignment horizontal="center" vertical="center" wrapText="1"/>
      <protection locked="0"/>
    </xf>
    <xf numFmtId="186" fontId="68" fillId="0" borderId="16" xfId="0" applyNumberFormat="1" applyFont="1" applyFill="1" applyBorder="1" applyAlignment="1" applyProtection="1">
      <alignment horizontal="center" vertical="center" wrapText="1"/>
      <protection locked="0"/>
    </xf>
    <xf numFmtId="186" fontId="258" fillId="0" borderId="16" xfId="0" applyNumberFormat="1" applyFont="1" applyFill="1" applyBorder="1" applyAlignment="1" applyProtection="1">
      <alignment horizontal="center" vertical="center" wrapText="1"/>
      <protection locked="0"/>
    </xf>
    <xf numFmtId="196" fontId="257" fillId="0" borderId="16" xfId="0" applyNumberFormat="1" applyFont="1" applyFill="1" applyBorder="1" applyAlignment="1" applyProtection="1">
      <alignment horizontal="center" vertical="center"/>
      <protection locked="0"/>
    </xf>
    <xf numFmtId="186" fontId="257" fillId="0" borderId="16" xfId="0" applyNumberFormat="1" applyFont="1" applyFill="1" applyBorder="1" applyAlignment="1" applyProtection="1">
      <alignment horizontal="center" vertical="center" wrapText="1"/>
      <protection locked="0"/>
    </xf>
    <xf numFmtId="0" fontId="258" fillId="0" borderId="1" xfId="0" applyFont="1" applyFill="1" applyBorder="1" applyAlignment="1" applyProtection="1">
      <alignment horizontal="center" vertical="center" wrapText="1"/>
      <protection locked="0"/>
    </xf>
    <xf numFmtId="0" fontId="257" fillId="0" borderId="16" xfId="0" applyFont="1" applyFill="1" applyBorder="1" applyAlignment="1" applyProtection="1">
      <alignment horizontal="center" vertical="center" wrapText="1"/>
    </xf>
    <xf numFmtId="187" fontId="257" fillId="0" borderId="16" xfId="0" applyNumberFormat="1" applyFont="1" applyFill="1" applyBorder="1" applyAlignment="1" applyProtection="1">
      <alignment horizontal="center" vertical="center"/>
      <protection locked="0"/>
    </xf>
    <xf numFmtId="187" fontId="257" fillId="0" borderId="16" xfId="0" applyNumberFormat="1" applyFont="1" applyFill="1" applyBorder="1" applyAlignment="1" applyProtection="1">
      <alignment horizontal="center" vertical="center"/>
    </xf>
    <xf numFmtId="193" fontId="258" fillId="0" borderId="1" xfId="0" applyNumberFormat="1" applyFont="1" applyFill="1" applyBorder="1" applyAlignment="1" applyProtection="1">
      <alignment horizontal="center" vertical="center" wrapText="1"/>
      <protection locked="0"/>
    </xf>
    <xf numFmtId="0" fontId="256" fillId="0" borderId="0" xfId="0" applyFont="1" applyFill="1" applyProtection="1">
      <alignment vertical="center"/>
      <protection locked="0"/>
    </xf>
    <xf numFmtId="196" fontId="257" fillId="0" borderId="1" xfId="0" applyNumberFormat="1" applyFont="1" applyFill="1" applyBorder="1" applyAlignment="1" applyProtection="1">
      <alignment horizontal="center" vertical="center"/>
      <protection locked="0"/>
    </xf>
    <xf numFmtId="0" fontId="258" fillId="0" borderId="9" xfId="0" applyFont="1" applyFill="1" applyBorder="1" applyAlignment="1" applyProtection="1">
      <alignment horizontal="center" vertical="center"/>
      <protection locked="0"/>
    </xf>
    <xf numFmtId="187" fontId="257" fillId="0" borderId="9" xfId="0" applyNumberFormat="1" applyFont="1" applyFill="1" applyBorder="1" applyAlignment="1" applyProtection="1">
      <alignment horizontal="center" vertical="center"/>
      <protection locked="0"/>
    </xf>
    <xf numFmtId="193" fontId="258" fillId="0" borderId="9" xfId="0" applyNumberFormat="1" applyFont="1" applyFill="1" applyBorder="1" applyAlignment="1" applyProtection="1">
      <alignment horizontal="center" vertical="center" wrapText="1"/>
      <protection locked="0"/>
    </xf>
    <xf numFmtId="188" fontId="257" fillId="0" borderId="9" xfId="0" applyNumberFormat="1" applyFont="1" applyFill="1" applyBorder="1" applyAlignment="1" applyProtection="1">
      <alignment horizontal="center" vertical="center"/>
    </xf>
    <xf numFmtId="49" fontId="258" fillId="0" borderId="9" xfId="0" applyNumberFormat="1" applyFont="1" applyFill="1" applyBorder="1" applyAlignment="1" applyProtection="1">
      <alignment horizontal="center" vertical="center" wrapText="1"/>
      <protection locked="0"/>
    </xf>
    <xf numFmtId="0" fontId="257" fillId="0" borderId="9" xfId="0" applyFont="1" applyFill="1" applyBorder="1" applyAlignment="1" applyProtection="1">
      <alignment horizontal="center" vertical="center" wrapText="1"/>
      <protection locked="0"/>
    </xf>
    <xf numFmtId="0" fontId="257" fillId="0" borderId="9" xfId="0" applyNumberFormat="1" applyFont="1" applyFill="1" applyBorder="1" applyAlignment="1" applyProtection="1">
      <alignment horizontal="center" vertical="center" shrinkToFit="1"/>
      <protection locked="0"/>
    </xf>
    <xf numFmtId="0" fontId="257" fillId="0" borderId="9" xfId="0" applyFont="1" applyFill="1" applyBorder="1" applyAlignment="1" applyProtection="1">
      <alignment horizontal="center" vertical="center"/>
      <protection locked="0"/>
    </xf>
    <xf numFmtId="190" fontId="258" fillId="0" borderId="9" xfId="0" applyNumberFormat="1" applyFont="1" applyFill="1" applyBorder="1" applyAlignment="1" applyProtection="1">
      <alignment horizontal="center" vertical="center" wrapText="1" shrinkToFit="1"/>
      <protection locked="0"/>
    </xf>
    <xf numFmtId="190" fontId="258" fillId="0" borderId="9" xfId="0" applyNumberFormat="1" applyFont="1" applyFill="1" applyBorder="1" applyAlignment="1" applyProtection="1">
      <alignment horizontal="center" vertical="center" wrapText="1" shrinkToFit="1"/>
    </xf>
    <xf numFmtId="0" fontId="257" fillId="0" borderId="9" xfId="0" applyFont="1" applyFill="1" applyBorder="1" applyAlignment="1" applyProtection="1">
      <alignment horizontal="justify" vertical="center" wrapText="1"/>
      <protection locked="0"/>
    </xf>
    <xf numFmtId="0" fontId="277" fillId="0" borderId="9" xfId="0" applyNumberFormat="1" applyFont="1" applyFill="1" applyBorder="1" applyAlignment="1" applyProtection="1">
      <alignment horizontal="center" vertical="center" wrapText="1"/>
      <protection locked="0"/>
    </xf>
    <xf numFmtId="14" fontId="277" fillId="0" borderId="9" xfId="0" applyNumberFormat="1" applyFont="1" applyFill="1" applyBorder="1" applyAlignment="1" applyProtection="1">
      <alignment horizontal="center" vertical="center" wrapText="1"/>
      <protection locked="0"/>
    </xf>
    <xf numFmtId="196" fontId="257" fillId="0" borderId="9" xfId="0" applyNumberFormat="1" applyFont="1" applyFill="1" applyBorder="1" applyAlignment="1" applyProtection="1">
      <alignment horizontal="center" vertical="center"/>
      <protection locked="0"/>
    </xf>
    <xf numFmtId="0" fontId="258" fillId="0" borderId="6" xfId="0" applyFont="1" applyFill="1" applyBorder="1" applyAlignment="1" applyProtection="1">
      <alignment horizontal="center" vertical="center" wrapText="1"/>
      <protection locked="0"/>
    </xf>
    <xf numFmtId="186" fontId="257" fillId="0" borderId="23" xfId="0" applyNumberFormat="1" applyFont="1" applyFill="1" applyBorder="1" applyAlignment="1" applyProtection="1">
      <alignment horizontal="center" vertical="center" wrapText="1"/>
      <protection locked="0"/>
    </xf>
    <xf numFmtId="0" fontId="257" fillId="0" borderId="13" xfId="0" applyFont="1" applyFill="1" applyBorder="1" applyAlignment="1" applyProtection="1">
      <alignment horizontal="center" vertical="center"/>
      <protection locked="0"/>
    </xf>
    <xf numFmtId="0" fontId="257" fillId="0" borderId="9" xfId="0" applyFont="1" applyFill="1" applyBorder="1" applyAlignment="1" applyProtection="1">
      <alignment horizontal="center" vertical="center" wrapText="1"/>
    </xf>
    <xf numFmtId="187" fontId="257" fillId="0" borderId="9" xfId="0" applyNumberFormat="1" applyFont="1" applyFill="1" applyBorder="1" applyAlignment="1" applyProtection="1">
      <alignment horizontal="center" vertical="center"/>
    </xf>
    <xf numFmtId="0" fontId="258" fillId="0" borderId="16" xfId="0" applyFont="1" applyFill="1" applyBorder="1" applyAlignment="1" applyProtection="1">
      <alignment horizontal="center" vertical="center"/>
      <protection locked="0"/>
    </xf>
    <xf numFmtId="193" fontId="258" fillId="0" borderId="16" xfId="0" applyNumberFormat="1" applyFont="1" applyFill="1" applyBorder="1" applyAlignment="1" applyProtection="1">
      <alignment horizontal="center" vertical="center" wrapText="1"/>
      <protection locked="0"/>
    </xf>
    <xf numFmtId="187" fontId="257" fillId="0" borderId="9" xfId="0" applyNumberFormat="1" applyFont="1" applyFill="1" applyBorder="1" applyAlignment="1" applyProtection="1">
      <alignment horizontal="center" vertical="center" wrapText="1"/>
    </xf>
    <xf numFmtId="187" fontId="257" fillId="0" borderId="10" xfId="0" applyNumberFormat="1" applyFont="1" applyFill="1" applyBorder="1" applyAlignment="1" applyProtection="1">
      <alignment horizontal="center" vertical="center" wrapText="1"/>
    </xf>
    <xf numFmtId="182" fontId="258" fillId="0" borderId="1" xfId="0" applyNumberFormat="1" applyFont="1" applyFill="1" applyBorder="1" applyAlignment="1" applyProtection="1">
      <alignment horizontal="center" vertical="center"/>
      <protection locked="0"/>
    </xf>
    <xf numFmtId="0" fontId="258" fillId="3" borderId="0" xfId="0" applyFont="1" applyFill="1" applyAlignment="1" applyProtection="1">
      <alignment horizontal="center" vertical="center"/>
      <protection locked="0"/>
    </xf>
    <xf numFmtId="187" fontId="257" fillId="3" borderId="0" xfId="0" applyNumberFormat="1" applyFont="1" applyFill="1" applyAlignment="1" applyProtection="1">
      <alignment horizontal="center" vertical="center"/>
      <protection locked="0"/>
    </xf>
    <xf numFmtId="193" fontId="258" fillId="3" borderId="0" xfId="0" applyNumberFormat="1" applyFont="1" applyFill="1" applyAlignment="1" applyProtection="1">
      <alignment horizontal="center" vertical="center" wrapText="1"/>
      <protection locked="0"/>
    </xf>
    <xf numFmtId="186" fontId="46" fillId="3" borderId="1" xfId="0" applyNumberFormat="1" applyFont="1" applyFill="1" applyBorder="1" applyAlignment="1" applyProtection="1">
      <alignment horizontal="center" vertical="center" wrapText="1"/>
      <protection locked="0"/>
    </xf>
    <xf numFmtId="14" fontId="290" fillId="0" borderId="9" xfId="0" applyNumberFormat="1" applyFont="1" applyFill="1" applyBorder="1" applyAlignment="1" applyProtection="1">
      <alignment horizontal="center" vertical="center"/>
      <protection locked="0"/>
    </xf>
    <xf numFmtId="187" fontId="46" fillId="0" borderId="9" xfId="0" applyNumberFormat="1" applyFont="1" applyFill="1" applyBorder="1" applyAlignment="1" applyProtection="1">
      <alignment horizontal="center" vertical="center"/>
      <protection locked="0"/>
    </xf>
    <xf numFmtId="187" fontId="46" fillId="0" borderId="9" xfId="0" applyNumberFormat="1" applyFont="1" applyFill="1" applyBorder="1" applyAlignment="1" applyProtection="1">
      <alignment horizontal="center" vertical="center" wrapText="1"/>
      <protection locked="0"/>
    </xf>
    <xf numFmtId="187" fontId="46" fillId="0" borderId="10" xfId="0" applyNumberFormat="1" applyFont="1" applyFill="1" applyBorder="1" applyAlignment="1" applyProtection="1">
      <alignment horizontal="center" vertical="center" wrapText="1"/>
      <protection locked="0"/>
    </xf>
    <xf numFmtId="0" fontId="36" fillId="0" borderId="9" xfId="0" applyFont="1" applyFill="1" applyBorder="1" applyAlignment="1" applyProtection="1">
      <alignment horizontal="center" vertical="center"/>
      <protection locked="0"/>
    </xf>
    <xf numFmtId="188" fontId="46" fillId="0" borderId="0" xfId="0" applyNumberFormat="1" applyFont="1" applyFill="1" applyBorder="1" applyAlignment="1" applyProtection="1">
      <alignment horizontal="center" vertical="center"/>
    </xf>
    <xf numFmtId="49" fontId="36" fillId="0" borderId="0" xfId="0" applyNumberFormat="1" applyFont="1" applyFill="1" applyBorder="1" applyAlignment="1" applyProtection="1">
      <alignment horizontal="center" vertical="center" wrapText="1"/>
      <protection locked="0"/>
    </xf>
    <xf numFmtId="0" fontId="46" fillId="0" borderId="0" xfId="0" applyFont="1" applyFill="1" applyBorder="1" applyAlignment="1" applyProtection="1">
      <alignment horizontal="center" vertical="center" wrapText="1"/>
      <protection locked="0"/>
    </xf>
    <xf numFmtId="0" fontId="46" fillId="0" borderId="0" xfId="0" applyNumberFormat="1" applyFont="1" applyFill="1" applyBorder="1" applyAlignment="1" applyProtection="1">
      <alignment horizontal="center" vertical="center" shrinkToFit="1"/>
      <protection locked="0"/>
    </xf>
    <xf numFmtId="0" fontId="69" fillId="0" borderId="0" xfId="0" applyFont="1" applyFill="1" applyBorder="1" applyAlignment="1" applyProtection="1">
      <alignment horizontal="center" vertical="center"/>
      <protection locked="0"/>
    </xf>
    <xf numFmtId="187" fontId="46" fillId="0" borderId="23" xfId="0" applyNumberFormat="1" applyFont="1" applyFill="1" applyBorder="1" applyAlignment="1" applyProtection="1">
      <alignment horizontal="center" vertical="center" wrapText="1"/>
      <protection locked="0"/>
    </xf>
    <xf numFmtId="0" fontId="36" fillId="0" borderId="23" xfId="0" applyFont="1" applyFill="1" applyBorder="1" applyProtection="1">
      <alignment vertical="center"/>
      <protection locked="0"/>
    </xf>
    <xf numFmtId="0" fontId="36" fillId="0" borderId="23" xfId="0" applyFont="1" applyFill="1" applyBorder="1" applyAlignment="1" applyProtection="1">
      <alignment horizontal="center" vertical="center"/>
      <protection locked="0"/>
    </xf>
    <xf numFmtId="193" fontId="36" fillId="0" borderId="23" xfId="0" applyNumberFormat="1" applyFont="1" applyFill="1" applyBorder="1" applyAlignment="1" applyProtection="1">
      <alignment horizontal="center" vertical="center" wrapText="1"/>
      <protection locked="0"/>
    </xf>
    <xf numFmtId="188" fontId="303" fillId="0" borderId="1" xfId="0" applyNumberFormat="1" applyFont="1" applyFill="1" applyBorder="1" applyAlignment="1" applyProtection="1">
      <alignment horizontal="center" vertical="center"/>
    </xf>
    <xf numFmtId="49" fontId="306" fillId="0" borderId="1" xfId="0" applyNumberFormat="1" applyFont="1" applyFill="1" applyBorder="1" applyAlignment="1" applyProtection="1">
      <alignment horizontal="center" vertical="center" wrapText="1"/>
      <protection locked="0"/>
    </xf>
    <xf numFmtId="0" fontId="303" fillId="0" borderId="1" xfId="0" applyNumberFormat="1" applyFont="1" applyFill="1" applyBorder="1" applyAlignment="1" applyProtection="1">
      <alignment horizontal="center" vertical="center" shrinkToFit="1"/>
      <protection locked="0"/>
    </xf>
    <xf numFmtId="0" fontId="303" fillId="0" borderId="1" xfId="0" applyFont="1" applyFill="1" applyBorder="1" applyAlignment="1" applyProtection="1">
      <alignment horizontal="center" vertical="center"/>
      <protection locked="0"/>
    </xf>
    <xf numFmtId="190" fontId="306" fillId="0" borderId="1" xfId="0" applyNumberFormat="1" applyFont="1" applyFill="1" applyBorder="1" applyAlignment="1" applyProtection="1">
      <alignment horizontal="center" vertical="center" wrapText="1" shrinkToFit="1"/>
      <protection locked="0"/>
    </xf>
    <xf numFmtId="190" fontId="306" fillId="0" borderId="1" xfId="0" applyNumberFormat="1" applyFont="1" applyFill="1" applyBorder="1" applyAlignment="1" applyProtection="1">
      <alignment horizontal="center" vertical="center" wrapText="1" shrinkToFit="1"/>
    </xf>
    <xf numFmtId="14" fontId="305" fillId="0" borderId="1" xfId="0" applyNumberFormat="1" applyFont="1" applyFill="1" applyBorder="1" applyAlignment="1" applyProtection="1">
      <alignment horizontal="center" vertical="center" wrapText="1"/>
      <protection locked="0"/>
    </xf>
    <xf numFmtId="186" fontId="303" fillId="0" borderId="1" xfId="0" applyNumberFormat="1" applyFont="1" applyFill="1" applyBorder="1" applyAlignment="1" applyProtection="1">
      <alignment horizontal="center" vertical="center" wrapText="1"/>
      <protection locked="0"/>
    </xf>
    <xf numFmtId="196" fontId="303" fillId="0" borderId="1" xfId="0" applyNumberFormat="1" applyFont="1" applyFill="1" applyBorder="1" applyAlignment="1" applyProtection="1">
      <alignment horizontal="center" vertical="center"/>
      <protection locked="0"/>
    </xf>
    <xf numFmtId="0" fontId="306" fillId="0" borderId="1" xfId="0" applyFont="1" applyFill="1" applyBorder="1" applyAlignment="1" applyProtection="1">
      <alignment horizontal="center" vertical="center" wrapText="1"/>
      <protection locked="0"/>
    </xf>
    <xf numFmtId="0" fontId="303" fillId="0" borderId="1" xfId="0" applyFont="1" applyFill="1" applyBorder="1" applyAlignment="1" applyProtection="1">
      <alignment horizontal="center" vertical="center" wrapText="1"/>
    </xf>
    <xf numFmtId="187" fontId="303" fillId="0" borderId="1" xfId="0" applyNumberFormat="1" applyFont="1" applyFill="1" applyBorder="1" applyAlignment="1" applyProtection="1">
      <alignment horizontal="center" vertical="center"/>
      <protection locked="0"/>
    </xf>
    <xf numFmtId="187" fontId="303" fillId="0" borderId="1" xfId="0" applyNumberFormat="1" applyFont="1" applyFill="1" applyBorder="1" applyAlignment="1" applyProtection="1">
      <alignment horizontal="center" vertical="center"/>
    </xf>
    <xf numFmtId="187" fontId="303" fillId="0" borderId="9" xfId="0" applyNumberFormat="1" applyFont="1" applyFill="1" applyBorder="1" applyAlignment="1" applyProtection="1">
      <alignment horizontal="center" vertical="center" wrapText="1"/>
    </xf>
    <xf numFmtId="187" fontId="303" fillId="0" borderId="10" xfId="0" applyNumberFormat="1" applyFont="1" applyFill="1" applyBorder="1" applyAlignment="1" applyProtection="1">
      <alignment horizontal="center" vertical="center" wrapText="1"/>
    </xf>
    <xf numFmtId="187" fontId="303" fillId="3" borderId="1" xfId="0" applyNumberFormat="1" applyFont="1" applyFill="1" applyBorder="1" applyAlignment="1" applyProtection="1">
      <alignment horizontal="center" vertical="center"/>
      <protection locked="0"/>
    </xf>
    <xf numFmtId="182" fontId="303" fillId="3" borderId="1" xfId="0" applyNumberFormat="1" applyFont="1" applyFill="1" applyBorder="1" applyAlignment="1" applyProtection="1">
      <alignment horizontal="center" vertical="center"/>
      <protection locked="0"/>
    </xf>
    <xf numFmtId="182" fontId="303" fillId="3" borderId="6" xfId="0" applyNumberFormat="1" applyFont="1" applyFill="1" applyBorder="1" applyAlignment="1" applyProtection="1">
      <alignment horizontal="center" vertical="center" wrapText="1"/>
      <protection locked="0"/>
    </xf>
    <xf numFmtId="0" fontId="306" fillId="0" borderId="1" xfId="0" applyFont="1" applyFill="1" applyBorder="1" applyAlignment="1" applyProtection="1">
      <alignment horizontal="center" vertical="center"/>
      <protection locked="0"/>
    </xf>
    <xf numFmtId="0" fontId="306" fillId="0" borderId="0" xfId="0" applyFont="1" applyFill="1" applyAlignment="1" applyProtection="1">
      <alignment horizontal="center" vertical="center"/>
      <protection locked="0"/>
    </xf>
    <xf numFmtId="193" fontId="306" fillId="0" borderId="0" xfId="0" applyNumberFormat="1" applyFont="1" applyFill="1" applyAlignment="1" applyProtection="1">
      <alignment horizontal="center" vertical="center" wrapText="1"/>
      <protection locked="0"/>
    </xf>
    <xf numFmtId="0" fontId="319" fillId="0" borderId="0" xfId="0" applyFont="1" applyFill="1" applyProtection="1">
      <alignment vertical="center"/>
      <protection locked="0"/>
    </xf>
    <xf numFmtId="0" fontId="303" fillId="0" borderId="1" xfId="0" applyFont="1" applyFill="1" applyBorder="1" applyAlignment="1" applyProtection="1">
      <alignment horizontal="justify" vertical="center" wrapText="1"/>
      <protection locked="0"/>
    </xf>
    <xf numFmtId="186" fontId="303" fillId="0" borderId="16" xfId="0" applyNumberFormat="1" applyFont="1" applyFill="1" applyBorder="1" applyAlignment="1" applyProtection="1">
      <alignment horizontal="center" vertical="center" wrapText="1"/>
      <protection locked="0"/>
    </xf>
    <xf numFmtId="187" fontId="303" fillId="0" borderId="1" xfId="0" applyNumberFormat="1" applyFont="1" applyFill="1" applyBorder="1" applyAlignment="1" applyProtection="1">
      <alignment horizontal="center" vertical="center" wrapText="1"/>
    </xf>
    <xf numFmtId="193" fontId="306" fillId="0" borderId="1" xfId="0" applyNumberFormat="1" applyFont="1" applyFill="1" applyBorder="1" applyAlignment="1" applyProtection="1">
      <alignment horizontal="center" vertical="center" wrapText="1"/>
      <protection locked="0"/>
    </xf>
    <xf numFmtId="0" fontId="306" fillId="0" borderId="1" xfId="0" applyFont="1" applyFill="1" applyBorder="1" applyProtection="1">
      <alignment vertical="center"/>
      <protection locked="0"/>
    </xf>
    <xf numFmtId="187" fontId="257" fillId="0" borderId="9" xfId="0" applyNumberFormat="1" applyFont="1" applyFill="1" applyBorder="1" applyAlignment="1" applyProtection="1">
      <alignment horizontal="center" vertical="center" wrapText="1"/>
      <protection locked="0"/>
    </xf>
    <xf numFmtId="1" fontId="258" fillId="0" borderId="9" xfId="0" applyNumberFormat="1" applyFont="1" applyFill="1" applyBorder="1" applyAlignment="1" applyProtection="1">
      <alignment horizontal="center" vertical="center"/>
      <protection locked="0"/>
    </xf>
    <xf numFmtId="0" fontId="258" fillId="0" borderId="13" xfId="0" applyFont="1" applyFill="1" applyBorder="1" applyAlignment="1" applyProtection="1">
      <alignment horizontal="center" vertical="center"/>
      <protection locked="0"/>
    </xf>
    <xf numFmtId="187" fontId="257" fillId="3" borderId="1" xfId="0" applyNumberFormat="1" applyFont="1" applyFill="1" applyBorder="1" applyAlignment="1" applyProtection="1">
      <alignment horizontal="center" vertical="center"/>
    </xf>
    <xf numFmtId="187" fontId="257" fillId="0" borderId="6" xfId="0" applyNumberFormat="1" applyFont="1" applyFill="1" applyBorder="1" applyAlignment="1" applyProtection="1">
      <alignment horizontal="center" vertical="center"/>
    </xf>
    <xf numFmtId="187" fontId="257" fillId="0" borderId="23" xfId="0" applyNumberFormat="1" applyFont="1" applyFill="1" applyBorder="1" applyAlignment="1" applyProtection="1">
      <alignment horizontal="center" vertical="center"/>
    </xf>
    <xf numFmtId="187" fontId="257" fillId="0" borderId="23" xfId="0" applyNumberFormat="1" applyFont="1" applyFill="1" applyBorder="1" applyAlignment="1" applyProtection="1">
      <alignment horizontal="center" vertical="center" wrapText="1"/>
    </xf>
    <xf numFmtId="0" fontId="258" fillId="0" borderId="23" xfId="0" applyFont="1" applyFill="1" applyBorder="1" applyAlignment="1" applyProtection="1">
      <alignment horizontal="center" vertical="center"/>
      <protection locked="0"/>
    </xf>
    <xf numFmtId="0" fontId="258" fillId="3" borderId="23" xfId="0" applyFont="1" applyFill="1" applyBorder="1" applyAlignment="1" applyProtection="1">
      <alignment horizontal="center" vertical="center"/>
      <protection locked="0"/>
    </xf>
    <xf numFmtId="187" fontId="257" fillId="3" borderId="23" xfId="0" applyNumberFormat="1" applyFont="1" applyFill="1" applyBorder="1" applyAlignment="1" applyProtection="1">
      <alignment horizontal="center" vertical="center"/>
      <protection locked="0"/>
    </xf>
    <xf numFmtId="193" fontId="258" fillId="3" borderId="23" xfId="0" applyNumberFormat="1" applyFont="1" applyFill="1" applyBorder="1" applyAlignment="1" applyProtection="1">
      <alignment horizontal="center" vertical="center" wrapText="1"/>
      <protection locked="0"/>
    </xf>
    <xf numFmtId="0" fontId="258" fillId="0" borderId="14" xfId="0" applyFont="1" applyFill="1" applyBorder="1" applyProtection="1">
      <alignment vertical="center"/>
      <protection locked="0"/>
    </xf>
    <xf numFmtId="0" fontId="258" fillId="0" borderId="16" xfId="0" applyFont="1" applyFill="1" applyBorder="1" applyProtection="1">
      <alignment vertical="center"/>
      <protection locked="0"/>
    </xf>
    <xf numFmtId="182" fontId="258" fillId="0" borderId="23" xfId="0" applyNumberFormat="1" applyFont="1" applyFill="1" applyBorder="1" applyAlignment="1" applyProtection="1">
      <alignment horizontal="center" vertical="center"/>
      <protection locked="0"/>
    </xf>
    <xf numFmtId="188" fontId="33" fillId="0" borderId="1" xfId="0" applyNumberFormat="1" applyFont="1" applyFill="1" applyBorder="1" applyAlignment="1" applyProtection="1">
      <alignment horizontal="center" vertical="center"/>
    </xf>
    <xf numFmtId="49" fontId="34" fillId="0" borderId="1" xfId="0" applyNumberFormat="1" applyFont="1" applyFill="1" applyBorder="1" applyAlignment="1" applyProtection="1">
      <alignment horizontal="center" vertical="center" wrapText="1"/>
      <protection locked="0"/>
    </xf>
    <xf numFmtId="0" fontId="33" fillId="0" borderId="1" xfId="0" applyNumberFormat="1" applyFont="1" applyFill="1" applyBorder="1" applyAlignment="1" applyProtection="1">
      <alignment horizontal="center" vertical="center" shrinkToFit="1"/>
      <protection locked="0"/>
    </xf>
    <xf numFmtId="190" fontId="34" fillId="0" borderId="1" xfId="0" applyNumberFormat="1" applyFont="1" applyFill="1" applyBorder="1" applyAlignment="1" applyProtection="1">
      <alignment horizontal="center" vertical="center" wrapText="1" shrinkToFit="1"/>
      <protection locked="0"/>
    </xf>
    <xf numFmtId="190" fontId="53" fillId="0" borderId="1" xfId="0" applyNumberFormat="1" applyFont="1" applyFill="1" applyBorder="1" applyAlignment="1" applyProtection="1">
      <alignment horizontal="center" vertical="center" wrapText="1" shrinkToFit="1"/>
    </xf>
    <xf numFmtId="14" fontId="34" fillId="0" borderId="1" xfId="0" applyNumberFormat="1" applyFont="1" applyFill="1" applyBorder="1" applyAlignment="1" applyProtection="1">
      <alignment horizontal="center" vertical="center" wrapText="1"/>
      <protection locked="0"/>
    </xf>
    <xf numFmtId="0" fontId="34" fillId="0" borderId="1" xfId="0" applyFont="1" applyFill="1" applyBorder="1" applyAlignment="1" applyProtection="1">
      <alignment horizontal="center" vertical="center"/>
      <protection locked="0"/>
    </xf>
    <xf numFmtId="0" fontId="33" fillId="0" borderId="1" xfId="0" applyFont="1" applyFill="1" applyBorder="1" applyAlignment="1" applyProtection="1">
      <alignment horizontal="center" vertical="center" wrapText="1"/>
    </xf>
    <xf numFmtId="187" fontId="33" fillId="0" borderId="1" xfId="0" applyNumberFormat="1" applyFont="1" applyFill="1" applyBorder="1" applyAlignment="1" applyProtection="1">
      <alignment horizontal="center" vertical="center"/>
    </xf>
    <xf numFmtId="187" fontId="33" fillId="0" borderId="6" xfId="0" applyNumberFormat="1" applyFont="1" applyFill="1" applyBorder="1" applyAlignment="1" applyProtection="1">
      <alignment horizontal="center" vertical="center" wrapText="1"/>
    </xf>
    <xf numFmtId="187" fontId="33" fillId="0" borderId="23" xfId="0" applyNumberFormat="1" applyFont="1" applyFill="1" applyBorder="1" applyAlignment="1" applyProtection="1">
      <alignment horizontal="center" vertical="center" wrapText="1"/>
    </xf>
    <xf numFmtId="0" fontId="33" fillId="3" borderId="23" xfId="0" applyFont="1" applyFill="1" applyBorder="1" applyAlignment="1" applyProtection="1">
      <alignment horizontal="center" vertical="center" wrapText="1"/>
      <protection locked="0"/>
    </xf>
    <xf numFmtId="182" fontId="33" fillId="3" borderId="23" xfId="0" applyNumberFormat="1" applyFont="1" applyFill="1" applyBorder="1" applyAlignment="1" applyProtection="1">
      <alignment horizontal="center" vertical="center" wrapText="1"/>
      <protection locked="0"/>
    </xf>
    <xf numFmtId="187" fontId="33" fillId="0" borderId="23" xfId="0" applyNumberFormat="1" applyFont="1" applyFill="1" applyBorder="1" applyAlignment="1" applyProtection="1">
      <alignment horizontal="center" vertical="center" wrapText="1"/>
      <protection locked="0"/>
    </xf>
    <xf numFmtId="0" fontId="34" fillId="0" borderId="7" xfId="0" applyFont="1" applyFill="1" applyBorder="1" applyProtection="1">
      <alignment vertical="center"/>
      <protection locked="0"/>
    </xf>
    <xf numFmtId="188" fontId="33" fillId="4" borderId="1" xfId="0" applyNumberFormat="1" applyFont="1" applyFill="1" applyBorder="1" applyAlignment="1" applyProtection="1">
      <alignment horizontal="center" vertical="center"/>
    </xf>
    <xf numFmtId="49" fontId="34" fillId="4" borderId="1" xfId="0" applyNumberFormat="1" applyFont="1" applyFill="1" applyBorder="1" applyAlignment="1" applyProtection="1">
      <alignment horizontal="center" vertical="center" wrapText="1"/>
      <protection locked="0"/>
    </xf>
    <xf numFmtId="0" fontId="33" fillId="4" borderId="1" xfId="0" applyNumberFormat="1" applyFont="1" applyFill="1" applyBorder="1" applyAlignment="1" applyProtection="1">
      <alignment horizontal="center" vertical="center" shrinkToFit="1"/>
      <protection locked="0"/>
    </xf>
    <xf numFmtId="190" fontId="34" fillId="4" borderId="1" xfId="0" applyNumberFormat="1" applyFont="1" applyFill="1" applyBorder="1" applyAlignment="1" applyProtection="1">
      <alignment horizontal="center" vertical="center" wrapText="1" shrinkToFit="1"/>
      <protection locked="0"/>
    </xf>
    <xf numFmtId="190" fontId="53" fillId="4" borderId="1" xfId="0" applyNumberFormat="1" applyFont="1" applyFill="1" applyBorder="1" applyAlignment="1" applyProtection="1">
      <alignment horizontal="center" vertical="center" wrapText="1" shrinkToFit="1"/>
    </xf>
    <xf numFmtId="14" fontId="34" fillId="4" borderId="1" xfId="0" applyNumberFormat="1" applyFont="1" applyFill="1" applyBorder="1" applyAlignment="1" applyProtection="1">
      <alignment horizontal="center" vertical="center" wrapText="1"/>
      <protection locked="0"/>
    </xf>
    <xf numFmtId="0" fontId="291" fillId="4" borderId="1" xfId="0" applyNumberFormat="1" applyFont="1" applyFill="1" applyBorder="1" applyAlignment="1" applyProtection="1">
      <alignment horizontal="center" vertical="center" wrapText="1"/>
      <protection locked="0"/>
    </xf>
    <xf numFmtId="14" fontId="41" fillId="4" borderId="1" xfId="0" applyNumberFormat="1" applyFont="1" applyFill="1" applyBorder="1" applyAlignment="1" applyProtection="1">
      <alignment horizontal="center" vertical="center" wrapText="1"/>
      <protection locked="0"/>
    </xf>
    <xf numFmtId="14" fontId="295" fillId="4" borderId="1" xfId="0" applyNumberFormat="1" applyFont="1" applyFill="1" applyBorder="1" applyAlignment="1" applyProtection="1">
      <alignment horizontal="center" vertical="center" wrapText="1"/>
      <protection locked="0"/>
    </xf>
    <xf numFmtId="186" fontId="33" fillId="4" borderId="1" xfId="0" applyNumberFormat="1" applyFont="1" applyFill="1" applyBorder="1" applyAlignment="1" applyProtection="1">
      <alignment horizontal="center" vertical="center" wrapText="1"/>
      <protection locked="0"/>
    </xf>
    <xf numFmtId="186" fontId="34" fillId="4" borderId="9" xfId="0" applyNumberFormat="1" applyFont="1" applyFill="1" applyBorder="1" applyAlignment="1" applyProtection="1">
      <alignment horizontal="center" vertical="center" wrapText="1"/>
      <protection locked="0"/>
    </xf>
    <xf numFmtId="186" fontId="34" fillId="4" borderId="1" xfId="0" applyNumberFormat="1" applyFont="1" applyFill="1" applyBorder="1" applyAlignment="1" applyProtection="1">
      <alignment horizontal="center" vertical="center" wrapText="1"/>
      <protection locked="0"/>
    </xf>
    <xf numFmtId="0" fontId="50" fillId="4" borderId="1" xfId="0" applyFont="1" applyFill="1" applyBorder="1" applyAlignment="1" applyProtection="1">
      <alignment horizontal="center" vertical="center"/>
      <protection locked="0"/>
    </xf>
    <xf numFmtId="0" fontId="34" fillId="4" borderId="1" xfId="0" applyFont="1" applyFill="1" applyBorder="1" applyAlignment="1" applyProtection="1">
      <alignment horizontal="center" vertical="center"/>
      <protection locked="0"/>
    </xf>
    <xf numFmtId="186" fontId="33" fillId="4" borderId="9" xfId="0" applyNumberFormat="1" applyFont="1" applyFill="1" applyBorder="1" applyAlignment="1" applyProtection="1">
      <alignment horizontal="center" vertical="center" wrapText="1"/>
      <protection locked="0"/>
    </xf>
    <xf numFmtId="0" fontId="33" fillId="4" borderId="1" xfId="0" applyFont="1" applyFill="1" applyBorder="1" applyAlignment="1" applyProtection="1">
      <alignment horizontal="center" vertical="center" wrapText="1"/>
    </xf>
    <xf numFmtId="187" fontId="33" fillId="4" borderId="1" xfId="0" applyNumberFormat="1" applyFont="1" applyFill="1" applyBorder="1" applyAlignment="1" applyProtection="1">
      <alignment horizontal="center" vertical="center"/>
    </xf>
    <xf numFmtId="187" fontId="33" fillId="4" borderId="1" xfId="0" applyNumberFormat="1" applyFont="1" applyFill="1" applyBorder="1" applyAlignment="1" applyProtection="1">
      <alignment horizontal="center" vertical="center" wrapText="1"/>
      <protection locked="0"/>
    </xf>
    <xf numFmtId="187" fontId="33" fillId="4" borderId="6" xfId="0" applyNumberFormat="1" applyFont="1" applyFill="1" applyBorder="1" applyAlignment="1" applyProtection="1">
      <alignment horizontal="center" vertical="center" wrapText="1"/>
    </xf>
    <xf numFmtId="187" fontId="33" fillId="4" borderId="23" xfId="0" applyNumberFormat="1" applyFont="1" applyFill="1" applyBorder="1" applyAlignment="1" applyProtection="1">
      <alignment horizontal="center" vertical="center" wrapText="1"/>
    </xf>
    <xf numFmtId="0" fontId="33" fillId="4" borderId="23" xfId="0" applyFont="1" applyFill="1" applyBorder="1" applyAlignment="1" applyProtection="1">
      <alignment horizontal="center" vertical="center" wrapText="1"/>
      <protection locked="0"/>
    </xf>
    <xf numFmtId="182" fontId="33" fillId="4" borderId="23" xfId="0" applyNumberFormat="1" applyFont="1" applyFill="1" applyBorder="1" applyAlignment="1" applyProtection="1">
      <alignment horizontal="center" vertical="center" wrapText="1"/>
      <protection locked="0"/>
    </xf>
    <xf numFmtId="187" fontId="33" fillId="4" borderId="23" xfId="0" applyNumberFormat="1" applyFont="1" applyFill="1" applyBorder="1" applyAlignment="1" applyProtection="1">
      <alignment horizontal="center" vertical="center"/>
      <protection locked="0"/>
    </xf>
    <xf numFmtId="187" fontId="33" fillId="4" borderId="23" xfId="0" applyNumberFormat="1" applyFont="1" applyFill="1" applyBorder="1" applyAlignment="1" applyProtection="1">
      <alignment horizontal="center" vertical="center" wrapText="1"/>
      <protection locked="0"/>
    </xf>
    <xf numFmtId="0" fontId="34" fillId="4" borderId="7" xfId="0" applyFont="1" applyFill="1" applyBorder="1" applyProtection="1">
      <alignment vertical="center"/>
      <protection locked="0"/>
    </xf>
    <xf numFmtId="0" fontId="34" fillId="4" borderId="1" xfId="0" applyFont="1" applyFill="1" applyBorder="1" applyProtection="1">
      <alignment vertical="center"/>
      <protection locked="0"/>
    </xf>
    <xf numFmtId="0" fontId="34" fillId="4" borderId="0" xfId="0" applyFont="1" applyFill="1" applyAlignment="1" applyProtection="1">
      <alignment horizontal="center" vertical="center"/>
      <protection locked="0"/>
    </xf>
    <xf numFmtId="193" fontId="34" fillId="4" borderId="0" xfId="0" applyNumberFormat="1" applyFont="1" applyFill="1" applyAlignment="1" applyProtection="1">
      <alignment horizontal="center" vertical="center" wrapText="1"/>
      <protection locked="0"/>
    </xf>
    <xf numFmtId="0" fontId="0" fillId="4" borderId="1" xfId="0" applyFill="1" applyBorder="1">
      <alignment vertical="center"/>
    </xf>
    <xf numFmtId="188" fontId="49" fillId="0" borderId="1" xfId="0" applyNumberFormat="1" applyFont="1" applyFill="1" applyBorder="1" applyAlignment="1" applyProtection="1">
      <alignment horizontal="center" vertical="center"/>
    </xf>
    <xf numFmtId="49" fontId="53" fillId="0" borderId="1" xfId="0" applyNumberFormat="1" applyFont="1" applyFill="1" applyBorder="1" applyAlignment="1" applyProtection="1">
      <alignment horizontal="center" vertical="center" wrapText="1"/>
      <protection locked="0"/>
    </xf>
    <xf numFmtId="0" fontId="49" fillId="0" borderId="1" xfId="0" applyNumberFormat="1" applyFont="1" applyFill="1" applyBorder="1" applyAlignment="1" applyProtection="1">
      <alignment horizontal="center" vertical="center" shrinkToFit="1"/>
      <protection locked="0"/>
    </xf>
    <xf numFmtId="0" fontId="49" fillId="0" borderId="1" xfId="0" applyFont="1" applyFill="1" applyBorder="1" applyAlignment="1" applyProtection="1">
      <alignment horizontal="center" vertical="center"/>
      <protection locked="0"/>
    </xf>
    <xf numFmtId="190" fontId="53" fillId="0" borderId="1" xfId="0" applyNumberFormat="1" applyFont="1" applyFill="1" applyBorder="1" applyAlignment="1" applyProtection="1">
      <alignment horizontal="center" vertical="center" wrapText="1" shrinkToFit="1"/>
      <protection locked="0"/>
    </xf>
    <xf numFmtId="0" fontId="49" fillId="0" borderId="1" xfId="0" applyFont="1" applyFill="1" applyBorder="1" applyAlignment="1" applyProtection="1">
      <alignment horizontal="justify" vertical="center" wrapText="1"/>
      <protection locked="0"/>
    </xf>
    <xf numFmtId="14" fontId="53" fillId="0" borderId="1" xfId="0" applyNumberFormat="1" applyFont="1" applyFill="1" applyBorder="1" applyAlignment="1" applyProtection="1">
      <alignment horizontal="center" vertical="center" wrapText="1"/>
      <protection locked="0"/>
    </xf>
    <xf numFmtId="0" fontId="320" fillId="0" borderId="1" xfId="0" applyNumberFormat="1" applyFont="1" applyFill="1" applyBorder="1" applyAlignment="1" applyProtection="1">
      <alignment horizontal="center" vertical="center" wrapText="1"/>
      <protection locked="0"/>
    </xf>
    <xf numFmtId="14" fontId="321" fillId="0" borderId="1" xfId="0" applyNumberFormat="1" applyFont="1" applyFill="1" applyBorder="1" applyAlignment="1" applyProtection="1">
      <alignment horizontal="center" vertical="center" wrapText="1"/>
      <protection locked="0"/>
    </xf>
    <xf numFmtId="186" fontId="49" fillId="0" borderId="1" xfId="0" applyNumberFormat="1" applyFont="1" applyFill="1" applyBorder="1" applyAlignment="1" applyProtection="1">
      <alignment horizontal="center" vertical="center" wrapText="1"/>
      <protection locked="0"/>
    </xf>
    <xf numFmtId="196" fontId="49" fillId="0" borderId="1" xfId="0" applyNumberFormat="1" applyFont="1" applyFill="1" applyBorder="1" applyAlignment="1" applyProtection="1">
      <alignment horizontal="center" vertical="center"/>
      <protection locked="0"/>
    </xf>
    <xf numFmtId="0" fontId="53" fillId="0" borderId="1" xfId="0" applyFont="1" applyFill="1" applyBorder="1" applyAlignment="1" applyProtection="1">
      <alignment horizontal="center" vertical="center" wrapText="1"/>
      <protection locked="0"/>
    </xf>
    <xf numFmtId="187" fontId="33" fillId="0" borderId="9" xfId="0" applyNumberFormat="1" applyFont="1" applyFill="1" applyBorder="1" applyAlignment="1" applyProtection="1">
      <alignment horizontal="center" vertical="center" wrapText="1"/>
    </xf>
    <xf numFmtId="187" fontId="33" fillId="0" borderId="10" xfId="0" applyNumberFormat="1" applyFont="1" applyFill="1" applyBorder="1" applyAlignment="1" applyProtection="1">
      <alignment horizontal="center" vertical="center" wrapText="1"/>
    </xf>
    <xf numFmtId="0" fontId="33" fillId="0" borderId="1" xfId="0" applyFont="1" applyFill="1" applyBorder="1" applyAlignment="1" applyProtection="1">
      <alignment horizontal="justify" vertical="center" wrapText="1"/>
      <protection locked="0"/>
    </xf>
    <xf numFmtId="14" fontId="34" fillId="0" borderId="1" xfId="0" applyNumberFormat="1" applyFont="1" applyFill="1" applyBorder="1" applyAlignment="1" applyProtection="1">
      <alignment horizontal="center" vertical="center"/>
      <protection locked="0"/>
    </xf>
    <xf numFmtId="14" fontId="41" fillId="0" borderId="1" xfId="0" applyNumberFormat="1" applyFont="1" applyFill="1" applyBorder="1" applyAlignment="1" applyProtection="1">
      <alignment horizontal="center" vertical="center"/>
      <protection locked="0"/>
    </xf>
    <xf numFmtId="193" fontId="34" fillId="0" borderId="0" xfId="0" applyNumberFormat="1" applyFont="1" applyFill="1" applyBorder="1" applyAlignment="1" applyProtection="1">
      <alignment horizontal="center" vertical="center" wrapText="1"/>
      <protection locked="0"/>
    </xf>
    <xf numFmtId="0" fontId="34" fillId="0" borderId="0" xfId="0" applyFont="1" applyFill="1" applyBorder="1" applyAlignment="1" applyProtection="1">
      <alignment horizontal="center" vertical="center"/>
      <protection locked="0"/>
    </xf>
    <xf numFmtId="0" fontId="33" fillId="0" borderId="0" xfId="0" applyFont="1" applyFill="1" applyAlignment="1" applyProtection="1">
      <alignment horizontal="justify" vertical="center" wrapText="1"/>
      <protection locked="0"/>
    </xf>
    <xf numFmtId="186" fontId="34" fillId="0" borderId="0" xfId="0" applyNumberFormat="1" applyFont="1" applyFill="1" applyBorder="1" applyAlignment="1" applyProtection="1">
      <alignment horizontal="center" vertical="center" wrapText="1"/>
      <protection locked="0"/>
    </xf>
    <xf numFmtId="187" fontId="322" fillId="12" borderId="0" xfId="0" applyNumberFormat="1" applyFont="1" applyFill="1" applyAlignment="1" applyProtection="1">
      <alignment horizontal="center" vertical="center" wrapText="1"/>
      <protection locked="0"/>
    </xf>
    <xf numFmtId="187" fontId="322" fillId="0" borderId="0" xfId="0" applyNumberFormat="1" applyFont="1" applyFill="1" applyAlignment="1" applyProtection="1">
      <alignment horizontal="center" vertical="center" wrapText="1"/>
      <protection locked="0"/>
    </xf>
    <xf numFmtId="187" fontId="322" fillId="0" borderId="1" xfId="0" applyNumberFormat="1" applyFont="1" applyFill="1" applyBorder="1" applyAlignment="1" applyProtection="1">
      <alignment horizontal="center" vertical="center" wrapText="1"/>
      <protection locked="0"/>
    </xf>
    <xf numFmtId="182" fontId="50" fillId="0" borderId="0" xfId="0" applyNumberFormat="1" applyFont="1" applyFill="1" applyAlignment="1" applyProtection="1">
      <alignment horizontal="center" vertical="center"/>
      <protection locked="0"/>
    </xf>
    <xf numFmtId="0" fontId="50" fillId="0" borderId="0" xfId="0" applyFont="1" applyFill="1" applyAlignment="1" applyProtection="1">
      <alignment horizontal="justify" vertical="center" wrapText="1"/>
      <protection locked="0"/>
    </xf>
    <xf numFmtId="187" fontId="62" fillId="0" borderId="0" xfId="0" applyNumberFormat="1" applyFont="1" applyFill="1" applyAlignment="1" applyProtection="1">
      <alignment horizontal="center" vertical="center" wrapText="1"/>
      <protection locked="0"/>
    </xf>
    <xf numFmtId="187" fontId="62" fillId="3" borderId="0" xfId="0" applyNumberFormat="1" applyFont="1" applyFill="1" applyAlignment="1" applyProtection="1">
      <alignment horizontal="center" vertical="center" wrapText="1"/>
      <protection locked="0"/>
    </xf>
    <xf numFmtId="0" fontId="52" fillId="0" borderId="0" xfId="0" applyFont="1" applyFill="1" applyAlignment="1" applyProtection="1">
      <alignment vertical="center" wrapText="1"/>
      <protection locked="0"/>
    </xf>
    <xf numFmtId="0" fontId="33" fillId="0" borderId="0" xfId="0" applyNumberFormat="1" applyFont="1" applyFill="1" applyAlignment="1" applyProtection="1">
      <alignment horizontal="center" vertical="center"/>
      <protection locked="0"/>
    </xf>
    <xf numFmtId="0" fontId="33" fillId="0" borderId="0" xfId="0" applyFont="1" applyFill="1" applyBorder="1" applyAlignment="1" applyProtection="1">
      <alignment horizontal="center" vertical="center"/>
      <protection locked="0"/>
    </xf>
    <xf numFmtId="186" fontId="33" fillId="0" borderId="0" xfId="0" applyNumberFormat="1" applyFont="1" applyFill="1" applyBorder="1" applyAlignment="1" applyProtection="1">
      <alignment horizontal="center" vertical="center" wrapText="1"/>
      <protection locked="0"/>
    </xf>
    <xf numFmtId="188" fontId="33" fillId="0" borderId="0" xfId="0" applyNumberFormat="1" applyFont="1" applyFill="1" applyBorder="1" applyAlignment="1" applyProtection="1">
      <alignment horizontal="center" vertical="center"/>
    </xf>
    <xf numFmtId="49" fontId="34" fillId="0" borderId="0" xfId="0" applyNumberFormat="1" applyFont="1" applyFill="1" applyBorder="1" applyAlignment="1" applyProtection="1">
      <alignment horizontal="center" vertical="center" wrapText="1"/>
      <protection locked="0"/>
    </xf>
    <xf numFmtId="0" fontId="33" fillId="0" borderId="0" xfId="0" applyNumberFormat="1" applyFont="1" applyFill="1" applyBorder="1" applyAlignment="1" applyProtection="1">
      <alignment horizontal="center" vertical="center" shrinkToFit="1"/>
      <protection locked="0"/>
    </xf>
    <xf numFmtId="190" fontId="34" fillId="0" borderId="0" xfId="0" applyNumberFormat="1" applyFont="1" applyFill="1" applyBorder="1" applyAlignment="1" applyProtection="1">
      <alignment horizontal="center" vertical="center" wrapText="1" shrinkToFit="1"/>
      <protection locked="0"/>
    </xf>
    <xf numFmtId="0" fontId="33" fillId="0" borderId="0" xfId="0" applyFont="1" applyFill="1" applyBorder="1" applyAlignment="1" applyProtection="1">
      <alignment horizontal="justify" vertical="center" wrapText="1"/>
      <protection locked="0"/>
    </xf>
    <xf numFmtId="14" fontId="34" fillId="0" borderId="0" xfId="0" applyNumberFormat="1" applyFont="1" applyFill="1" applyBorder="1" applyAlignment="1" applyProtection="1">
      <alignment horizontal="center" vertical="center"/>
      <protection locked="0"/>
    </xf>
    <xf numFmtId="14" fontId="41" fillId="0" borderId="0" xfId="0" applyNumberFormat="1" applyFont="1" applyFill="1" applyBorder="1" applyAlignment="1" applyProtection="1">
      <alignment horizontal="center" vertical="center"/>
      <protection locked="0"/>
    </xf>
    <xf numFmtId="0" fontId="33" fillId="0" borderId="0" xfId="0" applyFont="1" applyFill="1" applyBorder="1" applyAlignment="1" applyProtection="1">
      <alignment horizontal="justify" vertical="center"/>
      <protection locked="0"/>
    </xf>
    <xf numFmtId="182" fontId="33" fillId="0" borderId="0" xfId="0" applyNumberFormat="1" applyFont="1" applyFill="1" applyBorder="1" applyAlignment="1" applyProtection="1">
      <alignment horizontal="center" vertical="center" wrapText="1"/>
      <protection locked="0"/>
    </xf>
    <xf numFmtId="187" fontId="33" fillId="0" borderId="0" xfId="0" applyNumberFormat="1" applyFont="1" applyFill="1" applyBorder="1" applyAlignment="1" applyProtection="1">
      <alignment horizontal="center" vertical="center" wrapText="1"/>
      <protection locked="0"/>
    </xf>
    <xf numFmtId="191" fontId="33" fillId="0" borderId="0" xfId="0" applyNumberFormat="1" applyFont="1" applyFill="1" applyBorder="1" applyAlignment="1" applyProtection="1">
      <alignment horizontal="center" vertical="center"/>
      <protection locked="0"/>
    </xf>
    <xf numFmtId="0" fontId="34" fillId="0" borderId="9" xfId="0" applyFont="1" applyFill="1" applyBorder="1" applyProtection="1">
      <alignment vertical="center"/>
      <protection locked="0"/>
    </xf>
    <xf numFmtId="0" fontId="34" fillId="0" borderId="16" xfId="0" applyFont="1" applyFill="1" applyBorder="1" applyProtection="1">
      <alignment vertical="center"/>
      <protection locked="0"/>
    </xf>
    <xf numFmtId="0" fontId="34" fillId="0" borderId="0" xfId="0" applyFont="1" applyFill="1" applyBorder="1" applyAlignment="1" applyProtection="1">
      <alignment horizontal="center" vertical="center" wrapText="1"/>
      <protection locked="0"/>
    </xf>
    <xf numFmtId="193" fontId="33" fillId="0" borderId="0" xfId="0" applyNumberFormat="1" applyFont="1" applyFill="1" applyBorder="1" applyAlignment="1" applyProtection="1">
      <alignment horizontal="center" vertical="center" wrapText="1"/>
      <protection locked="0"/>
    </xf>
    <xf numFmtId="0" fontId="53" fillId="0" borderId="0" xfId="0" applyFont="1" applyFill="1" applyProtection="1">
      <alignment vertical="center"/>
      <protection locked="0"/>
    </xf>
    <xf numFmtId="0" fontId="123" fillId="0" borderId="0" xfId="0" applyNumberFormat="1" applyFont="1" applyFill="1" applyBorder="1" applyAlignment="1" applyProtection="1">
      <alignment horizontal="center" vertical="center" wrapText="1"/>
      <protection locked="0"/>
    </xf>
    <xf numFmtId="0" fontId="123" fillId="0" borderId="0" xfId="0" applyNumberFormat="1" applyFont="1" applyFill="1" applyAlignment="1" applyProtection="1">
      <alignment horizontal="center" vertical="center" wrapText="1"/>
      <protection locked="0"/>
    </xf>
    <xf numFmtId="0" fontId="33" fillId="12" borderId="0" xfId="0" applyFont="1" applyFill="1" applyAlignment="1" applyProtection="1">
      <alignment horizontal="center" vertical="center" wrapText="1"/>
      <protection locked="0"/>
    </xf>
    <xf numFmtId="0" fontId="322" fillId="12" borderId="0" xfId="0" applyFont="1" applyFill="1" applyAlignment="1" applyProtection="1">
      <alignment horizontal="center" vertical="center" wrapText="1"/>
      <protection locked="0"/>
    </xf>
    <xf numFmtId="0" fontId="322" fillId="0" borderId="0" xfId="0" applyFont="1" applyFill="1" applyAlignment="1" applyProtection="1">
      <alignment horizontal="center" vertical="center" wrapText="1"/>
      <protection locked="0"/>
    </xf>
    <xf numFmtId="0" fontId="323" fillId="0" borderId="0" xfId="0" applyFont="1" applyFill="1" applyAlignment="1" applyProtection="1">
      <alignment horizontal="center" vertical="center"/>
      <protection locked="0"/>
    </xf>
    <xf numFmtId="187" fontId="322" fillId="12" borderId="0" xfId="0" applyNumberFormat="1" applyFont="1" applyFill="1" applyAlignment="1" applyProtection="1">
      <alignment horizontal="center" vertical="center"/>
      <protection locked="0"/>
    </xf>
    <xf numFmtId="187" fontId="322" fillId="0" borderId="0" xfId="0" applyNumberFormat="1" applyFont="1" applyFill="1" applyAlignment="1" applyProtection="1">
      <alignment horizontal="center" vertical="center"/>
      <protection locked="0"/>
    </xf>
    <xf numFmtId="187" fontId="323" fillId="0" borderId="0" xfId="0" applyNumberFormat="1" applyFont="1" applyFill="1" applyAlignment="1" applyProtection="1">
      <alignment horizontal="center" vertical="center"/>
      <protection locked="0"/>
    </xf>
    <xf numFmtId="187" fontId="38" fillId="12" borderId="0" xfId="0" applyNumberFormat="1" applyFont="1" applyFill="1" applyAlignment="1" applyProtection="1">
      <alignment horizontal="center" vertical="center"/>
      <protection locked="0"/>
    </xf>
    <xf numFmtId="187" fontId="323" fillId="12" borderId="0" xfId="0" applyNumberFormat="1" applyFont="1" applyFill="1" applyAlignment="1" applyProtection="1">
      <alignment horizontal="center" vertical="center"/>
      <protection locked="0"/>
    </xf>
    <xf numFmtId="0" fontId="38" fillId="12" borderId="0" xfId="0" applyFont="1" applyFill="1" applyAlignment="1" applyProtection="1">
      <alignment vertical="center" wrapText="1"/>
      <protection locked="0"/>
    </xf>
    <xf numFmtId="0" fontId="324" fillId="12" borderId="0" xfId="0" applyFont="1" applyFill="1" applyAlignment="1" applyProtection="1">
      <alignment vertical="center" wrapText="1"/>
      <protection locked="0"/>
    </xf>
    <xf numFmtId="0" fontId="324" fillId="0" borderId="0" xfId="0" applyFont="1" applyFill="1" applyAlignment="1" applyProtection="1">
      <alignment vertical="center" wrapText="1"/>
      <protection locked="0"/>
    </xf>
    <xf numFmtId="0" fontId="323" fillId="0" borderId="0" xfId="0" applyFont="1" applyFill="1" applyAlignment="1" applyProtection="1">
      <alignment vertical="center"/>
      <protection locked="0"/>
    </xf>
    <xf numFmtId="187" fontId="324" fillId="12" borderId="0" xfId="0" applyNumberFormat="1" applyFont="1" applyFill="1" applyBorder="1" applyAlignment="1" applyProtection="1">
      <alignment vertical="center"/>
      <protection locked="0"/>
    </xf>
    <xf numFmtId="187" fontId="324" fillId="0" borderId="0" xfId="0" applyNumberFormat="1" applyFont="1" applyFill="1" applyBorder="1" applyAlignment="1" applyProtection="1">
      <alignment vertical="center"/>
      <protection locked="0"/>
    </xf>
    <xf numFmtId="187" fontId="323" fillId="0" borderId="0" xfId="0" applyNumberFormat="1" applyFont="1" applyFill="1" applyBorder="1" applyAlignment="1" applyProtection="1">
      <alignment vertical="center"/>
      <protection locked="0"/>
    </xf>
    <xf numFmtId="187" fontId="38" fillId="12" borderId="0" xfId="0" applyNumberFormat="1" applyFont="1" applyFill="1" applyAlignment="1" applyProtection="1">
      <alignment vertical="center"/>
      <protection locked="0"/>
    </xf>
    <xf numFmtId="187" fontId="323" fillId="12" borderId="0" xfId="0" applyNumberFormat="1" applyFont="1" applyFill="1" applyAlignment="1" applyProtection="1">
      <alignment vertical="center"/>
      <protection locked="0"/>
    </xf>
    <xf numFmtId="187" fontId="323" fillId="0" borderId="0" xfId="0" applyNumberFormat="1" applyFont="1" applyFill="1" applyAlignment="1" applyProtection="1">
      <alignment vertical="center"/>
      <protection locked="0"/>
    </xf>
    <xf numFmtId="187" fontId="43" fillId="0" borderId="1" xfId="0" applyNumberFormat="1" applyFont="1" applyFill="1" applyBorder="1" applyAlignment="1" applyProtection="1">
      <alignment horizontal="center" vertical="center"/>
      <protection locked="0"/>
    </xf>
    <xf numFmtId="188" fontId="325" fillId="0" borderId="0" xfId="0" applyNumberFormat="1" applyFont="1" applyFill="1" applyBorder="1" applyAlignment="1" applyProtection="1">
      <alignment horizontal="center" vertical="center"/>
    </xf>
    <xf numFmtId="0" fontId="326" fillId="0" borderId="0" xfId="0" applyFont="1" applyFill="1" applyBorder="1" applyAlignment="1" applyProtection="1">
      <alignment horizontal="center" vertical="center" wrapText="1"/>
      <protection locked="0"/>
    </xf>
    <xf numFmtId="188" fontId="325" fillId="0" borderId="0" xfId="0" applyNumberFormat="1" applyFont="1" applyFill="1" applyBorder="1" applyAlignment="1" applyProtection="1">
      <alignment horizontal="center" vertical="center"/>
      <protection locked="0"/>
    </xf>
    <xf numFmtId="188" fontId="325" fillId="0" borderId="0" xfId="0" applyNumberFormat="1" applyFont="1" applyFill="1" applyAlignment="1" applyProtection="1">
      <alignment horizontal="center" vertical="center" wrapText="1"/>
      <protection locked="0"/>
    </xf>
    <xf numFmtId="188" fontId="325" fillId="0" borderId="0" xfId="0" applyNumberFormat="1" applyFont="1" applyFill="1" applyAlignment="1" applyProtection="1">
      <alignment horizontal="center" vertical="center"/>
      <protection locked="0"/>
    </xf>
    <xf numFmtId="0" fontId="43" fillId="0" borderId="0" xfId="0" applyFont="1" applyFill="1" applyAlignment="1" applyProtection="1">
      <alignment horizontal="center" vertical="center"/>
      <protection locked="0"/>
    </xf>
    <xf numFmtId="0" fontId="123" fillId="0" borderId="0" xfId="0" applyNumberFormat="1" applyFont="1" applyFill="1" applyBorder="1" applyAlignment="1" applyProtection="1">
      <alignment horizontal="center" vertical="center"/>
      <protection locked="0"/>
    </xf>
    <xf numFmtId="0" fontId="123" fillId="0" borderId="0" xfId="0" applyNumberFormat="1" applyFont="1" applyFill="1" applyAlignment="1" applyProtection="1">
      <alignment horizontal="center" vertical="center"/>
      <protection locked="0"/>
    </xf>
    <xf numFmtId="0" fontId="41" fillId="12" borderId="9" xfId="0" applyFont="1" applyFill="1" applyBorder="1" applyAlignment="1" applyProtection="1">
      <alignment horizontal="center" vertical="center" wrapText="1"/>
      <protection locked="0"/>
    </xf>
    <xf numFmtId="0" fontId="325" fillId="12" borderId="9" xfId="0" applyFont="1" applyFill="1" applyBorder="1" applyAlignment="1" applyProtection="1">
      <alignment horizontal="center" vertical="center" wrapText="1"/>
      <protection locked="0"/>
    </xf>
    <xf numFmtId="0" fontId="325" fillId="0" borderId="9" xfId="0" applyFont="1" applyFill="1" applyBorder="1" applyAlignment="1" applyProtection="1">
      <alignment horizontal="center" vertical="center" wrapText="1"/>
      <protection locked="0"/>
    </xf>
    <xf numFmtId="0" fontId="326" fillId="0" borderId="9" xfId="0" applyFont="1" applyFill="1" applyBorder="1" applyAlignment="1" applyProtection="1">
      <alignment horizontal="center" vertical="center" wrapText="1"/>
      <protection locked="0"/>
    </xf>
    <xf numFmtId="187" fontId="325" fillId="12" borderId="0" xfId="0" applyNumberFormat="1" applyFont="1" applyFill="1" applyAlignment="1" applyProtection="1">
      <alignment horizontal="center" vertical="center"/>
      <protection locked="0"/>
    </xf>
    <xf numFmtId="187" fontId="325" fillId="0" borderId="9" xfId="0" applyNumberFormat="1" applyFont="1" applyFill="1" applyBorder="1" applyAlignment="1" applyProtection="1">
      <alignment horizontal="center" vertical="center"/>
      <protection locked="0"/>
    </xf>
    <xf numFmtId="187" fontId="38" fillId="12" borderId="9" xfId="0" applyNumberFormat="1" applyFont="1" applyFill="1" applyBorder="1" applyAlignment="1" applyProtection="1">
      <alignment horizontal="center" vertical="center"/>
      <protection locked="0"/>
    </xf>
    <xf numFmtId="0" fontId="42" fillId="0" borderId="9" xfId="0" applyFont="1" applyFill="1" applyBorder="1" applyAlignment="1" applyProtection="1">
      <alignment horizontal="center" vertical="center" wrapText="1"/>
      <protection locked="0"/>
    </xf>
    <xf numFmtId="187" fontId="43" fillId="0" borderId="9" xfId="0" applyNumberFormat="1" applyFont="1" applyFill="1" applyBorder="1" applyAlignment="1" applyProtection="1">
      <alignment horizontal="center" vertical="center"/>
      <protection locked="0"/>
    </xf>
    <xf numFmtId="0" fontId="34" fillId="0" borderId="0" xfId="0" applyFont="1" applyFill="1" applyAlignment="1" applyProtection="1">
      <alignment horizontal="center" vertical="center" wrapText="1"/>
      <protection locked="0"/>
    </xf>
    <xf numFmtId="182" fontId="34" fillId="0" borderId="0" xfId="0" applyNumberFormat="1" applyFont="1" applyFill="1" applyAlignment="1" applyProtection="1">
      <alignment horizontal="center" vertical="center" wrapText="1"/>
      <protection locked="0"/>
    </xf>
    <xf numFmtId="0" fontId="33" fillId="0" borderId="9" xfId="0" applyFont="1" applyFill="1" applyBorder="1" applyProtection="1">
      <alignment vertical="center"/>
      <protection locked="0"/>
    </xf>
    <xf numFmtId="0" fontId="327" fillId="0" borderId="1" xfId="0" applyFont="1" applyFill="1" applyBorder="1" applyAlignment="1" applyProtection="1">
      <alignment horizontal="center" vertical="center" wrapText="1" shrinkToFit="1"/>
      <protection locked="0"/>
    </xf>
    <xf numFmtId="186" fontId="327" fillId="0" borderId="1" xfId="0" applyNumberFormat="1" applyFont="1" applyFill="1" applyBorder="1" applyAlignment="1" applyProtection="1">
      <alignment horizontal="center" vertical="center" wrapText="1" shrinkToFit="1"/>
      <protection locked="0"/>
    </xf>
    <xf numFmtId="186" fontId="299" fillId="0" borderId="1" xfId="0" applyNumberFormat="1" applyFont="1" applyFill="1" applyBorder="1" applyAlignment="1" applyProtection="1">
      <alignment horizontal="center" vertical="center" wrapText="1" shrinkToFit="1"/>
      <protection locked="0"/>
    </xf>
    <xf numFmtId="187" fontId="328" fillId="0" borderId="1" xfId="0" applyNumberFormat="1" applyFont="1" applyFill="1" applyBorder="1" applyAlignment="1" applyProtection="1">
      <alignment horizontal="center" vertical="center" wrapText="1" shrinkToFit="1"/>
      <protection locked="0"/>
    </xf>
    <xf numFmtId="187" fontId="326" fillId="0" borderId="1" xfId="0" applyNumberFormat="1" applyFont="1" applyFill="1" applyBorder="1" applyAlignment="1" applyProtection="1">
      <alignment horizontal="center" vertical="center" wrapText="1" shrinkToFit="1"/>
      <protection locked="0"/>
    </xf>
    <xf numFmtId="182" fontId="38" fillId="0" borderId="1" xfId="0" applyNumberFormat="1" applyFont="1" applyFill="1" applyBorder="1" applyAlignment="1" applyProtection="1">
      <alignment horizontal="center" vertical="center" wrapText="1" shrinkToFit="1"/>
      <protection locked="0"/>
    </xf>
    <xf numFmtId="186" fontId="43" fillId="0" borderId="1" xfId="0" applyNumberFormat="1" applyFont="1" applyFill="1" applyBorder="1" applyAlignment="1" applyProtection="1">
      <alignment horizontal="center" vertical="center" wrapText="1" shrinkToFit="1"/>
      <protection locked="0"/>
    </xf>
    <xf numFmtId="0" fontId="34" fillId="0" borderId="1" xfId="0" applyFont="1" applyFill="1" applyBorder="1" applyAlignment="1" applyProtection="1">
      <alignment horizontal="center" vertical="center" wrapText="1"/>
      <protection locked="0"/>
    </xf>
    <xf numFmtId="0" fontId="34" fillId="0" borderId="1" xfId="0" applyFont="1" applyFill="1" applyBorder="1" applyAlignment="1" applyProtection="1">
      <alignment horizontal="center" vertical="center" wrapText="1" shrinkToFit="1"/>
      <protection locked="0"/>
    </xf>
    <xf numFmtId="0" fontId="33" fillId="0" borderId="1" xfId="0" applyNumberFormat="1" applyFont="1" applyFill="1" applyBorder="1" applyAlignment="1" applyProtection="1">
      <alignment horizontal="center" vertical="center" wrapText="1" shrinkToFit="1"/>
      <protection locked="0"/>
    </xf>
    <xf numFmtId="187" fontId="38" fillId="0" borderId="1" xfId="0" applyNumberFormat="1" applyFont="1" applyFill="1" applyBorder="1" applyAlignment="1" applyProtection="1">
      <alignment horizontal="center" vertical="center"/>
      <protection locked="0"/>
    </xf>
    <xf numFmtId="187" fontId="38" fillId="4" borderId="1" xfId="0" applyNumberFormat="1" applyFont="1" applyFill="1" applyBorder="1" applyAlignment="1" applyProtection="1">
      <alignment horizontal="center" vertical="center"/>
      <protection locked="0"/>
    </xf>
    <xf numFmtId="187" fontId="300" fillId="4" borderId="1" xfId="0" applyNumberFormat="1" applyFont="1" applyFill="1" applyBorder="1" applyAlignment="1" applyProtection="1">
      <alignment horizontal="center" vertical="center"/>
      <protection locked="0"/>
    </xf>
    <xf numFmtId="0" fontId="36" fillId="4" borderId="1" xfId="0" applyFont="1" applyFill="1" applyBorder="1" applyAlignment="1" applyProtection="1">
      <alignment horizontal="center" vertical="center"/>
      <protection locked="0"/>
    </xf>
    <xf numFmtId="0" fontId="37" fillId="4" borderId="1" xfId="0" applyFont="1" applyFill="1" applyBorder="1" applyAlignment="1" applyProtection="1">
      <alignment horizontal="center" vertical="center"/>
      <protection locked="0"/>
    </xf>
    <xf numFmtId="0" fontId="311" fillId="4" borderId="1" xfId="0" applyFont="1" applyFill="1" applyBorder="1" applyAlignment="1" applyProtection="1">
      <alignment horizontal="center" vertical="center" wrapText="1"/>
      <protection locked="0"/>
    </xf>
    <xf numFmtId="187" fontId="329" fillId="4" borderId="1" xfId="0" applyNumberFormat="1" applyFont="1" applyFill="1" applyBorder="1" applyAlignment="1" applyProtection="1">
      <alignment horizontal="center" vertical="center"/>
      <protection locked="0"/>
    </xf>
    <xf numFmtId="0" fontId="330" fillId="4" borderId="1" xfId="0" applyFont="1" applyFill="1" applyBorder="1" applyAlignment="1" applyProtection="1">
      <alignment horizontal="center" vertical="center"/>
      <protection locked="0"/>
    </xf>
    <xf numFmtId="182" fontId="45" fillId="0" borderId="1" xfId="0" applyNumberFormat="1" applyFont="1" applyFill="1" applyBorder="1" applyAlignment="1" applyProtection="1">
      <alignment horizontal="center" vertical="center"/>
    </xf>
    <xf numFmtId="14" fontId="35" fillId="0" borderId="1" xfId="0" applyNumberFormat="1" applyFont="1" applyFill="1" applyBorder="1" applyAlignment="1" applyProtection="1">
      <alignment horizontal="center" vertical="center"/>
      <protection locked="0"/>
    </xf>
    <xf numFmtId="0" fontId="330" fillId="4" borderId="1" xfId="0" applyFont="1" applyFill="1" applyBorder="1" applyProtection="1">
      <alignment vertical="center"/>
      <protection locked="0"/>
    </xf>
    <xf numFmtId="187" fontId="300" fillId="0" borderId="1" xfId="0" applyNumberFormat="1" applyFont="1" applyFill="1" applyBorder="1" applyAlignment="1" applyProtection="1">
      <alignment horizontal="center" vertical="center"/>
      <protection locked="0"/>
    </xf>
    <xf numFmtId="195" fontId="111" fillId="0" borderId="1" xfId="0" applyNumberFormat="1" applyFont="1" applyFill="1" applyBorder="1" applyAlignment="1" applyProtection="1">
      <alignment horizontal="center" vertical="center" wrapText="1"/>
      <protection locked="0"/>
    </xf>
    <xf numFmtId="187" fontId="280" fillId="4" borderId="1" xfId="0" applyNumberFormat="1" applyFont="1" applyFill="1" applyBorder="1" applyAlignment="1" applyProtection="1">
      <alignment horizontal="center" vertical="center"/>
      <protection locked="0"/>
    </xf>
    <xf numFmtId="0" fontId="258" fillId="4" borderId="1" xfId="0" applyFont="1" applyFill="1" applyBorder="1" applyAlignment="1" applyProtection="1">
      <alignment horizontal="center" vertical="center"/>
      <protection locked="0"/>
    </xf>
    <xf numFmtId="182" fontId="311" fillId="4" borderId="1" xfId="0" applyNumberFormat="1" applyFont="1" applyFill="1" applyBorder="1" applyAlignment="1" applyProtection="1">
      <alignment horizontal="center" vertical="center" wrapText="1"/>
      <protection locked="0"/>
    </xf>
    <xf numFmtId="182" fontId="311" fillId="4" borderId="1" xfId="0" applyNumberFormat="1" applyFont="1" applyFill="1" applyBorder="1" applyAlignment="1" applyProtection="1">
      <alignment horizontal="center" vertical="center"/>
      <protection locked="0"/>
    </xf>
    <xf numFmtId="0" fontId="37" fillId="4" borderId="1" xfId="0" applyFont="1" applyFill="1" applyBorder="1" applyProtection="1">
      <alignment vertical="center"/>
      <protection locked="0"/>
    </xf>
    <xf numFmtId="0" fontId="291" fillId="0" borderId="1" xfId="0" applyFont="1" applyFill="1" applyBorder="1" applyAlignment="1" applyProtection="1">
      <alignment horizontal="center" vertical="center"/>
      <protection locked="0"/>
    </xf>
    <xf numFmtId="187" fontId="294" fillId="4" borderId="1" xfId="0" applyNumberFormat="1" applyFont="1" applyFill="1" applyBorder="1" applyAlignment="1" applyProtection="1">
      <alignment horizontal="center" vertical="center"/>
      <protection locked="0"/>
    </xf>
    <xf numFmtId="0" fontId="114" fillId="0" borderId="1" xfId="0" applyFont="1" applyFill="1" applyBorder="1" applyAlignment="1">
      <alignment horizontal="center" vertical="center" shrinkToFit="1"/>
    </xf>
    <xf numFmtId="186" fontId="45" fillId="0" borderId="1" xfId="0" applyNumberFormat="1" applyFont="1" applyFill="1" applyBorder="1" applyAlignment="1" applyProtection="1">
      <alignment horizontal="center" wrapText="1"/>
      <protection locked="0"/>
    </xf>
    <xf numFmtId="0" fontId="45" fillId="0" borderId="1" xfId="0" applyNumberFormat="1" applyFont="1" applyFill="1" applyBorder="1" applyAlignment="1" applyProtection="1">
      <alignment horizontal="center" vertical="center"/>
      <protection locked="0"/>
    </xf>
    <xf numFmtId="0" fontId="291" fillId="0" borderId="1" xfId="0" applyNumberFormat="1" applyFont="1" applyFill="1" applyBorder="1" applyAlignment="1" applyProtection="1">
      <alignment vertical="center" wrapText="1"/>
      <protection locked="0"/>
    </xf>
    <xf numFmtId="0" fontId="291" fillId="3" borderId="1" xfId="0" applyNumberFormat="1" applyFont="1" applyFill="1" applyBorder="1" applyAlignment="1" applyProtection="1">
      <alignment horizontal="center" vertical="center" wrapText="1"/>
      <protection locked="0"/>
    </xf>
    <xf numFmtId="187" fontId="294" fillId="3" borderId="1" xfId="0" applyNumberFormat="1" applyFont="1" applyFill="1" applyBorder="1" applyAlignment="1" applyProtection="1">
      <alignment horizontal="center" vertical="center"/>
      <protection locked="0"/>
    </xf>
    <xf numFmtId="187" fontId="300" fillId="3" borderId="1" xfId="0" applyNumberFormat="1" applyFont="1" applyFill="1" applyBorder="1" applyAlignment="1" applyProtection="1">
      <alignment horizontal="center" vertical="center"/>
      <protection locked="0"/>
    </xf>
    <xf numFmtId="187" fontId="280" fillId="3" borderId="1" xfId="0" applyNumberFormat="1" applyFont="1" applyFill="1" applyBorder="1" applyAlignment="1" applyProtection="1">
      <alignment horizontal="center" vertical="center"/>
      <protection locked="0"/>
    </xf>
    <xf numFmtId="186" fontId="295" fillId="4" borderId="1" xfId="0" applyNumberFormat="1" applyFont="1" applyFill="1" applyBorder="1" applyAlignment="1" applyProtection="1">
      <alignment horizontal="center" vertical="center" wrapText="1"/>
      <protection locked="0"/>
    </xf>
    <xf numFmtId="187" fontId="46" fillId="4" borderId="1" xfId="0" applyNumberFormat="1" applyFont="1" applyFill="1" applyBorder="1" applyAlignment="1" applyProtection="1">
      <alignment horizontal="center" vertical="center"/>
    </xf>
    <xf numFmtId="186" fontId="294" fillId="4" borderId="1" xfId="0" applyNumberFormat="1" applyFont="1" applyFill="1" applyBorder="1" applyAlignment="1" applyProtection="1">
      <alignment horizontal="center" vertical="center" wrapText="1"/>
      <protection locked="0"/>
    </xf>
    <xf numFmtId="186" fontId="294" fillId="0" borderId="1" xfId="0" applyNumberFormat="1" applyFont="1" applyFill="1" applyBorder="1" applyAlignment="1" applyProtection="1">
      <alignment horizontal="center" vertical="center" wrapText="1"/>
      <protection locked="0"/>
    </xf>
    <xf numFmtId="187" fontId="46" fillId="3" borderId="1" xfId="0" applyNumberFormat="1" applyFont="1" applyFill="1" applyBorder="1" applyAlignment="1" applyProtection="1">
      <alignment horizontal="center" vertical="center"/>
    </xf>
    <xf numFmtId="188" fontId="252" fillId="0" borderId="1" xfId="0" applyNumberFormat="1" applyFont="1" applyFill="1" applyBorder="1" applyAlignment="1">
      <alignment horizontal="center" vertical="center"/>
    </xf>
    <xf numFmtId="0" fontId="252" fillId="0" borderId="1" xfId="0" applyFont="1" applyFill="1" applyBorder="1" applyAlignment="1">
      <alignment horizontal="center" vertical="center"/>
    </xf>
    <xf numFmtId="0" fontId="252" fillId="0" borderId="1" xfId="0" applyFont="1" applyFill="1" applyBorder="1" applyAlignment="1">
      <alignment horizontal="center" vertical="center" wrapText="1" shrinkToFit="1"/>
    </xf>
    <xf numFmtId="0" fontId="331" fillId="0" borderId="1" xfId="0" applyNumberFormat="1" applyFont="1" applyFill="1" applyBorder="1" applyAlignment="1">
      <alignment horizontal="center" vertical="center" shrinkToFit="1"/>
    </xf>
    <xf numFmtId="0" fontId="252" fillId="0" borderId="1" xfId="0" applyFont="1" applyFill="1" applyBorder="1" applyAlignment="1">
      <alignment horizontal="center" vertical="center" wrapText="1"/>
    </xf>
    <xf numFmtId="190" fontId="252" fillId="0" borderId="1" xfId="0" applyNumberFormat="1" applyFont="1" applyFill="1" applyBorder="1" applyAlignment="1">
      <alignment horizontal="center" vertical="center" wrapText="1" shrinkToFit="1"/>
    </xf>
    <xf numFmtId="0" fontId="252" fillId="0" borderId="1" xfId="0" applyNumberFormat="1" applyFont="1" applyFill="1" applyBorder="1" applyAlignment="1">
      <alignment horizontal="center" vertical="center" wrapText="1"/>
    </xf>
    <xf numFmtId="0" fontId="291" fillId="0" borderId="16" xfId="0" applyNumberFormat="1" applyFont="1" applyFill="1" applyBorder="1" applyAlignment="1" applyProtection="1">
      <alignment horizontal="center" vertical="center" wrapText="1"/>
      <protection locked="0"/>
    </xf>
    <xf numFmtId="186" fontId="295" fillId="12" borderId="1" xfId="0" applyNumberFormat="1" applyFont="1" applyFill="1" applyBorder="1" applyAlignment="1" applyProtection="1">
      <alignment horizontal="center" vertical="center" wrapText="1"/>
      <protection locked="0"/>
    </xf>
    <xf numFmtId="188" fontId="45" fillId="0" borderId="9" xfId="0" applyNumberFormat="1" applyFont="1" applyFill="1" applyBorder="1" applyAlignment="1" applyProtection="1">
      <alignment horizontal="center" vertical="center"/>
    </xf>
    <xf numFmtId="0" fontId="45" fillId="0" borderId="9" xfId="0" applyFont="1" applyFill="1" applyBorder="1" applyAlignment="1" applyProtection="1">
      <alignment horizontal="center" vertical="center" wrapText="1"/>
      <protection locked="0"/>
    </xf>
    <xf numFmtId="190" fontId="35" fillId="0" borderId="9" xfId="0" applyNumberFormat="1" applyFont="1" applyFill="1" applyBorder="1" applyAlignment="1" applyProtection="1">
      <alignment horizontal="center" vertical="center" wrapText="1" shrinkToFit="1"/>
      <protection locked="0"/>
    </xf>
    <xf numFmtId="190" fontId="35" fillId="0" borderId="9" xfId="0" applyNumberFormat="1" applyFont="1" applyFill="1" applyBorder="1" applyAlignment="1" applyProtection="1">
      <alignment horizontal="center" vertical="center" wrapText="1" shrinkToFit="1"/>
    </xf>
    <xf numFmtId="0" fontId="45" fillId="0" borderId="9" xfId="0" applyFont="1" applyFill="1" applyBorder="1" applyAlignment="1" applyProtection="1">
      <alignment horizontal="justify" vertical="center"/>
      <protection locked="0"/>
    </xf>
    <xf numFmtId="0" fontId="252" fillId="0" borderId="9" xfId="0" applyNumberFormat="1" applyFont="1" applyFill="1" applyBorder="1" applyAlignment="1" applyProtection="1">
      <alignment horizontal="center" vertical="center" wrapText="1"/>
      <protection locked="0"/>
    </xf>
    <xf numFmtId="0" fontId="45" fillId="3" borderId="9" xfId="0" applyFont="1" applyFill="1" applyBorder="1" applyAlignment="1" applyProtection="1">
      <alignment horizontal="center" vertical="center" wrapText="1"/>
      <protection locked="0"/>
    </xf>
    <xf numFmtId="0" fontId="45" fillId="0" borderId="9" xfId="0" applyFont="1" applyFill="1" applyBorder="1" applyAlignment="1" applyProtection="1">
      <alignment horizontal="center" vertical="center" wrapText="1"/>
    </xf>
    <xf numFmtId="187" fontId="45" fillId="0" borderId="9" xfId="0" applyNumberFormat="1" applyFont="1" applyFill="1" applyBorder="1" applyAlignment="1" applyProtection="1">
      <alignment horizontal="center" vertical="center"/>
    </xf>
    <xf numFmtId="187" fontId="45" fillId="0" borderId="9" xfId="0" applyNumberFormat="1" applyFont="1" applyFill="1" applyBorder="1" applyAlignment="1" applyProtection="1">
      <alignment horizontal="center" vertical="center"/>
      <protection locked="0"/>
    </xf>
    <xf numFmtId="187" fontId="294" fillId="3" borderId="9" xfId="0" applyNumberFormat="1" applyFont="1" applyFill="1" applyBorder="1" applyAlignment="1" applyProtection="1">
      <alignment horizontal="center" vertical="center"/>
      <protection locked="0"/>
    </xf>
    <xf numFmtId="187" fontId="294" fillId="0" borderId="9" xfId="0" applyNumberFormat="1" applyFont="1" applyFill="1" applyBorder="1" applyAlignment="1" applyProtection="1">
      <alignment horizontal="center" vertical="center"/>
      <protection locked="0"/>
    </xf>
    <xf numFmtId="0" fontId="35" fillId="0" borderId="9" xfId="0" applyFont="1" applyFill="1" applyBorder="1" applyAlignment="1" applyProtection="1">
      <alignment horizontal="center" vertical="center"/>
      <protection locked="0"/>
    </xf>
    <xf numFmtId="182" fontId="45" fillId="0" borderId="9" xfId="0" applyNumberFormat="1" applyFont="1" applyFill="1" applyBorder="1" applyAlignment="1" applyProtection="1">
      <alignment horizontal="center" vertical="center" wrapText="1"/>
      <protection locked="0"/>
    </xf>
    <xf numFmtId="182" fontId="45" fillId="0" borderId="9" xfId="0" applyNumberFormat="1" applyFont="1" applyFill="1" applyBorder="1" applyAlignment="1" applyProtection="1">
      <alignment horizontal="center" vertical="center"/>
      <protection locked="0"/>
    </xf>
    <xf numFmtId="0" fontId="35" fillId="3" borderId="9" xfId="0" applyFont="1" applyFill="1" applyBorder="1" applyAlignment="1" applyProtection="1">
      <alignment horizontal="center" vertical="center"/>
      <protection locked="0"/>
    </xf>
    <xf numFmtId="0" fontId="290" fillId="0" borderId="9" xfId="0" applyNumberFormat="1" applyFont="1" applyFill="1" applyBorder="1" applyAlignment="1" applyProtection="1">
      <alignment horizontal="center" vertical="center" wrapText="1"/>
      <protection locked="0"/>
    </xf>
    <xf numFmtId="187" fontId="46" fillId="3" borderId="6" xfId="0" applyNumberFormat="1" applyFont="1" applyFill="1" applyBorder="1" applyAlignment="1" applyProtection="1">
      <alignment horizontal="center" vertical="center"/>
      <protection locked="0"/>
    </xf>
    <xf numFmtId="182" fontId="36" fillId="3" borderId="1" xfId="0" applyNumberFormat="1" applyFont="1" applyFill="1" applyBorder="1" applyAlignment="1" applyProtection="1">
      <alignment horizontal="center" vertical="center"/>
      <protection locked="0"/>
    </xf>
    <xf numFmtId="0" fontId="290" fillId="0" borderId="10" xfId="0" applyNumberFormat="1" applyFont="1" applyFill="1" applyBorder="1" applyAlignment="1" applyProtection="1">
      <alignment horizontal="center" vertical="center" wrapText="1"/>
      <protection locked="0"/>
    </xf>
    <xf numFmtId="0" fontId="290" fillId="0" borderId="23" xfId="0" applyNumberFormat="1" applyFont="1" applyFill="1" applyBorder="1" applyAlignment="1" applyProtection="1">
      <alignment horizontal="center" vertical="center" wrapText="1"/>
      <protection locked="0"/>
    </xf>
    <xf numFmtId="0" fontId="46" fillId="3" borderId="6" xfId="0" applyFont="1" applyFill="1" applyBorder="1" applyAlignment="1" applyProtection="1">
      <alignment horizontal="center" vertical="center" wrapText="1"/>
      <protection locked="0"/>
    </xf>
    <xf numFmtId="0" fontId="305" fillId="0" borderId="9" xfId="0" applyNumberFormat="1" applyFont="1" applyFill="1" applyBorder="1" applyAlignment="1" applyProtection="1">
      <alignment horizontal="center" vertical="center" wrapText="1"/>
      <protection locked="0"/>
    </xf>
    <xf numFmtId="0" fontId="305" fillId="0" borderId="10" xfId="0" applyNumberFormat="1" applyFont="1" applyFill="1" applyBorder="1" applyAlignment="1" applyProtection="1">
      <alignment horizontal="center" vertical="center" wrapText="1"/>
      <protection locked="0"/>
    </xf>
    <xf numFmtId="0" fontId="305" fillId="0" borderId="23" xfId="0" applyNumberFormat="1" applyFont="1" applyFill="1" applyBorder="1" applyAlignment="1" applyProtection="1">
      <alignment horizontal="center" vertical="center" wrapText="1"/>
      <protection locked="0"/>
    </xf>
    <xf numFmtId="186" fontId="302" fillId="0" borderId="7" xfId="0" applyNumberFormat="1" applyFont="1" applyFill="1" applyBorder="1" applyAlignment="1" applyProtection="1">
      <alignment horizontal="center" vertical="center" wrapText="1"/>
      <protection locked="0"/>
    </xf>
    <xf numFmtId="195" fontId="303" fillId="0" borderId="1" xfId="0" applyNumberFormat="1" applyFont="1" applyFill="1" applyBorder="1" applyAlignment="1" applyProtection="1">
      <alignment horizontal="center" vertical="center"/>
      <protection locked="0"/>
    </xf>
    <xf numFmtId="0" fontId="303" fillId="3" borderId="6" xfId="0" applyFont="1" applyFill="1" applyBorder="1" applyAlignment="1" applyProtection="1">
      <alignment horizontal="center" vertical="center"/>
      <protection locked="0"/>
    </xf>
    <xf numFmtId="187" fontId="332" fillId="0" borderId="1" xfId="0" applyNumberFormat="1" applyFont="1" applyFill="1" applyBorder="1" applyAlignment="1" applyProtection="1">
      <alignment horizontal="center" vertical="center"/>
      <protection locked="0"/>
    </xf>
    <xf numFmtId="182" fontId="303" fillId="3" borderId="1" xfId="0" applyNumberFormat="1" applyFont="1" applyFill="1" applyBorder="1" applyAlignment="1" applyProtection="1">
      <alignment horizontal="center" vertical="center" wrapText="1"/>
      <protection locked="0"/>
    </xf>
    <xf numFmtId="0" fontId="306" fillId="3" borderId="1" xfId="0" applyFont="1" applyFill="1" applyBorder="1" applyAlignment="1" applyProtection="1">
      <alignment horizontal="center" vertical="center"/>
      <protection locked="0"/>
    </xf>
    <xf numFmtId="0" fontId="269" fillId="0" borderId="1" xfId="0" applyFont="1" applyFill="1" applyBorder="1" applyAlignment="1" applyProtection="1">
      <alignment horizontal="center" vertical="center"/>
      <protection locked="0"/>
    </xf>
    <xf numFmtId="182" fontId="306" fillId="0" borderId="1" xfId="0" applyNumberFormat="1" applyFont="1" applyFill="1" applyBorder="1" applyAlignment="1" applyProtection="1">
      <alignment horizontal="center" vertical="center"/>
      <protection locked="0"/>
    </xf>
    <xf numFmtId="182" fontId="306" fillId="3" borderId="1" xfId="0" applyNumberFormat="1" applyFont="1" applyFill="1" applyBorder="1" applyAlignment="1" applyProtection="1">
      <alignment horizontal="center" vertical="center"/>
      <protection locked="0"/>
    </xf>
    <xf numFmtId="0" fontId="277" fillId="0" borderId="10" xfId="0" applyNumberFormat="1" applyFont="1" applyFill="1" applyBorder="1" applyAlignment="1" applyProtection="1">
      <alignment horizontal="center" vertical="center" wrapText="1"/>
      <protection locked="0"/>
    </xf>
    <xf numFmtId="0" fontId="277" fillId="0" borderId="23" xfId="0" applyNumberFormat="1" applyFont="1" applyFill="1" applyBorder="1" applyAlignment="1" applyProtection="1">
      <alignment horizontal="center" vertical="center" wrapText="1"/>
      <protection locked="0"/>
    </xf>
    <xf numFmtId="0" fontId="257" fillId="3" borderId="6" xfId="0" applyFont="1" applyFill="1" applyBorder="1" applyAlignment="1" applyProtection="1">
      <alignment horizontal="center" vertical="center" wrapText="1"/>
      <protection locked="0"/>
    </xf>
    <xf numFmtId="182" fontId="258" fillId="3" borderId="1" xfId="0" applyNumberFormat="1" applyFont="1" applyFill="1" applyBorder="1" applyAlignment="1" applyProtection="1">
      <alignment horizontal="center" vertical="center"/>
      <protection locked="0"/>
    </xf>
    <xf numFmtId="0" fontId="277" fillId="0" borderId="21" xfId="0" applyNumberFormat="1" applyFont="1" applyFill="1" applyBorder="1" applyAlignment="1" applyProtection="1">
      <alignment horizontal="center" vertical="center" wrapText="1"/>
      <protection locked="0"/>
    </xf>
    <xf numFmtId="187" fontId="280" fillId="3" borderId="6" xfId="0" applyNumberFormat="1" applyFont="1" applyFill="1" applyBorder="1" applyAlignment="1" applyProtection="1">
      <alignment horizontal="center" vertical="center"/>
      <protection locked="0"/>
    </xf>
    <xf numFmtId="0" fontId="257" fillId="3" borderId="6" xfId="0" applyFont="1" applyFill="1" applyBorder="1" applyAlignment="1" applyProtection="1">
      <alignment horizontal="center" vertical="center"/>
      <protection locked="0"/>
    </xf>
    <xf numFmtId="0" fontId="291" fillId="0" borderId="10" xfId="0" applyNumberFormat="1" applyFont="1" applyFill="1" applyBorder="1" applyAlignment="1" applyProtection="1">
      <alignment horizontal="center" vertical="center" wrapText="1"/>
      <protection locked="0"/>
    </xf>
    <xf numFmtId="0" fontId="291" fillId="0" borderId="23" xfId="0" applyNumberFormat="1" applyFont="1" applyFill="1" applyBorder="1" applyAlignment="1" applyProtection="1">
      <alignment horizontal="center" vertical="center" wrapText="1"/>
      <protection locked="0"/>
    </xf>
    <xf numFmtId="186" fontId="111" fillId="0" borderId="7" xfId="0" applyNumberFormat="1" applyFont="1" applyFill="1" applyBorder="1" applyAlignment="1" applyProtection="1">
      <alignment horizontal="center" vertical="center" wrapText="1"/>
      <protection locked="0"/>
    </xf>
    <xf numFmtId="0" fontId="45" fillId="3" borderId="6" xfId="0" applyFont="1" applyFill="1" applyBorder="1" applyAlignment="1" applyProtection="1">
      <alignment horizontal="center" vertical="center"/>
      <protection locked="0"/>
    </xf>
    <xf numFmtId="182" fontId="35" fillId="0" borderId="1" xfId="0" applyNumberFormat="1" applyFont="1" applyFill="1" applyBorder="1" applyAlignment="1" applyProtection="1">
      <alignment horizontal="center" vertical="center"/>
      <protection locked="0"/>
    </xf>
    <xf numFmtId="182" fontId="35" fillId="3" borderId="1" xfId="0" applyNumberFormat="1" applyFont="1" applyFill="1" applyBorder="1" applyAlignment="1" applyProtection="1">
      <alignment horizontal="center" vertical="center"/>
      <protection locked="0"/>
    </xf>
    <xf numFmtId="14" fontId="277" fillId="0" borderId="16" xfId="0" applyNumberFormat="1" applyFont="1" applyFill="1" applyBorder="1" applyAlignment="1" applyProtection="1">
      <alignment horizontal="center" vertical="center"/>
      <protection locked="0"/>
    </xf>
    <xf numFmtId="186" fontId="257" fillId="0" borderId="13" xfId="0" applyNumberFormat="1" applyFont="1" applyFill="1" applyBorder="1" applyAlignment="1" applyProtection="1">
      <alignment horizontal="center" vertical="center" wrapText="1"/>
      <protection locked="0"/>
    </xf>
    <xf numFmtId="195" fontId="257" fillId="0" borderId="9" xfId="0" applyNumberFormat="1" applyFont="1" applyFill="1" applyBorder="1" applyAlignment="1" applyProtection="1">
      <alignment horizontal="center" vertical="center"/>
      <protection locked="0"/>
    </xf>
    <xf numFmtId="0" fontId="257" fillId="3" borderId="10" xfId="0" applyFont="1" applyFill="1" applyBorder="1" applyAlignment="1" applyProtection="1">
      <alignment horizontal="center" vertical="center"/>
      <protection locked="0"/>
    </xf>
    <xf numFmtId="187" fontId="257" fillId="3" borderId="9" xfId="0" applyNumberFormat="1" applyFont="1" applyFill="1" applyBorder="1" applyAlignment="1" applyProtection="1">
      <alignment horizontal="center" vertical="center"/>
      <protection locked="0"/>
    </xf>
    <xf numFmtId="187" fontId="280" fillId="0" borderId="9" xfId="0" applyNumberFormat="1" applyFont="1" applyFill="1" applyBorder="1" applyAlignment="1" applyProtection="1">
      <alignment horizontal="center" vertical="center"/>
      <protection locked="0"/>
    </xf>
    <xf numFmtId="182" fontId="257" fillId="3" borderId="9" xfId="0" applyNumberFormat="1" applyFont="1" applyFill="1" applyBorder="1" applyAlignment="1" applyProtection="1">
      <alignment horizontal="center" vertical="center" wrapText="1"/>
      <protection locked="0"/>
    </xf>
    <xf numFmtId="0" fontId="258" fillId="3" borderId="9" xfId="0" applyFont="1" applyFill="1" applyBorder="1" applyAlignment="1" applyProtection="1">
      <alignment horizontal="center" vertical="center"/>
      <protection locked="0"/>
    </xf>
    <xf numFmtId="182" fontId="258" fillId="0" borderId="9" xfId="0" applyNumberFormat="1" applyFont="1" applyFill="1" applyBorder="1" applyAlignment="1" applyProtection="1">
      <alignment horizontal="center" vertical="center"/>
      <protection locked="0"/>
    </xf>
    <xf numFmtId="182" fontId="258" fillId="3" borderId="9" xfId="0" applyNumberFormat="1" applyFont="1" applyFill="1" applyBorder="1" applyAlignment="1" applyProtection="1">
      <alignment horizontal="center" vertical="center"/>
      <protection locked="0"/>
    </xf>
    <xf numFmtId="0" fontId="258" fillId="3" borderId="0" xfId="0" applyFont="1" applyFill="1" applyProtection="1">
      <alignment vertical="center"/>
      <protection locked="0"/>
    </xf>
    <xf numFmtId="0" fontId="320" fillId="0" borderId="23" xfId="0" applyNumberFormat="1" applyFont="1" applyFill="1" applyBorder="1" applyAlignment="1" applyProtection="1">
      <alignment horizontal="center" vertical="center" wrapText="1"/>
      <protection locked="0"/>
    </xf>
    <xf numFmtId="186" fontId="33" fillId="0" borderId="7" xfId="0" applyNumberFormat="1" applyFont="1" applyFill="1" applyBorder="1" applyAlignment="1" applyProtection="1">
      <alignment horizontal="center" vertical="center" wrapText="1"/>
      <protection locked="0"/>
    </xf>
    <xf numFmtId="195" fontId="33" fillId="0" borderId="1" xfId="0" applyNumberFormat="1" applyFont="1" applyFill="1" applyBorder="1" applyAlignment="1" applyProtection="1">
      <alignment horizontal="center" vertical="center"/>
      <protection locked="0"/>
    </xf>
    <xf numFmtId="0" fontId="33" fillId="3" borderId="6" xfId="0" applyFont="1" applyFill="1" applyBorder="1" applyAlignment="1" applyProtection="1">
      <alignment horizontal="center" vertical="center"/>
      <protection locked="0"/>
    </xf>
    <xf numFmtId="0" fontId="253" fillId="0" borderId="1" xfId="0" applyFont="1" applyFill="1" applyBorder="1" applyAlignment="1" applyProtection="1">
      <alignment horizontal="center" vertical="center"/>
      <protection locked="0"/>
    </xf>
    <xf numFmtId="182" fontId="34" fillId="0" borderId="1" xfId="0" applyNumberFormat="1" applyFont="1" applyFill="1" applyBorder="1" applyAlignment="1" applyProtection="1">
      <alignment horizontal="center" vertical="center"/>
      <protection locked="0"/>
    </xf>
    <xf numFmtId="182" fontId="34" fillId="3" borderId="1" xfId="0" applyNumberFormat="1" applyFont="1" applyFill="1" applyBorder="1" applyAlignment="1" applyProtection="1">
      <alignment horizontal="center" vertical="center"/>
      <protection locked="0"/>
    </xf>
    <xf numFmtId="0" fontId="1" fillId="0" borderId="1" xfId="0" applyNumberFormat="1" applyFont="1" applyFill="1" applyBorder="1" applyAlignment="1" applyProtection="1">
      <alignment horizontal="center" vertical="center" wrapText="1"/>
      <protection locked="0"/>
    </xf>
    <xf numFmtId="190" fontId="53" fillId="0" borderId="6" xfId="0" applyNumberFormat="1" applyFont="1" applyFill="1" applyBorder="1" applyAlignment="1" applyProtection="1">
      <alignment horizontal="center" vertical="center" wrapText="1" shrinkToFit="1"/>
      <protection locked="0"/>
    </xf>
    <xf numFmtId="190" fontId="53" fillId="0" borderId="23" xfId="0" applyNumberFormat="1" applyFont="1" applyFill="1" applyBorder="1" applyAlignment="1" applyProtection="1">
      <alignment horizontal="center" vertical="center" wrapText="1" shrinkToFit="1"/>
      <protection locked="0"/>
    </xf>
    <xf numFmtId="0" fontId="267" fillId="0" borderId="23" xfId="0" applyFont="1" applyFill="1" applyBorder="1" applyAlignment="1" applyProtection="1">
      <alignment horizontal="center" vertical="center" wrapText="1"/>
      <protection locked="0"/>
    </xf>
    <xf numFmtId="186" fontId="49" fillId="0" borderId="23" xfId="0" applyNumberFormat="1" applyFont="1" applyFill="1" applyBorder="1" applyAlignment="1" applyProtection="1">
      <alignment horizontal="center" vertical="center" wrapText="1"/>
      <protection locked="0"/>
    </xf>
    <xf numFmtId="0" fontId="320" fillId="0" borderId="101" xfId="0" applyNumberFormat="1" applyFont="1" applyFill="1" applyBorder="1" applyAlignment="1" applyProtection="1">
      <alignment horizontal="center" vertical="center" wrapText="1"/>
      <protection locked="0"/>
    </xf>
    <xf numFmtId="186" fontId="253" fillId="0" borderId="23" xfId="0" applyNumberFormat="1" applyFont="1" applyFill="1" applyBorder="1" applyAlignment="1" applyProtection="1">
      <alignment horizontal="center" vertical="center" wrapText="1"/>
      <protection locked="0"/>
    </xf>
    <xf numFmtId="186" fontId="53" fillId="0" borderId="23" xfId="0" applyNumberFormat="1" applyFont="1" applyFill="1" applyBorder="1" applyAlignment="1" applyProtection="1">
      <alignment horizontal="center" vertical="center" wrapText="1"/>
      <protection locked="0"/>
    </xf>
    <xf numFmtId="0" fontId="49" fillId="0" borderId="23" xfId="0" applyFont="1" applyFill="1" applyBorder="1" applyAlignment="1" applyProtection="1">
      <alignment horizontal="center" vertical="center"/>
      <protection locked="0"/>
    </xf>
    <xf numFmtId="186" fontId="267" fillId="0" borderId="23" xfId="0" applyNumberFormat="1" applyFont="1" applyFill="1" applyBorder="1" applyAlignment="1" applyProtection="1">
      <alignment horizontal="center" vertical="center" wrapText="1"/>
      <protection locked="0"/>
    </xf>
    <xf numFmtId="195" fontId="49" fillId="0" borderId="23" xfId="0" applyNumberFormat="1" applyFont="1" applyFill="1" applyBorder="1" applyAlignment="1" applyProtection="1">
      <alignment horizontal="center" vertical="center"/>
      <protection locked="0"/>
    </xf>
    <xf numFmtId="187" fontId="49" fillId="0" borderId="23" xfId="0" applyNumberFormat="1" applyFont="1" applyFill="1" applyBorder="1" applyAlignment="1" applyProtection="1">
      <alignment horizontal="center" vertical="center"/>
      <protection locked="0"/>
    </xf>
    <xf numFmtId="187" fontId="38" fillId="3" borderId="23" xfId="0" applyNumberFormat="1" applyFont="1" applyFill="1" applyBorder="1" applyAlignment="1" applyProtection="1">
      <alignment horizontal="center" vertical="center"/>
      <protection locked="0"/>
    </xf>
    <xf numFmtId="187" fontId="327" fillId="0" borderId="23" xfId="0" applyNumberFormat="1" applyFont="1" applyFill="1" applyBorder="1" applyAlignment="1" applyProtection="1">
      <alignment horizontal="center" vertical="center"/>
      <protection locked="0"/>
    </xf>
    <xf numFmtId="0" fontId="53" fillId="0" borderId="23" xfId="0" applyFont="1" applyFill="1" applyBorder="1" applyAlignment="1" applyProtection="1">
      <alignment horizontal="center" vertical="center"/>
      <protection locked="0"/>
    </xf>
    <xf numFmtId="0" fontId="253" fillId="3" borderId="23" xfId="0" applyFont="1" applyFill="1" applyBorder="1" applyAlignment="1" applyProtection="1">
      <alignment horizontal="center" vertical="center"/>
      <protection locked="0"/>
    </xf>
    <xf numFmtId="182" fontId="53" fillId="0" borderId="23" xfId="0" applyNumberFormat="1" applyFont="1" applyFill="1" applyBorder="1" applyAlignment="1" applyProtection="1">
      <alignment horizontal="center" vertical="center"/>
      <protection locked="0"/>
    </xf>
    <xf numFmtId="182" fontId="49" fillId="0" borderId="1" xfId="0" applyNumberFormat="1" applyFont="1" applyFill="1" applyBorder="1" applyAlignment="1" applyProtection="1">
      <alignment horizontal="center" vertical="center" wrapText="1"/>
      <protection locked="0"/>
    </xf>
    <xf numFmtId="182" fontId="49" fillId="0" borderId="1" xfId="0" applyNumberFormat="1" applyFont="1" applyFill="1" applyBorder="1" applyAlignment="1" applyProtection="1">
      <alignment horizontal="center" vertical="center"/>
      <protection locked="0"/>
    </xf>
    <xf numFmtId="187" fontId="49" fillId="0" borderId="1" xfId="0" applyNumberFormat="1" applyFont="1" applyFill="1" applyBorder="1" applyAlignment="1" applyProtection="1">
      <alignment horizontal="center" vertical="center"/>
      <protection locked="0"/>
    </xf>
    <xf numFmtId="0" fontId="320" fillId="0" borderId="9" xfId="0" applyNumberFormat="1" applyFont="1" applyFill="1" applyBorder="1" applyAlignment="1" applyProtection="1">
      <alignment horizontal="center" vertical="center" wrapText="1"/>
      <protection locked="0"/>
    </xf>
    <xf numFmtId="0" fontId="320" fillId="0" borderId="10" xfId="0" applyNumberFormat="1" applyFont="1" applyFill="1" applyBorder="1" applyAlignment="1" applyProtection="1">
      <alignment horizontal="center" vertical="center" wrapText="1"/>
      <protection locked="0"/>
    </xf>
    <xf numFmtId="3" fontId="49" fillId="0" borderId="1" xfId="0" applyNumberFormat="1" applyFont="1" applyFill="1" applyBorder="1" applyAlignment="1" applyProtection="1">
      <alignment horizontal="center" vertical="center"/>
      <protection locked="0"/>
    </xf>
    <xf numFmtId="190" fontId="53" fillId="0" borderId="23" xfId="0" applyNumberFormat="1" applyFont="1" applyFill="1" applyBorder="1" applyAlignment="1" applyProtection="1">
      <alignment horizontal="center" vertical="center" wrapText="1" shrinkToFit="1"/>
    </xf>
    <xf numFmtId="0" fontId="320" fillId="0" borderId="103" xfId="0" applyNumberFormat="1" applyFont="1" applyFill="1" applyBorder="1" applyAlignment="1" applyProtection="1">
      <alignment horizontal="center" vertical="center" wrapText="1"/>
      <protection locked="0"/>
    </xf>
    <xf numFmtId="0" fontId="253" fillId="0" borderId="23" xfId="0" applyNumberFormat="1" applyFont="1" applyFill="1" applyBorder="1" applyAlignment="1" applyProtection="1">
      <alignment horizontal="center" vertical="center" wrapText="1"/>
      <protection locked="0"/>
    </xf>
    <xf numFmtId="187" fontId="45" fillId="3" borderId="23" xfId="0" applyNumberFormat="1" applyFont="1" applyFill="1" applyBorder="1" applyAlignment="1" applyProtection="1">
      <alignment horizontal="center" vertical="center"/>
      <protection locked="0"/>
    </xf>
    <xf numFmtId="0" fontId="35" fillId="3" borderId="23" xfId="0" applyFont="1" applyFill="1" applyBorder="1" applyAlignment="1" applyProtection="1">
      <alignment horizontal="center" vertical="center"/>
      <protection locked="0"/>
    </xf>
    <xf numFmtId="182" fontId="49" fillId="0" borderId="23" xfId="0" applyNumberFormat="1" applyFont="1" applyFill="1" applyBorder="1" applyAlignment="1" applyProtection="1">
      <alignment horizontal="center" vertical="center" wrapText="1"/>
      <protection locked="0"/>
    </xf>
    <xf numFmtId="182" fontId="45" fillId="3" borderId="23" xfId="0" applyNumberFormat="1" applyFont="1" applyFill="1" applyBorder="1" applyAlignment="1" applyProtection="1">
      <alignment horizontal="center" vertical="center" wrapText="1"/>
      <protection locked="0"/>
    </xf>
    <xf numFmtId="182" fontId="49" fillId="0" borderId="23" xfId="0" applyNumberFormat="1" applyFont="1" applyFill="1" applyBorder="1" applyAlignment="1" applyProtection="1">
      <alignment horizontal="center" vertical="center"/>
      <protection locked="0"/>
    </xf>
    <xf numFmtId="0" fontId="49" fillId="0" borderId="23" xfId="0" applyFont="1" applyFill="1" applyBorder="1" applyAlignment="1" applyProtection="1">
      <alignment horizontal="center" vertical="center" wrapText="1"/>
      <protection locked="0"/>
    </xf>
    <xf numFmtId="0" fontId="62" fillId="0" borderId="23" xfId="0" applyFont="1" applyFill="1" applyBorder="1" applyAlignment="1" applyProtection="1">
      <alignment horizontal="center" vertical="center" wrapText="1"/>
      <protection locked="0"/>
    </xf>
    <xf numFmtId="1" fontId="53" fillId="0" borderId="23" xfId="0" applyNumberFormat="1" applyFont="1" applyFill="1" applyBorder="1" applyAlignment="1" applyProtection="1">
      <alignment horizontal="center" vertical="center"/>
      <protection locked="0"/>
    </xf>
    <xf numFmtId="182" fontId="34" fillId="3" borderId="9" xfId="0" applyNumberFormat="1" applyFont="1" applyFill="1" applyBorder="1" applyAlignment="1" applyProtection="1">
      <alignment horizontal="center" vertical="center"/>
      <protection locked="0"/>
    </xf>
    <xf numFmtId="182" fontId="34" fillId="0" borderId="9" xfId="0" applyNumberFormat="1" applyFont="1" applyFill="1" applyBorder="1" applyAlignment="1" applyProtection="1">
      <alignment horizontal="center" vertical="center"/>
      <protection locked="0"/>
    </xf>
    <xf numFmtId="0" fontId="34" fillId="0" borderId="9" xfId="0" applyFont="1" applyFill="1" applyBorder="1" applyAlignment="1" applyProtection="1">
      <alignment horizontal="center" vertical="center"/>
      <protection locked="0"/>
    </xf>
    <xf numFmtId="190" fontId="53" fillId="0" borderId="16" xfId="0" applyNumberFormat="1" applyFont="1" applyFill="1" applyBorder="1" applyAlignment="1" applyProtection="1">
      <alignment horizontal="center" vertical="center" wrapText="1" shrinkToFit="1"/>
      <protection locked="0"/>
    </xf>
    <xf numFmtId="0" fontId="49" fillId="0" borderId="16" xfId="0" applyFont="1" applyFill="1" applyBorder="1" applyAlignment="1" applyProtection="1">
      <alignment horizontal="center" vertical="center"/>
      <protection locked="0"/>
    </xf>
    <xf numFmtId="186" fontId="49" fillId="0" borderId="16" xfId="0" applyNumberFormat="1" applyFont="1" applyFill="1" applyBorder="1" applyAlignment="1" applyProtection="1">
      <alignment horizontal="center" vertical="center" wrapText="1"/>
      <protection locked="0"/>
    </xf>
    <xf numFmtId="0" fontId="320" fillId="0" borderId="16" xfId="0" applyNumberFormat="1" applyFont="1" applyFill="1" applyBorder="1" applyAlignment="1" applyProtection="1">
      <alignment horizontal="center" vertical="center" wrapText="1"/>
      <protection locked="0"/>
    </xf>
    <xf numFmtId="186" fontId="253" fillId="0" borderId="16" xfId="0" applyNumberFormat="1" applyFont="1" applyFill="1" applyBorder="1" applyAlignment="1" applyProtection="1">
      <alignment horizontal="center" vertical="center" wrapText="1"/>
      <protection locked="0"/>
    </xf>
    <xf numFmtId="186" fontId="53" fillId="0" borderId="16" xfId="0" applyNumberFormat="1" applyFont="1" applyFill="1" applyBorder="1" applyAlignment="1" applyProtection="1">
      <alignment horizontal="center" vertical="center" wrapText="1"/>
      <protection locked="0"/>
    </xf>
    <xf numFmtId="186" fontId="267" fillId="0" borderId="16" xfId="0" applyNumberFormat="1" applyFont="1" applyFill="1" applyBorder="1" applyAlignment="1" applyProtection="1">
      <alignment horizontal="center" vertical="center" wrapText="1"/>
      <protection locked="0"/>
    </xf>
    <xf numFmtId="195" fontId="49" fillId="0" borderId="16" xfId="0" applyNumberFormat="1" applyFont="1" applyFill="1" applyBorder="1" applyAlignment="1" applyProtection="1">
      <alignment horizontal="center" vertical="center"/>
      <protection locked="0"/>
    </xf>
    <xf numFmtId="0" fontId="49" fillId="3" borderId="15" xfId="0" applyFont="1" applyFill="1" applyBorder="1" applyAlignment="1" applyProtection="1">
      <alignment horizontal="center" vertical="center"/>
      <protection locked="0"/>
    </xf>
    <xf numFmtId="187" fontId="49" fillId="3" borderId="16" xfId="0" applyNumberFormat="1" applyFont="1" applyFill="1" applyBorder="1" applyAlignment="1" applyProtection="1">
      <alignment horizontal="center" vertical="center"/>
      <protection locked="0"/>
    </xf>
    <xf numFmtId="187" fontId="49" fillId="0" borderId="16" xfId="0" applyNumberFormat="1" applyFont="1" applyFill="1" applyBorder="1" applyAlignment="1" applyProtection="1">
      <alignment horizontal="center" vertical="center"/>
      <protection locked="0"/>
    </xf>
    <xf numFmtId="187" fontId="327" fillId="0" borderId="16" xfId="0" applyNumberFormat="1" applyFont="1" applyFill="1" applyBorder="1" applyAlignment="1" applyProtection="1">
      <alignment horizontal="center" vertical="center"/>
      <protection locked="0"/>
    </xf>
    <xf numFmtId="182" fontId="49" fillId="3" borderId="16" xfId="0" applyNumberFormat="1" applyFont="1" applyFill="1" applyBorder="1" applyAlignment="1" applyProtection="1">
      <alignment horizontal="center" vertical="center" wrapText="1"/>
      <protection locked="0"/>
    </xf>
    <xf numFmtId="0" fontId="53" fillId="0" borderId="16" xfId="0" applyFont="1" applyFill="1" applyBorder="1" applyAlignment="1" applyProtection="1">
      <alignment horizontal="center" vertical="center"/>
      <protection locked="0"/>
    </xf>
    <xf numFmtId="0" fontId="53" fillId="3" borderId="16" xfId="0" applyFont="1" applyFill="1" applyBorder="1" applyAlignment="1" applyProtection="1">
      <alignment horizontal="center" vertical="center"/>
      <protection locked="0"/>
    </xf>
    <xf numFmtId="0" fontId="53" fillId="3" borderId="15" xfId="0" applyFont="1" applyFill="1" applyBorder="1" applyAlignment="1" applyProtection="1">
      <alignment horizontal="center" vertical="center"/>
      <protection locked="0"/>
    </xf>
    <xf numFmtId="0" fontId="53" fillId="0" borderId="23" xfId="0" applyFont="1" applyFill="1" applyBorder="1" applyProtection="1">
      <alignment vertical="center"/>
      <protection locked="0"/>
    </xf>
    <xf numFmtId="0" fontId="53" fillId="3" borderId="14" xfId="0" applyFont="1" applyFill="1" applyBorder="1" applyAlignment="1" applyProtection="1">
      <alignment horizontal="center" vertical="center"/>
      <protection locked="0"/>
    </xf>
    <xf numFmtId="182" fontId="53" fillId="0" borderId="16" xfId="0" applyNumberFormat="1" applyFont="1" applyFill="1" applyBorder="1" applyAlignment="1" applyProtection="1">
      <alignment horizontal="center" vertical="center"/>
      <protection locked="0"/>
    </xf>
    <xf numFmtId="182" fontId="53" fillId="3" borderId="16" xfId="0" applyNumberFormat="1" applyFont="1" applyFill="1" applyBorder="1" applyAlignment="1" applyProtection="1">
      <alignment horizontal="center" vertical="center"/>
      <protection locked="0"/>
    </xf>
    <xf numFmtId="195" fontId="49" fillId="0" borderId="1" xfId="0" applyNumberFormat="1" applyFont="1" applyFill="1" applyBorder="1" applyAlignment="1" applyProtection="1">
      <alignment horizontal="center" vertical="center"/>
      <protection locked="0"/>
    </xf>
    <xf numFmtId="0" fontId="49" fillId="3" borderId="6" xfId="0" applyFont="1" applyFill="1" applyBorder="1" applyAlignment="1" applyProtection="1">
      <alignment horizontal="center" vertical="center"/>
      <protection locked="0"/>
    </xf>
    <xf numFmtId="187" fontId="49" fillId="3" borderId="1" xfId="0" applyNumberFormat="1" applyFont="1" applyFill="1" applyBorder="1" applyAlignment="1" applyProtection="1">
      <alignment horizontal="center" vertical="center"/>
      <protection locked="0"/>
    </xf>
    <xf numFmtId="187" fontId="327" fillId="0" borderId="1" xfId="0" applyNumberFormat="1" applyFont="1" applyFill="1" applyBorder="1" applyAlignment="1" applyProtection="1">
      <alignment horizontal="center" vertical="center"/>
      <protection locked="0"/>
    </xf>
    <xf numFmtId="182" fontId="49" fillId="3" borderId="1" xfId="0" applyNumberFormat="1" applyFont="1" applyFill="1" applyBorder="1" applyAlignment="1" applyProtection="1">
      <alignment horizontal="center" vertical="center" wrapText="1"/>
      <protection locked="0"/>
    </xf>
    <xf numFmtId="0" fontId="53" fillId="3" borderId="1" xfId="0" applyFont="1" applyFill="1" applyBorder="1" applyAlignment="1" applyProtection="1">
      <alignment horizontal="center" vertical="center"/>
      <protection locked="0"/>
    </xf>
    <xf numFmtId="0" fontId="53" fillId="3" borderId="6" xfId="0" applyFont="1" applyFill="1" applyBorder="1" applyAlignment="1" applyProtection="1">
      <alignment horizontal="center" vertical="center"/>
      <protection locked="0"/>
    </xf>
    <xf numFmtId="0" fontId="53" fillId="3" borderId="7" xfId="0" applyFont="1" applyFill="1" applyBorder="1" applyAlignment="1" applyProtection="1">
      <alignment horizontal="center" vertical="center"/>
      <protection locked="0"/>
    </xf>
    <xf numFmtId="0" fontId="53" fillId="0" borderId="1" xfId="0" applyFont="1" applyFill="1" applyBorder="1" applyAlignment="1" applyProtection="1">
      <alignment horizontal="center" vertical="center"/>
      <protection locked="0"/>
    </xf>
    <xf numFmtId="182" fontId="53" fillId="0" borderId="1" xfId="0" applyNumberFormat="1" applyFont="1" applyFill="1" applyBorder="1" applyAlignment="1" applyProtection="1">
      <alignment horizontal="center" vertical="center"/>
      <protection locked="0"/>
    </xf>
    <xf numFmtId="182" fontId="53" fillId="3" borderId="1" xfId="0" applyNumberFormat="1" applyFont="1" applyFill="1" applyBorder="1" applyAlignment="1" applyProtection="1">
      <alignment horizontal="center" vertical="center"/>
      <protection locked="0"/>
    </xf>
    <xf numFmtId="0" fontId="34" fillId="3" borderId="6" xfId="0" applyFont="1" applyFill="1" applyBorder="1" applyAlignment="1" applyProtection="1">
      <alignment horizontal="center" vertical="center"/>
      <protection locked="0"/>
    </xf>
    <xf numFmtId="0" fontId="34" fillId="0" borderId="23" xfId="0" applyFont="1" applyFill="1" applyBorder="1" applyAlignment="1" applyProtection="1">
      <alignment horizontal="center" vertical="center"/>
      <protection locked="0"/>
    </xf>
    <xf numFmtId="0" fontId="34" fillId="3" borderId="7" xfId="0" applyFont="1" applyFill="1" applyBorder="1" applyAlignment="1" applyProtection="1">
      <alignment horizontal="center" vertical="center"/>
      <protection locked="0"/>
    </xf>
    <xf numFmtId="0" fontId="34" fillId="3" borderId="9" xfId="0" applyFont="1" applyFill="1" applyBorder="1" applyAlignment="1" applyProtection="1">
      <alignment horizontal="center" vertical="center"/>
      <protection locked="0"/>
    </xf>
    <xf numFmtId="182" fontId="34" fillId="0" borderId="23" xfId="0" applyNumberFormat="1" applyFont="1" applyFill="1" applyBorder="1" applyAlignment="1" applyProtection="1">
      <alignment horizontal="center" vertical="center"/>
      <protection locked="0"/>
    </xf>
    <xf numFmtId="1" fontId="35" fillId="3" borderId="23" xfId="0" applyNumberFormat="1" applyFont="1" applyFill="1" applyBorder="1" applyAlignment="1" applyProtection="1">
      <alignment horizontal="center" vertical="center"/>
      <protection locked="0"/>
    </xf>
    <xf numFmtId="0" fontId="35" fillId="3" borderId="23" xfId="0" applyFont="1" applyFill="1" applyBorder="1" applyProtection="1">
      <alignment vertical="center"/>
      <protection locked="0"/>
    </xf>
    <xf numFmtId="186" fontId="267" fillId="3" borderId="23" xfId="0" applyNumberFormat="1" applyFont="1" applyFill="1" applyBorder="1" applyAlignment="1" applyProtection="1">
      <alignment horizontal="center" vertical="center" wrapText="1"/>
      <protection locked="0"/>
    </xf>
    <xf numFmtId="187" fontId="49" fillId="3" borderId="23" xfId="0" applyNumberFormat="1" applyFont="1" applyFill="1" applyBorder="1" applyAlignment="1" applyProtection="1">
      <alignment horizontal="center" vertical="center"/>
      <protection locked="0"/>
    </xf>
    <xf numFmtId="0" fontId="53" fillId="3" borderId="23" xfId="0" applyFont="1" applyFill="1" applyBorder="1" applyAlignment="1" applyProtection="1">
      <alignment horizontal="center" vertical="center"/>
      <protection locked="0"/>
    </xf>
    <xf numFmtId="182" fontId="53" fillId="3" borderId="23" xfId="0" applyNumberFormat="1" applyFont="1" applyFill="1" applyBorder="1" applyAlignment="1" applyProtection="1">
      <alignment horizontal="center" vertical="center"/>
      <protection locked="0"/>
    </xf>
    <xf numFmtId="0" fontId="253" fillId="0" borderId="102" xfId="0" applyFont="1" applyFill="1" applyBorder="1" applyAlignment="1" applyProtection="1">
      <alignment horizontal="center" vertical="center"/>
      <protection locked="0"/>
    </xf>
    <xf numFmtId="0" fontId="52" fillId="0" borderId="1" xfId="0" applyFont="1" applyBorder="1">
      <alignment vertical="center"/>
    </xf>
    <xf numFmtId="0" fontId="0" fillId="0" borderId="16" xfId="0" applyBorder="1">
      <alignment vertical="center"/>
    </xf>
    <xf numFmtId="188" fontId="33" fillId="0" borderId="16" xfId="0" applyNumberFormat="1" applyFont="1" applyFill="1" applyBorder="1" applyAlignment="1" applyProtection="1">
      <alignment horizontal="center" vertical="center"/>
    </xf>
    <xf numFmtId="0" fontId="33" fillId="0" borderId="16" xfId="0" applyFont="1" applyFill="1" applyBorder="1" applyAlignment="1" applyProtection="1">
      <alignment horizontal="center" vertical="center" wrapText="1"/>
      <protection locked="0"/>
    </xf>
    <xf numFmtId="0" fontId="33" fillId="0" borderId="16" xfId="0" applyFont="1" applyFill="1" applyBorder="1" applyAlignment="1" applyProtection="1">
      <alignment horizontal="center" vertical="center"/>
      <protection locked="0"/>
    </xf>
    <xf numFmtId="3" fontId="33" fillId="0" borderId="16" xfId="0" applyNumberFormat="1" applyFont="1" applyFill="1" applyBorder="1" applyAlignment="1" applyProtection="1">
      <alignment horizontal="center" vertical="center"/>
      <protection locked="0"/>
    </xf>
    <xf numFmtId="190" fontId="34" fillId="0" borderId="16" xfId="0" applyNumberFormat="1" applyFont="1" applyFill="1" applyBorder="1" applyAlignment="1" applyProtection="1">
      <alignment horizontal="center" vertical="center" wrapText="1" shrinkToFit="1"/>
      <protection locked="0"/>
    </xf>
    <xf numFmtId="0" fontId="33" fillId="0" borderId="16" xfId="0" applyFont="1" applyFill="1" applyBorder="1" applyAlignment="1" applyProtection="1">
      <alignment horizontal="justify" vertical="center"/>
      <protection locked="0"/>
    </xf>
    <xf numFmtId="186" fontId="33" fillId="0" borderId="16" xfId="0" applyNumberFormat="1" applyFont="1" applyFill="1" applyBorder="1" applyAlignment="1" applyProtection="1">
      <alignment horizontal="center" vertical="center" wrapText="1"/>
      <protection locked="0"/>
    </xf>
    <xf numFmtId="186" fontId="34" fillId="0" borderId="16" xfId="0" applyNumberFormat="1" applyFont="1" applyFill="1" applyBorder="1" applyAlignment="1" applyProtection="1">
      <alignment horizontal="center" vertical="center" wrapText="1"/>
      <protection locked="0"/>
    </xf>
    <xf numFmtId="0" fontId="52" fillId="0" borderId="16" xfId="0" applyNumberFormat="1" applyFont="1" applyFill="1" applyBorder="1" applyAlignment="1" applyProtection="1">
      <alignment horizontal="center" vertical="center" wrapText="1"/>
      <protection locked="0"/>
    </xf>
    <xf numFmtId="195" fontId="33" fillId="0" borderId="16" xfId="0" applyNumberFormat="1" applyFont="1" applyFill="1" applyBorder="1" applyAlignment="1" applyProtection="1">
      <alignment horizontal="center" vertical="center"/>
      <protection locked="0"/>
    </xf>
    <xf numFmtId="0" fontId="33" fillId="4" borderId="16" xfId="0" applyFont="1" applyFill="1" applyBorder="1" applyAlignment="1" applyProtection="1">
      <alignment horizontal="center" vertical="center" wrapText="1"/>
      <protection locked="0"/>
    </xf>
    <xf numFmtId="187" fontId="33" fillId="4" borderId="16" xfId="0" applyNumberFormat="1" applyFont="1" applyFill="1" applyBorder="1" applyAlignment="1" applyProtection="1">
      <alignment horizontal="center" vertical="center"/>
      <protection locked="0"/>
    </xf>
    <xf numFmtId="187" fontId="33" fillId="0" borderId="16" xfId="0" applyNumberFormat="1" applyFont="1" applyFill="1" applyBorder="1" applyAlignment="1" applyProtection="1">
      <alignment horizontal="center" vertical="center"/>
      <protection locked="0"/>
    </xf>
    <xf numFmtId="187" fontId="38" fillId="4" borderId="16" xfId="0" applyNumberFormat="1" applyFont="1" applyFill="1" applyBorder="1" applyAlignment="1" applyProtection="1">
      <alignment horizontal="center" vertical="center"/>
      <protection locked="0"/>
    </xf>
    <xf numFmtId="187" fontId="38" fillId="0" borderId="16" xfId="0" applyNumberFormat="1" applyFont="1" applyFill="1" applyBorder="1" applyAlignment="1" applyProtection="1">
      <alignment horizontal="center" vertical="center"/>
      <protection locked="0"/>
    </xf>
    <xf numFmtId="182" fontId="33" fillId="0" borderId="16" xfId="0" applyNumberFormat="1" applyFont="1" applyFill="1" applyBorder="1" applyAlignment="1" applyProtection="1">
      <alignment horizontal="center" vertical="center" wrapText="1"/>
      <protection locked="0"/>
    </xf>
    <xf numFmtId="182" fontId="33" fillId="0" borderId="16" xfId="0" applyNumberFormat="1" applyFont="1" applyFill="1" applyBorder="1" applyAlignment="1" applyProtection="1">
      <alignment horizontal="center" vertical="center"/>
      <protection locked="0"/>
    </xf>
    <xf numFmtId="182" fontId="33" fillId="4" borderId="16" xfId="0" applyNumberFormat="1" applyFont="1" applyFill="1" applyBorder="1" applyAlignment="1" applyProtection="1">
      <alignment horizontal="center" vertical="center" wrapText="1"/>
      <protection locked="0"/>
    </xf>
    <xf numFmtId="182" fontId="33" fillId="4" borderId="16" xfId="0" applyNumberFormat="1" applyFont="1" applyFill="1" applyBorder="1" applyAlignment="1" applyProtection="1">
      <alignment horizontal="center" vertical="center"/>
      <protection locked="0"/>
    </xf>
    <xf numFmtId="0" fontId="34" fillId="4" borderId="16" xfId="0" applyFont="1" applyFill="1" applyBorder="1" applyAlignment="1" applyProtection="1">
      <alignment horizontal="center" vertical="center"/>
      <protection locked="0"/>
    </xf>
    <xf numFmtId="3" fontId="33" fillId="0" borderId="1" xfId="0" applyNumberFormat="1" applyFont="1" applyFill="1" applyBorder="1" applyAlignment="1" applyProtection="1">
      <alignment horizontal="center" vertical="center"/>
      <protection locked="0"/>
    </xf>
    <xf numFmtId="0" fontId="33" fillId="0" borderId="1" xfId="0" applyFont="1" applyFill="1" applyBorder="1" applyAlignment="1" applyProtection="1">
      <alignment horizontal="center" vertical="center"/>
    </xf>
    <xf numFmtId="185" fontId="33" fillId="0" borderId="1" xfId="0" applyNumberFormat="1" applyFont="1" applyFill="1" applyBorder="1" applyAlignment="1" applyProtection="1">
      <alignment horizontal="center" vertical="center"/>
      <protection locked="0"/>
    </xf>
    <xf numFmtId="0" fontId="322" fillId="0" borderId="1" xfId="0" applyFont="1" applyFill="1" applyBorder="1" applyAlignment="1" applyProtection="1">
      <alignment horizontal="center" vertical="center" wrapText="1"/>
      <protection locked="0"/>
    </xf>
    <xf numFmtId="0" fontId="323" fillId="0" borderId="1" xfId="0" applyFont="1" applyFill="1" applyBorder="1" applyAlignment="1" applyProtection="1">
      <alignment horizontal="center" vertical="center"/>
      <protection locked="0"/>
    </xf>
    <xf numFmtId="187" fontId="322" fillId="0" borderId="1" xfId="0" applyNumberFormat="1" applyFont="1" applyFill="1" applyBorder="1" applyAlignment="1" applyProtection="1">
      <alignment horizontal="center" vertical="center"/>
      <protection locked="0"/>
    </xf>
    <xf numFmtId="187" fontId="323" fillId="0" borderId="1" xfId="0" applyNumberFormat="1" applyFont="1" applyFill="1" applyBorder="1" applyAlignment="1" applyProtection="1">
      <alignment horizontal="center" vertical="center"/>
      <protection locked="0"/>
    </xf>
    <xf numFmtId="0" fontId="333" fillId="0" borderId="1" xfId="0" applyFont="1" applyFill="1" applyBorder="1" applyAlignment="1" applyProtection="1">
      <alignment horizontal="center" vertical="center" wrapText="1"/>
      <protection locked="0"/>
    </xf>
    <xf numFmtId="0" fontId="290" fillId="0" borderId="0" xfId="0" applyNumberFormat="1" applyFont="1" applyFill="1" applyBorder="1" applyAlignment="1" applyProtection="1">
      <alignment horizontal="center" vertical="center" wrapText="1"/>
      <protection locked="0"/>
    </xf>
    <xf numFmtId="0" fontId="290" fillId="0" borderId="0" xfId="0" applyNumberFormat="1" applyFont="1" applyFill="1" applyAlignment="1" applyProtection="1">
      <alignment horizontal="center" vertical="center" wrapText="1"/>
      <protection locked="0"/>
    </xf>
    <xf numFmtId="0" fontId="33" fillId="12" borderId="0" xfId="0" applyFont="1" applyFill="1" applyAlignment="1" applyProtection="1">
      <alignment horizontal="center" vertical="center"/>
      <protection locked="0"/>
    </xf>
    <xf numFmtId="187" fontId="33" fillId="12" borderId="0" xfId="0" applyNumberFormat="1" applyFont="1" applyFill="1" applyAlignment="1" applyProtection="1">
      <alignment horizontal="center" vertical="center"/>
      <protection locked="0"/>
    </xf>
    <xf numFmtId="182" fontId="33" fillId="0" borderId="0" xfId="0" applyNumberFormat="1" applyFont="1" applyFill="1" applyAlignment="1" applyProtection="1">
      <alignment horizontal="center" vertical="center"/>
      <protection locked="0"/>
    </xf>
    <xf numFmtId="186" fontId="34" fillId="0" borderId="0" xfId="0" applyNumberFormat="1" applyFont="1" applyFill="1" applyAlignment="1" applyProtection="1">
      <alignment horizontal="center" vertical="center" wrapText="1"/>
      <protection locked="0"/>
    </xf>
    <xf numFmtId="191" fontId="33" fillId="0" borderId="0" xfId="0" applyNumberFormat="1" applyFont="1" applyFill="1" applyAlignment="1" applyProtection="1">
      <alignment horizontal="center" vertical="center" wrapText="1"/>
      <protection locked="0"/>
    </xf>
    <xf numFmtId="0" fontId="46" fillId="0" borderId="0" xfId="0" applyFont="1" applyFill="1" applyAlignment="1" applyProtection="1">
      <alignment horizontal="center" vertical="center" wrapText="1"/>
      <protection locked="0"/>
    </xf>
    <xf numFmtId="186" fontId="36" fillId="0" borderId="0" xfId="0" applyNumberFormat="1" applyFont="1" applyFill="1" applyBorder="1" applyAlignment="1" applyProtection="1">
      <alignment horizontal="center" vertical="center" wrapText="1"/>
      <protection locked="0"/>
    </xf>
    <xf numFmtId="186" fontId="36" fillId="0" borderId="0" xfId="0" applyNumberFormat="1" applyFont="1" applyFill="1" applyAlignment="1" applyProtection="1">
      <alignment horizontal="center" vertical="center" wrapText="1"/>
      <protection locked="0"/>
    </xf>
    <xf numFmtId="0" fontId="292" fillId="0" borderId="0" xfId="0" applyFont="1" applyFill="1" applyBorder="1" applyAlignment="1" applyProtection="1">
      <alignment horizontal="center" vertical="center" wrapText="1"/>
      <protection locked="0"/>
    </xf>
    <xf numFmtId="0" fontId="292" fillId="0" borderId="0" xfId="0" applyFont="1" applyFill="1" applyAlignment="1" applyProtection="1">
      <alignment horizontal="center" vertical="center" wrapText="1"/>
      <protection locked="0"/>
    </xf>
    <xf numFmtId="0" fontId="36" fillId="0" borderId="0" xfId="0" applyFont="1" applyFill="1" applyBorder="1" applyAlignment="1" applyProtection="1">
      <alignment horizontal="center" vertical="center" wrapText="1"/>
      <protection locked="0"/>
    </xf>
    <xf numFmtId="0" fontId="36" fillId="0" borderId="0" xfId="0" applyFont="1" applyFill="1" applyAlignment="1" applyProtection="1">
      <alignment horizontal="center" vertical="center" wrapText="1"/>
      <protection locked="0"/>
    </xf>
    <xf numFmtId="193" fontId="46" fillId="0" borderId="0" xfId="0" applyNumberFormat="1" applyFont="1" applyFill="1" applyBorder="1" applyAlignment="1" applyProtection="1">
      <alignment horizontal="center" vertical="center" wrapText="1"/>
      <protection locked="0"/>
    </xf>
    <xf numFmtId="193" fontId="46" fillId="0" borderId="0" xfId="0" applyNumberFormat="1" applyFont="1" applyFill="1" applyAlignment="1" applyProtection="1">
      <alignment horizontal="center" vertical="center" wrapText="1"/>
      <protection locked="0"/>
    </xf>
    <xf numFmtId="0" fontId="1" fillId="0" borderId="0" xfId="0" applyNumberFormat="1" applyFont="1" applyFill="1" applyBorder="1" applyAlignment="1" applyProtection="1">
      <alignment horizontal="center" vertical="center" wrapText="1"/>
      <protection locked="0"/>
    </xf>
    <xf numFmtId="0" fontId="1" fillId="0" borderId="0" xfId="0" applyNumberFormat="1" applyFont="1" applyFill="1" applyAlignment="1" applyProtection="1">
      <alignment horizontal="center" vertical="center" wrapText="1"/>
      <protection locked="0"/>
    </xf>
    <xf numFmtId="186" fontId="37" fillId="0" borderId="0" xfId="0" applyNumberFormat="1" applyFont="1" applyFill="1" applyBorder="1" applyAlignment="1" applyProtection="1">
      <alignment horizontal="center" vertical="center" wrapText="1"/>
      <protection locked="0"/>
    </xf>
    <xf numFmtId="186" fontId="37" fillId="0" borderId="0" xfId="0" applyNumberFormat="1" applyFont="1" applyFill="1" applyAlignment="1" applyProtection="1">
      <alignment horizontal="center" vertical="center" wrapText="1"/>
      <protection locked="0"/>
    </xf>
    <xf numFmtId="0" fontId="47" fillId="0" borderId="0" xfId="0" applyFont="1" applyFill="1" applyAlignment="1" applyProtection="1">
      <alignment horizontal="center" vertical="center" wrapText="1"/>
      <protection locked="0"/>
    </xf>
    <xf numFmtId="0" fontId="37" fillId="0" borderId="0" xfId="0" applyFont="1" applyFill="1" applyBorder="1" applyAlignment="1" applyProtection="1">
      <alignment horizontal="center" vertical="center" wrapText="1"/>
      <protection locked="0"/>
    </xf>
    <xf numFmtId="0" fontId="37" fillId="0" borderId="0" xfId="0" applyFont="1" applyFill="1" applyAlignment="1" applyProtection="1">
      <alignment horizontal="center" vertical="center" wrapText="1"/>
      <protection locked="0"/>
    </xf>
    <xf numFmtId="0" fontId="1" fillId="0" borderId="0" xfId="0" applyFont="1" applyFill="1" applyBorder="1" applyAlignment="1" applyProtection="1">
      <alignment horizontal="center" vertical="center"/>
      <protection locked="0"/>
    </xf>
    <xf numFmtId="0" fontId="1" fillId="0" borderId="0" xfId="0" applyFont="1" applyFill="1" applyAlignment="1" applyProtection="1">
      <alignment horizontal="center" vertical="center"/>
      <protection locked="0"/>
    </xf>
    <xf numFmtId="0" fontId="61" fillId="0" borderId="0" xfId="0" applyNumberFormat="1" applyFont="1" applyFill="1" applyBorder="1" applyAlignment="1" applyProtection="1">
      <alignment horizontal="center" vertical="center" wrapText="1"/>
      <protection locked="0"/>
    </xf>
    <xf numFmtId="0" fontId="61" fillId="0" borderId="0" xfId="0" applyNumberFormat="1" applyFont="1" applyFill="1" applyAlignment="1" applyProtection="1">
      <alignment horizontal="center" vertical="center" wrapText="1"/>
      <protection locked="0"/>
    </xf>
    <xf numFmtId="0" fontId="3" fillId="0" borderId="0" xfId="0" applyFont="1" applyFill="1" applyAlignment="1" applyProtection="1">
      <alignment horizontal="center" vertical="center"/>
      <protection locked="0"/>
    </xf>
    <xf numFmtId="0" fontId="3" fillId="0" borderId="0" xfId="0" applyFont="1" applyFill="1" applyProtection="1">
      <alignment vertical="center"/>
      <protection locked="0"/>
    </xf>
    <xf numFmtId="0" fontId="334" fillId="0" borderId="0" xfId="0" applyFont="1" applyFill="1" applyBorder="1" applyAlignment="1" applyProtection="1">
      <alignment horizontal="center" vertical="center" wrapText="1"/>
      <protection locked="0"/>
    </xf>
    <xf numFmtId="0" fontId="281" fillId="0" borderId="0" xfId="0" applyFont="1" applyFill="1" applyProtection="1">
      <alignment vertical="center"/>
      <protection locked="0"/>
    </xf>
    <xf numFmtId="0" fontId="284" fillId="0" borderId="0" xfId="0" applyFont="1" applyFill="1" applyProtection="1">
      <alignment vertical="center"/>
      <protection locked="0"/>
    </xf>
    <xf numFmtId="0" fontId="287" fillId="0" borderId="0" xfId="0" applyFont="1" applyFill="1" applyProtection="1">
      <alignment vertical="center"/>
      <protection locked="0"/>
    </xf>
    <xf numFmtId="0" fontId="0" fillId="0" borderId="0" xfId="0" applyFont="1" applyFill="1" applyProtection="1">
      <alignment vertical="center"/>
      <protection locked="0"/>
    </xf>
    <xf numFmtId="0" fontId="28" fillId="0" borderId="0" xfId="0" applyFont="1" applyFill="1" applyAlignment="1" applyProtection="1">
      <alignment horizontal="center" vertical="center"/>
    </xf>
    <xf numFmtId="0" fontId="28" fillId="0" borderId="0" xfId="0" applyFont="1" applyFill="1" applyAlignment="1" applyProtection="1">
      <alignment horizontal="center" vertical="center" wrapText="1"/>
      <protection locked="0"/>
    </xf>
    <xf numFmtId="0" fontId="28" fillId="0" borderId="0" xfId="0" applyFont="1" applyFill="1" applyAlignment="1" applyProtection="1">
      <alignment horizontal="center" vertical="center"/>
      <protection locked="0"/>
    </xf>
    <xf numFmtId="0" fontId="102" fillId="0" borderId="0" xfId="0" applyFont="1" applyFill="1" applyAlignment="1" applyProtection="1">
      <alignment horizontal="center" vertical="center" wrapText="1"/>
      <protection locked="0"/>
    </xf>
    <xf numFmtId="0" fontId="102" fillId="0" borderId="0" xfId="0" applyFont="1" applyFill="1" applyAlignment="1" applyProtection="1">
      <alignment horizontal="center" vertical="center"/>
      <protection locked="0"/>
    </xf>
    <xf numFmtId="185" fontId="102" fillId="0" borderId="0" xfId="0" applyNumberFormat="1" applyFont="1" applyFill="1" applyAlignment="1" applyProtection="1">
      <alignment horizontal="center" vertical="center"/>
      <protection locked="0"/>
    </xf>
    <xf numFmtId="0" fontId="335" fillId="0" borderId="0" xfId="0" applyFont="1" applyFill="1" applyAlignment="1" applyProtection="1">
      <alignment horizontal="center" vertical="center" wrapText="1"/>
      <protection locked="0"/>
    </xf>
    <xf numFmtId="186" fontId="28" fillId="0" borderId="0" xfId="0" applyNumberFormat="1" applyFont="1" applyFill="1" applyAlignment="1" applyProtection="1">
      <alignment horizontal="center" vertical="center" wrapText="1"/>
      <protection locked="0"/>
    </xf>
    <xf numFmtId="0" fontId="21" fillId="0" borderId="0" xfId="0" applyFont="1" applyFill="1" applyBorder="1" applyAlignment="1" applyProtection="1">
      <alignment horizontal="center" vertical="center" wrapText="1"/>
      <protection locked="0"/>
    </xf>
    <xf numFmtId="0" fontId="0" fillId="0" borderId="0" xfId="0" applyFont="1" applyFill="1" applyBorder="1" applyAlignment="1" applyProtection="1">
      <alignment horizontal="center" vertical="center"/>
      <protection locked="0"/>
    </xf>
    <xf numFmtId="0" fontId="29" fillId="0" borderId="0" xfId="0" applyFont="1" applyFill="1" applyAlignment="1" applyProtection="1">
      <alignment horizontal="center" vertical="center"/>
      <protection locked="0"/>
    </xf>
    <xf numFmtId="186" fontId="84" fillId="0" borderId="0" xfId="0" applyNumberFormat="1" applyFont="1" applyFill="1" applyAlignment="1" applyProtection="1">
      <alignment horizontal="center" vertical="center" wrapText="1"/>
      <protection locked="0"/>
    </xf>
    <xf numFmtId="186" fontId="29" fillId="0" borderId="0" xfId="0" applyNumberFormat="1" applyFont="1" applyFill="1" applyAlignment="1" applyProtection="1">
      <alignment horizontal="center" vertical="center" wrapText="1"/>
      <protection locked="0"/>
    </xf>
    <xf numFmtId="0" fontId="3" fillId="0" borderId="0" xfId="0" applyFont="1" applyFill="1" applyAlignment="1" applyProtection="1">
      <alignment horizontal="center" vertical="center" wrapText="1"/>
      <protection locked="0"/>
    </xf>
    <xf numFmtId="0" fontId="5" fillId="0" borderId="0" xfId="0" applyFont="1" applyFill="1" applyAlignment="1" applyProtection="1">
      <alignment horizontal="center" vertical="center" wrapText="1"/>
      <protection locked="0"/>
    </xf>
    <xf numFmtId="0" fontId="6" fillId="0" borderId="0" xfId="0" applyFont="1" applyFill="1" applyAlignment="1" applyProtection="1">
      <alignment horizontal="center" vertical="center"/>
      <protection locked="0"/>
    </xf>
    <xf numFmtId="187" fontId="3" fillId="0" borderId="0" xfId="0" applyNumberFormat="1" applyFont="1" applyFill="1" applyAlignment="1" applyProtection="1">
      <alignment horizontal="center" vertical="center"/>
      <protection locked="0"/>
    </xf>
    <xf numFmtId="187" fontId="5" fillId="0" borderId="0" xfId="0" applyNumberFormat="1" applyFont="1" applyFill="1" applyAlignment="1" applyProtection="1">
      <alignment horizontal="center" vertical="center"/>
      <protection locked="0"/>
    </xf>
    <xf numFmtId="187" fontId="6" fillId="0" borderId="0" xfId="0" applyNumberFormat="1" applyFont="1" applyFill="1" applyAlignment="1" applyProtection="1">
      <alignment horizontal="center" vertical="center"/>
      <protection locked="0"/>
    </xf>
    <xf numFmtId="187" fontId="7" fillId="0" borderId="0" xfId="0" applyNumberFormat="1" applyFont="1" applyFill="1" applyAlignment="1" applyProtection="1">
      <alignment horizontal="center" vertical="center"/>
      <protection locked="0"/>
    </xf>
    <xf numFmtId="187" fontId="3" fillId="0" borderId="0" xfId="0" applyNumberFormat="1" applyFont="1" applyFill="1" applyAlignment="1" applyProtection="1">
      <alignment horizontal="center" vertical="center" wrapText="1"/>
      <protection locked="0"/>
    </xf>
    <xf numFmtId="187" fontId="0" fillId="0" borderId="0" xfId="0" applyNumberFormat="1" applyFill="1" applyBorder="1" applyAlignment="1" applyProtection="1">
      <alignment horizontal="center" vertical="center"/>
      <protection locked="0"/>
    </xf>
    <xf numFmtId="187" fontId="0" fillId="0" borderId="0" xfId="0" applyNumberFormat="1" applyFill="1" applyProtection="1">
      <alignment vertical="center"/>
      <protection locked="0"/>
    </xf>
    <xf numFmtId="187" fontId="336" fillId="0" borderId="1" xfId="0" applyNumberFormat="1" applyFont="1" applyFill="1" applyBorder="1" applyAlignment="1" applyProtection="1">
      <alignment horizontal="center" vertical="center"/>
      <protection locked="0"/>
    </xf>
    <xf numFmtId="187" fontId="337" fillId="0" borderId="1" xfId="0" applyNumberFormat="1" applyFont="1" applyFill="1" applyBorder="1" applyAlignment="1" applyProtection="1">
      <alignment horizontal="center" vertical="center" wrapText="1"/>
      <protection locked="0"/>
    </xf>
    <xf numFmtId="187" fontId="337" fillId="0" borderId="1" xfId="0" applyNumberFormat="1" applyFont="1" applyFill="1" applyBorder="1" applyAlignment="1" applyProtection="1">
      <alignment horizontal="center" vertical="center"/>
      <protection locked="0"/>
    </xf>
    <xf numFmtId="0" fontId="138" fillId="0" borderId="0" xfId="0" applyFont="1" applyFill="1" applyAlignment="1" applyProtection="1">
      <alignment horizontal="center" vertical="center"/>
    </xf>
    <xf numFmtId="0" fontId="138" fillId="0" borderId="0" xfId="0" applyFont="1" applyFill="1" applyAlignment="1" applyProtection="1">
      <alignment horizontal="center" vertical="center"/>
      <protection locked="0"/>
    </xf>
    <xf numFmtId="0" fontId="138" fillId="0" borderId="0" xfId="0" applyFont="1" applyFill="1" applyAlignment="1" applyProtection="1">
      <alignment horizontal="center" vertical="center" wrapText="1"/>
      <protection locked="0"/>
    </xf>
    <xf numFmtId="0" fontId="99" fillId="0" borderId="0" xfId="0" applyFont="1" applyFill="1" applyAlignment="1" applyProtection="1">
      <alignment horizontal="center" vertical="center" wrapText="1"/>
      <protection locked="0"/>
    </xf>
    <xf numFmtId="0" fontId="99" fillId="0" borderId="0" xfId="0" applyFont="1" applyFill="1" applyAlignment="1" applyProtection="1">
      <alignment horizontal="center" vertical="center"/>
      <protection locked="0"/>
    </xf>
    <xf numFmtId="0" fontId="99" fillId="0" borderId="0" xfId="0" applyFont="1" applyFill="1" applyAlignment="1" applyProtection="1">
      <alignment vertical="center"/>
      <protection locked="0"/>
    </xf>
    <xf numFmtId="58" fontId="99" fillId="0" borderId="0" xfId="0" applyNumberFormat="1" applyFont="1" applyFill="1" applyAlignment="1" applyProtection="1">
      <alignment vertical="center"/>
      <protection locked="0"/>
    </xf>
    <xf numFmtId="0" fontId="8" fillId="0" borderId="0" xfId="0" applyFont="1" applyFill="1" applyAlignment="1" applyProtection="1">
      <alignment vertical="center"/>
      <protection locked="0"/>
    </xf>
    <xf numFmtId="0" fontId="338" fillId="0" borderId="0" xfId="0" applyFont="1" applyFill="1" applyAlignment="1" applyProtection="1">
      <alignment vertical="center" wrapText="1"/>
      <protection locked="0"/>
    </xf>
    <xf numFmtId="186" fontId="138" fillId="0" borderId="0" xfId="0" applyNumberFormat="1" applyFont="1" applyFill="1" applyAlignment="1" applyProtection="1">
      <alignment vertical="center" wrapText="1"/>
      <protection locked="0"/>
    </xf>
    <xf numFmtId="0" fontId="20" fillId="0" borderId="0" xfId="0" applyFont="1" applyFill="1" applyBorder="1" applyAlignment="1" applyProtection="1">
      <alignment horizontal="center" vertical="center" wrapText="1"/>
      <protection locked="0"/>
    </xf>
    <xf numFmtId="0" fontId="339" fillId="0" borderId="0" xfId="0" applyFont="1" applyFill="1" applyAlignment="1" applyProtection="1">
      <alignment vertical="center"/>
      <protection locked="0"/>
    </xf>
    <xf numFmtId="186" fontId="145" fillId="0" borderId="0" xfId="0" applyNumberFormat="1" applyFont="1" applyFill="1" applyAlignment="1" applyProtection="1">
      <alignment vertical="center" wrapText="1"/>
      <protection locked="0"/>
    </xf>
    <xf numFmtId="186" fontId="339" fillId="0" borderId="0" xfId="0" applyNumberFormat="1" applyFont="1" applyFill="1" applyAlignment="1" applyProtection="1">
      <alignment vertical="center" wrapText="1"/>
      <protection locked="0"/>
    </xf>
    <xf numFmtId="186" fontId="339" fillId="0" borderId="0" xfId="0" applyNumberFormat="1" applyFont="1" applyFill="1" applyAlignment="1" applyProtection="1">
      <alignment horizontal="center" vertical="center" wrapText="1"/>
      <protection locked="0"/>
    </xf>
    <xf numFmtId="0" fontId="8" fillId="0" borderId="0" xfId="0" applyFont="1" applyFill="1" applyAlignment="1" applyProtection="1">
      <alignment vertical="center" wrapText="1"/>
      <protection locked="0"/>
    </xf>
    <xf numFmtId="0" fontId="13" fillId="0" borderId="0" xfId="0" applyFont="1" applyFill="1" applyAlignment="1" applyProtection="1">
      <alignment vertical="center" wrapText="1"/>
      <protection locked="0"/>
    </xf>
    <xf numFmtId="0" fontId="14" fillId="0" borderId="0" xfId="0" applyFont="1" applyFill="1" applyAlignment="1" applyProtection="1">
      <alignment vertical="center"/>
      <protection locked="0"/>
    </xf>
    <xf numFmtId="187" fontId="8" fillId="0" borderId="0" xfId="0" applyNumberFormat="1" applyFont="1" applyFill="1" applyBorder="1" applyAlignment="1" applyProtection="1">
      <alignment vertical="center"/>
      <protection locked="0"/>
    </xf>
    <xf numFmtId="187" fontId="13" fillId="0" borderId="0" xfId="0" applyNumberFormat="1" applyFont="1" applyFill="1" applyBorder="1" applyAlignment="1" applyProtection="1">
      <alignment vertical="center"/>
      <protection locked="0"/>
    </xf>
    <xf numFmtId="187" fontId="14" fillId="0" borderId="0" xfId="0" applyNumberFormat="1" applyFont="1" applyFill="1" applyBorder="1" applyAlignment="1" applyProtection="1">
      <alignment vertical="center"/>
      <protection locked="0"/>
    </xf>
    <xf numFmtId="187" fontId="8" fillId="0" borderId="0" xfId="0" applyNumberFormat="1" applyFont="1" applyFill="1" applyAlignment="1" applyProtection="1">
      <alignment vertical="center"/>
      <protection locked="0"/>
    </xf>
    <xf numFmtId="187" fontId="14" fillId="0" borderId="0" xfId="0" applyNumberFormat="1" applyFont="1" applyFill="1" applyAlignment="1" applyProtection="1">
      <alignment vertical="center"/>
      <protection locked="0"/>
    </xf>
    <xf numFmtId="188" fontId="203" fillId="0" borderId="0" xfId="0" applyNumberFormat="1" applyFont="1" applyFill="1" applyBorder="1" applyAlignment="1" applyProtection="1">
      <alignment horizontal="center" vertical="center"/>
    </xf>
    <xf numFmtId="0" fontId="340" fillId="0" borderId="0" xfId="0" applyFont="1" applyFill="1" applyBorder="1" applyAlignment="1" applyProtection="1">
      <alignment horizontal="center" vertical="center" wrapText="1"/>
      <protection locked="0"/>
    </xf>
    <xf numFmtId="188" fontId="254" fillId="0" borderId="0" xfId="0" applyNumberFormat="1" applyFont="1" applyFill="1" applyBorder="1" applyAlignment="1" applyProtection="1">
      <alignment horizontal="center" vertical="center"/>
      <protection locked="0"/>
    </xf>
    <xf numFmtId="188" fontId="203" fillId="0" borderId="0" xfId="0" applyNumberFormat="1" applyFont="1" applyFill="1" applyBorder="1" applyAlignment="1" applyProtection="1">
      <alignment horizontal="center" vertical="center"/>
      <protection locked="0"/>
    </xf>
    <xf numFmtId="188" fontId="203" fillId="0" borderId="0" xfId="0" applyNumberFormat="1" applyFont="1" applyFill="1" applyAlignment="1" applyProtection="1">
      <alignment horizontal="center" vertical="center" wrapText="1"/>
      <protection locked="0"/>
    </xf>
    <xf numFmtId="188" fontId="203" fillId="0" borderId="0" xfId="0" applyNumberFormat="1" applyFont="1" applyFill="1" applyAlignment="1" applyProtection="1">
      <alignment horizontal="center" vertical="center"/>
      <protection locked="0"/>
    </xf>
    <xf numFmtId="0" fontId="189" fillId="0" borderId="0" xfId="0" applyFont="1" applyFill="1" applyAlignment="1" applyProtection="1">
      <alignment horizontal="center" vertical="center" wrapText="1"/>
      <protection locked="0"/>
    </xf>
    <xf numFmtId="0" fontId="78" fillId="0" borderId="0" xfId="0" applyFont="1" applyFill="1" applyAlignment="1" applyProtection="1">
      <alignment horizontal="center" vertical="center"/>
      <protection locked="0"/>
    </xf>
    <xf numFmtId="185" fontId="99" fillId="0" borderId="0" xfId="0" applyNumberFormat="1" applyFont="1" applyFill="1" applyAlignment="1" applyProtection="1">
      <alignment horizontal="center" vertical="center"/>
      <protection locked="0"/>
    </xf>
    <xf numFmtId="0" fontId="145" fillId="0" borderId="0" xfId="0" applyFont="1" applyFill="1" applyAlignment="1" applyProtection="1">
      <alignment horizontal="center" vertical="center"/>
      <protection locked="0"/>
    </xf>
    <xf numFmtId="0" fontId="7" fillId="0" borderId="0" xfId="0" applyFont="1" applyFill="1" applyAlignment="1" applyProtection="1">
      <alignment horizontal="center" vertical="center"/>
      <protection locked="0"/>
    </xf>
    <xf numFmtId="186" fontId="138" fillId="0" borderId="0" xfId="0" applyNumberFormat="1" applyFont="1" applyFill="1" applyAlignment="1" applyProtection="1">
      <alignment horizontal="center" vertical="center" wrapText="1"/>
      <protection locked="0"/>
    </xf>
    <xf numFmtId="0" fontId="339" fillId="0" borderId="0" xfId="0" applyFont="1" applyFill="1" applyAlignment="1" applyProtection="1">
      <alignment horizontal="center" vertical="center"/>
      <protection locked="0"/>
    </xf>
    <xf numFmtId="186" fontId="145" fillId="0" borderId="0" xfId="0" applyNumberFormat="1" applyFont="1" applyFill="1" applyAlignment="1" applyProtection="1">
      <alignment horizontal="center" vertical="center" wrapText="1"/>
      <protection locked="0"/>
    </xf>
    <xf numFmtId="0" fontId="22" fillId="0" borderId="0" xfId="0" applyFont="1" applyFill="1" applyAlignment="1" applyProtection="1">
      <alignment horizontal="center" vertical="center" wrapText="1"/>
      <protection locked="0"/>
    </xf>
    <xf numFmtId="0" fontId="17" fillId="0" borderId="0" xfId="0" applyFont="1" applyFill="1" applyAlignment="1" applyProtection="1">
      <alignment horizontal="center" vertical="center" wrapText="1"/>
      <protection locked="0"/>
    </xf>
    <xf numFmtId="0" fontId="18" fillId="0" borderId="0" xfId="0" applyFont="1" applyFill="1" applyAlignment="1" applyProtection="1">
      <alignment horizontal="center" vertical="center" wrapText="1"/>
      <protection locked="0"/>
    </xf>
    <xf numFmtId="187" fontId="22" fillId="0" borderId="22" xfId="0" applyNumberFormat="1" applyFont="1" applyFill="1" applyBorder="1" applyAlignment="1" applyProtection="1">
      <alignment horizontal="center" vertical="center"/>
      <protection locked="0"/>
    </xf>
    <xf numFmtId="187" fontId="17" fillId="0" borderId="0" xfId="0" applyNumberFormat="1" applyFont="1" applyFill="1" applyBorder="1" applyAlignment="1" applyProtection="1">
      <alignment horizontal="center" vertical="center"/>
      <protection locked="0"/>
    </xf>
    <xf numFmtId="187" fontId="6" fillId="0" borderId="47" xfId="0" applyNumberFormat="1" applyFont="1" applyFill="1" applyBorder="1" applyAlignment="1" applyProtection="1">
      <alignment horizontal="center" vertical="center"/>
      <protection locked="0"/>
    </xf>
    <xf numFmtId="187" fontId="341" fillId="0" borderId="16" xfId="0" applyNumberFormat="1" applyFont="1" applyFill="1" applyBorder="1" applyAlignment="1" applyProtection="1">
      <alignment horizontal="center" vertical="center" wrapText="1"/>
      <protection locked="0"/>
    </xf>
    <xf numFmtId="187" fontId="341" fillId="0" borderId="16" xfId="0" applyNumberFormat="1" applyFont="1" applyFill="1" applyBorder="1" applyAlignment="1" applyProtection="1">
      <alignment horizontal="center" vertical="center"/>
      <protection locked="0"/>
    </xf>
    <xf numFmtId="187" fontId="342" fillId="0" borderId="0" xfId="0" applyNumberFormat="1" applyFont="1" applyFill="1" applyBorder="1" applyAlignment="1" applyProtection="1">
      <alignment horizontal="center" vertical="center"/>
      <protection locked="0"/>
    </xf>
    <xf numFmtId="187" fontId="3" fillId="0" borderId="0" xfId="0" applyNumberFormat="1" applyFont="1" applyFill="1" applyProtection="1">
      <alignment vertical="center"/>
      <protection locked="0"/>
    </xf>
    <xf numFmtId="193" fontId="38" fillId="0" borderId="9" xfId="0" applyNumberFormat="1" applyFont="1" applyFill="1" applyBorder="1" applyAlignment="1" applyProtection="1">
      <alignment horizontal="center" vertical="center" wrapText="1" shrinkToFit="1"/>
    </xf>
    <xf numFmtId="0" fontId="343" fillId="0" borderId="9" xfId="0" applyFont="1" applyFill="1" applyBorder="1" applyAlignment="1" applyProtection="1">
      <alignment horizontal="center" vertical="center" wrapText="1" shrinkToFit="1"/>
      <protection locked="0"/>
    </xf>
    <xf numFmtId="0" fontId="57" fillId="0" borderId="9" xfId="0" applyFont="1" applyFill="1" applyBorder="1" applyAlignment="1" applyProtection="1">
      <alignment horizontal="center" vertical="center" wrapText="1" shrinkToFit="1"/>
      <protection locked="0"/>
    </xf>
    <xf numFmtId="0" fontId="99" fillId="0" borderId="9" xfId="0" applyFont="1" applyFill="1" applyBorder="1" applyAlignment="1" applyProtection="1">
      <alignment horizontal="center" vertical="center" wrapText="1" shrinkToFit="1"/>
      <protection locked="0"/>
    </xf>
    <xf numFmtId="186" fontId="38" fillId="0" borderId="9" xfId="0" applyNumberFormat="1" applyFont="1" applyFill="1" applyBorder="1" applyAlignment="1" applyProtection="1">
      <alignment horizontal="center" vertical="center" wrapText="1" shrinkToFit="1"/>
      <protection locked="0"/>
    </xf>
    <xf numFmtId="0" fontId="38" fillId="0" borderId="9" xfId="0" applyFont="1" applyFill="1" applyBorder="1" applyAlignment="1" applyProtection="1">
      <alignment horizontal="center" vertical="center" wrapText="1" shrinkToFit="1"/>
      <protection locked="0"/>
    </xf>
    <xf numFmtId="186" fontId="38" fillId="0" borderId="10" xfId="0" applyNumberFormat="1" applyFont="1" applyFill="1" applyBorder="1" applyAlignment="1" applyProtection="1">
      <alignment horizontal="center" vertical="center" wrapText="1" shrinkToFit="1"/>
      <protection locked="0"/>
    </xf>
    <xf numFmtId="0" fontId="0" fillId="0" borderId="1" xfId="0" applyFont="1" applyFill="1" applyBorder="1" applyAlignment="1" applyProtection="1">
      <alignment horizontal="center" vertical="center"/>
      <protection locked="0"/>
    </xf>
    <xf numFmtId="0" fontId="344" fillId="0" borderId="13" xfId="0" applyFont="1" applyFill="1" applyBorder="1" applyAlignment="1" applyProtection="1">
      <alignment horizontal="center" vertical="center"/>
      <protection locked="0"/>
    </xf>
    <xf numFmtId="0" fontId="344" fillId="0" borderId="9" xfId="0" applyFont="1" applyFill="1" applyBorder="1" applyAlignment="1" applyProtection="1">
      <alignment horizontal="center" vertical="center"/>
      <protection locked="0"/>
    </xf>
    <xf numFmtId="0" fontId="22" fillId="0" borderId="9" xfId="0" applyNumberFormat="1" applyFont="1" applyFill="1" applyBorder="1" applyAlignment="1" applyProtection="1">
      <alignment horizontal="center" vertical="center" wrapText="1" shrinkToFit="1"/>
      <protection locked="0"/>
    </xf>
    <xf numFmtId="0" fontId="123" fillId="0" borderId="9" xfId="0" applyFont="1" applyFill="1" applyBorder="1" applyAlignment="1" applyProtection="1">
      <alignment horizontal="center" vertical="center" wrapText="1" shrinkToFit="1"/>
      <protection locked="0"/>
    </xf>
    <xf numFmtId="185" fontId="57" fillId="0" borderId="9" xfId="0" applyNumberFormat="1" applyFont="1" applyFill="1" applyBorder="1" applyAlignment="1" applyProtection="1">
      <alignment horizontal="center" vertical="center" wrapText="1" shrinkToFit="1"/>
      <protection locked="0"/>
    </xf>
    <xf numFmtId="0" fontId="57" fillId="0" borderId="9" xfId="0" applyNumberFormat="1" applyFont="1" applyFill="1" applyBorder="1" applyAlignment="1" applyProtection="1">
      <alignment horizontal="center" vertical="center" wrapText="1" shrinkToFit="1"/>
      <protection locked="0"/>
    </xf>
    <xf numFmtId="0" fontId="254" fillId="0" borderId="9" xfId="0" applyFont="1" applyFill="1" applyBorder="1" applyAlignment="1" applyProtection="1">
      <alignment horizontal="center" vertical="center" wrapText="1" shrinkToFit="1"/>
      <protection locked="0"/>
    </xf>
    <xf numFmtId="0" fontId="345" fillId="0" borderId="9" xfId="0" applyFont="1" applyFill="1" applyBorder="1" applyAlignment="1" applyProtection="1">
      <alignment horizontal="center" vertical="center" wrapText="1" shrinkToFit="1"/>
      <protection locked="0"/>
    </xf>
    <xf numFmtId="187" fontId="123" fillId="0" borderId="9" xfId="0" applyNumberFormat="1" applyFont="1" applyFill="1" applyBorder="1" applyAlignment="1" applyProtection="1">
      <alignment horizontal="center" vertical="center" wrapText="1" shrinkToFit="1"/>
      <protection locked="0"/>
    </xf>
    <xf numFmtId="187" fontId="345" fillId="0" borderId="9" xfId="0" applyNumberFormat="1" applyFont="1" applyFill="1" applyBorder="1" applyAlignment="1" applyProtection="1">
      <alignment horizontal="center" vertical="center" wrapText="1" shrinkToFit="1"/>
      <protection locked="0"/>
    </xf>
    <xf numFmtId="187" fontId="1" fillId="0" borderId="9" xfId="0" applyNumberFormat="1" applyFont="1" applyFill="1" applyBorder="1" applyAlignment="1" applyProtection="1">
      <alignment horizontal="center" vertical="center" wrapText="1" shrinkToFit="1"/>
      <protection locked="0"/>
    </xf>
    <xf numFmtId="187" fontId="320" fillId="0" borderId="9" xfId="0" applyNumberFormat="1" applyFont="1" applyFill="1" applyBorder="1" applyAlignment="1" applyProtection="1">
      <alignment horizontal="center" vertical="center" wrapText="1" shrinkToFit="1"/>
      <protection locked="0"/>
    </xf>
    <xf numFmtId="187" fontId="22" fillId="0" borderId="9" xfId="0" applyNumberFormat="1" applyFont="1" applyFill="1" applyBorder="1" applyAlignment="1" applyProtection="1">
      <alignment horizontal="center" vertical="center" wrapText="1" shrinkToFit="1"/>
      <protection locked="0"/>
    </xf>
    <xf numFmtId="187" fontId="61" fillId="0" borderId="9" xfId="0" applyNumberFormat="1" applyFont="1" applyFill="1" applyBorder="1" applyAlignment="1" applyProtection="1">
      <alignment horizontal="center" vertical="center" wrapText="1" shrinkToFit="1"/>
      <protection locked="0"/>
    </xf>
    <xf numFmtId="187" fontId="57" fillId="0" borderId="9" xfId="0" applyNumberFormat="1" applyFont="1" applyFill="1" applyBorder="1" applyAlignment="1" applyProtection="1">
      <alignment horizontal="center" vertical="center" wrapText="1" shrinkToFit="1"/>
      <protection locked="0"/>
    </xf>
    <xf numFmtId="187" fontId="1" fillId="0" borderId="6" xfId="0" applyNumberFormat="1" applyFont="1" applyFill="1" applyBorder="1" applyAlignment="1" applyProtection="1">
      <alignment horizontal="center" vertical="center" wrapText="1" shrinkToFit="1"/>
      <protection locked="0"/>
    </xf>
    <xf numFmtId="187" fontId="57" fillId="0" borderId="1" xfId="0" applyNumberFormat="1" applyFont="1" applyFill="1" applyBorder="1" applyAlignment="1" applyProtection="1">
      <alignment horizontal="center" vertical="center" wrapText="1"/>
      <protection locked="0"/>
    </xf>
    <xf numFmtId="188" fontId="346" fillId="0" borderId="1" xfId="0" applyNumberFormat="1" applyFont="1" applyFill="1" applyBorder="1" applyAlignment="1" applyProtection="1">
      <alignment horizontal="center" vertical="center"/>
    </xf>
    <xf numFmtId="49" fontId="256" fillId="0" borderId="1" xfId="0" applyNumberFormat="1" applyFont="1" applyFill="1" applyBorder="1" applyAlignment="1" applyProtection="1">
      <alignment horizontal="center" vertical="center" wrapText="1"/>
      <protection locked="0"/>
    </xf>
    <xf numFmtId="0" fontId="256" fillId="0" borderId="1" xfId="0" applyFont="1" applyFill="1" applyBorder="1" applyAlignment="1" applyProtection="1">
      <alignment horizontal="center" vertical="center" wrapText="1" shrinkToFit="1"/>
      <protection locked="0"/>
    </xf>
    <xf numFmtId="0" fontId="346" fillId="0" borderId="1" xfId="0" applyFont="1" applyFill="1" applyBorder="1" applyAlignment="1" applyProtection="1">
      <alignment horizontal="center" vertical="center" wrapText="1"/>
      <protection locked="0"/>
    </xf>
    <xf numFmtId="0" fontId="255" fillId="0" borderId="1" xfId="0" applyFont="1" applyFill="1" applyBorder="1" applyAlignment="1" applyProtection="1">
      <alignment horizontal="center" vertical="center" wrapText="1" shrinkToFit="1"/>
      <protection locked="0"/>
    </xf>
    <xf numFmtId="0" fontId="255" fillId="0" borderId="1" xfId="0" applyFont="1" applyFill="1" applyBorder="1" applyAlignment="1" applyProtection="1">
      <alignment horizontal="center" vertical="center"/>
      <protection locked="0"/>
    </xf>
    <xf numFmtId="182" fontId="255" fillId="0" borderId="1" xfId="0" applyNumberFormat="1" applyFont="1" applyFill="1" applyBorder="1" applyAlignment="1" applyProtection="1">
      <alignment horizontal="center" vertical="center"/>
      <protection locked="0"/>
    </xf>
    <xf numFmtId="186" fontId="347" fillId="0" borderId="1" xfId="0" applyNumberFormat="1" applyFont="1" applyFill="1" applyBorder="1" applyAlignment="1" applyProtection="1">
      <alignment horizontal="center" vertical="center" wrapText="1"/>
      <protection locked="0"/>
    </xf>
    <xf numFmtId="0" fontId="259" fillId="0" borderId="9" xfId="0" applyFont="1" applyFill="1" applyBorder="1" applyAlignment="1" applyProtection="1">
      <alignment horizontal="center" vertical="center"/>
      <protection locked="0"/>
    </xf>
    <xf numFmtId="0" fontId="259" fillId="0" borderId="1" xfId="0" applyFont="1" applyFill="1" applyBorder="1" applyAlignment="1" applyProtection="1">
      <alignment horizontal="center" vertical="center"/>
      <protection locked="0"/>
    </xf>
    <xf numFmtId="190" fontId="256" fillId="0" borderId="6" xfId="0" applyNumberFormat="1" applyFont="1" applyFill="1" applyBorder="1" applyAlignment="1" applyProtection="1">
      <alignment horizontal="center" vertical="center" wrapText="1" shrinkToFit="1"/>
      <protection locked="0"/>
    </xf>
    <xf numFmtId="186" fontId="281" fillId="0" borderId="7" xfId="0" applyNumberFormat="1" applyFont="1" applyFill="1" applyBorder="1" applyAlignment="1" applyProtection="1">
      <alignment horizontal="center" vertical="center" wrapText="1"/>
      <protection locked="0"/>
    </xf>
    <xf numFmtId="186" fontId="281" fillId="0" borderId="16" xfId="0" applyNumberFormat="1" applyFont="1" applyFill="1" applyBorder="1" applyAlignment="1" applyProtection="1">
      <alignment horizontal="center" vertical="center" wrapText="1"/>
      <protection locked="0"/>
    </xf>
    <xf numFmtId="195" fontId="256" fillId="0" borderId="1" xfId="0" applyNumberFormat="1" applyFont="1" applyFill="1" applyBorder="1" applyAlignment="1" applyProtection="1">
      <alignment horizontal="center" vertical="center"/>
      <protection locked="0"/>
    </xf>
    <xf numFmtId="185" fontId="346" fillId="0" borderId="1" xfId="0" applyNumberFormat="1" applyFont="1" applyFill="1" applyBorder="1" applyAlignment="1" applyProtection="1">
      <alignment horizontal="center" vertical="center"/>
      <protection locked="0"/>
    </xf>
    <xf numFmtId="0" fontId="222" fillId="0" borderId="1" xfId="0" applyNumberFormat="1" applyFont="1" applyFill="1" applyBorder="1" applyAlignment="1" applyProtection="1">
      <alignment horizontal="center" vertical="center"/>
      <protection locked="0"/>
    </xf>
    <xf numFmtId="0" fontId="346" fillId="0" borderId="1" xfId="0" applyNumberFormat="1" applyFont="1" applyFill="1" applyBorder="1" applyAlignment="1" applyProtection="1">
      <alignment horizontal="center" vertical="center"/>
      <protection locked="0"/>
    </xf>
    <xf numFmtId="0" fontId="348" fillId="0" borderId="1" xfId="0" applyNumberFormat="1" applyFont="1" applyFill="1" applyBorder="1" applyAlignment="1" applyProtection="1">
      <alignment horizontal="center" vertical="center"/>
      <protection locked="0"/>
    </xf>
    <xf numFmtId="0" fontId="349" fillId="0" borderId="1" xfId="0" applyFont="1" applyFill="1" applyBorder="1" applyAlignment="1" applyProtection="1">
      <alignment horizontal="center" vertical="center" wrapText="1" shrinkToFit="1"/>
      <protection locked="0"/>
    </xf>
    <xf numFmtId="187" fontId="289" fillId="0" borderId="1" xfId="0" applyNumberFormat="1" applyFont="1" applyFill="1" applyBorder="1" applyAlignment="1" applyProtection="1">
      <alignment horizontal="center" vertical="center" wrapText="1" shrinkToFit="1"/>
      <protection locked="0"/>
    </xf>
    <xf numFmtId="187" fontId="349" fillId="0" borderId="1" xfId="0" applyNumberFormat="1" applyFont="1" applyFill="1" applyBorder="1" applyAlignment="1" applyProtection="1">
      <alignment horizontal="center" vertical="center" wrapText="1" shrinkToFit="1"/>
      <protection locked="0"/>
    </xf>
    <xf numFmtId="187" fontId="350" fillId="0" borderId="1" xfId="0" applyNumberFormat="1" applyFont="1" applyFill="1" applyBorder="1" applyAlignment="1" applyProtection="1">
      <alignment horizontal="center" vertical="center" wrapText="1" shrinkToFit="1"/>
      <protection locked="0"/>
    </xf>
    <xf numFmtId="187" fontId="256" fillId="0" borderId="1" xfId="0" applyNumberFormat="1" applyFont="1" applyFill="1" applyBorder="1" applyAlignment="1" applyProtection="1">
      <alignment horizontal="center" vertical="center" wrapText="1" shrinkToFit="1"/>
      <protection locked="0"/>
    </xf>
    <xf numFmtId="187" fontId="351" fillId="0" borderId="1" xfId="0" applyNumberFormat="1" applyFont="1" applyFill="1" applyBorder="1" applyAlignment="1" applyProtection="1">
      <alignment horizontal="center" vertical="center"/>
      <protection locked="0"/>
    </xf>
    <xf numFmtId="187" fontId="351" fillId="0" borderId="6" xfId="0" applyNumberFormat="1" applyFont="1" applyFill="1" applyBorder="1" applyAlignment="1" applyProtection="1">
      <alignment horizontal="center" vertical="center"/>
      <protection locked="0"/>
    </xf>
    <xf numFmtId="187" fontId="256" fillId="0" borderId="1" xfId="0" applyNumberFormat="1" applyFont="1" applyFill="1" applyBorder="1" applyAlignment="1" applyProtection="1">
      <alignment horizontal="center" vertical="center"/>
      <protection locked="0"/>
    </xf>
    <xf numFmtId="0" fontId="281" fillId="0" borderId="1" xfId="0" applyFont="1" applyFill="1" applyBorder="1" applyProtection="1">
      <alignment vertical="center"/>
      <protection locked="0"/>
    </xf>
    <xf numFmtId="187" fontId="3" fillId="0" borderId="1" xfId="0" applyNumberFormat="1" applyFont="1" applyFill="1" applyBorder="1" applyAlignment="1" applyProtection="1">
      <alignment horizontal="center" vertical="center" wrapText="1" shrinkToFit="1"/>
      <protection locked="0"/>
    </xf>
    <xf numFmtId="190" fontId="256" fillId="0" borderId="21" xfId="0" applyNumberFormat="1" applyFont="1" applyFill="1" applyBorder="1" applyAlignment="1" applyProtection="1">
      <alignment horizontal="center" vertical="center" wrapText="1" shrinkToFit="1"/>
      <protection locked="0"/>
    </xf>
    <xf numFmtId="187" fontId="348" fillId="0" borderId="1" xfId="0" applyNumberFormat="1" applyFont="1" applyFill="1" applyBorder="1" applyAlignment="1" applyProtection="1">
      <alignment horizontal="center" vertical="center" wrapText="1" shrinkToFit="1"/>
      <protection locked="0"/>
    </xf>
    <xf numFmtId="187" fontId="219" fillId="0" borderId="1" xfId="0" applyNumberFormat="1" applyFont="1" applyFill="1" applyBorder="1" applyAlignment="1" applyProtection="1">
      <alignment horizontal="center" vertical="center" wrapText="1" shrinkToFit="1"/>
      <protection locked="0"/>
    </xf>
    <xf numFmtId="186" fontId="281" fillId="0" borderId="5" xfId="0" applyNumberFormat="1" applyFont="1" applyFill="1" applyBorder="1" applyAlignment="1" applyProtection="1">
      <alignment horizontal="center" vertical="center" wrapText="1"/>
      <protection locked="0"/>
    </xf>
    <xf numFmtId="187" fontId="348" fillId="4" borderId="1" xfId="0" applyNumberFormat="1" applyFont="1" applyFill="1" applyBorder="1" applyAlignment="1" applyProtection="1">
      <alignment horizontal="center" vertical="center" wrapText="1" shrinkToFit="1"/>
      <protection locked="0"/>
    </xf>
    <xf numFmtId="187" fontId="219" fillId="4" borderId="1" xfId="0" applyNumberFormat="1" applyFont="1" applyFill="1" applyBorder="1" applyAlignment="1" applyProtection="1">
      <alignment horizontal="center" vertical="center" wrapText="1" shrinkToFit="1"/>
      <protection locked="0"/>
    </xf>
    <xf numFmtId="188" fontId="352" fillId="0" borderId="1" xfId="0" applyNumberFormat="1" applyFont="1" applyFill="1" applyBorder="1" applyAlignment="1" applyProtection="1">
      <alignment horizontal="center" vertical="center"/>
    </xf>
    <xf numFmtId="49" fontId="217" fillId="0" borderId="1" xfId="0" applyNumberFormat="1" applyFont="1" applyFill="1" applyBorder="1" applyAlignment="1" applyProtection="1">
      <alignment horizontal="center" vertical="center" wrapText="1"/>
      <protection locked="0"/>
    </xf>
    <xf numFmtId="0" fontId="217" fillId="0" borderId="1" xfId="0" applyFont="1" applyFill="1" applyBorder="1" applyAlignment="1" applyProtection="1">
      <alignment horizontal="center" vertical="center" wrapText="1" shrinkToFit="1"/>
      <protection locked="0"/>
    </xf>
    <xf numFmtId="0" fontId="352" fillId="0" borderId="1" xfId="0" applyFont="1" applyFill="1" applyBorder="1" applyAlignment="1" applyProtection="1">
      <alignment horizontal="center" vertical="center" wrapText="1"/>
      <protection locked="0"/>
    </xf>
    <xf numFmtId="0" fontId="283" fillId="0" borderId="1" xfId="0" applyFont="1" applyFill="1" applyBorder="1" applyAlignment="1" applyProtection="1">
      <alignment horizontal="center" vertical="center" wrapText="1" shrinkToFit="1"/>
      <protection locked="0"/>
    </xf>
    <xf numFmtId="0" fontId="283" fillId="0" borderId="1" xfId="0" applyFont="1" applyFill="1" applyBorder="1" applyAlignment="1" applyProtection="1">
      <alignment horizontal="center" vertical="center"/>
      <protection locked="0"/>
    </xf>
    <xf numFmtId="182" fontId="283" fillId="0" borderId="1" xfId="0" applyNumberFormat="1" applyFont="1" applyFill="1" applyBorder="1" applyAlignment="1" applyProtection="1">
      <alignment horizontal="center" vertical="center"/>
      <protection locked="0"/>
    </xf>
    <xf numFmtId="190" fontId="217" fillId="0" borderId="1" xfId="0" applyNumberFormat="1" applyFont="1" applyFill="1" applyBorder="1" applyAlignment="1" applyProtection="1">
      <alignment horizontal="center" vertical="center" wrapText="1" shrinkToFit="1"/>
      <protection locked="0"/>
    </xf>
    <xf numFmtId="186" fontId="353" fillId="0" borderId="1" xfId="0" applyNumberFormat="1" applyFont="1" applyFill="1" applyBorder="1" applyAlignment="1" applyProtection="1">
      <alignment horizontal="center" vertical="center" wrapText="1"/>
      <protection locked="0"/>
    </xf>
    <xf numFmtId="186" fontId="217" fillId="0" borderId="1" xfId="0" applyNumberFormat="1" applyFont="1" applyFill="1" applyBorder="1" applyAlignment="1" applyProtection="1">
      <alignment horizontal="center" vertical="center" wrapText="1"/>
      <protection locked="0"/>
    </xf>
    <xf numFmtId="0" fontId="354" fillId="0" borderId="9" xfId="0" applyFont="1" applyFill="1" applyBorder="1" applyAlignment="1" applyProtection="1">
      <alignment horizontal="center" vertical="center"/>
      <protection locked="0"/>
    </xf>
    <xf numFmtId="0" fontId="354" fillId="0" borderId="1" xfId="0" applyFont="1" applyFill="1" applyBorder="1" applyAlignment="1" applyProtection="1">
      <alignment horizontal="center" vertical="center"/>
      <protection locked="0"/>
    </xf>
    <xf numFmtId="186" fontId="284" fillId="0" borderId="5" xfId="0" applyNumberFormat="1" applyFont="1" applyFill="1" applyBorder="1" applyAlignment="1" applyProtection="1">
      <alignment horizontal="center" vertical="center" wrapText="1"/>
      <protection locked="0"/>
    </xf>
    <xf numFmtId="186" fontId="284" fillId="0" borderId="7" xfId="0" applyNumberFormat="1" applyFont="1" applyFill="1" applyBorder="1" applyAlignment="1" applyProtection="1">
      <alignment horizontal="center" vertical="center" wrapText="1"/>
      <protection locked="0"/>
    </xf>
    <xf numFmtId="195" fontId="217" fillId="0" borderId="1" xfId="0" applyNumberFormat="1" applyFont="1" applyFill="1" applyBorder="1" applyAlignment="1" applyProtection="1">
      <alignment horizontal="center" vertical="center"/>
      <protection locked="0"/>
    </xf>
    <xf numFmtId="185" fontId="352" fillId="0" borderId="1" xfId="0" applyNumberFormat="1" applyFont="1" applyFill="1" applyBorder="1" applyAlignment="1" applyProtection="1">
      <alignment horizontal="center" vertical="center"/>
      <protection locked="0"/>
    </xf>
    <xf numFmtId="0" fontId="355" fillId="0" borderId="1" xfId="0" applyNumberFormat="1" applyFont="1" applyFill="1" applyBorder="1" applyAlignment="1" applyProtection="1">
      <alignment horizontal="center" vertical="center"/>
      <protection locked="0"/>
    </xf>
    <xf numFmtId="0" fontId="352" fillId="0" borderId="1" xfId="0" applyNumberFormat="1" applyFont="1" applyFill="1" applyBorder="1" applyAlignment="1" applyProtection="1">
      <alignment horizontal="center" vertical="center"/>
      <protection locked="0"/>
    </xf>
    <xf numFmtId="0" fontId="219" fillId="0" borderId="1" xfId="0" applyNumberFormat="1" applyFont="1" applyFill="1" applyBorder="1" applyAlignment="1" applyProtection="1">
      <alignment horizontal="center" vertical="center"/>
      <protection locked="0"/>
    </xf>
    <xf numFmtId="0" fontId="356" fillId="0" borderId="1" xfId="0" applyFont="1" applyFill="1" applyBorder="1" applyAlignment="1" applyProtection="1">
      <alignment horizontal="center" vertical="center" wrapText="1" shrinkToFit="1"/>
      <protection locked="0"/>
    </xf>
    <xf numFmtId="187" fontId="356" fillId="0" borderId="1" xfId="0" applyNumberFormat="1" applyFont="1" applyFill="1" applyBorder="1" applyAlignment="1" applyProtection="1">
      <alignment horizontal="center" vertical="center" wrapText="1" shrinkToFit="1"/>
      <protection locked="0"/>
    </xf>
    <xf numFmtId="187" fontId="357" fillId="0" borderId="1" xfId="0" applyNumberFormat="1" applyFont="1" applyFill="1" applyBorder="1" applyAlignment="1" applyProtection="1">
      <alignment horizontal="center" vertical="center" wrapText="1" shrinkToFit="1"/>
      <protection locked="0"/>
    </xf>
    <xf numFmtId="187" fontId="217" fillId="0" borderId="1" xfId="0" applyNumberFormat="1" applyFont="1" applyFill="1" applyBorder="1" applyAlignment="1" applyProtection="1">
      <alignment horizontal="center" vertical="center" wrapText="1" shrinkToFit="1"/>
      <protection locked="0"/>
    </xf>
    <xf numFmtId="187" fontId="220" fillId="0" borderId="1" xfId="0" applyNumberFormat="1" applyFont="1" applyFill="1" applyBorder="1" applyAlignment="1" applyProtection="1">
      <alignment horizontal="center" vertical="center"/>
      <protection locked="0"/>
    </xf>
    <xf numFmtId="187" fontId="220" fillId="0" borderId="6" xfId="0" applyNumberFormat="1" applyFont="1" applyFill="1" applyBorder="1" applyAlignment="1" applyProtection="1">
      <alignment horizontal="center" vertical="center"/>
      <protection locked="0"/>
    </xf>
    <xf numFmtId="187" fontId="217" fillId="0" borderId="1" xfId="0" applyNumberFormat="1" applyFont="1" applyFill="1" applyBorder="1" applyAlignment="1" applyProtection="1">
      <alignment horizontal="center" vertical="center"/>
      <protection locked="0"/>
    </xf>
    <xf numFmtId="0" fontId="284" fillId="0" borderId="1" xfId="0" applyFont="1" applyFill="1" applyBorder="1" applyProtection="1">
      <alignment vertical="center"/>
      <protection locked="0"/>
    </xf>
    <xf numFmtId="188" fontId="358" fillId="0" borderId="1" xfId="0" applyNumberFormat="1" applyFont="1" applyFill="1" applyBorder="1" applyAlignment="1" applyProtection="1">
      <alignment horizontal="center" vertical="center"/>
    </xf>
    <xf numFmtId="49" fontId="225" fillId="0" borderId="1" xfId="0" applyNumberFormat="1" applyFont="1" applyFill="1" applyBorder="1" applyAlignment="1" applyProtection="1">
      <alignment horizontal="center" vertical="center" wrapText="1"/>
      <protection locked="0"/>
    </xf>
    <xf numFmtId="0" fontId="225" fillId="0" borderId="1" xfId="0" applyFont="1" applyFill="1" applyBorder="1" applyAlignment="1" applyProtection="1">
      <alignment horizontal="center" vertical="center" wrapText="1" shrinkToFit="1"/>
      <protection locked="0"/>
    </xf>
    <xf numFmtId="0" fontId="358" fillId="0" borderId="1" xfId="0" applyFont="1" applyFill="1" applyBorder="1" applyAlignment="1" applyProtection="1">
      <alignment horizontal="center" vertical="center" wrapText="1"/>
      <protection locked="0"/>
    </xf>
    <xf numFmtId="0" fontId="286" fillId="0" borderId="1" xfId="0" applyFont="1" applyFill="1" applyBorder="1" applyAlignment="1" applyProtection="1">
      <alignment horizontal="center" vertical="center" wrapText="1" shrinkToFit="1"/>
      <protection locked="0"/>
    </xf>
    <xf numFmtId="0" fontId="286" fillId="0" borderId="1" xfId="0" applyFont="1" applyFill="1" applyBorder="1" applyAlignment="1" applyProtection="1">
      <alignment horizontal="center" vertical="center"/>
      <protection locked="0"/>
    </xf>
    <xf numFmtId="182" fontId="286" fillId="0" borderId="1" xfId="0" applyNumberFormat="1" applyFont="1" applyFill="1" applyBorder="1" applyAlignment="1" applyProtection="1">
      <alignment horizontal="center" vertical="center"/>
      <protection locked="0"/>
    </xf>
    <xf numFmtId="190" fontId="225" fillId="0" borderId="1" xfId="0" applyNumberFormat="1" applyFont="1" applyFill="1" applyBorder="1" applyAlignment="1" applyProtection="1">
      <alignment horizontal="center" vertical="center" wrapText="1" shrinkToFit="1"/>
      <protection locked="0"/>
    </xf>
    <xf numFmtId="186" fontId="359" fillId="0" borderId="1" xfId="0" applyNumberFormat="1" applyFont="1" applyFill="1" applyBorder="1" applyAlignment="1" applyProtection="1">
      <alignment horizontal="center" vertical="center" wrapText="1"/>
      <protection locked="0"/>
    </xf>
    <xf numFmtId="186" fontId="225" fillId="0" borderId="1" xfId="0" applyNumberFormat="1" applyFont="1" applyFill="1" applyBorder="1" applyAlignment="1" applyProtection="1">
      <alignment horizontal="center" vertical="center" wrapText="1"/>
      <protection locked="0"/>
    </xf>
    <xf numFmtId="0" fontId="360" fillId="0" borderId="9" xfId="0" applyFont="1" applyFill="1" applyBorder="1" applyAlignment="1" applyProtection="1">
      <alignment horizontal="center" vertical="center"/>
      <protection locked="0"/>
    </xf>
    <xf numFmtId="0" fontId="360" fillId="0" borderId="1" xfId="0" applyFont="1" applyFill="1" applyBorder="1" applyAlignment="1" applyProtection="1">
      <alignment horizontal="center" vertical="center"/>
      <protection locked="0"/>
    </xf>
    <xf numFmtId="186" fontId="287" fillId="0" borderId="5" xfId="0" applyNumberFormat="1" applyFont="1" applyFill="1" applyBorder="1" applyAlignment="1" applyProtection="1">
      <alignment horizontal="center" vertical="center" wrapText="1"/>
      <protection locked="0"/>
    </xf>
    <xf numFmtId="186" fontId="287" fillId="0" borderId="7" xfId="0" applyNumberFormat="1" applyFont="1" applyFill="1" applyBorder="1" applyAlignment="1" applyProtection="1">
      <alignment horizontal="center" vertical="center" wrapText="1"/>
      <protection locked="0"/>
    </xf>
    <xf numFmtId="186" fontId="287" fillId="0" borderId="1" xfId="0" applyNumberFormat="1" applyFont="1" applyFill="1" applyBorder="1" applyAlignment="1" applyProtection="1">
      <alignment horizontal="center" vertical="center" wrapText="1"/>
      <protection locked="0"/>
    </xf>
    <xf numFmtId="186" fontId="287" fillId="0" borderId="16" xfId="0" applyNumberFormat="1" applyFont="1" applyFill="1" applyBorder="1" applyAlignment="1" applyProtection="1">
      <alignment horizontal="center" vertical="center" wrapText="1"/>
      <protection locked="0"/>
    </xf>
    <xf numFmtId="195" fontId="225" fillId="0" borderId="1" xfId="0" applyNumberFormat="1" applyFont="1" applyFill="1" applyBorder="1" applyAlignment="1" applyProtection="1">
      <alignment horizontal="center" vertical="center"/>
      <protection locked="0"/>
    </xf>
    <xf numFmtId="185" fontId="358" fillId="0" borderId="1" xfId="0" applyNumberFormat="1" applyFont="1" applyFill="1" applyBorder="1" applyAlignment="1" applyProtection="1">
      <alignment horizontal="center" vertical="center"/>
      <protection locked="0"/>
    </xf>
    <xf numFmtId="0" fontId="361" fillId="0" borderId="1" xfId="0" applyNumberFormat="1" applyFont="1" applyFill="1" applyBorder="1" applyAlignment="1" applyProtection="1">
      <alignment horizontal="center" vertical="center"/>
      <protection locked="0"/>
    </xf>
    <xf numFmtId="0" fontId="358" fillId="0" borderId="1" xfId="0" applyNumberFormat="1" applyFont="1" applyFill="1" applyBorder="1" applyAlignment="1" applyProtection="1">
      <alignment horizontal="center" vertical="center"/>
      <protection locked="0"/>
    </xf>
    <xf numFmtId="0" fontId="362" fillId="0" borderId="1" xfId="0" applyFont="1" applyFill="1" applyBorder="1" applyAlignment="1" applyProtection="1">
      <alignment horizontal="center" vertical="center" wrapText="1" shrinkToFit="1"/>
      <protection locked="0"/>
    </xf>
    <xf numFmtId="187" fontId="289" fillId="4" borderId="1" xfId="0" applyNumberFormat="1" applyFont="1" applyFill="1" applyBorder="1" applyAlignment="1" applyProtection="1">
      <alignment horizontal="center" vertical="center" wrapText="1" shrinkToFit="1"/>
      <protection locked="0"/>
    </xf>
    <xf numFmtId="187" fontId="362" fillId="0" borderId="1" xfId="0" applyNumberFormat="1" applyFont="1" applyFill="1" applyBorder="1" applyAlignment="1" applyProtection="1">
      <alignment horizontal="center" vertical="center" wrapText="1" shrinkToFit="1"/>
      <protection locked="0"/>
    </xf>
    <xf numFmtId="187" fontId="363" fillId="0" borderId="1" xfId="0" applyNumberFormat="1" applyFont="1" applyFill="1" applyBorder="1" applyAlignment="1" applyProtection="1">
      <alignment horizontal="center" vertical="center" wrapText="1" shrinkToFit="1"/>
      <protection locked="0"/>
    </xf>
    <xf numFmtId="187" fontId="225" fillId="0" borderId="1" xfId="0" applyNumberFormat="1" applyFont="1" applyFill="1" applyBorder="1" applyAlignment="1" applyProtection="1">
      <alignment horizontal="center" vertical="center" wrapText="1" shrinkToFit="1"/>
      <protection locked="0"/>
    </xf>
    <xf numFmtId="187" fontId="262" fillId="0" borderId="1" xfId="0" applyNumberFormat="1" applyFont="1" applyFill="1" applyBorder="1" applyAlignment="1" applyProtection="1">
      <alignment horizontal="center" vertical="center"/>
      <protection locked="0"/>
    </xf>
    <xf numFmtId="187" fontId="262" fillId="0" borderId="6" xfId="0" applyNumberFormat="1" applyFont="1" applyFill="1" applyBorder="1" applyAlignment="1" applyProtection="1">
      <alignment horizontal="center" vertical="center"/>
      <protection locked="0"/>
    </xf>
    <xf numFmtId="187" fontId="225" fillId="0" borderId="1" xfId="0" applyNumberFormat="1" applyFont="1" applyFill="1" applyBorder="1" applyAlignment="1" applyProtection="1">
      <alignment horizontal="center" vertical="center"/>
      <protection locked="0"/>
    </xf>
    <xf numFmtId="0" fontId="287" fillId="0" borderId="1" xfId="0" applyFont="1" applyFill="1" applyBorder="1" applyProtection="1">
      <alignment vertical="center"/>
      <protection locked="0"/>
    </xf>
    <xf numFmtId="190" fontId="217" fillId="0" borderId="1" xfId="0" applyNumberFormat="1" applyFont="1" applyFill="1" applyBorder="1" applyAlignment="1" applyProtection="1">
      <alignment horizontal="center" vertical="center" wrapText="1" shrinkToFit="1"/>
    </xf>
    <xf numFmtId="190" fontId="225" fillId="0" borderId="1" xfId="0" applyNumberFormat="1" applyFont="1" applyFill="1" applyBorder="1" applyAlignment="1" applyProtection="1">
      <alignment horizontal="center" vertical="center" wrapText="1" shrinkToFit="1"/>
    </xf>
    <xf numFmtId="188" fontId="28" fillId="0" borderId="1" xfId="0" applyNumberFormat="1" applyFont="1" applyFill="1" applyBorder="1" applyAlignment="1" applyProtection="1">
      <alignment horizontal="center" vertical="center"/>
    </xf>
    <xf numFmtId="0" fontId="28" fillId="0" borderId="1" xfId="0" applyFont="1" applyFill="1" applyBorder="1" applyAlignment="1" applyProtection="1">
      <alignment horizontal="center" vertical="center" wrapText="1"/>
      <protection locked="0"/>
    </xf>
    <xf numFmtId="49" fontId="28" fillId="0" borderId="1" xfId="0" applyNumberFormat="1" applyFont="1" applyFill="1" applyBorder="1" applyAlignment="1" applyProtection="1">
      <alignment horizontal="center" vertical="center" wrapText="1"/>
      <protection locked="0"/>
    </xf>
    <xf numFmtId="0" fontId="0" fillId="0" borderId="1" xfId="0" applyFont="1" applyFill="1" applyBorder="1" applyAlignment="1" applyProtection="1">
      <alignment horizontal="center" vertical="center" wrapText="1"/>
      <protection locked="0"/>
    </xf>
    <xf numFmtId="0" fontId="102" fillId="0" borderId="1" xfId="0" applyFont="1" applyFill="1" applyBorder="1" applyAlignment="1" applyProtection="1">
      <alignment horizontal="center" vertical="center" wrapText="1" shrinkToFit="1"/>
      <protection locked="0"/>
    </xf>
    <xf numFmtId="0" fontId="102" fillId="0" borderId="1" xfId="0" applyFont="1" applyFill="1" applyBorder="1" applyAlignment="1" applyProtection="1">
      <alignment horizontal="center" vertical="center" wrapText="1"/>
      <protection locked="0"/>
    </xf>
    <xf numFmtId="0" fontId="102" fillId="0" borderId="1" xfId="0" applyFont="1" applyFill="1" applyBorder="1" applyAlignment="1" applyProtection="1">
      <alignment horizontal="center" vertical="center"/>
      <protection locked="0"/>
    </xf>
    <xf numFmtId="189" fontId="102" fillId="0" borderId="1" xfId="0" applyNumberFormat="1" applyFont="1" applyFill="1" applyBorder="1" applyAlignment="1" applyProtection="1">
      <alignment horizontal="center" vertical="center" wrapText="1"/>
      <protection locked="0"/>
    </xf>
    <xf numFmtId="0" fontId="0" fillId="0" borderId="1" xfId="0" applyFont="1" applyFill="1" applyBorder="1" applyProtection="1">
      <alignment vertical="center"/>
      <protection locked="0"/>
    </xf>
    <xf numFmtId="190" fontId="27" fillId="0" borderId="1" xfId="0" applyNumberFormat="1" applyFont="1" applyFill="1" applyBorder="1" applyAlignment="1" applyProtection="1">
      <alignment horizontal="center" vertical="center" wrapText="1" shrinkToFit="1"/>
      <protection locked="0"/>
    </xf>
    <xf numFmtId="186" fontId="335" fillId="0" borderId="1" xfId="0" applyNumberFormat="1" applyFont="1" applyFill="1" applyBorder="1" applyAlignment="1" applyProtection="1">
      <alignment horizontal="center" vertical="center" wrapText="1"/>
      <protection locked="0"/>
    </xf>
    <xf numFmtId="186" fontId="364" fillId="0" borderId="1" xfId="0" applyNumberFormat="1" applyFont="1" applyFill="1" applyBorder="1" applyAlignment="1" applyProtection="1">
      <alignment horizontal="center" vertical="center" wrapText="1"/>
      <protection locked="0"/>
    </xf>
    <xf numFmtId="186" fontId="0" fillId="0" borderId="1" xfId="0" applyNumberFormat="1" applyFont="1" applyFill="1" applyBorder="1" applyAlignment="1" applyProtection="1">
      <alignment horizontal="center" vertical="center" wrapText="1"/>
      <protection locked="0"/>
    </xf>
    <xf numFmtId="190" fontId="0" fillId="0" borderId="6" xfId="0" applyNumberFormat="1" applyFont="1" applyFill="1" applyBorder="1" applyAlignment="1" applyProtection="1">
      <alignment horizontal="center" vertical="center" wrapText="1" shrinkToFit="1"/>
      <protection locked="0"/>
    </xf>
    <xf numFmtId="0" fontId="365" fillId="0" borderId="7" xfId="0" applyFont="1" applyFill="1" applyBorder="1" applyProtection="1">
      <alignment vertical="center"/>
      <protection locked="0"/>
    </xf>
    <xf numFmtId="0" fontId="365" fillId="0" borderId="1" xfId="0" applyFont="1" applyFill="1" applyBorder="1" applyProtection="1">
      <alignment vertical="center"/>
      <protection locked="0"/>
    </xf>
    <xf numFmtId="186" fontId="27" fillId="0" borderId="1" xfId="0" applyNumberFormat="1" applyFont="1" applyFill="1" applyBorder="1" applyAlignment="1" applyProtection="1">
      <alignment horizontal="center" vertical="center" wrapText="1" shrinkToFit="1"/>
      <protection locked="0"/>
    </xf>
    <xf numFmtId="186" fontId="30" fillId="0" borderId="1" xfId="0" applyNumberFormat="1" applyFont="1" applyFill="1" applyBorder="1" applyAlignment="1" applyProtection="1">
      <alignment horizontal="center" vertical="center" wrapText="1" shrinkToFit="1"/>
      <protection locked="0"/>
    </xf>
    <xf numFmtId="185" fontId="3" fillId="0" borderId="1" xfId="0" applyNumberFormat="1" applyFont="1" applyFill="1" applyBorder="1" applyAlignment="1" applyProtection="1">
      <alignment horizontal="center" vertical="center"/>
      <protection locked="0"/>
    </xf>
    <xf numFmtId="0" fontId="3" fillId="0" borderId="1" xfId="0" applyNumberFormat="1" applyFont="1" applyFill="1" applyBorder="1" applyAlignment="1" applyProtection="1">
      <alignment horizontal="center" vertical="center"/>
      <protection locked="0"/>
    </xf>
    <xf numFmtId="0" fontId="7" fillId="0" borderId="1" xfId="0" applyFont="1" applyFill="1" applyBorder="1" applyAlignment="1" applyProtection="1">
      <alignment horizontal="center" vertical="center" wrapText="1" shrinkToFit="1"/>
      <protection locked="0"/>
    </xf>
    <xf numFmtId="187" fontId="3" fillId="0" borderId="1" xfId="0" applyNumberFormat="1" applyFont="1" applyFill="1" applyBorder="1" applyAlignment="1" applyProtection="1">
      <alignment horizontal="center" vertical="center"/>
      <protection locked="0"/>
    </xf>
    <xf numFmtId="187" fontId="7" fillId="0" borderId="1" xfId="0" applyNumberFormat="1" applyFont="1" applyFill="1" applyBorder="1" applyAlignment="1" applyProtection="1">
      <alignment horizontal="center" vertical="center" wrapText="1" shrinkToFit="1"/>
      <protection locked="0"/>
    </xf>
    <xf numFmtId="187" fontId="27" fillId="0" borderId="1" xfId="0" applyNumberFormat="1" applyFont="1" applyFill="1" applyBorder="1" applyAlignment="1" applyProtection="1">
      <alignment horizontal="center" vertical="center" wrapText="1" shrinkToFit="1"/>
      <protection locked="0"/>
    </xf>
    <xf numFmtId="187" fontId="3" fillId="0" borderId="1" xfId="0" applyNumberFormat="1" applyFont="1" applyFill="1" applyBorder="1" applyAlignment="1" applyProtection="1">
      <alignment horizontal="center" vertical="center" wrapText="1"/>
      <protection locked="0"/>
    </xf>
    <xf numFmtId="187" fontId="89" fillId="0" borderId="1" xfId="0" applyNumberFormat="1" applyFont="1" applyFill="1" applyBorder="1" applyAlignment="1" applyProtection="1">
      <alignment horizontal="center" vertical="center"/>
      <protection locked="0"/>
    </xf>
    <xf numFmtId="187" fontId="3" fillId="0" borderId="6" xfId="0" applyNumberFormat="1" applyFont="1" applyFill="1" applyBorder="1" applyAlignment="1" applyProtection="1">
      <alignment horizontal="center" vertical="center"/>
      <protection locked="0"/>
    </xf>
    <xf numFmtId="187" fontId="0" fillId="0" borderId="1" xfId="0" applyNumberFormat="1" applyFont="1" applyFill="1" applyBorder="1" applyAlignment="1" applyProtection="1">
      <alignment horizontal="center" vertical="center"/>
      <protection locked="0"/>
    </xf>
    <xf numFmtId="188" fontId="28" fillId="0" borderId="16" xfId="0" applyNumberFormat="1" applyFont="1" applyFill="1" applyBorder="1" applyAlignment="1" applyProtection="1">
      <alignment horizontal="center" vertical="center"/>
    </xf>
    <xf numFmtId="0" fontId="28" fillId="0" borderId="16" xfId="0" applyFont="1" applyFill="1" applyBorder="1" applyAlignment="1" applyProtection="1">
      <alignment horizontal="center" vertical="center" wrapText="1"/>
      <protection locked="0"/>
    </xf>
    <xf numFmtId="49" fontId="28" fillId="0" borderId="16" xfId="0" applyNumberFormat="1" applyFont="1" applyFill="1" applyBorder="1" applyAlignment="1" applyProtection="1">
      <alignment horizontal="center" vertical="center" wrapText="1"/>
      <protection locked="0"/>
    </xf>
    <xf numFmtId="0" fontId="0" fillId="0" borderId="16" xfId="0" applyFont="1" applyFill="1" applyBorder="1" applyAlignment="1" applyProtection="1">
      <alignment horizontal="center" vertical="center" wrapText="1"/>
      <protection locked="0"/>
    </xf>
    <xf numFmtId="0" fontId="102" fillId="0" borderId="16" xfId="0" applyFont="1" applyFill="1" applyBorder="1" applyAlignment="1" applyProtection="1">
      <alignment horizontal="center" vertical="center" wrapText="1" shrinkToFit="1"/>
      <protection locked="0"/>
    </xf>
    <xf numFmtId="0" fontId="102" fillId="0" borderId="16" xfId="0" applyFont="1" applyFill="1" applyBorder="1" applyAlignment="1" applyProtection="1">
      <alignment horizontal="center" vertical="center" wrapText="1"/>
      <protection locked="0"/>
    </xf>
    <xf numFmtId="0" fontId="102" fillId="0" borderId="16" xfId="0" applyFont="1" applyFill="1" applyBorder="1" applyAlignment="1" applyProtection="1">
      <alignment horizontal="center" vertical="center"/>
      <protection locked="0"/>
    </xf>
    <xf numFmtId="189" fontId="102" fillId="0" borderId="16" xfId="0" applyNumberFormat="1" applyFont="1" applyFill="1" applyBorder="1" applyAlignment="1" applyProtection="1">
      <alignment horizontal="center" vertical="center" wrapText="1"/>
      <protection locked="0"/>
    </xf>
    <xf numFmtId="190" fontId="27" fillId="0" borderId="16" xfId="0" applyNumberFormat="1" applyFont="1" applyFill="1" applyBorder="1" applyAlignment="1" applyProtection="1">
      <alignment horizontal="center" vertical="center" wrapText="1" shrinkToFit="1"/>
      <protection locked="0"/>
    </xf>
    <xf numFmtId="186" fontId="366" fillId="0" borderId="1" xfId="0" applyNumberFormat="1" applyFont="1" applyFill="1" applyBorder="1" applyAlignment="1" applyProtection="1">
      <alignment horizontal="center" vertical="center" wrapText="1"/>
      <protection locked="0"/>
    </xf>
    <xf numFmtId="186" fontId="366" fillId="0" borderId="16" xfId="0" applyNumberFormat="1" applyFont="1" applyFill="1" applyBorder="1" applyAlignment="1" applyProtection="1">
      <alignment horizontal="center" vertical="center" wrapText="1"/>
      <protection locked="0"/>
    </xf>
    <xf numFmtId="186" fontId="0" fillId="0" borderId="16" xfId="0" applyNumberFormat="1" applyFont="1" applyFill="1" applyBorder="1" applyAlignment="1" applyProtection="1">
      <alignment horizontal="center" vertical="center" wrapText="1"/>
      <protection locked="0"/>
    </xf>
    <xf numFmtId="186" fontId="31" fillId="0" borderId="15" xfId="0" applyNumberFormat="1" applyFont="1" applyFill="1" applyBorder="1" applyAlignment="1" applyProtection="1">
      <alignment horizontal="center" vertical="center" wrapText="1"/>
      <protection locked="0"/>
    </xf>
    <xf numFmtId="58" fontId="30" fillId="0" borderId="14" xfId="0" applyNumberFormat="1" applyFont="1" applyFill="1" applyBorder="1" applyAlignment="1" applyProtection="1">
      <alignment horizontal="center" vertical="center" wrapText="1" shrinkToFit="1"/>
      <protection locked="0"/>
    </xf>
    <xf numFmtId="58" fontId="30" fillId="0" borderId="16" xfId="0" applyNumberFormat="1" applyFont="1" applyFill="1" applyBorder="1" applyAlignment="1" applyProtection="1">
      <alignment horizontal="center" vertical="center" wrapText="1" shrinkToFit="1"/>
      <protection locked="0"/>
    </xf>
    <xf numFmtId="186" fontId="27" fillId="0" borderId="16" xfId="0" applyNumberFormat="1" applyFont="1" applyFill="1" applyBorder="1" applyAlignment="1" applyProtection="1">
      <alignment horizontal="center" vertical="center" wrapText="1" shrinkToFit="1"/>
      <protection locked="0"/>
    </xf>
    <xf numFmtId="186" fontId="30" fillId="0" borderId="16" xfId="0" applyNumberFormat="1" applyFont="1" applyFill="1" applyBorder="1" applyAlignment="1" applyProtection="1">
      <alignment horizontal="center" vertical="center" wrapText="1" shrinkToFit="1"/>
      <protection locked="0"/>
    </xf>
    <xf numFmtId="185" fontId="3" fillId="0" borderId="16" xfId="0" applyNumberFormat="1" applyFont="1" applyFill="1" applyBorder="1" applyAlignment="1" applyProtection="1">
      <alignment horizontal="center" vertical="center"/>
      <protection locked="0"/>
    </xf>
    <xf numFmtId="0" fontId="3" fillId="0" borderId="16" xfId="0" applyNumberFormat="1" applyFont="1" applyFill="1" applyBorder="1" applyAlignment="1" applyProtection="1">
      <alignment horizontal="center" vertical="center"/>
      <protection locked="0"/>
    </xf>
    <xf numFmtId="0" fontId="7" fillId="0" borderId="16" xfId="0" applyFont="1" applyFill="1" applyBorder="1" applyAlignment="1" applyProtection="1">
      <alignment horizontal="center" vertical="center" wrapText="1" shrinkToFit="1"/>
      <protection locked="0"/>
    </xf>
    <xf numFmtId="187" fontId="3" fillId="0" borderId="16" xfId="0" applyNumberFormat="1" applyFont="1" applyFill="1" applyBorder="1" applyAlignment="1" applyProtection="1">
      <alignment horizontal="center" vertical="center" wrapText="1" shrinkToFit="1"/>
      <protection locked="0"/>
    </xf>
    <xf numFmtId="187" fontId="7" fillId="0" borderId="16" xfId="0" applyNumberFormat="1" applyFont="1" applyFill="1" applyBorder="1" applyAlignment="1" applyProtection="1">
      <alignment horizontal="center" vertical="center" wrapText="1" shrinkToFit="1"/>
      <protection locked="0"/>
    </xf>
    <xf numFmtId="187" fontId="27" fillId="0" borderId="16" xfId="0" applyNumberFormat="1" applyFont="1" applyFill="1" applyBorder="1" applyAlignment="1" applyProtection="1">
      <alignment horizontal="center" vertical="center" wrapText="1" shrinkToFit="1"/>
      <protection locked="0"/>
    </xf>
    <xf numFmtId="187" fontId="3" fillId="0" borderId="16" xfId="0" applyNumberFormat="1" applyFont="1" applyFill="1" applyBorder="1" applyAlignment="1" applyProtection="1">
      <alignment horizontal="center" vertical="center"/>
      <protection locked="0"/>
    </xf>
    <xf numFmtId="188" fontId="0" fillId="0" borderId="1" xfId="0" applyNumberFormat="1" applyFont="1" applyFill="1" applyBorder="1" applyAlignment="1" applyProtection="1">
      <alignment horizontal="center" vertical="center"/>
    </xf>
    <xf numFmtId="0" fontId="50" fillId="0" borderId="1" xfId="0" applyNumberFormat="1" applyFont="1" applyFill="1" applyBorder="1" applyAlignment="1" applyProtection="1">
      <alignment horizontal="center" vertical="center"/>
      <protection locked="0"/>
    </xf>
    <xf numFmtId="0" fontId="28" fillId="0" borderId="1" xfId="0" applyFont="1" applyFill="1" applyBorder="1" applyAlignment="1" applyProtection="1">
      <alignment horizontal="center" vertical="center"/>
      <protection locked="0"/>
    </xf>
    <xf numFmtId="185" fontId="102" fillId="0" borderId="1" xfId="0" applyNumberFormat="1" applyFont="1" applyFill="1" applyBorder="1" applyAlignment="1" applyProtection="1">
      <alignment horizontal="center" vertical="center"/>
      <protection locked="0"/>
    </xf>
    <xf numFmtId="186" fontId="3" fillId="0" borderId="1" xfId="0" applyNumberFormat="1" applyFont="1" applyFill="1" applyBorder="1" applyAlignment="1" applyProtection="1">
      <alignment horizontal="center" vertical="center"/>
      <protection locked="0"/>
    </xf>
    <xf numFmtId="186" fontId="28" fillId="0" borderId="1" xfId="0" applyNumberFormat="1" applyFont="1" applyFill="1" applyBorder="1" applyAlignment="1" applyProtection="1">
      <alignment horizontal="center" vertical="center" wrapText="1"/>
      <protection locked="0"/>
    </xf>
    <xf numFmtId="58" fontId="27" fillId="0" borderId="6" xfId="0" applyNumberFormat="1" applyFont="1" applyFill="1" applyBorder="1" applyAlignment="1" applyProtection="1">
      <alignment horizontal="center" vertical="center"/>
      <protection locked="0"/>
    </xf>
    <xf numFmtId="186" fontId="29" fillId="0" borderId="7" xfId="0" applyNumberFormat="1" applyFont="1" applyFill="1" applyBorder="1" applyAlignment="1" applyProtection="1">
      <alignment horizontal="center" vertical="center"/>
      <protection locked="0"/>
    </xf>
    <xf numFmtId="186" fontId="29" fillId="0" borderId="1" xfId="0" applyNumberFormat="1" applyFont="1" applyFill="1" applyBorder="1" applyAlignment="1" applyProtection="1">
      <alignment horizontal="center" vertical="center"/>
      <protection locked="0"/>
    </xf>
    <xf numFmtId="186" fontId="84" fillId="0" borderId="1" xfId="0" applyNumberFormat="1" applyFont="1" applyFill="1" applyBorder="1" applyAlignment="1" applyProtection="1">
      <alignment horizontal="center" vertical="center" wrapText="1"/>
      <protection locked="0"/>
    </xf>
    <xf numFmtId="186" fontId="29" fillId="0" borderId="1" xfId="0" applyNumberFormat="1" applyFont="1" applyFill="1" applyBorder="1" applyAlignment="1" applyProtection="1">
      <alignment horizontal="center" vertical="center" wrapText="1"/>
      <protection locked="0"/>
    </xf>
    <xf numFmtId="186" fontId="3" fillId="0" borderId="1" xfId="0" applyNumberFormat="1" applyFont="1" applyFill="1" applyBorder="1" applyAlignment="1" applyProtection="1">
      <alignment horizontal="center" vertical="center" wrapText="1"/>
      <protection locked="0"/>
    </xf>
    <xf numFmtId="186" fontId="5" fillId="0" borderId="1" xfId="0" applyNumberFormat="1" applyFont="1" applyFill="1" applyBorder="1" applyAlignment="1" applyProtection="1">
      <alignment horizontal="center" vertical="center" wrapText="1"/>
      <protection locked="0"/>
    </xf>
    <xf numFmtId="186" fontId="6" fillId="0" borderId="1" xfId="0" applyNumberFormat="1" applyFont="1" applyFill="1" applyBorder="1" applyAlignment="1" applyProtection="1">
      <alignment horizontal="center" vertical="center"/>
      <protection locked="0"/>
    </xf>
    <xf numFmtId="187" fontId="6" fillId="0" borderId="1" xfId="0" applyNumberFormat="1" applyFont="1" applyFill="1" applyBorder="1" applyAlignment="1" applyProtection="1">
      <alignment horizontal="center" vertical="center"/>
      <protection locked="0"/>
    </xf>
    <xf numFmtId="187" fontId="7" fillId="0" borderId="1" xfId="0" applyNumberFormat="1" applyFont="1" applyFill="1" applyBorder="1" applyAlignment="1" applyProtection="1">
      <alignment horizontal="center" vertical="center"/>
      <protection locked="0"/>
    </xf>
    <xf numFmtId="0" fontId="0" fillId="0" borderId="1" xfId="0" applyFill="1" applyBorder="1" applyProtection="1">
      <alignment vertical="center"/>
      <protection locked="0"/>
    </xf>
    <xf numFmtId="186" fontId="28" fillId="0" borderId="0" xfId="0" applyNumberFormat="1" applyFont="1" applyFill="1" applyAlignment="1" applyProtection="1">
      <alignment horizontal="center" vertical="center"/>
    </xf>
    <xf numFmtId="186" fontId="3" fillId="0" borderId="0" xfId="0" applyNumberFormat="1" applyFont="1" applyFill="1" applyAlignment="1" applyProtection="1">
      <alignment horizontal="center" vertical="center"/>
      <protection locked="0"/>
    </xf>
    <xf numFmtId="186" fontId="31" fillId="0" borderId="0" xfId="0" applyNumberFormat="1" applyFont="1" applyFill="1" applyBorder="1" applyAlignment="1" applyProtection="1">
      <alignment horizontal="center" vertical="center" wrapText="1"/>
      <protection locked="0"/>
    </xf>
    <xf numFmtId="189" fontId="102" fillId="0" borderId="0" xfId="0" applyNumberFormat="1" applyFont="1" applyFill="1" applyAlignment="1" applyProtection="1">
      <alignment horizontal="center" vertical="center"/>
      <protection locked="0"/>
    </xf>
    <xf numFmtId="186" fontId="335" fillId="0" borderId="0" xfId="0" applyNumberFormat="1" applyFont="1" applyFill="1" applyAlignment="1" applyProtection="1">
      <alignment horizontal="center" vertical="center" wrapText="1"/>
      <protection locked="0"/>
    </xf>
    <xf numFmtId="186" fontId="29" fillId="0" borderId="0" xfId="0" applyNumberFormat="1" applyFont="1" applyFill="1" applyAlignment="1" applyProtection="1">
      <alignment horizontal="center" vertical="center"/>
      <protection locked="0"/>
    </xf>
    <xf numFmtId="186" fontId="3" fillId="0" borderId="0" xfId="0" applyNumberFormat="1" applyFont="1" applyFill="1" applyAlignment="1" applyProtection="1">
      <alignment horizontal="center" vertical="center" wrapText="1"/>
      <protection locked="0"/>
    </xf>
    <xf numFmtId="186" fontId="5" fillId="0" borderId="0" xfId="0" applyNumberFormat="1" applyFont="1" applyFill="1" applyAlignment="1" applyProtection="1">
      <alignment horizontal="center" vertical="center" wrapText="1"/>
      <protection locked="0"/>
    </xf>
    <xf numFmtId="186" fontId="6" fillId="0" borderId="0" xfId="0" applyNumberFormat="1" applyFont="1" applyFill="1" applyAlignment="1" applyProtection="1">
      <alignment horizontal="center" vertical="center"/>
      <protection locked="0"/>
    </xf>
    <xf numFmtId="0" fontId="152" fillId="0" borderId="0" xfId="0" applyFont="1" applyFill="1" applyProtection="1">
      <alignment vertical="center"/>
      <protection locked="0"/>
    </xf>
    <xf numFmtId="0" fontId="367" fillId="0" borderId="0" xfId="0" applyFont="1" applyFill="1" applyAlignment="1" applyProtection="1">
      <alignment horizontal="center" vertical="center"/>
      <protection locked="0"/>
    </xf>
    <xf numFmtId="187" fontId="29" fillId="0" borderId="0" xfId="0" applyNumberFormat="1" applyFont="1" applyFill="1" applyAlignment="1" applyProtection="1">
      <alignment horizontal="center" vertical="center" wrapText="1"/>
      <protection locked="0"/>
    </xf>
    <xf numFmtId="0" fontId="3" fillId="0" borderId="0" xfId="0" applyNumberFormat="1" applyFont="1" applyFill="1" applyAlignment="1" applyProtection="1">
      <alignment horizontal="center" vertical="center"/>
      <protection locked="0"/>
    </xf>
    <xf numFmtId="186" fontId="0" fillId="0" borderId="0" xfId="0" applyNumberFormat="1" applyFont="1" applyFill="1" applyBorder="1" applyAlignment="1" applyProtection="1">
      <alignment horizontal="center" vertical="center" wrapText="1"/>
      <protection locked="0"/>
    </xf>
    <xf numFmtId="0" fontId="368" fillId="0" borderId="0" xfId="0" applyFont="1" applyFill="1" applyBorder="1" applyAlignment="1" applyProtection="1">
      <alignment horizontal="center" vertical="center" wrapText="1"/>
      <protection locked="0"/>
    </xf>
    <xf numFmtId="186" fontId="223" fillId="0" borderId="0" xfId="0" applyNumberFormat="1" applyFont="1" applyFill="1" applyBorder="1" applyAlignment="1" applyProtection="1">
      <alignment horizontal="center" vertical="center" wrapText="1"/>
      <protection locked="0"/>
    </xf>
    <xf numFmtId="0" fontId="242" fillId="0" borderId="0" xfId="0" applyFont="1" applyFill="1" applyBorder="1" applyAlignment="1" applyProtection="1">
      <alignment horizontal="center" vertical="center" wrapText="1"/>
      <protection locked="0"/>
    </xf>
    <xf numFmtId="0" fontId="369" fillId="0" borderId="0" xfId="0" applyFont="1" applyFill="1" applyBorder="1" applyAlignment="1" applyProtection="1">
      <alignment horizontal="center" vertical="center" wrapText="1"/>
      <protection locked="0"/>
    </xf>
    <xf numFmtId="193" fontId="368" fillId="0" borderId="0" xfId="0" applyNumberFormat="1" applyFont="1" applyFill="1" applyBorder="1" applyAlignment="1" applyProtection="1">
      <alignment horizontal="center" vertical="center" wrapText="1"/>
      <protection locked="0"/>
    </xf>
    <xf numFmtId="186" fontId="87" fillId="0" borderId="0" xfId="0" applyNumberFormat="1" applyFont="1" applyFill="1" applyBorder="1" applyAlignment="1" applyProtection="1">
      <alignment horizontal="center" vertical="center" wrapText="1"/>
      <protection locked="0"/>
    </xf>
    <xf numFmtId="0" fontId="134" fillId="0" borderId="0" xfId="0" applyFont="1" applyFill="1" applyBorder="1" applyAlignment="1" applyProtection="1">
      <alignment horizontal="center" vertical="center" wrapText="1"/>
      <protection locked="0"/>
    </xf>
    <xf numFmtId="0" fontId="370" fillId="0" borderId="0" xfId="0" applyFont="1" applyFill="1" applyBorder="1" applyAlignment="1" applyProtection="1">
      <alignment horizontal="center" vertical="center" wrapText="1"/>
      <protection locked="0"/>
    </xf>
    <xf numFmtId="0" fontId="131" fillId="0" borderId="0" xfId="0" applyFont="1" applyFill="1" applyBorder="1" applyAlignment="1" applyProtection="1">
      <alignment horizontal="center" vertical="center" wrapText="1"/>
      <protection locked="0"/>
    </xf>
    <xf numFmtId="0" fontId="85" fillId="0" borderId="0" xfId="0" applyFont="1" applyFill="1" applyBorder="1" applyAlignment="1" applyProtection="1">
      <alignment horizontal="center" vertical="center" wrapText="1"/>
      <protection locked="0"/>
    </xf>
    <xf numFmtId="186" fontId="21" fillId="0" borderId="0" xfId="0" applyNumberFormat="1" applyFont="1" applyFill="1" applyBorder="1" applyAlignment="1" applyProtection="1">
      <alignment horizontal="center" vertical="center" wrapText="1"/>
      <protection locked="0"/>
    </xf>
    <xf numFmtId="0" fontId="45" fillId="0" borderId="1" xfId="0" applyFont="1" applyFill="1" applyBorder="1" applyAlignment="1" applyProtection="1" quotePrefix="1">
      <alignment horizontal="center" vertical="center" wrapText="1"/>
      <protection locked="0"/>
    </xf>
    <xf numFmtId="0" fontId="257" fillId="0" borderId="1" xfId="0" applyFont="1" applyFill="1" applyBorder="1" applyAlignment="1" applyProtection="1" quotePrefix="1">
      <alignment horizontal="center" vertical="center" wrapText="1"/>
      <protection locked="0"/>
    </xf>
    <xf numFmtId="0" fontId="257" fillId="0" borderId="1" xfId="0" applyNumberFormat="1" applyFont="1" applyFill="1" applyBorder="1" applyAlignment="1" applyProtection="1" quotePrefix="1">
      <alignment horizontal="center" vertical="center" wrapText="1"/>
      <protection locked="0"/>
    </xf>
    <xf numFmtId="0" fontId="68" fillId="0" borderId="1" xfId="0" applyFont="1" applyFill="1" applyBorder="1" applyAlignment="1" applyProtection="1" quotePrefix="1">
      <alignment horizontal="center" vertical="center" wrapText="1"/>
      <protection locked="0"/>
    </xf>
    <xf numFmtId="0" fontId="46" fillId="0" borderId="1" xfId="0" applyFont="1" applyFill="1" applyBorder="1" applyAlignment="1" applyProtection="1" quotePrefix="1">
      <alignment horizontal="center" vertical="center" wrapText="1"/>
      <protection locked="0"/>
    </xf>
    <xf numFmtId="0" fontId="45" fillId="0" borderId="1" xfId="0" applyNumberFormat="1" applyFont="1" applyFill="1" applyBorder="1" applyAlignment="1" applyProtection="1" quotePrefix="1">
      <alignment horizontal="center" vertical="center" shrinkToFit="1"/>
      <protection locked="0"/>
    </xf>
    <xf numFmtId="0" fontId="69" fillId="0" borderId="1" xfId="0" applyFont="1" applyFill="1" applyBorder="1" applyAlignment="1" applyProtection="1" quotePrefix="1">
      <alignment horizontal="center" vertical="center" wrapText="1"/>
      <protection locked="0"/>
    </xf>
    <xf numFmtId="0" fontId="68" fillId="0" borderId="1" xfId="0" applyFont="1" applyFill="1" applyBorder="1" applyAlignment="1" applyProtection="1" quotePrefix="1">
      <alignment horizontal="center" vertical="center"/>
      <protection locked="0"/>
    </xf>
    <xf numFmtId="0" fontId="224" fillId="0" borderId="1" xfId="0" applyNumberFormat="1" applyFont="1" applyFill="1" applyBorder="1" applyAlignment="1" applyProtection="1" quotePrefix="1">
      <alignment horizontal="center" vertical="center" wrapText="1"/>
      <protection locked="0"/>
    </xf>
    <xf numFmtId="0" fontId="102" fillId="0" borderId="43" xfId="0" applyFont="1" applyBorder="1" applyAlignment="1" quotePrefix="1">
      <alignment horizontal="center" vertical="center" wrapText="1"/>
    </xf>
    <xf numFmtId="0" fontId="102" fillId="0" borderId="43" xfId="0" applyFont="1" applyBorder="1" applyAlignment="1" quotePrefix="1">
      <alignment horizontal="justify" vertical="center"/>
    </xf>
    <xf numFmtId="3" fontId="102" fillId="0" borderId="43" xfId="0" applyNumberFormat="1" applyFont="1" applyFill="1" applyBorder="1" applyAlignment="1" quotePrefix="1">
      <alignment horizontal="center" vertical="center" wrapText="1"/>
    </xf>
    <xf numFmtId="0" fontId="102" fillId="0" borderId="43" xfId="0" applyFont="1" applyFill="1" applyBorder="1" applyAlignment="1" quotePrefix="1">
      <alignment horizontal="justify" vertical="center"/>
    </xf>
    <xf numFmtId="14" fontId="102" fillId="0" borderId="43" xfId="0" applyNumberFormat="1" applyFont="1" applyFill="1" applyBorder="1" applyAlignment="1" quotePrefix="1">
      <alignment horizontal="justify" vertical="center"/>
    </xf>
    <xf numFmtId="0" fontId="102" fillId="0" borderId="43" xfId="0" applyFont="1" applyFill="1" applyBorder="1" applyAlignment="1" quotePrefix="1">
      <alignment horizontal="center" vertical="center" wrapText="1"/>
    </xf>
  </cellXfs>
  <cellStyles count="17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3 9" xfId="49"/>
    <cellStyle name="常规 10 43" xfId="50"/>
    <cellStyle name="常规 3 14" xfId="51"/>
    <cellStyle name="计算 2" xfId="52"/>
    <cellStyle name="20% - 輔色4" xfId="53"/>
    <cellStyle name="40% - 輔色2" xfId="54"/>
    <cellStyle name="_鱼仔物料跟踪" xfId="55"/>
    <cellStyle name="_H1241-1243三款公仔物料跟踪." xfId="56"/>
    <cellStyle name="Input" xfId="57"/>
    <cellStyle name="40% - 强调文字颜色 4 2" xfId="58"/>
    <cellStyle name="輸入" xfId="59"/>
    <cellStyle name="Heading 3" xfId="60"/>
    <cellStyle name="警告文字" xfId="61"/>
    <cellStyle name="一般" xfId="62"/>
    <cellStyle name="20% - 輔色2" xfId="63"/>
    <cellStyle name="输出 2" xfId="64"/>
    <cellStyle name="20% - 輔色3" xfId="65"/>
    <cellStyle name="標題" xfId="66"/>
    <cellStyle name="20% - 輔色5" xfId="67"/>
    <cellStyle name="常规 2 262" xfId="68"/>
    <cellStyle name="20% - 輔色6" xfId="69"/>
    <cellStyle name="合計" xfId="70"/>
    <cellStyle name="標題_10月16日Zuru Order Summary (Komax)" xfId="71"/>
    <cellStyle name="說明文字" xfId="72"/>
    <cellStyle name="20% - Accent4" xfId="73"/>
    <cellStyle name="20% - Accent2" xfId="74"/>
    <cellStyle name="20% - Accent3" xfId="75"/>
    <cellStyle name="20% - Accent5" xfId="76"/>
    <cellStyle name="20% - Accent6" xfId="77"/>
    <cellStyle name="常规 5 2 7" xfId="78"/>
    <cellStyle name=" 3]&#10;&#10;Zoomed=1&#10;&#10;Row=0&#10;&#10;Column=0&#10;&#10;Height=300&#10;&#10;Width=300&#10;&#10;FontName=細明體&#10;&#10;FontStyle=0&#10;&#10;FontSize=9&#10;&#10;PrtFontName=Co" xfId="79"/>
    <cellStyle name="Warning Text" xfId="80"/>
    <cellStyle name="常规 2 2 6 21" xfId="81"/>
    <cellStyle name="_三款发声公仔PCB排期表" xfId="82"/>
    <cellStyle name="20% - 輔色1" xfId="83"/>
    <cellStyle name="20% - Accent1" xfId="84"/>
    <cellStyle name="20% - 强调文字颜色 2 2" xfId="85"/>
    <cellStyle name="Heading 2" xfId="86"/>
    <cellStyle name="好_3月12日Zuru Order Summary (Komax)" xfId="87"/>
    <cellStyle name="40% - Accent1" xfId="88"/>
    <cellStyle name="40% - Accent2" xfId="89"/>
    <cellStyle name="40% - Accent3" xfId="90"/>
    <cellStyle name="40% - Accent6" xfId="91"/>
    <cellStyle name="40% - 輔色1" xfId="92"/>
    <cellStyle name="40% - 輔色3" xfId="93"/>
    <cellStyle name="40% - 輔色6" xfId="94"/>
    <cellStyle name="40% - 强调文字颜色 1 2" xfId="95"/>
    <cellStyle name="40% - 强调文字颜色 2 2" xfId="96"/>
    <cellStyle name="40% - 强调文字颜色 3 2" xfId="97"/>
    <cellStyle name="40% - 强调文字颜色 6 2" xfId="98"/>
    <cellStyle name="60% - Accent1" xfId="99"/>
    <cellStyle name="60% - Accent2" xfId="100"/>
    <cellStyle name="60% - Accent3" xfId="101"/>
    <cellStyle name="標題 1" xfId="102"/>
    <cellStyle name="60% - Accent4" xfId="103"/>
    <cellStyle name="標題 2" xfId="104"/>
    <cellStyle name="强调文字颜色 4 2" xfId="105"/>
    <cellStyle name="60% - Accent5" xfId="106"/>
    <cellStyle name="標題 3" xfId="107"/>
    <cellStyle name="60% - Accent6" xfId="108"/>
    <cellStyle name="60% - 輔色1" xfId="109"/>
    <cellStyle name="60% - 輔色2" xfId="110"/>
    <cellStyle name="Good" xfId="111"/>
    <cellStyle name="60% - 輔色3" xfId="112"/>
    <cellStyle name="60% - 輔色4" xfId="113"/>
    <cellStyle name="60% - 輔色5" xfId="114"/>
    <cellStyle name="60% - 輔色6" xfId="115"/>
    <cellStyle name="Heading 4" xfId="116"/>
    <cellStyle name="60% - 强调文字颜色 1 2" xfId="117"/>
    <cellStyle name="60% - 强调文字颜色 3 2" xfId="118"/>
    <cellStyle name="Neutral" xfId="119"/>
    <cellStyle name="常规 25 23" xfId="120"/>
    <cellStyle name="60% - 强调文字颜色 6 2" xfId="121"/>
    <cellStyle name="Accent1" xfId="122"/>
    <cellStyle name="Accent2" xfId="123"/>
    <cellStyle name="Accent3" xfId="124"/>
    <cellStyle name="Accent6" xfId="125"/>
    <cellStyle name="Bad" xfId="126"/>
    <cellStyle name="Calculation" xfId="127"/>
    <cellStyle name="Check Cell" xfId="128"/>
    <cellStyle name="ColLevel_0" xfId="129"/>
    <cellStyle name="Comma_PO (訂貨資料)" xfId="130"/>
    <cellStyle name="Explanatory Text" xfId="131"/>
    <cellStyle name="强调文字颜色 1 2" xfId="132"/>
    <cellStyle name="Heading 1" xfId="133"/>
    <cellStyle name="Linked Cell" xfId="134"/>
    <cellStyle name="常规_MA Inventory list" xfId="135"/>
    <cellStyle name="Total" xfId="136"/>
    <cellStyle name="差 2" xfId="137"/>
    <cellStyle name="百分比 2" xfId="138"/>
    <cellStyle name="壞_鱼仔成品完成" xfId="139"/>
    <cellStyle name="Title" xfId="140"/>
    <cellStyle name="常规 2" xfId="141"/>
    <cellStyle name="标题 5" xfId="142"/>
    <cellStyle name="Note" xfId="143"/>
    <cellStyle name="Output" xfId="144"/>
    <cellStyle name="THIN" xfId="145"/>
    <cellStyle name="标题 1 2" xfId="146"/>
    <cellStyle name="标题 2 2" xfId="147"/>
    <cellStyle name="标题 3 2" xfId="148"/>
    <cellStyle name="标题 4 2" xfId="149"/>
    <cellStyle name="標題 4" xfId="150"/>
    <cellStyle name="常规 132" xfId="151"/>
    <cellStyle name="差_MA物料盘点" xfId="152"/>
    <cellStyle name="好_H1232卡梅尔公仔" xfId="153"/>
    <cellStyle name="壞_10月18日Zuru Order Summary (Komax)" xfId="154"/>
    <cellStyle name="常规 30" xfId="155"/>
    <cellStyle name="常规 2 2 256 2" xfId="156"/>
    <cellStyle name="連結的儲存格" xfId="157"/>
    <cellStyle name="常规 5 6" xfId="158"/>
    <cellStyle name="檢查儲存格" xfId="159"/>
    <cellStyle name="輔色1" xfId="160"/>
    <cellStyle name="輔色2" xfId="161"/>
    <cellStyle name="常规_鱼仔排期（20140424) 2" xfId="162"/>
    <cellStyle name="輔色3" xfId="163"/>
    <cellStyle name="輔色6" xfId="164"/>
    <cellStyle name="汇总 2" xfId="165"/>
    <cellStyle name="計算方式" xfId="166"/>
    <cellStyle name="链接单元格 2" xfId="167"/>
    <cellStyle name="千位分隔 2" xfId="168"/>
    <cellStyle name="千位分隔 2 2" xfId="169"/>
    <cellStyle name="强调文字颜色 2 2" xfId="170"/>
    <cellStyle name="强调文字颜色 3 2" xfId="171"/>
    <cellStyle name="强调文字颜色 6 2" xfId="172"/>
    <cellStyle name="輸出" xfId="173"/>
    <cellStyle name="一般_H-1231-01G雪芳公仔-Project status form (2)" xfId="174"/>
    <cellStyle name="中等" xfId="175"/>
    <cellStyle name="Normal 2 2 2 4 50 3" xfId="176"/>
    <cellStyle name="常规_鱼仔排期（20140424)" xfId="177"/>
    <cellStyle name="常规 9" xfId="178"/>
  </cellStyles>
  <dxfs count="7">
    <dxf>
      <font>
        <color rgb="FF9C0006"/>
      </font>
      <fill>
        <patternFill patternType="solid">
          <bgColor rgb="FFFFC7CE"/>
        </patternFill>
      </fill>
    </dxf>
    <dxf>
      <fill>
        <patternFill patternType="solid">
          <bgColor rgb="FFFFC7CE"/>
        </patternFill>
      </fill>
    </dxf>
    <dxf>
      <fill>
        <patternFill patternType="solid">
          <bgColor theme="9" tint="0.8"/>
        </patternFill>
      </fill>
    </dxf>
    <dxf>
      <fill>
        <patternFill patternType="solid">
          <bgColor rgb="FF92D050"/>
        </patternFill>
      </fill>
    </dxf>
    <dxf>
      <fill>
        <patternFill patternType="solid">
          <fgColor rgb="FF00B0F0"/>
          <bgColor rgb="FF000000"/>
        </patternFill>
      </fill>
    </dxf>
    <dxf>
      <fill>
        <patternFill patternType="solid">
          <fgColor rgb="FFFFFF00"/>
          <bgColor rgb="FF000000"/>
        </patternFill>
      </fill>
    </dxf>
    <dxf>
      <fill>
        <patternFill patternType="solid">
          <fgColor rgb="FFFFFF00"/>
          <bgColor rgb="FF000000"/>
        </patternFill>
      </fill>
    </dxf>
  </dxfs>
  <tableStyles count="0" defaultTableStyle="TableStyleMedium2" defaultPivotStyle="PivotStyleLight16"/>
  <colors>
    <mruColors>
      <color rgb="00F7241F"/>
      <color rgb="000000FF"/>
      <color rgb="00FFFFFF"/>
      <color rgb="000FB7FD"/>
      <color rgb="002727F0"/>
      <color rgb="00000000"/>
      <color rgb="001506E0"/>
      <color rgb="00FF0000"/>
      <color rgb="0000B0F0"/>
      <color rgb="00FFFF00"/>
    </mruColors>
  </color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11703" dbFileVersion="0" changeLogVersion="0">
    <open main="1176" threadCnt="1"/>
    <sheetInfos>
      <sheetInfo cellCmpFml="105" sheetStid="40">
        <open main="13" threadCnt="1"/>
      </sheetInfo>
      <sheetInfo cellCmpFml="1570" sheetStid="41">
        <open main="82" threadCnt="1"/>
      </sheetInfo>
      <sheetInfo cellCmpFml="2951" sheetStid="42">
        <open main="164" threadCnt="1"/>
      </sheetInfo>
      <sheetInfo cellCmpFml="2314" sheetStid="43">
        <open main="115" threadCnt="1"/>
      </sheetInfo>
      <sheetInfo cellCmpFml="603" sheetStid="44">
        <open main="36" threadCnt="1"/>
      </sheetInfo>
      <sheetInfo cellCmpFml="1006" sheetStid="48">
        <open main="66" threadCnt="1"/>
      </sheetInfo>
      <sheetInfo cellCmpFml="525" sheetStid="49">
        <open main="23" threadCnt="1"/>
      </sheetInfo>
      <sheetInfo cellCmpFml="57" sheetStid="32">
        <open main="1" threadCnt="1"/>
      </sheetInfo>
      <sheetInfo cellCmpFml="210" sheetStid="20">
        <open main="19" threadCnt="1"/>
      </sheetInfo>
      <sheetInfo cellCmpFml="25" sheetStid="50">
        <open main="5" threadCnt="1"/>
      </sheetInfo>
      <sheetInfo cellCmpFml="185" sheetStid="14">
        <open main="5" threadCnt="1"/>
      </sheetInfo>
      <sheetInfo cellCmpFml="36" sheetStid="53">
        <open main="3" threadCnt="1"/>
      </sheetInfo>
      <sheetInfo cellCmpFml="346" sheetStid="12">
        <open main="19" threadCnt="1"/>
      </sheetInfo>
      <sheetInfo cellCmpFml="218" sheetStid="52">
        <open main="6" threadCnt="1"/>
      </sheetInfo>
      <sheetInfo cellCmpFml="13" sheetStid="51">
        <open main="1" threadCnt="1"/>
      </sheetInfo>
      <sheetInfo cellCmpFml="570" sheetStid="17">
        <open main="225" threadCnt="1"/>
      </sheetInfo>
      <sheetInfo cellCmpFml="513" sheetStid="54">
        <open main="13" threadCnt="1"/>
      </sheetInfo>
      <sheetInfo cellCmpFml="107" sheetStid="47">
        <open main="6" threadCnt="1"/>
      </sheetInfo>
      <sheetInfo cellCmpFml="170" sheetStid="45">
        <open main="9" threadCnt="1"/>
      </sheetInfo>
      <sheetInfo cellCmpFml="155" sheetStid="19">
        <open main="104" threadCnt="1"/>
      </sheetInfo>
      <sheetInfo cellCmpFml="24" sheetStid="25">
        <open main="1"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1" Type="http://www.wps.cn/officeDocument/2023/relationships/woinfos" Target="woinfos.xml"/><Relationship Id="rId30" Type="http://schemas.openxmlformats.org/officeDocument/2006/relationships/styles" Target="styles.xml"/><Relationship Id="rId3" Type="http://schemas.openxmlformats.org/officeDocument/2006/relationships/worksheet" Target="worksheets/sheet3.xml"/><Relationship Id="rId29" Type="http://schemas.openxmlformats.org/officeDocument/2006/relationships/customXml" Target="../customXml/item5.xml"/><Relationship Id="rId28" Type="http://schemas.openxmlformats.org/officeDocument/2006/relationships/customXml" Target="../customXml/item4.xml"/><Relationship Id="rId27" Type="http://schemas.openxmlformats.org/officeDocument/2006/relationships/customXml" Target="../customXml/item3.xml"/><Relationship Id="rId26" Type="http://schemas.openxmlformats.org/officeDocument/2006/relationships/sharedStrings" Target="sharedStrings.xml"/><Relationship Id="rId25" Type="http://schemas.openxmlformats.org/officeDocument/2006/relationships/theme" Target="theme/theme1.xml"/><Relationship Id="rId24" Type="http://schemas.openxmlformats.org/officeDocument/2006/relationships/customXml" Target="../customXml/item2.xml"/><Relationship Id="rId23" Type="http://schemas.openxmlformats.org/officeDocument/2006/relationships/externalLink" Target="externalLinks/externalLink1.xml"/><Relationship Id="rId22" Type="http://schemas.openxmlformats.org/officeDocument/2006/relationships/customXml" Target="../customXml/item1.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1.png"/></Relationships>
</file>

<file path=xl/drawings/_rels/drawing3.xml.rels><?xml version="1.0" encoding="UTF-8" standalone="yes"?>
<Relationships xmlns="http://schemas.openxmlformats.org/package/2006/relationships"><Relationship Id="rId9" Type="http://schemas.openxmlformats.org/officeDocument/2006/relationships/image" Target="../media/image30.png"/><Relationship Id="rId8" Type="http://schemas.openxmlformats.org/officeDocument/2006/relationships/image" Target="../media/image29.png"/><Relationship Id="rId7" Type="http://schemas.openxmlformats.org/officeDocument/2006/relationships/image" Target="../media/image28.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 Id="rId3" Type="http://schemas.openxmlformats.org/officeDocument/2006/relationships/image" Target="../media/image24.png"/><Relationship Id="rId2" Type="http://schemas.openxmlformats.org/officeDocument/2006/relationships/image" Target="../media/image23.png"/><Relationship Id="rId12" Type="http://schemas.openxmlformats.org/officeDocument/2006/relationships/image" Target="../media/image33.png"/><Relationship Id="rId11" Type="http://schemas.openxmlformats.org/officeDocument/2006/relationships/image" Target="../media/image32.png"/><Relationship Id="rId10" Type="http://schemas.openxmlformats.org/officeDocument/2006/relationships/image" Target="../media/image31.png"/><Relationship Id="rId1" Type="http://schemas.openxmlformats.org/officeDocument/2006/relationships/image" Target="../media/image2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24</xdr:col>
      <xdr:colOff>132080</xdr:colOff>
      <xdr:row>5</xdr:row>
      <xdr:rowOff>108585</xdr:rowOff>
    </xdr:from>
    <xdr:to>
      <xdr:col>24</xdr:col>
      <xdr:colOff>1186779</xdr:colOff>
      <xdr:row>10</xdr:row>
      <xdr:rowOff>145435</xdr:rowOff>
    </xdr:to>
    <xdr:pic>
      <xdr:nvPicPr>
        <xdr:cNvPr id="2" name="图片 1"/>
        <xdr:cNvPicPr>
          <a:picLocks noChangeAspect="1"/>
        </xdr:cNvPicPr>
      </xdr:nvPicPr>
      <xdr:blipFill>
        <a:blip r:embed="rId1"/>
        <a:stretch>
          <a:fillRect/>
        </a:stretch>
      </xdr:blipFill>
      <xdr:spPr>
        <a:xfrm>
          <a:off x="20300950" y="1381760"/>
          <a:ext cx="851535" cy="1370330"/>
        </a:xfrm>
        <a:prstGeom prst="rect">
          <a:avLst/>
        </a:prstGeom>
      </xdr:spPr>
    </xdr:pic>
    <xdr:clientData/>
  </xdr:twoCellAnchor>
  <xdr:twoCellAnchor>
    <xdr:from>
      <xdr:col>24</xdr:col>
      <xdr:colOff>381001</xdr:colOff>
      <xdr:row>11</xdr:row>
      <xdr:rowOff>10583</xdr:rowOff>
    </xdr:from>
    <xdr:to>
      <xdr:col>24</xdr:col>
      <xdr:colOff>740833</xdr:colOff>
      <xdr:row>12</xdr:row>
      <xdr:rowOff>196659</xdr:rowOff>
    </xdr:to>
    <xdr:pic>
      <xdr:nvPicPr>
        <xdr:cNvPr id="3" name="图片 2"/>
        <xdr:cNvPicPr>
          <a:picLocks noChangeAspect="1"/>
        </xdr:cNvPicPr>
      </xdr:nvPicPr>
      <xdr:blipFill>
        <a:blip r:embed="rId2"/>
        <a:stretch>
          <a:fillRect/>
        </a:stretch>
      </xdr:blipFill>
      <xdr:spPr>
        <a:xfrm>
          <a:off x="20549870" y="2883535"/>
          <a:ext cx="359410" cy="452755"/>
        </a:xfrm>
        <a:prstGeom prst="rect">
          <a:avLst/>
        </a:prstGeom>
      </xdr:spPr>
    </xdr:pic>
    <xdr:clientData/>
  </xdr:twoCellAnchor>
  <xdr:twoCellAnchor>
    <xdr:from>
      <xdr:col>24</xdr:col>
      <xdr:colOff>105834</xdr:colOff>
      <xdr:row>14</xdr:row>
      <xdr:rowOff>0</xdr:rowOff>
    </xdr:from>
    <xdr:to>
      <xdr:col>24</xdr:col>
      <xdr:colOff>1153584</xdr:colOff>
      <xdr:row>18</xdr:row>
      <xdr:rowOff>207033</xdr:rowOff>
    </xdr:to>
    <xdr:pic>
      <xdr:nvPicPr>
        <xdr:cNvPr id="4" name="图片 3"/>
        <xdr:cNvPicPr>
          <a:picLocks noChangeAspect="1"/>
        </xdr:cNvPicPr>
      </xdr:nvPicPr>
      <xdr:blipFill>
        <a:blip r:embed="rId3"/>
        <a:stretch>
          <a:fillRect/>
        </a:stretch>
      </xdr:blipFill>
      <xdr:spPr>
        <a:xfrm>
          <a:off x="20274280" y="3673475"/>
          <a:ext cx="878205" cy="1273810"/>
        </a:xfrm>
        <a:prstGeom prst="rect">
          <a:avLst/>
        </a:prstGeom>
      </xdr:spPr>
    </xdr:pic>
    <xdr:clientData/>
  </xdr:twoCellAnchor>
  <xdr:twoCellAnchor>
    <xdr:from>
      <xdr:col>24</xdr:col>
      <xdr:colOff>158750</xdr:colOff>
      <xdr:row>19</xdr:row>
      <xdr:rowOff>222250</xdr:rowOff>
    </xdr:from>
    <xdr:to>
      <xdr:col>24</xdr:col>
      <xdr:colOff>969588</xdr:colOff>
      <xdr:row>21</xdr:row>
      <xdr:rowOff>189437</xdr:rowOff>
    </xdr:to>
    <xdr:pic>
      <xdr:nvPicPr>
        <xdr:cNvPr id="5" name="图片 4"/>
        <xdr:cNvPicPr>
          <a:picLocks noChangeAspect="1"/>
        </xdr:cNvPicPr>
      </xdr:nvPicPr>
      <xdr:blipFill>
        <a:blip r:embed="rId4"/>
        <a:stretch>
          <a:fillRect/>
        </a:stretch>
      </xdr:blipFill>
      <xdr:spPr>
        <a:xfrm>
          <a:off x="20327620" y="5229225"/>
          <a:ext cx="810260" cy="500380"/>
        </a:xfrm>
        <a:prstGeom prst="rect">
          <a:avLst/>
        </a:prstGeom>
      </xdr:spPr>
    </xdr:pic>
    <xdr:clientData/>
  </xdr:twoCellAnchor>
  <xdr:twoCellAnchor>
    <xdr:from>
      <xdr:col>24</xdr:col>
      <xdr:colOff>127000</xdr:colOff>
      <xdr:row>22</xdr:row>
      <xdr:rowOff>84668</xdr:rowOff>
    </xdr:from>
    <xdr:to>
      <xdr:col>24</xdr:col>
      <xdr:colOff>1218279</xdr:colOff>
      <xdr:row>27</xdr:row>
      <xdr:rowOff>152000</xdr:rowOff>
    </xdr:to>
    <xdr:pic>
      <xdr:nvPicPr>
        <xdr:cNvPr id="6" name="图片 5"/>
        <xdr:cNvPicPr>
          <a:picLocks noChangeAspect="1"/>
        </xdr:cNvPicPr>
      </xdr:nvPicPr>
      <xdr:blipFill>
        <a:blip r:embed="rId5"/>
        <a:stretch>
          <a:fillRect/>
        </a:stretch>
      </xdr:blipFill>
      <xdr:spPr>
        <a:xfrm>
          <a:off x="20295870" y="5891530"/>
          <a:ext cx="856615" cy="1400810"/>
        </a:xfrm>
        <a:prstGeom prst="rect">
          <a:avLst/>
        </a:prstGeom>
      </xdr:spPr>
    </xdr:pic>
    <xdr:clientData/>
  </xdr:twoCellAnchor>
  <xdr:twoCellAnchor>
    <xdr:from>
      <xdr:col>24</xdr:col>
      <xdr:colOff>232834</xdr:colOff>
      <xdr:row>28</xdr:row>
      <xdr:rowOff>42335</xdr:rowOff>
    </xdr:from>
    <xdr:to>
      <xdr:col>24</xdr:col>
      <xdr:colOff>998762</xdr:colOff>
      <xdr:row>29</xdr:row>
      <xdr:rowOff>222251</xdr:rowOff>
    </xdr:to>
    <xdr:pic>
      <xdr:nvPicPr>
        <xdr:cNvPr id="7" name="图片 6"/>
        <xdr:cNvPicPr>
          <a:picLocks noChangeAspect="1"/>
        </xdr:cNvPicPr>
      </xdr:nvPicPr>
      <xdr:blipFill>
        <a:blip r:embed="rId6"/>
        <a:stretch>
          <a:fillRect/>
        </a:stretch>
      </xdr:blipFill>
      <xdr:spPr>
        <a:xfrm>
          <a:off x="20401280" y="7449185"/>
          <a:ext cx="751205" cy="447040"/>
        </a:xfrm>
        <a:prstGeom prst="rect">
          <a:avLst/>
        </a:prstGeom>
      </xdr:spPr>
    </xdr:pic>
    <xdr:clientData/>
  </xdr:twoCellAnchor>
  <xdr:twoCellAnchor>
    <xdr:from>
      <xdr:col>24</xdr:col>
      <xdr:colOff>158750</xdr:colOff>
      <xdr:row>30</xdr:row>
      <xdr:rowOff>63500</xdr:rowOff>
    </xdr:from>
    <xdr:to>
      <xdr:col>24</xdr:col>
      <xdr:colOff>1237836</xdr:colOff>
      <xdr:row>34</xdr:row>
      <xdr:rowOff>125901</xdr:rowOff>
    </xdr:to>
    <xdr:pic>
      <xdr:nvPicPr>
        <xdr:cNvPr id="8" name="图片 7"/>
        <xdr:cNvPicPr>
          <a:picLocks noChangeAspect="1"/>
        </xdr:cNvPicPr>
      </xdr:nvPicPr>
      <xdr:blipFill>
        <a:blip r:embed="rId7"/>
        <a:stretch>
          <a:fillRect/>
        </a:stretch>
      </xdr:blipFill>
      <xdr:spPr>
        <a:xfrm>
          <a:off x="20327620" y="8004175"/>
          <a:ext cx="824865" cy="1129030"/>
        </a:xfrm>
        <a:prstGeom prst="rect">
          <a:avLst/>
        </a:prstGeom>
      </xdr:spPr>
    </xdr:pic>
    <xdr:clientData/>
  </xdr:twoCellAnchor>
  <xdr:twoCellAnchor>
    <xdr:from>
      <xdr:col>24</xdr:col>
      <xdr:colOff>148166</xdr:colOff>
      <xdr:row>35</xdr:row>
      <xdr:rowOff>42335</xdr:rowOff>
    </xdr:from>
    <xdr:to>
      <xdr:col>24</xdr:col>
      <xdr:colOff>1300027</xdr:colOff>
      <xdr:row>36</xdr:row>
      <xdr:rowOff>222252</xdr:rowOff>
    </xdr:to>
    <xdr:pic>
      <xdr:nvPicPr>
        <xdr:cNvPr id="9" name="图片 8"/>
        <xdr:cNvPicPr>
          <a:picLocks noChangeAspect="1"/>
        </xdr:cNvPicPr>
      </xdr:nvPicPr>
      <xdr:blipFill>
        <a:blip r:embed="rId8"/>
        <a:stretch>
          <a:fillRect/>
        </a:stretch>
      </xdr:blipFill>
      <xdr:spPr>
        <a:xfrm>
          <a:off x="20316825" y="9316085"/>
          <a:ext cx="835660" cy="447040"/>
        </a:xfrm>
        <a:prstGeom prst="rect">
          <a:avLst/>
        </a:prstGeom>
      </xdr:spPr>
    </xdr:pic>
    <xdr:clientData/>
  </xdr:twoCellAnchor>
  <xdr:twoCellAnchor>
    <xdr:from>
      <xdr:col>24</xdr:col>
      <xdr:colOff>201083</xdr:colOff>
      <xdr:row>37</xdr:row>
      <xdr:rowOff>127002</xdr:rowOff>
    </xdr:from>
    <xdr:to>
      <xdr:col>24</xdr:col>
      <xdr:colOff>1109946</xdr:colOff>
      <xdr:row>44</xdr:row>
      <xdr:rowOff>74084</xdr:rowOff>
    </xdr:to>
    <xdr:pic>
      <xdr:nvPicPr>
        <xdr:cNvPr id="10" name="图片 9"/>
        <xdr:cNvPicPr>
          <a:picLocks noChangeAspect="1"/>
        </xdr:cNvPicPr>
      </xdr:nvPicPr>
      <xdr:blipFill>
        <a:blip r:embed="rId9"/>
        <a:stretch>
          <a:fillRect/>
        </a:stretch>
      </xdr:blipFill>
      <xdr:spPr>
        <a:xfrm>
          <a:off x="20369530" y="9934575"/>
          <a:ext cx="782955" cy="1813560"/>
        </a:xfrm>
        <a:prstGeom prst="rect">
          <a:avLst/>
        </a:prstGeom>
      </xdr:spPr>
    </xdr:pic>
    <xdr:clientData/>
  </xdr:twoCellAnchor>
  <xdr:twoCellAnchor>
    <xdr:from>
      <xdr:col>24</xdr:col>
      <xdr:colOff>84666</xdr:colOff>
      <xdr:row>46</xdr:row>
      <xdr:rowOff>63502</xdr:rowOff>
    </xdr:from>
    <xdr:to>
      <xdr:col>24</xdr:col>
      <xdr:colOff>1197215</xdr:colOff>
      <xdr:row>52</xdr:row>
      <xdr:rowOff>63500</xdr:rowOff>
    </xdr:to>
    <xdr:pic>
      <xdr:nvPicPr>
        <xdr:cNvPr id="11" name="图片 10"/>
        <xdr:cNvPicPr>
          <a:picLocks noChangeAspect="1"/>
        </xdr:cNvPicPr>
      </xdr:nvPicPr>
      <xdr:blipFill>
        <a:blip r:embed="rId10"/>
        <a:stretch>
          <a:fillRect/>
        </a:stretch>
      </xdr:blipFill>
      <xdr:spPr>
        <a:xfrm>
          <a:off x="20253325" y="12271375"/>
          <a:ext cx="899160" cy="1600200"/>
        </a:xfrm>
        <a:prstGeom prst="rect">
          <a:avLst/>
        </a:prstGeom>
      </xdr:spPr>
    </xdr:pic>
    <xdr:clientData/>
  </xdr:twoCellAnchor>
  <xdr:twoCellAnchor>
    <xdr:from>
      <xdr:col>24</xdr:col>
      <xdr:colOff>201083</xdr:colOff>
      <xdr:row>53</xdr:row>
      <xdr:rowOff>42334</xdr:rowOff>
    </xdr:from>
    <xdr:to>
      <xdr:col>24</xdr:col>
      <xdr:colOff>994832</xdr:colOff>
      <xdr:row>54</xdr:row>
      <xdr:rowOff>190501</xdr:rowOff>
    </xdr:to>
    <xdr:pic>
      <xdr:nvPicPr>
        <xdr:cNvPr id="12" name="图片 11"/>
        <xdr:cNvPicPr>
          <a:picLocks noChangeAspect="1"/>
        </xdr:cNvPicPr>
      </xdr:nvPicPr>
      <xdr:blipFill>
        <a:blip r:embed="rId11"/>
        <a:stretch>
          <a:fillRect/>
        </a:stretch>
      </xdr:blipFill>
      <xdr:spPr>
        <a:xfrm>
          <a:off x="20369530" y="14116685"/>
          <a:ext cx="782955" cy="415290"/>
        </a:xfrm>
        <a:prstGeom prst="rect">
          <a:avLst/>
        </a:prstGeom>
      </xdr:spPr>
    </xdr:pic>
    <xdr:clientData/>
  </xdr:twoCellAnchor>
  <xdr:twoCellAnchor>
    <xdr:from>
      <xdr:col>24</xdr:col>
      <xdr:colOff>264584</xdr:colOff>
      <xdr:row>55</xdr:row>
      <xdr:rowOff>169334</xdr:rowOff>
    </xdr:from>
    <xdr:to>
      <xdr:col>24</xdr:col>
      <xdr:colOff>963084</xdr:colOff>
      <xdr:row>59</xdr:row>
      <xdr:rowOff>218095</xdr:rowOff>
    </xdr:to>
    <xdr:pic>
      <xdr:nvPicPr>
        <xdr:cNvPr id="13" name="图片 12"/>
        <xdr:cNvPicPr>
          <a:picLocks noChangeAspect="1"/>
        </xdr:cNvPicPr>
      </xdr:nvPicPr>
      <xdr:blipFill>
        <a:blip r:embed="rId12"/>
        <a:stretch>
          <a:fillRect/>
        </a:stretch>
      </xdr:blipFill>
      <xdr:spPr>
        <a:xfrm>
          <a:off x="20433030" y="14777085"/>
          <a:ext cx="698500" cy="1115695"/>
        </a:xfrm>
        <a:prstGeom prst="rect">
          <a:avLst/>
        </a:prstGeom>
      </xdr:spPr>
    </xdr:pic>
    <xdr:clientData/>
  </xdr:twoCellAnchor>
  <xdr:twoCellAnchor>
    <xdr:from>
      <xdr:col>24</xdr:col>
      <xdr:colOff>179917</xdr:colOff>
      <xdr:row>61</xdr:row>
      <xdr:rowOff>95250</xdr:rowOff>
    </xdr:from>
    <xdr:to>
      <xdr:col>24</xdr:col>
      <xdr:colOff>1118782</xdr:colOff>
      <xdr:row>66</xdr:row>
      <xdr:rowOff>84493</xdr:rowOff>
    </xdr:to>
    <xdr:pic>
      <xdr:nvPicPr>
        <xdr:cNvPr id="14" name="图片 13"/>
        <xdr:cNvPicPr>
          <a:picLocks noChangeAspect="1"/>
        </xdr:cNvPicPr>
      </xdr:nvPicPr>
      <xdr:blipFill>
        <a:blip r:embed="rId13"/>
        <a:stretch>
          <a:fillRect/>
        </a:stretch>
      </xdr:blipFill>
      <xdr:spPr>
        <a:xfrm>
          <a:off x="20348575" y="16303625"/>
          <a:ext cx="803910" cy="1322705"/>
        </a:xfrm>
        <a:prstGeom prst="rect">
          <a:avLst/>
        </a:prstGeom>
      </xdr:spPr>
    </xdr:pic>
    <xdr:clientData/>
  </xdr:twoCellAnchor>
  <xdr:twoCellAnchor>
    <xdr:from>
      <xdr:col>24</xdr:col>
      <xdr:colOff>105834</xdr:colOff>
      <xdr:row>67</xdr:row>
      <xdr:rowOff>52918</xdr:rowOff>
    </xdr:from>
    <xdr:to>
      <xdr:col>24</xdr:col>
      <xdr:colOff>1103435</xdr:colOff>
      <xdr:row>68</xdr:row>
      <xdr:rowOff>190500</xdr:rowOff>
    </xdr:to>
    <xdr:pic>
      <xdr:nvPicPr>
        <xdr:cNvPr id="15" name="图片 14"/>
        <xdr:cNvPicPr>
          <a:picLocks noChangeAspect="1"/>
        </xdr:cNvPicPr>
      </xdr:nvPicPr>
      <xdr:blipFill>
        <a:blip r:embed="rId14"/>
        <a:stretch>
          <a:fillRect/>
        </a:stretch>
      </xdr:blipFill>
      <xdr:spPr>
        <a:xfrm>
          <a:off x="20274280" y="17861280"/>
          <a:ext cx="878205" cy="404495"/>
        </a:xfrm>
        <a:prstGeom prst="rect">
          <a:avLst/>
        </a:prstGeom>
      </xdr:spPr>
    </xdr:pic>
    <xdr:clientData/>
  </xdr:twoCellAnchor>
  <xdr:twoCellAnchor>
    <xdr:from>
      <xdr:col>24</xdr:col>
      <xdr:colOff>275168</xdr:colOff>
      <xdr:row>69</xdr:row>
      <xdr:rowOff>116416</xdr:rowOff>
    </xdr:from>
    <xdr:to>
      <xdr:col>24</xdr:col>
      <xdr:colOff>1026584</xdr:colOff>
      <xdr:row>75</xdr:row>
      <xdr:rowOff>100510</xdr:rowOff>
    </xdr:to>
    <xdr:pic>
      <xdr:nvPicPr>
        <xdr:cNvPr id="16" name="图片 15"/>
        <xdr:cNvPicPr>
          <a:picLocks noChangeAspect="1"/>
        </xdr:cNvPicPr>
      </xdr:nvPicPr>
      <xdr:blipFill>
        <a:blip r:embed="rId15"/>
        <a:stretch>
          <a:fillRect/>
        </a:stretch>
      </xdr:blipFill>
      <xdr:spPr>
        <a:xfrm>
          <a:off x="20443825" y="18458180"/>
          <a:ext cx="708660" cy="1584325"/>
        </a:xfrm>
        <a:prstGeom prst="rect">
          <a:avLst/>
        </a:prstGeom>
      </xdr:spPr>
    </xdr:pic>
    <xdr:clientData/>
  </xdr:twoCellAnchor>
  <xdr:twoCellAnchor>
    <xdr:from>
      <xdr:col>24</xdr:col>
      <xdr:colOff>264583</xdr:colOff>
      <xdr:row>76</xdr:row>
      <xdr:rowOff>84667</xdr:rowOff>
    </xdr:from>
    <xdr:to>
      <xdr:col>24</xdr:col>
      <xdr:colOff>1026582</xdr:colOff>
      <xdr:row>81</xdr:row>
      <xdr:rowOff>212798</xdr:rowOff>
    </xdr:to>
    <xdr:pic>
      <xdr:nvPicPr>
        <xdr:cNvPr id="17" name="图片 16"/>
        <xdr:cNvPicPr>
          <a:picLocks noChangeAspect="1"/>
        </xdr:cNvPicPr>
      </xdr:nvPicPr>
      <xdr:blipFill>
        <a:blip r:embed="rId16"/>
        <a:stretch>
          <a:fillRect/>
        </a:stretch>
      </xdr:blipFill>
      <xdr:spPr>
        <a:xfrm>
          <a:off x="20433030" y="20293330"/>
          <a:ext cx="719455" cy="1461770"/>
        </a:xfrm>
        <a:prstGeom prst="rect">
          <a:avLst/>
        </a:prstGeom>
      </xdr:spPr>
    </xdr:pic>
    <xdr:clientData/>
  </xdr:twoCellAnchor>
  <xdr:twoCellAnchor>
    <xdr:from>
      <xdr:col>24</xdr:col>
      <xdr:colOff>158750</xdr:colOff>
      <xdr:row>84</xdr:row>
      <xdr:rowOff>0</xdr:rowOff>
    </xdr:from>
    <xdr:to>
      <xdr:col>24</xdr:col>
      <xdr:colOff>1143000</xdr:colOff>
      <xdr:row>85</xdr:row>
      <xdr:rowOff>201083</xdr:rowOff>
    </xdr:to>
    <xdr:pic>
      <xdr:nvPicPr>
        <xdr:cNvPr id="18" name="图片 17"/>
        <xdr:cNvPicPr>
          <a:picLocks noChangeAspect="1"/>
        </xdr:cNvPicPr>
      </xdr:nvPicPr>
      <xdr:blipFill>
        <a:blip r:embed="rId17"/>
        <a:stretch>
          <a:fillRect/>
        </a:stretch>
      </xdr:blipFill>
      <xdr:spPr>
        <a:xfrm>
          <a:off x="20327620" y="22342475"/>
          <a:ext cx="824865" cy="467360"/>
        </a:xfrm>
        <a:prstGeom prst="rect">
          <a:avLst/>
        </a:prstGeom>
      </xdr:spPr>
    </xdr:pic>
    <xdr:clientData/>
  </xdr:twoCellAnchor>
  <xdr:twoCellAnchor>
    <xdr:from>
      <xdr:col>24</xdr:col>
      <xdr:colOff>232834</xdr:colOff>
      <xdr:row>86</xdr:row>
      <xdr:rowOff>190500</xdr:rowOff>
    </xdr:from>
    <xdr:to>
      <xdr:col>24</xdr:col>
      <xdr:colOff>1134732</xdr:colOff>
      <xdr:row>90</xdr:row>
      <xdr:rowOff>116417</xdr:rowOff>
    </xdr:to>
    <xdr:pic>
      <xdr:nvPicPr>
        <xdr:cNvPr id="19" name="图片 18"/>
        <xdr:cNvPicPr>
          <a:picLocks noChangeAspect="1"/>
        </xdr:cNvPicPr>
      </xdr:nvPicPr>
      <xdr:blipFill>
        <a:blip r:embed="rId18"/>
        <a:stretch>
          <a:fillRect/>
        </a:stretch>
      </xdr:blipFill>
      <xdr:spPr>
        <a:xfrm>
          <a:off x="20401280" y="23066375"/>
          <a:ext cx="751205" cy="992505"/>
        </a:xfrm>
        <a:prstGeom prst="rect">
          <a:avLst/>
        </a:prstGeom>
      </xdr:spPr>
    </xdr:pic>
    <xdr:clientData/>
  </xdr:twoCellAnchor>
  <xdr:twoCellAnchor>
    <xdr:from>
      <xdr:col>24</xdr:col>
      <xdr:colOff>306917</xdr:colOff>
      <xdr:row>91</xdr:row>
      <xdr:rowOff>137584</xdr:rowOff>
    </xdr:from>
    <xdr:to>
      <xdr:col>24</xdr:col>
      <xdr:colOff>1005417</xdr:colOff>
      <xdr:row>95</xdr:row>
      <xdr:rowOff>137584</xdr:rowOff>
    </xdr:to>
    <xdr:pic>
      <xdr:nvPicPr>
        <xdr:cNvPr id="20" name="图片 19"/>
        <xdr:cNvPicPr>
          <a:picLocks noChangeAspect="1"/>
        </xdr:cNvPicPr>
      </xdr:nvPicPr>
      <xdr:blipFill>
        <a:blip r:embed="rId19"/>
        <a:stretch>
          <a:fillRect/>
        </a:stretch>
      </xdr:blipFill>
      <xdr:spPr>
        <a:xfrm>
          <a:off x="20475575" y="24346535"/>
          <a:ext cx="676910" cy="1066800"/>
        </a:xfrm>
        <a:prstGeom prst="rect">
          <a:avLst/>
        </a:prstGeom>
      </xdr:spPr>
    </xdr:pic>
    <xdr:clientData/>
  </xdr:twoCellAnchor>
  <xdr:twoCellAnchor>
    <xdr:from>
      <xdr:col>24</xdr:col>
      <xdr:colOff>317500</xdr:colOff>
      <xdr:row>97</xdr:row>
      <xdr:rowOff>42333</xdr:rowOff>
    </xdr:from>
    <xdr:to>
      <xdr:col>24</xdr:col>
      <xdr:colOff>1037166</xdr:colOff>
      <xdr:row>98</xdr:row>
      <xdr:rowOff>185048</xdr:rowOff>
    </xdr:to>
    <xdr:pic>
      <xdr:nvPicPr>
        <xdr:cNvPr id="21" name="图片 20"/>
        <xdr:cNvPicPr>
          <a:picLocks noChangeAspect="1"/>
        </xdr:cNvPicPr>
      </xdr:nvPicPr>
      <xdr:blipFill>
        <a:blip r:embed="rId20"/>
        <a:stretch>
          <a:fillRect/>
        </a:stretch>
      </xdr:blipFill>
      <xdr:spPr>
        <a:xfrm>
          <a:off x="20486370" y="25851485"/>
          <a:ext cx="666115" cy="40957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49530</xdr:colOff>
      <xdr:row>49</xdr:row>
      <xdr:rowOff>46355</xdr:rowOff>
    </xdr:from>
    <xdr:to>
      <xdr:col>3</xdr:col>
      <xdr:colOff>127635</xdr:colOff>
      <xdr:row>77</xdr:row>
      <xdr:rowOff>51435</xdr:rowOff>
    </xdr:to>
    <xdr:pic>
      <xdr:nvPicPr>
        <xdr:cNvPr id="2" name="图片 1"/>
        <xdr:cNvPicPr>
          <a:picLocks noChangeAspect="1"/>
        </xdr:cNvPicPr>
      </xdr:nvPicPr>
      <xdr:blipFill>
        <a:blip r:embed="rId1"/>
        <a:stretch>
          <a:fillRect/>
        </a:stretch>
      </xdr:blipFill>
      <xdr:spPr>
        <a:xfrm>
          <a:off x="49530" y="10187305"/>
          <a:ext cx="2780665" cy="480568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68</xdr:col>
      <xdr:colOff>0</xdr:colOff>
      <xdr:row>0</xdr:row>
      <xdr:rowOff>239395</xdr:rowOff>
    </xdr:from>
    <xdr:to>
      <xdr:col>68</xdr:col>
      <xdr:colOff>581025</xdr:colOff>
      <xdr:row>0</xdr:row>
      <xdr:rowOff>753110</xdr:rowOff>
    </xdr:to>
    <xdr:pic>
      <xdr:nvPicPr>
        <xdr:cNvPr id="40878325" name="图片 10" descr="4@U7}6UCM%`SFJJS%R3DJ_A"/>
        <xdr:cNvPicPr>
          <a:picLocks noChangeAspect="1"/>
        </xdr:cNvPicPr>
      </xdr:nvPicPr>
      <xdr:blipFill>
        <a:blip r:embed="rId1"/>
        <a:stretch>
          <a:fillRect/>
        </a:stretch>
      </xdr:blipFill>
      <xdr:spPr>
        <a:xfrm>
          <a:off x="33289875" y="239395"/>
          <a:ext cx="581025" cy="513715"/>
        </a:xfrm>
        <a:prstGeom prst="rect">
          <a:avLst/>
        </a:prstGeom>
        <a:noFill/>
        <a:ln w="9525">
          <a:noFill/>
        </a:ln>
      </xdr:spPr>
    </xdr:pic>
    <xdr:clientData/>
  </xdr:twoCellAnchor>
  <xdr:twoCellAnchor editAs="oneCell">
    <xdr:from>
      <xdr:col>69</xdr:col>
      <xdr:colOff>0</xdr:colOff>
      <xdr:row>0</xdr:row>
      <xdr:rowOff>246380</xdr:rowOff>
    </xdr:from>
    <xdr:to>
      <xdr:col>69</xdr:col>
      <xdr:colOff>572135</xdr:colOff>
      <xdr:row>0</xdr:row>
      <xdr:rowOff>742950</xdr:rowOff>
    </xdr:to>
    <xdr:pic>
      <xdr:nvPicPr>
        <xdr:cNvPr id="40878326" name="图片 11" descr="E0I76J1LQF[6U_0{I{RW5DH"/>
        <xdr:cNvPicPr>
          <a:picLocks noChangeAspect="1"/>
        </xdr:cNvPicPr>
      </xdr:nvPicPr>
      <xdr:blipFill>
        <a:blip r:embed="rId2"/>
        <a:stretch>
          <a:fillRect/>
        </a:stretch>
      </xdr:blipFill>
      <xdr:spPr>
        <a:xfrm>
          <a:off x="34042350" y="246380"/>
          <a:ext cx="572135" cy="496570"/>
        </a:xfrm>
        <a:prstGeom prst="rect">
          <a:avLst/>
        </a:prstGeom>
        <a:noFill/>
        <a:ln w="9525">
          <a:noFill/>
        </a:ln>
      </xdr:spPr>
    </xdr:pic>
    <xdr:clientData/>
  </xdr:twoCellAnchor>
  <xdr:twoCellAnchor editAs="oneCell">
    <xdr:from>
      <xdr:col>71</xdr:col>
      <xdr:colOff>0</xdr:colOff>
      <xdr:row>0</xdr:row>
      <xdr:rowOff>208915</xdr:rowOff>
    </xdr:from>
    <xdr:to>
      <xdr:col>71</xdr:col>
      <xdr:colOff>571500</xdr:colOff>
      <xdr:row>0</xdr:row>
      <xdr:rowOff>721995</xdr:rowOff>
    </xdr:to>
    <xdr:pic>
      <xdr:nvPicPr>
        <xdr:cNvPr id="40878327" name="图片 13" descr="Y7BM7ZGJ{}_}G3YQD@`9_VH"/>
        <xdr:cNvPicPr>
          <a:picLocks noChangeAspect="1"/>
        </xdr:cNvPicPr>
      </xdr:nvPicPr>
      <xdr:blipFill>
        <a:blip r:embed="rId3"/>
        <a:stretch>
          <a:fillRect/>
        </a:stretch>
      </xdr:blipFill>
      <xdr:spPr>
        <a:xfrm>
          <a:off x="35547300" y="208915"/>
          <a:ext cx="571500" cy="513080"/>
        </a:xfrm>
        <a:prstGeom prst="rect">
          <a:avLst/>
        </a:prstGeom>
        <a:noFill/>
        <a:ln w="9525">
          <a:noFill/>
        </a:ln>
      </xdr:spPr>
    </xdr:pic>
    <xdr:clientData/>
  </xdr:twoCellAnchor>
  <xdr:twoCellAnchor editAs="oneCell">
    <xdr:from>
      <xdr:col>72</xdr:col>
      <xdr:colOff>0</xdr:colOff>
      <xdr:row>0</xdr:row>
      <xdr:rowOff>229235</xdr:rowOff>
    </xdr:from>
    <xdr:to>
      <xdr:col>72</xdr:col>
      <xdr:colOff>591820</xdr:colOff>
      <xdr:row>0</xdr:row>
      <xdr:rowOff>725805</xdr:rowOff>
    </xdr:to>
    <xdr:pic>
      <xdr:nvPicPr>
        <xdr:cNvPr id="40878328" name="图片 14" descr="I@CMF$E2N(M~}2B)C${5SRC"/>
        <xdr:cNvPicPr>
          <a:picLocks noChangeAspect="1"/>
        </xdr:cNvPicPr>
      </xdr:nvPicPr>
      <xdr:blipFill>
        <a:blip r:embed="rId4"/>
        <a:stretch>
          <a:fillRect/>
        </a:stretch>
      </xdr:blipFill>
      <xdr:spPr>
        <a:xfrm>
          <a:off x="36299775" y="229235"/>
          <a:ext cx="591820" cy="496570"/>
        </a:xfrm>
        <a:prstGeom prst="rect">
          <a:avLst/>
        </a:prstGeom>
        <a:noFill/>
        <a:ln w="9525">
          <a:noFill/>
        </a:ln>
      </xdr:spPr>
    </xdr:pic>
    <xdr:clientData/>
  </xdr:twoCellAnchor>
  <xdr:twoCellAnchor editAs="oneCell">
    <xdr:from>
      <xdr:col>70</xdr:col>
      <xdr:colOff>0</xdr:colOff>
      <xdr:row>0</xdr:row>
      <xdr:rowOff>239395</xdr:rowOff>
    </xdr:from>
    <xdr:to>
      <xdr:col>70</xdr:col>
      <xdr:colOff>572135</xdr:colOff>
      <xdr:row>0</xdr:row>
      <xdr:rowOff>753110</xdr:rowOff>
    </xdr:to>
    <xdr:pic>
      <xdr:nvPicPr>
        <xdr:cNvPr id="40878329" name="图片 2" descr="9R}9WD6FUV@RIDBD[HR(%ET"/>
        <xdr:cNvPicPr>
          <a:picLocks noChangeAspect="1"/>
        </xdr:cNvPicPr>
      </xdr:nvPicPr>
      <xdr:blipFill>
        <a:blip r:embed="rId5"/>
        <a:stretch>
          <a:fillRect/>
        </a:stretch>
      </xdr:blipFill>
      <xdr:spPr>
        <a:xfrm>
          <a:off x="34794825" y="239395"/>
          <a:ext cx="572135" cy="513715"/>
        </a:xfrm>
        <a:prstGeom prst="rect">
          <a:avLst/>
        </a:prstGeom>
        <a:noFill/>
        <a:ln w="9525">
          <a:noFill/>
        </a:ln>
      </xdr:spPr>
    </xdr:pic>
    <xdr:clientData/>
  </xdr:twoCellAnchor>
  <xdr:twoCellAnchor editAs="oneCell">
    <xdr:from>
      <xdr:col>61</xdr:col>
      <xdr:colOff>0</xdr:colOff>
      <xdr:row>0</xdr:row>
      <xdr:rowOff>208915</xdr:rowOff>
    </xdr:from>
    <xdr:to>
      <xdr:col>61</xdr:col>
      <xdr:colOff>572135</xdr:colOff>
      <xdr:row>0</xdr:row>
      <xdr:rowOff>732790</xdr:rowOff>
    </xdr:to>
    <xdr:pic>
      <xdr:nvPicPr>
        <xdr:cNvPr id="40878330" name="图片 3" descr="C@NLVQ$_5I6WGB$1ELC181E"/>
        <xdr:cNvPicPr>
          <a:picLocks noChangeAspect="1"/>
        </xdr:cNvPicPr>
      </xdr:nvPicPr>
      <xdr:blipFill>
        <a:blip r:embed="rId6"/>
        <a:stretch>
          <a:fillRect/>
        </a:stretch>
      </xdr:blipFill>
      <xdr:spPr>
        <a:xfrm>
          <a:off x="28022550" y="208915"/>
          <a:ext cx="572135" cy="523875"/>
        </a:xfrm>
        <a:prstGeom prst="rect">
          <a:avLst/>
        </a:prstGeom>
        <a:noFill/>
        <a:ln w="9525">
          <a:noFill/>
        </a:ln>
      </xdr:spPr>
    </xdr:pic>
    <xdr:clientData/>
  </xdr:twoCellAnchor>
  <xdr:twoCellAnchor editAs="oneCell">
    <xdr:from>
      <xdr:col>62</xdr:col>
      <xdr:colOff>0</xdr:colOff>
      <xdr:row>0</xdr:row>
      <xdr:rowOff>239395</xdr:rowOff>
    </xdr:from>
    <xdr:to>
      <xdr:col>62</xdr:col>
      <xdr:colOff>572135</xdr:colOff>
      <xdr:row>0</xdr:row>
      <xdr:rowOff>742950</xdr:rowOff>
    </xdr:to>
    <xdr:pic>
      <xdr:nvPicPr>
        <xdr:cNvPr id="40878331" name="图片 4" descr="AH9YWE9~8G2@3SXBWP{{~}Y"/>
        <xdr:cNvPicPr>
          <a:picLocks noChangeAspect="1"/>
        </xdr:cNvPicPr>
      </xdr:nvPicPr>
      <xdr:blipFill>
        <a:blip r:embed="rId7"/>
        <a:stretch>
          <a:fillRect/>
        </a:stretch>
      </xdr:blipFill>
      <xdr:spPr>
        <a:xfrm>
          <a:off x="28775025" y="239395"/>
          <a:ext cx="572135" cy="503555"/>
        </a:xfrm>
        <a:prstGeom prst="rect">
          <a:avLst/>
        </a:prstGeom>
        <a:noFill/>
        <a:ln w="9525">
          <a:noFill/>
        </a:ln>
      </xdr:spPr>
    </xdr:pic>
    <xdr:clientData/>
  </xdr:twoCellAnchor>
  <xdr:twoCellAnchor editAs="oneCell">
    <xdr:from>
      <xdr:col>63</xdr:col>
      <xdr:colOff>0</xdr:colOff>
      <xdr:row>0</xdr:row>
      <xdr:rowOff>266700</xdr:rowOff>
    </xdr:from>
    <xdr:to>
      <xdr:col>63</xdr:col>
      <xdr:colOff>582295</xdr:colOff>
      <xdr:row>0</xdr:row>
      <xdr:rowOff>753110</xdr:rowOff>
    </xdr:to>
    <xdr:pic>
      <xdr:nvPicPr>
        <xdr:cNvPr id="40878332" name="图片 5" descr="2LW_Z$%6$M$V1~FKPNZEXBR"/>
        <xdr:cNvPicPr>
          <a:picLocks noChangeAspect="1"/>
        </xdr:cNvPicPr>
      </xdr:nvPicPr>
      <xdr:blipFill>
        <a:blip r:embed="rId8"/>
        <a:stretch>
          <a:fillRect/>
        </a:stretch>
      </xdr:blipFill>
      <xdr:spPr>
        <a:xfrm>
          <a:off x="29527500" y="266700"/>
          <a:ext cx="582295" cy="486410"/>
        </a:xfrm>
        <a:prstGeom prst="rect">
          <a:avLst/>
        </a:prstGeom>
        <a:noFill/>
        <a:ln w="9525">
          <a:noFill/>
        </a:ln>
      </xdr:spPr>
    </xdr:pic>
    <xdr:clientData/>
  </xdr:twoCellAnchor>
  <xdr:twoCellAnchor editAs="oneCell">
    <xdr:from>
      <xdr:col>64</xdr:col>
      <xdr:colOff>0</xdr:colOff>
      <xdr:row>0</xdr:row>
      <xdr:rowOff>208915</xdr:rowOff>
    </xdr:from>
    <xdr:to>
      <xdr:col>64</xdr:col>
      <xdr:colOff>590550</xdr:colOff>
      <xdr:row>0</xdr:row>
      <xdr:rowOff>742950</xdr:rowOff>
    </xdr:to>
    <xdr:pic>
      <xdr:nvPicPr>
        <xdr:cNvPr id="40878333" name="图片 6" descr="6JHEUGX344}{5@9T]6NX~Y8"/>
        <xdr:cNvPicPr>
          <a:picLocks noChangeAspect="1"/>
        </xdr:cNvPicPr>
      </xdr:nvPicPr>
      <xdr:blipFill>
        <a:blip r:embed="rId9"/>
        <a:stretch>
          <a:fillRect/>
        </a:stretch>
      </xdr:blipFill>
      <xdr:spPr>
        <a:xfrm>
          <a:off x="30279975" y="208915"/>
          <a:ext cx="590550" cy="534035"/>
        </a:xfrm>
        <a:prstGeom prst="rect">
          <a:avLst/>
        </a:prstGeom>
        <a:noFill/>
        <a:ln w="9525">
          <a:noFill/>
        </a:ln>
      </xdr:spPr>
    </xdr:pic>
    <xdr:clientData/>
  </xdr:twoCellAnchor>
  <xdr:twoCellAnchor editAs="oneCell">
    <xdr:from>
      <xdr:col>65</xdr:col>
      <xdr:colOff>0</xdr:colOff>
      <xdr:row>0</xdr:row>
      <xdr:rowOff>229235</xdr:rowOff>
    </xdr:from>
    <xdr:to>
      <xdr:col>65</xdr:col>
      <xdr:colOff>582295</xdr:colOff>
      <xdr:row>0</xdr:row>
      <xdr:rowOff>742950</xdr:rowOff>
    </xdr:to>
    <xdr:pic>
      <xdr:nvPicPr>
        <xdr:cNvPr id="40878334" name="图片 7" descr="1D]P_4I_4HP{3O(~L01~$NR"/>
        <xdr:cNvPicPr>
          <a:picLocks noChangeAspect="1"/>
        </xdr:cNvPicPr>
      </xdr:nvPicPr>
      <xdr:blipFill>
        <a:blip r:embed="rId10"/>
        <a:stretch>
          <a:fillRect/>
        </a:stretch>
      </xdr:blipFill>
      <xdr:spPr>
        <a:xfrm>
          <a:off x="31032450" y="229235"/>
          <a:ext cx="582295" cy="513715"/>
        </a:xfrm>
        <a:prstGeom prst="rect">
          <a:avLst/>
        </a:prstGeom>
        <a:noFill/>
        <a:ln w="9525">
          <a:noFill/>
        </a:ln>
      </xdr:spPr>
    </xdr:pic>
    <xdr:clientData/>
  </xdr:twoCellAnchor>
  <xdr:twoCellAnchor editAs="oneCell">
    <xdr:from>
      <xdr:col>66</xdr:col>
      <xdr:colOff>0</xdr:colOff>
      <xdr:row>0</xdr:row>
      <xdr:rowOff>208915</xdr:rowOff>
    </xdr:from>
    <xdr:to>
      <xdr:col>66</xdr:col>
      <xdr:colOff>572135</xdr:colOff>
      <xdr:row>0</xdr:row>
      <xdr:rowOff>753110</xdr:rowOff>
    </xdr:to>
    <xdr:pic>
      <xdr:nvPicPr>
        <xdr:cNvPr id="40878335" name="图片 8" descr="PF8[8C8S~G~`]N0IBK`{~PM"/>
        <xdr:cNvPicPr>
          <a:picLocks noChangeAspect="1"/>
        </xdr:cNvPicPr>
      </xdr:nvPicPr>
      <xdr:blipFill>
        <a:blip r:embed="rId11"/>
        <a:stretch>
          <a:fillRect/>
        </a:stretch>
      </xdr:blipFill>
      <xdr:spPr>
        <a:xfrm>
          <a:off x="31784925" y="208915"/>
          <a:ext cx="572135" cy="544195"/>
        </a:xfrm>
        <a:prstGeom prst="rect">
          <a:avLst/>
        </a:prstGeom>
        <a:noFill/>
        <a:ln w="9525">
          <a:noFill/>
        </a:ln>
      </xdr:spPr>
    </xdr:pic>
    <xdr:clientData/>
  </xdr:twoCellAnchor>
  <xdr:twoCellAnchor editAs="oneCell">
    <xdr:from>
      <xdr:col>67</xdr:col>
      <xdr:colOff>0</xdr:colOff>
      <xdr:row>0</xdr:row>
      <xdr:rowOff>229235</xdr:rowOff>
    </xdr:from>
    <xdr:to>
      <xdr:col>67</xdr:col>
      <xdr:colOff>609600</xdr:colOff>
      <xdr:row>0</xdr:row>
      <xdr:rowOff>773430</xdr:rowOff>
    </xdr:to>
    <xdr:pic>
      <xdr:nvPicPr>
        <xdr:cNvPr id="40878336" name="图片 9" descr="N{BYSP0_ROCMX7YTJDWFKJ2"/>
        <xdr:cNvPicPr>
          <a:picLocks noChangeAspect="1"/>
        </xdr:cNvPicPr>
      </xdr:nvPicPr>
      <xdr:blipFill>
        <a:blip r:embed="rId12"/>
        <a:stretch>
          <a:fillRect/>
        </a:stretch>
      </xdr:blipFill>
      <xdr:spPr>
        <a:xfrm>
          <a:off x="32537400" y="229235"/>
          <a:ext cx="609600" cy="54419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yfile/Department/DOCUME~1/kennylee/LOCALS~1/Temp/notesE1EF34/Q_08_Little%20Sniffles%20LAAM%20Version_R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put notes"/>
      <sheetName val="Sheet1"/>
      <sheetName val="Q-1"/>
      <sheetName val="CQS Code(rev 38)"/>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hyperlink" Target="mailto:Candy@zuru.com" TargetMode="External"/><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2.xml"/><Relationship Id="rId1" Type="http://schemas.openxmlformats.org/officeDocument/2006/relationships/comments" Target="../comments8.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2.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L531"/>
  <sheetViews>
    <sheetView workbookViewId="0">
      <pane xSplit="15" ySplit="4" topLeftCell="P89" activePane="bottomRight" state="frozen"/>
      <selection/>
      <selection pane="topRight"/>
      <selection pane="bottomLeft"/>
      <selection pane="bottomRight" activeCell="AA1" sqref="$A1:$XFD1048576"/>
    </sheetView>
  </sheetViews>
  <sheetFormatPr defaultColWidth="9" defaultRowHeight="18.75"/>
  <cols>
    <col min="1" max="1" width="18.0333333333333" style="5171" customWidth="1"/>
    <col min="2" max="2" width="16.425" style="5172" customWidth="1"/>
    <col min="3" max="3" width="11.3" style="5172" customWidth="1"/>
    <col min="4" max="4" width="14.1" style="3563" customWidth="1"/>
    <col min="5" max="5" width="15" style="5173" customWidth="1"/>
    <col min="6" max="6" width="20.8333333333333" style="5172" customWidth="1"/>
    <col min="7" max="7" width="11.6333333333333" style="5173" customWidth="1"/>
    <col min="8" max="8" width="17.45" style="5174" customWidth="1"/>
    <col min="9" max="9" width="16.5" style="5175" customWidth="1"/>
    <col min="10" max="10" width="10.85" style="5175" customWidth="1"/>
    <col min="11" max="11" width="9.275" style="5175" customWidth="1"/>
    <col min="12" max="12" width="9.41666666666667" style="5175" customWidth="1"/>
    <col min="13" max="13" width="10" style="5175" customWidth="1"/>
    <col min="14" max="14" width="19.6333333333333" style="5175" customWidth="1"/>
    <col min="15" max="15" width="19.6333333333333" style="5176" customWidth="1"/>
    <col min="16" max="16" width="17.3333333333333" style="5164" customWidth="1"/>
    <col min="17" max="17" width="12.5333333333333" style="5177" customWidth="1"/>
    <col min="18" max="19" width="12.5333333333333" style="5177" hidden="1" customWidth="1"/>
    <col min="20" max="20" width="14.6833333333333" style="5178" customWidth="1"/>
    <col min="21" max="21" width="15.425" style="5164" customWidth="1"/>
    <col min="22" max="22" width="7.70833333333333" style="5164" customWidth="1"/>
    <col min="23" max="23" width="23.1666666666667" style="5179" customWidth="1"/>
    <col min="24" max="24" width="4.33333333333333" style="5180" customWidth="1"/>
    <col min="25" max="25" width="18.5916666666667" style="5181" customWidth="1"/>
    <col min="26" max="26" width="17.7166666666667" style="5181" customWidth="1"/>
    <col min="27" max="27" width="29" style="5182" customWidth="1"/>
    <col min="28" max="28" width="11.6666666666667" style="5183" customWidth="1"/>
    <col min="29" max="30" width="13.5666666666667" style="5183" customWidth="1"/>
    <col min="31" max="31" width="13.6333333333333" style="5183" customWidth="1"/>
    <col min="32" max="32" width="12.5" style="5183" customWidth="1"/>
    <col min="33" max="33" width="9.25" style="5184" customWidth="1"/>
    <col min="34" max="34" width="7.75" style="5185" customWidth="1"/>
    <col min="35" max="35" width="10.5416666666667" style="5185" customWidth="1"/>
    <col min="36" max="36" width="7.75" style="5186" customWidth="1"/>
    <col min="37" max="37" width="10.1416666666667" style="5187" customWidth="1"/>
    <col min="38" max="39" width="7.5" style="5188" customWidth="1"/>
    <col min="40" max="40" width="7.5" style="5189" customWidth="1"/>
    <col min="41" max="41" width="8.85833333333333" style="5190" customWidth="1"/>
    <col min="42" max="43" width="8.85833333333333" style="5189" customWidth="1"/>
    <col min="44" max="49" width="11.0666666666667" style="5189" customWidth="1"/>
    <col min="50" max="53" width="8.85833333333333" style="5189" customWidth="1"/>
    <col min="54" max="54" width="9.41666666666667" style="5190" customWidth="1"/>
    <col min="55" max="55" width="12.2833333333333" style="5191" customWidth="1"/>
    <col min="56" max="56" width="11.9916666666667" style="5191" customWidth="1"/>
    <col min="57" max="57" width="13.425" style="5191" customWidth="1"/>
    <col min="58" max="58" width="9.875" style="5191" customWidth="1"/>
    <col min="59" max="60" width="11.3333333333333" style="5187" customWidth="1"/>
    <col min="61" max="61" width="12.9916666666667" style="5187" customWidth="1"/>
    <col min="62" max="62" width="12.8" style="5192"/>
    <col min="63" max="63" width="13.9" style="5193"/>
    <col min="64" max="16384" width="9" style="4336"/>
  </cols>
  <sheetData>
    <row r="1" s="4336" customFormat="1" ht="11" customHeight="1" spans="1:64">
      <c r="A1" s="5171"/>
      <c r="B1" s="5172"/>
      <c r="C1" s="5172"/>
      <c r="D1" s="3563"/>
      <c r="E1" s="5173"/>
      <c r="F1" s="5172"/>
      <c r="G1" s="5173"/>
      <c r="H1" s="5174"/>
      <c r="I1" s="5175"/>
      <c r="J1" s="5175"/>
      <c r="K1" s="5175"/>
      <c r="L1" s="5175"/>
      <c r="M1" s="5175"/>
      <c r="N1" s="5175"/>
      <c r="O1" s="5176"/>
      <c r="P1" s="5164"/>
      <c r="Q1" s="5177"/>
      <c r="R1" s="5177"/>
      <c r="S1" s="5177"/>
      <c r="T1" s="5178"/>
      <c r="U1" s="5164"/>
      <c r="V1" s="5164"/>
      <c r="W1" s="5179"/>
      <c r="X1" s="5180"/>
      <c r="Y1" s="5181"/>
      <c r="Z1" s="5181"/>
      <c r="AA1" s="5182"/>
      <c r="AB1" s="5183"/>
      <c r="AC1" s="5183"/>
      <c r="AD1" s="5183"/>
      <c r="AE1" s="5183"/>
      <c r="AF1" s="5183"/>
      <c r="AG1" s="5184"/>
      <c r="AH1" s="5185"/>
      <c r="AI1" s="5185"/>
      <c r="AJ1" s="5186"/>
      <c r="AK1" s="5187"/>
      <c r="AL1" s="5188"/>
      <c r="AM1" s="5188"/>
      <c r="AN1" s="5189"/>
      <c r="AO1" s="5190"/>
      <c r="AP1" s="5189"/>
      <c r="AQ1" s="5189"/>
      <c r="AR1" s="5189"/>
      <c r="AS1" s="5189"/>
      <c r="AT1" s="5189"/>
      <c r="AU1" s="5189"/>
      <c r="AV1" s="5189"/>
      <c r="AW1" s="5189"/>
      <c r="AX1" s="5189"/>
      <c r="AY1" s="5189"/>
      <c r="AZ1" s="5194" t="s">
        <v>0</v>
      </c>
      <c r="BA1" s="5194"/>
      <c r="BB1" s="5194"/>
      <c r="BC1" s="5195">
        <v>8</v>
      </c>
      <c r="BD1" s="5195">
        <v>1</v>
      </c>
      <c r="BE1" s="5195">
        <v>3</v>
      </c>
      <c r="BF1" s="5195">
        <v>19</v>
      </c>
      <c r="BG1" s="5196">
        <v>8</v>
      </c>
      <c r="BH1" s="5196">
        <v>18</v>
      </c>
      <c r="BI1" s="5196">
        <v>3</v>
      </c>
      <c r="BJ1" s="5192">
        <f>SUBTOTAL(9,BC1:BI1)</f>
        <v>60</v>
      </c>
      <c r="BK1" s="5193"/>
    </row>
    <row r="2" s="5164" customFormat="1" ht="20" customHeight="1" spans="1:64">
      <c r="A2" s="5197" t="s">
        <v>1</v>
      </c>
      <c r="B2" s="5198"/>
      <c r="C2" s="5199"/>
      <c r="D2" s="3580"/>
      <c r="E2" s="5198"/>
      <c r="F2" s="5199"/>
      <c r="G2" s="5198"/>
      <c r="H2" s="5200"/>
      <c r="I2" s="5201"/>
      <c r="J2" s="5201"/>
      <c r="K2" s="5202"/>
      <c r="L2" s="5203"/>
      <c r="M2" s="5202"/>
      <c r="N2" s="5202"/>
      <c r="O2" s="5170"/>
      <c r="P2" s="5204"/>
      <c r="Q2" s="5205"/>
      <c r="R2" s="5205"/>
      <c r="S2" s="5205"/>
      <c r="T2" s="5206"/>
      <c r="U2" s="5204"/>
      <c r="V2" s="5204"/>
      <c r="W2" s="5207"/>
      <c r="X2" s="5180"/>
      <c r="Y2" s="5208"/>
      <c r="Z2" s="5208"/>
      <c r="AA2" s="5209"/>
      <c r="AB2" s="5210"/>
      <c r="AC2" s="5210"/>
      <c r="AD2" s="5210"/>
      <c r="AE2" s="5211"/>
      <c r="AF2" s="5211"/>
      <c r="AG2" s="5212"/>
      <c r="AH2" s="5213"/>
      <c r="AI2" s="5213"/>
      <c r="AJ2" s="5214"/>
      <c r="AK2" s="5215"/>
      <c r="AL2" s="5216"/>
      <c r="AM2" s="5216"/>
      <c r="AN2" s="5217"/>
      <c r="AO2" s="5218"/>
      <c r="AP2" s="5219"/>
      <c r="AQ2" s="5219"/>
      <c r="AR2" s="5219"/>
      <c r="AS2" s="5219"/>
      <c r="AT2" s="5219"/>
      <c r="AU2" s="5219"/>
      <c r="AV2" s="5219"/>
      <c r="AW2" s="5219"/>
      <c r="AX2" s="5219"/>
      <c r="AY2" s="5219"/>
      <c r="AZ2" s="5194" t="s">
        <v>2</v>
      </c>
      <c r="BA2" s="5194"/>
      <c r="BB2" s="5194"/>
      <c r="BC2" s="5195">
        <v>20</v>
      </c>
      <c r="BD2" s="5195">
        <v>12</v>
      </c>
      <c r="BE2" s="5195">
        <v>1</v>
      </c>
      <c r="BF2" s="5195">
        <v>25</v>
      </c>
      <c r="BG2" s="5196">
        <v>20</v>
      </c>
      <c r="BH2" s="5196">
        <v>25</v>
      </c>
      <c r="BI2" s="5196">
        <v>17</v>
      </c>
      <c r="BJ2" s="5192">
        <f>SUBTOTAL(9,BC2:BI2)</f>
        <v>120</v>
      </c>
      <c r="BK2" s="5187"/>
    </row>
    <row r="3" s="5165" customFormat="1" ht="20" customHeight="1" spans="1:64">
      <c r="A3" s="5220" t="e">
        <f>#REF!</f>
        <v>#REF!</v>
      </c>
      <c r="B3" s="5221"/>
      <c r="C3" s="5221"/>
      <c r="D3" s="5222"/>
      <c r="E3" s="5223"/>
      <c r="F3" s="5224"/>
      <c r="G3" s="5225"/>
      <c r="H3" s="5226"/>
      <c r="I3" s="5226" t="s">
        <v>3</v>
      </c>
      <c r="J3" s="5226"/>
      <c r="K3" s="5201"/>
      <c r="L3" s="5227" t="s">
        <v>4</v>
      </c>
      <c r="M3" s="5227"/>
      <c r="N3" s="5227"/>
      <c r="O3" s="5228"/>
      <c r="P3" s="5229" t="s">
        <v>5</v>
      </c>
      <c r="Q3" s="5230"/>
      <c r="R3" s="5230"/>
      <c r="S3" s="5230"/>
      <c r="T3" s="5231"/>
      <c r="U3" s="5230"/>
      <c r="V3" s="5230"/>
      <c r="W3" s="5207"/>
      <c r="X3" s="5180"/>
      <c r="Y3" s="5232"/>
      <c r="Z3" s="5232"/>
      <c r="AA3" s="5233"/>
      <c r="AB3" s="5211"/>
      <c r="AC3" s="5211"/>
      <c r="AD3" s="5211"/>
      <c r="AE3" s="5211"/>
      <c r="AF3" s="5211"/>
      <c r="AG3" s="5234" t="s">
        <v>6</v>
      </c>
      <c r="AH3" s="5235"/>
      <c r="AI3" s="5235"/>
      <c r="AJ3" s="5236"/>
      <c r="AK3" s="5237" t="s">
        <v>7</v>
      </c>
      <c r="AL3" s="5238"/>
      <c r="AM3" s="5238"/>
      <c r="AN3" s="5239"/>
      <c r="AO3" s="5190"/>
      <c r="AP3" s="5189"/>
      <c r="AQ3" s="5189"/>
      <c r="AR3" s="5189"/>
      <c r="AS3" s="5189"/>
      <c r="AT3" s="5189"/>
      <c r="AU3" s="5189"/>
      <c r="AV3" s="5189"/>
      <c r="AW3" s="5189"/>
      <c r="AX3" s="5189"/>
      <c r="AY3" s="5189"/>
      <c r="AZ3" s="5189"/>
      <c r="BA3" s="5189"/>
      <c r="BB3" s="5190"/>
      <c r="BC3" s="5240" t="s">
        <v>8</v>
      </c>
      <c r="BD3" s="5240" t="s">
        <v>9</v>
      </c>
      <c r="BE3" s="5240" t="s">
        <v>10</v>
      </c>
      <c r="BF3" s="5240" t="s">
        <v>11</v>
      </c>
      <c r="BG3" s="5241" t="s">
        <v>12</v>
      </c>
      <c r="BH3" s="5241"/>
      <c r="BI3" s="5241" t="s">
        <v>13</v>
      </c>
      <c r="BJ3" s="5242"/>
      <c r="BK3" s="5243"/>
    </row>
    <row r="4" s="5166" customFormat="1" ht="72" customHeight="1" spans="1:64">
      <c r="A4" s="5244" t="s">
        <v>14</v>
      </c>
      <c r="B4" s="5245" t="s">
        <v>15</v>
      </c>
      <c r="C4" s="5245" t="s">
        <v>16</v>
      </c>
      <c r="D4" s="5246" t="s">
        <v>17</v>
      </c>
      <c r="E4" s="5245" t="s">
        <v>18</v>
      </c>
      <c r="F4" s="5245" t="s">
        <v>19</v>
      </c>
      <c r="G4" s="5245" t="s">
        <v>20</v>
      </c>
      <c r="H4" s="5247" t="s">
        <v>21</v>
      </c>
      <c r="I4" s="5247" t="s">
        <v>22</v>
      </c>
      <c r="J4" s="5247" t="s">
        <v>23</v>
      </c>
      <c r="K4" s="5247" t="s">
        <v>24</v>
      </c>
      <c r="L4" s="5247" t="s">
        <v>25</v>
      </c>
      <c r="M4" s="5247" t="s">
        <v>26</v>
      </c>
      <c r="N4" s="5247" t="s">
        <v>27</v>
      </c>
      <c r="O4" s="5247" t="s">
        <v>28</v>
      </c>
      <c r="P4" s="5248" t="s">
        <v>29</v>
      </c>
      <c r="Q4" s="5249" t="s">
        <v>30</v>
      </c>
      <c r="R4" s="4042" t="s">
        <v>31</v>
      </c>
      <c r="S4" s="4042" t="s">
        <v>32</v>
      </c>
      <c r="T4" s="5245" t="s">
        <v>33</v>
      </c>
      <c r="U4" s="5249" t="s">
        <v>34</v>
      </c>
      <c r="V4" s="4369" t="s">
        <v>35</v>
      </c>
      <c r="W4" s="5250" t="s">
        <v>36</v>
      </c>
      <c r="X4" s="5251"/>
      <c r="Y4" s="5252" t="s">
        <v>37</v>
      </c>
      <c r="Z4" s="5253" t="s">
        <v>38</v>
      </c>
      <c r="AA4" s="5254" t="s">
        <v>39</v>
      </c>
      <c r="AB4" s="5255" t="s">
        <v>40</v>
      </c>
      <c r="AC4" s="5246" t="s">
        <v>41</v>
      </c>
      <c r="AD4" s="5256" t="s">
        <v>42</v>
      </c>
      <c r="AE4" s="5257" t="s">
        <v>43</v>
      </c>
      <c r="AF4" s="5253" t="s">
        <v>44</v>
      </c>
      <c r="AG4" s="5255" t="s">
        <v>45</v>
      </c>
      <c r="AH4" s="5258" t="s">
        <v>46</v>
      </c>
      <c r="AI4" s="5258" t="s">
        <v>47</v>
      </c>
      <c r="AJ4" s="5259" t="s">
        <v>48</v>
      </c>
      <c r="AK4" s="5260" t="s">
        <v>49</v>
      </c>
      <c r="AL4" s="5258" t="s">
        <v>50</v>
      </c>
      <c r="AM4" s="5258" t="s">
        <v>51</v>
      </c>
      <c r="AN4" s="5261" t="s">
        <v>52</v>
      </c>
      <c r="AO4" s="5262" t="s">
        <v>53</v>
      </c>
      <c r="AP4" s="5261" t="s">
        <v>54</v>
      </c>
      <c r="AQ4" s="5263" t="s">
        <v>55</v>
      </c>
      <c r="AR4" s="5264" t="s">
        <v>56</v>
      </c>
      <c r="AS4" s="5264" t="s">
        <v>57</v>
      </c>
      <c r="AT4" s="5264" t="s">
        <v>58</v>
      </c>
      <c r="AU4" s="5264" t="s">
        <v>59</v>
      </c>
      <c r="AV4" s="5264" t="s">
        <v>60</v>
      </c>
      <c r="AW4" s="5264" t="s">
        <v>61</v>
      </c>
      <c r="AX4" s="5261" t="s">
        <v>62</v>
      </c>
      <c r="AY4" s="5261" t="s">
        <v>63</v>
      </c>
      <c r="AZ4" s="5261" t="s">
        <v>64</v>
      </c>
      <c r="BA4" s="5265" t="s">
        <v>65</v>
      </c>
      <c r="BB4" s="5262" t="s">
        <v>66</v>
      </c>
      <c r="BC4" s="5266" t="s">
        <v>67</v>
      </c>
      <c r="BD4" s="5266" t="s">
        <v>68</v>
      </c>
      <c r="BE4" s="5266" t="s">
        <v>69</v>
      </c>
      <c r="BF4" s="5266" t="s">
        <v>70</v>
      </c>
      <c r="BG4" s="5262" t="s">
        <v>71</v>
      </c>
      <c r="BH4" s="5262" t="s">
        <v>72</v>
      </c>
      <c r="BI4" s="5267" t="s">
        <v>73</v>
      </c>
      <c r="BJ4" s="5268" t="s">
        <v>74</v>
      </c>
      <c r="BK4" s="5268" t="s">
        <v>75</v>
      </c>
      <c r="BL4" s="3615" t="s">
        <v>76</v>
      </c>
    </row>
    <row r="5" s="5167" customFormat="1" ht="40" customHeight="1" spans="1:64">
      <c r="A5" s="5269">
        <v>45506</v>
      </c>
      <c r="B5" s="5270" t="s">
        <v>77</v>
      </c>
      <c r="C5" s="5271" t="s">
        <v>78</v>
      </c>
      <c r="D5" s="3864">
        <v>4500141955</v>
      </c>
      <c r="E5" s="5272">
        <v>4400438266</v>
      </c>
      <c r="F5" s="3864" t="s">
        <v>79</v>
      </c>
      <c r="G5" s="5273"/>
      <c r="H5" s="5273" t="s">
        <v>80</v>
      </c>
      <c r="I5" s="5273" t="s">
        <v>81</v>
      </c>
      <c r="J5" s="5274">
        <v>11280</v>
      </c>
      <c r="K5" s="5274">
        <v>0</v>
      </c>
      <c r="L5" s="5275">
        <v>6</v>
      </c>
      <c r="M5" s="5274">
        <f t="shared" ref="M5:M68" si="0">J5/L5</f>
        <v>1880</v>
      </c>
      <c r="N5" s="3641">
        <v>45625</v>
      </c>
      <c r="O5" s="3641">
        <v>45621</v>
      </c>
      <c r="P5" s="5276"/>
      <c r="Q5" s="5276" t="s">
        <v>82</v>
      </c>
      <c r="R5" s="5276"/>
      <c r="S5" s="5276"/>
      <c r="T5" s="3647"/>
      <c r="U5" s="5277" t="s">
        <v>83</v>
      </c>
      <c r="V5" s="5278"/>
      <c r="W5" s="5279" t="s">
        <v>84</v>
      </c>
      <c r="X5" s="4423"/>
      <c r="Y5" s="5280" t="s">
        <v>85</v>
      </c>
      <c r="Z5" s="4471"/>
      <c r="AA5" s="4471" t="s">
        <v>86</v>
      </c>
      <c r="AB5" s="5281" t="s">
        <v>87</v>
      </c>
      <c r="AC5" s="5282">
        <v>1.646</v>
      </c>
      <c r="AD5" s="5283">
        <f>AC5*J5</f>
        <v>18566.88</v>
      </c>
      <c r="AE5" s="4471" t="s">
        <v>88</v>
      </c>
      <c r="AF5" s="5284"/>
      <c r="AG5" s="5285"/>
      <c r="AH5" s="5285"/>
      <c r="AI5" s="5286"/>
      <c r="AJ5" s="5287">
        <f>J5</f>
        <v>11280</v>
      </c>
      <c r="AK5" s="5288"/>
      <c r="AL5" s="5285"/>
      <c r="AM5" s="5286"/>
      <c r="AN5" s="5289">
        <f>J5</f>
        <v>11280</v>
      </c>
      <c r="AO5" s="5290"/>
      <c r="AP5" s="5289"/>
      <c r="AQ5" s="5289">
        <f t="shared" ref="AQ5:AQ68" si="1">J5</f>
        <v>11280</v>
      </c>
      <c r="AR5" s="5289"/>
      <c r="AS5" s="5289"/>
      <c r="AT5" s="5289"/>
      <c r="AU5" s="5289"/>
      <c r="AV5" s="5289"/>
      <c r="AW5" s="5289"/>
      <c r="AX5" s="5290"/>
      <c r="AY5" s="5289"/>
      <c r="AZ5" s="5289"/>
      <c r="BA5" s="5289"/>
      <c r="BB5" s="5291" t="s">
        <v>89</v>
      </c>
      <c r="BC5" s="5292">
        <f t="shared" ref="BC5:BC68" si="2">J5/4</f>
        <v>2820</v>
      </c>
      <c r="BD5" s="5292">
        <f t="shared" ref="BD5:BD68" si="3">J5/4</f>
        <v>2820</v>
      </c>
      <c r="BE5" s="5292">
        <f t="shared" ref="BE5:BE68" si="4">J5/4</f>
        <v>2820</v>
      </c>
      <c r="BF5" s="5292"/>
      <c r="BG5" s="5292">
        <f t="shared" ref="BG5:BG68" si="5">J5/4</f>
        <v>2820</v>
      </c>
      <c r="BH5" s="5292"/>
      <c r="BI5" s="5293"/>
      <c r="BJ5" s="5294">
        <f t="shared" ref="BJ5:BJ68" si="6">SUM(BC5:BI5)</f>
        <v>11280</v>
      </c>
      <c r="BK5" s="4423">
        <f t="shared" ref="BK5:BK68" si="7">J5-BJ5</f>
        <v>0</v>
      </c>
      <c r="BL5" s="5295"/>
    </row>
    <row r="6" s="5167" customFormat="1" ht="40" customHeight="1" spans="1:64">
      <c r="A6" s="5269">
        <v>45586</v>
      </c>
      <c r="B6" s="5270" t="s">
        <v>90</v>
      </c>
      <c r="C6" s="5271" t="s">
        <v>91</v>
      </c>
      <c r="D6" s="3864">
        <v>4500147789</v>
      </c>
      <c r="E6" s="5272" t="s">
        <v>92</v>
      </c>
      <c r="F6" s="3864" t="s">
        <v>93</v>
      </c>
      <c r="G6" s="5273"/>
      <c r="H6" s="5273" t="s">
        <v>94</v>
      </c>
      <c r="I6" s="5273" t="s">
        <v>95</v>
      </c>
      <c r="J6" s="5274">
        <v>600</v>
      </c>
      <c r="K6" s="5274">
        <v>0</v>
      </c>
      <c r="L6" s="5275">
        <v>24</v>
      </c>
      <c r="M6" s="5274">
        <f t="shared" si="0"/>
        <v>25</v>
      </c>
      <c r="N6" s="3641">
        <v>45649</v>
      </c>
      <c r="O6" s="3641">
        <v>45645</v>
      </c>
      <c r="P6" s="5276"/>
      <c r="Q6" s="5276" t="s">
        <v>82</v>
      </c>
      <c r="R6" s="5276"/>
      <c r="S6" s="5276"/>
      <c r="T6" s="3647" t="s">
        <v>96</v>
      </c>
      <c r="U6" s="5277" t="s">
        <v>97</v>
      </c>
      <c r="V6" s="5278"/>
      <c r="W6" s="5279" t="s">
        <v>98</v>
      </c>
      <c r="X6" s="4423"/>
      <c r="Y6" s="5280" t="s">
        <v>99</v>
      </c>
      <c r="Z6" s="4471"/>
      <c r="AA6" s="4471" t="s">
        <v>100</v>
      </c>
      <c r="AB6" s="5281" t="s">
        <v>101</v>
      </c>
      <c r="AC6" s="5282">
        <v>2.2472</v>
      </c>
      <c r="AD6" s="5283">
        <f>J6*AC6</f>
        <v>1348.32</v>
      </c>
      <c r="AE6" s="4471" t="s">
        <v>102</v>
      </c>
      <c r="AF6" s="5284"/>
      <c r="AG6" s="5285">
        <f>J6</f>
        <v>600</v>
      </c>
      <c r="AH6" s="5285"/>
      <c r="AI6" s="5286"/>
      <c r="AJ6" s="5287"/>
      <c r="AK6" s="5288"/>
      <c r="AL6" s="5285">
        <f>J6</f>
        <v>600</v>
      </c>
      <c r="AM6" s="5286"/>
      <c r="AN6" s="5289"/>
      <c r="AO6" s="5290"/>
      <c r="AP6" s="5289"/>
      <c r="AQ6" s="5289">
        <f t="shared" si="1"/>
        <v>600</v>
      </c>
      <c r="AR6" s="5289"/>
      <c r="AS6" s="5289"/>
      <c r="AT6" s="5289"/>
      <c r="AU6" s="5289"/>
      <c r="AV6" s="5289"/>
      <c r="AW6" s="5289"/>
      <c r="AX6" s="5290"/>
      <c r="AY6" s="5289"/>
      <c r="AZ6" s="5289"/>
      <c r="BA6" s="5289"/>
      <c r="BB6" s="5291" t="s">
        <v>89</v>
      </c>
      <c r="BC6" s="5292">
        <f t="shared" si="2"/>
        <v>150</v>
      </c>
      <c r="BD6" s="5292">
        <f t="shared" si="3"/>
        <v>150</v>
      </c>
      <c r="BE6" s="5292">
        <f t="shared" si="4"/>
        <v>150</v>
      </c>
      <c r="BF6" s="5292"/>
      <c r="BG6" s="5292">
        <f t="shared" si="5"/>
        <v>150</v>
      </c>
      <c r="BH6" s="5292"/>
      <c r="BI6" s="5293"/>
      <c r="BJ6" s="5294">
        <f t="shared" si="6"/>
        <v>600</v>
      </c>
      <c r="BK6" s="4423">
        <f t="shared" si="7"/>
        <v>0</v>
      </c>
      <c r="BL6" s="5295"/>
    </row>
    <row r="7" s="5167" customFormat="1" ht="40" customHeight="1" spans="1:64">
      <c r="A7" s="5269">
        <v>45506</v>
      </c>
      <c r="B7" s="5270" t="s">
        <v>77</v>
      </c>
      <c r="C7" s="5271" t="s">
        <v>78</v>
      </c>
      <c r="D7" s="3864">
        <v>4500141955</v>
      </c>
      <c r="E7" s="5272">
        <v>4400926975</v>
      </c>
      <c r="F7" s="3864" t="s">
        <v>103</v>
      </c>
      <c r="G7" s="5273"/>
      <c r="H7" s="5273" t="s">
        <v>80</v>
      </c>
      <c r="I7" s="5273" t="s">
        <v>81</v>
      </c>
      <c r="J7" s="5274">
        <v>11280</v>
      </c>
      <c r="K7" s="5274">
        <v>0</v>
      </c>
      <c r="L7" s="5275">
        <v>6</v>
      </c>
      <c r="M7" s="5274">
        <f t="shared" si="0"/>
        <v>1880</v>
      </c>
      <c r="N7" s="3641">
        <v>45650</v>
      </c>
      <c r="O7" s="3641">
        <v>45646</v>
      </c>
      <c r="P7" s="5276"/>
      <c r="Q7" s="5276" t="s">
        <v>82</v>
      </c>
      <c r="R7" s="5276"/>
      <c r="S7" s="5276"/>
      <c r="T7" s="3647" t="s">
        <v>104</v>
      </c>
      <c r="U7" s="5277" t="s">
        <v>83</v>
      </c>
      <c r="V7" s="5278"/>
      <c r="W7" s="5279" t="s">
        <v>84</v>
      </c>
      <c r="X7" s="4423"/>
      <c r="Y7" s="5280" t="s">
        <v>85</v>
      </c>
      <c r="Z7" s="4471"/>
      <c r="AA7" s="4471" t="s">
        <v>86</v>
      </c>
      <c r="AB7" s="5281" t="s">
        <v>87</v>
      </c>
      <c r="AC7" s="5282">
        <v>1.646</v>
      </c>
      <c r="AD7" s="5283">
        <f>AC7*J7</f>
        <v>18566.88</v>
      </c>
      <c r="AE7" s="4471" t="s">
        <v>105</v>
      </c>
      <c r="AF7" s="5284"/>
      <c r="AG7" s="5285"/>
      <c r="AH7" s="5285"/>
      <c r="AI7" s="5286"/>
      <c r="AJ7" s="5287">
        <f>J7</f>
        <v>11280</v>
      </c>
      <c r="AK7" s="5296"/>
      <c r="AL7" s="5285"/>
      <c r="AM7" s="5286"/>
      <c r="AN7" s="5289">
        <f>J7</f>
        <v>11280</v>
      </c>
      <c r="AO7" s="5290"/>
      <c r="AP7" s="5289"/>
      <c r="AQ7" s="5289">
        <f t="shared" si="1"/>
        <v>11280</v>
      </c>
      <c r="AR7" s="5289"/>
      <c r="AS7" s="5289"/>
      <c r="AT7" s="5289"/>
      <c r="AU7" s="5289"/>
      <c r="AV7" s="5289"/>
      <c r="AW7" s="5289"/>
      <c r="AX7" s="5290"/>
      <c r="AY7" s="5289"/>
      <c r="AZ7" s="5289"/>
      <c r="BA7" s="5289"/>
      <c r="BB7" s="5291" t="s">
        <v>89</v>
      </c>
      <c r="BC7" s="5292">
        <f t="shared" si="2"/>
        <v>2820</v>
      </c>
      <c r="BD7" s="5292">
        <f t="shared" si="3"/>
        <v>2820</v>
      </c>
      <c r="BE7" s="5292">
        <f t="shared" si="4"/>
        <v>2820</v>
      </c>
      <c r="BF7" s="5292"/>
      <c r="BG7" s="5292">
        <f t="shared" si="5"/>
        <v>2820</v>
      </c>
      <c r="BH7" s="5292"/>
      <c r="BI7" s="5293"/>
      <c r="BJ7" s="5294">
        <f t="shared" si="6"/>
        <v>11280</v>
      </c>
      <c r="BK7" s="4423">
        <f t="shared" si="7"/>
        <v>0</v>
      </c>
      <c r="BL7" s="5295"/>
    </row>
    <row r="8" s="5167" customFormat="1" ht="40" customHeight="1" spans="1:64">
      <c r="A8" s="5269">
        <v>45506</v>
      </c>
      <c r="B8" s="5270" t="s">
        <v>77</v>
      </c>
      <c r="C8" s="5271" t="s">
        <v>78</v>
      </c>
      <c r="D8" s="3864">
        <v>4500141955</v>
      </c>
      <c r="E8" s="5272">
        <v>4400909714</v>
      </c>
      <c r="F8" s="3864" t="s">
        <v>106</v>
      </c>
      <c r="G8" s="5273"/>
      <c r="H8" s="5273" t="s">
        <v>80</v>
      </c>
      <c r="I8" s="5273" t="s">
        <v>81</v>
      </c>
      <c r="J8" s="5274">
        <v>11280</v>
      </c>
      <c r="K8" s="5274">
        <v>0</v>
      </c>
      <c r="L8" s="5275">
        <v>6</v>
      </c>
      <c r="M8" s="5274">
        <f t="shared" si="0"/>
        <v>1880</v>
      </c>
      <c r="N8" s="3641">
        <v>45653</v>
      </c>
      <c r="O8" s="3641">
        <v>45649</v>
      </c>
      <c r="P8" s="5276"/>
      <c r="Q8" s="5276" t="s">
        <v>82</v>
      </c>
      <c r="R8" s="5276"/>
      <c r="S8" s="5276"/>
      <c r="T8" s="3647" t="s">
        <v>107</v>
      </c>
      <c r="U8" s="5277" t="s">
        <v>83</v>
      </c>
      <c r="V8" s="5278"/>
      <c r="W8" s="5279" t="s">
        <v>84</v>
      </c>
      <c r="X8" s="4423"/>
      <c r="Y8" s="5280" t="s">
        <v>85</v>
      </c>
      <c r="Z8" s="4471"/>
      <c r="AA8" s="4471" t="s">
        <v>86</v>
      </c>
      <c r="AB8" s="5281" t="s">
        <v>87</v>
      </c>
      <c r="AC8" s="5282">
        <v>1.646</v>
      </c>
      <c r="AD8" s="5283">
        <f>AC8*J8</f>
        <v>18566.88</v>
      </c>
      <c r="AE8" s="4471"/>
      <c r="AF8" s="5284"/>
      <c r="AG8" s="5285"/>
      <c r="AH8" s="5285"/>
      <c r="AI8" s="5286"/>
      <c r="AJ8" s="5287">
        <f>J8</f>
        <v>11280</v>
      </c>
      <c r="AK8" s="5296"/>
      <c r="AL8" s="5285"/>
      <c r="AM8" s="5286"/>
      <c r="AN8" s="5289">
        <f>J8</f>
        <v>11280</v>
      </c>
      <c r="AO8" s="5290"/>
      <c r="AP8" s="5289"/>
      <c r="AQ8" s="5289">
        <f t="shared" si="1"/>
        <v>11280</v>
      </c>
      <c r="AR8" s="5289"/>
      <c r="AS8" s="5289"/>
      <c r="AT8" s="5289"/>
      <c r="AU8" s="5289"/>
      <c r="AV8" s="5289"/>
      <c r="AW8" s="5289"/>
      <c r="AX8" s="5290"/>
      <c r="AY8" s="5289"/>
      <c r="AZ8" s="5289"/>
      <c r="BA8" s="5289"/>
      <c r="BB8" s="5291" t="s">
        <v>89</v>
      </c>
      <c r="BC8" s="5292">
        <f t="shared" si="2"/>
        <v>2820</v>
      </c>
      <c r="BD8" s="5292">
        <f t="shared" si="3"/>
        <v>2820</v>
      </c>
      <c r="BE8" s="5292">
        <f t="shared" si="4"/>
        <v>2820</v>
      </c>
      <c r="BF8" s="5292"/>
      <c r="BG8" s="5292">
        <f t="shared" si="5"/>
        <v>2820</v>
      </c>
      <c r="BH8" s="5292"/>
      <c r="BI8" s="5293"/>
      <c r="BJ8" s="5294">
        <f t="shared" si="6"/>
        <v>11280</v>
      </c>
      <c r="BK8" s="4423">
        <f t="shared" si="7"/>
        <v>0</v>
      </c>
      <c r="BL8" s="5295"/>
    </row>
    <row r="9" s="5167" customFormat="1" ht="40" customHeight="1" spans="1:64">
      <c r="A9" s="5269">
        <v>45586</v>
      </c>
      <c r="B9" s="5270" t="s">
        <v>90</v>
      </c>
      <c r="C9" s="5271" t="s">
        <v>91</v>
      </c>
      <c r="D9" s="3864">
        <v>4500147796</v>
      </c>
      <c r="E9" s="5272" t="s">
        <v>108</v>
      </c>
      <c r="F9" s="3864" t="s">
        <v>109</v>
      </c>
      <c r="G9" s="5273"/>
      <c r="H9" s="5273" t="s">
        <v>94</v>
      </c>
      <c r="I9" s="5273" t="s">
        <v>95</v>
      </c>
      <c r="J9" s="5274">
        <v>792</v>
      </c>
      <c r="K9" s="5274">
        <v>0</v>
      </c>
      <c r="L9" s="5275">
        <v>24</v>
      </c>
      <c r="M9" s="5274">
        <f t="shared" si="0"/>
        <v>33</v>
      </c>
      <c r="N9" s="3641">
        <v>45656</v>
      </c>
      <c r="O9" s="3641">
        <v>45652</v>
      </c>
      <c r="P9" s="5276"/>
      <c r="Q9" s="5276" t="s">
        <v>82</v>
      </c>
      <c r="R9" s="5276"/>
      <c r="S9" s="5276"/>
      <c r="T9" s="3647" t="s">
        <v>110</v>
      </c>
      <c r="U9" s="5277" t="s">
        <v>97</v>
      </c>
      <c r="V9" s="5278"/>
      <c r="W9" s="5279" t="s">
        <v>98</v>
      </c>
      <c r="X9" s="4423"/>
      <c r="Y9" s="5280" t="s">
        <v>111</v>
      </c>
      <c r="Z9" s="4471"/>
      <c r="AA9" s="4471" t="s">
        <v>100</v>
      </c>
      <c r="AB9" s="5281" t="s">
        <v>101</v>
      </c>
      <c r="AC9" s="5282">
        <v>2.2472</v>
      </c>
      <c r="AD9" s="5283">
        <f t="shared" ref="AD9:AD14" si="8">J9*AC9</f>
        <v>1779.7824</v>
      </c>
      <c r="AE9" s="4471" t="s">
        <v>112</v>
      </c>
      <c r="AF9" s="5284"/>
      <c r="AG9" s="5285">
        <f t="shared" ref="AG9:AG14" si="9">J9</f>
        <v>792</v>
      </c>
      <c r="AH9" s="5285"/>
      <c r="AI9" s="5286"/>
      <c r="AJ9" s="5287"/>
      <c r="AK9" s="5296"/>
      <c r="AL9" s="5285">
        <f t="shared" ref="AL9:AL14" si="10">J9</f>
        <v>792</v>
      </c>
      <c r="AM9" s="5286"/>
      <c r="AN9" s="5289"/>
      <c r="AO9" s="5290"/>
      <c r="AP9" s="5289"/>
      <c r="AQ9" s="5289">
        <f t="shared" si="1"/>
        <v>792</v>
      </c>
      <c r="AR9" s="5289"/>
      <c r="AS9" s="5289"/>
      <c r="AT9" s="5289"/>
      <c r="AU9" s="5289"/>
      <c r="AV9" s="5289"/>
      <c r="AW9" s="5289"/>
      <c r="AX9" s="5290"/>
      <c r="AY9" s="5289"/>
      <c r="AZ9" s="5289"/>
      <c r="BA9" s="5289"/>
      <c r="BB9" s="5291" t="s">
        <v>89</v>
      </c>
      <c r="BC9" s="5292">
        <f t="shared" si="2"/>
        <v>198</v>
      </c>
      <c r="BD9" s="5292">
        <f t="shared" si="3"/>
        <v>198</v>
      </c>
      <c r="BE9" s="5292">
        <f t="shared" si="4"/>
        <v>198</v>
      </c>
      <c r="BF9" s="5292"/>
      <c r="BG9" s="5292">
        <f t="shared" si="5"/>
        <v>198</v>
      </c>
      <c r="BH9" s="5292"/>
      <c r="BI9" s="5293"/>
      <c r="BJ9" s="5294">
        <f t="shared" si="6"/>
        <v>792</v>
      </c>
      <c r="BK9" s="4423">
        <f t="shared" si="7"/>
        <v>0</v>
      </c>
      <c r="BL9" s="5295"/>
    </row>
    <row r="10" s="5167" customFormat="1" ht="40" customHeight="1" spans="1:64">
      <c r="A10" s="5269">
        <v>45586</v>
      </c>
      <c r="B10" s="5270" t="s">
        <v>90</v>
      </c>
      <c r="C10" s="5271" t="s">
        <v>91</v>
      </c>
      <c r="D10" s="3864">
        <v>4500147795</v>
      </c>
      <c r="E10" s="5272" t="s">
        <v>108</v>
      </c>
      <c r="F10" s="3864" t="s">
        <v>113</v>
      </c>
      <c r="G10" s="5273"/>
      <c r="H10" s="5273" t="s">
        <v>94</v>
      </c>
      <c r="I10" s="5273" t="s">
        <v>95</v>
      </c>
      <c r="J10" s="5274">
        <v>792</v>
      </c>
      <c r="K10" s="5274">
        <v>0</v>
      </c>
      <c r="L10" s="5275">
        <v>24</v>
      </c>
      <c r="M10" s="5274">
        <f t="shared" si="0"/>
        <v>33</v>
      </c>
      <c r="N10" s="3641">
        <v>45656</v>
      </c>
      <c r="O10" s="3641">
        <v>45652</v>
      </c>
      <c r="P10" s="5276"/>
      <c r="Q10" s="5276" t="s">
        <v>82</v>
      </c>
      <c r="R10" s="5276"/>
      <c r="S10" s="5276"/>
      <c r="T10" s="3647" t="s">
        <v>110</v>
      </c>
      <c r="U10" s="5277" t="s">
        <v>97</v>
      </c>
      <c r="V10" s="5278"/>
      <c r="W10" s="5279" t="s">
        <v>98</v>
      </c>
      <c r="X10" s="4423"/>
      <c r="Y10" s="5280" t="s">
        <v>111</v>
      </c>
      <c r="Z10" s="4471"/>
      <c r="AA10" s="4471" t="s">
        <v>100</v>
      </c>
      <c r="AB10" s="5281" t="s">
        <v>101</v>
      </c>
      <c r="AC10" s="5282">
        <v>2.2472</v>
      </c>
      <c r="AD10" s="5283">
        <f t="shared" si="8"/>
        <v>1779.7824</v>
      </c>
      <c r="AE10" s="4471" t="s">
        <v>114</v>
      </c>
      <c r="AF10" s="5284"/>
      <c r="AG10" s="5285">
        <f t="shared" si="9"/>
        <v>792</v>
      </c>
      <c r="AH10" s="5285"/>
      <c r="AI10" s="5286"/>
      <c r="AJ10" s="5287"/>
      <c r="AK10" s="5296"/>
      <c r="AL10" s="5285">
        <f t="shared" si="10"/>
        <v>792</v>
      </c>
      <c r="AM10" s="5286"/>
      <c r="AN10" s="5289"/>
      <c r="AO10" s="5290"/>
      <c r="AP10" s="5289"/>
      <c r="AQ10" s="5289">
        <f t="shared" si="1"/>
        <v>792</v>
      </c>
      <c r="AR10" s="5289"/>
      <c r="AS10" s="5289"/>
      <c r="AT10" s="5289"/>
      <c r="AU10" s="5289"/>
      <c r="AV10" s="5289"/>
      <c r="AW10" s="5289"/>
      <c r="AX10" s="5290"/>
      <c r="AY10" s="5289"/>
      <c r="AZ10" s="5289"/>
      <c r="BA10" s="5289"/>
      <c r="BB10" s="5291" t="s">
        <v>89</v>
      </c>
      <c r="BC10" s="5292">
        <f t="shared" si="2"/>
        <v>198</v>
      </c>
      <c r="BD10" s="5292">
        <f t="shared" si="3"/>
        <v>198</v>
      </c>
      <c r="BE10" s="5292">
        <f t="shared" si="4"/>
        <v>198</v>
      </c>
      <c r="BF10" s="5292"/>
      <c r="BG10" s="5292">
        <f t="shared" si="5"/>
        <v>198</v>
      </c>
      <c r="BH10" s="5292"/>
      <c r="BI10" s="5293"/>
      <c r="BJ10" s="5294">
        <f t="shared" si="6"/>
        <v>792</v>
      </c>
      <c r="BK10" s="4423">
        <f t="shared" si="7"/>
        <v>0</v>
      </c>
      <c r="BL10" s="5295"/>
    </row>
    <row r="11" s="5167" customFormat="1" ht="40" customHeight="1" spans="1:64">
      <c r="A11" s="5269">
        <v>45586</v>
      </c>
      <c r="B11" s="5270" t="s">
        <v>90</v>
      </c>
      <c r="C11" s="5271" t="s">
        <v>91</v>
      </c>
      <c r="D11" s="3864">
        <v>4500147793</v>
      </c>
      <c r="E11" s="5272" t="s">
        <v>92</v>
      </c>
      <c r="F11" s="3864" t="s">
        <v>115</v>
      </c>
      <c r="G11" s="5273"/>
      <c r="H11" s="5273" t="s">
        <v>94</v>
      </c>
      <c r="I11" s="5273" t="s">
        <v>95</v>
      </c>
      <c r="J11" s="5274">
        <v>600</v>
      </c>
      <c r="K11" s="5274">
        <v>0</v>
      </c>
      <c r="L11" s="5275">
        <v>24</v>
      </c>
      <c r="M11" s="5274">
        <f t="shared" si="0"/>
        <v>25</v>
      </c>
      <c r="N11" s="3641">
        <v>45656</v>
      </c>
      <c r="O11" s="3641">
        <v>45652</v>
      </c>
      <c r="P11" s="5276"/>
      <c r="Q11" s="5276" t="s">
        <v>82</v>
      </c>
      <c r="R11" s="5276"/>
      <c r="S11" s="5276"/>
      <c r="T11" s="3647" t="s">
        <v>116</v>
      </c>
      <c r="U11" s="5277" t="s">
        <v>97</v>
      </c>
      <c r="V11" s="5278"/>
      <c r="W11" s="5279" t="s">
        <v>98</v>
      </c>
      <c r="X11" s="4423"/>
      <c r="Y11" s="5280" t="s">
        <v>111</v>
      </c>
      <c r="Z11" s="4471"/>
      <c r="AA11" s="4471" t="s">
        <v>100</v>
      </c>
      <c r="AB11" s="5281" t="s">
        <v>101</v>
      </c>
      <c r="AC11" s="5282">
        <v>2.2472</v>
      </c>
      <c r="AD11" s="5283">
        <f t="shared" si="8"/>
        <v>1348.32</v>
      </c>
      <c r="AE11" s="4471" t="s">
        <v>117</v>
      </c>
      <c r="AF11" s="5284"/>
      <c r="AG11" s="5285">
        <f t="shared" si="9"/>
        <v>600</v>
      </c>
      <c r="AH11" s="5285"/>
      <c r="AI11" s="5286"/>
      <c r="AJ11" s="5287"/>
      <c r="AK11" s="5296"/>
      <c r="AL11" s="5285">
        <f t="shared" si="10"/>
        <v>600</v>
      </c>
      <c r="AM11" s="5286"/>
      <c r="AN11" s="5289"/>
      <c r="AO11" s="5290"/>
      <c r="AP11" s="5289"/>
      <c r="AQ11" s="5289">
        <f t="shared" si="1"/>
        <v>600</v>
      </c>
      <c r="AR11" s="5289"/>
      <c r="AS11" s="5289"/>
      <c r="AT11" s="5289"/>
      <c r="AU11" s="5289"/>
      <c r="AV11" s="5289"/>
      <c r="AW11" s="5289"/>
      <c r="AX11" s="5290"/>
      <c r="AY11" s="5289"/>
      <c r="AZ11" s="5289"/>
      <c r="BA11" s="5289"/>
      <c r="BB11" s="5291" t="s">
        <v>89</v>
      </c>
      <c r="BC11" s="5292">
        <f t="shared" si="2"/>
        <v>150</v>
      </c>
      <c r="BD11" s="5292">
        <f t="shared" si="3"/>
        <v>150</v>
      </c>
      <c r="BE11" s="5292">
        <f t="shared" si="4"/>
        <v>150</v>
      </c>
      <c r="BF11" s="5292"/>
      <c r="BG11" s="5292">
        <f t="shared" si="5"/>
        <v>150</v>
      </c>
      <c r="BH11" s="5292"/>
      <c r="BI11" s="5293"/>
      <c r="BJ11" s="5294">
        <f t="shared" si="6"/>
        <v>600</v>
      </c>
      <c r="BK11" s="4423">
        <f t="shared" si="7"/>
        <v>0</v>
      </c>
      <c r="BL11" s="5295"/>
    </row>
    <row r="12" s="5167" customFormat="1" ht="40" customHeight="1" spans="1:64">
      <c r="A12" s="5269">
        <v>45586</v>
      </c>
      <c r="B12" s="5270" t="s">
        <v>90</v>
      </c>
      <c r="C12" s="5271" t="s">
        <v>91</v>
      </c>
      <c r="D12" s="3864">
        <v>4500147792</v>
      </c>
      <c r="E12" s="5272" t="s">
        <v>92</v>
      </c>
      <c r="F12" s="3864" t="s">
        <v>118</v>
      </c>
      <c r="G12" s="5273"/>
      <c r="H12" s="5273" t="s">
        <v>94</v>
      </c>
      <c r="I12" s="5273" t="s">
        <v>95</v>
      </c>
      <c r="J12" s="5274">
        <v>600</v>
      </c>
      <c r="K12" s="5274">
        <v>0</v>
      </c>
      <c r="L12" s="5275">
        <v>24</v>
      </c>
      <c r="M12" s="5274">
        <f t="shared" si="0"/>
        <v>25</v>
      </c>
      <c r="N12" s="3641">
        <v>45656</v>
      </c>
      <c r="O12" s="3641">
        <v>45652</v>
      </c>
      <c r="P12" s="5276"/>
      <c r="Q12" s="5276" t="s">
        <v>82</v>
      </c>
      <c r="R12" s="5276"/>
      <c r="S12" s="5276"/>
      <c r="T12" s="3647" t="s">
        <v>116</v>
      </c>
      <c r="U12" s="5277" t="s">
        <v>97</v>
      </c>
      <c r="V12" s="5278"/>
      <c r="W12" s="5279" t="s">
        <v>98</v>
      </c>
      <c r="X12" s="4423"/>
      <c r="Y12" s="5280" t="s">
        <v>111</v>
      </c>
      <c r="Z12" s="4471"/>
      <c r="AA12" s="4471" t="s">
        <v>100</v>
      </c>
      <c r="AB12" s="5281" t="s">
        <v>101</v>
      </c>
      <c r="AC12" s="5282">
        <v>2.2472</v>
      </c>
      <c r="AD12" s="5283">
        <f t="shared" si="8"/>
        <v>1348.32</v>
      </c>
      <c r="AE12" s="4471" t="s">
        <v>119</v>
      </c>
      <c r="AF12" s="5284"/>
      <c r="AG12" s="5285">
        <f t="shared" si="9"/>
        <v>600</v>
      </c>
      <c r="AH12" s="5285"/>
      <c r="AI12" s="5286"/>
      <c r="AJ12" s="5287"/>
      <c r="AK12" s="5296"/>
      <c r="AL12" s="5285">
        <f t="shared" si="10"/>
        <v>600</v>
      </c>
      <c r="AM12" s="5286"/>
      <c r="AN12" s="5289"/>
      <c r="AO12" s="5290"/>
      <c r="AP12" s="5289"/>
      <c r="AQ12" s="5289">
        <f t="shared" si="1"/>
        <v>600</v>
      </c>
      <c r="AR12" s="5289"/>
      <c r="AS12" s="5289"/>
      <c r="AT12" s="5289"/>
      <c r="AU12" s="5289"/>
      <c r="AV12" s="5289"/>
      <c r="AW12" s="5289"/>
      <c r="AX12" s="5290"/>
      <c r="AY12" s="5289"/>
      <c r="AZ12" s="5289"/>
      <c r="BA12" s="5289"/>
      <c r="BB12" s="5291" t="s">
        <v>89</v>
      </c>
      <c r="BC12" s="5292">
        <f t="shared" si="2"/>
        <v>150</v>
      </c>
      <c r="BD12" s="5292">
        <f t="shared" si="3"/>
        <v>150</v>
      </c>
      <c r="BE12" s="5292">
        <f t="shared" si="4"/>
        <v>150</v>
      </c>
      <c r="BF12" s="5292"/>
      <c r="BG12" s="5292">
        <f t="shared" si="5"/>
        <v>150</v>
      </c>
      <c r="BH12" s="5292"/>
      <c r="BI12" s="5293"/>
      <c r="BJ12" s="5294">
        <f t="shared" si="6"/>
        <v>600</v>
      </c>
      <c r="BK12" s="4423">
        <f t="shared" si="7"/>
        <v>0</v>
      </c>
      <c r="BL12" s="5295"/>
    </row>
    <row r="13" s="5167" customFormat="1" ht="40" customHeight="1" spans="1:64">
      <c r="A13" s="5269">
        <v>45586</v>
      </c>
      <c r="B13" s="5270" t="s">
        <v>90</v>
      </c>
      <c r="C13" s="5271" t="s">
        <v>91</v>
      </c>
      <c r="D13" s="3864">
        <v>4500147798</v>
      </c>
      <c r="E13" s="5272" t="s">
        <v>120</v>
      </c>
      <c r="F13" s="3864" t="s">
        <v>121</v>
      </c>
      <c r="G13" s="5273"/>
      <c r="H13" s="5273" t="s">
        <v>94</v>
      </c>
      <c r="I13" s="5273" t="s">
        <v>95</v>
      </c>
      <c r="J13" s="5274">
        <v>1200</v>
      </c>
      <c r="K13" s="5274">
        <v>0</v>
      </c>
      <c r="L13" s="5275">
        <v>24</v>
      </c>
      <c r="M13" s="5274">
        <f t="shared" si="0"/>
        <v>50</v>
      </c>
      <c r="N13" s="3641">
        <v>45657</v>
      </c>
      <c r="O13" s="3641">
        <v>45653</v>
      </c>
      <c r="P13" s="5276"/>
      <c r="Q13" s="5276" t="s">
        <v>82</v>
      </c>
      <c r="R13" s="5276"/>
      <c r="S13" s="5276"/>
      <c r="T13" s="3647" t="s">
        <v>110</v>
      </c>
      <c r="U13" s="5277" t="s">
        <v>97</v>
      </c>
      <c r="V13" s="5278"/>
      <c r="W13" s="5279" t="s">
        <v>98</v>
      </c>
      <c r="X13" s="4423"/>
      <c r="Y13" s="5280" t="s">
        <v>111</v>
      </c>
      <c r="Z13" s="4471"/>
      <c r="AA13" s="4471" t="s">
        <v>100</v>
      </c>
      <c r="AB13" s="5281" t="s">
        <v>101</v>
      </c>
      <c r="AC13" s="5282">
        <v>2.2427</v>
      </c>
      <c r="AD13" s="5283">
        <f t="shared" si="8"/>
        <v>2691.24</v>
      </c>
      <c r="AE13" s="4471" t="s">
        <v>122</v>
      </c>
      <c r="AF13" s="5284"/>
      <c r="AG13" s="5285">
        <f t="shared" si="9"/>
        <v>1200</v>
      </c>
      <c r="AH13" s="5285"/>
      <c r="AI13" s="5286"/>
      <c r="AJ13" s="5287"/>
      <c r="AK13" s="5296"/>
      <c r="AL13" s="5285">
        <f t="shared" si="10"/>
        <v>1200</v>
      </c>
      <c r="AM13" s="5286"/>
      <c r="AN13" s="5289"/>
      <c r="AO13" s="5290"/>
      <c r="AP13" s="5289"/>
      <c r="AQ13" s="5289">
        <f t="shared" si="1"/>
        <v>1200</v>
      </c>
      <c r="AR13" s="5289"/>
      <c r="AS13" s="5289"/>
      <c r="AT13" s="5289"/>
      <c r="AU13" s="5289"/>
      <c r="AV13" s="5289"/>
      <c r="AW13" s="5289"/>
      <c r="AX13" s="5290"/>
      <c r="AY13" s="5289"/>
      <c r="AZ13" s="5289"/>
      <c r="BA13" s="5289"/>
      <c r="BB13" s="5291" t="s">
        <v>89</v>
      </c>
      <c r="BC13" s="5292">
        <f t="shared" si="2"/>
        <v>300</v>
      </c>
      <c r="BD13" s="5292">
        <f t="shared" si="3"/>
        <v>300</v>
      </c>
      <c r="BE13" s="5292">
        <f t="shared" si="4"/>
        <v>300</v>
      </c>
      <c r="BF13" s="5292"/>
      <c r="BG13" s="5292">
        <f t="shared" si="5"/>
        <v>300</v>
      </c>
      <c r="BH13" s="5292"/>
      <c r="BI13" s="5293"/>
      <c r="BJ13" s="5294">
        <f t="shared" si="6"/>
        <v>1200</v>
      </c>
      <c r="BK13" s="4423">
        <f t="shared" si="7"/>
        <v>0</v>
      </c>
      <c r="BL13" s="5295"/>
    </row>
    <row r="14" s="5167" customFormat="1" ht="40" customHeight="1" spans="1:64">
      <c r="A14" s="5269">
        <v>45586</v>
      </c>
      <c r="B14" s="5270" t="s">
        <v>90</v>
      </c>
      <c r="C14" s="5271" t="s">
        <v>91</v>
      </c>
      <c r="D14" s="3864">
        <v>4500147794</v>
      </c>
      <c r="E14" s="5272" t="s">
        <v>123</v>
      </c>
      <c r="F14" s="3864" t="s">
        <v>124</v>
      </c>
      <c r="G14" s="5273"/>
      <c r="H14" s="5273" t="s">
        <v>94</v>
      </c>
      <c r="I14" s="5273" t="s">
        <v>95</v>
      </c>
      <c r="J14" s="5274">
        <v>1008</v>
      </c>
      <c r="K14" s="5274">
        <v>0</v>
      </c>
      <c r="L14" s="5275">
        <v>24</v>
      </c>
      <c r="M14" s="5274">
        <f t="shared" si="0"/>
        <v>42</v>
      </c>
      <c r="N14" s="3641">
        <v>45657</v>
      </c>
      <c r="O14" s="3641">
        <v>45653</v>
      </c>
      <c r="P14" s="5276"/>
      <c r="Q14" s="5276" t="s">
        <v>82</v>
      </c>
      <c r="R14" s="5276"/>
      <c r="S14" s="5276"/>
      <c r="T14" s="3647" t="s">
        <v>116</v>
      </c>
      <c r="U14" s="5277" t="s">
        <v>97</v>
      </c>
      <c r="V14" s="5278"/>
      <c r="W14" s="5279" t="s">
        <v>98</v>
      </c>
      <c r="X14" s="4423"/>
      <c r="Y14" s="5280" t="s">
        <v>111</v>
      </c>
      <c r="Z14" s="4471"/>
      <c r="AA14" s="4471" t="s">
        <v>100</v>
      </c>
      <c r="AB14" s="5281" t="s">
        <v>101</v>
      </c>
      <c r="AC14" s="5282">
        <v>2.2427</v>
      </c>
      <c r="AD14" s="5283">
        <f t="shared" si="8"/>
        <v>2260.6416</v>
      </c>
      <c r="AE14" s="4471" t="s">
        <v>125</v>
      </c>
      <c r="AF14" s="5284"/>
      <c r="AG14" s="5285">
        <f t="shared" si="9"/>
        <v>1008</v>
      </c>
      <c r="AH14" s="5285"/>
      <c r="AI14" s="5286"/>
      <c r="AJ14" s="5287"/>
      <c r="AK14" s="5296"/>
      <c r="AL14" s="5285">
        <f t="shared" si="10"/>
        <v>1008</v>
      </c>
      <c r="AM14" s="5286"/>
      <c r="AN14" s="5289"/>
      <c r="AO14" s="5290"/>
      <c r="AP14" s="5289"/>
      <c r="AQ14" s="5289">
        <f t="shared" si="1"/>
        <v>1008</v>
      </c>
      <c r="AR14" s="5289"/>
      <c r="AS14" s="5289"/>
      <c r="AT14" s="5289"/>
      <c r="AU14" s="5289"/>
      <c r="AV14" s="5289"/>
      <c r="AW14" s="5289"/>
      <c r="AX14" s="5290"/>
      <c r="AY14" s="5289"/>
      <c r="AZ14" s="5289"/>
      <c r="BA14" s="5289"/>
      <c r="BB14" s="5291" t="s">
        <v>89</v>
      </c>
      <c r="BC14" s="5292">
        <f t="shared" si="2"/>
        <v>252</v>
      </c>
      <c r="BD14" s="5292">
        <f t="shared" si="3"/>
        <v>252</v>
      </c>
      <c r="BE14" s="5292">
        <f t="shared" si="4"/>
        <v>252</v>
      </c>
      <c r="BF14" s="5292"/>
      <c r="BG14" s="5292">
        <f t="shared" si="5"/>
        <v>252</v>
      </c>
      <c r="BH14" s="5292"/>
      <c r="BI14" s="5293"/>
      <c r="BJ14" s="5294">
        <f t="shared" si="6"/>
        <v>1008</v>
      </c>
      <c r="BK14" s="4423">
        <f t="shared" si="7"/>
        <v>0</v>
      </c>
      <c r="BL14" s="5295"/>
    </row>
    <row r="15" s="5167" customFormat="1" ht="40" customHeight="1" spans="1:64">
      <c r="A15" s="5269">
        <v>45574</v>
      </c>
      <c r="B15" s="5270" t="s">
        <v>77</v>
      </c>
      <c r="C15" s="5271" t="s">
        <v>78</v>
      </c>
      <c r="D15" s="3864">
        <v>4500146851</v>
      </c>
      <c r="E15" s="5272">
        <v>4400925116</v>
      </c>
      <c r="F15" s="3864" t="s">
        <v>126</v>
      </c>
      <c r="G15" s="5273"/>
      <c r="H15" s="5273" t="s">
        <v>80</v>
      </c>
      <c r="I15" s="5273" t="s">
        <v>81</v>
      </c>
      <c r="J15" s="5274">
        <v>11862</v>
      </c>
      <c r="K15" s="5274">
        <v>0</v>
      </c>
      <c r="L15" s="5275">
        <v>6</v>
      </c>
      <c r="M15" s="5274">
        <f t="shared" si="0"/>
        <v>1977</v>
      </c>
      <c r="N15" s="3641">
        <v>45661</v>
      </c>
      <c r="O15" s="3641">
        <v>45657</v>
      </c>
      <c r="P15" s="5276"/>
      <c r="Q15" s="5276" t="s">
        <v>82</v>
      </c>
      <c r="R15" s="5276"/>
      <c r="S15" s="5276"/>
      <c r="T15" s="3647" t="s">
        <v>127</v>
      </c>
      <c r="U15" s="5277" t="s">
        <v>128</v>
      </c>
      <c r="V15" s="5278"/>
      <c r="W15" s="5280" t="s">
        <v>129</v>
      </c>
      <c r="X15" s="4423"/>
      <c r="Y15" s="5280"/>
      <c r="Z15" s="4471"/>
      <c r="AA15" s="4471" t="s">
        <v>130</v>
      </c>
      <c r="AB15" s="5281" t="s">
        <v>131</v>
      </c>
      <c r="AC15" s="5282">
        <v>14.5047</v>
      </c>
      <c r="AD15" s="5283">
        <f>AC15*M15</f>
        <v>28675.7919</v>
      </c>
      <c r="AE15" s="4471" t="s">
        <v>132</v>
      </c>
      <c r="AF15" s="5284"/>
      <c r="AG15" s="5285"/>
      <c r="AH15" s="5285"/>
      <c r="AI15" s="5286"/>
      <c r="AJ15" s="5287">
        <f>J15</f>
        <v>11862</v>
      </c>
      <c r="AK15" s="5288"/>
      <c r="AL15" s="5285"/>
      <c r="AM15" s="5286"/>
      <c r="AN15" s="5289">
        <f>J15</f>
        <v>11862</v>
      </c>
      <c r="AO15" s="5290"/>
      <c r="AP15" s="5289"/>
      <c r="AQ15" s="5289">
        <f t="shared" si="1"/>
        <v>11862</v>
      </c>
      <c r="AR15" s="5289"/>
      <c r="AS15" s="5289"/>
      <c r="AT15" s="5289"/>
      <c r="AU15" s="5289"/>
      <c r="AV15" s="5289"/>
      <c r="AW15" s="5289"/>
      <c r="AX15" s="5290"/>
      <c r="AY15" s="5289"/>
      <c r="AZ15" s="5289"/>
      <c r="BA15" s="5289"/>
      <c r="BB15" s="5291" t="s">
        <v>89</v>
      </c>
      <c r="BC15" s="5292">
        <f t="shared" si="2"/>
        <v>2965.5</v>
      </c>
      <c r="BD15" s="5292">
        <f t="shared" si="3"/>
        <v>2965.5</v>
      </c>
      <c r="BE15" s="5292">
        <f t="shared" si="4"/>
        <v>2965.5</v>
      </c>
      <c r="BF15" s="5292"/>
      <c r="BG15" s="5292">
        <f t="shared" si="5"/>
        <v>2965.5</v>
      </c>
      <c r="BH15" s="5292"/>
      <c r="BI15" s="5293"/>
      <c r="BJ15" s="5294">
        <f t="shared" si="6"/>
        <v>11862</v>
      </c>
      <c r="BK15" s="4423">
        <f t="shared" si="7"/>
        <v>0</v>
      </c>
      <c r="BL15" s="5295"/>
    </row>
    <row r="16" s="5167" customFormat="1" ht="40" customHeight="1" spans="1:64">
      <c r="A16" s="5269">
        <v>45574</v>
      </c>
      <c r="B16" s="5270" t="s">
        <v>77</v>
      </c>
      <c r="C16" s="5271" t="s">
        <v>78</v>
      </c>
      <c r="D16" s="3864">
        <v>4500146851</v>
      </c>
      <c r="E16" s="5272">
        <v>4400923138</v>
      </c>
      <c r="F16" s="3864" t="s">
        <v>133</v>
      </c>
      <c r="G16" s="5273"/>
      <c r="H16" s="5273" t="s">
        <v>80</v>
      </c>
      <c r="I16" s="5273" t="s">
        <v>81</v>
      </c>
      <c r="J16" s="5274">
        <v>11862</v>
      </c>
      <c r="K16" s="5274">
        <v>0</v>
      </c>
      <c r="L16" s="5275">
        <v>6</v>
      </c>
      <c r="M16" s="5274">
        <f t="shared" si="0"/>
        <v>1977</v>
      </c>
      <c r="N16" s="3641">
        <v>45661</v>
      </c>
      <c r="O16" s="3641">
        <v>45657</v>
      </c>
      <c r="P16" s="5276"/>
      <c r="Q16" s="5276" t="s">
        <v>82</v>
      </c>
      <c r="R16" s="5276"/>
      <c r="S16" s="5276"/>
      <c r="T16" s="3647" t="s">
        <v>110</v>
      </c>
      <c r="U16" s="5277" t="s">
        <v>128</v>
      </c>
      <c r="V16" s="5278"/>
      <c r="W16" s="5280" t="s">
        <v>129</v>
      </c>
      <c r="X16" s="4423"/>
      <c r="Y16" s="5280"/>
      <c r="Z16" s="4471"/>
      <c r="AA16" s="4471" t="s">
        <v>130</v>
      </c>
      <c r="AB16" s="5281" t="s">
        <v>131</v>
      </c>
      <c r="AC16" s="5282">
        <v>14.8323</v>
      </c>
      <c r="AD16" s="5283">
        <f>AC16*M16</f>
        <v>29323.4571</v>
      </c>
      <c r="AE16" s="4471" t="s">
        <v>134</v>
      </c>
      <c r="AF16" s="5284"/>
      <c r="AG16" s="5285"/>
      <c r="AH16" s="5285"/>
      <c r="AI16" s="5286"/>
      <c r="AJ16" s="5287">
        <f>J16</f>
        <v>11862</v>
      </c>
      <c r="AK16" s="5288"/>
      <c r="AL16" s="5285"/>
      <c r="AM16" s="5286"/>
      <c r="AN16" s="5289">
        <f>J16</f>
        <v>11862</v>
      </c>
      <c r="AO16" s="5290"/>
      <c r="AP16" s="5289"/>
      <c r="AQ16" s="5289">
        <f t="shared" si="1"/>
        <v>11862</v>
      </c>
      <c r="AR16" s="5289"/>
      <c r="AS16" s="5289"/>
      <c r="AT16" s="5289"/>
      <c r="AU16" s="5289"/>
      <c r="AV16" s="5289"/>
      <c r="AW16" s="5289"/>
      <c r="AX16" s="5290"/>
      <c r="AY16" s="5289"/>
      <c r="AZ16" s="5289"/>
      <c r="BA16" s="5289"/>
      <c r="BB16" s="5291" t="s">
        <v>89</v>
      </c>
      <c r="BC16" s="5292">
        <f t="shared" si="2"/>
        <v>2965.5</v>
      </c>
      <c r="BD16" s="5292">
        <f t="shared" si="3"/>
        <v>2965.5</v>
      </c>
      <c r="BE16" s="5292">
        <f t="shared" si="4"/>
        <v>2965.5</v>
      </c>
      <c r="BF16" s="5292"/>
      <c r="BG16" s="5292">
        <f t="shared" si="5"/>
        <v>2965.5</v>
      </c>
      <c r="BH16" s="5292"/>
      <c r="BI16" s="5293"/>
      <c r="BJ16" s="5294">
        <f t="shared" si="6"/>
        <v>11862</v>
      </c>
      <c r="BK16" s="4423">
        <f t="shared" si="7"/>
        <v>0</v>
      </c>
      <c r="BL16" s="5295"/>
    </row>
    <row r="17" s="5167" customFormat="1" ht="40" customHeight="1" spans="1:64">
      <c r="A17" s="5269">
        <v>45574</v>
      </c>
      <c r="B17" s="5270" t="s">
        <v>77</v>
      </c>
      <c r="C17" s="5271" t="s">
        <v>78</v>
      </c>
      <c r="D17" s="3864">
        <v>4500146851</v>
      </c>
      <c r="E17" s="5272">
        <v>4400952460</v>
      </c>
      <c r="F17" s="3864" t="s">
        <v>135</v>
      </c>
      <c r="G17" s="5273"/>
      <c r="H17" s="5273" t="s">
        <v>80</v>
      </c>
      <c r="I17" s="5273" t="s">
        <v>81</v>
      </c>
      <c r="J17" s="5274">
        <v>11862</v>
      </c>
      <c r="K17" s="5274">
        <v>0</v>
      </c>
      <c r="L17" s="5275">
        <v>6</v>
      </c>
      <c r="M17" s="5274">
        <f t="shared" si="0"/>
        <v>1977</v>
      </c>
      <c r="N17" s="3641">
        <v>45666</v>
      </c>
      <c r="O17" s="3641">
        <v>45663</v>
      </c>
      <c r="P17" s="5276"/>
      <c r="Q17" s="5276" t="s">
        <v>82</v>
      </c>
      <c r="R17" s="5276"/>
      <c r="S17" s="5276"/>
      <c r="T17" s="3647"/>
      <c r="U17" s="5277" t="s">
        <v>128</v>
      </c>
      <c r="V17" s="5278"/>
      <c r="W17" s="5280" t="s">
        <v>129</v>
      </c>
      <c r="X17" s="4423"/>
      <c r="Y17" s="5280"/>
      <c r="Z17" s="4471"/>
      <c r="AA17" s="4471" t="s">
        <v>130</v>
      </c>
      <c r="AB17" s="5281" t="s">
        <v>131</v>
      </c>
      <c r="AC17" s="5282">
        <v>14.5074</v>
      </c>
      <c r="AD17" s="5283">
        <f>AC17*M17</f>
        <v>28681.1298</v>
      </c>
      <c r="AE17" s="4471" t="s">
        <v>136</v>
      </c>
      <c r="AF17" s="5284"/>
      <c r="AG17" s="5285"/>
      <c r="AH17" s="5285"/>
      <c r="AI17" s="5286"/>
      <c r="AJ17" s="5287">
        <f>J17</f>
        <v>11862</v>
      </c>
      <c r="AK17" s="5288"/>
      <c r="AL17" s="5285"/>
      <c r="AM17" s="5286"/>
      <c r="AN17" s="5289">
        <f>J17</f>
        <v>11862</v>
      </c>
      <c r="AO17" s="5290"/>
      <c r="AP17" s="5289"/>
      <c r="AQ17" s="5289">
        <f t="shared" si="1"/>
        <v>11862</v>
      </c>
      <c r="AR17" s="5289"/>
      <c r="AS17" s="5289"/>
      <c r="AT17" s="5289"/>
      <c r="AU17" s="5289"/>
      <c r="AV17" s="5289"/>
      <c r="AW17" s="5289"/>
      <c r="AX17" s="5290"/>
      <c r="AY17" s="5289"/>
      <c r="AZ17" s="5289"/>
      <c r="BA17" s="5289"/>
      <c r="BB17" s="5291" t="s">
        <v>89</v>
      </c>
      <c r="BC17" s="5292">
        <f t="shared" si="2"/>
        <v>2965.5</v>
      </c>
      <c r="BD17" s="5292">
        <f t="shared" si="3"/>
        <v>2965.5</v>
      </c>
      <c r="BE17" s="5292">
        <f t="shared" si="4"/>
        <v>2965.5</v>
      </c>
      <c r="BF17" s="5292"/>
      <c r="BG17" s="5292">
        <f t="shared" si="5"/>
        <v>2965.5</v>
      </c>
      <c r="BH17" s="5292"/>
      <c r="BI17" s="5293"/>
      <c r="BJ17" s="5294">
        <f t="shared" si="6"/>
        <v>11862</v>
      </c>
      <c r="BK17" s="4423">
        <f t="shared" si="7"/>
        <v>0</v>
      </c>
      <c r="BL17" s="5295"/>
    </row>
    <row r="18" s="5167" customFormat="1" ht="40" customHeight="1" spans="1:64">
      <c r="A18" s="5269">
        <v>45574</v>
      </c>
      <c r="B18" s="5270" t="s">
        <v>77</v>
      </c>
      <c r="C18" s="5271" t="s">
        <v>78</v>
      </c>
      <c r="D18" s="3864">
        <v>4500146851</v>
      </c>
      <c r="E18" s="5272">
        <v>4400631850</v>
      </c>
      <c r="F18" s="3864" t="s">
        <v>137</v>
      </c>
      <c r="G18" s="5273"/>
      <c r="H18" s="5273" t="s">
        <v>80</v>
      </c>
      <c r="I18" s="5273" t="s">
        <v>81</v>
      </c>
      <c r="J18" s="5274">
        <v>11862</v>
      </c>
      <c r="K18" s="5274">
        <v>0</v>
      </c>
      <c r="L18" s="5275">
        <v>6</v>
      </c>
      <c r="M18" s="5274">
        <f t="shared" si="0"/>
        <v>1977</v>
      </c>
      <c r="N18" s="3641">
        <v>45668</v>
      </c>
      <c r="O18" s="3641">
        <v>45664</v>
      </c>
      <c r="P18" s="5276"/>
      <c r="Q18" s="5276" t="s">
        <v>82</v>
      </c>
      <c r="R18" s="5276"/>
      <c r="S18" s="5276"/>
      <c r="T18" s="3647" t="s">
        <v>138</v>
      </c>
      <c r="U18" s="5277" t="s">
        <v>128</v>
      </c>
      <c r="V18" s="5278"/>
      <c r="W18" s="5280" t="s">
        <v>129</v>
      </c>
      <c r="X18" s="4423"/>
      <c r="Y18" s="5280"/>
      <c r="Z18" s="4471"/>
      <c r="AA18" s="4471" t="s">
        <v>130</v>
      </c>
      <c r="AB18" s="5281" t="s">
        <v>131</v>
      </c>
      <c r="AC18" s="5282">
        <v>14.541</v>
      </c>
      <c r="AD18" s="5283">
        <f>AC18*M18</f>
        <v>28747.557</v>
      </c>
      <c r="AE18" s="4471" t="s">
        <v>139</v>
      </c>
      <c r="AF18" s="5284"/>
      <c r="AG18" s="5285"/>
      <c r="AH18" s="5285"/>
      <c r="AI18" s="5286"/>
      <c r="AJ18" s="5287">
        <f>J18</f>
        <v>11862</v>
      </c>
      <c r="AK18" s="5288"/>
      <c r="AL18" s="5285"/>
      <c r="AM18" s="5286"/>
      <c r="AN18" s="5289">
        <f>J18</f>
        <v>11862</v>
      </c>
      <c r="AO18" s="5290"/>
      <c r="AP18" s="5289"/>
      <c r="AQ18" s="5289">
        <f t="shared" si="1"/>
        <v>11862</v>
      </c>
      <c r="AR18" s="5289"/>
      <c r="AS18" s="5289"/>
      <c r="AT18" s="5289"/>
      <c r="AU18" s="5289"/>
      <c r="AV18" s="5289"/>
      <c r="AW18" s="5289"/>
      <c r="AX18" s="5290"/>
      <c r="AY18" s="5289"/>
      <c r="AZ18" s="5289"/>
      <c r="BA18" s="5289"/>
      <c r="BB18" s="5291" t="s">
        <v>89</v>
      </c>
      <c r="BC18" s="5292">
        <f t="shared" si="2"/>
        <v>2965.5</v>
      </c>
      <c r="BD18" s="5292">
        <f t="shared" si="3"/>
        <v>2965.5</v>
      </c>
      <c r="BE18" s="5292">
        <f t="shared" si="4"/>
        <v>2965.5</v>
      </c>
      <c r="BF18" s="5292"/>
      <c r="BG18" s="5292">
        <f t="shared" si="5"/>
        <v>2965.5</v>
      </c>
      <c r="BH18" s="5292"/>
      <c r="BI18" s="5293"/>
      <c r="BJ18" s="5294">
        <f t="shared" si="6"/>
        <v>11862</v>
      </c>
      <c r="BK18" s="4423">
        <f t="shared" si="7"/>
        <v>0</v>
      </c>
      <c r="BL18" s="5295"/>
    </row>
    <row r="19" s="5167" customFormat="1" ht="40" customHeight="1" spans="1:64">
      <c r="A19" s="5269">
        <v>45586</v>
      </c>
      <c r="B19" s="5270" t="s">
        <v>90</v>
      </c>
      <c r="C19" s="5271" t="s">
        <v>91</v>
      </c>
      <c r="D19" s="3864">
        <v>4500147799</v>
      </c>
      <c r="E19" s="5272" t="s">
        <v>92</v>
      </c>
      <c r="F19" s="3864" t="s">
        <v>140</v>
      </c>
      <c r="G19" s="5273"/>
      <c r="H19" s="5273" t="s">
        <v>94</v>
      </c>
      <c r="I19" s="5273" t="s">
        <v>95</v>
      </c>
      <c r="J19" s="5274">
        <v>600</v>
      </c>
      <c r="K19" s="5274">
        <v>0</v>
      </c>
      <c r="L19" s="5275">
        <v>24</v>
      </c>
      <c r="M19" s="5274">
        <f t="shared" si="0"/>
        <v>25</v>
      </c>
      <c r="N19" s="3641">
        <v>45677</v>
      </c>
      <c r="O19" s="3641">
        <v>45673</v>
      </c>
      <c r="P19" s="5276"/>
      <c r="Q19" s="5276" t="s">
        <v>82</v>
      </c>
      <c r="R19" s="5276"/>
      <c r="S19" s="5276"/>
      <c r="T19" s="3647" t="s">
        <v>141</v>
      </c>
      <c r="U19" s="5277" t="s">
        <v>97</v>
      </c>
      <c r="V19" s="5278"/>
      <c r="W19" s="5279" t="s">
        <v>98</v>
      </c>
      <c r="X19" s="4423"/>
      <c r="Y19" s="5280" t="s">
        <v>142</v>
      </c>
      <c r="Z19" s="4471"/>
      <c r="AA19" s="4471" t="s">
        <v>100</v>
      </c>
      <c r="AB19" s="5281" t="s">
        <v>101</v>
      </c>
      <c r="AC19" s="5282">
        <v>2.2421</v>
      </c>
      <c r="AD19" s="5283">
        <f>J19*AC19</f>
        <v>1345.26</v>
      </c>
      <c r="AE19" s="4471"/>
      <c r="AF19" s="5284"/>
      <c r="AG19" s="5285">
        <f>J19</f>
        <v>600</v>
      </c>
      <c r="AH19" s="5285"/>
      <c r="AI19" s="5286"/>
      <c r="AJ19" s="5287"/>
      <c r="AK19" s="5288"/>
      <c r="AL19" s="5285">
        <f>J19</f>
        <v>600</v>
      </c>
      <c r="AM19" s="5286"/>
      <c r="AN19" s="5289"/>
      <c r="AO19" s="5290"/>
      <c r="AP19" s="5289"/>
      <c r="AQ19" s="5289">
        <f t="shared" si="1"/>
        <v>600</v>
      </c>
      <c r="AR19" s="5289"/>
      <c r="AS19" s="5289"/>
      <c r="AT19" s="5289"/>
      <c r="AU19" s="5289"/>
      <c r="AV19" s="5289"/>
      <c r="AW19" s="5289"/>
      <c r="AX19" s="5290"/>
      <c r="AY19" s="5289"/>
      <c r="AZ19" s="5289"/>
      <c r="BA19" s="5289"/>
      <c r="BB19" s="5291" t="s">
        <v>89</v>
      </c>
      <c r="BC19" s="5292">
        <f t="shared" si="2"/>
        <v>150</v>
      </c>
      <c r="BD19" s="5292">
        <f t="shared" si="3"/>
        <v>150</v>
      </c>
      <c r="BE19" s="5292">
        <f t="shared" si="4"/>
        <v>150</v>
      </c>
      <c r="BF19" s="5292"/>
      <c r="BG19" s="5292">
        <f t="shared" si="5"/>
        <v>150</v>
      </c>
      <c r="BH19" s="5292"/>
      <c r="BI19" s="5293"/>
      <c r="BJ19" s="5294">
        <f t="shared" si="6"/>
        <v>600</v>
      </c>
      <c r="BK19" s="4423">
        <f t="shared" si="7"/>
        <v>0</v>
      </c>
      <c r="BL19" s="5295"/>
    </row>
    <row r="20" s="5167" customFormat="1" ht="40" customHeight="1" spans="1:64">
      <c r="A20" s="5269">
        <v>45586</v>
      </c>
      <c r="B20" s="5270" t="s">
        <v>90</v>
      </c>
      <c r="C20" s="5271" t="s">
        <v>91</v>
      </c>
      <c r="D20" s="3864">
        <v>4500147801</v>
      </c>
      <c r="E20" s="5272" t="s">
        <v>108</v>
      </c>
      <c r="F20" s="3864" t="s">
        <v>143</v>
      </c>
      <c r="G20" s="5273"/>
      <c r="H20" s="5273" t="s">
        <v>94</v>
      </c>
      <c r="I20" s="5273" t="s">
        <v>95</v>
      </c>
      <c r="J20" s="5274">
        <v>792</v>
      </c>
      <c r="K20" s="5274">
        <v>0</v>
      </c>
      <c r="L20" s="5275">
        <v>24</v>
      </c>
      <c r="M20" s="5274">
        <f t="shared" si="0"/>
        <v>33</v>
      </c>
      <c r="N20" s="3641">
        <v>45677</v>
      </c>
      <c r="O20" s="3641">
        <v>45673</v>
      </c>
      <c r="P20" s="5276"/>
      <c r="Q20" s="5276" t="s">
        <v>82</v>
      </c>
      <c r="R20" s="5276"/>
      <c r="S20" s="5276"/>
      <c r="T20" s="3647" t="s">
        <v>144</v>
      </c>
      <c r="U20" s="5277" t="s">
        <v>97</v>
      </c>
      <c r="V20" s="5278"/>
      <c r="W20" s="5279" t="s">
        <v>98</v>
      </c>
      <c r="X20" s="4423"/>
      <c r="Y20" s="5280" t="s">
        <v>142</v>
      </c>
      <c r="Z20" s="4471"/>
      <c r="AA20" s="4471" t="s">
        <v>100</v>
      </c>
      <c r="AB20" s="5281" t="s">
        <v>101</v>
      </c>
      <c r="AC20" s="5282">
        <v>2.2472</v>
      </c>
      <c r="AD20" s="5283">
        <f>J20*AC20</f>
        <v>1779.7824</v>
      </c>
      <c r="AE20" s="4471"/>
      <c r="AF20" s="5284"/>
      <c r="AG20" s="5285">
        <f>J20</f>
        <v>792</v>
      </c>
      <c r="AH20" s="5285"/>
      <c r="AI20" s="5286"/>
      <c r="AJ20" s="5287"/>
      <c r="AK20" s="5288"/>
      <c r="AL20" s="5285">
        <f>J20</f>
        <v>792</v>
      </c>
      <c r="AM20" s="5286"/>
      <c r="AN20" s="5289"/>
      <c r="AO20" s="5290"/>
      <c r="AP20" s="5289"/>
      <c r="AQ20" s="5289">
        <f t="shared" si="1"/>
        <v>792</v>
      </c>
      <c r="AR20" s="5289"/>
      <c r="AS20" s="5289"/>
      <c r="AT20" s="5289"/>
      <c r="AU20" s="5289"/>
      <c r="AV20" s="5289"/>
      <c r="AW20" s="5289"/>
      <c r="AX20" s="5290"/>
      <c r="AY20" s="5289"/>
      <c r="AZ20" s="5289"/>
      <c r="BA20" s="5289"/>
      <c r="BB20" s="5291" t="s">
        <v>89</v>
      </c>
      <c r="BC20" s="5292">
        <f t="shared" si="2"/>
        <v>198</v>
      </c>
      <c r="BD20" s="5292">
        <f t="shared" si="3"/>
        <v>198</v>
      </c>
      <c r="BE20" s="5292">
        <f t="shared" si="4"/>
        <v>198</v>
      </c>
      <c r="BF20" s="5292"/>
      <c r="BG20" s="5292">
        <f t="shared" si="5"/>
        <v>198</v>
      </c>
      <c r="BH20" s="5292"/>
      <c r="BI20" s="5293"/>
      <c r="BJ20" s="5294">
        <f t="shared" si="6"/>
        <v>792</v>
      </c>
      <c r="BK20" s="4423">
        <f t="shared" si="7"/>
        <v>0</v>
      </c>
      <c r="BL20" s="5295"/>
    </row>
    <row r="21" s="5167" customFormat="1" ht="40" customHeight="1" spans="1:64">
      <c r="A21" s="5269">
        <v>45586</v>
      </c>
      <c r="B21" s="5270" t="s">
        <v>90</v>
      </c>
      <c r="C21" s="5271" t="s">
        <v>91</v>
      </c>
      <c r="D21" s="3864">
        <v>4500147803</v>
      </c>
      <c r="E21" s="5272" t="s">
        <v>145</v>
      </c>
      <c r="F21" s="3864" t="s">
        <v>146</v>
      </c>
      <c r="G21" s="5273"/>
      <c r="H21" s="5273" t="s">
        <v>94</v>
      </c>
      <c r="I21" s="5273" t="s">
        <v>95</v>
      </c>
      <c r="J21" s="5274">
        <v>1200</v>
      </c>
      <c r="K21" s="5274">
        <v>0</v>
      </c>
      <c r="L21" s="5275">
        <v>24</v>
      </c>
      <c r="M21" s="5274">
        <f t="shared" si="0"/>
        <v>50</v>
      </c>
      <c r="N21" s="3641">
        <v>45677</v>
      </c>
      <c r="O21" s="3641">
        <v>45673</v>
      </c>
      <c r="P21" s="5276"/>
      <c r="Q21" s="5276" t="s">
        <v>82</v>
      </c>
      <c r="R21" s="5276"/>
      <c r="S21" s="5276"/>
      <c r="T21" s="3647" t="s">
        <v>147</v>
      </c>
      <c r="U21" s="5277" t="s">
        <v>97</v>
      </c>
      <c r="V21" s="5278"/>
      <c r="W21" s="5279" t="s">
        <v>98</v>
      </c>
      <c r="X21" s="4423"/>
      <c r="Y21" s="5280" t="s">
        <v>142</v>
      </c>
      <c r="Z21" s="4471"/>
      <c r="AA21" s="4471" t="s">
        <v>100</v>
      </c>
      <c r="AB21" s="5281" t="s">
        <v>101</v>
      </c>
      <c r="AC21" s="5282">
        <v>2.2427</v>
      </c>
      <c r="AD21" s="5283">
        <f>J21*AC21</f>
        <v>2691.24</v>
      </c>
      <c r="AE21" s="4471"/>
      <c r="AF21" s="5284"/>
      <c r="AG21" s="5285">
        <f>J21</f>
        <v>1200</v>
      </c>
      <c r="AH21" s="5285"/>
      <c r="AI21" s="5286"/>
      <c r="AJ21" s="5287"/>
      <c r="AK21" s="5288"/>
      <c r="AL21" s="5285">
        <f>J21</f>
        <v>1200</v>
      </c>
      <c r="AM21" s="5286"/>
      <c r="AN21" s="5289"/>
      <c r="AO21" s="5290"/>
      <c r="AP21" s="5289"/>
      <c r="AQ21" s="5289">
        <f t="shared" si="1"/>
        <v>1200</v>
      </c>
      <c r="AR21" s="5289"/>
      <c r="AS21" s="5289"/>
      <c r="AT21" s="5289"/>
      <c r="AU21" s="5289"/>
      <c r="AV21" s="5289"/>
      <c r="AW21" s="5289"/>
      <c r="AX21" s="5290"/>
      <c r="AY21" s="5289"/>
      <c r="AZ21" s="5289"/>
      <c r="BA21" s="5289"/>
      <c r="BB21" s="5291" t="s">
        <v>89</v>
      </c>
      <c r="BC21" s="5292">
        <f t="shared" si="2"/>
        <v>300</v>
      </c>
      <c r="BD21" s="5292">
        <f t="shared" si="3"/>
        <v>300</v>
      </c>
      <c r="BE21" s="5292">
        <f t="shared" si="4"/>
        <v>300</v>
      </c>
      <c r="BF21" s="5292"/>
      <c r="BG21" s="5292">
        <f t="shared" si="5"/>
        <v>300</v>
      </c>
      <c r="BH21" s="5292"/>
      <c r="BI21" s="5293"/>
      <c r="BJ21" s="5294">
        <f t="shared" si="6"/>
        <v>1200</v>
      </c>
      <c r="BK21" s="4423">
        <f t="shared" si="7"/>
        <v>0</v>
      </c>
      <c r="BL21" s="5295"/>
    </row>
    <row r="22" s="5167" customFormat="1" ht="40" customHeight="1" spans="1:64">
      <c r="A22" s="5269">
        <v>45586</v>
      </c>
      <c r="B22" s="5270" t="s">
        <v>90</v>
      </c>
      <c r="C22" s="5271" t="s">
        <v>91</v>
      </c>
      <c r="D22" s="3864">
        <v>4500147800</v>
      </c>
      <c r="E22" s="5272" t="s">
        <v>148</v>
      </c>
      <c r="F22" s="3864" t="s">
        <v>149</v>
      </c>
      <c r="G22" s="5273"/>
      <c r="H22" s="5273" t="s">
        <v>94</v>
      </c>
      <c r="I22" s="5273" t="s">
        <v>95</v>
      </c>
      <c r="J22" s="5274">
        <v>1008</v>
      </c>
      <c r="K22" s="5274">
        <v>0</v>
      </c>
      <c r="L22" s="5275">
        <v>24</v>
      </c>
      <c r="M22" s="5274">
        <f t="shared" si="0"/>
        <v>42</v>
      </c>
      <c r="N22" s="3641">
        <v>45677</v>
      </c>
      <c r="O22" s="3641">
        <v>45673</v>
      </c>
      <c r="P22" s="5276"/>
      <c r="Q22" s="5276" t="s">
        <v>82</v>
      </c>
      <c r="R22" s="5276"/>
      <c r="S22" s="5276"/>
      <c r="T22" s="4423" t="s">
        <v>141</v>
      </c>
      <c r="U22" s="5277" t="s">
        <v>97</v>
      </c>
      <c r="V22" s="5278"/>
      <c r="W22" s="5279" t="s">
        <v>98</v>
      </c>
      <c r="X22" s="4423"/>
      <c r="Y22" s="5280" t="s">
        <v>142</v>
      </c>
      <c r="Z22" s="4471"/>
      <c r="AA22" s="4471" t="s">
        <v>100</v>
      </c>
      <c r="AB22" s="5281" t="s">
        <v>101</v>
      </c>
      <c r="AC22" s="5282">
        <v>2.2427</v>
      </c>
      <c r="AD22" s="5283">
        <f>J22*AC22</f>
        <v>2260.6416</v>
      </c>
      <c r="AE22" s="4471"/>
      <c r="AF22" s="5284"/>
      <c r="AG22" s="5285">
        <f>J22</f>
        <v>1008</v>
      </c>
      <c r="AH22" s="5285"/>
      <c r="AI22" s="5286"/>
      <c r="AJ22" s="5287"/>
      <c r="AK22" s="5288"/>
      <c r="AL22" s="5285">
        <f>J22</f>
        <v>1008</v>
      </c>
      <c r="AM22" s="5286"/>
      <c r="AN22" s="5289"/>
      <c r="AO22" s="5290"/>
      <c r="AP22" s="5289"/>
      <c r="AQ22" s="5289">
        <f t="shared" si="1"/>
        <v>1008</v>
      </c>
      <c r="AR22" s="5289"/>
      <c r="AS22" s="5289"/>
      <c r="AT22" s="5289"/>
      <c r="AU22" s="5289"/>
      <c r="AV22" s="5289"/>
      <c r="AW22" s="5289"/>
      <c r="AX22" s="5290"/>
      <c r="AY22" s="5289"/>
      <c r="AZ22" s="5289"/>
      <c r="BA22" s="5289"/>
      <c r="BB22" s="5291" t="s">
        <v>89</v>
      </c>
      <c r="BC22" s="5292">
        <f t="shared" si="2"/>
        <v>252</v>
      </c>
      <c r="BD22" s="5292">
        <f t="shared" si="3"/>
        <v>252</v>
      </c>
      <c r="BE22" s="5292">
        <f t="shared" si="4"/>
        <v>252</v>
      </c>
      <c r="BF22" s="5292"/>
      <c r="BG22" s="5292">
        <f t="shared" si="5"/>
        <v>252</v>
      </c>
      <c r="BH22" s="5292"/>
      <c r="BI22" s="5293"/>
      <c r="BJ22" s="5294">
        <f t="shared" si="6"/>
        <v>1008</v>
      </c>
      <c r="BK22" s="4423">
        <f t="shared" si="7"/>
        <v>0</v>
      </c>
      <c r="BL22" s="5295"/>
    </row>
    <row r="23" s="5167" customFormat="1" ht="40" customHeight="1" spans="1:64">
      <c r="A23" s="5269">
        <v>45574</v>
      </c>
      <c r="B23" s="5270" t="s">
        <v>77</v>
      </c>
      <c r="C23" s="5271" t="s">
        <v>78</v>
      </c>
      <c r="D23" s="3864">
        <v>4500146851</v>
      </c>
      <c r="E23" s="5272">
        <v>4400923139</v>
      </c>
      <c r="F23" s="3864" t="s">
        <v>150</v>
      </c>
      <c r="G23" s="5273"/>
      <c r="H23" s="5273" t="s">
        <v>80</v>
      </c>
      <c r="I23" s="5273" t="s">
        <v>81</v>
      </c>
      <c r="J23" s="5274">
        <v>11862</v>
      </c>
      <c r="K23" s="5274">
        <v>0</v>
      </c>
      <c r="L23" s="5275">
        <v>6</v>
      </c>
      <c r="M23" s="5274">
        <f t="shared" si="0"/>
        <v>1977</v>
      </c>
      <c r="N23" s="3641">
        <v>45677</v>
      </c>
      <c r="O23" s="3641">
        <v>45673</v>
      </c>
      <c r="P23" s="5276"/>
      <c r="Q23" s="5276" t="s">
        <v>82</v>
      </c>
      <c r="R23" s="5276"/>
      <c r="S23" s="5276"/>
      <c r="T23" s="3647" t="s">
        <v>151</v>
      </c>
      <c r="U23" s="5277" t="s">
        <v>128</v>
      </c>
      <c r="V23" s="5278"/>
      <c r="W23" s="5280" t="s">
        <v>129</v>
      </c>
      <c r="X23" s="4423"/>
      <c r="Y23" s="5280"/>
      <c r="Z23" s="4471"/>
      <c r="AA23" s="4471" t="s">
        <v>130</v>
      </c>
      <c r="AB23" s="5281" t="s">
        <v>131</v>
      </c>
      <c r="AC23" s="5282">
        <v>14.541</v>
      </c>
      <c r="AD23" s="5283">
        <f>AC23*M23</f>
        <v>28747.557</v>
      </c>
      <c r="AE23" s="4471" t="s">
        <v>139</v>
      </c>
      <c r="AF23" s="5284"/>
      <c r="AG23" s="5285"/>
      <c r="AH23" s="5285"/>
      <c r="AI23" s="5286"/>
      <c r="AJ23" s="5287">
        <f>J23</f>
        <v>11862</v>
      </c>
      <c r="AK23" s="5288"/>
      <c r="AL23" s="5285"/>
      <c r="AM23" s="5286"/>
      <c r="AN23" s="5289">
        <f>J23</f>
        <v>11862</v>
      </c>
      <c r="AO23" s="5290"/>
      <c r="AP23" s="5289"/>
      <c r="AQ23" s="5289">
        <f t="shared" si="1"/>
        <v>11862</v>
      </c>
      <c r="AR23" s="5289"/>
      <c r="AS23" s="5289"/>
      <c r="AT23" s="5289"/>
      <c r="AU23" s="5289"/>
      <c r="AV23" s="5289"/>
      <c r="AW23" s="5289"/>
      <c r="AX23" s="5290"/>
      <c r="AY23" s="5289"/>
      <c r="AZ23" s="5289"/>
      <c r="BA23" s="5289"/>
      <c r="BB23" s="5291" t="s">
        <v>89</v>
      </c>
      <c r="BC23" s="5292">
        <f t="shared" si="2"/>
        <v>2965.5</v>
      </c>
      <c r="BD23" s="5292">
        <f t="shared" si="3"/>
        <v>2965.5</v>
      </c>
      <c r="BE23" s="5292">
        <f t="shared" si="4"/>
        <v>2965.5</v>
      </c>
      <c r="BF23" s="5292"/>
      <c r="BG23" s="5292">
        <f t="shared" si="5"/>
        <v>2965.5</v>
      </c>
      <c r="BH23" s="5292"/>
      <c r="BI23" s="5293"/>
      <c r="BJ23" s="5294">
        <f t="shared" si="6"/>
        <v>11862</v>
      </c>
      <c r="BK23" s="4423">
        <f t="shared" si="7"/>
        <v>0</v>
      </c>
      <c r="BL23" s="5295"/>
    </row>
    <row r="24" s="5167" customFormat="1" ht="40" customHeight="1" spans="1:64">
      <c r="A24" s="5269">
        <v>45574</v>
      </c>
      <c r="B24" s="5270" t="s">
        <v>77</v>
      </c>
      <c r="C24" s="5271" t="s">
        <v>78</v>
      </c>
      <c r="D24" s="3864">
        <v>4500146851</v>
      </c>
      <c r="E24" s="5272">
        <v>4400393637</v>
      </c>
      <c r="F24" s="3864" t="s">
        <v>152</v>
      </c>
      <c r="G24" s="5273"/>
      <c r="H24" s="5273" t="s">
        <v>80</v>
      </c>
      <c r="I24" s="5273" t="s">
        <v>81</v>
      </c>
      <c r="J24" s="5274">
        <v>11862</v>
      </c>
      <c r="K24" s="5274">
        <v>0</v>
      </c>
      <c r="L24" s="5275">
        <v>6</v>
      </c>
      <c r="M24" s="5274">
        <f t="shared" si="0"/>
        <v>1977</v>
      </c>
      <c r="N24" s="3641">
        <v>45691</v>
      </c>
      <c r="O24" s="3641">
        <v>45687</v>
      </c>
      <c r="P24" s="5276"/>
      <c r="Q24" s="5276" t="s">
        <v>82</v>
      </c>
      <c r="R24" s="5276"/>
      <c r="S24" s="5276"/>
      <c r="T24" s="3647" t="s">
        <v>153</v>
      </c>
      <c r="U24" s="5277" t="s">
        <v>128</v>
      </c>
      <c r="V24" s="5278"/>
      <c r="W24" s="5280" t="s">
        <v>129</v>
      </c>
      <c r="X24" s="4423"/>
      <c r="Y24" s="5280"/>
      <c r="Z24" s="4471"/>
      <c r="AA24" s="4471" t="s">
        <v>130</v>
      </c>
      <c r="AB24" s="5281" t="s">
        <v>131</v>
      </c>
      <c r="AC24" s="5282">
        <v>14.541</v>
      </c>
      <c r="AD24" s="5283">
        <f>AC24*M24</f>
        <v>28747.557</v>
      </c>
      <c r="AE24" s="4471" t="s">
        <v>154</v>
      </c>
      <c r="AF24" s="5284"/>
      <c r="AG24" s="5285"/>
      <c r="AH24" s="5285"/>
      <c r="AI24" s="5286"/>
      <c r="AJ24" s="5287">
        <f>J24</f>
        <v>11862</v>
      </c>
      <c r="AK24" s="5288"/>
      <c r="AL24" s="5285"/>
      <c r="AM24" s="5286"/>
      <c r="AN24" s="5289">
        <f>J24</f>
        <v>11862</v>
      </c>
      <c r="AO24" s="5290"/>
      <c r="AP24" s="5289"/>
      <c r="AQ24" s="5289">
        <f t="shared" si="1"/>
        <v>11862</v>
      </c>
      <c r="AR24" s="5289"/>
      <c r="AS24" s="5289"/>
      <c r="AT24" s="5289"/>
      <c r="AU24" s="5289"/>
      <c r="AV24" s="5289"/>
      <c r="AW24" s="5289"/>
      <c r="AX24" s="5290"/>
      <c r="AY24" s="5289"/>
      <c r="AZ24" s="5289"/>
      <c r="BA24" s="5289"/>
      <c r="BB24" s="5291" t="s">
        <v>89</v>
      </c>
      <c r="BC24" s="5292">
        <f t="shared" si="2"/>
        <v>2965.5</v>
      </c>
      <c r="BD24" s="5292">
        <f t="shared" si="3"/>
        <v>2965.5</v>
      </c>
      <c r="BE24" s="5292">
        <f t="shared" si="4"/>
        <v>2965.5</v>
      </c>
      <c r="BF24" s="5292"/>
      <c r="BG24" s="5292">
        <f t="shared" si="5"/>
        <v>2965.5</v>
      </c>
      <c r="BH24" s="5292"/>
      <c r="BI24" s="5293"/>
      <c r="BJ24" s="5294">
        <f t="shared" si="6"/>
        <v>11862</v>
      </c>
      <c r="BK24" s="4423">
        <f t="shared" si="7"/>
        <v>0</v>
      </c>
      <c r="BL24" s="5295"/>
    </row>
    <row r="25" s="5167" customFormat="1" ht="40" customHeight="1" spans="1:64">
      <c r="A25" s="5269">
        <v>45586</v>
      </c>
      <c r="B25" s="5270" t="s">
        <v>90</v>
      </c>
      <c r="C25" s="5271" t="s">
        <v>91</v>
      </c>
      <c r="D25" s="3864">
        <v>4500147804</v>
      </c>
      <c r="E25" s="5272" t="s">
        <v>92</v>
      </c>
      <c r="F25" s="3864" t="s">
        <v>155</v>
      </c>
      <c r="G25" s="5273"/>
      <c r="H25" s="5273" t="s">
        <v>94</v>
      </c>
      <c r="I25" s="5273" t="s">
        <v>95</v>
      </c>
      <c r="J25" s="5274">
        <v>600</v>
      </c>
      <c r="K25" s="5274">
        <v>0</v>
      </c>
      <c r="L25" s="5275">
        <v>24</v>
      </c>
      <c r="M25" s="5274">
        <f t="shared" si="0"/>
        <v>25</v>
      </c>
      <c r="N25" s="3641">
        <v>45698</v>
      </c>
      <c r="O25" s="3641">
        <v>45694</v>
      </c>
      <c r="P25" s="5276"/>
      <c r="Q25" s="5297" t="s">
        <v>82</v>
      </c>
      <c r="R25" s="5297"/>
      <c r="S25" s="5297"/>
      <c r="T25" s="3647" t="s">
        <v>156</v>
      </c>
      <c r="U25" s="5277" t="s">
        <v>97</v>
      </c>
      <c r="V25" s="5278"/>
      <c r="W25" s="5279" t="s">
        <v>98</v>
      </c>
      <c r="X25" s="4423"/>
      <c r="Y25" s="5280" t="s">
        <v>142</v>
      </c>
      <c r="Z25" s="4471"/>
      <c r="AA25" s="4471" t="s">
        <v>100</v>
      </c>
      <c r="AB25" s="5281" t="s">
        <v>101</v>
      </c>
      <c r="AC25" s="5282">
        <v>2.2472</v>
      </c>
      <c r="AD25" s="5283">
        <f>J25*AC25</f>
        <v>1348.32</v>
      </c>
      <c r="AE25" s="4471" t="s">
        <v>157</v>
      </c>
      <c r="AF25" s="5284"/>
      <c r="AG25" s="5285">
        <f>J25</f>
        <v>600</v>
      </c>
      <c r="AH25" s="5285"/>
      <c r="AI25" s="5286"/>
      <c r="AJ25" s="5287"/>
      <c r="AK25" s="5296"/>
      <c r="AL25" s="5285">
        <f>J25</f>
        <v>600</v>
      </c>
      <c r="AM25" s="5286"/>
      <c r="AN25" s="5289"/>
      <c r="AO25" s="5290"/>
      <c r="AP25" s="5289"/>
      <c r="AQ25" s="5289">
        <f t="shared" si="1"/>
        <v>600</v>
      </c>
      <c r="AR25" s="5289"/>
      <c r="AS25" s="5289"/>
      <c r="AT25" s="5289"/>
      <c r="AU25" s="5289"/>
      <c r="AV25" s="5289"/>
      <c r="AW25" s="5289"/>
      <c r="AX25" s="5290"/>
      <c r="AY25" s="5289"/>
      <c r="AZ25" s="5289"/>
      <c r="BA25" s="5289"/>
      <c r="BB25" s="5291" t="s">
        <v>89</v>
      </c>
      <c r="BC25" s="5292">
        <f t="shared" si="2"/>
        <v>150</v>
      </c>
      <c r="BD25" s="5292">
        <f t="shared" si="3"/>
        <v>150</v>
      </c>
      <c r="BE25" s="5292">
        <f t="shared" si="4"/>
        <v>150</v>
      </c>
      <c r="BF25" s="5292"/>
      <c r="BG25" s="5292">
        <f t="shared" si="5"/>
        <v>150</v>
      </c>
      <c r="BH25" s="5292"/>
      <c r="BI25" s="5293"/>
      <c r="BJ25" s="5294">
        <f t="shared" si="6"/>
        <v>600</v>
      </c>
      <c r="BK25" s="4423">
        <f t="shared" si="7"/>
        <v>0</v>
      </c>
      <c r="BL25" s="5295"/>
    </row>
    <row r="26" s="5167" customFormat="1" ht="40" customHeight="1" spans="1:64">
      <c r="A26" s="5269">
        <v>45586</v>
      </c>
      <c r="B26" s="5270" t="s">
        <v>90</v>
      </c>
      <c r="C26" s="5271" t="s">
        <v>91</v>
      </c>
      <c r="D26" s="3864">
        <v>4500147806</v>
      </c>
      <c r="E26" s="5272" t="s">
        <v>108</v>
      </c>
      <c r="F26" s="3864" t="s">
        <v>158</v>
      </c>
      <c r="G26" s="5273"/>
      <c r="H26" s="5273" t="s">
        <v>94</v>
      </c>
      <c r="I26" s="5273" t="s">
        <v>95</v>
      </c>
      <c r="J26" s="5274">
        <v>792</v>
      </c>
      <c r="K26" s="5274">
        <v>0</v>
      </c>
      <c r="L26" s="5275">
        <v>24</v>
      </c>
      <c r="M26" s="5274">
        <f t="shared" si="0"/>
        <v>33</v>
      </c>
      <c r="N26" s="3641">
        <v>45698</v>
      </c>
      <c r="O26" s="3641">
        <v>45694</v>
      </c>
      <c r="P26" s="5276"/>
      <c r="Q26" s="5297" t="s">
        <v>82</v>
      </c>
      <c r="R26" s="5297"/>
      <c r="S26" s="5297"/>
      <c r="T26" s="3647" t="s">
        <v>159</v>
      </c>
      <c r="U26" s="5277" t="s">
        <v>97</v>
      </c>
      <c r="V26" s="5278"/>
      <c r="W26" s="5279" t="s">
        <v>98</v>
      </c>
      <c r="X26" s="4423"/>
      <c r="Y26" s="5280" t="s">
        <v>142</v>
      </c>
      <c r="Z26" s="4471"/>
      <c r="AA26" s="4471" t="s">
        <v>100</v>
      </c>
      <c r="AB26" s="5281" t="s">
        <v>101</v>
      </c>
      <c r="AC26" s="5282">
        <v>2.2472</v>
      </c>
      <c r="AD26" s="5283">
        <f>J26*AC26</f>
        <v>1779.7824</v>
      </c>
      <c r="AE26" s="4471" t="s">
        <v>160</v>
      </c>
      <c r="AF26" s="5284"/>
      <c r="AG26" s="5285">
        <f>J26</f>
        <v>792</v>
      </c>
      <c r="AH26" s="5285"/>
      <c r="AI26" s="5286"/>
      <c r="AJ26" s="5287"/>
      <c r="AK26" s="5296"/>
      <c r="AL26" s="5285">
        <f>J26</f>
        <v>792</v>
      </c>
      <c r="AM26" s="5286"/>
      <c r="AN26" s="5289"/>
      <c r="AO26" s="5290"/>
      <c r="AP26" s="5289"/>
      <c r="AQ26" s="5289">
        <f t="shared" si="1"/>
        <v>792</v>
      </c>
      <c r="AR26" s="5289"/>
      <c r="AS26" s="5289"/>
      <c r="AT26" s="5289"/>
      <c r="AU26" s="5289"/>
      <c r="AV26" s="5289"/>
      <c r="AW26" s="5289"/>
      <c r="AX26" s="5290"/>
      <c r="AY26" s="5289"/>
      <c r="AZ26" s="5289"/>
      <c r="BA26" s="5289"/>
      <c r="BB26" s="5291" t="s">
        <v>89</v>
      </c>
      <c r="BC26" s="5292">
        <f t="shared" si="2"/>
        <v>198</v>
      </c>
      <c r="BD26" s="5292">
        <f t="shared" si="3"/>
        <v>198</v>
      </c>
      <c r="BE26" s="5292">
        <f t="shared" si="4"/>
        <v>198</v>
      </c>
      <c r="BF26" s="5292"/>
      <c r="BG26" s="5292">
        <f t="shared" si="5"/>
        <v>198</v>
      </c>
      <c r="BH26" s="5292"/>
      <c r="BI26" s="5293"/>
      <c r="BJ26" s="5294">
        <f t="shared" si="6"/>
        <v>792</v>
      </c>
      <c r="BK26" s="4423">
        <f t="shared" si="7"/>
        <v>0</v>
      </c>
      <c r="BL26" s="5295"/>
    </row>
    <row r="27" s="5167" customFormat="1" ht="40" customHeight="1" spans="1:64">
      <c r="A27" s="5269">
        <v>45506</v>
      </c>
      <c r="B27" s="5270" t="s">
        <v>77</v>
      </c>
      <c r="C27" s="5271" t="s">
        <v>78</v>
      </c>
      <c r="D27" s="3864">
        <v>4500141955</v>
      </c>
      <c r="E27" s="5272">
        <v>4400919336</v>
      </c>
      <c r="F27" s="3864" t="s">
        <v>161</v>
      </c>
      <c r="G27" s="5273"/>
      <c r="H27" s="5273" t="s">
        <v>80</v>
      </c>
      <c r="I27" s="5273" t="s">
        <v>81</v>
      </c>
      <c r="J27" s="5274">
        <v>11280</v>
      </c>
      <c r="K27" s="5274">
        <v>0</v>
      </c>
      <c r="L27" s="5275">
        <v>6</v>
      </c>
      <c r="M27" s="5274">
        <f t="shared" si="0"/>
        <v>1880</v>
      </c>
      <c r="N27" s="3641">
        <v>45692</v>
      </c>
      <c r="O27" s="3641">
        <v>45322</v>
      </c>
      <c r="P27" s="5276"/>
      <c r="Q27" s="5276" t="s">
        <v>82</v>
      </c>
      <c r="R27" s="5276"/>
      <c r="S27" s="5276"/>
      <c r="T27" s="3647" t="s">
        <v>162</v>
      </c>
      <c r="U27" s="5277" t="s">
        <v>83</v>
      </c>
      <c r="V27" s="5278"/>
      <c r="W27" s="5279" t="s">
        <v>84</v>
      </c>
      <c r="X27" s="4423"/>
      <c r="Y27" s="5280" t="s">
        <v>85</v>
      </c>
      <c r="Z27" s="4471"/>
      <c r="AA27" s="4471" t="s">
        <v>86</v>
      </c>
      <c r="AB27" s="5281" t="s">
        <v>87</v>
      </c>
      <c r="AC27" s="5282">
        <v>1.646</v>
      </c>
      <c r="AD27" s="5283">
        <f>AC27*J27</f>
        <v>18566.88</v>
      </c>
      <c r="AE27" s="4471"/>
      <c r="AF27" s="5284"/>
      <c r="AG27" s="5285"/>
      <c r="AH27" s="5285"/>
      <c r="AI27" s="5286"/>
      <c r="AJ27" s="5287">
        <f t="shared" ref="AJ27:AJ79" si="11">J27</f>
        <v>11280</v>
      </c>
      <c r="AK27" s="5296"/>
      <c r="AL27" s="5285"/>
      <c r="AM27" s="5286"/>
      <c r="AN27" s="5289">
        <f t="shared" ref="AN27:AN79" si="12">J27</f>
        <v>11280</v>
      </c>
      <c r="AO27" s="5290"/>
      <c r="AP27" s="5289"/>
      <c r="AQ27" s="5289">
        <f t="shared" si="1"/>
        <v>11280</v>
      </c>
      <c r="AR27" s="5289"/>
      <c r="AS27" s="5289"/>
      <c r="AT27" s="5289"/>
      <c r="AU27" s="5289"/>
      <c r="AV27" s="5289"/>
      <c r="AW27" s="5289"/>
      <c r="AX27" s="5290"/>
      <c r="AY27" s="5289"/>
      <c r="AZ27" s="5289"/>
      <c r="BA27" s="5289"/>
      <c r="BB27" s="5291" t="s">
        <v>89</v>
      </c>
      <c r="BC27" s="5292">
        <f t="shared" si="2"/>
        <v>2820</v>
      </c>
      <c r="BD27" s="5292">
        <f t="shared" si="3"/>
        <v>2820</v>
      </c>
      <c r="BE27" s="5292">
        <f t="shared" si="4"/>
        <v>2820</v>
      </c>
      <c r="BF27" s="5292"/>
      <c r="BG27" s="5292">
        <f t="shared" si="5"/>
        <v>2820</v>
      </c>
      <c r="BH27" s="5292"/>
      <c r="BI27" s="5293"/>
      <c r="BJ27" s="5294">
        <f t="shared" si="6"/>
        <v>11280</v>
      </c>
      <c r="BK27" s="4423">
        <f t="shared" si="7"/>
        <v>0</v>
      </c>
      <c r="BL27" s="5295"/>
    </row>
    <row r="28" s="5167" customFormat="1" ht="40" customHeight="1" spans="1:64">
      <c r="A28" s="5269">
        <v>45574</v>
      </c>
      <c r="B28" s="5270" t="s">
        <v>77</v>
      </c>
      <c r="C28" s="5271" t="s">
        <v>78</v>
      </c>
      <c r="D28" s="3864">
        <v>4500146851</v>
      </c>
      <c r="E28" s="5272">
        <v>4400907403</v>
      </c>
      <c r="F28" s="3864" t="s">
        <v>163</v>
      </c>
      <c r="G28" s="5273"/>
      <c r="H28" s="5273" t="s">
        <v>80</v>
      </c>
      <c r="I28" s="5273" t="s">
        <v>81</v>
      </c>
      <c r="J28" s="5274">
        <v>11862</v>
      </c>
      <c r="K28" s="5274">
        <v>0</v>
      </c>
      <c r="L28" s="5275">
        <v>6</v>
      </c>
      <c r="M28" s="5274">
        <f t="shared" si="0"/>
        <v>1977</v>
      </c>
      <c r="N28" s="3641">
        <v>45696</v>
      </c>
      <c r="O28" s="3641">
        <v>45692</v>
      </c>
      <c r="P28" s="5276"/>
      <c r="Q28" s="5276" t="s">
        <v>82</v>
      </c>
      <c r="R28" s="5276"/>
      <c r="S28" s="5276"/>
      <c r="T28" s="3647" t="s">
        <v>144</v>
      </c>
      <c r="U28" s="5277" t="s">
        <v>128</v>
      </c>
      <c r="V28" s="5278"/>
      <c r="W28" s="5280" t="s">
        <v>129</v>
      </c>
      <c r="X28" s="4423"/>
      <c r="Y28" s="5280"/>
      <c r="Z28" s="4471"/>
      <c r="AA28" s="4471" t="s">
        <v>130</v>
      </c>
      <c r="AB28" s="5281" t="s">
        <v>131</v>
      </c>
      <c r="AC28" s="5282">
        <v>14.5074</v>
      </c>
      <c r="AD28" s="5283">
        <f>M28*AC28</f>
        <v>28681.1298</v>
      </c>
      <c r="AE28" s="4471" t="s">
        <v>164</v>
      </c>
      <c r="AF28" s="5284"/>
      <c r="AG28" s="5285"/>
      <c r="AH28" s="5285"/>
      <c r="AI28" s="5286"/>
      <c r="AJ28" s="5287">
        <f t="shared" si="11"/>
        <v>11862</v>
      </c>
      <c r="AK28" s="5296"/>
      <c r="AL28" s="5285"/>
      <c r="AM28" s="5286"/>
      <c r="AN28" s="5289">
        <f t="shared" si="12"/>
        <v>11862</v>
      </c>
      <c r="AO28" s="5290"/>
      <c r="AP28" s="5289"/>
      <c r="AQ28" s="5289">
        <f t="shared" si="1"/>
        <v>11862</v>
      </c>
      <c r="AR28" s="5289"/>
      <c r="AS28" s="5289"/>
      <c r="AT28" s="5289"/>
      <c r="AU28" s="5289"/>
      <c r="AV28" s="5289"/>
      <c r="AW28" s="5289"/>
      <c r="AX28" s="5290"/>
      <c r="AY28" s="5289"/>
      <c r="AZ28" s="5289"/>
      <c r="BA28" s="5289"/>
      <c r="BB28" s="5291" t="s">
        <v>89</v>
      </c>
      <c r="BC28" s="5292">
        <f t="shared" si="2"/>
        <v>2965.5</v>
      </c>
      <c r="BD28" s="5292">
        <f t="shared" si="3"/>
        <v>2965.5</v>
      </c>
      <c r="BE28" s="5292">
        <f t="shared" si="4"/>
        <v>2965.5</v>
      </c>
      <c r="BF28" s="5292"/>
      <c r="BG28" s="5292">
        <f t="shared" si="5"/>
        <v>2965.5</v>
      </c>
      <c r="BH28" s="5292"/>
      <c r="BI28" s="5293"/>
      <c r="BJ28" s="5294">
        <f t="shared" si="6"/>
        <v>11862</v>
      </c>
      <c r="BK28" s="4423">
        <f t="shared" si="7"/>
        <v>0</v>
      </c>
      <c r="BL28" s="5295"/>
    </row>
    <row r="29" s="5167" customFormat="1" ht="40" customHeight="1" spans="1:64">
      <c r="A29" s="5269">
        <v>45574</v>
      </c>
      <c r="B29" s="5270" t="s">
        <v>77</v>
      </c>
      <c r="C29" s="5271" t="s">
        <v>78</v>
      </c>
      <c r="D29" s="3864">
        <v>4500146851</v>
      </c>
      <c r="E29" s="5272">
        <v>4400328861</v>
      </c>
      <c r="F29" s="3864" t="s">
        <v>165</v>
      </c>
      <c r="G29" s="5273"/>
      <c r="H29" s="5273" t="s">
        <v>80</v>
      </c>
      <c r="I29" s="5273" t="s">
        <v>81</v>
      </c>
      <c r="J29" s="5274">
        <v>11862</v>
      </c>
      <c r="K29" s="5274">
        <v>0</v>
      </c>
      <c r="L29" s="5275">
        <v>6</v>
      </c>
      <c r="M29" s="5274">
        <f t="shared" si="0"/>
        <v>1977</v>
      </c>
      <c r="N29" s="3641">
        <v>45724</v>
      </c>
      <c r="O29" s="3641">
        <v>45720</v>
      </c>
      <c r="P29" s="5276"/>
      <c r="Q29" s="5276" t="s">
        <v>82</v>
      </c>
      <c r="R29" s="5276"/>
      <c r="S29" s="5276"/>
      <c r="T29" s="3647" t="s">
        <v>166</v>
      </c>
      <c r="U29" s="5277" t="s">
        <v>128</v>
      </c>
      <c r="V29" s="5278"/>
      <c r="W29" s="5280" t="s">
        <v>129</v>
      </c>
      <c r="X29" s="4423"/>
      <c r="Y29" s="5280"/>
      <c r="Z29" s="4471"/>
      <c r="AA29" s="4471" t="s">
        <v>130</v>
      </c>
      <c r="AB29" s="5281" t="s">
        <v>131</v>
      </c>
      <c r="AC29" s="5282">
        <v>0.4654</v>
      </c>
      <c r="AD29" s="5283">
        <f t="shared" ref="AD29:AD80" si="13">AC29*M29</f>
        <v>920.0958</v>
      </c>
      <c r="AE29" s="4471" t="s">
        <v>167</v>
      </c>
      <c r="AF29" s="5284"/>
      <c r="AG29" s="5285"/>
      <c r="AH29" s="5285"/>
      <c r="AI29" s="5286"/>
      <c r="AJ29" s="5287">
        <f t="shared" si="11"/>
        <v>11862</v>
      </c>
      <c r="AK29" s="5288"/>
      <c r="AL29" s="5285"/>
      <c r="AM29" s="5286"/>
      <c r="AN29" s="5289">
        <f t="shared" si="12"/>
        <v>11862</v>
      </c>
      <c r="AO29" s="5290"/>
      <c r="AP29" s="5289"/>
      <c r="AQ29" s="5289">
        <f t="shared" si="1"/>
        <v>11862</v>
      </c>
      <c r="AR29" s="5289"/>
      <c r="AS29" s="5289"/>
      <c r="AT29" s="5289"/>
      <c r="AU29" s="5289"/>
      <c r="AV29" s="5289"/>
      <c r="AW29" s="5289"/>
      <c r="AX29" s="5290"/>
      <c r="AY29" s="5289"/>
      <c r="AZ29" s="5289"/>
      <c r="BA29" s="5289"/>
      <c r="BB29" s="5291" t="s">
        <v>89</v>
      </c>
      <c r="BC29" s="5292">
        <f t="shared" si="2"/>
        <v>2965.5</v>
      </c>
      <c r="BD29" s="5292">
        <f t="shared" si="3"/>
        <v>2965.5</v>
      </c>
      <c r="BE29" s="5292">
        <f t="shared" si="4"/>
        <v>2965.5</v>
      </c>
      <c r="BF29" s="5292"/>
      <c r="BG29" s="5292">
        <f t="shared" si="5"/>
        <v>2965.5</v>
      </c>
      <c r="BH29" s="5292"/>
      <c r="BI29" s="5293"/>
      <c r="BJ29" s="5294">
        <f t="shared" si="6"/>
        <v>11862</v>
      </c>
      <c r="BK29" s="4423">
        <f t="shared" si="7"/>
        <v>0</v>
      </c>
      <c r="BL29" s="5295"/>
    </row>
    <row r="30" s="5167" customFormat="1" ht="40" customHeight="1" spans="1:64">
      <c r="A30" s="5269">
        <v>45574</v>
      </c>
      <c r="B30" s="5270" t="s">
        <v>77</v>
      </c>
      <c r="C30" s="5271" t="s">
        <v>78</v>
      </c>
      <c r="D30" s="3864">
        <v>4500146851</v>
      </c>
      <c r="E30" s="5272">
        <v>4400393638</v>
      </c>
      <c r="F30" s="3864" t="s">
        <v>168</v>
      </c>
      <c r="G30" s="5273"/>
      <c r="H30" s="5273" t="s">
        <v>80</v>
      </c>
      <c r="I30" s="5273" t="s">
        <v>81</v>
      </c>
      <c r="J30" s="5274">
        <v>11862</v>
      </c>
      <c r="K30" s="5274">
        <v>0</v>
      </c>
      <c r="L30" s="5275">
        <v>6</v>
      </c>
      <c r="M30" s="5274">
        <f t="shared" si="0"/>
        <v>1977</v>
      </c>
      <c r="N30" s="3641">
        <v>45736</v>
      </c>
      <c r="O30" s="3641">
        <v>45731</v>
      </c>
      <c r="P30" s="5276"/>
      <c r="Q30" s="5276" t="s">
        <v>82</v>
      </c>
      <c r="R30" s="5276"/>
      <c r="S30" s="5276"/>
      <c r="T30" s="3647" t="s">
        <v>169</v>
      </c>
      <c r="U30" s="5277" t="s">
        <v>128</v>
      </c>
      <c r="V30" s="5278"/>
      <c r="W30" s="5280" t="s">
        <v>129</v>
      </c>
      <c r="X30" s="4423"/>
      <c r="Y30" s="5280"/>
      <c r="Z30" s="4471"/>
      <c r="AA30" s="4471" t="s">
        <v>130</v>
      </c>
      <c r="AB30" s="5281" t="s">
        <v>131</v>
      </c>
      <c r="AC30" s="5282">
        <v>1.6548</v>
      </c>
      <c r="AD30" s="5283">
        <f t="shared" si="13"/>
        <v>3271.5396</v>
      </c>
      <c r="AE30" s="4471" t="s">
        <v>170</v>
      </c>
      <c r="AF30" s="5284"/>
      <c r="AG30" s="5285"/>
      <c r="AH30" s="5285"/>
      <c r="AI30" s="5286"/>
      <c r="AJ30" s="5287">
        <f t="shared" si="11"/>
        <v>11862</v>
      </c>
      <c r="AK30" s="5288"/>
      <c r="AL30" s="5285"/>
      <c r="AM30" s="5286"/>
      <c r="AN30" s="5289">
        <f t="shared" si="12"/>
        <v>11862</v>
      </c>
      <c r="AO30" s="5290"/>
      <c r="AP30" s="5289"/>
      <c r="AQ30" s="5289">
        <f t="shared" si="1"/>
        <v>11862</v>
      </c>
      <c r="AR30" s="5289"/>
      <c r="AS30" s="5289"/>
      <c r="AT30" s="5289"/>
      <c r="AU30" s="5289"/>
      <c r="AV30" s="5289"/>
      <c r="AW30" s="5289"/>
      <c r="AX30" s="5290"/>
      <c r="AY30" s="5289"/>
      <c r="AZ30" s="5289"/>
      <c r="BA30" s="5289"/>
      <c r="BB30" s="5291" t="s">
        <v>89</v>
      </c>
      <c r="BC30" s="5292">
        <f t="shared" si="2"/>
        <v>2965.5</v>
      </c>
      <c r="BD30" s="5292">
        <f t="shared" si="3"/>
        <v>2965.5</v>
      </c>
      <c r="BE30" s="5292">
        <f t="shared" si="4"/>
        <v>2965.5</v>
      </c>
      <c r="BF30" s="5292"/>
      <c r="BG30" s="5292">
        <f t="shared" si="5"/>
        <v>2965.5</v>
      </c>
      <c r="BH30" s="5292"/>
      <c r="BI30" s="5293"/>
      <c r="BJ30" s="5294">
        <f t="shared" si="6"/>
        <v>11862</v>
      </c>
      <c r="BK30" s="4423">
        <f t="shared" si="7"/>
        <v>0</v>
      </c>
      <c r="BL30" s="5295"/>
    </row>
    <row r="31" s="5167" customFormat="1" ht="40" customHeight="1" spans="1:64">
      <c r="A31" s="5269">
        <v>45574</v>
      </c>
      <c r="B31" s="5270" t="s">
        <v>77</v>
      </c>
      <c r="C31" s="5271" t="s">
        <v>78</v>
      </c>
      <c r="D31" s="3864">
        <v>4500146851</v>
      </c>
      <c r="E31" s="5272">
        <v>4400650967</v>
      </c>
      <c r="F31" s="3864" t="s">
        <v>171</v>
      </c>
      <c r="G31" s="5273"/>
      <c r="H31" s="5273" t="s">
        <v>80</v>
      </c>
      <c r="I31" s="5273" t="s">
        <v>81</v>
      </c>
      <c r="J31" s="5274">
        <v>11862</v>
      </c>
      <c r="K31" s="5274">
        <v>0</v>
      </c>
      <c r="L31" s="5275">
        <v>6</v>
      </c>
      <c r="M31" s="5274">
        <f t="shared" si="0"/>
        <v>1977</v>
      </c>
      <c r="N31" s="3641">
        <v>45738</v>
      </c>
      <c r="O31" s="3641">
        <v>45734</v>
      </c>
      <c r="P31" s="5276"/>
      <c r="Q31" s="5276" t="s">
        <v>82</v>
      </c>
      <c r="R31" s="5276"/>
      <c r="S31" s="5276"/>
      <c r="T31" s="3647" t="s">
        <v>172</v>
      </c>
      <c r="U31" s="5277" t="s">
        <v>128</v>
      </c>
      <c r="V31" s="5278"/>
      <c r="W31" s="5280" t="s">
        <v>129</v>
      </c>
      <c r="X31" s="4423"/>
      <c r="Y31" s="5280"/>
      <c r="Z31" s="4471"/>
      <c r="AA31" s="4471" t="s">
        <v>130</v>
      </c>
      <c r="AB31" s="5281" t="s">
        <v>131</v>
      </c>
      <c r="AC31" s="5282">
        <v>1.6548</v>
      </c>
      <c r="AD31" s="5283">
        <f t="shared" si="13"/>
        <v>3271.5396</v>
      </c>
      <c r="AE31" s="4471" t="s">
        <v>173</v>
      </c>
      <c r="AF31" s="5284"/>
      <c r="AG31" s="5285"/>
      <c r="AH31" s="5285"/>
      <c r="AI31" s="5286"/>
      <c r="AJ31" s="5287">
        <f t="shared" si="11"/>
        <v>11862</v>
      </c>
      <c r="AK31" s="5288"/>
      <c r="AL31" s="5285"/>
      <c r="AM31" s="5286"/>
      <c r="AN31" s="5289">
        <f t="shared" si="12"/>
        <v>11862</v>
      </c>
      <c r="AO31" s="5290"/>
      <c r="AP31" s="5289"/>
      <c r="AQ31" s="5289">
        <f t="shared" si="1"/>
        <v>11862</v>
      </c>
      <c r="AR31" s="5289"/>
      <c r="AS31" s="5289"/>
      <c r="AT31" s="5289"/>
      <c r="AU31" s="5289"/>
      <c r="AV31" s="5289"/>
      <c r="AW31" s="5289"/>
      <c r="AX31" s="5290"/>
      <c r="AY31" s="5289"/>
      <c r="AZ31" s="5289"/>
      <c r="BA31" s="5289"/>
      <c r="BB31" s="5291" t="s">
        <v>89</v>
      </c>
      <c r="BC31" s="5292">
        <f t="shared" si="2"/>
        <v>2965.5</v>
      </c>
      <c r="BD31" s="5292">
        <f t="shared" si="3"/>
        <v>2965.5</v>
      </c>
      <c r="BE31" s="5292">
        <f t="shared" si="4"/>
        <v>2965.5</v>
      </c>
      <c r="BF31" s="5292"/>
      <c r="BG31" s="5292">
        <f t="shared" si="5"/>
        <v>2965.5</v>
      </c>
      <c r="BH31" s="5292"/>
      <c r="BI31" s="5293"/>
      <c r="BJ31" s="5294">
        <f t="shared" si="6"/>
        <v>11862</v>
      </c>
      <c r="BK31" s="4423">
        <f t="shared" si="7"/>
        <v>0</v>
      </c>
      <c r="BL31" s="5295"/>
    </row>
    <row r="32" s="5167" customFormat="1" ht="40" customHeight="1" spans="1:64">
      <c r="A32" s="5269">
        <v>45574</v>
      </c>
      <c r="B32" s="5270" t="s">
        <v>77</v>
      </c>
      <c r="C32" s="5271" t="s">
        <v>78</v>
      </c>
      <c r="D32" s="3864">
        <v>4500146851</v>
      </c>
      <c r="E32" s="5272">
        <v>4400393639</v>
      </c>
      <c r="F32" s="3864" t="s">
        <v>174</v>
      </c>
      <c r="G32" s="5273"/>
      <c r="H32" s="5273" t="s">
        <v>80</v>
      </c>
      <c r="I32" s="5273" t="s">
        <v>81</v>
      </c>
      <c r="J32" s="5274">
        <v>11862</v>
      </c>
      <c r="K32" s="5274">
        <v>0</v>
      </c>
      <c r="L32" s="5275">
        <v>6</v>
      </c>
      <c r="M32" s="5274">
        <f t="shared" si="0"/>
        <v>1977</v>
      </c>
      <c r="N32" s="3641">
        <v>45745</v>
      </c>
      <c r="O32" s="3641">
        <v>45741</v>
      </c>
      <c r="P32" s="5276"/>
      <c r="Q32" s="5276" t="s">
        <v>82</v>
      </c>
      <c r="R32" s="5276"/>
      <c r="S32" s="5276"/>
      <c r="T32" s="3647" t="s">
        <v>175</v>
      </c>
      <c r="U32" s="5277" t="s">
        <v>128</v>
      </c>
      <c r="V32" s="5278"/>
      <c r="W32" s="5280" t="s">
        <v>129</v>
      </c>
      <c r="X32" s="4423"/>
      <c r="Y32" s="5280"/>
      <c r="Z32" s="4471"/>
      <c r="AA32" s="4471" t="s">
        <v>130</v>
      </c>
      <c r="AB32" s="5281" t="s">
        <v>131</v>
      </c>
      <c r="AC32" s="5282">
        <v>0.4654</v>
      </c>
      <c r="AD32" s="5283">
        <f t="shared" si="13"/>
        <v>920.0958</v>
      </c>
      <c r="AE32" s="4471" t="s">
        <v>176</v>
      </c>
      <c r="AF32" s="5284"/>
      <c r="AG32" s="5285"/>
      <c r="AH32" s="5285"/>
      <c r="AI32" s="5286"/>
      <c r="AJ32" s="5287">
        <f t="shared" si="11"/>
        <v>11862</v>
      </c>
      <c r="AK32" s="5288"/>
      <c r="AL32" s="5285"/>
      <c r="AM32" s="5286"/>
      <c r="AN32" s="5289">
        <f t="shared" si="12"/>
        <v>11862</v>
      </c>
      <c r="AO32" s="5290"/>
      <c r="AP32" s="5289"/>
      <c r="AQ32" s="5289">
        <f t="shared" si="1"/>
        <v>11862</v>
      </c>
      <c r="AR32" s="5289"/>
      <c r="AS32" s="5289"/>
      <c r="AT32" s="5289"/>
      <c r="AU32" s="5289"/>
      <c r="AV32" s="5289"/>
      <c r="AW32" s="5289"/>
      <c r="AX32" s="5290"/>
      <c r="AY32" s="5289"/>
      <c r="AZ32" s="5289"/>
      <c r="BA32" s="5289"/>
      <c r="BB32" s="5291" t="s">
        <v>89</v>
      </c>
      <c r="BC32" s="5292">
        <f t="shared" si="2"/>
        <v>2965.5</v>
      </c>
      <c r="BD32" s="5292">
        <f t="shared" si="3"/>
        <v>2965.5</v>
      </c>
      <c r="BE32" s="5292">
        <f t="shared" si="4"/>
        <v>2965.5</v>
      </c>
      <c r="BF32" s="5292"/>
      <c r="BG32" s="5292">
        <f t="shared" si="5"/>
        <v>2965.5</v>
      </c>
      <c r="BH32" s="5292"/>
      <c r="BI32" s="5293"/>
      <c r="BJ32" s="5294">
        <f t="shared" si="6"/>
        <v>11862</v>
      </c>
      <c r="BK32" s="4423">
        <f t="shared" si="7"/>
        <v>0</v>
      </c>
      <c r="BL32" s="5295"/>
    </row>
    <row r="33" s="5167" customFormat="1" ht="40" customHeight="1" spans="1:64">
      <c r="A33" s="5269">
        <v>45574</v>
      </c>
      <c r="B33" s="5270" t="s">
        <v>77</v>
      </c>
      <c r="C33" s="5271" t="s">
        <v>78</v>
      </c>
      <c r="D33" s="3864">
        <v>4500146851</v>
      </c>
      <c r="E33" s="5272">
        <v>4400631849</v>
      </c>
      <c r="F33" s="3864" t="s">
        <v>177</v>
      </c>
      <c r="G33" s="5273"/>
      <c r="H33" s="5273" t="s">
        <v>80</v>
      </c>
      <c r="I33" s="5273" t="s">
        <v>81</v>
      </c>
      <c r="J33" s="5274">
        <v>11862</v>
      </c>
      <c r="K33" s="5274">
        <v>0</v>
      </c>
      <c r="L33" s="5275">
        <v>6</v>
      </c>
      <c r="M33" s="5274">
        <f t="shared" si="0"/>
        <v>1977</v>
      </c>
      <c r="N33" s="3641">
        <v>45753</v>
      </c>
      <c r="O33" s="3641">
        <v>45749</v>
      </c>
      <c r="P33" s="5276"/>
      <c r="Q33" s="5276" t="s">
        <v>82</v>
      </c>
      <c r="R33" s="5276"/>
      <c r="S33" s="5276"/>
      <c r="T33" s="3647"/>
      <c r="U33" s="5277" t="s">
        <v>128</v>
      </c>
      <c r="V33" s="5278"/>
      <c r="W33" s="5280" t="s">
        <v>129</v>
      </c>
      <c r="X33" s="4423"/>
      <c r="Y33" s="5280"/>
      <c r="Z33" s="4471"/>
      <c r="AA33" s="4471" t="s">
        <v>130</v>
      </c>
      <c r="AB33" s="5281" t="s">
        <v>131</v>
      </c>
      <c r="AC33" s="5282">
        <v>1.6548</v>
      </c>
      <c r="AD33" s="5283">
        <f t="shared" si="13"/>
        <v>3271.5396</v>
      </c>
      <c r="AE33" s="4471" t="s">
        <v>178</v>
      </c>
      <c r="AF33" s="5284"/>
      <c r="AG33" s="5285"/>
      <c r="AH33" s="5285"/>
      <c r="AI33" s="5286"/>
      <c r="AJ33" s="5287">
        <f t="shared" si="11"/>
        <v>11862</v>
      </c>
      <c r="AK33" s="5296"/>
      <c r="AL33" s="5285"/>
      <c r="AM33" s="5286"/>
      <c r="AN33" s="5289">
        <f t="shared" si="12"/>
        <v>11862</v>
      </c>
      <c r="AO33" s="5290"/>
      <c r="AP33" s="5289"/>
      <c r="AQ33" s="5289">
        <f t="shared" si="1"/>
        <v>11862</v>
      </c>
      <c r="AR33" s="5289"/>
      <c r="AS33" s="5289"/>
      <c r="AT33" s="5289"/>
      <c r="AU33" s="5289"/>
      <c r="AV33" s="5289"/>
      <c r="AW33" s="5289"/>
      <c r="AX33" s="5290"/>
      <c r="AY33" s="5289"/>
      <c r="AZ33" s="5289"/>
      <c r="BA33" s="5289"/>
      <c r="BB33" s="5291" t="s">
        <v>89</v>
      </c>
      <c r="BC33" s="5292">
        <f t="shared" si="2"/>
        <v>2965.5</v>
      </c>
      <c r="BD33" s="5292">
        <f t="shared" si="3"/>
        <v>2965.5</v>
      </c>
      <c r="BE33" s="5292">
        <f t="shared" si="4"/>
        <v>2965.5</v>
      </c>
      <c r="BF33" s="5292"/>
      <c r="BG33" s="5292">
        <f t="shared" si="5"/>
        <v>2965.5</v>
      </c>
      <c r="BH33" s="5292"/>
      <c r="BI33" s="5293"/>
      <c r="BJ33" s="5294">
        <f t="shared" si="6"/>
        <v>11862</v>
      </c>
      <c r="BK33" s="4423">
        <f t="shared" si="7"/>
        <v>0</v>
      </c>
      <c r="BL33" s="5295"/>
    </row>
    <row r="34" s="5167" customFormat="1" ht="40" customHeight="1" spans="1:64">
      <c r="A34" s="5269">
        <v>45574</v>
      </c>
      <c r="B34" s="5270" t="s">
        <v>77</v>
      </c>
      <c r="C34" s="5271" t="s">
        <v>78</v>
      </c>
      <c r="D34" s="3864">
        <v>4500146851</v>
      </c>
      <c r="E34" s="5272">
        <v>4400952458</v>
      </c>
      <c r="F34" s="3864" t="s">
        <v>179</v>
      </c>
      <c r="G34" s="5273"/>
      <c r="H34" s="5273" t="s">
        <v>80</v>
      </c>
      <c r="I34" s="5273" t="s">
        <v>81</v>
      </c>
      <c r="J34" s="5274">
        <v>11862</v>
      </c>
      <c r="K34" s="5274">
        <v>0</v>
      </c>
      <c r="L34" s="5275">
        <v>6</v>
      </c>
      <c r="M34" s="5274">
        <f t="shared" si="0"/>
        <v>1977</v>
      </c>
      <c r="N34" s="3641">
        <v>45758</v>
      </c>
      <c r="O34" s="3641">
        <v>45754</v>
      </c>
      <c r="P34" s="5276"/>
      <c r="Q34" s="5276" t="s">
        <v>82</v>
      </c>
      <c r="R34" s="5276"/>
      <c r="S34" s="5276"/>
      <c r="T34" s="3647" t="s">
        <v>180</v>
      </c>
      <c r="U34" s="5277" t="s">
        <v>128</v>
      </c>
      <c r="V34" s="5278"/>
      <c r="W34" s="5280" t="s">
        <v>129</v>
      </c>
      <c r="X34" s="4423"/>
      <c r="Y34" s="5280"/>
      <c r="Z34" s="4471"/>
      <c r="AA34" s="4471" t="s">
        <v>130</v>
      </c>
      <c r="AB34" s="5281" t="s">
        <v>131</v>
      </c>
      <c r="AC34" s="5282">
        <v>14.6964</v>
      </c>
      <c r="AD34" s="5283">
        <f t="shared" si="13"/>
        <v>29054.7828</v>
      </c>
      <c r="AE34" s="4471" t="s">
        <v>181</v>
      </c>
      <c r="AF34" s="5284"/>
      <c r="AG34" s="5285"/>
      <c r="AH34" s="5285"/>
      <c r="AI34" s="5286"/>
      <c r="AJ34" s="5287">
        <f t="shared" si="11"/>
        <v>11862</v>
      </c>
      <c r="AK34" s="5296"/>
      <c r="AL34" s="5285"/>
      <c r="AM34" s="5286"/>
      <c r="AN34" s="5289">
        <f t="shared" si="12"/>
        <v>11862</v>
      </c>
      <c r="AO34" s="5290"/>
      <c r="AP34" s="5289"/>
      <c r="AQ34" s="5289">
        <f t="shared" si="1"/>
        <v>11862</v>
      </c>
      <c r="AR34" s="5289"/>
      <c r="AS34" s="5289"/>
      <c r="AT34" s="5289"/>
      <c r="AU34" s="5289"/>
      <c r="AV34" s="5289"/>
      <c r="AW34" s="5289"/>
      <c r="AX34" s="5290"/>
      <c r="AY34" s="5289"/>
      <c r="AZ34" s="5289"/>
      <c r="BA34" s="5289"/>
      <c r="BB34" s="5291" t="s">
        <v>89</v>
      </c>
      <c r="BC34" s="5292">
        <f t="shared" si="2"/>
        <v>2965.5</v>
      </c>
      <c r="BD34" s="5292">
        <f t="shared" si="3"/>
        <v>2965.5</v>
      </c>
      <c r="BE34" s="5292">
        <f t="shared" si="4"/>
        <v>2965.5</v>
      </c>
      <c r="BF34" s="5292"/>
      <c r="BG34" s="5292">
        <f t="shared" si="5"/>
        <v>2965.5</v>
      </c>
      <c r="BH34" s="5292"/>
      <c r="BI34" s="5293"/>
      <c r="BJ34" s="5294">
        <f t="shared" si="6"/>
        <v>11862</v>
      </c>
      <c r="BK34" s="4423">
        <f t="shared" si="7"/>
        <v>0</v>
      </c>
      <c r="BL34" s="5295"/>
    </row>
    <row r="35" s="5167" customFormat="1" ht="40" customHeight="1" spans="1:64">
      <c r="A35" s="5269">
        <v>45574</v>
      </c>
      <c r="B35" s="5270" t="s">
        <v>77</v>
      </c>
      <c r="C35" s="5271" t="s">
        <v>78</v>
      </c>
      <c r="D35" s="3864">
        <v>4500146851</v>
      </c>
      <c r="E35" s="5272">
        <v>4400902197</v>
      </c>
      <c r="F35" s="3864" t="s">
        <v>182</v>
      </c>
      <c r="G35" s="5273"/>
      <c r="H35" s="5273" t="s">
        <v>80</v>
      </c>
      <c r="I35" s="5273" t="s">
        <v>81</v>
      </c>
      <c r="J35" s="5274">
        <v>11862</v>
      </c>
      <c r="K35" s="5274">
        <v>0</v>
      </c>
      <c r="L35" s="5275">
        <v>6</v>
      </c>
      <c r="M35" s="5274">
        <f t="shared" si="0"/>
        <v>1977</v>
      </c>
      <c r="N35" s="3641">
        <v>45762</v>
      </c>
      <c r="O35" s="3641">
        <v>45758</v>
      </c>
      <c r="P35" s="5276"/>
      <c r="Q35" s="5276" t="s">
        <v>82</v>
      </c>
      <c r="R35" s="5276"/>
      <c r="S35" s="5276"/>
      <c r="T35" s="3647" t="s">
        <v>183</v>
      </c>
      <c r="U35" s="5277" t="s">
        <v>128</v>
      </c>
      <c r="V35" s="5278"/>
      <c r="W35" s="5280" t="s">
        <v>129</v>
      </c>
      <c r="X35" s="4423"/>
      <c r="Y35" s="5280"/>
      <c r="Z35" s="4471"/>
      <c r="AA35" s="4471" t="s">
        <v>130</v>
      </c>
      <c r="AB35" s="5281" t="s">
        <v>131</v>
      </c>
      <c r="AC35" s="5282">
        <v>1.6548</v>
      </c>
      <c r="AD35" s="5283">
        <f t="shared" si="13"/>
        <v>3271.5396</v>
      </c>
      <c r="AE35" s="4471" t="s">
        <v>181</v>
      </c>
      <c r="AF35" s="5284"/>
      <c r="AG35" s="5285"/>
      <c r="AH35" s="5285"/>
      <c r="AI35" s="5286"/>
      <c r="AJ35" s="5287">
        <f t="shared" si="11"/>
        <v>11862</v>
      </c>
      <c r="AK35" s="5296"/>
      <c r="AL35" s="5285"/>
      <c r="AM35" s="5286"/>
      <c r="AN35" s="5289">
        <f t="shared" si="12"/>
        <v>11862</v>
      </c>
      <c r="AO35" s="5290"/>
      <c r="AP35" s="5289"/>
      <c r="AQ35" s="5289">
        <f t="shared" si="1"/>
        <v>11862</v>
      </c>
      <c r="AR35" s="5289"/>
      <c r="AS35" s="5289"/>
      <c r="AT35" s="5289"/>
      <c r="AU35" s="5289"/>
      <c r="AV35" s="5289"/>
      <c r="AW35" s="5289"/>
      <c r="AX35" s="5290"/>
      <c r="AY35" s="5289"/>
      <c r="AZ35" s="5289"/>
      <c r="BA35" s="5289"/>
      <c r="BB35" s="5291" t="s">
        <v>89</v>
      </c>
      <c r="BC35" s="5292">
        <f t="shared" si="2"/>
        <v>2965.5</v>
      </c>
      <c r="BD35" s="5292">
        <f t="shared" si="3"/>
        <v>2965.5</v>
      </c>
      <c r="BE35" s="5292">
        <f t="shared" si="4"/>
        <v>2965.5</v>
      </c>
      <c r="BF35" s="5292"/>
      <c r="BG35" s="5292">
        <f t="shared" si="5"/>
        <v>2965.5</v>
      </c>
      <c r="BH35" s="5292"/>
      <c r="BI35" s="5293"/>
      <c r="BJ35" s="5294">
        <f t="shared" si="6"/>
        <v>11862</v>
      </c>
      <c r="BK35" s="4423">
        <f t="shared" si="7"/>
        <v>0</v>
      </c>
      <c r="BL35" s="5295"/>
    </row>
    <row r="36" s="5167" customFormat="1" ht="40" customHeight="1" spans="1:64">
      <c r="A36" s="5269">
        <v>45574</v>
      </c>
      <c r="B36" s="5270" t="s">
        <v>77</v>
      </c>
      <c r="C36" s="5271" t="s">
        <v>78</v>
      </c>
      <c r="D36" s="3864">
        <v>4500146851</v>
      </c>
      <c r="E36" s="5272">
        <v>4400907404</v>
      </c>
      <c r="F36" s="3864" t="s">
        <v>184</v>
      </c>
      <c r="G36" s="5273"/>
      <c r="H36" s="5273" t="s">
        <v>80</v>
      </c>
      <c r="I36" s="5273" t="s">
        <v>81</v>
      </c>
      <c r="J36" s="5274">
        <v>11862</v>
      </c>
      <c r="K36" s="5274">
        <v>0</v>
      </c>
      <c r="L36" s="5275">
        <v>6</v>
      </c>
      <c r="M36" s="5274">
        <f t="shared" si="0"/>
        <v>1977</v>
      </c>
      <c r="N36" s="3641">
        <v>45776</v>
      </c>
      <c r="O36" s="3641">
        <v>45772</v>
      </c>
      <c r="P36" s="5276"/>
      <c r="Q36" s="5276" t="s">
        <v>82</v>
      </c>
      <c r="R36" s="5276"/>
      <c r="S36" s="5276"/>
      <c r="T36" s="3647" t="s">
        <v>185</v>
      </c>
      <c r="U36" s="5277" t="s">
        <v>128</v>
      </c>
      <c r="V36" s="5278"/>
      <c r="W36" s="5280" t="s">
        <v>129</v>
      </c>
      <c r="X36" s="4423"/>
      <c r="Y36" s="5280"/>
      <c r="Z36" s="4471"/>
      <c r="AA36" s="4471" t="s">
        <v>130</v>
      </c>
      <c r="AB36" s="5281" t="s">
        <v>131</v>
      </c>
      <c r="AC36" s="5282">
        <v>1.6548</v>
      </c>
      <c r="AD36" s="5283">
        <f t="shared" si="13"/>
        <v>3271.5396</v>
      </c>
      <c r="AE36" s="4471" t="s">
        <v>186</v>
      </c>
      <c r="AF36" s="5284"/>
      <c r="AG36" s="5285"/>
      <c r="AH36" s="5285"/>
      <c r="AI36" s="5286"/>
      <c r="AJ36" s="5287">
        <f t="shared" si="11"/>
        <v>11862</v>
      </c>
      <c r="AK36" s="5296"/>
      <c r="AL36" s="5285"/>
      <c r="AM36" s="5286"/>
      <c r="AN36" s="5289">
        <f t="shared" si="12"/>
        <v>11862</v>
      </c>
      <c r="AO36" s="5290"/>
      <c r="AP36" s="5289"/>
      <c r="AQ36" s="5289">
        <f t="shared" si="1"/>
        <v>11862</v>
      </c>
      <c r="AR36" s="5289"/>
      <c r="AS36" s="5289"/>
      <c r="AT36" s="5289"/>
      <c r="AU36" s="5289"/>
      <c r="AV36" s="5289"/>
      <c r="AW36" s="5289"/>
      <c r="AX36" s="5290"/>
      <c r="AY36" s="5289"/>
      <c r="AZ36" s="5289"/>
      <c r="BA36" s="5289"/>
      <c r="BB36" s="5291" t="s">
        <v>89</v>
      </c>
      <c r="BC36" s="5292">
        <f t="shared" si="2"/>
        <v>2965.5</v>
      </c>
      <c r="BD36" s="5292">
        <f t="shared" si="3"/>
        <v>2965.5</v>
      </c>
      <c r="BE36" s="5292">
        <f t="shared" si="4"/>
        <v>2965.5</v>
      </c>
      <c r="BF36" s="5292"/>
      <c r="BG36" s="5292">
        <f t="shared" si="5"/>
        <v>2965.5</v>
      </c>
      <c r="BH36" s="5292"/>
      <c r="BI36" s="5293"/>
      <c r="BJ36" s="5294">
        <f t="shared" si="6"/>
        <v>11862</v>
      </c>
      <c r="BK36" s="4423">
        <f t="shared" si="7"/>
        <v>0</v>
      </c>
      <c r="BL36" s="5295"/>
    </row>
    <row r="37" s="5167" customFormat="1" ht="40" customHeight="1" spans="1:64">
      <c r="A37" s="5269">
        <v>45574</v>
      </c>
      <c r="B37" s="5270" t="s">
        <v>77</v>
      </c>
      <c r="C37" s="5271" t="s">
        <v>78</v>
      </c>
      <c r="D37" s="3864">
        <v>4500146851</v>
      </c>
      <c r="E37" s="5272">
        <v>4400908273</v>
      </c>
      <c r="F37" s="3864" t="s">
        <v>187</v>
      </c>
      <c r="G37" s="5273"/>
      <c r="H37" s="5273" t="s">
        <v>80</v>
      </c>
      <c r="I37" s="5273" t="s">
        <v>81</v>
      </c>
      <c r="J37" s="5274">
        <v>11862</v>
      </c>
      <c r="K37" s="5274">
        <v>0</v>
      </c>
      <c r="L37" s="5275">
        <v>6</v>
      </c>
      <c r="M37" s="5274">
        <f t="shared" si="0"/>
        <v>1977</v>
      </c>
      <c r="N37" s="3641">
        <v>45782</v>
      </c>
      <c r="O37" s="3641">
        <v>45778</v>
      </c>
      <c r="P37" s="5276"/>
      <c r="Q37" s="5276" t="s">
        <v>82</v>
      </c>
      <c r="R37" s="5276"/>
      <c r="S37" s="5276"/>
      <c r="T37" s="3622" t="s">
        <v>188</v>
      </c>
      <c r="U37" s="5277" t="s">
        <v>128</v>
      </c>
      <c r="V37" s="5278"/>
      <c r="W37" s="5280" t="s">
        <v>129</v>
      </c>
      <c r="X37" s="4423"/>
      <c r="Y37" s="5280"/>
      <c r="Z37" s="4471"/>
      <c r="AA37" s="4471" t="s">
        <v>130</v>
      </c>
      <c r="AB37" s="5281" t="s">
        <v>131</v>
      </c>
      <c r="AC37" s="5282">
        <v>1.6548</v>
      </c>
      <c r="AD37" s="5283">
        <f t="shared" si="13"/>
        <v>3271.5396</v>
      </c>
      <c r="AE37" s="4471" t="s">
        <v>189</v>
      </c>
      <c r="AF37" s="5284"/>
      <c r="AG37" s="5285"/>
      <c r="AH37" s="5285"/>
      <c r="AI37" s="5286"/>
      <c r="AJ37" s="5287">
        <f t="shared" si="11"/>
        <v>11862</v>
      </c>
      <c r="AK37" s="5288"/>
      <c r="AL37" s="5285"/>
      <c r="AM37" s="5286"/>
      <c r="AN37" s="5289">
        <f t="shared" si="12"/>
        <v>11862</v>
      </c>
      <c r="AO37" s="5290"/>
      <c r="AP37" s="5289"/>
      <c r="AQ37" s="5289">
        <f t="shared" si="1"/>
        <v>11862</v>
      </c>
      <c r="AR37" s="5289"/>
      <c r="AS37" s="5289"/>
      <c r="AT37" s="5289"/>
      <c r="AU37" s="5289"/>
      <c r="AV37" s="5289"/>
      <c r="AW37" s="5289"/>
      <c r="AX37" s="5290"/>
      <c r="AY37" s="5289"/>
      <c r="AZ37" s="5289"/>
      <c r="BA37" s="5289"/>
      <c r="BB37" s="5291" t="s">
        <v>89</v>
      </c>
      <c r="BC37" s="5292">
        <f t="shared" si="2"/>
        <v>2965.5</v>
      </c>
      <c r="BD37" s="5292">
        <f t="shared" si="3"/>
        <v>2965.5</v>
      </c>
      <c r="BE37" s="5292">
        <f t="shared" si="4"/>
        <v>2965.5</v>
      </c>
      <c r="BF37" s="5292"/>
      <c r="BG37" s="5292">
        <f t="shared" si="5"/>
        <v>2965.5</v>
      </c>
      <c r="BH37" s="5292"/>
      <c r="BI37" s="5293"/>
      <c r="BJ37" s="5294">
        <f t="shared" si="6"/>
        <v>11862</v>
      </c>
      <c r="BK37" s="4423">
        <f t="shared" si="7"/>
        <v>0</v>
      </c>
      <c r="BL37" s="5295"/>
    </row>
    <row r="38" s="5167" customFormat="1" ht="40" customHeight="1" spans="1:64">
      <c r="A38" s="5269">
        <v>45574</v>
      </c>
      <c r="B38" s="5270" t="s">
        <v>77</v>
      </c>
      <c r="C38" s="5271" t="s">
        <v>78</v>
      </c>
      <c r="D38" s="3864">
        <v>4500146851</v>
      </c>
      <c r="E38" s="5272">
        <v>4400341178</v>
      </c>
      <c r="F38" s="3864" t="s">
        <v>190</v>
      </c>
      <c r="G38" s="5273"/>
      <c r="H38" s="5273" t="s">
        <v>80</v>
      </c>
      <c r="I38" s="5273" t="s">
        <v>81</v>
      </c>
      <c r="J38" s="5274">
        <v>11862</v>
      </c>
      <c r="K38" s="5274">
        <v>0</v>
      </c>
      <c r="L38" s="5275">
        <v>6</v>
      </c>
      <c r="M38" s="5274">
        <f t="shared" si="0"/>
        <v>1977</v>
      </c>
      <c r="N38" s="3641">
        <v>45810</v>
      </c>
      <c r="O38" s="3641">
        <f>N38-4</f>
        <v>45806</v>
      </c>
      <c r="P38" s="5276"/>
      <c r="Q38" s="5276" t="s">
        <v>82</v>
      </c>
      <c r="R38" s="5276"/>
      <c r="S38" s="5276"/>
      <c r="T38" s="3647" t="s">
        <v>191</v>
      </c>
      <c r="U38" s="5277" t="s">
        <v>128</v>
      </c>
      <c r="V38" s="5278"/>
      <c r="W38" s="5280" t="s">
        <v>129</v>
      </c>
      <c r="X38" s="4423"/>
      <c r="Y38" s="5280"/>
      <c r="Z38" s="4471"/>
      <c r="AA38" s="4471" t="s">
        <v>130</v>
      </c>
      <c r="AB38" s="5281" t="s">
        <v>131</v>
      </c>
      <c r="AC38" s="5282">
        <v>14.6964</v>
      </c>
      <c r="AD38" s="5283">
        <f t="shared" si="13"/>
        <v>29054.7828</v>
      </c>
      <c r="AE38" s="4471" t="s">
        <v>192</v>
      </c>
      <c r="AF38" s="4471"/>
      <c r="AG38" s="5285"/>
      <c r="AH38" s="5285"/>
      <c r="AI38" s="5286"/>
      <c r="AJ38" s="5287">
        <f t="shared" si="11"/>
        <v>11862</v>
      </c>
      <c r="AK38" s="5298"/>
      <c r="AL38" s="5285"/>
      <c r="AM38" s="5286"/>
      <c r="AN38" s="5289">
        <f t="shared" si="12"/>
        <v>11862</v>
      </c>
      <c r="AO38" s="5290"/>
      <c r="AP38" s="5289"/>
      <c r="AQ38" s="5289">
        <f t="shared" si="1"/>
        <v>11862</v>
      </c>
      <c r="AR38" s="5289"/>
      <c r="AS38" s="5289"/>
      <c r="AT38" s="5289"/>
      <c r="AU38" s="5289"/>
      <c r="AV38" s="5289"/>
      <c r="AW38" s="5289"/>
      <c r="AX38" s="5290"/>
      <c r="AY38" s="5289"/>
      <c r="AZ38" s="5289"/>
      <c r="BA38" s="5289"/>
      <c r="BB38" s="5291" t="s">
        <v>89</v>
      </c>
      <c r="BC38" s="5292">
        <f t="shared" si="2"/>
        <v>2965.5</v>
      </c>
      <c r="BD38" s="5292">
        <f t="shared" si="3"/>
        <v>2965.5</v>
      </c>
      <c r="BE38" s="5292">
        <f t="shared" si="4"/>
        <v>2965.5</v>
      </c>
      <c r="BF38" s="5292"/>
      <c r="BG38" s="5292">
        <f t="shared" si="5"/>
        <v>2965.5</v>
      </c>
      <c r="BH38" s="5292"/>
      <c r="BI38" s="5293"/>
      <c r="BJ38" s="5294">
        <f t="shared" si="6"/>
        <v>11862</v>
      </c>
      <c r="BK38" s="4423">
        <f t="shared" si="7"/>
        <v>0</v>
      </c>
      <c r="BL38" s="5295"/>
    </row>
    <row r="39" s="5167" customFormat="1" ht="40" customHeight="1" spans="1:64">
      <c r="A39" s="5269">
        <v>45574</v>
      </c>
      <c r="B39" s="5270" t="s">
        <v>77</v>
      </c>
      <c r="C39" s="5271" t="s">
        <v>78</v>
      </c>
      <c r="D39" s="3864">
        <v>4500146851</v>
      </c>
      <c r="E39" s="5272">
        <v>4400982509</v>
      </c>
      <c r="F39" s="3864" t="s">
        <v>193</v>
      </c>
      <c r="G39" s="5273"/>
      <c r="H39" s="5273" t="s">
        <v>80</v>
      </c>
      <c r="I39" s="5273" t="s">
        <v>81</v>
      </c>
      <c r="J39" s="5274">
        <v>11862</v>
      </c>
      <c r="K39" s="5274">
        <v>0</v>
      </c>
      <c r="L39" s="5275">
        <v>6</v>
      </c>
      <c r="M39" s="5274">
        <f t="shared" si="0"/>
        <v>1977</v>
      </c>
      <c r="N39" s="3641">
        <v>45818</v>
      </c>
      <c r="O39" s="3641">
        <v>45814</v>
      </c>
      <c r="P39" s="5276"/>
      <c r="Q39" s="5276" t="s">
        <v>82</v>
      </c>
      <c r="R39" s="5276"/>
      <c r="S39" s="5276"/>
      <c r="T39" s="3647" t="s">
        <v>194</v>
      </c>
      <c r="U39" s="5277" t="s">
        <v>128</v>
      </c>
      <c r="V39" s="5278"/>
      <c r="W39" s="5280" t="s">
        <v>129</v>
      </c>
      <c r="X39" s="4423"/>
      <c r="Y39" s="5280"/>
      <c r="Z39" s="4471"/>
      <c r="AA39" s="4471" t="s">
        <v>130</v>
      </c>
      <c r="AB39" s="5281" t="s">
        <v>131</v>
      </c>
      <c r="AC39" s="5282">
        <v>1.6548</v>
      </c>
      <c r="AD39" s="5283">
        <f t="shared" si="13"/>
        <v>3271.5396</v>
      </c>
      <c r="AE39" s="4471" t="s">
        <v>195</v>
      </c>
      <c r="AF39" s="5284"/>
      <c r="AG39" s="5285"/>
      <c r="AH39" s="5285"/>
      <c r="AI39" s="5286"/>
      <c r="AJ39" s="5287">
        <f t="shared" si="11"/>
        <v>11862</v>
      </c>
      <c r="AK39" s="5298"/>
      <c r="AL39" s="5285"/>
      <c r="AM39" s="5286"/>
      <c r="AN39" s="5289">
        <f t="shared" si="12"/>
        <v>11862</v>
      </c>
      <c r="AO39" s="5290"/>
      <c r="AP39" s="5289"/>
      <c r="AQ39" s="5289">
        <f t="shared" si="1"/>
        <v>11862</v>
      </c>
      <c r="AR39" s="5289"/>
      <c r="AS39" s="5289"/>
      <c r="AT39" s="5289"/>
      <c r="AU39" s="5289"/>
      <c r="AV39" s="5289"/>
      <c r="AW39" s="5289"/>
      <c r="AX39" s="5290"/>
      <c r="AY39" s="5289"/>
      <c r="AZ39" s="5289"/>
      <c r="BA39" s="5289"/>
      <c r="BB39" s="5291" t="s">
        <v>89</v>
      </c>
      <c r="BC39" s="5292">
        <f t="shared" si="2"/>
        <v>2965.5</v>
      </c>
      <c r="BD39" s="5292">
        <f t="shared" si="3"/>
        <v>2965.5</v>
      </c>
      <c r="BE39" s="5292">
        <f t="shared" si="4"/>
        <v>2965.5</v>
      </c>
      <c r="BF39" s="5292"/>
      <c r="BG39" s="5292">
        <f t="shared" si="5"/>
        <v>2965.5</v>
      </c>
      <c r="BH39" s="5292"/>
      <c r="BI39" s="5293"/>
      <c r="BJ39" s="5294">
        <f t="shared" si="6"/>
        <v>11862</v>
      </c>
      <c r="BK39" s="4423">
        <f t="shared" si="7"/>
        <v>0</v>
      </c>
      <c r="BL39" s="5295"/>
    </row>
    <row r="40" s="5167" customFormat="1" ht="40" customHeight="1" spans="1:64">
      <c r="A40" s="5269">
        <v>45574</v>
      </c>
      <c r="B40" s="5270" t="s">
        <v>77</v>
      </c>
      <c r="C40" s="5271" t="s">
        <v>78</v>
      </c>
      <c r="D40" s="3864">
        <v>4500146851</v>
      </c>
      <c r="E40" s="5272">
        <v>4400974042</v>
      </c>
      <c r="F40" s="3864" t="s">
        <v>196</v>
      </c>
      <c r="G40" s="5273"/>
      <c r="H40" s="5273" t="s">
        <v>80</v>
      </c>
      <c r="I40" s="5273" t="s">
        <v>81</v>
      </c>
      <c r="J40" s="5274">
        <v>11862</v>
      </c>
      <c r="K40" s="5274">
        <v>0</v>
      </c>
      <c r="L40" s="5275">
        <v>6</v>
      </c>
      <c r="M40" s="5274">
        <f t="shared" si="0"/>
        <v>1977</v>
      </c>
      <c r="N40" s="3641">
        <v>45824</v>
      </c>
      <c r="O40" s="3641">
        <v>45820</v>
      </c>
      <c r="P40" s="5276"/>
      <c r="Q40" s="5276" t="s">
        <v>82</v>
      </c>
      <c r="R40" s="5276"/>
      <c r="S40" s="5276"/>
      <c r="T40" s="3647" t="s">
        <v>197</v>
      </c>
      <c r="U40" s="5277" t="s">
        <v>128</v>
      </c>
      <c r="V40" s="5278"/>
      <c r="W40" s="5280" t="s">
        <v>129</v>
      </c>
      <c r="X40" s="4423"/>
      <c r="Y40" s="5280"/>
      <c r="Z40" s="4471"/>
      <c r="AA40" s="4471" t="s">
        <v>130</v>
      </c>
      <c r="AB40" s="5281" t="s">
        <v>131</v>
      </c>
      <c r="AC40" s="5282">
        <v>1.6548</v>
      </c>
      <c r="AD40" s="5283">
        <f t="shared" si="13"/>
        <v>3271.5396</v>
      </c>
      <c r="AE40" s="4471" t="s">
        <v>198</v>
      </c>
      <c r="AF40" s="5284"/>
      <c r="AG40" s="5285"/>
      <c r="AH40" s="5285"/>
      <c r="AI40" s="5286"/>
      <c r="AJ40" s="5287">
        <f t="shared" si="11"/>
        <v>11862</v>
      </c>
      <c r="AK40" s="5298"/>
      <c r="AL40" s="5285"/>
      <c r="AM40" s="5286"/>
      <c r="AN40" s="5289">
        <f t="shared" si="12"/>
        <v>11862</v>
      </c>
      <c r="AO40" s="5290"/>
      <c r="AP40" s="5289"/>
      <c r="AQ40" s="5289">
        <f t="shared" si="1"/>
        <v>11862</v>
      </c>
      <c r="AR40" s="5289"/>
      <c r="AS40" s="5289"/>
      <c r="AT40" s="5289"/>
      <c r="AU40" s="5289"/>
      <c r="AV40" s="5289"/>
      <c r="AW40" s="5289"/>
      <c r="AX40" s="5290"/>
      <c r="AY40" s="5289"/>
      <c r="AZ40" s="5289"/>
      <c r="BA40" s="5289"/>
      <c r="BB40" s="5291" t="s">
        <v>89</v>
      </c>
      <c r="BC40" s="5292">
        <f t="shared" si="2"/>
        <v>2965.5</v>
      </c>
      <c r="BD40" s="5292">
        <f t="shared" si="3"/>
        <v>2965.5</v>
      </c>
      <c r="BE40" s="5292">
        <f t="shared" si="4"/>
        <v>2965.5</v>
      </c>
      <c r="BF40" s="5292"/>
      <c r="BG40" s="5292">
        <f t="shared" si="5"/>
        <v>2965.5</v>
      </c>
      <c r="BH40" s="5292"/>
      <c r="BI40" s="5293"/>
      <c r="BJ40" s="5294">
        <f t="shared" si="6"/>
        <v>11862</v>
      </c>
      <c r="BK40" s="4423">
        <f t="shared" si="7"/>
        <v>0</v>
      </c>
      <c r="BL40" s="5295"/>
    </row>
    <row r="41" s="5167" customFormat="1" ht="40" customHeight="1" spans="1:64">
      <c r="A41" s="5269">
        <v>45574</v>
      </c>
      <c r="B41" s="5270" t="s">
        <v>77</v>
      </c>
      <c r="C41" s="5271" t="s">
        <v>78</v>
      </c>
      <c r="D41" s="3864">
        <v>4500146851</v>
      </c>
      <c r="E41" s="5272">
        <v>4400983003</v>
      </c>
      <c r="F41" s="3864" t="s">
        <v>199</v>
      </c>
      <c r="G41" s="5273"/>
      <c r="H41" s="5273" t="s">
        <v>80</v>
      </c>
      <c r="I41" s="5273" t="s">
        <v>81</v>
      </c>
      <c r="J41" s="5274">
        <v>11862</v>
      </c>
      <c r="K41" s="5274">
        <v>0</v>
      </c>
      <c r="L41" s="5275">
        <v>6</v>
      </c>
      <c r="M41" s="5274">
        <f t="shared" si="0"/>
        <v>1977</v>
      </c>
      <c r="N41" s="3641">
        <v>45832</v>
      </c>
      <c r="O41" s="3641">
        <v>45828</v>
      </c>
      <c r="P41" s="5276"/>
      <c r="Q41" s="5276" t="s">
        <v>82</v>
      </c>
      <c r="R41" s="5276"/>
      <c r="S41" s="5276"/>
      <c r="T41" s="3647" t="s">
        <v>200</v>
      </c>
      <c r="U41" s="5277" t="s">
        <v>128</v>
      </c>
      <c r="V41" s="5278"/>
      <c r="W41" s="5280" t="s">
        <v>129</v>
      </c>
      <c r="X41" s="4423"/>
      <c r="Y41" s="5280"/>
      <c r="Z41" s="4471"/>
      <c r="AA41" s="4471" t="s">
        <v>130</v>
      </c>
      <c r="AB41" s="5281" t="s">
        <v>131</v>
      </c>
      <c r="AC41" s="5282">
        <v>14.6964</v>
      </c>
      <c r="AD41" s="5283">
        <f t="shared" si="13"/>
        <v>29054.7828</v>
      </c>
      <c r="AE41" s="4471" t="s">
        <v>201</v>
      </c>
      <c r="AF41" s="5284"/>
      <c r="AG41" s="5285"/>
      <c r="AH41" s="5285"/>
      <c r="AI41" s="5286"/>
      <c r="AJ41" s="5287">
        <f t="shared" si="11"/>
        <v>11862</v>
      </c>
      <c r="AK41" s="5298"/>
      <c r="AL41" s="5285"/>
      <c r="AM41" s="5286"/>
      <c r="AN41" s="5289">
        <f t="shared" si="12"/>
        <v>11862</v>
      </c>
      <c r="AO41" s="5290"/>
      <c r="AP41" s="5289"/>
      <c r="AQ41" s="5289">
        <f t="shared" si="1"/>
        <v>11862</v>
      </c>
      <c r="AR41" s="5289"/>
      <c r="AS41" s="5289"/>
      <c r="AT41" s="5289"/>
      <c r="AU41" s="5289"/>
      <c r="AV41" s="5289"/>
      <c r="AW41" s="5289"/>
      <c r="AX41" s="5290"/>
      <c r="AY41" s="5289"/>
      <c r="AZ41" s="5289"/>
      <c r="BA41" s="5289"/>
      <c r="BB41" s="5291" t="s">
        <v>89</v>
      </c>
      <c r="BC41" s="5292">
        <f t="shared" si="2"/>
        <v>2965.5</v>
      </c>
      <c r="BD41" s="5292">
        <f t="shared" si="3"/>
        <v>2965.5</v>
      </c>
      <c r="BE41" s="5292">
        <f t="shared" si="4"/>
        <v>2965.5</v>
      </c>
      <c r="BF41" s="5292"/>
      <c r="BG41" s="5292">
        <f t="shared" si="5"/>
        <v>2965.5</v>
      </c>
      <c r="BH41" s="5292"/>
      <c r="BI41" s="5293"/>
      <c r="BJ41" s="5294">
        <f t="shared" si="6"/>
        <v>11862</v>
      </c>
      <c r="BK41" s="4423">
        <f t="shared" si="7"/>
        <v>0</v>
      </c>
      <c r="BL41" s="5295"/>
    </row>
    <row r="42" s="5167" customFormat="1" ht="40" customHeight="1" spans="1:64">
      <c r="A42" s="5269">
        <v>45574</v>
      </c>
      <c r="B42" s="5270" t="s">
        <v>77</v>
      </c>
      <c r="C42" s="5271" t="s">
        <v>78</v>
      </c>
      <c r="D42" s="3864">
        <v>4500146851</v>
      </c>
      <c r="E42" s="5272">
        <v>4400898661</v>
      </c>
      <c r="F42" s="3864" t="s">
        <v>202</v>
      </c>
      <c r="G42" s="5273"/>
      <c r="H42" s="5273" t="s">
        <v>80</v>
      </c>
      <c r="I42" s="5273" t="s">
        <v>81</v>
      </c>
      <c r="J42" s="5274">
        <v>11862</v>
      </c>
      <c r="K42" s="5274">
        <v>0</v>
      </c>
      <c r="L42" s="5275">
        <v>6</v>
      </c>
      <c r="M42" s="5274">
        <f t="shared" si="0"/>
        <v>1977</v>
      </c>
      <c r="N42" s="3641">
        <v>45839</v>
      </c>
      <c r="O42" s="3641">
        <f>N42-4</f>
        <v>45835</v>
      </c>
      <c r="P42" s="5276"/>
      <c r="Q42" s="5276" t="s">
        <v>82</v>
      </c>
      <c r="R42" s="5276"/>
      <c r="S42" s="5276"/>
      <c r="T42" s="3647" t="s">
        <v>203</v>
      </c>
      <c r="U42" s="5277" t="s">
        <v>128</v>
      </c>
      <c r="V42" s="5278"/>
      <c r="W42" s="5280" t="s">
        <v>129</v>
      </c>
      <c r="X42" s="4423"/>
      <c r="Y42" s="5280"/>
      <c r="Z42" s="4471"/>
      <c r="AA42" s="4471" t="s">
        <v>130</v>
      </c>
      <c r="AB42" s="5281" t="s">
        <v>131</v>
      </c>
      <c r="AC42" s="5282">
        <v>14.6964</v>
      </c>
      <c r="AD42" s="5283">
        <f t="shared" si="13"/>
        <v>29054.7828</v>
      </c>
      <c r="AE42" s="4471" t="s">
        <v>204</v>
      </c>
      <c r="AF42" s="5284"/>
      <c r="AG42" s="5285"/>
      <c r="AH42" s="5285"/>
      <c r="AI42" s="5286"/>
      <c r="AJ42" s="5287">
        <f t="shared" si="11"/>
        <v>11862</v>
      </c>
      <c r="AK42" s="5288"/>
      <c r="AL42" s="5285"/>
      <c r="AM42" s="5286"/>
      <c r="AN42" s="5289">
        <f t="shared" si="12"/>
        <v>11862</v>
      </c>
      <c r="AO42" s="5290"/>
      <c r="AP42" s="5289"/>
      <c r="AQ42" s="5289">
        <f t="shared" si="1"/>
        <v>11862</v>
      </c>
      <c r="AR42" s="5289"/>
      <c r="AS42" s="5289"/>
      <c r="AT42" s="5289"/>
      <c r="AU42" s="5289"/>
      <c r="AV42" s="5289"/>
      <c r="AW42" s="5289"/>
      <c r="AX42" s="5290"/>
      <c r="AY42" s="5289"/>
      <c r="AZ42" s="5289"/>
      <c r="BA42" s="5289"/>
      <c r="BB42" s="5291" t="s">
        <v>89</v>
      </c>
      <c r="BC42" s="5292">
        <f t="shared" si="2"/>
        <v>2965.5</v>
      </c>
      <c r="BD42" s="5292">
        <f t="shared" si="3"/>
        <v>2965.5</v>
      </c>
      <c r="BE42" s="5292">
        <f t="shared" si="4"/>
        <v>2965.5</v>
      </c>
      <c r="BF42" s="5292"/>
      <c r="BG42" s="5292">
        <f t="shared" si="5"/>
        <v>2965.5</v>
      </c>
      <c r="BH42" s="5292"/>
      <c r="BI42" s="5293"/>
      <c r="BJ42" s="5294">
        <f t="shared" si="6"/>
        <v>11862</v>
      </c>
      <c r="BK42" s="4423">
        <f t="shared" si="7"/>
        <v>0</v>
      </c>
      <c r="BL42" s="5295"/>
    </row>
    <row r="43" s="5167" customFormat="1" ht="40" customHeight="1" spans="1:64">
      <c r="A43" s="5269">
        <v>45574</v>
      </c>
      <c r="B43" s="5270" t="s">
        <v>77</v>
      </c>
      <c r="C43" s="5271" t="s">
        <v>78</v>
      </c>
      <c r="D43" s="3864">
        <v>4500146851</v>
      </c>
      <c r="E43" s="5272">
        <v>4400650966</v>
      </c>
      <c r="F43" s="3864" t="s">
        <v>205</v>
      </c>
      <c r="G43" s="5273"/>
      <c r="H43" s="5273" t="s">
        <v>80</v>
      </c>
      <c r="I43" s="5273" t="s">
        <v>81</v>
      </c>
      <c r="J43" s="5274">
        <v>11862</v>
      </c>
      <c r="K43" s="5274">
        <v>0</v>
      </c>
      <c r="L43" s="5275">
        <v>6</v>
      </c>
      <c r="M43" s="5274">
        <f t="shared" si="0"/>
        <v>1977</v>
      </c>
      <c r="N43" s="3641">
        <v>45845</v>
      </c>
      <c r="O43" s="3641">
        <v>45841</v>
      </c>
      <c r="P43" s="5276"/>
      <c r="Q43" s="5276" t="s">
        <v>82</v>
      </c>
      <c r="R43" s="5276"/>
      <c r="S43" s="5276"/>
      <c r="T43" s="3647" t="s">
        <v>206</v>
      </c>
      <c r="U43" s="5277" t="s">
        <v>128</v>
      </c>
      <c r="V43" s="5278"/>
      <c r="W43" s="5280" t="s">
        <v>129</v>
      </c>
      <c r="X43" s="4423"/>
      <c r="Y43" s="5280"/>
      <c r="Z43" s="4471"/>
      <c r="AA43" s="4471" t="s">
        <v>130</v>
      </c>
      <c r="AB43" s="5281" t="s">
        <v>131</v>
      </c>
      <c r="AC43" s="5282">
        <v>1.6548</v>
      </c>
      <c r="AD43" s="5283">
        <f t="shared" si="13"/>
        <v>3271.5396</v>
      </c>
      <c r="AE43" s="4471" t="s">
        <v>204</v>
      </c>
      <c r="AF43" s="5284"/>
      <c r="AG43" s="5285"/>
      <c r="AH43" s="5285"/>
      <c r="AI43" s="5286"/>
      <c r="AJ43" s="5287">
        <f t="shared" si="11"/>
        <v>11862</v>
      </c>
      <c r="AK43" s="5288"/>
      <c r="AL43" s="5285"/>
      <c r="AM43" s="5286"/>
      <c r="AN43" s="5289">
        <f t="shared" si="12"/>
        <v>11862</v>
      </c>
      <c r="AO43" s="5290"/>
      <c r="AP43" s="5289"/>
      <c r="AQ43" s="5289">
        <f t="shared" si="1"/>
        <v>11862</v>
      </c>
      <c r="AR43" s="5289"/>
      <c r="AS43" s="5289"/>
      <c r="AT43" s="5289"/>
      <c r="AU43" s="5289"/>
      <c r="AV43" s="5289"/>
      <c r="AW43" s="5289"/>
      <c r="AX43" s="5290"/>
      <c r="AY43" s="5289"/>
      <c r="AZ43" s="5289"/>
      <c r="BA43" s="5289"/>
      <c r="BB43" s="5291" t="s">
        <v>89</v>
      </c>
      <c r="BC43" s="5292">
        <f t="shared" si="2"/>
        <v>2965.5</v>
      </c>
      <c r="BD43" s="5292">
        <f t="shared" si="3"/>
        <v>2965.5</v>
      </c>
      <c r="BE43" s="5292">
        <f t="shared" si="4"/>
        <v>2965.5</v>
      </c>
      <c r="BF43" s="5292"/>
      <c r="BG43" s="5292">
        <f t="shared" si="5"/>
        <v>2965.5</v>
      </c>
      <c r="BH43" s="5292"/>
      <c r="BI43" s="5293"/>
      <c r="BJ43" s="5294">
        <f t="shared" si="6"/>
        <v>11862</v>
      </c>
      <c r="BK43" s="4423">
        <f t="shared" si="7"/>
        <v>0</v>
      </c>
      <c r="BL43" s="5295"/>
    </row>
    <row r="44" s="5167" customFormat="1" ht="40" customHeight="1" spans="1:64">
      <c r="A44" s="5269">
        <v>45574</v>
      </c>
      <c r="B44" s="5270" t="s">
        <v>77</v>
      </c>
      <c r="C44" s="5271" t="s">
        <v>78</v>
      </c>
      <c r="D44" s="3864">
        <v>4500146851</v>
      </c>
      <c r="E44" s="5272">
        <v>4400895116</v>
      </c>
      <c r="F44" s="3864" t="s">
        <v>207</v>
      </c>
      <c r="G44" s="5273"/>
      <c r="H44" s="5273" t="s">
        <v>80</v>
      </c>
      <c r="I44" s="5273" t="s">
        <v>81</v>
      </c>
      <c r="J44" s="5274">
        <v>11862</v>
      </c>
      <c r="K44" s="5274">
        <v>0</v>
      </c>
      <c r="L44" s="5275">
        <v>6</v>
      </c>
      <c r="M44" s="5274">
        <f t="shared" si="0"/>
        <v>1977</v>
      </c>
      <c r="N44" s="3641">
        <v>45860</v>
      </c>
      <c r="O44" s="3641">
        <v>45856</v>
      </c>
      <c r="P44" s="5276"/>
      <c r="Q44" s="5276" t="s">
        <v>82</v>
      </c>
      <c r="R44" s="5276"/>
      <c r="S44" s="5276"/>
      <c r="T44" s="3647" t="s">
        <v>208</v>
      </c>
      <c r="U44" s="5277" t="s">
        <v>128</v>
      </c>
      <c r="V44" s="5278"/>
      <c r="W44" s="5280" t="s">
        <v>129</v>
      </c>
      <c r="X44" s="4423"/>
      <c r="Y44" s="5280"/>
      <c r="Z44" s="4471"/>
      <c r="AA44" s="4471" t="s">
        <v>130</v>
      </c>
      <c r="AB44" s="5281" t="s">
        <v>131</v>
      </c>
      <c r="AC44" s="5282">
        <v>14.6964</v>
      </c>
      <c r="AD44" s="5283">
        <f t="shared" si="13"/>
        <v>29054.7828</v>
      </c>
      <c r="AE44" s="4471" t="s">
        <v>209</v>
      </c>
      <c r="AF44" s="5284"/>
      <c r="AG44" s="5285"/>
      <c r="AH44" s="5285"/>
      <c r="AI44" s="5286"/>
      <c r="AJ44" s="5287">
        <f t="shared" si="11"/>
        <v>11862</v>
      </c>
      <c r="AK44" s="5298"/>
      <c r="AL44" s="5285"/>
      <c r="AM44" s="5286"/>
      <c r="AN44" s="5289">
        <f t="shared" si="12"/>
        <v>11862</v>
      </c>
      <c r="AO44" s="5290"/>
      <c r="AP44" s="5289"/>
      <c r="AQ44" s="5289">
        <f t="shared" si="1"/>
        <v>11862</v>
      </c>
      <c r="AR44" s="5289"/>
      <c r="AS44" s="5289"/>
      <c r="AT44" s="5289"/>
      <c r="AU44" s="5289"/>
      <c r="AV44" s="5289"/>
      <c r="AW44" s="5289"/>
      <c r="AX44" s="5290"/>
      <c r="AY44" s="5289"/>
      <c r="AZ44" s="5289"/>
      <c r="BA44" s="5289"/>
      <c r="BB44" s="5291" t="s">
        <v>89</v>
      </c>
      <c r="BC44" s="5292">
        <f t="shared" si="2"/>
        <v>2965.5</v>
      </c>
      <c r="BD44" s="5292">
        <f t="shared" si="3"/>
        <v>2965.5</v>
      </c>
      <c r="BE44" s="5292">
        <f t="shared" si="4"/>
        <v>2965.5</v>
      </c>
      <c r="BF44" s="5292"/>
      <c r="BG44" s="5292">
        <f t="shared" si="5"/>
        <v>2965.5</v>
      </c>
      <c r="BH44" s="5292"/>
      <c r="BI44" s="5293"/>
      <c r="BJ44" s="5294">
        <f t="shared" si="6"/>
        <v>11862</v>
      </c>
      <c r="BK44" s="4423">
        <f t="shared" si="7"/>
        <v>0</v>
      </c>
      <c r="BL44" s="5295"/>
    </row>
    <row r="45" s="5167" customFormat="1" ht="40" customHeight="1" spans="1:64">
      <c r="A45" s="5269">
        <v>45574</v>
      </c>
      <c r="B45" s="5270" t="s">
        <v>77</v>
      </c>
      <c r="C45" s="5271" t="s">
        <v>78</v>
      </c>
      <c r="D45" s="3864">
        <v>4500146851</v>
      </c>
      <c r="E45" s="5272">
        <v>4400654434</v>
      </c>
      <c r="F45" s="3864" t="s">
        <v>210</v>
      </c>
      <c r="G45" s="5273"/>
      <c r="H45" s="5273" t="s">
        <v>80</v>
      </c>
      <c r="I45" s="5273" t="s">
        <v>81</v>
      </c>
      <c r="J45" s="5274">
        <v>11862</v>
      </c>
      <c r="K45" s="5274">
        <v>0</v>
      </c>
      <c r="L45" s="5275">
        <v>6</v>
      </c>
      <c r="M45" s="5274">
        <f t="shared" si="0"/>
        <v>1977</v>
      </c>
      <c r="N45" s="3641">
        <v>45863</v>
      </c>
      <c r="O45" s="3641">
        <v>45859</v>
      </c>
      <c r="P45" s="5276"/>
      <c r="Q45" s="5276" t="s">
        <v>82</v>
      </c>
      <c r="R45" s="5276"/>
      <c r="S45" s="5276"/>
      <c r="T45" s="3647" t="s">
        <v>211</v>
      </c>
      <c r="U45" s="5277" t="s">
        <v>128</v>
      </c>
      <c r="V45" s="5278"/>
      <c r="W45" s="5280" t="s">
        <v>129</v>
      </c>
      <c r="X45" s="4423"/>
      <c r="Y45" s="5280"/>
      <c r="Z45" s="4471"/>
      <c r="AA45" s="4471" t="s">
        <v>130</v>
      </c>
      <c r="AB45" s="5281" t="s">
        <v>131</v>
      </c>
      <c r="AC45" s="5282">
        <v>14.6964</v>
      </c>
      <c r="AD45" s="5283">
        <f t="shared" si="13"/>
        <v>29054.7828</v>
      </c>
      <c r="AE45" s="4471"/>
      <c r="AF45" s="5284"/>
      <c r="AG45" s="5285"/>
      <c r="AH45" s="5285"/>
      <c r="AI45" s="5286"/>
      <c r="AJ45" s="5287">
        <f t="shared" si="11"/>
        <v>11862</v>
      </c>
      <c r="AK45" s="5298"/>
      <c r="AL45" s="5285"/>
      <c r="AM45" s="5286"/>
      <c r="AN45" s="5289">
        <f t="shared" si="12"/>
        <v>11862</v>
      </c>
      <c r="AO45" s="5290"/>
      <c r="AP45" s="5289"/>
      <c r="AQ45" s="5289">
        <f t="shared" si="1"/>
        <v>11862</v>
      </c>
      <c r="AR45" s="5289"/>
      <c r="AS45" s="5289"/>
      <c r="AT45" s="5289"/>
      <c r="AU45" s="5289"/>
      <c r="AV45" s="5289"/>
      <c r="AW45" s="5289"/>
      <c r="AX45" s="5290"/>
      <c r="AY45" s="5289"/>
      <c r="AZ45" s="5289"/>
      <c r="BA45" s="5289"/>
      <c r="BB45" s="5291" t="s">
        <v>89</v>
      </c>
      <c r="BC45" s="5292">
        <f t="shared" si="2"/>
        <v>2965.5</v>
      </c>
      <c r="BD45" s="5292">
        <f t="shared" si="3"/>
        <v>2965.5</v>
      </c>
      <c r="BE45" s="5292">
        <f t="shared" si="4"/>
        <v>2965.5</v>
      </c>
      <c r="BF45" s="5292"/>
      <c r="BG45" s="5292">
        <f t="shared" si="5"/>
        <v>2965.5</v>
      </c>
      <c r="BH45" s="5292"/>
      <c r="BI45" s="5293"/>
      <c r="BJ45" s="5294">
        <f t="shared" si="6"/>
        <v>11862</v>
      </c>
      <c r="BK45" s="4423">
        <f t="shared" si="7"/>
        <v>0</v>
      </c>
      <c r="BL45" s="5295"/>
    </row>
    <row r="46" s="5167" customFormat="1" ht="40" customHeight="1" spans="1:64">
      <c r="A46" s="5269">
        <v>45574</v>
      </c>
      <c r="B46" s="5270" t="s">
        <v>77</v>
      </c>
      <c r="C46" s="5271" t="s">
        <v>78</v>
      </c>
      <c r="D46" s="3864">
        <v>4500146851</v>
      </c>
      <c r="E46" s="5272">
        <v>4400381064</v>
      </c>
      <c r="F46" s="3864" t="s">
        <v>212</v>
      </c>
      <c r="G46" s="5273"/>
      <c r="H46" s="5273" t="s">
        <v>80</v>
      </c>
      <c r="I46" s="5273" t="s">
        <v>81</v>
      </c>
      <c r="J46" s="5274">
        <v>11862</v>
      </c>
      <c r="K46" s="5274">
        <v>0</v>
      </c>
      <c r="L46" s="5275">
        <v>6</v>
      </c>
      <c r="M46" s="5274">
        <f t="shared" si="0"/>
        <v>1977</v>
      </c>
      <c r="N46" s="3641">
        <v>45866</v>
      </c>
      <c r="O46" s="3641">
        <v>45862</v>
      </c>
      <c r="P46" s="5276"/>
      <c r="Q46" s="5276" t="s">
        <v>82</v>
      </c>
      <c r="R46" s="5276"/>
      <c r="S46" s="5276"/>
      <c r="T46" s="3647" t="s">
        <v>213</v>
      </c>
      <c r="U46" s="5277" t="s">
        <v>128</v>
      </c>
      <c r="V46" s="5278"/>
      <c r="W46" s="5280" t="s">
        <v>129</v>
      </c>
      <c r="X46" s="4423"/>
      <c r="Y46" s="5280"/>
      <c r="Z46" s="4471"/>
      <c r="AA46" s="4471" t="s">
        <v>130</v>
      </c>
      <c r="AB46" s="5281" t="s">
        <v>131</v>
      </c>
      <c r="AC46" s="5282">
        <v>14.6964</v>
      </c>
      <c r="AD46" s="5283">
        <f t="shared" si="13"/>
        <v>29054.7828</v>
      </c>
      <c r="AE46" s="4471"/>
      <c r="AF46" s="5284"/>
      <c r="AG46" s="5285"/>
      <c r="AH46" s="5285"/>
      <c r="AI46" s="5286"/>
      <c r="AJ46" s="5287">
        <f t="shared" si="11"/>
        <v>11862</v>
      </c>
      <c r="AK46" s="5299"/>
      <c r="AL46" s="5285"/>
      <c r="AM46" s="5286"/>
      <c r="AN46" s="5289">
        <f t="shared" si="12"/>
        <v>11862</v>
      </c>
      <c r="AO46" s="5290"/>
      <c r="AP46" s="5289"/>
      <c r="AQ46" s="5289">
        <f t="shared" si="1"/>
        <v>11862</v>
      </c>
      <c r="AR46" s="5289"/>
      <c r="AS46" s="5289"/>
      <c r="AT46" s="5289"/>
      <c r="AU46" s="5289"/>
      <c r="AV46" s="5289"/>
      <c r="AW46" s="5289"/>
      <c r="AX46" s="5290"/>
      <c r="AY46" s="5289"/>
      <c r="AZ46" s="5289"/>
      <c r="BA46" s="5289"/>
      <c r="BB46" s="5291" t="s">
        <v>89</v>
      </c>
      <c r="BC46" s="5292">
        <f t="shared" si="2"/>
        <v>2965.5</v>
      </c>
      <c r="BD46" s="5292">
        <f t="shared" si="3"/>
        <v>2965.5</v>
      </c>
      <c r="BE46" s="5292">
        <f t="shared" si="4"/>
        <v>2965.5</v>
      </c>
      <c r="BF46" s="5292"/>
      <c r="BG46" s="5292">
        <f t="shared" si="5"/>
        <v>2965.5</v>
      </c>
      <c r="BH46" s="5292"/>
      <c r="BI46" s="5293"/>
      <c r="BJ46" s="5294">
        <f t="shared" si="6"/>
        <v>11862</v>
      </c>
      <c r="BK46" s="4423">
        <f t="shared" si="7"/>
        <v>0</v>
      </c>
      <c r="BL46" s="5295"/>
    </row>
    <row r="47" s="5167" customFormat="1" ht="40" customHeight="1" spans="1:64">
      <c r="A47" s="5269">
        <v>45574</v>
      </c>
      <c r="B47" s="5270" t="s">
        <v>77</v>
      </c>
      <c r="C47" s="5271" t="s">
        <v>78</v>
      </c>
      <c r="D47" s="3864">
        <v>4500146851</v>
      </c>
      <c r="E47" s="5272">
        <v>4400379722</v>
      </c>
      <c r="F47" s="3864" t="s">
        <v>214</v>
      </c>
      <c r="G47" s="5273"/>
      <c r="H47" s="5273" t="s">
        <v>80</v>
      </c>
      <c r="I47" s="5273" t="s">
        <v>81</v>
      </c>
      <c r="J47" s="5274">
        <v>11862</v>
      </c>
      <c r="K47" s="5274">
        <v>0</v>
      </c>
      <c r="L47" s="5275">
        <v>6</v>
      </c>
      <c r="M47" s="5274">
        <f t="shared" si="0"/>
        <v>1977</v>
      </c>
      <c r="N47" s="3641">
        <v>45859</v>
      </c>
      <c r="O47" s="3641">
        <f>N47-4</f>
        <v>45855</v>
      </c>
      <c r="P47" s="5276"/>
      <c r="Q47" s="5276" t="s">
        <v>82</v>
      </c>
      <c r="R47" s="5276"/>
      <c r="S47" s="5276"/>
      <c r="T47" s="3647" t="s">
        <v>213</v>
      </c>
      <c r="U47" s="5277" t="s">
        <v>128</v>
      </c>
      <c r="V47" s="5278"/>
      <c r="W47" s="5280" t="s">
        <v>129</v>
      </c>
      <c r="X47" s="4423"/>
      <c r="Y47" s="5280"/>
      <c r="Z47" s="4471"/>
      <c r="AA47" s="4471" t="s">
        <v>130</v>
      </c>
      <c r="AB47" s="5281" t="s">
        <v>131</v>
      </c>
      <c r="AC47" s="5282">
        <v>14.6964</v>
      </c>
      <c r="AD47" s="5283">
        <f t="shared" si="13"/>
        <v>29054.7828</v>
      </c>
      <c r="AE47" s="4471"/>
      <c r="AF47" s="5284"/>
      <c r="AG47" s="5285"/>
      <c r="AH47" s="5285"/>
      <c r="AI47" s="5286"/>
      <c r="AJ47" s="5287">
        <f t="shared" si="11"/>
        <v>11862</v>
      </c>
      <c r="AK47" s="5298"/>
      <c r="AL47" s="5285"/>
      <c r="AM47" s="5286"/>
      <c r="AN47" s="5289">
        <f t="shared" si="12"/>
        <v>11862</v>
      </c>
      <c r="AO47" s="5290"/>
      <c r="AP47" s="5289"/>
      <c r="AQ47" s="5289">
        <f t="shared" si="1"/>
        <v>11862</v>
      </c>
      <c r="AR47" s="5289"/>
      <c r="AS47" s="5289"/>
      <c r="AT47" s="5289"/>
      <c r="AU47" s="5289"/>
      <c r="AV47" s="5289"/>
      <c r="AW47" s="5289"/>
      <c r="AX47" s="5290"/>
      <c r="AY47" s="5289"/>
      <c r="AZ47" s="5289"/>
      <c r="BA47" s="5289"/>
      <c r="BB47" s="5291" t="s">
        <v>89</v>
      </c>
      <c r="BC47" s="5292">
        <f t="shared" si="2"/>
        <v>2965.5</v>
      </c>
      <c r="BD47" s="5292">
        <f t="shared" si="3"/>
        <v>2965.5</v>
      </c>
      <c r="BE47" s="5292">
        <f t="shared" si="4"/>
        <v>2965.5</v>
      </c>
      <c r="BF47" s="5292"/>
      <c r="BG47" s="5292">
        <f t="shared" si="5"/>
        <v>2965.5</v>
      </c>
      <c r="BH47" s="5292"/>
      <c r="BI47" s="5293"/>
      <c r="BJ47" s="5294">
        <f t="shared" si="6"/>
        <v>11862</v>
      </c>
      <c r="BK47" s="4423">
        <f t="shared" si="7"/>
        <v>0</v>
      </c>
      <c r="BL47" s="5295"/>
    </row>
    <row r="48" s="5167" customFormat="1" ht="40" customHeight="1" spans="1:64">
      <c r="A48" s="5269">
        <v>45574</v>
      </c>
      <c r="B48" s="5270" t="s">
        <v>77</v>
      </c>
      <c r="C48" s="5271" t="s">
        <v>78</v>
      </c>
      <c r="D48" s="3864">
        <v>4500146851</v>
      </c>
      <c r="E48" s="5272">
        <v>4400325918</v>
      </c>
      <c r="F48" s="3864" t="s">
        <v>215</v>
      </c>
      <c r="G48" s="5273"/>
      <c r="H48" s="5273" t="s">
        <v>80</v>
      </c>
      <c r="I48" s="5273" t="s">
        <v>81</v>
      </c>
      <c r="J48" s="5274">
        <v>11862</v>
      </c>
      <c r="K48" s="5274">
        <v>0</v>
      </c>
      <c r="L48" s="5275">
        <v>6</v>
      </c>
      <c r="M48" s="5274">
        <f t="shared" si="0"/>
        <v>1977</v>
      </c>
      <c r="N48" s="3641">
        <v>45867</v>
      </c>
      <c r="O48" s="3641">
        <v>45863</v>
      </c>
      <c r="P48" s="5276"/>
      <c r="Q48" s="5276" t="s">
        <v>82</v>
      </c>
      <c r="R48" s="5276"/>
      <c r="S48" s="5276"/>
      <c r="T48" s="3647" t="s">
        <v>216</v>
      </c>
      <c r="U48" s="5277" t="s">
        <v>128</v>
      </c>
      <c r="V48" s="5278"/>
      <c r="W48" s="5280" t="s">
        <v>129</v>
      </c>
      <c r="X48" s="4423"/>
      <c r="Y48" s="5280"/>
      <c r="Z48" s="4471"/>
      <c r="AA48" s="4471" t="s">
        <v>130</v>
      </c>
      <c r="AB48" s="5281" t="s">
        <v>131</v>
      </c>
      <c r="AC48" s="5282">
        <v>14.6964</v>
      </c>
      <c r="AD48" s="5283">
        <f t="shared" si="13"/>
        <v>29054.7828</v>
      </c>
      <c r="AE48" s="4471"/>
      <c r="AF48" s="5284"/>
      <c r="AG48" s="5285"/>
      <c r="AH48" s="5285"/>
      <c r="AI48" s="5286"/>
      <c r="AJ48" s="5287">
        <f t="shared" si="11"/>
        <v>11862</v>
      </c>
      <c r="AK48" s="5298"/>
      <c r="AL48" s="5285"/>
      <c r="AM48" s="5286"/>
      <c r="AN48" s="5289">
        <f t="shared" si="12"/>
        <v>11862</v>
      </c>
      <c r="AO48" s="5290"/>
      <c r="AP48" s="5289"/>
      <c r="AQ48" s="5289">
        <f t="shared" si="1"/>
        <v>11862</v>
      </c>
      <c r="AR48" s="5289"/>
      <c r="AS48" s="5289"/>
      <c r="AT48" s="5289"/>
      <c r="AU48" s="5289"/>
      <c r="AV48" s="5289"/>
      <c r="AW48" s="5289"/>
      <c r="AX48" s="5290"/>
      <c r="AY48" s="5289"/>
      <c r="AZ48" s="5289"/>
      <c r="BA48" s="5289"/>
      <c r="BB48" s="5291" t="s">
        <v>89</v>
      </c>
      <c r="BC48" s="5292">
        <f t="shared" si="2"/>
        <v>2965.5</v>
      </c>
      <c r="BD48" s="5292">
        <f t="shared" si="3"/>
        <v>2965.5</v>
      </c>
      <c r="BE48" s="5292">
        <f t="shared" si="4"/>
        <v>2965.5</v>
      </c>
      <c r="BF48" s="5292"/>
      <c r="BG48" s="5292">
        <f t="shared" si="5"/>
        <v>2965.5</v>
      </c>
      <c r="BH48" s="5292"/>
      <c r="BI48" s="5293"/>
      <c r="BJ48" s="5294">
        <f t="shared" si="6"/>
        <v>11862</v>
      </c>
      <c r="BK48" s="4423">
        <f t="shared" si="7"/>
        <v>0</v>
      </c>
      <c r="BL48" s="5295"/>
    </row>
    <row r="49" s="5167" customFormat="1" ht="40" customHeight="1" spans="1:64">
      <c r="A49" s="5269">
        <v>45574</v>
      </c>
      <c r="B49" s="5270" t="s">
        <v>77</v>
      </c>
      <c r="C49" s="5271" t="s">
        <v>78</v>
      </c>
      <c r="D49" s="3864">
        <v>4500146851</v>
      </c>
      <c r="E49" s="5272">
        <v>4400982508</v>
      </c>
      <c r="F49" s="3864" t="s">
        <v>217</v>
      </c>
      <c r="G49" s="5273"/>
      <c r="H49" s="5273" t="s">
        <v>80</v>
      </c>
      <c r="I49" s="5273" t="s">
        <v>81</v>
      </c>
      <c r="J49" s="5274">
        <v>11862</v>
      </c>
      <c r="K49" s="5274">
        <v>0</v>
      </c>
      <c r="L49" s="5275">
        <v>6</v>
      </c>
      <c r="M49" s="5274">
        <f t="shared" si="0"/>
        <v>1977</v>
      </c>
      <c r="N49" s="3641">
        <v>45873</v>
      </c>
      <c r="O49" s="3641">
        <v>45869</v>
      </c>
      <c r="P49" s="5276"/>
      <c r="Q49" s="5276" t="s">
        <v>82</v>
      </c>
      <c r="R49" s="5276"/>
      <c r="S49" s="5276"/>
      <c r="T49" s="3647" t="s">
        <v>218</v>
      </c>
      <c r="U49" s="5277" t="s">
        <v>128</v>
      </c>
      <c r="V49" s="5278"/>
      <c r="W49" s="5280" t="s">
        <v>129</v>
      </c>
      <c r="X49" s="4423"/>
      <c r="Y49" s="5280"/>
      <c r="Z49" s="4471"/>
      <c r="AA49" s="4471" t="s">
        <v>130</v>
      </c>
      <c r="AB49" s="5281" t="s">
        <v>131</v>
      </c>
      <c r="AC49" s="5282">
        <v>1.6548</v>
      </c>
      <c r="AD49" s="5283">
        <f t="shared" si="13"/>
        <v>3271.5396</v>
      </c>
      <c r="AE49" s="4471"/>
      <c r="AF49" s="5284"/>
      <c r="AG49" s="5285"/>
      <c r="AH49" s="5285"/>
      <c r="AI49" s="5286"/>
      <c r="AJ49" s="5287">
        <f t="shared" si="11"/>
        <v>11862</v>
      </c>
      <c r="AK49" s="5288"/>
      <c r="AL49" s="5285"/>
      <c r="AM49" s="5286"/>
      <c r="AN49" s="5289">
        <f t="shared" si="12"/>
        <v>11862</v>
      </c>
      <c r="AO49" s="5290"/>
      <c r="AP49" s="5289"/>
      <c r="AQ49" s="5289">
        <f t="shared" si="1"/>
        <v>11862</v>
      </c>
      <c r="AR49" s="5289"/>
      <c r="AS49" s="5289"/>
      <c r="AT49" s="5289"/>
      <c r="AU49" s="5289"/>
      <c r="AV49" s="5289"/>
      <c r="AW49" s="5289"/>
      <c r="AX49" s="5290"/>
      <c r="AY49" s="5289"/>
      <c r="AZ49" s="5289"/>
      <c r="BA49" s="5289"/>
      <c r="BB49" s="5291" t="s">
        <v>89</v>
      </c>
      <c r="BC49" s="5292">
        <f t="shared" si="2"/>
        <v>2965.5</v>
      </c>
      <c r="BD49" s="5292">
        <f t="shared" si="3"/>
        <v>2965.5</v>
      </c>
      <c r="BE49" s="5292">
        <f t="shared" si="4"/>
        <v>2965.5</v>
      </c>
      <c r="BF49" s="5292"/>
      <c r="BG49" s="5292">
        <f t="shared" si="5"/>
        <v>2965.5</v>
      </c>
      <c r="BH49" s="5292"/>
      <c r="BI49" s="5293"/>
      <c r="BJ49" s="5294">
        <f t="shared" si="6"/>
        <v>11862</v>
      </c>
      <c r="BK49" s="4423">
        <f t="shared" si="7"/>
        <v>0</v>
      </c>
      <c r="BL49" s="5295"/>
    </row>
    <row r="50" s="5167" customFormat="1" ht="40" customHeight="1" spans="1:64">
      <c r="A50" s="5269">
        <v>45574</v>
      </c>
      <c r="B50" s="5270" t="s">
        <v>77</v>
      </c>
      <c r="C50" s="5271" t="s">
        <v>78</v>
      </c>
      <c r="D50" s="3864">
        <v>4500146851</v>
      </c>
      <c r="E50" s="5272">
        <v>4400914154</v>
      </c>
      <c r="F50" s="3864" t="s">
        <v>219</v>
      </c>
      <c r="G50" s="5273"/>
      <c r="H50" s="5273" t="s">
        <v>80</v>
      </c>
      <c r="I50" s="5273" t="s">
        <v>81</v>
      </c>
      <c r="J50" s="5274">
        <v>11862</v>
      </c>
      <c r="K50" s="5274">
        <v>0</v>
      </c>
      <c r="L50" s="5275">
        <v>6</v>
      </c>
      <c r="M50" s="5274">
        <f t="shared" si="0"/>
        <v>1977</v>
      </c>
      <c r="N50" s="3641">
        <v>45877</v>
      </c>
      <c r="O50" s="3641">
        <v>45873</v>
      </c>
      <c r="P50" s="5276"/>
      <c r="Q50" s="5276" t="s">
        <v>82</v>
      </c>
      <c r="R50" s="5276"/>
      <c r="S50" s="5276"/>
      <c r="T50" s="3647" t="s">
        <v>220</v>
      </c>
      <c r="U50" s="5277" t="s">
        <v>128</v>
      </c>
      <c r="V50" s="5278"/>
      <c r="W50" s="5280" t="s">
        <v>129</v>
      </c>
      <c r="X50" s="4423"/>
      <c r="Y50" s="5280"/>
      <c r="Z50" s="4471"/>
      <c r="AA50" s="4471" t="s">
        <v>130</v>
      </c>
      <c r="AB50" s="5281" t="s">
        <v>131</v>
      </c>
      <c r="AC50" s="5282">
        <v>14.6964</v>
      </c>
      <c r="AD50" s="5283">
        <f t="shared" si="13"/>
        <v>29054.7828</v>
      </c>
      <c r="AE50" s="4471"/>
      <c r="AF50" s="5284"/>
      <c r="AG50" s="5285"/>
      <c r="AH50" s="5285"/>
      <c r="AI50" s="5286"/>
      <c r="AJ50" s="5287">
        <f t="shared" si="11"/>
        <v>11862</v>
      </c>
      <c r="AK50" s="5299"/>
      <c r="AL50" s="5285"/>
      <c r="AM50" s="5286"/>
      <c r="AN50" s="5289">
        <f t="shared" si="12"/>
        <v>11862</v>
      </c>
      <c r="AO50" s="5290"/>
      <c r="AP50" s="5289"/>
      <c r="AQ50" s="5289">
        <f t="shared" si="1"/>
        <v>11862</v>
      </c>
      <c r="AR50" s="5289"/>
      <c r="AS50" s="5289"/>
      <c r="AT50" s="5289"/>
      <c r="AU50" s="5289"/>
      <c r="AV50" s="5289"/>
      <c r="AW50" s="5289"/>
      <c r="AX50" s="5290"/>
      <c r="AY50" s="5289"/>
      <c r="AZ50" s="5289"/>
      <c r="BA50" s="5289"/>
      <c r="BB50" s="5291" t="s">
        <v>89</v>
      </c>
      <c r="BC50" s="5292">
        <f t="shared" si="2"/>
        <v>2965.5</v>
      </c>
      <c r="BD50" s="5292">
        <f t="shared" si="3"/>
        <v>2965.5</v>
      </c>
      <c r="BE50" s="5292">
        <f t="shared" si="4"/>
        <v>2965.5</v>
      </c>
      <c r="BF50" s="5292"/>
      <c r="BG50" s="5292">
        <f t="shared" si="5"/>
        <v>2965.5</v>
      </c>
      <c r="BH50" s="5292"/>
      <c r="BI50" s="5293"/>
      <c r="BJ50" s="5294">
        <f t="shared" si="6"/>
        <v>11862</v>
      </c>
      <c r="BK50" s="4423">
        <f t="shared" si="7"/>
        <v>0</v>
      </c>
      <c r="BL50" s="5295"/>
    </row>
    <row r="51" s="5167" customFormat="1" ht="40" customHeight="1" spans="1:64">
      <c r="A51" s="5269">
        <v>45574</v>
      </c>
      <c r="B51" s="5270" t="s">
        <v>77</v>
      </c>
      <c r="C51" s="5271" t="s">
        <v>78</v>
      </c>
      <c r="D51" s="3864">
        <v>4500146851</v>
      </c>
      <c r="E51" s="5272">
        <v>4400654435</v>
      </c>
      <c r="F51" s="3864" t="s">
        <v>221</v>
      </c>
      <c r="G51" s="5273"/>
      <c r="H51" s="5273" t="s">
        <v>80</v>
      </c>
      <c r="I51" s="5273" t="s">
        <v>81</v>
      </c>
      <c r="J51" s="5274">
        <v>11862</v>
      </c>
      <c r="K51" s="5274">
        <v>0</v>
      </c>
      <c r="L51" s="5275">
        <v>6</v>
      </c>
      <c r="M51" s="5274">
        <f t="shared" si="0"/>
        <v>1977</v>
      </c>
      <c r="N51" s="3641">
        <v>45880</v>
      </c>
      <c r="O51" s="3641">
        <v>45876</v>
      </c>
      <c r="P51" s="5276"/>
      <c r="Q51" s="5276" t="s">
        <v>82</v>
      </c>
      <c r="R51" s="5276"/>
      <c r="S51" s="5276"/>
      <c r="T51" s="3647" t="s">
        <v>222</v>
      </c>
      <c r="U51" s="5277" t="s">
        <v>128</v>
      </c>
      <c r="V51" s="5278"/>
      <c r="W51" s="5280" t="s">
        <v>129</v>
      </c>
      <c r="X51" s="4423"/>
      <c r="Y51" s="5280"/>
      <c r="Z51" s="4471"/>
      <c r="AA51" s="4471" t="s">
        <v>130</v>
      </c>
      <c r="AB51" s="5281" t="s">
        <v>131</v>
      </c>
      <c r="AC51" s="5282">
        <v>14.6964</v>
      </c>
      <c r="AD51" s="5283">
        <f t="shared" si="13"/>
        <v>29054.7828</v>
      </c>
      <c r="AE51" s="4471"/>
      <c r="AF51" s="5284"/>
      <c r="AG51" s="5285"/>
      <c r="AH51" s="5285"/>
      <c r="AI51" s="5286"/>
      <c r="AJ51" s="5287">
        <f t="shared" si="11"/>
        <v>11862</v>
      </c>
      <c r="AK51" s="5288"/>
      <c r="AL51" s="5285"/>
      <c r="AM51" s="5286"/>
      <c r="AN51" s="5289">
        <f t="shared" si="12"/>
        <v>11862</v>
      </c>
      <c r="AO51" s="5290"/>
      <c r="AP51" s="5289"/>
      <c r="AQ51" s="5289">
        <f t="shared" si="1"/>
        <v>11862</v>
      </c>
      <c r="AR51" s="5289"/>
      <c r="AS51" s="5289"/>
      <c r="AT51" s="5289"/>
      <c r="AU51" s="5289"/>
      <c r="AV51" s="5289"/>
      <c r="AW51" s="5289"/>
      <c r="AX51" s="5290"/>
      <c r="AY51" s="5289"/>
      <c r="AZ51" s="5289"/>
      <c r="BA51" s="5289"/>
      <c r="BB51" s="5291" t="s">
        <v>89</v>
      </c>
      <c r="BC51" s="5292">
        <f t="shared" si="2"/>
        <v>2965.5</v>
      </c>
      <c r="BD51" s="5292">
        <f t="shared" si="3"/>
        <v>2965.5</v>
      </c>
      <c r="BE51" s="5292">
        <f t="shared" si="4"/>
        <v>2965.5</v>
      </c>
      <c r="BF51" s="5292"/>
      <c r="BG51" s="5292">
        <f t="shared" si="5"/>
        <v>2965.5</v>
      </c>
      <c r="BH51" s="5292"/>
      <c r="BI51" s="5293"/>
      <c r="BJ51" s="5294">
        <f t="shared" si="6"/>
        <v>11862</v>
      </c>
      <c r="BK51" s="4423">
        <f t="shared" si="7"/>
        <v>0</v>
      </c>
      <c r="BL51" s="5295"/>
    </row>
    <row r="52" s="5167" customFormat="1" ht="40" customHeight="1" spans="1:64">
      <c r="A52" s="5269">
        <v>45574</v>
      </c>
      <c r="B52" s="5270" t="s">
        <v>77</v>
      </c>
      <c r="C52" s="5271" t="s">
        <v>78</v>
      </c>
      <c r="D52" s="3864">
        <v>4500146851</v>
      </c>
      <c r="E52" s="5272">
        <v>4400979518</v>
      </c>
      <c r="F52" s="3864" t="s">
        <v>223</v>
      </c>
      <c r="G52" s="5273"/>
      <c r="H52" s="5273" t="s">
        <v>80</v>
      </c>
      <c r="I52" s="5273" t="s">
        <v>81</v>
      </c>
      <c r="J52" s="5274">
        <v>11862</v>
      </c>
      <c r="K52" s="5274">
        <v>0</v>
      </c>
      <c r="L52" s="5275">
        <v>6</v>
      </c>
      <c r="M52" s="5274">
        <f t="shared" si="0"/>
        <v>1977</v>
      </c>
      <c r="N52" s="3641">
        <v>45881</v>
      </c>
      <c r="O52" s="3641">
        <v>45877</v>
      </c>
      <c r="P52" s="5276"/>
      <c r="Q52" s="5276" t="s">
        <v>82</v>
      </c>
      <c r="R52" s="5276"/>
      <c r="S52" s="5276"/>
      <c r="T52" s="3647" t="s">
        <v>224</v>
      </c>
      <c r="U52" s="5277" t="s">
        <v>128</v>
      </c>
      <c r="V52" s="5278"/>
      <c r="W52" s="5280" t="s">
        <v>129</v>
      </c>
      <c r="X52" s="4423"/>
      <c r="Y52" s="5280"/>
      <c r="Z52" s="4471"/>
      <c r="AA52" s="4471" t="s">
        <v>130</v>
      </c>
      <c r="AB52" s="5281" t="s">
        <v>131</v>
      </c>
      <c r="AC52" s="5282">
        <v>1.6548</v>
      </c>
      <c r="AD52" s="5283">
        <f t="shared" si="13"/>
        <v>3271.5396</v>
      </c>
      <c r="AE52" s="4471"/>
      <c r="AF52" s="5284"/>
      <c r="AG52" s="5285"/>
      <c r="AH52" s="5285"/>
      <c r="AI52" s="5286"/>
      <c r="AJ52" s="5287">
        <f t="shared" si="11"/>
        <v>11862</v>
      </c>
      <c r="AK52" s="5299"/>
      <c r="AL52" s="5285"/>
      <c r="AM52" s="5286"/>
      <c r="AN52" s="5289">
        <f t="shared" si="12"/>
        <v>11862</v>
      </c>
      <c r="AO52" s="5290"/>
      <c r="AP52" s="5289"/>
      <c r="AQ52" s="5289">
        <f t="shared" si="1"/>
        <v>11862</v>
      </c>
      <c r="AR52" s="5289"/>
      <c r="AS52" s="5289"/>
      <c r="AT52" s="5289"/>
      <c r="AU52" s="5289"/>
      <c r="AV52" s="5289"/>
      <c r="AW52" s="5289"/>
      <c r="AX52" s="5290"/>
      <c r="AY52" s="5289"/>
      <c r="AZ52" s="5289"/>
      <c r="BA52" s="5289"/>
      <c r="BB52" s="5291" t="s">
        <v>89</v>
      </c>
      <c r="BC52" s="5292">
        <f t="shared" si="2"/>
        <v>2965.5</v>
      </c>
      <c r="BD52" s="5292">
        <f t="shared" si="3"/>
        <v>2965.5</v>
      </c>
      <c r="BE52" s="5292">
        <f t="shared" si="4"/>
        <v>2965.5</v>
      </c>
      <c r="BF52" s="5292"/>
      <c r="BG52" s="5292">
        <f t="shared" si="5"/>
        <v>2965.5</v>
      </c>
      <c r="BH52" s="5292"/>
      <c r="BI52" s="5293"/>
      <c r="BJ52" s="5294">
        <f t="shared" si="6"/>
        <v>11862</v>
      </c>
      <c r="BK52" s="4423">
        <f t="shared" si="7"/>
        <v>0</v>
      </c>
      <c r="BL52" s="5295"/>
    </row>
    <row r="53" s="5167" customFormat="1" ht="40" customHeight="1" spans="1:64">
      <c r="A53" s="5269">
        <v>45574</v>
      </c>
      <c r="B53" s="5270" t="s">
        <v>77</v>
      </c>
      <c r="C53" s="5271" t="s">
        <v>78</v>
      </c>
      <c r="D53" s="3864">
        <v>4500146851</v>
      </c>
      <c r="E53" s="5272">
        <v>4400907405</v>
      </c>
      <c r="F53" s="3864" t="s">
        <v>225</v>
      </c>
      <c r="G53" s="5273"/>
      <c r="H53" s="5273" t="s">
        <v>80</v>
      </c>
      <c r="I53" s="5273" t="s">
        <v>81</v>
      </c>
      <c r="J53" s="5274">
        <v>11862</v>
      </c>
      <c r="K53" s="5274">
        <v>0</v>
      </c>
      <c r="L53" s="5275">
        <v>6</v>
      </c>
      <c r="M53" s="5274">
        <f t="shared" si="0"/>
        <v>1977</v>
      </c>
      <c r="N53" s="3641">
        <v>45881</v>
      </c>
      <c r="O53" s="3641">
        <v>45877</v>
      </c>
      <c r="P53" s="5276"/>
      <c r="Q53" s="5276" t="s">
        <v>82</v>
      </c>
      <c r="R53" s="5276"/>
      <c r="S53" s="5276"/>
      <c r="T53" s="3647"/>
      <c r="U53" s="5277" t="s">
        <v>128</v>
      </c>
      <c r="V53" s="5278"/>
      <c r="W53" s="5280" t="s">
        <v>129</v>
      </c>
      <c r="X53" s="4423"/>
      <c r="Y53" s="5280"/>
      <c r="Z53" s="4471"/>
      <c r="AA53" s="4471" t="s">
        <v>130</v>
      </c>
      <c r="AB53" s="5281" t="s">
        <v>131</v>
      </c>
      <c r="AC53" s="5282">
        <v>14.6964</v>
      </c>
      <c r="AD53" s="5283">
        <f t="shared" si="13"/>
        <v>29054.7828</v>
      </c>
      <c r="AE53" s="4471"/>
      <c r="AF53" s="5284"/>
      <c r="AG53" s="5285"/>
      <c r="AH53" s="5285"/>
      <c r="AI53" s="5286"/>
      <c r="AJ53" s="5287">
        <f t="shared" si="11"/>
        <v>11862</v>
      </c>
      <c r="AK53" s="5299"/>
      <c r="AL53" s="5285"/>
      <c r="AM53" s="5286"/>
      <c r="AN53" s="5289">
        <f t="shared" si="12"/>
        <v>11862</v>
      </c>
      <c r="AO53" s="5290"/>
      <c r="AP53" s="5289"/>
      <c r="AQ53" s="5289">
        <f t="shared" si="1"/>
        <v>11862</v>
      </c>
      <c r="AR53" s="5289"/>
      <c r="AS53" s="5289"/>
      <c r="AT53" s="5289"/>
      <c r="AU53" s="5289"/>
      <c r="AV53" s="5289"/>
      <c r="AW53" s="5289"/>
      <c r="AX53" s="5290"/>
      <c r="AY53" s="5289"/>
      <c r="AZ53" s="5289"/>
      <c r="BA53" s="5289"/>
      <c r="BB53" s="5291" t="s">
        <v>89</v>
      </c>
      <c r="BC53" s="5292">
        <f t="shared" si="2"/>
        <v>2965.5</v>
      </c>
      <c r="BD53" s="5292">
        <f t="shared" si="3"/>
        <v>2965.5</v>
      </c>
      <c r="BE53" s="5292">
        <f t="shared" si="4"/>
        <v>2965.5</v>
      </c>
      <c r="BF53" s="5292"/>
      <c r="BG53" s="5292">
        <f t="shared" si="5"/>
        <v>2965.5</v>
      </c>
      <c r="BH53" s="5292"/>
      <c r="BI53" s="5293"/>
      <c r="BJ53" s="5294">
        <f t="shared" si="6"/>
        <v>11862</v>
      </c>
      <c r="BK53" s="4423">
        <f t="shared" si="7"/>
        <v>0</v>
      </c>
      <c r="BL53" s="5295"/>
    </row>
    <row r="54" s="5167" customFormat="1" ht="40" customHeight="1" spans="1:64">
      <c r="A54" s="5269">
        <v>45574</v>
      </c>
      <c r="B54" s="5270" t="s">
        <v>77</v>
      </c>
      <c r="C54" s="5271" t="s">
        <v>78</v>
      </c>
      <c r="D54" s="3864">
        <v>4500146851</v>
      </c>
      <c r="E54" s="5272">
        <v>4400324878</v>
      </c>
      <c r="F54" s="3864" t="s">
        <v>226</v>
      </c>
      <c r="G54" s="5273"/>
      <c r="H54" s="5273" t="s">
        <v>80</v>
      </c>
      <c r="I54" s="5273" t="s">
        <v>81</v>
      </c>
      <c r="J54" s="5274">
        <v>11862</v>
      </c>
      <c r="K54" s="5274">
        <v>0</v>
      </c>
      <c r="L54" s="5275">
        <v>6</v>
      </c>
      <c r="M54" s="5274">
        <f t="shared" si="0"/>
        <v>1977</v>
      </c>
      <c r="N54" s="3641">
        <v>45887</v>
      </c>
      <c r="O54" s="3641">
        <v>45883</v>
      </c>
      <c r="P54" s="5276"/>
      <c r="Q54" s="5276" t="s">
        <v>82</v>
      </c>
      <c r="R54" s="5276"/>
      <c r="S54" s="5276"/>
      <c r="T54" s="3647" t="s">
        <v>222</v>
      </c>
      <c r="U54" s="5277" t="s">
        <v>128</v>
      </c>
      <c r="V54" s="5278"/>
      <c r="W54" s="5280" t="s">
        <v>129</v>
      </c>
      <c r="X54" s="4423"/>
      <c r="Y54" s="5280"/>
      <c r="Z54" s="4471"/>
      <c r="AA54" s="4471" t="s">
        <v>130</v>
      </c>
      <c r="AB54" s="5281" t="s">
        <v>131</v>
      </c>
      <c r="AC54" s="5282">
        <v>14.6964</v>
      </c>
      <c r="AD54" s="5283">
        <f t="shared" si="13"/>
        <v>29054.7828</v>
      </c>
      <c r="AE54" s="4471"/>
      <c r="AF54" s="5284"/>
      <c r="AG54" s="5285"/>
      <c r="AH54" s="5285"/>
      <c r="AI54" s="5286"/>
      <c r="AJ54" s="5287">
        <f t="shared" si="11"/>
        <v>11862</v>
      </c>
      <c r="AK54" s="5288"/>
      <c r="AL54" s="5285"/>
      <c r="AM54" s="5286"/>
      <c r="AN54" s="5289">
        <f t="shared" si="12"/>
        <v>11862</v>
      </c>
      <c r="AO54" s="5290"/>
      <c r="AP54" s="5289"/>
      <c r="AQ54" s="5289">
        <f t="shared" si="1"/>
        <v>11862</v>
      </c>
      <c r="AR54" s="5289"/>
      <c r="AS54" s="5289"/>
      <c r="AT54" s="5289"/>
      <c r="AU54" s="5289"/>
      <c r="AV54" s="5289"/>
      <c r="AW54" s="5289"/>
      <c r="AX54" s="5290"/>
      <c r="AY54" s="5289"/>
      <c r="AZ54" s="5289"/>
      <c r="BA54" s="5289"/>
      <c r="BB54" s="5291" t="s">
        <v>89</v>
      </c>
      <c r="BC54" s="5292">
        <f t="shared" si="2"/>
        <v>2965.5</v>
      </c>
      <c r="BD54" s="5292">
        <f t="shared" si="3"/>
        <v>2965.5</v>
      </c>
      <c r="BE54" s="5292">
        <f t="shared" si="4"/>
        <v>2965.5</v>
      </c>
      <c r="BF54" s="5292"/>
      <c r="BG54" s="5292">
        <f t="shared" si="5"/>
        <v>2965.5</v>
      </c>
      <c r="BH54" s="5292"/>
      <c r="BI54" s="5293"/>
      <c r="BJ54" s="5294">
        <f t="shared" si="6"/>
        <v>11862</v>
      </c>
      <c r="BK54" s="4423">
        <f t="shared" si="7"/>
        <v>0</v>
      </c>
      <c r="BL54" s="5295"/>
    </row>
    <row r="55" s="5167" customFormat="1" ht="40" customHeight="1" spans="1:64">
      <c r="A55" s="5269">
        <v>45796</v>
      </c>
      <c r="B55" s="5270" t="s">
        <v>77</v>
      </c>
      <c r="C55" s="5271" t="s">
        <v>78</v>
      </c>
      <c r="D55" s="3864">
        <v>4500166812</v>
      </c>
      <c r="E55" s="5272">
        <v>4401018162</v>
      </c>
      <c r="F55" s="3864" t="s">
        <v>227</v>
      </c>
      <c r="G55" s="5273"/>
      <c r="H55" s="5273" t="s">
        <v>80</v>
      </c>
      <c r="I55" s="5273" t="s">
        <v>81</v>
      </c>
      <c r="J55" s="5274">
        <v>11862</v>
      </c>
      <c r="K55" s="5274">
        <v>0</v>
      </c>
      <c r="L55" s="5275">
        <v>6</v>
      </c>
      <c r="M55" s="5274">
        <f t="shared" si="0"/>
        <v>1977</v>
      </c>
      <c r="N55" s="3641">
        <v>45894</v>
      </c>
      <c r="O55" s="3641">
        <f>N55-4</f>
        <v>45890</v>
      </c>
      <c r="P55" s="5276"/>
      <c r="Q55" s="5276" t="s">
        <v>82</v>
      </c>
      <c r="R55" s="5276"/>
      <c r="S55" s="5276"/>
      <c r="T55" s="3647" t="s">
        <v>228</v>
      </c>
      <c r="U55" s="5277" t="s">
        <v>229</v>
      </c>
      <c r="V55" s="5278"/>
      <c r="W55" s="5300" t="s">
        <v>230</v>
      </c>
      <c r="X55" s="4423"/>
      <c r="Y55" s="5280"/>
      <c r="Z55" s="4471" t="s">
        <v>231</v>
      </c>
      <c r="AA55" s="4471" t="s">
        <v>232</v>
      </c>
      <c r="AB55" s="5281" t="s">
        <v>233</v>
      </c>
      <c r="AC55" s="5282">
        <v>14.6964</v>
      </c>
      <c r="AD55" s="5283">
        <f t="shared" si="13"/>
        <v>29054.7828</v>
      </c>
      <c r="AE55" s="4471" t="s">
        <v>234</v>
      </c>
      <c r="AF55" s="5284"/>
      <c r="AG55" s="5285"/>
      <c r="AH55" s="5285"/>
      <c r="AI55" s="5286"/>
      <c r="AJ55" s="5287">
        <f t="shared" si="11"/>
        <v>11862</v>
      </c>
      <c r="AK55" s="5301"/>
      <c r="AL55" s="5285"/>
      <c r="AM55" s="5286"/>
      <c r="AN55" s="5289">
        <f t="shared" si="12"/>
        <v>11862</v>
      </c>
      <c r="AO55" s="5290"/>
      <c r="AP55" s="5289"/>
      <c r="AQ55" s="5289">
        <f t="shared" si="1"/>
        <v>11862</v>
      </c>
      <c r="AR55" s="5289"/>
      <c r="AS55" s="5289"/>
      <c r="AT55" s="5289"/>
      <c r="AU55" s="5289"/>
      <c r="AV55" s="5289"/>
      <c r="AW55" s="5289"/>
      <c r="AX55" s="5290"/>
      <c r="AY55" s="5289"/>
      <c r="AZ55" s="5289"/>
      <c r="BA55" s="5289"/>
      <c r="BB55" s="5291" t="s">
        <v>89</v>
      </c>
      <c r="BC55" s="5292">
        <f t="shared" si="2"/>
        <v>2965.5</v>
      </c>
      <c r="BD55" s="5292">
        <f t="shared" si="3"/>
        <v>2965.5</v>
      </c>
      <c r="BE55" s="5292">
        <f t="shared" si="4"/>
        <v>2965.5</v>
      </c>
      <c r="BF55" s="5292"/>
      <c r="BG55" s="5292">
        <f t="shared" si="5"/>
        <v>2965.5</v>
      </c>
      <c r="BH55" s="5292"/>
      <c r="BI55" s="5293"/>
      <c r="BJ55" s="5294">
        <f t="shared" si="6"/>
        <v>11862</v>
      </c>
      <c r="BK55" s="4423">
        <f t="shared" si="7"/>
        <v>0</v>
      </c>
      <c r="BL55" s="5295"/>
    </row>
    <row r="56" s="5167" customFormat="1" ht="40" customHeight="1" spans="1:64">
      <c r="A56" s="5269">
        <v>45796</v>
      </c>
      <c r="B56" s="5270" t="s">
        <v>77</v>
      </c>
      <c r="C56" s="5271" t="s">
        <v>78</v>
      </c>
      <c r="D56" s="3864">
        <v>4500166812</v>
      </c>
      <c r="E56" s="5272">
        <v>4401018172</v>
      </c>
      <c r="F56" s="3864" t="s">
        <v>235</v>
      </c>
      <c r="G56" s="5273"/>
      <c r="H56" s="5273" t="s">
        <v>80</v>
      </c>
      <c r="I56" s="5273" t="s">
        <v>81</v>
      </c>
      <c r="J56" s="5274">
        <v>11862</v>
      </c>
      <c r="K56" s="5274">
        <v>0</v>
      </c>
      <c r="L56" s="5275">
        <v>6</v>
      </c>
      <c r="M56" s="5274">
        <f t="shared" si="0"/>
        <v>1977</v>
      </c>
      <c r="N56" s="3641">
        <v>45896</v>
      </c>
      <c r="O56" s="3641">
        <v>45892</v>
      </c>
      <c r="P56" s="5276"/>
      <c r="Q56" s="5276" t="s">
        <v>82</v>
      </c>
      <c r="R56" s="5276"/>
      <c r="S56" s="5276"/>
      <c r="T56" s="3647" t="s">
        <v>236</v>
      </c>
      <c r="U56" s="5277" t="s">
        <v>229</v>
      </c>
      <c r="V56" s="5278"/>
      <c r="W56" s="5300" t="s">
        <v>230</v>
      </c>
      <c r="X56" s="4423"/>
      <c r="Y56" s="5280"/>
      <c r="Z56" s="4471" t="s">
        <v>231</v>
      </c>
      <c r="AA56" s="4471" t="s">
        <v>232</v>
      </c>
      <c r="AB56" s="5281" t="s">
        <v>233</v>
      </c>
      <c r="AC56" s="5282">
        <v>14.6964</v>
      </c>
      <c r="AD56" s="5283">
        <f t="shared" si="13"/>
        <v>29054.7828</v>
      </c>
      <c r="AE56" s="4471" t="s">
        <v>234</v>
      </c>
      <c r="AF56" s="5284"/>
      <c r="AG56" s="5285"/>
      <c r="AH56" s="5285"/>
      <c r="AI56" s="5286"/>
      <c r="AJ56" s="5287">
        <f t="shared" si="11"/>
        <v>11862</v>
      </c>
      <c r="AK56" s="5302"/>
      <c r="AL56" s="5285"/>
      <c r="AM56" s="5286"/>
      <c r="AN56" s="5289">
        <f t="shared" si="12"/>
        <v>11862</v>
      </c>
      <c r="AO56" s="5290"/>
      <c r="AP56" s="5289"/>
      <c r="AQ56" s="5289">
        <f t="shared" si="1"/>
        <v>11862</v>
      </c>
      <c r="AR56" s="5289"/>
      <c r="AS56" s="5289"/>
      <c r="AT56" s="5289"/>
      <c r="AU56" s="5289"/>
      <c r="AV56" s="5289"/>
      <c r="AW56" s="5289"/>
      <c r="AX56" s="5290"/>
      <c r="AY56" s="5289"/>
      <c r="AZ56" s="5289"/>
      <c r="BA56" s="5289"/>
      <c r="BB56" s="5291" t="s">
        <v>89</v>
      </c>
      <c r="BC56" s="5292">
        <f t="shared" si="2"/>
        <v>2965.5</v>
      </c>
      <c r="BD56" s="5292">
        <f t="shared" si="3"/>
        <v>2965.5</v>
      </c>
      <c r="BE56" s="5292">
        <f t="shared" si="4"/>
        <v>2965.5</v>
      </c>
      <c r="BF56" s="5292"/>
      <c r="BG56" s="5292">
        <f t="shared" si="5"/>
        <v>2965.5</v>
      </c>
      <c r="BH56" s="5292"/>
      <c r="BI56" s="5293"/>
      <c r="BJ56" s="5294">
        <f t="shared" si="6"/>
        <v>11862</v>
      </c>
      <c r="BK56" s="4423">
        <f t="shared" si="7"/>
        <v>0</v>
      </c>
      <c r="BL56" s="5295"/>
    </row>
    <row r="57" s="5167" customFormat="1" ht="40" customHeight="1" spans="1:64">
      <c r="A57" s="5269">
        <v>45796</v>
      </c>
      <c r="B57" s="5270" t="s">
        <v>77</v>
      </c>
      <c r="C57" s="5271" t="s">
        <v>78</v>
      </c>
      <c r="D57" s="3864">
        <v>4500166812</v>
      </c>
      <c r="E57" s="5272">
        <v>4401018158</v>
      </c>
      <c r="F57" s="3864" t="s">
        <v>237</v>
      </c>
      <c r="G57" s="5273"/>
      <c r="H57" s="5273" t="s">
        <v>80</v>
      </c>
      <c r="I57" s="5273" t="s">
        <v>81</v>
      </c>
      <c r="J57" s="5274">
        <v>11862</v>
      </c>
      <c r="K57" s="5274">
        <v>0</v>
      </c>
      <c r="L57" s="5275">
        <v>6</v>
      </c>
      <c r="M57" s="5274">
        <f t="shared" si="0"/>
        <v>1977</v>
      </c>
      <c r="N57" s="3641">
        <v>45897</v>
      </c>
      <c r="O57" s="3641">
        <v>45894</v>
      </c>
      <c r="P57" s="5276"/>
      <c r="Q57" s="5276" t="s">
        <v>82</v>
      </c>
      <c r="R57" s="5276"/>
      <c r="S57" s="5276"/>
      <c r="T57" s="3647" t="s">
        <v>236</v>
      </c>
      <c r="U57" s="5277" t="s">
        <v>229</v>
      </c>
      <c r="V57" s="5278"/>
      <c r="W57" s="5300" t="s">
        <v>230</v>
      </c>
      <c r="X57" s="4423"/>
      <c r="Y57" s="5280"/>
      <c r="Z57" s="4471" t="s">
        <v>231</v>
      </c>
      <c r="AA57" s="4471" t="s">
        <v>232</v>
      </c>
      <c r="AB57" s="5281" t="s">
        <v>233</v>
      </c>
      <c r="AC57" s="5282">
        <v>14.6964</v>
      </c>
      <c r="AD57" s="5283">
        <f t="shared" si="13"/>
        <v>29054.7828</v>
      </c>
      <c r="AE57" s="4471" t="s">
        <v>238</v>
      </c>
      <c r="AF57" s="5284"/>
      <c r="AG57" s="5285"/>
      <c r="AH57" s="5285"/>
      <c r="AI57" s="5286"/>
      <c r="AJ57" s="5287">
        <f t="shared" si="11"/>
        <v>11862</v>
      </c>
      <c r="AK57" s="5302"/>
      <c r="AL57" s="5285"/>
      <c r="AM57" s="5286"/>
      <c r="AN57" s="5289">
        <f t="shared" si="12"/>
        <v>11862</v>
      </c>
      <c r="AO57" s="5290"/>
      <c r="AP57" s="5289"/>
      <c r="AQ57" s="5289">
        <f t="shared" si="1"/>
        <v>11862</v>
      </c>
      <c r="AR57" s="5289"/>
      <c r="AS57" s="5289"/>
      <c r="AT57" s="5289"/>
      <c r="AU57" s="5289"/>
      <c r="AV57" s="5289"/>
      <c r="AW57" s="5289"/>
      <c r="AX57" s="5290"/>
      <c r="AY57" s="5289"/>
      <c r="AZ57" s="5289"/>
      <c r="BA57" s="5289"/>
      <c r="BB57" s="5291" t="s">
        <v>89</v>
      </c>
      <c r="BC57" s="5292">
        <f t="shared" si="2"/>
        <v>2965.5</v>
      </c>
      <c r="BD57" s="5292">
        <f t="shared" si="3"/>
        <v>2965.5</v>
      </c>
      <c r="BE57" s="5292">
        <f t="shared" si="4"/>
        <v>2965.5</v>
      </c>
      <c r="BF57" s="5292"/>
      <c r="BG57" s="5292">
        <f t="shared" si="5"/>
        <v>2965.5</v>
      </c>
      <c r="BH57" s="5292"/>
      <c r="BI57" s="5293"/>
      <c r="BJ57" s="5294">
        <f t="shared" si="6"/>
        <v>11862</v>
      </c>
      <c r="BK57" s="4423">
        <f t="shared" si="7"/>
        <v>0</v>
      </c>
      <c r="BL57" s="5295"/>
    </row>
    <row r="58" s="5167" customFormat="1" ht="40" customHeight="1" spans="1:64">
      <c r="A58" s="5269">
        <v>45796</v>
      </c>
      <c r="B58" s="5270" t="s">
        <v>77</v>
      </c>
      <c r="C58" s="5271" t="s">
        <v>78</v>
      </c>
      <c r="D58" s="3864">
        <v>4500166812</v>
      </c>
      <c r="E58" s="5272">
        <v>4401018163</v>
      </c>
      <c r="F58" s="3864" t="s">
        <v>239</v>
      </c>
      <c r="G58" s="5273"/>
      <c r="H58" s="5273" t="s">
        <v>80</v>
      </c>
      <c r="I58" s="5273" t="s">
        <v>81</v>
      </c>
      <c r="J58" s="5274">
        <v>11862</v>
      </c>
      <c r="K58" s="5274">
        <v>0</v>
      </c>
      <c r="L58" s="5275">
        <v>6</v>
      </c>
      <c r="M58" s="5274">
        <f t="shared" si="0"/>
        <v>1977</v>
      </c>
      <c r="N58" s="3641">
        <v>45903</v>
      </c>
      <c r="O58" s="3641">
        <f>N58-4</f>
        <v>45899</v>
      </c>
      <c r="P58" s="5276"/>
      <c r="Q58" s="5276" t="s">
        <v>82</v>
      </c>
      <c r="R58" s="5276"/>
      <c r="S58" s="5276"/>
      <c r="T58" s="3647" t="s">
        <v>240</v>
      </c>
      <c r="U58" s="5277" t="s">
        <v>229</v>
      </c>
      <c r="V58" s="5278"/>
      <c r="W58" s="5300" t="s">
        <v>230</v>
      </c>
      <c r="X58" s="4423"/>
      <c r="Y58" s="5280"/>
      <c r="Z58" s="4471" t="s">
        <v>231</v>
      </c>
      <c r="AA58" s="4471" t="s">
        <v>232</v>
      </c>
      <c r="AB58" s="5281" t="s">
        <v>233</v>
      </c>
      <c r="AC58" s="5282">
        <v>14.6964</v>
      </c>
      <c r="AD58" s="5283">
        <f t="shared" si="13"/>
        <v>29054.7828</v>
      </c>
      <c r="AE58" s="4471" t="s">
        <v>241</v>
      </c>
      <c r="AF58" s="5284"/>
      <c r="AG58" s="5285"/>
      <c r="AH58" s="5285"/>
      <c r="AI58" s="5286"/>
      <c r="AJ58" s="5287">
        <f t="shared" si="11"/>
        <v>11862</v>
      </c>
      <c r="AK58" s="5302"/>
      <c r="AL58" s="5285"/>
      <c r="AM58" s="5286"/>
      <c r="AN58" s="5289">
        <f t="shared" si="12"/>
        <v>11862</v>
      </c>
      <c r="AO58" s="5290"/>
      <c r="AP58" s="5289"/>
      <c r="AQ58" s="5289">
        <f t="shared" si="1"/>
        <v>11862</v>
      </c>
      <c r="AR58" s="5289"/>
      <c r="AS58" s="5289"/>
      <c r="AT58" s="5289"/>
      <c r="AU58" s="5289"/>
      <c r="AV58" s="5289"/>
      <c r="AW58" s="5289"/>
      <c r="AX58" s="5290"/>
      <c r="AY58" s="5289"/>
      <c r="AZ58" s="5289"/>
      <c r="BA58" s="5289"/>
      <c r="BB58" s="5291" t="s">
        <v>89</v>
      </c>
      <c r="BC58" s="5292">
        <f t="shared" si="2"/>
        <v>2965.5</v>
      </c>
      <c r="BD58" s="5292">
        <f t="shared" si="3"/>
        <v>2965.5</v>
      </c>
      <c r="BE58" s="5292">
        <f t="shared" si="4"/>
        <v>2965.5</v>
      </c>
      <c r="BF58" s="5292"/>
      <c r="BG58" s="5292">
        <f t="shared" si="5"/>
        <v>2965.5</v>
      </c>
      <c r="BH58" s="5292"/>
      <c r="BI58" s="5293"/>
      <c r="BJ58" s="5294">
        <f t="shared" si="6"/>
        <v>11862</v>
      </c>
      <c r="BK58" s="4423">
        <f t="shared" si="7"/>
        <v>0</v>
      </c>
      <c r="BL58" s="5295"/>
    </row>
    <row r="59" s="5168" customFormat="1" ht="40" customHeight="1" spans="1:64">
      <c r="A59" s="5303">
        <v>45796</v>
      </c>
      <c r="B59" s="5304" t="s">
        <v>77</v>
      </c>
      <c r="C59" s="5305" t="s">
        <v>78</v>
      </c>
      <c r="D59" s="3875">
        <v>4500166812</v>
      </c>
      <c r="E59" s="5306">
        <v>4401018157</v>
      </c>
      <c r="F59" s="3875" t="s">
        <v>242</v>
      </c>
      <c r="G59" s="5307"/>
      <c r="H59" s="5307" t="s">
        <v>80</v>
      </c>
      <c r="I59" s="5307" t="s">
        <v>81</v>
      </c>
      <c r="J59" s="5308">
        <v>11862</v>
      </c>
      <c r="K59" s="5308">
        <v>0</v>
      </c>
      <c r="L59" s="5309">
        <v>6</v>
      </c>
      <c r="M59" s="5308">
        <f t="shared" si="0"/>
        <v>1977</v>
      </c>
      <c r="N59" s="5310">
        <v>45905</v>
      </c>
      <c r="O59" s="5310">
        <f>N59-4</f>
        <v>45901</v>
      </c>
      <c r="P59" s="5311"/>
      <c r="Q59" s="5276" t="s">
        <v>82</v>
      </c>
      <c r="R59" s="5311"/>
      <c r="S59" s="5311"/>
      <c r="T59" s="5312" t="s">
        <v>243</v>
      </c>
      <c r="U59" s="5313" t="s">
        <v>229</v>
      </c>
      <c r="V59" s="5314"/>
      <c r="W59" s="5315" t="s">
        <v>230</v>
      </c>
      <c r="X59" s="2934"/>
      <c r="Y59" s="5316"/>
      <c r="Z59" s="4178" t="s">
        <v>231</v>
      </c>
      <c r="AA59" s="4178" t="s">
        <v>232</v>
      </c>
      <c r="AB59" s="4181" t="s">
        <v>233</v>
      </c>
      <c r="AC59" s="5317">
        <v>14.6964</v>
      </c>
      <c r="AD59" s="5318">
        <f t="shared" si="13"/>
        <v>29054.7828</v>
      </c>
      <c r="AE59" s="4178" t="s">
        <v>244</v>
      </c>
      <c r="AF59" s="5319"/>
      <c r="AG59" s="5320"/>
      <c r="AH59" s="5320"/>
      <c r="AI59" s="5321"/>
      <c r="AJ59" s="5322">
        <f t="shared" si="11"/>
        <v>11862</v>
      </c>
      <c r="AK59" s="5302"/>
      <c r="AL59" s="5320"/>
      <c r="AM59" s="5321"/>
      <c r="AN59" s="5323">
        <f t="shared" si="12"/>
        <v>11862</v>
      </c>
      <c r="AO59" s="5324"/>
      <c r="AP59" s="5323"/>
      <c r="AQ59" s="5323">
        <f t="shared" si="1"/>
        <v>11862</v>
      </c>
      <c r="AR59" s="5323"/>
      <c r="AS59" s="5323"/>
      <c r="AT59" s="5323"/>
      <c r="AU59" s="5323"/>
      <c r="AV59" s="5323"/>
      <c r="AW59" s="5323"/>
      <c r="AX59" s="5324"/>
      <c r="AY59" s="5323"/>
      <c r="AZ59" s="5323"/>
      <c r="BA59" s="5323"/>
      <c r="BB59" s="5325" t="s">
        <v>89</v>
      </c>
      <c r="BC59" s="5326">
        <f t="shared" si="2"/>
        <v>2965.5</v>
      </c>
      <c r="BD59" s="5326">
        <f t="shared" si="3"/>
        <v>2965.5</v>
      </c>
      <c r="BE59" s="5326">
        <f t="shared" si="4"/>
        <v>2965.5</v>
      </c>
      <c r="BF59" s="5326"/>
      <c r="BG59" s="5326">
        <f t="shared" si="5"/>
        <v>2965.5</v>
      </c>
      <c r="BH59" s="5326"/>
      <c r="BI59" s="5327"/>
      <c r="BJ59" s="5328">
        <f t="shared" si="6"/>
        <v>11862</v>
      </c>
      <c r="BK59" s="2934">
        <f t="shared" si="7"/>
        <v>0</v>
      </c>
      <c r="BL59" s="5329"/>
    </row>
    <row r="60" s="5168" customFormat="1" ht="40" customHeight="1" spans="1:64">
      <c r="A60" s="5303">
        <v>45796</v>
      </c>
      <c r="B60" s="5304" t="s">
        <v>77</v>
      </c>
      <c r="C60" s="5305" t="s">
        <v>78</v>
      </c>
      <c r="D60" s="3875">
        <v>4500166812</v>
      </c>
      <c r="E60" s="5306">
        <v>4401018160</v>
      </c>
      <c r="F60" s="3875" t="s">
        <v>245</v>
      </c>
      <c r="G60" s="5307"/>
      <c r="H60" s="5307" t="s">
        <v>80</v>
      </c>
      <c r="I60" s="5307" t="s">
        <v>81</v>
      </c>
      <c r="J60" s="5308">
        <v>11862</v>
      </c>
      <c r="K60" s="5308">
        <v>0</v>
      </c>
      <c r="L60" s="5309">
        <v>6</v>
      </c>
      <c r="M60" s="5308">
        <f t="shared" si="0"/>
        <v>1977</v>
      </c>
      <c r="N60" s="5310">
        <v>45908</v>
      </c>
      <c r="O60" s="5310">
        <f>N60-4</f>
        <v>45904</v>
      </c>
      <c r="P60" s="5311"/>
      <c r="Q60" s="5276" t="s">
        <v>82</v>
      </c>
      <c r="R60" s="5308"/>
      <c r="S60" s="5308"/>
      <c r="T60" s="5312" t="s">
        <v>243</v>
      </c>
      <c r="U60" s="5313" t="s">
        <v>229</v>
      </c>
      <c r="V60" s="5314"/>
      <c r="W60" s="5315" t="s">
        <v>230</v>
      </c>
      <c r="X60" s="2934"/>
      <c r="Y60" s="5316"/>
      <c r="Z60" s="4178" t="s">
        <v>231</v>
      </c>
      <c r="AA60" s="4178" t="s">
        <v>232</v>
      </c>
      <c r="AB60" s="4181" t="s">
        <v>233</v>
      </c>
      <c r="AC60" s="5317">
        <v>14.6964</v>
      </c>
      <c r="AD60" s="5318">
        <f t="shared" si="13"/>
        <v>29054.7828</v>
      </c>
      <c r="AE60" s="4178" t="s">
        <v>246</v>
      </c>
      <c r="AF60" s="5319"/>
      <c r="AG60" s="5320"/>
      <c r="AH60" s="5320"/>
      <c r="AI60" s="5321"/>
      <c r="AJ60" s="5322">
        <f t="shared" si="11"/>
        <v>11862</v>
      </c>
      <c r="AK60" s="5302"/>
      <c r="AL60" s="5320"/>
      <c r="AM60" s="5321"/>
      <c r="AN60" s="5323">
        <f t="shared" si="12"/>
        <v>11862</v>
      </c>
      <c r="AO60" s="5324"/>
      <c r="AP60" s="5323"/>
      <c r="AQ60" s="5323">
        <f t="shared" si="1"/>
        <v>11862</v>
      </c>
      <c r="AR60" s="5323"/>
      <c r="AS60" s="5323"/>
      <c r="AT60" s="5323"/>
      <c r="AU60" s="5323"/>
      <c r="AV60" s="5323"/>
      <c r="AW60" s="5323"/>
      <c r="AX60" s="5324"/>
      <c r="AY60" s="5323"/>
      <c r="AZ60" s="5323"/>
      <c r="BA60" s="5323"/>
      <c r="BB60" s="5325" t="s">
        <v>89</v>
      </c>
      <c r="BC60" s="5326">
        <f t="shared" si="2"/>
        <v>2965.5</v>
      </c>
      <c r="BD60" s="5326">
        <f t="shared" si="3"/>
        <v>2965.5</v>
      </c>
      <c r="BE60" s="5326">
        <f t="shared" si="4"/>
        <v>2965.5</v>
      </c>
      <c r="BF60" s="5326"/>
      <c r="BG60" s="5326">
        <f t="shared" si="5"/>
        <v>2965.5</v>
      </c>
      <c r="BH60" s="5326"/>
      <c r="BI60" s="5327"/>
      <c r="BJ60" s="5328">
        <f t="shared" si="6"/>
        <v>11862</v>
      </c>
      <c r="BK60" s="2934">
        <f t="shared" si="7"/>
        <v>0</v>
      </c>
      <c r="BL60" s="5329"/>
    </row>
    <row r="61" s="5169" customFormat="1" ht="40" customHeight="1" spans="1:64">
      <c r="A61" s="5330">
        <v>45796</v>
      </c>
      <c r="B61" s="5331" t="s">
        <v>77</v>
      </c>
      <c r="C61" s="5332" t="s">
        <v>78</v>
      </c>
      <c r="D61" s="3817">
        <v>4500166812</v>
      </c>
      <c r="E61" s="5333">
        <v>4401018165</v>
      </c>
      <c r="F61" s="3817" t="s">
        <v>247</v>
      </c>
      <c r="G61" s="5334"/>
      <c r="H61" s="5334" t="s">
        <v>80</v>
      </c>
      <c r="I61" s="5334" t="s">
        <v>81</v>
      </c>
      <c r="J61" s="5335">
        <v>11862</v>
      </c>
      <c r="K61" s="5335">
        <v>0</v>
      </c>
      <c r="L61" s="5336">
        <v>6</v>
      </c>
      <c r="M61" s="5335">
        <f t="shared" si="0"/>
        <v>1977</v>
      </c>
      <c r="N61" s="5337">
        <v>45910</v>
      </c>
      <c r="O61" s="5337">
        <v>45906</v>
      </c>
      <c r="P61" s="5338"/>
      <c r="Q61" s="5276" t="s">
        <v>82</v>
      </c>
      <c r="R61" s="5335">
        <f>2928+350</f>
        <v>3278</v>
      </c>
      <c r="S61" s="5335">
        <f>J61-R61</f>
        <v>8584</v>
      </c>
      <c r="T61" s="5339" t="s">
        <v>248</v>
      </c>
      <c r="U61" s="5340" t="s">
        <v>229</v>
      </c>
      <c r="V61" s="5341"/>
      <c r="W61" s="5342" t="s">
        <v>230</v>
      </c>
      <c r="X61" s="4675"/>
      <c r="Y61" s="5343"/>
      <c r="Z61" s="5344" t="s">
        <v>231</v>
      </c>
      <c r="AA61" s="5344" t="s">
        <v>232</v>
      </c>
      <c r="AB61" s="5345" t="s">
        <v>233</v>
      </c>
      <c r="AC61" s="5346">
        <v>14.6964</v>
      </c>
      <c r="AD61" s="5347">
        <f t="shared" si="13"/>
        <v>29054.7828</v>
      </c>
      <c r="AE61" s="4178" t="s">
        <v>246</v>
      </c>
      <c r="AF61" s="5348"/>
      <c r="AG61" s="5349"/>
      <c r="AH61" s="5349"/>
      <c r="AI61" s="4149"/>
      <c r="AJ61" s="5350">
        <f t="shared" si="11"/>
        <v>11862</v>
      </c>
      <c r="AK61" s="5351"/>
      <c r="AL61" s="5349"/>
      <c r="AM61" s="4149"/>
      <c r="AN61" s="5352">
        <f t="shared" si="12"/>
        <v>11862</v>
      </c>
      <c r="AO61" s="5353"/>
      <c r="AP61" s="5352"/>
      <c r="AQ61" s="5352">
        <f t="shared" si="1"/>
        <v>11862</v>
      </c>
      <c r="AR61" s="5352"/>
      <c r="AS61" s="5352"/>
      <c r="AT61" s="5352"/>
      <c r="AU61" s="5352"/>
      <c r="AV61" s="5352"/>
      <c r="AW61" s="5352"/>
      <c r="AX61" s="5353"/>
      <c r="AY61" s="5352"/>
      <c r="AZ61" s="5352"/>
      <c r="BA61" s="5352"/>
      <c r="BB61" s="5354" t="s">
        <v>89</v>
      </c>
      <c r="BC61" s="5355">
        <f t="shared" si="2"/>
        <v>2965.5</v>
      </c>
      <c r="BD61" s="5355">
        <f t="shared" si="3"/>
        <v>2965.5</v>
      </c>
      <c r="BE61" s="5355">
        <f t="shared" si="4"/>
        <v>2965.5</v>
      </c>
      <c r="BF61" s="5355"/>
      <c r="BG61" s="5355">
        <f t="shared" si="5"/>
        <v>2965.5</v>
      </c>
      <c r="BH61" s="5355"/>
      <c r="BI61" s="5356"/>
      <c r="BJ61" s="5357">
        <f t="shared" si="6"/>
        <v>11862</v>
      </c>
      <c r="BK61" s="4675">
        <f t="shared" si="7"/>
        <v>0</v>
      </c>
      <c r="BL61" s="5358"/>
    </row>
    <row r="62" s="5168" customFormat="1" ht="40" customHeight="1" spans="1:64">
      <c r="A62" s="5303">
        <v>45796</v>
      </c>
      <c r="B62" s="5304" t="s">
        <v>77</v>
      </c>
      <c r="C62" s="5305" t="s">
        <v>78</v>
      </c>
      <c r="D62" s="3875">
        <v>4500166812</v>
      </c>
      <c r="E62" s="5306">
        <v>4401018174</v>
      </c>
      <c r="F62" s="3875" t="s">
        <v>249</v>
      </c>
      <c r="G62" s="5307"/>
      <c r="H62" s="5307" t="s">
        <v>80</v>
      </c>
      <c r="I62" s="5307" t="s">
        <v>81</v>
      </c>
      <c r="J62" s="5308">
        <v>11862</v>
      </c>
      <c r="K62" s="5308">
        <v>0</v>
      </c>
      <c r="L62" s="5309">
        <v>6</v>
      </c>
      <c r="M62" s="5308">
        <f t="shared" si="0"/>
        <v>1977</v>
      </c>
      <c r="N62" s="5310">
        <v>45917</v>
      </c>
      <c r="O62" s="5310">
        <v>45913</v>
      </c>
      <c r="P62" s="5311"/>
      <c r="Q62" s="5276" t="s">
        <v>82</v>
      </c>
      <c r="R62" s="5308">
        <f>840+960+2966+2966+2126+2006</f>
        <v>11864</v>
      </c>
      <c r="S62" s="5308">
        <f>J62-R62</f>
        <v>-2</v>
      </c>
      <c r="T62" s="5312" t="s">
        <v>250</v>
      </c>
      <c r="U62" s="5313" t="s">
        <v>229</v>
      </c>
      <c r="V62" s="5314"/>
      <c r="W62" s="5315" t="s">
        <v>230</v>
      </c>
      <c r="X62" s="2934"/>
      <c r="Y62" s="5316"/>
      <c r="Z62" s="4178" t="s">
        <v>231</v>
      </c>
      <c r="AA62" s="4178" t="s">
        <v>232</v>
      </c>
      <c r="AB62" s="4181" t="s">
        <v>233</v>
      </c>
      <c r="AC62" s="5317">
        <v>14.6964</v>
      </c>
      <c r="AD62" s="5318">
        <f t="shared" si="13"/>
        <v>29054.7828</v>
      </c>
      <c r="AE62" s="4178" t="s">
        <v>251</v>
      </c>
      <c r="AF62" s="5319"/>
      <c r="AG62" s="5320"/>
      <c r="AH62" s="5320"/>
      <c r="AI62" s="5321"/>
      <c r="AJ62" s="5322">
        <f t="shared" si="11"/>
        <v>11862</v>
      </c>
      <c r="AK62" s="5302"/>
      <c r="AL62" s="5320"/>
      <c r="AM62" s="5321"/>
      <c r="AN62" s="5323">
        <f t="shared" si="12"/>
        <v>11862</v>
      </c>
      <c r="AO62" s="5324"/>
      <c r="AP62" s="5323"/>
      <c r="AQ62" s="5323">
        <f t="shared" si="1"/>
        <v>11862</v>
      </c>
      <c r="AR62" s="5323"/>
      <c r="AS62" s="5323"/>
      <c r="AT62" s="5323"/>
      <c r="AU62" s="5323"/>
      <c r="AV62" s="5323"/>
      <c r="AW62" s="5323"/>
      <c r="AX62" s="5324"/>
      <c r="AY62" s="5323"/>
      <c r="AZ62" s="5323"/>
      <c r="BA62" s="5323"/>
      <c r="BB62" s="5325" t="s">
        <v>89</v>
      </c>
      <c r="BC62" s="5326">
        <f t="shared" si="2"/>
        <v>2965.5</v>
      </c>
      <c r="BD62" s="5326">
        <f t="shared" si="3"/>
        <v>2965.5</v>
      </c>
      <c r="BE62" s="5326">
        <f t="shared" si="4"/>
        <v>2965.5</v>
      </c>
      <c r="BF62" s="5326"/>
      <c r="BG62" s="5326">
        <f t="shared" si="5"/>
        <v>2965.5</v>
      </c>
      <c r="BH62" s="5326"/>
      <c r="BI62" s="5327"/>
      <c r="BJ62" s="5328">
        <f t="shared" si="6"/>
        <v>11862</v>
      </c>
      <c r="BK62" s="2934">
        <f t="shared" si="7"/>
        <v>0</v>
      </c>
      <c r="BL62" s="5329"/>
    </row>
    <row r="63" s="5168" customFormat="1" ht="40" customHeight="1" spans="1:64">
      <c r="A63" s="5303">
        <v>45796</v>
      </c>
      <c r="B63" s="5304" t="s">
        <v>77</v>
      </c>
      <c r="C63" s="5305" t="s">
        <v>78</v>
      </c>
      <c r="D63" s="3875">
        <v>4500166812</v>
      </c>
      <c r="E63" s="5306">
        <v>4401018164</v>
      </c>
      <c r="F63" s="3875" t="s">
        <v>252</v>
      </c>
      <c r="G63" s="5307"/>
      <c r="H63" s="5307" t="s">
        <v>80</v>
      </c>
      <c r="I63" s="5307" t="s">
        <v>81</v>
      </c>
      <c r="J63" s="5308">
        <v>11862</v>
      </c>
      <c r="K63" s="5308">
        <v>0</v>
      </c>
      <c r="L63" s="5309">
        <v>6</v>
      </c>
      <c r="M63" s="5308">
        <f t="shared" si="0"/>
        <v>1977</v>
      </c>
      <c r="N63" s="5310">
        <v>45919</v>
      </c>
      <c r="O63" s="5359">
        <f>N63-4</f>
        <v>45915</v>
      </c>
      <c r="P63" s="5311"/>
      <c r="Q63" s="5276" t="s">
        <v>82</v>
      </c>
      <c r="R63" s="5308">
        <f>1520+1740+8602</f>
        <v>11862</v>
      </c>
      <c r="S63" s="5308">
        <f>J63-R63</f>
        <v>0</v>
      </c>
      <c r="T63" s="5312" t="s">
        <v>250</v>
      </c>
      <c r="U63" s="5313" t="s">
        <v>229</v>
      </c>
      <c r="V63" s="5314"/>
      <c r="W63" s="5315" t="s">
        <v>230</v>
      </c>
      <c r="X63" s="2934"/>
      <c r="Y63" s="5316"/>
      <c r="Z63" s="4178" t="s">
        <v>231</v>
      </c>
      <c r="AA63" s="4178" t="s">
        <v>232</v>
      </c>
      <c r="AB63" s="4181" t="s">
        <v>233</v>
      </c>
      <c r="AC63" s="5317">
        <v>14.6964</v>
      </c>
      <c r="AD63" s="5318">
        <f t="shared" si="13"/>
        <v>29054.7828</v>
      </c>
      <c r="AE63" s="4178"/>
      <c r="AF63" s="5319"/>
      <c r="AG63" s="5320"/>
      <c r="AH63" s="5320"/>
      <c r="AI63" s="5321"/>
      <c r="AJ63" s="5322">
        <f t="shared" si="11"/>
        <v>11862</v>
      </c>
      <c r="AK63" s="5302"/>
      <c r="AL63" s="5320"/>
      <c r="AM63" s="5321"/>
      <c r="AN63" s="5323">
        <f t="shared" si="12"/>
        <v>11862</v>
      </c>
      <c r="AO63" s="5324"/>
      <c r="AP63" s="5323"/>
      <c r="AQ63" s="5323">
        <f t="shared" si="1"/>
        <v>11862</v>
      </c>
      <c r="AR63" s="5323"/>
      <c r="AS63" s="5323"/>
      <c r="AT63" s="5323"/>
      <c r="AU63" s="5323"/>
      <c r="AV63" s="5323"/>
      <c r="AW63" s="5323"/>
      <c r="AX63" s="5324"/>
      <c r="AY63" s="5323"/>
      <c r="AZ63" s="5323"/>
      <c r="BA63" s="5323"/>
      <c r="BB63" s="5325" t="s">
        <v>89</v>
      </c>
      <c r="BC63" s="5326">
        <f t="shared" si="2"/>
        <v>2965.5</v>
      </c>
      <c r="BD63" s="5326">
        <f t="shared" si="3"/>
        <v>2965.5</v>
      </c>
      <c r="BE63" s="5326">
        <f t="shared" si="4"/>
        <v>2965.5</v>
      </c>
      <c r="BF63" s="5326"/>
      <c r="BG63" s="5326">
        <f t="shared" si="5"/>
        <v>2965.5</v>
      </c>
      <c r="BH63" s="5326"/>
      <c r="BI63" s="5327"/>
      <c r="BJ63" s="5328">
        <f t="shared" si="6"/>
        <v>11862</v>
      </c>
      <c r="BK63" s="2934">
        <f t="shared" si="7"/>
        <v>0</v>
      </c>
      <c r="BL63" s="5329"/>
    </row>
    <row r="64" s="5168" customFormat="1" ht="40" customHeight="1" spans="1:64">
      <c r="A64" s="5303">
        <v>45796</v>
      </c>
      <c r="B64" s="5304" t="s">
        <v>77</v>
      </c>
      <c r="C64" s="5305" t="s">
        <v>78</v>
      </c>
      <c r="D64" s="3875">
        <v>4500166812</v>
      </c>
      <c r="E64" s="5306">
        <v>4401018159</v>
      </c>
      <c r="F64" s="3875" t="s">
        <v>253</v>
      </c>
      <c r="G64" s="5307"/>
      <c r="H64" s="5307" t="s">
        <v>80</v>
      </c>
      <c r="I64" s="5307" t="s">
        <v>81</v>
      </c>
      <c r="J64" s="5308">
        <v>11862</v>
      </c>
      <c r="K64" s="5308">
        <v>0</v>
      </c>
      <c r="L64" s="5309">
        <v>6</v>
      </c>
      <c r="M64" s="5308">
        <f t="shared" si="0"/>
        <v>1977</v>
      </c>
      <c r="N64" s="5310">
        <v>45922</v>
      </c>
      <c r="O64" s="5359">
        <f>N64-4</f>
        <v>45918</v>
      </c>
      <c r="P64" s="5311"/>
      <c r="Q64" s="5276" t="s">
        <v>82</v>
      </c>
      <c r="R64" s="5308">
        <v>11862</v>
      </c>
      <c r="S64" s="5308">
        <f t="shared" ref="S64:S79" si="14">J64-R64</f>
        <v>0</v>
      </c>
      <c r="T64" s="5312" t="s">
        <v>254</v>
      </c>
      <c r="U64" s="5313" t="s">
        <v>229</v>
      </c>
      <c r="V64" s="5314"/>
      <c r="W64" s="5315" t="s">
        <v>230</v>
      </c>
      <c r="X64" s="2934"/>
      <c r="Y64" s="5316"/>
      <c r="Z64" s="4178" t="s">
        <v>231</v>
      </c>
      <c r="AA64" s="4178" t="s">
        <v>232</v>
      </c>
      <c r="AB64" s="4181" t="s">
        <v>233</v>
      </c>
      <c r="AC64" s="5317">
        <v>14.6964</v>
      </c>
      <c r="AD64" s="5318">
        <f t="shared" si="13"/>
        <v>29054.7828</v>
      </c>
      <c r="AE64" s="4178"/>
      <c r="AF64" s="5319"/>
      <c r="AG64" s="5320"/>
      <c r="AH64" s="5320"/>
      <c r="AI64" s="5321"/>
      <c r="AJ64" s="5322">
        <f t="shared" si="11"/>
        <v>11862</v>
      </c>
      <c r="AK64" s="5302"/>
      <c r="AL64" s="5320"/>
      <c r="AM64" s="5321"/>
      <c r="AN64" s="5323">
        <f t="shared" si="12"/>
        <v>11862</v>
      </c>
      <c r="AO64" s="5324"/>
      <c r="AP64" s="5323"/>
      <c r="AQ64" s="5323">
        <f t="shared" si="1"/>
        <v>11862</v>
      </c>
      <c r="AR64" s="5323"/>
      <c r="AS64" s="5323"/>
      <c r="AT64" s="5323"/>
      <c r="AU64" s="5323"/>
      <c r="AV64" s="5323"/>
      <c r="AW64" s="5323"/>
      <c r="AX64" s="5324"/>
      <c r="AY64" s="5323"/>
      <c r="AZ64" s="5323"/>
      <c r="BA64" s="5323"/>
      <c r="BB64" s="5325" t="s">
        <v>89</v>
      </c>
      <c r="BC64" s="5326">
        <f t="shared" si="2"/>
        <v>2965.5</v>
      </c>
      <c r="BD64" s="5326">
        <f t="shared" si="3"/>
        <v>2965.5</v>
      </c>
      <c r="BE64" s="5326">
        <f t="shared" si="4"/>
        <v>2965.5</v>
      </c>
      <c r="BF64" s="5326"/>
      <c r="BG64" s="5326">
        <f t="shared" si="5"/>
        <v>2965.5</v>
      </c>
      <c r="BH64" s="5326"/>
      <c r="BI64" s="5327"/>
      <c r="BJ64" s="5328">
        <f t="shared" si="6"/>
        <v>11862</v>
      </c>
      <c r="BK64" s="2934">
        <f t="shared" si="7"/>
        <v>0</v>
      </c>
      <c r="BL64" s="5329"/>
    </row>
    <row r="65" s="5169" customFormat="1" ht="40" customHeight="1" spans="1:64">
      <c r="A65" s="5330">
        <v>45796</v>
      </c>
      <c r="B65" s="5331" t="s">
        <v>77</v>
      </c>
      <c r="C65" s="5332" t="s">
        <v>78</v>
      </c>
      <c r="D65" s="3817">
        <v>4500166812</v>
      </c>
      <c r="E65" s="5333">
        <v>4401018161</v>
      </c>
      <c r="F65" s="3817" t="s">
        <v>255</v>
      </c>
      <c r="G65" s="5334"/>
      <c r="H65" s="5334" t="s">
        <v>80</v>
      </c>
      <c r="I65" s="5334" t="s">
        <v>81</v>
      </c>
      <c r="J65" s="5335">
        <v>11862</v>
      </c>
      <c r="K65" s="5335">
        <v>0</v>
      </c>
      <c r="L65" s="5336">
        <v>6</v>
      </c>
      <c r="M65" s="5335">
        <f t="shared" si="0"/>
        <v>1977</v>
      </c>
      <c r="N65" s="5337">
        <v>45924</v>
      </c>
      <c r="O65" s="5360">
        <f>N65-4</f>
        <v>45920</v>
      </c>
      <c r="P65" s="5338"/>
      <c r="Q65" s="5276" t="s">
        <v>82</v>
      </c>
      <c r="R65" s="5335">
        <v>11862</v>
      </c>
      <c r="S65" s="5335">
        <f t="shared" si="14"/>
        <v>0</v>
      </c>
      <c r="T65" s="5339" t="s">
        <v>256</v>
      </c>
      <c r="U65" s="5340" t="s">
        <v>229</v>
      </c>
      <c r="V65" s="5341"/>
      <c r="W65" s="5342" t="s">
        <v>230</v>
      </c>
      <c r="X65" s="4675"/>
      <c r="Y65" s="5343"/>
      <c r="Z65" s="5344" t="s">
        <v>231</v>
      </c>
      <c r="AA65" s="5344" t="s">
        <v>232</v>
      </c>
      <c r="AB65" s="5345" t="s">
        <v>233</v>
      </c>
      <c r="AC65" s="5346">
        <v>14.6964</v>
      </c>
      <c r="AD65" s="5347">
        <f t="shared" si="13"/>
        <v>29054.7828</v>
      </c>
      <c r="AE65" s="5344"/>
      <c r="AF65" s="5348"/>
      <c r="AG65" s="5349"/>
      <c r="AH65" s="5349"/>
      <c r="AI65" s="4149"/>
      <c r="AJ65" s="5350">
        <f t="shared" si="11"/>
        <v>11862</v>
      </c>
      <c r="AK65" s="5351"/>
      <c r="AL65" s="5349"/>
      <c r="AM65" s="4149"/>
      <c r="AN65" s="5352">
        <f t="shared" si="12"/>
        <v>11862</v>
      </c>
      <c r="AO65" s="5353"/>
      <c r="AP65" s="5352"/>
      <c r="AQ65" s="5352">
        <f t="shared" si="1"/>
        <v>11862</v>
      </c>
      <c r="AR65" s="5352"/>
      <c r="AS65" s="5352"/>
      <c r="AT65" s="5352"/>
      <c r="AU65" s="5352"/>
      <c r="AV65" s="5352"/>
      <c r="AW65" s="5352"/>
      <c r="AX65" s="5353"/>
      <c r="AY65" s="5352"/>
      <c r="AZ65" s="5352"/>
      <c r="BA65" s="5352"/>
      <c r="BB65" s="5354" t="s">
        <v>89</v>
      </c>
      <c r="BC65" s="5355">
        <f t="shared" si="2"/>
        <v>2965.5</v>
      </c>
      <c r="BD65" s="5355">
        <f t="shared" si="3"/>
        <v>2965.5</v>
      </c>
      <c r="BE65" s="5355">
        <f t="shared" si="4"/>
        <v>2965.5</v>
      </c>
      <c r="BF65" s="5355"/>
      <c r="BG65" s="5355">
        <f t="shared" si="5"/>
        <v>2965.5</v>
      </c>
      <c r="BH65" s="5355"/>
      <c r="BI65" s="5356"/>
      <c r="BJ65" s="5357">
        <f t="shared" si="6"/>
        <v>11862</v>
      </c>
      <c r="BK65" s="4675">
        <f t="shared" si="7"/>
        <v>0</v>
      </c>
      <c r="BL65" s="5358"/>
    </row>
    <row r="66" s="5169" customFormat="1" ht="40" customHeight="1" spans="1:64">
      <c r="A66" s="5330">
        <v>45796</v>
      </c>
      <c r="B66" s="5331" t="s">
        <v>77</v>
      </c>
      <c r="C66" s="5332" t="s">
        <v>78</v>
      </c>
      <c r="D66" s="3817">
        <v>4500166812</v>
      </c>
      <c r="E66" s="5333">
        <v>4401018153</v>
      </c>
      <c r="F66" s="3817" t="s">
        <v>257</v>
      </c>
      <c r="G66" s="5334"/>
      <c r="H66" s="5334" t="s">
        <v>80</v>
      </c>
      <c r="I66" s="5334" t="s">
        <v>81</v>
      </c>
      <c r="J66" s="5335">
        <v>11862</v>
      </c>
      <c r="K66" s="5335">
        <v>0</v>
      </c>
      <c r="L66" s="5336">
        <v>6</v>
      </c>
      <c r="M66" s="5335">
        <f t="shared" si="0"/>
        <v>1977</v>
      </c>
      <c r="N66" s="5337">
        <v>45929</v>
      </c>
      <c r="O66" s="5360">
        <f>N66-4</f>
        <v>45925</v>
      </c>
      <c r="P66" s="5338"/>
      <c r="Q66" s="5276" t="s">
        <v>82</v>
      </c>
      <c r="R66" s="5335">
        <f>2816+1792+7254</f>
        <v>11862</v>
      </c>
      <c r="S66" s="5335">
        <f t="shared" si="14"/>
        <v>0</v>
      </c>
      <c r="T66" s="5339" t="s">
        <v>258</v>
      </c>
      <c r="U66" s="5340" t="s">
        <v>229</v>
      </c>
      <c r="V66" s="5341"/>
      <c r="W66" s="5342" t="s">
        <v>230</v>
      </c>
      <c r="X66" s="4675"/>
      <c r="Y66" s="5343"/>
      <c r="Z66" s="5344" t="s">
        <v>231</v>
      </c>
      <c r="AA66" s="5344" t="s">
        <v>232</v>
      </c>
      <c r="AB66" s="5345" t="s">
        <v>233</v>
      </c>
      <c r="AC66" s="5346">
        <v>14.6964</v>
      </c>
      <c r="AD66" s="5347">
        <f t="shared" si="13"/>
        <v>29054.7828</v>
      </c>
      <c r="AE66" s="5344"/>
      <c r="AF66" s="5348"/>
      <c r="AG66" s="5349"/>
      <c r="AH66" s="5349"/>
      <c r="AI66" s="4149"/>
      <c r="AJ66" s="5350">
        <f t="shared" si="11"/>
        <v>11862</v>
      </c>
      <c r="AK66" s="5351"/>
      <c r="AL66" s="5349"/>
      <c r="AM66" s="4149"/>
      <c r="AN66" s="5352">
        <f t="shared" si="12"/>
        <v>11862</v>
      </c>
      <c r="AO66" s="5353"/>
      <c r="AP66" s="5352"/>
      <c r="AQ66" s="5352">
        <f t="shared" si="1"/>
        <v>11862</v>
      </c>
      <c r="AR66" s="5352"/>
      <c r="AS66" s="5352"/>
      <c r="AT66" s="5352"/>
      <c r="AU66" s="5352"/>
      <c r="AV66" s="5352"/>
      <c r="AW66" s="5352"/>
      <c r="AX66" s="5353"/>
      <c r="AY66" s="5352"/>
      <c r="AZ66" s="5352"/>
      <c r="BA66" s="5352"/>
      <c r="BB66" s="5354" t="s">
        <v>89</v>
      </c>
      <c r="BC66" s="5355">
        <f t="shared" si="2"/>
        <v>2965.5</v>
      </c>
      <c r="BD66" s="5355">
        <f t="shared" si="3"/>
        <v>2965.5</v>
      </c>
      <c r="BE66" s="5355">
        <f t="shared" si="4"/>
        <v>2965.5</v>
      </c>
      <c r="BF66" s="5355"/>
      <c r="BG66" s="5355">
        <f t="shared" si="5"/>
        <v>2965.5</v>
      </c>
      <c r="BH66" s="5355"/>
      <c r="BI66" s="5356"/>
      <c r="BJ66" s="5357">
        <f t="shared" si="6"/>
        <v>11862</v>
      </c>
      <c r="BK66" s="4675">
        <f t="shared" si="7"/>
        <v>0</v>
      </c>
      <c r="BL66" s="5358"/>
    </row>
    <row r="67" s="5169" customFormat="1" ht="40" customHeight="1" spans="1:64">
      <c r="A67" s="5330">
        <v>45796</v>
      </c>
      <c r="B67" s="5331" t="s">
        <v>77</v>
      </c>
      <c r="C67" s="5332" t="s">
        <v>78</v>
      </c>
      <c r="D67" s="3817">
        <v>4500166812</v>
      </c>
      <c r="E67" s="5333">
        <v>4401018156</v>
      </c>
      <c r="F67" s="3817" t="s">
        <v>259</v>
      </c>
      <c r="G67" s="5334"/>
      <c r="H67" s="5334" t="s">
        <v>80</v>
      </c>
      <c r="I67" s="5334" t="s">
        <v>81</v>
      </c>
      <c r="J67" s="5335">
        <v>11862</v>
      </c>
      <c r="K67" s="5335">
        <v>0</v>
      </c>
      <c r="L67" s="5336">
        <v>6</v>
      </c>
      <c r="M67" s="5335">
        <f t="shared" si="0"/>
        <v>1977</v>
      </c>
      <c r="N67" s="5337">
        <v>45931</v>
      </c>
      <c r="O67" s="5360">
        <f>N67-4</f>
        <v>45927</v>
      </c>
      <c r="P67" s="5338"/>
      <c r="Q67" s="5276" t="s">
        <v>82</v>
      </c>
      <c r="R67" s="5335">
        <v>11862</v>
      </c>
      <c r="S67" s="5335">
        <f t="shared" si="14"/>
        <v>0</v>
      </c>
      <c r="T67" s="5339" t="s">
        <v>260</v>
      </c>
      <c r="U67" s="5340" t="s">
        <v>229</v>
      </c>
      <c r="V67" s="5341"/>
      <c r="W67" s="5342" t="s">
        <v>230</v>
      </c>
      <c r="X67" s="4675"/>
      <c r="Y67" s="5343"/>
      <c r="Z67" s="5344" t="s">
        <v>231</v>
      </c>
      <c r="AA67" s="5344" t="s">
        <v>232</v>
      </c>
      <c r="AB67" s="5345" t="s">
        <v>233</v>
      </c>
      <c r="AC67" s="5346">
        <v>14.6964</v>
      </c>
      <c r="AD67" s="5347">
        <f t="shared" si="13"/>
        <v>29054.7828</v>
      </c>
      <c r="AE67" s="5344"/>
      <c r="AF67" s="5348"/>
      <c r="AG67" s="5349"/>
      <c r="AH67" s="5349"/>
      <c r="AI67" s="4149"/>
      <c r="AJ67" s="5350">
        <f t="shared" si="11"/>
        <v>11862</v>
      </c>
      <c r="AK67" s="5351"/>
      <c r="AL67" s="5349"/>
      <c r="AM67" s="4149"/>
      <c r="AN67" s="5352">
        <f t="shared" si="12"/>
        <v>11862</v>
      </c>
      <c r="AO67" s="5353"/>
      <c r="AP67" s="5352"/>
      <c r="AQ67" s="5352">
        <f t="shared" si="1"/>
        <v>11862</v>
      </c>
      <c r="AR67" s="5352"/>
      <c r="AS67" s="5352"/>
      <c r="AT67" s="5352"/>
      <c r="AU67" s="5352"/>
      <c r="AV67" s="5352"/>
      <c r="AW67" s="5352"/>
      <c r="AX67" s="5353"/>
      <c r="AY67" s="5352"/>
      <c r="AZ67" s="5352"/>
      <c r="BA67" s="5352"/>
      <c r="BB67" s="5354" t="s">
        <v>89</v>
      </c>
      <c r="BC67" s="5355">
        <f t="shared" si="2"/>
        <v>2965.5</v>
      </c>
      <c r="BD67" s="5355">
        <f t="shared" si="3"/>
        <v>2965.5</v>
      </c>
      <c r="BE67" s="5355">
        <f t="shared" si="4"/>
        <v>2965.5</v>
      </c>
      <c r="BF67" s="5355"/>
      <c r="BG67" s="5355">
        <f t="shared" si="5"/>
        <v>2965.5</v>
      </c>
      <c r="BH67" s="5355"/>
      <c r="BI67" s="5356"/>
      <c r="BJ67" s="5357">
        <f t="shared" si="6"/>
        <v>11862</v>
      </c>
      <c r="BK67" s="4675">
        <f t="shared" si="7"/>
        <v>0</v>
      </c>
      <c r="BL67" s="5358"/>
    </row>
    <row r="68" s="5169" customFormat="1" ht="40" customHeight="1" spans="1:64">
      <c r="A68" s="5330">
        <v>45796</v>
      </c>
      <c r="B68" s="5331" t="s">
        <v>77</v>
      </c>
      <c r="C68" s="5332" t="s">
        <v>78</v>
      </c>
      <c r="D68" s="3817">
        <v>4500166812</v>
      </c>
      <c r="E68" s="5333">
        <v>4401018155</v>
      </c>
      <c r="F68" s="3817" t="s">
        <v>261</v>
      </c>
      <c r="G68" s="5334"/>
      <c r="H68" s="5334" t="s">
        <v>80</v>
      </c>
      <c r="I68" s="5334" t="s">
        <v>81</v>
      </c>
      <c r="J68" s="5335">
        <v>11862</v>
      </c>
      <c r="K68" s="5335">
        <v>0</v>
      </c>
      <c r="L68" s="5336">
        <v>6</v>
      </c>
      <c r="M68" s="5335">
        <f t="shared" si="0"/>
        <v>1977</v>
      </c>
      <c r="N68" s="5337">
        <v>45932</v>
      </c>
      <c r="O68" s="5360">
        <f>N68-3</f>
        <v>45929</v>
      </c>
      <c r="P68" s="5338"/>
      <c r="Q68" s="5276" t="s">
        <v>82</v>
      </c>
      <c r="R68" s="5335">
        <v>11862</v>
      </c>
      <c r="S68" s="5335">
        <f t="shared" si="14"/>
        <v>0</v>
      </c>
      <c r="T68" s="5339" t="s">
        <v>262</v>
      </c>
      <c r="U68" s="5340" t="s">
        <v>229</v>
      </c>
      <c r="V68" s="5341"/>
      <c r="W68" s="5342" t="s">
        <v>230</v>
      </c>
      <c r="X68" s="4675"/>
      <c r="Y68" s="5343"/>
      <c r="Z68" s="5344" t="s">
        <v>231</v>
      </c>
      <c r="AA68" s="5344" t="s">
        <v>232</v>
      </c>
      <c r="AB68" s="5345" t="s">
        <v>233</v>
      </c>
      <c r="AC68" s="5346">
        <v>14.6964</v>
      </c>
      <c r="AD68" s="5347">
        <f t="shared" si="13"/>
        <v>29054.7828</v>
      </c>
      <c r="AE68" s="5344"/>
      <c r="AF68" s="5348"/>
      <c r="AG68" s="5349"/>
      <c r="AH68" s="5349"/>
      <c r="AI68" s="4149"/>
      <c r="AJ68" s="5350">
        <f t="shared" si="11"/>
        <v>11862</v>
      </c>
      <c r="AK68" s="5351"/>
      <c r="AL68" s="5349"/>
      <c r="AM68" s="4149"/>
      <c r="AN68" s="5352">
        <f t="shared" si="12"/>
        <v>11862</v>
      </c>
      <c r="AO68" s="5353"/>
      <c r="AP68" s="5352"/>
      <c r="AQ68" s="5352">
        <f t="shared" si="1"/>
        <v>11862</v>
      </c>
      <c r="AR68" s="5352"/>
      <c r="AS68" s="5352"/>
      <c r="AT68" s="5352"/>
      <c r="AU68" s="5352"/>
      <c r="AV68" s="5352"/>
      <c r="AW68" s="5352"/>
      <c r="AX68" s="5353"/>
      <c r="AY68" s="5352"/>
      <c r="AZ68" s="5352"/>
      <c r="BA68" s="5352"/>
      <c r="BB68" s="5354" t="s">
        <v>89</v>
      </c>
      <c r="BC68" s="5355">
        <f t="shared" si="2"/>
        <v>2965.5</v>
      </c>
      <c r="BD68" s="5355">
        <f t="shared" si="3"/>
        <v>2965.5</v>
      </c>
      <c r="BE68" s="5355">
        <f t="shared" si="4"/>
        <v>2965.5</v>
      </c>
      <c r="BF68" s="5355"/>
      <c r="BG68" s="5355">
        <f t="shared" si="5"/>
        <v>2965.5</v>
      </c>
      <c r="BH68" s="5355"/>
      <c r="BI68" s="5356"/>
      <c r="BJ68" s="5357">
        <f t="shared" si="6"/>
        <v>11862</v>
      </c>
      <c r="BK68" s="4675">
        <f t="shared" si="7"/>
        <v>0</v>
      </c>
      <c r="BL68" s="5358"/>
    </row>
    <row r="69" s="5169" customFormat="1" ht="40" customHeight="1" spans="1:64">
      <c r="A69" s="5330">
        <v>45796</v>
      </c>
      <c r="B69" s="5331" t="s">
        <v>77</v>
      </c>
      <c r="C69" s="5332" t="s">
        <v>78</v>
      </c>
      <c r="D69" s="3817">
        <v>4500166812</v>
      </c>
      <c r="E69" s="5333">
        <v>4401018170</v>
      </c>
      <c r="F69" s="3817" t="s">
        <v>263</v>
      </c>
      <c r="G69" s="5334"/>
      <c r="H69" s="5334" t="s">
        <v>80</v>
      </c>
      <c r="I69" s="5334" t="s">
        <v>81</v>
      </c>
      <c r="J69" s="5335">
        <v>11862</v>
      </c>
      <c r="K69" s="5335">
        <v>0</v>
      </c>
      <c r="L69" s="5336">
        <v>6</v>
      </c>
      <c r="M69" s="5335">
        <f t="shared" ref="M69:M80" si="15">J69/L69</f>
        <v>1977</v>
      </c>
      <c r="N69" s="5337">
        <v>45943</v>
      </c>
      <c r="O69" s="5337">
        <v>45939</v>
      </c>
      <c r="P69" s="5338"/>
      <c r="Q69" s="5276" t="s">
        <v>82</v>
      </c>
      <c r="R69" s="5335">
        <f>2910+2964+2246+2964+708</f>
        <v>11792</v>
      </c>
      <c r="S69" s="5335">
        <f t="shared" si="14"/>
        <v>70</v>
      </c>
      <c r="T69" s="5339"/>
      <c r="U69" s="5340" t="s">
        <v>229</v>
      </c>
      <c r="V69" s="5341"/>
      <c r="W69" s="5342" t="s">
        <v>230</v>
      </c>
      <c r="X69" s="4675"/>
      <c r="Y69" s="5343"/>
      <c r="Z69" s="5344" t="s">
        <v>231</v>
      </c>
      <c r="AA69" s="5344" t="s">
        <v>232</v>
      </c>
      <c r="AB69" s="5345" t="s">
        <v>233</v>
      </c>
      <c r="AC69" s="5346">
        <v>14.6964</v>
      </c>
      <c r="AD69" s="5347">
        <f t="shared" si="13"/>
        <v>29054.7828</v>
      </c>
      <c r="AE69" s="5344"/>
      <c r="AF69" s="5348"/>
      <c r="AG69" s="5349"/>
      <c r="AH69" s="5349"/>
      <c r="AI69" s="4149"/>
      <c r="AJ69" s="5350">
        <f t="shared" si="11"/>
        <v>11862</v>
      </c>
      <c r="AK69" s="5351"/>
      <c r="AL69" s="5349"/>
      <c r="AM69" s="4149"/>
      <c r="AN69" s="5352">
        <f t="shared" si="12"/>
        <v>11862</v>
      </c>
      <c r="AO69" s="5353"/>
      <c r="AP69" s="5352"/>
      <c r="AQ69" s="5352">
        <f t="shared" ref="AQ69:AQ79" si="16">J69</f>
        <v>11862</v>
      </c>
      <c r="AR69" s="5352"/>
      <c r="AS69" s="5352"/>
      <c r="AT69" s="5352"/>
      <c r="AU69" s="5352"/>
      <c r="AV69" s="5352"/>
      <c r="AW69" s="5352"/>
      <c r="AX69" s="5353"/>
      <c r="AY69" s="5352"/>
      <c r="AZ69" s="5352"/>
      <c r="BA69" s="5352"/>
      <c r="BB69" s="5354" t="s">
        <v>89</v>
      </c>
      <c r="BC69" s="5355">
        <f t="shared" ref="BC69:BC79" si="17">J69/4</f>
        <v>2965.5</v>
      </c>
      <c r="BD69" s="5355">
        <f t="shared" ref="BD69:BD79" si="18">J69/4</f>
        <v>2965.5</v>
      </c>
      <c r="BE69" s="5355">
        <f t="shared" ref="BE69:BE79" si="19">J69/4</f>
        <v>2965.5</v>
      </c>
      <c r="BF69" s="5355"/>
      <c r="BG69" s="5355">
        <f t="shared" ref="BG69:BG79" si="20">J69/4</f>
        <v>2965.5</v>
      </c>
      <c r="BH69" s="5355"/>
      <c r="BI69" s="5356"/>
      <c r="BJ69" s="5357">
        <f t="shared" ref="BJ69:BJ79" si="21">SUM(BC69:BI69)</f>
        <v>11862</v>
      </c>
      <c r="BK69" s="4675">
        <f t="shared" ref="BK69:BK79" si="22">J69-BJ69</f>
        <v>0</v>
      </c>
      <c r="BL69" s="5358"/>
    </row>
    <row r="70" s="5168" customFormat="1" ht="40" customHeight="1" spans="1:64">
      <c r="A70" s="5303">
        <v>45796</v>
      </c>
      <c r="B70" s="5304" t="s">
        <v>77</v>
      </c>
      <c r="C70" s="5305" t="s">
        <v>78</v>
      </c>
      <c r="D70" s="3875">
        <v>4500166812</v>
      </c>
      <c r="E70" s="5306">
        <v>4401018169</v>
      </c>
      <c r="F70" s="3875" t="s">
        <v>264</v>
      </c>
      <c r="G70" s="5307"/>
      <c r="H70" s="5307" t="s">
        <v>80</v>
      </c>
      <c r="I70" s="5307" t="s">
        <v>81</v>
      </c>
      <c r="J70" s="5308">
        <v>11862</v>
      </c>
      <c r="K70" s="5308">
        <v>0</v>
      </c>
      <c r="L70" s="5309">
        <v>6</v>
      </c>
      <c r="M70" s="5308">
        <f t="shared" si="15"/>
        <v>1977</v>
      </c>
      <c r="N70" s="5310">
        <v>45952</v>
      </c>
      <c r="O70" s="5310">
        <v>45948</v>
      </c>
      <c r="P70" s="5311"/>
      <c r="Q70" s="5276" t="s">
        <v>82</v>
      </c>
      <c r="R70" s="5308">
        <f>2760+960</f>
        <v>3720</v>
      </c>
      <c r="S70" s="5308">
        <f t="shared" si="14"/>
        <v>8142</v>
      </c>
      <c r="T70" s="5312" t="s">
        <v>265</v>
      </c>
      <c r="U70" s="5313" t="s">
        <v>229</v>
      </c>
      <c r="V70" s="5314"/>
      <c r="W70" s="5315" t="s">
        <v>230</v>
      </c>
      <c r="X70" s="2934"/>
      <c r="Y70" s="5316"/>
      <c r="Z70" s="4178" t="s">
        <v>231</v>
      </c>
      <c r="AA70" s="4178" t="s">
        <v>232</v>
      </c>
      <c r="AB70" s="4181" t="s">
        <v>233</v>
      </c>
      <c r="AC70" s="5317">
        <v>14.6964</v>
      </c>
      <c r="AD70" s="5318">
        <f t="shared" si="13"/>
        <v>29054.7828</v>
      </c>
      <c r="AE70" s="4178"/>
      <c r="AF70" s="5319"/>
      <c r="AG70" s="5320"/>
      <c r="AH70" s="5320"/>
      <c r="AI70" s="5321"/>
      <c r="AJ70" s="5322">
        <f t="shared" si="11"/>
        <v>11862</v>
      </c>
      <c r="AK70" s="5302"/>
      <c r="AL70" s="5320"/>
      <c r="AM70" s="5321"/>
      <c r="AN70" s="5323">
        <f t="shared" si="12"/>
        <v>11862</v>
      </c>
      <c r="AO70" s="5324"/>
      <c r="AP70" s="5323"/>
      <c r="AQ70" s="5323">
        <f t="shared" si="16"/>
        <v>11862</v>
      </c>
      <c r="AR70" s="5323"/>
      <c r="AS70" s="5323"/>
      <c r="AT70" s="5323"/>
      <c r="AU70" s="5323"/>
      <c r="AV70" s="5323"/>
      <c r="AW70" s="5323"/>
      <c r="AX70" s="5324"/>
      <c r="AY70" s="5323"/>
      <c r="AZ70" s="5323"/>
      <c r="BA70" s="5323"/>
      <c r="BB70" s="5325" t="s">
        <v>89</v>
      </c>
      <c r="BC70" s="5326">
        <f t="shared" si="17"/>
        <v>2965.5</v>
      </c>
      <c r="BD70" s="5326">
        <f t="shared" si="18"/>
        <v>2965.5</v>
      </c>
      <c r="BE70" s="5326">
        <f t="shared" si="19"/>
        <v>2965.5</v>
      </c>
      <c r="BF70" s="5326"/>
      <c r="BG70" s="5326">
        <f t="shared" si="20"/>
        <v>2965.5</v>
      </c>
      <c r="BH70" s="5326"/>
      <c r="BI70" s="5327"/>
      <c r="BJ70" s="5328">
        <f t="shared" si="21"/>
        <v>11862</v>
      </c>
      <c r="BK70" s="2934">
        <f t="shared" si="22"/>
        <v>0</v>
      </c>
      <c r="BL70" s="5329"/>
    </row>
    <row r="71" s="5168" customFormat="1" ht="40" customHeight="1" spans="1:64">
      <c r="A71" s="5303">
        <v>45796</v>
      </c>
      <c r="B71" s="5304" t="s">
        <v>77</v>
      </c>
      <c r="C71" s="5305" t="s">
        <v>78</v>
      </c>
      <c r="D71" s="3875">
        <v>4500166812</v>
      </c>
      <c r="E71" s="5306">
        <v>4401018152</v>
      </c>
      <c r="F71" s="3875" t="s">
        <v>266</v>
      </c>
      <c r="G71" s="5307"/>
      <c r="H71" s="5307" t="s">
        <v>80</v>
      </c>
      <c r="I71" s="5307" t="s">
        <v>81</v>
      </c>
      <c r="J71" s="5308">
        <v>11862</v>
      </c>
      <c r="K71" s="5308">
        <v>0</v>
      </c>
      <c r="L71" s="5309">
        <v>6</v>
      </c>
      <c r="M71" s="5308">
        <f t="shared" si="15"/>
        <v>1977</v>
      </c>
      <c r="N71" s="5310">
        <v>45957</v>
      </c>
      <c r="O71" s="5359">
        <f>N71-4</f>
        <v>45953</v>
      </c>
      <c r="P71" s="5311"/>
      <c r="Q71" s="5276" t="s">
        <v>82</v>
      </c>
      <c r="R71" s="5308"/>
      <c r="S71" s="5308">
        <f t="shared" si="14"/>
        <v>11862</v>
      </c>
      <c r="T71" s="5312" t="s">
        <v>267</v>
      </c>
      <c r="U71" s="5313" t="s">
        <v>229</v>
      </c>
      <c r="V71" s="5314"/>
      <c r="W71" s="5315" t="s">
        <v>230</v>
      </c>
      <c r="X71" s="2934"/>
      <c r="Y71" s="5316"/>
      <c r="Z71" s="4178" t="s">
        <v>231</v>
      </c>
      <c r="AA71" s="4178" t="s">
        <v>232</v>
      </c>
      <c r="AB71" s="4181" t="s">
        <v>233</v>
      </c>
      <c r="AC71" s="5317">
        <v>14.6964</v>
      </c>
      <c r="AD71" s="5318">
        <f t="shared" si="13"/>
        <v>29054.7828</v>
      </c>
      <c r="AE71" s="4178"/>
      <c r="AF71" s="5319"/>
      <c r="AG71" s="5320"/>
      <c r="AH71" s="5320"/>
      <c r="AI71" s="5321"/>
      <c r="AJ71" s="5322">
        <f t="shared" si="11"/>
        <v>11862</v>
      </c>
      <c r="AK71" s="5302"/>
      <c r="AL71" s="5320"/>
      <c r="AM71" s="5321"/>
      <c r="AN71" s="5323">
        <f t="shared" si="12"/>
        <v>11862</v>
      </c>
      <c r="AO71" s="5324"/>
      <c r="AP71" s="5323"/>
      <c r="AQ71" s="5323">
        <f t="shared" si="16"/>
        <v>11862</v>
      </c>
      <c r="AR71" s="5323"/>
      <c r="AS71" s="5323"/>
      <c r="AT71" s="5323"/>
      <c r="AU71" s="5323"/>
      <c r="AV71" s="5323"/>
      <c r="AW71" s="5323"/>
      <c r="AX71" s="5324"/>
      <c r="AY71" s="5323"/>
      <c r="AZ71" s="5323"/>
      <c r="BA71" s="5323"/>
      <c r="BB71" s="5325" t="s">
        <v>89</v>
      </c>
      <c r="BC71" s="5326">
        <f t="shared" si="17"/>
        <v>2965.5</v>
      </c>
      <c r="BD71" s="5326">
        <f t="shared" si="18"/>
        <v>2965.5</v>
      </c>
      <c r="BE71" s="5326">
        <f t="shared" si="19"/>
        <v>2965.5</v>
      </c>
      <c r="BF71" s="5326"/>
      <c r="BG71" s="5326">
        <f t="shared" si="20"/>
        <v>2965.5</v>
      </c>
      <c r="BH71" s="5326"/>
      <c r="BI71" s="5327"/>
      <c r="BJ71" s="5328">
        <f t="shared" si="21"/>
        <v>11862</v>
      </c>
      <c r="BK71" s="2934">
        <f t="shared" si="22"/>
        <v>0</v>
      </c>
      <c r="BL71" s="5329"/>
    </row>
    <row r="72" s="5168" customFormat="1" ht="40" customHeight="1" spans="1:64">
      <c r="A72" s="5303">
        <v>45796</v>
      </c>
      <c r="B72" s="5304" t="s">
        <v>77</v>
      </c>
      <c r="C72" s="5305" t="s">
        <v>78</v>
      </c>
      <c r="D72" s="3875">
        <v>4500166812</v>
      </c>
      <c r="E72" s="5306">
        <v>4401018150</v>
      </c>
      <c r="F72" s="3875" t="s">
        <v>268</v>
      </c>
      <c r="G72" s="5307"/>
      <c r="H72" s="5307" t="s">
        <v>80</v>
      </c>
      <c r="I72" s="5307" t="s">
        <v>81</v>
      </c>
      <c r="J72" s="5308">
        <v>11862</v>
      </c>
      <c r="K72" s="5308">
        <v>0</v>
      </c>
      <c r="L72" s="5309">
        <v>6</v>
      </c>
      <c r="M72" s="5308">
        <f t="shared" si="15"/>
        <v>1977</v>
      </c>
      <c r="N72" s="5310">
        <v>45960</v>
      </c>
      <c r="O72" s="5359">
        <v>45957</v>
      </c>
      <c r="P72" s="5310"/>
      <c r="Q72" s="5276" t="s">
        <v>82</v>
      </c>
      <c r="R72" s="5308"/>
      <c r="S72" s="5308">
        <f t="shared" si="14"/>
        <v>11862</v>
      </c>
      <c r="T72" s="5312" t="s">
        <v>269</v>
      </c>
      <c r="U72" s="5313" t="s">
        <v>229</v>
      </c>
      <c r="V72" s="5314"/>
      <c r="W72" s="5315" t="s">
        <v>230</v>
      </c>
      <c r="X72" s="2934"/>
      <c r="Y72" s="5316"/>
      <c r="Z72" s="4178" t="s">
        <v>231</v>
      </c>
      <c r="AA72" s="4178" t="s">
        <v>232</v>
      </c>
      <c r="AB72" s="4181" t="s">
        <v>233</v>
      </c>
      <c r="AC72" s="5317">
        <v>14.6964</v>
      </c>
      <c r="AD72" s="5318">
        <f t="shared" si="13"/>
        <v>29054.7828</v>
      </c>
      <c r="AE72" s="4178"/>
      <c r="AF72" s="5319"/>
      <c r="AG72" s="5320"/>
      <c r="AH72" s="5320"/>
      <c r="AI72" s="5321"/>
      <c r="AJ72" s="5322">
        <f t="shared" si="11"/>
        <v>11862</v>
      </c>
      <c r="AK72" s="5302"/>
      <c r="AL72" s="5320"/>
      <c r="AM72" s="5321"/>
      <c r="AN72" s="5323">
        <f t="shared" si="12"/>
        <v>11862</v>
      </c>
      <c r="AO72" s="5324"/>
      <c r="AP72" s="5323"/>
      <c r="AQ72" s="5323">
        <f t="shared" si="16"/>
        <v>11862</v>
      </c>
      <c r="AR72" s="5323"/>
      <c r="AS72" s="5323"/>
      <c r="AT72" s="5323"/>
      <c r="AU72" s="5323"/>
      <c r="AV72" s="5323"/>
      <c r="AW72" s="5323"/>
      <c r="AX72" s="5324"/>
      <c r="AY72" s="5323"/>
      <c r="AZ72" s="5323"/>
      <c r="BA72" s="5323"/>
      <c r="BB72" s="5325" t="s">
        <v>89</v>
      </c>
      <c r="BC72" s="5326">
        <f t="shared" si="17"/>
        <v>2965.5</v>
      </c>
      <c r="BD72" s="5326">
        <f t="shared" si="18"/>
        <v>2965.5</v>
      </c>
      <c r="BE72" s="5326">
        <f t="shared" si="19"/>
        <v>2965.5</v>
      </c>
      <c r="BF72" s="5326"/>
      <c r="BG72" s="5326">
        <f t="shared" si="20"/>
        <v>2965.5</v>
      </c>
      <c r="BH72" s="5326"/>
      <c r="BI72" s="5327"/>
      <c r="BJ72" s="5328">
        <f t="shared" si="21"/>
        <v>11862</v>
      </c>
      <c r="BK72" s="2934">
        <f t="shared" si="22"/>
        <v>0</v>
      </c>
      <c r="BL72" s="5329"/>
    </row>
    <row r="73" s="5168" customFormat="1" ht="40" customHeight="1" spans="1:64">
      <c r="A73" s="5303">
        <v>45796</v>
      </c>
      <c r="B73" s="5304" t="s">
        <v>77</v>
      </c>
      <c r="C73" s="5305" t="s">
        <v>78</v>
      </c>
      <c r="D73" s="3875">
        <v>4500166812</v>
      </c>
      <c r="E73" s="5306">
        <v>4401018151</v>
      </c>
      <c r="F73" s="3875" t="s">
        <v>270</v>
      </c>
      <c r="G73" s="5307"/>
      <c r="H73" s="5307" t="s">
        <v>80</v>
      </c>
      <c r="I73" s="5307" t="s">
        <v>81</v>
      </c>
      <c r="J73" s="5308">
        <v>11862</v>
      </c>
      <c r="K73" s="5308">
        <v>0</v>
      </c>
      <c r="L73" s="5309">
        <v>6</v>
      </c>
      <c r="M73" s="5308">
        <f t="shared" si="15"/>
        <v>1977</v>
      </c>
      <c r="N73" s="5359">
        <v>46142</v>
      </c>
      <c r="O73" s="5359">
        <f t="shared" ref="O73:O79" si="23">N73-3</f>
        <v>46139</v>
      </c>
      <c r="P73" s="5308">
        <v>11862</v>
      </c>
      <c r="Q73" s="5276" t="s">
        <v>82</v>
      </c>
      <c r="R73" s="5308"/>
      <c r="S73" s="5308">
        <f t="shared" si="14"/>
        <v>11862</v>
      </c>
      <c r="T73" s="5312" t="s">
        <v>271</v>
      </c>
      <c r="U73" s="5313" t="s">
        <v>229</v>
      </c>
      <c r="V73" s="5314"/>
      <c r="W73" s="5315" t="s">
        <v>230</v>
      </c>
      <c r="X73" s="2934"/>
      <c r="Y73" s="5316"/>
      <c r="Z73" s="4178" t="s">
        <v>231</v>
      </c>
      <c r="AA73" s="4178" t="s">
        <v>232</v>
      </c>
      <c r="AB73" s="4181" t="s">
        <v>233</v>
      </c>
      <c r="AC73" s="5317">
        <v>14.6964</v>
      </c>
      <c r="AD73" s="5318">
        <f t="shared" si="13"/>
        <v>29054.7828</v>
      </c>
      <c r="AE73" s="4178"/>
      <c r="AF73" s="5319"/>
      <c r="AG73" s="5320"/>
      <c r="AH73" s="5320"/>
      <c r="AI73" s="5321"/>
      <c r="AJ73" s="5322">
        <f t="shared" si="11"/>
        <v>11862</v>
      </c>
      <c r="AK73" s="5302"/>
      <c r="AL73" s="5320"/>
      <c r="AM73" s="5321"/>
      <c r="AN73" s="5323">
        <f t="shared" si="12"/>
        <v>11862</v>
      </c>
      <c r="AO73" s="5324"/>
      <c r="AP73" s="5323"/>
      <c r="AQ73" s="5323">
        <f t="shared" si="16"/>
        <v>11862</v>
      </c>
      <c r="AR73" s="5323"/>
      <c r="AS73" s="5323"/>
      <c r="AT73" s="5323"/>
      <c r="AU73" s="5323"/>
      <c r="AV73" s="5323"/>
      <c r="AW73" s="5323"/>
      <c r="AX73" s="5324"/>
      <c r="AY73" s="5323"/>
      <c r="AZ73" s="5323"/>
      <c r="BA73" s="5323"/>
      <c r="BB73" s="5325" t="s">
        <v>89</v>
      </c>
      <c r="BC73" s="5326">
        <f t="shared" si="17"/>
        <v>2965.5</v>
      </c>
      <c r="BD73" s="5326">
        <f t="shared" si="18"/>
        <v>2965.5</v>
      </c>
      <c r="BE73" s="5326">
        <f t="shared" si="19"/>
        <v>2965.5</v>
      </c>
      <c r="BF73" s="5326"/>
      <c r="BG73" s="5326">
        <f t="shared" si="20"/>
        <v>2965.5</v>
      </c>
      <c r="BH73" s="5326"/>
      <c r="BI73" s="5327"/>
      <c r="BJ73" s="5328">
        <f t="shared" si="21"/>
        <v>11862</v>
      </c>
      <c r="BK73" s="2934">
        <f t="shared" si="22"/>
        <v>0</v>
      </c>
      <c r="BL73" s="5329"/>
    </row>
    <row r="74" s="5168" customFormat="1" ht="40" customHeight="1" spans="1:64">
      <c r="A74" s="5303">
        <v>45796</v>
      </c>
      <c r="B74" s="5304" t="s">
        <v>77</v>
      </c>
      <c r="C74" s="5305" t="s">
        <v>78</v>
      </c>
      <c r="D74" s="3875">
        <v>4500166812</v>
      </c>
      <c r="E74" s="5306">
        <v>4401018167</v>
      </c>
      <c r="F74" s="3875" t="s">
        <v>272</v>
      </c>
      <c r="G74" s="5307"/>
      <c r="H74" s="5307" t="s">
        <v>80</v>
      </c>
      <c r="I74" s="5307" t="s">
        <v>81</v>
      </c>
      <c r="J74" s="5308">
        <v>11862</v>
      </c>
      <c r="K74" s="5308">
        <v>0</v>
      </c>
      <c r="L74" s="5309">
        <v>6</v>
      </c>
      <c r="M74" s="5308">
        <f t="shared" si="15"/>
        <v>1977</v>
      </c>
      <c r="N74" s="5359">
        <v>46149</v>
      </c>
      <c r="O74" s="5359">
        <f t="shared" si="23"/>
        <v>46146</v>
      </c>
      <c r="P74" s="5308">
        <v>11903</v>
      </c>
      <c r="Q74" s="5276" t="s">
        <v>82</v>
      </c>
      <c r="R74" s="5308"/>
      <c r="S74" s="5308">
        <f t="shared" si="14"/>
        <v>11862</v>
      </c>
      <c r="T74" s="5312" t="s">
        <v>273</v>
      </c>
      <c r="U74" s="5313" t="s">
        <v>229</v>
      </c>
      <c r="V74" s="5314"/>
      <c r="W74" s="5315" t="s">
        <v>230</v>
      </c>
      <c r="X74" s="2934"/>
      <c r="Y74" s="5316"/>
      <c r="Z74" s="4178" t="s">
        <v>274</v>
      </c>
      <c r="AA74" s="4178" t="s">
        <v>232</v>
      </c>
      <c r="AB74" s="4181" t="s">
        <v>233</v>
      </c>
      <c r="AC74" s="5317">
        <v>14.6964</v>
      </c>
      <c r="AD74" s="5318">
        <f t="shared" si="13"/>
        <v>29054.7828</v>
      </c>
      <c r="AE74" s="4178"/>
      <c r="AF74" s="5319"/>
      <c r="AG74" s="5320"/>
      <c r="AH74" s="5320"/>
      <c r="AI74" s="5321"/>
      <c r="AJ74" s="5322">
        <f t="shared" si="11"/>
        <v>11862</v>
      </c>
      <c r="AK74" s="5302"/>
      <c r="AL74" s="5320"/>
      <c r="AM74" s="5321"/>
      <c r="AN74" s="5323">
        <f t="shared" si="12"/>
        <v>11862</v>
      </c>
      <c r="AO74" s="5324"/>
      <c r="AP74" s="5323"/>
      <c r="AQ74" s="5323">
        <f t="shared" si="16"/>
        <v>11862</v>
      </c>
      <c r="AR74" s="5323"/>
      <c r="AS74" s="5323"/>
      <c r="AT74" s="5323"/>
      <c r="AU74" s="5323"/>
      <c r="AV74" s="5323"/>
      <c r="AW74" s="5323"/>
      <c r="AX74" s="5324"/>
      <c r="AY74" s="5323"/>
      <c r="AZ74" s="5323"/>
      <c r="BA74" s="5323"/>
      <c r="BB74" s="5325" t="s">
        <v>89</v>
      </c>
      <c r="BC74" s="5326">
        <f t="shared" si="17"/>
        <v>2965.5</v>
      </c>
      <c r="BD74" s="5326">
        <f t="shared" si="18"/>
        <v>2965.5</v>
      </c>
      <c r="BE74" s="5326">
        <f t="shared" si="19"/>
        <v>2965.5</v>
      </c>
      <c r="BF74" s="5326"/>
      <c r="BG74" s="5326">
        <f t="shared" si="20"/>
        <v>2965.5</v>
      </c>
      <c r="BH74" s="5326"/>
      <c r="BI74" s="5327"/>
      <c r="BJ74" s="5328">
        <f t="shared" si="21"/>
        <v>11862</v>
      </c>
      <c r="BK74" s="2934">
        <f t="shared" si="22"/>
        <v>0</v>
      </c>
      <c r="BL74" s="5329"/>
    </row>
    <row r="75" s="5168" customFormat="1" ht="40" customHeight="1" spans="1:64">
      <c r="A75" s="5303">
        <v>45796</v>
      </c>
      <c r="B75" s="5304" t="s">
        <v>77</v>
      </c>
      <c r="C75" s="5305" t="s">
        <v>78</v>
      </c>
      <c r="D75" s="3875">
        <v>4500166812</v>
      </c>
      <c r="E75" s="5306">
        <v>4401018154</v>
      </c>
      <c r="F75" s="3875" t="s">
        <v>275</v>
      </c>
      <c r="G75" s="5307"/>
      <c r="H75" s="5307" t="s">
        <v>80</v>
      </c>
      <c r="I75" s="5307" t="s">
        <v>81</v>
      </c>
      <c r="J75" s="5308">
        <v>11862</v>
      </c>
      <c r="K75" s="5308">
        <v>0</v>
      </c>
      <c r="L75" s="5309">
        <v>6</v>
      </c>
      <c r="M75" s="5308">
        <f t="shared" si="15"/>
        <v>1977</v>
      </c>
      <c r="N75" s="5359">
        <v>46152</v>
      </c>
      <c r="O75" s="5359">
        <f t="shared" si="23"/>
        <v>46149</v>
      </c>
      <c r="P75" s="5308">
        <v>11862</v>
      </c>
      <c r="Q75" s="5276" t="s">
        <v>82</v>
      </c>
      <c r="R75" s="5308"/>
      <c r="S75" s="5308">
        <f t="shared" si="14"/>
        <v>11862</v>
      </c>
      <c r="T75" s="5312"/>
      <c r="U75" s="5313" t="s">
        <v>229</v>
      </c>
      <c r="V75" s="5314"/>
      <c r="W75" s="5315" t="s">
        <v>230</v>
      </c>
      <c r="X75" s="2934"/>
      <c r="Y75" s="5316"/>
      <c r="Z75" s="4178" t="s">
        <v>231</v>
      </c>
      <c r="AA75" s="4178" t="s">
        <v>232</v>
      </c>
      <c r="AB75" s="4181" t="s">
        <v>233</v>
      </c>
      <c r="AC75" s="5317">
        <v>14.6964</v>
      </c>
      <c r="AD75" s="5318">
        <f t="shared" si="13"/>
        <v>29054.7828</v>
      </c>
      <c r="AE75" s="4178"/>
      <c r="AF75" s="5319"/>
      <c r="AG75" s="5320"/>
      <c r="AH75" s="5320"/>
      <c r="AI75" s="5321"/>
      <c r="AJ75" s="5322">
        <f t="shared" si="11"/>
        <v>11862</v>
      </c>
      <c r="AK75" s="5302"/>
      <c r="AL75" s="5320"/>
      <c r="AM75" s="5321"/>
      <c r="AN75" s="5323">
        <f t="shared" si="12"/>
        <v>11862</v>
      </c>
      <c r="AO75" s="5324"/>
      <c r="AP75" s="5323"/>
      <c r="AQ75" s="5323">
        <f t="shared" si="16"/>
        <v>11862</v>
      </c>
      <c r="AR75" s="5323"/>
      <c r="AS75" s="5323"/>
      <c r="AT75" s="5323"/>
      <c r="AU75" s="5323"/>
      <c r="AV75" s="5323"/>
      <c r="AW75" s="5323"/>
      <c r="AX75" s="5324"/>
      <c r="AY75" s="5323"/>
      <c r="AZ75" s="5323"/>
      <c r="BA75" s="5323"/>
      <c r="BB75" s="5325" t="s">
        <v>89</v>
      </c>
      <c r="BC75" s="5326">
        <f t="shared" si="17"/>
        <v>2965.5</v>
      </c>
      <c r="BD75" s="5326">
        <f t="shared" si="18"/>
        <v>2965.5</v>
      </c>
      <c r="BE75" s="5326">
        <f t="shared" si="19"/>
        <v>2965.5</v>
      </c>
      <c r="BF75" s="5326"/>
      <c r="BG75" s="5326">
        <f t="shared" si="20"/>
        <v>2965.5</v>
      </c>
      <c r="BH75" s="5326"/>
      <c r="BI75" s="5327"/>
      <c r="BJ75" s="5328">
        <f t="shared" si="21"/>
        <v>11862</v>
      </c>
      <c r="BK75" s="2934">
        <f t="shared" si="22"/>
        <v>0</v>
      </c>
      <c r="BL75" s="5329"/>
    </row>
    <row r="76" s="5169" customFormat="1" ht="40" customHeight="1" spans="1:64">
      <c r="A76" s="5330">
        <v>45796</v>
      </c>
      <c r="B76" s="5331" t="s">
        <v>77</v>
      </c>
      <c r="C76" s="5332" t="s">
        <v>78</v>
      </c>
      <c r="D76" s="3817">
        <v>4500166812</v>
      </c>
      <c r="E76" s="5333">
        <v>4401018171</v>
      </c>
      <c r="F76" s="3817" t="s">
        <v>276</v>
      </c>
      <c r="G76" s="5334"/>
      <c r="H76" s="5334" t="s">
        <v>80</v>
      </c>
      <c r="I76" s="5334" t="s">
        <v>81</v>
      </c>
      <c r="J76" s="5335">
        <v>11862</v>
      </c>
      <c r="K76" s="5335">
        <v>0</v>
      </c>
      <c r="L76" s="5336">
        <v>6</v>
      </c>
      <c r="M76" s="5335">
        <f t="shared" si="15"/>
        <v>1977</v>
      </c>
      <c r="N76" s="5360">
        <v>46175</v>
      </c>
      <c r="O76" s="5360">
        <f t="shared" si="23"/>
        <v>46172</v>
      </c>
      <c r="P76" s="5335"/>
      <c r="Q76" s="5276" t="s">
        <v>82</v>
      </c>
      <c r="R76" s="5335"/>
      <c r="S76" s="5335">
        <f t="shared" si="14"/>
        <v>11862</v>
      </c>
      <c r="T76" s="5339" t="s">
        <v>277</v>
      </c>
      <c r="U76" s="5340" t="s">
        <v>229</v>
      </c>
      <c r="V76" s="5341"/>
      <c r="W76" s="5342" t="s">
        <v>230</v>
      </c>
      <c r="X76" s="4675"/>
      <c r="Y76" s="5343"/>
      <c r="Z76" s="5344" t="s">
        <v>231</v>
      </c>
      <c r="AA76" s="5344" t="s">
        <v>232</v>
      </c>
      <c r="AB76" s="5345" t="s">
        <v>233</v>
      </c>
      <c r="AC76" s="5346">
        <v>14.6964</v>
      </c>
      <c r="AD76" s="5347">
        <f t="shared" si="13"/>
        <v>29054.7828</v>
      </c>
      <c r="AE76" s="5344"/>
      <c r="AF76" s="5348"/>
      <c r="AG76" s="5349"/>
      <c r="AH76" s="5349"/>
      <c r="AI76" s="4149"/>
      <c r="AJ76" s="5350">
        <f t="shared" si="11"/>
        <v>11862</v>
      </c>
      <c r="AK76" s="5351"/>
      <c r="AL76" s="5349"/>
      <c r="AM76" s="4149"/>
      <c r="AN76" s="5352">
        <f t="shared" si="12"/>
        <v>11862</v>
      </c>
      <c r="AO76" s="5353"/>
      <c r="AP76" s="5352"/>
      <c r="AQ76" s="5352">
        <f t="shared" si="16"/>
        <v>11862</v>
      </c>
      <c r="AR76" s="5352"/>
      <c r="AS76" s="5352"/>
      <c r="AT76" s="5352"/>
      <c r="AU76" s="5352"/>
      <c r="AV76" s="5352"/>
      <c r="AW76" s="5352"/>
      <c r="AX76" s="5353"/>
      <c r="AY76" s="5352"/>
      <c r="AZ76" s="5352"/>
      <c r="BA76" s="5352"/>
      <c r="BB76" s="5354" t="s">
        <v>89</v>
      </c>
      <c r="BC76" s="5355">
        <f t="shared" si="17"/>
        <v>2965.5</v>
      </c>
      <c r="BD76" s="5355">
        <f t="shared" si="18"/>
        <v>2965.5</v>
      </c>
      <c r="BE76" s="5355">
        <f t="shared" si="19"/>
        <v>2965.5</v>
      </c>
      <c r="BF76" s="5355"/>
      <c r="BG76" s="5355">
        <f t="shared" si="20"/>
        <v>2965.5</v>
      </c>
      <c r="BH76" s="5355"/>
      <c r="BI76" s="5356"/>
      <c r="BJ76" s="5357">
        <f t="shared" si="21"/>
        <v>11862</v>
      </c>
      <c r="BK76" s="4675">
        <f t="shared" si="22"/>
        <v>0</v>
      </c>
      <c r="BL76" s="5358"/>
    </row>
    <row r="77" s="5169" customFormat="1" ht="40" customHeight="1" spans="1:64">
      <c r="A77" s="5330">
        <v>45796</v>
      </c>
      <c r="B77" s="5331" t="s">
        <v>77</v>
      </c>
      <c r="C77" s="5332" t="s">
        <v>78</v>
      </c>
      <c r="D77" s="3817">
        <v>4500166812</v>
      </c>
      <c r="E77" s="5333">
        <v>4401018168</v>
      </c>
      <c r="F77" s="3817" t="s">
        <v>278</v>
      </c>
      <c r="G77" s="5334"/>
      <c r="H77" s="5334" t="s">
        <v>80</v>
      </c>
      <c r="I77" s="5334" t="s">
        <v>81</v>
      </c>
      <c r="J77" s="5335">
        <v>11862</v>
      </c>
      <c r="K77" s="5335">
        <v>0</v>
      </c>
      <c r="L77" s="5336">
        <v>6</v>
      </c>
      <c r="M77" s="5335">
        <f t="shared" si="15"/>
        <v>1977</v>
      </c>
      <c r="N77" s="5360">
        <v>46175</v>
      </c>
      <c r="O77" s="5360">
        <f t="shared" si="23"/>
        <v>46172</v>
      </c>
      <c r="P77" s="5337"/>
      <c r="Q77" s="5276" t="s">
        <v>82</v>
      </c>
      <c r="R77" s="5335"/>
      <c r="S77" s="5335">
        <f t="shared" si="14"/>
        <v>11862</v>
      </c>
      <c r="T77" s="5339" t="s">
        <v>279</v>
      </c>
      <c r="U77" s="5340" t="s">
        <v>229</v>
      </c>
      <c r="V77" s="5341"/>
      <c r="W77" s="5342" t="s">
        <v>230</v>
      </c>
      <c r="X77" s="4675"/>
      <c r="Y77" s="5343"/>
      <c r="Z77" s="5344" t="s">
        <v>231</v>
      </c>
      <c r="AA77" s="5344" t="s">
        <v>232</v>
      </c>
      <c r="AB77" s="5345" t="s">
        <v>233</v>
      </c>
      <c r="AC77" s="5346">
        <v>14.6964</v>
      </c>
      <c r="AD77" s="5347">
        <f t="shared" si="13"/>
        <v>29054.7828</v>
      </c>
      <c r="AE77" s="5344"/>
      <c r="AF77" s="5348"/>
      <c r="AG77" s="5349"/>
      <c r="AH77" s="5349"/>
      <c r="AI77" s="4149"/>
      <c r="AJ77" s="5350">
        <f t="shared" si="11"/>
        <v>11862</v>
      </c>
      <c r="AK77" s="5351"/>
      <c r="AL77" s="5349"/>
      <c r="AM77" s="4149"/>
      <c r="AN77" s="5352">
        <f t="shared" si="12"/>
        <v>11862</v>
      </c>
      <c r="AO77" s="5353"/>
      <c r="AP77" s="5352"/>
      <c r="AQ77" s="5352">
        <f t="shared" si="16"/>
        <v>11862</v>
      </c>
      <c r="AR77" s="5352"/>
      <c r="AS77" s="5352"/>
      <c r="AT77" s="5352"/>
      <c r="AU77" s="5352"/>
      <c r="AV77" s="5352"/>
      <c r="AW77" s="5352"/>
      <c r="AX77" s="5353"/>
      <c r="AY77" s="5352"/>
      <c r="AZ77" s="5352"/>
      <c r="BA77" s="5352"/>
      <c r="BB77" s="5354" t="s">
        <v>89</v>
      </c>
      <c r="BC77" s="5355">
        <f t="shared" si="17"/>
        <v>2965.5</v>
      </c>
      <c r="BD77" s="5355">
        <f t="shared" si="18"/>
        <v>2965.5</v>
      </c>
      <c r="BE77" s="5355">
        <f t="shared" si="19"/>
        <v>2965.5</v>
      </c>
      <c r="BF77" s="5355"/>
      <c r="BG77" s="5355">
        <f t="shared" si="20"/>
        <v>2965.5</v>
      </c>
      <c r="BH77" s="5355"/>
      <c r="BI77" s="5356"/>
      <c r="BJ77" s="5357">
        <f t="shared" si="21"/>
        <v>11862</v>
      </c>
      <c r="BK77" s="4675">
        <f t="shared" si="22"/>
        <v>0</v>
      </c>
      <c r="BL77" s="5358"/>
    </row>
    <row r="78" s="5169" customFormat="1" ht="40" customHeight="1" spans="1:64">
      <c r="A78" s="5330">
        <v>45796</v>
      </c>
      <c r="B78" s="5331" t="s">
        <v>77</v>
      </c>
      <c r="C78" s="5332" t="s">
        <v>78</v>
      </c>
      <c r="D78" s="3817">
        <v>4500166812</v>
      </c>
      <c r="E78" s="5333">
        <v>4401018166</v>
      </c>
      <c r="F78" s="3817" t="s">
        <v>280</v>
      </c>
      <c r="G78" s="5334"/>
      <c r="H78" s="5334" t="s">
        <v>80</v>
      </c>
      <c r="I78" s="5334" t="s">
        <v>81</v>
      </c>
      <c r="J78" s="5335">
        <v>11862</v>
      </c>
      <c r="K78" s="5335">
        <v>0</v>
      </c>
      <c r="L78" s="5336">
        <v>6</v>
      </c>
      <c r="M78" s="5335">
        <f t="shared" si="15"/>
        <v>1977</v>
      </c>
      <c r="N78" s="5360">
        <v>46175</v>
      </c>
      <c r="O78" s="5360">
        <f t="shared" si="23"/>
        <v>46172</v>
      </c>
      <c r="P78" s="5337"/>
      <c r="Q78" s="5276" t="s">
        <v>82</v>
      </c>
      <c r="R78" s="5335"/>
      <c r="S78" s="5335">
        <f t="shared" si="14"/>
        <v>11862</v>
      </c>
      <c r="T78" s="5339" t="s">
        <v>281</v>
      </c>
      <c r="U78" s="5340" t="s">
        <v>229</v>
      </c>
      <c r="V78" s="5341"/>
      <c r="W78" s="5342" t="s">
        <v>230</v>
      </c>
      <c r="X78" s="4675"/>
      <c r="Y78" s="5343"/>
      <c r="Z78" s="5344" t="s">
        <v>231</v>
      </c>
      <c r="AA78" s="5344" t="s">
        <v>232</v>
      </c>
      <c r="AB78" s="5345" t="s">
        <v>233</v>
      </c>
      <c r="AC78" s="5346">
        <v>14.6964</v>
      </c>
      <c r="AD78" s="5347">
        <f t="shared" si="13"/>
        <v>29054.7828</v>
      </c>
      <c r="AE78" s="5344"/>
      <c r="AF78" s="5348"/>
      <c r="AG78" s="5349"/>
      <c r="AH78" s="5349"/>
      <c r="AI78" s="4149"/>
      <c r="AJ78" s="5350">
        <f t="shared" si="11"/>
        <v>11862</v>
      </c>
      <c r="AK78" s="5351"/>
      <c r="AL78" s="5349"/>
      <c r="AM78" s="4149"/>
      <c r="AN78" s="5352">
        <f t="shared" si="12"/>
        <v>11862</v>
      </c>
      <c r="AO78" s="5353"/>
      <c r="AP78" s="5352"/>
      <c r="AQ78" s="5352">
        <f t="shared" si="16"/>
        <v>11862</v>
      </c>
      <c r="AR78" s="5352"/>
      <c r="AS78" s="5352"/>
      <c r="AT78" s="5352"/>
      <c r="AU78" s="5352"/>
      <c r="AV78" s="5352"/>
      <c r="AW78" s="5352"/>
      <c r="AX78" s="5353"/>
      <c r="AY78" s="5352"/>
      <c r="AZ78" s="5352"/>
      <c r="BA78" s="5352"/>
      <c r="BB78" s="5354" t="s">
        <v>89</v>
      </c>
      <c r="BC78" s="5355">
        <f t="shared" si="17"/>
        <v>2965.5</v>
      </c>
      <c r="BD78" s="5355">
        <f t="shared" si="18"/>
        <v>2965.5</v>
      </c>
      <c r="BE78" s="5355">
        <f t="shared" si="19"/>
        <v>2965.5</v>
      </c>
      <c r="BF78" s="5355"/>
      <c r="BG78" s="5355">
        <f t="shared" si="20"/>
        <v>2965.5</v>
      </c>
      <c r="BH78" s="5355"/>
      <c r="BI78" s="5356"/>
      <c r="BJ78" s="5357">
        <f t="shared" si="21"/>
        <v>11862</v>
      </c>
      <c r="BK78" s="4675">
        <f t="shared" si="22"/>
        <v>0</v>
      </c>
      <c r="BL78" s="5358"/>
    </row>
    <row r="79" s="5169" customFormat="1" ht="40" customHeight="1" spans="1:64">
      <c r="A79" s="5330">
        <v>45796</v>
      </c>
      <c r="B79" s="5331" t="s">
        <v>77</v>
      </c>
      <c r="C79" s="5332" t="s">
        <v>78</v>
      </c>
      <c r="D79" s="3817">
        <v>4500166812</v>
      </c>
      <c r="E79" s="5333">
        <v>4401018173</v>
      </c>
      <c r="F79" s="3817" t="s">
        <v>282</v>
      </c>
      <c r="G79" s="5334"/>
      <c r="H79" s="5334" t="s">
        <v>80</v>
      </c>
      <c r="I79" s="5334" t="s">
        <v>81</v>
      </c>
      <c r="J79" s="5335">
        <v>11862</v>
      </c>
      <c r="K79" s="5335">
        <v>0</v>
      </c>
      <c r="L79" s="5336">
        <v>6</v>
      </c>
      <c r="M79" s="5335">
        <f t="shared" si="15"/>
        <v>1977</v>
      </c>
      <c r="N79" s="5360">
        <v>46175</v>
      </c>
      <c r="O79" s="5360">
        <f t="shared" si="23"/>
        <v>46172</v>
      </c>
      <c r="P79" s="5337"/>
      <c r="Q79" s="5276" t="s">
        <v>82</v>
      </c>
      <c r="R79" s="5335"/>
      <c r="S79" s="5335">
        <f t="shared" si="14"/>
        <v>11862</v>
      </c>
      <c r="T79" s="5339" t="s">
        <v>277</v>
      </c>
      <c r="U79" s="5340" t="s">
        <v>229</v>
      </c>
      <c r="V79" s="5341"/>
      <c r="W79" s="5342" t="s">
        <v>230</v>
      </c>
      <c r="X79" s="4675"/>
      <c r="Y79" s="5343"/>
      <c r="Z79" s="5344" t="s">
        <v>231</v>
      </c>
      <c r="AA79" s="5344" t="s">
        <v>232</v>
      </c>
      <c r="AB79" s="5345" t="s">
        <v>233</v>
      </c>
      <c r="AC79" s="5346">
        <v>14.6964</v>
      </c>
      <c r="AD79" s="5347">
        <f t="shared" si="13"/>
        <v>29054.7828</v>
      </c>
      <c r="AE79" s="5344"/>
      <c r="AF79" s="5348"/>
      <c r="AG79" s="5349"/>
      <c r="AH79" s="5349"/>
      <c r="AI79" s="4149"/>
      <c r="AJ79" s="5350">
        <f t="shared" si="11"/>
        <v>11862</v>
      </c>
      <c r="AK79" s="5351"/>
      <c r="AL79" s="5349"/>
      <c r="AM79" s="4149"/>
      <c r="AN79" s="5352">
        <f t="shared" si="12"/>
        <v>11862</v>
      </c>
      <c r="AO79" s="5353"/>
      <c r="AP79" s="5352"/>
      <c r="AQ79" s="5352">
        <f t="shared" si="16"/>
        <v>11862</v>
      </c>
      <c r="AR79" s="5352"/>
      <c r="AS79" s="5352"/>
      <c r="AT79" s="5352"/>
      <c r="AU79" s="5352"/>
      <c r="AV79" s="5352"/>
      <c r="AW79" s="5352"/>
      <c r="AX79" s="5353"/>
      <c r="AY79" s="5352"/>
      <c r="AZ79" s="5352"/>
      <c r="BA79" s="5352"/>
      <c r="BB79" s="5354" t="s">
        <v>89</v>
      </c>
      <c r="BC79" s="5355">
        <f t="shared" si="17"/>
        <v>2965.5</v>
      </c>
      <c r="BD79" s="5355">
        <f t="shared" si="18"/>
        <v>2965.5</v>
      </c>
      <c r="BE79" s="5355">
        <f t="shared" si="19"/>
        <v>2965.5</v>
      </c>
      <c r="BF79" s="5355"/>
      <c r="BG79" s="5355">
        <f t="shared" si="20"/>
        <v>2965.5</v>
      </c>
      <c r="BH79" s="5355"/>
      <c r="BI79" s="5356"/>
      <c r="BJ79" s="5357">
        <f t="shared" si="21"/>
        <v>11862</v>
      </c>
      <c r="BK79" s="4675">
        <f t="shared" si="22"/>
        <v>0</v>
      </c>
      <c r="BL79" s="5358"/>
    </row>
    <row r="80" s="5169" customFormat="1" ht="40" customHeight="1" spans="1:64">
      <c r="A80" s="5330"/>
      <c r="B80" s="5331"/>
      <c r="C80" s="5332"/>
      <c r="D80" s="3817"/>
      <c r="E80" s="5333"/>
      <c r="F80" s="3817"/>
      <c r="G80" s="5334"/>
      <c r="H80" s="5334"/>
      <c r="I80" s="5334"/>
      <c r="J80" s="5335"/>
      <c r="K80" s="5335"/>
      <c r="L80" s="5336"/>
      <c r="M80" s="5335"/>
      <c r="N80" s="5360"/>
      <c r="O80" s="5360"/>
      <c r="P80" s="5337"/>
      <c r="Q80" s="5276"/>
      <c r="R80" s="5335"/>
      <c r="S80" s="5335"/>
      <c r="T80" s="5339"/>
      <c r="U80" s="5340"/>
      <c r="V80" s="5341"/>
      <c r="W80" s="5342"/>
      <c r="X80" s="4675"/>
      <c r="Y80" s="5343"/>
      <c r="Z80" s="5344"/>
      <c r="AA80" s="5344"/>
      <c r="AB80" s="5345"/>
      <c r="AC80" s="5346"/>
      <c r="AD80" s="5347"/>
      <c r="AE80" s="5344"/>
      <c r="AF80" s="5348"/>
      <c r="AG80" s="5349"/>
      <c r="AH80" s="5349"/>
      <c r="AI80" s="4149"/>
      <c r="AJ80" s="5350"/>
      <c r="AK80" s="5351"/>
      <c r="AL80" s="5349"/>
      <c r="AM80" s="4149"/>
      <c r="AN80" s="5352"/>
      <c r="AO80" s="5353"/>
      <c r="AP80" s="5352"/>
      <c r="AQ80" s="5352"/>
      <c r="AR80" s="5352"/>
      <c r="AS80" s="5352"/>
      <c r="AT80" s="5352"/>
      <c r="AU80" s="5352"/>
      <c r="AV80" s="5352"/>
      <c r="AW80" s="5352"/>
      <c r="AX80" s="5353"/>
      <c r="AY80" s="5352"/>
      <c r="AZ80" s="5352"/>
      <c r="BA80" s="5352"/>
      <c r="BB80" s="5354"/>
      <c r="BC80" s="5355"/>
      <c r="BD80" s="5355"/>
      <c r="BE80" s="5355"/>
      <c r="BF80" s="5355"/>
      <c r="BG80" s="5355"/>
      <c r="BH80" s="5355"/>
      <c r="BI80" s="5356"/>
      <c r="BJ80" s="5357"/>
      <c r="BK80" s="4675"/>
      <c r="BL80" s="5358"/>
    </row>
    <row r="81" s="5170" customFormat="1" ht="38" customHeight="1" spans="1:64">
      <c r="A81" s="5361"/>
      <c r="B81" s="5362"/>
      <c r="C81" s="5363"/>
      <c r="D81" s="3894"/>
      <c r="E81" s="5362"/>
      <c r="F81" s="5362"/>
      <c r="G81" s="5362"/>
      <c r="H81" s="5364"/>
      <c r="I81" s="5365"/>
      <c r="J81" s="5366"/>
      <c r="K81" s="5366"/>
      <c r="L81" s="5367"/>
      <c r="M81" s="5367"/>
      <c r="N81" s="5368"/>
      <c r="O81" s="5369"/>
      <c r="P81" s="5370"/>
      <c r="Q81" s="5371"/>
      <c r="R81" s="5372"/>
      <c r="S81" s="5372"/>
      <c r="T81" s="5373"/>
      <c r="U81" s="5370"/>
      <c r="V81" s="5370"/>
      <c r="W81" s="5374"/>
      <c r="X81" s="5251"/>
      <c r="Y81" s="5375"/>
      <c r="Z81" s="5376"/>
      <c r="AA81" s="5377"/>
      <c r="AB81" s="5378"/>
      <c r="AC81" s="5378"/>
      <c r="AD81" s="5379"/>
      <c r="AE81" s="5378"/>
      <c r="AF81" s="5378"/>
      <c r="AG81" s="5380"/>
      <c r="AH81" s="5380"/>
      <c r="AI81" s="5380"/>
      <c r="AJ81" s="5381"/>
      <c r="AK81" s="5382"/>
      <c r="AL81" s="5380"/>
      <c r="AM81" s="5380"/>
      <c r="AN81" s="5383"/>
      <c r="AO81" s="5383"/>
      <c r="AP81" s="5383"/>
      <c r="AQ81" s="5383"/>
      <c r="AR81" s="5383"/>
      <c r="AS81" s="5383"/>
      <c r="AT81" s="5383"/>
      <c r="AU81" s="5383"/>
      <c r="AV81" s="5383"/>
      <c r="AW81" s="5383"/>
      <c r="AX81" s="5383"/>
      <c r="AY81" s="5383"/>
      <c r="AZ81" s="5383"/>
      <c r="BA81" s="5383"/>
      <c r="BB81" s="5384"/>
      <c r="BC81" s="5385"/>
      <c r="BD81" s="5385"/>
      <c r="BE81" s="5385"/>
      <c r="BF81" s="5385"/>
      <c r="BG81" s="5386"/>
      <c r="BH81" s="5382"/>
      <c r="BI81" s="5387"/>
      <c r="BJ81" s="5388"/>
      <c r="BK81" s="5251"/>
      <c r="BL81" s="5369"/>
    </row>
    <row r="82" s="5170" customFormat="1" ht="48" customHeight="1" spans="1:64">
      <c r="A82" s="5389"/>
      <c r="B82" s="5390"/>
      <c r="C82" s="5391"/>
      <c r="D82" s="3995"/>
      <c r="E82" s="5390"/>
      <c r="F82" s="5390"/>
      <c r="G82" s="5390"/>
      <c r="H82" s="5392"/>
      <c r="I82" s="5393"/>
      <c r="J82" s="5394"/>
      <c r="K82" s="5394"/>
      <c r="L82" s="5395"/>
      <c r="M82" s="5395"/>
      <c r="N82" s="5396"/>
      <c r="O82" s="5369"/>
      <c r="P82" s="5397"/>
      <c r="Q82" s="5398"/>
      <c r="R82" s="5399"/>
      <c r="S82" s="5399"/>
      <c r="T82" s="5400"/>
      <c r="U82" s="5397"/>
      <c r="V82" s="5397"/>
      <c r="W82" s="5401"/>
      <c r="X82" s="5251"/>
      <c r="Y82" s="5402"/>
      <c r="Z82" s="5403"/>
      <c r="AA82" s="5404"/>
      <c r="AB82" s="5405"/>
      <c r="AC82" s="5405"/>
      <c r="AD82" s="5406"/>
      <c r="AE82" s="5405"/>
      <c r="AF82" s="5405"/>
      <c r="AG82" s="5407"/>
      <c r="AH82" s="5407"/>
      <c r="AI82" s="5407"/>
      <c r="AJ82" s="5408"/>
      <c r="AK82" s="5409"/>
      <c r="AL82" s="5407"/>
      <c r="AM82" s="5407"/>
      <c r="AN82" s="5410"/>
      <c r="AO82" s="5410"/>
      <c r="AP82" s="5410"/>
      <c r="AQ82" s="5410"/>
      <c r="AR82" s="5410"/>
      <c r="AS82" s="5410"/>
      <c r="AT82" s="5410"/>
      <c r="AU82" s="5410"/>
      <c r="AV82" s="5410"/>
      <c r="AW82" s="5410"/>
      <c r="AX82" s="5410"/>
      <c r="AY82" s="5410"/>
      <c r="AZ82" s="5410"/>
      <c r="BA82" s="5410"/>
      <c r="BB82" s="5411"/>
      <c r="BC82" s="5409"/>
      <c r="BD82" s="5409"/>
      <c r="BE82" s="5409"/>
      <c r="BF82" s="5409"/>
      <c r="BG82" s="5412"/>
      <c r="BH82" s="5412"/>
      <c r="BI82" s="5387"/>
      <c r="BJ82" s="5388"/>
      <c r="BK82" s="5251">
        <f>J82-BJ82</f>
        <v>0</v>
      </c>
      <c r="BL82" s="5369"/>
    </row>
    <row r="83" ht="48" customHeight="1" spans="1:64">
      <c r="A83" s="5413"/>
      <c r="B83" s="5362"/>
      <c r="C83" s="5362"/>
      <c r="D83" s="5414"/>
      <c r="E83" s="5415"/>
      <c r="F83" s="5362"/>
      <c r="G83" s="5415"/>
      <c r="H83" s="5366"/>
      <c r="I83" s="5367"/>
      <c r="J83" s="5367"/>
      <c r="K83" s="5367"/>
      <c r="L83" s="5367"/>
      <c r="M83" s="5367"/>
      <c r="N83" s="5368"/>
      <c r="O83" s="5416"/>
      <c r="P83" s="5417"/>
      <c r="Q83" s="5371"/>
      <c r="R83" s="5371"/>
      <c r="S83" s="5371"/>
      <c r="T83" s="5418"/>
      <c r="U83" s="5417"/>
      <c r="V83" s="5417"/>
      <c r="W83" s="5419"/>
      <c r="X83" s="5251"/>
      <c r="Y83" s="5420"/>
      <c r="Z83" s="5421"/>
      <c r="AA83" s="5422"/>
      <c r="AB83" s="5423"/>
      <c r="AC83" s="5423"/>
      <c r="AD83" s="5379"/>
      <c r="AE83" s="5423"/>
      <c r="AF83" s="5423"/>
      <c r="AG83" s="5424"/>
      <c r="AH83" s="5425"/>
      <c r="AI83" s="5425"/>
      <c r="AJ83" s="5426"/>
      <c r="AK83" s="5382"/>
      <c r="AL83" s="5425"/>
      <c r="AM83" s="5425"/>
      <c r="AN83" s="5427"/>
      <c r="AO83" s="5428"/>
      <c r="AP83" s="5427"/>
      <c r="AQ83" s="5427"/>
      <c r="AR83" s="5427"/>
      <c r="AS83" s="5427"/>
      <c r="AT83" s="5427"/>
      <c r="AU83" s="5427"/>
      <c r="AV83" s="5427"/>
      <c r="AW83" s="5427"/>
      <c r="AX83" s="5427"/>
      <c r="AY83" s="5427"/>
      <c r="AZ83" s="5427"/>
      <c r="BA83" s="5427"/>
      <c r="BB83" s="5428"/>
      <c r="BC83" s="5385"/>
      <c r="BD83" s="5385"/>
      <c r="BE83" s="5385"/>
      <c r="BF83" s="5385"/>
      <c r="BG83" s="5382"/>
      <c r="BH83" s="5382"/>
      <c r="BI83" s="5387"/>
      <c r="BJ83" s="5388"/>
      <c r="BK83" s="5251">
        <f>J83-BJ83</f>
        <v>0</v>
      </c>
      <c r="BL83" s="5429"/>
    </row>
    <row r="84" ht="26.25" customHeight="1" spans="1:64">
      <c r="A84" s="5430"/>
      <c r="H84" s="5200" t="s">
        <v>283</v>
      </c>
      <c r="J84" s="5201">
        <f>SUBTOTAL(9,J5:J83)</f>
        <v>743700</v>
      </c>
      <c r="K84" s="5201"/>
      <c r="L84" s="5201"/>
      <c r="M84" s="5201"/>
      <c r="N84" s="5200"/>
      <c r="O84" s="5200"/>
      <c r="P84" s="5230"/>
      <c r="Q84" s="5230"/>
      <c r="R84" s="5230"/>
      <c r="S84" s="5230"/>
      <c r="T84" s="5198"/>
      <c r="U84" s="5431"/>
      <c r="V84" s="5230"/>
      <c r="W84" s="5432"/>
      <c r="Y84" s="5230"/>
      <c r="Z84" s="5230"/>
      <c r="AB84" s="5230"/>
      <c r="AC84" s="5230"/>
      <c r="AD84" s="5230">
        <f>SUM(AD5:AD83)</f>
        <v>1441542.006</v>
      </c>
      <c r="AE84" s="5230"/>
      <c r="AF84" s="5230"/>
      <c r="AG84" s="5190">
        <f t="shared" ref="AG84:BJ84" si="24">SUM(AG5:AG83)</f>
        <v>10584</v>
      </c>
      <c r="AH84" s="5190">
        <f t="shared" si="24"/>
        <v>0</v>
      </c>
      <c r="AI84" s="5190">
        <f t="shared" si="24"/>
        <v>0</v>
      </c>
      <c r="AJ84" s="5190">
        <f t="shared" si="24"/>
        <v>733116</v>
      </c>
      <c r="AK84" s="5190">
        <f t="shared" si="24"/>
        <v>0</v>
      </c>
      <c r="AL84" s="5190">
        <f t="shared" si="24"/>
        <v>10584</v>
      </c>
      <c r="AM84" s="5190">
        <f t="shared" si="24"/>
        <v>0</v>
      </c>
      <c r="AN84" s="5190">
        <f t="shared" si="24"/>
        <v>733116</v>
      </c>
      <c r="AO84" s="5190">
        <f t="shared" si="24"/>
        <v>0</v>
      </c>
      <c r="AP84" s="5190">
        <f t="shared" si="24"/>
        <v>0</v>
      </c>
      <c r="AQ84" s="5190">
        <f t="shared" si="24"/>
        <v>743700</v>
      </c>
      <c r="AR84" s="5190">
        <f t="shared" si="24"/>
        <v>0</v>
      </c>
      <c r="AS84" s="5190">
        <f t="shared" si="24"/>
        <v>0</v>
      </c>
      <c r="AT84" s="5190">
        <f t="shared" si="24"/>
        <v>0</v>
      </c>
      <c r="AU84" s="5190">
        <f t="shared" si="24"/>
        <v>0</v>
      </c>
      <c r="AV84" s="5190">
        <f t="shared" si="24"/>
        <v>0</v>
      </c>
      <c r="AW84" s="5190">
        <f t="shared" si="24"/>
        <v>0</v>
      </c>
      <c r="AX84" s="5190">
        <f t="shared" si="24"/>
        <v>0</v>
      </c>
      <c r="AY84" s="5190">
        <f t="shared" si="24"/>
        <v>0</v>
      </c>
      <c r="AZ84" s="5190">
        <f t="shared" si="24"/>
        <v>0</v>
      </c>
      <c r="BA84" s="5190">
        <f t="shared" si="24"/>
        <v>0</v>
      </c>
      <c r="BB84" s="5190">
        <f t="shared" si="24"/>
        <v>0</v>
      </c>
      <c r="BC84" s="5190">
        <f t="shared" si="24"/>
        <v>185925</v>
      </c>
      <c r="BD84" s="5190">
        <f t="shared" si="24"/>
        <v>185925</v>
      </c>
      <c r="BE84" s="5190">
        <f t="shared" si="24"/>
        <v>185925</v>
      </c>
      <c r="BF84" s="5190">
        <f t="shared" si="24"/>
        <v>0</v>
      </c>
      <c r="BG84" s="5190">
        <f t="shared" si="24"/>
        <v>185925</v>
      </c>
      <c r="BH84" s="5190">
        <f t="shared" si="24"/>
        <v>0</v>
      </c>
      <c r="BI84" s="5190">
        <f t="shared" si="24"/>
        <v>0</v>
      </c>
      <c r="BJ84" s="5190">
        <f t="shared" si="24"/>
        <v>743700</v>
      </c>
    </row>
    <row r="85" ht="26.25" customHeight="1" spans="1:64">
      <c r="A85" s="5430"/>
      <c r="N85" s="5433"/>
      <c r="P85" s="5431"/>
      <c r="Q85" s="5434"/>
      <c r="R85" s="5434"/>
      <c r="S85" s="5434"/>
      <c r="U85" s="5431"/>
      <c r="V85" s="5431"/>
      <c r="W85" s="5432"/>
      <c r="Y85" s="5435"/>
      <c r="Z85" s="5435"/>
      <c r="AG85" s="5436"/>
      <c r="AH85" s="5437"/>
      <c r="AI85" s="5437"/>
      <c r="AJ85" s="5438"/>
      <c r="BG85" s="5191"/>
      <c r="BH85" s="5191"/>
      <c r="BI85" s="5191"/>
    </row>
    <row r="86" ht="26.25" customHeight="1" spans="1:64">
      <c r="N86" s="5433"/>
      <c r="P86" s="5431"/>
      <c r="Q86" s="5434"/>
      <c r="R86" s="5434"/>
      <c r="S86" s="5434"/>
      <c r="T86" s="5439"/>
      <c r="U86" s="5431"/>
      <c r="V86" s="5431"/>
      <c r="W86" s="5440"/>
      <c r="Y86" s="5435"/>
      <c r="Z86" s="5435"/>
      <c r="AG86" s="5436"/>
      <c r="AH86" s="5437"/>
      <c r="AI86" s="5437"/>
      <c r="AJ86" s="5438"/>
      <c r="BG86" s="5191"/>
      <c r="BH86" s="5191"/>
      <c r="BI86" s="5191"/>
    </row>
    <row r="87" ht="26.25" customHeight="1" spans="1:64">
      <c r="N87" s="5433"/>
      <c r="P87" s="5431"/>
      <c r="Q87" s="5434"/>
      <c r="R87" s="5434"/>
      <c r="S87" s="5434"/>
      <c r="U87" s="5431"/>
      <c r="V87" s="5431"/>
      <c r="W87" s="5432"/>
      <c r="Y87" s="5435"/>
      <c r="Z87" s="5435"/>
      <c r="AG87" s="5436"/>
      <c r="AH87" s="5437"/>
      <c r="AI87" s="5437"/>
      <c r="AJ87" s="5438"/>
      <c r="BG87" s="5191"/>
    </row>
    <row r="88" spans="1:64">
      <c r="W88" s="5432"/>
      <c r="BG88" s="5191"/>
    </row>
    <row r="89" spans="1:64">
      <c r="I89" s="5174"/>
      <c r="W89" s="5432"/>
      <c r="AD89" s="5441"/>
      <c r="BG89" s="5191"/>
    </row>
    <row r="90" spans="1:64">
      <c r="W90" s="5432"/>
      <c r="BG90" s="5191"/>
    </row>
    <row r="91" spans="1:64">
      <c r="W91" s="5432"/>
    </row>
    <row r="92" spans="1:64">
      <c r="W92" s="5432"/>
    </row>
    <row r="93" spans="1:64">
      <c r="W93" s="5432"/>
    </row>
    <row r="94" spans="1:64">
      <c r="W94" s="5432"/>
    </row>
    <row r="95" spans="1:64">
      <c r="W95" s="5432"/>
    </row>
    <row r="96" spans="1:64">
      <c r="W96" s="5432"/>
    </row>
    <row r="97" spans="23:23">
      <c r="W97" s="5432"/>
    </row>
    <row r="98" spans="23:23">
      <c r="W98" s="5432"/>
    </row>
    <row r="99" spans="23:23">
      <c r="W99" s="5432"/>
    </row>
    <row r="100" spans="23:23">
      <c r="W100" s="5432"/>
    </row>
    <row r="101" spans="23:23">
      <c r="W101" s="5432"/>
    </row>
    <row r="102" spans="23:23">
      <c r="W102" s="5432"/>
    </row>
    <row r="103" spans="23:23">
      <c r="W103" s="5432"/>
    </row>
    <row r="104" spans="23:23">
      <c r="W104" s="5432"/>
    </row>
    <row r="105" spans="23:23">
      <c r="W105" s="5432"/>
    </row>
    <row r="106" spans="23:23">
      <c r="W106" s="5432"/>
    </row>
    <row r="107" spans="23:23">
      <c r="W107" s="5432"/>
    </row>
    <row r="108" spans="23:23">
      <c r="W108" s="5432"/>
    </row>
    <row r="109" spans="23:23">
      <c r="W109" s="5432"/>
    </row>
    <row r="110" spans="23:23">
      <c r="W110" s="5432"/>
    </row>
    <row r="111" spans="23:23">
      <c r="W111" s="5432"/>
    </row>
    <row r="112" spans="23:23">
      <c r="W112" s="5432"/>
    </row>
    <row r="113" spans="23:23">
      <c r="W113" s="5432"/>
    </row>
    <row r="114" spans="23:23">
      <c r="W114" s="5432"/>
    </row>
    <row r="115" spans="23:23">
      <c r="W115" s="5432"/>
    </row>
    <row r="116" spans="23:23">
      <c r="W116" s="5432"/>
    </row>
    <row r="117" spans="23:23">
      <c r="W117" s="5432"/>
    </row>
    <row r="118" spans="23:23">
      <c r="W118" s="5432"/>
    </row>
    <row r="119" spans="23:23">
      <c r="W119" s="5432"/>
    </row>
    <row r="120" spans="23:23">
      <c r="W120" s="5432"/>
    </row>
    <row r="121" spans="23:23">
      <c r="W121" s="5432"/>
    </row>
    <row r="122" spans="23:23">
      <c r="W122" s="5432"/>
    </row>
    <row r="123" spans="23:23">
      <c r="W123" s="5432"/>
    </row>
    <row r="124" spans="23:23">
      <c r="W124" s="5432"/>
    </row>
    <row r="125" spans="23:23">
      <c r="W125" s="5432"/>
    </row>
    <row r="126" spans="23:23">
      <c r="W126" s="5432"/>
    </row>
    <row r="127" spans="23:23">
      <c r="W127" s="5432"/>
    </row>
    <row r="128" spans="23:23">
      <c r="W128" s="5432"/>
    </row>
    <row r="129" spans="17:60">
      <c r="W129" s="5432"/>
    </row>
    <row r="130" spans="17:60">
      <c r="W130" s="5432"/>
    </row>
    <row r="131" spans="17:60">
      <c r="W131" s="5432"/>
    </row>
    <row r="132" spans="17:60">
      <c r="Q132" s="5164"/>
      <c r="R132" s="5164"/>
      <c r="S132" s="5164"/>
      <c r="T132" s="5173"/>
      <c r="U132" s="5432"/>
      <c r="V132" s="5181"/>
      <c r="W132" s="5181"/>
      <c r="Y132" s="5183"/>
      <c r="Z132" s="5183"/>
      <c r="AE132" s="5184"/>
      <c r="AF132" s="5184"/>
      <c r="AG132" s="5186"/>
      <c r="AH132" s="5187"/>
      <c r="AI132" s="5187"/>
      <c r="AJ132" s="5188"/>
      <c r="AK132" s="5189"/>
      <c r="AL132" s="5190"/>
      <c r="AM132" s="5190"/>
      <c r="AO132" s="5189"/>
      <c r="AX132" s="5190"/>
      <c r="AY132" s="5442"/>
      <c r="AZ132" s="5442"/>
      <c r="BA132" s="5442"/>
      <c r="BB132" s="5184"/>
      <c r="BE132" s="5187"/>
      <c r="BF132" s="5187"/>
      <c r="BH132" s="5191"/>
    </row>
    <row r="133" spans="17:60">
      <c r="Q133" s="5164"/>
      <c r="R133" s="5164"/>
      <c r="S133" s="5164"/>
      <c r="T133" s="5173"/>
      <c r="U133" s="5432"/>
      <c r="V133" s="5181"/>
      <c r="W133" s="5181"/>
      <c r="Y133" s="5183"/>
      <c r="Z133" s="5183"/>
      <c r="AE133" s="5184"/>
      <c r="AF133" s="5184"/>
      <c r="AG133" s="5186"/>
      <c r="AH133" s="5187"/>
      <c r="AI133" s="5187"/>
      <c r="AJ133" s="5188"/>
      <c r="AK133" s="5189"/>
      <c r="AL133" s="5190"/>
      <c r="AM133" s="5190"/>
      <c r="AO133" s="5189"/>
      <c r="AX133" s="5190"/>
      <c r="AY133" s="5442"/>
      <c r="AZ133" s="5442"/>
      <c r="BA133" s="5442"/>
      <c r="BB133" s="5184"/>
      <c r="BE133" s="5187"/>
      <c r="BF133" s="5187"/>
      <c r="BH133" s="5191"/>
    </row>
    <row r="134" spans="17:60">
      <c r="Q134" s="5164"/>
      <c r="R134" s="5164"/>
      <c r="S134" s="5164"/>
      <c r="T134" s="5443"/>
      <c r="U134" s="5181"/>
      <c r="V134" s="5181"/>
      <c r="W134" s="5183"/>
      <c r="Y134" s="5183"/>
      <c r="Z134" s="5183"/>
      <c r="AD134" s="5184"/>
      <c r="AE134" s="5185"/>
      <c r="AF134" s="5230"/>
      <c r="AG134" s="5187"/>
      <c r="AH134" s="5188"/>
      <c r="AI134" s="5188"/>
      <c r="AJ134" s="5189"/>
      <c r="AK134" s="5190"/>
      <c r="AL134" s="5189"/>
      <c r="AM134" s="5189"/>
      <c r="AO134" s="5189"/>
      <c r="AW134" s="5190"/>
      <c r="AX134" s="5442"/>
      <c r="AY134" s="5184"/>
      <c r="AZ134" s="5184"/>
      <c r="BA134" s="5184"/>
      <c r="BB134" s="5184"/>
      <c r="BD134" s="5187"/>
      <c r="BE134" s="5187"/>
      <c r="BF134" s="5187"/>
      <c r="BG134" s="5191"/>
    </row>
    <row r="135" spans="17:60">
      <c r="Q135" s="5164"/>
      <c r="R135" s="5164"/>
      <c r="S135" s="5164"/>
      <c r="T135" s="5443"/>
      <c r="U135" s="5181"/>
      <c r="V135" s="5181"/>
      <c r="W135" s="5183"/>
      <c r="Y135" s="5183"/>
      <c r="Z135" s="5183"/>
      <c r="AD135" s="5184"/>
      <c r="AE135" s="5185"/>
      <c r="AF135" s="5230"/>
      <c r="AG135" s="5187"/>
      <c r="AH135" s="5188"/>
      <c r="AI135" s="5188"/>
      <c r="AJ135" s="5189"/>
      <c r="AK135" s="5190"/>
      <c r="AL135" s="5189"/>
      <c r="AM135" s="5189"/>
      <c r="AO135" s="5189"/>
      <c r="AW135" s="5190"/>
      <c r="AX135" s="5442"/>
      <c r="AY135" s="5184"/>
      <c r="AZ135" s="5184"/>
      <c r="BA135" s="5184"/>
      <c r="BB135" s="5184"/>
      <c r="BD135" s="5187"/>
      <c r="BE135" s="5187"/>
      <c r="BF135" s="5187"/>
      <c r="BG135" s="5191"/>
    </row>
    <row r="136" spans="17:60">
      <c r="Q136" s="5164"/>
      <c r="R136" s="5164"/>
      <c r="S136" s="5164"/>
      <c r="T136" s="5173"/>
      <c r="U136" s="5432"/>
      <c r="V136" s="5181"/>
      <c r="W136" s="5181"/>
      <c r="Y136" s="5183"/>
      <c r="Z136" s="5183"/>
      <c r="AE136" s="5184"/>
      <c r="AF136" s="5184"/>
      <c r="AG136" s="5186"/>
      <c r="AH136" s="5187"/>
      <c r="AI136" s="5187"/>
      <c r="AJ136" s="5188"/>
      <c r="AK136" s="5189"/>
      <c r="AL136" s="5190"/>
      <c r="AM136" s="5190"/>
      <c r="AO136" s="5189"/>
      <c r="AX136" s="5190"/>
      <c r="AY136" s="5442"/>
      <c r="AZ136" s="5442"/>
      <c r="BA136" s="5442"/>
      <c r="BB136" s="5184"/>
      <c r="BE136" s="5187"/>
      <c r="BF136" s="5187"/>
      <c r="BH136" s="5191"/>
    </row>
    <row r="137" spans="17:60">
      <c r="W137" s="5432"/>
    </row>
    <row r="138" spans="17:60">
      <c r="W138" s="5432"/>
    </row>
    <row r="139" spans="17:60">
      <c r="W139" s="5432"/>
    </row>
    <row r="140" spans="17:60">
      <c r="W140" s="5432"/>
    </row>
    <row r="141" spans="17:60">
      <c r="W141" s="5432"/>
    </row>
    <row r="142" spans="17:60">
      <c r="W142" s="5432"/>
    </row>
    <row r="143" spans="17:60">
      <c r="W143" s="5432"/>
    </row>
    <row r="144" spans="17:60">
      <c r="W144" s="5432"/>
    </row>
    <row r="145" spans="23:23">
      <c r="W145" s="5432"/>
    </row>
    <row r="146" spans="23:23">
      <c r="W146" s="5432"/>
    </row>
    <row r="147" spans="23:23">
      <c r="W147" s="5432"/>
    </row>
    <row r="148" spans="23:23">
      <c r="W148" s="5432"/>
    </row>
    <row r="149" spans="23:23">
      <c r="W149" s="5432"/>
    </row>
    <row r="150" spans="23:23">
      <c r="W150" s="5432"/>
    </row>
    <row r="151" spans="23:23">
      <c r="W151" s="5432"/>
    </row>
    <row r="152" spans="23:23">
      <c r="W152" s="5432"/>
    </row>
    <row r="153" spans="23:23">
      <c r="W153" s="5432"/>
    </row>
    <row r="154" spans="23:23">
      <c r="W154" s="5432"/>
    </row>
    <row r="155" spans="23:23">
      <c r="W155" s="5432"/>
    </row>
    <row r="156" spans="23:23">
      <c r="W156" s="5432"/>
    </row>
    <row r="157" spans="23:23">
      <c r="W157" s="5432"/>
    </row>
    <row r="158" spans="23:23">
      <c r="W158" s="5432"/>
    </row>
    <row r="159" spans="23:23">
      <c r="W159" s="5432"/>
    </row>
    <row r="160" spans="23:23">
      <c r="W160" s="5432"/>
    </row>
    <row r="161" spans="23:23">
      <c r="W161" s="5432"/>
    </row>
    <row r="162" spans="23:23">
      <c r="W162" s="5432"/>
    </row>
    <row r="163" spans="23:23">
      <c r="W163" s="5432"/>
    </row>
    <row r="164" spans="23:23">
      <c r="W164" s="5432"/>
    </row>
    <row r="165" spans="23:23">
      <c r="W165" s="5432"/>
    </row>
    <row r="166" spans="23:23">
      <c r="W166" s="5432"/>
    </row>
    <row r="167" spans="23:23">
      <c r="W167" s="5432"/>
    </row>
    <row r="168" spans="23:23">
      <c r="W168" s="5432"/>
    </row>
    <row r="169" spans="23:23">
      <c r="W169" s="5432"/>
    </row>
    <row r="170" spans="23:23">
      <c r="W170" s="5432"/>
    </row>
    <row r="171" spans="23:23">
      <c r="W171" s="5432"/>
    </row>
    <row r="172" spans="23:23">
      <c r="W172" s="5432"/>
    </row>
    <row r="173" spans="23:23">
      <c r="W173" s="5432"/>
    </row>
    <row r="174" spans="23:23">
      <c r="W174" s="5432"/>
    </row>
    <row r="175" spans="23:23">
      <c r="W175" s="5432"/>
    </row>
    <row r="176" spans="23:23">
      <c r="W176" s="5432"/>
    </row>
    <row r="177" spans="23:23">
      <c r="W177" s="5432"/>
    </row>
    <row r="178" spans="23:23">
      <c r="W178" s="5432"/>
    </row>
    <row r="179" spans="23:23">
      <c r="W179" s="5432"/>
    </row>
    <row r="180" spans="23:23">
      <c r="W180" s="5432"/>
    </row>
    <row r="181" spans="23:23">
      <c r="W181" s="5432"/>
    </row>
    <row r="182" spans="23:23">
      <c r="W182" s="5432"/>
    </row>
    <row r="183" spans="23:23">
      <c r="W183" s="5432"/>
    </row>
    <row r="184" spans="23:23">
      <c r="W184" s="5432"/>
    </row>
    <row r="185" spans="23:23">
      <c r="W185" s="5432"/>
    </row>
    <row r="186" spans="23:23">
      <c r="W186" s="5432"/>
    </row>
    <row r="187" spans="23:23">
      <c r="W187" s="5432"/>
    </row>
    <row r="188" spans="23:23">
      <c r="W188" s="5432"/>
    </row>
    <row r="189" spans="23:23">
      <c r="W189" s="5432"/>
    </row>
    <row r="190" spans="23:23">
      <c r="W190" s="5432"/>
    </row>
    <row r="191" spans="23:23">
      <c r="W191" s="5432"/>
    </row>
    <row r="192" spans="23:23">
      <c r="W192" s="5432"/>
    </row>
    <row r="193" spans="23:23">
      <c r="W193" s="5432"/>
    </row>
    <row r="194" spans="23:23">
      <c r="W194" s="5432"/>
    </row>
    <row r="195" spans="23:23">
      <c r="W195" s="5432"/>
    </row>
    <row r="196" spans="23:23">
      <c r="W196" s="5432"/>
    </row>
    <row r="197" spans="23:23">
      <c r="W197" s="5432"/>
    </row>
    <row r="198" spans="23:23">
      <c r="W198" s="5432"/>
    </row>
    <row r="199" spans="23:23">
      <c r="W199" s="5432"/>
    </row>
    <row r="200" spans="23:23">
      <c r="W200" s="5432"/>
    </row>
    <row r="201" spans="23:23">
      <c r="W201" s="5432"/>
    </row>
    <row r="202" spans="23:23">
      <c r="W202" s="5432"/>
    </row>
    <row r="203" spans="23:23">
      <c r="W203" s="5432"/>
    </row>
    <row r="204" spans="23:23">
      <c r="W204" s="5432"/>
    </row>
    <row r="205" spans="23:23">
      <c r="W205" s="5432"/>
    </row>
    <row r="206" spans="23:23">
      <c r="W206" s="5432"/>
    </row>
    <row r="207" spans="23:23">
      <c r="W207" s="5432"/>
    </row>
    <row r="208" spans="23:23">
      <c r="W208" s="5432"/>
    </row>
    <row r="209" spans="23:23">
      <c r="W209" s="5444"/>
    </row>
    <row r="210" spans="23:23">
      <c r="W210" s="5444"/>
    </row>
    <row r="211" spans="23:23">
      <c r="W211" s="5445"/>
    </row>
    <row r="212" spans="23:23">
      <c r="W212" s="5444"/>
    </row>
    <row r="213" spans="23:23">
      <c r="W213" s="5444"/>
    </row>
    <row r="214" spans="23:23">
      <c r="W214" s="5444"/>
    </row>
    <row r="215" spans="23:23">
      <c r="W215" s="5444"/>
    </row>
    <row r="216" spans="23:23">
      <c r="W216" s="5444"/>
    </row>
    <row r="217" spans="23:23">
      <c r="W217" s="5446"/>
    </row>
    <row r="218" spans="23:23">
      <c r="W218" s="5444"/>
    </row>
    <row r="219" spans="23:23">
      <c r="W219" s="5444"/>
    </row>
    <row r="220" spans="23:23">
      <c r="W220" s="5444"/>
    </row>
    <row r="221" spans="23:23">
      <c r="W221" s="5444"/>
    </row>
    <row r="222" spans="23:23">
      <c r="W222" s="5444"/>
    </row>
    <row r="223" spans="23:23">
      <c r="W223" s="5444"/>
    </row>
    <row r="224" spans="23:23">
      <c r="W224" s="5444"/>
    </row>
    <row r="225" spans="23:23">
      <c r="W225" s="5444"/>
    </row>
    <row r="226" spans="23:23">
      <c r="W226" s="5444"/>
    </row>
    <row r="227" spans="23:23">
      <c r="W227" s="5444"/>
    </row>
    <row r="228" spans="23:23">
      <c r="W228" s="5447"/>
    </row>
    <row r="229" spans="23:23">
      <c r="W229" s="5447"/>
    </row>
    <row r="230" spans="23:23">
      <c r="W230" s="5448"/>
    </row>
    <row r="231" spans="23:23">
      <c r="W231" s="5444"/>
    </row>
    <row r="232" spans="23:23">
      <c r="W232" s="5444"/>
    </row>
    <row r="233" spans="23:23">
      <c r="W233" s="5444"/>
    </row>
    <row r="234" spans="23:23">
      <c r="W234" s="5444"/>
    </row>
    <row r="235" spans="23:23">
      <c r="W235" s="5445"/>
    </row>
    <row r="236" spans="23:23">
      <c r="W236" s="5445"/>
    </row>
    <row r="237" spans="23:23">
      <c r="W237" s="5445"/>
    </row>
    <row r="238" spans="23:23">
      <c r="W238" s="5445"/>
    </row>
    <row r="239" spans="23:23">
      <c r="W239" s="5445"/>
    </row>
    <row r="240" spans="23:23">
      <c r="W240" s="5445"/>
    </row>
    <row r="241" spans="23:23">
      <c r="W241" s="5445"/>
    </row>
    <row r="242" spans="23:23">
      <c r="W242" s="5445"/>
    </row>
    <row r="243" spans="23:23">
      <c r="W243" s="5445"/>
    </row>
    <row r="244" spans="23:23">
      <c r="W244" s="5445"/>
    </row>
    <row r="245" spans="23:23">
      <c r="W245" s="5445"/>
    </row>
    <row r="246" spans="23:23">
      <c r="W246" s="5445"/>
    </row>
    <row r="247" spans="23:23">
      <c r="W247" s="5445"/>
    </row>
    <row r="248" spans="23:23">
      <c r="W248" s="5445"/>
    </row>
    <row r="249" spans="23:23">
      <c r="W249" s="5449"/>
    </row>
    <row r="250" spans="23:23">
      <c r="W250" s="5449"/>
    </row>
    <row r="251" spans="23:23">
      <c r="W251" s="5449"/>
    </row>
    <row r="252" spans="23:23">
      <c r="W252" s="5449"/>
    </row>
    <row r="253" spans="23:23">
      <c r="W253" s="5449"/>
    </row>
    <row r="254" spans="23:23">
      <c r="W254" s="5449"/>
    </row>
    <row r="255" spans="23:23">
      <c r="W255" s="5450"/>
    </row>
    <row r="256" spans="23:23">
      <c r="W256" s="5449"/>
    </row>
    <row r="257" spans="23:23">
      <c r="W257" s="5451"/>
    </row>
    <row r="258" spans="23:23">
      <c r="W258" s="5449"/>
    </row>
    <row r="259" spans="23:23">
      <c r="W259" s="5449"/>
    </row>
    <row r="260" spans="23:23">
      <c r="W260" s="5449"/>
    </row>
    <row r="261" spans="23:23">
      <c r="W261" s="5432"/>
    </row>
    <row r="262" spans="23:23">
      <c r="W262" s="5432"/>
    </row>
    <row r="263" spans="23:23">
      <c r="W263" s="5432"/>
    </row>
    <row r="264" spans="23:23">
      <c r="W264" s="5432"/>
    </row>
    <row r="265" spans="23:23">
      <c r="W265" s="5432"/>
    </row>
    <row r="266" spans="23:23">
      <c r="W266" s="5432"/>
    </row>
    <row r="267" spans="23:23">
      <c r="W267" s="5432"/>
    </row>
    <row r="268" spans="23:23">
      <c r="W268" s="5432"/>
    </row>
    <row r="269" spans="23:23">
      <c r="W269" s="5432"/>
    </row>
    <row r="270" spans="23:23">
      <c r="W270" s="5432"/>
    </row>
    <row r="271" spans="23:23">
      <c r="W271" s="5432"/>
    </row>
    <row r="272" spans="23:23">
      <c r="W272" s="5432"/>
    </row>
    <row r="273" spans="23:23">
      <c r="W273" s="5432"/>
    </row>
    <row r="274" spans="23:23">
      <c r="W274" s="5432"/>
    </row>
    <row r="275" spans="23:23">
      <c r="W275" s="5432"/>
    </row>
    <row r="276" spans="23:23">
      <c r="W276" s="5432"/>
    </row>
    <row r="277" spans="23:23">
      <c r="W277" s="5432"/>
    </row>
    <row r="278" spans="23:23">
      <c r="W278" s="5432"/>
    </row>
    <row r="279" spans="23:23">
      <c r="W279" s="5432"/>
    </row>
    <row r="280" spans="23:23">
      <c r="W280" s="5432"/>
    </row>
    <row r="281" spans="23:23">
      <c r="W281" s="5432"/>
    </row>
    <row r="282" spans="23:23">
      <c r="W282" s="5432"/>
    </row>
    <row r="283" spans="23:23">
      <c r="W283" s="5432"/>
    </row>
    <row r="284" spans="23:23">
      <c r="W284" s="5432"/>
    </row>
    <row r="285" spans="23:23">
      <c r="W285" s="5432"/>
    </row>
    <row r="286" spans="23:23">
      <c r="W286" s="5432"/>
    </row>
    <row r="287" spans="23:23">
      <c r="W287" s="5432"/>
    </row>
    <row r="288" spans="23:23">
      <c r="W288" s="5432"/>
    </row>
    <row r="289" spans="23:23">
      <c r="W289" s="5432"/>
    </row>
    <row r="290" spans="23:23">
      <c r="W290" s="5432"/>
    </row>
    <row r="291" spans="23:23">
      <c r="W291" s="5432"/>
    </row>
    <row r="292" spans="23:23">
      <c r="W292" s="5432"/>
    </row>
    <row r="293" spans="23:23">
      <c r="W293" s="5432"/>
    </row>
    <row r="294" spans="23:23">
      <c r="W294" s="5432"/>
    </row>
    <row r="295" spans="23:23">
      <c r="W295" s="5432"/>
    </row>
    <row r="296" spans="23:23">
      <c r="W296" s="5432"/>
    </row>
    <row r="297" spans="23:23">
      <c r="W297" s="5432"/>
    </row>
    <row r="298" spans="23:23">
      <c r="W298" s="5432"/>
    </row>
    <row r="299" spans="23:23">
      <c r="W299" s="5432"/>
    </row>
    <row r="300" spans="23:23">
      <c r="W300" s="5432"/>
    </row>
    <row r="301" spans="23:23">
      <c r="W301" s="5432"/>
    </row>
    <row r="302" spans="23:23">
      <c r="W302" s="5432"/>
    </row>
    <row r="303" spans="23:23">
      <c r="W303" s="5432"/>
    </row>
    <row r="304" spans="23:23">
      <c r="W304" s="5432"/>
    </row>
    <row r="305" spans="23:23">
      <c r="W305" s="5432"/>
    </row>
    <row r="306" spans="23:23">
      <c r="W306" s="5432"/>
    </row>
    <row r="307" spans="23:23">
      <c r="W307" s="5432"/>
    </row>
    <row r="308" spans="23:23">
      <c r="W308" s="5432"/>
    </row>
    <row r="309" spans="23:23">
      <c r="W309" s="5432"/>
    </row>
    <row r="310" spans="23:23">
      <c r="W310" s="5432"/>
    </row>
    <row r="311" spans="23:23">
      <c r="W311" s="5432"/>
    </row>
    <row r="312" spans="23:23">
      <c r="W312" s="5432"/>
    </row>
    <row r="313" spans="23:23">
      <c r="W313" s="5432"/>
    </row>
    <row r="314" spans="23:23">
      <c r="W314" s="5432"/>
    </row>
    <row r="315" spans="23:23">
      <c r="W315" s="5432"/>
    </row>
    <row r="316" spans="23:23">
      <c r="W316" s="5432"/>
    </row>
    <row r="317" spans="23:23">
      <c r="W317" s="5432"/>
    </row>
    <row r="318" spans="23:23">
      <c r="W318" s="5432"/>
    </row>
    <row r="319" spans="23:23">
      <c r="W319" s="5432"/>
    </row>
    <row r="320" spans="23:23">
      <c r="W320" s="5432"/>
    </row>
    <row r="321" spans="23:23">
      <c r="W321" s="5432"/>
    </row>
    <row r="322" spans="23:23">
      <c r="W322" s="5432"/>
    </row>
    <row r="323" spans="23:23">
      <c r="W323" s="5432"/>
    </row>
    <row r="324" spans="23:23">
      <c r="W324" s="5432"/>
    </row>
    <row r="325" spans="23:23">
      <c r="W325" s="5432"/>
    </row>
    <row r="326" spans="23:23">
      <c r="W326" s="5432"/>
    </row>
    <row r="327" spans="23:23">
      <c r="W327" s="5432"/>
    </row>
    <row r="328" spans="23:23">
      <c r="W328" s="5432"/>
    </row>
    <row r="329" spans="23:23">
      <c r="W329" s="5432"/>
    </row>
    <row r="330" spans="23:23">
      <c r="W330" s="5432"/>
    </row>
    <row r="331" spans="23:23">
      <c r="W331" s="5432"/>
    </row>
    <row r="332" spans="23:23">
      <c r="W332" s="5432"/>
    </row>
    <row r="333" spans="23:23">
      <c r="W333" s="5432"/>
    </row>
    <row r="334" spans="23:23">
      <c r="W334" s="5432"/>
    </row>
    <row r="335" spans="23:23">
      <c r="W335" s="5432"/>
    </row>
    <row r="336" spans="23:23">
      <c r="W336" s="5432"/>
    </row>
    <row r="337" spans="23:23">
      <c r="W337" s="5432"/>
    </row>
    <row r="338" spans="23:23">
      <c r="W338" s="5432"/>
    </row>
    <row r="339" spans="23:23">
      <c r="W339" s="5432"/>
    </row>
    <row r="340" spans="23:23">
      <c r="W340" s="5432"/>
    </row>
    <row r="341" spans="23:23">
      <c r="W341" s="5432"/>
    </row>
    <row r="342" spans="23:23">
      <c r="W342" s="5432"/>
    </row>
    <row r="343" spans="23:23">
      <c r="W343" s="5432"/>
    </row>
    <row r="344" spans="23:23">
      <c r="W344" s="5432"/>
    </row>
    <row r="345" spans="23:23">
      <c r="W345" s="5432"/>
    </row>
    <row r="346" spans="23:23">
      <c r="W346" s="5432"/>
    </row>
    <row r="347" spans="23:23">
      <c r="W347" s="5432"/>
    </row>
    <row r="348" spans="23:23">
      <c r="W348" s="5432"/>
    </row>
    <row r="349" spans="23:23">
      <c r="W349" s="5432"/>
    </row>
    <row r="350" spans="23:23">
      <c r="W350" s="5452"/>
    </row>
    <row r="351" spans="23:23">
      <c r="W351" s="5432"/>
    </row>
    <row r="352" spans="23:23">
      <c r="W352" s="5432"/>
    </row>
    <row r="353" spans="23:23">
      <c r="W353" s="5432"/>
    </row>
    <row r="354" spans="23:23">
      <c r="W354" s="5432"/>
    </row>
    <row r="355" spans="23:23">
      <c r="W355" s="5432"/>
    </row>
    <row r="356" spans="23:23">
      <c r="W356" s="5432"/>
    </row>
    <row r="357" spans="23:23">
      <c r="W357" s="5432"/>
    </row>
    <row r="358" spans="23:23">
      <c r="W358" s="5432"/>
    </row>
    <row r="359" spans="23:23">
      <c r="W359" s="5432"/>
    </row>
    <row r="360" spans="23:23">
      <c r="W360" s="5432"/>
    </row>
    <row r="361" spans="23:23">
      <c r="W361" s="5432"/>
    </row>
    <row r="362" spans="23:23">
      <c r="W362" s="5432"/>
    </row>
    <row r="363" spans="23:23">
      <c r="W363" s="5432"/>
    </row>
    <row r="364" spans="23:23">
      <c r="W364" s="5432"/>
    </row>
    <row r="365" spans="23:23">
      <c r="W365" s="5432"/>
    </row>
    <row r="366" spans="23:23">
      <c r="W366" s="5432"/>
    </row>
    <row r="367" spans="23:23">
      <c r="W367" s="5432"/>
    </row>
    <row r="368" spans="23:23">
      <c r="W368" s="5432"/>
    </row>
    <row r="369" spans="23:23">
      <c r="W369" s="5432"/>
    </row>
    <row r="370" spans="23:23">
      <c r="W370" s="5432"/>
    </row>
    <row r="371" spans="23:23">
      <c r="W371" s="5432"/>
    </row>
    <row r="372" spans="23:23">
      <c r="W372" s="5432"/>
    </row>
    <row r="373" spans="23:23">
      <c r="W373" s="5432"/>
    </row>
    <row r="374" spans="23:23">
      <c r="W374" s="5432"/>
    </row>
    <row r="375" spans="23:23">
      <c r="W375" s="5432"/>
    </row>
    <row r="376" spans="23:23">
      <c r="W376" s="5432"/>
    </row>
    <row r="377" spans="23:23">
      <c r="W377" s="5432"/>
    </row>
    <row r="378" spans="23:23">
      <c r="W378" s="5432"/>
    </row>
    <row r="379" spans="23:23">
      <c r="W379" s="5432"/>
    </row>
    <row r="380" spans="23:23">
      <c r="W380" s="5432"/>
    </row>
    <row r="381" spans="23:23">
      <c r="W381" s="5432"/>
    </row>
    <row r="382" spans="23:23">
      <c r="W382" s="5432"/>
    </row>
    <row r="383" spans="23:23">
      <c r="W383" s="5452"/>
    </row>
    <row r="384" spans="23:23">
      <c r="W384" s="5432"/>
    </row>
    <row r="385" spans="23:23">
      <c r="W385" s="5432"/>
    </row>
    <row r="386" spans="23:23">
      <c r="W386" s="5432"/>
    </row>
    <row r="387" spans="23:23">
      <c r="W387" s="5432"/>
    </row>
    <row r="388" spans="23:23">
      <c r="W388" s="5432"/>
    </row>
    <row r="389" spans="23:23">
      <c r="W389" s="5432"/>
    </row>
    <row r="390" spans="23:23">
      <c r="W390" s="5432"/>
    </row>
    <row r="391" spans="23:23">
      <c r="W391" s="5432"/>
    </row>
    <row r="392" spans="23:23">
      <c r="W392" s="5432"/>
    </row>
    <row r="393" spans="23:23">
      <c r="W393" s="5432"/>
    </row>
    <row r="394" spans="23:23">
      <c r="W394" s="5432"/>
    </row>
    <row r="395" spans="23:23">
      <c r="W395" s="5432"/>
    </row>
    <row r="396" spans="23:23">
      <c r="W396" s="5432"/>
    </row>
    <row r="397" spans="23:23">
      <c r="W397" s="5432"/>
    </row>
    <row r="398" spans="23:23">
      <c r="W398" s="5432"/>
    </row>
    <row r="399" spans="23:23">
      <c r="W399" s="5432"/>
    </row>
    <row r="400" spans="23:23">
      <c r="W400" s="5432"/>
    </row>
    <row r="401" spans="23:23">
      <c r="W401" s="5432"/>
    </row>
    <row r="402" spans="23:23">
      <c r="W402" s="5432"/>
    </row>
    <row r="403" spans="23:23">
      <c r="W403" s="5432"/>
    </row>
    <row r="404" spans="23:23">
      <c r="W404" s="5432"/>
    </row>
    <row r="405" spans="23:23">
      <c r="W405" s="5432"/>
    </row>
    <row r="406" spans="23:23">
      <c r="W406" s="5432"/>
    </row>
    <row r="407" spans="23:23">
      <c r="W407" s="5432"/>
    </row>
    <row r="408" spans="23:23">
      <c r="W408" s="5432"/>
    </row>
    <row r="409" spans="23:23">
      <c r="W409" s="5432"/>
    </row>
    <row r="410" spans="23:23">
      <c r="W410" s="5432"/>
    </row>
    <row r="411" spans="23:23">
      <c r="W411" s="5432"/>
    </row>
    <row r="412" spans="23:23">
      <c r="W412" s="5432"/>
    </row>
    <row r="413" spans="23:23">
      <c r="W413" s="5432"/>
    </row>
    <row r="414" spans="23:23">
      <c r="W414" s="5432"/>
    </row>
    <row r="415" spans="23:23">
      <c r="W415" s="5432"/>
    </row>
    <row r="416" spans="23:23">
      <c r="W416" s="5432"/>
    </row>
    <row r="417" spans="23:23">
      <c r="W417" s="5432"/>
    </row>
    <row r="418" spans="23:23">
      <c r="W418" s="5432"/>
    </row>
    <row r="419" spans="23:23">
      <c r="W419" s="5432"/>
    </row>
    <row r="420" spans="23:23">
      <c r="W420" s="5432"/>
    </row>
    <row r="421" spans="23:23">
      <c r="W421" s="5432"/>
    </row>
    <row r="422" spans="23:23">
      <c r="W422" s="5432"/>
    </row>
    <row r="423" spans="23:23">
      <c r="W423" s="5432"/>
    </row>
    <row r="424" spans="23:23">
      <c r="W424" s="5432"/>
    </row>
    <row r="425" spans="23:23">
      <c r="W425" s="5432"/>
    </row>
    <row r="426" spans="23:23">
      <c r="W426" s="5432"/>
    </row>
    <row r="427" spans="23:23">
      <c r="W427" s="5432"/>
    </row>
    <row r="428" spans="23:23">
      <c r="W428" s="5432"/>
    </row>
    <row r="429" spans="23:23">
      <c r="W429" s="5432"/>
    </row>
    <row r="430" spans="23:23">
      <c r="W430" s="5432"/>
    </row>
    <row r="431" spans="23:23">
      <c r="W431" s="5432"/>
    </row>
    <row r="432" spans="23:23">
      <c r="W432" s="5432"/>
    </row>
    <row r="433" spans="23:23">
      <c r="W433" s="5432"/>
    </row>
    <row r="434" spans="23:23">
      <c r="W434" s="5432"/>
    </row>
    <row r="435" spans="23:23">
      <c r="W435" s="5432"/>
    </row>
    <row r="436" spans="23:23">
      <c r="W436" s="5432"/>
    </row>
    <row r="437" spans="23:23">
      <c r="W437" s="5432"/>
    </row>
    <row r="438" spans="23:23">
      <c r="W438" s="5432"/>
    </row>
    <row r="439" spans="23:23">
      <c r="W439" s="5432"/>
    </row>
    <row r="440" spans="23:23">
      <c r="W440" s="5432"/>
    </row>
    <row r="441" spans="23:23">
      <c r="W441" s="5432"/>
    </row>
    <row r="442" spans="23:23">
      <c r="W442" s="5432"/>
    </row>
    <row r="443" spans="23:23">
      <c r="W443" s="5432"/>
    </row>
    <row r="444" spans="23:23">
      <c r="W444" s="5432"/>
    </row>
    <row r="445" spans="23:23">
      <c r="W445" s="5432"/>
    </row>
    <row r="446" spans="23:23">
      <c r="W446" s="5432"/>
    </row>
    <row r="447" spans="23:23">
      <c r="W447" s="5432"/>
    </row>
    <row r="448" spans="23:23">
      <c r="W448" s="5432"/>
    </row>
    <row r="449" spans="23:23">
      <c r="W449" s="5432"/>
    </row>
    <row r="450" spans="23:23">
      <c r="W450" s="5432"/>
    </row>
    <row r="451" spans="23:23">
      <c r="W451" s="5432"/>
    </row>
    <row r="452" spans="23:23">
      <c r="W452" s="5432"/>
    </row>
    <row r="453" spans="23:23">
      <c r="W453" s="5432"/>
    </row>
    <row r="454" spans="23:23">
      <c r="W454" s="5432"/>
    </row>
    <row r="455" spans="23:23">
      <c r="W455" s="5432"/>
    </row>
    <row r="456" spans="23:23">
      <c r="W456" s="5432"/>
    </row>
    <row r="457" spans="23:23">
      <c r="W457" s="5432"/>
    </row>
    <row r="458" spans="23:23">
      <c r="W458" s="5432"/>
    </row>
    <row r="459" spans="23:23">
      <c r="W459" s="5432"/>
    </row>
    <row r="460" spans="23:23">
      <c r="W460" s="5432"/>
    </row>
    <row r="461" spans="23:23">
      <c r="W461" s="5432"/>
    </row>
    <row r="462" spans="23:23">
      <c r="W462" s="5432"/>
    </row>
    <row r="463" spans="23:23">
      <c r="W463" s="5432"/>
    </row>
    <row r="464" spans="23:23">
      <c r="W464" s="5432"/>
    </row>
    <row r="465" spans="23:23">
      <c r="W465" s="5432"/>
    </row>
    <row r="466" spans="23:23">
      <c r="W466" s="5432"/>
    </row>
    <row r="467" spans="23:23">
      <c r="W467" s="5432"/>
    </row>
    <row r="468" spans="23:23">
      <c r="W468" s="5432"/>
    </row>
    <row r="469" spans="23:23">
      <c r="W469" s="5432"/>
    </row>
    <row r="470" spans="23:23">
      <c r="W470" s="5432"/>
    </row>
    <row r="471" spans="23:23">
      <c r="W471" s="5432"/>
    </row>
    <row r="472" spans="23:23">
      <c r="W472" s="5432"/>
    </row>
    <row r="473" spans="23:23">
      <c r="W473" s="5432"/>
    </row>
    <row r="474" spans="23:23">
      <c r="W474" s="5432"/>
    </row>
    <row r="475" spans="23:23">
      <c r="W475" s="5432"/>
    </row>
    <row r="476" spans="23:23">
      <c r="W476" s="5432"/>
    </row>
    <row r="477" spans="23:23">
      <c r="W477" s="5432"/>
    </row>
    <row r="478" spans="23:23">
      <c r="W478" s="5432"/>
    </row>
    <row r="479" spans="23:23">
      <c r="W479" s="5432"/>
    </row>
    <row r="480" spans="23:23">
      <c r="W480" s="5432"/>
    </row>
    <row r="481" spans="23:23">
      <c r="W481" s="5432"/>
    </row>
    <row r="482" spans="23:23">
      <c r="W482" s="5432"/>
    </row>
    <row r="483" spans="23:23">
      <c r="W483" s="5432"/>
    </row>
    <row r="484" spans="23:23">
      <c r="W484" s="5432"/>
    </row>
    <row r="485" spans="23:23">
      <c r="W485" s="5432"/>
    </row>
    <row r="486" spans="23:23">
      <c r="W486" s="5432"/>
    </row>
    <row r="487" spans="23:23">
      <c r="W487" s="5453"/>
    </row>
    <row r="488" spans="23:23">
      <c r="W488" s="5432"/>
    </row>
    <row r="489" spans="23:23">
      <c r="W489" s="5432"/>
    </row>
    <row r="490" spans="23:23">
      <c r="W490" s="5432"/>
    </row>
    <row r="491" spans="23:23">
      <c r="W491" s="5432"/>
    </row>
    <row r="492" spans="23:23">
      <c r="W492" s="5432"/>
    </row>
    <row r="493" spans="23:23">
      <c r="W493" s="5432"/>
    </row>
    <row r="494" spans="23:23">
      <c r="W494" s="5432"/>
    </row>
    <row r="495" spans="23:23">
      <c r="W495" s="5454"/>
    </row>
    <row r="496" spans="23:23">
      <c r="W496" s="5454"/>
    </row>
    <row r="497" spans="23:23">
      <c r="W497" s="5454"/>
    </row>
    <row r="498" spans="23:23">
      <c r="W498" s="5454"/>
    </row>
    <row r="499" spans="23:23">
      <c r="W499" s="5454"/>
    </row>
    <row r="500" spans="23:23">
      <c r="W500" s="5454"/>
    </row>
    <row r="501" spans="23:23">
      <c r="W501" s="5454"/>
    </row>
    <row r="502" spans="23:23">
      <c r="W502" s="5454"/>
    </row>
    <row r="503" spans="23:23">
      <c r="W503" s="5454"/>
    </row>
    <row r="504" spans="23:23">
      <c r="W504" s="5454"/>
    </row>
    <row r="505" spans="23:23">
      <c r="W505" s="5454"/>
    </row>
    <row r="506" spans="23:23">
      <c r="W506" s="5454"/>
    </row>
    <row r="507" spans="23:23">
      <c r="W507" s="5454"/>
    </row>
    <row r="508" spans="23:23">
      <c r="W508" s="5454"/>
    </row>
    <row r="509" spans="23:23">
      <c r="W509" s="5454"/>
    </row>
    <row r="510" spans="23:23">
      <c r="W510" s="5454"/>
    </row>
    <row r="511" spans="23:23">
      <c r="W511" s="5454"/>
    </row>
    <row r="512" spans="23:23">
      <c r="W512" s="5454"/>
    </row>
    <row r="513" spans="23:23">
      <c r="W513" s="5454"/>
    </row>
    <row r="514" spans="23:23">
      <c r="W514" s="5454"/>
    </row>
    <row r="515" spans="23:23">
      <c r="W515" s="5454"/>
    </row>
    <row r="516" spans="23:23">
      <c r="W516" s="5454"/>
    </row>
    <row r="517" spans="23:23">
      <c r="W517" s="5454"/>
    </row>
    <row r="518" spans="23:23">
      <c r="W518" s="5454"/>
    </row>
    <row r="519" spans="23:23">
      <c r="W519" s="5454"/>
    </row>
    <row r="520" spans="23:23">
      <c r="W520" s="5454"/>
    </row>
    <row r="521" spans="23:23">
      <c r="W521" s="5454"/>
    </row>
    <row r="522" spans="23:23">
      <c r="W522" s="5454"/>
    </row>
    <row r="523" spans="23:23">
      <c r="W523" s="5454"/>
    </row>
    <row r="524" spans="23:23">
      <c r="W524" s="5454"/>
    </row>
    <row r="525" spans="23:23">
      <c r="W525" s="5454"/>
    </row>
    <row r="526" spans="23:23">
      <c r="W526" s="5454"/>
    </row>
    <row r="527" spans="23:23">
      <c r="W527" s="5454"/>
    </row>
    <row r="528" spans="23:23">
      <c r="W528" s="5454"/>
    </row>
    <row r="529" spans="23:23">
      <c r="W529" s="5454"/>
    </row>
    <row r="530" spans="23:23">
      <c r="W530" s="5454"/>
    </row>
    <row r="531" spans="23:23">
      <c r="W531" s="5454"/>
    </row>
  </sheetData>
  <sheetProtection selectLockedCells="1" autoFilter="0"/>
  <autoFilter xmlns:etc="http://www.wps.cn/officeDocument/2017/etCustomData" ref="A4:BL79" etc:filterBottomFollowUsedRange="0">
    <extLst/>
  </autoFilter>
  <mergeCells count="9">
    <mergeCell ref="AZ1:BB1"/>
    <mergeCell ref="A2:J2"/>
    <mergeCell ref="AZ2:BB2"/>
    <mergeCell ref="A3:E3"/>
    <mergeCell ref="I3:J3"/>
    <mergeCell ref="L3:N3"/>
    <mergeCell ref="P3:Q3"/>
    <mergeCell ref="AG3:AJ3"/>
    <mergeCell ref="AK3:AN3"/>
  </mergeCells>
  <conditionalFormatting sqref="U4:V4">
    <cfRule type="cellIs" dxfId="0" priority="4" operator="equal">
      <formula>"欠"</formula>
    </cfRule>
  </conditionalFormatting>
  <conditionalFormatting sqref="W4">
    <cfRule type="cellIs" dxfId="0" priority="3" operator="equal">
      <formula>"欠"</formula>
    </cfRule>
  </conditionalFormatting>
  <pageMargins left="0" right="0.0784722222222222" top="0.306944444444444" bottom="0.306944444444444" header="0.5" footer="0.5"/>
  <pageSetup paperSize="9" scale="15" fitToWidth="0" orientation="landscape" horizontalDpi="600"/>
  <headerFooter alignWithMargins="0" scaleWithDoc="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938"/>
  <sheetViews>
    <sheetView zoomScale="55" zoomScaleNormal="55" workbookViewId="0">
      <pane xSplit="15" ySplit="3" topLeftCell="P243" activePane="bottomRight" state="frozen"/>
      <selection/>
      <selection pane="topRight"/>
      <selection pane="bottomLeft"/>
      <selection pane="bottomRight" activeCell="A3" sqref="A3"/>
    </sheetView>
  </sheetViews>
  <sheetFormatPr defaultColWidth="9" defaultRowHeight="18.75"/>
  <cols>
    <col min="1" max="1" width="25" style="4326" customWidth="1"/>
    <col min="2" max="2" width="16.425" style="1008" customWidth="1"/>
    <col min="3" max="3" width="11.3" style="1008" customWidth="1"/>
    <col min="4" max="4" width="20.2" style="4309" customWidth="1"/>
    <col min="5" max="5" width="17.5" style="4309" customWidth="1"/>
    <col min="6" max="6" width="17.5" style="1008" customWidth="1"/>
    <col min="7" max="7" width="19.625" style="4309" customWidth="1"/>
    <col min="8" max="8" width="22" style="1008" customWidth="1"/>
    <col min="9" max="9" width="21.0833333333333" style="4309" customWidth="1"/>
    <col min="10" max="10" width="12.6416666666667" style="4309" customWidth="1"/>
    <col min="11" max="11" width="9.275" style="4309" customWidth="1"/>
    <col min="12" max="12" width="9.41666666666667" style="4309" customWidth="1"/>
    <col min="13" max="13" width="15.675" style="4309" customWidth="1"/>
    <col min="14" max="14" width="21" style="4309" customWidth="1"/>
    <col min="15" max="15" width="21" style="4327" customWidth="1"/>
    <col min="16" max="16" width="15.4" style="4309" customWidth="1"/>
    <col min="17" max="17" width="13.6" style="1008" customWidth="1"/>
    <col min="18" max="18" width="12" style="4868" customWidth="1"/>
    <col min="19" max="19" width="13.6" style="4868" customWidth="1"/>
    <col min="20" max="20" width="11.2" style="4869" customWidth="1"/>
    <col min="21" max="21" width="14.6833333333333" style="4329" customWidth="1"/>
    <col min="22" max="22" width="19.0833333333333" style="4309" customWidth="1"/>
    <col min="23" max="23" width="7.70833333333333" style="4309" customWidth="1"/>
    <col min="24" max="24" width="16.5" style="4330" customWidth="1"/>
    <col min="25" max="25" width="16.5" style="1008" customWidth="1"/>
    <col min="26" max="27" width="15.8166666666667" style="4309" customWidth="1"/>
    <col min="28" max="28" width="20" style="3578" customWidth="1"/>
    <col min="29" max="29" width="17.0833333333333" style="4329" customWidth="1"/>
    <col min="30" max="30" width="14.9916666666667" style="4329" customWidth="1"/>
    <col min="31" max="31" width="18.3833333333333" style="4329" customWidth="1"/>
    <col min="32" max="32" width="21.7833333333333" style="4329" customWidth="1"/>
    <col min="33" max="33" width="15" style="4329" customWidth="1"/>
    <col min="34" max="34" width="8.375" style="4870" hidden="1" customWidth="1"/>
    <col min="35" max="35" width="9.4" style="1008" customWidth="1"/>
    <col min="36" max="36" width="9.4" style="4871" hidden="1" customWidth="1"/>
    <col min="37" max="37" width="9.4" style="4872" customWidth="1"/>
    <col min="38" max="38" width="11.275" style="4872" customWidth="1"/>
    <col min="39" max="39" width="7.75" style="4873" customWidth="1"/>
    <col min="40" max="40" width="7.5" style="4874" hidden="1" customWidth="1"/>
    <col min="41" max="41" width="9" style="4875" customWidth="1"/>
    <col min="42" max="42" width="9.45" style="4876" customWidth="1"/>
    <col min="43" max="43" width="8.85833333333333" style="4877" hidden="1" customWidth="1"/>
    <col min="44" max="44" width="10.9083333333333" style="4877" hidden="1" customWidth="1"/>
    <col min="45" max="46" width="10.9083333333333" style="4332" customWidth="1"/>
    <col min="47" max="47" width="10.9083333333333" style="4878" hidden="1" customWidth="1"/>
    <col min="48" max="49" width="11.0666666666667" style="4878" hidden="1" customWidth="1"/>
    <col min="50" max="50" width="13.8833333333333" style="4876" customWidth="1"/>
    <col min="51" max="52" width="11.0666666666667" style="4878" hidden="1" customWidth="1"/>
    <col min="53" max="53" width="12.9083333333333" style="4876" customWidth="1"/>
    <col min="54" max="54" width="11.0666666666667" style="4876" customWidth="1"/>
    <col min="55" max="55" width="11.0666666666667" style="4878" hidden="1" customWidth="1"/>
    <col min="56" max="58" width="11.0666666666667" style="4876" customWidth="1"/>
    <col min="59" max="62" width="8.85833333333333" style="4876" customWidth="1"/>
    <col min="63" max="63" width="22.175" style="4332" customWidth="1"/>
    <col min="64" max="70" width="15.0916666666667" style="4332" customWidth="1"/>
    <col min="71" max="73" width="15.0916666666667" style="1008" hidden="1" customWidth="1"/>
    <col min="74" max="74" width="15.0916666666667" style="1009" hidden="1" customWidth="1"/>
    <col min="75" max="77" width="15.0916666666667" style="1010" hidden="1" customWidth="1"/>
    <col min="78" max="78" width="10.5" style="1008" customWidth="1"/>
    <col min="79" max="79" width="17.2666666666667" style="4309" customWidth="1"/>
    <col min="80" max="80" width="41" style="884" hidden="1" customWidth="1"/>
    <col min="81" max="81" width="21.2666666666667" style="4334" hidden="1" customWidth="1"/>
    <col min="82" max="84" width="15.225" style="4333" customWidth="1"/>
    <col min="85" max="16384" width="9" style="4311"/>
  </cols>
  <sheetData>
    <row r="1" s="4309" customFormat="1" ht="59" customHeight="1" spans="1:84">
      <c r="A1" s="4337" t="s">
        <v>284</v>
      </c>
      <c r="B1" s="4331"/>
      <c r="C1" s="4328"/>
      <c r="D1" s="4331"/>
      <c r="E1" s="4331"/>
      <c r="F1" s="4328"/>
      <c r="G1" s="4331"/>
      <c r="H1" s="4328"/>
      <c r="I1" s="4331"/>
      <c r="J1" s="4331"/>
      <c r="K1" s="4339"/>
      <c r="L1" s="4340"/>
      <c r="M1" s="4339"/>
      <c r="N1" s="4339"/>
      <c r="O1" s="4311"/>
      <c r="P1" s="4339"/>
      <c r="Q1" s="4328"/>
      <c r="R1" s="4868"/>
      <c r="S1" s="4868"/>
      <c r="T1" s="4869"/>
      <c r="U1" s="4342"/>
      <c r="V1" s="4331"/>
      <c r="W1" s="4339"/>
      <c r="X1" s="4358"/>
      <c r="Y1" s="4328"/>
      <c r="Z1" s="4339"/>
      <c r="AA1" s="4339"/>
      <c r="AB1" s="3587"/>
      <c r="AC1" s="4342"/>
      <c r="AD1" s="4342"/>
      <c r="AE1" s="4342"/>
      <c r="AF1" s="4343"/>
      <c r="AG1" s="4343"/>
      <c r="AH1" s="4879"/>
      <c r="AI1" s="4341"/>
      <c r="AJ1" s="4880"/>
      <c r="AK1" s="4881"/>
      <c r="AL1" s="4881"/>
      <c r="AM1" s="4882"/>
      <c r="AN1" s="4883"/>
      <c r="AO1" s="4884"/>
      <c r="AP1" s="4885"/>
      <c r="AQ1" s="4886"/>
      <c r="AR1" s="4886"/>
      <c r="AS1" s="4345"/>
      <c r="AT1" s="4345"/>
      <c r="AU1" s="4887"/>
      <c r="AV1" s="4887"/>
      <c r="AW1" s="4887"/>
      <c r="AX1" s="4888"/>
      <c r="AY1" s="4887"/>
      <c r="AZ1" s="4887"/>
      <c r="BA1" s="4888"/>
      <c r="BB1" s="4888"/>
      <c r="BC1" s="4887"/>
      <c r="BD1" s="4888"/>
      <c r="BE1" s="4888"/>
      <c r="BF1" s="4888"/>
      <c r="BG1" s="4888"/>
      <c r="BH1" s="4888"/>
      <c r="BI1" s="4888"/>
      <c r="BJ1" s="4888"/>
      <c r="BK1" s="4332"/>
      <c r="BL1" s="4889" t="s">
        <v>65</v>
      </c>
      <c r="BM1" s="4889"/>
      <c r="BN1" s="4889"/>
      <c r="BO1" s="4889"/>
      <c r="BP1" s="4889"/>
      <c r="BQ1" s="4889"/>
      <c r="BR1" s="4889"/>
      <c r="BS1" s="867" t="s">
        <v>285</v>
      </c>
      <c r="BT1" s="867"/>
      <c r="BU1" s="867"/>
      <c r="BV1" s="867"/>
      <c r="BW1" s="867"/>
      <c r="BX1" s="867"/>
      <c r="BY1" s="867"/>
      <c r="BZ1" s="1008"/>
      <c r="CB1" s="4365"/>
      <c r="CD1" s="4349"/>
      <c r="CE1" s="4349"/>
      <c r="CF1" s="4349"/>
    </row>
    <row r="2" s="4310" customFormat="1" ht="36" customHeight="1" spans="1:84">
      <c r="A2" s="4890" t="e">
        <f>#REF!</f>
        <v>#REF!</v>
      </c>
      <c r="B2" s="4891"/>
      <c r="C2" s="4891"/>
      <c r="D2" s="4892"/>
      <c r="E2" s="4892"/>
      <c r="F2" s="4893">
        <v>0</v>
      </c>
      <c r="G2" s="4894"/>
      <c r="H2" s="4356"/>
      <c r="I2" s="4356" t="s">
        <v>3</v>
      </c>
      <c r="J2" s="4356"/>
      <c r="K2" s="4331"/>
      <c r="L2" s="4895" t="s">
        <v>4</v>
      </c>
      <c r="M2" s="4895"/>
      <c r="N2" s="4895"/>
      <c r="O2" s="4357"/>
      <c r="P2" s="4331" t="s">
        <v>5</v>
      </c>
      <c r="Q2" s="4331"/>
      <c r="R2" s="4896"/>
      <c r="S2" s="4896"/>
      <c r="T2" s="4897"/>
      <c r="U2" s="4343"/>
      <c r="V2" s="4331"/>
      <c r="W2" s="4331"/>
      <c r="X2" s="4358"/>
      <c r="Y2" s="4328"/>
      <c r="Z2" s="4331"/>
      <c r="AA2" s="4331"/>
      <c r="AB2" s="3589"/>
      <c r="AC2" s="4343"/>
      <c r="AD2" s="4343"/>
      <c r="AE2" s="4343"/>
      <c r="AF2" s="4343"/>
      <c r="AG2" s="4343"/>
      <c r="AH2" s="4898" t="s">
        <v>6</v>
      </c>
      <c r="AI2" s="4359"/>
      <c r="AJ2" s="4899"/>
      <c r="AK2" s="4900"/>
      <c r="AL2" s="4900"/>
      <c r="AM2" s="4901"/>
      <c r="AN2" s="4902" t="s">
        <v>286</v>
      </c>
      <c r="AO2" s="4903"/>
      <c r="AP2" s="4903"/>
      <c r="AQ2" s="4904" t="s">
        <v>287</v>
      </c>
      <c r="AR2" s="4904"/>
      <c r="AS2" s="4361"/>
      <c r="AT2" s="4361"/>
      <c r="AU2" s="4904"/>
      <c r="AV2" s="4878"/>
      <c r="AW2" s="4878"/>
      <c r="AX2" s="4876"/>
      <c r="AY2" s="4878"/>
      <c r="AZ2" s="4878"/>
      <c r="BA2" s="4876"/>
      <c r="BB2" s="4876"/>
      <c r="BC2" s="4878"/>
      <c r="BD2" s="4876"/>
      <c r="BE2" s="4876"/>
      <c r="BF2" s="4876"/>
      <c r="BG2" s="4876"/>
      <c r="BH2" s="4876"/>
      <c r="BI2" s="4876"/>
      <c r="BJ2" s="4876"/>
      <c r="BK2" s="4332"/>
      <c r="BL2" s="4905">
        <v>1</v>
      </c>
      <c r="BM2" s="4905">
        <v>9</v>
      </c>
      <c r="BN2" s="4905">
        <v>10</v>
      </c>
      <c r="BO2" s="4906">
        <v>10</v>
      </c>
      <c r="BP2" s="4906">
        <v>10</v>
      </c>
      <c r="BQ2" s="4906">
        <v>10</v>
      </c>
      <c r="BR2" s="4906">
        <v>10</v>
      </c>
      <c r="BS2" s="4907"/>
      <c r="BT2" s="4907">
        <v>9</v>
      </c>
      <c r="BU2" s="4907">
        <v>10</v>
      </c>
      <c r="BV2" s="4908">
        <v>10</v>
      </c>
      <c r="BW2" s="4908">
        <v>10</v>
      </c>
      <c r="BX2" s="4908">
        <v>10</v>
      </c>
      <c r="BY2" s="4908">
        <v>10</v>
      </c>
      <c r="BZ2" s="1008"/>
      <c r="CA2" s="4309"/>
      <c r="CB2" s="4365"/>
      <c r="CC2" s="4309"/>
      <c r="CD2" s="4909"/>
      <c r="CE2" s="4909"/>
      <c r="CF2" s="4909"/>
    </row>
    <row r="3" s="4330" customFormat="1" ht="89" customHeight="1" spans="1:84">
      <c r="A3" s="4368" t="s">
        <v>14</v>
      </c>
      <c r="B3" s="4369" t="s">
        <v>15</v>
      </c>
      <c r="C3" s="4369" t="s">
        <v>16</v>
      </c>
      <c r="D3" s="4369" t="s">
        <v>17</v>
      </c>
      <c r="E3" s="4369" t="s">
        <v>18</v>
      </c>
      <c r="F3" s="4369" t="s">
        <v>19</v>
      </c>
      <c r="G3" s="4369" t="s">
        <v>20</v>
      </c>
      <c r="H3" s="4369" t="s">
        <v>21</v>
      </c>
      <c r="I3" s="4369" t="s">
        <v>22</v>
      </c>
      <c r="J3" s="4369" t="s">
        <v>23</v>
      </c>
      <c r="K3" s="4369" t="s">
        <v>24</v>
      </c>
      <c r="L3" s="4369" t="s">
        <v>25</v>
      </c>
      <c r="M3" s="4369" t="s">
        <v>26</v>
      </c>
      <c r="N3" s="4369" t="s">
        <v>27</v>
      </c>
      <c r="O3" s="4369" t="s">
        <v>28</v>
      </c>
      <c r="P3" s="4370" t="s">
        <v>29</v>
      </c>
      <c r="Q3" s="4369" t="s">
        <v>30</v>
      </c>
      <c r="R3" s="4042" t="s">
        <v>31</v>
      </c>
      <c r="S3" s="4042" t="s">
        <v>32</v>
      </c>
      <c r="T3" s="4042" t="s">
        <v>288</v>
      </c>
      <c r="U3" s="4369" t="s">
        <v>33</v>
      </c>
      <c r="V3" s="4910" t="s">
        <v>34</v>
      </c>
      <c r="W3" s="4910" t="s">
        <v>35</v>
      </c>
      <c r="X3" s="4911" t="s">
        <v>36</v>
      </c>
      <c r="Y3" s="4912" t="s">
        <v>289</v>
      </c>
      <c r="Z3" s="3610" t="s">
        <v>37</v>
      </c>
      <c r="AA3" s="3610" t="s">
        <v>38</v>
      </c>
      <c r="AB3" s="3607" t="s">
        <v>39</v>
      </c>
      <c r="AC3" s="4369" t="s">
        <v>40</v>
      </c>
      <c r="AD3" s="4369" t="s">
        <v>41</v>
      </c>
      <c r="AE3" s="4371" t="s">
        <v>42</v>
      </c>
      <c r="AF3" s="4372" t="s">
        <v>43</v>
      </c>
      <c r="AG3" s="3610" t="s">
        <v>44</v>
      </c>
      <c r="AH3" s="4369" t="s">
        <v>45</v>
      </c>
      <c r="AI3" s="4377" t="s">
        <v>290</v>
      </c>
      <c r="AJ3" s="4373" t="s">
        <v>291</v>
      </c>
      <c r="AK3" s="4374" t="s">
        <v>292</v>
      </c>
      <c r="AL3" s="4373" t="s">
        <v>293</v>
      </c>
      <c r="AM3" s="4373" t="s">
        <v>48</v>
      </c>
      <c r="AN3" s="4373" t="s">
        <v>294</v>
      </c>
      <c r="AO3" s="4374" t="s">
        <v>295</v>
      </c>
      <c r="AP3" s="4376" t="s">
        <v>52</v>
      </c>
      <c r="AQ3" s="4375" t="s">
        <v>296</v>
      </c>
      <c r="AR3" s="4376" t="s">
        <v>297</v>
      </c>
      <c r="AS3" s="4375" t="s">
        <v>298</v>
      </c>
      <c r="AT3" s="4376" t="s">
        <v>299</v>
      </c>
      <c r="AU3" s="4913" t="s">
        <v>300</v>
      </c>
      <c r="AV3" s="4369" t="s">
        <v>56</v>
      </c>
      <c r="AW3" s="4373" t="s">
        <v>57</v>
      </c>
      <c r="AX3" s="4374" t="s">
        <v>301</v>
      </c>
      <c r="AY3" s="4369" t="s">
        <v>302</v>
      </c>
      <c r="AZ3" s="4369" t="s">
        <v>303</v>
      </c>
      <c r="BA3" s="4369" t="s">
        <v>304</v>
      </c>
      <c r="BB3" s="4369" t="s">
        <v>305</v>
      </c>
      <c r="BC3" s="4369" t="s">
        <v>306</v>
      </c>
      <c r="BD3" s="4369" t="s">
        <v>307</v>
      </c>
      <c r="BE3" s="4369" t="s">
        <v>308</v>
      </c>
      <c r="BF3" s="4369" t="s">
        <v>309</v>
      </c>
      <c r="BG3" s="4914" t="s">
        <v>310</v>
      </c>
      <c r="BH3" s="4914" t="s">
        <v>64</v>
      </c>
      <c r="BI3" s="4914" t="s">
        <v>311</v>
      </c>
      <c r="BJ3" s="4376" t="s">
        <v>65</v>
      </c>
      <c r="BK3" s="4375" t="s">
        <v>66</v>
      </c>
      <c r="BL3" s="4369" t="s">
        <v>312</v>
      </c>
      <c r="BM3" s="4369" t="s">
        <v>313</v>
      </c>
      <c r="BN3" s="4369" t="s">
        <v>314</v>
      </c>
      <c r="BO3" s="4375" t="s">
        <v>315</v>
      </c>
      <c r="BP3" s="4915" t="s">
        <v>316</v>
      </c>
      <c r="BQ3" s="4375" t="s">
        <v>317</v>
      </c>
      <c r="BR3" s="4375" t="s">
        <v>318</v>
      </c>
      <c r="BS3" s="4369" t="s">
        <v>312</v>
      </c>
      <c r="BT3" s="4369" t="s">
        <v>313</v>
      </c>
      <c r="BU3" s="4369" t="s">
        <v>314</v>
      </c>
      <c r="BV3" s="4375" t="s">
        <v>315</v>
      </c>
      <c r="BW3" s="4915" t="s">
        <v>316</v>
      </c>
      <c r="BX3" s="4375" t="s">
        <v>317</v>
      </c>
      <c r="BY3" s="4375" t="s">
        <v>318</v>
      </c>
      <c r="BZ3" s="875" t="s">
        <v>74</v>
      </c>
      <c r="CA3" s="875" t="s">
        <v>75</v>
      </c>
      <c r="CB3" s="4916" t="s">
        <v>319</v>
      </c>
      <c r="CC3" s="875" t="s">
        <v>320</v>
      </c>
      <c r="CD3" s="4044" t="s">
        <v>31</v>
      </c>
      <c r="CE3" s="4044" t="s">
        <v>321</v>
      </c>
      <c r="CF3" s="4044" t="s">
        <v>322</v>
      </c>
    </row>
    <row r="4" s="4311" customFormat="1" ht="50" customHeight="1" spans="1:84">
      <c r="A4" s="4776">
        <v>45454</v>
      </c>
      <c r="B4" s="4917" t="s">
        <v>323</v>
      </c>
      <c r="C4" s="4918" t="s">
        <v>324</v>
      </c>
      <c r="D4" s="4778" t="s">
        <v>325</v>
      </c>
      <c r="E4" s="875"/>
      <c r="F4" s="4919"/>
      <c r="G4" s="875" t="s">
        <v>326</v>
      </c>
      <c r="H4" s="875" t="s">
        <v>327</v>
      </c>
      <c r="I4" s="4349" t="s">
        <v>328</v>
      </c>
      <c r="J4" s="4349" t="s">
        <v>329</v>
      </c>
      <c r="K4" s="4349">
        <v>0</v>
      </c>
      <c r="L4" s="4349">
        <v>12</v>
      </c>
      <c r="M4" s="4349">
        <v>0</v>
      </c>
      <c r="N4" s="4779">
        <v>45462</v>
      </c>
      <c r="O4" s="4779">
        <v>45458</v>
      </c>
      <c r="P4" s="4349"/>
      <c r="Q4" s="4349"/>
      <c r="R4" s="4156"/>
      <c r="S4" s="4156"/>
      <c r="T4" s="4156"/>
      <c r="U4" s="4278"/>
      <c r="V4" s="4349" t="s">
        <v>98</v>
      </c>
      <c r="W4" s="4779"/>
      <c r="X4" s="4779" t="s">
        <v>98</v>
      </c>
      <c r="Y4" s="4779"/>
      <c r="Z4" s="3898"/>
      <c r="AA4" s="4349"/>
      <c r="AB4" s="3658" t="s">
        <v>330</v>
      </c>
      <c r="AC4" s="4349"/>
      <c r="AD4" s="4349"/>
      <c r="AE4" s="4349"/>
      <c r="AF4" s="4529"/>
      <c r="AG4" s="4278" t="s">
        <v>326</v>
      </c>
      <c r="AH4" s="875"/>
      <c r="AI4" s="875"/>
      <c r="AJ4" s="875"/>
      <c r="AK4" s="875"/>
      <c r="AL4" s="875"/>
      <c r="AM4" s="4349"/>
      <c r="AN4" s="4399"/>
      <c r="AO4" s="878"/>
      <c r="AP4" s="4920"/>
      <c r="AQ4" s="878"/>
      <c r="AR4" s="878"/>
      <c r="AS4" s="878"/>
      <c r="AT4" s="878"/>
      <c r="AU4" s="878"/>
      <c r="AV4" s="4920"/>
      <c r="AW4" s="4920"/>
      <c r="AX4" s="878">
        <f>50</f>
        <v>50</v>
      </c>
      <c r="AY4" s="4920"/>
      <c r="AZ4" s="4920"/>
      <c r="BA4" s="878"/>
      <c r="BB4" s="4920"/>
      <c r="BC4" s="4920"/>
      <c r="BD4" s="4920"/>
      <c r="BE4" s="4920"/>
      <c r="BF4" s="4920"/>
      <c r="BG4" s="4920"/>
      <c r="BH4" s="4920"/>
      <c r="BI4" s="4920"/>
      <c r="BJ4" s="878"/>
      <c r="BK4" s="878"/>
      <c r="BL4" s="878"/>
      <c r="BM4" s="878"/>
      <c r="BN4" s="878"/>
      <c r="BO4" s="878"/>
      <c r="BP4" s="878"/>
      <c r="BQ4" s="878"/>
      <c r="BR4" s="878"/>
      <c r="BS4" s="880"/>
      <c r="BT4" s="880"/>
      <c r="BU4" s="880"/>
      <c r="BV4" s="880"/>
      <c r="BW4" s="880"/>
      <c r="BX4" s="879"/>
      <c r="BY4" s="879"/>
      <c r="BZ4" s="875"/>
      <c r="CA4" s="4349"/>
      <c r="CB4" s="929"/>
      <c r="CC4" s="4160"/>
      <c r="CD4" s="4409"/>
      <c r="CE4" s="4409"/>
      <c r="CF4" s="4409"/>
    </row>
    <row r="5" s="4316" customFormat="1" ht="50" customHeight="1" spans="1:84">
      <c r="A5" s="4500">
        <v>45594</v>
      </c>
      <c r="B5" s="3708" t="s">
        <v>331</v>
      </c>
      <c r="C5" s="3708"/>
      <c r="D5" s="4154" t="s">
        <v>332</v>
      </c>
      <c r="E5" s="3708"/>
      <c r="F5" s="3708"/>
      <c r="G5" s="3708" t="s">
        <v>333</v>
      </c>
      <c r="H5" s="3708" t="s">
        <v>333</v>
      </c>
      <c r="I5" s="3708" t="s">
        <v>328</v>
      </c>
      <c r="J5" s="4593">
        <v>2080</v>
      </c>
      <c r="K5" s="4154">
        <v>0</v>
      </c>
      <c r="L5" s="4154">
        <v>8</v>
      </c>
      <c r="M5" s="4154">
        <f t="shared" ref="M5:M10" si="0">J5/L5</f>
        <v>260</v>
      </c>
      <c r="N5" s="4503">
        <v>45632</v>
      </c>
      <c r="O5" s="4503">
        <v>45628</v>
      </c>
      <c r="P5" s="4154"/>
      <c r="Q5" s="4154" t="s">
        <v>82</v>
      </c>
      <c r="R5" s="4157"/>
      <c r="S5" s="4157"/>
      <c r="T5" s="4157"/>
      <c r="U5" s="3726" t="s">
        <v>334</v>
      </c>
      <c r="V5" s="3711" t="s">
        <v>335</v>
      </c>
      <c r="W5" s="3711"/>
      <c r="X5" s="3711" t="s">
        <v>336</v>
      </c>
      <c r="Y5" s="3711"/>
      <c r="Z5" s="3711"/>
      <c r="AA5" s="4154"/>
      <c r="AB5" s="3713" t="s">
        <v>337</v>
      </c>
      <c r="AC5" s="4155" t="s">
        <v>338</v>
      </c>
      <c r="AD5" s="4504">
        <v>2.0411</v>
      </c>
      <c r="AE5" s="4154">
        <f t="shared" ref="AE5:AE10" si="1">J5*AD5</f>
        <v>4245.488</v>
      </c>
      <c r="AF5" s="4505" t="s">
        <v>339</v>
      </c>
      <c r="AG5" s="3726"/>
      <c r="AH5" s="984"/>
      <c r="AI5" s="3708">
        <f>J5</f>
        <v>2080</v>
      </c>
      <c r="AJ5" s="984"/>
      <c r="AK5" s="3708"/>
      <c r="AL5" s="3708"/>
      <c r="AM5" s="4154"/>
      <c r="AN5" s="877"/>
      <c r="AO5" s="1048">
        <f t="shared" ref="AO5:AO10" si="2">J5</f>
        <v>2080</v>
      </c>
      <c r="AP5" s="4622"/>
      <c r="AQ5" s="877"/>
      <c r="AR5" s="877"/>
      <c r="AS5" s="1048">
        <f t="shared" ref="AS5:AS12" si="3">J5</f>
        <v>2080</v>
      </c>
      <c r="AT5" s="1048"/>
      <c r="AU5" s="877"/>
      <c r="AV5" s="4921"/>
      <c r="AW5" s="4921"/>
      <c r="AX5" s="1048"/>
      <c r="AY5" s="4921"/>
      <c r="AZ5" s="4921"/>
      <c r="BA5" s="1048"/>
      <c r="BB5" s="4622"/>
      <c r="BC5" s="4921"/>
      <c r="BD5" s="4622"/>
      <c r="BE5" s="4622"/>
      <c r="BF5" s="4622"/>
      <c r="BG5" s="4622"/>
      <c r="BH5" s="1048"/>
      <c r="BI5" s="4622"/>
      <c r="BJ5" s="1048"/>
      <c r="BK5" s="4415" t="s">
        <v>89</v>
      </c>
      <c r="BL5" s="4415">
        <f>J5/60*1</f>
        <v>34.6666666666667</v>
      </c>
      <c r="BM5" s="4415">
        <f>J5/60*9</f>
        <v>312</v>
      </c>
      <c r="BN5" s="4415">
        <f>J5/60*10</f>
        <v>346.666666666667</v>
      </c>
      <c r="BO5" s="4415">
        <f>J5/60*10</f>
        <v>346.666666666667</v>
      </c>
      <c r="BP5" s="4415">
        <f>J5/60*10</f>
        <v>346.666666666667</v>
      </c>
      <c r="BQ5" s="4414">
        <f>J5/60*10</f>
        <v>346.666666666667</v>
      </c>
      <c r="BR5" s="1048">
        <f>J5/60*10</f>
        <v>346.666666666667</v>
      </c>
      <c r="BS5" s="4384"/>
      <c r="BT5" s="992"/>
      <c r="BU5" s="992"/>
      <c r="BV5" s="992"/>
      <c r="BW5" s="992"/>
      <c r="BX5" s="991"/>
      <c r="BY5" s="991"/>
      <c r="BZ5" s="3708">
        <f t="shared" ref="BZ5:BZ68" si="4">SUM(BL5:BY5)</f>
        <v>2080</v>
      </c>
      <c r="CA5" s="4154">
        <f t="shared" ref="CA5:CA68" si="5">J5-BZ5</f>
        <v>0</v>
      </c>
      <c r="CB5" s="4804"/>
      <c r="CC5" s="4804"/>
      <c r="CD5" s="4323"/>
      <c r="CE5" s="4323"/>
      <c r="CF5" s="4323"/>
    </row>
    <row r="6" s="4316" customFormat="1" ht="50" customHeight="1" spans="1:84">
      <c r="A6" s="4500">
        <v>45597</v>
      </c>
      <c r="B6" s="3708" t="s">
        <v>340</v>
      </c>
      <c r="C6" s="3708" t="s">
        <v>341</v>
      </c>
      <c r="D6" s="4154">
        <v>4500149875</v>
      </c>
      <c r="E6" s="3708" t="s">
        <v>342</v>
      </c>
      <c r="F6" s="3708" t="s">
        <v>343</v>
      </c>
      <c r="G6" s="3708" t="s">
        <v>333</v>
      </c>
      <c r="H6" s="3708" t="s">
        <v>333</v>
      </c>
      <c r="I6" s="3708" t="s">
        <v>328</v>
      </c>
      <c r="J6" s="4593">
        <v>1512</v>
      </c>
      <c r="K6" s="4154">
        <v>0</v>
      </c>
      <c r="L6" s="4154">
        <v>24</v>
      </c>
      <c r="M6" s="4154">
        <f t="shared" si="0"/>
        <v>63</v>
      </c>
      <c r="N6" s="4503">
        <v>45644</v>
      </c>
      <c r="O6" s="4503">
        <v>45640</v>
      </c>
      <c r="P6" s="4154"/>
      <c r="Q6" s="4154" t="s">
        <v>82</v>
      </c>
      <c r="R6" s="4157"/>
      <c r="S6" s="4157"/>
      <c r="T6" s="4157"/>
      <c r="U6" s="3726" t="s">
        <v>344</v>
      </c>
      <c r="V6" s="3711" t="s">
        <v>345</v>
      </c>
      <c r="W6" s="3711"/>
      <c r="X6" s="3711" t="s">
        <v>346</v>
      </c>
      <c r="Y6" s="3711"/>
      <c r="Z6" s="3711"/>
      <c r="AA6" s="4154"/>
      <c r="AB6" s="3713" t="s">
        <v>347</v>
      </c>
      <c r="AC6" s="4155" t="s">
        <v>348</v>
      </c>
      <c r="AD6" s="4504">
        <v>2.1295</v>
      </c>
      <c r="AE6" s="4154">
        <f t="shared" si="1"/>
        <v>3219.804</v>
      </c>
      <c r="AF6" s="4505" t="s">
        <v>349</v>
      </c>
      <c r="AG6" s="3726"/>
      <c r="AH6" s="4422"/>
      <c r="AI6" s="3708">
        <f>J6</f>
        <v>1512</v>
      </c>
      <c r="AJ6" s="4422"/>
      <c r="AK6" s="3708"/>
      <c r="AL6" s="3708"/>
      <c r="AM6" s="4154"/>
      <c r="AN6" s="907"/>
      <c r="AO6" s="1048">
        <f t="shared" si="2"/>
        <v>1512</v>
      </c>
      <c r="AP6" s="4622"/>
      <c r="AQ6" s="907"/>
      <c r="AR6" s="907"/>
      <c r="AS6" s="1048">
        <f t="shared" si="3"/>
        <v>1512</v>
      </c>
      <c r="AT6" s="1048"/>
      <c r="AU6" s="907"/>
      <c r="AV6" s="4922"/>
      <c r="AW6" s="4922"/>
      <c r="AX6" s="1048"/>
      <c r="AY6" s="4922"/>
      <c r="AZ6" s="4922"/>
      <c r="BA6" s="1048"/>
      <c r="BB6" s="4622"/>
      <c r="BC6" s="4922"/>
      <c r="BD6" s="4622"/>
      <c r="BE6" s="4622"/>
      <c r="BF6" s="4622"/>
      <c r="BG6" s="4622"/>
      <c r="BH6" s="1048"/>
      <c r="BI6" s="4622"/>
      <c r="BJ6" s="1048"/>
      <c r="BK6" s="4415" t="s">
        <v>89</v>
      </c>
      <c r="BL6" s="4415">
        <f>J6/60*1</f>
        <v>25.2</v>
      </c>
      <c r="BM6" s="4415">
        <f>J6/60*9</f>
        <v>226.8</v>
      </c>
      <c r="BN6" s="4415">
        <f>J6/60*10</f>
        <v>252</v>
      </c>
      <c r="BO6" s="4415">
        <f>J6/60*10</f>
        <v>252</v>
      </c>
      <c r="BP6" s="4415">
        <f>J6/60*10</f>
        <v>252</v>
      </c>
      <c r="BQ6" s="4414">
        <f>J6/60*10</f>
        <v>252</v>
      </c>
      <c r="BR6" s="1048">
        <f>J6/60*10</f>
        <v>252</v>
      </c>
      <c r="BS6" s="4384"/>
      <c r="BT6" s="911"/>
      <c r="BU6" s="911"/>
      <c r="BV6" s="911"/>
      <c r="BW6" s="911"/>
      <c r="BX6" s="910"/>
      <c r="BY6" s="910"/>
      <c r="BZ6" s="3708">
        <f t="shared" si="4"/>
        <v>1512</v>
      </c>
      <c r="CA6" s="4154">
        <f t="shared" si="5"/>
        <v>0</v>
      </c>
      <c r="CB6" s="4923"/>
      <c r="CC6" s="4923"/>
      <c r="CD6" s="4323"/>
      <c r="CE6" s="4323"/>
      <c r="CF6" s="4323"/>
    </row>
    <row r="7" s="4316" customFormat="1" ht="50" customHeight="1" spans="1:84">
      <c r="A7" s="4500">
        <v>45604</v>
      </c>
      <c r="B7" s="3708" t="s">
        <v>350</v>
      </c>
      <c r="C7" s="3708" t="s">
        <v>351</v>
      </c>
      <c r="D7" s="4154">
        <v>4500150797</v>
      </c>
      <c r="E7" s="3708"/>
      <c r="F7" s="3708" t="s">
        <v>352</v>
      </c>
      <c r="G7" s="3708" t="s">
        <v>333</v>
      </c>
      <c r="H7" s="3708" t="s">
        <v>333</v>
      </c>
      <c r="I7" s="3708" t="s">
        <v>328</v>
      </c>
      <c r="J7" s="4593">
        <v>5040</v>
      </c>
      <c r="K7" s="4154">
        <v>0</v>
      </c>
      <c r="L7" s="4154">
        <v>24</v>
      </c>
      <c r="M7" s="4154">
        <f t="shared" si="0"/>
        <v>210</v>
      </c>
      <c r="N7" s="4503">
        <v>45649</v>
      </c>
      <c r="O7" s="4503">
        <v>45645</v>
      </c>
      <c r="P7" s="4154"/>
      <c r="Q7" s="4154" t="s">
        <v>82</v>
      </c>
      <c r="R7" s="4157"/>
      <c r="S7" s="4157"/>
      <c r="T7" s="4157"/>
      <c r="U7" s="3726" t="s">
        <v>107</v>
      </c>
      <c r="V7" s="3711" t="s">
        <v>353</v>
      </c>
      <c r="W7" s="3711"/>
      <c r="X7" s="3711" t="s">
        <v>354</v>
      </c>
      <c r="Y7" s="3711"/>
      <c r="Z7" s="3711"/>
      <c r="AA7" s="3708" t="s">
        <v>355</v>
      </c>
      <c r="AB7" s="3713" t="s">
        <v>356</v>
      </c>
      <c r="AC7" s="3711" t="s">
        <v>357</v>
      </c>
      <c r="AD7" s="4504">
        <v>2.0623</v>
      </c>
      <c r="AE7" s="4154">
        <f t="shared" si="1"/>
        <v>10393.992</v>
      </c>
      <c r="AF7" s="4505" t="s">
        <v>358</v>
      </c>
      <c r="AG7" s="3726"/>
      <c r="AH7" s="984"/>
      <c r="AI7" s="3708">
        <f>J7</f>
        <v>5040</v>
      </c>
      <c r="AJ7" s="984"/>
      <c r="AK7" s="3708"/>
      <c r="AL7" s="3708"/>
      <c r="AM7" s="4154"/>
      <c r="AN7" s="4397"/>
      <c r="AO7" s="1048">
        <f t="shared" si="2"/>
        <v>5040</v>
      </c>
      <c r="AP7" s="4622"/>
      <c r="AQ7" s="877"/>
      <c r="AR7" s="877"/>
      <c r="AS7" s="1048">
        <f t="shared" si="3"/>
        <v>5040</v>
      </c>
      <c r="AT7" s="1048"/>
      <c r="AU7" s="877"/>
      <c r="AV7" s="4921"/>
      <c r="AW7" s="4921"/>
      <c r="AX7" s="1048"/>
      <c r="AY7" s="4921"/>
      <c r="AZ7" s="4921"/>
      <c r="BA7" s="1048"/>
      <c r="BB7" s="4622"/>
      <c r="BC7" s="4921"/>
      <c r="BD7" s="4622"/>
      <c r="BE7" s="4622"/>
      <c r="BF7" s="4622"/>
      <c r="BG7" s="4622"/>
      <c r="BH7" s="1048"/>
      <c r="BI7" s="4622"/>
      <c r="BJ7" s="1048"/>
      <c r="BK7" s="4415" t="s">
        <v>89</v>
      </c>
      <c r="BL7" s="4415">
        <f>J7/60*1</f>
        <v>84</v>
      </c>
      <c r="BM7" s="4415">
        <f>J7/60*9</f>
        <v>756</v>
      </c>
      <c r="BN7" s="4415">
        <f>J7/60*10</f>
        <v>840</v>
      </c>
      <c r="BO7" s="4415">
        <f>J7/60*10</f>
        <v>840</v>
      </c>
      <c r="BP7" s="4415">
        <f>J7/60*10</f>
        <v>840</v>
      </c>
      <c r="BQ7" s="4414">
        <f>J7/60*10</f>
        <v>840</v>
      </c>
      <c r="BR7" s="1048">
        <f>J7/60*10</f>
        <v>840</v>
      </c>
      <c r="BS7" s="4384"/>
      <c r="BT7" s="992"/>
      <c r="BU7" s="992"/>
      <c r="BV7" s="992"/>
      <c r="BW7" s="992"/>
      <c r="BX7" s="991"/>
      <c r="BY7" s="991"/>
      <c r="BZ7" s="3708">
        <f t="shared" si="4"/>
        <v>5040</v>
      </c>
      <c r="CA7" s="4154">
        <f t="shared" si="5"/>
        <v>0</v>
      </c>
      <c r="CB7" s="4924"/>
      <c r="CC7" s="4591"/>
      <c r="CD7" s="4323"/>
      <c r="CE7" s="4323"/>
      <c r="CF7" s="4323"/>
    </row>
    <row r="8" s="4316" customFormat="1" ht="50" customHeight="1" spans="1:84">
      <c r="A8" s="4500">
        <v>45604</v>
      </c>
      <c r="B8" s="3708" t="s">
        <v>350</v>
      </c>
      <c r="C8" s="3708" t="s">
        <v>351</v>
      </c>
      <c r="D8" s="4154">
        <v>4500150797</v>
      </c>
      <c r="E8" s="3708"/>
      <c r="F8" s="3708" t="s">
        <v>359</v>
      </c>
      <c r="G8" s="3708" t="s">
        <v>360</v>
      </c>
      <c r="H8" s="3708" t="s">
        <v>327</v>
      </c>
      <c r="I8" s="4154" t="s">
        <v>328</v>
      </c>
      <c r="J8" s="4154">
        <v>2400</v>
      </c>
      <c r="K8" s="4154">
        <v>0</v>
      </c>
      <c r="L8" s="4154">
        <v>12</v>
      </c>
      <c r="M8" s="4154">
        <f t="shared" si="0"/>
        <v>200</v>
      </c>
      <c r="N8" s="4503">
        <v>45649</v>
      </c>
      <c r="O8" s="4503">
        <v>45645</v>
      </c>
      <c r="P8" s="4154"/>
      <c r="Q8" s="4154" t="s">
        <v>82</v>
      </c>
      <c r="R8" s="4157"/>
      <c r="S8" s="4157"/>
      <c r="T8" s="4157"/>
      <c r="U8" s="3726" t="s">
        <v>107</v>
      </c>
      <c r="V8" s="3711" t="s">
        <v>353</v>
      </c>
      <c r="W8" s="3711"/>
      <c r="X8" s="3711" t="s">
        <v>354</v>
      </c>
      <c r="Y8" s="3711"/>
      <c r="Z8" s="3711"/>
      <c r="AA8" s="3708" t="s">
        <v>355</v>
      </c>
      <c r="AB8" s="3713" t="s">
        <v>356</v>
      </c>
      <c r="AC8" s="3711" t="s">
        <v>357</v>
      </c>
      <c r="AD8" s="4154">
        <v>2.2044</v>
      </c>
      <c r="AE8" s="4154">
        <f t="shared" si="1"/>
        <v>5290.56</v>
      </c>
      <c r="AF8" s="4505" t="s">
        <v>358</v>
      </c>
      <c r="AG8" s="3726"/>
      <c r="AH8" s="984"/>
      <c r="AI8" s="3708">
        <f>J8</f>
        <v>2400</v>
      </c>
      <c r="AJ8" s="984"/>
      <c r="AK8" s="3708"/>
      <c r="AL8" s="3708"/>
      <c r="AM8" s="4154"/>
      <c r="AN8" s="4397"/>
      <c r="AO8" s="1048">
        <f t="shared" si="2"/>
        <v>2400</v>
      </c>
      <c r="AP8" s="4622"/>
      <c r="AQ8" s="877"/>
      <c r="AR8" s="877"/>
      <c r="AS8" s="1048">
        <f t="shared" si="3"/>
        <v>2400</v>
      </c>
      <c r="AT8" s="1048"/>
      <c r="AU8" s="877"/>
      <c r="AV8" s="4921"/>
      <c r="AW8" s="4921"/>
      <c r="AX8" s="1048">
        <f>J8/6</f>
        <v>400</v>
      </c>
      <c r="AY8" s="4921"/>
      <c r="AZ8" s="4921"/>
      <c r="BA8" s="1048"/>
      <c r="BB8" s="4622"/>
      <c r="BC8" s="4921"/>
      <c r="BD8" s="4622"/>
      <c r="BE8" s="4622"/>
      <c r="BF8" s="4622"/>
      <c r="BG8" s="4622"/>
      <c r="BH8" s="1048"/>
      <c r="BI8" s="4622"/>
      <c r="BJ8" s="1048"/>
      <c r="BK8" s="4415" t="s">
        <v>89</v>
      </c>
      <c r="BL8" s="4415">
        <f>J8/60*1</f>
        <v>40</v>
      </c>
      <c r="BM8" s="4415">
        <f>J8/60*9</f>
        <v>360</v>
      </c>
      <c r="BN8" s="4415">
        <f>J8/60*10</f>
        <v>400</v>
      </c>
      <c r="BO8" s="4415">
        <f>J8/60*10</f>
        <v>400</v>
      </c>
      <c r="BP8" s="4415">
        <f>J8/60*10</f>
        <v>400</v>
      </c>
      <c r="BQ8" s="4414">
        <f>J8/60*10</f>
        <v>400</v>
      </c>
      <c r="BR8" s="1048">
        <f>J8/60*10</f>
        <v>400</v>
      </c>
      <c r="BS8" s="4384"/>
      <c r="BT8" s="992"/>
      <c r="BU8" s="992"/>
      <c r="BV8" s="992"/>
      <c r="BW8" s="992"/>
      <c r="BX8" s="991"/>
      <c r="BY8" s="991"/>
      <c r="BZ8" s="3708">
        <f t="shared" si="4"/>
        <v>2400</v>
      </c>
      <c r="CA8" s="4154">
        <f t="shared" si="5"/>
        <v>0</v>
      </c>
      <c r="CB8" s="4924"/>
      <c r="CC8" s="4591"/>
      <c r="CD8" s="4323"/>
      <c r="CE8" s="4323"/>
      <c r="CF8" s="4323"/>
    </row>
    <row r="9" s="4316" customFormat="1" ht="50" customHeight="1" spans="1:84">
      <c r="A9" s="4500">
        <v>45604</v>
      </c>
      <c r="B9" s="3708" t="s">
        <v>361</v>
      </c>
      <c r="C9" s="3708" t="s">
        <v>91</v>
      </c>
      <c r="D9" s="4154">
        <v>4500150761</v>
      </c>
      <c r="E9" s="3708" t="s">
        <v>362</v>
      </c>
      <c r="F9" s="3708" t="s">
        <v>363</v>
      </c>
      <c r="G9" s="3708" t="s">
        <v>364</v>
      </c>
      <c r="H9" s="3708" t="s">
        <v>364</v>
      </c>
      <c r="I9" s="4154" t="s">
        <v>328</v>
      </c>
      <c r="J9" s="4154">
        <v>144</v>
      </c>
      <c r="K9" s="4154">
        <v>0</v>
      </c>
      <c r="L9" s="4154">
        <v>12</v>
      </c>
      <c r="M9" s="4154">
        <f t="shared" si="0"/>
        <v>12</v>
      </c>
      <c r="N9" s="4503">
        <v>45650</v>
      </c>
      <c r="O9" s="4503">
        <v>45646</v>
      </c>
      <c r="P9" s="4154"/>
      <c r="Q9" s="4154" t="s">
        <v>82</v>
      </c>
      <c r="R9" s="4157"/>
      <c r="S9" s="4157"/>
      <c r="T9" s="4157"/>
      <c r="U9" s="3726" t="s">
        <v>104</v>
      </c>
      <c r="V9" s="3711" t="s">
        <v>365</v>
      </c>
      <c r="W9" s="3711"/>
      <c r="X9" s="3711" t="s">
        <v>366</v>
      </c>
      <c r="Y9" s="3711"/>
      <c r="Z9" s="3711" t="s">
        <v>367</v>
      </c>
      <c r="AA9" s="4154"/>
      <c r="AB9" s="3713" t="s">
        <v>368</v>
      </c>
      <c r="AC9" s="3711" t="s">
        <v>369</v>
      </c>
      <c r="AD9" s="4154">
        <v>2.139</v>
      </c>
      <c r="AE9" s="4154">
        <f t="shared" si="1"/>
        <v>308.016</v>
      </c>
      <c r="AF9" s="4505" t="s">
        <v>370</v>
      </c>
      <c r="AG9" s="3726"/>
      <c r="AH9" s="984"/>
      <c r="AI9" s="3708">
        <f>J9</f>
        <v>144</v>
      </c>
      <c r="AJ9" s="984"/>
      <c r="AK9" s="3708"/>
      <c r="AL9" s="3708"/>
      <c r="AM9" s="4154"/>
      <c r="AN9" s="4397"/>
      <c r="AO9" s="1048">
        <f t="shared" si="2"/>
        <v>144</v>
      </c>
      <c r="AP9" s="4622"/>
      <c r="AQ9" s="877"/>
      <c r="AR9" s="877"/>
      <c r="AS9" s="1048">
        <f t="shared" si="3"/>
        <v>144</v>
      </c>
      <c r="AT9" s="1048"/>
      <c r="AU9" s="877"/>
      <c r="AV9" s="4921"/>
      <c r="AW9" s="4921"/>
      <c r="AX9" s="1048"/>
      <c r="AY9" s="4921"/>
      <c r="AZ9" s="4921"/>
      <c r="BA9" s="1048"/>
      <c r="BB9" s="4622"/>
      <c r="BC9" s="4921"/>
      <c r="BD9" s="4622"/>
      <c r="BE9" s="4622"/>
      <c r="BF9" s="4622"/>
      <c r="BG9" s="4622"/>
      <c r="BH9" s="1048"/>
      <c r="BI9" s="4622"/>
      <c r="BJ9" s="1048"/>
      <c r="BK9" s="4415" t="s">
        <v>89</v>
      </c>
      <c r="BL9" s="4415"/>
      <c r="BM9" s="4415"/>
      <c r="BN9" s="4415"/>
      <c r="BO9" s="4415">
        <f>J9</f>
        <v>144</v>
      </c>
      <c r="BP9" s="4415"/>
      <c r="BQ9" s="4414"/>
      <c r="BR9" s="1048"/>
      <c r="BS9" s="4384"/>
      <c r="BT9" s="992"/>
      <c r="BU9" s="992"/>
      <c r="BV9" s="992"/>
      <c r="BW9" s="992"/>
      <c r="BX9" s="991"/>
      <c r="BY9" s="991"/>
      <c r="BZ9" s="3708">
        <f t="shared" si="4"/>
        <v>144</v>
      </c>
      <c r="CA9" s="4154">
        <f t="shared" si="5"/>
        <v>0</v>
      </c>
      <c r="CB9" s="4924"/>
      <c r="CC9" s="4591"/>
      <c r="CD9" s="4323"/>
      <c r="CE9" s="4323"/>
      <c r="CF9" s="4323"/>
    </row>
    <row r="10" s="4316" customFormat="1" ht="50" customHeight="1" spans="1:84">
      <c r="A10" s="4500">
        <v>45595</v>
      </c>
      <c r="B10" s="3708" t="s">
        <v>371</v>
      </c>
      <c r="C10" s="3708" t="s">
        <v>341</v>
      </c>
      <c r="D10" s="4154">
        <v>4500149496</v>
      </c>
      <c r="E10" s="3708" t="s">
        <v>372</v>
      </c>
      <c r="F10" s="3708" t="s">
        <v>373</v>
      </c>
      <c r="G10" s="3708" t="s">
        <v>374</v>
      </c>
      <c r="H10" s="3708" t="s">
        <v>375</v>
      </c>
      <c r="I10" s="4154" t="s">
        <v>328</v>
      </c>
      <c r="J10" s="4154">
        <v>912</v>
      </c>
      <c r="K10" s="4154">
        <v>0</v>
      </c>
      <c r="L10" s="4154">
        <v>12</v>
      </c>
      <c r="M10" s="4154">
        <f t="shared" si="0"/>
        <v>76</v>
      </c>
      <c r="N10" s="4503">
        <v>45651</v>
      </c>
      <c r="O10" s="4503">
        <v>45647</v>
      </c>
      <c r="P10" s="4154"/>
      <c r="Q10" s="4154" t="s">
        <v>82</v>
      </c>
      <c r="R10" s="4157"/>
      <c r="S10" s="4157"/>
      <c r="T10" s="4157"/>
      <c r="U10" s="3726"/>
      <c r="V10" s="3711" t="s">
        <v>376</v>
      </c>
      <c r="W10" s="3711"/>
      <c r="X10" s="3711" t="s">
        <v>377</v>
      </c>
      <c r="Y10" s="3711"/>
      <c r="Z10" s="3711" t="s">
        <v>378</v>
      </c>
      <c r="AA10" s="4154"/>
      <c r="AB10" s="3713" t="s">
        <v>379</v>
      </c>
      <c r="AC10" s="3711" t="s">
        <v>380</v>
      </c>
      <c r="AD10" s="4504">
        <v>2.139</v>
      </c>
      <c r="AE10" s="4154">
        <f t="shared" si="1"/>
        <v>1950.768</v>
      </c>
      <c r="AF10" s="4505" t="s">
        <v>381</v>
      </c>
      <c r="AG10" s="3726"/>
      <c r="AH10" s="984"/>
      <c r="AI10" s="3708"/>
      <c r="AJ10" s="984"/>
      <c r="AK10" s="3708">
        <f>J10</f>
        <v>912</v>
      </c>
      <c r="AL10" s="3708"/>
      <c r="AM10" s="4154"/>
      <c r="AN10" s="4397"/>
      <c r="AO10" s="1048">
        <f t="shared" si="2"/>
        <v>912</v>
      </c>
      <c r="AP10" s="4622"/>
      <c r="AQ10" s="877"/>
      <c r="AR10" s="877"/>
      <c r="AS10" s="1048">
        <f t="shared" si="3"/>
        <v>912</v>
      </c>
      <c r="AT10" s="1048"/>
      <c r="AU10" s="877"/>
      <c r="AV10" s="4921"/>
      <c r="AW10" s="4921"/>
      <c r="AX10" s="1048"/>
      <c r="AY10" s="4921"/>
      <c r="AZ10" s="4921"/>
      <c r="BA10" s="1048"/>
      <c r="BB10" s="4622"/>
      <c r="BC10" s="4921"/>
      <c r="BD10" s="4622"/>
      <c r="BE10" s="4622"/>
      <c r="BF10" s="4622"/>
      <c r="BG10" s="4622"/>
      <c r="BH10" s="1048"/>
      <c r="BI10" s="4622"/>
      <c r="BJ10" s="1048"/>
      <c r="BK10" s="4415" t="s">
        <v>89</v>
      </c>
      <c r="BL10" s="4415"/>
      <c r="BM10" s="4415"/>
      <c r="BN10" s="4415"/>
      <c r="BO10" s="4415"/>
      <c r="BP10" s="4415"/>
      <c r="BQ10" s="4414"/>
      <c r="BR10" s="1048">
        <f>J10-BS10</f>
        <v>912</v>
      </c>
      <c r="BS10" s="4384"/>
      <c r="BT10" s="992"/>
      <c r="BU10" s="992"/>
      <c r="BV10" s="992"/>
      <c r="BW10" s="992"/>
      <c r="BX10" s="991"/>
      <c r="BY10" s="991"/>
      <c r="BZ10" s="3708">
        <f t="shared" si="4"/>
        <v>912</v>
      </c>
      <c r="CA10" s="4154">
        <f t="shared" si="5"/>
        <v>0</v>
      </c>
      <c r="CB10" s="4924"/>
      <c r="CC10" s="4591"/>
      <c r="CD10" s="4323"/>
      <c r="CE10" s="4323"/>
      <c r="CF10" s="4323"/>
    </row>
    <row r="11" s="4316" customFormat="1" ht="50" customHeight="1" spans="1:84">
      <c r="A11" s="4500">
        <v>45623</v>
      </c>
      <c r="B11" s="3708" t="s">
        <v>90</v>
      </c>
      <c r="C11" s="3708" t="s">
        <v>91</v>
      </c>
      <c r="D11" s="4154">
        <v>4500152570</v>
      </c>
      <c r="E11" s="3708" t="s">
        <v>382</v>
      </c>
      <c r="F11" s="3708" t="s">
        <v>383</v>
      </c>
      <c r="G11" s="3708" t="s">
        <v>333</v>
      </c>
      <c r="H11" s="3708" t="s">
        <v>333</v>
      </c>
      <c r="I11" s="3708" t="s">
        <v>328</v>
      </c>
      <c r="J11" s="4593">
        <v>1800</v>
      </c>
      <c r="K11" s="4154">
        <v>0</v>
      </c>
      <c r="L11" s="4154">
        <v>24</v>
      </c>
      <c r="M11" s="4154">
        <v>75</v>
      </c>
      <c r="N11" s="4503">
        <v>45651</v>
      </c>
      <c r="O11" s="4503">
        <v>45647</v>
      </c>
      <c r="P11" s="4154"/>
      <c r="Q11" s="4154" t="s">
        <v>82</v>
      </c>
      <c r="R11" s="4157"/>
      <c r="S11" s="4157"/>
      <c r="T11" s="4157"/>
      <c r="U11" s="3726" t="s">
        <v>96</v>
      </c>
      <c r="V11" s="3711" t="s">
        <v>384</v>
      </c>
      <c r="W11" s="3711"/>
      <c r="X11" s="3711" t="s">
        <v>98</v>
      </c>
      <c r="Y11" s="3711"/>
      <c r="Z11" s="3711" t="s">
        <v>385</v>
      </c>
      <c r="AA11" s="4154"/>
      <c r="AB11" s="3713" t="s">
        <v>100</v>
      </c>
      <c r="AC11" s="3711" t="s">
        <v>101</v>
      </c>
      <c r="AD11" s="4504">
        <v>2.1295</v>
      </c>
      <c r="AE11" s="4154">
        <v>3833.1</v>
      </c>
      <c r="AF11" s="4505" t="s">
        <v>386</v>
      </c>
      <c r="AG11" s="3726"/>
      <c r="AH11" s="4422"/>
      <c r="AI11" s="3708">
        <v>1800</v>
      </c>
      <c r="AJ11" s="4422"/>
      <c r="AK11" s="3708"/>
      <c r="AL11" s="3708"/>
      <c r="AM11" s="4154"/>
      <c r="AN11" s="907"/>
      <c r="AO11" s="1048">
        <v>1800</v>
      </c>
      <c r="AP11" s="4622"/>
      <c r="AQ11" s="907"/>
      <c r="AR11" s="907"/>
      <c r="AS11" s="1048">
        <f t="shared" si="3"/>
        <v>1800</v>
      </c>
      <c r="AT11" s="1048"/>
      <c r="AU11" s="907"/>
      <c r="AV11" s="4922"/>
      <c r="AW11" s="4922"/>
      <c r="AX11" s="1048"/>
      <c r="AY11" s="4922"/>
      <c r="AZ11" s="4922"/>
      <c r="BA11" s="1048"/>
      <c r="BB11" s="4622"/>
      <c r="BC11" s="4922"/>
      <c r="BD11" s="4622"/>
      <c r="BE11" s="4622"/>
      <c r="BF11" s="4622"/>
      <c r="BG11" s="4622"/>
      <c r="BH11" s="4622"/>
      <c r="BI11" s="4622"/>
      <c r="BJ11" s="1048"/>
      <c r="BK11" s="4415" t="s">
        <v>89</v>
      </c>
      <c r="BL11" s="4415"/>
      <c r="BM11" s="4415">
        <f>J11/60*9</f>
        <v>270</v>
      </c>
      <c r="BN11" s="4415">
        <f>J11/60*10</f>
        <v>300</v>
      </c>
      <c r="BO11" s="4415">
        <f>J11/60*10</f>
        <v>300</v>
      </c>
      <c r="BP11" s="4415">
        <f>J11/60*10</f>
        <v>300</v>
      </c>
      <c r="BQ11" s="4414">
        <f>J11/60*10</f>
        <v>300</v>
      </c>
      <c r="BR11" s="1048">
        <f>J11/60*10</f>
        <v>300</v>
      </c>
      <c r="BS11" s="4384">
        <f>J11/60*1</f>
        <v>30</v>
      </c>
      <c r="BT11" s="911"/>
      <c r="BU11" s="911"/>
      <c r="BV11" s="911"/>
      <c r="BW11" s="911"/>
      <c r="BX11" s="910"/>
      <c r="BY11" s="910"/>
      <c r="BZ11" s="3708">
        <f t="shared" si="4"/>
        <v>1800</v>
      </c>
      <c r="CA11" s="4154">
        <f t="shared" si="5"/>
        <v>0</v>
      </c>
      <c r="CB11" s="4923"/>
      <c r="CC11" s="4923"/>
      <c r="CD11" s="4323"/>
      <c r="CE11" s="4323"/>
      <c r="CF11" s="4323"/>
    </row>
    <row r="12" s="4316" customFormat="1" ht="50" customHeight="1" spans="1:84">
      <c r="A12" s="4500">
        <v>45601</v>
      </c>
      <c r="B12" s="3708" t="s">
        <v>387</v>
      </c>
      <c r="C12" s="3708" t="s">
        <v>91</v>
      </c>
      <c r="D12" s="4154">
        <v>4500150187</v>
      </c>
      <c r="E12" s="3708">
        <v>70054066</v>
      </c>
      <c r="F12" s="3708" t="s">
        <v>388</v>
      </c>
      <c r="G12" s="3708" t="s">
        <v>333</v>
      </c>
      <c r="H12" s="3708" t="s">
        <v>333</v>
      </c>
      <c r="I12" s="3708" t="s">
        <v>328</v>
      </c>
      <c r="J12" s="4593">
        <v>360</v>
      </c>
      <c r="K12" s="4154">
        <v>0</v>
      </c>
      <c r="L12" s="4154">
        <v>24</v>
      </c>
      <c r="M12" s="4154">
        <f>J12/L12</f>
        <v>15</v>
      </c>
      <c r="N12" s="4503">
        <v>45653</v>
      </c>
      <c r="O12" s="4503">
        <v>45649</v>
      </c>
      <c r="P12" s="4154"/>
      <c r="Q12" s="4154" t="s">
        <v>82</v>
      </c>
      <c r="R12" s="4157"/>
      <c r="S12" s="4157"/>
      <c r="T12" s="4157"/>
      <c r="U12" s="3726" t="s">
        <v>389</v>
      </c>
      <c r="V12" s="3711" t="s">
        <v>390</v>
      </c>
      <c r="W12" s="3711"/>
      <c r="X12" s="3711" t="s">
        <v>98</v>
      </c>
      <c r="Y12" s="3711"/>
      <c r="Z12" s="3711" t="s">
        <v>391</v>
      </c>
      <c r="AA12" s="4154"/>
      <c r="AB12" s="3713" t="s">
        <v>392</v>
      </c>
      <c r="AC12" s="3711" t="s">
        <v>393</v>
      </c>
      <c r="AD12" s="4504">
        <v>2.1341</v>
      </c>
      <c r="AE12" s="4154">
        <f>J12*AD12</f>
        <v>768.276</v>
      </c>
      <c r="AF12" s="4505" t="s">
        <v>394</v>
      </c>
      <c r="AG12" s="3726"/>
      <c r="AH12" s="4422"/>
      <c r="AI12" s="3708">
        <f>J12</f>
        <v>360</v>
      </c>
      <c r="AJ12" s="4422"/>
      <c r="AK12" s="3708"/>
      <c r="AL12" s="3708"/>
      <c r="AM12" s="4154"/>
      <c r="AN12" s="907"/>
      <c r="AO12" s="1048">
        <f>J12</f>
        <v>360</v>
      </c>
      <c r="AP12" s="4622"/>
      <c r="AQ12" s="907"/>
      <c r="AR12" s="907"/>
      <c r="AS12" s="1048">
        <f t="shared" si="3"/>
        <v>360</v>
      </c>
      <c r="AT12" s="1048"/>
      <c r="AU12" s="907"/>
      <c r="AV12" s="4922"/>
      <c r="AW12" s="4922"/>
      <c r="AX12" s="1048"/>
      <c r="AY12" s="4922"/>
      <c r="AZ12" s="4922"/>
      <c r="BA12" s="1048"/>
      <c r="BB12" s="4622"/>
      <c r="BC12" s="4922"/>
      <c r="BD12" s="4622"/>
      <c r="BE12" s="4622"/>
      <c r="BF12" s="4622"/>
      <c r="BG12" s="4622"/>
      <c r="BH12" s="1048"/>
      <c r="BI12" s="4622"/>
      <c r="BJ12" s="1048"/>
      <c r="BK12" s="4415" t="s">
        <v>89</v>
      </c>
      <c r="BL12" s="4415">
        <f>J12/60*1</f>
        <v>6</v>
      </c>
      <c r="BM12" s="4415">
        <f>J12/60*9</f>
        <v>54</v>
      </c>
      <c r="BN12" s="4415">
        <f>J12/60*10</f>
        <v>60</v>
      </c>
      <c r="BO12" s="4415">
        <f>J12/60*10</f>
        <v>60</v>
      </c>
      <c r="BP12" s="4415">
        <f>J12/60*10</f>
        <v>60</v>
      </c>
      <c r="BQ12" s="4414">
        <f>J12/60*10</f>
        <v>60</v>
      </c>
      <c r="BR12" s="1048">
        <f>J12/60*10</f>
        <v>60</v>
      </c>
      <c r="BS12" s="4384"/>
      <c r="BT12" s="911"/>
      <c r="BU12" s="911"/>
      <c r="BV12" s="911"/>
      <c r="BW12" s="911"/>
      <c r="BX12" s="910"/>
      <c r="BY12" s="910"/>
      <c r="BZ12" s="3708">
        <f t="shared" si="4"/>
        <v>360</v>
      </c>
      <c r="CA12" s="4154">
        <f t="shared" si="5"/>
        <v>0</v>
      </c>
      <c r="CB12" s="4923"/>
      <c r="CC12" s="4923"/>
      <c r="CD12" s="4323"/>
      <c r="CE12" s="4323"/>
      <c r="CF12" s="4323"/>
    </row>
    <row r="13" s="4316" customFormat="1" ht="50" customHeight="1" spans="1:84">
      <c r="A13" s="4500">
        <v>45608</v>
      </c>
      <c r="B13" s="3708" t="s">
        <v>395</v>
      </c>
      <c r="C13" s="3708" t="s">
        <v>396</v>
      </c>
      <c r="D13" s="4154">
        <v>4500151018</v>
      </c>
      <c r="E13" s="3708" t="s">
        <v>397</v>
      </c>
      <c r="F13" s="3708" t="s">
        <v>398</v>
      </c>
      <c r="G13" s="3708" t="s">
        <v>399</v>
      </c>
      <c r="H13" s="3708" t="s">
        <v>399</v>
      </c>
      <c r="I13" s="3708" t="s">
        <v>400</v>
      </c>
      <c r="J13" s="4154">
        <v>372</v>
      </c>
      <c r="K13" s="4154">
        <v>0</v>
      </c>
      <c r="L13" s="4154">
        <v>6</v>
      </c>
      <c r="M13" s="4154">
        <f>J13/L13</f>
        <v>62</v>
      </c>
      <c r="N13" s="4503">
        <v>45651</v>
      </c>
      <c r="O13" s="4503">
        <v>45647</v>
      </c>
      <c r="P13" s="4154"/>
      <c r="Q13" s="4154" t="s">
        <v>82</v>
      </c>
      <c r="R13" s="4157"/>
      <c r="S13" s="4157"/>
      <c r="T13" s="4157"/>
      <c r="U13" s="3726" t="s">
        <v>401</v>
      </c>
      <c r="V13" s="3711" t="s">
        <v>402</v>
      </c>
      <c r="W13" s="3711"/>
      <c r="X13" s="3711" t="s">
        <v>403</v>
      </c>
      <c r="Y13" s="3711"/>
      <c r="Z13" s="3711"/>
      <c r="AA13" s="4154"/>
      <c r="AB13" s="3713" t="s">
        <v>404</v>
      </c>
      <c r="AC13" s="3711" t="s">
        <v>405</v>
      </c>
      <c r="AD13" s="4504">
        <v>2.1581</v>
      </c>
      <c r="AE13" s="4154">
        <f>J13*AD13</f>
        <v>802.8132</v>
      </c>
      <c r="AF13" s="4505" t="s">
        <v>406</v>
      </c>
      <c r="AG13" s="3726"/>
      <c r="AH13" s="984"/>
      <c r="AI13" s="3708"/>
      <c r="AJ13" s="984"/>
      <c r="AK13" s="3708">
        <f>J13</f>
        <v>372</v>
      </c>
      <c r="AL13" s="3708"/>
      <c r="AM13" s="4154"/>
      <c r="AN13" s="4397"/>
      <c r="AO13" s="1048">
        <f>J13</f>
        <v>372</v>
      </c>
      <c r="AP13" s="4622"/>
      <c r="AQ13" s="877"/>
      <c r="AR13" s="877"/>
      <c r="AS13" s="1048"/>
      <c r="AT13" s="1048">
        <f>J13</f>
        <v>372</v>
      </c>
      <c r="AU13" s="877"/>
      <c r="AV13" s="4921"/>
      <c r="AW13" s="4921"/>
      <c r="AX13" s="1048">
        <f>J13/6</f>
        <v>62</v>
      </c>
      <c r="AY13" s="4921"/>
      <c r="AZ13" s="4921"/>
      <c r="BA13" s="1048"/>
      <c r="BB13" s="4622"/>
      <c r="BC13" s="4921"/>
      <c r="BD13" s="4622"/>
      <c r="BE13" s="4622"/>
      <c r="BF13" s="4622"/>
      <c r="BG13" s="4622"/>
      <c r="BH13" s="1048"/>
      <c r="BI13" s="4622"/>
      <c r="BJ13" s="1048"/>
      <c r="BK13" s="4415" t="s">
        <v>89</v>
      </c>
      <c r="BL13" s="1048">
        <f>J13/60*1</f>
        <v>6.2</v>
      </c>
      <c r="BM13" s="1048">
        <f>J13/60*9</f>
        <v>55.8</v>
      </c>
      <c r="BN13" s="1048">
        <f>J13/60*10</f>
        <v>62</v>
      </c>
      <c r="BO13" s="1048">
        <f>J13/60*10</f>
        <v>62</v>
      </c>
      <c r="BP13" s="1048">
        <f>J13/60*10</f>
        <v>62</v>
      </c>
      <c r="BQ13" s="1048">
        <f>J13/60*10</f>
        <v>62</v>
      </c>
      <c r="BR13" s="1048">
        <f>J13/60*10</f>
        <v>62</v>
      </c>
      <c r="BS13" s="4384"/>
      <c r="BT13" s="992"/>
      <c r="BU13" s="992"/>
      <c r="BV13" s="992"/>
      <c r="BW13" s="992"/>
      <c r="BX13" s="991"/>
      <c r="BY13" s="991"/>
      <c r="BZ13" s="3708">
        <f t="shared" si="4"/>
        <v>372</v>
      </c>
      <c r="CA13" s="4154">
        <f t="shared" si="5"/>
        <v>0</v>
      </c>
      <c r="CB13" s="4924"/>
      <c r="CC13" s="4591"/>
      <c r="CD13" s="4323"/>
      <c r="CE13" s="4323"/>
      <c r="CF13" s="4323"/>
    </row>
    <row r="14" s="4316" customFormat="1" ht="50" customHeight="1" spans="1:84">
      <c r="A14" s="4500">
        <v>45587</v>
      </c>
      <c r="B14" s="3708" t="s">
        <v>407</v>
      </c>
      <c r="C14" s="3708" t="s">
        <v>91</v>
      </c>
      <c r="D14" s="4154">
        <v>4500147716</v>
      </c>
      <c r="E14" s="3708">
        <v>60190663</v>
      </c>
      <c r="F14" s="3708" t="s">
        <v>408</v>
      </c>
      <c r="G14" s="3708" t="s">
        <v>409</v>
      </c>
      <c r="H14" s="3708" t="s">
        <v>409</v>
      </c>
      <c r="I14" s="3708" t="s">
        <v>410</v>
      </c>
      <c r="J14" s="4154">
        <v>2796</v>
      </c>
      <c r="K14" s="4154">
        <v>0</v>
      </c>
      <c r="L14" s="4154">
        <v>12</v>
      </c>
      <c r="M14" s="4154">
        <f>J14/L14</f>
        <v>233</v>
      </c>
      <c r="N14" s="4503">
        <v>45653</v>
      </c>
      <c r="O14" s="4503">
        <v>45649</v>
      </c>
      <c r="P14" s="4154"/>
      <c r="Q14" s="4154" t="s">
        <v>82</v>
      </c>
      <c r="R14" s="4157"/>
      <c r="S14" s="4157"/>
      <c r="T14" s="4157"/>
      <c r="U14" s="3726" t="s">
        <v>107</v>
      </c>
      <c r="V14" s="3711" t="s">
        <v>411</v>
      </c>
      <c r="W14" s="3711"/>
      <c r="X14" s="3711" t="s">
        <v>98</v>
      </c>
      <c r="Y14" s="3711"/>
      <c r="Z14" s="3711" t="s">
        <v>391</v>
      </c>
      <c r="AA14" s="4154" t="s">
        <v>412</v>
      </c>
      <c r="AB14" s="3713" t="s">
        <v>413</v>
      </c>
      <c r="AC14" s="3711" t="s">
        <v>414</v>
      </c>
      <c r="AD14" s="4504">
        <v>2.7175</v>
      </c>
      <c r="AE14" s="4154">
        <f>J14*AD14</f>
        <v>7598.13</v>
      </c>
      <c r="AF14" s="4505" t="s">
        <v>415</v>
      </c>
      <c r="AG14" s="3726" t="s">
        <v>416</v>
      </c>
      <c r="AH14" s="984"/>
      <c r="AI14" s="3708">
        <f>J14</f>
        <v>2796</v>
      </c>
      <c r="AJ14" s="984"/>
      <c r="AK14" s="3708"/>
      <c r="AL14" s="3708"/>
      <c r="AM14" s="4154"/>
      <c r="AN14" s="4397"/>
      <c r="AO14" s="1048">
        <f>J14</f>
        <v>2796</v>
      </c>
      <c r="AP14" s="4622"/>
      <c r="AQ14" s="877"/>
      <c r="AR14" s="877"/>
      <c r="AS14" s="1048">
        <f>J14</f>
        <v>2796</v>
      </c>
      <c r="AT14" s="1048"/>
      <c r="AU14" s="877"/>
      <c r="AV14" s="4921"/>
      <c r="AW14" s="4921"/>
      <c r="AX14" s="1048"/>
      <c r="AY14" s="4921"/>
      <c r="AZ14" s="4921"/>
      <c r="BA14" s="1048"/>
      <c r="BB14" s="4622"/>
      <c r="BC14" s="4921"/>
      <c r="BD14" s="4622"/>
      <c r="BE14" s="4622"/>
      <c r="BF14" s="4622"/>
      <c r="BG14" s="4622"/>
      <c r="BH14" s="1048">
        <f>J14</f>
        <v>2796</v>
      </c>
      <c r="BI14" s="4622"/>
      <c r="BJ14" s="1048"/>
      <c r="BK14" s="4415" t="s">
        <v>89</v>
      </c>
      <c r="BL14" s="4415"/>
      <c r="BM14" s="4415">
        <f>J14/60*9</f>
        <v>419.4</v>
      </c>
      <c r="BN14" s="4415">
        <f>J14/60*10</f>
        <v>466</v>
      </c>
      <c r="BO14" s="4415">
        <f>J14/60*10</f>
        <v>466</v>
      </c>
      <c r="BP14" s="4415">
        <f>J14/60*10</f>
        <v>466</v>
      </c>
      <c r="BQ14" s="4414">
        <f>J14/60*10</f>
        <v>466</v>
      </c>
      <c r="BR14" s="1048">
        <f>J14/60*10</f>
        <v>466</v>
      </c>
      <c r="BS14" s="4384">
        <f>J14/60*1</f>
        <v>46.6</v>
      </c>
      <c r="BT14" s="992"/>
      <c r="BU14" s="992"/>
      <c r="BV14" s="992"/>
      <c r="BW14" s="992"/>
      <c r="BX14" s="991"/>
      <c r="BY14" s="991"/>
      <c r="BZ14" s="3708">
        <f t="shared" si="4"/>
        <v>2796</v>
      </c>
      <c r="CA14" s="4154">
        <f t="shared" si="5"/>
        <v>0</v>
      </c>
      <c r="CB14" s="4924"/>
      <c r="CC14" s="4591"/>
      <c r="CD14" s="4323"/>
      <c r="CE14" s="4323"/>
      <c r="CF14" s="4323"/>
    </row>
    <row r="15" s="4316" customFormat="1" ht="50" customHeight="1" spans="1:84">
      <c r="A15" s="4500">
        <v>45594</v>
      </c>
      <c r="B15" s="3708" t="s">
        <v>417</v>
      </c>
      <c r="C15" s="3708" t="s">
        <v>341</v>
      </c>
      <c r="D15" s="4154">
        <v>4500149353</v>
      </c>
      <c r="E15" s="3708"/>
      <c r="F15" s="3708" t="s">
        <v>418</v>
      </c>
      <c r="G15" s="4176" t="s">
        <v>419</v>
      </c>
      <c r="H15" s="3708" t="s">
        <v>419</v>
      </c>
      <c r="I15" s="3708" t="s">
        <v>328</v>
      </c>
      <c r="J15" s="4593">
        <v>19242</v>
      </c>
      <c r="K15" s="4154">
        <v>0</v>
      </c>
      <c r="L15" s="4154">
        <v>18</v>
      </c>
      <c r="M15" s="4154">
        <f t="shared" ref="M13:M28" si="6">J15/L15</f>
        <v>1069</v>
      </c>
      <c r="N15" s="4503">
        <v>45653</v>
      </c>
      <c r="O15" s="4503">
        <v>45649</v>
      </c>
      <c r="P15" s="4154" t="s">
        <v>420</v>
      </c>
      <c r="Q15" s="4154" t="s">
        <v>82</v>
      </c>
      <c r="R15" s="4157"/>
      <c r="S15" s="4157"/>
      <c r="T15" s="4157"/>
      <c r="U15" s="3726" t="s">
        <v>127</v>
      </c>
      <c r="V15" s="3711" t="s">
        <v>421</v>
      </c>
      <c r="W15" s="3711"/>
      <c r="X15" s="3711" t="s">
        <v>422</v>
      </c>
      <c r="Y15" s="3711"/>
      <c r="Z15" s="3711"/>
      <c r="AA15" s="4154"/>
      <c r="AB15" s="3713" t="s">
        <v>423</v>
      </c>
      <c r="AC15" s="4155" t="s">
        <v>424</v>
      </c>
      <c r="AD15" s="4504">
        <v>54.8797</v>
      </c>
      <c r="AE15" s="4154">
        <f>AD15*M15</f>
        <v>58666.3993</v>
      </c>
      <c r="AF15" s="4505" t="s">
        <v>425</v>
      </c>
      <c r="AG15" s="3726"/>
      <c r="AH15" s="4422"/>
      <c r="AI15" s="3708">
        <f t="shared" ref="AI13:AI20" si="7">J15</f>
        <v>19242</v>
      </c>
      <c r="AJ15" s="4422"/>
      <c r="AK15" s="3708"/>
      <c r="AL15" s="3708"/>
      <c r="AM15" s="4154"/>
      <c r="AN15" s="907"/>
      <c r="AO15" s="1048">
        <f t="shared" ref="AO13:AO20" si="8">J15</f>
        <v>19242</v>
      </c>
      <c r="AP15" s="4622"/>
      <c r="AQ15" s="907"/>
      <c r="AR15" s="907"/>
      <c r="AS15" s="1048">
        <f t="shared" ref="AS12:AS20" si="9">J15</f>
        <v>19242</v>
      </c>
      <c r="AT15" s="1048"/>
      <c r="AU15" s="907"/>
      <c r="AV15" s="4922"/>
      <c r="AW15" s="4922"/>
      <c r="AX15" s="1048"/>
      <c r="AY15" s="4922"/>
      <c r="AZ15" s="4922"/>
      <c r="BA15" s="1048"/>
      <c r="BB15" s="4622"/>
      <c r="BC15" s="4922"/>
      <c r="BD15" s="4622"/>
      <c r="BE15" s="4622"/>
      <c r="BF15" s="4622"/>
      <c r="BG15" s="4622"/>
      <c r="BH15" s="1048"/>
      <c r="BI15" s="4622">
        <f>J15/18</f>
        <v>1069</v>
      </c>
      <c r="BJ15" s="1048"/>
      <c r="BK15" s="4415" t="s">
        <v>89</v>
      </c>
      <c r="BL15" s="4415">
        <f>J15/60*1</f>
        <v>320.7</v>
      </c>
      <c r="BM15" s="4415">
        <f t="shared" ref="BM13:BM38" si="10">J15/60*9</f>
        <v>2886.3</v>
      </c>
      <c r="BN15" s="4415">
        <f t="shared" ref="BN13:BN38" si="11">J15/60*10</f>
        <v>3207</v>
      </c>
      <c r="BO15" s="4415">
        <f t="shared" ref="BO13:BO38" si="12">J15/60*10</f>
        <v>3207</v>
      </c>
      <c r="BP15" s="4415">
        <f t="shared" ref="BP13:BP38" si="13">J15/60*10</f>
        <v>3207</v>
      </c>
      <c r="BQ15" s="4414">
        <f t="shared" ref="BQ13:BQ38" si="14">J15/60*10</f>
        <v>3207</v>
      </c>
      <c r="BR15" s="1048">
        <f t="shared" ref="BR13:BR38" si="15">J15/60*10</f>
        <v>3207</v>
      </c>
      <c r="BS15" s="4384"/>
      <c r="BT15" s="911"/>
      <c r="BU15" s="911"/>
      <c r="BV15" s="911"/>
      <c r="BW15" s="911"/>
      <c r="BX15" s="910"/>
      <c r="BY15" s="910"/>
      <c r="BZ15" s="3708">
        <f t="shared" si="4"/>
        <v>19242</v>
      </c>
      <c r="CA15" s="4154">
        <f t="shared" si="5"/>
        <v>0</v>
      </c>
      <c r="CB15" s="4923"/>
      <c r="CC15" s="4923"/>
      <c r="CD15" s="4323"/>
      <c r="CE15" s="4323"/>
      <c r="CF15" s="4323"/>
    </row>
    <row r="16" s="4316" customFormat="1" ht="50" customHeight="1" spans="1:84">
      <c r="A16" s="4500">
        <v>45594</v>
      </c>
      <c r="B16" s="3708" t="s">
        <v>417</v>
      </c>
      <c r="C16" s="3708" t="s">
        <v>341</v>
      </c>
      <c r="D16" s="4154">
        <v>4500149354</v>
      </c>
      <c r="E16" s="3708"/>
      <c r="F16" s="3708" t="s">
        <v>426</v>
      </c>
      <c r="G16" s="4176" t="s">
        <v>419</v>
      </c>
      <c r="H16" s="3708" t="s">
        <v>419</v>
      </c>
      <c r="I16" s="3708" t="s">
        <v>328</v>
      </c>
      <c r="J16" s="4593">
        <v>3240</v>
      </c>
      <c r="K16" s="4154">
        <v>0</v>
      </c>
      <c r="L16" s="4154">
        <v>18</v>
      </c>
      <c r="M16" s="4154">
        <f t="shared" si="6"/>
        <v>180</v>
      </c>
      <c r="N16" s="4503">
        <v>45653</v>
      </c>
      <c r="O16" s="4503">
        <v>45649</v>
      </c>
      <c r="P16" s="4154" t="s">
        <v>420</v>
      </c>
      <c r="Q16" s="4154" t="s">
        <v>82</v>
      </c>
      <c r="R16" s="4157"/>
      <c r="S16" s="4157"/>
      <c r="T16" s="4157"/>
      <c r="U16" s="3726" t="s">
        <v>427</v>
      </c>
      <c r="V16" s="3711" t="s">
        <v>421</v>
      </c>
      <c r="W16" s="3711"/>
      <c r="X16" s="3711" t="s">
        <v>422</v>
      </c>
      <c r="Y16" s="3711"/>
      <c r="Z16" s="3711"/>
      <c r="AA16" s="4154"/>
      <c r="AB16" s="3713" t="s">
        <v>428</v>
      </c>
      <c r="AC16" s="4155" t="s">
        <v>424</v>
      </c>
      <c r="AD16" s="4504">
        <v>55.1281</v>
      </c>
      <c r="AE16" s="4154">
        <f>AD16*M16</f>
        <v>9923.058</v>
      </c>
      <c r="AF16" s="4505" t="s">
        <v>429</v>
      </c>
      <c r="AG16" s="3726"/>
      <c r="AH16" s="4422"/>
      <c r="AI16" s="3708">
        <f t="shared" si="7"/>
        <v>3240</v>
      </c>
      <c r="AJ16" s="4422"/>
      <c r="AK16" s="3708"/>
      <c r="AL16" s="3708"/>
      <c r="AM16" s="4154"/>
      <c r="AN16" s="907"/>
      <c r="AO16" s="1048">
        <f t="shared" si="8"/>
        <v>3240</v>
      </c>
      <c r="AP16" s="4622"/>
      <c r="AQ16" s="907"/>
      <c r="AR16" s="907"/>
      <c r="AS16" s="1048">
        <f t="shared" si="9"/>
        <v>3240</v>
      </c>
      <c r="AT16" s="1048"/>
      <c r="AU16" s="907"/>
      <c r="AV16" s="4922"/>
      <c r="AW16" s="4922"/>
      <c r="AX16" s="1048"/>
      <c r="AY16" s="4922"/>
      <c r="AZ16" s="4922"/>
      <c r="BA16" s="1048"/>
      <c r="BB16" s="4622"/>
      <c r="BC16" s="4922"/>
      <c r="BD16" s="4622"/>
      <c r="BE16" s="4622"/>
      <c r="BF16" s="4622"/>
      <c r="BG16" s="4622"/>
      <c r="BH16" s="1048"/>
      <c r="BI16" s="4622">
        <f>J16/18</f>
        <v>180</v>
      </c>
      <c r="BJ16" s="1048"/>
      <c r="BK16" s="4415" t="s">
        <v>89</v>
      </c>
      <c r="BL16" s="4415">
        <f>J16/60*1</f>
        <v>54</v>
      </c>
      <c r="BM16" s="4415">
        <f t="shared" si="10"/>
        <v>486</v>
      </c>
      <c r="BN16" s="4415">
        <f t="shared" si="11"/>
        <v>540</v>
      </c>
      <c r="BO16" s="4415">
        <f t="shared" si="12"/>
        <v>540</v>
      </c>
      <c r="BP16" s="4415">
        <f t="shared" si="13"/>
        <v>540</v>
      </c>
      <c r="BQ16" s="4414">
        <f t="shared" si="14"/>
        <v>540</v>
      </c>
      <c r="BR16" s="1048">
        <f t="shared" si="15"/>
        <v>540</v>
      </c>
      <c r="BS16" s="4384"/>
      <c r="BT16" s="911"/>
      <c r="BU16" s="911"/>
      <c r="BV16" s="911"/>
      <c r="BW16" s="911"/>
      <c r="BX16" s="910"/>
      <c r="BY16" s="910"/>
      <c r="BZ16" s="3708">
        <f t="shared" si="4"/>
        <v>3240</v>
      </c>
      <c r="CA16" s="4154">
        <f t="shared" si="5"/>
        <v>0</v>
      </c>
      <c r="CB16" s="4923"/>
      <c r="CC16" s="4923"/>
      <c r="CD16" s="4323"/>
      <c r="CE16" s="4323"/>
      <c r="CF16" s="4323"/>
    </row>
    <row r="17" s="4316" customFormat="1" ht="50" customHeight="1" spans="1:84">
      <c r="A17" s="4500">
        <v>45586</v>
      </c>
      <c r="B17" s="3708" t="s">
        <v>90</v>
      </c>
      <c r="C17" s="3708" t="s">
        <v>91</v>
      </c>
      <c r="D17" s="4154">
        <v>4500147792</v>
      </c>
      <c r="E17" s="3708" t="s">
        <v>92</v>
      </c>
      <c r="F17" s="3708" t="s">
        <v>430</v>
      </c>
      <c r="G17" s="3708" t="s">
        <v>409</v>
      </c>
      <c r="H17" s="3708" t="s">
        <v>409</v>
      </c>
      <c r="I17" s="3708" t="s">
        <v>410</v>
      </c>
      <c r="J17" s="4154">
        <v>600</v>
      </c>
      <c r="K17" s="4154">
        <v>0</v>
      </c>
      <c r="L17" s="4154">
        <v>12</v>
      </c>
      <c r="M17" s="4154">
        <f t="shared" si="6"/>
        <v>50</v>
      </c>
      <c r="N17" s="4503">
        <v>45656</v>
      </c>
      <c r="O17" s="4503">
        <v>45652</v>
      </c>
      <c r="P17" s="4154"/>
      <c r="Q17" s="4154" t="s">
        <v>82</v>
      </c>
      <c r="R17" s="4157"/>
      <c r="S17" s="4157"/>
      <c r="T17" s="4157"/>
      <c r="U17" s="3726" t="s">
        <v>116</v>
      </c>
      <c r="V17" s="3711" t="s">
        <v>97</v>
      </c>
      <c r="W17" s="3711"/>
      <c r="X17" s="3711" t="s">
        <v>98</v>
      </c>
      <c r="Y17" s="3711"/>
      <c r="Z17" s="3711" t="s">
        <v>431</v>
      </c>
      <c r="AA17" s="4154"/>
      <c r="AB17" s="3713" t="s">
        <v>432</v>
      </c>
      <c r="AC17" s="4155" t="s">
        <v>101</v>
      </c>
      <c r="AD17" s="4504">
        <v>2.8218</v>
      </c>
      <c r="AE17" s="4154">
        <f t="shared" ref="AE17:AE28" si="16">J17*AD17</f>
        <v>1693.08</v>
      </c>
      <c r="AF17" s="4505" t="s">
        <v>119</v>
      </c>
      <c r="AG17" s="3726" t="s">
        <v>416</v>
      </c>
      <c r="AH17" s="4422"/>
      <c r="AI17" s="3708">
        <f t="shared" si="7"/>
        <v>600</v>
      </c>
      <c r="AJ17" s="4422"/>
      <c r="AK17" s="3708"/>
      <c r="AL17" s="3708"/>
      <c r="AM17" s="4154"/>
      <c r="AN17" s="907"/>
      <c r="AO17" s="1048">
        <f t="shared" si="8"/>
        <v>600</v>
      </c>
      <c r="AP17" s="4622"/>
      <c r="AQ17" s="907"/>
      <c r="AR17" s="907"/>
      <c r="AS17" s="1048">
        <f t="shared" si="9"/>
        <v>600</v>
      </c>
      <c r="AT17" s="1048"/>
      <c r="AU17" s="907"/>
      <c r="AV17" s="4922"/>
      <c r="AW17" s="4922"/>
      <c r="AX17" s="1048"/>
      <c r="AY17" s="4922"/>
      <c r="AZ17" s="4922"/>
      <c r="BA17" s="1048"/>
      <c r="BB17" s="4622"/>
      <c r="BC17" s="4922"/>
      <c r="BD17" s="4622"/>
      <c r="BE17" s="4622"/>
      <c r="BF17" s="4622"/>
      <c r="BG17" s="4622"/>
      <c r="BH17" s="1048">
        <f>J17</f>
        <v>600</v>
      </c>
      <c r="BI17" s="4622"/>
      <c r="BJ17" s="1048"/>
      <c r="BK17" s="4415" t="s">
        <v>89</v>
      </c>
      <c r="BL17" s="4415"/>
      <c r="BM17" s="4415">
        <f t="shared" si="10"/>
        <v>90</v>
      </c>
      <c r="BN17" s="4415">
        <f t="shared" si="11"/>
        <v>100</v>
      </c>
      <c r="BO17" s="4415">
        <f t="shared" si="12"/>
        <v>100</v>
      </c>
      <c r="BP17" s="4415">
        <f t="shared" si="13"/>
        <v>100</v>
      </c>
      <c r="BQ17" s="4414">
        <f t="shared" si="14"/>
        <v>100</v>
      </c>
      <c r="BR17" s="1048">
        <f t="shared" si="15"/>
        <v>100</v>
      </c>
      <c r="BS17" s="4384">
        <f>J17/60*1</f>
        <v>10</v>
      </c>
      <c r="BT17" s="911"/>
      <c r="BU17" s="911"/>
      <c r="BV17" s="911"/>
      <c r="BW17" s="911"/>
      <c r="BX17" s="910"/>
      <c r="BY17" s="910"/>
      <c r="BZ17" s="3708">
        <f t="shared" si="4"/>
        <v>600</v>
      </c>
      <c r="CA17" s="4154">
        <f t="shared" si="5"/>
        <v>0</v>
      </c>
      <c r="CB17" s="4923"/>
      <c r="CC17" s="4923"/>
      <c r="CD17" s="4323"/>
      <c r="CE17" s="4323"/>
      <c r="CF17" s="4323"/>
    </row>
    <row r="18" s="4316" customFormat="1" ht="50" customHeight="1" spans="1:84">
      <c r="A18" s="4500">
        <v>45586</v>
      </c>
      <c r="B18" s="3708" t="s">
        <v>90</v>
      </c>
      <c r="C18" s="3708" t="s">
        <v>91</v>
      </c>
      <c r="D18" s="4154">
        <v>4500147793</v>
      </c>
      <c r="E18" s="3708" t="s">
        <v>433</v>
      </c>
      <c r="F18" s="3708" t="s">
        <v>434</v>
      </c>
      <c r="G18" s="3708" t="s">
        <v>409</v>
      </c>
      <c r="H18" s="3708" t="s">
        <v>409</v>
      </c>
      <c r="I18" s="3708" t="s">
        <v>410</v>
      </c>
      <c r="J18" s="4154">
        <v>600</v>
      </c>
      <c r="K18" s="4154">
        <v>0</v>
      </c>
      <c r="L18" s="4154">
        <v>12</v>
      </c>
      <c r="M18" s="4154">
        <f t="shared" si="6"/>
        <v>50</v>
      </c>
      <c r="N18" s="4503">
        <v>45656</v>
      </c>
      <c r="O18" s="4503">
        <v>45652</v>
      </c>
      <c r="P18" s="4154"/>
      <c r="Q18" s="4154" t="s">
        <v>82</v>
      </c>
      <c r="R18" s="4157"/>
      <c r="S18" s="4157"/>
      <c r="T18" s="4157"/>
      <c r="U18" s="3711" t="s">
        <v>116</v>
      </c>
      <c r="V18" s="3711" t="s">
        <v>97</v>
      </c>
      <c r="W18" s="3711"/>
      <c r="X18" s="3711" t="s">
        <v>98</v>
      </c>
      <c r="Y18" s="3711"/>
      <c r="Z18" s="3711" t="s">
        <v>431</v>
      </c>
      <c r="AA18" s="4154"/>
      <c r="AB18" s="3713" t="s">
        <v>432</v>
      </c>
      <c r="AC18" s="4155" t="s">
        <v>101</v>
      </c>
      <c r="AD18" s="4504">
        <v>2.8218</v>
      </c>
      <c r="AE18" s="4154">
        <f t="shared" si="16"/>
        <v>1693.08</v>
      </c>
      <c r="AF18" s="4505" t="s">
        <v>117</v>
      </c>
      <c r="AG18" s="3726" t="s">
        <v>416</v>
      </c>
      <c r="AH18" s="4422"/>
      <c r="AI18" s="3708">
        <f t="shared" si="7"/>
        <v>600</v>
      </c>
      <c r="AJ18" s="4422"/>
      <c r="AK18" s="3708"/>
      <c r="AL18" s="3708"/>
      <c r="AM18" s="4154"/>
      <c r="AN18" s="907"/>
      <c r="AO18" s="1048">
        <f t="shared" si="8"/>
        <v>600</v>
      </c>
      <c r="AP18" s="4622"/>
      <c r="AQ18" s="907"/>
      <c r="AR18" s="907"/>
      <c r="AS18" s="1048">
        <f t="shared" si="9"/>
        <v>600</v>
      </c>
      <c r="AT18" s="1048"/>
      <c r="AU18" s="907"/>
      <c r="AV18" s="4922"/>
      <c r="AW18" s="4922"/>
      <c r="AX18" s="1048"/>
      <c r="AY18" s="4922"/>
      <c r="AZ18" s="4922"/>
      <c r="BA18" s="1048"/>
      <c r="BB18" s="4622"/>
      <c r="BC18" s="4922"/>
      <c r="BD18" s="4622"/>
      <c r="BE18" s="4622"/>
      <c r="BF18" s="4622"/>
      <c r="BG18" s="4622"/>
      <c r="BH18" s="1048">
        <f>J18</f>
        <v>600</v>
      </c>
      <c r="BI18" s="4622"/>
      <c r="BJ18" s="1048"/>
      <c r="BK18" s="4415" t="s">
        <v>89</v>
      </c>
      <c r="BL18" s="4415"/>
      <c r="BM18" s="4415">
        <f t="shared" si="10"/>
        <v>90</v>
      </c>
      <c r="BN18" s="4415">
        <f t="shared" si="11"/>
        <v>100</v>
      </c>
      <c r="BO18" s="4415">
        <f t="shared" si="12"/>
        <v>100</v>
      </c>
      <c r="BP18" s="4415">
        <f t="shared" si="13"/>
        <v>100</v>
      </c>
      <c r="BQ18" s="4414">
        <f t="shared" si="14"/>
        <v>100</v>
      </c>
      <c r="BR18" s="1048">
        <f t="shared" si="15"/>
        <v>100</v>
      </c>
      <c r="BS18" s="4384">
        <f>J18/60*1</f>
        <v>10</v>
      </c>
      <c r="BT18" s="911"/>
      <c r="BU18" s="911"/>
      <c r="BV18" s="911"/>
      <c r="BW18" s="911"/>
      <c r="BX18" s="910"/>
      <c r="BY18" s="910"/>
      <c r="BZ18" s="3708">
        <f t="shared" si="4"/>
        <v>600</v>
      </c>
      <c r="CA18" s="4154">
        <f t="shared" si="5"/>
        <v>0</v>
      </c>
      <c r="CB18" s="4923"/>
      <c r="CC18" s="4923"/>
      <c r="CD18" s="4323"/>
      <c r="CE18" s="4323"/>
      <c r="CF18" s="4323"/>
    </row>
    <row r="19" s="4316" customFormat="1" ht="50" customHeight="1" spans="1:84">
      <c r="A19" s="4500">
        <v>45586</v>
      </c>
      <c r="B19" s="3708" t="s">
        <v>90</v>
      </c>
      <c r="C19" s="3708" t="s">
        <v>91</v>
      </c>
      <c r="D19" s="4154">
        <v>4500147795</v>
      </c>
      <c r="E19" s="3708" t="s">
        <v>435</v>
      </c>
      <c r="F19" s="3708" t="s">
        <v>436</v>
      </c>
      <c r="G19" s="3708" t="s">
        <v>409</v>
      </c>
      <c r="H19" s="3708" t="s">
        <v>409</v>
      </c>
      <c r="I19" s="3708" t="s">
        <v>410</v>
      </c>
      <c r="J19" s="4154">
        <v>804</v>
      </c>
      <c r="K19" s="4154">
        <v>0</v>
      </c>
      <c r="L19" s="4154">
        <v>12</v>
      </c>
      <c r="M19" s="4154">
        <f t="shared" si="6"/>
        <v>67</v>
      </c>
      <c r="N19" s="4503">
        <v>45656</v>
      </c>
      <c r="O19" s="4503">
        <v>45652</v>
      </c>
      <c r="P19" s="4154"/>
      <c r="Q19" s="4154" t="s">
        <v>82</v>
      </c>
      <c r="R19" s="4157"/>
      <c r="S19" s="4157"/>
      <c r="T19" s="4157"/>
      <c r="U19" s="3711" t="s">
        <v>110</v>
      </c>
      <c r="V19" s="3711" t="s">
        <v>97</v>
      </c>
      <c r="W19" s="3711"/>
      <c r="X19" s="3711" t="s">
        <v>98</v>
      </c>
      <c r="Y19" s="3711"/>
      <c r="Z19" s="3711" t="s">
        <v>111</v>
      </c>
      <c r="AA19" s="4154"/>
      <c r="AB19" s="3713" t="s">
        <v>432</v>
      </c>
      <c r="AC19" s="4155" t="s">
        <v>101</v>
      </c>
      <c r="AD19" s="4504">
        <v>2.8218</v>
      </c>
      <c r="AE19" s="4154">
        <f t="shared" si="16"/>
        <v>2268.7272</v>
      </c>
      <c r="AF19" s="4505" t="s">
        <v>114</v>
      </c>
      <c r="AG19" s="3726" t="s">
        <v>416</v>
      </c>
      <c r="AH19" s="4422"/>
      <c r="AI19" s="3708">
        <f t="shared" si="7"/>
        <v>804</v>
      </c>
      <c r="AJ19" s="4422"/>
      <c r="AK19" s="3708"/>
      <c r="AL19" s="3708"/>
      <c r="AM19" s="4154"/>
      <c r="AN19" s="907"/>
      <c r="AO19" s="1048">
        <f t="shared" si="8"/>
        <v>804</v>
      </c>
      <c r="AP19" s="4622"/>
      <c r="AQ19" s="907"/>
      <c r="AR19" s="907"/>
      <c r="AS19" s="1048">
        <f t="shared" si="9"/>
        <v>804</v>
      </c>
      <c r="AT19" s="1048"/>
      <c r="AU19" s="907"/>
      <c r="AV19" s="4922"/>
      <c r="AW19" s="4922"/>
      <c r="AX19" s="1048"/>
      <c r="AY19" s="4922"/>
      <c r="AZ19" s="4922"/>
      <c r="BA19" s="1048"/>
      <c r="BB19" s="4622"/>
      <c r="BC19" s="4922"/>
      <c r="BD19" s="4622"/>
      <c r="BE19" s="4622"/>
      <c r="BF19" s="4622"/>
      <c r="BG19" s="4622"/>
      <c r="BH19" s="1048">
        <f>J19</f>
        <v>804</v>
      </c>
      <c r="BI19" s="4622"/>
      <c r="BJ19" s="1048"/>
      <c r="BK19" s="4415" t="s">
        <v>89</v>
      </c>
      <c r="BL19" s="4415"/>
      <c r="BM19" s="4415">
        <f t="shared" si="10"/>
        <v>120.6</v>
      </c>
      <c r="BN19" s="4415">
        <f t="shared" si="11"/>
        <v>134</v>
      </c>
      <c r="BO19" s="4415">
        <f t="shared" si="12"/>
        <v>134</v>
      </c>
      <c r="BP19" s="4415">
        <f t="shared" si="13"/>
        <v>134</v>
      </c>
      <c r="BQ19" s="4414">
        <f t="shared" si="14"/>
        <v>134</v>
      </c>
      <c r="BR19" s="1048">
        <f t="shared" si="15"/>
        <v>134</v>
      </c>
      <c r="BS19" s="4384">
        <f>J19/60*1</f>
        <v>13.4</v>
      </c>
      <c r="BT19" s="911"/>
      <c r="BU19" s="911"/>
      <c r="BV19" s="911"/>
      <c r="BW19" s="911"/>
      <c r="BX19" s="910"/>
      <c r="BY19" s="910"/>
      <c r="BZ19" s="3708">
        <f t="shared" si="4"/>
        <v>804</v>
      </c>
      <c r="CA19" s="4154">
        <f t="shared" si="5"/>
        <v>0</v>
      </c>
      <c r="CB19" s="4923"/>
      <c r="CC19" s="4923"/>
      <c r="CD19" s="4323"/>
      <c r="CE19" s="4323"/>
      <c r="CF19" s="4323"/>
    </row>
    <row r="20" s="4316" customFormat="1" ht="50" customHeight="1" spans="1:84">
      <c r="A20" s="4500">
        <v>45586</v>
      </c>
      <c r="B20" s="3708" t="s">
        <v>90</v>
      </c>
      <c r="C20" s="3708" t="s">
        <v>91</v>
      </c>
      <c r="D20" s="4154">
        <v>4500147796</v>
      </c>
      <c r="E20" s="3708" t="s">
        <v>108</v>
      </c>
      <c r="F20" s="3708" t="s">
        <v>437</v>
      </c>
      <c r="G20" s="3708" t="s">
        <v>409</v>
      </c>
      <c r="H20" s="3708" t="s">
        <v>409</v>
      </c>
      <c r="I20" s="3708" t="s">
        <v>410</v>
      </c>
      <c r="J20" s="4154">
        <v>804</v>
      </c>
      <c r="K20" s="4154">
        <v>0</v>
      </c>
      <c r="L20" s="4154">
        <v>12</v>
      </c>
      <c r="M20" s="4154">
        <f t="shared" si="6"/>
        <v>67</v>
      </c>
      <c r="N20" s="4503">
        <v>45656</v>
      </c>
      <c r="O20" s="4503">
        <v>45652</v>
      </c>
      <c r="P20" s="4154"/>
      <c r="Q20" s="4154" t="s">
        <v>82</v>
      </c>
      <c r="R20" s="4157"/>
      <c r="S20" s="4157"/>
      <c r="T20" s="4157"/>
      <c r="U20" s="3711" t="s">
        <v>110</v>
      </c>
      <c r="V20" s="3711" t="s">
        <v>97</v>
      </c>
      <c r="W20" s="3711"/>
      <c r="X20" s="3711" t="s">
        <v>98</v>
      </c>
      <c r="Y20" s="3711"/>
      <c r="Z20" s="3711" t="s">
        <v>111</v>
      </c>
      <c r="AA20" s="4154"/>
      <c r="AB20" s="3713" t="s">
        <v>432</v>
      </c>
      <c r="AC20" s="4155" t="s">
        <v>101</v>
      </c>
      <c r="AD20" s="4504">
        <v>2.8218</v>
      </c>
      <c r="AE20" s="4154">
        <f t="shared" si="16"/>
        <v>2268.7272</v>
      </c>
      <c r="AF20" s="4505" t="s">
        <v>112</v>
      </c>
      <c r="AG20" s="3726" t="s">
        <v>416</v>
      </c>
      <c r="AH20" s="4422"/>
      <c r="AI20" s="3708">
        <f t="shared" si="7"/>
        <v>804</v>
      </c>
      <c r="AJ20" s="4422"/>
      <c r="AK20" s="3708"/>
      <c r="AL20" s="3708"/>
      <c r="AM20" s="4154"/>
      <c r="AN20" s="907"/>
      <c r="AO20" s="1048">
        <f t="shared" si="8"/>
        <v>804</v>
      </c>
      <c r="AP20" s="4622"/>
      <c r="AQ20" s="907"/>
      <c r="AR20" s="907"/>
      <c r="AS20" s="1048">
        <f t="shared" si="9"/>
        <v>804</v>
      </c>
      <c r="AT20" s="1048"/>
      <c r="AU20" s="907"/>
      <c r="AV20" s="4922"/>
      <c r="AW20" s="4922"/>
      <c r="AX20" s="1048"/>
      <c r="AY20" s="4922"/>
      <c r="AZ20" s="4922"/>
      <c r="BA20" s="1048"/>
      <c r="BB20" s="4622"/>
      <c r="BC20" s="4922"/>
      <c r="BD20" s="4622"/>
      <c r="BE20" s="4622"/>
      <c r="BF20" s="4622"/>
      <c r="BG20" s="4622"/>
      <c r="BH20" s="1048">
        <f>J20</f>
        <v>804</v>
      </c>
      <c r="BI20" s="4622"/>
      <c r="BJ20" s="1048"/>
      <c r="BK20" s="4415" t="s">
        <v>89</v>
      </c>
      <c r="BL20" s="4415"/>
      <c r="BM20" s="4415">
        <f t="shared" si="10"/>
        <v>120.6</v>
      </c>
      <c r="BN20" s="4415">
        <f t="shared" si="11"/>
        <v>134</v>
      </c>
      <c r="BO20" s="4415">
        <f t="shared" si="12"/>
        <v>134</v>
      </c>
      <c r="BP20" s="4415">
        <f t="shared" si="13"/>
        <v>134</v>
      </c>
      <c r="BQ20" s="4414">
        <f t="shared" si="14"/>
        <v>134</v>
      </c>
      <c r="BR20" s="1048">
        <f t="shared" si="15"/>
        <v>134</v>
      </c>
      <c r="BS20" s="4384">
        <f>J20/60*1</f>
        <v>13.4</v>
      </c>
      <c r="BT20" s="911"/>
      <c r="BU20" s="911"/>
      <c r="BV20" s="911"/>
      <c r="BW20" s="911"/>
      <c r="BX20" s="910"/>
      <c r="BY20" s="910"/>
      <c r="BZ20" s="3708">
        <f t="shared" si="4"/>
        <v>804</v>
      </c>
      <c r="CA20" s="4154">
        <f t="shared" si="5"/>
        <v>0</v>
      </c>
      <c r="CB20" s="4923"/>
      <c r="CC20" s="4923"/>
      <c r="CD20" s="4323"/>
      <c r="CE20" s="4323"/>
      <c r="CF20" s="4323"/>
    </row>
    <row r="21" s="4316" customFormat="1" ht="50" customHeight="1" spans="1:84">
      <c r="A21" s="4500">
        <v>45622</v>
      </c>
      <c r="B21" s="3708" t="s">
        <v>438</v>
      </c>
      <c r="C21" s="3708" t="s">
        <v>439</v>
      </c>
      <c r="D21" s="4154">
        <v>4500152350</v>
      </c>
      <c r="E21" s="3708" t="s">
        <v>440</v>
      </c>
      <c r="F21" s="3708" t="s">
        <v>441</v>
      </c>
      <c r="G21" s="4176" t="s">
        <v>442</v>
      </c>
      <c r="H21" s="3708" t="s">
        <v>443</v>
      </c>
      <c r="I21" s="3708" t="s">
        <v>328</v>
      </c>
      <c r="J21" s="4154">
        <v>5340</v>
      </c>
      <c r="K21" s="4154">
        <v>0</v>
      </c>
      <c r="L21" s="4154">
        <v>12</v>
      </c>
      <c r="M21" s="4154">
        <f t="shared" si="6"/>
        <v>445</v>
      </c>
      <c r="N21" s="4503">
        <v>45656</v>
      </c>
      <c r="O21" s="4503">
        <v>45652</v>
      </c>
      <c r="P21" s="4154"/>
      <c r="Q21" s="4154" t="s">
        <v>82</v>
      </c>
      <c r="R21" s="4157"/>
      <c r="S21" s="4157"/>
      <c r="T21" s="4157"/>
      <c r="U21" s="3726" t="s">
        <v>107</v>
      </c>
      <c r="V21" s="3708" t="s">
        <v>444</v>
      </c>
      <c r="W21" s="4503"/>
      <c r="X21" s="4503" t="s">
        <v>445</v>
      </c>
      <c r="Y21" s="4503"/>
      <c r="Z21" s="4503"/>
      <c r="AA21" s="3708" t="s">
        <v>446</v>
      </c>
      <c r="AB21" s="3713" t="s">
        <v>447</v>
      </c>
      <c r="AC21" s="3711" t="s">
        <v>448</v>
      </c>
      <c r="AD21" s="4154">
        <v>2.1849</v>
      </c>
      <c r="AE21" s="4154">
        <f t="shared" si="16"/>
        <v>11667.366</v>
      </c>
      <c r="AF21" s="4505" t="s">
        <v>449</v>
      </c>
      <c r="AG21" s="3726"/>
      <c r="AH21" s="4422"/>
      <c r="AI21" s="3708">
        <v>5340</v>
      </c>
      <c r="AJ21" s="4422"/>
      <c r="AK21" s="3708"/>
      <c r="AL21" s="3708"/>
      <c r="AM21" s="4154"/>
      <c r="AN21" s="907"/>
      <c r="AO21" s="1048"/>
      <c r="AP21" s="1048">
        <f>J21</f>
        <v>5340</v>
      </c>
      <c r="AQ21" s="907"/>
      <c r="AR21" s="907"/>
      <c r="AS21" s="1048"/>
      <c r="AT21" s="1048">
        <f>J21</f>
        <v>5340</v>
      </c>
      <c r="AU21" s="907"/>
      <c r="AV21" s="4922"/>
      <c r="AW21" s="4922"/>
      <c r="AX21" s="1048">
        <f>J21/6</f>
        <v>890</v>
      </c>
      <c r="AY21" s="4922"/>
      <c r="AZ21" s="4922"/>
      <c r="BA21" s="1048"/>
      <c r="BB21" s="4622"/>
      <c r="BC21" s="4922"/>
      <c r="BD21" s="4622"/>
      <c r="BE21" s="4622"/>
      <c r="BF21" s="4622"/>
      <c r="BG21" s="4622"/>
      <c r="BH21" s="1048"/>
      <c r="BI21" s="4622"/>
      <c r="BJ21" s="1048"/>
      <c r="BK21" s="4415" t="s">
        <v>89</v>
      </c>
      <c r="BL21" s="4415">
        <f>J21/60*1</f>
        <v>89</v>
      </c>
      <c r="BM21" s="4415">
        <f t="shared" si="10"/>
        <v>801</v>
      </c>
      <c r="BN21" s="4415">
        <f t="shared" si="11"/>
        <v>890</v>
      </c>
      <c r="BO21" s="4415">
        <f t="shared" si="12"/>
        <v>890</v>
      </c>
      <c r="BP21" s="4415">
        <f t="shared" si="13"/>
        <v>890</v>
      </c>
      <c r="BQ21" s="4414">
        <f t="shared" si="14"/>
        <v>890</v>
      </c>
      <c r="BR21" s="1048">
        <f t="shared" si="15"/>
        <v>890</v>
      </c>
      <c r="BS21" s="4384"/>
      <c r="BT21" s="911"/>
      <c r="BU21" s="911"/>
      <c r="BV21" s="911"/>
      <c r="BW21" s="911"/>
      <c r="BX21" s="910"/>
      <c r="BY21" s="910"/>
      <c r="BZ21" s="3708">
        <f t="shared" si="4"/>
        <v>5340</v>
      </c>
      <c r="CA21" s="4154">
        <f t="shared" si="5"/>
        <v>0</v>
      </c>
      <c r="CB21" s="4923"/>
      <c r="CC21" s="4923"/>
      <c r="CD21" s="4323"/>
      <c r="CE21" s="4323"/>
      <c r="CF21" s="4323"/>
    </row>
    <row r="22" s="4316" customFormat="1" ht="50" customHeight="1" spans="1:84">
      <c r="A22" s="4500">
        <v>45586</v>
      </c>
      <c r="B22" s="3708" t="s">
        <v>90</v>
      </c>
      <c r="C22" s="3708" t="s">
        <v>91</v>
      </c>
      <c r="D22" s="4154">
        <v>4500147798</v>
      </c>
      <c r="E22" s="3708" t="s">
        <v>435</v>
      </c>
      <c r="F22" s="3708" t="s">
        <v>450</v>
      </c>
      <c r="G22" s="3708" t="s">
        <v>409</v>
      </c>
      <c r="H22" s="3708" t="s">
        <v>409</v>
      </c>
      <c r="I22" s="3708" t="s">
        <v>410</v>
      </c>
      <c r="J22" s="4154">
        <v>804</v>
      </c>
      <c r="K22" s="4154">
        <v>0</v>
      </c>
      <c r="L22" s="4154">
        <v>12</v>
      </c>
      <c r="M22" s="4154">
        <f t="shared" si="6"/>
        <v>67</v>
      </c>
      <c r="N22" s="4503">
        <v>45657</v>
      </c>
      <c r="O22" s="4503">
        <v>45653</v>
      </c>
      <c r="P22" s="4154"/>
      <c r="Q22" s="4154" t="s">
        <v>82</v>
      </c>
      <c r="R22" s="4157"/>
      <c r="S22" s="4157"/>
      <c r="T22" s="4157"/>
      <c r="U22" s="3711" t="s">
        <v>110</v>
      </c>
      <c r="V22" s="3711" t="s">
        <v>97</v>
      </c>
      <c r="W22" s="3711"/>
      <c r="X22" s="3711" t="s">
        <v>98</v>
      </c>
      <c r="Y22" s="3711"/>
      <c r="Z22" s="3711" t="s">
        <v>111</v>
      </c>
      <c r="AA22" s="4154"/>
      <c r="AB22" s="3713" t="s">
        <v>432</v>
      </c>
      <c r="AC22" s="3711" t="s">
        <v>101</v>
      </c>
      <c r="AD22" s="4504">
        <v>2.8218</v>
      </c>
      <c r="AE22" s="4154">
        <f t="shared" si="16"/>
        <v>2268.7272</v>
      </c>
      <c r="AF22" s="4505" t="s">
        <v>122</v>
      </c>
      <c r="AG22" s="3726" t="s">
        <v>416</v>
      </c>
      <c r="AH22" s="4422"/>
      <c r="AI22" s="3708">
        <f>J22</f>
        <v>804</v>
      </c>
      <c r="AJ22" s="4422"/>
      <c r="AK22" s="3708"/>
      <c r="AL22" s="3708"/>
      <c r="AM22" s="4154"/>
      <c r="AN22" s="907"/>
      <c r="AO22" s="1048">
        <f>J22</f>
        <v>804</v>
      </c>
      <c r="AP22" s="4622"/>
      <c r="AQ22" s="907"/>
      <c r="AR22" s="907"/>
      <c r="AS22" s="1048">
        <f t="shared" ref="AS22:AS48" si="17">J22</f>
        <v>804</v>
      </c>
      <c r="AT22" s="1048"/>
      <c r="AU22" s="907"/>
      <c r="AV22" s="4922"/>
      <c r="AW22" s="4922"/>
      <c r="AX22" s="1048"/>
      <c r="AY22" s="4922"/>
      <c r="AZ22" s="4922"/>
      <c r="BA22" s="1048"/>
      <c r="BB22" s="4622"/>
      <c r="BC22" s="4922"/>
      <c r="BD22" s="4622"/>
      <c r="BE22" s="4622"/>
      <c r="BF22" s="4622"/>
      <c r="BG22" s="4622"/>
      <c r="BH22" s="1048">
        <f>J22</f>
        <v>804</v>
      </c>
      <c r="BI22" s="4622"/>
      <c r="BJ22" s="1048"/>
      <c r="BK22" s="4415" t="s">
        <v>89</v>
      </c>
      <c r="BL22" s="4415"/>
      <c r="BM22" s="4415">
        <f t="shared" si="10"/>
        <v>120.6</v>
      </c>
      <c r="BN22" s="4415">
        <f t="shared" si="11"/>
        <v>134</v>
      </c>
      <c r="BO22" s="4415">
        <f t="shared" si="12"/>
        <v>134</v>
      </c>
      <c r="BP22" s="4415">
        <f t="shared" si="13"/>
        <v>134</v>
      </c>
      <c r="BQ22" s="4414">
        <f t="shared" si="14"/>
        <v>134</v>
      </c>
      <c r="BR22" s="1048">
        <f t="shared" si="15"/>
        <v>134</v>
      </c>
      <c r="BS22" s="4384">
        <f>J22/60*1</f>
        <v>13.4</v>
      </c>
      <c r="BT22" s="911"/>
      <c r="BU22" s="911"/>
      <c r="BV22" s="911"/>
      <c r="BW22" s="911"/>
      <c r="BX22" s="910"/>
      <c r="BY22" s="910"/>
      <c r="BZ22" s="3708">
        <f t="shared" si="4"/>
        <v>804</v>
      </c>
      <c r="CA22" s="4154">
        <f t="shared" si="5"/>
        <v>0</v>
      </c>
      <c r="CB22" s="4923"/>
      <c r="CC22" s="4923"/>
      <c r="CD22" s="4323"/>
      <c r="CE22" s="4323"/>
      <c r="CF22" s="4323"/>
    </row>
    <row r="23" s="4316" customFormat="1" ht="50" customHeight="1" spans="1:84">
      <c r="A23" s="4500">
        <v>45586</v>
      </c>
      <c r="B23" s="3708" t="s">
        <v>90</v>
      </c>
      <c r="C23" s="3708" t="s">
        <v>91</v>
      </c>
      <c r="D23" s="4154">
        <v>4500147794</v>
      </c>
      <c r="E23" s="3708" t="s">
        <v>92</v>
      </c>
      <c r="F23" s="3708" t="s">
        <v>451</v>
      </c>
      <c r="G23" s="3708" t="s">
        <v>409</v>
      </c>
      <c r="H23" s="3708" t="s">
        <v>409</v>
      </c>
      <c r="I23" s="3708" t="s">
        <v>410</v>
      </c>
      <c r="J23" s="4154">
        <v>600</v>
      </c>
      <c r="K23" s="4154">
        <v>0</v>
      </c>
      <c r="L23" s="4154">
        <v>12</v>
      </c>
      <c r="M23" s="4154">
        <f t="shared" si="6"/>
        <v>50</v>
      </c>
      <c r="N23" s="4503">
        <v>45657</v>
      </c>
      <c r="O23" s="4503">
        <v>45653</v>
      </c>
      <c r="P23" s="4154"/>
      <c r="Q23" s="4154" t="s">
        <v>82</v>
      </c>
      <c r="R23" s="4157"/>
      <c r="S23" s="4157"/>
      <c r="T23" s="4157"/>
      <c r="U23" s="3726" t="s">
        <v>116</v>
      </c>
      <c r="V23" s="3711" t="s">
        <v>97</v>
      </c>
      <c r="W23" s="3711"/>
      <c r="X23" s="3711" t="s">
        <v>98</v>
      </c>
      <c r="Y23" s="3711"/>
      <c r="Z23" s="3711" t="s">
        <v>111</v>
      </c>
      <c r="AA23" s="4154"/>
      <c r="AB23" s="3713" t="s">
        <v>432</v>
      </c>
      <c r="AC23" s="3711" t="s">
        <v>101</v>
      </c>
      <c r="AD23" s="4504">
        <v>2.8218</v>
      </c>
      <c r="AE23" s="4154">
        <f t="shared" si="16"/>
        <v>1693.08</v>
      </c>
      <c r="AF23" s="4505" t="s">
        <v>125</v>
      </c>
      <c r="AG23" s="3726" t="s">
        <v>416</v>
      </c>
      <c r="AH23" s="4422"/>
      <c r="AI23" s="3708">
        <f>J23</f>
        <v>600</v>
      </c>
      <c r="AJ23" s="4422"/>
      <c r="AK23" s="3708"/>
      <c r="AL23" s="3708"/>
      <c r="AM23" s="4154"/>
      <c r="AN23" s="907"/>
      <c r="AO23" s="1048">
        <f>J23</f>
        <v>600</v>
      </c>
      <c r="AP23" s="4622"/>
      <c r="AQ23" s="907"/>
      <c r="AR23" s="907"/>
      <c r="AS23" s="1048">
        <f t="shared" si="17"/>
        <v>600</v>
      </c>
      <c r="AT23" s="1048"/>
      <c r="AU23" s="907"/>
      <c r="AV23" s="4922"/>
      <c r="AW23" s="4922"/>
      <c r="AX23" s="1048"/>
      <c r="AY23" s="4922"/>
      <c r="AZ23" s="4922"/>
      <c r="BA23" s="1048"/>
      <c r="BB23" s="4622"/>
      <c r="BC23" s="4922"/>
      <c r="BD23" s="4622"/>
      <c r="BE23" s="4622"/>
      <c r="BF23" s="4622"/>
      <c r="BG23" s="4622"/>
      <c r="BH23" s="1048">
        <f>J23</f>
        <v>600</v>
      </c>
      <c r="BI23" s="4622"/>
      <c r="BJ23" s="1048"/>
      <c r="BK23" s="4415" t="s">
        <v>89</v>
      </c>
      <c r="BL23" s="4415"/>
      <c r="BM23" s="4415">
        <f t="shared" si="10"/>
        <v>90</v>
      </c>
      <c r="BN23" s="4415">
        <f t="shared" si="11"/>
        <v>100</v>
      </c>
      <c r="BO23" s="4415">
        <f t="shared" si="12"/>
        <v>100</v>
      </c>
      <c r="BP23" s="4415">
        <f t="shared" si="13"/>
        <v>100</v>
      </c>
      <c r="BQ23" s="4414">
        <f t="shared" si="14"/>
        <v>100</v>
      </c>
      <c r="BR23" s="1048">
        <f t="shared" si="15"/>
        <v>100</v>
      </c>
      <c r="BS23" s="4384">
        <f>J23/60*1</f>
        <v>10</v>
      </c>
      <c r="BT23" s="911"/>
      <c r="BU23" s="911"/>
      <c r="BV23" s="911"/>
      <c r="BW23" s="911"/>
      <c r="BX23" s="910"/>
      <c r="BY23" s="910"/>
      <c r="BZ23" s="3708">
        <f t="shared" si="4"/>
        <v>600</v>
      </c>
      <c r="CA23" s="4154">
        <f t="shared" si="5"/>
        <v>0</v>
      </c>
      <c r="CB23" s="4923"/>
      <c r="CC23" s="4923"/>
      <c r="CD23" s="4323"/>
      <c r="CE23" s="4323"/>
      <c r="CF23" s="4323"/>
    </row>
    <row r="24" s="4316" customFormat="1" ht="50" customHeight="1" spans="1:84">
      <c r="A24" s="4500">
        <v>45573</v>
      </c>
      <c r="B24" s="3708" t="s">
        <v>452</v>
      </c>
      <c r="C24" s="3708" t="s">
        <v>453</v>
      </c>
      <c r="D24" s="4154">
        <v>4500146540</v>
      </c>
      <c r="E24" s="3708"/>
      <c r="F24" s="3708" t="s">
        <v>454</v>
      </c>
      <c r="G24" s="3708" t="s">
        <v>327</v>
      </c>
      <c r="H24" s="3708" t="s">
        <v>327</v>
      </c>
      <c r="I24" s="4154" t="s">
        <v>328</v>
      </c>
      <c r="J24" s="4154">
        <v>4800</v>
      </c>
      <c r="K24" s="4154">
        <v>0</v>
      </c>
      <c r="L24" s="4154">
        <v>12</v>
      </c>
      <c r="M24" s="4154">
        <f t="shared" si="6"/>
        <v>400</v>
      </c>
      <c r="N24" s="4503">
        <v>45659</v>
      </c>
      <c r="O24" s="4503">
        <v>45654</v>
      </c>
      <c r="P24" s="4154"/>
      <c r="Q24" s="4154" t="s">
        <v>82</v>
      </c>
      <c r="R24" s="4157"/>
      <c r="S24" s="4157"/>
      <c r="T24" s="4157"/>
      <c r="U24" s="3726" t="s">
        <v>455</v>
      </c>
      <c r="V24" s="3711" t="s">
        <v>456</v>
      </c>
      <c r="W24" s="3711"/>
      <c r="X24" s="3711" t="s">
        <v>457</v>
      </c>
      <c r="Y24" s="3711"/>
      <c r="Z24" s="3711"/>
      <c r="AA24" s="4154"/>
      <c r="AB24" s="3713" t="s">
        <v>458</v>
      </c>
      <c r="AC24" s="3711" t="s">
        <v>459</v>
      </c>
      <c r="AD24" s="4154">
        <v>2.2008</v>
      </c>
      <c r="AE24" s="4154">
        <f t="shared" si="16"/>
        <v>10563.84</v>
      </c>
      <c r="AF24" s="4505" t="s">
        <v>460</v>
      </c>
      <c r="AG24" s="3726"/>
      <c r="AH24" s="984"/>
      <c r="AI24" s="3708"/>
      <c r="AJ24" s="984"/>
      <c r="AK24" s="3708">
        <f>J24</f>
        <v>4800</v>
      </c>
      <c r="AL24" s="3708"/>
      <c r="AM24" s="4154"/>
      <c r="AN24" s="4397"/>
      <c r="AO24" s="1048">
        <f>J24</f>
        <v>4800</v>
      </c>
      <c r="AP24" s="4622"/>
      <c r="AQ24" s="877"/>
      <c r="AR24" s="877"/>
      <c r="AS24" s="1048">
        <f t="shared" si="17"/>
        <v>4800</v>
      </c>
      <c r="AT24" s="1048"/>
      <c r="AU24" s="877"/>
      <c r="AV24" s="4921"/>
      <c r="AW24" s="4921"/>
      <c r="AX24" s="1048">
        <f>J24/6</f>
        <v>800</v>
      </c>
      <c r="AY24" s="4921"/>
      <c r="AZ24" s="4921"/>
      <c r="BA24" s="1048"/>
      <c r="BB24" s="4622"/>
      <c r="BC24" s="4921"/>
      <c r="BD24" s="4622"/>
      <c r="BE24" s="4622"/>
      <c r="BF24" s="4622"/>
      <c r="BG24" s="4622"/>
      <c r="BH24" s="1048"/>
      <c r="BI24" s="4622"/>
      <c r="BJ24" s="1048"/>
      <c r="BK24" s="4415" t="s">
        <v>89</v>
      </c>
      <c r="BL24" s="4415">
        <f>J24/60*1</f>
        <v>80</v>
      </c>
      <c r="BM24" s="4415">
        <f t="shared" si="10"/>
        <v>720</v>
      </c>
      <c r="BN24" s="4415">
        <f t="shared" si="11"/>
        <v>800</v>
      </c>
      <c r="BO24" s="4415">
        <f t="shared" si="12"/>
        <v>800</v>
      </c>
      <c r="BP24" s="4415">
        <f t="shared" si="13"/>
        <v>800</v>
      </c>
      <c r="BQ24" s="4414">
        <f t="shared" si="14"/>
        <v>800</v>
      </c>
      <c r="BR24" s="1048">
        <f t="shared" si="15"/>
        <v>800</v>
      </c>
      <c r="BS24" s="4384"/>
      <c r="BT24" s="992"/>
      <c r="BU24" s="992"/>
      <c r="BV24" s="992"/>
      <c r="BW24" s="992"/>
      <c r="BX24" s="991"/>
      <c r="BY24" s="991"/>
      <c r="BZ24" s="3708">
        <f t="shared" si="4"/>
        <v>4800</v>
      </c>
      <c r="CA24" s="4154">
        <f t="shared" si="5"/>
        <v>0</v>
      </c>
      <c r="CB24" s="4924"/>
      <c r="CC24" s="4591"/>
      <c r="CD24" s="4323"/>
      <c r="CE24" s="4323"/>
      <c r="CF24" s="4323"/>
    </row>
    <row r="25" s="4316" customFormat="1" ht="50" customHeight="1" spans="1:84">
      <c r="A25" s="4500">
        <v>45625</v>
      </c>
      <c r="B25" s="3708" t="s">
        <v>461</v>
      </c>
      <c r="C25" s="3708" t="s">
        <v>341</v>
      </c>
      <c r="D25" s="4154">
        <v>4500152937</v>
      </c>
      <c r="E25" s="3708" t="s">
        <v>462</v>
      </c>
      <c r="F25" s="3708" t="s">
        <v>463</v>
      </c>
      <c r="G25" s="3708" t="s">
        <v>464</v>
      </c>
      <c r="H25" s="3708" t="s">
        <v>333</v>
      </c>
      <c r="I25" s="3708" t="s">
        <v>328</v>
      </c>
      <c r="J25" s="4593">
        <v>1248</v>
      </c>
      <c r="K25" s="4154">
        <v>0</v>
      </c>
      <c r="L25" s="4154">
        <v>24</v>
      </c>
      <c r="M25" s="4154">
        <f t="shared" si="6"/>
        <v>52</v>
      </c>
      <c r="N25" s="4503">
        <v>45660</v>
      </c>
      <c r="O25" s="4503">
        <v>45656</v>
      </c>
      <c r="P25" s="4154"/>
      <c r="Q25" s="4154" t="s">
        <v>82</v>
      </c>
      <c r="R25" s="4157"/>
      <c r="S25" s="4157"/>
      <c r="T25" s="4157"/>
      <c r="U25" s="3726" t="s">
        <v>455</v>
      </c>
      <c r="V25" s="3711" t="s">
        <v>465</v>
      </c>
      <c r="W25" s="3711"/>
      <c r="X25" s="3711" t="s">
        <v>98</v>
      </c>
      <c r="Y25" s="3711"/>
      <c r="Z25" s="3711" t="s">
        <v>385</v>
      </c>
      <c r="AA25" s="4154"/>
      <c r="AB25" s="3713" t="s">
        <v>466</v>
      </c>
      <c r="AC25" s="3711" t="s">
        <v>348</v>
      </c>
      <c r="AD25" s="4154">
        <v>2.1295</v>
      </c>
      <c r="AE25" s="4154">
        <f t="shared" si="16"/>
        <v>2657.616</v>
      </c>
      <c r="AF25" s="4505" t="s">
        <v>467</v>
      </c>
      <c r="AG25" s="3726"/>
      <c r="AH25" s="4422"/>
      <c r="AI25" s="3708"/>
      <c r="AJ25" s="4422"/>
      <c r="AK25" s="3708">
        <f>J25</f>
        <v>1248</v>
      </c>
      <c r="AL25" s="3708"/>
      <c r="AM25" s="4154"/>
      <c r="AN25" s="907"/>
      <c r="AO25" s="1048">
        <v>1992</v>
      </c>
      <c r="AP25" s="4622"/>
      <c r="AQ25" s="907"/>
      <c r="AR25" s="907"/>
      <c r="AS25" s="1048">
        <f t="shared" si="17"/>
        <v>1248</v>
      </c>
      <c r="AT25" s="1048"/>
      <c r="AU25" s="907"/>
      <c r="AV25" s="4922"/>
      <c r="AW25" s="4922"/>
      <c r="AX25" s="1048"/>
      <c r="AY25" s="4922"/>
      <c r="AZ25" s="4922"/>
      <c r="BA25" s="1048"/>
      <c r="BB25" s="4622"/>
      <c r="BC25" s="4922"/>
      <c r="BD25" s="4622"/>
      <c r="BE25" s="4622"/>
      <c r="BF25" s="4622"/>
      <c r="BG25" s="4622"/>
      <c r="BH25" s="4622"/>
      <c r="BI25" s="4622"/>
      <c r="BJ25" s="1048"/>
      <c r="BK25" s="4415" t="s">
        <v>89</v>
      </c>
      <c r="BL25" s="4415">
        <f>J25/60*1</f>
        <v>20.8</v>
      </c>
      <c r="BM25" s="4415">
        <f t="shared" si="10"/>
        <v>187.2</v>
      </c>
      <c r="BN25" s="4415">
        <f t="shared" si="11"/>
        <v>208</v>
      </c>
      <c r="BO25" s="4415">
        <f t="shared" si="12"/>
        <v>208</v>
      </c>
      <c r="BP25" s="4415">
        <f t="shared" si="13"/>
        <v>208</v>
      </c>
      <c r="BQ25" s="4414">
        <f t="shared" si="14"/>
        <v>208</v>
      </c>
      <c r="BR25" s="1048">
        <f t="shared" si="15"/>
        <v>208</v>
      </c>
      <c r="BS25" s="4384"/>
      <c r="BT25" s="911"/>
      <c r="BU25" s="911"/>
      <c r="BV25" s="911"/>
      <c r="BW25" s="911"/>
      <c r="BX25" s="910"/>
      <c r="BY25" s="910"/>
      <c r="BZ25" s="3708">
        <f t="shared" si="4"/>
        <v>1248</v>
      </c>
      <c r="CA25" s="4154">
        <f t="shared" si="5"/>
        <v>0</v>
      </c>
      <c r="CB25" s="4923"/>
      <c r="CC25" s="4923"/>
      <c r="CD25" s="4323"/>
      <c r="CE25" s="4323"/>
      <c r="CF25" s="4323"/>
    </row>
    <row r="26" s="4316" customFormat="1" ht="50" customHeight="1" spans="1:84">
      <c r="A26" s="4500">
        <v>45625</v>
      </c>
      <c r="B26" s="3708" t="s">
        <v>461</v>
      </c>
      <c r="C26" s="3708" t="s">
        <v>341</v>
      </c>
      <c r="D26" s="4154">
        <v>4500152937</v>
      </c>
      <c r="E26" s="3708" t="s">
        <v>468</v>
      </c>
      <c r="F26" s="3708" t="s">
        <v>469</v>
      </c>
      <c r="G26" s="3708" t="s">
        <v>464</v>
      </c>
      <c r="H26" s="3708" t="s">
        <v>333</v>
      </c>
      <c r="I26" s="3708" t="s">
        <v>328</v>
      </c>
      <c r="J26" s="4593">
        <v>1272</v>
      </c>
      <c r="K26" s="4154">
        <v>0</v>
      </c>
      <c r="L26" s="4154">
        <v>24</v>
      </c>
      <c r="M26" s="4154">
        <f t="shared" si="6"/>
        <v>53</v>
      </c>
      <c r="N26" s="4503">
        <v>45660</v>
      </c>
      <c r="O26" s="4503">
        <v>45656</v>
      </c>
      <c r="P26" s="4154"/>
      <c r="Q26" s="4154" t="s">
        <v>82</v>
      </c>
      <c r="R26" s="4157"/>
      <c r="S26" s="4157"/>
      <c r="T26" s="4157"/>
      <c r="U26" s="3726" t="s">
        <v>455</v>
      </c>
      <c r="V26" s="3711" t="s">
        <v>465</v>
      </c>
      <c r="W26" s="3711"/>
      <c r="X26" s="3711" t="s">
        <v>98</v>
      </c>
      <c r="Y26" s="3711"/>
      <c r="Z26" s="3711" t="s">
        <v>385</v>
      </c>
      <c r="AA26" s="4154"/>
      <c r="AB26" s="3713" t="s">
        <v>466</v>
      </c>
      <c r="AC26" s="3711" t="s">
        <v>348</v>
      </c>
      <c r="AD26" s="4154">
        <v>2.1295</v>
      </c>
      <c r="AE26" s="4154">
        <f t="shared" si="16"/>
        <v>2708.724</v>
      </c>
      <c r="AF26" s="4505" t="s">
        <v>467</v>
      </c>
      <c r="AG26" s="3726"/>
      <c r="AH26" s="4422"/>
      <c r="AI26" s="3708"/>
      <c r="AJ26" s="4422"/>
      <c r="AK26" s="3708">
        <f>J26</f>
        <v>1272</v>
      </c>
      <c r="AL26" s="3708"/>
      <c r="AM26" s="4154"/>
      <c r="AN26" s="907"/>
      <c r="AO26" s="1048">
        <v>1992</v>
      </c>
      <c r="AP26" s="4622"/>
      <c r="AQ26" s="907"/>
      <c r="AR26" s="907"/>
      <c r="AS26" s="1048">
        <f t="shared" si="17"/>
        <v>1272</v>
      </c>
      <c r="AT26" s="1048"/>
      <c r="AU26" s="907"/>
      <c r="AV26" s="4922"/>
      <c r="AW26" s="4922"/>
      <c r="AX26" s="1048"/>
      <c r="AY26" s="4922"/>
      <c r="AZ26" s="4922"/>
      <c r="BA26" s="1048"/>
      <c r="BB26" s="4622"/>
      <c r="BC26" s="4922"/>
      <c r="BD26" s="4622"/>
      <c r="BE26" s="4622"/>
      <c r="BF26" s="4622"/>
      <c r="BG26" s="4622"/>
      <c r="BH26" s="4622"/>
      <c r="BI26" s="4622"/>
      <c r="BJ26" s="1048"/>
      <c r="BK26" s="4415" t="s">
        <v>89</v>
      </c>
      <c r="BL26" s="4415">
        <f>J26/60*1</f>
        <v>21.2</v>
      </c>
      <c r="BM26" s="4415">
        <f t="shared" si="10"/>
        <v>190.8</v>
      </c>
      <c r="BN26" s="4415">
        <f t="shared" si="11"/>
        <v>212</v>
      </c>
      <c r="BO26" s="4415">
        <f t="shared" si="12"/>
        <v>212</v>
      </c>
      <c r="BP26" s="4415">
        <f t="shared" si="13"/>
        <v>212</v>
      </c>
      <c r="BQ26" s="4414">
        <f t="shared" si="14"/>
        <v>212</v>
      </c>
      <c r="BR26" s="1048">
        <f t="shared" si="15"/>
        <v>212</v>
      </c>
      <c r="BS26" s="4384"/>
      <c r="BT26" s="911"/>
      <c r="BU26" s="911"/>
      <c r="BV26" s="911"/>
      <c r="BW26" s="911"/>
      <c r="BX26" s="910"/>
      <c r="BY26" s="910"/>
      <c r="BZ26" s="3708">
        <f t="shared" si="4"/>
        <v>1272</v>
      </c>
      <c r="CA26" s="4154">
        <f t="shared" si="5"/>
        <v>0</v>
      </c>
      <c r="CB26" s="4923"/>
      <c r="CC26" s="4923"/>
      <c r="CD26" s="4323"/>
      <c r="CE26" s="4323"/>
      <c r="CF26" s="4323"/>
    </row>
    <row r="27" s="4316" customFormat="1" ht="50" customHeight="1" spans="1:84">
      <c r="A27" s="4500">
        <v>45625</v>
      </c>
      <c r="B27" s="3708" t="s">
        <v>470</v>
      </c>
      <c r="C27" s="3708" t="s">
        <v>471</v>
      </c>
      <c r="D27" s="4154">
        <v>4500152906</v>
      </c>
      <c r="E27" s="3708" t="s">
        <v>472</v>
      </c>
      <c r="F27" s="3708" t="s">
        <v>473</v>
      </c>
      <c r="G27" s="3708" t="s">
        <v>464</v>
      </c>
      <c r="H27" s="3708" t="s">
        <v>333</v>
      </c>
      <c r="I27" s="3708" t="s">
        <v>328</v>
      </c>
      <c r="J27" s="4593">
        <v>840</v>
      </c>
      <c r="K27" s="4154">
        <v>0</v>
      </c>
      <c r="L27" s="4154">
        <v>24</v>
      </c>
      <c r="M27" s="4154">
        <f t="shared" si="6"/>
        <v>35</v>
      </c>
      <c r="N27" s="4503">
        <v>45660</v>
      </c>
      <c r="O27" s="4503">
        <v>45656</v>
      </c>
      <c r="P27" s="4154"/>
      <c r="Q27" s="4154" t="s">
        <v>82</v>
      </c>
      <c r="R27" s="4157"/>
      <c r="S27" s="4157"/>
      <c r="T27" s="4157"/>
      <c r="U27" s="3726" t="s">
        <v>116</v>
      </c>
      <c r="V27" s="3711" t="s">
        <v>465</v>
      </c>
      <c r="W27" s="3711"/>
      <c r="X27" s="3711" t="s">
        <v>98</v>
      </c>
      <c r="Y27" s="3711"/>
      <c r="Z27" s="3711" t="s">
        <v>385</v>
      </c>
      <c r="AA27" s="4154"/>
      <c r="AB27" s="3713" t="s">
        <v>474</v>
      </c>
      <c r="AC27" s="3711" t="s">
        <v>348</v>
      </c>
      <c r="AD27" s="4154">
        <v>2.1295</v>
      </c>
      <c r="AE27" s="4154">
        <f t="shared" si="16"/>
        <v>1788.78</v>
      </c>
      <c r="AF27" s="4505" t="s">
        <v>475</v>
      </c>
      <c r="AG27" s="3726"/>
      <c r="AH27" s="4422"/>
      <c r="AI27" s="3708"/>
      <c r="AJ27" s="4422"/>
      <c r="AK27" s="3708">
        <f>J27</f>
        <v>840</v>
      </c>
      <c r="AL27" s="3708"/>
      <c r="AM27" s="4154"/>
      <c r="AN27" s="907"/>
      <c r="AO27" s="1048">
        <v>1992</v>
      </c>
      <c r="AP27" s="4622"/>
      <c r="AQ27" s="907"/>
      <c r="AR27" s="907"/>
      <c r="AS27" s="1048">
        <f t="shared" si="17"/>
        <v>840</v>
      </c>
      <c r="AT27" s="1048"/>
      <c r="AU27" s="907"/>
      <c r="AV27" s="4922"/>
      <c r="AW27" s="4922"/>
      <c r="AX27" s="1048"/>
      <c r="AY27" s="4922"/>
      <c r="AZ27" s="4922"/>
      <c r="BA27" s="1048"/>
      <c r="BB27" s="4622"/>
      <c r="BC27" s="4922"/>
      <c r="BD27" s="4622"/>
      <c r="BE27" s="4622"/>
      <c r="BF27" s="4622"/>
      <c r="BG27" s="4622"/>
      <c r="BH27" s="4622"/>
      <c r="BI27" s="4622"/>
      <c r="BJ27" s="1048"/>
      <c r="BK27" s="4415" t="s">
        <v>89</v>
      </c>
      <c r="BL27" s="4415">
        <f>J27/60*1</f>
        <v>14</v>
      </c>
      <c r="BM27" s="4415">
        <f t="shared" si="10"/>
        <v>126</v>
      </c>
      <c r="BN27" s="4415">
        <f t="shared" si="11"/>
        <v>140</v>
      </c>
      <c r="BO27" s="4415">
        <f t="shared" si="12"/>
        <v>140</v>
      </c>
      <c r="BP27" s="4415">
        <f t="shared" si="13"/>
        <v>140</v>
      </c>
      <c r="BQ27" s="4414">
        <f t="shared" si="14"/>
        <v>140</v>
      </c>
      <c r="BR27" s="1048">
        <f t="shared" si="15"/>
        <v>140</v>
      </c>
      <c r="BS27" s="4384"/>
      <c r="BT27" s="911"/>
      <c r="BU27" s="911"/>
      <c r="BV27" s="911"/>
      <c r="BW27" s="911"/>
      <c r="BX27" s="910"/>
      <c r="BY27" s="910"/>
      <c r="BZ27" s="3708">
        <f t="shared" si="4"/>
        <v>840</v>
      </c>
      <c r="CA27" s="4154">
        <f t="shared" si="5"/>
        <v>0</v>
      </c>
      <c r="CB27" s="4923"/>
      <c r="CC27" s="4923"/>
      <c r="CD27" s="4323"/>
      <c r="CE27" s="4323"/>
      <c r="CF27" s="4323"/>
    </row>
    <row r="28" s="4316" customFormat="1" ht="50" customHeight="1" spans="1:84">
      <c r="A28" s="4500">
        <v>45625</v>
      </c>
      <c r="B28" s="3708" t="s">
        <v>470</v>
      </c>
      <c r="C28" s="3708" t="s">
        <v>471</v>
      </c>
      <c r="D28" s="4154">
        <v>4500152906</v>
      </c>
      <c r="E28" s="3708" t="s">
        <v>476</v>
      </c>
      <c r="F28" s="3708" t="s">
        <v>477</v>
      </c>
      <c r="G28" s="3708" t="s">
        <v>464</v>
      </c>
      <c r="H28" s="3708" t="s">
        <v>333</v>
      </c>
      <c r="I28" s="3708" t="s">
        <v>328</v>
      </c>
      <c r="J28" s="4593">
        <v>864</v>
      </c>
      <c r="K28" s="4154">
        <v>0</v>
      </c>
      <c r="L28" s="4154">
        <v>24</v>
      </c>
      <c r="M28" s="4154">
        <f t="shared" si="6"/>
        <v>36</v>
      </c>
      <c r="N28" s="4503">
        <v>45660</v>
      </c>
      <c r="O28" s="4503">
        <v>45656</v>
      </c>
      <c r="P28" s="4154"/>
      <c r="Q28" s="4154" t="s">
        <v>82</v>
      </c>
      <c r="R28" s="4157"/>
      <c r="S28" s="4157"/>
      <c r="T28" s="4157"/>
      <c r="U28" s="3726" t="s">
        <v>116</v>
      </c>
      <c r="V28" s="3711" t="s">
        <v>465</v>
      </c>
      <c r="W28" s="3711"/>
      <c r="X28" s="3711" t="s">
        <v>98</v>
      </c>
      <c r="Y28" s="3711"/>
      <c r="Z28" s="3711" t="s">
        <v>385</v>
      </c>
      <c r="AA28" s="4154"/>
      <c r="AB28" s="3713" t="s">
        <v>474</v>
      </c>
      <c r="AC28" s="3711" t="s">
        <v>348</v>
      </c>
      <c r="AD28" s="4154">
        <v>2.1295</v>
      </c>
      <c r="AE28" s="4154">
        <f t="shared" si="16"/>
        <v>1839.888</v>
      </c>
      <c r="AF28" s="4505" t="s">
        <v>475</v>
      </c>
      <c r="AG28" s="3726"/>
      <c r="AH28" s="4422"/>
      <c r="AI28" s="3708"/>
      <c r="AJ28" s="4422"/>
      <c r="AK28" s="3708">
        <f>J28</f>
        <v>864</v>
      </c>
      <c r="AL28" s="3708"/>
      <c r="AM28" s="4154"/>
      <c r="AN28" s="907"/>
      <c r="AO28" s="1048">
        <v>1992</v>
      </c>
      <c r="AP28" s="4622"/>
      <c r="AQ28" s="907"/>
      <c r="AR28" s="907"/>
      <c r="AS28" s="1048">
        <f t="shared" si="17"/>
        <v>864</v>
      </c>
      <c r="AT28" s="1048"/>
      <c r="AU28" s="907"/>
      <c r="AV28" s="4922"/>
      <c r="AW28" s="4922"/>
      <c r="AX28" s="1048"/>
      <c r="AY28" s="4922"/>
      <c r="AZ28" s="4922"/>
      <c r="BA28" s="1048"/>
      <c r="BB28" s="4622"/>
      <c r="BC28" s="4922"/>
      <c r="BD28" s="4622"/>
      <c r="BE28" s="4622"/>
      <c r="BF28" s="4622"/>
      <c r="BG28" s="4622"/>
      <c r="BH28" s="4622"/>
      <c r="BI28" s="4622"/>
      <c r="BJ28" s="1048"/>
      <c r="BK28" s="4415" t="s">
        <v>89</v>
      </c>
      <c r="BL28" s="4415">
        <f>J28/60*1</f>
        <v>14.4</v>
      </c>
      <c r="BM28" s="4415">
        <f t="shared" si="10"/>
        <v>129.6</v>
      </c>
      <c r="BN28" s="4415">
        <f t="shared" si="11"/>
        <v>144</v>
      </c>
      <c r="BO28" s="4415">
        <f t="shared" si="12"/>
        <v>144</v>
      </c>
      <c r="BP28" s="4415">
        <f t="shared" si="13"/>
        <v>144</v>
      </c>
      <c r="BQ28" s="4414">
        <f t="shared" si="14"/>
        <v>144</v>
      </c>
      <c r="BR28" s="1048">
        <f t="shared" si="15"/>
        <v>144</v>
      </c>
      <c r="BS28" s="4384"/>
      <c r="BT28" s="911"/>
      <c r="BU28" s="911"/>
      <c r="BV28" s="911"/>
      <c r="BW28" s="911"/>
      <c r="BX28" s="910"/>
      <c r="BY28" s="910"/>
      <c r="BZ28" s="3708">
        <f t="shared" si="4"/>
        <v>864</v>
      </c>
      <c r="CA28" s="4154">
        <f t="shared" si="5"/>
        <v>0</v>
      </c>
      <c r="CB28" s="4923"/>
      <c r="CC28" s="4923"/>
      <c r="CD28" s="4323"/>
      <c r="CE28" s="4323"/>
      <c r="CF28" s="4323"/>
    </row>
    <row r="29" s="4316" customFormat="1" ht="50" customHeight="1" spans="1:84">
      <c r="A29" s="4500">
        <v>45623</v>
      </c>
      <c r="B29" s="3708" t="s">
        <v>90</v>
      </c>
      <c r="C29" s="3708" t="s">
        <v>91</v>
      </c>
      <c r="D29" s="4154">
        <v>4500152574</v>
      </c>
      <c r="E29" s="3708" t="s">
        <v>382</v>
      </c>
      <c r="F29" s="3708" t="s">
        <v>478</v>
      </c>
      <c r="G29" s="3708" t="s">
        <v>333</v>
      </c>
      <c r="H29" s="3708" t="s">
        <v>333</v>
      </c>
      <c r="I29" s="3708" t="s">
        <v>328</v>
      </c>
      <c r="J29" s="4593">
        <v>1800</v>
      </c>
      <c r="K29" s="4154">
        <v>0</v>
      </c>
      <c r="L29" s="4154">
        <v>24</v>
      </c>
      <c r="M29" s="4154">
        <v>75</v>
      </c>
      <c r="N29" s="4503">
        <v>45657</v>
      </c>
      <c r="O29" s="4503">
        <v>45653</v>
      </c>
      <c r="P29" s="4154"/>
      <c r="Q29" s="4154" t="s">
        <v>82</v>
      </c>
      <c r="R29" s="4157"/>
      <c r="S29" s="4157"/>
      <c r="T29" s="4157"/>
      <c r="U29" s="3726" t="s">
        <v>116</v>
      </c>
      <c r="V29" s="3711" t="s">
        <v>384</v>
      </c>
      <c r="W29" s="3711"/>
      <c r="X29" s="3711" t="s">
        <v>98</v>
      </c>
      <c r="Y29" s="3711"/>
      <c r="Z29" s="3711" t="s">
        <v>111</v>
      </c>
      <c r="AA29" s="4154"/>
      <c r="AB29" s="3713" t="s">
        <v>100</v>
      </c>
      <c r="AC29" s="3711" t="s">
        <v>101</v>
      </c>
      <c r="AD29" s="4504">
        <v>2.1295</v>
      </c>
      <c r="AE29" s="4154">
        <v>3833.1</v>
      </c>
      <c r="AF29" s="4505" t="s">
        <v>479</v>
      </c>
      <c r="AG29" s="3726"/>
      <c r="AH29" s="4422"/>
      <c r="AI29" s="3708">
        <v>1800</v>
      </c>
      <c r="AJ29" s="4422"/>
      <c r="AK29" s="3708"/>
      <c r="AL29" s="3708"/>
      <c r="AM29" s="4154"/>
      <c r="AN29" s="907"/>
      <c r="AO29" s="1048">
        <v>1800</v>
      </c>
      <c r="AP29" s="4622"/>
      <c r="AQ29" s="907"/>
      <c r="AR29" s="907"/>
      <c r="AS29" s="1048">
        <f t="shared" si="17"/>
        <v>1800</v>
      </c>
      <c r="AT29" s="1048"/>
      <c r="AU29" s="907"/>
      <c r="AV29" s="4922"/>
      <c r="AW29" s="4922"/>
      <c r="AX29" s="1048"/>
      <c r="AY29" s="4922"/>
      <c r="AZ29" s="4922"/>
      <c r="BA29" s="1048"/>
      <c r="BB29" s="4622"/>
      <c r="BC29" s="4922"/>
      <c r="BD29" s="4622"/>
      <c r="BE29" s="4622"/>
      <c r="BF29" s="4622"/>
      <c r="BG29" s="4622"/>
      <c r="BH29" s="4622"/>
      <c r="BI29" s="4622"/>
      <c r="BJ29" s="1048"/>
      <c r="BK29" s="4415" t="s">
        <v>89</v>
      </c>
      <c r="BL29" s="4415"/>
      <c r="BM29" s="4415">
        <f t="shared" si="10"/>
        <v>270</v>
      </c>
      <c r="BN29" s="4415">
        <f t="shared" si="11"/>
        <v>300</v>
      </c>
      <c r="BO29" s="4415">
        <f t="shared" si="12"/>
        <v>300</v>
      </c>
      <c r="BP29" s="4415">
        <f t="shared" si="13"/>
        <v>300</v>
      </c>
      <c r="BQ29" s="4414">
        <f t="shared" si="14"/>
        <v>300</v>
      </c>
      <c r="BR29" s="1048">
        <f t="shared" si="15"/>
        <v>300</v>
      </c>
      <c r="BS29" s="4384">
        <f>J29/60*1</f>
        <v>30</v>
      </c>
      <c r="BT29" s="911"/>
      <c r="BU29" s="911"/>
      <c r="BV29" s="911"/>
      <c r="BW29" s="911"/>
      <c r="BX29" s="910"/>
      <c r="BY29" s="910"/>
      <c r="BZ29" s="3708">
        <f t="shared" si="4"/>
        <v>1800</v>
      </c>
      <c r="CA29" s="4154">
        <f t="shared" si="5"/>
        <v>0</v>
      </c>
      <c r="CB29" s="4923"/>
      <c r="CC29" s="4923"/>
      <c r="CD29" s="4323"/>
      <c r="CE29" s="4323"/>
      <c r="CF29" s="4323"/>
    </row>
    <row r="30" s="4316" customFormat="1" ht="50" customHeight="1" spans="1:84">
      <c r="A30" s="4500">
        <v>45623</v>
      </c>
      <c r="B30" s="3708" t="s">
        <v>90</v>
      </c>
      <c r="C30" s="3708" t="s">
        <v>91</v>
      </c>
      <c r="D30" s="4154">
        <v>4500152572</v>
      </c>
      <c r="E30" s="3708" t="s">
        <v>382</v>
      </c>
      <c r="F30" s="3708" t="s">
        <v>480</v>
      </c>
      <c r="G30" s="3708" t="s">
        <v>333</v>
      </c>
      <c r="H30" s="3708" t="s">
        <v>333</v>
      </c>
      <c r="I30" s="3708" t="s">
        <v>328</v>
      </c>
      <c r="J30" s="4593">
        <v>1800</v>
      </c>
      <c r="K30" s="4154">
        <v>0</v>
      </c>
      <c r="L30" s="4154">
        <v>24</v>
      </c>
      <c r="M30" s="4154">
        <v>75</v>
      </c>
      <c r="N30" s="4503">
        <v>45657</v>
      </c>
      <c r="O30" s="4503">
        <v>45653</v>
      </c>
      <c r="P30" s="4154"/>
      <c r="Q30" s="4154" t="s">
        <v>82</v>
      </c>
      <c r="R30" s="4157"/>
      <c r="S30" s="4157"/>
      <c r="T30" s="4157"/>
      <c r="U30" s="3726" t="s">
        <v>116</v>
      </c>
      <c r="V30" s="3711" t="s">
        <v>384</v>
      </c>
      <c r="W30" s="3711"/>
      <c r="X30" s="3711" t="s">
        <v>98</v>
      </c>
      <c r="Y30" s="3711"/>
      <c r="Z30" s="3711" t="s">
        <v>111</v>
      </c>
      <c r="AA30" s="4154"/>
      <c r="AB30" s="3713" t="s">
        <v>100</v>
      </c>
      <c r="AC30" s="3711" t="s">
        <v>101</v>
      </c>
      <c r="AD30" s="4504">
        <v>2.1295</v>
      </c>
      <c r="AE30" s="4154">
        <v>3833.1</v>
      </c>
      <c r="AF30" s="4505" t="s">
        <v>481</v>
      </c>
      <c r="AG30" s="3726"/>
      <c r="AH30" s="4422"/>
      <c r="AI30" s="3708">
        <v>1800</v>
      </c>
      <c r="AJ30" s="4422"/>
      <c r="AK30" s="3708"/>
      <c r="AL30" s="3708"/>
      <c r="AM30" s="4154"/>
      <c r="AN30" s="907"/>
      <c r="AO30" s="1048">
        <v>1800</v>
      </c>
      <c r="AP30" s="4622"/>
      <c r="AQ30" s="907"/>
      <c r="AR30" s="907"/>
      <c r="AS30" s="1048">
        <f t="shared" si="17"/>
        <v>1800</v>
      </c>
      <c r="AT30" s="1048"/>
      <c r="AU30" s="907"/>
      <c r="AV30" s="4922"/>
      <c r="AW30" s="4922"/>
      <c r="AX30" s="1048"/>
      <c r="AY30" s="4922"/>
      <c r="AZ30" s="4922"/>
      <c r="BA30" s="1048"/>
      <c r="BB30" s="4622"/>
      <c r="BC30" s="4922"/>
      <c r="BD30" s="4622"/>
      <c r="BE30" s="4622"/>
      <c r="BF30" s="4622"/>
      <c r="BG30" s="4622"/>
      <c r="BH30" s="4622"/>
      <c r="BI30" s="4622"/>
      <c r="BJ30" s="1048"/>
      <c r="BK30" s="4415" t="s">
        <v>89</v>
      </c>
      <c r="BL30" s="4415"/>
      <c r="BM30" s="4415">
        <f t="shared" si="10"/>
        <v>270</v>
      </c>
      <c r="BN30" s="4415">
        <f t="shared" si="11"/>
        <v>300</v>
      </c>
      <c r="BO30" s="4415">
        <f t="shared" si="12"/>
        <v>300</v>
      </c>
      <c r="BP30" s="4415">
        <f t="shared" si="13"/>
        <v>300</v>
      </c>
      <c r="BQ30" s="4414">
        <f t="shared" si="14"/>
        <v>300</v>
      </c>
      <c r="BR30" s="1048">
        <f t="shared" si="15"/>
        <v>300</v>
      </c>
      <c r="BS30" s="4384">
        <f>J30/60*1</f>
        <v>30</v>
      </c>
      <c r="BT30" s="911"/>
      <c r="BU30" s="911"/>
      <c r="BV30" s="911"/>
      <c r="BW30" s="911"/>
      <c r="BX30" s="910"/>
      <c r="BY30" s="910"/>
      <c r="BZ30" s="3708">
        <f t="shared" si="4"/>
        <v>1800</v>
      </c>
      <c r="CA30" s="4154">
        <f t="shared" si="5"/>
        <v>0</v>
      </c>
      <c r="CB30" s="4923"/>
      <c r="CC30" s="4923"/>
      <c r="CD30" s="4323"/>
      <c r="CE30" s="4323"/>
      <c r="CF30" s="4323"/>
    </row>
    <row r="31" s="4316" customFormat="1" ht="50" customHeight="1" spans="1:84">
      <c r="A31" s="4500">
        <v>45623</v>
      </c>
      <c r="B31" s="3708" t="s">
        <v>90</v>
      </c>
      <c r="C31" s="3708" t="s">
        <v>91</v>
      </c>
      <c r="D31" s="4154">
        <v>4500152573</v>
      </c>
      <c r="E31" s="3708" t="s">
        <v>482</v>
      </c>
      <c r="F31" s="3708" t="s">
        <v>483</v>
      </c>
      <c r="G31" s="3708" t="s">
        <v>333</v>
      </c>
      <c r="H31" s="3708" t="s">
        <v>333</v>
      </c>
      <c r="I31" s="3708" t="s">
        <v>328</v>
      </c>
      <c r="J31" s="4593">
        <v>1992</v>
      </c>
      <c r="K31" s="4154">
        <v>0</v>
      </c>
      <c r="L31" s="4154">
        <v>24</v>
      </c>
      <c r="M31" s="4154">
        <v>83</v>
      </c>
      <c r="N31" s="4503">
        <v>45657</v>
      </c>
      <c r="O31" s="4503">
        <v>45653</v>
      </c>
      <c r="P31" s="4154"/>
      <c r="Q31" s="4154" t="s">
        <v>82</v>
      </c>
      <c r="R31" s="4157"/>
      <c r="S31" s="4157"/>
      <c r="T31" s="4157"/>
      <c r="U31" s="3726"/>
      <c r="V31" s="3711" t="s">
        <v>384</v>
      </c>
      <c r="W31" s="3711"/>
      <c r="X31" s="3711" t="s">
        <v>98</v>
      </c>
      <c r="Y31" s="3711"/>
      <c r="Z31" s="3711" t="s">
        <v>111</v>
      </c>
      <c r="AA31" s="4154"/>
      <c r="AB31" s="3713" t="s">
        <v>100</v>
      </c>
      <c r="AC31" s="3711" t="s">
        <v>101</v>
      </c>
      <c r="AD31" s="4504">
        <v>2.1295</v>
      </c>
      <c r="AE31" s="4154">
        <v>4241.964</v>
      </c>
      <c r="AF31" s="4505" t="s">
        <v>484</v>
      </c>
      <c r="AG31" s="3726"/>
      <c r="AH31" s="4422"/>
      <c r="AI31" s="3708">
        <v>1992</v>
      </c>
      <c r="AJ31" s="4422"/>
      <c r="AK31" s="3708"/>
      <c r="AL31" s="3708"/>
      <c r="AM31" s="4154"/>
      <c r="AN31" s="907"/>
      <c r="AO31" s="1048">
        <v>1992</v>
      </c>
      <c r="AP31" s="4622"/>
      <c r="AQ31" s="907"/>
      <c r="AR31" s="907"/>
      <c r="AS31" s="1048">
        <f t="shared" si="17"/>
        <v>1992</v>
      </c>
      <c r="AT31" s="1048"/>
      <c r="AU31" s="907"/>
      <c r="AV31" s="4922"/>
      <c r="AW31" s="4922"/>
      <c r="AX31" s="1048"/>
      <c r="AY31" s="4922"/>
      <c r="AZ31" s="4922"/>
      <c r="BA31" s="1048"/>
      <c r="BB31" s="4622"/>
      <c r="BC31" s="4922"/>
      <c r="BD31" s="4622"/>
      <c r="BE31" s="4622"/>
      <c r="BF31" s="4622"/>
      <c r="BG31" s="4622"/>
      <c r="BH31" s="4622"/>
      <c r="BI31" s="4622"/>
      <c r="BJ31" s="1048"/>
      <c r="BK31" s="4415" t="s">
        <v>89</v>
      </c>
      <c r="BL31" s="4415"/>
      <c r="BM31" s="4415">
        <f t="shared" si="10"/>
        <v>298.8</v>
      </c>
      <c r="BN31" s="4415">
        <f t="shared" si="11"/>
        <v>332</v>
      </c>
      <c r="BO31" s="4415">
        <f t="shared" si="12"/>
        <v>332</v>
      </c>
      <c r="BP31" s="4415">
        <f t="shared" si="13"/>
        <v>332</v>
      </c>
      <c r="BQ31" s="4414">
        <f t="shared" si="14"/>
        <v>332</v>
      </c>
      <c r="BR31" s="1048">
        <f t="shared" si="15"/>
        <v>332</v>
      </c>
      <c r="BS31" s="4384">
        <f>J31/60*1</f>
        <v>33.2</v>
      </c>
      <c r="BT31" s="911"/>
      <c r="BU31" s="911"/>
      <c r="BV31" s="911"/>
      <c r="BW31" s="911"/>
      <c r="BX31" s="910"/>
      <c r="BY31" s="910"/>
      <c r="BZ31" s="3708">
        <f t="shared" si="4"/>
        <v>1992</v>
      </c>
      <c r="CA31" s="4154">
        <f t="shared" si="5"/>
        <v>0</v>
      </c>
      <c r="CB31" s="4923"/>
      <c r="CC31" s="4923"/>
      <c r="CD31" s="4323"/>
      <c r="CE31" s="4323"/>
      <c r="CF31" s="4323"/>
    </row>
    <row r="32" s="4316" customFormat="1" ht="50" customHeight="1" spans="1:84">
      <c r="A32" s="4500">
        <v>45623</v>
      </c>
      <c r="B32" s="3708" t="s">
        <v>90</v>
      </c>
      <c r="C32" s="3708" t="s">
        <v>91</v>
      </c>
      <c r="D32" s="4154">
        <v>4500152575</v>
      </c>
      <c r="E32" s="3708" t="s">
        <v>482</v>
      </c>
      <c r="F32" s="3708" t="s">
        <v>485</v>
      </c>
      <c r="G32" s="3708" t="s">
        <v>333</v>
      </c>
      <c r="H32" s="3708" t="s">
        <v>333</v>
      </c>
      <c r="I32" s="3708" t="s">
        <v>328</v>
      </c>
      <c r="J32" s="4593">
        <v>1992</v>
      </c>
      <c r="K32" s="4154">
        <v>0</v>
      </c>
      <c r="L32" s="4154">
        <v>24</v>
      </c>
      <c r="M32" s="4154">
        <v>83</v>
      </c>
      <c r="N32" s="4503">
        <v>45657</v>
      </c>
      <c r="O32" s="4503">
        <v>45653</v>
      </c>
      <c r="P32" s="4154"/>
      <c r="Q32" s="4154" t="s">
        <v>82</v>
      </c>
      <c r="R32" s="4157"/>
      <c r="S32" s="4157"/>
      <c r="T32" s="4157"/>
      <c r="U32" s="3726"/>
      <c r="V32" s="3711" t="s">
        <v>384</v>
      </c>
      <c r="W32" s="3711"/>
      <c r="X32" s="3711" t="s">
        <v>98</v>
      </c>
      <c r="Y32" s="3711"/>
      <c r="Z32" s="3711" t="s">
        <v>111</v>
      </c>
      <c r="AA32" s="4154"/>
      <c r="AB32" s="3713" t="s">
        <v>100</v>
      </c>
      <c r="AC32" s="3711" t="s">
        <v>101</v>
      </c>
      <c r="AD32" s="4504">
        <v>2.1295</v>
      </c>
      <c r="AE32" s="4154">
        <v>4241.964</v>
      </c>
      <c r="AF32" s="4505" t="s">
        <v>486</v>
      </c>
      <c r="AG32" s="3726"/>
      <c r="AH32" s="984"/>
      <c r="AI32" s="3708">
        <v>1992</v>
      </c>
      <c r="AJ32" s="984"/>
      <c r="AK32" s="3708"/>
      <c r="AL32" s="3708"/>
      <c r="AM32" s="4154"/>
      <c r="AN32" s="877"/>
      <c r="AO32" s="1048">
        <v>1992</v>
      </c>
      <c r="AP32" s="4622"/>
      <c r="AQ32" s="877"/>
      <c r="AR32" s="877"/>
      <c r="AS32" s="1048">
        <f t="shared" si="17"/>
        <v>1992</v>
      </c>
      <c r="AT32" s="1048"/>
      <c r="AU32" s="877"/>
      <c r="AV32" s="4921"/>
      <c r="AW32" s="4921"/>
      <c r="AX32" s="1048"/>
      <c r="AY32" s="4921"/>
      <c r="AZ32" s="4921"/>
      <c r="BA32" s="1048"/>
      <c r="BB32" s="4622"/>
      <c r="BC32" s="4921"/>
      <c r="BD32" s="4622"/>
      <c r="BE32" s="4622"/>
      <c r="BF32" s="4622"/>
      <c r="BG32" s="4622"/>
      <c r="BH32" s="4622"/>
      <c r="BI32" s="4622"/>
      <c r="BJ32" s="1048"/>
      <c r="BK32" s="4415" t="s">
        <v>89</v>
      </c>
      <c r="BL32" s="4415"/>
      <c r="BM32" s="4415">
        <f t="shared" si="10"/>
        <v>298.8</v>
      </c>
      <c r="BN32" s="4415">
        <f t="shared" si="11"/>
        <v>332</v>
      </c>
      <c r="BO32" s="4415">
        <f t="shared" si="12"/>
        <v>332</v>
      </c>
      <c r="BP32" s="4415">
        <f t="shared" si="13"/>
        <v>332</v>
      </c>
      <c r="BQ32" s="4414">
        <f t="shared" si="14"/>
        <v>332</v>
      </c>
      <c r="BR32" s="1048">
        <f t="shared" si="15"/>
        <v>332</v>
      </c>
      <c r="BS32" s="4384">
        <f>J32/60*1</f>
        <v>33.2</v>
      </c>
      <c r="BT32" s="992"/>
      <c r="BU32" s="992"/>
      <c r="BV32" s="992"/>
      <c r="BW32" s="992"/>
      <c r="BX32" s="991"/>
      <c r="BY32" s="991"/>
      <c r="BZ32" s="3708">
        <f t="shared" si="4"/>
        <v>1992</v>
      </c>
      <c r="CA32" s="4154">
        <f t="shared" si="5"/>
        <v>0</v>
      </c>
      <c r="CB32" s="4804"/>
      <c r="CC32" s="4804"/>
      <c r="CD32" s="4323"/>
      <c r="CE32" s="4323"/>
      <c r="CF32" s="4323"/>
    </row>
    <row r="33" s="4316" customFormat="1" ht="50" customHeight="1" spans="1:84">
      <c r="A33" s="4500">
        <v>45624</v>
      </c>
      <c r="B33" s="3708" t="s">
        <v>487</v>
      </c>
      <c r="C33" s="3708" t="s">
        <v>351</v>
      </c>
      <c r="D33" s="4154">
        <v>4500152880</v>
      </c>
      <c r="E33" s="3708"/>
      <c r="F33" s="3708" t="s">
        <v>488</v>
      </c>
      <c r="G33" s="3708" t="s">
        <v>360</v>
      </c>
      <c r="H33" s="3708" t="s">
        <v>327</v>
      </c>
      <c r="I33" s="4154" t="s">
        <v>328</v>
      </c>
      <c r="J33" s="4154">
        <v>4320</v>
      </c>
      <c r="K33" s="4154">
        <v>0</v>
      </c>
      <c r="L33" s="4154">
        <v>12</v>
      </c>
      <c r="M33" s="4154">
        <f>J33/L33</f>
        <v>360</v>
      </c>
      <c r="N33" s="4503">
        <v>45657</v>
      </c>
      <c r="O33" s="4503">
        <v>45653</v>
      </c>
      <c r="P33" s="4154"/>
      <c r="Q33" s="4154" t="s">
        <v>82</v>
      </c>
      <c r="R33" s="4157"/>
      <c r="S33" s="4157"/>
      <c r="T33" s="4157"/>
      <c r="U33" s="3726" t="s">
        <v>96</v>
      </c>
      <c r="V33" s="3711" t="s">
        <v>489</v>
      </c>
      <c r="W33" s="3711"/>
      <c r="X33" s="3711" t="s">
        <v>490</v>
      </c>
      <c r="Y33" s="3711"/>
      <c r="Z33" s="3711"/>
      <c r="AA33" s="4154"/>
      <c r="AB33" s="3680" t="s">
        <v>491</v>
      </c>
      <c r="AC33" s="3711" t="s">
        <v>357</v>
      </c>
      <c r="AD33" s="4504">
        <v>2.2008</v>
      </c>
      <c r="AE33" s="4154">
        <f>J33*AD33</f>
        <v>9507.456</v>
      </c>
      <c r="AF33" s="4505" t="s">
        <v>492</v>
      </c>
      <c r="AG33" s="3726"/>
      <c r="AH33" s="4925"/>
      <c r="AI33" s="3708">
        <f>J33</f>
        <v>4320</v>
      </c>
      <c r="AJ33" s="4925"/>
      <c r="AK33" s="3708"/>
      <c r="AL33" s="3708"/>
      <c r="AM33" s="4154"/>
      <c r="AN33" s="4397"/>
      <c r="AO33" s="1048">
        <f>J33</f>
        <v>4320</v>
      </c>
      <c r="AP33" s="4622"/>
      <c r="AQ33" s="4397"/>
      <c r="AR33" s="4397"/>
      <c r="AS33" s="1048">
        <f t="shared" si="17"/>
        <v>4320</v>
      </c>
      <c r="AT33" s="1048"/>
      <c r="AU33" s="4397"/>
      <c r="AV33" s="4926"/>
      <c r="AW33" s="4926"/>
      <c r="AX33" s="1048">
        <f>J33/6</f>
        <v>720</v>
      </c>
      <c r="AY33" s="4926"/>
      <c r="AZ33" s="4926"/>
      <c r="BA33" s="1048"/>
      <c r="BB33" s="4622"/>
      <c r="BC33" s="4926"/>
      <c r="BD33" s="4622"/>
      <c r="BE33" s="4622"/>
      <c r="BF33" s="4622"/>
      <c r="BG33" s="4622"/>
      <c r="BH33" s="1048"/>
      <c r="BI33" s="4622"/>
      <c r="BJ33" s="1048"/>
      <c r="BK33" s="4415" t="s">
        <v>89</v>
      </c>
      <c r="BL33" s="4415">
        <f t="shared" ref="BL33:BL38" si="18">J33/60*1</f>
        <v>72</v>
      </c>
      <c r="BM33" s="4415">
        <f t="shared" si="10"/>
        <v>648</v>
      </c>
      <c r="BN33" s="4415">
        <f t="shared" si="11"/>
        <v>720</v>
      </c>
      <c r="BO33" s="4415">
        <f t="shared" si="12"/>
        <v>720</v>
      </c>
      <c r="BP33" s="4415">
        <f t="shared" si="13"/>
        <v>720</v>
      </c>
      <c r="BQ33" s="4414">
        <f t="shared" si="14"/>
        <v>720</v>
      </c>
      <c r="BR33" s="1048">
        <f t="shared" si="15"/>
        <v>720</v>
      </c>
      <c r="BS33" s="4384"/>
      <c r="BT33" s="992"/>
      <c r="BU33" s="992"/>
      <c r="BV33" s="992"/>
      <c r="BW33" s="992"/>
      <c r="BX33" s="991"/>
      <c r="BY33" s="991"/>
      <c r="BZ33" s="3708">
        <f t="shared" si="4"/>
        <v>4320</v>
      </c>
      <c r="CA33" s="4154">
        <f t="shared" si="5"/>
        <v>0</v>
      </c>
      <c r="CB33" s="4927"/>
      <c r="CC33" s="4927"/>
      <c r="CD33" s="4323"/>
      <c r="CE33" s="4323"/>
      <c r="CF33" s="4323"/>
    </row>
    <row r="34" s="4316" customFormat="1" ht="50" customHeight="1" spans="1:84">
      <c r="A34" s="4500">
        <v>45614</v>
      </c>
      <c r="B34" s="3708" t="s">
        <v>493</v>
      </c>
      <c r="C34" s="3708" t="s">
        <v>91</v>
      </c>
      <c r="D34" s="4154">
        <v>4500151472</v>
      </c>
      <c r="E34" s="3708" t="s">
        <v>494</v>
      </c>
      <c r="F34" s="3708" t="s">
        <v>495</v>
      </c>
      <c r="G34" s="3708" t="s">
        <v>496</v>
      </c>
      <c r="H34" s="3708" t="s">
        <v>496</v>
      </c>
      <c r="I34" s="3708" t="s">
        <v>328</v>
      </c>
      <c r="J34" s="4154">
        <v>3600</v>
      </c>
      <c r="K34" s="4154">
        <v>0</v>
      </c>
      <c r="L34" s="4154">
        <v>6</v>
      </c>
      <c r="M34" s="4154">
        <f>J34/L34</f>
        <v>600</v>
      </c>
      <c r="N34" s="4503">
        <v>45663</v>
      </c>
      <c r="O34" s="4503">
        <v>45659</v>
      </c>
      <c r="P34" s="4154"/>
      <c r="Q34" s="4154" t="s">
        <v>82</v>
      </c>
      <c r="R34" s="4157"/>
      <c r="S34" s="4157"/>
      <c r="T34" s="4157"/>
      <c r="U34" s="3726"/>
      <c r="V34" s="3711" t="s">
        <v>497</v>
      </c>
      <c r="W34" s="3711"/>
      <c r="X34" s="3711" t="s">
        <v>498</v>
      </c>
      <c r="Y34" s="3711"/>
      <c r="Z34" s="3711"/>
      <c r="AA34" s="4154"/>
      <c r="AB34" s="3713" t="s">
        <v>499</v>
      </c>
      <c r="AC34" s="3711" t="s">
        <v>500</v>
      </c>
      <c r="AD34" s="4154">
        <v>2.1394</v>
      </c>
      <c r="AE34" s="4154">
        <f>J34*AD34</f>
        <v>7701.84</v>
      </c>
      <c r="AF34" s="4505" t="s">
        <v>501</v>
      </c>
      <c r="AG34" s="3726"/>
      <c r="AH34" s="4422"/>
      <c r="AI34" s="3708">
        <f>J34</f>
        <v>3600</v>
      </c>
      <c r="AJ34" s="4422"/>
      <c r="AK34" s="3708"/>
      <c r="AL34" s="3708"/>
      <c r="AM34" s="4154"/>
      <c r="AN34" s="907"/>
      <c r="AO34" s="1048">
        <f>J34</f>
        <v>3600</v>
      </c>
      <c r="AP34" s="4622"/>
      <c r="AQ34" s="907"/>
      <c r="AR34" s="907"/>
      <c r="AS34" s="1048">
        <f t="shared" si="17"/>
        <v>3600</v>
      </c>
      <c r="AT34" s="1048"/>
      <c r="AU34" s="907"/>
      <c r="AV34" s="4922"/>
      <c r="AW34" s="4922"/>
      <c r="AX34" s="1048"/>
      <c r="AY34" s="4922"/>
      <c r="AZ34" s="4922"/>
      <c r="BA34" s="1048"/>
      <c r="BB34" s="4622"/>
      <c r="BC34" s="4922"/>
      <c r="BD34" s="4622"/>
      <c r="BE34" s="4622"/>
      <c r="BF34" s="4622"/>
      <c r="BG34" s="4622"/>
      <c r="BH34" s="1048"/>
      <c r="BI34" s="4622"/>
      <c r="BJ34" s="1048"/>
      <c r="BK34" s="4415" t="s">
        <v>89</v>
      </c>
      <c r="BL34" s="4558">
        <f t="shared" si="18"/>
        <v>60</v>
      </c>
      <c r="BM34" s="4558">
        <f t="shared" si="10"/>
        <v>540</v>
      </c>
      <c r="BN34" s="4558">
        <f t="shared" si="11"/>
        <v>600</v>
      </c>
      <c r="BO34" s="4558">
        <f t="shared" si="12"/>
        <v>600</v>
      </c>
      <c r="BP34" s="4558">
        <f t="shared" si="13"/>
        <v>600</v>
      </c>
      <c r="BQ34" s="4928">
        <f t="shared" si="14"/>
        <v>600</v>
      </c>
      <c r="BR34" s="4510">
        <f t="shared" si="15"/>
        <v>600</v>
      </c>
      <c r="BS34" s="4384"/>
      <c r="BT34" s="911"/>
      <c r="BU34" s="911"/>
      <c r="BV34" s="911"/>
      <c r="BW34" s="911"/>
      <c r="BX34" s="910"/>
      <c r="BY34" s="910"/>
      <c r="BZ34" s="4575">
        <f t="shared" si="4"/>
        <v>3600</v>
      </c>
      <c r="CA34" s="4154">
        <f t="shared" si="5"/>
        <v>0</v>
      </c>
      <c r="CB34" s="4923"/>
      <c r="CC34" s="4923"/>
      <c r="CD34" s="4323"/>
      <c r="CE34" s="4323"/>
      <c r="CF34" s="4323"/>
    </row>
    <row r="35" s="4316" customFormat="1" ht="50" customHeight="1" spans="1:84">
      <c r="A35" s="4500">
        <v>45614</v>
      </c>
      <c r="B35" s="3708" t="s">
        <v>493</v>
      </c>
      <c r="C35" s="3708" t="s">
        <v>91</v>
      </c>
      <c r="D35" s="4154">
        <v>4500151472</v>
      </c>
      <c r="E35" s="3708" t="s">
        <v>502</v>
      </c>
      <c r="F35" s="3708" t="s">
        <v>503</v>
      </c>
      <c r="G35" s="3708" t="s">
        <v>496</v>
      </c>
      <c r="H35" s="3708" t="s">
        <v>496</v>
      </c>
      <c r="I35" s="3708" t="s">
        <v>328</v>
      </c>
      <c r="J35" s="4154">
        <v>6000</v>
      </c>
      <c r="K35" s="4154">
        <v>0</v>
      </c>
      <c r="L35" s="4154">
        <v>6</v>
      </c>
      <c r="M35" s="4154">
        <f>J35/L35</f>
        <v>1000</v>
      </c>
      <c r="N35" s="4503">
        <v>45663</v>
      </c>
      <c r="O35" s="4503">
        <v>45659</v>
      </c>
      <c r="P35" s="4154"/>
      <c r="Q35" s="4154" t="s">
        <v>82</v>
      </c>
      <c r="R35" s="4157"/>
      <c r="S35" s="4157"/>
      <c r="T35" s="4157"/>
      <c r="U35" s="3726"/>
      <c r="V35" s="3711" t="s">
        <v>497</v>
      </c>
      <c r="W35" s="3711"/>
      <c r="X35" s="3711" t="s">
        <v>498</v>
      </c>
      <c r="Y35" s="3711"/>
      <c r="Z35" s="3711"/>
      <c r="AA35" s="4154"/>
      <c r="AB35" s="3713" t="s">
        <v>499</v>
      </c>
      <c r="AC35" s="3711" t="s">
        <v>500</v>
      </c>
      <c r="AD35" s="4154">
        <v>2.1291</v>
      </c>
      <c r="AE35" s="4154">
        <f>J35*AD35</f>
        <v>12774.6</v>
      </c>
      <c r="AF35" s="4505" t="s">
        <v>504</v>
      </c>
      <c r="AG35" s="3726"/>
      <c r="AH35" s="4422"/>
      <c r="AI35" s="3708">
        <f>J35</f>
        <v>6000</v>
      </c>
      <c r="AJ35" s="4422"/>
      <c r="AK35" s="3708"/>
      <c r="AL35" s="3708"/>
      <c r="AM35" s="4154"/>
      <c r="AN35" s="907"/>
      <c r="AO35" s="1048">
        <f>J35</f>
        <v>6000</v>
      </c>
      <c r="AP35" s="4622"/>
      <c r="AQ35" s="907"/>
      <c r="AR35" s="907"/>
      <c r="AS35" s="1048">
        <f t="shared" si="17"/>
        <v>6000</v>
      </c>
      <c r="AT35" s="1048"/>
      <c r="AU35" s="907"/>
      <c r="AV35" s="4922"/>
      <c r="AW35" s="4922"/>
      <c r="AX35" s="1048"/>
      <c r="AY35" s="4922"/>
      <c r="AZ35" s="4922"/>
      <c r="BA35" s="1048"/>
      <c r="BB35" s="4622"/>
      <c r="BC35" s="4922"/>
      <c r="BD35" s="4622"/>
      <c r="BE35" s="4622"/>
      <c r="BF35" s="4622"/>
      <c r="BG35" s="4622"/>
      <c r="BH35" s="1048"/>
      <c r="BI35" s="4622"/>
      <c r="BJ35" s="1048"/>
      <c r="BK35" s="4415" t="s">
        <v>89</v>
      </c>
      <c r="BL35" s="4558">
        <f t="shared" si="18"/>
        <v>100</v>
      </c>
      <c r="BM35" s="4558">
        <f t="shared" si="10"/>
        <v>900</v>
      </c>
      <c r="BN35" s="4558">
        <f t="shared" si="11"/>
        <v>1000</v>
      </c>
      <c r="BO35" s="4558">
        <f t="shared" si="12"/>
        <v>1000</v>
      </c>
      <c r="BP35" s="4558">
        <f t="shared" si="13"/>
        <v>1000</v>
      </c>
      <c r="BQ35" s="4928">
        <f t="shared" si="14"/>
        <v>1000</v>
      </c>
      <c r="BR35" s="4510">
        <f t="shared" si="15"/>
        <v>1000</v>
      </c>
      <c r="BS35" s="4384"/>
      <c r="BT35" s="911"/>
      <c r="BU35" s="911"/>
      <c r="BV35" s="911"/>
      <c r="BW35" s="911"/>
      <c r="BX35" s="910"/>
      <c r="BY35" s="910"/>
      <c r="BZ35" s="4575">
        <f t="shared" si="4"/>
        <v>6000</v>
      </c>
      <c r="CA35" s="4154">
        <f t="shared" si="5"/>
        <v>0</v>
      </c>
      <c r="CB35" s="4923"/>
      <c r="CC35" s="4923"/>
      <c r="CD35" s="4323"/>
      <c r="CE35" s="4323"/>
      <c r="CF35" s="4323"/>
    </row>
    <row r="36" s="4316" customFormat="1" ht="50" customHeight="1" spans="1:84">
      <c r="A36" s="4500">
        <v>45621</v>
      </c>
      <c r="B36" s="3708" t="s">
        <v>505</v>
      </c>
      <c r="C36" s="3708" t="s">
        <v>506</v>
      </c>
      <c r="D36" s="4154">
        <v>4500152292</v>
      </c>
      <c r="E36" s="3708">
        <v>20357441</v>
      </c>
      <c r="F36" s="3708" t="s">
        <v>507</v>
      </c>
      <c r="G36" s="3708" t="s">
        <v>508</v>
      </c>
      <c r="H36" s="3708" t="s">
        <v>508</v>
      </c>
      <c r="I36" s="3708" t="s">
        <v>328</v>
      </c>
      <c r="J36" s="4154">
        <v>2040</v>
      </c>
      <c r="K36" s="4154">
        <v>0</v>
      </c>
      <c r="L36" s="4154">
        <v>6</v>
      </c>
      <c r="M36" s="4154">
        <v>340</v>
      </c>
      <c r="N36" s="4503">
        <v>45663</v>
      </c>
      <c r="O36" s="4503">
        <v>45659</v>
      </c>
      <c r="P36" s="4154"/>
      <c r="Q36" s="4154" t="s">
        <v>82</v>
      </c>
      <c r="R36" s="4157"/>
      <c r="S36" s="4157"/>
      <c r="T36" s="4157"/>
      <c r="U36" s="3726" t="s">
        <v>509</v>
      </c>
      <c r="V36" s="3711" t="s">
        <v>510</v>
      </c>
      <c r="W36" s="3711"/>
      <c r="X36" s="3711" t="s">
        <v>511</v>
      </c>
      <c r="Y36" s="3711"/>
      <c r="Z36" s="4503"/>
      <c r="AA36" s="4154"/>
      <c r="AB36" s="3713" t="s">
        <v>512</v>
      </c>
      <c r="AC36" s="4155" t="s">
        <v>513</v>
      </c>
      <c r="AD36" s="4504">
        <v>2.3594</v>
      </c>
      <c r="AE36" s="4154">
        <v>4813.176</v>
      </c>
      <c r="AF36" s="4505" t="s">
        <v>514</v>
      </c>
      <c r="AG36" s="3726"/>
      <c r="AH36" s="4422"/>
      <c r="AI36" s="3708">
        <v>2040</v>
      </c>
      <c r="AJ36" s="4422"/>
      <c r="AK36" s="3708"/>
      <c r="AL36" s="3708"/>
      <c r="AM36" s="4154"/>
      <c r="AN36" s="907"/>
      <c r="AO36" s="1048">
        <v>2040</v>
      </c>
      <c r="AP36" s="4622"/>
      <c r="AQ36" s="907"/>
      <c r="AR36" s="907"/>
      <c r="AS36" s="1048">
        <f t="shared" si="17"/>
        <v>2040</v>
      </c>
      <c r="AT36" s="1048"/>
      <c r="AU36" s="907"/>
      <c r="AV36" s="4922"/>
      <c r="AW36" s="4922"/>
      <c r="AX36" s="1048">
        <v>340</v>
      </c>
      <c r="AY36" s="4922"/>
      <c r="AZ36" s="4922"/>
      <c r="BA36" s="1048"/>
      <c r="BB36" s="4622"/>
      <c r="BC36" s="4922"/>
      <c r="BD36" s="4622"/>
      <c r="BE36" s="4622"/>
      <c r="BF36" s="4622"/>
      <c r="BG36" s="4622"/>
      <c r="BH36" s="1048"/>
      <c r="BI36" s="4622"/>
      <c r="BJ36" s="1048"/>
      <c r="BK36" s="4415" t="s">
        <v>89</v>
      </c>
      <c r="BL36" s="4415">
        <f t="shared" si="18"/>
        <v>34</v>
      </c>
      <c r="BM36" s="4415">
        <f t="shared" si="10"/>
        <v>306</v>
      </c>
      <c r="BN36" s="4415">
        <f t="shared" si="11"/>
        <v>340</v>
      </c>
      <c r="BO36" s="4415">
        <f t="shared" si="12"/>
        <v>340</v>
      </c>
      <c r="BP36" s="4415">
        <f t="shared" si="13"/>
        <v>340</v>
      </c>
      <c r="BQ36" s="4414">
        <f t="shared" si="14"/>
        <v>340</v>
      </c>
      <c r="BR36" s="1048">
        <f t="shared" si="15"/>
        <v>340</v>
      </c>
      <c r="BS36" s="4384"/>
      <c r="BT36" s="911"/>
      <c r="BU36" s="911"/>
      <c r="BV36" s="911"/>
      <c r="BW36" s="911"/>
      <c r="BX36" s="910"/>
      <c r="BY36" s="910"/>
      <c r="BZ36" s="3708">
        <f t="shared" si="4"/>
        <v>2040</v>
      </c>
      <c r="CA36" s="4154">
        <f t="shared" si="5"/>
        <v>0</v>
      </c>
      <c r="CB36" s="4923"/>
      <c r="CC36" s="4923"/>
      <c r="CD36" s="4323"/>
      <c r="CE36" s="4323"/>
      <c r="CF36" s="4323"/>
    </row>
    <row r="37" s="4316" customFormat="1" ht="50" customHeight="1" spans="1:84">
      <c r="A37" s="4500">
        <v>45621</v>
      </c>
      <c r="B37" s="3708" t="s">
        <v>515</v>
      </c>
      <c r="C37" s="3708" t="s">
        <v>516</v>
      </c>
      <c r="D37" s="4154">
        <v>4500152261</v>
      </c>
      <c r="E37" s="3708"/>
      <c r="F37" s="3708" t="s">
        <v>517</v>
      </c>
      <c r="G37" s="3708" t="s">
        <v>327</v>
      </c>
      <c r="H37" s="3708" t="s">
        <v>327</v>
      </c>
      <c r="I37" s="4154" t="s">
        <v>328</v>
      </c>
      <c r="J37" s="4154">
        <v>6000</v>
      </c>
      <c r="K37" s="4154">
        <v>0</v>
      </c>
      <c r="L37" s="4154">
        <v>12</v>
      </c>
      <c r="M37" s="4154">
        <f>J37/L37</f>
        <v>500</v>
      </c>
      <c r="N37" s="4503">
        <v>45663</v>
      </c>
      <c r="O37" s="4503">
        <v>45659</v>
      </c>
      <c r="P37" s="4154"/>
      <c r="Q37" s="4154" t="s">
        <v>82</v>
      </c>
      <c r="R37" s="4157"/>
      <c r="S37" s="4157"/>
      <c r="T37" s="4157"/>
      <c r="U37" s="3726" t="s">
        <v>518</v>
      </c>
      <c r="V37" s="3711" t="s">
        <v>353</v>
      </c>
      <c r="W37" s="3711"/>
      <c r="X37" s="3711" t="s">
        <v>519</v>
      </c>
      <c r="Y37" s="3711"/>
      <c r="Z37" s="3711"/>
      <c r="AA37" s="4154"/>
      <c r="AB37" s="3713" t="s">
        <v>520</v>
      </c>
      <c r="AC37" s="3711" t="s">
        <v>521</v>
      </c>
      <c r="AD37" s="4154">
        <v>2.1849</v>
      </c>
      <c r="AE37" s="4154">
        <f>J37*AD37</f>
        <v>13109.4</v>
      </c>
      <c r="AF37" s="4505" t="s">
        <v>522</v>
      </c>
      <c r="AG37" s="3726"/>
      <c r="AH37" s="984"/>
      <c r="AI37" s="3708"/>
      <c r="AJ37" s="984"/>
      <c r="AK37" s="3708">
        <f>J37</f>
        <v>6000</v>
      </c>
      <c r="AL37" s="3708"/>
      <c r="AM37" s="4154"/>
      <c r="AN37" s="877"/>
      <c r="AO37" s="1048">
        <f>J37</f>
        <v>6000</v>
      </c>
      <c r="AP37" s="4622"/>
      <c r="AQ37" s="877"/>
      <c r="AR37" s="877"/>
      <c r="AS37" s="1048">
        <f t="shared" si="17"/>
        <v>6000</v>
      </c>
      <c r="AT37" s="1048"/>
      <c r="AU37" s="877"/>
      <c r="AV37" s="4921"/>
      <c r="AW37" s="4921"/>
      <c r="AX37" s="1048">
        <f>J37/6</f>
        <v>1000</v>
      </c>
      <c r="AY37" s="4921"/>
      <c r="AZ37" s="4921"/>
      <c r="BA37" s="1048"/>
      <c r="BB37" s="4622"/>
      <c r="BC37" s="4921"/>
      <c r="BD37" s="4622"/>
      <c r="BE37" s="4622"/>
      <c r="BF37" s="4622"/>
      <c r="BG37" s="4622"/>
      <c r="BH37" s="1048"/>
      <c r="BI37" s="4622"/>
      <c r="BJ37" s="1048"/>
      <c r="BK37" s="4415" t="s">
        <v>89</v>
      </c>
      <c r="BL37" s="4415">
        <f t="shared" si="18"/>
        <v>100</v>
      </c>
      <c r="BM37" s="4415">
        <f t="shared" si="10"/>
        <v>900</v>
      </c>
      <c r="BN37" s="4415">
        <f t="shared" si="11"/>
        <v>1000</v>
      </c>
      <c r="BO37" s="4415">
        <f t="shared" si="12"/>
        <v>1000</v>
      </c>
      <c r="BP37" s="4415">
        <f t="shared" si="13"/>
        <v>1000</v>
      </c>
      <c r="BQ37" s="4414">
        <f t="shared" si="14"/>
        <v>1000</v>
      </c>
      <c r="BR37" s="1048">
        <f t="shared" si="15"/>
        <v>1000</v>
      </c>
      <c r="BS37" s="4384"/>
      <c r="BT37" s="992"/>
      <c r="BU37" s="992"/>
      <c r="BV37" s="992"/>
      <c r="BW37" s="992"/>
      <c r="BX37" s="991"/>
      <c r="BY37" s="991"/>
      <c r="BZ37" s="3708">
        <f t="shared" si="4"/>
        <v>6000</v>
      </c>
      <c r="CA37" s="4154">
        <f t="shared" si="5"/>
        <v>0</v>
      </c>
      <c r="CB37" s="4804"/>
      <c r="CC37" s="4804"/>
      <c r="CD37" s="4323"/>
      <c r="CE37" s="4323"/>
      <c r="CF37" s="4323"/>
    </row>
    <row r="38" s="4316" customFormat="1" ht="50" customHeight="1" spans="1:84">
      <c r="A38" s="4500">
        <v>45622</v>
      </c>
      <c r="B38" s="3708" t="s">
        <v>523</v>
      </c>
      <c r="C38" s="3708" t="s">
        <v>524</v>
      </c>
      <c r="D38" s="4154">
        <v>4500152326</v>
      </c>
      <c r="E38" s="3708"/>
      <c r="F38" s="3708" t="s">
        <v>525</v>
      </c>
      <c r="G38" s="3708" t="s">
        <v>327</v>
      </c>
      <c r="H38" s="3708" t="s">
        <v>327</v>
      </c>
      <c r="I38" s="4154" t="s">
        <v>328</v>
      </c>
      <c r="J38" s="4154">
        <v>360</v>
      </c>
      <c r="K38" s="4154">
        <v>0</v>
      </c>
      <c r="L38" s="4154">
        <v>12</v>
      </c>
      <c r="M38" s="4154">
        <f>J38/L38</f>
        <v>30</v>
      </c>
      <c r="N38" s="4503">
        <v>45663</v>
      </c>
      <c r="O38" s="4503">
        <v>45659</v>
      </c>
      <c r="P38" s="4154"/>
      <c r="Q38" s="4154" t="s">
        <v>82</v>
      </c>
      <c r="R38" s="4157"/>
      <c r="S38" s="4157"/>
      <c r="T38" s="4157"/>
      <c r="U38" s="3726" t="s">
        <v>116</v>
      </c>
      <c r="V38" s="3711" t="s">
        <v>526</v>
      </c>
      <c r="W38" s="3711"/>
      <c r="X38" s="3711" t="s">
        <v>527</v>
      </c>
      <c r="Y38" s="3711"/>
      <c r="Z38" s="3711"/>
      <c r="AA38" s="4154"/>
      <c r="AB38" s="3680" t="s">
        <v>528</v>
      </c>
      <c r="AC38" s="3711" t="s">
        <v>459</v>
      </c>
      <c r="AD38" s="4504">
        <v>2.209</v>
      </c>
      <c r="AE38" s="4154">
        <f>J38*AD38</f>
        <v>795.24</v>
      </c>
      <c r="AF38" s="4505" t="s">
        <v>529</v>
      </c>
      <c r="AG38" s="3726"/>
      <c r="AH38" s="984"/>
      <c r="AI38" s="3708"/>
      <c r="AJ38" s="984"/>
      <c r="AK38" s="3708">
        <f>J38</f>
        <v>360</v>
      </c>
      <c r="AL38" s="3708"/>
      <c r="AM38" s="4154"/>
      <c r="AN38" s="877"/>
      <c r="AO38" s="1048">
        <f>J38</f>
        <v>360</v>
      </c>
      <c r="AP38" s="4622"/>
      <c r="AQ38" s="877"/>
      <c r="AR38" s="877"/>
      <c r="AS38" s="1048">
        <f t="shared" si="17"/>
        <v>360</v>
      </c>
      <c r="AT38" s="1048"/>
      <c r="AU38" s="877"/>
      <c r="AV38" s="4921"/>
      <c r="AW38" s="4921"/>
      <c r="AX38" s="1048">
        <f>J38/6</f>
        <v>60</v>
      </c>
      <c r="AY38" s="4921"/>
      <c r="AZ38" s="4921"/>
      <c r="BA38" s="1048"/>
      <c r="BB38" s="4622"/>
      <c r="BC38" s="4921"/>
      <c r="BD38" s="4622"/>
      <c r="BE38" s="4622"/>
      <c r="BF38" s="4622"/>
      <c r="BG38" s="4622"/>
      <c r="BH38" s="1048"/>
      <c r="BI38" s="4622"/>
      <c r="BJ38" s="1048"/>
      <c r="BK38" s="4415" t="s">
        <v>89</v>
      </c>
      <c r="BL38" s="4415">
        <f t="shared" si="18"/>
        <v>6</v>
      </c>
      <c r="BM38" s="4415">
        <f t="shared" si="10"/>
        <v>54</v>
      </c>
      <c r="BN38" s="4415">
        <f t="shared" si="11"/>
        <v>60</v>
      </c>
      <c r="BO38" s="4415">
        <f t="shared" si="12"/>
        <v>60</v>
      </c>
      <c r="BP38" s="4415">
        <f t="shared" si="13"/>
        <v>60</v>
      </c>
      <c r="BQ38" s="4414">
        <f t="shared" si="14"/>
        <v>60</v>
      </c>
      <c r="BR38" s="1048">
        <f t="shared" si="15"/>
        <v>60</v>
      </c>
      <c r="BS38" s="4384"/>
      <c r="BT38" s="992"/>
      <c r="BU38" s="992"/>
      <c r="BV38" s="992"/>
      <c r="BW38" s="992"/>
      <c r="BX38" s="991"/>
      <c r="BY38" s="991"/>
      <c r="BZ38" s="3708">
        <f t="shared" si="4"/>
        <v>360</v>
      </c>
      <c r="CA38" s="4154">
        <f t="shared" si="5"/>
        <v>0</v>
      </c>
      <c r="CB38" s="4804"/>
      <c r="CC38" s="4804"/>
      <c r="CD38" s="4323"/>
      <c r="CE38" s="4323"/>
      <c r="CF38" s="4323"/>
    </row>
    <row r="39" s="4316" customFormat="1" ht="50" customHeight="1" spans="1:84">
      <c r="A39" s="4500">
        <v>45623</v>
      </c>
      <c r="B39" s="3708" t="s">
        <v>361</v>
      </c>
      <c r="C39" s="3708" t="s">
        <v>91</v>
      </c>
      <c r="D39" s="4154">
        <v>4500152657</v>
      </c>
      <c r="E39" s="3708" t="s">
        <v>530</v>
      </c>
      <c r="F39" s="3708" t="s">
        <v>531</v>
      </c>
      <c r="G39" s="3708" t="s">
        <v>364</v>
      </c>
      <c r="H39" s="3708" t="s">
        <v>364</v>
      </c>
      <c r="I39" s="4154" t="s">
        <v>328</v>
      </c>
      <c r="J39" s="4154">
        <v>168</v>
      </c>
      <c r="K39" s="4154">
        <v>0</v>
      </c>
      <c r="L39" s="4154">
        <v>12</v>
      </c>
      <c r="M39" s="4154">
        <v>14</v>
      </c>
      <c r="N39" s="4503">
        <v>45664</v>
      </c>
      <c r="O39" s="4503">
        <v>45660</v>
      </c>
      <c r="P39" s="4154"/>
      <c r="Q39" s="4154" t="s">
        <v>82</v>
      </c>
      <c r="R39" s="4157"/>
      <c r="S39" s="4157"/>
      <c r="T39" s="4157"/>
      <c r="U39" s="3726" t="s">
        <v>147</v>
      </c>
      <c r="V39" s="3711" t="s">
        <v>384</v>
      </c>
      <c r="W39" s="3711"/>
      <c r="X39" s="3711" t="s">
        <v>366</v>
      </c>
      <c r="Y39" s="3711"/>
      <c r="Z39" s="3711" t="s">
        <v>532</v>
      </c>
      <c r="AA39" s="4154"/>
      <c r="AB39" s="3713" t="s">
        <v>533</v>
      </c>
      <c r="AC39" s="3711" t="s">
        <v>369</v>
      </c>
      <c r="AD39" s="4154">
        <v>2.139</v>
      </c>
      <c r="AE39" s="4154">
        <v>359.352</v>
      </c>
      <c r="AF39" s="4505" t="s">
        <v>534</v>
      </c>
      <c r="AG39" s="3726"/>
      <c r="AH39" s="984"/>
      <c r="AI39" s="3708">
        <v>168</v>
      </c>
      <c r="AJ39" s="984"/>
      <c r="AK39" s="3708"/>
      <c r="AL39" s="3708"/>
      <c r="AM39" s="4154"/>
      <c r="AN39" s="877"/>
      <c r="AO39" s="1048">
        <v>168</v>
      </c>
      <c r="AP39" s="4622"/>
      <c r="AQ39" s="877"/>
      <c r="AR39" s="877"/>
      <c r="AS39" s="1048">
        <f t="shared" si="17"/>
        <v>168</v>
      </c>
      <c r="AT39" s="1048"/>
      <c r="AU39" s="877"/>
      <c r="AV39" s="4921"/>
      <c r="AW39" s="4921"/>
      <c r="AX39" s="1048"/>
      <c r="AY39" s="4921"/>
      <c r="AZ39" s="4921"/>
      <c r="BA39" s="1048"/>
      <c r="BB39" s="4622"/>
      <c r="BC39" s="4921"/>
      <c r="BD39" s="4622"/>
      <c r="BE39" s="4622"/>
      <c r="BF39" s="4622"/>
      <c r="BG39" s="4622"/>
      <c r="BH39" s="4622"/>
      <c r="BI39" s="4622"/>
      <c r="BJ39" s="1048"/>
      <c r="BK39" s="4415" t="s">
        <v>89</v>
      </c>
      <c r="BL39" s="4415"/>
      <c r="BM39" s="4415"/>
      <c r="BN39" s="4415"/>
      <c r="BO39" s="4415">
        <f>J39</f>
        <v>168</v>
      </c>
      <c r="BP39" s="4415"/>
      <c r="BQ39" s="4414"/>
      <c r="BR39" s="1048"/>
      <c r="BS39" s="4384"/>
      <c r="BT39" s="992"/>
      <c r="BU39" s="992"/>
      <c r="BV39" s="992"/>
      <c r="BW39" s="992"/>
      <c r="BX39" s="991"/>
      <c r="BY39" s="991"/>
      <c r="BZ39" s="3708">
        <f t="shared" si="4"/>
        <v>168</v>
      </c>
      <c r="CA39" s="4154">
        <f t="shared" si="5"/>
        <v>0</v>
      </c>
      <c r="CB39" s="4804"/>
      <c r="CC39" s="4804"/>
      <c r="CD39" s="4323"/>
      <c r="CE39" s="4323"/>
      <c r="CF39" s="4323"/>
    </row>
    <row r="40" s="4316" customFormat="1" ht="50" customHeight="1" spans="1:84">
      <c r="A40" s="4500">
        <v>45623</v>
      </c>
      <c r="B40" s="3708" t="s">
        <v>361</v>
      </c>
      <c r="C40" s="3708" t="s">
        <v>91</v>
      </c>
      <c r="D40" s="4154">
        <v>4500152657</v>
      </c>
      <c r="E40" s="3708" t="s">
        <v>535</v>
      </c>
      <c r="F40" s="3708" t="s">
        <v>536</v>
      </c>
      <c r="G40" s="3708" t="s">
        <v>375</v>
      </c>
      <c r="H40" s="3708" t="s">
        <v>375</v>
      </c>
      <c r="I40" s="4154" t="s">
        <v>328</v>
      </c>
      <c r="J40" s="4154">
        <v>216</v>
      </c>
      <c r="K40" s="4154">
        <v>0</v>
      </c>
      <c r="L40" s="4154">
        <v>12</v>
      </c>
      <c r="M40" s="4154">
        <v>18</v>
      </c>
      <c r="N40" s="4503">
        <v>45664</v>
      </c>
      <c r="O40" s="4503">
        <v>45660</v>
      </c>
      <c r="P40" s="4154"/>
      <c r="Q40" s="4154" t="s">
        <v>82</v>
      </c>
      <c r="R40" s="4157"/>
      <c r="S40" s="4157"/>
      <c r="T40" s="4157"/>
      <c r="U40" s="3726" t="s">
        <v>147</v>
      </c>
      <c r="V40" s="3711" t="s">
        <v>384</v>
      </c>
      <c r="W40" s="3711"/>
      <c r="X40" s="3711" t="s">
        <v>366</v>
      </c>
      <c r="Y40" s="3711"/>
      <c r="Z40" s="3711" t="s">
        <v>532</v>
      </c>
      <c r="AA40" s="4154"/>
      <c r="AB40" s="3713" t="s">
        <v>537</v>
      </c>
      <c r="AC40" s="3711" t="s">
        <v>369</v>
      </c>
      <c r="AD40" s="4504">
        <v>2.139</v>
      </c>
      <c r="AE40" s="4154">
        <v>462.024</v>
      </c>
      <c r="AF40" s="4505" t="s">
        <v>534</v>
      </c>
      <c r="AG40" s="3726"/>
      <c r="AH40" s="984"/>
      <c r="AI40" s="3708">
        <v>216</v>
      </c>
      <c r="AJ40" s="984"/>
      <c r="AK40" s="3708"/>
      <c r="AL40" s="3708"/>
      <c r="AM40" s="4154"/>
      <c r="AN40" s="877"/>
      <c r="AO40" s="1048">
        <v>216</v>
      </c>
      <c r="AP40" s="4622"/>
      <c r="AQ40" s="877"/>
      <c r="AR40" s="877"/>
      <c r="AS40" s="1048">
        <f t="shared" si="17"/>
        <v>216</v>
      </c>
      <c r="AT40" s="1048"/>
      <c r="AU40" s="877"/>
      <c r="AV40" s="4921"/>
      <c r="AW40" s="4921"/>
      <c r="AX40" s="1048"/>
      <c r="AY40" s="4921"/>
      <c r="AZ40" s="4921"/>
      <c r="BA40" s="1048"/>
      <c r="BB40" s="4622"/>
      <c r="BC40" s="4921"/>
      <c r="BD40" s="4622"/>
      <c r="BE40" s="4622"/>
      <c r="BF40" s="4622"/>
      <c r="BG40" s="4622"/>
      <c r="BH40" s="4622"/>
      <c r="BI40" s="4622"/>
      <c r="BJ40" s="1048"/>
      <c r="BK40" s="4415" t="s">
        <v>89</v>
      </c>
      <c r="BL40" s="4415"/>
      <c r="BM40" s="4415"/>
      <c r="BN40" s="4415"/>
      <c r="BO40" s="4415"/>
      <c r="BP40" s="4415"/>
      <c r="BQ40" s="4414"/>
      <c r="BR40" s="1048">
        <f>J40</f>
        <v>216</v>
      </c>
      <c r="BS40" s="4384"/>
      <c r="BT40" s="992"/>
      <c r="BU40" s="992"/>
      <c r="BV40" s="992"/>
      <c r="BW40" s="992"/>
      <c r="BX40" s="991"/>
      <c r="BY40" s="991"/>
      <c r="BZ40" s="3708">
        <f t="shared" si="4"/>
        <v>216</v>
      </c>
      <c r="CA40" s="4154">
        <f t="shared" si="5"/>
        <v>0</v>
      </c>
      <c r="CB40" s="4804"/>
      <c r="CC40" s="4804"/>
      <c r="CD40" s="4323"/>
      <c r="CE40" s="4323"/>
      <c r="CF40" s="4323"/>
    </row>
    <row r="41" s="4316" customFormat="1" ht="50" customHeight="1" spans="1:84">
      <c r="A41" s="4500">
        <v>45623</v>
      </c>
      <c r="B41" s="3708" t="s">
        <v>361</v>
      </c>
      <c r="C41" s="3708" t="s">
        <v>91</v>
      </c>
      <c r="D41" s="4154">
        <v>4500152379</v>
      </c>
      <c r="E41" s="3708" t="s">
        <v>538</v>
      </c>
      <c r="F41" s="3708" t="s">
        <v>539</v>
      </c>
      <c r="G41" s="3708" t="s">
        <v>364</v>
      </c>
      <c r="H41" s="3708" t="s">
        <v>364</v>
      </c>
      <c r="I41" s="4154" t="s">
        <v>328</v>
      </c>
      <c r="J41" s="4154">
        <v>48</v>
      </c>
      <c r="K41" s="4154">
        <v>0</v>
      </c>
      <c r="L41" s="4154">
        <v>12</v>
      </c>
      <c r="M41" s="4154">
        <v>4</v>
      </c>
      <c r="N41" s="4503">
        <v>45664</v>
      </c>
      <c r="O41" s="4503">
        <v>45660</v>
      </c>
      <c r="P41" s="4154"/>
      <c r="Q41" s="4154" t="s">
        <v>82</v>
      </c>
      <c r="R41" s="4157"/>
      <c r="S41" s="4157"/>
      <c r="T41" s="4157"/>
      <c r="U41" s="3726" t="s">
        <v>540</v>
      </c>
      <c r="V41" s="3711" t="s">
        <v>384</v>
      </c>
      <c r="W41" s="3711"/>
      <c r="X41" s="3711" t="s">
        <v>366</v>
      </c>
      <c r="Y41" s="3711"/>
      <c r="Z41" s="3711" t="s">
        <v>532</v>
      </c>
      <c r="AA41" s="4154"/>
      <c r="AB41" s="3713" t="s">
        <v>541</v>
      </c>
      <c r="AC41" s="3711" t="s">
        <v>369</v>
      </c>
      <c r="AD41" s="4154">
        <v>2.139</v>
      </c>
      <c r="AE41" s="4154">
        <v>102.672</v>
      </c>
      <c r="AF41" s="4505" t="s">
        <v>542</v>
      </c>
      <c r="AG41" s="3726"/>
      <c r="AH41" s="984"/>
      <c r="AI41" s="3708">
        <v>48</v>
      </c>
      <c r="AJ41" s="984"/>
      <c r="AK41" s="3708"/>
      <c r="AL41" s="3708"/>
      <c r="AM41" s="4154"/>
      <c r="AN41" s="877"/>
      <c r="AO41" s="1048">
        <v>48</v>
      </c>
      <c r="AP41" s="4622"/>
      <c r="AQ41" s="877"/>
      <c r="AR41" s="877"/>
      <c r="AS41" s="1048">
        <f t="shared" si="17"/>
        <v>48</v>
      </c>
      <c r="AT41" s="1048"/>
      <c r="AU41" s="877"/>
      <c r="AV41" s="4921"/>
      <c r="AW41" s="4921"/>
      <c r="AX41" s="1048"/>
      <c r="AY41" s="4921"/>
      <c r="AZ41" s="4921"/>
      <c r="BA41" s="1048"/>
      <c r="BB41" s="4622"/>
      <c r="BC41" s="4921"/>
      <c r="BD41" s="4622"/>
      <c r="BE41" s="4622"/>
      <c r="BF41" s="4622"/>
      <c r="BG41" s="4622"/>
      <c r="BH41" s="4622"/>
      <c r="BI41" s="4622"/>
      <c r="BJ41" s="1048"/>
      <c r="BK41" s="4415" t="s">
        <v>89</v>
      </c>
      <c r="BL41" s="4415"/>
      <c r="BM41" s="4415"/>
      <c r="BN41" s="4415"/>
      <c r="BO41" s="4415">
        <f>J41</f>
        <v>48</v>
      </c>
      <c r="BP41" s="4415"/>
      <c r="BQ41" s="4414"/>
      <c r="BR41" s="1048"/>
      <c r="BS41" s="4384"/>
      <c r="BT41" s="992"/>
      <c r="BU41" s="992"/>
      <c r="BV41" s="992"/>
      <c r="BW41" s="992"/>
      <c r="BX41" s="991"/>
      <c r="BY41" s="991"/>
      <c r="BZ41" s="3708">
        <f t="shared" si="4"/>
        <v>48</v>
      </c>
      <c r="CA41" s="4154">
        <f t="shared" si="5"/>
        <v>0</v>
      </c>
      <c r="CB41" s="4804"/>
      <c r="CC41" s="4804"/>
      <c r="CD41" s="4323"/>
      <c r="CE41" s="4323"/>
      <c r="CF41" s="4323"/>
    </row>
    <row r="42" s="4316" customFormat="1" ht="50" customHeight="1" spans="1:84">
      <c r="A42" s="4500">
        <v>45623</v>
      </c>
      <c r="B42" s="3708" t="s">
        <v>361</v>
      </c>
      <c r="C42" s="3708" t="s">
        <v>91</v>
      </c>
      <c r="D42" s="4154">
        <v>4500152379</v>
      </c>
      <c r="E42" s="3708" t="s">
        <v>543</v>
      </c>
      <c r="F42" s="3708" t="s">
        <v>544</v>
      </c>
      <c r="G42" s="3708" t="s">
        <v>364</v>
      </c>
      <c r="H42" s="3708" t="s">
        <v>364</v>
      </c>
      <c r="I42" s="4154" t="s">
        <v>328</v>
      </c>
      <c r="J42" s="4154">
        <v>12</v>
      </c>
      <c r="K42" s="4154">
        <v>0</v>
      </c>
      <c r="L42" s="4154">
        <v>12</v>
      </c>
      <c r="M42" s="4154">
        <v>1</v>
      </c>
      <c r="N42" s="4503">
        <v>45664</v>
      </c>
      <c r="O42" s="4503">
        <v>45660</v>
      </c>
      <c r="P42" s="4154"/>
      <c r="Q42" s="4154" t="s">
        <v>82</v>
      </c>
      <c r="R42" s="4157"/>
      <c r="S42" s="4157"/>
      <c r="T42" s="4157"/>
      <c r="U42" s="3726" t="s">
        <v>540</v>
      </c>
      <c r="V42" s="3711" t="s">
        <v>384</v>
      </c>
      <c r="W42" s="3711"/>
      <c r="X42" s="3711" t="s">
        <v>366</v>
      </c>
      <c r="Y42" s="3711"/>
      <c r="Z42" s="3711" t="s">
        <v>532</v>
      </c>
      <c r="AA42" s="4154"/>
      <c r="AB42" s="3713" t="s">
        <v>541</v>
      </c>
      <c r="AC42" s="3711" t="s">
        <v>369</v>
      </c>
      <c r="AD42" s="4154">
        <v>2.139</v>
      </c>
      <c r="AE42" s="4154">
        <v>25.668</v>
      </c>
      <c r="AF42" s="4505" t="s">
        <v>542</v>
      </c>
      <c r="AG42" s="3726"/>
      <c r="AH42" s="984"/>
      <c r="AI42" s="3708">
        <v>12</v>
      </c>
      <c r="AJ42" s="984"/>
      <c r="AK42" s="3708"/>
      <c r="AL42" s="3708"/>
      <c r="AM42" s="4154"/>
      <c r="AN42" s="877"/>
      <c r="AO42" s="1048">
        <v>12</v>
      </c>
      <c r="AP42" s="4622"/>
      <c r="AQ42" s="877"/>
      <c r="AR42" s="877"/>
      <c r="AS42" s="1048">
        <f t="shared" si="17"/>
        <v>12</v>
      </c>
      <c r="AT42" s="1048"/>
      <c r="AU42" s="877"/>
      <c r="AV42" s="4921"/>
      <c r="AW42" s="4921"/>
      <c r="AX42" s="1048"/>
      <c r="AY42" s="4921"/>
      <c r="AZ42" s="4921"/>
      <c r="BA42" s="1048"/>
      <c r="BB42" s="4622"/>
      <c r="BC42" s="4921"/>
      <c r="BD42" s="4622"/>
      <c r="BE42" s="4622"/>
      <c r="BF42" s="4622"/>
      <c r="BG42" s="4622"/>
      <c r="BH42" s="4622"/>
      <c r="BI42" s="4622"/>
      <c r="BJ42" s="1048"/>
      <c r="BK42" s="4415" t="s">
        <v>89</v>
      </c>
      <c r="BL42" s="4415"/>
      <c r="BM42" s="4415"/>
      <c r="BN42" s="4415"/>
      <c r="BO42" s="4415">
        <f>J42</f>
        <v>12</v>
      </c>
      <c r="BP42" s="4415"/>
      <c r="BQ42" s="4414"/>
      <c r="BR42" s="1048"/>
      <c r="BS42" s="4384"/>
      <c r="BT42" s="992"/>
      <c r="BU42" s="992"/>
      <c r="BV42" s="992"/>
      <c r="BW42" s="992"/>
      <c r="BX42" s="991"/>
      <c r="BY42" s="991"/>
      <c r="BZ42" s="3708">
        <f t="shared" si="4"/>
        <v>12</v>
      </c>
      <c r="CA42" s="4154">
        <f t="shared" si="5"/>
        <v>0</v>
      </c>
      <c r="CB42" s="4804"/>
      <c r="CC42" s="4804"/>
      <c r="CD42" s="4323"/>
      <c r="CE42" s="4323"/>
      <c r="CF42" s="4323"/>
    </row>
    <row r="43" s="4316" customFormat="1" ht="50" customHeight="1" spans="1:84">
      <c r="A43" s="4500">
        <v>45623</v>
      </c>
      <c r="B43" s="3708" t="s">
        <v>361</v>
      </c>
      <c r="C43" s="3708" t="s">
        <v>91</v>
      </c>
      <c r="D43" s="4154">
        <v>4500152379</v>
      </c>
      <c r="E43" s="3708" t="s">
        <v>545</v>
      </c>
      <c r="F43" s="3708" t="s">
        <v>546</v>
      </c>
      <c r="G43" s="3708" t="s">
        <v>364</v>
      </c>
      <c r="H43" s="3708" t="s">
        <v>364</v>
      </c>
      <c r="I43" s="4154" t="s">
        <v>328</v>
      </c>
      <c r="J43" s="4154">
        <v>84</v>
      </c>
      <c r="K43" s="4154">
        <v>0</v>
      </c>
      <c r="L43" s="4154">
        <v>12</v>
      </c>
      <c r="M43" s="4154">
        <v>7</v>
      </c>
      <c r="N43" s="4503">
        <v>45664</v>
      </c>
      <c r="O43" s="4503">
        <v>45660</v>
      </c>
      <c r="P43" s="4154"/>
      <c r="Q43" s="4154" t="s">
        <v>82</v>
      </c>
      <c r="R43" s="4157"/>
      <c r="S43" s="4157"/>
      <c r="T43" s="4157"/>
      <c r="U43" s="3726" t="s">
        <v>540</v>
      </c>
      <c r="V43" s="3711" t="s">
        <v>384</v>
      </c>
      <c r="W43" s="3711"/>
      <c r="X43" s="3711" t="s">
        <v>366</v>
      </c>
      <c r="Y43" s="3711"/>
      <c r="Z43" s="3711" t="s">
        <v>532</v>
      </c>
      <c r="AA43" s="4154"/>
      <c r="AB43" s="3713" t="s">
        <v>541</v>
      </c>
      <c r="AC43" s="3711" t="s">
        <v>369</v>
      </c>
      <c r="AD43" s="4154">
        <v>2.139</v>
      </c>
      <c r="AE43" s="4154">
        <v>179.676</v>
      </c>
      <c r="AF43" s="4505" t="s">
        <v>542</v>
      </c>
      <c r="AG43" s="3726"/>
      <c r="AH43" s="984"/>
      <c r="AI43" s="3708">
        <v>84</v>
      </c>
      <c r="AJ43" s="984"/>
      <c r="AK43" s="3708"/>
      <c r="AL43" s="3708"/>
      <c r="AM43" s="4154"/>
      <c r="AN43" s="877"/>
      <c r="AO43" s="1048">
        <v>84</v>
      </c>
      <c r="AP43" s="4622"/>
      <c r="AQ43" s="877"/>
      <c r="AR43" s="877"/>
      <c r="AS43" s="1048">
        <f t="shared" si="17"/>
        <v>84</v>
      </c>
      <c r="AT43" s="1048"/>
      <c r="AU43" s="877"/>
      <c r="AV43" s="4921"/>
      <c r="AW43" s="4921"/>
      <c r="AX43" s="1048"/>
      <c r="AY43" s="4921"/>
      <c r="AZ43" s="4921"/>
      <c r="BA43" s="1048"/>
      <c r="BB43" s="4622"/>
      <c r="BC43" s="4921"/>
      <c r="BD43" s="4622"/>
      <c r="BE43" s="4622"/>
      <c r="BF43" s="4622"/>
      <c r="BG43" s="4622"/>
      <c r="BH43" s="4622"/>
      <c r="BI43" s="4622"/>
      <c r="BJ43" s="1048"/>
      <c r="BK43" s="4415" t="s">
        <v>89</v>
      </c>
      <c r="BL43" s="4415"/>
      <c r="BM43" s="4415"/>
      <c r="BN43" s="4415"/>
      <c r="BO43" s="4415">
        <f>J43</f>
        <v>84</v>
      </c>
      <c r="BP43" s="4415"/>
      <c r="BQ43" s="4414"/>
      <c r="BR43" s="1048"/>
      <c r="BS43" s="4384"/>
      <c r="BT43" s="992"/>
      <c r="BU43" s="992"/>
      <c r="BV43" s="992"/>
      <c r="BW43" s="992"/>
      <c r="BX43" s="991"/>
      <c r="BY43" s="991"/>
      <c r="BZ43" s="3708">
        <f t="shared" si="4"/>
        <v>84</v>
      </c>
      <c r="CA43" s="4154">
        <f t="shared" si="5"/>
        <v>0</v>
      </c>
      <c r="CB43" s="4804"/>
      <c r="CC43" s="4804"/>
      <c r="CD43" s="4323"/>
      <c r="CE43" s="4323"/>
      <c r="CF43" s="4323"/>
    </row>
    <row r="44" s="4316" customFormat="1" ht="50" customHeight="1" spans="1:84">
      <c r="A44" s="4500">
        <v>45623</v>
      </c>
      <c r="B44" s="3708" t="s">
        <v>361</v>
      </c>
      <c r="C44" s="3708" t="s">
        <v>91</v>
      </c>
      <c r="D44" s="4154">
        <v>4500152379</v>
      </c>
      <c r="E44" s="3708" t="s">
        <v>547</v>
      </c>
      <c r="F44" s="3708" t="s">
        <v>548</v>
      </c>
      <c r="G44" s="3708" t="s">
        <v>375</v>
      </c>
      <c r="H44" s="3708" t="s">
        <v>375</v>
      </c>
      <c r="I44" s="4154" t="s">
        <v>328</v>
      </c>
      <c r="J44" s="4154">
        <v>12</v>
      </c>
      <c r="K44" s="4154">
        <v>0</v>
      </c>
      <c r="L44" s="4154">
        <v>12</v>
      </c>
      <c r="M44" s="4154">
        <v>1</v>
      </c>
      <c r="N44" s="4503">
        <v>45664</v>
      </c>
      <c r="O44" s="4503">
        <v>45660</v>
      </c>
      <c r="P44" s="4154"/>
      <c r="Q44" s="4154" t="s">
        <v>82</v>
      </c>
      <c r="R44" s="4157"/>
      <c r="S44" s="4157"/>
      <c r="T44" s="4157"/>
      <c r="U44" s="3726" t="s">
        <v>540</v>
      </c>
      <c r="V44" s="3711" t="s">
        <v>384</v>
      </c>
      <c r="W44" s="3711"/>
      <c r="X44" s="3711" t="s">
        <v>366</v>
      </c>
      <c r="Y44" s="3711"/>
      <c r="Z44" s="3711" t="s">
        <v>532</v>
      </c>
      <c r="AA44" s="4154"/>
      <c r="AB44" s="3713" t="s">
        <v>541</v>
      </c>
      <c r="AC44" s="3711" t="s">
        <v>369</v>
      </c>
      <c r="AD44" s="4504">
        <v>2.139</v>
      </c>
      <c r="AE44" s="4154">
        <v>25.668</v>
      </c>
      <c r="AF44" s="4505" t="s">
        <v>542</v>
      </c>
      <c r="AG44" s="3726"/>
      <c r="AH44" s="984"/>
      <c r="AI44" s="3708">
        <v>12</v>
      </c>
      <c r="AJ44" s="984"/>
      <c r="AK44" s="3708"/>
      <c r="AL44" s="3708"/>
      <c r="AM44" s="4154"/>
      <c r="AN44" s="877"/>
      <c r="AO44" s="1048">
        <v>12</v>
      </c>
      <c r="AP44" s="4622"/>
      <c r="AQ44" s="877"/>
      <c r="AR44" s="877"/>
      <c r="AS44" s="1048">
        <f t="shared" si="17"/>
        <v>12</v>
      </c>
      <c r="AT44" s="1048"/>
      <c r="AU44" s="877"/>
      <c r="AV44" s="4921"/>
      <c r="AW44" s="4921"/>
      <c r="AX44" s="1048"/>
      <c r="AY44" s="4921"/>
      <c r="AZ44" s="4921"/>
      <c r="BA44" s="1048"/>
      <c r="BB44" s="4622"/>
      <c r="BC44" s="4921"/>
      <c r="BD44" s="4622"/>
      <c r="BE44" s="4622"/>
      <c r="BF44" s="4622"/>
      <c r="BG44" s="4622"/>
      <c r="BH44" s="4622"/>
      <c r="BI44" s="4622"/>
      <c r="BJ44" s="1048"/>
      <c r="BK44" s="4415" t="s">
        <v>89</v>
      </c>
      <c r="BL44" s="4415"/>
      <c r="BM44" s="4415"/>
      <c r="BN44" s="4415"/>
      <c r="BO44" s="4415"/>
      <c r="BP44" s="4415"/>
      <c r="BQ44" s="4414"/>
      <c r="BR44" s="1048">
        <f>J44</f>
        <v>12</v>
      </c>
      <c r="BS44" s="4384"/>
      <c r="BT44" s="992"/>
      <c r="BU44" s="992"/>
      <c r="BV44" s="992"/>
      <c r="BW44" s="992"/>
      <c r="BX44" s="991"/>
      <c r="BY44" s="991"/>
      <c r="BZ44" s="3708">
        <f t="shared" si="4"/>
        <v>12</v>
      </c>
      <c r="CA44" s="4154">
        <f t="shared" si="5"/>
        <v>0</v>
      </c>
      <c r="CB44" s="4804"/>
      <c r="CC44" s="4804"/>
      <c r="CD44" s="4323"/>
      <c r="CE44" s="4323"/>
      <c r="CF44" s="4323"/>
    </row>
    <row r="45" s="4316" customFormat="1" ht="50" customHeight="1" spans="1:84">
      <c r="A45" s="4500">
        <v>45623</v>
      </c>
      <c r="B45" s="3708" t="s">
        <v>361</v>
      </c>
      <c r="C45" s="3708" t="s">
        <v>91</v>
      </c>
      <c r="D45" s="4154">
        <v>4500152379</v>
      </c>
      <c r="E45" s="3708" t="s">
        <v>549</v>
      </c>
      <c r="F45" s="3708" t="s">
        <v>550</v>
      </c>
      <c r="G45" s="3708" t="s">
        <v>375</v>
      </c>
      <c r="H45" s="3708" t="s">
        <v>375</v>
      </c>
      <c r="I45" s="4154" t="s">
        <v>328</v>
      </c>
      <c r="J45" s="4154">
        <v>156</v>
      </c>
      <c r="K45" s="4154">
        <v>0</v>
      </c>
      <c r="L45" s="4154">
        <v>12</v>
      </c>
      <c r="M45" s="4154">
        <v>13</v>
      </c>
      <c r="N45" s="4503">
        <v>45664</v>
      </c>
      <c r="O45" s="4503">
        <v>45660</v>
      </c>
      <c r="P45" s="4154"/>
      <c r="Q45" s="4154" t="s">
        <v>82</v>
      </c>
      <c r="R45" s="4157"/>
      <c r="S45" s="4157"/>
      <c r="T45" s="4157"/>
      <c r="U45" s="3726" t="s">
        <v>540</v>
      </c>
      <c r="V45" s="3711" t="s">
        <v>384</v>
      </c>
      <c r="W45" s="3711"/>
      <c r="X45" s="3711" t="s">
        <v>366</v>
      </c>
      <c r="Y45" s="3711"/>
      <c r="Z45" s="3711" t="s">
        <v>532</v>
      </c>
      <c r="AA45" s="4154"/>
      <c r="AB45" s="3713" t="s">
        <v>541</v>
      </c>
      <c r="AC45" s="3711" t="s">
        <v>369</v>
      </c>
      <c r="AD45" s="4504">
        <v>2.139</v>
      </c>
      <c r="AE45" s="4154">
        <v>333.684</v>
      </c>
      <c r="AF45" s="4505" t="s">
        <v>542</v>
      </c>
      <c r="AG45" s="3726"/>
      <c r="AH45" s="984"/>
      <c r="AI45" s="3708">
        <v>156</v>
      </c>
      <c r="AJ45" s="984"/>
      <c r="AK45" s="3708"/>
      <c r="AL45" s="3708"/>
      <c r="AM45" s="4154"/>
      <c r="AN45" s="877"/>
      <c r="AO45" s="1048">
        <v>156</v>
      </c>
      <c r="AP45" s="4622"/>
      <c r="AQ45" s="877"/>
      <c r="AR45" s="877"/>
      <c r="AS45" s="1048">
        <f t="shared" si="17"/>
        <v>156</v>
      </c>
      <c r="AT45" s="1048"/>
      <c r="AU45" s="877"/>
      <c r="AV45" s="4921"/>
      <c r="AW45" s="4921"/>
      <c r="AX45" s="1048"/>
      <c r="AY45" s="4921"/>
      <c r="AZ45" s="4921"/>
      <c r="BA45" s="1048"/>
      <c r="BB45" s="4622"/>
      <c r="BC45" s="4921"/>
      <c r="BD45" s="4622"/>
      <c r="BE45" s="4622"/>
      <c r="BF45" s="4622"/>
      <c r="BG45" s="4622"/>
      <c r="BH45" s="4622"/>
      <c r="BI45" s="4622"/>
      <c r="BJ45" s="1048"/>
      <c r="BK45" s="4415" t="s">
        <v>89</v>
      </c>
      <c r="BL45" s="4415"/>
      <c r="BM45" s="4415"/>
      <c r="BN45" s="4415"/>
      <c r="BO45" s="4415"/>
      <c r="BP45" s="4415"/>
      <c r="BQ45" s="4414"/>
      <c r="BR45" s="1048">
        <f>J45</f>
        <v>156</v>
      </c>
      <c r="BS45" s="4384"/>
      <c r="BT45" s="992"/>
      <c r="BU45" s="992"/>
      <c r="BV45" s="992"/>
      <c r="BW45" s="992"/>
      <c r="BX45" s="991"/>
      <c r="BY45" s="991"/>
      <c r="BZ45" s="3708">
        <f t="shared" si="4"/>
        <v>156</v>
      </c>
      <c r="CA45" s="4154">
        <f t="shared" si="5"/>
        <v>0</v>
      </c>
      <c r="CB45" s="4804"/>
      <c r="CC45" s="4804"/>
      <c r="CD45" s="4323"/>
      <c r="CE45" s="4323"/>
      <c r="CF45" s="4323"/>
    </row>
    <row r="46" s="4316" customFormat="1" ht="50" customHeight="1" spans="1:84">
      <c r="A46" s="4500">
        <v>45623</v>
      </c>
      <c r="B46" s="3708" t="s">
        <v>361</v>
      </c>
      <c r="C46" s="3708" t="s">
        <v>91</v>
      </c>
      <c r="D46" s="4154">
        <v>4500152379</v>
      </c>
      <c r="E46" s="3708" t="s">
        <v>551</v>
      </c>
      <c r="F46" s="3708" t="s">
        <v>552</v>
      </c>
      <c r="G46" s="3708" t="s">
        <v>375</v>
      </c>
      <c r="H46" s="3708" t="s">
        <v>375</v>
      </c>
      <c r="I46" s="4154" t="s">
        <v>328</v>
      </c>
      <c r="J46" s="4154">
        <v>132</v>
      </c>
      <c r="K46" s="4154">
        <v>0</v>
      </c>
      <c r="L46" s="4154">
        <v>12</v>
      </c>
      <c r="M46" s="4154">
        <v>11</v>
      </c>
      <c r="N46" s="4503">
        <v>45664</v>
      </c>
      <c r="O46" s="4503">
        <v>45660</v>
      </c>
      <c r="P46" s="4154"/>
      <c r="Q46" s="4154" t="s">
        <v>82</v>
      </c>
      <c r="R46" s="4157"/>
      <c r="S46" s="4157"/>
      <c r="T46" s="4157"/>
      <c r="U46" s="3726" t="s">
        <v>540</v>
      </c>
      <c r="V46" s="3711" t="s">
        <v>384</v>
      </c>
      <c r="W46" s="3711"/>
      <c r="X46" s="3711" t="s">
        <v>366</v>
      </c>
      <c r="Y46" s="3711"/>
      <c r="Z46" s="3711" t="s">
        <v>532</v>
      </c>
      <c r="AA46" s="4154"/>
      <c r="AB46" s="3713" t="s">
        <v>541</v>
      </c>
      <c r="AC46" s="3711" t="s">
        <v>369</v>
      </c>
      <c r="AD46" s="4504">
        <v>2.139</v>
      </c>
      <c r="AE46" s="4154">
        <v>282.348</v>
      </c>
      <c r="AF46" s="4505" t="s">
        <v>542</v>
      </c>
      <c r="AG46" s="3726"/>
      <c r="AH46" s="984"/>
      <c r="AI46" s="3708">
        <v>132</v>
      </c>
      <c r="AJ46" s="984"/>
      <c r="AK46" s="3708"/>
      <c r="AL46" s="3708"/>
      <c r="AM46" s="4154"/>
      <c r="AN46" s="877"/>
      <c r="AO46" s="1048">
        <v>132</v>
      </c>
      <c r="AP46" s="4622"/>
      <c r="AQ46" s="877"/>
      <c r="AR46" s="877"/>
      <c r="AS46" s="1048">
        <f t="shared" si="17"/>
        <v>132</v>
      </c>
      <c r="AT46" s="1048"/>
      <c r="AU46" s="877"/>
      <c r="AV46" s="4921"/>
      <c r="AW46" s="4921"/>
      <c r="AX46" s="1048"/>
      <c r="AY46" s="4921"/>
      <c r="AZ46" s="4921"/>
      <c r="BA46" s="1048"/>
      <c r="BB46" s="4622"/>
      <c r="BC46" s="4921"/>
      <c r="BD46" s="4622"/>
      <c r="BE46" s="4622"/>
      <c r="BF46" s="4622"/>
      <c r="BG46" s="4622"/>
      <c r="BH46" s="4622"/>
      <c r="BI46" s="4622"/>
      <c r="BJ46" s="1048"/>
      <c r="BK46" s="4415" t="s">
        <v>89</v>
      </c>
      <c r="BL46" s="4415"/>
      <c r="BM46" s="4415"/>
      <c r="BN46" s="4415"/>
      <c r="BO46" s="4415"/>
      <c r="BP46" s="4415"/>
      <c r="BQ46" s="4414"/>
      <c r="BR46" s="1048">
        <f>J46</f>
        <v>132</v>
      </c>
      <c r="BS46" s="4384"/>
      <c r="BT46" s="992"/>
      <c r="BU46" s="992"/>
      <c r="BV46" s="992"/>
      <c r="BW46" s="992"/>
      <c r="BX46" s="991"/>
      <c r="BY46" s="991"/>
      <c r="BZ46" s="3708">
        <f t="shared" si="4"/>
        <v>132</v>
      </c>
      <c r="CA46" s="4154">
        <f t="shared" si="5"/>
        <v>0</v>
      </c>
      <c r="CB46" s="4804"/>
      <c r="CC46" s="4804"/>
      <c r="CD46" s="4323"/>
      <c r="CE46" s="4323"/>
      <c r="CF46" s="4323"/>
    </row>
    <row r="47" s="4316" customFormat="1" ht="50" customHeight="1" spans="1:84">
      <c r="A47" s="4500">
        <v>45621</v>
      </c>
      <c r="B47" s="3708" t="s">
        <v>553</v>
      </c>
      <c r="C47" s="3708" t="s">
        <v>554</v>
      </c>
      <c r="D47" s="4154">
        <v>4500152205</v>
      </c>
      <c r="E47" s="3708"/>
      <c r="F47" s="3708" t="s">
        <v>555</v>
      </c>
      <c r="G47" s="3708" t="s">
        <v>360</v>
      </c>
      <c r="H47" s="3708" t="s">
        <v>327</v>
      </c>
      <c r="I47" s="4154" t="s">
        <v>328</v>
      </c>
      <c r="J47" s="4154">
        <v>504</v>
      </c>
      <c r="K47" s="4154">
        <v>0</v>
      </c>
      <c r="L47" s="4154">
        <v>12</v>
      </c>
      <c r="M47" s="4154">
        <f t="shared" ref="M47:M110" si="19">J47/L47</f>
        <v>42</v>
      </c>
      <c r="N47" s="4503">
        <v>45667</v>
      </c>
      <c r="O47" s="4503">
        <v>45663</v>
      </c>
      <c r="P47" s="4154"/>
      <c r="Q47" s="4154" t="s">
        <v>82</v>
      </c>
      <c r="R47" s="4157"/>
      <c r="S47" s="4157"/>
      <c r="T47" s="4157"/>
      <c r="U47" s="3726" t="s">
        <v>556</v>
      </c>
      <c r="V47" s="3711" t="s">
        <v>402</v>
      </c>
      <c r="W47" s="3711"/>
      <c r="X47" s="3711" t="s">
        <v>557</v>
      </c>
      <c r="Y47" s="3711"/>
      <c r="Z47" s="3711"/>
      <c r="AA47" s="4154"/>
      <c r="AB47" s="3713" t="s">
        <v>558</v>
      </c>
      <c r="AC47" s="3711" t="s">
        <v>559</v>
      </c>
      <c r="AD47" s="4154">
        <v>2.209</v>
      </c>
      <c r="AE47" s="4154">
        <f>J47*AD47</f>
        <v>1113.336</v>
      </c>
      <c r="AF47" s="4505" t="s">
        <v>560</v>
      </c>
      <c r="AG47" s="3726"/>
      <c r="AH47" s="4422"/>
      <c r="AI47" s="3708">
        <f>J47</f>
        <v>504</v>
      </c>
      <c r="AJ47" s="4422"/>
      <c r="AK47" s="3708"/>
      <c r="AL47" s="3708"/>
      <c r="AM47" s="4154"/>
      <c r="AN47" s="907"/>
      <c r="AO47" s="1048">
        <f>J47</f>
        <v>504</v>
      </c>
      <c r="AP47" s="4622"/>
      <c r="AQ47" s="907"/>
      <c r="AR47" s="907"/>
      <c r="AS47" s="1048">
        <f t="shared" si="17"/>
        <v>504</v>
      </c>
      <c r="AT47" s="1048"/>
      <c r="AU47" s="907"/>
      <c r="AV47" s="4922"/>
      <c r="AW47" s="4922"/>
      <c r="AX47" s="1048">
        <f>J47/6</f>
        <v>84</v>
      </c>
      <c r="AY47" s="4922"/>
      <c r="AZ47" s="4922"/>
      <c r="BA47" s="1048"/>
      <c r="BB47" s="4622"/>
      <c r="BC47" s="4922"/>
      <c r="BD47" s="4622"/>
      <c r="BE47" s="4622"/>
      <c r="BF47" s="4622"/>
      <c r="BG47" s="4622"/>
      <c r="BH47" s="1048"/>
      <c r="BI47" s="4622"/>
      <c r="BJ47" s="1048"/>
      <c r="BK47" s="4415" t="s">
        <v>89</v>
      </c>
      <c r="BL47" s="4415">
        <f t="shared" ref="BL47:BL59" si="20">J47/60*1</f>
        <v>8.4</v>
      </c>
      <c r="BM47" s="4415">
        <f t="shared" ref="BM47:BM63" si="21">J47/60*9</f>
        <v>75.6</v>
      </c>
      <c r="BN47" s="4415">
        <f t="shared" ref="BN47:BN63" si="22">J47/60*10</f>
        <v>84</v>
      </c>
      <c r="BO47" s="4415">
        <f t="shared" ref="BO47:BO63" si="23">J47/60*10</f>
        <v>84</v>
      </c>
      <c r="BP47" s="4415">
        <f t="shared" ref="BP47:BP63" si="24">J47/60*10</f>
        <v>84</v>
      </c>
      <c r="BQ47" s="4414">
        <f t="shared" ref="BQ47:BQ63" si="25">J47/60*10</f>
        <v>84</v>
      </c>
      <c r="BR47" s="1048">
        <f t="shared" ref="BR47:BR63" si="26">J47/60*10</f>
        <v>84</v>
      </c>
      <c r="BS47" s="4384"/>
      <c r="BT47" s="911"/>
      <c r="BU47" s="911"/>
      <c r="BV47" s="911"/>
      <c r="BW47" s="911"/>
      <c r="BX47" s="910"/>
      <c r="BY47" s="910"/>
      <c r="BZ47" s="3708">
        <f t="shared" si="4"/>
        <v>504</v>
      </c>
      <c r="CA47" s="4154">
        <f t="shared" si="5"/>
        <v>0</v>
      </c>
      <c r="CB47" s="4923"/>
      <c r="CC47" s="4923"/>
      <c r="CD47" s="4323"/>
      <c r="CE47" s="4323"/>
      <c r="CF47" s="4323"/>
    </row>
    <row r="48" s="4316" customFormat="1" ht="50" customHeight="1" spans="1:84">
      <c r="A48" s="4500">
        <v>45631</v>
      </c>
      <c r="B48" s="3708" t="s">
        <v>561</v>
      </c>
      <c r="C48" s="3708" t="s">
        <v>562</v>
      </c>
      <c r="D48" s="4154">
        <v>4500153347</v>
      </c>
      <c r="E48" s="3708"/>
      <c r="F48" s="3708" t="s">
        <v>563</v>
      </c>
      <c r="G48" s="3708" t="s">
        <v>360</v>
      </c>
      <c r="H48" s="3708" t="s">
        <v>327</v>
      </c>
      <c r="I48" s="4154" t="s">
        <v>328</v>
      </c>
      <c r="J48" s="4154">
        <v>1008</v>
      </c>
      <c r="K48" s="4154">
        <v>0</v>
      </c>
      <c r="L48" s="4154">
        <v>12</v>
      </c>
      <c r="M48" s="4154">
        <f t="shared" si="19"/>
        <v>84</v>
      </c>
      <c r="N48" s="4503">
        <v>45667</v>
      </c>
      <c r="O48" s="4503">
        <v>45663</v>
      </c>
      <c r="P48" s="4154"/>
      <c r="Q48" s="4154" t="s">
        <v>82</v>
      </c>
      <c r="R48" s="4157"/>
      <c r="S48" s="4157"/>
      <c r="T48" s="4157"/>
      <c r="U48" s="3726" t="s">
        <v>564</v>
      </c>
      <c r="V48" s="3711" t="s">
        <v>465</v>
      </c>
      <c r="W48" s="3711"/>
      <c r="X48" s="3711" t="s">
        <v>565</v>
      </c>
      <c r="Y48" s="3711"/>
      <c r="Z48" s="3711"/>
      <c r="AA48" s="4154"/>
      <c r="AB48" s="3713" t="s">
        <v>566</v>
      </c>
      <c r="AC48" s="3711" t="s">
        <v>459</v>
      </c>
      <c r="AD48" s="4504">
        <v>2.2044</v>
      </c>
      <c r="AE48" s="4154">
        <v>282.348</v>
      </c>
      <c r="AF48" s="4505" t="s">
        <v>567</v>
      </c>
      <c r="AG48" s="3726"/>
      <c r="AH48" s="4422"/>
      <c r="AI48" s="3708">
        <v>132</v>
      </c>
      <c r="AJ48" s="4422"/>
      <c r="AK48" s="3708"/>
      <c r="AL48" s="3708"/>
      <c r="AM48" s="4154"/>
      <c r="AN48" s="907"/>
      <c r="AO48" s="1048">
        <v>132</v>
      </c>
      <c r="AP48" s="4622"/>
      <c r="AQ48" s="907"/>
      <c r="AR48" s="907"/>
      <c r="AS48" s="1048">
        <f t="shared" si="17"/>
        <v>1008</v>
      </c>
      <c r="AT48" s="1048"/>
      <c r="AU48" s="907"/>
      <c r="AV48" s="4922"/>
      <c r="AW48" s="4922"/>
      <c r="AX48" s="1048">
        <f>J48/6</f>
        <v>168</v>
      </c>
      <c r="AY48" s="4922"/>
      <c r="AZ48" s="4922"/>
      <c r="BA48" s="1048"/>
      <c r="BB48" s="4622"/>
      <c r="BC48" s="4922"/>
      <c r="BD48" s="4622"/>
      <c r="BE48" s="4622"/>
      <c r="BF48" s="4622"/>
      <c r="BG48" s="4622"/>
      <c r="BH48" s="4622"/>
      <c r="BI48" s="4622"/>
      <c r="BJ48" s="1048"/>
      <c r="BK48" s="4415" t="s">
        <v>89</v>
      </c>
      <c r="BL48" s="4415">
        <f t="shared" si="20"/>
        <v>16.8</v>
      </c>
      <c r="BM48" s="4415">
        <f t="shared" si="21"/>
        <v>151.2</v>
      </c>
      <c r="BN48" s="4415">
        <f t="shared" si="22"/>
        <v>168</v>
      </c>
      <c r="BO48" s="4415">
        <f t="shared" si="23"/>
        <v>168</v>
      </c>
      <c r="BP48" s="4415">
        <f t="shared" si="24"/>
        <v>168</v>
      </c>
      <c r="BQ48" s="4414">
        <f t="shared" si="25"/>
        <v>168</v>
      </c>
      <c r="BR48" s="1048">
        <f t="shared" si="26"/>
        <v>168</v>
      </c>
      <c r="BS48" s="4384"/>
      <c r="BT48" s="911"/>
      <c r="BU48" s="911"/>
      <c r="BV48" s="911"/>
      <c r="BW48" s="911"/>
      <c r="BX48" s="910"/>
      <c r="BY48" s="910"/>
      <c r="BZ48" s="3708">
        <f t="shared" si="4"/>
        <v>1008</v>
      </c>
      <c r="CA48" s="4154">
        <f t="shared" si="5"/>
        <v>0</v>
      </c>
      <c r="CB48" s="4923"/>
      <c r="CC48" s="4923"/>
      <c r="CD48" s="4323"/>
      <c r="CE48" s="4323"/>
      <c r="CF48" s="4323"/>
    </row>
    <row r="49" s="4316" customFormat="1" ht="50" customHeight="1" spans="1:84">
      <c r="A49" s="4500">
        <v>45631</v>
      </c>
      <c r="B49" s="3708" t="s">
        <v>568</v>
      </c>
      <c r="C49" s="3708" t="s">
        <v>569</v>
      </c>
      <c r="D49" s="4154">
        <v>4500153302</v>
      </c>
      <c r="E49" s="3708">
        <v>2000006814</v>
      </c>
      <c r="F49" s="3708" t="s">
        <v>570</v>
      </c>
      <c r="G49" s="3708" t="s">
        <v>571</v>
      </c>
      <c r="H49" s="3708" t="s">
        <v>443</v>
      </c>
      <c r="I49" s="3708" t="s">
        <v>328</v>
      </c>
      <c r="J49" s="4154">
        <v>1404</v>
      </c>
      <c r="K49" s="4154">
        <v>0</v>
      </c>
      <c r="L49" s="4154">
        <v>12</v>
      </c>
      <c r="M49" s="4154">
        <f t="shared" si="19"/>
        <v>117</v>
      </c>
      <c r="N49" s="4503">
        <v>45672</v>
      </c>
      <c r="O49" s="4503">
        <v>45668</v>
      </c>
      <c r="P49" s="4154" t="s">
        <v>572</v>
      </c>
      <c r="Q49" s="4154" t="s">
        <v>82</v>
      </c>
      <c r="R49" s="4157"/>
      <c r="S49" s="4157"/>
      <c r="T49" s="4157"/>
      <c r="U49" s="3726" t="s">
        <v>573</v>
      </c>
      <c r="V49" s="3711" t="s">
        <v>574</v>
      </c>
      <c r="W49" s="3711"/>
      <c r="X49" s="3711" t="s">
        <v>575</v>
      </c>
      <c r="Y49" s="3711"/>
      <c r="Z49" s="3711"/>
      <c r="AA49" s="4154" t="s">
        <v>576</v>
      </c>
      <c r="AB49" s="3713" t="s">
        <v>577</v>
      </c>
      <c r="AC49" s="3711" t="s">
        <v>578</v>
      </c>
      <c r="AD49" s="4154">
        <v>2.1378</v>
      </c>
      <c r="AE49" s="4154">
        <f>J49*AD49</f>
        <v>3001.4712</v>
      </c>
      <c r="AF49" s="4505" t="s">
        <v>579</v>
      </c>
      <c r="AG49" s="3726"/>
      <c r="AH49" s="984"/>
      <c r="AI49" s="3708"/>
      <c r="AJ49" s="984"/>
      <c r="AK49" s="3708">
        <f>J49</f>
        <v>1404</v>
      </c>
      <c r="AL49" s="3708"/>
      <c r="AM49" s="4154"/>
      <c r="AN49" s="877"/>
      <c r="AO49" s="1048">
        <f t="shared" ref="AO49:AO71" si="27">J49</f>
        <v>1404</v>
      </c>
      <c r="AP49" s="4622"/>
      <c r="AQ49" s="877"/>
      <c r="AR49" s="877"/>
      <c r="AS49" s="1048"/>
      <c r="AT49" s="1048">
        <f>J49</f>
        <v>1404</v>
      </c>
      <c r="AU49" s="877"/>
      <c r="AV49" s="4921"/>
      <c r="AW49" s="4921"/>
      <c r="AX49" s="1048">
        <f>J49/6</f>
        <v>234</v>
      </c>
      <c r="AY49" s="4921"/>
      <c r="AZ49" s="4921"/>
      <c r="BA49" s="1048"/>
      <c r="BB49" s="4622"/>
      <c r="BC49" s="4921"/>
      <c r="BD49" s="4622"/>
      <c r="BE49" s="4622"/>
      <c r="BF49" s="4622"/>
      <c r="BG49" s="4622"/>
      <c r="BH49" s="4622"/>
      <c r="BI49" s="4622"/>
      <c r="BJ49" s="1048"/>
      <c r="BK49" s="4415" t="s">
        <v>89</v>
      </c>
      <c r="BL49" s="4415">
        <f t="shared" si="20"/>
        <v>23.4</v>
      </c>
      <c r="BM49" s="4415">
        <f t="shared" si="21"/>
        <v>210.6</v>
      </c>
      <c r="BN49" s="4415">
        <f t="shared" si="22"/>
        <v>234</v>
      </c>
      <c r="BO49" s="4415">
        <f t="shared" si="23"/>
        <v>234</v>
      </c>
      <c r="BP49" s="4415">
        <f t="shared" si="24"/>
        <v>234</v>
      </c>
      <c r="BQ49" s="4414">
        <f t="shared" si="25"/>
        <v>234</v>
      </c>
      <c r="BR49" s="1048">
        <f t="shared" si="26"/>
        <v>234</v>
      </c>
      <c r="BS49" s="4384"/>
      <c r="BT49" s="992"/>
      <c r="BU49" s="992"/>
      <c r="BV49" s="992"/>
      <c r="BW49" s="992"/>
      <c r="BX49" s="991"/>
      <c r="BY49" s="991"/>
      <c r="BZ49" s="3708">
        <f t="shared" si="4"/>
        <v>1404</v>
      </c>
      <c r="CA49" s="4154">
        <f t="shared" si="5"/>
        <v>0</v>
      </c>
      <c r="CB49" s="4804"/>
      <c r="CC49" s="4804"/>
      <c r="CD49" s="4323"/>
      <c r="CE49" s="4323"/>
      <c r="CF49" s="4323"/>
    </row>
    <row r="50" s="4316" customFormat="1" ht="50" customHeight="1" spans="1:84">
      <c r="A50" s="4500">
        <v>45637</v>
      </c>
      <c r="B50" s="3708" t="s">
        <v>580</v>
      </c>
      <c r="C50" s="3708" t="s">
        <v>581</v>
      </c>
      <c r="D50" s="4154">
        <v>4500153685</v>
      </c>
      <c r="E50" s="3708"/>
      <c r="F50" s="3708" t="s">
        <v>582</v>
      </c>
      <c r="G50" s="3708" t="s">
        <v>360</v>
      </c>
      <c r="H50" s="3708" t="s">
        <v>327</v>
      </c>
      <c r="I50" s="4154" t="s">
        <v>328</v>
      </c>
      <c r="J50" s="4154">
        <v>8016</v>
      </c>
      <c r="K50" s="4154">
        <v>0</v>
      </c>
      <c r="L50" s="4154">
        <v>12</v>
      </c>
      <c r="M50" s="4154">
        <f t="shared" si="19"/>
        <v>668</v>
      </c>
      <c r="N50" s="4503">
        <v>45304</v>
      </c>
      <c r="O50" s="4503">
        <v>45666</v>
      </c>
      <c r="P50" s="4154"/>
      <c r="Q50" s="4154" t="s">
        <v>82</v>
      </c>
      <c r="R50" s="4157"/>
      <c r="S50" s="4157"/>
      <c r="T50" s="4157"/>
      <c r="U50" s="3726" t="s">
        <v>427</v>
      </c>
      <c r="V50" s="3711" t="s">
        <v>574</v>
      </c>
      <c r="W50" s="3711"/>
      <c r="X50" s="3711" t="s">
        <v>583</v>
      </c>
      <c r="Y50" s="3711"/>
      <c r="Z50" s="3711"/>
      <c r="AA50" s="4154"/>
      <c r="AB50" s="3713" t="s">
        <v>584</v>
      </c>
      <c r="AC50" s="3711" t="s">
        <v>459</v>
      </c>
      <c r="AD50" s="4504">
        <v>2.1849</v>
      </c>
      <c r="AE50" s="4154">
        <f>J50*AD50</f>
        <v>17514.1584</v>
      </c>
      <c r="AF50" s="4505" t="s">
        <v>585</v>
      </c>
      <c r="AG50" s="3726"/>
      <c r="AH50" s="984"/>
      <c r="AI50" s="3708">
        <v>132</v>
      </c>
      <c r="AJ50" s="984"/>
      <c r="AK50" s="3708"/>
      <c r="AL50" s="3708"/>
      <c r="AM50" s="4154"/>
      <c r="AN50" s="877"/>
      <c r="AO50" s="1048">
        <f t="shared" si="27"/>
        <v>8016</v>
      </c>
      <c r="AP50" s="4622"/>
      <c r="AQ50" s="877"/>
      <c r="AR50" s="877"/>
      <c r="AS50" s="1048">
        <f>J50</f>
        <v>8016</v>
      </c>
      <c r="AT50" s="1048"/>
      <c r="AU50" s="877"/>
      <c r="AV50" s="4921"/>
      <c r="AW50" s="4921"/>
      <c r="AX50" s="1048">
        <f>J50/6</f>
        <v>1336</v>
      </c>
      <c r="AY50" s="4921"/>
      <c r="AZ50" s="4921"/>
      <c r="BA50" s="1048"/>
      <c r="BB50" s="4622"/>
      <c r="BC50" s="4921"/>
      <c r="BD50" s="4622"/>
      <c r="BE50" s="4622"/>
      <c r="BF50" s="4622"/>
      <c r="BG50" s="4622"/>
      <c r="BH50" s="4622"/>
      <c r="BI50" s="4622"/>
      <c r="BJ50" s="1048"/>
      <c r="BK50" s="4415" t="s">
        <v>89</v>
      </c>
      <c r="BL50" s="4415">
        <f t="shared" si="20"/>
        <v>133.6</v>
      </c>
      <c r="BM50" s="4415">
        <f t="shared" si="21"/>
        <v>1202.4</v>
      </c>
      <c r="BN50" s="4415">
        <f t="shared" si="22"/>
        <v>1336</v>
      </c>
      <c r="BO50" s="4415">
        <f t="shared" si="23"/>
        <v>1336</v>
      </c>
      <c r="BP50" s="4415">
        <f t="shared" si="24"/>
        <v>1336</v>
      </c>
      <c r="BQ50" s="4414">
        <f t="shared" si="25"/>
        <v>1336</v>
      </c>
      <c r="BR50" s="1048">
        <f t="shared" si="26"/>
        <v>1336</v>
      </c>
      <c r="BS50" s="4384"/>
      <c r="BT50" s="992"/>
      <c r="BU50" s="992"/>
      <c r="BV50" s="992"/>
      <c r="BW50" s="992"/>
      <c r="BX50" s="991"/>
      <c r="BY50" s="991"/>
      <c r="BZ50" s="3708">
        <f t="shared" si="4"/>
        <v>8016</v>
      </c>
      <c r="CA50" s="4154">
        <f t="shared" si="5"/>
        <v>0</v>
      </c>
      <c r="CB50" s="4804"/>
      <c r="CC50" s="4804"/>
      <c r="CD50" s="4323"/>
      <c r="CE50" s="4323"/>
      <c r="CF50" s="4323"/>
    </row>
    <row r="51" s="4316" customFormat="1" ht="50" customHeight="1" spans="1:84">
      <c r="A51" s="4500">
        <v>45603</v>
      </c>
      <c r="B51" s="3708" t="s">
        <v>387</v>
      </c>
      <c r="C51" s="3708" t="s">
        <v>91</v>
      </c>
      <c r="D51" s="4154">
        <v>4500150317</v>
      </c>
      <c r="E51" s="3708">
        <v>70054070</v>
      </c>
      <c r="F51" s="3708" t="s">
        <v>586</v>
      </c>
      <c r="G51" s="3708" t="s">
        <v>333</v>
      </c>
      <c r="H51" s="3708" t="s">
        <v>333</v>
      </c>
      <c r="I51" s="3708" t="s">
        <v>328</v>
      </c>
      <c r="J51" s="4593">
        <v>504</v>
      </c>
      <c r="K51" s="4154">
        <v>0</v>
      </c>
      <c r="L51" s="4154">
        <v>24</v>
      </c>
      <c r="M51" s="4154">
        <f t="shared" si="19"/>
        <v>21</v>
      </c>
      <c r="N51" s="4503">
        <v>45670</v>
      </c>
      <c r="O51" s="4503">
        <v>45666</v>
      </c>
      <c r="P51" s="4154"/>
      <c r="Q51" s="4154" t="s">
        <v>82</v>
      </c>
      <c r="R51" s="4157"/>
      <c r="S51" s="4157"/>
      <c r="T51" s="4157"/>
      <c r="U51" s="3726" t="s">
        <v>138</v>
      </c>
      <c r="V51" s="3711" t="s">
        <v>411</v>
      </c>
      <c r="W51" s="3711"/>
      <c r="X51" s="3711" t="s">
        <v>98</v>
      </c>
      <c r="Y51" s="3711"/>
      <c r="Z51" s="3711" t="s">
        <v>587</v>
      </c>
      <c r="AA51" s="4154"/>
      <c r="AB51" s="3713" t="s">
        <v>413</v>
      </c>
      <c r="AC51" s="3711" t="s">
        <v>393</v>
      </c>
      <c r="AD51" s="4504">
        <v>2.1341</v>
      </c>
      <c r="AE51" s="4154">
        <f>J51*AD51</f>
        <v>1075.5864</v>
      </c>
      <c r="AF51" s="4505" t="s">
        <v>588</v>
      </c>
      <c r="AG51" s="3726"/>
      <c r="AH51" s="984"/>
      <c r="AI51" s="3708">
        <f>J51</f>
        <v>504</v>
      </c>
      <c r="AJ51" s="984"/>
      <c r="AK51" s="3708"/>
      <c r="AL51" s="3708"/>
      <c r="AM51" s="4154"/>
      <c r="AN51" s="4397"/>
      <c r="AO51" s="1048">
        <f t="shared" si="27"/>
        <v>504</v>
      </c>
      <c r="AP51" s="4622"/>
      <c r="AQ51" s="877"/>
      <c r="AR51" s="877"/>
      <c r="AS51" s="1048">
        <f>J51</f>
        <v>504</v>
      </c>
      <c r="AT51" s="1048"/>
      <c r="AU51" s="877"/>
      <c r="AV51" s="4921"/>
      <c r="AW51" s="4921"/>
      <c r="AX51" s="1048"/>
      <c r="AY51" s="4921"/>
      <c r="AZ51" s="4921"/>
      <c r="BA51" s="1048"/>
      <c r="BB51" s="4622"/>
      <c r="BC51" s="4921"/>
      <c r="BD51" s="4622"/>
      <c r="BE51" s="4622"/>
      <c r="BF51" s="4622"/>
      <c r="BG51" s="4622"/>
      <c r="BH51" s="1048"/>
      <c r="BI51" s="4622"/>
      <c r="BJ51" s="1048"/>
      <c r="BK51" s="4415" t="s">
        <v>89</v>
      </c>
      <c r="BL51" s="4415">
        <f t="shared" si="20"/>
        <v>8.4</v>
      </c>
      <c r="BM51" s="4415">
        <f t="shared" si="21"/>
        <v>75.6</v>
      </c>
      <c r="BN51" s="4415">
        <f t="shared" si="22"/>
        <v>84</v>
      </c>
      <c r="BO51" s="4415">
        <f t="shared" si="23"/>
        <v>84</v>
      </c>
      <c r="BP51" s="4415">
        <f t="shared" si="24"/>
        <v>84</v>
      </c>
      <c r="BQ51" s="4414">
        <f t="shared" si="25"/>
        <v>84</v>
      </c>
      <c r="BR51" s="1048">
        <f t="shared" si="26"/>
        <v>84</v>
      </c>
      <c r="BS51" s="4384"/>
      <c r="BT51" s="992"/>
      <c r="BU51" s="992"/>
      <c r="BV51" s="992"/>
      <c r="BW51" s="992"/>
      <c r="BX51" s="991"/>
      <c r="BY51" s="991"/>
      <c r="BZ51" s="3708">
        <f t="shared" si="4"/>
        <v>504</v>
      </c>
      <c r="CA51" s="4154">
        <f t="shared" si="5"/>
        <v>0</v>
      </c>
      <c r="CB51" s="4924"/>
      <c r="CC51" s="4591"/>
      <c r="CD51" s="4323"/>
      <c r="CE51" s="4323"/>
      <c r="CF51" s="4323"/>
    </row>
    <row r="52" s="4316" customFormat="1" ht="50" customHeight="1" spans="1:84">
      <c r="A52" s="4500">
        <v>45610</v>
      </c>
      <c r="B52" s="3708" t="s">
        <v>589</v>
      </c>
      <c r="C52" s="3708" t="s">
        <v>569</v>
      </c>
      <c r="D52" s="4154">
        <v>4500151283</v>
      </c>
      <c r="E52" s="3708">
        <v>9412</v>
      </c>
      <c r="F52" s="3708" t="s">
        <v>590</v>
      </c>
      <c r="G52" s="3708" t="s">
        <v>591</v>
      </c>
      <c r="H52" s="3708" t="s">
        <v>592</v>
      </c>
      <c r="I52" s="3708" t="s">
        <v>593</v>
      </c>
      <c r="J52" s="4154">
        <v>800</v>
      </c>
      <c r="K52" s="4154">
        <v>0</v>
      </c>
      <c r="L52" s="4154">
        <v>40</v>
      </c>
      <c r="M52" s="4154">
        <f t="shared" si="19"/>
        <v>20</v>
      </c>
      <c r="N52" s="4503">
        <v>45672</v>
      </c>
      <c r="O52" s="4503">
        <v>45668</v>
      </c>
      <c r="P52" s="4154"/>
      <c r="Q52" s="4154" t="s">
        <v>82</v>
      </c>
      <c r="R52" s="4157"/>
      <c r="S52" s="4157"/>
      <c r="T52" s="4157"/>
      <c r="U52" s="3726" t="s">
        <v>138</v>
      </c>
      <c r="V52" s="3711" t="s">
        <v>421</v>
      </c>
      <c r="W52" s="3711"/>
      <c r="X52" s="3711" t="s">
        <v>594</v>
      </c>
      <c r="Y52" s="3711"/>
      <c r="Z52" s="3711"/>
      <c r="AA52" s="4154"/>
      <c r="AB52" s="3713" t="s">
        <v>595</v>
      </c>
      <c r="AC52" s="3711" t="s">
        <v>596</v>
      </c>
      <c r="AD52" s="4154">
        <v>23.3446</v>
      </c>
      <c r="AE52" s="4154">
        <f>M52*AD52</f>
        <v>466.892</v>
      </c>
      <c r="AF52" s="4505" t="s">
        <v>597</v>
      </c>
      <c r="AG52" s="3726"/>
      <c r="AH52" s="984"/>
      <c r="AI52" s="3708"/>
      <c r="AJ52" s="984"/>
      <c r="AK52" s="3708">
        <f>J52</f>
        <v>800</v>
      </c>
      <c r="AL52" s="3708"/>
      <c r="AM52" s="4154"/>
      <c r="AN52" s="4397"/>
      <c r="AO52" s="1048">
        <f t="shared" si="27"/>
        <v>800</v>
      </c>
      <c r="AP52" s="4622"/>
      <c r="AQ52" s="877"/>
      <c r="AR52" s="877"/>
      <c r="AS52" s="1048"/>
      <c r="AT52" s="1048">
        <f>J52</f>
        <v>800</v>
      </c>
      <c r="AU52" s="877"/>
      <c r="AV52" s="4921"/>
      <c r="AW52" s="4921"/>
      <c r="AX52" s="1048"/>
      <c r="AY52" s="4921"/>
      <c r="AZ52" s="4921"/>
      <c r="BA52" s="1048"/>
      <c r="BB52" s="4622"/>
      <c r="BC52" s="4921"/>
      <c r="BD52" s="4622"/>
      <c r="BE52" s="4622"/>
      <c r="BF52" s="4622"/>
      <c r="BG52" s="4622">
        <f>J52/40</f>
        <v>20</v>
      </c>
      <c r="BH52" s="4622"/>
      <c r="BI52" s="4622"/>
      <c r="BJ52" s="1048"/>
      <c r="BK52" s="4415" t="s">
        <v>89</v>
      </c>
      <c r="BL52" s="4415">
        <f t="shared" si="20"/>
        <v>13.3333333333333</v>
      </c>
      <c r="BM52" s="4415">
        <f t="shared" si="21"/>
        <v>120</v>
      </c>
      <c r="BN52" s="4415">
        <f t="shared" si="22"/>
        <v>133.333333333333</v>
      </c>
      <c r="BO52" s="4415">
        <f t="shared" si="23"/>
        <v>133.333333333333</v>
      </c>
      <c r="BP52" s="4415">
        <f t="shared" si="24"/>
        <v>133.333333333333</v>
      </c>
      <c r="BQ52" s="4414">
        <f t="shared" si="25"/>
        <v>133.333333333333</v>
      </c>
      <c r="BR52" s="4414">
        <f t="shared" si="26"/>
        <v>133.333333333333</v>
      </c>
      <c r="BS52" s="4384"/>
      <c r="BT52" s="992"/>
      <c r="BU52" s="992"/>
      <c r="BV52" s="992"/>
      <c r="BW52" s="992"/>
      <c r="BX52" s="991"/>
      <c r="BY52" s="991"/>
      <c r="BZ52" s="3708">
        <f t="shared" si="4"/>
        <v>800</v>
      </c>
      <c r="CA52" s="4154">
        <f t="shared" si="5"/>
        <v>0</v>
      </c>
      <c r="CB52" s="4924"/>
      <c r="CC52" s="4591"/>
      <c r="CD52" s="4323"/>
      <c r="CE52" s="4323"/>
      <c r="CF52" s="4323"/>
    </row>
    <row r="53" s="4316" customFormat="1" ht="50" customHeight="1" spans="1:84">
      <c r="A53" s="4500">
        <v>45616</v>
      </c>
      <c r="B53" s="3708" t="s">
        <v>598</v>
      </c>
      <c r="C53" s="3708" t="s">
        <v>569</v>
      </c>
      <c r="D53" s="4154">
        <v>4500151811</v>
      </c>
      <c r="E53" s="3708"/>
      <c r="F53" s="3708" t="s">
        <v>599</v>
      </c>
      <c r="G53" s="3708" t="s">
        <v>591</v>
      </c>
      <c r="H53" s="3708" t="s">
        <v>592</v>
      </c>
      <c r="I53" s="3708" t="s">
        <v>593</v>
      </c>
      <c r="J53" s="4154">
        <v>4000</v>
      </c>
      <c r="K53" s="4154">
        <v>0</v>
      </c>
      <c r="L53" s="4154">
        <v>40</v>
      </c>
      <c r="M53" s="4154">
        <f t="shared" si="19"/>
        <v>100</v>
      </c>
      <c r="N53" s="4503">
        <v>45672</v>
      </c>
      <c r="O53" s="4503">
        <v>45668</v>
      </c>
      <c r="P53" s="4154"/>
      <c r="Q53" s="4154" t="s">
        <v>82</v>
      </c>
      <c r="R53" s="4157"/>
      <c r="S53" s="4157"/>
      <c r="T53" s="4157"/>
      <c r="U53" s="3726" t="s">
        <v>556</v>
      </c>
      <c r="V53" s="3711" t="s">
        <v>600</v>
      </c>
      <c r="W53" s="3711"/>
      <c r="X53" s="3711" t="s">
        <v>601</v>
      </c>
      <c r="Y53" s="3711"/>
      <c r="Z53" s="3711"/>
      <c r="AA53" s="4154"/>
      <c r="AB53" s="3713" t="s">
        <v>602</v>
      </c>
      <c r="AC53" s="3711" t="s">
        <v>596</v>
      </c>
      <c r="AD53" s="4154">
        <v>104.7326</v>
      </c>
      <c r="AE53" s="4154">
        <f>M53*AD53</f>
        <v>10473.26</v>
      </c>
      <c r="AF53" s="4505" t="s">
        <v>603</v>
      </c>
      <c r="AG53" s="3726"/>
      <c r="AH53" s="4422"/>
      <c r="AI53" s="3708"/>
      <c r="AJ53" s="4422"/>
      <c r="AK53" s="3708">
        <f>J53</f>
        <v>4000</v>
      </c>
      <c r="AL53" s="3708"/>
      <c r="AM53" s="4154"/>
      <c r="AN53" s="907"/>
      <c r="AO53" s="1048">
        <f t="shared" si="27"/>
        <v>4000</v>
      </c>
      <c r="AP53" s="4622"/>
      <c r="AQ53" s="907"/>
      <c r="AR53" s="907"/>
      <c r="AS53" s="1048"/>
      <c r="AT53" s="1048">
        <f>J53</f>
        <v>4000</v>
      </c>
      <c r="AU53" s="907"/>
      <c r="AV53" s="4922"/>
      <c r="AW53" s="4922"/>
      <c r="AX53" s="1048"/>
      <c r="AY53" s="4922"/>
      <c r="AZ53" s="4922"/>
      <c r="BA53" s="1048"/>
      <c r="BB53" s="4622"/>
      <c r="BC53" s="4922"/>
      <c r="BD53" s="4622"/>
      <c r="BE53" s="4622"/>
      <c r="BF53" s="4622"/>
      <c r="BG53" s="4622">
        <f>J53/40</f>
        <v>100</v>
      </c>
      <c r="BH53" s="4622"/>
      <c r="BI53" s="4622"/>
      <c r="BJ53" s="1048"/>
      <c r="BK53" s="4415" t="s">
        <v>89</v>
      </c>
      <c r="BL53" s="4415">
        <f t="shared" si="20"/>
        <v>66.6666666666667</v>
      </c>
      <c r="BM53" s="4415">
        <f t="shared" si="21"/>
        <v>600</v>
      </c>
      <c r="BN53" s="4415">
        <f t="shared" si="22"/>
        <v>666.666666666667</v>
      </c>
      <c r="BO53" s="4415">
        <f t="shared" si="23"/>
        <v>666.666666666667</v>
      </c>
      <c r="BP53" s="4415">
        <f t="shared" si="24"/>
        <v>666.666666666667</v>
      </c>
      <c r="BQ53" s="4414">
        <f t="shared" si="25"/>
        <v>666.666666666667</v>
      </c>
      <c r="BR53" s="4414">
        <f t="shared" si="26"/>
        <v>666.666666666667</v>
      </c>
      <c r="BS53" s="4384"/>
      <c r="BT53" s="911"/>
      <c r="BU53" s="911"/>
      <c r="BV53" s="911"/>
      <c r="BW53" s="911"/>
      <c r="BX53" s="910"/>
      <c r="BY53" s="910"/>
      <c r="BZ53" s="3708">
        <f t="shared" si="4"/>
        <v>4000</v>
      </c>
      <c r="CA53" s="4154">
        <f t="shared" si="5"/>
        <v>0</v>
      </c>
      <c r="CB53" s="4923"/>
      <c r="CC53" s="4923"/>
      <c r="CD53" s="4323"/>
      <c r="CE53" s="4323"/>
      <c r="CF53" s="4323"/>
    </row>
    <row r="54" s="4316" customFormat="1" ht="50" customHeight="1" spans="1:84">
      <c r="A54" s="4500">
        <v>45615</v>
      </c>
      <c r="B54" s="3708" t="s">
        <v>387</v>
      </c>
      <c r="C54" s="3708" t="s">
        <v>91</v>
      </c>
      <c r="D54" s="4154">
        <v>4500151497</v>
      </c>
      <c r="E54" s="3708">
        <v>70054076</v>
      </c>
      <c r="F54" s="3708" t="s">
        <v>604</v>
      </c>
      <c r="G54" s="3708" t="s">
        <v>333</v>
      </c>
      <c r="H54" s="3708" t="s">
        <v>333</v>
      </c>
      <c r="I54" s="3708" t="s">
        <v>328</v>
      </c>
      <c r="J54" s="4593">
        <v>504</v>
      </c>
      <c r="K54" s="4154">
        <v>0</v>
      </c>
      <c r="L54" s="4154">
        <v>24</v>
      </c>
      <c r="M54" s="4154">
        <f t="shared" si="19"/>
        <v>21</v>
      </c>
      <c r="N54" s="4503">
        <v>45695</v>
      </c>
      <c r="O54" s="4503">
        <v>45691</v>
      </c>
      <c r="P54" s="4154"/>
      <c r="Q54" s="4154" t="s">
        <v>82</v>
      </c>
      <c r="R54" s="4157"/>
      <c r="S54" s="4157"/>
      <c r="T54" s="4157"/>
      <c r="U54" s="3726"/>
      <c r="V54" s="3711" t="s">
        <v>390</v>
      </c>
      <c r="W54" s="3711"/>
      <c r="X54" s="3711" t="s">
        <v>98</v>
      </c>
      <c r="Y54" s="3711"/>
      <c r="Z54" s="3711" t="s">
        <v>605</v>
      </c>
      <c r="AA54" s="4154"/>
      <c r="AB54" s="3713" t="s">
        <v>413</v>
      </c>
      <c r="AC54" s="3711" t="s">
        <v>393</v>
      </c>
      <c r="AD54" s="4504">
        <v>2.1341</v>
      </c>
      <c r="AE54" s="4154">
        <f>J54*AD54</f>
        <v>1075.5864</v>
      </c>
      <c r="AF54" s="4505" t="s">
        <v>606</v>
      </c>
      <c r="AG54" s="3726"/>
      <c r="AH54" s="984"/>
      <c r="AI54" s="3708">
        <f>J54</f>
        <v>504</v>
      </c>
      <c r="AJ54" s="984"/>
      <c r="AK54" s="3708"/>
      <c r="AL54" s="3708"/>
      <c r="AM54" s="4154"/>
      <c r="AN54" s="4397"/>
      <c r="AO54" s="1048">
        <f t="shared" si="27"/>
        <v>504</v>
      </c>
      <c r="AP54" s="4622"/>
      <c r="AQ54" s="877"/>
      <c r="AR54" s="877"/>
      <c r="AS54" s="1048">
        <f t="shared" ref="AS54:AS87" si="28">J54</f>
        <v>504</v>
      </c>
      <c r="AT54" s="1048"/>
      <c r="AU54" s="877"/>
      <c r="AV54" s="4921"/>
      <c r="AW54" s="4921"/>
      <c r="AX54" s="1048"/>
      <c r="AY54" s="4921"/>
      <c r="AZ54" s="4921"/>
      <c r="BA54" s="1048"/>
      <c r="BB54" s="4622"/>
      <c r="BC54" s="4921"/>
      <c r="BD54" s="4622"/>
      <c r="BE54" s="4622"/>
      <c r="BF54" s="4622"/>
      <c r="BG54" s="4622"/>
      <c r="BH54" s="4622"/>
      <c r="BI54" s="4622"/>
      <c r="BJ54" s="1048"/>
      <c r="BK54" s="4415" t="s">
        <v>89</v>
      </c>
      <c r="BL54" s="4415">
        <f t="shared" si="20"/>
        <v>8.4</v>
      </c>
      <c r="BM54" s="4415">
        <f t="shared" si="21"/>
        <v>75.6</v>
      </c>
      <c r="BN54" s="4415">
        <f t="shared" si="22"/>
        <v>84</v>
      </c>
      <c r="BO54" s="4415">
        <f t="shared" si="23"/>
        <v>84</v>
      </c>
      <c r="BP54" s="4415">
        <f t="shared" si="24"/>
        <v>84</v>
      </c>
      <c r="BQ54" s="4414">
        <f t="shared" si="25"/>
        <v>84</v>
      </c>
      <c r="BR54" s="1048">
        <f t="shared" si="26"/>
        <v>84</v>
      </c>
      <c r="BS54" s="4384"/>
      <c r="BT54" s="992"/>
      <c r="BU54" s="992"/>
      <c r="BV54" s="992"/>
      <c r="BW54" s="992"/>
      <c r="BX54" s="991"/>
      <c r="BY54" s="991"/>
      <c r="BZ54" s="3708">
        <f t="shared" si="4"/>
        <v>504</v>
      </c>
      <c r="CA54" s="4154">
        <f t="shared" si="5"/>
        <v>0</v>
      </c>
      <c r="CB54" s="4924"/>
      <c r="CC54" s="4591"/>
      <c r="CD54" s="4323"/>
      <c r="CE54" s="4323"/>
      <c r="CF54" s="4323"/>
    </row>
    <row r="55" s="4316" customFormat="1" ht="50" customHeight="1" spans="1:84">
      <c r="A55" s="4500">
        <v>45629</v>
      </c>
      <c r="B55" s="3708" t="s">
        <v>607</v>
      </c>
      <c r="C55" s="3708" t="s">
        <v>91</v>
      </c>
      <c r="D55" s="4154">
        <v>4500153134</v>
      </c>
      <c r="E55" s="3708" t="s">
        <v>608</v>
      </c>
      <c r="F55" s="3708" t="s">
        <v>609</v>
      </c>
      <c r="G55" s="3708" t="s">
        <v>333</v>
      </c>
      <c r="H55" s="3708" t="s">
        <v>610</v>
      </c>
      <c r="I55" s="4154" t="s">
        <v>611</v>
      </c>
      <c r="J55" s="4593">
        <v>3000</v>
      </c>
      <c r="K55" s="4154">
        <v>0</v>
      </c>
      <c r="L55" s="4154">
        <v>12</v>
      </c>
      <c r="M55" s="4154">
        <f t="shared" si="19"/>
        <v>250</v>
      </c>
      <c r="N55" s="4503">
        <v>45698</v>
      </c>
      <c r="O55" s="4503">
        <v>45694</v>
      </c>
      <c r="P55" s="4154"/>
      <c r="Q55" s="4154" t="s">
        <v>82</v>
      </c>
      <c r="R55" s="4157"/>
      <c r="S55" s="4157"/>
      <c r="T55" s="4157"/>
      <c r="U55" s="3726"/>
      <c r="V55" s="3711" t="s">
        <v>510</v>
      </c>
      <c r="W55" s="3711"/>
      <c r="X55" s="3711" t="s">
        <v>612</v>
      </c>
      <c r="Y55" s="3711"/>
      <c r="Z55" s="3711"/>
      <c r="AA55" s="4154"/>
      <c r="AB55" s="3713" t="s">
        <v>613</v>
      </c>
      <c r="AC55" s="3711" t="s">
        <v>614</v>
      </c>
      <c r="AD55" s="4154">
        <v>51.0846</v>
      </c>
      <c r="AE55" s="4154">
        <f>AD55*M55</f>
        <v>12771.15</v>
      </c>
      <c r="AF55" s="4505" t="s">
        <v>615</v>
      </c>
      <c r="AG55" s="3726"/>
      <c r="AH55" s="984"/>
      <c r="AI55" s="3708">
        <f>J55</f>
        <v>3000</v>
      </c>
      <c r="AJ55" s="984"/>
      <c r="AK55" s="3708"/>
      <c r="AL55" s="3708"/>
      <c r="AM55" s="4154"/>
      <c r="AN55" s="4397"/>
      <c r="AO55" s="1048">
        <f t="shared" si="27"/>
        <v>3000</v>
      </c>
      <c r="AP55" s="4622"/>
      <c r="AQ55" s="877"/>
      <c r="AR55" s="877"/>
      <c r="AS55" s="1048">
        <f t="shared" si="28"/>
        <v>3000</v>
      </c>
      <c r="AT55" s="1048"/>
      <c r="AU55" s="877"/>
      <c r="AV55" s="4921"/>
      <c r="AW55" s="4921"/>
      <c r="AX55" s="1048"/>
      <c r="AY55" s="4921"/>
      <c r="AZ55" s="4921"/>
      <c r="BA55" s="1048"/>
      <c r="BB55" s="4622"/>
      <c r="BC55" s="4921"/>
      <c r="BD55" s="4622"/>
      <c r="BE55" s="4622"/>
      <c r="BF55" s="4622"/>
      <c r="BG55" s="4622"/>
      <c r="BH55" s="1048"/>
      <c r="BI55" s="4622"/>
      <c r="BJ55" s="1048"/>
      <c r="BK55" s="4415" t="s">
        <v>89</v>
      </c>
      <c r="BL55" s="4415">
        <f t="shared" si="20"/>
        <v>50</v>
      </c>
      <c r="BM55" s="1048">
        <f t="shared" si="21"/>
        <v>450</v>
      </c>
      <c r="BN55" s="1048">
        <f t="shared" si="22"/>
        <v>500</v>
      </c>
      <c r="BO55" s="1048">
        <f t="shared" si="23"/>
        <v>500</v>
      </c>
      <c r="BP55" s="1048">
        <f t="shared" si="24"/>
        <v>500</v>
      </c>
      <c r="BQ55" s="1048">
        <f t="shared" si="25"/>
        <v>500</v>
      </c>
      <c r="BR55" s="1048">
        <f t="shared" si="26"/>
        <v>500</v>
      </c>
      <c r="BS55" s="4384"/>
      <c r="BT55" s="992"/>
      <c r="BU55" s="992"/>
      <c r="BV55" s="992"/>
      <c r="BW55" s="992"/>
      <c r="BX55" s="991"/>
      <c r="BY55" s="991"/>
      <c r="BZ55" s="3708">
        <f t="shared" si="4"/>
        <v>3000</v>
      </c>
      <c r="CA55" s="4154">
        <f t="shared" si="5"/>
        <v>0</v>
      </c>
      <c r="CB55" s="4924"/>
      <c r="CC55" s="4591"/>
      <c r="CD55" s="4323"/>
      <c r="CE55" s="4323"/>
      <c r="CF55" s="4323"/>
    </row>
    <row r="56" s="4316" customFormat="1" ht="50" customHeight="1" spans="1:84">
      <c r="A56" s="4500">
        <v>45642</v>
      </c>
      <c r="B56" s="4501" t="s">
        <v>470</v>
      </c>
      <c r="C56" s="3708" t="s">
        <v>471</v>
      </c>
      <c r="D56" s="4502">
        <v>4500154045</v>
      </c>
      <c r="E56" s="3708" t="s">
        <v>616</v>
      </c>
      <c r="F56" s="4615" t="s">
        <v>617</v>
      </c>
      <c r="G56" s="3708" t="s">
        <v>464</v>
      </c>
      <c r="H56" s="3708" t="s">
        <v>333</v>
      </c>
      <c r="I56" s="3708" t="s">
        <v>328</v>
      </c>
      <c r="J56" s="4593">
        <v>840</v>
      </c>
      <c r="K56" s="4154">
        <v>0</v>
      </c>
      <c r="L56" s="4154">
        <v>24</v>
      </c>
      <c r="M56" s="4154">
        <f t="shared" si="19"/>
        <v>35</v>
      </c>
      <c r="N56" s="4503">
        <v>45699</v>
      </c>
      <c r="O56" s="4503">
        <v>45695</v>
      </c>
      <c r="P56" s="3712"/>
      <c r="Q56" s="4929" t="s">
        <v>82</v>
      </c>
      <c r="R56" s="4157"/>
      <c r="S56" s="4157"/>
      <c r="T56" s="4157"/>
      <c r="U56" s="3726" t="s">
        <v>618</v>
      </c>
      <c r="V56" s="3711" t="s">
        <v>619</v>
      </c>
      <c r="W56" s="3711"/>
      <c r="X56" s="3711" t="s">
        <v>98</v>
      </c>
      <c r="Y56" s="3711"/>
      <c r="Z56" s="3711" t="s">
        <v>605</v>
      </c>
      <c r="AA56" s="3712"/>
      <c r="AB56" s="3680" t="s">
        <v>620</v>
      </c>
      <c r="AC56" s="4154" t="s">
        <v>87</v>
      </c>
      <c r="AD56" s="4504">
        <v>2.1295</v>
      </c>
      <c r="AE56" s="4154">
        <f t="shared" ref="AE56:AE104" si="29">J56*AD56</f>
        <v>1788.78</v>
      </c>
      <c r="AF56" s="4505"/>
      <c r="AG56" s="3726"/>
      <c r="AH56" s="4925"/>
      <c r="AI56" s="3708"/>
      <c r="AJ56" s="4925"/>
      <c r="AK56" s="3708">
        <f>J56</f>
        <v>840</v>
      </c>
      <c r="AL56" s="3708"/>
      <c r="AM56" s="4154"/>
      <c r="AN56" s="4397"/>
      <c r="AO56" s="1048">
        <f t="shared" si="27"/>
        <v>840</v>
      </c>
      <c r="AP56" s="1048"/>
      <c r="AQ56" s="4397"/>
      <c r="AR56" s="4397"/>
      <c r="AS56" s="1048">
        <f t="shared" si="28"/>
        <v>840</v>
      </c>
      <c r="AT56" s="1048"/>
      <c r="AU56" s="4397"/>
      <c r="AV56" s="4397"/>
      <c r="AW56" s="4397"/>
      <c r="AX56" s="1048"/>
      <c r="AY56" s="4397"/>
      <c r="AZ56" s="4397"/>
      <c r="BA56" s="1048"/>
      <c r="BB56" s="1048"/>
      <c r="BC56" s="4397"/>
      <c r="BD56" s="1048"/>
      <c r="BE56" s="1048"/>
      <c r="BF56" s="1048"/>
      <c r="BG56" s="1048"/>
      <c r="BH56" s="4622"/>
      <c r="BI56" s="4622"/>
      <c r="BJ56" s="1048"/>
      <c r="BK56" s="4415" t="s">
        <v>89</v>
      </c>
      <c r="BL56" s="4415">
        <f t="shared" si="20"/>
        <v>14</v>
      </c>
      <c r="BM56" s="4415">
        <f t="shared" si="21"/>
        <v>126</v>
      </c>
      <c r="BN56" s="4415">
        <f t="shared" si="22"/>
        <v>140</v>
      </c>
      <c r="BO56" s="4415">
        <f t="shared" si="23"/>
        <v>140</v>
      </c>
      <c r="BP56" s="4415">
        <f t="shared" si="24"/>
        <v>140</v>
      </c>
      <c r="BQ56" s="4414">
        <f t="shared" si="25"/>
        <v>140</v>
      </c>
      <c r="BR56" s="1048">
        <f t="shared" si="26"/>
        <v>140</v>
      </c>
      <c r="BS56" s="4384"/>
      <c r="BT56" s="992"/>
      <c r="BU56" s="992"/>
      <c r="BV56" s="992"/>
      <c r="BW56" s="992"/>
      <c r="BX56" s="991"/>
      <c r="BY56" s="991"/>
      <c r="BZ56" s="3708">
        <f t="shared" si="4"/>
        <v>840</v>
      </c>
      <c r="CA56" s="4154">
        <f t="shared" si="5"/>
        <v>0</v>
      </c>
      <c r="CB56" s="4930"/>
      <c r="CC56" s="4930"/>
      <c r="CD56" s="4323"/>
      <c r="CE56" s="4323"/>
      <c r="CF56" s="4323"/>
    </row>
    <row r="57" s="4316" customFormat="1" ht="50" customHeight="1" spans="1:84">
      <c r="A57" s="4500">
        <v>45642</v>
      </c>
      <c r="B57" s="4501" t="s">
        <v>470</v>
      </c>
      <c r="C57" s="3708" t="s">
        <v>471</v>
      </c>
      <c r="D57" s="4502">
        <v>4500154045</v>
      </c>
      <c r="E57" s="3708" t="s">
        <v>621</v>
      </c>
      <c r="F57" s="4615" t="s">
        <v>622</v>
      </c>
      <c r="G57" s="3708" t="s">
        <v>464</v>
      </c>
      <c r="H57" s="3708" t="s">
        <v>333</v>
      </c>
      <c r="I57" s="3708" t="s">
        <v>328</v>
      </c>
      <c r="J57" s="4593">
        <v>864</v>
      </c>
      <c r="K57" s="4154">
        <v>0</v>
      </c>
      <c r="L57" s="4154">
        <v>24</v>
      </c>
      <c r="M57" s="4154">
        <f t="shared" si="19"/>
        <v>36</v>
      </c>
      <c r="N57" s="4503">
        <v>45699</v>
      </c>
      <c r="O57" s="4503">
        <v>45695</v>
      </c>
      <c r="P57" s="3712"/>
      <c r="Q57" s="4929" t="s">
        <v>82</v>
      </c>
      <c r="R57" s="4157"/>
      <c r="S57" s="4157"/>
      <c r="T57" s="4157"/>
      <c r="U57" s="3726" t="s">
        <v>618</v>
      </c>
      <c r="V57" s="3711" t="s">
        <v>619</v>
      </c>
      <c r="W57" s="3711"/>
      <c r="X57" s="3711" t="s">
        <v>98</v>
      </c>
      <c r="Y57" s="3711"/>
      <c r="Z57" s="3711" t="s">
        <v>605</v>
      </c>
      <c r="AA57" s="3712"/>
      <c r="AB57" s="3680" t="s">
        <v>620</v>
      </c>
      <c r="AC57" s="4154" t="s">
        <v>87</v>
      </c>
      <c r="AD57" s="4504">
        <v>2.1295</v>
      </c>
      <c r="AE57" s="4154">
        <f t="shared" si="29"/>
        <v>1839.888</v>
      </c>
      <c r="AF57" s="4505"/>
      <c r="AG57" s="3726"/>
      <c r="AH57" s="4925"/>
      <c r="AI57" s="3708"/>
      <c r="AJ57" s="4925"/>
      <c r="AK57" s="3708">
        <f>J57</f>
        <v>864</v>
      </c>
      <c r="AL57" s="3708"/>
      <c r="AM57" s="4154"/>
      <c r="AN57" s="4397"/>
      <c r="AO57" s="1048">
        <f t="shared" si="27"/>
        <v>864</v>
      </c>
      <c r="AP57" s="1048"/>
      <c r="AQ57" s="4397"/>
      <c r="AR57" s="4397"/>
      <c r="AS57" s="1048">
        <f t="shared" si="28"/>
        <v>864</v>
      </c>
      <c r="AT57" s="1048"/>
      <c r="AU57" s="4397"/>
      <c r="AV57" s="4397"/>
      <c r="AW57" s="4397"/>
      <c r="AX57" s="1048"/>
      <c r="AY57" s="4397"/>
      <c r="AZ57" s="4397"/>
      <c r="BA57" s="1048"/>
      <c r="BB57" s="1048"/>
      <c r="BC57" s="4397"/>
      <c r="BD57" s="1048"/>
      <c r="BE57" s="1048"/>
      <c r="BF57" s="1048"/>
      <c r="BG57" s="1048"/>
      <c r="BH57" s="4622"/>
      <c r="BI57" s="4622"/>
      <c r="BJ57" s="1048"/>
      <c r="BK57" s="4415" t="s">
        <v>89</v>
      </c>
      <c r="BL57" s="4415">
        <f t="shared" si="20"/>
        <v>14.4</v>
      </c>
      <c r="BM57" s="4415">
        <f t="shared" si="21"/>
        <v>129.6</v>
      </c>
      <c r="BN57" s="4415">
        <f t="shared" si="22"/>
        <v>144</v>
      </c>
      <c r="BO57" s="4415">
        <f t="shared" si="23"/>
        <v>144</v>
      </c>
      <c r="BP57" s="4415">
        <f t="shared" si="24"/>
        <v>144</v>
      </c>
      <c r="BQ57" s="4414">
        <f t="shared" si="25"/>
        <v>144</v>
      </c>
      <c r="BR57" s="1048">
        <f t="shared" si="26"/>
        <v>144</v>
      </c>
      <c r="BS57" s="4384"/>
      <c r="BT57" s="992"/>
      <c r="BU57" s="992"/>
      <c r="BV57" s="992"/>
      <c r="BW57" s="992"/>
      <c r="BX57" s="991"/>
      <c r="BY57" s="991"/>
      <c r="BZ57" s="3708">
        <f t="shared" si="4"/>
        <v>864</v>
      </c>
      <c r="CA57" s="4154">
        <f t="shared" si="5"/>
        <v>0</v>
      </c>
      <c r="CB57" s="4930"/>
      <c r="CC57" s="4930"/>
      <c r="CD57" s="4323"/>
      <c r="CE57" s="4323"/>
      <c r="CF57" s="4323"/>
    </row>
    <row r="58" s="4316" customFormat="1" ht="50" customHeight="1" spans="1:84">
      <c r="A58" s="4500">
        <v>45642</v>
      </c>
      <c r="B58" s="4501" t="s">
        <v>461</v>
      </c>
      <c r="C58" s="3708" t="s">
        <v>341</v>
      </c>
      <c r="D58" s="4502">
        <v>4500154092</v>
      </c>
      <c r="E58" s="3708" t="s">
        <v>623</v>
      </c>
      <c r="F58" s="4615" t="s">
        <v>624</v>
      </c>
      <c r="G58" s="3708" t="s">
        <v>464</v>
      </c>
      <c r="H58" s="3708" t="s">
        <v>333</v>
      </c>
      <c r="I58" s="3708" t="s">
        <v>328</v>
      </c>
      <c r="J58" s="4593">
        <v>1272</v>
      </c>
      <c r="K58" s="4154">
        <v>0</v>
      </c>
      <c r="L58" s="4154">
        <v>24</v>
      </c>
      <c r="M58" s="4154">
        <f t="shared" si="19"/>
        <v>53</v>
      </c>
      <c r="N58" s="4503">
        <v>45699</v>
      </c>
      <c r="O58" s="4503">
        <v>45695</v>
      </c>
      <c r="P58" s="3712"/>
      <c r="Q58" s="4929" t="s">
        <v>82</v>
      </c>
      <c r="R58" s="4157"/>
      <c r="S58" s="4157"/>
      <c r="T58" s="4157"/>
      <c r="U58" s="3726" t="s">
        <v>147</v>
      </c>
      <c r="V58" s="3711" t="s">
        <v>619</v>
      </c>
      <c r="W58" s="3711"/>
      <c r="X58" s="3711" t="s">
        <v>98</v>
      </c>
      <c r="Y58" s="3711"/>
      <c r="Z58" s="3711" t="s">
        <v>605</v>
      </c>
      <c r="AA58" s="3712"/>
      <c r="AB58" s="3680" t="s">
        <v>625</v>
      </c>
      <c r="AC58" s="4154" t="s">
        <v>87</v>
      </c>
      <c r="AD58" s="4504">
        <v>2.1295</v>
      </c>
      <c r="AE58" s="4154">
        <f t="shared" si="29"/>
        <v>2708.724</v>
      </c>
      <c r="AF58" s="4505" t="s">
        <v>626</v>
      </c>
      <c r="AG58" s="3726"/>
      <c r="AH58" s="4422"/>
      <c r="AI58" s="3708"/>
      <c r="AJ58" s="4422"/>
      <c r="AK58" s="3708">
        <f>J58</f>
        <v>1272</v>
      </c>
      <c r="AL58" s="3708"/>
      <c r="AM58" s="4154"/>
      <c r="AN58" s="907"/>
      <c r="AO58" s="1048">
        <f t="shared" si="27"/>
        <v>1272</v>
      </c>
      <c r="AP58" s="1048"/>
      <c r="AQ58" s="907"/>
      <c r="AR58" s="907"/>
      <c r="AS58" s="1048">
        <f t="shared" si="28"/>
        <v>1272</v>
      </c>
      <c r="AT58" s="1048"/>
      <c r="AU58" s="907"/>
      <c r="AV58" s="907"/>
      <c r="AW58" s="907"/>
      <c r="AX58" s="1048"/>
      <c r="AY58" s="907"/>
      <c r="AZ58" s="907"/>
      <c r="BA58" s="1048"/>
      <c r="BB58" s="1048"/>
      <c r="BC58" s="907"/>
      <c r="BD58" s="1048"/>
      <c r="BE58" s="1048"/>
      <c r="BF58" s="1048"/>
      <c r="BG58" s="1048"/>
      <c r="BH58" s="4622"/>
      <c r="BI58" s="4622"/>
      <c r="BJ58" s="1048"/>
      <c r="BK58" s="4415" t="s">
        <v>89</v>
      </c>
      <c r="BL58" s="4415">
        <f t="shared" si="20"/>
        <v>21.2</v>
      </c>
      <c r="BM58" s="4415">
        <f t="shared" si="21"/>
        <v>190.8</v>
      </c>
      <c r="BN58" s="4415">
        <f t="shared" si="22"/>
        <v>212</v>
      </c>
      <c r="BO58" s="4415">
        <f t="shared" si="23"/>
        <v>212</v>
      </c>
      <c r="BP58" s="4415">
        <f t="shared" si="24"/>
        <v>212</v>
      </c>
      <c r="BQ58" s="4414">
        <f t="shared" si="25"/>
        <v>212</v>
      </c>
      <c r="BR58" s="1048">
        <f t="shared" si="26"/>
        <v>212</v>
      </c>
      <c r="BS58" s="4384"/>
      <c r="BT58" s="911"/>
      <c r="BU58" s="911"/>
      <c r="BV58" s="911"/>
      <c r="BW58" s="911"/>
      <c r="BX58" s="910"/>
      <c r="BY58" s="910"/>
      <c r="BZ58" s="3708">
        <f t="shared" si="4"/>
        <v>1272</v>
      </c>
      <c r="CA58" s="4154">
        <f t="shared" si="5"/>
        <v>0</v>
      </c>
      <c r="CB58" s="4462"/>
      <c r="CC58" s="4462"/>
      <c r="CD58" s="4323"/>
      <c r="CE58" s="4323"/>
      <c r="CF58" s="4323"/>
    </row>
    <row r="59" s="4316" customFormat="1" ht="50" customHeight="1" spans="1:84">
      <c r="A59" s="4500">
        <v>45642</v>
      </c>
      <c r="B59" s="4501" t="s">
        <v>461</v>
      </c>
      <c r="C59" s="3708" t="s">
        <v>341</v>
      </c>
      <c r="D59" s="4502">
        <v>4500154092</v>
      </c>
      <c r="E59" s="3708" t="s">
        <v>627</v>
      </c>
      <c r="F59" s="4615" t="s">
        <v>628</v>
      </c>
      <c r="G59" s="3708" t="s">
        <v>464</v>
      </c>
      <c r="H59" s="3708" t="s">
        <v>333</v>
      </c>
      <c r="I59" s="3708" t="s">
        <v>328</v>
      </c>
      <c r="J59" s="4593">
        <v>1248</v>
      </c>
      <c r="K59" s="4154">
        <v>0</v>
      </c>
      <c r="L59" s="4154">
        <v>24</v>
      </c>
      <c r="M59" s="4154">
        <f t="shared" si="19"/>
        <v>52</v>
      </c>
      <c r="N59" s="4503">
        <v>45699</v>
      </c>
      <c r="O59" s="4503">
        <v>45695</v>
      </c>
      <c r="P59" s="3712"/>
      <c r="Q59" s="4929" t="s">
        <v>82</v>
      </c>
      <c r="R59" s="4157"/>
      <c r="S59" s="4157"/>
      <c r="T59" s="4157"/>
      <c r="U59" s="3726" t="s">
        <v>147</v>
      </c>
      <c r="V59" s="3711" t="s">
        <v>619</v>
      </c>
      <c r="W59" s="3711"/>
      <c r="X59" s="3711" t="s">
        <v>98</v>
      </c>
      <c r="Y59" s="3711"/>
      <c r="Z59" s="3711" t="s">
        <v>605</v>
      </c>
      <c r="AA59" s="3712"/>
      <c r="AB59" s="3680" t="s">
        <v>625</v>
      </c>
      <c r="AC59" s="4154" t="s">
        <v>87</v>
      </c>
      <c r="AD59" s="4504">
        <v>2.1295</v>
      </c>
      <c r="AE59" s="4154">
        <f t="shared" si="29"/>
        <v>2657.616</v>
      </c>
      <c r="AF59" s="4505" t="s">
        <v>626</v>
      </c>
      <c r="AG59" s="3726"/>
      <c r="AH59" s="4422"/>
      <c r="AI59" s="3708"/>
      <c r="AJ59" s="4422"/>
      <c r="AK59" s="3708">
        <f>J59</f>
        <v>1248</v>
      </c>
      <c r="AL59" s="3708"/>
      <c r="AM59" s="4154"/>
      <c r="AN59" s="907"/>
      <c r="AO59" s="1048">
        <f t="shared" si="27"/>
        <v>1248</v>
      </c>
      <c r="AP59" s="1048"/>
      <c r="AQ59" s="907"/>
      <c r="AR59" s="907"/>
      <c r="AS59" s="1048">
        <f t="shared" si="28"/>
        <v>1248</v>
      </c>
      <c r="AT59" s="1048"/>
      <c r="AU59" s="907"/>
      <c r="AV59" s="907"/>
      <c r="AW59" s="907"/>
      <c r="AX59" s="1048"/>
      <c r="AY59" s="907"/>
      <c r="AZ59" s="907"/>
      <c r="BA59" s="1048"/>
      <c r="BB59" s="1048"/>
      <c r="BC59" s="907"/>
      <c r="BD59" s="1048"/>
      <c r="BE59" s="1048"/>
      <c r="BF59" s="1048"/>
      <c r="BG59" s="1048"/>
      <c r="BH59" s="4622"/>
      <c r="BI59" s="4622"/>
      <c r="BJ59" s="1048"/>
      <c r="BK59" s="4415" t="s">
        <v>89</v>
      </c>
      <c r="BL59" s="4415">
        <f t="shared" si="20"/>
        <v>20.8</v>
      </c>
      <c r="BM59" s="4415">
        <f t="shared" si="21"/>
        <v>187.2</v>
      </c>
      <c r="BN59" s="4415">
        <f t="shared" si="22"/>
        <v>208</v>
      </c>
      <c r="BO59" s="4415">
        <f t="shared" si="23"/>
        <v>208</v>
      </c>
      <c r="BP59" s="4415">
        <f t="shared" si="24"/>
        <v>208</v>
      </c>
      <c r="BQ59" s="4414">
        <f t="shared" si="25"/>
        <v>208</v>
      </c>
      <c r="BR59" s="1048">
        <f t="shared" si="26"/>
        <v>208</v>
      </c>
      <c r="BS59" s="4384"/>
      <c r="BT59" s="911"/>
      <c r="BU59" s="911"/>
      <c r="BV59" s="911"/>
      <c r="BW59" s="911"/>
      <c r="BX59" s="910"/>
      <c r="BY59" s="910"/>
      <c r="BZ59" s="3708">
        <f t="shared" si="4"/>
        <v>1248</v>
      </c>
      <c r="CA59" s="4154">
        <f t="shared" si="5"/>
        <v>0</v>
      </c>
      <c r="CB59" s="4462"/>
      <c r="CC59" s="4462"/>
      <c r="CD59" s="4323"/>
      <c r="CE59" s="4323"/>
      <c r="CF59" s="4323"/>
    </row>
    <row r="60" s="4316" customFormat="1" ht="50" customHeight="1" spans="1:84">
      <c r="A60" s="4500">
        <v>45603</v>
      </c>
      <c r="B60" s="3708" t="s">
        <v>387</v>
      </c>
      <c r="C60" s="3708" t="s">
        <v>91</v>
      </c>
      <c r="D60" s="4154">
        <v>4500150534</v>
      </c>
      <c r="E60" s="3708">
        <v>70054074</v>
      </c>
      <c r="F60" s="3708" t="s">
        <v>629</v>
      </c>
      <c r="G60" s="3708" t="s">
        <v>409</v>
      </c>
      <c r="H60" s="3708" t="s">
        <v>409</v>
      </c>
      <c r="I60" s="3708" t="s">
        <v>410</v>
      </c>
      <c r="J60" s="4154">
        <v>300</v>
      </c>
      <c r="K60" s="4154">
        <v>0</v>
      </c>
      <c r="L60" s="4154">
        <v>12</v>
      </c>
      <c r="M60" s="4154">
        <f t="shared" si="19"/>
        <v>25</v>
      </c>
      <c r="N60" s="4503">
        <v>45673</v>
      </c>
      <c r="O60" s="4503">
        <v>45670</v>
      </c>
      <c r="P60" s="4154"/>
      <c r="Q60" s="4929" t="s">
        <v>82</v>
      </c>
      <c r="R60" s="4157"/>
      <c r="S60" s="4157"/>
      <c r="T60" s="4157"/>
      <c r="U60" s="3726"/>
      <c r="V60" s="3711" t="s">
        <v>411</v>
      </c>
      <c r="W60" s="3711"/>
      <c r="X60" s="3711" t="s">
        <v>98</v>
      </c>
      <c r="Y60" s="3711"/>
      <c r="Z60" s="3711" t="s">
        <v>630</v>
      </c>
      <c r="AA60" s="4154" t="s">
        <v>631</v>
      </c>
      <c r="AB60" s="3713" t="s">
        <v>392</v>
      </c>
      <c r="AC60" s="3711" t="s">
        <v>393</v>
      </c>
      <c r="AD60" s="4504">
        <v>2.7072</v>
      </c>
      <c r="AE60" s="4154">
        <f t="shared" si="29"/>
        <v>812.16</v>
      </c>
      <c r="AF60" s="4505" t="s">
        <v>632</v>
      </c>
      <c r="AG60" s="3726"/>
      <c r="AH60" s="4422"/>
      <c r="AI60" s="3708">
        <f>J60</f>
        <v>300</v>
      </c>
      <c r="AJ60" s="4422"/>
      <c r="AK60" s="3708"/>
      <c r="AL60" s="3708"/>
      <c r="AM60" s="4154"/>
      <c r="AN60" s="907"/>
      <c r="AO60" s="1048">
        <f t="shared" si="27"/>
        <v>300</v>
      </c>
      <c r="AP60" s="4622"/>
      <c r="AQ60" s="907"/>
      <c r="AR60" s="907"/>
      <c r="AS60" s="1048">
        <f t="shared" si="28"/>
        <v>300</v>
      </c>
      <c r="AT60" s="1048"/>
      <c r="AU60" s="907"/>
      <c r="AV60" s="4922"/>
      <c r="AW60" s="4922"/>
      <c r="AX60" s="1048"/>
      <c r="AY60" s="4922"/>
      <c r="AZ60" s="4922"/>
      <c r="BA60" s="1048"/>
      <c r="BB60" s="4622"/>
      <c r="BC60" s="4922"/>
      <c r="BD60" s="4622"/>
      <c r="BE60" s="4622"/>
      <c r="BF60" s="4622"/>
      <c r="BG60" s="4622"/>
      <c r="BH60" s="4622">
        <f>J60</f>
        <v>300</v>
      </c>
      <c r="BI60" s="4622"/>
      <c r="BJ60" s="1048"/>
      <c r="BK60" s="4415" t="s">
        <v>89</v>
      </c>
      <c r="BL60" s="4415"/>
      <c r="BM60" s="4415">
        <f t="shared" si="21"/>
        <v>45</v>
      </c>
      <c r="BN60" s="4415">
        <f t="shared" si="22"/>
        <v>50</v>
      </c>
      <c r="BO60" s="4415">
        <f t="shared" si="23"/>
        <v>50</v>
      </c>
      <c r="BP60" s="4415">
        <f t="shared" si="24"/>
        <v>50</v>
      </c>
      <c r="BQ60" s="4414">
        <f t="shared" si="25"/>
        <v>50</v>
      </c>
      <c r="BR60" s="1048">
        <f t="shared" si="26"/>
        <v>50</v>
      </c>
      <c r="BS60" s="4384">
        <f>J60/60*1</f>
        <v>5</v>
      </c>
      <c r="BT60" s="911"/>
      <c r="BU60" s="911"/>
      <c r="BV60" s="911"/>
      <c r="BW60" s="911"/>
      <c r="BX60" s="910"/>
      <c r="BY60" s="910"/>
      <c r="BZ60" s="3708">
        <f t="shared" si="4"/>
        <v>300</v>
      </c>
      <c r="CA60" s="4154">
        <f t="shared" si="5"/>
        <v>0</v>
      </c>
      <c r="CB60" s="4923"/>
      <c r="CC60" s="4923"/>
      <c r="CD60" s="4323"/>
      <c r="CE60" s="4323"/>
      <c r="CF60" s="4323"/>
    </row>
    <row r="61" s="4316" customFormat="1" ht="50" customHeight="1" spans="1:84">
      <c r="A61" s="4500">
        <v>45586</v>
      </c>
      <c r="B61" s="3708" t="s">
        <v>90</v>
      </c>
      <c r="C61" s="3708" t="s">
        <v>91</v>
      </c>
      <c r="D61" s="4154">
        <v>4500147803</v>
      </c>
      <c r="E61" s="3708" t="s">
        <v>435</v>
      </c>
      <c r="F61" s="3708" t="s">
        <v>633</v>
      </c>
      <c r="G61" s="3708" t="s">
        <v>409</v>
      </c>
      <c r="H61" s="3708" t="s">
        <v>409</v>
      </c>
      <c r="I61" s="3708" t="s">
        <v>410</v>
      </c>
      <c r="J61" s="4154">
        <v>804</v>
      </c>
      <c r="K61" s="4154">
        <v>0</v>
      </c>
      <c r="L61" s="4154">
        <v>12</v>
      </c>
      <c r="M61" s="4154">
        <f t="shared" si="19"/>
        <v>67</v>
      </c>
      <c r="N61" s="4503">
        <v>45677</v>
      </c>
      <c r="O61" s="4503">
        <v>45673</v>
      </c>
      <c r="P61" s="4154"/>
      <c r="Q61" s="4929" t="s">
        <v>82</v>
      </c>
      <c r="R61" s="4157"/>
      <c r="S61" s="4157"/>
      <c r="T61" s="4157"/>
      <c r="U61" s="3711" t="s">
        <v>147</v>
      </c>
      <c r="V61" s="3711" t="s">
        <v>97</v>
      </c>
      <c r="W61" s="3711"/>
      <c r="X61" s="3711" t="s">
        <v>98</v>
      </c>
      <c r="Y61" s="3711"/>
      <c r="Z61" s="3711" t="s">
        <v>630</v>
      </c>
      <c r="AA61" s="4154"/>
      <c r="AB61" s="3713" t="s">
        <v>432</v>
      </c>
      <c r="AC61" s="3711" t="s">
        <v>101</v>
      </c>
      <c r="AD61" s="4504">
        <v>2.8218</v>
      </c>
      <c r="AE61" s="4154">
        <f t="shared" si="29"/>
        <v>2268.7272</v>
      </c>
      <c r="AF61" s="4505"/>
      <c r="AG61" s="3726"/>
      <c r="AH61" s="4422"/>
      <c r="AI61" s="3708">
        <f>J61</f>
        <v>804</v>
      </c>
      <c r="AJ61" s="4422"/>
      <c r="AK61" s="3708"/>
      <c r="AL61" s="3708"/>
      <c r="AM61" s="4154"/>
      <c r="AN61" s="907"/>
      <c r="AO61" s="1048">
        <f t="shared" si="27"/>
        <v>804</v>
      </c>
      <c r="AP61" s="4622"/>
      <c r="AQ61" s="907"/>
      <c r="AR61" s="907"/>
      <c r="AS61" s="1048">
        <f t="shared" si="28"/>
        <v>804</v>
      </c>
      <c r="AT61" s="1048"/>
      <c r="AU61" s="907"/>
      <c r="AV61" s="4922"/>
      <c r="AW61" s="4922"/>
      <c r="AX61" s="1048"/>
      <c r="AY61" s="4922"/>
      <c r="AZ61" s="4922"/>
      <c r="BA61" s="1048"/>
      <c r="BB61" s="4622"/>
      <c r="BC61" s="4922"/>
      <c r="BD61" s="4622"/>
      <c r="BE61" s="4622"/>
      <c r="BF61" s="4622"/>
      <c r="BG61" s="4622"/>
      <c r="BH61" s="1048">
        <f>J61</f>
        <v>804</v>
      </c>
      <c r="BI61" s="4622"/>
      <c r="BJ61" s="1048"/>
      <c r="BK61" s="4415" t="s">
        <v>89</v>
      </c>
      <c r="BL61" s="4415"/>
      <c r="BM61" s="4415">
        <f t="shared" si="21"/>
        <v>120.6</v>
      </c>
      <c r="BN61" s="4415">
        <f t="shared" si="22"/>
        <v>134</v>
      </c>
      <c r="BO61" s="4415">
        <f t="shared" si="23"/>
        <v>134</v>
      </c>
      <c r="BP61" s="4415">
        <f t="shared" si="24"/>
        <v>134</v>
      </c>
      <c r="BQ61" s="4414">
        <f t="shared" si="25"/>
        <v>134</v>
      </c>
      <c r="BR61" s="1048">
        <f t="shared" si="26"/>
        <v>134</v>
      </c>
      <c r="BS61" s="4384">
        <f>J61/60*1</f>
        <v>13.4</v>
      </c>
      <c r="BT61" s="911"/>
      <c r="BU61" s="911"/>
      <c r="BV61" s="911"/>
      <c r="BW61" s="911"/>
      <c r="BX61" s="910"/>
      <c r="BY61" s="910"/>
      <c r="BZ61" s="3708">
        <f t="shared" si="4"/>
        <v>804</v>
      </c>
      <c r="CA61" s="4154">
        <f t="shared" si="5"/>
        <v>0</v>
      </c>
      <c r="CB61" s="4923"/>
      <c r="CC61" s="4923"/>
      <c r="CD61" s="4323"/>
      <c r="CE61" s="4323"/>
      <c r="CF61" s="4323"/>
    </row>
    <row r="62" s="4316" customFormat="1" ht="50" customHeight="1" spans="1:84">
      <c r="A62" s="4500">
        <v>45586</v>
      </c>
      <c r="B62" s="3708" t="s">
        <v>90</v>
      </c>
      <c r="C62" s="3708" t="s">
        <v>91</v>
      </c>
      <c r="D62" s="4154">
        <v>4500147800</v>
      </c>
      <c r="E62" s="3708" t="s">
        <v>433</v>
      </c>
      <c r="F62" s="3708" t="s">
        <v>634</v>
      </c>
      <c r="G62" s="3708" t="s">
        <v>409</v>
      </c>
      <c r="H62" s="3708" t="s">
        <v>409</v>
      </c>
      <c r="I62" s="3708" t="s">
        <v>410</v>
      </c>
      <c r="J62" s="4154">
        <v>600</v>
      </c>
      <c r="K62" s="4154">
        <v>0</v>
      </c>
      <c r="L62" s="4154">
        <v>12</v>
      </c>
      <c r="M62" s="4154">
        <f t="shared" si="19"/>
        <v>50</v>
      </c>
      <c r="N62" s="4503">
        <v>45677</v>
      </c>
      <c r="O62" s="4503">
        <v>45673</v>
      </c>
      <c r="P62" s="4154"/>
      <c r="Q62" s="4929" t="s">
        <v>82</v>
      </c>
      <c r="R62" s="4157"/>
      <c r="S62" s="4157"/>
      <c r="T62" s="4157"/>
      <c r="U62" s="4160" t="s">
        <v>141</v>
      </c>
      <c r="V62" s="3711" t="s">
        <v>97</v>
      </c>
      <c r="W62" s="3711"/>
      <c r="X62" s="3711" t="s">
        <v>98</v>
      </c>
      <c r="Y62" s="3711"/>
      <c r="Z62" s="3711" t="s">
        <v>630</v>
      </c>
      <c r="AA62" s="4154"/>
      <c r="AB62" s="3713" t="s">
        <v>432</v>
      </c>
      <c r="AC62" s="3711" t="s">
        <v>101</v>
      </c>
      <c r="AD62" s="4504">
        <v>2.8218</v>
      </c>
      <c r="AE62" s="4154">
        <f t="shared" si="29"/>
        <v>1693.08</v>
      </c>
      <c r="AF62" s="4505"/>
      <c r="AG62" s="3726"/>
      <c r="AH62" s="4422"/>
      <c r="AI62" s="3708">
        <f>J62</f>
        <v>600</v>
      </c>
      <c r="AJ62" s="4422"/>
      <c r="AK62" s="3708"/>
      <c r="AL62" s="3708"/>
      <c r="AM62" s="4154"/>
      <c r="AN62" s="907"/>
      <c r="AO62" s="1048">
        <f t="shared" si="27"/>
        <v>600</v>
      </c>
      <c r="AP62" s="4622"/>
      <c r="AQ62" s="907"/>
      <c r="AR62" s="907"/>
      <c r="AS62" s="1048">
        <f t="shared" si="28"/>
        <v>600</v>
      </c>
      <c r="AT62" s="1048"/>
      <c r="AU62" s="907"/>
      <c r="AV62" s="4922"/>
      <c r="AW62" s="4922"/>
      <c r="AX62" s="1048"/>
      <c r="AY62" s="4922"/>
      <c r="AZ62" s="4922"/>
      <c r="BA62" s="1048"/>
      <c r="BB62" s="4622"/>
      <c r="BC62" s="4922"/>
      <c r="BD62" s="4622"/>
      <c r="BE62" s="4622"/>
      <c r="BF62" s="4622"/>
      <c r="BG62" s="4622"/>
      <c r="BH62" s="1048">
        <f>J62</f>
        <v>600</v>
      </c>
      <c r="BI62" s="4622"/>
      <c r="BJ62" s="1048"/>
      <c r="BK62" s="4415" t="s">
        <v>89</v>
      </c>
      <c r="BL62" s="4415"/>
      <c r="BM62" s="4415">
        <f t="shared" si="21"/>
        <v>90</v>
      </c>
      <c r="BN62" s="4415">
        <f t="shared" si="22"/>
        <v>100</v>
      </c>
      <c r="BO62" s="4415">
        <f t="shared" si="23"/>
        <v>100</v>
      </c>
      <c r="BP62" s="4415">
        <f t="shared" si="24"/>
        <v>100</v>
      </c>
      <c r="BQ62" s="4414">
        <f t="shared" si="25"/>
        <v>100</v>
      </c>
      <c r="BR62" s="1048">
        <f t="shared" si="26"/>
        <v>100</v>
      </c>
      <c r="BS62" s="4384">
        <f>J62/60*1</f>
        <v>10</v>
      </c>
      <c r="BT62" s="911"/>
      <c r="BU62" s="911"/>
      <c r="BV62" s="911"/>
      <c r="BW62" s="911"/>
      <c r="BX62" s="910"/>
      <c r="BY62" s="910"/>
      <c r="BZ62" s="3708">
        <f t="shared" si="4"/>
        <v>600</v>
      </c>
      <c r="CA62" s="4154">
        <f t="shared" si="5"/>
        <v>0</v>
      </c>
      <c r="CB62" s="4923"/>
      <c r="CC62" s="4923"/>
      <c r="CD62" s="4323"/>
      <c r="CE62" s="4323"/>
      <c r="CF62" s="4323"/>
    </row>
    <row r="63" s="4316" customFormat="1" ht="50" customHeight="1" spans="1:84">
      <c r="A63" s="4500">
        <v>45608</v>
      </c>
      <c r="B63" s="3708" t="s">
        <v>407</v>
      </c>
      <c r="C63" s="3708" t="s">
        <v>91</v>
      </c>
      <c r="D63" s="4154">
        <v>4500150488</v>
      </c>
      <c r="E63" s="3708">
        <v>60190680</v>
      </c>
      <c r="F63" s="3708" t="s">
        <v>635</v>
      </c>
      <c r="G63" s="3708" t="s">
        <v>409</v>
      </c>
      <c r="H63" s="3708" t="s">
        <v>409</v>
      </c>
      <c r="I63" s="3708" t="s">
        <v>410</v>
      </c>
      <c r="J63" s="4154">
        <v>2004</v>
      </c>
      <c r="K63" s="4154">
        <v>0</v>
      </c>
      <c r="L63" s="4154">
        <v>12</v>
      </c>
      <c r="M63" s="4154">
        <f t="shared" si="19"/>
        <v>167</v>
      </c>
      <c r="N63" s="4503">
        <v>45677</v>
      </c>
      <c r="O63" s="4503">
        <v>45673</v>
      </c>
      <c r="P63" s="4154"/>
      <c r="Q63" s="4929" t="s">
        <v>82</v>
      </c>
      <c r="R63" s="4157"/>
      <c r="S63" s="4157"/>
      <c r="T63" s="4157"/>
      <c r="U63" s="3726" t="s">
        <v>144</v>
      </c>
      <c r="V63" s="3711" t="s">
        <v>411</v>
      </c>
      <c r="W63" s="3711"/>
      <c r="X63" s="3711" t="s">
        <v>98</v>
      </c>
      <c r="Y63" s="3711"/>
      <c r="Z63" s="3711" t="s">
        <v>630</v>
      </c>
      <c r="AA63" s="4154" t="s">
        <v>631</v>
      </c>
      <c r="AB63" s="3713" t="s">
        <v>413</v>
      </c>
      <c r="AC63" s="3711" t="s">
        <v>393</v>
      </c>
      <c r="AD63" s="4504">
        <v>2.7175</v>
      </c>
      <c r="AE63" s="4154">
        <f t="shared" si="29"/>
        <v>5445.87</v>
      </c>
      <c r="AF63" s="4505" t="s">
        <v>636</v>
      </c>
      <c r="AG63" s="3726"/>
      <c r="AH63" s="4422"/>
      <c r="AI63" s="3708">
        <f>J63</f>
        <v>2004</v>
      </c>
      <c r="AJ63" s="4422"/>
      <c r="AK63" s="3708"/>
      <c r="AL63" s="3708"/>
      <c r="AM63" s="4154"/>
      <c r="AN63" s="907"/>
      <c r="AO63" s="1048">
        <f t="shared" si="27"/>
        <v>2004</v>
      </c>
      <c r="AP63" s="4622"/>
      <c r="AQ63" s="907"/>
      <c r="AR63" s="907"/>
      <c r="AS63" s="1048">
        <f t="shared" si="28"/>
        <v>2004</v>
      </c>
      <c r="AT63" s="1048"/>
      <c r="AU63" s="907"/>
      <c r="AV63" s="4922"/>
      <c r="AW63" s="4922"/>
      <c r="AX63" s="1048"/>
      <c r="AY63" s="4922"/>
      <c r="AZ63" s="4922"/>
      <c r="BA63" s="1048"/>
      <c r="BB63" s="4622"/>
      <c r="BC63" s="4922"/>
      <c r="BD63" s="4622"/>
      <c r="BE63" s="4622"/>
      <c r="BF63" s="4622"/>
      <c r="BG63" s="4622"/>
      <c r="BH63" s="4622">
        <f>J63</f>
        <v>2004</v>
      </c>
      <c r="BI63" s="4622"/>
      <c r="BJ63" s="1048"/>
      <c r="BK63" s="4415" t="s">
        <v>89</v>
      </c>
      <c r="BL63" s="4415"/>
      <c r="BM63" s="4415">
        <f t="shared" si="21"/>
        <v>300.6</v>
      </c>
      <c r="BN63" s="4415">
        <f t="shared" si="22"/>
        <v>334</v>
      </c>
      <c r="BO63" s="4415">
        <f t="shared" si="23"/>
        <v>334</v>
      </c>
      <c r="BP63" s="4415">
        <f t="shared" si="24"/>
        <v>334</v>
      </c>
      <c r="BQ63" s="4414">
        <f t="shared" si="25"/>
        <v>334</v>
      </c>
      <c r="BR63" s="1048">
        <f t="shared" si="26"/>
        <v>334</v>
      </c>
      <c r="BS63" s="4384">
        <f>J63/60*1</f>
        <v>33.4</v>
      </c>
      <c r="BT63" s="911"/>
      <c r="BU63" s="911"/>
      <c r="BV63" s="911"/>
      <c r="BW63" s="911"/>
      <c r="BX63" s="910"/>
      <c r="BY63" s="910"/>
      <c r="BZ63" s="3708">
        <f t="shared" si="4"/>
        <v>2004</v>
      </c>
      <c r="CA63" s="4154">
        <f t="shared" si="5"/>
        <v>0</v>
      </c>
      <c r="CB63" s="4923"/>
      <c r="CC63" s="4923"/>
      <c r="CD63" s="4323"/>
      <c r="CE63" s="4323"/>
      <c r="CF63" s="4323"/>
    </row>
    <row r="64" s="4316" customFormat="1" ht="50" customHeight="1" spans="1:84">
      <c r="A64" s="4500">
        <v>45632</v>
      </c>
      <c r="B64" s="3708" t="s">
        <v>371</v>
      </c>
      <c r="C64" s="3708" t="s">
        <v>341</v>
      </c>
      <c r="D64" s="4154">
        <v>4500153435</v>
      </c>
      <c r="E64" s="3708" t="s">
        <v>637</v>
      </c>
      <c r="F64" s="3708" t="s">
        <v>638</v>
      </c>
      <c r="G64" s="3708" t="s">
        <v>639</v>
      </c>
      <c r="H64" s="3708" t="s">
        <v>640</v>
      </c>
      <c r="I64" s="4154" t="s">
        <v>328</v>
      </c>
      <c r="J64" s="4154">
        <v>504</v>
      </c>
      <c r="K64" s="4154">
        <v>0</v>
      </c>
      <c r="L64" s="4154">
        <v>12</v>
      </c>
      <c r="M64" s="4154">
        <f t="shared" si="19"/>
        <v>42</v>
      </c>
      <c r="N64" s="4503">
        <v>45681</v>
      </c>
      <c r="O64" s="4503">
        <v>45677</v>
      </c>
      <c r="P64" s="4154"/>
      <c r="Q64" s="4929" t="s">
        <v>82</v>
      </c>
      <c r="R64" s="4157"/>
      <c r="S64" s="4157"/>
      <c r="T64" s="4157"/>
      <c r="U64" s="3726" t="s">
        <v>641</v>
      </c>
      <c r="V64" s="3711" t="s">
        <v>642</v>
      </c>
      <c r="W64" s="3711"/>
      <c r="X64" s="3711" t="s">
        <v>643</v>
      </c>
      <c r="Y64" s="3711"/>
      <c r="Z64" s="3711" t="s">
        <v>644</v>
      </c>
      <c r="AA64" s="4154"/>
      <c r="AB64" s="3713" t="s">
        <v>645</v>
      </c>
      <c r="AC64" s="3711" t="s">
        <v>380</v>
      </c>
      <c r="AD64" s="4154">
        <v>2.139</v>
      </c>
      <c r="AE64" s="4154">
        <f t="shared" si="29"/>
        <v>1078.056</v>
      </c>
      <c r="AF64" s="4505" t="s">
        <v>646</v>
      </c>
      <c r="AG64" s="3726"/>
      <c r="AH64" s="4422"/>
      <c r="AI64" s="3708"/>
      <c r="AJ64" s="4422"/>
      <c r="AK64" s="3708">
        <f>J64</f>
        <v>504</v>
      </c>
      <c r="AL64" s="3708"/>
      <c r="AM64" s="4154"/>
      <c r="AN64" s="907"/>
      <c r="AO64" s="1048">
        <f t="shared" si="27"/>
        <v>504</v>
      </c>
      <c r="AP64" s="4622"/>
      <c r="AQ64" s="907"/>
      <c r="AR64" s="907"/>
      <c r="AS64" s="1048">
        <f t="shared" si="28"/>
        <v>504</v>
      </c>
      <c r="AT64" s="1048"/>
      <c r="AU64" s="907"/>
      <c r="AV64" s="4922"/>
      <c r="AW64" s="4922"/>
      <c r="AX64" s="1048"/>
      <c r="AY64" s="4922"/>
      <c r="AZ64" s="4922"/>
      <c r="BA64" s="1048"/>
      <c r="BB64" s="4622"/>
      <c r="BC64" s="4922"/>
      <c r="BD64" s="4622"/>
      <c r="BE64" s="4622"/>
      <c r="BF64" s="4622"/>
      <c r="BG64" s="4622"/>
      <c r="BH64" s="4622"/>
      <c r="BI64" s="4622"/>
      <c r="BJ64" s="1048"/>
      <c r="BK64" s="4415" t="s">
        <v>89</v>
      </c>
      <c r="BL64" s="4415"/>
      <c r="BM64" s="4415"/>
      <c r="BN64" s="4415"/>
      <c r="BO64" s="4415"/>
      <c r="BP64" s="1048">
        <f>J64-BS64</f>
        <v>504</v>
      </c>
      <c r="BQ64" s="4414"/>
      <c r="BR64" s="1048"/>
      <c r="BS64" s="4384"/>
      <c r="BT64" s="911"/>
      <c r="BU64" s="911"/>
      <c r="BV64" s="911"/>
      <c r="BW64" s="911"/>
      <c r="BX64" s="910"/>
      <c r="BY64" s="910"/>
      <c r="BZ64" s="3708">
        <f t="shared" si="4"/>
        <v>504</v>
      </c>
      <c r="CA64" s="4154">
        <f t="shared" si="5"/>
        <v>0</v>
      </c>
      <c r="CB64" s="4923"/>
      <c r="CC64" s="4923"/>
      <c r="CD64" s="4323"/>
      <c r="CE64" s="4323"/>
      <c r="CF64" s="4323"/>
    </row>
    <row r="65" s="4316" customFormat="1" ht="50" customHeight="1" spans="1:84">
      <c r="A65" s="4500">
        <v>45632</v>
      </c>
      <c r="B65" s="3708" t="s">
        <v>371</v>
      </c>
      <c r="C65" s="3708" t="s">
        <v>341</v>
      </c>
      <c r="D65" s="4154">
        <v>4500153435</v>
      </c>
      <c r="E65" s="3708" t="s">
        <v>647</v>
      </c>
      <c r="F65" s="3708" t="s">
        <v>648</v>
      </c>
      <c r="G65" s="3708" t="s">
        <v>639</v>
      </c>
      <c r="H65" s="3708" t="s">
        <v>640</v>
      </c>
      <c r="I65" s="4154" t="s">
        <v>328</v>
      </c>
      <c r="J65" s="4154">
        <v>504</v>
      </c>
      <c r="K65" s="4154">
        <v>0</v>
      </c>
      <c r="L65" s="4154">
        <v>12</v>
      </c>
      <c r="M65" s="4154">
        <f t="shared" si="19"/>
        <v>42</v>
      </c>
      <c r="N65" s="4503">
        <v>45681</v>
      </c>
      <c r="O65" s="4503">
        <v>45677</v>
      </c>
      <c r="P65" s="4154"/>
      <c r="Q65" s="4929" t="s">
        <v>82</v>
      </c>
      <c r="R65" s="4157"/>
      <c r="S65" s="4157"/>
      <c r="T65" s="4157"/>
      <c r="U65" s="3726" t="s">
        <v>641</v>
      </c>
      <c r="V65" s="3711" t="s">
        <v>642</v>
      </c>
      <c r="W65" s="3711"/>
      <c r="X65" s="3711" t="s">
        <v>643</v>
      </c>
      <c r="Y65" s="3711"/>
      <c r="Z65" s="3711" t="s">
        <v>644</v>
      </c>
      <c r="AA65" s="4154"/>
      <c r="AB65" s="3713" t="s">
        <v>645</v>
      </c>
      <c r="AC65" s="3711" t="s">
        <v>380</v>
      </c>
      <c r="AD65" s="4154">
        <v>2.139</v>
      </c>
      <c r="AE65" s="4154">
        <f t="shared" si="29"/>
        <v>1078.056</v>
      </c>
      <c r="AF65" s="4505" t="s">
        <v>646</v>
      </c>
      <c r="AG65" s="3726"/>
      <c r="AH65" s="4422"/>
      <c r="AI65" s="3708"/>
      <c r="AJ65" s="4422"/>
      <c r="AK65" s="3708">
        <f>J65</f>
        <v>504</v>
      </c>
      <c r="AL65" s="3708"/>
      <c r="AM65" s="4154"/>
      <c r="AN65" s="907"/>
      <c r="AO65" s="1048">
        <f t="shared" si="27"/>
        <v>504</v>
      </c>
      <c r="AP65" s="4622"/>
      <c r="AQ65" s="907"/>
      <c r="AR65" s="907"/>
      <c r="AS65" s="1048">
        <f t="shared" si="28"/>
        <v>504</v>
      </c>
      <c r="AT65" s="1048"/>
      <c r="AU65" s="907"/>
      <c r="AV65" s="4922"/>
      <c r="AW65" s="4922"/>
      <c r="AX65" s="1048"/>
      <c r="AY65" s="4922"/>
      <c r="AZ65" s="4922"/>
      <c r="BA65" s="1048"/>
      <c r="BB65" s="4622"/>
      <c r="BC65" s="4922"/>
      <c r="BD65" s="4622"/>
      <c r="BE65" s="4622"/>
      <c r="BF65" s="4622"/>
      <c r="BG65" s="4622"/>
      <c r="BH65" s="4622"/>
      <c r="BI65" s="4622"/>
      <c r="BJ65" s="1048"/>
      <c r="BK65" s="4415" t="s">
        <v>89</v>
      </c>
      <c r="BL65" s="4415"/>
      <c r="BM65" s="4415"/>
      <c r="BN65" s="4415"/>
      <c r="BO65" s="4415"/>
      <c r="BP65" s="1048">
        <f>J65-BS65</f>
        <v>504</v>
      </c>
      <c r="BQ65" s="4414"/>
      <c r="BR65" s="1048"/>
      <c r="BS65" s="4384"/>
      <c r="BT65" s="911"/>
      <c r="BU65" s="911"/>
      <c r="BV65" s="911"/>
      <c r="BW65" s="911"/>
      <c r="BX65" s="910"/>
      <c r="BY65" s="910"/>
      <c r="BZ65" s="3708">
        <f t="shared" si="4"/>
        <v>504</v>
      </c>
      <c r="CA65" s="4154">
        <f t="shared" si="5"/>
        <v>0</v>
      </c>
      <c r="CB65" s="4923"/>
      <c r="CC65" s="4923"/>
      <c r="CD65" s="4323"/>
      <c r="CE65" s="4323"/>
      <c r="CF65" s="4323"/>
    </row>
    <row r="66" s="4316" customFormat="1" ht="50" customHeight="1" spans="1:84">
      <c r="A66" s="4500">
        <v>45659</v>
      </c>
      <c r="B66" s="3708" t="s">
        <v>90</v>
      </c>
      <c r="C66" s="3708" t="s">
        <v>91</v>
      </c>
      <c r="D66" s="4154">
        <v>4500155119</v>
      </c>
      <c r="E66" s="3708">
        <v>325570</v>
      </c>
      <c r="F66" s="3708" t="s">
        <v>649</v>
      </c>
      <c r="G66" s="3708" t="s">
        <v>333</v>
      </c>
      <c r="H66" s="3708" t="s">
        <v>333</v>
      </c>
      <c r="I66" s="3708" t="s">
        <v>328</v>
      </c>
      <c r="J66" s="4593">
        <v>3600</v>
      </c>
      <c r="K66" s="4154">
        <v>0</v>
      </c>
      <c r="L66" s="4154">
        <v>24</v>
      </c>
      <c r="M66" s="4154">
        <f t="shared" si="19"/>
        <v>150</v>
      </c>
      <c r="N66" s="4503">
        <v>45698</v>
      </c>
      <c r="O66" s="4503">
        <v>45694</v>
      </c>
      <c r="P66" s="4154"/>
      <c r="Q66" s="4154" t="s">
        <v>82</v>
      </c>
      <c r="R66" s="4157"/>
      <c r="S66" s="4157"/>
      <c r="T66" s="4157"/>
      <c r="U66" s="3726"/>
      <c r="V66" s="3711" t="s">
        <v>650</v>
      </c>
      <c r="W66" s="3711"/>
      <c r="X66" s="3711" t="s">
        <v>98</v>
      </c>
      <c r="Y66" s="3711"/>
      <c r="Z66" s="3711" t="s">
        <v>651</v>
      </c>
      <c r="AA66" s="4154"/>
      <c r="AB66" s="3713" t="s">
        <v>652</v>
      </c>
      <c r="AC66" s="3711" t="s">
        <v>653</v>
      </c>
      <c r="AD66" s="4504">
        <v>2.0725</v>
      </c>
      <c r="AE66" s="4154">
        <f t="shared" si="29"/>
        <v>7461</v>
      </c>
      <c r="AF66" s="4505"/>
      <c r="AG66" s="3726"/>
      <c r="AH66" s="984"/>
      <c r="AI66" s="3708">
        <f t="shared" ref="AI66:AI87" si="30">J66</f>
        <v>3600</v>
      </c>
      <c r="AJ66" s="984"/>
      <c r="AK66" s="3708"/>
      <c r="AL66" s="3708"/>
      <c r="AM66" s="4154"/>
      <c r="AN66" s="877"/>
      <c r="AO66" s="1048">
        <f t="shared" si="27"/>
        <v>3600</v>
      </c>
      <c r="AP66" s="4622"/>
      <c r="AQ66" s="877"/>
      <c r="AR66" s="877"/>
      <c r="AS66" s="1048">
        <f t="shared" si="28"/>
        <v>3600</v>
      </c>
      <c r="AT66" s="1048"/>
      <c r="AU66" s="877"/>
      <c r="AV66" s="4921"/>
      <c r="AW66" s="4921"/>
      <c r="AX66" s="1048"/>
      <c r="AY66" s="4921"/>
      <c r="AZ66" s="4921"/>
      <c r="BA66" s="1048"/>
      <c r="BB66" s="4622"/>
      <c r="BC66" s="4921"/>
      <c r="BD66" s="4622"/>
      <c r="BE66" s="4622"/>
      <c r="BF66" s="4622"/>
      <c r="BG66" s="4622"/>
      <c r="BH66" s="1048"/>
      <c r="BI66" s="4622"/>
      <c r="BJ66" s="1048"/>
      <c r="BK66" s="4415" t="s">
        <v>89</v>
      </c>
      <c r="BL66" s="4415"/>
      <c r="BM66" s="4415">
        <f t="shared" ref="BM66:BM72" si="31">J66/60*9</f>
        <v>540</v>
      </c>
      <c r="BN66" s="4415">
        <f t="shared" ref="BN66:BN72" si="32">J66/60*10</f>
        <v>600</v>
      </c>
      <c r="BO66" s="4415">
        <f t="shared" ref="BO66:BO72" si="33">J66/60*10</f>
        <v>600</v>
      </c>
      <c r="BP66" s="4415">
        <f t="shared" ref="BP66:BP72" si="34">J66/60*10</f>
        <v>600</v>
      </c>
      <c r="BQ66" s="4414">
        <f t="shared" ref="BQ66:BQ72" si="35">J66/60*10</f>
        <v>600</v>
      </c>
      <c r="BR66" s="1048">
        <f t="shared" ref="BR66:BR72" si="36">J66/60*10</f>
        <v>600</v>
      </c>
      <c r="BS66" s="4384">
        <f>J66/60*1</f>
        <v>60</v>
      </c>
      <c r="BT66" s="992"/>
      <c r="BU66" s="992"/>
      <c r="BV66" s="992"/>
      <c r="BW66" s="992"/>
      <c r="BX66" s="991"/>
      <c r="BY66" s="991"/>
      <c r="BZ66" s="3708">
        <f t="shared" si="4"/>
        <v>3600</v>
      </c>
      <c r="CA66" s="4154">
        <f t="shared" si="5"/>
        <v>0</v>
      </c>
      <c r="CB66" s="4804"/>
      <c r="CC66" s="4804"/>
      <c r="CD66" s="4323"/>
      <c r="CE66" s="4323"/>
      <c r="CF66" s="4323"/>
    </row>
    <row r="67" s="4316" customFormat="1" ht="50" customHeight="1" spans="1:84">
      <c r="A67" s="4500">
        <v>45659</v>
      </c>
      <c r="B67" s="3708" t="s">
        <v>90</v>
      </c>
      <c r="C67" s="3708" t="s">
        <v>91</v>
      </c>
      <c r="D67" s="4154">
        <v>4500155120</v>
      </c>
      <c r="E67" s="3708" t="s">
        <v>654</v>
      </c>
      <c r="F67" s="3708" t="s">
        <v>655</v>
      </c>
      <c r="G67" s="3708" t="s">
        <v>333</v>
      </c>
      <c r="H67" s="3708" t="s">
        <v>333</v>
      </c>
      <c r="I67" s="3708" t="s">
        <v>328</v>
      </c>
      <c r="J67" s="4593">
        <v>4008</v>
      </c>
      <c r="K67" s="4154">
        <v>0</v>
      </c>
      <c r="L67" s="4154">
        <v>24</v>
      </c>
      <c r="M67" s="4154">
        <f t="shared" si="19"/>
        <v>167</v>
      </c>
      <c r="N67" s="4503">
        <v>45698</v>
      </c>
      <c r="O67" s="4503">
        <v>45694</v>
      </c>
      <c r="P67" s="4154"/>
      <c r="Q67" s="4154" t="s">
        <v>82</v>
      </c>
      <c r="R67" s="4157"/>
      <c r="S67" s="4157"/>
      <c r="T67" s="4157"/>
      <c r="U67" s="3726" t="s">
        <v>159</v>
      </c>
      <c r="V67" s="3711" t="s">
        <v>650</v>
      </c>
      <c r="W67" s="3711"/>
      <c r="X67" s="3711" t="s">
        <v>98</v>
      </c>
      <c r="Y67" s="3711"/>
      <c r="Z67" s="3711" t="s">
        <v>651</v>
      </c>
      <c r="AA67" s="4154"/>
      <c r="AB67" s="3713" t="s">
        <v>656</v>
      </c>
      <c r="AC67" s="3711" t="s">
        <v>653</v>
      </c>
      <c r="AD67" s="4504">
        <v>2.1259</v>
      </c>
      <c r="AE67" s="4154">
        <f t="shared" si="29"/>
        <v>8520.6072</v>
      </c>
      <c r="AF67" s="4505" t="s">
        <v>657</v>
      </c>
      <c r="AG67" s="3726"/>
      <c r="AH67" s="984"/>
      <c r="AI67" s="3708">
        <f t="shared" si="30"/>
        <v>4008</v>
      </c>
      <c r="AJ67" s="984"/>
      <c r="AK67" s="3708"/>
      <c r="AL67" s="3708"/>
      <c r="AM67" s="4154"/>
      <c r="AN67" s="877"/>
      <c r="AO67" s="1048">
        <f t="shared" si="27"/>
        <v>4008</v>
      </c>
      <c r="AP67" s="4622"/>
      <c r="AQ67" s="877"/>
      <c r="AR67" s="877"/>
      <c r="AS67" s="1048">
        <f t="shared" si="28"/>
        <v>4008</v>
      </c>
      <c r="AT67" s="1048"/>
      <c r="AU67" s="877"/>
      <c r="AV67" s="4921"/>
      <c r="AW67" s="4921"/>
      <c r="AX67" s="1048"/>
      <c r="AY67" s="4921"/>
      <c r="AZ67" s="4921"/>
      <c r="BA67" s="1048"/>
      <c r="BB67" s="4622"/>
      <c r="BC67" s="4921"/>
      <c r="BD67" s="4622"/>
      <c r="BE67" s="4622"/>
      <c r="BF67" s="4622"/>
      <c r="BG67" s="4622"/>
      <c r="BH67" s="1048"/>
      <c r="BI67" s="4622"/>
      <c r="BJ67" s="1048"/>
      <c r="BK67" s="4415" t="s">
        <v>89</v>
      </c>
      <c r="BL67" s="4415"/>
      <c r="BM67" s="4415">
        <f t="shared" si="31"/>
        <v>601.2</v>
      </c>
      <c r="BN67" s="4415">
        <f t="shared" si="32"/>
        <v>668</v>
      </c>
      <c r="BO67" s="4415">
        <f t="shared" si="33"/>
        <v>668</v>
      </c>
      <c r="BP67" s="4415">
        <f t="shared" si="34"/>
        <v>668</v>
      </c>
      <c r="BQ67" s="4414">
        <f t="shared" si="35"/>
        <v>668</v>
      </c>
      <c r="BR67" s="1048">
        <f t="shared" si="36"/>
        <v>668</v>
      </c>
      <c r="BS67" s="4384">
        <f>J67/60*1</f>
        <v>66.8</v>
      </c>
      <c r="BT67" s="992"/>
      <c r="BU67" s="992"/>
      <c r="BV67" s="992"/>
      <c r="BW67" s="992"/>
      <c r="BX67" s="991"/>
      <c r="BY67" s="991"/>
      <c r="BZ67" s="3708">
        <f t="shared" si="4"/>
        <v>4008</v>
      </c>
      <c r="CA67" s="4154">
        <f t="shared" si="5"/>
        <v>0</v>
      </c>
      <c r="CB67" s="4804"/>
      <c r="CC67" s="4804"/>
      <c r="CD67" s="4323"/>
      <c r="CE67" s="4323"/>
      <c r="CF67" s="4323"/>
    </row>
    <row r="68" s="4316" customFormat="1" ht="50" customHeight="1" spans="1:84">
      <c r="A68" s="4500">
        <v>45614</v>
      </c>
      <c r="B68" s="4501" t="s">
        <v>340</v>
      </c>
      <c r="C68" s="3708" t="s">
        <v>341</v>
      </c>
      <c r="D68" s="4502">
        <v>4500150417</v>
      </c>
      <c r="E68" s="3708">
        <v>361486</v>
      </c>
      <c r="F68" s="4615" t="s">
        <v>658</v>
      </c>
      <c r="G68" s="3708" t="s">
        <v>333</v>
      </c>
      <c r="H68" s="3708" t="s">
        <v>333</v>
      </c>
      <c r="I68" s="3708" t="s">
        <v>328</v>
      </c>
      <c r="J68" s="4593">
        <v>1512</v>
      </c>
      <c r="K68" s="4154">
        <v>0</v>
      </c>
      <c r="L68" s="4154">
        <v>24</v>
      </c>
      <c r="M68" s="4154">
        <f t="shared" si="19"/>
        <v>63</v>
      </c>
      <c r="N68" s="4503">
        <v>45702</v>
      </c>
      <c r="O68" s="4503">
        <v>45698</v>
      </c>
      <c r="P68" s="3712"/>
      <c r="Q68" s="4154" t="s">
        <v>82</v>
      </c>
      <c r="R68" s="4157"/>
      <c r="S68" s="4157"/>
      <c r="T68" s="4157"/>
      <c r="U68" s="3726" t="s">
        <v>618</v>
      </c>
      <c r="V68" s="3711" t="s">
        <v>510</v>
      </c>
      <c r="W68" s="3711"/>
      <c r="X68" s="3711" t="s">
        <v>659</v>
      </c>
      <c r="Y68" s="3711"/>
      <c r="Z68" s="3711"/>
      <c r="AA68" s="3712"/>
      <c r="AB68" s="3680" t="s">
        <v>660</v>
      </c>
      <c r="AC68" s="4154" t="s">
        <v>348</v>
      </c>
      <c r="AD68" s="4504">
        <v>2.1295</v>
      </c>
      <c r="AE68" s="4154">
        <f t="shared" si="29"/>
        <v>3219.804</v>
      </c>
      <c r="AF68" s="4505"/>
      <c r="AG68" s="3726"/>
      <c r="AH68" s="4422"/>
      <c r="AI68" s="3708">
        <f t="shared" si="30"/>
        <v>1512</v>
      </c>
      <c r="AJ68" s="4422"/>
      <c r="AK68" s="3708"/>
      <c r="AL68" s="3708"/>
      <c r="AM68" s="4154"/>
      <c r="AN68" s="907"/>
      <c r="AO68" s="1048">
        <f t="shared" si="27"/>
        <v>1512</v>
      </c>
      <c r="AP68" s="1048"/>
      <c r="AQ68" s="907"/>
      <c r="AR68" s="907"/>
      <c r="AS68" s="1048">
        <f t="shared" si="28"/>
        <v>1512</v>
      </c>
      <c r="AT68" s="1048"/>
      <c r="AU68" s="907"/>
      <c r="AV68" s="907"/>
      <c r="AW68" s="907"/>
      <c r="AX68" s="1048"/>
      <c r="AY68" s="907"/>
      <c r="AZ68" s="907"/>
      <c r="BA68" s="1048"/>
      <c r="BB68" s="1048"/>
      <c r="BC68" s="907"/>
      <c r="BD68" s="1048"/>
      <c r="BE68" s="1048"/>
      <c r="BF68" s="1048"/>
      <c r="BG68" s="1048"/>
      <c r="BH68" s="4622"/>
      <c r="BI68" s="4622"/>
      <c r="BJ68" s="1048"/>
      <c r="BK68" s="4415" t="s">
        <v>89</v>
      </c>
      <c r="BL68" s="4415">
        <f>J68/60*1</f>
        <v>25.2</v>
      </c>
      <c r="BM68" s="4415">
        <f t="shared" si="31"/>
        <v>226.8</v>
      </c>
      <c r="BN68" s="4415">
        <f t="shared" si="32"/>
        <v>252</v>
      </c>
      <c r="BO68" s="4415">
        <f t="shared" si="33"/>
        <v>252</v>
      </c>
      <c r="BP68" s="4415">
        <f t="shared" si="34"/>
        <v>252</v>
      </c>
      <c r="BQ68" s="4414">
        <f t="shared" si="35"/>
        <v>252</v>
      </c>
      <c r="BR68" s="1048">
        <f t="shared" si="36"/>
        <v>252</v>
      </c>
      <c r="BS68" s="4384"/>
      <c r="BT68" s="4462"/>
      <c r="BU68" s="4462"/>
      <c r="BV68" s="4462"/>
      <c r="BW68" s="4462"/>
      <c r="BX68" s="4462"/>
      <c r="BY68" s="4462"/>
      <c r="BZ68" s="3708">
        <f t="shared" si="4"/>
        <v>1512</v>
      </c>
      <c r="CA68" s="4154">
        <f t="shared" si="5"/>
        <v>0</v>
      </c>
      <c r="CB68" s="4462"/>
      <c r="CC68" s="4462"/>
      <c r="CD68" s="4323"/>
      <c r="CE68" s="4323"/>
      <c r="CF68" s="4323"/>
    </row>
    <row r="69" s="4316" customFormat="1" ht="50" customHeight="1" spans="1:84">
      <c r="A69" s="4500">
        <v>45624</v>
      </c>
      <c r="B69" s="3708" t="s">
        <v>340</v>
      </c>
      <c r="C69" s="3708" t="s">
        <v>341</v>
      </c>
      <c r="D69" s="4154">
        <v>4500151833</v>
      </c>
      <c r="E69" s="3708" t="s">
        <v>661</v>
      </c>
      <c r="F69" s="3708" t="s">
        <v>662</v>
      </c>
      <c r="G69" s="3708" t="s">
        <v>333</v>
      </c>
      <c r="H69" s="3708" t="s">
        <v>333</v>
      </c>
      <c r="I69" s="3708" t="s">
        <v>328</v>
      </c>
      <c r="J69" s="4593">
        <v>1008</v>
      </c>
      <c r="K69" s="4154">
        <v>0</v>
      </c>
      <c r="L69" s="4154">
        <v>24</v>
      </c>
      <c r="M69" s="4154">
        <f t="shared" si="19"/>
        <v>42</v>
      </c>
      <c r="N69" s="4503">
        <v>45702</v>
      </c>
      <c r="O69" s="4503">
        <v>45698</v>
      </c>
      <c r="P69" s="4154"/>
      <c r="Q69" s="4154" t="s">
        <v>82</v>
      </c>
      <c r="R69" s="4157"/>
      <c r="S69" s="4157"/>
      <c r="T69" s="4157"/>
      <c r="U69" s="3726" t="s">
        <v>618</v>
      </c>
      <c r="V69" s="3711" t="s">
        <v>663</v>
      </c>
      <c r="W69" s="3711"/>
      <c r="X69" s="3711" t="s">
        <v>664</v>
      </c>
      <c r="Y69" s="3711"/>
      <c r="Z69" s="3711"/>
      <c r="AA69" s="4154"/>
      <c r="AB69" s="3680" t="s">
        <v>665</v>
      </c>
      <c r="AC69" s="4155" t="s">
        <v>348</v>
      </c>
      <c r="AD69" s="4504">
        <v>2.1295</v>
      </c>
      <c r="AE69" s="4154">
        <f t="shared" si="29"/>
        <v>2146.536</v>
      </c>
      <c r="AF69" s="4505"/>
      <c r="AG69" s="3726"/>
      <c r="AH69" s="4422"/>
      <c r="AI69" s="3708">
        <f t="shared" si="30"/>
        <v>1008</v>
      </c>
      <c r="AJ69" s="4422"/>
      <c r="AK69" s="3708"/>
      <c r="AL69" s="3708"/>
      <c r="AM69" s="4154"/>
      <c r="AN69" s="907"/>
      <c r="AO69" s="1048">
        <f t="shared" si="27"/>
        <v>1008</v>
      </c>
      <c r="AP69" s="4622"/>
      <c r="AQ69" s="907"/>
      <c r="AR69" s="907"/>
      <c r="AS69" s="1048">
        <f t="shared" si="28"/>
        <v>1008</v>
      </c>
      <c r="AT69" s="1048"/>
      <c r="AU69" s="907"/>
      <c r="AV69" s="4922"/>
      <c r="AW69" s="4922"/>
      <c r="AX69" s="1048"/>
      <c r="AY69" s="4922"/>
      <c r="AZ69" s="4922"/>
      <c r="BA69" s="1048"/>
      <c r="BB69" s="4622"/>
      <c r="BC69" s="4922"/>
      <c r="BD69" s="4622"/>
      <c r="BE69" s="4622"/>
      <c r="BF69" s="4622"/>
      <c r="BG69" s="4622"/>
      <c r="BH69" s="1048"/>
      <c r="BI69" s="4622"/>
      <c r="BJ69" s="1048"/>
      <c r="BK69" s="4415" t="s">
        <v>89</v>
      </c>
      <c r="BL69" s="4415">
        <f>J69/60*1</f>
        <v>16.8</v>
      </c>
      <c r="BM69" s="4415">
        <f t="shared" si="31"/>
        <v>151.2</v>
      </c>
      <c r="BN69" s="4415">
        <f t="shared" si="32"/>
        <v>168</v>
      </c>
      <c r="BO69" s="4415">
        <f t="shared" si="33"/>
        <v>168</v>
      </c>
      <c r="BP69" s="4415">
        <f t="shared" si="34"/>
        <v>168</v>
      </c>
      <c r="BQ69" s="4414">
        <f t="shared" si="35"/>
        <v>168</v>
      </c>
      <c r="BR69" s="1048">
        <f t="shared" si="36"/>
        <v>168</v>
      </c>
      <c r="BS69" s="4384"/>
      <c r="BT69" s="4462"/>
      <c r="BU69" s="4462"/>
      <c r="BV69" s="4462"/>
      <c r="BW69" s="4462"/>
      <c r="BX69" s="4462"/>
      <c r="BY69" s="4462"/>
      <c r="BZ69" s="3708">
        <f t="shared" ref="BZ69:BZ132" si="37">SUM(BL69:BY69)</f>
        <v>1008</v>
      </c>
      <c r="CA69" s="4154">
        <f t="shared" ref="CA69:CA132" si="38">J69-BZ69</f>
        <v>0</v>
      </c>
      <c r="CB69" s="4923"/>
      <c r="CC69" s="4923"/>
      <c r="CD69" s="4323"/>
      <c r="CE69" s="4323"/>
      <c r="CF69" s="4323"/>
    </row>
    <row r="70" s="4316" customFormat="1" ht="50" customHeight="1" spans="1:84">
      <c r="A70" s="4500">
        <v>45659</v>
      </c>
      <c r="B70" s="3708" t="s">
        <v>90</v>
      </c>
      <c r="C70" s="3708" t="s">
        <v>91</v>
      </c>
      <c r="D70" s="4154">
        <v>4500155121</v>
      </c>
      <c r="E70" s="3708">
        <v>325571</v>
      </c>
      <c r="F70" s="3708" t="s">
        <v>666</v>
      </c>
      <c r="G70" s="3708" t="s">
        <v>333</v>
      </c>
      <c r="H70" s="3708" t="s">
        <v>333</v>
      </c>
      <c r="I70" s="3708" t="s">
        <v>328</v>
      </c>
      <c r="J70" s="4593">
        <v>3600</v>
      </c>
      <c r="K70" s="4154">
        <v>0</v>
      </c>
      <c r="L70" s="4154">
        <v>24</v>
      </c>
      <c r="M70" s="4154">
        <f t="shared" si="19"/>
        <v>150</v>
      </c>
      <c r="N70" s="4503">
        <v>45702</v>
      </c>
      <c r="O70" s="4503">
        <v>45698</v>
      </c>
      <c r="P70" s="4154"/>
      <c r="Q70" s="3726" t="s">
        <v>82</v>
      </c>
      <c r="R70" s="4157"/>
      <c r="S70" s="4157"/>
      <c r="T70" s="4157"/>
      <c r="U70" s="3711" t="s">
        <v>159</v>
      </c>
      <c r="V70" s="3711" t="s">
        <v>650</v>
      </c>
      <c r="W70" s="3711"/>
      <c r="X70" s="3711" t="s">
        <v>98</v>
      </c>
      <c r="Y70" s="3711"/>
      <c r="Z70" s="3711" t="s">
        <v>651</v>
      </c>
      <c r="AA70" s="4155"/>
      <c r="AB70" s="3876" t="s">
        <v>667</v>
      </c>
      <c r="AC70" s="4504" t="s">
        <v>653</v>
      </c>
      <c r="AD70" s="4504">
        <v>2.1259</v>
      </c>
      <c r="AE70" s="4154">
        <f t="shared" si="29"/>
        <v>7653.24</v>
      </c>
      <c r="AF70" s="4505" t="s">
        <v>668</v>
      </c>
      <c r="AG70" s="3708"/>
      <c r="AH70" s="984"/>
      <c r="AI70" s="3708">
        <f t="shared" si="30"/>
        <v>3600</v>
      </c>
      <c r="AJ70" s="4425"/>
      <c r="AK70" s="1048"/>
      <c r="AL70" s="4622"/>
      <c r="AM70" s="1048"/>
      <c r="AN70" s="877"/>
      <c r="AO70" s="1048">
        <f t="shared" si="27"/>
        <v>3600</v>
      </c>
      <c r="AP70" s="1048"/>
      <c r="AQ70" s="4921"/>
      <c r="AR70" s="4921"/>
      <c r="AS70" s="1048">
        <f t="shared" si="28"/>
        <v>3600</v>
      </c>
      <c r="AT70" s="4622"/>
      <c r="AU70" s="4921"/>
      <c r="AV70" s="877"/>
      <c r="AW70" s="4921"/>
      <c r="AX70" s="1048"/>
      <c r="AY70" s="992"/>
      <c r="AZ70" s="992"/>
      <c r="BA70" s="4415"/>
      <c r="BB70" s="4415"/>
      <c r="BC70" s="992"/>
      <c r="BD70" s="4415"/>
      <c r="BE70" s="4414"/>
      <c r="BF70" s="4622"/>
      <c r="BG70" s="4622"/>
      <c r="BH70" s="3708"/>
      <c r="BI70" s="4154"/>
      <c r="BJ70" s="1048"/>
      <c r="BK70" s="4415" t="s">
        <v>89</v>
      </c>
      <c r="BL70" s="4415"/>
      <c r="BM70" s="4415">
        <f t="shared" si="31"/>
        <v>540</v>
      </c>
      <c r="BN70" s="4415">
        <f t="shared" si="32"/>
        <v>600</v>
      </c>
      <c r="BO70" s="4415">
        <f t="shared" si="33"/>
        <v>600</v>
      </c>
      <c r="BP70" s="4415">
        <f t="shared" si="34"/>
        <v>600</v>
      </c>
      <c r="BQ70" s="4414">
        <f t="shared" si="35"/>
        <v>600</v>
      </c>
      <c r="BR70" s="1048">
        <f t="shared" si="36"/>
        <v>600</v>
      </c>
      <c r="BS70" s="4384">
        <f>J70/60*1</f>
        <v>60</v>
      </c>
      <c r="BT70" s="4816"/>
      <c r="BU70" s="4816"/>
      <c r="BV70" s="4816"/>
      <c r="BW70" s="4816"/>
      <c r="BX70" s="4816"/>
      <c r="BY70" s="4816"/>
      <c r="BZ70" s="3708">
        <f t="shared" si="37"/>
        <v>3600</v>
      </c>
      <c r="CA70" s="4154">
        <f t="shared" si="38"/>
        <v>0</v>
      </c>
      <c r="CB70" s="4816"/>
      <c r="CC70" s="4816"/>
      <c r="CD70" s="4323"/>
      <c r="CE70" s="4323"/>
      <c r="CF70" s="4323"/>
    </row>
    <row r="71" s="4316" customFormat="1" ht="50" customHeight="1" spans="1:84">
      <c r="A71" s="4500">
        <v>45659</v>
      </c>
      <c r="B71" s="3708" t="s">
        <v>90</v>
      </c>
      <c r="C71" s="3708" t="s">
        <v>91</v>
      </c>
      <c r="D71" s="4154">
        <v>4500155123</v>
      </c>
      <c r="E71" s="3708" t="s">
        <v>669</v>
      </c>
      <c r="F71" s="3708" t="s">
        <v>670</v>
      </c>
      <c r="G71" s="3708" t="s">
        <v>333</v>
      </c>
      <c r="H71" s="3708" t="s">
        <v>333</v>
      </c>
      <c r="I71" s="3708" t="s">
        <v>328</v>
      </c>
      <c r="J71" s="4593">
        <v>4008</v>
      </c>
      <c r="K71" s="4154">
        <v>0</v>
      </c>
      <c r="L71" s="4154">
        <v>24</v>
      </c>
      <c r="M71" s="4154">
        <f t="shared" si="19"/>
        <v>167</v>
      </c>
      <c r="N71" s="4503">
        <v>45702</v>
      </c>
      <c r="O71" s="4503">
        <v>45698</v>
      </c>
      <c r="P71" s="4154"/>
      <c r="Q71" s="3726" t="s">
        <v>82</v>
      </c>
      <c r="R71" s="4157"/>
      <c r="S71" s="4157"/>
      <c r="T71" s="4157"/>
      <c r="U71" s="3711" t="s">
        <v>159</v>
      </c>
      <c r="V71" s="3711" t="s">
        <v>650</v>
      </c>
      <c r="W71" s="3711"/>
      <c r="X71" s="3711" t="s">
        <v>98</v>
      </c>
      <c r="Y71" s="3711"/>
      <c r="Z71" s="3711" t="s">
        <v>651</v>
      </c>
      <c r="AA71" s="4155"/>
      <c r="AB71" s="3876" t="s">
        <v>656</v>
      </c>
      <c r="AC71" s="4504" t="s">
        <v>653</v>
      </c>
      <c r="AD71" s="4504">
        <v>2.1259</v>
      </c>
      <c r="AE71" s="4154">
        <f t="shared" si="29"/>
        <v>8520.6072</v>
      </c>
      <c r="AF71" s="4505" t="s">
        <v>671</v>
      </c>
      <c r="AG71" s="3708"/>
      <c r="AH71" s="984"/>
      <c r="AI71" s="3708">
        <f t="shared" si="30"/>
        <v>4008</v>
      </c>
      <c r="AJ71" s="4425"/>
      <c r="AK71" s="1048"/>
      <c r="AL71" s="4622"/>
      <c r="AM71" s="1048"/>
      <c r="AN71" s="877"/>
      <c r="AO71" s="1048">
        <f t="shared" si="27"/>
        <v>4008</v>
      </c>
      <c r="AP71" s="1048"/>
      <c r="AQ71" s="4921"/>
      <c r="AR71" s="4921"/>
      <c r="AS71" s="1048">
        <f t="shared" si="28"/>
        <v>4008</v>
      </c>
      <c r="AT71" s="4622"/>
      <c r="AU71" s="4921"/>
      <c r="AV71" s="877"/>
      <c r="AW71" s="4921"/>
      <c r="AX71" s="1048"/>
      <c r="AY71" s="992"/>
      <c r="AZ71" s="992"/>
      <c r="BA71" s="4415"/>
      <c r="BB71" s="4415"/>
      <c r="BC71" s="992"/>
      <c r="BD71" s="4415"/>
      <c r="BE71" s="4414"/>
      <c r="BF71" s="4622"/>
      <c r="BG71" s="4622"/>
      <c r="BH71" s="3708"/>
      <c r="BI71" s="4154"/>
      <c r="BJ71" s="1048"/>
      <c r="BK71" s="4415" t="s">
        <v>89</v>
      </c>
      <c r="BL71" s="4415"/>
      <c r="BM71" s="4415">
        <f t="shared" si="31"/>
        <v>601.2</v>
      </c>
      <c r="BN71" s="4415">
        <f t="shared" si="32"/>
        <v>668</v>
      </c>
      <c r="BO71" s="4415">
        <f t="shared" si="33"/>
        <v>668</v>
      </c>
      <c r="BP71" s="4415">
        <f t="shared" si="34"/>
        <v>668</v>
      </c>
      <c r="BQ71" s="4414">
        <f t="shared" si="35"/>
        <v>668</v>
      </c>
      <c r="BR71" s="1048">
        <f t="shared" si="36"/>
        <v>668</v>
      </c>
      <c r="BS71" s="4384">
        <f>J71/60*1</f>
        <v>66.8</v>
      </c>
      <c r="BT71" s="4816"/>
      <c r="BU71" s="4816"/>
      <c r="BV71" s="4816"/>
      <c r="BW71" s="4816"/>
      <c r="BX71" s="4816"/>
      <c r="BY71" s="4816"/>
      <c r="BZ71" s="3708">
        <f t="shared" si="37"/>
        <v>4008</v>
      </c>
      <c r="CA71" s="4154">
        <f t="shared" si="38"/>
        <v>0</v>
      </c>
      <c r="CB71" s="4816"/>
      <c r="CC71" s="4816"/>
      <c r="CD71" s="4323"/>
      <c r="CE71" s="4323"/>
      <c r="CF71" s="4323"/>
    </row>
    <row r="72" s="4316" customFormat="1" ht="50" customHeight="1" spans="1:84">
      <c r="A72" s="4500">
        <v>45651</v>
      </c>
      <c r="B72" s="4501" t="s">
        <v>672</v>
      </c>
      <c r="C72" s="3708" t="s">
        <v>673</v>
      </c>
      <c r="D72" s="4502">
        <v>4500154728</v>
      </c>
      <c r="E72" s="3708">
        <v>5000001743</v>
      </c>
      <c r="F72" s="4615" t="s">
        <v>674</v>
      </c>
      <c r="G72" s="3708" t="s">
        <v>675</v>
      </c>
      <c r="H72" s="3708" t="s">
        <v>508</v>
      </c>
      <c r="I72" s="3708" t="s">
        <v>328</v>
      </c>
      <c r="J72" s="4154">
        <v>1200</v>
      </c>
      <c r="K72" s="4154">
        <v>0</v>
      </c>
      <c r="L72" s="4154">
        <v>6</v>
      </c>
      <c r="M72" s="4154">
        <f t="shared" si="19"/>
        <v>200</v>
      </c>
      <c r="N72" s="4503">
        <v>45705</v>
      </c>
      <c r="O72" s="4503">
        <v>45701</v>
      </c>
      <c r="P72" s="3712"/>
      <c r="Q72" s="4929" t="s">
        <v>82</v>
      </c>
      <c r="R72" s="4157"/>
      <c r="S72" s="4157"/>
      <c r="T72" s="4157"/>
      <c r="U72" s="3726" t="s">
        <v>156</v>
      </c>
      <c r="V72" s="3711" t="s">
        <v>676</v>
      </c>
      <c r="W72" s="3711"/>
      <c r="X72" s="3711" t="s">
        <v>677</v>
      </c>
      <c r="Y72" s="3711"/>
      <c r="Z72" s="3711" t="s">
        <v>678</v>
      </c>
      <c r="AA72" s="4154"/>
      <c r="AB72" s="3680" t="s">
        <v>679</v>
      </c>
      <c r="AC72" s="4154" t="s">
        <v>680</v>
      </c>
      <c r="AD72" s="4504">
        <v>2.1973</v>
      </c>
      <c r="AE72" s="4154">
        <f t="shared" si="29"/>
        <v>2636.76</v>
      </c>
      <c r="AF72" s="4505" t="s">
        <v>681</v>
      </c>
      <c r="AG72" s="3726"/>
      <c r="AH72" s="984"/>
      <c r="AI72" s="3708">
        <f t="shared" si="30"/>
        <v>1200</v>
      </c>
      <c r="AJ72" s="984"/>
      <c r="AK72" s="3708"/>
      <c r="AL72" s="3708"/>
      <c r="AM72" s="4154"/>
      <c r="AN72" s="877"/>
      <c r="AO72" s="1048"/>
      <c r="AP72" s="1048">
        <f>J72</f>
        <v>1200</v>
      </c>
      <c r="AQ72" s="877"/>
      <c r="AR72" s="877"/>
      <c r="AS72" s="1048">
        <f t="shared" si="28"/>
        <v>1200</v>
      </c>
      <c r="AT72" s="1048"/>
      <c r="AU72" s="877"/>
      <c r="AV72" s="877"/>
      <c r="AW72" s="877"/>
      <c r="AX72" s="1048">
        <f>J72/6</f>
        <v>200</v>
      </c>
      <c r="AY72" s="877"/>
      <c r="AZ72" s="877"/>
      <c r="BA72" s="1048"/>
      <c r="BB72" s="1048"/>
      <c r="BC72" s="877"/>
      <c r="BD72" s="1048"/>
      <c r="BE72" s="1048"/>
      <c r="BF72" s="1048"/>
      <c r="BG72" s="1048"/>
      <c r="BH72" s="4622"/>
      <c r="BI72" s="4622"/>
      <c r="BJ72" s="1048"/>
      <c r="BK72" s="4415" t="s">
        <v>682</v>
      </c>
      <c r="BL72" s="4415">
        <f>J72/60*1</f>
        <v>20</v>
      </c>
      <c r="BM72" s="4415">
        <f t="shared" si="31"/>
        <v>180</v>
      </c>
      <c r="BN72" s="4415">
        <f t="shared" si="32"/>
        <v>200</v>
      </c>
      <c r="BO72" s="4415">
        <f t="shared" si="33"/>
        <v>200</v>
      </c>
      <c r="BP72" s="4415">
        <f t="shared" si="34"/>
        <v>200</v>
      </c>
      <c r="BQ72" s="4414">
        <f t="shared" si="35"/>
        <v>200</v>
      </c>
      <c r="BR72" s="1048">
        <f t="shared" si="36"/>
        <v>200</v>
      </c>
      <c r="BS72" s="4384"/>
      <c r="BT72" s="992"/>
      <c r="BU72" s="992"/>
      <c r="BV72" s="992"/>
      <c r="BW72" s="992"/>
      <c r="BX72" s="991"/>
      <c r="BY72" s="991"/>
      <c r="BZ72" s="3708">
        <f t="shared" si="37"/>
        <v>1200</v>
      </c>
      <c r="CA72" s="4154">
        <f t="shared" si="38"/>
        <v>0</v>
      </c>
      <c r="CB72" s="4816"/>
      <c r="CC72" s="4816"/>
      <c r="CD72" s="4323"/>
      <c r="CE72" s="4323"/>
      <c r="CF72" s="4323"/>
    </row>
    <row r="73" s="4316" customFormat="1" ht="50" customHeight="1" spans="1:84">
      <c r="A73" s="4500">
        <v>45642</v>
      </c>
      <c r="B73" s="4501" t="s">
        <v>361</v>
      </c>
      <c r="C73" s="3708" t="s">
        <v>91</v>
      </c>
      <c r="D73" s="4502">
        <v>4500154101</v>
      </c>
      <c r="E73" s="3708" t="s">
        <v>683</v>
      </c>
      <c r="F73" s="4615" t="s">
        <v>684</v>
      </c>
      <c r="G73" s="3708" t="s">
        <v>685</v>
      </c>
      <c r="H73" s="3708" t="s">
        <v>685</v>
      </c>
      <c r="I73" s="4154" t="s">
        <v>328</v>
      </c>
      <c r="J73" s="4593">
        <v>204</v>
      </c>
      <c r="K73" s="4154">
        <v>0</v>
      </c>
      <c r="L73" s="4154">
        <v>12</v>
      </c>
      <c r="M73" s="4154">
        <f t="shared" si="19"/>
        <v>17</v>
      </c>
      <c r="N73" s="4503">
        <v>45707</v>
      </c>
      <c r="O73" s="4503">
        <v>45703</v>
      </c>
      <c r="P73" s="3712"/>
      <c r="Q73" s="4154" t="s">
        <v>82</v>
      </c>
      <c r="R73" s="4157"/>
      <c r="S73" s="4157"/>
      <c r="T73" s="4157"/>
      <c r="U73" s="3726" t="s">
        <v>686</v>
      </c>
      <c r="V73" s="3711" t="s">
        <v>663</v>
      </c>
      <c r="W73" s="3711"/>
      <c r="X73" s="3711" t="s">
        <v>366</v>
      </c>
      <c r="Y73" s="3711"/>
      <c r="Z73" s="3711" t="s">
        <v>687</v>
      </c>
      <c r="AA73" s="4154"/>
      <c r="AB73" s="3680" t="s">
        <v>688</v>
      </c>
      <c r="AC73" s="4154" t="s">
        <v>689</v>
      </c>
      <c r="AD73" s="4504">
        <v>2.139</v>
      </c>
      <c r="AE73" s="4154">
        <f t="shared" si="29"/>
        <v>436.356</v>
      </c>
      <c r="AF73" s="4505" t="s">
        <v>690</v>
      </c>
      <c r="AG73" s="3726"/>
      <c r="AH73" s="4422"/>
      <c r="AI73" s="3708">
        <f t="shared" si="30"/>
        <v>204</v>
      </c>
      <c r="AJ73" s="4422"/>
      <c r="AK73" s="3708"/>
      <c r="AL73" s="3708"/>
      <c r="AM73" s="4154"/>
      <c r="AN73" s="907"/>
      <c r="AO73" s="1048">
        <f t="shared" ref="AO73:AO136" si="39">J73</f>
        <v>204</v>
      </c>
      <c r="AP73" s="1048"/>
      <c r="AQ73" s="907"/>
      <c r="AR73" s="907"/>
      <c r="AS73" s="1048">
        <f t="shared" si="28"/>
        <v>204</v>
      </c>
      <c r="AT73" s="1048"/>
      <c r="AU73" s="907"/>
      <c r="AV73" s="907"/>
      <c r="AW73" s="907"/>
      <c r="AX73" s="1048"/>
      <c r="AY73" s="907"/>
      <c r="AZ73" s="907"/>
      <c r="BA73" s="1048"/>
      <c r="BB73" s="1048"/>
      <c r="BC73" s="907"/>
      <c r="BD73" s="1048"/>
      <c r="BE73" s="1048"/>
      <c r="BF73" s="1048"/>
      <c r="BG73" s="1048"/>
      <c r="BH73" s="4622"/>
      <c r="BI73" s="4622"/>
      <c r="BJ73" s="1048"/>
      <c r="BK73" s="4415" t="s">
        <v>89</v>
      </c>
      <c r="BL73" s="4415"/>
      <c r="BM73" s="4415"/>
      <c r="BN73" s="4415"/>
      <c r="BO73" s="4415"/>
      <c r="BP73" s="4415"/>
      <c r="BQ73" s="1048">
        <f>J73-BS73</f>
        <v>204</v>
      </c>
      <c r="BR73" s="1048"/>
      <c r="BS73" s="4384"/>
      <c r="BT73" s="4384"/>
      <c r="BU73" s="4384"/>
      <c r="BV73" s="4384"/>
      <c r="BW73" s="4384"/>
      <c r="BX73" s="4383"/>
      <c r="BY73" s="4383"/>
      <c r="BZ73" s="3708">
        <f t="shared" si="37"/>
        <v>204</v>
      </c>
      <c r="CA73" s="4154">
        <f t="shared" si="38"/>
        <v>0</v>
      </c>
      <c r="CB73" s="4462"/>
      <c r="CC73" s="4462"/>
      <c r="CD73" s="4323"/>
      <c r="CE73" s="4323"/>
      <c r="CF73" s="4323"/>
    </row>
    <row r="74" s="4316" customFormat="1" ht="50" customHeight="1" spans="1:84">
      <c r="A74" s="4500">
        <v>45642</v>
      </c>
      <c r="B74" s="3708" t="s">
        <v>361</v>
      </c>
      <c r="C74" s="3708" t="s">
        <v>91</v>
      </c>
      <c r="D74" s="4154">
        <v>4500154101</v>
      </c>
      <c r="E74" s="3708" t="s">
        <v>691</v>
      </c>
      <c r="F74" s="3708" t="s">
        <v>692</v>
      </c>
      <c r="G74" s="3708" t="s">
        <v>375</v>
      </c>
      <c r="H74" s="3708" t="s">
        <v>375</v>
      </c>
      <c r="I74" s="4154" t="s">
        <v>328</v>
      </c>
      <c r="J74" s="4154">
        <v>336</v>
      </c>
      <c r="K74" s="4154">
        <v>0</v>
      </c>
      <c r="L74" s="4154">
        <v>12</v>
      </c>
      <c r="M74" s="4154">
        <f t="shared" si="19"/>
        <v>28</v>
      </c>
      <c r="N74" s="4503">
        <v>45707</v>
      </c>
      <c r="O74" s="4503">
        <v>45703</v>
      </c>
      <c r="P74" s="4154"/>
      <c r="Q74" s="4154" t="s">
        <v>82</v>
      </c>
      <c r="R74" s="4157"/>
      <c r="S74" s="4157"/>
      <c r="T74" s="4157"/>
      <c r="U74" s="3726" t="s">
        <v>686</v>
      </c>
      <c r="V74" s="3711" t="s">
        <v>663</v>
      </c>
      <c r="W74" s="3711"/>
      <c r="X74" s="3711" t="s">
        <v>366</v>
      </c>
      <c r="Y74" s="3711"/>
      <c r="Z74" s="3711" t="s">
        <v>687</v>
      </c>
      <c r="AA74" s="4154"/>
      <c r="AB74" s="3713" t="s">
        <v>693</v>
      </c>
      <c r="AC74" s="3711" t="s">
        <v>689</v>
      </c>
      <c r="AD74" s="4504">
        <v>2.139</v>
      </c>
      <c r="AE74" s="4154">
        <f t="shared" si="29"/>
        <v>718.704</v>
      </c>
      <c r="AF74" s="4505" t="s">
        <v>690</v>
      </c>
      <c r="AG74" s="3726"/>
      <c r="AH74" s="4422"/>
      <c r="AI74" s="3708">
        <f t="shared" si="30"/>
        <v>336</v>
      </c>
      <c r="AJ74" s="4422"/>
      <c r="AK74" s="3708"/>
      <c r="AL74" s="3708"/>
      <c r="AM74" s="4154"/>
      <c r="AN74" s="907"/>
      <c r="AO74" s="1048">
        <f t="shared" si="39"/>
        <v>336</v>
      </c>
      <c r="AP74" s="4622"/>
      <c r="AQ74" s="907"/>
      <c r="AR74" s="907"/>
      <c r="AS74" s="1048">
        <f t="shared" si="28"/>
        <v>336</v>
      </c>
      <c r="AT74" s="1048"/>
      <c r="AU74" s="907"/>
      <c r="AV74" s="4922"/>
      <c r="AW74" s="4922"/>
      <c r="AX74" s="1048"/>
      <c r="AY74" s="4922"/>
      <c r="AZ74" s="4922"/>
      <c r="BA74" s="1048"/>
      <c r="BB74" s="4622"/>
      <c r="BC74" s="4922"/>
      <c r="BD74" s="4622"/>
      <c r="BE74" s="4622"/>
      <c r="BF74" s="4622"/>
      <c r="BG74" s="4622"/>
      <c r="BH74" s="1048"/>
      <c r="BI74" s="4622"/>
      <c r="BJ74" s="1048"/>
      <c r="BK74" s="4415" t="s">
        <v>89</v>
      </c>
      <c r="BL74" s="1048"/>
      <c r="BM74" s="1048"/>
      <c r="BN74" s="1048"/>
      <c r="BO74" s="1048"/>
      <c r="BP74" s="1048"/>
      <c r="BQ74" s="1048"/>
      <c r="BR74" s="1048">
        <f>J74</f>
        <v>336</v>
      </c>
      <c r="BS74" s="4384"/>
      <c r="BT74" s="911"/>
      <c r="BU74" s="911"/>
      <c r="BV74" s="911"/>
      <c r="BW74" s="911"/>
      <c r="BX74" s="910"/>
      <c r="BY74" s="910"/>
      <c r="BZ74" s="3708">
        <f t="shared" si="37"/>
        <v>336</v>
      </c>
      <c r="CA74" s="4154">
        <f t="shared" si="38"/>
        <v>0</v>
      </c>
      <c r="CB74" s="4923"/>
      <c r="CC74" s="4923"/>
      <c r="CD74" s="4323"/>
      <c r="CE74" s="4323"/>
      <c r="CF74" s="4323"/>
    </row>
    <row r="75" s="4316" customFormat="1" ht="50" customHeight="1" spans="1:84">
      <c r="A75" s="4500">
        <v>45642</v>
      </c>
      <c r="B75" s="3708" t="s">
        <v>361</v>
      </c>
      <c r="C75" s="3708" t="s">
        <v>91</v>
      </c>
      <c r="D75" s="4154">
        <v>4500154101</v>
      </c>
      <c r="E75" s="3708" t="s">
        <v>694</v>
      </c>
      <c r="F75" s="3708" t="s">
        <v>695</v>
      </c>
      <c r="G75" s="3708" t="s">
        <v>640</v>
      </c>
      <c r="H75" s="3708" t="s">
        <v>640</v>
      </c>
      <c r="I75" s="4154" t="s">
        <v>328</v>
      </c>
      <c r="J75" s="4154">
        <v>396</v>
      </c>
      <c r="K75" s="4154">
        <v>0</v>
      </c>
      <c r="L75" s="4154">
        <v>12</v>
      </c>
      <c r="M75" s="4154">
        <f t="shared" si="19"/>
        <v>33</v>
      </c>
      <c r="N75" s="4503">
        <v>45707</v>
      </c>
      <c r="O75" s="4503">
        <v>45703</v>
      </c>
      <c r="P75" s="4154"/>
      <c r="Q75" s="4154" t="s">
        <v>82</v>
      </c>
      <c r="R75" s="4157"/>
      <c r="S75" s="4157"/>
      <c r="T75" s="4157"/>
      <c r="U75" s="3726" t="s">
        <v>686</v>
      </c>
      <c r="V75" s="3711" t="s">
        <v>663</v>
      </c>
      <c r="W75" s="3711"/>
      <c r="X75" s="3711" t="s">
        <v>366</v>
      </c>
      <c r="Y75" s="3711"/>
      <c r="Z75" s="3711" t="s">
        <v>687</v>
      </c>
      <c r="AA75" s="4154"/>
      <c r="AB75" s="3713" t="s">
        <v>693</v>
      </c>
      <c r="AC75" s="3711" t="s">
        <v>689</v>
      </c>
      <c r="AD75" s="4504">
        <v>2.139</v>
      </c>
      <c r="AE75" s="4154">
        <f t="shared" si="29"/>
        <v>847.044</v>
      </c>
      <c r="AF75" s="4505" t="s">
        <v>690</v>
      </c>
      <c r="AG75" s="3726"/>
      <c r="AH75" s="4422"/>
      <c r="AI75" s="3708">
        <f t="shared" si="30"/>
        <v>396</v>
      </c>
      <c r="AJ75" s="4422"/>
      <c r="AK75" s="3708"/>
      <c r="AL75" s="3708"/>
      <c r="AM75" s="4154"/>
      <c r="AN75" s="907"/>
      <c r="AO75" s="1048">
        <f t="shared" si="39"/>
        <v>396</v>
      </c>
      <c r="AP75" s="4622"/>
      <c r="AQ75" s="907"/>
      <c r="AR75" s="907"/>
      <c r="AS75" s="1048">
        <f t="shared" si="28"/>
        <v>396</v>
      </c>
      <c r="AT75" s="1048"/>
      <c r="AU75" s="907"/>
      <c r="AV75" s="4922"/>
      <c r="AW75" s="4922"/>
      <c r="AX75" s="1048"/>
      <c r="AY75" s="4922"/>
      <c r="AZ75" s="4922"/>
      <c r="BA75" s="1048"/>
      <c r="BB75" s="4622"/>
      <c r="BC75" s="4922"/>
      <c r="BD75" s="4622"/>
      <c r="BE75" s="4622"/>
      <c r="BF75" s="4622"/>
      <c r="BG75" s="4622"/>
      <c r="BH75" s="1048"/>
      <c r="BI75" s="4622"/>
      <c r="BJ75" s="1048"/>
      <c r="BK75" s="4415" t="s">
        <v>89</v>
      </c>
      <c r="BL75" s="1048"/>
      <c r="BM75" s="1048"/>
      <c r="BN75" s="1048"/>
      <c r="BO75" s="1048"/>
      <c r="BP75" s="1048">
        <f>J75-BS75</f>
        <v>396</v>
      </c>
      <c r="BQ75" s="1048"/>
      <c r="BR75" s="1048"/>
      <c r="BS75" s="4384"/>
      <c r="BT75" s="911"/>
      <c r="BU75" s="911"/>
      <c r="BV75" s="911"/>
      <c r="BW75" s="911"/>
      <c r="BX75" s="910"/>
      <c r="BY75" s="910"/>
      <c r="BZ75" s="3708">
        <f t="shared" si="37"/>
        <v>396</v>
      </c>
      <c r="CA75" s="4154">
        <f t="shared" si="38"/>
        <v>0</v>
      </c>
      <c r="CB75" s="4923"/>
      <c r="CC75" s="4923"/>
      <c r="CD75" s="4323"/>
      <c r="CE75" s="4323"/>
      <c r="CF75" s="4323"/>
    </row>
    <row r="76" s="4316" customFormat="1" ht="50" customHeight="1" spans="1:84">
      <c r="A76" s="4500">
        <v>45642</v>
      </c>
      <c r="B76" s="3708" t="s">
        <v>361</v>
      </c>
      <c r="C76" s="3708" t="s">
        <v>91</v>
      </c>
      <c r="D76" s="4154">
        <v>4500154101</v>
      </c>
      <c r="E76" s="3708" t="s">
        <v>696</v>
      </c>
      <c r="F76" s="3708" t="s">
        <v>697</v>
      </c>
      <c r="G76" s="3708" t="s">
        <v>364</v>
      </c>
      <c r="H76" s="3708" t="s">
        <v>364</v>
      </c>
      <c r="I76" s="4154" t="s">
        <v>328</v>
      </c>
      <c r="J76" s="4154">
        <v>24</v>
      </c>
      <c r="K76" s="4154">
        <v>0</v>
      </c>
      <c r="L76" s="4154">
        <v>12</v>
      </c>
      <c r="M76" s="4154">
        <f t="shared" si="19"/>
        <v>2</v>
      </c>
      <c r="N76" s="4503">
        <v>45707</v>
      </c>
      <c r="O76" s="4503">
        <v>45703</v>
      </c>
      <c r="P76" s="4154"/>
      <c r="Q76" s="4154" t="s">
        <v>82</v>
      </c>
      <c r="R76" s="4157"/>
      <c r="S76" s="4157"/>
      <c r="T76" s="4157"/>
      <c r="U76" s="3726" t="s">
        <v>686</v>
      </c>
      <c r="V76" s="3711" t="s">
        <v>663</v>
      </c>
      <c r="W76" s="3711"/>
      <c r="X76" s="3711" t="s">
        <v>366</v>
      </c>
      <c r="Y76" s="3711"/>
      <c r="Z76" s="3711" t="s">
        <v>687</v>
      </c>
      <c r="AA76" s="4154"/>
      <c r="AB76" s="3713" t="s">
        <v>693</v>
      </c>
      <c r="AC76" s="3711" t="s">
        <v>689</v>
      </c>
      <c r="AD76" s="4504">
        <v>2.139</v>
      </c>
      <c r="AE76" s="4154">
        <f t="shared" si="29"/>
        <v>51.336</v>
      </c>
      <c r="AF76" s="4505" t="s">
        <v>690</v>
      </c>
      <c r="AG76" s="3726"/>
      <c r="AH76" s="4422"/>
      <c r="AI76" s="3708">
        <f t="shared" si="30"/>
        <v>24</v>
      </c>
      <c r="AJ76" s="4422"/>
      <c r="AK76" s="3708"/>
      <c r="AL76" s="3708"/>
      <c r="AM76" s="4154"/>
      <c r="AN76" s="907"/>
      <c r="AO76" s="1048">
        <f t="shared" si="39"/>
        <v>24</v>
      </c>
      <c r="AP76" s="4622"/>
      <c r="AQ76" s="907"/>
      <c r="AR76" s="907"/>
      <c r="AS76" s="1048">
        <f t="shared" si="28"/>
        <v>24</v>
      </c>
      <c r="AT76" s="1048"/>
      <c r="AU76" s="907"/>
      <c r="AV76" s="4922"/>
      <c r="AW76" s="4922"/>
      <c r="AX76" s="1048"/>
      <c r="AY76" s="4922"/>
      <c r="AZ76" s="4922"/>
      <c r="BA76" s="1048"/>
      <c r="BB76" s="4622"/>
      <c r="BC76" s="4922"/>
      <c r="BD76" s="4622"/>
      <c r="BE76" s="4622"/>
      <c r="BF76" s="4622"/>
      <c r="BG76" s="4622"/>
      <c r="BH76" s="1048"/>
      <c r="BI76" s="4622"/>
      <c r="BJ76" s="1048"/>
      <c r="BK76" s="4415" t="s">
        <v>89</v>
      </c>
      <c r="BL76" s="1048"/>
      <c r="BM76" s="1048"/>
      <c r="BN76" s="1048"/>
      <c r="BO76" s="4415">
        <f>J76</f>
        <v>24</v>
      </c>
      <c r="BP76" s="1048"/>
      <c r="BQ76" s="1048"/>
      <c r="BR76" s="1048"/>
      <c r="BS76" s="4384"/>
      <c r="BT76" s="911"/>
      <c r="BU76" s="911"/>
      <c r="BV76" s="911"/>
      <c r="BW76" s="911"/>
      <c r="BX76" s="910"/>
      <c r="BY76" s="910"/>
      <c r="BZ76" s="3708">
        <f t="shared" si="37"/>
        <v>24</v>
      </c>
      <c r="CA76" s="4154">
        <f t="shared" si="38"/>
        <v>0</v>
      </c>
      <c r="CB76" s="4923"/>
      <c r="CC76" s="4923"/>
      <c r="CD76" s="4323"/>
      <c r="CE76" s="4323"/>
      <c r="CF76" s="4323"/>
    </row>
    <row r="77" s="4316" customFormat="1" ht="50" customHeight="1" spans="1:84">
      <c r="A77" s="4500">
        <v>45642</v>
      </c>
      <c r="B77" s="3708" t="s">
        <v>361</v>
      </c>
      <c r="C77" s="3708" t="s">
        <v>91</v>
      </c>
      <c r="D77" s="4154">
        <v>4500154032</v>
      </c>
      <c r="E77" s="3708" t="s">
        <v>698</v>
      </c>
      <c r="F77" s="3708" t="s">
        <v>699</v>
      </c>
      <c r="G77" s="3708" t="s">
        <v>685</v>
      </c>
      <c r="H77" s="3708" t="s">
        <v>685</v>
      </c>
      <c r="I77" s="4154" t="s">
        <v>328</v>
      </c>
      <c r="J77" s="4593">
        <v>48</v>
      </c>
      <c r="K77" s="4154">
        <v>0</v>
      </c>
      <c r="L77" s="4154">
        <v>12</v>
      </c>
      <c r="M77" s="4154">
        <f t="shared" si="19"/>
        <v>4</v>
      </c>
      <c r="N77" s="4503">
        <v>45707</v>
      </c>
      <c r="O77" s="4503">
        <v>45703</v>
      </c>
      <c r="P77" s="4154"/>
      <c r="Q77" s="4154" t="s">
        <v>82</v>
      </c>
      <c r="R77" s="4157"/>
      <c r="S77" s="4157"/>
      <c r="T77" s="4157"/>
      <c r="U77" s="3726" t="s">
        <v>159</v>
      </c>
      <c r="V77" s="3711" t="s">
        <v>663</v>
      </c>
      <c r="W77" s="3711"/>
      <c r="X77" s="3711" t="s">
        <v>366</v>
      </c>
      <c r="Y77" s="3711"/>
      <c r="Z77" s="3711" t="s">
        <v>687</v>
      </c>
      <c r="AA77" s="4154"/>
      <c r="AB77" s="3713" t="s">
        <v>700</v>
      </c>
      <c r="AC77" s="3711" t="s">
        <v>689</v>
      </c>
      <c r="AD77" s="4504">
        <v>2.0833</v>
      </c>
      <c r="AE77" s="4154">
        <f t="shared" si="29"/>
        <v>99.9984</v>
      </c>
      <c r="AF77" s="4505" t="s">
        <v>701</v>
      </c>
      <c r="AG77" s="3726"/>
      <c r="AH77" s="4422"/>
      <c r="AI77" s="3708">
        <f t="shared" si="30"/>
        <v>48</v>
      </c>
      <c r="AJ77" s="4422"/>
      <c r="AK77" s="3708"/>
      <c r="AL77" s="3708"/>
      <c r="AM77" s="4154"/>
      <c r="AN77" s="907"/>
      <c r="AO77" s="1048">
        <f t="shared" si="39"/>
        <v>48</v>
      </c>
      <c r="AP77" s="4622"/>
      <c r="AQ77" s="907"/>
      <c r="AR77" s="907"/>
      <c r="AS77" s="1048">
        <f t="shared" si="28"/>
        <v>48</v>
      </c>
      <c r="AT77" s="1048"/>
      <c r="AU77" s="907"/>
      <c r="AV77" s="4922"/>
      <c r="AW77" s="4922"/>
      <c r="AX77" s="1048"/>
      <c r="AY77" s="4922"/>
      <c r="AZ77" s="4922"/>
      <c r="BA77" s="1048"/>
      <c r="BB77" s="4622"/>
      <c r="BC77" s="4922"/>
      <c r="BD77" s="4622"/>
      <c r="BE77" s="4622"/>
      <c r="BF77" s="4622"/>
      <c r="BG77" s="4622"/>
      <c r="BH77" s="1048"/>
      <c r="BI77" s="4622"/>
      <c r="BJ77" s="1048"/>
      <c r="BK77" s="4415" t="s">
        <v>89</v>
      </c>
      <c r="BL77" s="1048"/>
      <c r="BM77" s="1048"/>
      <c r="BN77" s="1048"/>
      <c r="BO77" s="1048"/>
      <c r="BP77" s="1048"/>
      <c r="BQ77" s="1048">
        <f>J77-BS77</f>
        <v>48</v>
      </c>
      <c r="BR77" s="1048"/>
      <c r="BS77" s="4384"/>
      <c r="BT77" s="911"/>
      <c r="BU77" s="911"/>
      <c r="BV77" s="911"/>
      <c r="BW77" s="911"/>
      <c r="BX77" s="910"/>
      <c r="BY77" s="910"/>
      <c r="BZ77" s="3708">
        <f t="shared" si="37"/>
        <v>48</v>
      </c>
      <c r="CA77" s="4154">
        <f t="shared" si="38"/>
        <v>0</v>
      </c>
      <c r="CB77" s="4923"/>
      <c r="CC77" s="4923"/>
      <c r="CD77" s="4323"/>
      <c r="CE77" s="4323"/>
      <c r="CF77" s="4323"/>
    </row>
    <row r="78" s="4316" customFormat="1" ht="50" customHeight="1" spans="1:84">
      <c r="A78" s="4500">
        <v>45642</v>
      </c>
      <c r="B78" s="3708" t="s">
        <v>361</v>
      </c>
      <c r="C78" s="3708" t="s">
        <v>91</v>
      </c>
      <c r="D78" s="4154">
        <v>4500154032</v>
      </c>
      <c r="E78" s="3708" t="s">
        <v>702</v>
      </c>
      <c r="F78" s="3708" t="s">
        <v>703</v>
      </c>
      <c r="G78" s="3708" t="s">
        <v>375</v>
      </c>
      <c r="H78" s="3708" t="s">
        <v>375</v>
      </c>
      <c r="I78" s="4154" t="s">
        <v>328</v>
      </c>
      <c r="J78" s="4154">
        <v>72</v>
      </c>
      <c r="K78" s="4154">
        <v>0</v>
      </c>
      <c r="L78" s="4154">
        <v>12</v>
      </c>
      <c r="M78" s="4154">
        <f t="shared" si="19"/>
        <v>6</v>
      </c>
      <c r="N78" s="4503">
        <v>45707</v>
      </c>
      <c r="O78" s="4503">
        <v>45703</v>
      </c>
      <c r="P78" s="4154"/>
      <c r="Q78" s="4154" t="s">
        <v>82</v>
      </c>
      <c r="R78" s="4157"/>
      <c r="S78" s="4157"/>
      <c r="T78" s="4157"/>
      <c r="U78" s="3726" t="s">
        <v>159</v>
      </c>
      <c r="V78" s="3711" t="s">
        <v>663</v>
      </c>
      <c r="W78" s="3711"/>
      <c r="X78" s="3711" t="s">
        <v>366</v>
      </c>
      <c r="Y78" s="3711"/>
      <c r="Z78" s="3711" t="s">
        <v>687</v>
      </c>
      <c r="AA78" s="4154"/>
      <c r="AB78" s="3713" t="s">
        <v>704</v>
      </c>
      <c r="AC78" s="3711" t="s">
        <v>689</v>
      </c>
      <c r="AD78" s="4504">
        <v>2.0833</v>
      </c>
      <c r="AE78" s="4154">
        <f t="shared" si="29"/>
        <v>149.9976</v>
      </c>
      <c r="AF78" s="4505" t="s">
        <v>701</v>
      </c>
      <c r="AG78" s="3726"/>
      <c r="AH78" s="4422"/>
      <c r="AI78" s="3708">
        <f t="shared" si="30"/>
        <v>72</v>
      </c>
      <c r="AJ78" s="4422"/>
      <c r="AK78" s="3708"/>
      <c r="AL78" s="3708"/>
      <c r="AM78" s="4154"/>
      <c r="AN78" s="907"/>
      <c r="AO78" s="1048">
        <f t="shared" si="39"/>
        <v>72</v>
      </c>
      <c r="AP78" s="4622"/>
      <c r="AQ78" s="907"/>
      <c r="AR78" s="907"/>
      <c r="AS78" s="1048">
        <f t="shared" si="28"/>
        <v>72</v>
      </c>
      <c r="AT78" s="1048"/>
      <c r="AU78" s="907"/>
      <c r="AV78" s="4922"/>
      <c r="AW78" s="4922"/>
      <c r="AX78" s="1048"/>
      <c r="AY78" s="4922"/>
      <c r="AZ78" s="4922"/>
      <c r="BA78" s="1048"/>
      <c r="BB78" s="4622"/>
      <c r="BC78" s="4922"/>
      <c r="BD78" s="4622"/>
      <c r="BE78" s="4622"/>
      <c r="BF78" s="4622"/>
      <c r="BG78" s="4622"/>
      <c r="BH78" s="1048"/>
      <c r="BI78" s="4622"/>
      <c r="BJ78" s="1048"/>
      <c r="BK78" s="4415" t="s">
        <v>89</v>
      </c>
      <c r="BL78" s="1048"/>
      <c r="BM78" s="1048"/>
      <c r="BN78" s="1048"/>
      <c r="BO78" s="1048"/>
      <c r="BP78" s="1048"/>
      <c r="BQ78" s="1048"/>
      <c r="BR78" s="1048">
        <f>J78</f>
        <v>72</v>
      </c>
      <c r="BS78" s="4384"/>
      <c r="BT78" s="911"/>
      <c r="BU78" s="911"/>
      <c r="BV78" s="911"/>
      <c r="BW78" s="911"/>
      <c r="BX78" s="910"/>
      <c r="BY78" s="910"/>
      <c r="BZ78" s="3708">
        <f t="shared" si="37"/>
        <v>72</v>
      </c>
      <c r="CA78" s="4154">
        <f t="shared" si="38"/>
        <v>0</v>
      </c>
      <c r="CB78" s="4923"/>
      <c r="CC78" s="4923"/>
      <c r="CD78" s="4323"/>
      <c r="CE78" s="4323"/>
      <c r="CF78" s="4323"/>
    </row>
    <row r="79" s="4316" customFormat="1" ht="50" customHeight="1" spans="1:84">
      <c r="A79" s="4500">
        <v>45642</v>
      </c>
      <c r="B79" s="3708" t="s">
        <v>361</v>
      </c>
      <c r="C79" s="3708" t="s">
        <v>91</v>
      </c>
      <c r="D79" s="4154">
        <v>4500154032</v>
      </c>
      <c r="E79" s="3708" t="s">
        <v>705</v>
      </c>
      <c r="F79" s="3708" t="s">
        <v>706</v>
      </c>
      <c r="G79" s="3708" t="s">
        <v>640</v>
      </c>
      <c r="H79" s="3708" t="s">
        <v>640</v>
      </c>
      <c r="I79" s="4154" t="s">
        <v>328</v>
      </c>
      <c r="J79" s="4154">
        <v>156</v>
      </c>
      <c r="K79" s="4154">
        <v>0</v>
      </c>
      <c r="L79" s="4154">
        <v>12</v>
      </c>
      <c r="M79" s="4154">
        <f t="shared" si="19"/>
        <v>13</v>
      </c>
      <c r="N79" s="4503">
        <v>45707</v>
      </c>
      <c r="O79" s="4503">
        <v>45703</v>
      </c>
      <c r="P79" s="4154"/>
      <c r="Q79" s="4154" t="s">
        <v>82</v>
      </c>
      <c r="R79" s="4157"/>
      <c r="S79" s="4157"/>
      <c r="T79" s="4157"/>
      <c r="U79" s="3726" t="s">
        <v>159</v>
      </c>
      <c r="V79" s="3711" t="s">
        <v>663</v>
      </c>
      <c r="W79" s="3711"/>
      <c r="X79" s="3711" t="s">
        <v>366</v>
      </c>
      <c r="Y79" s="3711"/>
      <c r="Z79" s="3711" t="s">
        <v>687</v>
      </c>
      <c r="AA79" s="4154"/>
      <c r="AB79" s="3713" t="s">
        <v>700</v>
      </c>
      <c r="AC79" s="3711" t="s">
        <v>689</v>
      </c>
      <c r="AD79" s="4504">
        <v>2.0833</v>
      </c>
      <c r="AE79" s="4154">
        <f t="shared" si="29"/>
        <v>324.9948</v>
      </c>
      <c r="AF79" s="4505" t="s">
        <v>701</v>
      </c>
      <c r="AG79" s="3726"/>
      <c r="AH79" s="4422"/>
      <c r="AI79" s="3708">
        <f t="shared" si="30"/>
        <v>156</v>
      </c>
      <c r="AJ79" s="4422"/>
      <c r="AK79" s="3708"/>
      <c r="AL79" s="3708"/>
      <c r="AM79" s="4154"/>
      <c r="AN79" s="907"/>
      <c r="AO79" s="1048">
        <f t="shared" si="39"/>
        <v>156</v>
      </c>
      <c r="AP79" s="4622"/>
      <c r="AQ79" s="907"/>
      <c r="AR79" s="907"/>
      <c r="AS79" s="1048">
        <f t="shared" si="28"/>
        <v>156</v>
      </c>
      <c r="AT79" s="1048"/>
      <c r="AU79" s="907"/>
      <c r="AV79" s="4922"/>
      <c r="AW79" s="4922"/>
      <c r="AX79" s="1048"/>
      <c r="AY79" s="4922"/>
      <c r="AZ79" s="4922"/>
      <c r="BA79" s="1048"/>
      <c r="BB79" s="4622"/>
      <c r="BC79" s="4922"/>
      <c r="BD79" s="4622"/>
      <c r="BE79" s="4622"/>
      <c r="BF79" s="4622"/>
      <c r="BG79" s="4622"/>
      <c r="BH79" s="1048"/>
      <c r="BI79" s="4622"/>
      <c r="BJ79" s="1048"/>
      <c r="BK79" s="4415" t="s">
        <v>89</v>
      </c>
      <c r="BL79" s="1048"/>
      <c r="BM79" s="1048"/>
      <c r="BN79" s="1048"/>
      <c r="BO79" s="1048"/>
      <c r="BP79" s="1048">
        <f>J79-BS79</f>
        <v>156</v>
      </c>
      <c r="BQ79" s="1048"/>
      <c r="BR79" s="1048"/>
      <c r="BS79" s="4384"/>
      <c r="BT79" s="911"/>
      <c r="BU79" s="911"/>
      <c r="BV79" s="911"/>
      <c r="BW79" s="911"/>
      <c r="BX79" s="910"/>
      <c r="BY79" s="910"/>
      <c r="BZ79" s="3708">
        <f t="shared" si="37"/>
        <v>156</v>
      </c>
      <c r="CA79" s="4154">
        <f t="shared" si="38"/>
        <v>0</v>
      </c>
      <c r="CB79" s="4923"/>
      <c r="CC79" s="4923"/>
      <c r="CD79" s="4323"/>
      <c r="CE79" s="4323"/>
      <c r="CF79" s="4323"/>
    </row>
    <row r="80" s="4316" customFormat="1" ht="50" customHeight="1" spans="1:84">
      <c r="A80" s="4500">
        <v>45642</v>
      </c>
      <c r="B80" s="3708" t="s">
        <v>361</v>
      </c>
      <c r="C80" s="3708" t="s">
        <v>91</v>
      </c>
      <c r="D80" s="4154">
        <v>4500154032</v>
      </c>
      <c r="E80" s="3708" t="s">
        <v>707</v>
      </c>
      <c r="F80" s="3708" t="s">
        <v>708</v>
      </c>
      <c r="G80" s="3708" t="s">
        <v>364</v>
      </c>
      <c r="H80" s="3708" t="s">
        <v>364</v>
      </c>
      <c r="I80" s="4154" t="s">
        <v>328</v>
      </c>
      <c r="J80" s="4154">
        <v>12</v>
      </c>
      <c r="K80" s="4154">
        <v>0</v>
      </c>
      <c r="L80" s="4154">
        <v>12</v>
      </c>
      <c r="M80" s="4154">
        <f t="shared" si="19"/>
        <v>1</v>
      </c>
      <c r="N80" s="4503">
        <v>45707</v>
      </c>
      <c r="O80" s="4503">
        <v>45703</v>
      </c>
      <c r="P80" s="4154"/>
      <c r="Q80" s="4154" t="s">
        <v>82</v>
      </c>
      <c r="R80" s="4157"/>
      <c r="S80" s="4157"/>
      <c r="T80" s="4157"/>
      <c r="U80" s="3726" t="s">
        <v>159</v>
      </c>
      <c r="V80" s="3711" t="s">
        <v>663</v>
      </c>
      <c r="W80" s="3711"/>
      <c r="X80" s="3711" t="s">
        <v>366</v>
      </c>
      <c r="Y80" s="3711"/>
      <c r="Z80" s="3711" t="s">
        <v>687</v>
      </c>
      <c r="AA80" s="4154"/>
      <c r="AB80" s="3713" t="s">
        <v>704</v>
      </c>
      <c r="AC80" s="3711" t="s">
        <v>689</v>
      </c>
      <c r="AD80" s="4504">
        <v>2.0833</v>
      </c>
      <c r="AE80" s="4154">
        <f t="shared" si="29"/>
        <v>24.9996</v>
      </c>
      <c r="AF80" s="4505" t="s">
        <v>701</v>
      </c>
      <c r="AG80" s="3726"/>
      <c r="AH80" s="4422"/>
      <c r="AI80" s="3708">
        <f t="shared" si="30"/>
        <v>12</v>
      </c>
      <c r="AJ80" s="4422"/>
      <c r="AK80" s="3708"/>
      <c r="AL80" s="3708"/>
      <c r="AM80" s="4154"/>
      <c r="AN80" s="907"/>
      <c r="AO80" s="1048">
        <f t="shared" si="39"/>
        <v>12</v>
      </c>
      <c r="AP80" s="4622"/>
      <c r="AQ80" s="907"/>
      <c r="AR80" s="907"/>
      <c r="AS80" s="1048">
        <f t="shared" si="28"/>
        <v>12</v>
      </c>
      <c r="AT80" s="1048"/>
      <c r="AU80" s="907"/>
      <c r="AV80" s="4922"/>
      <c r="AW80" s="4922"/>
      <c r="AX80" s="1048"/>
      <c r="AY80" s="4922"/>
      <c r="AZ80" s="4922"/>
      <c r="BA80" s="1048"/>
      <c r="BB80" s="4622"/>
      <c r="BC80" s="4922"/>
      <c r="BD80" s="4622"/>
      <c r="BE80" s="4622"/>
      <c r="BF80" s="4622"/>
      <c r="BG80" s="4622"/>
      <c r="BH80" s="1048"/>
      <c r="BI80" s="4622"/>
      <c r="BJ80" s="1048"/>
      <c r="BK80" s="4415" t="s">
        <v>89</v>
      </c>
      <c r="BL80" s="1048"/>
      <c r="BM80" s="1048"/>
      <c r="BN80" s="1048"/>
      <c r="BO80" s="4415">
        <f>J80</f>
        <v>12</v>
      </c>
      <c r="BP80" s="1048"/>
      <c r="BQ80" s="1048"/>
      <c r="BR80" s="1048"/>
      <c r="BS80" s="4384"/>
      <c r="BT80" s="911"/>
      <c r="BU80" s="911"/>
      <c r="BV80" s="911"/>
      <c r="BW80" s="911"/>
      <c r="BX80" s="910"/>
      <c r="BY80" s="910"/>
      <c r="BZ80" s="3708">
        <f t="shared" si="37"/>
        <v>12</v>
      </c>
      <c r="CA80" s="4154">
        <f t="shared" si="38"/>
        <v>0</v>
      </c>
      <c r="CB80" s="4923"/>
      <c r="CC80" s="4923"/>
      <c r="CD80" s="4323"/>
      <c r="CE80" s="4323"/>
      <c r="CF80" s="4323"/>
    </row>
    <row r="81" s="4316" customFormat="1" ht="50" customHeight="1" spans="1:84">
      <c r="A81" s="4500">
        <v>45642</v>
      </c>
      <c r="B81" s="3708" t="s">
        <v>361</v>
      </c>
      <c r="C81" s="3708" t="s">
        <v>91</v>
      </c>
      <c r="D81" s="4154">
        <v>4500154144</v>
      </c>
      <c r="E81" s="3708" t="s">
        <v>709</v>
      </c>
      <c r="F81" s="3708" t="s">
        <v>710</v>
      </c>
      <c r="G81" s="3708" t="s">
        <v>685</v>
      </c>
      <c r="H81" s="3708" t="s">
        <v>685</v>
      </c>
      <c r="I81" s="4154" t="s">
        <v>328</v>
      </c>
      <c r="J81" s="4593">
        <v>36</v>
      </c>
      <c r="K81" s="4154">
        <v>0</v>
      </c>
      <c r="L81" s="4154">
        <v>12</v>
      </c>
      <c r="M81" s="4154">
        <f t="shared" si="19"/>
        <v>3</v>
      </c>
      <c r="N81" s="4503">
        <v>45707</v>
      </c>
      <c r="O81" s="4503">
        <v>45703</v>
      </c>
      <c r="P81" s="4154"/>
      <c r="Q81" s="4154" t="s">
        <v>82</v>
      </c>
      <c r="R81" s="4157"/>
      <c r="S81" s="4157"/>
      <c r="T81" s="4157"/>
      <c r="U81" s="3726" t="s">
        <v>159</v>
      </c>
      <c r="V81" s="3711" t="s">
        <v>663</v>
      </c>
      <c r="W81" s="3711"/>
      <c r="X81" s="3711" t="s">
        <v>366</v>
      </c>
      <c r="Y81" s="3711"/>
      <c r="Z81" s="3711" t="s">
        <v>687</v>
      </c>
      <c r="AA81" s="4154"/>
      <c r="AB81" s="3713" t="s">
        <v>711</v>
      </c>
      <c r="AC81" s="3711" t="s">
        <v>689</v>
      </c>
      <c r="AD81" s="4504">
        <v>2.139</v>
      </c>
      <c r="AE81" s="4154">
        <f t="shared" si="29"/>
        <v>77.004</v>
      </c>
      <c r="AF81" s="4505" t="s">
        <v>712</v>
      </c>
      <c r="AG81" s="3726"/>
      <c r="AH81" s="4422"/>
      <c r="AI81" s="3708">
        <f t="shared" si="30"/>
        <v>36</v>
      </c>
      <c r="AJ81" s="4422"/>
      <c r="AK81" s="3708"/>
      <c r="AL81" s="3708"/>
      <c r="AM81" s="4154"/>
      <c r="AN81" s="907"/>
      <c r="AO81" s="1048">
        <f t="shared" si="39"/>
        <v>36</v>
      </c>
      <c r="AP81" s="4622"/>
      <c r="AQ81" s="907"/>
      <c r="AR81" s="907"/>
      <c r="AS81" s="1048">
        <f t="shared" si="28"/>
        <v>36</v>
      </c>
      <c r="AT81" s="1048"/>
      <c r="AU81" s="907"/>
      <c r="AV81" s="4922"/>
      <c r="AW81" s="4922"/>
      <c r="AX81" s="1048"/>
      <c r="AY81" s="4922"/>
      <c r="AZ81" s="4922"/>
      <c r="BA81" s="1048"/>
      <c r="BB81" s="4622"/>
      <c r="BC81" s="4922"/>
      <c r="BD81" s="4622"/>
      <c r="BE81" s="4622"/>
      <c r="BF81" s="4622"/>
      <c r="BG81" s="4622"/>
      <c r="BH81" s="1048"/>
      <c r="BI81" s="4622"/>
      <c r="BJ81" s="1048"/>
      <c r="BK81" s="4415" t="s">
        <v>89</v>
      </c>
      <c r="BL81" s="1048"/>
      <c r="BM81" s="1048"/>
      <c r="BN81" s="1048"/>
      <c r="BO81" s="1048"/>
      <c r="BP81" s="1048"/>
      <c r="BQ81" s="1048">
        <f>J81-BS81</f>
        <v>36</v>
      </c>
      <c r="BR81" s="1048"/>
      <c r="BS81" s="4384"/>
      <c r="BT81" s="911"/>
      <c r="BU81" s="911"/>
      <c r="BV81" s="911"/>
      <c r="BW81" s="911"/>
      <c r="BX81" s="910"/>
      <c r="BY81" s="910"/>
      <c r="BZ81" s="3708">
        <f t="shared" si="37"/>
        <v>36</v>
      </c>
      <c r="CA81" s="4154">
        <f t="shared" si="38"/>
        <v>0</v>
      </c>
      <c r="CB81" s="4923"/>
      <c r="CC81" s="4923"/>
      <c r="CD81" s="4323"/>
      <c r="CE81" s="4323"/>
      <c r="CF81" s="4323"/>
    </row>
    <row r="82" s="4316" customFormat="1" ht="50" customHeight="1" spans="1:84">
      <c r="A82" s="4500">
        <v>45642</v>
      </c>
      <c r="B82" s="3708" t="s">
        <v>361</v>
      </c>
      <c r="C82" s="3708" t="s">
        <v>91</v>
      </c>
      <c r="D82" s="4154">
        <v>4500154144</v>
      </c>
      <c r="E82" s="3708" t="s">
        <v>713</v>
      </c>
      <c r="F82" s="3708" t="s">
        <v>714</v>
      </c>
      <c r="G82" s="3708" t="s">
        <v>375</v>
      </c>
      <c r="H82" s="3708" t="s">
        <v>375</v>
      </c>
      <c r="I82" s="4154" t="s">
        <v>328</v>
      </c>
      <c r="J82" s="4154">
        <v>60</v>
      </c>
      <c r="K82" s="4154">
        <v>0</v>
      </c>
      <c r="L82" s="4154">
        <v>12</v>
      </c>
      <c r="M82" s="4154">
        <f t="shared" si="19"/>
        <v>5</v>
      </c>
      <c r="N82" s="4503">
        <v>45707</v>
      </c>
      <c r="O82" s="4503">
        <v>45703</v>
      </c>
      <c r="P82" s="4154"/>
      <c r="Q82" s="4154" t="s">
        <v>82</v>
      </c>
      <c r="R82" s="4157"/>
      <c r="S82" s="4157"/>
      <c r="T82" s="4157"/>
      <c r="U82" s="3726" t="s">
        <v>159</v>
      </c>
      <c r="V82" s="3711" t="s">
        <v>663</v>
      </c>
      <c r="W82" s="3711"/>
      <c r="X82" s="3711" t="s">
        <v>366</v>
      </c>
      <c r="Y82" s="3711"/>
      <c r="Z82" s="3711" t="s">
        <v>687</v>
      </c>
      <c r="AA82" s="4154"/>
      <c r="AB82" s="3713" t="s">
        <v>711</v>
      </c>
      <c r="AC82" s="3711" t="s">
        <v>689</v>
      </c>
      <c r="AD82" s="4504">
        <v>2.139</v>
      </c>
      <c r="AE82" s="4154">
        <f t="shared" si="29"/>
        <v>128.34</v>
      </c>
      <c r="AF82" s="4505" t="s">
        <v>712</v>
      </c>
      <c r="AG82" s="3726"/>
      <c r="AH82" s="4422"/>
      <c r="AI82" s="3708">
        <f t="shared" si="30"/>
        <v>60</v>
      </c>
      <c r="AJ82" s="4422"/>
      <c r="AK82" s="3708"/>
      <c r="AL82" s="3708"/>
      <c r="AM82" s="4154"/>
      <c r="AN82" s="907"/>
      <c r="AO82" s="1048">
        <f t="shared" si="39"/>
        <v>60</v>
      </c>
      <c r="AP82" s="4622"/>
      <c r="AQ82" s="907"/>
      <c r="AR82" s="907"/>
      <c r="AS82" s="1048">
        <f t="shared" si="28"/>
        <v>60</v>
      </c>
      <c r="AT82" s="1048"/>
      <c r="AU82" s="907"/>
      <c r="AV82" s="4922"/>
      <c r="AW82" s="4922"/>
      <c r="AX82" s="1048"/>
      <c r="AY82" s="4922"/>
      <c r="AZ82" s="4922"/>
      <c r="BA82" s="1048"/>
      <c r="BB82" s="4622"/>
      <c r="BC82" s="4922"/>
      <c r="BD82" s="4622"/>
      <c r="BE82" s="4622"/>
      <c r="BF82" s="4622"/>
      <c r="BG82" s="4622"/>
      <c r="BH82" s="1048"/>
      <c r="BI82" s="4622"/>
      <c r="BJ82" s="1048"/>
      <c r="BK82" s="4415" t="s">
        <v>89</v>
      </c>
      <c r="BL82" s="1048"/>
      <c r="BM82" s="1048"/>
      <c r="BN82" s="1048"/>
      <c r="BO82" s="1048"/>
      <c r="BP82" s="1048"/>
      <c r="BQ82" s="1048"/>
      <c r="BR82" s="1048">
        <f>J82</f>
        <v>60</v>
      </c>
      <c r="BS82" s="4384"/>
      <c r="BT82" s="911"/>
      <c r="BU82" s="911"/>
      <c r="BV82" s="911"/>
      <c r="BW82" s="911"/>
      <c r="BX82" s="910"/>
      <c r="BY82" s="910"/>
      <c r="BZ82" s="3708">
        <f t="shared" si="37"/>
        <v>60</v>
      </c>
      <c r="CA82" s="4154">
        <f t="shared" si="38"/>
        <v>0</v>
      </c>
      <c r="CB82" s="4923"/>
      <c r="CC82" s="4923"/>
      <c r="CD82" s="4323"/>
      <c r="CE82" s="4323"/>
      <c r="CF82" s="4323"/>
    </row>
    <row r="83" s="4316" customFormat="1" ht="50" customHeight="1" spans="1:84">
      <c r="A83" s="4500">
        <v>45642</v>
      </c>
      <c r="B83" s="3708" t="s">
        <v>361</v>
      </c>
      <c r="C83" s="3708" t="s">
        <v>91</v>
      </c>
      <c r="D83" s="4154">
        <v>4500154144</v>
      </c>
      <c r="E83" s="3708" t="s">
        <v>715</v>
      </c>
      <c r="F83" s="3708" t="s">
        <v>716</v>
      </c>
      <c r="G83" s="3708" t="s">
        <v>640</v>
      </c>
      <c r="H83" s="3708" t="s">
        <v>640</v>
      </c>
      <c r="I83" s="4154" t="s">
        <v>328</v>
      </c>
      <c r="J83" s="4154">
        <v>132</v>
      </c>
      <c r="K83" s="4154">
        <v>0</v>
      </c>
      <c r="L83" s="4154">
        <v>12</v>
      </c>
      <c r="M83" s="4154">
        <f t="shared" si="19"/>
        <v>11</v>
      </c>
      <c r="N83" s="4503">
        <v>45707</v>
      </c>
      <c r="O83" s="4503">
        <v>45703</v>
      </c>
      <c r="P83" s="4154"/>
      <c r="Q83" s="4154" t="s">
        <v>82</v>
      </c>
      <c r="R83" s="4157"/>
      <c r="S83" s="4157"/>
      <c r="T83" s="4157"/>
      <c r="U83" s="3726" t="s">
        <v>159</v>
      </c>
      <c r="V83" s="3711" t="s">
        <v>663</v>
      </c>
      <c r="W83" s="3711"/>
      <c r="X83" s="3711" t="s">
        <v>366</v>
      </c>
      <c r="Y83" s="3711"/>
      <c r="Z83" s="3711" t="s">
        <v>687</v>
      </c>
      <c r="AA83" s="4154"/>
      <c r="AB83" s="3713" t="s">
        <v>711</v>
      </c>
      <c r="AC83" s="3711" t="s">
        <v>689</v>
      </c>
      <c r="AD83" s="4504">
        <v>2.139</v>
      </c>
      <c r="AE83" s="4154">
        <f t="shared" si="29"/>
        <v>282.348</v>
      </c>
      <c r="AF83" s="4505" t="s">
        <v>712</v>
      </c>
      <c r="AG83" s="3726"/>
      <c r="AH83" s="4422"/>
      <c r="AI83" s="3708">
        <f t="shared" si="30"/>
        <v>132</v>
      </c>
      <c r="AJ83" s="4422"/>
      <c r="AK83" s="3708"/>
      <c r="AL83" s="3708"/>
      <c r="AM83" s="4154"/>
      <c r="AN83" s="907"/>
      <c r="AO83" s="1048">
        <f t="shared" si="39"/>
        <v>132</v>
      </c>
      <c r="AP83" s="4622"/>
      <c r="AQ83" s="907"/>
      <c r="AR83" s="907"/>
      <c r="AS83" s="1048">
        <f t="shared" si="28"/>
        <v>132</v>
      </c>
      <c r="AT83" s="1048"/>
      <c r="AU83" s="907"/>
      <c r="AV83" s="4922"/>
      <c r="AW83" s="4922"/>
      <c r="AX83" s="1048"/>
      <c r="AY83" s="4922"/>
      <c r="AZ83" s="4922"/>
      <c r="BA83" s="1048"/>
      <c r="BB83" s="4622"/>
      <c r="BC83" s="4922"/>
      <c r="BD83" s="4622"/>
      <c r="BE83" s="4622"/>
      <c r="BF83" s="4622"/>
      <c r="BG83" s="4622"/>
      <c r="BH83" s="1048"/>
      <c r="BI83" s="4622"/>
      <c r="BJ83" s="1048"/>
      <c r="BK83" s="4415" t="s">
        <v>89</v>
      </c>
      <c r="BL83" s="1048"/>
      <c r="BM83" s="1048"/>
      <c r="BN83" s="1048"/>
      <c r="BO83" s="1048"/>
      <c r="BP83" s="1048">
        <f>J83-BS83</f>
        <v>132</v>
      </c>
      <c r="BQ83" s="1048"/>
      <c r="BR83" s="1048"/>
      <c r="BS83" s="4384"/>
      <c r="BT83" s="911"/>
      <c r="BU83" s="911"/>
      <c r="BV83" s="911"/>
      <c r="BW83" s="911"/>
      <c r="BX83" s="910"/>
      <c r="BY83" s="910"/>
      <c r="BZ83" s="3708">
        <f t="shared" si="37"/>
        <v>132</v>
      </c>
      <c r="CA83" s="4154">
        <f t="shared" si="38"/>
        <v>0</v>
      </c>
      <c r="CB83" s="4923"/>
      <c r="CC83" s="4923"/>
      <c r="CD83" s="4323"/>
      <c r="CE83" s="4323"/>
      <c r="CF83" s="4323"/>
    </row>
    <row r="84" s="4316" customFormat="1" ht="50" customHeight="1" spans="1:84">
      <c r="A84" s="4500">
        <v>45642</v>
      </c>
      <c r="B84" s="3708" t="s">
        <v>361</v>
      </c>
      <c r="C84" s="3708" t="s">
        <v>91</v>
      </c>
      <c r="D84" s="4154">
        <v>4500154124</v>
      </c>
      <c r="E84" s="3708" t="s">
        <v>717</v>
      </c>
      <c r="F84" s="3708" t="s">
        <v>718</v>
      </c>
      <c r="G84" s="3708" t="s">
        <v>685</v>
      </c>
      <c r="H84" s="3708" t="s">
        <v>685</v>
      </c>
      <c r="I84" s="4154" t="s">
        <v>328</v>
      </c>
      <c r="J84" s="4593">
        <v>24</v>
      </c>
      <c r="K84" s="4154">
        <v>0</v>
      </c>
      <c r="L84" s="4154">
        <v>12</v>
      </c>
      <c r="M84" s="4154">
        <f t="shared" si="19"/>
        <v>2</v>
      </c>
      <c r="N84" s="4503">
        <v>45707</v>
      </c>
      <c r="O84" s="4503">
        <v>45703</v>
      </c>
      <c r="P84" s="4154"/>
      <c r="Q84" s="4154" t="s">
        <v>82</v>
      </c>
      <c r="R84" s="4157"/>
      <c r="S84" s="4157"/>
      <c r="T84" s="4157"/>
      <c r="U84" s="3726" t="s">
        <v>159</v>
      </c>
      <c r="V84" s="3711" t="s">
        <v>663</v>
      </c>
      <c r="W84" s="3711"/>
      <c r="X84" s="3711" t="s">
        <v>366</v>
      </c>
      <c r="Y84" s="3711"/>
      <c r="Z84" s="3711" t="s">
        <v>687</v>
      </c>
      <c r="AA84" s="4154"/>
      <c r="AB84" s="3713" t="s">
        <v>719</v>
      </c>
      <c r="AC84" s="3711" t="s">
        <v>689</v>
      </c>
      <c r="AD84" s="4504">
        <v>2.139</v>
      </c>
      <c r="AE84" s="4154">
        <f t="shared" si="29"/>
        <v>51.336</v>
      </c>
      <c r="AF84" s="4505" t="s">
        <v>720</v>
      </c>
      <c r="AG84" s="3726"/>
      <c r="AH84" s="4422"/>
      <c r="AI84" s="3708">
        <f t="shared" si="30"/>
        <v>24</v>
      </c>
      <c r="AJ84" s="4422"/>
      <c r="AK84" s="3708"/>
      <c r="AL84" s="3708"/>
      <c r="AM84" s="4154"/>
      <c r="AN84" s="907"/>
      <c r="AO84" s="1048">
        <f t="shared" si="39"/>
        <v>24</v>
      </c>
      <c r="AP84" s="4622"/>
      <c r="AQ84" s="907"/>
      <c r="AR84" s="907"/>
      <c r="AS84" s="1048">
        <f t="shared" si="28"/>
        <v>24</v>
      </c>
      <c r="AT84" s="1048"/>
      <c r="AU84" s="907"/>
      <c r="AV84" s="4922"/>
      <c r="AW84" s="4922"/>
      <c r="AX84" s="1048"/>
      <c r="AY84" s="4922"/>
      <c r="AZ84" s="4922"/>
      <c r="BA84" s="1048"/>
      <c r="BB84" s="4622"/>
      <c r="BC84" s="4922"/>
      <c r="BD84" s="4622"/>
      <c r="BE84" s="4622"/>
      <c r="BF84" s="4622"/>
      <c r="BG84" s="4622"/>
      <c r="BH84" s="1048"/>
      <c r="BI84" s="4622"/>
      <c r="BJ84" s="1048"/>
      <c r="BK84" s="4415" t="s">
        <v>89</v>
      </c>
      <c r="BL84" s="1048"/>
      <c r="BM84" s="1048"/>
      <c r="BN84" s="1048"/>
      <c r="BO84" s="1048"/>
      <c r="BP84" s="1048"/>
      <c r="BQ84" s="1048">
        <f>J84-BS84</f>
        <v>24</v>
      </c>
      <c r="BR84" s="1048"/>
      <c r="BS84" s="4384"/>
      <c r="BT84" s="911"/>
      <c r="BU84" s="911"/>
      <c r="BV84" s="911"/>
      <c r="BW84" s="911"/>
      <c r="BX84" s="910"/>
      <c r="BY84" s="910"/>
      <c r="BZ84" s="3708">
        <f t="shared" si="37"/>
        <v>24</v>
      </c>
      <c r="CA84" s="4154">
        <f t="shared" si="38"/>
        <v>0</v>
      </c>
      <c r="CB84" s="4923"/>
      <c r="CC84" s="4923"/>
      <c r="CD84" s="4323"/>
      <c r="CE84" s="4323"/>
      <c r="CF84" s="4323"/>
    </row>
    <row r="85" s="4316" customFormat="1" ht="50" customHeight="1" spans="1:84">
      <c r="A85" s="4500">
        <v>45642</v>
      </c>
      <c r="B85" s="3708" t="s">
        <v>361</v>
      </c>
      <c r="C85" s="3708" t="s">
        <v>91</v>
      </c>
      <c r="D85" s="4154">
        <v>4500154124</v>
      </c>
      <c r="E85" s="3708" t="s">
        <v>721</v>
      </c>
      <c r="F85" s="3708" t="s">
        <v>722</v>
      </c>
      <c r="G85" s="3708" t="s">
        <v>375</v>
      </c>
      <c r="H85" s="3708" t="s">
        <v>375</v>
      </c>
      <c r="I85" s="4154" t="s">
        <v>328</v>
      </c>
      <c r="J85" s="4154">
        <v>144</v>
      </c>
      <c r="K85" s="4154">
        <v>0</v>
      </c>
      <c r="L85" s="4154">
        <v>12</v>
      </c>
      <c r="M85" s="4154">
        <f t="shared" si="19"/>
        <v>12</v>
      </c>
      <c r="N85" s="4503">
        <v>45707</v>
      </c>
      <c r="O85" s="4503">
        <v>45703</v>
      </c>
      <c r="P85" s="4154"/>
      <c r="Q85" s="4154" t="s">
        <v>82</v>
      </c>
      <c r="R85" s="4157"/>
      <c r="S85" s="4157"/>
      <c r="T85" s="4157"/>
      <c r="U85" s="3726" t="s">
        <v>159</v>
      </c>
      <c r="V85" s="3711" t="s">
        <v>663</v>
      </c>
      <c r="W85" s="3711"/>
      <c r="X85" s="3711" t="s">
        <v>366</v>
      </c>
      <c r="Y85" s="3711"/>
      <c r="Z85" s="3711" t="s">
        <v>687</v>
      </c>
      <c r="AA85" s="4154"/>
      <c r="AB85" s="3713" t="s">
        <v>719</v>
      </c>
      <c r="AC85" s="3711" t="s">
        <v>689</v>
      </c>
      <c r="AD85" s="4504">
        <v>2.139</v>
      </c>
      <c r="AE85" s="4154">
        <f t="shared" si="29"/>
        <v>308.016</v>
      </c>
      <c r="AF85" s="4505" t="s">
        <v>720</v>
      </c>
      <c r="AG85" s="3726"/>
      <c r="AH85" s="4422"/>
      <c r="AI85" s="3708">
        <f t="shared" si="30"/>
        <v>144</v>
      </c>
      <c r="AJ85" s="4422"/>
      <c r="AK85" s="3708"/>
      <c r="AL85" s="3708"/>
      <c r="AM85" s="4154"/>
      <c r="AN85" s="907"/>
      <c r="AO85" s="1048">
        <f t="shared" si="39"/>
        <v>144</v>
      </c>
      <c r="AP85" s="4622"/>
      <c r="AQ85" s="907"/>
      <c r="AR85" s="907"/>
      <c r="AS85" s="1048">
        <f t="shared" si="28"/>
        <v>144</v>
      </c>
      <c r="AT85" s="1048"/>
      <c r="AU85" s="907"/>
      <c r="AV85" s="4922"/>
      <c r="AW85" s="4922"/>
      <c r="AX85" s="1048"/>
      <c r="AY85" s="4922"/>
      <c r="AZ85" s="4922"/>
      <c r="BA85" s="1048"/>
      <c r="BB85" s="4622"/>
      <c r="BC85" s="4922"/>
      <c r="BD85" s="4622"/>
      <c r="BE85" s="4622"/>
      <c r="BF85" s="4622"/>
      <c r="BG85" s="4622"/>
      <c r="BH85" s="1048"/>
      <c r="BI85" s="4622"/>
      <c r="BJ85" s="1048"/>
      <c r="BK85" s="4415" t="s">
        <v>89</v>
      </c>
      <c r="BL85" s="1048"/>
      <c r="BM85" s="1048"/>
      <c r="BN85" s="1048"/>
      <c r="BO85" s="1048"/>
      <c r="BP85" s="1048"/>
      <c r="BQ85" s="1048"/>
      <c r="BR85" s="1048">
        <f>J85</f>
        <v>144</v>
      </c>
      <c r="BS85" s="4384"/>
      <c r="BT85" s="911"/>
      <c r="BU85" s="911"/>
      <c r="BV85" s="911"/>
      <c r="BW85" s="911"/>
      <c r="BX85" s="910"/>
      <c r="BY85" s="910"/>
      <c r="BZ85" s="3708">
        <f t="shared" si="37"/>
        <v>144</v>
      </c>
      <c r="CA85" s="4154">
        <f t="shared" si="38"/>
        <v>0</v>
      </c>
      <c r="CB85" s="4923"/>
      <c r="CC85" s="4923"/>
      <c r="CD85" s="4323"/>
      <c r="CE85" s="4323"/>
      <c r="CF85" s="4323"/>
    </row>
    <row r="86" s="4316" customFormat="1" ht="50" customHeight="1" spans="1:84">
      <c r="A86" s="4500">
        <v>45642</v>
      </c>
      <c r="B86" s="3708" t="s">
        <v>361</v>
      </c>
      <c r="C86" s="3708" t="s">
        <v>91</v>
      </c>
      <c r="D86" s="4154">
        <v>4500154124</v>
      </c>
      <c r="E86" s="3708" t="s">
        <v>723</v>
      </c>
      <c r="F86" s="3708" t="s">
        <v>724</v>
      </c>
      <c r="G86" s="3708" t="s">
        <v>640</v>
      </c>
      <c r="H86" s="3708" t="s">
        <v>640</v>
      </c>
      <c r="I86" s="4154" t="s">
        <v>328</v>
      </c>
      <c r="J86" s="4154">
        <v>132</v>
      </c>
      <c r="K86" s="4154">
        <v>0</v>
      </c>
      <c r="L86" s="4154">
        <v>12</v>
      </c>
      <c r="M86" s="4154">
        <f t="shared" si="19"/>
        <v>11</v>
      </c>
      <c r="N86" s="4503">
        <v>45707</v>
      </c>
      <c r="O86" s="4503">
        <v>45703</v>
      </c>
      <c r="P86" s="4154"/>
      <c r="Q86" s="4154" t="s">
        <v>82</v>
      </c>
      <c r="R86" s="4157"/>
      <c r="S86" s="4157"/>
      <c r="T86" s="4157"/>
      <c r="U86" s="3726" t="s">
        <v>159</v>
      </c>
      <c r="V86" s="3711" t="s">
        <v>663</v>
      </c>
      <c r="W86" s="3711"/>
      <c r="X86" s="3711" t="s">
        <v>366</v>
      </c>
      <c r="Y86" s="3711"/>
      <c r="Z86" s="3711" t="s">
        <v>687</v>
      </c>
      <c r="AA86" s="4154"/>
      <c r="AB86" s="3713" t="s">
        <v>719</v>
      </c>
      <c r="AC86" s="3711" t="s">
        <v>689</v>
      </c>
      <c r="AD86" s="4504">
        <v>2.139</v>
      </c>
      <c r="AE86" s="4154">
        <f t="shared" si="29"/>
        <v>282.348</v>
      </c>
      <c r="AF86" s="4505" t="s">
        <v>720</v>
      </c>
      <c r="AG86" s="3726"/>
      <c r="AH86" s="4422"/>
      <c r="AI86" s="3708">
        <f t="shared" si="30"/>
        <v>132</v>
      </c>
      <c r="AJ86" s="4422"/>
      <c r="AK86" s="3708"/>
      <c r="AL86" s="3708"/>
      <c r="AM86" s="4154"/>
      <c r="AN86" s="907"/>
      <c r="AO86" s="1048">
        <f t="shared" si="39"/>
        <v>132</v>
      </c>
      <c r="AP86" s="4622"/>
      <c r="AQ86" s="907"/>
      <c r="AR86" s="907"/>
      <c r="AS86" s="1048">
        <f t="shared" si="28"/>
        <v>132</v>
      </c>
      <c r="AT86" s="1048"/>
      <c r="AU86" s="907"/>
      <c r="AV86" s="4922"/>
      <c r="AW86" s="4922"/>
      <c r="AX86" s="1048"/>
      <c r="AY86" s="4922"/>
      <c r="AZ86" s="4922"/>
      <c r="BA86" s="1048"/>
      <c r="BB86" s="4622"/>
      <c r="BC86" s="4922"/>
      <c r="BD86" s="4622"/>
      <c r="BE86" s="4622"/>
      <c r="BF86" s="4622"/>
      <c r="BG86" s="4622"/>
      <c r="BH86" s="1048"/>
      <c r="BI86" s="4622"/>
      <c r="BJ86" s="1048"/>
      <c r="BK86" s="4415" t="s">
        <v>89</v>
      </c>
      <c r="BL86" s="1048"/>
      <c r="BM86" s="1048"/>
      <c r="BN86" s="1048"/>
      <c r="BO86" s="1048"/>
      <c r="BP86" s="1048">
        <f>J86-BS86</f>
        <v>132</v>
      </c>
      <c r="BQ86" s="1048"/>
      <c r="BR86" s="1048"/>
      <c r="BS86" s="4384"/>
      <c r="BT86" s="911"/>
      <c r="BU86" s="911"/>
      <c r="BV86" s="911"/>
      <c r="BW86" s="911"/>
      <c r="BX86" s="910"/>
      <c r="BY86" s="910"/>
      <c r="BZ86" s="3708">
        <f t="shared" si="37"/>
        <v>132</v>
      </c>
      <c r="CA86" s="4154">
        <f t="shared" si="38"/>
        <v>0</v>
      </c>
      <c r="CB86" s="4923"/>
      <c r="CC86" s="4923"/>
      <c r="CD86" s="4323"/>
      <c r="CE86" s="4323"/>
      <c r="CF86" s="4323"/>
    </row>
    <row r="87" s="4316" customFormat="1" ht="50" customHeight="1" spans="1:84">
      <c r="A87" s="4500">
        <v>45642</v>
      </c>
      <c r="B87" s="3708" t="s">
        <v>361</v>
      </c>
      <c r="C87" s="3708" t="s">
        <v>91</v>
      </c>
      <c r="D87" s="4154">
        <v>4500154124</v>
      </c>
      <c r="E87" s="3708" t="s">
        <v>725</v>
      </c>
      <c r="F87" s="3708" t="s">
        <v>726</v>
      </c>
      <c r="G87" s="3708" t="s">
        <v>364</v>
      </c>
      <c r="H87" s="3708" t="s">
        <v>364</v>
      </c>
      <c r="I87" s="4154" t="s">
        <v>328</v>
      </c>
      <c r="J87" s="4154">
        <v>36</v>
      </c>
      <c r="K87" s="4154">
        <v>0</v>
      </c>
      <c r="L87" s="4154">
        <v>12</v>
      </c>
      <c r="M87" s="4154">
        <f t="shared" si="19"/>
        <v>3</v>
      </c>
      <c r="N87" s="4503">
        <v>45707</v>
      </c>
      <c r="O87" s="4503">
        <v>45703</v>
      </c>
      <c r="P87" s="4154"/>
      <c r="Q87" s="4154" t="s">
        <v>82</v>
      </c>
      <c r="R87" s="4157"/>
      <c r="S87" s="4157"/>
      <c r="T87" s="4157"/>
      <c r="U87" s="3726" t="s">
        <v>159</v>
      </c>
      <c r="V87" s="3711" t="s">
        <v>663</v>
      </c>
      <c r="W87" s="3711"/>
      <c r="X87" s="3711" t="s">
        <v>366</v>
      </c>
      <c r="Y87" s="3711"/>
      <c r="Z87" s="3711" t="s">
        <v>687</v>
      </c>
      <c r="AA87" s="4154"/>
      <c r="AB87" s="3713" t="s">
        <v>719</v>
      </c>
      <c r="AC87" s="3711" t="s">
        <v>689</v>
      </c>
      <c r="AD87" s="4504">
        <v>2.139</v>
      </c>
      <c r="AE87" s="4154">
        <f t="shared" si="29"/>
        <v>77.004</v>
      </c>
      <c r="AF87" s="4505" t="s">
        <v>720</v>
      </c>
      <c r="AG87" s="3726"/>
      <c r="AH87" s="4422"/>
      <c r="AI87" s="3708">
        <f t="shared" si="30"/>
        <v>36</v>
      </c>
      <c r="AJ87" s="4422"/>
      <c r="AK87" s="3708"/>
      <c r="AL87" s="3708"/>
      <c r="AM87" s="4154"/>
      <c r="AN87" s="907"/>
      <c r="AO87" s="1048">
        <f t="shared" si="39"/>
        <v>36</v>
      </c>
      <c r="AP87" s="4622"/>
      <c r="AQ87" s="907"/>
      <c r="AR87" s="907"/>
      <c r="AS87" s="1048">
        <f t="shared" si="28"/>
        <v>36</v>
      </c>
      <c r="AT87" s="1048"/>
      <c r="AU87" s="907"/>
      <c r="AV87" s="4922"/>
      <c r="AW87" s="4922"/>
      <c r="AX87" s="1048"/>
      <c r="AY87" s="4922"/>
      <c r="AZ87" s="4922"/>
      <c r="BA87" s="1048"/>
      <c r="BB87" s="4622"/>
      <c r="BC87" s="4922"/>
      <c r="BD87" s="4622"/>
      <c r="BE87" s="4622"/>
      <c r="BF87" s="4622"/>
      <c r="BG87" s="4622"/>
      <c r="BH87" s="1048"/>
      <c r="BI87" s="4622"/>
      <c r="BJ87" s="1048"/>
      <c r="BK87" s="4415" t="s">
        <v>89</v>
      </c>
      <c r="BL87" s="1048"/>
      <c r="BM87" s="1048"/>
      <c r="BN87" s="1048"/>
      <c r="BO87" s="4415">
        <f>J87</f>
        <v>36</v>
      </c>
      <c r="BP87" s="1048"/>
      <c r="BQ87" s="1048"/>
      <c r="BR87" s="1048"/>
      <c r="BS87" s="4384"/>
      <c r="BT87" s="911"/>
      <c r="BU87" s="911"/>
      <c r="BV87" s="911"/>
      <c r="BW87" s="911"/>
      <c r="BX87" s="910"/>
      <c r="BY87" s="910"/>
      <c r="BZ87" s="3708">
        <f t="shared" si="37"/>
        <v>36</v>
      </c>
      <c r="CA87" s="4154">
        <f t="shared" si="38"/>
        <v>0</v>
      </c>
      <c r="CB87" s="4923"/>
      <c r="CC87" s="4923"/>
      <c r="CD87" s="4323"/>
      <c r="CE87" s="4323"/>
      <c r="CF87" s="4323"/>
    </row>
    <row r="88" s="4316" customFormat="1" ht="50" customHeight="1" spans="1:84">
      <c r="A88" s="4500">
        <v>45609</v>
      </c>
      <c r="B88" s="3708" t="s">
        <v>395</v>
      </c>
      <c r="C88" s="3708" t="s">
        <v>396</v>
      </c>
      <c r="D88" s="4154">
        <v>4500151019</v>
      </c>
      <c r="E88" s="3708" t="s">
        <v>727</v>
      </c>
      <c r="F88" s="3708" t="s">
        <v>728</v>
      </c>
      <c r="G88" s="3708" t="s">
        <v>399</v>
      </c>
      <c r="H88" s="3708" t="s">
        <v>399</v>
      </c>
      <c r="I88" s="3708" t="s">
        <v>400</v>
      </c>
      <c r="J88" s="4154">
        <v>696</v>
      </c>
      <c r="K88" s="4154">
        <v>0</v>
      </c>
      <c r="L88" s="4154">
        <v>6</v>
      </c>
      <c r="M88" s="4154">
        <f t="shared" si="19"/>
        <v>116</v>
      </c>
      <c r="N88" s="4503">
        <v>45709</v>
      </c>
      <c r="O88" s="4503">
        <v>45705</v>
      </c>
      <c r="P88" s="4154"/>
      <c r="Q88" s="4154" t="s">
        <v>82</v>
      </c>
      <c r="R88" s="4157"/>
      <c r="S88" s="4157"/>
      <c r="T88" s="4157"/>
      <c r="U88" s="3726"/>
      <c r="V88" s="3711" t="s">
        <v>729</v>
      </c>
      <c r="W88" s="3711"/>
      <c r="X88" s="3711" t="s">
        <v>98</v>
      </c>
      <c r="Y88" s="3711"/>
      <c r="Z88" s="3711"/>
      <c r="AA88" s="4154"/>
      <c r="AB88" s="3713" t="s">
        <v>730</v>
      </c>
      <c r="AC88" s="3711" t="s">
        <v>405</v>
      </c>
      <c r="AD88" s="4504">
        <v>2.1581</v>
      </c>
      <c r="AE88" s="4154">
        <f t="shared" si="29"/>
        <v>1502.0376</v>
      </c>
      <c r="AF88" s="3726" t="s">
        <v>731</v>
      </c>
      <c r="AG88" s="3726"/>
      <c r="AH88" s="984"/>
      <c r="AI88" s="3708"/>
      <c r="AJ88" s="984"/>
      <c r="AK88" s="3708">
        <f>J88</f>
        <v>696</v>
      </c>
      <c r="AL88" s="3708"/>
      <c r="AM88" s="4154"/>
      <c r="AN88" s="4397"/>
      <c r="AO88" s="1048">
        <f t="shared" si="39"/>
        <v>696</v>
      </c>
      <c r="AP88" s="4622"/>
      <c r="AQ88" s="877"/>
      <c r="AR88" s="877"/>
      <c r="AS88" s="1048"/>
      <c r="AT88" s="1048">
        <f>J88</f>
        <v>696</v>
      </c>
      <c r="AU88" s="877"/>
      <c r="AV88" s="4921"/>
      <c r="AW88" s="4921"/>
      <c r="AX88" s="1048">
        <f>J88/6</f>
        <v>116</v>
      </c>
      <c r="AY88" s="4921"/>
      <c r="AZ88" s="4921"/>
      <c r="BA88" s="1048"/>
      <c r="BB88" s="4622"/>
      <c r="BC88" s="4921"/>
      <c r="BD88" s="4622"/>
      <c r="BE88" s="4622"/>
      <c r="BF88" s="4622"/>
      <c r="BG88" s="4622"/>
      <c r="BH88" s="1048"/>
      <c r="BI88" s="4622"/>
      <c r="BJ88" s="1048"/>
      <c r="BK88" s="4415" t="s">
        <v>89</v>
      </c>
      <c r="BL88" s="1048">
        <f>J88/60*1</f>
        <v>11.6</v>
      </c>
      <c r="BM88" s="1048">
        <f t="shared" ref="BM88:BM149" si="40">J88/60*9</f>
        <v>104.4</v>
      </c>
      <c r="BN88" s="1048">
        <f t="shared" ref="BN88:BN149" si="41">J88/60*10</f>
        <v>116</v>
      </c>
      <c r="BO88" s="1048">
        <f t="shared" ref="BO88:BO149" si="42">J88/60*10</f>
        <v>116</v>
      </c>
      <c r="BP88" s="1048">
        <f t="shared" ref="BP88:BP149" si="43">J88/60*10</f>
        <v>116</v>
      </c>
      <c r="BQ88" s="1048">
        <f t="shared" ref="BQ88:BQ149" si="44">J88/60*10</f>
        <v>116</v>
      </c>
      <c r="BR88" s="1048">
        <f t="shared" ref="BR88:BR149" si="45">J88/60*10</f>
        <v>116</v>
      </c>
      <c r="BS88" s="4384"/>
      <c r="BT88" s="992"/>
      <c r="BU88" s="992"/>
      <c r="BV88" s="992"/>
      <c r="BW88" s="992"/>
      <c r="BX88" s="991"/>
      <c r="BY88" s="991"/>
      <c r="BZ88" s="3708">
        <f t="shared" si="37"/>
        <v>696</v>
      </c>
      <c r="CA88" s="4154">
        <f t="shared" si="38"/>
        <v>0</v>
      </c>
      <c r="CB88" s="4924"/>
      <c r="CC88" s="4591"/>
      <c r="CD88" s="4323"/>
      <c r="CE88" s="4323"/>
      <c r="CF88" s="4323"/>
    </row>
    <row r="89" s="4316" customFormat="1" ht="50" customHeight="1" spans="1:84">
      <c r="A89" s="4500">
        <v>45586</v>
      </c>
      <c r="B89" s="3708" t="s">
        <v>90</v>
      </c>
      <c r="C89" s="3708" t="s">
        <v>91</v>
      </c>
      <c r="D89" s="4154">
        <v>4500147804</v>
      </c>
      <c r="E89" s="3708" t="s">
        <v>433</v>
      </c>
      <c r="F89" s="3708" t="s">
        <v>732</v>
      </c>
      <c r="G89" s="3708" t="s">
        <v>409</v>
      </c>
      <c r="H89" s="3708" t="s">
        <v>409</v>
      </c>
      <c r="I89" s="3708" t="s">
        <v>410</v>
      </c>
      <c r="J89" s="4154">
        <v>600</v>
      </c>
      <c r="K89" s="4154">
        <v>0</v>
      </c>
      <c r="L89" s="4154">
        <v>12</v>
      </c>
      <c r="M89" s="4154">
        <f t="shared" si="19"/>
        <v>50</v>
      </c>
      <c r="N89" s="4503">
        <v>45698</v>
      </c>
      <c r="O89" s="4503">
        <v>45694</v>
      </c>
      <c r="P89" s="4154"/>
      <c r="Q89" s="4154" t="s">
        <v>82</v>
      </c>
      <c r="R89" s="4157"/>
      <c r="S89" s="4157"/>
      <c r="T89" s="4157"/>
      <c r="U89" s="3726" t="s">
        <v>156</v>
      </c>
      <c r="V89" s="3711" t="s">
        <v>97</v>
      </c>
      <c r="W89" s="3711"/>
      <c r="X89" s="3711" t="s">
        <v>98</v>
      </c>
      <c r="Y89" s="3711"/>
      <c r="Z89" s="3711" t="s">
        <v>142</v>
      </c>
      <c r="AA89" s="4154"/>
      <c r="AB89" s="3713" t="s">
        <v>432</v>
      </c>
      <c r="AC89" s="3711" t="s">
        <v>101</v>
      </c>
      <c r="AD89" s="4504">
        <v>2.8218</v>
      </c>
      <c r="AE89" s="4154">
        <f t="shared" si="29"/>
        <v>1693.08</v>
      </c>
      <c r="AF89" s="4505" t="s">
        <v>157</v>
      </c>
      <c r="AG89" s="3726"/>
      <c r="AH89" s="984"/>
      <c r="AI89" s="3708">
        <f>J89</f>
        <v>600</v>
      </c>
      <c r="AJ89" s="984"/>
      <c r="AK89" s="3708"/>
      <c r="AL89" s="3708"/>
      <c r="AM89" s="4154"/>
      <c r="AN89" s="4397"/>
      <c r="AO89" s="1048">
        <f t="shared" si="39"/>
        <v>600</v>
      </c>
      <c r="AP89" s="4622"/>
      <c r="AQ89" s="877"/>
      <c r="AR89" s="877"/>
      <c r="AS89" s="1048">
        <f t="shared" ref="AS89:AS135" si="46">J89</f>
        <v>600</v>
      </c>
      <c r="AT89" s="1048"/>
      <c r="AU89" s="877"/>
      <c r="AV89" s="4921"/>
      <c r="AW89" s="4921"/>
      <c r="AX89" s="1048"/>
      <c r="AY89" s="4921"/>
      <c r="AZ89" s="4921"/>
      <c r="BA89" s="1048"/>
      <c r="BB89" s="4622"/>
      <c r="BC89" s="4921"/>
      <c r="BD89" s="4622"/>
      <c r="BE89" s="4622"/>
      <c r="BF89" s="4622"/>
      <c r="BG89" s="4622"/>
      <c r="BH89" s="1048">
        <f>J89</f>
        <v>600</v>
      </c>
      <c r="BI89" s="4622"/>
      <c r="BJ89" s="1048"/>
      <c r="BK89" s="4415" t="s">
        <v>89</v>
      </c>
      <c r="BL89" s="4415"/>
      <c r="BM89" s="4415">
        <f t="shared" si="40"/>
        <v>90</v>
      </c>
      <c r="BN89" s="4415">
        <f t="shared" si="41"/>
        <v>100</v>
      </c>
      <c r="BO89" s="4415">
        <f t="shared" si="42"/>
        <v>100</v>
      </c>
      <c r="BP89" s="4415">
        <f t="shared" si="43"/>
        <v>100</v>
      </c>
      <c r="BQ89" s="4414">
        <f t="shared" si="44"/>
        <v>100</v>
      </c>
      <c r="BR89" s="1048">
        <f t="shared" si="45"/>
        <v>100</v>
      </c>
      <c r="BS89" s="4384">
        <f>J89/60*1</f>
        <v>10</v>
      </c>
      <c r="BT89" s="992"/>
      <c r="BU89" s="992"/>
      <c r="BV89" s="992"/>
      <c r="BW89" s="992"/>
      <c r="BX89" s="991"/>
      <c r="BY89" s="991"/>
      <c r="BZ89" s="3708">
        <f t="shared" si="37"/>
        <v>600</v>
      </c>
      <c r="CA89" s="4154">
        <f t="shared" si="38"/>
        <v>0</v>
      </c>
      <c r="CB89" s="4924"/>
      <c r="CC89" s="4591"/>
      <c r="CD89" s="4323"/>
      <c r="CE89" s="4323"/>
      <c r="CF89" s="4323"/>
    </row>
    <row r="90" s="4316" customFormat="1" ht="50" customHeight="1" spans="1:84">
      <c r="A90" s="4500">
        <v>45586</v>
      </c>
      <c r="B90" s="3708" t="s">
        <v>90</v>
      </c>
      <c r="C90" s="3708" t="s">
        <v>91</v>
      </c>
      <c r="D90" s="4154">
        <v>4500147806</v>
      </c>
      <c r="E90" s="3708" t="s">
        <v>435</v>
      </c>
      <c r="F90" s="3708" t="s">
        <v>733</v>
      </c>
      <c r="G90" s="3708" t="s">
        <v>409</v>
      </c>
      <c r="H90" s="3708" t="s">
        <v>409</v>
      </c>
      <c r="I90" s="3708" t="s">
        <v>410</v>
      </c>
      <c r="J90" s="4154">
        <v>804</v>
      </c>
      <c r="K90" s="4154">
        <v>0</v>
      </c>
      <c r="L90" s="4154">
        <v>12</v>
      </c>
      <c r="M90" s="4154">
        <f t="shared" si="19"/>
        <v>67</v>
      </c>
      <c r="N90" s="4503">
        <v>45698</v>
      </c>
      <c r="O90" s="4503">
        <v>45694</v>
      </c>
      <c r="P90" s="4154"/>
      <c r="Q90" s="4154" t="s">
        <v>82</v>
      </c>
      <c r="R90" s="4157"/>
      <c r="S90" s="4157"/>
      <c r="T90" s="4157"/>
      <c r="U90" s="3711" t="s">
        <v>159</v>
      </c>
      <c r="V90" s="3711" t="s">
        <v>97</v>
      </c>
      <c r="W90" s="3711"/>
      <c r="X90" s="3711" t="s">
        <v>98</v>
      </c>
      <c r="Y90" s="3711"/>
      <c r="Z90" s="3711" t="s">
        <v>142</v>
      </c>
      <c r="AA90" s="4154"/>
      <c r="AB90" s="3713" t="s">
        <v>432</v>
      </c>
      <c r="AC90" s="3711" t="s">
        <v>101</v>
      </c>
      <c r="AD90" s="4504">
        <v>2.8218</v>
      </c>
      <c r="AE90" s="4154">
        <f t="shared" si="29"/>
        <v>2268.7272</v>
      </c>
      <c r="AF90" s="4505" t="s">
        <v>160</v>
      </c>
      <c r="AG90" s="3726"/>
      <c r="AH90" s="984"/>
      <c r="AI90" s="3708">
        <f>J90</f>
        <v>804</v>
      </c>
      <c r="AJ90" s="984"/>
      <c r="AK90" s="3708"/>
      <c r="AL90" s="3708"/>
      <c r="AM90" s="4154"/>
      <c r="AN90" s="4397"/>
      <c r="AO90" s="1048">
        <f t="shared" si="39"/>
        <v>804</v>
      </c>
      <c r="AP90" s="4622"/>
      <c r="AQ90" s="877"/>
      <c r="AR90" s="877"/>
      <c r="AS90" s="1048">
        <f t="shared" si="46"/>
        <v>804</v>
      </c>
      <c r="AT90" s="1048"/>
      <c r="AU90" s="877"/>
      <c r="AV90" s="4921"/>
      <c r="AW90" s="4921"/>
      <c r="AX90" s="1048"/>
      <c r="AY90" s="4921"/>
      <c r="AZ90" s="4921"/>
      <c r="BA90" s="1048"/>
      <c r="BB90" s="4622"/>
      <c r="BC90" s="4921"/>
      <c r="BD90" s="4622"/>
      <c r="BE90" s="4622"/>
      <c r="BF90" s="4622"/>
      <c r="BG90" s="4622"/>
      <c r="BH90" s="1048">
        <f>J90</f>
        <v>804</v>
      </c>
      <c r="BI90" s="4622"/>
      <c r="BJ90" s="1048"/>
      <c r="BK90" s="4415" t="s">
        <v>89</v>
      </c>
      <c r="BL90" s="4415"/>
      <c r="BM90" s="4415">
        <f t="shared" si="40"/>
        <v>120.6</v>
      </c>
      <c r="BN90" s="4415">
        <f t="shared" si="41"/>
        <v>134</v>
      </c>
      <c r="BO90" s="4415">
        <f t="shared" si="42"/>
        <v>134</v>
      </c>
      <c r="BP90" s="4415">
        <f t="shared" si="43"/>
        <v>134</v>
      </c>
      <c r="BQ90" s="4414">
        <f t="shared" si="44"/>
        <v>134</v>
      </c>
      <c r="BR90" s="1048">
        <f t="shared" si="45"/>
        <v>134</v>
      </c>
      <c r="BS90" s="4384">
        <f>J90/60*1</f>
        <v>13.4</v>
      </c>
      <c r="BT90" s="992"/>
      <c r="BU90" s="992"/>
      <c r="BV90" s="992"/>
      <c r="BW90" s="992"/>
      <c r="BX90" s="991"/>
      <c r="BY90" s="991"/>
      <c r="BZ90" s="3708">
        <f t="shared" si="37"/>
        <v>804</v>
      </c>
      <c r="CA90" s="4154">
        <f t="shared" si="38"/>
        <v>0</v>
      </c>
      <c r="CB90" s="4924"/>
      <c r="CC90" s="4591"/>
      <c r="CD90" s="4323"/>
      <c r="CE90" s="4323"/>
      <c r="CF90" s="4323"/>
    </row>
    <row r="91" s="4316" customFormat="1" ht="50" customHeight="1" spans="1:84">
      <c r="A91" s="4500">
        <v>45624</v>
      </c>
      <c r="B91" s="3708" t="s">
        <v>340</v>
      </c>
      <c r="C91" s="3708" t="s">
        <v>341</v>
      </c>
      <c r="D91" s="4154">
        <v>4500151833</v>
      </c>
      <c r="E91" s="3708" t="s">
        <v>734</v>
      </c>
      <c r="F91" s="3708" t="s">
        <v>735</v>
      </c>
      <c r="G91" s="3708" t="s">
        <v>409</v>
      </c>
      <c r="H91" s="3708" t="s">
        <v>409</v>
      </c>
      <c r="I91" s="3708" t="s">
        <v>410</v>
      </c>
      <c r="J91" s="4154">
        <v>1200</v>
      </c>
      <c r="K91" s="4154">
        <v>0</v>
      </c>
      <c r="L91" s="4154">
        <v>12</v>
      </c>
      <c r="M91" s="4154">
        <f t="shared" si="19"/>
        <v>100</v>
      </c>
      <c r="N91" s="4503">
        <v>45702</v>
      </c>
      <c r="O91" s="4503">
        <v>45698</v>
      </c>
      <c r="P91" s="4154"/>
      <c r="Q91" s="4154" t="s">
        <v>82</v>
      </c>
      <c r="R91" s="4157"/>
      <c r="S91" s="4157"/>
      <c r="T91" s="4157"/>
      <c r="U91" s="3726" t="s">
        <v>618</v>
      </c>
      <c r="V91" s="3711" t="s">
        <v>663</v>
      </c>
      <c r="W91" s="3711"/>
      <c r="X91" s="3711" t="s">
        <v>664</v>
      </c>
      <c r="Y91" s="3711"/>
      <c r="Z91" s="3711"/>
      <c r="AA91" s="3708"/>
      <c r="AB91" s="3680" t="s">
        <v>736</v>
      </c>
      <c r="AC91" s="4155" t="s">
        <v>348</v>
      </c>
      <c r="AD91" s="4504">
        <v>2.7507</v>
      </c>
      <c r="AE91" s="4154">
        <f t="shared" si="29"/>
        <v>3300.84</v>
      </c>
      <c r="AF91" s="4505"/>
      <c r="AG91" s="3726"/>
      <c r="AH91" s="4925"/>
      <c r="AI91" s="3708">
        <f>J91</f>
        <v>1200</v>
      </c>
      <c r="AJ91" s="4925"/>
      <c r="AK91" s="3708"/>
      <c r="AL91" s="3708"/>
      <c r="AM91" s="4154"/>
      <c r="AN91" s="4397"/>
      <c r="AO91" s="1048">
        <f t="shared" si="39"/>
        <v>1200</v>
      </c>
      <c r="AP91" s="4622"/>
      <c r="AQ91" s="4397"/>
      <c r="AR91" s="4397"/>
      <c r="AS91" s="1048">
        <f t="shared" si="46"/>
        <v>1200</v>
      </c>
      <c r="AT91" s="1048"/>
      <c r="AU91" s="4397"/>
      <c r="AV91" s="4926"/>
      <c r="AW91" s="4926"/>
      <c r="AX91" s="1048"/>
      <c r="AY91" s="4926"/>
      <c r="AZ91" s="4926"/>
      <c r="BA91" s="1048"/>
      <c r="BB91" s="4622"/>
      <c r="BC91" s="4926"/>
      <c r="BD91" s="4622"/>
      <c r="BE91" s="4622"/>
      <c r="BF91" s="4622"/>
      <c r="BG91" s="4622"/>
      <c r="BH91" s="1048">
        <f>J91</f>
        <v>1200</v>
      </c>
      <c r="BI91" s="4622"/>
      <c r="BJ91" s="1048"/>
      <c r="BK91" s="4415" t="s">
        <v>89</v>
      </c>
      <c r="BL91" s="4415">
        <f>J91/60*1</f>
        <v>20</v>
      </c>
      <c r="BM91" s="4415">
        <f t="shared" si="40"/>
        <v>180</v>
      </c>
      <c r="BN91" s="4415">
        <f t="shared" si="41"/>
        <v>200</v>
      </c>
      <c r="BO91" s="4415">
        <f t="shared" si="42"/>
        <v>200</v>
      </c>
      <c r="BP91" s="4415">
        <f t="shared" si="43"/>
        <v>200</v>
      </c>
      <c r="BQ91" s="4414">
        <f t="shared" si="44"/>
        <v>200</v>
      </c>
      <c r="BR91" s="1048">
        <f t="shared" si="45"/>
        <v>200</v>
      </c>
      <c r="BS91" s="4384"/>
      <c r="BT91" s="4816"/>
      <c r="BU91" s="4816"/>
      <c r="BV91" s="4816"/>
      <c r="BW91" s="4816"/>
      <c r="BX91" s="4816"/>
      <c r="BY91" s="4816"/>
      <c r="BZ91" s="3708">
        <f t="shared" si="37"/>
        <v>1200</v>
      </c>
      <c r="CA91" s="4154">
        <f t="shared" si="38"/>
        <v>0</v>
      </c>
      <c r="CB91" s="4927"/>
      <c r="CC91" s="4927"/>
      <c r="CD91" s="4323"/>
      <c r="CE91" s="4323"/>
      <c r="CF91" s="4323"/>
    </row>
    <row r="92" s="4316" customFormat="1" ht="50" customHeight="1" spans="1:84">
      <c r="A92" s="4500">
        <v>45594</v>
      </c>
      <c r="B92" s="3708" t="s">
        <v>737</v>
      </c>
      <c r="C92" s="3708" t="s">
        <v>738</v>
      </c>
      <c r="D92" s="4154">
        <v>4500149460</v>
      </c>
      <c r="E92" s="3708">
        <v>61900883</v>
      </c>
      <c r="F92" s="3708" t="s">
        <v>739</v>
      </c>
      <c r="G92" s="3708" t="s">
        <v>327</v>
      </c>
      <c r="H92" s="3708" t="s">
        <v>327</v>
      </c>
      <c r="I92" s="4154" t="s">
        <v>328</v>
      </c>
      <c r="J92" s="4154">
        <v>468</v>
      </c>
      <c r="K92" s="4154">
        <v>0</v>
      </c>
      <c r="L92" s="4154">
        <v>12</v>
      </c>
      <c r="M92" s="4154">
        <f t="shared" si="19"/>
        <v>39</v>
      </c>
      <c r="N92" s="4503">
        <v>45708</v>
      </c>
      <c r="O92" s="4503">
        <v>45703</v>
      </c>
      <c r="P92" s="4154"/>
      <c r="Q92" s="4154" t="s">
        <v>82</v>
      </c>
      <c r="R92" s="4157"/>
      <c r="S92" s="4157"/>
      <c r="T92" s="4157"/>
      <c r="U92" s="3726" t="s">
        <v>740</v>
      </c>
      <c r="V92" s="3711" t="s">
        <v>741</v>
      </c>
      <c r="W92" s="3711"/>
      <c r="X92" s="3711" t="s">
        <v>742</v>
      </c>
      <c r="Y92" s="3711"/>
      <c r="Z92" s="3711" t="s">
        <v>743</v>
      </c>
      <c r="AA92" s="4154"/>
      <c r="AB92" s="3713" t="s">
        <v>744</v>
      </c>
      <c r="AC92" s="4155" t="s">
        <v>459</v>
      </c>
      <c r="AD92" s="4504">
        <v>2.209</v>
      </c>
      <c r="AE92" s="4154">
        <f t="shared" si="29"/>
        <v>1033.812</v>
      </c>
      <c r="AF92" s="3726" t="s">
        <v>745</v>
      </c>
      <c r="AG92" s="3726"/>
      <c r="AH92" s="905"/>
      <c r="AI92" s="3708"/>
      <c r="AJ92" s="905"/>
      <c r="AK92" s="3708">
        <f>J92</f>
        <v>468</v>
      </c>
      <c r="AL92" s="3708"/>
      <c r="AM92" s="4154"/>
      <c r="AN92" s="4382"/>
      <c r="AO92" s="1048">
        <f t="shared" si="39"/>
        <v>468</v>
      </c>
      <c r="AP92" s="4622"/>
      <c r="AQ92" s="4382"/>
      <c r="AR92" s="4382"/>
      <c r="AS92" s="1048">
        <f t="shared" si="46"/>
        <v>468</v>
      </c>
      <c r="AT92" s="1048"/>
      <c r="AU92" s="4382"/>
      <c r="AV92" s="4931"/>
      <c r="AW92" s="4931"/>
      <c r="AX92" s="1048">
        <f>J92/6</f>
        <v>78</v>
      </c>
      <c r="AY92" s="4931"/>
      <c r="AZ92" s="4931"/>
      <c r="BA92" s="1048"/>
      <c r="BB92" s="4622"/>
      <c r="BC92" s="4931"/>
      <c r="BD92" s="4622"/>
      <c r="BE92" s="4622"/>
      <c r="BF92" s="4622"/>
      <c r="BG92" s="4622"/>
      <c r="BH92" s="1048"/>
      <c r="BI92" s="4622"/>
      <c r="BJ92" s="1048"/>
      <c r="BK92" s="4415" t="s">
        <v>89</v>
      </c>
      <c r="BL92" s="4415">
        <f>J92/60*1</f>
        <v>7.8</v>
      </c>
      <c r="BM92" s="4415">
        <f t="shared" si="40"/>
        <v>70.2</v>
      </c>
      <c r="BN92" s="4415">
        <f t="shared" si="41"/>
        <v>78</v>
      </c>
      <c r="BO92" s="4415">
        <f t="shared" si="42"/>
        <v>78</v>
      </c>
      <c r="BP92" s="4415">
        <f t="shared" si="43"/>
        <v>78</v>
      </c>
      <c r="BQ92" s="4414">
        <f t="shared" si="44"/>
        <v>78</v>
      </c>
      <c r="BR92" s="1048">
        <f t="shared" si="45"/>
        <v>78</v>
      </c>
      <c r="BS92" s="4384"/>
      <c r="BT92" s="4384"/>
      <c r="BU92" s="4384"/>
      <c r="BV92" s="4384"/>
      <c r="BW92" s="4384"/>
      <c r="BX92" s="4383"/>
      <c r="BY92" s="4383"/>
      <c r="BZ92" s="3708">
        <f t="shared" si="37"/>
        <v>468</v>
      </c>
      <c r="CA92" s="4154">
        <f t="shared" si="38"/>
        <v>0</v>
      </c>
      <c r="CB92" s="4544"/>
      <c r="CC92" s="4544"/>
      <c r="CD92" s="4323"/>
      <c r="CE92" s="4323"/>
      <c r="CF92" s="4323"/>
    </row>
    <row r="93" s="4316" customFormat="1" ht="50" customHeight="1" spans="1:84">
      <c r="A93" s="4500">
        <v>45643</v>
      </c>
      <c r="B93" s="4501" t="s">
        <v>523</v>
      </c>
      <c r="C93" s="3708" t="s">
        <v>524</v>
      </c>
      <c r="D93" s="4502">
        <v>4500153776</v>
      </c>
      <c r="E93" s="3708"/>
      <c r="F93" s="4615" t="s">
        <v>746</v>
      </c>
      <c r="G93" s="3708" t="s">
        <v>327</v>
      </c>
      <c r="H93" s="3708" t="s">
        <v>327</v>
      </c>
      <c r="I93" s="4154" t="s">
        <v>328</v>
      </c>
      <c r="J93" s="4154">
        <v>600</v>
      </c>
      <c r="K93" s="4154">
        <v>0</v>
      </c>
      <c r="L93" s="4154">
        <v>12</v>
      </c>
      <c r="M93" s="4154">
        <f t="shared" si="19"/>
        <v>50</v>
      </c>
      <c r="N93" s="4503">
        <v>45715</v>
      </c>
      <c r="O93" s="4503">
        <v>45712</v>
      </c>
      <c r="P93" s="3712"/>
      <c r="Q93" s="4929" t="s">
        <v>82</v>
      </c>
      <c r="R93" s="4157"/>
      <c r="S93" s="4157"/>
      <c r="T93" s="4157"/>
      <c r="U93" s="3726" t="s">
        <v>401</v>
      </c>
      <c r="V93" s="3711" t="s">
        <v>526</v>
      </c>
      <c r="W93" s="3711"/>
      <c r="X93" s="3711" t="s">
        <v>747</v>
      </c>
      <c r="Y93" s="3711"/>
      <c r="Z93" s="3711"/>
      <c r="AA93" s="4154"/>
      <c r="AB93" s="3680" t="s">
        <v>748</v>
      </c>
      <c r="AC93" s="4154" t="s">
        <v>459</v>
      </c>
      <c r="AD93" s="4504">
        <v>2.209</v>
      </c>
      <c r="AE93" s="4154">
        <f t="shared" si="29"/>
        <v>1325.4</v>
      </c>
      <c r="AF93" s="4505" t="s">
        <v>749</v>
      </c>
      <c r="AG93" s="3726"/>
      <c r="AH93" s="4422"/>
      <c r="AI93" s="3708"/>
      <c r="AJ93" s="4422"/>
      <c r="AK93" s="3708">
        <f>J93</f>
        <v>600</v>
      </c>
      <c r="AL93" s="3708"/>
      <c r="AM93" s="4154"/>
      <c r="AN93" s="907"/>
      <c r="AO93" s="1048">
        <f t="shared" si="39"/>
        <v>600</v>
      </c>
      <c r="AP93" s="1048"/>
      <c r="AQ93" s="907"/>
      <c r="AR93" s="907"/>
      <c r="AS93" s="1048">
        <f t="shared" si="46"/>
        <v>600</v>
      </c>
      <c r="AT93" s="1048"/>
      <c r="AU93" s="907"/>
      <c r="AV93" s="907"/>
      <c r="AW93" s="907"/>
      <c r="AX93" s="1048">
        <f>J93/6</f>
        <v>100</v>
      </c>
      <c r="AY93" s="907"/>
      <c r="AZ93" s="907"/>
      <c r="BA93" s="1048"/>
      <c r="BB93" s="1048"/>
      <c r="BC93" s="907"/>
      <c r="BD93" s="1048"/>
      <c r="BE93" s="1048"/>
      <c r="BF93" s="1048"/>
      <c r="BG93" s="1048"/>
      <c r="BH93" s="4622"/>
      <c r="BI93" s="4622"/>
      <c r="BJ93" s="1048"/>
      <c r="BK93" s="4415" t="s">
        <v>89</v>
      </c>
      <c r="BL93" s="4415">
        <f>J93/60*1</f>
        <v>10</v>
      </c>
      <c r="BM93" s="4415">
        <f t="shared" si="40"/>
        <v>90</v>
      </c>
      <c r="BN93" s="4415">
        <f t="shared" si="41"/>
        <v>100</v>
      </c>
      <c r="BO93" s="4415">
        <f t="shared" si="42"/>
        <v>100</v>
      </c>
      <c r="BP93" s="4415">
        <f t="shared" si="43"/>
        <v>100</v>
      </c>
      <c r="BQ93" s="4414">
        <f t="shared" si="44"/>
        <v>100</v>
      </c>
      <c r="BR93" s="1048">
        <f t="shared" si="45"/>
        <v>100</v>
      </c>
      <c r="BS93" s="4384"/>
      <c r="BT93" s="911"/>
      <c r="BU93" s="911"/>
      <c r="BV93" s="911"/>
      <c r="BW93" s="911"/>
      <c r="BX93" s="910"/>
      <c r="BY93" s="910"/>
      <c r="BZ93" s="3708">
        <f t="shared" si="37"/>
        <v>600</v>
      </c>
      <c r="CA93" s="4154">
        <f t="shared" si="38"/>
        <v>0</v>
      </c>
      <c r="CB93" s="4462"/>
      <c r="CC93" s="4462"/>
      <c r="CD93" s="4323"/>
      <c r="CE93" s="4323"/>
      <c r="CF93" s="4323"/>
    </row>
    <row r="94" s="4316" customFormat="1" ht="50" customHeight="1" spans="1:84">
      <c r="A94" s="4500">
        <v>45645</v>
      </c>
      <c r="B94" s="3708" t="s">
        <v>750</v>
      </c>
      <c r="C94" s="3708" t="s">
        <v>91</v>
      </c>
      <c r="D94" s="4154">
        <v>4500154420</v>
      </c>
      <c r="E94" s="3708" t="s">
        <v>751</v>
      </c>
      <c r="F94" s="3708" t="s">
        <v>752</v>
      </c>
      <c r="G94" s="3708" t="s">
        <v>333</v>
      </c>
      <c r="H94" s="3708" t="s">
        <v>333</v>
      </c>
      <c r="I94" s="3708" t="s">
        <v>328</v>
      </c>
      <c r="J94" s="4593">
        <v>744</v>
      </c>
      <c r="K94" s="4154">
        <v>0</v>
      </c>
      <c r="L94" s="4154">
        <v>24</v>
      </c>
      <c r="M94" s="4154">
        <f t="shared" si="19"/>
        <v>31</v>
      </c>
      <c r="N94" s="4503">
        <v>45346</v>
      </c>
      <c r="O94" s="4503">
        <v>45708</v>
      </c>
      <c r="P94" s="4154"/>
      <c r="Q94" s="4154" t="s">
        <v>82</v>
      </c>
      <c r="R94" s="4157"/>
      <c r="S94" s="4157"/>
      <c r="T94" s="4157"/>
      <c r="U94" s="3726" t="s">
        <v>753</v>
      </c>
      <c r="V94" s="3711" t="s">
        <v>619</v>
      </c>
      <c r="W94" s="3711"/>
      <c r="X94" s="3711" t="s">
        <v>98</v>
      </c>
      <c r="Y94" s="3711"/>
      <c r="Z94" s="3711" t="s">
        <v>605</v>
      </c>
      <c r="AA94" s="4154"/>
      <c r="AB94" s="3713" t="s">
        <v>754</v>
      </c>
      <c r="AC94" s="3711" t="s">
        <v>755</v>
      </c>
      <c r="AD94" s="4504">
        <v>2.2394</v>
      </c>
      <c r="AE94" s="4154">
        <f t="shared" si="29"/>
        <v>1666.1136</v>
      </c>
      <c r="AF94" s="3726" t="s">
        <v>756</v>
      </c>
      <c r="AG94" s="3726"/>
      <c r="AH94" s="4925"/>
      <c r="AI94" s="3708">
        <f t="shared" ref="AI94:AI99" si="47">J94</f>
        <v>744</v>
      </c>
      <c r="AJ94" s="4925"/>
      <c r="AK94" s="3708"/>
      <c r="AL94" s="3708"/>
      <c r="AM94" s="4154"/>
      <c r="AN94" s="4397"/>
      <c r="AO94" s="1048">
        <f t="shared" si="39"/>
        <v>744</v>
      </c>
      <c r="AP94" s="4622"/>
      <c r="AQ94" s="4397"/>
      <c r="AR94" s="4397"/>
      <c r="AS94" s="1048">
        <f t="shared" si="46"/>
        <v>744</v>
      </c>
      <c r="AT94" s="1048"/>
      <c r="AU94" s="4397"/>
      <c r="AV94" s="4926"/>
      <c r="AW94" s="4926"/>
      <c r="AX94" s="1048"/>
      <c r="AY94" s="4926"/>
      <c r="AZ94" s="4926"/>
      <c r="BA94" s="1048"/>
      <c r="BB94" s="4622"/>
      <c r="BC94" s="4926"/>
      <c r="BD94" s="4622"/>
      <c r="BE94" s="4622"/>
      <c r="BF94" s="4622"/>
      <c r="BG94" s="4622"/>
      <c r="BH94" s="4622"/>
      <c r="BI94" s="4622"/>
      <c r="BJ94" s="1048"/>
      <c r="BK94" s="4415" t="s">
        <v>89</v>
      </c>
      <c r="BL94" s="4415"/>
      <c r="BM94" s="4415">
        <f t="shared" si="40"/>
        <v>111.6</v>
      </c>
      <c r="BN94" s="4415">
        <f t="shared" si="41"/>
        <v>124</v>
      </c>
      <c r="BO94" s="4415">
        <f t="shared" si="42"/>
        <v>124</v>
      </c>
      <c r="BP94" s="4415">
        <f t="shared" si="43"/>
        <v>124</v>
      </c>
      <c r="BQ94" s="4414">
        <f t="shared" si="44"/>
        <v>124</v>
      </c>
      <c r="BR94" s="1048">
        <f t="shared" si="45"/>
        <v>124</v>
      </c>
      <c r="BS94" s="4384">
        <f t="shared" ref="BS94:BS99" si="48">J94/60*1</f>
        <v>12.4</v>
      </c>
      <c r="BT94" s="4816"/>
      <c r="BU94" s="4816"/>
      <c r="BV94" s="4816"/>
      <c r="BW94" s="4816"/>
      <c r="BX94" s="4816"/>
      <c r="BY94" s="4816"/>
      <c r="BZ94" s="3708">
        <f t="shared" si="37"/>
        <v>744</v>
      </c>
      <c r="CA94" s="4154">
        <f t="shared" si="38"/>
        <v>0</v>
      </c>
      <c r="CB94" s="4927"/>
      <c r="CC94" s="4927"/>
      <c r="CD94" s="4323"/>
      <c r="CE94" s="4323"/>
      <c r="CF94" s="4323"/>
    </row>
    <row r="95" s="4316" customFormat="1" ht="50" customHeight="1" spans="1:84">
      <c r="A95" s="4500">
        <v>45645</v>
      </c>
      <c r="B95" s="3708" t="s">
        <v>750</v>
      </c>
      <c r="C95" s="3708" t="s">
        <v>91</v>
      </c>
      <c r="D95" s="4154">
        <v>4500154420</v>
      </c>
      <c r="E95" s="3708" t="s">
        <v>757</v>
      </c>
      <c r="F95" s="3708" t="s">
        <v>758</v>
      </c>
      <c r="G95" s="3708" t="s">
        <v>333</v>
      </c>
      <c r="H95" s="3708" t="s">
        <v>333</v>
      </c>
      <c r="I95" s="3708" t="s">
        <v>328</v>
      </c>
      <c r="J95" s="4593">
        <v>744</v>
      </c>
      <c r="K95" s="4154">
        <v>0</v>
      </c>
      <c r="L95" s="4154">
        <v>24</v>
      </c>
      <c r="M95" s="4154">
        <f t="shared" si="19"/>
        <v>31</v>
      </c>
      <c r="N95" s="4503">
        <v>45346</v>
      </c>
      <c r="O95" s="4503">
        <v>45708</v>
      </c>
      <c r="P95" s="4154"/>
      <c r="Q95" s="4154" t="s">
        <v>82</v>
      </c>
      <c r="R95" s="4157"/>
      <c r="S95" s="4157"/>
      <c r="T95" s="4157"/>
      <c r="U95" s="3726" t="s">
        <v>753</v>
      </c>
      <c r="V95" s="3711" t="s">
        <v>619</v>
      </c>
      <c r="W95" s="3711"/>
      <c r="X95" s="3711" t="s">
        <v>98</v>
      </c>
      <c r="Y95" s="3711"/>
      <c r="Z95" s="3711" t="s">
        <v>605</v>
      </c>
      <c r="AA95" s="4154"/>
      <c r="AB95" s="3713" t="s">
        <v>754</v>
      </c>
      <c r="AC95" s="3711" t="s">
        <v>755</v>
      </c>
      <c r="AD95" s="4504">
        <v>2.2394</v>
      </c>
      <c r="AE95" s="4154">
        <f t="shared" si="29"/>
        <v>1666.1136</v>
      </c>
      <c r="AF95" s="3726" t="s">
        <v>756</v>
      </c>
      <c r="AG95" s="3726"/>
      <c r="AH95" s="4925"/>
      <c r="AI95" s="3708">
        <f t="shared" si="47"/>
        <v>744</v>
      </c>
      <c r="AJ95" s="4925"/>
      <c r="AK95" s="3708"/>
      <c r="AL95" s="3708"/>
      <c r="AM95" s="4154"/>
      <c r="AN95" s="4397"/>
      <c r="AO95" s="1048">
        <f t="shared" si="39"/>
        <v>744</v>
      </c>
      <c r="AP95" s="4622"/>
      <c r="AQ95" s="4397"/>
      <c r="AR95" s="4397"/>
      <c r="AS95" s="1048">
        <f t="shared" si="46"/>
        <v>744</v>
      </c>
      <c r="AT95" s="1048"/>
      <c r="AU95" s="4397"/>
      <c r="AV95" s="4926"/>
      <c r="AW95" s="4926"/>
      <c r="AX95" s="1048"/>
      <c r="AY95" s="4926"/>
      <c r="AZ95" s="4926"/>
      <c r="BA95" s="1048"/>
      <c r="BB95" s="4622"/>
      <c r="BC95" s="4926"/>
      <c r="BD95" s="4622"/>
      <c r="BE95" s="4622"/>
      <c r="BF95" s="4622"/>
      <c r="BG95" s="4622"/>
      <c r="BH95" s="4622"/>
      <c r="BI95" s="4622"/>
      <c r="BJ95" s="1048"/>
      <c r="BK95" s="4415" t="s">
        <v>89</v>
      </c>
      <c r="BL95" s="4415"/>
      <c r="BM95" s="4415">
        <f t="shared" si="40"/>
        <v>111.6</v>
      </c>
      <c r="BN95" s="4415">
        <f t="shared" si="41"/>
        <v>124</v>
      </c>
      <c r="BO95" s="4415">
        <f t="shared" si="42"/>
        <v>124</v>
      </c>
      <c r="BP95" s="4415">
        <f t="shared" si="43"/>
        <v>124</v>
      </c>
      <c r="BQ95" s="4414">
        <f t="shared" si="44"/>
        <v>124</v>
      </c>
      <c r="BR95" s="1048">
        <f t="shared" si="45"/>
        <v>124</v>
      </c>
      <c r="BS95" s="4384">
        <f t="shared" si="48"/>
        <v>12.4</v>
      </c>
      <c r="BT95" s="4816"/>
      <c r="BU95" s="4816"/>
      <c r="BV95" s="4816"/>
      <c r="BW95" s="4816"/>
      <c r="BX95" s="4816"/>
      <c r="BY95" s="4816"/>
      <c r="BZ95" s="3708">
        <f t="shared" si="37"/>
        <v>744</v>
      </c>
      <c r="CA95" s="4154">
        <f t="shared" si="38"/>
        <v>0</v>
      </c>
      <c r="CB95" s="4927"/>
      <c r="CC95" s="4927"/>
      <c r="CD95" s="4323"/>
      <c r="CE95" s="4323"/>
      <c r="CF95" s="4323"/>
    </row>
    <row r="96" s="4316" customFormat="1" ht="50" customHeight="1" spans="1:84">
      <c r="A96" s="4500">
        <v>45645</v>
      </c>
      <c r="B96" s="3708" t="s">
        <v>750</v>
      </c>
      <c r="C96" s="3708" t="s">
        <v>91</v>
      </c>
      <c r="D96" s="4154">
        <v>4500154420</v>
      </c>
      <c r="E96" s="3708" t="s">
        <v>759</v>
      </c>
      <c r="F96" s="3708" t="s">
        <v>760</v>
      </c>
      <c r="G96" s="3708" t="s">
        <v>333</v>
      </c>
      <c r="H96" s="3708" t="s">
        <v>333</v>
      </c>
      <c r="I96" s="3708" t="s">
        <v>328</v>
      </c>
      <c r="J96" s="4593">
        <v>480</v>
      </c>
      <c r="K96" s="4154">
        <v>0</v>
      </c>
      <c r="L96" s="4154">
        <v>24</v>
      </c>
      <c r="M96" s="4154">
        <f t="shared" si="19"/>
        <v>20</v>
      </c>
      <c r="N96" s="4503">
        <v>45346</v>
      </c>
      <c r="O96" s="4503">
        <v>45708</v>
      </c>
      <c r="P96" s="4154"/>
      <c r="Q96" s="4154" t="s">
        <v>82</v>
      </c>
      <c r="R96" s="4157"/>
      <c r="S96" s="4157"/>
      <c r="T96" s="4157"/>
      <c r="U96" s="3726" t="s">
        <v>753</v>
      </c>
      <c r="V96" s="3711" t="s">
        <v>619</v>
      </c>
      <c r="W96" s="3711"/>
      <c r="X96" s="3711" t="s">
        <v>98</v>
      </c>
      <c r="Y96" s="3711"/>
      <c r="Z96" s="3711" t="s">
        <v>605</v>
      </c>
      <c r="AA96" s="4154"/>
      <c r="AB96" s="3713" t="s">
        <v>754</v>
      </c>
      <c r="AC96" s="3711" t="s">
        <v>755</v>
      </c>
      <c r="AD96" s="4504">
        <v>2.2394</v>
      </c>
      <c r="AE96" s="4154">
        <f t="shared" si="29"/>
        <v>1074.912</v>
      </c>
      <c r="AF96" s="3726" t="s">
        <v>756</v>
      </c>
      <c r="AG96" s="3726"/>
      <c r="AH96" s="4925"/>
      <c r="AI96" s="3708">
        <f t="shared" si="47"/>
        <v>480</v>
      </c>
      <c r="AJ96" s="4925"/>
      <c r="AK96" s="3708"/>
      <c r="AL96" s="3708"/>
      <c r="AM96" s="4154"/>
      <c r="AN96" s="4397"/>
      <c r="AO96" s="1048">
        <f t="shared" si="39"/>
        <v>480</v>
      </c>
      <c r="AP96" s="4622"/>
      <c r="AQ96" s="4397"/>
      <c r="AR96" s="4397"/>
      <c r="AS96" s="1048">
        <f t="shared" si="46"/>
        <v>480</v>
      </c>
      <c r="AT96" s="1048"/>
      <c r="AU96" s="4397"/>
      <c r="AV96" s="4926"/>
      <c r="AW96" s="4926"/>
      <c r="AX96" s="1048"/>
      <c r="AY96" s="4926"/>
      <c r="AZ96" s="4926"/>
      <c r="BA96" s="1048"/>
      <c r="BB96" s="4622"/>
      <c r="BC96" s="4926"/>
      <c r="BD96" s="4622"/>
      <c r="BE96" s="4622"/>
      <c r="BF96" s="4622"/>
      <c r="BG96" s="4622"/>
      <c r="BH96" s="4622"/>
      <c r="BI96" s="4622"/>
      <c r="BJ96" s="1048"/>
      <c r="BK96" s="4415" t="s">
        <v>89</v>
      </c>
      <c r="BL96" s="4415"/>
      <c r="BM96" s="4415">
        <f t="shared" si="40"/>
        <v>72</v>
      </c>
      <c r="BN96" s="4415">
        <f t="shared" si="41"/>
        <v>80</v>
      </c>
      <c r="BO96" s="4415">
        <f t="shared" si="42"/>
        <v>80</v>
      </c>
      <c r="BP96" s="4415">
        <f t="shared" si="43"/>
        <v>80</v>
      </c>
      <c r="BQ96" s="4414">
        <f t="shared" si="44"/>
        <v>80</v>
      </c>
      <c r="BR96" s="1048">
        <f t="shared" si="45"/>
        <v>80</v>
      </c>
      <c r="BS96" s="4384">
        <f t="shared" si="48"/>
        <v>8</v>
      </c>
      <c r="BT96" s="4816"/>
      <c r="BU96" s="4816"/>
      <c r="BV96" s="4816"/>
      <c r="BW96" s="4816"/>
      <c r="BX96" s="4816"/>
      <c r="BY96" s="4816"/>
      <c r="BZ96" s="3708">
        <f t="shared" si="37"/>
        <v>480</v>
      </c>
      <c r="CA96" s="4154">
        <f t="shared" si="38"/>
        <v>0</v>
      </c>
      <c r="CB96" s="4927"/>
      <c r="CC96" s="4927"/>
      <c r="CD96" s="4323"/>
      <c r="CE96" s="4323"/>
      <c r="CF96" s="4323"/>
    </row>
    <row r="97" s="4316" customFormat="1" ht="50" customHeight="1" spans="1:84">
      <c r="A97" s="4500">
        <v>45645</v>
      </c>
      <c r="B97" s="3708" t="s">
        <v>750</v>
      </c>
      <c r="C97" s="3708" t="s">
        <v>91</v>
      </c>
      <c r="D97" s="4154">
        <v>4500154420</v>
      </c>
      <c r="E97" s="3708" t="s">
        <v>761</v>
      </c>
      <c r="F97" s="3708" t="s">
        <v>762</v>
      </c>
      <c r="G97" s="3708" t="s">
        <v>333</v>
      </c>
      <c r="H97" s="3708" t="s">
        <v>333</v>
      </c>
      <c r="I97" s="3708" t="s">
        <v>328</v>
      </c>
      <c r="J97" s="4593">
        <v>744</v>
      </c>
      <c r="K97" s="4154">
        <v>0</v>
      </c>
      <c r="L97" s="4154">
        <v>24</v>
      </c>
      <c r="M97" s="4154">
        <f t="shared" si="19"/>
        <v>31</v>
      </c>
      <c r="N97" s="4503">
        <v>45346</v>
      </c>
      <c r="O97" s="4503">
        <v>45708</v>
      </c>
      <c r="P97" s="4154"/>
      <c r="Q97" s="4154" t="s">
        <v>82</v>
      </c>
      <c r="R97" s="4157"/>
      <c r="S97" s="4157"/>
      <c r="T97" s="4157"/>
      <c r="U97" s="3726" t="s">
        <v>753</v>
      </c>
      <c r="V97" s="3711" t="s">
        <v>619</v>
      </c>
      <c r="W97" s="3711"/>
      <c r="X97" s="3711" t="s">
        <v>98</v>
      </c>
      <c r="Y97" s="3711"/>
      <c r="Z97" s="3711" t="s">
        <v>605</v>
      </c>
      <c r="AA97" s="4154"/>
      <c r="AB97" s="3713" t="s">
        <v>754</v>
      </c>
      <c r="AC97" s="3711" t="s">
        <v>755</v>
      </c>
      <c r="AD97" s="4504">
        <v>2.2394</v>
      </c>
      <c r="AE97" s="4154">
        <f t="shared" si="29"/>
        <v>1666.1136</v>
      </c>
      <c r="AF97" s="3726" t="s">
        <v>756</v>
      </c>
      <c r="AG97" s="3726"/>
      <c r="AH97" s="4925"/>
      <c r="AI97" s="3708">
        <f t="shared" si="47"/>
        <v>744</v>
      </c>
      <c r="AJ97" s="4925"/>
      <c r="AK97" s="3708"/>
      <c r="AL97" s="3708"/>
      <c r="AM97" s="4154"/>
      <c r="AN97" s="4397"/>
      <c r="AO97" s="1048">
        <f t="shared" si="39"/>
        <v>744</v>
      </c>
      <c r="AP97" s="4622"/>
      <c r="AQ97" s="4397"/>
      <c r="AR97" s="4397"/>
      <c r="AS97" s="1048">
        <f t="shared" si="46"/>
        <v>744</v>
      </c>
      <c r="AT97" s="1048"/>
      <c r="AU97" s="4397"/>
      <c r="AV97" s="4926"/>
      <c r="AW97" s="4926"/>
      <c r="AX97" s="1048"/>
      <c r="AY97" s="4926"/>
      <c r="AZ97" s="4926"/>
      <c r="BA97" s="1048"/>
      <c r="BB97" s="4622"/>
      <c r="BC97" s="4926"/>
      <c r="BD97" s="4622"/>
      <c r="BE97" s="4622"/>
      <c r="BF97" s="4622"/>
      <c r="BG97" s="4622"/>
      <c r="BH97" s="4622"/>
      <c r="BI97" s="4622"/>
      <c r="BJ97" s="1048"/>
      <c r="BK97" s="4415" t="s">
        <v>89</v>
      </c>
      <c r="BL97" s="4415"/>
      <c r="BM97" s="4415">
        <f t="shared" si="40"/>
        <v>111.6</v>
      </c>
      <c r="BN97" s="4415">
        <f t="shared" si="41"/>
        <v>124</v>
      </c>
      <c r="BO97" s="4415">
        <f t="shared" si="42"/>
        <v>124</v>
      </c>
      <c r="BP97" s="4415">
        <f t="shared" si="43"/>
        <v>124</v>
      </c>
      <c r="BQ97" s="4414">
        <f t="shared" si="44"/>
        <v>124</v>
      </c>
      <c r="BR97" s="1048">
        <f t="shared" si="45"/>
        <v>124</v>
      </c>
      <c r="BS97" s="4384">
        <f t="shared" si="48"/>
        <v>12.4</v>
      </c>
      <c r="BT97" s="4816"/>
      <c r="BU97" s="4816"/>
      <c r="BV97" s="4816"/>
      <c r="BW97" s="4816"/>
      <c r="BX97" s="4816"/>
      <c r="BY97" s="4816"/>
      <c r="BZ97" s="3708">
        <f t="shared" si="37"/>
        <v>744</v>
      </c>
      <c r="CA97" s="4154">
        <f t="shared" si="38"/>
        <v>0</v>
      </c>
      <c r="CB97" s="4927"/>
      <c r="CC97" s="4927"/>
      <c r="CD97" s="4323"/>
      <c r="CE97" s="4323"/>
      <c r="CF97" s="4323"/>
    </row>
    <row r="98" s="4316" customFormat="1" ht="50" customHeight="1" spans="1:84">
      <c r="A98" s="4500">
        <v>45645</v>
      </c>
      <c r="B98" s="3708" t="s">
        <v>750</v>
      </c>
      <c r="C98" s="3708" t="s">
        <v>91</v>
      </c>
      <c r="D98" s="4154">
        <v>4500154420</v>
      </c>
      <c r="E98" s="3708" t="s">
        <v>763</v>
      </c>
      <c r="F98" s="3708" t="s">
        <v>764</v>
      </c>
      <c r="G98" s="3708" t="s">
        <v>333</v>
      </c>
      <c r="H98" s="3708" t="s">
        <v>333</v>
      </c>
      <c r="I98" s="3708" t="s">
        <v>328</v>
      </c>
      <c r="J98" s="4593">
        <v>480</v>
      </c>
      <c r="K98" s="4154">
        <v>0</v>
      </c>
      <c r="L98" s="4154">
        <v>24</v>
      </c>
      <c r="M98" s="4154">
        <f t="shared" si="19"/>
        <v>20</v>
      </c>
      <c r="N98" s="4503">
        <v>45346</v>
      </c>
      <c r="O98" s="4503">
        <v>45708</v>
      </c>
      <c r="P98" s="4154"/>
      <c r="Q98" s="4154" t="s">
        <v>82</v>
      </c>
      <c r="R98" s="4157"/>
      <c r="S98" s="4157"/>
      <c r="T98" s="4157"/>
      <c r="U98" s="3726" t="s">
        <v>753</v>
      </c>
      <c r="V98" s="3711" t="s">
        <v>619</v>
      </c>
      <c r="W98" s="3711"/>
      <c r="X98" s="3711" t="s">
        <v>98</v>
      </c>
      <c r="Y98" s="3711"/>
      <c r="Z98" s="3711" t="s">
        <v>605</v>
      </c>
      <c r="AA98" s="4154"/>
      <c r="AB98" s="3713" t="s">
        <v>754</v>
      </c>
      <c r="AC98" s="3711" t="s">
        <v>755</v>
      </c>
      <c r="AD98" s="4504">
        <v>2.2394</v>
      </c>
      <c r="AE98" s="4154">
        <f t="shared" si="29"/>
        <v>1074.912</v>
      </c>
      <c r="AF98" s="3726" t="s">
        <v>756</v>
      </c>
      <c r="AG98" s="3726"/>
      <c r="AH98" s="4925"/>
      <c r="AI98" s="3708">
        <f t="shared" si="47"/>
        <v>480</v>
      </c>
      <c r="AJ98" s="4925"/>
      <c r="AK98" s="3708"/>
      <c r="AL98" s="3708"/>
      <c r="AM98" s="4154"/>
      <c r="AN98" s="4397"/>
      <c r="AO98" s="1048">
        <f t="shared" si="39"/>
        <v>480</v>
      </c>
      <c r="AP98" s="4622"/>
      <c r="AQ98" s="4397"/>
      <c r="AR98" s="4397"/>
      <c r="AS98" s="1048">
        <f t="shared" si="46"/>
        <v>480</v>
      </c>
      <c r="AT98" s="1048"/>
      <c r="AU98" s="4397"/>
      <c r="AV98" s="4926"/>
      <c r="AW98" s="4926"/>
      <c r="AX98" s="1048"/>
      <c r="AY98" s="4926"/>
      <c r="AZ98" s="4926"/>
      <c r="BA98" s="1048"/>
      <c r="BB98" s="4622"/>
      <c r="BC98" s="4926"/>
      <c r="BD98" s="4622"/>
      <c r="BE98" s="4622"/>
      <c r="BF98" s="4622"/>
      <c r="BG98" s="4622"/>
      <c r="BH98" s="4622"/>
      <c r="BI98" s="4622"/>
      <c r="BJ98" s="1048"/>
      <c r="BK98" s="4415" t="s">
        <v>89</v>
      </c>
      <c r="BL98" s="4415"/>
      <c r="BM98" s="4415">
        <f t="shared" si="40"/>
        <v>72</v>
      </c>
      <c r="BN98" s="4415">
        <f t="shared" si="41"/>
        <v>80</v>
      </c>
      <c r="BO98" s="4415">
        <f t="shared" si="42"/>
        <v>80</v>
      </c>
      <c r="BP98" s="4415">
        <f t="shared" si="43"/>
        <v>80</v>
      </c>
      <c r="BQ98" s="4414">
        <f t="shared" si="44"/>
        <v>80</v>
      </c>
      <c r="BR98" s="1048">
        <f t="shared" si="45"/>
        <v>80</v>
      </c>
      <c r="BS98" s="4384">
        <f t="shared" si="48"/>
        <v>8</v>
      </c>
      <c r="BT98" s="4816"/>
      <c r="BU98" s="4816"/>
      <c r="BV98" s="4816"/>
      <c r="BW98" s="4816"/>
      <c r="BX98" s="4816"/>
      <c r="BY98" s="4816"/>
      <c r="BZ98" s="3708">
        <f t="shared" si="37"/>
        <v>480</v>
      </c>
      <c r="CA98" s="4154">
        <f t="shared" si="38"/>
        <v>0</v>
      </c>
      <c r="CB98" s="4927"/>
      <c r="CC98" s="4927"/>
      <c r="CD98" s="4323"/>
      <c r="CE98" s="4323"/>
      <c r="CF98" s="4323"/>
    </row>
    <row r="99" s="4316" customFormat="1" ht="50" customHeight="1" spans="1:84">
      <c r="A99" s="4500">
        <v>45645</v>
      </c>
      <c r="B99" s="3708" t="s">
        <v>750</v>
      </c>
      <c r="C99" s="3708" t="s">
        <v>91</v>
      </c>
      <c r="D99" s="4154">
        <v>4500154420</v>
      </c>
      <c r="E99" s="3708" t="s">
        <v>765</v>
      </c>
      <c r="F99" s="3708" t="s">
        <v>766</v>
      </c>
      <c r="G99" s="3708" t="s">
        <v>333</v>
      </c>
      <c r="H99" s="3708" t="s">
        <v>333</v>
      </c>
      <c r="I99" s="3708" t="s">
        <v>328</v>
      </c>
      <c r="J99" s="4593">
        <v>480</v>
      </c>
      <c r="K99" s="4154">
        <v>0</v>
      </c>
      <c r="L99" s="4154">
        <v>24</v>
      </c>
      <c r="M99" s="4154">
        <f t="shared" si="19"/>
        <v>20</v>
      </c>
      <c r="N99" s="4503">
        <v>45346</v>
      </c>
      <c r="O99" s="4503">
        <v>45708</v>
      </c>
      <c r="P99" s="4154"/>
      <c r="Q99" s="4154" t="s">
        <v>82</v>
      </c>
      <c r="R99" s="4157"/>
      <c r="S99" s="4157"/>
      <c r="T99" s="4157"/>
      <c r="U99" s="3726" t="s">
        <v>753</v>
      </c>
      <c r="V99" s="3711" t="s">
        <v>619</v>
      </c>
      <c r="W99" s="3711"/>
      <c r="X99" s="3711" t="s">
        <v>98</v>
      </c>
      <c r="Y99" s="3711"/>
      <c r="Z99" s="3711" t="s">
        <v>605</v>
      </c>
      <c r="AA99" s="4154"/>
      <c r="AB99" s="3713" t="s">
        <v>754</v>
      </c>
      <c r="AC99" s="3711" t="s">
        <v>755</v>
      </c>
      <c r="AD99" s="4504">
        <v>2.2394</v>
      </c>
      <c r="AE99" s="4154">
        <f t="shared" si="29"/>
        <v>1074.912</v>
      </c>
      <c r="AF99" s="3726" t="s">
        <v>756</v>
      </c>
      <c r="AG99" s="3726"/>
      <c r="AH99" s="4925"/>
      <c r="AI99" s="3708">
        <f t="shared" si="47"/>
        <v>480</v>
      </c>
      <c r="AJ99" s="4925"/>
      <c r="AK99" s="3708"/>
      <c r="AL99" s="3708"/>
      <c r="AM99" s="4154"/>
      <c r="AN99" s="4397"/>
      <c r="AO99" s="1048">
        <f t="shared" si="39"/>
        <v>480</v>
      </c>
      <c r="AP99" s="4622"/>
      <c r="AQ99" s="4397"/>
      <c r="AR99" s="4397"/>
      <c r="AS99" s="1048">
        <f t="shared" si="46"/>
        <v>480</v>
      </c>
      <c r="AT99" s="1048"/>
      <c r="AU99" s="4397"/>
      <c r="AV99" s="4926"/>
      <c r="AW99" s="4926"/>
      <c r="AX99" s="1048"/>
      <c r="AY99" s="4926"/>
      <c r="AZ99" s="4926"/>
      <c r="BA99" s="1048"/>
      <c r="BB99" s="4622"/>
      <c r="BC99" s="4926"/>
      <c r="BD99" s="4622"/>
      <c r="BE99" s="4622"/>
      <c r="BF99" s="4622"/>
      <c r="BG99" s="4622"/>
      <c r="BH99" s="4622"/>
      <c r="BI99" s="4622"/>
      <c r="BJ99" s="1048"/>
      <c r="BK99" s="4415" t="s">
        <v>89</v>
      </c>
      <c r="BL99" s="4415"/>
      <c r="BM99" s="4415">
        <f t="shared" si="40"/>
        <v>72</v>
      </c>
      <c r="BN99" s="4415">
        <f t="shared" si="41"/>
        <v>80</v>
      </c>
      <c r="BO99" s="4415">
        <f t="shared" si="42"/>
        <v>80</v>
      </c>
      <c r="BP99" s="4415">
        <f t="shared" si="43"/>
        <v>80</v>
      </c>
      <c r="BQ99" s="4414">
        <f t="shared" si="44"/>
        <v>80</v>
      </c>
      <c r="BR99" s="1048">
        <f t="shared" si="45"/>
        <v>80</v>
      </c>
      <c r="BS99" s="4384">
        <f t="shared" si="48"/>
        <v>8</v>
      </c>
      <c r="BT99" s="4816"/>
      <c r="BU99" s="4816"/>
      <c r="BV99" s="4816"/>
      <c r="BW99" s="4816"/>
      <c r="BX99" s="4816"/>
      <c r="BY99" s="4816"/>
      <c r="BZ99" s="3708">
        <f t="shared" si="37"/>
        <v>480</v>
      </c>
      <c r="CA99" s="4154">
        <f t="shared" si="38"/>
        <v>0</v>
      </c>
      <c r="CB99" s="4927"/>
      <c r="CC99" s="4927"/>
      <c r="CD99" s="4323"/>
      <c r="CE99" s="4323"/>
      <c r="CF99" s="4323"/>
    </row>
    <row r="100" s="4316" customFormat="1" ht="50" customHeight="1" spans="1:84">
      <c r="A100" s="4500">
        <v>45665</v>
      </c>
      <c r="B100" s="3708" t="s">
        <v>461</v>
      </c>
      <c r="C100" s="3708" t="s">
        <v>341</v>
      </c>
      <c r="D100" s="4154">
        <v>4500155467</v>
      </c>
      <c r="E100" s="3708" t="s">
        <v>767</v>
      </c>
      <c r="F100" s="3708" t="s">
        <v>768</v>
      </c>
      <c r="G100" s="3708" t="s">
        <v>464</v>
      </c>
      <c r="H100" s="3708" t="s">
        <v>333</v>
      </c>
      <c r="I100" s="4593" t="s">
        <v>328</v>
      </c>
      <c r="J100" s="4154">
        <v>1248</v>
      </c>
      <c r="K100" s="4154">
        <v>0</v>
      </c>
      <c r="L100" s="4154">
        <v>24</v>
      </c>
      <c r="M100" s="4154">
        <f t="shared" si="19"/>
        <v>52</v>
      </c>
      <c r="N100" s="4503">
        <v>45719</v>
      </c>
      <c r="O100" s="4503">
        <v>45715</v>
      </c>
      <c r="P100" s="4154"/>
      <c r="Q100" s="3726" t="s">
        <v>82</v>
      </c>
      <c r="R100" s="4157"/>
      <c r="S100" s="4157"/>
      <c r="T100" s="4157"/>
      <c r="U100" s="3711" t="s">
        <v>769</v>
      </c>
      <c r="V100" s="3711" t="s">
        <v>770</v>
      </c>
      <c r="W100" s="3711"/>
      <c r="X100" s="3711" t="s">
        <v>98</v>
      </c>
      <c r="Y100" s="3711"/>
      <c r="Z100" s="3711" t="s">
        <v>651</v>
      </c>
      <c r="AA100" s="4155"/>
      <c r="AB100" s="3876" t="s">
        <v>771</v>
      </c>
      <c r="AC100" s="4504" t="s">
        <v>87</v>
      </c>
      <c r="AD100" s="4154">
        <v>2.1295</v>
      </c>
      <c r="AE100" s="4154">
        <f t="shared" si="29"/>
        <v>2657.616</v>
      </c>
      <c r="AF100" s="3726" t="s">
        <v>772</v>
      </c>
      <c r="AG100" s="3708"/>
      <c r="AH100" s="875"/>
      <c r="AI100" s="3708"/>
      <c r="AJ100" s="4349"/>
      <c r="AK100" s="1048">
        <f>J100</f>
        <v>1248</v>
      </c>
      <c r="AL100" s="4622"/>
      <c r="AM100" s="1048"/>
      <c r="AN100" s="878"/>
      <c r="AO100" s="1048">
        <f t="shared" si="39"/>
        <v>1248</v>
      </c>
      <c r="AP100" s="1048"/>
      <c r="AQ100" s="4920"/>
      <c r="AR100" s="4920"/>
      <c r="AS100" s="1048">
        <f t="shared" si="46"/>
        <v>1248</v>
      </c>
      <c r="AT100" s="4622"/>
      <c r="AU100" s="4920"/>
      <c r="AV100" s="4920"/>
      <c r="AW100" s="4920"/>
      <c r="AX100" s="1048"/>
      <c r="AY100" s="880"/>
      <c r="AZ100" s="880"/>
      <c r="BA100" s="4415"/>
      <c r="BB100" s="4415"/>
      <c r="BC100" s="880"/>
      <c r="BD100" s="4415"/>
      <c r="BE100" s="4414"/>
      <c r="BF100" s="4622"/>
      <c r="BG100" s="4622"/>
      <c r="BH100" s="3708"/>
      <c r="BI100" s="4622"/>
      <c r="BJ100" s="1048"/>
      <c r="BK100" s="4415" t="s">
        <v>89</v>
      </c>
      <c r="BL100" s="4415">
        <f t="shared" ref="BL100:BL149" si="49">J100/60*1</f>
        <v>20.8</v>
      </c>
      <c r="BM100" s="4415">
        <f t="shared" si="40"/>
        <v>187.2</v>
      </c>
      <c r="BN100" s="4415">
        <f t="shared" si="41"/>
        <v>208</v>
      </c>
      <c r="BO100" s="4415">
        <f t="shared" si="42"/>
        <v>208</v>
      </c>
      <c r="BP100" s="4415">
        <f t="shared" si="43"/>
        <v>208</v>
      </c>
      <c r="BQ100" s="4414">
        <f t="shared" si="44"/>
        <v>208</v>
      </c>
      <c r="BR100" s="1048">
        <f t="shared" si="45"/>
        <v>208</v>
      </c>
      <c r="BS100" s="4384"/>
      <c r="BT100" s="4333"/>
      <c r="BU100" s="4333"/>
      <c r="BV100" s="4333"/>
      <c r="BW100" s="4333"/>
      <c r="BX100" s="4333"/>
      <c r="BY100" s="4333"/>
      <c r="BZ100" s="3708">
        <f t="shared" si="37"/>
        <v>1248</v>
      </c>
      <c r="CA100" s="4154">
        <f t="shared" si="38"/>
        <v>0</v>
      </c>
      <c r="CB100" s="4333"/>
      <c r="CC100" s="4333"/>
      <c r="CD100" s="4323"/>
      <c r="CE100" s="4323"/>
      <c r="CF100" s="4323"/>
    </row>
    <row r="101" s="4316" customFormat="1" ht="50" customHeight="1" spans="1:84">
      <c r="A101" s="4500">
        <v>45665</v>
      </c>
      <c r="B101" s="3708" t="s">
        <v>461</v>
      </c>
      <c r="C101" s="3708" t="s">
        <v>341</v>
      </c>
      <c r="D101" s="4154">
        <v>4500155467</v>
      </c>
      <c r="E101" s="3708" t="s">
        <v>773</v>
      </c>
      <c r="F101" s="3708" t="s">
        <v>774</v>
      </c>
      <c r="G101" s="3708" t="s">
        <v>464</v>
      </c>
      <c r="H101" s="3708" t="s">
        <v>333</v>
      </c>
      <c r="I101" s="4593" t="s">
        <v>328</v>
      </c>
      <c r="J101" s="4154">
        <v>1272</v>
      </c>
      <c r="K101" s="4154">
        <v>0</v>
      </c>
      <c r="L101" s="4154">
        <v>24</v>
      </c>
      <c r="M101" s="4154">
        <f t="shared" si="19"/>
        <v>53</v>
      </c>
      <c r="N101" s="4503">
        <v>45719</v>
      </c>
      <c r="O101" s="4503">
        <v>45715</v>
      </c>
      <c r="P101" s="4154"/>
      <c r="Q101" s="3726" t="s">
        <v>82</v>
      </c>
      <c r="R101" s="4157"/>
      <c r="S101" s="4157"/>
      <c r="T101" s="4157"/>
      <c r="U101" s="3711" t="s">
        <v>769</v>
      </c>
      <c r="V101" s="3711" t="s">
        <v>770</v>
      </c>
      <c r="W101" s="3711"/>
      <c r="X101" s="3711" t="s">
        <v>98</v>
      </c>
      <c r="Y101" s="3711"/>
      <c r="Z101" s="3711" t="s">
        <v>651</v>
      </c>
      <c r="AA101" s="4155"/>
      <c r="AB101" s="3876" t="s">
        <v>775</v>
      </c>
      <c r="AC101" s="4504" t="s">
        <v>87</v>
      </c>
      <c r="AD101" s="4154">
        <v>2.1295</v>
      </c>
      <c r="AE101" s="4154">
        <f t="shared" si="29"/>
        <v>2708.724</v>
      </c>
      <c r="AF101" s="3726" t="s">
        <v>772</v>
      </c>
      <c r="AG101" s="3708"/>
      <c r="AH101" s="875"/>
      <c r="AI101" s="3708"/>
      <c r="AJ101" s="4349"/>
      <c r="AK101" s="1048">
        <f>J101</f>
        <v>1272</v>
      </c>
      <c r="AL101" s="4622"/>
      <c r="AM101" s="1048"/>
      <c r="AN101" s="878"/>
      <c r="AO101" s="1048">
        <f t="shared" si="39"/>
        <v>1272</v>
      </c>
      <c r="AP101" s="1048"/>
      <c r="AQ101" s="4920"/>
      <c r="AR101" s="4920"/>
      <c r="AS101" s="1048">
        <f t="shared" si="46"/>
        <v>1272</v>
      </c>
      <c r="AT101" s="4622"/>
      <c r="AU101" s="4920"/>
      <c r="AV101" s="4920"/>
      <c r="AW101" s="4920"/>
      <c r="AX101" s="1048"/>
      <c r="AY101" s="880"/>
      <c r="AZ101" s="880"/>
      <c r="BA101" s="4415"/>
      <c r="BB101" s="4415"/>
      <c r="BC101" s="880"/>
      <c r="BD101" s="4415"/>
      <c r="BE101" s="4414"/>
      <c r="BF101" s="4622"/>
      <c r="BG101" s="4622"/>
      <c r="BH101" s="3708"/>
      <c r="BI101" s="4622"/>
      <c r="BJ101" s="1048"/>
      <c r="BK101" s="4415" t="s">
        <v>89</v>
      </c>
      <c r="BL101" s="4415">
        <f t="shared" si="49"/>
        <v>21.2</v>
      </c>
      <c r="BM101" s="4415">
        <f t="shared" si="40"/>
        <v>190.8</v>
      </c>
      <c r="BN101" s="4415">
        <f t="shared" si="41"/>
        <v>212</v>
      </c>
      <c r="BO101" s="4415">
        <f t="shared" si="42"/>
        <v>212</v>
      </c>
      <c r="BP101" s="4415">
        <f t="shared" si="43"/>
        <v>212</v>
      </c>
      <c r="BQ101" s="4414">
        <f t="shared" si="44"/>
        <v>212</v>
      </c>
      <c r="BR101" s="1048">
        <f t="shared" si="45"/>
        <v>212</v>
      </c>
      <c r="BS101" s="4384"/>
      <c r="BT101" s="4333"/>
      <c r="BU101" s="4333"/>
      <c r="BV101" s="4333"/>
      <c r="BW101" s="4333"/>
      <c r="BX101" s="4333"/>
      <c r="BY101" s="4333"/>
      <c r="BZ101" s="3708">
        <f t="shared" si="37"/>
        <v>1272</v>
      </c>
      <c r="CA101" s="4154">
        <f t="shared" si="38"/>
        <v>0</v>
      </c>
      <c r="CB101" s="4333"/>
      <c r="CC101" s="4333"/>
      <c r="CD101" s="4323"/>
      <c r="CE101" s="4323"/>
      <c r="CF101" s="4323"/>
    </row>
    <row r="102" s="4316" customFormat="1" ht="50" customHeight="1" spans="1:84">
      <c r="A102" s="4500">
        <v>45665</v>
      </c>
      <c r="B102" s="3708" t="s">
        <v>470</v>
      </c>
      <c r="C102" s="3708" t="s">
        <v>471</v>
      </c>
      <c r="D102" s="4154">
        <v>4500155456</v>
      </c>
      <c r="E102" s="3708" t="s">
        <v>776</v>
      </c>
      <c r="F102" s="3708" t="s">
        <v>777</v>
      </c>
      <c r="G102" s="3708" t="s">
        <v>464</v>
      </c>
      <c r="H102" s="4593" t="s">
        <v>333</v>
      </c>
      <c r="I102" s="4593" t="s">
        <v>328</v>
      </c>
      <c r="J102" s="4154">
        <v>840</v>
      </c>
      <c r="K102" s="4154">
        <v>0</v>
      </c>
      <c r="L102" s="4154">
        <v>24</v>
      </c>
      <c r="M102" s="4154">
        <f t="shared" si="19"/>
        <v>35</v>
      </c>
      <c r="N102" s="4503">
        <v>45719</v>
      </c>
      <c r="O102" s="4503">
        <v>45715</v>
      </c>
      <c r="P102" s="3726"/>
      <c r="Q102" s="3711" t="s">
        <v>82</v>
      </c>
      <c r="R102" s="4157"/>
      <c r="S102" s="4157"/>
      <c r="T102" s="4157"/>
      <c r="U102" s="3711" t="s">
        <v>778</v>
      </c>
      <c r="V102" s="3711" t="s">
        <v>770</v>
      </c>
      <c r="W102" s="3711"/>
      <c r="X102" s="3711" t="s">
        <v>98</v>
      </c>
      <c r="Y102" s="3711"/>
      <c r="Z102" s="3711" t="s">
        <v>651</v>
      </c>
      <c r="AA102" s="3711"/>
      <c r="AB102" s="4932" t="s">
        <v>779</v>
      </c>
      <c r="AC102" s="4154" t="s">
        <v>87</v>
      </c>
      <c r="AD102" s="4154">
        <v>2.1295</v>
      </c>
      <c r="AE102" s="4154">
        <f t="shared" si="29"/>
        <v>1788.78</v>
      </c>
      <c r="AF102" s="3708" t="s">
        <v>780</v>
      </c>
      <c r="AG102" s="3708"/>
      <c r="AH102" s="877"/>
      <c r="AI102" s="4622"/>
      <c r="AJ102" s="877"/>
      <c r="AK102" s="1048">
        <f>J102</f>
        <v>840</v>
      </c>
      <c r="AL102" s="1048"/>
      <c r="AM102" s="4622"/>
      <c r="AN102" s="4921"/>
      <c r="AO102" s="1048">
        <f t="shared" si="39"/>
        <v>840</v>
      </c>
      <c r="AP102" s="4415"/>
      <c r="AQ102" s="992"/>
      <c r="AR102" s="992"/>
      <c r="AS102" s="1048">
        <f t="shared" si="46"/>
        <v>840</v>
      </c>
      <c r="AT102" s="1048"/>
      <c r="AU102" s="992"/>
      <c r="AV102" s="984"/>
      <c r="AW102" s="4425"/>
      <c r="AX102" s="1048"/>
      <c r="AY102" s="992"/>
      <c r="AZ102" s="992"/>
      <c r="BA102" s="4415"/>
      <c r="BB102" s="4415"/>
      <c r="BC102" s="992"/>
      <c r="BD102" s="4415"/>
      <c r="BE102" s="4414"/>
      <c r="BF102" s="4622"/>
      <c r="BG102" s="4622"/>
      <c r="BH102" s="3708"/>
      <c r="BI102" s="4622"/>
      <c r="BJ102" s="1048"/>
      <c r="BK102" s="4415" t="s">
        <v>89</v>
      </c>
      <c r="BL102" s="4415">
        <f t="shared" si="49"/>
        <v>14</v>
      </c>
      <c r="BM102" s="4415">
        <f t="shared" si="40"/>
        <v>126</v>
      </c>
      <c r="BN102" s="4415">
        <f t="shared" si="41"/>
        <v>140</v>
      </c>
      <c r="BO102" s="4415">
        <f t="shared" si="42"/>
        <v>140</v>
      </c>
      <c r="BP102" s="4415">
        <f t="shared" si="43"/>
        <v>140</v>
      </c>
      <c r="BQ102" s="4414">
        <f t="shared" si="44"/>
        <v>140</v>
      </c>
      <c r="BR102" s="1048">
        <f t="shared" si="45"/>
        <v>140</v>
      </c>
      <c r="BS102" s="4384"/>
      <c r="BT102" s="4816"/>
      <c r="BU102" s="4816"/>
      <c r="BV102" s="4816"/>
      <c r="BW102" s="4816"/>
      <c r="BX102" s="4816"/>
      <c r="BY102" s="4816"/>
      <c r="BZ102" s="3708">
        <f t="shared" si="37"/>
        <v>840</v>
      </c>
      <c r="CA102" s="4154">
        <f t="shared" si="38"/>
        <v>0</v>
      </c>
      <c r="CB102" s="4816"/>
      <c r="CC102" s="4816"/>
      <c r="CD102" s="4323"/>
      <c r="CE102" s="4323"/>
      <c r="CF102" s="4323"/>
    </row>
    <row r="103" s="4316" customFormat="1" ht="50" customHeight="1" spans="1:84">
      <c r="A103" s="4500">
        <v>45665</v>
      </c>
      <c r="B103" s="3708" t="s">
        <v>470</v>
      </c>
      <c r="C103" s="3708" t="s">
        <v>471</v>
      </c>
      <c r="D103" s="4154">
        <v>4500155456</v>
      </c>
      <c r="E103" s="3708" t="s">
        <v>781</v>
      </c>
      <c r="F103" s="3708" t="s">
        <v>782</v>
      </c>
      <c r="G103" s="3708" t="s">
        <v>464</v>
      </c>
      <c r="H103" s="4593" t="s">
        <v>333</v>
      </c>
      <c r="I103" s="4593" t="s">
        <v>328</v>
      </c>
      <c r="J103" s="4154">
        <v>864</v>
      </c>
      <c r="K103" s="4154">
        <v>0</v>
      </c>
      <c r="L103" s="4154">
        <v>24</v>
      </c>
      <c r="M103" s="4154">
        <f t="shared" si="19"/>
        <v>36</v>
      </c>
      <c r="N103" s="4503">
        <v>45719</v>
      </c>
      <c r="O103" s="4503">
        <v>45715</v>
      </c>
      <c r="P103" s="3726"/>
      <c r="Q103" s="3711" t="s">
        <v>82</v>
      </c>
      <c r="R103" s="4157"/>
      <c r="S103" s="4157"/>
      <c r="T103" s="4157"/>
      <c r="U103" s="3711" t="s">
        <v>778</v>
      </c>
      <c r="V103" s="3711" t="s">
        <v>770</v>
      </c>
      <c r="W103" s="3711"/>
      <c r="X103" s="3711" t="s">
        <v>98</v>
      </c>
      <c r="Y103" s="3711"/>
      <c r="Z103" s="3711" t="s">
        <v>651</v>
      </c>
      <c r="AA103" s="3711"/>
      <c r="AB103" s="4932" t="s">
        <v>783</v>
      </c>
      <c r="AC103" s="4154" t="s">
        <v>87</v>
      </c>
      <c r="AD103" s="4154">
        <v>2.1295</v>
      </c>
      <c r="AE103" s="4154">
        <f t="shared" si="29"/>
        <v>1839.888</v>
      </c>
      <c r="AF103" s="3708" t="s">
        <v>780</v>
      </c>
      <c r="AG103" s="3708"/>
      <c r="AH103" s="877"/>
      <c r="AI103" s="4622"/>
      <c r="AJ103" s="877"/>
      <c r="AK103" s="1048">
        <f>J103</f>
        <v>864</v>
      </c>
      <c r="AL103" s="1048"/>
      <c r="AM103" s="4622"/>
      <c r="AN103" s="4921"/>
      <c r="AO103" s="1048">
        <f t="shared" si="39"/>
        <v>864</v>
      </c>
      <c r="AP103" s="4415"/>
      <c r="AQ103" s="992"/>
      <c r="AR103" s="992"/>
      <c r="AS103" s="1048">
        <f t="shared" si="46"/>
        <v>864</v>
      </c>
      <c r="AT103" s="1048"/>
      <c r="AU103" s="992"/>
      <c r="AV103" s="984"/>
      <c r="AW103" s="4425"/>
      <c r="AX103" s="1048"/>
      <c r="AY103" s="992"/>
      <c r="AZ103" s="992"/>
      <c r="BA103" s="4415"/>
      <c r="BB103" s="4415"/>
      <c r="BC103" s="992"/>
      <c r="BD103" s="4415"/>
      <c r="BE103" s="4414"/>
      <c r="BF103" s="4622"/>
      <c r="BG103" s="4622"/>
      <c r="BH103" s="3708"/>
      <c r="BI103" s="4622"/>
      <c r="BJ103" s="1048"/>
      <c r="BK103" s="4415" t="s">
        <v>89</v>
      </c>
      <c r="BL103" s="4415">
        <f t="shared" si="49"/>
        <v>14.4</v>
      </c>
      <c r="BM103" s="4415">
        <f t="shared" si="40"/>
        <v>129.6</v>
      </c>
      <c r="BN103" s="4415">
        <f t="shared" si="41"/>
        <v>144</v>
      </c>
      <c r="BO103" s="4415">
        <f t="shared" si="42"/>
        <v>144</v>
      </c>
      <c r="BP103" s="4415">
        <f t="shared" si="43"/>
        <v>144</v>
      </c>
      <c r="BQ103" s="4414">
        <f t="shared" si="44"/>
        <v>144</v>
      </c>
      <c r="BR103" s="1048">
        <f t="shared" si="45"/>
        <v>144</v>
      </c>
      <c r="BS103" s="4384"/>
      <c r="BT103" s="4816"/>
      <c r="BU103" s="4816"/>
      <c r="BV103" s="4816"/>
      <c r="BW103" s="4816"/>
      <c r="BX103" s="4816"/>
      <c r="BY103" s="4816"/>
      <c r="BZ103" s="3708">
        <f t="shared" si="37"/>
        <v>864</v>
      </c>
      <c r="CA103" s="4154">
        <f t="shared" si="38"/>
        <v>0</v>
      </c>
      <c r="CB103" s="4816"/>
      <c r="CC103" s="4816"/>
      <c r="CD103" s="4323"/>
      <c r="CE103" s="4323"/>
      <c r="CF103" s="4323"/>
    </row>
    <row r="104" s="4316" customFormat="1" ht="50" customHeight="1" spans="1:84">
      <c r="A104" s="4500">
        <v>45672</v>
      </c>
      <c r="B104" s="4501" t="s">
        <v>515</v>
      </c>
      <c r="C104" s="3708" t="s">
        <v>516</v>
      </c>
      <c r="D104" s="4502">
        <v>4500155723</v>
      </c>
      <c r="E104" s="3708"/>
      <c r="F104" s="3708" t="s">
        <v>784</v>
      </c>
      <c r="G104" s="3708" t="s">
        <v>327</v>
      </c>
      <c r="H104" s="4593" t="s">
        <v>327</v>
      </c>
      <c r="I104" s="4154" t="s">
        <v>328</v>
      </c>
      <c r="J104" s="4154">
        <v>6000</v>
      </c>
      <c r="K104" s="4154">
        <v>0</v>
      </c>
      <c r="L104" s="4154">
        <v>12</v>
      </c>
      <c r="M104" s="4154">
        <f t="shared" si="19"/>
        <v>500</v>
      </c>
      <c r="N104" s="4503">
        <v>45720</v>
      </c>
      <c r="O104" s="4503">
        <v>45716</v>
      </c>
      <c r="P104" s="3726"/>
      <c r="Q104" s="3711" t="s">
        <v>82</v>
      </c>
      <c r="R104" s="4157"/>
      <c r="S104" s="4157"/>
      <c r="T104" s="4157"/>
      <c r="U104" s="3711" t="s">
        <v>785</v>
      </c>
      <c r="V104" s="3711" t="s">
        <v>786</v>
      </c>
      <c r="W104" s="3711"/>
      <c r="X104" s="3711" t="s">
        <v>787</v>
      </c>
      <c r="Y104" s="3711"/>
      <c r="Z104" s="3711"/>
      <c r="AA104" s="3711"/>
      <c r="AB104" s="4932" t="s">
        <v>788</v>
      </c>
      <c r="AC104" s="4154" t="s">
        <v>521</v>
      </c>
      <c r="AD104" s="4504">
        <v>2.1183</v>
      </c>
      <c r="AE104" s="4154">
        <f t="shared" si="29"/>
        <v>12709.8</v>
      </c>
      <c r="AF104" s="3708" t="s">
        <v>789</v>
      </c>
      <c r="AG104" s="3708"/>
      <c r="AH104" s="878"/>
      <c r="AI104" s="4622"/>
      <c r="AJ104" s="878"/>
      <c r="AK104" s="3708">
        <f>J104</f>
        <v>6000</v>
      </c>
      <c r="AL104" s="1048"/>
      <c r="AM104" s="4622"/>
      <c r="AN104" s="4920"/>
      <c r="AO104" s="1048">
        <f t="shared" si="39"/>
        <v>6000</v>
      </c>
      <c r="AP104" s="4415"/>
      <c r="AQ104" s="880"/>
      <c r="AR104" s="880"/>
      <c r="AS104" s="1048">
        <f t="shared" si="46"/>
        <v>6000</v>
      </c>
      <c r="AT104" s="1048"/>
      <c r="AU104" s="880"/>
      <c r="AV104" s="875"/>
      <c r="AW104" s="4349"/>
      <c r="AX104" s="1048">
        <f>J104/6</f>
        <v>1000</v>
      </c>
      <c r="AY104" s="880"/>
      <c r="AZ104" s="880"/>
      <c r="BA104" s="4415"/>
      <c r="BB104" s="4415"/>
      <c r="BC104" s="880"/>
      <c r="BD104" s="4415"/>
      <c r="BE104" s="4414"/>
      <c r="BF104" s="4622"/>
      <c r="BG104" s="4622"/>
      <c r="BH104" s="3708"/>
      <c r="BI104" s="4622"/>
      <c r="BJ104" s="1048"/>
      <c r="BK104" s="4415" t="s">
        <v>89</v>
      </c>
      <c r="BL104" s="4415">
        <f t="shared" si="49"/>
        <v>100</v>
      </c>
      <c r="BM104" s="4415">
        <f t="shared" si="40"/>
        <v>900</v>
      </c>
      <c r="BN104" s="4415">
        <f t="shared" si="41"/>
        <v>1000</v>
      </c>
      <c r="BO104" s="4415">
        <f t="shared" si="42"/>
        <v>1000</v>
      </c>
      <c r="BP104" s="4415">
        <f t="shared" si="43"/>
        <v>1000</v>
      </c>
      <c r="BQ104" s="4414">
        <f t="shared" si="44"/>
        <v>1000</v>
      </c>
      <c r="BR104" s="1048">
        <f t="shared" si="45"/>
        <v>1000</v>
      </c>
      <c r="BS104" s="4384"/>
      <c r="BT104" s="4333"/>
      <c r="BU104" s="4333"/>
      <c r="BV104" s="4333"/>
      <c r="BW104" s="4333"/>
      <c r="BX104" s="4333"/>
      <c r="BY104" s="4333"/>
      <c r="BZ104" s="3708">
        <f t="shared" si="37"/>
        <v>6000</v>
      </c>
      <c r="CA104" s="4154">
        <f t="shared" si="38"/>
        <v>0</v>
      </c>
      <c r="CB104" s="4333"/>
      <c r="CC104" s="4333"/>
      <c r="CD104" s="4323"/>
      <c r="CE104" s="4323"/>
      <c r="CF104" s="4323"/>
    </row>
    <row r="105" s="4316" customFormat="1" ht="50" customHeight="1" spans="1:84">
      <c r="A105" s="4500">
        <v>45677</v>
      </c>
      <c r="B105" s="4501"/>
      <c r="C105" s="3708"/>
      <c r="D105" s="4502" t="s">
        <v>790</v>
      </c>
      <c r="E105" s="3708"/>
      <c r="F105" s="4615"/>
      <c r="G105" s="3708" t="s">
        <v>360</v>
      </c>
      <c r="H105" s="3708" t="s">
        <v>327</v>
      </c>
      <c r="I105" s="4154" t="s">
        <v>328</v>
      </c>
      <c r="J105" s="4154">
        <v>180</v>
      </c>
      <c r="K105" s="4154">
        <v>0</v>
      </c>
      <c r="L105" s="4154">
        <v>12</v>
      </c>
      <c r="M105" s="4154">
        <f t="shared" si="19"/>
        <v>15</v>
      </c>
      <c r="N105" s="4503">
        <v>45705</v>
      </c>
      <c r="O105" s="4503">
        <v>45701</v>
      </c>
      <c r="P105" s="3712"/>
      <c r="Q105" s="4929" t="s">
        <v>82</v>
      </c>
      <c r="R105" s="4157"/>
      <c r="S105" s="4157"/>
      <c r="T105" s="4157"/>
      <c r="U105" s="3726"/>
      <c r="V105" s="3711" t="s">
        <v>335</v>
      </c>
      <c r="W105" s="3711"/>
      <c r="X105" s="3711" t="s">
        <v>98</v>
      </c>
      <c r="Y105" s="3711"/>
      <c r="Z105" s="3711"/>
      <c r="AA105" s="4154"/>
      <c r="AB105" s="3680" t="s">
        <v>791</v>
      </c>
      <c r="AC105" s="4154" t="s">
        <v>792</v>
      </c>
      <c r="AD105" s="4504"/>
      <c r="AE105" s="4154"/>
      <c r="AF105" s="4505"/>
      <c r="AG105" s="3726"/>
      <c r="AH105" s="875"/>
      <c r="AI105" s="3708">
        <f>J105</f>
        <v>180</v>
      </c>
      <c r="AJ105" s="875"/>
      <c r="AK105" s="3708"/>
      <c r="AL105" s="3708"/>
      <c r="AM105" s="4154"/>
      <c r="AN105" s="878"/>
      <c r="AO105" s="1048">
        <f t="shared" si="39"/>
        <v>180</v>
      </c>
      <c r="AP105" s="1048"/>
      <c r="AQ105" s="878"/>
      <c r="AR105" s="878"/>
      <c r="AS105" s="1048">
        <f t="shared" si="46"/>
        <v>180</v>
      </c>
      <c r="AT105" s="1048"/>
      <c r="AU105" s="878"/>
      <c r="AV105" s="878"/>
      <c r="AW105" s="878"/>
      <c r="AX105" s="1048">
        <f>J105/6</f>
        <v>30</v>
      </c>
      <c r="AY105" s="878"/>
      <c r="AZ105" s="878"/>
      <c r="BA105" s="1048"/>
      <c r="BB105" s="1048"/>
      <c r="BC105" s="878"/>
      <c r="BD105" s="1048"/>
      <c r="BE105" s="1048"/>
      <c r="BF105" s="1048"/>
      <c r="BG105" s="1048"/>
      <c r="BH105" s="4622"/>
      <c r="BI105" s="4622"/>
      <c r="BJ105" s="1048"/>
      <c r="BK105" s="4415" t="s">
        <v>89</v>
      </c>
      <c r="BL105" s="4415">
        <f t="shared" si="49"/>
        <v>3</v>
      </c>
      <c r="BM105" s="4415">
        <f t="shared" si="40"/>
        <v>27</v>
      </c>
      <c r="BN105" s="4415">
        <f t="shared" si="41"/>
        <v>30</v>
      </c>
      <c r="BO105" s="4415">
        <f t="shared" si="42"/>
        <v>30</v>
      </c>
      <c r="BP105" s="4415">
        <f t="shared" si="43"/>
        <v>30</v>
      </c>
      <c r="BQ105" s="4414">
        <f t="shared" si="44"/>
        <v>30</v>
      </c>
      <c r="BR105" s="1048">
        <f t="shared" si="45"/>
        <v>30</v>
      </c>
      <c r="BS105" s="4384"/>
      <c r="BT105" s="880"/>
      <c r="BU105" s="880"/>
      <c r="BV105" s="880"/>
      <c r="BW105" s="880"/>
      <c r="BX105" s="879"/>
      <c r="BY105" s="879"/>
      <c r="BZ105" s="3708">
        <f t="shared" si="37"/>
        <v>180</v>
      </c>
      <c r="CA105" s="4154">
        <f t="shared" si="38"/>
        <v>0</v>
      </c>
      <c r="CB105" s="4333"/>
      <c r="CC105" s="4333"/>
      <c r="CD105" s="4323"/>
      <c r="CE105" s="4323"/>
      <c r="CF105" s="4323"/>
    </row>
    <row r="106" s="4316" customFormat="1" ht="50" customHeight="1" spans="1:84">
      <c r="A106" s="4500">
        <v>45609</v>
      </c>
      <c r="B106" s="3708" t="s">
        <v>331</v>
      </c>
      <c r="C106" s="3708" t="s">
        <v>793</v>
      </c>
      <c r="D106" s="4154">
        <v>4500150411</v>
      </c>
      <c r="E106" s="3708" t="s">
        <v>794</v>
      </c>
      <c r="F106" s="3708" t="s">
        <v>795</v>
      </c>
      <c r="G106" s="3708" t="s">
        <v>333</v>
      </c>
      <c r="H106" s="3708" t="s">
        <v>796</v>
      </c>
      <c r="I106" s="3708" t="s">
        <v>797</v>
      </c>
      <c r="J106" s="4593">
        <v>600</v>
      </c>
      <c r="K106" s="4154">
        <v>0</v>
      </c>
      <c r="L106" s="4154">
        <v>1</v>
      </c>
      <c r="M106" s="4154">
        <f t="shared" si="19"/>
        <v>600</v>
      </c>
      <c r="N106" s="4503">
        <v>45346</v>
      </c>
      <c r="O106" s="4503">
        <v>45343</v>
      </c>
      <c r="P106" s="4154"/>
      <c r="Q106" s="3711" t="s">
        <v>82</v>
      </c>
      <c r="R106" s="4157"/>
      <c r="S106" s="4157"/>
      <c r="T106" s="4157"/>
      <c r="U106" s="3726"/>
      <c r="V106" s="3711" t="s">
        <v>335</v>
      </c>
      <c r="W106" s="3711"/>
      <c r="X106" s="3711" t="s">
        <v>798</v>
      </c>
      <c r="Y106" s="3711"/>
      <c r="Z106" s="3711"/>
      <c r="AA106" s="4154" t="s">
        <v>799</v>
      </c>
      <c r="AB106" s="3713" t="s">
        <v>800</v>
      </c>
      <c r="AC106" s="4155" t="s">
        <v>801</v>
      </c>
      <c r="AD106" s="4154">
        <v>6.9539</v>
      </c>
      <c r="AE106" s="4154">
        <f>J106*AD106</f>
        <v>4172.34</v>
      </c>
      <c r="AF106" s="3726"/>
      <c r="AG106" s="3726"/>
      <c r="AH106" s="4448"/>
      <c r="AI106" s="3708">
        <f>J106</f>
        <v>600</v>
      </c>
      <c r="AJ106" s="4448"/>
      <c r="AK106" s="3708"/>
      <c r="AL106" s="3708"/>
      <c r="AM106" s="4154"/>
      <c r="AN106" s="4411"/>
      <c r="AO106" s="1048">
        <f t="shared" si="39"/>
        <v>600</v>
      </c>
      <c r="AP106" s="4622"/>
      <c r="AQ106" s="4411"/>
      <c r="AR106" s="4411"/>
      <c r="AS106" s="1048">
        <f t="shared" si="46"/>
        <v>600</v>
      </c>
      <c r="AT106" s="1048"/>
      <c r="AU106" s="4411"/>
      <c r="AV106" s="4933"/>
      <c r="AW106" s="4933"/>
      <c r="AX106" s="1048"/>
      <c r="AY106" s="4933"/>
      <c r="AZ106" s="4933"/>
      <c r="BA106" s="1048"/>
      <c r="BB106" s="4622"/>
      <c r="BC106" s="4933"/>
      <c r="BD106" s="4622"/>
      <c r="BE106" s="4622"/>
      <c r="BF106" s="4622"/>
      <c r="BG106" s="4622"/>
      <c r="BH106" s="1048"/>
      <c r="BI106" s="4622"/>
      <c r="BJ106" s="1048"/>
      <c r="BK106" s="4415" t="s">
        <v>89</v>
      </c>
      <c r="BL106" s="4415">
        <f t="shared" si="49"/>
        <v>10</v>
      </c>
      <c r="BM106" s="1048">
        <f t="shared" si="40"/>
        <v>90</v>
      </c>
      <c r="BN106" s="1048">
        <f t="shared" si="41"/>
        <v>100</v>
      </c>
      <c r="BO106" s="1048">
        <f t="shared" si="42"/>
        <v>100</v>
      </c>
      <c r="BP106" s="1048">
        <f t="shared" si="43"/>
        <v>100</v>
      </c>
      <c r="BQ106" s="1048">
        <f t="shared" si="44"/>
        <v>100</v>
      </c>
      <c r="BR106" s="1048">
        <f t="shared" si="45"/>
        <v>100</v>
      </c>
      <c r="BS106" s="4384"/>
      <c r="BT106" s="4454"/>
      <c r="BU106" s="4454"/>
      <c r="BV106" s="4454"/>
      <c r="BW106" s="4454"/>
      <c r="BX106" s="4453"/>
      <c r="BY106" s="4453"/>
      <c r="BZ106" s="3708">
        <f t="shared" si="37"/>
        <v>600</v>
      </c>
      <c r="CA106" s="4154">
        <f t="shared" si="38"/>
        <v>0</v>
      </c>
      <c r="CB106" s="4934"/>
      <c r="CC106" s="4934"/>
      <c r="CD106" s="4323"/>
      <c r="CE106" s="4323"/>
      <c r="CF106" s="4323"/>
    </row>
    <row r="107" s="4316" customFormat="1" ht="50" customHeight="1" spans="1:84">
      <c r="A107" s="4500">
        <v>45651</v>
      </c>
      <c r="B107" s="4501" t="s">
        <v>737</v>
      </c>
      <c r="C107" s="3708" t="s">
        <v>738</v>
      </c>
      <c r="D107" s="4502">
        <v>4500154604</v>
      </c>
      <c r="E107" s="3708">
        <v>61900884</v>
      </c>
      <c r="F107" s="4615" t="s">
        <v>802</v>
      </c>
      <c r="G107" s="3708" t="s">
        <v>327</v>
      </c>
      <c r="H107" s="3708" t="s">
        <v>327</v>
      </c>
      <c r="I107" s="4154" t="s">
        <v>328</v>
      </c>
      <c r="J107" s="4154">
        <v>468</v>
      </c>
      <c r="K107" s="4154">
        <v>0</v>
      </c>
      <c r="L107" s="4154">
        <v>12</v>
      </c>
      <c r="M107" s="4154">
        <f t="shared" si="19"/>
        <v>39</v>
      </c>
      <c r="N107" s="3707">
        <v>45721</v>
      </c>
      <c r="O107" s="3707">
        <v>45717</v>
      </c>
      <c r="P107" s="4154"/>
      <c r="Q107" s="4929" t="s">
        <v>82</v>
      </c>
      <c r="R107" s="4157"/>
      <c r="S107" s="4157"/>
      <c r="T107" s="4157"/>
      <c r="U107" s="3726" t="s">
        <v>803</v>
      </c>
      <c r="V107" s="3711" t="s">
        <v>804</v>
      </c>
      <c r="W107" s="3711"/>
      <c r="X107" s="3711" t="s">
        <v>805</v>
      </c>
      <c r="Y107" s="3711"/>
      <c r="Z107" s="3711" t="s">
        <v>806</v>
      </c>
      <c r="AA107" s="4154"/>
      <c r="AB107" s="3680" t="s">
        <v>807</v>
      </c>
      <c r="AC107" s="4154" t="s">
        <v>459</v>
      </c>
      <c r="AD107" s="4504">
        <v>2.209</v>
      </c>
      <c r="AE107" s="4154">
        <f>J107*AD107</f>
        <v>1033.812</v>
      </c>
      <c r="AF107" s="4505" t="s">
        <v>808</v>
      </c>
      <c r="AG107" s="3726"/>
      <c r="AH107" s="4422"/>
      <c r="AI107" s="3708"/>
      <c r="AJ107" s="4422"/>
      <c r="AK107" s="3708">
        <f>J107</f>
        <v>468</v>
      </c>
      <c r="AL107" s="3708"/>
      <c r="AM107" s="4154"/>
      <c r="AN107" s="907"/>
      <c r="AO107" s="1048">
        <f t="shared" si="39"/>
        <v>468</v>
      </c>
      <c r="AP107" s="1048"/>
      <c r="AQ107" s="907"/>
      <c r="AR107" s="907"/>
      <c r="AS107" s="1048">
        <f t="shared" si="46"/>
        <v>468</v>
      </c>
      <c r="AT107" s="1048"/>
      <c r="AU107" s="907"/>
      <c r="AV107" s="907"/>
      <c r="AW107" s="907"/>
      <c r="AX107" s="1048">
        <f>J107/6</f>
        <v>78</v>
      </c>
      <c r="AY107" s="907"/>
      <c r="AZ107" s="907"/>
      <c r="BA107" s="1048"/>
      <c r="BB107" s="1048"/>
      <c r="BC107" s="907"/>
      <c r="BD107" s="1048"/>
      <c r="BE107" s="1048"/>
      <c r="BF107" s="1048"/>
      <c r="BG107" s="1048"/>
      <c r="BH107" s="4622"/>
      <c r="BI107" s="4622"/>
      <c r="BJ107" s="1048"/>
      <c r="BK107" s="4415" t="s">
        <v>89</v>
      </c>
      <c r="BL107" s="4415">
        <f t="shared" si="49"/>
        <v>7.8</v>
      </c>
      <c r="BM107" s="4415">
        <f t="shared" si="40"/>
        <v>70.2</v>
      </c>
      <c r="BN107" s="4415">
        <f t="shared" si="41"/>
        <v>78</v>
      </c>
      <c r="BO107" s="4415">
        <f t="shared" si="42"/>
        <v>78</v>
      </c>
      <c r="BP107" s="4415">
        <f t="shared" si="43"/>
        <v>78</v>
      </c>
      <c r="BQ107" s="4414">
        <f t="shared" si="44"/>
        <v>78</v>
      </c>
      <c r="BR107" s="1048">
        <f t="shared" si="45"/>
        <v>78</v>
      </c>
      <c r="BS107" s="4384"/>
      <c r="BT107" s="911"/>
      <c r="BU107" s="911"/>
      <c r="BV107" s="911"/>
      <c r="BW107" s="911"/>
      <c r="BX107" s="910"/>
      <c r="BY107" s="910"/>
      <c r="BZ107" s="3708">
        <f t="shared" si="37"/>
        <v>468</v>
      </c>
      <c r="CA107" s="4154">
        <f t="shared" si="38"/>
        <v>0</v>
      </c>
      <c r="CB107" s="4462"/>
      <c r="CC107" s="4462"/>
      <c r="CD107" s="4323"/>
      <c r="CE107" s="4323"/>
      <c r="CF107" s="4323"/>
    </row>
    <row r="108" s="4316" customFormat="1" ht="50" customHeight="1" spans="1:84">
      <c r="A108" s="4500">
        <v>45630</v>
      </c>
      <c r="B108" s="3708" t="s">
        <v>809</v>
      </c>
      <c r="C108" s="3708" t="s">
        <v>738</v>
      </c>
      <c r="D108" s="4154">
        <v>4500153293</v>
      </c>
      <c r="E108" s="3708"/>
      <c r="F108" s="3708" t="s">
        <v>810</v>
      </c>
      <c r="G108" s="3708" t="s">
        <v>327</v>
      </c>
      <c r="H108" s="3708" t="s">
        <v>327</v>
      </c>
      <c r="I108" s="4154" t="s">
        <v>328</v>
      </c>
      <c r="J108" s="4154">
        <v>1092</v>
      </c>
      <c r="K108" s="4154">
        <v>0</v>
      </c>
      <c r="L108" s="4154">
        <v>12</v>
      </c>
      <c r="M108" s="4154">
        <f t="shared" si="19"/>
        <v>91</v>
      </c>
      <c r="N108" s="4503">
        <v>45723</v>
      </c>
      <c r="O108" s="4503">
        <v>45719</v>
      </c>
      <c r="P108" s="4154"/>
      <c r="Q108" s="4154" t="s">
        <v>82</v>
      </c>
      <c r="R108" s="4157"/>
      <c r="S108" s="4157"/>
      <c r="T108" s="4157"/>
      <c r="U108" s="3726" t="s">
        <v>778</v>
      </c>
      <c r="V108" s="3711" t="s">
        <v>619</v>
      </c>
      <c r="W108" s="3711"/>
      <c r="X108" s="3711" t="s">
        <v>811</v>
      </c>
      <c r="Y108" s="3711"/>
      <c r="Z108" s="3711"/>
      <c r="AA108" s="4154"/>
      <c r="AB108" s="3713" t="s">
        <v>812</v>
      </c>
      <c r="AC108" s="3711" t="s">
        <v>521</v>
      </c>
      <c r="AD108" s="4504">
        <v>2.2044</v>
      </c>
      <c r="AE108" s="4154">
        <f>J108*AD108</f>
        <v>2407.2048</v>
      </c>
      <c r="AF108" s="4505" t="s">
        <v>813</v>
      </c>
      <c r="AG108" s="3726"/>
      <c r="AH108" s="984"/>
      <c r="AI108" s="3708"/>
      <c r="AJ108" s="984"/>
      <c r="AK108" s="3708">
        <f>J108</f>
        <v>1092</v>
      </c>
      <c r="AL108" s="3708"/>
      <c r="AM108" s="4154"/>
      <c r="AN108" s="877"/>
      <c r="AO108" s="1048">
        <f t="shared" si="39"/>
        <v>1092</v>
      </c>
      <c r="AP108" s="4622"/>
      <c r="AQ108" s="877"/>
      <c r="AR108" s="877"/>
      <c r="AS108" s="1048">
        <f t="shared" si="46"/>
        <v>1092</v>
      </c>
      <c r="AT108" s="1048"/>
      <c r="AU108" s="877"/>
      <c r="AV108" s="4921"/>
      <c r="AW108" s="4921"/>
      <c r="AX108" s="1048">
        <f>J108/6</f>
        <v>182</v>
      </c>
      <c r="AY108" s="4921"/>
      <c r="AZ108" s="4921"/>
      <c r="BA108" s="1048"/>
      <c r="BB108" s="4622"/>
      <c r="BC108" s="4921"/>
      <c r="BD108" s="4622"/>
      <c r="BE108" s="4622"/>
      <c r="BF108" s="4622"/>
      <c r="BG108" s="4622"/>
      <c r="BH108" s="4622"/>
      <c r="BI108" s="4622"/>
      <c r="BJ108" s="1048"/>
      <c r="BK108" s="4415" t="s">
        <v>89</v>
      </c>
      <c r="BL108" s="4415">
        <f t="shared" si="49"/>
        <v>18.2</v>
      </c>
      <c r="BM108" s="4415">
        <f t="shared" si="40"/>
        <v>163.8</v>
      </c>
      <c r="BN108" s="4415">
        <f t="shared" si="41"/>
        <v>182</v>
      </c>
      <c r="BO108" s="4415">
        <f t="shared" si="42"/>
        <v>182</v>
      </c>
      <c r="BP108" s="4415">
        <f t="shared" si="43"/>
        <v>182</v>
      </c>
      <c r="BQ108" s="4414">
        <f t="shared" si="44"/>
        <v>182</v>
      </c>
      <c r="BR108" s="1048">
        <f t="shared" si="45"/>
        <v>182</v>
      </c>
      <c r="BS108" s="4384"/>
      <c r="BT108" s="992"/>
      <c r="BU108" s="992"/>
      <c r="BV108" s="992"/>
      <c r="BW108" s="992"/>
      <c r="BX108" s="991"/>
      <c r="BY108" s="991"/>
      <c r="BZ108" s="3708">
        <f t="shared" si="37"/>
        <v>1092</v>
      </c>
      <c r="CA108" s="4154">
        <f t="shared" si="38"/>
        <v>0</v>
      </c>
      <c r="CB108" s="4804"/>
      <c r="CC108" s="4804"/>
      <c r="CD108" s="4323"/>
      <c r="CE108" s="4323"/>
      <c r="CF108" s="4323"/>
    </row>
    <row r="109" s="4316" customFormat="1" ht="50" customHeight="1" spans="1:84">
      <c r="A109" s="4500">
        <v>45678</v>
      </c>
      <c r="B109" s="4501" t="s">
        <v>814</v>
      </c>
      <c r="C109" s="3708" t="s">
        <v>815</v>
      </c>
      <c r="D109" s="4502">
        <v>4500156297</v>
      </c>
      <c r="E109" s="3708"/>
      <c r="F109" s="4615" t="s">
        <v>816</v>
      </c>
      <c r="G109" s="3708" t="s">
        <v>327</v>
      </c>
      <c r="H109" s="3708" t="s">
        <v>327</v>
      </c>
      <c r="I109" s="4154" t="s">
        <v>328</v>
      </c>
      <c r="J109" s="4154">
        <v>504</v>
      </c>
      <c r="K109" s="4154">
        <v>0</v>
      </c>
      <c r="L109" s="4154">
        <v>12</v>
      </c>
      <c r="M109" s="4154">
        <f t="shared" si="19"/>
        <v>42</v>
      </c>
      <c r="N109" s="4503">
        <v>45717</v>
      </c>
      <c r="O109" s="4503">
        <v>45713</v>
      </c>
      <c r="P109" s="4154"/>
      <c r="Q109" s="4154" t="s">
        <v>82</v>
      </c>
      <c r="R109" s="4157"/>
      <c r="S109" s="4157"/>
      <c r="T109" s="4157"/>
      <c r="U109" s="3726" t="s">
        <v>817</v>
      </c>
      <c r="V109" s="3711" t="s">
        <v>818</v>
      </c>
      <c r="W109" s="3711"/>
      <c r="X109" s="3711" t="s">
        <v>819</v>
      </c>
      <c r="Y109" s="3711"/>
      <c r="Z109" s="3711"/>
      <c r="AA109" s="4154"/>
      <c r="AB109" s="3680" t="s">
        <v>820</v>
      </c>
      <c r="AC109" s="4154" t="s">
        <v>596</v>
      </c>
      <c r="AD109" s="4504">
        <v>2.1425</v>
      </c>
      <c r="AE109" s="4154">
        <f>J109*AD109</f>
        <v>1079.82</v>
      </c>
      <c r="AF109" s="4505" t="s">
        <v>821</v>
      </c>
      <c r="AG109" s="3726"/>
      <c r="AH109" s="4448"/>
      <c r="AI109" s="3708"/>
      <c r="AJ109" s="4448"/>
      <c r="AK109" s="3708">
        <f>J109</f>
        <v>504</v>
      </c>
      <c r="AL109" s="3708"/>
      <c r="AM109" s="4154"/>
      <c r="AN109" s="4411"/>
      <c r="AO109" s="1048">
        <f t="shared" si="39"/>
        <v>504</v>
      </c>
      <c r="AP109" s="1048"/>
      <c r="AQ109" s="4411"/>
      <c r="AR109" s="4411"/>
      <c r="AS109" s="1048">
        <f t="shared" si="46"/>
        <v>504</v>
      </c>
      <c r="AT109" s="1048"/>
      <c r="AU109" s="4411"/>
      <c r="AV109" s="4411"/>
      <c r="AW109" s="4411"/>
      <c r="AX109" s="1048">
        <f>J109/6</f>
        <v>84</v>
      </c>
      <c r="AY109" s="4411"/>
      <c r="AZ109" s="4411"/>
      <c r="BA109" s="1048"/>
      <c r="BB109" s="1048"/>
      <c r="BC109" s="4411"/>
      <c r="BD109" s="1048"/>
      <c r="BE109" s="1048"/>
      <c r="BF109" s="1048"/>
      <c r="BG109" s="1048"/>
      <c r="BH109" s="4622"/>
      <c r="BI109" s="4622"/>
      <c r="BJ109" s="1048"/>
      <c r="BK109" s="4415" t="s">
        <v>89</v>
      </c>
      <c r="BL109" s="4415">
        <f t="shared" si="49"/>
        <v>8.4</v>
      </c>
      <c r="BM109" s="4415">
        <f t="shared" si="40"/>
        <v>75.6</v>
      </c>
      <c r="BN109" s="4415">
        <f t="shared" si="41"/>
        <v>84</v>
      </c>
      <c r="BO109" s="4415">
        <f t="shared" si="42"/>
        <v>84</v>
      </c>
      <c r="BP109" s="4415">
        <f t="shared" si="43"/>
        <v>84</v>
      </c>
      <c r="BQ109" s="4414">
        <f t="shared" si="44"/>
        <v>84</v>
      </c>
      <c r="BR109" s="1048">
        <f t="shared" si="45"/>
        <v>84</v>
      </c>
      <c r="BS109" s="4384"/>
      <c r="BT109" s="4454"/>
      <c r="BU109" s="4454"/>
      <c r="BV109" s="4454"/>
      <c r="BW109" s="4454"/>
      <c r="BX109" s="4453"/>
      <c r="BY109" s="4453"/>
      <c r="BZ109" s="3708">
        <f t="shared" si="37"/>
        <v>504</v>
      </c>
      <c r="CA109" s="4154">
        <f t="shared" si="38"/>
        <v>0</v>
      </c>
      <c r="CB109" s="4458"/>
      <c r="CC109" s="4458"/>
      <c r="CD109" s="4323"/>
      <c r="CE109" s="4323"/>
      <c r="CF109" s="4323"/>
    </row>
    <row r="110" s="4316" customFormat="1" ht="50" customHeight="1" spans="1:84">
      <c r="A110" s="4500">
        <v>45657</v>
      </c>
      <c r="B110" s="3708" t="s">
        <v>607</v>
      </c>
      <c r="C110" s="3708" t="s">
        <v>91</v>
      </c>
      <c r="D110" s="4154">
        <v>4500154994</v>
      </c>
      <c r="E110" s="3708" t="s">
        <v>822</v>
      </c>
      <c r="F110" s="3708" t="s">
        <v>823</v>
      </c>
      <c r="G110" s="3708" t="s">
        <v>333</v>
      </c>
      <c r="H110" s="3708" t="s">
        <v>610</v>
      </c>
      <c r="I110" s="4154" t="s">
        <v>611</v>
      </c>
      <c r="J110" s="4154">
        <v>1200</v>
      </c>
      <c r="K110" s="4154">
        <v>0</v>
      </c>
      <c r="L110" s="4154">
        <v>12</v>
      </c>
      <c r="M110" s="4154">
        <f t="shared" si="19"/>
        <v>100</v>
      </c>
      <c r="N110" s="4503">
        <v>45721</v>
      </c>
      <c r="O110" s="4503">
        <v>45717</v>
      </c>
      <c r="P110" s="4154"/>
      <c r="Q110" s="4154" t="s">
        <v>82</v>
      </c>
      <c r="R110" s="4157"/>
      <c r="S110" s="4157"/>
      <c r="T110" s="4157"/>
      <c r="U110" s="3726" t="s">
        <v>769</v>
      </c>
      <c r="V110" s="3711" t="s">
        <v>824</v>
      </c>
      <c r="W110" s="3711"/>
      <c r="X110" s="3711" t="s">
        <v>825</v>
      </c>
      <c r="Y110" s="3711"/>
      <c r="Z110" s="3711"/>
      <c r="AA110" s="4154"/>
      <c r="AB110" s="3713" t="s">
        <v>826</v>
      </c>
      <c r="AC110" s="3711" t="s">
        <v>614</v>
      </c>
      <c r="AD110" s="4154">
        <v>51.1686</v>
      </c>
      <c r="AE110" s="4154">
        <f>M110*AD110</f>
        <v>5116.86</v>
      </c>
      <c r="AF110" s="3726" t="s">
        <v>827</v>
      </c>
      <c r="AG110" s="3726"/>
      <c r="AH110" s="4448"/>
      <c r="AI110" s="3708">
        <f>J110</f>
        <v>1200</v>
      </c>
      <c r="AJ110" s="4448"/>
      <c r="AK110" s="3708"/>
      <c r="AL110" s="3708"/>
      <c r="AM110" s="4154"/>
      <c r="AN110" s="4411"/>
      <c r="AO110" s="1048">
        <f t="shared" si="39"/>
        <v>1200</v>
      </c>
      <c r="AP110" s="4622"/>
      <c r="AQ110" s="4411"/>
      <c r="AR110" s="4411"/>
      <c r="AS110" s="1048">
        <f t="shared" si="46"/>
        <v>1200</v>
      </c>
      <c r="AT110" s="1048"/>
      <c r="AU110" s="4411"/>
      <c r="AV110" s="4933"/>
      <c r="AW110" s="4933"/>
      <c r="AX110" s="1048"/>
      <c r="AY110" s="4933"/>
      <c r="AZ110" s="4933"/>
      <c r="BA110" s="1048"/>
      <c r="BB110" s="4622"/>
      <c r="BC110" s="4933"/>
      <c r="BD110" s="4622"/>
      <c r="BE110" s="4622"/>
      <c r="BF110" s="4622"/>
      <c r="BG110" s="4622"/>
      <c r="BH110" s="4622"/>
      <c r="BI110" s="4622"/>
      <c r="BJ110" s="1048"/>
      <c r="BK110" s="4415" t="s">
        <v>89</v>
      </c>
      <c r="BL110" s="4415">
        <f t="shared" si="49"/>
        <v>20</v>
      </c>
      <c r="BM110" s="4415">
        <f t="shared" si="40"/>
        <v>180</v>
      </c>
      <c r="BN110" s="4415">
        <f t="shared" si="41"/>
        <v>200</v>
      </c>
      <c r="BO110" s="4415">
        <f t="shared" si="42"/>
        <v>200</v>
      </c>
      <c r="BP110" s="4415">
        <f t="shared" si="43"/>
        <v>200</v>
      </c>
      <c r="BQ110" s="4414">
        <f t="shared" si="44"/>
        <v>200</v>
      </c>
      <c r="BR110" s="4414">
        <f t="shared" si="45"/>
        <v>200</v>
      </c>
      <c r="BS110" s="4384"/>
      <c r="BT110" s="4454"/>
      <c r="BU110" s="4454"/>
      <c r="BV110" s="4454"/>
      <c r="BW110" s="4454"/>
      <c r="BX110" s="4453"/>
      <c r="BY110" s="4453"/>
      <c r="BZ110" s="3708">
        <f t="shared" si="37"/>
        <v>1200</v>
      </c>
      <c r="CA110" s="4154">
        <f t="shared" si="38"/>
        <v>0</v>
      </c>
      <c r="CB110" s="4934"/>
      <c r="CC110" s="4934"/>
      <c r="CD110" s="4323"/>
      <c r="CE110" s="4323"/>
      <c r="CF110" s="4323"/>
    </row>
    <row r="111" s="4316" customFormat="1" ht="50" customHeight="1" spans="1:84">
      <c r="A111" s="4500">
        <v>45663</v>
      </c>
      <c r="B111" s="3708" t="s">
        <v>452</v>
      </c>
      <c r="C111" s="3708" t="s">
        <v>453</v>
      </c>
      <c r="D111" s="4154">
        <v>4500155330</v>
      </c>
      <c r="E111" s="3708"/>
      <c r="F111" s="3708" t="s">
        <v>828</v>
      </c>
      <c r="G111" s="3708" t="s">
        <v>360</v>
      </c>
      <c r="H111" s="3708" t="s">
        <v>327</v>
      </c>
      <c r="I111" s="4154" t="s">
        <v>328</v>
      </c>
      <c r="J111" s="4154">
        <v>7500</v>
      </c>
      <c r="K111" s="4154">
        <v>0</v>
      </c>
      <c r="L111" s="4154">
        <v>12</v>
      </c>
      <c r="M111" s="4154">
        <f t="shared" ref="M111:M135" si="50">J111/L111</f>
        <v>625</v>
      </c>
      <c r="N111" s="4503">
        <v>45723</v>
      </c>
      <c r="O111" s="4503">
        <v>45719</v>
      </c>
      <c r="P111" s="4154"/>
      <c r="Q111" s="4154" t="s">
        <v>82</v>
      </c>
      <c r="R111" s="4157"/>
      <c r="S111" s="4157"/>
      <c r="T111" s="4157"/>
      <c r="U111" s="3726" t="s">
        <v>778</v>
      </c>
      <c r="V111" s="3711" t="s">
        <v>829</v>
      </c>
      <c r="W111" s="3711"/>
      <c r="X111" s="3711" t="s">
        <v>830</v>
      </c>
      <c r="Y111" s="3711"/>
      <c r="Z111" s="3711"/>
      <c r="AA111" s="4154"/>
      <c r="AB111" s="3713" t="s">
        <v>831</v>
      </c>
      <c r="AC111" s="3711" t="s">
        <v>459</v>
      </c>
      <c r="AD111" s="4504">
        <v>2.1849</v>
      </c>
      <c r="AE111" s="4154">
        <f t="shared" ref="AE111:AE119" si="51">J111*AD111</f>
        <v>16386.75</v>
      </c>
      <c r="AF111" s="3726" t="s">
        <v>832</v>
      </c>
      <c r="AG111" s="3726"/>
      <c r="AH111" s="4448"/>
      <c r="AI111" s="3708">
        <f>J111</f>
        <v>7500</v>
      </c>
      <c r="AJ111" s="4448"/>
      <c r="AK111" s="3708"/>
      <c r="AL111" s="3708"/>
      <c r="AM111" s="4154"/>
      <c r="AN111" s="4411"/>
      <c r="AO111" s="1048">
        <f t="shared" si="39"/>
        <v>7500</v>
      </c>
      <c r="AP111" s="4622"/>
      <c r="AQ111" s="4411"/>
      <c r="AR111" s="4411"/>
      <c r="AS111" s="1048">
        <f t="shared" si="46"/>
        <v>7500</v>
      </c>
      <c r="AT111" s="1048"/>
      <c r="AU111" s="4411"/>
      <c r="AV111" s="4933"/>
      <c r="AW111" s="4933"/>
      <c r="AX111" s="1048">
        <f t="shared" ref="AX111:AX116" si="52">J111/6</f>
        <v>1250</v>
      </c>
      <c r="AY111" s="4933"/>
      <c r="AZ111" s="4933"/>
      <c r="BA111" s="1048"/>
      <c r="BB111" s="4622"/>
      <c r="BC111" s="4933"/>
      <c r="BD111" s="4622"/>
      <c r="BE111" s="4622"/>
      <c r="BF111" s="4622"/>
      <c r="BG111" s="4622"/>
      <c r="BH111" s="4622"/>
      <c r="BI111" s="4622"/>
      <c r="BJ111" s="1048"/>
      <c r="BK111" s="4415" t="s">
        <v>89</v>
      </c>
      <c r="BL111" s="4415">
        <f t="shared" si="49"/>
        <v>125</v>
      </c>
      <c r="BM111" s="4415">
        <f t="shared" si="40"/>
        <v>1125</v>
      </c>
      <c r="BN111" s="4415">
        <f t="shared" si="41"/>
        <v>1250</v>
      </c>
      <c r="BO111" s="4415">
        <f t="shared" si="42"/>
        <v>1250</v>
      </c>
      <c r="BP111" s="4415">
        <f t="shared" si="43"/>
        <v>1250</v>
      </c>
      <c r="BQ111" s="4414">
        <f t="shared" si="44"/>
        <v>1250</v>
      </c>
      <c r="BR111" s="1048">
        <f t="shared" si="45"/>
        <v>1250</v>
      </c>
      <c r="BS111" s="4384"/>
      <c r="BT111" s="4454"/>
      <c r="BU111" s="4454"/>
      <c r="BV111" s="4454"/>
      <c r="BW111" s="4454"/>
      <c r="BX111" s="4453"/>
      <c r="BY111" s="4453"/>
      <c r="BZ111" s="3708">
        <f t="shared" si="37"/>
        <v>7500</v>
      </c>
      <c r="CA111" s="4154">
        <f t="shared" si="38"/>
        <v>0</v>
      </c>
      <c r="CB111" s="4934"/>
      <c r="CC111" s="4934"/>
      <c r="CD111" s="4323"/>
      <c r="CE111" s="4323"/>
      <c r="CF111" s="4323"/>
    </row>
    <row r="112" s="4316" customFormat="1" ht="50" customHeight="1" spans="1:84">
      <c r="A112" s="4500">
        <v>45677</v>
      </c>
      <c r="B112" s="3708" t="s">
        <v>505</v>
      </c>
      <c r="C112" s="3708" t="s">
        <v>506</v>
      </c>
      <c r="D112" s="4154">
        <v>4500156224</v>
      </c>
      <c r="E112" s="3708">
        <v>20611030</v>
      </c>
      <c r="F112" s="3708" t="s">
        <v>833</v>
      </c>
      <c r="G112" s="3708" t="s">
        <v>508</v>
      </c>
      <c r="H112" s="3708" t="s">
        <v>508</v>
      </c>
      <c r="I112" s="3708" t="s">
        <v>328</v>
      </c>
      <c r="J112" s="4154">
        <v>1902</v>
      </c>
      <c r="K112" s="4154">
        <v>0</v>
      </c>
      <c r="L112" s="4154">
        <v>6</v>
      </c>
      <c r="M112" s="4154">
        <f t="shared" si="50"/>
        <v>317</v>
      </c>
      <c r="N112" s="4503">
        <v>45730</v>
      </c>
      <c r="O112" s="4503">
        <v>45726</v>
      </c>
      <c r="P112" s="4154"/>
      <c r="Q112" s="4154" t="s">
        <v>82</v>
      </c>
      <c r="R112" s="4157"/>
      <c r="S112" s="4157"/>
      <c r="T112" s="4157"/>
      <c r="U112" s="2934" t="s">
        <v>834</v>
      </c>
      <c r="V112" s="3711" t="s">
        <v>835</v>
      </c>
      <c r="W112" s="3711"/>
      <c r="X112" s="3711" t="s">
        <v>836</v>
      </c>
      <c r="Y112" s="3711"/>
      <c r="Z112" s="3711"/>
      <c r="AA112" s="4154"/>
      <c r="AB112" s="3713" t="s">
        <v>837</v>
      </c>
      <c r="AC112" s="3711" t="s">
        <v>513</v>
      </c>
      <c r="AD112" s="4504">
        <v>2.4032</v>
      </c>
      <c r="AE112" s="4154">
        <f t="shared" si="51"/>
        <v>4570.8864</v>
      </c>
      <c r="AF112" s="3726" t="s">
        <v>838</v>
      </c>
      <c r="AG112" s="3726"/>
      <c r="AH112" s="984"/>
      <c r="AI112" s="3708">
        <f>J112</f>
        <v>1902</v>
      </c>
      <c r="AJ112" s="984"/>
      <c r="AK112" s="3708"/>
      <c r="AL112" s="3708"/>
      <c r="AM112" s="4154"/>
      <c r="AN112" s="877"/>
      <c r="AO112" s="1048">
        <f t="shared" si="39"/>
        <v>1902</v>
      </c>
      <c r="AP112" s="4622"/>
      <c r="AQ112" s="877"/>
      <c r="AR112" s="877"/>
      <c r="AS112" s="1048">
        <f t="shared" si="46"/>
        <v>1902</v>
      </c>
      <c r="AT112" s="1048"/>
      <c r="AU112" s="877"/>
      <c r="AV112" s="4921"/>
      <c r="AW112" s="4921"/>
      <c r="AX112" s="1048">
        <f t="shared" si="52"/>
        <v>317</v>
      </c>
      <c r="AY112" s="4921"/>
      <c r="AZ112" s="4921"/>
      <c r="BA112" s="1048"/>
      <c r="BB112" s="4622"/>
      <c r="BC112" s="4921"/>
      <c r="BD112" s="4622"/>
      <c r="BE112" s="4622"/>
      <c r="BF112" s="4622"/>
      <c r="BG112" s="4622"/>
      <c r="BH112" s="4622"/>
      <c r="BI112" s="4622"/>
      <c r="BJ112" s="1048"/>
      <c r="BK112" s="4415" t="s">
        <v>89</v>
      </c>
      <c r="BL112" s="4415">
        <f t="shared" si="49"/>
        <v>31.7</v>
      </c>
      <c r="BM112" s="4415">
        <f t="shared" si="40"/>
        <v>285.3</v>
      </c>
      <c r="BN112" s="4415">
        <f t="shared" si="41"/>
        <v>317</v>
      </c>
      <c r="BO112" s="4415">
        <f t="shared" si="42"/>
        <v>317</v>
      </c>
      <c r="BP112" s="4415">
        <f t="shared" si="43"/>
        <v>317</v>
      </c>
      <c r="BQ112" s="4414">
        <f t="shared" si="44"/>
        <v>317</v>
      </c>
      <c r="BR112" s="1048">
        <f t="shared" si="45"/>
        <v>317</v>
      </c>
      <c r="BS112" s="4384"/>
      <c r="BT112" s="992"/>
      <c r="BU112" s="992"/>
      <c r="BV112" s="992"/>
      <c r="BW112" s="992"/>
      <c r="BX112" s="991"/>
      <c r="BY112" s="991"/>
      <c r="BZ112" s="3708">
        <f t="shared" si="37"/>
        <v>1902</v>
      </c>
      <c r="CA112" s="4154">
        <f t="shared" si="38"/>
        <v>0</v>
      </c>
      <c r="CB112" s="4804"/>
      <c r="CC112" s="4804"/>
      <c r="CD112" s="4323"/>
      <c r="CE112" s="4323"/>
      <c r="CF112" s="4323"/>
    </row>
    <row r="113" s="4316" customFormat="1" ht="50" customHeight="1" spans="1:84">
      <c r="A113" s="4500">
        <v>45677</v>
      </c>
      <c r="B113" s="3708" t="s">
        <v>839</v>
      </c>
      <c r="C113" s="3708" t="s">
        <v>840</v>
      </c>
      <c r="D113" s="4154">
        <v>4500156240</v>
      </c>
      <c r="E113" s="3708">
        <v>20611031</v>
      </c>
      <c r="F113" s="3708" t="s">
        <v>841</v>
      </c>
      <c r="G113" s="3708" t="s">
        <v>508</v>
      </c>
      <c r="H113" s="3708" t="s">
        <v>508</v>
      </c>
      <c r="I113" s="3708" t="s">
        <v>328</v>
      </c>
      <c r="J113" s="4154">
        <v>126</v>
      </c>
      <c r="K113" s="4154">
        <v>0</v>
      </c>
      <c r="L113" s="4154">
        <v>6</v>
      </c>
      <c r="M113" s="4154">
        <f t="shared" si="50"/>
        <v>21</v>
      </c>
      <c r="N113" s="4503">
        <v>45730</v>
      </c>
      <c r="O113" s="4503">
        <v>45726</v>
      </c>
      <c r="P113" s="4154"/>
      <c r="Q113" s="4154" t="s">
        <v>82</v>
      </c>
      <c r="R113" s="4157"/>
      <c r="S113" s="4157"/>
      <c r="T113" s="4157"/>
      <c r="U113" s="3726"/>
      <c r="V113" s="3711" t="s">
        <v>835</v>
      </c>
      <c r="W113" s="3711"/>
      <c r="X113" s="3711" t="s">
        <v>836</v>
      </c>
      <c r="Y113" s="3711"/>
      <c r="Z113" s="3711"/>
      <c r="AA113" s="4154"/>
      <c r="AB113" s="3713" t="s">
        <v>842</v>
      </c>
      <c r="AC113" s="3711" t="s">
        <v>513</v>
      </c>
      <c r="AD113" s="4504">
        <v>2.4079</v>
      </c>
      <c r="AE113" s="4154">
        <f t="shared" si="51"/>
        <v>303.3954</v>
      </c>
      <c r="AF113" s="3726" t="s">
        <v>843</v>
      </c>
      <c r="AG113" s="3726"/>
      <c r="AH113" s="984"/>
      <c r="AI113" s="3708">
        <f>J113</f>
        <v>126</v>
      </c>
      <c r="AJ113" s="984"/>
      <c r="AK113" s="3708"/>
      <c r="AL113" s="3708"/>
      <c r="AM113" s="4154"/>
      <c r="AN113" s="877"/>
      <c r="AO113" s="1048">
        <f t="shared" si="39"/>
        <v>126</v>
      </c>
      <c r="AP113" s="4622"/>
      <c r="AQ113" s="877"/>
      <c r="AR113" s="877"/>
      <c r="AS113" s="1048">
        <f t="shared" si="46"/>
        <v>126</v>
      </c>
      <c r="AT113" s="1048"/>
      <c r="AU113" s="877"/>
      <c r="AV113" s="4921"/>
      <c r="AW113" s="4921"/>
      <c r="AX113" s="1048">
        <f t="shared" si="52"/>
        <v>21</v>
      </c>
      <c r="AY113" s="4921"/>
      <c r="AZ113" s="4921"/>
      <c r="BA113" s="1048"/>
      <c r="BB113" s="4622"/>
      <c r="BC113" s="4921"/>
      <c r="BD113" s="4622"/>
      <c r="BE113" s="4622"/>
      <c r="BF113" s="4622"/>
      <c r="BG113" s="4622"/>
      <c r="BH113" s="4622"/>
      <c r="BI113" s="4622"/>
      <c r="BJ113" s="1048"/>
      <c r="BK113" s="4415" t="s">
        <v>89</v>
      </c>
      <c r="BL113" s="4415">
        <f t="shared" si="49"/>
        <v>2.1</v>
      </c>
      <c r="BM113" s="4415">
        <f t="shared" si="40"/>
        <v>18.9</v>
      </c>
      <c r="BN113" s="4415">
        <f t="shared" si="41"/>
        <v>21</v>
      </c>
      <c r="BO113" s="4415">
        <f t="shared" si="42"/>
        <v>21</v>
      </c>
      <c r="BP113" s="4415">
        <f t="shared" si="43"/>
        <v>21</v>
      </c>
      <c r="BQ113" s="4414">
        <f t="shared" si="44"/>
        <v>21</v>
      </c>
      <c r="BR113" s="1048">
        <f t="shared" si="45"/>
        <v>21</v>
      </c>
      <c r="BS113" s="4384"/>
      <c r="BT113" s="992"/>
      <c r="BU113" s="992"/>
      <c r="BV113" s="992"/>
      <c r="BW113" s="992"/>
      <c r="BX113" s="991"/>
      <c r="BY113" s="991"/>
      <c r="BZ113" s="3708">
        <f t="shared" si="37"/>
        <v>126</v>
      </c>
      <c r="CA113" s="4154">
        <f t="shared" si="38"/>
        <v>0</v>
      </c>
      <c r="CB113" s="4804"/>
      <c r="CC113" s="4804"/>
      <c r="CD113" s="4323"/>
      <c r="CE113" s="4323"/>
      <c r="CF113" s="4323"/>
    </row>
    <row r="114" s="4316" customFormat="1" ht="50" customHeight="1" spans="1:84">
      <c r="A114" s="4500">
        <v>45651</v>
      </c>
      <c r="B114" s="3708" t="s">
        <v>737</v>
      </c>
      <c r="C114" s="3708" t="s">
        <v>738</v>
      </c>
      <c r="D114" s="4154">
        <v>4500154624</v>
      </c>
      <c r="E114" s="3708">
        <v>61900885</v>
      </c>
      <c r="F114" s="3708" t="s">
        <v>844</v>
      </c>
      <c r="G114" s="3708" t="s">
        <v>327</v>
      </c>
      <c r="H114" s="3708" t="s">
        <v>327</v>
      </c>
      <c r="I114" s="4154" t="s">
        <v>328</v>
      </c>
      <c r="J114" s="4154">
        <v>468</v>
      </c>
      <c r="K114" s="4154">
        <v>0</v>
      </c>
      <c r="L114" s="4154">
        <v>12</v>
      </c>
      <c r="M114" s="4154">
        <f t="shared" si="50"/>
        <v>39</v>
      </c>
      <c r="N114" s="4503">
        <v>45730</v>
      </c>
      <c r="O114" s="4503">
        <v>45726</v>
      </c>
      <c r="P114" s="4154"/>
      <c r="Q114" s="4154" t="s">
        <v>82</v>
      </c>
      <c r="R114" s="4157"/>
      <c r="S114" s="4157"/>
      <c r="T114" s="4157"/>
      <c r="U114" s="3726" t="s">
        <v>845</v>
      </c>
      <c r="V114" s="3711" t="s">
        <v>846</v>
      </c>
      <c r="W114" s="3711"/>
      <c r="X114" s="3711" t="s">
        <v>805</v>
      </c>
      <c r="Y114" s="3711"/>
      <c r="Z114" s="3711" t="s">
        <v>847</v>
      </c>
      <c r="AA114" s="4154"/>
      <c r="AB114" s="3713" t="s">
        <v>807</v>
      </c>
      <c r="AC114" s="3711" t="s">
        <v>459</v>
      </c>
      <c r="AD114" s="4504">
        <v>2.209</v>
      </c>
      <c r="AE114" s="4154">
        <f t="shared" si="51"/>
        <v>1033.812</v>
      </c>
      <c r="AF114" s="3726" t="s">
        <v>848</v>
      </c>
      <c r="AG114" s="3726"/>
      <c r="AH114" s="984"/>
      <c r="AI114" s="3708"/>
      <c r="AJ114" s="984"/>
      <c r="AK114" s="3708">
        <f>J114</f>
        <v>468</v>
      </c>
      <c r="AL114" s="3708"/>
      <c r="AM114" s="4154"/>
      <c r="AN114" s="877"/>
      <c r="AO114" s="1048">
        <f t="shared" si="39"/>
        <v>468</v>
      </c>
      <c r="AP114" s="4622"/>
      <c r="AQ114" s="877"/>
      <c r="AR114" s="877"/>
      <c r="AS114" s="1048">
        <f t="shared" si="46"/>
        <v>468</v>
      </c>
      <c r="AT114" s="1048"/>
      <c r="AU114" s="877"/>
      <c r="AV114" s="4921"/>
      <c r="AW114" s="4921"/>
      <c r="AX114" s="1048">
        <f t="shared" si="52"/>
        <v>78</v>
      </c>
      <c r="AY114" s="4921"/>
      <c r="AZ114" s="4921"/>
      <c r="BA114" s="1048"/>
      <c r="BB114" s="4622"/>
      <c r="BC114" s="4921"/>
      <c r="BD114" s="4622"/>
      <c r="BE114" s="4622"/>
      <c r="BF114" s="4622"/>
      <c r="BG114" s="4622"/>
      <c r="BH114" s="4622"/>
      <c r="BI114" s="4622"/>
      <c r="BJ114" s="1048"/>
      <c r="BK114" s="4415" t="s">
        <v>89</v>
      </c>
      <c r="BL114" s="4415">
        <f t="shared" si="49"/>
        <v>7.8</v>
      </c>
      <c r="BM114" s="4415">
        <f t="shared" si="40"/>
        <v>70.2</v>
      </c>
      <c r="BN114" s="4415">
        <f t="shared" si="41"/>
        <v>78</v>
      </c>
      <c r="BO114" s="4415">
        <f t="shared" si="42"/>
        <v>78</v>
      </c>
      <c r="BP114" s="4415">
        <f t="shared" si="43"/>
        <v>78</v>
      </c>
      <c r="BQ114" s="4414">
        <f t="shared" si="44"/>
        <v>78</v>
      </c>
      <c r="BR114" s="1048">
        <f t="shared" si="45"/>
        <v>78</v>
      </c>
      <c r="BS114" s="4384"/>
      <c r="BT114" s="992"/>
      <c r="BU114" s="992"/>
      <c r="BV114" s="992"/>
      <c r="BW114" s="992"/>
      <c r="BX114" s="991"/>
      <c r="BY114" s="991"/>
      <c r="BZ114" s="3708">
        <f t="shared" si="37"/>
        <v>468</v>
      </c>
      <c r="CA114" s="4154">
        <f t="shared" si="38"/>
        <v>0</v>
      </c>
      <c r="CB114" s="4804"/>
      <c r="CC114" s="4804"/>
      <c r="CD114" s="4323"/>
      <c r="CE114" s="4323"/>
      <c r="CF114" s="4323"/>
    </row>
    <row r="115" s="4316" customFormat="1" ht="50" customHeight="1" spans="1:84">
      <c r="A115" s="4500">
        <v>45695</v>
      </c>
      <c r="B115" s="3708" t="s">
        <v>849</v>
      </c>
      <c r="C115" s="3708" t="s">
        <v>850</v>
      </c>
      <c r="D115" s="4154">
        <v>4500156904</v>
      </c>
      <c r="E115" s="3708" t="s">
        <v>851</v>
      </c>
      <c r="F115" s="3708" t="s">
        <v>852</v>
      </c>
      <c r="G115" s="3708" t="s">
        <v>360</v>
      </c>
      <c r="H115" s="3708" t="s">
        <v>327</v>
      </c>
      <c r="I115" s="4154" t="s">
        <v>328</v>
      </c>
      <c r="J115" s="4154">
        <v>1500</v>
      </c>
      <c r="K115" s="4154">
        <v>0</v>
      </c>
      <c r="L115" s="4154">
        <v>12</v>
      </c>
      <c r="M115" s="4154">
        <f t="shared" si="50"/>
        <v>125</v>
      </c>
      <c r="N115" s="4503">
        <v>45733</v>
      </c>
      <c r="O115" s="4503">
        <v>45729</v>
      </c>
      <c r="P115" s="4154"/>
      <c r="Q115" s="4154" t="s">
        <v>82</v>
      </c>
      <c r="R115" s="4157"/>
      <c r="S115" s="4157"/>
      <c r="T115" s="4157"/>
      <c r="U115" s="3726" t="s">
        <v>853</v>
      </c>
      <c r="V115" s="3711" t="s">
        <v>804</v>
      </c>
      <c r="W115" s="3711"/>
      <c r="X115" s="3711" t="s">
        <v>854</v>
      </c>
      <c r="Y115" s="3711"/>
      <c r="Z115" s="3711"/>
      <c r="AA115" s="4154"/>
      <c r="AB115" s="3713" t="s">
        <v>855</v>
      </c>
      <c r="AC115" s="3711" t="s">
        <v>448</v>
      </c>
      <c r="AD115" s="4504">
        <v>2.1378</v>
      </c>
      <c r="AE115" s="4154">
        <f t="shared" si="51"/>
        <v>3206.7</v>
      </c>
      <c r="AF115" s="3726" t="s">
        <v>856</v>
      </c>
      <c r="AG115" s="3726"/>
      <c r="AH115" s="4448"/>
      <c r="AI115" s="3708">
        <f t="shared" ref="AI115:AI130" si="53">J115</f>
        <v>1500</v>
      </c>
      <c r="AJ115" s="4448"/>
      <c r="AK115" s="3708"/>
      <c r="AL115" s="3708"/>
      <c r="AM115" s="4154"/>
      <c r="AN115" s="4411"/>
      <c r="AO115" s="1048">
        <f t="shared" si="39"/>
        <v>1500</v>
      </c>
      <c r="AP115" s="4622"/>
      <c r="AQ115" s="4411"/>
      <c r="AR115" s="4411"/>
      <c r="AS115" s="1048">
        <f t="shared" si="46"/>
        <v>1500</v>
      </c>
      <c r="AT115" s="1048"/>
      <c r="AU115" s="4411"/>
      <c r="AV115" s="4933"/>
      <c r="AW115" s="4933"/>
      <c r="AX115" s="1048">
        <f t="shared" si="52"/>
        <v>250</v>
      </c>
      <c r="AY115" s="4933"/>
      <c r="AZ115" s="4933"/>
      <c r="BA115" s="1048"/>
      <c r="BB115" s="4622"/>
      <c r="BC115" s="4933"/>
      <c r="BD115" s="4622"/>
      <c r="BE115" s="4622"/>
      <c r="BF115" s="4622"/>
      <c r="BG115" s="4622"/>
      <c r="BH115" s="4622"/>
      <c r="BI115" s="4622"/>
      <c r="BJ115" s="1048"/>
      <c r="BK115" s="4415" t="s">
        <v>89</v>
      </c>
      <c r="BL115" s="4415">
        <f t="shared" si="49"/>
        <v>25</v>
      </c>
      <c r="BM115" s="4415">
        <f t="shared" si="40"/>
        <v>225</v>
      </c>
      <c r="BN115" s="4415">
        <f t="shared" si="41"/>
        <v>250</v>
      </c>
      <c r="BO115" s="4415">
        <f t="shared" si="42"/>
        <v>250</v>
      </c>
      <c r="BP115" s="4415">
        <f t="shared" si="43"/>
        <v>250</v>
      </c>
      <c r="BQ115" s="4414">
        <f t="shared" si="44"/>
        <v>250</v>
      </c>
      <c r="BR115" s="1048">
        <f t="shared" si="45"/>
        <v>250</v>
      </c>
      <c r="BS115" s="4384"/>
      <c r="BT115" s="4454"/>
      <c r="BU115" s="4454"/>
      <c r="BV115" s="4454"/>
      <c r="BW115" s="4454"/>
      <c r="BX115" s="4453"/>
      <c r="BY115" s="4453"/>
      <c r="BZ115" s="3708">
        <f t="shared" si="37"/>
        <v>1500</v>
      </c>
      <c r="CA115" s="4154">
        <f t="shared" si="38"/>
        <v>0</v>
      </c>
      <c r="CB115" s="4934"/>
      <c r="CC115" s="4934"/>
      <c r="CD115" s="4323"/>
      <c r="CE115" s="4323"/>
      <c r="CF115" s="4323"/>
    </row>
    <row r="116" s="4316" customFormat="1" ht="50" customHeight="1" spans="1:84">
      <c r="A116" s="4500">
        <v>45694</v>
      </c>
      <c r="B116" s="3708" t="s">
        <v>857</v>
      </c>
      <c r="C116" s="3708" t="s">
        <v>858</v>
      </c>
      <c r="D116" s="4154">
        <v>4500156829</v>
      </c>
      <c r="E116" s="3708"/>
      <c r="F116" s="3708" t="s">
        <v>859</v>
      </c>
      <c r="G116" s="3708" t="s">
        <v>360</v>
      </c>
      <c r="H116" s="4593" t="s">
        <v>327</v>
      </c>
      <c r="I116" s="4154" t="s">
        <v>328</v>
      </c>
      <c r="J116" s="4154">
        <v>192</v>
      </c>
      <c r="K116" s="4154">
        <v>0</v>
      </c>
      <c r="L116" s="4154">
        <v>12</v>
      </c>
      <c r="M116" s="4154">
        <f t="shared" si="50"/>
        <v>16</v>
      </c>
      <c r="N116" s="4503">
        <v>45736</v>
      </c>
      <c r="O116" s="4503">
        <v>45731</v>
      </c>
      <c r="P116" s="4154"/>
      <c r="Q116" s="3726" t="s">
        <v>82</v>
      </c>
      <c r="R116" s="4157"/>
      <c r="S116" s="4157"/>
      <c r="T116" s="4157"/>
      <c r="U116" s="3711" t="s">
        <v>401</v>
      </c>
      <c r="V116" s="3711" t="s">
        <v>846</v>
      </c>
      <c r="W116" s="3711"/>
      <c r="X116" s="3711" t="s">
        <v>98</v>
      </c>
      <c r="Y116" s="3711"/>
      <c r="Z116" s="4154"/>
      <c r="AA116" s="4155"/>
      <c r="AB116" s="3876" t="s">
        <v>860</v>
      </c>
      <c r="AC116" s="4154" t="s">
        <v>357</v>
      </c>
      <c r="AD116" s="4504">
        <v>2.1425</v>
      </c>
      <c r="AE116" s="4154">
        <f t="shared" si="51"/>
        <v>411.36</v>
      </c>
      <c r="AF116" s="3726"/>
      <c r="AG116" s="3708"/>
      <c r="AH116" s="984"/>
      <c r="AI116" s="3708">
        <f t="shared" si="53"/>
        <v>192</v>
      </c>
      <c r="AJ116" s="4425"/>
      <c r="AK116" s="1048"/>
      <c r="AL116" s="4622"/>
      <c r="AM116" s="1048"/>
      <c r="AN116" s="877"/>
      <c r="AO116" s="1048">
        <f t="shared" si="39"/>
        <v>192</v>
      </c>
      <c r="AP116" s="1048"/>
      <c r="AQ116" s="4921"/>
      <c r="AR116" s="4921"/>
      <c r="AS116" s="1048">
        <f t="shared" si="46"/>
        <v>192</v>
      </c>
      <c r="AT116" s="4622"/>
      <c r="AU116" s="4921"/>
      <c r="AV116" s="4921"/>
      <c r="AW116" s="4921"/>
      <c r="AX116" s="1048">
        <f t="shared" si="52"/>
        <v>32</v>
      </c>
      <c r="AY116" s="992"/>
      <c r="AZ116" s="992"/>
      <c r="BA116" s="4415"/>
      <c r="BB116" s="4415"/>
      <c r="BC116" s="992"/>
      <c r="BD116" s="4415"/>
      <c r="BE116" s="4414"/>
      <c r="BF116" s="4622"/>
      <c r="BG116" s="4622"/>
      <c r="BH116" s="4622"/>
      <c r="BI116" s="4622"/>
      <c r="BJ116" s="4323"/>
      <c r="BK116" s="4415" t="s">
        <v>89</v>
      </c>
      <c r="BL116" s="4415">
        <f t="shared" si="49"/>
        <v>3.2</v>
      </c>
      <c r="BM116" s="4415">
        <f t="shared" si="40"/>
        <v>28.8</v>
      </c>
      <c r="BN116" s="4415">
        <f t="shared" si="41"/>
        <v>32</v>
      </c>
      <c r="BO116" s="4415">
        <f t="shared" si="42"/>
        <v>32</v>
      </c>
      <c r="BP116" s="4415">
        <f t="shared" si="43"/>
        <v>32</v>
      </c>
      <c r="BQ116" s="4414">
        <f t="shared" si="44"/>
        <v>32</v>
      </c>
      <c r="BR116" s="1048">
        <f t="shared" si="45"/>
        <v>32</v>
      </c>
      <c r="BS116" s="4384"/>
      <c r="BT116" s="992"/>
      <c r="BU116" s="992"/>
      <c r="BV116" s="992"/>
      <c r="BW116" s="992"/>
      <c r="BX116" s="991"/>
      <c r="BY116" s="991"/>
      <c r="BZ116" s="3708">
        <f t="shared" si="37"/>
        <v>192</v>
      </c>
      <c r="CA116" s="4154">
        <f t="shared" si="38"/>
        <v>0</v>
      </c>
      <c r="CB116" s="4816"/>
      <c r="CC116" s="4816"/>
      <c r="CD116" s="4323"/>
      <c r="CE116" s="4323"/>
      <c r="CF116" s="4323"/>
    </row>
    <row r="117" s="4316" customFormat="1" ht="50" customHeight="1" spans="1:84">
      <c r="A117" s="4500">
        <v>45645</v>
      </c>
      <c r="B117" s="3708" t="s">
        <v>340</v>
      </c>
      <c r="C117" s="3708" t="s">
        <v>341</v>
      </c>
      <c r="D117" s="4154">
        <v>4500154362</v>
      </c>
      <c r="E117" s="3708" t="s">
        <v>861</v>
      </c>
      <c r="F117" s="3708" t="s">
        <v>862</v>
      </c>
      <c r="G117" s="3708" t="s">
        <v>333</v>
      </c>
      <c r="H117" s="3708" t="s">
        <v>333</v>
      </c>
      <c r="I117" s="3708" t="s">
        <v>328</v>
      </c>
      <c r="J117" s="4593">
        <v>1008</v>
      </c>
      <c r="K117" s="4154">
        <v>0</v>
      </c>
      <c r="L117" s="4154">
        <v>24</v>
      </c>
      <c r="M117" s="4154">
        <f t="shared" si="50"/>
        <v>42</v>
      </c>
      <c r="N117" s="4503">
        <v>45737</v>
      </c>
      <c r="O117" s="4503">
        <v>45733</v>
      </c>
      <c r="P117" s="4154"/>
      <c r="Q117" s="4154" t="s">
        <v>82</v>
      </c>
      <c r="R117" s="4157"/>
      <c r="S117" s="4157"/>
      <c r="T117" s="4157"/>
      <c r="U117" s="3726" t="s">
        <v>863</v>
      </c>
      <c r="V117" s="3711" t="s">
        <v>864</v>
      </c>
      <c r="W117" s="3711"/>
      <c r="X117" s="3711" t="s">
        <v>865</v>
      </c>
      <c r="Y117" s="3711"/>
      <c r="Z117" s="3711"/>
      <c r="AA117" s="4154"/>
      <c r="AB117" s="3713" t="s">
        <v>866</v>
      </c>
      <c r="AC117" s="3711" t="s">
        <v>348</v>
      </c>
      <c r="AD117" s="4504">
        <v>2.076</v>
      </c>
      <c r="AE117" s="4154">
        <f t="shared" si="51"/>
        <v>2092.608</v>
      </c>
      <c r="AF117" s="3726" t="s">
        <v>867</v>
      </c>
      <c r="AG117" s="3726"/>
      <c r="AH117" s="4925"/>
      <c r="AI117" s="3708">
        <f t="shared" si="53"/>
        <v>1008</v>
      </c>
      <c r="AJ117" s="4925"/>
      <c r="AK117" s="3708"/>
      <c r="AL117" s="3708"/>
      <c r="AM117" s="4154"/>
      <c r="AN117" s="4397"/>
      <c r="AO117" s="1048">
        <f t="shared" si="39"/>
        <v>1008</v>
      </c>
      <c r="AP117" s="4622"/>
      <c r="AQ117" s="4397"/>
      <c r="AR117" s="4397"/>
      <c r="AS117" s="1048">
        <f t="shared" si="46"/>
        <v>1008</v>
      </c>
      <c r="AT117" s="1048"/>
      <c r="AU117" s="4397"/>
      <c r="AV117" s="4926"/>
      <c r="AW117" s="4926"/>
      <c r="AX117" s="1048"/>
      <c r="AY117" s="4926"/>
      <c r="AZ117" s="4926"/>
      <c r="BA117" s="1048"/>
      <c r="BB117" s="4622"/>
      <c r="BC117" s="4926"/>
      <c r="BD117" s="4622"/>
      <c r="BE117" s="4622"/>
      <c r="BF117" s="4622"/>
      <c r="BG117" s="4622"/>
      <c r="BH117" s="4622"/>
      <c r="BI117" s="4622"/>
      <c r="BJ117" s="1048"/>
      <c r="BK117" s="4415" t="s">
        <v>89</v>
      </c>
      <c r="BL117" s="4415">
        <f t="shared" si="49"/>
        <v>16.8</v>
      </c>
      <c r="BM117" s="4415">
        <f t="shared" si="40"/>
        <v>151.2</v>
      </c>
      <c r="BN117" s="4415">
        <f t="shared" si="41"/>
        <v>168</v>
      </c>
      <c r="BO117" s="4415">
        <f t="shared" si="42"/>
        <v>168</v>
      </c>
      <c r="BP117" s="4415">
        <f t="shared" si="43"/>
        <v>168</v>
      </c>
      <c r="BQ117" s="4414">
        <f t="shared" si="44"/>
        <v>168</v>
      </c>
      <c r="BR117" s="1048">
        <f t="shared" si="45"/>
        <v>168</v>
      </c>
      <c r="BS117" s="4384"/>
      <c r="BT117" s="4935"/>
      <c r="BU117" s="4935"/>
      <c r="BV117" s="4935"/>
      <c r="BW117" s="4935"/>
      <c r="BX117" s="4936"/>
      <c r="BY117" s="4936"/>
      <c r="BZ117" s="3708">
        <f t="shared" si="37"/>
        <v>1008</v>
      </c>
      <c r="CA117" s="4154">
        <f t="shared" si="38"/>
        <v>0</v>
      </c>
      <c r="CB117" s="4927"/>
      <c r="CC117" s="4927"/>
      <c r="CD117" s="4323"/>
      <c r="CE117" s="4323"/>
      <c r="CF117" s="4323"/>
    </row>
    <row r="118" s="4316" customFormat="1" ht="50" customHeight="1" spans="1:84">
      <c r="A118" s="4500">
        <v>45695</v>
      </c>
      <c r="B118" s="3708" t="s">
        <v>387</v>
      </c>
      <c r="C118" s="3708" t="s">
        <v>91</v>
      </c>
      <c r="D118" s="4154">
        <v>4500156873</v>
      </c>
      <c r="E118" s="3708">
        <v>70058002</v>
      </c>
      <c r="F118" s="3708"/>
      <c r="G118" s="3708" t="s">
        <v>333</v>
      </c>
      <c r="H118" s="3708" t="s">
        <v>333</v>
      </c>
      <c r="I118" s="3708" t="s">
        <v>328</v>
      </c>
      <c r="J118" s="4593">
        <v>360</v>
      </c>
      <c r="K118" s="4154">
        <v>0</v>
      </c>
      <c r="L118" s="4154">
        <v>24</v>
      </c>
      <c r="M118" s="4154">
        <f t="shared" si="50"/>
        <v>15</v>
      </c>
      <c r="N118" s="4503">
        <v>45737</v>
      </c>
      <c r="O118" s="4503">
        <v>45733</v>
      </c>
      <c r="P118" s="4154"/>
      <c r="Q118" s="4154" t="s">
        <v>82</v>
      </c>
      <c r="R118" s="4157"/>
      <c r="S118" s="4157"/>
      <c r="T118" s="4157"/>
      <c r="U118" s="3726" t="s">
        <v>868</v>
      </c>
      <c r="V118" s="3711" t="s">
        <v>804</v>
      </c>
      <c r="W118" s="3711"/>
      <c r="X118" s="3711" t="s">
        <v>98</v>
      </c>
      <c r="Y118" s="3711"/>
      <c r="Z118" s="3711" t="s">
        <v>869</v>
      </c>
      <c r="AA118" s="4154"/>
      <c r="AB118" s="3713" t="s">
        <v>870</v>
      </c>
      <c r="AC118" s="3711" t="s">
        <v>393</v>
      </c>
      <c r="AD118" s="4504">
        <v>2.0807</v>
      </c>
      <c r="AE118" s="4154">
        <f t="shared" si="51"/>
        <v>749.052</v>
      </c>
      <c r="AF118" s="3726" t="s">
        <v>871</v>
      </c>
      <c r="AG118" s="3726"/>
      <c r="AH118" s="984"/>
      <c r="AI118" s="3708">
        <f t="shared" si="53"/>
        <v>360</v>
      </c>
      <c r="AJ118" s="984"/>
      <c r="AK118" s="3708"/>
      <c r="AL118" s="3708"/>
      <c r="AM118" s="4154"/>
      <c r="AN118" s="877"/>
      <c r="AO118" s="1048">
        <f t="shared" si="39"/>
        <v>360</v>
      </c>
      <c r="AP118" s="4622"/>
      <c r="AQ118" s="877"/>
      <c r="AR118" s="877"/>
      <c r="AS118" s="1048">
        <f t="shared" si="46"/>
        <v>360</v>
      </c>
      <c r="AT118" s="1048"/>
      <c r="AU118" s="877"/>
      <c r="AV118" s="4921"/>
      <c r="AW118" s="4921"/>
      <c r="AX118" s="1048"/>
      <c r="AY118" s="4921"/>
      <c r="AZ118" s="4921"/>
      <c r="BA118" s="1048"/>
      <c r="BB118" s="4622"/>
      <c r="BC118" s="4921"/>
      <c r="BD118" s="4622"/>
      <c r="BE118" s="4622"/>
      <c r="BF118" s="4622"/>
      <c r="BG118" s="4622"/>
      <c r="BH118" s="4622"/>
      <c r="BI118" s="4622"/>
      <c r="BJ118" s="1048"/>
      <c r="BK118" s="4415" t="s">
        <v>89</v>
      </c>
      <c r="BL118" s="4415">
        <f t="shared" si="49"/>
        <v>6</v>
      </c>
      <c r="BM118" s="4415">
        <f t="shared" si="40"/>
        <v>54</v>
      </c>
      <c r="BN118" s="4415">
        <f t="shared" si="41"/>
        <v>60</v>
      </c>
      <c r="BO118" s="4415">
        <f t="shared" si="42"/>
        <v>60</v>
      </c>
      <c r="BP118" s="4415">
        <f t="shared" si="43"/>
        <v>60</v>
      </c>
      <c r="BQ118" s="4414">
        <f t="shared" si="44"/>
        <v>60</v>
      </c>
      <c r="BR118" s="1048">
        <f t="shared" si="45"/>
        <v>60</v>
      </c>
      <c r="BS118" s="4384"/>
      <c r="BT118" s="4935"/>
      <c r="BU118" s="4935"/>
      <c r="BV118" s="4935"/>
      <c r="BW118" s="4935"/>
      <c r="BX118" s="4936"/>
      <c r="BY118" s="4936"/>
      <c r="BZ118" s="3708">
        <f t="shared" si="37"/>
        <v>360</v>
      </c>
      <c r="CA118" s="4154">
        <f t="shared" si="38"/>
        <v>0</v>
      </c>
      <c r="CB118" s="4804"/>
      <c r="CC118" s="4804"/>
      <c r="CD118" s="4323"/>
      <c r="CE118" s="4323"/>
      <c r="CF118" s="4323"/>
    </row>
    <row r="119" s="4316" customFormat="1" ht="50" customHeight="1" spans="1:84">
      <c r="A119" s="4500">
        <v>45683</v>
      </c>
      <c r="B119" s="3708" t="s">
        <v>872</v>
      </c>
      <c r="C119" s="3708" t="s">
        <v>873</v>
      </c>
      <c r="D119" s="4154">
        <v>4500156659</v>
      </c>
      <c r="E119" s="3708"/>
      <c r="F119" s="3708" t="s">
        <v>874</v>
      </c>
      <c r="G119" s="3708" t="s">
        <v>333</v>
      </c>
      <c r="H119" s="3708" t="s">
        <v>333</v>
      </c>
      <c r="I119" s="4593" t="s">
        <v>328</v>
      </c>
      <c r="J119" s="4154">
        <v>720</v>
      </c>
      <c r="K119" s="4154">
        <v>0</v>
      </c>
      <c r="L119" s="4154">
        <v>24</v>
      </c>
      <c r="M119" s="4154">
        <f t="shared" si="50"/>
        <v>30</v>
      </c>
      <c r="N119" s="4503">
        <v>45736</v>
      </c>
      <c r="O119" s="4503">
        <v>45731</v>
      </c>
      <c r="P119" s="4154"/>
      <c r="Q119" s="4154" t="s">
        <v>82</v>
      </c>
      <c r="R119" s="4157"/>
      <c r="S119" s="4157"/>
      <c r="T119" s="4157"/>
      <c r="U119" s="3726" t="s">
        <v>875</v>
      </c>
      <c r="V119" s="3711" t="s">
        <v>876</v>
      </c>
      <c r="W119" s="3711"/>
      <c r="X119" s="3711" t="s">
        <v>830</v>
      </c>
      <c r="Y119" s="3711"/>
      <c r="Z119" s="3711"/>
      <c r="AA119" s="4154"/>
      <c r="AB119" s="3713" t="s">
        <v>877</v>
      </c>
      <c r="AC119" s="3711" t="s">
        <v>357</v>
      </c>
      <c r="AD119" s="4154">
        <v>2.1341</v>
      </c>
      <c r="AE119" s="4154">
        <f t="shared" si="51"/>
        <v>1536.552</v>
      </c>
      <c r="AF119" s="3726" t="s">
        <v>878</v>
      </c>
      <c r="AG119" s="3726"/>
      <c r="AH119" s="984"/>
      <c r="AI119" s="3708">
        <f t="shared" si="53"/>
        <v>720</v>
      </c>
      <c r="AJ119" s="984"/>
      <c r="AK119" s="3708"/>
      <c r="AL119" s="3708"/>
      <c r="AM119" s="4154"/>
      <c r="AN119" s="877"/>
      <c r="AO119" s="1048">
        <f t="shared" si="39"/>
        <v>720</v>
      </c>
      <c r="AP119" s="4622"/>
      <c r="AQ119" s="877"/>
      <c r="AR119" s="877"/>
      <c r="AS119" s="1048">
        <f t="shared" si="46"/>
        <v>720</v>
      </c>
      <c r="AT119" s="1048"/>
      <c r="AU119" s="877"/>
      <c r="AV119" s="4921"/>
      <c r="AW119" s="4921"/>
      <c r="AX119" s="1048"/>
      <c r="AY119" s="4921"/>
      <c r="AZ119" s="4921"/>
      <c r="BA119" s="1048"/>
      <c r="BB119" s="4622"/>
      <c r="BC119" s="4921"/>
      <c r="BD119" s="4622"/>
      <c r="BE119" s="4622"/>
      <c r="BF119" s="4622"/>
      <c r="BG119" s="4622"/>
      <c r="BH119" s="4622"/>
      <c r="BI119" s="4622"/>
      <c r="BJ119" s="1048"/>
      <c r="BK119" s="4415" t="s">
        <v>89</v>
      </c>
      <c r="BL119" s="4415">
        <f t="shared" si="49"/>
        <v>12</v>
      </c>
      <c r="BM119" s="4415">
        <f t="shared" si="40"/>
        <v>108</v>
      </c>
      <c r="BN119" s="4415">
        <f t="shared" si="41"/>
        <v>120</v>
      </c>
      <c r="BO119" s="4415">
        <f t="shared" si="42"/>
        <v>120</v>
      </c>
      <c r="BP119" s="4415">
        <f t="shared" si="43"/>
        <v>120</v>
      </c>
      <c r="BQ119" s="4414">
        <f t="shared" si="44"/>
        <v>120</v>
      </c>
      <c r="BR119" s="1048">
        <f t="shared" si="45"/>
        <v>120</v>
      </c>
      <c r="BS119" s="4384"/>
      <c r="BT119" s="4816"/>
      <c r="BU119" s="4816"/>
      <c r="BV119" s="4816"/>
      <c r="BW119" s="4816"/>
      <c r="BX119" s="4816"/>
      <c r="BY119" s="4816"/>
      <c r="BZ119" s="3708">
        <f t="shared" si="37"/>
        <v>720</v>
      </c>
      <c r="CA119" s="4154">
        <f t="shared" si="38"/>
        <v>0</v>
      </c>
      <c r="CB119" s="4804"/>
      <c r="CC119" s="4804"/>
      <c r="CD119" s="4323"/>
      <c r="CE119" s="4323"/>
      <c r="CF119" s="4323"/>
    </row>
    <row r="120" s="4316" customFormat="1" ht="50" customHeight="1" spans="1:84">
      <c r="A120" s="4500">
        <v>45694</v>
      </c>
      <c r="B120" s="4501" t="s">
        <v>607</v>
      </c>
      <c r="C120" s="3708" t="s">
        <v>91</v>
      </c>
      <c r="D120" s="4502">
        <v>4500156769</v>
      </c>
      <c r="E120" s="3708" t="s">
        <v>879</v>
      </c>
      <c r="F120" s="4615" t="s">
        <v>880</v>
      </c>
      <c r="G120" s="3708" t="s">
        <v>333</v>
      </c>
      <c r="H120" s="3708" t="s">
        <v>610</v>
      </c>
      <c r="I120" s="4154" t="s">
        <v>611</v>
      </c>
      <c r="J120" s="4154">
        <v>2004</v>
      </c>
      <c r="K120" s="4154">
        <v>0</v>
      </c>
      <c r="L120" s="4154">
        <v>12</v>
      </c>
      <c r="M120" s="4154">
        <f t="shared" si="50"/>
        <v>167</v>
      </c>
      <c r="N120" s="4503">
        <v>45740</v>
      </c>
      <c r="O120" s="4503">
        <v>45736</v>
      </c>
      <c r="P120" s="3712"/>
      <c r="Q120" s="4929" t="s">
        <v>82</v>
      </c>
      <c r="R120" s="4157"/>
      <c r="S120" s="4157"/>
      <c r="T120" s="4157"/>
      <c r="U120" s="3726" t="s">
        <v>881</v>
      </c>
      <c r="V120" s="3711" t="s">
        <v>882</v>
      </c>
      <c r="W120" s="3711"/>
      <c r="X120" s="3711" t="s">
        <v>883</v>
      </c>
      <c r="Y120" s="3711"/>
      <c r="Z120" s="3711"/>
      <c r="AA120" s="4154"/>
      <c r="AB120" s="3680" t="s">
        <v>826</v>
      </c>
      <c r="AC120" s="4154" t="s">
        <v>614</v>
      </c>
      <c r="AD120" s="4154">
        <v>51.1686</v>
      </c>
      <c r="AE120" s="4154">
        <f>M120*AD120</f>
        <v>8545.1562</v>
      </c>
      <c r="AF120" s="4505" t="s">
        <v>884</v>
      </c>
      <c r="AG120" s="3726"/>
      <c r="AH120" s="4422"/>
      <c r="AI120" s="3708">
        <f t="shared" si="53"/>
        <v>2004</v>
      </c>
      <c r="AJ120" s="4422"/>
      <c r="AK120" s="3708"/>
      <c r="AL120" s="3708"/>
      <c r="AM120" s="4154"/>
      <c r="AN120" s="907"/>
      <c r="AO120" s="1048">
        <f t="shared" si="39"/>
        <v>2004</v>
      </c>
      <c r="AP120" s="1048"/>
      <c r="AQ120" s="907"/>
      <c r="AR120" s="907"/>
      <c r="AS120" s="1048">
        <f t="shared" si="46"/>
        <v>2004</v>
      </c>
      <c r="AT120" s="1048"/>
      <c r="AU120" s="907"/>
      <c r="AV120" s="907"/>
      <c r="AW120" s="907"/>
      <c r="AX120" s="1048"/>
      <c r="AY120" s="907"/>
      <c r="AZ120" s="907"/>
      <c r="BA120" s="1048"/>
      <c r="BB120" s="1048"/>
      <c r="BC120" s="907"/>
      <c r="BD120" s="1048"/>
      <c r="BE120" s="1048"/>
      <c r="BF120" s="1048"/>
      <c r="BG120" s="1048"/>
      <c r="BH120" s="4622"/>
      <c r="BI120" s="4622"/>
      <c r="BJ120" s="1048"/>
      <c r="BK120" s="4415" t="s">
        <v>89</v>
      </c>
      <c r="BL120" s="4415">
        <f t="shared" si="49"/>
        <v>33.4</v>
      </c>
      <c r="BM120" s="4415">
        <f t="shared" si="40"/>
        <v>300.6</v>
      </c>
      <c r="BN120" s="4415">
        <f t="shared" si="41"/>
        <v>334</v>
      </c>
      <c r="BO120" s="4415">
        <f t="shared" si="42"/>
        <v>334</v>
      </c>
      <c r="BP120" s="4415">
        <f t="shared" si="43"/>
        <v>334</v>
      </c>
      <c r="BQ120" s="4414">
        <f t="shared" si="44"/>
        <v>334</v>
      </c>
      <c r="BR120" s="4414">
        <f t="shared" si="45"/>
        <v>334</v>
      </c>
      <c r="BS120" s="4384"/>
      <c r="BT120" s="911"/>
      <c r="BU120" s="911"/>
      <c r="BV120" s="911"/>
      <c r="BW120" s="911"/>
      <c r="BX120" s="910"/>
      <c r="BY120" s="910"/>
      <c r="BZ120" s="3708">
        <f t="shared" si="37"/>
        <v>2004</v>
      </c>
      <c r="CA120" s="4154">
        <f t="shared" si="38"/>
        <v>0</v>
      </c>
      <c r="CB120" s="4462"/>
      <c r="CC120" s="4462"/>
      <c r="CD120" s="4323"/>
      <c r="CE120" s="4323"/>
      <c r="CF120" s="4323"/>
    </row>
    <row r="121" s="4316" customFormat="1" ht="50" customHeight="1" spans="1:84">
      <c r="A121" s="4500">
        <v>45714</v>
      </c>
      <c r="B121" s="4501" t="s">
        <v>885</v>
      </c>
      <c r="C121" s="3708" t="s">
        <v>886</v>
      </c>
      <c r="D121" s="4502">
        <v>4500158665</v>
      </c>
      <c r="E121" s="3708" t="s">
        <v>887</v>
      </c>
      <c r="F121" s="4502" t="s">
        <v>888</v>
      </c>
      <c r="G121" s="3708" t="s">
        <v>333</v>
      </c>
      <c r="H121" s="3708" t="s">
        <v>333</v>
      </c>
      <c r="I121" s="3708" t="s">
        <v>328</v>
      </c>
      <c r="J121" s="4593">
        <v>360</v>
      </c>
      <c r="K121" s="4154">
        <v>0</v>
      </c>
      <c r="L121" s="4154">
        <v>24</v>
      </c>
      <c r="M121" s="4154">
        <f t="shared" si="50"/>
        <v>15</v>
      </c>
      <c r="N121" s="4503">
        <v>45737</v>
      </c>
      <c r="O121" s="4503">
        <f>N121-4</f>
        <v>45733</v>
      </c>
      <c r="P121" s="3712"/>
      <c r="Q121" s="4929" t="s">
        <v>82</v>
      </c>
      <c r="R121" s="4157"/>
      <c r="S121" s="4157"/>
      <c r="T121" s="4157"/>
      <c r="U121" s="3726" t="s">
        <v>889</v>
      </c>
      <c r="V121" s="3711" t="s">
        <v>890</v>
      </c>
      <c r="W121" s="3711"/>
      <c r="X121" s="3711" t="s">
        <v>98</v>
      </c>
      <c r="Y121" s="3711"/>
      <c r="Z121" s="3711"/>
      <c r="AA121" s="4154"/>
      <c r="AB121" s="3680" t="s">
        <v>891</v>
      </c>
      <c r="AC121" s="4154" t="s">
        <v>892</v>
      </c>
      <c r="AD121" s="4504">
        <v>2.1341</v>
      </c>
      <c r="AE121" s="4154">
        <f>J121*AD121</f>
        <v>768.276</v>
      </c>
      <c r="AF121" s="4505" t="s">
        <v>893</v>
      </c>
      <c r="AG121" s="3726"/>
      <c r="AH121" s="905"/>
      <c r="AI121" s="3708">
        <f t="shared" si="53"/>
        <v>360</v>
      </c>
      <c r="AJ121" s="905"/>
      <c r="AK121" s="3708"/>
      <c r="AL121" s="3708"/>
      <c r="AM121" s="4154"/>
      <c r="AN121" s="4382"/>
      <c r="AO121" s="1048">
        <f t="shared" si="39"/>
        <v>360</v>
      </c>
      <c r="AP121" s="1048"/>
      <c r="AQ121" s="4382"/>
      <c r="AR121" s="4382"/>
      <c r="AS121" s="1048">
        <f t="shared" si="46"/>
        <v>360</v>
      </c>
      <c r="AT121" s="1048"/>
      <c r="AU121" s="4382"/>
      <c r="AV121" s="4382"/>
      <c r="AW121" s="4382"/>
      <c r="AX121" s="1048"/>
      <c r="AY121" s="4382"/>
      <c r="AZ121" s="4382"/>
      <c r="BA121" s="1048"/>
      <c r="BB121" s="1048"/>
      <c r="BC121" s="4382"/>
      <c r="BD121" s="1048"/>
      <c r="BE121" s="1048"/>
      <c r="BF121" s="1048"/>
      <c r="BG121" s="1048"/>
      <c r="BH121" s="4622"/>
      <c r="BI121" s="4622"/>
      <c r="BJ121" s="1048"/>
      <c r="BK121" s="4415" t="s">
        <v>89</v>
      </c>
      <c r="BL121" s="4415">
        <f t="shared" si="49"/>
        <v>6</v>
      </c>
      <c r="BM121" s="4415">
        <f t="shared" si="40"/>
        <v>54</v>
      </c>
      <c r="BN121" s="4415">
        <f t="shared" si="41"/>
        <v>60</v>
      </c>
      <c r="BO121" s="4415">
        <f t="shared" si="42"/>
        <v>60</v>
      </c>
      <c r="BP121" s="4415">
        <f t="shared" si="43"/>
        <v>60</v>
      </c>
      <c r="BQ121" s="4414">
        <f t="shared" si="44"/>
        <v>60</v>
      </c>
      <c r="BR121" s="1048">
        <f t="shared" si="45"/>
        <v>60</v>
      </c>
      <c r="BS121" s="4384"/>
      <c r="BT121" s="4384"/>
      <c r="BU121" s="4384"/>
      <c r="BV121" s="4384"/>
      <c r="BW121" s="4384"/>
      <c r="BX121" s="4383"/>
      <c r="BY121" s="4383"/>
      <c r="BZ121" s="3708">
        <f t="shared" si="37"/>
        <v>360</v>
      </c>
      <c r="CA121" s="4154">
        <f t="shared" si="38"/>
        <v>0</v>
      </c>
      <c r="CB121" s="4409"/>
      <c r="CC121" s="4409"/>
      <c r="CD121" s="4323"/>
      <c r="CE121" s="4323"/>
      <c r="CF121" s="4323"/>
    </row>
    <row r="122" s="4316" customFormat="1" ht="50" customHeight="1" spans="1:84">
      <c r="A122" s="4500">
        <v>45645</v>
      </c>
      <c r="B122" s="3708" t="s">
        <v>340</v>
      </c>
      <c r="C122" s="3708" t="s">
        <v>341</v>
      </c>
      <c r="D122" s="4154">
        <v>4500154362</v>
      </c>
      <c r="E122" s="3708" t="s">
        <v>894</v>
      </c>
      <c r="F122" s="3708" t="s">
        <v>895</v>
      </c>
      <c r="G122" s="3708" t="s">
        <v>409</v>
      </c>
      <c r="H122" s="3708" t="s">
        <v>409</v>
      </c>
      <c r="I122" s="3708" t="s">
        <v>410</v>
      </c>
      <c r="J122" s="4154">
        <v>804</v>
      </c>
      <c r="K122" s="4154">
        <v>0</v>
      </c>
      <c r="L122" s="4154">
        <v>12</v>
      </c>
      <c r="M122" s="4154">
        <f t="shared" si="50"/>
        <v>67</v>
      </c>
      <c r="N122" s="4503">
        <v>45737</v>
      </c>
      <c r="O122" s="4503">
        <v>45733</v>
      </c>
      <c r="P122" s="4154"/>
      <c r="Q122" s="4929" t="s">
        <v>82</v>
      </c>
      <c r="R122" s="4157"/>
      <c r="S122" s="4157"/>
      <c r="T122" s="4157"/>
      <c r="U122" s="3726" t="s">
        <v>863</v>
      </c>
      <c r="V122" s="3711" t="s">
        <v>864</v>
      </c>
      <c r="W122" s="3711"/>
      <c r="X122" s="3711" t="s">
        <v>896</v>
      </c>
      <c r="Y122" s="3711"/>
      <c r="Z122" s="3711"/>
      <c r="AA122" s="4154"/>
      <c r="AB122" s="3713" t="s">
        <v>866</v>
      </c>
      <c r="AC122" s="3711" t="s">
        <v>348</v>
      </c>
      <c r="AD122" s="4504">
        <v>2.7072</v>
      </c>
      <c r="AE122" s="4154">
        <f>J122*AD122</f>
        <v>2176.5888</v>
      </c>
      <c r="AF122" s="3726" t="s">
        <v>897</v>
      </c>
      <c r="AG122" s="3726" t="s">
        <v>416</v>
      </c>
      <c r="AH122" s="4422"/>
      <c r="AI122" s="3708">
        <f t="shared" si="53"/>
        <v>804</v>
      </c>
      <c r="AJ122" s="4422"/>
      <c r="AK122" s="3708"/>
      <c r="AL122" s="3708"/>
      <c r="AM122" s="4154"/>
      <c r="AN122" s="907"/>
      <c r="AO122" s="1048">
        <f t="shared" si="39"/>
        <v>804</v>
      </c>
      <c r="AP122" s="4622"/>
      <c r="AQ122" s="907"/>
      <c r="AR122" s="907"/>
      <c r="AS122" s="1048">
        <f t="shared" si="46"/>
        <v>804</v>
      </c>
      <c r="AT122" s="1048"/>
      <c r="AU122" s="907"/>
      <c r="AV122" s="4922"/>
      <c r="AW122" s="4922"/>
      <c r="AX122" s="1048"/>
      <c r="AY122" s="4922"/>
      <c r="AZ122" s="4922"/>
      <c r="BA122" s="1048"/>
      <c r="BB122" s="4622"/>
      <c r="BC122" s="4922"/>
      <c r="BD122" s="4622"/>
      <c r="BE122" s="4622"/>
      <c r="BF122" s="4622"/>
      <c r="BG122" s="4622"/>
      <c r="BH122" s="4622">
        <f>J122</f>
        <v>804</v>
      </c>
      <c r="BI122" s="4622"/>
      <c r="BJ122" s="1048"/>
      <c r="BK122" s="4415" t="s">
        <v>89</v>
      </c>
      <c r="BL122" s="4415">
        <f t="shared" si="49"/>
        <v>13.4</v>
      </c>
      <c r="BM122" s="4415">
        <f t="shared" si="40"/>
        <v>120.6</v>
      </c>
      <c r="BN122" s="4415">
        <f t="shared" si="41"/>
        <v>134</v>
      </c>
      <c r="BO122" s="4415">
        <f t="shared" si="42"/>
        <v>134</v>
      </c>
      <c r="BP122" s="4415">
        <f t="shared" si="43"/>
        <v>134</v>
      </c>
      <c r="BQ122" s="4414">
        <f t="shared" si="44"/>
        <v>134</v>
      </c>
      <c r="BR122" s="1048">
        <f t="shared" si="45"/>
        <v>134</v>
      </c>
      <c r="BS122" s="4384"/>
      <c r="BT122" s="4462"/>
      <c r="BU122" s="4462"/>
      <c r="BV122" s="4462"/>
      <c r="BW122" s="4462"/>
      <c r="BX122" s="4462"/>
      <c r="BY122" s="4462"/>
      <c r="BZ122" s="3708">
        <f t="shared" si="37"/>
        <v>804</v>
      </c>
      <c r="CA122" s="4154">
        <f t="shared" si="38"/>
        <v>0</v>
      </c>
      <c r="CB122" s="4923"/>
      <c r="CC122" s="4923"/>
      <c r="CD122" s="4323"/>
      <c r="CE122" s="4323"/>
      <c r="CF122" s="4323"/>
    </row>
    <row r="123" s="4316" customFormat="1" ht="47" customHeight="1" spans="1:84">
      <c r="A123" s="4500">
        <v>45651</v>
      </c>
      <c r="B123" s="3708" t="s">
        <v>340</v>
      </c>
      <c r="C123" s="3708" t="s">
        <v>341</v>
      </c>
      <c r="D123" s="4154">
        <v>4500154348</v>
      </c>
      <c r="E123" s="4154" t="s">
        <v>898</v>
      </c>
      <c r="F123" s="4117" t="s">
        <v>899</v>
      </c>
      <c r="G123" s="3708" t="s">
        <v>333</v>
      </c>
      <c r="H123" s="3708" t="s">
        <v>333</v>
      </c>
      <c r="I123" s="3708" t="s">
        <v>328</v>
      </c>
      <c r="J123" s="4593">
        <v>1512</v>
      </c>
      <c r="K123" s="4154">
        <v>0</v>
      </c>
      <c r="L123" s="4154">
        <v>24</v>
      </c>
      <c r="M123" s="4154">
        <f t="shared" si="50"/>
        <v>63</v>
      </c>
      <c r="N123" s="4503">
        <v>45737</v>
      </c>
      <c r="O123" s="4503">
        <v>45733</v>
      </c>
      <c r="P123" s="4154"/>
      <c r="Q123" s="4929" t="s">
        <v>82</v>
      </c>
      <c r="R123" s="4157"/>
      <c r="S123" s="4157"/>
      <c r="T123" s="4157"/>
      <c r="U123" s="3726" t="s">
        <v>863</v>
      </c>
      <c r="V123" s="3711" t="s">
        <v>864</v>
      </c>
      <c r="W123" s="3711"/>
      <c r="X123" s="3711" t="s">
        <v>900</v>
      </c>
      <c r="Y123" s="3711"/>
      <c r="Z123" s="3711"/>
      <c r="AA123" s="4154"/>
      <c r="AB123" s="3680" t="s">
        <v>901</v>
      </c>
      <c r="AC123" s="3726" t="s">
        <v>424</v>
      </c>
      <c r="AD123" s="4504">
        <v>2.076</v>
      </c>
      <c r="AE123" s="4154">
        <f>J123*AD123</f>
        <v>3138.912</v>
      </c>
      <c r="AF123" s="3726" t="s">
        <v>902</v>
      </c>
      <c r="AG123" s="3726"/>
      <c r="AH123" s="4422"/>
      <c r="AI123" s="3708">
        <f t="shared" si="53"/>
        <v>1512</v>
      </c>
      <c r="AJ123" s="4422"/>
      <c r="AK123" s="3708"/>
      <c r="AL123" s="3708"/>
      <c r="AM123" s="4170"/>
      <c r="AN123" s="907"/>
      <c r="AO123" s="1048">
        <f t="shared" si="39"/>
        <v>1512</v>
      </c>
      <c r="AP123" s="4622"/>
      <c r="AQ123" s="4922"/>
      <c r="AR123" s="4922"/>
      <c r="AS123" s="1048">
        <f t="shared" si="46"/>
        <v>1512</v>
      </c>
      <c r="AT123" s="4622"/>
      <c r="AU123" s="4922"/>
      <c r="AV123" s="4922"/>
      <c r="AW123" s="4922"/>
      <c r="AX123" s="1048"/>
      <c r="AY123" s="4922"/>
      <c r="AZ123" s="4922"/>
      <c r="BA123" s="4622"/>
      <c r="BB123" s="4622"/>
      <c r="BC123" s="4922"/>
      <c r="BD123" s="4622"/>
      <c r="BE123" s="4622"/>
      <c r="BF123" s="4622"/>
      <c r="BG123" s="4622"/>
      <c r="BH123" s="4622"/>
      <c r="BI123" s="4622"/>
      <c r="BJ123" s="4622"/>
      <c r="BK123" s="4415" t="s">
        <v>89</v>
      </c>
      <c r="BL123" s="4415">
        <f t="shared" si="49"/>
        <v>25.2</v>
      </c>
      <c r="BM123" s="4415">
        <f t="shared" si="40"/>
        <v>226.8</v>
      </c>
      <c r="BN123" s="4415">
        <f t="shared" si="41"/>
        <v>252</v>
      </c>
      <c r="BO123" s="4415">
        <f t="shared" si="42"/>
        <v>252</v>
      </c>
      <c r="BP123" s="4415">
        <f t="shared" si="43"/>
        <v>252</v>
      </c>
      <c r="BQ123" s="4414">
        <f t="shared" si="44"/>
        <v>252</v>
      </c>
      <c r="BR123" s="1048">
        <f t="shared" si="45"/>
        <v>252</v>
      </c>
      <c r="BS123" s="4384"/>
      <c r="BT123" s="911"/>
      <c r="BU123" s="911"/>
      <c r="BV123" s="911"/>
      <c r="BW123" s="911"/>
      <c r="BX123" s="910"/>
      <c r="BY123" s="910"/>
      <c r="BZ123" s="3708">
        <f t="shared" si="37"/>
        <v>1512</v>
      </c>
      <c r="CA123" s="4154">
        <f t="shared" si="38"/>
        <v>0</v>
      </c>
      <c r="CB123" s="4923"/>
      <c r="CC123" s="4923"/>
      <c r="CD123" s="4323"/>
      <c r="CE123" s="4323"/>
      <c r="CF123" s="4323"/>
    </row>
    <row r="124" s="4316" customFormat="1" ht="50" customHeight="1" spans="1:84">
      <c r="A124" s="4500">
        <v>45698</v>
      </c>
      <c r="B124" s="4501" t="s">
        <v>505</v>
      </c>
      <c r="C124" s="3708" t="s">
        <v>506</v>
      </c>
      <c r="D124" s="4502">
        <v>4500157112</v>
      </c>
      <c r="E124" s="3708">
        <v>20637532</v>
      </c>
      <c r="F124" s="4615" t="s">
        <v>903</v>
      </c>
      <c r="G124" s="3708" t="s">
        <v>508</v>
      </c>
      <c r="H124" s="3708" t="s">
        <v>508</v>
      </c>
      <c r="I124" s="4154" t="s">
        <v>328</v>
      </c>
      <c r="J124" s="4154">
        <v>1332</v>
      </c>
      <c r="K124" s="4154">
        <v>0</v>
      </c>
      <c r="L124" s="4154">
        <v>6</v>
      </c>
      <c r="M124" s="4154">
        <f t="shared" si="50"/>
        <v>222</v>
      </c>
      <c r="N124" s="4503">
        <v>45740</v>
      </c>
      <c r="O124" s="4503">
        <v>45736</v>
      </c>
      <c r="P124" s="3712"/>
      <c r="Q124" s="4929" t="s">
        <v>82</v>
      </c>
      <c r="R124" s="4157"/>
      <c r="S124" s="4157"/>
      <c r="T124" s="4157"/>
      <c r="U124" s="3726" t="s">
        <v>904</v>
      </c>
      <c r="V124" s="3711" t="s">
        <v>846</v>
      </c>
      <c r="W124" s="3711"/>
      <c r="X124" s="3711" t="s">
        <v>905</v>
      </c>
      <c r="Y124" s="3711"/>
      <c r="Z124" s="3711"/>
      <c r="AA124" s="4154"/>
      <c r="AB124" s="3680" t="s">
        <v>906</v>
      </c>
      <c r="AC124" s="4154" t="s">
        <v>513</v>
      </c>
      <c r="AD124" s="4504">
        <v>2.4032</v>
      </c>
      <c r="AE124" s="4154">
        <f>AD124*J124</f>
        <v>3201.0624</v>
      </c>
      <c r="AF124" s="4505" t="s">
        <v>907</v>
      </c>
      <c r="AG124" s="3726"/>
      <c r="AH124" s="4422"/>
      <c r="AI124" s="3708">
        <f t="shared" si="53"/>
        <v>1332</v>
      </c>
      <c r="AJ124" s="4422"/>
      <c r="AK124" s="3708"/>
      <c r="AL124" s="3708"/>
      <c r="AM124" s="4154"/>
      <c r="AN124" s="907"/>
      <c r="AO124" s="1048">
        <f t="shared" si="39"/>
        <v>1332</v>
      </c>
      <c r="AP124" s="1048"/>
      <c r="AQ124" s="907"/>
      <c r="AR124" s="907"/>
      <c r="AS124" s="1048">
        <f t="shared" si="46"/>
        <v>1332</v>
      </c>
      <c r="AT124" s="1048"/>
      <c r="AU124" s="907"/>
      <c r="AV124" s="907"/>
      <c r="AW124" s="907"/>
      <c r="AX124" s="1048">
        <f>J124/6</f>
        <v>222</v>
      </c>
      <c r="AY124" s="907"/>
      <c r="AZ124" s="907"/>
      <c r="BA124" s="1048"/>
      <c r="BB124" s="1048"/>
      <c r="BC124" s="907"/>
      <c r="BD124" s="1048"/>
      <c r="BE124" s="1048"/>
      <c r="BF124" s="1048"/>
      <c r="BG124" s="1048"/>
      <c r="BH124" s="4622"/>
      <c r="BI124" s="4622"/>
      <c r="BJ124" s="1048"/>
      <c r="BK124" s="4415" t="s">
        <v>89</v>
      </c>
      <c r="BL124" s="4415">
        <f t="shared" si="49"/>
        <v>22.2</v>
      </c>
      <c r="BM124" s="4415">
        <f t="shared" si="40"/>
        <v>199.8</v>
      </c>
      <c r="BN124" s="4415">
        <f t="shared" si="41"/>
        <v>222</v>
      </c>
      <c r="BO124" s="4415">
        <f t="shared" si="42"/>
        <v>222</v>
      </c>
      <c r="BP124" s="4415">
        <f t="shared" si="43"/>
        <v>222</v>
      </c>
      <c r="BQ124" s="4414">
        <f t="shared" si="44"/>
        <v>222</v>
      </c>
      <c r="BR124" s="1048">
        <f t="shared" si="45"/>
        <v>222</v>
      </c>
      <c r="BS124" s="4384"/>
      <c r="BT124" s="4462"/>
      <c r="BU124" s="4462"/>
      <c r="BV124" s="4462"/>
      <c r="BW124" s="4462"/>
      <c r="BX124" s="4462"/>
      <c r="BY124" s="4462"/>
      <c r="BZ124" s="3708">
        <f t="shared" si="37"/>
        <v>1332</v>
      </c>
      <c r="CA124" s="4154">
        <f t="shared" si="38"/>
        <v>0</v>
      </c>
      <c r="CB124" s="4462"/>
      <c r="CC124" s="4462"/>
      <c r="CD124" s="4323"/>
      <c r="CE124" s="4323"/>
      <c r="CF124" s="4323"/>
    </row>
    <row r="125" s="4316" customFormat="1" ht="50" customHeight="1" spans="1:84">
      <c r="A125" s="4500">
        <v>45698</v>
      </c>
      <c r="B125" s="4501" t="s">
        <v>839</v>
      </c>
      <c r="C125" s="3708" t="s">
        <v>840</v>
      </c>
      <c r="D125" s="4502">
        <v>4500157113</v>
      </c>
      <c r="E125" s="3708">
        <v>20637533</v>
      </c>
      <c r="F125" s="4615" t="s">
        <v>908</v>
      </c>
      <c r="G125" s="3708" t="s">
        <v>508</v>
      </c>
      <c r="H125" s="3708" t="s">
        <v>508</v>
      </c>
      <c r="I125" s="3708" t="s">
        <v>328</v>
      </c>
      <c r="J125" s="4154">
        <v>168</v>
      </c>
      <c r="K125" s="4154">
        <v>0</v>
      </c>
      <c r="L125" s="4154">
        <v>6</v>
      </c>
      <c r="M125" s="4154">
        <f t="shared" si="50"/>
        <v>28</v>
      </c>
      <c r="N125" s="4503">
        <v>45740</v>
      </c>
      <c r="O125" s="4503">
        <v>45736</v>
      </c>
      <c r="P125" s="3712"/>
      <c r="Q125" s="4929" t="s">
        <v>82</v>
      </c>
      <c r="R125" s="4157"/>
      <c r="S125" s="4157"/>
      <c r="T125" s="4157"/>
      <c r="U125" s="3726" t="s">
        <v>904</v>
      </c>
      <c r="V125" s="3711" t="s">
        <v>846</v>
      </c>
      <c r="W125" s="3711"/>
      <c r="X125" s="3711" t="s">
        <v>905</v>
      </c>
      <c r="Y125" s="3711"/>
      <c r="Z125" s="3711"/>
      <c r="AA125" s="4154"/>
      <c r="AB125" s="3680" t="s">
        <v>909</v>
      </c>
      <c r="AC125" s="4154" t="s">
        <v>513</v>
      </c>
      <c r="AD125" s="4504">
        <v>2.4079</v>
      </c>
      <c r="AE125" s="4154">
        <f t="shared" ref="AE125:AE176" si="54">J125*AD125</f>
        <v>404.5272</v>
      </c>
      <c r="AF125" s="4505" t="s">
        <v>910</v>
      </c>
      <c r="AG125" s="3726"/>
      <c r="AH125" s="4422"/>
      <c r="AI125" s="3708">
        <f t="shared" si="53"/>
        <v>168</v>
      </c>
      <c r="AJ125" s="4422"/>
      <c r="AK125" s="3708"/>
      <c r="AL125" s="3708"/>
      <c r="AM125" s="4154"/>
      <c r="AN125" s="907"/>
      <c r="AO125" s="1048">
        <f t="shared" si="39"/>
        <v>168</v>
      </c>
      <c r="AP125" s="1048"/>
      <c r="AQ125" s="907"/>
      <c r="AR125" s="907"/>
      <c r="AS125" s="1048">
        <f t="shared" si="46"/>
        <v>168</v>
      </c>
      <c r="AT125" s="1048"/>
      <c r="AU125" s="907"/>
      <c r="AV125" s="907"/>
      <c r="AW125" s="907"/>
      <c r="AX125" s="1048">
        <f>J125/6</f>
        <v>28</v>
      </c>
      <c r="AY125" s="907"/>
      <c r="AZ125" s="907"/>
      <c r="BA125" s="1048"/>
      <c r="BB125" s="1048"/>
      <c r="BC125" s="907"/>
      <c r="BD125" s="1048"/>
      <c r="BE125" s="1048"/>
      <c r="BF125" s="1048"/>
      <c r="BG125" s="1048"/>
      <c r="BH125" s="4622"/>
      <c r="BI125" s="4622"/>
      <c r="BJ125" s="1048"/>
      <c r="BK125" s="4415" t="s">
        <v>89</v>
      </c>
      <c r="BL125" s="4415">
        <f t="shared" si="49"/>
        <v>2.8</v>
      </c>
      <c r="BM125" s="4415">
        <f t="shared" si="40"/>
        <v>25.2</v>
      </c>
      <c r="BN125" s="4415">
        <f t="shared" si="41"/>
        <v>28</v>
      </c>
      <c r="BO125" s="4415">
        <f t="shared" si="42"/>
        <v>28</v>
      </c>
      <c r="BP125" s="4415">
        <f t="shared" si="43"/>
        <v>28</v>
      </c>
      <c r="BQ125" s="4414">
        <f t="shared" si="44"/>
        <v>28</v>
      </c>
      <c r="BR125" s="1048">
        <f t="shared" si="45"/>
        <v>28</v>
      </c>
      <c r="BS125" s="4384"/>
      <c r="BT125" s="4462"/>
      <c r="BU125" s="4462"/>
      <c r="BV125" s="4462"/>
      <c r="BW125" s="4462"/>
      <c r="BX125" s="4462"/>
      <c r="BY125" s="4462"/>
      <c r="BZ125" s="3708">
        <f t="shared" si="37"/>
        <v>168</v>
      </c>
      <c r="CA125" s="4154">
        <f t="shared" si="38"/>
        <v>0</v>
      </c>
      <c r="CB125" s="4462"/>
      <c r="CC125" s="4462"/>
      <c r="CD125" s="4323"/>
      <c r="CE125" s="4323"/>
      <c r="CF125" s="4323"/>
    </row>
    <row r="126" s="4316" customFormat="1" ht="50" customHeight="1" spans="1:84">
      <c r="A126" s="4500">
        <v>45701</v>
      </c>
      <c r="B126" s="4501" t="s">
        <v>90</v>
      </c>
      <c r="C126" s="3708" t="s">
        <v>91</v>
      </c>
      <c r="D126" s="4502">
        <v>4500157300</v>
      </c>
      <c r="E126" s="3708" t="s">
        <v>482</v>
      </c>
      <c r="F126" s="4615" t="s">
        <v>911</v>
      </c>
      <c r="G126" s="3708" t="s">
        <v>333</v>
      </c>
      <c r="H126" s="3708" t="s">
        <v>333</v>
      </c>
      <c r="I126" s="3708" t="s">
        <v>328</v>
      </c>
      <c r="J126" s="4593">
        <v>1992</v>
      </c>
      <c r="K126" s="4154">
        <v>0</v>
      </c>
      <c r="L126" s="4154">
        <v>24</v>
      </c>
      <c r="M126" s="4154">
        <f t="shared" si="50"/>
        <v>83</v>
      </c>
      <c r="N126" s="4503">
        <v>45742</v>
      </c>
      <c r="O126" s="4503">
        <v>45738</v>
      </c>
      <c r="P126" s="3712"/>
      <c r="Q126" s="4929" t="s">
        <v>82</v>
      </c>
      <c r="R126" s="4157"/>
      <c r="S126" s="4157"/>
      <c r="T126" s="4157"/>
      <c r="U126" s="3726" t="s">
        <v>175</v>
      </c>
      <c r="V126" s="3711" t="s">
        <v>912</v>
      </c>
      <c r="W126" s="3711"/>
      <c r="X126" s="3711" t="s">
        <v>98</v>
      </c>
      <c r="Y126" s="3711"/>
      <c r="Z126" s="3711" t="s">
        <v>913</v>
      </c>
      <c r="AA126" s="4154"/>
      <c r="AB126" s="3680" t="s">
        <v>914</v>
      </c>
      <c r="AC126" s="4154" t="s">
        <v>653</v>
      </c>
      <c r="AD126" s="4504">
        <v>2.1295</v>
      </c>
      <c r="AE126" s="4154">
        <f t="shared" si="54"/>
        <v>4241.964</v>
      </c>
      <c r="AF126" s="4505" t="s">
        <v>915</v>
      </c>
      <c r="AG126" s="3726"/>
      <c r="AH126" s="4422"/>
      <c r="AI126" s="3708">
        <f t="shared" si="53"/>
        <v>1992</v>
      </c>
      <c r="AJ126" s="4422"/>
      <c r="AK126" s="3708"/>
      <c r="AL126" s="3708"/>
      <c r="AM126" s="4154"/>
      <c r="AN126" s="907"/>
      <c r="AO126" s="1048">
        <f t="shared" si="39"/>
        <v>1992</v>
      </c>
      <c r="AP126" s="1048"/>
      <c r="AQ126" s="907"/>
      <c r="AR126" s="907"/>
      <c r="AS126" s="1048">
        <f t="shared" si="46"/>
        <v>1992</v>
      </c>
      <c r="AT126" s="1048"/>
      <c r="AU126" s="907"/>
      <c r="AV126" s="907"/>
      <c r="AW126" s="907"/>
      <c r="AX126" s="1048"/>
      <c r="AY126" s="907"/>
      <c r="AZ126" s="907"/>
      <c r="BA126" s="1048"/>
      <c r="BB126" s="1048"/>
      <c r="BC126" s="907"/>
      <c r="BD126" s="1048"/>
      <c r="BE126" s="1048"/>
      <c r="BF126" s="1048"/>
      <c r="BG126" s="1048"/>
      <c r="BH126" s="4622"/>
      <c r="BI126" s="4622"/>
      <c r="BJ126" s="1048"/>
      <c r="BK126" s="4415" t="s">
        <v>89</v>
      </c>
      <c r="BL126" s="4415">
        <f t="shared" si="49"/>
        <v>33.2</v>
      </c>
      <c r="BM126" s="4415">
        <f t="shared" si="40"/>
        <v>298.8</v>
      </c>
      <c r="BN126" s="4415">
        <f t="shared" si="41"/>
        <v>332</v>
      </c>
      <c r="BO126" s="4415">
        <f t="shared" si="42"/>
        <v>332</v>
      </c>
      <c r="BP126" s="4415">
        <f t="shared" si="43"/>
        <v>332</v>
      </c>
      <c r="BQ126" s="4414">
        <f t="shared" si="44"/>
        <v>332</v>
      </c>
      <c r="BR126" s="1048">
        <f t="shared" si="45"/>
        <v>332</v>
      </c>
      <c r="BS126" s="4384"/>
      <c r="BT126" s="911"/>
      <c r="BU126" s="911"/>
      <c r="BV126" s="911"/>
      <c r="BW126" s="911"/>
      <c r="BX126" s="910"/>
      <c r="BY126" s="910"/>
      <c r="BZ126" s="3708">
        <f t="shared" si="37"/>
        <v>1992</v>
      </c>
      <c r="CA126" s="4154">
        <f t="shared" si="38"/>
        <v>0</v>
      </c>
      <c r="CB126" s="4462"/>
      <c r="CC126" s="4462"/>
      <c r="CD126" s="4323"/>
      <c r="CE126" s="4323"/>
      <c r="CF126" s="4323"/>
    </row>
    <row r="127" s="4316" customFormat="1" ht="50" customHeight="1" spans="1:84">
      <c r="A127" s="4500">
        <v>45701</v>
      </c>
      <c r="B127" s="4501" t="s">
        <v>90</v>
      </c>
      <c r="C127" s="3708" t="s">
        <v>91</v>
      </c>
      <c r="D127" s="4502">
        <v>4500157297</v>
      </c>
      <c r="E127" s="3708" t="s">
        <v>916</v>
      </c>
      <c r="F127" s="4615" t="s">
        <v>917</v>
      </c>
      <c r="G127" s="3708" t="s">
        <v>333</v>
      </c>
      <c r="H127" s="3708" t="s">
        <v>333</v>
      </c>
      <c r="I127" s="3708" t="s">
        <v>328</v>
      </c>
      <c r="J127" s="4593">
        <v>1800</v>
      </c>
      <c r="K127" s="4154">
        <v>0</v>
      </c>
      <c r="L127" s="4154">
        <v>24</v>
      </c>
      <c r="M127" s="4154">
        <f t="shared" si="50"/>
        <v>75</v>
      </c>
      <c r="N127" s="4503">
        <v>45742</v>
      </c>
      <c r="O127" s="4503">
        <v>45738</v>
      </c>
      <c r="P127" s="3712"/>
      <c r="Q127" s="4929" t="s">
        <v>82</v>
      </c>
      <c r="R127" s="4157"/>
      <c r="S127" s="4157"/>
      <c r="T127" s="4157"/>
      <c r="U127" s="3726" t="s">
        <v>875</v>
      </c>
      <c r="V127" s="3711" t="s">
        <v>912</v>
      </c>
      <c r="W127" s="3711"/>
      <c r="X127" s="3711" t="s">
        <v>98</v>
      </c>
      <c r="Y127" s="3711"/>
      <c r="Z127" s="3711" t="s">
        <v>918</v>
      </c>
      <c r="AA127" s="4154"/>
      <c r="AB127" s="3680" t="s">
        <v>919</v>
      </c>
      <c r="AC127" s="4154" t="s">
        <v>653</v>
      </c>
      <c r="AD127" s="4504">
        <v>2.076</v>
      </c>
      <c r="AE127" s="4154">
        <f t="shared" si="54"/>
        <v>3736.8</v>
      </c>
      <c r="AF127" s="4505" t="s">
        <v>920</v>
      </c>
      <c r="AG127" s="3726"/>
      <c r="AH127" s="4422"/>
      <c r="AI127" s="3708">
        <f t="shared" si="53"/>
        <v>1800</v>
      </c>
      <c r="AJ127" s="4422"/>
      <c r="AK127" s="3708"/>
      <c r="AL127" s="3708"/>
      <c r="AM127" s="4154"/>
      <c r="AN127" s="907"/>
      <c r="AO127" s="1048">
        <f t="shared" si="39"/>
        <v>1800</v>
      </c>
      <c r="AP127" s="1048"/>
      <c r="AQ127" s="907"/>
      <c r="AR127" s="907"/>
      <c r="AS127" s="1048">
        <f t="shared" si="46"/>
        <v>1800</v>
      </c>
      <c r="AT127" s="1048"/>
      <c r="AU127" s="907"/>
      <c r="AV127" s="907"/>
      <c r="AW127" s="907"/>
      <c r="AX127" s="1048"/>
      <c r="AY127" s="907"/>
      <c r="AZ127" s="907"/>
      <c r="BA127" s="1048"/>
      <c r="BB127" s="1048"/>
      <c r="BC127" s="907"/>
      <c r="BD127" s="1048"/>
      <c r="BE127" s="1048"/>
      <c r="BF127" s="1048"/>
      <c r="BG127" s="1048"/>
      <c r="BH127" s="4622"/>
      <c r="BI127" s="4622"/>
      <c r="BJ127" s="1048"/>
      <c r="BK127" s="4415" t="s">
        <v>89</v>
      </c>
      <c r="BL127" s="4415">
        <f t="shared" si="49"/>
        <v>30</v>
      </c>
      <c r="BM127" s="4415">
        <f t="shared" si="40"/>
        <v>270</v>
      </c>
      <c r="BN127" s="4415">
        <f t="shared" si="41"/>
        <v>300</v>
      </c>
      <c r="BO127" s="4415">
        <f t="shared" si="42"/>
        <v>300</v>
      </c>
      <c r="BP127" s="4415">
        <f t="shared" si="43"/>
        <v>300</v>
      </c>
      <c r="BQ127" s="4414">
        <f t="shared" si="44"/>
        <v>300</v>
      </c>
      <c r="BR127" s="1048">
        <f t="shared" si="45"/>
        <v>300</v>
      </c>
      <c r="BS127" s="4384"/>
      <c r="BT127" s="911"/>
      <c r="BU127" s="911"/>
      <c r="BV127" s="911"/>
      <c r="BW127" s="911"/>
      <c r="BX127" s="910"/>
      <c r="BY127" s="910"/>
      <c r="BZ127" s="3708">
        <f t="shared" si="37"/>
        <v>1800</v>
      </c>
      <c r="CA127" s="4154">
        <f t="shared" si="38"/>
        <v>0</v>
      </c>
      <c r="CB127" s="4462"/>
      <c r="CC127" s="4462"/>
      <c r="CD127" s="4323"/>
      <c r="CE127" s="4323"/>
      <c r="CF127" s="4323"/>
    </row>
    <row r="128" s="4316" customFormat="1" ht="50" customHeight="1" spans="1:84">
      <c r="A128" s="4500">
        <v>45709</v>
      </c>
      <c r="B128" s="4501" t="s">
        <v>90</v>
      </c>
      <c r="C128" s="3708" t="s">
        <v>91</v>
      </c>
      <c r="D128" s="4502">
        <v>4500158136</v>
      </c>
      <c r="E128" s="3708" t="s">
        <v>921</v>
      </c>
      <c r="F128" s="4615" t="s">
        <v>922</v>
      </c>
      <c r="G128" s="3708" t="s">
        <v>333</v>
      </c>
      <c r="H128" s="3708" t="s">
        <v>333</v>
      </c>
      <c r="I128" s="3708" t="s">
        <v>328</v>
      </c>
      <c r="J128" s="4593">
        <v>240</v>
      </c>
      <c r="K128" s="4154">
        <v>0</v>
      </c>
      <c r="L128" s="4154">
        <v>24</v>
      </c>
      <c r="M128" s="4154">
        <f t="shared" si="50"/>
        <v>10</v>
      </c>
      <c r="N128" s="4503">
        <v>45744</v>
      </c>
      <c r="O128" s="4503">
        <v>45740</v>
      </c>
      <c r="P128" s="3712"/>
      <c r="Q128" s="4929" t="s">
        <v>82</v>
      </c>
      <c r="R128" s="4157"/>
      <c r="S128" s="4157"/>
      <c r="T128" s="4157"/>
      <c r="U128" s="3726" t="s">
        <v>923</v>
      </c>
      <c r="V128" s="3711" t="s">
        <v>924</v>
      </c>
      <c r="W128" s="3711"/>
      <c r="X128" s="3711" t="s">
        <v>98</v>
      </c>
      <c r="Y128" s="3711"/>
      <c r="Z128" s="3711" t="s">
        <v>913</v>
      </c>
      <c r="AA128" s="4154"/>
      <c r="AB128" s="3680" t="s">
        <v>925</v>
      </c>
      <c r="AC128" s="4154" t="s">
        <v>653</v>
      </c>
      <c r="AD128" s="4504">
        <v>2.2476</v>
      </c>
      <c r="AE128" s="4154">
        <f t="shared" si="54"/>
        <v>539.424</v>
      </c>
      <c r="AF128" s="4505" t="s">
        <v>926</v>
      </c>
      <c r="AG128" s="3726"/>
      <c r="AH128" s="4422"/>
      <c r="AI128" s="3708">
        <f t="shared" si="53"/>
        <v>240</v>
      </c>
      <c r="AJ128" s="4422"/>
      <c r="AK128" s="3708"/>
      <c r="AL128" s="3708"/>
      <c r="AM128" s="4154"/>
      <c r="AN128" s="907"/>
      <c r="AO128" s="1048">
        <f t="shared" si="39"/>
        <v>240</v>
      </c>
      <c r="AP128" s="1048"/>
      <c r="AQ128" s="907"/>
      <c r="AR128" s="907"/>
      <c r="AS128" s="1048">
        <f t="shared" si="46"/>
        <v>240</v>
      </c>
      <c r="AT128" s="1048"/>
      <c r="AU128" s="907"/>
      <c r="AV128" s="907"/>
      <c r="AW128" s="907"/>
      <c r="AX128" s="1048"/>
      <c r="AY128" s="907"/>
      <c r="AZ128" s="907"/>
      <c r="BA128" s="1048"/>
      <c r="BB128" s="1048"/>
      <c r="BC128" s="907"/>
      <c r="BD128" s="1048"/>
      <c r="BE128" s="1048"/>
      <c r="BF128" s="1048"/>
      <c r="BG128" s="1048"/>
      <c r="BH128" s="4622"/>
      <c r="BI128" s="4622"/>
      <c r="BJ128" s="1048"/>
      <c r="BK128" s="4415" t="s">
        <v>89</v>
      </c>
      <c r="BL128" s="4415">
        <f t="shared" si="49"/>
        <v>4</v>
      </c>
      <c r="BM128" s="4415">
        <f t="shared" si="40"/>
        <v>36</v>
      </c>
      <c r="BN128" s="4415">
        <f t="shared" si="41"/>
        <v>40</v>
      </c>
      <c r="BO128" s="4415">
        <f t="shared" si="42"/>
        <v>40</v>
      </c>
      <c r="BP128" s="4415">
        <f t="shared" si="43"/>
        <v>40</v>
      </c>
      <c r="BQ128" s="4414">
        <f t="shared" si="44"/>
        <v>40</v>
      </c>
      <c r="BR128" s="1048">
        <f t="shared" si="45"/>
        <v>40</v>
      </c>
      <c r="BS128" s="4384"/>
      <c r="BT128" s="911"/>
      <c r="BU128" s="911"/>
      <c r="BV128" s="911"/>
      <c r="BW128" s="911"/>
      <c r="BX128" s="910"/>
      <c r="BY128" s="910"/>
      <c r="BZ128" s="3708">
        <f t="shared" si="37"/>
        <v>240</v>
      </c>
      <c r="CA128" s="4154">
        <f t="shared" si="38"/>
        <v>0</v>
      </c>
      <c r="CB128" s="4462"/>
      <c r="CC128" s="4462"/>
      <c r="CD128" s="4323"/>
      <c r="CE128" s="4323"/>
      <c r="CF128" s="4323"/>
    </row>
    <row r="129" s="4316" customFormat="1" ht="50" customHeight="1" spans="1:84">
      <c r="A129" s="4500">
        <v>45701</v>
      </c>
      <c r="B129" s="4501" t="s">
        <v>90</v>
      </c>
      <c r="C129" s="3708" t="s">
        <v>91</v>
      </c>
      <c r="D129" s="4502">
        <v>4500157300</v>
      </c>
      <c r="E129" s="3708" t="s">
        <v>927</v>
      </c>
      <c r="F129" s="4615" t="s">
        <v>928</v>
      </c>
      <c r="G129" s="3708" t="s">
        <v>409</v>
      </c>
      <c r="H129" s="3708" t="s">
        <v>409</v>
      </c>
      <c r="I129" s="3708" t="s">
        <v>410</v>
      </c>
      <c r="J129" s="4154">
        <v>804</v>
      </c>
      <c r="K129" s="4154">
        <v>0</v>
      </c>
      <c r="L129" s="4154">
        <v>12</v>
      </c>
      <c r="M129" s="4154">
        <f t="shared" si="50"/>
        <v>67</v>
      </c>
      <c r="N129" s="4503">
        <v>45742</v>
      </c>
      <c r="O129" s="4503">
        <v>45738</v>
      </c>
      <c r="P129" s="3712"/>
      <c r="Q129" s="4929" t="s">
        <v>82</v>
      </c>
      <c r="R129" s="4157"/>
      <c r="S129" s="4157"/>
      <c r="T129" s="4157"/>
      <c r="U129" s="3726" t="s">
        <v>175</v>
      </c>
      <c r="V129" s="3711" t="s">
        <v>912</v>
      </c>
      <c r="W129" s="3711"/>
      <c r="X129" s="3711" t="s">
        <v>98</v>
      </c>
      <c r="Y129" s="3711"/>
      <c r="Z129" s="3711" t="s">
        <v>913</v>
      </c>
      <c r="AA129" s="4154"/>
      <c r="AB129" s="3680" t="s">
        <v>914</v>
      </c>
      <c r="AC129" s="4154" t="s">
        <v>653</v>
      </c>
      <c r="AD129" s="4504">
        <v>2.8218</v>
      </c>
      <c r="AE129" s="4154">
        <f t="shared" si="54"/>
        <v>2268.7272</v>
      </c>
      <c r="AF129" s="4505" t="s">
        <v>929</v>
      </c>
      <c r="AG129" s="3726" t="s">
        <v>416</v>
      </c>
      <c r="AH129" s="4422"/>
      <c r="AI129" s="3708">
        <f t="shared" si="53"/>
        <v>804</v>
      </c>
      <c r="AJ129" s="4422"/>
      <c r="AK129" s="3708"/>
      <c r="AL129" s="3708"/>
      <c r="AM129" s="4154"/>
      <c r="AN129" s="907"/>
      <c r="AO129" s="1048">
        <f t="shared" si="39"/>
        <v>804</v>
      </c>
      <c r="AP129" s="1048"/>
      <c r="AQ129" s="907"/>
      <c r="AR129" s="907"/>
      <c r="AS129" s="1048">
        <f t="shared" si="46"/>
        <v>804</v>
      </c>
      <c r="AT129" s="1048"/>
      <c r="AU129" s="907"/>
      <c r="AV129" s="907"/>
      <c r="AW129" s="907"/>
      <c r="AX129" s="1048"/>
      <c r="AY129" s="907"/>
      <c r="AZ129" s="907"/>
      <c r="BA129" s="1048"/>
      <c r="BB129" s="1048"/>
      <c r="BC129" s="907"/>
      <c r="BD129" s="1048"/>
      <c r="BE129" s="1048"/>
      <c r="BF129" s="1048"/>
      <c r="BG129" s="1048"/>
      <c r="BH129" s="1048">
        <f>J129</f>
        <v>804</v>
      </c>
      <c r="BI129" s="4622"/>
      <c r="BJ129" s="1048"/>
      <c r="BK129" s="4415" t="s">
        <v>89</v>
      </c>
      <c r="BL129" s="4415">
        <f t="shared" si="49"/>
        <v>13.4</v>
      </c>
      <c r="BM129" s="4415">
        <f t="shared" si="40"/>
        <v>120.6</v>
      </c>
      <c r="BN129" s="4415">
        <f t="shared" si="41"/>
        <v>134</v>
      </c>
      <c r="BO129" s="4415">
        <f t="shared" si="42"/>
        <v>134</v>
      </c>
      <c r="BP129" s="4415">
        <f t="shared" si="43"/>
        <v>134</v>
      </c>
      <c r="BQ129" s="4414">
        <f t="shared" si="44"/>
        <v>134</v>
      </c>
      <c r="BR129" s="1048">
        <f t="shared" si="45"/>
        <v>134</v>
      </c>
      <c r="BS129" s="4384"/>
      <c r="BT129" s="911"/>
      <c r="BU129" s="911"/>
      <c r="BV129" s="911"/>
      <c r="BW129" s="911"/>
      <c r="BX129" s="910"/>
      <c r="BY129" s="910"/>
      <c r="BZ129" s="3708">
        <f t="shared" si="37"/>
        <v>804</v>
      </c>
      <c r="CA129" s="4154">
        <f t="shared" si="38"/>
        <v>0</v>
      </c>
      <c r="CB129" s="4462"/>
      <c r="CC129" s="4462"/>
      <c r="CD129" s="4323">
        <v>840</v>
      </c>
      <c r="CE129" s="4323"/>
      <c r="CF129" s="4323"/>
    </row>
    <row r="130" s="4316" customFormat="1" ht="50" customHeight="1" spans="1:84">
      <c r="A130" s="4500">
        <v>45701</v>
      </c>
      <c r="B130" s="4501" t="s">
        <v>90</v>
      </c>
      <c r="C130" s="3708" t="s">
        <v>91</v>
      </c>
      <c r="D130" s="4502">
        <v>4500157297</v>
      </c>
      <c r="E130" s="3708" t="s">
        <v>930</v>
      </c>
      <c r="F130" s="4615" t="s">
        <v>931</v>
      </c>
      <c r="G130" s="3708" t="s">
        <v>409</v>
      </c>
      <c r="H130" s="3708" t="s">
        <v>409</v>
      </c>
      <c r="I130" s="3708" t="s">
        <v>410</v>
      </c>
      <c r="J130" s="4154">
        <v>600</v>
      </c>
      <c r="K130" s="4154">
        <v>0</v>
      </c>
      <c r="L130" s="4154">
        <v>12</v>
      </c>
      <c r="M130" s="4154">
        <f t="shared" si="50"/>
        <v>50</v>
      </c>
      <c r="N130" s="4503">
        <v>45742</v>
      </c>
      <c r="O130" s="4503">
        <v>45738</v>
      </c>
      <c r="P130" s="3712"/>
      <c r="Q130" s="4929" t="s">
        <v>82</v>
      </c>
      <c r="R130" s="4157"/>
      <c r="S130" s="4157"/>
      <c r="T130" s="4157"/>
      <c r="U130" s="3726" t="s">
        <v>875</v>
      </c>
      <c r="V130" s="3711" t="s">
        <v>912</v>
      </c>
      <c r="W130" s="3711"/>
      <c r="X130" s="3711" t="s">
        <v>98</v>
      </c>
      <c r="Y130" s="3711"/>
      <c r="Z130" s="3711" t="s">
        <v>918</v>
      </c>
      <c r="AA130" s="4154"/>
      <c r="AB130" s="3680" t="s">
        <v>919</v>
      </c>
      <c r="AC130" s="4154" t="s">
        <v>653</v>
      </c>
      <c r="AD130" s="4504">
        <v>2.8218</v>
      </c>
      <c r="AE130" s="4154">
        <f t="shared" si="54"/>
        <v>1693.08</v>
      </c>
      <c r="AF130" s="4505" t="s">
        <v>932</v>
      </c>
      <c r="AG130" s="3726" t="s">
        <v>416</v>
      </c>
      <c r="AH130" s="4422"/>
      <c r="AI130" s="3708">
        <f t="shared" si="53"/>
        <v>600</v>
      </c>
      <c r="AJ130" s="4422"/>
      <c r="AK130" s="3708"/>
      <c r="AL130" s="3708"/>
      <c r="AM130" s="4154"/>
      <c r="AN130" s="907"/>
      <c r="AO130" s="1048">
        <f t="shared" si="39"/>
        <v>600</v>
      </c>
      <c r="AP130" s="1048"/>
      <c r="AQ130" s="907"/>
      <c r="AR130" s="907"/>
      <c r="AS130" s="1048">
        <f t="shared" si="46"/>
        <v>600</v>
      </c>
      <c r="AT130" s="1048"/>
      <c r="AU130" s="907"/>
      <c r="AV130" s="907"/>
      <c r="AW130" s="907"/>
      <c r="AX130" s="1048"/>
      <c r="AY130" s="907"/>
      <c r="AZ130" s="907"/>
      <c r="BA130" s="1048"/>
      <c r="BB130" s="1048"/>
      <c r="BC130" s="907"/>
      <c r="BD130" s="1048"/>
      <c r="BE130" s="1048"/>
      <c r="BF130" s="1048"/>
      <c r="BG130" s="1048"/>
      <c r="BH130" s="1048">
        <f>J130</f>
        <v>600</v>
      </c>
      <c r="BI130" s="4622"/>
      <c r="BJ130" s="1048"/>
      <c r="BK130" s="4415" t="s">
        <v>89</v>
      </c>
      <c r="BL130" s="4415">
        <f t="shared" si="49"/>
        <v>10</v>
      </c>
      <c r="BM130" s="4415">
        <f t="shared" si="40"/>
        <v>90</v>
      </c>
      <c r="BN130" s="4415">
        <f t="shared" si="41"/>
        <v>100</v>
      </c>
      <c r="BO130" s="4415">
        <f t="shared" si="42"/>
        <v>100</v>
      </c>
      <c r="BP130" s="4415">
        <f t="shared" si="43"/>
        <v>100</v>
      </c>
      <c r="BQ130" s="4414">
        <f t="shared" si="44"/>
        <v>100</v>
      </c>
      <c r="BR130" s="1048">
        <f t="shared" si="45"/>
        <v>100</v>
      </c>
      <c r="BS130" s="4384"/>
      <c r="BT130" s="911"/>
      <c r="BU130" s="911"/>
      <c r="BV130" s="911"/>
      <c r="BW130" s="911"/>
      <c r="BX130" s="910"/>
      <c r="BY130" s="910"/>
      <c r="BZ130" s="3708">
        <f t="shared" si="37"/>
        <v>600</v>
      </c>
      <c r="CA130" s="4154">
        <f t="shared" si="38"/>
        <v>0</v>
      </c>
      <c r="CB130" s="4462"/>
      <c r="CC130" s="4462"/>
      <c r="CD130" s="4323">
        <v>600</v>
      </c>
      <c r="CE130" s="4323"/>
      <c r="CF130" s="4323"/>
    </row>
    <row r="131" s="4316" customFormat="1" ht="50" customHeight="1" spans="1:84">
      <c r="A131" s="4500">
        <v>45701</v>
      </c>
      <c r="B131" s="4501" t="s">
        <v>461</v>
      </c>
      <c r="C131" s="3708" t="s">
        <v>341</v>
      </c>
      <c r="D131" s="4502">
        <v>4500157606</v>
      </c>
      <c r="E131" s="3708" t="s">
        <v>933</v>
      </c>
      <c r="F131" s="4615" t="s">
        <v>934</v>
      </c>
      <c r="G131" s="3708" t="s">
        <v>464</v>
      </c>
      <c r="H131" s="3708" t="s">
        <v>333</v>
      </c>
      <c r="I131" s="3708" t="s">
        <v>328</v>
      </c>
      <c r="J131" s="4593">
        <v>1248</v>
      </c>
      <c r="K131" s="4154">
        <v>0</v>
      </c>
      <c r="L131" s="4154">
        <v>24</v>
      </c>
      <c r="M131" s="4154">
        <f t="shared" si="50"/>
        <v>52</v>
      </c>
      <c r="N131" s="4503">
        <v>45747</v>
      </c>
      <c r="O131" s="4503">
        <v>45743</v>
      </c>
      <c r="P131" s="3712"/>
      <c r="Q131" s="4929" t="s">
        <v>82</v>
      </c>
      <c r="R131" s="4157"/>
      <c r="S131" s="4157"/>
      <c r="T131" s="4157"/>
      <c r="U131" s="3726" t="s">
        <v>935</v>
      </c>
      <c r="V131" s="3711" t="s">
        <v>936</v>
      </c>
      <c r="W131" s="3711"/>
      <c r="X131" s="3711" t="s">
        <v>98</v>
      </c>
      <c r="Y131" s="3711"/>
      <c r="Z131" s="3711" t="s">
        <v>937</v>
      </c>
      <c r="AA131" s="4154"/>
      <c r="AB131" s="3680" t="s">
        <v>938</v>
      </c>
      <c r="AC131" s="4154" t="s">
        <v>87</v>
      </c>
      <c r="AD131" s="4504">
        <v>2.076</v>
      </c>
      <c r="AE131" s="4154">
        <f t="shared" si="54"/>
        <v>2590.848</v>
      </c>
      <c r="AF131" s="4505" t="s">
        <v>939</v>
      </c>
      <c r="AG131" s="3726"/>
      <c r="AH131" s="4422"/>
      <c r="AI131" s="3708"/>
      <c r="AJ131" s="4422"/>
      <c r="AK131" s="1048">
        <f>J131</f>
        <v>1248</v>
      </c>
      <c r="AL131" s="3708"/>
      <c r="AM131" s="4154"/>
      <c r="AN131" s="907"/>
      <c r="AO131" s="1048">
        <f t="shared" si="39"/>
        <v>1248</v>
      </c>
      <c r="AP131" s="1048"/>
      <c r="AQ131" s="907"/>
      <c r="AR131" s="907"/>
      <c r="AS131" s="1048">
        <f t="shared" si="46"/>
        <v>1248</v>
      </c>
      <c r="AT131" s="1048"/>
      <c r="AU131" s="907"/>
      <c r="AV131" s="907"/>
      <c r="AW131" s="907"/>
      <c r="AX131" s="1048"/>
      <c r="AY131" s="907"/>
      <c r="AZ131" s="907"/>
      <c r="BA131" s="1048"/>
      <c r="BB131" s="1048"/>
      <c r="BC131" s="907"/>
      <c r="BD131" s="1048"/>
      <c r="BE131" s="1048"/>
      <c r="BF131" s="1048"/>
      <c r="BG131" s="1048"/>
      <c r="BH131" s="4622"/>
      <c r="BI131" s="4622"/>
      <c r="BJ131" s="1048"/>
      <c r="BK131" s="4415" t="s">
        <v>89</v>
      </c>
      <c r="BL131" s="4415">
        <f t="shared" si="49"/>
        <v>20.8</v>
      </c>
      <c r="BM131" s="4415">
        <f t="shared" si="40"/>
        <v>187.2</v>
      </c>
      <c r="BN131" s="4415">
        <f t="shared" si="41"/>
        <v>208</v>
      </c>
      <c r="BO131" s="4415">
        <f t="shared" si="42"/>
        <v>208</v>
      </c>
      <c r="BP131" s="4415">
        <f t="shared" si="43"/>
        <v>208</v>
      </c>
      <c r="BQ131" s="4414">
        <f t="shared" si="44"/>
        <v>208</v>
      </c>
      <c r="BR131" s="1048">
        <f t="shared" si="45"/>
        <v>208</v>
      </c>
      <c r="BS131" s="4384"/>
      <c r="BT131" s="911"/>
      <c r="BU131" s="911"/>
      <c r="BV131" s="911"/>
      <c r="BW131" s="911"/>
      <c r="BX131" s="910"/>
      <c r="BY131" s="910"/>
      <c r="BZ131" s="3708">
        <f t="shared" si="37"/>
        <v>1248</v>
      </c>
      <c r="CA131" s="4154">
        <f t="shared" si="38"/>
        <v>0</v>
      </c>
      <c r="CB131" s="4462"/>
      <c r="CC131" s="4462"/>
      <c r="CD131" s="4323"/>
      <c r="CE131" s="4323"/>
      <c r="CF131" s="4323"/>
    </row>
    <row r="132" s="4316" customFormat="1" ht="50" customHeight="1" spans="1:84">
      <c r="A132" s="4500">
        <v>45701</v>
      </c>
      <c r="B132" s="4501" t="s">
        <v>461</v>
      </c>
      <c r="C132" s="3708" t="s">
        <v>341</v>
      </c>
      <c r="D132" s="4502">
        <v>4500157606</v>
      </c>
      <c r="E132" s="3708" t="s">
        <v>940</v>
      </c>
      <c r="F132" s="4615" t="s">
        <v>941</v>
      </c>
      <c r="G132" s="3708" t="s">
        <v>464</v>
      </c>
      <c r="H132" s="3708" t="s">
        <v>333</v>
      </c>
      <c r="I132" s="3708" t="s">
        <v>328</v>
      </c>
      <c r="J132" s="4593">
        <v>1272</v>
      </c>
      <c r="K132" s="4154">
        <v>0</v>
      </c>
      <c r="L132" s="4154">
        <v>24</v>
      </c>
      <c r="M132" s="4154">
        <f t="shared" si="50"/>
        <v>53</v>
      </c>
      <c r="N132" s="4503">
        <v>45747</v>
      </c>
      <c r="O132" s="4503">
        <v>45743</v>
      </c>
      <c r="P132" s="3712"/>
      <c r="Q132" s="4929" t="s">
        <v>82</v>
      </c>
      <c r="R132" s="4157"/>
      <c r="S132" s="4157"/>
      <c r="T132" s="4157"/>
      <c r="U132" s="3726" t="s">
        <v>935</v>
      </c>
      <c r="V132" s="3711" t="s">
        <v>936</v>
      </c>
      <c r="W132" s="3711"/>
      <c r="X132" s="3711" t="s">
        <v>98</v>
      </c>
      <c r="Y132" s="3711"/>
      <c r="Z132" s="3711" t="s">
        <v>937</v>
      </c>
      <c r="AA132" s="4154"/>
      <c r="AB132" s="3680" t="s">
        <v>938</v>
      </c>
      <c r="AC132" s="4154" t="s">
        <v>87</v>
      </c>
      <c r="AD132" s="4504">
        <v>2.1295</v>
      </c>
      <c r="AE132" s="4154">
        <f t="shared" si="54"/>
        <v>2708.724</v>
      </c>
      <c r="AF132" s="4505" t="s">
        <v>939</v>
      </c>
      <c r="AG132" s="3726"/>
      <c r="AH132" s="4422"/>
      <c r="AI132" s="3708"/>
      <c r="AJ132" s="4422"/>
      <c r="AK132" s="1048">
        <f>J132</f>
        <v>1272</v>
      </c>
      <c r="AL132" s="3708"/>
      <c r="AM132" s="4154"/>
      <c r="AN132" s="907"/>
      <c r="AO132" s="1048">
        <f t="shared" si="39"/>
        <v>1272</v>
      </c>
      <c r="AP132" s="1048"/>
      <c r="AQ132" s="907"/>
      <c r="AR132" s="907"/>
      <c r="AS132" s="1048">
        <f t="shared" si="46"/>
        <v>1272</v>
      </c>
      <c r="AT132" s="1048"/>
      <c r="AU132" s="907"/>
      <c r="AV132" s="907"/>
      <c r="AW132" s="907"/>
      <c r="AX132" s="1048"/>
      <c r="AY132" s="907"/>
      <c r="AZ132" s="907"/>
      <c r="BA132" s="1048"/>
      <c r="BB132" s="1048"/>
      <c r="BC132" s="907"/>
      <c r="BD132" s="1048"/>
      <c r="BE132" s="1048"/>
      <c r="BF132" s="1048"/>
      <c r="BG132" s="1048"/>
      <c r="BH132" s="4622"/>
      <c r="BI132" s="4622"/>
      <c r="BJ132" s="1048"/>
      <c r="BK132" s="4415" t="s">
        <v>89</v>
      </c>
      <c r="BL132" s="4415">
        <f t="shared" si="49"/>
        <v>21.2</v>
      </c>
      <c r="BM132" s="4415">
        <f t="shared" si="40"/>
        <v>190.8</v>
      </c>
      <c r="BN132" s="4415">
        <f t="shared" si="41"/>
        <v>212</v>
      </c>
      <c r="BO132" s="4415">
        <f t="shared" si="42"/>
        <v>212</v>
      </c>
      <c r="BP132" s="4415">
        <f t="shared" si="43"/>
        <v>212</v>
      </c>
      <c r="BQ132" s="4414">
        <f t="shared" si="44"/>
        <v>212</v>
      </c>
      <c r="BR132" s="1048">
        <f t="shared" si="45"/>
        <v>212</v>
      </c>
      <c r="BS132" s="4384"/>
      <c r="BT132" s="911"/>
      <c r="BU132" s="911"/>
      <c r="BV132" s="911"/>
      <c r="BW132" s="911"/>
      <c r="BX132" s="910"/>
      <c r="BY132" s="910"/>
      <c r="BZ132" s="3708">
        <f t="shared" si="37"/>
        <v>1272</v>
      </c>
      <c r="CA132" s="4154">
        <f t="shared" si="38"/>
        <v>0</v>
      </c>
      <c r="CB132" s="4462"/>
      <c r="CC132" s="4462"/>
      <c r="CD132" s="4323"/>
      <c r="CE132" s="4323"/>
      <c r="CF132" s="4323"/>
    </row>
    <row r="133" s="4316" customFormat="1" ht="50" customHeight="1" spans="1:84">
      <c r="A133" s="4500">
        <v>45701</v>
      </c>
      <c r="B133" s="4501" t="s">
        <v>470</v>
      </c>
      <c r="C133" s="3708" t="s">
        <v>471</v>
      </c>
      <c r="D133" s="4502">
        <v>4500157593</v>
      </c>
      <c r="E133" s="3708" t="s">
        <v>942</v>
      </c>
      <c r="F133" s="4615" t="s">
        <v>943</v>
      </c>
      <c r="G133" s="3708" t="s">
        <v>464</v>
      </c>
      <c r="H133" s="3708" t="s">
        <v>333</v>
      </c>
      <c r="I133" s="3708" t="s">
        <v>328</v>
      </c>
      <c r="J133" s="4593">
        <v>1008</v>
      </c>
      <c r="K133" s="4154">
        <v>0</v>
      </c>
      <c r="L133" s="4154">
        <v>24</v>
      </c>
      <c r="M133" s="4154">
        <f t="shared" si="50"/>
        <v>42</v>
      </c>
      <c r="N133" s="4503">
        <v>45747</v>
      </c>
      <c r="O133" s="4503">
        <v>45743</v>
      </c>
      <c r="P133" s="3712"/>
      <c r="Q133" s="4929" t="s">
        <v>82</v>
      </c>
      <c r="R133" s="4157"/>
      <c r="S133" s="4157"/>
      <c r="T133" s="4157"/>
      <c r="U133" s="3726" t="s">
        <v>935</v>
      </c>
      <c r="V133" s="3711" t="s">
        <v>936</v>
      </c>
      <c r="W133" s="3711"/>
      <c r="X133" s="3711" t="s">
        <v>98</v>
      </c>
      <c r="Y133" s="3711"/>
      <c r="Z133" s="3711" t="s">
        <v>937</v>
      </c>
      <c r="AA133" s="4154"/>
      <c r="AB133" s="3680" t="s">
        <v>944</v>
      </c>
      <c r="AC133" s="4154" t="s">
        <v>87</v>
      </c>
      <c r="AD133" s="4504">
        <v>2.1295</v>
      </c>
      <c r="AE133" s="4154">
        <f t="shared" si="54"/>
        <v>2146.536</v>
      </c>
      <c r="AF133" s="4505" t="s">
        <v>945</v>
      </c>
      <c r="AG133" s="3726"/>
      <c r="AH133" s="4422"/>
      <c r="AI133" s="3708"/>
      <c r="AJ133" s="4422"/>
      <c r="AK133" s="1048">
        <f>J133</f>
        <v>1008</v>
      </c>
      <c r="AL133" s="3708"/>
      <c r="AM133" s="4154"/>
      <c r="AN133" s="907"/>
      <c r="AO133" s="1048">
        <f t="shared" si="39"/>
        <v>1008</v>
      </c>
      <c r="AP133" s="1048"/>
      <c r="AQ133" s="907"/>
      <c r="AR133" s="907"/>
      <c r="AS133" s="1048">
        <f t="shared" si="46"/>
        <v>1008</v>
      </c>
      <c r="AT133" s="1048"/>
      <c r="AU133" s="907"/>
      <c r="AV133" s="907"/>
      <c r="AW133" s="907"/>
      <c r="AX133" s="1048"/>
      <c r="AY133" s="907"/>
      <c r="AZ133" s="907"/>
      <c r="BA133" s="1048"/>
      <c r="BB133" s="1048"/>
      <c r="BC133" s="907"/>
      <c r="BD133" s="1048"/>
      <c r="BE133" s="1048"/>
      <c r="BF133" s="1048"/>
      <c r="BG133" s="1048"/>
      <c r="BH133" s="4622"/>
      <c r="BI133" s="4622"/>
      <c r="BJ133" s="1048"/>
      <c r="BK133" s="4415" t="s">
        <v>89</v>
      </c>
      <c r="BL133" s="4415">
        <f t="shared" si="49"/>
        <v>16.8</v>
      </c>
      <c r="BM133" s="4415">
        <f t="shared" si="40"/>
        <v>151.2</v>
      </c>
      <c r="BN133" s="4415">
        <f t="shared" si="41"/>
        <v>168</v>
      </c>
      <c r="BO133" s="4415">
        <f t="shared" si="42"/>
        <v>168</v>
      </c>
      <c r="BP133" s="4415">
        <f t="shared" si="43"/>
        <v>168</v>
      </c>
      <c r="BQ133" s="4414">
        <f t="shared" si="44"/>
        <v>168</v>
      </c>
      <c r="BR133" s="1048">
        <f t="shared" si="45"/>
        <v>168</v>
      </c>
      <c r="BS133" s="4384"/>
      <c r="BT133" s="911"/>
      <c r="BU133" s="911"/>
      <c r="BV133" s="911"/>
      <c r="BW133" s="911"/>
      <c r="BX133" s="910"/>
      <c r="BY133" s="910"/>
      <c r="BZ133" s="3708">
        <f t="shared" ref="BZ133:BZ142" si="55">SUM(BL133:BY133)</f>
        <v>1008</v>
      </c>
      <c r="CA133" s="4154">
        <f t="shared" ref="CA133:CA142" si="56">J133-BZ133</f>
        <v>0</v>
      </c>
      <c r="CB133" s="4462"/>
      <c r="CC133" s="4462"/>
      <c r="CD133" s="4323"/>
      <c r="CE133" s="4323"/>
      <c r="CF133" s="4323"/>
    </row>
    <row r="134" s="4316" customFormat="1" ht="50" customHeight="1" spans="1:84">
      <c r="A134" s="4500">
        <v>45701</v>
      </c>
      <c r="B134" s="4501" t="s">
        <v>470</v>
      </c>
      <c r="C134" s="3708" t="s">
        <v>471</v>
      </c>
      <c r="D134" s="4502">
        <v>4500157593</v>
      </c>
      <c r="E134" s="3708" t="s">
        <v>946</v>
      </c>
      <c r="F134" s="4615" t="s">
        <v>947</v>
      </c>
      <c r="G134" s="3708" t="s">
        <v>464</v>
      </c>
      <c r="H134" s="3708" t="s">
        <v>333</v>
      </c>
      <c r="I134" s="3708" t="s">
        <v>328</v>
      </c>
      <c r="J134" s="4593">
        <v>696</v>
      </c>
      <c r="K134" s="4154">
        <v>0</v>
      </c>
      <c r="L134" s="4154">
        <v>24</v>
      </c>
      <c r="M134" s="4154">
        <f t="shared" si="50"/>
        <v>29</v>
      </c>
      <c r="N134" s="4503">
        <v>45747</v>
      </c>
      <c r="O134" s="4503">
        <v>45743</v>
      </c>
      <c r="P134" s="3712"/>
      <c r="Q134" s="4929" t="s">
        <v>82</v>
      </c>
      <c r="R134" s="4157"/>
      <c r="S134" s="4157"/>
      <c r="T134" s="4157"/>
      <c r="U134" s="3726"/>
      <c r="V134" s="3711" t="s">
        <v>936</v>
      </c>
      <c r="W134" s="3711"/>
      <c r="X134" s="3711" t="s">
        <v>98</v>
      </c>
      <c r="Y134" s="3711"/>
      <c r="Z134" s="3711" t="s">
        <v>937</v>
      </c>
      <c r="AA134" s="4154"/>
      <c r="AB134" s="3680" t="s">
        <v>944</v>
      </c>
      <c r="AC134" s="4154" t="s">
        <v>87</v>
      </c>
      <c r="AD134" s="4504">
        <v>2.1341</v>
      </c>
      <c r="AE134" s="4154">
        <f t="shared" si="54"/>
        <v>1485.3336</v>
      </c>
      <c r="AF134" s="4505" t="s">
        <v>945</v>
      </c>
      <c r="AG134" s="3726"/>
      <c r="AH134" s="4422"/>
      <c r="AI134" s="3708"/>
      <c r="AJ134" s="4422"/>
      <c r="AK134" s="1048">
        <f>J134</f>
        <v>696</v>
      </c>
      <c r="AL134" s="3708"/>
      <c r="AM134" s="4154"/>
      <c r="AN134" s="907"/>
      <c r="AO134" s="1048">
        <f t="shared" si="39"/>
        <v>696</v>
      </c>
      <c r="AP134" s="1048"/>
      <c r="AQ134" s="907"/>
      <c r="AR134" s="907"/>
      <c r="AS134" s="1048">
        <f t="shared" si="46"/>
        <v>696</v>
      </c>
      <c r="AT134" s="1048"/>
      <c r="AU134" s="907"/>
      <c r="AV134" s="907"/>
      <c r="AW134" s="907"/>
      <c r="AX134" s="1048"/>
      <c r="AY134" s="907"/>
      <c r="AZ134" s="907"/>
      <c r="BA134" s="1048"/>
      <c r="BB134" s="1048"/>
      <c r="BC134" s="907"/>
      <c r="BD134" s="1048"/>
      <c r="BE134" s="1048"/>
      <c r="BF134" s="1048"/>
      <c r="BG134" s="1048"/>
      <c r="BH134" s="4622"/>
      <c r="BI134" s="4622"/>
      <c r="BJ134" s="1048"/>
      <c r="BK134" s="4415" t="s">
        <v>89</v>
      </c>
      <c r="BL134" s="4415">
        <f t="shared" si="49"/>
        <v>11.6</v>
      </c>
      <c r="BM134" s="4415">
        <f t="shared" si="40"/>
        <v>104.4</v>
      </c>
      <c r="BN134" s="4415">
        <f t="shared" si="41"/>
        <v>116</v>
      </c>
      <c r="BO134" s="4415">
        <f t="shared" si="42"/>
        <v>116</v>
      </c>
      <c r="BP134" s="4415">
        <f t="shared" si="43"/>
        <v>116</v>
      </c>
      <c r="BQ134" s="4414">
        <f t="shared" si="44"/>
        <v>116</v>
      </c>
      <c r="BR134" s="1048">
        <f t="shared" si="45"/>
        <v>116</v>
      </c>
      <c r="BS134" s="4384"/>
      <c r="BT134" s="911"/>
      <c r="BU134" s="911"/>
      <c r="BV134" s="911"/>
      <c r="BW134" s="911"/>
      <c r="BX134" s="910"/>
      <c r="BY134" s="910"/>
      <c r="BZ134" s="3708">
        <f t="shared" si="55"/>
        <v>696</v>
      </c>
      <c r="CA134" s="4154">
        <f t="shared" si="56"/>
        <v>0</v>
      </c>
      <c r="CB134" s="4462"/>
      <c r="CC134" s="4462"/>
      <c r="CD134" s="4323"/>
      <c r="CE134" s="4323"/>
      <c r="CF134" s="4323"/>
    </row>
    <row r="135" s="4316" customFormat="1" ht="50" customHeight="1" spans="1:84">
      <c r="A135" s="4500">
        <v>45709</v>
      </c>
      <c r="B135" s="4501" t="s">
        <v>505</v>
      </c>
      <c r="C135" s="3708" t="s">
        <v>506</v>
      </c>
      <c r="D135" s="4502">
        <v>4500158156</v>
      </c>
      <c r="E135" s="3708">
        <v>20650320</v>
      </c>
      <c r="F135" s="4615" t="s">
        <v>948</v>
      </c>
      <c r="G135" s="3708" t="s">
        <v>508</v>
      </c>
      <c r="H135" s="3708" t="s">
        <v>508</v>
      </c>
      <c r="I135" s="3708" t="s">
        <v>328</v>
      </c>
      <c r="J135" s="4593">
        <v>3120</v>
      </c>
      <c r="K135" s="4154">
        <v>0</v>
      </c>
      <c r="L135" s="4154">
        <v>6</v>
      </c>
      <c r="M135" s="4154">
        <f t="shared" si="50"/>
        <v>520</v>
      </c>
      <c r="N135" s="4503">
        <v>45747</v>
      </c>
      <c r="O135" s="4503">
        <v>45743</v>
      </c>
      <c r="P135" s="3712"/>
      <c r="Q135" s="4929" t="s">
        <v>82</v>
      </c>
      <c r="R135" s="4157"/>
      <c r="S135" s="4157"/>
      <c r="T135" s="4157"/>
      <c r="U135" s="3726" t="s">
        <v>949</v>
      </c>
      <c r="V135" s="3711" t="s">
        <v>950</v>
      </c>
      <c r="W135" s="3711"/>
      <c r="X135" s="3711" t="s">
        <v>951</v>
      </c>
      <c r="Y135" s="3711"/>
      <c r="Z135" s="3711"/>
      <c r="AA135" s="4154"/>
      <c r="AB135" s="3680" t="s">
        <v>952</v>
      </c>
      <c r="AC135" s="4154" t="s">
        <v>513</v>
      </c>
      <c r="AD135" s="4504">
        <v>2.3997</v>
      </c>
      <c r="AE135" s="4154">
        <f t="shared" si="54"/>
        <v>7487.064</v>
      </c>
      <c r="AF135" s="4505" t="s">
        <v>953</v>
      </c>
      <c r="AG135" s="3726"/>
      <c r="AH135" s="4422"/>
      <c r="AI135" s="3708">
        <f t="shared" ref="AI135:AI149" si="57">J135</f>
        <v>3120</v>
      </c>
      <c r="AJ135" s="4422"/>
      <c r="AK135" s="3708"/>
      <c r="AL135" s="3708"/>
      <c r="AM135" s="4154"/>
      <c r="AN135" s="907"/>
      <c r="AO135" s="1048">
        <f t="shared" si="39"/>
        <v>3120</v>
      </c>
      <c r="AP135" s="1048"/>
      <c r="AQ135" s="907"/>
      <c r="AR135" s="907"/>
      <c r="AS135" s="1048">
        <f t="shared" si="46"/>
        <v>3120</v>
      </c>
      <c r="AT135" s="1048"/>
      <c r="AU135" s="907"/>
      <c r="AV135" s="907"/>
      <c r="AW135" s="907"/>
      <c r="AX135" s="1048">
        <f>J135/6</f>
        <v>520</v>
      </c>
      <c r="AY135" s="907"/>
      <c r="AZ135" s="907"/>
      <c r="BA135" s="1048"/>
      <c r="BB135" s="1048"/>
      <c r="BC135" s="907"/>
      <c r="BD135" s="1048"/>
      <c r="BE135" s="1048"/>
      <c r="BF135" s="1048"/>
      <c r="BG135" s="1048"/>
      <c r="BH135" s="4622"/>
      <c r="BI135" s="4622"/>
      <c r="BJ135" s="1048"/>
      <c r="BK135" s="4415" t="s">
        <v>89</v>
      </c>
      <c r="BL135" s="4415">
        <f t="shared" si="49"/>
        <v>52</v>
      </c>
      <c r="BM135" s="4415">
        <f t="shared" si="40"/>
        <v>468</v>
      </c>
      <c r="BN135" s="4415">
        <f t="shared" si="41"/>
        <v>520</v>
      </c>
      <c r="BO135" s="4415">
        <f t="shared" si="42"/>
        <v>520</v>
      </c>
      <c r="BP135" s="4415">
        <f t="shared" si="43"/>
        <v>520</v>
      </c>
      <c r="BQ135" s="4414">
        <f t="shared" si="44"/>
        <v>520</v>
      </c>
      <c r="BR135" s="1048">
        <f t="shared" si="45"/>
        <v>520</v>
      </c>
      <c r="BS135" s="4384"/>
      <c r="BT135" s="4462"/>
      <c r="BU135" s="4462"/>
      <c r="BV135" s="4462"/>
      <c r="BW135" s="4462"/>
      <c r="BX135" s="4462"/>
      <c r="BY135" s="4462"/>
      <c r="BZ135" s="3708">
        <f t="shared" si="55"/>
        <v>3120</v>
      </c>
      <c r="CA135" s="4154">
        <f t="shared" si="56"/>
        <v>0</v>
      </c>
      <c r="CB135" s="4462"/>
      <c r="CC135" s="4462"/>
      <c r="CD135" s="4323"/>
      <c r="CE135" s="4323"/>
      <c r="CF135" s="4323"/>
    </row>
    <row r="136" s="4316" customFormat="1" ht="50" customHeight="1" spans="1:84">
      <c r="A136" s="4500">
        <v>45709</v>
      </c>
      <c r="B136" s="4501" t="s">
        <v>839</v>
      </c>
      <c r="C136" s="3708" t="s">
        <v>840</v>
      </c>
      <c r="D136" s="4502">
        <v>4500158157</v>
      </c>
      <c r="E136" s="3708">
        <v>20650321</v>
      </c>
      <c r="F136" s="4615" t="s">
        <v>954</v>
      </c>
      <c r="G136" s="3708" t="s">
        <v>508</v>
      </c>
      <c r="H136" s="3708" t="s">
        <v>508</v>
      </c>
      <c r="I136" s="3708" t="s">
        <v>328</v>
      </c>
      <c r="J136" s="4593">
        <v>372</v>
      </c>
      <c r="K136" s="4154">
        <v>0</v>
      </c>
      <c r="L136" s="4154">
        <v>6</v>
      </c>
      <c r="M136" s="4154">
        <f t="shared" ref="M136:M199" si="58">J136/L136</f>
        <v>62</v>
      </c>
      <c r="N136" s="4503">
        <v>45747</v>
      </c>
      <c r="O136" s="4503">
        <v>45743</v>
      </c>
      <c r="P136" s="3712"/>
      <c r="Q136" s="4929" t="s">
        <v>82</v>
      </c>
      <c r="R136" s="4157"/>
      <c r="S136" s="4157"/>
      <c r="T136" s="4157"/>
      <c r="U136" s="3726" t="s">
        <v>949</v>
      </c>
      <c r="V136" s="3711" t="s">
        <v>950</v>
      </c>
      <c r="W136" s="3711"/>
      <c r="X136" s="3711" t="s">
        <v>951</v>
      </c>
      <c r="Y136" s="3711"/>
      <c r="Z136" s="3711"/>
      <c r="AA136" s="4154"/>
      <c r="AB136" s="3680" t="s">
        <v>955</v>
      </c>
      <c r="AC136" s="4154" t="s">
        <v>513</v>
      </c>
      <c r="AD136" s="4504">
        <v>2.4079</v>
      </c>
      <c r="AE136" s="4154">
        <f t="shared" si="54"/>
        <v>895.7388</v>
      </c>
      <c r="AF136" s="4505" t="s">
        <v>956</v>
      </c>
      <c r="AG136" s="3726"/>
      <c r="AH136" s="4422"/>
      <c r="AI136" s="3708">
        <f t="shared" si="57"/>
        <v>372</v>
      </c>
      <c r="AJ136" s="4422"/>
      <c r="AK136" s="3708"/>
      <c r="AL136" s="3708"/>
      <c r="AM136" s="4154"/>
      <c r="AN136" s="907"/>
      <c r="AO136" s="1048">
        <f t="shared" si="39"/>
        <v>372</v>
      </c>
      <c r="AP136" s="1048"/>
      <c r="AQ136" s="907"/>
      <c r="AR136" s="907"/>
      <c r="AS136" s="1048"/>
      <c r="AT136" s="1048"/>
      <c r="AU136" s="907"/>
      <c r="AV136" s="907"/>
      <c r="AW136" s="907"/>
      <c r="AX136" s="1048">
        <f>J136/6</f>
        <v>62</v>
      </c>
      <c r="AY136" s="907"/>
      <c r="AZ136" s="907"/>
      <c r="BA136" s="1048"/>
      <c r="BB136" s="1048"/>
      <c r="BC136" s="907"/>
      <c r="BD136" s="1048"/>
      <c r="BE136" s="1048"/>
      <c r="BF136" s="1048"/>
      <c r="BG136" s="1048"/>
      <c r="BH136" s="4622"/>
      <c r="BI136" s="4622"/>
      <c r="BJ136" s="1048"/>
      <c r="BK136" s="4415" t="s">
        <v>89</v>
      </c>
      <c r="BL136" s="4415">
        <f t="shared" si="49"/>
        <v>6.2</v>
      </c>
      <c r="BM136" s="4415">
        <f t="shared" si="40"/>
        <v>55.8</v>
      </c>
      <c r="BN136" s="4415">
        <f t="shared" si="41"/>
        <v>62</v>
      </c>
      <c r="BO136" s="4415">
        <f t="shared" si="42"/>
        <v>62</v>
      </c>
      <c r="BP136" s="4415">
        <f t="shared" si="43"/>
        <v>62</v>
      </c>
      <c r="BQ136" s="4414">
        <f t="shared" si="44"/>
        <v>62</v>
      </c>
      <c r="BR136" s="1048">
        <f t="shared" si="45"/>
        <v>62</v>
      </c>
      <c r="BS136" s="4384"/>
      <c r="BT136" s="4462"/>
      <c r="BU136" s="4462"/>
      <c r="BV136" s="4462"/>
      <c r="BW136" s="4462"/>
      <c r="BX136" s="4462"/>
      <c r="BY136" s="4462"/>
      <c r="BZ136" s="3708">
        <f t="shared" si="55"/>
        <v>372</v>
      </c>
      <c r="CA136" s="4154">
        <f t="shared" si="56"/>
        <v>0</v>
      </c>
      <c r="CB136" s="4462"/>
      <c r="CC136" s="4462"/>
      <c r="CD136" s="4323"/>
      <c r="CE136" s="4323"/>
      <c r="CF136" s="4323"/>
    </row>
    <row r="137" s="4316" customFormat="1" ht="50" customHeight="1" spans="1:84">
      <c r="A137" s="4500">
        <v>45709</v>
      </c>
      <c r="B137" s="4501" t="s">
        <v>90</v>
      </c>
      <c r="C137" s="3708" t="s">
        <v>91</v>
      </c>
      <c r="D137" s="4502">
        <v>4500158049</v>
      </c>
      <c r="E137" s="3708" t="s">
        <v>957</v>
      </c>
      <c r="F137" s="4615" t="s">
        <v>958</v>
      </c>
      <c r="G137" s="3708" t="s">
        <v>333</v>
      </c>
      <c r="H137" s="3708" t="s">
        <v>333</v>
      </c>
      <c r="I137" s="3708" t="s">
        <v>328</v>
      </c>
      <c r="J137" s="4593">
        <v>120</v>
      </c>
      <c r="K137" s="4154">
        <v>0</v>
      </c>
      <c r="L137" s="4154">
        <v>24</v>
      </c>
      <c r="M137" s="4154">
        <f t="shared" si="58"/>
        <v>5</v>
      </c>
      <c r="N137" s="4503">
        <v>45747</v>
      </c>
      <c r="O137" s="4503">
        <v>45743</v>
      </c>
      <c r="P137" s="3712"/>
      <c r="Q137" s="4929" t="s">
        <v>82</v>
      </c>
      <c r="R137" s="4157"/>
      <c r="S137" s="4157"/>
      <c r="T137" s="4157"/>
      <c r="U137" s="3726"/>
      <c r="V137" s="3711" t="s">
        <v>924</v>
      </c>
      <c r="W137" s="3711"/>
      <c r="X137" s="3711" t="s">
        <v>98</v>
      </c>
      <c r="Y137" s="3711"/>
      <c r="Z137" s="3711" t="s">
        <v>959</v>
      </c>
      <c r="AA137" s="4154"/>
      <c r="AB137" s="3680" t="s">
        <v>960</v>
      </c>
      <c r="AC137" s="4154" t="s">
        <v>653</v>
      </c>
      <c r="AD137" s="4504">
        <v>2.2476</v>
      </c>
      <c r="AE137" s="4154">
        <f t="shared" si="54"/>
        <v>269.712</v>
      </c>
      <c r="AF137" s="4505" t="s">
        <v>961</v>
      </c>
      <c r="AG137" s="3726"/>
      <c r="AH137" s="4422"/>
      <c r="AI137" s="3708">
        <f t="shared" si="57"/>
        <v>120</v>
      </c>
      <c r="AJ137" s="4422"/>
      <c r="AK137" s="4154"/>
      <c r="AL137" s="1048"/>
      <c r="AM137" s="1048"/>
      <c r="AN137" s="907"/>
      <c r="AO137" s="1048">
        <f>J137</f>
        <v>120</v>
      </c>
      <c r="AP137" s="1048"/>
      <c r="AQ137" s="907"/>
      <c r="AR137" s="907"/>
      <c r="AS137" s="1048">
        <f t="shared" ref="AS137:AS149" si="59">J137</f>
        <v>120</v>
      </c>
      <c r="AT137" s="1048"/>
      <c r="AU137" s="907"/>
      <c r="AV137" s="907"/>
      <c r="AW137" s="4922"/>
      <c r="AX137" s="1048"/>
      <c r="AY137" s="907"/>
      <c r="AZ137" s="911"/>
      <c r="BA137" s="1048"/>
      <c r="BB137" s="1048"/>
      <c r="BC137" s="911"/>
      <c r="BD137" s="1048"/>
      <c r="BE137" s="1048"/>
      <c r="BF137" s="1048"/>
      <c r="BG137" s="1048"/>
      <c r="BH137" s="4622"/>
      <c r="BI137" s="4622"/>
      <c r="BJ137" s="1048"/>
      <c r="BK137" s="4415" t="s">
        <v>89</v>
      </c>
      <c r="BL137" s="4415">
        <f t="shared" si="49"/>
        <v>2</v>
      </c>
      <c r="BM137" s="4415">
        <f t="shared" si="40"/>
        <v>18</v>
      </c>
      <c r="BN137" s="4415">
        <f t="shared" si="41"/>
        <v>20</v>
      </c>
      <c r="BO137" s="4415">
        <f t="shared" si="42"/>
        <v>20</v>
      </c>
      <c r="BP137" s="4415">
        <f t="shared" si="43"/>
        <v>20</v>
      </c>
      <c r="BQ137" s="4414">
        <f t="shared" si="44"/>
        <v>20</v>
      </c>
      <c r="BR137" s="1048">
        <f t="shared" si="45"/>
        <v>20</v>
      </c>
      <c r="BS137" s="4384"/>
      <c r="BT137" s="911"/>
      <c r="BU137" s="911"/>
      <c r="BV137" s="911"/>
      <c r="BW137" s="911"/>
      <c r="BX137" s="910"/>
      <c r="BY137" s="910"/>
      <c r="BZ137" s="3708">
        <f t="shared" si="55"/>
        <v>120</v>
      </c>
      <c r="CA137" s="4154">
        <f t="shared" si="56"/>
        <v>0</v>
      </c>
      <c r="CB137" s="4462"/>
      <c r="CC137" s="4462"/>
      <c r="CD137" s="4323"/>
      <c r="CE137" s="4323"/>
      <c r="CF137" s="4323"/>
    </row>
    <row r="138" s="4316" customFormat="1" ht="50" customHeight="1" spans="1:84">
      <c r="A138" s="4500">
        <v>45701</v>
      </c>
      <c r="B138" s="4501" t="s">
        <v>90</v>
      </c>
      <c r="C138" s="3708" t="s">
        <v>91</v>
      </c>
      <c r="D138" s="4502">
        <v>4500157308</v>
      </c>
      <c r="E138" s="3708" t="s">
        <v>482</v>
      </c>
      <c r="F138" s="4615" t="s">
        <v>962</v>
      </c>
      <c r="G138" s="3708" t="s">
        <v>333</v>
      </c>
      <c r="H138" s="3708" t="s">
        <v>333</v>
      </c>
      <c r="I138" s="3708" t="s">
        <v>328</v>
      </c>
      <c r="J138" s="4593">
        <v>1992</v>
      </c>
      <c r="K138" s="4154">
        <v>0</v>
      </c>
      <c r="L138" s="4154">
        <v>24</v>
      </c>
      <c r="M138" s="4154">
        <f t="shared" si="58"/>
        <v>83</v>
      </c>
      <c r="N138" s="4503">
        <v>45754</v>
      </c>
      <c r="O138" s="4503">
        <v>45750</v>
      </c>
      <c r="P138" s="4154" t="s">
        <v>963</v>
      </c>
      <c r="Q138" s="4929" t="s">
        <v>82</v>
      </c>
      <c r="R138" s="4157"/>
      <c r="S138" s="4157"/>
      <c r="T138" s="4157"/>
      <c r="U138" s="3726" t="s">
        <v>964</v>
      </c>
      <c r="V138" s="3711" t="s">
        <v>912</v>
      </c>
      <c r="W138" s="3711"/>
      <c r="X138" s="3711" t="s">
        <v>98</v>
      </c>
      <c r="Y138" s="3711"/>
      <c r="Z138" s="3711" t="s">
        <v>965</v>
      </c>
      <c r="AA138" s="4154"/>
      <c r="AB138" s="3680" t="s">
        <v>966</v>
      </c>
      <c r="AC138" s="4154" t="s">
        <v>653</v>
      </c>
      <c r="AD138" s="4504">
        <v>2.1295</v>
      </c>
      <c r="AE138" s="4154">
        <f t="shared" si="54"/>
        <v>4241.964</v>
      </c>
      <c r="AF138" s="4505" t="s">
        <v>967</v>
      </c>
      <c r="AG138" s="3726"/>
      <c r="AH138" s="4422"/>
      <c r="AI138" s="3708">
        <f t="shared" si="57"/>
        <v>1992</v>
      </c>
      <c r="AJ138" s="4422"/>
      <c r="AK138" s="3708"/>
      <c r="AL138" s="3708"/>
      <c r="AM138" s="4154"/>
      <c r="AN138" s="907"/>
      <c r="AO138" s="1048">
        <f>J138</f>
        <v>1992</v>
      </c>
      <c r="AP138" s="1048"/>
      <c r="AQ138" s="907"/>
      <c r="AR138" s="907"/>
      <c r="AS138" s="1048">
        <f t="shared" si="59"/>
        <v>1992</v>
      </c>
      <c r="AT138" s="1048"/>
      <c r="AU138" s="907"/>
      <c r="AV138" s="907"/>
      <c r="AW138" s="907"/>
      <c r="AX138" s="1048"/>
      <c r="AY138" s="907"/>
      <c r="AZ138" s="907"/>
      <c r="BA138" s="1048"/>
      <c r="BB138" s="1048"/>
      <c r="BC138" s="907"/>
      <c r="BD138" s="1048"/>
      <c r="BE138" s="1048"/>
      <c r="BF138" s="1048"/>
      <c r="BG138" s="1048"/>
      <c r="BH138" s="4622"/>
      <c r="BI138" s="4622"/>
      <c r="BJ138" s="1048"/>
      <c r="BK138" s="4415" t="s">
        <v>89</v>
      </c>
      <c r="BL138" s="4415">
        <f t="shared" si="49"/>
        <v>33.2</v>
      </c>
      <c r="BM138" s="4415">
        <f t="shared" si="40"/>
        <v>298.8</v>
      </c>
      <c r="BN138" s="4415">
        <f t="shared" si="41"/>
        <v>332</v>
      </c>
      <c r="BO138" s="4415">
        <f t="shared" si="42"/>
        <v>332</v>
      </c>
      <c r="BP138" s="4415">
        <f t="shared" si="43"/>
        <v>332</v>
      </c>
      <c r="BQ138" s="4414">
        <f t="shared" si="44"/>
        <v>332</v>
      </c>
      <c r="BR138" s="1048">
        <f t="shared" si="45"/>
        <v>332</v>
      </c>
      <c r="BS138" s="4384"/>
      <c r="BT138" s="911"/>
      <c r="BU138" s="911"/>
      <c r="BV138" s="911"/>
      <c r="BW138" s="911"/>
      <c r="BX138" s="910"/>
      <c r="BY138" s="910"/>
      <c r="BZ138" s="3708">
        <f t="shared" si="55"/>
        <v>1992</v>
      </c>
      <c r="CA138" s="4154">
        <f t="shared" si="56"/>
        <v>0</v>
      </c>
      <c r="CB138" s="4462"/>
      <c r="CC138" s="4462"/>
      <c r="CD138" s="4323">
        <v>804</v>
      </c>
      <c r="CE138" s="4323"/>
      <c r="CF138" s="4323"/>
    </row>
    <row r="139" s="4316" customFormat="1" ht="50" customHeight="1" spans="1:84">
      <c r="A139" s="4500">
        <v>45701</v>
      </c>
      <c r="B139" s="4501" t="s">
        <v>90</v>
      </c>
      <c r="C139" s="3708" t="s">
        <v>91</v>
      </c>
      <c r="D139" s="4502">
        <v>4500157305</v>
      </c>
      <c r="E139" s="3708" t="s">
        <v>916</v>
      </c>
      <c r="F139" s="4615" t="s">
        <v>968</v>
      </c>
      <c r="G139" s="3708" t="s">
        <v>333</v>
      </c>
      <c r="H139" s="3708" t="s">
        <v>333</v>
      </c>
      <c r="I139" s="3708" t="s">
        <v>328</v>
      </c>
      <c r="J139" s="4593">
        <v>1800</v>
      </c>
      <c r="K139" s="4154">
        <v>0</v>
      </c>
      <c r="L139" s="4154">
        <v>24</v>
      </c>
      <c r="M139" s="4154">
        <f t="shared" si="58"/>
        <v>75</v>
      </c>
      <c r="N139" s="4503">
        <v>45754</v>
      </c>
      <c r="O139" s="4503">
        <v>45750</v>
      </c>
      <c r="P139" s="4154" t="s">
        <v>963</v>
      </c>
      <c r="Q139" s="4929" t="s">
        <v>82</v>
      </c>
      <c r="R139" s="4157"/>
      <c r="S139" s="4157"/>
      <c r="T139" s="4157"/>
      <c r="U139" s="3726" t="s">
        <v>969</v>
      </c>
      <c r="V139" s="3711" t="s">
        <v>912</v>
      </c>
      <c r="W139" s="3711"/>
      <c r="X139" s="3711" t="s">
        <v>98</v>
      </c>
      <c r="Y139" s="3711"/>
      <c r="Z139" s="3711" t="s">
        <v>965</v>
      </c>
      <c r="AA139" s="4154"/>
      <c r="AB139" s="3680" t="s">
        <v>970</v>
      </c>
      <c r="AC139" s="4154" t="s">
        <v>653</v>
      </c>
      <c r="AD139" s="4504">
        <v>2.1295</v>
      </c>
      <c r="AE139" s="4154">
        <f t="shared" si="54"/>
        <v>3833.1</v>
      </c>
      <c r="AF139" s="4505" t="s">
        <v>971</v>
      </c>
      <c r="AG139" s="3726"/>
      <c r="AH139" s="4422"/>
      <c r="AI139" s="3708">
        <f t="shared" si="57"/>
        <v>1800</v>
      </c>
      <c r="AJ139" s="4422"/>
      <c r="AK139" s="3708"/>
      <c r="AL139" s="3708"/>
      <c r="AM139" s="4154"/>
      <c r="AN139" s="907"/>
      <c r="AO139" s="1048">
        <f t="shared" ref="AO139:AO144" si="60">J139</f>
        <v>1800</v>
      </c>
      <c r="AP139" s="1048"/>
      <c r="AQ139" s="907"/>
      <c r="AR139" s="907"/>
      <c r="AS139" s="1048">
        <f t="shared" si="59"/>
        <v>1800</v>
      </c>
      <c r="AT139" s="1048"/>
      <c r="AU139" s="907"/>
      <c r="AV139" s="907"/>
      <c r="AW139" s="907"/>
      <c r="AX139" s="1048"/>
      <c r="AY139" s="907"/>
      <c r="AZ139" s="907"/>
      <c r="BA139" s="1048"/>
      <c r="BB139" s="1048"/>
      <c r="BC139" s="907"/>
      <c r="BD139" s="1048"/>
      <c r="BE139" s="1048"/>
      <c r="BF139" s="1048"/>
      <c r="BG139" s="1048"/>
      <c r="BH139" s="4622"/>
      <c r="BI139" s="4622"/>
      <c r="BJ139" s="1048"/>
      <c r="BK139" s="4415" t="s">
        <v>89</v>
      </c>
      <c r="BL139" s="4415">
        <f t="shared" si="49"/>
        <v>30</v>
      </c>
      <c r="BM139" s="4415">
        <f t="shared" si="40"/>
        <v>270</v>
      </c>
      <c r="BN139" s="4415">
        <f t="shared" si="41"/>
        <v>300</v>
      </c>
      <c r="BO139" s="4415">
        <f t="shared" si="42"/>
        <v>300</v>
      </c>
      <c r="BP139" s="4415">
        <f t="shared" si="43"/>
        <v>300</v>
      </c>
      <c r="BQ139" s="4414">
        <f t="shared" si="44"/>
        <v>300</v>
      </c>
      <c r="BR139" s="1048">
        <f t="shared" si="45"/>
        <v>300</v>
      </c>
      <c r="BS139" s="4384"/>
      <c r="BT139" s="911"/>
      <c r="BU139" s="911"/>
      <c r="BV139" s="911"/>
      <c r="BW139" s="911"/>
      <c r="BX139" s="910"/>
      <c r="BY139" s="910"/>
      <c r="BZ139" s="3708">
        <f t="shared" si="55"/>
        <v>1800</v>
      </c>
      <c r="CA139" s="4154">
        <f t="shared" si="56"/>
        <v>0</v>
      </c>
      <c r="CB139" s="4462"/>
      <c r="CC139" s="4462"/>
      <c r="CD139" s="4323"/>
      <c r="CE139" s="4323"/>
      <c r="CF139" s="4323"/>
    </row>
    <row r="140" s="4316" customFormat="1" ht="50" customHeight="1" spans="1:84">
      <c r="A140" s="4500">
        <v>45715</v>
      </c>
      <c r="B140" s="4501" t="s">
        <v>839</v>
      </c>
      <c r="C140" s="3708" t="s">
        <v>840</v>
      </c>
      <c r="D140" s="4502">
        <v>4500158787</v>
      </c>
      <c r="E140" s="3708">
        <v>20661142</v>
      </c>
      <c r="F140" s="4502" t="s">
        <v>972</v>
      </c>
      <c r="G140" s="3708" t="s">
        <v>508</v>
      </c>
      <c r="H140" s="3708" t="s">
        <v>508</v>
      </c>
      <c r="I140" s="3708" t="s">
        <v>328</v>
      </c>
      <c r="J140" s="4593">
        <v>192</v>
      </c>
      <c r="K140" s="4154">
        <v>0</v>
      </c>
      <c r="L140" s="4154">
        <v>6</v>
      </c>
      <c r="M140" s="4154">
        <f t="shared" si="58"/>
        <v>32</v>
      </c>
      <c r="N140" s="4503">
        <v>45754</v>
      </c>
      <c r="O140" s="4503">
        <v>45750</v>
      </c>
      <c r="P140" s="3712"/>
      <c r="Q140" s="4929" t="s">
        <v>82</v>
      </c>
      <c r="R140" s="4157"/>
      <c r="S140" s="4157"/>
      <c r="T140" s="4157"/>
      <c r="U140" s="3726" t="s">
        <v>973</v>
      </c>
      <c r="V140" s="3711" t="s">
        <v>974</v>
      </c>
      <c r="W140" s="3711"/>
      <c r="X140" s="3711" t="s">
        <v>975</v>
      </c>
      <c r="Y140" s="3711"/>
      <c r="Z140" s="3711"/>
      <c r="AA140" s="4154"/>
      <c r="AB140" s="3680" t="s">
        <v>842</v>
      </c>
      <c r="AC140" s="4154" t="s">
        <v>513</v>
      </c>
      <c r="AD140" s="4504">
        <v>2.4079</v>
      </c>
      <c r="AE140" s="4154">
        <f t="shared" si="54"/>
        <v>462.3168</v>
      </c>
      <c r="AF140" s="4505" t="s">
        <v>976</v>
      </c>
      <c r="AG140" s="3726"/>
      <c r="AH140" s="4422"/>
      <c r="AI140" s="3708">
        <f t="shared" si="57"/>
        <v>192</v>
      </c>
      <c r="AJ140" s="4422"/>
      <c r="AK140" s="3708"/>
      <c r="AL140" s="3708"/>
      <c r="AM140" s="4154"/>
      <c r="AN140" s="907"/>
      <c r="AO140" s="1048">
        <f t="shared" si="60"/>
        <v>192</v>
      </c>
      <c r="AP140" s="1048"/>
      <c r="AQ140" s="907"/>
      <c r="AR140" s="907"/>
      <c r="AS140" s="1048">
        <f t="shared" si="59"/>
        <v>192</v>
      </c>
      <c r="AT140" s="1048"/>
      <c r="AU140" s="907"/>
      <c r="AV140" s="907"/>
      <c r="AW140" s="907"/>
      <c r="AX140" s="1048">
        <f>J140/6</f>
        <v>32</v>
      </c>
      <c r="AY140" s="907"/>
      <c r="AZ140" s="907"/>
      <c r="BA140" s="1048"/>
      <c r="BB140" s="1048"/>
      <c r="BC140" s="907"/>
      <c r="BD140" s="1048"/>
      <c r="BE140" s="1048"/>
      <c r="BF140" s="1048"/>
      <c r="BG140" s="1048"/>
      <c r="BH140" s="1048"/>
      <c r="BI140" s="4622"/>
      <c r="BJ140" s="1048"/>
      <c r="BK140" s="4415" t="s">
        <v>89</v>
      </c>
      <c r="BL140" s="4415">
        <f t="shared" si="49"/>
        <v>3.2</v>
      </c>
      <c r="BM140" s="4415">
        <f t="shared" si="40"/>
        <v>28.8</v>
      </c>
      <c r="BN140" s="4415">
        <f t="shared" si="41"/>
        <v>32</v>
      </c>
      <c r="BO140" s="4415">
        <f t="shared" si="42"/>
        <v>32</v>
      </c>
      <c r="BP140" s="4415">
        <f t="shared" si="43"/>
        <v>32</v>
      </c>
      <c r="BQ140" s="4414">
        <f t="shared" si="44"/>
        <v>32</v>
      </c>
      <c r="BR140" s="1048">
        <f t="shared" si="45"/>
        <v>32</v>
      </c>
      <c r="BS140" s="4384"/>
      <c r="BT140" s="4462"/>
      <c r="BU140" s="4462"/>
      <c r="BV140" s="4462"/>
      <c r="BW140" s="4462"/>
      <c r="BX140" s="4462"/>
      <c r="BY140" s="4462"/>
      <c r="BZ140" s="3708">
        <f t="shared" si="55"/>
        <v>192</v>
      </c>
      <c r="CA140" s="4154">
        <f t="shared" si="56"/>
        <v>0</v>
      </c>
      <c r="CB140" s="4462"/>
      <c r="CC140" s="4462"/>
      <c r="CD140" s="4323"/>
      <c r="CE140" s="4323"/>
      <c r="CF140" s="4323"/>
    </row>
    <row r="141" s="4316" customFormat="1" ht="50" customHeight="1" spans="1:84">
      <c r="A141" s="4500">
        <v>45715</v>
      </c>
      <c r="B141" s="4501" t="s">
        <v>505</v>
      </c>
      <c r="C141" s="3708" t="s">
        <v>506</v>
      </c>
      <c r="D141" s="4502">
        <v>4500158785</v>
      </c>
      <c r="E141" s="3708">
        <v>20661141</v>
      </c>
      <c r="F141" s="4502" t="s">
        <v>977</v>
      </c>
      <c r="G141" s="3708" t="s">
        <v>508</v>
      </c>
      <c r="H141" s="3708" t="s">
        <v>508</v>
      </c>
      <c r="I141" s="3708" t="s">
        <v>328</v>
      </c>
      <c r="J141" s="4593">
        <v>1308</v>
      </c>
      <c r="K141" s="4154">
        <v>0</v>
      </c>
      <c r="L141" s="4154">
        <v>6</v>
      </c>
      <c r="M141" s="4154">
        <f t="shared" si="58"/>
        <v>218</v>
      </c>
      <c r="N141" s="4503">
        <v>45754</v>
      </c>
      <c r="O141" s="4503">
        <v>45750</v>
      </c>
      <c r="P141" s="3712"/>
      <c r="Q141" s="4929" t="s">
        <v>82</v>
      </c>
      <c r="R141" s="4157"/>
      <c r="S141" s="4157"/>
      <c r="T141" s="4157"/>
      <c r="U141" s="3726" t="s">
        <v>973</v>
      </c>
      <c r="V141" s="3711" t="s">
        <v>974</v>
      </c>
      <c r="W141" s="3711"/>
      <c r="X141" s="3711" t="s">
        <v>975</v>
      </c>
      <c r="Y141" s="3711"/>
      <c r="Z141" s="3711"/>
      <c r="AA141" s="4154"/>
      <c r="AB141" s="3680" t="s">
        <v>978</v>
      </c>
      <c r="AC141" s="4154" t="s">
        <v>513</v>
      </c>
      <c r="AD141" s="4504">
        <v>2.4032</v>
      </c>
      <c r="AE141" s="4154">
        <f t="shared" si="54"/>
        <v>3143.3856</v>
      </c>
      <c r="AF141" s="4505" t="s">
        <v>979</v>
      </c>
      <c r="AG141" s="3726"/>
      <c r="AH141" s="4422"/>
      <c r="AI141" s="3708">
        <f t="shared" si="57"/>
        <v>1308</v>
      </c>
      <c r="AJ141" s="4422"/>
      <c r="AK141" s="3708"/>
      <c r="AL141" s="3708"/>
      <c r="AM141" s="4154"/>
      <c r="AN141" s="907"/>
      <c r="AO141" s="1048">
        <f t="shared" si="60"/>
        <v>1308</v>
      </c>
      <c r="AP141" s="1048"/>
      <c r="AQ141" s="907"/>
      <c r="AR141" s="907"/>
      <c r="AS141" s="1048">
        <f t="shared" si="59"/>
        <v>1308</v>
      </c>
      <c r="AT141" s="1048"/>
      <c r="AU141" s="907"/>
      <c r="AV141" s="907"/>
      <c r="AW141" s="907"/>
      <c r="AX141" s="1048">
        <f>J141/6</f>
        <v>218</v>
      </c>
      <c r="AY141" s="907"/>
      <c r="AZ141" s="907"/>
      <c r="BA141" s="1048"/>
      <c r="BB141" s="1048"/>
      <c r="BC141" s="907"/>
      <c r="BD141" s="1048"/>
      <c r="BE141" s="1048"/>
      <c r="BF141" s="1048"/>
      <c r="BG141" s="1048"/>
      <c r="BH141" s="1048"/>
      <c r="BI141" s="4622"/>
      <c r="BJ141" s="1048"/>
      <c r="BK141" s="4415" t="s">
        <v>89</v>
      </c>
      <c r="BL141" s="4415">
        <f t="shared" si="49"/>
        <v>21.8</v>
      </c>
      <c r="BM141" s="4415">
        <f t="shared" si="40"/>
        <v>196.2</v>
      </c>
      <c r="BN141" s="4415">
        <f t="shared" si="41"/>
        <v>218</v>
      </c>
      <c r="BO141" s="4415">
        <f t="shared" si="42"/>
        <v>218</v>
      </c>
      <c r="BP141" s="4415">
        <f t="shared" si="43"/>
        <v>218</v>
      </c>
      <c r="BQ141" s="4414">
        <f t="shared" si="44"/>
        <v>218</v>
      </c>
      <c r="BR141" s="1048">
        <f t="shared" si="45"/>
        <v>218</v>
      </c>
      <c r="BS141" s="4384"/>
      <c r="BT141" s="4462"/>
      <c r="BU141" s="4462"/>
      <c r="BV141" s="4462"/>
      <c r="BW141" s="4462"/>
      <c r="BX141" s="4462"/>
      <c r="BY141" s="4462"/>
      <c r="BZ141" s="3708">
        <f t="shared" si="55"/>
        <v>1308</v>
      </c>
      <c r="CA141" s="4154">
        <f t="shared" si="56"/>
        <v>0</v>
      </c>
      <c r="CB141" s="4462"/>
      <c r="CC141" s="4462"/>
      <c r="CD141" s="4323"/>
      <c r="CE141" s="4323"/>
      <c r="CF141" s="4323"/>
    </row>
    <row r="142" s="4316" customFormat="1" ht="50" customHeight="1" spans="1:84">
      <c r="A142" s="4500">
        <v>45712</v>
      </c>
      <c r="B142" s="4501" t="s">
        <v>980</v>
      </c>
      <c r="C142" s="3708" t="s">
        <v>351</v>
      </c>
      <c r="D142" s="4502">
        <v>4500158125</v>
      </c>
      <c r="E142" s="3708"/>
      <c r="F142" s="4615" t="s">
        <v>981</v>
      </c>
      <c r="G142" s="3708" t="s">
        <v>360</v>
      </c>
      <c r="H142" s="3708" t="s">
        <v>327</v>
      </c>
      <c r="I142" s="4154" t="s">
        <v>328</v>
      </c>
      <c r="J142" s="4154">
        <v>816</v>
      </c>
      <c r="K142" s="4154">
        <v>0</v>
      </c>
      <c r="L142" s="4154">
        <v>12</v>
      </c>
      <c r="M142" s="4154">
        <f t="shared" si="58"/>
        <v>68</v>
      </c>
      <c r="N142" s="4503">
        <v>45756</v>
      </c>
      <c r="O142" s="4503">
        <v>45752</v>
      </c>
      <c r="P142" s="3712"/>
      <c r="Q142" s="4929" t="s">
        <v>82</v>
      </c>
      <c r="R142" s="4157"/>
      <c r="S142" s="4157"/>
      <c r="T142" s="4157"/>
      <c r="U142" s="3726" t="s">
        <v>982</v>
      </c>
      <c r="V142" s="3711" t="s">
        <v>936</v>
      </c>
      <c r="W142" s="3711"/>
      <c r="X142" s="3711" t="s">
        <v>983</v>
      </c>
      <c r="Y142" s="3711"/>
      <c r="Z142" s="3711"/>
      <c r="AA142" s="4154"/>
      <c r="AB142" s="3680" t="s">
        <v>984</v>
      </c>
      <c r="AC142" s="4154" t="s">
        <v>357</v>
      </c>
      <c r="AD142" s="4504">
        <v>2.209</v>
      </c>
      <c r="AE142" s="4154">
        <f t="shared" si="54"/>
        <v>1802.544</v>
      </c>
      <c r="AF142" s="4505" t="s">
        <v>985</v>
      </c>
      <c r="AG142" s="3726"/>
      <c r="AH142" s="4422"/>
      <c r="AI142" s="3708">
        <f t="shared" si="57"/>
        <v>816</v>
      </c>
      <c r="AJ142" s="4422"/>
      <c r="AK142" s="3708"/>
      <c r="AL142" s="3708"/>
      <c r="AM142" s="4154"/>
      <c r="AN142" s="907"/>
      <c r="AO142" s="1048">
        <f t="shared" si="60"/>
        <v>816</v>
      </c>
      <c r="AP142" s="1048"/>
      <c r="AQ142" s="907"/>
      <c r="AR142" s="907"/>
      <c r="AS142" s="1048">
        <f t="shared" si="59"/>
        <v>816</v>
      </c>
      <c r="AT142" s="1048"/>
      <c r="AU142" s="907"/>
      <c r="AV142" s="907"/>
      <c r="AW142" s="907"/>
      <c r="AX142" s="1048">
        <f>J142/6</f>
        <v>136</v>
      </c>
      <c r="AY142" s="907"/>
      <c r="AZ142" s="907"/>
      <c r="BA142" s="1048"/>
      <c r="BB142" s="1048"/>
      <c r="BC142" s="907"/>
      <c r="BD142" s="1048"/>
      <c r="BE142" s="1048"/>
      <c r="BF142" s="1048"/>
      <c r="BG142" s="1048"/>
      <c r="BH142" s="1048"/>
      <c r="BI142" s="4622"/>
      <c r="BJ142" s="1048"/>
      <c r="BK142" s="4415" t="s">
        <v>89</v>
      </c>
      <c r="BL142" s="4415">
        <f t="shared" si="49"/>
        <v>13.6</v>
      </c>
      <c r="BM142" s="4415">
        <f t="shared" si="40"/>
        <v>122.4</v>
      </c>
      <c r="BN142" s="4415">
        <f t="shared" si="41"/>
        <v>136</v>
      </c>
      <c r="BO142" s="4415">
        <f t="shared" si="42"/>
        <v>136</v>
      </c>
      <c r="BP142" s="4415">
        <f t="shared" si="43"/>
        <v>136</v>
      </c>
      <c r="BQ142" s="4414">
        <f t="shared" si="44"/>
        <v>136</v>
      </c>
      <c r="BR142" s="1048">
        <f t="shared" si="45"/>
        <v>136</v>
      </c>
      <c r="BS142" s="4384"/>
      <c r="BT142" s="4462"/>
      <c r="BU142" s="4462"/>
      <c r="BV142" s="4462"/>
      <c r="BW142" s="4462"/>
      <c r="BX142" s="4462"/>
      <c r="BY142" s="4462"/>
      <c r="BZ142" s="3708">
        <f t="shared" si="55"/>
        <v>816</v>
      </c>
      <c r="CA142" s="4154">
        <f t="shared" si="56"/>
        <v>0</v>
      </c>
      <c r="CB142" s="4462"/>
      <c r="CC142" s="4462"/>
      <c r="CD142" s="4323"/>
      <c r="CE142" s="4323"/>
      <c r="CF142" s="4323"/>
    </row>
    <row r="143" s="4316" customFormat="1" ht="50" customHeight="1" spans="1:84">
      <c r="A143" s="4500">
        <v>45701</v>
      </c>
      <c r="B143" s="4501" t="s">
        <v>90</v>
      </c>
      <c r="C143" s="3708" t="s">
        <v>91</v>
      </c>
      <c r="D143" s="4502">
        <v>4500157308</v>
      </c>
      <c r="E143" s="3708" t="s">
        <v>927</v>
      </c>
      <c r="F143" s="4615" t="s">
        <v>986</v>
      </c>
      <c r="G143" s="3708" t="s">
        <v>409</v>
      </c>
      <c r="H143" s="3708" t="s">
        <v>409</v>
      </c>
      <c r="I143" s="3708" t="s">
        <v>410</v>
      </c>
      <c r="J143" s="4154">
        <v>804</v>
      </c>
      <c r="K143" s="4154">
        <v>0</v>
      </c>
      <c r="L143" s="4154">
        <v>12</v>
      </c>
      <c r="M143" s="4154">
        <f t="shared" si="58"/>
        <v>67</v>
      </c>
      <c r="N143" s="4503">
        <v>45754</v>
      </c>
      <c r="O143" s="4503">
        <v>45750</v>
      </c>
      <c r="P143" s="4154" t="s">
        <v>963</v>
      </c>
      <c r="Q143" s="4929" t="s">
        <v>82</v>
      </c>
      <c r="R143" s="4157"/>
      <c r="S143" s="4157"/>
      <c r="T143" s="4157"/>
      <c r="U143" s="3726" t="s">
        <v>964</v>
      </c>
      <c r="V143" s="3711" t="s">
        <v>912</v>
      </c>
      <c r="W143" s="3711"/>
      <c r="X143" s="3711" t="s">
        <v>98</v>
      </c>
      <c r="Y143" s="3711"/>
      <c r="Z143" s="3711" t="s">
        <v>965</v>
      </c>
      <c r="AA143" s="4154"/>
      <c r="AB143" s="3680" t="s">
        <v>966</v>
      </c>
      <c r="AC143" s="4154" t="s">
        <v>653</v>
      </c>
      <c r="AD143" s="4504">
        <v>2.8218</v>
      </c>
      <c r="AE143" s="4154">
        <f t="shared" si="54"/>
        <v>2268.7272</v>
      </c>
      <c r="AF143" s="4505" t="s">
        <v>967</v>
      </c>
      <c r="AG143" s="3726" t="s">
        <v>416</v>
      </c>
      <c r="AH143" s="984"/>
      <c r="AI143" s="3708">
        <f t="shared" si="57"/>
        <v>804</v>
      </c>
      <c r="AJ143" s="984"/>
      <c r="AK143" s="3708"/>
      <c r="AL143" s="3708"/>
      <c r="AM143" s="4154"/>
      <c r="AN143" s="877"/>
      <c r="AO143" s="1048">
        <f t="shared" si="60"/>
        <v>804</v>
      </c>
      <c r="AP143" s="1048"/>
      <c r="AQ143" s="877"/>
      <c r="AR143" s="877"/>
      <c r="AS143" s="1048">
        <f t="shared" si="59"/>
        <v>804</v>
      </c>
      <c r="AT143" s="1048"/>
      <c r="AU143" s="877"/>
      <c r="AV143" s="877"/>
      <c r="AW143" s="877"/>
      <c r="AX143" s="1048"/>
      <c r="AY143" s="877"/>
      <c r="AZ143" s="877"/>
      <c r="BA143" s="1048"/>
      <c r="BB143" s="1048"/>
      <c r="BC143" s="877"/>
      <c r="BD143" s="1048"/>
      <c r="BE143" s="1048"/>
      <c r="BF143" s="1048"/>
      <c r="BG143" s="1048"/>
      <c r="BH143" s="1048">
        <f>J143</f>
        <v>804</v>
      </c>
      <c r="BI143" s="4622"/>
      <c r="BJ143" s="1048"/>
      <c r="BK143" s="4415" t="s">
        <v>89</v>
      </c>
      <c r="BL143" s="4415">
        <f t="shared" si="49"/>
        <v>13.4</v>
      </c>
      <c r="BM143" s="4415">
        <f t="shared" si="40"/>
        <v>120.6</v>
      </c>
      <c r="BN143" s="4415">
        <f t="shared" si="41"/>
        <v>134</v>
      </c>
      <c r="BO143" s="4415">
        <f t="shared" si="42"/>
        <v>134</v>
      </c>
      <c r="BP143" s="4415">
        <f t="shared" si="43"/>
        <v>134</v>
      </c>
      <c r="BQ143" s="4414">
        <f t="shared" si="44"/>
        <v>134</v>
      </c>
      <c r="BR143" s="1048">
        <f t="shared" si="45"/>
        <v>134</v>
      </c>
      <c r="BS143" s="4384"/>
      <c r="BT143" s="4930"/>
      <c r="BU143" s="4930"/>
      <c r="BV143" s="4930"/>
      <c r="BW143" s="4930"/>
      <c r="BX143" s="4930"/>
      <c r="BY143" s="4930"/>
      <c r="BZ143" s="3708">
        <f t="shared" ref="BZ142:BZ206" si="61">SUM(BL143:BY143)</f>
        <v>804</v>
      </c>
      <c r="CA143" s="4154">
        <f t="shared" ref="CA142:CA206" si="62">J143-BZ143</f>
        <v>0</v>
      </c>
      <c r="CB143" s="4816"/>
      <c r="CC143" s="4816"/>
      <c r="CD143" s="4323"/>
      <c r="CE143" s="4323"/>
      <c r="CF143" s="4323"/>
    </row>
    <row r="144" s="4316" customFormat="1" ht="50" customHeight="1" spans="1:84">
      <c r="A144" s="4500">
        <v>45701</v>
      </c>
      <c r="B144" s="4501" t="s">
        <v>90</v>
      </c>
      <c r="C144" s="3708" t="s">
        <v>91</v>
      </c>
      <c r="D144" s="4502">
        <v>4500157305</v>
      </c>
      <c r="E144" s="3708" t="s">
        <v>930</v>
      </c>
      <c r="F144" s="4615" t="s">
        <v>987</v>
      </c>
      <c r="G144" s="3708" t="s">
        <v>409</v>
      </c>
      <c r="H144" s="3708" t="s">
        <v>409</v>
      </c>
      <c r="I144" s="3708" t="s">
        <v>410</v>
      </c>
      <c r="J144" s="4154">
        <v>600</v>
      </c>
      <c r="K144" s="4154">
        <v>0</v>
      </c>
      <c r="L144" s="4154">
        <v>12</v>
      </c>
      <c r="M144" s="4154">
        <f t="shared" si="58"/>
        <v>50</v>
      </c>
      <c r="N144" s="4503">
        <v>45754</v>
      </c>
      <c r="O144" s="4503">
        <v>45750</v>
      </c>
      <c r="P144" s="4154" t="s">
        <v>963</v>
      </c>
      <c r="Q144" s="4929" t="s">
        <v>82</v>
      </c>
      <c r="R144" s="4157"/>
      <c r="S144" s="4157"/>
      <c r="T144" s="4157"/>
      <c r="U144" s="3726" t="s">
        <v>969</v>
      </c>
      <c r="V144" s="3711" t="s">
        <v>912</v>
      </c>
      <c r="W144" s="3711"/>
      <c r="X144" s="3711" t="s">
        <v>98</v>
      </c>
      <c r="Y144" s="3711"/>
      <c r="Z144" s="3711" t="s">
        <v>965</v>
      </c>
      <c r="AA144" s="4154"/>
      <c r="AB144" s="3680" t="s">
        <v>970</v>
      </c>
      <c r="AC144" s="4154" t="s">
        <v>653</v>
      </c>
      <c r="AD144" s="4504">
        <v>2.8218</v>
      </c>
      <c r="AE144" s="4154">
        <f t="shared" si="54"/>
        <v>1693.08</v>
      </c>
      <c r="AF144" s="4505" t="s">
        <v>971</v>
      </c>
      <c r="AG144" s="3726" t="s">
        <v>416</v>
      </c>
      <c r="AH144" s="984"/>
      <c r="AI144" s="3708">
        <f t="shared" si="57"/>
        <v>600</v>
      </c>
      <c r="AJ144" s="984"/>
      <c r="AK144" s="3708"/>
      <c r="AL144" s="3708"/>
      <c r="AM144" s="4154"/>
      <c r="AN144" s="877"/>
      <c r="AO144" s="1048">
        <f t="shared" si="60"/>
        <v>600</v>
      </c>
      <c r="AP144" s="1048"/>
      <c r="AQ144" s="877"/>
      <c r="AR144" s="877"/>
      <c r="AS144" s="1048">
        <f t="shared" si="59"/>
        <v>600</v>
      </c>
      <c r="AT144" s="1048"/>
      <c r="AU144" s="877"/>
      <c r="AV144" s="877"/>
      <c r="AW144" s="877"/>
      <c r="AX144" s="1048"/>
      <c r="AY144" s="877"/>
      <c r="AZ144" s="877"/>
      <c r="BA144" s="1048"/>
      <c r="BB144" s="1048"/>
      <c r="BC144" s="877"/>
      <c r="BD144" s="1048"/>
      <c r="BE144" s="1048"/>
      <c r="BF144" s="1048"/>
      <c r="BG144" s="1048"/>
      <c r="BH144" s="1048">
        <f>J144</f>
        <v>600</v>
      </c>
      <c r="BI144" s="4622"/>
      <c r="BJ144" s="1048"/>
      <c r="BK144" s="4415" t="s">
        <v>89</v>
      </c>
      <c r="BL144" s="4415">
        <f t="shared" si="49"/>
        <v>10</v>
      </c>
      <c r="BM144" s="4415">
        <f t="shared" si="40"/>
        <v>90</v>
      </c>
      <c r="BN144" s="4415">
        <f t="shared" si="41"/>
        <v>100</v>
      </c>
      <c r="BO144" s="4415">
        <f t="shared" si="42"/>
        <v>100</v>
      </c>
      <c r="BP144" s="4415">
        <f t="shared" si="43"/>
        <v>100</v>
      </c>
      <c r="BQ144" s="4414">
        <f t="shared" si="44"/>
        <v>100</v>
      </c>
      <c r="BR144" s="1048">
        <f t="shared" si="45"/>
        <v>100</v>
      </c>
      <c r="BS144" s="4384"/>
      <c r="BT144" s="4816"/>
      <c r="BU144" s="4816"/>
      <c r="BV144" s="4816"/>
      <c r="BW144" s="4816"/>
      <c r="BX144" s="4816"/>
      <c r="BY144" s="4816"/>
      <c r="BZ144" s="3708">
        <f t="shared" si="61"/>
        <v>600</v>
      </c>
      <c r="CA144" s="4154">
        <f t="shared" si="62"/>
        <v>0</v>
      </c>
      <c r="CB144" s="4816"/>
      <c r="CC144" s="4816"/>
      <c r="CD144" s="4323">
        <v>600</v>
      </c>
      <c r="CE144" s="4323"/>
      <c r="CF144" s="4323"/>
    </row>
    <row r="145" s="4316" customFormat="1" ht="50" customHeight="1" spans="1:84">
      <c r="A145" s="4500">
        <v>45723</v>
      </c>
      <c r="B145" s="4501" t="s">
        <v>672</v>
      </c>
      <c r="C145" s="3708" t="s">
        <v>673</v>
      </c>
      <c r="D145" s="4502">
        <v>4500159192</v>
      </c>
      <c r="E145" s="3708">
        <v>5000001804</v>
      </c>
      <c r="F145" s="4502" t="s">
        <v>988</v>
      </c>
      <c r="G145" s="3708" t="s">
        <v>675</v>
      </c>
      <c r="H145" s="3708" t="s">
        <v>508</v>
      </c>
      <c r="I145" s="3708" t="s">
        <v>328</v>
      </c>
      <c r="J145" s="4593">
        <v>3600</v>
      </c>
      <c r="K145" s="4154">
        <v>0</v>
      </c>
      <c r="L145" s="4154">
        <v>6</v>
      </c>
      <c r="M145" s="4154">
        <f t="shared" si="58"/>
        <v>600</v>
      </c>
      <c r="N145" s="4503">
        <v>45756</v>
      </c>
      <c r="O145" s="4503">
        <v>45752</v>
      </c>
      <c r="P145" s="3712"/>
      <c r="Q145" s="4929" t="s">
        <v>82</v>
      </c>
      <c r="R145" s="4157"/>
      <c r="S145" s="4157"/>
      <c r="T145" s="4157"/>
      <c r="U145" s="3726" t="s">
        <v>989</v>
      </c>
      <c r="V145" s="3711" t="s">
        <v>990</v>
      </c>
      <c r="W145" s="3711"/>
      <c r="X145" s="3711" t="s">
        <v>991</v>
      </c>
      <c r="Y145" s="3711"/>
      <c r="Z145" s="3711"/>
      <c r="AA145" s="4154"/>
      <c r="AB145" s="3680" t="s">
        <v>992</v>
      </c>
      <c r="AC145" s="4154" t="s">
        <v>993</v>
      </c>
      <c r="AD145" s="4504">
        <v>2.1938</v>
      </c>
      <c r="AE145" s="4154">
        <f t="shared" si="54"/>
        <v>7897.68</v>
      </c>
      <c r="AF145" s="4505" t="s">
        <v>994</v>
      </c>
      <c r="AG145" s="3726"/>
      <c r="AH145" s="4422"/>
      <c r="AI145" s="3708">
        <f t="shared" si="57"/>
        <v>3600</v>
      </c>
      <c r="AJ145" s="4422"/>
      <c r="AK145" s="3708"/>
      <c r="AL145" s="3708"/>
      <c r="AM145" s="4154"/>
      <c r="AN145" s="907"/>
      <c r="AO145" s="1048"/>
      <c r="AP145" s="1048">
        <f>J145</f>
        <v>3600</v>
      </c>
      <c r="AQ145" s="907"/>
      <c r="AR145" s="907"/>
      <c r="AS145" s="1048">
        <f t="shared" si="59"/>
        <v>3600</v>
      </c>
      <c r="AT145" s="1048"/>
      <c r="AU145" s="907"/>
      <c r="AV145" s="907"/>
      <c r="AW145" s="907"/>
      <c r="AX145" s="1048">
        <f>J145/6</f>
        <v>600</v>
      </c>
      <c r="AY145" s="907"/>
      <c r="AZ145" s="907"/>
      <c r="BA145" s="1048"/>
      <c r="BB145" s="1048"/>
      <c r="BC145" s="907"/>
      <c r="BD145" s="1048"/>
      <c r="BE145" s="1048"/>
      <c r="BF145" s="1048"/>
      <c r="BG145" s="1048"/>
      <c r="BH145" s="1048"/>
      <c r="BI145" s="4622"/>
      <c r="BJ145" s="1048"/>
      <c r="BK145" s="4415" t="s">
        <v>89</v>
      </c>
      <c r="BL145" s="4415">
        <f t="shared" si="49"/>
        <v>60</v>
      </c>
      <c r="BM145" s="4415">
        <f t="shared" si="40"/>
        <v>540</v>
      </c>
      <c r="BN145" s="4415">
        <f t="shared" si="41"/>
        <v>600</v>
      </c>
      <c r="BO145" s="4415">
        <f t="shared" si="42"/>
        <v>600</v>
      </c>
      <c r="BP145" s="4415">
        <f t="shared" si="43"/>
        <v>600</v>
      </c>
      <c r="BQ145" s="4414">
        <f t="shared" si="44"/>
        <v>600</v>
      </c>
      <c r="BR145" s="1048">
        <f t="shared" si="45"/>
        <v>600</v>
      </c>
      <c r="BS145" s="4384"/>
      <c r="BT145" s="4462"/>
      <c r="BU145" s="4462"/>
      <c r="BV145" s="4462"/>
      <c r="BW145" s="4462"/>
      <c r="BX145" s="4462"/>
      <c r="BY145" s="4462"/>
      <c r="BZ145" s="3708">
        <f t="shared" si="61"/>
        <v>3600</v>
      </c>
      <c r="CA145" s="4154">
        <f t="shared" si="62"/>
        <v>0</v>
      </c>
      <c r="CB145" s="4462"/>
      <c r="CC145" s="4462"/>
      <c r="CD145" s="4323"/>
      <c r="CE145" s="4323"/>
      <c r="CF145" s="4323"/>
    </row>
    <row r="146" s="4316" customFormat="1" ht="50" customHeight="1" spans="1:84">
      <c r="A146" s="4500">
        <v>45709</v>
      </c>
      <c r="B146" s="4501" t="s">
        <v>995</v>
      </c>
      <c r="C146" s="3708" t="s">
        <v>996</v>
      </c>
      <c r="D146" s="4502">
        <v>4500158103</v>
      </c>
      <c r="E146" s="3708" t="s">
        <v>997</v>
      </c>
      <c r="F146" s="4615" t="s">
        <v>998</v>
      </c>
      <c r="G146" s="3708" t="s">
        <v>333</v>
      </c>
      <c r="H146" s="3708" t="s">
        <v>333</v>
      </c>
      <c r="I146" s="3708" t="s">
        <v>328</v>
      </c>
      <c r="J146" s="4593">
        <v>504</v>
      </c>
      <c r="K146" s="4154">
        <v>0</v>
      </c>
      <c r="L146" s="4154">
        <v>24</v>
      </c>
      <c r="M146" s="4154">
        <f t="shared" si="58"/>
        <v>21</v>
      </c>
      <c r="N146" s="4503">
        <v>45757</v>
      </c>
      <c r="O146" s="4503">
        <v>45752</v>
      </c>
      <c r="P146" s="3712"/>
      <c r="Q146" s="4929" t="s">
        <v>82</v>
      </c>
      <c r="R146" s="4157"/>
      <c r="S146" s="4157"/>
      <c r="T146" s="4157"/>
      <c r="U146" s="3726" t="s">
        <v>989</v>
      </c>
      <c r="V146" s="3711" t="s">
        <v>999</v>
      </c>
      <c r="W146" s="3711"/>
      <c r="X146" s="3711" t="s">
        <v>1000</v>
      </c>
      <c r="Y146" s="3711"/>
      <c r="Z146" s="3711"/>
      <c r="AA146" s="4154"/>
      <c r="AB146" s="3680" t="s">
        <v>1001</v>
      </c>
      <c r="AC146" s="4154" t="s">
        <v>892</v>
      </c>
      <c r="AD146" s="4504">
        <v>2.0807</v>
      </c>
      <c r="AE146" s="4154">
        <f t="shared" si="54"/>
        <v>1048.6728</v>
      </c>
      <c r="AF146" s="4505" t="s">
        <v>1002</v>
      </c>
      <c r="AG146" s="3726"/>
      <c r="AH146" s="984"/>
      <c r="AI146" s="3708">
        <f t="shared" si="57"/>
        <v>504</v>
      </c>
      <c r="AJ146" s="984"/>
      <c r="AK146" s="3708"/>
      <c r="AL146" s="3708"/>
      <c r="AM146" s="4154"/>
      <c r="AN146" s="877"/>
      <c r="AO146" s="1048">
        <f t="shared" ref="AO146:AO174" si="63">J146</f>
        <v>504</v>
      </c>
      <c r="AP146" s="1048"/>
      <c r="AQ146" s="877"/>
      <c r="AR146" s="877"/>
      <c r="AS146" s="1048">
        <f t="shared" si="59"/>
        <v>504</v>
      </c>
      <c r="AT146" s="1048"/>
      <c r="AU146" s="877"/>
      <c r="AV146" s="877"/>
      <c r="AW146" s="877"/>
      <c r="AX146" s="1048"/>
      <c r="AY146" s="877"/>
      <c r="AZ146" s="877"/>
      <c r="BA146" s="1048"/>
      <c r="BB146" s="1048"/>
      <c r="BC146" s="877"/>
      <c r="BD146" s="1048"/>
      <c r="BE146" s="1048"/>
      <c r="BF146" s="1048"/>
      <c r="BG146" s="1048"/>
      <c r="BH146" s="4622"/>
      <c r="BI146" s="4622"/>
      <c r="BJ146" s="1048"/>
      <c r="BK146" s="4415" t="s">
        <v>89</v>
      </c>
      <c r="BL146" s="4415">
        <f t="shared" si="49"/>
        <v>8.4</v>
      </c>
      <c r="BM146" s="4415">
        <f t="shared" si="40"/>
        <v>75.6</v>
      </c>
      <c r="BN146" s="4415">
        <f t="shared" si="41"/>
        <v>84</v>
      </c>
      <c r="BO146" s="4415">
        <f t="shared" si="42"/>
        <v>84</v>
      </c>
      <c r="BP146" s="4415">
        <f t="shared" si="43"/>
        <v>84</v>
      </c>
      <c r="BQ146" s="4414">
        <f t="shared" si="44"/>
        <v>84</v>
      </c>
      <c r="BR146" s="1048">
        <f t="shared" si="45"/>
        <v>84</v>
      </c>
      <c r="BS146" s="4384"/>
      <c r="BT146" s="992"/>
      <c r="BU146" s="992"/>
      <c r="BV146" s="992"/>
      <c r="BW146" s="992"/>
      <c r="BX146" s="991"/>
      <c r="BY146" s="991"/>
      <c r="BZ146" s="3708">
        <f t="shared" si="61"/>
        <v>504</v>
      </c>
      <c r="CA146" s="4154">
        <f t="shared" si="62"/>
        <v>0</v>
      </c>
      <c r="CB146" s="4816"/>
      <c r="CC146" s="4816"/>
      <c r="CD146" s="4323"/>
      <c r="CE146" s="4323"/>
      <c r="CF146" s="4323"/>
    </row>
    <row r="147" s="4316" customFormat="1" ht="50" customHeight="1" spans="1:84">
      <c r="A147" s="4500">
        <v>45701</v>
      </c>
      <c r="B147" s="4501" t="s">
        <v>90</v>
      </c>
      <c r="C147" s="3708" t="s">
        <v>91</v>
      </c>
      <c r="D147" s="4502">
        <v>4500157310</v>
      </c>
      <c r="E147" s="3708" t="s">
        <v>930</v>
      </c>
      <c r="F147" s="4615" t="s">
        <v>1003</v>
      </c>
      <c r="G147" s="3708" t="s">
        <v>409</v>
      </c>
      <c r="H147" s="3708" t="s">
        <v>409</v>
      </c>
      <c r="I147" s="3708" t="s">
        <v>410</v>
      </c>
      <c r="J147" s="4154">
        <v>600</v>
      </c>
      <c r="K147" s="4154">
        <v>0</v>
      </c>
      <c r="L147" s="4154">
        <v>12</v>
      </c>
      <c r="M147" s="4154">
        <f t="shared" si="58"/>
        <v>50</v>
      </c>
      <c r="N147" s="4503">
        <v>45758</v>
      </c>
      <c r="O147" s="4503">
        <v>45754</v>
      </c>
      <c r="P147" s="4154" t="s">
        <v>963</v>
      </c>
      <c r="Q147" s="4929" t="s">
        <v>82</v>
      </c>
      <c r="R147" s="4157"/>
      <c r="S147" s="4157"/>
      <c r="T147" s="4157"/>
      <c r="U147" s="3726" t="s">
        <v>1004</v>
      </c>
      <c r="V147" s="3711" t="s">
        <v>912</v>
      </c>
      <c r="W147" s="3711"/>
      <c r="X147" s="3711" t="s">
        <v>98</v>
      </c>
      <c r="Y147" s="3711"/>
      <c r="Z147" s="3711" t="s">
        <v>965</v>
      </c>
      <c r="AA147" s="4154"/>
      <c r="AB147" s="3680" t="s">
        <v>970</v>
      </c>
      <c r="AC147" s="4154" t="s">
        <v>653</v>
      </c>
      <c r="AD147" s="4504">
        <v>2.7072</v>
      </c>
      <c r="AE147" s="4154">
        <f t="shared" si="54"/>
        <v>1624.32</v>
      </c>
      <c r="AF147" s="4505" t="s">
        <v>1005</v>
      </c>
      <c r="AG147" s="3726" t="s">
        <v>416</v>
      </c>
      <c r="AH147" s="984"/>
      <c r="AI147" s="3708">
        <f t="shared" si="57"/>
        <v>600</v>
      </c>
      <c r="AJ147" s="984"/>
      <c r="AK147" s="3708"/>
      <c r="AL147" s="3708"/>
      <c r="AM147" s="4154"/>
      <c r="AN147" s="877"/>
      <c r="AO147" s="1048">
        <f t="shared" si="63"/>
        <v>600</v>
      </c>
      <c r="AP147" s="1048"/>
      <c r="AQ147" s="877"/>
      <c r="AR147" s="877"/>
      <c r="AS147" s="1048">
        <f t="shared" si="59"/>
        <v>600</v>
      </c>
      <c r="AT147" s="1048"/>
      <c r="AU147" s="877"/>
      <c r="AV147" s="877"/>
      <c r="AW147" s="877"/>
      <c r="AX147" s="1048"/>
      <c r="AY147" s="877"/>
      <c r="AZ147" s="877"/>
      <c r="BA147" s="1048"/>
      <c r="BB147" s="1048"/>
      <c r="BC147" s="877"/>
      <c r="BD147" s="1048"/>
      <c r="BE147" s="1048"/>
      <c r="BF147" s="1048"/>
      <c r="BG147" s="1048"/>
      <c r="BH147" s="1048">
        <f>J147</f>
        <v>600</v>
      </c>
      <c r="BI147" s="4622"/>
      <c r="BJ147" s="1048"/>
      <c r="BK147" s="4415" t="s">
        <v>89</v>
      </c>
      <c r="BL147" s="4415">
        <f t="shared" si="49"/>
        <v>10</v>
      </c>
      <c r="BM147" s="4415">
        <f t="shared" si="40"/>
        <v>90</v>
      </c>
      <c r="BN147" s="4415">
        <f t="shared" si="41"/>
        <v>100</v>
      </c>
      <c r="BO147" s="4415">
        <f t="shared" si="42"/>
        <v>100</v>
      </c>
      <c r="BP147" s="4415">
        <f t="shared" si="43"/>
        <v>100</v>
      </c>
      <c r="BQ147" s="4414">
        <f t="shared" si="44"/>
        <v>100</v>
      </c>
      <c r="BR147" s="1048">
        <f t="shared" si="45"/>
        <v>100</v>
      </c>
      <c r="BS147" s="4384"/>
      <c r="BT147" s="4816"/>
      <c r="BU147" s="4816"/>
      <c r="BV147" s="4816"/>
      <c r="BW147" s="4816"/>
      <c r="BX147" s="4816"/>
      <c r="BY147" s="4816"/>
      <c r="BZ147" s="3708">
        <f t="shared" si="61"/>
        <v>600</v>
      </c>
      <c r="CA147" s="4154">
        <f t="shared" si="62"/>
        <v>0</v>
      </c>
      <c r="CB147" s="4816"/>
      <c r="CC147" s="4816"/>
      <c r="CD147" s="4323"/>
      <c r="CE147" s="4323"/>
      <c r="CF147" s="4323"/>
    </row>
    <row r="148" s="4316" customFormat="1" ht="50" customHeight="1" spans="1:84">
      <c r="A148" s="4500">
        <v>45701</v>
      </c>
      <c r="B148" s="4501" t="s">
        <v>90</v>
      </c>
      <c r="C148" s="3708" t="s">
        <v>91</v>
      </c>
      <c r="D148" s="4502">
        <v>4500157311</v>
      </c>
      <c r="E148" s="3708" t="s">
        <v>927</v>
      </c>
      <c r="F148" s="4615" t="s">
        <v>1006</v>
      </c>
      <c r="G148" s="3708" t="s">
        <v>409</v>
      </c>
      <c r="H148" s="3708" t="s">
        <v>409</v>
      </c>
      <c r="I148" s="3708" t="s">
        <v>410</v>
      </c>
      <c r="J148" s="4154">
        <v>804</v>
      </c>
      <c r="K148" s="4154">
        <v>0</v>
      </c>
      <c r="L148" s="4154">
        <v>12</v>
      </c>
      <c r="M148" s="4154">
        <f t="shared" si="58"/>
        <v>67</v>
      </c>
      <c r="N148" s="4503">
        <v>45758</v>
      </c>
      <c r="O148" s="4503">
        <v>45754</v>
      </c>
      <c r="P148" s="4154" t="s">
        <v>963</v>
      </c>
      <c r="Q148" s="4929" t="s">
        <v>82</v>
      </c>
      <c r="R148" s="4157"/>
      <c r="S148" s="4157"/>
      <c r="T148" s="4157"/>
      <c r="U148" s="3726" t="s">
        <v>1007</v>
      </c>
      <c r="V148" s="3711" t="s">
        <v>912</v>
      </c>
      <c r="W148" s="3711"/>
      <c r="X148" s="3711" t="s">
        <v>98</v>
      </c>
      <c r="Y148" s="3711"/>
      <c r="Z148" s="3711" t="s">
        <v>965</v>
      </c>
      <c r="AA148" s="4154"/>
      <c r="AB148" s="3680" t="s">
        <v>1008</v>
      </c>
      <c r="AC148" s="4154" t="s">
        <v>653</v>
      </c>
      <c r="AD148" s="4504">
        <v>2.7072</v>
      </c>
      <c r="AE148" s="4154">
        <f t="shared" si="54"/>
        <v>2176.5888</v>
      </c>
      <c r="AF148" s="4505" t="s">
        <v>1009</v>
      </c>
      <c r="AG148" s="3726" t="s">
        <v>416</v>
      </c>
      <c r="AH148" s="984"/>
      <c r="AI148" s="3708">
        <f t="shared" si="57"/>
        <v>804</v>
      </c>
      <c r="AJ148" s="984"/>
      <c r="AK148" s="3708"/>
      <c r="AL148" s="3708"/>
      <c r="AM148" s="4154"/>
      <c r="AN148" s="877"/>
      <c r="AO148" s="1048">
        <f t="shared" si="63"/>
        <v>804</v>
      </c>
      <c r="AP148" s="1048"/>
      <c r="AQ148" s="877"/>
      <c r="AR148" s="877"/>
      <c r="AS148" s="1048">
        <f t="shared" si="59"/>
        <v>804</v>
      </c>
      <c r="AT148" s="1048"/>
      <c r="AU148" s="877"/>
      <c r="AV148" s="877"/>
      <c r="AW148" s="877"/>
      <c r="AX148" s="1048"/>
      <c r="AY148" s="877"/>
      <c r="AZ148" s="877"/>
      <c r="BA148" s="1048"/>
      <c r="BB148" s="1048"/>
      <c r="BC148" s="877"/>
      <c r="BD148" s="1048"/>
      <c r="BE148" s="1048"/>
      <c r="BF148" s="1048"/>
      <c r="BG148" s="1048"/>
      <c r="BH148" s="1048">
        <f>J148</f>
        <v>804</v>
      </c>
      <c r="BI148" s="4622"/>
      <c r="BJ148" s="1048"/>
      <c r="BK148" s="4415" t="s">
        <v>89</v>
      </c>
      <c r="BL148" s="4415">
        <f t="shared" si="49"/>
        <v>13.4</v>
      </c>
      <c r="BM148" s="4415">
        <f t="shared" si="40"/>
        <v>120.6</v>
      </c>
      <c r="BN148" s="4415">
        <f t="shared" si="41"/>
        <v>134</v>
      </c>
      <c r="BO148" s="4415">
        <f t="shared" si="42"/>
        <v>134</v>
      </c>
      <c r="BP148" s="4415">
        <f t="shared" si="43"/>
        <v>134</v>
      </c>
      <c r="BQ148" s="4414">
        <f t="shared" si="44"/>
        <v>134</v>
      </c>
      <c r="BR148" s="1048">
        <f t="shared" si="45"/>
        <v>134</v>
      </c>
      <c r="BS148" s="4384"/>
      <c r="BT148" s="4816"/>
      <c r="BU148" s="4816"/>
      <c r="BV148" s="4816"/>
      <c r="BW148" s="4816"/>
      <c r="BX148" s="4816"/>
      <c r="BY148" s="4816"/>
      <c r="BZ148" s="3708">
        <f t="shared" si="61"/>
        <v>804</v>
      </c>
      <c r="CA148" s="4154">
        <f t="shared" si="62"/>
        <v>0</v>
      </c>
      <c r="CB148" s="4816"/>
      <c r="CC148" s="4816"/>
      <c r="CD148" s="4323"/>
      <c r="CE148" s="4323"/>
      <c r="CF148" s="4323"/>
    </row>
    <row r="149" s="4316" customFormat="1" ht="50" customHeight="1" spans="1:84">
      <c r="A149" s="4500">
        <v>45721</v>
      </c>
      <c r="B149" s="4501" t="s">
        <v>1010</v>
      </c>
      <c r="C149" s="3708" t="s">
        <v>351</v>
      </c>
      <c r="D149" s="4502">
        <v>4500159190</v>
      </c>
      <c r="E149" s="3708"/>
      <c r="F149" s="4502" t="s">
        <v>1011</v>
      </c>
      <c r="G149" s="3708" t="s">
        <v>333</v>
      </c>
      <c r="H149" s="3708" t="s">
        <v>333</v>
      </c>
      <c r="I149" s="3708" t="s">
        <v>328</v>
      </c>
      <c r="J149" s="4593">
        <v>1608</v>
      </c>
      <c r="K149" s="4154">
        <v>0</v>
      </c>
      <c r="L149" s="4154">
        <v>24</v>
      </c>
      <c r="M149" s="4154">
        <f t="shared" si="58"/>
        <v>67</v>
      </c>
      <c r="N149" s="4503">
        <v>45761</v>
      </c>
      <c r="O149" s="4503">
        <v>45757</v>
      </c>
      <c r="P149" s="3712"/>
      <c r="Q149" s="4929" t="s">
        <v>82</v>
      </c>
      <c r="R149" s="4157"/>
      <c r="S149" s="4157"/>
      <c r="T149" s="4157"/>
      <c r="U149" s="3726" t="s">
        <v>969</v>
      </c>
      <c r="V149" s="3711" t="s">
        <v>1012</v>
      </c>
      <c r="W149" s="3711"/>
      <c r="X149" s="3711" t="s">
        <v>1013</v>
      </c>
      <c r="Y149" s="3711"/>
      <c r="Z149" s="3711"/>
      <c r="AA149" s="4154"/>
      <c r="AB149" s="3680" t="s">
        <v>1014</v>
      </c>
      <c r="AC149" s="4154" t="s">
        <v>357</v>
      </c>
      <c r="AD149" s="4504">
        <v>2.1295</v>
      </c>
      <c r="AE149" s="4154">
        <f t="shared" si="54"/>
        <v>3424.236</v>
      </c>
      <c r="AF149" s="4505" t="s">
        <v>1015</v>
      </c>
      <c r="AG149" s="3726"/>
      <c r="AH149" s="984"/>
      <c r="AI149" s="3708">
        <f t="shared" si="57"/>
        <v>1608</v>
      </c>
      <c r="AJ149" s="984"/>
      <c r="AK149" s="3708"/>
      <c r="AL149" s="3708"/>
      <c r="AM149" s="4154"/>
      <c r="AN149" s="877"/>
      <c r="AO149" s="1048">
        <f t="shared" si="63"/>
        <v>1608</v>
      </c>
      <c r="AP149" s="1048"/>
      <c r="AQ149" s="877"/>
      <c r="AR149" s="877"/>
      <c r="AS149" s="1048">
        <f t="shared" si="59"/>
        <v>1608</v>
      </c>
      <c r="AT149" s="1048"/>
      <c r="AU149" s="877"/>
      <c r="AV149" s="877"/>
      <c r="AW149" s="877"/>
      <c r="AX149" s="1048"/>
      <c r="AY149" s="877"/>
      <c r="AZ149" s="877"/>
      <c r="BA149" s="1048"/>
      <c r="BB149" s="1048"/>
      <c r="BC149" s="877"/>
      <c r="BD149" s="1048"/>
      <c r="BE149" s="1048"/>
      <c r="BF149" s="1048"/>
      <c r="BG149" s="1048"/>
      <c r="BH149" s="1048"/>
      <c r="BI149" s="4622"/>
      <c r="BJ149" s="1048"/>
      <c r="BK149" s="4415" t="s">
        <v>89</v>
      </c>
      <c r="BL149" s="4415">
        <f t="shared" si="49"/>
        <v>26.8</v>
      </c>
      <c r="BM149" s="4415">
        <f t="shared" si="40"/>
        <v>241.2</v>
      </c>
      <c r="BN149" s="4415">
        <f t="shared" si="41"/>
        <v>268</v>
      </c>
      <c r="BO149" s="4415">
        <f t="shared" si="42"/>
        <v>268</v>
      </c>
      <c r="BP149" s="4415">
        <f t="shared" si="43"/>
        <v>268</v>
      </c>
      <c r="BQ149" s="4414">
        <f t="shared" si="44"/>
        <v>268</v>
      </c>
      <c r="BR149" s="1048">
        <f t="shared" si="45"/>
        <v>268</v>
      </c>
      <c r="BS149" s="4384"/>
      <c r="BT149" s="4816"/>
      <c r="BU149" s="4816"/>
      <c r="BV149" s="4816"/>
      <c r="BW149" s="4816"/>
      <c r="BX149" s="4816"/>
      <c r="BY149" s="4816"/>
      <c r="BZ149" s="3708">
        <f t="shared" si="61"/>
        <v>1608</v>
      </c>
      <c r="CA149" s="4154">
        <f t="shared" si="62"/>
        <v>0</v>
      </c>
      <c r="CB149" s="4816"/>
      <c r="CC149" s="4816"/>
      <c r="CD149" s="4323"/>
      <c r="CE149" s="4323"/>
      <c r="CF149" s="4323"/>
    </row>
    <row r="150" s="4316" customFormat="1" ht="50" customHeight="1" spans="1:84">
      <c r="A150" s="4500">
        <v>45719</v>
      </c>
      <c r="B150" s="4501" t="s">
        <v>1016</v>
      </c>
      <c r="C150" s="3708" t="s">
        <v>396</v>
      </c>
      <c r="D150" s="4502">
        <v>4500158946</v>
      </c>
      <c r="E150" s="3708" t="s">
        <v>1017</v>
      </c>
      <c r="F150" s="4502" t="s">
        <v>1018</v>
      </c>
      <c r="G150" s="3708" t="s">
        <v>1019</v>
      </c>
      <c r="H150" s="3708" t="s">
        <v>1020</v>
      </c>
      <c r="I150" s="3699" t="s">
        <v>328</v>
      </c>
      <c r="J150" s="4154">
        <v>12</v>
      </c>
      <c r="K150" s="4154">
        <v>0</v>
      </c>
      <c r="L150" s="4154">
        <v>12</v>
      </c>
      <c r="M150" s="4154">
        <f t="shared" si="58"/>
        <v>1</v>
      </c>
      <c r="N150" s="4503">
        <v>45763</v>
      </c>
      <c r="O150" s="4503">
        <v>45759</v>
      </c>
      <c r="P150" s="3712"/>
      <c r="Q150" s="4929" t="s">
        <v>82</v>
      </c>
      <c r="R150" s="4157"/>
      <c r="S150" s="4157"/>
      <c r="T150" s="4157"/>
      <c r="U150" s="3726" t="s">
        <v>1021</v>
      </c>
      <c r="V150" s="3711" t="s">
        <v>974</v>
      </c>
      <c r="W150" s="3711"/>
      <c r="X150" s="3711" t="s">
        <v>366</v>
      </c>
      <c r="Y150" s="3711"/>
      <c r="Z150" s="3711" t="s">
        <v>1022</v>
      </c>
      <c r="AA150" s="4154"/>
      <c r="AB150" s="3680" t="s">
        <v>1023</v>
      </c>
      <c r="AC150" s="4154" t="s">
        <v>1024</v>
      </c>
      <c r="AD150" s="4504">
        <v>2.0833</v>
      </c>
      <c r="AE150" s="4154">
        <f t="shared" si="54"/>
        <v>24.9996</v>
      </c>
      <c r="AF150" s="4505" t="s">
        <v>1025</v>
      </c>
      <c r="AG150" s="3726"/>
      <c r="AH150" s="4422"/>
      <c r="AI150" s="3708"/>
      <c r="AJ150" s="4422"/>
      <c r="AK150" s="1048">
        <f t="shared" ref="AK150:AK155" si="64">J150</f>
        <v>12</v>
      </c>
      <c r="AL150" s="3708"/>
      <c r="AM150" s="4154"/>
      <c r="AN150" s="907"/>
      <c r="AO150" s="1048">
        <f t="shared" si="63"/>
        <v>12</v>
      </c>
      <c r="AP150" s="1048"/>
      <c r="AQ150" s="907"/>
      <c r="AR150" s="907"/>
      <c r="AS150" s="1048"/>
      <c r="AT150" s="1048">
        <f>J150</f>
        <v>12</v>
      </c>
      <c r="AU150" s="907"/>
      <c r="AV150" s="907"/>
      <c r="AW150" s="907"/>
      <c r="AX150" s="1048"/>
      <c r="AY150" s="907"/>
      <c r="AZ150" s="907"/>
      <c r="BA150" s="1048"/>
      <c r="BB150" s="1048"/>
      <c r="BC150" s="907"/>
      <c r="BD150" s="1048"/>
      <c r="BE150" s="1048"/>
      <c r="BF150" s="1048"/>
      <c r="BG150" s="1048"/>
      <c r="BH150" s="4622"/>
      <c r="BI150" s="4622"/>
      <c r="BJ150" s="1048"/>
      <c r="BK150" s="4415" t="s">
        <v>89</v>
      </c>
      <c r="BL150" s="4415"/>
      <c r="BM150" s="4415"/>
      <c r="BN150" s="4415">
        <f>J150</f>
        <v>12</v>
      </c>
      <c r="BO150" s="4415"/>
      <c r="BP150" s="4415"/>
      <c r="BQ150" s="4414"/>
      <c r="BR150" s="1048"/>
      <c r="BS150" s="4384"/>
      <c r="BT150" s="911"/>
      <c r="BU150" s="911"/>
      <c r="BV150" s="911"/>
      <c r="BW150" s="911"/>
      <c r="BX150" s="910"/>
      <c r="BY150" s="910"/>
      <c r="BZ150" s="3708">
        <f t="shared" si="61"/>
        <v>12</v>
      </c>
      <c r="CA150" s="4154">
        <f t="shared" si="62"/>
        <v>0</v>
      </c>
      <c r="CB150" s="4462"/>
      <c r="CC150" s="4462"/>
      <c r="CD150" s="4323"/>
      <c r="CE150" s="4323"/>
      <c r="CF150" s="4323"/>
    </row>
    <row r="151" s="4316" customFormat="1" ht="50" customHeight="1" spans="1:84">
      <c r="A151" s="4500">
        <v>45719</v>
      </c>
      <c r="B151" s="4501" t="s">
        <v>1016</v>
      </c>
      <c r="C151" s="3708" t="s">
        <v>396</v>
      </c>
      <c r="D151" s="4502">
        <v>4500158946</v>
      </c>
      <c r="E151" s="3708" t="s">
        <v>1026</v>
      </c>
      <c r="F151" s="4502" t="s">
        <v>1027</v>
      </c>
      <c r="G151" s="3708" t="s">
        <v>1019</v>
      </c>
      <c r="H151" s="3708" t="s">
        <v>1020</v>
      </c>
      <c r="I151" s="3699" t="s">
        <v>328</v>
      </c>
      <c r="J151" s="4154">
        <v>12</v>
      </c>
      <c r="K151" s="4154">
        <v>0</v>
      </c>
      <c r="L151" s="4154">
        <v>12</v>
      </c>
      <c r="M151" s="4154">
        <f t="shared" si="58"/>
        <v>1</v>
      </c>
      <c r="N151" s="4503">
        <v>45763</v>
      </c>
      <c r="O151" s="4503">
        <v>45759</v>
      </c>
      <c r="P151" s="3712"/>
      <c r="Q151" s="4929" t="s">
        <v>82</v>
      </c>
      <c r="R151" s="4157"/>
      <c r="S151" s="4157"/>
      <c r="T151" s="4157"/>
      <c r="U151" s="3726" t="s">
        <v>1021</v>
      </c>
      <c r="V151" s="3711" t="s">
        <v>974</v>
      </c>
      <c r="W151" s="3711"/>
      <c r="X151" s="3711" t="s">
        <v>366</v>
      </c>
      <c r="Y151" s="3711"/>
      <c r="Z151" s="3711" t="s">
        <v>1022</v>
      </c>
      <c r="AA151" s="4154"/>
      <c r="AB151" s="3680" t="s">
        <v>1023</v>
      </c>
      <c r="AC151" s="4154" t="s">
        <v>1024</v>
      </c>
      <c r="AD151" s="4504">
        <v>2.0833</v>
      </c>
      <c r="AE151" s="4154">
        <f t="shared" si="54"/>
        <v>24.9996</v>
      </c>
      <c r="AF151" s="4505" t="s">
        <v>1025</v>
      </c>
      <c r="AG151" s="3726"/>
      <c r="AH151" s="4422"/>
      <c r="AI151" s="3708"/>
      <c r="AJ151" s="4422"/>
      <c r="AK151" s="1048">
        <f t="shared" si="64"/>
        <v>12</v>
      </c>
      <c r="AL151" s="3708"/>
      <c r="AM151" s="4154"/>
      <c r="AN151" s="907"/>
      <c r="AO151" s="1048">
        <f t="shared" si="63"/>
        <v>12</v>
      </c>
      <c r="AP151" s="1048"/>
      <c r="AQ151" s="907"/>
      <c r="AR151" s="907"/>
      <c r="AS151" s="1048"/>
      <c r="AT151" s="1048">
        <f>J151</f>
        <v>12</v>
      </c>
      <c r="AU151" s="907"/>
      <c r="AV151" s="907"/>
      <c r="AW151" s="907"/>
      <c r="AX151" s="1048"/>
      <c r="AY151" s="907"/>
      <c r="AZ151" s="907"/>
      <c r="BA151" s="1048"/>
      <c r="BB151" s="1048"/>
      <c r="BC151" s="907"/>
      <c r="BD151" s="1048"/>
      <c r="BE151" s="1048"/>
      <c r="BF151" s="1048"/>
      <c r="BG151" s="1048"/>
      <c r="BH151" s="4622"/>
      <c r="BI151" s="4622"/>
      <c r="BJ151" s="1048"/>
      <c r="BK151" s="4415" t="s">
        <v>89</v>
      </c>
      <c r="BL151" s="4415"/>
      <c r="BM151" s="4415"/>
      <c r="BN151" s="4415">
        <f>J151</f>
        <v>12</v>
      </c>
      <c r="BO151" s="4415"/>
      <c r="BP151" s="4415"/>
      <c r="BQ151" s="4414"/>
      <c r="BR151" s="1048"/>
      <c r="BS151" s="4384"/>
      <c r="BT151" s="911"/>
      <c r="BU151" s="911"/>
      <c r="BV151" s="911"/>
      <c r="BW151" s="911"/>
      <c r="BX151" s="910"/>
      <c r="BY151" s="910"/>
      <c r="BZ151" s="3708">
        <f t="shared" si="61"/>
        <v>12</v>
      </c>
      <c r="CA151" s="4154">
        <f t="shared" si="62"/>
        <v>0</v>
      </c>
      <c r="CB151" s="4462"/>
      <c r="CC151" s="4462"/>
      <c r="CD151" s="4323"/>
      <c r="CE151" s="4323"/>
      <c r="CF151" s="4323"/>
    </row>
    <row r="152" s="4316" customFormat="1" ht="50" customHeight="1" spans="1:84">
      <c r="A152" s="4500">
        <v>45719</v>
      </c>
      <c r="B152" s="4501" t="s">
        <v>1016</v>
      </c>
      <c r="C152" s="3708" t="s">
        <v>396</v>
      </c>
      <c r="D152" s="4502">
        <v>4500158946</v>
      </c>
      <c r="E152" s="3708" t="s">
        <v>1028</v>
      </c>
      <c r="F152" s="4502" t="s">
        <v>1029</v>
      </c>
      <c r="G152" s="3708" t="s">
        <v>1019</v>
      </c>
      <c r="H152" s="3708" t="s">
        <v>1020</v>
      </c>
      <c r="I152" s="3699" t="s">
        <v>328</v>
      </c>
      <c r="J152" s="4154">
        <v>12</v>
      </c>
      <c r="K152" s="4154">
        <v>0</v>
      </c>
      <c r="L152" s="4154">
        <v>12</v>
      </c>
      <c r="M152" s="4154">
        <f t="shared" si="58"/>
        <v>1</v>
      </c>
      <c r="N152" s="4503">
        <v>45763</v>
      </c>
      <c r="O152" s="4503">
        <v>45759</v>
      </c>
      <c r="P152" s="3712"/>
      <c r="Q152" s="4929" t="s">
        <v>82</v>
      </c>
      <c r="R152" s="4157"/>
      <c r="S152" s="4157"/>
      <c r="T152" s="4157"/>
      <c r="U152" s="3726" t="s">
        <v>1021</v>
      </c>
      <c r="V152" s="3711" t="s">
        <v>974</v>
      </c>
      <c r="W152" s="3711"/>
      <c r="X152" s="3711" t="s">
        <v>366</v>
      </c>
      <c r="Y152" s="3711"/>
      <c r="Z152" s="3711" t="s">
        <v>1022</v>
      </c>
      <c r="AA152" s="4154"/>
      <c r="AB152" s="3680" t="s">
        <v>1023</v>
      </c>
      <c r="AC152" s="4154" t="s">
        <v>1024</v>
      </c>
      <c r="AD152" s="4504">
        <v>2.0833</v>
      </c>
      <c r="AE152" s="4154">
        <f t="shared" si="54"/>
        <v>24.9996</v>
      </c>
      <c r="AF152" s="4505" t="s">
        <v>1025</v>
      </c>
      <c r="AG152" s="3726"/>
      <c r="AH152" s="4422"/>
      <c r="AI152" s="3708"/>
      <c r="AJ152" s="4422"/>
      <c r="AK152" s="1048">
        <f t="shared" si="64"/>
        <v>12</v>
      </c>
      <c r="AL152" s="3708"/>
      <c r="AM152" s="4154"/>
      <c r="AN152" s="907"/>
      <c r="AO152" s="1048">
        <f t="shared" si="63"/>
        <v>12</v>
      </c>
      <c r="AP152" s="1048"/>
      <c r="AQ152" s="907"/>
      <c r="AR152" s="907"/>
      <c r="AS152" s="1048"/>
      <c r="AT152" s="1048">
        <f>J152</f>
        <v>12</v>
      </c>
      <c r="AU152" s="907"/>
      <c r="AV152" s="907"/>
      <c r="AW152" s="907"/>
      <c r="AX152" s="1048"/>
      <c r="AY152" s="907"/>
      <c r="AZ152" s="907"/>
      <c r="BA152" s="1048"/>
      <c r="BB152" s="1048"/>
      <c r="BC152" s="907"/>
      <c r="BD152" s="1048"/>
      <c r="BE152" s="1048"/>
      <c r="BF152" s="1048"/>
      <c r="BG152" s="1048"/>
      <c r="BH152" s="4622"/>
      <c r="BI152" s="4622"/>
      <c r="BJ152" s="1048"/>
      <c r="BK152" s="4415" t="s">
        <v>89</v>
      </c>
      <c r="BL152" s="4415"/>
      <c r="BM152" s="4415"/>
      <c r="BN152" s="4415">
        <f>J152</f>
        <v>12</v>
      </c>
      <c r="BO152" s="4415"/>
      <c r="BP152" s="4415"/>
      <c r="BQ152" s="4414"/>
      <c r="BR152" s="1048"/>
      <c r="BS152" s="4384"/>
      <c r="BT152" s="911"/>
      <c r="BU152" s="911"/>
      <c r="BV152" s="911"/>
      <c r="BW152" s="911"/>
      <c r="BX152" s="910"/>
      <c r="BY152" s="910"/>
      <c r="BZ152" s="3708">
        <f t="shared" si="61"/>
        <v>12</v>
      </c>
      <c r="CA152" s="4154">
        <f t="shared" si="62"/>
        <v>0</v>
      </c>
      <c r="CB152" s="4462"/>
      <c r="CC152" s="4462"/>
      <c r="CD152" s="4323"/>
      <c r="CE152" s="4323"/>
      <c r="CF152" s="4323"/>
    </row>
    <row r="153" s="4316" customFormat="1" ht="50" customHeight="1" spans="1:84">
      <c r="A153" s="4500">
        <v>45719</v>
      </c>
      <c r="B153" s="4501" t="s">
        <v>1016</v>
      </c>
      <c r="C153" s="3708" t="s">
        <v>396</v>
      </c>
      <c r="D153" s="4502">
        <v>4500158946</v>
      </c>
      <c r="E153" s="3708" t="s">
        <v>1030</v>
      </c>
      <c r="F153" s="4502" t="s">
        <v>1031</v>
      </c>
      <c r="G153" s="3708" t="s">
        <v>1032</v>
      </c>
      <c r="H153" s="3708" t="s">
        <v>1033</v>
      </c>
      <c r="I153" s="3699" t="s">
        <v>328</v>
      </c>
      <c r="J153" s="4154">
        <v>12</v>
      </c>
      <c r="K153" s="4154">
        <v>0</v>
      </c>
      <c r="L153" s="4154">
        <v>12</v>
      </c>
      <c r="M153" s="4154">
        <f t="shared" si="58"/>
        <v>1</v>
      </c>
      <c r="N153" s="4503">
        <v>45763</v>
      </c>
      <c r="O153" s="4503">
        <v>45759</v>
      </c>
      <c r="P153" s="3712"/>
      <c r="Q153" s="4929" t="s">
        <v>82</v>
      </c>
      <c r="R153" s="4157"/>
      <c r="S153" s="4157"/>
      <c r="T153" s="4157"/>
      <c r="U153" s="3726" t="s">
        <v>1021</v>
      </c>
      <c r="V153" s="3711" t="s">
        <v>974</v>
      </c>
      <c r="W153" s="3711"/>
      <c r="X153" s="3711" t="s">
        <v>366</v>
      </c>
      <c r="Y153" s="3711"/>
      <c r="Z153" s="3711" t="s">
        <v>1022</v>
      </c>
      <c r="AA153" s="4154"/>
      <c r="AB153" s="3680" t="s">
        <v>1034</v>
      </c>
      <c r="AC153" s="4154" t="s">
        <v>1024</v>
      </c>
      <c r="AD153" s="4504">
        <v>2.0833</v>
      </c>
      <c r="AE153" s="4154">
        <f t="shared" si="54"/>
        <v>24.9996</v>
      </c>
      <c r="AF153" s="4505" t="s">
        <v>1025</v>
      </c>
      <c r="AG153" s="3726"/>
      <c r="AH153" s="4422"/>
      <c r="AI153" s="3708"/>
      <c r="AJ153" s="4422"/>
      <c r="AK153" s="1048">
        <f t="shared" si="64"/>
        <v>12</v>
      </c>
      <c r="AL153" s="3708"/>
      <c r="AM153" s="4154"/>
      <c r="AN153" s="907"/>
      <c r="AO153" s="1048">
        <f t="shared" si="63"/>
        <v>12</v>
      </c>
      <c r="AP153" s="1048"/>
      <c r="AQ153" s="907"/>
      <c r="AR153" s="907"/>
      <c r="AS153" s="1048"/>
      <c r="AT153" s="1048">
        <f>J153</f>
        <v>12</v>
      </c>
      <c r="AU153" s="907"/>
      <c r="AV153" s="907"/>
      <c r="AW153" s="907"/>
      <c r="AX153" s="1048"/>
      <c r="AY153" s="907"/>
      <c r="AZ153" s="907"/>
      <c r="BA153" s="1048"/>
      <c r="BB153" s="1048"/>
      <c r="BC153" s="907"/>
      <c r="BD153" s="1048"/>
      <c r="BE153" s="1048"/>
      <c r="BF153" s="1048"/>
      <c r="BG153" s="1048"/>
      <c r="BH153" s="4622"/>
      <c r="BI153" s="4622"/>
      <c r="BJ153" s="1048"/>
      <c r="BK153" s="4415" t="s">
        <v>89</v>
      </c>
      <c r="BL153" s="4415"/>
      <c r="BM153" s="4415"/>
      <c r="BN153" s="4415"/>
      <c r="BO153" s="4415">
        <f>J153</f>
        <v>12</v>
      </c>
      <c r="BP153" s="4415"/>
      <c r="BQ153" s="4414"/>
      <c r="BR153" s="1048"/>
      <c r="BS153" s="4384"/>
      <c r="BT153" s="911"/>
      <c r="BU153" s="911"/>
      <c r="BV153" s="911"/>
      <c r="BW153" s="911"/>
      <c r="BX153" s="910"/>
      <c r="BY153" s="910"/>
      <c r="BZ153" s="3708">
        <f t="shared" si="61"/>
        <v>12</v>
      </c>
      <c r="CA153" s="4154">
        <f t="shared" si="62"/>
        <v>0</v>
      </c>
      <c r="CB153" s="4462"/>
      <c r="CC153" s="4462"/>
      <c r="CD153" s="4323"/>
      <c r="CE153" s="4323"/>
      <c r="CF153" s="4323"/>
    </row>
    <row r="154" s="4316" customFormat="1" ht="50" customHeight="1" spans="1:84">
      <c r="A154" s="4500">
        <v>45726</v>
      </c>
      <c r="B154" s="4501" t="s">
        <v>371</v>
      </c>
      <c r="C154" s="3708" t="s">
        <v>341</v>
      </c>
      <c r="D154" s="4502">
        <v>4500159542</v>
      </c>
      <c r="E154" s="3708" t="s">
        <v>1035</v>
      </c>
      <c r="F154" s="4502" t="s">
        <v>1036</v>
      </c>
      <c r="G154" s="3708" t="s">
        <v>1037</v>
      </c>
      <c r="H154" s="3708" t="s">
        <v>364</v>
      </c>
      <c r="I154" s="4154" t="s">
        <v>328</v>
      </c>
      <c r="J154" s="4154">
        <v>504</v>
      </c>
      <c r="K154" s="4154">
        <v>0</v>
      </c>
      <c r="L154" s="4154">
        <v>12</v>
      </c>
      <c r="M154" s="4154">
        <f t="shared" si="58"/>
        <v>42</v>
      </c>
      <c r="N154" s="4503">
        <v>45765</v>
      </c>
      <c r="O154" s="4503">
        <v>45761</v>
      </c>
      <c r="P154" s="3712"/>
      <c r="Q154" s="4929" t="s">
        <v>82</v>
      </c>
      <c r="R154" s="4157"/>
      <c r="S154" s="4157"/>
      <c r="T154" s="4157"/>
      <c r="U154" s="3726" t="s">
        <v>401</v>
      </c>
      <c r="V154" s="3711" t="s">
        <v>1038</v>
      </c>
      <c r="W154" s="3711"/>
      <c r="X154" s="3711" t="s">
        <v>1039</v>
      </c>
      <c r="Y154" s="3711"/>
      <c r="Z154" s="3711" t="s">
        <v>1040</v>
      </c>
      <c r="AA154" s="4154"/>
      <c r="AB154" s="3680" t="s">
        <v>1041</v>
      </c>
      <c r="AC154" s="4154" t="s">
        <v>380</v>
      </c>
      <c r="AD154" s="4504">
        <v>2.139</v>
      </c>
      <c r="AE154" s="4154">
        <f t="shared" si="54"/>
        <v>1078.056</v>
      </c>
      <c r="AF154" s="4505" t="s">
        <v>1042</v>
      </c>
      <c r="AG154" s="3726"/>
      <c r="AH154" s="4422"/>
      <c r="AI154" s="3708"/>
      <c r="AJ154" s="4422"/>
      <c r="AK154" s="1048">
        <f t="shared" si="64"/>
        <v>504</v>
      </c>
      <c r="AL154" s="3708"/>
      <c r="AM154" s="4154"/>
      <c r="AN154" s="907"/>
      <c r="AO154" s="1048">
        <f t="shared" si="63"/>
        <v>504</v>
      </c>
      <c r="AP154" s="1048"/>
      <c r="AQ154" s="907"/>
      <c r="AR154" s="907"/>
      <c r="AS154" s="1048">
        <f>J154</f>
        <v>504</v>
      </c>
      <c r="AT154" s="1048"/>
      <c r="AU154" s="907"/>
      <c r="AV154" s="907"/>
      <c r="AW154" s="907"/>
      <c r="AX154" s="1048"/>
      <c r="AY154" s="907"/>
      <c r="AZ154" s="907"/>
      <c r="BA154" s="1048"/>
      <c r="BB154" s="1048"/>
      <c r="BC154" s="907"/>
      <c r="BD154" s="1048"/>
      <c r="BE154" s="1048"/>
      <c r="BF154" s="1048"/>
      <c r="BG154" s="1048"/>
      <c r="BH154" s="1048"/>
      <c r="BI154" s="4622"/>
      <c r="BJ154" s="1048"/>
      <c r="BK154" s="4415" t="s">
        <v>89</v>
      </c>
      <c r="BL154" s="4415"/>
      <c r="BM154" s="4415"/>
      <c r="BN154" s="4415"/>
      <c r="BO154" s="4415">
        <f>J154</f>
        <v>504</v>
      </c>
      <c r="BP154" s="4415"/>
      <c r="BQ154" s="4414"/>
      <c r="BR154" s="1048"/>
      <c r="BS154" s="4384"/>
      <c r="BT154" s="911"/>
      <c r="BU154" s="911"/>
      <c r="BV154" s="911"/>
      <c r="BW154" s="911"/>
      <c r="BX154" s="910"/>
      <c r="BY154" s="910"/>
      <c r="BZ154" s="3708">
        <f t="shared" si="61"/>
        <v>504</v>
      </c>
      <c r="CA154" s="4154">
        <f t="shared" si="62"/>
        <v>0</v>
      </c>
      <c r="CB154" s="4462"/>
      <c r="CC154" s="4462"/>
      <c r="CD154" s="4323"/>
      <c r="CE154" s="4323"/>
      <c r="CF154" s="4323"/>
    </row>
    <row r="155" s="4316" customFormat="1" ht="50" customHeight="1" spans="1:84">
      <c r="A155" s="4500">
        <v>45726</v>
      </c>
      <c r="B155" s="4501" t="s">
        <v>371</v>
      </c>
      <c r="C155" s="3708" t="s">
        <v>341</v>
      </c>
      <c r="D155" s="4502">
        <v>4500159542</v>
      </c>
      <c r="E155" s="3708" t="s">
        <v>1035</v>
      </c>
      <c r="F155" s="4502" t="s">
        <v>1043</v>
      </c>
      <c r="G155" s="3708" t="s">
        <v>1044</v>
      </c>
      <c r="H155" s="3708" t="s">
        <v>1045</v>
      </c>
      <c r="I155" s="4154" t="s">
        <v>328</v>
      </c>
      <c r="J155" s="4154">
        <v>504</v>
      </c>
      <c r="K155" s="4154">
        <v>0</v>
      </c>
      <c r="L155" s="4154">
        <v>12</v>
      </c>
      <c r="M155" s="4154">
        <f t="shared" si="58"/>
        <v>42</v>
      </c>
      <c r="N155" s="4503">
        <v>45765</v>
      </c>
      <c r="O155" s="4503">
        <v>45761</v>
      </c>
      <c r="P155" s="3712"/>
      <c r="Q155" s="4929" t="s">
        <v>82</v>
      </c>
      <c r="R155" s="4157"/>
      <c r="S155" s="4157"/>
      <c r="T155" s="4157"/>
      <c r="U155" s="3726" t="s">
        <v>401</v>
      </c>
      <c r="V155" s="3711" t="s">
        <v>1038</v>
      </c>
      <c r="W155" s="3711"/>
      <c r="X155" s="3711" t="s">
        <v>1046</v>
      </c>
      <c r="Y155" s="3711"/>
      <c r="Z155" s="3711" t="s">
        <v>1040</v>
      </c>
      <c r="AA155" s="4154"/>
      <c r="AB155" s="3680" t="s">
        <v>1047</v>
      </c>
      <c r="AC155" s="4154" t="s">
        <v>380</v>
      </c>
      <c r="AD155" s="4504">
        <v>2.139</v>
      </c>
      <c r="AE155" s="4154">
        <f t="shared" si="54"/>
        <v>1078.056</v>
      </c>
      <c r="AF155" s="4505" t="s">
        <v>1042</v>
      </c>
      <c r="AG155" s="3726"/>
      <c r="AH155" s="4422"/>
      <c r="AI155" s="3708"/>
      <c r="AJ155" s="4422"/>
      <c r="AK155" s="1048">
        <f t="shared" si="64"/>
        <v>504</v>
      </c>
      <c r="AL155" s="3708"/>
      <c r="AM155" s="4154"/>
      <c r="AN155" s="907"/>
      <c r="AO155" s="1048">
        <f t="shared" si="63"/>
        <v>504</v>
      </c>
      <c r="AP155" s="1048"/>
      <c r="AQ155" s="907"/>
      <c r="AR155" s="907"/>
      <c r="AS155" s="1048">
        <f>J155</f>
        <v>504</v>
      </c>
      <c r="AT155" s="1048"/>
      <c r="AU155" s="907"/>
      <c r="AV155" s="907"/>
      <c r="AW155" s="907"/>
      <c r="AX155" s="1048"/>
      <c r="AY155" s="907"/>
      <c r="AZ155" s="907"/>
      <c r="BA155" s="1048"/>
      <c r="BB155" s="1048"/>
      <c r="BC155" s="907"/>
      <c r="BD155" s="1048"/>
      <c r="BE155" s="1048"/>
      <c r="BF155" s="1048"/>
      <c r="BG155" s="1048"/>
      <c r="BH155" s="1048"/>
      <c r="BI155" s="4622"/>
      <c r="BJ155" s="1048"/>
      <c r="BK155" s="4415" t="s">
        <v>89</v>
      </c>
      <c r="BL155" s="4415"/>
      <c r="BM155" s="4415"/>
      <c r="BN155" s="4415">
        <f>J155</f>
        <v>504</v>
      </c>
      <c r="BO155" s="4415"/>
      <c r="BP155" s="4415"/>
      <c r="BQ155" s="4414"/>
      <c r="BR155" s="1048"/>
      <c r="BS155" s="4384"/>
      <c r="BT155" s="911"/>
      <c r="BU155" s="911"/>
      <c r="BV155" s="911"/>
      <c r="BW155" s="911"/>
      <c r="BX155" s="910"/>
      <c r="BY155" s="910"/>
      <c r="BZ155" s="3708">
        <f t="shared" si="61"/>
        <v>504</v>
      </c>
      <c r="CA155" s="4154">
        <f t="shared" si="62"/>
        <v>0</v>
      </c>
      <c r="CB155" s="4462"/>
      <c r="CC155" s="4462"/>
      <c r="CD155" s="4323"/>
      <c r="CE155" s="4323"/>
      <c r="CF155" s="4323"/>
    </row>
    <row r="156" s="4316" customFormat="1" ht="50" customHeight="1" spans="1:84">
      <c r="A156" s="4500">
        <v>45701</v>
      </c>
      <c r="B156" s="4501" t="s">
        <v>90</v>
      </c>
      <c r="C156" s="3708" t="s">
        <v>91</v>
      </c>
      <c r="D156" s="4502">
        <v>4500157314</v>
      </c>
      <c r="E156" s="3708" t="s">
        <v>1048</v>
      </c>
      <c r="F156" s="4615" t="s">
        <v>1049</v>
      </c>
      <c r="G156" s="3708" t="s">
        <v>333</v>
      </c>
      <c r="H156" s="3708" t="s">
        <v>333</v>
      </c>
      <c r="I156" s="3708" t="s">
        <v>328</v>
      </c>
      <c r="J156" s="4593">
        <v>1992</v>
      </c>
      <c r="K156" s="4154">
        <v>0</v>
      </c>
      <c r="L156" s="4154">
        <v>24</v>
      </c>
      <c r="M156" s="4154">
        <f t="shared" si="58"/>
        <v>83</v>
      </c>
      <c r="N156" s="4503">
        <v>45765</v>
      </c>
      <c r="O156" s="4503">
        <v>45761</v>
      </c>
      <c r="P156" s="4154" t="s">
        <v>963</v>
      </c>
      <c r="Q156" s="4929" t="s">
        <v>82</v>
      </c>
      <c r="R156" s="4157"/>
      <c r="S156" s="4157"/>
      <c r="T156" s="4157"/>
      <c r="U156" s="3726" t="s">
        <v>1050</v>
      </c>
      <c r="V156" s="3711" t="s">
        <v>912</v>
      </c>
      <c r="W156" s="3711"/>
      <c r="X156" s="3711" t="s">
        <v>98</v>
      </c>
      <c r="Y156" s="3711"/>
      <c r="Z156" s="3711" t="s">
        <v>965</v>
      </c>
      <c r="AA156" s="4154"/>
      <c r="AB156" s="3680" t="s">
        <v>656</v>
      </c>
      <c r="AC156" s="4154" t="s">
        <v>653</v>
      </c>
      <c r="AD156" s="4504">
        <v>2.1295</v>
      </c>
      <c r="AE156" s="4154">
        <f t="shared" si="54"/>
        <v>4241.964</v>
      </c>
      <c r="AF156" s="4176" t="s">
        <v>1051</v>
      </c>
      <c r="AG156" s="3726"/>
      <c r="AH156" s="941"/>
      <c r="AI156" s="3708">
        <f>J156</f>
        <v>1992</v>
      </c>
      <c r="AJ156" s="941"/>
      <c r="AK156" s="3708"/>
      <c r="AL156" s="3708"/>
      <c r="AM156" s="4154"/>
      <c r="AN156" s="944"/>
      <c r="AO156" s="1048">
        <f t="shared" si="63"/>
        <v>1992</v>
      </c>
      <c r="AP156" s="1048"/>
      <c r="AQ156" s="944"/>
      <c r="AR156" s="944"/>
      <c r="AS156" s="1048">
        <f>J156</f>
        <v>1992</v>
      </c>
      <c r="AT156" s="1048"/>
      <c r="AU156" s="944"/>
      <c r="AV156" s="944"/>
      <c r="AW156" s="944"/>
      <c r="AX156" s="1048"/>
      <c r="AY156" s="944"/>
      <c r="AZ156" s="944"/>
      <c r="BA156" s="1048"/>
      <c r="BB156" s="1048"/>
      <c r="BC156" s="944"/>
      <c r="BD156" s="1048"/>
      <c r="BE156" s="1048"/>
      <c r="BF156" s="1048"/>
      <c r="BG156" s="1048"/>
      <c r="BH156" s="4622"/>
      <c r="BI156" s="4622"/>
      <c r="BJ156" s="1048"/>
      <c r="BK156" s="4415" t="s">
        <v>89</v>
      </c>
      <c r="BL156" s="4415">
        <f t="shared" ref="BL156:BL200" si="65">J156/60*1</f>
        <v>33.2</v>
      </c>
      <c r="BM156" s="4415">
        <f t="shared" ref="BM156:BM176" si="66">J156/60*9</f>
        <v>298.8</v>
      </c>
      <c r="BN156" s="4415">
        <f t="shared" ref="BN156:BN176" si="67">J156/60*10</f>
        <v>332</v>
      </c>
      <c r="BO156" s="4415">
        <f t="shared" ref="BO156:BO176" si="68">J156/60*10</f>
        <v>332</v>
      </c>
      <c r="BP156" s="4415">
        <f t="shared" ref="BP156:BP176" si="69">J156/60*10</f>
        <v>332</v>
      </c>
      <c r="BQ156" s="4414">
        <f t="shared" ref="BQ156:BQ176" si="70">J156/60*10</f>
        <v>332</v>
      </c>
      <c r="BR156" s="1048">
        <f t="shared" ref="BR156:BR176" si="71">J156/60*10</f>
        <v>332</v>
      </c>
      <c r="BS156" s="4384"/>
      <c r="BT156" s="947"/>
      <c r="BU156" s="947"/>
      <c r="BV156" s="947"/>
      <c r="BW156" s="947"/>
      <c r="BX156" s="946"/>
      <c r="BY156" s="946"/>
      <c r="BZ156" s="3708">
        <f t="shared" si="61"/>
        <v>1992</v>
      </c>
      <c r="CA156" s="4154">
        <f t="shared" si="62"/>
        <v>0</v>
      </c>
      <c r="CB156" s="4937"/>
      <c r="CC156" s="4937"/>
      <c r="CD156" s="4323"/>
      <c r="CE156" s="4323"/>
      <c r="CF156" s="4323"/>
    </row>
    <row r="157" s="4316" customFormat="1" ht="50" customHeight="1" spans="1:84">
      <c r="A157" s="4500">
        <v>45701</v>
      </c>
      <c r="B157" s="4501" t="s">
        <v>90</v>
      </c>
      <c r="C157" s="3708" t="s">
        <v>91</v>
      </c>
      <c r="D157" s="4502">
        <v>4500157312</v>
      </c>
      <c r="E157" s="3708" t="s">
        <v>1052</v>
      </c>
      <c r="F157" s="4615" t="s">
        <v>1053</v>
      </c>
      <c r="G157" s="3708" t="s">
        <v>333</v>
      </c>
      <c r="H157" s="3708" t="s">
        <v>333</v>
      </c>
      <c r="I157" s="3708" t="s">
        <v>328</v>
      </c>
      <c r="J157" s="4593">
        <v>1800</v>
      </c>
      <c r="K157" s="4154">
        <v>0</v>
      </c>
      <c r="L157" s="4154">
        <v>24</v>
      </c>
      <c r="M157" s="4154">
        <f t="shared" si="58"/>
        <v>75</v>
      </c>
      <c r="N157" s="4503">
        <v>45765</v>
      </c>
      <c r="O157" s="4503">
        <v>45761</v>
      </c>
      <c r="P157" s="4154" t="s">
        <v>963</v>
      </c>
      <c r="Q157" s="4929" t="s">
        <v>82</v>
      </c>
      <c r="R157" s="4938"/>
      <c r="S157" s="4157"/>
      <c r="T157" s="4157"/>
      <c r="U157" s="3726" t="s">
        <v>1054</v>
      </c>
      <c r="V157" s="3711" t="s">
        <v>912</v>
      </c>
      <c r="W157" s="3711"/>
      <c r="X157" s="3711" t="s">
        <v>98</v>
      </c>
      <c r="Y157" s="3711"/>
      <c r="Z157" s="3711" t="s">
        <v>965</v>
      </c>
      <c r="AA157" s="4154"/>
      <c r="AB157" s="3680" t="s">
        <v>1055</v>
      </c>
      <c r="AC157" s="4154" t="s">
        <v>653</v>
      </c>
      <c r="AD157" s="4504">
        <v>2.1295</v>
      </c>
      <c r="AE157" s="4154">
        <f t="shared" si="54"/>
        <v>3833.1</v>
      </c>
      <c r="AF157" s="4505" t="s">
        <v>1056</v>
      </c>
      <c r="AG157" s="3726"/>
      <c r="AH157" s="941"/>
      <c r="AI157" s="3708">
        <f>J157</f>
        <v>1800</v>
      </c>
      <c r="AJ157" s="941"/>
      <c r="AK157" s="3708"/>
      <c r="AL157" s="3708"/>
      <c r="AM157" s="4154"/>
      <c r="AN157" s="944"/>
      <c r="AO157" s="1048">
        <f t="shared" si="63"/>
        <v>1800</v>
      </c>
      <c r="AP157" s="1048"/>
      <c r="AQ157" s="944"/>
      <c r="AR157" s="944"/>
      <c r="AS157" s="1048">
        <f>J157</f>
        <v>1800</v>
      </c>
      <c r="AT157" s="1048"/>
      <c r="AU157" s="944"/>
      <c r="AV157" s="944"/>
      <c r="AW157" s="944"/>
      <c r="AX157" s="1048"/>
      <c r="AY157" s="944"/>
      <c r="AZ157" s="944"/>
      <c r="BA157" s="1048"/>
      <c r="BB157" s="1048"/>
      <c r="BC157" s="944"/>
      <c r="BD157" s="1048"/>
      <c r="BE157" s="1048"/>
      <c r="BF157" s="1048"/>
      <c r="BG157" s="1048"/>
      <c r="BH157" s="4622"/>
      <c r="BI157" s="4622"/>
      <c r="BJ157" s="1048"/>
      <c r="BK157" s="4415" t="s">
        <v>89</v>
      </c>
      <c r="BL157" s="4415">
        <f t="shared" si="65"/>
        <v>30</v>
      </c>
      <c r="BM157" s="4415">
        <f t="shared" si="66"/>
        <v>270</v>
      </c>
      <c r="BN157" s="4415">
        <f t="shared" si="67"/>
        <v>300</v>
      </c>
      <c r="BO157" s="4415">
        <f t="shared" si="68"/>
        <v>300</v>
      </c>
      <c r="BP157" s="4415">
        <f t="shared" si="69"/>
        <v>300</v>
      </c>
      <c r="BQ157" s="4414">
        <f t="shared" si="70"/>
        <v>300</v>
      </c>
      <c r="BR157" s="1048">
        <f t="shared" si="71"/>
        <v>300</v>
      </c>
      <c r="BS157" s="4384"/>
      <c r="BT157" s="947"/>
      <c r="BU157" s="947"/>
      <c r="BV157" s="947"/>
      <c r="BW157" s="947"/>
      <c r="BX157" s="946"/>
      <c r="BY157" s="946"/>
      <c r="BZ157" s="3708">
        <f t="shared" si="61"/>
        <v>1800</v>
      </c>
      <c r="CA157" s="4154">
        <f t="shared" si="62"/>
        <v>0</v>
      </c>
      <c r="CB157" s="4937"/>
      <c r="CC157" s="4937"/>
      <c r="CD157" s="4323"/>
      <c r="CE157" s="4323"/>
      <c r="CF157" s="4323"/>
    </row>
    <row r="158" s="4316" customFormat="1" ht="50" customHeight="1" spans="1:84">
      <c r="A158" s="4500">
        <v>45720</v>
      </c>
      <c r="B158" s="4501" t="s">
        <v>1057</v>
      </c>
      <c r="C158" s="3708" t="s">
        <v>396</v>
      </c>
      <c r="D158" s="4502">
        <v>4500158873</v>
      </c>
      <c r="E158" s="3708">
        <v>30369394</v>
      </c>
      <c r="F158" s="4502" t="s">
        <v>1058</v>
      </c>
      <c r="G158" s="3708" t="s">
        <v>1059</v>
      </c>
      <c r="H158" s="3708" t="s">
        <v>1060</v>
      </c>
      <c r="I158" s="3700" t="s">
        <v>1061</v>
      </c>
      <c r="J158" s="4154">
        <v>216</v>
      </c>
      <c r="K158" s="4154">
        <v>0</v>
      </c>
      <c r="L158" s="4154">
        <v>24</v>
      </c>
      <c r="M158" s="4154">
        <f t="shared" si="58"/>
        <v>9</v>
      </c>
      <c r="N158" s="4503">
        <v>45768</v>
      </c>
      <c r="O158" s="4503">
        <v>45764</v>
      </c>
      <c r="P158" s="3712"/>
      <c r="Q158" s="4929" t="s">
        <v>82</v>
      </c>
      <c r="R158" s="4157"/>
      <c r="S158" s="4157"/>
      <c r="T158" s="4157"/>
      <c r="U158" s="3726" t="s">
        <v>1062</v>
      </c>
      <c r="V158" s="3711" t="s">
        <v>1063</v>
      </c>
      <c r="W158" s="3711"/>
      <c r="X158" s="3711" t="s">
        <v>98</v>
      </c>
      <c r="Y158" s="3711"/>
      <c r="Z158" s="3711" t="s">
        <v>1064</v>
      </c>
      <c r="AA158" s="4154"/>
      <c r="AB158" s="3680" t="s">
        <v>1065</v>
      </c>
      <c r="AC158" s="4154" t="s">
        <v>405</v>
      </c>
      <c r="AD158" s="4504">
        <v>2.1295</v>
      </c>
      <c r="AE158" s="4154">
        <f t="shared" si="54"/>
        <v>459.972</v>
      </c>
      <c r="AF158" s="4505" t="s">
        <v>1066</v>
      </c>
      <c r="AG158" s="3726"/>
      <c r="AH158" s="984"/>
      <c r="AI158" s="3708"/>
      <c r="AJ158" s="984"/>
      <c r="AK158" s="3708">
        <f t="shared" ref="AK158:AK163" si="72">J158</f>
        <v>216</v>
      </c>
      <c r="AL158" s="3708"/>
      <c r="AM158" s="4154"/>
      <c r="AN158" s="877"/>
      <c r="AO158" s="1048">
        <f t="shared" si="63"/>
        <v>216</v>
      </c>
      <c r="AP158" s="1048"/>
      <c r="AQ158" s="877"/>
      <c r="AR158" s="877"/>
      <c r="AS158" s="1048"/>
      <c r="AT158" s="1048">
        <f t="shared" ref="AT158:AT163" si="73">J158</f>
        <v>216</v>
      </c>
      <c r="AU158" s="877"/>
      <c r="AV158" s="877"/>
      <c r="AW158" s="877"/>
      <c r="AX158" s="1048"/>
      <c r="AY158" s="877"/>
      <c r="AZ158" s="877"/>
      <c r="BA158" s="1048"/>
      <c r="BB158" s="1048"/>
      <c r="BC158" s="877"/>
      <c r="BD158" s="1048"/>
      <c r="BE158" s="1048"/>
      <c r="BF158" s="1048"/>
      <c r="BG158" s="1048"/>
      <c r="BH158" s="4622"/>
      <c r="BI158" s="4622"/>
      <c r="BJ158" s="1048"/>
      <c r="BK158" s="4415" t="s">
        <v>89</v>
      </c>
      <c r="BL158" s="4415">
        <f t="shared" si="65"/>
        <v>3.6</v>
      </c>
      <c r="BM158" s="4415">
        <f t="shared" si="66"/>
        <v>32.4</v>
      </c>
      <c r="BN158" s="4415">
        <f t="shared" si="67"/>
        <v>36</v>
      </c>
      <c r="BO158" s="4415">
        <f t="shared" si="68"/>
        <v>36</v>
      </c>
      <c r="BP158" s="4415">
        <f t="shared" si="69"/>
        <v>36</v>
      </c>
      <c r="BQ158" s="4414">
        <f t="shared" si="70"/>
        <v>36</v>
      </c>
      <c r="BR158" s="1048">
        <f t="shared" si="71"/>
        <v>36</v>
      </c>
      <c r="BS158" s="880"/>
      <c r="BT158" s="992"/>
      <c r="BU158" s="992"/>
      <c r="BV158" s="992"/>
      <c r="BW158" s="992"/>
      <c r="BX158" s="991"/>
      <c r="BY158" s="991"/>
      <c r="BZ158" s="3708">
        <f t="shared" si="61"/>
        <v>216</v>
      </c>
      <c r="CA158" s="4154">
        <f t="shared" si="62"/>
        <v>0</v>
      </c>
      <c r="CB158" s="4816"/>
      <c r="CC158" s="4816"/>
      <c r="CD158" s="4323"/>
      <c r="CE158" s="4323"/>
      <c r="CF158" s="4323"/>
    </row>
    <row r="159" s="4316" customFormat="1" ht="50" customHeight="1" spans="1:84">
      <c r="A159" s="4500">
        <v>45720</v>
      </c>
      <c r="B159" s="4501" t="s">
        <v>1057</v>
      </c>
      <c r="C159" s="3708" t="s">
        <v>396</v>
      </c>
      <c r="D159" s="4502">
        <v>4500158873</v>
      </c>
      <c r="E159" s="3708" t="s">
        <v>1067</v>
      </c>
      <c r="F159" s="4502" t="s">
        <v>1068</v>
      </c>
      <c r="G159" s="3708" t="s">
        <v>1059</v>
      </c>
      <c r="H159" s="3708" t="s">
        <v>1060</v>
      </c>
      <c r="I159" s="3700" t="s">
        <v>1061</v>
      </c>
      <c r="J159" s="4154">
        <v>216</v>
      </c>
      <c r="K159" s="4154">
        <v>0</v>
      </c>
      <c r="L159" s="4154">
        <v>24</v>
      </c>
      <c r="M159" s="4154">
        <f t="shared" si="58"/>
        <v>9</v>
      </c>
      <c r="N159" s="4503">
        <v>45768</v>
      </c>
      <c r="O159" s="4503">
        <v>45764</v>
      </c>
      <c r="P159" s="3712"/>
      <c r="Q159" s="4929" t="s">
        <v>82</v>
      </c>
      <c r="R159" s="4157"/>
      <c r="S159" s="4157"/>
      <c r="T159" s="4157"/>
      <c r="U159" s="3726" t="s">
        <v>1062</v>
      </c>
      <c r="V159" s="3711" t="s">
        <v>1063</v>
      </c>
      <c r="W159" s="3711"/>
      <c r="X159" s="3711" t="s">
        <v>98</v>
      </c>
      <c r="Y159" s="3711"/>
      <c r="Z159" s="3711" t="s">
        <v>1064</v>
      </c>
      <c r="AA159" s="4154"/>
      <c r="AB159" s="3680" t="s">
        <v>1065</v>
      </c>
      <c r="AC159" s="4154" t="s">
        <v>405</v>
      </c>
      <c r="AD159" s="4504">
        <v>2.1295</v>
      </c>
      <c r="AE159" s="4154">
        <f t="shared" si="54"/>
        <v>459.972</v>
      </c>
      <c r="AF159" s="4505" t="s">
        <v>1066</v>
      </c>
      <c r="AG159" s="3726"/>
      <c r="AH159" s="984"/>
      <c r="AI159" s="3708"/>
      <c r="AJ159" s="984"/>
      <c r="AK159" s="3708">
        <f t="shared" si="72"/>
        <v>216</v>
      </c>
      <c r="AL159" s="3708"/>
      <c r="AM159" s="4154"/>
      <c r="AN159" s="877"/>
      <c r="AO159" s="1048">
        <f t="shared" si="63"/>
        <v>216</v>
      </c>
      <c r="AP159" s="1048"/>
      <c r="AQ159" s="877"/>
      <c r="AR159" s="877"/>
      <c r="AS159" s="1048"/>
      <c r="AT159" s="1048">
        <f t="shared" si="73"/>
        <v>216</v>
      </c>
      <c r="AU159" s="877"/>
      <c r="AV159" s="877"/>
      <c r="AW159" s="877"/>
      <c r="AX159" s="1048"/>
      <c r="AY159" s="877"/>
      <c r="AZ159" s="877"/>
      <c r="BA159" s="1048"/>
      <c r="BB159" s="1048"/>
      <c r="BC159" s="877"/>
      <c r="BD159" s="1048"/>
      <c r="BE159" s="1048"/>
      <c r="BF159" s="1048"/>
      <c r="BG159" s="1048"/>
      <c r="BH159" s="4622"/>
      <c r="BI159" s="4622"/>
      <c r="BJ159" s="1048"/>
      <c r="BK159" s="4415" t="s">
        <v>89</v>
      </c>
      <c r="BL159" s="4415">
        <f t="shared" si="65"/>
        <v>3.6</v>
      </c>
      <c r="BM159" s="4415">
        <f t="shared" si="66"/>
        <v>32.4</v>
      </c>
      <c r="BN159" s="4415">
        <f t="shared" si="67"/>
        <v>36</v>
      </c>
      <c r="BO159" s="4415">
        <f t="shared" si="68"/>
        <v>36</v>
      </c>
      <c r="BP159" s="4415">
        <f t="shared" si="69"/>
        <v>36</v>
      </c>
      <c r="BQ159" s="4414">
        <f t="shared" si="70"/>
        <v>36</v>
      </c>
      <c r="BR159" s="1048">
        <f t="shared" si="71"/>
        <v>36</v>
      </c>
      <c r="BS159" s="880"/>
      <c r="BT159" s="992"/>
      <c r="BU159" s="992"/>
      <c r="BV159" s="992"/>
      <c r="BW159" s="992"/>
      <c r="BX159" s="991"/>
      <c r="BY159" s="991"/>
      <c r="BZ159" s="3708">
        <f t="shared" si="61"/>
        <v>216</v>
      </c>
      <c r="CA159" s="4154">
        <f t="shared" si="62"/>
        <v>0</v>
      </c>
      <c r="CB159" s="4816"/>
      <c r="CC159" s="4816"/>
      <c r="CD159" s="4323"/>
      <c r="CE159" s="4323"/>
      <c r="CF159" s="4323"/>
    </row>
    <row r="160" s="4316" customFormat="1" ht="50" customHeight="1" spans="1:84">
      <c r="A160" s="4500">
        <v>45720</v>
      </c>
      <c r="B160" s="4501" t="s">
        <v>1057</v>
      </c>
      <c r="C160" s="3708" t="s">
        <v>396</v>
      </c>
      <c r="D160" s="4502">
        <v>4500159075</v>
      </c>
      <c r="E160" s="3708" t="s">
        <v>1069</v>
      </c>
      <c r="F160" s="4502" t="s">
        <v>1070</v>
      </c>
      <c r="G160" s="3708" t="s">
        <v>1059</v>
      </c>
      <c r="H160" s="3708" t="s">
        <v>1060</v>
      </c>
      <c r="I160" s="3700" t="s">
        <v>1061</v>
      </c>
      <c r="J160" s="4154">
        <v>120</v>
      </c>
      <c r="K160" s="4154">
        <v>0</v>
      </c>
      <c r="L160" s="4154">
        <v>24</v>
      </c>
      <c r="M160" s="4154">
        <f t="shared" si="58"/>
        <v>5</v>
      </c>
      <c r="N160" s="4503">
        <v>45768</v>
      </c>
      <c r="O160" s="4503">
        <v>45764</v>
      </c>
      <c r="P160" s="3712"/>
      <c r="Q160" s="4929" t="s">
        <v>82</v>
      </c>
      <c r="R160" s="4157"/>
      <c r="S160" s="4157"/>
      <c r="T160" s="4157"/>
      <c r="U160" s="3726" t="s">
        <v>1062</v>
      </c>
      <c r="V160" s="3711" t="s">
        <v>1063</v>
      </c>
      <c r="W160" s="3711"/>
      <c r="X160" s="3711" t="s">
        <v>98</v>
      </c>
      <c r="Y160" s="3711"/>
      <c r="Z160" s="3711"/>
      <c r="AA160" s="4154"/>
      <c r="AB160" s="3680" t="s">
        <v>1071</v>
      </c>
      <c r="AC160" s="4154" t="s">
        <v>405</v>
      </c>
      <c r="AD160" s="4504">
        <v>2.1341</v>
      </c>
      <c r="AE160" s="4154">
        <f t="shared" si="54"/>
        <v>256.092</v>
      </c>
      <c r="AF160" s="4505" t="s">
        <v>1072</v>
      </c>
      <c r="AG160" s="3726"/>
      <c r="AH160" s="984"/>
      <c r="AI160" s="3708"/>
      <c r="AJ160" s="984"/>
      <c r="AK160" s="3708">
        <f t="shared" si="72"/>
        <v>120</v>
      </c>
      <c r="AL160" s="3708"/>
      <c r="AM160" s="4154"/>
      <c r="AN160" s="877"/>
      <c r="AO160" s="1048">
        <f t="shared" si="63"/>
        <v>120</v>
      </c>
      <c r="AP160" s="1048"/>
      <c r="AQ160" s="877"/>
      <c r="AR160" s="877"/>
      <c r="AS160" s="1048"/>
      <c r="AT160" s="1048">
        <f t="shared" si="73"/>
        <v>120</v>
      </c>
      <c r="AU160" s="877"/>
      <c r="AV160" s="877"/>
      <c r="AW160" s="877"/>
      <c r="AX160" s="1048"/>
      <c r="AY160" s="877"/>
      <c r="AZ160" s="877"/>
      <c r="BA160" s="1048"/>
      <c r="BB160" s="1048"/>
      <c r="BC160" s="877"/>
      <c r="BD160" s="1048"/>
      <c r="BE160" s="1048"/>
      <c r="BF160" s="1048"/>
      <c r="BG160" s="1048"/>
      <c r="BH160" s="4622"/>
      <c r="BI160" s="4622"/>
      <c r="BJ160" s="1048"/>
      <c r="BK160" s="4415" t="s">
        <v>89</v>
      </c>
      <c r="BL160" s="4415">
        <f t="shared" si="65"/>
        <v>2</v>
      </c>
      <c r="BM160" s="4415">
        <f t="shared" si="66"/>
        <v>18</v>
      </c>
      <c r="BN160" s="4415">
        <f t="shared" si="67"/>
        <v>20</v>
      </c>
      <c r="BO160" s="4415">
        <f t="shared" si="68"/>
        <v>20</v>
      </c>
      <c r="BP160" s="4415">
        <f t="shared" si="69"/>
        <v>20</v>
      </c>
      <c r="BQ160" s="4414">
        <f t="shared" si="70"/>
        <v>20</v>
      </c>
      <c r="BR160" s="1048">
        <f t="shared" si="71"/>
        <v>20</v>
      </c>
      <c r="BS160" s="880"/>
      <c r="BT160" s="992"/>
      <c r="BU160" s="992"/>
      <c r="BV160" s="992"/>
      <c r="BW160" s="992"/>
      <c r="BX160" s="991"/>
      <c r="BY160" s="991"/>
      <c r="BZ160" s="3708">
        <f t="shared" si="61"/>
        <v>120</v>
      </c>
      <c r="CA160" s="4154">
        <f t="shared" si="62"/>
        <v>0</v>
      </c>
      <c r="CB160" s="4816"/>
      <c r="CC160" s="4816"/>
      <c r="CD160" s="4323"/>
      <c r="CE160" s="4323"/>
      <c r="CF160" s="4323"/>
    </row>
    <row r="161" s="4316" customFormat="1" ht="50" customHeight="1" spans="1:84">
      <c r="A161" s="4500">
        <v>45720</v>
      </c>
      <c r="B161" s="4501" t="s">
        <v>1057</v>
      </c>
      <c r="C161" s="3708" t="s">
        <v>396</v>
      </c>
      <c r="D161" s="4502">
        <v>4500159075</v>
      </c>
      <c r="E161" s="3708" t="s">
        <v>1073</v>
      </c>
      <c r="F161" s="4502" t="s">
        <v>1074</v>
      </c>
      <c r="G161" s="3708" t="s">
        <v>1059</v>
      </c>
      <c r="H161" s="3708" t="s">
        <v>1060</v>
      </c>
      <c r="I161" s="3700" t="s">
        <v>1061</v>
      </c>
      <c r="J161" s="4154">
        <v>120</v>
      </c>
      <c r="K161" s="4154">
        <v>0</v>
      </c>
      <c r="L161" s="4154">
        <v>24</v>
      </c>
      <c r="M161" s="4154">
        <f t="shared" si="58"/>
        <v>5</v>
      </c>
      <c r="N161" s="4503">
        <v>45768</v>
      </c>
      <c r="O161" s="4503">
        <v>45764</v>
      </c>
      <c r="P161" s="3712"/>
      <c r="Q161" s="4929" t="s">
        <v>82</v>
      </c>
      <c r="R161" s="4157"/>
      <c r="S161" s="4157"/>
      <c r="T161" s="4157"/>
      <c r="U161" s="3726" t="s">
        <v>1062</v>
      </c>
      <c r="V161" s="3711" t="s">
        <v>1063</v>
      </c>
      <c r="W161" s="3711"/>
      <c r="X161" s="3711" t="s">
        <v>98</v>
      </c>
      <c r="Y161" s="3711"/>
      <c r="Z161" s="3711"/>
      <c r="AA161" s="4154"/>
      <c r="AB161" s="3680" t="s">
        <v>1071</v>
      </c>
      <c r="AC161" s="4154" t="s">
        <v>405</v>
      </c>
      <c r="AD161" s="4504">
        <v>2.1341</v>
      </c>
      <c r="AE161" s="4154">
        <f t="shared" si="54"/>
        <v>256.092</v>
      </c>
      <c r="AF161" s="4505" t="s">
        <v>1072</v>
      </c>
      <c r="AG161" s="3726"/>
      <c r="AH161" s="984"/>
      <c r="AI161" s="3708"/>
      <c r="AJ161" s="984"/>
      <c r="AK161" s="3708">
        <f t="shared" si="72"/>
        <v>120</v>
      </c>
      <c r="AL161" s="3708"/>
      <c r="AM161" s="4154"/>
      <c r="AN161" s="877"/>
      <c r="AO161" s="1048">
        <f t="shared" si="63"/>
        <v>120</v>
      </c>
      <c r="AP161" s="1048"/>
      <c r="AQ161" s="877"/>
      <c r="AR161" s="877"/>
      <c r="AS161" s="1048"/>
      <c r="AT161" s="1048">
        <f t="shared" si="73"/>
        <v>120</v>
      </c>
      <c r="AU161" s="877"/>
      <c r="AV161" s="877"/>
      <c r="AW161" s="877"/>
      <c r="AX161" s="1048"/>
      <c r="AY161" s="877"/>
      <c r="AZ161" s="877"/>
      <c r="BA161" s="1048"/>
      <c r="BB161" s="1048"/>
      <c r="BC161" s="877"/>
      <c r="BD161" s="1048"/>
      <c r="BE161" s="1048"/>
      <c r="BF161" s="1048"/>
      <c r="BG161" s="1048"/>
      <c r="BH161" s="4622"/>
      <c r="BI161" s="4622"/>
      <c r="BJ161" s="1048"/>
      <c r="BK161" s="4415" t="s">
        <v>89</v>
      </c>
      <c r="BL161" s="4415">
        <f t="shared" si="65"/>
        <v>2</v>
      </c>
      <c r="BM161" s="4415">
        <f t="shared" si="66"/>
        <v>18</v>
      </c>
      <c r="BN161" s="4415">
        <f t="shared" si="67"/>
        <v>20</v>
      </c>
      <c r="BO161" s="4415">
        <f t="shared" si="68"/>
        <v>20</v>
      </c>
      <c r="BP161" s="4415">
        <f t="shared" si="69"/>
        <v>20</v>
      </c>
      <c r="BQ161" s="4414">
        <f t="shared" si="70"/>
        <v>20</v>
      </c>
      <c r="BR161" s="1048">
        <f t="shared" si="71"/>
        <v>20</v>
      </c>
      <c r="BS161" s="880"/>
      <c r="BT161" s="992"/>
      <c r="BU161" s="992"/>
      <c r="BV161" s="992"/>
      <c r="BW161" s="992"/>
      <c r="BX161" s="991"/>
      <c r="BY161" s="991"/>
      <c r="BZ161" s="3708">
        <f t="shared" si="61"/>
        <v>120</v>
      </c>
      <c r="CA161" s="4154">
        <f t="shared" si="62"/>
        <v>0</v>
      </c>
      <c r="CB161" s="4816"/>
      <c r="CC161" s="4816"/>
      <c r="CD161" s="4323"/>
      <c r="CE161" s="4323"/>
      <c r="CF161" s="4323"/>
    </row>
    <row r="162" s="4316" customFormat="1" ht="50" customHeight="1" spans="1:84">
      <c r="A162" s="4500">
        <v>45720</v>
      </c>
      <c r="B162" s="4501" t="s">
        <v>1057</v>
      </c>
      <c r="C162" s="3708" t="s">
        <v>396</v>
      </c>
      <c r="D162" s="4502">
        <v>4500159075</v>
      </c>
      <c r="E162" s="3708" t="s">
        <v>1075</v>
      </c>
      <c r="F162" s="4502" t="s">
        <v>1076</v>
      </c>
      <c r="G162" s="3708" t="s">
        <v>1059</v>
      </c>
      <c r="H162" s="3708" t="s">
        <v>1060</v>
      </c>
      <c r="I162" s="3700" t="s">
        <v>1061</v>
      </c>
      <c r="J162" s="4154">
        <v>120</v>
      </c>
      <c r="K162" s="4154">
        <v>0</v>
      </c>
      <c r="L162" s="4154">
        <v>24</v>
      </c>
      <c r="M162" s="4154">
        <f t="shared" si="58"/>
        <v>5</v>
      </c>
      <c r="N162" s="4503">
        <v>45768</v>
      </c>
      <c r="O162" s="4503">
        <v>45764</v>
      </c>
      <c r="P162" s="3712"/>
      <c r="Q162" s="4929" t="s">
        <v>82</v>
      </c>
      <c r="R162" s="4157"/>
      <c r="S162" s="4157"/>
      <c r="T162" s="4157"/>
      <c r="U162" s="3726" t="s">
        <v>1062</v>
      </c>
      <c r="V162" s="3711" t="s">
        <v>1063</v>
      </c>
      <c r="W162" s="3711"/>
      <c r="X162" s="3711" t="s">
        <v>98</v>
      </c>
      <c r="Y162" s="3711"/>
      <c r="Z162" s="3711"/>
      <c r="AA162" s="4154"/>
      <c r="AB162" s="3680" t="s">
        <v>1071</v>
      </c>
      <c r="AC162" s="4154" t="s">
        <v>405</v>
      </c>
      <c r="AD162" s="4504">
        <v>2.1341</v>
      </c>
      <c r="AE162" s="4154">
        <f t="shared" si="54"/>
        <v>256.092</v>
      </c>
      <c r="AF162" s="4505" t="s">
        <v>1072</v>
      </c>
      <c r="AG162" s="3726"/>
      <c r="AH162" s="984"/>
      <c r="AI162" s="3708"/>
      <c r="AJ162" s="984"/>
      <c r="AK162" s="3708">
        <f t="shared" si="72"/>
        <v>120</v>
      </c>
      <c r="AL162" s="3708"/>
      <c r="AM162" s="4154"/>
      <c r="AN162" s="877"/>
      <c r="AO162" s="1048">
        <f t="shared" si="63"/>
        <v>120</v>
      </c>
      <c r="AP162" s="1048"/>
      <c r="AQ162" s="877"/>
      <c r="AR162" s="877"/>
      <c r="AS162" s="1048"/>
      <c r="AT162" s="1048">
        <f t="shared" si="73"/>
        <v>120</v>
      </c>
      <c r="AU162" s="877"/>
      <c r="AV162" s="877"/>
      <c r="AW162" s="877"/>
      <c r="AX162" s="1048"/>
      <c r="AY162" s="877"/>
      <c r="AZ162" s="877"/>
      <c r="BA162" s="1048"/>
      <c r="BB162" s="1048"/>
      <c r="BC162" s="877"/>
      <c r="BD162" s="1048"/>
      <c r="BE162" s="1048"/>
      <c r="BF162" s="1048"/>
      <c r="BG162" s="1048"/>
      <c r="BH162" s="4622"/>
      <c r="BI162" s="4622"/>
      <c r="BJ162" s="1048"/>
      <c r="BK162" s="4415" t="s">
        <v>89</v>
      </c>
      <c r="BL162" s="4415">
        <f t="shared" si="65"/>
        <v>2</v>
      </c>
      <c r="BM162" s="4415">
        <f t="shared" si="66"/>
        <v>18</v>
      </c>
      <c r="BN162" s="4415">
        <f t="shared" si="67"/>
        <v>20</v>
      </c>
      <c r="BO162" s="4415">
        <f t="shared" si="68"/>
        <v>20</v>
      </c>
      <c r="BP162" s="4415">
        <f t="shared" si="69"/>
        <v>20</v>
      </c>
      <c r="BQ162" s="4414">
        <f t="shared" si="70"/>
        <v>20</v>
      </c>
      <c r="BR162" s="1048">
        <f t="shared" si="71"/>
        <v>20</v>
      </c>
      <c r="BS162" s="880"/>
      <c r="BT162" s="992"/>
      <c r="BU162" s="992"/>
      <c r="BV162" s="992"/>
      <c r="BW162" s="992"/>
      <c r="BX162" s="991"/>
      <c r="BY162" s="991"/>
      <c r="BZ162" s="3708">
        <f t="shared" si="61"/>
        <v>120</v>
      </c>
      <c r="CA162" s="4154">
        <f t="shared" si="62"/>
        <v>0</v>
      </c>
      <c r="CB162" s="4816"/>
      <c r="CC162" s="4816"/>
      <c r="CD162" s="4323"/>
      <c r="CE162" s="4323"/>
      <c r="CF162" s="4323"/>
    </row>
    <row r="163" s="4316" customFormat="1" ht="50" customHeight="1" spans="1:84">
      <c r="A163" s="4500">
        <v>45720</v>
      </c>
      <c r="B163" s="4501" t="s">
        <v>1057</v>
      </c>
      <c r="C163" s="3708" t="s">
        <v>396</v>
      </c>
      <c r="D163" s="4502">
        <v>4500158873</v>
      </c>
      <c r="E163" s="3708" t="s">
        <v>1077</v>
      </c>
      <c r="F163" s="4502" t="s">
        <v>1078</v>
      </c>
      <c r="G163" s="3708" t="s">
        <v>1059</v>
      </c>
      <c r="H163" s="3708" t="s">
        <v>1060</v>
      </c>
      <c r="I163" s="3700" t="s">
        <v>1061</v>
      </c>
      <c r="J163" s="4154">
        <v>600</v>
      </c>
      <c r="K163" s="4154">
        <v>0</v>
      </c>
      <c r="L163" s="4154">
        <v>24</v>
      </c>
      <c r="M163" s="4154">
        <f t="shared" si="58"/>
        <v>25</v>
      </c>
      <c r="N163" s="4503">
        <v>45768</v>
      </c>
      <c r="O163" s="4503">
        <v>45764</v>
      </c>
      <c r="P163" s="3712"/>
      <c r="Q163" s="4929" t="s">
        <v>82</v>
      </c>
      <c r="R163" s="4157"/>
      <c r="S163" s="4157"/>
      <c r="T163" s="4157"/>
      <c r="U163" s="3726" t="s">
        <v>1062</v>
      </c>
      <c r="V163" s="3711" t="s">
        <v>1063</v>
      </c>
      <c r="W163" s="3711"/>
      <c r="X163" s="3711" t="s">
        <v>98</v>
      </c>
      <c r="Y163" s="3711"/>
      <c r="Z163" s="3711" t="s">
        <v>1064</v>
      </c>
      <c r="AA163" s="4154"/>
      <c r="AB163" s="3680" t="s">
        <v>1079</v>
      </c>
      <c r="AC163" s="4154" t="s">
        <v>405</v>
      </c>
      <c r="AD163" s="4504">
        <v>2.076</v>
      </c>
      <c r="AE163" s="4154">
        <f t="shared" si="54"/>
        <v>1245.6</v>
      </c>
      <c r="AF163" s="4505" t="s">
        <v>1080</v>
      </c>
      <c r="AG163" s="3726"/>
      <c r="AH163" s="984"/>
      <c r="AI163" s="3708"/>
      <c r="AJ163" s="984"/>
      <c r="AK163" s="3708">
        <f t="shared" si="72"/>
        <v>600</v>
      </c>
      <c r="AL163" s="3708"/>
      <c r="AM163" s="4154"/>
      <c r="AN163" s="877"/>
      <c r="AO163" s="1048">
        <f t="shared" si="63"/>
        <v>600</v>
      </c>
      <c r="AP163" s="1048"/>
      <c r="AQ163" s="877"/>
      <c r="AR163" s="877"/>
      <c r="AS163" s="1048"/>
      <c r="AT163" s="1048">
        <f t="shared" si="73"/>
        <v>600</v>
      </c>
      <c r="AU163" s="877"/>
      <c r="AV163" s="877"/>
      <c r="AW163" s="877"/>
      <c r="AX163" s="1048"/>
      <c r="AY163" s="877"/>
      <c r="AZ163" s="877"/>
      <c r="BA163" s="1048"/>
      <c r="BB163" s="1048"/>
      <c r="BC163" s="877"/>
      <c r="BD163" s="1048"/>
      <c r="BE163" s="1048"/>
      <c r="BF163" s="1048"/>
      <c r="BG163" s="1048"/>
      <c r="BH163" s="4622"/>
      <c r="BI163" s="4622"/>
      <c r="BJ163" s="1048"/>
      <c r="BK163" s="4415" t="s">
        <v>89</v>
      </c>
      <c r="BL163" s="4415">
        <f t="shared" si="65"/>
        <v>10</v>
      </c>
      <c r="BM163" s="4415">
        <f t="shared" si="66"/>
        <v>90</v>
      </c>
      <c r="BN163" s="4415">
        <f t="shared" si="67"/>
        <v>100</v>
      </c>
      <c r="BO163" s="4415">
        <f t="shared" si="68"/>
        <v>100</v>
      </c>
      <c r="BP163" s="4415">
        <f t="shared" si="69"/>
        <v>100</v>
      </c>
      <c r="BQ163" s="4414">
        <f t="shared" si="70"/>
        <v>100</v>
      </c>
      <c r="BR163" s="1048">
        <f t="shared" si="71"/>
        <v>100</v>
      </c>
      <c r="BS163" s="880"/>
      <c r="BT163" s="992"/>
      <c r="BU163" s="992"/>
      <c r="BV163" s="992"/>
      <c r="BW163" s="992"/>
      <c r="BX163" s="991"/>
      <c r="BY163" s="991"/>
      <c r="BZ163" s="3708">
        <f t="shared" si="61"/>
        <v>600</v>
      </c>
      <c r="CA163" s="4154">
        <f t="shared" si="62"/>
        <v>0</v>
      </c>
      <c r="CB163" s="4816"/>
      <c r="CC163" s="4816"/>
      <c r="CD163" s="4323"/>
      <c r="CE163" s="4323"/>
      <c r="CF163" s="4323"/>
    </row>
    <row r="164" s="4316" customFormat="1" ht="50" customHeight="1" spans="1:84">
      <c r="A164" s="4500">
        <v>45701</v>
      </c>
      <c r="B164" s="4501" t="s">
        <v>90</v>
      </c>
      <c r="C164" s="3708" t="s">
        <v>91</v>
      </c>
      <c r="D164" s="4502">
        <v>4500157314</v>
      </c>
      <c r="E164" s="3708" t="s">
        <v>1081</v>
      </c>
      <c r="F164" s="4615" t="s">
        <v>1082</v>
      </c>
      <c r="G164" s="3708" t="s">
        <v>409</v>
      </c>
      <c r="H164" s="3708" t="s">
        <v>409</v>
      </c>
      <c r="I164" s="3708" t="s">
        <v>410</v>
      </c>
      <c r="J164" s="4154">
        <v>804</v>
      </c>
      <c r="K164" s="4154">
        <v>0</v>
      </c>
      <c r="L164" s="4154">
        <v>12</v>
      </c>
      <c r="M164" s="4154">
        <f t="shared" si="58"/>
        <v>67</v>
      </c>
      <c r="N164" s="4503">
        <v>45765</v>
      </c>
      <c r="O164" s="4503">
        <v>45761</v>
      </c>
      <c r="P164" s="3708" t="s">
        <v>1083</v>
      </c>
      <c r="Q164" s="4929" t="s">
        <v>82</v>
      </c>
      <c r="R164" s="4157"/>
      <c r="S164" s="4157"/>
      <c r="T164" s="4157"/>
      <c r="U164" s="3726" t="s">
        <v>1050</v>
      </c>
      <c r="V164" s="3711" t="s">
        <v>912</v>
      </c>
      <c r="W164" s="3711"/>
      <c r="X164" s="3711" t="s">
        <v>98</v>
      </c>
      <c r="Y164" s="3711"/>
      <c r="Z164" s="3711" t="s">
        <v>965</v>
      </c>
      <c r="AA164" s="4154"/>
      <c r="AB164" s="3680" t="s">
        <v>970</v>
      </c>
      <c r="AC164" s="4154" t="s">
        <v>653</v>
      </c>
      <c r="AD164" s="4504">
        <v>2.8218</v>
      </c>
      <c r="AE164" s="4154">
        <f t="shared" si="54"/>
        <v>2268.7272</v>
      </c>
      <c r="AF164" s="4176" t="s">
        <v>1051</v>
      </c>
      <c r="AG164" s="3726" t="s">
        <v>416</v>
      </c>
      <c r="AH164" s="4422"/>
      <c r="AI164" s="3708">
        <f>J164</f>
        <v>804</v>
      </c>
      <c r="AJ164" s="4422"/>
      <c r="AK164" s="3708"/>
      <c r="AL164" s="3708"/>
      <c r="AM164" s="4154"/>
      <c r="AN164" s="907"/>
      <c r="AO164" s="1048">
        <f t="shared" si="63"/>
        <v>804</v>
      </c>
      <c r="AP164" s="1048"/>
      <c r="AQ164" s="907"/>
      <c r="AR164" s="907"/>
      <c r="AS164" s="1048">
        <f>J164</f>
        <v>804</v>
      </c>
      <c r="AT164" s="1048"/>
      <c r="AU164" s="907"/>
      <c r="AV164" s="907"/>
      <c r="AW164" s="907"/>
      <c r="AX164" s="1048"/>
      <c r="AY164" s="907"/>
      <c r="AZ164" s="907"/>
      <c r="BA164" s="1048"/>
      <c r="BB164" s="1048"/>
      <c r="BC164" s="907"/>
      <c r="BD164" s="1048"/>
      <c r="BE164" s="1048"/>
      <c r="BF164" s="1048"/>
      <c r="BG164" s="1048"/>
      <c r="BH164" s="1048">
        <f>J164</f>
        <v>804</v>
      </c>
      <c r="BI164" s="4622"/>
      <c r="BJ164" s="1048"/>
      <c r="BK164" s="4415" t="s">
        <v>89</v>
      </c>
      <c r="BL164" s="4415">
        <f t="shared" si="65"/>
        <v>13.4</v>
      </c>
      <c r="BM164" s="4415">
        <f t="shared" si="66"/>
        <v>120.6</v>
      </c>
      <c r="BN164" s="4415">
        <f t="shared" si="67"/>
        <v>134</v>
      </c>
      <c r="BO164" s="4415">
        <f t="shared" si="68"/>
        <v>134</v>
      </c>
      <c r="BP164" s="4415">
        <f t="shared" si="69"/>
        <v>134</v>
      </c>
      <c r="BQ164" s="4414">
        <f t="shared" si="70"/>
        <v>134</v>
      </c>
      <c r="BR164" s="1048">
        <f t="shared" si="71"/>
        <v>134</v>
      </c>
      <c r="BS164" s="4384"/>
      <c r="BT164" s="4462"/>
      <c r="BU164" s="4462"/>
      <c r="BV164" s="4462"/>
      <c r="BW164" s="4462"/>
      <c r="BX164" s="4462"/>
      <c r="BY164" s="4462"/>
      <c r="BZ164" s="3708">
        <f t="shared" si="61"/>
        <v>804</v>
      </c>
      <c r="CA164" s="4154">
        <f t="shared" si="62"/>
        <v>0</v>
      </c>
      <c r="CB164" s="4462"/>
      <c r="CC164" s="4462"/>
      <c r="CD164" s="4323"/>
      <c r="CE164" s="4323"/>
      <c r="CF164" s="4323"/>
    </row>
    <row r="165" s="4316" customFormat="1" ht="50" customHeight="1" spans="1:84">
      <c r="A165" s="4500">
        <v>45701</v>
      </c>
      <c r="B165" s="4501" t="s">
        <v>90</v>
      </c>
      <c r="C165" s="3708" t="s">
        <v>91</v>
      </c>
      <c r="D165" s="4502">
        <v>4500157312</v>
      </c>
      <c r="E165" s="3708" t="s">
        <v>1084</v>
      </c>
      <c r="F165" s="4615" t="s">
        <v>1085</v>
      </c>
      <c r="G165" s="3708" t="s">
        <v>409</v>
      </c>
      <c r="H165" s="3708" t="s">
        <v>409</v>
      </c>
      <c r="I165" s="3708" t="s">
        <v>410</v>
      </c>
      <c r="J165" s="4154">
        <v>600</v>
      </c>
      <c r="K165" s="4154">
        <v>0</v>
      </c>
      <c r="L165" s="4154">
        <v>12</v>
      </c>
      <c r="M165" s="4154">
        <f t="shared" si="58"/>
        <v>50</v>
      </c>
      <c r="N165" s="4503">
        <v>45765</v>
      </c>
      <c r="O165" s="4503">
        <v>45761</v>
      </c>
      <c r="P165" s="3708" t="s">
        <v>1083</v>
      </c>
      <c r="Q165" s="4929" t="s">
        <v>82</v>
      </c>
      <c r="R165" s="4157"/>
      <c r="S165" s="4157"/>
      <c r="T165" s="4157"/>
      <c r="U165" s="3726" t="s">
        <v>1050</v>
      </c>
      <c r="V165" s="3711" t="s">
        <v>912</v>
      </c>
      <c r="W165" s="3711"/>
      <c r="X165" s="3711" t="s">
        <v>98</v>
      </c>
      <c r="Y165" s="3711"/>
      <c r="Z165" s="3711" t="s">
        <v>965</v>
      </c>
      <c r="AA165" s="4154"/>
      <c r="AB165" s="3680" t="s">
        <v>1086</v>
      </c>
      <c r="AC165" s="4154" t="s">
        <v>653</v>
      </c>
      <c r="AD165" s="4504">
        <v>2.8218</v>
      </c>
      <c r="AE165" s="4154">
        <f t="shared" si="54"/>
        <v>1693.08</v>
      </c>
      <c r="AF165" s="4505" t="s">
        <v>1056</v>
      </c>
      <c r="AG165" s="3726" t="s">
        <v>416</v>
      </c>
      <c r="AH165" s="4422"/>
      <c r="AI165" s="3708">
        <f>J165</f>
        <v>600</v>
      </c>
      <c r="AJ165" s="4422"/>
      <c r="AK165" s="3708"/>
      <c r="AL165" s="3708"/>
      <c r="AM165" s="4154"/>
      <c r="AN165" s="907"/>
      <c r="AO165" s="1048">
        <f t="shared" si="63"/>
        <v>600</v>
      </c>
      <c r="AP165" s="1048"/>
      <c r="AQ165" s="907"/>
      <c r="AR165" s="907"/>
      <c r="AS165" s="1048">
        <f>J165</f>
        <v>600</v>
      </c>
      <c r="AT165" s="1048"/>
      <c r="AU165" s="907"/>
      <c r="AV165" s="907"/>
      <c r="AW165" s="907"/>
      <c r="AX165" s="1048"/>
      <c r="AY165" s="907"/>
      <c r="AZ165" s="907"/>
      <c r="BA165" s="1048"/>
      <c r="BB165" s="1048"/>
      <c r="BC165" s="907"/>
      <c r="BD165" s="1048"/>
      <c r="BE165" s="1048"/>
      <c r="BF165" s="1048"/>
      <c r="BG165" s="1048"/>
      <c r="BH165" s="1048">
        <f>J165</f>
        <v>600</v>
      </c>
      <c r="BI165" s="4622"/>
      <c r="BJ165" s="1048"/>
      <c r="BK165" s="4415" t="s">
        <v>89</v>
      </c>
      <c r="BL165" s="4415">
        <f t="shared" si="65"/>
        <v>10</v>
      </c>
      <c r="BM165" s="4415">
        <f t="shared" si="66"/>
        <v>90</v>
      </c>
      <c r="BN165" s="4415">
        <f t="shared" si="67"/>
        <v>100</v>
      </c>
      <c r="BO165" s="4415">
        <f t="shared" si="68"/>
        <v>100</v>
      </c>
      <c r="BP165" s="4415">
        <f t="shared" si="69"/>
        <v>100</v>
      </c>
      <c r="BQ165" s="4414">
        <f t="shared" si="70"/>
        <v>100</v>
      </c>
      <c r="BR165" s="1048">
        <f t="shared" si="71"/>
        <v>100</v>
      </c>
      <c r="BS165" s="4384"/>
      <c r="BT165" s="911"/>
      <c r="BU165" s="911"/>
      <c r="BV165" s="911"/>
      <c r="BW165" s="911"/>
      <c r="BX165" s="910"/>
      <c r="BY165" s="910"/>
      <c r="BZ165" s="3708">
        <f t="shared" si="61"/>
        <v>600</v>
      </c>
      <c r="CA165" s="4154">
        <f t="shared" si="62"/>
        <v>0</v>
      </c>
      <c r="CB165" s="4462"/>
      <c r="CC165" s="4462"/>
      <c r="CD165" s="4323"/>
      <c r="CE165" s="4323"/>
      <c r="CF165" s="4323"/>
    </row>
    <row r="166" s="4316" customFormat="1" ht="50" customHeight="1" spans="1:84">
      <c r="A166" s="4500">
        <v>45720</v>
      </c>
      <c r="B166" s="4501" t="s">
        <v>1057</v>
      </c>
      <c r="C166" s="3708" t="s">
        <v>396</v>
      </c>
      <c r="D166" s="4502">
        <v>4500158924</v>
      </c>
      <c r="E166" s="3708" t="s">
        <v>1087</v>
      </c>
      <c r="F166" s="4615" t="s">
        <v>1088</v>
      </c>
      <c r="G166" s="3708" t="s">
        <v>1059</v>
      </c>
      <c r="H166" s="3708" t="s">
        <v>1060</v>
      </c>
      <c r="I166" s="3700" t="s">
        <v>1061</v>
      </c>
      <c r="J166" s="4154">
        <v>600</v>
      </c>
      <c r="K166" s="4154">
        <v>0</v>
      </c>
      <c r="L166" s="4154">
        <v>24</v>
      </c>
      <c r="M166" s="4154">
        <f t="shared" si="58"/>
        <v>25</v>
      </c>
      <c r="N166" s="4503">
        <v>45768</v>
      </c>
      <c r="O166" s="4503">
        <v>45764</v>
      </c>
      <c r="P166" s="3712"/>
      <c r="Q166" s="4929" t="s">
        <v>82</v>
      </c>
      <c r="R166" s="4157"/>
      <c r="S166" s="4157"/>
      <c r="T166" s="4157"/>
      <c r="U166" s="3726"/>
      <c r="V166" s="3711" t="s">
        <v>1063</v>
      </c>
      <c r="W166" s="3711"/>
      <c r="X166" s="3711" t="s">
        <v>98</v>
      </c>
      <c r="Y166" s="3711"/>
      <c r="Z166" s="3711" t="s">
        <v>1064</v>
      </c>
      <c r="AA166" s="4154"/>
      <c r="AB166" s="3680" t="s">
        <v>1089</v>
      </c>
      <c r="AC166" s="4154" t="s">
        <v>405</v>
      </c>
      <c r="AD166" s="4504">
        <v>2.1295</v>
      </c>
      <c r="AE166" s="4154">
        <f t="shared" si="54"/>
        <v>1277.7</v>
      </c>
      <c r="AF166" s="4505" t="s">
        <v>1090</v>
      </c>
      <c r="AG166" s="3726"/>
      <c r="AH166" s="984"/>
      <c r="AI166" s="3708"/>
      <c r="AJ166" s="984"/>
      <c r="AK166" s="3708">
        <f>J166</f>
        <v>600</v>
      </c>
      <c r="AL166" s="3708"/>
      <c r="AM166" s="4154"/>
      <c r="AN166" s="877"/>
      <c r="AO166" s="1048">
        <f t="shared" si="63"/>
        <v>600</v>
      </c>
      <c r="AP166" s="1048"/>
      <c r="AQ166" s="877"/>
      <c r="AR166" s="877"/>
      <c r="AS166" s="1048"/>
      <c r="AT166" s="1048">
        <f t="shared" ref="AT166:AT174" si="74">J166</f>
        <v>600</v>
      </c>
      <c r="AU166" s="877"/>
      <c r="AV166" s="877"/>
      <c r="AW166" s="877"/>
      <c r="AX166" s="1048"/>
      <c r="AY166" s="877"/>
      <c r="AZ166" s="877"/>
      <c r="BA166" s="1048"/>
      <c r="BB166" s="1048"/>
      <c r="BC166" s="877"/>
      <c r="BD166" s="1048"/>
      <c r="BE166" s="1048"/>
      <c r="BF166" s="1048"/>
      <c r="BG166" s="1048"/>
      <c r="BH166" s="1048"/>
      <c r="BI166" s="4622"/>
      <c r="BJ166" s="1048"/>
      <c r="BK166" s="4415" t="s">
        <v>89</v>
      </c>
      <c r="BL166" s="4415">
        <f t="shared" si="65"/>
        <v>10</v>
      </c>
      <c r="BM166" s="4415">
        <f t="shared" si="66"/>
        <v>90</v>
      </c>
      <c r="BN166" s="4415">
        <f t="shared" si="67"/>
        <v>100</v>
      </c>
      <c r="BO166" s="4415">
        <f t="shared" si="68"/>
        <v>100</v>
      </c>
      <c r="BP166" s="4415">
        <f t="shared" si="69"/>
        <v>100</v>
      </c>
      <c r="BQ166" s="4414">
        <f t="shared" si="70"/>
        <v>100</v>
      </c>
      <c r="BR166" s="1048">
        <f t="shared" si="71"/>
        <v>100</v>
      </c>
      <c r="BS166" s="880"/>
      <c r="BT166" s="992"/>
      <c r="BU166" s="992"/>
      <c r="BV166" s="992"/>
      <c r="BW166" s="992"/>
      <c r="BX166" s="991"/>
      <c r="BY166" s="991"/>
      <c r="BZ166" s="3708">
        <f t="shared" si="61"/>
        <v>600</v>
      </c>
      <c r="CA166" s="4154">
        <f t="shared" si="62"/>
        <v>0</v>
      </c>
      <c r="CB166" s="4816"/>
      <c r="CC166" s="4816"/>
      <c r="CD166" s="4323"/>
      <c r="CE166" s="4323"/>
      <c r="CF166" s="4323"/>
    </row>
    <row r="167" s="4316" customFormat="1" ht="50" customHeight="1" spans="1:84">
      <c r="A167" s="4500">
        <v>45720</v>
      </c>
      <c r="B167" s="4501" t="s">
        <v>1057</v>
      </c>
      <c r="C167" s="3708" t="s">
        <v>396</v>
      </c>
      <c r="D167" s="4502">
        <v>4500158924</v>
      </c>
      <c r="E167" s="3708" t="s">
        <v>1091</v>
      </c>
      <c r="F167" s="4615" t="s">
        <v>1092</v>
      </c>
      <c r="G167" s="3708" t="s">
        <v>1059</v>
      </c>
      <c r="H167" s="3708" t="s">
        <v>1060</v>
      </c>
      <c r="I167" s="3700" t="s">
        <v>1061</v>
      </c>
      <c r="J167" s="4593">
        <v>216</v>
      </c>
      <c r="K167" s="4154">
        <v>0</v>
      </c>
      <c r="L167" s="4154">
        <v>24</v>
      </c>
      <c r="M167" s="4154">
        <f t="shared" si="58"/>
        <v>9</v>
      </c>
      <c r="N167" s="4503">
        <v>45768</v>
      </c>
      <c r="O167" s="4503">
        <v>45764</v>
      </c>
      <c r="P167" s="3712"/>
      <c r="Q167" s="4929" t="s">
        <v>82</v>
      </c>
      <c r="R167" s="4157"/>
      <c r="S167" s="4157"/>
      <c r="T167" s="4157"/>
      <c r="U167" s="3726"/>
      <c r="V167" s="3711" t="s">
        <v>1063</v>
      </c>
      <c r="W167" s="3711"/>
      <c r="X167" s="3711" t="s">
        <v>98</v>
      </c>
      <c r="Y167" s="3711"/>
      <c r="Z167" s="3711" t="s">
        <v>1064</v>
      </c>
      <c r="AA167" s="4154"/>
      <c r="AB167" s="3680" t="s">
        <v>1093</v>
      </c>
      <c r="AC167" s="4154" t="s">
        <v>405</v>
      </c>
      <c r="AD167" s="4504">
        <v>2.1295</v>
      </c>
      <c r="AE167" s="4154">
        <f t="shared" si="54"/>
        <v>459.972</v>
      </c>
      <c r="AF167" s="4505" t="s">
        <v>1090</v>
      </c>
      <c r="AG167" s="3726"/>
      <c r="AH167" s="984"/>
      <c r="AI167" s="3708"/>
      <c r="AJ167" s="984"/>
      <c r="AK167" s="3708">
        <f>J167</f>
        <v>216</v>
      </c>
      <c r="AL167" s="3708"/>
      <c r="AM167" s="4154"/>
      <c r="AN167" s="877"/>
      <c r="AO167" s="1048">
        <f t="shared" si="63"/>
        <v>216</v>
      </c>
      <c r="AP167" s="1048"/>
      <c r="AQ167" s="877"/>
      <c r="AR167" s="877"/>
      <c r="AS167" s="1048"/>
      <c r="AT167" s="1048">
        <f t="shared" si="74"/>
        <v>216</v>
      </c>
      <c r="AU167" s="877"/>
      <c r="AV167" s="877"/>
      <c r="AW167" s="877"/>
      <c r="AX167" s="1048"/>
      <c r="AY167" s="877"/>
      <c r="AZ167" s="877"/>
      <c r="BA167" s="1048"/>
      <c r="BB167" s="1048"/>
      <c r="BC167" s="877"/>
      <c r="BD167" s="1048"/>
      <c r="BE167" s="1048"/>
      <c r="BF167" s="1048"/>
      <c r="BG167" s="1048"/>
      <c r="BH167" s="4622"/>
      <c r="BI167" s="4622"/>
      <c r="BJ167" s="1048"/>
      <c r="BK167" s="4415" t="s">
        <v>89</v>
      </c>
      <c r="BL167" s="4415">
        <f t="shared" si="65"/>
        <v>3.6</v>
      </c>
      <c r="BM167" s="4415">
        <f t="shared" si="66"/>
        <v>32.4</v>
      </c>
      <c r="BN167" s="4415">
        <f t="shared" si="67"/>
        <v>36</v>
      </c>
      <c r="BO167" s="4415">
        <f t="shared" si="68"/>
        <v>36</v>
      </c>
      <c r="BP167" s="4415">
        <f t="shared" si="69"/>
        <v>36</v>
      </c>
      <c r="BQ167" s="4414">
        <f t="shared" si="70"/>
        <v>36</v>
      </c>
      <c r="BR167" s="1048">
        <f t="shared" si="71"/>
        <v>36</v>
      </c>
      <c r="BS167" s="880"/>
      <c r="BT167" s="992"/>
      <c r="BU167" s="992"/>
      <c r="BV167" s="992"/>
      <c r="BW167" s="992"/>
      <c r="BX167" s="991"/>
      <c r="BY167" s="991"/>
      <c r="BZ167" s="3708">
        <f t="shared" si="61"/>
        <v>216</v>
      </c>
      <c r="CA167" s="4154">
        <f t="shared" si="62"/>
        <v>0</v>
      </c>
      <c r="CB167" s="4816"/>
      <c r="CC167" s="4816"/>
      <c r="CD167" s="4323"/>
      <c r="CE167" s="4323"/>
      <c r="CF167" s="4323"/>
    </row>
    <row r="168" s="4316" customFormat="1" ht="50" customHeight="1" spans="1:84">
      <c r="A168" s="4500">
        <v>45720</v>
      </c>
      <c r="B168" s="4501" t="s">
        <v>1057</v>
      </c>
      <c r="C168" s="3708" t="s">
        <v>396</v>
      </c>
      <c r="D168" s="4502">
        <v>4500158924</v>
      </c>
      <c r="E168" s="3708" t="s">
        <v>1094</v>
      </c>
      <c r="F168" s="4615" t="s">
        <v>1095</v>
      </c>
      <c r="G168" s="3708" t="s">
        <v>1059</v>
      </c>
      <c r="H168" s="3708" t="s">
        <v>1060</v>
      </c>
      <c r="I168" s="3700" t="s">
        <v>1061</v>
      </c>
      <c r="J168" s="4154">
        <v>600</v>
      </c>
      <c r="K168" s="4154">
        <v>0</v>
      </c>
      <c r="L168" s="4154">
        <v>24</v>
      </c>
      <c r="M168" s="4154">
        <f t="shared" si="58"/>
        <v>25</v>
      </c>
      <c r="N168" s="4503">
        <v>45768</v>
      </c>
      <c r="O168" s="4503">
        <v>45764</v>
      </c>
      <c r="P168" s="3712"/>
      <c r="Q168" s="4929" t="s">
        <v>82</v>
      </c>
      <c r="R168" s="4157"/>
      <c r="S168" s="4157"/>
      <c r="T168" s="4157"/>
      <c r="U168" s="3726"/>
      <c r="V168" s="3711" t="s">
        <v>1063</v>
      </c>
      <c r="W168" s="3711"/>
      <c r="X168" s="3711" t="s">
        <v>98</v>
      </c>
      <c r="Y168" s="3711"/>
      <c r="Z168" s="3711" t="s">
        <v>1064</v>
      </c>
      <c r="AA168" s="4154"/>
      <c r="AB168" s="3680" t="s">
        <v>1093</v>
      </c>
      <c r="AC168" s="4154" t="s">
        <v>405</v>
      </c>
      <c r="AD168" s="4504">
        <v>2.1295</v>
      </c>
      <c r="AE168" s="4154">
        <f t="shared" si="54"/>
        <v>1277.7</v>
      </c>
      <c r="AF168" s="4505" t="s">
        <v>1090</v>
      </c>
      <c r="AG168" s="3726"/>
      <c r="AH168" s="984"/>
      <c r="AI168" s="3708"/>
      <c r="AJ168" s="984"/>
      <c r="AK168" s="3708">
        <f>J168</f>
        <v>600</v>
      </c>
      <c r="AL168" s="3708"/>
      <c r="AM168" s="4154"/>
      <c r="AN168" s="877"/>
      <c r="AO168" s="1048">
        <f t="shared" si="63"/>
        <v>600</v>
      </c>
      <c r="AP168" s="1048"/>
      <c r="AQ168" s="877"/>
      <c r="AR168" s="877"/>
      <c r="AS168" s="1048"/>
      <c r="AT168" s="1048">
        <f t="shared" si="74"/>
        <v>600</v>
      </c>
      <c r="AU168" s="877"/>
      <c r="AV168" s="877"/>
      <c r="AW168" s="877"/>
      <c r="AX168" s="1048"/>
      <c r="AY168" s="877"/>
      <c r="AZ168" s="877"/>
      <c r="BA168" s="1048"/>
      <c r="BB168" s="1048"/>
      <c r="BC168" s="877"/>
      <c r="BD168" s="1048"/>
      <c r="BE168" s="1048"/>
      <c r="BF168" s="1048"/>
      <c r="BG168" s="1048"/>
      <c r="BH168" s="4622"/>
      <c r="BI168" s="4622"/>
      <c r="BJ168" s="1048"/>
      <c r="BK168" s="4415" t="s">
        <v>89</v>
      </c>
      <c r="BL168" s="4415">
        <f t="shared" si="65"/>
        <v>10</v>
      </c>
      <c r="BM168" s="4415">
        <f t="shared" si="66"/>
        <v>90</v>
      </c>
      <c r="BN168" s="4415">
        <f t="shared" si="67"/>
        <v>100</v>
      </c>
      <c r="BO168" s="4415">
        <f t="shared" si="68"/>
        <v>100</v>
      </c>
      <c r="BP168" s="4415">
        <f t="shared" si="69"/>
        <v>100</v>
      </c>
      <c r="BQ168" s="4414">
        <f t="shared" si="70"/>
        <v>100</v>
      </c>
      <c r="BR168" s="1048">
        <f t="shared" si="71"/>
        <v>100</v>
      </c>
      <c r="BS168" s="880"/>
      <c r="BT168" s="992"/>
      <c r="BU168" s="992"/>
      <c r="BV168" s="992"/>
      <c r="BW168" s="992"/>
      <c r="BX168" s="991"/>
      <c r="BY168" s="991"/>
      <c r="BZ168" s="3708">
        <f t="shared" si="61"/>
        <v>600</v>
      </c>
      <c r="CA168" s="4154">
        <f t="shared" si="62"/>
        <v>0</v>
      </c>
      <c r="CB168" s="4816"/>
      <c r="CC168" s="4816"/>
      <c r="CD168" s="4323"/>
      <c r="CE168" s="4323"/>
      <c r="CF168" s="4323"/>
    </row>
    <row r="169" s="4316" customFormat="1" ht="50" customHeight="1" spans="1:84">
      <c r="A169" s="4500">
        <v>45720</v>
      </c>
      <c r="B169" s="4501" t="s">
        <v>1057</v>
      </c>
      <c r="C169" s="3708" t="s">
        <v>396</v>
      </c>
      <c r="D169" s="4502">
        <v>4500158873</v>
      </c>
      <c r="E169" s="3708">
        <v>30369556</v>
      </c>
      <c r="F169" s="4502" t="s">
        <v>1096</v>
      </c>
      <c r="G169" s="3708" t="s">
        <v>1097</v>
      </c>
      <c r="H169" s="3708" t="s">
        <v>1098</v>
      </c>
      <c r="I169" s="3708" t="s">
        <v>410</v>
      </c>
      <c r="J169" s="4154">
        <v>444</v>
      </c>
      <c r="K169" s="4154">
        <v>0</v>
      </c>
      <c r="L169" s="4154">
        <v>12</v>
      </c>
      <c r="M169" s="4154">
        <f t="shared" si="58"/>
        <v>37</v>
      </c>
      <c r="N169" s="4503">
        <v>45768</v>
      </c>
      <c r="O169" s="4503">
        <v>45764</v>
      </c>
      <c r="P169" s="3712"/>
      <c r="Q169" s="4929" t="s">
        <v>82</v>
      </c>
      <c r="R169" s="4157"/>
      <c r="S169" s="4157"/>
      <c r="T169" s="4157"/>
      <c r="U169" s="3726" t="s">
        <v>1062</v>
      </c>
      <c r="V169" s="3711" t="s">
        <v>1063</v>
      </c>
      <c r="W169" s="3711"/>
      <c r="X169" s="3711" t="s">
        <v>1099</v>
      </c>
      <c r="Y169" s="3711"/>
      <c r="Z169" s="3711" t="s">
        <v>1064</v>
      </c>
      <c r="AA169" s="3708" t="s">
        <v>1100</v>
      </c>
      <c r="AB169" s="3680" t="s">
        <v>1101</v>
      </c>
      <c r="AC169" s="4154" t="s">
        <v>405</v>
      </c>
      <c r="AD169" s="4504">
        <v>2.8218</v>
      </c>
      <c r="AE169" s="4154">
        <f t="shared" si="54"/>
        <v>1252.8792</v>
      </c>
      <c r="AF169" s="4505" t="s">
        <v>1066</v>
      </c>
      <c r="AG169" s="3726"/>
      <c r="AH169" s="4422"/>
      <c r="AI169" s="3708"/>
      <c r="AJ169" s="4422"/>
      <c r="AK169" s="3708">
        <f t="shared" ref="AK169:AK174" si="75">J169</f>
        <v>444</v>
      </c>
      <c r="AL169" s="3708"/>
      <c r="AM169" s="4154"/>
      <c r="AN169" s="907"/>
      <c r="AO169" s="1048">
        <f t="shared" si="63"/>
        <v>444</v>
      </c>
      <c r="AP169" s="1048"/>
      <c r="AQ169" s="907"/>
      <c r="AR169" s="907"/>
      <c r="AS169" s="1048"/>
      <c r="AT169" s="1048">
        <f t="shared" si="74"/>
        <v>444</v>
      </c>
      <c r="AU169" s="907"/>
      <c r="AV169" s="907"/>
      <c r="AW169" s="907"/>
      <c r="AX169" s="1048"/>
      <c r="AY169" s="907"/>
      <c r="AZ169" s="907"/>
      <c r="BA169" s="1048"/>
      <c r="BB169" s="1048"/>
      <c r="BC169" s="907"/>
      <c r="BD169" s="1048"/>
      <c r="BE169" s="1048"/>
      <c r="BF169" s="1048"/>
      <c r="BG169" s="1048"/>
      <c r="BH169" s="1048">
        <f t="shared" ref="BH169:BH174" si="76">J169</f>
        <v>444</v>
      </c>
      <c r="BI169" s="4622"/>
      <c r="BJ169" s="1048"/>
      <c r="BK169" s="4415" t="s">
        <v>89</v>
      </c>
      <c r="BL169" s="4415">
        <f t="shared" si="65"/>
        <v>7.4</v>
      </c>
      <c r="BM169" s="4415">
        <f t="shared" si="66"/>
        <v>66.6</v>
      </c>
      <c r="BN169" s="4415">
        <f t="shared" si="67"/>
        <v>74</v>
      </c>
      <c r="BO169" s="4415">
        <f t="shared" si="68"/>
        <v>74</v>
      </c>
      <c r="BP169" s="4415">
        <f t="shared" si="69"/>
        <v>74</v>
      </c>
      <c r="BQ169" s="4414">
        <f t="shared" si="70"/>
        <v>74</v>
      </c>
      <c r="BR169" s="1048">
        <f t="shared" si="71"/>
        <v>74</v>
      </c>
      <c r="BS169" s="4384"/>
      <c r="BT169" s="911"/>
      <c r="BU169" s="911"/>
      <c r="BV169" s="911"/>
      <c r="BW169" s="911"/>
      <c r="BX169" s="910"/>
      <c r="BY169" s="910"/>
      <c r="BZ169" s="3708">
        <f t="shared" si="61"/>
        <v>444</v>
      </c>
      <c r="CA169" s="4154">
        <f t="shared" si="62"/>
        <v>0</v>
      </c>
      <c r="CB169" s="4462"/>
      <c r="CC169" s="4462"/>
      <c r="CD169" s="4323"/>
      <c r="CE169" s="4323"/>
      <c r="CF169" s="4323"/>
    </row>
    <row r="170" s="4316" customFormat="1" ht="50" customHeight="1" spans="1:84">
      <c r="A170" s="4500">
        <v>45720</v>
      </c>
      <c r="B170" s="4501" t="s">
        <v>1057</v>
      </c>
      <c r="C170" s="3708" t="s">
        <v>396</v>
      </c>
      <c r="D170" s="4502">
        <v>4500158873</v>
      </c>
      <c r="E170" s="3708" t="s">
        <v>1102</v>
      </c>
      <c r="F170" s="4502" t="s">
        <v>1103</v>
      </c>
      <c r="G170" s="3708" t="s">
        <v>1097</v>
      </c>
      <c r="H170" s="3708" t="s">
        <v>1098</v>
      </c>
      <c r="I170" s="3708" t="s">
        <v>410</v>
      </c>
      <c r="J170" s="4154">
        <v>156</v>
      </c>
      <c r="K170" s="4154">
        <v>0</v>
      </c>
      <c r="L170" s="4154">
        <v>12</v>
      </c>
      <c r="M170" s="4154">
        <f t="shared" si="58"/>
        <v>13</v>
      </c>
      <c r="N170" s="4503">
        <v>45768</v>
      </c>
      <c r="O170" s="4503">
        <v>45764</v>
      </c>
      <c r="P170" s="3712"/>
      <c r="Q170" s="4929" t="s">
        <v>82</v>
      </c>
      <c r="R170" s="4157"/>
      <c r="S170" s="4157"/>
      <c r="T170" s="4157"/>
      <c r="U170" s="3726" t="s">
        <v>1062</v>
      </c>
      <c r="V170" s="3711" t="s">
        <v>1063</v>
      </c>
      <c r="W170" s="3711"/>
      <c r="X170" s="3711" t="s">
        <v>1099</v>
      </c>
      <c r="Y170" s="3711"/>
      <c r="Z170" s="3711" t="s">
        <v>1064</v>
      </c>
      <c r="AA170" s="3708" t="s">
        <v>1100</v>
      </c>
      <c r="AB170" s="3680" t="s">
        <v>1101</v>
      </c>
      <c r="AC170" s="4154" t="s">
        <v>405</v>
      </c>
      <c r="AD170" s="4504">
        <v>2.8218</v>
      </c>
      <c r="AE170" s="4154">
        <f t="shared" si="54"/>
        <v>440.2008</v>
      </c>
      <c r="AF170" s="4505" t="s">
        <v>1066</v>
      </c>
      <c r="AG170" s="3726"/>
      <c r="AH170" s="4422"/>
      <c r="AI170" s="3708"/>
      <c r="AJ170" s="4422"/>
      <c r="AK170" s="3708">
        <f t="shared" si="75"/>
        <v>156</v>
      </c>
      <c r="AL170" s="3708"/>
      <c r="AM170" s="4154"/>
      <c r="AN170" s="907"/>
      <c r="AO170" s="1048">
        <f t="shared" si="63"/>
        <v>156</v>
      </c>
      <c r="AP170" s="1048"/>
      <c r="AQ170" s="907"/>
      <c r="AR170" s="907"/>
      <c r="AS170" s="1048"/>
      <c r="AT170" s="1048">
        <f t="shared" si="74"/>
        <v>156</v>
      </c>
      <c r="AU170" s="907"/>
      <c r="AV170" s="907"/>
      <c r="AW170" s="907"/>
      <c r="AX170" s="1048"/>
      <c r="AY170" s="907"/>
      <c r="AZ170" s="907"/>
      <c r="BA170" s="1048"/>
      <c r="BB170" s="1048"/>
      <c r="BC170" s="907"/>
      <c r="BD170" s="1048"/>
      <c r="BE170" s="1048"/>
      <c r="BF170" s="1048"/>
      <c r="BG170" s="1048"/>
      <c r="BH170" s="1048">
        <f t="shared" si="76"/>
        <v>156</v>
      </c>
      <c r="BI170" s="4622"/>
      <c r="BJ170" s="1048"/>
      <c r="BK170" s="4415" t="s">
        <v>89</v>
      </c>
      <c r="BL170" s="4415">
        <f t="shared" si="65"/>
        <v>2.6</v>
      </c>
      <c r="BM170" s="4415">
        <f t="shared" si="66"/>
        <v>23.4</v>
      </c>
      <c r="BN170" s="4415">
        <f t="shared" si="67"/>
        <v>26</v>
      </c>
      <c r="BO170" s="4415">
        <f t="shared" si="68"/>
        <v>26</v>
      </c>
      <c r="BP170" s="4415">
        <f t="shared" si="69"/>
        <v>26</v>
      </c>
      <c r="BQ170" s="4414">
        <f t="shared" si="70"/>
        <v>26</v>
      </c>
      <c r="BR170" s="1048">
        <f t="shared" si="71"/>
        <v>26</v>
      </c>
      <c r="BS170" s="4384"/>
      <c r="BT170" s="911"/>
      <c r="BU170" s="911"/>
      <c r="BV170" s="911"/>
      <c r="BW170" s="911"/>
      <c r="BX170" s="910"/>
      <c r="BY170" s="910"/>
      <c r="BZ170" s="3708">
        <f t="shared" si="61"/>
        <v>156</v>
      </c>
      <c r="CA170" s="4154">
        <f t="shared" si="62"/>
        <v>0</v>
      </c>
      <c r="CB170" s="4462"/>
      <c r="CC170" s="4462"/>
      <c r="CD170" s="4323"/>
      <c r="CE170" s="4323"/>
      <c r="CF170" s="4323"/>
    </row>
    <row r="171" s="4316" customFormat="1" ht="50" customHeight="1" spans="1:84">
      <c r="A171" s="4500">
        <v>45720</v>
      </c>
      <c r="B171" s="4501" t="s">
        <v>1057</v>
      </c>
      <c r="C171" s="3708" t="s">
        <v>396</v>
      </c>
      <c r="D171" s="4502">
        <v>4500159075</v>
      </c>
      <c r="E171" s="3708" t="s">
        <v>1104</v>
      </c>
      <c r="F171" s="4502" t="s">
        <v>1105</v>
      </c>
      <c r="G171" s="3708" t="s">
        <v>1097</v>
      </c>
      <c r="H171" s="3708" t="s">
        <v>1098</v>
      </c>
      <c r="I171" s="3708" t="s">
        <v>410</v>
      </c>
      <c r="J171" s="4154">
        <v>120</v>
      </c>
      <c r="K171" s="4154">
        <v>0</v>
      </c>
      <c r="L171" s="4154">
        <v>12</v>
      </c>
      <c r="M171" s="4154">
        <f t="shared" si="58"/>
        <v>10</v>
      </c>
      <c r="N171" s="4503">
        <v>45768</v>
      </c>
      <c r="O171" s="4503">
        <v>45764</v>
      </c>
      <c r="P171" s="3712"/>
      <c r="Q171" s="4929" t="s">
        <v>82</v>
      </c>
      <c r="R171" s="4157"/>
      <c r="S171" s="4157"/>
      <c r="T171" s="4157"/>
      <c r="U171" s="3726" t="s">
        <v>1062</v>
      </c>
      <c r="V171" s="3711" t="s">
        <v>1063</v>
      </c>
      <c r="W171" s="3711"/>
      <c r="X171" s="3711" t="s">
        <v>1099</v>
      </c>
      <c r="Y171" s="3711"/>
      <c r="Z171" s="3711"/>
      <c r="AA171" s="3708" t="s">
        <v>1100</v>
      </c>
      <c r="AB171" s="3680" t="s">
        <v>1106</v>
      </c>
      <c r="AC171" s="4154" t="s">
        <v>405</v>
      </c>
      <c r="AD171" s="4504">
        <v>2.8218</v>
      </c>
      <c r="AE171" s="4154">
        <f t="shared" si="54"/>
        <v>338.616</v>
      </c>
      <c r="AF171" s="4505" t="s">
        <v>1072</v>
      </c>
      <c r="AG171" s="3726"/>
      <c r="AH171" s="4422"/>
      <c r="AI171" s="3708"/>
      <c r="AJ171" s="4422"/>
      <c r="AK171" s="3708">
        <f t="shared" si="75"/>
        <v>120</v>
      </c>
      <c r="AL171" s="3708"/>
      <c r="AM171" s="4154"/>
      <c r="AN171" s="907"/>
      <c r="AO171" s="1048">
        <f t="shared" si="63"/>
        <v>120</v>
      </c>
      <c r="AP171" s="1048"/>
      <c r="AQ171" s="907"/>
      <c r="AR171" s="907"/>
      <c r="AS171" s="1048"/>
      <c r="AT171" s="1048">
        <f t="shared" si="74"/>
        <v>120</v>
      </c>
      <c r="AU171" s="907"/>
      <c r="AV171" s="907"/>
      <c r="AW171" s="907"/>
      <c r="AX171" s="1048"/>
      <c r="AY171" s="907"/>
      <c r="AZ171" s="907"/>
      <c r="BA171" s="1048"/>
      <c r="BB171" s="1048"/>
      <c r="BC171" s="907"/>
      <c r="BD171" s="1048"/>
      <c r="BE171" s="1048"/>
      <c r="BF171" s="1048"/>
      <c r="BG171" s="1048"/>
      <c r="BH171" s="1048">
        <f t="shared" si="76"/>
        <v>120</v>
      </c>
      <c r="BI171" s="4622"/>
      <c r="BJ171" s="1048"/>
      <c r="BK171" s="4415" t="s">
        <v>89</v>
      </c>
      <c r="BL171" s="4415">
        <f t="shared" si="65"/>
        <v>2</v>
      </c>
      <c r="BM171" s="4415">
        <f t="shared" si="66"/>
        <v>18</v>
      </c>
      <c r="BN171" s="4415">
        <f t="shared" si="67"/>
        <v>20</v>
      </c>
      <c r="BO171" s="4415">
        <f t="shared" si="68"/>
        <v>20</v>
      </c>
      <c r="BP171" s="4415">
        <f t="shared" si="69"/>
        <v>20</v>
      </c>
      <c r="BQ171" s="4414">
        <f t="shared" si="70"/>
        <v>20</v>
      </c>
      <c r="BR171" s="1048">
        <f t="shared" si="71"/>
        <v>20</v>
      </c>
      <c r="BS171" s="4384"/>
      <c r="BT171" s="911"/>
      <c r="BU171" s="911"/>
      <c r="BV171" s="911"/>
      <c r="BW171" s="911"/>
      <c r="BX171" s="910"/>
      <c r="BY171" s="910"/>
      <c r="BZ171" s="3708">
        <f t="shared" si="61"/>
        <v>120</v>
      </c>
      <c r="CA171" s="4154">
        <f t="shared" si="62"/>
        <v>0</v>
      </c>
      <c r="CB171" s="4462"/>
      <c r="CC171" s="4462"/>
      <c r="CD171" s="4323"/>
      <c r="CE171" s="4323"/>
      <c r="CF171" s="4323"/>
    </row>
    <row r="172" s="4316" customFormat="1" ht="50" customHeight="1" spans="1:84">
      <c r="A172" s="4500">
        <v>45720</v>
      </c>
      <c r="B172" s="4501" t="s">
        <v>1057</v>
      </c>
      <c r="C172" s="3708" t="s">
        <v>396</v>
      </c>
      <c r="D172" s="4502">
        <v>4500159075</v>
      </c>
      <c r="E172" s="3708" t="s">
        <v>1107</v>
      </c>
      <c r="F172" s="4502" t="s">
        <v>1108</v>
      </c>
      <c r="G172" s="3708" t="s">
        <v>1097</v>
      </c>
      <c r="H172" s="3708" t="s">
        <v>1098</v>
      </c>
      <c r="I172" s="3708" t="s">
        <v>410</v>
      </c>
      <c r="J172" s="4154">
        <v>60</v>
      </c>
      <c r="K172" s="4154">
        <v>0</v>
      </c>
      <c r="L172" s="4154">
        <v>12</v>
      </c>
      <c r="M172" s="4154">
        <f t="shared" si="58"/>
        <v>5</v>
      </c>
      <c r="N172" s="4503">
        <v>45768</v>
      </c>
      <c r="O172" s="4503">
        <v>45764</v>
      </c>
      <c r="P172" s="3712"/>
      <c r="Q172" s="4929" t="s">
        <v>82</v>
      </c>
      <c r="R172" s="4157"/>
      <c r="S172" s="4157"/>
      <c r="T172" s="4157"/>
      <c r="U172" s="3726" t="s">
        <v>1062</v>
      </c>
      <c r="V172" s="3711" t="s">
        <v>1063</v>
      </c>
      <c r="W172" s="3711"/>
      <c r="X172" s="3711" t="s">
        <v>1099</v>
      </c>
      <c r="Y172" s="3711"/>
      <c r="Z172" s="3711"/>
      <c r="AA172" s="3708" t="s">
        <v>1100</v>
      </c>
      <c r="AB172" s="3680" t="s">
        <v>1106</v>
      </c>
      <c r="AC172" s="4154" t="s">
        <v>405</v>
      </c>
      <c r="AD172" s="4504">
        <v>2.8218</v>
      </c>
      <c r="AE172" s="4154">
        <f t="shared" si="54"/>
        <v>169.308</v>
      </c>
      <c r="AF172" s="4505" t="s">
        <v>1072</v>
      </c>
      <c r="AG172" s="3726"/>
      <c r="AH172" s="4422"/>
      <c r="AI172" s="3708"/>
      <c r="AJ172" s="4422"/>
      <c r="AK172" s="3708">
        <f t="shared" si="75"/>
        <v>60</v>
      </c>
      <c r="AL172" s="3708"/>
      <c r="AM172" s="4154"/>
      <c r="AN172" s="907"/>
      <c r="AO172" s="1048">
        <f t="shared" si="63"/>
        <v>60</v>
      </c>
      <c r="AP172" s="1048"/>
      <c r="AQ172" s="907"/>
      <c r="AR172" s="907"/>
      <c r="AS172" s="1048"/>
      <c r="AT172" s="1048">
        <f t="shared" si="74"/>
        <v>60</v>
      </c>
      <c r="AU172" s="907"/>
      <c r="AV172" s="907"/>
      <c r="AW172" s="907"/>
      <c r="AX172" s="1048"/>
      <c r="AY172" s="907"/>
      <c r="AZ172" s="907"/>
      <c r="BA172" s="1048"/>
      <c r="BB172" s="1048"/>
      <c r="BC172" s="907"/>
      <c r="BD172" s="1048"/>
      <c r="BE172" s="1048"/>
      <c r="BF172" s="1048"/>
      <c r="BG172" s="1048"/>
      <c r="BH172" s="1048">
        <f t="shared" si="76"/>
        <v>60</v>
      </c>
      <c r="BI172" s="4622"/>
      <c r="BJ172" s="1048"/>
      <c r="BK172" s="4415" t="s">
        <v>89</v>
      </c>
      <c r="BL172" s="4415">
        <f t="shared" si="65"/>
        <v>1</v>
      </c>
      <c r="BM172" s="4415">
        <f t="shared" si="66"/>
        <v>9</v>
      </c>
      <c r="BN172" s="4415">
        <f t="shared" si="67"/>
        <v>10</v>
      </c>
      <c r="BO172" s="4415">
        <f t="shared" si="68"/>
        <v>10</v>
      </c>
      <c r="BP172" s="4415">
        <f t="shared" si="69"/>
        <v>10</v>
      </c>
      <c r="BQ172" s="4414">
        <f t="shared" si="70"/>
        <v>10</v>
      </c>
      <c r="BR172" s="1048">
        <f t="shared" si="71"/>
        <v>10</v>
      </c>
      <c r="BS172" s="4384"/>
      <c r="BT172" s="911"/>
      <c r="BU172" s="911"/>
      <c r="BV172" s="911"/>
      <c r="BW172" s="911"/>
      <c r="BX172" s="910"/>
      <c r="BY172" s="910"/>
      <c r="BZ172" s="3708">
        <f t="shared" si="61"/>
        <v>60</v>
      </c>
      <c r="CA172" s="4154">
        <f t="shared" si="62"/>
        <v>0</v>
      </c>
      <c r="CB172" s="4462"/>
      <c r="CC172" s="4462"/>
      <c r="CD172" s="4323"/>
      <c r="CE172" s="4323"/>
      <c r="CF172" s="4323"/>
    </row>
    <row r="173" s="4316" customFormat="1" ht="50" customHeight="1" spans="1:84">
      <c r="A173" s="4500">
        <v>45720</v>
      </c>
      <c r="B173" s="4501" t="s">
        <v>1057</v>
      </c>
      <c r="C173" s="3708" t="s">
        <v>396</v>
      </c>
      <c r="D173" s="4502">
        <v>4500158924</v>
      </c>
      <c r="E173" s="3708" t="s">
        <v>1109</v>
      </c>
      <c r="F173" s="4615" t="s">
        <v>1110</v>
      </c>
      <c r="G173" s="3708" t="s">
        <v>1097</v>
      </c>
      <c r="H173" s="3708" t="s">
        <v>1098</v>
      </c>
      <c r="I173" s="3708" t="s">
        <v>410</v>
      </c>
      <c r="J173" s="4154">
        <v>444</v>
      </c>
      <c r="K173" s="4154">
        <v>0</v>
      </c>
      <c r="L173" s="4154">
        <v>12</v>
      </c>
      <c r="M173" s="4154">
        <f t="shared" si="58"/>
        <v>37</v>
      </c>
      <c r="N173" s="4503">
        <v>45768</v>
      </c>
      <c r="O173" s="4503">
        <v>45764</v>
      </c>
      <c r="P173" s="3712"/>
      <c r="Q173" s="4929" t="s">
        <v>82</v>
      </c>
      <c r="R173" s="4157"/>
      <c r="S173" s="4157"/>
      <c r="T173" s="4157"/>
      <c r="U173" s="3726"/>
      <c r="V173" s="3711" t="s">
        <v>1063</v>
      </c>
      <c r="W173" s="3711"/>
      <c r="X173" s="3711" t="s">
        <v>1099</v>
      </c>
      <c r="Y173" s="3711"/>
      <c r="Z173" s="3711" t="s">
        <v>1064</v>
      </c>
      <c r="AA173" s="3708" t="s">
        <v>1100</v>
      </c>
      <c r="AB173" s="3680" t="s">
        <v>1111</v>
      </c>
      <c r="AC173" s="4154" t="s">
        <v>405</v>
      </c>
      <c r="AD173" s="4504">
        <v>2.8218</v>
      </c>
      <c r="AE173" s="4154">
        <f t="shared" si="54"/>
        <v>1252.8792</v>
      </c>
      <c r="AF173" s="4505" t="s">
        <v>1090</v>
      </c>
      <c r="AG173" s="3726"/>
      <c r="AH173" s="4422"/>
      <c r="AI173" s="3708"/>
      <c r="AJ173" s="4422"/>
      <c r="AK173" s="3708">
        <f t="shared" si="75"/>
        <v>444</v>
      </c>
      <c r="AL173" s="3708"/>
      <c r="AM173" s="4154"/>
      <c r="AN173" s="907"/>
      <c r="AO173" s="1048">
        <f t="shared" si="63"/>
        <v>444</v>
      </c>
      <c r="AP173" s="1048"/>
      <c r="AQ173" s="907"/>
      <c r="AR173" s="907"/>
      <c r="AS173" s="1048"/>
      <c r="AT173" s="1048">
        <f t="shared" si="74"/>
        <v>444</v>
      </c>
      <c r="AU173" s="907"/>
      <c r="AV173" s="907"/>
      <c r="AW173" s="907"/>
      <c r="AX173" s="1048"/>
      <c r="AY173" s="907"/>
      <c r="AZ173" s="907"/>
      <c r="BA173" s="1048"/>
      <c r="BB173" s="1048"/>
      <c r="BC173" s="907"/>
      <c r="BD173" s="1048"/>
      <c r="BE173" s="1048"/>
      <c r="BF173" s="1048"/>
      <c r="BG173" s="1048"/>
      <c r="BH173" s="1048">
        <f t="shared" si="76"/>
        <v>444</v>
      </c>
      <c r="BI173" s="4622"/>
      <c r="BJ173" s="1048"/>
      <c r="BK173" s="4415" t="s">
        <v>89</v>
      </c>
      <c r="BL173" s="4415">
        <f t="shared" si="65"/>
        <v>7.4</v>
      </c>
      <c r="BM173" s="4415">
        <f t="shared" si="66"/>
        <v>66.6</v>
      </c>
      <c r="BN173" s="4415">
        <f t="shared" si="67"/>
        <v>74</v>
      </c>
      <c r="BO173" s="4415">
        <f t="shared" si="68"/>
        <v>74</v>
      </c>
      <c r="BP173" s="4415">
        <f t="shared" si="69"/>
        <v>74</v>
      </c>
      <c r="BQ173" s="4414">
        <f t="shared" si="70"/>
        <v>74</v>
      </c>
      <c r="BR173" s="1048">
        <f t="shared" si="71"/>
        <v>74</v>
      </c>
      <c r="BS173" s="4384"/>
      <c r="BT173" s="911"/>
      <c r="BU173" s="911"/>
      <c r="BV173" s="911"/>
      <c r="BW173" s="911"/>
      <c r="BX173" s="910"/>
      <c r="BY173" s="910"/>
      <c r="BZ173" s="3708">
        <f t="shared" si="61"/>
        <v>444</v>
      </c>
      <c r="CA173" s="4154">
        <f t="shared" si="62"/>
        <v>0</v>
      </c>
      <c r="CB173" s="4462"/>
      <c r="CC173" s="4462"/>
      <c r="CD173" s="4323"/>
      <c r="CE173" s="4323"/>
      <c r="CF173" s="4323"/>
    </row>
    <row r="174" s="4316" customFormat="1" ht="50" customHeight="1" spans="1:84">
      <c r="A174" s="4500">
        <v>45720</v>
      </c>
      <c r="B174" s="4501" t="s">
        <v>1057</v>
      </c>
      <c r="C174" s="3708" t="s">
        <v>396</v>
      </c>
      <c r="D174" s="4502">
        <v>4500158924</v>
      </c>
      <c r="E174" s="3708" t="s">
        <v>1112</v>
      </c>
      <c r="F174" s="4615" t="s">
        <v>1113</v>
      </c>
      <c r="G174" s="3708" t="s">
        <v>1097</v>
      </c>
      <c r="H174" s="3708" t="s">
        <v>1098</v>
      </c>
      <c r="I174" s="3708" t="s">
        <v>410</v>
      </c>
      <c r="J174" s="4154">
        <v>156</v>
      </c>
      <c r="K174" s="4154">
        <v>0</v>
      </c>
      <c r="L174" s="4154">
        <v>12</v>
      </c>
      <c r="M174" s="4154">
        <f t="shared" si="58"/>
        <v>13</v>
      </c>
      <c r="N174" s="4503">
        <v>45768</v>
      </c>
      <c r="O174" s="4503">
        <v>45764</v>
      </c>
      <c r="P174" s="3712"/>
      <c r="Q174" s="4929" t="s">
        <v>82</v>
      </c>
      <c r="R174" s="4157"/>
      <c r="S174" s="4157"/>
      <c r="T174" s="4157"/>
      <c r="U174" s="3726"/>
      <c r="V174" s="3711" t="s">
        <v>1063</v>
      </c>
      <c r="W174" s="3711"/>
      <c r="X174" s="3711" t="s">
        <v>1099</v>
      </c>
      <c r="Y174" s="3711"/>
      <c r="Z174" s="3711" t="s">
        <v>1064</v>
      </c>
      <c r="AA174" s="3708" t="s">
        <v>1100</v>
      </c>
      <c r="AB174" s="3680" t="s">
        <v>1111</v>
      </c>
      <c r="AC174" s="4154" t="s">
        <v>405</v>
      </c>
      <c r="AD174" s="4504">
        <v>2.8218</v>
      </c>
      <c r="AE174" s="4154">
        <f t="shared" si="54"/>
        <v>440.2008</v>
      </c>
      <c r="AF174" s="4505" t="s">
        <v>1090</v>
      </c>
      <c r="AG174" s="3726"/>
      <c r="AH174" s="4422"/>
      <c r="AI174" s="3708"/>
      <c r="AJ174" s="4422"/>
      <c r="AK174" s="3708">
        <f t="shared" si="75"/>
        <v>156</v>
      </c>
      <c r="AL174" s="3708"/>
      <c r="AM174" s="4154"/>
      <c r="AN174" s="907"/>
      <c r="AO174" s="1048">
        <f t="shared" si="63"/>
        <v>156</v>
      </c>
      <c r="AP174" s="1048"/>
      <c r="AQ174" s="907"/>
      <c r="AR174" s="907"/>
      <c r="AS174" s="1048"/>
      <c r="AT174" s="1048">
        <f t="shared" si="74"/>
        <v>156</v>
      </c>
      <c r="AU174" s="907"/>
      <c r="AV174" s="907"/>
      <c r="AW174" s="907"/>
      <c r="AX174" s="1048"/>
      <c r="AY174" s="907"/>
      <c r="AZ174" s="907"/>
      <c r="BA174" s="1048"/>
      <c r="BB174" s="1048"/>
      <c r="BC174" s="907"/>
      <c r="BD174" s="1048"/>
      <c r="BE174" s="1048"/>
      <c r="BF174" s="1048"/>
      <c r="BG174" s="1048"/>
      <c r="BH174" s="1048">
        <f t="shared" si="76"/>
        <v>156</v>
      </c>
      <c r="BI174" s="4622"/>
      <c r="BJ174" s="1048"/>
      <c r="BK174" s="4415" t="s">
        <v>89</v>
      </c>
      <c r="BL174" s="4415">
        <f t="shared" si="65"/>
        <v>2.6</v>
      </c>
      <c r="BM174" s="4415">
        <f t="shared" si="66"/>
        <v>23.4</v>
      </c>
      <c r="BN174" s="4415">
        <f t="shared" si="67"/>
        <v>26</v>
      </c>
      <c r="BO174" s="4415">
        <f t="shared" si="68"/>
        <v>26</v>
      </c>
      <c r="BP174" s="4415">
        <f t="shared" si="69"/>
        <v>26</v>
      </c>
      <c r="BQ174" s="4414">
        <f t="shared" si="70"/>
        <v>26</v>
      </c>
      <c r="BR174" s="1048">
        <f t="shared" si="71"/>
        <v>26</v>
      </c>
      <c r="BS174" s="4384"/>
      <c r="BT174" s="911"/>
      <c r="BU174" s="911"/>
      <c r="BV174" s="911"/>
      <c r="BW174" s="911"/>
      <c r="BX174" s="910"/>
      <c r="BY174" s="910"/>
      <c r="BZ174" s="3708">
        <f t="shared" si="61"/>
        <v>156</v>
      </c>
      <c r="CA174" s="4154">
        <f t="shared" si="62"/>
        <v>0</v>
      </c>
      <c r="CB174" s="4462"/>
      <c r="CC174" s="4462"/>
      <c r="CD174" s="4323"/>
      <c r="CE174" s="4323"/>
      <c r="CF174" s="4323"/>
    </row>
    <row r="175" s="4316" customFormat="1" ht="50" customHeight="1" spans="1:84">
      <c r="A175" s="4500">
        <v>45737</v>
      </c>
      <c r="B175" s="4501" t="s">
        <v>672</v>
      </c>
      <c r="C175" s="3708" t="s">
        <v>673</v>
      </c>
      <c r="D175" s="4502">
        <v>4500161002</v>
      </c>
      <c r="E175" s="3708">
        <v>5000001824</v>
      </c>
      <c r="F175" s="4615" t="s">
        <v>1114</v>
      </c>
      <c r="G175" s="3708" t="s">
        <v>675</v>
      </c>
      <c r="H175" s="3708" t="s">
        <v>508</v>
      </c>
      <c r="I175" s="3708" t="s">
        <v>328</v>
      </c>
      <c r="J175" s="4593">
        <v>5400</v>
      </c>
      <c r="K175" s="4154">
        <v>0</v>
      </c>
      <c r="L175" s="4154">
        <v>6</v>
      </c>
      <c r="M175" s="4154">
        <f t="shared" si="58"/>
        <v>900</v>
      </c>
      <c r="N175" s="4503">
        <v>45771</v>
      </c>
      <c r="O175" s="4503">
        <v>45768</v>
      </c>
      <c r="P175" s="3712"/>
      <c r="Q175" s="4929" t="s">
        <v>82</v>
      </c>
      <c r="R175" s="4157"/>
      <c r="S175" s="4157"/>
      <c r="T175" s="4157"/>
      <c r="U175" s="3726" t="s">
        <v>1115</v>
      </c>
      <c r="V175" s="3711" t="s">
        <v>1116</v>
      </c>
      <c r="W175" s="3711"/>
      <c r="X175" s="3711" t="s">
        <v>1117</v>
      </c>
      <c r="Y175" s="3711"/>
      <c r="Z175" s="3711"/>
      <c r="AA175" s="3708"/>
      <c r="AB175" s="3680" t="s">
        <v>1118</v>
      </c>
      <c r="AC175" s="4154" t="s">
        <v>993</v>
      </c>
      <c r="AD175" s="4504">
        <v>2.1621</v>
      </c>
      <c r="AE175" s="4154">
        <f t="shared" si="54"/>
        <v>11675.34</v>
      </c>
      <c r="AF175" s="4505" t="s">
        <v>1119</v>
      </c>
      <c r="AG175" s="3726"/>
      <c r="AH175" s="4422"/>
      <c r="AI175" s="3708">
        <f>J175</f>
        <v>5400</v>
      </c>
      <c r="AJ175" s="4422"/>
      <c r="AK175" s="3708"/>
      <c r="AL175" s="3708"/>
      <c r="AM175" s="4154"/>
      <c r="AN175" s="907"/>
      <c r="AO175" s="1048"/>
      <c r="AP175" s="1048">
        <f>J175</f>
        <v>5400</v>
      </c>
      <c r="AQ175" s="907"/>
      <c r="AR175" s="907"/>
      <c r="AS175" s="1048">
        <f>J175</f>
        <v>5400</v>
      </c>
      <c r="AT175" s="1048"/>
      <c r="AU175" s="907"/>
      <c r="AV175" s="907"/>
      <c r="AW175" s="907"/>
      <c r="AX175" s="1048">
        <f>J175/6</f>
        <v>900</v>
      </c>
      <c r="AY175" s="907"/>
      <c r="AZ175" s="907"/>
      <c r="BA175" s="1048"/>
      <c r="BB175" s="1048"/>
      <c r="BC175" s="907"/>
      <c r="BD175" s="1048"/>
      <c r="BE175" s="1048"/>
      <c r="BF175" s="1048"/>
      <c r="BG175" s="1048"/>
      <c r="BH175" s="4622"/>
      <c r="BI175" s="4622"/>
      <c r="BJ175" s="1048"/>
      <c r="BK175" s="4415" t="s">
        <v>682</v>
      </c>
      <c r="BL175" s="4415">
        <f t="shared" si="65"/>
        <v>90</v>
      </c>
      <c r="BM175" s="4415">
        <f t="shared" si="66"/>
        <v>810</v>
      </c>
      <c r="BN175" s="4415">
        <f t="shared" si="67"/>
        <v>900</v>
      </c>
      <c r="BO175" s="4415">
        <f t="shared" si="68"/>
        <v>900</v>
      </c>
      <c r="BP175" s="4415">
        <f t="shared" si="69"/>
        <v>900</v>
      </c>
      <c r="BQ175" s="4414">
        <f t="shared" si="70"/>
        <v>900</v>
      </c>
      <c r="BR175" s="1048">
        <f t="shared" si="71"/>
        <v>900</v>
      </c>
      <c r="BS175" s="4384"/>
      <c r="BT175" s="4462"/>
      <c r="BU175" s="4462"/>
      <c r="BV175" s="4462"/>
      <c r="BW175" s="4462"/>
      <c r="BX175" s="4462"/>
      <c r="BY175" s="4462"/>
      <c r="BZ175" s="3708">
        <f t="shared" si="61"/>
        <v>5400</v>
      </c>
      <c r="CA175" s="4154">
        <f t="shared" si="62"/>
        <v>0</v>
      </c>
      <c r="CB175" s="4462"/>
      <c r="CC175" s="4462"/>
      <c r="CD175" s="4323"/>
      <c r="CE175" s="4323"/>
      <c r="CF175" s="4323"/>
    </row>
    <row r="176" s="4316" customFormat="1" ht="50" customHeight="1" spans="1:84">
      <c r="A176" s="4500">
        <v>45729</v>
      </c>
      <c r="B176" s="4501" t="s">
        <v>1120</v>
      </c>
      <c r="C176" s="3708" t="s">
        <v>1121</v>
      </c>
      <c r="D176" s="4502">
        <v>4500159866</v>
      </c>
      <c r="E176" s="3708"/>
      <c r="F176" s="4615" t="s">
        <v>1122</v>
      </c>
      <c r="G176" s="3708" t="s">
        <v>360</v>
      </c>
      <c r="H176" s="3708" t="s">
        <v>327</v>
      </c>
      <c r="I176" s="4154" t="s">
        <v>328</v>
      </c>
      <c r="J176" s="4154">
        <v>240</v>
      </c>
      <c r="K176" s="4154">
        <v>0</v>
      </c>
      <c r="L176" s="4154">
        <v>12</v>
      </c>
      <c r="M176" s="4154">
        <f t="shared" si="58"/>
        <v>20</v>
      </c>
      <c r="N176" s="4503">
        <v>45769</v>
      </c>
      <c r="O176" s="4503">
        <v>45765</v>
      </c>
      <c r="P176" s="3712"/>
      <c r="Q176" s="4929" t="s">
        <v>82</v>
      </c>
      <c r="R176" s="4157"/>
      <c r="S176" s="4157"/>
      <c r="T176" s="4157"/>
      <c r="U176" s="3726" t="s">
        <v>1123</v>
      </c>
      <c r="V176" s="3711" t="s">
        <v>1124</v>
      </c>
      <c r="W176" s="3711"/>
      <c r="X176" s="3711" t="s">
        <v>1125</v>
      </c>
      <c r="Y176" s="3711"/>
      <c r="Z176" s="3711"/>
      <c r="AA176" s="4154"/>
      <c r="AB176" s="3680" t="s">
        <v>1126</v>
      </c>
      <c r="AC176" s="4154" t="s">
        <v>357</v>
      </c>
      <c r="AD176" s="4504">
        <v>2.1633</v>
      </c>
      <c r="AE176" s="4154">
        <f t="shared" si="54"/>
        <v>519.192</v>
      </c>
      <c r="AF176" s="4505" t="s">
        <v>1127</v>
      </c>
      <c r="AG176" s="3726"/>
      <c r="AH176" s="984"/>
      <c r="AI176" s="3708">
        <f>J176</f>
        <v>240</v>
      </c>
      <c r="AJ176" s="984"/>
      <c r="AK176" s="3708"/>
      <c r="AL176" s="3708"/>
      <c r="AM176" s="4154"/>
      <c r="AN176" s="877"/>
      <c r="AO176" s="1048">
        <f>J176</f>
        <v>240</v>
      </c>
      <c r="AP176" s="1048"/>
      <c r="AQ176" s="877"/>
      <c r="AR176" s="877"/>
      <c r="AS176" s="1048">
        <f>J176</f>
        <v>240</v>
      </c>
      <c r="AT176" s="1048"/>
      <c r="AU176" s="877"/>
      <c r="AV176" s="877"/>
      <c r="AW176" s="877"/>
      <c r="AX176" s="1048">
        <f>J176/6</f>
        <v>40</v>
      </c>
      <c r="AY176" s="877"/>
      <c r="AZ176" s="877"/>
      <c r="BA176" s="1048"/>
      <c r="BB176" s="1048"/>
      <c r="BC176" s="877"/>
      <c r="BD176" s="1048"/>
      <c r="BE176" s="1048"/>
      <c r="BF176" s="1048"/>
      <c r="BG176" s="1048"/>
      <c r="BH176" s="4622"/>
      <c r="BI176" s="4622"/>
      <c r="BJ176" s="1048"/>
      <c r="BK176" s="4415" t="s">
        <v>89</v>
      </c>
      <c r="BL176" s="4415">
        <f t="shared" si="65"/>
        <v>4</v>
      </c>
      <c r="BM176" s="4415">
        <f t="shared" si="66"/>
        <v>36</v>
      </c>
      <c r="BN176" s="4415">
        <f t="shared" si="67"/>
        <v>40</v>
      </c>
      <c r="BO176" s="4415">
        <f t="shared" si="68"/>
        <v>40</v>
      </c>
      <c r="BP176" s="4415">
        <f t="shared" si="69"/>
        <v>40</v>
      </c>
      <c r="BQ176" s="4414">
        <f t="shared" si="70"/>
        <v>40</v>
      </c>
      <c r="BR176" s="1048">
        <f t="shared" si="71"/>
        <v>40</v>
      </c>
      <c r="BS176" s="880"/>
      <c r="BT176" s="992"/>
      <c r="BU176" s="992"/>
      <c r="BV176" s="992"/>
      <c r="BW176" s="992"/>
      <c r="BX176" s="991"/>
      <c r="BY176" s="991"/>
      <c r="BZ176" s="3708">
        <f t="shared" si="61"/>
        <v>240</v>
      </c>
      <c r="CA176" s="4154">
        <f t="shared" si="62"/>
        <v>0</v>
      </c>
      <c r="CB176" s="4816"/>
      <c r="CC176" s="4816"/>
      <c r="CD176" s="4323"/>
      <c r="CE176" s="4323"/>
      <c r="CF176" s="4323"/>
    </row>
    <row r="177" s="4316" customFormat="1" ht="50" customHeight="1" spans="1:84">
      <c r="A177" s="4500">
        <v>45734</v>
      </c>
      <c r="B177" s="4501" t="s">
        <v>872</v>
      </c>
      <c r="C177" s="3708" t="s">
        <v>873</v>
      </c>
      <c r="D177" s="4502">
        <v>4500160611</v>
      </c>
      <c r="E177" s="3708"/>
      <c r="F177" s="4502" t="s">
        <v>1128</v>
      </c>
      <c r="G177" s="3708" t="s">
        <v>333</v>
      </c>
      <c r="H177" s="3708" t="s">
        <v>333</v>
      </c>
      <c r="I177" s="3708" t="s">
        <v>328</v>
      </c>
      <c r="J177" s="4593">
        <v>456</v>
      </c>
      <c r="K177" s="4154">
        <v>0</v>
      </c>
      <c r="L177" s="4154">
        <v>24</v>
      </c>
      <c r="M177" s="4154">
        <f t="shared" si="58"/>
        <v>19</v>
      </c>
      <c r="N177" s="4503">
        <v>45775</v>
      </c>
      <c r="O177" s="4503">
        <v>45771</v>
      </c>
      <c r="P177" s="3712"/>
      <c r="Q177" s="4929" t="s">
        <v>82</v>
      </c>
      <c r="R177" s="4157"/>
      <c r="S177" s="4157"/>
      <c r="T177" s="4157"/>
      <c r="U177" s="3726" t="s">
        <v>1123</v>
      </c>
      <c r="V177" s="3711" t="s">
        <v>1012</v>
      </c>
      <c r="W177" s="3711"/>
      <c r="X177" s="3711" t="s">
        <v>1129</v>
      </c>
      <c r="Y177" s="3711"/>
      <c r="Z177" s="3711"/>
      <c r="AA177" s="4154"/>
      <c r="AB177" s="3680" t="s">
        <v>1130</v>
      </c>
      <c r="AC177" s="4154" t="s">
        <v>1131</v>
      </c>
      <c r="AD177" s="4504">
        <v>2.09</v>
      </c>
      <c r="AE177" s="4154">
        <f t="shared" ref="AE160:AE200" si="77">J177*AD177</f>
        <v>953.04</v>
      </c>
      <c r="AF177" s="4505"/>
      <c r="AG177" s="3726"/>
      <c r="AH177" s="4422"/>
      <c r="AI177" s="3708">
        <f>J177</f>
        <v>456</v>
      </c>
      <c r="AJ177" s="4422"/>
      <c r="AK177" s="3708"/>
      <c r="AL177" s="3708"/>
      <c r="AM177" s="4154"/>
      <c r="AN177" s="907"/>
      <c r="AO177" s="1048">
        <f t="shared" ref="AO177:AO188" si="78">J177</f>
        <v>456</v>
      </c>
      <c r="AP177" s="1048"/>
      <c r="AQ177" s="907"/>
      <c r="AR177" s="907"/>
      <c r="AS177" s="1048">
        <f t="shared" ref="AS175:AS202" si="79">J177</f>
        <v>456</v>
      </c>
      <c r="AT177" s="1048"/>
      <c r="AU177" s="907"/>
      <c r="AV177" s="907"/>
      <c r="AW177" s="907"/>
      <c r="AX177" s="1048"/>
      <c r="AY177" s="907"/>
      <c r="AZ177" s="907"/>
      <c r="BA177" s="1048"/>
      <c r="BB177" s="1048"/>
      <c r="BC177" s="907"/>
      <c r="BD177" s="1048"/>
      <c r="BE177" s="1048"/>
      <c r="BF177" s="1048"/>
      <c r="BG177" s="1048"/>
      <c r="BH177" s="4622"/>
      <c r="BI177" s="4622"/>
      <c r="BJ177" s="1048"/>
      <c r="BK177" s="4415" t="s">
        <v>89</v>
      </c>
      <c r="BL177" s="4415">
        <f t="shared" si="65"/>
        <v>7.6</v>
      </c>
      <c r="BM177" s="4415">
        <f t="shared" ref="BM160:BM208" si="80">J177/60*9</f>
        <v>68.4</v>
      </c>
      <c r="BN177" s="4415">
        <f t="shared" ref="BN160:BN208" si="81">J177/60*10</f>
        <v>76</v>
      </c>
      <c r="BO177" s="4415">
        <f t="shared" ref="BO160:BO208" si="82">J177/60*10</f>
        <v>76</v>
      </c>
      <c r="BP177" s="4415">
        <f t="shared" ref="BP160:BP208" si="83">J177/60*10</f>
        <v>76</v>
      </c>
      <c r="BQ177" s="4414">
        <f t="shared" ref="BQ160:BQ208" si="84">J177/60*10</f>
        <v>76</v>
      </c>
      <c r="BR177" s="1048">
        <f t="shared" ref="BR160:BR208" si="85">J177/60*10</f>
        <v>76</v>
      </c>
      <c r="BS177" s="4384"/>
      <c r="BT177" s="911"/>
      <c r="BU177" s="911"/>
      <c r="BV177" s="911"/>
      <c r="BW177" s="911"/>
      <c r="BX177" s="910"/>
      <c r="BY177" s="910"/>
      <c r="BZ177" s="3708">
        <f t="shared" si="61"/>
        <v>456</v>
      </c>
      <c r="CA177" s="4154">
        <f t="shared" si="62"/>
        <v>0</v>
      </c>
      <c r="CB177" s="4462"/>
      <c r="CC177" s="4462"/>
      <c r="CD177" s="4323"/>
      <c r="CE177" s="4323"/>
      <c r="CF177" s="4323"/>
    </row>
    <row r="178" s="4316" customFormat="1" ht="50" customHeight="1" spans="1:84">
      <c r="A178" s="4500">
        <v>45701</v>
      </c>
      <c r="B178" s="4501" t="s">
        <v>90</v>
      </c>
      <c r="C178" s="3708" t="s">
        <v>91</v>
      </c>
      <c r="D178" s="4502">
        <v>4500157319</v>
      </c>
      <c r="E178" s="3708" t="s">
        <v>1132</v>
      </c>
      <c r="F178" s="4615" t="s">
        <v>1133</v>
      </c>
      <c r="G178" s="3708" t="s">
        <v>333</v>
      </c>
      <c r="H178" s="3708" t="s">
        <v>333</v>
      </c>
      <c r="I178" s="3708" t="s">
        <v>328</v>
      </c>
      <c r="J178" s="4593">
        <v>1992</v>
      </c>
      <c r="K178" s="4154">
        <v>0</v>
      </c>
      <c r="L178" s="4154">
        <v>24</v>
      </c>
      <c r="M178" s="4154">
        <f t="shared" si="58"/>
        <v>83</v>
      </c>
      <c r="N178" s="4503">
        <v>45777</v>
      </c>
      <c r="O178" s="4503">
        <v>45773</v>
      </c>
      <c r="P178" s="3708" t="s">
        <v>1083</v>
      </c>
      <c r="Q178" s="4929" t="s">
        <v>82</v>
      </c>
      <c r="R178" s="4157"/>
      <c r="S178" s="4157"/>
      <c r="T178" s="4157"/>
      <c r="U178" s="3726" t="s">
        <v>1134</v>
      </c>
      <c r="V178" s="3711" t="s">
        <v>912</v>
      </c>
      <c r="W178" s="3711"/>
      <c r="X178" s="3711" t="s">
        <v>98</v>
      </c>
      <c r="Y178" s="3711"/>
      <c r="Z178" s="3711" t="s">
        <v>1064</v>
      </c>
      <c r="AA178" s="4154"/>
      <c r="AB178" s="3680" t="s">
        <v>1135</v>
      </c>
      <c r="AC178" s="4154" t="s">
        <v>653</v>
      </c>
      <c r="AD178" s="4504">
        <v>2.1295</v>
      </c>
      <c r="AE178" s="4154">
        <f t="shared" si="77"/>
        <v>4241.964</v>
      </c>
      <c r="AF178" s="4505"/>
      <c r="AG178" s="3726"/>
      <c r="AH178" s="4422"/>
      <c r="AI178" s="3708">
        <f>J178</f>
        <v>1992</v>
      </c>
      <c r="AJ178" s="4422"/>
      <c r="AK178" s="3708"/>
      <c r="AL178" s="3708"/>
      <c r="AM178" s="4154"/>
      <c r="AN178" s="907"/>
      <c r="AO178" s="1048">
        <f t="shared" si="78"/>
        <v>1992</v>
      </c>
      <c r="AP178" s="1048"/>
      <c r="AQ178" s="907"/>
      <c r="AR178" s="907"/>
      <c r="AS178" s="1048">
        <f t="shared" si="79"/>
        <v>1992</v>
      </c>
      <c r="AT178" s="1048"/>
      <c r="AU178" s="907"/>
      <c r="AV178" s="907"/>
      <c r="AW178" s="907"/>
      <c r="AX178" s="1048"/>
      <c r="AY178" s="907"/>
      <c r="AZ178" s="907"/>
      <c r="BA178" s="1048"/>
      <c r="BB178" s="1048"/>
      <c r="BC178" s="907"/>
      <c r="BD178" s="1048"/>
      <c r="BE178" s="1048"/>
      <c r="BF178" s="1048"/>
      <c r="BG178" s="1048"/>
      <c r="BH178" s="4622"/>
      <c r="BI178" s="4622"/>
      <c r="BJ178" s="1048"/>
      <c r="BK178" s="4415" t="s">
        <v>89</v>
      </c>
      <c r="BL178" s="4415">
        <f t="shared" si="65"/>
        <v>33.2</v>
      </c>
      <c r="BM178" s="4415">
        <f t="shared" si="80"/>
        <v>298.8</v>
      </c>
      <c r="BN178" s="4415">
        <f t="shared" si="81"/>
        <v>332</v>
      </c>
      <c r="BO178" s="4415">
        <f t="shared" si="82"/>
        <v>332</v>
      </c>
      <c r="BP178" s="4415">
        <f t="shared" si="83"/>
        <v>332</v>
      </c>
      <c r="BQ178" s="4414">
        <f t="shared" si="84"/>
        <v>332</v>
      </c>
      <c r="BR178" s="1048">
        <f t="shared" si="85"/>
        <v>332</v>
      </c>
      <c r="BS178" s="4384"/>
      <c r="BT178" s="911"/>
      <c r="BU178" s="911"/>
      <c r="BV178" s="911"/>
      <c r="BW178" s="911"/>
      <c r="BX178" s="910"/>
      <c r="BY178" s="910"/>
      <c r="BZ178" s="3708">
        <f t="shared" si="61"/>
        <v>1992</v>
      </c>
      <c r="CA178" s="4154">
        <f t="shared" si="62"/>
        <v>0</v>
      </c>
      <c r="CB178" s="4462"/>
      <c r="CC178" s="4462"/>
      <c r="CD178" s="4323"/>
      <c r="CE178" s="4323"/>
      <c r="CF178" s="4323"/>
    </row>
    <row r="179" s="4316" customFormat="1" ht="50" customHeight="1" spans="1:84">
      <c r="A179" s="4500">
        <v>45701</v>
      </c>
      <c r="B179" s="4501" t="s">
        <v>90</v>
      </c>
      <c r="C179" s="3708" t="s">
        <v>91</v>
      </c>
      <c r="D179" s="4502">
        <v>4500157318</v>
      </c>
      <c r="E179" s="3708" t="s">
        <v>1136</v>
      </c>
      <c r="F179" s="4615" t="s">
        <v>1137</v>
      </c>
      <c r="G179" s="3708" t="s">
        <v>333</v>
      </c>
      <c r="H179" s="3708" t="s">
        <v>333</v>
      </c>
      <c r="I179" s="3708" t="s">
        <v>328</v>
      </c>
      <c r="J179" s="4593">
        <v>1800</v>
      </c>
      <c r="K179" s="4154">
        <v>0</v>
      </c>
      <c r="L179" s="4154">
        <v>24</v>
      </c>
      <c r="M179" s="4154">
        <f t="shared" si="58"/>
        <v>75</v>
      </c>
      <c r="N179" s="4503">
        <v>45777</v>
      </c>
      <c r="O179" s="4503">
        <v>45773</v>
      </c>
      <c r="P179" s="3708" t="s">
        <v>1083</v>
      </c>
      <c r="Q179" s="4929" t="s">
        <v>82</v>
      </c>
      <c r="R179" s="4157"/>
      <c r="S179" s="4157"/>
      <c r="T179" s="4157"/>
      <c r="U179" s="3726" t="s">
        <v>273</v>
      </c>
      <c r="V179" s="3711" t="s">
        <v>912</v>
      </c>
      <c r="W179" s="3711"/>
      <c r="X179" s="3711" t="s">
        <v>98</v>
      </c>
      <c r="Y179" s="3711"/>
      <c r="Z179" s="3711" t="s">
        <v>1138</v>
      </c>
      <c r="AA179" s="4154"/>
      <c r="AB179" s="3680" t="s">
        <v>1139</v>
      </c>
      <c r="AC179" s="4154" t="s">
        <v>653</v>
      </c>
      <c r="AD179" s="4504">
        <v>2.1295</v>
      </c>
      <c r="AE179" s="4154">
        <f t="shared" si="77"/>
        <v>3833.1</v>
      </c>
      <c r="AF179" s="4505" t="s">
        <v>1140</v>
      </c>
      <c r="AG179" s="3726"/>
      <c r="AH179" s="4422"/>
      <c r="AI179" s="3708">
        <f>J179</f>
        <v>1800</v>
      </c>
      <c r="AJ179" s="4422"/>
      <c r="AK179" s="3708"/>
      <c r="AL179" s="3708"/>
      <c r="AM179" s="4154"/>
      <c r="AN179" s="907"/>
      <c r="AO179" s="1048">
        <f t="shared" si="78"/>
        <v>1800</v>
      </c>
      <c r="AP179" s="1048"/>
      <c r="AQ179" s="907"/>
      <c r="AR179" s="907"/>
      <c r="AS179" s="1048">
        <f t="shared" si="79"/>
        <v>1800</v>
      </c>
      <c r="AT179" s="1048"/>
      <c r="AU179" s="907"/>
      <c r="AV179" s="907"/>
      <c r="AW179" s="907"/>
      <c r="AX179" s="1048"/>
      <c r="AY179" s="907"/>
      <c r="AZ179" s="907"/>
      <c r="BA179" s="1048"/>
      <c r="BB179" s="1048"/>
      <c r="BC179" s="907"/>
      <c r="BD179" s="1048"/>
      <c r="BE179" s="1048"/>
      <c r="BF179" s="1048"/>
      <c r="BG179" s="1048"/>
      <c r="BH179" s="4622"/>
      <c r="BI179" s="4622"/>
      <c r="BJ179" s="1048"/>
      <c r="BK179" s="4415" t="s">
        <v>89</v>
      </c>
      <c r="BL179" s="4415">
        <f t="shared" si="65"/>
        <v>30</v>
      </c>
      <c r="BM179" s="4415">
        <f t="shared" si="80"/>
        <v>270</v>
      </c>
      <c r="BN179" s="4415">
        <f t="shared" si="81"/>
        <v>300</v>
      </c>
      <c r="BO179" s="4415">
        <f t="shared" si="82"/>
        <v>300</v>
      </c>
      <c r="BP179" s="4415">
        <f t="shared" si="83"/>
        <v>300</v>
      </c>
      <c r="BQ179" s="4414">
        <f t="shared" si="84"/>
        <v>300</v>
      </c>
      <c r="BR179" s="1048">
        <f t="shared" si="85"/>
        <v>300</v>
      </c>
      <c r="BS179" s="4384"/>
      <c r="BT179" s="911"/>
      <c r="BU179" s="911"/>
      <c r="BV179" s="911"/>
      <c r="BW179" s="911"/>
      <c r="BX179" s="910"/>
      <c r="BY179" s="910"/>
      <c r="BZ179" s="3708">
        <f t="shared" si="61"/>
        <v>1800</v>
      </c>
      <c r="CA179" s="4154">
        <f t="shared" si="62"/>
        <v>0</v>
      </c>
      <c r="CB179" s="4462"/>
      <c r="CC179" s="4462"/>
      <c r="CD179" s="4323"/>
      <c r="CE179" s="4323"/>
      <c r="CF179" s="4323"/>
    </row>
    <row r="180" s="4316" customFormat="1" ht="50" customHeight="1" spans="1:84">
      <c r="A180" s="4500">
        <v>45730</v>
      </c>
      <c r="B180" s="4501" t="s">
        <v>1141</v>
      </c>
      <c r="C180" s="3708" t="s">
        <v>1142</v>
      </c>
      <c r="D180" s="4502">
        <v>4500159737</v>
      </c>
      <c r="E180" s="3708" t="s">
        <v>1143</v>
      </c>
      <c r="F180" s="4615" t="s">
        <v>1144</v>
      </c>
      <c r="G180" s="3708" t="s">
        <v>1145</v>
      </c>
      <c r="H180" s="3708" t="s">
        <v>327</v>
      </c>
      <c r="I180" s="4154" t="s">
        <v>328</v>
      </c>
      <c r="J180" s="4154">
        <v>720</v>
      </c>
      <c r="K180" s="4154">
        <v>0</v>
      </c>
      <c r="L180" s="4154">
        <v>12</v>
      </c>
      <c r="M180" s="4154">
        <f t="shared" si="58"/>
        <v>60</v>
      </c>
      <c r="N180" s="4503">
        <v>45775</v>
      </c>
      <c r="O180" s="4503">
        <v>45783</v>
      </c>
      <c r="P180" s="4929"/>
      <c r="Q180" s="4929" t="s">
        <v>82</v>
      </c>
      <c r="R180" s="4157"/>
      <c r="S180" s="4157"/>
      <c r="T180" s="4157"/>
      <c r="U180" s="3726" t="s">
        <v>1146</v>
      </c>
      <c r="V180" s="3711" t="s">
        <v>1147</v>
      </c>
      <c r="W180" s="3711"/>
      <c r="X180" s="3711" t="s">
        <v>1148</v>
      </c>
      <c r="Y180" s="3711"/>
      <c r="Z180" s="3711"/>
      <c r="AA180" s="3708" t="s">
        <v>1149</v>
      </c>
      <c r="AB180" s="3680" t="s">
        <v>1150</v>
      </c>
      <c r="AC180" s="4154" t="s">
        <v>459</v>
      </c>
      <c r="AD180" s="4504">
        <v>2.0981</v>
      </c>
      <c r="AE180" s="4154">
        <f t="shared" si="77"/>
        <v>1510.632</v>
      </c>
      <c r="AF180" s="4505"/>
      <c r="AG180" s="3726"/>
      <c r="AH180" s="4422"/>
      <c r="AI180" s="3708"/>
      <c r="AJ180" s="4422"/>
      <c r="AK180" s="3708">
        <f>J180</f>
        <v>720</v>
      </c>
      <c r="AL180" s="3708"/>
      <c r="AM180" s="4154"/>
      <c r="AN180" s="907"/>
      <c r="AO180" s="1048">
        <f t="shared" si="78"/>
        <v>720</v>
      </c>
      <c r="AP180" s="1048"/>
      <c r="AQ180" s="907"/>
      <c r="AR180" s="907"/>
      <c r="AS180" s="1048">
        <f t="shared" si="79"/>
        <v>720</v>
      </c>
      <c r="AT180" s="1048"/>
      <c r="AU180" s="907"/>
      <c r="AV180" s="907"/>
      <c r="AW180" s="907"/>
      <c r="AX180" s="1048">
        <f>J180/6</f>
        <v>120</v>
      </c>
      <c r="AY180" s="907"/>
      <c r="AZ180" s="907"/>
      <c r="BA180" s="1048"/>
      <c r="BB180" s="1048"/>
      <c r="BC180" s="907"/>
      <c r="BD180" s="1048"/>
      <c r="BE180" s="1048"/>
      <c r="BF180" s="1048"/>
      <c r="BG180" s="1048"/>
      <c r="BH180" s="4622"/>
      <c r="BI180" s="4622"/>
      <c r="BJ180" s="1048"/>
      <c r="BK180" s="4415" t="s">
        <v>89</v>
      </c>
      <c r="BL180" s="4415">
        <f t="shared" si="65"/>
        <v>12</v>
      </c>
      <c r="BM180" s="4415">
        <f t="shared" si="80"/>
        <v>108</v>
      </c>
      <c r="BN180" s="4415">
        <f t="shared" si="81"/>
        <v>120</v>
      </c>
      <c r="BO180" s="4415">
        <f t="shared" si="82"/>
        <v>120</v>
      </c>
      <c r="BP180" s="4415">
        <f t="shared" si="83"/>
        <v>120</v>
      </c>
      <c r="BQ180" s="4414">
        <f t="shared" si="84"/>
        <v>120</v>
      </c>
      <c r="BR180" s="1048">
        <f t="shared" si="85"/>
        <v>120</v>
      </c>
      <c r="BS180" s="4384"/>
      <c r="BT180" s="911"/>
      <c r="BU180" s="911"/>
      <c r="BV180" s="911"/>
      <c r="BW180" s="911"/>
      <c r="BX180" s="910"/>
      <c r="BY180" s="910"/>
      <c r="BZ180" s="3708">
        <f t="shared" si="61"/>
        <v>720</v>
      </c>
      <c r="CA180" s="4154">
        <f t="shared" si="62"/>
        <v>0</v>
      </c>
      <c r="CB180" s="4462"/>
      <c r="CC180" s="4462"/>
      <c r="CD180" s="4323"/>
      <c r="CE180" s="4323"/>
      <c r="CF180" s="4323"/>
    </row>
    <row r="181" s="4316" customFormat="1" ht="50" customHeight="1" spans="1:84">
      <c r="A181" s="4500">
        <v>45730</v>
      </c>
      <c r="B181" s="4501" t="s">
        <v>1141</v>
      </c>
      <c r="C181" s="3708" t="s">
        <v>1151</v>
      </c>
      <c r="D181" s="4502">
        <v>4500160092</v>
      </c>
      <c r="E181" s="3708" t="s">
        <v>1152</v>
      </c>
      <c r="F181" s="4615" t="s">
        <v>1153</v>
      </c>
      <c r="G181" s="3708" t="s">
        <v>1145</v>
      </c>
      <c r="H181" s="3708" t="s">
        <v>327</v>
      </c>
      <c r="I181" s="4154" t="s">
        <v>328</v>
      </c>
      <c r="J181" s="4154">
        <v>2004</v>
      </c>
      <c r="K181" s="4154">
        <v>0</v>
      </c>
      <c r="L181" s="4154">
        <v>12</v>
      </c>
      <c r="M181" s="4154">
        <f t="shared" si="58"/>
        <v>167</v>
      </c>
      <c r="N181" s="4503">
        <v>45775</v>
      </c>
      <c r="O181" s="4503">
        <v>45783</v>
      </c>
      <c r="P181" s="4929"/>
      <c r="Q181" s="4929" t="s">
        <v>82</v>
      </c>
      <c r="R181" s="4157"/>
      <c r="S181" s="4157"/>
      <c r="T181" s="4157"/>
      <c r="U181" s="3726" t="s">
        <v>1146</v>
      </c>
      <c r="V181" s="3711" t="s">
        <v>1147</v>
      </c>
      <c r="W181" s="3711"/>
      <c r="X181" s="3711" t="s">
        <v>1148</v>
      </c>
      <c r="Y181" s="3711"/>
      <c r="Z181" s="3711"/>
      <c r="AA181" s="3708" t="s">
        <v>1149</v>
      </c>
      <c r="AB181" s="3680" t="s">
        <v>1154</v>
      </c>
      <c r="AC181" s="4154" t="s">
        <v>459</v>
      </c>
      <c r="AD181" s="4504">
        <v>2.1588</v>
      </c>
      <c r="AE181" s="4154">
        <f t="shared" si="77"/>
        <v>4326.2352</v>
      </c>
      <c r="AF181" s="4505"/>
      <c r="AG181" s="3726"/>
      <c r="AH181" s="4422"/>
      <c r="AI181" s="3708"/>
      <c r="AJ181" s="4422"/>
      <c r="AK181" s="3708">
        <f>J181</f>
        <v>2004</v>
      </c>
      <c r="AL181" s="3708"/>
      <c r="AM181" s="4154"/>
      <c r="AN181" s="907"/>
      <c r="AO181" s="1048">
        <f t="shared" si="78"/>
        <v>2004</v>
      </c>
      <c r="AP181" s="1048"/>
      <c r="AQ181" s="907"/>
      <c r="AR181" s="907"/>
      <c r="AS181" s="1048">
        <f t="shared" si="79"/>
        <v>2004</v>
      </c>
      <c r="AT181" s="1048"/>
      <c r="AU181" s="907"/>
      <c r="AV181" s="907"/>
      <c r="AW181" s="907"/>
      <c r="AX181" s="1048">
        <f>J181/6</f>
        <v>334</v>
      </c>
      <c r="AY181" s="907"/>
      <c r="AZ181" s="907"/>
      <c r="BA181" s="1048"/>
      <c r="BB181" s="1048"/>
      <c r="BC181" s="907"/>
      <c r="BD181" s="1048"/>
      <c r="BE181" s="1048"/>
      <c r="BF181" s="1048"/>
      <c r="BG181" s="1048"/>
      <c r="BH181" s="4622"/>
      <c r="BI181" s="4622"/>
      <c r="BJ181" s="1048"/>
      <c r="BK181" s="4415" t="s">
        <v>89</v>
      </c>
      <c r="BL181" s="4415">
        <f t="shared" si="65"/>
        <v>33.4</v>
      </c>
      <c r="BM181" s="4415">
        <f t="shared" si="80"/>
        <v>300.6</v>
      </c>
      <c r="BN181" s="4415">
        <f t="shared" si="81"/>
        <v>334</v>
      </c>
      <c r="BO181" s="4415">
        <f t="shared" si="82"/>
        <v>334</v>
      </c>
      <c r="BP181" s="4415">
        <f t="shared" si="83"/>
        <v>334</v>
      </c>
      <c r="BQ181" s="4414">
        <f t="shared" si="84"/>
        <v>334</v>
      </c>
      <c r="BR181" s="1048">
        <f t="shared" si="85"/>
        <v>334</v>
      </c>
      <c r="BS181" s="4384"/>
      <c r="BT181" s="911"/>
      <c r="BU181" s="911"/>
      <c r="BV181" s="911"/>
      <c r="BW181" s="911"/>
      <c r="BX181" s="910"/>
      <c r="BY181" s="910"/>
      <c r="BZ181" s="3708">
        <f t="shared" si="61"/>
        <v>2004</v>
      </c>
      <c r="CA181" s="4154">
        <f t="shared" si="62"/>
        <v>0</v>
      </c>
      <c r="CB181" s="4462"/>
      <c r="CC181" s="4462"/>
      <c r="CD181" s="4323"/>
      <c r="CE181" s="4323"/>
      <c r="CF181" s="4323"/>
    </row>
    <row r="182" s="4316" customFormat="1" ht="50" customHeight="1" spans="1:84">
      <c r="A182" s="4500">
        <v>45701</v>
      </c>
      <c r="B182" s="4501" t="s">
        <v>90</v>
      </c>
      <c r="C182" s="3708" t="s">
        <v>91</v>
      </c>
      <c r="D182" s="4502">
        <v>4500157319</v>
      </c>
      <c r="E182" s="3708" t="s">
        <v>927</v>
      </c>
      <c r="F182" s="4615" t="s">
        <v>1155</v>
      </c>
      <c r="G182" s="3708" t="s">
        <v>409</v>
      </c>
      <c r="H182" s="3708" t="s">
        <v>409</v>
      </c>
      <c r="I182" s="3708" t="s">
        <v>410</v>
      </c>
      <c r="J182" s="4154">
        <v>804</v>
      </c>
      <c r="K182" s="4154">
        <v>0</v>
      </c>
      <c r="L182" s="4154">
        <v>12</v>
      </c>
      <c r="M182" s="4154">
        <f t="shared" si="58"/>
        <v>67</v>
      </c>
      <c r="N182" s="4503">
        <v>45777</v>
      </c>
      <c r="O182" s="4503">
        <v>45773</v>
      </c>
      <c r="P182" s="3708" t="s">
        <v>1083</v>
      </c>
      <c r="Q182" s="4929" t="s">
        <v>82</v>
      </c>
      <c r="R182" s="4157"/>
      <c r="S182" s="4157"/>
      <c r="T182" s="4157"/>
      <c r="U182" s="3726" t="s">
        <v>1134</v>
      </c>
      <c r="V182" s="3711" t="s">
        <v>912</v>
      </c>
      <c r="W182" s="3711"/>
      <c r="X182" s="3711" t="s">
        <v>98</v>
      </c>
      <c r="Y182" s="3711"/>
      <c r="Z182" s="3711" t="s">
        <v>1064</v>
      </c>
      <c r="AA182" s="4154"/>
      <c r="AB182" s="3680" t="s">
        <v>1156</v>
      </c>
      <c r="AC182" s="4154" t="s">
        <v>653</v>
      </c>
      <c r="AD182" s="4504">
        <v>2.8218</v>
      </c>
      <c r="AE182" s="4154">
        <f t="shared" si="77"/>
        <v>2268.7272</v>
      </c>
      <c r="AF182" s="4505"/>
      <c r="AG182" s="3726" t="s">
        <v>416</v>
      </c>
      <c r="AH182" s="984"/>
      <c r="AI182" s="3708">
        <f>J182</f>
        <v>804</v>
      </c>
      <c r="AJ182" s="984"/>
      <c r="AK182" s="3708"/>
      <c r="AL182" s="3708"/>
      <c r="AM182" s="4154"/>
      <c r="AN182" s="877"/>
      <c r="AO182" s="1048">
        <f t="shared" si="78"/>
        <v>804</v>
      </c>
      <c r="AP182" s="1048"/>
      <c r="AQ182" s="877"/>
      <c r="AR182" s="877"/>
      <c r="AS182" s="1048">
        <f t="shared" si="79"/>
        <v>804</v>
      </c>
      <c r="AT182" s="1048"/>
      <c r="AU182" s="877"/>
      <c r="AV182" s="877"/>
      <c r="AW182" s="877"/>
      <c r="AX182" s="1048"/>
      <c r="AY182" s="877"/>
      <c r="AZ182" s="877"/>
      <c r="BA182" s="1048"/>
      <c r="BB182" s="1048"/>
      <c r="BC182" s="877"/>
      <c r="BD182" s="1048"/>
      <c r="BE182" s="1048"/>
      <c r="BF182" s="1048"/>
      <c r="BG182" s="1048"/>
      <c r="BH182" s="1048">
        <f>J182</f>
        <v>804</v>
      </c>
      <c r="BI182" s="4622"/>
      <c r="BJ182" s="1048"/>
      <c r="BK182" s="4415" t="s">
        <v>89</v>
      </c>
      <c r="BL182" s="4415">
        <f t="shared" si="65"/>
        <v>13.4</v>
      </c>
      <c r="BM182" s="4415">
        <f t="shared" si="80"/>
        <v>120.6</v>
      </c>
      <c r="BN182" s="4415">
        <f t="shared" si="81"/>
        <v>134</v>
      </c>
      <c r="BO182" s="4415">
        <f t="shared" si="82"/>
        <v>134</v>
      </c>
      <c r="BP182" s="4415">
        <f t="shared" si="83"/>
        <v>134</v>
      </c>
      <c r="BQ182" s="4414">
        <f t="shared" si="84"/>
        <v>134</v>
      </c>
      <c r="BR182" s="1048">
        <f t="shared" si="85"/>
        <v>134</v>
      </c>
      <c r="BS182" s="880"/>
      <c r="BT182" s="4816"/>
      <c r="BU182" s="4816"/>
      <c r="BV182" s="4816"/>
      <c r="BW182" s="4816"/>
      <c r="BX182" s="4816"/>
      <c r="BY182" s="4816"/>
      <c r="BZ182" s="3708">
        <f t="shared" si="61"/>
        <v>804</v>
      </c>
      <c r="CA182" s="4154">
        <f t="shared" si="62"/>
        <v>0</v>
      </c>
      <c r="CB182" s="4816"/>
      <c r="CC182" s="4816"/>
      <c r="CD182" s="4323"/>
      <c r="CE182" s="4323"/>
      <c r="CF182" s="4323"/>
    </row>
    <row r="183" s="4316" customFormat="1" ht="50" customHeight="1" spans="1:84">
      <c r="A183" s="4500">
        <v>45701</v>
      </c>
      <c r="B183" s="4501" t="s">
        <v>90</v>
      </c>
      <c r="C183" s="3708" t="s">
        <v>91</v>
      </c>
      <c r="D183" s="4502">
        <v>4500157318</v>
      </c>
      <c r="E183" s="3708" t="s">
        <v>1157</v>
      </c>
      <c r="F183" s="4615" t="s">
        <v>1158</v>
      </c>
      <c r="G183" s="3708" t="s">
        <v>409</v>
      </c>
      <c r="H183" s="3708" t="s">
        <v>409</v>
      </c>
      <c r="I183" s="3708" t="s">
        <v>410</v>
      </c>
      <c r="J183" s="4154">
        <v>600</v>
      </c>
      <c r="K183" s="4154">
        <v>0</v>
      </c>
      <c r="L183" s="4154">
        <v>12</v>
      </c>
      <c r="M183" s="4154">
        <f t="shared" si="58"/>
        <v>50</v>
      </c>
      <c r="N183" s="4503">
        <v>45777</v>
      </c>
      <c r="O183" s="4503">
        <v>45773</v>
      </c>
      <c r="P183" s="3708" t="s">
        <v>1083</v>
      </c>
      <c r="Q183" s="4929" t="s">
        <v>82</v>
      </c>
      <c r="R183" s="4157"/>
      <c r="S183" s="4157"/>
      <c r="T183" s="4157"/>
      <c r="U183" s="3726" t="s">
        <v>273</v>
      </c>
      <c r="V183" s="3711" t="s">
        <v>912</v>
      </c>
      <c r="W183" s="3711"/>
      <c r="X183" s="3711" t="s">
        <v>98</v>
      </c>
      <c r="Y183" s="3711"/>
      <c r="Z183" s="3711" t="s">
        <v>1138</v>
      </c>
      <c r="AA183" s="4154"/>
      <c r="AB183" s="3680" t="s">
        <v>1159</v>
      </c>
      <c r="AC183" s="4154" t="s">
        <v>653</v>
      </c>
      <c r="AD183" s="4504">
        <v>2.8218</v>
      </c>
      <c r="AE183" s="4154">
        <f t="shared" si="77"/>
        <v>1693.08</v>
      </c>
      <c r="AF183" s="4505" t="s">
        <v>1140</v>
      </c>
      <c r="AG183" s="3726" t="s">
        <v>416</v>
      </c>
      <c r="AH183" s="984"/>
      <c r="AI183" s="3708">
        <f>J183</f>
        <v>600</v>
      </c>
      <c r="AJ183" s="984"/>
      <c r="AK183" s="3708"/>
      <c r="AL183" s="3708"/>
      <c r="AM183" s="4154"/>
      <c r="AN183" s="877"/>
      <c r="AO183" s="1048">
        <f t="shared" si="78"/>
        <v>600</v>
      </c>
      <c r="AP183" s="1048"/>
      <c r="AQ183" s="877"/>
      <c r="AR183" s="877"/>
      <c r="AS183" s="1048">
        <f t="shared" si="79"/>
        <v>600</v>
      </c>
      <c r="AT183" s="1048"/>
      <c r="AU183" s="877"/>
      <c r="AV183" s="877"/>
      <c r="AW183" s="877"/>
      <c r="AX183" s="1048"/>
      <c r="AY183" s="877"/>
      <c r="AZ183" s="877"/>
      <c r="BA183" s="1048"/>
      <c r="BB183" s="1048"/>
      <c r="BC183" s="877"/>
      <c r="BD183" s="1048"/>
      <c r="BE183" s="1048"/>
      <c r="BF183" s="1048"/>
      <c r="BG183" s="1048"/>
      <c r="BH183" s="1048">
        <f>J183</f>
        <v>600</v>
      </c>
      <c r="BI183" s="4622"/>
      <c r="BJ183" s="1048"/>
      <c r="BK183" s="4415" t="s">
        <v>89</v>
      </c>
      <c r="BL183" s="4415">
        <f t="shared" si="65"/>
        <v>10</v>
      </c>
      <c r="BM183" s="4415">
        <f t="shared" si="80"/>
        <v>90</v>
      </c>
      <c r="BN183" s="4415">
        <f t="shared" si="81"/>
        <v>100</v>
      </c>
      <c r="BO183" s="4415">
        <f t="shared" si="82"/>
        <v>100</v>
      </c>
      <c r="BP183" s="4415">
        <f t="shared" si="83"/>
        <v>100</v>
      </c>
      <c r="BQ183" s="4414">
        <f t="shared" si="84"/>
        <v>100</v>
      </c>
      <c r="BR183" s="1048">
        <f t="shared" si="85"/>
        <v>100</v>
      </c>
      <c r="BS183" s="880"/>
      <c r="BT183" s="4816"/>
      <c r="BU183" s="4816"/>
      <c r="BV183" s="4816"/>
      <c r="BW183" s="4816"/>
      <c r="BX183" s="4816"/>
      <c r="BY183" s="4816"/>
      <c r="BZ183" s="3708">
        <f t="shared" si="61"/>
        <v>600</v>
      </c>
      <c r="CA183" s="4154">
        <f t="shared" si="62"/>
        <v>0</v>
      </c>
      <c r="CB183" s="4816"/>
      <c r="CC183" s="4816"/>
      <c r="CD183" s="4323"/>
      <c r="CE183" s="4323"/>
      <c r="CF183" s="4323"/>
    </row>
    <row r="184" s="4316" customFormat="1" ht="50" customHeight="1" spans="1:84">
      <c r="A184" s="4500">
        <v>45701</v>
      </c>
      <c r="B184" s="4501" t="s">
        <v>90</v>
      </c>
      <c r="C184" s="3708" t="s">
        <v>91</v>
      </c>
      <c r="D184" s="4502">
        <v>4500157320</v>
      </c>
      <c r="E184" s="3708" t="s">
        <v>1160</v>
      </c>
      <c r="F184" s="4615" t="s">
        <v>1161</v>
      </c>
      <c r="G184" s="3708" t="s">
        <v>409</v>
      </c>
      <c r="H184" s="3708" t="s">
        <v>409</v>
      </c>
      <c r="I184" s="3708" t="s">
        <v>410</v>
      </c>
      <c r="J184" s="4154">
        <v>600</v>
      </c>
      <c r="K184" s="4154">
        <v>0</v>
      </c>
      <c r="L184" s="4154">
        <v>12</v>
      </c>
      <c r="M184" s="4154">
        <f t="shared" si="58"/>
        <v>50</v>
      </c>
      <c r="N184" s="4503">
        <v>45786</v>
      </c>
      <c r="O184" s="4503">
        <v>45782</v>
      </c>
      <c r="P184" s="3708" t="s">
        <v>1083</v>
      </c>
      <c r="Q184" s="4929" t="s">
        <v>82</v>
      </c>
      <c r="R184" s="4157"/>
      <c r="S184" s="4157"/>
      <c r="T184" s="4157"/>
      <c r="U184" s="3726" t="s">
        <v>1162</v>
      </c>
      <c r="V184" s="3711" t="s">
        <v>912</v>
      </c>
      <c r="W184" s="3711"/>
      <c r="X184" s="3711" t="s">
        <v>98</v>
      </c>
      <c r="Y184" s="3711"/>
      <c r="Z184" s="3711" t="s">
        <v>1138</v>
      </c>
      <c r="AA184" s="4154"/>
      <c r="AB184" s="3680" t="s">
        <v>1163</v>
      </c>
      <c r="AC184" s="4154" t="s">
        <v>653</v>
      </c>
      <c r="AD184" s="4504">
        <v>2.8218</v>
      </c>
      <c r="AE184" s="4154">
        <f t="shared" si="77"/>
        <v>1693.08</v>
      </c>
      <c r="AF184" s="4505"/>
      <c r="AG184" s="3726" t="s">
        <v>416</v>
      </c>
      <c r="AH184" s="4430"/>
      <c r="AI184" s="3708">
        <f t="shared" ref="AI184:AI196" si="86">J184</f>
        <v>600</v>
      </c>
      <c r="AJ184" s="4430"/>
      <c r="AK184" s="3708"/>
      <c r="AL184" s="3708"/>
      <c r="AM184" s="4154"/>
      <c r="AN184" s="4413"/>
      <c r="AO184" s="1048">
        <f t="shared" si="78"/>
        <v>600</v>
      </c>
      <c r="AP184" s="1048"/>
      <c r="AQ184" s="4413"/>
      <c r="AR184" s="4413"/>
      <c r="AS184" s="1048">
        <f t="shared" si="79"/>
        <v>600</v>
      </c>
      <c r="AT184" s="1048"/>
      <c r="AU184" s="4413"/>
      <c r="AV184" s="4413"/>
      <c r="AW184" s="4413"/>
      <c r="AX184" s="1048"/>
      <c r="AY184" s="4413"/>
      <c r="AZ184" s="4413"/>
      <c r="BA184" s="1048"/>
      <c r="BB184" s="1048"/>
      <c r="BC184" s="4413"/>
      <c r="BD184" s="1048"/>
      <c r="BE184" s="1048"/>
      <c r="BF184" s="1048"/>
      <c r="BG184" s="1048"/>
      <c r="BH184" s="1048">
        <f>J184</f>
        <v>600</v>
      </c>
      <c r="BI184" s="4622"/>
      <c r="BJ184" s="1048"/>
      <c r="BK184" s="4415" t="s">
        <v>89</v>
      </c>
      <c r="BL184" s="4415">
        <f t="shared" si="65"/>
        <v>10</v>
      </c>
      <c r="BM184" s="4415">
        <f t="shared" si="80"/>
        <v>90</v>
      </c>
      <c r="BN184" s="4415">
        <f t="shared" si="81"/>
        <v>100</v>
      </c>
      <c r="BO184" s="4415">
        <f t="shared" si="82"/>
        <v>100</v>
      </c>
      <c r="BP184" s="4415">
        <f t="shared" si="83"/>
        <v>100</v>
      </c>
      <c r="BQ184" s="4414">
        <f t="shared" si="84"/>
        <v>100</v>
      </c>
      <c r="BR184" s="1048">
        <f t="shared" si="85"/>
        <v>100</v>
      </c>
      <c r="BS184" s="4415"/>
      <c r="BT184" s="4447"/>
      <c r="BU184" s="4447"/>
      <c r="BV184" s="4447"/>
      <c r="BW184" s="4447"/>
      <c r="BX184" s="4447"/>
      <c r="BY184" s="4447"/>
      <c r="BZ184" s="3708">
        <f t="shared" si="61"/>
        <v>600</v>
      </c>
      <c r="CA184" s="4154">
        <f t="shared" si="62"/>
        <v>0</v>
      </c>
      <c r="CB184" s="4447"/>
      <c r="CC184" s="4447"/>
      <c r="CD184" s="4323"/>
      <c r="CE184" s="4323"/>
      <c r="CF184" s="4323"/>
    </row>
    <row r="185" s="4316" customFormat="1" ht="50" customHeight="1" spans="1:84">
      <c r="A185" s="4500">
        <v>45701</v>
      </c>
      <c r="B185" s="4501" t="s">
        <v>90</v>
      </c>
      <c r="C185" s="3708" t="s">
        <v>91</v>
      </c>
      <c r="D185" s="4502">
        <v>4500157321</v>
      </c>
      <c r="E185" s="3708" t="s">
        <v>1081</v>
      </c>
      <c r="F185" s="4615" t="s">
        <v>1164</v>
      </c>
      <c r="G185" s="3708" t="s">
        <v>409</v>
      </c>
      <c r="H185" s="3708" t="s">
        <v>409</v>
      </c>
      <c r="I185" s="3708" t="s">
        <v>410</v>
      </c>
      <c r="J185" s="4154">
        <v>804</v>
      </c>
      <c r="K185" s="4154">
        <v>0</v>
      </c>
      <c r="L185" s="4154">
        <v>12</v>
      </c>
      <c r="M185" s="4154">
        <f t="shared" si="58"/>
        <v>67</v>
      </c>
      <c r="N185" s="4503">
        <v>45786</v>
      </c>
      <c r="O185" s="4503">
        <v>45782</v>
      </c>
      <c r="P185" s="3708" t="s">
        <v>1083</v>
      </c>
      <c r="Q185" s="4929" t="s">
        <v>82</v>
      </c>
      <c r="R185" s="4157"/>
      <c r="S185" s="4157"/>
      <c r="T185" s="4157"/>
      <c r="U185" s="3726" t="s">
        <v>1162</v>
      </c>
      <c r="V185" s="3711" t="s">
        <v>912</v>
      </c>
      <c r="W185" s="3711"/>
      <c r="X185" s="3711" t="s">
        <v>98</v>
      </c>
      <c r="Y185" s="3711"/>
      <c r="Z185" s="3711" t="s">
        <v>1138</v>
      </c>
      <c r="AA185" s="4154"/>
      <c r="AB185" s="3680" t="s">
        <v>1008</v>
      </c>
      <c r="AC185" s="4154" t="s">
        <v>653</v>
      </c>
      <c r="AD185" s="4504">
        <v>2.8218</v>
      </c>
      <c r="AE185" s="4154">
        <f t="shared" si="77"/>
        <v>2268.7272</v>
      </c>
      <c r="AF185" s="4505"/>
      <c r="AG185" s="3726" t="s">
        <v>416</v>
      </c>
      <c r="AH185" s="4430"/>
      <c r="AI185" s="3708">
        <f t="shared" si="86"/>
        <v>804</v>
      </c>
      <c r="AJ185" s="4430"/>
      <c r="AK185" s="3708"/>
      <c r="AL185" s="3708"/>
      <c r="AM185" s="4154"/>
      <c r="AN185" s="4413"/>
      <c r="AO185" s="1048">
        <f t="shared" si="78"/>
        <v>804</v>
      </c>
      <c r="AP185" s="1048"/>
      <c r="AQ185" s="4413"/>
      <c r="AR185" s="4413"/>
      <c r="AS185" s="1048">
        <f t="shared" si="79"/>
        <v>804</v>
      </c>
      <c r="AT185" s="1048"/>
      <c r="AU185" s="4413"/>
      <c r="AV185" s="4413"/>
      <c r="AW185" s="4413"/>
      <c r="AX185" s="1048"/>
      <c r="AY185" s="4413"/>
      <c r="AZ185" s="4413"/>
      <c r="BA185" s="1048"/>
      <c r="BB185" s="1048"/>
      <c r="BC185" s="4413"/>
      <c r="BD185" s="1048"/>
      <c r="BE185" s="1048"/>
      <c r="BF185" s="1048"/>
      <c r="BG185" s="1048"/>
      <c r="BH185" s="1048">
        <f>J185</f>
        <v>804</v>
      </c>
      <c r="BI185" s="4622"/>
      <c r="BJ185" s="1048"/>
      <c r="BK185" s="4415" t="s">
        <v>89</v>
      </c>
      <c r="BL185" s="4415">
        <f t="shared" si="65"/>
        <v>13.4</v>
      </c>
      <c r="BM185" s="4415">
        <f t="shared" si="80"/>
        <v>120.6</v>
      </c>
      <c r="BN185" s="4415">
        <f t="shared" si="81"/>
        <v>134</v>
      </c>
      <c r="BO185" s="4415">
        <f t="shared" si="82"/>
        <v>134</v>
      </c>
      <c r="BP185" s="4415">
        <f t="shared" si="83"/>
        <v>134</v>
      </c>
      <c r="BQ185" s="4414">
        <f t="shared" si="84"/>
        <v>134</v>
      </c>
      <c r="BR185" s="1048">
        <f t="shared" si="85"/>
        <v>134</v>
      </c>
      <c r="BS185" s="4415"/>
      <c r="BT185" s="4447"/>
      <c r="BU185" s="4447"/>
      <c r="BV185" s="4447"/>
      <c r="BW185" s="4447"/>
      <c r="BX185" s="4447"/>
      <c r="BY185" s="4447"/>
      <c r="BZ185" s="3708">
        <f t="shared" si="61"/>
        <v>804</v>
      </c>
      <c r="CA185" s="4154">
        <f t="shared" si="62"/>
        <v>0</v>
      </c>
      <c r="CB185" s="4447"/>
      <c r="CC185" s="4447"/>
      <c r="CD185" s="4323"/>
      <c r="CE185" s="4323"/>
      <c r="CF185" s="4323"/>
    </row>
    <row r="186" s="4316" customFormat="1" ht="50" customHeight="1" spans="1:84">
      <c r="A186" s="4500">
        <v>45747</v>
      </c>
      <c r="B186" s="3708" t="s">
        <v>839</v>
      </c>
      <c r="C186" s="3708" t="s">
        <v>840</v>
      </c>
      <c r="D186" s="4154">
        <v>4500161963</v>
      </c>
      <c r="E186" s="3708">
        <v>20739449</v>
      </c>
      <c r="F186" s="3708" t="s">
        <v>1165</v>
      </c>
      <c r="G186" s="3708" t="s">
        <v>508</v>
      </c>
      <c r="H186" s="3708" t="s">
        <v>508</v>
      </c>
      <c r="I186" s="3708" t="s">
        <v>328</v>
      </c>
      <c r="J186" s="4593">
        <v>498</v>
      </c>
      <c r="K186" s="4154">
        <v>0</v>
      </c>
      <c r="L186" s="4154">
        <v>6</v>
      </c>
      <c r="M186" s="4154">
        <f t="shared" si="58"/>
        <v>83</v>
      </c>
      <c r="N186" s="4503">
        <v>45789</v>
      </c>
      <c r="O186" s="4503">
        <v>45785</v>
      </c>
      <c r="P186" s="3712"/>
      <c r="Q186" s="4154" t="s">
        <v>82</v>
      </c>
      <c r="R186" s="4157"/>
      <c r="S186" s="4157"/>
      <c r="T186" s="4157"/>
      <c r="U186" s="3711" t="s">
        <v>1166</v>
      </c>
      <c r="V186" s="3711" t="s">
        <v>1167</v>
      </c>
      <c r="W186" s="3711"/>
      <c r="X186" s="3711" t="s">
        <v>1168</v>
      </c>
      <c r="Y186" s="3711"/>
      <c r="Z186" s="3711"/>
      <c r="AA186" s="4154"/>
      <c r="AB186" s="3713" t="s">
        <v>1169</v>
      </c>
      <c r="AC186" s="3711" t="s">
        <v>513</v>
      </c>
      <c r="AD186" s="4504">
        <v>2.3151</v>
      </c>
      <c r="AE186" s="4154">
        <f t="shared" si="77"/>
        <v>1152.9198</v>
      </c>
      <c r="AF186" s="3726"/>
      <c r="AG186" s="3726"/>
      <c r="AH186" s="4422"/>
      <c r="AI186" s="3708">
        <f t="shared" si="86"/>
        <v>498</v>
      </c>
      <c r="AJ186" s="4422"/>
      <c r="AK186" s="3708"/>
      <c r="AL186" s="3708"/>
      <c r="AM186" s="4154"/>
      <c r="AN186" s="907"/>
      <c r="AO186" s="1048">
        <f t="shared" si="78"/>
        <v>498</v>
      </c>
      <c r="AP186" s="4622"/>
      <c r="AQ186" s="907"/>
      <c r="AR186" s="907"/>
      <c r="AS186" s="1048">
        <f t="shared" si="79"/>
        <v>498</v>
      </c>
      <c r="AT186" s="1048"/>
      <c r="AU186" s="907"/>
      <c r="AV186" s="4922"/>
      <c r="AW186" s="4922"/>
      <c r="AX186" s="1048">
        <f t="shared" ref="AX186:AX194" si="87">J186/6</f>
        <v>83</v>
      </c>
      <c r="AY186" s="4922"/>
      <c r="AZ186" s="4922"/>
      <c r="BA186" s="1048"/>
      <c r="BB186" s="4622"/>
      <c r="BC186" s="4922"/>
      <c r="BD186" s="4622"/>
      <c r="BE186" s="4622"/>
      <c r="BF186" s="4622"/>
      <c r="BG186" s="4622"/>
      <c r="BH186" s="4622"/>
      <c r="BI186" s="4622"/>
      <c r="BJ186" s="1048"/>
      <c r="BK186" s="4415" t="s">
        <v>89</v>
      </c>
      <c r="BL186" s="4415">
        <f t="shared" si="65"/>
        <v>8.3</v>
      </c>
      <c r="BM186" s="4415">
        <f t="shared" si="80"/>
        <v>74.7</v>
      </c>
      <c r="BN186" s="4415">
        <f t="shared" si="81"/>
        <v>83</v>
      </c>
      <c r="BO186" s="4415">
        <f t="shared" si="82"/>
        <v>83</v>
      </c>
      <c r="BP186" s="4415">
        <f t="shared" si="83"/>
        <v>83</v>
      </c>
      <c r="BQ186" s="4414">
        <f t="shared" si="84"/>
        <v>83</v>
      </c>
      <c r="BR186" s="1048">
        <f t="shared" si="85"/>
        <v>83</v>
      </c>
      <c r="BS186" s="4384"/>
      <c r="BT186" s="4462"/>
      <c r="BU186" s="4462"/>
      <c r="BV186" s="4462"/>
      <c r="BW186" s="4462"/>
      <c r="BX186" s="4462"/>
      <c r="BY186" s="4462"/>
      <c r="BZ186" s="3708">
        <f t="shared" si="61"/>
        <v>498</v>
      </c>
      <c r="CA186" s="4154">
        <f t="shared" si="62"/>
        <v>0</v>
      </c>
      <c r="CB186" s="4923"/>
      <c r="CC186" s="4923"/>
      <c r="CD186" s="4323"/>
      <c r="CE186" s="4323"/>
      <c r="CF186" s="4323"/>
    </row>
    <row r="187" s="4316" customFormat="1" ht="50" customHeight="1" spans="1:84">
      <c r="A187" s="4500">
        <v>45747</v>
      </c>
      <c r="B187" s="3708" t="s">
        <v>505</v>
      </c>
      <c r="C187" s="3708" t="s">
        <v>506</v>
      </c>
      <c r="D187" s="4154">
        <v>4500161960</v>
      </c>
      <c r="E187" s="3708">
        <v>20739448</v>
      </c>
      <c r="F187" s="3708" t="s">
        <v>1170</v>
      </c>
      <c r="G187" s="3708" t="s">
        <v>508</v>
      </c>
      <c r="H187" s="3708" t="s">
        <v>508</v>
      </c>
      <c r="I187" s="3708" t="s">
        <v>328</v>
      </c>
      <c r="J187" s="4593">
        <v>2520</v>
      </c>
      <c r="K187" s="4154">
        <v>0</v>
      </c>
      <c r="L187" s="4154">
        <v>6</v>
      </c>
      <c r="M187" s="4154">
        <f t="shared" si="58"/>
        <v>420</v>
      </c>
      <c r="N187" s="4503">
        <v>45789</v>
      </c>
      <c r="O187" s="4503">
        <v>45785</v>
      </c>
      <c r="P187" s="3712"/>
      <c r="Q187" s="4154" t="s">
        <v>82</v>
      </c>
      <c r="R187" s="4157"/>
      <c r="S187" s="4157"/>
      <c r="T187" s="4157"/>
      <c r="U187" s="3711" t="s">
        <v>1166</v>
      </c>
      <c r="V187" s="3711" t="s">
        <v>1167</v>
      </c>
      <c r="W187" s="3711"/>
      <c r="X187" s="3711" t="s">
        <v>1168</v>
      </c>
      <c r="Y187" s="3711"/>
      <c r="Z187" s="3711"/>
      <c r="AA187" s="4154"/>
      <c r="AB187" s="3713" t="s">
        <v>1171</v>
      </c>
      <c r="AC187" s="3711" t="s">
        <v>513</v>
      </c>
      <c r="AD187" s="4504">
        <v>2.3106</v>
      </c>
      <c r="AE187" s="4154">
        <f t="shared" si="77"/>
        <v>5822.712</v>
      </c>
      <c r="AF187" s="3726"/>
      <c r="AG187" s="3726"/>
      <c r="AH187" s="4422"/>
      <c r="AI187" s="3708">
        <f t="shared" si="86"/>
        <v>2520</v>
      </c>
      <c r="AJ187" s="4422"/>
      <c r="AK187" s="3708"/>
      <c r="AL187" s="3708"/>
      <c r="AM187" s="4154"/>
      <c r="AN187" s="907"/>
      <c r="AO187" s="1048">
        <f t="shared" si="78"/>
        <v>2520</v>
      </c>
      <c r="AP187" s="4622"/>
      <c r="AQ187" s="907"/>
      <c r="AR187" s="907"/>
      <c r="AS187" s="1048">
        <f t="shared" si="79"/>
        <v>2520</v>
      </c>
      <c r="AT187" s="1048"/>
      <c r="AU187" s="907"/>
      <c r="AV187" s="4922"/>
      <c r="AW187" s="4922"/>
      <c r="AX187" s="1048">
        <f t="shared" si="87"/>
        <v>420</v>
      </c>
      <c r="AY187" s="4922"/>
      <c r="AZ187" s="4922"/>
      <c r="BA187" s="1048"/>
      <c r="BB187" s="4622"/>
      <c r="BC187" s="4922"/>
      <c r="BD187" s="4622"/>
      <c r="BE187" s="4622"/>
      <c r="BF187" s="4622"/>
      <c r="BG187" s="4622"/>
      <c r="BH187" s="4622"/>
      <c r="BI187" s="4622"/>
      <c r="BJ187" s="1048"/>
      <c r="BK187" s="4415" t="s">
        <v>89</v>
      </c>
      <c r="BL187" s="4415">
        <f t="shared" si="65"/>
        <v>42</v>
      </c>
      <c r="BM187" s="4415">
        <f t="shared" si="80"/>
        <v>378</v>
      </c>
      <c r="BN187" s="4415">
        <f t="shared" si="81"/>
        <v>420</v>
      </c>
      <c r="BO187" s="4415">
        <f t="shared" si="82"/>
        <v>420</v>
      </c>
      <c r="BP187" s="4415">
        <f t="shared" si="83"/>
        <v>420</v>
      </c>
      <c r="BQ187" s="4414">
        <f t="shared" si="84"/>
        <v>420</v>
      </c>
      <c r="BR187" s="1048">
        <f t="shared" si="85"/>
        <v>420</v>
      </c>
      <c r="BS187" s="4384"/>
      <c r="BT187" s="4462"/>
      <c r="BU187" s="4462"/>
      <c r="BV187" s="4462"/>
      <c r="BW187" s="4462"/>
      <c r="BX187" s="4462"/>
      <c r="BY187" s="4462"/>
      <c r="BZ187" s="3708">
        <f t="shared" si="61"/>
        <v>2520</v>
      </c>
      <c r="CA187" s="4154">
        <f t="shared" si="62"/>
        <v>0</v>
      </c>
      <c r="CB187" s="4923"/>
      <c r="CC187" s="4923"/>
      <c r="CD187" s="4323"/>
      <c r="CE187" s="4323"/>
      <c r="CF187" s="4323"/>
    </row>
    <row r="188" s="4511" customFormat="1" ht="50" customHeight="1" spans="1:84">
      <c r="A188" s="4500">
        <v>45750</v>
      </c>
      <c r="B188" s="3708" t="s">
        <v>1172</v>
      </c>
      <c r="C188" s="3708" t="s">
        <v>91</v>
      </c>
      <c r="D188" s="4154">
        <v>4500162408</v>
      </c>
      <c r="E188" s="3708" t="s">
        <v>1173</v>
      </c>
      <c r="F188" s="3708" t="s">
        <v>1174</v>
      </c>
      <c r="G188" s="3708" t="s">
        <v>327</v>
      </c>
      <c r="H188" s="3708" t="s">
        <v>327</v>
      </c>
      <c r="I188" s="4154" t="s">
        <v>328</v>
      </c>
      <c r="J188" s="4154">
        <v>1200</v>
      </c>
      <c r="K188" s="4154">
        <v>0</v>
      </c>
      <c r="L188" s="4154">
        <v>12</v>
      </c>
      <c r="M188" s="4154">
        <f t="shared" si="58"/>
        <v>100</v>
      </c>
      <c r="N188" s="4503">
        <v>45791</v>
      </c>
      <c r="O188" s="4503">
        <v>45787</v>
      </c>
      <c r="P188" s="3699" t="s">
        <v>963</v>
      </c>
      <c r="Q188" s="4154" t="s">
        <v>82</v>
      </c>
      <c r="R188" s="4157"/>
      <c r="S188" s="4157"/>
      <c r="T188" s="4157"/>
      <c r="U188" s="3726" t="s">
        <v>1175</v>
      </c>
      <c r="V188" s="3711" t="s">
        <v>1176</v>
      </c>
      <c r="W188" s="3711"/>
      <c r="X188" s="3711" t="s">
        <v>98</v>
      </c>
      <c r="Y188" s="3711"/>
      <c r="Z188" s="3711"/>
      <c r="AA188" s="4154"/>
      <c r="AB188" s="3713" t="s">
        <v>1177</v>
      </c>
      <c r="AC188" s="3711" t="s">
        <v>1178</v>
      </c>
      <c r="AD188" s="4504">
        <v>2.1588</v>
      </c>
      <c r="AE188" s="4154">
        <f t="shared" si="77"/>
        <v>2590.56</v>
      </c>
      <c r="AF188" s="3726"/>
      <c r="AG188" s="3726"/>
      <c r="AH188" s="984"/>
      <c r="AI188" s="3708">
        <f t="shared" si="86"/>
        <v>1200</v>
      </c>
      <c r="AJ188" s="984"/>
      <c r="AK188" s="3708"/>
      <c r="AL188" s="3708"/>
      <c r="AM188" s="4154"/>
      <c r="AN188" s="877"/>
      <c r="AO188" s="1048">
        <f t="shared" si="78"/>
        <v>1200</v>
      </c>
      <c r="AP188" s="4622"/>
      <c r="AQ188" s="877"/>
      <c r="AR188" s="877"/>
      <c r="AS188" s="1048">
        <f t="shared" si="79"/>
        <v>1200</v>
      </c>
      <c r="AT188" s="1048"/>
      <c r="AU188" s="877"/>
      <c r="AV188" s="4921"/>
      <c r="AW188" s="4921"/>
      <c r="AX188" s="1048">
        <f t="shared" si="87"/>
        <v>200</v>
      </c>
      <c r="AY188" s="4921"/>
      <c r="AZ188" s="4921"/>
      <c r="BA188" s="1048"/>
      <c r="BB188" s="4622"/>
      <c r="BC188" s="4921"/>
      <c r="BD188" s="4622"/>
      <c r="BE188" s="4622"/>
      <c r="BF188" s="4622"/>
      <c r="BG188" s="4622"/>
      <c r="BH188" s="4622"/>
      <c r="BI188" s="4622"/>
      <c r="BJ188" s="1048"/>
      <c r="BK188" s="4415" t="s">
        <v>89</v>
      </c>
      <c r="BL188" s="4415">
        <f t="shared" si="65"/>
        <v>20</v>
      </c>
      <c r="BM188" s="4415">
        <f t="shared" si="80"/>
        <v>180</v>
      </c>
      <c r="BN188" s="4415">
        <f t="shared" si="81"/>
        <v>200</v>
      </c>
      <c r="BO188" s="4415">
        <f t="shared" si="82"/>
        <v>200</v>
      </c>
      <c r="BP188" s="4415">
        <f t="shared" si="83"/>
        <v>200</v>
      </c>
      <c r="BQ188" s="4414">
        <f t="shared" si="84"/>
        <v>200</v>
      </c>
      <c r="BR188" s="1048">
        <f t="shared" si="85"/>
        <v>200</v>
      </c>
      <c r="BS188" s="880"/>
      <c r="BT188" s="4804"/>
      <c r="BU188" s="4804"/>
      <c r="BV188" s="4804"/>
      <c r="BW188" s="4804"/>
      <c r="BX188" s="4804"/>
      <c r="BY188" s="4804"/>
      <c r="BZ188" s="3708">
        <f t="shared" si="61"/>
        <v>1200</v>
      </c>
      <c r="CA188" s="4154">
        <f t="shared" si="62"/>
        <v>0</v>
      </c>
      <c r="CB188" s="4804"/>
      <c r="CC188" s="4804"/>
      <c r="CD188" s="4160"/>
      <c r="CE188" s="4160"/>
      <c r="CF188" s="4160"/>
    </row>
    <row r="189" s="4316" customFormat="1" ht="50" customHeight="1" spans="1:84">
      <c r="A189" s="4500">
        <v>45755</v>
      </c>
      <c r="B189" s="4501" t="s">
        <v>672</v>
      </c>
      <c r="C189" s="3708" t="s">
        <v>673</v>
      </c>
      <c r="D189" s="4502">
        <v>4500162951</v>
      </c>
      <c r="E189" s="3708">
        <v>5000001839</v>
      </c>
      <c r="F189" s="4502" t="s">
        <v>1179</v>
      </c>
      <c r="G189" s="3708" t="s">
        <v>675</v>
      </c>
      <c r="H189" s="3708" t="s">
        <v>508</v>
      </c>
      <c r="I189" s="3708" t="s">
        <v>328</v>
      </c>
      <c r="J189" s="4593">
        <v>6000</v>
      </c>
      <c r="K189" s="4154">
        <v>0</v>
      </c>
      <c r="L189" s="4154">
        <v>6</v>
      </c>
      <c r="M189" s="4154">
        <f t="shared" si="58"/>
        <v>1000</v>
      </c>
      <c r="N189" s="4503">
        <v>45793</v>
      </c>
      <c r="O189" s="4503">
        <v>45789</v>
      </c>
      <c r="P189" s="3712"/>
      <c r="Q189" s="4154" t="s">
        <v>82</v>
      </c>
      <c r="R189" s="4157"/>
      <c r="S189" s="4157"/>
      <c r="T189" s="4157"/>
      <c r="U189" s="3726" t="s">
        <v>1180</v>
      </c>
      <c r="V189" s="3711" t="s">
        <v>1181</v>
      </c>
      <c r="W189" s="3711"/>
      <c r="X189" s="3711" t="s">
        <v>1182</v>
      </c>
      <c r="Y189" s="3711"/>
      <c r="Z189" s="3711"/>
      <c r="AA189" s="4154"/>
      <c r="AB189" s="3680" t="s">
        <v>1183</v>
      </c>
      <c r="AC189" s="4154" t="s">
        <v>993</v>
      </c>
      <c r="AD189" s="4504">
        <v>2.0656</v>
      </c>
      <c r="AE189" s="4154">
        <f t="shared" si="77"/>
        <v>12393.6</v>
      </c>
      <c r="AF189" s="3726"/>
      <c r="AG189" s="3726"/>
      <c r="AH189" s="984"/>
      <c r="AI189" s="3708">
        <f t="shared" si="86"/>
        <v>6000</v>
      </c>
      <c r="AJ189" s="984"/>
      <c r="AK189" s="3708"/>
      <c r="AL189" s="3708"/>
      <c r="AM189" s="4154"/>
      <c r="AN189" s="877"/>
      <c r="AO189" s="1048"/>
      <c r="AP189" s="1048">
        <f>J189</f>
        <v>6000</v>
      </c>
      <c r="AQ189" s="877"/>
      <c r="AR189" s="877"/>
      <c r="AS189" s="1048">
        <f t="shared" si="79"/>
        <v>6000</v>
      </c>
      <c r="AT189" s="1048"/>
      <c r="AU189" s="877"/>
      <c r="AV189" s="4921"/>
      <c r="AW189" s="4921"/>
      <c r="AX189" s="1048">
        <f t="shared" si="87"/>
        <v>1000</v>
      </c>
      <c r="AY189" s="4921"/>
      <c r="AZ189" s="4921"/>
      <c r="BA189" s="1048"/>
      <c r="BB189" s="4622"/>
      <c r="BC189" s="4921"/>
      <c r="BD189" s="4622"/>
      <c r="BE189" s="4622"/>
      <c r="BF189" s="4622"/>
      <c r="BG189" s="4622"/>
      <c r="BH189" s="1048"/>
      <c r="BI189" s="4622"/>
      <c r="BJ189" s="1048"/>
      <c r="BK189" s="4415" t="s">
        <v>682</v>
      </c>
      <c r="BL189" s="4415">
        <f t="shared" si="65"/>
        <v>100</v>
      </c>
      <c r="BM189" s="4415">
        <f t="shared" si="80"/>
        <v>900</v>
      </c>
      <c r="BN189" s="4415">
        <f t="shared" si="81"/>
        <v>1000</v>
      </c>
      <c r="BO189" s="4415">
        <f t="shared" si="82"/>
        <v>1000</v>
      </c>
      <c r="BP189" s="4415">
        <f t="shared" si="83"/>
        <v>1000</v>
      </c>
      <c r="BQ189" s="4414">
        <f t="shared" si="84"/>
        <v>1000</v>
      </c>
      <c r="BR189" s="1048">
        <f t="shared" si="85"/>
        <v>1000</v>
      </c>
      <c r="BS189" s="880"/>
      <c r="BT189" s="4816"/>
      <c r="BU189" s="4816"/>
      <c r="BV189" s="4816"/>
      <c r="BW189" s="4816"/>
      <c r="BX189" s="4816"/>
      <c r="BY189" s="4816"/>
      <c r="BZ189" s="3708">
        <f t="shared" si="61"/>
        <v>6000</v>
      </c>
      <c r="CA189" s="4154">
        <f t="shared" si="62"/>
        <v>0</v>
      </c>
      <c r="CB189" s="4804"/>
      <c r="CC189" s="4804"/>
      <c r="CD189" s="4323"/>
      <c r="CE189" s="4323"/>
      <c r="CF189" s="4323"/>
    </row>
    <row r="190" s="4316" customFormat="1" ht="50" customHeight="1" spans="1:84">
      <c r="A190" s="4500">
        <v>45755</v>
      </c>
      <c r="B190" s="4501" t="s">
        <v>672</v>
      </c>
      <c r="C190" s="3708" t="s">
        <v>673</v>
      </c>
      <c r="D190" s="4502">
        <v>4500162951</v>
      </c>
      <c r="E190" s="3708">
        <v>5000001839</v>
      </c>
      <c r="F190" s="4502" t="s">
        <v>1184</v>
      </c>
      <c r="G190" s="3708" t="s">
        <v>675</v>
      </c>
      <c r="H190" s="3708" t="s">
        <v>508</v>
      </c>
      <c r="I190" s="3708" t="s">
        <v>328</v>
      </c>
      <c r="J190" s="4593">
        <v>6000</v>
      </c>
      <c r="K190" s="4154">
        <v>0</v>
      </c>
      <c r="L190" s="4154">
        <v>6</v>
      </c>
      <c r="M190" s="4154">
        <f t="shared" si="58"/>
        <v>1000</v>
      </c>
      <c r="N190" s="4503">
        <v>45793</v>
      </c>
      <c r="O190" s="4503">
        <v>45789</v>
      </c>
      <c r="P190" s="3712"/>
      <c r="Q190" s="4154" t="s">
        <v>82</v>
      </c>
      <c r="R190" s="4157"/>
      <c r="S190" s="4157"/>
      <c r="T190" s="4157"/>
      <c r="U190" s="3726" t="s">
        <v>1180</v>
      </c>
      <c r="V190" s="3711" t="s">
        <v>1181</v>
      </c>
      <c r="W190" s="3711"/>
      <c r="X190" s="3711" t="s">
        <v>1182</v>
      </c>
      <c r="Y190" s="3711"/>
      <c r="Z190" s="3711"/>
      <c r="AA190" s="4154"/>
      <c r="AB190" s="3680" t="s">
        <v>1183</v>
      </c>
      <c r="AC190" s="4154" t="s">
        <v>993</v>
      </c>
      <c r="AD190" s="4504">
        <v>2.0656</v>
      </c>
      <c r="AE190" s="4154">
        <f t="shared" si="77"/>
        <v>12393.6</v>
      </c>
      <c r="AF190" s="3726"/>
      <c r="AG190" s="3726"/>
      <c r="AH190" s="984"/>
      <c r="AI190" s="3708">
        <f t="shared" si="86"/>
        <v>6000</v>
      </c>
      <c r="AJ190" s="984"/>
      <c r="AK190" s="3708"/>
      <c r="AL190" s="3708"/>
      <c r="AM190" s="4154"/>
      <c r="AN190" s="877"/>
      <c r="AO190" s="1048"/>
      <c r="AP190" s="1048">
        <f>J190</f>
        <v>6000</v>
      </c>
      <c r="AQ190" s="877"/>
      <c r="AR190" s="877"/>
      <c r="AS190" s="1048">
        <f t="shared" si="79"/>
        <v>6000</v>
      </c>
      <c r="AT190" s="1048"/>
      <c r="AU190" s="877"/>
      <c r="AV190" s="4921"/>
      <c r="AW190" s="4921"/>
      <c r="AX190" s="1048">
        <f t="shared" si="87"/>
        <v>1000</v>
      </c>
      <c r="AY190" s="4921"/>
      <c r="AZ190" s="4921"/>
      <c r="BA190" s="1048"/>
      <c r="BB190" s="4622"/>
      <c r="BC190" s="4921"/>
      <c r="BD190" s="4622"/>
      <c r="BE190" s="4622"/>
      <c r="BF190" s="4622"/>
      <c r="BG190" s="4622"/>
      <c r="BH190" s="1048"/>
      <c r="BI190" s="4622"/>
      <c r="BJ190" s="1048"/>
      <c r="BK190" s="4415" t="s">
        <v>682</v>
      </c>
      <c r="BL190" s="4415">
        <f t="shared" si="65"/>
        <v>100</v>
      </c>
      <c r="BM190" s="4415">
        <f t="shared" si="80"/>
        <v>900</v>
      </c>
      <c r="BN190" s="4415">
        <f t="shared" si="81"/>
        <v>1000</v>
      </c>
      <c r="BO190" s="4415">
        <f t="shared" si="82"/>
        <v>1000</v>
      </c>
      <c r="BP190" s="4415">
        <f t="shared" si="83"/>
        <v>1000</v>
      </c>
      <c r="BQ190" s="4414">
        <f t="shared" si="84"/>
        <v>1000</v>
      </c>
      <c r="BR190" s="1048">
        <f t="shared" si="85"/>
        <v>1000</v>
      </c>
      <c r="BS190" s="880"/>
      <c r="BT190" s="4816"/>
      <c r="BU190" s="4816"/>
      <c r="BV190" s="4816"/>
      <c r="BW190" s="4816"/>
      <c r="BX190" s="4816"/>
      <c r="BY190" s="4816"/>
      <c r="BZ190" s="3708">
        <f t="shared" si="61"/>
        <v>6000</v>
      </c>
      <c r="CA190" s="4154">
        <f t="shared" si="62"/>
        <v>0</v>
      </c>
      <c r="CB190" s="4804"/>
      <c r="CC190" s="4804"/>
      <c r="CD190" s="4323"/>
      <c r="CE190" s="4323"/>
      <c r="CF190" s="4323"/>
    </row>
    <row r="191" s="4316" customFormat="1" ht="50" customHeight="1" spans="1:84">
      <c r="A191" s="4500">
        <v>45762</v>
      </c>
      <c r="B191" s="4501" t="s">
        <v>839</v>
      </c>
      <c r="C191" s="3708" t="s">
        <v>840</v>
      </c>
      <c r="D191" s="4502">
        <v>4500163803</v>
      </c>
      <c r="E191" s="3708">
        <v>20795988</v>
      </c>
      <c r="F191" s="4502" t="s">
        <v>1185</v>
      </c>
      <c r="G191" s="3708" t="s">
        <v>508</v>
      </c>
      <c r="H191" s="3708" t="s">
        <v>508</v>
      </c>
      <c r="I191" s="3708" t="s">
        <v>328</v>
      </c>
      <c r="J191" s="4593">
        <v>150</v>
      </c>
      <c r="K191" s="4154">
        <v>0</v>
      </c>
      <c r="L191" s="4154">
        <v>6</v>
      </c>
      <c r="M191" s="4154">
        <f t="shared" si="58"/>
        <v>25</v>
      </c>
      <c r="N191" s="4503">
        <v>45796</v>
      </c>
      <c r="O191" s="4503">
        <v>45792</v>
      </c>
      <c r="P191" s="3712"/>
      <c r="Q191" s="4154" t="s">
        <v>82</v>
      </c>
      <c r="R191" s="4157"/>
      <c r="S191" s="4157"/>
      <c r="T191" s="4157"/>
      <c r="U191" s="3711" t="s">
        <v>1166</v>
      </c>
      <c r="V191" s="3711" t="s">
        <v>1186</v>
      </c>
      <c r="W191" s="3711"/>
      <c r="X191" s="3711" t="s">
        <v>1187</v>
      </c>
      <c r="Y191" s="3711"/>
      <c r="Z191" s="3711"/>
      <c r="AA191" s="4154"/>
      <c r="AB191" s="3680" t="s">
        <v>1188</v>
      </c>
      <c r="AC191" s="4154" t="s">
        <v>513</v>
      </c>
      <c r="AD191" s="4504">
        <v>2.3151</v>
      </c>
      <c r="AE191" s="4154">
        <f t="shared" si="77"/>
        <v>347.265</v>
      </c>
      <c r="AF191" s="3726"/>
      <c r="AG191" s="3726"/>
      <c r="AH191" s="984"/>
      <c r="AI191" s="3708">
        <f t="shared" si="86"/>
        <v>150</v>
      </c>
      <c r="AJ191" s="984"/>
      <c r="AK191" s="3708"/>
      <c r="AL191" s="3708"/>
      <c r="AM191" s="4154"/>
      <c r="AN191" s="877"/>
      <c r="AO191" s="1048">
        <f t="shared" ref="AO191:AO197" si="88">J191</f>
        <v>150</v>
      </c>
      <c r="AP191" s="1048"/>
      <c r="AQ191" s="877"/>
      <c r="AR191" s="877"/>
      <c r="AS191" s="1048">
        <f t="shared" si="79"/>
        <v>150</v>
      </c>
      <c r="AT191" s="1048"/>
      <c r="AU191" s="877"/>
      <c r="AV191" s="4921"/>
      <c r="AW191" s="4921"/>
      <c r="AX191" s="1048">
        <f t="shared" si="87"/>
        <v>25</v>
      </c>
      <c r="AY191" s="4921"/>
      <c r="AZ191" s="4921"/>
      <c r="BA191" s="1048"/>
      <c r="BB191" s="4622"/>
      <c r="BC191" s="4921"/>
      <c r="BD191" s="4622"/>
      <c r="BE191" s="4622"/>
      <c r="BF191" s="4622"/>
      <c r="BG191" s="4622"/>
      <c r="BH191" s="1048"/>
      <c r="BI191" s="4622"/>
      <c r="BJ191" s="1048"/>
      <c r="BK191" s="4415" t="s">
        <v>89</v>
      </c>
      <c r="BL191" s="4415">
        <f t="shared" si="65"/>
        <v>2.5</v>
      </c>
      <c r="BM191" s="4415">
        <f t="shared" si="80"/>
        <v>22.5</v>
      </c>
      <c r="BN191" s="4415">
        <f t="shared" si="81"/>
        <v>25</v>
      </c>
      <c r="BO191" s="4415">
        <f t="shared" si="82"/>
        <v>25</v>
      </c>
      <c r="BP191" s="4415">
        <f t="shared" si="83"/>
        <v>25</v>
      </c>
      <c r="BQ191" s="4414">
        <f t="shared" si="84"/>
        <v>25</v>
      </c>
      <c r="BR191" s="1048">
        <f t="shared" si="85"/>
        <v>25</v>
      </c>
      <c r="BS191" s="982"/>
      <c r="BT191" s="4816"/>
      <c r="BU191" s="4816"/>
      <c r="BV191" s="4816"/>
      <c r="BW191" s="4816"/>
      <c r="BX191" s="4816"/>
      <c r="BY191" s="4816"/>
      <c r="BZ191" s="3708">
        <f t="shared" si="61"/>
        <v>150</v>
      </c>
      <c r="CA191" s="4154">
        <f t="shared" si="62"/>
        <v>0</v>
      </c>
      <c r="CB191" s="4804"/>
      <c r="CC191" s="4804"/>
      <c r="CD191" s="4323"/>
      <c r="CE191" s="4323"/>
      <c r="CF191" s="4323"/>
    </row>
    <row r="192" s="4316" customFormat="1" ht="50" customHeight="1" spans="1:84">
      <c r="A192" s="4500">
        <v>45762</v>
      </c>
      <c r="B192" s="4501" t="s">
        <v>505</v>
      </c>
      <c r="C192" s="3708" t="s">
        <v>506</v>
      </c>
      <c r="D192" s="4502">
        <v>4500163802</v>
      </c>
      <c r="E192" s="3708">
        <v>20795965</v>
      </c>
      <c r="F192" s="4502" t="s">
        <v>1189</v>
      </c>
      <c r="G192" s="3708" t="s">
        <v>508</v>
      </c>
      <c r="H192" s="3708" t="s">
        <v>508</v>
      </c>
      <c r="I192" s="3708" t="s">
        <v>328</v>
      </c>
      <c r="J192" s="4593">
        <v>1350</v>
      </c>
      <c r="K192" s="4154">
        <v>0</v>
      </c>
      <c r="L192" s="4154">
        <v>6</v>
      </c>
      <c r="M192" s="4154">
        <f t="shared" si="58"/>
        <v>225</v>
      </c>
      <c r="N192" s="4503">
        <v>45796</v>
      </c>
      <c r="O192" s="4503">
        <v>45792</v>
      </c>
      <c r="P192" s="3712"/>
      <c r="Q192" s="4154" t="s">
        <v>82</v>
      </c>
      <c r="R192" s="4157"/>
      <c r="S192" s="4157"/>
      <c r="T192" s="4157"/>
      <c r="U192" s="3711" t="s">
        <v>1166</v>
      </c>
      <c r="V192" s="3711" t="s">
        <v>1186</v>
      </c>
      <c r="W192" s="3711"/>
      <c r="X192" s="3711" t="s">
        <v>1190</v>
      </c>
      <c r="Y192" s="3711"/>
      <c r="Z192" s="3711"/>
      <c r="AA192" s="4154"/>
      <c r="AB192" s="3680" t="s">
        <v>1191</v>
      </c>
      <c r="AC192" s="4154" t="s">
        <v>513</v>
      </c>
      <c r="AD192" s="4504">
        <v>2.3071</v>
      </c>
      <c r="AE192" s="4154">
        <f t="shared" si="77"/>
        <v>3114.585</v>
      </c>
      <c r="AF192" s="3726"/>
      <c r="AG192" s="3726"/>
      <c r="AH192" s="984"/>
      <c r="AI192" s="3708">
        <f t="shared" si="86"/>
        <v>1350</v>
      </c>
      <c r="AJ192" s="984"/>
      <c r="AK192" s="3708"/>
      <c r="AL192" s="3708"/>
      <c r="AM192" s="4154"/>
      <c r="AN192" s="877"/>
      <c r="AO192" s="1048">
        <f t="shared" si="88"/>
        <v>1350</v>
      </c>
      <c r="AP192" s="1048"/>
      <c r="AQ192" s="877"/>
      <c r="AR192" s="877"/>
      <c r="AS192" s="1048">
        <f t="shared" si="79"/>
        <v>1350</v>
      </c>
      <c r="AT192" s="1048"/>
      <c r="AU192" s="877"/>
      <c r="AV192" s="4921"/>
      <c r="AW192" s="4921"/>
      <c r="AX192" s="1048">
        <f t="shared" si="87"/>
        <v>225</v>
      </c>
      <c r="AY192" s="4921"/>
      <c r="AZ192" s="4921"/>
      <c r="BA192" s="1048"/>
      <c r="BB192" s="4622"/>
      <c r="BC192" s="4921"/>
      <c r="BD192" s="4622"/>
      <c r="BE192" s="4622"/>
      <c r="BF192" s="4622"/>
      <c r="BG192" s="4622"/>
      <c r="BH192" s="1048"/>
      <c r="BI192" s="4622"/>
      <c r="BJ192" s="1048"/>
      <c r="BK192" s="4415" t="s">
        <v>89</v>
      </c>
      <c r="BL192" s="4415">
        <f t="shared" si="65"/>
        <v>22.5</v>
      </c>
      <c r="BM192" s="4415">
        <f t="shared" si="80"/>
        <v>202.5</v>
      </c>
      <c r="BN192" s="4415">
        <f t="shared" si="81"/>
        <v>225</v>
      </c>
      <c r="BO192" s="4415">
        <f t="shared" si="82"/>
        <v>225</v>
      </c>
      <c r="BP192" s="4415">
        <f t="shared" si="83"/>
        <v>225</v>
      </c>
      <c r="BQ192" s="4414">
        <f t="shared" si="84"/>
        <v>225</v>
      </c>
      <c r="BR192" s="1048">
        <f t="shared" si="85"/>
        <v>225</v>
      </c>
      <c r="BS192" s="982"/>
      <c r="BT192" s="4816"/>
      <c r="BU192" s="4816"/>
      <c r="BV192" s="4816"/>
      <c r="BW192" s="4816"/>
      <c r="BX192" s="4816"/>
      <c r="BY192" s="4816"/>
      <c r="BZ192" s="3708">
        <f t="shared" si="61"/>
        <v>1350</v>
      </c>
      <c r="CA192" s="4154">
        <f t="shared" si="62"/>
        <v>0</v>
      </c>
      <c r="CB192" s="4804"/>
      <c r="CC192" s="4804"/>
      <c r="CD192" s="4323"/>
      <c r="CE192" s="4323"/>
      <c r="CF192" s="4323"/>
    </row>
    <row r="193" s="4316" customFormat="1" ht="50" customHeight="1" spans="1:84">
      <c r="A193" s="4500">
        <v>45750</v>
      </c>
      <c r="B193" s="3708" t="s">
        <v>1192</v>
      </c>
      <c r="C193" s="3708" t="s">
        <v>1193</v>
      </c>
      <c r="D193" s="4154">
        <v>4500162547</v>
      </c>
      <c r="E193" s="3708"/>
      <c r="F193" s="3708" t="s">
        <v>1194</v>
      </c>
      <c r="G193" s="3708" t="s">
        <v>327</v>
      </c>
      <c r="H193" s="3708" t="s">
        <v>327</v>
      </c>
      <c r="I193" s="4154" t="s">
        <v>328</v>
      </c>
      <c r="J193" s="4154">
        <v>156</v>
      </c>
      <c r="K193" s="4154">
        <v>0</v>
      </c>
      <c r="L193" s="4154">
        <v>12</v>
      </c>
      <c r="M193" s="4154">
        <f t="shared" si="58"/>
        <v>13</v>
      </c>
      <c r="N193" s="4503">
        <v>45800</v>
      </c>
      <c r="O193" s="4503">
        <v>45796</v>
      </c>
      <c r="P193" s="3712"/>
      <c r="Q193" s="4154" t="s">
        <v>82</v>
      </c>
      <c r="R193" s="4157"/>
      <c r="S193" s="4157"/>
      <c r="T193" s="4157"/>
      <c r="U193" s="3726" t="s">
        <v>1195</v>
      </c>
      <c r="V193" s="3711" t="s">
        <v>1196</v>
      </c>
      <c r="W193" s="3711"/>
      <c r="X193" s="3711" t="s">
        <v>1197</v>
      </c>
      <c r="Y193" s="3711"/>
      <c r="Z193" s="3711"/>
      <c r="AA193" s="4154"/>
      <c r="AB193" s="3713" t="s">
        <v>1198</v>
      </c>
      <c r="AC193" s="3711" t="s">
        <v>1199</v>
      </c>
      <c r="AD193" s="4504">
        <v>2.0981</v>
      </c>
      <c r="AE193" s="4154">
        <f t="shared" si="77"/>
        <v>327.3036</v>
      </c>
      <c r="AF193" s="3726"/>
      <c r="AG193" s="3726"/>
      <c r="AH193" s="4422"/>
      <c r="AI193" s="3708">
        <f t="shared" si="86"/>
        <v>156</v>
      </c>
      <c r="AJ193" s="4422"/>
      <c r="AK193" s="3708"/>
      <c r="AL193" s="3708"/>
      <c r="AM193" s="4154"/>
      <c r="AN193" s="907"/>
      <c r="AO193" s="1048">
        <f t="shared" si="88"/>
        <v>156</v>
      </c>
      <c r="AP193" s="4622"/>
      <c r="AQ193" s="907"/>
      <c r="AR193" s="907"/>
      <c r="AS193" s="1048">
        <f t="shared" si="79"/>
        <v>156</v>
      </c>
      <c r="AT193" s="1048"/>
      <c r="AU193" s="907"/>
      <c r="AV193" s="4922"/>
      <c r="AW193" s="4922"/>
      <c r="AX193" s="1048">
        <f t="shared" si="87"/>
        <v>26</v>
      </c>
      <c r="AY193" s="4922"/>
      <c r="AZ193" s="4922"/>
      <c r="BA193" s="1048"/>
      <c r="BB193" s="4622"/>
      <c r="BC193" s="4922"/>
      <c r="BD193" s="4622"/>
      <c r="BE193" s="4622"/>
      <c r="BF193" s="4622"/>
      <c r="BG193" s="4622"/>
      <c r="BH193" s="4622"/>
      <c r="BI193" s="4622"/>
      <c r="BJ193" s="1048"/>
      <c r="BK193" s="4415" t="s">
        <v>89</v>
      </c>
      <c r="BL193" s="4415">
        <f t="shared" si="65"/>
        <v>2.6</v>
      </c>
      <c r="BM193" s="4415">
        <f t="shared" si="80"/>
        <v>23.4</v>
      </c>
      <c r="BN193" s="4415">
        <f t="shared" si="81"/>
        <v>26</v>
      </c>
      <c r="BO193" s="4415">
        <f t="shared" si="82"/>
        <v>26</v>
      </c>
      <c r="BP193" s="4415">
        <f t="shared" si="83"/>
        <v>26</v>
      </c>
      <c r="BQ193" s="4414">
        <f t="shared" si="84"/>
        <v>26</v>
      </c>
      <c r="BR193" s="1048">
        <f t="shared" si="85"/>
        <v>26</v>
      </c>
      <c r="BS193" s="4384"/>
      <c r="BT193" s="4462"/>
      <c r="BU193" s="4462"/>
      <c r="BV193" s="4462"/>
      <c r="BW193" s="4462"/>
      <c r="BX193" s="4462"/>
      <c r="BY193" s="4462"/>
      <c r="BZ193" s="3708">
        <f t="shared" si="61"/>
        <v>156</v>
      </c>
      <c r="CA193" s="4154">
        <f t="shared" si="62"/>
        <v>0</v>
      </c>
      <c r="CB193" s="4923"/>
      <c r="CC193" s="4923"/>
      <c r="CD193" s="4323"/>
      <c r="CE193" s="4323"/>
      <c r="CF193" s="4323"/>
    </row>
    <row r="194" s="4316" customFormat="1" ht="50" customHeight="1" spans="1:84">
      <c r="A194" s="4500">
        <v>45762</v>
      </c>
      <c r="B194" s="3708" t="s">
        <v>1200</v>
      </c>
      <c r="C194" s="3708" t="s">
        <v>1142</v>
      </c>
      <c r="D194" s="4154">
        <v>4500163838</v>
      </c>
      <c r="E194" s="3708" t="s">
        <v>1201</v>
      </c>
      <c r="F194" s="3708" t="s">
        <v>1202</v>
      </c>
      <c r="G194" s="3708" t="s">
        <v>1145</v>
      </c>
      <c r="H194" s="3708" t="s">
        <v>327</v>
      </c>
      <c r="I194" s="4154" t="s">
        <v>328</v>
      </c>
      <c r="J194" s="4154">
        <v>1440</v>
      </c>
      <c r="K194" s="4154">
        <v>0</v>
      </c>
      <c r="L194" s="4154">
        <v>12</v>
      </c>
      <c r="M194" s="4154">
        <f t="shared" si="58"/>
        <v>120</v>
      </c>
      <c r="N194" s="4503">
        <v>45800</v>
      </c>
      <c r="O194" s="4503">
        <v>45796</v>
      </c>
      <c r="P194" s="4154"/>
      <c r="Q194" s="4154" t="s">
        <v>82</v>
      </c>
      <c r="R194" s="4157"/>
      <c r="S194" s="4157"/>
      <c r="T194" s="4157"/>
      <c r="U194" s="3726" t="s">
        <v>191</v>
      </c>
      <c r="V194" s="3711" t="s">
        <v>1203</v>
      </c>
      <c r="W194" s="3711"/>
      <c r="X194" s="3711" t="s">
        <v>1204</v>
      </c>
      <c r="Y194" s="3711"/>
      <c r="Z194" s="3711"/>
      <c r="AA194" s="4154"/>
      <c r="AB194" s="3713" t="s">
        <v>1205</v>
      </c>
      <c r="AC194" s="3711" t="s">
        <v>459</v>
      </c>
      <c r="AD194" s="4504">
        <v>2.2044</v>
      </c>
      <c r="AE194" s="4154">
        <f t="shared" si="77"/>
        <v>3174.336</v>
      </c>
      <c r="AF194" s="3726"/>
      <c r="AG194" s="3726"/>
      <c r="AH194" s="4422"/>
      <c r="AI194" s="3708"/>
      <c r="AJ194" s="4422"/>
      <c r="AK194" s="3708">
        <f>J194</f>
        <v>1440</v>
      </c>
      <c r="AL194" s="3708"/>
      <c r="AM194" s="4154"/>
      <c r="AN194" s="907"/>
      <c r="AO194" s="1048">
        <f t="shared" si="88"/>
        <v>1440</v>
      </c>
      <c r="AP194" s="4622"/>
      <c r="AQ194" s="907"/>
      <c r="AR194" s="907"/>
      <c r="AS194" s="1048">
        <f t="shared" si="79"/>
        <v>1440</v>
      </c>
      <c r="AT194" s="1048"/>
      <c r="AU194" s="907"/>
      <c r="AV194" s="4922"/>
      <c r="AW194" s="4922"/>
      <c r="AX194" s="1048">
        <f t="shared" si="87"/>
        <v>240</v>
      </c>
      <c r="AY194" s="4922"/>
      <c r="AZ194" s="4922"/>
      <c r="BA194" s="1048"/>
      <c r="BB194" s="4622"/>
      <c r="BC194" s="4922"/>
      <c r="BD194" s="4622"/>
      <c r="BE194" s="4622"/>
      <c r="BF194" s="4622"/>
      <c r="BG194" s="4622"/>
      <c r="BH194" s="4622"/>
      <c r="BI194" s="4622"/>
      <c r="BJ194" s="1048"/>
      <c r="BK194" s="4415" t="s">
        <v>89</v>
      </c>
      <c r="BL194" s="4415">
        <f t="shared" si="65"/>
        <v>24</v>
      </c>
      <c r="BM194" s="4415">
        <f t="shared" si="80"/>
        <v>216</v>
      </c>
      <c r="BN194" s="4415">
        <f t="shared" si="81"/>
        <v>240</v>
      </c>
      <c r="BO194" s="4415">
        <f t="shared" si="82"/>
        <v>240</v>
      </c>
      <c r="BP194" s="4415">
        <f t="shared" si="83"/>
        <v>240</v>
      </c>
      <c r="BQ194" s="4414">
        <f t="shared" si="84"/>
        <v>240</v>
      </c>
      <c r="BR194" s="1048">
        <f t="shared" si="85"/>
        <v>240</v>
      </c>
      <c r="BS194" s="4418"/>
      <c r="BT194" s="4462"/>
      <c r="BU194" s="4462"/>
      <c r="BV194" s="4462"/>
      <c r="BW194" s="4462"/>
      <c r="BX194" s="4462"/>
      <c r="BY194" s="4462"/>
      <c r="BZ194" s="3708">
        <f t="shared" si="61"/>
        <v>1440</v>
      </c>
      <c r="CA194" s="4154">
        <f t="shared" si="62"/>
        <v>0</v>
      </c>
      <c r="CB194" s="4923"/>
      <c r="CC194" s="4923"/>
      <c r="CD194" s="4323"/>
      <c r="CE194" s="4323"/>
      <c r="CF194" s="4323"/>
    </row>
    <row r="195" s="4316" customFormat="1" ht="50" customHeight="1" spans="1:84">
      <c r="A195" s="4500">
        <v>45749</v>
      </c>
      <c r="B195" s="3708" t="s">
        <v>1206</v>
      </c>
      <c r="C195" s="3708" t="s">
        <v>351</v>
      </c>
      <c r="D195" s="4154">
        <v>4500162283</v>
      </c>
      <c r="E195" s="3708"/>
      <c r="F195" s="3708" t="s">
        <v>1207</v>
      </c>
      <c r="G195" s="3708" t="s">
        <v>333</v>
      </c>
      <c r="H195" s="3708" t="s">
        <v>333</v>
      </c>
      <c r="I195" s="3708" t="s">
        <v>328</v>
      </c>
      <c r="J195" s="4593">
        <v>264</v>
      </c>
      <c r="K195" s="4154">
        <v>0</v>
      </c>
      <c r="L195" s="4154">
        <v>24</v>
      </c>
      <c r="M195" s="4154">
        <f t="shared" si="58"/>
        <v>11</v>
      </c>
      <c r="N195" s="4503">
        <v>45803</v>
      </c>
      <c r="O195" s="4503">
        <v>45799</v>
      </c>
      <c r="P195" s="3712"/>
      <c r="Q195" s="4154" t="s">
        <v>82</v>
      </c>
      <c r="R195" s="4157"/>
      <c r="S195" s="4157"/>
      <c r="T195" s="4157"/>
      <c r="U195" s="3726" t="s">
        <v>1208</v>
      </c>
      <c r="V195" s="3711" t="s">
        <v>1209</v>
      </c>
      <c r="W195" s="3711"/>
      <c r="X195" s="3711" t="s">
        <v>1210</v>
      </c>
      <c r="Y195" s="3711"/>
      <c r="Z195" s="3711"/>
      <c r="AA195" s="3708" t="s">
        <v>1211</v>
      </c>
      <c r="AB195" s="3713" t="s">
        <v>1212</v>
      </c>
      <c r="AC195" s="3711" t="s">
        <v>1199</v>
      </c>
      <c r="AD195" s="4504">
        <v>2.0376</v>
      </c>
      <c r="AE195" s="4154">
        <f t="shared" si="77"/>
        <v>537.9264</v>
      </c>
      <c r="AF195" s="3726"/>
      <c r="AG195" s="3726"/>
      <c r="AH195" s="4422"/>
      <c r="AI195" s="3708">
        <f>J195</f>
        <v>264</v>
      </c>
      <c r="AJ195" s="4422"/>
      <c r="AK195" s="3708"/>
      <c r="AL195" s="3708"/>
      <c r="AM195" s="4154"/>
      <c r="AN195" s="907"/>
      <c r="AO195" s="1048">
        <f t="shared" si="88"/>
        <v>264</v>
      </c>
      <c r="AP195" s="4622"/>
      <c r="AQ195" s="907"/>
      <c r="AR195" s="907"/>
      <c r="AS195" s="1048">
        <f t="shared" si="79"/>
        <v>264</v>
      </c>
      <c r="AT195" s="1048"/>
      <c r="AU195" s="907"/>
      <c r="AV195" s="4922"/>
      <c r="AW195" s="4922"/>
      <c r="AX195" s="1048"/>
      <c r="AY195" s="4922"/>
      <c r="AZ195" s="4922"/>
      <c r="BA195" s="1048"/>
      <c r="BB195" s="4622"/>
      <c r="BC195" s="4922"/>
      <c r="BD195" s="4622"/>
      <c r="BE195" s="4622"/>
      <c r="BF195" s="4622"/>
      <c r="BG195" s="4622"/>
      <c r="BH195" s="4622"/>
      <c r="BI195" s="4622"/>
      <c r="BJ195" s="1048"/>
      <c r="BK195" s="4415" t="s">
        <v>89</v>
      </c>
      <c r="BL195" s="4415">
        <f t="shared" si="65"/>
        <v>4.4</v>
      </c>
      <c r="BM195" s="4415">
        <f t="shared" si="80"/>
        <v>39.6</v>
      </c>
      <c r="BN195" s="4415">
        <f t="shared" si="81"/>
        <v>44</v>
      </c>
      <c r="BO195" s="4415">
        <f t="shared" si="82"/>
        <v>44</v>
      </c>
      <c r="BP195" s="4415">
        <f t="shared" si="83"/>
        <v>44</v>
      </c>
      <c r="BQ195" s="4414">
        <f t="shared" si="84"/>
        <v>44</v>
      </c>
      <c r="BR195" s="1048">
        <f t="shared" si="85"/>
        <v>44</v>
      </c>
      <c r="BS195" s="4384"/>
      <c r="BT195" s="911"/>
      <c r="BU195" s="911"/>
      <c r="BV195" s="911"/>
      <c r="BW195" s="911"/>
      <c r="BX195" s="910"/>
      <c r="BY195" s="910"/>
      <c r="BZ195" s="3708">
        <f t="shared" si="61"/>
        <v>264</v>
      </c>
      <c r="CA195" s="4154">
        <f t="shared" si="62"/>
        <v>0</v>
      </c>
      <c r="CB195" s="4923"/>
      <c r="CC195" s="4923"/>
      <c r="CD195" s="4323"/>
      <c r="CE195" s="4323"/>
      <c r="CF195" s="4323"/>
    </row>
    <row r="196" s="4316" customFormat="1" ht="50" customHeight="1" spans="1:84">
      <c r="A196" s="4500">
        <v>45756</v>
      </c>
      <c r="B196" s="4501" t="s">
        <v>839</v>
      </c>
      <c r="C196" s="3708" t="s">
        <v>840</v>
      </c>
      <c r="D196" s="4502">
        <v>4500162969</v>
      </c>
      <c r="E196" s="3708" t="s">
        <v>1213</v>
      </c>
      <c r="F196" s="4615" t="s">
        <v>1214</v>
      </c>
      <c r="G196" s="3708" t="s">
        <v>508</v>
      </c>
      <c r="H196" s="3708" t="s">
        <v>508</v>
      </c>
      <c r="I196" s="3708" t="s">
        <v>328</v>
      </c>
      <c r="J196" s="4593">
        <v>408</v>
      </c>
      <c r="K196" s="4154">
        <v>0</v>
      </c>
      <c r="L196" s="4154">
        <v>6</v>
      </c>
      <c r="M196" s="4154">
        <f t="shared" si="58"/>
        <v>68</v>
      </c>
      <c r="N196" s="4503">
        <v>45803</v>
      </c>
      <c r="O196" s="4503">
        <v>45799</v>
      </c>
      <c r="P196" s="3712"/>
      <c r="Q196" s="4154" t="s">
        <v>82</v>
      </c>
      <c r="R196" s="4157"/>
      <c r="S196" s="4157"/>
      <c r="T196" s="4157"/>
      <c r="U196" s="3726" t="s">
        <v>1215</v>
      </c>
      <c r="V196" s="3711" t="s">
        <v>1216</v>
      </c>
      <c r="W196" s="3711"/>
      <c r="X196" s="3711" t="s">
        <v>1217</v>
      </c>
      <c r="Y196" s="3711"/>
      <c r="Z196" s="3711"/>
      <c r="AA196" s="4154"/>
      <c r="AB196" s="3680" t="s">
        <v>1218</v>
      </c>
      <c r="AC196" s="4154" t="s">
        <v>513</v>
      </c>
      <c r="AD196" s="4504">
        <v>2.3151</v>
      </c>
      <c r="AE196" s="4154">
        <f t="shared" si="77"/>
        <v>944.5608</v>
      </c>
      <c r="AF196" s="3726"/>
      <c r="AG196" s="3726"/>
      <c r="AH196" s="984"/>
      <c r="AI196" s="3708">
        <f>J196</f>
        <v>408</v>
      </c>
      <c r="AJ196" s="984"/>
      <c r="AK196" s="3708"/>
      <c r="AL196" s="3708"/>
      <c r="AM196" s="4154"/>
      <c r="AN196" s="4397"/>
      <c r="AO196" s="1048">
        <f t="shared" si="88"/>
        <v>408</v>
      </c>
      <c r="AP196" s="1048"/>
      <c r="AQ196" s="877"/>
      <c r="AR196" s="877"/>
      <c r="AS196" s="1048">
        <f t="shared" si="79"/>
        <v>408</v>
      </c>
      <c r="AT196" s="1048"/>
      <c r="AU196" s="877"/>
      <c r="AV196" s="4921"/>
      <c r="AW196" s="4921"/>
      <c r="AX196" s="1048">
        <f>J196/6</f>
        <v>68</v>
      </c>
      <c r="AY196" s="4921"/>
      <c r="AZ196" s="4921"/>
      <c r="BA196" s="1048"/>
      <c r="BB196" s="4622"/>
      <c r="BC196" s="4921"/>
      <c r="BD196" s="4622"/>
      <c r="BE196" s="4622"/>
      <c r="BF196" s="4622"/>
      <c r="BG196" s="4622"/>
      <c r="BH196" s="1048"/>
      <c r="BI196" s="4622"/>
      <c r="BJ196" s="1048"/>
      <c r="BK196" s="4415" t="s">
        <v>89</v>
      </c>
      <c r="BL196" s="4415">
        <f t="shared" si="65"/>
        <v>6.8</v>
      </c>
      <c r="BM196" s="4415">
        <f t="shared" si="80"/>
        <v>61.2</v>
      </c>
      <c r="BN196" s="4415">
        <f t="shared" si="81"/>
        <v>68</v>
      </c>
      <c r="BO196" s="4415">
        <f t="shared" si="82"/>
        <v>68</v>
      </c>
      <c r="BP196" s="4415">
        <f t="shared" si="83"/>
        <v>68</v>
      </c>
      <c r="BQ196" s="4414">
        <f t="shared" si="84"/>
        <v>68</v>
      </c>
      <c r="BR196" s="1048">
        <f t="shared" si="85"/>
        <v>68</v>
      </c>
      <c r="BS196" s="880"/>
      <c r="BT196" s="4816"/>
      <c r="BU196" s="4816"/>
      <c r="BV196" s="4816"/>
      <c r="BW196" s="4816"/>
      <c r="BX196" s="4816"/>
      <c r="BY196" s="4816"/>
      <c r="BZ196" s="3708">
        <f t="shared" si="61"/>
        <v>408</v>
      </c>
      <c r="CA196" s="4154">
        <f t="shared" si="62"/>
        <v>0</v>
      </c>
      <c r="CB196" s="4924"/>
      <c r="CC196" s="4591"/>
      <c r="CD196" s="4323"/>
      <c r="CE196" s="4323"/>
      <c r="CF196" s="4323"/>
    </row>
    <row r="197" s="4316" customFormat="1" ht="50" customHeight="1" spans="1:84">
      <c r="A197" s="4500">
        <v>45756</v>
      </c>
      <c r="B197" s="4501" t="s">
        <v>505</v>
      </c>
      <c r="C197" s="3708" t="s">
        <v>506</v>
      </c>
      <c r="D197" s="4502">
        <v>4500162968</v>
      </c>
      <c r="E197" s="3708">
        <v>20768435</v>
      </c>
      <c r="F197" s="4615" t="s">
        <v>1219</v>
      </c>
      <c r="G197" s="3708" t="s">
        <v>508</v>
      </c>
      <c r="H197" s="3708" t="s">
        <v>508</v>
      </c>
      <c r="I197" s="3708" t="s">
        <v>328</v>
      </c>
      <c r="J197" s="4593">
        <v>4356</v>
      </c>
      <c r="K197" s="4154">
        <v>0</v>
      </c>
      <c r="L197" s="4154">
        <v>6</v>
      </c>
      <c r="M197" s="4154">
        <f t="shared" si="58"/>
        <v>726</v>
      </c>
      <c r="N197" s="4503">
        <v>45803</v>
      </c>
      <c r="O197" s="4503">
        <v>45799</v>
      </c>
      <c r="P197" s="3712"/>
      <c r="Q197" s="4154" t="s">
        <v>82</v>
      </c>
      <c r="R197" s="4157"/>
      <c r="S197" s="4157"/>
      <c r="T197" s="4157"/>
      <c r="U197" s="3726" t="s">
        <v>1215</v>
      </c>
      <c r="V197" s="3711" t="s">
        <v>1216</v>
      </c>
      <c r="W197" s="3711"/>
      <c r="X197" s="3711" t="s">
        <v>1217</v>
      </c>
      <c r="Y197" s="3711"/>
      <c r="Z197" s="3711"/>
      <c r="AA197" s="4154"/>
      <c r="AB197" s="3680" t="s">
        <v>1220</v>
      </c>
      <c r="AC197" s="4154" t="s">
        <v>513</v>
      </c>
      <c r="AD197" s="4504">
        <v>2.3071</v>
      </c>
      <c r="AE197" s="4154">
        <f t="shared" si="77"/>
        <v>10049.7276</v>
      </c>
      <c r="AF197" s="3726"/>
      <c r="AG197" s="3726"/>
      <c r="AH197" s="984"/>
      <c r="AI197" s="3708">
        <f>J197</f>
        <v>4356</v>
      </c>
      <c r="AJ197" s="984"/>
      <c r="AK197" s="3708"/>
      <c r="AL197" s="3708"/>
      <c r="AM197" s="4154"/>
      <c r="AN197" s="4397"/>
      <c r="AO197" s="1048">
        <f t="shared" si="88"/>
        <v>4356</v>
      </c>
      <c r="AP197" s="1048"/>
      <c r="AQ197" s="877"/>
      <c r="AR197" s="877"/>
      <c r="AS197" s="1048">
        <f t="shared" si="79"/>
        <v>4356</v>
      </c>
      <c r="AT197" s="1048"/>
      <c r="AU197" s="877"/>
      <c r="AV197" s="4921"/>
      <c r="AW197" s="4921"/>
      <c r="AX197" s="1048">
        <f>J197/6</f>
        <v>726</v>
      </c>
      <c r="AY197" s="4921"/>
      <c r="AZ197" s="4921"/>
      <c r="BA197" s="1048"/>
      <c r="BB197" s="4622"/>
      <c r="BC197" s="4921"/>
      <c r="BD197" s="4622"/>
      <c r="BE197" s="4622"/>
      <c r="BF197" s="4622"/>
      <c r="BG197" s="4622"/>
      <c r="BH197" s="1048"/>
      <c r="BI197" s="4622"/>
      <c r="BJ197" s="1048"/>
      <c r="BK197" s="4415" t="s">
        <v>89</v>
      </c>
      <c r="BL197" s="4415">
        <f t="shared" si="65"/>
        <v>72.6</v>
      </c>
      <c r="BM197" s="4415">
        <f t="shared" si="80"/>
        <v>653.4</v>
      </c>
      <c r="BN197" s="4415">
        <f t="shared" si="81"/>
        <v>726</v>
      </c>
      <c r="BO197" s="4415">
        <f t="shared" si="82"/>
        <v>726</v>
      </c>
      <c r="BP197" s="4415">
        <f t="shared" si="83"/>
        <v>726</v>
      </c>
      <c r="BQ197" s="4414">
        <f t="shared" si="84"/>
        <v>726</v>
      </c>
      <c r="BR197" s="1048">
        <f t="shared" si="85"/>
        <v>726</v>
      </c>
      <c r="BS197" s="880"/>
      <c r="BT197" s="4816"/>
      <c r="BU197" s="4816"/>
      <c r="BV197" s="4816"/>
      <c r="BW197" s="4816"/>
      <c r="BX197" s="4816"/>
      <c r="BY197" s="4816"/>
      <c r="BZ197" s="3708">
        <f t="shared" si="61"/>
        <v>4356</v>
      </c>
      <c r="CA197" s="4154">
        <f t="shared" si="62"/>
        <v>0</v>
      </c>
      <c r="CB197" s="4924"/>
      <c r="CC197" s="4591"/>
      <c r="CD197" s="4323"/>
      <c r="CE197" s="4323"/>
      <c r="CF197" s="4323"/>
    </row>
    <row r="198" s="4316" customFormat="1" ht="50" customHeight="1" spans="1:84">
      <c r="A198" s="4500">
        <v>45763</v>
      </c>
      <c r="B198" s="4501" t="s">
        <v>1016</v>
      </c>
      <c r="C198" s="3708" t="s">
        <v>396</v>
      </c>
      <c r="D198" s="4502">
        <v>4500163897</v>
      </c>
      <c r="E198" s="3708" t="s">
        <v>1221</v>
      </c>
      <c r="F198" s="4502" t="s">
        <v>1222</v>
      </c>
      <c r="G198" s="3708" t="s">
        <v>1019</v>
      </c>
      <c r="H198" s="3708" t="s">
        <v>1020</v>
      </c>
      <c r="I198" s="3699" t="s">
        <v>328</v>
      </c>
      <c r="J198" s="4154">
        <v>12</v>
      </c>
      <c r="K198" s="4154">
        <v>0</v>
      </c>
      <c r="L198" s="4154">
        <v>12</v>
      </c>
      <c r="M198" s="4154">
        <f t="shared" si="58"/>
        <v>1</v>
      </c>
      <c r="N198" s="4503">
        <v>45803</v>
      </c>
      <c r="O198" s="4503">
        <v>45799</v>
      </c>
      <c r="P198" s="3712"/>
      <c r="Q198" s="4154" t="s">
        <v>82</v>
      </c>
      <c r="R198" s="4157"/>
      <c r="S198" s="4157"/>
      <c r="T198" s="4157"/>
      <c r="U198" s="3726" t="s">
        <v>1223</v>
      </c>
      <c r="V198" s="3711" t="s">
        <v>1196</v>
      </c>
      <c r="W198" s="3711"/>
      <c r="X198" s="3711" t="s">
        <v>366</v>
      </c>
      <c r="Y198" s="3711"/>
      <c r="Z198" s="3711" t="s">
        <v>1224</v>
      </c>
      <c r="AA198" s="4154"/>
      <c r="AB198" s="3680" t="s">
        <v>1225</v>
      </c>
      <c r="AC198" s="4154" t="s">
        <v>1024</v>
      </c>
      <c r="AD198" s="4504">
        <v>2.0833</v>
      </c>
      <c r="AE198" s="4154">
        <f t="shared" ref="AE198:AE218" si="89">J198*AD198</f>
        <v>24.9996</v>
      </c>
      <c r="AF198" s="3726"/>
      <c r="AG198" s="3726"/>
      <c r="AH198" s="984"/>
      <c r="AI198" s="3708"/>
      <c r="AJ198" s="984"/>
      <c r="AK198" s="1048">
        <f t="shared" ref="AK198:AK203" si="90">J198</f>
        <v>12</v>
      </c>
      <c r="AL198" s="3708"/>
      <c r="AM198" s="4154"/>
      <c r="AN198" s="4397"/>
      <c r="AO198" s="1048">
        <f t="shared" ref="AO198:AO218" si="91">J198</f>
        <v>12</v>
      </c>
      <c r="AP198" s="1048"/>
      <c r="AQ198" s="877"/>
      <c r="AR198" s="877"/>
      <c r="AS198" s="1048"/>
      <c r="AT198" s="1048">
        <f t="shared" ref="AT198:AT203" si="92">J198</f>
        <v>12</v>
      </c>
      <c r="AU198" s="877"/>
      <c r="AV198" s="4921"/>
      <c r="AW198" s="4921"/>
      <c r="AX198" s="1048"/>
      <c r="AY198" s="4921"/>
      <c r="AZ198" s="4921"/>
      <c r="BA198" s="1048"/>
      <c r="BB198" s="4622"/>
      <c r="BC198" s="4921"/>
      <c r="BD198" s="4622"/>
      <c r="BE198" s="4622"/>
      <c r="BF198" s="4622"/>
      <c r="BG198" s="4622"/>
      <c r="BH198" s="1048"/>
      <c r="BI198" s="4622"/>
      <c r="BJ198" s="1048"/>
      <c r="BK198" s="4415" t="s">
        <v>89</v>
      </c>
      <c r="BL198" s="4415"/>
      <c r="BM198" s="4415"/>
      <c r="BN198" s="4415">
        <f t="shared" ref="BN198:BN203" si="93">J198-BL198</f>
        <v>12</v>
      </c>
      <c r="BO198" s="4415"/>
      <c r="BP198" s="4415"/>
      <c r="BQ198" s="4414"/>
      <c r="BR198" s="1048"/>
      <c r="BS198" s="982"/>
      <c r="BT198" s="4816"/>
      <c r="BU198" s="4816"/>
      <c r="BV198" s="4816"/>
      <c r="BW198" s="4816"/>
      <c r="BX198" s="4816"/>
      <c r="BY198" s="4816"/>
      <c r="BZ198" s="3708">
        <f t="shared" si="61"/>
        <v>12</v>
      </c>
      <c r="CA198" s="4154">
        <f t="shared" si="62"/>
        <v>0</v>
      </c>
      <c r="CB198" s="4924"/>
      <c r="CC198" s="4591"/>
      <c r="CD198" s="4323"/>
      <c r="CE198" s="4323"/>
      <c r="CF198" s="4323"/>
    </row>
    <row r="199" s="4316" customFormat="1" ht="50" customHeight="1" spans="1:84">
      <c r="A199" s="4500">
        <v>45763</v>
      </c>
      <c r="B199" s="4501" t="s">
        <v>1016</v>
      </c>
      <c r="C199" s="3708" t="s">
        <v>396</v>
      </c>
      <c r="D199" s="4502">
        <v>4500163897</v>
      </c>
      <c r="E199" s="3708" t="s">
        <v>1226</v>
      </c>
      <c r="F199" s="4502" t="s">
        <v>1227</v>
      </c>
      <c r="G199" s="3708" t="s">
        <v>1019</v>
      </c>
      <c r="H199" s="3708" t="s">
        <v>1020</v>
      </c>
      <c r="I199" s="3699" t="s">
        <v>328</v>
      </c>
      <c r="J199" s="4154">
        <v>12</v>
      </c>
      <c r="K199" s="4154">
        <v>0</v>
      </c>
      <c r="L199" s="4154">
        <v>12</v>
      </c>
      <c r="M199" s="4154">
        <f t="shared" ref="M199:M262" si="94">J199/L199</f>
        <v>1</v>
      </c>
      <c r="N199" s="4503">
        <v>45803</v>
      </c>
      <c r="O199" s="4503">
        <v>45799</v>
      </c>
      <c r="P199" s="3712"/>
      <c r="Q199" s="4154" t="s">
        <v>82</v>
      </c>
      <c r="R199" s="4157"/>
      <c r="S199" s="4157"/>
      <c r="T199" s="4157"/>
      <c r="U199" s="3726" t="s">
        <v>1223</v>
      </c>
      <c r="V199" s="3711" t="s">
        <v>1196</v>
      </c>
      <c r="W199" s="3711"/>
      <c r="X199" s="3711" t="s">
        <v>366</v>
      </c>
      <c r="Y199" s="3711"/>
      <c r="Z199" s="3711" t="s">
        <v>1224</v>
      </c>
      <c r="AA199" s="4154"/>
      <c r="AB199" s="3680" t="s">
        <v>1225</v>
      </c>
      <c r="AC199" s="4154" t="s">
        <v>1024</v>
      </c>
      <c r="AD199" s="4504">
        <v>2.0833</v>
      </c>
      <c r="AE199" s="4154">
        <f t="shared" si="89"/>
        <v>24.9996</v>
      </c>
      <c r="AF199" s="3726"/>
      <c r="AG199" s="3726"/>
      <c r="AH199" s="984"/>
      <c r="AI199" s="3708"/>
      <c r="AJ199" s="984"/>
      <c r="AK199" s="1048">
        <f t="shared" si="90"/>
        <v>12</v>
      </c>
      <c r="AL199" s="3708"/>
      <c r="AM199" s="4154"/>
      <c r="AN199" s="4397"/>
      <c r="AO199" s="1048">
        <f t="shared" si="91"/>
        <v>12</v>
      </c>
      <c r="AP199" s="1048"/>
      <c r="AQ199" s="877"/>
      <c r="AR199" s="877"/>
      <c r="AS199" s="1048"/>
      <c r="AT199" s="1048">
        <f t="shared" si="92"/>
        <v>12</v>
      </c>
      <c r="AU199" s="877"/>
      <c r="AV199" s="4921"/>
      <c r="AW199" s="4921"/>
      <c r="AX199" s="1048"/>
      <c r="AY199" s="4921"/>
      <c r="AZ199" s="4921"/>
      <c r="BA199" s="1048"/>
      <c r="BB199" s="4622"/>
      <c r="BC199" s="4921"/>
      <c r="BD199" s="4622"/>
      <c r="BE199" s="4622"/>
      <c r="BF199" s="4622"/>
      <c r="BG199" s="4622"/>
      <c r="BH199" s="1048"/>
      <c r="BI199" s="4622"/>
      <c r="BJ199" s="1048"/>
      <c r="BK199" s="4415" t="s">
        <v>89</v>
      </c>
      <c r="BL199" s="4415"/>
      <c r="BM199" s="4415"/>
      <c r="BN199" s="4415">
        <f t="shared" si="93"/>
        <v>12</v>
      </c>
      <c r="BO199" s="4415"/>
      <c r="BP199" s="4415"/>
      <c r="BQ199" s="4414"/>
      <c r="BR199" s="1048"/>
      <c r="BS199" s="982"/>
      <c r="BT199" s="4816"/>
      <c r="BU199" s="4816"/>
      <c r="BV199" s="4816"/>
      <c r="BW199" s="4816"/>
      <c r="BX199" s="4816"/>
      <c r="BY199" s="4816"/>
      <c r="BZ199" s="3708">
        <f t="shared" si="61"/>
        <v>12</v>
      </c>
      <c r="CA199" s="4154">
        <f t="shared" si="62"/>
        <v>0</v>
      </c>
      <c r="CB199" s="4924"/>
      <c r="CC199" s="4591"/>
      <c r="CD199" s="4323"/>
      <c r="CE199" s="4323"/>
      <c r="CF199" s="4323"/>
    </row>
    <row r="200" s="4316" customFormat="1" ht="50" customHeight="1" spans="1:84">
      <c r="A200" s="4500">
        <v>45763</v>
      </c>
      <c r="B200" s="4501" t="s">
        <v>1016</v>
      </c>
      <c r="C200" s="3708" t="s">
        <v>396</v>
      </c>
      <c r="D200" s="4502">
        <v>4500163897</v>
      </c>
      <c r="E200" s="3708" t="s">
        <v>1228</v>
      </c>
      <c r="F200" s="4502" t="s">
        <v>1229</v>
      </c>
      <c r="G200" s="3708" t="s">
        <v>1019</v>
      </c>
      <c r="H200" s="3708" t="s">
        <v>1020</v>
      </c>
      <c r="I200" s="3699" t="s">
        <v>328</v>
      </c>
      <c r="J200" s="4154">
        <v>12</v>
      </c>
      <c r="K200" s="4154">
        <v>0</v>
      </c>
      <c r="L200" s="4154">
        <v>12</v>
      </c>
      <c r="M200" s="4154">
        <f t="shared" si="94"/>
        <v>1</v>
      </c>
      <c r="N200" s="4503">
        <v>45803</v>
      </c>
      <c r="O200" s="4503">
        <v>45799</v>
      </c>
      <c r="P200" s="3712"/>
      <c r="Q200" s="4154" t="s">
        <v>82</v>
      </c>
      <c r="R200" s="4157"/>
      <c r="S200" s="4157"/>
      <c r="T200" s="4157"/>
      <c r="U200" s="3726" t="s">
        <v>1223</v>
      </c>
      <c r="V200" s="3711" t="s">
        <v>1196</v>
      </c>
      <c r="W200" s="3711"/>
      <c r="X200" s="3711" t="s">
        <v>366</v>
      </c>
      <c r="Y200" s="3711"/>
      <c r="Z200" s="3711" t="s">
        <v>1224</v>
      </c>
      <c r="AA200" s="4154"/>
      <c r="AB200" s="3680" t="s">
        <v>1225</v>
      </c>
      <c r="AC200" s="4154" t="s">
        <v>1024</v>
      </c>
      <c r="AD200" s="4504">
        <v>2.0833</v>
      </c>
      <c r="AE200" s="4154">
        <f t="shared" si="89"/>
        <v>24.9996</v>
      </c>
      <c r="AF200" s="3726"/>
      <c r="AG200" s="3726"/>
      <c r="AH200" s="984"/>
      <c r="AI200" s="3708"/>
      <c r="AJ200" s="984"/>
      <c r="AK200" s="1048">
        <f t="shared" si="90"/>
        <v>12</v>
      </c>
      <c r="AL200" s="3708"/>
      <c r="AM200" s="4154"/>
      <c r="AN200" s="4397"/>
      <c r="AO200" s="1048">
        <f t="shared" si="91"/>
        <v>12</v>
      </c>
      <c r="AP200" s="1048"/>
      <c r="AQ200" s="877"/>
      <c r="AR200" s="877"/>
      <c r="AS200" s="1048"/>
      <c r="AT200" s="1048">
        <f t="shared" si="92"/>
        <v>12</v>
      </c>
      <c r="AU200" s="877"/>
      <c r="AV200" s="4921"/>
      <c r="AW200" s="4921"/>
      <c r="AX200" s="1048"/>
      <c r="AY200" s="4921"/>
      <c r="AZ200" s="4921"/>
      <c r="BA200" s="1048"/>
      <c r="BB200" s="4622"/>
      <c r="BC200" s="4921"/>
      <c r="BD200" s="4622"/>
      <c r="BE200" s="4622"/>
      <c r="BF200" s="4622"/>
      <c r="BG200" s="4622"/>
      <c r="BH200" s="1048"/>
      <c r="BI200" s="4622"/>
      <c r="BJ200" s="1048"/>
      <c r="BK200" s="4415" t="s">
        <v>89</v>
      </c>
      <c r="BL200" s="4415"/>
      <c r="BM200" s="4415"/>
      <c r="BN200" s="4415">
        <f t="shared" si="93"/>
        <v>12</v>
      </c>
      <c r="BO200" s="4415"/>
      <c r="BP200" s="4415"/>
      <c r="BQ200" s="4414"/>
      <c r="BR200" s="1048"/>
      <c r="BS200" s="982"/>
      <c r="BT200" s="4816"/>
      <c r="BU200" s="4816"/>
      <c r="BV200" s="4816"/>
      <c r="BW200" s="4816"/>
      <c r="BX200" s="4816"/>
      <c r="BY200" s="4816"/>
      <c r="BZ200" s="3708">
        <f t="shared" si="61"/>
        <v>12</v>
      </c>
      <c r="CA200" s="4154">
        <f t="shared" si="62"/>
        <v>0</v>
      </c>
      <c r="CB200" s="4924"/>
      <c r="CC200" s="4591"/>
      <c r="CD200" s="4323"/>
      <c r="CE200" s="4323"/>
      <c r="CF200" s="4323"/>
    </row>
    <row r="201" s="4316" customFormat="1" ht="50" customHeight="1" spans="1:84">
      <c r="A201" s="4500">
        <v>45763</v>
      </c>
      <c r="B201" s="4501" t="s">
        <v>1016</v>
      </c>
      <c r="C201" s="3708" t="s">
        <v>396</v>
      </c>
      <c r="D201" s="4502">
        <v>4500163897</v>
      </c>
      <c r="E201" s="3708" t="s">
        <v>1230</v>
      </c>
      <c r="F201" s="4502" t="s">
        <v>1231</v>
      </c>
      <c r="G201" s="3708" t="s">
        <v>1019</v>
      </c>
      <c r="H201" s="3708" t="s">
        <v>1020</v>
      </c>
      <c r="I201" s="3699" t="s">
        <v>328</v>
      </c>
      <c r="J201" s="4154">
        <v>12</v>
      </c>
      <c r="K201" s="4154">
        <v>0</v>
      </c>
      <c r="L201" s="4154">
        <v>12</v>
      </c>
      <c r="M201" s="4154">
        <f t="shared" si="94"/>
        <v>1</v>
      </c>
      <c r="N201" s="4503">
        <v>45803</v>
      </c>
      <c r="O201" s="4503">
        <v>45799</v>
      </c>
      <c r="P201" s="3712"/>
      <c r="Q201" s="4154" t="s">
        <v>82</v>
      </c>
      <c r="R201" s="4157"/>
      <c r="S201" s="4157"/>
      <c r="T201" s="4157"/>
      <c r="U201" s="3726" t="s">
        <v>1223</v>
      </c>
      <c r="V201" s="3711" t="s">
        <v>1196</v>
      </c>
      <c r="W201" s="3711"/>
      <c r="X201" s="3711" t="s">
        <v>366</v>
      </c>
      <c r="Y201" s="3711"/>
      <c r="Z201" s="3711" t="s">
        <v>1224</v>
      </c>
      <c r="AA201" s="4154"/>
      <c r="AB201" s="3680" t="s">
        <v>1225</v>
      </c>
      <c r="AC201" s="4154" t="s">
        <v>1024</v>
      </c>
      <c r="AD201" s="4504">
        <v>2.139</v>
      </c>
      <c r="AE201" s="4154">
        <f t="shared" si="89"/>
        <v>25.668</v>
      </c>
      <c r="AF201" s="3726"/>
      <c r="AG201" s="3726"/>
      <c r="AH201" s="984"/>
      <c r="AI201" s="3708"/>
      <c r="AJ201" s="984"/>
      <c r="AK201" s="1048">
        <f t="shared" si="90"/>
        <v>12</v>
      </c>
      <c r="AL201" s="3708"/>
      <c r="AM201" s="4154"/>
      <c r="AN201" s="4397"/>
      <c r="AO201" s="1048">
        <f t="shared" si="91"/>
        <v>12</v>
      </c>
      <c r="AP201" s="1048"/>
      <c r="AQ201" s="877"/>
      <c r="AR201" s="877"/>
      <c r="AS201" s="1048"/>
      <c r="AT201" s="1048">
        <f t="shared" si="92"/>
        <v>12</v>
      </c>
      <c r="AU201" s="877"/>
      <c r="AV201" s="4921"/>
      <c r="AW201" s="4921"/>
      <c r="AX201" s="1048"/>
      <c r="AY201" s="4921"/>
      <c r="AZ201" s="4921"/>
      <c r="BA201" s="1048"/>
      <c r="BB201" s="4622"/>
      <c r="BC201" s="4921"/>
      <c r="BD201" s="4622"/>
      <c r="BE201" s="4622"/>
      <c r="BF201" s="4622"/>
      <c r="BG201" s="4622"/>
      <c r="BH201" s="1048"/>
      <c r="BI201" s="4622"/>
      <c r="BJ201" s="1048"/>
      <c r="BK201" s="4415" t="s">
        <v>89</v>
      </c>
      <c r="BL201" s="4415"/>
      <c r="BM201" s="4415"/>
      <c r="BN201" s="4415">
        <f t="shared" si="93"/>
        <v>12</v>
      </c>
      <c r="BO201" s="4415"/>
      <c r="BP201" s="4415"/>
      <c r="BQ201" s="4414"/>
      <c r="BR201" s="1048"/>
      <c r="BS201" s="982"/>
      <c r="BT201" s="4816"/>
      <c r="BU201" s="4816"/>
      <c r="BV201" s="4816"/>
      <c r="BW201" s="4816"/>
      <c r="BX201" s="4816"/>
      <c r="BY201" s="4816"/>
      <c r="BZ201" s="3708">
        <f t="shared" si="61"/>
        <v>12</v>
      </c>
      <c r="CA201" s="4154">
        <f t="shared" si="62"/>
        <v>0</v>
      </c>
      <c r="CB201" s="4924"/>
      <c r="CC201" s="4591"/>
      <c r="CD201" s="4323"/>
      <c r="CE201" s="4323"/>
      <c r="CF201" s="4323"/>
    </row>
    <row r="202" s="4316" customFormat="1" ht="50" customHeight="1" spans="1:84">
      <c r="A202" s="4500">
        <v>45763</v>
      </c>
      <c r="B202" s="4501" t="s">
        <v>1016</v>
      </c>
      <c r="C202" s="3708" t="s">
        <v>396</v>
      </c>
      <c r="D202" s="4502">
        <v>4500163897</v>
      </c>
      <c r="E202" s="3708" t="s">
        <v>1232</v>
      </c>
      <c r="F202" s="4502" t="s">
        <v>1233</v>
      </c>
      <c r="G202" s="3708" t="s">
        <v>1019</v>
      </c>
      <c r="H202" s="3708" t="s">
        <v>1020</v>
      </c>
      <c r="I202" s="3699" t="s">
        <v>328</v>
      </c>
      <c r="J202" s="4154">
        <v>12</v>
      </c>
      <c r="K202" s="4154">
        <v>0</v>
      </c>
      <c r="L202" s="4154">
        <v>12</v>
      </c>
      <c r="M202" s="4154">
        <f t="shared" si="94"/>
        <v>1</v>
      </c>
      <c r="N202" s="4503">
        <v>45803</v>
      </c>
      <c r="O202" s="4503">
        <v>45799</v>
      </c>
      <c r="P202" s="3712"/>
      <c r="Q202" s="4154" t="s">
        <v>82</v>
      </c>
      <c r="R202" s="4157"/>
      <c r="S202" s="4157"/>
      <c r="T202" s="4157"/>
      <c r="U202" s="3726" t="s">
        <v>1223</v>
      </c>
      <c r="V202" s="3711" t="s">
        <v>1196</v>
      </c>
      <c r="W202" s="3711"/>
      <c r="X202" s="3711" t="s">
        <v>366</v>
      </c>
      <c r="Y202" s="3711"/>
      <c r="Z202" s="3711" t="s">
        <v>1224</v>
      </c>
      <c r="AA202" s="4154"/>
      <c r="AB202" s="3680" t="s">
        <v>1225</v>
      </c>
      <c r="AC202" s="4154" t="s">
        <v>1024</v>
      </c>
      <c r="AD202" s="4504">
        <v>2.139</v>
      </c>
      <c r="AE202" s="4154">
        <f t="shared" si="89"/>
        <v>25.668</v>
      </c>
      <c r="AF202" s="3726"/>
      <c r="AG202" s="3726"/>
      <c r="AH202" s="984"/>
      <c r="AI202" s="3708"/>
      <c r="AJ202" s="984"/>
      <c r="AK202" s="1048">
        <f t="shared" si="90"/>
        <v>12</v>
      </c>
      <c r="AL202" s="3708"/>
      <c r="AM202" s="4154"/>
      <c r="AN202" s="4397"/>
      <c r="AO202" s="1048">
        <f t="shared" si="91"/>
        <v>12</v>
      </c>
      <c r="AP202" s="1048"/>
      <c r="AQ202" s="877"/>
      <c r="AR202" s="877"/>
      <c r="AS202" s="1048"/>
      <c r="AT202" s="1048">
        <f t="shared" si="92"/>
        <v>12</v>
      </c>
      <c r="AU202" s="877"/>
      <c r="AV202" s="4921"/>
      <c r="AW202" s="4921"/>
      <c r="AX202" s="1048"/>
      <c r="AY202" s="4921"/>
      <c r="AZ202" s="4921"/>
      <c r="BA202" s="1048"/>
      <c r="BB202" s="4622"/>
      <c r="BC202" s="4921"/>
      <c r="BD202" s="4622"/>
      <c r="BE202" s="4622"/>
      <c r="BF202" s="4622"/>
      <c r="BG202" s="4622"/>
      <c r="BH202" s="1048"/>
      <c r="BI202" s="4622"/>
      <c r="BJ202" s="1048"/>
      <c r="BK202" s="4415" t="s">
        <v>89</v>
      </c>
      <c r="BL202" s="4415"/>
      <c r="BM202" s="4415"/>
      <c r="BN202" s="4415">
        <f t="shared" si="93"/>
        <v>12</v>
      </c>
      <c r="BO202" s="4415"/>
      <c r="BP202" s="4415"/>
      <c r="BQ202" s="4414"/>
      <c r="BR202" s="1048"/>
      <c r="BS202" s="982"/>
      <c r="BT202" s="4816"/>
      <c r="BU202" s="4816"/>
      <c r="BV202" s="4816"/>
      <c r="BW202" s="4816"/>
      <c r="BX202" s="4816"/>
      <c r="BY202" s="4816"/>
      <c r="BZ202" s="3708">
        <f t="shared" si="61"/>
        <v>12</v>
      </c>
      <c r="CA202" s="4154">
        <f t="shared" si="62"/>
        <v>0</v>
      </c>
      <c r="CB202" s="4924"/>
      <c r="CC202" s="4591"/>
      <c r="CD202" s="4323"/>
      <c r="CE202" s="4323"/>
      <c r="CF202" s="4323"/>
    </row>
    <row r="203" s="4316" customFormat="1" ht="50" customHeight="1" spans="1:84">
      <c r="A203" s="4500">
        <v>45763</v>
      </c>
      <c r="B203" s="4501" t="s">
        <v>1016</v>
      </c>
      <c r="C203" s="3708" t="s">
        <v>396</v>
      </c>
      <c r="D203" s="4502">
        <v>4500163897</v>
      </c>
      <c r="E203" s="3708" t="s">
        <v>1234</v>
      </c>
      <c r="F203" s="4502" t="s">
        <v>1235</v>
      </c>
      <c r="G203" s="3708" t="s">
        <v>1019</v>
      </c>
      <c r="H203" s="3708" t="s">
        <v>1020</v>
      </c>
      <c r="I203" s="3699" t="s">
        <v>328</v>
      </c>
      <c r="J203" s="4154">
        <v>12</v>
      </c>
      <c r="K203" s="4154">
        <v>0</v>
      </c>
      <c r="L203" s="4154">
        <v>12</v>
      </c>
      <c r="M203" s="4154">
        <f t="shared" si="94"/>
        <v>1</v>
      </c>
      <c r="N203" s="4503">
        <v>45803</v>
      </c>
      <c r="O203" s="4503">
        <v>45799</v>
      </c>
      <c r="P203" s="3712"/>
      <c r="Q203" s="4154" t="s">
        <v>82</v>
      </c>
      <c r="R203" s="4157"/>
      <c r="S203" s="4157"/>
      <c r="T203" s="4157"/>
      <c r="U203" s="3726" t="s">
        <v>1223</v>
      </c>
      <c r="V203" s="3711" t="s">
        <v>1196</v>
      </c>
      <c r="W203" s="3711"/>
      <c r="X203" s="3711" t="s">
        <v>366</v>
      </c>
      <c r="Y203" s="3711"/>
      <c r="Z203" s="3711" t="s">
        <v>1224</v>
      </c>
      <c r="AA203" s="4154"/>
      <c r="AB203" s="3680" t="s">
        <v>1225</v>
      </c>
      <c r="AC203" s="4154" t="s">
        <v>1024</v>
      </c>
      <c r="AD203" s="4504">
        <v>2.139</v>
      </c>
      <c r="AE203" s="4154">
        <f t="shared" si="89"/>
        <v>25.668</v>
      </c>
      <c r="AF203" s="3726"/>
      <c r="AG203" s="3726"/>
      <c r="AH203" s="984"/>
      <c r="AI203" s="3708"/>
      <c r="AJ203" s="984"/>
      <c r="AK203" s="1048">
        <f t="shared" si="90"/>
        <v>12</v>
      </c>
      <c r="AL203" s="3708"/>
      <c r="AM203" s="4154"/>
      <c r="AN203" s="4397"/>
      <c r="AO203" s="1048">
        <f t="shared" si="91"/>
        <v>12</v>
      </c>
      <c r="AP203" s="1048"/>
      <c r="AQ203" s="877"/>
      <c r="AR203" s="877"/>
      <c r="AS203" s="1048"/>
      <c r="AT203" s="1048">
        <f t="shared" si="92"/>
        <v>12</v>
      </c>
      <c r="AU203" s="877"/>
      <c r="AV203" s="4921"/>
      <c r="AW203" s="4921"/>
      <c r="AX203" s="1048"/>
      <c r="AY203" s="4921"/>
      <c r="AZ203" s="4921"/>
      <c r="BA203" s="1048"/>
      <c r="BB203" s="4622"/>
      <c r="BC203" s="4921"/>
      <c r="BD203" s="4622"/>
      <c r="BE203" s="4622"/>
      <c r="BF203" s="4622"/>
      <c r="BG203" s="4622"/>
      <c r="BH203" s="1048"/>
      <c r="BI203" s="4622"/>
      <c r="BJ203" s="1048"/>
      <c r="BK203" s="4415" t="s">
        <v>89</v>
      </c>
      <c r="BL203" s="4415"/>
      <c r="BM203" s="4415"/>
      <c r="BN203" s="4415">
        <f t="shared" si="93"/>
        <v>12</v>
      </c>
      <c r="BO203" s="4415"/>
      <c r="BP203" s="4415"/>
      <c r="BQ203" s="4414"/>
      <c r="BR203" s="1048"/>
      <c r="BS203" s="982"/>
      <c r="BT203" s="4816"/>
      <c r="BU203" s="4816"/>
      <c r="BV203" s="4816"/>
      <c r="BW203" s="4816"/>
      <c r="BX203" s="4816"/>
      <c r="BY203" s="4816"/>
      <c r="BZ203" s="3708">
        <f t="shared" si="61"/>
        <v>12</v>
      </c>
      <c r="CA203" s="4154">
        <f t="shared" si="62"/>
        <v>0</v>
      </c>
      <c r="CB203" s="4924"/>
      <c r="CC203" s="4591"/>
      <c r="CD203" s="4323"/>
      <c r="CE203" s="4323"/>
      <c r="CF203" s="4323"/>
    </row>
    <row r="204" s="4316" customFormat="1" ht="50" customHeight="1" spans="1:84">
      <c r="A204" s="4500">
        <v>45756</v>
      </c>
      <c r="B204" s="4501" t="s">
        <v>1236</v>
      </c>
      <c r="C204" s="3708" t="s">
        <v>1237</v>
      </c>
      <c r="D204" s="4502">
        <v>4500163069</v>
      </c>
      <c r="E204" s="3708"/>
      <c r="F204" s="4615" t="s">
        <v>1238</v>
      </c>
      <c r="G204" s="3708" t="s">
        <v>327</v>
      </c>
      <c r="H204" s="3708" t="s">
        <v>327</v>
      </c>
      <c r="I204" s="4154" t="s">
        <v>328</v>
      </c>
      <c r="J204" s="4154">
        <v>504</v>
      </c>
      <c r="K204" s="4154">
        <v>0</v>
      </c>
      <c r="L204" s="4154">
        <v>12</v>
      </c>
      <c r="M204" s="4154">
        <f t="shared" si="94"/>
        <v>42</v>
      </c>
      <c r="N204" s="4503">
        <v>45807</v>
      </c>
      <c r="O204" s="4503">
        <v>45803</v>
      </c>
      <c r="P204" s="3712"/>
      <c r="Q204" s="4154" t="s">
        <v>82</v>
      </c>
      <c r="R204" s="4157"/>
      <c r="S204" s="4157"/>
      <c r="T204" s="4157"/>
      <c r="U204" s="3726" t="s">
        <v>1195</v>
      </c>
      <c r="V204" s="3711" t="s">
        <v>1239</v>
      </c>
      <c r="W204" s="3711"/>
      <c r="X204" s="3711" t="s">
        <v>98</v>
      </c>
      <c r="Y204" s="3711"/>
      <c r="Z204" s="3711"/>
      <c r="AA204" s="4154"/>
      <c r="AB204" s="3680" t="s">
        <v>1240</v>
      </c>
      <c r="AC204" s="4154" t="s">
        <v>448</v>
      </c>
      <c r="AD204" s="4504">
        <v>2.1633</v>
      </c>
      <c r="AE204" s="4154">
        <f t="shared" si="89"/>
        <v>1090.3032</v>
      </c>
      <c r="AF204" s="3726"/>
      <c r="AG204" s="3726"/>
      <c r="AH204" s="984"/>
      <c r="AI204" s="3708">
        <f>J204</f>
        <v>504</v>
      </c>
      <c r="AJ204" s="984"/>
      <c r="AK204" s="3708"/>
      <c r="AL204" s="3708"/>
      <c r="AM204" s="4154"/>
      <c r="AN204" s="4397"/>
      <c r="AO204" s="1048">
        <f t="shared" si="91"/>
        <v>504</v>
      </c>
      <c r="AP204" s="1048"/>
      <c r="AQ204" s="877"/>
      <c r="AR204" s="877"/>
      <c r="AS204" s="1048">
        <f t="shared" ref="AS204:AS213" si="95">J204</f>
        <v>504</v>
      </c>
      <c r="AT204" s="1048"/>
      <c r="AU204" s="877"/>
      <c r="AV204" s="4921"/>
      <c r="AW204" s="4921"/>
      <c r="AX204" s="1048">
        <f>J204/6</f>
        <v>84</v>
      </c>
      <c r="AY204" s="4921"/>
      <c r="AZ204" s="4921"/>
      <c r="BA204" s="1048"/>
      <c r="BB204" s="4622"/>
      <c r="BC204" s="4921"/>
      <c r="BD204" s="4622"/>
      <c r="BE204" s="4622"/>
      <c r="BF204" s="4622"/>
      <c r="BG204" s="4622"/>
      <c r="BH204" s="1048"/>
      <c r="BI204" s="4622"/>
      <c r="BJ204" s="1048"/>
      <c r="BK204" s="4415" t="s">
        <v>89</v>
      </c>
      <c r="BL204" s="4415">
        <f>J204/60*1</f>
        <v>8.4</v>
      </c>
      <c r="BM204" s="4415">
        <f>J204/60*9</f>
        <v>75.6</v>
      </c>
      <c r="BN204" s="4415">
        <f>J204/60*10</f>
        <v>84</v>
      </c>
      <c r="BO204" s="4415">
        <f>J204/60*10</f>
        <v>84</v>
      </c>
      <c r="BP204" s="4415">
        <f>J204/60*10</f>
        <v>84</v>
      </c>
      <c r="BQ204" s="4414">
        <f>J204/60*10</f>
        <v>84</v>
      </c>
      <c r="BR204" s="1048">
        <f>J204/60*10</f>
        <v>84</v>
      </c>
      <c r="BS204" s="880"/>
      <c r="BT204" s="4816"/>
      <c r="BU204" s="4816"/>
      <c r="BV204" s="4816"/>
      <c r="BW204" s="4816"/>
      <c r="BX204" s="4816"/>
      <c r="BY204" s="4816"/>
      <c r="BZ204" s="3708">
        <f t="shared" si="61"/>
        <v>504</v>
      </c>
      <c r="CA204" s="4154">
        <f t="shared" si="62"/>
        <v>0</v>
      </c>
      <c r="CB204" s="4924"/>
      <c r="CC204" s="4591"/>
      <c r="CD204" s="4323"/>
      <c r="CE204" s="4323"/>
      <c r="CF204" s="4323"/>
    </row>
    <row r="205" s="4316" customFormat="1" ht="50" customHeight="1" spans="1:84">
      <c r="A205" s="4500">
        <v>45756</v>
      </c>
      <c r="B205" s="4501" t="s">
        <v>872</v>
      </c>
      <c r="C205" s="3708" t="s">
        <v>873</v>
      </c>
      <c r="D205" s="4502">
        <v>4500162852</v>
      </c>
      <c r="E205" s="3708" t="s">
        <v>1241</v>
      </c>
      <c r="F205" s="4615" t="s">
        <v>1242</v>
      </c>
      <c r="G205" s="3708" t="s">
        <v>333</v>
      </c>
      <c r="H205" s="3708" t="s">
        <v>333</v>
      </c>
      <c r="I205" s="3708" t="s">
        <v>328</v>
      </c>
      <c r="J205" s="4593">
        <v>2784</v>
      </c>
      <c r="K205" s="4154">
        <v>0</v>
      </c>
      <c r="L205" s="4154">
        <v>24</v>
      </c>
      <c r="M205" s="4154">
        <f t="shared" si="94"/>
        <v>116</v>
      </c>
      <c r="N205" s="4503">
        <v>45812</v>
      </c>
      <c r="O205" s="4503">
        <f>N205-4</f>
        <v>45808</v>
      </c>
      <c r="P205" s="3712"/>
      <c r="Q205" s="4154" t="s">
        <v>82</v>
      </c>
      <c r="R205" s="4157"/>
      <c r="S205" s="4157"/>
      <c r="T205" s="4157"/>
      <c r="U205" s="3726" t="s">
        <v>279</v>
      </c>
      <c r="V205" s="3711" t="s">
        <v>1239</v>
      </c>
      <c r="W205" s="3711"/>
      <c r="X205" s="3711" t="s">
        <v>1243</v>
      </c>
      <c r="Y205" s="3711"/>
      <c r="Z205" s="3711"/>
      <c r="AA205" s="4154"/>
      <c r="AB205" s="3680" t="s">
        <v>1244</v>
      </c>
      <c r="AC205" s="4154" t="s">
        <v>1245</v>
      </c>
      <c r="AD205" s="4504">
        <v>2.0331</v>
      </c>
      <c r="AE205" s="4154">
        <f t="shared" si="89"/>
        <v>5660.1504</v>
      </c>
      <c r="AF205" s="3726"/>
      <c r="AG205" s="3726"/>
      <c r="AH205" s="984"/>
      <c r="AI205" s="3708">
        <f>J205</f>
        <v>2784</v>
      </c>
      <c r="AJ205" s="984"/>
      <c r="AK205" s="3708"/>
      <c r="AL205" s="3708"/>
      <c r="AM205" s="4154"/>
      <c r="AN205" s="4397"/>
      <c r="AO205" s="1048">
        <f t="shared" si="91"/>
        <v>2784</v>
      </c>
      <c r="AP205" s="1048"/>
      <c r="AQ205" s="877"/>
      <c r="AR205" s="877"/>
      <c r="AS205" s="1048">
        <f t="shared" si="95"/>
        <v>2784</v>
      </c>
      <c r="AT205" s="1048"/>
      <c r="AU205" s="877"/>
      <c r="AV205" s="4921"/>
      <c r="AW205" s="4921"/>
      <c r="AX205" s="1048"/>
      <c r="AY205" s="4921"/>
      <c r="AZ205" s="4921"/>
      <c r="BA205" s="1048"/>
      <c r="BB205" s="4622"/>
      <c r="BC205" s="4921"/>
      <c r="BD205" s="4622"/>
      <c r="BE205" s="4622"/>
      <c r="BF205" s="4622"/>
      <c r="BG205" s="4622"/>
      <c r="BH205" s="1048"/>
      <c r="BI205" s="4622"/>
      <c r="BJ205" s="1048"/>
      <c r="BK205" s="4415" t="s">
        <v>89</v>
      </c>
      <c r="BL205" s="4415">
        <f>J205/60*1</f>
        <v>46.4</v>
      </c>
      <c r="BM205" s="4415">
        <f>J205/60*9</f>
        <v>417.6</v>
      </c>
      <c r="BN205" s="4415">
        <f>J205/60*10</f>
        <v>464</v>
      </c>
      <c r="BO205" s="4415">
        <f>J205/60*10</f>
        <v>464</v>
      </c>
      <c r="BP205" s="4415">
        <f>J205/60*10</f>
        <v>464</v>
      </c>
      <c r="BQ205" s="4414">
        <f>J205/60*10</f>
        <v>464</v>
      </c>
      <c r="BR205" s="1048">
        <f>J205/60*10</f>
        <v>464</v>
      </c>
      <c r="BS205" s="880"/>
      <c r="BT205" s="992"/>
      <c r="BU205" s="992"/>
      <c r="BV205" s="992"/>
      <c r="BW205" s="992"/>
      <c r="BX205" s="991"/>
      <c r="BY205" s="991"/>
      <c r="BZ205" s="3708">
        <f t="shared" si="61"/>
        <v>2784</v>
      </c>
      <c r="CA205" s="4154">
        <f t="shared" si="62"/>
        <v>0</v>
      </c>
      <c r="CB205" s="4924"/>
      <c r="CC205" s="4591"/>
      <c r="CD205" s="4323"/>
      <c r="CE205" s="4323"/>
      <c r="CF205" s="4323"/>
    </row>
    <row r="206" s="4316" customFormat="1" ht="50" customHeight="1" spans="1:84">
      <c r="A206" s="4500">
        <v>45770</v>
      </c>
      <c r="B206" s="4501" t="s">
        <v>1246</v>
      </c>
      <c r="C206" s="3708" t="s">
        <v>1247</v>
      </c>
      <c r="D206" s="4502">
        <v>4500164616</v>
      </c>
      <c r="E206" s="3708"/>
      <c r="F206" s="4615" t="s">
        <v>1248</v>
      </c>
      <c r="G206" s="3708" t="s">
        <v>327</v>
      </c>
      <c r="H206" s="3708" t="s">
        <v>327</v>
      </c>
      <c r="I206" s="4154" t="s">
        <v>328</v>
      </c>
      <c r="J206" s="4154">
        <v>120</v>
      </c>
      <c r="K206" s="4154">
        <v>0</v>
      </c>
      <c r="L206" s="4154">
        <v>12</v>
      </c>
      <c r="M206" s="4154">
        <f t="shared" si="94"/>
        <v>10</v>
      </c>
      <c r="N206" s="4503">
        <v>45810</v>
      </c>
      <c r="O206" s="4503">
        <f>N206-4</f>
        <v>45806</v>
      </c>
      <c r="P206" s="3712"/>
      <c r="Q206" s="4154" t="s">
        <v>82</v>
      </c>
      <c r="R206" s="4157"/>
      <c r="S206" s="4157"/>
      <c r="T206" s="4157"/>
      <c r="U206" s="3726" t="s">
        <v>401</v>
      </c>
      <c r="V206" s="3711" t="s">
        <v>1249</v>
      </c>
      <c r="W206" s="3711"/>
      <c r="X206" s="3711" t="s">
        <v>1250</v>
      </c>
      <c r="Y206" s="3711"/>
      <c r="Z206" s="3711"/>
      <c r="AA206" s="4154"/>
      <c r="AB206" s="3680" t="s">
        <v>1251</v>
      </c>
      <c r="AC206" s="4154" t="s">
        <v>1199</v>
      </c>
      <c r="AD206" s="4504">
        <v>2.1633</v>
      </c>
      <c r="AE206" s="4154">
        <f t="shared" si="89"/>
        <v>259.596</v>
      </c>
      <c r="AF206" s="3726"/>
      <c r="AG206" s="3726"/>
      <c r="AH206" s="984"/>
      <c r="AI206" s="3708">
        <f>J206</f>
        <v>120</v>
      </c>
      <c r="AJ206" s="984"/>
      <c r="AK206" s="3708"/>
      <c r="AL206" s="3708"/>
      <c r="AM206" s="4154"/>
      <c r="AN206" s="4397"/>
      <c r="AO206" s="1048">
        <f t="shared" si="91"/>
        <v>120</v>
      </c>
      <c r="AP206" s="1048"/>
      <c r="AQ206" s="877"/>
      <c r="AR206" s="877"/>
      <c r="AS206" s="1048">
        <f t="shared" si="95"/>
        <v>120</v>
      </c>
      <c r="AT206" s="1048"/>
      <c r="AU206" s="877"/>
      <c r="AV206" s="4921"/>
      <c r="AW206" s="4921"/>
      <c r="AX206" s="1048">
        <f>J206/6</f>
        <v>20</v>
      </c>
      <c r="AY206" s="4921"/>
      <c r="AZ206" s="4921"/>
      <c r="BA206" s="1048"/>
      <c r="BB206" s="4622"/>
      <c r="BC206" s="4921"/>
      <c r="BD206" s="4622"/>
      <c r="BE206" s="4622"/>
      <c r="BF206" s="4622"/>
      <c r="BG206" s="4622"/>
      <c r="BH206" s="1048"/>
      <c r="BI206" s="4622"/>
      <c r="BJ206" s="1048"/>
      <c r="BK206" s="4415" t="s">
        <v>89</v>
      </c>
      <c r="BL206" s="4415">
        <f>J206/60*1</f>
        <v>2</v>
      </c>
      <c r="BM206" s="4415">
        <f>J206/60*9</f>
        <v>18</v>
      </c>
      <c r="BN206" s="4415">
        <f>J206/60*10</f>
        <v>20</v>
      </c>
      <c r="BO206" s="4415">
        <f>J206/60*10</f>
        <v>20</v>
      </c>
      <c r="BP206" s="4415">
        <f>J206/60*10</f>
        <v>20</v>
      </c>
      <c r="BQ206" s="4414">
        <f>J206/60*10</f>
        <v>20</v>
      </c>
      <c r="BR206" s="1048">
        <f>J206/60*10</f>
        <v>20</v>
      </c>
      <c r="BS206" s="880"/>
      <c r="BT206" s="4816"/>
      <c r="BU206" s="4816"/>
      <c r="BV206" s="4816"/>
      <c r="BW206" s="4816"/>
      <c r="BX206" s="4816"/>
      <c r="BY206" s="4816"/>
      <c r="BZ206" s="3708">
        <f t="shared" ref="BZ206:BZ269" si="96">SUM(BL206:BY206)</f>
        <v>120</v>
      </c>
      <c r="CA206" s="4154">
        <f t="shared" ref="CA206:CA266" si="97">J206-BZ206</f>
        <v>0</v>
      </c>
      <c r="CB206" s="4924"/>
      <c r="CC206" s="4591"/>
      <c r="CD206" s="4323"/>
      <c r="CE206" s="4323"/>
      <c r="CF206" s="4323"/>
    </row>
    <row r="207" s="4316" customFormat="1" ht="50" customHeight="1" spans="1:84">
      <c r="A207" s="4500">
        <v>45757</v>
      </c>
      <c r="B207" s="4501" t="s">
        <v>1252</v>
      </c>
      <c r="C207" s="3708" t="s">
        <v>738</v>
      </c>
      <c r="D207" s="4502">
        <v>4500162850</v>
      </c>
      <c r="E207" s="3708">
        <v>6000056637</v>
      </c>
      <c r="F207" s="4615" t="s">
        <v>1253</v>
      </c>
      <c r="G207" s="3708" t="s">
        <v>1145</v>
      </c>
      <c r="H207" s="3708" t="s">
        <v>327</v>
      </c>
      <c r="I207" s="4154" t="s">
        <v>328</v>
      </c>
      <c r="J207" s="4154">
        <v>600</v>
      </c>
      <c r="K207" s="4154">
        <v>0</v>
      </c>
      <c r="L207" s="4154">
        <v>12</v>
      </c>
      <c r="M207" s="4154">
        <f t="shared" si="94"/>
        <v>50</v>
      </c>
      <c r="N207" s="4503">
        <v>45807</v>
      </c>
      <c r="O207" s="4503">
        <v>45803</v>
      </c>
      <c r="P207" s="3712"/>
      <c r="Q207" s="4154" t="s">
        <v>82</v>
      </c>
      <c r="R207" s="4157"/>
      <c r="S207" s="4157"/>
      <c r="T207" s="4157"/>
      <c r="U207" s="3726" t="s">
        <v>191</v>
      </c>
      <c r="V207" s="3711" t="s">
        <v>1254</v>
      </c>
      <c r="W207" s="3711"/>
      <c r="X207" s="3711" t="s">
        <v>1255</v>
      </c>
      <c r="Y207" s="3711"/>
      <c r="Z207" s="3711"/>
      <c r="AA207" s="4154"/>
      <c r="AB207" s="3680" t="s">
        <v>1256</v>
      </c>
      <c r="AC207" s="4154" t="s">
        <v>1257</v>
      </c>
      <c r="AD207" s="4504">
        <v>2.1633</v>
      </c>
      <c r="AE207" s="4154">
        <f t="shared" si="89"/>
        <v>1297.98</v>
      </c>
      <c r="AF207" s="3726"/>
      <c r="AG207" s="3726"/>
      <c r="AH207" s="984"/>
      <c r="AI207" s="3708"/>
      <c r="AJ207" s="984"/>
      <c r="AK207" s="3708">
        <f>J207</f>
        <v>600</v>
      </c>
      <c r="AL207" s="3708"/>
      <c r="AM207" s="4154"/>
      <c r="AN207" s="4397"/>
      <c r="AO207" s="1048">
        <f t="shared" si="91"/>
        <v>600</v>
      </c>
      <c r="AP207" s="1048"/>
      <c r="AQ207" s="877"/>
      <c r="AR207" s="877"/>
      <c r="AS207" s="1048">
        <f t="shared" si="95"/>
        <v>600</v>
      </c>
      <c r="AT207" s="1048"/>
      <c r="AU207" s="877"/>
      <c r="AV207" s="4921"/>
      <c r="AW207" s="4921"/>
      <c r="AX207" s="1048">
        <f>J207/6</f>
        <v>100</v>
      </c>
      <c r="AY207" s="4921"/>
      <c r="AZ207" s="4921"/>
      <c r="BA207" s="1048"/>
      <c r="BB207" s="4622"/>
      <c r="BC207" s="4921"/>
      <c r="BD207" s="4622"/>
      <c r="BE207" s="4622"/>
      <c r="BF207" s="4622"/>
      <c r="BG207" s="4622"/>
      <c r="BH207" s="1048"/>
      <c r="BI207" s="4622"/>
      <c r="BJ207" s="1048"/>
      <c r="BK207" s="4415" t="s">
        <v>89</v>
      </c>
      <c r="BL207" s="4415">
        <f>J207/60*1</f>
        <v>10</v>
      </c>
      <c r="BM207" s="4415">
        <f>J207/60*9</f>
        <v>90</v>
      </c>
      <c r="BN207" s="4415">
        <f>J207/60*10</f>
        <v>100</v>
      </c>
      <c r="BO207" s="4415">
        <f>J207/60*10</f>
        <v>100</v>
      </c>
      <c r="BP207" s="4415">
        <f>J207/60*10</f>
        <v>100</v>
      </c>
      <c r="BQ207" s="4414">
        <f>J207/60*10</f>
        <v>100</v>
      </c>
      <c r="BR207" s="1048">
        <f>J207/60*10</f>
        <v>100</v>
      </c>
      <c r="BS207" s="880"/>
      <c r="BT207" s="4816"/>
      <c r="BU207" s="4816"/>
      <c r="BV207" s="4816"/>
      <c r="BW207" s="4816"/>
      <c r="BX207" s="4816"/>
      <c r="BY207" s="4816"/>
      <c r="BZ207" s="3708">
        <f t="shared" si="96"/>
        <v>600</v>
      </c>
      <c r="CA207" s="4154">
        <f t="shared" si="97"/>
        <v>0</v>
      </c>
      <c r="CB207" s="4924"/>
      <c r="CC207" s="4591"/>
      <c r="CD207" s="4323"/>
      <c r="CE207" s="4323"/>
      <c r="CF207" s="4323"/>
    </row>
    <row r="208" s="4316" customFormat="1" ht="50" customHeight="1" spans="1:84">
      <c r="A208" s="4500">
        <v>45765</v>
      </c>
      <c r="B208" s="4501" t="s">
        <v>1258</v>
      </c>
      <c r="C208" s="3708" t="s">
        <v>341</v>
      </c>
      <c r="D208" s="4502">
        <v>4500164250</v>
      </c>
      <c r="E208" s="3708" t="s">
        <v>1259</v>
      </c>
      <c r="F208" s="4615" t="s">
        <v>1260</v>
      </c>
      <c r="G208" s="3708" t="s">
        <v>639</v>
      </c>
      <c r="H208" s="3708" t="s">
        <v>640</v>
      </c>
      <c r="I208" s="4154" t="s">
        <v>328</v>
      </c>
      <c r="J208" s="4154">
        <v>504</v>
      </c>
      <c r="K208" s="4154">
        <v>0</v>
      </c>
      <c r="L208" s="4154">
        <v>12</v>
      </c>
      <c r="M208" s="4154">
        <f t="shared" si="94"/>
        <v>42</v>
      </c>
      <c r="N208" s="4503">
        <v>45813</v>
      </c>
      <c r="O208" s="4503">
        <v>45810</v>
      </c>
      <c r="P208" s="3712"/>
      <c r="Q208" s="4154" t="s">
        <v>82</v>
      </c>
      <c r="R208" s="4157"/>
      <c r="S208" s="4157"/>
      <c r="T208" s="4157"/>
      <c r="U208" s="3726" t="s">
        <v>1261</v>
      </c>
      <c r="V208" s="3711" t="s">
        <v>1262</v>
      </c>
      <c r="W208" s="3711"/>
      <c r="X208" s="3711" t="s">
        <v>1263</v>
      </c>
      <c r="Y208" s="3711"/>
      <c r="Z208" s="3711"/>
      <c r="AA208" s="4154"/>
      <c r="AB208" s="3680" t="s">
        <v>1264</v>
      </c>
      <c r="AC208" s="4154" t="s">
        <v>380</v>
      </c>
      <c r="AD208" s="4504">
        <v>2.139</v>
      </c>
      <c r="AE208" s="4154">
        <f t="shared" si="89"/>
        <v>1078.056</v>
      </c>
      <c r="AF208" s="3726"/>
      <c r="AG208" s="3726"/>
      <c r="AH208" s="984"/>
      <c r="AI208" s="3708"/>
      <c r="AJ208" s="984"/>
      <c r="AK208" s="3708">
        <f>J208</f>
        <v>504</v>
      </c>
      <c r="AL208" s="3708"/>
      <c r="AM208" s="4154"/>
      <c r="AN208" s="4397"/>
      <c r="AO208" s="1048">
        <f t="shared" si="91"/>
        <v>504</v>
      </c>
      <c r="AP208" s="1048"/>
      <c r="AQ208" s="877"/>
      <c r="AR208" s="877"/>
      <c r="AS208" s="1048">
        <f t="shared" si="95"/>
        <v>504</v>
      </c>
      <c r="AT208" s="1048"/>
      <c r="AU208" s="877"/>
      <c r="AV208" s="4921"/>
      <c r="AW208" s="4921"/>
      <c r="AX208" s="1048"/>
      <c r="AY208" s="4921"/>
      <c r="AZ208" s="4921"/>
      <c r="BA208" s="1048"/>
      <c r="BB208" s="4622"/>
      <c r="BC208" s="4921"/>
      <c r="BD208" s="4622"/>
      <c r="BE208" s="4622"/>
      <c r="BF208" s="4622"/>
      <c r="BG208" s="4622"/>
      <c r="BH208" s="1048"/>
      <c r="BI208" s="4622"/>
      <c r="BJ208" s="1048"/>
      <c r="BK208" s="4415" t="s">
        <v>89</v>
      </c>
      <c r="BL208" s="4415"/>
      <c r="BM208" s="4415"/>
      <c r="BN208" s="4415"/>
      <c r="BO208" s="4415"/>
      <c r="BP208" s="1048">
        <f>J208-BS208</f>
        <v>504</v>
      </c>
      <c r="BQ208" s="4414"/>
      <c r="BR208" s="1048"/>
      <c r="BS208" s="992"/>
      <c r="BT208" s="992"/>
      <c r="BU208" s="992"/>
      <c r="BV208" s="992"/>
      <c r="BW208" s="992"/>
      <c r="BX208" s="991"/>
      <c r="BY208" s="991"/>
      <c r="BZ208" s="3708">
        <f t="shared" si="96"/>
        <v>504</v>
      </c>
      <c r="CA208" s="4154">
        <f t="shared" si="97"/>
        <v>0</v>
      </c>
      <c r="CB208" s="4924"/>
      <c r="CC208" s="4591"/>
      <c r="CD208" s="4323"/>
      <c r="CE208" s="4323"/>
      <c r="CF208" s="4323"/>
    </row>
    <row r="209" s="4316" customFormat="1" ht="50" customHeight="1" spans="1:84">
      <c r="A209" s="4500">
        <v>45774</v>
      </c>
      <c r="B209" s="3708" t="s">
        <v>1265</v>
      </c>
      <c r="C209" s="3708" t="s">
        <v>873</v>
      </c>
      <c r="D209" s="4154">
        <v>4500164596</v>
      </c>
      <c r="E209" s="3708"/>
      <c r="F209" s="3708" t="s">
        <v>1266</v>
      </c>
      <c r="G209" s="3708" t="s">
        <v>327</v>
      </c>
      <c r="H209" s="3708" t="s">
        <v>327</v>
      </c>
      <c r="I209" s="4154" t="s">
        <v>328</v>
      </c>
      <c r="J209" s="4154">
        <v>240</v>
      </c>
      <c r="K209" s="4154">
        <v>0</v>
      </c>
      <c r="L209" s="4154">
        <v>12</v>
      </c>
      <c r="M209" s="4154">
        <f t="shared" si="94"/>
        <v>20</v>
      </c>
      <c r="N209" s="4503">
        <v>45817</v>
      </c>
      <c r="O209" s="4503">
        <f>N209-4</f>
        <v>45813</v>
      </c>
      <c r="P209" s="4154"/>
      <c r="Q209" s="4154" t="s">
        <v>82</v>
      </c>
      <c r="R209" s="4157"/>
      <c r="S209" s="4157"/>
      <c r="T209" s="4157"/>
      <c r="U209" s="3726"/>
      <c r="V209" s="3711" t="s">
        <v>1267</v>
      </c>
      <c r="W209" s="3711"/>
      <c r="X209" s="3711" t="s">
        <v>1268</v>
      </c>
      <c r="Y209" s="3711"/>
      <c r="Z209" s="3711"/>
      <c r="AA209" s="4154"/>
      <c r="AB209" s="3713" t="s">
        <v>1269</v>
      </c>
      <c r="AC209" s="3711" t="s">
        <v>1199</v>
      </c>
      <c r="AD209" s="4504">
        <v>2.0981</v>
      </c>
      <c r="AE209" s="4154">
        <f t="shared" si="89"/>
        <v>503.544</v>
      </c>
      <c r="AF209" s="3726"/>
      <c r="AG209" s="3726"/>
      <c r="AH209" s="4430"/>
      <c r="AI209" s="3708">
        <f>J209</f>
        <v>240</v>
      </c>
      <c r="AJ209" s="4430"/>
      <c r="AK209" s="3708"/>
      <c r="AL209" s="3708"/>
      <c r="AM209" s="4154"/>
      <c r="AN209" s="4413"/>
      <c r="AO209" s="1048">
        <f t="shared" si="91"/>
        <v>240</v>
      </c>
      <c r="AP209" s="4622"/>
      <c r="AQ209" s="4413"/>
      <c r="AR209" s="4413"/>
      <c r="AS209" s="1048">
        <f t="shared" si="95"/>
        <v>240</v>
      </c>
      <c r="AT209" s="1048"/>
      <c r="AU209" s="4413"/>
      <c r="AV209" s="4939"/>
      <c r="AW209" s="4939"/>
      <c r="AX209" s="1048">
        <f>J209/6</f>
        <v>40</v>
      </c>
      <c r="AY209" s="4939"/>
      <c r="AZ209" s="4939"/>
      <c r="BA209" s="1048"/>
      <c r="BB209" s="4622"/>
      <c r="BC209" s="4939"/>
      <c r="BD209" s="4622"/>
      <c r="BE209" s="4622"/>
      <c r="BF209" s="4622"/>
      <c r="BG209" s="4622"/>
      <c r="BH209" s="4622"/>
      <c r="BI209" s="4622"/>
      <c r="BJ209" s="1048"/>
      <c r="BK209" s="4415" t="s">
        <v>89</v>
      </c>
      <c r="BL209" s="4415">
        <f>J209/60*1</f>
        <v>4</v>
      </c>
      <c r="BM209" s="4415">
        <f>J209/60*9</f>
        <v>36</v>
      </c>
      <c r="BN209" s="4415">
        <f>J209/60*10</f>
        <v>40</v>
      </c>
      <c r="BO209" s="4415">
        <f>J209/60*10</f>
        <v>40</v>
      </c>
      <c r="BP209" s="4415">
        <f>J209/60*10</f>
        <v>40</v>
      </c>
      <c r="BQ209" s="4414">
        <f>J209/60*10</f>
        <v>40</v>
      </c>
      <c r="BR209" s="1048">
        <f>J209/60*10</f>
        <v>40</v>
      </c>
      <c r="BS209" s="4415"/>
      <c r="BT209" s="4447"/>
      <c r="BU209" s="4447"/>
      <c r="BV209" s="4447"/>
      <c r="BW209" s="4447"/>
      <c r="BX209" s="4447"/>
      <c r="BY209" s="4447"/>
      <c r="BZ209" s="3708">
        <f t="shared" si="96"/>
        <v>240</v>
      </c>
      <c r="CA209" s="4154">
        <f t="shared" si="97"/>
        <v>0</v>
      </c>
      <c r="CB209" s="4591"/>
      <c r="CC209" s="4591"/>
      <c r="CD209" s="4323"/>
      <c r="CE209" s="4323"/>
      <c r="CF209" s="4323"/>
    </row>
    <row r="210" s="4316" customFormat="1" ht="50" customHeight="1" spans="1:84">
      <c r="A210" s="4500">
        <v>45786</v>
      </c>
      <c r="B210" s="3708" t="s">
        <v>1270</v>
      </c>
      <c r="C210" s="3708" t="s">
        <v>91</v>
      </c>
      <c r="D210" s="4154">
        <v>4500165903</v>
      </c>
      <c r="E210" s="3708" t="s">
        <v>1271</v>
      </c>
      <c r="F210" s="3708" t="s">
        <v>1272</v>
      </c>
      <c r="G210" s="3708" t="s">
        <v>327</v>
      </c>
      <c r="H210" s="3708" t="s">
        <v>327</v>
      </c>
      <c r="I210" s="4154" t="s">
        <v>328</v>
      </c>
      <c r="J210" s="4154">
        <v>2400</v>
      </c>
      <c r="K210" s="4154">
        <v>0</v>
      </c>
      <c r="L210" s="4154">
        <v>12</v>
      </c>
      <c r="M210" s="4154">
        <f t="shared" si="94"/>
        <v>200</v>
      </c>
      <c r="N210" s="4503">
        <v>45819</v>
      </c>
      <c r="O210" s="4503">
        <v>45815</v>
      </c>
      <c r="P210" s="4154"/>
      <c r="Q210" s="4154" t="s">
        <v>82</v>
      </c>
      <c r="R210" s="4157"/>
      <c r="S210" s="4157"/>
      <c r="T210" s="4157"/>
      <c r="U210" s="3726" t="s">
        <v>191</v>
      </c>
      <c r="V210" s="3711" t="s">
        <v>1273</v>
      </c>
      <c r="W210" s="3711"/>
      <c r="X210" s="3711" t="s">
        <v>98</v>
      </c>
      <c r="Y210" s="3711"/>
      <c r="Z210" s="3711"/>
      <c r="AA210" s="4155"/>
      <c r="AB210" s="3713" t="s">
        <v>1274</v>
      </c>
      <c r="AC210" s="3711" t="s">
        <v>1275</v>
      </c>
      <c r="AD210" s="4504">
        <v>1.2562</v>
      </c>
      <c r="AE210" s="4154">
        <f t="shared" si="89"/>
        <v>3014.88</v>
      </c>
      <c r="AF210" s="3726" t="s">
        <v>1276</v>
      </c>
      <c r="AG210" s="3726"/>
      <c r="AH210" s="4430"/>
      <c r="AI210" s="3708">
        <f>J210</f>
        <v>2400</v>
      </c>
      <c r="AJ210" s="4430"/>
      <c r="AK210" s="3708"/>
      <c r="AL210" s="3708"/>
      <c r="AM210" s="4154"/>
      <c r="AN210" s="4413"/>
      <c r="AO210" s="1048">
        <f t="shared" si="91"/>
        <v>2400</v>
      </c>
      <c r="AP210" s="4622"/>
      <c r="AQ210" s="4413"/>
      <c r="AR210" s="4413"/>
      <c r="AS210" s="1048">
        <f t="shared" si="95"/>
        <v>2400</v>
      </c>
      <c r="AT210" s="1048"/>
      <c r="AU210" s="4413"/>
      <c r="AV210" s="4939"/>
      <c r="AW210" s="4939"/>
      <c r="AX210" s="1048">
        <f>J210/6</f>
        <v>400</v>
      </c>
      <c r="AY210" s="4939"/>
      <c r="AZ210" s="4939"/>
      <c r="BA210" s="1048"/>
      <c r="BB210" s="4622"/>
      <c r="BC210" s="4939"/>
      <c r="BD210" s="4622"/>
      <c r="BE210" s="4622"/>
      <c r="BF210" s="4622"/>
      <c r="BG210" s="4622"/>
      <c r="BH210" s="4622"/>
      <c r="BI210" s="4622"/>
      <c r="BJ210" s="1048"/>
      <c r="BK210" s="4415" t="s">
        <v>89</v>
      </c>
      <c r="BL210" s="4415">
        <f>J210/60*1</f>
        <v>40</v>
      </c>
      <c r="BM210" s="4415">
        <f>J210/60*9</f>
        <v>360</v>
      </c>
      <c r="BN210" s="4415">
        <f>J210/60*10</f>
        <v>400</v>
      </c>
      <c r="BO210" s="4415">
        <f>J210/60*10</f>
        <v>400</v>
      </c>
      <c r="BP210" s="4415">
        <f>J210/60*10</f>
        <v>400</v>
      </c>
      <c r="BQ210" s="4414">
        <f>J210/60*10</f>
        <v>400</v>
      </c>
      <c r="BR210" s="1048">
        <f>J210/60*10</f>
        <v>400</v>
      </c>
      <c r="BS210" s="4432"/>
      <c r="BT210" s="4432"/>
      <c r="BU210" s="4432"/>
      <c r="BV210" s="4432"/>
      <c r="BW210" s="4432"/>
      <c r="BX210" s="4431"/>
      <c r="BY210" s="4431"/>
      <c r="BZ210" s="3708">
        <f t="shared" si="96"/>
        <v>2400</v>
      </c>
      <c r="CA210" s="4154">
        <f t="shared" si="97"/>
        <v>0</v>
      </c>
      <c r="CB210" s="4591"/>
      <c r="CC210" s="4591"/>
      <c r="CD210" s="4323"/>
      <c r="CE210" s="4323"/>
      <c r="CF210" s="4323"/>
    </row>
    <row r="211" s="4316" customFormat="1" ht="50" customHeight="1" spans="1:84">
      <c r="A211" s="4500">
        <v>45786</v>
      </c>
      <c r="B211" s="3708" t="s">
        <v>1270</v>
      </c>
      <c r="C211" s="3708" t="s">
        <v>91</v>
      </c>
      <c r="D211" s="4154">
        <v>4500165903</v>
      </c>
      <c r="E211" s="3708" t="s">
        <v>1271</v>
      </c>
      <c r="F211" s="3708" t="s">
        <v>1277</v>
      </c>
      <c r="G211" s="3708" t="s">
        <v>327</v>
      </c>
      <c r="H211" s="3708" t="s">
        <v>327</v>
      </c>
      <c r="I211" s="4154" t="s">
        <v>328</v>
      </c>
      <c r="J211" s="4154">
        <v>144</v>
      </c>
      <c r="K211" s="4154">
        <v>0</v>
      </c>
      <c r="L211" s="4154">
        <v>12</v>
      </c>
      <c r="M211" s="4154">
        <f t="shared" si="94"/>
        <v>12</v>
      </c>
      <c r="N211" s="4503">
        <v>45819</v>
      </c>
      <c r="O211" s="4503">
        <v>45815</v>
      </c>
      <c r="P211" s="4154"/>
      <c r="Q211" s="4154" t="s">
        <v>82</v>
      </c>
      <c r="R211" s="4157"/>
      <c r="S211" s="4157"/>
      <c r="T211" s="4157"/>
      <c r="U211" s="3726" t="s">
        <v>191</v>
      </c>
      <c r="V211" s="3711" t="s">
        <v>1273</v>
      </c>
      <c r="W211" s="3711"/>
      <c r="X211" s="3711" t="s">
        <v>98</v>
      </c>
      <c r="Y211" s="3711"/>
      <c r="Z211" s="3711"/>
      <c r="AA211" s="4154"/>
      <c r="AB211" s="3713" t="s">
        <v>1274</v>
      </c>
      <c r="AC211" s="3711" t="s">
        <v>1275</v>
      </c>
      <c r="AD211" s="4504">
        <v>1.2589</v>
      </c>
      <c r="AE211" s="4154">
        <f t="shared" si="89"/>
        <v>181.2816</v>
      </c>
      <c r="AF211" s="3726" t="s">
        <v>1276</v>
      </c>
      <c r="AG211" s="3726"/>
      <c r="AH211" s="4430"/>
      <c r="AI211" s="3708">
        <f>J211</f>
        <v>144</v>
      </c>
      <c r="AJ211" s="4430"/>
      <c r="AK211" s="3708"/>
      <c r="AL211" s="3708"/>
      <c r="AM211" s="4154"/>
      <c r="AN211" s="4413"/>
      <c r="AO211" s="1048">
        <f t="shared" si="91"/>
        <v>144</v>
      </c>
      <c r="AP211" s="4622"/>
      <c r="AQ211" s="4413"/>
      <c r="AR211" s="4413"/>
      <c r="AS211" s="1048">
        <f t="shared" si="95"/>
        <v>144</v>
      </c>
      <c r="AT211" s="1048"/>
      <c r="AU211" s="4413"/>
      <c r="AV211" s="4939"/>
      <c r="AW211" s="4939"/>
      <c r="AX211" s="1048">
        <f>J211/6</f>
        <v>24</v>
      </c>
      <c r="AY211" s="4939"/>
      <c r="AZ211" s="4939"/>
      <c r="BA211" s="1048"/>
      <c r="BB211" s="4622"/>
      <c r="BC211" s="4939"/>
      <c r="BD211" s="4622"/>
      <c r="BE211" s="4622"/>
      <c r="BF211" s="4622"/>
      <c r="BG211" s="4622"/>
      <c r="BH211" s="4622"/>
      <c r="BI211" s="4622"/>
      <c r="BJ211" s="1048"/>
      <c r="BK211" s="4415" t="s">
        <v>89</v>
      </c>
      <c r="BL211" s="4415">
        <f>J211/60*1</f>
        <v>2.4</v>
      </c>
      <c r="BM211" s="4415">
        <f>J211/60*9</f>
        <v>21.6</v>
      </c>
      <c r="BN211" s="4415">
        <f>J211/60*10</f>
        <v>24</v>
      </c>
      <c r="BO211" s="4415">
        <f>J211/60*10</f>
        <v>24</v>
      </c>
      <c r="BP211" s="4415">
        <f>J211/60*10</f>
        <v>24</v>
      </c>
      <c r="BQ211" s="4414">
        <f>J211/60*10</f>
        <v>24</v>
      </c>
      <c r="BR211" s="1048">
        <f>J211/60*10</f>
        <v>24</v>
      </c>
      <c r="BS211" s="4432"/>
      <c r="BT211" s="4432"/>
      <c r="BU211" s="4432"/>
      <c r="BV211" s="4432"/>
      <c r="BW211" s="4432"/>
      <c r="BX211" s="4431"/>
      <c r="BY211" s="4431"/>
      <c r="BZ211" s="3708">
        <f t="shared" si="96"/>
        <v>144</v>
      </c>
      <c r="CA211" s="4154">
        <f t="shared" si="97"/>
        <v>0</v>
      </c>
      <c r="CB211" s="4591"/>
      <c r="CC211" s="4591"/>
      <c r="CD211" s="4323"/>
      <c r="CE211" s="4323"/>
      <c r="CF211" s="4323"/>
    </row>
    <row r="212" s="4316" customFormat="1" ht="50" customHeight="1" spans="1:84">
      <c r="A212" s="4500">
        <v>45776</v>
      </c>
      <c r="B212" s="4501" t="s">
        <v>1278</v>
      </c>
      <c r="C212" s="3708" t="s">
        <v>1279</v>
      </c>
      <c r="D212" s="4502">
        <v>4500165342</v>
      </c>
      <c r="E212" s="3708" t="s">
        <v>1280</v>
      </c>
      <c r="F212" s="4502" t="s">
        <v>1281</v>
      </c>
      <c r="G212" s="3708" t="s">
        <v>1044</v>
      </c>
      <c r="H212" s="3708" t="s">
        <v>1045</v>
      </c>
      <c r="I212" s="4154" t="s">
        <v>328</v>
      </c>
      <c r="J212" s="4154">
        <v>504</v>
      </c>
      <c r="K212" s="4154">
        <v>0</v>
      </c>
      <c r="L212" s="4154">
        <v>12</v>
      </c>
      <c r="M212" s="4154">
        <f t="shared" si="94"/>
        <v>42</v>
      </c>
      <c r="N212" s="4503">
        <v>45821</v>
      </c>
      <c r="O212" s="4503">
        <v>45817</v>
      </c>
      <c r="P212" s="3712"/>
      <c r="Q212" s="4154" t="s">
        <v>82</v>
      </c>
      <c r="R212" s="4157"/>
      <c r="S212" s="4157"/>
      <c r="T212" s="4157"/>
      <c r="U212" s="3726" t="s">
        <v>1282</v>
      </c>
      <c r="V212" s="3711" t="s">
        <v>98</v>
      </c>
      <c r="W212" s="3711"/>
      <c r="X212" s="3711" t="s">
        <v>1283</v>
      </c>
      <c r="Y212" s="3711"/>
      <c r="Z212" s="3711"/>
      <c r="AA212" s="4154"/>
      <c r="AB212" s="3680" t="s">
        <v>1284</v>
      </c>
      <c r="AC212" s="4154" t="s">
        <v>1285</v>
      </c>
      <c r="AD212" s="4504">
        <v>2.0833</v>
      </c>
      <c r="AE212" s="4154">
        <f t="shared" si="89"/>
        <v>1049.9832</v>
      </c>
      <c r="AF212" s="3726" t="s">
        <v>1286</v>
      </c>
      <c r="AG212" s="3726"/>
      <c r="AH212" s="4430"/>
      <c r="AI212" s="3708"/>
      <c r="AJ212" s="4430"/>
      <c r="AK212" s="1048">
        <f>J212</f>
        <v>504</v>
      </c>
      <c r="AL212" s="3708"/>
      <c r="AM212" s="4154"/>
      <c r="AN212" s="4413"/>
      <c r="AO212" s="1048">
        <f t="shared" si="91"/>
        <v>504</v>
      </c>
      <c r="AP212" s="1048"/>
      <c r="AQ212" s="4413"/>
      <c r="AR212" s="4413"/>
      <c r="AS212" s="1048">
        <f t="shared" si="95"/>
        <v>504</v>
      </c>
      <c r="AT212" s="1048"/>
      <c r="AU212" s="4413"/>
      <c r="AV212" s="4939"/>
      <c r="AW212" s="4939"/>
      <c r="AX212" s="1048"/>
      <c r="AY212" s="4939"/>
      <c r="AZ212" s="4939"/>
      <c r="BA212" s="1048"/>
      <c r="BB212" s="4622"/>
      <c r="BC212" s="4939"/>
      <c r="BD212" s="4622"/>
      <c r="BE212" s="4622"/>
      <c r="BF212" s="4622"/>
      <c r="BG212" s="4622"/>
      <c r="BH212" s="1048"/>
      <c r="BI212" s="4622"/>
      <c r="BJ212" s="1048"/>
      <c r="BK212" s="4415" t="s">
        <v>89</v>
      </c>
      <c r="BL212" s="4415"/>
      <c r="BM212" s="4415"/>
      <c r="BN212" s="4415">
        <f>J212</f>
        <v>504</v>
      </c>
      <c r="BO212" s="4415"/>
      <c r="BP212" s="4415"/>
      <c r="BQ212" s="4414"/>
      <c r="BR212" s="1048"/>
      <c r="BS212" s="4432"/>
      <c r="BT212" s="4432"/>
      <c r="BU212" s="4432"/>
      <c r="BV212" s="4432"/>
      <c r="BW212" s="4432"/>
      <c r="BX212" s="4431"/>
      <c r="BY212" s="4431"/>
      <c r="BZ212" s="3708">
        <f t="shared" si="96"/>
        <v>504</v>
      </c>
      <c r="CA212" s="4154">
        <f t="shared" si="97"/>
        <v>0</v>
      </c>
      <c r="CB212" s="4591"/>
      <c r="CC212" s="4591"/>
      <c r="CD212" s="4323"/>
      <c r="CE212" s="4323"/>
      <c r="CF212" s="4323"/>
    </row>
    <row r="213" s="4316" customFormat="1" ht="50" customHeight="1" spans="1:84">
      <c r="A213" s="4500">
        <v>45776</v>
      </c>
      <c r="B213" s="4501" t="s">
        <v>1278</v>
      </c>
      <c r="C213" s="3708" t="s">
        <v>1279</v>
      </c>
      <c r="D213" s="4502">
        <v>4500165342</v>
      </c>
      <c r="E213" s="3708" t="s">
        <v>1287</v>
      </c>
      <c r="F213" s="4502" t="s">
        <v>1288</v>
      </c>
      <c r="G213" s="3708" t="s">
        <v>1289</v>
      </c>
      <c r="H213" s="3708" t="s">
        <v>1290</v>
      </c>
      <c r="I213" s="4154" t="s">
        <v>328</v>
      </c>
      <c r="J213" s="4154">
        <v>504</v>
      </c>
      <c r="K213" s="4154">
        <v>0</v>
      </c>
      <c r="L213" s="4154">
        <v>12</v>
      </c>
      <c r="M213" s="4154">
        <f t="shared" si="94"/>
        <v>42</v>
      </c>
      <c r="N213" s="4503">
        <v>45821</v>
      </c>
      <c r="O213" s="4503">
        <v>45817</v>
      </c>
      <c r="P213" s="3712"/>
      <c r="Q213" s="4154" t="s">
        <v>82</v>
      </c>
      <c r="R213" s="4157"/>
      <c r="S213" s="4157"/>
      <c r="T213" s="4157"/>
      <c r="U213" s="3726" t="s">
        <v>1282</v>
      </c>
      <c r="V213" s="3711" t="s">
        <v>98</v>
      </c>
      <c r="W213" s="3711"/>
      <c r="X213" s="3711" t="s">
        <v>1283</v>
      </c>
      <c r="Y213" s="3711"/>
      <c r="Z213" s="3711"/>
      <c r="AA213" s="4154"/>
      <c r="AB213" s="3680" t="s">
        <v>1291</v>
      </c>
      <c r="AC213" s="4154" t="s">
        <v>1285</v>
      </c>
      <c r="AD213" s="4504">
        <v>2.0833</v>
      </c>
      <c r="AE213" s="4154">
        <f t="shared" si="89"/>
        <v>1049.9832</v>
      </c>
      <c r="AF213" s="3726" t="s">
        <v>1286</v>
      </c>
      <c r="AG213" s="3726"/>
      <c r="AH213" s="4430"/>
      <c r="AI213" s="3708"/>
      <c r="AJ213" s="4430"/>
      <c r="AK213" s="1048">
        <f>J213</f>
        <v>504</v>
      </c>
      <c r="AL213" s="3708"/>
      <c r="AM213" s="4154"/>
      <c r="AN213" s="4413"/>
      <c r="AO213" s="1048">
        <f t="shared" si="91"/>
        <v>504</v>
      </c>
      <c r="AP213" s="1048"/>
      <c r="AQ213" s="4413"/>
      <c r="AR213" s="4413"/>
      <c r="AS213" s="1048">
        <f t="shared" si="95"/>
        <v>504</v>
      </c>
      <c r="AT213" s="1048"/>
      <c r="AU213" s="4413"/>
      <c r="AV213" s="4939"/>
      <c r="AW213" s="4939"/>
      <c r="AX213" s="1048"/>
      <c r="AY213" s="4939"/>
      <c r="AZ213" s="4939"/>
      <c r="BA213" s="1048"/>
      <c r="BB213" s="4622"/>
      <c r="BC213" s="4939"/>
      <c r="BD213" s="4622"/>
      <c r="BE213" s="4622"/>
      <c r="BF213" s="4622"/>
      <c r="BG213" s="4622"/>
      <c r="BH213" s="1048"/>
      <c r="BI213" s="4622"/>
      <c r="BJ213" s="1048"/>
      <c r="BK213" s="4415" t="s">
        <v>89</v>
      </c>
      <c r="BL213" s="4415"/>
      <c r="BM213" s="4415">
        <f>J213</f>
        <v>504</v>
      </c>
      <c r="BN213" s="4415"/>
      <c r="BO213" s="4415"/>
      <c r="BP213" s="4415"/>
      <c r="BQ213" s="4414"/>
      <c r="BR213" s="1048"/>
      <c r="BS213" s="4432"/>
      <c r="BT213" s="4432"/>
      <c r="BU213" s="4432"/>
      <c r="BV213" s="4432"/>
      <c r="BW213" s="4432"/>
      <c r="BX213" s="4431"/>
      <c r="BY213" s="4431"/>
      <c r="BZ213" s="3708">
        <f t="shared" si="96"/>
        <v>504</v>
      </c>
      <c r="CA213" s="4154">
        <f t="shared" si="97"/>
        <v>0</v>
      </c>
      <c r="CB213" s="4591"/>
      <c r="CC213" s="4591"/>
      <c r="CD213" s="4323"/>
      <c r="CE213" s="4323"/>
      <c r="CF213" s="4323"/>
    </row>
    <row r="214" s="4316" customFormat="1" ht="50" customHeight="1" spans="1:84">
      <c r="A214" s="4500">
        <v>45772</v>
      </c>
      <c r="B214" s="4501" t="s">
        <v>1292</v>
      </c>
      <c r="C214" s="3708" t="s">
        <v>569</v>
      </c>
      <c r="D214" s="4502">
        <v>4500164781</v>
      </c>
      <c r="E214" s="3708"/>
      <c r="F214" s="4615" t="s">
        <v>1293</v>
      </c>
      <c r="G214" s="3708" t="s">
        <v>1294</v>
      </c>
      <c r="H214" s="3708" t="s">
        <v>443</v>
      </c>
      <c r="I214" s="3708" t="s">
        <v>328</v>
      </c>
      <c r="J214" s="4154">
        <v>600</v>
      </c>
      <c r="K214" s="4154">
        <v>0</v>
      </c>
      <c r="L214" s="4154">
        <v>12</v>
      </c>
      <c r="M214" s="4154">
        <f t="shared" si="94"/>
        <v>50</v>
      </c>
      <c r="N214" s="4503">
        <v>45810</v>
      </c>
      <c r="O214" s="4503">
        <f>N214-4</f>
        <v>45806</v>
      </c>
      <c r="P214" s="3712"/>
      <c r="Q214" s="4154" t="s">
        <v>82</v>
      </c>
      <c r="R214" s="4157"/>
      <c r="S214" s="4157"/>
      <c r="T214" s="4157"/>
      <c r="U214" s="3726"/>
      <c r="V214" s="3711" t="s">
        <v>1295</v>
      </c>
      <c r="W214" s="3711"/>
      <c r="X214" s="3711" t="s">
        <v>1296</v>
      </c>
      <c r="Y214" s="3711"/>
      <c r="Z214" s="3711"/>
      <c r="AA214" s="4154"/>
      <c r="AB214" s="3680" t="s">
        <v>1297</v>
      </c>
      <c r="AC214" s="4154" t="s">
        <v>1298</v>
      </c>
      <c r="AD214" s="4154">
        <v>2.209</v>
      </c>
      <c r="AE214" s="4154">
        <f t="shared" si="89"/>
        <v>1325.4</v>
      </c>
      <c r="AF214" s="3726"/>
      <c r="AG214" s="3726"/>
      <c r="AH214" s="4448"/>
      <c r="AI214" s="3708"/>
      <c r="AJ214" s="4448"/>
      <c r="AK214" s="3708">
        <f>J214</f>
        <v>600</v>
      </c>
      <c r="AL214" s="3708"/>
      <c r="AM214" s="4154"/>
      <c r="AN214" s="4411"/>
      <c r="AO214" s="1048">
        <f t="shared" si="91"/>
        <v>600</v>
      </c>
      <c r="AP214" s="1048"/>
      <c r="AQ214" s="4411"/>
      <c r="AR214" s="4411"/>
      <c r="AS214" s="1048"/>
      <c r="AT214" s="1048">
        <f>J214</f>
        <v>600</v>
      </c>
      <c r="AU214" s="4411"/>
      <c r="AV214" s="4933"/>
      <c r="AW214" s="4933"/>
      <c r="AX214" s="1048">
        <f>J214/6</f>
        <v>100</v>
      </c>
      <c r="AY214" s="4933"/>
      <c r="AZ214" s="4933"/>
      <c r="BA214" s="1048"/>
      <c r="BB214" s="4622"/>
      <c r="BC214" s="4933"/>
      <c r="BD214" s="4622"/>
      <c r="BE214" s="4622"/>
      <c r="BF214" s="4622"/>
      <c r="BG214" s="4622"/>
      <c r="BH214" s="1048"/>
      <c r="BI214" s="4622"/>
      <c r="BJ214" s="1048"/>
      <c r="BK214" s="4415" t="s">
        <v>89</v>
      </c>
      <c r="BL214" s="4415">
        <f>J214/60*1</f>
        <v>10</v>
      </c>
      <c r="BM214" s="4415">
        <f>J214/60*9</f>
        <v>90</v>
      </c>
      <c r="BN214" s="4415">
        <f>J214/60*10</f>
        <v>100</v>
      </c>
      <c r="BO214" s="4415">
        <f>J214/60*10</f>
        <v>100</v>
      </c>
      <c r="BP214" s="4415">
        <f>J214/60*10</f>
        <v>100</v>
      </c>
      <c r="BQ214" s="4414">
        <f>J214/60*10</f>
        <v>100</v>
      </c>
      <c r="BR214" s="1048">
        <f>J214/60*10</f>
        <v>100</v>
      </c>
      <c r="BS214" s="4403"/>
      <c r="BT214" s="4454"/>
      <c r="BU214" s="4454"/>
      <c r="BV214" s="4454"/>
      <c r="BW214" s="4454"/>
      <c r="BX214" s="4453"/>
      <c r="BY214" s="4453"/>
      <c r="BZ214" s="3708">
        <f t="shared" si="96"/>
        <v>600</v>
      </c>
      <c r="CA214" s="4154">
        <f t="shared" si="97"/>
        <v>0</v>
      </c>
      <c r="CB214" s="4934"/>
      <c r="CC214" s="4934"/>
      <c r="CD214" s="4323"/>
      <c r="CE214" s="4323"/>
      <c r="CF214" s="4323"/>
    </row>
    <row r="215" s="4316" customFormat="1" ht="50" customHeight="1" spans="1:84">
      <c r="A215" s="4500">
        <v>45775</v>
      </c>
      <c r="B215" s="3708" t="s">
        <v>839</v>
      </c>
      <c r="C215" s="3708" t="s">
        <v>840</v>
      </c>
      <c r="D215" s="4154">
        <v>4500165216</v>
      </c>
      <c r="E215" s="3708" t="s">
        <v>1299</v>
      </c>
      <c r="F215" s="3708" t="s">
        <v>1300</v>
      </c>
      <c r="G215" s="3708" t="s">
        <v>508</v>
      </c>
      <c r="H215" s="3708" t="s">
        <v>508</v>
      </c>
      <c r="I215" s="3708" t="s">
        <v>328</v>
      </c>
      <c r="J215" s="4593">
        <v>204</v>
      </c>
      <c r="K215" s="4154">
        <v>0</v>
      </c>
      <c r="L215" s="4154">
        <v>6</v>
      </c>
      <c r="M215" s="4154">
        <f t="shared" si="94"/>
        <v>34</v>
      </c>
      <c r="N215" s="4503">
        <v>45817</v>
      </c>
      <c r="O215" s="4503">
        <v>45813</v>
      </c>
      <c r="P215" s="4154"/>
      <c r="Q215" s="4154" t="s">
        <v>82</v>
      </c>
      <c r="R215" s="4157"/>
      <c r="S215" s="4157"/>
      <c r="T215" s="4157"/>
      <c r="U215" s="3726" t="s">
        <v>1301</v>
      </c>
      <c r="V215" s="3711" t="s">
        <v>1295</v>
      </c>
      <c r="W215" s="3711"/>
      <c r="X215" s="3711" t="s">
        <v>1302</v>
      </c>
      <c r="Y215" s="3711"/>
      <c r="Z215" s="3711"/>
      <c r="AA215" s="4154"/>
      <c r="AB215" s="3713" t="s">
        <v>1218</v>
      </c>
      <c r="AC215" s="3711" t="s">
        <v>513</v>
      </c>
      <c r="AD215" s="4504">
        <v>2.3151</v>
      </c>
      <c r="AE215" s="4154">
        <f t="shared" si="89"/>
        <v>472.2804</v>
      </c>
      <c r="AF215" s="3726"/>
      <c r="AG215" s="3726"/>
      <c r="AH215" s="4448"/>
      <c r="AI215" s="3708">
        <f>J215</f>
        <v>204</v>
      </c>
      <c r="AJ215" s="4448"/>
      <c r="AK215" s="3708"/>
      <c r="AL215" s="3708"/>
      <c r="AM215" s="4154"/>
      <c r="AN215" s="4411"/>
      <c r="AO215" s="1048">
        <f t="shared" si="91"/>
        <v>204</v>
      </c>
      <c r="AP215" s="4622"/>
      <c r="AQ215" s="4411"/>
      <c r="AR215" s="4411"/>
      <c r="AS215" s="1048">
        <f t="shared" ref="AS215:AS227" si="98">J215</f>
        <v>204</v>
      </c>
      <c r="AT215" s="1048"/>
      <c r="AU215" s="4411"/>
      <c r="AV215" s="4933"/>
      <c r="AW215" s="4933"/>
      <c r="AX215" s="1048">
        <f>J215/6</f>
        <v>34</v>
      </c>
      <c r="AY215" s="4933"/>
      <c r="AZ215" s="4933"/>
      <c r="BA215" s="1048"/>
      <c r="BB215" s="4622"/>
      <c r="BC215" s="4933"/>
      <c r="BD215" s="4622"/>
      <c r="BE215" s="4622"/>
      <c r="BF215" s="4622"/>
      <c r="BG215" s="4622"/>
      <c r="BH215" s="4622"/>
      <c r="BI215" s="4622"/>
      <c r="BJ215" s="1048"/>
      <c r="BK215" s="4415" t="s">
        <v>89</v>
      </c>
      <c r="BL215" s="4415">
        <f>J215/60*1</f>
        <v>3.4</v>
      </c>
      <c r="BM215" s="4415">
        <f>J215/60*9</f>
        <v>30.6</v>
      </c>
      <c r="BN215" s="4415">
        <f>J215/60*10</f>
        <v>34</v>
      </c>
      <c r="BO215" s="4415">
        <f>J215/60*10</f>
        <v>34</v>
      </c>
      <c r="BP215" s="4415">
        <f>J215/60*10</f>
        <v>34</v>
      </c>
      <c r="BQ215" s="4414">
        <f>J215/60*10</f>
        <v>34</v>
      </c>
      <c r="BR215" s="1048">
        <f>J215/60*10</f>
        <v>34</v>
      </c>
      <c r="BS215" s="4403"/>
      <c r="BT215" s="4458"/>
      <c r="BU215" s="4458"/>
      <c r="BV215" s="4458"/>
      <c r="BW215" s="4458"/>
      <c r="BX215" s="4458"/>
      <c r="BY215" s="4458"/>
      <c r="BZ215" s="3708">
        <f t="shared" si="96"/>
        <v>204</v>
      </c>
      <c r="CA215" s="4154">
        <f t="shared" si="97"/>
        <v>0</v>
      </c>
      <c r="CB215" s="4934"/>
      <c r="CC215" s="4934"/>
      <c r="CD215" s="4323"/>
      <c r="CE215" s="4323"/>
      <c r="CF215" s="4323"/>
    </row>
    <row r="216" s="4316" customFormat="1" ht="50" customHeight="1" spans="1:84">
      <c r="A216" s="4500">
        <v>45775</v>
      </c>
      <c r="B216" s="3708" t="s">
        <v>505</v>
      </c>
      <c r="C216" s="3708" t="s">
        <v>506</v>
      </c>
      <c r="D216" s="4154">
        <v>4500165215</v>
      </c>
      <c r="E216" s="3708">
        <v>20797147</v>
      </c>
      <c r="F216" s="3708" t="s">
        <v>1303</v>
      </c>
      <c r="G216" s="3708" t="s">
        <v>508</v>
      </c>
      <c r="H216" s="3708" t="s">
        <v>508</v>
      </c>
      <c r="I216" s="3708" t="s">
        <v>328</v>
      </c>
      <c r="J216" s="4593">
        <v>1296</v>
      </c>
      <c r="K216" s="4154">
        <v>0</v>
      </c>
      <c r="L216" s="4154">
        <v>6</v>
      </c>
      <c r="M216" s="4154">
        <f t="shared" si="94"/>
        <v>216</v>
      </c>
      <c r="N216" s="4503">
        <v>45817</v>
      </c>
      <c r="O216" s="4503">
        <v>45813</v>
      </c>
      <c r="P216" s="4154"/>
      <c r="Q216" s="4154" t="s">
        <v>82</v>
      </c>
      <c r="R216" s="4157"/>
      <c r="S216" s="4157"/>
      <c r="T216" s="4157"/>
      <c r="U216" s="3726" t="s">
        <v>1301</v>
      </c>
      <c r="V216" s="3711" t="s">
        <v>1295</v>
      </c>
      <c r="W216" s="3711"/>
      <c r="X216" s="3711" t="s">
        <v>1302</v>
      </c>
      <c r="Y216" s="3711"/>
      <c r="Z216" s="3711"/>
      <c r="AA216" s="4154"/>
      <c r="AB216" s="3713" t="s">
        <v>1220</v>
      </c>
      <c r="AC216" s="3711" t="s">
        <v>513</v>
      </c>
      <c r="AD216" s="4504">
        <v>2.3106</v>
      </c>
      <c r="AE216" s="4154">
        <f t="shared" si="89"/>
        <v>2994.5376</v>
      </c>
      <c r="AF216" s="3726"/>
      <c r="AG216" s="3726"/>
      <c r="AH216" s="4448"/>
      <c r="AI216" s="3708">
        <f>J216</f>
        <v>1296</v>
      </c>
      <c r="AJ216" s="4448"/>
      <c r="AK216" s="3708"/>
      <c r="AL216" s="3708"/>
      <c r="AM216" s="4154"/>
      <c r="AN216" s="4411"/>
      <c r="AO216" s="1048">
        <f t="shared" si="91"/>
        <v>1296</v>
      </c>
      <c r="AP216" s="4622"/>
      <c r="AQ216" s="4411"/>
      <c r="AR216" s="4411"/>
      <c r="AS216" s="1048">
        <f t="shared" si="98"/>
        <v>1296</v>
      </c>
      <c r="AT216" s="1048"/>
      <c r="AU216" s="4411"/>
      <c r="AV216" s="4933"/>
      <c r="AW216" s="4933"/>
      <c r="AX216" s="1048">
        <f>J216/6</f>
        <v>216</v>
      </c>
      <c r="AY216" s="4933"/>
      <c r="AZ216" s="4933"/>
      <c r="BA216" s="1048"/>
      <c r="BB216" s="4622"/>
      <c r="BC216" s="4933"/>
      <c r="BD216" s="4622"/>
      <c r="BE216" s="4622"/>
      <c r="BF216" s="4622"/>
      <c r="BG216" s="4622"/>
      <c r="BH216" s="4622"/>
      <c r="BI216" s="4622"/>
      <c r="BJ216" s="1048"/>
      <c r="BK216" s="4415" t="s">
        <v>89</v>
      </c>
      <c r="BL216" s="4415">
        <f>J216/60*1</f>
        <v>21.6</v>
      </c>
      <c r="BM216" s="4415">
        <f>J216/60*9</f>
        <v>194.4</v>
      </c>
      <c r="BN216" s="4415">
        <f>J216/60*10</f>
        <v>216</v>
      </c>
      <c r="BO216" s="4415">
        <f>J216/60*10</f>
        <v>216</v>
      </c>
      <c r="BP216" s="4415">
        <f>J216/60*10</f>
        <v>216</v>
      </c>
      <c r="BQ216" s="4414">
        <f>J216/60*10</f>
        <v>216</v>
      </c>
      <c r="BR216" s="1048">
        <f>J216/60*10</f>
        <v>216</v>
      </c>
      <c r="BS216" s="4403"/>
      <c r="BT216" s="4458"/>
      <c r="BU216" s="4458"/>
      <c r="BV216" s="4458"/>
      <c r="BW216" s="4458"/>
      <c r="BX216" s="4458"/>
      <c r="BY216" s="4458"/>
      <c r="BZ216" s="3708">
        <f t="shared" si="96"/>
        <v>1296</v>
      </c>
      <c r="CA216" s="4154">
        <f t="shared" si="97"/>
        <v>0</v>
      </c>
      <c r="CB216" s="4934"/>
      <c r="CC216" s="4934"/>
      <c r="CD216" s="4323"/>
      <c r="CE216" s="4323"/>
      <c r="CF216" s="4323"/>
    </row>
    <row r="217" s="4316" customFormat="1" ht="50" customHeight="1" spans="1:84">
      <c r="A217" s="4204">
        <v>45777</v>
      </c>
      <c r="B217" s="3700" t="s">
        <v>371</v>
      </c>
      <c r="C217" s="3700" t="s">
        <v>341</v>
      </c>
      <c r="D217" s="3699">
        <v>4500165439</v>
      </c>
      <c r="E217" s="3700" t="s">
        <v>1304</v>
      </c>
      <c r="F217" s="3700" t="s">
        <v>1305</v>
      </c>
      <c r="G217" s="3708" t="s">
        <v>1044</v>
      </c>
      <c r="H217" s="3700" t="s">
        <v>1045</v>
      </c>
      <c r="I217" s="4154" t="s">
        <v>328</v>
      </c>
      <c r="J217" s="4154">
        <v>504</v>
      </c>
      <c r="K217" s="4154">
        <v>0</v>
      </c>
      <c r="L217" s="4154">
        <v>12</v>
      </c>
      <c r="M217" s="4154">
        <f t="shared" si="94"/>
        <v>42</v>
      </c>
      <c r="N217" s="3707">
        <v>45825</v>
      </c>
      <c r="O217" s="3707">
        <v>45821</v>
      </c>
      <c r="P217" s="3712"/>
      <c r="Q217" s="4154" t="s">
        <v>82</v>
      </c>
      <c r="R217" s="4157"/>
      <c r="S217" s="4157"/>
      <c r="T217" s="4157"/>
      <c r="U217" s="3726" t="s">
        <v>1306</v>
      </c>
      <c r="V217" s="3711" t="s">
        <v>1307</v>
      </c>
      <c r="W217" s="3711"/>
      <c r="X217" s="3711" t="s">
        <v>1308</v>
      </c>
      <c r="Y217" s="3711"/>
      <c r="Z217" s="3711" t="s">
        <v>1309</v>
      </c>
      <c r="AA217" s="4154"/>
      <c r="AB217" s="3680" t="s">
        <v>1310</v>
      </c>
      <c r="AC217" s="3699" t="s">
        <v>380</v>
      </c>
      <c r="AD217" s="4504">
        <v>2.139</v>
      </c>
      <c r="AE217" s="4154">
        <f t="shared" si="89"/>
        <v>1078.056</v>
      </c>
      <c r="AF217" s="3726" t="s">
        <v>1311</v>
      </c>
      <c r="AG217" s="3726"/>
      <c r="AH217" s="4448"/>
      <c r="AI217" s="3708"/>
      <c r="AJ217" s="4448"/>
      <c r="AK217" s="1048">
        <f>J217</f>
        <v>504</v>
      </c>
      <c r="AL217" s="3708"/>
      <c r="AM217" s="4154"/>
      <c r="AN217" s="4411"/>
      <c r="AO217" s="1048">
        <f t="shared" si="91"/>
        <v>504</v>
      </c>
      <c r="AP217" s="1048"/>
      <c r="AQ217" s="4411"/>
      <c r="AR217" s="4411"/>
      <c r="AS217" s="1048">
        <f t="shared" si="98"/>
        <v>504</v>
      </c>
      <c r="AT217" s="1048"/>
      <c r="AU217" s="4411"/>
      <c r="AV217" s="4933"/>
      <c r="AW217" s="4933"/>
      <c r="AX217" s="1048"/>
      <c r="AY217" s="4933"/>
      <c r="AZ217" s="4933"/>
      <c r="BA217" s="1048"/>
      <c r="BB217" s="4622"/>
      <c r="BC217" s="4933"/>
      <c r="BD217" s="4622"/>
      <c r="BE217" s="4622"/>
      <c r="BF217" s="4622"/>
      <c r="BG217" s="4622"/>
      <c r="BH217" s="1048"/>
      <c r="BI217" s="4622"/>
      <c r="BJ217" s="1048"/>
      <c r="BK217" s="4415" t="s">
        <v>89</v>
      </c>
      <c r="BL217" s="4415"/>
      <c r="BM217" s="4415"/>
      <c r="BN217" s="4415">
        <f>J217</f>
        <v>504</v>
      </c>
      <c r="BO217" s="4415"/>
      <c r="BP217" s="4415"/>
      <c r="BQ217" s="4414"/>
      <c r="BR217" s="1048"/>
      <c r="BS217" s="4454"/>
      <c r="BT217" s="4454"/>
      <c r="BU217" s="4454"/>
      <c r="BV217" s="4454"/>
      <c r="BW217" s="4454"/>
      <c r="BX217" s="4453"/>
      <c r="BY217" s="4453"/>
      <c r="BZ217" s="3708">
        <f t="shared" si="96"/>
        <v>504</v>
      </c>
      <c r="CA217" s="4154">
        <f t="shared" si="97"/>
        <v>0</v>
      </c>
      <c r="CB217" s="4934"/>
      <c r="CC217" s="4934"/>
      <c r="CD217" s="4323"/>
      <c r="CE217" s="4323"/>
      <c r="CF217" s="4323"/>
    </row>
    <row r="218" s="4316" customFormat="1" ht="50" customHeight="1" spans="1:84">
      <c r="A218" s="4204">
        <v>45777</v>
      </c>
      <c r="B218" s="3700" t="s">
        <v>371</v>
      </c>
      <c r="C218" s="3700" t="s">
        <v>341</v>
      </c>
      <c r="D218" s="3699">
        <v>4500165439</v>
      </c>
      <c r="E218" s="3700" t="s">
        <v>1312</v>
      </c>
      <c r="F218" s="3700" t="s">
        <v>1313</v>
      </c>
      <c r="G218" s="3708" t="s">
        <v>1289</v>
      </c>
      <c r="H218" s="3700" t="s">
        <v>1290</v>
      </c>
      <c r="I218" s="4154" t="s">
        <v>328</v>
      </c>
      <c r="J218" s="4154">
        <v>504</v>
      </c>
      <c r="K218" s="4154">
        <v>0</v>
      </c>
      <c r="L218" s="4154">
        <v>12</v>
      </c>
      <c r="M218" s="4154">
        <f t="shared" si="94"/>
        <v>42</v>
      </c>
      <c r="N218" s="3707">
        <v>45825</v>
      </c>
      <c r="O218" s="3707">
        <v>45821</v>
      </c>
      <c r="P218" s="3712"/>
      <c r="Q218" s="4154" t="s">
        <v>82</v>
      </c>
      <c r="R218" s="4157"/>
      <c r="S218" s="4157"/>
      <c r="T218" s="4157"/>
      <c r="U218" s="3726" t="s">
        <v>1306</v>
      </c>
      <c r="V218" s="3711" t="s">
        <v>1307</v>
      </c>
      <c r="W218" s="3711"/>
      <c r="X218" s="3711" t="s">
        <v>1308</v>
      </c>
      <c r="Y218" s="3711"/>
      <c r="Z218" s="3711" t="s">
        <v>1309</v>
      </c>
      <c r="AA218" s="4154"/>
      <c r="AB218" s="3680" t="s">
        <v>1314</v>
      </c>
      <c r="AC218" s="3699" t="s">
        <v>380</v>
      </c>
      <c r="AD218" s="4504">
        <v>2.139</v>
      </c>
      <c r="AE218" s="4154">
        <f t="shared" si="89"/>
        <v>1078.056</v>
      </c>
      <c r="AF218" s="3726" t="s">
        <v>1311</v>
      </c>
      <c r="AG218" s="3726"/>
      <c r="AH218" s="4448"/>
      <c r="AI218" s="3708"/>
      <c r="AJ218" s="4448"/>
      <c r="AK218" s="1048">
        <f>J218</f>
        <v>504</v>
      </c>
      <c r="AL218" s="3708"/>
      <c r="AM218" s="4154"/>
      <c r="AN218" s="4411"/>
      <c r="AO218" s="1048">
        <f t="shared" si="91"/>
        <v>504</v>
      </c>
      <c r="AP218" s="1048"/>
      <c r="AQ218" s="4411"/>
      <c r="AR218" s="4411"/>
      <c r="AS218" s="1048">
        <f t="shared" si="98"/>
        <v>504</v>
      </c>
      <c r="AT218" s="1048"/>
      <c r="AU218" s="4411"/>
      <c r="AV218" s="4933"/>
      <c r="AW218" s="4933"/>
      <c r="AX218" s="1048"/>
      <c r="AY218" s="4933"/>
      <c r="AZ218" s="4933"/>
      <c r="BA218" s="1048"/>
      <c r="BB218" s="4622"/>
      <c r="BC218" s="4933"/>
      <c r="BD218" s="4622"/>
      <c r="BE218" s="4622"/>
      <c r="BF218" s="4622"/>
      <c r="BG218" s="4622"/>
      <c r="BH218" s="1048"/>
      <c r="BI218" s="4622"/>
      <c r="BJ218" s="1048"/>
      <c r="BK218" s="4415" t="s">
        <v>89</v>
      </c>
      <c r="BL218" s="4415"/>
      <c r="BM218" s="4415">
        <f>J218</f>
        <v>504</v>
      </c>
      <c r="BN218" s="4415"/>
      <c r="BO218" s="4415"/>
      <c r="BP218" s="4415"/>
      <c r="BQ218" s="4414"/>
      <c r="BR218" s="1048"/>
      <c r="BS218" s="4454"/>
      <c r="BT218" s="4454"/>
      <c r="BU218" s="4454"/>
      <c r="BV218" s="4454"/>
      <c r="BW218" s="4454"/>
      <c r="BX218" s="4453"/>
      <c r="BY218" s="4453"/>
      <c r="BZ218" s="3708">
        <f t="shared" si="96"/>
        <v>504</v>
      </c>
      <c r="CA218" s="4154">
        <f t="shared" si="97"/>
        <v>0</v>
      </c>
      <c r="CB218" s="4934"/>
      <c r="CC218" s="4934"/>
      <c r="CD218" s="4323"/>
      <c r="CE218" s="4323"/>
      <c r="CF218" s="4323"/>
    </row>
    <row r="219" s="4316" customFormat="1" ht="50" customHeight="1" spans="1:84">
      <c r="A219" s="4500">
        <v>45750</v>
      </c>
      <c r="B219" s="4501" t="s">
        <v>1315</v>
      </c>
      <c r="C219" s="3708" t="s">
        <v>1316</v>
      </c>
      <c r="D219" s="4502">
        <v>4500166280</v>
      </c>
      <c r="E219" s="3708" t="s">
        <v>1317</v>
      </c>
      <c r="F219" s="4502" t="s">
        <v>1318</v>
      </c>
      <c r="G219" s="3708" t="s">
        <v>1319</v>
      </c>
      <c r="H219" s="3708" t="s">
        <v>1319</v>
      </c>
      <c r="I219" s="3708" t="s">
        <v>1320</v>
      </c>
      <c r="J219" s="4154">
        <v>3800</v>
      </c>
      <c r="K219" s="4154">
        <v>0</v>
      </c>
      <c r="L219" s="4154">
        <v>4</v>
      </c>
      <c r="M219" s="4154">
        <f t="shared" si="94"/>
        <v>950</v>
      </c>
      <c r="N219" s="4503">
        <v>45822</v>
      </c>
      <c r="O219" s="4503">
        <v>45819</v>
      </c>
      <c r="P219" s="4154" t="s">
        <v>1321</v>
      </c>
      <c r="Q219" s="4154" t="s">
        <v>82</v>
      </c>
      <c r="R219" s="4157"/>
      <c r="S219" s="4157"/>
      <c r="T219" s="4157"/>
      <c r="U219" s="3726" t="s">
        <v>401</v>
      </c>
      <c r="V219" s="3711" t="s">
        <v>1322</v>
      </c>
      <c r="W219" s="3711"/>
      <c r="X219" s="3711" t="s">
        <v>1323</v>
      </c>
      <c r="Y219" s="3711"/>
      <c r="Z219" s="3711"/>
      <c r="AA219" s="4154" t="s">
        <v>1324</v>
      </c>
      <c r="AB219" s="3680" t="s">
        <v>1325</v>
      </c>
      <c r="AC219" s="4154" t="s">
        <v>1326</v>
      </c>
      <c r="AD219" s="3699">
        <v>16.8314</v>
      </c>
      <c r="AE219" s="3699">
        <f>AD219*M219</f>
        <v>15989.83</v>
      </c>
      <c r="AF219" s="3726"/>
      <c r="AG219" s="3726"/>
      <c r="AH219" s="4422"/>
      <c r="AI219" s="3708"/>
      <c r="AJ219" s="4422"/>
      <c r="AK219" s="3708"/>
      <c r="AL219" s="3708"/>
      <c r="AM219" s="4154">
        <f>J219</f>
        <v>3800</v>
      </c>
      <c r="AN219" s="907"/>
      <c r="AO219" s="1048"/>
      <c r="AP219" s="1048">
        <f>J219</f>
        <v>3800</v>
      </c>
      <c r="AQ219" s="907"/>
      <c r="AR219" s="907"/>
      <c r="AS219" s="1048">
        <f t="shared" si="98"/>
        <v>3800</v>
      </c>
      <c r="AT219" s="1048"/>
      <c r="AU219" s="907"/>
      <c r="AV219" s="4922"/>
      <c r="AW219" s="4922"/>
      <c r="AX219" s="1048"/>
      <c r="AY219" s="4922"/>
      <c r="AZ219" s="4922"/>
      <c r="BA219" s="1048"/>
      <c r="BB219" s="4622"/>
      <c r="BC219" s="4922"/>
      <c r="BD219" s="4622"/>
      <c r="BE219" s="4622"/>
      <c r="BF219" s="4622"/>
      <c r="BG219" s="4622"/>
      <c r="BH219" s="1048"/>
      <c r="BI219" s="4622"/>
      <c r="BJ219" s="1048"/>
      <c r="BK219" s="4415" t="s">
        <v>1327</v>
      </c>
      <c r="BL219" s="4415">
        <f>J219/60*1</f>
        <v>63.3333333333333</v>
      </c>
      <c r="BM219" s="4415">
        <f>J219/60*9</f>
        <v>570</v>
      </c>
      <c r="BN219" s="4415">
        <f>J219/60*10</f>
        <v>633.333333333333</v>
      </c>
      <c r="BO219" s="4415">
        <f>J219/60*10</f>
        <v>633.333333333333</v>
      </c>
      <c r="BP219" s="4415">
        <f>J219/60*10</f>
        <v>633.333333333333</v>
      </c>
      <c r="BQ219" s="4414">
        <f>J219/60*10</f>
        <v>633.333333333333</v>
      </c>
      <c r="BR219" s="1048">
        <f>J219/60*10</f>
        <v>633.333333333333</v>
      </c>
      <c r="BS219" s="4384"/>
      <c r="BT219" s="911"/>
      <c r="BU219" s="911"/>
      <c r="BV219" s="911"/>
      <c r="BW219" s="911"/>
      <c r="BX219" s="910"/>
      <c r="BY219" s="910"/>
      <c r="BZ219" s="3708">
        <f t="shared" si="96"/>
        <v>3800</v>
      </c>
      <c r="CA219" s="4154">
        <f t="shared" si="97"/>
        <v>0</v>
      </c>
      <c r="CB219" s="4923"/>
      <c r="CC219" s="4923"/>
      <c r="CD219" s="4323"/>
      <c r="CE219" s="4323"/>
      <c r="CF219" s="4323"/>
    </row>
    <row r="220" s="4316" customFormat="1" ht="50" customHeight="1" spans="1:84">
      <c r="A220" s="4500">
        <v>45750</v>
      </c>
      <c r="B220" s="4501" t="s">
        <v>1315</v>
      </c>
      <c r="C220" s="3708" t="s">
        <v>1316</v>
      </c>
      <c r="D220" s="4502">
        <v>4500166280</v>
      </c>
      <c r="E220" s="3708" t="s">
        <v>1328</v>
      </c>
      <c r="F220" s="4502" t="s">
        <v>1329</v>
      </c>
      <c r="G220" s="3708" t="s">
        <v>1319</v>
      </c>
      <c r="H220" s="3708" t="s">
        <v>1319</v>
      </c>
      <c r="I220" s="3708" t="s">
        <v>1320</v>
      </c>
      <c r="J220" s="4154">
        <v>3800</v>
      </c>
      <c r="K220" s="4154">
        <v>0</v>
      </c>
      <c r="L220" s="4154">
        <v>4</v>
      </c>
      <c r="M220" s="4154">
        <f t="shared" si="94"/>
        <v>950</v>
      </c>
      <c r="N220" s="4503">
        <v>45829</v>
      </c>
      <c r="O220" s="4503">
        <f>N220-4</f>
        <v>45825</v>
      </c>
      <c r="P220" s="4154" t="s">
        <v>1321</v>
      </c>
      <c r="Q220" s="4154" t="s">
        <v>82</v>
      </c>
      <c r="R220" s="4157"/>
      <c r="S220" s="4157"/>
      <c r="T220" s="4157"/>
      <c r="U220" s="3726" t="s">
        <v>401</v>
      </c>
      <c r="V220" s="3711" t="s">
        <v>1322</v>
      </c>
      <c r="W220" s="3711"/>
      <c r="X220" s="3711" t="s">
        <v>1323</v>
      </c>
      <c r="Y220" s="3711"/>
      <c r="Z220" s="3711"/>
      <c r="AA220" s="4154" t="s">
        <v>1330</v>
      </c>
      <c r="AB220" s="3680" t="s">
        <v>1325</v>
      </c>
      <c r="AC220" s="4154" t="s">
        <v>1326</v>
      </c>
      <c r="AD220" s="3699">
        <v>16.8314</v>
      </c>
      <c r="AE220" s="3699">
        <f>AD220*M220</f>
        <v>15989.83</v>
      </c>
      <c r="AF220" s="3726"/>
      <c r="AG220" s="3726"/>
      <c r="AH220" s="4422"/>
      <c r="AI220" s="3708"/>
      <c r="AJ220" s="4422"/>
      <c r="AK220" s="3708"/>
      <c r="AL220" s="3708"/>
      <c r="AM220" s="4154">
        <f>J220</f>
        <v>3800</v>
      </c>
      <c r="AN220" s="907"/>
      <c r="AO220" s="1048"/>
      <c r="AP220" s="1048">
        <f>J220</f>
        <v>3800</v>
      </c>
      <c r="AQ220" s="907"/>
      <c r="AR220" s="907"/>
      <c r="AS220" s="1048">
        <f t="shared" si="98"/>
        <v>3800</v>
      </c>
      <c r="AT220" s="1048"/>
      <c r="AU220" s="907"/>
      <c r="AV220" s="4922"/>
      <c r="AW220" s="4922"/>
      <c r="AX220" s="1048"/>
      <c r="AY220" s="4922"/>
      <c r="AZ220" s="4922"/>
      <c r="BA220" s="1048"/>
      <c r="BB220" s="4622"/>
      <c r="BC220" s="4922"/>
      <c r="BD220" s="4622"/>
      <c r="BE220" s="4622"/>
      <c r="BF220" s="4622"/>
      <c r="BG220" s="4622"/>
      <c r="BH220" s="1048"/>
      <c r="BI220" s="4622"/>
      <c r="BJ220" s="1048"/>
      <c r="BK220" s="4415" t="s">
        <v>1327</v>
      </c>
      <c r="BL220" s="4415">
        <f>J220/60*1</f>
        <v>63.3333333333333</v>
      </c>
      <c r="BM220" s="4415">
        <f>J220/60*9</f>
        <v>570</v>
      </c>
      <c r="BN220" s="4415">
        <f>J220/60*10</f>
        <v>633.333333333333</v>
      </c>
      <c r="BO220" s="4415">
        <f>J220/60*10</f>
        <v>633.333333333333</v>
      </c>
      <c r="BP220" s="4415">
        <f>J220/60*10</f>
        <v>633.333333333333</v>
      </c>
      <c r="BQ220" s="4414">
        <f>J220/60*10</f>
        <v>633.333333333333</v>
      </c>
      <c r="BR220" s="1048">
        <f>J220/60*10</f>
        <v>633.333333333333</v>
      </c>
      <c r="BS220" s="4384"/>
      <c r="BT220" s="911"/>
      <c r="BU220" s="911"/>
      <c r="BV220" s="911"/>
      <c r="BW220" s="911"/>
      <c r="BX220" s="910"/>
      <c r="BY220" s="910"/>
      <c r="BZ220" s="3708">
        <f t="shared" si="96"/>
        <v>3800</v>
      </c>
      <c r="CA220" s="4154">
        <f t="shared" si="97"/>
        <v>0</v>
      </c>
      <c r="CB220" s="4923"/>
      <c r="CC220" s="4923"/>
      <c r="CD220" s="4323"/>
      <c r="CE220" s="4323"/>
      <c r="CF220" s="4323"/>
    </row>
    <row r="221" s="4316" customFormat="1" ht="50" customHeight="1" spans="1:84">
      <c r="A221" s="4500">
        <v>45797</v>
      </c>
      <c r="B221" s="4501" t="s">
        <v>1331</v>
      </c>
      <c r="C221" s="3708" t="s">
        <v>1332</v>
      </c>
      <c r="D221" s="4502">
        <v>4500167152</v>
      </c>
      <c r="E221" s="3708" t="s">
        <v>1333</v>
      </c>
      <c r="F221" s="4615" t="s">
        <v>1334</v>
      </c>
      <c r="G221" s="3708" t="s">
        <v>1145</v>
      </c>
      <c r="H221" s="3708" t="s">
        <v>327</v>
      </c>
      <c r="I221" s="4154" t="s">
        <v>328</v>
      </c>
      <c r="J221" s="4154">
        <v>840</v>
      </c>
      <c r="K221" s="4154">
        <v>0</v>
      </c>
      <c r="L221" s="4154">
        <v>12</v>
      </c>
      <c r="M221" s="4154">
        <f t="shared" si="94"/>
        <v>70</v>
      </c>
      <c r="N221" s="4503">
        <v>45831</v>
      </c>
      <c r="O221" s="4503">
        <v>45827</v>
      </c>
      <c r="P221" s="3712"/>
      <c r="Q221" s="4154" t="s">
        <v>82</v>
      </c>
      <c r="R221" s="4157"/>
      <c r="S221" s="4157"/>
      <c r="T221" s="4157"/>
      <c r="U221" s="3680" t="s">
        <v>1335</v>
      </c>
      <c r="V221" s="3711" t="s">
        <v>1336</v>
      </c>
      <c r="W221" s="3711"/>
      <c r="X221" s="3711" t="s">
        <v>1337</v>
      </c>
      <c r="Y221" s="3711"/>
      <c r="Z221" s="3711"/>
      <c r="AA221" s="4154"/>
      <c r="AB221" s="3680" t="s">
        <v>1338</v>
      </c>
      <c r="AC221" s="4154" t="s">
        <v>459</v>
      </c>
      <c r="AD221" s="4504">
        <v>2.1633</v>
      </c>
      <c r="AE221" s="4154">
        <f t="shared" ref="AE221:AE226" si="99">J221*AD221</f>
        <v>1817.172</v>
      </c>
      <c r="AF221" s="3726"/>
      <c r="AG221" s="3726"/>
      <c r="AH221" s="4448"/>
      <c r="AI221" s="3708"/>
      <c r="AJ221" s="4448"/>
      <c r="AK221" s="3708">
        <f>J221</f>
        <v>840</v>
      </c>
      <c r="AL221" s="3708"/>
      <c r="AM221" s="4154"/>
      <c r="AN221" s="4411"/>
      <c r="AO221" s="1048">
        <f>J221</f>
        <v>840</v>
      </c>
      <c r="AP221" s="1048"/>
      <c r="AQ221" s="4411"/>
      <c r="AR221" s="4411"/>
      <c r="AS221" s="1048">
        <f t="shared" si="98"/>
        <v>840</v>
      </c>
      <c r="AT221" s="1048"/>
      <c r="AU221" s="4411"/>
      <c r="AV221" s="4933"/>
      <c r="AW221" s="4933"/>
      <c r="AX221" s="1048">
        <f>J221/6</f>
        <v>140</v>
      </c>
      <c r="AY221" s="4933"/>
      <c r="AZ221" s="4933"/>
      <c r="BA221" s="1048"/>
      <c r="BB221" s="4622"/>
      <c r="BC221" s="4933"/>
      <c r="BD221" s="4622"/>
      <c r="BE221" s="4622"/>
      <c r="BF221" s="4622"/>
      <c r="BG221" s="4622"/>
      <c r="BH221" s="1048"/>
      <c r="BI221" s="4622"/>
      <c r="BJ221" s="1048"/>
      <c r="BK221" s="4415" t="s">
        <v>89</v>
      </c>
      <c r="BL221" s="4415">
        <f>J221/60*1</f>
        <v>14</v>
      </c>
      <c r="BM221" s="4415">
        <f>J221/60*9</f>
        <v>126</v>
      </c>
      <c r="BN221" s="4415">
        <f>J221/60*10</f>
        <v>140</v>
      </c>
      <c r="BO221" s="4415">
        <f>J221/60*10</f>
        <v>140</v>
      </c>
      <c r="BP221" s="4415">
        <f>J221/60*10</f>
        <v>140</v>
      </c>
      <c r="BQ221" s="4414">
        <f>J221/60*10</f>
        <v>140</v>
      </c>
      <c r="BR221" s="1048">
        <f>J221/60*10</f>
        <v>140</v>
      </c>
      <c r="BS221" s="4454"/>
      <c r="BT221" s="4454"/>
      <c r="BU221" s="4454"/>
      <c r="BV221" s="4454"/>
      <c r="BW221" s="4454"/>
      <c r="BX221" s="4453"/>
      <c r="BY221" s="4453"/>
      <c r="BZ221" s="3708">
        <f t="shared" si="96"/>
        <v>840</v>
      </c>
      <c r="CA221" s="4154">
        <f t="shared" si="97"/>
        <v>0</v>
      </c>
      <c r="CB221" s="4934"/>
      <c r="CC221" s="4934"/>
      <c r="CD221" s="4323"/>
      <c r="CE221" s="4323"/>
      <c r="CF221" s="4323"/>
    </row>
    <row r="222" s="4316" customFormat="1" ht="50" customHeight="1" spans="1:84">
      <c r="A222" s="4500">
        <v>45790</v>
      </c>
      <c r="B222" s="4501" t="s">
        <v>1339</v>
      </c>
      <c r="C222" s="3708" t="s">
        <v>91</v>
      </c>
      <c r="D222" s="4502">
        <v>4500162227</v>
      </c>
      <c r="E222" s="3708">
        <v>839331</v>
      </c>
      <c r="F222" s="4615" t="s">
        <v>1340</v>
      </c>
      <c r="G222" s="3708" t="s">
        <v>327</v>
      </c>
      <c r="H222" s="3708" t="s">
        <v>327</v>
      </c>
      <c r="I222" s="4154" t="s">
        <v>328</v>
      </c>
      <c r="J222" s="4154">
        <v>1200</v>
      </c>
      <c r="K222" s="4154">
        <v>0</v>
      </c>
      <c r="L222" s="4154">
        <v>12</v>
      </c>
      <c r="M222" s="4154">
        <f t="shared" si="94"/>
        <v>100</v>
      </c>
      <c r="N222" s="4503">
        <v>45831</v>
      </c>
      <c r="O222" s="4503">
        <v>45827</v>
      </c>
      <c r="P222" s="3712"/>
      <c r="Q222" s="4154" t="s">
        <v>82</v>
      </c>
      <c r="R222" s="4157"/>
      <c r="S222" s="4157"/>
      <c r="T222" s="4157"/>
      <c r="U222" s="3726" t="s">
        <v>1341</v>
      </c>
      <c r="V222" s="3711" t="s">
        <v>1342</v>
      </c>
      <c r="W222" s="3711"/>
      <c r="X222" s="3711" t="s">
        <v>1343</v>
      </c>
      <c r="Y222" s="3711"/>
      <c r="Z222" s="3711"/>
      <c r="AA222" s="4154"/>
      <c r="AB222" s="3680" t="s">
        <v>1344</v>
      </c>
      <c r="AC222" s="4154" t="s">
        <v>1345</v>
      </c>
      <c r="AD222" s="4504">
        <v>1.3783</v>
      </c>
      <c r="AE222" s="4154">
        <f t="shared" si="99"/>
        <v>1653.96</v>
      </c>
      <c r="AF222" s="3726" t="s">
        <v>1346</v>
      </c>
      <c r="AG222" s="3726"/>
      <c r="AH222" s="4422"/>
      <c r="AI222" s="3708">
        <f>J222</f>
        <v>1200</v>
      </c>
      <c r="AJ222" s="4422"/>
      <c r="AK222" s="3708"/>
      <c r="AL222" s="3708"/>
      <c r="AM222" s="4154"/>
      <c r="AN222" s="907"/>
      <c r="AO222" s="1048">
        <f>J222</f>
        <v>1200</v>
      </c>
      <c r="AP222" s="1048"/>
      <c r="AQ222" s="907"/>
      <c r="AR222" s="907"/>
      <c r="AS222" s="1048">
        <f t="shared" si="98"/>
        <v>1200</v>
      </c>
      <c r="AT222" s="1048"/>
      <c r="AU222" s="907"/>
      <c r="AV222" s="4922"/>
      <c r="AW222" s="4922"/>
      <c r="AX222" s="1048">
        <f>J222/6</f>
        <v>200</v>
      </c>
      <c r="AY222" s="4922"/>
      <c r="AZ222" s="4922"/>
      <c r="BA222" s="1048"/>
      <c r="BB222" s="4622"/>
      <c r="BC222" s="4922"/>
      <c r="BD222" s="4622"/>
      <c r="BE222" s="4622"/>
      <c r="BF222" s="4622"/>
      <c r="BG222" s="4622"/>
      <c r="BH222" s="1048"/>
      <c r="BI222" s="4622"/>
      <c r="BJ222" s="1048"/>
      <c r="BK222" s="4415" t="s">
        <v>89</v>
      </c>
      <c r="BL222" s="4415">
        <f>J222/60*1</f>
        <v>20</v>
      </c>
      <c r="BM222" s="4415">
        <f>J222/60*9</f>
        <v>180</v>
      </c>
      <c r="BN222" s="4415">
        <f>J222/60*10</f>
        <v>200</v>
      </c>
      <c r="BO222" s="4415">
        <f>J222/60*10</f>
        <v>200</v>
      </c>
      <c r="BP222" s="4415">
        <f>J222/60*10</f>
        <v>200</v>
      </c>
      <c r="BQ222" s="4414">
        <f>J222/60*10</f>
        <v>200</v>
      </c>
      <c r="BR222" s="1048">
        <f>J222/60*10</f>
        <v>200</v>
      </c>
      <c r="BS222" s="911"/>
      <c r="BT222" s="911"/>
      <c r="BU222" s="911"/>
      <c r="BV222" s="911"/>
      <c r="BW222" s="911"/>
      <c r="BX222" s="910"/>
      <c r="BY222" s="910"/>
      <c r="BZ222" s="3708">
        <f t="shared" si="96"/>
        <v>1200</v>
      </c>
      <c r="CA222" s="4154">
        <f t="shared" si="97"/>
        <v>0</v>
      </c>
      <c r="CB222" s="4923"/>
      <c r="CC222" s="4923"/>
      <c r="CD222" s="4323"/>
      <c r="CE222" s="4323"/>
      <c r="CF222" s="4323"/>
    </row>
    <row r="223" s="4316" customFormat="1" ht="50" customHeight="1" spans="1:84">
      <c r="A223" s="4500">
        <v>45798</v>
      </c>
      <c r="B223" s="4501" t="s">
        <v>1016</v>
      </c>
      <c r="C223" s="3708" t="s">
        <v>396</v>
      </c>
      <c r="D223" s="4502">
        <v>4500167361</v>
      </c>
      <c r="E223" s="3708" t="s">
        <v>1347</v>
      </c>
      <c r="F223" s="4502" t="s">
        <v>1348</v>
      </c>
      <c r="G223" s="3708" t="s">
        <v>1019</v>
      </c>
      <c r="H223" s="3708" t="s">
        <v>1020</v>
      </c>
      <c r="I223" s="3699" t="s">
        <v>328</v>
      </c>
      <c r="J223" s="4154">
        <v>84</v>
      </c>
      <c r="K223" s="4154">
        <v>0</v>
      </c>
      <c r="L223" s="4154">
        <v>12</v>
      </c>
      <c r="M223" s="4154">
        <f t="shared" si="94"/>
        <v>7</v>
      </c>
      <c r="N223" s="4503">
        <v>45834</v>
      </c>
      <c r="O223" s="4503">
        <v>45831</v>
      </c>
      <c r="P223" s="3712"/>
      <c r="Q223" s="4154" t="s">
        <v>82</v>
      </c>
      <c r="R223" s="4157"/>
      <c r="S223" s="4157"/>
      <c r="T223" s="4157"/>
      <c r="U223" s="3726" t="s">
        <v>401</v>
      </c>
      <c r="V223" s="3711" t="s">
        <v>1349</v>
      </c>
      <c r="W223" s="3711"/>
      <c r="X223" s="3711" t="s">
        <v>366</v>
      </c>
      <c r="Y223" s="3711"/>
      <c r="Z223" s="3711"/>
      <c r="AA223" s="4154"/>
      <c r="AB223" s="3680" t="s">
        <v>1350</v>
      </c>
      <c r="AC223" s="4154" t="s">
        <v>369</v>
      </c>
      <c r="AD223" s="4504">
        <v>2.0402</v>
      </c>
      <c r="AE223" s="4154">
        <f t="shared" si="99"/>
        <v>171.3768</v>
      </c>
      <c r="AF223" s="3726"/>
      <c r="AG223" s="3726"/>
      <c r="AH223" s="984"/>
      <c r="AI223" s="3708"/>
      <c r="AJ223" s="984"/>
      <c r="AK223" s="3708">
        <f>J223</f>
        <v>84</v>
      </c>
      <c r="AL223" s="3708"/>
      <c r="AM223" s="4154"/>
      <c r="AN223" s="877"/>
      <c r="AO223" s="1048">
        <f t="shared" ref="AO223:AO233" si="100">J223</f>
        <v>84</v>
      </c>
      <c r="AP223" s="1048"/>
      <c r="AQ223" s="877"/>
      <c r="AR223" s="877"/>
      <c r="AS223" s="1048"/>
      <c r="AT223" s="1048">
        <f>J223</f>
        <v>84</v>
      </c>
      <c r="AU223" s="877"/>
      <c r="AV223" s="4921"/>
      <c r="AW223" s="4921"/>
      <c r="AX223" s="1048"/>
      <c r="AY223" s="4921"/>
      <c r="AZ223" s="4921"/>
      <c r="BA223" s="1048"/>
      <c r="BB223" s="4622"/>
      <c r="BC223" s="4921"/>
      <c r="BD223" s="4622"/>
      <c r="BE223" s="4622"/>
      <c r="BF223" s="4622"/>
      <c r="BG223" s="4622"/>
      <c r="BH223" s="1048"/>
      <c r="BI223" s="4622"/>
      <c r="BJ223" s="1048"/>
      <c r="BK223" s="4415" t="s">
        <v>89</v>
      </c>
      <c r="BL223" s="4415">
        <f t="shared" ref="BL223:BL261" si="101">J223/60*1</f>
        <v>1.4</v>
      </c>
      <c r="BM223" s="4415"/>
      <c r="BN223" s="4415">
        <f>J223-BL223</f>
        <v>82.6</v>
      </c>
      <c r="BO223" s="4415"/>
      <c r="BP223" s="4415"/>
      <c r="BQ223" s="4414"/>
      <c r="BR223" s="1048"/>
      <c r="BS223" s="992"/>
      <c r="BT223" s="992"/>
      <c r="BU223" s="992"/>
      <c r="BV223" s="992"/>
      <c r="BW223" s="992"/>
      <c r="BX223" s="991"/>
      <c r="BY223" s="991"/>
      <c r="BZ223" s="3708">
        <f t="shared" si="96"/>
        <v>84</v>
      </c>
      <c r="CA223" s="4154">
        <f t="shared" si="97"/>
        <v>0</v>
      </c>
      <c r="CB223" s="4804"/>
      <c r="CC223" s="4804"/>
      <c r="CD223" s="4323"/>
      <c r="CE223" s="4323"/>
      <c r="CF223" s="4323"/>
    </row>
    <row r="224" s="4316" customFormat="1" ht="50" customHeight="1" spans="1:84">
      <c r="A224" s="4500">
        <v>45798</v>
      </c>
      <c r="B224" s="4501" t="s">
        <v>1016</v>
      </c>
      <c r="C224" s="3708" t="s">
        <v>396</v>
      </c>
      <c r="D224" s="4502">
        <v>4500167361</v>
      </c>
      <c r="E224" s="3708" t="s">
        <v>1351</v>
      </c>
      <c r="F224" s="4502" t="s">
        <v>1352</v>
      </c>
      <c r="G224" s="3708" t="s">
        <v>1019</v>
      </c>
      <c r="H224" s="3708" t="s">
        <v>1020</v>
      </c>
      <c r="I224" s="3699" t="s">
        <v>328</v>
      </c>
      <c r="J224" s="4154">
        <v>132</v>
      </c>
      <c r="K224" s="4154">
        <v>0</v>
      </c>
      <c r="L224" s="4154">
        <v>12</v>
      </c>
      <c r="M224" s="4154">
        <f t="shared" si="94"/>
        <v>11</v>
      </c>
      <c r="N224" s="4503">
        <v>45834</v>
      </c>
      <c r="O224" s="4503">
        <v>45831</v>
      </c>
      <c r="P224" s="3712"/>
      <c r="Q224" s="4154" t="s">
        <v>82</v>
      </c>
      <c r="R224" s="4157"/>
      <c r="S224" s="4157"/>
      <c r="T224" s="4157"/>
      <c r="U224" s="3726" t="s">
        <v>401</v>
      </c>
      <c r="V224" s="3711" t="s">
        <v>1349</v>
      </c>
      <c r="W224" s="3711"/>
      <c r="X224" s="3711" t="s">
        <v>366</v>
      </c>
      <c r="Y224" s="3711"/>
      <c r="Z224" s="3711"/>
      <c r="AA224" s="4154"/>
      <c r="AB224" s="3680" t="s">
        <v>1350</v>
      </c>
      <c r="AC224" s="4154" t="s">
        <v>369</v>
      </c>
      <c r="AD224" s="4504">
        <v>2.0402</v>
      </c>
      <c r="AE224" s="4154">
        <f t="shared" si="99"/>
        <v>269.3064</v>
      </c>
      <c r="AF224" s="3726"/>
      <c r="AG224" s="3726"/>
      <c r="AH224" s="984"/>
      <c r="AI224" s="3708"/>
      <c r="AJ224" s="984"/>
      <c r="AK224" s="3708">
        <f>J224</f>
        <v>132</v>
      </c>
      <c r="AL224" s="3708"/>
      <c r="AM224" s="4154"/>
      <c r="AN224" s="877"/>
      <c r="AO224" s="1048">
        <f t="shared" si="100"/>
        <v>132</v>
      </c>
      <c r="AP224" s="1048"/>
      <c r="AQ224" s="877"/>
      <c r="AR224" s="877"/>
      <c r="AS224" s="1048"/>
      <c r="AT224" s="1048">
        <f t="shared" ref="AT224:AT232" si="102">J224</f>
        <v>132</v>
      </c>
      <c r="AU224" s="877"/>
      <c r="AV224" s="4921"/>
      <c r="AW224" s="4921"/>
      <c r="AX224" s="1048"/>
      <c r="AY224" s="4921"/>
      <c r="AZ224" s="4921"/>
      <c r="BA224" s="1048"/>
      <c r="BB224" s="4622"/>
      <c r="BC224" s="4921"/>
      <c r="BD224" s="4622"/>
      <c r="BE224" s="4622"/>
      <c r="BF224" s="4622"/>
      <c r="BG224" s="4622"/>
      <c r="BH224" s="1048"/>
      <c r="BI224" s="4622"/>
      <c r="BJ224" s="1048"/>
      <c r="BK224" s="4415" t="s">
        <v>89</v>
      </c>
      <c r="BL224" s="4415">
        <f t="shared" si="101"/>
        <v>2.2</v>
      </c>
      <c r="BM224" s="4415"/>
      <c r="BN224" s="4415">
        <f>J224-BL224</f>
        <v>129.8</v>
      </c>
      <c r="BO224" s="4415"/>
      <c r="BP224" s="4415"/>
      <c r="BQ224" s="4414"/>
      <c r="BR224" s="1048"/>
      <c r="BS224" s="992"/>
      <c r="BT224" s="992"/>
      <c r="BU224" s="992"/>
      <c r="BV224" s="992"/>
      <c r="BW224" s="992"/>
      <c r="BX224" s="991"/>
      <c r="BY224" s="991"/>
      <c r="BZ224" s="3708">
        <f t="shared" si="96"/>
        <v>132</v>
      </c>
      <c r="CA224" s="4154">
        <f t="shared" si="97"/>
        <v>0</v>
      </c>
      <c r="CB224" s="4804"/>
      <c r="CC224" s="4804"/>
      <c r="CD224" s="4323"/>
      <c r="CE224" s="4323"/>
      <c r="CF224" s="4323"/>
    </row>
    <row r="225" s="4316" customFormat="1" ht="50" customHeight="1" spans="1:84">
      <c r="A225" s="4500">
        <v>45798</v>
      </c>
      <c r="B225" s="4501" t="s">
        <v>1016</v>
      </c>
      <c r="C225" s="3708" t="s">
        <v>396</v>
      </c>
      <c r="D225" s="4502">
        <v>4500167361</v>
      </c>
      <c r="E225" s="3708" t="s">
        <v>1353</v>
      </c>
      <c r="F225" s="4502" t="s">
        <v>1354</v>
      </c>
      <c r="G225" s="3708" t="s">
        <v>1019</v>
      </c>
      <c r="H225" s="3708" t="s">
        <v>1020</v>
      </c>
      <c r="I225" s="3699" t="s">
        <v>328</v>
      </c>
      <c r="J225" s="4154">
        <v>12</v>
      </c>
      <c r="K225" s="4154">
        <v>0</v>
      </c>
      <c r="L225" s="4154">
        <v>12</v>
      </c>
      <c r="M225" s="4154">
        <f t="shared" si="94"/>
        <v>1</v>
      </c>
      <c r="N225" s="4503">
        <v>45834</v>
      </c>
      <c r="O225" s="4503">
        <v>45831</v>
      </c>
      <c r="P225" s="3712"/>
      <c r="Q225" s="4154" t="s">
        <v>82</v>
      </c>
      <c r="R225" s="4157"/>
      <c r="S225" s="4157"/>
      <c r="T225" s="4157"/>
      <c r="U225" s="3726" t="s">
        <v>401</v>
      </c>
      <c r="V225" s="3711" t="s">
        <v>1349</v>
      </c>
      <c r="W225" s="3711"/>
      <c r="X225" s="3711" t="s">
        <v>366</v>
      </c>
      <c r="Y225" s="3711"/>
      <c r="Z225" s="3711"/>
      <c r="AA225" s="4154"/>
      <c r="AB225" s="3680" t="s">
        <v>1350</v>
      </c>
      <c r="AC225" s="4154" t="s">
        <v>369</v>
      </c>
      <c r="AD225" s="4504">
        <v>2.0402</v>
      </c>
      <c r="AE225" s="4154">
        <f t="shared" si="99"/>
        <v>24.4824</v>
      </c>
      <c r="AF225" s="3726"/>
      <c r="AG225" s="3726"/>
      <c r="AH225" s="984"/>
      <c r="AI225" s="3708"/>
      <c r="AJ225" s="984"/>
      <c r="AK225" s="3708">
        <f>J225</f>
        <v>12</v>
      </c>
      <c r="AL225" s="3708"/>
      <c r="AM225" s="4154"/>
      <c r="AN225" s="877"/>
      <c r="AO225" s="1048">
        <f t="shared" si="100"/>
        <v>12</v>
      </c>
      <c r="AP225" s="1048"/>
      <c r="AQ225" s="877"/>
      <c r="AR225" s="877"/>
      <c r="AS225" s="1048"/>
      <c r="AT225" s="1048">
        <f t="shared" si="102"/>
        <v>12</v>
      </c>
      <c r="AU225" s="877"/>
      <c r="AV225" s="4921"/>
      <c r="AW225" s="4921"/>
      <c r="AX225" s="1048"/>
      <c r="AY225" s="4921"/>
      <c r="AZ225" s="4921"/>
      <c r="BA225" s="1048"/>
      <c r="BB225" s="4622"/>
      <c r="BC225" s="4921"/>
      <c r="BD225" s="4622"/>
      <c r="BE225" s="4622"/>
      <c r="BF225" s="4622"/>
      <c r="BG225" s="4622"/>
      <c r="BH225" s="1048"/>
      <c r="BI225" s="4622"/>
      <c r="BJ225" s="1048"/>
      <c r="BK225" s="4415" t="s">
        <v>89</v>
      </c>
      <c r="BL225" s="4415">
        <f t="shared" si="101"/>
        <v>0.2</v>
      </c>
      <c r="BM225" s="4415"/>
      <c r="BN225" s="4415">
        <f>J225-BL225</f>
        <v>11.8</v>
      </c>
      <c r="BO225" s="4415"/>
      <c r="BP225" s="4415"/>
      <c r="BQ225" s="4414"/>
      <c r="BR225" s="1048"/>
      <c r="BS225" s="992"/>
      <c r="BT225" s="992"/>
      <c r="BU225" s="992"/>
      <c r="BV225" s="992"/>
      <c r="BW225" s="992"/>
      <c r="BX225" s="991"/>
      <c r="BY225" s="991"/>
      <c r="BZ225" s="3708">
        <f t="shared" si="96"/>
        <v>12</v>
      </c>
      <c r="CA225" s="4154">
        <f t="shared" si="97"/>
        <v>0</v>
      </c>
      <c r="CB225" s="4804"/>
      <c r="CC225" s="4804"/>
      <c r="CD225" s="4323"/>
      <c r="CE225" s="4323"/>
      <c r="CF225" s="4323"/>
    </row>
    <row r="226" s="4316" customFormat="1" ht="50" customHeight="1" spans="1:84">
      <c r="A226" s="4500">
        <v>45798</v>
      </c>
      <c r="B226" s="4501" t="s">
        <v>1016</v>
      </c>
      <c r="C226" s="3708" t="s">
        <v>396</v>
      </c>
      <c r="D226" s="4502">
        <v>4500167361</v>
      </c>
      <c r="E226" s="3708" t="s">
        <v>1355</v>
      </c>
      <c r="F226" s="4502" t="s">
        <v>1356</v>
      </c>
      <c r="G226" s="3708" t="s">
        <v>1019</v>
      </c>
      <c r="H226" s="3708" t="s">
        <v>1020</v>
      </c>
      <c r="I226" s="3699" t="s">
        <v>328</v>
      </c>
      <c r="J226" s="4154">
        <v>48</v>
      </c>
      <c r="K226" s="4154">
        <v>0</v>
      </c>
      <c r="L226" s="4154">
        <v>12</v>
      </c>
      <c r="M226" s="4154">
        <f t="shared" si="94"/>
        <v>4</v>
      </c>
      <c r="N226" s="4503">
        <v>45834</v>
      </c>
      <c r="O226" s="4503">
        <v>45831</v>
      </c>
      <c r="P226" s="3712"/>
      <c r="Q226" s="4154" t="s">
        <v>82</v>
      </c>
      <c r="R226" s="4157"/>
      <c r="S226" s="4940"/>
      <c r="T226" s="4940"/>
      <c r="U226" s="3726" t="s">
        <v>401</v>
      </c>
      <c r="V226" s="3711" t="s">
        <v>1349</v>
      </c>
      <c r="W226" s="3711"/>
      <c r="X226" s="3711" t="s">
        <v>366</v>
      </c>
      <c r="Y226" s="3711"/>
      <c r="Z226" s="3711"/>
      <c r="AA226" s="4154"/>
      <c r="AB226" s="3680" t="s">
        <v>1350</v>
      </c>
      <c r="AC226" s="4154" t="s">
        <v>369</v>
      </c>
      <c r="AD226" s="4504">
        <v>2.0402</v>
      </c>
      <c r="AE226" s="4154">
        <f t="shared" si="99"/>
        <v>97.9296</v>
      </c>
      <c r="AF226" s="3726"/>
      <c r="AG226" s="3726"/>
      <c r="AH226" s="984"/>
      <c r="AI226" s="3708"/>
      <c r="AJ226" s="984"/>
      <c r="AK226" s="3708">
        <f>J226</f>
        <v>48</v>
      </c>
      <c r="AL226" s="3708"/>
      <c r="AM226" s="4154"/>
      <c r="AN226" s="877"/>
      <c r="AO226" s="1048">
        <f t="shared" si="100"/>
        <v>48</v>
      </c>
      <c r="AP226" s="1048"/>
      <c r="AQ226" s="877"/>
      <c r="AR226" s="877"/>
      <c r="AS226" s="1048"/>
      <c r="AT226" s="1048">
        <f t="shared" si="102"/>
        <v>48</v>
      </c>
      <c r="AU226" s="877"/>
      <c r="AV226" s="4921"/>
      <c r="AW226" s="4921"/>
      <c r="AX226" s="1048"/>
      <c r="AY226" s="4921"/>
      <c r="AZ226" s="4921"/>
      <c r="BA226" s="1048"/>
      <c r="BB226" s="4622"/>
      <c r="BC226" s="4921"/>
      <c r="BD226" s="4622"/>
      <c r="BE226" s="4622"/>
      <c r="BF226" s="4622"/>
      <c r="BG226" s="4622"/>
      <c r="BH226" s="1048"/>
      <c r="BI226" s="4622"/>
      <c r="BJ226" s="1048"/>
      <c r="BK226" s="4415" t="s">
        <v>89</v>
      </c>
      <c r="BL226" s="4415">
        <f t="shared" si="101"/>
        <v>0.8</v>
      </c>
      <c r="BM226" s="4415"/>
      <c r="BN226" s="4415">
        <f>J226-BL226</f>
        <v>47.2</v>
      </c>
      <c r="BO226" s="4415"/>
      <c r="BP226" s="4415"/>
      <c r="BQ226" s="4414"/>
      <c r="BR226" s="1048"/>
      <c r="BS226" s="992"/>
      <c r="BT226" s="992"/>
      <c r="BU226" s="992"/>
      <c r="BV226" s="992"/>
      <c r="BW226" s="992"/>
      <c r="BX226" s="991"/>
      <c r="BY226" s="991"/>
      <c r="BZ226" s="3708">
        <f t="shared" si="96"/>
        <v>48</v>
      </c>
      <c r="CA226" s="4154">
        <f t="shared" si="97"/>
        <v>0</v>
      </c>
      <c r="CB226" s="4804"/>
      <c r="CC226" s="4804"/>
      <c r="CD226" s="4323"/>
      <c r="CE226" s="4323"/>
      <c r="CF226" s="4323"/>
    </row>
    <row r="227" s="4316" customFormat="1" ht="50" customHeight="1" spans="1:84">
      <c r="A227" s="4500">
        <v>45798</v>
      </c>
      <c r="B227" s="4501" t="s">
        <v>1016</v>
      </c>
      <c r="C227" s="3708" t="s">
        <v>396</v>
      </c>
      <c r="D227" s="4502">
        <v>4500167361</v>
      </c>
      <c r="E227" s="3708" t="s">
        <v>1357</v>
      </c>
      <c r="F227" s="4502" t="s">
        <v>1358</v>
      </c>
      <c r="G227" s="3708" t="s">
        <v>1032</v>
      </c>
      <c r="H227" s="3708" t="s">
        <v>1033</v>
      </c>
      <c r="I227" s="3699" t="s">
        <v>328</v>
      </c>
      <c r="J227" s="4154">
        <v>12</v>
      </c>
      <c r="K227" s="4154">
        <v>0</v>
      </c>
      <c r="L227" s="4154">
        <v>12</v>
      </c>
      <c r="M227" s="4154">
        <f t="shared" si="94"/>
        <v>1</v>
      </c>
      <c r="N227" s="4503">
        <v>45834</v>
      </c>
      <c r="O227" s="4503">
        <v>45831</v>
      </c>
      <c r="P227" s="3712"/>
      <c r="Q227" s="4154" t="s">
        <v>82</v>
      </c>
      <c r="R227" s="4157"/>
      <c r="S227" s="4157"/>
      <c r="T227" s="4157"/>
      <c r="U227" s="3726" t="s">
        <v>401</v>
      </c>
      <c r="V227" s="3711" t="s">
        <v>1349</v>
      </c>
      <c r="W227" s="3711"/>
      <c r="X227" s="3711" t="s">
        <v>366</v>
      </c>
      <c r="Y227" s="3711"/>
      <c r="Z227" s="3711"/>
      <c r="AA227" s="4154"/>
      <c r="AB227" s="3680" t="s">
        <v>1350</v>
      </c>
      <c r="AC227" s="4154" t="s">
        <v>369</v>
      </c>
      <c r="AD227" s="4504">
        <v>2.0402</v>
      </c>
      <c r="AE227" s="4154">
        <f t="shared" ref="AE227:AE233" si="103">J227*AD227</f>
        <v>24.4824</v>
      </c>
      <c r="AF227" s="3726"/>
      <c r="AG227" s="3726"/>
      <c r="AH227" s="984"/>
      <c r="AI227" s="3708"/>
      <c r="AJ227" s="984"/>
      <c r="AK227" s="1048">
        <f>J227</f>
        <v>12</v>
      </c>
      <c r="AL227" s="3708"/>
      <c r="AM227" s="4154"/>
      <c r="AN227" s="877"/>
      <c r="AO227" s="1048">
        <f t="shared" si="100"/>
        <v>12</v>
      </c>
      <c r="AP227" s="1048"/>
      <c r="AQ227" s="877"/>
      <c r="AR227" s="877"/>
      <c r="AS227" s="1048"/>
      <c r="AT227" s="1048">
        <f t="shared" si="102"/>
        <v>12</v>
      </c>
      <c r="AU227" s="877"/>
      <c r="AV227" s="4921"/>
      <c r="AW227" s="4921"/>
      <c r="AX227" s="1048"/>
      <c r="AY227" s="4921"/>
      <c r="AZ227" s="4921"/>
      <c r="BA227" s="1048"/>
      <c r="BB227" s="4622"/>
      <c r="BC227" s="4921"/>
      <c r="BD227" s="4622"/>
      <c r="BE227" s="4622"/>
      <c r="BF227" s="4622"/>
      <c r="BG227" s="4622"/>
      <c r="BH227" s="1048"/>
      <c r="BI227" s="4622"/>
      <c r="BJ227" s="1048"/>
      <c r="BK227" s="4415" t="s">
        <v>89</v>
      </c>
      <c r="BL227" s="4415">
        <f t="shared" si="101"/>
        <v>0.2</v>
      </c>
      <c r="BM227" s="4415"/>
      <c r="BN227" s="4415"/>
      <c r="BO227" s="4415">
        <f t="shared" ref="BO227:BO232" si="104">J227</f>
        <v>12</v>
      </c>
      <c r="BP227" s="4415"/>
      <c r="BQ227" s="4414"/>
      <c r="BR227" s="1048"/>
      <c r="BS227" s="992"/>
      <c r="BT227" s="992"/>
      <c r="BU227" s="992"/>
      <c r="BV227" s="992"/>
      <c r="BW227" s="992"/>
      <c r="BX227" s="991"/>
      <c r="BY227" s="991"/>
      <c r="BZ227" s="3708">
        <f t="shared" si="96"/>
        <v>12.2</v>
      </c>
      <c r="CA227" s="4154">
        <f t="shared" si="97"/>
        <v>-0.199999999999999</v>
      </c>
      <c r="CB227" s="4804"/>
      <c r="CC227" s="4804"/>
      <c r="CD227" s="4323"/>
      <c r="CE227" s="4323"/>
      <c r="CF227" s="4323"/>
    </row>
    <row r="228" s="4316" customFormat="1" ht="50" customHeight="1" spans="1:84">
      <c r="A228" s="4500">
        <v>45798</v>
      </c>
      <c r="B228" s="4501" t="s">
        <v>1016</v>
      </c>
      <c r="C228" s="3708" t="s">
        <v>396</v>
      </c>
      <c r="D228" s="4502">
        <v>4500167361</v>
      </c>
      <c r="E228" s="3708" t="s">
        <v>1359</v>
      </c>
      <c r="F228" s="4502" t="s">
        <v>1360</v>
      </c>
      <c r="G228" s="3708" t="s">
        <v>1032</v>
      </c>
      <c r="H228" s="3708" t="s">
        <v>1033</v>
      </c>
      <c r="I228" s="3699" t="s">
        <v>328</v>
      </c>
      <c r="J228" s="4154">
        <v>12</v>
      </c>
      <c r="K228" s="4154">
        <v>0</v>
      </c>
      <c r="L228" s="4154">
        <v>12</v>
      </c>
      <c r="M228" s="4154">
        <f t="shared" si="94"/>
        <v>1</v>
      </c>
      <c r="N228" s="4503">
        <v>45834</v>
      </c>
      <c r="O228" s="4503">
        <v>45831</v>
      </c>
      <c r="P228" s="3712"/>
      <c r="Q228" s="4154" t="s">
        <v>82</v>
      </c>
      <c r="R228" s="4157"/>
      <c r="S228" s="4157"/>
      <c r="T228" s="4157"/>
      <c r="U228" s="3726" t="s">
        <v>401</v>
      </c>
      <c r="V228" s="3711" t="s">
        <v>1349</v>
      </c>
      <c r="W228" s="3711"/>
      <c r="X228" s="3711" t="s">
        <v>366</v>
      </c>
      <c r="Y228" s="3711"/>
      <c r="Z228" s="3711"/>
      <c r="AA228" s="4154"/>
      <c r="AB228" s="3680" t="s">
        <v>1350</v>
      </c>
      <c r="AC228" s="4154" t="s">
        <v>369</v>
      </c>
      <c r="AD228" s="4504">
        <v>2.0402</v>
      </c>
      <c r="AE228" s="4154">
        <f t="shared" si="103"/>
        <v>24.4824</v>
      </c>
      <c r="AF228" s="3726"/>
      <c r="AG228" s="3726"/>
      <c r="AH228" s="984"/>
      <c r="AI228" s="3708"/>
      <c r="AJ228" s="984"/>
      <c r="AK228" s="1048">
        <f t="shared" ref="AK227:AK232" si="105">J228</f>
        <v>12</v>
      </c>
      <c r="AL228" s="3708"/>
      <c r="AM228" s="4154"/>
      <c r="AN228" s="877"/>
      <c r="AO228" s="1048">
        <f t="shared" si="100"/>
        <v>12</v>
      </c>
      <c r="AP228" s="1048"/>
      <c r="AQ228" s="877"/>
      <c r="AR228" s="877"/>
      <c r="AS228" s="1048"/>
      <c r="AT228" s="1048">
        <f t="shared" si="102"/>
        <v>12</v>
      </c>
      <c r="AU228" s="877"/>
      <c r="AV228" s="4921"/>
      <c r="AW228" s="4921"/>
      <c r="AX228" s="1048"/>
      <c r="AY228" s="4921"/>
      <c r="AZ228" s="4921"/>
      <c r="BA228" s="1048"/>
      <c r="BB228" s="4622"/>
      <c r="BC228" s="4921"/>
      <c r="BD228" s="4622"/>
      <c r="BE228" s="4622"/>
      <c r="BF228" s="4622"/>
      <c r="BG228" s="4622"/>
      <c r="BH228" s="1048"/>
      <c r="BI228" s="4622"/>
      <c r="BJ228" s="1048"/>
      <c r="BK228" s="4415" t="s">
        <v>89</v>
      </c>
      <c r="BL228" s="4415">
        <f t="shared" si="101"/>
        <v>0.2</v>
      </c>
      <c r="BM228" s="4415"/>
      <c r="BN228" s="4415"/>
      <c r="BO228" s="4415">
        <f t="shared" si="104"/>
        <v>12</v>
      </c>
      <c r="BP228" s="4415"/>
      <c r="BQ228" s="4414"/>
      <c r="BR228" s="1048"/>
      <c r="BS228" s="992"/>
      <c r="BT228" s="992"/>
      <c r="BU228" s="992"/>
      <c r="BV228" s="992"/>
      <c r="BW228" s="992"/>
      <c r="BX228" s="991"/>
      <c r="BY228" s="991"/>
      <c r="BZ228" s="3708">
        <f t="shared" si="96"/>
        <v>12.2</v>
      </c>
      <c r="CA228" s="4154">
        <f t="shared" si="97"/>
        <v>-0.199999999999999</v>
      </c>
      <c r="CB228" s="4804"/>
      <c r="CC228" s="4804"/>
      <c r="CD228" s="4323"/>
      <c r="CE228" s="4323"/>
      <c r="CF228" s="4323"/>
    </row>
    <row r="229" s="4316" customFormat="1" ht="50" customHeight="1" spans="1:84">
      <c r="A229" s="4500">
        <v>45798</v>
      </c>
      <c r="B229" s="4501" t="s">
        <v>1016</v>
      </c>
      <c r="C229" s="3708" t="s">
        <v>396</v>
      </c>
      <c r="D229" s="4502">
        <v>4500167361</v>
      </c>
      <c r="E229" s="3708" t="s">
        <v>1361</v>
      </c>
      <c r="F229" s="4502" t="s">
        <v>1362</v>
      </c>
      <c r="G229" s="3708" t="s">
        <v>1032</v>
      </c>
      <c r="H229" s="3708" t="s">
        <v>1033</v>
      </c>
      <c r="I229" s="3699" t="s">
        <v>328</v>
      </c>
      <c r="J229" s="4154">
        <v>12</v>
      </c>
      <c r="K229" s="4154">
        <v>0</v>
      </c>
      <c r="L229" s="4154">
        <v>12</v>
      </c>
      <c r="M229" s="4154">
        <f t="shared" si="94"/>
        <v>1</v>
      </c>
      <c r="N229" s="4503">
        <v>45834</v>
      </c>
      <c r="O229" s="4503">
        <v>45831</v>
      </c>
      <c r="P229" s="3712"/>
      <c r="Q229" s="4154" t="s">
        <v>82</v>
      </c>
      <c r="R229" s="4157"/>
      <c r="S229" s="4157"/>
      <c r="T229" s="4157"/>
      <c r="U229" s="3726" t="s">
        <v>401</v>
      </c>
      <c r="V229" s="3711" t="s">
        <v>1349</v>
      </c>
      <c r="W229" s="3711"/>
      <c r="X229" s="3711" t="s">
        <v>366</v>
      </c>
      <c r="Y229" s="3711"/>
      <c r="Z229" s="3711"/>
      <c r="AA229" s="4154"/>
      <c r="AB229" s="3680" t="s">
        <v>1350</v>
      </c>
      <c r="AC229" s="4154" t="s">
        <v>369</v>
      </c>
      <c r="AD229" s="4504">
        <v>2.0402</v>
      </c>
      <c r="AE229" s="4154">
        <f t="shared" si="103"/>
        <v>24.4824</v>
      </c>
      <c r="AF229" s="3726"/>
      <c r="AG229" s="3726"/>
      <c r="AH229" s="984"/>
      <c r="AI229" s="3708"/>
      <c r="AJ229" s="984"/>
      <c r="AK229" s="1048">
        <f t="shared" si="105"/>
        <v>12</v>
      </c>
      <c r="AL229" s="3708"/>
      <c r="AM229" s="4154"/>
      <c r="AN229" s="877"/>
      <c r="AO229" s="1048">
        <f t="shared" si="100"/>
        <v>12</v>
      </c>
      <c r="AP229" s="1048"/>
      <c r="AQ229" s="877"/>
      <c r="AR229" s="877"/>
      <c r="AS229" s="1048"/>
      <c r="AT229" s="1048">
        <f t="shared" si="102"/>
        <v>12</v>
      </c>
      <c r="AU229" s="877"/>
      <c r="AV229" s="4921"/>
      <c r="AW229" s="4921"/>
      <c r="AX229" s="1048"/>
      <c r="AY229" s="4921"/>
      <c r="AZ229" s="4921"/>
      <c r="BA229" s="1048"/>
      <c r="BB229" s="4622"/>
      <c r="BC229" s="4921"/>
      <c r="BD229" s="4622"/>
      <c r="BE229" s="4622"/>
      <c r="BF229" s="4622"/>
      <c r="BG229" s="4622"/>
      <c r="BH229" s="1048"/>
      <c r="BI229" s="4622"/>
      <c r="BJ229" s="1048"/>
      <c r="BK229" s="4415" t="s">
        <v>89</v>
      </c>
      <c r="BL229" s="4415">
        <f t="shared" si="101"/>
        <v>0.2</v>
      </c>
      <c r="BM229" s="4415"/>
      <c r="BN229" s="4415"/>
      <c r="BO229" s="4415">
        <f t="shared" si="104"/>
        <v>12</v>
      </c>
      <c r="BP229" s="4415"/>
      <c r="BQ229" s="4414"/>
      <c r="BR229" s="1048"/>
      <c r="BS229" s="992"/>
      <c r="BT229" s="992"/>
      <c r="BU229" s="992"/>
      <c r="BV229" s="992"/>
      <c r="BW229" s="992"/>
      <c r="BX229" s="991"/>
      <c r="BY229" s="991"/>
      <c r="BZ229" s="3708">
        <f t="shared" si="96"/>
        <v>12.2</v>
      </c>
      <c r="CA229" s="4154">
        <f t="shared" si="97"/>
        <v>-0.199999999999999</v>
      </c>
      <c r="CB229" s="4804"/>
      <c r="CC229" s="4804"/>
      <c r="CD229" s="4323"/>
      <c r="CE229" s="4323"/>
      <c r="CF229" s="4323"/>
    </row>
    <row r="230" s="4316" customFormat="1" ht="50" customHeight="1" spans="1:84">
      <c r="A230" s="4500">
        <v>45798</v>
      </c>
      <c r="B230" s="4501" t="s">
        <v>1016</v>
      </c>
      <c r="C230" s="3708" t="s">
        <v>396</v>
      </c>
      <c r="D230" s="4502">
        <v>4500167361</v>
      </c>
      <c r="E230" s="3708" t="s">
        <v>1363</v>
      </c>
      <c r="F230" s="4502" t="s">
        <v>1364</v>
      </c>
      <c r="G230" s="3708" t="s">
        <v>1032</v>
      </c>
      <c r="H230" s="3708" t="s">
        <v>1033</v>
      </c>
      <c r="I230" s="3699" t="s">
        <v>328</v>
      </c>
      <c r="J230" s="4154">
        <v>12</v>
      </c>
      <c r="K230" s="4154">
        <v>0</v>
      </c>
      <c r="L230" s="4154">
        <v>12</v>
      </c>
      <c r="M230" s="4154">
        <f t="shared" si="94"/>
        <v>1</v>
      </c>
      <c r="N230" s="4503">
        <v>45834</v>
      </c>
      <c r="O230" s="4503">
        <v>45831</v>
      </c>
      <c r="P230" s="3712"/>
      <c r="Q230" s="4154" t="s">
        <v>82</v>
      </c>
      <c r="R230" s="4157"/>
      <c r="S230" s="4157"/>
      <c r="T230" s="4157"/>
      <c r="U230" s="3726" t="s">
        <v>401</v>
      </c>
      <c r="V230" s="3711" t="s">
        <v>1349</v>
      </c>
      <c r="W230" s="3711"/>
      <c r="X230" s="3711" t="s">
        <v>366</v>
      </c>
      <c r="Y230" s="3711"/>
      <c r="Z230" s="3711"/>
      <c r="AA230" s="4154"/>
      <c r="AB230" s="3680" t="s">
        <v>1350</v>
      </c>
      <c r="AC230" s="4154" t="s">
        <v>369</v>
      </c>
      <c r="AD230" s="4504">
        <v>2.0402</v>
      </c>
      <c r="AE230" s="4154">
        <f t="shared" si="103"/>
        <v>24.4824</v>
      </c>
      <c r="AF230" s="3726"/>
      <c r="AG230" s="3726"/>
      <c r="AH230" s="984"/>
      <c r="AI230" s="3708"/>
      <c r="AJ230" s="984"/>
      <c r="AK230" s="1048">
        <f t="shared" si="105"/>
        <v>12</v>
      </c>
      <c r="AL230" s="3708"/>
      <c r="AM230" s="4154"/>
      <c r="AN230" s="877"/>
      <c r="AO230" s="1048">
        <f t="shared" si="100"/>
        <v>12</v>
      </c>
      <c r="AP230" s="1048"/>
      <c r="AQ230" s="877"/>
      <c r="AR230" s="877"/>
      <c r="AS230" s="1048"/>
      <c r="AT230" s="1048">
        <f t="shared" si="102"/>
        <v>12</v>
      </c>
      <c r="AU230" s="877"/>
      <c r="AV230" s="4921"/>
      <c r="AW230" s="4921"/>
      <c r="AX230" s="1048"/>
      <c r="AY230" s="4921"/>
      <c r="AZ230" s="4921"/>
      <c r="BA230" s="1048"/>
      <c r="BB230" s="4622"/>
      <c r="BC230" s="4921"/>
      <c r="BD230" s="4622"/>
      <c r="BE230" s="4622"/>
      <c r="BF230" s="4622"/>
      <c r="BG230" s="4622"/>
      <c r="BH230" s="1048"/>
      <c r="BI230" s="4622"/>
      <c r="BJ230" s="1048"/>
      <c r="BK230" s="4415" t="s">
        <v>89</v>
      </c>
      <c r="BL230" s="4415">
        <f t="shared" si="101"/>
        <v>0.2</v>
      </c>
      <c r="BM230" s="4415"/>
      <c r="BN230" s="4415"/>
      <c r="BO230" s="4415">
        <f t="shared" si="104"/>
        <v>12</v>
      </c>
      <c r="BP230" s="4415"/>
      <c r="BQ230" s="4414"/>
      <c r="BR230" s="1048"/>
      <c r="BS230" s="992"/>
      <c r="BT230" s="992"/>
      <c r="BU230" s="992"/>
      <c r="BV230" s="992"/>
      <c r="BW230" s="992"/>
      <c r="BX230" s="991"/>
      <c r="BY230" s="991"/>
      <c r="BZ230" s="3708">
        <f t="shared" si="96"/>
        <v>12.2</v>
      </c>
      <c r="CA230" s="4154">
        <f t="shared" si="97"/>
        <v>-0.199999999999999</v>
      </c>
      <c r="CB230" s="4804"/>
      <c r="CC230" s="4804"/>
      <c r="CD230" s="4323"/>
      <c r="CE230" s="4323"/>
      <c r="CF230" s="4323"/>
    </row>
    <row r="231" s="4316" customFormat="1" ht="50" customHeight="1" spans="1:84">
      <c r="A231" s="4500">
        <v>45798</v>
      </c>
      <c r="B231" s="4501" t="s">
        <v>1016</v>
      </c>
      <c r="C231" s="3708" t="s">
        <v>396</v>
      </c>
      <c r="D231" s="4502">
        <v>4500167361</v>
      </c>
      <c r="E231" s="3708" t="s">
        <v>1365</v>
      </c>
      <c r="F231" s="4502" t="s">
        <v>1366</v>
      </c>
      <c r="G231" s="3708" t="s">
        <v>1032</v>
      </c>
      <c r="H231" s="3708" t="s">
        <v>1033</v>
      </c>
      <c r="I231" s="3699" t="s">
        <v>328</v>
      </c>
      <c r="J231" s="4154">
        <v>36</v>
      </c>
      <c r="K231" s="4154">
        <v>0</v>
      </c>
      <c r="L231" s="4154">
        <v>12</v>
      </c>
      <c r="M231" s="4154">
        <f t="shared" si="94"/>
        <v>3</v>
      </c>
      <c r="N231" s="4503">
        <v>45834</v>
      </c>
      <c r="O231" s="4503">
        <v>45831</v>
      </c>
      <c r="P231" s="3712"/>
      <c r="Q231" s="4154" t="s">
        <v>82</v>
      </c>
      <c r="R231" s="4157"/>
      <c r="S231" s="4157"/>
      <c r="T231" s="4157"/>
      <c r="U231" s="3726" t="s">
        <v>401</v>
      </c>
      <c r="V231" s="3711" t="s">
        <v>1349</v>
      </c>
      <c r="W231" s="3711"/>
      <c r="X231" s="3711" t="s">
        <v>366</v>
      </c>
      <c r="Y231" s="3711"/>
      <c r="Z231" s="3711"/>
      <c r="AA231" s="4154"/>
      <c r="AB231" s="3680" t="s">
        <v>1350</v>
      </c>
      <c r="AC231" s="4154" t="s">
        <v>369</v>
      </c>
      <c r="AD231" s="4504">
        <v>2.0402</v>
      </c>
      <c r="AE231" s="4154">
        <f t="shared" si="103"/>
        <v>73.4472</v>
      </c>
      <c r="AF231" s="3726"/>
      <c r="AG231" s="3726"/>
      <c r="AH231" s="984"/>
      <c r="AI231" s="3708"/>
      <c r="AJ231" s="984"/>
      <c r="AK231" s="1048">
        <f t="shared" si="105"/>
        <v>36</v>
      </c>
      <c r="AL231" s="3708"/>
      <c r="AM231" s="4154"/>
      <c r="AN231" s="877"/>
      <c r="AO231" s="1048">
        <f t="shared" si="100"/>
        <v>36</v>
      </c>
      <c r="AP231" s="1048"/>
      <c r="AQ231" s="877"/>
      <c r="AR231" s="877"/>
      <c r="AS231" s="1048"/>
      <c r="AT231" s="1048">
        <f t="shared" si="102"/>
        <v>36</v>
      </c>
      <c r="AU231" s="877"/>
      <c r="AV231" s="4921"/>
      <c r="AW231" s="4921"/>
      <c r="AX231" s="1048"/>
      <c r="AY231" s="4921"/>
      <c r="AZ231" s="4921"/>
      <c r="BA231" s="1048"/>
      <c r="BB231" s="4622"/>
      <c r="BC231" s="4921"/>
      <c r="BD231" s="4622"/>
      <c r="BE231" s="4622"/>
      <c r="BF231" s="4622"/>
      <c r="BG231" s="4622"/>
      <c r="BH231" s="1048"/>
      <c r="BI231" s="4622"/>
      <c r="BJ231" s="1048"/>
      <c r="BK231" s="4415" t="s">
        <v>89</v>
      </c>
      <c r="BL231" s="4415">
        <f t="shared" si="101"/>
        <v>0.6</v>
      </c>
      <c r="BM231" s="4415"/>
      <c r="BN231" s="4415"/>
      <c r="BO231" s="4415">
        <f t="shared" si="104"/>
        <v>36</v>
      </c>
      <c r="BP231" s="4415"/>
      <c r="BQ231" s="4414"/>
      <c r="BR231" s="1048"/>
      <c r="BS231" s="992"/>
      <c r="BT231" s="992"/>
      <c r="BU231" s="992"/>
      <c r="BV231" s="992"/>
      <c r="BW231" s="992"/>
      <c r="BX231" s="991"/>
      <c r="BY231" s="991"/>
      <c r="BZ231" s="3708">
        <f t="shared" si="96"/>
        <v>36.6</v>
      </c>
      <c r="CA231" s="4154">
        <f t="shared" si="97"/>
        <v>-0.600000000000001</v>
      </c>
      <c r="CB231" s="4804"/>
      <c r="CC231" s="4804"/>
      <c r="CD231" s="4323"/>
      <c r="CE231" s="4323"/>
      <c r="CF231" s="4323"/>
    </row>
    <row r="232" s="4316" customFormat="1" ht="50" customHeight="1" spans="1:84">
      <c r="A232" s="4500">
        <v>45798</v>
      </c>
      <c r="B232" s="4501" t="s">
        <v>1016</v>
      </c>
      <c r="C232" s="3708" t="s">
        <v>396</v>
      </c>
      <c r="D232" s="4502">
        <v>4500167361</v>
      </c>
      <c r="E232" s="3708" t="s">
        <v>1367</v>
      </c>
      <c r="F232" s="4502" t="s">
        <v>1368</v>
      </c>
      <c r="G232" s="3708" t="s">
        <v>1032</v>
      </c>
      <c r="H232" s="3708" t="s">
        <v>1033</v>
      </c>
      <c r="I232" s="3699" t="s">
        <v>328</v>
      </c>
      <c r="J232" s="4154">
        <v>12</v>
      </c>
      <c r="K232" s="4154">
        <v>0</v>
      </c>
      <c r="L232" s="4154">
        <v>12</v>
      </c>
      <c r="M232" s="4154">
        <f t="shared" si="94"/>
        <v>1</v>
      </c>
      <c r="N232" s="4503">
        <v>45834</v>
      </c>
      <c r="O232" s="4503">
        <v>45831</v>
      </c>
      <c r="P232" s="3712"/>
      <c r="Q232" s="4154" t="s">
        <v>82</v>
      </c>
      <c r="R232" s="4157"/>
      <c r="S232" s="4157"/>
      <c r="T232" s="4157"/>
      <c r="U232" s="3726" t="s">
        <v>401</v>
      </c>
      <c r="V232" s="3711" t="s">
        <v>1349</v>
      </c>
      <c r="W232" s="3711"/>
      <c r="X232" s="3711" t="s">
        <v>366</v>
      </c>
      <c r="Y232" s="3711"/>
      <c r="Z232" s="3711"/>
      <c r="AA232" s="4154"/>
      <c r="AB232" s="3680" t="s">
        <v>1350</v>
      </c>
      <c r="AC232" s="4154" t="s">
        <v>369</v>
      </c>
      <c r="AD232" s="4504">
        <v>2.0947</v>
      </c>
      <c r="AE232" s="4154">
        <f t="shared" si="103"/>
        <v>25.1364</v>
      </c>
      <c r="AF232" s="3726"/>
      <c r="AG232" s="3726"/>
      <c r="AH232" s="984"/>
      <c r="AI232" s="3708"/>
      <c r="AJ232" s="984"/>
      <c r="AK232" s="1048">
        <f t="shared" si="105"/>
        <v>12</v>
      </c>
      <c r="AL232" s="3708"/>
      <c r="AM232" s="4154"/>
      <c r="AN232" s="877"/>
      <c r="AO232" s="1048">
        <f t="shared" si="100"/>
        <v>12</v>
      </c>
      <c r="AP232" s="1048"/>
      <c r="AQ232" s="877"/>
      <c r="AR232" s="877"/>
      <c r="AS232" s="1048"/>
      <c r="AT232" s="1048">
        <f t="shared" si="102"/>
        <v>12</v>
      </c>
      <c r="AU232" s="877"/>
      <c r="AV232" s="4921"/>
      <c r="AW232" s="4921"/>
      <c r="AX232" s="1048"/>
      <c r="AY232" s="4921"/>
      <c r="AZ232" s="4921"/>
      <c r="BA232" s="1048"/>
      <c r="BB232" s="4622"/>
      <c r="BC232" s="4921"/>
      <c r="BD232" s="4622"/>
      <c r="BE232" s="4622"/>
      <c r="BF232" s="4622"/>
      <c r="BG232" s="4622"/>
      <c r="BH232" s="1048"/>
      <c r="BI232" s="4622"/>
      <c r="BJ232" s="1048"/>
      <c r="BK232" s="4415" t="s">
        <v>89</v>
      </c>
      <c r="BL232" s="4415">
        <f t="shared" si="101"/>
        <v>0.2</v>
      </c>
      <c r="BM232" s="4415"/>
      <c r="BN232" s="4415"/>
      <c r="BO232" s="4415">
        <f t="shared" si="104"/>
        <v>12</v>
      </c>
      <c r="BP232" s="4415"/>
      <c r="BQ232" s="4414"/>
      <c r="BR232" s="1048"/>
      <c r="BS232" s="992"/>
      <c r="BT232" s="992"/>
      <c r="BU232" s="992"/>
      <c r="BV232" s="992"/>
      <c r="BW232" s="992"/>
      <c r="BX232" s="991"/>
      <c r="BY232" s="991"/>
      <c r="BZ232" s="3708">
        <f t="shared" si="96"/>
        <v>12.2</v>
      </c>
      <c r="CA232" s="4154">
        <f t="shared" si="97"/>
        <v>-0.199999999999999</v>
      </c>
      <c r="CB232" s="4804"/>
      <c r="CC232" s="4804"/>
      <c r="CD232" s="4323"/>
      <c r="CE232" s="4323"/>
      <c r="CF232" s="4323"/>
    </row>
    <row r="233" s="4316" customFormat="1" ht="50" customHeight="1" spans="1:84">
      <c r="A233" s="4500">
        <v>45615</v>
      </c>
      <c r="B233" s="3708" t="s">
        <v>387</v>
      </c>
      <c r="C233" s="3708" t="s">
        <v>91</v>
      </c>
      <c r="D233" s="4154">
        <v>4500151726</v>
      </c>
      <c r="E233" s="3708">
        <v>70054080</v>
      </c>
      <c r="F233" s="3708" t="s">
        <v>1369</v>
      </c>
      <c r="G233" s="3708" t="s">
        <v>333</v>
      </c>
      <c r="H233" s="3708" t="s">
        <v>333</v>
      </c>
      <c r="I233" s="3708" t="s">
        <v>328</v>
      </c>
      <c r="J233" s="4593">
        <v>504</v>
      </c>
      <c r="K233" s="4154">
        <v>0</v>
      </c>
      <c r="L233" s="4154">
        <v>24</v>
      </c>
      <c r="M233" s="4154">
        <f t="shared" si="94"/>
        <v>21</v>
      </c>
      <c r="N233" s="4503">
        <v>45874</v>
      </c>
      <c r="O233" s="4503">
        <v>45870</v>
      </c>
      <c r="P233" s="4154"/>
      <c r="Q233" s="4154" t="s">
        <v>82</v>
      </c>
      <c r="R233" s="4157"/>
      <c r="S233" s="4157"/>
      <c r="T233" s="4157"/>
      <c r="U233" s="3726"/>
      <c r="V233" s="3711" t="s">
        <v>390</v>
      </c>
      <c r="W233" s="3711"/>
      <c r="X233" s="3711" t="s">
        <v>98</v>
      </c>
      <c r="Y233" s="3711"/>
      <c r="Z233" s="3711"/>
      <c r="AA233" s="4154"/>
      <c r="AB233" s="3713" t="s">
        <v>1370</v>
      </c>
      <c r="AC233" s="3711" t="s">
        <v>393</v>
      </c>
      <c r="AD233" s="4504">
        <v>2.0807</v>
      </c>
      <c r="AE233" s="4154">
        <f t="shared" si="103"/>
        <v>1048.6728</v>
      </c>
      <c r="AF233" s="3726" t="s">
        <v>1371</v>
      </c>
      <c r="AG233" s="3726"/>
      <c r="AH233" s="905"/>
      <c r="AI233" s="3708">
        <f>J233</f>
        <v>504</v>
      </c>
      <c r="AJ233" s="905"/>
      <c r="AK233" s="3708"/>
      <c r="AL233" s="3708"/>
      <c r="AM233" s="4154"/>
      <c r="AN233" s="4382"/>
      <c r="AO233" s="1048">
        <f t="shared" si="100"/>
        <v>504</v>
      </c>
      <c r="AP233" s="4622"/>
      <c r="AQ233" s="4382"/>
      <c r="AR233" s="4382"/>
      <c r="AS233" s="1048">
        <f t="shared" ref="AS233:AS261" si="106">J233</f>
        <v>504</v>
      </c>
      <c r="AT233" s="1048"/>
      <c r="AU233" s="4382"/>
      <c r="AV233" s="4931"/>
      <c r="AW233" s="4931"/>
      <c r="AX233" s="1048"/>
      <c r="AY233" s="4931"/>
      <c r="AZ233" s="4931"/>
      <c r="BA233" s="1048"/>
      <c r="BB233" s="4622"/>
      <c r="BC233" s="4931"/>
      <c r="BD233" s="4622"/>
      <c r="BE233" s="4622"/>
      <c r="BF233" s="4622"/>
      <c r="BG233" s="4622"/>
      <c r="BH233" s="4622"/>
      <c r="BI233" s="4622"/>
      <c r="BJ233" s="1048"/>
      <c r="BK233" s="4415" t="s">
        <v>89</v>
      </c>
      <c r="BL233" s="4415">
        <f t="shared" si="101"/>
        <v>8.4</v>
      </c>
      <c r="BM233" s="4415">
        <f t="shared" ref="BM233:BM261" si="107">J233/60*9</f>
        <v>75.6</v>
      </c>
      <c r="BN233" s="4415">
        <f t="shared" ref="BN233:BN261" si="108">J233/60*10</f>
        <v>84</v>
      </c>
      <c r="BO233" s="4415">
        <f t="shared" ref="BO233:BO261" si="109">J233/60*10</f>
        <v>84</v>
      </c>
      <c r="BP233" s="4415">
        <f t="shared" ref="BP233:BP261" si="110">J233/60*10</f>
        <v>84</v>
      </c>
      <c r="BQ233" s="4414">
        <f t="shared" ref="BQ233:BQ261" si="111">J233/60*10</f>
        <v>84</v>
      </c>
      <c r="BR233" s="1048">
        <f t="shared" ref="BR233:BR261" si="112">J233/60*10</f>
        <v>84</v>
      </c>
      <c r="BS233" s="4384"/>
      <c r="BT233" s="4384"/>
      <c r="BU233" s="4384"/>
      <c r="BV233" s="4384"/>
      <c r="BW233" s="4384"/>
      <c r="BX233" s="4383"/>
      <c r="BY233" s="4383"/>
      <c r="BZ233" s="3708">
        <f t="shared" si="96"/>
        <v>504</v>
      </c>
      <c r="CA233" s="4154">
        <f t="shared" si="97"/>
        <v>0</v>
      </c>
      <c r="CB233" s="4544"/>
      <c r="CC233" s="4544"/>
      <c r="CD233" s="4323"/>
      <c r="CE233" s="4323"/>
      <c r="CF233" s="4323"/>
    </row>
    <row r="234" s="4316" customFormat="1" ht="50" customHeight="1" spans="1:84">
      <c r="A234" s="4500">
        <v>45750</v>
      </c>
      <c r="B234" s="4501" t="s">
        <v>1315</v>
      </c>
      <c r="C234" s="3708" t="s">
        <v>1316</v>
      </c>
      <c r="D234" s="4502">
        <v>4500166280</v>
      </c>
      <c r="E234" s="3708" t="s">
        <v>1372</v>
      </c>
      <c r="F234" s="4502" t="s">
        <v>1373</v>
      </c>
      <c r="G234" s="3708" t="s">
        <v>1319</v>
      </c>
      <c r="H234" s="3708" t="s">
        <v>1319</v>
      </c>
      <c r="I234" s="3708" t="s">
        <v>1320</v>
      </c>
      <c r="J234" s="4154">
        <v>6000</v>
      </c>
      <c r="K234" s="4154">
        <v>0</v>
      </c>
      <c r="L234" s="4154">
        <v>4</v>
      </c>
      <c r="M234" s="4154">
        <f t="shared" si="94"/>
        <v>1500</v>
      </c>
      <c r="N234" s="4503">
        <v>45822</v>
      </c>
      <c r="O234" s="4503">
        <v>45819</v>
      </c>
      <c r="P234" s="4154" t="s">
        <v>1374</v>
      </c>
      <c r="Q234" s="4154" t="s">
        <v>82</v>
      </c>
      <c r="R234" s="4157"/>
      <c r="S234" s="4157"/>
      <c r="T234" s="4157"/>
      <c r="U234" s="3726" t="s">
        <v>401</v>
      </c>
      <c r="V234" s="3711" t="s">
        <v>1322</v>
      </c>
      <c r="W234" s="3711"/>
      <c r="X234" s="3711" t="s">
        <v>1323</v>
      </c>
      <c r="Y234" s="3711"/>
      <c r="Z234" s="3711"/>
      <c r="AA234" s="4154" t="s">
        <v>1375</v>
      </c>
      <c r="AB234" s="3680" t="s">
        <v>1376</v>
      </c>
      <c r="AC234" s="4154" t="s">
        <v>1326</v>
      </c>
      <c r="AD234" s="4154">
        <v>16.7342</v>
      </c>
      <c r="AE234" s="4154">
        <f>AD234*M234</f>
        <v>25101.3</v>
      </c>
      <c r="AF234" s="3726"/>
      <c r="AG234" s="3726"/>
      <c r="AH234" s="4448"/>
      <c r="AI234" s="3708"/>
      <c r="AJ234" s="4448"/>
      <c r="AK234" s="3708"/>
      <c r="AL234" s="3708"/>
      <c r="AM234" s="4154">
        <f>J234</f>
        <v>6000</v>
      </c>
      <c r="AN234" s="4411"/>
      <c r="AO234" s="1048"/>
      <c r="AP234" s="1048">
        <f>J234</f>
        <v>6000</v>
      </c>
      <c r="AQ234" s="4411"/>
      <c r="AR234" s="4411"/>
      <c r="AS234" s="1048">
        <f t="shared" si="106"/>
        <v>6000</v>
      </c>
      <c r="AT234" s="1048"/>
      <c r="AU234" s="4411"/>
      <c r="AV234" s="4933"/>
      <c r="AW234" s="4933"/>
      <c r="AX234" s="1048"/>
      <c r="AY234" s="4933"/>
      <c r="AZ234" s="4933"/>
      <c r="BA234" s="1048"/>
      <c r="BB234" s="4622"/>
      <c r="BC234" s="4933"/>
      <c r="BD234" s="4622"/>
      <c r="BE234" s="4622"/>
      <c r="BF234" s="4622"/>
      <c r="BG234" s="4622"/>
      <c r="BH234" s="1048"/>
      <c r="BI234" s="4622"/>
      <c r="BJ234" s="1048"/>
      <c r="BK234" s="4415" t="s">
        <v>1327</v>
      </c>
      <c r="BL234" s="4415">
        <f t="shared" si="101"/>
        <v>100</v>
      </c>
      <c r="BM234" s="4415">
        <f t="shared" si="107"/>
        <v>900</v>
      </c>
      <c r="BN234" s="4415">
        <f t="shared" si="108"/>
        <v>1000</v>
      </c>
      <c r="BO234" s="4415">
        <f t="shared" si="109"/>
        <v>1000</v>
      </c>
      <c r="BP234" s="4415">
        <f t="shared" si="110"/>
        <v>1000</v>
      </c>
      <c r="BQ234" s="4414">
        <f t="shared" si="111"/>
        <v>1000</v>
      </c>
      <c r="BR234" s="1048">
        <f t="shared" si="112"/>
        <v>1000</v>
      </c>
      <c r="BS234" s="4403"/>
      <c r="BT234" s="4454"/>
      <c r="BU234" s="4454"/>
      <c r="BV234" s="4454"/>
      <c r="BW234" s="4454"/>
      <c r="BX234" s="4453"/>
      <c r="BY234" s="4453"/>
      <c r="BZ234" s="3708">
        <f t="shared" si="96"/>
        <v>6000</v>
      </c>
      <c r="CA234" s="4154">
        <f t="shared" si="97"/>
        <v>0</v>
      </c>
      <c r="CB234" s="4934"/>
      <c r="CC234" s="4934"/>
      <c r="CD234" s="4323"/>
      <c r="CE234" s="4323"/>
      <c r="CF234" s="4323"/>
    </row>
    <row r="235" s="4316" customFormat="1" ht="50" customHeight="1" spans="1:84">
      <c r="A235" s="4500">
        <v>45750</v>
      </c>
      <c r="B235" s="4501" t="s">
        <v>1315</v>
      </c>
      <c r="C235" s="3708" t="s">
        <v>1316</v>
      </c>
      <c r="D235" s="4502">
        <v>4500162573</v>
      </c>
      <c r="E235" s="3708" t="s">
        <v>1377</v>
      </c>
      <c r="F235" s="4615" t="s">
        <v>1378</v>
      </c>
      <c r="G235" s="3708" t="s">
        <v>1319</v>
      </c>
      <c r="H235" s="3708" t="s">
        <v>1319</v>
      </c>
      <c r="I235" s="3708" t="s">
        <v>1320</v>
      </c>
      <c r="J235" s="4154">
        <v>3600</v>
      </c>
      <c r="K235" s="4154">
        <v>0</v>
      </c>
      <c r="L235" s="4154">
        <v>4</v>
      </c>
      <c r="M235" s="4154">
        <f t="shared" si="94"/>
        <v>900</v>
      </c>
      <c r="N235" s="4503">
        <v>45824</v>
      </c>
      <c r="O235" s="4503">
        <f>N235-4</f>
        <v>45820</v>
      </c>
      <c r="P235" s="3712"/>
      <c r="Q235" s="4154" t="s">
        <v>82</v>
      </c>
      <c r="R235" s="4157"/>
      <c r="S235" s="4157"/>
      <c r="T235" s="4157"/>
      <c r="U235" s="3726"/>
      <c r="V235" s="3711" t="s">
        <v>1322</v>
      </c>
      <c r="W235" s="3711"/>
      <c r="X235" s="3711" t="s">
        <v>1379</v>
      </c>
      <c r="Y235" s="3711"/>
      <c r="Z235" s="3711"/>
      <c r="AA235" s="4154" t="s">
        <v>1380</v>
      </c>
      <c r="AB235" s="3680" t="s">
        <v>1376</v>
      </c>
      <c r="AC235" s="4154" t="s">
        <v>1326</v>
      </c>
      <c r="AD235" s="4154">
        <v>16.8314</v>
      </c>
      <c r="AE235" s="4154">
        <f>AD235*M235</f>
        <v>15148.26</v>
      </c>
      <c r="AF235" s="3726"/>
      <c r="AG235" s="3726"/>
      <c r="AH235" s="4448"/>
      <c r="AI235" s="3708"/>
      <c r="AJ235" s="4448"/>
      <c r="AK235" s="3708"/>
      <c r="AL235" s="3708"/>
      <c r="AM235" s="4154">
        <f>J235</f>
        <v>3600</v>
      </c>
      <c r="AN235" s="4411"/>
      <c r="AO235" s="1048"/>
      <c r="AP235" s="1048">
        <f>J235</f>
        <v>3600</v>
      </c>
      <c r="AQ235" s="4411"/>
      <c r="AR235" s="4411"/>
      <c r="AS235" s="1048">
        <f t="shared" si="106"/>
        <v>3600</v>
      </c>
      <c r="AT235" s="1048"/>
      <c r="AU235" s="4411"/>
      <c r="AV235" s="4933"/>
      <c r="AW235" s="4933"/>
      <c r="AX235" s="1048"/>
      <c r="AY235" s="4933"/>
      <c r="AZ235" s="4933"/>
      <c r="BA235" s="1048"/>
      <c r="BB235" s="4622"/>
      <c r="BC235" s="4933"/>
      <c r="BD235" s="4622"/>
      <c r="BE235" s="4622"/>
      <c r="BF235" s="4622"/>
      <c r="BG235" s="4622"/>
      <c r="BH235" s="1048"/>
      <c r="BI235" s="4622"/>
      <c r="BJ235" s="1048"/>
      <c r="BK235" s="4415" t="s">
        <v>1327</v>
      </c>
      <c r="BL235" s="4415">
        <f t="shared" si="101"/>
        <v>60</v>
      </c>
      <c r="BM235" s="4415">
        <f t="shared" si="107"/>
        <v>540</v>
      </c>
      <c r="BN235" s="4415">
        <f t="shared" si="108"/>
        <v>600</v>
      </c>
      <c r="BO235" s="4415">
        <f t="shared" si="109"/>
        <v>600</v>
      </c>
      <c r="BP235" s="4415">
        <f t="shared" si="110"/>
        <v>600</v>
      </c>
      <c r="BQ235" s="4414">
        <f t="shared" si="111"/>
        <v>600</v>
      </c>
      <c r="BR235" s="1048">
        <f t="shared" si="112"/>
        <v>600</v>
      </c>
      <c r="BS235" s="4403"/>
      <c r="BT235" s="4454"/>
      <c r="BU235" s="4454"/>
      <c r="BV235" s="4454"/>
      <c r="BW235" s="4454"/>
      <c r="BX235" s="4453"/>
      <c r="BY235" s="4453"/>
      <c r="BZ235" s="3708">
        <f t="shared" si="96"/>
        <v>3600</v>
      </c>
      <c r="CA235" s="4154">
        <f t="shared" si="97"/>
        <v>0</v>
      </c>
      <c r="CB235" s="4934"/>
      <c r="CC235" s="4934"/>
      <c r="CD235" s="4323"/>
      <c r="CE235" s="4323"/>
      <c r="CF235" s="4323"/>
    </row>
    <row r="236" s="4316" customFormat="1" ht="50" customHeight="1" spans="1:84">
      <c r="A236" s="4500">
        <v>45750</v>
      </c>
      <c r="B236" s="4501" t="s">
        <v>1315</v>
      </c>
      <c r="C236" s="3708" t="s">
        <v>1316</v>
      </c>
      <c r="D236" s="4502">
        <v>4500162573</v>
      </c>
      <c r="E236" s="3708" t="s">
        <v>1381</v>
      </c>
      <c r="F236" s="4615" t="s">
        <v>1382</v>
      </c>
      <c r="G236" s="3708" t="s">
        <v>1319</v>
      </c>
      <c r="H236" s="3708" t="s">
        <v>1319</v>
      </c>
      <c r="I236" s="3708" t="s">
        <v>1320</v>
      </c>
      <c r="J236" s="4154">
        <v>5400</v>
      </c>
      <c r="K236" s="4154">
        <v>0</v>
      </c>
      <c r="L236" s="4154">
        <v>4</v>
      </c>
      <c r="M236" s="4154">
        <f t="shared" si="94"/>
        <v>1350</v>
      </c>
      <c r="N236" s="4503">
        <v>45824</v>
      </c>
      <c r="O236" s="4503">
        <f>N236-4</f>
        <v>45820</v>
      </c>
      <c r="P236" s="3712"/>
      <c r="Q236" s="4154" t="s">
        <v>82</v>
      </c>
      <c r="R236" s="4157"/>
      <c r="S236" s="4157"/>
      <c r="T236" s="4157"/>
      <c r="U236" s="3726"/>
      <c r="V236" s="3711" t="s">
        <v>1322</v>
      </c>
      <c r="W236" s="3711"/>
      <c r="X236" s="3711" t="s">
        <v>1379</v>
      </c>
      <c r="Y236" s="3711"/>
      <c r="Z236" s="3711"/>
      <c r="AA236" s="4154" t="s">
        <v>1383</v>
      </c>
      <c r="AB236" s="3680" t="s">
        <v>1376</v>
      </c>
      <c r="AC236" s="4154" t="s">
        <v>1326</v>
      </c>
      <c r="AD236" s="4154">
        <v>16.7342</v>
      </c>
      <c r="AE236" s="4154">
        <f>AD236*M236</f>
        <v>22591.17</v>
      </c>
      <c r="AF236" s="3726"/>
      <c r="AG236" s="3726"/>
      <c r="AH236" s="4448"/>
      <c r="AI236" s="3708"/>
      <c r="AJ236" s="4448"/>
      <c r="AK236" s="3708"/>
      <c r="AL236" s="3708"/>
      <c r="AM236" s="4154">
        <f>J236</f>
        <v>5400</v>
      </c>
      <c r="AN236" s="4411"/>
      <c r="AO236" s="1048"/>
      <c r="AP236" s="1048">
        <f>J236</f>
        <v>5400</v>
      </c>
      <c r="AQ236" s="4411"/>
      <c r="AR236" s="4411"/>
      <c r="AS236" s="1048">
        <f t="shared" si="106"/>
        <v>5400</v>
      </c>
      <c r="AT236" s="1048"/>
      <c r="AU236" s="4411"/>
      <c r="AV236" s="4933"/>
      <c r="AW236" s="4933"/>
      <c r="AX236" s="1048"/>
      <c r="AY236" s="4933"/>
      <c r="AZ236" s="4933"/>
      <c r="BA236" s="1048"/>
      <c r="BB236" s="4622"/>
      <c r="BC236" s="4933"/>
      <c r="BD236" s="4622"/>
      <c r="BE236" s="4622"/>
      <c r="BF236" s="4622"/>
      <c r="BG236" s="4622"/>
      <c r="BH236" s="1048"/>
      <c r="BI236" s="4622"/>
      <c r="BJ236" s="1048"/>
      <c r="BK236" s="4415" t="s">
        <v>1327</v>
      </c>
      <c r="BL236" s="4415">
        <f t="shared" si="101"/>
        <v>90</v>
      </c>
      <c r="BM236" s="4415">
        <f t="shared" si="107"/>
        <v>810</v>
      </c>
      <c r="BN236" s="4415">
        <f t="shared" si="108"/>
        <v>900</v>
      </c>
      <c r="BO236" s="4415">
        <f t="shared" si="109"/>
        <v>900</v>
      </c>
      <c r="BP236" s="4415">
        <f t="shared" si="110"/>
        <v>900</v>
      </c>
      <c r="BQ236" s="4414">
        <f t="shared" si="111"/>
        <v>900</v>
      </c>
      <c r="BR236" s="1048">
        <f t="shared" si="112"/>
        <v>900</v>
      </c>
      <c r="BS236" s="4403"/>
      <c r="BT236" s="4454"/>
      <c r="BU236" s="4454"/>
      <c r="BV236" s="4454"/>
      <c r="BW236" s="4454"/>
      <c r="BX236" s="4453"/>
      <c r="BY236" s="4453"/>
      <c r="BZ236" s="3708">
        <f t="shared" si="96"/>
        <v>5400</v>
      </c>
      <c r="CA236" s="4154">
        <f t="shared" si="97"/>
        <v>0</v>
      </c>
      <c r="CB236" s="4934"/>
      <c r="CC236" s="4934"/>
      <c r="CD236" s="4323"/>
      <c r="CE236" s="4323"/>
      <c r="CF236" s="4323"/>
    </row>
    <row r="237" s="4316" customFormat="1" ht="50" customHeight="1" spans="1:84">
      <c r="A237" s="4500">
        <v>45792</v>
      </c>
      <c r="B237" s="4501" t="s">
        <v>1384</v>
      </c>
      <c r="C237" s="3708" t="s">
        <v>1385</v>
      </c>
      <c r="D237" s="4502">
        <v>4500166516</v>
      </c>
      <c r="E237" s="3708"/>
      <c r="F237" s="4615" t="s">
        <v>1386</v>
      </c>
      <c r="G237" s="3708" t="s">
        <v>327</v>
      </c>
      <c r="H237" s="3708" t="s">
        <v>327</v>
      </c>
      <c r="I237" s="4154" t="s">
        <v>328</v>
      </c>
      <c r="J237" s="4154">
        <v>720</v>
      </c>
      <c r="K237" s="4154">
        <v>0</v>
      </c>
      <c r="L237" s="4154">
        <v>12</v>
      </c>
      <c r="M237" s="4154">
        <f t="shared" si="94"/>
        <v>60</v>
      </c>
      <c r="N237" s="4503">
        <v>45838</v>
      </c>
      <c r="O237" s="4503">
        <v>45834</v>
      </c>
      <c r="P237" s="3712"/>
      <c r="Q237" s="4154" t="s">
        <v>82</v>
      </c>
      <c r="R237" s="4157"/>
      <c r="S237" s="4157"/>
      <c r="T237" s="4157"/>
      <c r="U237" s="3726" t="s">
        <v>1387</v>
      </c>
      <c r="V237" s="3711" t="s">
        <v>229</v>
      </c>
      <c r="W237" s="3711"/>
      <c r="X237" s="3711" t="s">
        <v>98</v>
      </c>
      <c r="Y237" s="3711"/>
      <c r="Z237" s="3711"/>
      <c r="AA237" s="4154"/>
      <c r="AB237" s="3680" t="s">
        <v>1388</v>
      </c>
      <c r="AC237" s="4154" t="s">
        <v>1389</v>
      </c>
      <c r="AD237" s="4504">
        <v>2.1633</v>
      </c>
      <c r="AE237" s="4154">
        <f>J237*AD237</f>
        <v>1557.576</v>
      </c>
      <c r="AF237" s="3726" t="s">
        <v>1390</v>
      </c>
      <c r="AG237" s="3726"/>
      <c r="AH237" s="4422"/>
      <c r="AI237" s="3708">
        <f>J237</f>
        <v>720</v>
      </c>
      <c r="AJ237" s="4422"/>
      <c r="AK237" s="3708"/>
      <c r="AL237" s="3708"/>
      <c r="AM237" s="4154"/>
      <c r="AN237" s="907"/>
      <c r="AO237" s="1048">
        <f>J237</f>
        <v>720</v>
      </c>
      <c r="AP237" s="1048"/>
      <c r="AQ237" s="907"/>
      <c r="AR237" s="907"/>
      <c r="AS237" s="1048">
        <f t="shared" si="106"/>
        <v>720</v>
      </c>
      <c r="AT237" s="1048"/>
      <c r="AU237" s="907"/>
      <c r="AV237" s="4922"/>
      <c r="AW237" s="4922"/>
      <c r="AX237" s="1048">
        <f>J237/6</f>
        <v>120</v>
      </c>
      <c r="AY237" s="4922"/>
      <c r="AZ237" s="4922"/>
      <c r="BA237" s="1048"/>
      <c r="BB237" s="4622"/>
      <c r="BC237" s="4922"/>
      <c r="BD237" s="4622"/>
      <c r="BE237" s="4622"/>
      <c r="BF237" s="4622"/>
      <c r="BG237" s="4622"/>
      <c r="BH237" s="1048"/>
      <c r="BI237" s="4622"/>
      <c r="BJ237" s="1048"/>
      <c r="BK237" s="4415" t="s">
        <v>89</v>
      </c>
      <c r="BL237" s="4415">
        <f t="shared" si="101"/>
        <v>12</v>
      </c>
      <c r="BM237" s="4415">
        <f t="shared" si="107"/>
        <v>108</v>
      </c>
      <c r="BN237" s="4415">
        <f t="shared" si="108"/>
        <v>120</v>
      </c>
      <c r="BO237" s="4415">
        <f t="shared" si="109"/>
        <v>120</v>
      </c>
      <c r="BP237" s="4415">
        <f t="shared" si="110"/>
        <v>120</v>
      </c>
      <c r="BQ237" s="4414">
        <f t="shared" si="111"/>
        <v>120</v>
      </c>
      <c r="BR237" s="1048">
        <f t="shared" si="112"/>
        <v>120</v>
      </c>
      <c r="BS237" s="911"/>
      <c r="BT237" s="911"/>
      <c r="BU237" s="911"/>
      <c r="BV237" s="911"/>
      <c r="BW237" s="911"/>
      <c r="BX237" s="910"/>
      <c r="BY237" s="910"/>
      <c r="BZ237" s="3708">
        <f t="shared" si="96"/>
        <v>720</v>
      </c>
      <c r="CA237" s="4154">
        <f t="shared" si="97"/>
        <v>0</v>
      </c>
      <c r="CB237" s="4923"/>
      <c r="CC237" s="4923"/>
      <c r="CD237" s="4323"/>
      <c r="CE237" s="4323"/>
      <c r="CF237" s="4323"/>
    </row>
    <row r="238" s="4316" customFormat="1" ht="50" customHeight="1" spans="1:84">
      <c r="A238" s="4500">
        <v>45798</v>
      </c>
      <c r="B238" s="4501" t="s">
        <v>1391</v>
      </c>
      <c r="C238" s="3708" t="s">
        <v>91</v>
      </c>
      <c r="D238" s="4502">
        <v>4500167294</v>
      </c>
      <c r="E238" s="3708" t="s">
        <v>1392</v>
      </c>
      <c r="F238" s="4502" t="s">
        <v>1393</v>
      </c>
      <c r="G238" s="3708" t="s">
        <v>327</v>
      </c>
      <c r="H238" s="3708" t="s">
        <v>327</v>
      </c>
      <c r="I238" s="4154" t="s">
        <v>328</v>
      </c>
      <c r="J238" s="4154">
        <v>2400</v>
      </c>
      <c r="K238" s="4154">
        <v>0</v>
      </c>
      <c r="L238" s="4154">
        <v>12</v>
      </c>
      <c r="M238" s="4154">
        <f t="shared" si="94"/>
        <v>200</v>
      </c>
      <c r="N238" s="4503">
        <v>45839</v>
      </c>
      <c r="O238" s="4503">
        <f>N238-4</f>
        <v>45835</v>
      </c>
      <c r="P238" s="3708"/>
      <c r="Q238" s="4154" t="s">
        <v>82</v>
      </c>
      <c r="R238" s="4157"/>
      <c r="S238" s="4157"/>
      <c r="T238" s="4157"/>
      <c r="U238" s="3726" t="s">
        <v>1394</v>
      </c>
      <c r="V238" s="3711" t="s">
        <v>1349</v>
      </c>
      <c r="W238" s="3711"/>
      <c r="X238" s="3711" t="s">
        <v>98</v>
      </c>
      <c r="Y238" s="3711"/>
      <c r="Z238" s="3711"/>
      <c r="AA238" s="4154"/>
      <c r="AB238" s="3680" t="s">
        <v>1395</v>
      </c>
      <c r="AC238" s="4154" t="s">
        <v>500</v>
      </c>
      <c r="AD238" s="4504">
        <v>1.2953</v>
      </c>
      <c r="AE238" s="4154">
        <f>J238*AD238</f>
        <v>3108.72</v>
      </c>
      <c r="AF238" s="3726" t="s">
        <v>1396</v>
      </c>
      <c r="AG238" s="3726"/>
      <c r="AH238" s="984"/>
      <c r="AI238" s="3708">
        <f>J238</f>
        <v>2400</v>
      </c>
      <c r="AJ238" s="984"/>
      <c r="AK238" s="3708"/>
      <c r="AL238" s="3708"/>
      <c r="AM238" s="4154"/>
      <c r="AN238" s="877"/>
      <c r="AO238" s="1048">
        <f>J238</f>
        <v>2400</v>
      </c>
      <c r="AP238" s="1048"/>
      <c r="AQ238" s="877"/>
      <c r="AR238" s="877"/>
      <c r="AS238" s="1048">
        <f t="shared" si="106"/>
        <v>2400</v>
      </c>
      <c r="AT238" s="1048"/>
      <c r="AU238" s="877"/>
      <c r="AV238" s="4921"/>
      <c r="AW238" s="4921"/>
      <c r="AX238" s="1048">
        <f>J238/6</f>
        <v>400</v>
      </c>
      <c r="AY238" s="4921"/>
      <c r="AZ238" s="4921"/>
      <c r="BA238" s="1048"/>
      <c r="BB238" s="4622"/>
      <c r="BC238" s="4921"/>
      <c r="BD238" s="4622"/>
      <c r="BE238" s="4622"/>
      <c r="BF238" s="4622"/>
      <c r="BG238" s="4622"/>
      <c r="BH238" s="1048"/>
      <c r="BI238" s="4622"/>
      <c r="BJ238" s="1048"/>
      <c r="BK238" s="4415" t="s">
        <v>89</v>
      </c>
      <c r="BL238" s="4415">
        <f t="shared" si="101"/>
        <v>40</v>
      </c>
      <c r="BM238" s="4415">
        <f t="shared" si="107"/>
        <v>360</v>
      </c>
      <c r="BN238" s="4415">
        <f t="shared" si="108"/>
        <v>400</v>
      </c>
      <c r="BO238" s="4415">
        <f t="shared" si="109"/>
        <v>400</v>
      </c>
      <c r="BP238" s="4415">
        <f t="shared" si="110"/>
        <v>400</v>
      </c>
      <c r="BQ238" s="4414">
        <f t="shared" si="111"/>
        <v>400</v>
      </c>
      <c r="BR238" s="1048">
        <f t="shared" si="112"/>
        <v>400</v>
      </c>
      <c r="BS238" s="992"/>
      <c r="BT238" s="992"/>
      <c r="BU238" s="992"/>
      <c r="BV238" s="992"/>
      <c r="BW238" s="992"/>
      <c r="BX238" s="991"/>
      <c r="BY238" s="991"/>
      <c r="BZ238" s="3708">
        <f t="shared" si="96"/>
        <v>2400</v>
      </c>
      <c r="CA238" s="4154">
        <f t="shared" si="97"/>
        <v>0</v>
      </c>
      <c r="CB238" s="4804"/>
      <c r="CC238" s="4804"/>
      <c r="CD238" s="4323"/>
      <c r="CE238" s="4323"/>
      <c r="CF238" s="4323"/>
    </row>
    <row r="239" s="4316" customFormat="1" ht="50" customHeight="1" spans="1:84">
      <c r="A239" s="4500">
        <v>45798</v>
      </c>
      <c r="B239" s="4501" t="s">
        <v>1391</v>
      </c>
      <c r="C239" s="3708" t="s">
        <v>91</v>
      </c>
      <c r="D239" s="4502">
        <v>4500167294</v>
      </c>
      <c r="E239" s="3708" t="s">
        <v>1397</v>
      </c>
      <c r="F239" s="4502" t="s">
        <v>1398</v>
      </c>
      <c r="G239" s="3708" t="s">
        <v>327</v>
      </c>
      <c r="H239" s="3708" t="s">
        <v>327</v>
      </c>
      <c r="I239" s="4154" t="s">
        <v>328</v>
      </c>
      <c r="J239" s="4154">
        <v>144</v>
      </c>
      <c r="K239" s="4154">
        <v>0</v>
      </c>
      <c r="L239" s="4154">
        <v>12</v>
      </c>
      <c r="M239" s="4154">
        <f t="shared" si="94"/>
        <v>12</v>
      </c>
      <c r="N239" s="4503">
        <v>45839</v>
      </c>
      <c r="O239" s="4503">
        <f>N239-4</f>
        <v>45835</v>
      </c>
      <c r="P239" s="3708"/>
      <c r="Q239" s="4154" t="s">
        <v>82</v>
      </c>
      <c r="R239" s="4157"/>
      <c r="S239" s="4157"/>
      <c r="T239" s="4157"/>
      <c r="U239" s="3726" t="s">
        <v>1394</v>
      </c>
      <c r="V239" s="3711" t="s">
        <v>1349</v>
      </c>
      <c r="W239" s="3711"/>
      <c r="X239" s="3711" t="s">
        <v>98</v>
      </c>
      <c r="Y239" s="3711"/>
      <c r="Z239" s="3711"/>
      <c r="AA239" s="4154"/>
      <c r="AB239" s="3680" t="s">
        <v>1395</v>
      </c>
      <c r="AC239" s="4154" t="s">
        <v>500</v>
      </c>
      <c r="AD239" s="4504">
        <v>1.2589</v>
      </c>
      <c r="AE239" s="4154">
        <f>J239*AD239</f>
        <v>181.2816</v>
      </c>
      <c r="AF239" s="3726" t="s">
        <v>1399</v>
      </c>
      <c r="AG239" s="3726"/>
      <c r="AH239" s="984"/>
      <c r="AI239" s="3708">
        <f>J239</f>
        <v>144</v>
      </c>
      <c r="AJ239" s="984"/>
      <c r="AK239" s="3708"/>
      <c r="AL239" s="3708"/>
      <c r="AM239" s="4154"/>
      <c r="AN239" s="877"/>
      <c r="AO239" s="1048">
        <f>J239</f>
        <v>144</v>
      </c>
      <c r="AP239" s="1048"/>
      <c r="AQ239" s="877"/>
      <c r="AR239" s="877"/>
      <c r="AS239" s="1048">
        <f t="shared" si="106"/>
        <v>144</v>
      </c>
      <c r="AT239" s="1048"/>
      <c r="AU239" s="877"/>
      <c r="AV239" s="4921"/>
      <c r="AW239" s="4921"/>
      <c r="AX239" s="1048">
        <f>J239/6</f>
        <v>24</v>
      </c>
      <c r="AY239" s="4921"/>
      <c r="AZ239" s="4921"/>
      <c r="BA239" s="1048"/>
      <c r="BB239" s="4622"/>
      <c r="BC239" s="4921"/>
      <c r="BD239" s="4622"/>
      <c r="BE239" s="4622"/>
      <c r="BF239" s="4622"/>
      <c r="BG239" s="4622"/>
      <c r="BH239" s="1048"/>
      <c r="BI239" s="4622"/>
      <c r="BJ239" s="1048"/>
      <c r="BK239" s="4415" t="s">
        <v>89</v>
      </c>
      <c r="BL239" s="4415">
        <f t="shared" si="101"/>
        <v>2.4</v>
      </c>
      <c r="BM239" s="4415">
        <f t="shared" si="107"/>
        <v>21.6</v>
      </c>
      <c r="BN239" s="4415">
        <f t="shared" si="108"/>
        <v>24</v>
      </c>
      <c r="BO239" s="4415">
        <f t="shared" si="109"/>
        <v>24</v>
      </c>
      <c r="BP239" s="4415">
        <f t="shared" si="110"/>
        <v>24</v>
      </c>
      <c r="BQ239" s="4414">
        <f t="shared" si="111"/>
        <v>24</v>
      </c>
      <c r="BR239" s="1048">
        <f t="shared" si="112"/>
        <v>24</v>
      </c>
      <c r="BS239" s="992"/>
      <c r="BT239" s="992"/>
      <c r="BU239" s="992"/>
      <c r="BV239" s="992"/>
      <c r="BW239" s="992"/>
      <c r="BX239" s="991"/>
      <c r="BY239" s="991"/>
      <c r="BZ239" s="3708">
        <f t="shared" si="96"/>
        <v>144</v>
      </c>
      <c r="CA239" s="4154">
        <f t="shared" si="97"/>
        <v>0</v>
      </c>
      <c r="CB239" s="4804"/>
      <c r="CC239" s="4804"/>
      <c r="CD239" s="4323"/>
      <c r="CE239" s="4323"/>
      <c r="CF239" s="4323"/>
    </row>
    <row r="240" s="4316" customFormat="1" ht="50" customHeight="1" spans="1:84">
      <c r="A240" s="4500">
        <v>45750</v>
      </c>
      <c r="B240" s="4501" t="s">
        <v>1315</v>
      </c>
      <c r="C240" s="3708" t="s">
        <v>1316</v>
      </c>
      <c r="D240" s="4502">
        <v>4500162573</v>
      </c>
      <c r="E240" s="3708" t="s">
        <v>1400</v>
      </c>
      <c r="F240" s="4615" t="s">
        <v>1401</v>
      </c>
      <c r="G240" s="3708" t="s">
        <v>1319</v>
      </c>
      <c r="H240" s="3708" t="s">
        <v>1319</v>
      </c>
      <c r="I240" s="3708" t="s">
        <v>1320</v>
      </c>
      <c r="J240" s="4154">
        <v>1200</v>
      </c>
      <c r="K240" s="4154">
        <v>0</v>
      </c>
      <c r="L240" s="4154">
        <v>4</v>
      </c>
      <c r="M240" s="4154">
        <f t="shared" si="94"/>
        <v>300</v>
      </c>
      <c r="N240" s="4503">
        <v>45829</v>
      </c>
      <c r="O240" s="4503">
        <f>N240-4</f>
        <v>45825</v>
      </c>
      <c r="P240" s="3712"/>
      <c r="Q240" s="4154" t="s">
        <v>82</v>
      </c>
      <c r="R240" s="4157"/>
      <c r="S240" s="4157"/>
      <c r="T240" s="4157"/>
      <c r="U240" s="3726"/>
      <c r="V240" s="3711" t="s">
        <v>1322</v>
      </c>
      <c r="W240" s="3711"/>
      <c r="X240" s="3711" t="s">
        <v>1379</v>
      </c>
      <c r="Y240" s="3711"/>
      <c r="Z240" s="3711"/>
      <c r="AA240" s="4154" t="s">
        <v>1402</v>
      </c>
      <c r="AB240" s="3680" t="s">
        <v>1376</v>
      </c>
      <c r="AC240" s="4154" t="s">
        <v>1326</v>
      </c>
      <c r="AD240" s="4154">
        <v>16.8855</v>
      </c>
      <c r="AE240" s="4154">
        <f>AD240*M240</f>
        <v>5065.65</v>
      </c>
      <c r="AF240" s="3726"/>
      <c r="AG240" s="3726"/>
      <c r="AH240" s="984"/>
      <c r="AI240" s="3708"/>
      <c r="AJ240" s="984"/>
      <c r="AK240" s="3708"/>
      <c r="AL240" s="3708"/>
      <c r="AM240" s="4154">
        <f>J240</f>
        <v>1200</v>
      </c>
      <c r="AN240" s="877"/>
      <c r="AO240" s="1048"/>
      <c r="AP240" s="1048">
        <f>J240</f>
        <v>1200</v>
      </c>
      <c r="AQ240" s="877"/>
      <c r="AR240" s="877"/>
      <c r="AS240" s="1048">
        <f t="shared" si="106"/>
        <v>1200</v>
      </c>
      <c r="AT240" s="1048"/>
      <c r="AU240" s="877"/>
      <c r="AV240" s="4921"/>
      <c r="AW240" s="4921"/>
      <c r="AX240" s="1048"/>
      <c r="AY240" s="4921"/>
      <c r="AZ240" s="4921"/>
      <c r="BA240" s="1048"/>
      <c r="BB240" s="4622"/>
      <c r="BC240" s="4921"/>
      <c r="BD240" s="4622"/>
      <c r="BE240" s="4622"/>
      <c r="BF240" s="4622"/>
      <c r="BG240" s="4622"/>
      <c r="BH240" s="1048"/>
      <c r="BI240" s="4622"/>
      <c r="BJ240" s="1048"/>
      <c r="BK240" s="4415" t="s">
        <v>1327</v>
      </c>
      <c r="BL240" s="4415">
        <f t="shared" si="101"/>
        <v>20</v>
      </c>
      <c r="BM240" s="4415">
        <f t="shared" si="107"/>
        <v>180</v>
      </c>
      <c r="BN240" s="4415">
        <f t="shared" si="108"/>
        <v>200</v>
      </c>
      <c r="BO240" s="4415">
        <f t="shared" si="109"/>
        <v>200</v>
      </c>
      <c r="BP240" s="4415">
        <f t="shared" si="110"/>
        <v>200</v>
      </c>
      <c r="BQ240" s="4414">
        <f t="shared" si="111"/>
        <v>200</v>
      </c>
      <c r="BR240" s="1048">
        <f t="shared" si="112"/>
        <v>200</v>
      </c>
      <c r="BS240" s="880"/>
      <c r="BT240" s="992"/>
      <c r="BU240" s="992"/>
      <c r="BV240" s="992"/>
      <c r="BW240" s="992"/>
      <c r="BX240" s="991"/>
      <c r="BY240" s="991"/>
      <c r="BZ240" s="3708">
        <f t="shared" si="96"/>
        <v>1200</v>
      </c>
      <c r="CA240" s="4154">
        <f t="shared" si="97"/>
        <v>0</v>
      </c>
      <c r="CB240" s="4804"/>
      <c r="CC240" s="4804"/>
      <c r="CD240" s="4323"/>
      <c r="CE240" s="4323"/>
      <c r="CF240" s="4323"/>
    </row>
    <row r="241" s="4316" customFormat="1" ht="50" customHeight="1" spans="1:84">
      <c r="A241" s="4500">
        <v>45798</v>
      </c>
      <c r="B241" s="4501" t="s">
        <v>452</v>
      </c>
      <c r="C241" s="3708" t="s">
        <v>453</v>
      </c>
      <c r="D241" s="4502">
        <v>4500167357</v>
      </c>
      <c r="E241" s="3708" t="s">
        <v>1403</v>
      </c>
      <c r="F241" s="4615" t="s">
        <v>1404</v>
      </c>
      <c r="G241" s="3708" t="s">
        <v>1145</v>
      </c>
      <c r="H241" s="3708" t="s">
        <v>327</v>
      </c>
      <c r="I241" s="4154" t="s">
        <v>328</v>
      </c>
      <c r="J241" s="4154">
        <v>7008</v>
      </c>
      <c r="K241" s="4154">
        <v>0</v>
      </c>
      <c r="L241" s="4154">
        <v>12</v>
      </c>
      <c r="M241" s="4154">
        <f t="shared" si="94"/>
        <v>584</v>
      </c>
      <c r="N241" s="4503">
        <v>45838</v>
      </c>
      <c r="O241" s="4503">
        <v>45834</v>
      </c>
      <c r="P241" s="3712"/>
      <c r="Q241" s="4154" t="s">
        <v>82</v>
      </c>
      <c r="R241" s="4157"/>
      <c r="S241" s="4157"/>
      <c r="T241" s="4157"/>
      <c r="U241" s="3726" t="s">
        <v>1405</v>
      </c>
      <c r="V241" s="3711" t="s">
        <v>1349</v>
      </c>
      <c r="W241" s="3711"/>
      <c r="X241" s="3711" t="s">
        <v>1406</v>
      </c>
      <c r="Y241" s="3711"/>
      <c r="Z241" s="3711"/>
      <c r="AA241" s="4154"/>
      <c r="AB241" s="3680" t="s">
        <v>1407</v>
      </c>
      <c r="AC241" s="4154" t="s">
        <v>459</v>
      </c>
      <c r="AD241" s="4504">
        <v>2.1397</v>
      </c>
      <c r="AE241" s="4154">
        <f>J241*AD241</f>
        <v>14995.0176</v>
      </c>
      <c r="AF241" s="3726" t="s">
        <v>1408</v>
      </c>
      <c r="AG241" s="3726"/>
      <c r="AH241" s="984"/>
      <c r="AI241" s="3708"/>
      <c r="AJ241" s="984"/>
      <c r="AK241" s="3708">
        <f>J241</f>
        <v>7008</v>
      </c>
      <c r="AL241" s="3708"/>
      <c r="AM241" s="4154"/>
      <c r="AN241" s="877"/>
      <c r="AO241" s="1048">
        <f>J241</f>
        <v>7008</v>
      </c>
      <c r="AP241" s="1048"/>
      <c r="AQ241" s="877"/>
      <c r="AR241" s="877"/>
      <c r="AS241" s="1048">
        <f t="shared" si="106"/>
        <v>7008</v>
      </c>
      <c r="AT241" s="1048"/>
      <c r="AU241" s="877"/>
      <c r="AV241" s="4921"/>
      <c r="AW241" s="4921"/>
      <c r="AX241" s="1048">
        <f>J241/6</f>
        <v>1168</v>
      </c>
      <c r="AY241" s="4921"/>
      <c r="AZ241" s="4921"/>
      <c r="BA241" s="1048"/>
      <c r="BB241" s="4622"/>
      <c r="BC241" s="4921"/>
      <c r="BD241" s="4622"/>
      <c r="BE241" s="4622"/>
      <c r="BF241" s="4622"/>
      <c r="BG241" s="4622"/>
      <c r="BH241" s="1048"/>
      <c r="BI241" s="4622"/>
      <c r="BJ241" s="1048"/>
      <c r="BK241" s="4415" t="s">
        <v>89</v>
      </c>
      <c r="BL241" s="4415">
        <f t="shared" si="101"/>
        <v>116.8</v>
      </c>
      <c r="BM241" s="4415">
        <f t="shared" si="107"/>
        <v>1051.2</v>
      </c>
      <c r="BN241" s="4415">
        <f t="shared" si="108"/>
        <v>1168</v>
      </c>
      <c r="BO241" s="4415">
        <f t="shared" si="109"/>
        <v>1168</v>
      </c>
      <c r="BP241" s="4415">
        <f t="shared" si="110"/>
        <v>1168</v>
      </c>
      <c r="BQ241" s="4414">
        <f t="shared" si="111"/>
        <v>1168</v>
      </c>
      <c r="BR241" s="1048">
        <f t="shared" si="112"/>
        <v>1168</v>
      </c>
      <c r="BS241" s="992"/>
      <c r="BT241" s="992"/>
      <c r="BU241" s="992"/>
      <c r="BV241" s="992"/>
      <c r="BW241" s="992"/>
      <c r="BX241" s="991"/>
      <c r="BY241" s="991"/>
      <c r="BZ241" s="3708">
        <f t="shared" si="96"/>
        <v>7008</v>
      </c>
      <c r="CA241" s="4154">
        <f t="shared" si="97"/>
        <v>0</v>
      </c>
      <c r="CB241" s="4804"/>
      <c r="CC241" s="4804"/>
      <c r="CD241" s="4323"/>
      <c r="CE241" s="4323"/>
      <c r="CF241" s="4323"/>
    </row>
    <row r="242" s="4316" customFormat="1" ht="50" customHeight="1" spans="1:84">
      <c r="A242" s="4500">
        <v>45803</v>
      </c>
      <c r="B242" s="4501" t="s">
        <v>1409</v>
      </c>
      <c r="C242" s="3708" t="s">
        <v>1410</v>
      </c>
      <c r="D242" s="4502">
        <v>4500167894</v>
      </c>
      <c r="E242" s="3708">
        <v>25000160</v>
      </c>
      <c r="F242" s="4502" t="s">
        <v>1411</v>
      </c>
      <c r="G242" s="3708" t="s">
        <v>333</v>
      </c>
      <c r="H242" s="3708" t="s">
        <v>333</v>
      </c>
      <c r="I242" s="3708" t="s">
        <v>328</v>
      </c>
      <c r="J242" s="4593">
        <v>2640</v>
      </c>
      <c r="K242" s="4154">
        <v>0</v>
      </c>
      <c r="L242" s="4154">
        <v>24</v>
      </c>
      <c r="M242" s="4154">
        <f t="shared" si="94"/>
        <v>110</v>
      </c>
      <c r="N242" s="4503">
        <v>45839</v>
      </c>
      <c r="O242" s="4503">
        <f>N242-4</f>
        <v>45835</v>
      </c>
      <c r="P242" s="3712"/>
      <c r="Q242" s="4154" t="s">
        <v>82</v>
      </c>
      <c r="R242" s="4157"/>
      <c r="S242" s="4157"/>
      <c r="T242" s="4157"/>
      <c r="U242" s="3726" t="s">
        <v>203</v>
      </c>
      <c r="V242" s="3711" t="s">
        <v>1412</v>
      </c>
      <c r="W242" s="3711"/>
      <c r="X242" s="3711" t="s">
        <v>98</v>
      </c>
      <c r="Y242" s="3711"/>
      <c r="Z242" s="3711"/>
      <c r="AA242" s="4154"/>
      <c r="AB242" s="3680" t="s">
        <v>1413</v>
      </c>
      <c r="AC242" s="4154" t="s">
        <v>892</v>
      </c>
      <c r="AD242" s="4504">
        <v>2.0331</v>
      </c>
      <c r="AE242" s="4154">
        <f>J242*AD242</f>
        <v>5367.384</v>
      </c>
      <c r="AF242" s="3726" t="s">
        <v>1414</v>
      </c>
      <c r="AG242" s="3726"/>
      <c r="AH242" s="984"/>
      <c r="AI242" s="3708">
        <f>J242</f>
        <v>2640</v>
      </c>
      <c r="AJ242" s="984"/>
      <c r="AK242" s="3708"/>
      <c r="AL242" s="3708"/>
      <c r="AM242" s="4154"/>
      <c r="AN242" s="877"/>
      <c r="AO242" s="1048">
        <f>J242</f>
        <v>2640</v>
      </c>
      <c r="AP242" s="1048"/>
      <c r="AQ242" s="877"/>
      <c r="AR242" s="877"/>
      <c r="AS242" s="1048">
        <f t="shared" si="106"/>
        <v>2640</v>
      </c>
      <c r="AT242" s="1048"/>
      <c r="AU242" s="877"/>
      <c r="AV242" s="4921"/>
      <c r="AW242" s="4921"/>
      <c r="AX242" s="1048"/>
      <c r="AY242" s="4921"/>
      <c r="AZ242" s="4921"/>
      <c r="BA242" s="1048"/>
      <c r="BB242" s="4622"/>
      <c r="BC242" s="4921"/>
      <c r="BD242" s="4622"/>
      <c r="BE242" s="4622"/>
      <c r="BF242" s="4622"/>
      <c r="BG242" s="4622"/>
      <c r="BH242" s="1048"/>
      <c r="BI242" s="4622"/>
      <c r="BJ242" s="1048"/>
      <c r="BK242" s="4415" t="s">
        <v>89</v>
      </c>
      <c r="BL242" s="4415">
        <f t="shared" si="101"/>
        <v>44</v>
      </c>
      <c r="BM242" s="4415">
        <f t="shared" si="107"/>
        <v>396</v>
      </c>
      <c r="BN242" s="4415">
        <f t="shared" si="108"/>
        <v>440</v>
      </c>
      <c r="BO242" s="4415">
        <f t="shared" si="109"/>
        <v>440</v>
      </c>
      <c r="BP242" s="4415">
        <f t="shared" si="110"/>
        <v>440</v>
      </c>
      <c r="BQ242" s="4414">
        <f t="shared" si="111"/>
        <v>440</v>
      </c>
      <c r="BR242" s="1048">
        <f t="shared" si="112"/>
        <v>440</v>
      </c>
      <c r="BS242" s="992"/>
      <c r="BT242" s="992"/>
      <c r="BU242" s="992"/>
      <c r="BV242" s="992"/>
      <c r="BW242" s="992"/>
      <c r="BX242" s="991"/>
      <c r="BY242" s="991"/>
      <c r="BZ242" s="3708">
        <f t="shared" si="96"/>
        <v>2640</v>
      </c>
      <c r="CA242" s="4154">
        <f t="shared" si="97"/>
        <v>0</v>
      </c>
      <c r="CB242" s="4804"/>
      <c r="CC242" s="4804"/>
      <c r="CD242" s="4323"/>
      <c r="CE242" s="4323"/>
      <c r="CF242" s="4323"/>
    </row>
    <row r="243" s="4316" customFormat="1" ht="50" customHeight="1" spans="1:84">
      <c r="A243" s="4500">
        <v>45799</v>
      </c>
      <c r="B243" s="4501" t="s">
        <v>1415</v>
      </c>
      <c r="C243" s="3708" t="s">
        <v>91</v>
      </c>
      <c r="D243" s="4502">
        <v>4500167544</v>
      </c>
      <c r="E243" s="3708">
        <v>4648</v>
      </c>
      <c r="F243" s="4615" t="s">
        <v>1416</v>
      </c>
      <c r="G243" s="3708" t="s">
        <v>327</v>
      </c>
      <c r="H243" s="3708" t="s">
        <v>327</v>
      </c>
      <c r="I243" s="4154" t="s">
        <v>328</v>
      </c>
      <c r="J243" s="4154">
        <v>1440</v>
      </c>
      <c r="K243" s="4154">
        <v>0</v>
      </c>
      <c r="L243" s="4154">
        <v>12</v>
      </c>
      <c r="M243" s="4154">
        <f t="shared" si="94"/>
        <v>120</v>
      </c>
      <c r="N243" s="4503">
        <v>45846</v>
      </c>
      <c r="O243" s="4503">
        <v>45840</v>
      </c>
      <c r="P243" s="3768" t="s">
        <v>1417</v>
      </c>
      <c r="Q243" s="4154" t="s">
        <v>82</v>
      </c>
      <c r="R243" s="4157"/>
      <c r="S243" s="4157"/>
      <c r="T243" s="4157"/>
      <c r="U243" s="3726" t="s">
        <v>1418</v>
      </c>
      <c r="V243" s="3711" t="s">
        <v>1419</v>
      </c>
      <c r="W243" s="3711"/>
      <c r="X243" s="3711" t="s">
        <v>98</v>
      </c>
      <c r="Y243" s="3711"/>
      <c r="Z243" s="3711"/>
      <c r="AA243" s="4154"/>
      <c r="AB243" s="3680" t="s">
        <v>1420</v>
      </c>
      <c r="AC243" s="4154" t="s">
        <v>1421</v>
      </c>
      <c r="AD243" s="4504">
        <v>1.2562</v>
      </c>
      <c r="AE243" s="4154">
        <f>J243*AD243</f>
        <v>1808.928</v>
      </c>
      <c r="AF243" s="4941" t="s">
        <v>1422</v>
      </c>
      <c r="AG243" s="3726"/>
      <c r="AH243" s="4422"/>
      <c r="AI243" s="3708">
        <f>J243</f>
        <v>1440</v>
      </c>
      <c r="AJ243" s="4422"/>
      <c r="AK243" s="3708"/>
      <c r="AL243" s="3708"/>
      <c r="AM243" s="4154"/>
      <c r="AN243" s="907"/>
      <c r="AO243" s="1048">
        <f>J243</f>
        <v>1440</v>
      </c>
      <c r="AP243" s="1048"/>
      <c r="AQ243" s="907"/>
      <c r="AR243" s="907"/>
      <c r="AS243" s="1048">
        <f t="shared" si="106"/>
        <v>1440</v>
      </c>
      <c r="AT243" s="1048"/>
      <c r="AU243" s="907"/>
      <c r="AV243" s="4922"/>
      <c r="AW243" s="4922"/>
      <c r="AX243" s="1048">
        <f>J243/6</f>
        <v>240</v>
      </c>
      <c r="AY243" s="4922"/>
      <c r="AZ243" s="4922"/>
      <c r="BA243" s="1048"/>
      <c r="BB243" s="4622"/>
      <c r="BC243" s="4922"/>
      <c r="BD243" s="4622"/>
      <c r="BE243" s="4622"/>
      <c r="BF243" s="4622"/>
      <c r="BG243" s="4622"/>
      <c r="BH243" s="1048"/>
      <c r="BI243" s="4622"/>
      <c r="BJ243" s="1048"/>
      <c r="BK243" s="4415" t="s">
        <v>89</v>
      </c>
      <c r="BL243" s="4415">
        <f t="shared" si="101"/>
        <v>24</v>
      </c>
      <c r="BM243" s="4415">
        <f t="shared" si="107"/>
        <v>216</v>
      </c>
      <c r="BN243" s="4415">
        <f t="shared" si="108"/>
        <v>240</v>
      </c>
      <c r="BO243" s="4415">
        <f t="shared" si="109"/>
        <v>240</v>
      </c>
      <c r="BP243" s="4415">
        <f t="shared" si="110"/>
        <v>240</v>
      </c>
      <c r="BQ243" s="4414">
        <f t="shared" si="111"/>
        <v>240</v>
      </c>
      <c r="BR243" s="1048">
        <f t="shared" si="112"/>
        <v>240</v>
      </c>
      <c r="BS243" s="911"/>
      <c r="BT243" s="911"/>
      <c r="BU243" s="911"/>
      <c r="BV243" s="911"/>
      <c r="BW243" s="911"/>
      <c r="BX243" s="910"/>
      <c r="BY243" s="910"/>
      <c r="BZ243" s="3708">
        <f t="shared" si="96"/>
        <v>1440</v>
      </c>
      <c r="CA243" s="4154">
        <f t="shared" si="97"/>
        <v>0</v>
      </c>
      <c r="CB243" s="4923"/>
      <c r="CC243" s="4923"/>
      <c r="CD243" s="4323"/>
      <c r="CE243" s="4323"/>
      <c r="CF243" s="4323"/>
    </row>
    <row r="244" s="4316" customFormat="1" ht="50" customHeight="1" spans="1:84">
      <c r="A244" s="4500">
        <v>45812</v>
      </c>
      <c r="B244" s="4501" t="s">
        <v>872</v>
      </c>
      <c r="C244" s="3708" t="s">
        <v>873</v>
      </c>
      <c r="D244" s="4502">
        <v>4500168727</v>
      </c>
      <c r="E244" s="3708"/>
      <c r="F244" s="4502" t="s">
        <v>1423</v>
      </c>
      <c r="G244" s="3708" t="s">
        <v>333</v>
      </c>
      <c r="H244" s="3708" t="s">
        <v>333</v>
      </c>
      <c r="I244" s="3708" t="s">
        <v>328</v>
      </c>
      <c r="J244" s="4593">
        <v>7200</v>
      </c>
      <c r="K244" s="4154">
        <v>0</v>
      </c>
      <c r="L244" s="4154">
        <v>24</v>
      </c>
      <c r="M244" s="4154">
        <f t="shared" si="94"/>
        <v>300</v>
      </c>
      <c r="N244" s="4503">
        <v>45848</v>
      </c>
      <c r="O244" s="4503">
        <v>45845</v>
      </c>
      <c r="P244" s="4154"/>
      <c r="Q244" s="4154" t="s">
        <v>82</v>
      </c>
      <c r="R244" s="4157"/>
      <c r="S244" s="4157"/>
      <c r="T244" s="4157"/>
      <c r="U244" s="3726" t="s">
        <v>1424</v>
      </c>
      <c r="V244" s="3711" t="s">
        <v>1425</v>
      </c>
      <c r="W244" s="3711"/>
      <c r="X244" s="3711" t="s">
        <v>1426</v>
      </c>
      <c r="Y244" s="3711"/>
      <c r="Z244" s="3711"/>
      <c r="AA244" s="4942"/>
      <c r="AB244" s="3680" t="s">
        <v>1427</v>
      </c>
      <c r="AC244" s="4154" t="s">
        <v>1131</v>
      </c>
      <c r="AD244" s="4504">
        <v>2.0719</v>
      </c>
      <c r="AE244" s="4154">
        <f>J244*AD244</f>
        <v>14917.68</v>
      </c>
      <c r="AF244" s="4504" t="s">
        <v>1428</v>
      </c>
      <c r="AG244" s="3726"/>
      <c r="AH244" s="4422"/>
      <c r="AI244" s="3708">
        <f>J244</f>
        <v>7200</v>
      </c>
      <c r="AJ244" s="4422"/>
      <c r="AK244" s="3708"/>
      <c r="AL244" s="3708"/>
      <c r="AM244" s="4154"/>
      <c r="AN244" s="907"/>
      <c r="AO244" s="1048">
        <f>J244</f>
        <v>7200</v>
      </c>
      <c r="AP244" s="1048"/>
      <c r="AQ244" s="907"/>
      <c r="AR244" s="907"/>
      <c r="AS244" s="1048">
        <f t="shared" si="106"/>
        <v>7200</v>
      </c>
      <c r="AT244" s="1048"/>
      <c r="AU244" s="907"/>
      <c r="AV244" s="4922"/>
      <c r="AW244" s="4922"/>
      <c r="AX244" s="1048"/>
      <c r="AY244" s="4922"/>
      <c r="AZ244" s="4922"/>
      <c r="BA244" s="1048"/>
      <c r="BB244" s="4622"/>
      <c r="BC244" s="4922"/>
      <c r="BD244" s="4622"/>
      <c r="BE244" s="4622"/>
      <c r="BF244" s="4622"/>
      <c r="BG244" s="4622"/>
      <c r="BH244" s="1048"/>
      <c r="BI244" s="4622"/>
      <c r="BJ244" s="1048"/>
      <c r="BK244" s="4415" t="s">
        <v>89</v>
      </c>
      <c r="BL244" s="4415">
        <f t="shared" si="101"/>
        <v>120</v>
      </c>
      <c r="BM244" s="4415">
        <f t="shared" si="107"/>
        <v>1080</v>
      </c>
      <c r="BN244" s="4415">
        <f t="shared" si="108"/>
        <v>1200</v>
      </c>
      <c r="BO244" s="4415">
        <f t="shared" si="109"/>
        <v>1200</v>
      </c>
      <c r="BP244" s="4415">
        <f t="shared" si="110"/>
        <v>1200</v>
      </c>
      <c r="BQ244" s="4414">
        <f t="shared" si="111"/>
        <v>1200</v>
      </c>
      <c r="BR244" s="1048">
        <f t="shared" si="112"/>
        <v>1200</v>
      </c>
      <c r="BS244" s="911"/>
      <c r="BT244" s="911"/>
      <c r="BU244" s="911"/>
      <c r="BV244" s="911"/>
      <c r="BW244" s="911"/>
      <c r="BX244" s="910"/>
      <c r="BY244" s="910"/>
      <c r="BZ244" s="3708">
        <f t="shared" si="96"/>
        <v>7200</v>
      </c>
      <c r="CA244" s="4154">
        <f t="shared" si="97"/>
        <v>0</v>
      </c>
      <c r="CB244" s="4923"/>
      <c r="CC244" s="4923"/>
      <c r="CD244" s="4323"/>
      <c r="CE244" s="4323"/>
      <c r="CF244" s="4323"/>
    </row>
    <row r="245" s="4316" customFormat="1" ht="50" customHeight="1" spans="1:84">
      <c r="A245" s="4500">
        <v>45806</v>
      </c>
      <c r="B245" s="4501" t="s">
        <v>1429</v>
      </c>
      <c r="C245" s="3708" t="s">
        <v>1430</v>
      </c>
      <c r="D245" s="4502">
        <v>4500168463</v>
      </c>
      <c r="E245" s="3708"/>
      <c r="F245" s="4615" t="s">
        <v>1431</v>
      </c>
      <c r="G245" s="3708" t="s">
        <v>1145</v>
      </c>
      <c r="H245" s="3708" t="s">
        <v>327</v>
      </c>
      <c r="I245" s="4154" t="s">
        <v>328</v>
      </c>
      <c r="J245" s="4154">
        <v>504</v>
      </c>
      <c r="K245" s="4154">
        <v>0</v>
      </c>
      <c r="L245" s="4154">
        <v>12</v>
      </c>
      <c r="M245" s="4154">
        <f t="shared" si="94"/>
        <v>42</v>
      </c>
      <c r="N245" s="4503">
        <v>45840</v>
      </c>
      <c r="O245" s="4503">
        <f>N245-4</f>
        <v>45836</v>
      </c>
      <c r="P245" s="3712"/>
      <c r="Q245" s="4154" t="s">
        <v>82</v>
      </c>
      <c r="R245" s="4157"/>
      <c r="S245" s="4157"/>
      <c r="T245" s="4157"/>
      <c r="U245" s="3726" t="s">
        <v>203</v>
      </c>
      <c r="V245" s="3711" t="s">
        <v>1425</v>
      </c>
      <c r="W245" s="3711"/>
      <c r="X245" s="3711" t="s">
        <v>1432</v>
      </c>
      <c r="Y245" s="3711"/>
      <c r="Z245" s="3711"/>
      <c r="AA245" s="4154"/>
      <c r="AB245" s="3680" t="s">
        <v>1433</v>
      </c>
      <c r="AC245" s="4154" t="s">
        <v>1434</v>
      </c>
      <c r="AD245" s="4504">
        <v>2.0981</v>
      </c>
      <c r="AE245" s="4154">
        <f>J245*AD245</f>
        <v>1057.4424</v>
      </c>
      <c r="AF245" s="3726" t="s">
        <v>1435</v>
      </c>
      <c r="AG245" s="3726"/>
      <c r="AH245" s="4422"/>
      <c r="AI245" s="3708"/>
      <c r="AJ245" s="4422"/>
      <c r="AK245" s="3708">
        <f>J245</f>
        <v>504</v>
      </c>
      <c r="AL245" s="3708"/>
      <c r="AM245" s="4154"/>
      <c r="AN245" s="907"/>
      <c r="AO245" s="1048">
        <f>J245</f>
        <v>504</v>
      </c>
      <c r="AP245" s="1048"/>
      <c r="AQ245" s="907"/>
      <c r="AR245" s="907"/>
      <c r="AS245" s="1048">
        <f t="shared" si="106"/>
        <v>504</v>
      </c>
      <c r="AT245" s="1048"/>
      <c r="AU245" s="907"/>
      <c r="AV245" s="4922"/>
      <c r="AW245" s="4922"/>
      <c r="AX245" s="1048">
        <f>J245/6</f>
        <v>84</v>
      </c>
      <c r="AY245" s="4922"/>
      <c r="AZ245" s="4922"/>
      <c r="BA245" s="1048"/>
      <c r="BB245" s="4622"/>
      <c r="BC245" s="4922"/>
      <c r="BD245" s="4622"/>
      <c r="BE245" s="4622"/>
      <c r="BF245" s="4622"/>
      <c r="BG245" s="4622"/>
      <c r="BH245" s="1048"/>
      <c r="BI245" s="4622"/>
      <c r="BJ245" s="1048"/>
      <c r="BK245" s="4415" t="s">
        <v>89</v>
      </c>
      <c r="BL245" s="4415">
        <f t="shared" si="101"/>
        <v>8.4</v>
      </c>
      <c r="BM245" s="4415">
        <f t="shared" si="107"/>
        <v>75.6</v>
      </c>
      <c r="BN245" s="4415">
        <f t="shared" si="108"/>
        <v>84</v>
      </c>
      <c r="BO245" s="4415">
        <f t="shared" si="109"/>
        <v>84</v>
      </c>
      <c r="BP245" s="4415">
        <f t="shared" si="110"/>
        <v>84</v>
      </c>
      <c r="BQ245" s="4414">
        <f t="shared" si="111"/>
        <v>84</v>
      </c>
      <c r="BR245" s="1048">
        <f t="shared" si="112"/>
        <v>84</v>
      </c>
      <c r="BS245" s="911"/>
      <c r="BT245" s="911"/>
      <c r="BU245" s="911"/>
      <c r="BV245" s="911"/>
      <c r="BW245" s="911"/>
      <c r="BX245" s="910"/>
      <c r="BY245" s="910"/>
      <c r="BZ245" s="3708">
        <f t="shared" si="96"/>
        <v>504</v>
      </c>
      <c r="CA245" s="4154">
        <f t="shared" si="97"/>
        <v>0</v>
      </c>
      <c r="CB245" s="4923"/>
      <c r="CC245" s="4923"/>
      <c r="CD245" s="4323"/>
      <c r="CE245" s="4323"/>
      <c r="CF245" s="4323"/>
    </row>
    <row r="246" s="4316" customFormat="1" ht="50" customHeight="1" spans="1:84">
      <c r="A246" s="4500">
        <v>45750</v>
      </c>
      <c r="B246" s="4501" t="s">
        <v>1315</v>
      </c>
      <c r="C246" s="3708" t="s">
        <v>1316</v>
      </c>
      <c r="D246" s="4502">
        <v>4500166280</v>
      </c>
      <c r="E246" s="3708" t="s">
        <v>1436</v>
      </c>
      <c r="F246" s="4502" t="s">
        <v>1437</v>
      </c>
      <c r="G246" s="3708" t="s">
        <v>1319</v>
      </c>
      <c r="H246" s="3708" t="s">
        <v>1319</v>
      </c>
      <c r="I246" s="3708" t="s">
        <v>1320</v>
      </c>
      <c r="J246" s="4154">
        <v>2852</v>
      </c>
      <c r="K246" s="4154">
        <v>0</v>
      </c>
      <c r="L246" s="4154">
        <v>4</v>
      </c>
      <c r="M246" s="4154">
        <f t="shared" si="94"/>
        <v>713</v>
      </c>
      <c r="N246" s="4503">
        <v>45836</v>
      </c>
      <c r="O246" s="4503">
        <f>N246-4</f>
        <v>45832</v>
      </c>
      <c r="P246" s="4154" t="s">
        <v>1374</v>
      </c>
      <c r="Q246" s="4154" t="s">
        <v>82</v>
      </c>
      <c r="R246" s="4157"/>
      <c r="S246" s="4157"/>
      <c r="T246" s="4157"/>
      <c r="U246" s="3726" t="s">
        <v>401</v>
      </c>
      <c r="V246" s="3711" t="s">
        <v>1322</v>
      </c>
      <c r="W246" s="3711"/>
      <c r="X246" s="3711" t="s">
        <v>1323</v>
      </c>
      <c r="Y246" s="3711"/>
      <c r="Z246" s="3711"/>
      <c r="AA246" s="4154" t="s">
        <v>1438</v>
      </c>
      <c r="AB246" s="3680" t="s">
        <v>1376</v>
      </c>
      <c r="AC246" s="4154" t="s">
        <v>1326</v>
      </c>
      <c r="AD246" s="4154">
        <v>16.8855</v>
      </c>
      <c r="AE246" s="4154">
        <f>AD246*M246</f>
        <v>12039.3615</v>
      </c>
      <c r="AF246" s="3726"/>
      <c r="AG246" s="3726"/>
      <c r="AH246" s="984"/>
      <c r="AI246" s="3708"/>
      <c r="AJ246" s="984"/>
      <c r="AK246" s="3708"/>
      <c r="AL246" s="3708"/>
      <c r="AM246" s="4154">
        <f>J246</f>
        <v>2852</v>
      </c>
      <c r="AN246" s="877"/>
      <c r="AO246" s="1048"/>
      <c r="AP246" s="1048">
        <f>J246</f>
        <v>2852</v>
      </c>
      <c r="AQ246" s="877"/>
      <c r="AR246" s="877"/>
      <c r="AS246" s="1048">
        <f t="shared" si="106"/>
        <v>2852</v>
      </c>
      <c r="AT246" s="1048"/>
      <c r="AU246" s="877"/>
      <c r="AV246" s="4921"/>
      <c r="AW246" s="4921"/>
      <c r="AX246" s="1048"/>
      <c r="AY246" s="4921"/>
      <c r="AZ246" s="4921"/>
      <c r="BA246" s="1048"/>
      <c r="BB246" s="4622"/>
      <c r="BC246" s="4921"/>
      <c r="BD246" s="4622"/>
      <c r="BE246" s="4622"/>
      <c r="BF246" s="4622"/>
      <c r="BG246" s="4622"/>
      <c r="BH246" s="1048"/>
      <c r="BI246" s="4622"/>
      <c r="BJ246" s="1048"/>
      <c r="BK246" s="4415" t="s">
        <v>1327</v>
      </c>
      <c r="BL246" s="4415">
        <f t="shared" si="101"/>
        <v>47.5333333333333</v>
      </c>
      <c r="BM246" s="4415">
        <f t="shared" si="107"/>
        <v>427.8</v>
      </c>
      <c r="BN246" s="4415">
        <f t="shared" si="108"/>
        <v>475.333333333333</v>
      </c>
      <c r="BO246" s="4415">
        <f t="shared" si="109"/>
        <v>475.333333333333</v>
      </c>
      <c r="BP246" s="4415">
        <f t="shared" si="110"/>
        <v>475.333333333333</v>
      </c>
      <c r="BQ246" s="4414">
        <f t="shared" si="111"/>
        <v>475.333333333333</v>
      </c>
      <c r="BR246" s="1048">
        <f t="shared" si="112"/>
        <v>475.333333333333</v>
      </c>
      <c r="BS246" s="880"/>
      <c r="BT246" s="992"/>
      <c r="BU246" s="992"/>
      <c r="BV246" s="992"/>
      <c r="BW246" s="992"/>
      <c r="BX246" s="991"/>
      <c r="BY246" s="991"/>
      <c r="BZ246" s="3708">
        <f t="shared" si="96"/>
        <v>2852</v>
      </c>
      <c r="CA246" s="4154">
        <f t="shared" si="97"/>
        <v>0</v>
      </c>
      <c r="CB246" s="4804"/>
      <c r="CC246" s="4804"/>
      <c r="CD246" s="4323"/>
      <c r="CE246" s="4323"/>
      <c r="CF246" s="4323"/>
    </row>
    <row r="247" s="4316" customFormat="1" ht="50" customHeight="1" spans="1:84">
      <c r="A247" s="4500">
        <v>45750</v>
      </c>
      <c r="B247" s="4501" t="s">
        <v>1315</v>
      </c>
      <c r="C247" s="3708" t="s">
        <v>1316</v>
      </c>
      <c r="D247" s="4502">
        <v>4500166280</v>
      </c>
      <c r="E247" s="3708" t="s">
        <v>1439</v>
      </c>
      <c r="F247" s="4502" t="s">
        <v>1440</v>
      </c>
      <c r="G247" s="3708" t="s">
        <v>1319</v>
      </c>
      <c r="H247" s="3708" t="s">
        <v>1319</v>
      </c>
      <c r="I247" s="3708" t="s">
        <v>1320</v>
      </c>
      <c r="J247" s="4154">
        <v>5660</v>
      </c>
      <c r="K247" s="4154">
        <v>0</v>
      </c>
      <c r="L247" s="4154">
        <v>4</v>
      </c>
      <c r="M247" s="4154">
        <f t="shared" si="94"/>
        <v>1415</v>
      </c>
      <c r="N247" s="4503">
        <v>45836</v>
      </c>
      <c r="O247" s="4503">
        <v>45833</v>
      </c>
      <c r="P247" s="4154" t="s">
        <v>1374</v>
      </c>
      <c r="Q247" s="4154" t="s">
        <v>82</v>
      </c>
      <c r="R247" s="4157"/>
      <c r="S247" s="4157"/>
      <c r="T247" s="4157"/>
      <c r="U247" s="3726" t="s">
        <v>401</v>
      </c>
      <c r="V247" s="3711" t="s">
        <v>1322</v>
      </c>
      <c r="W247" s="3711"/>
      <c r="X247" s="3711" t="s">
        <v>1323</v>
      </c>
      <c r="Y247" s="3711"/>
      <c r="Z247" s="3711"/>
      <c r="AA247" s="4154" t="s">
        <v>1441</v>
      </c>
      <c r="AB247" s="3680" t="s">
        <v>1376</v>
      </c>
      <c r="AC247" s="4154" t="s">
        <v>1326</v>
      </c>
      <c r="AD247" s="4154">
        <v>16.7342</v>
      </c>
      <c r="AE247" s="4154">
        <f>AD247*M247</f>
        <v>23678.893</v>
      </c>
      <c r="AF247" s="3726"/>
      <c r="AG247" s="3726"/>
      <c r="AH247" s="984"/>
      <c r="AI247" s="3708"/>
      <c r="AJ247" s="984"/>
      <c r="AK247" s="3708"/>
      <c r="AL247" s="3708"/>
      <c r="AM247" s="4154">
        <f>J247</f>
        <v>5660</v>
      </c>
      <c r="AN247" s="877"/>
      <c r="AO247" s="1048"/>
      <c r="AP247" s="1048">
        <f>J247</f>
        <v>5660</v>
      </c>
      <c r="AQ247" s="877"/>
      <c r="AR247" s="877"/>
      <c r="AS247" s="1048">
        <f t="shared" si="106"/>
        <v>5660</v>
      </c>
      <c r="AT247" s="1048"/>
      <c r="AU247" s="877"/>
      <c r="AV247" s="4921"/>
      <c r="AW247" s="4921"/>
      <c r="AX247" s="1048"/>
      <c r="AY247" s="4921"/>
      <c r="AZ247" s="4921"/>
      <c r="BA247" s="1048"/>
      <c r="BB247" s="4622"/>
      <c r="BC247" s="4921"/>
      <c r="BD247" s="4622"/>
      <c r="BE247" s="4622"/>
      <c r="BF247" s="4622"/>
      <c r="BG247" s="4622"/>
      <c r="BH247" s="1048"/>
      <c r="BI247" s="4622"/>
      <c r="BJ247" s="1048"/>
      <c r="BK247" s="4415" t="s">
        <v>1327</v>
      </c>
      <c r="BL247" s="4415">
        <f t="shared" si="101"/>
        <v>94.3333333333333</v>
      </c>
      <c r="BM247" s="4415">
        <f t="shared" si="107"/>
        <v>849</v>
      </c>
      <c r="BN247" s="4415">
        <f t="shared" si="108"/>
        <v>943.333333333333</v>
      </c>
      <c r="BO247" s="4415">
        <f t="shared" si="109"/>
        <v>943.333333333333</v>
      </c>
      <c r="BP247" s="4415">
        <f t="shared" si="110"/>
        <v>943.333333333333</v>
      </c>
      <c r="BQ247" s="4414">
        <f t="shared" si="111"/>
        <v>943.333333333333</v>
      </c>
      <c r="BR247" s="1048">
        <f t="shared" si="112"/>
        <v>943.333333333333</v>
      </c>
      <c r="BS247" s="880"/>
      <c r="BT247" s="992"/>
      <c r="BU247" s="992"/>
      <c r="BV247" s="992"/>
      <c r="BW247" s="992"/>
      <c r="BX247" s="991"/>
      <c r="BY247" s="991"/>
      <c r="BZ247" s="3708">
        <f t="shared" si="96"/>
        <v>5660</v>
      </c>
      <c r="CA247" s="4154">
        <f t="shared" si="97"/>
        <v>0</v>
      </c>
      <c r="CB247" s="4804"/>
      <c r="CC247" s="4804"/>
      <c r="CD247" s="4323"/>
      <c r="CE247" s="4323"/>
      <c r="CF247" s="4323"/>
    </row>
    <row r="248" s="4316" customFormat="1" ht="50" customHeight="1" spans="1:84">
      <c r="A248" s="4500">
        <v>45750</v>
      </c>
      <c r="B248" s="4501" t="s">
        <v>1315</v>
      </c>
      <c r="C248" s="3708" t="s">
        <v>1316</v>
      </c>
      <c r="D248" s="4502">
        <v>4500162577</v>
      </c>
      <c r="E248" s="3708" t="s">
        <v>1442</v>
      </c>
      <c r="F248" s="4615" t="s">
        <v>1443</v>
      </c>
      <c r="G248" s="3708" t="s">
        <v>1319</v>
      </c>
      <c r="H248" s="3708" t="s">
        <v>1319</v>
      </c>
      <c r="I248" s="3708" t="s">
        <v>1320</v>
      </c>
      <c r="J248" s="4154">
        <v>3600</v>
      </c>
      <c r="K248" s="4154">
        <v>0</v>
      </c>
      <c r="L248" s="4154">
        <v>4</v>
      </c>
      <c r="M248" s="4154">
        <f t="shared" si="94"/>
        <v>900</v>
      </c>
      <c r="N248" s="4503">
        <v>45838</v>
      </c>
      <c r="O248" s="4503">
        <f>N248-4</f>
        <v>45834</v>
      </c>
      <c r="P248" s="3712"/>
      <c r="Q248" s="4154" t="s">
        <v>82</v>
      </c>
      <c r="R248" s="4157"/>
      <c r="S248" s="4157"/>
      <c r="T248" s="4157"/>
      <c r="U248" s="3726" t="s">
        <v>401</v>
      </c>
      <c r="V248" s="3711" t="s">
        <v>1322</v>
      </c>
      <c r="W248" s="3711"/>
      <c r="X248" s="3711" t="s">
        <v>1379</v>
      </c>
      <c r="Y248" s="3711"/>
      <c r="Z248" s="3711"/>
      <c r="AA248" s="4154" t="s">
        <v>1444</v>
      </c>
      <c r="AB248" s="3680" t="s">
        <v>1376</v>
      </c>
      <c r="AC248" s="4154" t="s">
        <v>1326</v>
      </c>
      <c r="AD248" s="4154">
        <v>16.8314</v>
      </c>
      <c r="AE248" s="4154">
        <f>AD248*M248</f>
        <v>15148.26</v>
      </c>
      <c r="AF248" s="3726"/>
      <c r="AG248" s="3726"/>
      <c r="AH248" s="984"/>
      <c r="AI248" s="3708"/>
      <c r="AJ248" s="984"/>
      <c r="AK248" s="3708"/>
      <c r="AL248" s="3708"/>
      <c r="AM248" s="4154">
        <f>J248</f>
        <v>3600</v>
      </c>
      <c r="AN248" s="877"/>
      <c r="AO248" s="1048"/>
      <c r="AP248" s="1048">
        <f>J248</f>
        <v>3600</v>
      </c>
      <c r="AQ248" s="877"/>
      <c r="AR248" s="877"/>
      <c r="AS248" s="1048">
        <f t="shared" si="106"/>
        <v>3600</v>
      </c>
      <c r="AT248" s="1048"/>
      <c r="AU248" s="877"/>
      <c r="AV248" s="4921"/>
      <c r="AW248" s="4921"/>
      <c r="AX248" s="1048"/>
      <c r="AY248" s="4921"/>
      <c r="AZ248" s="4921"/>
      <c r="BA248" s="1048"/>
      <c r="BB248" s="4622"/>
      <c r="BC248" s="4921"/>
      <c r="BD248" s="4622"/>
      <c r="BE248" s="4622"/>
      <c r="BF248" s="4622"/>
      <c r="BG248" s="4622"/>
      <c r="BH248" s="1048"/>
      <c r="BI248" s="4622"/>
      <c r="BJ248" s="1048"/>
      <c r="BK248" s="4415" t="s">
        <v>1327</v>
      </c>
      <c r="BL248" s="4415">
        <f t="shared" si="101"/>
        <v>60</v>
      </c>
      <c r="BM248" s="4415">
        <f t="shared" si="107"/>
        <v>540</v>
      </c>
      <c r="BN248" s="4415">
        <f t="shared" si="108"/>
        <v>600</v>
      </c>
      <c r="BO248" s="4415">
        <f t="shared" si="109"/>
        <v>600</v>
      </c>
      <c r="BP248" s="4415">
        <f t="shared" si="110"/>
        <v>600</v>
      </c>
      <c r="BQ248" s="4414">
        <f t="shared" si="111"/>
        <v>600</v>
      </c>
      <c r="BR248" s="1048">
        <f t="shared" si="112"/>
        <v>600</v>
      </c>
      <c r="BS248" s="880"/>
      <c r="BT248" s="992"/>
      <c r="BU248" s="992"/>
      <c r="BV248" s="992"/>
      <c r="BW248" s="992"/>
      <c r="BX248" s="991"/>
      <c r="BY248" s="991"/>
      <c r="BZ248" s="3708">
        <f t="shared" si="96"/>
        <v>3600</v>
      </c>
      <c r="CA248" s="4154">
        <f t="shared" si="97"/>
        <v>0</v>
      </c>
      <c r="CB248" s="4804"/>
      <c r="CC248" s="4804"/>
      <c r="CD248" s="4323"/>
      <c r="CE248" s="4323"/>
      <c r="CF248" s="4323"/>
    </row>
    <row r="249" s="4316" customFormat="1" ht="50" customHeight="1" spans="1:84">
      <c r="A249" s="4500">
        <v>45750</v>
      </c>
      <c r="B249" s="4501" t="s">
        <v>1315</v>
      </c>
      <c r="C249" s="3708" t="s">
        <v>1316</v>
      </c>
      <c r="D249" s="4502">
        <v>4500162577</v>
      </c>
      <c r="E249" s="3708" t="s">
        <v>1445</v>
      </c>
      <c r="F249" s="4615" t="s">
        <v>1446</v>
      </c>
      <c r="G249" s="3708" t="s">
        <v>1319</v>
      </c>
      <c r="H249" s="3708" t="s">
        <v>1319</v>
      </c>
      <c r="I249" s="3708" t="s">
        <v>1320</v>
      </c>
      <c r="J249" s="4154">
        <v>5092</v>
      </c>
      <c r="K249" s="4154">
        <v>0</v>
      </c>
      <c r="L249" s="4154">
        <v>4</v>
      </c>
      <c r="M249" s="4154">
        <f t="shared" si="94"/>
        <v>1273</v>
      </c>
      <c r="N249" s="4503">
        <v>45838</v>
      </c>
      <c r="O249" s="4503">
        <f>N249-4</f>
        <v>45834</v>
      </c>
      <c r="P249" s="3712"/>
      <c r="Q249" s="4154" t="s">
        <v>82</v>
      </c>
      <c r="R249" s="4157"/>
      <c r="S249" s="4157"/>
      <c r="T249" s="4157"/>
      <c r="U249" s="3726" t="s">
        <v>1447</v>
      </c>
      <c r="V249" s="3711" t="s">
        <v>1322</v>
      </c>
      <c r="W249" s="3711"/>
      <c r="X249" s="3711" t="s">
        <v>1379</v>
      </c>
      <c r="Y249" s="3711"/>
      <c r="Z249" s="3711"/>
      <c r="AA249" s="4154" t="s">
        <v>1448</v>
      </c>
      <c r="AB249" s="3680" t="s">
        <v>1376</v>
      </c>
      <c r="AC249" s="4154" t="s">
        <v>1326</v>
      </c>
      <c r="AD249" s="4154">
        <v>16.7342</v>
      </c>
      <c r="AE249" s="4154">
        <f>AD249*M249</f>
        <v>21302.6366</v>
      </c>
      <c r="AF249" s="3726"/>
      <c r="AG249" s="3726"/>
      <c r="AH249" s="984"/>
      <c r="AI249" s="3708"/>
      <c r="AJ249" s="984"/>
      <c r="AK249" s="3708"/>
      <c r="AL249" s="3708"/>
      <c r="AM249" s="4154">
        <f>J249</f>
        <v>5092</v>
      </c>
      <c r="AN249" s="877"/>
      <c r="AO249" s="1048"/>
      <c r="AP249" s="1048">
        <f>J249</f>
        <v>5092</v>
      </c>
      <c r="AQ249" s="877"/>
      <c r="AR249" s="877"/>
      <c r="AS249" s="1048">
        <f t="shared" si="106"/>
        <v>5092</v>
      </c>
      <c r="AT249" s="1048"/>
      <c r="AU249" s="877"/>
      <c r="AV249" s="4921"/>
      <c r="AW249" s="4921"/>
      <c r="AX249" s="1048"/>
      <c r="AY249" s="4921"/>
      <c r="AZ249" s="4921"/>
      <c r="BA249" s="1048"/>
      <c r="BB249" s="4622"/>
      <c r="BC249" s="4921"/>
      <c r="BD249" s="4622"/>
      <c r="BE249" s="4622"/>
      <c r="BF249" s="4622"/>
      <c r="BG249" s="4622"/>
      <c r="BH249" s="1048"/>
      <c r="BI249" s="4622"/>
      <c r="BJ249" s="1048"/>
      <c r="BK249" s="4415" t="s">
        <v>1327</v>
      </c>
      <c r="BL249" s="4415">
        <f t="shared" si="101"/>
        <v>84.8666666666667</v>
      </c>
      <c r="BM249" s="4415">
        <f t="shared" si="107"/>
        <v>763.8</v>
      </c>
      <c r="BN249" s="4415">
        <f t="shared" si="108"/>
        <v>848.666666666667</v>
      </c>
      <c r="BO249" s="4415">
        <f t="shared" si="109"/>
        <v>848.666666666667</v>
      </c>
      <c r="BP249" s="4415">
        <f t="shared" si="110"/>
        <v>848.666666666667</v>
      </c>
      <c r="BQ249" s="4414">
        <f t="shared" si="111"/>
        <v>848.666666666667</v>
      </c>
      <c r="BR249" s="1048">
        <f t="shared" si="112"/>
        <v>848.666666666667</v>
      </c>
      <c r="BS249" s="880"/>
      <c r="BT249" s="992"/>
      <c r="BU249" s="992"/>
      <c r="BV249" s="992"/>
      <c r="BW249" s="992"/>
      <c r="BX249" s="991"/>
      <c r="BY249" s="991"/>
      <c r="BZ249" s="3708">
        <f t="shared" si="96"/>
        <v>5092</v>
      </c>
      <c r="CA249" s="4154">
        <f t="shared" si="97"/>
        <v>0</v>
      </c>
      <c r="CB249" s="4804"/>
      <c r="CC249" s="4804"/>
      <c r="CD249" s="4323"/>
      <c r="CE249" s="4323"/>
      <c r="CF249" s="4323"/>
    </row>
    <row r="250" s="4316" customFormat="1" ht="50" customHeight="1" spans="1:84">
      <c r="A250" s="4500">
        <v>45776</v>
      </c>
      <c r="B250" s="3708" t="s">
        <v>1449</v>
      </c>
      <c r="C250" s="3708" t="s">
        <v>341</v>
      </c>
      <c r="D250" s="4154">
        <v>4500165401</v>
      </c>
      <c r="E250" s="3708" t="s">
        <v>1450</v>
      </c>
      <c r="F250" s="3708" t="s">
        <v>1451</v>
      </c>
      <c r="G250" s="3708" t="s">
        <v>1452</v>
      </c>
      <c r="H250" s="3708" t="s">
        <v>1453</v>
      </c>
      <c r="I250" s="4154" t="s">
        <v>328</v>
      </c>
      <c r="J250" s="4593">
        <v>3300</v>
      </c>
      <c r="K250" s="4154">
        <v>0</v>
      </c>
      <c r="L250" s="4154">
        <v>6</v>
      </c>
      <c r="M250" s="4154">
        <f t="shared" si="94"/>
        <v>550</v>
      </c>
      <c r="N250" s="4503">
        <v>45846</v>
      </c>
      <c r="O250" s="4503">
        <v>45842</v>
      </c>
      <c r="P250" s="3708" t="s">
        <v>1454</v>
      </c>
      <c r="Q250" s="4154" t="s">
        <v>82</v>
      </c>
      <c r="R250" s="4157"/>
      <c r="S250" s="4157"/>
      <c r="T250" s="4157"/>
      <c r="U250" s="3726" t="s">
        <v>1341</v>
      </c>
      <c r="V250" s="3711" t="s">
        <v>1455</v>
      </c>
      <c r="W250" s="3711"/>
      <c r="X250" s="3711" t="s">
        <v>1456</v>
      </c>
      <c r="Y250" s="3711"/>
      <c r="Z250" s="3711" t="s">
        <v>1457</v>
      </c>
      <c r="AA250" s="4154"/>
      <c r="AB250" s="3713" t="s">
        <v>1458</v>
      </c>
      <c r="AC250" s="3711" t="s">
        <v>1459</v>
      </c>
      <c r="AD250" s="4504">
        <v>2.3106</v>
      </c>
      <c r="AE250" s="4154">
        <f>J250*AD250</f>
        <v>7624.98</v>
      </c>
      <c r="AF250" s="3726" t="s">
        <v>1460</v>
      </c>
      <c r="AG250" s="3726"/>
      <c r="AH250" s="4430"/>
      <c r="AI250" s="3708"/>
      <c r="AJ250" s="4430"/>
      <c r="AK250" s="3708">
        <f>J250</f>
        <v>3300</v>
      </c>
      <c r="AL250" s="3708"/>
      <c r="AM250" s="4154"/>
      <c r="AN250" s="4413"/>
      <c r="AO250" s="1048">
        <f>J250</f>
        <v>3300</v>
      </c>
      <c r="AP250" s="4622"/>
      <c r="AQ250" s="4413"/>
      <c r="AR250" s="4413"/>
      <c r="AS250" s="1048">
        <f t="shared" si="106"/>
        <v>3300</v>
      </c>
      <c r="AT250" s="1048"/>
      <c r="AU250" s="4413"/>
      <c r="AV250" s="4939"/>
      <c r="AW250" s="4939"/>
      <c r="AX250" s="1048"/>
      <c r="AY250" s="4939"/>
      <c r="AZ250" s="4939"/>
      <c r="BA250" s="1048">
        <f>J250/6</f>
        <v>550</v>
      </c>
      <c r="BB250" s="4622"/>
      <c r="BC250" s="4939"/>
      <c r="BD250" s="4622"/>
      <c r="BE250" s="4622"/>
      <c r="BF250" s="4622"/>
      <c r="BG250" s="4622"/>
      <c r="BH250" s="4622"/>
      <c r="BI250" s="4622"/>
      <c r="BJ250" s="1048"/>
      <c r="BK250" s="4415" t="s">
        <v>89</v>
      </c>
      <c r="BL250" s="4415">
        <f t="shared" si="101"/>
        <v>55</v>
      </c>
      <c r="BM250" s="4415">
        <f t="shared" si="107"/>
        <v>495</v>
      </c>
      <c r="BN250" s="4415">
        <f t="shared" si="108"/>
        <v>550</v>
      </c>
      <c r="BO250" s="4415">
        <f t="shared" si="109"/>
        <v>550</v>
      </c>
      <c r="BP250" s="4415">
        <f t="shared" si="110"/>
        <v>550</v>
      </c>
      <c r="BQ250" s="4414">
        <f t="shared" si="111"/>
        <v>550</v>
      </c>
      <c r="BR250" s="1048">
        <f t="shared" si="112"/>
        <v>550</v>
      </c>
      <c r="BS250" s="4432"/>
      <c r="BT250" s="4447"/>
      <c r="BU250" s="4447"/>
      <c r="BV250" s="4447"/>
      <c r="BW250" s="4447"/>
      <c r="BX250" s="4447"/>
      <c r="BY250" s="4447"/>
      <c r="BZ250" s="3708">
        <f t="shared" si="96"/>
        <v>3300</v>
      </c>
      <c r="CA250" s="4154">
        <f t="shared" si="97"/>
        <v>0</v>
      </c>
      <c r="CB250" s="4591"/>
      <c r="CC250" s="4591"/>
      <c r="CD250" s="4323"/>
      <c r="CE250" s="4323"/>
      <c r="CF250" s="4323"/>
    </row>
    <row r="251" s="4316" customFormat="1" ht="50" customHeight="1" spans="1:84">
      <c r="A251" s="4500">
        <v>45786</v>
      </c>
      <c r="B251" s="4501" t="s">
        <v>1461</v>
      </c>
      <c r="C251" s="3708" t="s">
        <v>351</v>
      </c>
      <c r="D251" s="4502">
        <v>4500165843</v>
      </c>
      <c r="E251" s="3708"/>
      <c r="F251" s="4615" t="s">
        <v>1462</v>
      </c>
      <c r="G251" s="3708" t="s">
        <v>496</v>
      </c>
      <c r="H251" s="3708" t="s">
        <v>496</v>
      </c>
      <c r="I251" s="3708" t="s">
        <v>328</v>
      </c>
      <c r="J251" s="4154">
        <v>5154</v>
      </c>
      <c r="K251" s="4154">
        <v>0</v>
      </c>
      <c r="L251" s="4154">
        <v>6</v>
      </c>
      <c r="M251" s="4154">
        <f t="shared" si="94"/>
        <v>859</v>
      </c>
      <c r="N251" s="4503">
        <v>45847</v>
      </c>
      <c r="O251" s="4503">
        <v>45843</v>
      </c>
      <c r="P251" s="4154" t="s">
        <v>1463</v>
      </c>
      <c r="Q251" s="4154" t="s">
        <v>82</v>
      </c>
      <c r="R251" s="4157"/>
      <c r="S251" s="4157"/>
      <c r="T251" s="4157"/>
      <c r="U251" s="3726"/>
      <c r="V251" s="3711" t="s">
        <v>1464</v>
      </c>
      <c r="W251" s="3711"/>
      <c r="X251" s="3711" t="s">
        <v>1465</v>
      </c>
      <c r="Y251" s="3711"/>
      <c r="Z251" s="3711"/>
      <c r="AA251" s="4155" t="s">
        <v>1466</v>
      </c>
      <c r="AB251" s="3680" t="s">
        <v>1467</v>
      </c>
      <c r="AC251" s="4154" t="s">
        <v>1468</v>
      </c>
      <c r="AD251" s="4154">
        <v>2.1291</v>
      </c>
      <c r="AE251" s="4154">
        <f>J251*AD251</f>
        <v>10973.3814</v>
      </c>
      <c r="AF251" s="3726" t="s">
        <v>1469</v>
      </c>
      <c r="AG251" s="3726"/>
      <c r="AH251" s="4430"/>
      <c r="AI251" s="3708">
        <f>J251</f>
        <v>5154</v>
      </c>
      <c r="AJ251" s="4430"/>
      <c r="AK251" s="3708"/>
      <c r="AL251" s="3708"/>
      <c r="AM251" s="4154"/>
      <c r="AN251" s="4413"/>
      <c r="AO251" s="1048">
        <f>J251</f>
        <v>5154</v>
      </c>
      <c r="AP251" s="1048"/>
      <c r="AQ251" s="4413"/>
      <c r="AR251" s="4413"/>
      <c r="AS251" s="1048">
        <f t="shared" si="106"/>
        <v>5154</v>
      </c>
      <c r="AT251" s="1048"/>
      <c r="AU251" s="4413"/>
      <c r="AV251" s="4939"/>
      <c r="AW251" s="4939"/>
      <c r="AX251" s="1048"/>
      <c r="AY251" s="4939"/>
      <c r="AZ251" s="4939"/>
      <c r="BA251" s="1048"/>
      <c r="BB251" s="4622"/>
      <c r="BC251" s="4939"/>
      <c r="BD251" s="4622"/>
      <c r="BE251" s="4622"/>
      <c r="BF251" s="4622"/>
      <c r="BG251" s="4622"/>
      <c r="BH251" s="1048"/>
      <c r="BI251" s="4622"/>
      <c r="BJ251" s="1048"/>
      <c r="BK251" s="4415" t="s">
        <v>89</v>
      </c>
      <c r="BL251" s="4415">
        <f t="shared" si="101"/>
        <v>85.9</v>
      </c>
      <c r="BM251" s="4415">
        <f t="shared" si="107"/>
        <v>773.1</v>
      </c>
      <c r="BN251" s="4415">
        <f t="shared" si="108"/>
        <v>859</v>
      </c>
      <c r="BO251" s="4415">
        <f t="shared" si="109"/>
        <v>859</v>
      </c>
      <c r="BP251" s="4415">
        <f t="shared" si="110"/>
        <v>859</v>
      </c>
      <c r="BQ251" s="4414">
        <f t="shared" si="111"/>
        <v>859</v>
      </c>
      <c r="BR251" s="1048">
        <f t="shared" si="112"/>
        <v>859</v>
      </c>
      <c r="BS251" s="4432"/>
      <c r="BT251" s="4432"/>
      <c r="BU251" s="4432"/>
      <c r="BV251" s="4432"/>
      <c r="BW251" s="4432"/>
      <c r="BX251" s="4431"/>
      <c r="BY251" s="4431"/>
      <c r="BZ251" s="3708">
        <f t="shared" si="96"/>
        <v>5154</v>
      </c>
      <c r="CA251" s="4154">
        <f t="shared" si="97"/>
        <v>0</v>
      </c>
      <c r="CB251" s="4591"/>
      <c r="CC251" s="4591"/>
      <c r="CD251" s="4323"/>
      <c r="CE251" s="4323"/>
      <c r="CF251" s="4323"/>
    </row>
    <row r="252" s="4316" customFormat="1" ht="50" customHeight="1" spans="1:84">
      <c r="A252" s="4500">
        <v>45750</v>
      </c>
      <c r="B252" s="4501" t="s">
        <v>1315</v>
      </c>
      <c r="C252" s="3708" t="s">
        <v>1316</v>
      </c>
      <c r="D252" s="4502">
        <v>4500166280</v>
      </c>
      <c r="E252" s="3708" t="s">
        <v>1470</v>
      </c>
      <c r="F252" s="4502" t="s">
        <v>1471</v>
      </c>
      <c r="G252" s="3708" t="s">
        <v>1319</v>
      </c>
      <c r="H252" s="3708" t="s">
        <v>1319</v>
      </c>
      <c r="I252" s="3708" t="s">
        <v>1320</v>
      </c>
      <c r="J252" s="4154">
        <v>4244</v>
      </c>
      <c r="K252" s="4154">
        <v>0</v>
      </c>
      <c r="L252" s="4154">
        <v>4</v>
      </c>
      <c r="M252" s="4154">
        <f t="shared" si="94"/>
        <v>1061</v>
      </c>
      <c r="N252" s="4503">
        <v>45836</v>
      </c>
      <c r="O252" s="4503">
        <f>N252-4</f>
        <v>45832</v>
      </c>
      <c r="P252" s="4154" t="s">
        <v>1472</v>
      </c>
      <c r="Q252" s="4154" t="s">
        <v>82</v>
      </c>
      <c r="R252" s="4157"/>
      <c r="S252" s="4157"/>
      <c r="T252" s="4157"/>
      <c r="U252" s="3726" t="s">
        <v>401</v>
      </c>
      <c r="V252" s="3711" t="s">
        <v>1322</v>
      </c>
      <c r="W252" s="3711"/>
      <c r="X252" s="3711" t="s">
        <v>1323</v>
      </c>
      <c r="Y252" s="3711"/>
      <c r="Z252" s="3711"/>
      <c r="AA252" s="4942" t="s">
        <v>1473</v>
      </c>
      <c r="AB252" s="3680" t="s">
        <v>1376</v>
      </c>
      <c r="AC252" s="4154" t="s">
        <v>1326</v>
      </c>
      <c r="AD252" s="4154">
        <v>16.8314</v>
      </c>
      <c r="AE252" s="4154">
        <f>AD252*M252</f>
        <v>17858.1154</v>
      </c>
      <c r="AF252" s="3726"/>
      <c r="AG252" s="3726"/>
      <c r="AH252" s="984"/>
      <c r="AI252" s="3708"/>
      <c r="AJ252" s="984"/>
      <c r="AK252" s="3708"/>
      <c r="AL252" s="3708"/>
      <c r="AM252" s="4154">
        <f>J252</f>
        <v>4244</v>
      </c>
      <c r="AN252" s="877"/>
      <c r="AO252" s="1048"/>
      <c r="AP252" s="1048">
        <f>J252</f>
        <v>4244</v>
      </c>
      <c r="AQ252" s="877"/>
      <c r="AR252" s="877"/>
      <c r="AS252" s="1048">
        <f t="shared" si="106"/>
        <v>4244</v>
      </c>
      <c r="AT252" s="1048"/>
      <c r="AU252" s="877"/>
      <c r="AV252" s="4921"/>
      <c r="AW252" s="4921"/>
      <c r="AX252" s="1048"/>
      <c r="AY252" s="4921"/>
      <c r="AZ252" s="4921"/>
      <c r="BA252" s="1048"/>
      <c r="BB252" s="4622"/>
      <c r="BC252" s="4921"/>
      <c r="BD252" s="4622"/>
      <c r="BE252" s="4622"/>
      <c r="BF252" s="4622"/>
      <c r="BG252" s="4622"/>
      <c r="BH252" s="1048"/>
      <c r="BI252" s="4622"/>
      <c r="BJ252" s="1048"/>
      <c r="BK252" s="4415" t="s">
        <v>1327</v>
      </c>
      <c r="BL252" s="4415">
        <f t="shared" si="101"/>
        <v>70.7333333333333</v>
      </c>
      <c r="BM252" s="4415">
        <f t="shared" si="107"/>
        <v>636.6</v>
      </c>
      <c r="BN252" s="4415">
        <f t="shared" si="108"/>
        <v>707.333333333333</v>
      </c>
      <c r="BO252" s="4415">
        <f t="shared" si="109"/>
        <v>707.333333333333</v>
      </c>
      <c r="BP252" s="4415">
        <f t="shared" si="110"/>
        <v>707.333333333333</v>
      </c>
      <c r="BQ252" s="4414">
        <f t="shared" si="111"/>
        <v>707.333333333333</v>
      </c>
      <c r="BR252" s="1048">
        <f t="shared" si="112"/>
        <v>707.333333333333</v>
      </c>
      <c r="BS252" s="880"/>
      <c r="BT252" s="992"/>
      <c r="BU252" s="992"/>
      <c r="BV252" s="992"/>
      <c r="BW252" s="992"/>
      <c r="BX252" s="991"/>
      <c r="BY252" s="991"/>
      <c r="BZ252" s="3708">
        <f t="shared" si="96"/>
        <v>4244</v>
      </c>
      <c r="CA252" s="4154">
        <f t="shared" si="97"/>
        <v>0</v>
      </c>
      <c r="CB252" s="4804"/>
      <c r="CC252" s="4804"/>
      <c r="CD252" s="4323"/>
      <c r="CE252" s="4323"/>
      <c r="CF252" s="4323"/>
    </row>
    <row r="253" s="4316" customFormat="1" ht="50" customHeight="1" spans="1:84">
      <c r="A253" s="4500">
        <v>45740</v>
      </c>
      <c r="B253" s="3708" t="s">
        <v>1474</v>
      </c>
      <c r="C253" s="3708" t="s">
        <v>91</v>
      </c>
      <c r="D253" s="4154">
        <v>4500161251</v>
      </c>
      <c r="E253" s="3708">
        <v>70058012</v>
      </c>
      <c r="F253" s="3708" t="s">
        <v>1475</v>
      </c>
      <c r="G253" s="3708" t="s">
        <v>333</v>
      </c>
      <c r="H253" s="3708" t="s">
        <v>333</v>
      </c>
      <c r="I253" s="3708" t="s">
        <v>328</v>
      </c>
      <c r="J253" s="4593">
        <v>360</v>
      </c>
      <c r="K253" s="4154">
        <v>0</v>
      </c>
      <c r="L253" s="4154">
        <v>24</v>
      </c>
      <c r="M253" s="4154">
        <f t="shared" si="94"/>
        <v>15</v>
      </c>
      <c r="N253" s="4503">
        <v>45841</v>
      </c>
      <c r="O253" s="4503">
        <v>45838</v>
      </c>
      <c r="P253" s="3712"/>
      <c r="Q253" s="4154" t="s">
        <v>82</v>
      </c>
      <c r="R253" s="4157"/>
      <c r="S253" s="4157"/>
      <c r="T253" s="4157"/>
      <c r="U253" s="3726" t="s">
        <v>1418</v>
      </c>
      <c r="V253" s="3711" t="s">
        <v>1147</v>
      </c>
      <c r="W253" s="3711"/>
      <c r="X253" s="3711" t="s">
        <v>98</v>
      </c>
      <c r="Y253" s="3711"/>
      <c r="Z253" s="3711"/>
      <c r="AA253" s="4154"/>
      <c r="AB253" s="3713" t="s">
        <v>392</v>
      </c>
      <c r="AC253" s="3711" t="s">
        <v>393</v>
      </c>
      <c r="AD253" s="4504">
        <v>2.0376</v>
      </c>
      <c r="AE253" s="4154">
        <f>J253*AD253</f>
        <v>733.536</v>
      </c>
      <c r="AF253" s="3726" t="s">
        <v>1476</v>
      </c>
      <c r="AG253" s="3726"/>
      <c r="AH253" s="4422"/>
      <c r="AI253" s="3708">
        <f>J253</f>
        <v>360</v>
      </c>
      <c r="AJ253" s="4422"/>
      <c r="AK253" s="3708"/>
      <c r="AL253" s="3708"/>
      <c r="AM253" s="4154"/>
      <c r="AN253" s="907"/>
      <c r="AO253" s="1048">
        <f>J253</f>
        <v>360</v>
      </c>
      <c r="AP253" s="4622"/>
      <c r="AQ253" s="907"/>
      <c r="AR253" s="907"/>
      <c r="AS253" s="1048">
        <f t="shared" si="106"/>
        <v>360</v>
      </c>
      <c r="AT253" s="1048"/>
      <c r="AU253" s="907"/>
      <c r="AV253" s="4922"/>
      <c r="AW253" s="4922"/>
      <c r="AX253" s="1048"/>
      <c r="AY253" s="4922"/>
      <c r="AZ253" s="4922"/>
      <c r="BA253" s="1048"/>
      <c r="BB253" s="4622"/>
      <c r="BC253" s="4922"/>
      <c r="BD253" s="4622"/>
      <c r="BE253" s="4622"/>
      <c r="BF253" s="4622"/>
      <c r="BG253" s="4622"/>
      <c r="BH253" s="4622"/>
      <c r="BI253" s="4622"/>
      <c r="BJ253" s="1048"/>
      <c r="BK253" s="4415" t="s">
        <v>89</v>
      </c>
      <c r="BL253" s="4415">
        <f t="shared" si="101"/>
        <v>6</v>
      </c>
      <c r="BM253" s="4415">
        <f t="shared" si="107"/>
        <v>54</v>
      </c>
      <c r="BN253" s="4415">
        <f t="shared" si="108"/>
        <v>60</v>
      </c>
      <c r="BO253" s="4415">
        <f t="shared" si="109"/>
        <v>60</v>
      </c>
      <c r="BP253" s="4415">
        <f t="shared" si="110"/>
        <v>60</v>
      </c>
      <c r="BQ253" s="4414">
        <f t="shared" si="111"/>
        <v>60</v>
      </c>
      <c r="BR253" s="1048">
        <f t="shared" si="112"/>
        <v>60</v>
      </c>
      <c r="BS253" s="4384"/>
      <c r="BT253" s="911"/>
      <c r="BU253" s="911"/>
      <c r="BV253" s="911"/>
      <c r="BW253" s="911"/>
      <c r="BX253" s="910"/>
      <c r="BY253" s="910"/>
      <c r="BZ253" s="3708">
        <f t="shared" si="96"/>
        <v>360</v>
      </c>
      <c r="CA253" s="4154">
        <f t="shared" si="97"/>
        <v>0</v>
      </c>
      <c r="CB253" s="4923"/>
      <c r="CC253" s="4923"/>
      <c r="CD253" s="4323"/>
      <c r="CE253" s="4323"/>
      <c r="CF253" s="4323"/>
    </row>
    <row r="254" s="4316" customFormat="1" ht="50" customHeight="1" spans="1:84">
      <c r="A254" s="4500">
        <v>45820</v>
      </c>
      <c r="B254" s="4501" t="s">
        <v>1477</v>
      </c>
      <c r="C254" s="3708" t="s">
        <v>351</v>
      </c>
      <c r="D254" s="4502">
        <v>4500169637</v>
      </c>
      <c r="E254" s="3708"/>
      <c r="F254" s="4615" t="s">
        <v>1478</v>
      </c>
      <c r="G254" s="3708"/>
      <c r="H254" s="3708" t="s">
        <v>333</v>
      </c>
      <c r="I254" s="3708" t="s">
        <v>328</v>
      </c>
      <c r="J254" s="4593">
        <v>1008</v>
      </c>
      <c r="K254" s="4154">
        <v>0</v>
      </c>
      <c r="L254" s="4154">
        <v>24</v>
      </c>
      <c r="M254" s="4154">
        <f t="shared" si="94"/>
        <v>42</v>
      </c>
      <c r="N254" s="4503">
        <v>45856</v>
      </c>
      <c r="O254" s="4503">
        <v>45852</v>
      </c>
      <c r="P254" s="3712"/>
      <c r="Q254" s="4154" t="s">
        <v>82</v>
      </c>
      <c r="R254" s="4157"/>
      <c r="S254" s="4157"/>
      <c r="T254" s="4157"/>
      <c r="U254" s="3726" t="s">
        <v>1424</v>
      </c>
      <c r="V254" s="3711" t="s">
        <v>1479</v>
      </c>
      <c r="W254" s="3711"/>
      <c r="X254" s="3711" t="s">
        <v>1426</v>
      </c>
      <c r="Y254" s="3711"/>
      <c r="Z254" s="3711"/>
      <c r="AA254" s="3708"/>
      <c r="AB254" s="3680" t="s">
        <v>1480</v>
      </c>
      <c r="AC254" s="4154" t="s">
        <v>1199</v>
      </c>
      <c r="AD254" s="4504">
        <v>2.0331</v>
      </c>
      <c r="AE254" s="4154">
        <f>J254*AD254</f>
        <v>2049.3648</v>
      </c>
      <c r="AF254" s="3726" t="s">
        <v>1481</v>
      </c>
      <c r="AG254" s="3726"/>
      <c r="AH254" s="4448"/>
      <c r="AI254" s="3708">
        <f>J254</f>
        <v>1008</v>
      </c>
      <c r="AJ254" s="4448"/>
      <c r="AK254" s="3708"/>
      <c r="AL254" s="3708"/>
      <c r="AM254" s="4154"/>
      <c r="AN254" s="4411"/>
      <c r="AO254" s="1048">
        <f>J254</f>
        <v>1008</v>
      </c>
      <c r="AP254" s="1048"/>
      <c r="AQ254" s="4411"/>
      <c r="AR254" s="4411"/>
      <c r="AS254" s="1048">
        <f t="shared" si="106"/>
        <v>1008</v>
      </c>
      <c r="AT254" s="1048"/>
      <c r="AU254" s="4411"/>
      <c r="AV254" s="4933"/>
      <c r="AW254" s="4933"/>
      <c r="AX254" s="1048"/>
      <c r="AY254" s="4933"/>
      <c r="AZ254" s="4933"/>
      <c r="BA254" s="1048"/>
      <c r="BB254" s="4622"/>
      <c r="BC254" s="4933"/>
      <c r="BD254" s="4622"/>
      <c r="BE254" s="4622"/>
      <c r="BF254" s="4622"/>
      <c r="BG254" s="4622"/>
      <c r="BH254" s="1048"/>
      <c r="BI254" s="4622"/>
      <c r="BJ254" s="1048"/>
      <c r="BK254" s="4415" t="s">
        <v>89</v>
      </c>
      <c r="BL254" s="4415">
        <f t="shared" si="101"/>
        <v>16.8</v>
      </c>
      <c r="BM254" s="4415">
        <f t="shared" si="107"/>
        <v>151.2</v>
      </c>
      <c r="BN254" s="4415">
        <f t="shared" si="108"/>
        <v>168</v>
      </c>
      <c r="BO254" s="4415">
        <f t="shared" si="109"/>
        <v>168</v>
      </c>
      <c r="BP254" s="4415">
        <f t="shared" si="110"/>
        <v>168</v>
      </c>
      <c r="BQ254" s="4414">
        <f t="shared" si="111"/>
        <v>168</v>
      </c>
      <c r="BR254" s="1048">
        <f t="shared" si="112"/>
        <v>168</v>
      </c>
      <c r="BS254" s="4454"/>
      <c r="BT254" s="4458"/>
      <c r="BU254" s="4458"/>
      <c r="BV254" s="4458"/>
      <c r="BW254" s="4458"/>
      <c r="BX254" s="4458"/>
      <c r="BY254" s="4458"/>
      <c r="BZ254" s="3708">
        <f t="shared" si="96"/>
        <v>1008</v>
      </c>
      <c r="CA254" s="4154">
        <f t="shared" si="97"/>
        <v>0</v>
      </c>
      <c r="CB254" s="4934"/>
      <c r="CC254" s="4934"/>
      <c r="CD254" s="4323"/>
      <c r="CE254" s="4323"/>
      <c r="CF254" s="4323"/>
    </row>
    <row r="255" s="4316" customFormat="1" ht="50" customHeight="1" spans="1:84">
      <c r="A255" s="4500">
        <v>45806</v>
      </c>
      <c r="B255" s="4501" t="s">
        <v>452</v>
      </c>
      <c r="C255" s="3708" t="s">
        <v>453</v>
      </c>
      <c r="D255" s="4502">
        <v>4500168449</v>
      </c>
      <c r="E255" s="3708"/>
      <c r="F255" s="4615" t="s">
        <v>1482</v>
      </c>
      <c r="G255" s="3708" t="s">
        <v>1145</v>
      </c>
      <c r="H255" s="3708" t="s">
        <v>327</v>
      </c>
      <c r="I255" s="4154" t="s">
        <v>328</v>
      </c>
      <c r="J255" s="4154">
        <v>10008</v>
      </c>
      <c r="K255" s="4154">
        <v>0</v>
      </c>
      <c r="L255" s="4154">
        <v>12</v>
      </c>
      <c r="M255" s="4154">
        <f t="shared" si="94"/>
        <v>834</v>
      </c>
      <c r="N255" s="4503">
        <v>45842</v>
      </c>
      <c r="O255" s="4503">
        <v>45863</v>
      </c>
      <c r="P255" s="3712"/>
      <c r="Q255" s="4154" t="s">
        <v>82</v>
      </c>
      <c r="R255" s="4157"/>
      <c r="S255" s="4157"/>
      <c r="T255" s="4157"/>
      <c r="U255" s="3726" t="s">
        <v>1483</v>
      </c>
      <c r="V255" s="3711" t="s">
        <v>1484</v>
      </c>
      <c r="W255" s="3711"/>
      <c r="X255" s="3711" t="s">
        <v>1485</v>
      </c>
      <c r="Y255" s="3711"/>
      <c r="Z255" s="3711"/>
      <c r="AA255" s="4154"/>
      <c r="AB255" s="3680" t="s">
        <v>1486</v>
      </c>
      <c r="AC255" s="4154" t="s">
        <v>459</v>
      </c>
      <c r="AD255" s="4504">
        <v>2.0503</v>
      </c>
      <c r="AE255" s="4154">
        <f>J255*AD255</f>
        <v>20519.4024</v>
      </c>
      <c r="AF255" s="3726"/>
      <c r="AG255" s="3726"/>
      <c r="AH255" s="3664"/>
      <c r="AI255" s="3708"/>
      <c r="AJ255" s="3664"/>
      <c r="AK255" s="3708">
        <f>J255</f>
        <v>10008</v>
      </c>
      <c r="AL255" s="3708"/>
      <c r="AM255" s="4154"/>
      <c r="AN255" s="4089"/>
      <c r="AO255" s="1048">
        <f>J255</f>
        <v>10008</v>
      </c>
      <c r="AP255" s="1048"/>
      <c r="AQ255" s="4089"/>
      <c r="AR255" s="4089"/>
      <c r="AS255" s="1048">
        <f t="shared" si="106"/>
        <v>10008</v>
      </c>
      <c r="AT255" s="1048"/>
      <c r="AU255" s="4089"/>
      <c r="AV255" s="4487"/>
      <c r="AW255" s="4487"/>
      <c r="AX255" s="1048">
        <f>J255/6</f>
        <v>1668</v>
      </c>
      <c r="AY255" s="4487"/>
      <c r="AZ255" s="4487"/>
      <c r="BA255" s="1048"/>
      <c r="BB255" s="4622"/>
      <c r="BC255" s="4487"/>
      <c r="BD255" s="4622"/>
      <c r="BE255" s="4622"/>
      <c r="BF255" s="4622"/>
      <c r="BG255" s="4622"/>
      <c r="BH255" s="1048"/>
      <c r="BI255" s="4622"/>
      <c r="BJ255" s="1048"/>
      <c r="BK255" s="4415" t="s">
        <v>89</v>
      </c>
      <c r="BL255" s="4415">
        <f t="shared" si="101"/>
        <v>166.8</v>
      </c>
      <c r="BM255" s="4415">
        <f t="shared" si="107"/>
        <v>1501.2</v>
      </c>
      <c r="BN255" s="4415">
        <f t="shared" si="108"/>
        <v>1668</v>
      </c>
      <c r="BO255" s="4415">
        <f t="shared" si="109"/>
        <v>1668</v>
      </c>
      <c r="BP255" s="4415">
        <f t="shared" si="110"/>
        <v>1668</v>
      </c>
      <c r="BQ255" s="4414">
        <f t="shared" si="111"/>
        <v>1668</v>
      </c>
      <c r="BR255" s="1048">
        <f t="shared" si="112"/>
        <v>1668</v>
      </c>
      <c r="BS255" s="4403"/>
      <c r="BT255" s="4403"/>
      <c r="BU255" s="4403"/>
      <c r="BV255" s="4403"/>
      <c r="BW255" s="4403"/>
      <c r="BX255" s="4404"/>
      <c r="BY255" s="4404"/>
      <c r="BZ255" s="3708">
        <f t="shared" si="96"/>
        <v>10008</v>
      </c>
      <c r="CA255" s="4154">
        <f t="shared" si="97"/>
        <v>0</v>
      </c>
      <c r="CB255" s="4390"/>
      <c r="CC255" s="4390"/>
      <c r="CD255" s="4323"/>
      <c r="CE255" s="4323"/>
      <c r="CF255" s="4323"/>
    </row>
    <row r="256" s="4316" customFormat="1" ht="50" customHeight="1" spans="1:84">
      <c r="A256" s="4500">
        <v>45750</v>
      </c>
      <c r="B256" s="4501" t="s">
        <v>1315</v>
      </c>
      <c r="C256" s="3708" t="s">
        <v>1316</v>
      </c>
      <c r="D256" s="4502">
        <v>4500162577</v>
      </c>
      <c r="E256" s="3708" t="s">
        <v>1487</v>
      </c>
      <c r="F256" s="4615" t="s">
        <v>1488</v>
      </c>
      <c r="G256" s="3708" t="s">
        <v>1319</v>
      </c>
      <c r="H256" s="3708" t="s">
        <v>1319</v>
      </c>
      <c r="I256" s="3708" t="s">
        <v>1320</v>
      </c>
      <c r="J256" s="4154">
        <v>1200</v>
      </c>
      <c r="K256" s="4154">
        <v>0</v>
      </c>
      <c r="L256" s="4154">
        <v>4</v>
      </c>
      <c r="M256" s="4154">
        <f t="shared" si="94"/>
        <v>300</v>
      </c>
      <c r="N256" s="4503">
        <v>45843</v>
      </c>
      <c r="O256" s="4503">
        <f>N256-4</f>
        <v>45839</v>
      </c>
      <c r="P256" s="3712"/>
      <c r="Q256" s="4154" t="s">
        <v>82</v>
      </c>
      <c r="R256" s="4157"/>
      <c r="S256" s="4157"/>
      <c r="T256" s="4157"/>
      <c r="U256" s="3726" t="s">
        <v>401</v>
      </c>
      <c r="V256" s="3711" t="s">
        <v>1322</v>
      </c>
      <c r="W256" s="3711"/>
      <c r="X256" s="3711" t="s">
        <v>1379</v>
      </c>
      <c r="Y256" s="3711"/>
      <c r="Z256" s="3711"/>
      <c r="AA256" s="4154" t="s">
        <v>1489</v>
      </c>
      <c r="AB256" s="3680" t="s">
        <v>1376</v>
      </c>
      <c r="AC256" s="4154" t="s">
        <v>1326</v>
      </c>
      <c r="AD256" s="4154">
        <v>16.8855</v>
      </c>
      <c r="AE256" s="4154">
        <f>AD256*M256</f>
        <v>5065.65</v>
      </c>
      <c r="AF256" s="3726"/>
      <c r="AG256" s="3726"/>
      <c r="AH256" s="4448"/>
      <c r="AI256" s="3708"/>
      <c r="AJ256" s="4448"/>
      <c r="AK256" s="3708"/>
      <c r="AL256" s="3708"/>
      <c r="AM256" s="4154">
        <f>J256</f>
        <v>1200</v>
      </c>
      <c r="AN256" s="4411"/>
      <c r="AO256" s="1048"/>
      <c r="AP256" s="1048">
        <f>J256</f>
        <v>1200</v>
      </c>
      <c r="AQ256" s="4411"/>
      <c r="AR256" s="4411"/>
      <c r="AS256" s="1048">
        <f t="shared" si="106"/>
        <v>1200</v>
      </c>
      <c r="AT256" s="1048"/>
      <c r="AU256" s="4411"/>
      <c r="AV256" s="4933"/>
      <c r="AW256" s="4933"/>
      <c r="AX256" s="1048"/>
      <c r="AY256" s="4933"/>
      <c r="AZ256" s="4933"/>
      <c r="BA256" s="1048"/>
      <c r="BB256" s="4622"/>
      <c r="BC256" s="4933"/>
      <c r="BD256" s="4622"/>
      <c r="BE256" s="4622"/>
      <c r="BF256" s="4622"/>
      <c r="BG256" s="4622"/>
      <c r="BH256" s="1048"/>
      <c r="BI256" s="4622"/>
      <c r="BJ256" s="1048"/>
      <c r="BK256" s="4415" t="s">
        <v>1327</v>
      </c>
      <c r="BL256" s="4415">
        <f t="shared" si="101"/>
        <v>20</v>
      </c>
      <c r="BM256" s="4415">
        <f t="shared" si="107"/>
        <v>180</v>
      </c>
      <c r="BN256" s="4415">
        <f t="shared" si="108"/>
        <v>200</v>
      </c>
      <c r="BO256" s="4415">
        <f t="shared" si="109"/>
        <v>200</v>
      </c>
      <c r="BP256" s="4415">
        <f t="shared" si="110"/>
        <v>200</v>
      </c>
      <c r="BQ256" s="4414">
        <f t="shared" si="111"/>
        <v>200</v>
      </c>
      <c r="BR256" s="1048">
        <f t="shared" si="112"/>
        <v>200</v>
      </c>
      <c r="BS256" s="4403"/>
      <c r="BT256" s="4454"/>
      <c r="BU256" s="4454"/>
      <c r="BV256" s="4454"/>
      <c r="BW256" s="4454"/>
      <c r="BX256" s="4453"/>
      <c r="BY256" s="4453"/>
      <c r="BZ256" s="3708">
        <f t="shared" si="96"/>
        <v>1200</v>
      </c>
      <c r="CA256" s="4154">
        <f t="shared" si="97"/>
        <v>0</v>
      </c>
      <c r="CB256" s="4934"/>
      <c r="CC256" s="4934"/>
      <c r="CD256" s="4323"/>
      <c r="CE256" s="4323"/>
      <c r="CF256" s="4323"/>
    </row>
    <row r="257" s="4316" customFormat="1" ht="50" customHeight="1" spans="1:84">
      <c r="A257" s="4500">
        <v>45750</v>
      </c>
      <c r="B257" s="4501" t="s">
        <v>1315</v>
      </c>
      <c r="C257" s="3708" t="s">
        <v>1316</v>
      </c>
      <c r="D257" s="4502">
        <v>4500166280</v>
      </c>
      <c r="E257" s="3708" t="s">
        <v>1490</v>
      </c>
      <c r="F257" s="4502" t="s">
        <v>1491</v>
      </c>
      <c r="G257" s="3708" t="s">
        <v>1319</v>
      </c>
      <c r="H257" s="3708" t="s">
        <v>1319</v>
      </c>
      <c r="I257" s="3708" t="s">
        <v>1320</v>
      </c>
      <c r="J257" s="4154">
        <v>2852</v>
      </c>
      <c r="K257" s="4154">
        <v>0</v>
      </c>
      <c r="L257" s="4154">
        <v>4</v>
      </c>
      <c r="M257" s="4154">
        <f t="shared" si="94"/>
        <v>713</v>
      </c>
      <c r="N257" s="4503">
        <v>45850</v>
      </c>
      <c r="O257" s="4503">
        <f>N257-4</f>
        <v>45846</v>
      </c>
      <c r="P257" s="4154" t="s">
        <v>1472</v>
      </c>
      <c r="Q257" s="4154" t="s">
        <v>82</v>
      </c>
      <c r="R257" s="4157"/>
      <c r="S257" s="4157"/>
      <c r="T257" s="4157"/>
      <c r="U257" s="3726"/>
      <c r="V257" s="3711" t="s">
        <v>1322</v>
      </c>
      <c r="W257" s="3711"/>
      <c r="X257" s="3711" t="s">
        <v>1323</v>
      </c>
      <c r="Y257" s="3711"/>
      <c r="Z257" s="3711"/>
      <c r="AA257" s="4942" t="s">
        <v>1492</v>
      </c>
      <c r="AB257" s="3680" t="s">
        <v>1376</v>
      </c>
      <c r="AC257" s="4154" t="s">
        <v>1326</v>
      </c>
      <c r="AD257" s="4154">
        <v>16.8855</v>
      </c>
      <c r="AE257" s="4154">
        <f>AD257*M257</f>
        <v>12039.3615</v>
      </c>
      <c r="AF257" s="3726"/>
      <c r="AG257" s="3726"/>
      <c r="AH257" s="4448"/>
      <c r="AI257" s="3708"/>
      <c r="AJ257" s="4448"/>
      <c r="AK257" s="3708"/>
      <c r="AL257" s="3708"/>
      <c r="AM257" s="4154">
        <f>J257</f>
        <v>2852</v>
      </c>
      <c r="AN257" s="4411"/>
      <c r="AO257" s="1048"/>
      <c r="AP257" s="1048">
        <f>J257</f>
        <v>2852</v>
      </c>
      <c r="AQ257" s="4411"/>
      <c r="AR257" s="4411"/>
      <c r="AS257" s="1048">
        <f t="shared" si="106"/>
        <v>2852</v>
      </c>
      <c r="AT257" s="1048"/>
      <c r="AU257" s="4411"/>
      <c r="AV257" s="4933"/>
      <c r="AW257" s="4933"/>
      <c r="AX257" s="1048"/>
      <c r="AY257" s="4933"/>
      <c r="AZ257" s="4933"/>
      <c r="BA257" s="1048"/>
      <c r="BB257" s="4622"/>
      <c r="BC257" s="4933"/>
      <c r="BD257" s="4622"/>
      <c r="BE257" s="4622"/>
      <c r="BF257" s="4622"/>
      <c r="BG257" s="4622"/>
      <c r="BH257" s="1048"/>
      <c r="BI257" s="4622"/>
      <c r="BJ257" s="1048"/>
      <c r="BK257" s="4415" t="s">
        <v>1327</v>
      </c>
      <c r="BL257" s="4415">
        <f t="shared" si="101"/>
        <v>47.5333333333333</v>
      </c>
      <c r="BM257" s="4415">
        <f t="shared" si="107"/>
        <v>427.8</v>
      </c>
      <c r="BN257" s="4415">
        <f t="shared" si="108"/>
        <v>475.333333333333</v>
      </c>
      <c r="BO257" s="4415">
        <f t="shared" si="109"/>
        <v>475.333333333333</v>
      </c>
      <c r="BP257" s="4415">
        <f t="shared" si="110"/>
        <v>475.333333333333</v>
      </c>
      <c r="BQ257" s="4414">
        <f t="shared" si="111"/>
        <v>475.333333333333</v>
      </c>
      <c r="BR257" s="1048">
        <f t="shared" si="112"/>
        <v>475.333333333333</v>
      </c>
      <c r="BS257" s="4403"/>
      <c r="BT257" s="4454"/>
      <c r="BU257" s="4454"/>
      <c r="BV257" s="4454"/>
      <c r="BW257" s="4454"/>
      <c r="BX257" s="4453"/>
      <c r="BY257" s="4453"/>
      <c r="BZ257" s="3708">
        <f t="shared" si="96"/>
        <v>2852</v>
      </c>
      <c r="CA257" s="4154">
        <f t="shared" si="97"/>
        <v>0</v>
      </c>
      <c r="CB257" s="4934"/>
      <c r="CC257" s="4934"/>
      <c r="CD257" s="4323"/>
      <c r="CE257" s="4323"/>
      <c r="CF257" s="4323"/>
    </row>
    <row r="258" s="4316" customFormat="1" ht="50" customHeight="1" spans="1:84">
      <c r="A258" s="4500">
        <v>45750</v>
      </c>
      <c r="B258" s="4501" t="s">
        <v>1315</v>
      </c>
      <c r="C258" s="3708" t="s">
        <v>1316</v>
      </c>
      <c r="D258" s="4502">
        <v>4500162577</v>
      </c>
      <c r="E258" s="3708" t="s">
        <v>1493</v>
      </c>
      <c r="F258" s="4615" t="s">
        <v>1494</v>
      </c>
      <c r="G258" s="3708" t="s">
        <v>1319</v>
      </c>
      <c r="H258" s="3708" t="s">
        <v>1319</v>
      </c>
      <c r="I258" s="3708" t="s">
        <v>1320</v>
      </c>
      <c r="J258" s="4154">
        <v>900</v>
      </c>
      <c r="K258" s="4154">
        <v>0</v>
      </c>
      <c r="L258" s="4154">
        <v>4</v>
      </c>
      <c r="M258" s="4154">
        <f t="shared" si="94"/>
        <v>225</v>
      </c>
      <c r="N258" s="4503">
        <v>45850</v>
      </c>
      <c r="O258" s="4503">
        <f>N258-4</f>
        <v>45846</v>
      </c>
      <c r="P258" s="3712"/>
      <c r="Q258" s="4154" t="s">
        <v>82</v>
      </c>
      <c r="R258" s="4157"/>
      <c r="S258" s="4157"/>
      <c r="T258" s="4157"/>
      <c r="U258" s="3726" t="s">
        <v>401</v>
      </c>
      <c r="V258" s="3711" t="s">
        <v>1322</v>
      </c>
      <c r="W258" s="3711"/>
      <c r="X258" s="3711" t="s">
        <v>1379</v>
      </c>
      <c r="Y258" s="3711"/>
      <c r="Z258" s="3711"/>
      <c r="AA258" s="4942" t="s">
        <v>1495</v>
      </c>
      <c r="AB258" s="3680" t="s">
        <v>1376</v>
      </c>
      <c r="AC258" s="4154" t="s">
        <v>1326</v>
      </c>
      <c r="AD258" s="4154">
        <v>16.9223</v>
      </c>
      <c r="AE258" s="4154">
        <f>AD258*M258</f>
        <v>3807.5175</v>
      </c>
      <c r="AF258" s="3726"/>
      <c r="AG258" s="3726"/>
      <c r="AH258" s="4448"/>
      <c r="AI258" s="3708"/>
      <c r="AJ258" s="4448"/>
      <c r="AK258" s="3708"/>
      <c r="AL258" s="3708"/>
      <c r="AM258" s="4154">
        <f>J258</f>
        <v>900</v>
      </c>
      <c r="AN258" s="4411"/>
      <c r="AO258" s="1048"/>
      <c r="AP258" s="1048">
        <f>J258</f>
        <v>900</v>
      </c>
      <c r="AQ258" s="4411"/>
      <c r="AR258" s="4411"/>
      <c r="AS258" s="1048">
        <f t="shared" si="106"/>
        <v>900</v>
      </c>
      <c r="AT258" s="1048"/>
      <c r="AU258" s="4411"/>
      <c r="AV258" s="4933"/>
      <c r="AW258" s="4933"/>
      <c r="AX258" s="1048"/>
      <c r="AY258" s="4933"/>
      <c r="AZ258" s="4933"/>
      <c r="BA258" s="1048"/>
      <c r="BB258" s="4622"/>
      <c r="BC258" s="4933"/>
      <c r="BD258" s="4622"/>
      <c r="BE258" s="4622"/>
      <c r="BF258" s="4622"/>
      <c r="BG258" s="4622"/>
      <c r="BH258" s="1048"/>
      <c r="BI258" s="4622"/>
      <c r="BJ258" s="1048"/>
      <c r="BK258" s="4415" t="s">
        <v>1327</v>
      </c>
      <c r="BL258" s="4415">
        <f t="shared" si="101"/>
        <v>15</v>
      </c>
      <c r="BM258" s="4415">
        <f t="shared" si="107"/>
        <v>135</v>
      </c>
      <c r="BN258" s="4415">
        <f t="shared" si="108"/>
        <v>150</v>
      </c>
      <c r="BO258" s="4415">
        <f t="shared" si="109"/>
        <v>150</v>
      </c>
      <c r="BP258" s="4415">
        <f t="shared" si="110"/>
        <v>150</v>
      </c>
      <c r="BQ258" s="4414">
        <f t="shared" si="111"/>
        <v>150</v>
      </c>
      <c r="BR258" s="1048">
        <f t="shared" si="112"/>
        <v>150</v>
      </c>
      <c r="BS258" s="4403"/>
      <c r="BT258" s="4454"/>
      <c r="BU258" s="4454"/>
      <c r="BV258" s="4454"/>
      <c r="BW258" s="4454"/>
      <c r="BX258" s="4453"/>
      <c r="BY258" s="4453"/>
      <c r="BZ258" s="3708">
        <f t="shared" si="96"/>
        <v>900</v>
      </c>
      <c r="CA258" s="4154">
        <f t="shared" si="97"/>
        <v>0</v>
      </c>
      <c r="CB258" s="4934"/>
      <c r="CC258" s="4934"/>
      <c r="CD258" s="4323"/>
      <c r="CE258" s="4323"/>
      <c r="CF258" s="4323"/>
    </row>
    <row r="259" s="4316" customFormat="1" ht="50" customHeight="1" spans="1:84">
      <c r="A259" s="4500">
        <v>45750</v>
      </c>
      <c r="B259" s="4501" t="s">
        <v>1315</v>
      </c>
      <c r="C259" s="3708" t="s">
        <v>1316</v>
      </c>
      <c r="D259" s="4502">
        <v>4500162577</v>
      </c>
      <c r="E259" s="3708" t="s">
        <v>1496</v>
      </c>
      <c r="F259" s="4615" t="s">
        <v>1497</v>
      </c>
      <c r="G259" s="3708" t="s">
        <v>1319</v>
      </c>
      <c r="H259" s="3708" t="s">
        <v>1319</v>
      </c>
      <c r="I259" s="3708" t="s">
        <v>1320</v>
      </c>
      <c r="J259" s="4154">
        <v>2700</v>
      </c>
      <c r="K259" s="4154">
        <v>0</v>
      </c>
      <c r="L259" s="4154">
        <v>4</v>
      </c>
      <c r="M259" s="4154">
        <f t="shared" si="94"/>
        <v>675</v>
      </c>
      <c r="N259" s="4503">
        <v>45845</v>
      </c>
      <c r="O259" s="4503">
        <f>N259-4</f>
        <v>45841</v>
      </c>
      <c r="P259" s="3712"/>
      <c r="Q259" s="4154" t="s">
        <v>82</v>
      </c>
      <c r="R259" s="4157"/>
      <c r="S259" s="4157"/>
      <c r="T259" s="4157"/>
      <c r="U259" s="3726" t="s">
        <v>401</v>
      </c>
      <c r="V259" s="3711" t="s">
        <v>1322</v>
      </c>
      <c r="W259" s="3711"/>
      <c r="X259" s="3711" t="s">
        <v>1379</v>
      </c>
      <c r="Y259" s="3711"/>
      <c r="Z259" s="3711"/>
      <c r="AA259" s="4942" t="s">
        <v>1498</v>
      </c>
      <c r="AB259" s="3680" t="s">
        <v>1376</v>
      </c>
      <c r="AC259" s="4154" t="s">
        <v>1326</v>
      </c>
      <c r="AD259" s="4154">
        <v>16.8855</v>
      </c>
      <c r="AE259" s="4154">
        <f>AD259*M259</f>
        <v>11397.7125</v>
      </c>
      <c r="AF259" s="3726"/>
      <c r="AG259" s="3726"/>
      <c r="AH259" s="4422"/>
      <c r="AI259" s="3708"/>
      <c r="AJ259" s="4422"/>
      <c r="AK259" s="3708"/>
      <c r="AL259" s="3708"/>
      <c r="AM259" s="4154">
        <f>J259</f>
        <v>2700</v>
      </c>
      <c r="AN259" s="907"/>
      <c r="AO259" s="1048"/>
      <c r="AP259" s="1048">
        <f>J259</f>
        <v>2700</v>
      </c>
      <c r="AQ259" s="907"/>
      <c r="AR259" s="907"/>
      <c r="AS259" s="1048">
        <f t="shared" si="106"/>
        <v>2700</v>
      </c>
      <c r="AT259" s="1048"/>
      <c r="AU259" s="907"/>
      <c r="AV259" s="4922"/>
      <c r="AW259" s="4922"/>
      <c r="AX259" s="1048"/>
      <c r="AY259" s="4922"/>
      <c r="AZ259" s="4922"/>
      <c r="BA259" s="1048"/>
      <c r="BB259" s="4622"/>
      <c r="BC259" s="4922"/>
      <c r="BD259" s="4622"/>
      <c r="BE259" s="4622"/>
      <c r="BF259" s="4622"/>
      <c r="BG259" s="4622"/>
      <c r="BH259" s="1048"/>
      <c r="BI259" s="4622"/>
      <c r="BJ259" s="1048"/>
      <c r="BK259" s="4415" t="s">
        <v>1327</v>
      </c>
      <c r="BL259" s="4415">
        <f t="shared" si="101"/>
        <v>45</v>
      </c>
      <c r="BM259" s="4415">
        <f t="shared" si="107"/>
        <v>405</v>
      </c>
      <c r="BN259" s="4415">
        <f t="shared" si="108"/>
        <v>450</v>
      </c>
      <c r="BO259" s="4415">
        <f t="shared" si="109"/>
        <v>450</v>
      </c>
      <c r="BP259" s="4415">
        <f t="shared" si="110"/>
        <v>450</v>
      </c>
      <c r="BQ259" s="4414">
        <f t="shared" si="111"/>
        <v>450</v>
      </c>
      <c r="BR259" s="1048">
        <f t="shared" si="112"/>
        <v>450</v>
      </c>
      <c r="BS259" s="4384"/>
      <c r="BT259" s="911"/>
      <c r="BU259" s="911"/>
      <c r="BV259" s="911"/>
      <c r="BW259" s="911"/>
      <c r="BX259" s="910"/>
      <c r="BY259" s="910"/>
      <c r="BZ259" s="3708">
        <f t="shared" si="96"/>
        <v>2700</v>
      </c>
      <c r="CA259" s="4154">
        <f t="shared" si="97"/>
        <v>0</v>
      </c>
      <c r="CB259" s="4923"/>
      <c r="CC259" s="4923"/>
      <c r="CD259" s="4323"/>
      <c r="CE259" s="4323"/>
      <c r="CF259" s="4323"/>
    </row>
    <row r="260" s="4316" customFormat="1" ht="50" customHeight="1" spans="1:84">
      <c r="A260" s="4500">
        <v>45750</v>
      </c>
      <c r="B260" s="4501" t="s">
        <v>1315</v>
      </c>
      <c r="C260" s="3708" t="s">
        <v>1316</v>
      </c>
      <c r="D260" s="4502">
        <v>4500162577</v>
      </c>
      <c r="E260" s="3708" t="s">
        <v>1499</v>
      </c>
      <c r="F260" s="4615" t="s">
        <v>1500</v>
      </c>
      <c r="G260" s="3708" t="s">
        <v>1319</v>
      </c>
      <c r="H260" s="3708" t="s">
        <v>1319</v>
      </c>
      <c r="I260" s="3708" t="s">
        <v>1320</v>
      </c>
      <c r="J260" s="4154">
        <v>3824</v>
      </c>
      <c r="K260" s="4154">
        <v>0</v>
      </c>
      <c r="L260" s="4154">
        <v>4</v>
      </c>
      <c r="M260" s="4154">
        <f t="shared" si="94"/>
        <v>956</v>
      </c>
      <c r="N260" s="4503">
        <v>45845</v>
      </c>
      <c r="O260" s="4503">
        <f>N260-4</f>
        <v>45841</v>
      </c>
      <c r="P260" s="3712"/>
      <c r="Q260" s="4154" t="s">
        <v>82</v>
      </c>
      <c r="R260" s="4157"/>
      <c r="S260" s="4157"/>
      <c r="T260" s="4157"/>
      <c r="U260" s="3726" t="s">
        <v>401</v>
      </c>
      <c r="V260" s="3711" t="s">
        <v>1322</v>
      </c>
      <c r="W260" s="3711"/>
      <c r="X260" s="3711" t="s">
        <v>1379</v>
      </c>
      <c r="Y260" s="3711"/>
      <c r="Z260" s="3711"/>
      <c r="AA260" s="4154" t="s">
        <v>1501</v>
      </c>
      <c r="AB260" s="3680" t="s">
        <v>1376</v>
      </c>
      <c r="AC260" s="4154" t="s">
        <v>1326</v>
      </c>
      <c r="AD260" s="4154">
        <v>16.8314</v>
      </c>
      <c r="AE260" s="4154">
        <f>AD260*M260</f>
        <v>16090.8184</v>
      </c>
      <c r="AF260" s="3726"/>
      <c r="AG260" s="3726"/>
      <c r="AH260" s="4422"/>
      <c r="AI260" s="3708"/>
      <c r="AJ260" s="4422"/>
      <c r="AK260" s="3708"/>
      <c r="AL260" s="3708"/>
      <c r="AM260" s="4154">
        <f>J260</f>
        <v>3824</v>
      </c>
      <c r="AN260" s="907"/>
      <c r="AO260" s="1048"/>
      <c r="AP260" s="1048">
        <f>J260</f>
        <v>3824</v>
      </c>
      <c r="AQ260" s="907"/>
      <c r="AR260" s="907"/>
      <c r="AS260" s="1048">
        <f t="shared" si="106"/>
        <v>3824</v>
      </c>
      <c r="AT260" s="1048"/>
      <c r="AU260" s="907"/>
      <c r="AV260" s="4922"/>
      <c r="AW260" s="4922"/>
      <c r="AX260" s="1048"/>
      <c r="AY260" s="4922"/>
      <c r="AZ260" s="4922"/>
      <c r="BA260" s="1048"/>
      <c r="BB260" s="4622"/>
      <c r="BC260" s="4922"/>
      <c r="BD260" s="4622"/>
      <c r="BE260" s="4622"/>
      <c r="BF260" s="4622"/>
      <c r="BG260" s="4622"/>
      <c r="BH260" s="1048"/>
      <c r="BI260" s="4622"/>
      <c r="BJ260" s="1048"/>
      <c r="BK260" s="4415" t="s">
        <v>1327</v>
      </c>
      <c r="BL260" s="4415">
        <f t="shared" si="101"/>
        <v>63.7333333333333</v>
      </c>
      <c r="BM260" s="4415">
        <f t="shared" si="107"/>
        <v>573.6</v>
      </c>
      <c r="BN260" s="4415">
        <f t="shared" si="108"/>
        <v>637.333333333333</v>
      </c>
      <c r="BO260" s="4415">
        <f t="shared" si="109"/>
        <v>637.333333333333</v>
      </c>
      <c r="BP260" s="4415">
        <f t="shared" si="110"/>
        <v>637.333333333333</v>
      </c>
      <c r="BQ260" s="4414">
        <f t="shared" si="111"/>
        <v>637.333333333333</v>
      </c>
      <c r="BR260" s="1048">
        <f t="shared" si="112"/>
        <v>637.333333333333</v>
      </c>
      <c r="BS260" s="4384"/>
      <c r="BT260" s="911"/>
      <c r="BU260" s="911"/>
      <c r="BV260" s="911"/>
      <c r="BW260" s="911"/>
      <c r="BX260" s="910"/>
      <c r="BY260" s="910"/>
      <c r="BZ260" s="3708">
        <f t="shared" si="96"/>
        <v>3824</v>
      </c>
      <c r="CA260" s="4154">
        <f t="shared" si="97"/>
        <v>0</v>
      </c>
      <c r="CB260" s="4923"/>
      <c r="CC260" s="4923"/>
      <c r="CD260" s="4323"/>
      <c r="CE260" s="4323"/>
      <c r="CF260" s="4323"/>
    </row>
    <row r="261" s="4316" customFormat="1" ht="50" customHeight="1" spans="1:84">
      <c r="A261" s="4500">
        <v>45819</v>
      </c>
      <c r="B261" s="4501" t="s">
        <v>1016</v>
      </c>
      <c r="C261" s="3708" t="s">
        <v>396</v>
      </c>
      <c r="D261" s="4502">
        <v>4500169708</v>
      </c>
      <c r="E261" s="3708" t="s">
        <v>1502</v>
      </c>
      <c r="F261" s="4502" t="s">
        <v>1503</v>
      </c>
      <c r="G261" s="3708"/>
      <c r="H261" s="3708" t="s">
        <v>1033</v>
      </c>
      <c r="I261" s="3699" t="s">
        <v>328</v>
      </c>
      <c r="J261" s="4154">
        <v>12</v>
      </c>
      <c r="K261" s="4154">
        <v>0</v>
      </c>
      <c r="L261" s="4154">
        <v>12</v>
      </c>
      <c r="M261" s="4154">
        <f t="shared" si="94"/>
        <v>1</v>
      </c>
      <c r="N261" s="4503">
        <v>45855</v>
      </c>
      <c r="O261" s="4503">
        <v>45852</v>
      </c>
      <c r="P261" s="3712"/>
      <c r="Q261" s="4154" t="s">
        <v>82</v>
      </c>
      <c r="R261" s="4157"/>
      <c r="S261" s="4157"/>
      <c r="T261" s="4157"/>
      <c r="U261" s="3726" t="s">
        <v>1504</v>
      </c>
      <c r="V261" s="3711" t="s">
        <v>1479</v>
      </c>
      <c r="W261" s="3711"/>
      <c r="X261" s="3711" t="s">
        <v>1505</v>
      </c>
      <c r="Y261" s="3711"/>
      <c r="Z261" s="3711" t="s">
        <v>1506</v>
      </c>
      <c r="AA261" s="4942"/>
      <c r="AB261" s="3680" t="s">
        <v>1507</v>
      </c>
      <c r="AC261" s="4154" t="s">
        <v>369</v>
      </c>
      <c r="AD261" s="4504">
        <v>2.0947</v>
      </c>
      <c r="AE261" s="4154">
        <f>J261*AD261</f>
        <v>25.1364</v>
      </c>
      <c r="AF261" s="3726"/>
      <c r="AG261" s="3726"/>
      <c r="AH261" s="4422"/>
      <c r="AI261" s="3708"/>
      <c r="AJ261" s="4422"/>
      <c r="AK261" s="3708">
        <f>J261</f>
        <v>12</v>
      </c>
      <c r="AL261" s="3708"/>
      <c r="AM261" s="4154"/>
      <c r="AN261" s="907"/>
      <c r="AO261" s="1048">
        <f>J261</f>
        <v>12</v>
      </c>
      <c r="AP261" s="1048"/>
      <c r="AQ261" s="907"/>
      <c r="AR261" s="907"/>
      <c r="AS261" s="1048"/>
      <c r="AT261" s="1048">
        <f>J261</f>
        <v>12</v>
      </c>
      <c r="AU261" s="907"/>
      <c r="AV261" s="4922"/>
      <c r="AW261" s="4922"/>
      <c r="AX261" s="1048"/>
      <c r="AY261" s="4922"/>
      <c r="AZ261" s="4922"/>
      <c r="BA261" s="1048"/>
      <c r="BB261" s="4622"/>
      <c r="BC261" s="4922"/>
      <c r="BD261" s="4622"/>
      <c r="BE261" s="4622"/>
      <c r="BF261" s="4622"/>
      <c r="BG261" s="4622"/>
      <c r="BH261" s="1048"/>
      <c r="BI261" s="4622"/>
      <c r="BJ261" s="1048"/>
      <c r="BK261" s="4415" t="s">
        <v>89</v>
      </c>
      <c r="BL261" s="4415"/>
      <c r="BM261" s="4415"/>
      <c r="BN261" s="4415"/>
      <c r="BO261" s="4415">
        <f>J261</f>
        <v>12</v>
      </c>
      <c r="BP261" s="4415"/>
      <c r="BQ261" s="4414"/>
      <c r="BR261" s="1048"/>
      <c r="BS261" s="911"/>
      <c r="BT261" s="911"/>
      <c r="BU261" s="911"/>
      <c r="BV261" s="911"/>
      <c r="BW261" s="911"/>
      <c r="BX261" s="910"/>
      <c r="BY261" s="910"/>
      <c r="BZ261" s="3708">
        <f t="shared" si="96"/>
        <v>12</v>
      </c>
      <c r="CA261" s="4154">
        <f t="shared" si="97"/>
        <v>0</v>
      </c>
      <c r="CB261" s="4923"/>
      <c r="CC261" s="4923"/>
      <c r="CD261" s="4323"/>
      <c r="CE261" s="4323"/>
      <c r="CF261" s="4323"/>
    </row>
    <row r="262" s="4316" customFormat="1" ht="50" customHeight="1" spans="1:84">
      <c r="A262" s="4500">
        <v>45819</v>
      </c>
      <c r="B262" s="4501" t="s">
        <v>1016</v>
      </c>
      <c r="C262" s="3708" t="s">
        <v>396</v>
      </c>
      <c r="D262" s="4502">
        <v>4500169708</v>
      </c>
      <c r="E262" s="3708" t="s">
        <v>1508</v>
      </c>
      <c r="F262" s="4502" t="s">
        <v>1509</v>
      </c>
      <c r="G262" s="3708"/>
      <c r="H262" s="3708" t="s">
        <v>1033</v>
      </c>
      <c r="I262" s="3699" t="s">
        <v>328</v>
      </c>
      <c r="J262" s="4154">
        <v>12</v>
      </c>
      <c r="K262" s="4154">
        <v>0</v>
      </c>
      <c r="L262" s="4154">
        <v>12</v>
      </c>
      <c r="M262" s="4154">
        <f t="shared" si="94"/>
        <v>1</v>
      </c>
      <c r="N262" s="4503">
        <v>45855</v>
      </c>
      <c r="O262" s="4503">
        <v>45852</v>
      </c>
      <c r="P262" s="3712"/>
      <c r="Q262" s="4154" t="s">
        <v>82</v>
      </c>
      <c r="R262" s="4157"/>
      <c r="S262" s="4157"/>
      <c r="T262" s="4157"/>
      <c r="U262" s="3726" t="s">
        <v>1504</v>
      </c>
      <c r="V262" s="3711" t="s">
        <v>1479</v>
      </c>
      <c r="W262" s="3711"/>
      <c r="X262" s="3711" t="s">
        <v>1505</v>
      </c>
      <c r="Y262" s="3711"/>
      <c r="Z262" s="3711" t="s">
        <v>1506</v>
      </c>
      <c r="AA262" s="4942"/>
      <c r="AB262" s="3680" t="s">
        <v>1507</v>
      </c>
      <c r="AC262" s="4154" t="s">
        <v>369</v>
      </c>
      <c r="AD262" s="4504">
        <v>2.0947</v>
      </c>
      <c r="AE262" s="4154">
        <f>J262*AD262</f>
        <v>25.1364</v>
      </c>
      <c r="AF262" s="3726"/>
      <c r="AG262" s="3726"/>
      <c r="AH262" s="4422"/>
      <c r="AI262" s="3708"/>
      <c r="AJ262" s="4422"/>
      <c r="AK262" s="3708">
        <f>J262</f>
        <v>12</v>
      </c>
      <c r="AL262" s="3708"/>
      <c r="AM262" s="4154"/>
      <c r="AN262" s="907"/>
      <c r="AO262" s="1048">
        <f>J262</f>
        <v>12</v>
      </c>
      <c r="AP262" s="1048"/>
      <c r="AQ262" s="907"/>
      <c r="AR262" s="907"/>
      <c r="AS262" s="1048"/>
      <c r="AT262" s="1048">
        <f>J262</f>
        <v>12</v>
      </c>
      <c r="AU262" s="907"/>
      <c r="AV262" s="4922"/>
      <c r="AW262" s="4922"/>
      <c r="AX262" s="1048"/>
      <c r="AY262" s="4922"/>
      <c r="AZ262" s="4922"/>
      <c r="BA262" s="1048"/>
      <c r="BB262" s="4622"/>
      <c r="BC262" s="4922"/>
      <c r="BD262" s="4622"/>
      <c r="BE262" s="4622"/>
      <c r="BF262" s="4622"/>
      <c r="BG262" s="4622"/>
      <c r="BH262" s="1048"/>
      <c r="BI262" s="4622"/>
      <c r="BJ262" s="1048"/>
      <c r="BK262" s="4415" t="s">
        <v>89</v>
      </c>
      <c r="BL262" s="4415"/>
      <c r="BM262" s="4415"/>
      <c r="BN262" s="4415"/>
      <c r="BO262" s="4415">
        <f>J262</f>
        <v>12</v>
      </c>
      <c r="BP262" s="4415"/>
      <c r="BQ262" s="4414"/>
      <c r="BR262" s="1048"/>
      <c r="BS262" s="911"/>
      <c r="BT262" s="911"/>
      <c r="BU262" s="911"/>
      <c r="BV262" s="911"/>
      <c r="BW262" s="911"/>
      <c r="BX262" s="910"/>
      <c r="BY262" s="910"/>
      <c r="BZ262" s="3708">
        <f t="shared" si="96"/>
        <v>12</v>
      </c>
      <c r="CA262" s="4154">
        <f t="shared" si="97"/>
        <v>0</v>
      </c>
      <c r="CB262" s="4923"/>
      <c r="CC262" s="4923"/>
      <c r="CD262" s="4323"/>
      <c r="CE262" s="4323"/>
      <c r="CF262" s="4323"/>
    </row>
    <row r="263" s="4316" customFormat="1" ht="50" customHeight="1" spans="1:84">
      <c r="A263" s="4500">
        <v>45819</v>
      </c>
      <c r="B263" s="4501" t="s">
        <v>1016</v>
      </c>
      <c r="C263" s="3708" t="s">
        <v>396</v>
      </c>
      <c r="D263" s="4502">
        <v>4500169697</v>
      </c>
      <c r="E263" s="3708" t="s">
        <v>1510</v>
      </c>
      <c r="F263" s="4502" t="s">
        <v>1511</v>
      </c>
      <c r="G263" s="3708"/>
      <c r="H263" s="3708" t="s">
        <v>1020</v>
      </c>
      <c r="I263" s="3699" t="s">
        <v>328</v>
      </c>
      <c r="J263" s="4154">
        <v>84</v>
      </c>
      <c r="K263" s="4154">
        <v>0</v>
      </c>
      <c r="L263" s="4154">
        <v>12</v>
      </c>
      <c r="M263" s="4154">
        <f t="shared" ref="M263:M303" si="113">J263/L263</f>
        <v>7</v>
      </c>
      <c r="N263" s="4503">
        <v>45855</v>
      </c>
      <c r="O263" s="4503">
        <v>45852</v>
      </c>
      <c r="P263" s="3712"/>
      <c r="Q263" s="4154" t="s">
        <v>82</v>
      </c>
      <c r="R263" s="4157"/>
      <c r="S263" s="4157"/>
      <c r="T263" s="4157"/>
      <c r="U263" s="3726" t="s">
        <v>1504</v>
      </c>
      <c r="V263" s="3711" t="s">
        <v>1479</v>
      </c>
      <c r="W263" s="3711"/>
      <c r="X263" s="3711" t="s">
        <v>366</v>
      </c>
      <c r="Y263" s="3711"/>
      <c r="Z263" s="3711" t="s">
        <v>1506</v>
      </c>
      <c r="AA263" s="4942"/>
      <c r="AB263" s="3680" t="s">
        <v>1512</v>
      </c>
      <c r="AC263" s="4154" t="s">
        <v>369</v>
      </c>
      <c r="AD263" s="4504">
        <v>2.0947</v>
      </c>
      <c r="AE263" s="4154">
        <f t="shared" ref="AE263:AE277" si="114">J263*AD263</f>
        <v>175.9548</v>
      </c>
      <c r="AF263" s="3726"/>
      <c r="AG263" s="3726"/>
      <c r="AH263" s="4422"/>
      <c r="AI263" s="3708"/>
      <c r="AJ263" s="4422"/>
      <c r="AK263" s="3708">
        <f>J263</f>
        <v>84</v>
      </c>
      <c r="AL263" s="3708"/>
      <c r="AM263" s="4154"/>
      <c r="AN263" s="907"/>
      <c r="AO263" s="1048">
        <f>J263</f>
        <v>84</v>
      </c>
      <c r="AP263" s="1048"/>
      <c r="AQ263" s="907"/>
      <c r="AR263" s="907"/>
      <c r="AS263" s="1048"/>
      <c r="AT263" s="1048">
        <f>J263</f>
        <v>84</v>
      </c>
      <c r="AU263" s="907"/>
      <c r="AV263" s="4922"/>
      <c r="AW263" s="4922"/>
      <c r="AX263" s="1048"/>
      <c r="AY263" s="4922"/>
      <c r="AZ263" s="4922"/>
      <c r="BA263" s="1048"/>
      <c r="BB263" s="4622"/>
      <c r="BC263" s="4922"/>
      <c r="BD263" s="4622"/>
      <c r="BE263" s="4622"/>
      <c r="BF263" s="4622"/>
      <c r="BG263" s="4622"/>
      <c r="BH263" s="1048"/>
      <c r="BI263" s="4622"/>
      <c r="BJ263" s="1048"/>
      <c r="BK263" s="4415" t="s">
        <v>89</v>
      </c>
      <c r="BL263" s="4415">
        <f>J263/59*1</f>
        <v>1.42372881355932</v>
      </c>
      <c r="BM263" s="4415"/>
      <c r="BN263" s="4415">
        <f t="shared" ref="BN263:BN271" si="115">J263-BL263</f>
        <v>82.5762711864407</v>
      </c>
      <c r="BO263" s="4415"/>
      <c r="BP263" s="4415"/>
      <c r="BQ263" s="4414"/>
      <c r="BR263" s="1048"/>
      <c r="BS263" s="911"/>
      <c r="BT263" s="911"/>
      <c r="BU263" s="911"/>
      <c r="BV263" s="911"/>
      <c r="BW263" s="911"/>
      <c r="BX263" s="910"/>
      <c r="BY263" s="910"/>
      <c r="BZ263" s="3708">
        <f t="shared" si="96"/>
        <v>84</v>
      </c>
      <c r="CA263" s="4154">
        <f t="shared" si="97"/>
        <v>0</v>
      </c>
      <c r="CB263" s="4923"/>
      <c r="CC263" s="4923"/>
      <c r="CD263" s="4323"/>
      <c r="CE263" s="4323"/>
      <c r="CF263" s="4323"/>
    </row>
    <row r="264" s="4316" customFormat="1" ht="50" customHeight="1" spans="1:84">
      <c r="A264" s="4500">
        <v>45819</v>
      </c>
      <c r="B264" s="4501" t="s">
        <v>1016</v>
      </c>
      <c r="C264" s="3708" t="s">
        <v>396</v>
      </c>
      <c r="D264" s="4502">
        <v>4500169697</v>
      </c>
      <c r="E264" s="3708" t="s">
        <v>1513</v>
      </c>
      <c r="F264" s="4502" t="s">
        <v>1514</v>
      </c>
      <c r="G264" s="3708"/>
      <c r="H264" s="3708" t="s">
        <v>1020</v>
      </c>
      <c r="I264" s="3699" t="s">
        <v>328</v>
      </c>
      <c r="J264" s="4154">
        <v>36</v>
      </c>
      <c r="K264" s="4154">
        <v>0</v>
      </c>
      <c r="L264" s="4154">
        <v>12</v>
      </c>
      <c r="M264" s="4154">
        <f t="shared" si="113"/>
        <v>3</v>
      </c>
      <c r="N264" s="4503">
        <v>45855</v>
      </c>
      <c r="O264" s="4503">
        <v>45852</v>
      </c>
      <c r="P264" s="3712"/>
      <c r="Q264" s="4154" t="s">
        <v>82</v>
      </c>
      <c r="R264" s="4157"/>
      <c r="S264" s="4157"/>
      <c r="T264" s="4157"/>
      <c r="U264" s="3726" t="s">
        <v>1504</v>
      </c>
      <c r="V264" s="3711" t="s">
        <v>1479</v>
      </c>
      <c r="W264" s="3711"/>
      <c r="X264" s="3711" t="s">
        <v>366</v>
      </c>
      <c r="Y264" s="3711"/>
      <c r="Z264" s="3711" t="s">
        <v>1506</v>
      </c>
      <c r="AA264" s="4942"/>
      <c r="AB264" s="3680" t="s">
        <v>1512</v>
      </c>
      <c r="AC264" s="4154" t="s">
        <v>369</v>
      </c>
      <c r="AD264" s="4504">
        <v>2.0947</v>
      </c>
      <c r="AE264" s="4154">
        <f t="shared" si="114"/>
        <v>75.4092</v>
      </c>
      <c r="AF264" s="3726"/>
      <c r="AG264" s="3726"/>
      <c r="AH264" s="4422"/>
      <c r="AI264" s="3708"/>
      <c r="AJ264" s="4422"/>
      <c r="AK264" s="3708">
        <f t="shared" ref="AK264:AK271" si="116">J264</f>
        <v>36</v>
      </c>
      <c r="AL264" s="3708"/>
      <c r="AM264" s="4154"/>
      <c r="AN264" s="907"/>
      <c r="AO264" s="1048">
        <f t="shared" ref="AO264:AO277" si="117">J264</f>
        <v>36</v>
      </c>
      <c r="AP264" s="1048"/>
      <c r="AQ264" s="907"/>
      <c r="AR264" s="907"/>
      <c r="AS264" s="1048"/>
      <c r="AT264" s="1048">
        <f t="shared" ref="AT264:AT271" si="118">J264</f>
        <v>36</v>
      </c>
      <c r="AU264" s="907"/>
      <c r="AV264" s="4922"/>
      <c r="AW264" s="4922"/>
      <c r="AX264" s="1048"/>
      <c r="AY264" s="4922"/>
      <c r="AZ264" s="4922"/>
      <c r="BA264" s="1048"/>
      <c r="BB264" s="4622"/>
      <c r="BC264" s="4922"/>
      <c r="BD264" s="4622"/>
      <c r="BE264" s="4622"/>
      <c r="BF264" s="4622"/>
      <c r="BG264" s="4622"/>
      <c r="BH264" s="1048"/>
      <c r="BI264" s="4622"/>
      <c r="BJ264" s="1048"/>
      <c r="BK264" s="4415" t="s">
        <v>89</v>
      </c>
      <c r="BL264" s="4415">
        <f t="shared" ref="BL264:BL271" si="119">J264/59*1</f>
        <v>0.610169491525424</v>
      </c>
      <c r="BM264" s="4415"/>
      <c r="BN264" s="4415">
        <f t="shared" si="115"/>
        <v>35.3898305084746</v>
      </c>
      <c r="BO264" s="4415"/>
      <c r="BP264" s="4415"/>
      <c r="BQ264" s="4414"/>
      <c r="BR264" s="1048"/>
      <c r="BS264" s="911"/>
      <c r="BT264" s="911"/>
      <c r="BU264" s="911"/>
      <c r="BV264" s="911"/>
      <c r="BW264" s="911"/>
      <c r="BX264" s="910"/>
      <c r="BY264" s="910"/>
      <c r="BZ264" s="3708">
        <f t="shared" si="96"/>
        <v>36</v>
      </c>
      <c r="CA264" s="4154">
        <f t="shared" si="97"/>
        <v>0</v>
      </c>
      <c r="CB264" s="4923"/>
      <c r="CC264" s="4923"/>
      <c r="CD264" s="4323"/>
      <c r="CE264" s="4323"/>
      <c r="CF264" s="4323"/>
    </row>
    <row r="265" s="4316" customFormat="1" ht="50" customHeight="1" spans="1:84">
      <c r="A265" s="4500">
        <v>45819</v>
      </c>
      <c r="B265" s="4501" t="s">
        <v>1016</v>
      </c>
      <c r="C265" s="3708" t="s">
        <v>396</v>
      </c>
      <c r="D265" s="4502">
        <v>4500169697</v>
      </c>
      <c r="E265" s="3708" t="s">
        <v>1515</v>
      </c>
      <c r="F265" s="4502" t="s">
        <v>1516</v>
      </c>
      <c r="G265" s="3708"/>
      <c r="H265" s="3708" t="s">
        <v>1020</v>
      </c>
      <c r="I265" s="3699" t="s">
        <v>328</v>
      </c>
      <c r="J265" s="4154">
        <v>48</v>
      </c>
      <c r="K265" s="4154">
        <v>0</v>
      </c>
      <c r="L265" s="4154">
        <v>12</v>
      </c>
      <c r="M265" s="4154">
        <f t="shared" si="113"/>
        <v>4</v>
      </c>
      <c r="N265" s="4503">
        <v>45855</v>
      </c>
      <c r="O265" s="4503">
        <v>45852</v>
      </c>
      <c r="P265" s="3712"/>
      <c r="Q265" s="4154" t="s">
        <v>82</v>
      </c>
      <c r="R265" s="4157"/>
      <c r="S265" s="4157"/>
      <c r="T265" s="4157"/>
      <c r="U265" s="3726" t="s">
        <v>1504</v>
      </c>
      <c r="V265" s="3711" t="s">
        <v>1479</v>
      </c>
      <c r="W265" s="3711"/>
      <c r="X265" s="3711" t="s">
        <v>366</v>
      </c>
      <c r="Y265" s="3711"/>
      <c r="Z265" s="3711" t="s">
        <v>1506</v>
      </c>
      <c r="AA265" s="4942"/>
      <c r="AB265" s="3680" t="s">
        <v>1512</v>
      </c>
      <c r="AC265" s="4154" t="s">
        <v>369</v>
      </c>
      <c r="AD265" s="4504">
        <v>2.0947</v>
      </c>
      <c r="AE265" s="4154">
        <f t="shared" si="114"/>
        <v>100.5456</v>
      </c>
      <c r="AF265" s="3726"/>
      <c r="AG265" s="3726"/>
      <c r="AH265" s="4422"/>
      <c r="AI265" s="3708"/>
      <c r="AJ265" s="4422"/>
      <c r="AK265" s="3708">
        <f t="shared" si="116"/>
        <v>48</v>
      </c>
      <c r="AL265" s="3708"/>
      <c r="AM265" s="4154"/>
      <c r="AN265" s="907"/>
      <c r="AO265" s="1048">
        <f t="shared" si="117"/>
        <v>48</v>
      </c>
      <c r="AP265" s="1048"/>
      <c r="AQ265" s="907"/>
      <c r="AR265" s="907"/>
      <c r="AS265" s="1048"/>
      <c r="AT265" s="1048">
        <f t="shared" si="118"/>
        <v>48</v>
      </c>
      <c r="AU265" s="907"/>
      <c r="AV265" s="4922"/>
      <c r="AW265" s="4922"/>
      <c r="AX265" s="1048"/>
      <c r="AY265" s="4922"/>
      <c r="AZ265" s="4922"/>
      <c r="BA265" s="1048"/>
      <c r="BB265" s="4622"/>
      <c r="BC265" s="4922"/>
      <c r="BD265" s="4622"/>
      <c r="BE265" s="4622"/>
      <c r="BF265" s="4622"/>
      <c r="BG265" s="4622"/>
      <c r="BH265" s="1048"/>
      <c r="BI265" s="4622"/>
      <c r="BJ265" s="1048"/>
      <c r="BK265" s="4415" t="s">
        <v>89</v>
      </c>
      <c r="BL265" s="4415">
        <f t="shared" si="119"/>
        <v>0.813559322033898</v>
      </c>
      <c r="BM265" s="4415"/>
      <c r="BN265" s="4415">
        <f t="shared" si="115"/>
        <v>47.1864406779661</v>
      </c>
      <c r="BO265" s="4415"/>
      <c r="BP265" s="4415"/>
      <c r="BQ265" s="4414"/>
      <c r="BR265" s="1048"/>
      <c r="BS265" s="911"/>
      <c r="BT265" s="911"/>
      <c r="BU265" s="911"/>
      <c r="BV265" s="911"/>
      <c r="BW265" s="911"/>
      <c r="BX265" s="910"/>
      <c r="BY265" s="910"/>
      <c r="BZ265" s="3708">
        <f t="shared" si="96"/>
        <v>48</v>
      </c>
      <c r="CA265" s="4154">
        <f t="shared" si="97"/>
        <v>0</v>
      </c>
      <c r="CB265" s="4923"/>
      <c r="CC265" s="4923"/>
      <c r="CD265" s="4323"/>
      <c r="CE265" s="4323"/>
      <c r="CF265" s="4323"/>
    </row>
    <row r="266" s="4316" customFormat="1" ht="50" customHeight="1" spans="1:84">
      <c r="A266" s="4500">
        <v>45819</v>
      </c>
      <c r="B266" s="4501" t="s">
        <v>1016</v>
      </c>
      <c r="C266" s="3708" t="s">
        <v>396</v>
      </c>
      <c r="D266" s="4502">
        <v>4500169697</v>
      </c>
      <c r="E266" s="3708" t="s">
        <v>1517</v>
      </c>
      <c r="F266" s="4502" t="s">
        <v>1518</v>
      </c>
      <c r="G266" s="3708"/>
      <c r="H266" s="3708" t="s">
        <v>1020</v>
      </c>
      <c r="I266" s="3699" t="s">
        <v>328</v>
      </c>
      <c r="J266" s="4154">
        <v>12</v>
      </c>
      <c r="K266" s="4154">
        <v>0</v>
      </c>
      <c r="L266" s="4154">
        <v>12</v>
      </c>
      <c r="M266" s="4154">
        <f t="shared" si="113"/>
        <v>1</v>
      </c>
      <c r="N266" s="4503">
        <v>45855</v>
      </c>
      <c r="O266" s="4503">
        <v>45852</v>
      </c>
      <c r="P266" s="3712"/>
      <c r="Q266" s="4154" t="s">
        <v>82</v>
      </c>
      <c r="R266" s="4157"/>
      <c r="S266" s="4157"/>
      <c r="T266" s="4157"/>
      <c r="U266" s="3726" t="s">
        <v>1504</v>
      </c>
      <c r="V266" s="3711" t="s">
        <v>1479</v>
      </c>
      <c r="W266" s="3711"/>
      <c r="X266" s="3711" t="s">
        <v>366</v>
      </c>
      <c r="Y266" s="3711"/>
      <c r="Z266" s="3711" t="s">
        <v>1506</v>
      </c>
      <c r="AA266" s="4942"/>
      <c r="AB266" s="3680" t="s">
        <v>1512</v>
      </c>
      <c r="AC266" s="4154" t="s">
        <v>369</v>
      </c>
      <c r="AD266" s="4504">
        <v>2.0947</v>
      </c>
      <c r="AE266" s="4154">
        <f t="shared" si="114"/>
        <v>25.1364</v>
      </c>
      <c r="AF266" s="3726"/>
      <c r="AG266" s="3726"/>
      <c r="AH266" s="4422"/>
      <c r="AI266" s="3708"/>
      <c r="AJ266" s="4422"/>
      <c r="AK266" s="3708">
        <f t="shared" si="116"/>
        <v>12</v>
      </c>
      <c r="AL266" s="3708"/>
      <c r="AM266" s="4154"/>
      <c r="AN266" s="907"/>
      <c r="AO266" s="1048">
        <f t="shared" si="117"/>
        <v>12</v>
      </c>
      <c r="AP266" s="1048"/>
      <c r="AQ266" s="907"/>
      <c r="AR266" s="907"/>
      <c r="AS266" s="1048"/>
      <c r="AT266" s="1048">
        <f t="shared" si="118"/>
        <v>12</v>
      </c>
      <c r="AU266" s="907"/>
      <c r="AV266" s="4922"/>
      <c r="AW266" s="4922"/>
      <c r="AX266" s="1048"/>
      <c r="AY266" s="4922"/>
      <c r="AZ266" s="4922"/>
      <c r="BA266" s="1048"/>
      <c r="BB266" s="4622"/>
      <c r="BC266" s="4922"/>
      <c r="BD266" s="4622"/>
      <c r="BE266" s="4622"/>
      <c r="BF266" s="4622"/>
      <c r="BG266" s="4622"/>
      <c r="BH266" s="1048"/>
      <c r="BI266" s="4622"/>
      <c r="BJ266" s="1048"/>
      <c r="BK266" s="4415" t="s">
        <v>89</v>
      </c>
      <c r="BL266" s="4415">
        <f t="shared" si="119"/>
        <v>0.203389830508475</v>
      </c>
      <c r="BM266" s="4415"/>
      <c r="BN266" s="4415">
        <f t="shared" si="115"/>
        <v>11.7966101694915</v>
      </c>
      <c r="BO266" s="4415"/>
      <c r="BP266" s="4415"/>
      <c r="BQ266" s="4414"/>
      <c r="BR266" s="1048"/>
      <c r="BS266" s="911"/>
      <c r="BT266" s="911"/>
      <c r="BU266" s="911"/>
      <c r="BV266" s="911"/>
      <c r="BW266" s="911"/>
      <c r="BX266" s="910"/>
      <c r="BY266" s="910"/>
      <c r="BZ266" s="3708">
        <f t="shared" si="96"/>
        <v>12</v>
      </c>
      <c r="CA266" s="4154">
        <f t="shared" ref="CA266:CA319" si="120">J266-BZ266</f>
        <v>0</v>
      </c>
      <c r="CB266" s="4923"/>
      <c r="CC266" s="4923"/>
      <c r="CD266" s="4323"/>
      <c r="CE266" s="4323"/>
      <c r="CF266" s="4323"/>
    </row>
    <row r="267" s="4316" customFormat="1" ht="50" customHeight="1" spans="1:84">
      <c r="A267" s="4500">
        <v>45819</v>
      </c>
      <c r="B267" s="4501" t="s">
        <v>1016</v>
      </c>
      <c r="C267" s="3708" t="s">
        <v>396</v>
      </c>
      <c r="D267" s="4502">
        <v>4500169697</v>
      </c>
      <c r="E267" s="3708" t="s">
        <v>1519</v>
      </c>
      <c r="F267" s="4502" t="s">
        <v>1520</v>
      </c>
      <c r="G267" s="3708"/>
      <c r="H267" s="3708" t="s">
        <v>1020</v>
      </c>
      <c r="I267" s="3699" t="s">
        <v>328</v>
      </c>
      <c r="J267" s="4154">
        <v>24</v>
      </c>
      <c r="K267" s="4154">
        <v>0</v>
      </c>
      <c r="L267" s="4154">
        <v>12</v>
      </c>
      <c r="M267" s="4154">
        <f t="shared" si="113"/>
        <v>2</v>
      </c>
      <c r="N267" s="4503">
        <v>45855</v>
      </c>
      <c r="O267" s="4503">
        <v>45852</v>
      </c>
      <c r="P267" s="3712"/>
      <c r="Q267" s="4154" t="s">
        <v>82</v>
      </c>
      <c r="R267" s="4157"/>
      <c r="S267" s="4157"/>
      <c r="T267" s="4157"/>
      <c r="U267" s="3726" t="s">
        <v>1504</v>
      </c>
      <c r="V267" s="3711" t="s">
        <v>1479</v>
      </c>
      <c r="W267" s="3711"/>
      <c r="X267" s="3711" t="s">
        <v>366</v>
      </c>
      <c r="Y267" s="3711"/>
      <c r="Z267" s="3711" t="s">
        <v>1506</v>
      </c>
      <c r="AA267" s="4942"/>
      <c r="AB267" s="3680" t="s">
        <v>1512</v>
      </c>
      <c r="AC267" s="4154" t="s">
        <v>369</v>
      </c>
      <c r="AD267" s="4504">
        <v>2.0947</v>
      </c>
      <c r="AE267" s="4154">
        <f t="shared" si="114"/>
        <v>50.2728</v>
      </c>
      <c r="AF267" s="3726"/>
      <c r="AG267" s="3726"/>
      <c r="AH267" s="4422"/>
      <c r="AI267" s="3708"/>
      <c r="AJ267" s="4422"/>
      <c r="AK267" s="3708">
        <f t="shared" si="116"/>
        <v>24</v>
      </c>
      <c r="AL267" s="3708"/>
      <c r="AM267" s="4154"/>
      <c r="AN267" s="907"/>
      <c r="AO267" s="1048">
        <f t="shared" si="117"/>
        <v>24</v>
      </c>
      <c r="AP267" s="1048"/>
      <c r="AQ267" s="907"/>
      <c r="AR267" s="907"/>
      <c r="AS267" s="1048"/>
      <c r="AT267" s="1048">
        <f t="shared" si="118"/>
        <v>24</v>
      </c>
      <c r="AU267" s="907"/>
      <c r="AV267" s="4922"/>
      <c r="AW267" s="4922"/>
      <c r="AX267" s="1048"/>
      <c r="AY267" s="4922"/>
      <c r="AZ267" s="4922"/>
      <c r="BA267" s="1048"/>
      <c r="BB267" s="4622"/>
      <c r="BC267" s="4922"/>
      <c r="BD267" s="4622"/>
      <c r="BE267" s="4622"/>
      <c r="BF267" s="4622"/>
      <c r="BG267" s="4622"/>
      <c r="BH267" s="1048"/>
      <c r="BI267" s="4622"/>
      <c r="BJ267" s="1048"/>
      <c r="BK267" s="4415" t="s">
        <v>89</v>
      </c>
      <c r="BL267" s="4415">
        <f t="shared" si="119"/>
        <v>0.406779661016949</v>
      </c>
      <c r="BM267" s="4415"/>
      <c r="BN267" s="4415">
        <f t="shared" si="115"/>
        <v>23.5932203389831</v>
      </c>
      <c r="BO267" s="4415"/>
      <c r="BP267" s="4415"/>
      <c r="BQ267" s="4414"/>
      <c r="BR267" s="1048"/>
      <c r="BS267" s="911"/>
      <c r="BT267" s="911"/>
      <c r="BU267" s="911"/>
      <c r="BV267" s="911"/>
      <c r="BW267" s="911"/>
      <c r="BX267" s="910"/>
      <c r="BY267" s="910"/>
      <c r="BZ267" s="3708">
        <f t="shared" si="96"/>
        <v>24</v>
      </c>
      <c r="CA267" s="4154">
        <f t="shared" si="120"/>
        <v>0</v>
      </c>
      <c r="CB267" s="4923"/>
      <c r="CC267" s="4923"/>
      <c r="CD267" s="4323"/>
      <c r="CE267" s="4323"/>
      <c r="CF267" s="4323"/>
    </row>
    <row r="268" s="4316" customFormat="1" ht="50" customHeight="1" spans="1:84">
      <c r="A268" s="4500">
        <v>45819</v>
      </c>
      <c r="B268" s="4501" t="s">
        <v>1016</v>
      </c>
      <c r="C268" s="3708" t="s">
        <v>396</v>
      </c>
      <c r="D268" s="4502">
        <v>4500169697</v>
      </c>
      <c r="E268" s="3708" t="s">
        <v>1521</v>
      </c>
      <c r="F268" s="4502" t="s">
        <v>1522</v>
      </c>
      <c r="G268" s="3708"/>
      <c r="H268" s="3708" t="s">
        <v>1020</v>
      </c>
      <c r="I268" s="3699" t="s">
        <v>328</v>
      </c>
      <c r="J268" s="4154">
        <v>72</v>
      </c>
      <c r="K268" s="4154">
        <v>0</v>
      </c>
      <c r="L268" s="4154">
        <v>12</v>
      </c>
      <c r="M268" s="4154">
        <f t="shared" si="113"/>
        <v>6</v>
      </c>
      <c r="N268" s="4503">
        <v>45855</v>
      </c>
      <c r="O268" s="4503">
        <v>45852</v>
      </c>
      <c r="P268" s="3712"/>
      <c r="Q268" s="4154" t="s">
        <v>82</v>
      </c>
      <c r="R268" s="4157"/>
      <c r="S268" s="4157"/>
      <c r="T268" s="4157"/>
      <c r="U268" s="3726" t="s">
        <v>1504</v>
      </c>
      <c r="V268" s="3711" t="s">
        <v>1479</v>
      </c>
      <c r="W268" s="3711"/>
      <c r="X268" s="3711" t="s">
        <v>366</v>
      </c>
      <c r="Y268" s="3711"/>
      <c r="Z268" s="3711" t="s">
        <v>1506</v>
      </c>
      <c r="AA268" s="4942"/>
      <c r="AB268" s="3680" t="s">
        <v>1512</v>
      </c>
      <c r="AC268" s="4154" t="s">
        <v>369</v>
      </c>
      <c r="AD268" s="4504">
        <v>2.0947</v>
      </c>
      <c r="AE268" s="4154">
        <f t="shared" si="114"/>
        <v>150.8184</v>
      </c>
      <c r="AF268" s="3726"/>
      <c r="AG268" s="3726"/>
      <c r="AH268" s="4422"/>
      <c r="AI268" s="3708"/>
      <c r="AJ268" s="4422"/>
      <c r="AK268" s="3708">
        <f t="shared" si="116"/>
        <v>72</v>
      </c>
      <c r="AL268" s="3708"/>
      <c r="AM268" s="4154"/>
      <c r="AN268" s="907"/>
      <c r="AO268" s="1048">
        <f t="shared" si="117"/>
        <v>72</v>
      </c>
      <c r="AP268" s="1048"/>
      <c r="AQ268" s="907"/>
      <c r="AR268" s="907"/>
      <c r="AS268" s="1048"/>
      <c r="AT268" s="1048">
        <f t="shared" si="118"/>
        <v>72</v>
      </c>
      <c r="AU268" s="907"/>
      <c r="AV268" s="4922"/>
      <c r="AW268" s="4922"/>
      <c r="AX268" s="1048"/>
      <c r="AY268" s="4922"/>
      <c r="AZ268" s="4922"/>
      <c r="BA268" s="1048"/>
      <c r="BB268" s="4622"/>
      <c r="BC268" s="4922"/>
      <c r="BD268" s="4622"/>
      <c r="BE268" s="4622"/>
      <c r="BF268" s="4622"/>
      <c r="BG268" s="4622"/>
      <c r="BH268" s="1048"/>
      <c r="BI268" s="4622"/>
      <c r="BJ268" s="1048"/>
      <c r="BK268" s="4415" t="s">
        <v>89</v>
      </c>
      <c r="BL268" s="4415">
        <f t="shared" si="119"/>
        <v>1.22033898305085</v>
      </c>
      <c r="BM268" s="4415"/>
      <c r="BN268" s="4415">
        <f t="shared" si="115"/>
        <v>70.7796610169491</v>
      </c>
      <c r="BO268" s="4415"/>
      <c r="BP268" s="4415"/>
      <c r="BQ268" s="4414"/>
      <c r="BR268" s="1048"/>
      <c r="BS268" s="911"/>
      <c r="BT268" s="911"/>
      <c r="BU268" s="911"/>
      <c r="BV268" s="911"/>
      <c r="BW268" s="911"/>
      <c r="BX268" s="910"/>
      <c r="BY268" s="910"/>
      <c r="BZ268" s="3708">
        <f t="shared" si="96"/>
        <v>72</v>
      </c>
      <c r="CA268" s="4154">
        <f t="shared" si="120"/>
        <v>0</v>
      </c>
      <c r="CB268" s="4923"/>
      <c r="CC268" s="4923"/>
      <c r="CD268" s="4323"/>
      <c r="CE268" s="4323"/>
      <c r="CF268" s="4323"/>
    </row>
    <row r="269" s="4316" customFormat="1" ht="50" customHeight="1" spans="1:84">
      <c r="A269" s="4500">
        <v>45819</v>
      </c>
      <c r="B269" s="4501" t="s">
        <v>1016</v>
      </c>
      <c r="C269" s="3708" t="s">
        <v>396</v>
      </c>
      <c r="D269" s="4502">
        <v>4500169697</v>
      </c>
      <c r="E269" s="3708" t="s">
        <v>1523</v>
      </c>
      <c r="F269" s="4502" t="s">
        <v>1524</v>
      </c>
      <c r="G269" s="3708"/>
      <c r="H269" s="3708" t="s">
        <v>1020</v>
      </c>
      <c r="I269" s="3699" t="s">
        <v>328</v>
      </c>
      <c r="J269" s="4154">
        <v>36</v>
      </c>
      <c r="K269" s="4154">
        <v>0</v>
      </c>
      <c r="L269" s="4154">
        <v>12</v>
      </c>
      <c r="M269" s="4154">
        <f t="shared" si="113"/>
        <v>3</v>
      </c>
      <c r="N269" s="4503">
        <v>45855</v>
      </c>
      <c r="O269" s="4503">
        <v>45852</v>
      </c>
      <c r="P269" s="3712"/>
      <c r="Q269" s="4154" t="s">
        <v>82</v>
      </c>
      <c r="R269" s="4157"/>
      <c r="S269" s="4157"/>
      <c r="T269" s="4157"/>
      <c r="U269" s="3726" t="s">
        <v>1504</v>
      </c>
      <c r="V269" s="3711" t="s">
        <v>1479</v>
      </c>
      <c r="W269" s="3711"/>
      <c r="X269" s="3711" t="s">
        <v>366</v>
      </c>
      <c r="Y269" s="3711"/>
      <c r="Z269" s="3711" t="s">
        <v>1506</v>
      </c>
      <c r="AA269" s="4942"/>
      <c r="AB269" s="3680" t="s">
        <v>1512</v>
      </c>
      <c r="AC269" s="4154" t="s">
        <v>369</v>
      </c>
      <c r="AD269" s="4504">
        <v>2.0947</v>
      </c>
      <c r="AE269" s="4154">
        <f t="shared" si="114"/>
        <v>75.4092</v>
      </c>
      <c r="AF269" s="3726"/>
      <c r="AG269" s="3726"/>
      <c r="AH269" s="4422"/>
      <c r="AI269" s="3708"/>
      <c r="AJ269" s="4422"/>
      <c r="AK269" s="3708">
        <f t="shared" si="116"/>
        <v>36</v>
      </c>
      <c r="AL269" s="3708"/>
      <c r="AM269" s="4154"/>
      <c r="AN269" s="907"/>
      <c r="AO269" s="1048">
        <f t="shared" si="117"/>
        <v>36</v>
      </c>
      <c r="AP269" s="1048"/>
      <c r="AQ269" s="907"/>
      <c r="AR269" s="907"/>
      <c r="AS269" s="1048"/>
      <c r="AT269" s="1048">
        <f t="shared" si="118"/>
        <v>36</v>
      </c>
      <c r="AU269" s="907"/>
      <c r="AV269" s="4922"/>
      <c r="AW269" s="4922"/>
      <c r="AX269" s="1048"/>
      <c r="AY269" s="4922"/>
      <c r="AZ269" s="4922"/>
      <c r="BA269" s="1048"/>
      <c r="BB269" s="4622"/>
      <c r="BC269" s="4922"/>
      <c r="BD269" s="4622"/>
      <c r="BE269" s="4622"/>
      <c r="BF269" s="4622"/>
      <c r="BG269" s="4622"/>
      <c r="BH269" s="1048"/>
      <c r="BI269" s="4622"/>
      <c r="BJ269" s="1048"/>
      <c r="BK269" s="4415" t="s">
        <v>89</v>
      </c>
      <c r="BL269" s="4415">
        <f t="shared" si="119"/>
        <v>0.610169491525424</v>
      </c>
      <c r="BM269" s="4415"/>
      <c r="BN269" s="4415">
        <f t="shared" si="115"/>
        <v>35.3898305084746</v>
      </c>
      <c r="BO269" s="4415"/>
      <c r="BP269" s="4415"/>
      <c r="BQ269" s="4414"/>
      <c r="BR269" s="1048"/>
      <c r="BS269" s="911"/>
      <c r="BT269" s="911"/>
      <c r="BU269" s="911"/>
      <c r="BV269" s="911"/>
      <c r="BW269" s="911"/>
      <c r="BX269" s="910"/>
      <c r="BY269" s="910"/>
      <c r="BZ269" s="3708">
        <f t="shared" si="96"/>
        <v>36</v>
      </c>
      <c r="CA269" s="4154">
        <f t="shared" si="120"/>
        <v>0</v>
      </c>
      <c r="CB269" s="4923"/>
      <c r="CC269" s="4923"/>
      <c r="CD269" s="4323"/>
      <c r="CE269" s="4323"/>
      <c r="CF269" s="4323"/>
    </row>
    <row r="270" s="4316" customFormat="1" ht="50" customHeight="1" spans="1:84">
      <c r="A270" s="4500">
        <v>45819</v>
      </c>
      <c r="B270" s="4501" t="s">
        <v>1016</v>
      </c>
      <c r="C270" s="3708" t="s">
        <v>396</v>
      </c>
      <c r="D270" s="4502">
        <v>4500169697</v>
      </c>
      <c r="E270" s="3708" t="s">
        <v>1525</v>
      </c>
      <c r="F270" s="4502" t="s">
        <v>1526</v>
      </c>
      <c r="G270" s="3708"/>
      <c r="H270" s="3708" t="s">
        <v>1020</v>
      </c>
      <c r="I270" s="3699" t="s">
        <v>328</v>
      </c>
      <c r="J270" s="4154">
        <v>48</v>
      </c>
      <c r="K270" s="4154">
        <v>0</v>
      </c>
      <c r="L270" s="4154">
        <v>12</v>
      </c>
      <c r="M270" s="4154">
        <f t="shared" si="113"/>
        <v>4</v>
      </c>
      <c r="N270" s="4503">
        <v>45855</v>
      </c>
      <c r="O270" s="4503">
        <v>45852</v>
      </c>
      <c r="P270" s="3712"/>
      <c r="Q270" s="4154" t="s">
        <v>82</v>
      </c>
      <c r="R270" s="4157"/>
      <c r="S270" s="4157"/>
      <c r="T270" s="4157"/>
      <c r="U270" s="3726" t="s">
        <v>1504</v>
      </c>
      <c r="V270" s="3711" t="s">
        <v>1479</v>
      </c>
      <c r="W270" s="3711"/>
      <c r="X270" s="3711" t="s">
        <v>366</v>
      </c>
      <c r="Y270" s="3711"/>
      <c r="Z270" s="3711" t="s">
        <v>1506</v>
      </c>
      <c r="AA270" s="4942"/>
      <c r="AB270" s="3680" t="s">
        <v>1512</v>
      </c>
      <c r="AC270" s="4154" t="s">
        <v>369</v>
      </c>
      <c r="AD270" s="4504">
        <v>2.0947</v>
      </c>
      <c r="AE270" s="4154">
        <f t="shared" si="114"/>
        <v>100.5456</v>
      </c>
      <c r="AF270" s="3726"/>
      <c r="AG270" s="3726"/>
      <c r="AH270" s="4422"/>
      <c r="AI270" s="3708"/>
      <c r="AJ270" s="4422"/>
      <c r="AK270" s="3708">
        <f t="shared" si="116"/>
        <v>48</v>
      </c>
      <c r="AL270" s="3708"/>
      <c r="AM270" s="4154"/>
      <c r="AN270" s="907"/>
      <c r="AO270" s="1048">
        <f t="shared" si="117"/>
        <v>48</v>
      </c>
      <c r="AP270" s="1048"/>
      <c r="AQ270" s="907"/>
      <c r="AR270" s="907"/>
      <c r="AS270" s="1048"/>
      <c r="AT270" s="1048">
        <f t="shared" si="118"/>
        <v>48</v>
      </c>
      <c r="AU270" s="907"/>
      <c r="AV270" s="4922"/>
      <c r="AW270" s="4922"/>
      <c r="AX270" s="1048"/>
      <c r="AY270" s="4922"/>
      <c r="AZ270" s="4922"/>
      <c r="BA270" s="1048"/>
      <c r="BB270" s="4622"/>
      <c r="BC270" s="4922"/>
      <c r="BD270" s="4622"/>
      <c r="BE270" s="4622"/>
      <c r="BF270" s="4622"/>
      <c r="BG270" s="4622"/>
      <c r="BH270" s="1048"/>
      <c r="BI270" s="4622"/>
      <c r="BJ270" s="1048"/>
      <c r="BK270" s="4415" t="s">
        <v>89</v>
      </c>
      <c r="BL270" s="4415">
        <f t="shared" si="119"/>
        <v>0.813559322033898</v>
      </c>
      <c r="BM270" s="4415"/>
      <c r="BN270" s="4415">
        <f t="shared" si="115"/>
        <v>47.1864406779661</v>
      </c>
      <c r="BO270" s="4415"/>
      <c r="BP270" s="4415"/>
      <c r="BQ270" s="4414"/>
      <c r="BR270" s="1048"/>
      <c r="BS270" s="911"/>
      <c r="BT270" s="911"/>
      <c r="BU270" s="911"/>
      <c r="BV270" s="911"/>
      <c r="BW270" s="911"/>
      <c r="BX270" s="910"/>
      <c r="BY270" s="910"/>
      <c r="BZ270" s="3708">
        <f t="shared" ref="BZ270:BZ319" si="121">SUM(BL270:BY270)</f>
        <v>48</v>
      </c>
      <c r="CA270" s="4154">
        <f t="shared" si="120"/>
        <v>0</v>
      </c>
      <c r="CB270" s="4923"/>
      <c r="CC270" s="4923"/>
      <c r="CD270" s="4323"/>
      <c r="CE270" s="4323"/>
      <c r="CF270" s="4323"/>
    </row>
    <row r="271" s="4316" customFormat="1" ht="50" customHeight="1" spans="1:84">
      <c r="A271" s="4500">
        <v>45819</v>
      </c>
      <c r="B271" s="4501" t="s">
        <v>1016</v>
      </c>
      <c r="C271" s="3708" t="s">
        <v>396</v>
      </c>
      <c r="D271" s="4502">
        <v>4500169697</v>
      </c>
      <c r="E271" s="3708" t="s">
        <v>1527</v>
      </c>
      <c r="F271" s="4502" t="s">
        <v>1528</v>
      </c>
      <c r="G271" s="3708"/>
      <c r="H271" s="3708" t="s">
        <v>1020</v>
      </c>
      <c r="I271" s="3699" t="s">
        <v>328</v>
      </c>
      <c r="J271" s="4154">
        <v>24</v>
      </c>
      <c r="K271" s="4154">
        <v>0</v>
      </c>
      <c r="L271" s="4154">
        <v>12</v>
      </c>
      <c r="M271" s="4154">
        <f t="shared" si="113"/>
        <v>2</v>
      </c>
      <c r="N271" s="4503">
        <v>45855</v>
      </c>
      <c r="O271" s="4503">
        <v>45852</v>
      </c>
      <c r="P271" s="3712"/>
      <c r="Q271" s="4154" t="s">
        <v>82</v>
      </c>
      <c r="R271" s="4157"/>
      <c r="S271" s="4157"/>
      <c r="T271" s="4157"/>
      <c r="U271" s="3726" t="s">
        <v>1504</v>
      </c>
      <c r="V271" s="3711" t="s">
        <v>1479</v>
      </c>
      <c r="W271" s="3711"/>
      <c r="X271" s="3711" t="s">
        <v>366</v>
      </c>
      <c r="Y271" s="3711"/>
      <c r="Z271" s="3711" t="s">
        <v>1506</v>
      </c>
      <c r="AA271" s="4942"/>
      <c r="AB271" s="3680" t="s">
        <v>1512</v>
      </c>
      <c r="AC271" s="4154" t="s">
        <v>369</v>
      </c>
      <c r="AD271" s="4504">
        <v>2.0947</v>
      </c>
      <c r="AE271" s="4154">
        <f t="shared" si="114"/>
        <v>50.2728</v>
      </c>
      <c r="AF271" s="3726"/>
      <c r="AG271" s="3726"/>
      <c r="AH271" s="4422"/>
      <c r="AI271" s="3708"/>
      <c r="AJ271" s="4422"/>
      <c r="AK271" s="3708">
        <f t="shared" si="116"/>
        <v>24</v>
      </c>
      <c r="AL271" s="3708"/>
      <c r="AM271" s="4154"/>
      <c r="AN271" s="907"/>
      <c r="AO271" s="1048">
        <f t="shared" si="117"/>
        <v>24</v>
      </c>
      <c r="AP271" s="1048"/>
      <c r="AQ271" s="907"/>
      <c r="AR271" s="907"/>
      <c r="AS271" s="1048"/>
      <c r="AT271" s="1048">
        <f t="shared" si="118"/>
        <v>24</v>
      </c>
      <c r="AU271" s="907"/>
      <c r="AV271" s="4922"/>
      <c r="AW271" s="4922"/>
      <c r="AX271" s="1048"/>
      <c r="AY271" s="4922"/>
      <c r="AZ271" s="4922"/>
      <c r="BA271" s="1048"/>
      <c r="BB271" s="4622"/>
      <c r="BC271" s="4922"/>
      <c r="BD271" s="4622"/>
      <c r="BE271" s="4622"/>
      <c r="BF271" s="4622"/>
      <c r="BG271" s="4622"/>
      <c r="BH271" s="1048"/>
      <c r="BI271" s="4622"/>
      <c r="BJ271" s="1048"/>
      <c r="BK271" s="4415" t="s">
        <v>89</v>
      </c>
      <c r="BL271" s="4415">
        <f t="shared" si="119"/>
        <v>0.406779661016949</v>
      </c>
      <c r="BM271" s="4415"/>
      <c r="BN271" s="4415">
        <f t="shared" si="115"/>
        <v>23.5932203389831</v>
      </c>
      <c r="BO271" s="4415"/>
      <c r="BP271" s="4415"/>
      <c r="BQ271" s="4414"/>
      <c r="BR271" s="1048"/>
      <c r="BS271" s="911"/>
      <c r="BT271" s="911"/>
      <c r="BU271" s="911"/>
      <c r="BV271" s="911"/>
      <c r="BW271" s="911"/>
      <c r="BX271" s="910"/>
      <c r="BY271" s="910"/>
      <c r="BZ271" s="3708">
        <f t="shared" si="121"/>
        <v>24</v>
      </c>
      <c r="CA271" s="4154">
        <f t="shared" si="120"/>
        <v>0</v>
      </c>
      <c r="CB271" s="4923"/>
      <c r="CC271" s="4923"/>
      <c r="CD271" s="4323"/>
      <c r="CE271" s="4323"/>
      <c r="CF271" s="4323"/>
    </row>
    <row r="272" s="4316" customFormat="1" ht="50" customHeight="1" spans="1:84">
      <c r="A272" s="4500">
        <v>45615</v>
      </c>
      <c r="B272" s="4501" t="s">
        <v>387</v>
      </c>
      <c r="C272" s="3708" t="s">
        <v>91</v>
      </c>
      <c r="D272" s="4502">
        <v>4500151563</v>
      </c>
      <c r="E272" s="3708">
        <v>70054078</v>
      </c>
      <c r="F272" s="4615" t="s">
        <v>1529</v>
      </c>
      <c r="G272" s="3708" t="s">
        <v>409</v>
      </c>
      <c r="H272" s="3708" t="s">
        <v>409</v>
      </c>
      <c r="I272" s="3708" t="s">
        <v>410</v>
      </c>
      <c r="J272" s="4154">
        <v>300</v>
      </c>
      <c r="K272" s="4154">
        <v>0</v>
      </c>
      <c r="L272" s="4154">
        <v>12</v>
      </c>
      <c r="M272" s="4154">
        <f t="shared" si="113"/>
        <v>25</v>
      </c>
      <c r="N272" s="4503">
        <v>45841</v>
      </c>
      <c r="O272" s="4503">
        <v>45838</v>
      </c>
      <c r="P272" s="3712"/>
      <c r="Q272" s="4154" t="s">
        <v>82</v>
      </c>
      <c r="R272" s="4157"/>
      <c r="S272" s="4157"/>
      <c r="T272" s="4157"/>
      <c r="U272" s="3726" t="s">
        <v>1418</v>
      </c>
      <c r="V272" s="3711" t="s">
        <v>390</v>
      </c>
      <c r="W272" s="3711"/>
      <c r="X272" s="3711" t="s">
        <v>98</v>
      </c>
      <c r="Y272" s="3711"/>
      <c r="Z272" s="3711"/>
      <c r="AA272" s="4154" t="s">
        <v>1530</v>
      </c>
      <c r="AB272" s="3680" t="s">
        <v>1531</v>
      </c>
      <c r="AC272" s="4154" t="s">
        <v>393</v>
      </c>
      <c r="AD272" s="4504">
        <v>2.7072</v>
      </c>
      <c r="AE272" s="4154">
        <f t="shared" si="114"/>
        <v>812.16</v>
      </c>
      <c r="AF272" s="4505"/>
      <c r="AG272" s="3726" t="s">
        <v>416</v>
      </c>
      <c r="AH272" s="4448"/>
      <c r="AI272" s="3708">
        <f>J272</f>
        <v>300</v>
      </c>
      <c r="AJ272" s="4448"/>
      <c r="AK272" s="3708"/>
      <c r="AL272" s="3708"/>
      <c r="AM272" s="4154"/>
      <c r="AN272" s="4411"/>
      <c r="AO272" s="1048">
        <f t="shared" si="117"/>
        <v>300</v>
      </c>
      <c r="AP272" s="1048"/>
      <c r="AQ272" s="4411"/>
      <c r="AR272" s="4411"/>
      <c r="AS272" s="1048">
        <f t="shared" ref="AS272:AS288" si="122">J272</f>
        <v>300</v>
      </c>
      <c r="AT272" s="1048"/>
      <c r="AU272" s="4411"/>
      <c r="AV272" s="4411"/>
      <c r="AW272" s="4411"/>
      <c r="AX272" s="1048"/>
      <c r="AY272" s="4411"/>
      <c r="AZ272" s="4411"/>
      <c r="BA272" s="1048"/>
      <c r="BB272" s="1048"/>
      <c r="BC272" s="4411"/>
      <c r="BD272" s="1048"/>
      <c r="BE272" s="1048"/>
      <c r="BF272" s="1048"/>
      <c r="BG272" s="1048"/>
      <c r="BH272" s="4622">
        <f>J272</f>
        <v>300</v>
      </c>
      <c r="BI272" s="4622"/>
      <c r="BJ272" s="1048"/>
      <c r="BK272" s="4415" t="s">
        <v>89</v>
      </c>
      <c r="BL272" s="4415">
        <f t="shared" ref="BL272:BL319" si="123">J272/60*1</f>
        <v>5</v>
      </c>
      <c r="BM272" s="4415">
        <f t="shared" ref="BM272:BM304" si="124">J272/60*9</f>
        <v>45</v>
      </c>
      <c r="BN272" s="4415">
        <f t="shared" ref="BN272:BN304" si="125">J272/60*10</f>
        <v>50</v>
      </c>
      <c r="BO272" s="4415">
        <f t="shared" ref="BO272:BO304" si="126">J272/60*10</f>
        <v>50</v>
      </c>
      <c r="BP272" s="4415">
        <f t="shared" ref="BP272:BP304" si="127">J272/60*10</f>
        <v>50</v>
      </c>
      <c r="BQ272" s="4414">
        <f t="shared" ref="BQ272:BQ304" si="128">J272/60*10</f>
        <v>50</v>
      </c>
      <c r="BR272" s="1048">
        <f t="shared" ref="BR272:BR304" si="129">J272/60*10</f>
        <v>50</v>
      </c>
      <c r="BS272" s="4403"/>
      <c r="BT272" s="4458"/>
      <c r="BU272" s="4458"/>
      <c r="BV272" s="4458"/>
      <c r="BW272" s="4458"/>
      <c r="BX272" s="4458"/>
      <c r="BY272" s="4458"/>
      <c r="BZ272" s="3708">
        <f t="shared" si="121"/>
        <v>300</v>
      </c>
      <c r="CA272" s="4154">
        <f t="shared" si="120"/>
        <v>0</v>
      </c>
      <c r="CB272" s="4458"/>
      <c r="CC272" s="4458"/>
      <c r="CD272" s="4323"/>
      <c r="CE272" s="4323"/>
      <c r="CF272" s="4323"/>
    </row>
    <row r="273" s="4316" customFormat="1" ht="50" customHeight="1" spans="1:84">
      <c r="A273" s="4500">
        <v>45821</v>
      </c>
      <c r="B273" s="4501" t="s">
        <v>505</v>
      </c>
      <c r="C273" s="3708" t="s">
        <v>506</v>
      </c>
      <c r="D273" s="4502">
        <v>4500169286</v>
      </c>
      <c r="E273" s="3708">
        <v>20905005</v>
      </c>
      <c r="F273" s="4615" t="s">
        <v>1532</v>
      </c>
      <c r="G273" s="3708"/>
      <c r="H273" s="3708" t="s">
        <v>508</v>
      </c>
      <c r="I273" s="3708" t="s">
        <v>328</v>
      </c>
      <c r="J273" s="4593">
        <v>1572</v>
      </c>
      <c r="K273" s="4154">
        <v>0</v>
      </c>
      <c r="L273" s="4154">
        <v>6</v>
      </c>
      <c r="M273" s="4154">
        <f t="shared" si="113"/>
        <v>262</v>
      </c>
      <c r="N273" s="4503">
        <v>45859</v>
      </c>
      <c r="O273" s="4503">
        <v>45855</v>
      </c>
      <c r="P273" s="3712"/>
      <c r="Q273" s="4154" t="s">
        <v>82</v>
      </c>
      <c r="R273" s="4157"/>
      <c r="S273" s="4157"/>
      <c r="T273" s="4157"/>
      <c r="U273" s="3726" t="s">
        <v>1533</v>
      </c>
      <c r="V273" s="3711" t="s">
        <v>1425</v>
      </c>
      <c r="W273" s="3711"/>
      <c r="X273" s="3711" t="s">
        <v>1534</v>
      </c>
      <c r="Y273" s="3711"/>
      <c r="Z273" s="3711" t="s">
        <v>1535</v>
      </c>
      <c r="AA273" s="3708"/>
      <c r="AB273" s="3680" t="s">
        <v>1536</v>
      </c>
      <c r="AC273" s="4154" t="s">
        <v>513</v>
      </c>
      <c r="AD273" s="4504">
        <v>2.3106</v>
      </c>
      <c r="AE273" s="4154">
        <f t="shared" si="114"/>
        <v>3632.2632</v>
      </c>
      <c r="AF273" s="3726" t="s">
        <v>1537</v>
      </c>
      <c r="AG273" s="3726"/>
      <c r="AH273" s="4430"/>
      <c r="AI273" s="3708">
        <f>J273</f>
        <v>1572</v>
      </c>
      <c r="AJ273" s="4430"/>
      <c r="AK273" s="3708"/>
      <c r="AL273" s="3708"/>
      <c r="AM273" s="4154"/>
      <c r="AN273" s="4413"/>
      <c r="AO273" s="1048">
        <f t="shared" si="117"/>
        <v>1572</v>
      </c>
      <c r="AP273" s="1048"/>
      <c r="AQ273" s="4413"/>
      <c r="AR273" s="4413"/>
      <c r="AS273" s="1048">
        <f t="shared" si="122"/>
        <v>1572</v>
      </c>
      <c r="AT273" s="1048"/>
      <c r="AU273" s="4413"/>
      <c r="AV273" s="4939"/>
      <c r="AW273" s="4939"/>
      <c r="AX273" s="1048">
        <f>J273/6</f>
        <v>262</v>
      </c>
      <c r="AY273" s="4939"/>
      <c r="AZ273" s="4939"/>
      <c r="BA273" s="1048"/>
      <c r="BB273" s="4622"/>
      <c r="BC273" s="4939"/>
      <c r="BD273" s="4622"/>
      <c r="BE273" s="4622"/>
      <c r="BF273" s="4622"/>
      <c r="BG273" s="4622"/>
      <c r="BH273" s="1048"/>
      <c r="BI273" s="4622"/>
      <c r="BJ273" s="1048"/>
      <c r="BK273" s="4415" t="s">
        <v>89</v>
      </c>
      <c r="BL273" s="4415">
        <f t="shared" si="123"/>
        <v>26.2</v>
      </c>
      <c r="BM273" s="4415">
        <f t="shared" si="124"/>
        <v>235.8</v>
      </c>
      <c r="BN273" s="4415">
        <f t="shared" si="125"/>
        <v>262</v>
      </c>
      <c r="BO273" s="4415">
        <f t="shared" si="126"/>
        <v>262</v>
      </c>
      <c r="BP273" s="4415">
        <f t="shared" si="127"/>
        <v>262</v>
      </c>
      <c r="BQ273" s="4414">
        <f t="shared" si="128"/>
        <v>262</v>
      </c>
      <c r="BR273" s="1048">
        <f t="shared" si="129"/>
        <v>262</v>
      </c>
      <c r="BS273" s="4432"/>
      <c r="BT273" s="4447"/>
      <c r="BU273" s="4447"/>
      <c r="BV273" s="4447"/>
      <c r="BW273" s="4447"/>
      <c r="BX273" s="4447"/>
      <c r="BY273" s="4447"/>
      <c r="BZ273" s="3708">
        <f t="shared" si="121"/>
        <v>1572</v>
      </c>
      <c r="CA273" s="4154">
        <f t="shared" si="120"/>
        <v>0</v>
      </c>
      <c r="CB273" s="4591"/>
      <c r="CC273" s="4591"/>
      <c r="CD273" s="4323"/>
      <c r="CE273" s="4323"/>
      <c r="CF273" s="4323"/>
    </row>
    <row r="274" s="4316" customFormat="1" ht="50" customHeight="1" spans="1:84">
      <c r="A274" s="4500">
        <v>45771</v>
      </c>
      <c r="B274" s="4501" t="s">
        <v>1538</v>
      </c>
      <c r="C274" s="3708" t="s">
        <v>1142</v>
      </c>
      <c r="D274" s="4502">
        <v>4500159848</v>
      </c>
      <c r="E274" s="3708" t="s">
        <v>1539</v>
      </c>
      <c r="F274" s="4615" t="s">
        <v>1540</v>
      </c>
      <c r="G274" s="3708" t="s">
        <v>1145</v>
      </c>
      <c r="H274" s="3708" t="s">
        <v>327</v>
      </c>
      <c r="I274" s="4154" t="s">
        <v>328</v>
      </c>
      <c r="J274" s="4154">
        <v>144</v>
      </c>
      <c r="K274" s="4154">
        <v>0</v>
      </c>
      <c r="L274" s="4154">
        <v>12</v>
      </c>
      <c r="M274" s="4154">
        <f t="shared" si="113"/>
        <v>12</v>
      </c>
      <c r="N274" s="4503">
        <v>45859</v>
      </c>
      <c r="O274" s="4503">
        <v>45862</v>
      </c>
      <c r="P274" s="3712"/>
      <c r="Q274" s="4154" t="s">
        <v>82</v>
      </c>
      <c r="R274" s="4157"/>
      <c r="S274" s="4157"/>
      <c r="T274" s="4157"/>
      <c r="U274" s="3726" t="s">
        <v>1541</v>
      </c>
      <c r="V274" s="3711" t="s">
        <v>1479</v>
      </c>
      <c r="W274" s="3711"/>
      <c r="X274" s="3711" t="s">
        <v>1542</v>
      </c>
      <c r="Y274" s="3711"/>
      <c r="Z274" s="3711"/>
      <c r="AA274" s="3708" t="s">
        <v>1543</v>
      </c>
      <c r="AB274" s="3680" t="s">
        <v>1544</v>
      </c>
      <c r="AC274" s="4154" t="s">
        <v>459</v>
      </c>
      <c r="AD274" s="4504">
        <v>2.1633</v>
      </c>
      <c r="AE274" s="4154">
        <f t="shared" si="114"/>
        <v>311.5152</v>
      </c>
      <c r="AF274" s="3726"/>
      <c r="AG274" s="3726"/>
      <c r="AH274" s="4448"/>
      <c r="AI274" s="3708"/>
      <c r="AJ274" s="4448"/>
      <c r="AK274" s="3708">
        <f>J274</f>
        <v>144</v>
      </c>
      <c r="AL274" s="3708"/>
      <c r="AM274" s="4154"/>
      <c r="AN274" s="4411"/>
      <c r="AO274" s="1048">
        <f t="shared" si="117"/>
        <v>144</v>
      </c>
      <c r="AP274" s="1048"/>
      <c r="AQ274" s="4411"/>
      <c r="AR274" s="4411"/>
      <c r="AS274" s="1048">
        <f t="shared" si="122"/>
        <v>144</v>
      </c>
      <c r="AT274" s="1048"/>
      <c r="AU274" s="4411"/>
      <c r="AV274" s="4933"/>
      <c r="AW274" s="4933"/>
      <c r="AX274" s="1048">
        <f>J274/6</f>
        <v>24</v>
      </c>
      <c r="AY274" s="4933"/>
      <c r="AZ274" s="4933"/>
      <c r="BA274" s="1048"/>
      <c r="BB274" s="4622"/>
      <c r="BC274" s="4933"/>
      <c r="BD274" s="4622"/>
      <c r="BE274" s="4622"/>
      <c r="BF274" s="4622"/>
      <c r="BG274" s="4622"/>
      <c r="BH274" s="1048"/>
      <c r="BI274" s="4622"/>
      <c r="BJ274" s="1048"/>
      <c r="BK274" s="4415" t="s">
        <v>89</v>
      </c>
      <c r="BL274" s="4415">
        <f t="shared" si="123"/>
        <v>2.4</v>
      </c>
      <c r="BM274" s="4415">
        <f t="shared" si="124"/>
        <v>21.6</v>
      </c>
      <c r="BN274" s="4415">
        <f t="shared" si="125"/>
        <v>24</v>
      </c>
      <c r="BO274" s="4415">
        <f t="shared" si="126"/>
        <v>24</v>
      </c>
      <c r="BP274" s="4415">
        <f t="shared" si="127"/>
        <v>24</v>
      </c>
      <c r="BQ274" s="4414">
        <f t="shared" si="128"/>
        <v>24</v>
      </c>
      <c r="BR274" s="1048">
        <f t="shared" si="129"/>
        <v>24</v>
      </c>
      <c r="BS274" s="4403"/>
      <c r="BT274" s="4458"/>
      <c r="BU274" s="4458"/>
      <c r="BV274" s="4458"/>
      <c r="BW274" s="4458"/>
      <c r="BX274" s="4458"/>
      <c r="BY274" s="4458"/>
      <c r="BZ274" s="3708">
        <f t="shared" si="121"/>
        <v>144</v>
      </c>
      <c r="CA274" s="4154">
        <f t="shared" si="120"/>
        <v>0</v>
      </c>
      <c r="CB274" s="4934"/>
      <c r="CC274" s="4934"/>
      <c r="CD274" s="4323"/>
      <c r="CE274" s="4323"/>
      <c r="CF274" s="4323"/>
    </row>
    <row r="275" s="4316" customFormat="1" ht="50" customHeight="1" spans="1:84">
      <c r="A275" s="4500">
        <v>45771</v>
      </c>
      <c r="B275" s="4501" t="s">
        <v>1545</v>
      </c>
      <c r="C275" s="3708" t="s">
        <v>1546</v>
      </c>
      <c r="D275" s="4502">
        <v>4500164774</v>
      </c>
      <c r="E275" s="3708" t="s">
        <v>1547</v>
      </c>
      <c r="F275" s="4615" t="s">
        <v>1548</v>
      </c>
      <c r="G275" s="3708" t="s">
        <v>1145</v>
      </c>
      <c r="H275" s="3708" t="s">
        <v>327</v>
      </c>
      <c r="I275" s="4154" t="s">
        <v>328</v>
      </c>
      <c r="J275" s="4154">
        <v>360</v>
      </c>
      <c r="K275" s="4154">
        <v>0</v>
      </c>
      <c r="L275" s="4154">
        <v>12</v>
      </c>
      <c r="M275" s="4154">
        <f t="shared" si="113"/>
        <v>30</v>
      </c>
      <c r="N275" s="4503">
        <v>45859</v>
      </c>
      <c r="O275" s="4503">
        <v>45862</v>
      </c>
      <c r="P275" s="3712"/>
      <c r="Q275" s="4154" t="s">
        <v>82</v>
      </c>
      <c r="R275" s="4157"/>
      <c r="S275" s="4157"/>
      <c r="T275" s="4157"/>
      <c r="U275" s="3726" t="s">
        <v>211</v>
      </c>
      <c r="V275" s="3711" t="s">
        <v>1479</v>
      </c>
      <c r="W275" s="3711"/>
      <c r="X275" s="3711" t="s">
        <v>1542</v>
      </c>
      <c r="Y275" s="3711"/>
      <c r="Z275" s="3711"/>
      <c r="AA275" s="3708" t="s">
        <v>1543</v>
      </c>
      <c r="AB275" s="3680" t="s">
        <v>1544</v>
      </c>
      <c r="AC275" s="4154" t="s">
        <v>459</v>
      </c>
      <c r="AD275" s="4504">
        <v>2.1633</v>
      </c>
      <c r="AE275" s="4154">
        <f t="shared" si="114"/>
        <v>778.788</v>
      </c>
      <c r="AF275" s="3726"/>
      <c r="AG275" s="3726"/>
      <c r="AH275" s="4448"/>
      <c r="AI275" s="3708"/>
      <c r="AJ275" s="4448"/>
      <c r="AK275" s="3708">
        <f>J275</f>
        <v>360</v>
      </c>
      <c r="AL275" s="3708"/>
      <c r="AM275" s="4154"/>
      <c r="AN275" s="4411"/>
      <c r="AO275" s="1048">
        <f t="shared" si="117"/>
        <v>360</v>
      </c>
      <c r="AP275" s="1048"/>
      <c r="AQ275" s="4411"/>
      <c r="AR275" s="4411"/>
      <c r="AS275" s="1048">
        <f t="shared" si="122"/>
        <v>360</v>
      </c>
      <c r="AT275" s="1048"/>
      <c r="AU275" s="4411"/>
      <c r="AV275" s="4933"/>
      <c r="AW275" s="4933"/>
      <c r="AX275" s="1048">
        <f>J275/6</f>
        <v>60</v>
      </c>
      <c r="AY275" s="4933"/>
      <c r="AZ275" s="4933"/>
      <c r="BA275" s="1048"/>
      <c r="BB275" s="4622"/>
      <c r="BC275" s="4933"/>
      <c r="BD275" s="4622"/>
      <c r="BE275" s="4622"/>
      <c r="BF275" s="4622"/>
      <c r="BG275" s="4622"/>
      <c r="BH275" s="1048"/>
      <c r="BI275" s="4622"/>
      <c r="BJ275" s="1048"/>
      <c r="BK275" s="4415" t="s">
        <v>89</v>
      </c>
      <c r="BL275" s="4415">
        <f t="shared" si="123"/>
        <v>6</v>
      </c>
      <c r="BM275" s="4415">
        <f t="shared" si="124"/>
        <v>54</v>
      </c>
      <c r="BN275" s="4415">
        <f t="shared" si="125"/>
        <v>60</v>
      </c>
      <c r="BO275" s="4415">
        <f t="shared" si="126"/>
        <v>60</v>
      </c>
      <c r="BP275" s="4415">
        <f t="shared" si="127"/>
        <v>60</v>
      </c>
      <c r="BQ275" s="4414">
        <f t="shared" si="128"/>
        <v>60</v>
      </c>
      <c r="BR275" s="1048">
        <f t="shared" si="129"/>
        <v>60</v>
      </c>
      <c r="BS275" s="4403"/>
      <c r="BT275" s="4458"/>
      <c r="BU275" s="4458"/>
      <c r="BV275" s="4458"/>
      <c r="BW275" s="4458"/>
      <c r="BX275" s="4458"/>
      <c r="BY275" s="4458"/>
      <c r="BZ275" s="3708">
        <f t="shared" si="121"/>
        <v>360</v>
      </c>
      <c r="CA275" s="4154">
        <f t="shared" si="120"/>
        <v>0</v>
      </c>
      <c r="CB275" s="4934"/>
      <c r="CC275" s="4934"/>
      <c r="CD275" s="4323"/>
      <c r="CE275" s="4323"/>
      <c r="CF275" s="4323"/>
    </row>
    <row r="276" s="4316" customFormat="1" ht="50" customHeight="1" spans="1:84">
      <c r="A276" s="4500">
        <v>45820</v>
      </c>
      <c r="B276" s="4501" t="s">
        <v>523</v>
      </c>
      <c r="C276" s="3708" t="s">
        <v>524</v>
      </c>
      <c r="D276" s="4502">
        <v>4500169751</v>
      </c>
      <c r="E276" s="3708"/>
      <c r="F276" s="4615" t="s">
        <v>1549</v>
      </c>
      <c r="G276" s="3708"/>
      <c r="H276" s="3708" t="s">
        <v>327</v>
      </c>
      <c r="I276" s="4154" t="s">
        <v>328</v>
      </c>
      <c r="J276" s="4154">
        <v>180</v>
      </c>
      <c r="K276" s="4154">
        <v>0</v>
      </c>
      <c r="L276" s="4154">
        <v>12</v>
      </c>
      <c r="M276" s="4154">
        <f t="shared" si="113"/>
        <v>15</v>
      </c>
      <c r="N276" s="4503">
        <v>45863</v>
      </c>
      <c r="O276" s="4503">
        <v>45859</v>
      </c>
      <c r="P276" s="3712"/>
      <c r="Q276" s="4154" t="s">
        <v>82</v>
      </c>
      <c r="R276" s="4157"/>
      <c r="S276" s="4157"/>
      <c r="T276" s="4157"/>
      <c r="U276" s="3726" t="s">
        <v>220</v>
      </c>
      <c r="V276" s="3711" t="s">
        <v>1550</v>
      </c>
      <c r="W276" s="3711"/>
      <c r="X276" s="3711" t="s">
        <v>1551</v>
      </c>
      <c r="Y276" s="3711"/>
      <c r="Z276" s="3711" t="s">
        <v>1552</v>
      </c>
      <c r="AA276" s="3708"/>
      <c r="AB276" s="3680" t="s">
        <v>1553</v>
      </c>
      <c r="AC276" s="4154" t="s">
        <v>459</v>
      </c>
      <c r="AD276" s="4504">
        <v>2.1633</v>
      </c>
      <c r="AE276" s="4154">
        <f t="shared" si="114"/>
        <v>389.394</v>
      </c>
      <c r="AF276" s="3726"/>
      <c r="AG276" s="3726"/>
      <c r="AH276" s="4448"/>
      <c r="AI276" s="3708"/>
      <c r="AJ276" s="4448"/>
      <c r="AK276" s="3708">
        <f>J276</f>
        <v>180</v>
      </c>
      <c r="AL276" s="3708"/>
      <c r="AM276" s="4154"/>
      <c r="AN276" s="4411"/>
      <c r="AO276" s="1048">
        <f t="shared" si="117"/>
        <v>180</v>
      </c>
      <c r="AP276" s="1048"/>
      <c r="AQ276" s="4411"/>
      <c r="AR276" s="4411"/>
      <c r="AS276" s="1048">
        <f t="shared" si="122"/>
        <v>180</v>
      </c>
      <c r="AT276" s="1048"/>
      <c r="AU276" s="4411"/>
      <c r="AV276" s="4933"/>
      <c r="AW276" s="4933"/>
      <c r="AX276" s="1048">
        <f>J276/6</f>
        <v>30</v>
      </c>
      <c r="AY276" s="4933"/>
      <c r="AZ276" s="4933"/>
      <c r="BA276" s="1048"/>
      <c r="BB276" s="4622"/>
      <c r="BC276" s="4933"/>
      <c r="BD276" s="4622"/>
      <c r="BE276" s="4622"/>
      <c r="BF276" s="4622"/>
      <c r="BG276" s="4622"/>
      <c r="BH276" s="1048"/>
      <c r="BI276" s="4622"/>
      <c r="BJ276" s="1048"/>
      <c r="BK276" s="4415" t="s">
        <v>89</v>
      </c>
      <c r="BL276" s="4415">
        <f t="shared" si="123"/>
        <v>3</v>
      </c>
      <c r="BM276" s="4415">
        <f t="shared" si="124"/>
        <v>27</v>
      </c>
      <c r="BN276" s="4415">
        <f t="shared" si="125"/>
        <v>30</v>
      </c>
      <c r="BO276" s="4415">
        <f t="shared" si="126"/>
        <v>30</v>
      </c>
      <c r="BP276" s="4415">
        <f t="shared" si="127"/>
        <v>30</v>
      </c>
      <c r="BQ276" s="4414">
        <f t="shared" si="128"/>
        <v>30</v>
      </c>
      <c r="BR276" s="1048">
        <f t="shared" si="129"/>
        <v>30</v>
      </c>
      <c r="BS276" s="4403"/>
      <c r="BT276" s="4458"/>
      <c r="BU276" s="4458"/>
      <c r="BV276" s="4458"/>
      <c r="BW276" s="4458"/>
      <c r="BX276" s="4458"/>
      <c r="BY276" s="4458"/>
      <c r="BZ276" s="3708">
        <f t="shared" si="121"/>
        <v>180</v>
      </c>
      <c r="CA276" s="4154">
        <f t="shared" si="120"/>
        <v>0</v>
      </c>
      <c r="CB276" s="4934"/>
      <c r="CC276" s="4934"/>
      <c r="CD276" s="4323"/>
      <c r="CE276" s="4323"/>
      <c r="CF276" s="4323"/>
    </row>
    <row r="277" s="4316" customFormat="1" ht="50" customHeight="1" spans="1:84">
      <c r="A277" s="4500">
        <v>45750</v>
      </c>
      <c r="B277" s="4501" t="s">
        <v>1315</v>
      </c>
      <c r="C277" s="3708" t="s">
        <v>1316</v>
      </c>
      <c r="D277" s="4502">
        <v>4500166280</v>
      </c>
      <c r="E277" s="3708" t="s">
        <v>1499</v>
      </c>
      <c r="F277" s="4502" t="s">
        <v>1554</v>
      </c>
      <c r="G277" s="3708" t="s">
        <v>1319</v>
      </c>
      <c r="H277" s="3708" t="s">
        <v>1319</v>
      </c>
      <c r="I277" s="3708" t="s">
        <v>1320</v>
      </c>
      <c r="J277" s="4154">
        <v>1424</v>
      </c>
      <c r="K277" s="4154">
        <v>0</v>
      </c>
      <c r="L277" s="4154">
        <v>4</v>
      </c>
      <c r="M277" s="4154">
        <f t="shared" si="113"/>
        <v>356</v>
      </c>
      <c r="N277" s="4503">
        <v>45857</v>
      </c>
      <c r="O277" s="4503">
        <f>N277-4</f>
        <v>45853</v>
      </c>
      <c r="P277" s="4154" t="s">
        <v>1472</v>
      </c>
      <c r="Q277" s="4154" t="s">
        <v>82</v>
      </c>
      <c r="R277" s="4157"/>
      <c r="S277" s="4157"/>
      <c r="T277" s="4157"/>
      <c r="U277" s="3726" t="s">
        <v>1483</v>
      </c>
      <c r="V277" s="3711" t="s">
        <v>1322</v>
      </c>
      <c r="W277" s="3711"/>
      <c r="X277" s="3711" t="s">
        <v>1323</v>
      </c>
      <c r="Y277" s="3711"/>
      <c r="Z277" s="3711"/>
      <c r="AA277" s="4154" t="s">
        <v>1555</v>
      </c>
      <c r="AB277" s="3680" t="s">
        <v>1376</v>
      </c>
      <c r="AC277" s="4154" t="s">
        <v>1326</v>
      </c>
      <c r="AD277" s="4154">
        <v>16.8855</v>
      </c>
      <c r="AE277" s="4154">
        <f>AD277*M277</f>
        <v>6011.238</v>
      </c>
      <c r="AF277" s="3726"/>
      <c r="AG277" s="3726"/>
      <c r="AH277" s="4430"/>
      <c r="AI277" s="3708"/>
      <c r="AJ277" s="4430"/>
      <c r="AK277" s="3708"/>
      <c r="AL277" s="3708"/>
      <c r="AM277" s="4154">
        <f>J277</f>
        <v>1424</v>
      </c>
      <c r="AN277" s="4413"/>
      <c r="AO277" s="1048"/>
      <c r="AP277" s="1048">
        <f>J277</f>
        <v>1424</v>
      </c>
      <c r="AQ277" s="4413"/>
      <c r="AR277" s="4413"/>
      <c r="AS277" s="1048">
        <f t="shared" si="122"/>
        <v>1424</v>
      </c>
      <c r="AT277" s="1048"/>
      <c r="AU277" s="4413"/>
      <c r="AV277" s="4939"/>
      <c r="AW277" s="4939"/>
      <c r="AX277" s="1048"/>
      <c r="AY277" s="4939"/>
      <c r="AZ277" s="4939"/>
      <c r="BA277" s="1048"/>
      <c r="BB277" s="4622"/>
      <c r="BC277" s="4939"/>
      <c r="BD277" s="4622"/>
      <c r="BE277" s="4622"/>
      <c r="BF277" s="4622"/>
      <c r="BG277" s="4622"/>
      <c r="BH277" s="1048"/>
      <c r="BI277" s="4622"/>
      <c r="BJ277" s="1048"/>
      <c r="BK277" s="4415" t="s">
        <v>1327</v>
      </c>
      <c r="BL277" s="4415">
        <f t="shared" si="123"/>
        <v>23.7333333333333</v>
      </c>
      <c r="BM277" s="4415">
        <f t="shared" si="124"/>
        <v>213.6</v>
      </c>
      <c r="BN277" s="4415">
        <f t="shared" si="125"/>
        <v>237.333333333333</v>
      </c>
      <c r="BO277" s="4415">
        <f t="shared" si="126"/>
        <v>237.333333333333</v>
      </c>
      <c r="BP277" s="4415">
        <f t="shared" si="127"/>
        <v>237.333333333333</v>
      </c>
      <c r="BQ277" s="4414">
        <f t="shared" si="128"/>
        <v>237.333333333333</v>
      </c>
      <c r="BR277" s="1048">
        <f t="shared" si="129"/>
        <v>237.333333333333</v>
      </c>
      <c r="BS277" s="4415"/>
      <c r="BT277" s="4432"/>
      <c r="BU277" s="4432"/>
      <c r="BV277" s="4432"/>
      <c r="BW277" s="4432"/>
      <c r="BX277" s="4431"/>
      <c r="BY277" s="4431"/>
      <c r="BZ277" s="3708">
        <f t="shared" si="121"/>
        <v>1424</v>
      </c>
      <c r="CA277" s="4154">
        <f t="shared" si="120"/>
        <v>0</v>
      </c>
      <c r="CB277" s="4591"/>
      <c r="CC277" s="4591"/>
      <c r="CD277" s="4323"/>
      <c r="CE277" s="4323"/>
      <c r="CF277" s="4323"/>
    </row>
    <row r="278" s="4316" customFormat="1" ht="50" customHeight="1" spans="1:84">
      <c r="A278" s="4500">
        <v>45750</v>
      </c>
      <c r="B278" s="4501" t="s">
        <v>1315</v>
      </c>
      <c r="C278" s="3708" t="s">
        <v>1316</v>
      </c>
      <c r="D278" s="4502">
        <v>4500166280</v>
      </c>
      <c r="E278" s="3708" t="s">
        <v>1556</v>
      </c>
      <c r="F278" s="4502" t="s">
        <v>1557</v>
      </c>
      <c r="G278" s="3708" t="s">
        <v>1319</v>
      </c>
      <c r="H278" s="3708" t="s">
        <v>1319</v>
      </c>
      <c r="I278" s="3708" t="s">
        <v>1320</v>
      </c>
      <c r="J278" s="4154">
        <v>4244</v>
      </c>
      <c r="K278" s="4154">
        <v>0</v>
      </c>
      <c r="L278" s="4154">
        <v>4</v>
      </c>
      <c r="M278" s="4154">
        <f t="shared" si="113"/>
        <v>1061</v>
      </c>
      <c r="N278" s="4503">
        <v>45857</v>
      </c>
      <c r="O278" s="4503">
        <f>N278-4</f>
        <v>45853</v>
      </c>
      <c r="P278" s="4154" t="s">
        <v>1558</v>
      </c>
      <c r="Q278" s="4154" t="s">
        <v>82</v>
      </c>
      <c r="R278" s="4157"/>
      <c r="S278" s="4157"/>
      <c r="T278" s="4157"/>
      <c r="U278" s="3726" t="s">
        <v>1483</v>
      </c>
      <c r="V278" s="3711" t="s">
        <v>1322</v>
      </c>
      <c r="W278" s="3711"/>
      <c r="X278" s="3711" t="s">
        <v>1323</v>
      </c>
      <c r="Y278" s="3711"/>
      <c r="Z278" s="3711"/>
      <c r="AA278" s="4154" t="s">
        <v>1559</v>
      </c>
      <c r="AB278" s="3680" t="s">
        <v>1376</v>
      </c>
      <c r="AC278" s="4154" t="s">
        <v>1326</v>
      </c>
      <c r="AD278" s="4154">
        <v>16.8314</v>
      </c>
      <c r="AE278" s="4154">
        <f>AD278*M278</f>
        <v>17858.1154</v>
      </c>
      <c r="AF278" s="3726"/>
      <c r="AG278" s="3726"/>
      <c r="AH278" s="4430"/>
      <c r="AI278" s="3708"/>
      <c r="AJ278" s="4430"/>
      <c r="AK278" s="3708"/>
      <c r="AL278" s="3708"/>
      <c r="AM278" s="4154">
        <f>J278</f>
        <v>4244</v>
      </c>
      <c r="AN278" s="4413"/>
      <c r="AO278" s="1048"/>
      <c r="AP278" s="1048">
        <f>J278</f>
        <v>4244</v>
      </c>
      <c r="AQ278" s="4413"/>
      <c r="AR278" s="4413"/>
      <c r="AS278" s="1048">
        <f t="shared" si="122"/>
        <v>4244</v>
      </c>
      <c r="AT278" s="1048"/>
      <c r="AU278" s="4413"/>
      <c r="AV278" s="4939"/>
      <c r="AW278" s="4939"/>
      <c r="AX278" s="1048"/>
      <c r="AY278" s="4939"/>
      <c r="AZ278" s="4939"/>
      <c r="BA278" s="1048"/>
      <c r="BB278" s="4622"/>
      <c r="BC278" s="4939"/>
      <c r="BD278" s="4622"/>
      <c r="BE278" s="4622"/>
      <c r="BF278" s="4622"/>
      <c r="BG278" s="4622"/>
      <c r="BH278" s="1048"/>
      <c r="BI278" s="4622"/>
      <c r="BJ278" s="1048"/>
      <c r="BK278" s="4415" t="s">
        <v>1327</v>
      </c>
      <c r="BL278" s="4415">
        <f t="shared" si="123"/>
        <v>70.7333333333333</v>
      </c>
      <c r="BM278" s="4415">
        <f t="shared" si="124"/>
        <v>636.6</v>
      </c>
      <c r="BN278" s="4415">
        <f t="shared" si="125"/>
        <v>707.333333333333</v>
      </c>
      <c r="BO278" s="4415">
        <f t="shared" si="126"/>
        <v>707.333333333333</v>
      </c>
      <c r="BP278" s="4415">
        <f t="shared" si="127"/>
        <v>707.333333333333</v>
      </c>
      <c r="BQ278" s="4414">
        <f t="shared" si="128"/>
        <v>707.333333333333</v>
      </c>
      <c r="BR278" s="1048">
        <f t="shared" si="129"/>
        <v>707.333333333333</v>
      </c>
      <c r="BS278" s="4415"/>
      <c r="BT278" s="4432"/>
      <c r="BU278" s="4432"/>
      <c r="BV278" s="4432"/>
      <c r="BW278" s="4432"/>
      <c r="BX278" s="4431"/>
      <c r="BY278" s="4431"/>
      <c r="BZ278" s="3708">
        <f t="shared" si="121"/>
        <v>4244</v>
      </c>
      <c r="CA278" s="4154">
        <f t="shared" si="120"/>
        <v>0</v>
      </c>
      <c r="CB278" s="4591"/>
      <c r="CC278" s="4591"/>
      <c r="CD278" s="4323"/>
      <c r="CE278" s="4323"/>
      <c r="CF278" s="4323"/>
    </row>
    <row r="279" s="4316" customFormat="1" ht="50" customHeight="1" spans="1:84">
      <c r="A279" s="4500">
        <v>45750</v>
      </c>
      <c r="B279" s="4501" t="s">
        <v>1315</v>
      </c>
      <c r="C279" s="3708" t="s">
        <v>1316</v>
      </c>
      <c r="D279" s="4502">
        <v>4500166280</v>
      </c>
      <c r="E279" s="3708" t="s">
        <v>1560</v>
      </c>
      <c r="F279" s="4502" t="s">
        <v>1561</v>
      </c>
      <c r="G279" s="3708" t="s">
        <v>1319</v>
      </c>
      <c r="H279" s="3708" t="s">
        <v>1319</v>
      </c>
      <c r="I279" s="3708" t="s">
        <v>1320</v>
      </c>
      <c r="J279" s="4154">
        <v>2120</v>
      </c>
      <c r="K279" s="4154">
        <v>0</v>
      </c>
      <c r="L279" s="4154">
        <v>4</v>
      </c>
      <c r="M279" s="4154">
        <f t="shared" si="113"/>
        <v>530</v>
      </c>
      <c r="N279" s="4503">
        <v>45857</v>
      </c>
      <c r="O279" s="4503">
        <v>45854</v>
      </c>
      <c r="P279" s="4154" t="s">
        <v>1558</v>
      </c>
      <c r="Q279" s="4154" t="s">
        <v>82</v>
      </c>
      <c r="R279" s="4157"/>
      <c r="S279" s="4157"/>
      <c r="T279" s="4157"/>
      <c r="U279" s="3726" t="s">
        <v>1483</v>
      </c>
      <c r="V279" s="3711" t="s">
        <v>1322</v>
      </c>
      <c r="W279" s="3711"/>
      <c r="X279" s="3711" t="s">
        <v>1323</v>
      </c>
      <c r="Y279" s="3711"/>
      <c r="Z279" s="3711"/>
      <c r="AA279" s="4154" t="s">
        <v>1562</v>
      </c>
      <c r="AB279" s="3680" t="s">
        <v>1376</v>
      </c>
      <c r="AC279" s="4154" t="s">
        <v>1326</v>
      </c>
      <c r="AD279" s="4154">
        <v>16.8314</v>
      </c>
      <c r="AE279" s="4154">
        <f>AD279*M279</f>
        <v>8920.642</v>
      </c>
      <c r="AF279" s="3726"/>
      <c r="AG279" s="3726"/>
      <c r="AH279" s="4430"/>
      <c r="AI279" s="3708"/>
      <c r="AJ279" s="4430"/>
      <c r="AK279" s="3708"/>
      <c r="AL279" s="3708"/>
      <c r="AM279" s="4154">
        <f>J279</f>
        <v>2120</v>
      </c>
      <c r="AN279" s="4413"/>
      <c r="AO279" s="1048"/>
      <c r="AP279" s="1048">
        <f>J279</f>
        <v>2120</v>
      </c>
      <c r="AQ279" s="4413"/>
      <c r="AR279" s="4413"/>
      <c r="AS279" s="1048">
        <f t="shared" si="122"/>
        <v>2120</v>
      </c>
      <c r="AT279" s="1048"/>
      <c r="AU279" s="4413"/>
      <c r="AV279" s="4939"/>
      <c r="AW279" s="4939"/>
      <c r="AX279" s="1048"/>
      <c r="AY279" s="4939"/>
      <c r="AZ279" s="4939"/>
      <c r="BA279" s="1048"/>
      <c r="BB279" s="4622"/>
      <c r="BC279" s="4939"/>
      <c r="BD279" s="4622"/>
      <c r="BE279" s="4622"/>
      <c r="BF279" s="4622"/>
      <c r="BG279" s="4622"/>
      <c r="BH279" s="1048"/>
      <c r="BI279" s="4622"/>
      <c r="BJ279" s="1048"/>
      <c r="BK279" s="4415" t="s">
        <v>1327</v>
      </c>
      <c r="BL279" s="4415">
        <f t="shared" si="123"/>
        <v>35.3333333333333</v>
      </c>
      <c r="BM279" s="4415">
        <f t="shared" si="124"/>
        <v>318</v>
      </c>
      <c r="BN279" s="4415">
        <f t="shared" si="125"/>
        <v>353.333333333333</v>
      </c>
      <c r="BO279" s="4415">
        <f t="shared" si="126"/>
        <v>353.333333333333</v>
      </c>
      <c r="BP279" s="4415">
        <f t="shared" si="127"/>
        <v>353.333333333333</v>
      </c>
      <c r="BQ279" s="4414">
        <f t="shared" si="128"/>
        <v>353.333333333333</v>
      </c>
      <c r="BR279" s="1048">
        <f t="shared" si="129"/>
        <v>353.333333333333</v>
      </c>
      <c r="BS279" s="4415"/>
      <c r="BT279" s="4432"/>
      <c r="BU279" s="4432"/>
      <c r="BV279" s="4432"/>
      <c r="BW279" s="4432"/>
      <c r="BX279" s="4431"/>
      <c r="BY279" s="4431"/>
      <c r="BZ279" s="3708">
        <f t="shared" si="121"/>
        <v>2120</v>
      </c>
      <c r="CA279" s="4154">
        <f t="shared" si="120"/>
        <v>0</v>
      </c>
      <c r="CB279" s="4591"/>
      <c r="CC279" s="4591"/>
      <c r="CD279" s="4323"/>
      <c r="CE279" s="4323"/>
      <c r="CF279" s="4323"/>
    </row>
    <row r="280" s="4316" customFormat="1" ht="50" customHeight="1" spans="1:84">
      <c r="A280" s="4500">
        <v>45817</v>
      </c>
      <c r="B280" s="4501" t="s">
        <v>980</v>
      </c>
      <c r="C280" s="3708" t="s">
        <v>351</v>
      </c>
      <c r="D280" s="4502">
        <v>4500169355</v>
      </c>
      <c r="E280" s="5455" t="s">
        <v>1563</v>
      </c>
      <c r="F280" s="4502" t="s">
        <v>1564</v>
      </c>
      <c r="G280" s="3708" t="s">
        <v>327</v>
      </c>
      <c r="H280" s="3708" t="s">
        <v>327</v>
      </c>
      <c r="I280" s="4154" t="s">
        <v>328</v>
      </c>
      <c r="J280" s="4154">
        <v>504</v>
      </c>
      <c r="K280" s="4154">
        <v>0</v>
      </c>
      <c r="L280" s="4154">
        <v>12</v>
      </c>
      <c r="M280" s="4154">
        <f t="shared" si="113"/>
        <v>42</v>
      </c>
      <c r="N280" s="4503">
        <v>45866</v>
      </c>
      <c r="O280" s="4503">
        <v>45862</v>
      </c>
      <c r="P280" s="3712"/>
      <c r="Q280" s="4154" t="s">
        <v>82</v>
      </c>
      <c r="R280" s="4157"/>
      <c r="S280" s="4157"/>
      <c r="T280" s="4157"/>
      <c r="U280" s="3726" t="s">
        <v>1565</v>
      </c>
      <c r="V280" s="3711" t="s">
        <v>1566</v>
      </c>
      <c r="W280" s="3711"/>
      <c r="X280" s="3711" t="s">
        <v>1567</v>
      </c>
      <c r="Y280" s="3711"/>
      <c r="Z280" s="3711"/>
      <c r="AA280" s="4942"/>
      <c r="AB280" s="3680" t="s">
        <v>1568</v>
      </c>
      <c r="AC280" s="4154" t="s">
        <v>1199</v>
      </c>
      <c r="AD280" s="4504">
        <v>2.1633</v>
      </c>
      <c r="AE280" s="4154">
        <f t="shared" ref="AE280:AE290" si="130">J280*AD280</f>
        <v>1090.3032</v>
      </c>
      <c r="AF280" s="3726"/>
      <c r="AG280" s="3726"/>
      <c r="AH280" s="4422"/>
      <c r="AI280" s="3708">
        <f>J280</f>
        <v>504</v>
      </c>
      <c r="AJ280" s="4422"/>
      <c r="AK280" s="3708"/>
      <c r="AL280" s="3708"/>
      <c r="AM280" s="4154"/>
      <c r="AN280" s="907"/>
      <c r="AO280" s="1048">
        <f t="shared" ref="AO280:AO290" si="131">J280</f>
        <v>504</v>
      </c>
      <c r="AP280" s="1048"/>
      <c r="AQ280" s="907"/>
      <c r="AR280" s="907"/>
      <c r="AS280" s="1048">
        <f t="shared" si="122"/>
        <v>504</v>
      </c>
      <c r="AT280" s="1048"/>
      <c r="AU280" s="907"/>
      <c r="AV280" s="4922"/>
      <c r="AW280" s="4922"/>
      <c r="AX280" s="1048">
        <f>J280/6</f>
        <v>84</v>
      </c>
      <c r="AY280" s="4922"/>
      <c r="AZ280" s="4922"/>
      <c r="BA280" s="1048"/>
      <c r="BB280" s="4622"/>
      <c r="BC280" s="4922"/>
      <c r="BD280" s="4622"/>
      <c r="BE280" s="4622"/>
      <c r="BF280" s="4622"/>
      <c r="BG280" s="4622"/>
      <c r="BH280" s="1048"/>
      <c r="BI280" s="4622"/>
      <c r="BJ280" s="1048"/>
      <c r="BK280" s="4415" t="s">
        <v>89</v>
      </c>
      <c r="BL280" s="4415">
        <f t="shared" si="123"/>
        <v>8.4</v>
      </c>
      <c r="BM280" s="4415">
        <f t="shared" si="124"/>
        <v>75.6</v>
      </c>
      <c r="BN280" s="4415">
        <f t="shared" si="125"/>
        <v>84</v>
      </c>
      <c r="BO280" s="4415">
        <f t="shared" si="126"/>
        <v>84</v>
      </c>
      <c r="BP280" s="4415">
        <f t="shared" si="127"/>
        <v>84</v>
      </c>
      <c r="BQ280" s="4414">
        <f t="shared" si="128"/>
        <v>84</v>
      </c>
      <c r="BR280" s="1048">
        <f t="shared" si="129"/>
        <v>84</v>
      </c>
      <c r="BS280" s="911"/>
      <c r="BT280" s="911"/>
      <c r="BU280" s="911"/>
      <c r="BV280" s="911"/>
      <c r="BW280" s="911"/>
      <c r="BX280" s="910"/>
      <c r="BY280" s="910"/>
      <c r="BZ280" s="3708">
        <f t="shared" si="121"/>
        <v>504</v>
      </c>
      <c r="CA280" s="4154">
        <f t="shared" si="120"/>
        <v>0</v>
      </c>
      <c r="CB280" s="4923"/>
      <c r="CC280" s="4923"/>
      <c r="CD280" s="4323"/>
      <c r="CE280" s="4323"/>
      <c r="CF280" s="4323"/>
    </row>
    <row r="281" s="4316" customFormat="1" ht="50" customHeight="1" spans="1:84">
      <c r="A281" s="4500">
        <v>45827</v>
      </c>
      <c r="B281" s="4501" t="s">
        <v>1569</v>
      </c>
      <c r="C281" s="3708" t="s">
        <v>581</v>
      </c>
      <c r="D281" s="4502">
        <v>4500170116</v>
      </c>
      <c r="E281" s="3708"/>
      <c r="F281" s="4615" t="s">
        <v>1570</v>
      </c>
      <c r="G281" s="3708"/>
      <c r="H281" s="3708" t="s">
        <v>327</v>
      </c>
      <c r="I281" s="4154" t="s">
        <v>328</v>
      </c>
      <c r="J281" s="4154">
        <v>5016</v>
      </c>
      <c r="K281" s="4154">
        <v>0</v>
      </c>
      <c r="L281" s="4154">
        <v>12</v>
      </c>
      <c r="M281" s="4154">
        <f t="shared" si="113"/>
        <v>418</v>
      </c>
      <c r="N281" s="4503">
        <v>45860</v>
      </c>
      <c r="O281" s="4503">
        <v>45866</v>
      </c>
      <c r="P281" s="4154"/>
      <c r="Q281" s="4154" t="s">
        <v>82</v>
      </c>
      <c r="R281" s="4157"/>
      <c r="S281" s="4157"/>
      <c r="T281" s="4157"/>
      <c r="U281" s="3726" t="s">
        <v>208</v>
      </c>
      <c r="V281" s="3711" t="s">
        <v>1571</v>
      </c>
      <c r="W281" s="3711"/>
      <c r="X281" s="3711" t="s">
        <v>1572</v>
      </c>
      <c r="Y281" s="3711"/>
      <c r="Z281" s="3711"/>
      <c r="AA281" s="3708"/>
      <c r="AB281" s="3680" t="s">
        <v>1573</v>
      </c>
      <c r="AC281" s="4154" t="s">
        <v>459</v>
      </c>
      <c r="AD281" s="4504">
        <v>2.1397</v>
      </c>
      <c r="AE281" s="4154">
        <f t="shared" si="130"/>
        <v>10732.7352</v>
      </c>
      <c r="AF281" s="3726" t="s">
        <v>1574</v>
      </c>
      <c r="AG281" s="3726"/>
      <c r="AH281" s="4430"/>
      <c r="AI281" s="3708">
        <f>J281</f>
        <v>5016</v>
      </c>
      <c r="AJ281" s="4430"/>
      <c r="AK281" s="3708"/>
      <c r="AL281" s="3708"/>
      <c r="AM281" s="4154"/>
      <c r="AN281" s="4413"/>
      <c r="AO281" s="1048">
        <f t="shared" si="131"/>
        <v>5016</v>
      </c>
      <c r="AP281" s="1048"/>
      <c r="AQ281" s="4413"/>
      <c r="AR281" s="4413"/>
      <c r="AS281" s="1048">
        <f t="shared" si="122"/>
        <v>5016</v>
      </c>
      <c r="AT281" s="1048"/>
      <c r="AU281" s="4413"/>
      <c r="AV281" s="4939"/>
      <c r="AW281" s="4939"/>
      <c r="AX281" s="1048">
        <f>J281/6</f>
        <v>836</v>
      </c>
      <c r="AY281" s="4939"/>
      <c r="AZ281" s="4939"/>
      <c r="BA281" s="1048"/>
      <c r="BB281" s="4622"/>
      <c r="BC281" s="4939"/>
      <c r="BD281" s="4622"/>
      <c r="BE281" s="4622"/>
      <c r="BF281" s="4622"/>
      <c r="BG281" s="4622"/>
      <c r="BH281" s="1048"/>
      <c r="BI281" s="4622"/>
      <c r="BJ281" s="1048"/>
      <c r="BK281" s="4415" t="s">
        <v>89</v>
      </c>
      <c r="BL281" s="4415">
        <f t="shared" si="123"/>
        <v>83.6</v>
      </c>
      <c r="BM281" s="4415">
        <f t="shared" si="124"/>
        <v>752.4</v>
      </c>
      <c r="BN281" s="4415">
        <f t="shared" si="125"/>
        <v>836</v>
      </c>
      <c r="BO281" s="4415">
        <f t="shared" si="126"/>
        <v>836</v>
      </c>
      <c r="BP281" s="4415">
        <f t="shared" si="127"/>
        <v>836</v>
      </c>
      <c r="BQ281" s="4414">
        <f t="shared" si="128"/>
        <v>836</v>
      </c>
      <c r="BR281" s="1048">
        <f t="shared" si="129"/>
        <v>836</v>
      </c>
      <c r="BS281" s="4432"/>
      <c r="BT281" s="4447"/>
      <c r="BU281" s="4447"/>
      <c r="BV281" s="4447"/>
      <c r="BW281" s="4447"/>
      <c r="BX281" s="4447"/>
      <c r="BY281" s="4447"/>
      <c r="BZ281" s="3708">
        <f t="shared" si="121"/>
        <v>5016</v>
      </c>
      <c r="CA281" s="4154">
        <f t="shared" si="120"/>
        <v>0</v>
      </c>
      <c r="CB281" s="4591"/>
      <c r="CC281" s="4591"/>
      <c r="CD281" s="4323"/>
      <c r="CE281" s="4323"/>
      <c r="CF281" s="4323"/>
    </row>
    <row r="282" s="4316" customFormat="1" ht="50" customHeight="1" spans="1:84">
      <c r="A282" s="4500">
        <v>45834</v>
      </c>
      <c r="B282" s="4501" t="s">
        <v>1057</v>
      </c>
      <c r="C282" s="3708" t="s">
        <v>396</v>
      </c>
      <c r="D282" s="4502">
        <v>4500171335</v>
      </c>
      <c r="E282" s="3708" t="s">
        <v>1575</v>
      </c>
      <c r="F282" s="4502" t="s">
        <v>1576</v>
      </c>
      <c r="G282" s="3708"/>
      <c r="H282" s="3708" t="s">
        <v>1060</v>
      </c>
      <c r="I282" s="3700" t="s">
        <v>1061</v>
      </c>
      <c r="J282" s="4154">
        <v>1200</v>
      </c>
      <c r="K282" s="4154">
        <v>0</v>
      </c>
      <c r="L282" s="4154">
        <v>24</v>
      </c>
      <c r="M282" s="4154">
        <f t="shared" si="113"/>
        <v>50</v>
      </c>
      <c r="N282" s="4503">
        <v>45870</v>
      </c>
      <c r="O282" s="4503">
        <f t="shared" ref="O282:O295" si="132">N282-4</f>
        <v>45866</v>
      </c>
      <c r="P282" s="4154"/>
      <c r="Q282" s="3726" t="s">
        <v>82</v>
      </c>
      <c r="R282" s="4157"/>
      <c r="S282" s="4157"/>
      <c r="T282" s="4157"/>
      <c r="U282" s="3726" t="s">
        <v>211</v>
      </c>
      <c r="V282" s="3711" t="s">
        <v>1577</v>
      </c>
      <c r="W282" s="3711"/>
      <c r="X282" s="3711" t="s">
        <v>98</v>
      </c>
      <c r="Y282" s="3711"/>
      <c r="Z282" s="3711" t="s">
        <v>1578</v>
      </c>
      <c r="AA282" s="4154"/>
      <c r="AB282" s="3680" t="s">
        <v>1579</v>
      </c>
      <c r="AC282" s="4154" t="s">
        <v>405</v>
      </c>
      <c r="AD282" s="4504">
        <v>2.0854</v>
      </c>
      <c r="AE282" s="4154">
        <f t="shared" si="130"/>
        <v>2502.48</v>
      </c>
      <c r="AF282" s="3726"/>
      <c r="AG282" s="3726"/>
      <c r="AH282" s="4430"/>
      <c r="AI282" s="3708"/>
      <c r="AJ282" s="4430"/>
      <c r="AK282" s="3708">
        <f t="shared" ref="AK282:AK290" si="133">J282</f>
        <v>1200</v>
      </c>
      <c r="AL282" s="3708"/>
      <c r="AM282" s="4154"/>
      <c r="AN282" s="4413"/>
      <c r="AO282" s="1048">
        <f t="shared" si="131"/>
        <v>1200</v>
      </c>
      <c r="AP282" s="1048"/>
      <c r="AQ282" s="4413"/>
      <c r="AR282" s="4413"/>
      <c r="AS282" s="1048"/>
      <c r="AT282" s="1048">
        <f t="shared" ref="AT282:AT290" si="134">J282</f>
        <v>1200</v>
      </c>
      <c r="AU282" s="4413"/>
      <c r="AV282" s="4939"/>
      <c r="AW282" s="4939"/>
      <c r="AX282" s="1048"/>
      <c r="AY282" s="4939"/>
      <c r="AZ282" s="4939"/>
      <c r="BA282" s="1048"/>
      <c r="BB282" s="4622"/>
      <c r="BC282" s="4939"/>
      <c r="BD282" s="4622"/>
      <c r="BE282" s="4622"/>
      <c r="BF282" s="4622"/>
      <c r="BG282" s="4622"/>
      <c r="BH282" s="1048"/>
      <c r="BI282" s="4622"/>
      <c r="BJ282" s="1048"/>
      <c r="BK282" s="4415" t="s">
        <v>89</v>
      </c>
      <c r="BL282" s="4415">
        <f t="shared" si="123"/>
        <v>20</v>
      </c>
      <c r="BM282" s="4415">
        <f t="shared" si="124"/>
        <v>180</v>
      </c>
      <c r="BN282" s="4415">
        <f t="shared" si="125"/>
        <v>200</v>
      </c>
      <c r="BO282" s="4415">
        <f t="shared" si="126"/>
        <v>200</v>
      </c>
      <c r="BP282" s="4415">
        <f t="shared" si="127"/>
        <v>200</v>
      </c>
      <c r="BQ282" s="4414">
        <f t="shared" si="128"/>
        <v>200</v>
      </c>
      <c r="BR282" s="1048">
        <f t="shared" si="129"/>
        <v>200</v>
      </c>
      <c r="BS282" s="4432"/>
      <c r="BT282" s="4432"/>
      <c r="BU282" s="4432"/>
      <c r="BV282" s="4432"/>
      <c r="BW282" s="4432"/>
      <c r="BX282" s="4431"/>
      <c r="BY282" s="4431"/>
      <c r="BZ282" s="3708">
        <f t="shared" si="121"/>
        <v>1200</v>
      </c>
      <c r="CA282" s="4154">
        <f t="shared" si="120"/>
        <v>0</v>
      </c>
      <c r="CB282" s="4591"/>
      <c r="CC282" s="4591"/>
      <c r="CD282" s="4323"/>
      <c r="CE282" s="4323"/>
      <c r="CF282" s="4323"/>
    </row>
    <row r="283" s="4316" customFormat="1" ht="50" customHeight="1" spans="1:84">
      <c r="A283" s="4500">
        <v>45834</v>
      </c>
      <c r="B283" s="4501" t="s">
        <v>1057</v>
      </c>
      <c r="C283" s="3708" t="s">
        <v>396</v>
      </c>
      <c r="D283" s="4502">
        <v>4500171335</v>
      </c>
      <c r="E283" s="3708" t="s">
        <v>1575</v>
      </c>
      <c r="F283" s="4502" t="s">
        <v>1580</v>
      </c>
      <c r="G283" s="3708"/>
      <c r="H283" s="3708" t="s">
        <v>1060</v>
      </c>
      <c r="I283" s="3700" t="s">
        <v>1061</v>
      </c>
      <c r="J283" s="4154">
        <v>288</v>
      </c>
      <c r="K283" s="4154">
        <v>0</v>
      </c>
      <c r="L283" s="4154">
        <v>24</v>
      </c>
      <c r="M283" s="4154">
        <f t="shared" si="113"/>
        <v>12</v>
      </c>
      <c r="N283" s="4503">
        <v>45870</v>
      </c>
      <c r="O283" s="4503">
        <f t="shared" si="132"/>
        <v>45866</v>
      </c>
      <c r="P283" s="4154"/>
      <c r="Q283" s="3726" t="s">
        <v>82</v>
      </c>
      <c r="R283" s="4157"/>
      <c r="S283" s="4157"/>
      <c r="T283" s="4157"/>
      <c r="U283" s="3726" t="s">
        <v>211</v>
      </c>
      <c r="V283" s="3711" t="s">
        <v>1577</v>
      </c>
      <c r="W283" s="3711"/>
      <c r="X283" s="3711" t="s">
        <v>98</v>
      </c>
      <c r="Y283" s="3711"/>
      <c r="Z283" s="3711" t="s">
        <v>1578</v>
      </c>
      <c r="AA283" s="4154"/>
      <c r="AB283" s="3680" t="s">
        <v>1579</v>
      </c>
      <c r="AC283" s="4154" t="s">
        <v>405</v>
      </c>
      <c r="AD283" s="4504">
        <v>2.0854</v>
      </c>
      <c r="AE283" s="4154">
        <f t="shared" si="130"/>
        <v>600.5952</v>
      </c>
      <c r="AF283" s="3726"/>
      <c r="AG283" s="3726"/>
      <c r="AH283" s="4430"/>
      <c r="AI283" s="3708"/>
      <c r="AJ283" s="4430"/>
      <c r="AK283" s="3708">
        <f t="shared" si="133"/>
        <v>288</v>
      </c>
      <c r="AL283" s="3708"/>
      <c r="AM283" s="4154"/>
      <c r="AN283" s="4413"/>
      <c r="AO283" s="1048">
        <f t="shared" si="131"/>
        <v>288</v>
      </c>
      <c r="AP283" s="1048"/>
      <c r="AQ283" s="4413"/>
      <c r="AR283" s="4413"/>
      <c r="AS283" s="1048"/>
      <c r="AT283" s="1048">
        <f t="shared" si="134"/>
        <v>288</v>
      </c>
      <c r="AU283" s="4413"/>
      <c r="AV283" s="4939"/>
      <c r="AW283" s="4939"/>
      <c r="AX283" s="1048"/>
      <c r="AY283" s="4939"/>
      <c r="AZ283" s="4939"/>
      <c r="BA283" s="1048"/>
      <c r="BB283" s="4622"/>
      <c r="BC283" s="4939"/>
      <c r="BD283" s="4622"/>
      <c r="BE283" s="4622"/>
      <c r="BF283" s="4622"/>
      <c r="BG283" s="4622"/>
      <c r="BH283" s="1048"/>
      <c r="BI283" s="4622"/>
      <c r="BJ283" s="1048"/>
      <c r="BK283" s="4415" t="s">
        <v>89</v>
      </c>
      <c r="BL283" s="4415">
        <f t="shared" si="123"/>
        <v>4.8</v>
      </c>
      <c r="BM283" s="4415">
        <f t="shared" si="124"/>
        <v>43.2</v>
      </c>
      <c r="BN283" s="4415">
        <f t="shared" si="125"/>
        <v>48</v>
      </c>
      <c r="BO283" s="4415">
        <f t="shared" si="126"/>
        <v>48</v>
      </c>
      <c r="BP283" s="4415">
        <f t="shared" si="127"/>
        <v>48</v>
      </c>
      <c r="BQ283" s="4414">
        <f t="shared" si="128"/>
        <v>48</v>
      </c>
      <c r="BR283" s="1048">
        <f t="shared" si="129"/>
        <v>48</v>
      </c>
      <c r="BS283" s="4432"/>
      <c r="BT283" s="4432"/>
      <c r="BU283" s="4432"/>
      <c r="BV283" s="4432"/>
      <c r="BW283" s="4432"/>
      <c r="BX283" s="4431"/>
      <c r="BY283" s="4431"/>
      <c r="BZ283" s="3708">
        <f t="shared" si="121"/>
        <v>288</v>
      </c>
      <c r="CA283" s="4154">
        <f t="shared" si="120"/>
        <v>0</v>
      </c>
      <c r="CB283" s="4591"/>
      <c r="CC283" s="4591"/>
      <c r="CD283" s="4323"/>
      <c r="CE283" s="4323"/>
      <c r="CF283" s="4323"/>
    </row>
    <row r="284" s="4316" customFormat="1" ht="50" customHeight="1" spans="1:84">
      <c r="A284" s="4500">
        <v>45834</v>
      </c>
      <c r="B284" s="4501" t="s">
        <v>1057</v>
      </c>
      <c r="C284" s="3708" t="s">
        <v>396</v>
      </c>
      <c r="D284" s="4502">
        <v>4500171335</v>
      </c>
      <c r="E284" s="3708" t="s">
        <v>1575</v>
      </c>
      <c r="F284" s="4502" t="s">
        <v>1581</v>
      </c>
      <c r="G284" s="3708"/>
      <c r="H284" s="3708" t="s">
        <v>1060</v>
      </c>
      <c r="I284" s="3700" t="s">
        <v>1061</v>
      </c>
      <c r="J284" s="4154">
        <v>1152</v>
      </c>
      <c r="K284" s="4154">
        <v>0</v>
      </c>
      <c r="L284" s="4154">
        <v>24</v>
      </c>
      <c r="M284" s="4154">
        <f t="shared" si="113"/>
        <v>48</v>
      </c>
      <c r="N284" s="4503">
        <v>45870</v>
      </c>
      <c r="O284" s="4503">
        <f t="shared" si="132"/>
        <v>45866</v>
      </c>
      <c r="P284" s="4154"/>
      <c r="Q284" s="3726" t="s">
        <v>82</v>
      </c>
      <c r="R284" s="4157"/>
      <c r="S284" s="4157"/>
      <c r="T284" s="4157"/>
      <c r="U284" s="3726" t="s">
        <v>211</v>
      </c>
      <c r="V284" s="3711" t="s">
        <v>1577</v>
      </c>
      <c r="W284" s="3711"/>
      <c r="X284" s="3711" t="s">
        <v>98</v>
      </c>
      <c r="Y284" s="3711"/>
      <c r="Z284" s="3711" t="s">
        <v>1578</v>
      </c>
      <c r="AA284" s="4154"/>
      <c r="AB284" s="3680" t="s">
        <v>1579</v>
      </c>
      <c r="AC284" s="4154" t="s">
        <v>405</v>
      </c>
      <c r="AD284" s="4504">
        <v>2.0331</v>
      </c>
      <c r="AE284" s="4154">
        <f t="shared" si="130"/>
        <v>2342.1312</v>
      </c>
      <c r="AF284" s="3726"/>
      <c r="AG284" s="3726"/>
      <c r="AH284" s="4430"/>
      <c r="AI284" s="3708"/>
      <c r="AJ284" s="4430"/>
      <c r="AK284" s="3708">
        <f t="shared" si="133"/>
        <v>1152</v>
      </c>
      <c r="AL284" s="3708"/>
      <c r="AM284" s="4154"/>
      <c r="AN284" s="4413"/>
      <c r="AO284" s="1048">
        <f t="shared" si="131"/>
        <v>1152</v>
      </c>
      <c r="AP284" s="1048"/>
      <c r="AQ284" s="4413"/>
      <c r="AR284" s="4413"/>
      <c r="AS284" s="1048"/>
      <c r="AT284" s="1048">
        <f t="shared" si="134"/>
        <v>1152</v>
      </c>
      <c r="AU284" s="4413"/>
      <c r="AV284" s="4939"/>
      <c r="AW284" s="4939"/>
      <c r="AX284" s="1048"/>
      <c r="AY284" s="4939"/>
      <c r="AZ284" s="4939"/>
      <c r="BA284" s="1048"/>
      <c r="BB284" s="4622"/>
      <c r="BC284" s="4939"/>
      <c r="BD284" s="4622"/>
      <c r="BE284" s="4622"/>
      <c r="BF284" s="4622"/>
      <c r="BG284" s="4622"/>
      <c r="BH284" s="1048"/>
      <c r="BI284" s="4622"/>
      <c r="BJ284" s="1048"/>
      <c r="BK284" s="4415" t="s">
        <v>89</v>
      </c>
      <c r="BL284" s="4415">
        <f t="shared" si="123"/>
        <v>19.2</v>
      </c>
      <c r="BM284" s="4415">
        <f t="shared" si="124"/>
        <v>172.8</v>
      </c>
      <c r="BN284" s="4415">
        <f t="shared" si="125"/>
        <v>192</v>
      </c>
      <c r="BO284" s="4415">
        <f t="shared" si="126"/>
        <v>192</v>
      </c>
      <c r="BP284" s="4415">
        <f t="shared" si="127"/>
        <v>192</v>
      </c>
      <c r="BQ284" s="4414">
        <f t="shared" si="128"/>
        <v>192</v>
      </c>
      <c r="BR284" s="1048">
        <f t="shared" si="129"/>
        <v>192</v>
      </c>
      <c r="BS284" s="4432"/>
      <c r="BT284" s="4432"/>
      <c r="BU284" s="4432"/>
      <c r="BV284" s="4432"/>
      <c r="BW284" s="4432"/>
      <c r="BX284" s="4431"/>
      <c r="BY284" s="4431"/>
      <c r="BZ284" s="3708">
        <f t="shared" si="121"/>
        <v>1152</v>
      </c>
      <c r="CA284" s="4154">
        <f t="shared" si="120"/>
        <v>0</v>
      </c>
      <c r="CB284" s="4591"/>
      <c r="CC284" s="4591"/>
      <c r="CD284" s="4323"/>
      <c r="CE284" s="4323"/>
      <c r="CF284" s="4323"/>
    </row>
    <row r="285" s="4316" customFormat="1" ht="50" customHeight="1" spans="1:84">
      <c r="A285" s="4500">
        <v>45834</v>
      </c>
      <c r="B285" s="4501" t="s">
        <v>1057</v>
      </c>
      <c r="C285" s="3708" t="s">
        <v>396</v>
      </c>
      <c r="D285" s="4502">
        <v>4500171335</v>
      </c>
      <c r="E285" s="3708" t="s">
        <v>1575</v>
      </c>
      <c r="F285" s="4502" t="s">
        <v>1582</v>
      </c>
      <c r="G285" s="3708"/>
      <c r="H285" s="3708" t="s">
        <v>1060</v>
      </c>
      <c r="I285" s="3700" t="s">
        <v>1061</v>
      </c>
      <c r="J285" s="4154">
        <v>264</v>
      </c>
      <c r="K285" s="4154">
        <v>0</v>
      </c>
      <c r="L285" s="4154">
        <v>24</v>
      </c>
      <c r="M285" s="4154">
        <f t="shared" si="113"/>
        <v>11</v>
      </c>
      <c r="N285" s="4503">
        <v>45870</v>
      </c>
      <c r="O285" s="4503">
        <f t="shared" si="132"/>
        <v>45866</v>
      </c>
      <c r="P285" s="4154"/>
      <c r="Q285" s="3726" t="s">
        <v>82</v>
      </c>
      <c r="R285" s="4157"/>
      <c r="S285" s="4157"/>
      <c r="T285" s="4157"/>
      <c r="U285" s="3726" t="s">
        <v>211</v>
      </c>
      <c r="V285" s="3711" t="s">
        <v>1577</v>
      </c>
      <c r="W285" s="3711"/>
      <c r="X285" s="3711" t="s">
        <v>98</v>
      </c>
      <c r="Y285" s="3711"/>
      <c r="Z285" s="3711" t="s">
        <v>1578</v>
      </c>
      <c r="AA285" s="4154"/>
      <c r="AB285" s="3680" t="s">
        <v>1579</v>
      </c>
      <c r="AC285" s="4154" t="s">
        <v>405</v>
      </c>
      <c r="AD285" s="4504">
        <v>2.0854</v>
      </c>
      <c r="AE285" s="4154">
        <f t="shared" si="130"/>
        <v>550.5456</v>
      </c>
      <c r="AF285" s="3726"/>
      <c r="AG285" s="3726"/>
      <c r="AH285" s="4430"/>
      <c r="AI285" s="3708"/>
      <c r="AJ285" s="4430"/>
      <c r="AK285" s="3708">
        <f t="shared" si="133"/>
        <v>264</v>
      </c>
      <c r="AL285" s="3708"/>
      <c r="AM285" s="4154"/>
      <c r="AN285" s="4413"/>
      <c r="AO285" s="1048">
        <f t="shared" si="131"/>
        <v>264</v>
      </c>
      <c r="AP285" s="1048"/>
      <c r="AQ285" s="4413"/>
      <c r="AR285" s="4413"/>
      <c r="AS285" s="1048"/>
      <c r="AT285" s="1048">
        <f t="shared" si="134"/>
        <v>264</v>
      </c>
      <c r="AU285" s="4413"/>
      <c r="AV285" s="4939"/>
      <c r="AW285" s="4939"/>
      <c r="AX285" s="1048"/>
      <c r="AY285" s="4939"/>
      <c r="AZ285" s="4939"/>
      <c r="BA285" s="1048"/>
      <c r="BB285" s="4622"/>
      <c r="BC285" s="4939"/>
      <c r="BD285" s="4622"/>
      <c r="BE285" s="4622"/>
      <c r="BF285" s="4622"/>
      <c r="BG285" s="4622"/>
      <c r="BH285" s="1048"/>
      <c r="BI285" s="4622"/>
      <c r="BJ285" s="1048"/>
      <c r="BK285" s="4415" t="s">
        <v>89</v>
      </c>
      <c r="BL285" s="4415">
        <f t="shared" si="123"/>
        <v>4.4</v>
      </c>
      <c r="BM285" s="4415">
        <f t="shared" si="124"/>
        <v>39.6</v>
      </c>
      <c r="BN285" s="4415">
        <f t="shared" si="125"/>
        <v>44</v>
      </c>
      <c r="BO285" s="4415">
        <f t="shared" si="126"/>
        <v>44</v>
      </c>
      <c r="BP285" s="4415">
        <f t="shared" si="127"/>
        <v>44</v>
      </c>
      <c r="BQ285" s="4414">
        <f t="shared" si="128"/>
        <v>44</v>
      </c>
      <c r="BR285" s="1048">
        <f t="shared" si="129"/>
        <v>44</v>
      </c>
      <c r="BS285" s="4432"/>
      <c r="BT285" s="4432"/>
      <c r="BU285" s="4432"/>
      <c r="BV285" s="4432"/>
      <c r="BW285" s="4432"/>
      <c r="BX285" s="4431"/>
      <c r="BY285" s="4431"/>
      <c r="BZ285" s="3708">
        <f t="shared" si="121"/>
        <v>264</v>
      </c>
      <c r="CA285" s="4154">
        <f t="shared" si="120"/>
        <v>0</v>
      </c>
      <c r="CB285" s="4591"/>
      <c r="CC285" s="4591"/>
      <c r="CD285" s="4323"/>
      <c r="CE285" s="4323"/>
      <c r="CF285" s="4323"/>
    </row>
    <row r="286" s="4316" customFormat="1" ht="50" customHeight="1" spans="1:84">
      <c r="A286" s="4500">
        <v>45834</v>
      </c>
      <c r="B286" s="4501" t="s">
        <v>1057</v>
      </c>
      <c r="C286" s="3708" t="s">
        <v>396</v>
      </c>
      <c r="D286" s="4502">
        <v>4500171335</v>
      </c>
      <c r="E286" s="3708" t="s">
        <v>1575</v>
      </c>
      <c r="F286" s="4502" t="s">
        <v>1583</v>
      </c>
      <c r="G286" s="3708"/>
      <c r="H286" s="3708" t="s">
        <v>1060</v>
      </c>
      <c r="I286" s="3700" t="s">
        <v>1061</v>
      </c>
      <c r="J286" s="4154">
        <v>480</v>
      </c>
      <c r="K286" s="4154">
        <v>0</v>
      </c>
      <c r="L286" s="4154">
        <v>24</v>
      </c>
      <c r="M286" s="4154">
        <f t="shared" si="113"/>
        <v>20</v>
      </c>
      <c r="N286" s="4503">
        <v>45870</v>
      </c>
      <c r="O286" s="4503">
        <f t="shared" si="132"/>
        <v>45866</v>
      </c>
      <c r="P286" s="4154"/>
      <c r="Q286" s="3726" t="s">
        <v>82</v>
      </c>
      <c r="R286" s="4157"/>
      <c r="S286" s="4157"/>
      <c r="T286" s="4157"/>
      <c r="U286" s="3726" t="s">
        <v>211</v>
      </c>
      <c r="V286" s="3711" t="s">
        <v>1577</v>
      </c>
      <c r="W286" s="3711"/>
      <c r="X286" s="3711" t="s">
        <v>98</v>
      </c>
      <c r="Y286" s="3711"/>
      <c r="Z286" s="3711" t="s">
        <v>1578</v>
      </c>
      <c r="AA286" s="4154"/>
      <c r="AB286" s="3680" t="s">
        <v>1579</v>
      </c>
      <c r="AC286" s="4154" t="s">
        <v>405</v>
      </c>
      <c r="AD286" s="4504">
        <v>2.0854</v>
      </c>
      <c r="AE286" s="4154">
        <f t="shared" si="130"/>
        <v>1000.992</v>
      </c>
      <c r="AF286" s="3726"/>
      <c r="AG286" s="3726"/>
      <c r="AH286" s="4430"/>
      <c r="AI286" s="3708"/>
      <c r="AJ286" s="4430"/>
      <c r="AK286" s="3708">
        <f t="shared" si="133"/>
        <v>480</v>
      </c>
      <c r="AL286" s="3708"/>
      <c r="AM286" s="4154"/>
      <c r="AN286" s="4413"/>
      <c r="AO286" s="1048">
        <f t="shared" si="131"/>
        <v>480</v>
      </c>
      <c r="AP286" s="1048"/>
      <c r="AQ286" s="4413"/>
      <c r="AR286" s="4413"/>
      <c r="AS286" s="1048"/>
      <c r="AT286" s="1048">
        <f t="shared" si="134"/>
        <v>480</v>
      </c>
      <c r="AU286" s="4413"/>
      <c r="AV286" s="4939"/>
      <c r="AW286" s="4939"/>
      <c r="AX286" s="1048"/>
      <c r="AY286" s="4939"/>
      <c r="AZ286" s="4939"/>
      <c r="BA286" s="1048"/>
      <c r="BB286" s="4622"/>
      <c r="BC286" s="4939"/>
      <c r="BD286" s="4622"/>
      <c r="BE286" s="4622"/>
      <c r="BF286" s="4622"/>
      <c r="BG286" s="4622"/>
      <c r="BH286" s="1048"/>
      <c r="BI286" s="4622"/>
      <c r="BJ286" s="1048"/>
      <c r="BK286" s="4415" t="s">
        <v>89</v>
      </c>
      <c r="BL286" s="4415">
        <f t="shared" si="123"/>
        <v>8</v>
      </c>
      <c r="BM286" s="4415">
        <f t="shared" si="124"/>
        <v>72</v>
      </c>
      <c r="BN286" s="4415">
        <f t="shared" si="125"/>
        <v>80</v>
      </c>
      <c r="BO286" s="4415">
        <f t="shared" si="126"/>
        <v>80</v>
      </c>
      <c r="BP286" s="4415">
        <f t="shared" si="127"/>
        <v>80</v>
      </c>
      <c r="BQ286" s="4414">
        <f t="shared" si="128"/>
        <v>80</v>
      </c>
      <c r="BR286" s="1048">
        <f t="shared" si="129"/>
        <v>80</v>
      </c>
      <c r="BS286" s="4432"/>
      <c r="BT286" s="4432"/>
      <c r="BU286" s="4432"/>
      <c r="BV286" s="4432"/>
      <c r="BW286" s="4432"/>
      <c r="BX286" s="4431"/>
      <c r="BY286" s="4431"/>
      <c r="BZ286" s="3708">
        <f t="shared" si="121"/>
        <v>480</v>
      </c>
      <c r="CA286" s="4154">
        <f t="shared" si="120"/>
        <v>0</v>
      </c>
      <c r="CB286" s="4591"/>
      <c r="CC286" s="4591"/>
      <c r="CD286" s="4323"/>
      <c r="CE286" s="4323"/>
      <c r="CF286" s="4323"/>
    </row>
    <row r="287" s="4316" customFormat="1" ht="50" customHeight="1" spans="1:84">
      <c r="A287" s="4500">
        <v>45834</v>
      </c>
      <c r="B287" s="4501" t="s">
        <v>1057</v>
      </c>
      <c r="C287" s="3708" t="s">
        <v>396</v>
      </c>
      <c r="D287" s="4502">
        <v>4500171342</v>
      </c>
      <c r="E287" s="3708" t="s">
        <v>1584</v>
      </c>
      <c r="F287" s="4502" t="s">
        <v>1585</v>
      </c>
      <c r="G287" s="3708"/>
      <c r="H287" s="3708" t="s">
        <v>1060</v>
      </c>
      <c r="I287" s="3700" t="s">
        <v>1061</v>
      </c>
      <c r="J287" s="4154">
        <v>216</v>
      </c>
      <c r="K287" s="4154">
        <v>0</v>
      </c>
      <c r="L287" s="4154">
        <v>24</v>
      </c>
      <c r="M287" s="4154">
        <f t="shared" si="113"/>
        <v>9</v>
      </c>
      <c r="N287" s="4503">
        <v>45870</v>
      </c>
      <c r="O287" s="4503">
        <f t="shared" si="132"/>
        <v>45866</v>
      </c>
      <c r="P287" s="4154"/>
      <c r="Q287" s="3726" t="s">
        <v>82</v>
      </c>
      <c r="R287" s="4157"/>
      <c r="S287" s="4157"/>
      <c r="T287" s="4157"/>
      <c r="U287" s="3726" t="s">
        <v>1483</v>
      </c>
      <c r="V287" s="3711" t="s">
        <v>1577</v>
      </c>
      <c r="W287" s="3711"/>
      <c r="X287" s="3711" t="s">
        <v>98</v>
      </c>
      <c r="Y287" s="3711"/>
      <c r="Z287" s="3711" t="s">
        <v>1578</v>
      </c>
      <c r="AA287" s="4154"/>
      <c r="AB287" s="3680" t="s">
        <v>1586</v>
      </c>
      <c r="AC287" s="4154" t="s">
        <v>405</v>
      </c>
      <c r="AD287" s="4504">
        <v>2.09</v>
      </c>
      <c r="AE287" s="4154">
        <f t="shared" si="130"/>
        <v>451.44</v>
      </c>
      <c r="AF287" s="3726"/>
      <c r="AG287" s="3726"/>
      <c r="AH287" s="4430"/>
      <c r="AI287" s="3708"/>
      <c r="AJ287" s="4430"/>
      <c r="AK287" s="3708">
        <f t="shared" si="133"/>
        <v>216</v>
      </c>
      <c r="AL287" s="3708"/>
      <c r="AM287" s="4154"/>
      <c r="AN287" s="4413"/>
      <c r="AO287" s="1048">
        <f t="shared" si="131"/>
        <v>216</v>
      </c>
      <c r="AP287" s="1048"/>
      <c r="AQ287" s="4413"/>
      <c r="AR287" s="4413"/>
      <c r="AS287" s="1048"/>
      <c r="AT287" s="1048">
        <f t="shared" si="134"/>
        <v>216</v>
      </c>
      <c r="AU287" s="4413"/>
      <c r="AV287" s="4939"/>
      <c r="AW287" s="4939"/>
      <c r="AX287" s="1048"/>
      <c r="AY287" s="4939"/>
      <c r="AZ287" s="4939"/>
      <c r="BA287" s="1048"/>
      <c r="BB287" s="4622"/>
      <c r="BC287" s="4939"/>
      <c r="BD287" s="4622"/>
      <c r="BE287" s="4622"/>
      <c r="BF287" s="4622"/>
      <c r="BG287" s="4622"/>
      <c r="BH287" s="1048"/>
      <c r="BI287" s="4622"/>
      <c r="BJ287" s="1048"/>
      <c r="BK287" s="4415" t="s">
        <v>89</v>
      </c>
      <c r="BL287" s="4415">
        <f t="shared" si="123"/>
        <v>3.6</v>
      </c>
      <c r="BM287" s="4415">
        <f t="shared" si="124"/>
        <v>32.4</v>
      </c>
      <c r="BN287" s="4415">
        <f t="shared" si="125"/>
        <v>36</v>
      </c>
      <c r="BO287" s="4415">
        <f t="shared" si="126"/>
        <v>36</v>
      </c>
      <c r="BP287" s="4415">
        <f t="shared" si="127"/>
        <v>36</v>
      </c>
      <c r="BQ287" s="4414">
        <f t="shared" si="128"/>
        <v>36</v>
      </c>
      <c r="BR287" s="1048">
        <f t="shared" si="129"/>
        <v>36</v>
      </c>
      <c r="BS287" s="4432"/>
      <c r="BT287" s="4432"/>
      <c r="BU287" s="4432"/>
      <c r="BV287" s="4432"/>
      <c r="BW287" s="4432"/>
      <c r="BX287" s="4431"/>
      <c r="BY287" s="4431"/>
      <c r="BZ287" s="3708">
        <f t="shared" si="121"/>
        <v>216</v>
      </c>
      <c r="CA287" s="4154">
        <f t="shared" si="120"/>
        <v>0</v>
      </c>
      <c r="CB287" s="4591"/>
      <c r="CC287" s="4591"/>
      <c r="CD287" s="4323"/>
      <c r="CE287" s="4323"/>
      <c r="CF287" s="4323"/>
    </row>
    <row r="288" s="4316" customFormat="1" ht="50" customHeight="1" spans="1:84">
      <c r="A288" s="4500">
        <v>45834</v>
      </c>
      <c r="B288" s="4501" t="s">
        <v>1057</v>
      </c>
      <c r="C288" s="3708" t="s">
        <v>396</v>
      </c>
      <c r="D288" s="4502">
        <v>4500171342</v>
      </c>
      <c r="E288" s="3708" t="s">
        <v>1584</v>
      </c>
      <c r="F288" s="4502" t="s">
        <v>1587</v>
      </c>
      <c r="G288" s="3708"/>
      <c r="H288" s="3708" t="s">
        <v>1060</v>
      </c>
      <c r="I288" s="3700" t="s">
        <v>1061</v>
      </c>
      <c r="J288" s="4154">
        <v>120</v>
      </c>
      <c r="K288" s="4154">
        <v>0</v>
      </c>
      <c r="L288" s="4154">
        <v>24</v>
      </c>
      <c r="M288" s="4154">
        <f t="shared" si="113"/>
        <v>5</v>
      </c>
      <c r="N288" s="4503">
        <v>45870</v>
      </c>
      <c r="O288" s="4503">
        <f t="shared" si="132"/>
        <v>45866</v>
      </c>
      <c r="P288" s="4154"/>
      <c r="Q288" s="3726" t="s">
        <v>82</v>
      </c>
      <c r="R288" s="4157"/>
      <c r="S288" s="4157"/>
      <c r="T288" s="4157"/>
      <c r="U288" s="3726" t="s">
        <v>1483</v>
      </c>
      <c r="V288" s="3711" t="s">
        <v>1577</v>
      </c>
      <c r="W288" s="3711"/>
      <c r="X288" s="3711" t="s">
        <v>98</v>
      </c>
      <c r="Y288" s="3711"/>
      <c r="Z288" s="3711" t="s">
        <v>1578</v>
      </c>
      <c r="AA288" s="4154"/>
      <c r="AB288" s="3680" t="s">
        <v>1586</v>
      </c>
      <c r="AC288" s="4154" t="s">
        <v>405</v>
      </c>
      <c r="AD288" s="4504">
        <v>2.09</v>
      </c>
      <c r="AE288" s="4154">
        <f t="shared" si="130"/>
        <v>250.8</v>
      </c>
      <c r="AF288" s="3726"/>
      <c r="AG288" s="3726"/>
      <c r="AH288" s="4430"/>
      <c r="AI288" s="3708"/>
      <c r="AJ288" s="4430"/>
      <c r="AK288" s="3708">
        <f t="shared" si="133"/>
        <v>120</v>
      </c>
      <c r="AL288" s="3708"/>
      <c r="AM288" s="4154"/>
      <c r="AN288" s="4413"/>
      <c r="AO288" s="1048">
        <f t="shared" si="131"/>
        <v>120</v>
      </c>
      <c r="AP288" s="1048"/>
      <c r="AQ288" s="4413"/>
      <c r="AR288" s="4413"/>
      <c r="AS288" s="1048"/>
      <c r="AT288" s="1048">
        <f t="shared" si="134"/>
        <v>120</v>
      </c>
      <c r="AU288" s="4413"/>
      <c r="AV288" s="4939"/>
      <c r="AW288" s="4939"/>
      <c r="AX288" s="1048"/>
      <c r="AY288" s="4939"/>
      <c r="AZ288" s="4939"/>
      <c r="BA288" s="1048"/>
      <c r="BB288" s="4622"/>
      <c r="BC288" s="4939"/>
      <c r="BD288" s="4622"/>
      <c r="BE288" s="4622"/>
      <c r="BF288" s="4622"/>
      <c r="BG288" s="4622"/>
      <c r="BH288" s="1048"/>
      <c r="BI288" s="4622"/>
      <c r="BJ288" s="1048"/>
      <c r="BK288" s="4415" t="s">
        <v>89</v>
      </c>
      <c r="BL288" s="4415">
        <f t="shared" si="123"/>
        <v>2</v>
      </c>
      <c r="BM288" s="4415">
        <f t="shared" si="124"/>
        <v>18</v>
      </c>
      <c r="BN288" s="4415">
        <f t="shared" si="125"/>
        <v>20</v>
      </c>
      <c r="BO288" s="4415">
        <f t="shared" si="126"/>
        <v>20</v>
      </c>
      <c r="BP288" s="4415">
        <f t="shared" si="127"/>
        <v>20</v>
      </c>
      <c r="BQ288" s="4414">
        <f t="shared" si="128"/>
        <v>20</v>
      </c>
      <c r="BR288" s="1048">
        <f t="shared" si="129"/>
        <v>20</v>
      </c>
      <c r="BS288" s="4432"/>
      <c r="BT288" s="4432"/>
      <c r="BU288" s="4432"/>
      <c r="BV288" s="4432"/>
      <c r="BW288" s="4432"/>
      <c r="BX288" s="4431"/>
      <c r="BY288" s="4431"/>
      <c r="BZ288" s="3708">
        <f t="shared" si="121"/>
        <v>120</v>
      </c>
      <c r="CA288" s="4154">
        <f t="shared" si="120"/>
        <v>0</v>
      </c>
      <c r="CB288" s="4591"/>
      <c r="CC288" s="4591"/>
      <c r="CD288" s="4323"/>
      <c r="CE288" s="4323"/>
      <c r="CF288" s="4323"/>
    </row>
    <row r="289" s="4316" customFormat="1" ht="50" customHeight="1" spans="1:84">
      <c r="A289" s="4500">
        <v>45834</v>
      </c>
      <c r="B289" s="4501" t="s">
        <v>1057</v>
      </c>
      <c r="C289" s="3708" t="s">
        <v>396</v>
      </c>
      <c r="D289" s="4502">
        <v>4500171342</v>
      </c>
      <c r="E289" s="3708" t="s">
        <v>1584</v>
      </c>
      <c r="F289" s="4502" t="s">
        <v>1588</v>
      </c>
      <c r="G289" s="3708"/>
      <c r="H289" s="3708" t="s">
        <v>1060</v>
      </c>
      <c r="I289" s="3700" t="s">
        <v>1061</v>
      </c>
      <c r="J289" s="4154">
        <v>120</v>
      </c>
      <c r="K289" s="4154">
        <v>0</v>
      </c>
      <c r="L289" s="4154">
        <v>24</v>
      </c>
      <c r="M289" s="4154">
        <f t="shared" si="113"/>
        <v>5</v>
      </c>
      <c r="N289" s="4503">
        <v>45870</v>
      </c>
      <c r="O289" s="4503">
        <f t="shared" si="132"/>
        <v>45866</v>
      </c>
      <c r="P289" s="4154"/>
      <c r="Q289" s="3726" t="s">
        <v>82</v>
      </c>
      <c r="R289" s="4157"/>
      <c r="S289" s="4157"/>
      <c r="T289" s="4157"/>
      <c r="U289" s="3726" t="s">
        <v>1483</v>
      </c>
      <c r="V289" s="3711" t="s">
        <v>1577</v>
      </c>
      <c r="W289" s="3711"/>
      <c r="X289" s="3711" t="s">
        <v>98</v>
      </c>
      <c r="Y289" s="3711"/>
      <c r="Z289" s="3711" t="s">
        <v>1578</v>
      </c>
      <c r="AA289" s="4154"/>
      <c r="AB289" s="3680" t="s">
        <v>1586</v>
      </c>
      <c r="AC289" s="4154" t="s">
        <v>405</v>
      </c>
      <c r="AD289" s="4504">
        <v>2.09</v>
      </c>
      <c r="AE289" s="4154">
        <f t="shared" si="130"/>
        <v>250.8</v>
      </c>
      <c r="AF289" s="3726"/>
      <c r="AG289" s="3726"/>
      <c r="AH289" s="4430"/>
      <c r="AI289" s="3708"/>
      <c r="AJ289" s="4430"/>
      <c r="AK289" s="3708">
        <f t="shared" si="133"/>
        <v>120</v>
      </c>
      <c r="AL289" s="3708"/>
      <c r="AM289" s="4154"/>
      <c r="AN289" s="4413"/>
      <c r="AO289" s="1048">
        <f t="shared" si="131"/>
        <v>120</v>
      </c>
      <c r="AP289" s="1048"/>
      <c r="AQ289" s="4413"/>
      <c r="AR289" s="4413"/>
      <c r="AS289" s="1048"/>
      <c r="AT289" s="1048">
        <f t="shared" si="134"/>
        <v>120</v>
      </c>
      <c r="AU289" s="4413"/>
      <c r="AV289" s="4939"/>
      <c r="AW289" s="4939"/>
      <c r="AX289" s="1048"/>
      <c r="AY289" s="4939"/>
      <c r="AZ289" s="4939"/>
      <c r="BA289" s="1048"/>
      <c r="BB289" s="4622"/>
      <c r="BC289" s="4939"/>
      <c r="BD289" s="4622"/>
      <c r="BE289" s="4622"/>
      <c r="BF289" s="4622"/>
      <c r="BG289" s="4622"/>
      <c r="BH289" s="1048"/>
      <c r="BI289" s="4622"/>
      <c r="BJ289" s="1048"/>
      <c r="BK289" s="4415" t="s">
        <v>89</v>
      </c>
      <c r="BL289" s="4415">
        <f t="shared" si="123"/>
        <v>2</v>
      </c>
      <c r="BM289" s="4415">
        <f t="shared" si="124"/>
        <v>18</v>
      </c>
      <c r="BN289" s="4415">
        <f t="shared" si="125"/>
        <v>20</v>
      </c>
      <c r="BO289" s="4415">
        <f t="shared" si="126"/>
        <v>20</v>
      </c>
      <c r="BP289" s="4415">
        <f t="shared" si="127"/>
        <v>20</v>
      </c>
      <c r="BQ289" s="4414">
        <f t="shared" si="128"/>
        <v>20</v>
      </c>
      <c r="BR289" s="1048">
        <f t="shared" si="129"/>
        <v>20</v>
      </c>
      <c r="BS289" s="4432"/>
      <c r="BT289" s="4432"/>
      <c r="BU289" s="4432"/>
      <c r="BV289" s="4432"/>
      <c r="BW289" s="4432"/>
      <c r="BX289" s="4431"/>
      <c r="BY289" s="4431"/>
      <c r="BZ289" s="3708">
        <f t="shared" si="121"/>
        <v>120</v>
      </c>
      <c r="CA289" s="4154">
        <f t="shared" si="120"/>
        <v>0</v>
      </c>
      <c r="CB289" s="4591"/>
      <c r="CC289" s="4591"/>
      <c r="CD289" s="4323"/>
      <c r="CE289" s="4323"/>
      <c r="CF289" s="4323"/>
    </row>
    <row r="290" s="4316" customFormat="1" ht="50" customHeight="1" spans="1:84">
      <c r="A290" s="4500">
        <v>45834</v>
      </c>
      <c r="B290" s="4501" t="s">
        <v>1057</v>
      </c>
      <c r="C290" s="3708" t="s">
        <v>396</v>
      </c>
      <c r="D290" s="4502">
        <v>4500171342</v>
      </c>
      <c r="E290" s="3708" t="s">
        <v>1584</v>
      </c>
      <c r="F290" s="4502" t="s">
        <v>1589</v>
      </c>
      <c r="G290" s="3708"/>
      <c r="H290" s="3708" t="s">
        <v>1060</v>
      </c>
      <c r="I290" s="3708" t="s">
        <v>1061</v>
      </c>
      <c r="J290" s="4154">
        <v>120</v>
      </c>
      <c r="K290" s="4154">
        <v>0</v>
      </c>
      <c r="L290" s="4154">
        <v>24</v>
      </c>
      <c r="M290" s="4154">
        <f t="shared" si="113"/>
        <v>5</v>
      </c>
      <c r="N290" s="4503">
        <v>45870</v>
      </c>
      <c r="O290" s="4503">
        <f t="shared" si="132"/>
        <v>45866</v>
      </c>
      <c r="P290" s="4154"/>
      <c r="Q290" s="3726" t="s">
        <v>82</v>
      </c>
      <c r="R290" s="4157"/>
      <c r="S290" s="4157"/>
      <c r="T290" s="4157"/>
      <c r="U290" s="3726" t="s">
        <v>1483</v>
      </c>
      <c r="V290" s="3711" t="s">
        <v>1577</v>
      </c>
      <c r="W290" s="3711"/>
      <c r="X290" s="3711" t="s">
        <v>98</v>
      </c>
      <c r="Y290" s="3711"/>
      <c r="Z290" s="3711" t="s">
        <v>1578</v>
      </c>
      <c r="AA290" s="4154"/>
      <c r="AB290" s="3680" t="s">
        <v>1586</v>
      </c>
      <c r="AC290" s="4154" t="s">
        <v>405</v>
      </c>
      <c r="AD290" s="4504">
        <v>2.09</v>
      </c>
      <c r="AE290" s="4154">
        <f t="shared" si="130"/>
        <v>250.8</v>
      </c>
      <c r="AF290" s="3726"/>
      <c r="AG290" s="3726"/>
      <c r="AH290" s="4430"/>
      <c r="AI290" s="3708"/>
      <c r="AJ290" s="4430"/>
      <c r="AK290" s="3708">
        <f t="shared" si="133"/>
        <v>120</v>
      </c>
      <c r="AL290" s="3708"/>
      <c r="AM290" s="4154"/>
      <c r="AN290" s="4413"/>
      <c r="AO290" s="1048">
        <f t="shared" si="131"/>
        <v>120</v>
      </c>
      <c r="AP290" s="1048"/>
      <c r="AQ290" s="4413"/>
      <c r="AR290" s="4413"/>
      <c r="AS290" s="1048"/>
      <c r="AT290" s="1048">
        <f t="shared" si="134"/>
        <v>120</v>
      </c>
      <c r="AU290" s="4413"/>
      <c r="AV290" s="4939"/>
      <c r="AW290" s="4939"/>
      <c r="AX290" s="1048"/>
      <c r="AY290" s="4939"/>
      <c r="AZ290" s="4939"/>
      <c r="BA290" s="1048"/>
      <c r="BB290" s="4622"/>
      <c r="BC290" s="4939"/>
      <c r="BD290" s="4622"/>
      <c r="BE290" s="4622"/>
      <c r="BF290" s="4622"/>
      <c r="BG290" s="4622"/>
      <c r="BH290" s="1048"/>
      <c r="BI290" s="4622"/>
      <c r="BJ290" s="1048"/>
      <c r="BK290" s="4415" t="s">
        <v>89</v>
      </c>
      <c r="BL290" s="4415">
        <f t="shared" si="123"/>
        <v>2</v>
      </c>
      <c r="BM290" s="4415">
        <f t="shared" si="124"/>
        <v>18</v>
      </c>
      <c r="BN290" s="4415">
        <f t="shared" si="125"/>
        <v>20</v>
      </c>
      <c r="BO290" s="4415">
        <f t="shared" si="126"/>
        <v>20</v>
      </c>
      <c r="BP290" s="4415">
        <f t="shared" si="127"/>
        <v>20</v>
      </c>
      <c r="BQ290" s="4414">
        <f t="shared" si="128"/>
        <v>20</v>
      </c>
      <c r="BR290" s="1048">
        <f t="shared" si="129"/>
        <v>20</v>
      </c>
      <c r="BS290" s="4432"/>
      <c r="BT290" s="4432"/>
      <c r="BU290" s="4432"/>
      <c r="BV290" s="4432"/>
      <c r="BW290" s="4432"/>
      <c r="BX290" s="4431"/>
      <c r="BY290" s="4431"/>
      <c r="BZ290" s="3708">
        <f t="shared" si="121"/>
        <v>120</v>
      </c>
      <c r="CA290" s="4154">
        <f t="shared" si="120"/>
        <v>0</v>
      </c>
      <c r="CB290" s="4591"/>
      <c r="CC290" s="4591"/>
      <c r="CD290" s="4323"/>
      <c r="CE290" s="4323"/>
      <c r="CF290" s="4323"/>
    </row>
    <row r="291" s="4316" customFormat="1" ht="50" customHeight="1" spans="1:84">
      <c r="A291" s="4500">
        <v>45750</v>
      </c>
      <c r="B291" s="4501" t="s">
        <v>1315</v>
      </c>
      <c r="C291" s="3708" t="s">
        <v>1316</v>
      </c>
      <c r="D291" s="4502">
        <v>4500162579</v>
      </c>
      <c r="E291" s="3708" t="s">
        <v>1590</v>
      </c>
      <c r="F291" s="4615" t="s">
        <v>1591</v>
      </c>
      <c r="G291" s="3708" t="s">
        <v>1319</v>
      </c>
      <c r="H291" s="3708" t="s">
        <v>1319</v>
      </c>
      <c r="I291" s="3708" t="s">
        <v>1320</v>
      </c>
      <c r="J291" s="4154">
        <v>2700</v>
      </c>
      <c r="K291" s="4154">
        <v>0</v>
      </c>
      <c r="L291" s="4154">
        <v>4</v>
      </c>
      <c r="M291" s="4154">
        <f t="shared" si="113"/>
        <v>675</v>
      </c>
      <c r="N291" s="4503">
        <v>45859</v>
      </c>
      <c r="O291" s="4503">
        <f t="shared" si="132"/>
        <v>45855</v>
      </c>
      <c r="P291" s="3712"/>
      <c r="Q291" s="3726" t="s">
        <v>82</v>
      </c>
      <c r="R291" s="4157"/>
      <c r="S291" s="4157"/>
      <c r="T291" s="4157"/>
      <c r="U291" s="3726" t="s">
        <v>1483</v>
      </c>
      <c r="V291" s="3711" t="s">
        <v>1322</v>
      </c>
      <c r="W291" s="3711"/>
      <c r="X291" s="3711" t="s">
        <v>1379</v>
      </c>
      <c r="Y291" s="3711"/>
      <c r="Z291" s="3711"/>
      <c r="AA291" s="4154" t="s">
        <v>1592</v>
      </c>
      <c r="AB291" s="3680" t="s">
        <v>1376</v>
      </c>
      <c r="AC291" s="4154" t="s">
        <v>1326</v>
      </c>
      <c r="AD291" s="4154">
        <v>16.8855</v>
      </c>
      <c r="AE291" s="4154">
        <f>AD291*M291</f>
        <v>11397.7125</v>
      </c>
      <c r="AF291" s="3726"/>
      <c r="AG291" s="3726"/>
      <c r="AH291" s="4448"/>
      <c r="AI291" s="3708"/>
      <c r="AJ291" s="4448"/>
      <c r="AK291" s="3708"/>
      <c r="AL291" s="3708"/>
      <c r="AM291" s="4154">
        <f>J291</f>
        <v>2700</v>
      </c>
      <c r="AN291" s="4411"/>
      <c r="AO291" s="1048"/>
      <c r="AP291" s="1048">
        <f>J291</f>
        <v>2700</v>
      </c>
      <c r="AQ291" s="4411"/>
      <c r="AR291" s="4411"/>
      <c r="AS291" s="1048">
        <f t="shared" ref="AS291:AS304" si="135">J291</f>
        <v>2700</v>
      </c>
      <c r="AT291" s="1048"/>
      <c r="AU291" s="4411"/>
      <c r="AV291" s="4933"/>
      <c r="AW291" s="4933"/>
      <c r="AX291" s="1048"/>
      <c r="AY291" s="4933"/>
      <c r="AZ291" s="4933"/>
      <c r="BA291" s="1048"/>
      <c r="BB291" s="4622"/>
      <c r="BC291" s="4933"/>
      <c r="BD291" s="4622"/>
      <c r="BE291" s="4622"/>
      <c r="BF291" s="4622"/>
      <c r="BG291" s="4622"/>
      <c r="BH291" s="1048"/>
      <c r="BI291" s="4622"/>
      <c r="BJ291" s="1048"/>
      <c r="BK291" s="4415" t="s">
        <v>1327</v>
      </c>
      <c r="BL291" s="4415">
        <f t="shared" si="123"/>
        <v>45</v>
      </c>
      <c r="BM291" s="4415">
        <f t="shared" si="124"/>
        <v>405</v>
      </c>
      <c r="BN291" s="4415">
        <f t="shared" si="125"/>
        <v>450</v>
      </c>
      <c r="BO291" s="4415">
        <f t="shared" si="126"/>
        <v>450</v>
      </c>
      <c r="BP291" s="4415">
        <f t="shared" si="127"/>
        <v>450</v>
      </c>
      <c r="BQ291" s="4414">
        <f t="shared" si="128"/>
        <v>450</v>
      </c>
      <c r="BR291" s="1048">
        <f t="shared" si="129"/>
        <v>450</v>
      </c>
      <c r="BS291" s="4403"/>
      <c r="BT291" s="4454"/>
      <c r="BU291" s="4454"/>
      <c r="BV291" s="4454"/>
      <c r="BW291" s="4454"/>
      <c r="BX291" s="4453"/>
      <c r="BY291" s="4453"/>
      <c r="BZ291" s="3708">
        <f t="shared" si="121"/>
        <v>2700</v>
      </c>
      <c r="CA291" s="4154">
        <f t="shared" si="120"/>
        <v>0</v>
      </c>
      <c r="CB291" s="4934"/>
      <c r="CC291" s="4934"/>
      <c r="CD291" s="4323"/>
      <c r="CE291" s="4323"/>
      <c r="CF291" s="4323"/>
    </row>
    <row r="292" s="4316" customFormat="1" ht="50" customHeight="1" spans="1:84">
      <c r="A292" s="4500">
        <v>45750</v>
      </c>
      <c r="B292" s="4501" t="s">
        <v>1315</v>
      </c>
      <c r="C292" s="3708" t="s">
        <v>1316</v>
      </c>
      <c r="D292" s="4502">
        <v>4500162579</v>
      </c>
      <c r="E292" s="3708" t="s">
        <v>1593</v>
      </c>
      <c r="F292" s="4615" t="s">
        <v>1594</v>
      </c>
      <c r="G292" s="3708" t="s">
        <v>1319</v>
      </c>
      <c r="H292" s="3708" t="s">
        <v>1319</v>
      </c>
      <c r="I292" s="3708" t="s">
        <v>1320</v>
      </c>
      <c r="J292" s="4154">
        <v>3824</v>
      </c>
      <c r="K292" s="4154">
        <v>0</v>
      </c>
      <c r="L292" s="4154">
        <v>4</v>
      </c>
      <c r="M292" s="4154">
        <f t="shared" si="113"/>
        <v>956</v>
      </c>
      <c r="N292" s="4503">
        <v>45859</v>
      </c>
      <c r="O292" s="4503">
        <f t="shared" si="132"/>
        <v>45855</v>
      </c>
      <c r="P292" s="3712"/>
      <c r="Q292" s="3726" t="s">
        <v>82</v>
      </c>
      <c r="R292" s="4157"/>
      <c r="S292" s="4157"/>
      <c r="T292" s="4157"/>
      <c r="U292" s="3726"/>
      <c r="V292" s="3711" t="s">
        <v>1322</v>
      </c>
      <c r="W292" s="3711"/>
      <c r="X292" s="3711" t="s">
        <v>1379</v>
      </c>
      <c r="Y292" s="3711"/>
      <c r="Z292" s="3711"/>
      <c r="AA292" s="4154" t="s">
        <v>1595</v>
      </c>
      <c r="AB292" s="3680" t="s">
        <v>1376</v>
      </c>
      <c r="AC292" s="4154" t="s">
        <v>1326</v>
      </c>
      <c r="AD292" s="4154">
        <v>16.8314</v>
      </c>
      <c r="AE292" s="4154">
        <f>AD292*M292</f>
        <v>16090.8184</v>
      </c>
      <c r="AF292" s="3726"/>
      <c r="AG292" s="3726"/>
      <c r="AH292" s="4448"/>
      <c r="AI292" s="3708"/>
      <c r="AJ292" s="4448"/>
      <c r="AK292" s="3708"/>
      <c r="AL292" s="3708"/>
      <c r="AM292" s="4154">
        <f>J292</f>
        <v>3824</v>
      </c>
      <c r="AN292" s="4411"/>
      <c r="AO292" s="1048"/>
      <c r="AP292" s="1048">
        <f>J292</f>
        <v>3824</v>
      </c>
      <c r="AQ292" s="4411"/>
      <c r="AR292" s="4411"/>
      <c r="AS292" s="1048">
        <f t="shared" si="135"/>
        <v>3824</v>
      </c>
      <c r="AT292" s="1048"/>
      <c r="AU292" s="4411"/>
      <c r="AV292" s="4933"/>
      <c r="AW292" s="4933"/>
      <c r="AX292" s="1048"/>
      <c r="AY292" s="4933"/>
      <c r="AZ292" s="4933"/>
      <c r="BA292" s="1048"/>
      <c r="BB292" s="4622"/>
      <c r="BC292" s="4933"/>
      <c r="BD292" s="4622"/>
      <c r="BE292" s="4622"/>
      <c r="BF292" s="4622"/>
      <c r="BG292" s="4622"/>
      <c r="BH292" s="1048"/>
      <c r="BI292" s="4622"/>
      <c r="BJ292" s="1048"/>
      <c r="BK292" s="4415" t="s">
        <v>1327</v>
      </c>
      <c r="BL292" s="4415">
        <f t="shared" si="123"/>
        <v>63.7333333333333</v>
      </c>
      <c r="BM292" s="4415">
        <f t="shared" si="124"/>
        <v>573.6</v>
      </c>
      <c r="BN292" s="4415">
        <f t="shared" si="125"/>
        <v>637.333333333333</v>
      </c>
      <c r="BO292" s="4415">
        <f t="shared" si="126"/>
        <v>637.333333333333</v>
      </c>
      <c r="BP292" s="4415">
        <f t="shared" si="127"/>
        <v>637.333333333333</v>
      </c>
      <c r="BQ292" s="4414">
        <f t="shared" si="128"/>
        <v>637.333333333333</v>
      </c>
      <c r="BR292" s="1048">
        <f t="shared" si="129"/>
        <v>637.333333333333</v>
      </c>
      <c r="BS292" s="4403"/>
      <c r="BT292" s="4454"/>
      <c r="BU292" s="4454"/>
      <c r="BV292" s="4454"/>
      <c r="BW292" s="4454"/>
      <c r="BX292" s="4453"/>
      <c r="BY292" s="4453"/>
      <c r="BZ292" s="3708">
        <f t="shared" si="121"/>
        <v>3824</v>
      </c>
      <c r="CA292" s="4154">
        <f t="shared" si="120"/>
        <v>0</v>
      </c>
      <c r="CB292" s="4934"/>
      <c r="CC292" s="4934"/>
      <c r="CD292" s="4323"/>
      <c r="CE292" s="4323"/>
      <c r="CF292" s="4323"/>
    </row>
    <row r="293" s="4316" customFormat="1" ht="50" customHeight="1" spans="1:84">
      <c r="A293" s="4500">
        <v>45838</v>
      </c>
      <c r="B293" s="4501" t="s">
        <v>1596</v>
      </c>
      <c r="C293" s="3708" t="s">
        <v>1430</v>
      </c>
      <c r="D293" s="4502">
        <v>4500172103</v>
      </c>
      <c r="E293" s="3708"/>
      <c r="F293" s="4615" t="s">
        <v>1597</v>
      </c>
      <c r="G293" s="3708"/>
      <c r="H293" s="3708" t="s">
        <v>327</v>
      </c>
      <c r="I293" s="4154" t="s">
        <v>328</v>
      </c>
      <c r="J293" s="4154">
        <v>720</v>
      </c>
      <c r="K293" s="4154">
        <v>0</v>
      </c>
      <c r="L293" s="4154">
        <v>12</v>
      </c>
      <c r="M293" s="4154">
        <f t="shared" si="113"/>
        <v>60</v>
      </c>
      <c r="N293" s="4503">
        <v>45874</v>
      </c>
      <c r="O293" s="4503">
        <v>45870</v>
      </c>
      <c r="P293" s="4154"/>
      <c r="Q293" s="3726" t="s">
        <v>82</v>
      </c>
      <c r="R293" s="4157"/>
      <c r="S293" s="4157"/>
      <c r="T293" s="4157"/>
      <c r="U293" s="3726" t="s">
        <v>224</v>
      </c>
      <c r="V293" s="3711" t="s">
        <v>1598</v>
      </c>
      <c r="W293" s="3711"/>
      <c r="X293" s="3711" t="s">
        <v>98</v>
      </c>
      <c r="Y293" s="3711"/>
      <c r="Z293" s="3711"/>
      <c r="AA293" s="4154"/>
      <c r="AB293" s="3680" t="s">
        <v>1599</v>
      </c>
      <c r="AC293" s="4154" t="s">
        <v>1434</v>
      </c>
      <c r="AD293" s="4504">
        <v>2.0981</v>
      </c>
      <c r="AE293" s="4154">
        <f t="shared" ref="AE293:AE300" si="136">J293*AD293</f>
        <v>1510.632</v>
      </c>
      <c r="AF293" s="3726"/>
      <c r="AG293" s="3726"/>
      <c r="AH293" s="4448"/>
      <c r="AI293" s="3708"/>
      <c r="AJ293" s="4448"/>
      <c r="AK293" s="3708">
        <f>J293</f>
        <v>720</v>
      </c>
      <c r="AL293" s="3708"/>
      <c r="AM293" s="4154"/>
      <c r="AN293" s="4411"/>
      <c r="AO293" s="1048">
        <f t="shared" ref="AO293:AO300" si="137">J293</f>
        <v>720</v>
      </c>
      <c r="AP293" s="1048"/>
      <c r="AQ293" s="4411"/>
      <c r="AR293" s="4411"/>
      <c r="AS293" s="1048">
        <f t="shared" si="135"/>
        <v>720</v>
      </c>
      <c r="AT293" s="1048"/>
      <c r="AU293" s="4411"/>
      <c r="AV293" s="4933"/>
      <c r="AW293" s="4933"/>
      <c r="AX293" s="1048">
        <f>J293/6</f>
        <v>120</v>
      </c>
      <c r="AY293" s="4933"/>
      <c r="AZ293" s="4933"/>
      <c r="BA293" s="1048"/>
      <c r="BB293" s="4622"/>
      <c r="BC293" s="4933"/>
      <c r="BD293" s="4622"/>
      <c r="BE293" s="4622"/>
      <c r="BF293" s="4622"/>
      <c r="BG293" s="4622"/>
      <c r="BH293" s="1048"/>
      <c r="BI293" s="4622"/>
      <c r="BJ293" s="1048"/>
      <c r="BK293" s="4415" t="s">
        <v>89</v>
      </c>
      <c r="BL293" s="4415">
        <f t="shared" si="123"/>
        <v>12</v>
      </c>
      <c r="BM293" s="4415">
        <f t="shared" si="124"/>
        <v>108</v>
      </c>
      <c r="BN293" s="4415">
        <f t="shared" si="125"/>
        <v>120</v>
      </c>
      <c r="BO293" s="4415">
        <f t="shared" si="126"/>
        <v>120</v>
      </c>
      <c r="BP293" s="4415">
        <f t="shared" si="127"/>
        <v>120</v>
      </c>
      <c r="BQ293" s="4414">
        <f t="shared" si="128"/>
        <v>120</v>
      </c>
      <c r="BR293" s="1048">
        <f t="shared" si="129"/>
        <v>120</v>
      </c>
      <c r="BS293" s="4454"/>
      <c r="BT293" s="4454"/>
      <c r="BU293" s="4454"/>
      <c r="BV293" s="4454"/>
      <c r="BW293" s="4454"/>
      <c r="BX293" s="4453"/>
      <c r="BY293" s="4453"/>
      <c r="BZ293" s="3708">
        <f t="shared" si="121"/>
        <v>720</v>
      </c>
      <c r="CA293" s="4154">
        <f t="shared" si="120"/>
        <v>0</v>
      </c>
      <c r="CB293" s="4934"/>
      <c r="CC293" s="4934"/>
      <c r="CD293" s="4323"/>
      <c r="CE293" s="4323"/>
      <c r="CF293" s="4323"/>
    </row>
    <row r="294" s="4316" customFormat="1" ht="50" customHeight="1" spans="1:84">
      <c r="A294" s="4500">
        <v>45798</v>
      </c>
      <c r="B294" s="4501" t="s">
        <v>872</v>
      </c>
      <c r="C294" s="3708" t="s">
        <v>873</v>
      </c>
      <c r="D294" s="4502">
        <v>4500167212</v>
      </c>
      <c r="E294" s="3708"/>
      <c r="F294" s="4502" t="s">
        <v>1600</v>
      </c>
      <c r="G294" s="3708" t="s">
        <v>333</v>
      </c>
      <c r="H294" s="3708" t="s">
        <v>333</v>
      </c>
      <c r="I294" s="3708" t="s">
        <v>328</v>
      </c>
      <c r="J294" s="4593">
        <v>504</v>
      </c>
      <c r="K294" s="4154">
        <v>0</v>
      </c>
      <c r="L294" s="4154">
        <v>24</v>
      </c>
      <c r="M294" s="4154">
        <f t="shared" si="113"/>
        <v>21</v>
      </c>
      <c r="N294" s="4503">
        <v>45876</v>
      </c>
      <c r="O294" s="4503">
        <v>45873</v>
      </c>
      <c r="P294" s="3712"/>
      <c r="Q294" s="4154" t="s">
        <v>82</v>
      </c>
      <c r="R294" s="4157"/>
      <c r="S294" s="4157"/>
      <c r="T294" s="4157"/>
      <c r="U294" s="3726"/>
      <c r="V294" s="3711" t="s">
        <v>1484</v>
      </c>
      <c r="W294" s="3711"/>
      <c r="X294" s="3711" t="s">
        <v>1406</v>
      </c>
      <c r="Y294" s="3711"/>
      <c r="Z294" s="3711"/>
      <c r="AA294" s="4154"/>
      <c r="AB294" s="3680" t="s">
        <v>1601</v>
      </c>
      <c r="AC294" s="4154" t="s">
        <v>1131</v>
      </c>
      <c r="AD294" s="4504">
        <v>2.09</v>
      </c>
      <c r="AE294" s="4154">
        <f t="shared" si="136"/>
        <v>1053.36</v>
      </c>
      <c r="AF294" s="3726"/>
      <c r="AG294" s="3726"/>
      <c r="AH294" s="4448"/>
      <c r="AI294" s="3708">
        <f t="shared" ref="AI294:AI299" si="138">J294</f>
        <v>504</v>
      </c>
      <c r="AJ294" s="4448"/>
      <c r="AK294" s="3708"/>
      <c r="AL294" s="3708"/>
      <c r="AM294" s="4154"/>
      <c r="AN294" s="4411"/>
      <c r="AO294" s="1048">
        <f t="shared" si="137"/>
        <v>504</v>
      </c>
      <c r="AP294" s="1048"/>
      <c r="AQ294" s="4411"/>
      <c r="AR294" s="4411"/>
      <c r="AS294" s="1048">
        <f t="shared" si="135"/>
        <v>504</v>
      </c>
      <c r="AT294" s="1048"/>
      <c r="AU294" s="4411"/>
      <c r="AV294" s="4933"/>
      <c r="AW294" s="4933"/>
      <c r="AX294" s="1048"/>
      <c r="AY294" s="4933"/>
      <c r="AZ294" s="4933"/>
      <c r="BA294" s="1048"/>
      <c r="BB294" s="4622"/>
      <c r="BC294" s="4933"/>
      <c r="BD294" s="4622"/>
      <c r="BE294" s="4622"/>
      <c r="BF294" s="4622"/>
      <c r="BG294" s="4622"/>
      <c r="BH294" s="1048"/>
      <c r="BI294" s="4622"/>
      <c r="BJ294" s="1048"/>
      <c r="BK294" s="4415" t="s">
        <v>89</v>
      </c>
      <c r="BL294" s="4415">
        <f t="shared" si="123"/>
        <v>8.4</v>
      </c>
      <c r="BM294" s="4415">
        <f t="shared" si="124"/>
        <v>75.6</v>
      </c>
      <c r="BN294" s="4415">
        <f t="shared" si="125"/>
        <v>84</v>
      </c>
      <c r="BO294" s="4415">
        <f t="shared" si="126"/>
        <v>84</v>
      </c>
      <c r="BP294" s="4415">
        <f t="shared" si="127"/>
        <v>84</v>
      </c>
      <c r="BQ294" s="4414">
        <f t="shared" si="128"/>
        <v>84</v>
      </c>
      <c r="BR294" s="1048">
        <f t="shared" si="129"/>
        <v>84</v>
      </c>
      <c r="BS294" s="4403"/>
      <c r="BT294" s="4403"/>
      <c r="BU294" s="4403"/>
      <c r="BV294" s="4403"/>
      <c r="BW294" s="4403"/>
      <c r="BX294" s="4404"/>
      <c r="BY294" s="4404"/>
      <c r="BZ294" s="3708">
        <f t="shared" si="121"/>
        <v>504</v>
      </c>
      <c r="CA294" s="4154">
        <f t="shared" si="120"/>
        <v>0</v>
      </c>
      <c r="CB294" s="4390"/>
      <c r="CC294" s="4390"/>
      <c r="CD294" s="4323"/>
      <c r="CE294" s="4323"/>
      <c r="CF294" s="4323"/>
    </row>
    <row r="295" s="4316" customFormat="1" ht="50" customHeight="1" spans="1:84">
      <c r="A295" s="4500">
        <v>45838</v>
      </c>
      <c r="B295" s="4501" t="s">
        <v>1602</v>
      </c>
      <c r="C295" s="3708" t="s">
        <v>91</v>
      </c>
      <c r="D295" s="4502">
        <v>4500171211</v>
      </c>
      <c r="E295" s="3708">
        <v>1617097</v>
      </c>
      <c r="F295" s="4502" t="s">
        <v>1603</v>
      </c>
      <c r="G295" s="3708"/>
      <c r="H295" s="3708" t="s">
        <v>333</v>
      </c>
      <c r="I295" s="3708" t="s">
        <v>328</v>
      </c>
      <c r="J295" s="4593">
        <v>3216</v>
      </c>
      <c r="K295" s="4154">
        <v>0</v>
      </c>
      <c r="L295" s="4154">
        <v>24</v>
      </c>
      <c r="M295" s="4154">
        <f t="shared" si="113"/>
        <v>134</v>
      </c>
      <c r="N295" s="4503">
        <v>45875</v>
      </c>
      <c r="O295" s="4503">
        <v>45871</v>
      </c>
      <c r="P295" s="4154"/>
      <c r="Q295" s="3726" t="s">
        <v>82</v>
      </c>
      <c r="R295" s="4157"/>
      <c r="S295" s="4157"/>
      <c r="T295" s="4157"/>
      <c r="U295" s="3726" t="s">
        <v>1565</v>
      </c>
      <c r="V295" s="3711" t="s">
        <v>1604</v>
      </c>
      <c r="W295" s="3711"/>
      <c r="X295" s="3711" t="s">
        <v>98</v>
      </c>
      <c r="Y295" s="3711"/>
      <c r="Z295" s="3711" t="s">
        <v>1605</v>
      </c>
      <c r="AA295" s="4154"/>
      <c r="AB295" s="3680" t="s">
        <v>1606</v>
      </c>
      <c r="AC295" s="4154" t="s">
        <v>1607</v>
      </c>
      <c r="AD295" s="4504">
        <v>1.2491</v>
      </c>
      <c r="AE295" s="4154">
        <f t="shared" si="136"/>
        <v>4017.1056</v>
      </c>
      <c r="AF295" s="3726" t="s">
        <v>1608</v>
      </c>
      <c r="AG295" s="3726"/>
      <c r="AH295" s="4430"/>
      <c r="AI295" s="3708">
        <f t="shared" si="138"/>
        <v>3216</v>
      </c>
      <c r="AJ295" s="4430"/>
      <c r="AK295" s="3708"/>
      <c r="AL295" s="3708"/>
      <c r="AM295" s="4154"/>
      <c r="AN295" s="4413"/>
      <c r="AO295" s="1048">
        <f t="shared" si="137"/>
        <v>3216</v>
      </c>
      <c r="AP295" s="1048"/>
      <c r="AQ295" s="4413"/>
      <c r="AR295" s="4413"/>
      <c r="AS295" s="1048">
        <f t="shared" si="135"/>
        <v>3216</v>
      </c>
      <c r="AT295" s="1048"/>
      <c r="AU295" s="4413"/>
      <c r="AV295" s="4939"/>
      <c r="AW295" s="4939"/>
      <c r="AX295" s="1048"/>
      <c r="AY295" s="4939"/>
      <c r="AZ295" s="4939"/>
      <c r="BA295" s="1048"/>
      <c r="BB295" s="4622"/>
      <c r="BC295" s="4939"/>
      <c r="BD295" s="4622"/>
      <c r="BE295" s="4622"/>
      <c r="BF295" s="4622"/>
      <c r="BG295" s="4622"/>
      <c r="BH295" s="1048"/>
      <c r="BI295" s="4622"/>
      <c r="BJ295" s="1048"/>
      <c r="BK295" s="4415" t="s">
        <v>89</v>
      </c>
      <c r="BL295" s="4415">
        <f t="shared" si="123"/>
        <v>53.6</v>
      </c>
      <c r="BM295" s="4415">
        <f t="shared" si="124"/>
        <v>482.4</v>
      </c>
      <c r="BN295" s="4415">
        <f t="shared" si="125"/>
        <v>536</v>
      </c>
      <c r="BO295" s="4415">
        <f t="shared" si="126"/>
        <v>536</v>
      </c>
      <c r="BP295" s="4415">
        <f t="shared" si="127"/>
        <v>536</v>
      </c>
      <c r="BQ295" s="4414">
        <f t="shared" si="128"/>
        <v>536</v>
      </c>
      <c r="BR295" s="1048">
        <f t="shared" si="129"/>
        <v>536</v>
      </c>
      <c r="BS295" s="4432"/>
      <c r="BT295" s="4432"/>
      <c r="BU295" s="4432"/>
      <c r="BV295" s="4432"/>
      <c r="BW295" s="4432"/>
      <c r="BX295" s="4431"/>
      <c r="BY295" s="4431"/>
      <c r="BZ295" s="3708">
        <f t="shared" si="121"/>
        <v>3216</v>
      </c>
      <c r="CA295" s="4154">
        <f t="shared" si="120"/>
        <v>0</v>
      </c>
      <c r="CB295" s="4591"/>
      <c r="CC295" s="4591"/>
      <c r="CD295" s="4323"/>
      <c r="CE295" s="4323"/>
      <c r="CF295" s="4323"/>
    </row>
    <row r="296" s="4316" customFormat="1" ht="50" customHeight="1" spans="1:84">
      <c r="A296" s="4500">
        <v>45838</v>
      </c>
      <c r="B296" s="4501" t="s">
        <v>1602</v>
      </c>
      <c r="C296" s="3708" t="s">
        <v>91</v>
      </c>
      <c r="D296" s="4502">
        <v>4500170885</v>
      </c>
      <c r="E296" s="3708">
        <v>1617098</v>
      </c>
      <c r="F296" s="4502" t="s">
        <v>1609</v>
      </c>
      <c r="G296" s="3708"/>
      <c r="H296" s="3708" t="s">
        <v>333</v>
      </c>
      <c r="I296" s="3708" t="s">
        <v>328</v>
      </c>
      <c r="J296" s="4593">
        <v>1584</v>
      </c>
      <c r="K296" s="4154">
        <v>0</v>
      </c>
      <c r="L296" s="4154">
        <v>24</v>
      </c>
      <c r="M296" s="4154">
        <f t="shared" si="113"/>
        <v>66</v>
      </c>
      <c r="N296" s="4503">
        <v>45875</v>
      </c>
      <c r="O296" s="4503">
        <v>45871</v>
      </c>
      <c r="P296" s="3712"/>
      <c r="Q296" s="4154" t="s">
        <v>82</v>
      </c>
      <c r="R296" s="4157"/>
      <c r="S296" s="4157"/>
      <c r="T296" s="4157"/>
      <c r="U296" s="3726" t="s">
        <v>1565</v>
      </c>
      <c r="V296" s="3711" t="s">
        <v>1604</v>
      </c>
      <c r="W296" s="3711"/>
      <c r="X296" s="3711" t="s">
        <v>98</v>
      </c>
      <c r="Y296" s="3711"/>
      <c r="Z296" s="3711" t="s">
        <v>1605</v>
      </c>
      <c r="AA296" s="4154"/>
      <c r="AB296" s="3680" t="s">
        <v>1606</v>
      </c>
      <c r="AC296" s="4154" t="s">
        <v>1607</v>
      </c>
      <c r="AD296" s="4504">
        <v>1.2512</v>
      </c>
      <c r="AE296" s="4154">
        <f t="shared" si="136"/>
        <v>1981.9008</v>
      </c>
      <c r="AF296" s="3726" t="s">
        <v>1610</v>
      </c>
      <c r="AG296" s="3726"/>
      <c r="AH296" s="4430"/>
      <c r="AI296" s="3708">
        <f t="shared" si="138"/>
        <v>1584</v>
      </c>
      <c r="AJ296" s="4430"/>
      <c r="AK296" s="3708"/>
      <c r="AL296" s="3708"/>
      <c r="AM296" s="4154"/>
      <c r="AN296" s="4413"/>
      <c r="AO296" s="1048">
        <f t="shared" si="137"/>
        <v>1584</v>
      </c>
      <c r="AP296" s="1048"/>
      <c r="AQ296" s="4413"/>
      <c r="AR296" s="4413"/>
      <c r="AS296" s="1048">
        <f t="shared" si="135"/>
        <v>1584</v>
      </c>
      <c r="AT296" s="1048"/>
      <c r="AU296" s="4413"/>
      <c r="AV296" s="4939"/>
      <c r="AW296" s="4939"/>
      <c r="AX296" s="1048"/>
      <c r="AY296" s="4939"/>
      <c r="AZ296" s="4939"/>
      <c r="BA296" s="1048"/>
      <c r="BB296" s="4622"/>
      <c r="BC296" s="4939"/>
      <c r="BD296" s="4622"/>
      <c r="BE296" s="4622"/>
      <c r="BF296" s="4622"/>
      <c r="BG296" s="4622"/>
      <c r="BH296" s="1048"/>
      <c r="BI296" s="4622"/>
      <c r="BJ296" s="1048"/>
      <c r="BK296" s="4415" t="s">
        <v>89</v>
      </c>
      <c r="BL296" s="4415">
        <f t="shared" si="123"/>
        <v>26.4</v>
      </c>
      <c r="BM296" s="4415">
        <f t="shared" si="124"/>
        <v>237.6</v>
      </c>
      <c r="BN296" s="4415">
        <f t="shared" si="125"/>
        <v>264</v>
      </c>
      <c r="BO296" s="4415">
        <f t="shared" si="126"/>
        <v>264</v>
      </c>
      <c r="BP296" s="4415">
        <f t="shared" si="127"/>
        <v>264</v>
      </c>
      <c r="BQ296" s="4414">
        <f t="shared" si="128"/>
        <v>264</v>
      </c>
      <c r="BR296" s="1048">
        <f t="shared" si="129"/>
        <v>264</v>
      </c>
      <c r="BS296" s="4432"/>
      <c r="BT296" s="4432"/>
      <c r="BU296" s="4432"/>
      <c r="BV296" s="4432"/>
      <c r="BW296" s="4432"/>
      <c r="BX296" s="4431"/>
      <c r="BY296" s="4431"/>
      <c r="BZ296" s="3708">
        <f t="shared" si="121"/>
        <v>1584</v>
      </c>
      <c r="CA296" s="4154">
        <f t="shared" si="120"/>
        <v>0</v>
      </c>
      <c r="CB296" s="4591"/>
      <c r="CC296" s="4591"/>
      <c r="CD296" s="4323"/>
      <c r="CE296" s="4323"/>
      <c r="CF296" s="4323"/>
    </row>
    <row r="297" s="4316" customFormat="1" ht="50" customHeight="1" spans="1:84">
      <c r="A297" s="4500">
        <v>45831</v>
      </c>
      <c r="B297" s="4501" t="s">
        <v>839</v>
      </c>
      <c r="C297" s="3708" t="s">
        <v>840</v>
      </c>
      <c r="D297" s="4502">
        <v>4500170978</v>
      </c>
      <c r="E297" s="3708">
        <v>20935533</v>
      </c>
      <c r="F297" s="4615" t="s">
        <v>1611</v>
      </c>
      <c r="G297" s="3708"/>
      <c r="H297" s="3708" t="s">
        <v>508</v>
      </c>
      <c r="I297" s="3708" t="s">
        <v>328</v>
      </c>
      <c r="J297" s="4593">
        <v>78</v>
      </c>
      <c r="K297" s="4154">
        <v>0</v>
      </c>
      <c r="L297" s="4154">
        <v>6</v>
      </c>
      <c r="M297" s="4154">
        <f t="shared" si="113"/>
        <v>13</v>
      </c>
      <c r="N297" s="4503">
        <v>45873</v>
      </c>
      <c r="O297" s="4503">
        <f>N297-4</f>
        <v>45869</v>
      </c>
      <c r="P297" s="4154"/>
      <c r="Q297" s="3726" t="s">
        <v>82</v>
      </c>
      <c r="R297" s="4157"/>
      <c r="S297" s="4157"/>
      <c r="T297" s="4157"/>
      <c r="U297" s="3726" t="s">
        <v>1612</v>
      </c>
      <c r="V297" s="3711" t="s">
        <v>1604</v>
      </c>
      <c r="W297" s="3711"/>
      <c r="X297" s="3711" t="s">
        <v>1613</v>
      </c>
      <c r="Y297" s="3711"/>
      <c r="Z297" s="3711"/>
      <c r="AA297" s="4154"/>
      <c r="AB297" s="3680" t="s">
        <v>1614</v>
      </c>
      <c r="AC297" s="4154" t="s">
        <v>513</v>
      </c>
      <c r="AD297" s="4504">
        <v>2.3151</v>
      </c>
      <c r="AE297" s="4154">
        <f t="shared" si="136"/>
        <v>180.5778</v>
      </c>
      <c r="AF297" s="3726"/>
      <c r="AG297" s="3726"/>
      <c r="AH297" s="4430"/>
      <c r="AI297" s="3708">
        <f t="shared" si="138"/>
        <v>78</v>
      </c>
      <c r="AJ297" s="4430"/>
      <c r="AK297" s="3708"/>
      <c r="AL297" s="3708"/>
      <c r="AM297" s="4154"/>
      <c r="AN297" s="4413"/>
      <c r="AO297" s="1048">
        <f t="shared" si="137"/>
        <v>78</v>
      </c>
      <c r="AP297" s="1048"/>
      <c r="AQ297" s="4413"/>
      <c r="AR297" s="4413"/>
      <c r="AS297" s="1048">
        <f t="shared" si="135"/>
        <v>78</v>
      </c>
      <c r="AT297" s="1048"/>
      <c r="AU297" s="4413"/>
      <c r="AV297" s="4939"/>
      <c r="AW297" s="4939"/>
      <c r="AX297" s="1048">
        <f>J297/6</f>
        <v>13</v>
      </c>
      <c r="AY297" s="4939"/>
      <c r="AZ297" s="4939"/>
      <c r="BA297" s="1048"/>
      <c r="BB297" s="4622"/>
      <c r="BC297" s="4939"/>
      <c r="BD297" s="4622"/>
      <c r="BE297" s="4622"/>
      <c r="BF297" s="4622"/>
      <c r="BG297" s="4622"/>
      <c r="BH297" s="1048"/>
      <c r="BI297" s="4622"/>
      <c r="BJ297" s="1048"/>
      <c r="BK297" s="4415" t="s">
        <v>89</v>
      </c>
      <c r="BL297" s="4415">
        <f t="shared" si="123"/>
        <v>1.3</v>
      </c>
      <c r="BM297" s="4415">
        <f t="shared" si="124"/>
        <v>11.7</v>
      </c>
      <c r="BN297" s="4415">
        <f t="shared" si="125"/>
        <v>13</v>
      </c>
      <c r="BO297" s="4415">
        <f t="shared" si="126"/>
        <v>13</v>
      </c>
      <c r="BP297" s="4415">
        <f t="shared" si="127"/>
        <v>13</v>
      </c>
      <c r="BQ297" s="4414">
        <f t="shared" si="128"/>
        <v>13</v>
      </c>
      <c r="BR297" s="1048">
        <f t="shared" si="129"/>
        <v>13</v>
      </c>
      <c r="BS297" s="4432"/>
      <c r="BT297" s="4432"/>
      <c r="BU297" s="4432"/>
      <c r="BV297" s="4432"/>
      <c r="BW297" s="4432"/>
      <c r="BX297" s="4431"/>
      <c r="BY297" s="4431"/>
      <c r="BZ297" s="3708">
        <f t="shared" si="121"/>
        <v>78</v>
      </c>
      <c r="CA297" s="4154">
        <f t="shared" si="120"/>
        <v>0</v>
      </c>
      <c r="CB297" s="4591"/>
      <c r="CC297" s="4591"/>
      <c r="CD297" s="4323"/>
      <c r="CE297" s="4323"/>
      <c r="CF297" s="4323"/>
    </row>
    <row r="298" s="4316" customFormat="1" ht="50" customHeight="1" spans="1:84">
      <c r="A298" s="4500">
        <v>45831</v>
      </c>
      <c r="B298" s="4501" t="s">
        <v>505</v>
      </c>
      <c r="C298" s="3708" t="s">
        <v>506</v>
      </c>
      <c r="D298" s="4502">
        <v>4500170975</v>
      </c>
      <c r="E298" s="3708">
        <v>20935532</v>
      </c>
      <c r="F298" s="4615" t="s">
        <v>1615</v>
      </c>
      <c r="G298" s="3708"/>
      <c r="H298" s="3708" t="s">
        <v>508</v>
      </c>
      <c r="I298" s="3708" t="s">
        <v>328</v>
      </c>
      <c r="J298" s="4593">
        <v>1422</v>
      </c>
      <c r="K298" s="4154">
        <v>0</v>
      </c>
      <c r="L298" s="4154">
        <v>6</v>
      </c>
      <c r="M298" s="4154">
        <f t="shared" si="113"/>
        <v>237</v>
      </c>
      <c r="N298" s="4503">
        <v>45873</v>
      </c>
      <c r="O298" s="4503">
        <f>N298-4</f>
        <v>45869</v>
      </c>
      <c r="P298" s="4154"/>
      <c r="Q298" s="3726" t="s">
        <v>82</v>
      </c>
      <c r="R298" s="4157"/>
      <c r="S298" s="4157"/>
      <c r="T298" s="4157"/>
      <c r="U298" s="3726" t="s">
        <v>1612</v>
      </c>
      <c r="V298" s="3711" t="s">
        <v>1604</v>
      </c>
      <c r="W298" s="3711"/>
      <c r="X298" s="3711" t="s">
        <v>1613</v>
      </c>
      <c r="Y298" s="3711"/>
      <c r="Z298" s="3711"/>
      <c r="AA298" s="4154"/>
      <c r="AB298" s="3680" t="s">
        <v>1616</v>
      </c>
      <c r="AC298" s="4154" t="s">
        <v>513</v>
      </c>
      <c r="AD298" s="4504">
        <v>2.3106</v>
      </c>
      <c r="AE298" s="4154">
        <f t="shared" si="136"/>
        <v>3285.6732</v>
      </c>
      <c r="AF298" s="3726"/>
      <c r="AG298" s="3726"/>
      <c r="AH298" s="4430"/>
      <c r="AI298" s="3708">
        <f t="shared" si="138"/>
        <v>1422</v>
      </c>
      <c r="AJ298" s="4430"/>
      <c r="AK298" s="3708"/>
      <c r="AL298" s="3708"/>
      <c r="AM298" s="4154"/>
      <c r="AN298" s="4413"/>
      <c r="AO298" s="1048">
        <f t="shared" si="137"/>
        <v>1422</v>
      </c>
      <c r="AP298" s="1048"/>
      <c r="AQ298" s="4413"/>
      <c r="AR298" s="4413"/>
      <c r="AS298" s="1048">
        <f t="shared" si="135"/>
        <v>1422</v>
      </c>
      <c r="AT298" s="1048"/>
      <c r="AU298" s="4413"/>
      <c r="AV298" s="4939"/>
      <c r="AW298" s="4939"/>
      <c r="AX298" s="1048">
        <f>J298/6</f>
        <v>237</v>
      </c>
      <c r="AY298" s="4939"/>
      <c r="AZ298" s="4939"/>
      <c r="BA298" s="1048"/>
      <c r="BB298" s="4622"/>
      <c r="BC298" s="4939"/>
      <c r="BD298" s="4622"/>
      <c r="BE298" s="4622"/>
      <c r="BF298" s="4622"/>
      <c r="BG298" s="4622"/>
      <c r="BH298" s="1048"/>
      <c r="BI298" s="4622"/>
      <c r="BJ298" s="1048"/>
      <c r="BK298" s="4415" t="s">
        <v>89</v>
      </c>
      <c r="BL298" s="4415">
        <f t="shared" si="123"/>
        <v>23.7</v>
      </c>
      <c r="BM298" s="4415">
        <f t="shared" si="124"/>
        <v>213.3</v>
      </c>
      <c r="BN298" s="4415">
        <f t="shared" si="125"/>
        <v>237</v>
      </c>
      <c r="BO298" s="4415">
        <f t="shared" si="126"/>
        <v>237</v>
      </c>
      <c r="BP298" s="4415">
        <f t="shared" si="127"/>
        <v>237</v>
      </c>
      <c r="BQ298" s="4414">
        <f t="shared" si="128"/>
        <v>237</v>
      </c>
      <c r="BR298" s="1048">
        <f t="shared" si="129"/>
        <v>237</v>
      </c>
      <c r="BS298" s="4432"/>
      <c r="BT298" s="4432"/>
      <c r="BU298" s="4432"/>
      <c r="BV298" s="4432"/>
      <c r="BW298" s="4432"/>
      <c r="BX298" s="4431"/>
      <c r="BY298" s="4431"/>
      <c r="BZ298" s="3708">
        <f t="shared" si="121"/>
        <v>1422</v>
      </c>
      <c r="CA298" s="4154">
        <f t="shared" si="120"/>
        <v>0</v>
      </c>
      <c r="CB298" s="4591"/>
      <c r="CC298" s="4591"/>
      <c r="CD298" s="4323"/>
      <c r="CE298" s="4323"/>
      <c r="CF298" s="4323"/>
    </row>
    <row r="299" s="4316" customFormat="1" ht="50" customHeight="1" spans="1:84">
      <c r="A299" s="4500">
        <v>45836</v>
      </c>
      <c r="B299" s="4501" t="s">
        <v>1617</v>
      </c>
      <c r="C299" s="3708" t="s">
        <v>91</v>
      </c>
      <c r="D299" s="4502">
        <v>4500171778</v>
      </c>
      <c r="E299" s="3708">
        <v>70072654</v>
      </c>
      <c r="F299" s="4615" t="s">
        <v>1618</v>
      </c>
      <c r="G299" s="3708"/>
      <c r="H299" s="3708" t="s">
        <v>333</v>
      </c>
      <c r="I299" s="3708" t="s">
        <v>328</v>
      </c>
      <c r="J299" s="4593">
        <v>480</v>
      </c>
      <c r="K299" s="4154">
        <v>0</v>
      </c>
      <c r="L299" s="4154">
        <v>24</v>
      </c>
      <c r="M299" s="4154">
        <f t="shared" si="113"/>
        <v>20</v>
      </c>
      <c r="N299" s="4503">
        <v>45874</v>
      </c>
      <c r="O299" s="4503">
        <v>45870</v>
      </c>
      <c r="P299" s="4154"/>
      <c r="Q299" s="3726" t="s">
        <v>82</v>
      </c>
      <c r="R299" s="4157"/>
      <c r="S299" s="4157"/>
      <c r="T299" s="4157"/>
      <c r="U299" s="3726" t="s">
        <v>224</v>
      </c>
      <c r="V299" s="3711" t="s">
        <v>1619</v>
      </c>
      <c r="W299" s="3711"/>
      <c r="X299" s="3711" t="s">
        <v>98</v>
      </c>
      <c r="Y299" s="3711"/>
      <c r="Z299" s="3711" t="s">
        <v>1620</v>
      </c>
      <c r="AA299" s="4154"/>
      <c r="AB299" s="3680" t="s">
        <v>1621</v>
      </c>
      <c r="AC299" s="4154" t="s">
        <v>393</v>
      </c>
      <c r="AD299" s="4504">
        <v>1.2226</v>
      </c>
      <c r="AE299" s="4154">
        <f t="shared" si="136"/>
        <v>586.848</v>
      </c>
      <c r="AF299" s="3726" t="s">
        <v>1622</v>
      </c>
      <c r="AG299" s="3726"/>
      <c r="AH299" s="4430"/>
      <c r="AI299" s="3708">
        <f t="shared" si="138"/>
        <v>480</v>
      </c>
      <c r="AJ299" s="4430"/>
      <c r="AK299" s="3708"/>
      <c r="AL299" s="3708"/>
      <c r="AM299" s="4154"/>
      <c r="AN299" s="4413"/>
      <c r="AO299" s="1048">
        <f t="shared" si="137"/>
        <v>480</v>
      </c>
      <c r="AP299" s="1048"/>
      <c r="AQ299" s="4413"/>
      <c r="AR299" s="4413"/>
      <c r="AS299" s="1048">
        <f t="shared" si="135"/>
        <v>480</v>
      </c>
      <c r="AT299" s="1048"/>
      <c r="AU299" s="4413"/>
      <c r="AV299" s="4939"/>
      <c r="AW299" s="4939"/>
      <c r="AX299" s="1048"/>
      <c r="AY299" s="4939"/>
      <c r="AZ299" s="4939"/>
      <c r="BA299" s="1048"/>
      <c r="BB299" s="4622"/>
      <c r="BC299" s="4939"/>
      <c r="BD299" s="4622"/>
      <c r="BE299" s="4622"/>
      <c r="BF299" s="4622"/>
      <c r="BG299" s="4622"/>
      <c r="BH299" s="1048"/>
      <c r="BI299" s="4622"/>
      <c r="BJ299" s="1048"/>
      <c r="BK299" s="4415" t="s">
        <v>89</v>
      </c>
      <c r="BL299" s="4415">
        <f t="shared" si="123"/>
        <v>8</v>
      </c>
      <c r="BM299" s="4415">
        <f t="shared" si="124"/>
        <v>72</v>
      </c>
      <c r="BN299" s="4415">
        <f t="shared" si="125"/>
        <v>80</v>
      </c>
      <c r="BO299" s="4415">
        <f t="shared" si="126"/>
        <v>80</v>
      </c>
      <c r="BP299" s="4415">
        <f t="shared" si="127"/>
        <v>80</v>
      </c>
      <c r="BQ299" s="4414">
        <f t="shared" si="128"/>
        <v>80</v>
      </c>
      <c r="BR299" s="1048">
        <f t="shared" si="129"/>
        <v>80</v>
      </c>
      <c r="BS299" s="4432"/>
      <c r="BT299" s="4432"/>
      <c r="BU299" s="4432"/>
      <c r="BV299" s="4432"/>
      <c r="BW299" s="4432"/>
      <c r="BX299" s="4431"/>
      <c r="BY299" s="4431"/>
      <c r="BZ299" s="3708">
        <f t="shared" si="121"/>
        <v>480</v>
      </c>
      <c r="CA299" s="4154">
        <f t="shared" si="120"/>
        <v>0</v>
      </c>
      <c r="CB299" s="4591"/>
      <c r="CC299" s="4591"/>
      <c r="CD299" s="4323"/>
      <c r="CE299" s="4323"/>
      <c r="CF299" s="4323"/>
    </row>
    <row r="300" s="4316" customFormat="1" ht="50" customHeight="1" spans="1:84">
      <c r="A300" s="4500">
        <v>45840</v>
      </c>
      <c r="B300" s="4501" t="s">
        <v>1623</v>
      </c>
      <c r="C300" s="3708" t="s">
        <v>1624</v>
      </c>
      <c r="D300" s="4502">
        <v>4500172335</v>
      </c>
      <c r="E300" s="3708">
        <v>382077</v>
      </c>
      <c r="F300" s="4502" t="s">
        <v>1625</v>
      </c>
      <c r="G300" s="3708"/>
      <c r="H300" s="3708" t="s">
        <v>1626</v>
      </c>
      <c r="I300" s="4154" t="s">
        <v>328</v>
      </c>
      <c r="J300" s="4593">
        <v>1800</v>
      </c>
      <c r="K300" s="4154">
        <v>0</v>
      </c>
      <c r="L300" s="4154">
        <v>6</v>
      </c>
      <c r="M300" s="4154">
        <f t="shared" si="113"/>
        <v>300</v>
      </c>
      <c r="N300" s="4503">
        <v>45877</v>
      </c>
      <c r="O300" s="4503">
        <v>45873</v>
      </c>
      <c r="P300" s="3712"/>
      <c r="Q300" s="4154" t="s">
        <v>82</v>
      </c>
      <c r="R300" s="4157"/>
      <c r="S300" s="4157"/>
      <c r="T300" s="4157"/>
      <c r="U300" s="3726" t="s">
        <v>1627</v>
      </c>
      <c r="V300" s="3711" t="s">
        <v>1628</v>
      </c>
      <c r="W300" s="3711"/>
      <c r="X300" s="3711" t="s">
        <v>1629</v>
      </c>
      <c r="Y300" s="3711"/>
      <c r="Z300" s="3711"/>
      <c r="AA300" s="4154"/>
      <c r="AB300" s="3680" t="s">
        <v>1630</v>
      </c>
      <c r="AC300" s="4154" t="s">
        <v>1631</v>
      </c>
      <c r="AD300" s="4504">
        <v>2.2115</v>
      </c>
      <c r="AE300" s="4154">
        <f t="shared" si="136"/>
        <v>3980.7</v>
      </c>
      <c r="AF300" s="3726"/>
      <c r="AG300" s="3726"/>
      <c r="AH300" s="4430"/>
      <c r="AI300" s="3708"/>
      <c r="AJ300" s="4430"/>
      <c r="AK300" s="3708">
        <f>J300</f>
        <v>1800</v>
      </c>
      <c r="AL300" s="3708"/>
      <c r="AM300" s="4154"/>
      <c r="AN300" s="4413"/>
      <c r="AO300" s="1048">
        <f t="shared" si="137"/>
        <v>1800</v>
      </c>
      <c r="AP300" s="1048"/>
      <c r="AQ300" s="4413"/>
      <c r="AR300" s="4413"/>
      <c r="AS300" s="1048"/>
      <c r="AT300" s="1048">
        <f>J300</f>
        <v>1800</v>
      </c>
      <c r="AU300" s="4413"/>
      <c r="AV300" s="4939"/>
      <c r="AW300" s="4939"/>
      <c r="AX300" s="1048"/>
      <c r="AY300" s="4939"/>
      <c r="AZ300" s="4939"/>
      <c r="BA300" s="1048">
        <f>J300/6</f>
        <v>300</v>
      </c>
      <c r="BB300" s="4622"/>
      <c r="BC300" s="4939"/>
      <c r="BD300" s="4622"/>
      <c r="BE300" s="4622"/>
      <c r="BF300" s="4622"/>
      <c r="BG300" s="4622"/>
      <c r="BH300" s="1048"/>
      <c r="BI300" s="4622"/>
      <c r="BJ300" s="1048"/>
      <c r="BK300" s="4415" t="s">
        <v>89</v>
      </c>
      <c r="BL300" s="4415">
        <f t="shared" si="123"/>
        <v>30</v>
      </c>
      <c r="BM300" s="4415">
        <f t="shared" si="124"/>
        <v>270</v>
      </c>
      <c r="BN300" s="4415">
        <f t="shared" si="125"/>
        <v>300</v>
      </c>
      <c r="BO300" s="4415">
        <f t="shared" si="126"/>
        <v>300</v>
      </c>
      <c r="BP300" s="4415">
        <f t="shared" si="127"/>
        <v>300</v>
      </c>
      <c r="BQ300" s="4414">
        <f t="shared" si="128"/>
        <v>300</v>
      </c>
      <c r="BR300" s="1048">
        <f t="shared" si="129"/>
        <v>300</v>
      </c>
      <c r="BS300" s="4432"/>
      <c r="BT300" s="4432"/>
      <c r="BU300" s="4432"/>
      <c r="BV300" s="4432"/>
      <c r="BW300" s="4432"/>
      <c r="BX300" s="4431"/>
      <c r="BY300" s="4431"/>
      <c r="BZ300" s="3708">
        <f t="shared" si="121"/>
        <v>1800</v>
      </c>
      <c r="CA300" s="4154">
        <f t="shared" si="120"/>
        <v>0</v>
      </c>
      <c r="CB300" s="4591"/>
      <c r="CC300" s="4591"/>
      <c r="CD300" s="4323"/>
      <c r="CE300" s="4323"/>
      <c r="CF300" s="4323"/>
    </row>
    <row r="301" s="4316" customFormat="1" ht="50" customHeight="1" spans="1:84">
      <c r="A301" s="4500">
        <v>45750</v>
      </c>
      <c r="B301" s="4501" t="s">
        <v>1315</v>
      </c>
      <c r="C301" s="3708" t="s">
        <v>1316</v>
      </c>
      <c r="D301" s="4502">
        <v>4500162579</v>
      </c>
      <c r="E301" s="3708" t="s">
        <v>1632</v>
      </c>
      <c r="F301" s="4615" t="s">
        <v>1633</v>
      </c>
      <c r="G301" s="3708" t="s">
        <v>1319</v>
      </c>
      <c r="H301" s="3708" t="s">
        <v>1319</v>
      </c>
      <c r="I301" s="3708" t="s">
        <v>1320</v>
      </c>
      <c r="J301" s="4154">
        <v>900</v>
      </c>
      <c r="K301" s="4154">
        <v>0</v>
      </c>
      <c r="L301" s="4154">
        <v>4</v>
      </c>
      <c r="M301" s="4154">
        <f t="shared" si="113"/>
        <v>225</v>
      </c>
      <c r="N301" s="4503">
        <v>45864</v>
      </c>
      <c r="O301" s="4503">
        <f>N301-4</f>
        <v>45860</v>
      </c>
      <c r="P301" s="3712"/>
      <c r="Q301" s="4154" t="s">
        <v>82</v>
      </c>
      <c r="R301" s="4157"/>
      <c r="S301" s="4157"/>
      <c r="T301" s="4157"/>
      <c r="U301" s="3726" t="s">
        <v>1483</v>
      </c>
      <c r="V301" s="3711" t="s">
        <v>1322</v>
      </c>
      <c r="W301" s="3711"/>
      <c r="X301" s="3711" t="s">
        <v>1379</v>
      </c>
      <c r="Y301" s="3711"/>
      <c r="Z301" s="3711"/>
      <c r="AA301" s="4154" t="s">
        <v>1634</v>
      </c>
      <c r="AB301" s="3680" t="s">
        <v>1376</v>
      </c>
      <c r="AC301" s="4154" t="s">
        <v>1326</v>
      </c>
      <c r="AD301" s="4154">
        <v>16.9223</v>
      </c>
      <c r="AE301" s="4154">
        <f>AD301*M301</f>
        <v>3807.5175</v>
      </c>
      <c r="AF301" s="3726"/>
      <c r="AG301" s="3726"/>
      <c r="AH301" s="4430"/>
      <c r="AI301" s="3708"/>
      <c r="AJ301" s="4430"/>
      <c r="AK301" s="3708"/>
      <c r="AL301" s="3708"/>
      <c r="AM301" s="4154">
        <f>J301</f>
        <v>900</v>
      </c>
      <c r="AN301" s="4413"/>
      <c r="AO301" s="1048"/>
      <c r="AP301" s="1048">
        <f>J301</f>
        <v>900</v>
      </c>
      <c r="AQ301" s="4413"/>
      <c r="AR301" s="4413"/>
      <c r="AS301" s="1048">
        <f>J301</f>
        <v>900</v>
      </c>
      <c r="AT301" s="1048"/>
      <c r="AU301" s="4413"/>
      <c r="AV301" s="4939"/>
      <c r="AW301" s="4939"/>
      <c r="AX301" s="1048"/>
      <c r="AY301" s="4939"/>
      <c r="AZ301" s="4939"/>
      <c r="BA301" s="1048"/>
      <c r="BB301" s="4622"/>
      <c r="BC301" s="4939"/>
      <c r="BD301" s="4622"/>
      <c r="BE301" s="4622"/>
      <c r="BF301" s="4622"/>
      <c r="BG301" s="4622"/>
      <c r="BH301" s="1048"/>
      <c r="BI301" s="4622"/>
      <c r="BJ301" s="1048"/>
      <c r="BK301" s="4415" t="s">
        <v>1327</v>
      </c>
      <c r="BL301" s="4415">
        <f t="shared" si="123"/>
        <v>15</v>
      </c>
      <c r="BM301" s="4415">
        <f t="shared" si="124"/>
        <v>135</v>
      </c>
      <c r="BN301" s="4415">
        <f t="shared" si="125"/>
        <v>150</v>
      </c>
      <c r="BO301" s="4415">
        <f t="shared" si="126"/>
        <v>150</v>
      </c>
      <c r="BP301" s="4415">
        <f t="shared" si="127"/>
        <v>150</v>
      </c>
      <c r="BQ301" s="4414">
        <f t="shared" si="128"/>
        <v>150</v>
      </c>
      <c r="BR301" s="1048">
        <f t="shared" si="129"/>
        <v>150</v>
      </c>
      <c r="BS301" s="4415"/>
      <c r="BT301" s="4432"/>
      <c r="BU301" s="4432"/>
      <c r="BV301" s="4432"/>
      <c r="BW301" s="4432"/>
      <c r="BX301" s="4431"/>
      <c r="BY301" s="4431"/>
      <c r="BZ301" s="3708">
        <f t="shared" si="121"/>
        <v>900</v>
      </c>
      <c r="CA301" s="4154">
        <f t="shared" si="120"/>
        <v>0</v>
      </c>
      <c r="CB301" s="4591"/>
      <c r="CC301" s="4591"/>
      <c r="CD301" s="4323"/>
      <c r="CE301" s="4323"/>
      <c r="CF301" s="4323"/>
    </row>
    <row r="302" s="4316" customFormat="1" ht="50" customHeight="1" spans="1:84">
      <c r="A302" s="4500">
        <v>45750</v>
      </c>
      <c r="B302" s="4501" t="s">
        <v>1315</v>
      </c>
      <c r="C302" s="3708" t="s">
        <v>1316</v>
      </c>
      <c r="D302" s="4502">
        <v>4500162586</v>
      </c>
      <c r="E302" s="3708" t="s">
        <v>1635</v>
      </c>
      <c r="F302" s="4615" t="s">
        <v>1636</v>
      </c>
      <c r="G302" s="3708" t="s">
        <v>1319</v>
      </c>
      <c r="H302" s="3708" t="s">
        <v>1319</v>
      </c>
      <c r="I302" s="3708" t="s">
        <v>1320</v>
      </c>
      <c r="J302" s="4154">
        <v>1348</v>
      </c>
      <c r="K302" s="4154">
        <v>0</v>
      </c>
      <c r="L302" s="4154">
        <v>4</v>
      </c>
      <c r="M302" s="4154">
        <f t="shared" si="113"/>
        <v>337</v>
      </c>
      <c r="N302" s="4503">
        <v>45866</v>
      </c>
      <c r="O302" s="4503">
        <f>N302-4</f>
        <v>45862</v>
      </c>
      <c r="P302" s="3712"/>
      <c r="Q302" s="4154" t="s">
        <v>82</v>
      </c>
      <c r="R302" s="4157"/>
      <c r="S302" s="4157"/>
      <c r="T302" s="4157"/>
      <c r="U302" s="3726" t="s">
        <v>1483</v>
      </c>
      <c r="V302" s="3711" t="s">
        <v>1322</v>
      </c>
      <c r="W302" s="3711"/>
      <c r="X302" s="3711" t="s">
        <v>1379</v>
      </c>
      <c r="Y302" s="3711"/>
      <c r="Z302" s="3711"/>
      <c r="AA302" s="4154" t="s">
        <v>1637</v>
      </c>
      <c r="AB302" s="3680" t="s">
        <v>1376</v>
      </c>
      <c r="AC302" s="4154" t="s">
        <v>1326</v>
      </c>
      <c r="AD302" s="4154">
        <v>16.8855</v>
      </c>
      <c r="AE302" s="4154">
        <f>AD302*M302</f>
        <v>5690.4135</v>
      </c>
      <c r="AF302" s="3726"/>
      <c r="AG302" s="3726"/>
      <c r="AH302" s="4430"/>
      <c r="AI302" s="3708"/>
      <c r="AJ302" s="4430"/>
      <c r="AK302" s="3708"/>
      <c r="AL302" s="3708"/>
      <c r="AM302" s="4154">
        <f>J302</f>
        <v>1348</v>
      </c>
      <c r="AN302" s="4413"/>
      <c r="AO302" s="1048"/>
      <c r="AP302" s="1048">
        <f>J302</f>
        <v>1348</v>
      </c>
      <c r="AQ302" s="4413"/>
      <c r="AR302" s="4413"/>
      <c r="AS302" s="1048">
        <f>J302</f>
        <v>1348</v>
      </c>
      <c r="AT302" s="1048"/>
      <c r="AU302" s="4413"/>
      <c r="AV302" s="4939"/>
      <c r="AW302" s="4939"/>
      <c r="AX302" s="1048"/>
      <c r="AY302" s="4939"/>
      <c r="AZ302" s="4939"/>
      <c r="BA302" s="1048"/>
      <c r="BB302" s="4622"/>
      <c r="BC302" s="4939"/>
      <c r="BD302" s="4622"/>
      <c r="BE302" s="4622"/>
      <c r="BF302" s="4622"/>
      <c r="BG302" s="4622"/>
      <c r="BH302" s="1048"/>
      <c r="BI302" s="4622"/>
      <c r="BJ302" s="1048"/>
      <c r="BK302" s="4415" t="s">
        <v>1327</v>
      </c>
      <c r="BL302" s="4415">
        <f t="shared" si="123"/>
        <v>22.4666666666667</v>
      </c>
      <c r="BM302" s="4415">
        <f t="shared" si="124"/>
        <v>202.2</v>
      </c>
      <c r="BN302" s="4415">
        <f t="shared" si="125"/>
        <v>224.666666666667</v>
      </c>
      <c r="BO302" s="4415">
        <f t="shared" si="126"/>
        <v>224.666666666667</v>
      </c>
      <c r="BP302" s="4415">
        <f t="shared" si="127"/>
        <v>224.666666666667</v>
      </c>
      <c r="BQ302" s="4414">
        <f t="shared" si="128"/>
        <v>224.666666666667</v>
      </c>
      <c r="BR302" s="1048">
        <f t="shared" si="129"/>
        <v>224.666666666667</v>
      </c>
      <c r="BS302" s="4415"/>
      <c r="BT302" s="4432"/>
      <c r="BU302" s="4432"/>
      <c r="BV302" s="4432"/>
      <c r="BW302" s="4432"/>
      <c r="BX302" s="4431"/>
      <c r="BY302" s="4431"/>
      <c r="BZ302" s="3708">
        <f t="shared" si="121"/>
        <v>1348</v>
      </c>
      <c r="CA302" s="4154">
        <f t="shared" si="120"/>
        <v>0</v>
      </c>
      <c r="CB302" s="4591"/>
      <c r="CC302" s="4591"/>
      <c r="CD302" s="4323"/>
      <c r="CE302" s="4323"/>
      <c r="CF302" s="4323"/>
    </row>
    <row r="303" s="4316" customFormat="1" ht="50" customHeight="1" spans="1:84">
      <c r="A303" s="4500">
        <v>45750</v>
      </c>
      <c r="B303" s="4501" t="s">
        <v>1315</v>
      </c>
      <c r="C303" s="3708" t="s">
        <v>1316</v>
      </c>
      <c r="D303" s="4502">
        <v>4500162586</v>
      </c>
      <c r="E303" s="3708" t="s">
        <v>1638</v>
      </c>
      <c r="F303" s="4615" t="s">
        <v>1639</v>
      </c>
      <c r="G303" s="3708" t="s">
        <v>1319</v>
      </c>
      <c r="H303" s="3708" t="s">
        <v>1319</v>
      </c>
      <c r="I303" s="3708" t="s">
        <v>1320</v>
      </c>
      <c r="J303" s="4154">
        <v>1912</v>
      </c>
      <c r="K303" s="4154">
        <v>0</v>
      </c>
      <c r="L303" s="4154">
        <v>4</v>
      </c>
      <c r="M303" s="4154">
        <f t="shared" si="113"/>
        <v>478</v>
      </c>
      <c r="N303" s="4503">
        <v>45866</v>
      </c>
      <c r="O303" s="4503">
        <f>N303-4</f>
        <v>45862</v>
      </c>
      <c r="P303" s="3712"/>
      <c r="Q303" s="4154" t="s">
        <v>82</v>
      </c>
      <c r="R303" s="4157"/>
      <c r="S303" s="4157"/>
      <c r="T303" s="4157"/>
      <c r="U303" s="3726" t="s">
        <v>1483</v>
      </c>
      <c r="V303" s="3711" t="s">
        <v>1322</v>
      </c>
      <c r="W303" s="3711"/>
      <c r="X303" s="3711" t="s">
        <v>1379</v>
      </c>
      <c r="Y303" s="3711"/>
      <c r="Z303" s="3711"/>
      <c r="AA303" s="4154" t="s">
        <v>1640</v>
      </c>
      <c r="AB303" s="3680" t="s">
        <v>1376</v>
      </c>
      <c r="AC303" s="4154" t="s">
        <v>1326</v>
      </c>
      <c r="AD303" s="4154">
        <v>16.8314</v>
      </c>
      <c r="AE303" s="4154">
        <f>AD303*M303</f>
        <v>8045.4092</v>
      </c>
      <c r="AF303" s="3726"/>
      <c r="AG303" s="3726"/>
      <c r="AH303" s="4430"/>
      <c r="AI303" s="3708"/>
      <c r="AJ303" s="4430"/>
      <c r="AK303" s="3708"/>
      <c r="AL303" s="3708"/>
      <c r="AM303" s="4154">
        <f>J303</f>
        <v>1912</v>
      </c>
      <c r="AN303" s="4413"/>
      <c r="AO303" s="1048"/>
      <c r="AP303" s="1048">
        <f>J303</f>
        <v>1912</v>
      </c>
      <c r="AQ303" s="4413"/>
      <c r="AR303" s="4413"/>
      <c r="AS303" s="1048">
        <f>J303</f>
        <v>1912</v>
      </c>
      <c r="AT303" s="1048"/>
      <c r="AU303" s="4413"/>
      <c r="AV303" s="4939"/>
      <c r="AW303" s="4939"/>
      <c r="AX303" s="1048"/>
      <c r="AY303" s="4939"/>
      <c r="AZ303" s="4939"/>
      <c r="BA303" s="1048"/>
      <c r="BB303" s="4622"/>
      <c r="BC303" s="4939"/>
      <c r="BD303" s="4622"/>
      <c r="BE303" s="4622"/>
      <c r="BF303" s="4622"/>
      <c r="BG303" s="4622"/>
      <c r="BH303" s="1048"/>
      <c r="BI303" s="4622"/>
      <c r="BJ303" s="1048"/>
      <c r="BK303" s="4415" t="s">
        <v>1327</v>
      </c>
      <c r="BL303" s="4415">
        <f t="shared" si="123"/>
        <v>31.8666666666667</v>
      </c>
      <c r="BM303" s="4415">
        <f t="shared" si="124"/>
        <v>286.8</v>
      </c>
      <c r="BN303" s="4415">
        <f t="shared" si="125"/>
        <v>318.666666666667</v>
      </c>
      <c r="BO303" s="4415">
        <f t="shared" si="126"/>
        <v>318.666666666667</v>
      </c>
      <c r="BP303" s="4415">
        <f t="shared" si="127"/>
        <v>318.666666666667</v>
      </c>
      <c r="BQ303" s="4414">
        <f t="shared" si="128"/>
        <v>318.666666666667</v>
      </c>
      <c r="BR303" s="1048">
        <f t="shared" si="129"/>
        <v>318.666666666667</v>
      </c>
      <c r="BS303" s="4415"/>
      <c r="BT303" s="4432"/>
      <c r="BU303" s="4432"/>
      <c r="BV303" s="4432"/>
      <c r="BW303" s="4432"/>
      <c r="BX303" s="4431"/>
      <c r="BY303" s="4431"/>
      <c r="BZ303" s="3708">
        <f t="shared" si="121"/>
        <v>1912</v>
      </c>
      <c r="CA303" s="4154">
        <f t="shared" si="120"/>
        <v>0</v>
      </c>
      <c r="CB303" s="4591"/>
      <c r="CC303" s="4591"/>
      <c r="CD303" s="4323"/>
      <c r="CE303" s="4323"/>
      <c r="CF303" s="4323"/>
    </row>
    <row r="304" s="4316" customFormat="1" ht="50" customHeight="1" spans="1:84">
      <c r="A304" s="4500">
        <v>45841</v>
      </c>
      <c r="B304" s="4501" t="s">
        <v>1641</v>
      </c>
      <c r="C304" s="3708" t="s">
        <v>396</v>
      </c>
      <c r="D304" s="4502">
        <v>4500172604</v>
      </c>
      <c r="E304" s="3708" t="s">
        <v>1642</v>
      </c>
      <c r="F304" s="4502" t="s">
        <v>1643</v>
      </c>
      <c r="G304" s="3708"/>
      <c r="H304" s="3708" t="s">
        <v>1020</v>
      </c>
      <c r="I304" s="3699" t="s">
        <v>328</v>
      </c>
      <c r="J304" s="4593">
        <v>48</v>
      </c>
      <c r="K304" s="4154">
        <v>0</v>
      </c>
      <c r="L304" s="4154">
        <v>12</v>
      </c>
      <c r="M304" s="4154">
        <f t="shared" ref="M304:M311" si="139">J304/L304</f>
        <v>4</v>
      </c>
      <c r="N304" s="4503">
        <v>45877</v>
      </c>
      <c r="O304" s="4503">
        <v>45873</v>
      </c>
      <c r="P304" s="3712"/>
      <c r="Q304" s="4154" t="s">
        <v>82</v>
      </c>
      <c r="R304" s="4157"/>
      <c r="S304" s="4157"/>
      <c r="T304" s="4157"/>
      <c r="U304" s="3726" t="s">
        <v>1541</v>
      </c>
      <c r="V304" s="3711" t="s">
        <v>1644</v>
      </c>
      <c r="W304" s="3711"/>
      <c r="X304" s="3711" t="s">
        <v>366</v>
      </c>
      <c r="Y304" s="3711"/>
      <c r="Z304" s="3711" t="s">
        <v>1645</v>
      </c>
      <c r="AA304" s="4154"/>
      <c r="AB304" s="3680" t="s">
        <v>1646</v>
      </c>
      <c r="AC304" s="4154" t="s">
        <v>369</v>
      </c>
      <c r="AD304" s="4504">
        <v>2.2104</v>
      </c>
      <c r="AE304" s="4154">
        <f t="shared" ref="AE304:AE318" si="140">J304*AD304</f>
        <v>106.0992</v>
      </c>
      <c r="AF304" s="3726"/>
      <c r="AG304" s="3726"/>
      <c r="AH304" s="4430"/>
      <c r="AI304" s="3708"/>
      <c r="AJ304" s="4430"/>
      <c r="AK304" s="3708">
        <f>J304</f>
        <v>48</v>
      </c>
      <c r="AL304" s="3708"/>
      <c r="AM304" s="4154"/>
      <c r="AN304" s="4413"/>
      <c r="AO304" s="1048">
        <f>J304</f>
        <v>48</v>
      </c>
      <c r="AP304" s="1048"/>
      <c r="AQ304" s="4413"/>
      <c r="AR304" s="4413"/>
      <c r="AS304" s="1048"/>
      <c r="AT304" s="1048">
        <f>J304</f>
        <v>48</v>
      </c>
      <c r="AU304" s="4413"/>
      <c r="AV304" s="4939"/>
      <c r="AW304" s="4939"/>
      <c r="AX304" s="1048"/>
      <c r="AY304" s="4939"/>
      <c r="AZ304" s="4939"/>
      <c r="BA304" s="1048"/>
      <c r="BB304" s="4622"/>
      <c r="BC304" s="4939"/>
      <c r="BD304" s="4622"/>
      <c r="BE304" s="4622"/>
      <c r="BF304" s="4622"/>
      <c r="BG304" s="4622"/>
      <c r="BH304" s="1048"/>
      <c r="BI304" s="4622"/>
      <c r="BJ304" s="1048"/>
      <c r="BK304" s="4415" t="s">
        <v>89</v>
      </c>
      <c r="BL304" s="4415">
        <f t="shared" si="123"/>
        <v>0.8</v>
      </c>
      <c r="BM304" s="4415"/>
      <c r="BN304" s="4415">
        <f t="shared" ref="BN304:BN311" si="141">J304-BL304</f>
        <v>47.2</v>
      </c>
      <c r="BO304" s="4415"/>
      <c r="BP304" s="4415"/>
      <c r="BQ304" s="4414"/>
      <c r="BR304" s="1048"/>
      <c r="BS304" s="4432"/>
      <c r="BT304" s="4432"/>
      <c r="BU304" s="4432"/>
      <c r="BV304" s="4432"/>
      <c r="BW304" s="4432"/>
      <c r="BX304" s="4431"/>
      <c r="BY304" s="4431"/>
      <c r="BZ304" s="4505">
        <f t="shared" si="121"/>
        <v>48</v>
      </c>
      <c r="CA304" s="4154">
        <f t="shared" si="120"/>
        <v>0</v>
      </c>
      <c r="CB304" s="4591"/>
      <c r="CC304" s="4591"/>
      <c r="CD304" s="4323"/>
      <c r="CE304" s="4323"/>
      <c r="CF304" s="4323"/>
    </row>
    <row r="305" s="4316" customFormat="1" ht="50" customHeight="1" spans="1:84">
      <c r="A305" s="4500">
        <v>45841</v>
      </c>
      <c r="B305" s="4501" t="s">
        <v>1641</v>
      </c>
      <c r="C305" s="3708" t="s">
        <v>396</v>
      </c>
      <c r="D305" s="4502">
        <v>4500172604</v>
      </c>
      <c r="E305" s="3708" t="s">
        <v>1647</v>
      </c>
      <c r="F305" s="4502" t="s">
        <v>1648</v>
      </c>
      <c r="G305" s="3708"/>
      <c r="H305" s="3708" t="s">
        <v>1020</v>
      </c>
      <c r="I305" s="3699" t="s">
        <v>328</v>
      </c>
      <c r="J305" s="4593">
        <v>36</v>
      </c>
      <c r="K305" s="4154">
        <v>0</v>
      </c>
      <c r="L305" s="4154">
        <v>12</v>
      </c>
      <c r="M305" s="4154">
        <f t="shared" si="139"/>
        <v>3</v>
      </c>
      <c r="N305" s="4503">
        <v>45877</v>
      </c>
      <c r="O305" s="4503">
        <v>45873</v>
      </c>
      <c r="P305" s="3712"/>
      <c r="Q305" s="4154" t="s">
        <v>82</v>
      </c>
      <c r="R305" s="4157"/>
      <c r="S305" s="4157"/>
      <c r="T305" s="4157"/>
      <c r="U305" s="3726" t="s">
        <v>1541</v>
      </c>
      <c r="V305" s="3711" t="s">
        <v>1644</v>
      </c>
      <c r="W305" s="3711"/>
      <c r="X305" s="3711" t="s">
        <v>366</v>
      </c>
      <c r="Y305" s="3711"/>
      <c r="Z305" s="3711" t="s">
        <v>1645</v>
      </c>
      <c r="AA305" s="4154"/>
      <c r="AB305" s="3680" t="s">
        <v>1646</v>
      </c>
      <c r="AC305" s="4154" t="s">
        <v>369</v>
      </c>
      <c r="AD305" s="4504">
        <v>2.2104</v>
      </c>
      <c r="AE305" s="4154">
        <f t="shared" si="140"/>
        <v>79.5744</v>
      </c>
      <c r="AF305" s="3726"/>
      <c r="AG305" s="3726"/>
      <c r="AH305" s="4430"/>
      <c r="AI305" s="3708"/>
      <c r="AJ305" s="4430"/>
      <c r="AK305" s="3708">
        <f t="shared" ref="AK305:AK315" si="142">J305</f>
        <v>36</v>
      </c>
      <c r="AL305" s="3708"/>
      <c r="AM305" s="4154"/>
      <c r="AN305" s="4413"/>
      <c r="AO305" s="1048">
        <f t="shared" ref="AO305:AO319" si="143">J305</f>
        <v>36</v>
      </c>
      <c r="AP305" s="1048"/>
      <c r="AQ305" s="4413"/>
      <c r="AR305" s="4413"/>
      <c r="AS305" s="1048"/>
      <c r="AT305" s="1048">
        <f t="shared" ref="AT305:AT313" si="144">J305</f>
        <v>36</v>
      </c>
      <c r="AU305" s="4413"/>
      <c r="AV305" s="4939"/>
      <c r="AW305" s="4939"/>
      <c r="AX305" s="1048"/>
      <c r="AY305" s="4939"/>
      <c r="AZ305" s="4939"/>
      <c r="BA305" s="1048"/>
      <c r="BB305" s="4622"/>
      <c r="BC305" s="4939"/>
      <c r="BD305" s="4622"/>
      <c r="BE305" s="4622"/>
      <c r="BF305" s="4622"/>
      <c r="BG305" s="4622"/>
      <c r="BH305" s="1048"/>
      <c r="BI305" s="4622"/>
      <c r="BJ305" s="1048"/>
      <c r="BK305" s="4415" t="s">
        <v>89</v>
      </c>
      <c r="BL305" s="4415">
        <f t="shared" si="123"/>
        <v>0.6</v>
      </c>
      <c r="BM305" s="4415"/>
      <c r="BN305" s="4415">
        <f t="shared" si="141"/>
        <v>35.4</v>
      </c>
      <c r="BO305" s="4415"/>
      <c r="BP305" s="4415"/>
      <c r="BQ305" s="4414"/>
      <c r="BR305" s="1048"/>
      <c r="BS305" s="4432"/>
      <c r="BT305" s="4432"/>
      <c r="BU305" s="4432"/>
      <c r="BV305" s="4432"/>
      <c r="BW305" s="4432"/>
      <c r="BX305" s="4431"/>
      <c r="BY305" s="4431"/>
      <c r="BZ305" s="4505">
        <f t="shared" si="121"/>
        <v>36</v>
      </c>
      <c r="CA305" s="4154">
        <f t="shared" si="120"/>
        <v>0</v>
      </c>
      <c r="CB305" s="4591"/>
      <c r="CC305" s="4591"/>
      <c r="CD305" s="4323"/>
      <c r="CE305" s="4323"/>
      <c r="CF305" s="4323"/>
    </row>
    <row r="306" s="4316" customFormat="1" ht="50" customHeight="1" spans="1:84">
      <c r="A306" s="4500">
        <v>45841</v>
      </c>
      <c r="B306" s="4501" t="s">
        <v>1641</v>
      </c>
      <c r="C306" s="3708" t="s">
        <v>396</v>
      </c>
      <c r="D306" s="4502">
        <v>4500172604</v>
      </c>
      <c r="E306" s="3708" t="s">
        <v>1649</v>
      </c>
      <c r="F306" s="4502" t="s">
        <v>1650</v>
      </c>
      <c r="G306" s="3708"/>
      <c r="H306" s="3708" t="s">
        <v>1020</v>
      </c>
      <c r="I306" s="3699" t="s">
        <v>328</v>
      </c>
      <c r="J306" s="4593">
        <v>24</v>
      </c>
      <c r="K306" s="4154">
        <v>0</v>
      </c>
      <c r="L306" s="4154">
        <v>12</v>
      </c>
      <c r="M306" s="4154">
        <f t="shared" si="139"/>
        <v>2</v>
      </c>
      <c r="N306" s="4503">
        <v>45877</v>
      </c>
      <c r="O306" s="4503">
        <v>45873</v>
      </c>
      <c r="P306" s="3712"/>
      <c r="Q306" s="4154" t="s">
        <v>82</v>
      </c>
      <c r="R306" s="4157"/>
      <c r="S306" s="4157"/>
      <c r="T306" s="4157"/>
      <c r="U306" s="3726" t="s">
        <v>1541</v>
      </c>
      <c r="V306" s="3711" t="s">
        <v>1644</v>
      </c>
      <c r="W306" s="3711"/>
      <c r="X306" s="3711" t="s">
        <v>366</v>
      </c>
      <c r="Y306" s="3711"/>
      <c r="Z306" s="3711" t="s">
        <v>1645</v>
      </c>
      <c r="AA306" s="4154"/>
      <c r="AB306" s="3680" t="s">
        <v>1646</v>
      </c>
      <c r="AC306" s="4154" t="s">
        <v>369</v>
      </c>
      <c r="AD306" s="4504">
        <v>2.2104</v>
      </c>
      <c r="AE306" s="4154">
        <f t="shared" si="140"/>
        <v>53.0496</v>
      </c>
      <c r="AF306" s="3726"/>
      <c r="AG306" s="3726"/>
      <c r="AH306" s="4430"/>
      <c r="AI306" s="3708"/>
      <c r="AJ306" s="4430"/>
      <c r="AK306" s="3708">
        <f t="shared" si="142"/>
        <v>24</v>
      </c>
      <c r="AL306" s="3708"/>
      <c r="AM306" s="4154"/>
      <c r="AN306" s="4413"/>
      <c r="AO306" s="1048">
        <f t="shared" si="143"/>
        <v>24</v>
      </c>
      <c r="AP306" s="1048"/>
      <c r="AQ306" s="4413"/>
      <c r="AR306" s="4413"/>
      <c r="AS306" s="1048"/>
      <c r="AT306" s="1048">
        <f t="shared" si="144"/>
        <v>24</v>
      </c>
      <c r="AU306" s="4413"/>
      <c r="AV306" s="4939"/>
      <c r="AW306" s="4939"/>
      <c r="AX306" s="1048"/>
      <c r="AY306" s="4939"/>
      <c r="AZ306" s="4939"/>
      <c r="BA306" s="1048"/>
      <c r="BB306" s="4622"/>
      <c r="BC306" s="4939"/>
      <c r="BD306" s="4622"/>
      <c r="BE306" s="4622"/>
      <c r="BF306" s="4622"/>
      <c r="BG306" s="4622"/>
      <c r="BH306" s="1048"/>
      <c r="BI306" s="4622"/>
      <c r="BJ306" s="1048"/>
      <c r="BK306" s="4415" t="s">
        <v>89</v>
      </c>
      <c r="BL306" s="4415">
        <f t="shared" si="123"/>
        <v>0.4</v>
      </c>
      <c r="BM306" s="4415"/>
      <c r="BN306" s="4415">
        <f t="shared" si="141"/>
        <v>23.6</v>
      </c>
      <c r="BO306" s="4415"/>
      <c r="BP306" s="4415"/>
      <c r="BQ306" s="4414"/>
      <c r="BR306" s="1048"/>
      <c r="BS306" s="4432"/>
      <c r="BT306" s="4432"/>
      <c r="BU306" s="4432"/>
      <c r="BV306" s="4432"/>
      <c r="BW306" s="4432"/>
      <c r="BX306" s="4431"/>
      <c r="BY306" s="4431"/>
      <c r="BZ306" s="4505">
        <f t="shared" si="121"/>
        <v>24</v>
      </c>
      <c r="CA306" s="4154">
        <f t="shared" si="120"/>
        <v>0</v>
      </c>
      <c r="CB306" s="4591"/>
      <c r="CC306" s="4591"/>
      <c r="CD306" s="4323"/>
      <c r="CE306" s="4323"/>
      <c r="CF306" s="4323"/>
    </row>
    <row r="307" s="4316" customFormat="1" ht="50" customHeight="1" spans="1:84">
      <c r="A307" s="4500">
        <v>45841</v>
      </c>
      <c r="B307" s="4501" t="s">
        <v>1641</v>
      </c>
      <c r="C307" s="3708" t="s">
        <v>396</v>
      </c>
      <c r="D307" s="4502">
        <v>4500172604</v>
      </c>
      <c r="E307" s="3708" t="s">
        <v>1651</v>
      </c>
      <c r="F307" s="4502" t="s">
        <v>1652</v>
      </c>
      <c r="G307" s="3708"/>
      <c r="H307" s="3708" t="s">
        <v>1020</v>
      </c>
      <c r="I307" s="3699" t="s">
        <v>328</v>
      </c>
      <c r="J307" s="4593">
        <v>24</v>
      </c>
      <c r="K307" s="4154">
        <v>0</v>
      </c>
      <c r="L307" s="4154">
        <v>12</v>
      </c>
      <c r="M307" s="4154">
        <f t="shared" si="139"/>
        <v>2</v>
      </c>
      <c r="N307" s="4503">
        <v>45877</v>
      </c>
      <c r="O307" s="4503">
        <v>45873</v>
      </c>
      <c r="P307" s="3712"/>
      <c r="Q307" s="4154" t="s">
        <v>82</v>
      </c>
      <c r="R307" s="4157"/>
      <c r="S307" s="4157"/>
      <c r="T307" s="4157"/>
      <c r="U307" s="3726" t="s">
        <v>1541</v>
      </c>
      <c r="V307" s="3711" t="s">
        <v>1644</v>
      </c>
      <c r="W307" s="3711"/>
      <c r="X307" s="3711" t="s">
        <v>366</v>
      </c>
      <c r="Y307" s="3711"/>
      <c r="Z307" s="3711" t="s">
        <v>1645</v>
      </c>
      <c r="AA307" s="4154"/>
      <c r="AB307" s="3680" t="s">
        <v>1646</v>
      </c>
      <c r="AC307" s="4154" t="s">
        <v>369</v>
      </c>
      <c r="AD307" s="4504">
        <v>2.2104</v>
      </c>
      <c r="AE307" s="4154">
        <f t="shared" si="140"/>
        <v>53.0496</v>
      </c>
      <c r="AF307" s="3726"/>
      <c r="AG307" s="3726"/>
      <c r="AH307" s="4430"/>
      <c r="AI307" s="3708"/>
      <c r="AJ307" s="4430"/>
      <c r="AK307" s="3708">
        <f t="shared" si="142"/>
        <v>24</v>
      </c>
      <c r="AL307" s="3708"/>
      <c r="AM307" s="4154"/>
      <c r="AN307" s="4413"/>
      <c r="AO307" s="1048">
        <f t="shared" si="143"/>
        <v>24</v>
      </c>
      <c r="AP307" s="1048"/>
      <c r="AQ307" s="4413"/>
      <c r="AR307" s="4413"/>
      <c r="AS307" s="1048"/>
      <c r="AT307" s="1048">
        <f t="shared" si="144"/>
        <v>24</v>
      </c>
      <c r="AU307" s="4413"/>
      <c r="AV307" s="4939"/>
      <c r="AW307" s="4939"/>
      <c r="AX307" s="1048"/>
      <c r="AY307" s="4939"/>
      <c r="AZ307" s="4939"/>
      <c r="BA307" s="1048"/>
      <c r="BB307" s="4622"/>
      <c r="BC307" s="4939"/>
      <c r="BD307" s="4622"/>
      <c r="BE307" s="4622"/>
      <c r="BF307" s="4622"/>
      <c r="BG307" s="4622"/>
      <c r="BH307" s="1048"/>
      <c r="BI307" s="4622"/>
      <c r="BJ307" s="1048"/>
      <c r="BK307" s="4415" t="s">
        <v>89</v>
      </c>
      <c r="BL307" s="4415">
        <f t="shared" si="123"/>
        <v>0.4</v>
      </c>
      <c r="BM307" s="4415"/>
      <c r="BN307" s="4415">
        <f t="shared" si="141"/>
        <v>23.6</v>
      </c>
      <c r="BO307" s="4415"/>
      <c r="BP307" s="4415"/>
      <c r="BQ307" s="4414"/>
      <c r="BR307" s="1048"/>
      <c r="BS307" s="4432"/>
      <c r="BT307" s="4432"/>
      <c r="BU307" s="4432"/>
      <c r="BV307" s="4432"/>
      <c r="BW307" s="4432"/>
      <c r="BX307" s="4431"/>
      <c r="BY307" s="4431"/>
      <c r="BZ307" s="4505">
        <f t="shared" si="121"/>
        <v>24</v>
      </c>
      <c r="CA307" s="4154">
        <f t="shared" si="120"/>
        <v>0</v>
      </c>
      <c r="CB307" s="4591"/>
      <c r="CC307" s="4591"/>
      <c r="CD307" s="4323"/>
      <c r="CE307" s="4323"/>
      <c r="CF307" s="4323"/>
    </row>
    <row r="308" s="4316" customFormat="1" ht="50" customHeight="1" spans="1:84">
      <c r="A308" s="4500">
        <v>45841</v>
      </c>
      <c r="B308" s="4501" t="s">
        <v>1641</v>
      </c>
      <c r="C308" s="3708" t="s">
        <v>396</v>
      </c>
      <c r="D308" s="4502">
        <v>4500172604</v>
      </c>
      <c r="E308" s="3708" t="s">
        <v>1653</v>
      </c>
      <c r="F308" s="4502" t="s">
        <v>1654</v>
      </c>
      <c r="G308" s="3708"/>
      <c r="H308" s="3708" t="s">
        <v>1020</v>
      </c>
      <c r="I308" s="3699" t="s">
        <v>328</v>
      </c>
      <c r="J308" s="4593">
        <v>36</v>
      </c>
      <c r="K308" s="4154">
        <v>0</v>
      </c>
      <c r="L308" s="4154">
        <v>12</v>
      </c>
      <c r="M308" s="4154">
        <f t="shared" si="139"/>
        <v>3</v>
      </c>
      <c r="N308" s="4503">
        <v>45877</v>
      </c>
      <c r="O308" s="4503">
        <v>45873</v>
      </c>
      <c r="P308" s="3712"/>
      <c r="Q308" s="4154" t="s">
        <v>82</v>
      </c>
      <c r="R308" s="4157"/>
      <c r="S308" s="4157"/>
      <c r="T308" s="4157"/>
      <c r="U308" s="3726" t="s">
        <v>1541</v>
      </c>
      <c r="V308" s="3711" t="s">
        <v>1644</v>
      </c>
      <c r="W308" s="3711"/>
      <c r="X308" s="3711" t="s">
        <v>366</v>
      </c>
      <c r="Y308" s="3711"/>
      <c r="Z308" s="3711" t="s">
        <v>1645</v>
      </c>
      <c r="AA308" s="4154"/>
      <c r="AB308" s="3680" t="s">
        <v>1646</v>
      </c>
      <c r="AC308" s="4154" t="s">
        <v>369</v>
      </c>
      <c r="AD308" s="4504">
        <v>2.2104</v>
      </c>
      <c r="AE308" s="4154">
        <f t="shared" si="140"/>
        <v>79.5744</v>
      </c>
      <c r="AF308" s="3726"/>
      <c r="AG308" s="3726"/>
      <c r="AH308" s="4430"/>
      <c r="AI308" s="3708"/>
      <c r="AJ308" s="4430"/>
      <c r="AK308" s="3708">
        <f t="shared" si="142"/>
        <v>36</v>
      </c>
      <c r="AL308" s="3708"/>
      <c r="AM308" s="4154"/>
      <c r="AN308" s="4413"/>
      <c r="AO308" s="1048">
        <f t="shared" si="143"/>
        <v>36</v>
      </c>
      <c r="AP308" s="1048"/>
      <c r="AQ308" s="4413"/>
      <c r="AR308" s="4413"/>
      <c r="AS308" s="1048"/>
      <c r="AT308" s="1048">
        <f t="shared" si="144"/>
        <v>36</v>
      </c>
      <c r="AU308" s="4413"/>
      <c r="AV308" s="4939"/>
      <c r="AW308" s="4939"/>
      <c r="AX308" s="1048"/>
      <c r="AY308" s="4939"/>
      <c r="AZ308" s="4939"/>
      <c r="BA308" s="1048"/>
      <c r="BB308" s="4622"/>
      <c r="BC308" s="4939"/>
      <c r="BD308" s="4622"/>
      <c r="BE308" s="4622"/>
      <c r="BF308" s="4622"/>
      <c r="BG308" s="4622"/>
      <c r="BH308" s="1048"/>
      <c r="BI308" s="4622"/>
      <c r="BJ308" s="1048"/>
      <c r="BK308" s="4415" t="s">
        <v>89</v>
      </c>
      <c r="BL308" s="4415">
        <f t="shared" si="123"/>
        <v>0.6</v>
      </c>
      <c r="BM308" s="4415"/>
      <c r="BN308" s="4415">
        <f t="shared" si="141"/>
        <v>35.4</v>
      </c>
      <c r="BO308" s="4415"/>
      <c r="BP308" s="4415"/>
      <c r="BQ308" s="4414"/>
      <c r="BR308" s="1048"/>
      <c r="BS308" s="4432"/>
      <c r="BT308" s="4432"/>
      <c r="BU308" s="4432"/>
      <c r="BV308" s="4432"/>
      <c r="BW308" s="4432"/>
      <c r="BX308" s="4431"/>
      <c r="BY308" s="4431"/>
      <c r="BZ308" s="4505">
        <f t="shared" si="121"/>
        <v>36</v>
      </c>
      <c r="CA308" s="4154">
        <f t="shared" si="120"/>
        <v>0</v>
      </c>
      <c r="CB308" s="4591"/>
      <c r="CC308" s="4591"/>
      <c r="CD308" s="4323"/>
      <c r="CE308" s="4323"/>
      <c r="CF308" s="4323"/>
    </row>
    <row r="309" s="4316" customFormat="1" ht="50" customHeight="1" spans="1:84">
      <c r="A309" s="4500">
        <v>45841</v>
      </c>
      <c r="B309" s="4501" t="s">
        <v>1641</v>
      </c>
      <c r="C309" s="3708" t="s">
        <v>396</v>
      </c>
      <c r="D309" s="4502">
        <v>4500172604</v>
      </c>
      <c r="E309" s="3708" t="s">
        <v>1655</v>
      </c>
      <c r="F309" s="4502" t="s">
        <v>1656</v>
      </c>
      <c r="G309" s="3708"/>
      <c r="H309" s="3708" t="s">
        <v>1020</v>
      </c>
      <c r="I309" s="3699" t="s">
        <v>328</v>
      </c>
      <c r="J309" s="4593">
        <v>72</v>
      </c>
      <c r="K309" s="4154">
        <v>0</v>
      </c>
      <c r="L309" s="4154">
        <v>12</v>
      </c>
      <c r="M309" s="4154">
        <f t="shared" si="139"/>
        <v>6</v>
      </c>
      <c r="N309" s="4503">
        <v>45877</v>
      </c>
      <c r="O309" s="4503">
        <v>45873</v>
      </c>
      <c r="P309" s="3712"/>
      <c r="Q309" s="4154" t="s">
        <v>82</v>
      </c>
      <c r="R309" s="4157"/>
      <c r="S309" s="4157"/>
      <c r="T309" s="4157"/>
      <c r="U309" s="3726" t="s">
        <v>1541</v>
      </c>
      <c r="V309" s="3711" t="s">
        <v>1644</v>
      </c>
      <c r="W309" s="3711"/>
      <c r="X309" s="3711" t="s">
        <v>366</v>
      </c>
      <c r="Y309" s="3711"/>
      <c r="Z309" s="3711" t="s">
        <v>1645</v>
      </c>
      <c r="AA309" s="4154"/>
      <c r="AB309" s="3680" t="s">
        <v>1646</v>
      </c>
      <c r="AC309" s="4154" t="s">
        <v>369</v>
      </c>
      <c r="AD309" s="4504">
        <v>2.2104</v>
      </c>
      <c r="AE309" s="4154">
        <f t="shared" si="140"/>
        <v>159.1488</v>
      </c>
      <c r="AF309" s="3726"/>
      <c r="AG309" s="3726"/>
      <c r="AH309" s="4430"/>
      <c r="AI309" s="3708"/>
      <c r="AJ309" s="4430"/>
      <c r="AK309" s="3708">
        <f t="shared" si="142"/>
        <v>72</v>
      </c>
      <c r="AL309" s="3708"/>
      <c r="AM309" s="4154"/>
      <c r="AN309" s="4413"/>
      <c r="AO309" s="1048">
        <f t="shared" si="143"/>
        <v>72</v>
      </c>
      <c r="AP309" s="1048"/>
      <c r="AQ309" s="4413"/>
      <c r="AR309" s="4413"/>
      <c r="AS309" s="1048"/>
      <c r="AT309" s="1048">
        <f t="shared" si="144"/>
        <v>72</v>
      </c>
      <c r="AU309" s="4413"/>
      <c r="AV309" s="4939"/>
      <c r="AW309" s="4939"/>
      <c r="AX309" s="1048"/>
      <c r="AY309" s="4939"/>
      <c r="AZ309" s="4939"/>
      <c r="BA309" s="1048"/>
      <c r="BB309" s="4622"/>
      <c r="BC309" s="4939"/>
      <c r="BD309" s="4622"/>
      <c r="BE309" s="4622"/>
      <c r="BF309" s="4622"/>
      <c r="BG309" s="4622"/>
      <c r="BH309" s="1048"/>
      <c r="BI309" s="4622"/>
      <c r="BJ309" s="1048"/>
      <c r="BK309" s="4415" t="s">
        <v>89</v>
      </c>
      <c r="BL309" s="4415">
        <f t="shared" si="123"/>
        <v>1.2</v>
      </c>
      <c r="BM309" s="4415"/>
      <c r="BN309" s="4415">
        <f t="shared" si="141"/>
        <v>70.8</v>
      </c>
      <c r="BO309" s="4415"/>
      <c r="BP309" s="4415"/>
      <c r="BQ309" s="4414"/>
      <c r="BR309" s="1048"/>
      <c r="BS309" s="4432"/>
      <c r="BT309" s="4432"/>
      <c r="BU309" s="4432"/>
      <c r="BV309" s="4432"/>
      <c r="BW309" s="4432"/>
      <c r="BX309" s="4431"/>
      <c r="BY309" s="4431"/>
      <c r="BZ309" s="4505">
        <f t="shared" si="121"/>
        <v>72</v>
      </c>
      <c r="CA309" s="4154">
        <f t="shared" si="120"/>
        <v>0</v>
      </c>
      <c r="CB309" s="4591"/>
      <c r="CC309" s="4591"/>
      <c r="CD309" s="4323"/>
      <c r="CE309" s="4323"/>
      <c r="CF309" s="4323"/>
    </row>
    <row r="310" s="4316" customFormat="1" ht="50" customHeight="1" spans="1:84">
      <c r="A310" s="4500">
        <v>45841</v>
      </c>
      <c r="B310" s="4501" t="s">
        <v>1641</v>
      </c>
      <c r="C310" s="3708" t="s">
        <v>396</v>
      </c>
      <c r="D310" s="4502">
        <v>4500172604</v>
      </c>
      <c r="E310" s="3708" t="s">
        <v>1657</v>
      </c>
      <c r="F310" s="4502" t="s">
        <v>1658</v>
      </c>
      <c r="G310" s="3708"/>
      <c r="H310" s="3708" t="s">
        <v>1020</v>
      </c>
      <c r="I310" s="3699" t="s">
        <v>328</v>
      </c>
      <c r="J310" s="4593">
        <v>60</v>
      </c>
      <c r="K310" s="4154">
        <v>0</v>
      </c>
      <c r="L310" s="4154">
        <v>12</v>
      </c>
      <c r="M310" s="4154">
        <f t="shared" si="139"/>
        <v>5</v>
      </c>
      <c r="N310" s="4503">
        <v>45877</v>
      </c>
      <c r="O310" s="4503">
        <v>45873</v>
      </c>
      <c r="P310" s="3712"/>
      <c r="Q310" s="4154" t="s">
        <v>82</v>
      </c>
      <c r="R310" s="4157"/>
      <c r="S310" s="4157"/>
      <c r="T310" s="4157"/>
      <c r="U310" s="3726" t="s">
        <v>1541</v>
      </c>
      <c r="V310" s="3711" t="s">
        <v>1644</v>
      </c>
      <c r="W310" s="3711"/>
      <c r="X310" s="3711" t="s">
        <v>366</v>
      </c>
      <c r="Y310" s="3711"/>
      <c r="Z310" s="3711" t="s">
        <v>1645</v>
      </c>
      <c r="AA310" s="4154"/>
      <c r="AB310" s="3680" t="s">
        <v>1646</v>
      </c>
      <c r="AC310" s="4154" t="s">
        <v>369</v>
      </c>
      <c r="AD310" s="4504">
        <v>2.2104</v>
      </c>
      <c r="AE310" s="4154">
        <f t="shared" si="140"/>
        <v>132.624</v>
      </c>
      <c r="AF310" s="3726"/>
      <c r="AG310" s="3726"/>
      <c r="AH310" s="4430"/>
      <c r="AI310" s="3708"/>
      <c r="AJ310" s="4430"/>
      <c r="AK310" s="3708">
        <f t="shared" si="142"/>
        <v>60</v>
      </c>
      <c r="AL310" s="3708"/>
      <c r="AM310" s="4154"/>
      <c r="AN310" s="4413"/>
      <c r="AO310" s="1048">
        <f t="shared" si="143"/>
        <v>60</v>
      </c>
      <c r="AP310" s="1048"/>
      <c r="AQ310" s="4413"/>
      <c r="AR310" s="4413"/>
      <c r="AS310" s="1048"/>
      <c r="AT310" s="1048">
        <f t="shared" si="144"/>
        <v>60</v>
      </c>
      <c r="AU310" s="4413"/>
      <c r="AV310" s="4939"/>
      <c r="AW310" s="4939"/>
      <c r="AX310" s="1048"/>
      <c r="AY310" s="4939"/>
      <c r="AZ310" s="4939"/>
      <c r="BA310" s="1048"/>
      <c r="BB310" s="4622"/>
      <c r="BC310" s="4939"/>
      <c r="BD310" s="4622"/>
      <c r="BE310" s="4622"/>
      <c r="BF310" s="4622"/>
      <c r="BG310" s="4622"/>
      <c r="BH310" s="1048"/>
      <c r="BI310" s="4622"/>
      <c r="BJ310" s="1048"/>
      <c r="BK310" s="4415" t="s">
        <v>89</v>
      </c>
      <c r="BL310" s="4415">
        <f t="shared" si="123"/>
        <v>1</v>
      </c>
      <c r="BM310" s="4415"/>
      <c r="BN310" s="4415">
        <f t="shared" si="141"/>
        <v>59</v>
      </c>
      <c r="BO310" s="4415"/>
      <c r="BP310" s="4415"/>
      <c r="BQ310" s="4414"/>
      <c r="BR310" s="1048"/>
      <c r="BS310" s="4432"/>
      <c r="BT310" s="4432"/>
      <c r="BU310" s="4432"/>
      <c r="BV310" s="4432"/>
      <c r="BW310" s="4432"/>
      <c r="BX310" s="4431"/>
      <c r="BY310" s="4431"/>
      <c r="BZ310" s="4505">
        <f t="shared" si="121"/>
        <v>60</v>
      </c>
      <c r="CA310" s="4154">
        <f t="shared" si="120"/>
        <v>0</v>
      </c>
      <c r="CB310" s="4591"/>
      <c r="CC310" s="4591"/>
      <c r="CD310" s="4323"/>
      <c r="CE310" s="4323"/>
      <c r="CF310" s="4323"/>
    </row>
    <row r="311" s="4316" customFormat="1" ht="50" customHeight="1" spans="1:84">
      <c r="A311" s="4500">
        <v>45841</v>
      </c>
      <c r="B311" s="4501" t="s">
        <v>1641</v>
      </c>
      <c r="C311" s="3708" t="s">
        <v>396</v>
      </c>
      <c r="D311" s="4502">
        <v>4500172604</v>
      </c>
      <c r="E311" s="3708" t="s">
        <v>1659</v>
      </c>
      <c r="F311" s="4502" t="s">
        <v>1660</v>
      </c>
      <c r="G311" s="3708"/>
      <c r="H311" s="3708" t="s">
        <v>1020</v>
      </c>
      <c r="I311" s="3699" t="s">
        <v>328</v>
      </c>
      <c r="J311" s="4593">
        <v>96</v>
      </c>
      <c r="K311" s="4154">
        <v>0</v>
      </c>
      <c r="L311" s="4154">
        <v>12</v>
      </c>
      <c r="M311" s="4154">
        <f t="shared" si="139"/>
        <v>8</v>
      </c>
      <c r="N311" s="4503">
        <v>45877</v>
      </c>
      <c r="O311" s="4503">
        <v>45873</v>
      </c>
      <c r="P311" s="3712"/>
      <c r="Q311" s="4154" t="s">
        <v>82</v>
      </c>
      <c r="R311" s="4157"/>
      <c r="S311" s="4157"/>
      <c r="T311" s="4157"/>
      <c r="U311" s="3726" t="s">
        <v>1541</v>
      </c>
      <c r="V311" s="3711" t="s">
        <v>1644</v>
      </c>
      <c r="W311" s="3711"/>
      <c r="X311" s="3711" t="s">
        <v>366</v>
      </c>
      <c r="Y311" s="3711"/>
      <c r="Z311" s="3711" t="s">
        <v>1645</v>
      </c>
      <c r="AA311" s="4154"/>
      <c r="AB311" s="3680" t="s">
        <v>1646</v>
      </c>
      <c r="AC311" s="4154" t="s">
        <v>369</v>
      </c>
      <c r="AD311" s="4504">
        <v>2.2104</v>
      </c>
      <c r="AE311" s="4154">
        <f t="shared" si="140"/>
        <v>212.1984</v>
      </c>
      <c r="AF311" s="3726"/>
      <c r="AG311" s="3726"/>
      <c r="AH311" s="4430"/>
      <c r="AI311" s="3708"/>
      <c r="AJ311" s="4430"/>
      <c r="AK311" s="3708">
        <f t="shared" si="142"/>
        <v>96</v>
      </c>
      <c r="AL311" s="3708"/>
      <c r="AM311" s="4154"/>
      <c r="AN311" s="4413"/>
      <c r="AO311" s="1048">
        <f t="shared" si="143"/>
        <v>96</v>
      </c>
      <c r="AP311" s="1048"/>
      <c r="AQ311" s="4413"/>
      <c r="AR311" s="4413"/>
      <c r="AS311" s="1048"/>
      <c r="AT311" s="1048">
        <f t="shared" si="144"/>
        <v>96</v>
      </c>
      <c r="AU311" s="4413"/>
      <c r="AV311" s="4939"/>
      <c r="AW311" s="4939"/>
      <c r="AX311" s="1048"/>
      <c r="AY311" s="4939"/>
      <c r="AZ311" s="4939"/>
      <c r="BA311" s="1048"/>
      <c r="BB311" s="4622"/>
      <c r="BC311" s="4939"/>
      <c r="BD311" s="4622"/>
      <c r="BE311" s="4622"/>
      <c r="BF311" s="4622"/>
      <c r="BG311" s="4622"/>
      <c r="BH311" s="1048"/>
      <c r="BI311" s="4622"/>
      <c r="BJ311" s="1048"/>
      <c r="BK311" s="4415" t="s">
        <v>89</v>
      </c>
      <c r="BL311" s="4415">
        <f t="shared" si="123"/>
        <v>1.6</v>
      </c>
      <c r="BM311" s="4415"/>
      <c r="BN311" s="4415">
        <f t="shared" si="141"/>
        <v>94.4</v>
      </c>
      <c r="BO311" s="4415"/>
      <c r="BP311" s="4415"/>
      <c r="BQ311" s="4414"/>
      <c r="BR311" s="1048"/>
      <c r="BS311" s="4432"/>
      <c r="BT311" s="4432"/>
      <c r="BU311" s="4432"/>
      <c r="BV311" s="4432"/>
      <c r="BW311" s="4432"/>
      <c r="BX311" s="4431"/>
      <c r="BY311" s="4431"/>
      <c r="BZ311" s="4505">
        <f t="shared" si="121"/>
        <v>96</v>
      </c>
      <c r="CA311" s="4154">
        <f t="shared" si="120"/>
        <v>0</v>
      </c>
      <c r="CB311" s="4591"/>
      <c r="CC311" s="4591"/>
      <c r="CD311" s="4323"/>
      <c r="CE311" s="4323"/>
      <c r="CF311" s="4323"/>
    </row>
    <row r="312" s="4316" customFormat="1" ht="50" customHeight="1" spans="1:84">
      <c r="A312" s="4500">
        <v>45841</v>
      </c>
      <c r="B312" s="4501" t="s">
        <v>1641</v>
      </c>
      <c r="C312" s="3708" t="s">
        <v>396</v>
      </c>
      <c r="D312" s="4502">
        <v>4500172604</v>
      </c>
      <c r="E312" s="3708" t="s">
        <v>1661</v>
      </c>
      <c r="F312" s="4502" t="s">
        <v>1662</v>
      </c>
      <c r="G312" s="3708"/>
      <c r="H312" s="3708" t="s">
        <v>1033</v>
      </c>
      <c r="I312" s="3699" t="s">
        <v>328</v>
      </c>
      <c r="J312" s="4593">
        <v>12</v>
      </c>
      <c r="K312" s="4154">
        <v>0</v>
      </c>
      <c r="L312" s="4154">
        <v>12</v>
      </c>
      <c r="M312" s="4154">
        <v>1</v>
      </c>
      <c r="N312" s="4503">
        <v>45877</v>
      </c>
      <c r="O312" s="4503">
        <v>45873</v>
      </c>
      <c r="P312" s="3712"/>
      <c r="Q312" s="4154" t="s">
        <v>82</v>
      </c>
      <c r="R312" s="4157"/>
      <c r="S312" s="4157"/>
      <c r="T312" s="4157"/>
      <c r="U312" s="3726" t="s">
        <v>1541</v>
      </c>
      <c r="V312" s="3711" t="s">
        <v>1644</v>
      </c>
      <c r="W312" s="3711"/>
      <c r="X312" s="3711" t="s">
        <v>366</v>
      </c>
      <c r="Y312" s="3711"/>
      <c r="Z312" s="3711" t="s">
        <v>1645</v>
      </c>
      <c r="AA312" s="4154"/>
      <c r="AB312" s="3680" t="s">
        <v>1646</v>
      </c>
      <c r="AC312" s="4154" t="s">
        <v>369</v>
      </c>
      <c r="AD312" s="4504">
        <v>2.2104</v>
      </c>
      <c r="AE312" s="4154">
        <f t="shared" si="140"/>
        <v>26.5248</v>
      </c>
      <c r="AF312" s="3726"/>
      <c r="AG312" s="3726"/>
      <c r="AH312" s="4430"/>
      <c r="AI312" s="3708"/>
      <c r="AJ312" s="4430"/>
      <c r="AK312" s="3708">
        <f t="shared" si="142"/>
        <v>12</v>
      </c>
      <c r="AL312" s="3708"/>
      <c r="AM312" s="4154"/>
      <c r="AN312" s="4413"/>
      <c r="AO312" s="1048">
        <f t="shared" si="143"/>
        <v>12</v>
      </c>
      <c r="AP312" s="1048"/>
      <c r="AQ312" s="4413"/>
      <c r="AR312" s="4413"/>
      <c r="AS312" s="1048"/>
      <c r="AT312" s="1048">
        <f t="shared" si="144"/>
        <v>12</v>
      </c>
      <c r="AU312" s="4413"/>
      <c r="AV312" s="4939"/>
      <c r="AW312" s="4939"/>
      <c r="AX312" s="1048"/>
      <c r="AY312" s="4939"/>
      <c r="AZ312" s="4939"/>
      <c r="BA312" s="1048"/>
      <c r="BB312" s="4622"/>
      <c r="BC312" s="4939"/>
      <c r="BD312" s="4622"/>
      <c r="BE312" s="4622"/>
      <c r="BF312" s="4622"/>
      <c r="BG312" s="4622"/>
      <c r="BH312" s="1048"/>
      <c r="BI312" s="4622"/>
      <c r="BJ312" s="1048"/>
      <c r="BK312" s="4415" t="s">
        <v>89</v>
      </c>
      <c r="BL312" s="4415">
        <f t="shared" si="123"/>
        <v>0.2</v>
      </c>
      <c r="BM312" s="4415"/>
      <c r="BN312" s="4415"/>
      <c r="BO312" s="4415">
        <f>J312-BL312</f>
        <v>11.8</v>
      </c>
      <c r="BP312" s="4415"/>
      <c r="BQ312" s="4414"/>
      <c r="BR312" s="1048"/>
      <c r="BS312" s="4432"/>
      <c r="BT312" s="4432"/>
      <c r="BU312" s="4432"/>
      <c r="BV312" s="4432"/>
      <c r="BW312" s="4432"/>
      <c r="BX312" s="4431"/>
      <c r="BY312" s="4431"/>
      <c r="BZ312" s="4505">
        <f t="shared" si="121"/>
        <v>12</v>
      </c>
      <c r="CA312" s="4154">
        <f t="shared" si="120"/>
        <v>0</v>
      </c>
      <c r="CB312" s="4591"/>
      <c r="CC312" s="4591"/>
      <c r="CD312" s="4323"/>
      <c r="CE312" s="4323"/>
      <c r="CF312" s="4323"/>
    </row>
    <row r="313" s="4316" customFormat="1" ht="50" customHeight="1" spans="1:84">
      <c r="A313" s="4500">
        <v>45841</v>
      </c>
      <c r="B313" s="4501" t="s">
        <v>1641</v>
      </c>
      <c r="C313" s="3708" t="s">
        <v>396</v>
      </c>
      <c r="D313" s="4502">
        <v>4500172604</v>
      </c>
      <c r="E313" s="3708" t="s">
        <v>1663</v>
      </c>
      <c r="F313" s="4502" t="s">
        <v>1664</v>
      </c>
      <c r="G313" s="3708"/>
      <c r="H313" s="3708" t="s">
        <v>1033</v>
      </c>
      <c r="I313" s="3699" t="s">
        <v>328</v>
      </c>
      <c r="J313" s="4593">
        <v>12</v>
      </c>
      <c r="K313" s="4154">
        <v>0</v>
      </c>
      <c r="L313" s="4154">
        <v>12</v>
      </c>
      <c r="M313" s="4154">
        <v>1</v>
      </c>
      <c r="N313" s="4503">
        <v>45877</v>
      </c>
      <c r="O313" s="4503">
        <v>45873</v>
      </c>
      <c r="P313" s="3712"/>
      <c r="Q313" s="4154" t="s">
        <v>82</v>
      </c>
      <c r="R313" s="4157"/>
      <c r="S313" s="4157"/>
      <c r="T313" s="4157"/>
      <c r="U313" s="3726" t="s">
        <v>1541</v>
      </c>
      <c r="V313" s="3711" t="s">
        <v>1644</v>
      </c>
      <c r="W313" s="3711"/>
      <c r="X313" s="3711" t="s">
        <v>366</v>
      </c>
      <c r="Y313" s="3711"/>
      <c r="Z313" s="3711" t="s">
        <v>1645</v>
      </c>
      <c r="AA313" s="4154"/>
      <c r="AB313" s="3680" t="s">
        <v>1646</v>
      </c>
      <c r="AC313" s="4154" t="s">
        <v>369</v>
      </c>
      <c r="AD313" s="4504">
        <v>2.2104</v>
      </c>
      <c r="AE313" s="4154">
        <f t="shared" si="140"/>
        <v>26.5248</v>
      </c>
      <c r="AF313" s="3726"/>
      <c r="AG313" s="3726"/>
      <c r="AH313" s="4430"/>
      <c r="AI313" s="3708"/>
      <c r="AJ313" s="4430"/>
      <c r="AK313" s="3708">
        <f t="shared" si="142"/>
        <v>12</v>
      </c>
      <c r="AL313" s="3708"/>
      <c r="AM313" s="4154"/>
      <c r="AN313" s="4413"/>
      <c r="AO313" s="1048">
        <f t="shared" si="143"/>
        <v>12</v>
      </c>
      <c r="AP313" s="1048"/>
      <c r="AQ313" s="4413"/>
      <c r="AR313" s="4413"/>
      <c r="AS313" s="1048"/>
      <c r="AT313" s="1048">
        <f t="shared" si="144"/>
        <v>12</v>
      </c>
      <c r="AU313" s="4413"/>
      <c r="AV313" s="4939"/>
      <c r="AW313" s="4939"/>
      <c r="AX313" s="1048"/>
      <c r="AY313" s="4939"/>
      <c r="AZ313" s="4939"/>
      <c r="BA313" s="1048"/>
      <c r="BB313" s="4622"/>
      <c r="BC313" s="4939"/>
      <c r="BD313" s="4622"/>
      <c r="BE313" s="4622"/>
      <c r="BF313" s="4622"/>
      <c r="BG313" s="4622"/>
      <c r="BH313" s="1048"/>
      <c r="BI313" s="4622"/>
      <c r="BJ313" s="1048"/>
      <c r="BK313" s="4415" t="s">
        <v>89</v>
      </c>
      <c r="BL313" s="4415">
        <f t="shared" si="123"/>
        <v>0.2</v>
      </c>
      <c r="BM313" s="4415"/>
      <c r="BN313" s="4415"/>
      <c r="BO313" s="4415">
        <f>J313-BL313</f>
        <v>11.8</v>
      </c>
      <c r="BP313" s="4415"/>
      <c r="BQ313" s="4414"/>
      <c r="BR313" s="1048"/>
      <c r="BS313" s="4432"/>
      <c r="BT313" s="4432"/>
      <c r="BU313" s="4432"/>
      <c r="BV313" s="4432"/>
      <c r="BW313" s="4432"/>
      <c r="BX313" s="4431"/>
      <c r="BY313" s="4431"/>
      <c r="BZ313" s="4505">
        <f t="shared" si="121"/>
        <v>12</v>
      </c>
      <c r="CA313" s="4154">
        <f t="shared" si="120"/>
        <v>0</v>
      </c>
      <c r="CB313" s="4591"/>
      <c r="CC313" s="4591"/>
      <c r="CD313" s="4323"/>
      <c r="CE313" s="4323"/>
      <c r="CF313" s="4323"/>
    </row>
    <row r="314" s="4316" customFormat="1" ht="50" customHeight="1" spans="1:84">
      <c r="A314" s="4500">
        <v>45840</v>
      </c>
      <c r="B314" s="4501" t="s">
        <v>461</v>
      </c>
      <c r="C314" s="3708" t="s">
        <v>341</v>
      </c>
      <c r="D314" s="4502">
        <v>4500172515</v>
      </c>
      <c r="E314" s="3708" t="s">
        <v>1665</v>
      </c>
      <c r="F314" s="4502" t="s">
        <v>1666</v>
      </c>
      <c r="G314" s="3708"/>
      <c r="H314" s="3708" t="s">
        <v>333</v>
      </c>
      <c r="I314" s="3708" t="s">
        <v>328</v>
      </c>
      <c r="J314" s="4593">
        <v>2520</v>
      </c>
      <c r="K314" s="4154">
        <v>0</v>
      </c>
      <c r="L314" s="4154">
        <v>24</v>
      </c>
      <c r="M314" s="4154">
        <f>J314/L314</f>
        <v>105</v>
      </c>
      <c r="N314" s="4503">
        <v>45880</v>
      </c>
      <c r="O314" s="4503">
        <f>N314-4</f>
        <v>45876</v>
      </c>
      <c r="P314" s="3712"/>
      <c r="Q314" s="4154" t="s">
        <v>82</v>
      </c>
      <c r="R314" s="4157"/>
      <c r="S314" s="4157"/>
      <c r="T314" s="4157"/>
      <c r="U314" s="3726" t="s">
        <v>1667</v>
      </c>
      <c r="V314" s="3711" t="s">
        <v>1628</v>
      </c>
      <c r="W314" s="3711"/>
      <c r="X314" s="3711" t="s">
        <v>98</v>
      </c>
      <c r="Y314" s="3711"/>
      <c r="Z314" s="3711" t="s">
        <v>1668</v>
      </c>
      <c r="AA314" s="4154"/>
      <c r="AB314" s="3680" t="s">
        <v>1669</v>
      </c>
      <c r="AC314" s="4154" t="s">
        <v>87</v>
      </c>
      <c r="AD314" s="4504">
        <v>2.0854</v>
      </c>
      <c r="AE314" s="4154">
        <f t="shared" si="140"/>
        <v>5255.208</v>
      </c>
      <c r="AF314" s="3726"/>
      <c r="AG314" s="3726"/>
      <c r="AH314" s="4430"/>
      <c r="AI314" s="3708"/>
      <c r="AJ314" s="4430"/>
      <c r="AK314" s="3708">
        <f t="shared" si="142"/>
        <v>2520</v>
      </c>
      <c r="AL314" s="3708"/>
      <c r="AM314" s="4154"/>
      <c r="AN314" s="4413"/>
      <c r="AO314" s="1048">
        <f t="shared" si="143"/>
        <v>2520</v>
      </c>
      <c r="AP314" s="1048"/>
      <c r="AQ314" s="4413"/>
      <c r="AR314" s="4413"/>
      <c r="AS314" s="1048">
        <f t="shared" ref="AS314:AS319" si="145">J314</f>
        <v>2520</v>
      </c>
      <c r="AT314" s="1048"/>
      <c r="AU314" s="4413"/>
      <c r="AV314" s="4939"/>
      <c r="AW314" s="4939"/>
      <c r="AX314" s="1048"/>
      <c r="AY314" s="4939"/>
      <c r="AZ314" s="4939"/>
      <c r="BA314" s="1048"/>
      <c r="BB314" s="4622"/>
      <c r="BC314" s="4939"/>
      <c r="BD314" s="4622"/>
      <c r="BE314" s="4622"/>
      <c r="BF314" s="4622"/>
      <c r="BG314" s="4622"/>
      <c r="BH314" s="1048"/>
      <c r="BI314" s="4622"/>
      <c r="BJ314" s="1048"/>
      <c r="BK314" s="4415" t="s">
        <v>89</v>
      </c>
      <c r="BL314" s="4415">
        <f t="shared" si="123"/>
        <v>42</v>
      </c>
      <c r="BM314" s="4415">
        <f t="shared" ref="BM314:BM319" si="146">J314/60*9</f>
        <v>378</v>
      </c>
      <c r="BN314" s="4415">
        <f t="shared" ref="BN314:BN319" si="147">J314/60*10</f>
        <v>420</v>
      </c>
      <c r="BO314" s="4415">
        <f t="shared" ref="BO314:BO319" si="148">J314/60*10</f>
        <v>420</v>
      </c>
      <c r="BP314" s="4415">
        <f t="shared" ref="BP314:BP319" si="149">J314/60*10</f>
        <v>420</v>
      </c>
      <c r="BQ314" s="4414">
        <f t="shared" ref="BQ314:BQ319" si="150">J314/60*10</f>
        <v>420</v>
      </c>
      <c r="BR314" s="1048">
        <f t="shared" ref="BR314:BR319" si="151">J314/60*10</f>
        <v>420</v>
      </c>
      <c r="BS314" s="4432"/>
      <c r="BT314" s="4432"/>
      <c r="BU314" s="4432"/>
      <c r="BV314" s="4432"/>
      <c r="BW314" s="4432"/>
      <c r="BX314" s="4431"/>
      <c r="BY314" s="4431"/>
      <c r="BZ314" s="3708">
        <f t="shared" si="121"/>
        <v>2520</v>
      </c>
      <c r="CA314" s="4154">
        <f t="shared" si="120"/>
        <v>0</v>
      </c>
      <c r="CB314" s="4591"/>
      <c r="CC314" s="4591"/>
      <c r="CD314" s="4323"/>
      <c r="CE314" s="4323"/>
      <c r="CF314" s="4323"/>
    </row>
    <row r="315" s="4316" customFormat="1" ht="50" customHeight="1" spans="1:84">
      <c r="A315" s="4500">
        <v>45841</v>
      </c>
      <c r="B315" s="4501" t="s">
        <v>1670</v>
      </c>
      <c r="C315" s="3708" t="s">
        <v>471</v>
      </c>
      <c r="D315" s="4502">
        <v>4500172629</v>
      </c>
      <c r="E315" s="3708" t="s">
        <v>1671</v>
      </c>
      <c r="F315" s="4502" t="s">
        <v>1672</v>
      </c>
      <c r="G315" s="4323"/>
      <c r="H315" s="3708" t="s">
        <v>333</v>
      </c>
      <c r="I315" s="3708" t="s">
        <v>328</v>
      </c>
      <c r="J315" s="4593">
        <v>2520</v>
      </c>
      <c r="K315" s="4154">
        <v>0</v>
      </c>
      <c r="L315" s="4154">
        <v>24</v>
      </c>
      <c r="M315" s="4154">
        <f>J315/L315</f>
        <v>105</v>
      </c>
      <c r="N315" s="4503">
        <v>45881</v>
      </c>
      <c r="O315" s="4503">
        <v>45877</v>
      </c>
      <c r="P315" s="3712"/>
      <c r="Q315" s="4154" t="s">
        <v>82</v>
      </c>
      <c r="R315" s="4157"/>
      <c r="S315" s="4157"/>
      <c r="T315" s="4157"/>
      <c r="U315" s="3726" t="s">
        <v>222</v>
      </c>
      <c r="V315" s="3711" t="s">
        <v>1644</v>
      </c>
      <c r="W315" s="3711"/>
      <c r="X315" s="3711" t="s">
        <v>98</v>
      </c>
      <c r="Y315" s="3711"/>
      <c r="Z315" s="3711" t="s">
        <v>1668</v>
      </c>
      <c r="AA315" s="4154"/>
      <c r="AB315" s="3680" t="s">
        <v>1669</v>
      </c>
      <c r="AC315" s="4154" t="s">
        <v>87</v>
      </c>
      <c r="AD315" s="4504">
        <v>2.0854</v>
      </c>
      <c r="AE315" s="4154">
        <f t="shared" si="140"/>
        <v>5255.208</v>
      </c>
      <c r="AF315" s="3726"/>
      <c r="AG315" s="3726"/>
      <c r="AH315" s="4430"/>
      <c r="AI315" s="3708"/>
      <c r="AJ315" s="4430"/>
      <c r="AK315" s="3708">
        <f t="shared" si="142"/>
        <v>2520</v>
      </c>
      <c r="AL315" s="3708"/>
      <c r="AM315" s="4154"/>
      <c r="AN315" s="4413"/>
      <c r="AO315" s="1048">
        <f t="shared" si="143"/>
        <v>2520</v>
      </c>
      <c r="AP315" s="1048"/>
      <c r="AQ315" s="4413"/>
      <c r="AR315" s="4413"/>
      <c r="AS315" s="1048">
        <f t="shared" si="145"/>
        <v>2520</v>
      </c>
      <c r="AT315" s="1048"/>
      <c r="AU315" s="4413"/>
      <c r="AV315" s="4939"/>
      <c r="AW315" s="4939"/>
      <c r="AX315" s="1048"/>
      <c r="AY315" s="4939"/>
      <c r="AZ315" s="4939"/>
      <c r="BA315" s="1048"/>
      <c r="BB315" s="4622"/>
      <c r="BC315" s="4939"/>
      <c r="BD315" s="4622"/>
      <c r="BE315" s="4622"/>
      <c r="BF315" s="4622"/>
      <c r="BG315" s="4622"/>
      <c r="BH315" s="1048"/>
      <c r="BI315" s="4622"/>
      <c r="BJ315" s="1048"/>
      <c r="BK315" s="4415" t="s">
        <v>89</v>
      </c>
      <c r="BL315" s="4415">
        <f t="shared" si="123"/>
        <v>42</v>
      </c>
      <c r="BM315" s="4415">
        <f t="shared" si="146"/>
        <v>378</v>
      </c>
      <c r="BN315" s="4415">
        <f t="shared" si="147"/>
        <v>420</v>
      </c>
      <c r="BO315" s="4415">
        <f t="shared" si="148"/>
        <v>420</v>
      </c>
      <c r="BP315" s="4415">
        <f t="shared" si="149"/>
        <v>420</v>
      </c>
      <c r="BQ315" s="4414">
        <f t="shared" si="150"/>
        <v>420</v>
      </c>
      <c r="BR315" s="1048">
        <f t="shared" si="151"/>
        <v>420</v>
      </c>
      <c r="BS315" s="4432"/>
      <c r="BT315" s="4432"/>
      <c r="BU315" s="4432"/>
      <c r="BV315" s="4432"/>
      <c r="BW315" s="4432"/>
      <c r="BX315" s="4431"/>
      <c r="BY315" s="4431"/>
      <c r="BZ315" s="3708">
        <f t="shared" si="121"/>
        <v>2520</v>
      </c>
      <c r="CA315" s="4154">
        <f t="shared" si="120"/>
        <v>0</v>
      </c>
      <c r="CB315" s="4591"/>
      <c r="CC315" s="4591"/>
      <c r="CD315" s="4323"/>
      <c r="CE315" s="4323"/>
      <c r="CF315" s="4323"/>
    </row>
    <row r="316" s="4316" customFormat="1" ht="50" customHeight="1" spans="1:84">
      <c r="A316" s="4500">
        <v>45840</v>
      </c>
      <c r="B316" s="4501" t="s">
        <v>90</v>
      </c>
      <c r="C316" s="3708" t="s">
        <v>91</v>
      </c>
      <c r="D316" s="4502">
        <v>4500172365</v>
      </c>
      <c r="E316" s="3708" t="s">
        <v>1673</v>
      </c>
      <c r="F316" s="4615" t="s">
        <v>1674</v>
      </c>
      <c r="G316" s="3708"/>
      <c r="H316" s="3708" t="s">
        <v>333</v>
      </c>
      <c r="I316" s="3708" t="s">
        <v>328</v>
      </c>
      <c r="J316" s="4593">
        <v>4608</v>
      </c>
      <c r="K316" s="4154">
        <v>0</v>
      </c>
      <c r="L316" s="4154">
        <v>24</v>
      </c>
      <c r="M316" s="4154">
        <f>J316/L316</f>
        <v>192</v>
      </c>
      <c r="N316" s="4503">
        <v>45876</v>
      </c>
      <c r="O316" s="4503">
        <v>45873</v>
      </c>
      <c r="P316" s="3712"/>
      <c r="Q316" s="4154" t="s">
        <v>82</v>
      </c>
      <c r="R316" s="4157"/>
      <c r="S316" s="4157"/>
      <c r="T316" s="4157"/>
      <c r="U316" s="3726" t="s">
        <v>1675</v>
      </c>
      <c r="V316" s="3711" t="s">
        <v>1676</v>
      </c>
      <c r="W316" s="3711"/>
      <c r="X316" s="3711" t="s">
        <v>98</v>
      </c>
      <c r="Y316" s="3711"/>
      <c r="Z316" s="3711" t="s">
        <v>1620</v>
      </c>
      <c r="AA316" s="4154"/>
      <c r="AB316" s="3680" t="s">
        <v>1677</v>
      </c>
      <c r="AC316" s="4154" t="s">
        <v>101</v>
      </c>
      <c r="AD316" s="4504">
        <v>1.2491</v>
      </c>
      <c r="AE316" s="4154">
        <f t="shared" si="140"/>
        <v>5755.8528</v>
      </c>
      <c r="AF316" s="3726" t="s">
        <v>1678</v>
      </c>
      <c r="AG316" s="3726"/>
      <c r="AH316" s="4448"/>
      <c r="AI316" s="3708">
        <f>J316</f>
        <v>4608</v>
      </c>
      <c r="AJ316" s="4448"/>
      <c r="AK316" s="3708"/>
      <c r="AL316" s="3708"/>
      <c r="AM316" s="4154"/>
      <c r="AN316" s="4411"/>
      <c r="AO316" s="1048">
        <f t="shared" si="143"/>
        <v>4608</v>
      </c>
      <c r="AP316" s="1048"/>
      <c r="AQ316" s="4411"/>
      <c r="AR316" s="4411"/>
      <c r="AS316" s="1048">
        <f t="shared" si="145"/>
        <v>4608</v>
      </c>
      <c r="AT316" s="1048"/>
      <c r="AU316" s="4411"/>
      <c r="AV316" s="4933"/>
      <c r="AW316" s="4933"/>
      <c r="AX316" s="1048"/>
      <c r="AY316" s="4933"/>
      <c r="AZ316" s="4933"/>
      <c r="BA316" s="1048"/>
      <c r="BB316" s="4622"/>
      <c r="BC316" s="4933"/>
      <c r="BD316" s="4622"/>
      <c r="BE316" s="4622"/>
      <c r="BF316" s="4622"/>
      <c r="BG316" s="4622"/>
      <c r="BH316" s="1048"/>
      <c r="BI316" s="4622"/>
      <c r="BJ316" s="1048"/>
      <c r="BK316" s="4415" t="s">
        <v>89</v>
      </c>
      <c r="BL316" s="4415">
        <f t="shared" si="123"/>
        <v>76.8</v>
      </c>
      <c r="BM316" s="4415">
        <f t="shared" si="146"/>
        <v>691.2</v>
      </c>
      <c r="BN316" s="4415">
        <f t="shared" si="147"/>
        <v>768</v>
      </c>
      <c r="BO316" s="4415">
        <f t="shared" si="148"/>
        <v>768</v>
      </c>
      <c r="BP316" s="4415">
        <f t="shared" si="149"/>
        <v>768</v>
      </c>
      <c r="BQ316" s="4414">
        <f t="shared" si="150"/>
        <v>768</v>
      </c>
      <c r="BR316" s="1048">
        <f t="shared" si="151"/>
        <v>768</v>
      </c>
      <c r="BS316" s="4454"/>
      <c r="BT316" s="4454"/>
      <c r="BU316" s="4454"/>
      <c r="BV316" s="4454"/>
      <c r="BW316" s="4454"/>
      <c r="BX316" s="4453"/>
      <c r="BY316" s="4453"/>
      <c r="BZ316" s="3708">
        <f t="shared" si="121"/>
        <v>4608</v>
      </c>
      <c r="CA316" s="4154">
        <f t="shared" si="120"/>
        <v>0</v>
      </c>
      <c r="CB316" s="4934"/>
      <c r="CC316" s="4934"/>
      <c r="CD316" s="4323"/>
      <c r="CE316" s="4323"/>
      <c r="CF316" s="4323"/>
    </row>
    <row r="317" s="4316" customFormat="1" ht="50" customHeight="1" spans="1:84">
      <c r="A317" s="4500">
        <v>45840</v>
      </c>
      <c r="B317" s="4501" t="s">
        <v>90</v>
      </c>
      <c r="C317" s="3708" t="s">
        <v>91</v>
      </c>
      <c r="D317" s="4502">
        <v>4500172370</v>
      </c>
      <c r="E317" s="3708" t="s">
        <v>1679</v>
      </c>
      <c r="F317" s="4615" t="s">
        <v>1680</v>
      </c>
      <c r="G317" s="3708"/>
      <c r="H317" s="3708" t="s">
        <v>333</v>
      </c>
      <c r="I317" s="3708" t="s">
        <v>328</v>
      </c>
      <c r="J317" s="4593">
        <v>4800</v>
      </c>
      <c r="K317" s="4154">
        <v>0</v>
      </c>
      <c r="L317" s="4154">
        <v>24</v>
      </c>
      <c r="M317" s="4154">
        <f>J317/L317</f>
        <v>200</v>
      </c>
      <c r="N317" s="4503">
        <v>45876</v>
      </c>
      <c r="O317" s="4503">
        <v>45873</v>
      </c>
      <c r="P317" s="3712"/>
      <c r="Q317" s="4154" t="s">
        <v>82</v>
      </c>
      <c r="R317" s="4157"/>
      <c r="S317" s="4157"/>
      <c r="T317" s="4157"/>
      <c r="U317" s="3726" t="s">
        <v>218</v>
      </c>
      <c r="V317" s="3711" t="s">
        <v>1676</v>
      </c>
      <c r="W317" s="3711"/>
      <c r="X317" s="3711" t="s">
        <v>98</v>
      </c>
      <c r="Y317" s="3711"/>
      <c r="Z317" s="3711" t="s">
        <v>1620</v>
      </c>
      <c r="AA317" s="4154"/>
      <c r="AB317" s="3680" t="s">
        <v>1677</v>
      </c>
      <c r="AC317" s="4154" t="s">
        <v>101</v>
      </c>
      <c r="AD317" s="4504">
        <v>1.2491</v>
      </c>
      <c r="AE317" s="4154">
        <f t="shared" si="140"/>
        <v>5995.68</v>
      </c>
      <c r="AF317" s="3726" t="s">
        <v>1681</v>
      </c>
      <c r="AG317" s="3726"/>
      <c r="AH317" s="4448"/>
      <c r="AI317" s="3708">
        <f>J317</f>
        <v>4800</v>
      </c>
      <c r="AJ317" s="4448"/>
      <c r="AK317" s="3708"/>
      <c r="AL317" s="3708"/>
      <c r="AM317" s="4154"/>
      <c r="AN317" s="4411"/>
      <c r="AO317" s="1048">
        <f t="shared" si="143"/>
        <v>4800</v>
      </c>
      <c r="AP317" s="1048"/>
      <c r="AQ317" s="4411"/>
      <c r="AR317" s="4411"/>
      <c r="AS317" s="1048">
        <f t="shared" si="145"/>
        <v>4800</v>
      </c>
      <c r="AT317" s="1048"/>
      <c r="AU317" s="4411"/>
      <c r="AV317" s="4933"/>
      <c r="AW317" s="4933"/>
      <c r="AX317" s="1048"/>
      <c r="AY317" s="4933"/>
      <c r="AZ317" s="4933"/>
      <c r="BA317" s="1048"/>
      <c r="BB317" s="4622"/>
      <c r="BC317" s="4933"/>
      <c r="BD317" s="4622"/>
      <c r="BE317" s="4622"/>
      <c r="BF317" s="4622"/>
      <c r="BG317" s="4622"/>
      <c r="BH317" s="1048"/>
      <c r="BI317" s="4622"/>
      <c r="BJ317" s="1048"/>
      <c r="BK317" s="4415" t="s">
        <v>89</v>
      </c>
      <c r="BL317" s="4415">
        <f t="shared" si="123"/>
        <v>80</v>
      </c>
      <c r="BM317" s="4415">
        <f t="shared" si="146"/>
        <v>720</v>
      </c>
      <c r="BN317" s="4415">
        <f t="shared" si="147"/>
        <v>800</v>
      </c>
      <c r="BO317" s="4415">
        <f t="shared" si="148"/>
        <v>800</v>
      </c>
      <c r="BP317" s="4415">
        <f t="shared" si="149"/>
        <v>800</v>
      </c>
      <c r="BQ317" s="4414">
        <f t="shared" si="150"/>
        <v>800</v>
      </c>
      <c r="BR317" s="1048">
        <f t="shared" si="151"/>
        <v>800</v>
      </c>
      <c r="BS317" s="4454"/>
      <c r="BT317" s="4454"/>
      <c r="BU317" s="4454"/>
      <c r="BV317" s="4454"/>
      <c r="BW317" s="4454"/>
      <c r="BX317" s="4453"/>
      <c r="BY317" s="4453"/>
      <c r="BZ317" s="3708">
        <f t="shared" si="121"/>
        <v>4800</v>
      </c>
      <c r="CA317" s="4154">
        <f t="shared" si="120"/>
        <v>0</v>
      </c>
      <c r="CB317" s="4934"/>
      <c r="CC317" s="4934"/>
      <c r="CD317" s="4323"/>
      <c r="CE317" s="4323"/>
      <c r="CF317" s="4323"/>
    </row>
    <row r="318" s="4316" customFormat="1" ht="50" customHeight="1" spans="1:84">
      <c r="A318" s="4500">
        <v>45835</v>
      </c>
      <c r="B318" s="4501" t="s">
        <v>1682</v>
      </c>
      <c r="C318" s="3708" t="s">
        <v>91</v>
      </c>
      <c r="D318" s="4502">
        <v>4500171334</v>
      </c>
      <c r="E318" s="3708" t="s">
        <v>1683</v>
      </c>
      <c r="F318" s="4502" t="s">
        <v>1684</v>
      </c>
      <c r="G318" s="3708"/>
      <c r="H318" s="3708" t="s">
        <v>409</v>
      </c>
      <c r="I318" s="3708" t="s">
        <v>410</v>
      </c>
      <c r="J318" s="4154">
        <v>6000</v>
      </c>
      <c r="K318" s="4154">
        <v>0</v>
      </c>
      <c r="L318" s="4154">
        <v>12</v>
      </c>
      <c r="M318" s="4154">
        <f>J318/L318</f>
        <v>500</v>
      </c>
      <c r="N318" s="4503">
        <v>45868</v>
      </c>
      <c r="O318" s="4503">
        <v>45864</v>
      </c>
      <c r="P318" s="4154"/>
      <c r="Q318" s="4154" t="s">
        <v>82</v>
      </c>
      <c r="R318" s="4157"/>
      <c r="S318" s="4157"/>
      <c r="T318" s="4157"/>
      <c r="U318" s="3680" t="s">
        <v>1565</v>
      </c>
      <c r="V318" s="3711" t="s">
        <v>1644</v>
      </c>
      <c r="W318" s="3711"/>
      <c r="X318" s="3711" t="s">
        <v>1685</v>
      </c>
      <c r="Y318" s="3711"/>
      <c r="Z318" s="3711"/>
      <c r="AA318" s="4154"/>
      <c r="AB318" s="3680" t="s">
        <v>1686</v>
      </c>
      <c r="AC318" s="4154" t="s">
        <v>500</v>
      </c>
      <c r="AD318" s="4504">
        <v>1.6018</v>
      </c>
      <c r="AE318" s="4154">
        <f t="shared" si="140"/>
        <v>9610.8</v>
      </c>
      <c r="AF318" s="3726" t="s">
        <v>1687</v>
      </c>
      <c r="AG318" s="3726"/>
      <c r="AH318" s="4422"/>
      <c r="AI318" s="3708">
        <f>J318</f>
        <v>6000</v>
      </c>
      <c r="AJ318" s="4422"/>
      <c r="AK318" s="3708"/>
      <c r="AL318" s="3708"/>
      <c r="AM318" s="4154"/>
      <c r="AN318" s="907"/>
      <c r="AO318" s="1048">
        <f t="shared" si="143"/>
        <v>6000</v>
      </c>
      <c r="AP318" s="1048"/>
      <c r="AQ318" s="907"/>
      <c r="AR318" s="907"/>
      <c r="AS318" s="1048">
        <f t="shared" si="145"/>
        <v>6000</v>
      </c>
      <c r="AT318" s="1048"/>
      <c r="AU318" s="907"/>
      <c r="AV318" s="4922"/>
      <c r="AW318" s="4922"/>
      <c r="AX318" s="1048"/>
      <c r="AY318" s="4922"/>
      <c r="AZ318" s="4922"/>
      <c r="BA318" s="1048"/>
      <c r="BB318" s="4622"/>
      <c r="BC318" s="4922"/>
      <c r="BD318" s="4622"/>
      <c r="BE318" s="4622"/>
      <c r="BF318" s="4622"/>
      <c r="BG318" s="4622"/>
      <c r="BH318" s="1048">
        <f>J318</f>
        <v>6000</v>
      </c>
      <c r="BI318" s="4622"/>
      <c r="BJ318" s="1048"/>
      <c r="BK318" s="4415" t="s">
        <v>89</v>
      </c>
      <c r="BL318" s="4415">
        <f t="shared" si="123"/>
        <v>100</v>
      </c>
      <c r="BM318" s="4415">
        <f t="shared" si="146"/>
        <v>900</v>
      </c>
      <c r="BN318" s="4415">
        <f t="shared" si="147"/>
        <v>1000</v>
      </c>
      <c r="BO318" s="4415">
        <f t="shared" si="148"/>
        <v>1000</v>
      </c>
      <c r="BP318" s="4415">
        <f t="shared" si="149"/>
        <v>1000</v>
      </c>
      <c r="BQ318" s="4414">
        <f t="shared" si="150"/>
        <v>1000</v>
      </c>
      <c r="BR318" s="1048">
        <f t="shared" si="151"/>
        <v>1000</v>
      </c>
      <c r="BS318" s="911"/>
      <c r="BT318" s="911"/>
      <c r="BU318" s="911"/>
      <c r="BV318" s="911"/>
      <c r="BW318" s="911"/>
      <c r="BX318" s="910"/>
      <c r="BY318" s="910"/>
      <c r="BZ318" s="3708">
        <f t="shared" si="121"/>
        <v>6000</v>
      </c>
      <c r="CA318" s="4154">
        <f t="shared" si="120"/>
        <v>0</v>
      </c>
      <c r="CB318" s="4923"/>
      <c r="CC318" s="4923"/>
      <c r="CD318" s="4323"/>
      <c r="CE318" s="4323"/>
      <c r="CF318" s="4323"/>
    </row>
    <row r="319" s="4316" customFormat="1" ht="50" customHeight="1" spans="1:84">
      <c r="A319" s="4500">
        <v>45838</v>
      </c>
      <c r="B319" s="4501" t="s">
        <v>90</v>
      </c>
      <c r="C319" s="3708" t="s">
        <v>91</v>
      </c>
      <c r="D319" s="4502">
        <v>4500171919</v>
      </c>
      <c r="E319" s="3708" t="s">
        <v>1688</v>
      </c>
      <c r="F319" s="4615" t="s">
        <v>1689</v>
      </c>
      <c r="G319" s="3708"/>
      <c r="H319" s="3708" t="s">
        <v>409</v>
      </c>
      <c r="I319" s="3708" t="s">
        <v>410</v>
      </c>
      <c r="J319" s="4154">
        <v>3600</v>
      </c>
      <c r="K319" s="4154">
        <v>0</v>
      </c>
      <c r="L319" s="4154">
        <v>12</v>
      </c>
      <c r="M319" s="4154">
        <f t="shared" ref="M319:M321" si="152">J319/L319</f>
        <v>300</v>
      </c>
      <c r="N319" s="4503">
        <v>45870</v>
      </c>
      <c r="O319" s="4503">
        <f>N319-4</f>
        <v>45866</v>
      </c>
      <c r="P319" s="4154"/>
      <c r="Q319" s="4154" t="s">
        <v>82</v>
      </c>
      <c r="R319" s="4157"/>
      <c r="S319" s="4157"/>
      <c r="T319" s="4157"/>
      <c r="U319" s="3680" t="s">
        <v>1690</v>
      </c>
      <c r="V319" s="3711" t="s">
        <v>1628</v>
      </c>
      <c r="W319" s="3711"/>
      <c r="X319" s="3711" t="s">
        <v>1099</v>
      </c>
      <c r="Y319" s="3711"/>
      <c r="Z319" s="3711" t="s">
        <v>1578</v>
      </c>
      <c r="AA319" s="4154"/>
      <c r="AB319" s="3680" t="s">
        <v>1691</v>
      </c>
      <c r="AC319" s="4154" t="s">
        <v>101</v>
      </c>
      <c r="AD319" s="4504">
        <v>1.5454</v>
      </c>
      <c r="AE319" s="4154">
        <f t="shared" ref="AE319:AE329" si="153">J319*AD319</f>
        <v>5563.44</v>
      </c>
      <c r="AF319" s="3726" t="s">
        <v>1692</v>
      </c>
      <c r="AG319" s="3726"/>
      <c r="AH319" s="4422"/>
      <c r="AI319" s="3708">
        <f>J319</f>
        <v>3600</v>
      </c>
      <c r="AJ319" s="4422"/>
      <c r="AK319" s="3708"/>
      <c r="AL319" s="3708"/>
      <c r="AM319" s="4154"/>
      <c r="AN319" s="907"/>
      <c r="AO319" s="1048">
        <f t="shared" si="143"/>
        <v>3600</v>
      </c>
      <c r="AP319" s="1048"/>
      <c r="AQ319" s="907"/>
      <c r="AR319" s="907"/>
      <c r="AS319" s="1048">
        <f t="shared" si="145"/>
        <v>3600</v>
      </c>
      <c r="AT319" s="1048"/>
      <c r="AU319" s="907"/>
      <c r="AV319" s="4922"/>
      <c r="AW319" s="4922"/>
      <c r="AX319" s="1048"/>
      <c r="AY319" s="4922"/>
      <c r="AZ319" s="4922"/>
      <c r="BA319" s="1048"/>
      <c r="BB319" s="4622"/>
      <c r="BC319" s="4922"/>
      <c r="BD319" s="4622"/>
      <c r="BE319" s="4622"/>
      <c r="BF319" s="4622"/>
      <c r="BG319" s="4622"/>
      <c r="BH319" s="1048">
        <f>J319</f>
        <v>3600</v>
      </c>
      <c r="BI319" s="4622"/>
      <c r="BJ319" s="1048"/>
      <c r="BK319" s="4415" t="s">
        <v>89</v>
      </c>
      <c r="BL319" s="4415">
        <f t="shared" si="123"/>
        <v>60</v>
      </c>
      <c r="BM319" s="4415">
        <f t="shared" si="146"/>
        <v>540</v>
      </c>
      <c r="BN319" s="4415">
        <f t="shared" si="147"/>
        <v>600</v>
      </c>
      <c r="BO319" s="4415">
        <f t="shared" si="148"/>
        <v>600</v>
      </c>
      <c r="BP319" s="4415">
        <f t="shared" si="149"/>
        <v>600</v>
      </c>
      <c r="BQ319" s="4414">
        <f t="shared" si="150"/>
        <v>600</v>
      </c>
      <c r="BR319" s="1048">
        <f t="shared" si="151"/>
        <v>600</v>
      </c>
      <c r="BS319" s="911"/>
      <c r="BT319" s="911"/>
      <c r="BU319" s="911"/>
      <c r="BV319" s="911"/>
      <c r="BW319" s="911"/>
      <c r="BX319" s="910"/>
      <c r="BY319" s="910"/>
      <c r="BZ319" s="3708">
        <f t="shared" si="121"/>
        <v>3600</v>
      </c>
      <c r="CA319" s="4154">
        <f t="shared" si="120"/>
        <v>0</v>
      </c>
      <c r="CB319" s="4923"/>
      <c r="CC319" s="4923"/>
      <c r="CD319" s="4323"/>
      <c r="CE319" s="4323"/>
      <c r="CF319" s="4323"/>
    </row>
    <row r="320" s="4316" customFormat="1" ht="50" customHeight="1" spans="1:84">
      <c r="A320" s="4500">
        <v>45838</v>
      </c>
      <c r="B320" s="4501" t="s">
        <v>90</v>
      </c>
      <c r="C320" s="3708" t="s">
        <v>91</v>
      </c>
      <c r="D320" s="4502">
        <v>4500171918</v>
      </c>
      <c r="E320" s="3708" t="s">
        <v>1693</v>
      </c>
      <c r="F320" s="4615" t="s">
        <v>1694</v>
      </c>
      <c r="G320" s="3708"/>
      <c r="H320" s="3708" t="s">
        <v>409</v>
      </c>
      <c r="I320" s="3708" t="s">
        <v>410</v>
      </c>
      <c r="J320" s="4154">
        <v>3600</v>
      </c>
      <c r="K320" s="4154">
        <v>0</v>
      </c>
      <c r="L320" s="4154">
        <v>12</v>
      </c>
      <c r="M320" s="4154">
        <f t="shared" si="152"/>
        <v>300</v>
      </c>
      <c r="N320" s="4503">
        <v>45870</v>
      </c>
      <c r="O320" s="4503">
        <f>N320-4</f>
        <v>45866</v>
      </c>
      <c r="P320" s="4154"/>
      <c r="Q320" s="4154" t="s">
        <v>82</v>
      </c>
      <c r="R320" s="4157"/>
      <c r="S320" s="4157"/>
      <c r="T320" s="4157"/>
      <c r="U320" s="3680" t="s">
        <v>218</v>
      </c>
      <c r="V320" s="3711" t="s">
        <v>1628</v>
      </c>
      <c r="W320" s="3711"/>
      <c r="X320" s="3711" t="s">
        <v>1099</v>
      </c>
      <c r="Y320" s="3711"/>
      <c r="Z320" s="3711" t="s">
        <v>1578</v>
      </c>
      <c r="AA320" s="4154"/>
      <c r="AB320" s="3680" t="s">
        <v>1691</v>
      </c>
      <c r="AC320" s="4154" t="s">
        <v>101</v>
      </c>
      <c r="AD320" s="4504">
        <v>1.6127</v>
      </c>
      <c r="AE320" s="4154">
        <f t="shared" si="153"/>
        <v>5805.72</v>
      </c>
      <c r="AF320" s="3726" t="s">
        <v>1695</v>
      </c>
      <c r="AG320" s="3726"/>
      <c r="AH320" s="4422"/>
      <c r="AI320" s="3708">
        <f t="shared" ref="AI320:AI332" si="154">J320</f>
        <v>3600</v>
      </c>
      <c r="AJ320" s="4422"/>
      <c r="AK320" s="3708"/>
      <c r="AL320" s="3708"/>
      <c r="AM320" s="4154"/>
      <c r="AN320" s="907"/>
      <c r="AO320" s="1048">
        <f t="shared" ref="AO320:AO332" si="155">J320</f>
        <v>3600</v>
      </c>
      <c r="AP320" s="1048"/>
      <c r="AQ320" s="907"/>
      <c r="AR320" s="907"/>
      <c r="AS320" s="1048">
        <f t="shared" ref="AS320:AS355" si="156">J320</f>
        <v>3600</v>
      </c>
      <c r="AT320" s="1048"/>
      <c r="AU320" s="907"/>
      <c r="AV320" s="4922"/>
      <c r="AW320" s="4922"/>
      <c r="AX320" s="1048"/>
      <c r="AY320" s="4922"/>
      <c r="AZ320" s="4922"/>
      <c r="BA320" s="1048"/>
      <c r="BB320" s="4622"/>
      <c r="BC320" s="4922"/>
      <c r="BD320" s="4622"/>
      <c r="BE320" s="4622"/>
      <c r="BF320" s="4622"/>
      <c r="BG320" s="4622"/>
      <c r="BH320" s="1048">
        <f t="shared" ref="BH320:BH332" si="157">J320</f>
        <v>3600</v>
      </c>
      <c r="BI320" s="4622"/>
      <c r="BJ320" s="1048"/>
      <c r="BK320" s="4415" t="s">
        <v>89</v>
      </c>
      <c r="BL320" s="4415">
        <f t="shared" ref="BL320:BL357" si="158">J320/60*1</f>
        <v>60</v>
      </c>
      <c r="BM320" s="4415">
        <f t="shared" ref="BM320:BM346" si="159">J320/60*9</f>
        <v>540</v>
      </c>
      <c r="BN320" s="4415">
        <f t="shared" ref="BN320:BN346" si="160">J320/60*10</f>
        <v>600</v>
      </c>
      <c r="BO320" s="4415">
        <f t="shared" ref="BO320:BO346" si="161">J320/60*10</f>
        <v>600</v>
      </c>
      <c r="BP320" s="4415">
        <f t="shared" ref="BP320:BP346" si="162">J320/60*10</f>
        <v>600</v>
      </c>
      <c r="BQ320" s="4414">
        <f t="shared" ref="BQ320:BQ346" si="163">J320/60*10</f>
        <v>600</v>
      </c>
      <c r="BR320" s="1048">
        <f t="shared" ref="BR320:BR346" si="164">J320/60*10</f>
        <v>600</v>
      </c>
      <c r="BS320" s="911"/>
      <c r="BT320" s="911"/>
      <c r="BU320" s="911"/>
      <c r="BV320" s="911"/>
      <c r="BW320" s="911"/>
      <c r="BX320" s="910"/>
      <c r="BY320" s="910"/>
      <c r="BZ320" s="3708">
        <f t="shared" ref="BZ320:BZ383" si="165">SUM(BL320:BY320)</f>
        <v>3600</v>
      </c>
      <c r="CA320" s="4154">
        <f t="shared" ref="CA320:CA383" si="166">J320-BZ320</f>
        <v>0</v>
      </c>
      <c r="CB320" s="4923"/>
      <c r="CC320" s="4923"/>
      <c r="CD320" s="4323"/>
      <c r="CE320" s="4323"/>
      <c r="CF320" s="4323"/>
    </row>
    <row r="321" s="4316" customFormat="1" ht="50" customHeight="1" spans="1:84">
      <c r="A321" s="4500">
        <v>45838</v>
      </c>
      <c r="B321" s="4501" t="s">
        <v>90</v>
      </c>
      <c r="C321" s="3708" t="s">
        <v>91</v>
      </c>
      <c r="D321" s="4502">
        <v>4500171914</v>
      </c>
      <c r="E321" s="3708" t="s">
        <v>1696</v>
      </c>
      <c r="F321" s="4615" t="s">
        <v>1697</v>
      </c>
      <c r="G321" s="3708"/>
      <c r="H321" s="3708" t="s">
        <v>409</v>
      </c>
      <c r="I321" s="3708" t="s">
        <v>410</v>
      </c>
      <c r="J321" s="4154">
        <v>600</v>
      </c>
      <c r="K321" s="4154">
        <v>0</v>
      </c>
      <c r="L321" s="4154">
        <v>12</v>
      </c>
      <c r="M321" s="4154">
        <f t="shared" ref="M321:M324" si="167">J321/L321</f>
        <v>50</v>
      </c>
      <c r="N321" s="4503">
        <v>45870</v>
      </c>
      <c r="O321" s="4503">
        <f>N321-4</f>
        <v>45866</v>
      </c>
      <c r="P321" s="4154"/>
      <c r="Q321" s="4154" t="s">
        <v>82</v>
      </c>
      <c r="R321" s="4157"/>
      <c r="S321" s="4157"/>
      <c r="T321" s="4157"/>
      <c r="U321" s="3726" t="s">
        <v>218</v>
      </c>
      <c r="V321" s="3711" t="s">
        <v>1628</v>
      </c>
      <c r="W321" s="3711"/>
      <c r="X321" s="3711" t="s">
        <v>1099</v>
      </c>
      <c r="Y321" s="3711"/>
      <c r="Z321" s="3711" t="s">
        <v>1578</v>
      </c>
      <c r="AA321" s="4154"/>
      <c r="AB321" s="3680" t="s">
        <v>1698</v>
      </c>
      <c r="AC321" s="4154" t="s">
        <v>101</v>
      </c>
      <c r="AD321" s="4504">
        <v>1.6161</v>
      </c>
      <c r="AE321" s="4154">
        <f t="shared" si="153"/>
        <v>969.66</v>
      </c>
      <c r="AF321" s="3726" t="s">
        <v>1699</v>
      </c>
      <c r="AG321" s="3726"/>
      <c r="AH321" s="4422"/>
      <c r="AI321" s="3708">
        <f t="shared" si="154"/>
        <v>600</v>
      </c>
      <c r="AJ321" s="4422"/>
      <c r="AK321" s="3708"/>
      <c r="AL321" s="3708"/>
      <c r="AM321" s="4154"/>
      <c r="AN321" s="907"/>
      <c r="AO321" s="1048">
        <f t="shared" si="155"/>
        <v>600</v>
      </c>
      <c r="AP321" s="1048"/>
      <c r="AQ321" s="907"/>
      <c r="AR321" s="907"/>
      <c r="AS321" s="1048">
        <f t="shared" si="156"/>
        <v>600</v>
      </c>
      <c r="AT321" s="1048"/>
      <c r="AU321" s="907"/>
      <c r="AV321" s="4922"/>
      <c r="AW321" s="4922"/>
      <c r="AX321" s="1048"/>
      <c r="AY321" s="4922"/>
      <c r="AZ321" s="4922"/>
      <c r="BA321" s="1048"/>
      <c r="BB321" s="4622"/>
      <c r="BC321" s="4922"/>
      <c r="BD321" s="4622"/>
      <c r="BE321" s="4622"/>
      <c r="BF321" s="4622"/>
      <c r="BG321" s="4622"/>
      <c r="BH321" s="1048">
        <f t="shared" si="157"/>
        <v>600</v>
      </c>
      <c r="BI321" s="4622"/>
      <c r="BJ321" s="1048"/>
      <c r="BK321" s="4415" t="s">
        <v>89</v>
      </c>
      <c r="BL321" s="4415">
        <f t="shared" si="158"/>
        <v>10</v>
      </c>
      <c r="BM321" s="4415">
        <f t="shared" si="159"/>
        <v>90</v>
      </c>
      <c r="BN321" s="4415">
        <f t="shared" si="160"/>
        <v>100</v>
      </c>
      <c r="BO321" s="4415">
        <f t="shared" si="161"/>
        <v>100</v>
      </c>
      <c r="BP321" s="4415">
        <f t="shared" si="162"/>
        <v>100</v>
      </c>
      <c r="BQ321" s="4414">
        <f t="shared" si="163"/>
        <v>100</v>
      </c>
      <c r="BR321" s="1048">
        <f t="shared" si="164"/>
        <v>100</v>
      </c>
      <c r="BS321" s="911"/>
      <c r="BT321" s="911"/>
      <c r="BU321" s="911"/>
      <c r="BV321" s="911"/>
      <c r="BW321" s="911"/>
      <c r="BX321" s="910"/>
      <c r="BY321" s="910"/>
      <c r="BZ321" s="3708">
        <f t="shared" si="165"/>
        <v>600</v>
      </c>
      <c r="CA321" s="4154">
        <f t="shared" si="166"/>
        <v>0</v>
      </c>
      <c r="CB321" s="4923"/>
      <c r="CC321" s="4923"/>
      <c r="CD321" s="4323"/>
      <c r="CE321" s="4323"/>
      <c r="CF321" s="4323"/>
    </row>
    <row r="322" s="4316" customFormat="1" ht="50" customHeight="1" spans="1:84">
      <c r="A322" s="4500">
        <v>45838</v>
      </c>
      <c r="B322" s="4501" t="s">
        <v>90</v>
      </c>
      <c r="C322" s="3708" t="s">
        <v>91</v>
      </c>
      <c r="D322" s="4502">
        <v>4500171912</v>
      </c>
      <c r="E322" s="3708" t="s">
        <v>1700</v>
      </c>
      <c r="F322" s="4615" t="s">
        <v>1701</v>
      </c>
      <c r="G322" s="3708"/>
      <c r="H322" s="3708" t="s">
        <v>409</v>
      </c>
      <c r="I322" s="3708" t="s">
        <v>410</v>
      </c>
      <c r="J322" s="4154">
        <v>3600</v>
      </c>
      <c r="K322" s="4154">
        <v>0</v>
      </c>
      <c r="L322" s="4154">
        <v>12</v>
      </c>
      <c r="M322" s="4154">
        <f t="shared" si="167"/>
        <v>300</v>
      </c>
      <c r="N322" s="4503">
        <v>45870</v>
      </c>
      <c r="O322" s="4503">
        <f t="shared" ref="O322:O328" si="168">N322-4</f>
        <v>45866</v>
      </c>
      <c r="P322" s="4154"/>
      <c r="Q322" s="4154" t="s">
        <v>82</v>
      </c>
      <c r="R322" s="4157"/>
      <c r="S322" s="4157"/>
      <c r="T322" s="4157"/>
      <c r="U322" s="3726" t="s">
        <v>211</v>
      </c>
      <c r="V322" s="3711" t="s">
        <v>1628</v>
      </c>
      <c r="W322" s="3711"/>
      <c r="X322" s="3711" t="s">
        <v>1099</v>
      </c>
      <c r="Y322" s="3711"/>
      <c r="Z322" s="3711" t="s">
        <v>1578</v>
      </c>
      <c r="AA322" s="4154"/>
      <c r="AB322" s="3680" t="s">
        <v>1702</v>
      </c>
      <c r="AC322" s="4154" t="s">
        <v>101</v>
      </c>
      <c r="AD322" s="4504">
        <v>1.6127</v>
      </c>
      <c r="AE322" s="4154">
        <f t="shared" si="153"/>
        <v>5805.72</v>
      </c>
      <c r="AF322" s="3726" t="s">
        <v>1703</v>
      </c>
      <c r="AG322" s="3726"/>
      <c r="AH322" s="4422"/>
      <c r="AI322" s="3708">
        <f t="shared" si="154"/>
        <v>3600</v>
      </c>
      <c r="AJ322" s="4422"/>
      <c r="AK322" s="3708"/>
      <c r="AL322" s="3708"/>
      <c r="AM322" s="4154"/>
      <c r="AN322" s="907"/>
      <c r="AO322" s="1048">
        <f t="shared" si="155"/>
        <v>3600</v>
      </c>
      <c r="AP322" s="1048"/>
      <c r="AQ322" s="907"/>
      <c r="AR322" s="907"/>
      <c r="AS322" s="1048">
        <f t="shared" si="156"/>
        <v>3600</v>
      </c>
      <c r="AT322" s="1048"/>
      <c r="AU322" s="907"/>
      <c r="AV322" s="4922"/>
      <c r="AW322" s="4922"/>
      <c r="AX322" s="1048"/>
      <c r="AY322" s="4922"/>
      <c r="AZ322" s="4922"/>
      <c r="BA322" s="1048"/>
      <c r="BB322" s="4622"/>
      <c r="BC322" s="4922"/>
      <c r="BD322" s="4622"/>
      <c r="BE322" s="4622"/>
      <c r="BF322" s="4622"/>
      <c r="BG322" s="4622"/>
      <c r="BH322" s="1048">
        <f t="shared" si="157"/>
        <v>3600</v>
      </c>
      <c r="BI322" s="4622"/>
      <c r="BJ322" s="1048"/>
      <c r="BK322" s="4415" t="s">
        <v>89</v>
      </c>
      <c r="BL322" s="4415">
        <f t="shared" si="158"/>
        <v>60</v>
      </c>
      <c r="BM322" s="4415">
        <f t="shared" si="159"/>
        <v>540</v>
      </c>
      <c r="BN322" s="4415">
        <f t="shared" si="160"/>
        <v>600</v>
      </c>
      <c r="BO322" s="4415">
        <f t="shared" si="161"/>
        <v>600</v>
      </c>
      <c r="BP322" s="4415">
        <f t="shared" si="162"/>
        <v>600</v>
      </c>
      <c r="BQ322" s="4414">
        <f t="shared" si="163"/>
        <v>600</v>
      </c>
      <c r="BR322" s="1048">
        <f t="shared" si="164"/>
        <v>600</v>
      </c>
      <c r="BS322" s="911"/>
      <c r="BT322" s="911"/>
      <c r="BU322" s="911"/>
      <c r="BV322" s="911"/>
      <c r="BW322" s="911"/>
      <c r="BX322" s="910"/>
      <c r="BY322" s="910"/>
      <c r="BZ322" s="3708">
        <f t="shared" si="165"/>
        <v>3600</v>
      </c>
      <c r="CA322" s="4154">
        <f t="shared" si="166"/>
        <v>0</v>
      </c>
      <c r="CB322" s="4923"/>
      <c r="CC322" s="4923"/>
      <c r="CD322" s="4323"/>
      <c r="CE322" s="4323"/>
      <c r="CF322" s="4323"/>
    </row>
    <row r="323" s="4316" customFormat="1" ht="50" customHeight="1" spans="1:84">
      <c r="A323" s="4500">
        <v>45838</v>
      </c>
      <c r="B323" s="4501" t="s">
        <v>90</v>
      </c>
      <c r="C323" s="3708" t="s">
        <v>91</v>
      </c>
      <c r="D323" s="4502">
        <v>4500171916</v>
      </c>
      <c r="E323" s="3708" t="s">
        <v>1704</v>
      </c>
      <c r="F323" s="4615" t="s">
        <v>1705</v>
      </c>
      <c r="G323" s="3708"/>
      <c r="H323" s="3708" t="s">
        <v>409</v>
      </c>
      <c r="I323" s="3708" t="s">
        <v>410</v>
      </c>
      <c r="J323" s="4154">
        <v>2196</v>
      </c>
      <c r="K323" s="4154">
        <v>0</v>
      </c>
      <c r="L323" s="4154">
        <v>12</v>
      </c>
      <c r="M323" s="4154">
        <f t="shared" si="167"/>
        <v>183</v>
      </c>
      <c r="N323" s="4503">
        <v>45870</v>
      </c>
      <c r="O323" s="4503">
        <f t="shared" si="168"/>
        <v>45866</v>
      </c>
      <c r="P323" s="4154"/>
      <c r="Q323" s="4154" t="s">
        <v>82</v>
      </c>
      <c r="R323" s="4157"/>
      <c r="S323" s="4157"/>
      <c r="T323" s="4157"/>
      <c r="U323" s="3726" t="s">
        <v>211</v>
      </c>
      <c r="V323" s="3711" t="s">
        <v>1628</v>
      </c>
      <c r="W323" s="3711"/>
      <c r="X323" s="3711" t="s">
        <v>1099</v>
      </c>
      <c r="Y323" s="3711"/>
      <c r="Z323" s="3711" t="s">
        <v>1578</v>
      </c>
      <c r="AA323" s="4154"/>
      <c r="AB323" s="3680" t="s">
        <v>1698</v>
      </c>
      <c r="AC323" s="4154" t="s">
        <v>101</v>
      </c>
      <c r="AD323" s="4504">
        <v>1.6221</v>
      </c>
      <c r="AE323" s="4154">
        <f t="shared" si="153"/>
        <v>3562.1316</v>
      </c>
      <c r="AF323" s="3726" t="s">
        <v>1706</v>
      </c>
      <c r="AG323" s="3726"/>
      <c r="AH323" s="4422"/>
      <c r="AI323" s="3708">
        <f t="shared" si="154"/>
        <v>2196</v>
      </c>
      <c r="AJ323" s="4422"/>
      <c r="AK323" s="3708"/>
      <c r="AL323" s="3708"/>
      <c r="AM323" s="4154"/>
      <c r="AN323" s="907"/>
      <c r="AO323" s="1048">
        <f t="shared" si="155"/>
        <v>2196</v>
      </c>
      <c r="AP323" s="1048"/>
      <c r="AQ323" s="907"/>
      <c r="AR323" s="907"/>
      <c r="AS323" s="1048">
        <f t="shared" si="156"/>
        <v>2196</v>
      </c>
      <c r="AT323" s="1048"/>
      <c r="AU323" s="907"/>
      <c r="AV323" s="4922"/>
      <c r="AW323" s="4922"/>
      <c r="AX323" s="1048"/>
      <c r="AY323" s="4922"/>
      <c r="AZ323" s="4922"/>
      <c r="BA323" s="1048"/>
      <c r="BB323" s="4622"/>
      <c r="BC323" s="4922"/>
      <c r="BD323" s="4622"/>
      <c r="BE323" s="4622"/>
      <c r="BF323" s="4622"/>
      <c r="BG323" s="4622"/>
      <c r="BH323" s="1048">
        <f t="shared" si="157"/>
        <v>2196</v>
      </c>
      <c r="BI323" s="4622"/>
      <c r="BJ323" s="1048"/>
      <c r="BK323" s="4415" t="s">
        <v>89</v>
      </c>
      <c r="BL323" s="4415">
        <f t="shared" si="158"/>
        <v>36.6</v>
      </c>
      <c r="BM323" s="4415">
        <f t="shared" si="159"/>
        <v>329.4</v>
      </c>
      <c r="BN323" s="4415">
        <f t="shared" si="160"/>
        <v>366</v>
      </c>
      <c r="BO323" s="4415">
        <f t="shared" si="161"/>
        <v>366</v>
      </c>
      <c r="BP323" s="4415">
        <f t="shared" si="162"/>
        <v>366</v>
      </c>
      <c r="BQ323" s="4414">
        <f t="shared" si="163"/>
        <v>366</v>
      </c>
      <c r="BR323" s="1048">
        <f t="shared" si="164"/>
        <v>366</v>
      </c>
      <c r="BS323" s="911"/>
      <c r="BT323" s="911"/>
      <c r="BU323" s="911"/>
      <c r="BV323" s="911"/>
      <c r="BW323" s="911"/>
      <c r="BX323" s="910"/>
      <c r="BY323" s="910"/>
      <c r="BZ323" s="3708">
        <f t="shared" si="165"/>
        <v>2196</v>
      </c>
      <c r="CA323" s="4154">
        <f t="shared" si="166"/>
        <v>0</v>
      </c>
      <c r="CB323" s="4923"/>
      <c r="CC323" s="4923"/>
      <c r="CD323" s="4323"/>
      <c r="CE323" s="4323"/>
      <c r="CF323" s="4323"/>
    </row>
    <row r="324" s="4316" customFormat="1" ht="50" customHeight="1" spans="1:84">
      <c r="A324" s="4500">
        <v>45838</v>
      </c>
      <c r="B324" s="4501" t="s">
        <v>90</v>
      </c>
      <c r="C324" s="3708" t="s">
        <v>91</v>
      </c>
      <c r="D324" s="4502">
        <v>4500171915</v>
      </c>
      <c r="E324" s="3708" t="s">
        <v>1707</v>
      </c>
      <c r="F324" s="4615" t="s">
        <v>1708</v>
      </c>
      <c r="G324" s="3708"/>
      <c r="H324" s="3708" t="s">
        <v>409</v>
      </c>
      <c r="I324" s="3708" t="s">
        <v>410</v>
      </c>
      <c r="J324" s="4154">
        <v>1800</v>
      </c>
      <c r="K324" s="4154">
        <v>0</v>
      </c>
      <c r="L324" s="4154">
        <v>12</v>
      </c>
      <c r="M324" s="4154">
        <f t="shared" ref="M324:M387" si="169">J324/L324</f>
        <v>150</v>
      </c>
      <c r="N324" s="4503">
        <v>45870</v>
      </c>
      <c r="O324" s="4503">
        <f t="shared" si="168"/>
        <v>45866</v>
      </c>
      <c r="P324" s="4154"/>
      <c r="Q324" s="4154" t="s">
        <v>82</v>
      </c>
      <c r="R324" s="4157"/>
      <c r="S324" s="4157"/>
      <c r="T324" s="4157"/>
      <c r="U324" s="3726" t="s">
        <v>1675</v>
      </c>
      <c r="V324" s="3711" t="s">
        <v>1628</v>
      </c>
      <c r="W324" s="3711"/>
      <c r="X324" s="3711" t="s">
        <v>1099</v>
      </c>
      <c r="Y324" s="3711"/>
      <c r="Z324" s="3711" t="s">
        <v>1578</v>
      </c>
      <c r="AA324" s="4154"/>
      <c r="AB324" s="3680" t="s">
        <v>1691</v>
      </c>
      <c r="AC324" s="4154" t="s">
        <v>101</v>
      </c>
      <c r="AD324" s="4504">
        <v>1.6415</v>
      </c>
      <c r="AE324" s="4154">
        <f t="shared" si="153"/>
        <v>2954.7</v>
      </c>
      <c r="AF324" s="3726" t="s">
        <v>1709</v>
      </c>
      <c r="AG324" s="3726"/>
      <c r="AH324" s="4422"/>
      <c r="AI324" s="3708">
        <f t="shared" si="154"/>
        <v>1800</v>
      </c>
      <c r="AJ324" s="4422"/>
      <c r="AK324" s="3708"/>
      <c r="AL324" s="3708"/>
      <c r="AM324" s="4154"/>
      <c r="AN324" s="907"/>
      <c r="AO324" s="1048">
        <f t="shared" si="155"/>
        <v>1800</v>
      </c>
      <c r="AP324" s="1048"/>
      <c r="AQ324" s="907"/>
      <c r="AR324" s="907"/>
      <c r="AS324" s="1048">
        <f t="shared" si="156"/>
        <v>1800</v>
      </c>
      <c r="AT324" s="1048"/>
      <c r="AU324" s="907"/>
      <c r="AV324" s="4922"/>
      <c r="AW324" s="4922"/>
      <c r="AX324" s="1048"/>
      <c r="AY324" s="4922"/>
      <c r="AZ324" s="4922"/>
      <c r="BA324" s="1048"/>
      <c r="BB324" s="4622"/>
      <c r="BC324" s="4922"/>
      <c r="BD324" s="4622"/>
      <c r="BE324" s="4622"/>
      <c r="BF324" s="4622"/>
      <c r="BG324" s="4622"/>
      <c r="BH324" s="1048">
        <f t="shared" si="157"/>
        <v>1800</v>
      </c>
      <c r="BI324" s="4622"/>
      <c r="BJ324" s="1048"/>
      <c r="BK324" s="4415" t="s">
        <v>89</v>
      </c>
      <c r="BL324" s="4415">
        <f t="shared" si="158"/>
        <v>30</v>
      </c>
      <c r="BM324" s="4415">
        <f t="shared" si="159"/>
        <v>270</v>
      </c>
      <c r="BN324" s="4415">
        <f t="shared" si="160"/>
        <v>300</v>
      </c>
      <c r="BO324" s="4415">
        <f t="shared" si="161"/>
        <v>300</v>
      </c>
      <c r="BP324" s="4415">
        <f t="shared" si="162"/>
        <v>300</v>
      </c>
      <c r="BQ324" s="4414">
        <f t="shared" si="163"/>
        <v>300</v>
      </c>
      <c r="BR324" s="1048">
        <f t="shared" si="164"/>
        <v>300</v>
      </c>
      <c r="BS324" s="911"/>
      <c r="BT324" s="911"/>
      <c r="BU324" s="911"/>
      <c r="BV324" s="911"/>
      <c r="BW324" s="911"/>
      <c r="BX324" s="910"/>
      <c r="BY324" s="910"/>
      <c r="BZ324" s="3708">
        <f t="shared" si="165"/>
        <v>1800</v>
      </c>
      <c r="CA324" s="4154">
        <f t="shared" si="166"/>
        <v>0</v>
      </c>
      <c r="CB324" s="4923"/>
      <c r="CC324" s="4923"/>
      <c r="CD324" s="4323"/>
      <c r="CE324" s="4323"/>
      <c r="CF324" s="4323"/>
    </row>
    <row r="325" s="4316" customFormat="1" ht="50" customHeight="1" spans="1:84">
      <c r="A325" s="4500">
        <v>45838</v>
      </c>
      <c r="B325" s="4501" t="s">
        <v>90</v>
      </c>
      <c r="C325" s="3708" t="s">
        <v>91</v>
      </c>
      <c r="D325" s="4502">
        <v>4500171908</v>
      </c>
      <c r="E325" s="3708" t="s">
        <v>1710</v>
      </c>
      <c r="F325" s="4615" t="s">
        <v>1711</v>
      </c>
      <c r="G325" s="3708"/>
      <c r="H325" s="3708" t="s">
        <v>409</v>
      </c>
      <c r="I325" s="3708" t="s">
        <v>410</v>
      </c>
      <c r="J325" s="4154">
        <v>3396</v>
      </c>
      <c r="K325" s="4154">
        <v>0</v>
      </c>
      <c r="L325" s="4154">
        <v>12</v>
      </c>
      <c r="M325" s="4154">
        <f t="shared" si="169"/>
        <v>283</v>
      </c>
      <c r="N325" s="4503">
        <v>45870</v>
      </c>
      <c r="O325" s="4503">
        <f t="shared" si="168"/>
        <v>45866</v>
      </c>
      <c r="P325" s="4154"/>
      <c r="Q325" s="4154" t="s">
        <v>82</v>
      </c>
      <c r="R325" s="4157"/>
      <c r="S325" s="4157"/>
      <c r="T325" s="4157"/>
      <c r="U325" s="3726" t="s">
        <v>1565</v>
      </c>
      <c r="V325" s="3711" t="s">
        <v>1628</v>
      </c>
      <c r="W325" s="3711"/>
      <c r="X325" s="3711" t="s">
        <v>1099</v>
      </c>
      <c r="Y325" s="3711"/>
      <c r="Z325" s="3711" t="s">
        <v>1578</v>
      </c>
      <c r="AA325" s="4154"/>
      <c r="AB325" s="3680" t="s">
        <v>1691</v>
      </c>
      <c r="AC325" s="4154" t="s">
        <v>101</v>
      </c>
      <c r="AD325" s="4504">
        <v>1.6127</v>
      </c>
      <c r="AE325" s="4154">
        <f t="shared" si="153"/>
        <v>5476.7292</v>
      </c>
      <c r="AF325" s="3726" t="s">
        <v>1712</v>
      </c>
      <c r="AG325" s="3726"/>
      <c r="AH325" s="4422"/>
      <c r="AI325" s="3708">
        <f t="shared" si="154"/>
        <v>3396</v>
      </c>
      <c r="AJ325" s="4422"/>
      <c r="AK325" s="3708"/>
      <c r="AL325" s="3708"/>
      <c r="AM325" s="4154"/>
      <c r="AN325" s="907"/>
      <c r="AO325" s="1048">
        <f t="shared" si="155"/>
        <v>3396</v>
      </c>
      <c r="AP325" s="1048"/>
      <c r="AQ325" s="907"/>
      <c r="AR325" s="907"/>
      <c r="AS325" s="1048">
        <f t="shared" si="156"/>
        <v>3396</v>
      </c>
      <c r="AT325" s="1048"/>
      <c r="AU325" s="907"/>
      <c r="AV325" s="4922"/>
      <c r="AW325" s="4922"/>
      <c r="AX325" s="1048"/>
      <c r="AY325" s="4922"/>
      <c r="AZ325" s="4922"/>
      <c r="BA325" s="1048"/>
      <c r="BB325" s="4622"/>
      <c r="BC325" s="4922"/>
      <c r="BD325" s="4622"/>
      <c r="BE325" s="4622"/>
      <c r="BF325" s="4622"/>
      <c r="BG325" s="4622"/>
      <c r="BH325" s="1048">
        <f t="shared" si="157"/>
        <v>3396</v>
      </c>
      <c r="BI325" s="4622"/>
      <c r="BJ325" s="1048"/>
      <c r="BK325" s="4415" t="s">
        <v>89</v>
      </c>
      <c r="BL325" s="4415">
        <f t="shared" si="158"/>
        <v>56.6</v>
      </c>
      <c r="BM325" s="4415">
        <f t="shared" si="159"/>
        <v>509.4</v>
      </c>
      <c r="BN325" s="4415">
        <f t="shared" si="160"/>
        <v>566</v>
      </c>
      <c r="BO325" s="4415">
        <f t="shared" si="161"/>
        <v>566</v>
      </c>
      <c r="BP325" s="4415">
        <f t="shared" si="162"/>
        <v>566</v>
      </c>
      <c r="BQ325" s="4414">
        <f t="shared" si="163"/>
        <v>566</v>
      </c>
      <c r="BR325" s="1048">
        <f t="shared" si="164"/>
        <v>566</v>
      </c>
      <c r="BS325" s="911"/>
      <c r="BT325" s="911"/>
      <c r="BU325" s="911"/>
      <c r="BV325" s="911"/>
      <c r="BW325" s="911"/>
      <c r="BX325" s="910"/>
      <c r="BY325" s="910"/>
      <c r="BZ325" s="3708">
        <f t="shared" si="165"/>
        <v>3396</v>
      </c>
      <c r="CA325" s="4154">
        <f t="shared" si="166"/>
        <v>0</v>
      </c>
      <c r="CB325" s="4923"/>
      <c r="CC325" s="4923"/>
      <c r="CD325" s="4323"/>
      <c r="CE325" s="4323"/>
      <c r="CF325" s="4323"/>
    </row>
    <row r="326" s="4316" customFormat="1" ht="50" customHeight="1" spans="1:84">
      <c r="A326" s="4500">
        <v>45838</v>
      </c>
      <c r="B326" s="4501" t="s">
        <v>90</v>
      </c>
      <c r="C326" s="3708" t="s">
        <v>91</v>
      </c>
      <c r="D326" s="4502">
        <v>4500171907</v>
      </c>
      <c r="E326" s="3708" t="s">
        <v>1713</v>
      </c>
      <c r="F326" s="4615" t="s">
        <v>1714</v>
      </c>
      <c r="G326" s="3708"/>
      <c r="H326" s="3708" t="s">
        <v>409</v>
      </c>
      <c r="I326" s="3708" t="s">
        <v>410</v>
      </c>
      <c r="J326" s="4154">
        <v>3396</v>
      </c>
      <c r="K326" s="4154">
        <v>0</v>
      </c>
      <c r="L326" s="4154">
        <v>12</v>
      </c>
      <c r="M326" s="4154">
        <f t="shared" si="169"/>
        <v>283</v>
      </c>
      <c r="N326" s="4503">
        <v>45870</v>
      </c>
      <c r="O326" s="4503">
        <f t="shared" si="168"/>
        <v>45866</v>
      </c>
      <c r="P326" s="4154"/>
      <c r="Q326" s="4154" t="s">
        <v>82</v>
      </c>
      <c r="R326" s="4157"/>
      <c r="S326" s="4157"/>
      <c r="T326" s="4157"/>
      <c r="U326" s="3726" t="s">
        <v>1675</v>
      </c>
      <c r="V326" s="3711" t="s">
        <v>1628</v>
      </c>
      <c r="W326" s="3711"/>
      <c r="X326" s="3711" t="s">
        <v>1099</v>
      </c>
      <c r="Y326" s="3711"/>
      <c r="Z326" s="3711" t="s">
        <v>1578</v>
      </c>
      <c r="AA326" s="4154"/>
      <c r="AB326" s="3680" t="s">
        <v>1698</v>
      </c>
      <c r="AC326" s="4154" t="s">
        <v>101</v>
      </c>
      <c r="AD326" s="4504">
        <v>1.5454</v>
      </c>
      <c r="AE326" s="4154">
        <f t="shared" si="153"/>
        <v>5248.1784</v>
      </c>
      <c r="AF326" s="3726" t="s">
        <v>1715</v>
      </c>
      <c r="AG326" s="3726"/>
      <c r="AH326" s="4422"/>
      <c r="AI326" s="3708">
        <f t="shared" si="154"/>
        <v>3396</v>
      </c>
      <c r="AJ326" s="4422"/>
      <c r="AK326" s="3708"/>
      <c r="AL326" s="3708"/>
      <c r="AM326" s="4154"/>
      <c r="AN326" s="907"/>
      <c r="AO326" s="1048">
        <f t="shared" si="155"/>
        <v>3396</v>
      </c>
      <c r="AP326" s="1048"/>
      <c r="AQ326" s="907"/>
      <c r="AR326" s="907"/>
      <c r="AS326" s="1048">
        <f t="shared" si="156"/>
        <v>3396</v>
      </c>
      <c r="AT326" s="1048"/>
      <c r="AU326" s="907"/>
      <c r="AV326" s="4922"/>
      <c r="AW326" s="4922"/>
      <c r="AX326" s="1048"/>
      <c r="AY326" s="4922"/>
      <c r="AZ326" s="4922"/>
      <c r="BA326" s="1048"/>
      <c r="BB326" s="4622"/>
      <c r="BC326" s="4922"/>
      <c r="BD326" s="4622"/>
      <c r="BE326" s="4622"/>
      <c r="BF326" s="4622"/>
      <c r="BG326" s="4622"/>
      <c r="BH326" s="1048">
        <f t="shared" si="157"/>
        <v>3396</v>
      </c>
      <c r="BI326" s="4622"/>
      <c r="BJ326" s="1048"/>
      <c r="BK326" s="4415" t="s">
        <v>89</v>
      </c>
      <c r="BL326" s="4415">
        <f t="shared" si="158"/>
        <v>56.6</v>
      </c>
      <c r="BM326" s="4415">
        <f t="shared" si="159"/>
        <v>509.4</v>
      </c>
      <c r="BN326" s="4415">
        <f t="shared" si="160"/>
        <v>566</v>
      </c>
      <c r="BO326" s="4415">
        <f t="shared" si="161"/>
        <v>566</v>
      </c>
      <c r="BP326" s="4415">
        <f t="shared" si="162"/>
        <v>566</v>
      </c>
      <c r="BQ326" s="4414">
        <f t="shared" si="163"/>
        <v>566</v>
      </c>
      <c r="BR326" s="1048">
        <f t="shared" si="164"/>
        <v>566</v>
      </c>
      <c r="BS326" s="911"/>
      <c r="BT326" s="911"/>
      <c r="BU326" s="911"/>
      <c r="BV326" s="911"/>
      <c r="BW326" s="911"/>
      <c r="BX326" s="910"/>
      <c r="BY326" s="910"/>
      <c r="BZ326" s="3708">
        <f t="shared" si="165"/>
        <v>3396</v>
      </c>
      <c r="CA326" s="4154">
        <f t="shared" si="166"/>
        <v>0</v>
      </c>
      <c r="CB326" s="4923"/>
      <c r="CC326" s="4923"/>
      <c r="CD326" s="4323"/>
      <c r="CE326" s="4323"/>
      <c r="CF326" s="4323"/>
    </row>
    <row r="327" s="4316" customFormat="1" ht="50" customHeight="1" spans="1:84">
      <c r="A327" s="4500">
        <v>45838</v>
      </c>
      <c r="B327" s="4501" t="s">
        <v>90</v>
      </c>
      <c r="C327" s="3708" t="s">
        <v>91</v>
      </c>
      <c r="D327" s="4502">
        <v>4500171924</v>
      </c>
      <c r="E327" s="3708" t="s">
        <v>1716</v>
      </c>
      <c r="F327" s="4615" t="s">
        <v>1717</v>
      </c>
      <c r="G327" s="3708"/>
      <c r="H327" s="3708" t="s">
        <v>409</v>
      </c>
      <c r="I327" s="3708" t="s">
        <v>410</v>
      </c>
      <c r="J327" s="4154">
        <v>2400</v>
      </c>
      <c r="K327" s="4154">
        <v>0</v>
      </c>
      <c r="L327" s="4154">
        <v>12</v>
      </c>
      <c r="M327" s="4154">
        <f t="shared" si="169"/>
        <v>200</v>
      </c>
      <c r="N327" s="4503">
        <v>45870</v>
      </c>
      <c r="O327" s="4503">
        <f t="shared" si="168"/>
        <v>45866</v>
      </c>
      <c r="P327" s="4154"/>
      <c r="Q327" s="4154" t="s">
        <v>82</v>
      </c>
      <c r="R327" s="4157"/>
      <c r="S327" s="4157"/>
      <c r="T327" s="4157"/>
      <c r="U327" s="3680" t="s">
        <v>1690</v>
      </c>
      <c r="V327" s="3711" t="s">
        <v>1628</v>
      </c>
      <c r="W327" s="3711"/>
      <c r="X327" s="3711" t="s">
        <v>1099</v>
      </c>
      <c r="Y327" s="3711"/>
      <c r="Z327" s="3711" t="s">
        <v>1578</v>
      </c>
      <c r="AA327" s="4154"/>
      <c r="AB327" s="3680" t="s">
        <v>1691</v>
      </c>
      <c r="AC327" s="4154" t="s">
        <v>101</v>
      </c>
      <c r="AD327" s="4504">
        <v>1.6221</v>
      </c>
      <c r="AE327" s="4154">
        <f t="shared" si="153"/>
        <v>3893.04</v>
      </c>
      <c r="AF327" s="3726" t="s">
        <v>1718</v>
      </c>
      <c r="AG327" s="3726"/>
      <c r="AH327" s="4422"/>
      <c r="AI327" s="3708">
        <f t="shared" si="154"/>
        <v>2400</v>
      </c>
      <c r="AJ327" s="4422"/>
      <c r="AK327" s="3708"/>
      <c r="AL327" s="3708"/>
      <c r="AM327" s="4154"/>
      <c r="AN327" s="907"/>
      <c r="AO327" s="1048">
        <f t="shared" si="155"/>
        <v>2400</v>
      </c>
      <c r="AP327" s="1048"/>
      <c r="AQ327" s="907"/>
      <c r="AR327" s="907"/>
      <c r="AS327" s="1048">
        <f t="shared" si="156"/>
        <v>2400</v>
      </c>
      <c r="AT327" s="1048"/>
      <c r="AU327" s="907"/>
      <c r="AV327" s="4922"/>
      <c r="AW327" s="4922"/>
      <c r="AX327" s="1048"/>
      <c r="AY327" s="4922"/>
      <c r="AZ327" s="4922"/>
      <c r="BA327" s="1048"/>
      <c r="BB327" s="4622"/>
      <c r="BC327" s="4922"/>
      <c r="BD327" s="4622"/>
      <c r="BE327" s="4622"/>
      <c r="BF327" s="4622"/>
      <c r="BG327" s="4622"/>
      <c r="BH327" s="1048">
        <f t="shared" si="157"/>
        <v>2400</v>
      </c>
      <c r="BI327" s="4622"/>
      <c r="BJ327" s="1048"/>
      <c r="BK327" s="4415" t="s">
        <v>89</v>
      </c>
      <c r="BL327" s="4415">
        <f t="shared" si="158"/>
        <v>40</v>
      </c>
      <c r="BM327" s="4415">
        <f t="shared" si="159"/>
        <v>360</v>
      </c>
      <c r="BN327" s="4415">
        <f t="shared" si="160"/>
        <v>400</v>
      </c>
      <c r="BO327" s="4415">
        <f t="shared" si="161"/>
        <v>400</v>
      </c>
      <c r="BP327" s="4415">
        <f t="shared" si="162"/>
        <v>400</v>
      </c>
      <c r="BQ327" s="4414">
        <f t="shared" si="163"/>
        <v>400</v>
      </c>
      <c r="BR327" s="1048">
        <f t="shared" si="164"/>
        <v>400</v>
      </c>
      <c r="BS327" s="911"/>
      <c r="BT327" s="911"/>
      <c r="BU327" s="911"/>
      <c r="BV327" s="911"/>
      <c r="BW327" s="911"/>
      <c r="BX327" s="910"/>
      <c r="BY327" s="910"/>
      <c r="BZ327" s="3708">
        <f t="shared" si="165"/>
        <v>2400</v>
      </c>
      <c r="CA327" s="4154">
        <f t="shared" si="166"/>
        <v>0</v>
      </c>
      <c r="CB327" s="4923"/>
      <c r="CC327" s="4923"/>
      <c r="CD327" s="4323"/>
      <c r="CE327" s="4323"/>
      <c r="CF327" s="4323"/>
    </row>
    <row r="328" s="4316" customFormat="1" ht="50" customHeight="1" spans="1:84">
      <c r="A328" s="4500">
        <v>45838</v>
      </c>
      <c r="B328" s="4501" t="s">
        <v>90</v>
      </c>
      <c r="C328" s="3708" t="s">
        <v>91</v>
      </c>
      <c r="D328" s="4502">
        <v>4500171922</v>
      </c>
      <c r="E328" s="3708" t="s">
        <v>1719</v>
      </c>
      <c r="F328" s="4615" t="s">
        <v>1720</v>
      </c>
      <c r="G328" s="3708"/>
      <c r="H328" s="3708" t="s">
        <v>409</v>
      </c>
      <c r="I328" s="3708" t="s">
        <v>410</v>
      </c>
      <c r="J328" s="4154">
        <v>996</v>
      </c>
      <c r="K328" s="4154">
        <v>0</v>
      </c>
      <c r="L328" s="4154">
        <v>12</v>
      </c>
      <c r="M328" s="4154">
        <f t="shared" si="169"/>
        <v>83</v>
      </c>
      <c r="N328" s="4503">
        <v>45870</v>
      </c>
      <c r="O328" s="4503">
        <f t="shared" si="168"/>
        <v>45866</v>
      </c>
      <c r="P328" s="4154"/>
      <c r="Q328" s="3726"/>
      <c r="R328" s="4157"/>
      <c r="S328" s="4157"/>
      <c r="T328" s="4157"/>
      <c r="U328" s="3680" t="s">
        <v>1690</v>
      </c>
      <c r="V328" s="3711" t="s">
        <v>1628</v>
      </c>
      <c r="W328" s="3711"/>
      <c r="X328" s="3711" t="s">
        <v>1099</v>
      </c>
      <c r="Y328" s="3711"/>
      <c r="Z328" s="3711" t="s">
        <v>1578</v>
      </c>
      <c r="AA328" s="4154"/>
      <c r="AB328" s="3680" t="s">
        <v>1691</v>
      </c>
      <c r="AC328" s="4154" t="s">
        <v>101</v>
      </c>
      <c r="AD328" s="4504">
        <v>1.6834</v>
      </c>
      <c r="AE328" s="4154">
        <f>AD328*M328</f>
        <v>139.7222</v>
      </c>
      <c r="AF328" s="3726" t="s">
        <v>1721</v>
      </c>
      <c r="AG328" s="3726"/>
      <c r="AH328" s="4422"/>
      <c r="AI328" s="3708">
        <f t="shared" si="154"/>
        <v>996</v>
      </c>
      <c r="AJ328" s="4422"/>
      <c r="AK328" s="3708"/>
      <c r="AL328" s="3708"/>
      <c r="AM328" s="4154"/>
      <c r="AN328" s="907"/>
      <c r="AO328" s="1048">
        <f t="shared" si="155"/>
        <v>996</v>
      </c>
      <c r="AP328" s="1048"/>
      <c r="AQ328" s="907"/>
      <c r="AR328" s="907"/>
      <c r="AS328" s="1048">
        <f t="shared" si="156"/>
        <v>996</v>
      </c>
      <c r="AT328" s="1048"/>
      <c r="AU328" s="907"/>
      <c r="AV328" s="4922"/>
      <c r="AW328" s="4922"/>
      <c r="AX328" s="1048"/>
      <c r="AY328" s="4922"/>
      <c r="AZ328" s="4922"/>
      <c r="BA328" s="1048"/>
      <c r="BB328" s="4622"/>
      <c r="BC328" s="4922"/>
      <c r="BD328" s="4622"/>
      <c r="BE328" s="4622"/>
      <c r="BF328" s="4622"/>
      <c r="BG328" s="4622"/>
      <c r="BH328" s="1048">
        <f t="shared" si="157"/>
        <v>996</v>
      </c>
      <c r="BI328" s="4622"/>
      <c r="BJ328" s="1048"/>
      <c r="BK328" s="4415" t="s">
        <v>89</v>
      </c>
      <c r="BL328" s="4415">
        <f t="shared" si="158"/>
        <v>16.6</v>
      </c>
      <c r="BM328" s="4415">
        <f t="shared" si="159"/>
        <v>149.4</v>
      </c>
      <c r="BN328" s="4415">
        <f t="shared" si="160"/>
        <v>166</v>
      </c>
      <c r="BO328" s="4415">
        <f t="shared" si="161"/>
        <v>166</v>
      </c>
      <c r="BP328" s="4415">
        <f t="shared" si="162"/>
        <v>166</v>
      </c>
      <c r="BQ328" s="4414">
        <f t="shared" si="163"/>
        <v>166</v>
      </c>
      <c r="BR328" s="1048">
        <f t="shared" si="164"/>
        <v>166</v>
      </c>
      <c r="BS328" s="911"/>
      <c r="BT328" s="911"/>
      <c r="BU328" s="911"/>
      <c r="BV328" s="911"/>
      <c r="BW328" s="911"/>
      <c r="BX328" s="910"/>
      <c r="BY328" s="910"/>
      <c r="BZ328" s="3708">
        <f t="shared" si="165"/>
        <v>996</v>
      </c>
      <c r="CA328" s="4154">
        <f t="shared" si="166"/>
        <v>0</v>
      </c>
      <c r="CB328" s="4923"/>
      <c r="CC328" s="4923"/>
      <c r="CD328" s="4323"/>
      <c r="CE328" s="4323"/>
      <c r="CF328" s="4323"/>
    </row>
    <row r="329" s="4316" customFormat="1" ht="50" customHeight="1" spans="1:84">
      <c r="A329" s="4500">
        <v>45840</v>
      </c>
      <c r="B329" s="4501" t="s">
        <v>90</v>
      </c>
      <c r="C329" s="3708" t="s">
        <v>91</v>
      </c>
      <c r="D329" s="4502">
        <v>4500172365</v>
      </c>
      <c r="E329" s="3708" t="s">
        <v>1722</v>
      </c>
      <c r="F329" s="4615" t="s">
        <v>1723</v>
      </c>
      <c r="G329" s="3708"/>
      <c r="H329" s="3708" t="s">
        <v>409</v>
      </c>
      <c r="I329" s="3708" t="s">
        <v>410</v>
      </c>
      <c r="J329" s="4154">
        <v>6000</v>
      </c>
      <c r="K329" s="4154">
        <v>0</v>
      </c>
      <c r="L329" s="4154">
        <v>12</v>
      </c>
      <c r="M329" s="4154">
        <f t="shared" si="169"/>
        <v>500</v>
      </c>
      <c r="N329" s="4503">
        <v>45876</v>
      </c>
      <c r="O329" s="4503">
        <v>45873</v>
      </c>
      <c r="P329" s="3712"/>
      <c r="Q329" s="4154" t="s">
        <v>82</v>
      </c>
      <c r="R329" s="4157"/>
      <c r="S329" s="4157"/>
      <c r="T329" s="4157"/>
      <c r="U329" s="3726" t="s">
        <v>1675</v>
      </c>
      <c r="V329" s="3711" t="s">
        <v>1676</v>
      </c>
      <c r="W329" s="3711"/>
      <c r="X329" s="3711" t="s">
        <v>1099</v>
      </c>
      <c r="Y329" s="3711"/>
      <c r="Z329" s="3711" t="s">
        <v>1620</v>
      </c>
      <c r="AA329" s="4154"/>
      <c r="AB329" s="3680" t="s">
        <v>1691</v>
      </c>
      <c r="AC329" s="4154" t="s">
        <v>101</v>
      </c>
      <c r="AD329" s="4504">
        <v>1.6018</v>
      </c>
      <c r="AE329" s="4154">
        <f>J329*AD329</f>
        <v>9610.8</v>
      </c>
      <c r="AF329" s="3726" t="s">
        <v>1678</v>
      </c>
      <c r="AG329" s="3726"/>
      <c r="AH329" s="4422"/>
      <c r="AI329" s="3708">
        <f t="shared" si="154"/>
        <v>6000</v>
      </c>
      <c r="AJ329" s="4422"/>
      <c r="AK329" s="3708"/>
      <c r="AL329" s="3708"/>
      <c r="AM329" s="4154"/>
      <c r="AN329" s="907"/>
      <c r="AO329" s="1048">
        <f t="shared" si="155"/>
        <v>6000</v>
      </c>
      <c r="AP329" s="1048"/>
      <c r="AQ329" s="907"/>
      <c r="AR329" s="907"/>
      <c r="AS329" s="1048">
        <f t="shared" si="156"/>
        <v>6000</v>
      </c>
      <c r="AT329" s="1048"/>
      <c r="AU329" s="907"/>
      <c r="AV329" s="4922"/>
      <c r="AW329" s="4922"/>
      <c r="AX329" s="1048"/>
      <c r="AY329" s="4922"/>
      <c r="AZ329" s="4922"/>
      <c r="BA329" s="1048"/>
      <c r="BB329" s="4622"/>
      <c r="BC329" s="4922"/>
      <c r="BD329" s="4622"/>
      <c r="BE329" s="4622"/>
      <c r="BF329" s="4622"/>
      <c r="BG329" s="4622"/>
      <c r="BH329" s="1048">
        <f t="shared" si="157"/>
        <v>6000</v>
      </c>
      <c r="BI329" s="4622"/>
      <c r="BJ329" s="1048"/>
      <c r="BK329" s="4415" t="s">
        <v>89</v>
      </c>
      <c r="BL329" s="4415">
        <f t="shared" si="158"/>
        <v>100</v>
      </c>
      <c r="BM329" s="4415">
        <f t="shared" si="159"/>
        <v>900</v>
      </c>
      <c r="BN329" s="4415">
        <f t="shared" si="160"/>
        <v>1000</v>
      </c>
      <c r="BO329" s="4415">
        <f t="shared" si="161"/>
        <v>1000</v>
      </c>
      <c r="BP329" s="4415">
        <f t="shared" si="162"/>
        <v>1000</v>
      </c>
      <c r="BQ329" s="4414">
        <f t="shared" si="163"/>
        <v>1000</v>
      </c>
      <c r="BR329" s="1048">
        <f t="shared" si="164"/>
        <v>1000</v>
      </c>
      <c r="BS329" s="911"/>
      <c r="BT329" s="911"/>
      <c r="BU329" s="911"/>
      <c r="BV329" s="911"/>
      <c r="BW329" s="911"/>
      <c r="BX329" s="910"/>
      <c r="BY329" s="910"/>
      <c r="BZ329" s="3708">
        <f t="shared" si="165"/>
        <v>6000</v>
      </c>
      <c r="CA329" s="4154">
        <f t="shared" si="166"/>
        <v>0</v>
      </c>
      <c r="CB329" s="4923"/>
      <c r="CC329" s="4923"/>
      <c r="CD329" s="4323"/>
      <c r="CE329" s="4323"/>
      <c r="CF329" s="4323"/>
    </row>
    <row r="330" s="4316" customFormat="1" ht="50" customHeight="1" spans="1:84">
      <c r="A330" s="4500">
        <v>45839</v>
      </c>
      <c r="B330" s="4501" t="s">
        <v>407</v>
      </c>
      <c r="C330" s="3708" t="s">
        <v>91</v>
      </c>
      <c r="D330" s="4502">
        <v>4500172203</v>
      </c>
      <c r="E330" s="3708">
        <v>60235975</v>
      </c>
      <c r="F330" s="4502" t="s">
        <v>1724</v>
      </c>
      <c r="G330" s="3708"/>
      <c r="H330" s="3708" t="s">
        <v>409</v>
      </c>
      <c r="I330" s="3708" t="s">
        <v>410</v>
      </c>
      <c r="J330" s="4154">
        <v>3804</v>
      </c>
      <c r="K330" s="4154">
        <v>0</v>
      </c>
      <c r="L330" s="4154">
        <v>12</v>
      </c>
      <c r="M330" s="4154">
        <f t="shared" si="169"/>
        <v>317</v>
      </c>
      <c r="N330" s="4503">
        <v>45870</v>
      </c>
      <c r="O330" s="4503">
        <f>N330-4</f>
        <v>45866</v>
      </c>
      <c r="P330" s="4154"/>
      <c r="Q330" s="4154" t="s">
        <v>82</v>
      </c>
      <c r="R330" s="4157"/>
      <c r="S330" s="4157"/>
      <c r="T330" s="4157"/>
      <c r="U330" s="3726" t="s">
        <v>1394</v>
      </c>
      <c r="V330" s="3711" t="s">
        <v>1619</v>
      </c>
      <c r="W330" s="3711"/>
      <c r="X330" s="3711" t="s">
        <v>1099</v>
      </c>
      <c r="Y330" s="3711"/>
      <c r="Z330" s="3711" t="s">
        <v>1620</v>
      </c>
      <c r="AA330" s="4154"/>
      <c r="AB330" s="3680" t="s">
        <v>1621</v>
      </c>
      <c r="AC330" s="4154" t="s">
        <v>393</v>
      </c>
      <c r="AD330" s="4504">
        <v>1.5454</v>
      </c>
      <c r="AE330" s="4154">
        <f>J330*AD330</f>
        <v>5878.7016</v>
      </c>
      <c r="AF330" s="3726" t="s">
        <v>1725</v>
      </c>
      <c r="AG330" s="3726"/>
      <c r="AH330" s="4430"/>
      <c r="AI330" s="3708">
        <f t="shared" si="154"/>
        <v>3804</v>
      </c>
      <c r="AJ330" s="4430"/>
      <c r="AK330" s="3708"/>
      <c r="AL330" s="3708"/>
      <c r="AM330" s="4154"/>
      <c r="AN330" s="4413"/>
      <c r="AO330" s="1048">
        <f t="shared" si="155"/>
        <v>3804</v>
      </c>
      <c r="AP330" s="1048"/>
      <c r="AQ330" s="4413"/>
      <c r="AR330" s="4413"/>
      <c r="AS330" s="1048">
        <f t="shared" si="156"/>
        <v>3804</v>
      </c>
      <c r="AT330" s="1048"/>
      <c r="AU330" s="4413"/>
      <c r="AV330" s="4939"/>
      <c r="AW330" s="4939"/>
      <c r="AX330" s="1048"/>
      <c r="AY330" s="4939"/>
      <c r="AZ330" s="4939"/>
      <c r="BA330" s="1048"/>
      <c r="BB330" s="4622"/>
      <c r="BC330" s="4939"/>
      <c r="BD330" s="4622"/>
      <c r="BE330" s="4622"/>
      <c r="BF330" s="4622"/>
      <c r="BG330" s="4622"/>
      <c r="BH330" s="1048">
        <f t="shared" si="157"/>
        <v>3804</v>
      </c>
      <c r="BI330" s="4622"/>
      <c r="BJ330" s="1048"/>
      <c r="BK330" s="4415" t="s">
        <v>89</v>
      </c>
      <c r="BL330" s="4415">
        <f t="shared" si="158"/>
        <v>63.4</v>
      </c>
      <c r="BM330" s="4415">
        <f t="shared" si="159"/>
        <v>570.6</v>
      </c>
      <c r="BN330" s="4415">
        <f t="shared" si="160"/>
        <v>634</v>
      </c>
      <c r="BO330" s="4415">
        <f t="shared" si="161"/>
        <v>634</v>
      </c>
      <c r="BP330" s="4415">
        <f t="shared" si="162"/>
        <v>634</v>
      </c>
      <c r="BQ330" s="4414">
        <f t="shared" si="163"/>
        <v>634</v>
      </c>
      <c r="BR330" s="1048">
        <f t="shared" si="164"/>
        <v>634</v>
      </c>
      <c r="BS330" s="4432"/>
      <c r="BT330" s="4432"/>
      <c r="BU330" s="4432"/>
      <c r="BV330" s="4432"/>
      <c r="BW330" s="4432"/>
      <c r="BX330" s="4431"/>
      <c r="BY330" s="4431"/>
      <c r="BZ330" s="3708">
        <f t="shared" si="165"/>
        <v>3804</v>
      </c>
      <c r="CA330" s="4154">
        <f t="shared" si="166"/>
        <v>0</v>
      </c>
      <c r="CB330" s="4591"/>
      <c r="CC330" s="4591"/>
      <c r="CD330" s="4323"/>
      <c r="CE330" s="4323"/>
      <c r="CF330" s="4323"/>
    </row>
    <row r="331" s="4316" customFormat="1" ht="50" customHeight="1" spans="1:84">
      <c r="A331" s="4500">
        <v>45750</v>
      </c>
      <c r="B331" s="4501" t="s">
        <v>1315</v>
      </c>
      <c r="C331" s="3708" t="s">
        <v>1316</v>
      </c>
      <c r="D331" s="4502">
        <v>4500166280</v>
      </c>
      <c r="E331" s="3708" t="s">
        <v>1726</v>
      </c>
      <c r="F331" s="4502" t="s">
        <v>1727</v>
      </c>
      <c r="G331" s="3708"/>
      <c r="H331" s="3708" t="s">
        <v>1319</v>
      </c>
      <c r="I331" s="3708" t="s">
        <v>1320</v>
      </c>
      <c r="J331" s="4154">
        <v>3040</v>
      </c>
      <c r="K331" s="4154">
        <v>0</v>
      </c>
      <c r="L331" s="4154">
        <v>4</v>
      </c>
      <c r="M331" s="4154">
        <f t="shared" si="169"/>
        <v>760</v>
      </c>
      <c r="N331" s="4503">
        <v>45871</v>
      </c>
      <c r="O331" s="4503">
        <f>N331-4</f>
        <v>45867</v>
      </c>
      <c r="P331" s="4154" t="s">
        <v>1558</v>
      </c>
      <c r="Q331" s="4154" t="s">
        <v>82</v>
      </c>
      <c r="R331" s="4157"/>
      <c r="S331" s="4157"/>
      <c r="T331" s="4157"/>
      <c r="U331" s="3726" t="s">
        <v>401</v>
      </c>
      <c r="V331" s="3711" t="s">
        <v>1322</v>
      </c>
      <c r="W331" s="3711"/>
      <c r="X331" s="3711" t="s">
        <v>1323</v>
      </c>
      <c r="Y331" s="3711"/>
      <c r="Z331" s="3711"/>
      <c r="AA331" s="4154" t="s">
        <v>1728</v>
      </c>
      <c r="AB331" s="3680" t="s">
        <v>1376</v>
      </c>
      <c r="AC331" s="4154" t="s">
        <v>1326</v>
      </c>
      <c r="AD331" s="4154">
        <v>16.8583</v>
      </c>
      <c r="AE331" s="4154">
        <f>AD331*M331</f>
        <v>12812.308</v>
      </c>
      <c r="AF331" s="3726"/>
      <c r="AG331" s="3726"/>
      <c r="AH331" s="4430"/>
      <c r="AI331" s="3708"/>
      <c r="AJ331" s="4430"/>
      <c r="AK331" s="3708"/>
      <c r="AL331" s="3708"/>
      <c r="AM331" s="4154">
        <f>J331</f>
        <v>3040</v>
      </c>
      <c r="AN331" s="4413"/>
      <c r="AO331" s="1048"/>
      <c r="AP331" s="1048">
        <f>J331</f>
        <v>3040</v>
      </c>
      <c r="AQ331" s="4413"/>
      <c r="AR331" s="4413"/>
      <c r="AS331" s="1048">
        <f t="shared" si="156"/>
        <v>3040</v>
      </c>
      <c r="AT331" s="1048"/>
      <c r="AU331" s="4413"/>
      <c r="AV331" s="4939"/>
      <c r="AW331" s="4939"/>
      <c r="AX331" s="1048"/>
      <c r="AY331" s="4939"/>
      <c r="AZ331" s="4939"/>
      <c r="BA331" s="1048"/>
      <c r="BB331" s="4622"/>
      <c r="BC331" s="4939"/>
      <c r="BD331" s="4622"/>
      <c r="BE331" s="4622"/>
      <c r="BF331" s="4622"/>
      <c r="BG331" s="4622"/>
      <c r="BH331" s="1048"/>
      <c r="BI331" s="4622"/>
      <c r="BJ331" s="1048"/>
      <c r="BK331" s="4415" t="s">
        <v>1327</v>
      </c>
      <c r="BL331" s="4415">
        <f t="shared" si="158"/>
        <v>50.6666666666667</v>
      </c>
      <c r="BM331" s="4415">
        <f t="shared" si="159"/>
        <v>456</v>
      </c>
      <c r="BN331" s="4415">
        <f t="shared" si="160"/>
        <v>506.666666666667</v>
      </c>
      <c r="BO331" s="4415">
        <f t="shared" si="161"/>
        <v>506.666666666667</v>
      </c>
      <c r="BP331" s="4415">
        <f t="shared" si="162"/>
        <v>506.666666666667</v>
      </c>
      <c r="BQ331" s="4414">
        <f t="shared" si="163"/>
        <v>506.666666666667</v>
      </c>
      <c r="BR331" s="1048">
        <f t="shared" si="164"/>
        <v>506.666666666667</v>
      </c>
      <c r="BS331" s="4415"/>
      <c r="BT331" s="4432"/>
      <c r="BU331" s="4432"/>
      <c r="BV331" s="4432"/>
      <c r="BW331" s="4432"/>
      <c r="BX331" s="4431"/>
      <c r="BY331" s="4431"/>
      <c r="BZ331" s="3708">
        <f t="shared" si="165"/>
        <v>3040</v>
      </c>
      <c r="CA331" s="4154">
        <f t="shared" si="166"/>
        <v>0</v>
      </c>
      <c r="CB331" s="4591"/>
      <c r="CC331" s="4591"/>
      <c r="CD331" s="4323"/>
      <c r="CE331" s="4323"/>
      <c r="CF331" s="4323"/>
    </row>
    <row r="332" s="4316" customFormat="1" ht="50" customHeight="1" spans="1:84">
      <c r="A332" s="4500">
        <v>45750</v>
      </c>
      <c r="B332" s="4501" t="s">
        <v>1315</v>
      </c>
      <c r="C332" s="3708" t="s">
        <v>1316</v>
      </c>
      <c r="D332" s="4502">
        <v>4500162586</v>
      </c>
      <c r="E332" s="3708" t="s">
        <v>1729</v>
      </c>
      <c r="F332" s="4615" t="s">
        <v>1730</v>
      </c>
      <c r="G332" s="3708"/>
      <c r="H332" s="3708" t="s">
        <v>1319</v>
      </c>
      <c r="I332" s="3708" t="s">
        <v>1320</v>
      </c>
      <c r="J332" s="4154">
        <v>448</v>
      </c>
      <c r="K332" s="4154">
        <v>0</v>
      </c>
      <c r="L332" s="4154">
        <v>4</v>
      </c>
      <c r="M332" s="4154">
        <f t="shared" si="169"/>
        <v>112</v>
      </c>
      <c r="N332" s="4503">
        <v>45871</v>
      </c>
      <c r="O332" s="4503">
        <f>N332-4</f>
        <v>45867</v>
      </c>
      <c r="P332" s="4154"/>
      <c r="Q332" s="4154" t="s">
        <v>82</v>
      </c>
      <c r="R332" s="4157"/>
      <c r="S332" s="4157"/>
      <c r="T332" s="4157"/>
      <c r="U332" s="3726" t="s">
        <v>401</v>
      </c>
      <c r="V332" s="3711" t="s">
        <v>1322</v>
      </c>
      <c r="W332" s="3711"/>
      <c r="X332" s="3711" t="s">
        <v>1379</v>
      </c>
      <c r="Y332" s="3711"/>
      <c r="Z332" s="3711"/>
      <c r="AA332" s="4154" t="s">
        <v>1731</v>
      </c>
      <c r="AB332" s="3680" t="s">
        <v>1376</v>
      </c>
      <c r="AC332" s="4154" t="s">
        <v>1326</v>
      </c>
      <c r="AD332" s="4154">
        <v>16.9223</v>
      </c>
      <c r="AE332" s="4154">
        <f>AD332*M332</f>
        <v>1895.2976</v>
      </c>
      <c r="AF332" s="3726"/>
      <c r="AG332" s="3726"/>
      <c r="AH332" s="4430"/>
      <c r="AI332" s="3708"/>
      <c r="AJ332" s="4430"/>
      <c r="AK332" s="3708"/>
      <c r="AL332" s="3708"/>
      <c r="AM332" s="4154">
        <f>J332</f>
        <v>448</v>
      </c>
      <c r="AN332" s="4413"/>
      <c r="AO332" s="1048"/>
      <c r="AP332" s="1048">
        <f>J332</f>
        <v>448</v>
      </c>
      <c r="AQ332" s="4413"/>
      <c r="AR332" s="4413"/>
      <c r="AS332" s="1048">
        <f t="shared" si="156"/>
        <v>448</v>
      </c>
      <c r="AT332" s="1048"/>
      <c r="AU332" s="4413"/>
      <c r="AV332" s="4939"/>
      <c r="AW332" s="4939"/>
      <c r="AX332" s="1048"/>
      <c r="AY332" s="4939"/>
      <c r="AZ332" s="4939"/>
      <c r="BA332" s="1048"/>
      <c r="BB332" s="4622"/>
      <c r="BC332" s="4939"/>
      <c r="BD332" s="4622"/>
      <c r="BE332" s="4622"/>
      <c r="BF332" s="4622"/>
      <c r="BG332" s="4622"/>
      <c r="BH332" s="1048"/>
      <c r="BI332" s="4622"/>
      <c r="BJ332" s="1048"/>
      <c r="BK332" s="4415" t="s">
        <v>1327</v>
      </c>
      <c r="BL332" s="4415">
        <f t="shared" si="158"/>
        <v>7.46666666666667</v>
      </c>
      <c r="BM332" s="4415">
        <f t="shared" si="159"/>
        <v>67.2</v>
      </c>
      <c r="BN332" s="4415">
        <f t="shared" si="160"/>
        <v>74.6666666666667</v>
      </c>
      <c r="BO332" s="4415">
        <f t="shared" si="161"/>
        <v>74.6666666666667</v>
      </c>
      <c r="BP332" s="4415">
        <f t="shared" si="162"/>
        <v>74.6666666666667</v>
      </c>
      <c r="BQ332" s="4414">
        <f t="shared" si="163"/>
        <v>74.6666666666667</v>
      </c>
      <c r="BR332" s="1048">
        <f t="shared" si="164"/>
        <v>74.6666666666667</v>
      </c>
      <c r="BS332" s="4415"/>
      <c r="BT332" s="4432"/>
      <c r="BU332" s="4432"/>
      <c r="BV332" s="4432"/>
      <c r="BW332" s="4432"/>
      <c r="BX332" s="4431"/>
      <c r="BY332" s="4431"/>
      <c r="BZ332" s="3708">
        <f t="shared" si="165"/>
        <v>448</v>
      </c>
      <c r="CA332" s="4154">
        <f t="shared" si="166"/>
        <v>0</v>
      </c>
      <c r="CB332" s="4591"/>
      <c r="CC332" s="4591"/>
      <c r="CD332" s="4323"/>
      <c r="CE332" s="4323"/>
      <c r="CF332" s="4323"/>
    </row>
    <row r="333" s="4316" customFormat="1" ht="50" customHeight="1" spans="1:84">
      <c r="A333" s="4500">
        <v>45840</v>
      </c>
      <c r="B333" s="4501" t="s">
        <v>90</v>
      </c>
      <c r="C333" s="3708" t="s">
        <v>91</v>
      </c>
      <c r="D333" s="4502">
        <v>4500172370</v>
      </c>
      <c r="E333" s="3708" t="s">
        <v>1732</v>
      </c>
      <c r="F333" s="4615" t="s">
        <v>1733</v>
      </c>
      <c r="G333" s="3708"/>
      <c r="H333" s="3708" t="s">
        <v>409</v>
      </c>
      <c r="I333" s="3708" t="s">
        <v>410</v>
      </c>
      <c r="J333" s="4154">
        <v>6204</v>
      </c>
      <c r="K333" s="4154">
        <v>0</v>
      </c>
      <c r="L333" s="4154">
        <v>12</v>
      </c>
      <c r="M333" s="4154">
        <f t="shared" si="169"/>
        <v>517</v>
      </c>
      <c r="N333" s="4503">
        <v>45876</v>
      </c>
      <c r="O333" s="4503">
        <v>45873</v>
      </c>
      <c r="P333" s="3712"/>
      <c r="Q333" s="4154" t="s">
        <v>82</v>
      </c>
      <c r="R333" s="4157"/>
      <c r="S333" s="4157"/>
      <c r="T333" s="4157"/>
      <c r="U333" s="3726" t="s">
        <v>218</v>
      </c>
      <c r="V333" s="3711" t="s">
        <v>1676</v>
      </c>
      <c r="W333" s="3711"/>
      <c r="X333" s="3711" t="s">
        <v>1099</v>
      </c>
      <c r="Y333" s="3711"/>
      <c r="Z333" s="3711" t="s">
        <v>1620</v>
      </c>
      <c r="AA333" s="4154"/>
      <c r="AB333" s="3680" t="s">
        <v>1691</v>
      </c>
      <c r="AC333" s="4154" t="s">
        <v>101</v>
      </c>
      <c r="AD333" s="4504">
        <v>1.6018</v>
      </c>
      <c r="AE333" s="4154">
        <f>J333*AD333</f>
        <v>9937.5672</v>
      </c>
      <c r="AF333" s="3726" t="s">
        <v>1681</v>
      </c>
      <c r="AG333" s="3726"/>
      <c r="AH333" s="4422"/>
      <c r="AI333" s="3708">
        <f>J333</f>
        <v>6204</v>
      </c>
      <c r="AJ333" s="4422"/>
      <c r="AK333" s="3708"/>
      <c r="AL333" s="3708"/>
      <c r="AM333" s="4154"/>
      <c r="AN333" s="907"/>
      <c r="AO333" s="1048">
        <f>J333</f>
        <v>6204</v>
      </c>
      <c r="AP333" s="1048"/>
      <c r="AQ333" s="907"/>
      <c r="AR333" s="907"/>
      <c r="AS333" s="1048">
        <f t="shared" si="156"/>
        <v>6204</v>
      </c>
      <c r="AT333" s="1048"/>
      <c r="AU333" s="907"/>
      <c r="AV333" s="4922"/>
      <c r="AW333" s="4922"/>
      <c r="AX333" s="1048"/>
      <c r="AY333" s="4922"/>
      <c r="AZ333" s="4922"/>
      <c r="BA333" s="1048"/>
      <c r="BB333" s="4622"/>
      <c r="BC333" s="4922"/>
      <c r="BD333" s="4622"/>
      <c r="BE333" s="4622"/>
      <c r="BF333" s="4622"/>
      <c r="BG333" s="4622"/>
      <c r="BH333" s="1048">
        <f>J333</f>
        <v>6204</v>
      </c>
      <c r="BI333" s="4622"/>
      <c r="BJ333" s="1048"/>
      <c r="BK333" s="4415" t="s">
        <v>89</v>
      </c>
      <c r="BL333" s="4415">
        <f t="shared" si="158"/>
        <v>103.4</v>
      </c>
      <c r="BM333" s="4415">
        <f t="shared" si="159"/>
        <v>930.6</v>
      </c>
      <c r="BN333" s="4415">
        <f t="shared" si="160"/>
        <v>1034</v>
      </c>
      <c r="BO333" s="4415">
        <f t="shared" si="161"/>
        <v>1034</v>
      </c>
      <c r="BP333" s="4415">
        <f t="shared" si="162"/>
        <v>1034</v>
      </c>
      <c r="BQ333" s="4414">
        <f t="shared" si="163"/>
        <v>1034</v>
      </c>
      <c r="BR333" s="1048">
        <f t="shared" si="164"/>
        <v>1034</v>
      </c>
      <c r="BS333" s="911"/>
      <c r="BT333" s="911"/>
      <c r="BU333" s="911"/>
      <c r="BV333" s="911"/>
      <c r="BW333" s="911"/>
      <c r="BX333" s="910"/>
      <c r="BY333" s="910"/>
      <c r="BZ333" s="3708">
        <f t="shared" si="165"/>
        <v>6204</v>
      </c>
      <c r="CA333" s="4154">
        <f t="shared" si="166"/>
        <v>0</v>
      </c>
      <c r="CB333" s="4923"/>
      <c r="CC333" s="4923"/>
      <c r="CD333" s="4323"/>
      <c r="CE333" s="4323"/>
      <c r="CF333" s="4323"/>
    </row>
    <row r="334" s="4316" customFormat="1" ht="50" customHeight="1" spans="1:84">
      <c r="A334" s="4500">
        <v>45838</v>
      </c>
      <c r="B334" s="4501" t="s">
        <v>90</v>
      </c>
      <c r="C334" s="3708" t="s">
        <v>91</v>
      </c>
      <c r="D334" s="4502">
        <v>4500171923</v>
      </c>
      <c r="E334" s="3708" t="s">
        <v>1734</v>
      </c>
      <c r="F334" s="4615" t="s">
        <v>1735</v>
      </c>
      <c r="G334" s="3708"/>
      <c r="H334" s="3708" t="s">
        <v>409</v>
      </c>
      <c r="I334" s="3708" t="s">
        <v>410</v>
      </c>
      <c r="J334" s="4154">
        <v>2004</v>
      </c>
      <c r="K334" s="4154">
        <v>0</v>
      </c>
      <c r="L334" s="4154">
        <v>12</v>
      </c>
      <c r="M334" s="4154">
        <f t="shared" si="169"/>
        <v>167</v>
      </c>
      <c r="N334" s="4503">
        <v>45870</v>
      </c>
      <c r="O334" s="4503">
        <f>N334-4</f>
        <v>45866</v>
      </c>
      <c r="P334" s="4154"/>
      <c r="Q334" s="4154" t="s">
        <v>82</v>
      </c>
      <c r="R334" s="4157"/>
      <c r="S334" s="4157"/>
      <c r="T334" s="4157"/>
      <c r="U334" s="3680" t="s">
        <v>218</v>
      </c>
      <c r="V334" s="3711" t="s">
        <v>1628</v>
      </c>
      <c r="W334" s="3711"/>
      <c r="X334" s="3711" t="s">
        <v>1099</v>
      </c>
      <c r="Y334" s="3711"/>
      <c r="Z334" s="3711" t="s">
        <v>1578</v>
      </c>
      <c r="AA334" s="4154"/>
      <c r="AB334" s="3680" t="s">
        <v>1691</v>
      </c>
      <c r="AC334" s="4154" t="s">
        <v>101</v>
      </c>
      <c r="AD334" s="4504">
        <v>1.5548</v>
      </c>
      <c r="AE334" s="4154">
        <f>J334*AD334</f>
        <v>3115.8192</v>
      </c>
      <c r="AF334" s="3726" t="s">
        <v>1736</v>
      </c>
      <c r="AG334" s="3726"/>
      <c r="AH334" s="4448"/>
      <c r="AI334" s="3708">
        <f>J334</f>
        <v>2004</v>
      </c>
      <c r="AJ334" s="4448"/>
      <c r="AK334" s="3708"/>
      <c r="AL334" s="3708"/>
      <c r="AM334" s="4154"/>
      <c r="AN334" s="4411"/>
      <c r="AO334" s="1048">
        <f>J334</f>
        <v>2004</v>
      </c>
      <c r="AP334" s="1048"/>
      <c r="AQ334" s="4411"/>
      <c r="AR334" s="4411"/>
      <c r="AS334" s="1048">
        <f t="shared" si="156"/>
        <v>2004</v>
      </c>
      <c r="AT334" s="1048"/>
      <c r="AU334" s="4411"/>
      <c r="AV334" s="4933"/>
      <c r="AW334" s="4933"/>
      <c r="AX334" s="1048"/>
      <c r="AY334" s="4933"/>
      <c r="AZ334" s="4933"/>
      <c r="BA334" s="1048"/>
      <c r="BB334" s="4622"/>
      <c r="BC334" s="4933"/>
      <c r="BD334" s="4622"/>
      <c r="BE334" s="4622"/>
      <c r="BF334" s="4622"/>
      <c r="BG334" s="4622"/>
      <c r="BH334" s="1048">
        <f>J334</f>
        <v>2004</v>
      </c>
      <c r="BI334" s="4622"/>
      <c r="BJ334" s="1048"/>
      <c r="BK334" s="4415" t="s">
        <v>89</v>
      </c>
      <c r="BL334" s="4415">
        <f t="shared" si="158"/>
        <v>33.4</v>
      </c>
      <c r="BM334" s="4415">
        <f t="shared" si="159"/>
        <v>300.6</v>
      </c>
      <c r="BN334" s="4415">
        <f t="shared" si="160"/>
        <v>334</v>
      </c>
      <c r="BO334" s="4415">
        <f t="shared" si="161"/>
        <v>334</v>
      </c>
      <c r="BP334" s="4415">
        <f t="shared" si="162"/>
        <v>334</v>
      </c>
      <c r="BQ334" s="4414">
        <f t="shared" si="163"/>
        <v>334</v>
      </c>
      <c r="BR334" s="1048">
        <f t="shared" si="164"/>
        <v>334</v>
      </c>
      <c r="BS334" s="4454"/>
      <c r="BT334" s="4454"/>
      <c r="BU334" s="4454"/>
      <c r="BV334" s="4454"/>
      <c r="BW334" s="4454"/>
      <c r="BX334" s="4453"/>
      <c r="BY334" s="4453"/>
      <c r="BZ334" s="3708">
        <f t="shared" si="165"/>
        <v>2004</v>
      </c>
      <c r="CA334" s="4154">
        <f t="shared" si="166"/>
        <v>0</v>
      </c>
      <c r="CB334" s="4934"/>
      <c r="CC334" s="4934"/>
      <c r="CD334" s="4323"/>
      <c r="CE334" s="4323"/>
      <c r="CF334" s="4323"/>
    </row>
    <row r="335" s="4316" customFormat="1" ht="50" customHeight="1" spans="1:84">
      <c r="A335" s="4500">
        <v>45818</v>
      </c>
      <c r="B335" s="4501" t="s">
        <v>1737</v>
      </c>
      <c r="C335" s="3708" t="s">
        <v>351</v>
      </c>
      <c r="D335" s="4502">
        <v>4500169448</v>
      </c>
      <c r="E335" s="3708"/>
      <c r="F335" s="4615" t="s">
        <v>1738</v>
      </c>
      <c r="G335" s="3708"/>
      <c r="H335" s="3708" t="s">
        <v>333</v>
      </c>
      <c r="I335" s="3708" t="s">
        <v>328</v>
      </c>
      <c r="J335" s="4593">
        <v>1080</v>
      </c>
      <c r="K335" s="4154">
        <v>0</v>
      </c>
      <c r="L335" s="4154">
        <v>24</v>
      </c>
      <c r="M335" s="4154">
        <f t="shared" si="169"/>
        <v>45</v>
      </c>
      <c r="N335" s="4503">
        <v>45887</v>
      </c>
      <c r="O335" s="4503">
        <v>45883</v>
      </c>
      <c r="P335" s="4154"/>
      <c r="Q335" s="4154" t="s">
        <v>82</v>
      </c>
      <c r="R335" s="4157"/>
      <c r="S335" s="4157"/>
      <c r="T335" s="4157"/>
      <c r="U335" s="3680" t="s">
        <v>222</v>
      </c>
      <c r="V335" s="3711" t="s">
        <v>1739</v>
      </c>
      <c r="W335" s="3711"/>
      <c r="X335" s="3711" t="s">
        <v>1740</v>
      </c>
      <c r="Y335" s="3711"/>
      <c r="Z335" s="3711"/>
      <c r="AA335" s="3708" t="s">
        <v>1741</v>
      </c>
      <c r="AB335" s="3680" t="s">
        <v>1742</v>
      </c>
      <c r="AC335" s="4154" t="s">
        <v>1199</v>
      </c>
      <c r="AD335" s="4504">
        <v>2.0854</v>
      </c>
      <c r="AE335" s="4154">
        <f>J335*AD335</f>
        <v>2252.232</v>
      </c>
      <c r="AF335" s="3726"/>
      <c r="AG335" s="3726"/>
      <c r="AH335" s="3664"/>
      <c r="AI335" s="3708">
        <f>J335</f>
        <v>1080</v>
      </c>
      <c r="AJ335" s="3664"/>
      <c r="AK335" s="3708"/>
      <c r="AL335" s="3708"/>
      <c r="AM335" s="4154"/>
      <c r="AN335" s="4089"/>
      <c r="AO335" s="1048">
        <f>J335</f>
        <v>1080</v>
      </c>
      <c r="AP335" s="1048"/>
      <c r="AQ335" s="4089"/>
      <c r="AR335" s="4089"/>
      <c r="AS335" s="1048">
        <f t="shared" si="156"/>
        <v>1080</v>
      </c>
      <c r="AT335" s="1048"/>
      <c r="AU335" s="4089"/>
      <c r="AV335" s="4487"/>
      <c r="AW335" s="4487"/>
      <c r="AX335" s="1048"/>
      <c r="AY335" s="4487"/>
      <c r="AZ335" s="4487"/>
      <c r="BA335" s="1048"/>
      <c r="BB335" s="4622"/>
      <c r="BC335" s="4487"/>
      <c r="BD335" s="4622"/>
      <c r="BE335" s="4622"/>
      <c r="BF335" s="4622"/>
      <c r="BG335" s="4622"/>
      <c r="BH335" s="1048"/>
      <c r="BI335" s="4622"/>
      <c r="BJ335" s="1048"/>
      <c r="BK335" s="4415" t="s">
        <v>89</v>
      </c>
      <c r="BL335" s="4415">
        <f t="shared" si="158"/>
        <v>18</v>
      </c>
      <c r="BM335" s="4415">
        <f t="shared" si="159"/>
        <v>162</v>
      </c>
      <c r="BN335" s="4415">
        <f t="shared" si="160"/>
        <v>180</v>
      </c>
      <c r="BO335" s="4415">
        <f t="shared" si="161"/>
        <v>180</v>
      </c>
      <c r="BP335" s="4415">
        <f t="shared" si="162"/>
        <v>180</v>
      </c>
      <c r="BQ335" s="4414">
        <f t="shared" si="163"/>
        <v>180</v>
      </c>
      <c r="BR335" s="1048">
        <f t="shared" si="164"/>
        <v>180</v>
      </c>
      <c r="BS335" s="4403"/>
      <c r="BT335" s="4403"/>
      <c r="BU335" s="4403"/>
      <c r="BV335" s="4403"/>
      <c r="BW335" s="4403"/>
      <c r="BX335" s="4404"/>
      <c r="BY335" s="4404"/>
      <c r="BZ335" s="3708">
        <f t="shared" si="165"/>
        <v>1080</v>
      </c>
      <c r="CA335" s="4154">
        <f t="shared" si="166"/>
        <v>0</v>
      </c>
      <c r="CB335" s="4390"/>
      <c r="CC335" s="4390"/>
      <c r="CD335" s="4323"/>
      <c r="CE335" s="4323"/>
      <c r="CF335" s="4323"/>
    </row>
    <row r="336" s="4316" customFormat="1" ht="50" customHeight="1" spans="1:84">
      <c r="A336" s="4500">
        <v>45750</v>
      </c>
      <c r="B336" s="4501" t="s">
        <v>1315</v>
      </c>
      <c r="C336" s="3708" t="s">
        <v>1316</v>
      </c>
      <c r="D336" s="4502">
        <v>4500166280</v>
      </c>
      <c r="E336" s="3708" t="s">
        <v>1743</v>
      </c>
      <c r="F336" s="4502" t="s">
        <v>1744</v>
      </c>
      <c r="G336" s="3708"/>
      <c r="H336" s="3708" t="s">
        <v>1319</v>
      </c>
      <c r="I336" s="3708" t="s">
        <v>1320</v>
      </c>
      <c r="J336" s="4154">
        <v>3800</v>
      </c>
      <c r="K336" s="4154">
        <v>0</v>
      </c>
      <c r="L336" s="4154">
        <v>4</v>
      </c>
      <c r="M336" s="4154">
        <f t="shared" si="169"/>
        <v>950</v>
      </c>
      <c r="N336" s="4503">
        <v>45878</v>
      </c>
      <c r="O336" s="4503">
        <f>N336-4</f>
        <v>45874</v>
      </c>
      <c r="P336" s="3708" t="s">
        <v>1745</v>
      </c>
      <c r="Q336" s="3726" t="s">
        <v>82</v>
      </c>
      <c r="R336" s="4157"/>
      <c r="S336" s="4157"/>
      <c r="T336" s="4157"/>
      <c r="U336" s="3726" t="s">
        <v>1746</v>
      </c>
      <c r="V336" s="3711" t="s">
        <v>1322</v>
      </c>
      <c r="W336" s="3711"/>
      <c r="X336" s="3711" t="s">
        <v>1323</v>
      </c>
      <c r="Y336" s="3711"/>
      <c r="Z336" s="3711"/>
      <c r="AA336" s="4154" t="s">
        <v>1747</v>
      </c>
      <c r="AB336" s="3680" t="s">
        <v>1748</v>
      </c>
      <c r="AC336" s="4154" t="s">
        <v>1326</v>
      </c>
      <c r="AD336" s="4154">
        <v>16.8314</v>
      </c>
      <c r="AE336" s="4154">
        <f>AD336*M336</f>
        <v>15989.83</v>
      </c>
      <c r="AF336" s="3726"/>
      <c r="AG336" s="3726"/>
      <c r="AH336" s="4448"/>
      <c r="AI336" s="3708"/>
      <c r="AJ336" s="4448"/>
      <c r="AK336" s="3708"/>
      <c r="AL336" s="3708"/>
      <c r="AM336" s="4154">
        <f>J336</f>
        <v>3800</v>
      </c>
      <c r="AN336" s="4411"/>
      <c r="AO336" s="1048"/>
      <c r="AP336" s="1048">
        <f>J336</f>
        <v>3800</v>
      </c>
      <c r="AQ336" s="4411"/>
      <c r="AR336" s="4411"/>
      <c r="AS336" s="1048">
        <f t="shared" si="156"/>
        <v>3800</v>
      </c>
      <c r="AT336" s="1048"/>
      <c r="AU336" s="4411"/>
      <c r="AV336" s="4933"/>
      <c r="AW336" s="4933"/>
      <c r="AX336" s="1048"/>
      <c r="AY336" s="4933"/>
      <c r="AZ336" s="4933"/>
      <c r="BA336" s="1048"/>
      <c r="BB336" s="4622"/>
      <c r="BC336" s="4933"/>
      <c r="BD336" s="4622"/>
      <c r="BE336" s="4622"/>
      <c r="BF336" s="4622"/>
      <c r="BG336" s="4622"/>
      <c r="BH336" s="1048"/>
      <c r="BI336" s="4622"/>
      <c r="BJ336" s="1048"/>
      <c r="BK336" s="4415" t="s">
        <v>1327</v>
      </c>
      <c r="BL336" s="4415">
        <f t="shared" si="158"/>
        <v>63.3333333333333</v>
      </c>
      <c r="BM336" s="4415">
        <f t="shared" si="159"/>
        <v>570</v>
      </c>
      <c r="BN336" s="4415">
        <f t="shared" si="160"/>
        <v>633.333333333333</v>
      </c>
      <c r="BO336" s="4415">
        <f t="shared" si="161"/>
        <v>633.333333333333</v>
      </c>
      <c r="BP336" s="4415">
        <f t="shared" si="162"/>
        <v>633.333333333333</v>
      </c>
      <c r="BQ336" s="4414">
        <f t="shared" si="163"/>
        <v>633.333333333333</v>
      </c>
      <c r="BR336" s="1048">
        <f t="shared" si="164"/>
        <v>633.333333333333</v>
      </c>
      <c r="BS336" s="4403"/>
      <c r="BT336" s="4454"/>
      <c r="BU336" s="4454"/>
      <c r="BV336" s="4454"/>
      <c r="BW336" s="4454"/>
      <c r="BX336" s="4453"/>
      <c r="BY336" s="4453"/>
      <c r="BZ336" s="3708">
        <f t="shared" si="165"/>
        <v>3800</v>
      </c>
      <c r="CA336" s="4154">
        <f t="shared" si="166"/>
        <v>0</v>
      </c>
      <c r="CB336" s="4934"/>
      <c r="CC336" s="4934"/>
      <c r="CD336" s="4323"/>
      <c r="CE336" s="4323"/>
      <c r="CF336" s="4323"/>
    </row>
    <row r="337" s="4316" customFormat="1" ht="50" customHeight="1" spans="1:84">
      <c r="A337" s="4500">
        <v>45750</v>
      </c>
      <c r="B337" s="4501" t="s">
        <v>1315</v>
      </c>
      <c r="C337" s="3708" t="s">
        <v>1316</v>
      </c>
      <c r="D337" s="4502">
        <v>4500166280</v>
      </c>
      <c r="E337" s="3708" t="s">
        <v>1749</v>
      </c>
      <c r="F337" s="4502" t="s">
        <v>1750</v>
      </c>
      <c r="G337" s="3708"/>
      <c r="H337" s="3708" t="s">
        <v>1319</v>
      </c>
      <c r="I337" s="3708" t="s">
        <v>1320</v>
      </c>
      <c r="J337" s="4154">
        <v>4528</v>
      </c>
      <c r="K337" s="4154">
        <v>0</v>
      </c>
      <c r="L337" s="4154">
        <v>4</v>
      </c>
      <c r="M337" s="4154">
        <f t="shared" si="169"/>
        <v>1132</v>
      </c>
      <c r="N337" s="4503">
        <v>45878</v>
      </c>
      <c r="O337" s="4503">
        <f>N337-4</f>
        <v>45874</v>
      </c>
      <c r="P337" s="3708" t="s">
        <v>1745</v>
      </c>
      <c r="Q337" s="3726" t="s">
        <v>82</v>
      </c>
      <c r="R337" s="4157"/>
      <c r="S337" s="4157"/>
      <c r="T337" s="4157"/>
      <c r="U337" s="3726" t="s">
        <v>1746</v>
      </c>
      <c r="V337" s="3711" t="s">
        <v>1322</v>
      </c>
      <c r="W337" s="3711"/>
      <c r="X337" s="3711" t="s">
        <v>1323</v>
      </c>
      <c r="Y337" s="3711"/>
      <c r="Z337" s="3711"/>
      <c r="AA337" s="4154" t="s">
        <v>1751</v>
      </c>
      <c r="AB337" s="3680" t="s">
        <v>1748</v>
      </c>
      <c r="AC337" s="4154" t="s">
        <v>1326</v>
      </c>
      <c r="AD337" s="4154">
        <v>16.8314</v>
      </c>
      <c r="AE337" s="4154">
        <f>AD337*M337</f>
        <v>19053.1448</v>
      </c>
      <c r="AF337" s="3726"/>
      <c r="AG337" s="3726"/>
      <c r="AH337" s="4422"/>
      <c r="AI337" s="3708"/>
      <c r="AJ337" s="4422"/>
      <c r="AK337" s="3708"/>
      <c r="AL337" s="3708"/>
      <c r="AM337" s="4154">
        <f>J337</f>
        <v>4528</v>
      </c>
      <c r="AN337" s="907"/>
      <c r="AO337" s="1048"/>
      <c r="AP337" s="1048">
        <f>J337</f>
        <v>4528</v>
      </c>
      <c r="AQ337" s="907"/>
      <c r="AR337" s="907"/>
      <c r="AS337" s="1048">
        <f t="shared" si="156"/>
        <v>4528</v>
      </c>
      <c r="AT337" s="1048"/>
      <c r="AU337" s="907"/>
      <c r="AV337" s="4922"/>
      <c r="AW337" s="4922"/>
      <c r="AX337" s="1048"/>
      <c r="AY337" s="4922"/>
      <c r="AZ337" s="4922"/>
      <c r="BA337" s="1048"/>
      <c r="BB337" s="4622"/>
      <c r="BC337" s="4922"/>
      <c r="BD337" s="4622"/>
      <c r="BE337" s="4622"/>
      <c r="BF337" s="4622"/>
      <c r="BG337" s="4622"/>
      <c r="BH337" s="1048"/>
      <c r="BI337" s="4622"/>
      <c r="BJ337" s="1048"/>
      <c r="BK337" s="4415" t="s">
        <v>1327</v>
      </c>
      <c r="BL337" s="4415">
        <f t="shared" si="158"/>
        <v>75.4666666666667</v>
      </c>
      <c r="BM337" s="4415">
        <f t="shared" si="159"/>
        <v>679.2</v>
      </c>
      <c r="BN337" s="4415">
        <f t="shared" si="160"/>
        <v>754.666666666667</v>
      </c>
      <c r="BO337" s="4415">
        <f t="shared" si="161"/>
        <v>754.666666666667</v>
      </c>
      <c r="BP337" s="4415">
        <f t="shared" si="162"/>
        <v>754.666666666667</v>
      </c>
      <c r="BQ337" s="4414">
        <f t="shared" si="163"/>
        <v>754.666666666667</v>
      </c>
      <c r="BR337" s="1048">
        <f t="shared" si="164"/>
        <v>754.666666666667</v>
      </c>
      <c r="BS337" s="4384"/>
      <c r="BT337" s="911"/>
      <c r="BU337" s="911"/>
      <c r="BV337" s="911"/>
      <c r="BW337" s="911"/>
      <c r="BX337" s="910"/>
      <c r="BY337" s="910"/>
      <c r="BZ337" s="3708">
        <f t="shared" si="165"/>
        <v>4528</v>
      </c>
      <c r="CA337" s="4154">
        <f t="shared" si="166"/>
        <v>0</v>
      </c>
      <c r="CB337" s="4923"/>
      <c r="CC337" s="4923"/>
      <c r="CD337" s="4323"/>
      <c r="CE337" s="4323"/>
      <c r="CF337" s="4323"/>
    </row>
    <row r="338" s="4316" customFormat="1" ht="50" customHeight="1" spans="1:84">
      <c r="A338" s="4500">
        <v>45838</v>
      </c>
      <c r="B338" s="4501" t="s">
        <v>90</v>
      </c>
      <c r="C338" s="3708" t="s">
        <v>91</v>
      </c>
      <c r="D338" s="4502">
        <v>4500171921</v>
      </c>
      <c r="E338" s="3708" t="s">
        <v>1752</v>
      </c>
      <c r="F338" s="4615" t="s">
        <v>1753</v>
      </c>
      <c r="G338" s="3708"/>
      <c r="H338" s="3708" t="s">
        <v>409</v>
      </c>
      <c r="I338" s="3708" t="s">
        <v>410</v>
      </c>
      <c r="J338" s="4154">
        <v>3804</v>
      </c>
      <c r="K338" s="4154">
        <v>0</v>
      </c>
      <c r="L338" s="4154">
        <v>12</v>
      </c>
      <c r="M338" s="4154">
        <f t="shared" si="169"/>
        <v>317</v>
      </c>
      <c r="N338" s="4503">
        <v>45870</v>
      </c>
      <c r="O338" s="4503">
        <f>N338-4</f>
        <v>45866</v>
      </c>
      <c r="P338" s="4154"/>
      <c r="Q338" s="3726" t="s">
        <v>82</v>
      </c>
      <c r="R338" s="4157"/>
      <c r="S338" s="4157"/>
      <c r="T338" s="4157"/>
      <c r="U338" s="3680" t="s">
        <v>1754</v>
      </c>
      <c r="V338" s="3711" t="s">
        <v>1628</v>
      </c>
      <c r="W338" s="3711"/>
      <c r="X338" s="3711" t="s">
        <v>1099</v>
      </c>
      <c r="Y338" s="3711"/>
      <c r="Z338" s="3711" t="s">
        <v>1578</v>
      </c>
      <c r="AA338" s="4154"/>
      <c r="AB338" s="3680" t="s">
        <v>1691</v>
      </c>
      <c r="AC338" s="4154" t="s">
        <v>101</v>
      </c>
      <c r="AD338" s="4504">
        <v>1.5454</v>
      </c>
      <c r="AE338" s="4154">
        <f>J338*AD338</f>
        <v>5878.7016</v>
      </c>
      <c r="AF338" s="3726" t="s">
        <v>1755</v>
      </c>
      <c r="AG338" s="3726"/>
      <c r="AH338" s="4422"/>
      <c r="AI338" s="3708">
        <f>J338</f>
        <v>3804</v>
      </c>
      <c r="AJ338" s="4422"/>
      <c r="AK338" s="3708"/>
      <c r="AL338" s="3708"/>
      <c r="AM338" s="4154"/>
      <c r="AN338" s="907"/>
      <c r="AO338" s="1048">
        <f>J338</f>
        <v>3804</v>
      </c>
      <c r="AP338" s="1048"/>
      <c r="AQ338" s="907"/>
      <c r="AR338" s="907"/>
      <c r="AS338" s="1048">
        <f t="shared" si="156"/>
        <v>3804</v>
      </c>
      <c r="AT338" s="1048"/>
      <c r="AU338" s="907"/>
      <c r="AV338" s="4922"/>
      <c r="AW338" s="4922"/>
      <c r="AX338" s="1048"/>
      <c r="AY338" s="4922"/>
      <c r="AZ338" s="4922"/>
      <c r="BA338" s="1048"/>
      <c r="BB338" s="4622"/>
      <c r="BC338" s="4922"/>
      <c r="BD338" s="4622"/>
      <c r="BE338" s="4622"/>
      <c r="BF338" s="4622"/>
      <c r="BG338" s="4622"/>
      <c r="BH338" s="1048">
        <f>J338</f>
        <v>3804</v>
      </c>
      <c r="BI338" s="4622"/>
      <c r="BJ338" s="1048"/>
      <c r="BK338" s="4415" t="s">
        <v>89</v>
      </c>
      <c r="BL338" s="4415">
        <f t="shared" si="158"/>
        <v>63.4</v>
      </c>
      <c r="BM338" s="4415">
        <f t="shared" si="159"/>
        <v>570.6</v>
      </c>
      <c r="BN338" s="4415">
        <f t="shared" si="160"/>
        <v>634</v>
      </c>
      <c r="BO338" s="4415">
        <f t="shared" si="161"/>
        <v>634</v>
      </c>
      <c r="BP338" s="4415">
        <f t="shared" si="162"/>
        <v>634</v>
      </c>
      <c r="BQ338" s="4414">
        <f t="shared" si="163"/>
        <v>634</v>
      </c>
      <c r="BR338" s="1048">
        <f t="shared" si="164"/>
        <v>634</v>
      </c>
      <c r="BS338" s="911"/>
      <c r="BT338" s="911"/>
      <c r="BU338" s="911"/>
      <c r="BV338" s="911"/>
      <c r="BW338" s="911"/>
      <c r="BX338" s="910"/>
      <c r="BY338" s="910"/>
      <c r="BZ338" s="3708">
        <f t="shared" si="165"/>
        <v>3804</v>
      </c>
      <c r="CA338" s="4154">
        <f t="shared" si="166"/>
        <v>0</v>
      </c>
      <c r="CB338" s="4923"/>
      <c r="CC338" s="4923"/>
      <c r="CD338" s="4323"/>
      <c r="CE338" s="4323"/>
      <c r="CF338" s="4323"/>
    </row>
    <row r="339" s="4316" customFormat="1" ht="50" customHeight="1" spans="1:84">
      <c r="A339" s="4500">
        <v>45839</v>
      </c>
      <c r="B339" s="4501" t="s">
        <v>407</v>
      </c>
      <c r="C339" s="3708" t="s">
        <v>91</v>
      </c>
      <c r="D339" s="4502">
        <v>4500172219</v>
      </c>
      <c r="E339" s="3708">
        <v>60235891</v>
      </c>
      <c r="F339" s="4615" t="s">
        <v>1756</v>
      </c>
      <c r="G339" s="3708"/>
      <c r="H339" s="3708" t="s">
        <v>409</v>
      </c>
      <c r="I339" s="3708" t="s">
        <v>410</v>
      </c>
      <c r="J339" s="4154">
        <v>3204</v>
      </c>
      <c r="K339" s="4154">
        <v>0</v>
      </c>
      <c r="L339" s="4154">
        <v>12</v>
      </c>
      <c r="M339" s="4154">
        <f t="shared" si="169"/>
        <v>267</v>
      </c>
      <c r="N339" s="4503">
        <v>45874</v>
      </c>
      <c r="O339" s="4503">
        <v>45870</v>
      </c>
      <c r="P339" s="4154"/>
      <c r="Q339" s="3726" t="s">
        <v>82</v>
      </c>
      <c r="R339" s="4157"/>
      <c r="S339" s="4157"/>
      <c r="T339" s="4157"/>
      <c r="U339" s="3726" t="s">
        <v>224</v>
      </c>
      <c r="V339" s="3711" t="s">
        <v>1619</v>
      </c>
      <c r="W339" s="3711"/>
      <c r="X339" s="3711" t="s">
        <v>1099</v>
      </c>
      <c r="Y339" s="3711"/>
      <c r="Z339" s="3711" t="s">
        <v>1620</v>
      </c>
      <c r="AA339" s="4154"/>
      <c r="AB339" s="3680" t="s">
        <v>1621</v>
      </c>
      <c r="AC339" s="4154" t="s">
        <v>393</v>
      </c>
      <c r="AD339" s="4504">
        <v>1.5454</v>
      </c>
      <c r="AE339" s="4154">
        <f>J339*AD339</f>
        <v>4951.4616</v>
      </c>
      <c r="AF339" s="3726" t="s">
        <v>1757</v>
      </c>
      <c r="AG339" s="3726"/>
      <c r="AH339" s="4422"/>
      <c r="AI339" s="3708">
        <f>J339</f>
        <v>3204</v>
      </c>
      <c r="AJ339" s="4422"/>
      <c r="AK339" s="3708"/>
      <c r="AL339" s="3708"/>
      <c r="AM339" s="4154"/>
      <c r="AN339" s="907"/>
      <c r="AO339" s="1048">
        <f>J339</f>
        <v>3204</v>
      </c>
      <c r="AP339" s="1048"/>
      <c r="AQ339" s="907"/>
      <c r="AR339" s="907"/>
      <c r="AS339" s="1048">
        <f t="shared" si="156"/>
        <v>3204</v>
      </c>
      <c r="AT339" s="1048"/>
      <c r="AU339" s="907"/>
      <c r="AV339" s="4922"/>
      <c r="AW339" s="4922"/>
      <c r="AX339" s="1048"/>
      <c r="AY339" s="4922"/>
      <c r="AZ339" s="4922"/>
      <c r="BA339" s="1048"/>
      <c r="BB339" s="4622"/>
      <c r="BC339" s="4922"/>
      <c r="BD339" s="4622"/>
      <c r="BE339" s="4622"/>
      <c r="BF339" s="4622"/>
      <c r="BG339" s="4622"/>
      <c r="BH339" s="1048">
        <f>J339</f>
        <v>3204</v>
      </c>
      <c r="BI339" s="4622"/>
      <c r="BJ339" s="1048"/>
      <c r="BK339" s="4415" t="s">
        <v>89</v>
      </c>
      <c r="BL339" s="4415">
        <f t="shared" si="158"/>
        <v>53.4</v>
      </c>
      <c r="BM339" s="4415">
        <f t="shared" si="159"/>
        <v>480.6</v>
      </c>
      <c r="BN339" s="4415">
        <f t="shared" si="160"/>
        <v>534</v>
      </c>
      <c r="BO339" s="4415">
        <f t="shared" si="161"/>
        <v>534</v>
      </c>
      <c r="BP339" s="4415">
        <f t="shared" si="162"/>
        <v>534</v>
      </c>
      <c r="BQ339" s="4414">
        <f t="shared" si="163"/>
        <v>534</v>
      </c>
      <c r="BR339" s="1048">
        <f t="shared" si="164"/>
        <v>534</v>
      </c>
      <c r="BS339" s="911"/>
      <c r="BT339" s="911"/>
      <c r="BU339" s="911"/>
      <c r="BV339" s="911"/>
      <c r="BW339" s="911"/>
      <c r="BX339" s="910"/>
      <c r="BY339" s="910"/>
      <c r="BZ339" s="3708">
        <f t="shared" si="165"/>
        <v>3204</v>
      </c>
      <c r="CA339" s="4154">
        <f t="shared" si="166"/>
        <v>0</v>
      </c>
      <c r="CB339" s="4923"/>
      <c r="CC339" s="4923"/>
      <c r="CD339" s="4323"/>
      <c r="CE339" s="4323"/>
      <c r="CF339" s="4323"/>
    </row>
    <row r="340" s="4316" customFormat="1" ht="50" customHeight="1" spans="1:84">
      <c r="A340" s="4500">
        <v>45750</v>
      </c>
      <c r="B340" s="4501" t="s">
        <v>1315</v>
      </c>
      <c r="C340" s="3708" t="s">
        <v>1316</v>
      </c>
      <c r="D340" s="4502">
        <v>4500162590</v>
      </c>
      <c r="E340" s="3708" t="s">
        <v>1758</v>
      </c>
      <c r="F340" s="4615" t="s">
        <v>1759</v>
      </c>
      <c r="G340" s="3708"/>
      <c r="H340" s="3708" t="s">
        <v>1319</v>
      </c>
      <c r="I340" s="3708" t="s">
        <v>1320</v>
      </c>
      <c r="J340" s="4154">
        <v>2880</v>
      </c>
      <c r="K340" s="4154">
        <v>0</v>
      </c>
      <c r="L340" s="4154">
        <v>4</v>
      </c>
      <c r="M340" s="4154">
        <f t="shared" si="169"/>
        <v>720</v>
      </c>
      <c r="N340" s="4503">
        <v>45880</v>
      </c>
      <c r="O340" s="4503">
        <f>N340-4</f>
        <v>45876</v>
      </c>
      <c r="P340" s="3712"/>
      <c r="Q340" s="3726" t="s">
        <v>82</v>
      </c>
      <c r="R340" s="4157"/>
      <c r="S340" s="4157"/>
      <c r="T340" s="4157"/>
      <c r="U340" s="3726" t="s">
        <v>1746</v>
      </c>
      <c r="V340" s="3711" t="s">
        <v>1322</v>
      </c>
      <c r="W340" s="3711"/>
      <c r="X340" s="3711" t="s">
        <v>1379</v>
      </c>
      <c r="Y340" s="3711"/>
      <c r="Z340" s="3711"/>
      <c r="AA340" s="4154" t="s">
        <v>1760</v>
      </c>
      <c r="AB340" s="3680" t="s">
        <v>1748</v>
      </c>
      <c r="AC340" s="4154" t="s">
        <v>1326</v>
      </c>
      <c r="AD340" s="4154">
        <v>16.8855</v>
      </c>
      <c r="AE340" s="4154">
        <f>AD340*M340</f>
        <v>12157.56</v>
      </c>
      <c r="AF340" s="3726"/>
      <c r="AG340" s="3726"/>
      <c r="AH340" s="4430"/>
      <c r="AI340" s="3708"/>
      <c r="AJ340" s="4430"/>
      <c r="AK340" s="3708"/>
      <c r="AL340" s="3708"/>
      <c r="AM340" s="4154">
        <f>J340</f>
        <v>2880</v>
      </c>
      <c r="AN340" s="4413"/>
      <c r="AO340" s="1048"/>
      <c r="AP340" s="1048">
        <f>J340</f>
        <v>2880</v>
      </c>
      <c r="AQ340" s="4413"/>
      <c r="AR340" s="4413"/>
      <c r="AS340" s="1048">
        <f t="shared" si="156"/>
        <v>2880</v>
      </c>
      <c r="AT340" s="1048"/>
      <c r="AU340" s="4413"/>
      <c r="AV340" s="4939"/>
      <c r="AW340" s="4939"/>
      <c r="AX340" s="1048"/>
      <c r="AY340" s="4939"/>
      <c r="AZ340" s="4939"/>
      <c r="BA340" s="1048"/>
      <c r="BB340" s="4622"/>
      <c r="BC340" s="4939"/>
      <c r="BD340" s="4622"/>
      <c r="BE340" s="4622"/>
      <c r="BF340" s="4622"/>
      <c r="BG340" s="4622"/>
      <c r="BH340" s="1048"/>
      <c r="BI340" s="4622"/>
      <c r="BJ340" s="1048"/>
      <c r="BK340" s="4415" t="s">
        <v>1327</v>
      </c>
      <c r="BL340" s="4415">
        <f t="shared" si="158"/>
        <v>48</v>
      </c>
      <c r="BM340" s="4415">
        <f t="shared" si="159"/>
        <v>432</v>
      </c>
      <c r="BN340" s="4415">
        <f t="shared" si="160"/>
        <v>480</v>
      </c>
      <c r="BO340" s="4415">
        <f t="shared" si="161"/>
        <v>480</v>
      </c>
      <c r="BP340" s="4415">
        <f t="shared" si="162"/>
        <v>480</v>
      </c>
      <c r="BQ340" s="4414">
        <f t="shared" si="163"/>
        <v>480</v>
      </c>
      <c r="BR340" s="1048">
        <f t="shared" si="164"/>
        <v>480</v>
      </c>
      <c r="BS340" s="4415"/>
      <c r="BT340" s="4432"/>
      <c r="BU340" s="4432"/>
      <c r="BV340" s="4432"/>
      <c r="BW340" s="4432"/>
      <c r="BX340" s="4431"/>
      <c r="BY340" s="4431"/>
      <c r="BZ340" s="3708">
        <f t="shared" si="165"/>
        <v>2880</v>
      </c>
      <c r="CA340" s="4154">
        <f t="shared" si="166"/>
        <v>0</v>
      </c>
      <c r="CB340" s="4591"/>
      <c r="CC340" s="4591"/>
      <c r="CD340" s="4323"/>
      <c r="CE340" s="4323"/>
      <c r="CF340" s="4323"/>
    </row>
    <row r="341" s="4316" customFormat="1" ht="50" customHeight="1" spans="1:84">
      <c r="A341" s="4500">
        <v>45750</v>
      </c>
      <c r="B341" s="4501" t="s">
        <v>1315</v>
      </c>
      <c r="C341" s="3708" t="s">
        <v>1316</v>
      </c>
      <c r="D341" s="4502">
        <v>4500162590</v>
      </c>
      <c r="E341" s="3708" t="s">
        <v>1761</v>
      </c>
      <c r="F341" s="4615" t="s">
        <v>1762</v>
      </c>
      <c r="G341" s="3708"/>
      <c r="H341" s="3708" t="s">
        <v>1319</v>
      </c>
      <c r="I341" s="3708" t="s">
        <v>1320</v>
      </c>
      <c r="J341" s="4154">
        <v>4076</v>
      </c>
      <c r="K341" s="4154">
        <v>0</v>
      </c>
      <c r="L341" s="4154">
        <v>4</v>
      </c>
      <c r="M341" s="4154">
        <f t="shared" si="169"/>
        <v>1019</v>
      </c>
      <c r="N341" s="4503">
        <v>45880</v>
      </c>
      <c r="O341" s="4503">
        <f>N341-4</f>
        <v>45876</v>
      </c>
      <c r="P341" s="3712"/>
      <c r="Q341" s="3726" t="s">
        <v>82</v>
      </c>
      <c r="R341" s="4157"/>
      <c r="S341" s="4157"/>
      <c r="T341" s="4157"/>
      <c r="U341" s="3726" t="s">
        <v>1746</v>
      </c>
      <c r="V341" s="3711" t="s">
        <v>1322</v>
      </c>
      <c r="W341" s="3711"/>
      <c r="X341" s="3711" t="s">
        <v>1379</v>
      </c>
      <c r="Y341" s="3711"/>
      <c r="Z341" s="3711"/>
      <c r="AA341" s="4154" t="s">
        <v>1763</v>
      </c>
      <c r="AB341" s="3680" t="s">
        <v>1748</v>
      </c>
      <c r="AC341" s="4154" t="s">
        <v>1326</v>
      </c>
      <c r="AD341" s="4154">
        <v>16.8314</v>
      </c>
      <c r="AE341" s="4154">
        <f>AD341*M341</f>
        <v>17151.1966</v>
      </c>
      <c r="AF341" s="3726"/>
      <c r="AG341" s="3726"/>
      <c r="AH341" s="4430"/>
      <c r="AI341" s="3708"/>
      <c r="AJ341" s="4430"/>
      <c r="AK341" s="3708"/>
      <c r="AL341" s="3708"/>
      <c r="AM341" s="4154">
        <f>J341</f>
        <v>4076</v>
      </c>
      <c r="AN341" s="4413"/>
      <c r="AO341" s="1048"/>
      <c r="AP341" s="1048">
        <f>J341</f>
        <v>4076</v>
      </c>
      <c r="AQ341" s="4413"/>
      <c r="AR341" s="4413"/>
      <c r="AS341" s="1048">
        <f t="shared" si="156"/>
        <v>4076</v>
      </c>
      <c r="AT341" s="1048"/>
      <c r="AU341" s="4413"/>
      <c r="AV341" s="4939"/>
      <c r="AW341" s="4939"/>
      <c r="AX341" s="1048"/>
      <c r="AY341" s="4939"/>
      <c r="AZ341" s="4939"/>
      <c r="BA341" s="1048"/>
      <c r="BB341" s="4622"/>
      <c r="BC341" s="4939"/>
      <c r="BD341" s="4622"/>
      <c r="BE341" s="4622"/>
      <c r="BF341" s="4622"/>
      <c r="BG341" s="4622"/>
      <c r="BH341" s="1048"/>
      <c r="BI341" s="4622"/>
      <c r="BJ341" s="1048"/>
      <c r="BK341" s="4415" t="s">
        <v>1327</v>
      </c>
      <c r="BL341" s="4415">
        <f t="shared" si="158"/>
        <v>67.9333333333333</v>
      </c>
      <c r="BM341" s="4415">
        <f t="shared" si="159"/>
        <v>611.4</v>
      </c>
      <c r="BN341" s="4415">
        <f t="shared" si="160"/>
        <v>679.333333333333</v>
      </c>
      <c r="BO341" s="4415">
        <f t="shared" si="161"/>
        <v>679.333333333333</v>
      </c>
      <c r="BP341" s="4415">
        <f t="shared" si="162"/>
        <v>679.333333333333</v>
      </c>
      <c r="BQ341" s="4414">
        <f t="shared" si="163"/>
        <v>679.333333333333</v>
      </c>
      <c r="BR341" s="1048">
        <f t="shared" si="164"/>
        <v>679.333333333333</v>
      </c>
      <c r="BS341" s="4415"/>
      <c r="BT341" s="4432"/>
      <c r="BU341" s="4432"/>
      <c r="BV341" s="4432"/>
      <c r="BW341" s="4432"/>
      <c r="BX341" s="4431"/>
      <c r="BY341" s="4431"/>
      <c r="BZ341" s="3708">
        <f t="shared" si="165"/>
        <v>4076</v>
      </c>
      <c r="CA341" s="4154">
        <f t="shared" si="166"/>
        <v>0</v>
      </c>
      <c r="CB341" s="4591"/>
      <c r="CC341" s="4591"/>
      <c r="CD341" s="4323"/>
      <c r="CE341" s="4323"/>
      <c r="CF341" s="4323"/>
    </row>
    <row r="342" s="4316" customFormat="1" ht="50" customHeight="1" spans="1:84">
      <c r="A342" s="4500">
        <v>45855</v>
      </c>
      <c r="B342" s="4501" t="s">
        <v>1764</v>
      </c>
      <c r="C342" s="3708" t="s">
        <v>78</v>
      </c>
      <c r="D342" s="4502">
        <v>4500174183</v>
      </c>
      <c r="E342" s="3708" t="s">
        <v>1765</v>
      </c>
      <c r="F342" s="4502" t="s">
        <v>1766</v>
      </c>
      <c r="G342" s="3708"/>
      <c r="H342" s="3708" t="s">
        <v>327</v>
      </c>
      <c r="I342" s="4154" t="s">
        <v>328</v>
      </c>
      <c r="J342" s="4154">
        <v>4800</v>
      </c>
      <c r="K342" s="4154">
        <v>0</v>
      </c>
      <c r="L342" s="4154">
        <v>12</v>
      </c>
      <c r="M342" s="4154">
        <f t="shared" si="169"/>
        <v>400</v>
      </c>
      <c r="N342" s="4503">
        <v>45891</v>
      </c>
      <c r="O342" s="4503">
        <v>45887</v>
      </c>
      <c r="P342" s="3708"/>
      <c r="Q342" s="4154" t="s">
        <v>82</v>
      </c>
      <c r="R342" s="4157"/>
      <c r="S342" s="4157"/>
      <c r="T342" s="4157"/>
      <c r="U342" s="3726" t="s">
        <v>1767</v>
      </c>
      <c r="V342" s="3711" t="s">
        <v>1768</v>
      </c>
      <c r="W342" s="3711"/>
      <c r="X342" s="3711" t="s">
        <v>1769</v>
      </c>
      <c r="Y342" s="3711"/>
      <c r="Z342" s="3711"/>
      <c r="AA342" s="4154"/>
      <c r="AB342" s="3680" t="s">
        <v>1770</v>
      </c>
      <c r="AC342" s="4154" t="s">
        <v>1771</v>
      </c>
      <c r="AD342" s="4504">
        <v>2.1553</v>
      </c>
      <c r="AE342" s="4154">
        <f>J342*AD342</f>
        <v>10345.44</v>
      </c>
      <c r="AF342" s="3726"/>
      <c r="AG342" s="3726"/>
      <c r="AH342" s="4430"/>
      <c r="AI342" s="3708"/>
      <c r="AJ342" s="4430"/>
      <c r="AK342" s="3708">
        <f>J342</f>
        <v>4800</v>
      </c>
      <c r="AL342" s="4323"/>
      <c r="AM342" s="4154"/>
      <c r="AN342" s="4413"/>
      <c r="AO342" s="1048">
        <f>J342</f>
        <v>4800</v>
      </c>
      <c r="AP342" s="1048"/>
      <c r="AQ342" s="4413"/>
      <c r="AR342" s="4413"/>
      <c r="AS342" s="1048">
        <f t="shared" si="156"/>
        <v>4800</v>
      </c>
      <c r="AT342" s="1048"/>
      <c r="AU342" s="4413"/>
      <c r="AV342" s="4939"/>
      <c r="AW342" s="4939"/>
      <c r="AX342" s="1048">
        <f>J342/6</f>
        <v>800</v>
      </c>
      <c r="AY342" s="4939"/>
      <c r="AZ342" s="4939"/>
      <c r="BA342" s="1048"/>
      <c r="BB342" s="4622"/>
      <c r="BC342" s="4939"/>
      <c r="BD342" s="4622"/>
      <c r="BE342" s="4622"/>
      <c r="BF342" s="4622"/>
      <c r="BG342" s="4622"/>
      <c r="BH342" s="1048"/>
      <c r="BI342" s="4622"/>
      <c r="BJ342" s="1048"/>
      <c r="BK342" s="4415" t="s">
        <v>89</v>
      </c>
      <c r="BL342" s="4415">
        <f t="shared" si="158"/>
        <v>80</v>
      </c>
      <c r="BM342" s="4415">
        <f t="shared" si="159"/>
        <v>720</v>
      </c>
      <c r="BN342" s="4415">
        <f t="shared" si="160"/>
        <v>800</v>
      </c>
      <c r="BO342" s="4415">
        <f t="shared" si="161"/>
        <v>800</v>
      </c>
      <c r="BP342" s="4415">
        <f t="shared" si="162"/>
        <v>800</v>
      </c>
      <c r="BQ342" s="4414">
        <f t="shared" si="163"/>
        <v>800</v>
      </c>
      <c r="BR342" s="1048">
        <f t="shared" si="164"/>
        <v>800</v>
      </c>
      <c r="BS342" s="4432"/>
      <c r="BT342" s="4447"/>
      <c r="BU342" s="4447"/>
      <c r="BV342" s="4447"/>
      <c r="BW342" s="4447"/>
      <c r="BX342" s="4447"/>
      <c r="BY342" s="4447"/>
      <c r="BZ342" s="3708">
        <f t="shared" si="165"/>
        <v>4800</v>
      </c>
      <c r="CA342" s="4154">
        <f t="shared" si="166"/>
        <v>0</v>
      </c>
      <c r="CB342" s="4591"/>
      <c r="CC342" s="4591"/>
      <c r="CD342" s="4323"/>
      <c r="CE342" s="4323"/>
      <c r="CF342" s="4323"/>
    </row>
    <row r="343" s="4316" customFormat="1" ht="50" customHeight="1" spans="1:84">
      <c r="A343" s="4500">
        <v>45750</v>
      </c>
      <c r="B343" s="4501" t="s">
        <v>1315</v>
      </c>
      <c r="C343" s="3708" t="s">
        <v>1316</v>
      </c>
      <c r="D343" s="4502">
        <v>4500162590</v>
      </c>
      <c r="E343" s="3708" t="s">
        <v>1772</v>
      </c>
      <c r="F343" s="4615" t="s">
        <v>1773</v>
      </c>
      <c r="G343" s="3708"/>
      <c r="H343" s="3708" t="s">
        <v>1319</v>
      </c>
      <c r="I343" s="3708" t="s">
        <v>1320</v>
      </c>
      <c r="J343" s="4154">
        <v>960</v>
      </c>
      <c r="K343" s="4154">
        <v>0</v>
      </c>
      <c r="L343" s="4154">
        <v>4</v>
      </c>
      <c r="M343" s="4154">
        <f t="shared" si="169"/>
        <v>240</v>
      </c>
      <c r="N343" s="4503">
        <v>45885</v>
      </c>
      <c r="O343" s="4503">
        <f>N343-4</f>
        <v>45881</v>
      </c>
      <c r="P343" s="3712"/>
      <c r="Q343" s="4154" t="s">
        <v>82</v>
      </c>
      <c r="R343" s="4157"/>
      <c r="S343" s="4157"/>
      <c r="T343" s="4157"/>
      <c r="U343" s="3726" t="s">
        <v>1774</v>
      </c>
      <c r="V343" s="3711" t="s">
        <v>1322</v>
      </c>
      <c r="W343" s="3711"/>
      <c r="X343" s="3711" t="s">
        <v>1379</v>
      </c>
      <c r="Y343" s="3711"/>
      <c r="Z343" s="3711"/>
      <c r="AA343" s="4154" t="s">
        <v>1775</v>
      </c>
      <c r="AB343" s="3680" t="s">
        <v>1776</v>
      </c>
      <c r="AC343" s="4154" t="s">
        <v>1326</v>
      </c>
      <c r="AD343" s="4154">
        <v>16.9223</v>
      </c>
      <c r="AE343" s="4154">
        <f>AD343*M343</f>
        <v>4061.352</v>
      </c>
      <c r="AF343" s="3726"/>
      <c r="AG343" s="3726"/>
      <c r="AH343" s="4422"/>
      <c r="AI343" s="3708"/>
      <c r="AJ343" s="4422"/>
      <c r="AK343" s="3708"/>
      <c r="AL343" s="3708"/>
      <c r="AM343" s="4154">
        <f>J343</f>
        <v>960</v>
      </c>
      <c r="AN343" s="907"/>
      <c r="AO343" s="1048"/>
      <c r="AP343" s="1048">
        <f>J343</f>
        <v>960</v>
      </c>
      <c r="AQ343" s="907"/>
      <c r="AR343" s="907"/>
      <c r="AS343" s="1048">
        <f t="shared" si="156"/>
        <v>960</v>
      </c>
      <c r="AT343" s="1048"/>
      <c r="AU343" s="907"/>
      <c r="AV343" s="4922"/>
      <c r="AW343" s="4922"/>
      <c r="AX343" s="1048"/>
      <c r="AY343" s="4922"/>
      <c r="AZ343" s="4922"/>
      <c r="BA343" s="1048"/>
      <c r="BB343" s="4622"/>
      <c r="BC343" s="4922"/>
      <c r="BD343" s="4622"/>
      <c r="BE343" s="4622"/>
      <c r="BF343" s="4622"/>
      <c r="BG343" s="4622"/>
      <c r="BH343" s="1048"/>
      <c r="BI343" s="4622"/>
      <c r="BJ343" s="1048"/>
      <c r="BK343" s="4415" t="s">
        <v>1327</v>
      </c>
      <c r="BL343" s="4415">
        <f t="shared" si="158"/>
        <v>16</v>
      </c>
      <c r="BM343" s="4415">
        <f t="shared" si="159"/>
        <v>144</v>
      </c>
      <c r="BN343" s="4415">
        <f t="shared" si="160"/>
        <v>160</v>
      </c>
      <c r="BO343" s="4415">
        <f t="shared" si="161"/>
        <v>160</v>
      </c>
      <c r="BP343" s="4415">
        <f t="shared" si="162"/>
        <v>160</v>
      </c>
      <c r="BQ343" s="4414">
        <f t="shared" si="163"/>
        <v>160</v>
      </c>
      <c r="BR343" s="1048">
        <f t="shared" si="164"/>
        <v>160</v>
      </c>
      <c r="BS343" s="4384"/>
      <c r="BT343" s="911"/>
      <c r="BU343" s="911"/>
      <c r="BV343" s="911"/>
      <c r="BW343" s="911"/>
      <c r="BX343" s="910"/>
      <c r="BY343" s="910"/>
      <c r="BZ343" s="3708">
        <f t="shared" si="165"/>
        <v>960</v>
      </c>
      <c r="CA343" s="4154">
        <f t="shared" si="166"/>
        <v>0</v>
      </c>
      <c r="CB343" s="4923"/>
      <c r="CC343" s="4923"/>
      <c r="CD343" s="4323"/>
      <c r="CE343" s="4323"/>
      <c r="CF343" s="4323"/>
    </row>
    <row r="344" s="4316" customFormat="1" ht="50" customHeight="1" spans="1:84">
      <c r="A344" s="4500">
        <v>45825</v>
      </c>
      <c r="B344" s="3708" t="s">
        <v>1777</v>
      </c>
      <c r="C344" s="3708" t="s">
        <v>1142</v>
      </c>
      <c r="D344" s="4154">
        <v>4500170167</v>
      </c>
      <c r="E344" s="3708" t="s">
        <v>1778</v>
      </c>
      <c r="F344" s="3708" t="s">
        <v>1779</v>
      </c>
      <c r="G344" s="3708"/>
      <c r="H344" s="3708" t="s">
        <v>327</v>
      </c>
      <c r="I344" s="4154" t="s">
        <v>328</v>
      </c>
      <c r="J344" s="4154">
        <v>720</v>
      </c>
      <c r="K344" s="4154">
        <v>0</v>
      </c>
      <c r="L344" s="4154">
        <v>12</v>
      </c>
      <c r="M344" s="4154">
        <f t="shared" si="169"/>
        <v>60</v>
      </c>
      <c r="N344" s="4503">
        <v>45891</v>
      </c>
      <c r="O344" s="4503">
        <v>45887</v>
      </c>
      <c r="P344" s="4154"/>
      <c r="Q344" s="4154" t="s">
        <v>82</v>
      </c>
      <c r="R344" s="4157"/>
      <c r="S344" s="4157"/>
      <c r="T344" s="4157"/>
      <c r="U344" s="3726" t="s">
        <v>1780</v>
      </c>
      <c r="V344" s="3711" t="s">
        <v>1479</v>
      </c>
      <c r="W344" s="3711"/>
      <c r="X344" s="3711" t="s">
        <v>1781</v>
      </c>
      <c r="Y344" s="3711"/>
      <c r="Z344" s="3711"/>
      <c r="AA344" s="4154"/>
      <c r="AB344" s="3713" t="s">
        <v>1782</v>
      </c>
      <c r="AC344" s="3711" t="s">
        <v>459</v>
      </c>
      <c r="AD344" s="4504">
        <v>2.1633</v>
      </c>
      <c r="AE344" s="4154">
        <f t="shared" ref="AE344:AE349" si="170">J344*AD344</f>
        <v>1557.576</v>
      </c>
      <c r="AF344" s="3726"/>
      <c r="AG344" s="3726"/>
      <c r="AH344" s="4422"/>
      <c r="AI344" s="3708"/>
      <c r="AJ344" s="4422"/>
      <c r="AK344" s="3708">
        <f t="shared" ref="AK344:AK349" si="171">J344</f>
        <v>720</v>
      </c>
      <c r="AL344" s="3708"/>
      <c r="AM344" s="4154"/>
      <c r="AN344" s="907"/>
      <c r="AO344" s="1048">
        <f t="shared" ref="AO344:AO349" si="172">J344</f>
        <v>720</v>
      </c>
      <c r="AP344" s="4622"/>
      <c r="AQ344" s="907"/>
      <c r="AR344" s="907"/>
      <c r="AS344" s="1048">
        <f t="shared" si="156"/>
        <v>720</v>
      </c>
      <c r="AT344" s="1048"/>
      <c r="AU344" s="907"/>
      <c r="AV344" s="4922"/>
      <c r="AW344" s="4922"/>
      <c r="AX344" s="1048">
        <f>J344/6</f>
        <v>120</v>
      </c>
      <c r="AY344" s="4922"/>
      <c r="AZ344" s="4922"/>
      <c r="BA344" s="1048"/>
      <c r="BB344" s="4622"/>
      <c r="BC344" s="4922"/>
      <c r="BD344" s="4622"/>
      <c r="BE344" s="4622"/>
      <c r="BF344" s="4622"/>
      <c r="BG344" s="4622"/>
      <c r="BH344" s="4622"/>
      <c r="BI344" s="4622"/>
      <c r="BJ344" s="1048"/>
      <c r="BK344" s="4415" t="s">
        <v>89</v>
      </c>
      <c r="BL344" s="4415">
        <f t="shared" si="158"/>
        <v>12</v>
      </c>
      <c r="BM344" s="4415">
        <f t="shared" si="159"/>
        <v>108</v>
      </c>
      <c r="BN344" s="4415">
        <f t="shared" si="160"/>
        <v>120</v>
      </c>
      <c r="BO344" s="4415">
        <f t="shared" si="161"/>
        <v>120</v>
      </c>
      <c r="BP344" s="4415">
        <f t="shared" si="162"/>
        <v>120</v>
      </c>
      <c r="BQ344" s="4414">
        <f t="shared" si="163"/>
        <v>120</v>
      </c>
      <c r="BR344" s="1048">
        <f t="shared" si="164"/>
        <v>120</v>
      </c>
      <c r="BS344" s="4384"/>
      <c r="BT344" s="4462"/>
      <c r="BU344" s="4462"/>
      <c r="BV344" s="4462"/>
      <c r="BW344" s="4462"/>
      <c r="BX344" s="4462"/>
      <c r="BY344" s="4462"/>
      <c r="BZ344" s="3708">
        <f t="shared" si="165"/>
        <v>720</v>
      </c>
      <c r="CA344" s="4154">
        <f t="shared" si="166"/>
        <v>0</v>
      </c>
      <c r="CB344" s="4923"/>
      <c r="CC344" s="4923"/>
      <c r="CD344" s="4323"/>
      <c r="CE344" s="4323"/>
      <c r="CF344" s="4323"/>
    </row>
    <row r="345" s="4316" customFormat="1" ht="50" customHeight="1" spans="1:84">
      <c r="A345" s="4500">
        <v>45855</v>
      </c>
      <c r="B345" s="4501" t="s">
        <v>461</v>
      </c>
      <c r="C345" s="3708" t="s">
        <v>341</v>
      </c>
      <c r="D345" s="4502">
        <v>4500174240</v>
      </c>
      <c r="E345" s="3708">
        <v>50687483</v>
      </c>
      <c r="F345" s="4502" t="s">
        <v>1783</v>
      </c>
      <c r="G345" s="3708"/>
      <c r="H345" s="3708" t="s">
        <v>333</v>
      </c>
      <c r="I345" s="3708" t="s">
        <v>328</v>
      </c>
      <c r="J345" s="4593">
        <v>1512</v>
      </c>
      <c r="K345" s="4154">
        <v>0</v>
      </c>
      <c r="L345" s="4154">
        <v>24</v>
      </c>
      <c r="M345" s="4154">
        <f t="shared" si="169"/>
        <v>63</v>
      </c>
      <c r="N345" s="4503">
        <v>45898</v>
      </c>
      <c r="O345" s="4503">
        <f>N345-4</f>
        <v>45894</v>
      </c>
      <c r="P345" s="3708"/>
      <c r="Q345" s="4154" t="s">
        <v>82</v>
      </c>
      <c r="R345" s="4157"/>
      <c r="S345" s="4157"/>
      <c r="T345" s="4157"/>
      <c r="U345" s="3726"/>
      <c r="V345" s="3711" t="s">
        <v>1768</v>
      </c>
      <c r="W345" s="3711"/>
      <c r="X345" s="3711" t="s">
        <v>98</v>
      </c>
      <c r="Y345" s="3711"/>
      <c r="Z345" s="3711" t="s">
        <v>1784</v>
      </c>
      <c r="AA345" s="4154"/>
      <c r="AB345" s="3680" t="s">
        <v>1785</v>
      </c>
      <c r="AC345" s="4154" t="s">
        <v>87</v>
      </c>
      <c r="AD345" s="4504">
        <v>2.0854</v>
      </c>
      <c r="AE345" s="4154">
        <f t="shared" si="170"/>
        <v>3153.1248</v>
      </c>
      <c r="AF345" s="3726" t="s">
        <v>1786</v>
      </c>
      <c r="AG345" s="3726"/>
      <c r="AH345" s="4422"/>
      <c r="AI345" s="3708"/>
      <c r="AJ345" s="4422"/>
      <c r="AK345" s="3708">
        <f t="shared" si="171"/>
        <v>1512</v>
      </c>
      <c r="AL345" s="3708"/>
      <c r="AM345" s="4154"/>
      <c r="AN345" s="907"/>
      <c r="AO345" s="1048">
        <f t="shared" si="172"/>
        <v>1512</v>
      </c>
      <c r="AP345" s="1048"/>
      <c r="AQ345" s="907"/>
      <c r="AR345" s="907"/>
      <c r="AS345" s="1048">
        <f t="shared" si="156"/>
        <v>1512</v>
      </c>
      <c r="AT345" s="1048"/>
      <c r="AU345" s="907"/>
      <c r="AV345" s="4922"/>
      <c r="AW345" s="4922"/>
      <c r="AX345" s="1048"/>
      <c r="AY345" s="4922"/>
      <c r="AZ345" s="4922"/>
      <c r="BA345" s="1048"/>
      <c r="BB345" s="4622"/>
      <c r="BC345" s="4922"/>
      <c r="BD345" s="4622"/>
      <c r="BE345" s="4622"/>
      <c r="BF345" s="4622"/>
      <c r="BG345" s="4622"/>
      <c r="BH345" s="1048"/>
      <c r="BI345" s="4622"/>
      <c r="BJ345" s="1048"/>
      <c r="BK345" s="4415" t="s">
        <v>89</v>
      </c>
      <c r="BL345" s="4415">
        <f t="shared" si="158"/>
        <v>25.2</v>
      </c>
      <c r="BM345" s="4415">
        <f t="shared" si="159"/>
        <v>226.8</v>
      </c>
      <c r="BN345" s="4415">
        <f t="shared" si="160"/>
        <v>252</v>
      </c>
      <c r="BO345" s="4415">
        <f t="shared" si="161"/>
        <v>252</v>
      </c>
      <c r="BP345" s="4415">
        <f t="shared" si="162"/>
        <v>252</v>
      </c>
      <c r="BQ345" s="4414">
        <f t="shared" si="163"/>
        <v>252</v>
      </c>
      <c r="BR345" s="1048">
        <f t="shared" si="164"/>
        <v>252</v>
      </c>
      <c r="BS345" s="911"/>
      <c r="BT345" s="4462"/>
      <c r="BU345" s="4462"/>
      <c r="BV345" s="4462"/>
      <c r="BW345" s="4462"/>
      <c r="BX345" s="4462"/>
      <c r="BY345" s="4462"/>
      <c r="BZ345" s="3708">
        <f t="shared" si="165"/>
        <v>1512</v>
      </c>
      <c r="CA345" s="4154">
        <f t="shared" si="166"/>
        <v>0</v>
      </c>
      <c r="CB345" s="4923"/>
      <c r="CC345" s="4923"/>
      <c r="CD345" s="4323"/>
      <c r="CE345" s="4323"/>
      <c r="CF345" s="4323"/>
    </row>
    <row r="346" s="4316" customFormat="1" ht="50" customHeight="1" spans="1:84">
      <c r="A346" s="4500">
        <v>45856</v>
      </c>
      <c r="B346" s="4501" t="s">
        <v>1670</v>
      </c>
      <c r="C346" s="3708" t="s">
        <v>471</v>
      </c>
      <c r="D346" s="4502">
        <v>4500174323</v>
      </c>
      <c r="E346" s="3708">
        <v>55699634</v>
      </c>
      <c r="F346" s="4502" t="s">
        <v>1787</v>
      </c>
      <c r="G346" s="3708"/>
      <c r="H346" s="3708" t="s">
        <v>333</v>
      </c>
      <c r="I346" s="3708" t="s">
        <v>328</v>
      </c>
      <c r="J346" s="4593">
        <v>1512</v>
      </c>
      <c r="K346" s="4154">
        <v>0</v>
      </c>
      <c r="L346" s="4154">
        <v>24</v>
      </c>
      <c r="M346" s="4154">
        <f t="shared" si="169"/>
        <v>63</v>
      </c>
      <c r="N346" s="4503">
        <v>45898</v>
      </c>
      <c r="O346" s="4503">
        <v>45894</v>
      </c>
      <c r="P346" s="3708"/>
      <c r="Q346" s="4154" t="s">
        <v>82</v>
      </c>
      <c r="R346" s="4157"/>
      <c r="S346" s="4157"/>
      <c r="T346" s="4157"/>
      <c r="U346" s="3726" t="s">
        <v>236</v>
      </c>
      <c r="V346" s="3711" t="s">
        <v>1768</v>
      </c>
      <c r="W346" s="3711"/>
      <c r="X346" s="3711" t="s">
        <v>98</v>
      </c>
      <c r="Y346" s="3711"/>
      <c r="Z346" s="3711" t="s">
        <v>1784</v>
      </c>
      <c r="AA346" s="4154"/>
      <c r="AB346" s="3680" t="s">
        <v>1788</v>
      </c>
      <c r="AC346" s="4154" t="s">
        <v>87</v>
      </c>
      <c r="AD346" s="4504">
        <v>2.0331</v>
      </c>
      <c r="AE346" s="4154">
        <f t="shared" si="170"/>
        <v>3074.0472</v>
      </c>
      <c r="AF346" s="3726"/>
      <c r="AG346" s="3726"/>
      <c r="AH346" s="4422"/>
      <c r="AI346" s="3708"/>
      <c r="AJ346" s="4422"/>
      <c r="AK346" s="3708">
        <f t="shared" si="171"/>
        <v>1512</v>
      </c>
      <c r="AL346" s="3708"/>
      <c r="AM346" s="4154"/>
      <c r="AN346" s="907"/>
      <c r="AO346" s="1048">
        <f t="shared" si="172"/>
        <v>1512</v>
      </c>
      <c r="AP346" s="1048"/>
      <c r="AQ346" s="907"/>
      <c r="AR346" s="907"/>
      <c r="AS346" s="1048">
        <f t="shared" si="156"/>
        <v>1512</v>
      </c>
      <c r="AT346" s="1048"/>
      <c r="AU346" s="907"/>
      <c r="AV346" s="4922"/>
      <c r="AW346" s="4922"/>
      <c r="AX346" s="1048"/>
      <c r="AY346" s="4922"/>
      <c r="AZ346" s="4922"/>
      <c r="BA346" s="1048"/>
      <c r="BB346" s="4622"/>
      <c r="BC346" s="4922"/>
      <c r="BD346" s="4622"/>
      <c r="BE346" s="4622"/>
      <c r="BF346" s="4622"/>
      <c r="BG346" s="4622"/>
      <c r="BH346" s="1048"/>
      <c r="BI346" s="4622"/>
      <c r="BJ346" s="1048"/>
      <c r="BK346" s="4415" t="s">
        <v>89</v>
      </c>
      <c r="BL346" s="4415">
        <f t="shared" si="158"/>
        <v>25.2</v>
      </c>
      <c r="BM346" s="4415">
        <f t="shared" si="159"/>
        <v>226.8</v>
      </c>
      <c r="BN346" s="4415">
        <f t="shared" si="160"/>
        <v>252</v>
      </c>
      <c r="BO346" s="4415">
        <f t="shared" si="161"/>
        <v>252</v>
      </c>
      <c r="BP346" s="4415">
        <f t="shared" si="162"/>
        <v>252</v>
      </c>
      <c r="BQ346" s="4414">
        <f t="shared" si="163"/>
        <v>252</v>
      </c>
      <c r="BR346" s="1048">
        <f t="shared" si="164"/>
        <v>252</v>
      </c>
      <c r="BS346" s="911"/>
      <c r="BT346" s="4462"/>
      <c r="BU346" s="4462"/>
      <c r="BV346" s="4462"/>
      <c r="BW346" s="4462"/>
      <c r="BX346" s="4462"/>
      <c r="BY346" s="4462"/>
      <c r="BZ346" s="3708">
        <f t="shared" si="165"/>
        <v>1512</v>
      </c>
      <c r="CA346" s="4154">
        <f t="shared" si="166"/>
        <v>0</v>
      </c>
      <c r="CB346" s="4923"/>
      <c r="CC346" s="4923"/>
      <c r="CD346" s="4323"/>
      <c r="CE346" s="4323"/>
      <c r="CF346" s="4323"/>
    </row>
    <row r="347" s="4316" customFormat="1" ht="50" customHeight="1" spans="1:84">
      <c r="A347" s="4500">
        <v>45862</v>
      </c>
      <c r="B347" s="4501" t="s">
        <v>1789</v>
      </c>
      <c r="C347" s="3708" t="s">
        <v>569</v>
      </c>
      <c r="D347" s="4502">
        <v>4500174900</v>
      </c>
      <c r="E347" s="3708" t="s">
        <v>1790</v>
      </c>
      <c r="F347" s="4502" t="s">
        <v>1791</v>
      </c>
      <c r="G347" s="3708"/>
      <c r="H347" s="3708" t="s">
        <v>640</v>
      </c>
      <c r="I347" s="4154" t="s">
        <v>328</v>
      </c>
      <c r="J347" s="4593">
        <v>192</v>
      </c>
      <c r="K347" s="4154">
        <v>0</v>
      </c>
      <c r="L347" s="4154">
        <v>12</v>
      </c>
      <c r="M347" s="4154">
        <f t="shared" si="169"/>
        <v>16</v>
      </c>
      <c r="N347" s="4503">
        <v>45898</v>
      </c>
      <c r="O347" s="4503">
        <v>45894</v>
      </c>
      <c r="P347" s="3708"/>
      <c r="Q347" s="4154" t="s">
        <v>82</v>
      </c>
      <c r="R347" s="4157"/>
      <c r="S347" s="4157"/>
      <c r="T347" s="4157"/>
      <c r="U347" s="3726" t="s">
        <v>1792</v>
      </c>
      <c r="V347" s="3711" t="s">
        <v>1793</v>
      </c>
      <c r="W347" s="3711"/>
      <c r="X347" s="3711" t="s">
        <v>1794</v>
      </c>
      <c r="Y347" s="3711"/>
      <c r="Z347" s="3711"/>
      <c r="AA347" s="4154"/>
      <c r="AB347" s="3680" t="s">
        <v>1795</v>
      </c>
      <c r="AC347" s="4154" t="s">
        <v>1285</v>
      </c>
      <c r="AD347" s="4504">
        <v>2.2104</v>
      </c>
      <c r="AE347" s="4154">
        <f t="shared" si="170"/>
        <v>424.3968</v>
      </c>
      <c r="AF347" s="3726"/>
      <c r="AG347" s="3726"/>
      <c r="AH347" s="4422"/>
      <c r="AI347" s="3708"/>
      <c r="AJ347" s="4422"/>
      <c r="AK347" s="3708">
        <f t="shared" si="171"/>
        <v>192</v>
      </c>
      <c r="AL347" s="3708"/>
      <c r="AM347" s="4154"/>
      <c r="AN347" s="907"/>
      <c r="AO347" s="1048">
        <f t="shared" si="172"/>
        <v>192</v>
      </c>
      <c r="AP347" s="1048"/>
      <c r="AQ347" s="907"/>
      <c r="AR347" s="907"/>
      <c r="AS347" s="1048">
        <f t="shared" si="156"/>
        <v>192</v>
      </c>
      <c r="AT347" s="1048"/>
      <c r="AU347" s="907"/>
      <c r="AV347" s="4922"/>
      <c r="AW347" s="4922"/>
      <c r="AX347" s="1048"/>
      <c r="AY347" s="4922"/>
      <c r="AZ347" s="4922"/>
      <c r="BA347" s="1048"/>
      <c r="BB347" s="4622"/>
      <c r="BC347" s="4922"/>
      <c r="BD347" s="4622"/>
      <c r="BE347" s="4622"/>
      <c r="BF347" s="4622"/>
      <c r="BG347" s="4622"/>
      <c r="BH347" s="1048"/>
      <c r="BI347" s="4622"/>
      <c r="BJ347" s="1048"/>
      <c r="BK347" s="4415" t="s">
        <v>89</v>
      </c>
      <c r="BL347" s="4415"/>
      <c r="BM347" s="4415"/>
      <c r="BN347" s="4415"/>
      <c r="BO347" s="4415"/>
      <c r="BP347" s="1048">
        <f>J347-BS347</f>
        <v>192</v>
      </c>
      <c r="BQ347" s="4414"/>
      <c r="BR347" s="1048"/>
      <c r="BS347" s="911"/>
      <c r="BT347" s="4462"/>
      <c r="BU347" s="4462"/>
      <c r="BV347" s="4462"/>
      <c r="BW347" s="4462"/>
      <c r="BX347" s="4462"/>
      <c r="BY347" s="4462"/>
      <c r="BZ347" s="3708">
        <f t="shared" si="165"/>
        <v>192</v>
      </c>
      <c r="CA347" s="4154">
        <f t="shared" si="166"/>
        <v>0</v>
      </c>
      <c r="CB347" s="4923"/>
      <c r="CC347" s="4923"/>
      <c r="CD347" s="4323"/>
      <c r="CE347" s="4323"/>
      <c r="CF347" s="4323"/>
    </row>
    <row r="348" s="4316" customFormat="1" ht="50" customHeight="1" spans="1:84">
      <c r="A348" s="4500">
        <v>45862</v>
      </c>
      <c r="B348" s="4501" t="s">
        <v>1789</v>
      </c>
      <c r="C348" s="3708" t="s">
        <v>569</v>
      </c>
      <c r="D348" s="4502">
        <v>4500174900</v>
      </c>
      <c r="E348" s="3708" t="s">
        <v>1790</v>
      </c>
      <c r="F348" s="4502" t="s">
        <v>1796</v>
      </c>
      <c r="G348" s="3708"/>
      <c r="H348" s="3708" t="s">
        <v>1290</v>
      </c>
      <c r="I348" s="4154" t="s">
        <v>328</v>
      </c>
      <c r="J348" s="4593">
        <v>192</v>
      </c>
      <c r="K348" s="4154">
        <v>0</v>
      </c>
      <c r="L348" s="4154">
        <v>12</v>
      </c>
      <c r="M348" s="4154">
        <f t="shared" si="169"/>
        <v>16</v>
      </c>
      <c r="N348" s="4503">
        <v>45898</v>
      </c>
      <c r="O348" s="4503">
        <v>45894</v>
      </c>
      <c r="P348" s="3708"/>
      <c r="Q348" s="4154" t="s">
        <v>82</v>
      </c>
      <c r="R348" s="4157"/>
      <c r="S348" s="4157"/>
      <c r="T348" s="4157"/>
      <c r="U348" s="3726" t="s">
        <v>1792</v>
      </c>
      <c r="V348" s="3711" t="s">
        <v>1793</v>
      </c>
      <c r="W348" s="3711"/>
      <c r="X348" s="3711" t="s">
        <v>1794</v>
      </c>
      <c r="Y348" s="3711"/>
      <c r="Z348" s="3711"/>
      <c r="AA348" s="4154"/>
      <c r="AB348" s="3680" t="s">
        <v>1797</v>
      </c>
      <c r="AC348" s="4154" t="s">
        <v>1285</v>
      </c>
      <c r="AD348" s="4504">
        <v>2.2104</v>
      </c>
      <c r="AE348" s="4154">
        <f t="shared" si="170"/>
        <v>424.3968</v>
      </c>
      <c r="AF348" s="3726"/>
      <c r="AG348" s="3726"/>
      <c r="AH348" s="4422"/>
      <c r="AI348" s="3708"/>
      <c r="AJ348" s="4422"/>
      <c r="AK348" s="3708">
        <f t="shared" si="171"/>
        <v>192</v>
      </c>
      <c r="AL348" s="3708"/>
      <c r="AM348" s="4154"/>
      <c r="AN348" s="907"/>
      <c r="AO348" s="1048">
        <f t="shared" si="172"/>
        <v>192</v>
      </c>
      <c r="AP348" s="1048"/>
      <c r="AQ348" s="907"/>
      <c r="AR348" s="907"/>
      <c r="AS348" s="1048">
        <f t="shared" si="156"/>
        <v>192</v>
      </c>
      <c r="AT348" s="1048"/>
      <c r="AU348" s="907"/>
      <c r="AV348" s="4922"/>
      <c r="AW348" s="4922"/>
      <c r="AX348" s="1048"/>
      <c r="AY348" s="4922"/>
      <c r="AZ348" s="4922"/>
      <c r="BA348" s="1048"/>
      <c r="BB348" s="4622"/>
      <c r="BC348" s="4922"/>
      <c r="BD348" s="4622"/>
      <c r="BE348" s="4622"/>
      <c r="BF348" s="4622"/>
      <c r="BG348" s="4622"/>
      <c r="BH348" s="1048"/>
      <c r="BI348" s="4622"/>
      <c r="BJ348" s="1048"/>
      <c r="BK348" s="4415" t="s">
        <v>89</v>
      </c>
      <c r="BL348" s="4415"/>
      <c r="BM348" s="4415">
        <f>J348</f>
        <v>192</v>
      </c>
      <c r="BN348" s="4415"/>
      <c r="BO348" s="4415"/>
      <c r="BP348" s="4415"/>
      <c r="BQ348" s="4414"/>
      <c r="BR348" s="1048"/>
      <c r="BS348" s="911"/>
      <c r="BT348" s="4462"/>
      <c r="BU348" s="4462"/>
      <c r="BV348" s="4462"/>
      <c r="BW348" s="4462"/>
      <c r="BX348" s="4462"/>
      <c r="BY348" s="4462"/>
      <c r="BZ348" s="3708">
        <f t="shared" si="165"/>
        <v>192</v>
      </c>
      <c r="CA348" s="4154">
        <f t="shared" si="166"/>
        <v>0</v>
      </c>
      <c r="CB348" s="4923"/>
      <c r="CC348" s="4923"/>
      <c r="CD348" s="4323"/>
      <c r="CE348" s="4323"/>
      <c r="CF348" s="4323"/>
    </row>
    <row r="349" s="4316" customFormat="1" ht="50" customHeight="1" spans="1:84">
      <c r="A349" s="4500">
        <v>45862</v>
      </c>
      <c r="B349" s="4501" t="s">
        <v>1789</v>
      </c>
      <c r="C349" s="3708" t="s">
        <v>569</v>
      </c>
      <c r="D349" s="4502">
        <v>4500174900</v>
      </c>
      <c r="E349" s="3708" t="s">
        <v>1790</v>
      </c>
      <c r="F349" s="4502" t="s">
        <v>1798</v>
      </c>
      <c r="G349" s="3708"/>
      <c r="H349" s="3708" t="s">
        <v>685</v>
      </c>
      <c r="I349" s="4154" t="s">
        <v>328</v>
      </c>
      <c r="J349" s="4593">
        <v>192</v>
      </c>
      <c r="K349" s="4154">
        <v>0</v>
      </c>
      <c r="L349" s="4154">
        <v>12</v>
      </c>
      <c r="M349" s="4154">
        <f t="shared" si="169"/>
        <v>16</v>
      </c>
      <c r="N349" s="4503">
        <v>45898</v>
      </c>
      <c r="O349" s="4503">
        <v>45894</v>
      </c>
      <c r="P349" s="3708"/>
      <c r="Q349" s="4154" t="s">
        <v>82</v>
      </c>
      <c r="R349" s="4157"/>
      <c r="S349" s="4157"/>
      <c r="T349" s="4157"/>
      <c r="U349" s="3726" t="s">
        <v>1792</v>
      </c>
      <c r="V349" s="3711" t="s">
        <v>1793</v>
      </c>
      <c r="W349" s="3711"/>
      <c r="X349" s="3711" t="s">
        <v>1794</v>
      </c>
      <c r="Y349" s="3711"/>
      <c r="Z349" s="3711"/>
      <c r="AA349" s="4154"/>
      <c r="AB349" s="3680" t="s">
        <v>1799</v>
      </c>
      <c r="AC349" s="4154" t="s">
        <v>1285</v>
      </c>
      <c r="AD349" s="4504">
        <v>2.2104</v>
      </c>
      <c r="AE349" s="4154">
        <f t="shared" si="170"/>
        <v>424.3968</v>
      </c>
      <c r="AF349" s="3726"/>
      <c r="AG349" s="3726"/>
      <c r="AH349" s="4422"/>
      <c r="AI349" s="3708"/>
      <c r="AJ349" s="4422"/>
      <c r="AK349" s="3708">
        <f t="shared" si="171"/>
        <v>192</v>
      </c>
      <c r="AL349" s="3708"/>
      <c r="AM349" s="4154"/>
      <c r="AN349" s="907"/>
      <c r="AO349" s="1048">
        <f t="shared" si="172"/>
        <v>192</v>
      </c>
      <c r="AP349" s="1048"/>
      <c r="AQ349" s="907"/>
      <c r="AR349" s="907"/>
      <c r="AS349" s="1048">
        <f t="shared" si="156"/>
        <v>192</v>
      </c>
      <c r="AT349" s="1048"/>
      <c r="AU349" s="907"/>
      <c r="AV349" s="4922"/>
      <c r="AW349" s="4922"/>
      <c r="AX349" s="1048"/>
      <c r="AY349" s="4922"/>
      <c r="AZ349" s="4922"/>
      <c r="BA349" s="1048"/>
      <c r="BB349" s="4622"/>
      <c r="BC349" s="4922"/>
      <c r="BD349" s="4622"/>
      <c r="BE349" s="4622"/>
      <c r="BF349" s="4622"/>
      <c r="BG349" s="4622"/>
      <c r="BH349" s="1048"/>
      <c r="BI349" s="4622"/>
      <c r="BJ349" s="1048"/>
      <c r="BK349" s="4415" t="s">
        <v>89</v>
      </c>
      <c r="BL349" s="4415"/>
      <c r="BM349" s="4415"/>
      <c r="BN349" s="4415"/>
      <c r="BO349" s="4415"/>
      <c r="BP349" s="4415"/>
      <c r="BQ349" s="1048">
        <f>J349-BS349</f>
        <v>192</v>
      </c>
      <c r="BR349" s="1048"/>
      <c r="BS349" s="911"/>
      <c r="BT349" s="4462"/>
      <c r="BU349" s="4462"/>
      <c r="BV349" s="4462"/>
      <c r="BW349" s="4462"/>
      <c r="BX349" s="4462"/>
      <c r="BY349" s="4462"/>
      <c r="BZ349" s="3708">
        <f t="shared" si="165"/>
        <v>192</v>
      </c>
      <c r="CA349" s="4154">
        <f t="shared" si="166"/>
        <v>0</v>
      </c>
      <c r="CB349" s="4923"/>
      <c r="CC349" s="4923"/>
      <c r="CD349" s="4323"/>
      <c r="CE349" s="4323"/>
      <c r="CF349" s="4323"/>
    </row>
    <row r="350" s="4316" customFormat="1" ht="50" customHeight="1" spans="1:84">
      <c r="A350" s="4500">
        <v>45750</v>
      </c>
      <c r="B350" s="4501" t="s">
        <v>1315</v>
      </c>
      <c r="C350" s="3708" t="s">
        <v>1316</v>
      </c>
      <c r="D350" s="4502">
        <v>4500166280</v>
      </c>
      <c r="E350" s="3708" t="s">
        <v>1800</v>
      </c>
      <c r="F350" s="4502" t="s">
        <v>1801</v>
      </c>
      <c r="G350" s="3708"/>
      <c r="H350" s="3708" t="s">
        <v>1319</v>
      </c>
      <c r="I350" s="3708" t="s">
        <v>1320</v>
      </c>
      <c r="J350" s="4154">
        <v>5660</v>
      </c>
      <c r="K350" s="4154">
        <v>0</v>
      </c>
      <c r="L350" s="4154">
        <v>4</v>
      </c>
      <c r="M350" s="4154">
        <f t="shared" si="169"/>
        <v>1415</v>
      </c>
      <c r="N350" s="4503">
        <v>45885</v>
      </c>
      <c r="O350" s="4503">
        <f>N350-4</f>
        <v>45881</v>
      </c>
      <c r="P350" s="4154" t="s">
        <v>1802</v>
      </c>
      <c r="Q350" s="4154" t="s">
        <v>82</v>
      </c>
      <c r="R350" s="4157"/>
      <c r="S350" s="4157"/>
      <c r="T350" s="4157"/>
      <c r="U350" s="3726" t="s">
        <v>1667</v>
      </c>
      <c r="V350" s="3711" t="s">
        <v>1322</v>
      </c>
      <c r="W350" s="3711"/>
      <c r="X350" s="3711" t="s">
        <v>1323</v>
      </c>
      <c r="Y350" s="3711"/>
      <c r="Z350" s="3711"/>
      <c r="AA350" s="4154" t="s">
        <v>1803</v>
      </c>
      <c r="AB350" s="3680" t="s">
        <v>1748</v>
      </c>
      <c r="AC350" s="4154" t="s">
        <v>1326</v>
      </c>
      <c r="AD350" s="4154">
        <v>16.7342</v>
      </c>
      <c r="AE350" s="4154">
        <f>AD350*M350</f>
        <v>23678.893</v>
      </c>
      <c r="AF350" s="3726"/>
      <c r="AG350" s="3726"/>
      <c r="AH350" s="4422"/>
      <c r="AI350" s="3708"/>
      <c r="AJ350" s="4422"/>
      <c r="AK350" s="3708"/>
      <c r="AL350" s="3708"/>
      <c r="AM350" s="4154">
        <f>J350</f>
        <v>5660</v>
      </c>
      <c r="AN350" s="907"/>
      <c r="AO350" s="1048"/>
      <c r="AP350" s="1048">
        <f>J350</f>
        <v>5660</v>
      </c>
      <c r="AQ350" s="907"/>
      <c r="AR350" s="907"/>
      <c r="AS350" s="1048">
        <f t="shared" si="156"/>
        <v>5660</v>
      </c>
      <c r="AT350" s="1048"/>
      <c r="AU350" s="907"/>
      <c r="AV350" s="4922"/>
      <c r="AW350" s="4922"/>
      <c r="AX350" s="1048"/>
      <c r="AY350" s="4922"/>
      <c r="AZ350" s="4922"/>
      <c r="BA350" s="1048"/>
      <c r="BB350" s="4622"/>
      <c r="BC350" s="4922"/>
      <c r="BD350" s="4622"/>
      <c r="BE350" s="4622"/>
      <c r="BF350" s="4622"/>
      <c r="BG350" s="4622"/>
      <c r="BH350" s="1048"/>
      <c r="BI350" s="4622"/>
      <c r="BJ350" s="1048"/>
      <c r="BK350" s="4415" t="s">
        <v>1327</v>
      </c>
      <c r="BL350" s="4415">
        <f t="shared" ref="BL350:BL362" si="173">J350/60*1</f>
        <v>94.3333333333333</v>
      </c>
      <c r="BM350" s="4415">
        <f t="shared" ref="BM350:BM362" si="174">J350/60*9</f>
        <v>849</v>
      </c>
      <c r="BN350" s="4415">
        <f t="shared" ref="BN350:BN362" si="175">J350/60*10</f>
        <v>943.333333333333</v>
      </c>
      <c r="BO350" s="4415">
        <f t="shared" ref="BO350:BO362" si="176">J350/60*10</f>
        <v>943.333333333333</v>
      </c>
      <c r="BP350" s="4415">
        <f t="shared" ref="BP350:BP362" si="177">J350/60*10</f>
        <v>943.333333333333</v>
      </c>
      <c r="BQ350" s="4414">
        <f t="shared" ref="BQ350:BQ362" si="178">J350/60*10</f>
        <v>943.333333333333</v>
      </c>
      <c r="BR350" s="1048">
        <f t="shared" ref="BR350:BR362" si="179">J350/60*10</f>
        <v>943.333333333333</v>
      </c>
      <c r="BS350" s="4384"/>
      <c r="BT350" s="911"/>
      <c r="BU350" s="911"/>
      <c r="BV350" s="911"/>
      <c r="BW350" s="911"/>
      <c r="BX350" s="910"/>
      <c r="BY350" s="910"/>
      <c r="BZ350" s="3708">
        <f t="shared" si="165"/>
        <v>5660</v>
      </c>
      <c r="CA350" s="4154">
        <f t="shared" si="166"/>
        <v>0</v>
      </c>
      <c r="CB350" s="4923"/>
      <c r="CC350" s="4923"/>
      <c r="CD350" s="4323"/>
      <c r="CE350" s="4323"/>
      <c r="CF350" s="4323"/>
    </row>
    <row r="351" s="4316" customFormat="1" ht="50" customHeight="1" spans="1:84">
      <c r="A351" s="4500">
        <v>45750</v>
      </c>
      <c r="B351" s="4501" t="s">
        <v>1315</v>
      </c>
      <c r="C351" s="3708" t="s">
        <v>1316</v>
      </c>
      <c r="D351" s="4502">
        <v>4500162590</v>
      </c>
      <c r="E351" s="3708" t="s">
        <v>1804</v>
      </c>
      <c r="F351" s="4615" t="s">
        <v>1805</v>
      </c>
      <c r="G351" s="3708"/>
      <c r="H351" s="3708" t="s">
        <v>1319</v>
      </c>
      <c r="I351" s="3708" t="s">
        <v>1320</v>
      </c>
      <c r="J351" s="4154">
        <v>3600</v>
      </c>
      <c r="K351" s="4154">
        <v>0</v>
      </c>
      <c r="L351" s="4154">
        <v>4</v>
      </c>
      <c r="M351" s="4154">
        <f t="shared" si="169"/>
        <v>900</v>
      </c>
      <c r="N351" s="4503">
        <v>45887</v>
      </c>
      <c r="O351" s="4503">
        <f>N351-4</f>
        <v>45883</v>
      </c>
      <c r="P351" s="3712"/>
      <c r="Q351" s="4154" t="s">
        <v>82</v>
      </c>
      <c r="R351" s="4157"/>
      <c r="S351" s="4157"/>
      <c r="T351" s="4157"/>
      <c r="U351" s="3726" t="s">
        <v>1806</v>
      </c>
      <c r="V351" s="3711" t="s">
        <v>1322</v>
      </c>
      <c r="W351" s="3711"/>
      <c r="X351" s="3711" t="s">
        <v>1379</v>
      </c>
      <c r="Y351" s="3711"/>
      <c r="Z351" s="3711"/>
      <c r="AA351" s="4154" t="s">
        <v>1807</v>
      </c>
      <c r="AB351" s="3680" t="s">
        <v>1776</v>
      </c>
      <c r="AC351" s="4154" t="s">
        <v>1326</v>
      </c>
      <c r="AD351" s="4154">
        <v>16.8314</v>
      </c>
      <c r="AE351" s="4154">
        <f>AD351*M351</f>
        <v>15148.26</v>
      </c>
      <c r="AF351" s="3726"/>
      <c r="AG351" s="3726"/>
      <c r="AH351" s="4422"/>
      <c r="AI351" s="3708"/>
      <c r="AJ351" s="4422"/>
      <c r="AK351" s="3708"/>
      <c r="AL351" s="3708"/>
      <c r="AM351" s="4154">
        <f>J351</f>
        <v>3600</v>
      </c>
      <c r="AN351" s="907"/>
      <c r="AO351" s="1048"/>
      <c r="AP351" s="1048">
        <f>J351</f>
        <v>3600</v>
      </c>
      <c r="AQ351" s="907"/>
      <c r="AR351" s="907"/>
      <c r="AS351" s="1048">
        <f t="shared" si="156"/>
        <v>3600</v>
      </c>
      <c r="AT351" s="1048"/>
      <c r="AU351" s="907"/>
      <c r="AV351" s="4922"/>
      <c r="AW351" s="4922"/>
      <c r="AX351" s="1048"/>
      <c r="AY351" s="4922"/>
      <c r="AZ351" s="4922"/>
      <c r="BA351" s="1048"/>
      <c r="BB351" s="4622"/>
      <c r="BC351" s="4922"/>
      <c r="BD351" s="4622"/>
      <c r="BE351" s="4622"/>
      <c r="BF351" s="4622"/>
      <c r="BG351" s="4622"/>
      <c r="BH351" s="1048"/>
      <c r="BI351" s="4622"/>
      <c r="BJ351" s="1048"/>
      <c r="BK351" s="4415" t="s">
        <v>1327</v>
      </c>
      <c r="BL351" s="4415">
        <f t="shared" si="173"/>
        <v>60</v>
      </c>
      <c r="BM351" s="4415">
        <f t="shared" si="174"/>
        <v>540</v>
      </c>
      <c r="BN351" s="4415">
        <f t="shared" si="175"/>
        <v>600</v>
      </c>
      <c r="BO351" s="4415">
        <f t="shared" si="176"/>
        <v>600</v>
      </c>
      <c r="BP351" s="4415">
        <f t="shared" si="177"/>
        <v>600</v>
      </c>
      <c r="BQ351" s="4414">
        <f t="shared" si="178"/>
        <v>600</v>
      </c>
      <c r="BR351" s="1048">
        <f t="shared" si="179"/>
        <v>600</v>
      </c>
      <c r="BS351" s="4384"/>
      <c r="BT351" s="911"/>
      <c r="BU351" s="911"/>
      <c r="BV351" s="911"/>
      <c r="BW351" s="911"/>
      <c r="BX351" s="910"/>
      <c r="BY351" s="910"/>
      <c r="BZ351" s="3708">
        <f t="shared" si="165"/>
        <v>3600</v>
      </c>
      <c r="CA351" s="4154">
        <f t="shared" si="166"/>
        <v>0</v>
      </c>
      <c r="CB351" s="4923"/>
      <c r="CC351" s="4923"/>
      <c r="CD351" s="4323"/>
      <c r="CE351" s="4323"/>
      <c r="CF351" s="4323"/>
    </row>
    <row r="352" s="4316" customFormat="1" ht="50" customHeight="1" spans="1:84">
      <c r="A352" s="4500">
        <v>45750</v>
      </c>
      <c r="B352" s="4501" t="s">
        <v>1315</v>
      </c>
      <c r="C352" s="3708" t="s">
        <v>1316</v>
      </c>
      <c r="D352" s="4502">
        <v>4500162590</v>
      </c>
      <c r="E352" s="3708" t="s">
        <v>1808</v>
      </c>
      <c r="F352" s="4615" t="s">
        <v>1809</v>
      </c>
      <c r="G352" s="3708"/>
      <c r="H352" s="3708" t="s">
        <v>1319</v>
      </c>
      <c r="I352" s="3708" t="s">
        <v>1320</v>
      </c>
      <c r="J352" s="4154">
        <v>5092</v>
      </c>
      <c r="K352" s="4154">
        <v>0</v>
      </c>
      <c r="L352" s="4154">
        <v>4</v>
      </c>
      <c r="M352" s="4154">
        <f t="shared" si="169"/>
        <v>1273</v>
      </c>
      <c r="N352" s="4503">
        <v>45887</v>
      </c>
      <c r="O352" s="4503">
        <f>N352-4</f>
        <v>45883</v>
      </c>
      <c r="P352" s="3712"/>
      <c r="Q352" s="4154" t="s">
        <v>82</v>
      </c>
      <c r="R352" s="4157"/>
      <c r="S352" s="4157"/>
      <c r="T352" s="4157"/>
      <c r="U352" s="3726" t="s">
        <v>228</v>
      </c>
      <c r="V352" s="3711" t="s">
        <v>1322</v>
      </c>
      <c r="W352" s="3711"/>
      <c r="X352" s="3711" t="s">
        <v>1379</v>
      </c>
      <c r="Y352" s="3711"/>
      <c r="Z352" s="3711"/>
      <c r="AA352" s="4154" t="s">
        <v>1810</v>
      </c>
      <c r="AB352" s="3680" t="s">
        <v>1776</v>
      </c>
      <c r="AC352" s="4154" t="s">
        <v>1326</v>
      </c>
      <c r="AD352" s="4154">
        <v>16.7342</v>
      </c>
      <c r="AE352" s="4154">
        <f>AD352*M352</f>
        <v>21302.6366</v>
      </c>
      <c r="AF352" s="3726"/>
      <c r="AG352" s="3726"/>
      <c r="AH352" s="4422"/>
      <c r="AI352" s="3708"/>
      <c r="AJ352" s="4422"/>
      <c r="AK352" s="3708"/>
      <c r="AL352" s="3708"/>
      <c r="AM352" s="4154">
        <f>J352</f>
        <v>5092</v>
      </c>
      <c r="AN352" s="907"/>
      <c r="AO352" s="1048"/>
      <c r="AP352" s="1048">
        <f>J352</f>
        <v>5092</v>
      </c>
      <c r="AQ352" s="907"/>
      <c r="AR352" s="907"/>
      <c r="AS352" s="1048">
        <f t="shared" si="156"/>
        <v>5092</v>
      </c>
      <c r="AT352" s="1048"/>
      <c r="AU352" s="907"/>
      <c r="AV352" s="4922"/>
      <c r="AW352" s="4922"/>
      <c r="AX352" s="1048"/>
      <c r="AY352" s="4922"/>
      <c r="AZ352" s="4922"/>
      <c r="BA352" s="1048"/>
      <c r="BB352" s="4622"/>
      <c r="BC352" s="4922"/>
      <c r="BD352" s="4622"/>
      <c r="BE352" s="4622"/>
      <c r="BF352" s="4622"/>
      <c r="BG352" s="4622"/>
      <c r="BH352" s="1048"/>
      <c r="BI352" s="4622"/>
      <c r="BJ352" s="1048"/>
      <c r="BK352" s="4415" t="s">
        <v>1327</v>
      </c>
      <c r="BL352" s="4415">
        <f t="shared" si="173"/>
        <v>84.8666666666667</v>
      </c>
      <c r="BM352" s="4415">
        <f t="shared" si="174"/>
        <v>763.8</v>
      </c>
      <c r="BN352" s="4415">
        <f t="shared" si="175"/>
        <v>848.666666666667</v>
      </c>
      <c r="BO352" s="4415">
        <f t="shared" si="176"/>
        <v>848.666666666667</v>
      </c>
      <c r="BP352" s="4415">
        <f t="shared" si="177"/>
        <v>848.666666666667</v>
      </c>
      <c r="BQ352" s="4414">
        <f t="shared" si="178"/>
        <v>848.666666666667</v>
      </c>
      <c r="BR352" s="1048">
        <f t="shared" si="179"/>
        <v>848.666666666667</v>
      </c>
      <c r="BS352" s="4384"/>
      <c r="BT352" s="911"/>
      <c r="BU352" s="911"/>
      <c r="BV352" s="911"/>
      <c r="BW352" s="911"/>
      <c r="BX352" s="910"/>
      <c r="BY352" s="910"/>
      <c r="BZ352" s="3708">
        <f t="shared" si="165"/>
        <v>5092</v>
      </c>
      <c r="CA352" s="4154">
        <f t="shared" si="166"/>
        <v>0</v>
      </c>
      <c r="CB352" s="4923"/>
      <c r="CC352" s="4923"/>
      <c r="CD352" s="4323"/>
      <c r="CE352" s="4323"/>
      <c r="CF352" s="4323"/>
    </row>
    <row r="353" s="4316" customFormat="1" ht="50" customHeight="1" spans="1:84">
      <c r="A353" s="4500">
        <v>45750</v>
      </c>
      <c r="B353" s="4501" t="s">
        <v>1315</v>
      </c>
      <c r="C353" s="3708" t="s">
        <v>1316</v>
      </c>
      <c r="D353" s="4502">
        <v>4500162590</v>
      </c>
      <c r="E353" s="3708" t="s">
        <v>1811</v>
      </c>
      <c r="F353" s="4615" t="s">
        <v>1812</v>
      </c>
      <c r="G353" s="3708"/>
      <c r="H353" s="3708" t="s">
        <v>1319</v>
      </c>
      <c r="I353" s="3708" t="s">
        <v>1320</v>
      </c>
      <c r="J353" s="4154">
        <v>1200</v>
      </c>
      <c r="K353" s="4154">
        <v>0</v>
      </c>
      <c r="L353" s="4154">
        <v>4</v>
      </c>
      <c r="M353" s="4154">
        <f t="shared" si="169"/>
        <v>300</v>
      </c>
      <c r="N353" s="4503">
        <v>45892</v>
      </c>
      <c r="O353" s="4503">
        <f>N353-4</f>
        <v>45888</v>
      </c>
      <c r="P353" s="3712"/>
      <c r="Q353" s="4154" t="s">
        <v>82</v>
      </c>
      <c r="R353" s="4157"/>
      <c r="S353" s="4157"/>
      <c r="T353" s="4157"/>
      <c r="U353" s="3726" t="s">
        <v>1813</v>
      </c>
      <c r="V353" s="3711" t="s">
        <v>1322</v>
      </c>
      <c r="W353" s="3711"/>
      <c r="X353" s="3711" t="s">
        <v>1379</v>
      </c>
      <c r="Y353" s="3711"/>
      <c r="Z353" s="3711"/>
      <c r="AA353" s="4154" t="s">
        <v>1814</v>
      </c>
      <c r="AB353" s="3680" t="s">
        <v>1376</v>
      </c>
      <c r="AC353" s="4154" t="s">
        <v>1326</v>
      </c>
      <c r="AD353" s="4154">
        <v>16.8855</v>
      </c>
      <c r="AE353" s="4154">
        <f>AD353*M353</f>
        <v>5065.65</v>
      </c>
      <c r="AF353" s="3726"/>
      <c r="AG353" s="3726"/>
      <c r="AH353" s="4430"/>
      <c r="AI353" s="3708"/>
      <c r="AJ353" s="4430"/>
      <c r="AK353" s="3708"/>
      <c r="AL353" s="3708"/>
      <c r="AM353" s="4154">
        <f>J353</f>
        <v>1200</v>
      </c>
      <c r="AN353" s="4413"/>
      <c r="AO353" s="1048"/>
      <c r="AP353" s="1048">
        <f>J353</f>
        <v>1200</v>
      </c>
      <c r="AQ353" s="4413"/>
      <c r="AR353" s="4413"/>
      <c r="AS353" s="1048">
        <f t="shared" si="156"/>
        <v>1200</v>
      </c>
      <c r="AT353" s="1048"/>
      <c r="AU353" s="4413"/>
      <c r="AV353" s="4939"/>
      <c r="AW353" s="4939"/>
      <c r="AX353" s="1048"/>
      <c r="AY353" s="4939"/>
      <c r="AZ353" s="4939"/>
      <c r="BA353" s="1048"/>
      <c r="BB353" s="4622"/>
      <c r="BC353" s="4939"/>
      <c r="BD353" s="4622"/>
      <c r="BE353" s="4622"/>
      <c r="BF353" s="4622"/>
      <c r="BG353" s="4622"/>
      <c r="BH353" s="1048"/>
      <c r="BI353" s="4622"/>
      <c r="BJ353" s="1048"/>
      <c r="BK353" s="4415" t="s">
        <v>1327</v>
      </c>
      <c r="BL353" s="4415">
        <f t="shared" si="173"/>
        <v>20</v>
      </c>
      <c r="BM353" s="4415">
        <f t="shared" si="174"/>
        <v>180</v>
      </c>
      <c r="BN353" s="4415">
        <f t="shared" si="175"/>
        <v>200</v>
      </c>
      <c r="BO353" s="4415">
        <f t="shared" si="176"/>
        <v>200</v>
      </c>
      <c r="BP353" s="4415">
        <f t="shared" si="177"/>
        <v>200</v>
      </c>
      <c r="BQ353" s="4414">
        <f t="shared" si="178"/>
        <v>200</v>
      </c>
      <c r="BR353" s="1048">
        <f t="shared" si="179"/>
        <v>200</v>
      </c>
      <c r="BS353" s="4415"/>
      <c r="BT353" s="4432"/>
      <c r="BU353" s="4432"/>
      <c r="BV353" s="4432"/>
      <c r="BW353" s="4432"/>
      <c r="BX353" s="4431"/>
      <c r="BY353" s="4431"/>
      <c r="BZ353" s="3708">
        <f t="shared" si="165"/>
        <v>1200</v>
      </c>
      <c r="CA353" s="4154">
        <f t="shared" si="166"/>
        <v>0</v>
      </c>
      <c r="CB353" s="4591"/>
      <c r="CC353" s="4591"/>
      <c r="CD353" s="4323"/>
      <c r="CE353" s="4323"/>
      <c r="CF353" s="4323"/>
    </row>
    <row r="354" s="4316" customFormat="1" ht="50" customHeight="1" spans="1:84">
      <c r="A354" s="4500">
        <v>45840</v>
      </c>
      <c r="B354" s="3708" t="s">
        <v>90</v>
      </c>
      <c r="C354" s="3708" t="s">
        <v>91</v>
      </c>
      <c r="D354" s="4154">
        <v>4500172378</v>
      </c>
      <c r="E354" s="3708" t="s">
        <v>1815</v>
      </c>
      <c r="F354" s="3708" t="s">
        <v>1816</v>
      </c>
      <c r="G354" s="3708"/>
      <c r="H354" s="3708" t="s">
        <v>333</v>
      </c>
      <c r="I354" s="3708" t="s">
        <v>328</v>
      </c>
      <c r="J354" s="4593">
        <v>4800</v>
      </c>
      <c r="K354" s="4154">
        <v>0</v>
      </c>
      <c r="L354" s="4154">
        <v>24</v>
      </c>
      <c r="M354" s="4154">
        <f t="shared" si="169"/>
        <v>200</v>
      </c>
      <c r="N354" s="4503">
        <v>45891</v>
      </c>
      <c r="O354" s="4503">
        <v>45887</v>
      </c>
      <c r="P354" s="4154"/>
      <c r="Q354" s="4154" t="s">
        <v>82</v>
      </c>
      <c r="R354" s="4157"/>
      <c r="S354" s="4157"/>
      <c r="T354" s="4157"/>
      <c r="U354" s="3726" t="s">
        <v>1817</v>
      </c>
      <c r="V354" s="3711" t="s">
        <v>1644</v>
      </c>
      <c r="W354" s="3711"/>
      <c r="X354" s="3711" t="s">
        <v>98</v>
      </c>
      <c r="Y354" s="3711"/>
      <c r="Z354" s="3711" t="s">
        <v>1818</v>
      </c>
      <c r="AA354" s="4154"/>
      <c r="AB354" s="3713" t="s">
        <v>100</v>
      </c>
      <c r="AC354" s="3711" t="s">
        <v>101</v>
      </c>
      <c r="AD354" s="4504">
        <v>1.2491</v>
      </c>
      <c r="AE354" s="4154">
        <f t="shared" ref="AE354:AE359" si="180">J354*AD354</f>
        <v>5995.68</v>
      </c>
      <c r="AF354" s="3726"/>
      <c r="AG354" s="3726"/>
      <c r="AH354" s="4430"/>
      <c r="AI354" s="3708">
        <f>J354</f>
        <v>4800</v>
      </c>
      <c r="AJ354" s="4430"/>
      <c r="AK354" s="3708"/>
      <c r="AL354" s="3708"/>
      <c r="AM354" s="4154"/>
      <c r="AN354" s="4413"/>
      <c r="AO354" s="1048">
        <f>J354</f>
        <v>4800</v>
      </c>
      <c r="AP354" s="1048"/>
      <c r="AQ354" s="4413"/>
      <c r="AR354" s="4413"/>
      <c r="AS354" s="1048">
        <f t="shared" si="156"/>
        <v>4800</v>
      </c>
      <c r="AT354" s="1048"/>
      <c r="AU354" s="4413"/>
      <c r="AV354" s="4939"/>
      <c r="AW354" s="4939"/>
      <c r="AX354" s="1048"/>
      <c r="AY354" s="4939"/>
      <c r="AZ354" s="4939"/>
      <c r="BA354" s="1048"/>
      <c r="BB354" s="4622"/>
      <c r="BC354" s="4939"/>
      <c r="BD354" s="4622"/>
      <c r="BE354" s="4622"/>
      <c r="BF354" s="4622"/>
      <c r="BG354" s="4622"/>
      <c r="BH354" s="4622"/>
      <c r="BI354" s="4622"/>
      <c r="BJ354" s="1048"/>
      <c r="BK354" s="4415" t="s">
        <v>89</v>
      </c>
      <c r="BL354" s="4415">
        <f t="shared" si="173"/>
        <v>80</v>
      </c>
      <c r="BM354" s="4415">
        <f t="shared" si="174"/>
        <v>720</v>
      </c>
      <c r="BN354" s="4415">
        <f t="shared" si="175"/>
        <v>800</v>
      </c>
      <c r="BO354" s="4415">
        <f t="shared" si="176"/>
        <v>800</v>
      </c>
      <c r="BP354" s="4415">
        <f t="shared" si="177"/>
        <v>800</v>
      </c>
      <c r="BQ354" s="4414">
        <f t="shared" si="178"/>
        <v>800</v>
      </c>
      <c r="BR354" s="1048">
        <f t="shared" si="179"/>
        <v>800</v>
      </c>
      <c r="BS354" s="4432"/>
      <c r="BT354" s="4447"/>
      <c r="BU354" s="4447"/>
      <c r="BV354" s="4447"/>
      <c r="BW354" s="4447"/>
      <c r="BX354" s="4447"/>
      <c r="BY354" s="4447"/>
      <c r="BZ354" s="3708">
        <f t="shared" si="165"/>
        <v>4800</v>
      </c>
      <c r="CA354" s="4154">
        <f t="shared" si="166"/>
        <v>0</v>
      </c>
      <c r="CB354" s="4591"/>
      <c r="CC354" s="4591"/>
      <c r="CD354" s="4323"/>
      <c r="CE354" s="4323"/>
      <c r="CF354" s="4323"/>
    </row>
    <row r="355" s="4316" customFormat="1" ht="50" customHeight="1" spans="1:84">
      <c r="A355" s="4500">
        <v>45840</v>
      </c>
      <c r="B355" s="3708" t="s">
        <v>90</v>
      </c>
      <c r="C355" s="3708" t="s">
        <v>91</v>
      </c>
      <c r="D355" s="4154">
        <v>4500172374</v>
      </c>
      <c r="E355" s="3708" t="s">
        <v>1819</v>
      </c>
      <c r="F355" s="3708" t="s">
        <v>1820</v>
      </c>
      <c r="G355" s="3708"/>
      <c r="H355" s="3708" t="s">
        <v>333</v>
      </c>
      <c r="I355" s="3708" t="s">
        <v>328</v>
      </c>
      <c r="J355" s="4593">
        <v>4608</v>
      </c>
      <c r="K355" s="4154">
        <v>0</v>
      </c>
      <c r="L355" s="4154">
        <v>24</v>
      </c>
      <c r="M355" s="4154">
        <f t="shared" si="169"/>
        <v>192</v>
      </c>
      <c r="N355" s="4503">
        <v>45891</v>
      </c>
      <c r="O355" s="4503">
        <f>N355-4</f>
        <v>45887</v>
      </c>
      <c r="P355" s="4154"/>
      <c r="Q355" s="4154" t="s">
        <v>82</v>
      </c>
      <c r="R355" s="4157"/>
      <c r="S355" s="4157"/>
      <c r="T355" s="4157"/>
      <c r="U355" s="3726" t="s">
        <v>1821</v>
      </c>
      <c r="V355" s="3711" t="s">
        <v>1676</v>
      </c>
      <c r="W355" s="3711"/>
      <c r="X355" s="3711" t="s">
        <v>98</v>
      </c>
      <c r="Y355" s="3711"/>
      <c r="Z355" s="3711" t="s">
        <v>1818</v>
      </c>
      <c r="AA355" s="4154"/>
      <c r="AB355" s="3713" t="s">
        <v>100</v>
      </c>
      <c r="AC355" s="3711" t="s">
        <v>101</v>
      </c>
      <c r="AD355" s="4504">
        <v>1.2491</v>
      </c>
      <c r="AE355" s="4154">
        <f t="shared" si="180"/>
        <v>5755.8528</v>
      </c>
      <c r="AF355" s="3726"/>
      <c r="AG355" s="3726"/>
      <c r="AH355" s="4430"/>
      <c r="AI355" s="3708">
        <f>J355</f>
        <v>4608</v>
      </c>
      <c r="AJ355" s="4430"/>
      <c r="AK355" s="3708"/>
      <c r="AL355" s="3708"/>
      <c r="AM355" s="4154"/>
      <c r="AN355" s="4413"/>
      <c r="AO355" s="1048">
        <f>J355</f>
        <v>4608</v>
      </c>
      <c r="AP355" s="1048"/>
      <c r="AQ355" s="4413"/>
      <c r="AR355" s="4413"/>
      <c r="AS355" s="1048">
        <f t="shared" si="156"/>
        <v>4608</v>
      </c>
      <c r="AT355" s="1048"/>
      <c r="AU355" s="4413"/>
      <c r="AV355" s="4939"/>
      <c r="AW355" s="4939"/>
      <c r="AX355" s="1048"/>
      <c r="AY355" s="4939"/>
      <c r="AZ355" s="4939"/>
      <c r="BA355" s="1048"/>
      <c r="BB355" s="4622"/>
      <c r="BC355" s="4939"/>
      <c r="BD355" s="4622"/>
      <c r="BE355" s="4622"/>
      <c r="BF355" s="4622"/>
      <c r="BG355" s="4622"/>
      <c r="BH355" s="4622"/>
      <c r="BI355" s="4622"/>
      <c r="BJ355" s="1048"/>
      <c r="BK355" s="4415" t="s">
        <v>89</v>
      </c>
      <c r="BL355" s="4415">
        <f t="shared" si="173"/>
        <v>76.8</v>
      </c>
      <c r="BM355" s="4415">
        <f t="shared" si="174"/>
        <v>691.2</v>
      </c>
      <c r="BN355" s="4415">
        <f t="shared" si="175"/>
        <v>768</v>
      </c>
      <c r="BO355" s="4415">
        <f t="shared" si="176"/>
        <v>768</v>
      </c>
      <c r="BP355" s="4415">
        <f t="shared" si="177"/>
        <v>768</v>
      </c>
      <c r="BQ355" s="4414">
        <f t="shared" si="178"/>
        <v>768</v>
      </c>
      <c r="BR355" s="1048">
        <f t="shared" si="179"/>
        <v>768</v>
      </c>
      <c r="BS355" s="4432"/>
      <c r="BT355" s="4447"/>
      <c r="BU355" s="4447"/>
      <c r="BV355" s="4447"/>
      <c r="BW355" s="4447"/>
      <c r="BX355" s="4447"/>
      <c r="BY355" s="4447"/>
      <c r="BZ355" s="3708">
        <f t="shared" si="165"/>
        <v>4608</v>
      </c>
      <c r="CA355" s="4154">
        <f t="shared" si="166"/>
        <v>0</v>
      </c>
      <c r="CB355" s="4591"/>
      <c r="CC355" s="4591"/>
      <c r="CD355" s="4323"/>
      <c r="CE355" s="4323"/>
      <c r="CF355" s="4323"/>
    </row>
    <row r="356" s="4316" customFormat="1" ht="50" customHeight="1" spans="1:84">
      <c r="A356" s="4500">
        <v>45862</v>
      </c>
      <c r="B356" s="4501" t="s">
        <v>1822</v>
      </c>
      <c r="C356" s="3708" t="s">
        <v>673</v>
      </c>
      <c r="D356" s="4502" t="s">
        <v>1823</v>
      </c>
      <c r="E356" s="3708"/>
      <c r="F356" s="4615"/>
      <c r="G356" s="3708"/>
      <c r="H356" s="3708" t="s">
        <v>327</v>
      </c>
      <c r="I356" s="4154" t="s">
        <v>328</v>
      </c>
      <c r="J356" s="4154">
        <v>1452</v>
      </c>
      <c r="K356" s="4154">
        <v>0</v>
      </c>
      <c r="L356" s="4154">
        <v>12</v>
      </c>
      <c r="M356" s="4154">
        <f t="shared" si="169"/>
        <v>121</v>
      </c>
      <c r="N356" s="4503">
        <v>45890</v>
      </c>
      <c r="O356" s="4503">
        <v>45887</v>
      </c>
      <c r="P356" s="3708" t="s">
        <v>1824</v>
      </c>
      <c r="Q356" s="4154" t="s">
        <v>82</v>
      </c>
      <c r="R356" s="4157"/>
      <c r="S356" s="4157"/>
      <c r="T356" s="4157"/>
      <c r="U356" s="3726"/>
      <c r="V356" s="3711" t="s">
        <v>335</v>
      </c>
      <c r="W356" s="3711"/>
      <c r="X356" s="3711" t="s">
        <v>1825</v>
      </c>
      <c r="Y356" s="3711"/>
      <c r="Z356" s="3711"/>
      <c r="AA356" s="4154"/>
      <c r="AB356" s="3680" t="s">
        <v>1826</v>
      </c>
      <c r="AC356" s="4154" t="s">
        <v>1827</v>
      </c>
      <c r="AD356" s="4504">
        <v>2.0898</v>
      </c>
      <c r="AE356" s="4154">
        <f t="shared" si="180"/>
        <v>3034.3896</v>
      </c>
      <c r="AF356" s="3726"/>
      <c r="AG356" s="3726"/>
      <c r="AH356" s="4422"/>
      <c r="AI356" s="3708">
        <f>J356</f>
        <v>1452</v>
      </c>
      <c r="AJ356" s="4422"/>
      <c r="AK356" s="3708"/>
      <c r="AL356" s="3708"/>
      <c r="AM356" s="4154"/>
      <c r="AN356" s="907"/>
      <c r="AO356" s="1048"/>
      <c r="AP356" s="1048">
        <f>J356</f>
        <v>1452</v>
      </c>
      <c r="AQ356" s="907"/>
      <c r="AR356" s="907"/>
      <c r="AS356" s="1048"/>
      <c r="AT356" s="1048">
        <f>J356</f>
        <v>1452</v>
      </c>
      <c r="AU356" s="907"/>
      <c r="AV356" s="4922"/>
      <c r="AW356" s="4922"/>
      <c r="AX356" s="1048">
        <f>J356/6</f>
        <v>242</v>
      </c>
      <c r="AY356" s="4922"/>
      <c r="AZ356" s="4922"/>
      <c r="BA356" s="1048"/>
      <c r="BB356" s="4622"/>
      <c r="BC356" s="4922"/>
      <c r="BD356" s="4622"/>
      <c r="BE356" s="4622"/>
      <c r="BF356" s="4622"/>
      <c r="BG356" s="4622"/>
      <c r="BH356" s="1048"/>
      <c r="BI356" s="4622"/>
      <c r="BJ356" s="1048"/>
      <c r="BK356" s="4415" t="s">
        <v>682</v>
      </c>
      <c r="BL356" s="4415">
        <f t="shared" si="173"/>
        <v>24.2</v>
      </c>
      <c r="BM356" s="4415">
        <f t="shared" si="174"/>
        <v>217.8</v>
      </c>
      <c r="BN356" s="4415">
        <f t="shared" si="175"/>
        <v>242</v>
      </c>
      <c r="BO356" s="4415">
        <f t="shared" si="176"/>
        <v>242</v>
      </c>
      <c r="BP356" s="4415">
        <f t="shared" si="177"/>
        <v>242</v>
      </c>
      <c r="BQ356" s="4414">
        <f t="shared" si="178"/>
        <v>242</v>
      </c>
      <c r="BR356" s="1048">
        <f t="shared" si="179"/>
        <v>242</v>
      </c>
      <c r="BS356" s="911"/>
      <c r="BT356" s="911"/>
      <c r="BU356" s="911"/>
      <c r="BV356" s="911"/>
      <c r="BW356" s="911"/>
      <c r="BX356" s="910"/>
      <c r="BY356" s="910"/>
      <c r="BZ356" s="3708">
        <f t="shared" si="165"/>
        <v>1452</v>
      </c>
      <c r="CA356" s="4154">
        <f t="shared" si="166"/>
        <v>0</v>
      </c>
      <c r="CB356" s="4923"/>
      <c r="CC356" s="4923"/>
      <c r="CD356" s="4323"/>
      <c r="CE356" s="4323"/>
      <c r="CF356" s="4323"/>
    </row>
    <row r="357" s="4316" customFormat="1" ht="50" customHeight="1" spans="1:84">
      <c r="A357" s="4500">
        <v>45862</v>
      </c>
      <c r="B357" s="4501" t="s">
        <v>1822</v>
      </c>
      <c r="C357" s="3708" t="s">
        <v>673</v>
      </c>
      <c r="D357" s="4502" t="s">
        <v>1823</v>
      </c>
      <c r="E357" s="3708"/>
      <c r="F357" s="4615"/>
      <c r="G357" s="3708"/>
      <c r="H357" s="3708" t="s">
        <v>327</v>
      </c>
      <c r="I357" s="4154" t="s">
        <v>328</v>
      </c>
      <c r="J357" s="4154">
        <v>3552</v>
      </c>
      <c r="K357" s="4154">
        <v>0</v>
      </c>
      <c r="L357" s="4154">
        <v>12</v>
      </c>
      <c r="M357" s="4154">
        <f t="shared" si="169"/>
        <v>296</v>
      </c>
      <c r="N357" s="4503">
        <v>45890</v>
      </c>
      <c r="O357" s="4503">
        <v>45887</v>
      </c>
      <c r="P357" s="3708" t="s">
        <v>1824</v>
      </c>
      <c r="Q357" s="4154" t="s">
        <v>82</v>
      </c>
      <c r="R357" s="4157"/>
      <c r="S357" s="4157"/>
      <c r="T357" s="4157"/>
      <c r="U357" s="3726"/>
      <c r="V357" s="3711" t="s">
        <v>335</v>
      </c>
      <c r="W357" s="3711"/>
      <c r="X357" s="3711" t="s">
        <v>1825</v>
      </c>
      <c r="Y357" s="3711"/>
      <c r="Z357" s="3711"/>
      <c r="AA357" s="4154"/>
      <c r="AB357" s="3680" t="s">
        <v>1826</v>
      </c>
      <c r="AC357" s="4154" t="s">
        <v>1827</v>
      </c>
      <c r="AD357" s="4504">
        <v>2.0862</v>
      </c>
      <c r="AE357" s="4154">
        <f t="shared" si="180"/>
        <v>7410.1824</v>
      </c>
      <c r="AF357" s="3726" t="s">
        <v>1828</v>
      </c>
      <c r="AG357" s="3726"/>
      <c r="AH357" s="4422"/>
      <c r="AI357" s="3708">
        <f>J357</f>
        <v>3552</v>
      </c>
      <c r="AJ357" s="4422"/>
      <c r="AK357" s="3708"/>
      <c r="AL357" s="3708"/>
      <c r="AM357" s="4154"/>
      <c r="AN357" s="907"/>
      <c r="AO357" s="1048"/>
      <c r="AP357" s="1048">
        <f>J357</f>
        <v>3552</v>
      </c>
      <c r="AQ357" s="907"/>
      <c r="AR357" s="907"/>
      <c r="AS357" s="1048"/>
      <c r="AT357" s="1048">
        <f>J357</f>
        <v>3552</v>
      </c>
      <c r="AU357" s="907"/>
      <c r="AV357" s="4922"/>
      <c r="AW357" s="4922"/>
      <c r="AX357" s="1048">
        <f>J357/6</f>
        <v>592</v>
      </c>
      <c r="AY357" s="4922"/>
      <c r="AZ357" s="4922"/>
      <c r="BA357" s="1048"/>
      <c r="BB357" s="4622"/>
      <c r="BC357" s="4922"/>
      <c r="BD357" s="4622"/>
      <c r="BE357" s="4622"/>
      <c r="BF357" s="4622"/>
      <c r="BG357" s="4622"/>
      <c r="BH357" s="1048"/>
      <c r="BI357" s="4622"/>
      <c r="BJ357" s="1048"/>
      <c r="BK357" s="4415" t="s">
        <v>682</v>
      </c>
      <c r="BL357" s="4415">
        <f t="shared" si="173"/>
        <v>59.2</v>
      </c>
      <c r="BM357" s="4415">
        <f t="shared" si="174"/>
        <v>532.8</v>
      </c>
      <c r="BN357" s="4415">
        <f t="shared" si="175"/>
        <v>592</v>
      </c>
      <c r="BO357" s="4415">
        <f t="shared" si="176"/>
        <v>592</v>
      </c>
      <c r="BP357" s="4415">
        <f t="shared" si="177"/>
        <v>592</v>
      </c>
      <c r="BQ357" s="4414">
        <f t="shared" si="178"/>
        <v>592</v>
      </c>
      <c r="BR357" s="1048">
        <f t="shared" si="179"/>
        <v>592</v>
      </c>
      <c r="BS357" s="911"/>
      <c r="BT357" s="911"/>
      <c r="BU357" s="911"/>
      <c r="BV357" s="911"/>
      <c r="BW357" s="911"/>
      <c r="BX357" s="910"/>
      <c r="BY357" s="910"/>
      <c r="BZ357" s="3708">
        <f t="shared" si="165"/>
        <v>3552</v>
      </c>
      <c r="CA357" s="4154">
        <f t="shared" si="166"/>
        <v>0</v>
      </c>
      <c r="CB357" s="4923"/>
      <c r="CC357" s="4923"/>
      <c r="CD357" s="4323"/>
      <c r="CE357" s="4323"/>
      <c r="CF357" s="4323"/>
    </row>
    <row r="358" s="4316" customFormat="1" ht="50" customHeight="1" spans="1:84">
      <c r="A358" s="4500">
        <v>45740</v>
      </c>
      <c r="B358" s="3708" t="s">
        <v>1474</v>
      </c>
      <c r="C358" s="3708" t="s">
        <v>91</v>
      </c>
      <c r="D358" s="4154">
        <v>4500161283</v>
      </c>
      <c r="E358" s="3708">
        <v>70058016</v>
      </c>
      <c r="F358" s="3708" t="s">
        <v>1829</v>
      </c>
      <c r="G358" s="3708"/>
      <c r="H358" s="3708" t="s">
        <v>333</v>
      </c>
      <c r="I358" s="3708" t="s">
        <v>328</v>
      </c>
      <c r="J358" s="4593">
        <v>600</v>
      </c>
      <c r="K358" s="4154">
        <v>0</v>
      </c>
      <c r="L358" s="4154">
        <v>24</v>
      </c>
      <c r="M358" s="4154">
        <f t="shared" si="169"/>
        <v>25</v>
      </c>
      <c r="N358" s="4503">
        <v>45891</v>
      </c>
      <c r="O358" s="4503">
        <v>45887</v>
      </c>
      <c r="P358" s="4154"/>
      <c r="Q358" s="4154" t="s">
        <v>82</v>
      </c>
      <c r="R358" s="4157"/>
      <c r="S358" s="4157"/>
      <c r="T358" s="4157"/>
      <c r="U358" s="3726"/>
      <c r="V358" s="3711" t="s">
        <v>1147</v>
      </c>
      <c r="W358" s="3711"/>
      <c r="X358" s="3711" t="s">
        <v>98</v>
      </c>
      <c r="Y358" s="3711"/>
      <c r="Z358" s="3711"/>
      <c r="AA358" s="4154"/>
      <c r="AB358" s="3713" t="s">
        <v>1830</v>
      </c>
      <c r="AC358" s="3711" t="s">
        <v>393</v>
      </c>
      <c r="AD358" s="4504">
        <v>2.0376</v>
      </c>
      <c r="AE358" s="4154">
        <f t="shared" si="180"/>
        <v>1222.56</v>
      </c>
      <c r="AF358" s="3726"/>
      <c r="AG358" s="3726"/>
      <c r="AH358" s="4422"/>
      <c r="AI358" s="3708">
        <f>J358</f>
        <v>600</v>
      </c>
      <c r="AJ358" s="4422"/>
      <c r="AK358" s="3708"/>
      <c r="AL358" s="3708"/>
      <c r="AM358" s="4154"/>
      <c r="AN358" s="907"/>
      <c r="AO358" s="1048">
        <f t="shared" ref="AO358:AO374" si="181">J358</f>
        <v>600</v>
      </c>
      <c r="AP358" s="4622"/>
      <c r="AQ358" s="907"/>
      <c r="AR358" s="907"/>
      <c r="AS358" s="1048">
        <f>J358</f>
        <v>600</v>
      </c>
      <c r="AT358" s="1048"/>
      <c r="AU358" s="907"/>
      <c r="AV358" s="4922"/>
      <c r="AW358" s="4922"/>
      <c r="AX358" s="1048"/>
      <c r="AY358" s="4922"/>
      <c r="AZ358" s="4922"/>
      <c r="BA358" s="1048"/>
      <c r="BB358" s="4622"/>
      <c r="BC358" s="4922"/>
      <c r="BD358" s="4622"/>
      <c r="BE358" s="4622"/>
      <c r="BF358" s="4622"/>
      <c r="BG358" s="4622"/>
      <c r="BH358" s="4622"/>
      <c r="BI358" s="4622"/>
      <c r="BJ358" s="1048"/>
      <c r="BK358" s="4415" t="s">
        <v>89</v>
      </c>
      <c r="BL358" s="4415">
        <f t="shared" si="173"/>
        <v>10</v>
      </c>
      <c r="BM358" s="4415">
        <f t="shared" si="174"/>
        <v>90</v>
      </c>
      <c r="BN358" s="4415">
        <f t="shared" si="175"/>
        <v>100</v>
      </c>
      <c r="BO358" s="4415">
        <f t="shared" si="176"/>
        <v>100</v>
      </c>
      <c r="BP358" s="4415">
        <f t="shared" si="177"/>
        <v>100</v>
      </c>
      <c r="BQ358" s="4414">
        <f t="shared" si="178"/>
        <v>100</v>
      </c>
      <c r="BR358" s="1048">
        <f t="shared" si="179"/>
        <v>100</v>
      </c>
      <c r="BS358" s="4384"/>
      <c r="BT358" s="4384"/>
      <c r="BU358" s="4384"/>
      <c r="BV358" s="4384"/>
      <c r="BW358" s="4384"/>
      <c r="BX358" s="4383"/>
      <c r="BY358" s="4383"/>
      <c r="BZ358" s="3708">
        <f t="shared" si="165"/>
        <v>600</v>
      </c>
      <c r="CA358" s="4154">
        <f t="shared" si="166"/>
        <v>0</v>
      </c>
      <c r="CB358" s="4544"/>
      <c r="CC358" s="4544"/>
      <c r="CD358" s="4323"/>
      <c r="CE358" s="4323"/>
      <c r="CF358" s="4323"/>
    </row>
    <row r="359" s="4316" customFormat="1" ht="50" customHeight="1" spans="1:84">
      <c r="A359" s="4500">
        <v>45845</v>
      </c>
      <c r="B359" s="4501" t="s">
        <v>523</v>
      </c>
      <c r="C359" s="3708" t="s">
        <v>524</v>
      </c>
      <c r="D359" s="4502">
        <v>4500172982</v>
      </c>
      <c r="E359" s="3708"/>
      <c r="F359" s="4502" t="s">
        <v>1831</v>
      </c>
      <c r="G359" s="3708"/>
      <c r="H359" s="3708" t="s">
        <v>327</v>
      </c>
      <c r="I359" s="4154" t="s">
        <v>328</v>
      </c>
      <c r="J359" s="4154">
        <v>420</v>
      </c>
      <c r="K359" s="4154">
        <v>0</v>
      </c>
      <c r="L359" s="4154">
        <v>12</v>
      </c>
      <c r="M359" s="4154">
        <f t="shared" si="169"/>
        <v>35</v>
      </c>
      <c r="N359" s="4503">
        <v>45901</v>
      </c>
      <c r="O359" s="4503">
        <f>N359-4</f>
        <v>45897</v>
      </c>
      <c r="P359" s="3708"/>
      <c r="Q359" s="4154" t="s">
        <v>82</v>
      </c>
      <c r="R359" s="4157"/>
      <c r="S359" s="4157"/>
      <c r="T359" s="4157"/>
      <c r="U359" s="3726" t="s">
        <v>1832</v>
      </c>
      <c r="V359" s="3711" t="s">
        <v>1833</v>
      </c>
      <c r="W359" s="3711"/>
      <c r="X359" s="3711" t="s">
        <v>1834</v>
      </c>
      <c r="Y359" s="3711"/>
      <c r="Z359" s="3711"/>
      <c r="AA359" s="4154"/>
      <c r="AB359" s="3680" t="s">
        <v>1835</v>
      </c>
      <c r="AC359" s="4154" t="s">
        <v>459</v>
      </c>
      <c r="AD359" s="4504">
        <v>2.1633</v>
      </c>
      <c r="AE359" s="4154">
        <f t="shared" si="180"/>
        <v>908.586</v>
      </c>
      <c r="AF359" s="3726"/>
      <c r="AG359" s="3726"/>
      <c r="AH359" s="4422"/>
      <c r="AI359" s="3708"/>
      <c r="AJ359" s="4422"/>
      <c r="AK359" s="3708">
        <f>J359</f>
        <v>420</v>
      </c>
      <c r="AL359" s="3708"/>
      <c r="AM359" s="4154"/>
      <c r="AN359" s="907"/>
      <c r="AO359" s="1048">
        <f t="shared" si="181"/>
        <v>420</v>
      </c>
      <c r="AP359" s="1048"/>
      <c r="AQ359" s="907"/>
      <c r="AR359" s="907"/>
      <c r="AS359" s="1048">
        <f>J359</f>
        <v>420</v>
      </c>
      <c r="AT359" s="1048"/>
      <c r="AU359" s="907"/>
      <c r="AV359" s="4922"/>
      <c r="AW359" s="4922"/>
      <c r="AX359" s="1048">
        <f>J359/6</f>
        <v>70</v>
      </c>
      <c r="AY359" s="4922"/>
      <c r="AZ359" s="4922"/>
      <c r="BA359" s="1048"/>
      <c r="BB359" s="4622"/>
      <c r="BC359" s="4922"/>
      <c r="BD359" s="4622"/>
      <c r="BE359" s="4622"/>
      <c r="BF359" s="4622"/>
      <c r="BG359" s="4622"/>
      <c r="BH359" s="1048"/>
      <c r="BI359" s="4622"/>
      <c r="BJ359" s="1048"/>
      <c r="BK359" s="4415" t="s">
        <v>89</v>
      </c>
      <c r="BL359" s="4415">
        <f t="shared" si="173"/>
        <v>7</v>
      </c>
      <c r="BM359" s="4415">
        <f t="shared" si="174"/>
        <v>63</v>
      </c>
      <c r="BN359" s="4415">
        <f t="shared" si="175"/>
        <v>70</v>
      </c>
      <c r="BO359" s="4415">
        <f t="shared" si="176"/>
        <v>70</v>
      </c>
      <c r="BP359" s="4415">
        <f t="shared" si="177"/>
        <v>70</v>
      </c>
      <c r="BQ359" s="4414">
        <f t="shared" si="178"/>
        <v>70</v>
      </c>
      <c r="BR359" s="1048">
        <f t="shared" si="179"/>
        <v>70</v>
      </c>
      <c r="BS359" s="911"/>
      <c r="BT359" s="911"/>
      <c r="BU359" s="911"/>
      <c r="BV359" s="911"/>
      <c r="BW359" s="911"/>
      <c r="BX359" s="910"/>
      <c r="BY359" s="910"/>
      <c r="BZ359" s="3708">
        <f t="shared" si="165"/>
        <v>420</v>
      </c>
      <c r="CA359" s="4154">
        <f t="shared" si="166"/>
        <v>0</v>
      </c>
      <c r="CB359" s="4923"/>
      <c r="CC359" s="4923"/>
      <c r="CD359" s="4323"/>
      <c r="CE359" s="4323"/>
      <c r="CF359" s="4323"/>
    </row>
    <row r="360" s="4316" customFormat="1" ht="50" customHeight="1" spans="1:84">
      <c r="A360" s="4500">
        <v>45863</v>
      </c>
      <c r="B360" s="4501" t="s">
        <v>371</v>
      </c>
      <c r="C360" s="3708" t="s">
        <v>341</v>
      </c>
      <c r="D360" s="4502">
        <v>4500175025</v>
      </c>
      <c r="E360" s="3708" t="s">
        <v>1836</v>
      </c>
      <c r="F360" s="4502" t="s">
        <v>1837</v>
      </c>
      <c r="G360" s="3708"/>
      <c r="H360" s="3708" t="s">
        <v>640</v>
      </c>
      <c r="I360" s="3699" t="s">
        <v>328</v>
      </c>
      <c r="J360" s="4154">
        <v>504</v>
      </c>
      <c r="K360" s="4154">
        <v>0</v>
      </c>
      <c r="L360" s="4154">
        <v>12</v>
      </c>
      <c r="M360" s="4154">
        <f t="shared" si="169"/>
        <v>42</v>
      </c>
      <c r="N360" s="4503">
        <v>45901</v>
      </c>
      <c r="O360" s="4503">
        <f t="shared" ref="O360:O367" si="182">N360-4</f>
        <v>45897</v>
      </c>
      <c r="P360" s="3708"/>
      <c r="Q360" s="4154" t="s">
        <v>82</v>
      </c>
      <c r="R360" s="4157">
        <v>504</v>
      </c>
      <c r="S360" s="4157">
        <f t="shared" ref="S360:S383" si="183">J360-R360</f>
        <v>0</v>
      </c>
      <c r="T360" s="4157"/>
      <c r="U360" s="3726" t="s">
        <v>1838</v>
      </c>
      <c r="V360" s="3711" t="s">
        <v>1793</v>
      </c>
      <c r="W360" s="3711"/>
      <c r="X360" s="3711" t="s">
        <v>1839</v>
      </c>
      <c r="Y360" s="3711"/>
      <c r="Z360" s="3711" t="s">
        <v>1840</v>
      </c>
      <c r="AA360" s="4154"/>
      <c r="AB360" s="3680" t="s">
        <v>1841</v>
      </c>
      <c r="AC360" s="4154" t="s">
        <v>380</v>
      </c>
      <c r="AD360" s="4504">
        <v>2.0947</v>
      </c>
      <c r="AE360" s="4154">
        <f t="shared" ref="AE360:AE374" si="184">J360*AD360</f>
        <v>1055.7288</v>
      </c>
      <c r="AF360" s="3726"/>
      <c r="AG360" s="3726"/>
      <c r="AH360" s="4422"/>
      <c r="AI360" s="3708"/>
      <c r="AJ360" s="4422"/>
      <c r="AK360" s="3708">
        <f>J360</f>
        <v>504</v>
      </c>
      <c r="AL360" s="3708"/>
      <c r="AM360" s="4154"/>
      <c r="AN360" s="907"/>
      <c r="AO360" s="1048">
        <f t="shared" si="181"/>
        <v>504</v>
      </c>
      <c r="AP360" s="1048"/>
      <c r="AQ360" s="907"/>
      <c r="AR360" s="907"/>
      <c r="AS360" s="1048">
        <f>J360</f>
        <v>504</v>
      </c>
      <c r="AT360" s="1048"/>
      <c r="AU360" s="907"/>
      <c r="AV360" s="4922"/>
      <c r="AW360" s="4922"/>
      <c r="AX360" s="1048"/>
      <c r="AY360" s="4922"/>
      <c r="AZ360" s="4922"/>
      <c r="BA360" s="1048"/>
      <c r="BB360" s="4622"/>
      <c r="BC360" s="4922"/>
      <c r="BD360" s="4622"/>
      <c r="BE360" s="4622"/>
      <c r="BF360" s="4622"/>
      <c r="BG360" s="4622"/>
      <c r="BH360" s="1048"/>
      <c r="BI360" s="4622"/>
      <c r="BJ360" s="1048"/>
      <c r="BK360" s="4415" t="s">
        <v>89</v>
      </c>
      <c r="BL360" s="4415"/>
      <c r="BM360" s="4415"/>
      <c r="BN360" s="4415"/>
      <c r="BO360" s="4415"/>
      <c r="BP360" s="1048">
        <f>J360-BS360</f>
        <v>504</v>
      </c>
      <c r="BQ360" s="4414"/>
      <c r="BR360" s="1048"/>
      <c r="BS360" s="911"/>
      <c r="BT360" s="911"/>
      <c r="BU360" s="911"/>
      <c r="BV360" s="911"/>
      <c r="BW360" s="911"/>
      <c r="BX360" s="910"/>
      <c r="BY360" s="910"/>
      <c r="BZ360" s="3708">
        <f t="shared" si="165"/>
        <v>504</v>
      </c>
      <c r="CA360" s="4154">
        <f t="shared" si="166"/>
        <v>0</v>
      </c>
      <c r="CB360" s="4923"/>
      <c r="CC360" s="4923"/>
      <c r="CD360" s="4323"/>
      <c r="CE360" s="4323"/>
      <c r="CF360" s="4323"/>
    </row>
    <row r="361" s="4316" customFormat="1" ht="50" customHeight="1" spans="1:84">
      <c r="A361" s="4500">
        <v>45863</v>
      </c>
      <c r="B361" s="4501" t="s">
        <v>371</v>
      </c>
      <c r="C361" s="3708" t="s">
        <v>341</v>
      </c>
      <c r="D361" s="4502">
        <v>4500175025</v>
      </c>
      <c r="E361" s="3708" t="s">
        <v>1836</v>
      </c>
      <c r="F361" s="4502" t="s">
        <v>1842</v>
      </c>
      <c r="G361" s="3708"/>
      <c r="H361" s="3708" t="s">
        <v>685</v>
      </c>
      <c r="I361" s="3699" t="s">
        <v>328</v>
      </c>
      <c r="J361" s="4154">
        <v>492</v>
      </c>
      <c r="K361" s="4154">
        <v>0</v>
      </c>
      <c r="L361" s="4154">
        <v>12</v>
      </c>
      <c r="M361" s="4154">
        <f t="shared" si="169"/>
        <v>41</v>
      </c>
      <c r="N361" s="4503">
        <v>45901</v>
      </c>
      <c r="O361" s="4503">
        <f t="shared" si="182"/>
        <v>45897</v>
      </c>
      <c r="P361" s="3708"/>
      <c r="Q361" s="4154" t="s">
        <v>82</v>
      </c>
      <c r="R361" s="4157">
        <v>492</v>
      </c>
      <c r="S361" s="4157">
        <f t="shared" si="183"/>
        <v>0</v>
      </c>
      <c r="T361" s="4157"/>
      <c r="U361" s="3726" t="s">
        <v>1838</v>
      </c>
      <c r="V361" s="3711" t="s">
        <v>1793</v>
      </c>
      <c r="W361" s="3711"/>
      <c r="X361" s="3711" t="s">
        <v>1839</v>
      </c>
      <c r="Y361" s="3711"/>
      <c r="Z361" s="3711" t="s">
        <v>1840</v>
      </c>
      <c r="AA361" s="4154"/>
      <c r="AB361" s="3680" t="s">
        <v>1843</v>
      </c>
      <c r="AC361" s="4154" t="s">
        <v>380</v>
      </c>
      <c r="AD361" s="4504">
        <v>2.07</v>
      </c>
      <c r="AE361" s="4154">
        <f t="shared" si="184"/>
        <v>1018.44</v>
      </c>
      <c r="AF361" s="3726"/>
      <c r="AG361" s="3726"/>
      <c r="AH361" s="4422"/>
      <c r="AI361" s="3708"/>
      <c r="AJ361" s="4422"/>
      <c r="AK361" s="3708">
        <f t="shared" ref="AK361:AK372" si="185">J361</f>
        <v>492</v>
      </c>
      <c r="AL361" s="3708"/>
      <c r="AM361" s="4154"/>
      <c r="AN361" s="907"/>
      <c r="AO361" s="1048">
        <f t="shared" si="181"/>
        <v>492</v>
      </c>
      <c r="AP361" s="1048"/>
      <c r="AQ361" s="907"/>
      <c r="AR361" s="907"/>
      <c r="AS361" s="1048">
        <f t="shared" ref="AS361:AS367" si="186">J361</f>
        <v>492</v>
      </c>
      <c r="AT361" s="1048"/>
      <c r="AU361" s="907"/>
      <c r="AV361" s="4922"/>
      <c r="AW361" s="4922"/>
      <c r="AX361" s="1048"/>
      <c r="AY361" s="4922"/>
      <c r="AZ361" s="4922"/>
      <c r="BA361" s="1048"/>
      <c r="BB361" s="4622"/>
      <c r="BC361" s="4922"/>
      <c r="BD361" s="4622"/>
      <c r="BE361" s="4622"/>
      <c r="BF361" s="4622"/>
      <c r="BG361" s="4622"/>
      <c r="BH361" s="1048"/>
      <c r="BI361" s="4622"/>
      <c r="BJ361" s="1048"/>
      <c r="BK361" s="4415" t="s">
        <v>89</v>
      </c>
      <c r="BL361" s="4415"/>
      <c r="BM361" s="4415"/>
      <c r="BN361" s="4415"/>
      <c r="BO361" s="4415"/>
      <c r="BP361" s="4415"/>
      <c r="BQ361" s="1048">
        <f>J361-BS361</f>
        <v>492</v>
      </c>
      <c r="BR361" s="1048"/>
      <c r="BS361" s="911"/>
      <c r="BT361" s="911"/>
      <c r="BU361" s="911"/>
      <c r="BV361" s="911"/>
      <c r="BW361" s="911"/>
      <c r="BX361" s="910"/>
      <c r="BY361" s="910"/>
      <c r="BZ361" s="3708">
        <f t="shared" si="165"/>
        <v>492</v>
      </c>
      <c r="CA361" s="4154">
        <f t="shared" si="166"/>
        <v>0</v>
      </c>
      <c r="CB361" s="4923"/>
      <c r="CC361" s="4923"/>
      <c r="CD361" s="4323"/>
      <c r="CE361" s="4323"/>
      <c r="CF361" s="4323"/>
    </row>
    <row r="362" s="4316" customFormat="1" ht="50" customHeight="1" spans="1:84">
      <c r="A362" s="4500">
        <v>45863</v>
      </c>
      <c r="B362" s="4501" t="s">
        <v>371</v>
      </c>
      <c r="C362" s="3708" t="s">
        <v>341</v>
      </c>
      <c r="D362" s="4502">
        <v>4500175025</v>
      </c>
      <c r="E362" s="3708" t="s">
        <v>1844</v>
      </c>
      <c r="F362" s="4502" t="s">
        <v>1845</v>
      </c>
      <c r="G362" s="3708"/>
      <c r="H362" s="3708" t="s">
        <v>640</v>
      </c>
      <c r="I362" s="3699" t="s">
        <v>328</v>
      </c>
      <c r="J362" s="4154">
        <v>492</v>
      </c>
      <c r="K362" s="4154">
        <v>0</v>
      </c>
      <c r="L362" s="4154">
        <v>12</v>
      </c>
      <c r="M362" s="4154">
        <f t="shared" si="169"/>
        <v>41</v>
      </c>
      <c r="N362" s="4503">
        <v>45901</v>
      </c>
      <c r="O362" s="4503">
        <f t="shared" si="182"/>
        <v>45897</v>
      </c>
      <c r="P362" s="3708"/>
      <c r="Q362" s="4154" t="s">
        <v>82</v>
      </c>
      <c r="R362" s="4157">
        <v>492</v>
      </c>
      <c r="S362" s="4157">
        <f t="shared" si="183"/>
        <v>0</v>
      </c>
      <c r="T362" s="4157"/>
      <c r="U362" s="3726" t="s">
        <v>1792</v>
      </c>
      <c r="V362" s="3711" t="s">
        <v>1793</v>
      </c>
      <c r="W362" s="3711"/>
      <c r="X362" s="3711" t="s">
        <v>1839</v>
      </c>
      <c r="Y362" s="3711"/>
      <c r="Z362" s="3711" t="s">
        <v>1840</v>
      </c>
      <c r="AA362" s="4154"/>
      <c r="AB362" s="3680" t="s">
        <v>1841</v>
      </c>
      <c r="AC362" s="4154" t="s">
        <v>380</v>
      </c>
      <c r="AD362" s="4504">
        <v>2.0947</v>
      </c>
      <c r="AE362" s="4154">
        <f t="shared" si="184"/>
        <v>1030.5924</v>
      </c>
      <c r="AF362" s="3726"/>
      <c r="AG362" s="3726"/>
      <c r="AH362" s="4422"/>
      <c r="AI362" s="3708"/>
      <c r="AJ362" s="4422"/>
      <c r="AK362" s="3708">
        <f t="shared" si="185"/>
        <v>492</v>
      </c>
      <c r="AL362" s="3708"/>
      <c r="AM362" s="4154"/>
      <c r="AN362" s="907"/>
      <c r="AO362" s="1048">
        <f t="shared" si="181"/>
        <v>492</v>
      </c>
      <c r="AP362" s="1048"/>
      <c r="AQ362" s="907"/>
      <c r="AR362" s="907"/>
      <c r="AS362" s="1048">
        <f t="shared" si="186"/>
        <v>492</v>
      </c>
      <c r="AT362" s="1048"/>
      <c r="AU362" s="907"/>
      <c r="AV362" s="4922"/>
      <c r="AW362" s="4922"/>
      <c r="AX362" s="1048"/>
      <c r="AY362" s="4922"/>
      <c r="AZ362" s="4922"/>
      <c r="BA362" s="1048"/>
      <c r="BB362" s="4622"/>
      <c r="BC362" s="4922"/>
      <c r="BD362" s="4622"/>
      <c r="BE362" s="4622"/>
      <c r="BF362" s="4622"/>
      <c r="BG362" s="4622"/>
      <c r="BH362" s="1048"/>
      <c r="BI362" s="4622"/>
      <c r="BJ362" s="1048"/>
      <c r="BK362" s="4415" t="s">
        <v>89</v>
      </c>
      <c r="BL362" s="4415"/>
      <c r="BM362" s="4415"/>
      <c r="BN362" s="4415"/>
      <c r="BO362" s="4415"/>
      <c r="BP362" s="1048">
        <f>J362-BS362</f>
        <v>492</v>
      </c>
      <c r="BQ362" s="4414"/>
      <c r="BR362" s="1048"/>
      <c r="BS362" s="911"/>
      <c r="BT362" s="911"/>
      <c r="BU362" s="911"/>
      <c r="BV362" s="911"/>
      <c r="BW362" s="911"/>
      <c r="BX362" s="910"/>
      <c r="BY362" s="910"/>
      <c r="BZ362" s="3708">
        <f t="shared" si="165"/>
        <v>492</v>
      </c>
      <c r="CA362" s="4154">
        <f t="shared" si="166"/>
        <v>0</v>
      </c>
      <c r="CB362" s="4923"/>
      <c r="CC362" s="4923"/>
      <c r="CD362" s="4323"/>
      <c r="CE362" s="4323"/>
      <c r="CF362" s="4323"/>
    </row>
    <row r="363" s="4316" customFormat="1" ht="50" customHeight="1" spans="1:84">
      <c r="A363" s="4500">
        <v>45863</v>
      </c>
      <c r="B363" s="4501" t="s">
        <v>371</v>
      </c>
      <c r="C363" s="3708" t="s">
        <v>341</v>
      </c>
      <c r="D363" s="4502">
        <v>4500175025</v>
      </c>
      <c r="E363" s="3708" t="s">
        <v>1844</v>
      </c>
      <c r="F363" s="4502" t="s">
        <v>1846</v>
      </c>
      <c r="G363" s="3708"/>
      <c r="H363" s="3708" t="s">
        <v>1290</v>
      </c>
      <c r="I363" s="3699" t="s">
        <v>328</v>
      </c>
      <c r="J363" s="4154">
        <v>504</v>
      </c>
      <c r="K363" s="4154">
        <v>0</v>
      </c>
      <c r="L363" s="4154">
        <v>12</v>
      </c>
      <c r="M363" s="4154">
        <f t="shared" si="169"/>
        <v>42</v>
      </c>
      <c r="N363" s="4503">
        <v>45901</v>
      </c>
      <c r="O363" s="4503">
        <f t="shared" si="182"/>
        <v>45897</v>
      </c>
      <c r="P363" s="3708"/>
      <c r="Q363" s="4154" t="s">
        <v>82</v>
      </c>
      <c r="R363" s="4157">
        <v>504</v>
      </c>
      <c r="S363" s="4157">
        <f t="shared" si="183"/>
        <v>0</v>
      </c>
      <c r="T363" s="4157"/>
      <c r="U363" s="3726" t="s">
        <v>1792</v>
      </c>
      <c r="V363" s="3711" t="s">
        <v>1793</v>
      </c>
      <c r="W363" s="3711"/>
      <c r="X363" s="3711" t="s">
        <v>1839</v>
      </c>
      <c r="Y363" s="3711"/>
      <c r="Z363" s="3711" t="s">
        <v>1840</v>
      </c>
      <c r="AA363" s="4154"/>
      <c r="AB363" s="3680" t="s">
        <v>1847</v>
      </c>
      <c r="AC363" s="4154" t="s">
        <v>380</v>
      </c>
      <c r="AD363" s="4504">
        <v>2.0947</v>
      </c>
      <c r="AE363" s="4154">
        <f t="shared" si="184"/>
        <v>1055.7288</v>
      </c>
      <c r="AF363" s="3726"/>
      <c r="AG363" s="3726"/>
      <c r="AH363" s="4422"/>
      <c r="AI363" s="3708"/>
      <c r="AJ363" s="4422"/>
      <c r="AK363" s="3708">
        <f t="shared" si="185"/>
        <v>504</v>
      </c>
      <c r="AL363" s="3708"/>
      <c r="AM363" s="4154"/>
      <c r="AN363" s="907"/>
      <c r="AO363" s="1048">
        <f t="shared" si="181"/>
        <v>504</v>
      </c>
      <c r="AP363" s="1048"/>
      <c r="AQ363" s="907"/>
      <c r="AR363" s="907"/>
      <c r="AS363" s="1048">
        <f t="shared" si="186"/>
        <v>504</v>
      </c>
      <c r="AT363" s="1048"/>
      <c r="AU363" s="907"/>
      <c r="AV363" s="4922"/>
      <c r="AW363" s="4922"/>
      <c r="AX363" s="1048"/>
      <c r="AY363" s="4922"/>
      <c r="AZ363" s="4922"/>
      <c r="BA363" s="1048"/>
      <c r="BB363" s="4622"/>
      <c r="BC363" s="4922"/>
      <c r="BD363" s="4622"/>
      <c r="BE363" s="4622"/>
      <c r="BF363" s="4622"/>
      <c r="BG363" s="4622"/>
      <c r="BH363" s="1048"/>
      <c r="BI363" s="4622"/>
      <c r="BJ363" s="1048"/>
      <c r="BK363" s="4415" t="s">
        <v>89</v>
      </c>
      <c r="BL363" s="4415"/>
      <c r="BM363" s="4415">
        <f>J363</f>
        <v>504</v>
      </c>
      <c r="BN363" s="4415"/>
      <c r="BO363" s="4415"/>
      <c r="BP363" s="4415"/>
      <c r="BQ363" s="1048"/>
      <c r="BR363" s="1048"/>
      <c r="BS363" s="911"/>
      <c r="BT363" s="911"/>
      <c r="BU363" s="911"/>
      <c r="BV363" s="911"/>
      <c r="BW363" s="911"/>
      <c r="BX363" s="910"/>
      <c r="BY363" s="910"/>
      <c r="BZ363" s="3708">
        <f t="shared" si="165"/>
        <v>504</v>
      </c>
      <c r="CA363" s="4154">
        <f t="shared" si="166"/>
        <v>0</v>
      </c>
      <c r="CB363" s="4923"/>
      <c r="CC363" s="4923"/>
      <c r="CD363" s="4323"/>
      <c r="CE363" s="4323"/>
      <c r="CF363" s="4323"/>
    </row>
    <row r="364" s="4316" customFormat="1" ht="50" customHeight="1" spans="1:84">
      <c r="A364" s="4500">
        <v>45863</v>
      </c>
      <c r="B364" s="4501" t="s">
        <v>371</v>
      </c>
      <c r="C364" s="3708" t="s">
        <v>341</v>
      </c>
      <c r="D364" s="4502">
        <v>4500175025</v>
      </c>
      <c r="E364" s="3708" t="s">
        <v>1848</v>
      </c>
      <c r="F364" s="4502" t="s">
        <v>1849</v>
      </c>
      <c r="G364" s="3708"/>
      <c r="H364" s="3708" t="s">
        <v>640</v>
      </c>
      <c r="I364" s="3699" t="s">
        <v>328</v>
      </c>
      <c r="J364" s="4154">
        <v>492</v>
      </c>
      <c r="K364" s="4154">
        <v>0</v>
      </c>
      <c r="L364" s="4154">
        <v>12</v>
      </c>
      <c r="M364" s="4154">
        <f t="shared" si="169"/>
        <v>41</v>
      </c>
      <c r="N364" s="4503">
        <v>45901</v>
      </c>
      <c r="O364" s="4503">
        <f t="shared" si="182"/>
        <v>45897</v>
      </c>
      <c r="P364" s="3708"/>
      <c r="Q364" s="4154" t="s">
        <v>82</v>
      </c>
      <c r="R364" s="4157">
        <v>492</v>
      </c>
      <c r="S364" s="4157">
        <f t="shared" si="183"/>
        <v>0</v>
      </c>
      <c r="T364" s="4157"/>
      <c r="U364" s="3726" t="s">
        <v>1850</v>
      </c>
      <c r="V364" s="3711" t="s">
        <v>1793</v>
      </c>
      <c r="W364" s="3711"/>
      <c r="X364" s="3711" t="s">
        <v>1839</v>
      </c>
      <c r="Y364" s="3711"/>
      <c r="Z364" s="3711" t="s">
        <v>1840</v>
      </c>
      <c r="AA364" s="4154"/>
      <c r="AB364" s="3680" t="s">
        <v>1841</v>
      </c>
      <c r="AC364" s="4154" t="s">
        <v>380</v>
      </c>
      <c r="AD364" s="4504">
        <v>2.0947</v>
      </c>
      <c r="AE364" s="4154">
        <f t="shared" si="184"/>
        <v>1030.5924</v>
      </c>
      <c r="AF364" s="3726"/>
      <c r="AG364" s="3726"/>
      <c r="AH364" s="4422"/>
      <c r="AI364" s="3708"/>
      <c r="AJ364" s="4422"/>
      <c r="AK364" s="3708">
        <f t="shared" si="185"/>
        <v>492</v>
      </c>
      <c r="AL364" s="3708"/>
      <c r="AM364" s="4154"/>
      <c r="AN364" s="907"/>
      <c r="AO364" s="1048">
        <f t="shared" si="181"/>
        <v>492</v>
      </c>
      <c r="AP364" s="1048"/>
      <c r="AQ364" s="907"/>
      <c r="AR364" s="907"/>
      <c r="AS364" s="1048">
        <f t="shared" si="186"/>
        <v>492</v>
      </c>
      <c r="AT364" s="1048"/>
      <c r="AU364" s="907"/>
      <c r="AV364" s="4922"/>
      <c r="AW364" s="4922"/>
      <c r="AX364" s="1048"/>
      <c r="AY364" s="4922"/>
      <c r="AZ364" s="4922"/>
      <c r="BA364" s="1048"/>
      <c r="BB364" s="4622"/>
      <c r="BC364" s="4922"/>
      <c r="BD364" s="4622"/>
      <c r="BE364" s="4622"/>
      <c r="BF364" s="4622"/>
      <c r="BG364" s="4622"/>
      <c r="BH364" s="1048"/>
      <c r="BI364" s="4622"/>
      <c r="BJ364" s="1048"/>
      <c r="BK364" s="4415" t="s">
        <v>89</v>
      </c>
      <c r="BL364" s="4415"/>
      <c r="BM364" s="4415"/>
      <c r="BN364" s="4415"/>
      <c r="BO364" s="4415"/>
      <c r="BP364" s="1048">
        <f>J364-BS364</f>
        <v>492</v>
      </c>
      <c r="BQ364" s="4414"/>
      <c r="BR364" s="1048"/>
      <c r="BS364" s="911"/>
      <c r="BT364" s="911"/>
      <c r="BU364" s="911"/>
      <c r="BV364" s="911"/>
      <c r="BW364" s="911"/>
      <c r="BX364" s="910"/>
      <c r="BY364" s="910"/>
      <c r="BZ364" s="3708">
        <f t="shared" si="165"/>
        <v>492</v>
      </c>
      <c r="CA364" s="4154">
        <f t="shared" si="166"/>
        <v>0</v>
      </c>
      <c r="CB364" s="4923"/>
      <c r="CC364" s="4923"/>
      <c r="CD364" s="4323"/>
      <c r="CE364" s="4323"/>
      <c r="CF364" s="4323"/>
    </row>
    <row r="365" s="4316" customFormat="1" ht="50" customHeight="1" spans="1:84">
      <c r="A365" s="4500">
        <v>45863</v>
      </c>
      <c r="B365" s="4501" t="s">
        <v>371</v>
      </c>
      <c r="C365" s="3708" t="s">
        <v>341</v>
      </c>
      <c r="D365" s="4502">
        <v>4500175025</v>
      </c>
      <c r="E365" s="3708" t="s">
        <v>1851</v>
      </c>
      <c r="F365" s="4502" t="s">
        <v>1852</v>
      </c>
      <c r="G365" s="3708"/>
      <c r="H365" s="3708" t="s">
        <v>640</v>
      </c>
      <c r="I365" s="3699" t="s">
        <v>328</v>
      </c>
      <c r="J365" s="4154">
        <v>600</v>
      </c>
      <c r="K365" s="4154">
        <v>0</v>
      </c>
      <c r="L365" s="4154">
        <v>12</v>
      </c>
      <c r="M365" s="4154">
        <f t="shared" si="169"/>
        <v>50</v>
      </c>
      <c r="N365" s="4503">
        <v>45901</v>
      </c>
      <c r="O365" s="4503">
        <f t="shared" si="182"/>
        <v>45897</v>
      </c>
      <c r="P365" s="3708"/>
      <c r="Q365" s="4154" t="s">
        <v>82</v>
      </c>
      <c r="R365" s="4157">
        <v>600</v>
      </c>
      <c r="S365" s="4157">
        <f t="shared" si="183"/>
        <v>0</v>
      </c>
      <c r="T365" s="4157"/>
      <c r="U365" s="3726" t="s">
        <v>1853</v>
      </c>
      <c r="V365" s="3711" t="s">
        <v>1793</v>
      </c>
      <c r="W365" s="3711"/>
      <c r="X365" s="3711" t="s">
        <v>1839</v>
      </c>
      <c r="Y365" s="3711"/>
      <c r="Z365" s="3711" t="s">
        <v>1840</v>
      </c>
      <c r="AA365" s="4154"/>
      <c r="AB365" s="3680" t="s">
        <v>1841</v>
      </c>
      <c r="AC365" s="4154" t="s">
        <v>380</v>
      </c>
      <c r="AD365" s="4504">
        <v>2.0947</v>
      </c>
      <c r="AE365" s="4154">
        <f t="shared" si="184"/>
        <v>1256.82</v>
      </c>
      <c r="AF365" s="3726"/>
      <c r="AG365" s="3726"/>
      <c r="AH365" s="4422"/>
      <c r="AI365" s="3708"/>
      <c r="AJ365" s="4422"/>
      <c r="AK365" s="3708">
        <f t="shared" si="185"/>
        <v>600</v>
      </c>
      <c r="AL365" s="3708"/>
      <c r="AM365" s="4154"/>
      <c r="AN365" s="907"/>
      <c r="AO365" s="1048">
        <f t="shared" si="181"/>
        <v>600</v>
      </c>
      <c r="AP365" s="1048"/>
      <c r="AQ365" s="907"/>
      <c r="AR365" s="907"/>
      <c r="AS365" s="1048">
        <f t="shared" si="186"/>
        <v>600</v>
      </c>
      <c r="AT365" s="1048"/>
      <c r="AU365" s="907"/>
      <c r="AV365" s="4922"/>
      <c r="AW365" s="4922"/>
      <c r="AX365" s="1048"/>
      <c r="AY365" s="4922"/>
      <c r="AZ365" s="4922"/>
      <c r="BA365" s="1048"/>
      <c r="BB365" s="4622"/>
      <c r="BC365" s="4922"/>
      <c r="BD365" s="4622"/>
      <c r="BE365" s="4622"/>
      <c r="BF365" s="4622"/>
      <c r="BG365" s="4622"/>
      <c r="BH365" s="1048"/>
      <c r="BI365" s="4622"/>
      <c r="BJ365" s="1048"/>
      <c r="BK365" s="4415" t="s">
        <v>89</v>
      </c>
      <c r="BL365" s="4415"/>
      <c r="BM365" s="4415"/>
      <c r="BN365" s="4415"/>
      <c r="BO365" s="4415"/>
      <c r="BP365" s="1048">
        <f>J365-BS365</f>
        <v>600</v>
      </c>
      <c r="BQ365" s="4414"/>
      <c r="BR365" s="1048"/>
      <c r="BS365" s="911"/>
      <c r="BT365" s="911"/>
      <c r="BU365" s="911"/>
      <c r="BV365" s="911"/>
      <c r="BW365" s="911"/>
      <c r="BX365" s="910"/>
      <c r="BY365" s="910"/>
      <c r="BZ365" s="3708">
        <f t="shared" si="165"/>
        <v>600</v>
      </c>
      <c r="CA365" s="4154">
        <f t="shared" si="166"/>
        <v>0</v>
      </c>
      <c r="CB365" s="4923"/>
      <c r="CC365" s="4923"/>
      <c r="CD365" s="4323"/>
      <c r="CE365" s="4323"/>
      <c r="CF365" s="4323"/>
    </row>
    <row r="366" s="4316" customFormat="1" ht="50" customHeight="1" spans="1:84">
      <c r="A366" s="4500">
        <v>45863</v>
      </c>
      <c r="B366" s="4501" t="s">
        <v>371</v>
      </c>
      <c r="C366" s="3708" t="s">
        <v>341</v>
      </c>
      <c r="D366" s="4502">
        <v>4500175025</v>
      </c>
      <c r="E366" s="3708" t="s">
        <v>1851</v>
      </c>
      <c r="F366" s="4502" t="s">
        <v>1854</v>
      </c>
      <c r="G366" s="3708"/>
      <c r="H366" s="3708" t="s">
        <v>1290</v>
      </c>
      <c r="I366" s="3699" t="s">
        <v>328</v>
      </c>
      <c r="J366" s="4154">
        <v>504</v>
      </c>
      <c r="K366" s="4154">
        <v>0</v>
      </c>
      <c r="L366" s="4154">
        <v>12</v>
      </c>
      <c r="M366" s="4154">
        <f t="shared" si="169"/>
        <v>42</v>
      </c>
      <c r="N366" s="4503">
        <v>45901</v>
      </c>
      <c r="O366" s="4503">
        <f t="shared" si="182"/>
        <v>45897</v>
      </c>
      <c r="P366" s="3708"/>
      <c r="Q366" s="4154" t="s">
        <v>82</v>
      </c>
      <c r="R366" s="4157">
        <v>504</v>
      </c>
      <c r="S366" s="4157">
        <f t="shared" si="183"/>
        <v>0</v>
      </c>
      <c r="T366" s="4157"/>
      <c r="U366" s="3726" t="s">
        <v>1853</v>
      </c>
      <c r="V366" s="3711" t="s">
        <v>1793</v>
      </c>
      <c r="W366" s="3711"/>
      <c r="X366" s="3711" t="s">
        <v>1839</v>
      </c>
      <c r="Y366" s="3711"/>
      <c r="Z366" s="3711" t="s">
        <v>1840</v>
      </c>
      <c r="AA366" s="4154"/>
      <c r="AB366" s="3680" t="s">
        <v>1847</v>
      </c>
      <c r="AC366" s="4154" t="s">
        <v>380</v>
      </c>
      <c r="AD366" s="4504">
        <v>2.0947</v>
      </c>
      <c r="AE366" s="4154">
        <f t="shared" si="184"/>
        <v>1055.7288</v>
      </c>
      <c r="AF366" s="3726"/>
      <c r="AG366" s="3726"/>
      <c r="AH366" s="4422"/>
      <c r="AI366" s="3708"/>
      <c r="AJ366" s="4422"/>
      <c r="AK366" s="3708">
        <f t="shared" si="185"/>
        <v>504</v>
      </c>
      <c r="AL366" s="3708"/>
      <c r="AM366" s="4154"/>
      <c r="AN366" s="907"/>
      <c r="AO366" s="1048">
        <f t="shared" si="181"/>
        <v>504</v>
      </c>
      <c r="AP366" s="1048"/>
      <c r="AQ366" s="907"/>
      <c r="AR366" s="907"/>
      <c r="AS366" s="1048">
        <f t="shared" si="186"/>
        <v>504</v>
      </c>
      <c r="AT366" s="1048"/>
      <c r="AU366" s="907"/>
      <c r="AV366" s="4922"/>
      <c r="AW366" s="4922"/>
      <c r="AX366" s="1048"/>
      <c r="AY366" s="4922"/>
      <c r="AZ366" s="4922"/>
      <c r="BA366" s="1048"/>
      <c r="BB366" s="4622"/>
      <c r="BC366" s="4922"/>
      <c r="BD366" s="4622"/>
      <c r="BE366" s="4622"/>
      <c r="BF366" s="4622"/>
      <c r="BG366" s="4622"/>
      <c r="BH366" s="1048"/>
      <c r="BI366" s="4622"/>
      <c r="BJ366" s="1048"/>
      <c r="BK366" s="4415" t="s">
        <v>89</v>
      </c>
      <c r="BL366" s="4415"/>
      <c r="BM366" s="4415">
        <f>J366</f>
        <v>504</v>
      </c>
      <c r="BN366" s="4415"/>
      <c r="BO366" s="4415"/>
      <c r="BP366" s="1048"/>
      <c r="BQ366" s="4414"/>
      <c r="BR366" s="1048"/>
      <c r="BS366" s="911"/>
      <c r="BT366" s="911"/>
      <c r="BU366" s="911"/>
      <c r="BV366" s="911"/>
      <c r="BW366" s="911"/>
      <c r="BX366" s="910"/>
      <c r="BY366" s="910"/>
      <c r="BZ366" s="3708">
        <f t="shared" si="165"/>
        <v>504</v>
      </c>
      <c r="CA366" s="4154">
        <f t="shared" si="166"/>
        <v>0</v>
      </c>
      <c r="CB366" s="4923"/>
      <c r="CC366" s="4923"/>
      <c r="CD366" s="4323"/>
      <c r="CE366" s="4323"/>
      <c r="CF366" s="4323"/>
    </row>
    <row r="367" s="4316" customFormat="1" ht="50" customHeight="1" spans="1:84">
      <c r="A367" s="4500">
        <v>45863</v>
      </c>
      <c r="B367" s="4501" t="s">
        <v>371</v>
      </c>
      <c r="C367" s="3708" t="s">
        <v>341</v>
      </c>
      <c r="D367" s="4502">
        <v>4500175025</v>
      </c>
      <c r="E367" s="3708" t="s">
        <v>1851</v>
      </c>
      <c r="F367" s="4502" t="s">
        <v>1855</v>
      </c>
      <c r="G367" s="3708"/>
      <c r="H367" s="3708" t="s">
        <v>685</v>
      </c>
      <c r="I367" s="3699" t="s">
        <v>328</v>
      </c>
      <c r="J367" s="4154">
        <v>504</v>
      </c>
      <c r="K367" s="4154">
        <v>0</v>
      </c>
      <c r="L367" s="4154">
        <v>12</v>
      </c>
      <c r="M367" s="4154">
        <f t="shared" si="169"/>
        <v>42</v>
      </c>
      <c r="N367" s="4503">
        <v>45901</v>
      </c>
      <c r="O367" s="4503">
        <f t="shared" si="182"/>
        <v>45897</v>
      </c>
      <c r="P367" s="3708"/>
      <c r="Q367" s="4154" t="s">
        <v>82</v>
      </c>
      <c r="R367" s="4157">
        <v>504</v>
      </c>
      <c r="S367" s="4157">
        <f t="shared" si="183"/>
        <v>0</v>
      </c>
      <c r="T367" s="4157"/>
      <c r="U367" s="3726" t="s">
        <v>1853</v>
      </c>
      <c r="V367" s="3711" t="s">
        <v>1793</v>
      </c>
      <c r="W367" s="3711"/>
      <c r="X367" s="3711" t="s">
        <v>1839</v>
      </c>
      <c r="Y367" s="3711"/>
      <c r="Z367" s="3711" t="s">
        <v>1840</v>
      </c>
      <c r="AA367" s="4154"/>
      <c r="AB367" s="3680" t="s">
        <v>1843</v>
      </c>
      <c r="AC367" s="4154" t="s">
        <v>380</v>
      </c>
      <c r="AD367" s="4504">
        <v>2.07</v>
      </c>
      <c r="AE367" s="4154">
        <f t="shared" si="184"/>
        <v>1043.28</v>
      </c>
      <c r="AF367" s="3726"/>
      <c r="AG367" s="3726"/>
      <c r="AH367" s="4422"/>
      <c r="AI367" s="3708"/>
      <c r="AJ367" s="4422"/>
      <c r="AK367" s="3708">
        <f t="shared" si="185"/>
        <v>504</v>
      </c>
      <c r="AL367" s="3708"/>
      <c r="AM367" s="4154"/>
      <c r="AN367" s="907"/>
      <c r="AO367" s="1048">
        <f t="shared" si="181"/>
        <v>504</v>
      </c>
      <c r="AP367" s="1048"/>
      <c r="AQ367" s="907"/>
      <c r="AR367" s="907"/>
      <c r="AS367" s="1048">
        <f t="shared" si="186"/>
        <v>504</v>
      </c>
      <c r="AT367" s="1048"/>
      <c r="AU367" s="907"/>
      <c r="AV367" s="4922"/>
      <c r="AW367" s="4922"/>
      <c r="AX367" s="1048"/>
      <c r="AY367" s="4922"/>
      <c r="AZ367" s="4922"/>
      <c r="BA367" s="1048"/>
      <c r="BB367" s="4622"/>
      <c r="BC367" s="4922"/>
      <c r="BD367" s="4622"/>
      <c r="BE367" s="4622"/>
      <c r="BF367" s="4622"/>
      <c r="BG367" s="4622"/>
      <c r="BH367" s="1048"/>
      <c r="BI367" s="4622"/>
      <c r="BJ367" s="1048"/>
      <c r="BK367" s="4415" t="s">
        <v>89</v>
      </c>
      <c r="BL367" s="4415"/>
      <c r="BM367" s="4415"/>
      <c r="BN367" s="4415"/>
      <c r="BO367" s="4415"/>
      <c r="BP367" s="4415"/>
      <c r="BQ367" s="1048">
        <f>J367-BS367</f>
        <v>504</v>
      </c>
      <c r="BR367" s="1048"/>
      <c r="BS367" s="911"/>
      <c r="BT367" s="911"/>
      <c r="BU367" s="911"/>
      <c r="BV367" s="911"/>
      <c r="BW367" s="911"/>
      <c r="BX367" s="910"/>
      <c r="BY367" s="910"/>
      <c r="BZ367" s="3708">
        <f t="shared" si="165"/>
        <v>504</v>
      </c>
      <c r="CA367" s="4154">
        <f t="shared" si="166"/>
        <v>0</v>
      </c>
      <c r="CB367" s="4923"/>
      <c r="CC367" s="4923"/>
      <c r="CD367" s="4323"/>
      <c r="CE367" s="4323"/>
      <c r="CF367" s="4323"/>
    </row>
    <row r="368" s="4316" customFormat="1" ht="50" customHeight="1" spans="1:84">
      <c r="A368" s="4500">
        <v>45863</v>
      </c>
      <c r="B368" s="4501" t="s">
        <v>1641</v>
      </c>
      <c r="C368" s="3708" t="s">
        <v>396</v>
      </c>
      <c r="D368" s="4502">
        <v>4500175030</v>
      </c>
      <c r="E368" s="3708" t="s">
        <v>1856</v>
      </c>
      <c r="F368" s="4502" t="s">
        <v>1857</v>
      </c>
      <c r="G368" s="3708"/>
      <c r="H368" s="3708" t="s">
        <v>1020</v>
      </c>
      <c r="I368" s="3699" t="s">
        <v>328</v>
      </c>
      <c r="J368" s="4593">
        <v>24</v>
      </c>
      <c r="K368" s="4154">
        <v>0</v>
      </c>
      <c r="L368" s="4154">
        <v>12</v>
      </c>
      <c r="M368" s="4154">
        <f t="shared" si="169"/>
        <v>2</v>
      </c>
      <c r="N368" s="4503">
        <v>45905</v>
      </c>
      <c r="O368" s="4503">
        <v>45901</v>
      </c>
      <c r="P368" s="3708"/>
      <c r="Q368" s="4154" t="s">
        <v>82</v>
      </c>
      <c r="R368" s="4157">
        <v>24</v>
      </c>
      <c r="S368" s="4157">
        <f t="shared" si="183"/>
        <v>0</v>
      </c>
      <c r="T368" s="4157"/>
      <c r="U368" s="3726" t="s">
        <v>1858</v>
      </c>
      <c r="V368" s="3711" t="s">
        <v>1859</v>
      </c>
      <c r="W368" s="3711"/>
      <c r="X368" s="3711" t="s">
        <v>1505</v>
      </c>
      <c r="Y368" s="3711"/>
      <c r="Z368" s="3711"/>
      <c r="AA368" s="4154"/>
      <c r="AB368" s="3680" t="s">
        <v>1860</v>
      </c>
      <c r="AC368" s="4154" t="s">
        <v>369</v>
      </c>
      <c r="AD368" s="4504">
        <v>2.0947</v>
      </c>
      <c r="AE368" s="4154">
        <f t="shared" si="184"/>
        <v>50.2728</v>
      </c>
      <c r="AF368" s="3726"/>
      <c r="AG368" s="3726"/>
      <c r="AH368" s="4422"/>
      <c r="AI368" s="3708"/>
      <c r="AJ368" s="4422"/>
      <c r="AK368" s="3708">
        <f t="shared" si="185"/>
        <v>24</v>
      </c>
      <c r="AL368" s="3708"/>
      <c r="AM368" s="4154"/>
      <c r="AN368" s="907"/>
      <c r="AO368" s="1048">
        <f t="shared" si="181"/>
        <v>24</v>
      </c>
      <c r="AP368" s="1048"/>
      <c r="AQ368" s="907"/>
      <c r="AR368" s="907"/>
      <c r="AS368" s="1048"/>
      <c r="AT368" s="1048">
        <f>J368</f>
        <v>24</v>
      </c>
      <c r="AU368" s="907"/>
      <c r="AV368" s="4922"/>
      <c r="AW368" s="4922"/>
      <c r="AX368" s="1048"/>
      <c r="AY368" s="4922"/>
      <c r="AZ368" s="4922"/>
      <c r="BA368" s="1048"/>
      <c r="BB368" s="4622"/>
      <c r="BC368" s="4922"/>
      <c r="BD368" s="4622"/>
      <c r="BE368" s="4622"/>
      <c r="BF368" s="4622"/>
      <c r="BG368" s="4622"/>
      <c r="BH368" s="1048"/>
      <c r="BI368" s="4622"/>
      <c r="BJ368" s="1048"/>
      <c r="BK368" s="4415" t="s">
        <v>89</v>
      </c>
      <c r="BL368" s="4415">
        <f t="shared" ref="BL368:BL389" si="187">J368/60*1</f>
        <v>0.4</v>
      </c>
      <c r="BM368" s="4415"/>
      <c r="BN368" s="4415">
        <f>J368-BL368</f>
        <v>23.6</v>
      </c>
      <c r="BO368" s="4415"/>
      <c r="BP368" s="4415"/>
      <c r="BQ368" s="4414"/>
      <c r="BR368" s="1048"/>
      <c r="BS368" s="911"/>
      <c r="BT368" s="911"/>
      <c r="BU368" s="911"/>
      <c r="BV368" s="911"/>
      <c r="BW368" s="911"/>
      <c r="BX368" s="910"/>
      <c r="BY368" s="910"/>
      <c r="BZ368" s="4505">
        <f t="shared" si="165"/>
        <v>24</v>
      </c>
      <c r="CA368" s="4154">
        <f t="shared" si="166"/>
        <v>0</v>
      </c>
      <c r="CB368" s="4923"/>
      <c r="CC368" s="4923"/>
      <c r="CD368" s="4323"/>
      <c r="CE368" s="4323"/>
      <c r="CF368" s="4323"/>
    </row>
    <row r="369" s="4316" customFormat="1" ht="50" customHeight="1" spans="1:84">
      <c r="A369" s="4500">
        <v>45863</v>
      </c>
      <c r="B369" s="4501" t="s">
        <v>1641</v>
      </c>
      <c r="C369" s="3708" t="s">
        <v>396</v>
      </c>
      <c r="D369" s="4502">
        <v>4500175030</v>
      </c>
      <c r="E369" s="3708" t="s">
        <v>1861</v>
      </c>
      <c r="F369" s="4502" t="s">
        <v>1862</v>
      </c>
      <c r="G369" s="3708"/>
      <c r="H369" s="3708" t="s">
        <v>1020</v>
      </c>
      <c r="I369" s="3699" t="s">
        <v>328</v>
      </c>
      <c r="J369" s="4593">
        <v>36</v>
      </c>
      <c r="K369" s="4154">
        <v>0</v>
      </c>
      <c r="L369" s="4154">
        <v>12</v>
      </c>
      <c r="M369" s="4154">
        <f t="shared" si="169"/>
        <v>3</v>
      </c>
      <c r="N369" s="4503">
        <v>45905</v>
      </c>
      <c r="O369" s="4503">
        <v>45901</v>
      </c>
      <c r="P369" s="3708"/>
      <c r="Q369" s="4154" t="s">
        <v>82</v>
      </c>
      <c r="R369" s="4157">
        <v>36</v>
      </c>
      <c r="S369" s="4157">
        <f t="shared" si="183"/>
        <v>0</v>
      </c>
      <c r="T369" s="4157"/>
      <c r="U369" s="3726" t="s">
        <v>1858</v>
      </c>
      <c r="V369" s="3711" t="s">
        <v>1859</v>
      </c>
      <c r="W369" s="3711"/>
      <c r="X369" s="3711" t="s">
        <v>1505</v>
      </c>
      <c r="Y369" s="3711"/>
      <c r="Z369" s="3711"/>
      <c r="AA369" s="4154"/>
      <c r="AB369" s="3680" t="s">
        <v>1860</v>
      </c>
      <c r="AC369" s="4154" t="s">
        <v>369</v>
      </c>
      <c r="AD369" s="4504">
        <v>2.0947</v>
      </c>
      <c r="AE369" s="4154">
        <f t="shared" si="184"/>
        <v>75.4092</v>
      </c>
      <c r="AF369" s="3726"/>
      <c r="AG369" s="3726"/>
      <c r="AH369" s="4422"/>
      <c r="AI369" s="3708"/>
      <c r="AJ369" s="4422"/>
      <c r="AK369" s="3708">
        <f t="shared" si="185"/>
        <v>36</v>
      </c>
      <c r="AL369" s="3708"/>
      <c r="AM369" s="4154"/>
      <c r="AN369" s="907"/>
      <c r="AO369" s="1048">
        <f t="shared" si="181"/>
        <v>36</v>
      </c>
      <c r="AP369" s="1048"/>
      <c r="AQ369" s="907"/>
      <c r="AR369" s="907"/>
      <c r="AS369" s="1048"/>
      <c r="AT369" s="1048">
        <f>J369</f>
        <v>36</v>
      </c>
      <c r="AU369" s="907"/>
      <c r="AV369" s="4922"/>
      <c r="AW369" s="4922"/>
      <c r="AX369" s="1048"/>
      <c r="AY369" s="4922"/>
      <c r="AZ369" s="4922"/>
      <c r="BA369" s="1048"/>
      <c r="BB369" s="4622"/>
      <c r="BC369" s="4922"/>
      <c r="BD369" s="4622"/>
      <c r="BE369" s="4622"/>
      <c r="BF369" s="4622"/>
      <c r="BG369" s="4622"/>
      <c r="BH369" s="1048"/>
      <c r="BI369" s="4622"/>
      <c r="BJ369" s="1048"/>
      <c r="BK369" s="4415" t="s">
        <v>89</v>
      </c>
      <c r="BL369" s="4415">
        <f t="shared" si="187"/>
        <v>0.6</v>
      </c>
      <c r="BM369" s="4415"/>
      <c r="BN369" s="4415">
        <f>J369-BL369</f>
        <v>35.4</v>
      </c>
      <c r="BO369" s="4415"/>
      <c r="BP369" s="4415"/>
      <c r="BQ369" s="4414"/>
      <c r="BR369" s="1048"/>
      <c r="BS369" s="911"/>
      <c r="BT369" s="911"/>
      <c r="BU369" s="911"/>
      <c r="BV369" s="911"/>
      <c r="BW369" s="911"/>
      <c r="BX369" s="910"/>
      <c r="BY369" s="910"/>
      <c r="BZ369" s="4505">
        <f t="shared" si="165"/>
        <v>36</v>
      </c>
      <c r="CA369" s="4154">
        <f t="shared" si="166"/>
        <v>0</v>
      </c>
      <c r="CB369" s="4923"/>
      <c r="CC369" s="4923"/>
      <c r="CD369" s="4323"/>
      <c r="CE369" s="4323"/>
      <c r="CF369" s="4323"/>
    </row>
    <row r="370" s="4316" customFormat="1" ht="50" customHeight="1" spans="1:84">
      <c r="A370" s="4500">
        <v>45863</v>
      </c>
      <c r="B370" s="4501" t="s">
        <v>1641</v>
      </c>
      <c r="C370" s="3708" t="s">
        <v>396</v>
      </c>
      <c r="D370" s="4502">
        <v>4500175030</v>
      </c>
      <c r="E370" s="3708" t="s">
        <v>1863</v>
      </c>
      <c r="F370" s="4502" t="s">
        <v>1864</v>
      </c>
      <c r="G370" s="3708"/>
      <c r="H370" s="3708" t="s">
        <v>1020</v>
      </c>
      <c r="I370" s="3699" t="s">
        <v>328</v>
      </c>
      <c r="J370" s="4593">
        <v>84</v>
      </c>
      <c r="K370" s="4154">
        <v>0</v>
      </c>
      <c r="L370" s="4154">
        <v>12</v>
      </c>
      <c r="M370" s="4154">
        <f t="shared" si="169"/>
        <v>7</v>
      </c>
      <c r="N370" s="4503">
        <v>45905</v>
      </c>
      <c r="O370" s="4503">
        <v>45901</v>
      </c>
      <c r="P370" s="3708"/>
      <c r="Q370" s="4154" t="s">
        <v>82</v>
      </c>
      <c r="R370" s="4157">
        <v>84</v>
      </c>
      <c r="S370" s="4157">
        <f t="shared" si="183"/>
        <v>0</v>
      </c>
      <c r="T370" s="4157"/>
      <c r="U370" s="3726" t="s">
        <v>1858</v>
      </c>
      <c r="V370" s="3711" t="s">
        <v>1859</v>
      </c>
      <c r="W370" s="3711"/>
      <c r="X370" s="3711" t="s">
        <v>1505</v>
      </c>
      <c r="Y370" s="3711"/>
      <c r="Z370" s="3711"/>
      <c r="AA370" s="4154"/>
      <c r="AB370" s="3680" t="s">
        <v>1860</v>
      </c>
      <c r="AC370" s="4154" t="s">
        <v>369</v>
      </c>
      <c r="AD370" s="4504">
        <v>2.0947</v>
      </c>
      <c r="AE370" s="4154">
        <f t="shared" si="184"/>
        <v>175.9548</v>
      </c>
      <c r="AF370" s="3726"/>
      <c r="AG370" s="3726"/>
      <c r="AH370" s="4422"/>
      <c r="AI370" s="3708"/>
      <c r="AJ370" s="4422"/>
      <c r="AK370" s="3708">
        <f t="shared" si="185"/>
        <v>84</v>
      </c>
      <c r="AL370" s="3708"/>
      <c r="AM370" s="4154"/>
      <c r="AN370" s="907"/>
      <c r="AO370" s="1048">
        <f t="shared" si="181"/>
        <v>84</v>
      </c>
      <c r="AP370" s="1048"/>
      <c r="AQ370" s="907"/>
      <c r="AR370" s="907"/>
      <c r="AS370" s="1048"/>
      <c r="AT370" s="1048">
        <f>J370</f>
        <v>84</v>
      </c>
      <c r="AU370" s="907"/>
      <c r="AV370" s="4922"/>
      <c r="AW370" s="4922"/>
      <c r="AX370" s="1048"/>
      <c r="AY370" s="4922"/>
      <c r="AZ370" s="4922"/>
      <c r="BA370" s="1048"/>
      <c r="BB370" s="4622"/>
      <c r="BC370" s="4922"/>
      <c r="BD370" s="4622"/>
      <c r="BE370" s="4622"/>
      <c r="BF370" s="4622"/>
      <c r="BG370" s="4622"/>
      <c r="BH370" s="1048"/>
      <c r="BI370" s="4622"/>
      <c r="BJ370" s="1048"/>
      <c r="BK370" s="4415" t="s">
        <v>89</v>
      </c>
      <c r="BL370" s="4415">
        <f t="shared" si="187"/>
        <v>1.4</v>
      </c>
      <c r="BM370" s="4415"/>
      <c r="BN370" s="4415">
        <f>J370-BL370</f>
        <v>82.6</v>
      </c>
      <c r="BO370" s="4415"/>
      <c r="BP370" s="4415"/>
      <c r="BQ370" s="4414"/>
      <c r="BR370" s="1048"/>
      <c r="BS370" s="911"/>
      <c r="BT370" s="911"/>
      <c r="BU370" s="911"/>
      <c r="BV370" s="911"/>
      <c r="BW370" s="911"/>
      <c r="BX370" s="910"/>
      <c r="BY370" s="910"/>
      <c r="BZ370" s="4505">
        <f t="shared" si="165"/>
        <v>84</v>
      </c>
      <c r="CA370" s="4154">
        <f t="shared" si="166"/>
        <v>0</v>
      </c>
      <c r="CB370" s="4923"/>
      <c r="CC370" s="4923"/>
      <c r="CD370" s="4323"/>
      <c r="CE370" s="4323"/>
      <c r="CF370" s="4323"/>
    </row>
    <row r="371" s="4316" customFormat="1" ht="50" customHeight="1" spans="1:84">
      <c r="A371" s="4500">
        <v>45863</v>
      </c>
      <c r="B371" s="4501" t="s">
        <v>1641</v>
      </c>
      <c r="C371" s="3708" t="s">
        <v>396</v>
      </c>
      <c r="D371" s="4502">
        <v>4500175030</v>
      </c>
      <c r="E371" s="3708" t="s">
        <v>1865</v>
      </c>
      <c r="F371" s="4502" t="s">
        <v>1866</v>
      </c>
      <c r="G371" s="3708"/>
      <c r="H371" s="3708" t="s">
        <v>1020</v>
      </c>
      <c r="I371" s="3699" t="s">
        <v>328</v>
      </c>
      <c r="J371" s="4593">
        <v>12</v>
      </c>
      <c r="K371" s="4154">
        <v>0</v>
      </c>
      <c r="L371" s="4154">
        <v>12</v>
      </c>
      <c r="M371" s="4154">
        <f t="shared" si="169"/>
        <v>1</v>
      </c>
      <c r="N371" s="4503">
        <v>45905</v>
      </c>
      <c r="O371" s="4503">
        <v>45901</v>
      </c>
      <c r="P371" s="3708"/>
      <c r="Q371" s="4154" t="s">
        <v>82</v>
      </c>
      <c r="R371" s="4157">
        <v>12</v>
      </c>
      <c r="S371" s="4157">
        <f t="shared" si="183"/>
        <v>0</v>
      </c>
      <c r="T371" s="4157"/>
      <c r="U371" s="3726" t="s">
        <v>1858</v>
      </c>
      <c r="V371" s="3711" t="s">
        <v>1859</v>
      </c>
      <c r="W371" s="3711"/>
      <c r="X371" s="3711" t="s">
        <v>1505</v>
      </c>
      <c r="Y371" s="3711"/>
      <c r="Z371" s="3711"/>
      <c r="AA371" s="4154"/>
      <c r="AB371" s="3680" t="s">
        <v>1860</v>
      </c>
      <c r="AC371" s="4154" t="s">
        <v>369</v>
      </c>
      <c r="AD371" s="4504">
        <v>2.0947</v>
      </c>
      <c r="AE371" s="4154">
        <f t="shared" si="184"/>
        <v>25.1364</v>
      </c>
      <c r="AF371" s="3726"/>
      <c r="AG371" s="3726"/>
      <c r="AH371" s="4422"/>
      <c r="AI371" s="3708"/>
      <c r="AJ371" s="4422"/>
      <c r="AK371" s="3708">
        <f t="shared" si="185"/>
        <v>12</v>
      </c>
      <c r="AL371" s="3708"/>
      <c r="AM371" s="4154"/>
      <c r="AN371" s="907"/>
      <c r="AO371" s="1048">
        <f t="shared" si="181"/>
        <v>12</v>
      </c>
      <c r="AP371" s="1048"/>
      <c r="AQ371" s="907"/>
      <c r="AR371" s="907"/>
      <c r="AS371" s="1048"/>
      <c r="AT371" s="1048">
        <f>J371</f>
        <v>12</v>
      </c>
      <c r="AU371" s="907"/>
      <c r="AV371" s="4922"/>
      <c r="AW371" s="4922"/>
      <c r="AX371" s="1048"/>
      <c r="AY371" s="4922"/>
      <c r="AZ371" s="4922"/>
      <c r="BA371" s="1048"/>
      <c r="BB371" s="4622"/>
      <c r="BC371" s="4922"/>
      <c r="BD371" s="4622"/>
      <c r="BE371" s="4622"/>
      <c r="BF371" s="4622"/>
      <c r="BG371" s="4622"/>
      <c r="BH371" s="1048"/>
      <c r="BI371" s="4622"/>
      <c r="BJ371" s="1048"/>
      <c r="BK371" s="4415" t="s">
        <v>89</v>
      </c>
      <c r="BL371" s="4415">
        <f t="shared" si="187"/>
        <v>0.2</v>
      </c>
      <c r="BM371" s="4415"/>
      <c r="BN371" s="4415">
        <f>J371-BL371</f>
        <v>11.8</v>
      </c>
      <c r="BO371" s="4415"/>
      <c r="BP371" s="4415"/>
      <c r="BQ371" s="4414"/>
      <c r="BR371" s="1048"/>
      <c r="BS371" s="911"/>
      <c r="BT371" s="911"/>
      <c r="BU371" s="911"/>
      <c r="BV371" s="911"/>
      <c r="BW371" s="911"/>
      <c r="BX371" s="910"/>
      <c r="BY371" s="910"/>
      <c r="BZ371" s="4505">
        <f t="shared" si="165"/>
        <v>12</v>
      </c>
      <c r="CA371" s="4154">
        <f t="shared" si="166"/>
        <v>0</v>
      </c>
      <c r="CB371" s="4923"/>
      <c r="CC371" s="4923"/>
      <c r="CD371" s="4323"/>
      <c r="CE371" s="4323"/>
      <c r="CF371" s="4323"/>
    </row>
    <row r="372" s="4316" customFormat="1" ht="50" customHeight="1" spans="1:84">
      <c r="A372" s="4500">
        <v>45863</v>
      </c>
      <c r="B372" s="4501" t="s">
        <v>1641</v>
      </c>
      <c r="C372" s="3708" t="s">
        <v>396</v>
      </c>
      <c r="D372" s="4502">
        <v>4500175030</v>
      </c>
      <c r="E372" s="3708" t="s">
        <v>1867</v>
      </c>
      <c r="F372" s="4502" t="s">
        <v>1868</v>
      </c>
      <c r="G372" s="3708"/>
      <c r="H372" s="3708" t="s">
        <v>1020</v>
      </c>
      <c r="I372" s="3699" t="s">
        <v>328</v>
      </c>
      <c r="J372" s="4593">
        <v>24</v>
      </c>
      <c r="K372" s="4154">
        <v>0</v>
      </c>
      <c r="L372" s="4154">
        <v>12</v>
      </c>
      <c r="M372" s="4154">
        <f t="shared" si="169"/>
        <v>2</v>
      </c>
      <c r="N372" s="4503">
        <v>45905</v>
      </c>
      <c r="O372" s="4503">
        <v>45901</v>
      </c>
      <c r="P372" s="3708"/>
      <c r="Q372" s="4154" t="s">
        <v>82</v>
      </c>
      <c r="R372" s="4157">
        <v>24</v>
      </c>
      <c r="S372" s="4157">
        <f t="shared" si="183"/>
        <v>0</v>
      </c>
      <c r="T372" s="4157"/>
      <c r="U372" s="3726" t="s">
        <v>1858</v>
      </c>
      <c r="V372" s="3711" t="s">
        <v>1859</v>
      </c>
      <c r="W372" s="3711"/>
      <c r="X372" s="3711" t="s">
        <v>1505</v>
      </c>
      <c r="Y372" s="3711"/>
      <c r="Z372" s="3711"/>
      <c r="AA372" s="4154"/>
      <c r="AB372" s="3680" t="s">
        <v>1860</v>
      </c>
      <c r="AC372" s="4154" t="s">
        <v>369</v>
      </c>
      <c r="AD372" s="4504">
        <v>2.0947</v>
      </c>
      <c r="AE372" s="4154">
        <f t="shared" si="184"/>
        <v>50.2728</v>
      </c>
      <c r="AF372" s="3726"/>
      <c r="AG372" s="3726"/>
      <c r="AH372" s="4422"/>
      <c r="AI372" s="3708"/>
      <c r="AJ372" s="4422"/>
      <c r="AK372" s="3708">
        <f t="shared" si="185"/>
        <v>24</v>
      </c>
      <c r="AL372" s="3708"/>
      <c r="AM372" s="4154"/>
      <c r="AN372" s="907"/>
      <c r="AO372" s="1048">
        <f t="shared" si="181"/>
        <v>24</v>
      </c>
      <c r="AP372" s="1048"/>
      <c r="AQ372" s="907"/>
      <c r="AR372" s="907"/>
      <c r="AS372" s="1048"/>
      <c r="AT372" s="1048">
        <f>J372</f>
        <v>24</v>
      </c>
      <c r="AU372" s="907"/>
      <c r="AV372" s="4922"/>
      <c r="AW372" s="4922"/>
      <c r="AX372" s="1048"/>
      <c r="AY372" s="4922"/>
      <c r="AZ372" s="4922"/>
      <c r="BA372" s="1048"/>
      <c r="BB372" s="4622"/>
      <c r="BC372" s="4922"/>
      <c r="BD372" s="4622"/>
      <c r="BE372" s="4622"/>
      <c r="BF372" s="4622"/>
      <c r="BG372" s="4622"/>
      <c r="BH372" s="1048"/>
      <c r="BI372" s="4622"/>
      <c r="BJ372" s="1048"/>
      <c r="BK372" s="4415" t="s">
        <v>89</v>
      </c>
      <c r="BL372" s="4415">
        <f t="shared" si="187"/>
        <v>0.4</v>
      </c>
      <c r="BM372" s="4415"/>
      <c r="BN372" s="4415">
        <f>J372-BL372</f>
        <v>23.6</v>
      </c>
      <c r="BO372" s="4415"/>
      <c r="BP372" s="4415"/>
      <c r="BQ372" s="4414"/>
      <c r="BR372" s="1048"/>
      <c r="BS372" s="911"/>
      <c r="BT372" s="911"/>
      <c r="BU372" s="911"/>
      <c r="BV372" s="911"/>
      <c r="BW372" s="911"/>
      <c r="BX372" s="910"/>
      <c r="BY372" s="910"/>
      <c r="BZ372" s="4505">
        <f t="shared" si="165"/>
        <v>24</v>
      </c>
      <c r="CA372" s="4154">
        <f t="shared" si="166"/>
        <v>0</v>
      </c>
      <c r="CB372" s="4923"/>
      <c r="CC372" s="4923"/>
      <c r="CD372" s="4323"/>
      <c r="CE372" s="4323"/>
      <c r="CF372" s="4323"/>
    </row>
    <row r="373" s="4316" customFormat="1" ht="50" customHeight="1" spans="1:84">
      <c r="A373" s="4500">
        <v>45840</v>
      </c>
      <c r="B373" s="3708" t="s">
        <v>90</v>
      </c>
      <c r="C373" s="3708" t="s">
        <v>91</v>
      </c>
      <c r="D373" s="4154">
        <v>4500172378</v>
      </c>
      <c r="E373" s="3708" t="s">
        <v>1869</v>
      </c>
      <c r="F373" s="3708" t="s">
        <v>1870</v>
      </c>
      <c r="G373" s="3708"/>
      <c r="H373" s="3708" t="s">
        <v>409</v>
      </c>
      <c r="I373" s="3708" t="s">
        <v>410</v>
      </c>
      <c r="J373" s="4154">
        <v>8004</v>
      </c>
      <c r="K373" s="4154">
        <v>0</v>
      </c>
      <c r="L373" s="4154">
        <v>12</v>
      </c>
      <c r="M373" s="4154">
        <f t="shared" si="169"/>
        <v>667</v>
      </c>
      <c r="N373" s="4503">
        <v>45891</v>
      </c>
      <c r="O373" s="4503">
        <f>N373-4</f>
        <v>45887</v>
      </c>
      <c r="P373" s="4154"/>
      <c r="Q373" s="4154" t="s">
        <v>82</v>
      </c>
      <c r="R373" s="4157">
        <v>8004</v>
      </c>
      <c r="S373" s="4157">
        <f t="shared" si="183"/>
        <v>0</v>
      </c>
      <c r="T373" s="4157"/>
      <c r="U373" s="3726" t="s">
        <v>1821</v>
      </c>
      <c r="V373" s="3711" t="s">
        <v>1676</v>
      </c>
      <c r="W373" s="3711"/>
      <c r="X373" s="3711" t="s">
        <v>1099</v>
      </c>
      <c r="Y373" s="3711"/>
      <c r="Z373" s="3711" t="s">
        <v>1818</v>
      </c>
      <c r="AA373" s="4154"/>
      <c r="AB373" s="3713" t="s">
        <v>432</v>
      </c>
      <c r="AC373" s="3711" t="s">
        <v>101</v>
      </c>
      <c r="AD373" s="4504">
        <v>1.6018</v>
      </c>
      <c r="AE373" s="4154">
        <f t="shared" si="184"/>
        <v>12820.8072</v>
      </c>
      <c r="AF373" s="3726"/>
      <c r="AG373" s="3726"/>
      <c r="AH373" s="4448"/>
      <c r="AI373" s="3708">
        <f>J373</f>
        <v>8004</v>
      </c>
      <c r="AJ373" s="4448"/>
      <c r="AK373" s="3708"/>
      <c r="AL373" s="3708"/>
      <c r="AM373" s="4154"/>
      <c r="AN373" s="4411"/>
      <c r="AO373" s="1048">
        <f t="shared" si="181"/>
        <v>8004</v>
      </c>
      <c r="AP373" s="1048"/>
      <c r="AQ373" s="4411"/>
      <c r="AR373" s="4411"/>
      <c r="AS373" s="1048">
        <f t="shared" ref="AS373:AS389" si="188">J373</f>
        <v>8004</v>
      </c>
      <c r="AT373" s="1048"/>
      <c r="AU373" s="4411"/>
      <c r="AV373" s="4933"/>
      <c r="AW373" s="4933"/>
      <c r="AX373" s="1048"/>
      <c r="AY373" s="4933"/>
      <c r="AZ373" s="4933"/>
      <c r="BA373" s="1048"/>
      <c r="BB373" s="4622"/>
      <c r="BC373" s="4933"/>
      <c r="BD373" s="4622"/>
      <c r="BE373" s="4622"/>
      <c r="BF373" s="4622"/>
      <c r="BG373" s="4622"/>
      <c r="BH373" s="1048">
        <f>J373</f>
        <v>8004</v>
      </c>
      <c r="BI373" s="4622"/>
      <c r="BJ373" s="1048"/>
      <c r="BK373" s="4415" t="s">
        <v>89</v>
      </c>
      <c r="BL373" s="4415">
        <f t="shared" si="187"/>
        <v>133.4</v>
      </c>
      <c r="BM373" s="4415">
        <f t="shared" ref="BM373:BM389" si="189">J373/60*9</f>
        <v>1200.6</v>
      </c>
      <c r="BN373" s="4415">
        <f t="shared" ref="BN373:BN389" si="190">J373/60*10</f>
        <v>1334</v>
      </c>
      <c r="BO373" s="4415">
        <f t="shared" ref="BO373:BO389" si="191">J373/60*10</f>
        <v>1334</v>
      </c>
      <c r="BP373" s="4415">
        <f t="shared" ref="BP373:BP389" si="192">J373/60*10</f>
        <v>1334</v>
      </c>
      <c r="BQ373" s="4414">
        <f t="shared" ref="BQ373:BQ389" si="193">J373/60*10</f>
        <v>1334</v>
      </c>
      <c r="BR373" s="1048">
        <f t="shared" ref="BR373:BR389" si="194">J373/60*10</f>
        <v>1334</v>
      </c>
      <c r="BS373" s="4454"/>
      <c r="BT373" s="4458"/>
      <c r="BU373" s="4458"/>
      <c r="BV373" s="4458"/>
      <c r="BW373" s="4458"/>
      <c r="BX373" s="4458"/>
      <c r="BY373" s="4458"/>
      <c r="BZ373" s="3708">
        <f t="shared" si="165"/>
        <v>8004</v>
      </c>
      <c r="CA373" s="4154">
        <f t="shared" si="166"/>
        <v>0</v>
      </c>
      <c r="CB373" s="4934"/>
      <c r="CC373" s="4934"/>
      <c r="CD373" s="4323"/>
      <c r="CE373" s="4323"/>
      <c r="CF373" s="4323"/>
    </row>
    <row r="374" s="4316" customFormat="1" ht="50" customHeight="1" spans="1:84">
      <c r="A374" s="4500">
        <v>45840</v>
      </c>
      <c r="B374" s="3708" t="s">
        <v>90</v>
      </c>
      <c r="C374" s="3708" t="s">
        <v>91</v>
      </c>
      <c r="D374" s="4154">
        <v>4500172374</v>
      </c>
      <c r="E374" s="3708" t="s">
        <v>1871</v>
      </c>
      <c r="F374" s="3708" t="s">
        <v>1872</v>
      </c>
      <c r="G374" s="3708"/>
      <c r="H374" s="3708" t="s">
        <v>409</v>
      </c>
      <c r="I374" s="3708" t="s">
        <v>410</v>
      </c>
      <c r="J374" s="4154">
        <v>7800</v>
      </c>
      <c r="K374" s="4154">
        <v>0</v>
      </c>
      <c r="L374" s="4154">
        <v>12</v>
      </c>
      <c r="M374" s="4154">
        <f t="shared" si="169"/>
        <v>650</v>
      </c>
      <c r="N374" s="4503">
        <v>45891</v>
      </c>
      <c r="O374" s="4503">
        <f>N374-4</f>
        <v>45887</v>
      </c>
      <c r="P374" s="4154"/>
      <c r="Q374" s="4154" t="s">
        <v>82</v>
      </c>
      <c r="R374" s="4157">
        <v>7800</v>
      </c>
      <c r="S374" s="4157">
        <f t="shared" si="183"/>
        <v>0</v>
      </c>
      <c r="T374" s="4157"/>
      <c r="U374" s="3726" t="s">
        <v>1806</v>
      </c>
      <c r="V374" s="3711" t="s">
        <v>1676</v>
      </c>
      <c r="W374" s="3711"/>
      <c r="X374" s="3711" t="s">
        <v>1099</v>
      </c>
      <c r="Y374" s="3711"/>
      <c r="Z374" s="3711" t="s">
        <v>1818</v>
      </c>
      <c r="AA374" s="4154"/>
      <c r="AB374" s="3713" t="s">
        <v>432</v>
      </c>
      <c r="AC374" s="3711" t="s">
        <v>101</v>
      </c>
      <c r="AD374" s="4504">
        <v>1.6018</v>
      </c>
      <c r="AE374" s="4154">
        <f t="shared" si="184"/>
        <v>12494.04</v>
      </c>
      <c r="AF374" s="3726"/>
      <c r="AG374" s="3726"/>
      <c r="AH374" s="4448"/>
      <c r="AI374" s="3708">
        <f>J374</f>
        <v>7800</v>
      </c>
      <c r="AJ374" s="4448"/>
      <c r="AK374" s="3708"/>
      <c r="AL374" s="3708"/>
      <c r="AM374" s="4154"/>
      <c r="AN374" s="4411"/>
      <c r="AO374" s="1048">
        <f t="shared" si="181"/>
        <v>7800</v>
      </c>
      <c r="AP374" s="1048"/>
      <c r="AQ374" s="4411"/>
      <c r="AR374" s="4411"/>
      <c r="AS374" s="1048">
        <f t="shared" si="188"/>
        <v>7800</v>
      </c>
      <c r="AT374" s="1048"/>
      <c r="AU374" s="4411"/>
      <c r="AV374" s="4933"/>
      <c r="AW374" s="4933"/>
      <c r="AX374" s="1048"/>
      <c r="AY374" s="4933"/>
      <c r="AZ374" s="4933"/>
      <c r="BA374" s="1048"/>
      <c r="BB374" s="4622"/>
      <c r="BC374" s="4933"/>
      <c r="BD374" s="4622"/>
      <c r="BE374" s="4622"/>
      <c r="BF374" s="4622"/>
      <c r="BG374" s="4622"/>
      <c r="BH374" s="1048">
        <f>J374</f>
        <v>7800</v>
      </c>
      <c r="BI374" s="4622"/>
      <c r="BJ374" s="1048"/>
      <c r="BK374" s="4415" t="s">
        <v>89</v>
      </c>
      <c r="BL374" s="4415">
        <f t="shared" si="187"/>
        <v>130</v>
      </c>
      <c r="BM374" s="4415">
        <f t="shared" si="189"/>
        <v>1170</v>
      </c>
      <c r="BN374" s="4415">
        <f t="shared" si="190"/>
        <v>1300</v>
      </c>
      <c r="BO374" s="4415">
        <f t="shared" si="191"/>
        <v>1300</v>
      </c>
      <c r="BP374" s="4415">
        <f t="shared" si="192"/>
        <v>1300</v>
      </c>
      <c r="BQ374" s="4414">
        <f t="shared" si="193"/>
        <v>1300</v>
      </c>
      <c r="BR374" s="1048">
        <f t="shared" si="194"/>
        <v>1300</v>
      </c>
      <c r="BS374" s="4454"/>
      <c r="BT374" s="4458"/>
      <c r="BU374" s="4458"/>
      <c r="BV374" s="4458"/>
      <c r="BW374" s="4458"/>
      <c r="BX374" s="4458"/>
      <c r="BY374" s="4458"/>
      <c r="BZ374" s="3708">
        <f t="shared" si="165"/>
        <v>7800</v>
      </c>
      <c r="CA374" s="4154">
        <f t="shared" si="166"/>
        <v>0</v>
      </c>
      <c r="CB374" s="4934"/>
      <c r="CC374" s="4934"/>
      <c r="CD374" s="4323"/>
      <c r="CE374" s="4323"/>
      <c r="CF374" s="4323"/>
    </row>
    <row r="375" s="4316" customFormat="1" ht="50" customHeight="1" spans="1:84">
      <c r="A375" s="4500">
        <v>45834</v>
      </c>
      <c r="B375" s="4501" t="s">
        <v>1315</v>
      </c>
      <c r="C375" s="3708" t="s">
        <v>1316</v>
      </c>
      <c r="D375" s="4502">
        <v>4500166280</v>
      </c>
      <c r="E375" s="3708" t="s">
        <v>1873</v>
      </c>
      <c r="F375" s="4502" t="s">
        <v>1874</v>
      </c>
      <c r="G375" s="3708"/>
      <c r="H375" s="3708" t="s">
        <v>1319</v>
      </c>
      <c r="I375" s="3708" t="s">
        <v>1320</v>
      </c>
      <c r="J375" s="4154">
        <v>1428</v>
      </c>
      <c r="K375" s="4154">
        <v>0</v>
      </c>
      <c r="L375" s="4154">
        <v>4</v>
      </c>
      <c r="M375" s="4154">
        <f t="shared" si="169"/>
        <v>357</v>
      </c>
      <c r="N375" s="4503">
        <v>45899</v>
      </c>
      <c r="O375" s="4503">
        <f>N375-4</f>
        <v>45895</v>
      </c>
      <c r="P375" s="3712"/>
      <c r="Q375" s="4154" t="s">
        <v>82</v>
      </c>
      <c r="R375" s="4157">
        <f>1104+324</f>
        <v>1428</v>
      </c>
      <c r="S375" s="4157">
        <f t="shared" si="183"/>
        <v>0</v>
      </c>
      <c r="T375" s="4157"/>
      <c r="U375" s="3726" t="s">
        <v>1875</v>
      </c>
      <c r="V375" s="3711" t="s">
        <v>1571</v>
      </c>
      <c r="W375" s="3711"/>
      <c r="X375" s="3711" t="s">
        <v>1876</v>
      </c>
      <c r="Y375" s="3711"/>
      <c r="Z375" s="3711"/>
      <c r="AA375" s="4154" t="s">
        <v>1877</v>
      </c>
      <c r="AB375" s="3680" t="s">
        <v>1376</v>
      </c>
      <c r="AC375" s="4154" t="s">
        <v>1326</v>
      </c>
      <c r="AD375" s="4154">
        <v>16.9368</v>
      </c>
      <c r="AE375" s="4154">
        <f>AD375*M375</f>
        <v>6046.4376</v>
      </c>
      <c r="AF375" s="3726"/>
      <c r="AG375" s="3726"/>
      <c r="AH375" s="4448"/>
      <c r="AI375" s="3708"/>
      <c r="AJ375" s="4448"/>
      <c r="AK375" s="3708"/>
      <c r="AL375" s="3708"/>
      <c r="AM375" s="4154">
        <f>J375</f>
        <v>1428</v>
      </c>
      <c r="AN375" s="4411"/>
      <c r="AO375" s="1048"/>
      <c r="AP375" s="1048">
        <f>J375</f>
        <v>1428</v>
      </c>
      <c r="AQ375" s="4411"/>
      <c r="AR375" s="4411"/>
      <c r="AS375" s="1048">
        <f t="shared" si="188"/>
        <v>1428</v>
      </c>
      <c r="AT375" s="1048"/>
      <c r="AU375" s="4411"/>
      <c r="AV375" s="4933"/>
      <c r="AW375" s="4933"/>
      <c r="AX375" s="1048"/>
      <c r="AY375" s="4933"/>
      <c r="AZ375" s="4933"/>
      <c r="BA375" s="1048"/>
      <c r="BB375" s="4622"/>
      <c r="BC375" s="4933"/>
      <c r="BD375" s="4622"/>
      <c r="BE375" s="4622"/>
      <c r="BF375" s="4622"/>
      <c r="BG375" s="4622"/>
      <c r="BH375" s="1048"/>
      <c r="BI375" s="4622"/>
      <c r="BJ375" s="1048"/>
      <c r="BK375" s="4415" t="s">
        <v>1327</v>
      </c>
      <c r="BL375" s="4415">
        <f t="shared" si="187"/>
        <v>23.8</v>
      </c>
      <c r="BM375" s="4415">
        <f t="shared" si="189"/>
        <v>214.2</v>
      </c>
      <c r="BN375" s="4415">
        <f t="shared" si="190"/>
        <v>238</v>
      </c>
      <c r="BO375" s="4415">
        <f t="shared" si="191"/>
        <v>238</v>
      </c>
      <c r="BP375" s="4415">
        <f t="shared" si="192"/>
        <v>238</v>
      </c>
      <c r="BQ375" s="4414">
        <f t="shared" si="193"/>
        <v>238</v>
      </c>
      <c r="BR375" s="1048">
        <f t="shared" si="194"/>
        <v>238</v>
      </c>
      <c r="BS375" s="4403"/>
      <c r="BT375" s="4454"/>
      <c r="BU375" s="4454"/>
      <c r="BV375" s="4454"/>
      <c r="BW375" s="4454"/>
      <c r="BX375" s="4453"/>
      <c r="BY375" s="4453"/>
      <c r="BZ375" s="3708">
        <f t="shared" si="165"/>
        <v>1428</v>
      </c>
      <c r="CA375" s="4154">
        <f t="shared" si="166"/>
        <v>0</v>
      </c>
      <c r="CB375" s="4934"/>
      <c r="CC375" s="4934"/>
      <c r="CD375" s="4323"/>
      <c r="CE375" s="4323"/>
      <c r="CF375" s="4323"/>
    </row>
    <row r="376" s="4316" customFormat="1" ht="50" customHeight="1" spans="1:84">
      <c r="A376" s="4500">
        <v>45859</v>
      </c>
      <c r="B376" s="4501" t="s">
        <v>1617</v>
      </c>
      <c r="C376" s="3708" t="s">
        <v>91</v>
      </c>
      <c r="D376" s="4502">
        <v>4500174443</v>
      </c>
      <c r="E376" s="3708">
        <v>70072684</v>
      </c>
      <c r="F376" s="4502" t="s">
        <v>1878</v>
      </c>
      <c r="G376" s="3708"/>
      <c r="H376" s="3708" t="s">
        <v>333</v>
      </c>
      <c r="I376" s="3708" t="s">
        <v>328</v>
      </c>
      <c r="J376" s="4593">
        <v>1008</v>
      </c>
      <c r="K376" s="4154">
        <v>0</v>
      </c>
      <c r="L376" s="4154">
        <v>24</v>
      </c>
      <c r="M376" s="4154">
        <f t="shared" si="169"/>
        <v>42</v>
      </c>
      <c r="N376" s="4503">
        <v>45904</v>
      </c>
      <c r="O376" s="4503">
        <v>45901</v>
      </c>
      <c r="P376" s="3708"/>
      <c r="Q376" s="4154" t="s">
        <v>82</v>
      </c>
      <c r="R376" s="4157">
        <v>1008</v>
      </c>
      <c r="S376" s="4157">
        <f t="shared" si="183"/>
        <v>0</v>
      </c>
      <c r="T376" s="4157"/>
      <c r="U376" s="3726" t="s">
        <v>1853</v>
      </c>
      <c r="V376" s="3711" t="s">
        <v>390</v>
      </c>
      <c r="W376" s="3711"/>
      <c r="X376" s="3711" t="s">
        <v>98</v>
      </c>
      <c r="Y376" s="3711"/>
      <c r="Z376" s="3711" t="s">
        <v>1818</v>
      </c>
      <c r="AA376" s="4154"/>
      <c r="AB376" s="3680" t="s">
        <v>1879</v>
      </c>
      <c r="AC376" s="4154" t="s">
        <v>1880</v>
      </c>
      <c r="AD376" s="4504">
        <v>1.2199</v>
      </c>
      <c r="AE376" s="4154">
        <f>J376*AD376</f>
        <v>1229.6592</v>
      </c>
      <c r="AF376" s="3726" t="s">
        <v>1881</v>
      </c>
      <c r="AG376" s="3726"/>
      <c r="AH376" s="4448"/>
      <c r="AI376" s="3708">
        <f t="shared" ref="AI376:AI382" si="195">J376</f>
        <v>1008</v>
      </c>
      <c r="AJ376" s="4448"/>
      <c r="AK376" s="3708"/>
      <c r="AL376" s="3708"/>
      <c r="AM376" s="4154"/>
      <c r="AN376" s="4411"/>
      <c r="AO376" s="1048">
        <f t="shared" ref="AO376:AO382" si="196">J376</f>
        <v>1008</v>
      </c>
      <c r="AP376" s="1048"/>
      <c r="AQ376" s="4411"/>
      <c r="AR376" s="4411"/>
      <c r="AS376" s="1048">
        <f t="shared" si="188"/>
        <v>1008</v>
      </c>
      <c r="AT376" s="1048"/>
      <c r="AU376" s="4411"/>
      <c r="AV376" s="4933"/>
      <c r="AW376" s="4933"/>
      <c r="AX376" s="1048"/>
      <c r="AY376" s="4933"/>
      <c r="AZ376" s="4933"/>
      <c r="BA376" s="1048"/>
      <c r="BB376" s="4622"/>
      <c r="BC376" s="4933"/>
      <c r="BD376" s="4622"/>
      <c r="BE376" s="4622"/>
      <c r="BF376" s="4622"/>
      <c r="BG376" s="4622"/>
      <c r="BH376" s="1048"/>
      <c r="BI376" s="4622"/>
      <c r="BJ376" s="1048"/>
      <c r="BK376" s="4415" t="s">
        <v>89</v>
      </c>
      <c r="BL376" s="4415">
        <f t="shared" si="187"/>
        <v>16.8</v>
      </c>
      <c r="BM376" s="4415">
        <f t="shared" si="189"/>
        <v>151.2</v>
      </c>
      <c r="BN376" s="4415">
        <f t="shared" si="190"/>
        <v>168</v>
      </c>
      <c r="BO376" s="4415">
        <f t="shared" si="191"/>
        <v>168</v>
      </c>
      <c r="BP376" s="4415">
        <f t="shared" si="192"/>
        <v>168</v>
      </c>
      <c r="BQ376" s="4414">
        <f t="shared" si="193"/>
        <v>168</v>
      </c>
      <c r="BR376" s="1048">
        <f t="shared" si="194"/>
        <v>168</v>
      </c>
      <c r="BS376" s="4454"/>
      <c r="BT376" s="4454"/>
      <c r="BU376" s="4454"/>
      <c r="BV376" s="4454"/>
      <c r="BW376" s="4454"/>
      <c r="BX376" s="4453"/>
      <c r="BY376" s="4453"/>
      <c r="BZ376" s="3708">
        <f t="shared" si="165"/>
        <v>1008</v>
      </c>
      <c r="CA376" s="4154">
        <f t="shared" si="166"/>
        <v>0</v>
      </c>
      <c r="CB376" s="4934"/>
      <c r="CC376" s="4934"/>
      <c r="CD376" s="4323"/>
      <c r="CE376" s="4323"/>
      <c r="CF376" s="4323"/>
    </row>
    <row r="377" s="4316" customFormat="1" ht="50" customHeight="1" spans="1:84">
      <c r="A377" s="4500">
        <v>45860</v>
      </c>
      <c r="B377" s="4501" t="s">
        <v>1602</v>
      </c>
      <c r="C377" s="3708" t="s">
        <v>91</v>
      </c>
      <c r="D377" s="4502">
        <v>4500174576</v>
      </c>
      <c r="E377" s="3708">
        <v>1617109</v>
      </c>
      <c r="F377" s="4502" t="s">
        <v>1882</v>
      </c>
      <c r="G377" s="3708"/>
      <c r="H377" s="3708" t="s">
        <v>333</v>
      </c>
      <c r="I377" s="3708" t="s">
        <v>328</v>
      </c>
      <c r="J377" s="4593">
        <v>3216</v>
      </c>
      <c r="K377" s="4154">
        <v>0</v>
      </c>
      <c r="L377" s="4154">
        <v>24</v>
      </c>
      <c r="M377" s="4154">
        <f t="shared" si="169"/>
        <v>134</v>
      </c>
      <c r="N377" s="4503">
        <v>45903</v>
      </c>
      <c r="O377" s="4503">
        <f>N377-4</f>
        <v>45899</v>
      </c>
      <c r="P377" s="3708"/>
      <c r="Q377" s="4154" t="s">
        <v>82</v>
      </c>
      <c r="R377" s="4157">
        <f>24+3192</f>
        <v>3216</v>
      </c>
      <c r="S377" s="4157">
        <f t="shared" si="183"/>
        <v>0</v>
      </c>
      <c r="T377" s="4157"/>
      <c r="U377" s="3726" t="s">
        <v>1883</v>
      </c>
      <c r="V377" s="3711" t="s">
        <v>1884</v>
      </c>
      <c r="W377" s="3711"/>
      <c r="X377" s="3711" t="s">
        <v>98</v>
      </c>
      <c r="Y377" s="3711"/>
      <c r="Z377" s="3711" t="s">
        <v>1885</v>
      </c>
      <c r="AA377" s="4154"/>
      <c r="AB377" s="3680" t="s">
        <v>1886</v>
      </c>
      <c r="AC377" s="4154" t="s">
        <v>1607</v>
      </c>
      <c r="AD377" s="4504">
        <v>1.2491</v>
      </c>
      <c r="AE377" s="4154">
        <f>J377*AD377</f>
        <v>4017.1056</v>
      </c>
      <c r="AF377" s="3726" t="s">
        <v>1887</v>
      </c>
      <c r="AG377" s="3726"/>
      <c r="AH377" s="4422"/>
      <c r="AI377" s="3708">
        <f t="shared" si="195"/>
        <v>3216</v>
      </c>
      <c r="AJ377" s="4422"/>
      <c r="AK377" s="3708"/>
      <c r="AL377" s="3708"/>
      <c r="AM377" s="4154"/>
      <c r="AN377" s="907"/>
      <c r="AO377" s="1048">
        <f t="shared" si="196"/>
        <v>3216</v>
      </c>
      <c r="AP377" s="1048"/>
      <c r="AQ377" s="907"/>
      <c r="AR377" s="907"/>
      <c r="AS377" s="1048">
        <f t="shared" si="188"/>
        <v>3216</v>
      </c>
      <c r="AT377" s="1048"/>
      <c r="AU377" s="907"/>
      <c r="AV377" s="4922"/>
      <c r="AW377" s="4922"/>
      <c r="AX377" s="1048"/>
      <c r="AY377" s="4922"/>
      <c r="AZ377" s="4922"/>
      <c r="BA377" s="1048"/>
      <c r="BB377" s="4622"/>
      <c r="BC377" s="4922"/>
      <c r="BD377" s="4622"/>
      <c r="BE377" s="4622"/>
      <c r="BF377" s="4622"/>
      <c r="BG377" s="4622"/>
      <c r="BH377" s="1048"/>
      <c r="BI377" s="4622"/>
      <c r="BJ377" s="1048"/>
      <c r="BK377" s="4415" t="s">
        <v>89</v>
      </c>
      <c r="BL377" s="4415">
        <f t="shared" si="187"/>
        <v>53.6</v>
      </c>
      <c r="BM377" s="4415">
        <f t="shared" si="189"/>
        <v>482.4</v>
      </c>
      <c r="BN377" s="4415">
        <f t="shared" si="190"/>
        <v>536</v>
      </c>
      <c r="BO377" s="4415">
        <f t="shared" si="191"/>
        <v>536</v>
      </c>
      <c r="BP377" s="4415">
        <f t="shared" si="192"/>
        <v>536</v>
      </c>
      <c r="BQ377" s="4414">
        <f t="shared" si="193"/>
        <v>536</v>
      </c>
      <c r="BR377" s="1048">
        <f t="shared" si="194"/>
        <v>536</v>
      </c>
      <c r="BS377" s="911"/>
      <c r="BT377" s="911"/>
      <c r="BU377" s="911"/>
      <c r="BV377" s="911"/>
      <c r="BW377" s="911"/>
      <c r="BX377" s="910"/>
      <c r="BY377" s="910"/>
      <c r="BZ377" s="3708">
        <f t="shared" si="165"/>
        <v>3216</v>
      </c>
      <c r="CA377" s="4154">
        <f t="shared" si="166"/>
        <v>0</v>
      </c>
      <c r="CB377" s="4923"/>
      <c r="CC377" s="4923"/>
      <c r="CD377" s="4323"/>
      <c r="CE377" s="4323"/>
      <c r="CF377" s="4323"/>
    </row>
    <row r="378" s="4316" customFormat="1" ht="50" customHeight="1" spans="1:84">
      <c r="A378" s="4500">
        <v>45860</v>
      </c>
      <c r="B378" s="4501" t="s">
        <v>1602</v>
      </c>
      <c r="C378" s="3708" t="s">
        <v>91</v>
      </c>
      <c r="D378" s="4502">
        <v>4500174575</v>
      </c>
      <c r="E378" s="3708">
        <v>1617113</v>
      </c>
      <c r="F378" s="4502" t="s">
        <v>1888</v>
      </c>
      <c r="G378" s="3708"/>
      <c r="H378" s="3708" t="s">
        <v>333</v>
      </c>
      <c r="I378" s="3708" t="s">
        <v>328</v>
      </c>
      <c r="J378" s="4593">
        <v>1584</v>
      </c>
      <c r="K378" s="4154">
        <v>0</v>
      </c>
      <c r="L378" s="4154">
        <v>24</v>
      </c>
      <c r="M378" s="4154">
        <f t="shared" si="169"/>
        <v>66</v>
      </c>
      <c r="N378" s="4503">
        <v>45903</v>
      </c>
      <c r="O378" s="4503">
        <f>N378-4</f>
        <v>45899</v>
      </c>
      <c r="P378" s="3708"/>
      <c r="Q378" s="4154" t="s">
        <v>82</v>
      </c>
      <c r="R378" s="4157">
        <f>24+1560</f>
        <v>1584</v>
      </c>
      <c r="S378" s="4157">
        <f t="shared" si="183"/>
        <v>0</v>
      </c>
      <c r="T378" s="4157"/>
      <c r="U378" s="3726" t="s">
        <v>1883</v>
      </c>
      <c r="V378" s="3711" t="s">
        <v>1884</v>
      </c>
      <c r="W378" s="3711"/>
      <c r="X378" s="3711" t="s">
        <v>98</v>
      </c>
      <c r="Y378" s="3711"/>
      <c r="Z378" s="3711" t="s">
        <v>1885</v>
      </c>
      <c r="AA378" s="4154"/>
      <c r="AB378" s="3680" t="s">
        <v>1886</v>
      </c>
      <c r="AC378" s="4154" t="s">
        <v>1607</v>
      </c>
      <c r="AD378" s="4504">
        <v>1.2512</v>
      </c>
      <c r="AE378" s="4154">
        <f>J378*AD378</f>
        <v>1981.9008</v>
      </c>
      <c r="AF378" s="3726" t="s">
        <v>1889</v>
      </c>
      <c r="AG378" s="3726"/>
      <c r="AH378" s="4422"/>
      <c r="AI378" s="3708">
        <f t="shared" si="195"/>
        <v>1584</v>
      </c>
      <c r="AJ378" s="4422"/>
      <c r="AK378" s="3708"/>
      <c r="AL378" s="3708"/>
      <c r="AM378" s="4154"/>
      <c r="AN378" s="907"/>
      <c r="AO378" s="1048">
        <f t="shared" si="196"/>
        <v>1584</v>
      </c>
      <c r="AP378" s="1048"/>
      <c r="AQ378" s="907"/>
      <c r="AR378" s="907"/>
      <c r="AS378" s="1048">
        <f t="shared" si="188"/>
        <v>1584</v>
      </c>
      <c r="AT378" s="1048"/>
      <c r="AU378" s="907"/>
      <c r="AV378" s="4922"/>
      <c r="AW378" s="4922"/>
      <c r="AX378" s="1048"/>
      <c r="AY378" s="4922"/>
      <c r="AZ378" s="4922"/>
      <c r="BA378" s="1048"/>
      <c r="BB378" s="4622"/>
      <c r="BC378" s="4922"/>
      <c r="BD378" s="4622"/>
      <c r="BE378" s="4622"/>
      <c r="BF378" s="4622"/>
      <c r="BG378" s="4622"/>
      <c r="BH378" s="1048"/>
      <c r="BI378" s="4622"/>
      <c r="BJ378" s="1048"/>
      <c r="BK378" s="4415" t="s">
        <v>89</v>
      </c>
      <c r="BL378" s="4415">
        <f t="shared" si="187"/>
        <v>26.4</v>
      </c>
      <c r="BM378" s="4415">
        <f t="shared" si="189"/>
        <v>237.6</v>
      </c>
      <c r="BN378" s="4415">
        <f t="shared" si="190"/>
        <v>264</v>
      </c>
      <c r="BO378" s="4415">
        <f t="shared" si="191"/>
        <v>264</v>
      </c>
      <c r="BP378" s="4415">
        <f t="shared" si="192"/>
        <v>264</v>
      </c>
      <c r="BQ378" s="4414">
        <f t="shared" si="193"/>
        <v>264</v>
      </c>
      <c r="BR378" s="1048">
        <f t="shared" si="194"/>
        <v>264</v>
      </c>
      <c r="BS378" s="911"/>
      <c r="BT378" s="911"/>
      <c r="BU378" s="911"/>
      <c r="BV378" s="911"/>
      <c r="BW378" s="911"/>
      <c r="BX378" s="910"/>
      <c r="BY378" s="910"/>
      <c r="BZ378" s="3708">
        <f t="shared" si="165"/>
        <v>1584</v>
      </c>
      <c r="CA378" s="4154">
        <f t="shared" si="166"/>
        <v>0</v>
      </c>
      <c r="CB378" s="4923"/>
      <c r="CC378" s="4923"/>
      <c r="CD378" s="4323"/>
      <c r="CE378" s="4323"/>
      <c r="CF378" s="4323"/>
    </row>
    <row r="379" s="4316" customFormat="1" ht="50" customHeight="1" spans="1:84">
      <c r="A379" s="4500">
        <v>45860</v>
      </c>
      <c r="B379" s="4501" t="s">
        <v>1602</v>
      </c>
      <c r="C379" s="3708" t="s">
        <v>91</v>
      </c>
      <c r="D379" s="4502">
        <v>4500174544</v>
      </c>
      <c r="E379" s="3708">
        <v>1617102</v>
      </c>
      <c r="F379" s="4502" t="s">
        <v>1890</v>
      </c>
      <c r="G379" s="3708"/>
      <c r="H379" s="3708" t="s">
        <v>333</v>
      </c>
      <c r="I379" s="3708" t="s">
        <v>328</v>
      </c>
      <c r="J379" s="4593">
        <v>1584</v>
      </c>
      <c r="K379" s="4154">
        <v>0</v>
      </c>
      <c r="L379" s="4154">
        <v>24</v>
      </c>
      <c r="M379" s="4154">
        <f t="shared" si="169"/>
        <v>66</v>
      </c>
      <c r="N379" s="4503">
        <v>45903</v>
      </c>
      <c r="O379" s="4503">
        <f>N379-4</f>
        <v>45899</v>
      </c>
      <c r="P379" s="3708"/>
      <c r="Q379" s="4154" t="s">
        <v>82</v>
      </c>
      <c r="R379" s="4157">
        <f>24+1560</f>
        <v>1584</v>
      </c>
      <c r="S379" s="4157">
        <f t="shared" si="183"/>
        <v>0</v>
      </c>
      <c r="T379" s="4157"/>
      <c r="U379" s="3726" t="s">
        <v>1883</v>
      </c>
      <c r="V379" s="3711" t="s">
        <v>1884</v>
      </c>
      <c r="W379" s="3711"/>
      <c r="X379" s="3711" t="s">
        <v>98</v>
      </c>
      <c r="Y379" s="3711"/>
      <c r="Z379" s="3711" t="s">
        <v>1885</v>
      </c>
      <c r="AA379" s="4154"/>
      <c r="AB379" s="3680" t="s">
        <v>1886</v>
      </c>
      <c r="AC379" s="4154" t="s">
        <v>1607</v>
      </c>
      <c r="AD379" s="4504">
        <v>1.2512</v>
      </c>
      <c r="AE379" s="4154">
        <f>J379*AD379</f>
        <v>1981.9008</v>
      </c>
      <c r="AF379" s="3726" t="s">
        <v>1891</v>
      </c>
      <c r="AG379" s="3726"/>
      <c r="AH379" s="4422"/>
      <c r="AI379" s="3708">
        <f t="shared" si="195"/>
        <v>1584</v>
      </c>
      <c r="AJ379" s="4422"/>
      <c r="AK379" s="3708"/>
      <c r="AL379" s="3708"/>
      <c r="AM379" s="4154"/>
      <c r="AN379" s="907"/>
      <c r="AO379" s="1048">
        <f t="shared" si="196"/>
        <v>1584</v>
      </c>
      <c r="AP379" s="1048"/>
      <c r="AQ379" s="907"/>
      <c r="AR379" s="907"/>
      <c r="AS379" s="1048">
        <f t="shared" si="188"/>
        <v>1584</v>
      </c>
      <c r="AT379" s="1048"/>
      <c r="AU379" s="907"/>
      <c r="AV379" s="4922"/>
      <c r="AW379" s="4922"/>
      <c r="AX379" s="1048"/>
      <c r="AY379" s="4922"/>
      <c r="AZ379" s="4922"/>
      <c r="BA379" s="1048"/>
      <c r="BB379" s="4622"/>
      <c r="BC379" s="4922"/>
      <c r="BD379" s="4622"/>
      <c r="BE379" s="4622"/>
      <c r="BF379" s="4622"/>
      <c r="BG379" s="4622"/>
      <c r="BH379" s="1048"/>
      <c r="BI379" s="4622"/>
      <c r="BJ379" s="1048"/>
      <c r="BK379" s="4415" t="s">
        <v>89</v>
      </c>
      <c r="BL379" s="4415">
        <f t="shared" si="187"/>
        <v>26.4</v>
      </c>
      <c r="BM379" s="4415">
        <f t="shared" si="189"/>
        <v>237.6</v>
      </c>
      <c r="BN379" s="4415">
        <f t="shared" si="190"/>
        <v>264</v>
      </c>
      <c r="BO379" s="4415">
        <f t="shared" si="191"/>
        <v>264</v>
      </c>
      <c r="BP379" s="4415">
        <f t="shared" si="192"/>
        <v>264</v>
      </c>
      <c r="BQ379" s="4414">
        <f t="shared" si="193"/>
        <v>264</v>
      </c>
      <c r="BR379" s="1048">
        <f t="shared" si="194"/>
        <v>264</v>
      </c>
      <c r="BS379" s="911"/>
      <c r="BT379" s="911"/>
      <c r="BU379" s="911"/>
      <c r="BV379" s="911"/>
      <c r="BW379" s="911"/>
      <c r="BX379" s="910"/>
      <c r="BY379" s="910"/>
      <c r="BZ379" s="3708">
        <f t="shared" si="165"/>
        <v>1584</v>
      </c>
      <c r="CA379" s="4154">
        <f t="shared" si="166"/>
        <v>0</v>
      </c>
      <c r="CB379" s="4923"/>
      <c r="CC379" s="4923"/>
      <c r="CD379" s="4323"/>
      <c r="CE379" s="4323"/>
      <c r="CF379" s="4323"/>
    </row>
    <row r="380" s="4316" customFormat="1" ht="50" customHeight="1" spans="1:84">
      <c r="A380" s="4500">
        <v>45860</v>
      </c>
      <c r="B380" s="4501" t="s">
        <v>1602</v>
      </c>
      <c r="C380" s="3708" t="s">
        <v>91</v>
      </c>
      <c r="D380" s="4502">
        <v>4500174545</v>
      </c>
      <c r="E380" s="3708">
        <v>1617100</v>
      </c>
      <c r="F380" s="4502" t="s">
        <v>1892</v>
      </c>
      <c r="G380" s="3708"/>
      <c r="H380" s="3708" t="s">
        <v>333</v>
      </c>
      <c r="I380" s="3708" t="s">
        <v>328</v>
      </c>
      <c r="J380" s="4593">
        <v>3216</v>
      </c>
      <c r="K380" s="4154">
        <v>0</v>
      </c>
      <c r="L380" s="4154">
        <v>24</v>
      </c>
      <c r="M380" s="4154">
        <f t="shared" si="169"/>
        <v>134</v>
      </c>
      <c r="N380" s="4503">
        <v>45903</v>
      </c>
      <c r="O380" s="4503">
        <f>N380-4</f>
        <v>45899</v>
      </c>
      <c r="P380" s="3708"/>
      <c r="Q380" s="4154" t="s">
        <v>82</v>
      </c>
      <c r="R380" s="4157">
        <f>24+3192</f>
        <v>3216</v>
      </c>
      <c r="S380" s="4157">
        <f t="shared" si="183"/>
        <v>0</v>
      </c>
      <c r="T380" s="4157"/>
      <c r="U380" s="3726" t="s">
        <v>1883</v>
      </c>
      <c r="V380" s="3711" t="s">
        <v>1884</v>
      </c>
      <c r="W380" s="3711"/>
      <c r="X380" s="3711" t="s">
        <v>98</v>
      </c>
      <c r="Y380" s="3711"/>
      <c r="Z380" s="3711" t="s">
        <v>1885</v>
      </c>
      <c r="AA380" s="4154"/>
      <c r="AB380" s="3680" t="s">
        <v>1886</v>
      </c>
      <c r="AC380" s="4154" t="s">
        <v>1607</v>
      </c>
      <c r="AD380" s="4504">
        <v>1.2491</v>
      </c>
      <c r="AE380" s="4154">
        <f>J380*AD380</f>
        <v>4017.1056</v>
      </c>
      <c r="AF380" s="3726" t="s">
        <v>1893</v>
      </c>
      <c r="AG380" s="3726"/>
      <c r="AH380" s="4422"/>
      <c r="AI380" s="3708">
        <f t="shared" si="195"/>
        <v>3216</v>
      </c>
      <c r="AJ380" s="4422"/>
      <c r="AK380" s="3708"/>
      <c r="AL380" s="3708"/>
      <c r="AM380" s="4154"/>
      <c r="AN380" s="907"/>
      <c r="AO380" s="1048">
        <f t="shared" si="196"/>
        <v>3216</v>
      </c>
      <c r="AP380" s="1048"/>
      <c r="AQ380" s="907"/>
      <c r="AR380" s="907"/>
      <c r="AS380" s="1048">
        <f t="shared" si="188"/>
        <v>3216</v>
      </c>
      <c r="AT380" s="1048"/>
      <c r="AU380" s="907"/>
      <c r="AV380" s="4922"/>
      <c r="AW380" s="4922"/>
      <c r="AX380" s="1048"/>
      <c r="AY380" s="4922"/>
      <c r="AZ380" s="4922"/>
      <c r="BA380" s="1048"/>
      <c r="BB380" s="4622"/>
      <c r="BC380" s="4922"/>
      <c r="BD380" s="4622"/>
      <c r="BE380" s="4622"/>
      <c r="BF380" s="4622"/>
      <c r="BG380" s="4622"/>
      <c r="BH380" s="1048"/>
      <c r="BI380" s="4622"/>
      <c r="BJ380" s="1048"/>
      <c r="BK380" s="4415" t="s">
        <v>89</v>
      </c>
      <c r="BL380" s="4415">
        <f t="shared" si="187"/>
        <v>53.6</v>
      </c>
      <c r="BM380" s="4415">
        <f t="shared" si="189"/>
        <v>482.4</v>
      </c>
      <c r="BN380" s="4415">
        <f t="shared" si="190"/>
        <v>536</v>
      </c>
      <c r="BO380" s="4415">
        <f t="shared" si="191"/>
        <v>536</v>
      </c>
      <c r="BP380" s="4415">
        <f t="shared" si="192"/>
        <v>536</v>
      </c>
      <c r="BQ380" s="4414">
        <f t="shared" si="193"/>
        <v>536</v>
      </c>
      <c r="BR380" s="1048">
        <f t="shared" si="194"/>
        <v>536</v>
      </c>
      <c r="BS380" s="911"/>
      <c r="BT380" s="911"/>
      <c r="BU380" s="911"/>
      <c r="BV380" s="911"/>
      <c r="BW380" s="911"/>
      <c r="BX380" s="910"/>
      <c r="BY380" s="910"/>
      <c r="BZ380" s="3708">
        <f t="shared" si="165"/>
        <v>3216</v>
      </c>
      <c r="CA380" s="4154">
        <f t="shared" si="166"/>
        <v>0</v>
      </c>
      <c r="CB380" s="4923"/>
      <c r="CC380" s="4923"/>
      <c r="CD380" s="4323"/>
      <c r="CE380" s="4323"/>
      <c r="CF380" s="4323"/>
    </row>
    <row r="381" s="4316" customFormat="1" ht="50" customHeight="1" spans="1:84">
      <c r="A381" s="4500">
        <v>45839</v>
      </c>
      <c r="B381" s="4501" t="s">
        <v>407</v>
      </c>
      <c r="C381" s="3708" t="s">
        <v>91</v>
      </c>
      <c r="D381" s="4502">
        <v>4500172226</v>
      </c>
      <c r="E381" s="3708">
        <v>60238516</v>
      </c>
      <c r="F381" s="4502" t="s">
        <v>1894</v>
      </c>
      <c r="G381" s="3708"/>
      <c r="H381" s="3708" t="s">
        <v>409</v>
      </c>
      <c r="I381" s="3708" t="s">
        <v>410</v>
      </c>
      <c r="J381" s="4154">
        <v>6000</v>
      </c>
      <c r="K381" s="4154">
        <v>0</v>
      </c>
      <c r="L381" s="4154">
        <v>12</v>
      </c>
      <c r="M381" s="4154">
        <f t="shared" si="169"/>
        <v>500</v>
      </c>
      <c r="N381" s="4503">
        <v>45908</v>
      </c>
      <c r="O381" s="4503">
        <v>45904</v>
      </c>
      <c r="P381" s="3708"/>
      <c r="Q381" s="4154" t="s">
        <v>82</v>
      </c>
      <c r="R381" s="4157">
        <v>6000</v>
      </c>
      <c r="S381" s="4157">
        <f t="shared" si="183"/>
        <v>0</v>
      </c>
      <c r="T381" s="4157"/>
      <c r="U381" s="3726" t="s">
        <v>1838</v>
      </c>
      <c r="V381" s="3711" t="s">
        <v>1895</v>
      </c>
      <c r="W381" s="3711"/>
      <c r="X381" s="3711" t="s">
        <v>98</v>
      </c>
      <c r="Y381" s="3711"/>
      <c r="Z381" s="3711" t="s">
        <v>1896</v>
      </c>
      <c r="AA381" s="4154"/>
      <c r="AB381" s="3680" t="s">
        <v>1897</v>
      </c>
      <c r="AC381" s="4154" t="s">
        <v>393</v>
      </c>
      <c r="AD381" s="4154">
        <v>1.6018</v>
      </c>
      <c r="AE381" s="4154">
        <f>AD381*M381</f>
        <v>800.9</v>
      </c>
      <c r="AF381" s="3726" t="s">
        <v>1898</v>
      </c>
      <c r="AG381" s="3726"/>
      <c r="AH381" s="4430"/>
      <c r="AI381" s="3708">
        <f t="shared" si="195"/>
        <v>6000</v>
      </c>
      <c r="AJ381" s="4430"/>
      <c r="AK381" s="3708"/>
      <c r="AL381" s="3708"/>
      <c r="AM381" s="4154"/>
      <c r="AN381" s="4413"/>
      <c r="AO381" s="1048">
        <f t="shared" si="196"/>
        <v>6000</v>
      </c>
      <c r="AP381" s="1048"/>
      <c r="AQ381" s="4413"/>
      <c r="AR381" s="4413"/>
      <c r="AS381" s="1048">
        <f t="shared" si="188"/>
        <v>6000</v>
      </c>
      <c r="AT381" s="1048"/>
      <c r="AU381" s="4413"/>
      <c r="AV381" s="4939"/>
      <c r="AW381" s="4939"/>
      <c r="AX381" s="1048"/>
      <c r="AY381" s="4939"/>
      <c r="AZ381" s="4939"/>
      <c r="BA381" s="1048"/>
      <c r="BB381" s="4622"/>
      <c r="BC381" s="4939"/>
      <c r="BD381" s="4622"/>
      <c r="BE381" s="4622"/>
      <c r="BF381" s="4622"/>
      <c r="BG381" s="4622"/>
      <c r="BH381" s="1048">
        <f>J381</f>
        <v>6000</v>
      </c>
      <c r="BI381" s="4622"/>
      <c r="BJ381" s="1048"/>
      <c r="BK381" s="4415" t="s">
        <v>89</v>
      </c>
      <c r="BL381" s="4415">
        <f t="shared" si="187"/>
        <v>100</v>
      </c>
      <c r="BM381" s="4415">
        <f t="shared" si="189"/>
        <v>900</v>
      </c>
      <c r="BN381" s="4415">
        <f t="shared" si="190"/>
        <v>1000</v>
      </c>
      <c r="BO381" s="4415">
        <f t="shared" si="191"/>
        <v>1000</v>
      </c>
      <c r="BP381" s="4415">
        <f t="shared" si="192"/>
        <v>1000</v>
      </c>
      <c r="BQ381" s="4414">
        <f t="shared" si="193"/>
        <v>1000</v>
      </c>
      <c r="BR381" s="1048">
        <f t="shared" si="194"/>
        <v>1000</v>
      </c>
      <c r="BS381" s="4432"/>
      <c r="BT381" s="4432"/>
      <c r="BU381" s="4432"/>
      <c r="BV381" s="4432"/>
      <c r="BW381" s="4432"/>
      <c r="BX381" s="4431"/>
      <c r="BY381" s="4431"/>
      <c r="BZ381" s="3708">
        <f t="shared" si="165"/>
        <v>6000</v>
      </c>
      <c r="CA381" s="4154">
        <f t="shared" si="166"/>
        <v>0</v>
      </c>
      <c r="CB381" s="4591"/>
      <c r="CC381" s="4591"/>
      <c r="CD381" s="4323"/>
      <c r="CE381" s="4323"/>
      <c r="CF381" s="4323"/>
    </row>
    <row r="382" s="4316" customFormat="1" ht="50" customHeight="1" spans="1:84">
      <c r="A382" s="4500">
        <v>45834</v>
      </c>
      <c r="B382" s="4501" t="s">
        <v>1315</v>
      </c>
      <c r="C382" s="3708" t="s">
        <v>1316</v>
      </c>
      <c r="D382" s="4502">
        <v>4500166280</v>
      </c>
      <c r="E382" s="3708" t="s">
        <v>1899</v>
      </c>
      <c r="F382" s="4502" t="s">
        <v>1900</v>
      </c>
      <c r="G382" s="3708"/>
      <c r="H382" s="3708" t="s">
        <v>1319</v>
      </c>
      <c r="I382" s="3708" t="s">
        <v>1320</v>
      </c>
      <c r="J382" s="4154">
        <v>2124</v>
      </c>
      <c r="K382" s="4154">
        <v>0</v>
      </c>
      <c r="L382" s="4154">
        <v>4</v>
      </c>
      <c r="M382" s="4154">
        <f t="shared" si="169"/>
        <v>531</v>
      </c>
      <c r="N382" s="4503">
        <v>45908</v>
      </c>
      <c r="O382" s="4503">
        <v>45904</v>
      </c>
      <c r="P382" s="3712"/>
      <c r="Q382" s="4154" t="s">
        <v>82</v>
      </c>
      <c r="R382" s="4157">
        <f>2092+32</f>
        <v>2124</v>
      </c>
      <c r="S382" s="4157">
        <f t="shared" si="183"/>
        <v>0</v>
      </c>
      <c r="T382" s="4157"/>
      <c r="U382" s="3726" t="s">
        <v>1832</v>
      </c>
      <c r="V382" s="3711" t="s">
        <v>1571</v>
      </c>
      <c r="W382" s="3711"/>
      <c r="X382" s="3711" t="s">
        <v>1876</v>
      </c>
      <c r="Y382" s="3711"/>
      <c r="Z382" s="3711"/>
      <c r="AA382" s="4154" t="s">
        <v>1901</v>
      </c>
      <c r="AB382" s="3680" t="s">
        <v>1902</v>
      </c>
      <c r="AC382" s="4154" t="s">
        <v>1326</v>
      </c>
      <c r="AD382" s="4154">
        <v>16.9368</v>
      </c>
      <c r="AE382" s="4154">
        <f>AD382*M382</f>
        <v>8993.4408</v>
      </c>
      <c r="AF382" s="3726"/>
      <c r="AG382" s="3726"/>
      <c r="AH382" s="4448"/>
      <c r="AI382" s="3708"/>
      <c r="AJ382" s="4448"/>
      <c r="AK382" s="3708"/>
      <c r="AL382" s="3708"/>
      <c r="AM382" s="4154">
        <f>J382</f>
        <v>2124</v>
      </c>
      <c r="AN382" s="4411"/>
      <c r="AO382" s="1048"/>
      <c r="AP382" s="1048">
        <f>J382</f>
        <v>2124</v>
      </c>
      <c r="AQ382" s="4411"/>
      <c r="AR382" s="4411"/>
      <c r="AS382" s="1048">
        <f t="shared" si="188"/>
        <v>2124</v>
      </c>
      <c r="AT382" s="1048"/>
      <c r="AU382" s="4411"/>
      <c r="AV382" s="4933"/>
      <c r="AW382" s="4933"/>
      <c r="AX382" s="1048"/>
      <c r="AY382" s="4933"/>
      <c r="AZ382" s="4933"/>
      <c r="BA382" s="1048"/>
      <c r="BB382" s="4622"/>
      <c r="BC382" s="4933"/>
      <c r="BD382" s="4622"/>
      <c r="BE382" s="4622"/>
      <c r="BF382" s="4622"/>
      <c r="BG382" s="4622"/>
      <c r="BH382" s="1048"/>
      <c r="BI382" s="4622"/>
      <c r="BJ382" s="1048"/>
      <c r="BK382" s="4415" t="s">
        <v>1327</v>
      </c>
      <c r="BL382" s="4415">
        <f t="shared" si="187"/>
        <v>35.4</v>
      </c>
      <c r="BM382" s="4415">
        <f t="shared" si="189"/>
        <v>318.6</v>
      </c>
      <c r="BN382" s="4415">
        <f t="shared" si="190"/>
        <v>354</v>
      </c>
      <c r="BO382" s="4415">
        <f t="shared" si="191"/>
        <v>354</v>
      </c>
      <c r="BP382" s="4415">
        <f t="shared" si="192"/>
        <v>354</v>
      </c>
      <c r="BQ382" s="4414">
        <f t="shared" si="193"/>
        <v>354</v>
      </c>
      <c r="BR382" s="1048">
        <f t="shared" si="194"/>
        <v>354</v>
      </c>
      <c r="BS382" s="4403"/>
      <c r="BT382" s="4454"/>
      <c r="BU382" s="4454"/>
      <c r="BV382" s="4454"/>
      <c r="BW382" s="4454"/>
      <c r="BX382" s="4453"/>
      <c r="BY382" s="4453"/>
      <c r="BZ382" s="3708">
        <f t="shared" si="165"/>
        <v>2124</v>
      </c>
      <c r="CA382" s="4154">
        <f t="shared" si="166"/>
        <v>0</v>
      </c>
      <c r="CB382" s="4934"/>
      <c r="CC382" s="4934"/>
      <c r="CD382" s="4323"/>
      <c r="CE382" s="4323"/>
      <c r="CF382" s="4323"/>
    </row>
    <row r="383" s="4316" customFormat="1" ht="50" customHeight="1" spans="1:84">
      <c r="A383" s="4500">
        <v>45859</v>
      </c>
      <c r="B383" s="4501" t="s">
        <v>1617</v>
      </c>
      <c r="C383" s="3708" t="s">
        <v>91</v>
      </c>
      <c r="D383" s="4502">
        <v>4500174443</v>
      </c>
      <c r="E383" s="3708">
        <v>70072684</v>
      </c>
      <c r="F383" s="4502" t="s">
        <v>1903</v>
      </c>
      <c r="G383" s="3708"/>
      <c r="H383" s="3708" t="s">
        <v>409</v>
      </c>
      <c r="I383" s="3708" t="s">
        <v>410</v>
      </c>
      <c r="J383" s="4154">
        <v>1008</v>
      </c>
      <c r="K383" s="4154">
        <v>0</v>
      </c>
      <c r="L383" s="4154">
        <v>12</v>
      </c>
      <c r="M383" s="4154">
        <f t="shared" si="169"/>
        <v>84</v>
      </c>
      <c r="N383" s="4503">
        <v>45904</v>
      </c>
      <c r="O383" s="4553">
        <f>N383-3</f>
        <v>45901</v>
      </c>
      <c r="P383" s="3708"/>
      <c r="Q383" s="4154" t="s">
        <v>82</v>
      </c>
      <c r="R383" s="4157">
        <v>1008</v>
      </c>
      <c r="S383" s="4157">
        <f t="shared" si="183"/>
        <v>0</v>
      </c>
      <c r="T383" s="4157"/>
      <c r="U383" s="3726"/>
      <c r="V383" s="3711" t="s">
        <v>390</v>
      </c>
      <c r="W383" s="3711"/>
      <c r="X383" s="3711" t="s">
        <v>98</v>
      </c>
      <c r="Y383" s="3711"/>
      <c r="Z383" s="3711" t="s">
        <v>1818</v>
      </c>
      <c r="AA383" s="4154"/>
      <c r="AB383" s="3680" t="s">
        <v>1904</v>
      </c>
      <c r="AC383" s="4154" t="s">
        <v>1880</v>
      </c>
      <c r="AD383" s="4154">
        <v>1.5743</v>
      </c>
      <c r="AE383" s="4154">
        <f>J383*AD383</f>
        <v>1586.8944</v>
      </c>
      <c r="AF383" s="3726" t="s">
        <v>1881</v>
      </c>
      <c r="AG383" s="3726"/>
      <c r="AH383" s="4422"/>
      <c r="AI383" s="3708">
        <f>J383</f>
        <v>1008</v>
      </c>
      <c r="AJ383" s="4422"/>
      <c r="AK383" s="3708"/>
      <c r="AL383" s="3708"/>
      <c r="AM383" s="4154"/>
      <c r="AN383" s="907"/>
      <c r="AO383" s="1048">
        <f>J383</f>
        <v>1008</v>
      </c>
      <c r="AP383" s="1048"/>
      <c r="AQ383" s="907"/>
      <c r="AR383" s="907"/>
      <c r="AS383" s="1048">
        <f t="shared" si="188"/>
        <v>1008</v>
      </c>
      <c r="AT383" s="1048"/>
      <c r="AU383" s="907"/>
      <c r="AV383" s="4922"/>
      <c r="AW383" s="4922"/>
      <c r="AX383" s="1048"/>
      <c r="AY383" s="4922"/>
      <c r="AZ383" s="4922"/>
      <c r="BA383" s="1048"/>
      <c r="BB383" s="4622"/>
      <c r="BC383" s="4922"/>
      <c r="BD383" s="4622"/>
      <c r="BE383" s="4622"/>
      <c r="BF383" s="4622"/>
      <c r="BG383" s="4622"/>
      <c r="BH383" s="1048">
        <f>J383</f>
        <v>1008</v>
      </c>
      <c r="BI383" s="4622"/>
      <c r="BJ383" s="1048"/>
      <c r="BK383" s="4415" t="s">
        <v>89</v>
      </c>
      <c r="BL383" s="4415">
        <f t="shared" si="187"/>
        <v>16.8</v>
      </c>
      <c r="BM383" s="4415">
        <f t="shared" si="189"/>
        <v>151.2</v>
      </c>
      <c r="BN383" s="4415">
        <f t="shared" si="190"/>
        <v>168</v>
      </c>
      <c r="BO383" s="4415">
        <f t="shared" si="191"/>
        <v>168</v>
      </c>
      <c r="BP383" s="4415">
        <f t="shared" si="192"/>
        <v>168</v>
      </c>
      <c r="BQ383" s="4414">
        <f t="shared" si="193"/>
        <v>168</v>
      </c>
      <c r="BR383" s="1048">
        <f t="shared" si="194"/>
        <v>168</v>
      </c>
      <c r="BS383" s="911"/>
      <c r="BT383" s="911"/>
      <c r="BU383" s="911"/>
      <c r="BV383" s="911"/>
      <c r="BW383" s="911"/>
      <c r="BX383" s="910"/>
      <c r="BY383" s="910"/>
      <c r="BZ383" s="3708">
        <f t="shared" si="165"/>
        <v>1008</v>
      </c>
      <c r="CA383" s="4154">
        <f t="shared" si="166"/>
        <v>0</v>
      </c>
      <c r="CB383" s="4923"/>
      <c r="CC383" s="4923"/>
      <c r="CD383" s="4323"/>
      <c r="CE383" s="4323"/>
      <c r="CF383" s="4323"/>
    </row>
    <row r="384" s="4316" customFormat="1" ht="50" customHeight="1" spans="1:84">
      <c r="A384" s="4500">
        <v>45834</v>
      </c>
      <c r="B384" s="4501" t="s">
        <v>1315</v>
      </c>
      <c r="C384" s="3708" t="s">
        <v>1316</v>
      </c>
      <c r="D384" s="4502">
        <v>4500162586</v>
      </c>
      <c r="E384" s="3708" t="s">
        <v>1905</v>
      </c>
      <c r="F384" s="4615" t="s">
        <v>1906</v>
      </c>
      <c r="G384" s="3708"/>
      <c r="H384" s="3708" t="s">
        <v>1319</v>
      </c>
      <c r="I384" s="3708" t="s">
        <v>1320</v>
      </c>
      <c r="J384" s="4154">
        <v>1352</v>
      </c>
      <c r="K384" s="4154">
        <v>0</v>
      </c>
      <c r="L384" s="4154">
        <v>4</v>
      </c>
      <c r="M384" s="4154">
        <f t="shared" si="169"/>
        <v>338</v>
      </c>
      <c r="N384" s="4503">
        <v>45908</v>
      </c>
      <c r="O384" s="4503">
        <f>N384-4</f>
        <v>45904</v>
      </c>
      <c r="P384" s="4154"/>
      <c r="Q384" s="4154" t="s">
        <v>82</v>
      </c>
      <c r="R384" s="4157">
        <v>1352</v>
      </c>
      <c r="S384" s="4157">
        <f t="shared" ref="S384:S393" si="197">J384-R384</f>
        <v>0</v>
      </c>
      <c r="T384" s="4157"/>
      <c r="U384" s="3726" t="s">
        <v>248</v>
      </c>
      <c r="V384" s="3711" t="s">
        <v>1571</v>
      </c>
      <c r="W384" s="3711"/>
      <c r="X384" s="3711" t="s">
        <v>1907</v>
      </c>
      <c r="Y384" s="3711"/>
      <c r="Z384" s="3711"/>
      <c r="AA384" s="4154" t="s">
        <v>1908</v>
      </c>
      <c r="AB384" s="3680" t="s">
        <v>1909</v>
      </c>
      <c r="AC384" s="4154" t="s">
        <v>1326</v>
      </c>
      <c r="AD384" s="4154">
        <v>16.9223</v>
      </c>
      <c r="AE384" s="4154">
        <f>AD384*M384</f>
        <v>5719.7374</v>
      </c>
      <c r="AF384" s="3726"/>
      <c r="AG384" s="3726"/>
      <c r="AH384" s="4430"/>
      <c r="AI384" s="3708"/>
      <c r="AJ384" s="4430"/>
      <c r="AK384" s="3708"/>
      <c r="AL384" s="3708"/>
      <c r="AM384" s="4154">
        <f>J384</f>
        <v>1352</v>
      </c>
      <c r="AN384" s="4413"/>
      <c r="AO384" s="1048"/>
      <c r="AP384" s="1048">
        <f>J384</f>
        <v>1352</v>
      </c>
      <c r="AQ384" s="4413"/>
      <c r="AR384" s="4413"/>
      <c r="AS384" s="1048">
        <f t="shared" si="188"/>
        <v>1352</v>
      </c>
      <c r="AT384" s="1048"/>
      <c r="AU384" s="4413"/>
      <c r="AV384" s="4939"/>
      <c r="AW384" s="4939"/>
      <c r="AX384" s="1048"/>
      <c r="AY384" s="4939"/>
      <c r="AZ384" s="4939"/>
      <c r="BA384" s="1048"/>
      <c r="BB384" s="4622"/>
      <c r="BC384" s="4939"/>
      <c r="BD384" s="4622"/>
      <c r="BE384" s="4622"/>
      <c r="BF384" s="4622"/>
      <c r="BG384" s="4622"/>
      <c r="BH384" s="1048"/>
      <c r="BI384" s="4622"/>
      <c r="BJ384" s="1048"/>
      <c r="BK384" s="4415" t="s">
        <v>1327</v>
      </c>
      <c r="BL384" s="4415">
        <f t="shared" si="187"/>
        <v>22.5333333333333</v>
      </c>
      <c r="BM384" s="4415">
        <f t="shared" si="189"/>
        <v>202.8</v>
      </c>
      <c r="BN384" s="4415">
        <f t="shared" si="190"/>
        <v>225.333333333333</v>
      </c>
      <c r="BO384" s="4415">
        <f t="shared" si="191"/>
        <v>225.333333333333</v>
      </c>
      <c r="BP384" s="4415">
        <f t="shared" si="192"/>
        <v>225.333333333333</v>
      </c>
      <c r="BQ384" s="4414">
        <f t="shared" si="193"/>
        <v>225.333333333333</v>
      </c>
      <c r="BR384" s="1048">
        <f t="shared" si="194"/>
        <v>225.333333333333</v>
      </c>
      <c r="BS384" s="4415"/>
      <c r="BT384" s="4432"/>
      <c r="BU384" s="4432"/>
      <c r="BV384" s="4432"/>
      <c r="BW384" s="4432"/>
      <c r="BX384" s="4431"/>
      <c r="BY384" s="4431"/>
      <c r="BZ384" s="3708">
        <f t="shared" ref="BZ384:BZ418" si="198">SUM(BL384:BY384)</f>
        <v>1352</v>
      </c>
      <c r="CA384" s="4154">
        <f t="shared" ref="CA384:CA389" si="199">J384-BZ384</f>
        <v>0</v>
      </c>
      <c r="CB384" s="4591"/>
      <c r="CC384" s="4591"/>
      <c r="CD384" s="4323"/>
      <c r="CE384" s="4323"/>
      <c r="CF384" s="4323"/>
    </row>
    <row r="385" s="4316" customFormat="1" ht="50" customHeight="1" spans="1:84">
      <c r="A385" s="4500">
        <v>45862</v>
      </c>
      <c r="B385" s="4501" t="s">
        <v>1617</v>
      </c>
      <c r="C385" s="3708" t="s">
        <v>91</v>
      </c>
      <c r="D385" s="4502">
        <v>4500174768</v>
      </c>
      <c r="E385" s="3708">
        <v>70072691</v>
      </c>
      <c r="F385" s="4502" t="s">
        <v>1910</v>
      </c>
      <c r="G385" s="3708"/>
      <c r="H385" s="3708" t="s">
        <v>333</v>
      </c>
      <c r="I385" s="3708" t="s">
        <v>328</v>
      </c>
      <c r="J385" s="4593">
        <v>600</v>
      </c>
      <c r="K385" s="4154">
        <v>0</v>
      </c>
      <c r="L385" s="4154">
        <v>24</v>
      </c>
      <c r="M385" s="4154">
        <f t="shared" si="169"/>
        <v>25</v>
      </c>
      <c r="N385" s="4503">
        <v>45918</v>
      </c>
      <c r="O385" s="4503">
        <v>45915</v>
      </c>
      <c r="P385" s="4154"/>
      <c r="Q385" s="4154" t="s">
        <v>82</v>
      </c>
      <c r="R385" s="4157">
        <f>24+576</f>
        <v>600</v>
      </c>
      <c r="S385" s="4157">
        <f t="shared" si="197"/>
        <v>0</v>
      </c>
      <c r="T385" s="4157"/>
      <c r="U385" s="3726" t="s">
        <v>1911</v>
      </c>
      <c r="V385" s="3711" t="s">
        <v>390</v>
      </c>
      <c r="W385" s="3711"/>
      <c r="X385" s="3711" t="s">
        <v>98</v>
      </c>
      <c r="Y385" s="3711"/>
      <c r="Z385" s="3711" t="s">
        <v>1885</v>
      </c>
      <c r="AA385" s="3708"/>
      <c r="AB385" s="3680" t="s">
        <v>1621</v>
      </c>
      <c r="AC385" s="4154" t="s">
        <v>1880</v>
      </c>
      <c r="AD385" s="4504">
        <v>1.254</v>
      </c>
      <c r="AE385" s="4154">
        <f t="shared" ref="AE385:AE392" si="200">J385*AD385</f>
        <v>752.4</v>
      </c>
      <c r="AF385" s="3726" t="s">
        <v>1912</v>
      </c>
      <c r="AG385" s="3726"/>
      <c r="AH385" s="4430"/>
      <c r="AI385" s="3708">
        <f>J385</f>
        <v>600</v>
      </c>
      <c r="AJ385" s="4430"/>
      <c r="AK385" s="3708"/>
      <c r="AL385" s="3708"/>
      <c r="AM385" s="4154"/>
      <c r="AN385" s="4413"/>
      <c r="AO385" s="1048">
        <f>J385</f>
        <v>600</v>
      </c>
      <c r="AP385" s="1048"/>
      <c r="AQ385" s="4413"/>
      <c r="AR385" s="4413"/>
      <c r="AS385" s="1048">
        <f t="shared" si="188"/>
        <v>600</v>
      </c>
      <c r="AT385" s="1048"/>
      <c r="AU385" s="4413"/>
      <c r="AV385" s="4939"/>
      <c r="AW385" s="4939"/>
      <c r="AX385" s="1048"/>
      <c r="AY385" s="4939"/>
      <c r="AZ385" s="4939"/>
      <c r="BA385" s="1048"/>
      <c r="BB385" s="4622"/>
      <c r="BC385" s="4939"/>
      <c r="BD385" s="4622"/>
      <c r="BE385" s="4622"/>
      <c r="BF385" s="4622"/>
      <c r="BG385" s="4622"/>
      <c r="BH385" s="1048"/>
      <c r="BI385" s="4622"/>
      <c r="BJ385" s="1048"/>
      <c r="BK385" s="4415" t="s">
        <v>89</v>
      </c>
      <c r="BL385" s="4415">
        <f t="shared" si="187"/>
        <v>10</v>
      </c>
      <c r="BM385" s="4415">
        <f t="shared" si="189"/>
        <v>90</v>
      </c>
      <c r="BN385" s="4415">
        <f t="shared" si="190"/>
        <v>100</v>
      </c>
      <c r="BO385" s="4415">
        <f t="shared" si="191"/>
        <v>100</v>
      </c>
      <c r="BP385" s="4415">
        <f t="shared" si="192"/>
        <v>100</v>
      </c>
      <c r="BQ385" s="4414">
        <f t="shared" si="193"/>
        <v>100</v>
      </c>
      <c r="BR385" s="1048">
        <f t="shared" si="194"/>
        <v>100</v>
      </c>
      <c r="BS385" s="4432"/>
      <c r="BT385" s="4432"/>
      <c r="BU385" s="4432"/>
      <c r="BV385" s="4432"/>
      <c r="BW385" s="4432"/>
      <c r="BX385" s="4431"/>
      <c r="BY385" s="4431"/>
      <c r="BZ385" s="3708">
        <f t="shared" si="198"/>
        <v>600</v>
      </c>
      <c r="CA385" s="4154">
        <f t="shared" si="199"/>
        <v>0</v>
      </c>
      <c r="CB385" s="4591"/>
      <c r="CC385" s="4591"/>
      <c r="CD385" s="4323"/>
      <c r="CE385" s="4323"/>
      <c r="CF385" s="4323"/>
    </row>
    <row r="386" s="4316" customFormat="1" ht="50" customHeight="1" spans="1:84">
      <c r="A386" s="4500">
        <v>45883</v>
      </c>
      <c r="B386" s="3708" t="s">
        <v>1172</v>
      </c>
      <c r="C386" s="3708" t="s">
        <v>91</v>
      </c>
      <c r="D386" s="4154">
        <v>4500176907</v>
      </c>
      <c r="E386" s="3708" t="s">
        <v>1913</v>
      </c>
      <c r="F386" s="4154" t="s">
        <v>1914</v>
      </c>
      <c r="G386" s="3708"/>
      <c r="H386" s="3708" t="s">
        <v>327</v>
      </c>
      <c r="I386" s="4154" t="s">
        <v>328</v>
      </c>
      <c r="J386" s="4154">
        <v>960</v>
      </c>
      <c r="K386" s="4154">
        <v>0</v>
      </c>
      <c r="L386" s="4154">
        <v>12</v>
      </c>
      <c r="M386" s="4154">
        <f t="shared" si="169"/>
        <v>80</v>
      </c>
      <c r="N386" s="4503">
        <v>45919</v>
      </c>
      <c r="O386" s="4503">
        <v>45915</v>
      </c>
      <c r="P386" s="3712"/>
      <c r="Q386" s="4154" t="s">
        <v>82</v>
      </c>
      <c r="R386" s="4157">
        <v>960</v>
      </c>
      <c r="S386" s="4157">
        <f t="shared" si="197"/>
        <v>0</v>
      </c>
      <c r="T386" s="4157"/>
      <c r="U386" s="3726" t="s">
        <v>250</v>
      </c>
      <c r="V386" s="3711" t="s">
        <v>1915</v>
      </c>
      <c r="W386" s="3711"/>
      <c r="X386" s="3711" t="s">
        <v>98</v>
      </c>
      <c r="Y386" s="3711"/>
      <c r="Z386" s="3711"/>
      <c r="AA386" s="4154"/>
      <c r="AB386" s="3713" t="s">
        <v>1916</v>
      </c>
      <c r="AC386" s="3711" t="s">
        <v>1917</v>
      </c>
      <c r="AD386" s="4504">
        <v>1.298</v>
      </c>
      <c r="AE386" s="4154">
        <f t="shared" si="200"/>
        <v>1246.08</v>
      </c>
      <c r="AF386" s="3726" t="s">
        <v>1918</v>
      </c>
      <c r="AG386" s="3726"/>
      <c r="AH386" s="4430"/>
      <c r="AI386" s="3708">
        <f>J386</f>
        <v>960</v>
      </c>
      <c r="AJ386" s="4430"/>
      <c r="AK386" s="3708"/>
      <c r="AL386" s="3708"/>
      <c r="AM386" s="4154"/>
      <c r="AN386" s="4413"/>
      <c r="AO386" s="1048">
        <f>J386</f>
        <v>960</v>
      </c>
      <c r="AP386" s="1048"/>
      <c r="AQ386" s="4413"/>
      <c r="AR386" s="4413"/>
      <c r="AS386" s="1048">
        <f t="shared" si="188"/>
        <v>960</v>
      </c>
      <c r="AT386" s="1048"/>
      <c r="AU386" s="4413"/>
      <c r="AV386" s="4939"/>
      <c r="AW386" s="4939"/>
      <c r="AX386" s="1048">
        <f>J386/6</f>
        <v>160</v>
      </c>
      <c r="AY386" s="4939"/>
      <c r="AZ386" s="4939"/>
      <c r="BA386" s="1048"/>
      <c r="BB386" s="4622"/>
      <c r="BC386" s="4939"/>
      <c r="BD386" s="4622"/>
      <c r="BE386" s="4622"/>
      <c r="BF386" s="4622"/>
      <c r="BG386" s="4622"/>
      <c r="BH386" s="4622"/>
      <c r="BI386" s="4622"/>
      <c r="BJ386" s="1048"/>
      <c r="BK386" s="4415" t="s">
        <v>89</v>
      </c>
      <c r="BL386" s="4415">
        <f t="shared" si="187"/>
        <v>16</v>
      </c>
      <c r="BM386" s="4415">
        <f t="shared" si="189"/>
        <v>144</v>
      </c>
      <c r="BN386" s="4415">
        <f t="shared" si="190"/>
        <v>160</v>
      </c>
      <c r="BO386" s="4415">
        <f t="shared" si="191"/>
        <v>160</v>
      </c>
      <c r="BP386" s="4415">
        <f t="shared" si="192"/>
        <v>160</v>
      </c>
      <c r="BQ386" s="4414">
        <f t="shared" si="193"/>
        <v>160</v>
      </c>
      <c r="BR386" s="1048">
        <f t="shared" si="194"/>
        <v>160</v>
      </c>
      <c r="BS386" s="4432"/>
      <c r="BT386" s="4432"/>
      <c r="BU386" s="4432"/>
      <c r="BV386" s="4432"/>
      <c r="BW386" s="4432"/>
      <c r="BX386" s="4431"/>
      <c r="BY386" s="4431"/>
      <c r="BZ386" s="3708">
        <f t="shared" si="198"/>
        <v>960</v>
      </c>
      <c r="CA386" s="4154">
        <f t="shared" si="199"/>
        <v>0</v>
      </c>
      <c r="CB386" s="4591"/>
      <c r="CC386" s="4591"/>
      <c r="CD386" s="4323"/>
      <c r="CE386" s="4323"/>
      <c r="CF386" s="4323"/>
    </row>
    <row r="387" s="4316" customFormat="1" ht="50" customHeight="1" spans="1:84">
      <c r="A387" s="4500">
        <v>45868</v>
      </c>
      <c r="B387" s="4501" t="s">
        <v>1919</v>
      </c>
      <c r="C387" s="3708" t="s">
        <v>1920</v>
      </c>
      <c r="D387" s="4502">
        <v>4500175435</v>
      </c>
      <c r="E387" s="3708"/>
      <c r="F387" s="4615" t="s">
        <v>1921</v>
      </c>
      <c r="G387" s="3708"/>
      <c r="H387" s="3708" t="s">
        <v>327</v>
      </c>
      <c r="I387" s="4154" t="s">
        <v>328</v>
      </c>
      <c r="J387" s="4154">
        <v>300</v>
      </c>
      <c r="K387" s="4154">
        <v>0</v>
      </c>
      <c r="L387" s="4154">
        <v>12</v>
      </c>
      <c r="M387" s="4154">
        <f t="shared" si="169"/>
        <v>25</v>
      </c>
      <c r="N387" s="4503">
        <v>45915</v>
      </c>
      <c r="O387" s="4503">
        <v>45911</v>
      </c>
      <c r="P387" s="4154"/>
      <c r="Q387" s="4154" t="s">
        <v>82</v>
      </c>
      <c r="R387" s="4157">
        <v>300</v>
      </c>
      <c r="S387" s="4157">
        <f t="shared" si="197"/>
        <v>0</v>
      </c>
      <c r="T387" s="4157"/>
      <c r="U387" s="3726" t="s">
        <v>1922</v>
      </c>
      <c r="V387" s="3711" t="s">
        <v>1884</v>
      </c>
      <c r="W387" s="3711"/>
      <c r="X387" s="3711" t="s">
        <v>1923</v>
      </c>
      <c r="Y387" s="3711"/>
      <c r="Z387" s="3711"/>
      <c r="AA387" s="4154"/>
      <c r="AB387" s="3680" t="s">
        <v>1924</v>
      </c>
      <c r="AC387" s="4154" t="s">
        <v>357</v>
      </c>
      <c r="AD387" s="4504">
        <v>2.1633</v>
      </c>
      <c r="AE387" s="4154">
        <f t="shared" si="200"/>
        <v>648.99</v>
      </c>
      <c r="AF387" s="3726"/>
      <c r="AG387" s="3726"/>
      <c r="AH387" s="4430"/>
      <c r="AI387" s="3708">
        <f>J387</f>
        <v>300</v>
      </c>
      <c r="AJ387" s="4430"/>
      <c r="AK387" s="3708"/>
      <c r="AL387" s="3708"/>
      <c r="AM387" s="4154"/>
      <c r="AN387" s="4413"/>
      <c r="AO387" s="1048">
        <f>J387</f>
        <v>300</v>
      </c>
      <c r="AP387" s="1048"/>
      <c r="AQ387" s="4413"/>
      <c r="AR387" s="4413"/>
      <c r="AS387" s="1048">
        <f t="shared" si="188"/>
        <v>300</v>
      </c>
      <c r="AT387" s="1048"/>
      <c r="AU387" s="4413"/>
      <c r="AV387" s="4939"/>
      <c r="AW387" s="4939"/>
      <c r="AX387" s="1048">
        <f>J387/6</f>
        <v>50</v>
      </c>
      <c r="AY387" s="4939"/>
      <c r="AZ387" s="4939"/>
      <c r="BA387" s="1048"/>
      <c r="BB387" s="4622"/>
      <c r="BC387" s="4939"/>
      <c r="BD387" s="4622"/>
      <c r="BE387" s="4622"/>
      <c r="BF387" s="4622"/>
      <c r="BG387" s="4622"/>
      <c r="BH387" s="1048"/>
      <c r="BI387" s="4622"/>
      <c r="BJ387" s="1048"/>
      <c r="BK387" s="4415" t="s">
        <v>89</v>
      </c>
      <c r="BL387" s="4415">
        <f t="shared" si="187"/>
        <v>5</v>
      </c>
      <c r="BM387" s="4415">
        <f t="shared" si="189"/>
        <v>45</v>
      </c>
      <c r="BN387" s="4415">
        <f t="shared" si="190"/>
        <v>50</v>
      </c>
      <c r="BO387" s="4415">
        <f t="shared" si="191"/>
        <v>50</v>
      </c>
      <c r="BP387" s="4415">
        <f t="shared" si="192"/>
        <v>50</v>
      </c>
      <c r="BQ387" s="4414">
        <f t="shared" si="193"/>
        <v>50</v>
      </c>
      <c r="BR387" s="1048">
        <f t="shared" si="194"/>
        <v>50</v>
      </c>
      <c r="BS387" s="4432"/>
      <c r="BT387" s="4432"/>
      <c r="BU387" s="4432"/>
      <c r="BV387" s="4432"/>
      <c r="BW387" s="4432"/>
      <c r="BX387" s="4431"/>
      <c r="BY387" s="4431"/>
      <c r="BZ387" s="3708">
        <f t="shared" si="198"/>
        <v>300</v>
      </c>
      <c r="CA387" s="4154">
        <f t="shared" si="199"/>
        <v>0</v>
      </c>
      <c r="CB387" s="4591"/>
      <c r="CC387" s="4591"/>
      <c r="CD387" s="4323"/>
      <c r="CE387" s="4323"/>
      <c r="CF387" s="4323"/>
    </row>
    <row r="388" s="4316" customFormat="1" ht="50" customHeight="1" spans="1:84">
      <c r="A388" s="4500">
        <v>45873</v>
      </c>
      <c r="B388" s="4501" t="s">
        <v>839</v>
      </c>
      <c r="C388" s="3708" t="s">
        <v>840</v>
      </c>
      <c r="D388" s="4502">
        <v>4500175925</v>
      </c>
      <c r="E388" s="3708">
        <v>21012336</v>
      </c>
      <c r="F388" s="4615" t="s">
        <v>1925</v>
      </c>
      <c r="G388" s="3708"/>
      <c r="H388" s="3708" t="s">
        <v>508</v>
      </c>
      <c r="I388" s="3708" t="s">
        <v>328</v>
      </c>
      <c r="J388" s="4593">
        <v>132</v>
      </c>
      <c r="K388" s="4154">
        <v>0</v>
      </c>
      <c r="L388" s="4154">
        <v>6</v>
      </c>
      <c r="M388" s="4154">
        <f t="shared" ref="M388:M408" si="201">J388/L388</f>
        <v>22</v>
      </c>
      <c r="N388" s="4503">
        <v>45915</v>
      </c>
      <c r="O388" s="4503">
        <v>45911</v>
      </c>
      <c r="P388" s="4154"/>
      <c r="Q388" s="4154" t="s">
        <v>82</v>
      </c>
      <c r="R388" s="4157">
        <v>132</v>
      </c>
      <c r="S388" s="4157">
        <f t="shared" si="197"/>
        <v>0</v>
      </c>
      <c r="T388" s="4157"/>
      <c r="U388" s="3726" t="s">
        <v>1922</v>
      </c>
      <c r="V388" s="3711" t="s">
        <v>1926</v>
      </c>
      <c r="W388" s="3711"/>
      <c r="X388" s="3711" t="s">
        <v>1927</v>
      </c>
      <c r="Y388" s="3711"/>
      <c r="Z388" s="3711"/>
      <c r="AA388" s="4154"/>
      <c r="AB388" s="3680" t="s">
        <v>1614</v>
      </c>
      <c r="AC388" s="4154" t="s">
        <v>1928</v>
      </c>
      <c r="AD388" s="4504">
        <v>2.3151</v>
      </c>
      <c r="AE388" s="4154">
        <f t="shared" si="200"/>
        <v>305.5932</v>
      </c>
      <c r="AF388" s="3726" t="s">
        <v>1929</v>
      </c>
      <c r="AG388" s="3726"/>
      <c r="AH388" s="4430"/>
      <c r="AI388" s="3708">
        <f>J388</f>
        <v>132</v>
      </c>
      <c r="AJ388" s="4430"/>
      <c r="AK388" s="3708"/>
      <c r="AL388" s="3708"/>
      <c r="AM388" s="4154"/>
      <c r="AN388" s="4413"/>
      <c r="AO388" s="1048">
        <f>J388</f>
        <v>132</v>
      </c>
      <c r="AP388" s="1048"/>
      <c r="AQ388" s="4413"/>
      <c r="AR388" s="4413"/>
      <c r="AS388" s="1048">
        <f t="shared" si="188"/>
        <v>132</v>
      </c>
      <c r="AT388" s="1048"/>
      <c r="AU388" s="4413"/>
      <c r="AV388" s="4939"/>
      <c r="AW388" s="4939"/>
      <c r="AX388" s="1048">
        <f>J388/6</f>
        <v>22</v>
      </c>
      <c r="AY388" s="4939"/>
      <c r="AZ388" s="4939"/>
      <c r="BA388" s="1048"/>
      <c r="BB388" s="4622"/>
      <c r="BC388" s="4939"/>
      <c r="BD388" s="4622"/>
      <c r="BE388" s="4622"/>
      <c r="BF388" s="4622"/>
      <c r="BG388" s="4622"/>
      <c r="BH388" s="1048"/>
      <c r="BI388" s="4622"/>
      <c r="BJ388" s="1048"/>
      <c r="BK388" s="4415" t="s">
        <v>89</v>
      </c>
      <c r="BL388" s="4415">
        <f t="shared" si="187"/>
        <v>2.2</v>
      </c>
      <c r="BM388" s="4415">
        <f t="shared" si="189"/>
        <v>19.8</v>
      </c>
      <c r="BN388" s="4415">
        <f t="shared" si="190"/>
        <v>22</v>
      </c>
      <c r="BO388" s="4415">
        <f t="shared" si="191"/>
        <v>22</v>
      </c>
      <c r="BP388" s="4415">
        <f t="shared" si="192"/>
        <v>22</v>
      </c>
      <c r="BQ388" s="4414">
        <f t="shared" si="193"/>
        <v>22</v>
      </c>
      <c r="BR388" s="1048">
        <f t="shared" si="194"/>
        <v>22</v>
      </c>
      <c r="BS388" s="4432"/>
      <c r="BT388" s="4432"/>
      <c r="BU388" s="4432"/>
      <c r="BV388" s="4432"/>
      <c r="BW388" s="4432"/>
      <c r="BX388" s="4431"/>
      <c r="BY388" s="4431"/>
      <c r="BZ388" s="3708">
        <f t="shared" si="198"/>
        <v>132</v>
      </c>
      <c r="CA388" s="4154">
        <f t="shared" si="199"/>
        <v>0</v>
      </c>
      <c r="CB388" s="4591"/>
      <c r="CC388" s="4591"/>
      <c r="CD388" s="4323"/>
      <c r="CE388" s="4323"/>
      <c r="CF388" s="4323"/>
    </row>
    <row r="389" s="4316" customFormat="1" ht="50" customHeight="1" spans="1:84">
      <c r="A389" s="4500">
        <v>45873</v>
      </c>
      <c r="B389" s="4501" t="s">
        <v>505</v>
      </c>
      <c r="C389" s="3708" t="s">
        <v>506</v>
      </c>
      <c r="D389" s="4502">
        <v>4500175924</v>
      </c>
      <c r="E389" s="3708">
        <v>21012335</v>
      </c>
      <c r="F389" s="4615" t="s">
        <v>1930</v>
      </c>
      <c r="G389" s="3708"/>
      <c r="H389" s="3708" t="s">
        <v>508</v>
      </c>
      <c r="I389" s="3708" t="s">
        <v>328</v>
      </c>
      <c r="J389" s="4593">
        <v>1746</v>
      </c>
      <c r="K389" s="4154">
        <v>0</v>
      </c>
      <c r="L389" s="4154">
        <v>6</v>
      </c>
      <c r="M389" s="4154">
        <f t="shared" si="201"/>
        <v>291</v>
      </c>
      <c r="N389" s="4503">
        <v>45915</v>
      </c>
      <c r="O389" s="4503">
        <v>45911</v>
      </c>
      <c r="P389" s="4154"/>
      <c r="Q389" s="4154" t="s">
        <v>82</v>
      </c>
      <c r="R389" s="4157">
        <v>1746</v>
      </c>
      <c r="S389" s="4157">
        <f t="shared" si="197"/>
        <v>0</v>
      </c>
      <c r="T389" s="4157"/>
      <c r="U389" s="3726" t="s">
        <v>1922</v>
      </c>
      <c r="V389" s="3711" t="s">
        <v>1926</v>
      </c>
      <c r="W389" s="3711"/>
      <c r="X389" s="3711" t="s">
        <v>1927</v>
      </c>
      <c r="Y389" s="3711"/>
      <c r="Z389" s="3711"/>
      <c r="AA389" s="4154"/>
      <c r="AB389" s="3680" t="s">
        <v>1616</v>
      </c>
      <c r="AC389" s="4154" t="s">
        <v>1928</v>
      </c>
      <c r="AD389" s="4504">
        <v>2.3106</v>
      </c>
      <c r="AE389" s="4154">
        <f t="shared" si="200"/>
        <v>4034.3076</v>
      </c>
      <c r="AF389" s="3726" t="s">
        <v>1931</v>
      </c>
      <c r="AG389" s="3726"/>
      <c r="AH389" s="4430"/>
      <c r="AI389" s="3708">
        <f>J389</f>
        <v>1746</v>
      </c>
      <c r="AJ389" s="4430"/>
      <c r="AK389" s="3708"/>
      <c r="AL389" s="3708"/>
      <c r="AM389" s="4154"/>
      <c r="AN389" s="4413"/>
      <c r="AO389" s="1048">
        <f>J389</f>
        <v>1746</v>
      </c>
      <c r="AP389" s="1048"/>
      <c r="AQ389" s="4413"/>
      <c r="AR389" s="4413"/>
      <c r="AS389" s="1048">
        <f t="shared" si="188"/>
        <v>1746</v>
      </c>
      <c r="AT389" s="1048"/>
      <c r="AU389" s="4413"/>
      <c r="AV389" s="4939"/>
      <c r="AW389" s="4939"/>
      <c r="AX389" s="1048">
        <f>J389/6</f>
        <v>291</v>
      </c>
      <c r="AY389" s="4939"/>
      <c r="AZ389" s="4939"/>
      <c r="BA389" s="1048"/>
      <c r="BB389" s="4622"/>
      <c r="BC389" s="4939"/>
      <c r="BD389" s="4622"/>
      <c r="BE389" s="4622"/>
      <c r="BF389" s="4622"/>
      <c r="BG389" s="4622"/>
      <c r="BH389" s="1048"/>
      <c r="BI389" s="4622"/>
      <c r="BJ389" s="1048"/>
      <c r="BK389" s="4415" t="s">
        <v>89</v>
      </c>
      <c r="BL389" s="4415">
        <f t="shared" si="187"/>
        <v>29.1</v>
      </c>
      <c r="BM389" s="4415">
        <f t="shared" si="189"/>
        <v>261.9</v>
      </c>
      <c r="BN389" s="4415">
        <f t="shared" si="190"/>
        <v>291</v>
      </c>
      <c r="BO389" s="4415">
        <f t="shared" si="191"/>
        <v>291</v>
      </c>
      <c r="BP389" s="4415">
        <f t="shared" si="192"/>
        <v>291</v>
      </c>
      <c r="BQ389" s="4414">
        <f t="shared" si="193"/>
        <v>291</v>
      </c>
      <c r="BR389" s="1048">
        <f t="shared" si="194"/>
        <v>291</v>
      </c>
      <c r="BS389" s="4432"/>
      <c r="BT389" s="4432"/>
      <c r="BU389" s="4432"/>
      <c r="BV389" s="4432"/>
      <c r="BW389" s="4432"/>
      <c r="BX389" s="4431"/>
      <c r="BY389" s="4431"/>
      <c r="BZ389" s="3708">
        <f t="shared" si="198"/>
        <v>1746</v>
      </c>
      <c r="CA389" s="4154">
        <f t="shared" si="199"/>
        <v>0</v>
      </c>
      <c r="CB389" s="4591"/>
      <c r="CC389" s="4591"/>
      <c r="CD389" s="4323"/>
      <c r="CE389" s="4323"/>
      <c r="CF389" s="4323"/>
    </row>
    <row r="390" s="4316" customFormat="1" ht="50" customHeight="1" spans="1:84">
      <c r="A390" s="4500">
        <v>45813</v>
      </c>
      <c r="B390" s="4501" t="s">
        <v>672</v>
      </c>
      <c r="C390" s="3708" t="s">
        <v>673</v>
      </c>
      <c r="D390" s="4502">
        <v>4500169058</v>
      </c>
      <c r="E390" s="3708">
        <v>5000001907</v>
      </c>
      <c r="F390" s="4502" t="s">
        <v>1932</v>
      </c>
      <c r="G390" s="3708"/>
      <c r="H390" s="3708" t="s">
        <v>1933</v>
      </c>
      <c r="I390" s="3708" t="s">
        <v>1934</v>
      </c>
      <c r="J390" s="4154">
        <v>6000</v>
      </c>
      <c r="K390" s="4154">
        <v>0</v>
      </c>
      <c r="L390" s="4154">
        <v>3</v>
      </c>
      <c r="M390" s="4509">
        <f t="shared" si="201"/>
        <v>2000</v>
      </c>
      <c r="N390" s="4503">
        <v>45915</v>
      </c>
      <c r="O390" s="4553">
        <f>N390-4</f>
        <v>45911</v>
      </c>
      <c r="P390" s="3708" t="s">
        <v>1935</v>
      </c>
      <c r="Q390" s="4154" t="s">
        <v>82</v>
      </c>
      <c r="R390" s="4157">
        <f>1353+2784+1863</f>
        <v>6000</v>
      </c>
      <c r="S390" s="4157">
        <f t="shared" si="197"/>
        <v>0</v>
      </c>
      <c r="T390" s="4157"/>
      <c r="U390" s="3726"/>
      <c r="V390" s="3711" t="s">
        <v>1936</v>
      </c>
      <c r="W390" s="3711"/>
      <c r="X390" s="3711" t="s">
        <v>1937</v>
      </c>
      <c r="Y390" s="3711"/>
      <c r="Z390" s="3711"/>
      <c r="AA390" s="3708"/>
      <c r="AB390" s="3680" t="s">
        <v>1938</v>
      </c>
      <c r="AC390" s="4154" t="s">
        <v>993</v>
      </c>
      <c r="AD390" s="4504">
        <v>4.17</v>
      </c>
      <c r="AE390" s="4154">
        <f t="shared" si="200"/>
        <v>25020</v>
      </c>
      <c r="AF390" s="3726"/>
      <c r="AG390" s="3726"/>
      <c r="AH390" s="4430"/>
      <c r="AI390" s="3708">
        <f>J390*2</f>
        <v>12000</v>
      </c>
      <c r="AJ390" s="4430"/>
      <c r="AK390" s="3708"/>
      <c r="AL390" s="3708"/>
      <c r="AM390" s="4154"/>
      <c r="AN390" s="4413"/>
      <c r="AO390" s="1048"/>
      <c r="AP390" s="1048">
        <f>J390*2</f>
        <v>12000</v>
      </c>
      <c r="AQ390" s="4413"/>
      <c r="AR390" s="4413"/>
      <c r="AS390" s="1048">
        <f>J390*2</f>
        <v>12000</v>
      </c>
      <c r="AT390" s="1048"/>
      <c r="AU390" s="4413"/>
      <c r="AV390" s="4939"/>
      <c r="AW390" s="4939"/>
      <c r="AX390" s="1048"/>
      <c r="AY390" s="4939"/>
      <c r="AZ390" s="4939"/>
      <c r="BA390" s="1048"/>
      <c r="BB390" s="4622"/>
      <c r="BC390" s="4939"/>
      <c r="BD390" s="4622"/>
      <c r="BE390" s="4622"/>
      <c r="BF390" s="4622"/>
      <c r="BG390" s="4622"/>
      <c r="BH390" s="1048">
        <f>J390</f>
        <v>6000</v>
      </c>
      <c r="BI390" s="4622"/>
      <c r="BJ390" s="1048"/>
      <c r="BK390" s="4415" t="s">
        <v>1939</v>
      </c>
      <c r="BL390" s="4415">
        <f>J390/60*1*2</f>
        <v>200</v>
      </c>
      <c r="BM390" s="4415">
        <f>J390/60*9*2</f>
        <v>1800</v>
      </c>
      <c r="BN390" s="4415">
        <f>J390/60*10*2</f>
        <v>2000</v>
      </c>
      <c r="BO390" s="4415">
        <f>J390/60*10*2</f>
        <v>2000</v>
      </c>
      <c r="BP390" s="4415">
        <f>J390/60*10*2</f>
        <v>2000</v>
      </c>
      <c r="BQ390" s="4414">
        <f>J390/60*10*2</f>
        <v>2000</v>
      </c>
      <c r="BR390" s="1048">
        <f>J390/60*10*2</f>
        <v>2000</v>
      </c>
      <c r="BS390" s="4432"/>
      <c r="BT390" s="4447"/>
      <c r="BU390" s="4447"/>
      <c r="BV390" s="4447"/>
      <c r="BW390" s="4447"/>
      <c r="BX390" s="4447"/>
      <c r="BY390" s="4447"/>
      <c r="BZ390" s="3708">
        <f t="shared" si="198"/>
        <v>12000</v>
      </c>
      <c r="CA390" s="4154">
        <f>SUM(BL390:BR390)-BZ390</f>
        <v>0</v>
      </c>
      <c r="CB390" s="4591"/>
      <c r="CC390" s="4591"/>
      <c r="CD390" s="4323"/>
      <c r="CE390" s="4323"/>
      <c r="CF390" s="4323"/>
    </row>
    <row r="391" s="4316" customFormat="1" ht="50" customHeight="1" spans="1:84">
      <c r="A391" s="4500">
        <v>45813</v>
      </c>
      <c r="B391" s="4501" t="s">
        <v>672</v>
      </c>
      <c r="C391" s="3708" t="s">
        <v>673</v>
      </c>
      <c r="D391" s="4502">
        <v>4500169058</v>
      </c>
      <c r="E391" s="3708">
        <v>5000001907</v>
      </c>
      <c r="F391" s="4502" t="s">
        <v>1940</v>
      </c>
      <c r="G391" s="3708"/>
      <c r="H391" s="3708" t="s">
        <v>1933</v>
      </c>
      <c r="I391" s="3708" t="s">
        <v>1934</v>
      </c>
      <c r="J391" s="4154">
        <v>6000</v>
      </c>
      <c r="K391" s="4154">
        <v>0</v>
      </c>
      <c r="L391" s="4154">
        <v>3</v>
      </c>
      <c r="M391" s="4509">
        <f t="shared" si="201"/>
        <v>2000</v>
      </c>
      <c r="N391" s="4503">
        <v>45915</v>
      </c>
      <c r="O391" s="4553">
        <f>N391-4</f>
        <v>45911</v>
      </c>
      <c r="P391" s="3708" t="s">
        <v>1935</v>
      </c>
      <c r="Q391" s="4154" t="s">
        <v>82</v>
      </c>
      <c r="R391" s="4157">
        <v>6000</v>
      </c>
      <c r="S391" s="4157">
        <f t="shared" si="197"/>
        <v>0</v>
      </c>
      <c r="T391" s="4157"/>
      <c r="U391" s="3726"/>
      <c r="V391" s="3711" t="s">
        <v>1936</v>
      </c>
      <c r="W391" s="3711"/>
      <c r="X391" s="3711" t="s">
        <v>1937</v>
      </c>
      <c r="Y391" s="3711"/>
      <c r="Z391" s="3711"/>
      <c r="AA391" s="3708"/>
      <c r="AB391" s="3680" t="s">
        <v>1938</v>
      </c>
      <c r="AC391" s="4154" t="s">
        <v>993</v>
      </c>
      <c r="AD391" s="4504">
        <v>4.17</v>
      </c>
      <c r="AE391" s="4154">
        <f t="shared" si="200"/>
        <v>25020</v>
      </c>
      <c r="AF391" s="3726"/>
      <c r="AG391" s="3726"/>
      <c r="AH391" s="4430"/>
      <c r="AI391" s="3708">
        <f>J391*2</f>
        <v>12000</v>
      </c>
      <c r="AJ391" s="4430"/>
      <c r="AK391" s="3708"/>
      <c r="AL391" s="3708"/>
      <c r="AM391" s="4154"/>
      <c r="AN391" s="4413"/>
      <c r="AO391" s="1048"/>
      <c r="AP391" s="1048">
        <f>J391*2</f>
        <v>12000</v>
      </c>
      <c r="AQ391" s="4413"/>
      <c r="AR391" s="4413"/>
      <c r="AS391" s="1048">
        <f>J391*2</f>
        <v>12000</v>
      </c>
      <c r="AT391" s="1048"/>
      <c r="AU391" s="4413"/>
      <c r="AV391" s="4939"/>
      <c r="AW391" s="4939"/>
      <c r="AX391" s="1048"/>
      <c r="AY391" s="4939"/>
      <c r="AZ391" s="4939"/>
      <c r="BA391" s="1048"/>
      <c r="BB391" s="4622"/>
      <c r="BC391" s="4939"/>
      <c r="BD391" s="4622"/>
      <c r="BE391" s="4622"/>
      <c r="BF391" s="4622"/>
      <c r="BG391" s="4622"/>
      <c r="BH391" s="1048">
        <f>J391</f>
        <v>6000</v>
      </c>
      <c r="BI391" s="4622"/>
      <c r="BJ391" s="1048"/>
      <c r="BK391" s="4415" t="s">
        <v>1939</v>
      </c>
      <c r="BL391" s="4415">
        <f>J391/60*1*2</f>
        <v>200</v>
      </c>
      <c r="BM391" s="4415">
        <f>J391/60*9*2</f>
        <v>1800</v>
      </c>
      <c r="BN391" s="4415">
        <f>J391/60*10*2</f>
        <v>2000</v>
      </c>
      <c r="BO391" s="4415">
        <f>J391/60*10*2</f>
        <v>2000</v>
      </c>
      <c r="BP391" s="4415">
        <f>J391/60*10*2</f>
        <v>2000</v>
      </c>
      <c r="BQ391" s="4414">
        <f>J391/60*10*2</f>
        <v>2000</v>
      </c>
      <c r="BR391" s="1048">
        <f>J391/60*10*2</f>
        <v>2000</v>
      </c>
      <c r="BS391" s="4432"/>
      <c r="BT391" s="4447"/>
      <c r="BU391" s="4447"/>
      <c r="BV391" s="4447"/>
      <c r="BW391" s="4447"/>
      <c r="BX391" s="4447"/>
      <c r="BY391" s="4447"/>
      <c r="BZ391" s="3708">
        <f t="shared" si="198"/>
        <v>12000</v>
      </c>
      <c r="CA391" s="4154">
        <f>SUM(BL391:BR391)-BZ391</f>
        <v>0</v>
      </c>
      <c r="CB391" s="4591"/>
      <c r="CC391" s="4591"/>
      <c r="CD391" s="4323"/>
      <c r="CE391" s="4323"/>
      <c r="CF391" s="4323"/>
    </row>
    <row r="392" s="4316" customFormat="1" ht="50" customHeight="1" spans="1:84">
      <c r="A392" s="4500">
        <v>45813</v>
      </c>
      <c r="B392" s="4501" t="s">
        <v>672</v>
      </c>
      <c r="C392" s="3708" t="s">
        <v>673</v>
      </c>
      <c r="D392" s="4502">
        <v>4500169058</v>
      </c>
      <c r="E392" s="3708">
        <v>5000001907</v>
      </c>
      <c r="F392" s="4502" t="s">
        <v>1941</v>
      </c>
      <c r="G392" s="3708"/>
      <c r="H392" s="3708" t="s">
        <v>1933</v>
      </c>
      <c r="I392" s="3708" t="s">
        <v>1934</v>
      </c>
      <c r="J392" s="4154">
        <v>3141</v>
      </c>
      <c r="K392" s="4154">
        <v>0</v>
      </c>
      <c r="L392" s="4154">
        <v>3</v>
      </c>
      <c r="M392" s="4509">
        <f t="shared" si="201"/>
        <v>1047</v>
      </c>
      <c r="N392" s="4503">
        <v>45915</v>
      </c>
      <c r="O392" s="4553">
        <f>N392-4</f>
        <v>45911</v>
      </c>
      <c r="P392" s="3708" t="s">
        <v>1935</v>
      </c>
      <c r="Q392" s="4154" t="s">
        <v>82</v>
      </c>
      <c r="R392" s="4157">
        <v>3141</v>
      </c>
      <c r="S392" s="4157">
        <f t="shared" si="197"/>
        <v>0</v>
      </c>
      <c r="T392" s="4157"/>
      <c r="U392" s="3726"/>
      <c r="V392" s="3711" t="s">
        <v>1936</v>
      </c>
      <c r="W392" s="3711"/>
      <c r="X392" s="3711" t="s">
        <v>1937</v>
      </c>
      <c r="Y392" s="3711"/>
      <c r="Z392" s="3711"/>
      <c r="AA392" s="3708"/>
      <c r="AB392" s="3680" t="s">
        <v>1938</v>
      </c>
      <c r="AC392" s="4154" t="s">
        <v>993</v>
      </c>
      <c r="AD392" s="4504">
        <v>4.17</v>
      </c>
      <c r="AE392" s="4154">
        <f t="shared" si="200"/>
        <v>13097.97</v>
      </c>
      <c r="AF392" s="3726"/>
      <c r="AG392" s="3726"/>
      <c r="AH392" s="4430"/>
      <c r="AI392" s="3708">
        <f>J392*2</f>
        <v>6282</v>
      </c>
      <c r="AJ392" s="4430"/>
      <c r="AK392" s="3708"/>
      <c r="AL392" s="3708"/>
      <c r="AM392" s="4154"/>
      <c r="AN392" s="4413"/>
      <c r="AO392" s="1048"/>
      <c r="AP392" s="1048">
        <f>J392*2</f>
        <v>6282</v>
      </c>
      <c r="AQ392" s="4413"/>
      <c r="AR392" s="4413"/>
      <c r="AS392" s="1048">
        <f>J392*2</f>
        <v>6282</v>
      </c>
      <c r="AT392" s="1048"/>
      <c r="AU392" s="4413"/>
      <c r="AV392" s="4939"/>
      <c r="AW392" s="4939"/>
      <c r="AX392" s="1048"/>
      <c r="AY392" s="4939"/>
      <c r="AZ392" s="4939"/>
      <c r="BA392" s="1048"/>
      <c r="BB392" s="4622"/>
      <c r="BC392" s="4939"/>
      <c r="BD392" s="4622"/>
      <c r="BE392" s="4622"/>
      <c r="BF392" s="4622"/>
      <c r="BG392" s="4622"/>
      <c r="BH392" s="1048">
        <f>J392</f>
        <v>3141</v>
      </c>
      <c r="BI392" s="4622"/>
      <c r="BJ392" s="1048"/>
      <c r="BK392" s="4415" t="s">
        <v>1939</v>
      </c>
      <c r="BL392" s="4415">
        <f>J392/60*1*2</f>
        <v>104.7</v>
      </c>
      <c r="BM392" s="4415">
        <f>J392/60*9*2</f>
        <v>942.3</v>
      </c>
      <c r="BN392" s="4415">
        <f>J392/60*10*2</f>
        <v>1047</v>
      </c>
      <c r="BO392" s="4415">
        <f>J392/60*10*2</f>
        <v>1047</v>
      </c>
      <c r="BP392" s="4415">
        <f>J392/60*10*2</f>
        <v>1047</v>
      </c>
      <c r="BQ392" s="4414">
        <f>J392/60*10*2</f>
        <v>1047</v>
      </c>
      <c r="BR392" s="1048">
        <f>J392/60*10*2</f>
        <v>1047</v>
      </c>
      <c r="BS392" s="4432"/>
      <c r="BT392" s="4447"/>
      <c r="BU392" s="4447"/>
      <c r="BV392" s="4447"/>
      <c r="BW392" s="4447"/>
      <c r="BX392" s="4447"/>
      <c r="BY392" s="4447"/>
      <c r="BZ392" s="3708">
        <f t="shared" si="198"/>
        <v>6282</v>
      </c>
      <c r="CA392" s="4154">
        <f>SUM(BL392:BR392)-BZ392</f>
        <v>0</v>
      </c>
      <c r="CB392" s="4591"/>
      <c r="CC392" s="4591"/>
      <c r="CD392" s="4323"/>
      <c r="CE392" s="4323"/>
      <c r="CF392" s="4323"/>
    </row>
    <row r="393" s="4316" customFormat="1" ht="50" customHeight="1" spans="1:84">
      <c r="A393" s="4500">
        <v>45834</v>
      </c>
      <c r="B393" s="4501" t="s">
        <v>1315</v>
      </c>
      <c r="C393" s="3708" t="s">
        <v>1316</v>
      </c>
      <c r="D393" s="4502">
        <v>4500162586</v>
      </c>
      <c r="E393" s="3708" t="s">
        <v>1942</v>
      </c>
      <c r="F393" s="4615" t="s">
        <v>1943</v>
      </c>
      <c r="G393" s="3708"/>
      <c r="H393" s="3708" t="s">
        <v>1319</v>
      </c>
      <c r="I393" s="3708" t="s">
        <v>1320</v>
      </c>
      <c r="J393" s="4154">
        <v>1912</v>
      </c>
      <c r="K393" s="4154">
        <v>0</v>
      </c>
      <c r="L393" s="4154">
        <v>4</v>
      </c>
      <c r="M393" s="4154">
        <f t="shared" si="201"/>
        <v>478</v>
      </c>
      <c r="N393" s="4503">
        <v>45908</v>
      </c>
      <c r="O393" s="4503">
        <f>N393-4</f>
        <v>45904</v>
      </c>
      <c r="P393" s="4154"/>
      <c r="Q393" s="4154" t="s">
        <v>82</v>
      </c>
      <c r="R393" s="4157">
        <v>1912</v>
      </c>
      <c r="S393" s="4157">
        <f t="shared" si="197"/>
        <v>0</v>
      </c>
      <c r="T393" s="4157"/>
      <c r="U393" s="3726" t="s">
        <v>1911</v>
      </c>
      <c r="V393" s="3711" t="s">
        <v>1571</v>
      </c>
      <c r="W393" s="3711"/>
      <c r="X393" s="3711" t="s">
        <v>1907</v>
      </c>
      <c r="Y393" s="3711"/>
      <c r="Z393" s="3711"/>
      <c r="AA393" s="4154" t="s">
        <v>1944</v>
      </c>
      <c r="AB393" s="3680" t="s">
        <v>1945</v>
      </c>
      <c r="AC393" s="4154" t="s">
        <v>1326</v>
      </c>
      <c r="AD393" s="4154">
        <v>16.9223</v>
      </c>
      <c r="AE393" s="4154">
        <f>AD393*M393</f>
        <v>8088.8594</v>
      </c>
      <c r="AF393" s="3726"/>
      <c r="AG393" s="3726"/>
      <c r="AH393" s="4430"/>
      <c r="AI393" s="3708"/>
      <c r="AJ393" s="4430"/>
      <c r="AK393" s="3708"/>
      <c r="AL393" s="3708"/>
      <c r="AM393" s="4154">
        <f>J393</f>
        <v>1912</v>
      </c>
      <c r="AN393" s="4413"/>
      <c r="AO393" s="1048"/>
      <c r="AP393" s="1048">
        <f>J393</f>
        <v>1912</v>
      </c>
      <c r="AQ393" s="4413"/>
      <c r="AR393" s="4413"/>
      <c r="AS393" s="1048">
        <f t="shared" ref="AS393:AS409" si="202">J393</f>
        <v>1912</v>
      </c>
      <c r="AT393" s="1048"/>
      <c r="AU393" s="4413"/>
      <c r="AV393" s="4939"/>
      <c r="AW393" s="4939"/>
      <c r="AX393" s="1048"/>
      <c r="AY393" s="4939"/>
      <c r="AZ393" s="4939"/>
      <c r="BA393" s="1048"/>
      <c r="BB393" s="4622"/>
      <c r="BC393" s="4939"/>
      <c r="BD393" s="4622"/>
      <c r="BE393" s="4622"/>
      <c r="BF393" s="4622"/>
      <c r="BG393" s="4622"/>
      <c r="BH393" s="1048"/>
      <c r="BI393" s="4622"/>
      <c r="BJ393" s="1048"/>
      <c r="BK393" s="4415" t="s">
        <v>1327</v>
      </c>
      <c r="BL393" s="4415">
        <f t="shared" ref="BL393:BL406" si="203">J393/60*1</f>
        <v>31.8666666666667</v>
      </c>
      <c r="BM393" s="4415">
        <f t="shared" ref="BM393:BM406" si="204">J393/60*9</f>
        <v>286.8</v>
      </c>
      <c r="BN393" s="4415">
        <f t="shared" ref="BN393:BN406" si="205">J393/60*10</f>
        <v>318.666666666667</v>
      </c>
      <c r="BO393" s="4415">
        <f t="shared" ref="BO393:BO406" si="206">J393/60*10</f>
        <v>318.666666666667</v>
      </c>
      <c r="BP393" s="4415">
        <f t="shared" ref="BP393:BP406" si="207">J393/60*10</f>
        <v>318.666666666667</v>
      </c>
      <c r="BQ393" s="4414">
        <f t="shared" ref="BQ393:BQ406" si="208">J393/60*10</f>
        <v>318.666666666667</v>
      </c>
      <c r="BR393" s="1048">
        <f t="shared" ref="BR393:BR406" si="209">J393/60*10</f>
        <v>318.666666666667</v>
      </c>
      <c r="BS393" s="4415"/>
      <c r="BT393" s="4432"/>
      <c r="BU393" s="4432"/>
      <c r="BV393" s="4432"/>
      <c r="BW393" s="4432"/>
      <c r="BX393" s="4431"/>
      <c r="BY393" s="4431"/>
      <c r="BZ393" s="3708">
        <f t="shared" si="198"/>
        <v>1912</v>
      </c>
      <c r="CA393" s="4154">
        <f t="shared" ref="CA393:CA418" si="210">J393-BZ393</f>
        <v>0</v>
      </c>
      <c r="CB393" s="4591"/>
      <c r="CC393" s="4591"/>
      <c r="CD393" s="4323"/>
      <c r="CE393" s="4323"/>
      <c r="CF393" s="4323"/>
    </row>
    <row r="394" s="4316" customFormat="1" ht="50" customHeight="1" spans="1:84">
      <c r="A394" s="4500">
        <v>45866</v>
      </c>
      <c r="B394" s="4501" t="s">
        <v>505</v>
      </c>
      <c r="C394" s="3708" t="s">
        <v>506</v>
      </c>
      <c r="D394" s="4502">
        <v>4500175177</v>
      </c>
      <c r="E394" s="3708">
        <v>21038311</v>
      </c>
      <c r="F394" s="4615" t="s">
        <v>1946</v>
      </c>
      <c r="G394" s="3708"/>
      <c r="H394" s="3708" t="s">
        <v>508</v>
      </c>
      <c r="I394" s="3708" t="s">
        <v>328</v>
      </c>
      <c r="J394" s="4593">
        <v>4500</v>
      </c>
      <c r="K394" s="4154">
        <v>0</v>
      </c>
      <c r="L394" s="4154">
        <v>6</v>
      </c>
      <c r="M394" s="4154">
        <f t="shared" si="201"/>
        <v>750</v>
      </c>
      <c r="N394" s="4503">
        <v>45908</v>
      </c>
      <c r="O394" s="4503">
        <v>45904</v>
      </c>
      <c r="P394" s="4154"/>
      <c r="Q394" s="4154" t="s">
        <v>82</v>
      </c>
      <c r="R394" s="4157">
        <v>4500</v>
      </c>
      <c r="S394" s="4157">
        <f t="shared" ref="S394:S402" si="211">J394-R394</f>
        <v>0</v>
      </c>
      <c r="T394" s="4157"/>
      <c r="U394" s="3726"/>
      <c r="V394" s="3711" t="s">
        <v>1947</v>
      </c>
      <c r="W394" s="3711"/>
      <c r="X394" s="3711" t="s">
        <v>1948</v>
      </c>
      <c r="Y394" s="3711"/>
      <c r="Z394" s="3711"/>
      <c r="AA394" s="4154"/>
      <c r="AB394" s="3680" t="s">
        <v>1616</v>
      </c>
      <c r="AC394" s="4154" t="s">
        <v>513</v>
      </c>
      <c r="AD394" s="4504">
        <v>2.3071</v>
      </c>
      <c r="AE394" s="4154">
        <f>J394*AD394</f>
        <v>10381.95</v>
      </c>
      <c r="AF394" s="3726"/>
      <c r="AG394" s="3726"/>
      <c r="AH394" s="4430"/>
      <c r="AI394" s="3708">
        <f>J394</f>
        <v>4500</v>
      </c>
      <c r="AJ394" s="4430"/>
      <c r="AK394" s="3708"/>
      <c r="AL394" s="3708"/>
      <c r="AM394" s="4154"/>
      <c r="AN394" s="4413"/>
      <c r="AO394" s="1048">
        <f>J394</f>
        <v>4500</v>
      </c>
      <c r="AP394" s="1048"/>
      <c r="AQ394" s="4413"/>
      <c r="AR394" s="4413"/>
      <c r="AS394" s="1048">
        <f t="shared" si="202"/>
        <v>4500</v>
      </c>
      <c r="AT394" s="1048"/>
      <c r="AU394" s="4413"/>
      <c r="AV394" s="4939"/>
      <c r="AW394" s="4939"/>
      <c r="AX394" s="1048">
        <f>J394/6</f>
        <v>750</v>
      </c>
      <c r="AY394" s="4939"/>
      <c r="AZ394" s="4939"/>
      <c r="BA394" s="1048"/>
      <c r="BB394" s="4622"/>
      <c r="BC394" s="4939"/>
      <c r="BD394" s="4622"/>
      <c r="BE394" s="4622"/>
      <c r="BF394" s="4622"/>
      <c r="BG394" s="4622"/>
      <c r="BH394" s="1048"/>
      <c r="BI394" s="4622"/>
      <c r="BJ394" s="1048"/>
      <c r="BK394" s="4415" t="s">
        <v>89</v>
      </c>
      <c r="BL394" s="4415">
        <f t="shared" si="203"/>
        <v>75</v>
      </c>
      <c r="BM394" s="4415">
        <f t="shared" si="204"/>
        <v>675</v>
      </c>
      <c r="BN394" s="4415">
        <f t="shared" si="205"/>
        <v>750</v>
      </c>
      <c r="BO394" s="4415">
        <f t="shared" si="206"/>
        <v>750</v>
      </c>
      <c r="BP394" s="4415">
        <f t="shared" si="207"/>
        <v>750</v>
      </c>
      <c r="BQ394" s="4414">
        <f t="shared" si="208"/>
        <v>750</v>
      </c>
      <c r="BR394" s="1048">
        <f t="shared" si="209"/>
        <v>750</v>
      </c>
      <c r="BS394" s="4432"/>
      <c r="BT394" s="4432"/>
      <c r="BU394" s="4432"/>
      <c r="BV394" s="4432"/>
      <c r="BW394" s="4432"/>
      <c r="BX394" s="4431"/>
      <c r="BY394" s="4431"/>
      <c r="BZ394" s="3708">
        <f t="shared" si="198"/>
        <v>4500</v>
      </c>
      <c r="CA394" s="4154">
        <f t="shared" si="210"/>
        <v>0</v>
      </c>
      <c r="CB394" s="4591"/>
      <c r="CC394" s="4591"/>
      <c r="CD394" s="4323"/>
      <c r="CE394" s="4323"/>
      <c r="CF394" s="4323"/>
    </row>
    <row r="395" s="4316" customFormat="1" ht="50" customHeight="1" spans="1:84">
      <c r="A395" s="4500">
        <v>45862</v>
      </c>
      <c r="B395" s="4501" t="s">
        <v>1617</v>
      </c>
      <c r="C395" s="3708" t="s">
        <v>91</v>
      </c>
      <c r="D395" s="4502">
        <v>4500174768</v>
      </c>
      <c r="E395" s="3708">
        <v>70072691</v>
      </c>
      <c r="F395" s="4502" t="s">
        <v>1949</v>
      </c>
      <c r="G395" s="3708"/>
      <c r="H395" s="3708" t="s">
        <v>409</v>
      </c>
      <c r="I395" s="3708" t="s">
        <v>410</v>
      </c>
      <c r="J395" s="4154">
        <v>1008</v>
      </c>
      <c r="K395" s="4154">
        <v>0</v>
      </c>
      <c r="L395" s="4154">
        <v>12</v>
      </c>
      <c r="M395" s="4154">
        <f t="shared" si="201"/>
        <v>84</v>
      </c>
      <c r="N395" s="4503">
        <v>45918</v>
      </c>
      <c r="O395" s="4503">
        <v>45915</v>
      </c>
      <c r="P395" s="4154"/>
      <c r="Q395" s="4154" t="s">
        <v>82</v>
      </c>
      <c r="R395" s="4157">
        <v>1008</v>
      </c>
      <c r="S395" s="4157">
        <f t="shared" si="211"/>
        <v>0</v>
      </c>
      <c r="T395" s="4157"/>
      <c r="U395" s="3726" t="s">
        <v>1911</v>
      </c>
      <c r="V395" s="3711" t="s">
        <v>390</v>
      </c>
      <c r="W395" s="3711"/>
      <c r="X395" s="3711" t="s">
        <v>98</v>
      </c>
      <c r="Y395" s="3711"/>
      <c r="Z395" s="3711" t="s">
        <v>1885</v>
      </c>
      <c r="AA395" s="3708"/>
      <c r="AB395" s="3680" t="s">
        <v>1621</v>
      </c>
      <c r="AC395" s="4154" t="s">
        <v>1880</v>
      </c>
      <c r="AD395" s="4154">
        <v>1.6415</v>
      </c>
      <c r="AE395" s="4154">
        <f>J395*AD395</f>
        <v>1654.632</v>
      </c>
      <c r="AF395" s="3726" t="s">
        <v>1912</v>
      </c>
      <c r="AG395" s="3726"/>
      <c r="AH395" s="4422"/>
      <c r="AI395" s="3708">
        <f>J395</f>
        <v>1008</v>
      </c>
      <c r="AJ395" s="4422"/>
      <c r="AK395" s="3708"/>
      <c r="AL395" s="3708"/>
      <c r="AM395" s="4154"/>
      <c r="AN395" s="907"/>
      <c r="AO395" s="1048">
        <f>J395</f>
        <v>1008</v>
      </c>
      <c r="AP395" s="1048"/>
      <c r="AQ395" s="907"/>
      <c r="AR395" s="907"/>
      <c r="AS395" s="1048">
        <f t="shared" si="202"/>
        <v>1008</v>
      </c>
      <c r="AT395" s="1048"/>
      <c r="AU395" s="907"/>
      <c r="AV395" s="4922"/>
      <c r="AW395" s="4922"/>
      <c r="AX395" s="1048"/>
      <c r="AY395" s="4922"/>
      <c r="AZ395" s="4922"/>
      <c r="BA395" s="1048"/>
      <c r="BB395" s="4622"/>
      <c r="BC395" s="4922"/>
      <c r="BD395" s="4622"/>
      <c r="BE395" s="4622"/>
      <c r="BF395" s="4622"/>
      <c r="BG395" s="4622"/>
      <c r="BH395" s="1048">
        <f>J395</f>
        <v>1008</v>
      </c>
      <c r="BI395" s="4622"/>
      <c r="BJ395" s="1048"/>
      <c r="BK395" s="4415" t="s">
        <v>89</v>
      </c>
      <c r="BL395" s="4415">
        <f t="shared" si="203"/>
        <v>16.8</v>
      </c>
      <c r="BM395" s="4415">
        <f t="shared" si="204"/>
        <v>151.2</v>
      </c>
      <c r="BN395" s="4415">
        <f t="shared" si="205"/>
        <v>168</v>
      </c>
      <c r="BO395" s="4415">
        <f t="shared" si="206"/>
        <v>168</v>
      </c>
      <c r="BP395" s="4415">
        <f t="shared" si="207"/>
        <v>168</v>
      </c>
      <c r="BQ395" s="4414">
        <f t="shared" si="208"/>
        <v>168</v>
      </c>
      <c r="BR395" s="1048">
        <f t="shared" si="209"/>
        <v>168</v>
      </c>
      <c r="BS395" s="911"/>
      <c r="BT395" s="911"/>
      <c r="BU395" s="911"/>
      <c r="BV395" s="911"/>
      <c r="BW395" s="911"/>
      <c r="BX395" s="910"/>
      <c r="BY395" s="910"/>
      <c r="BZ395" s="3708">
        <f t="shared" si="198"/>
        <v>1008</v>
      </c>
      <c r="CA395" s="4154">
        <f t="shared" si="210"/>
        <v>0</v>
      </c>
      <c r="CB395" s="4923"/>
      <c r="CC395" s="4923"/>
      <c r="CD395" s="4323"/>
      <c r="CE395" s="4323"/>
      <c r="CF395" s="4323"/>
    </row>
    <row r="396" s="4316" customFormat="1" ht="50" customHeight="1" spans="1:84">
      <c r="A396" s="4500">
        <v>45695</v>
      </c>
      <c r="B396" s="3708" t="s">
        <v>849</v>
      </c>
      <c r="C396" s="3708" t="s">
        <v>850</v>
      </c>
      <c r="D396" s="4154">
        <v>4500156909</v>
      </c>
      <c r="E396" s="3708" t="s">
        <v>1950</v>
      </c>
      <c r="F396" s="3708" t="s">
        <v>1951</v>
      </c>
      <c r="G396" s="3708"/>
      <c r="H396" s="3708" t="s">
        <v>327</v>
      </c>
      <c r="I396" s="4154" t="s">
        <v>328</v>
      </c>
      <c r="J396" s="4154">
        <v>1500</v>
      </c>
      <c r="K396" s="4154">
        <v>0</v>
      </c>
      <c r="L396" s="4154">
        <v>12</v>
      </c>
      <c r="M396" s="4154">
        <f t="shared" si="201"/>
        <v>125</v>
      </c>
      <c r="N396" s="4503">
        <v>45919</v>
      </c>
      <c r="O396" s="4503">
        <f>N396-4</f>
        <v>45915</v>
      </c>
      <c r="P396" s="3712"/>
      <c r="Q396" s="4154" t="s">
        <v>82</v>
      </c>
      <c r="R396" s="4157">
        <v>1500</v>
      </c>
      <c r="S396" s="4157">
        <f t="shared" si="211"/>
        <v>0</v>
      </c>
      <c r="T396" s="4157"/>
      <c r="U396" s="3726" t="s">
        <v>250</v>
      </c>
      <c r="V396" s="3711" t="s">
        <v>804</v>
      </c>
      <c r="W396" s="3711"/>
      <c r="X396" s="3711" t="s">
        <v>854</v>
      </c>
      <c r="Y396" s="3711"/>
      <c r="Z396" s="3711"/>
      <c r="AA396" s="4154"/>
      <c r="AB396" s="3713" t="s">
        <v>1952</v>
      </c>
      <c r="AC396" s="3711" t="s">
        <v>448</v>
      </c>
      <c r="AD396" s="4504">
        <v>2.1378</v>
      </c>
      <c r="AE396" s="4154">
        <f>J396*AD396</f>
        <v>3206.7</v>
      </c>
      <c r="AF396" s="3726"/>
      <c r="AG396" s="3726"/>
      <c r="AH396" s="3664"/>
      <c r="AI396" s="3708">
        <f>J396</f>
        <v>1500</v>
      </c>
      <c r="AJ396" s="3664"/>
      <c r="AK396" s="3708"/>
      <c r="AL396" s="3708"/>
      <c r="AM396" s="4154"/>
      <c r="AN396" s="4089"/>
      <c r="AO396" s="1048">
        <f>J396</f>
        <v>1500</v>
      </c>
      <c r="AP396" s="4622"/>
      <c r="AQ396" s="4089"/>
      <c r="AR396" s="4089"/>
      <c r="AS396" s="1048">
        <f t="shared" si="202"/>
        <v>1500</v>
      </c>
      <c r="AT396" s="1048"/>
      <c r="AU396" s="4089"/>
      <c r="AV396" s="4487"/>
      <c r="AW396" s="4487"/>
      <c r="AX396" s="1048">
        <f>J396/6</f>
        <v>250</v>
      </c>
      <c r="AY396" s="4487"/>
      <c r="AZ396" s="4487"/>
      <c r="BA396" s="1048"/>
      <c r="BB396" s="4622"/>
      <c r="BC396" s="4487"/>
      <c r="BD396" s="4622"/>
      <c r="BE396" s="4622"/>
      <c r="BF396" s="4622"/>
      <c r="BG396" s="4622"/>
      <c r="BH396" s="4622"/>
      <c r="BI396" s="4622"/>
      <c r="BJ396" s="1048"/>
      <c r="BK396" s="4415" t="s">
        <v>89</v>
      </c>
      <c r="BL396" s="4415">
        <f t="shared" si="203"/>
        <v>25</v>
      </c>
      <c r="BM396" s="4415">
        <f t="shared" si="204"/>
        <v>225</v>
      </c>
      <c r="BN396" s="4415">
        <f t="shared" si="205"/>
        <v>250</v>
      </c>
      <c r="BO396" s="4415">
        <f t="shared" si="206"/>
        <v>250</v>
      </c>
      <c r="BP396" s="4415">
        <f t="shared" si="207"/>
        <v>250</v>
      </c>
      <c r="BQ396" s="4414">
        <f t="shared" si="208"/>
        <v>250</v>
      </c>
      <c r="BR396" s="1048">
        <f t="shared" si="209"/>
        <v>250</v>
      </c>
      <c r="BS396" s="4403"/>
      <c r="BT396" s="4403"/>
      <c r="BU396" s="4403"/>
      <c r="BV396" s="4403"/>
      <c r="BW396" s="4403"/>
      <c r="BX396" s="4404"/>
      <c r="BY396" s="4404"/>
      <c r="BZ396" s="3708">
        <f t="shared" si="198"/>
        <v>1500</v>
      </c>
      <c r="CA396" s="4154">
        <f t="shared" si="210"/>
        <v>0</v>
      </c>
      <c r="CB396" s="4390"/>
      <c r="CC396" s="4390"/>
      <c r="CD396" s="4323"/>
      <c r="CE396" s="4323"/>
      <c r="CF396" s="4323"/>
    </row>
    <row r="397" s="4316" customFormat="1" ht="50" customHeight="1" spans="1:84">
      <c r="A397" s="4500">
        <v>45834</v>
      </c>
      <c r="B397" s="4501" t="s">
        <v>1315</v>
      </c>
      <c r="C397" s="3708" t="s">
        <v>1316</v>
      </c>
      <c r="D397" s="4502">
        <v>4500162586</v>
      </c>
      <c r="E397" s="3708" t="s">
        <v>1953</v>
      </c>
      <c r="F397" s="4615" t="s">
        <v>1954</v>
      </c>
      <c r="G397" s="3708"/>
      <c r="H397" s="3708" t="s">
        <v>1319</v>
      </c>
      <c r="I397" s="3708" t="s">
        <v>1320</v>
      </c>
      <c r="J397" s="4154">
        <v>452</v>
      </c>
      <c r="K397" s="4154">
        <v>0</v>
      </c>
      <c r="L397" s="4154">
        <v>4</v>
      </c>
      <c r="M397" s="4154">
        <f t="shared" si="201"/>
        <v>113</v>
      </c>
      <c r="N397" s="4503">
        <v>45914</v>
      </c>
      <c r="O397" s="4553">
        <f>N397-4</f>
        <v>45910</v>
      </c>
      <c r="P397" s="4154"/>
      <c r="Q397" s="4154" t="s">
        <v>82</v>
      </c>
      <c r="R397" s="4157">
        <v>452</v>
      </c>
      <c r="S397" s="4157">
        <f t="shared" si="211"/>
        <v>0</v>
      </c>
      <c r="T397" s="4157"/>
      <c r="U397" s="3726" t="s">
        <v>1911</v>
      </c>
      <c r="V397" s="3711" t="s">
        <v>1571</v>
      </c>
      <c r="W397" s="3711"/>
      <c r="X397" s="3711" t="s">
        <v>1907</v>
      </c>
      <c r="Y397" s="3711"/>
      <c r="Z397" s="3711"/>
      <c r="AA397" s="4154" t="s">
        <v>1955</v>
      </c>
      <c r="AB397" s="3680" t="s">
        <v>1956</v>
      </c>
      <c r="AC397" s="4154" t="s">
        <v>1326</v>
      </c>
      <c r="AD397" s="4154">
        <v>16.9223</v>
      </c>
      <c r="AE397" s="4154">
        <f>AD397*M397</f>
        <v>1912.2199</v>
      </c>
      <c r="AF397" s="3726"/>
      <c r="AG397" s="3726"/>
      <c r="AH397" s="4448"/>
      <c r="AI397" s="3708"/>
      <c r="AJ397" s="4448"/>
      <c r="AK397" s="3708"/>
      <c r="AL397" s="3708"/>
      <c r="AM397" s="4154">
        <f>J397</f>
        <v>452</v>
      </c>
      <c r="AN397" s="4411"/>
      <c r="AO397" s="1048"/>
      <c r="AP397" s="1048">
        <f>J397</f>
        <v>452</v>
      </c>
      <c r="AQ397" s="4411"/>
      <c r="AR397" s="4411"/>
      <c r="AS397" s="1048">
        <f t="shared" si="202"/>
        <v>452</v>
      </c>
      <c r="AT397" s="1048"/>
      <c r="AU397" s="4411"/>
      <c r="AV397" s="4933"/>
      <c r="AW397" s="4933"/>
      <c r="AX397" s="1048"/>
      <c r="AY397" s="4933"/>
      <c r="AZ397" s="4933"/>
      <c r="BA397" s="1048"/>
      <c r="BB397" s="4622"/>
      <c r="BC397" s="4933"/>
      <c r="BD397" s="4622"/>
      <c r="BE397" s="4622"/>
      <c r="BF397" s="4622"/>
      <c r="BG397" s="4622"/>
      <c r="BH397" s="1048"/>
      <c r="BI397" s="4622"/>
      <c r="BJ397" s="1048"/>
      <c r="BK397" s="4415" t="s">
        <v>1327</v>
      </c>
      <c r="BL397" s="4415">
        <f t="shared" si="203"/>
        <v>7.53333333333333</v>
      </c>
      <c r="BM397" s="4415">
        <f t="shared" si="204"/>
        <v>67.8</v>
      </c>
      <c r="BN397" s="4415">
        <f t="shared" si="205"/>
        <v>75.3333333333333</v>
      </c>
      <c r="BO397" s="4415">
        <f t="shared" si="206"/>
        <v>75.3333333333333</v>
      </c>
      <c r="BP397" s="4415">
        <f t="shared" si="207"/>
        <v>75.3333333333333</v>
      </c>
      <c r="BQ397" s="4414">
        <f t="shared" si="208"/>
        <v>75.3333333333333</v>
      </c>
      <c r="BR397" s="1048">
        <f t="shared" si="209"/>
        <v>75.3333333333333</v>
      </c>
      <c r="BS397" s="4403"/>
      <c r="BT397" s="4454"/>
      <c r="BU397" s="4454"/>
      <c r="BV397" s="4454"/>
      <c r="BW397" s="4454"/>
      <c r="BX397" s="4453"/>
      <c r="BY397" s="4453"/>
      <c r="BZ397" s="3708">
        <f t="shared" si="198"/>
        <v>452</v>
      </c>
      <c r="CA397" s="4154">
        <f t="shared" si="210"/>
        <v>0</v>
      </c>
      <c r="CB397" s="4934"/>
      <c r="CC397" s="4934"/>
      <c r="CD397" s="4323"/>
      <c r="CE397" s="4323"/>
      <c r="CF397" s="4323"/>
    </row>
    <row r="398" s="4316" customFormat="1" ht="50" customHeight="1" spans="1:84">
      <c r="A398" s="4500">
        <v>45839</v>
      </c>
      <c r="B398" s="3708" t="s">
        <v>1957</v>
      </c>
      <c r="C398" s="3708" t="s">
        <v>351</v>
      </c>
      <c r="D398" s="4154">
        <v>4500170546</v>
      </c>
      <c r="E398" s="3708" t="s">
        <v>1958</v>
      </c>
      <c r="F398" s="4154" t="s">
        <v>1959</v>
      </c>
      <c r="G398" s="3708"/>
      <c r="H398" s="3708" t="s">
        <v>327</v>
      </c>
      <c r="I398" s="4154" t="s">
        <v>328</v>
      </c>
      <c r="J398" s="4154">
        <v>1152</v>
      </c>
      <c r="K398" s="4154">
        <v>0</v>
      </c>
      <c r="L398" s="4154">
        <v>12</v>
      </c>
      <c r="M398" s="4154">
        <f t="shared" si="201"/>
        <v>96</v>
      </c>
      <c r="N398" s="4503">
        <v>45922</v>
      </c>
      <c r="O398" s="4503">
        <f>N398-4</f>
        <v>45918</v>
      </c>
      <c r="P398" s="3712"/>
      <c r="Q398" s="4154" t="s">
        <v>82</v>
      </c>
      <c r="R398" s="4157">
        <v>1152</v>
      </c>
      <c r="S398" s="4157">
        <f t="shared" si="211"/>
        <v>0</v>
      </c>
      <c r="T398" s="4157"/>
      <c r="U398" s="3726"/>
      <c r="V398" s="3711" t="s">
        <v>1604</v>
      </c>
      <c r="W398" s="3711"/>
      <c r="X398" s="3711" t="s">
        <v>1960</v>
      </c>
      <c r="Y398" s="3711"/>
      <c r="Z398" s="3711"/>
      <c r="AA398" s="4154"/>
      <c r="AB398" s="3713" t="s">
        <v>1961</v>
      </c>
      <c r="AC398" s="3711" t="s">
        <v>1245</v>
      </c>
      <c r="AD398" s="4504">
        <v>2.1588</v>
      </c>
      <c r="AE398" s="4154">
        <f t="shared" ref="AE398:AE447" si="212">J398*AD398</f>
        <v>2486.9376</v>
      </c>
      <c r="AF398" s="3726"/>
      <c r="AG398" s="3726"/>
      <c r="AH398" s="4430"/>
      <c r="AI398" s="3708">
        <f t="shared" ref="AI398:AI404" si="213">J398</f>
        <v>1152</v>
      </c>
      <c r="AJ398" s="4430"/>
      <c r="AK398" s="3708"/>
      <c r="AL398" s="3708"/>
      <c r="AM398" s="4154"/>
      <c r="AN398" s="4413"/>
      <c r="AO398" s="1048">
        <f t="shared" ref="AO398:AO407" si="214">J398</f>
        <v>1152</v>
      </c>
      <c r="AP398" s="1048"/>
      <c r="AQ398" s="4413"/>
      <c r="AR398" s="4413"/>
      <c r="AS398" s="1048">
        <f t="shared" si="202"/>
        <v>1152</v>
      </c>
      <c r="AT398" s="1048"/>
      <c r="AU398" s="4413"/>
      <c r="AV398" s="4939"/>
      <c r="AW398" s="4939"/>
      <c r="AX398" s="1048">
        <f>J398/6</f>
        <v>192</v>
      </c>
      <c r="AY398" s="4939"/>
      <c r="AZ398" s="4939"/>
      <c r="BA398" s="1048"/>
      <c r="BB398" s="4622"/>
      <c r="BC398" s="4939"/>
      <c r="BD398" s="4622"/>
      <c r="BE398" s="4622"/>
      <c r="BF398" s="4622"/>
      <c r="BG398" s="4622"/>
      <c r="BH398" s="4622"/>
      <c r="BI398" s="4622"/>
      <c r="BJ398" s="1048"/>
      <c r="BK398" s="4415" t="s">
        <v>89</v>
      </c>
      <c r="BL398" s="4415">
        <f t="shared" si="203"/>
        <v>19.2</v>
      </c>
      <c r="BM398" s="4415">
        <f t="shared" si="204"/>
        <v>172.8</v>
      </c>
      <c r="BN398" s="4415">
        <f t="shared" si="205"/>
        <v>192</v>
      </c>
      <c r="BO398" s="4415">
        <f t="shared" si="206"/>
        <v>192</v>
      </c>
      <c r="BP398" s="4415">
        <f t="shared" si="207"/>
        <v>192</v>
      </c>
      <c r="BQ398" s="4414">
        <f t="shared" si="208"/>
        <v>192</v>
      </c>
      <c r="BR398" s="1048">
        <f t="shared" si="209"/>
        <v>192</v>
      </c>
      <c r="BS398" s="4432"/>
      <c r="BT398" s="4432"/>
      <c r="BU398" s="4432"/>
      <c r="BV398" s="4432"/>
      <c r="BW398" s="4432"/>
      <c r="BX398" s="4431"/>
      <c r="BY398" s="4431"/>
      <c r="BZ398" s="3708">
        <f t="shared" si="198"/>
        <v>1152</v>
      </c>
      <c r="CA398" s="4154">
        <f t="shared" si="210"/>
        <v>0</v>
      </c>
      <c r="CB398" s="4591"/>
      <c r="CC398" s="4591"/>
      <c r="CD398" s="4323"/>
      <c r="CE398" s="4323"/>
      <c r="CF398" s="4323"/>
    </row>
    <row r="399" s="4316" customFormat="1" ht="50" customHeight="1" spans="1:84">
      <c r="A399" s="4500">
        <v>45881</v>
      </c>
      <c r="B399" s="3708" t="s">
        <v>1962</v>
      </c>
      <c r="C399" s="3708" t="s">
        <v>351</v>
      </c>
      <c r="D399" s="4154">
        <v>4500176551</v>
      </c>
      <c r="E399" s="3708" t="s">
        <v>1963</v>
      </c>
      <c r="F399" s="4154" t="s">
        <v>1964</v>
      </c>
      <c r="G399" s="3708"/>
      <c r="H399" s="3708" t="s">
        <v>496</v>
      </c>
      <c r="I399" s="3708" t="s">
        <v>328</v>
      </c>
      <c r="J399" s="4154">
        <v>528</v>
      </c>
      <c r="K399" s="4154">
        <v>0</v>
      </c>
      <c r="L399" s="4154">
        <v>6</v>
      </c>
      <c r="M399" s="4154">
        <f t="shared" si="201"/>
        <v>88</v>
      </c>
      <c r="N399" s="4503">
        <v>45922</v>
      </c>
      <c r="O399" s="4503">
        <f>N399-4</f>
        <v>45918</v>
      </c>
      <c r="P399" s="3712"/>
      <c r="Q399" s="4154" t="s">
        <v>82</v>
      </c>
      <c r="R399" s="4943"/>
      <c r="S399" s="4157">
        <f t="shared" si="211"/>
        <v>528</v>
      </c>
      <c r="T399" s="4157"/>
      <c r="U399" s="3726" t="s">
        <v>1965</v>
      </c>
      <c r="V399" s="3711" t="s">
        <v>1966</v>
      </c>
      <c r="W399" s="3711"/>
      <c r="X399" s="3711" t="s">
        <v>1967</v>
      </c>
      <c r="Y399" s="3711"/>
      <c r="Z399" s="3711"/>
      <c r="AA399" s="4154"/>
      <c r="AB399" s="3713" t="s">
        <v>1968</v>
      </c>
      <c r="AC399" s="3711" t="s">
        <v>357</v>
      </c>
      <c r="AD399" s="4154">
        <v>2.0449</v>
      </c>
      <c r="AE399" s="4154">
        <f t="shared" si="212"/>
        <v>1079.7072</v>
      </c>
      <c r="AF399" s="3726"/>
      <c r="AG399" s="3726"/>
      <c r="AH399" s="4430"/>
      <c r="AI399" s="3708">
        <f t="shared" si="213"/>
        <v>528</v>
      </c>
      <c r="AJ399" s="4430"/>
      <c r="AK399" s="3708"/>
      <c r="AL399" s="3708"/>
      <c r="AM399" s="4154"/>
      <c r="AN399" s="4413"/>
      <c r="AO399" s="1048">
        <f t="shared" si="214"/>
        <v>528</v>
      </c>
      <c r="AP399" s="1048"/>
      <c r="AQ399" s="4413"/>
      <c r="AR399" s="4413"/>
      <c r="AS399" s="1048">
        <f t="shared" si="202"/>
        <v>528</v>
      </c>
      <c r="AT399" s="1048"/>
      <c r="AU399" s="4413"/>
      <c r="AV399" s="4939"/>
      <c r="AW399" s="4939"/>
      <c r="AX399" s="1048"/>
      <c r="AY399" s="4939"/>
      <c r="AZ399" s="4939"/>
      <c r="BA399" s="1048"/>
      <c r="BB399" s="4622"/>
      <c r="BC399" s="4939"/>
      <c r="BD399" s="4622"/>
      <c r="BE399" s="4622"/>
      <c r="BF399" s="4622"/>
      <c r="BG399" s="4622"/>
      <c r="BH399" s="4622"/>
      <c r="BI399" s="4622"/>
      <c r="BJ399" s="1048"/>
      <c r="BK399" s="4415" t="s">
        <v>89</v>
      </c>
      <c r="BL399" s="4415">
        <f t="shared" si="203"/>
        <v>8.8</v>
      </c>
      <c r="BM399" s="4415">
        <f t="shared" si="204"/>
        <v>79.2</v>
      </c>
      <c r="BN399" s="4415">
        <f t="shared" si="205"/>
        <v>88</v>
      </c>
      <c r="BO399" s="4415">
        <f t="shared" si="206"/>
        <v>88</v>
      </c>
      <c r="BP399" s="4415">
        <f t="shared" si="207"/>
        <v>88</v>
      </c>
      <c r="BQ399" s="4414">
        <f t="shared" si="208"/>
        <v>88</v>
      </c>
      <c r="BR399" s="1048">
        <f t="shared" si="209"/>
        <v>88</v>
      </c>
      <c r="BS399" s="4432"/>
      <c r="BT399" s="4432"/>
      <c r="BU399" s="4432"/>
      <c r="BV399" s="4432"/>
      <c r="BW399" s="4432"/>
      <c r="BX399" s="4431"/>
      <c r="BY399" s="4431"/>
      <c r="BZ399" s="3708">
        <f t="shared" si="198"/>
        <v>528</v>
      </c>
      <c r="CA399" s="4154">
        <f t="shared" si="210"/>
        <v>0</v>
      </c>
      <c r="CB399" s="4591"/>
      <c r="CC399" s="4591"/>
      <c r="CD399" s="4323"/>
      <c r="CE399" s="4323"/>
      <c r="CF399" s="4323"/>
    </row>
    <row r="400" s="4316" customFormat="1" ht="50" customHeight="1" spans="1:84">
      <c r="A400" s="4500">
        <v>45881</v>
      </c>
      <c r="B400" s="3708" t="s">
        <v>1962</v>
      </c>
      <c r="C400" s="3708" t="s">
        <v>351</v>
      </c>
      <c r="D400" s="4154">
        <v>4500176551</v>
      </c>
      <c r="E400" s="3708" t="s">
        <v>1963</v>
      </c>
      <c r="F400" s="4154" t="s">
        <v>1969</v>
      </c>
      <c r="G400" s="3708"/>
      <c r="H400" s="3708" t="s">
        <v>496</v>
      </c>
      <c r="I400" s="3708" t="s">
        <v>328</v>
      </c>
      <c r="J400" s="4154">
        <v>222</v>
      </c>
      <c r="K400" s="4154">
        <v>0</v>
      </c>
      <c r="L400" s="4154">
        <v>6</v>
      </c>
      <c r="M400" s="4154">
        <f t="shared" si="201"/>
        <v>37</v>
      </c>
      <c r="N400" s="4503">
        <v>45922</v>
      </c>
      <c r="O400" s="4503">
        <f>N400-4</f>
        <v>45918</v>
      </c>
      <c r="P400" s="3712"/>
      <c r="Q400" s="4154" t="s">
        <v>82</v>
      </c>
      <c r="R400" s="4943"/>
      <c r="S400" s="4157">
        <f t="shared" si="211"/>
        <v>222</v>
      </c>
      <c r="T400" s="4157"/>
      <c r="U400" s="3726" t="s">
        <v>1965</v>
      </c>
      <c r="V400" s="3711" t="s">
        <v>1966</v>
      </c>
      <c r="W400" s="3711"/>
      <c r="X400" s="3711" t="s">
        <v>1967</v>
      </c>
      <c r="Y400" s="3711"/>
      <c r="Z400" s="3711"/>
      <c r="AA400" s="4154"/>
      <c r="AB400" s="3713" t="s">
        <v>1968</v>
      </c>
      <c r="AC400" s="3711" t="s">
        <v>357</v>
      </c>
      <c r="AD400" s="4154">
        <v>2.0986</v>
      </c>
      <c r="AE400" s="4154">
        <f t="shared" si="212"/>
        <v>465.8892</v>
      </c>
      <c r="AF400" s="3726" t="s">
        <v>1970</v>
      </c>
      <c r="AG400" s="3726"/>
      <c r="AH400" s="4430"/>
      <c r="AI400" s="3708">
        <f t="shared" si="213"/>
        <v>222</v>
      </c>
      <c r="AJ400" s="4430"/>
      <c r="AK400" s="3708"/>
      <c r="AL400" s="3708"/>
      <c r="AM400" s="4154"/>
      <c r="AN400" s="4413"/>
      <c r="AO400" s="1048">
        <f t="shared" si="214"/>
        <v>222</v>
      </c>
      <c r="AP400" s="1048"/>
      <c r="AQ400" s="4413"/>
      <c r="AR400" s="4413"/>
      <c r="AS400" s="1048">
        <f t="shared" si="202"/>
        <v>222</v>
      </c>
      <c r="AT400" s="1048"/>
      <c r="AU400" s="4413"/>
      <c r="AV400" s="4939"/>
      <c r="AW400" s="4939"/>
      <c r="AX400" s="1048"/>
      <c r="AY400" s="4939"/>
      <c r="AZ400" s="4939"/>
      <c r="BA400" s="1048"/>
      <c r="BB400" s="4622"/>
      <c r="BC400" s="4939"/>
      <c r="BD400" s="4622"/>
      <c r="BE400" s="4622"/>
      <c r="BF400" s="4622"/>
      <c r="BG400" s="4622"/>
      <c r="BH400" s="4622"/>
      <c r="BI400" s="4622"/>
      <c r="BJ400" s="1048"/>
      <c r="BK400" s="4415" t="s">
        <v>89</v>
      </c>
      <c r="BL400" s="4415">
        <f t="shared" si="203"/>
        <v>3.7</v>
      </c>
      <c r="BM400" s="4415">
        <f t="shared" si="204"/>
        <v>33.3</v>
      </c>
      <c r="BN400" s="4415">
        <f t="shared" si="205"/>
        <v>37</v>
      </c>
      <c r="BO400" s="4415">
        <f t="shared" si="206"/>
        <v>37</v>
      </c>
      <c r="BP400" s="4415">
        <f t="shared" si="207"/>
        <v>37</v>
      </c>
      <c r="BQ400" s="4414">
        <f t="shared" si="208"/>
        <v>37</v>
      </c>
      <c r="BR400" s="1048">
        <f t="shared" si="209"/>
        <v>37</v>
      </c>
      <c r="BS400" s="4432"/>
      <c r="BT400" s="4432"/>
      <c r="BU400" s="4432"/>
      <c r="BV400" s="4432"/>
      <c r="BW400" s="4432"/>
      <c r="BX400" s="4431"/>
      <c r="BY400" s="4431"/>
      <c r="BZ400" s="3708">
        <f t="shared" si="198"/>
        <v>222</v>
      </c>
      <c r="CA400" s="4154">
        <f t="shared" si="210"/>
        <v>0</v>
      </c>
      <c r="CB400" s="4591"/>
      <c r="CC400" s="4591"/>
      <c r="CD400" s="4323"/>
      <c r="CE400" s="4323"/>
      <c r="CF400" s="4323"/>
    </row>
    <row r="401" s="4316" customFormat="1" ht="50" customHeight="1" spans="1:84">
      <c r="A401" s="4500">
        <v>45866</v>
      </c>
      <c r="B401" s="3708" t="s">
        <v>1971</v>
      </c>
      <c r="C401" s="3708" t="s">
        <v>886</v>
      </c>
      <c r="D401" s="4154">
        <v>4500175250</v>
      </c>
      <c r="E401" s="3708" t="s">
        <v>1972</v>
      </c>
      <c r="F401" s="4154" t="s">
        <v>1973</v>
      </c>
      <c r="G401" s="3708"/>
      <c r="H401" s="3708" t="s">
        <v>333</v>
      </c>
      <c r="I401" s="3708" t="s">
        <v>328</v>
      </c>
      <c r="J401" s="4593">
        <v>360</v>
      </c>
      <c r="K401" s="4154">
        <v>0</v>
      </c>
      <c r="L401" s="4154">
        <v>24</v>
      </c>
      <c r="M401" s="4154">
        <f t="shared" si="201"/>
        <v>15</v>
      </c>
      <c r="N401" s="4503">
        <v>45924</v>
      </c>
      <c r="O401" s="4503">
        <v>45920</v>
      </c>
      <c r="P401" s="3712"/>
      <c r="Q401" s="4154" t="s">
        <v>82</v>
      </c>
      <c r="R401" s="4157">
        <v>360</v>
      </c>
      <c r="S401" s="4157">
        <f t="shared" si="211"/>
        <v>0</v>
      </c>
      <c r="T401" s="4157"/>
      <c r="U401" s="3726" t="s">
        <v>1974</v>
      </c>
      <c r="V401" s="3711" t="s">
        <v>1975</v>
      </c>
      <c r="W401" s="3711"/>
      <c r="X401" s="3711" t="s">
        <v>98</v>
      </c>
      <c r="Y401" s="3711"/>
      <c r="Z401" s="3711"/>
      <c r="AA401" s="4154"/>
      <c r="AB401" s="3713" t="s">
        <v>1976</v>
      </c>
      <c r="AC401" s="3711" t="s">
        <v>892</v>
      </c>
      <c r="AD401" s="4504">
        <v>2.0376</v>
      </c>
      <c r="AE401" s="4154">
        <f t="shared" si="212"/>
        <v>733.536</v>
      </c>
      <c r="AF401" s="3726" t="s">
        <v>1977</v>
      </c>
      <c r="AG401" s="3726"/>
      <c r="AH401" s="4430"/>
      <c r="AI401" s="3708">
        <f t="shared" si="213"/>
        <v>360</v>
      </c>
      <c r="AJ401" s="4430"/>
      <c r="AK401" s="3708"/>
      <c r="AL401" s="3708"/>
      <c r="AM401" s="4154"/>
      <c r="AN401" s="4413"/>
      <c r="AO401" s="1048">
        <f t="shared" si="214"/>
        <v>360</v>
      </c>
      <c r="AP401" s="1048"/>
      <c r="AQ401" s="4413"/>
      <c r="AR401" s="4413"/>
      <c r="AS401" s="1048">
        <f t="shared" si="202"/>
        <v>360</v>
      </c>
      <c r="AT401" s="1048"/>
      <c r="AU401" s="4413"/>
      <c r="AV401" s="4939"/>
      <c r="AW401" s="4939"/>
      <c r="AX401" s="1048"/>
      <c r="AY401" s="4939"/>
      <c r="AZ401" s="4939"/>
      <c r="BA401" s="1048"/>
      <c r="BB401" s="4622"/>
      <c r="BC401" s="4939"/>
      <c r="BD401" s="4622"/>
      <c r="BE401" s="4622"/>
      <c r="BF401" s="4622"/>
      <c r="BG401" s="4622"/>
      <c r="BH401" s="4622"/>
      <c r="BI401" s="4622"/>
      <c r="BJ401" s="1048"/>
      <c r="BK401" s="4415" t="s">
        <v>89</v>
      </c>
      <c r="BL401" s="4415">
        <f t="shared" si="203"/>
        <v>6</v>
      </c>
      <c r="BM401" s="4415">
        <f t="shared" si="204"/>
        <v>54</v>
      </c>
      <c r="BN401" s="4415">
        <f t="shared" si="205"/>
        <v>60</v>
      </c>
      <c r="BO401" s="4415">
        <f t="shared" si="206"/>
        <v>60</v>
      </c>
      <c r="BP401" s="4415">
        <f t="shared" si="207"/>
        <v>60</v>
      </c>
      <c r="BQ401" s="4414">
        <f t="shared" si="208"/>
        <v>60</v>
      </c>
      <c r="BR401" s="1048">
        <f t="shared" si="209"/>
        <v>60</v>
      </c>
      <c r="BS401" s="4432"/>
      <c r="BT401" s="4432"/>
      <c r="BU401" s="4432"/>
      <c r="BV401" s="4432"/>
      <c r="BW401" s="4432"/>
      <c r="BX401" s="4431"/>
      <c r="BY401" s="4431"/>
      <c r="BZ401" s="3708">
        <f t="shared" si="198"/>
        <v>360</v>
      </c>
      <c r="CA401" s="4154">
        <f t="shared" si="210"/>
        <v>0</v>
      </c>
      <c r="CB401" s="4591"/>
      <c r="CC401" s="4591"/>
      <c r="CD401" s="4323"/>
      <c r="CE401" s="4323"/>
      <c r="CF401" s="4323"/>
    </row>
    <row r="402" s="4316" customFormat="1" ht="50" customHeight="1" spans="1:84">
      <c r="A402" s="4500">
        <v>45877</v>
      </c>
      <c r="B402" s="3708" t="s">
        <v>1978</v>
      </c>
      <c r="C402" s="3708" t="s">
        <v>873</v>
      </c>
      <c r="D402" s="4154">
        <v>4500176381</v>
      </c>
      <c r="E402" s="3708"/>
      <c r="F402" s="4154" t="s">
        <v>1979</v>
      </c>
      <c r="G402" s="3708"/>
      <c r="H402" s="3708" t="s">
        <v>327</v>
      </c>
      <c r="I402" s="4154" t="s">
        <v>328</v>
      </c>
      <c r="J402" s="4154">
        <v>600</v>
      </c>
      <c r="K402" s="4154">
        <v>0</v>
      </c>
      <c r="L402" s="4154">
        <v>12</v>
      </c>
      <c r="M402" s="4154">
        <f t="shared" si="201"/>
        <v>50</v>
      </c>
      <c r="N402" s="4503">
        <v>45925</v>
      </c>
      <c r="O402" s="4503">
        <v>45922</v>
      </c>
      <c r="P402" s="3712"/>
      <c r="Q402" s="4154" t="s">
        <v>82</v>
      </c>
      <c r="R402" s="4157"/>
      <c r="S402" s="4157">
        <f>R402-J402</f>
        <v>-600</v>
      </c>
      <c r="T402" s="4157"/>
      <c r="U402" s="3726"/>
      <c r="V402" s="3711" t="s">
        <v>1947</v>
      </c>
      <c r="W402" s="3711"/>
      <c r="X402" s="3711" t="s">
        <v>1980</v>
      </c>
      <c r="Y402" s="3711"/>
      <c r="Z402" s="3711"/>
      <c r="AA402" s="4154"/>
      <c r="AB402" s="3713" t="s">
        <v>1981</v>
      </c>
      <c r="AC402" s="3711" t="s">
        <v>1982</v>
      </c>
      <c r="AD402" s="4504">
        <v>2.1633</v>
      </c>
      <c r="AE402" s="4154">
        <f t="shared" si="212"/>
        <v>1297.98</v>
      </c>
      <c r="AF402" s="3726" t="s">
        <v>1983</v>
      </c>
      <c r="AG402" s="3726"/>
      <c r="AH402" s="4422"/>
      <c r="AI402" s="3708">
        <f t="shared" si="213"/>
        <v>600</v>
      </c>
      <c r="AJ402" s="4422"/>
      <c r="AK402" s="3708"/>
      <c r="AL402" s="3708"/>
      <c r="AM402" s="4154"/>
      <c r="AN402" s="907"/>
      <c r="AO402" s="1048">
        <f t="shared" si="214"/>
        <v>600</v>
      </c>
      <c r="AP402" s="1048"/>
      <c r="AQ402" s="907"/>
      <c r="AR402" s="907"/>
      <c r="AS402" s="1048">
        <f t="shared" si="202"/>
        <v>600</v>
      </c>
      <c r="AT402" s="1048"/>
      <c r="AU402" s="907"/>
      <c r="AV402" s="4922"/>
      <c r="AW402" s="4922"/>
      <c r="AX402" s="1048">
        <f>J402/6</f>
        <v>100</v>
      </c>
      <c r="AY402" s="4922"/>
      <c r="AZ402" s="4922"/>
      <c r="BA402" s="1048"/>
      <c r="BB402" s="4622"/>
      <c r="BC402" s="4922"/>
      <c r="BD402" s="4622"/>
      <c r="BE402" s="4622"/>
      <c r="BF402" s="4622"/>
      <c r="BG402" s="4622"/>
      <c r="BH402" s="1048"/>
      <c r="BI402" s="4622"/>
      <c r="BJ402" s="1048"/>
      <c r="BK402" s="4415" t="s">
        <v>89</v>
      </c>
      <c r="BL402" s="4415">
        <f t="shared" si="203"/>
        <v>10</v>
      </c>
      <c r="BM402" s="4415">
        <f t="shared" si="204"/>
        <v>90</v>
      </c>
      <c r="BN402" s="4415">
        <f t="shared" si="205"/>
        <v>100</v>
      </c>
      <c r="BO402" s="4415">
        <f t="shared" si="206"/>
        <v>100</v>
      </c>
      <c r="BP402" s="4415">
        <f t="shared" si="207"/>
        <v>100</v>
      </c>
      <c r="BQ402" s="4414">
        <f t="shared" si="208"/>
        <v>100</v>
      </c>
      <c r="BR402" s="1048">
        <f t="shared" si="209"/>
        <v>100</v>
      </c>
      <c r="BS402" s="911"/>
      <c r="BT402" s="911"/>
      <c r="BU402" s="911"/>
      <c r="BV402" s="911"/>
      <c r="BW402" s="911"/>
      <c r="BX402" s="910"/>
      <c r="BY402" s="910"/>
      <c r="BZ402" s="3708">
        <f t="shared" si="198"/>
        <v>600</v>
      </c>
      <c r="CA402" s="4154">
        <f t="shared" si="210"/>
        <v>0</v>
      </c>
      <c r="CB402" s="4923"/>
      <c r="CC402" s="4923"/>
      <c r="CD402" s="4323"/>
      <c r="CE402" s="4323"/>
      <c r="CF402" s="4323"/>
    </row>
    <row r="403" s="4316" customFormat="1" ht="50" customHeight="1" spans="1:84">
      <c r="A403" s="4500">
        <v>45881</v>
      </c>
      <c r="B403" s="3708" t="s">
        <v>1206</v>
      </c>
      <c r="C403" s="3708" t="s">
        <v>351</v>
      </c>
      <c r="D403" s="4154">
        <v>4500176405</v>
      </c>
      <c r="E403" s="3708"/>
      <c r="F403" s="4154" t="s">
        <v>1984</v>
      </c>
      <c r="G403" s="3708"/>
      <c r="H403" s="3708" t="s">
        <v>333</v>
      </c>
      <c r="I403" s="3708" t="s">
        <v>328</v>
      </c>
      <c r="J403" s="4593">
        <v>312</v>
      </c>
      <c r="K403" s="4154">
        <v>0</v>
      </c>
      <c r="L403" s="4154">
        <v>24</v>
      </c>
      <c r="M403" s="4154">
        <f t="shared" si="201"/>
        <v>13</v>
      </c>
      <c r="N403" s="4503">
        <v>45926</v>
      </c>
      <c r="O403" s="4503">
        <v>45922</v>
      </c>
      <c r="P403" s="3712"/>
      <c r="Q403" s="4154" t="s">
        <v>82</v>
      </c>
      <c r="R403" s="4157"/>
      <c r="S403" s="4157"/>
      <c r="T403" s="4157"/>
      <c r="U403" s="3726" t="s">
        <v>262</v>
      </c>
      <c r="V403" s="3711" t="s">
        <v>1985</v>
      </c>
      <c r="W403" s="3711"/>
      <c r="X403" s="3711" t="s">
        <v>1986</v>
      </c>
      <c r="Y403" s="3711"/>
      <c r="Z403" s="3711"/>
      <c r="AA403" s="4154"/>
      <c r="AB403" s="3713" t="s">
        <v>1987</v>
      </c>
      <c r="AC403" s="3711" t="s">
        <v>1199</v>
      </c>
      <c r="AD403" s="4504">
        <v>2.09</v>
      </c>
      <c r="AE403" s="4154">
        <f t="shared" si="212"/>
        <v>652.08</v>
      </c>
      <c r="AF403" s="3726" t="s">
        <v>1988</v>
      </c>
      <c r="AG403" s="3726"/>
      <c r="AH403" s="4430"/>
      <c r="AI403" s="3708">
        <f t="shared" si="213"/>
        <v>312</v>
      </c>
      <c r="AJ403" s="4430"/>
      <c r="AK403" s="3708"/>
      <c r="AL403" s="3708"/>
      <c r="AM403" s="4154"/>
      <c r="AN403" s="4413"/>
      <c r="AO403" s="1048">
        <f t="shared" si="214"/>
        <v>312</v>
      </c>
      <c r="AP403" s="1048"/>
      <c r="AQ403" s="4413"/>
      <c r="AR403" s="4413"/>
      <c r="AS403" s="1048">
        <f t="shared" si="202"/>
        <v>312</v>
      </c>
      <c r="AT403" s="1048"/>
      <c r="AU403" s="4413"/>
      <c r="AV403" s="4939"/>
      <c r="AW403" s="4939"/>
      <c r="AX403" s="1048"/>
      <c r="AY403" s="4939"/>
      <c r="AZ403" s="4939"/>
      <c r="BA403" s="1048"/>
      <c r="BB403" s="4622"/>
      <c r="BC403" s="4939"/>
      <c r="BD403" s="4622"/>
      <c r="BE403" s="4622"/>
      <c r="BF403" s="4622"/>
      <c r="BG403" s="4622"/>
      <c r="BH403" s="1048"/>
      <c r="BI403" s="4622"/>
      <c r="BJ403" s="1048"/>
      <c r="BK403" s="4415" t="s">
        <v>89</v>
      </c>
      <c r="BL403" s="4415">
        <f t="shared" si="203"/>
        <v>5.2</v>
      </c>
      <c r="BM403" s="4415">
        <f t="shared" si="204"/>
        <v>46.8</v>
      </c>
      <c r="BN403" s="4415">
        <f t="shared" si="205"/>
        <v>52</v>
      </c>
      <c r="BO403" s="4415">
        <f t="shared" si="206"/>
        <v>52</v>
      </c>
      <c r="BP403" s="4415">
        <f t="shared" si="207"/>
        <v>52</v>
      </c>
      <c r="BQ403" s="4414">
        <f t="shared" si="208"/>
        <v>52</v>
      </c>
      <c r="BR403" s="1048">
        <f t="shared" si="209"/>
        <v>52</v>
      </c>
      <c r="BS403" s="4432"/>
      <c r="BT403" s="4432"/>
      <c r="BU403" s="4432"/>
      <c r="BV403" s="4432"/>
      <c r="BW403" s="4432"/>
      <c r="BX403" s="4431"/>
      <c r="BY403" s="4431"/>
      <c r="BZ403" s="3708">
        <f t="shared" si="198"/>
        <v>312</v>
      </c>
      <c r="CA403" s="4154">
        <f t="shared" si="210"/>
        <v>0</v>
      </c>
      <c r="CB403" s="4591"/>
      <c r="CC403" s="4591"/>
      <c r="CD403" s="4323"/>
      <c r="CE403" s="4323"/>
      <c r="CF403" s="4323"/>
    </row>
    <row r="404" s="4316" customFormat="1" ht="50" customHeight="1" spans="1:84">
      <c r="A404" s="4500">
        <v>45862</v>
      </c>
      <c r="B404" s="3708" t="s">
        <v>1617</v>
      </c>
      <c r="C404" s="3708" t="s">
        <v>91</v>
      </c>
      <c r="D404" s="4154">
        <v>4500174771</v>
      </c>
      <c r="E404" s="3708">
        <v>70072697</v>
      </c>
      <c r="F404" s="4154" t="s">
        <v>1989</v>
      </c>
      <c r="G404" s="3708"/>
      <c r="H404" s="3708" t="s">
        <v>333</v>
      </c>
      <c r="I404" s="3708" t="s">
        <v>328</v>
      </c>
      <c r="J404" s="4593">
        <v>600</v>
      </c>
      <c r="K404" s="4154">
        <v>0</v>
      </c>
      <c r="L404" s="4154">
        <v>24</v>
      </c>
      <c r="M404" s="4154">
        <f t="shared" si="201"/>
        <v>25</v>
      </c>
      <c r="N404" s="4503">
        <v>45928</v>
      </c>
      <c r="O404" s="4503">
        <v>45924</v>
      </c>
      <c r="P404" s="3712"/>
      <c r="Q404" s="4154" t="s">
        <v>82</v>
      </c>
      <c r="R404" s="4157"/>
      <c r="S404" s="4157"/>
      <c r="T404" s="4157"/>
      <c r="U404" s="3726" t="s">
        <v>1990</v>
      </c>
      <c r="V404" s="3711" t="s">
        <v>390</v>
      </c>
      <c r="W404" s="3711"/>
      <c r="X404" s="3711" t="s">
        <v>98</v>
      </c>
      <c r="Y404" s="3711"/>
      <c r="Z404" s="3711" t="s">
        <v>1991</v>
      </c>
      <c r="AA404" s="4154"/>
      <c r="AB404" s="3713" t="s">
        <v>1621</v>
      </c>
      <c r="AC404" s="3711" t="s">
        <v>393</v>
      </c>
      <c r="AD404" s="4504">
        <v>1.254</v>
      </c>
      <c r="AE404" s="4154">
        <f t="shared" si="212"/>
        <v>752.4</v>
      </c>
      <c r="AF404" s="3726" t="s">
        <v>1992</v>
      </c>
      <c r="AG404" s="3726"/>
      <c r="AH404" s="3708"/>
      <c r="AI404" s="3708">
        <f t="shared" si="213"/>
        <v>600</v>
      </c>
      <c r="AJ404" s="3708"/>
      <c r="AK404" s="3708"/>
      <c r="AL404" s="3708"/>
      <c r="AM404" s="4154"/>
      <c r="AN404" s="1048"/>
      <c r="AO404" s="1048">
        <f t="shared" si="214"/>
        <v>600</v>
      </c>
      <c r="AP404" s="1048"/>
      <c r="AQ404" s="1048"/>
      <c r="AR404" s="1048"/>
      <c r="AS404" s="1048">
        <f t="shared" si="202"/>
        <v>600</v>
      </c>
      <c r="AT404" s="1048"/>
      <c r="AU404" s="1048"/>
      <c r="AV404" s="4622"/>
      <c r="AW404" s="4622"/>
      <c r="AX404" s="1048"/>
      <c r="AY404" s="4622"/>
      <c r="AZ404" s="4622"/>
      <c r="BA404" s="1048"/>
      <c r="BB404" s="4622"/>
      <c r="BC404" s="4622"/>
      <c r="BD404" s="4622"/>
      <c r="BE404" s="4622"/>
      <c r="BF404" s="4622"/>
      <c r="BG404" s="4622"/>
      <c r="BH404" s="4622"/>
      <c r="BI404" s="4622"/>
      <c r="BJ404" s="1048"/>
      <c r="BK404" s="4415" t="s">
        <v>89</v>
      </c>
      <c r="BL404" s="4415">
        <f t="shared" si="203"/>
        <v>10</v>
      </c>
      <c r="BM404" s="4415">
        <f t="shared" si="204"/>
        <v>90</v>
      </c>
      <c r="BN404" s="4415">
        <f t="shared" si="205"/>
        <v>100</v>
      </c>
      <c r="BO404" s="4415">
        <f t="shared" si="206"/>
        <v>100</v>
      </c>
      <c r="BP404" s="4415">
        <f t="shared" si="207"/>
        <v>100</v>
      </c>
      <c r="BQ404" s="4414">
        <f t="shared" si="208"/>
        <v>100</v>
      </c>
      <c r="BR404" s="1048">
        <f t="shared" si="209"/>
        <v>100</v>
      </c>
      <c r="BS404" s="4415"/>
      <c r="BT404" s="4415"/>
      <c r="BU404" s="4415"/>
      <c r="BV404" s="4415"/>
      <c r="BW404" s="4415"/>
      <c r="BX404" s="4414"/>
      <c r="BY404" s="4414"/>
      <c r="BZ404" s="3708">
        <f t="shared" si="198"/>
        <v>600</v>
      </c>
      <c r="CA404" s="4154">
        <f t="shared" si="210"/>
        <v>0</v>
      </c>
      <c r="CB404" s="4160"/>
      <c r="CC404" s="4160"/>
      <c r="CD404" s="4323"/>
      <c r="CE404" s="4323"/>
      <c r="CF404" s="4323"/>
    </row>
    <row r="405" s="4316" customFormat="1" ht="50" customHeight="1" spans="1:84">
      <c r="A405" s="4500">
        <v>45890</v>
      </c>
      <c r="B405" s="3708" t="s">
        <v>1789</v>
      </c>
      <c r="C405" s="3708" t="s">
        <v>1279</v>
      </c>
      <c r="D405" s="4154">
        <v>4500177457</v>
      </c>
      <c r="E405" s="3708" t="s">
        <v>1993</v>
      </c>
      <c r="F405" s="4154" t="s">
        <v>1994</v>
      </c>
      <c r="G405" s="3708"/>
      <c r="H405" s="3708" t="s">
        <v>364</v>
      </c>
      <c r="I405" s="4154" t="s">
        <v>328</v>
      </c>
      <c r="J405" s="4154">
        <v>504</v>
      </c>
      <c r="K405" s="4154">
        <v>0</v>
      </c>
      <c r="L405" s="4154">
        <v>12</v>
      </c>
      <c r="M405" s="4154">
        <f t="shared" si="201"/>
        <v>42</v>
      </c>
      <c r="N405" s="4503">
        <v>45930</v>
      </c>
      <c r="O405" s="4503">
        <v>45926</v>
      </c>
      <c r="P405" s="3712"/>
      <c r="Q405" s="4154" t="s">
        <v>82</v>
      </c>
      <c r="R405" s="4157"/>
      <c r="S405" s="4157"/>
      <c r="T405" s="4157"/>
      <c r="U405" s="3726" t="s">
        <v>1995</v>
      </c>
      <c r="V405" s="3711" t="s">
        <v>1307</v>
      </c>
      <c r="W405" s="3711"/>
      <c r="X405" s="3711" t="s">
        <v>1996</v>
      </c>
      <c r="Y405" s="3711"/>
      <c r="Z405" s="3711"/>
      <c r="AA405" s="4154"/>
      <c r="AB405" s="3713" t="s">
        <v>1997</v>
      </c>
      <c r="AC405" s="3711" t="s">
        <v>1285</v>
      </c>
      <c r="AD405" s="4504">
        <v>2.0402</v>
      </c>
      <c r="AE405" s="4154">
        <f t="shared" si="212"/>
        <v>1028.2608</v>
      </c>
      <c r="AF405" s="3726" t="s">
        <v>1998</v>
      </c>
      <c r="AG405" s="3726"/>
      <c r="AH405" s="3708"/>
      <c r="AI405" s="3708"/>
      <c r="AJ405" s="3708"/>
      <c r="AK405" s="3708">
        <f>J405</f>
        <v>504</v>
      </c>
      <c r="AL405" s="3708"/>
      <c r="AM405" s="4154"/>
      <c r="AN405" s="1048"/>
      <c r="AO405" s="1048">
        <f t="shared" si="214"/>
        <v>504</v>
      </c>
      <c r="AP405" s="1048"/>
      <c r="AQ405" s="1048"/>
      <c r="AR405" s="1048"/>
      <c r="AS405" s="1048">
        <f t="shared" si="202"/>
        <v>504</v>
      </c>
      <c r="AT405" s="1048"/>
      <c r="AU405" s="1048"/>
      <c r="AV405" s="4622"/>
      <c r="AW405" s="4622"/>
      <c r="AX405" s="1048"/>
      <c r="AY405" s="4622"/>
      <c r="AZ405" s="4622"/>
      <c r="BA405" s="1048"/>
      <c r="BB405" s="4622"/>
      <c r="BC405" s="4622"/>
      <c r="BD405" s="4622"/>
      <c r="BE405" s="4622"/>
      <c r="BF405" s="4622"/>
      <c r="BG405" s="4622"/>
      <c r="BH405" s="4622"/>
      <c r="BI405" s="4622"/>
      <c r="BJ405" s="1048"/>
      <c r="BK405" s="4415" t="s">
        <v>89</v>
      </c>
      <c r="BL405" s="4415"/>
      <c r="BM405" s="4415"/>
      <c r="BN405" s="4415"/>
      <c r="BO405" s="4415">
        <f>J405</f>
        <v>504</v>
      </c>
      <c r="BP405" s="4415"/>
      <c r="BQ405" s="4414"/>
      <c r="BR405" s="1048"/>
      <c r="BS405" s="4415"/>
      <c r="BT405" s="4415"/>
      <c r="BU405" s="4415"/>
      <c r="BV405" s="4415"/>
      <c r="BW405" s="4415"/>
      <c r="BX405" s="4414"/>
      <c r="BY405" s="4414"/>
      <c r="BZ405" s="3708">
        <f t="shared" si="198"/>
        <v>504</v>
      </c>
      <c r="CA405" s="4154">
        <f t="shared" si="210"/>
        <v>0</v>
      </c>
      <c r="CB405" s="4160"/>
      <c r="CC405" s="4160"/>
      <c r="CD405" s="4323"/>
      <c r="CE405" s="4323"/>
      <c r="CF405" s="4323"/>
    </row>
    <row r="406" s="4316" customFormat="1" ht="50" customHeight="1" spans="1:84">
      <c r="A406" s="4500">
        <v>45890</v>
      </c>
      <c r="B406" s="3708" t="s">
        <v>371</v>
      </c>
      <c r="C406" s="3708" t="s">
        <v>341</v>
      </c>
      <c r="D406" s="4154">
        <v>4500177500</v>
      </c>
      <c r="E406" s="3708" t="s">
        <v>1999</v>
      </c>
      <c r="F406" s="4154" t="s">
        <v>2000</v>
      </c>
      <c r="G406" s="3708"/>
      <c r="H406" s="3708" t="s">
        <v>364</v>
      </c>
      <c r="I406" s="4154" t="s">
        <v>328</v>
      </c>
      <c r="J406" s="4154">
        <v>744</v>
      </c>
      <c r="K406" s="4154">
        <v>0</v>
      </c>
      <c r="L406" s="4154">
        <v>12</v>
      </c>
      <c r="M406" s="4154">
        <f t="shared" si="201"/>
        <v>62</v>
      </c>
      <c r="N406" s="4503">
        <v>45930</v>
      </c>
      <c r="O406" s="4503">
        <v>45926</v>
      </c>
      <c r="P406" s="3712"/>
      <c r="Q406" s="4154" t="s">
        <v>82</v>
      </c>
      <c r="R406" s="4157"/>
      <c r="S406" s="4157"/>
      <c r="T406" s="4157"/>
      <c r="U406" s="3726" t="s">
        <v>2001</v>
      </c>
      <c r="V406" s="3711" t="s">
        <v>1262</v>
      </c>
      <c r="W406" s="3711"/>
      <c r="X406" s="3711" t="s">
        <v>2002</v>
      </c>
      <c r="Y406" s="3711"/>
      <c r="Z406" s="3711"/>
      <c r="AA406" s="4154"/>
      <c r="AB406" s="3713" t="s">
        <v>2003</v>
      </c>
      <c r="AC406" s="3711" t="s">
        <v>380</v>
      </c>
      <c r="AD406" s="4504">
        <v>2.0947</v>
      </c>
      <c r="AE406" s="4154">
        <f t="shared" si="212"/>
        <v>1558.4568</v>
      </c>
      <c r="AF406" s="3726" t="s">
        <v>2004</v>
      </c>
      <c r="AG406" s="3726"/>
      <c r="AH406" s="3708"/>
      <c r="AI406" s="3708"/>
      <c r="AJ406" s="3708"/>
      <c r="AK406" s="3708">
        <f>J406</f>
        <v>744</v>
      </c>
      <c r="AL406" s="3708"/>
      <c r="AM406" s="4154"/>
      <c r="AN406" s="1048"/>
      <c r="AO406" s="1048">
        <f t="shared" si="214"/>
        <v>744</v>
      </c>
      <c r="AP406" s="1048"/>
      <c r="AQ406" s="1048"/>
      <c r="AR406" s="1048"/>
      <c r="AS406" s="1048">
        <f t="shared" si="202"/>
        <v>744</v>
      </c>
      <c r="AT406" s="1048"/>
      <c r="AU406" s="1048"/>
      <c r="AV406" s="4622"/>
      <c r="AW406" s="4622"/>
      <c r="AX406" s="1048"/>
      <c r="AY406" s="4622"/>
      <c r="AZ406" s="4622"/>
      <c r="BA406" s="1048"/>
      <c r="BB406" s="4622"/>
      <c r="BC406" s="4622"/>
      <c r="BD406" s="4622"/>
      <c r="BE406" s="4622"/>
      <c r="BF406" s="4622"/>
      <c r="BG406" s="4622"/>
      <c r="BH406" s="4622"/>
      <c r="BI406" s="4622"/>
      <c r="BJ406" s="1048"/>
      <c r="BK406" s="4415" t="s">
        <v>89</v>
      </c>
      <c r="BL406" s="4415"/>
      <c r="BM406" s="4415"/>
      <c r="BN406" s="4415"/>
      <c r="BO406" s="4415">
        <f>J406</f>
        <v>744</v>
      </c>
      <c r="BP406" s="4415"/>
      <c r="BQ406" s="4414"/>
      <c r="BR406" s="1048"/>
      <c r="BS406" s="4415"/>
      <c r="BT406" s="4415"/>
      <c r="BU406" s="4415"/>
      <c r="BV406" s="4415"/>
      <c r="BW406" s="4415"/>
      <c r="BX406" s="4414"/>
      <c r="BY406" s="4414"/>
      <c r="BZ406" s="3708">
        <f t="shared" si="198"/>
        <v>744</v>
      </c>
      <c r="CA406" s="4154">
        <f t="shared" si="210"/>
        <v>0</v>
      </c>
      <c r="CB406" s="4160"/>
      <c r="CC406" s="4160"/>
      <c r="CD406" s="4323"/>
      <c r="CE406" s="4323"/>
      <c r="CF406" s="4323"/>
    </row>
    <row r="407" s="4316" customFormat="1" ht="50" customHeight="1" spans="1:84">
      <c r="A407" s="4500">
        <v>45895</v>
      </c>
      <c r="B407" s="3708" t="s">
        <v>2005</v>
      </c>
      <c r="C407" s="3708" t="s">
        <v>673</v>
      </c>
      <c r="D407" s="4154">
        <v>4500177815</v>
      </c>
      <c r="E407" s="3708">
        <v>5000001967</v>
      </c>
      <c r="F407" s="4154" t="s">
        <v>2006</v>
      </c>
      <c r="G407" s="3708"/>
      <c r="H407" s="3708" t="s">
        <v>508</v>
      </c>
      <c r="I407" s="3708" t="s">
        <v>328</v>
      </c>
      <c r="J407" s="4593">
        <v>3000</v>
      </c>
      <c r="K407" s="4154">
        <v>0</v>
      </c>
      <c r="L407" s="4154">
        <v>6</v>
      </c>
      <c r="M407" s="4154">
        <f t="shared" si="201"/>
        <v>500</v>
      </c>
      <c r="N407" s="4503">
        <v>45927</v>
      </c>
      <c r="O407" s="4503">
        <v>45923</v>
      </c>
      <c r="P407" s="3712"/>
      <c r="Q407" s="4154" t="s">
        <v>82</v>
      </c>
      <c r="R407" s="4157"/>
      <c r="S407" s="4157"/>
      <c r="T407" s="4157"/>
      <c r="U407" s="3726" t="s">
        <v>254</v>
      </c>
      <c r="V407" s="3711" t="s">
        <v>2007</v>
      </c>
      <c r="W407" s="3711"/>
      <c r="X407" s="3711" t="s">
        <v>2008</v>
      </c>
      <c r="Y407" s="3711"/>
      <c r="Z407" s="3711"/>
      <c r="AA407" s="4154"/>
      <c r="AB407" s="3713" t="s">
        <v>2009</v>
      </c>
      <c r="AC407" s="3711" t="s">
        <v>993</v>
      </c>
      <c r="AD407" s="4504">
        <v>2.1054</v>
      </c>
      <c r="AE407" s="4154">
        <f t="shared" si="212"/>
        <v>6316.2</v>
      </c>
      <c r="AF407" s="3726"/>
      <c r="AG407" s="3726"/>
      <c r="AH407" s="3708"/>
      <c r="AI407" s="4575">
        <f>J407</f>
        <v>3000</v>
      </c>
      <c r="AJ407" s="3708"/>
      <c r="AK407" s="3708"/>
      <c r="AL407" s="3708"/>
      <c r="AM407" s="4154"/>
      <c r="AN407" s="1048"/>
      <c r="AO407" s="1048"/>
      <c r="AP407" s="4510">
        <f>J407</f>
        <v>3000</v>
      </c>
      <c r="AQ407" s="1048"/>
      <c r="AR407" s="1048"/>
      <c r="AS407" s="4510">
        <f t="shared" si="202"/>
        <v>3000</v>
      </c>
      <c r="AT407" s="1048"/>
      <c r="AU407" s="1048"/>
      <c r="AV407" s="4622"/>
      <c r="AW407" s="4622"/>
      <c r="AX407" s="4510">
        <f>J407/6</f>
        <v>500</v>
      </c>
      <c r="AY407" s="4622"/>
      <c r="AZ407" s="4622"/>
      <c r="BA407" s="1048"/>
      <c r="BB407" s="4622"/>
      <c r="BC407" s="4622"/>
      <c r="BD407" s="4622"/>
      <c r="BE407" s="4622"/>
      <c r="BF407" s="4622"/>
      <c r="BG407" s="4622"/>
      <c r="BH407" s="1048"/>
      <c r="BI407" s="4622"/>
      <c r="BJ407" s="1048"/>
      <c r="BK407" s="4415" t="s">
        <v>682</v>
      </c>
      <c r="BL407" s="4415">
        <f>J407/60*1</f>
        <v>50</v>
      </c>
      <c r="BM407" s="4415">
        <f>J407/60*9</f>
        <v>450</v>
      </c>
      <c r="BN407" s="4415">
        <f>J407/60*10</f>
        <v>500</v>
      </c>
      <c r="BO407" s="4415">
        <f>J407/60*10</f>
        <v>500</v>
      </c>
      <c r="BP407" s="4415">
        <f>J407/60*10</f>
        <v>500</v>
      </c>
      <c r="BQ407" s="4414">
        <f>J407/60*10</f>
        <v>500</v>
      </c>
      <c r="BR407" s="1048">
        <f>J407/60*10</f>
        <v>500</v>
      </c>
      <c r="BS407" s="4415"/>
      <c r="BT407" s="4415"/>
      <c r="BU407" s="4415"/>
      <c r="BV407" s="4415"/>
      <c r="BW407" s="4415"/>
      <c r="BX407" s="4414"/>
      <c r="BY407" s="4414"/>
      <c r="BZ407" s="3708">
        <f t="shared" si="198"/>
        <v>3000</v>
      </c>
      <c r="CA407" s="4154">
        <f t="shared" si="210"/>
        <v>0</v>
      </c>
      <c r="CB407" s="4160"/>
      <c r="CC407" s="4160"/>
      <c r="CD407" s="4323"/>
      <c r="CE407" s="4323"/>
      <c r="CF407" s="4323"/>
    </row>
    <row r="408" s="4316" customFormat="1" ht="50" customHeight="1" spans="1:84">
      <c r="A408" s="4500">
        <v>45876</v>
      </c>
      <c r="B408" s="3708" t="s">
        <v>1617</v>
      </c>
      <c r="C408" s="3708" t="s">
        <v>91</v>
      </c>
      <c r="D408" s="4154">
        <v>4500176177</v>
      </c>
      <c r="E408" s="3708" t="s">
        <v>2010</v>
      </c>
      <c r="F408" s="4154" t="s">
        <v>2011</v>
      </c>
      <c r="G408" s="3708"/>
      <c r="H408" s="3708" t="s">
        <v>333</v>
      </c>
      <c r="I408" s="3708" t="s">
        <v>328</v>
      </c>
      <c r="J408" s="4593">
        <v>600</v>
      </c>
      <c r="K408" s="4154">
        <v>0</v>
      </c>
      <c r="L408" s="4154">
        <v>24</v>
      </c>
      <c r="M408" s="4154">
        <f t="shared" ref="M408:M418" si="215">J408/L408</f>
        <v>25</v>
      </c>
      <c r="N408" s="4503">
        <v>45938</v>
      </c>
      <c r="O408" s="4503">
        <v>45934</v>
      </c>
      <c r="P408" s="3712"/>
      <c r="Q408" s="4154" t="s">
        <v>82</v>
      </c>
      <c r="R408" s="4157"/>
      <c r="S408" s="4157"/>
      <c r="T408" s="4157"/>
      <c r="U408" s="3726" t="s">
        <v>2012</v>
      </c>
      <c r="V408" s="3711" t="s">
        <v>2013</v>
      </c>
      <c r="W408" s="3711"/>
      <c r="X408" s="3711" t="s">
        <v>98</v>
      </c>
      <c r="Y408" s="3711"/>
      <c r="Z408" s="3711" t="s">
        <v>1991</v>
      </c>
      <c r="AA408" s="4154"/>
      <c r="AB408" s="3713" t="s">
        <v>1621</v>
      </c>
      <c r="AC408" s="3711" t="s">
        <v>393</v>
      </c>
      <c r="AD408" s="4504">
        <v>1.254</v>
      </c>
      <c r="AE408" s="4154">
        <f t="shared" si="212"/>
        <v>752.4</v>
      </c>
      <c r="AF408" s="3726" t="s">
        <v>2014</v>
      </c>
      <c r="AG408" s="3726"/>
      <c r="AH408" s="3708"/>
      <c r="AI408" s="3708">
        <f>J408</f>
        <v>600</v>
      </c>
      <c r="AJ408" s="3708"/>
      <c r="AK408" s="3708"/>
      <c r="AL408" s="3708"/>
      <c r="AM408" s="4154"/>
      <c r="AN408" s="1048"/>
      <c r="AO408" s="1048">
        <f t="shared" ref="AO408:AO437" si="216">J408</f>
        <v>600</v>
      </c>
      <c r="AP408" s="1048"/>
      <c r="AQ408" s="1048"/>
      <c r="AR408" s="1048"/>
      <c r="AS408" s="1048">
        <f t="shared" si="202"/>
        <v>600</v>
      </c>
      <c r="AT408" s="1048"/>
      <c r="AU408" s="1048"/>
      <c r="AV408" s="4622"/>
      <c r="AW408" s="4622"/>
      <c r="AX408" s="1048"/>
      <c r="AY408" s="4622"/>
      <c r="AZ408" s="4622"/>
      <c r="BA408" s="1048"/>
      <c r="BB408" s="4622"/>
      <c r="BC408" s="4622"/>
      <c r="BD408" s="4622"/>
      <c r="BE408" s="4622"/>
      <c r="BF408" s="4622"/>
      <c r="BG408" s="4622"/>
      <c r="BH408" s="4622"/>
      <c r="BI408" s="4622"/>
      <c r="BJ408" s="1048"/>
      <c r="BK408" s="4415" t="s">
        <v>89</v>
      </c>
      <c r="BL408" s="4415">
        <f t="shared" ref="BL408:BL417" si="217">J408/60*1</f>
        <v>10</v>
      </c>
      <c r="BM408" s="4415">
        <f t="shared" ref="BM408:BM417" si="218">J408/60*9</f>
        <v>90</v>
      </c>
      <c r="BN408" s="4415">
        <f t="shared" ref="BN408:BN417" si="219">J408/60*10</f>
        <v>100</v>
      </c>
      <c r="BO408" s="4415">
        <f t="shared" ref="BO408:BO417" si="220">J408/60*10</f>
        <v>100</v>
      </c>
      <c r="BP408" s="4415">
        <f t="shared" ref="BP408:BP417" si="221">J408/60*10</f>
        <v>100</v>
      </c>
      <c r="BQ408" s="4414">
        <f t="shared" ref="BQ408:BQ417" si="222">J408/60*10</f>
        <v>100</v>
      </c>
      <c r="BR408" s="1048">
        <f t="shared" ref="BR408:BR417" si="223">J408/60*10</f>
        <v>100</v>
      </c>
      <c r="BS408" s="4415"/>
      <c r="BT408" s="4415"/>
      <c r="BU408" s="4415"/>
      <c r="BV408" s="4415"/>
      <c r="BW408" s="4415"/>
      <c r="BX408" s="4414"/>
      <c r="BY408" s="4414"/>
      <c r="BZ408" s="3708">
        <f t="shared" si="198"/>
        <v>600</v>
      </c>
      <c r="CA408" s="4154">
        <f t="shared" si="210"/>
        <v>0</v>
      </c>
      <c r="CB408" s="4160"/>
      <c r="CC408" s="4160"/>
      <c r="CD408" s="4323"/>
      <c r="CE408" s="4323"/>
      <c r="CF408" s="4323"/>
    </row>
    <row r="409" s="4316" customFormat="1" ht="50" customHeight="1" spans="1:84">
      <c r="A409" s="4500">
        <v>45880</v>
      </c>
      <c r="B409" s="3708" t="s">
        <v>1623</v>
      </c>
      <c r="C409" s="3708" t="s">
        <v>1624</v>
      </c>
      <c r="D409" s="4154">
        <v>4500176494</v>
      </c>
      <c r="E409" s="3708">
        <v>383639</v>
      </c>
      <c r="F409" s="4154" t="s">
        <v>2015</v>
      </c>
      <c r="G409" s="3708"/>
      <c r="H409" s="3708" t="s">
        <v>1626</v>
      </c>
      <c r="I409" s="4154" t="s">
        <v>328</v>
      </c>
      <c r="J409" s="4593">
        <v>948</v>
      </c>
      <c r="K409" s="4154">
        <v>0</v>
      </c>
      <c r="L409" s="4154">
        <v>6</v>
      </c>
      <c r="M409" s="4154">
        <f t="shared" si="215"/>
        <v>158</v>
      </c>
      <c r="N409" s="4503">
        <v>45939</v>
      </c>
      <c r="O409" s="4503">
        <v>45936</v>
      </c>
      <c r="P409" s="3712"/>
      <c r="Q409" s="4154" t="s">
        <v>82</v>
      </c>
      <c r="R409" s="4157"/>
      <c r="S409" s="4157"/>
      <c r="T409" s="4157"/>
      <c r="U409" s="3726" t="s">
        <v>262</v>
      </c>
      <c r="V409" s="3711" t="s">
        <v>2016</v>
      </c>
      <c r="W409" s="3711"/>
      <c r="X409" s="3711" t="s">
        <v>2017</v>
      </c>
      <c r="Y409" s="3711"/>
      <c r="Z409" s="3711"/>
      <c r="AA409" s="4154"/>
      <c r="AB409" s="3713" t="s">
        <v>2018</v>
      </c>
      <c r="AC409" s="3711" t="s">
        <v>1631</v>
      </c>
      <c r="AD409" s="4504">
        <v>2.1111</v>
      </c>
      <c r="AE409" s="4154">
        <f t="shared" si="212"/>
        <v>2001.3228</v>
      </c>
      <c r="AF409" s="3726" t="s">
        <v>2019</v>
      </c>
      <c r="AG409" s="3726"/>
      <c r="AH409" s="3708"/>
      <c r="AI409" s="3708"/>
      <c r="AJ409" s="3708"/>
      <c r="AK409" s="3708">
        <f>J409</f>
        <v>948</v>
      </c>
      <c r="AL409" s="3708"/>
      <c r="AM409" s="4154"/>
      <c r="AN409" s="1048"/>
      <c r="AO409" s="1048">
        <f t="shared" si="216"/>
        <v>948</v>
      </c>
      <c r="AP409" s="1048"/>
      <c r="AQ409" s="1048"/>
      <c r="AR409" s="1048"/>
      <c r="AS409" s="1048"/>
      <c r="AT409" s="1048">
        <f>J409</f>
        <v>948</v>
      </c>
      <c r="AU409" s="1048"/>
      <c r="AV409" s="4622"/>
      <c r="AW409" s="4622"/>
      <c r="AX409" s="1048"/>
      <c r="AY409" s="4622"/>
      <c r="AZ409" s="4622"/>
      <c r="BA409" s="1048">
        <f>J409/6</f>
        <v>158</v>
      </c>
      <c r="BB409" s="4622"/>
      <c r="BC409" s="4622"/>
      <c r="BD409" s="4622"/>
      <c r="BE409" s="4622"/>
      <c r="BF409" s="4622"/>
      <c r="BG409" s="4622"/>
      <c r="BH409" s="4622"/>
      <c r="BI409" s="4622"/>
      <c r="BJ409" s="1048"/>
      <c r="BK409" s="4415" t="s">
        <v>89</v>
      </c>
      <c r="BL409" s="4415">
        <f t="shared" si="217"/>
        <v>15.8</v>
      </c>
      <c r="BM409" s="4415">
        <f t="shared" si="218"/>
        <v>142.2</v>
      </c>
      <c r="BN409" s="4415">
        <f t="shared" si="219"/>
        <v>158</v>
      </c>
      <c r="BO409" s="4415">
        <f t="shared" si="220"/>
        <v>158</v>
      </c>
      <c r="BP409" s="4415">
        <f t="shared" si="221"/>
        <v>158</v>
      </c>
      <c r="BQ409" s="4414">
        <f t="shared" si="222"/>
        <v>158</v>
      </c>
      <c r="BR409" s="1048">
        <f t="shared" si="223"/>
        <v>158</v>
      </c>
      <c r="BS409" s="4415"/>
      <c r="BT409" s="4415"/>
      <c r="BU409" s="4415"/>
      <c r="BV409" s="4415"/>
      <c r="BW409" s="4415"/>
      <c r="BX409" s="4414"/>
      <c r="BY409" s="4414"/>
      <c r="BZ409" s="3708">
        <f t="shared" si="198"/>
        <v>948</v>
      </c>
      <c r="CA409" s="4154">
        <f t="shared" si="210"/>
        <v>0</v>
      </c>
      <c r="CB409" s="4160"/>
      <c r="CC409" s="4160"/>
      <c r="CD409" s="4323"/>
      <c r="CE409" s="4323"/>
      <c r="CF409" s="4323"/>
    </row>
    <row r="410" s="4316" customFormat="1" ht="50" customHeight="1" spans="1:84">
      <c r="A410" s="4500">
        <v>45891</v>
      </c>
      <c r="B410" s="3708" t="s">
        <v>2020</v>
      </c>
      <c r="C410" s="3708" t="s">
        <v>1121</v>
      </c>
      <c r="D410" s="4154">
        <v>4500177534</v>
      </c>
      <c r="E410" s="3708"/>
      <c r="F410" s="4154" t="s">
        <v>2021</v>
      </c>
      <c r="G410" s="3708"/>
      <c r="H410" s="3708" t="s">
        <v>327</v>
      </c>
      <c r="I410" s="4154" t="s">
        <v>328</v>
      </c>
      <c r="J410" s="4154">
        <v>120</v>
      </c>
      <c r="K410" s="4154">
        <v>0</v>
      </c>
      <c r="L410" s="4154">
        <v>12</v>
      </c>
      <c r="M410" s="4154">
        <f t="shared" si="215"/>
        <v>10</v>
      </c>
      <c r="N410" s="4503">
        <v>45940</v>
      </c>
      <c r="O410" s="4503">
        <v>45936</v>
      </c>
      <c r="P410" s="3712"/>
      <c r="Q410" s="4154" t="s">
        <v>82</v>
      </c>
      <c r="R410" s="4157"/>
      <c r="S410" s="4157"/>
      <c r="T410" s="4157"/>
      <c r="U410" s="3726" t="s">
        <v>1974</v>
      </c>
      <c r="V410" s="3711" t="s">
        <v>2022</v>
      </c>
      <c r="W410" s="3711"/>
      <c r="X410" s="3711" t="s">
        <v>2023</v>
      </c>
      <c r="Y410" s="3711"/>
      <c r="Z410" s="3711"/>
      <c r="AA410" s="4154"/>
      <c r="AB410" s="3713" t="s">
        <v>2024</v>
      </c>
      <c r="AC410" s="3711" t="s">
        <v>1199</v>
      </c>
      <c r="AD410" s="4504">
        <v>2.1876</v>
      </c>
      <c r="AE410" s="4154">
        <f t="shared" si="212"/>
        <v>262.512</v>
      </c>
      <c r="AF410" s="3726"/>
      <c r="AG410" s="3726"/>
      <c r="AH410" s="3708"/>
      <c r="AI410" s="3708">
        <f t="shared" ref="AI410:AI417" si="224">J410</f>
        <v>120</v>
      </c>
      <c r="AJ410" s="3708"/>
      <c r="AK410" s="3708"/>
      <c r="AL410" s="3708"/>
      <c r="AM410" s="4154"/>
      <c r="AN410" s="1048"/>
      <c r="AO410" s="1048">
        <f t="shared" si="216"/>
        <v>120</v>
      </c>
      <c r="AP410" s="1048"/>
      <c r="AQ410" s="1048"/>
      <c r="AR410" s="1048"/>
      <c r="AS410" s="1048">
        <f t="shared" ref="AS410:AS418" si="225">J410</f>
        <v>120</v>
      </c>
      <c r="AT410" s="1048"/>
      <c r="AU410" s="1048"/>
      <c r="AV410" s="4622"/>
      <c r="AW410" s="4622"/>
      <c r="AX410" s="1048">
        <f>J410/6</f>
        <v>20</v>
      </c>
      <c r="AY410" s="4622"/>
      <c r="AZ410" s="4622"/>
      <c r="BA410" s="1048"/>
      <c r="BB410" s="4622"/>
      <c r="BC410" s="4622"/>
      <c r="BD410" s="4622"/>
      <c r="BE410" s="4622"/>
      <c r="BF410" s="4622"/>
      <c r="BG410" s="4622"/>
      <c r="BH410" s="4622"/>
      <c r="BI410" s="4622"/>
      <c r="BJ410" s="1048"/>
      <c r="BK410" s="4415" t="s">
        <v>89</v>
      </c>
      <c r="BL410" s="4415">
        <f t="shared" si="217"/>
        <v>2</v>
      </c>
      <c r="BM410" s="4415">
        <f t="shared" si="218"/>
        <v>18</v>
      </c>
      <c r="BN410" s="4415">
        <f t="shared" si="219"/>
        <v>20</v>
      </c>
      <c r="BO410" s="4415">
        <f t="shared" si="220"/>
        <v>20</v>
      </c>
      <c r="BP410" s="4415">
        <f t="shared" si="221"/>
        <v>20</v>
      </c>
      <c r="BQ410" s="4414">
        <f t="shared" si="222"/>
        <v>20</v>
      </c>
      <c r="BR410" s="1048">
        <f t="shared" si="223"/>
        <v>20</v>
      </c>
      <c r="BS410" s="4415"/>
      <c r="BT410" s="4415"/>
      <c r="BU410" s="4415"/>
      <c r="BV410" s="4415"/>
      <c r="BW410" s="4415"/>
      <c r="BX410" s="4414"/>
      <c r="BY410" s="4414"/>
      <c r="BZ410" s="3708">
        <f t="shared" si="198"/>
        <v>120</v>
      </c>
      <c r="CA410" s="4154">
        <f t="shared" si="210"/>
        <v>0</v>
      </c>
      <c r="CB410" s="4160"/>
      <c r="CC410" s="4160"/>
      <c r="CD410" s="4323"/>
      <c r="CE410" s="4323"/>
      <c r="CF410" s="4323"/>
    </row>
    <row r="411" s="4316" customFormat="1" ht="50" customHeight="1" spans="1:84">
      <c r="A411" s="4500">
        <v>45897</v>
      </c>
      <c r="B411" s="3708" t="s">
        <v>1962</v>
      </c>
      <c r="C411" s="3708" t="s">
        <v>351</v>
      </c>
      <c r="D411" s="4154">
        <v>4500178070</v>
      </c>
      <c r="E411" s="3708" t="s">
        <v>2025</v>
      </c>
      <c r="F411" s="4154" t="s">
        <v>2026</v>
      </c>
      <c r="G411" s="3708"/>
      <c r="H411" s="3708" t="s">
        <v>496</v>
      </c>
      <c r="I411" s="3708" t="s">
        <v>328</v>
      </c>
      <c r="J411" s="4154">
        <v>1056</v>
      </c>
      <c r="K411" s="4154">
        <v>0</v>
      </c>
      <c r="L411" s="4154">
        <v>6</v>
      </c>
      <c r="M411" s="4154">
        <f t="shared" si="215"/>
        <v>176</v>
      </c>
      <c r="N411" s="4503">
        <v>45940</v>
      </c>
      <c r="O411" s="4503">
        <v>45936</v>
      </c>
      <c r="P411" s="3712"/>
      <c r="Q411" s="4154" t="s">
        <v>82</v>
      </c>
      <c r="R411" s="4157"/>
      <c r="S411" s="4157"/>
      <c r="T411" s="4157"/>
      <c r="U411" s="3726" t="s">
        <v>401</v>
      </c>
      <c r="V411" s="3711" t="s">
        <v>2027</v>
      </c>
      <c r="W411" s="3711"/>
      <c r="X411" s="3711" t="s">
        <v>2028</v>
      </c>
      <c r="Y411" s="3711"/>
      <c r="Z411" s="3711"/>
      <c r="AA411" s="4154"/>
      <c r="AB411" s="3713" t="s">
        <v>2029</v>
      </c>
      <c r="AC411" s="3711" t="s">
        <v>1199</v>
      </c>
      <c r="AD411" s="4154">
        <v>2.0449</v>
      </c>
      <c r="AE411" s="4154">
        <f t="shared" si="212"/>
        <v>2159.4144</v>
      </c>
      <c r="AF411" s="3726" t="s">
        <v>2030</v>
      </c>
      <c r="AG411" s="3726"/>
      <c r="AH411" s="3708"/>
      <c r="AI411" s="4575">
        <f t="shared" si="224"/>
        <v>1056</v>
      </c>
      <c r="AJ411" s="3708"/>
      <c r="AK411" s="4575"/>
      <c r="AL411" s="4575"/>
      <c r="AM411" s="4509"/>
      <c r="AN411" s="1048"/>
      <c r="AO411" s="4510">
        <f t="shared" si="216"/>
        <v>1056</v>
      </c>
      <c r="AP411" s="4510"/>
      <c r="AQ411" s="1048"/>
      <c r="AR411" s="1048"/>
      <c r="AS411" s="4510">
        <f t="shared" si="225"/>
        <v>1056</v>
      </c>
      <c r="AT411" s="1048"/>
      <c r="AU411" s="1048"/>
      <c r="AV411" s="4622"/>
      <c r="AW411" s="4622"/>
      <c r="AX411" s="1048"/>
      <c r="AY411" s="4622"/>
      <c r="AZ411" s="4622"/>
      <c r="BA411" s="1048"/>
      <c r="BB411" s="4622"/>
      <c r="BC411" s="4622"/>
      <c r="BD411" s="4622"/>
      <c r="BE411" s="4622"/>
      <c r="BF411" s="4622"/>
      <c r="BG411" s="4622"/>
      <c r="BH411" s="4622"/>
      <c r="BI411" s="4622"/>
      <c r="BJ411" s="1048"/>
      <c r="BK411" s="4415" t="s">
        <v>89</v>
      </c>
      <c r="BL411" s="4415">
        <f t="shared" si="217"/>
        <v>17.6</v>
      </c>
      <c r="BM411" s="4415">
        <f t="shared" si="218"/>
        <v>158.4</v>
      </c>
      <c r="BN411" s="4415">
        <f t="shared" si="219"/>
        <v>176</v>
      </c>
      <c r="BO411" s="4415">
        <f t="shared" si="220"/>
        <v>176</v>
      </c>
      <c r="BP411" s="4415">
        <f t="shared" si="221"/>
        <v>176</v>
      </c>
      <c r="BQ411" s="4414">
        <f t="shared" si="222"/>
        <v>176</v>
      </c>
      <c r="BR411" s="1048">
        <f t="shared" si="223"/>
        <v>176</v>
      </c>
      <c r="BS411" s="4415"/>
      <c r="BT411" s="4415"/>
      <c r="BU411" s="4415"/>
      <c r="BV411" s="4415"/>
      <c r="BW411" s="4415"/>
      <c r="BX411" s="4414"/>
      <c r="BY411" s="4414"/>
      <c r="BZ411" s="3708">
        <f t="shared" si="198"/>
        <v>1056</v>
      </c>
      <c r="CA411" s="4154">
        <f t="shared" si="210"/>
        <v>0</v>
      </c>
      <c r="CB411" s="4160"/>
      <c r="CC411" s="4160"/>
      <c r="CD411" s="4323"/>
      <c r="CE411" s="4323"/>
      <c r="CF411" s="4323"/>
    </row>
    <row r="412" s="4316" customFormat="1" ht="50" customHeight="1" spans="1:84">
      <c r="A412" s="4500">
        <v>45897</v>
      </c>
      <c r="B412" s="3708" t="s">
        <v>1962</v>
      </c>
      <c r="C412" s="3708" t="s">
        <v>351</v>
      </c>
      <c r="D412" s="4154">
        <v>4500178086</v>
      </c>
      <c r="E412" s="3708" t="s">
        <v>2031</v>
      </c>
      <c r="F412" s="4154" t="s">
        <v>2032</v>
      </c>
      <c r="G412" s="3708"/>
      <c r="H412" s="3708" t="s">
        <v>496</v>
      </c>
      <c r="I412" s="3708" t="s">
        <v>328</v>
      </c>
      <c r="J412" s="4154">
        <v>558</v>
      </c>
      <c r="K412" s="4154">
        <v>0</v>
      </c>
      <c r="L412" s="4154">
        <v>6</v>
      </c>
      <c r="M412" s="4154">
        <f t="shared" si="215"/>
        <v>93</v>
      </c>
      <c r="N412" s="4503">
        <v>45940</v>
      </c>
      <c r="O412" s="4503">
        <v>45936</v>
      </c>
      <c r="P412" s="3712"/>
      <c r="Q412" s="4154" t="s">
        <v>82</v>
      </c>
      <c r="R412" s="4157"/>
      <c r="S412" s="4157"/>
      <c r="T412" s="4157"/>
      <c r="U412" s="3726"/>
      <c r="V412" s="3711" t="s">
        <v>2027</v>
      </c>
      <c r="W412" s="3711"/>
      <c r="X412" s="3711" t="s">
        <v>2033</v>
      </c>
      <c r="Y412" s="3711"/>
      <c r="Z412" s="3711"/>
      <c r="AA412" s="4154"/>
      <c r="AB412" s="3713" t="s">
        <v>2034</v>
      </c>
      <c r="AC412" s="3711" t="s">
        <v>357</v>
      </c>
      <c r="AD412" s="4154">
        <v>2.0495</v>
      </c>
      <c r="AE412" s="4154">
        <f t="shared" si="212"/>
        <v>1143.621</v>
      </c>
      <c r="AF412" s="3726" t="s">
        <v>2035</v>
      </c>
      <c r="AG412" s="3726"/>
      <c r="AH412" s="3708"/>
      <c r="AI412" s="4575">
        <f t="shared" si="224"/>
        <v>558</v>
      </c>
      <c r="AJ412" s="3708"/>
      <c r="AK412" s="4575"/>
      <c r="AL412" s="4575"/>
      <c r="AM412" s="4509"/>
      <c r="AN412" s="1048"/>
      <c r="AO412" s="4510">
        <f t="shared" si="216"/>
        <v>558</v>
      </c>
      <c r="AP412" s="4510"/>
      <c r="AQ412" s="1048"/>
      <c r="AR412" s="1048"/>
      <c r="AS412" s="4510">
        <f t="shared" si="225"/>
        <v>558</v>
      </c>
      <c r="AT412" s="1048"/>
      <c r="AU412" s="1048"/>
      <c r="AV412" s="4622"/>
      <c r="AW412" s="4622"/>
      <c r="AX412" s="1048"/>
      <c r="AY412" s="4622"/>
      <c r="AZ412" s="4622"/>
      <c r="BA412" s="1048"/>
      <c r="BB412" s="4622"/>
      <c r="BC412" s="4622"/>
      <c r="BD412" s="4622"/>
      <c r="BE412" s="4622"/>
      <c r="BF412" s="4622"/>
      <c r="BG412" s="4622"/>
      <c r="BH412" s="4622"/>
      <c r="BI412" s="4622"/>
      <c r="BJ412" s="1048"/>
      <c r="BK412" s="4415" t="s">
        <v>89</v>
      </c>
      <c r="BL412" s="4415">
        <f t="shared" si="217"/>
        <v>9.3</v>
      </c>
      <c r="BM412" s="4415">
        <f t="shared" si="218"/>
        <v>83.7</v>
      </c>
      <c r="BN412" s="4415">
        <f t="shared" si="219"/>
        <v>93</v>
      </c>
      <c r="BO412" s="4415">
        <f t="shared" si="220"/>
        <v>93</v>
      </c>
      <c r="BP412" s="4415">
        <f t="shared" si="221"/>
        <v>93</v>
      </c>
      <c r="BQ412" s="4414">
        <f t="shared" si="222"/>
        <v>93</v>
      </c>
      <c r="BR412" s="1048">
        <f t="shared" si="223"/>
        <v>93</v>
      </c>
      <c r="BS412" s="4415"/>
      <c r="BT412" s="4415"/>
      <c r="BU412" s="4415"/>
      <c r="BV412" s="4415"/>
      <c r="BW412" s="4415"/>
      <c r="BX412" s="4414"/>
      <c r="BY412" s="4414"/>
      <c r="BZ412" s="3708">
        <f t="shared" si="198"/>
        <v>558</v>
      </c>
      <c r="CA412" s="4154">
        <f t="shared" si="210"/>
        <v>0</v>
      </c>
      <c r="CB412" s="4160"/>
      <c r="CC412" s="4160"/>
      <c r="CD412" s="4323"/>
      <c r="CE412" s="4323"/>
      <c r="CF412" s="4323"/>
    </row>
    <row r="413" s="4316" customFormat="1" ht="50" customHeight="1" spans="1:84">
      <c r="A413" s="4500">
        <v>45876</v>
      </c>
      <c r="B413" s="3708" t="s">
        <v>1617</v>
      </c>
      <c r="C413" s="3708" t="s">
        <v>91</v>
      </c>
      <c r="D413" s="4154">
        <v>4500176184</v>
      </c>
      <c r="E413" s="3708" t="s">
        <v>2036</v>
      </c>
      <c r="F413" s="4154" t="s">
        <v>2037</v>
      </c>
      <c r="G413" s="3708"/>
      <c r="H413" s="3708" t="s">
        <v>333</v>
      </c>
      <c r="I413" s="3708" t="s">
        <v>328</v>
      </c>
      <c r="J413" s="4593">
        <v>504</v>
      </c>
      <c r="K413" s="4154">
        <v>0</v>
      </c>
      <c r="L413" s="4154">
        <v>24</v>
      </c>
      <c r="M413" s="4154">
        <f t="shared" si="215"/>
        <v>21</v>
      </c>
      <c r="N413" s="4503">
        <v>45943</v>
      </c>
      <c r="O413" s="4503">
        <v>45939</v>
      </c>
      <c r="P413" s="3712"/>
      <c r="Q413" s="4154" t="s">
        <v>82</v>
      </c>
      <c r="R413" s="4157"/>
      <c r="S413" s="4157"/>
      <c r="T413" s="4157"/>
      <c r="U413" s="3726" t="s">
        <v>2038</v>
      </c>
      <c r="V413" s="3711" t="s">
        <v>2013</v>
      </c>
      <c r="W413" s="3711"/>
      <c r="X413" s="3711" t="s">
        <v>98</v>
      </c>
      <c r="Y413" s="3711"/>
      <c r="Z413" s="3711" t="s">
        <v>1991</v>
      </c>
      <c r="AA413" s="4154"/>
      <c r="AB413" s="3713" t="s">
        <v>2039</v>
      </c>
      <c r="AC413" s="3711" t="s">
        <v>393</v>
      </c>
      <c r="AD413" s="4504">
        <v>1.254</v>
      </c>
      <c r="AE413" s="4154">
        <f t="shared" si="212"/>
        <v>632.016</v>
      </c>
      <c r="AF413" s="3726" t="s">
        <v>2040</v>
      </c>
      <c r="AG413" s="3726"/>
      <c r="AH413" s="3708"/>
      <c r="AI413" s="3708">
        <f t="shared" si="224"/>
        <v>504</v>
      </c>
      <c r="AJ413" s="3708"/>
      <c r="AK413" s="3708"/>
      <c r="AL413" s="3708"/>
      <c r="AM413" s="4154"/>
      <c r="AN413" s="1048"/>
      <c r="AO413" s="1048">
        <f t="shared" si="216"/>
        <v>504</v>
      </c>
      <c r="AP413" s="1048"/>
      <c r="AQ413" s="1048"/>
      <c r="AR413" s="1048"/>
      <c r="AS413" s="1048">
        <f t="shared" si="225"/>
        <v>504</v>
      </c>
      <c r="AT413" s="1048"/>
      <c r="AU413" s="1048"/>
      <c r="AV413" s="4622"/>
      <c r="AW413" s="4622"/>
      <c r="AX413" s="1048"/>
      <c r="AY413" s="4622"/>
      <c r="AZ413" s="4622"/>
      <c r="BA413" s="1048"/>
      <c r="BB413" s="4622"/>
      <c r="BC413" s="4622"/>
      <c r="BD413" s="4622"/>
      <c r="BE413" s="4622"/>
      <c r="BF413" s="4622"/>
      <c r="BG413" s="4622"/>
      <c r="BH413" s="4622"/>
      <c r="BI413" s="4622"/>
      <c r="BJ413" s="1048"/>
      <c r="BK413" s="4415" t="s">
        <v>89</v>
      </c>
      <c r="BL413" s="4415">
        <f t="shared" si="217"/>
        <v>8.4</v>
      </c>
      <c r="BM413" s="4415">
        <f t="shared" si="218"/>
        <v>75.6</v>
      </c>
      <c r="BN413" s="4415">
        <f t="shared" si="219"/>
        <v>84</v>
      </c>
      <c r="BO413" s="4415">
        <f t="shared" si="220"/>
        <v>84</v>
      </c>
      <c r="BP413" s="4415">
        <f t="shared" si="221"/>
        <v>84</v>
      </c>
      <c r="BQ413" s="4414">
        <f t="shared" si="222"/>
        <v>84</v>
      </c>
      <c r="BR413" s="1048">
        <f t="shared" si="223"/>
        <v>84</v>
      </c>
      <c r="BS413" s="4415"/>
      <c r="BT413" s="4415"/>
      <c r="BU413" s="4415"/>
      <c r="BV413" s="4415"/>
      <c r="BW413" s="4415"/>
      <c r="BX413" s="4414"/>
      <c r="BY413" s="4414"/>
      <c r="BZ413" s="3708">
        <f t="shared" si="198"/>
        <v>504</v>
      </c>
      <c r="CA413" s="4154">
        <f t="shared" si="210"/>
        <v>0</v>
      </c>
      <c r="CB413" s="4160"/>
      <c r="CC413" s="4160"/>
      <c r="CD413" s="4323"/>
      <c r="CE413" s="4323"/>
      <c r="CF413" s="4323"/>
    </row>
    <row r="414" s="4316" customFormat="1" ht="50" customHeight="1" spans="1:84">
      <c r="A414" s="4500">
        <v>45896</v>
      </c>
      <c r="B414" s="3708" t="s">
        <v>839</v>
      </c>
      <c r="C414" s="3708" t="s">
        <v>840</v>
      </c>
      <c r="D414" s="4154">
        <v>4500177974</v>
      </c>
      <c r="E414" s="3708">
        <v>21105433</v>
      </c>
      <c r="F414" s="4154" t="s">
        <v>2041</v>
      </c>
      <c r="G414" s="3708"/>
      <c r="H414" s="3708" t="s">
        <v>508</v>
      </c>
      <c r="I414" s="3708" t="s">
        <v>328</v>
      </c>
      <c r="J414" s="4593">
        <v>798</v>
      </c>
      <c r="K414" s="4154">
        <v>0</v>
      </c>
      <c r="L414" s="4154">
        <v>6</v>
      </c>
      <c r="M414" s="4154">
        <f t="shared" si="215"/>
        <v>133</v>
      </c>
      <c r="N414" s="4503">
        <v>45943</v>
      </c>
      <c r="O414" s="4503">
        <v>45939</v>
      </c>
      <c r="P414" s="3712"/>
      <c r="Q414" s="4154" t="s">
        <v>82</v>
      </c>
      <c r="R414" s="4157"/>
      <c r="S414" s="4157"/>
      <c r="T414" s="4157"/>
      <c r="U414" s="3726" t="s">
        <v>2042</v>
      </c>
      <c r="V414" s="3711" t="s">
        <v>2043</v>
      </c>
      <c r="W414" s="3711"/>
      <c r="X414" s="3711" t="s">
        <v>2044</v>
      </c>
      <c r="Y414" s="3711"/>
      <c r="Z414" s="3711"/>
      <c r="AA414" s="4154"/>
      <c r="AB414" s="3713" t="s">
        <v>1614</v>
      </c>
      <c r="AC414" s="3711" t="s">
        <v>513</v>
      </c>
      <c r="AD414" s="4504">
        <v>2.3151</v>
      </c>
      <c r="AE414" s="4154">
        <f t="shared" si="212"/>
        <v>1847.4498</v>
      </c>
      <c r="AF414" s="3726" t="s">
        <v>2045</v>
      </c>
      <c r="AG414" s="3726"/>
      <c r="AH414" s="3708"/>
      <c r="AI414" s="4575">
        <f t="shared" si="224"/>
        <v>798</v>
      </c>
      <c r="AJ414" s="3708"/>
      <c r="AK414" s="3708"/>
      <c r="AL414" s="3708"/>
      <c r="AM414" s="4154"/>
      <c r="AN414" s="1048"/>
      <c r="AO414" s="4510">
        <f t="shared" si="216"/>
        <v>798</v>
      </c>
      <c r="AP414" s="1048"/>
      <c r="AQ414" s="1048"/>
      <c r="AR414" s="1048"/>
      <c r="AS414" s="4510">
        <f t="shared" si="225"/>
        <v>798</v>
      </c>
      <c r="AT414" s="1048"/>
      <c r="AU414" s="1048"/>
      <c r="AV414" s="4622"/>
      <c r="AW414" s="4622"/>
      <c r="AX414" s="4510">
        <f>J414/6</f>
        <v>133</v>
      </c>
      <c r="AY414" s="4622"/>
      <c r="AZ414" s="4622"/>
      <c r="BA414" s="1048"/>
      <c r="BB414" s="4622"/>
      <c r="BC414" s="4622"/>
      <c r="BD414" s="4622"/>
      <c r="BE414" s="4622"/>
      <c r="BF414" s="4622"/>
      <c r="BG414" s="4622"/>
      <c r="BH414" s="4622"/>
      <c r="BI414" s="4622"/>
      <c r="BJ414" s="1048"/>
      <c r="BK414" s="4415" t="s">
        <v>89</v>
      </c>
      <c r="BL414" s="4415">
        <f t="shared" si="217"/>
        <v>13.3</v>
      </c>
      <c r="BM414" s="4415">
        <f t="shared" si="218"/>
        <v>119.7</v>
      </c>
      <c r="BN414" s="4415">
        <f t="shared" si="219"/>
        <v>133</v>
      </c>
      <c r="BO414" s="4415">
        <f t="shared" si="220"/>
        <v>133</v>
      </c>
      <c r="BP414" s="4415">
        <f t="shared" si="221"/>
        <v>133</v>
      </c>
      <c r="BQ414" s="4414">
        <f t="shared" si="222"/>
        <v>133</v>
      </c>
      <c r="BR414" s="1048">
        <f t="shared" si="223"/>
        <v>133</v>
      </c>
      <c r="BS414" s="4415"/>
      <c r="BT414" s="4415"/>
      <c r="BU414" s="4415"/>
      <c r="BV414" s="4415"/>
      <c r="BW414" s="4415"/>
      <c r="BX414" s="4414"/>
      <c r="BY414" s="4414"/>
      <c r="BZ414" s="3708">
        <f t="shared" si="198"/>
        <v>798</v>
      </c>
      <c r="CA414" s="4154">
        <f t="shared" si="210"/>
        <v>0</v>
      </c>
      <c r="CB414" s="4160"/>
      <c r="CC414" s="4160"/>
      <c r="CD414" s="4323"/>
      <c r="CE414" s="4323"/>
      <c r="CF414" s="4323"/>
    </row>
    <row r="415" s="4316" customFormat="1" ht="50" customHeight="1" spans="1:84">
      <c r="A415" s="4500">
        <v>45896</v>
      </c>
      <c r="B415" s="3708" t="s">
        <v>505</v>
      </c>
      <c r="C415" s="3708" t="s">
        <v>506</v>
      </c>
      <c r="D415" s="4154">
        <v>4500177972</v>
      </c>
      <c r="E415" s="3708">
        <v>21105431</v>
      </c>
      <c r="F415" s="4154" t="s">
        <v>2046</v>
      </c>
      <c r="G415" s="3708"/>
      <c r="H415" s="3708" t="s">
        <v>508</v>
      </c>
      <c r="I415" s="3708" t="s">
        <v>328</v>
      </c>
      <c r="J415" s="4593">
        <v>4164</v>
      </c>
      <c r="K415" s="4154">
        <v>0</v>
      </c>
      <c r="L415" s="4154">
        <v>6</v>
      </c>
      <c r="M415" s="4154">
        <f t="shared" si="215"/>
        <v>694</v>
      </c>
      <c r="N415" s="4503">
        <v>45943</v>
      </c>
      <c r="O415" s="4503">
        <v>45939</v>
      </c>
      <c r="P415" s="3712"/>
      <c r="Q415" s="4154" t="s">
        <v>82</v>
      </c>
      <c r="R415" s="4157"/>
      <c r="S415" s="4157"/>
      <c r="T415" s="4157"/>
      <c r="U415" s="3726" t="s">
        <v>2042</v>
      </c>
      <c r="V415" s="3711" t="s">
        <v>2043</v>
      </c>
      <c r="W415" s="3711"/>
      <c r="X415" s="3711" t="s">
        <v>2044</v>
      </c>
      <c r="Y415" s="3711"/>
      <c r="Z415" s="3711"/>
      <c r="AA415" s="4154"/>
      <c r="AB415" s="3713" t="s">
        <v>1616</v>
      </c>
      <c r="AC415" s="3711" t="s">
        <v>513</v>
      </c>
      <c r="AD415" s="4504">
        <v>2.3071</v>
      </c>
      <c r="AE415" s="4154">
        <f t="shared" si="212"/>
        <v>9606.7644</v>
      </c>
      <c r="AF415" s="3726" t="s">
        <v>2047</v>
      </c>
      <c r="AG415" s="3726"/>
      <c r="AH415" s="3708"/>
      <c r="AI415" s="4575">
        <f t="shared" si="224"/>
        <v>4164</v>
      </c>
      <c r="AJ415" s="3708"/>
      <c r="AK415" s="3708"/>
      <c r="AL415" s="3708"/>
      <c r="AM415" s="4154"/>
      <c r="AN415" s="1048"/>
      <c r="AO415" s="4510">
        <f t="shared" si="216"/>
        <v>4164</v>
      </c>
      <c r="AP415" s="1048"/>
      <c r="AQ415" s="1048"/>
      <c r="AR415" s="1048"/>
      <c r="AS415" s="4510">
        <f t="shared" si="225"/>
        <v>4164</v>
      </c>
      <c r="AT415" s="1048"/>
      <c r="AU415" s="1048"/>
      <c r="AV415" s="4622"/>
      <c r="AW415" s="4622"/>
      <c r="AX415" s="4510">
        <f>J415/6</f>
        <v>694</v>
      </c>
      <c r="AY415" s="4622"/>
      <c r="AZ415" s="4622"/>
      <c r="BA415" s="1048"/>
      <c r="BB415" s="4622"/>
      <c r="BC415" s="4622"/>
      <c r="BD415" s="4622"/>
      <c r="BE415" s="4622"/>
      <c r="BF415" s="4622"/>
      <c r="BG415" s="4622"/>
      <c r="BH415" s="4622"/>
      <c r="BI415" s="4622"/>
      <c r="BJ415" s="1048"/>
      <c r="BK415" s="4415" t="s">
        <v>89</v>
      </c>
      <c r="BL415" s="4415">
        <f t="shared" si="217"/>
        <v>69.4</v>
      </c>
      <c r="BM415" s="4415">
        <f t="shared" si="218"/>
        <v>624.6</v>
      </c>
      <c r="BN415" s="4415">
        <f t="shared" si="219"/>
        <v>694</v>
      </c>
      <c r="BO415" s="4415">
        <f t="shared" si="220"/>
        <v>694</v>
      </c>
      <c r="BP415" s="4415">
        <f t="shared" si="221"/>
        <v>694</v>
      </c>
      <c r="BQ415" s="4414">
        <f t="shared" si="222"/>
        <v>694</v>
      </c>
      <c r="BR415" s="1048">
        <f t="shared" si="223"/>
        <v>694</v>
      </c>
      <c r="BS415" s="4415"/>
      <c r="BT415" s="4415"/>
      <c r="BU415" s="4415"/>
      <c r="BV415" s="4415"/>
      <c r="BW415" s="4415"/>
      <c r="BX415" s="4414"/>
      <c r="BY415" s="4414"/>
      <c r="BZ415" s="3708">
        <f t="shared" si="198"/>
        <v>4164</v>
      </c>
      <c r="CA415" s="4154">
        <f t="shared" si="210"/>
        <v>0</v>
      </c>
      <c r="CB415" s="4160"/>
      <c r="CC415" s="4160"/>
      <c r="CD415" s="4323"/>
      <c r="CE415" s="4323"/>
      <c r="CF415" s="4323"/>
    </row>
    <row r="416" s="4316" customFormat="1" ht="50" customHeight="1" spans="1:84">
      <c r="A416" s="4500">
        <v>45848</v>
      </c>
      <c r="B416" s="4501" t="s">
        <v>2048</v>
      </c>
      <c r="C416" s="3708" t="s">
        <v>351</v>
      </c>
      <c r="D416" s="4502">
        <v>4500173349</v>
      </c>
      <c r="E416" s="3708"/>
      <c r="F416" s="4502" t="s">
        <v>2049</v>
      </c>
      <c r="G416" s="3708"/>
      <c r="H416" s="3708" t="s">
        <v>327</v>
      </c>
      <c r="I416" s="4154" t="s">
        <v>328</v>
      </c>
      <c r="J416" s="4154">
        <v>1680</v>
      </c>
      <c r="K416" s="4154">
        <v>0</v>
      </c>
      <c r="L416" s="4154">
        <v>12</v>
      </c>
      <c r="M416" s="4154">
        <f t="shared" si="215"/>
        <v>140</v>
      </c>
      <c r="N416" s="4503">
        <v>45950</v>
      </c>
      <c r="O416" s="4503">
        <v>45946</v>
      </c>
      <c r="P416" s="4154"/>
      <c r="Q416" s="4154" t="s">
        <v>82</v>
      </c>
      <c r="R416" s="4157"/>
      <c r="S416" s="4157"/>
      <c r="T416" s="4157"/>
      <c r="U416" s="3726" t="s">
        <v>265</v>
      </c>
      <c r="V416" s="3711" t="s">
        <v>2050</v>
      </c>
      <c r="W416" s="3711"/>
      <c r="X416" s="3711" t="s">
        <v>2051</v>
      </c>
      <c r="Y416" s="3711"/>
      <c r="Z416" s="3711"/>
      <c r="AA416" s="4154"/>
      <c r="AB416" s="3680" t="s">
        <v>2052</v>
      </c>
      <c r="AC416" s="4154" t="s">
        <v>1199</v>
      </c>
      <c r="AD416" s="4504">
        <v>2.1588</v>
      </c>
      <c r="AE416" s="4154">
        <f t="shared" si="212"/>
        <v>3626.784</v>
      </c>
      <c r="AF416" s="3726" t="s">
        <v>2053</v>
      </c>
      <c r="AG416" s="3726"/>
      <c r="AH416" s="3708"/>
      <c r="AI416" s="3708">
        <f t="shared" si="224"/>
        <v>1680</v>
      </c>
      <c r="AJ416" s="3708"/>
      <c r="AK416" s="3708"/>
      <c r="AL416" s="3708"/>
      <c r="AM416" s="4154"/>
      <c r="AN416" s="1048"/>
      <c r="AO416" s="1048">
        <f t="shared" si="216"/>
        <v>1680</v>
      </c>
      <c r="AP416" s="1048"/>
      <c r="AQ416" s="1048"/>
      <c r="AR416" s="1048"/>
      <c r="AS416" s="1048">
        <f t="shared" si="225"/>
        <v>1680</v>
      </c>
      <c r="AT416" s="1048"/>
      <c r="AU416" s="1048"/>
      <c r="AV416" s="4622"/>
      <c r="AW416" s="4622"/>
      <c r="AX416" s="1048">
        <f>J416/6</f>
        <v>280</v>
      </c>
      <c r="AY416" s="4622"/>
      <c r="AZ416" s="4622"/>
      <c r="BA416" s="1048"/>
      <c r="BB416" s="4622"/>
      <c r="BC416" s="4622"/>
      <c r="BD416" s="4622"/>
      <c r="BE416" s="4622"/>
      <c r="BF416" s="4622"/>
      <c r="BG416" s="4622"/>
      <c r="BH416" s="1048"/>
      <c r="BI416" s="4622"/>
      <c r="BJ416" s="1048"/>
      <c r="BK416" s="4415" t="s">
        <v>89</v>
      </c>
      <c r="BL416" s="4415">
        <f t="shared" si="217"/>
        <v>28</v>
      </c>
      <c r="BM416" s="4415">
        <f t="shared" si="218"/>
        <v>252</v>
      </c>
      <c r="BN416" s="4415">
        <f t="shared" si="219"/>
        <v>280</v>
      </c>
      <c r="BO416" s="4415">
        <f t="shared" si="220"/>
        <v>280</v>
      </c>
      <c r="BP416" s="4415">
        <f t="shared" si="221"/>
        <v>280</v>
      </c>
      <c r="BQ416" s="4414">
        <f t="shared" si="222"/>
        <v>280</v>
      </c>
      <c r="BR416" s="1048">
        <f t="shared" si="223"/>
        <v>280</v>
      </c>
      <c r="BS416" s="4415"/>
      <c r="BT416" s="4415"/>
      <c r="BU416" s="4415"/>
      <c r="BV416" s="4415"/>
      <c r="BW416" s="4415"/>
      <c r="BX416" s="4414"/>
      <c r="BY416" s="4414"/>
      <c r="BZ416" s="3708">
        <f t="shared" si="198"/>
        <v>1680</v>
      </c>
      <c r="CA416" s="4154">
        <f t="shared" si="210"/>
        <v>0</v>
      </c>
      <c r="CB416" s="4160"/>
      <c r="CC416" s="4160"/>
      <c r="CD416" s="4323"/>
      <c r="CE416" s="4323"/>
      <c r="CF416" s="4323"/>
    </row>
    <row r="417" s="4316" customFormat="1" ht="50" customHeight="1" spans="1:84">
      <c r="A417" s="4500">
        <v>45862</v>
      </c>
      <c r="B417" s="3708" t="s">
        <v>407</v>
      </c>
      <c r="C417" s="3708" t="s">
        <v>91</v>
      </c>
      <c r="D417" s="4154">
        <v>4500174671</v>
      </c>
      <c r="E417" s="3708">
        <v>60235893</v>
      </c>
      <c r="F417" s="4154" t="s">
        <v>2054</v>
      </c>
      <c r="G417" s="3708"/>
      <c r="H417" s="3708" t="s">
        <v>409</v>
      </c>
      <c r="I417" s="3708" t="s">
        <v>410</v>
      </c>
      <c r="J417" s="4154">
        <v>7008</v>
      </c>
      <c r="K417" s="4154">
        <v>0</v>
      </c>
      <c r="L417" s="4154">
        <v>12</v>
      </c>
      <c r="M417" s="4154">
        <f t="shared" si="215"/>
        <v>584</v>
      </c>
      <c r="N417" s="4503">
        <v>45925</v>
      </c>
      <c r="O417" s="4503">
        <v>45922</v>
      </c>
      <c r="P417" s="3712"/>
      <c r="Q417" s="4154" t="s">
        <v>82</v>
      </c>
      <c r="R417" s="4157">
        <f>117+1168+1051+411+1168+117</f>
        <v>4032</v>
      </c>
      <c r="S417" s="4157"/>
      <c r="T417" s="4157"/>
      <c r="U417" s="3726" t="s">
        <v>2055</v>
      </c>
      <c r="V417" s="3711" t="s">
        <v>390</v>
      </c>
      <c r="W417" s="3711"/>
      <c r="X417" s="3711" t="s">
        <v>98</v>
      </c>
      <c r="Y417" s="3711"/>
      <c r="Z417" s="3711" t="s">
        <v>1991</v>
      </c>
      <c r="AA417" s="4154"/>
      <c r="AB417" s="3713" t="s">
        <v>1621</v>
      </c>
      <c r="AC417" s="3711" t="s">
        <v>1880</v>
      </c>
      <c r="AD417" s="4154">
        <v>1.5345</v>
      </c>
      <c r="AE417" s="4154">
        <f t="shared" si="212"/>
        <v>10753.776</v>
      </c>
      <c r="AF417" s="3726" t="s">
        <v>2056</v>
      </c>
      <c r="AG417" s="3726"/>
      <c r="AH417" s="4422"/>
      <c r="AI417" s="3708">
        <f t="shared" si="224"/>
        <v>7008</v>
      </c>
      <c r="AJ417" s="4422"/>
      <c r="AK417" s="3708"/>
      <c r="AL417" s="3708"/>
      <c r="AM417" s="4154"/>
      <c r="AN417" s="907"/>
      <c r="AO417" s="1048">
        <f t="shared" si="216"/>
        <v>7008</v>
      </c>
      <c r="AP417" s="1048"/>
      <c r="AQ417" s="907"/>
      <c r="AR417" s="907"/>
      <c r="AS417" s="1048">
        <f t="shared" si="225"/>
        <v>7008</v>
      </c>
      <c r="AT417" s="1048"/>
      <c r="AU417" s="907"/>
      <c r="AV417" s="4922"/>
      <c r="AW417" s="4922"/>
      <c r="AX417" s="1048"/>
      <c r="AY417" s="4922"/>
      <c r="AZ417" s="4922"/>
      <c r="BA417" s="1048"/>
      <c r="BB417" s="4622"/>
      <c r="BC417" s="4922"/>
      <c r="BD417" s="4622"/>
      <c r="BE417" s="4622"/>
      <c r="BF417" s="4622"/>
      <c r="BG417" s="4622"/>
      <c r="BH417" s="1048">
        <f>J417</f>
        <v>7008</v>
      </c>
      <c r="BI417" s="4622"/>
      <c r="BJ417" s="1048"/>
      <c r="BK417" s="4415" t="s">
        <v>89</v>
      </c>
      <c r="BL417" s="4415">
        <f t="shared" si="217"/>
        <v>116.8</v>
      </c>
      <c r="BM417" s="4415">
        <f t="shared" si="218"/>
        <v>1051.2</v>
      </c>
      <c r="BN417" s="4415">
        <f t="shared" si="219"/>
        <v>1168</v>
      </c>
      <c r="BO417" s="4415">
        <f t="shared" si="220"/>
        <v>1168</v>
      </c>
      <c r="BP417" s="4415">
        <f t="shared" si="221"/>
        <v>1168</v>
      </c>
      <c r="BQ417" s="4414">
        <f t="shared" si="222"/>
        <v>1168</v>
      </c>
      <c r="BR417" s="1048">
        <f t="shared" si="223"/>
        <v>1168</v>
      </c>
      <c r="BS417" s="911"/>
      <c r="BT417" s="911"/>
      <c r="BU417" s="911"/>
      <c r="BV417" s="911"/>
      <c r="BW417" s="911"/>
      <c r="BX417" s="910"/>
      <c r="BY417" s="910"/>
      <c r="BZ417" s="3708">
        <f t="shared" si="198"/>
        <v>7008</v>
      </c>
      <c r="CA417" s="4154">
        <f t="shared" si="210"/>
        <v>0</v>
      </c>
      <c r="CB417" s="4923"/>
      <c r="CC417" s="4923"/>
      <c r="CD417" s="4323"/>
      <c r="CE417" s="4323"/>
      <c r="CF417" s="4323"/>
    </row>
    <row r="418" s="4316" customFormat="1" ht="50" customHeight="1" spans="1:84">
      <c r="A418" s="4500">
        <v>45890</v>
      </c>
      <c r="B418" s="3708" t="s">
        <v>2057</v>
      </c>
      <c r="C418" s="3708" t="s">
        <v>2058</v>
      </c>
      <c r="D418" s="4154">
        <v>4500177504</v>
      </c>
      <c r="E418" s="3708" t="s">
        <v>2059</v>
      </c>
      <c r="F418" s="4154" t="s">
        <v>2060</v>
      </c>
      <c r="G418" s="3708"/>
      <c r="H418" s="3708" t="s">
        <v>364</v>
      </c>
      <c r="I418" s="4154" t="s">
        <v>328</v>
      </c>
      <c r="J418" s="4154">
        <v>756</v>
      </c>
      <c r="K418" s="4154">
        <v>0</v>
      </c>
      <c r="L418" s="4154">
        <v>12</v>
      </c>
      <c r="M418" s="4154">
        <f t="shared" si="215"/>
        <v>63</v>
      </c>
      <c r="N418" s="4503">
        <v>45946</v>
      </c>
      <c r="O418" s="4503">
        <v>45943</v>
      </c>
      <c r="P418" s="3712"/>
      <c r="Q418" s="4154" t="s">
        <v>82</v>
      </c>
      <c r="R418" s="4157"/>
      <c r="S418" s="4157"/>
      <c r="T418" s="4157"/>
      <c r="U418" s="3726" t="s">
        <v>2061</v>
      </c>
      <c r="V418" s="3711" t="s">
        <v>1262</v>
      </c>
      <c r="W418" s="3711"/>
      <c r="X418" s="3711" t="s">
        <v>2062</v>
      </c>
      <c r="Y418" s="3711"/>
      <c r="Z418" s="3711"/>
      <c r="AA418" s="4154"/>
      <c r="AB418" s="3713" t="s">
        <v>2063</v>
      </c>
      <c r="AC418" s="3711" t="s">
        <v>380</v>
      </c>
      <c r="AD418" s="4504">
        <v>2.0947</v>
      </c>
      <c r="AE418" s="4154">
        <f t="shared" si="212"/>
        <v>1583.5932</v>
      </c>
      <c r="AF418" s="3726" t="s">
        <v>2064</v>
      </c>
      <c r="AG418" s="3726"/>
      <c r="AH418" s="905"/>
      <c r="AI418" s="3708"/>
      <c r="AJ418" s="905"/>
      <c r="AK418" s="3708">
        <f>J418</f>
        <v>756</v>
      </c>
      <c r="AL418" s="3708"/>
      <c r="AM418" s="4154"/>
      <c r="AN418" s="4382"/>
      <c r="AO418" s="1048">
        <f t="shared" si="216"/>
        <v>756</v>
      </c>
      <c r="AP418" s="1048"/>
      <c r="AQ418" s="4382"/>
      <c r="AR418" s="4382"/>
      <c r="AS418" s="1048">
        <f t="shared" si="225"/>
        <v>756</v>
      </c>
      <c r="AT418" s="1048"/>
      <c r="AU418" s="4382"/>
      <c r="AV418" s="4931"/>
      <c r="AW418" s="4931"/>
      <c r="AX418" s="1048"/>
      <c r="AY418" s="4931"/>
      <c r="AZ418" s="4931"/>
      <c r="BA418" s="1048"/>
      <c r="BB418" s="4622"/>
      <c r="BC418" s="4931"/>
      <c r="BD418" s="4622"/>
      <c r="BE418" s="4622"/>
      <c r="BF418" s="4622"/>
      <c r="BG418" s="4622"/>
      <c r="BH418" s="4622"/>
      <c r="BI418" s="4622"/>
      <c r="BJ418" s="1048"/>
      <c r="BK418" s="4415" t="s">
        <v>89</v>
      </c>
      <c r="BL418" s="4415"/>
      <c r="BM418" s="4415"/>
      <c r="BN418" s="4415"/>
      <c r="BO418" s="4415">
        <f>J418</f>
        <v>756</v>
      </c>
      <c r="BP418" s="4415"/>
      <c r="BQ418" s="4414"/>
      <c r="BR418" s="1048"/>
      <c r="BS418" s="4384"/>
      <c r="BT418" s="4384"/>
      <c r="BU418" s="4384"/>
      <c r="BV418" s="4384"/>
      <c r="BW418" s="4384"/>
      <c r="BX418" s="4383"/>
      <c r="BY418" s="4383"/>
      <c r="BZ418" s="3708">
        <f t="shared" si="198"/>
        <v>756</v>
      </c>
      <c r="CA418" s="4154">
        <f t="shared" si="210"/>
        <v>0</v>
      </c>
      <c r="CB418" s="4544"/>
      <c r="CC418" s="4544"/>
      <c r="CD418" s="4323"/>
      <c r="CE418" s="4323"/>
      <c r="CF418" s="4323"/>
    </row>
    <row r="419" s="4316" customFormat="1" ht="50" customHeight="1" spans="1:84">
      <c r="A419" s="4500">
        <v>45902</v>
      </c>
      <c r="B419" s="4501" t="s">
        <v>1641</v>
      </c>
      <c r="C419" s="3708" t="s">
        <v>396</v>
      </c>
      <c r="D419" s="4502">
        <v>4500178531</v>
      </c>
      <c r="E419" s="3708" t="s">
        <v>2065</v>
      </c>
      <c r="F419" s="4502" t="s">
        <v>2066</v>
      </c>
      <c r="G419" s="3708"/>
      <c r="H419" s="3708" t="s">
        <v>1020</v>
      </c>
      <c r="I419" s="3699" t="s">
        <v>328</v>
      </c>
      <c r="J419" s="4593">
        <v>60</v>
      </c>
      <c r="K419" s="4154">
        <v>0</v>
      </c>
      <c r="L419" s="4154">
        <v>12</v>
      </c>
      <c r="M419" s="4154">
        <f t="shared" ref="M419:M424" si="226">J419/L419</f>
        <v>5</v>
      </c>
      <c r="N419" s="4503">
        <v>45950</v>
      </c>
      <c r="O419" s="4503">
        <v>45946</v>
      </c>
      <c r="P419" s="3708"/>
      <c r="Q419" s="4154" t="s">
        <v>82</v>
      </c>
      <c r="R419" s="4157"/>
      <c r="S419" s="4157"/>
      <c r="T419" s="4157"/>
      <c r="U419" s="3726" t="s">
        <v>2067</v>
      </c>
      <c r="V419" s="3711" t="s">
        <v>2068</v>
      </c>
      <c r="W419" s="3711"/>
      <c r="X419" s="3711" t="s">
        <v>1505</v>
      </c>
      <c r="Y419" s="3711"/>
      <c r="Z419" s="3711" t="s">
        <v>2069</v>
      </c>
      <c r="AA419" s="4154"/>
      <c r="AB419" s="3680" t="s">
        <v>1860</v>
      </c>
      <c r="AC419" s="4154" t="s">
        <v>369</v>
      </c>
      <c r="AD419" s="4504">
        <v>2.2104</v>
      </c>
      <c r="AE419" s="4154">
        <f t="shared" si="212"/>
        <v>132.624</v>
      </c>
      <c r="AF419" s="3726" t="s">
        <v>2070</v>
      </c>
      <c r="AG419" s="3726"/>
      <c r="AH419" s="905"/>
      <c r="AI419" s="3708"/>
      <c r="AJ419" s="905"/>
      <c r="AK419" s="4509">
        <f>J419</f>
        <v>60</v>
      </c>
      <c r="AL419" s="1048"/>
      <c r="AM419" s="1048"/>
      <c r="AN419" s="4382"/>
      <c r="AO419" s="4510">
        <f t="shared" si="216"/>
        <v>60</v>
      </c>
      <c r="AP419" s="1048"/>
      <c r="AQ419" s="4382"/>
      <c r="AR419" s="4931"/>
      <c r="AS419" s="4622"/>
      <c r="AT419" s="4510">
        <f>J419</f>
        <v>60</v>
      </c>
      <c r="AU419" s="4931"/>
      <c r="AV419" s="4931"/>
      <c r="AW419" s="4382"/>
      <c r="AX419" s="4622"/>
      <c r="AY419" s="4382"/>
      <c r="AZ419" s="4384"/>
      <c r="BA419" s="4415"/>
      <c r="BB419" s="4415"/>
      <c r="BC419" s="4384"/>
      <c r="BD419" s="4415"/>
      <c r="BE419" s="4415"/>
      <c r="BF419" s="4414"/>
      <c r="BG419" s="1048"/>
      <c r="BH419" s="4505"/>
      <c r="BI419" s="4154"/>
      <c r="BJ419" s="4323"/>
      <c r="BK419" s="4160" t="s">
        <v>89</v>
      </c>
      <c r="BL419" s="4589">
        <f>J419/59</f>
        <v>1.01694915254237</v>
      </c>
      <c r="BM419" s="4160"/>
      <c r="BN419" s="4589">
        <f>J419-BL419</f>
        <v>58.9830508474576</v>
      </c>
      <c r="BO419" s="4160"/>
      <c r="BP419" s="4160"/>
      <c r="BQ419" s="4160"/>
      <c r="BR419" s="4160"/>
      <c r="BS419" s="4409"/>
      <c r="BT419" s="4409"/>
      <c r="BU419" s="4409"/>
      <c r="BV419" s="4409"/>
      <c r="BW419" s="4409"/>
      <c r="BX419" s="4409"/>
      <c r="BY419" s="4409"/>
      <c r="BZ419" s="4562">
        <f t="shared" ref="BZ419:BZ472" si="227">SUM(BL419:BY419)</f>
        <v>60</v>
      </c>
      <c r="CA419" s="4562">
        <f t="shared" ref="CA419:CA437" si="228">J419-BZ419</f>
        <v>0</v>
      </c>
      <c r="CB419" s="4409"/>
      <c r="CC419" s="4409"/>
      <c r="CD419" s="4160"/>
      <c r="CE419" s="4160"/>
      <c r="CF419" s="4160"/>
    </row>
    <row r="420" s="4316" customFormat="1" ht="50" customHeight="1" spans="1:84">
      <c r="A420" s="4500">
        <v>45902</v>
      </c>
      <c r="B420" s="4501" t="s">
        <v>1641</v>
      </c>
      <c r="C420" s="3708" t="s">
        <v>396</v>
      </c>
      <c r="D420" s="4502">
        <v>4500178531</v>
      </c>
      <c r="E420" s="3708" t="s">
        <v>2071</v>
      </c>
      <c r="F420" s="4502" t="s">
        <v>2072</v>
      </c>
      <c r="G420" s="3708"/>
      <c r="H420" s="3708" t="s">
        <v>1020</v>
      </c>
      <c r="I420" s="3699" t="s">
        <v>328</v>
      </c>
      <c r="J420" s="4593">
        <v>60</v>
      </c>
      <c r="K420" s="4154">
        <v>0</v>
      </c>
      <c r="L420" s="4154">
        <v>12</v>
      </c>
      <c r="M420" s="4154">
        <f t="shared" si="226"/>
        <v>5</v>
      </c>
      <c r="N420" s="4503">
        <v>45950</v>
      </c>
      <c r="O420" s="4503">
        <v>45946</v>
      </c>
      <c r="P420" s="3708"/>
      <c r="Q420" s="4154" t="s">
        <v>82</v>
      </c>
      <c r="R420" s="4157"/>
      <c r="S420" s="4157"/>
      <c r="T420" s="4157"/>
      <c r="U420" s="3726" t="s">
        <v>2067</v>
      </c>
      <c r="V420" s="3711" t="s">
        <v>2068</v>
      </c>
      <c r="W420" s="3711"/>
      <c r="X420" s="3711" t="s">
        <v>1505</v>
      </c>
      <c r="Y420" s="3711"/>
      <c r="Z420" s="3711" t="s">
        <v>2069</v>
      </c>
      <c r="AA420" s="4154"/>
      <c r="AB420" s="3680" t="s">
        <v>1860</v>
      </c>
      <c r="AC420" s="4154" t="s">
        <v>369</v>
      </c>
      <c r="AD420" s="4504">
        <v>2.2104</v>
      </c>
      <c r="AE420" s="4154">
        <f t="shared" si="212"/>
        <v>132.624</v>
      </c>
      <c r="AF420" s="3726" t="s">
        <v>2070</v>
      </c>
      <c r="AG420" s="3726"/>
      <c r="AH420" s="905"/>
      <c r="AI420" s="3708"/>
      <c r="AJ420" s="905"/>
      <c r="AK420" s="4509">
        <f t="shared" ref="AK420:AK430" si="229">J420</f>
        <v>60</v>
      </c>
      <c r="AL420" s="1048"/>
      <c r="AM420" s="1048"/>
      <c r="AN420" s="4382"/>
      <c r="AO420" s="4510">
        <f t="shared" si="216"/>
        <v>60</v>
      </c>
      <c r="AP420" s="1048"/>
      <c r="AQ420" s="4382"/>
      <c r="AR420" s="4931"/>
      <c r="AS420" s="4622"/>
      <c r="AT420" s="4510">
        <f t="shared" ref="AT420:AT430" si="230">J420</f>
        <v>60</v>
      </c>
      <c r="AU420" s="4931"/>
      <c r="AV420" s="4931"/>
      <c r="AW420" s="4382"/>
      <c r="AX420" s="4622"/>
      <c r="AY420" s="4382"/>
      <c r="AZ420" s="4384"/>
      <c r="BA420" s="4415"/>
      <c r="BB420" s="4415"/>
      <c r="BC420" s="4384"/>
      <c r="BD420" s="4415"/>
      <c r="BE420" s="4415"/>
      <c r="BF420" s="4414"/>
      <c r="BG420" s="1048"/>
      <c r="BH420" s="4505"/>
      <c r="BI420" s="4154"/>
      <c r="BJ420" s="4323"/>
      <c r="BK420" s="4160" t="s">
        <v>89</v>
      </c>
      <c r="BL420" s="4562">
        <f t="shared" ref="BL419:BL424" si="231">J420/60*1</f>
        <v>1</v>
      </c>
      <c r="BM420" s="4160"/>
      <c r="BN420" s="4562">
        <f t="shared" ref="BN419:BN424" si="232">J420-BL420</f>
        <v>59</v>
      </c>
      <c r="BO420" s="4160"/>
      <c r="BP420" s="4160"/>
      <c r="BQ420" s="4160"/>
      <c r="BR420" s="4160"/>
      <c r="BS420" s="4409"/>
      <c r="BT420" s="4409"/>
      <c r="BU420" s="4409"/>
      <c r="BV420" s="4409"/>
      <c r="BW420" s="4409"/>
      <c r="BX420" s="4409"/>
      <c r="BY420" s="4409"/>
      <c r="BZ420" s="4562">
        <f t="shared" si="227"/>
        <v>60</v>
      </c>
      <c r="CA420" s="4562">
        <f t="shared" si="228"/>
        <v>0</v>
      </c>
      <c r="CB420" s="4409"/>
      <c r="CC420" s="4409"/>
      <c r="CD420" s="4160"/>
      <c r="CE420" s="4160"/>
      <c r="CF420" s="4160"/>
    </row>
    <row r="421" s="4316" customFormat="1" ht="50" customHeight="1" spans="1:84">
      <c r="A421" s="4500">
        <v>45902</v>
      </c>
      <c r="B421" s="4501" t="s">
        <v>1641</v>
      </c>
      <c r="C421" s="3708" t="s">
        <v>396</v>
      </c>
      <c r="D421" s="4502">
        <v>4500178531</v>
      </c>
      <c r="E421" s="3708" t="s">
        <v>2073</v>
      </c>
      <c r="F421" s="4502" t="s">
        <v>2074</v>
      </c>
      <c r="G421" s="3708"/>
      <c r="H421" s="3708" t="s">
        <v>1020</v>
      </c>
      <c r="I421" s="3699" t="s">
        <v>328</v>
      </c>
      <c r="J421" s="4593">
        <v>60</v>
      </c>
      <c r="K421" s="4154">
        <v>0</v>
      </c>
      <c r="L421" s="4154">
        <v>12</v>
      </c>
      <c r="M421" s="4154">
        <f t="shared" si="226"/>
        <v>5</v>
      </c>
      <c r="N421" s="4503">
        <v>45950</v>
      </c>
      <c r="O421" s="4503">
        <v>45946</v>
      </c>
      <c r="P421" s="3708"/>
      <c r="Q421" s="4154" t="s">
        <v>82</v>
      </c>
      <c r="R421" s="4157"/>
      <c r="S421" s="4157"/>
      <c r="T421" s="4157"/>
      <c r="U421" s="3726" t="s">
        <v>2067</v>
      </c>
      <c r="V421" s="3711" t="s">
        <v>2068</v>
      </c>
      <c r="W421" s="3711"/>
      <c r="X421" s="3711" t="s">
        <v>1505</v>
      </c>
      <c r="Y421" s="3711"/>
      <c r="Z421" s="3711" t="s">
        <v>2069</v>
      </c>
      <c r="AA421" s="4154"/>
      <c r="AB421" s="3680" t="s">
        <v>1860</v>
      </c>
      <c r="AC421" s="4154" t="s">
        <v>369</v>
      </c>
      <c r="AD421" s="4504">
        <v>2.2104</v>
      </c>
      <c r="AE421" s="4154">
        <f t="shared" si="212"/>
        <v>132.624</v>
      </c>
      <c r="AF421" s="3726" t="s">
        <v>2070</v>
      </c>
      <c r="AG421" s="3726"/>
      <c r="AH421" s="905"/>
      <c r="AI421" s="3708"/>
      <c r="AJ421" s="905"/>
      <c r="AK421" s="4509">
        <f t="shared" si="229"/>
        <v>60</v>
      </c>
      <c r="AL421" s="1048"/>
      <c r="AM421" s="1048"/>
      <c r="AN421" s="4382"/>
      <c r="AO421" s="4510">
        <f t="shared" si="216"/>
        <v>60</v>
      </c>
      <c r="AP421" s="1048"/>
      <c r="AQ421" s="4382"/>
      <c r="AR421" s="4931"/>
      <c r="AS421" s="4622"/>
      <c r="AT421" s="4510">
        <f t="shared" si="230"/>
        <v>60</v>
      </c>
      <c r="AU421" s="4931"/>
      <c r="AV421" s="4931"/>
      <c r="AW421" s="4382"/>
      <c r="AX421" s="4622"/>
      <c r="AY421" s="4382"/>
      <c r="AZ421" s="4384"/>
      <c r="BA421" s="4415"/>
      <c r="BB421" s="4415"/>
      <c r="BC421" s="4384"/>
      <c r="BD421" s="4415"/>
      <c r="BE421" s="4415"/>
      <c r="BF421" s="4414"/>
      <c r="BG421" s="1048"/>
      <c r="BH421" s="4505"/>
      <c r="BI421" s="4154"/>
      <c r="BJ421" s="4323"/>
      <c r="BK421" s="4160" t="s">
        <v>89</v>
      </c>
      <c r="BL421" s="4562">
        <f t="shared" si="231"/>
        <v>1</v>
      </c>
      <c r="BM421" s="4160"/>
      <c r="BN421" s="4562">
        <f t="shared" si="232"/>
        <v>59</v>
      </c>
      <c r="BO421" s="4160"/>
      <c r="BP421" s="4160"/>
      <c r="BQ421" s="4160"/>
      <c r="BR421" s="4160"/>
      <c r="BS421" s="4409"/>
      <c r="BT421" s="4409"/>
      <c r="BU421" s="4409"/>
      <c r="BV421" s="4409"/>
      <c r="BW421" s="4409"/>
      <c r="BX421" s="4409"/>
      <c r="BY421" s="4409"/>
      <c r="BZ421" s="4562">
        <f t="shared" si="227"/>
        <v>60</v>
      </c>
      <c r="CA421" s="4562">
        <f t="shared" si="228"/>
        <v>0</v>
      </c>
      <c r="CB421" s="4409"/>
      <c r="CC421" s="4409"/>
      <c r="CD421" s="4160"/>
      <c r="CE421" s="4160"/>
      <c r="CF421" s="4160"/>
    </row>
    <row r="422" s="4316" customFormat="1" ht="50" customHeight="1" spans="1:84">
      <c r="A422" s="4500">
        <v>45902</v>
      </c>
      <c r="B422" s="4501" t="s">
        <v>1641</v>
      </c>
      <c r="C422" s="3708" t="s">
        <v>396</v>
      </c>
      <c r="D422" s="4502">
        <v>4500178531</v>
      </c>
      <c r="E422" s="3708" t="s">
        <v>2075</v>
      </c>
      <c r="F422" s="4502" t="s">
        <v>2076</v>
      </c>
      <c r="G422" s="3708"/>
      <c r="H422" s="3708" t="s">
        <v>1020</v>
      </c>
      <c r="I422" s="3699" t="s">
        <v>328</v>
      </c>
      <c r="J422" s="4593">
        <v>36</v>
      </c>
      <c r="K422" s="4154">
        <v>0</v>
      </c>
      <c r="L422" s="4154">
        <v>12</v>
      </c>
      <c r="M422" s="4154">
        <f t="shared" si="226"/>
        <v>3</v>
      </c>
      <c r="N422" s="4503">
        <v>45950</v>
      </c>
      <c r="O422" s="4503">
        <v>45946</v>
      </c>
      <c r="P422" s="3708"/>
      <c r="Q422" s="4154" t="s">
        <v>82</v>
      </c>
      <c r="R422" s="4157"/>
      <c r="S422" s="4157"/>
      <c r="T422" s="4157"/>
      <c r="U422" s="3726" t="s">
        <v>2067</v>
      </c>
      <c r="V422" s="3711" t="s">
        <v>2068</v>
      </c>
      <c r="W422" s="3711"/>
      <c r="X422" s="3711" t="s">
        <v>1505</v>
      </c>
      <c r="Y422" s="3711"/>
      <c r="Z422" s="3711" t="s">
        <v>2069</v>
      </c>
      <c r="AA422" s="4154"/>
      <c r="AB422" s="3680" t="s">
        <v>1860</v>
      </c>
      <c r="AC422" s="4154" t="s">
        <v>369</v>
      </c>
      <c r="AD422" s="4504">
        <v>2.2104</v>
      </c>
      <c r="AE422" s="4154">
        <f t="shared" si="212"/>
        <v>79.5744</v>
      </c>
      <c r="AF422" s="3726" t="s">
        <v>2070</v>
      </c>
      <c r="AG422" s="3726"/>
      <c r="AH422" s="905"/>
      <c r="AI422" s="3708"/>
      <c r="AJ422" s="905"/>
      <c r="AK422" s="4509">
        <f t="shared" si="229"/>
        <v>36</v>
      </c>
      <c r="AL422" s="1048"/>
      <c r="AM422" s="1048"/>
      <c r="AN422" s="4382"/>
      <c r="AO422" s="4510">
        <f t="shared" si="216"/>
        <v>36</v>
      </c>
      <c r="AP422" s="1048"/>
      <c r="AQ422" s="4382"/>
      <c r="AR422" s="4931"/>
      <c r="AS422" s="4622"/>
      <c r="AT422" s="4510">
        <f t="shared" si="230"/>
        <v>36</v>
      </c>
      <c r="AU422" s="4931"/>
      <c r="AV422" s="4931"/>
      <c r="AW422" s="4382"/>
      <c r="AX422" s="4622"/>
      <c r="AY422" s="4382"/>
      <c r="AZ422" s="4384"/>
      <c r="BA422" s="4415"/>
      <c r="BB422" s="4415"/>
      <c r="BC422" s="4384"/>
      <c r="BD422" s="4415"/>
      <c r="BE422" s="4415"/>
      <c r="BF422" s="4414"/>
      <c r="BG422" s="1048"/>
      <c r="BH422" s="4505"/>
      <c r="BI422" s="4154"/>
      <c r="BJ422" s="4323"/>
      <c r="BK422" s="4160" t="s">
        <v>89</v>
      </c>
      <c r="BL422" s="4589">
        <f t="shared" si="231"/>
        <v>0.6</v>
      </c>
      <c r="BM422" s="4160"/>
      <c r="BN422" s="4589">
        <f t="shared" si="232"/>
        <v>35.4</v>
      </c>
      <c r="BO422" s="4160"/>
      <c r="BP422" s="4160"/>
      <c r="BQ422" s="4160"/>
      <c r="BR422" s="4160"/>
      <c r="BS422" s="4409"/>
      <c r="BT422" s="4409"/>
      <c r="BU422" s="4409"/>
      <c r="BV422" s="4409"/>
      <c r="BW422" s="4409"/>
      <c r="BX422" s="4409"/>
      <c r="BY422" s="4409"/>
      <c r="BZ422" s="4562">
        <f t="shared" si="227"/>
        <v>36</v>
      </c>
      <c r="CA422" s="4562">
        <f t="shared" si="228"/>
        <v>0</v>
      </c>
      <c r="CB422" s="4409"/>
      <c r="CC422" s="4409"/>
      <c r="CD422" s="4160"/>
      <c r="CE422" s="4160"/>
      <c r="CF422" s="4160"/>
    </row>
    <row r="423" s="4316" customFormat="1" ht="50" customHeight="1" spans="1:84">
      <c r="A423" s="4500">
        <v>45902</v>
      </c>
      <c r="B423" s="4501" t="s">
        <v>1641</v>
      </c>
      <c r="C423" s="3708" t="s">
        <v>396</v>
      </c>
      <c r="D423" s="4502">
        <v>4500178531</v>
      </c>
      <c r="E423" s="3708" t="s">
        <v>2077</v>
      </c>
      <c r="F423" s="4502" t="s">
        <v>2078</v>
      </c>
      <c r="G423" s="3708"/>
      <c r="H423" s="3708" t="s">
        <v>1020</v>
      </c>
      <c r="I423" s="3699" t="s">
        <v>328</v>
      </c>
      <c r="J423" s="4593">
        <v>60</v>
      </c>
      <c r="K423" s="4154">
        <v>0</v>
      </c>
      <c r="L423" s="4154">
        <v>12</v>
      </c>
      <c r="M423" s="4154">
        <f t="shared" si="226"/>
        <v>5</v>
      </c>
      <c r="N423" s="4503">
        <v>45950</v>
      </c>
      <c r="O423" s="4503">
        <v>45946</v>
      </c>
      <c r="P423" s="3708"/>
      <c r="Q423" s="4154" t="s">
        <v>82</v>
      </c>
      <c r="R423" s="4157"/>
      <c r="S423" s="4157"/>
      <c r="T423" s="4157"/>
      <c r="U423" s="3726" t="s">
        <v>2067</v>
      </c>
      <c r="V423" s="3711" t="s">
        <v>2068</v>
      </c>
      <c r="W423" s="3711"/>
      <c r="X423" s="3711" t="s">
        <v>1505</v>
      </c>
      <c r="Y423" s="3711"/>
      <c r="Z423" s="3711" t="s">
        <v>2069</v>
      </c>
      <c r="AA423" s="4154"/>
      <c r="AB423" s="3680" t="s">
        <v>1860</v>
      </c>
      <c r="AC423" s="4154" t="s">
        <v>369</v>
      </c>
      <c r="AD423" s="4504">
        <v>2.2104</v>
      </c>
      <c r="AE423" s="4154">
        <f t="shared" si="212"/>
        <v>132.624</v>
      </c>
      <c r="AF423" s="3726" t="s">
        <v>2070</v>
      </c>
      <c r="AG423" s="3726"/>
      <c r="AH423" s="905"/>
      <c r="AI423" s="3708"/>
      <c r="AJ423" s="905"/>
      <c r="AK423" s="4509">
        <f t="shared" si="229"/>
        <v>60</v>
      </c>
      <c r="AL423" s="1048"/>
      <c r="AM423" s="1048"/>
      <c r="AN423" s="4382"/>
      <c r="AO423" s="4510">
        <f t="shared" si="216"/>
        <v>60</v>
      </c>
      <c r="AP423" s="1048"/>
      <c r="AQ423" s="4382"/>
      <c r="AR423" s="4931"/>
      <c r="AS423" s="4622"/>
      <c r="AT423" s="4510">
        <f t="shared" si="230"/>
        <v>60</v>
      </c>
      <c r="AU423" s="4931"/>
      <c r="AV423" s="4931"/>
      <c r="AW423" s="4382"/>
      <c r="AX423" s="4622"/>
      <c r="AY423" s="4382"/>
      <c r="AZ423" s="4384"/>
      <c r="BA423" s="4415"/>
      <c r="BB423" s="4415"/>
      <c r="BC423" s="4384"/>
      <c r="BD423" s="4415"/>
      <c r="BE423" s="4415"/>
      <c r="BF423" s="4414"/>
      <c r="BG423" s="1048"/>
      <c r="BH423" s="4505"/>
      <c r="BI423" s="4154"/>
      <c r="BJ423" s="4323"/>
      <c r="BK423" s="4160" t="s">
        <v>89</v>
      </c>
      <c r="BL423" s="4562">
        <f t="shared" si="231"/>
        <v>1</v>
      </c>
      <c r="BM423" s="4160"/>
      <c r="BN423" s="4562">
        <f t="shared" si="232"/>
        <v>59</v>
      </c>
      <c r="BO423" s="4160"/>
      <c r="BP423" s="4160"/>
      <c r="BQ423" s="4160"/>
      <c r="BR423" s="4160"/>
      <c r="BS423" s="4409"/>
      <c r="BT423" s="4409"/>
      <c r="BU423" s="4409"/>
      <c r="BV423" s="4409"/>
      <c r="BW423" s="4409"/>
      <c r="BX423" s="4409"/>
      <c r="BY423" s="4409"/>
      <c r="BZ423" s="4562">
        <f t="shared" si="227"/>
        <v>60</v>
      </c>
      <c r="CA423" s="4562">
        <f t="shared" si="228"/>
        <v>0</v>
      </c>
      <c r="CB423" s="4409"/>
      <c r="CC423" s="4409"/>
      <c r="CD423" s="4160"/>
      <c r="CE423" s="4160"/>
      <c r="CF423" s="4160"/>
    </row>
    <row r="424" s="4316" customFormat="1" ht="50" customHeight="1" spans="1:84">
      <c r="A424" s="4500">
        <v>45902</v>
      </c>
      <c r="B424" s="4501" t="s">
        <v>1641</v>
      </c>
      <c r="C424" s="3708" t="s">
        <v>396</v>
      </c>
      <c r="D424" s="4502">
        <v>4500178531</v>
      </c>
      <c r="E424" s="3708" t="s">
        <v>2079</v>
      </c>
      <c r="F424" s="4502" t="s">
        <v>2080</v>
      </c>
      <c r="G424" s="3708"/>
      <c r="H424" s="3708" t="s">
        <v>1020</v>
      </c>
      <c r="I424" s="3699" t="s">
        <v>328</v>
      </c>
      <c r="J424" s="4593">
        <v>72</v>
      </c>
      <c r="K424" s="4154">
        <v>0</v>
      </c>
      <c r="L424" s="4154">
        <v>12</v>
      </c>
      <c r="M424" s="4154">
        <f t="shared" si="226"/>
        <v>6</v>
      </c>
      <c r="N424" s="4503">
        <v>45950</v>
      </c>
      <c r="O424" s="4503">
        <v>45946</v>
      </c>
      <c r="P424" s="3708"/>
      <c r="Q424" s="4154" t="s">
        <v>82</v>
      </c>
      <c r="R424" s="4157"/>
      <c r="S424" s="4157"/>
      <c r="T424" s="4157"/>
      <c r="U424" s="3726" t="s">
        <v>2067</v>
      </c>
      <c r="V424" s="3711" t="s">
        <v>2068</v>
      </c>
      <c r="W424" s="3711"/>
      <c r="X424" s="3711" t="s">
        <v>1505</v>
      </c>
      <c r="Y424" s="3711"/>
      <c r="Z424" s="3711" t="s">
        <v>2069</v>
      </c>
      <c r="AA424" s="4154"/>
      <c r="AB424" s="3680" t="s">
        <v>1860</v>
      </c>
      <c r="AC424" s="4154" t="s">
        <v>369</v>
      </c>
      <c r="AD424" s="4504">
        <v>2.2104</v>
      </c>
      <c r="AE424" s="4154">
        <f t="shared" si="212"/>
        <v>159.1488</v>
      </c>
      <c r="AF424" s="3726" t="s">
        <v>2070</v>
      </c>
      <c r="AG424" s="3726"/>
      <c r="AH424" s="905"/>
      <c r="AI424" s="3708"/>
      <c r="AJ424" s="905"/>
      <c r="AK424" s="4509">
        <f t="shared" si="229"/>
        <v>72</v>
      </c>
      <c r="AL424" s="1048"/>
      <c r="AM424" s="1048"/>
      <c r="AN424" s="4382"/>
      <c r="AO424" s="4510">
        <f t="shared" si="216"/>
        <v>72</v>
      </c>
      <c r="AP424" s="1048"/>
      <c r="AQ424" s="4382"/>
      <c r="AR424" s="4931"/>
      <c r="AS424" s="4622"/>
      <c r="AT424" s="4510">
        <f t="shared" si="230"/>
        <v>72</v>
      </c>
      <c r="AU424" s="4931"/>
      <c r="AV424" s="4931"/>
      <c r="AW424" s="4382"/>
      <c r="AX424" s="4622"/>
      <c r="AY424" s="4382"/>
      <c r="AZ424" s="4384"/>
      <c r="BA424" s="4415"/>
      <c r="BB424" s="4415"/>
      <c r="BC424" s="4384"/>
      <c r="BD424" s="4415"/>
      <c r="BE424" s="4415"/>
      <c r="BF424" s="4414"/>
      <c r="BG424" s="1048"/>
      <c r="BH424" s="4505"/>
      <c r="BI424" s="4154"/>
      <c r="BJ424" s="4323"/>
      <c r="BK424" s="4160" t="s">
        <v>89</v>
      </c>
      <c r="BL424" s="4589">
        <f>J424/59*1</f>
        <v>1.22033898305085</v>
      </c>
      <c r="BM424" s="4562"/>
      <c r="BN424" s="4589">
        <f t="shared" si="232"/>
        <v>70.7796610169491</v>
      </c>
      <c r="BO424" s="4160"/>
      <c r="BP424" s="4160"/>
      <c r="BQ424" s="4160"/>
      <c r="BR424" s="4160"/>
      <c r="BS424" s="4409"/>
      <c r="BT424" s="4409"/>
      <c r="BU424" s="4409"/>
      <c r="BV424" s="4409"/>
      <c r="BW424" s="4409"/>
      <c r="BX424" s="4409"/>
      <c r="BY424" s="4409"/>
      <c r="BZ424" s="4562">
        <f t="shared" si="227"/>
        <v>72</v>
      </c>
      <c r="CA424" s="4562">
        <f t="shared" si="228"/>
        <v>0</v>
      </c>
      <c r="CB424" s="4409"/>
      <c r="CC424" s="4409"/>
      <c r="CD424" s="4160"/>
      <c r="CE424" s="4160"/>
      <c r="CF424" s="4160"/>
    </row>
    <row r="425" s="4316" customFormat="1" ht="50" customHeight="1" spans="1:84">
      <c r="A425" s="4500">
        <v>45902</v>
      </c>
      <c r="B425" s="4501" t="s">
        <v>1641</v>
      </c>
      <c r="C425" s="3708" t="s">
        <v>396</v>
      </c>
      <c r="D425" s="4502">
        <v>4500178531</v>
      </c>
      <c r="E425" s="3708" t="s">
        <v>2081</v>
      </c>
      <c r="F425" s="4502" t="s">
        <v>2082</v>
      </c>
      <c r="G425" s="3708"/>
      <c r="H425" s="3708" t="s">
        <v>1033</v>
      </c>
      <c r="I425" s="3699" t="s">
        <v>328</v>
      </c>
      <c r="J425" s="4593">
        <v>12</v>
      </c>
      <c r="K425" s="4154">
        <v>0</v>
      </c>
      <c r="L425" s="4154">
        <v>12</v>
      </c>
      <c r="M425" s="4154">
        <v>1</v>
      </c>
      <c r="N425" s="4503">
        <v>45950</v>
      </c>
      <c r="O425" s="4503">
        <v>45946</v>
      </c>
      <c r="P425" s="3712"/>
      <c r="Q425" s="4154" t="s">
        <v>82</v>
      </c>
      <c r="R425" s="4157"/>
      <c r="S425" s="4157"/>
      <c r="T425" s="4157"/>
      <c r="U425" s="3726" t="s">
        <v>2067</v>
      </c>
      <c r="V425" s="3711" t="s">
        <v>2068</v>
      </c>
      <c r="W425" s="3711"/>
      <c r="X425" s="3711" t="s">
        <v>1505</v>
      </c>
      <c r="Y425" s="3711"/>
      <c r="Z425" s="3711" t="s">
        <v>2069</v>
      </c>
      <c r="AA425" s="4154"/>
      <c r="AB425" s="3680" t="s">
        <v>2083</v>
      </c>
      <c r="AC425" s="4154" t="s">
        <v>369</v>
      </c>
      <c r="AD425" s="4504">
        <v>2.2104</v>
      </c>
      <c r="AE425" s="4154">
        <f t="shared" si="212"/>
        <v>26.5248</v>
      </c>
      <c r="AF425" s="3726" t="s">
        <v>2070</v>
      </c>
      <c r="AG425" s="3726"/>
      <c r="AH425" s="905"/>
      <c r="AI425" s="3708"/>
      <c r="AJ425" s="905"/>
      <c r="AK425" s="4509">
        <f t="shared" si="229"/>
        <v>12</v>
      </c>
      <c r="AL425" s="1048"/>
      <c r="AM425" s="1048"/>
      <c r="AN425" s="4382"/>
      <c r="AO425" s="4510">
        <f t="shared" si="216"/>
        <v>12</v>
      </c>
      <c r="AP425" s="1048"/>
      <c r="AQ425" s="4382"/>
      <c r="AR425" s="4931"/>
      <c r="AS425" s="4622"/>
      <c r="AT425" s="4510">
        <f t="shared" si="230"/>
        <v>12</v>
      </c>
      <c r="AU425" s="4931"/>
      <c r="AV425" s="4931"/>
      <c r="AW425" s="4382"/>
      <c r="AX425" s="4622"/>
      <c r="AY425" s="4382"/>
      <c r="AZ425" s="4384"/>
      <c r="BA425" s="4415"/>
      <c r="BB425" s="4415"/>
      <c r="BC425" s="4384"/>
      <c r="BD425" s="4415"/>
      <c r="BE425" s="4415"/>
      <c r="BF425" s="4414"/>
      <c r="BG425" s="1048"/>
      <c r="BH425" s="4505"/>
      <c r="BI425" s="4154"/>
      <c r="BJ425" s="4323"/>
      <c r="BK425" s="4160" t="s">
        <v>89</v>
      </c>
      <c r="BL425" s="4589">
        <f t="shared" ref="BL425:BL434" si="233">J425/60*1</f>
        <v>0.2</v>
      </c>
      <c r="BM425" s="4562"/>
      <c r="BN425" s="4562"/>
      <c r="BO425" s="4589">
        <f t="shared" ref="BO425:BO430" si="234">J425-BL425</f>
        <v>11.8</v>
      </c>
      <c r="BP425" s="4160"/>
      <c r="BQ425" s="4160"/>
      <c r="BR425" s="4160"/>
      <c r="BS425" s="4409"/>
      <c r="BT425" s="4409"/>
      <c r="BU425" s="4409"/>
      <c r="BV425" s="4409"/>
      <c r="BW425" s="4409"/>
      <c r="BX425" s="4409"/>
      <c r="BY425" s="4409"/>
      <c r="BZ425" s="4562">
        <f t="shared" si="227"/>
        <v>12</v>
      </c>
      <c r="CA425" s="4562">
        <f t="shared" si="228"/>
        <v>0</v>
      </c>
      <c r="CB425" s="4409"/>
      <c r="CC425" s="4409"/>
      <c r="CD425" s="4160"/>
      <c r="CE425" s="4160"/>
      <c r="CF425" s="4160"/>
    </row>
    <row r="426" s="4316" customFormat="1" ht="50" customHeight="1" spans="1:84">
      <c r="A426" s="4500">
        <v>45902</v>
      </c>
      <c r="B426" s="4501" t="s">
        <v>1641</v>
      </c>
      <c r="C426" s="3708" t="s">
        <v>396</v>
      </c>
      <c r="D426" s="4502">
        <v>4500178531</v>
      </c>
      <c r="E426" s="3708" t="s">
        <v>2084</v>
      </c>
      <c r="F426" s="4502" t="s">
        <v>2085</v>
      </c>
      <c r="G426" s="3708"/>
      <c r="H426" s="3708" t="s">
        <v>1033</v>
      </c>
      <c r="I426" s="3699" t="s">
        <v>328</v>
      </c>
      <c r="J426" s="4593">
        <v>12</v>
      </c>
      <c r="K426" s="4154">
        <v>0</v>
      </c>
      <c r="L426" s="4154">
        <v>12</v>
      </c>
      <c r="M426" s="4154">
        <v>1</v>
      </c>
      <c r="N426" s="4503">
        <v>45950</v>
      </c>
      <c r="O426" s="4503">
        <v>45946</v>
      </c>
      <c r="P426" s="3712"/>
      <c r="Q426" s="4154" t="s">
        <v>82</v>
      </c>
      <c r="R426" s="4157"/>
      <c r="S426" s="4157"/>
      <c r="T426" s="4157"/>
      <c r="U426" s="3726" t="s">
        <v>2067</v>
      </c>
      <c r="V426" s="3711" t="s">
        <v>2068</v>
      </c>
      <c r="W426" s="3711"/>
      <c r="X426" s="3711" t="s">
        <v>1505</v>
      </c>
      <c r="Y426" s="3711"/>
      <c r="Z426" s="3711" t="s">
        <v>2069</v>
      </c>
      <c r="AA426" s="4154"/>
      <c r="AB426" s="3680" t="s">
        <v>2083</v>
      </c>
      <c r="AC426" s="4154" t="s">
        <v>369</v>
      </c>
      <c r="AD426" s="4504">
        <v>2.2104</v>
      </c>
      <c r="AE426" s="4154">
        <f t="shared" si="212"/>
        <v>26.5248</v>
      </c>
      <c r="AF426" s="3726" t="s">
        <v>2070</v>
      </c>
      <c r="AG426" s="3726"/>
      <c r="AH426" s="905"/>
      <c r="AI426" s="3708"/>
      <c r="AJ426" s="905"/>
      <c r="AK426" s="4509">
        <f t="shared" si="229"/>
        <v>12</v>
      </c>
      <c r="AL426" s="1048"/>
      <c r="AM426" s="1048"/>
      <c r="AN426" s="4382"/>
      <c r="AO426" s="4510">
        <f t="shared" si="216"/>
        <v>12</v>
      </c>
      <c r="AP426" s="1048"/>
      <c r="AQ426" s="4382"/>
      <c r="AR426" s="4931"/>
      <c r="AS426" s="4622"/>
      <c r="AT426" s="4510">
        <f t="shared" si="230"/>
        <v>12</v>
      </c>
      <c r="AU426" s="4931"/>
      <c r="AV426" s="4931"/>
      <c r="AW426" s="4382"/>
      <c r="AX426" s="4622"/>
      <c r="AY426" s="4382"/>
      <c r="AZ426" s="4384"/>
      <c r="BA426" s="4415"/>
      <c r="BB426" s="4415"/>
      <c r="BC426" s="4384"/>
      <c r="BD426" s="4415"/>
      <c r="BE426" s="4415"/>
      <c r="BF426" s="4414"/>
      <c r="BG426" s="1048"/>
      <c r="BH426" s="4505"/>
      <c r="BI426" s="4154"/>
      <c r="BJ426" s="4323"/>
      <c r="BK426" s="4160" t="s">
        <v>89</v>
      </c>
      <c r="BL426" s="4589">
        <f t="shared" si="233"/>
        <v>0.2</v>
      </c>
      <c r="BM426" s="4562"/>
      <c r="BN426" s="4562"/>
      <c r="BO426" s="4589">
        <f t="shared" si="234"/>
        <v>11.8</v>
      </c>
      <c r="BP426" s="4160"/>
      <c r="BQ426" s="4160"/>
      <c r="BR426" s="4160"/>
      <c r="BS426" s="4409"/>
      <c r="BT426" s="4409"/>
      <c r="BU426" s="4409"/>
      <c r="BV426" s="4409"/>
      <c r="BW426" s="4409"/>
      <c r="BX426" s="4409"/>
      <c r="BY426" s="4409"/>
      <c r="BZ426" s="4562">
        <f t="shared" si="227"/>
        <v>12</v>
      </c>
      <c r="CA426" s="4562">
        <f t="shared" si="228"/>
        <v>0</v>
      </c>
      <c r="CB426" s="4409"/>
      <c r="CC426" s="4409"/>
      <c r="CD426" s="4160"/>
      <c r="CE426" s="4160"/>
      <c r="CF426" s="4160"/>
    </row>
    <row r="427" s="4316" customFormat="1" ht="50" customHeight="1" spans="1:84">
      <c r="A427" s="4500">
        <v>45902</v>
      </c>
      <c r="B427" s="4501" t="s">
        <v>1641</v>
      </c>
      <c r="C427" s="3708" t="s">
        <v>396</v>
      </c>
      <c r="D427" s="4502">
        <v>4500178531</v>
      </c>
      <c r="E427" s="3708" t="s">
        <v>2086</v>
      </c>
      <c r="F427" s="4502" t="s">
        <v>2087</v>
      </c>
      <c r="G427" s="3708"/>
      <c r="H427" s="3708" t="s">
        <v>1033</v>
      </c>
      <c r="I427" s="3699" t="s">
        <v>328</v>
      </c>
      <c r="J427" s="4593">
        <v>12</v>
      </c>
      <c r="K427" s="4154">
        <v>0</v>
      </c>
      <c r="L427" s="4154">
        <v>12</v>
      </c>
      <c r="M427" s="4154">
        <v>1</v>
      </c>
      <c r="N427" s="4503">
        <v>45950</v>
      </c>
      <c r="O427" s="4503">
        <v>45946</v>
      </c>
      <c r="P427" s="3712"/>
      <c r="Q427" s="4154" t="s">
        <v>82</v>
      </c>
      <c r="R427" s="4157"/>
      <c r="S427" s="4157"/>
      <c r="T427" s="4157"/>
      <c r="U427" s="3726" t="s">
        <v>2067</v>
      </c>
      <c r="V427" s="3711" t="s">
        <v>2068</v>
      </c>
      <c r="W427" s="3711"/>
      <c r="X427" s="3711" t="s">
        <v>1505</v>
      </c>
      <c r="Y427" s="3711"/>
      <c r="Z427" s="3711" t="s">
        <v>2069</v>
      </c>
      <c r="AA427" s="4154"/>
      <c r="AB427" s="3680" t="s">
        <v>2083</v>
      </c>
      <c r="AC427" s="4154" t="s">
        <v>369</v>
      </c>
      <c r="AD427" s="4504">
        <v>2.2104</v>
      </c>
      <c r="AE427" s="4154">
        <f t="shared" si="212"/>
        <v>26.5248</v>
      </c>
      <c r="AF427" s="3726" t="s">
        <v>2070</v>
      </c>
      <c r="AG427" s="3726"/>
      <c r="AH427" s="905"/>
      <c r="AI427" s="3708"/>
      <c r="AJ427" s="905"/>
      <c r="AK427" s="4509">
        <f t="shared" si="229"/>
        <v>12</v>
      </c>
      <c r="AL427" s="1048"/>
      <c r="AM427" s="1048"/>
      <c r="AN427" s="4382"/>
      <c r="AO427" s="4510">
        <f t="shared" si="216"/>
        <v>12</v>
      </c>
      <c r="AP427" s="1048"/>
      <c r="AQ427" s="4382"/>
      <c r="AR427" s="4931"/>
      <c r="AS427" s="4622"/>
      <c r="AT427" s="4510">
        <f t="shared" si="230"/>
        <v>12</v>
      </c>
      <c r="AU427" s="4931"/>
      <c r="AV427" s="4931"/>
      <c r="AW427" s="4382"/>
      <c r="AX427" s="4622"/>
      <c r="AY427" s="4382"/>
      <c r="AZ427" s="4384"/>
      <c r="BA427" s="4415"/>
      <c r="BB427" s="4415"/>
      <c r="BC427" s="4384"/>
      <c r="BD427" s="4415"/>
      <c r="BE427" s="4415"/>
      <c r="BF427" s="4414"/>
      <c r="BG427" s="1048"/>
      <c r="BH427" s="4505"/>
      <c r="BI427" s="4154"/>
      <c r="BJ427" s="4323"/>
      <c r="BK427" s="4160" t="s">
        <v>89</v>
      </c>
      <c r="BL427" s="4589">
        <f t="shared" si="233"/>
        <v>0.2</v>
      </c>
      <c r="BM427" s="4562"/>
      <c r="BN427" s="4562"/>
      <c r="BO427" s="4589">
        <f t="shared" si="234"/>
        <v>11.8</v>
      </c>
      <c r="BP427" s="4160"/>
      <c r="BQ427" s="4160"/>
      <c r="BR427" s="4160"/>
      <c r="BS427" s="4409"/>
      <c r="BT427" s="4409"/>
      <c r="BU427" s="4409"/>
      <c r="BV427" s="4409"/>
      <c r="BW427" s="4409"/>
      <c r="BX427" s="4409"/>
      <c r="BY427" s="4409"/>
      <c r="BZ427" s="4562">
        <f t="shared" si="227"/>
        <v>12</v>
      </c>
      <c r="CA427" s="4562">
        <f t="shared" si="228"/>
        <v>0</v>
      </c>
      <c r="CB427" s="4409"/>
      <c r="CC427" s="4409"/>
      <c r="CD427" s="4160"/>
      <c r="CE427" s="4160"/>
      <c r="CF427" s="4160"/>
    </row>
    <row r="428" s="4316" customFormat="1" ht="50" customHeight="1" spans="1:84">
      <c r="A428" s="4500">
        <v>45902</v>
      </c>
      <c r="B428" s="4501" t="s">
        <v>1641</v>
      </c>
      <c r="C428" s="3708" t="s">
        <v>396</v>
      </c>
      <c r="D428" s="4502">
        <v>4500178531</v>
      </c>
      <c r="E428" s="3708" t="s">
        <v>2088</v>
      </c>
      <c r="F428" s="4502" t="s">
        <v>2089</v>
      </c>
      <c r="G428" s="3708"/>
      <c r="H428" s="3708" t="s">
        <v>1033</v>
      </c>
      <c r="I428" s="3699" t="s">
        <v>328</v>
      </c>
      <c r="J428" s="4593">
        <v>12</v>
      </c>
      <c r="K428" s="4154">
        <v>0</v>
      </c>
      <c r="L428" s="4154">
        <v>12</v>
      </c>
      <c r="M428" s="4154">
        <v>1</v>
      </c>
      <c r="N428" s="4503">
        <v>45950</v>
      </c>
      <c r="O428" s="4503">
        <v>45946</v>
      </c>
      <c r="P428" s="3712"/>
      <c r="Q428" s="4154" t="s">
        <v>82</v>
      </c>
      <c r="R428" s="4157"/>
      <c r="S428" s="4157"/>
      <c r="T428" s="4157"/>
      <c r="U428" s="3726" t="s">
        <v>2067</v>
      </c>
      <c r="V428" s="3711" t="s">
        <v>2068</v>
      </c>
      <c r="W428" s="3711"/>
      <c r="X428" s="3711" t="s">
        <v>1505</v>
      </c>
      <c r="Y428" s="3711"/>
      <c r="Z428" s="3711" t="s">
        <v>2069</v>
      </c>
      <c r="AA428" s="4154"/>
      <c r="AB428" s="3680" t="s">
        <v>2083</v>
      </c>
      <c r="AC428" s="4154" t="s">
        <v>369</v>
      </c>
      <c r="AD428" s="4504">
        <v>2.2104</v>
      </c>
      <c r="AE428" s="4154">
        <f t="shared" si="212"/>
        <v>26.5248</v>
      </c>
      <c r="AF428" s="3726" t="s">
        <v>2070</v>
      </c>
      <c r="AG428" s="3726"/>
      <c r="AH428" s="905"/>
      <c r="AI428" s="3708"/>
      <c r="AJ428" s="905"/>
      <c r="AK428" s="4509">
        <f t="shared" si="229"/>
        <v>12</v>
      </c>
      <c r="AL428" s="1048"/>
      <c r="AM428" s="1048"/>
      <c r="AN428" s="4382"/>
      <c r="AO428" s="4510">
        <f t="shared" si="216"/>
        <v>12</v>
      </c>
      <c r="AP428" s="1048"/>
      <c r="AQ428" s="4382"/>
      <c r="AR428" s="4931"/>
      <c r="AS428" s="4622"/>
      <c r="AT428" s="4510">
        <f t="shared" si="230"/>
        <v>12</v>
      </c>
      <c r="AU428" s="4931"/>
      <c r="AV428" s="4931"/>
      <c r="AW428" s="4382"/>
      <c r="AX428" s="4622"/>
      <c r="AY428" s="4382"/>
      <c r="AZ428" s="4384"/>
      <c r="BA428" s="4415"/>
      <c r="BB428" s="4415"/>
      <c r="BC428" s="4384"/>
      <c r="BD428" s="4415"/>
      <c r="BE428" s="4415"/>
      <c r="BF428" s="4414"/>
      <c r="BG428" s="1048"/>
      <c r="BH428" s="4505"/>
      <c r="BI428" s="4154"/>
      <c r="BJ428" s="4323"/>
      <c r="BK428" s="4160" t="s">
        <v>89</v>
      </c>
      <c r="BL428" s="4589">
        <f t="shared" si="233"/>
        <v>0.2</v>
      </c>
      <c r="BM428" s="4562"/>
      <c r="BN428" s="4562"/>
      <c r="BO428" s="4589">
        <f t="shared" si="234"/>
        <v>11.8</v>
      </c>
      <c r="BP428" s="4160"/>
      <c r="BQ428" s="4160"/>
      <c r="BR428" s="4160"/>
      <c r="BS428" s="4409"/>
      <c r="BT428" s="4409"/>
      <c r="BU428" s="4409"/>
      <c r="BV428" s="4409"/>
      <c r="BW428" s="4409"/>
      <c r="BX428" s="4409"/>
      <c r="BY428" s="4409"/>
      <c r="BZ428" s="4562">
        <f t="shared" si="227"/>
        <v>12</v>
      </c>
      <c r="CA428" s="4562">
        <f t="shared" si="228"/>
        <v>0</v>
      </c>
      <c r="CB428" s="4409"/>
      <c r="CC428" s="4409"/>
      <c r="CD428" s="4160"/>
      <c r="CE428" s="4160"/>
      <c r="CF428" s="4160"/>
    </row>
    <row r="429" s="4316" customFormat="1" ht="50" customHeight="1" spans="1:84">
      <c r="A429" s="4500">
        <v>45902</v>
      </c>
      <c r="B429" s="4501" t="s">
        <v>1641</v>
      </c>
      <c r="C429" s="3708" t="s">
        <v>396</v>
      </c>
      <c r="D429" s="4502">
        <v>4500178531</v>
      </c>
      <c r="E429" s="3708" t="s">
        <v>2090</v>
      </c>
      <c r="F429" s="4502" t="s">
        <v>2091</v>
      </c>
      <c r="G429" s="3708"/>
      <c r="H429" s="3708" t="s">
        <v>1033</v>
      </c>
      <c r="I429" s="3699" t="s">
        <v>328</v>
      </c>
      <c r="J429" s="4593">
        <v>12</v>
      </c>
      <c r="K429" s="4154">
        <v>0</v>
      </c>
      <c r="L429" s="4154">
        <v>12</v>
      </c>
      <c r="M429" s="4154">
        <v>1</v>
      </c>
      <c r="N429" s="4503">
        <v>45950</v>
      </c>
      <c r="O429" s="4503">
        <v>45946</v>
      </c>
      <c r="P429" s="3712"/>
      <c r="Q429" s="4154" t="s">
        <v>82</v>
      </c>
      <c r="R429" s="4157"/>
      <c r="S429" s="4157"/>
      <c r="T429" s="4157"/>
      <c r="U429" s="3726" t="s">
        <v>2067</v>
      </c>
      <c r="V429" s="3711" t="s">
        <v>2068</v>
      </c>
      <c r="W429" s="3711"/>
      <c r="X429" s="3711" t="s">
        <v>1505</v>
      </c>
      <c r="Y429" s="3711"/>
      <c r="Z429" s="3711" t="s">
        <v>2069</v>
      </c>
      <c r="AA429" s="4154"/>
      <c r="AB429" s="3680" t="s">
        <v>2083</v>
      </c>
      <c r="AC429" s="4154" t="s">
        <v>369</v>
      </c>
      <c r="AD429" s="4504">
        <v>2.2104</v>
      </c>
      <c r="AE429" s="4154">
        <f t="shared" si="212"/>
        <v>26.5248</v>
      </c>
      <c r="AF429" s="3726" t="s">
        <v>2070</v>
      </c>
      <c r="AG429" s="3726"/>
      <c r="AH429" s="905"/>
      <c r="AI429" s="3708"/>
      <c r="AJ429" s="905"/>
      <c r="AK429" s="4509">
        <f t="shared" si="229"/>
        <v>12</v>
      </c>
      <c r="AL429" s="1048"/>
      <c r="AM429" s="1048"/>
      <c r="AN429" s="4382"/>
      <c r="AO429" s="4510">
        <f t="shared" si="216"/>
        <v>12</v>
      </c>
      <c r="AP429" s="1048"/>
      <c r="AQ429" s="4382"/>
      <c r="AR429" s="4931"/>
      <c r="AS429" s="4622"/>
      <c r="AT429" s="4510">
        <f t="shared" si="230"/>
        <v>12</v>
      </c>
      <c r="AU429" s="4931"/>
      <c r="AV429" s="4931"/>
      <c r="AW429" s="4382"/>
      <c r="AX429" s="4622"/>
      <c r="AY429" s="4382"/>
      <c r="AZ429" s="4384"/>
      <c r="BA429" s="4415"/>
      <c r="BB429" s="4415"/>
      <c r="BC429" s="4384"/>
      <c r="BD429" s="4415"/>
      <c r="BE429" s="4415"/>
      <c r="BF429" s="4414"/>
      <c r="BG429" s="1048"/>
      <c r="BH429" s="4505"/>
      <c r="BI429" s="4154"/>
      <c r="BJ429" s="4323"/>
      <c r="BK429" s="4160" t="s">
        <v>89</v>
      </c>
      <c r="BL429" s="4589">
        <f t="shared" si="233"/>
        <v>0.2</v>
      </c>
      <c r="BM429" s="4562"/>
      <c r="BN429" s="4562"/>
      <c r="BO429" s="4589">
        <f t="shared" si="234"/>
        <v>11.8</v>
      </c>
      <c r="BP429" s="4160"/>
      <c r="BQ429" s="4160"/>
      <c r="BR429" s="4160"/>
      <c r="BS429" s="4409"/>
      <c r="BT429" s="4409"/>
      <c r="BU429" s="4409"/>
      <c r="BV429" s="4409"/>
      <c r="BW429" s="4409"/>
      <c r="BX429" s="4409"/>
      <c r="BY429" s="4409"/>
      <c r="BZ429" s="4562">
        <f t="shared" si="227"/>
        <v>12</v>
      </c>
      <c r="CA429" s="4562">
        <f t="shared" si="228"/>
        <v>0</v>
      </c>
      <c r="CB429" s="4409"/>
      <c r="CC429" s="4409"/>
      <c r="CD429" s="4160"/>
      <c r="CE429" s="4160"/>
      <c r="CF429" s="4160"/>
    </row>
    <row r="430" s="4316" customFormat="1" ht="50" customHeight="1" spans="1:84">
      <c r="A430" s="4500">
        <v>45902</v>
      </c>
      <c r="B430" s="4501" t="s">
        <v>1641</v>
      </c>
      <c r="C430" s="3708" t="s">
        <v>396</v>
      </c>
      <c r="D430" s="4502">
        <v>4500178531</v>
      </c>
      <c r="E430" s="3708" t="s">
        <v>2092</v>
      </c>
      <c r="F430" s="4502" t="s">
        <v>2093</v>
      </c>
      <c r="G430" s="3708"/>
      <c r="H430" s="3708" t="s">
        <v>1033</v>
      </c>
      <c r="I430" s="3699" t="s">
        <v>328</v>
      </c>
      <c r="J430" s="4593">
        <v>12</v>
      </c>
      <c r="K430" s="4154">
        <v>0</v>
      </c>
      <c r="L430" s="4154">
        <v>12</v>
      </c>
      <c r="M430" s="4154">
        <v>1</v>
      </c>
      <c r="N430" s="4503">
        <v>45950</v>
      </c>
      <c r="O430" s="4503">
        <v>45946</v>
      </c>
      <c r="P430" s="3712"/>
      <c r="Q430" s="4154" t="s">
        <v>82</v>
      </c>
      <c r="R430" s="4157"/>
      <c r="S430" s="4157"/>
      <c r="T430" s="4157"/>
      <c r="U430" s="3726" t="s">
        <v>2067</v>
      </c>
      <c r="V430" s="3711" t="s">
        <v>2068</v>
      </c>
      <c r="W430" s="3711"/>
      <c r="X430" s="3711" t="s">
        <v>1505</v>
      </c>
      <c r="Y430" s="3711"/>
      <c r="Z430" s="3711" t="s">
        <v>2069</v>
      </c>
      <c r="AA430" s="4154"/>
      <c r="AB430" s="3680" t="s">
        <v>2083</v>
      </c>
      <c r="AC430" s="4154" t="s">
        <v>369</v>
      </c>
      <c r="AD430" s="4504">
        <v>2.2104</v>
      </c>
      <c r="AE430" s="4154">
        <f t="shared" si="212"/>
        <v>26.5248</v>
      </c>
      <c r="AF430" s="3726" t="s">
        <v>2070</v>
      </c>
      <c r="AG430" s="3726"/>
      <c r="AH430" s="905"/>
      <c r="AI430" s="3708"/>
      <c r="AJ430" s="905"/>
      <c r="AK430" s="4509">
        <f t="shared" si="229"/>
        <v>12</v>
      </c>
      <c r="AL430" s="1048"/>
      <c r="AM430" s="1048"/>
      <c r="AN430" s="4382"/>
      <c r="AO430" s="4510">
        <f t="shared" si="216"/>
        <v>12</v>
      </c>
      <c r="AP430" s="1048"/>
      <c r="AQ430" s="4382"/>
      <c r="AR430" s="4931"/>
      <c r="AS430" s="4622"/>
      <c r="AT430" s="4510">
        <f t="shared" si="230"/>
        <v>12</v>
      </c>
      <c r="AU430" s="4931"/>
      <c r="AV430" s="4931"/>
      <c r="AW430" s="4382"/>
      <c r="AX430" s="4622"/>
      <c r="AY430" s="4382"/>
      <c r="AZ430" s="4384"/>
      <c r="BA430" s="4415"/>
      <c r="BB430" s="4415"/>
      <c r="BC430" s="4384"/>
      <c r="BD430" s="4415"/>
      <c r="BE430" s="4415"/>
      <c r="BF430" s="4414"/>
      <c r="BG430" s="1048"/>
      <c r="BH430" s="4505"/>
      <c r="BI430" s="4154"/>
      <c r="BJ430" s="4323"/>
      <c r="BK430" s="4160" t="s">
        <v>89</v>
      </c>
      <c r="BL430" s="4589">
        <f t="shared" si="233"/>
        <v>0.2</v>
      </c>
      <c r="BM430" s="4562"/>
      <c r="BN430" s="4562"/>
      <c r="BO430" s="4589">
        <f t="shared" si="234"/>
        <v>11.8</v>
      </c>
      <c r="BP430" s="4160"/>
      <c r="BQ430" s="4160"/>
      <c r="BR430" s="4160"/>
      <c r="BS430" s="4409"/>
      <c r="BT430" s="4409"/>
      <c r="BU430" s="4409"/>
      <c r="BV430" s="4409"/>
      <c r="BW430" s="4409"/>
      <c r="BX430" s="4409"/>
      <c r="BY430" s="4409"/>
      <c r="BZ430" s="4562">
        <f t="shared" si="227"/>
        <v>12</v>
      </c>
      <c r="CA430" s="4562">
        <f t="shared" si="228"/>
        <v>0</v>
      </c>
      <c r="CB430" s="4409"/>
      <c r="CC430" s="4409"/>
      <c r="CD430" s="4160"/>
      <c r="CE430" s="4160"/>
      <c r="CF430" s="4160"/>
    </row>
    <row r="431" s="4316" customFormat="1" ht="50" customHeight="1" spans="1:84">
      <c r="A431" s="4500">
        <v>45905</v>
      </c>
      <c r="B431" s="4501" t="s">
        <v>505</v>
      </c>
      <c r="C431" s="3708" t="s">
        <v>506</v>
      </c>
      <c r="D431" s="4502">
        <v>4500178925</v>
      </c>
      <c r="E431" s="3708">
        <v>21137880</v>
      </c>
      <c r="F431" s="4502" t="s">
        <v>2094</v>
      </c>
      <c r="G431" s="3708"/>
      <c r="H431" s="3708" t="s">
        <v>508</v>
      </c>
      <c r="I431" s="3708" t="s">
        <v>328</v>
      </c>
      <c r="J431" s="4593">
        <v>3540</v>
      </c>
      <c r="K431" s="4154">
        <v>0</v>
      </c>
      <c r="L431" s="4154">
        <v>6</v>
      </c>
      <c r="M431" s="4154">
        <f t="shared" ref="M431:M445" si="235">J431/L431</f>
        <v>590</v>
      </c>
      <c r="N431" s="4503">
        <v>45950</v>
      </c>
      <c r="O431" s="4503">
        <v>45946</v>
      </c>
      <c r="P431" s="3712"/>
      <c r="Q431" s="4154" t="s">
        <v>82</v>
      </c>
      <c r="R431" s="4157"/>
      <c r="S431" s="4157"/>
      <c r="T431" s="4157"/>
      <c r="U431" s="3726" t="s">
        <v>2095</v>
      </c>
      <c r="V431" s="3711" t="s">
        <v>2096</v>
      </c>
      <c r="W431" s="3711"/>
      <c r="X431" s="3711" t="s">
        <v>2044</v>
      </c>
      <c r="Y431" s="3711"/>
      <c r="Z431" s="3711"/>
      <c r="AA431" s="4154"/>
      <c r="AB431" s="3680" t="s">
        <v>1616</v>
      </c>
      <c r="AC431" s="4154" t="s">
        <v>513</v>
      </c>
      <c r="AD431" s="4504">
        <v>2.3071</v>
      </c>
      <c r="AE431" s="4154">
        <f t="shared" si="212"/>
        <v>8167.134</v>
      </c>
      <c r="AF431" s="3726" t="s">
        <v>2097</v>
      </c>
      <c r="AG431" s="3726"/>
      <c r="AH431" s="4430"/>
      <c r="AI431" s="4575">
        <f>J431</f>
        <v>3540</v>
      </c>
      <c r="AJ431" s="4430"/>
      <c r="AK431" s="4509"/>
      <c r="AL431" s="4510"/>
      <c r="AM431" s="4510"/>
      <c r="AN431" s="4413"/>
      <c r="AO431" s="4510">
        <f t="shared" si="216"/>
        <v>3540</v>
      </c>
      <c r="AP431" s="1048"/>
      <c r="AQ431" s="4413"/>
      <c r="AR431" s="4939"/>
      <c r="AS431" s="4510">
        <f t="shared" ref="AS431:AS436" si="236">J431</f>
        <v>3540</v>
      </c>
      <c r="AT431" s="4510"/>
      <c r="AU431" s="4939"/>
      <c r="AV431" s="4939"/>
      <c r="AW431" s="4413"/>
      <c r="AX431" s="4510">
        <f>J431/6</f>
        <v>590</v>
      </c>
      <c r="AY431" s="4413"/>
      <c r="AZ431" s="4432"/>
      <c r="BA431" s="4415"/>
      <c r="BB431" s="4415"/>
      <c r="BC431" s="4432"/>
      <c r="BD431" s="4415"/>
      <c r="BE431" s="4415"/>
      <c r="BF431" s="4414"/>
      <c r="BG431" s="1048"/>
      <c r="BH431" s="4505"/>
      <c r="BI431" s="4154"/>
      <c r="BJ431" s="4323"/>
      <c r="BK431" s="4160" t="s">
        <v>89</v>
      </c>
      <c r="BL431" s="4415">
        <f t="shared" si="233"/>
        <v>59</v>
      </c>
      <c r="BM431" s="4415">
        <f>J431/60*9</f>
        <v>531</v>
      </c>
      <c r="BN431" s="4415">
        <f>J431/60*10</f>
        <v>590</v>
      </c>
      <c r="BO431" s="4415">
        <f>J431/60*10</f>
        <v>590</v>
      </c>
      <c r="BP431" s="4415">
        <f>J431/60*10</f>
        <v>590</v>
      </c>
      <c r="BQ431" s="4414">
        <f>J431/60*10</f>
        <v>590</v>
      </c>
      <c r="BR431" s="1048">
        <f>J431/60*10</f>
        <v>590</v>
      </c>
      <c r="BS431" s="4447"/>
      <c r="BT431" s="4447"/>
      <c r="BU431" s="4447"/>
      <c r="BV431" s="4447"/>
      <c r="BW431" s="4447"/>
      <c r="BX431" s="4447"/>
      <c r="BY431" s="4447"/>
      <c r="BZ431" s="3708">
        <f t="shared" si="227"/>
        <v>3540</v>
      </c>
      <c r="CA431" s="4154">
        <f t="shared" si="228"/>
        <v>0</v>
      </c>
      <c r="CB431" s="4447"/>
      <c r="CC431" s="4447"/>
      <c r="CD431" s="4160"/>
      <c r="CE431" s="4160"/>
      <c r="CF431" s="4160"/>
    </row>
    <row r="432" s="4316" customFormat="1" ht="50" customHeight="1" spans="1:84">
      <c r="A432" s="4500">
        <v>45905</v>
      </c>
      <c r="B432" s="4501" t="s">
        <v>839</v>
      </c>
      <c r="C432" s="3708" t="s">
        <v>840</v>
      </c>
      <c r="D432" s="4502">
        <v>4500178926</v>
      </c>
      <c r="E432" s="3708">
        <v>21137899</v>
      </c>
      <c r="F432" s="4502" t="s">
        <v>2098</v>
      </c>
      <c r="G432" s="3708"/>
      <c r="H432" s="3708" t="s">
        <v>508</v>
      </c>
      <c r="I432" s="3708" t="s">
        <v>328</v>
      </c>
      <c r="J432" s="4593">
        <v>396</v>
      </c>
      <c r="K432" s="4154">
        <v>0</v>
      </c>
      <c r="L432" s="4154">
        <v>6</v>
      </c>
      <c r="M432" s="4154">
        <f t="shared" si="235"/>
        <v>66</v>
      </c>
      <c r="N432" s="4503">
        <v>45950</v>
      </c>
      <c r="O432" s="4503">
        <v>45946</v>
      </c>
      <c r="P432" s="3712"/>
      <c r="Q432" s="4154" t="s">
        <v>82</v>
      </c>
      <c r="R432" s="4157"/>
      <c r="S432" s="4157"/>
      <c r="T432" s="4157"/>
      <c r="U432" s="3726" t="s">
        <v>2095</v>
      </c>
      <c r="V432" s="3711" t="s">
        <v>2096</v>
      </c>
      <c r="W432" s="3711"/>
      <c r="X432" s="3711" t="s">
        <v>2044</v>
      </c>
      <c r="Y432" s="3711"/>
      <c r="Z432" s="3711"/>
      <c r="AA432" s="4154"/>
      <c r="AB432" s="3680" t="s">
        <v>2099</v>
      </c>
      <c r="AC432" s="4154" t="s">
        <v>513</v>
      </c>
      <c r="AD432" s="4504">
        <v>2.3151</v>
      </c>
      <c r="AE432" s="4154">
        <f t="shared" si="212"/>
        <v>916.7796</v>
      </c>
      <c r="AF432" s="3726" t="s">
        <v>2100</v>
      </c>
      <c r="AG432" s="3726"/>
      <c r="AH432" s="4430"/>
      <c r="AI432" s="4575">
        <f>J432</f>
        <v>396</v>
      </c>
      <c r="AJ432" s="4430"/>
      <c r="AK432" s="4509"/>
      <c r="AL432" s="4510"/>
      <c r="AM432" s="4510"/>
      <c r="AN432" s="4413"/>
      <c r="AO432" s="4510">
        <f t="shared" si="216"/>
        <v>396</v>
      </c>
      <c r="AP432" s="1048"/>
      <c r="AQ432" s="4413"/>
      <c r="AR432" s="4939"/>
      <c r="AS432" s="4510">
        <f t="shared" si="236"/>
        <v>396</v>
      </c>
      <c r="AT432" s="4510"/>
      <c r="AU432" s="4939"/>
      <c r="AV432" s="4939"/>
      <c r="AW432" s="4413"/>
      <c r="AX432" s="4510">
        <f>J432/6</f>
        <v>66</v>
      </c>
      <c r="AY432" s="4413"/>
      <c r="AZ432" s="4432"/>
      <c r="BA432" s="4415"/>
      <c r="BB432" s="4415"/>
      <c r="BC432" s="4432"/>
      <c r="BD432" s="4415"/>
      <c r="BE432" s="4415"/>
      <c r="BF432" s="4414"/>
      <c r="BG432" s="1048"/>
      <c r="BH432" s="4505"/>
      <c r="BI432" s="4154"/>
      <c r="BJ432" s="4323"/>
      <c r="BK432" s="4160" t="s">
        <v>89</v>
      </c>
      <c r="BL432" s="4415">
        <f t="shared" si="233"/>
        <v>6.6</v>
      </c>
      <c r="BM432" s="4415">
        <f>J432/60*9</f>
        <v>59.4</v>
      </c>
      <c r="BN432" s="4415">
        <f>J432/60*10</f>
        <v>66</v>
      </c>
      <c r="BO432" s="4415">
        <f>J432/60*10</f>
        <v>66</v>
      </c>
      <c r="BP432" s="4415">
        <f>J432/60*10</f>
        <v>66</v>
      </c>
      <c r="BQ432" s="4414">
        <f>J432/60*10</f>
        <v>66</v>
      </c>
      <c r="BR432" s="1048">
        <f>J432/60*10</f>
        <v>66</v>
      </c>
      <c r="BS432" s="4447"/>
      <c r="BT432" s="4447"/>
      <c r="BU432" s="4447"/>
      <c r="BV432" s="4447"/>
      <c r="BW432" s="4447"/>
      <c r="BX432" s="4447"/>
      <c r="BY432" s="4447"/>
      <c r="BZ432" s="3708">
        <f t="shared" si="227"/>
        <v>396</v>
      </c>
      <c r="CA432" s="4154">
        <f t="shared" si="228"/>
        <v>0</v>
      </c>
      <c r="CB432" s="4447"/>
      <c r="CC432" s="4447"/>
      <c r="CD432" s="4160"/>
      <c r="CE432" s="4160"/>
      <c r="CF432" s="4160"/>
    </row>
    <row r="433" s="4316" customFormat="1" ht="50" customHeight="1" spans="1:84">
      <c r="A433" s="4500">
        <v>45876</v>
      </c>
      <c r="B433" s="3708" t="s">
        <v>1617</v>
      </c>
      <c r="C433" s="3708" t="s">
        <v>91</v>
      </c>
      <c r="D433" s="4154">
        <v>4500176188</v>
      </c>
      <c r="E433" s="3708" t="s">
        <v>2101</v>
      </c>
      <c r="F433" s="4154" t="s">
        <v>2102</v>
      </c>
      <c r="G433" s="3708"/>
      <c r="H433" s="3708" t="s">
        <v>333</v>
      </c>
      <c r="I433" s="3708" t="s">
        <v>328</v>
      </c>
      <c r="J433" s="4593">
        <v>504</v>
      </c>
      <c r="K433" s="4154">
        <v>0</v>
      </c>
      <c r="L433" s="4154">
        <v>24</v>
      </c>
      <c r="M433" s="4154">
        <f t="shared" si="235"/>
        <v>21</v>
      </c>
      <c r="N433" s="4503">
        <v>45958</v>
      </c>
      <c r="O433" s="4503">
        <v>45954</v>
      </c>
      <c r="P433" s="3712"/>
      <c r="Q433" s="4154" t="s">
        <v>82</v>
      </c>
      <c r="R433" s="4157"/>
      <c r="S433" s="4157"/>
      <c r="T433" s="4157"/>
      <c r="U433" s="3726" t="s">
        <v>269</v>
      </c>
      <c r="V433" s="3711" t="s">
        <v>2013</v>
      </c>
      <c r="W433" s="3711"/>
      <c r="X433" s="3711" t="s">
        <v>98</v>
      </c>
      <c r="Y433" s="3711"/>
      <c r="Z433" s="3711" t="s">
        <v>2103</v>
      </c>
      <c r="AA433" s="4154"/>
      <c r="AB433" s="3713" t="s">
        <v>1621</v>
      </c>
      <c r="AC433" s="3711" t="s">
        <v>393</v>
      </c>
      <c r="AD433" s="4504">
        <v>1.2226</v>
      </c>
      <c r="AE433" s="4154">
        <f t="shared" si="212"/>
        <v>616.1904</v>
      </c>
      <c r="AF433" s="3726" t="s">
        <v>2104</v>
      </c>
      <c r="AG433" s="3726"/>
      <c r="AH433" s="4422"/>
      <c r="AI433" s="4575">
        <f>J433</f>
        <v>504</v>
      </c>
      <c r="AJ433" s="4422"/>
      <c r="AK433" s="3708"/>
      <c r="AL433" s="3708"/>
      <c r="AM433" s="4154"/>
      <c r="AN433" s="907"/>
      <c r="AO433" s="4510">
        <f t="shared" si="216"/>
        <v>504</v>
      </c>
      <c r="AP433" s="1048"/>
      <c r="AQ433" s="907"/>
      <c r="AR433" s="907"/>
      <c r="AS433" s="4510">
        <f t="shared" si="236"/>
        <v>504</v>
      </c>
      <c r="AT433" s="1048"/>
      <c r="AU433" s="907"/>
      <c r="AV433" s="4922"/>
      <c r="AW433" s="4922"/>
      <c r="AX433" s="1048"/>
      <c r="AY433" s="4922"/>
      <c r="AZ433" s="4922"/>
      <c r="BA433" s="1048"/>
      <c r="BB433" s="4622"/>
      <c r="BC433" s="4922"/>
      <c r="BD433" s="4622"/>
      <c r="BE433" s="4622"/>
      <c r="BF433" s="4622"/>
      <c r="BG433" s="4622"/>
      <c r="BH433" s="4622"/>
      <c r="BI433" s="4622"/>
      <c r="BJ433" s="1048"/>
      <c r="BK433" s="4415" t="s">
        <v>89</v>
      </c>
      <c r="BL433" s="4415">
        <f t="shared" si="233"/>
        <v>8.4</v>
      </c>
      <c r="BM433" s="4415">
        <f>J433/60*9</f>
        <v>75.6</v>
      </c>
      <c r="BN433" s="4415">
        <f>J433/60*10</f>
        <v>84</v>
      </c>
      <c r="BO433" s="4415">
        <f>J433/60*10</f>
        <v>84</v>
      </c>
      <c r="BP433" s="4415">
        <f>J433/60*10</f>
        <v>84</v>
      </c>
      <c r="BQ433" s="4414">
        <f>J433/60*10</f>
        <v>84</v>
      </c>
      <c r="BR433" s="1048">
        <f>J433/60*10</f>
        <v>84</v>
      </c>
      <c r="BS433" s="911"/>
      <c r="BT433" s="911"/>
      <c r="BU433" s="911"/>
      <c r="BV433" s="911"/>
      <c r="BW433" s="911"/>
      <c r="BX433" s="910"/>
      <c r="BY433" s="910"/>
      <c r="BZ433" s="3708">
        <f t="shared" si="227"/>
        <v>504</v>
      </c>
      <c r="CA433" s="4154">
        <f t="shared" si="228"/>
        <v>0</v>
      </c>
      <c r="CB433" s="4923"/>
      <c r="CC433" s="4923"/>
      <c r="CD433" s="4323"/>
      <c r="CE433" s="4323"/>
      <c r="CF433" s="4323"/>
    </row>
    <row r="434" s="4316" customFormat="1" ht="50" customHeight="1" spans="1:84">
      <c r="A434" s="4500">
        <v>45918</v>
      </c>
      <c r="B434" s="4501" t="s">
        <v>1789</v>
      </c>
      <c r="C434" s="3708" t="s">
        <v>569</v>
      </c>
      <c r="D434" s="4502">
        <v>4500179692</v>
      </c>
      <c r="E434" s="3708" t="s">
        <v>2105</v>
      </c>
      <c r="F434" s="4502" t="s">
        <v>2106</v>
      </c>
      <c r="G434" s="3708"/>
      <c r="H434" s="3708" t="s">
        <v>375</v>
      </c>
      <c r="I434" s="4154" t="s">
        <v>328</v>
      </c>
      <c r="J434" s="4154">
        <v>504</v>
      </c>
      <c r="K434" s="4154">
        <v>0</v>
      </c>
      <c r="L434" s="4154">
        <v>12</v>
      </c>
      <c r="M434" s="4154">
        <f t="shared" si="235"/>
        <v>42</v>
      </c>
      <c r="N434" s="4503">
        <v>45968</v>
      </c>
      <c r="O434" s="4503">
        <v>45966</v>
      </c>
      <c r="P434" s="3712"/>
      <c r="Q434" s="4154" t="s">
        <v>82</v>
      </c>
      <c r="R434" s="4944"/>
      <c r="S434" s="4157"/>
      <c r="T434" s="4157"/>
      <c r="U434" s="3726" t="s">
        <v>2107</v>
      </c>
      <c r="V434" s="3711" t="s">
        <v>2108</v>
      </c>
      <c r="W434" s="3711"/>
      <c r="X434" s="3711" t="s">
        <v>2109</v>
      </c>
      <c r="Y434" s="3711"/>
      <c r="Z434" s="3711"/>
      <c r="AA434" s="4154"/>
      <c r="AB434" s="3713" t="s">
        <v>2110</v>
      </c>
      <c r="AC434" s="4154" t="s">
        <v>1285</v>
      </c>
      <c r="AD434" s="4504">
        <v>2.2104</v>
      </c>
      <c r="AE434" s="4154">
        <f t="shared" si="212"/>
        <v>1114.0416</v>
      </c>
      <c r="AF434" s="3726" t="s">
        <v>2111</v>
      </c>
      <c r="AG434" s="3726"/>
      <c r="AH434" s="4412"/>
      <c r="AI434" s="4575"/>
      <c r="AJ434" s="4412"/>
      <c r="AK434" s="4575">
        <f>J434</f>
        <v>504</v>
      </c>
      <c r="AL434" s="3708"/>
      <c r="AM434" s="4154"/>
      <c r="AN434" s="1040"/>
      <c r="AO434" s="4510">
        <f t="shared" si="216"/>
        <v>504</v>
      </c>
      <c r="AP434" s="1048"/>
      <c r="AQ434" s="1040"/>
      <c r="AR434" s="1040"/>
      <c r="AS434" s="4510">
        <f t="shared" si="236"/>
        <v>504</v>
      </c>
      <c r="AT434" s="1048"/>
      <c r="AU434" s="1040"/>
      <c r="AV434" s="4945"/>
      <c r="AW434" s="4945"/>
      <c r="AX434" s="1048"/>
      <c r="AY434" s="4945"/>
      <c r="AZ434" s="4945"/>
      <c r="BA434" s="1048"/>
      <c r="BB434" s="4622"/>
      <c r="BC434" s="4945"/>
      <c r="BD434" s="4622"/>
      <c r="BE434" s="4622"/>
      <c r="BF434" s="4622"/>
      <c r="BG434" s="4622"/>
      <c r="BH434" s="4510"/>
      <c r="BI434" s="4622"/>
      <c r="BJ434" s="1048"/>
      <c r="BK434" s="4160" t="s">
        <v>89</v>
      </c>
      <c r="BL434" s="4415"/>
      <c r="BM434" s="4415"/>
      <c r="BN434" s="4558"/>
      <c r="BO434" s="4558"/>
      <c r="BP434" s="4558"/>
      <c r="BQ434" s="4928"/>
      <c r="BR434" s="4510">
        <f>J434</f>
        <v>504</v>
      </c>
      <c r="BS434" s="4524"/>
      <c r="BT434" s="4524"/>
      <c r="BU434" s="4524"/>
      <c r="BV434" s="4524"/>
      <c r="BW434" s="4524"/>
      <c r="BX434" s="1041"/>
      <c r="BY434" s="1041"/>
      <c r="BZ434" s="3708">
        <f t="shared" si="227"/>
        <v>504</v>
      </c>
      <c r="CA434" s="4154">
        <f t="shared" si="228"/>
        <v>0</v>
      </c>
      <c r="CB434" s="4619"/>
      <c r="CC434" s="4619"/>
      <c r="CD434" s="4323"/>
      <c r="CE434" s="4323"/>
      <c r="CF434" s="4323"/>
    </row>
    <row r="435" s="4316" customFormat="1" ht="50" customHeight="1" spans="1:84">
      <c r="A435" s="4500">
        <v>45917</v>
      </c>
      <c r="B435" s="4501" t="s">
        <v>371</v>
      </c>
      <c r="C435" s="3708" t="s">
        <v>471</v>
      </c>
      <c r="D435" s="4502">
        <v>4500179736</v>
      </c>
      <c r="E435" s="3708" t="s">
        <v>2112</v>
      </c>
      <c r="F435" s="4502" t="s">
        <v>2113</v>
      </c>
      <c r="G435" s="3708"/>
      <c r="H435" s="3708" t="s">
        <v>375</v>
      </c>
      <c r="I435" s="4154" t="s">
        <v>328</v>
      </c>
      <c r="J435" s="4154">
        <v>504</v>
      </c>
      <c r="K435" s="4154">
        <v>0</v>
      </c>
      <c r="L435" s="4154">
        <v>12</v>
      </c>
      <c r="M435" s="4154">
        <f t="shared" si="235"/>
        <v>42</v>
      </c>
      <c r="N435" s="4503">
        <v>45968</v>
      </c>
      <c r="O435" s="4503">
        <v>45964</v>
      </c>
      <c r="P435" s="3712"/>
      <c r="Q435" s="4154" t="s">
        <v>82</v>
      </c>
      <c r="R435" s="4944"/>
      <c r="S435" s="4157"/>
      <c r="T435" s="4157"/>
      <c r="U435" s="3726"/>
      <c r="V435" s="3711" t="s">
        <v>2108</v>
      </c>
      <c r="W435" s="3711"/>
      <c r="X435" s="3711" t="s">
        <v>2114</v>
      </c>
      <c r="Y435" s="3711"/>
      <c r="Z435" s="3711"/>
      <c r="AA435" s="4154"/>
      <c r="AB435" s="3713" t="s">
        <v>2115</v>
      </c>
      <c r="AC435" s="4154" t="s">
        <v>380</v>
      </c>
      <c r="AD435" s="4504">
        <v>2.0947</v>
      </c>
      <c r="AE435" s="4154">
        <f t="shared" si="212"/>
        <v>1055.7288</v>
      </c>
      <c r="AF435" s="3726" t="s">
        <v>2116</v>
      </c>
      <c r="AG435" s="3726"/>
      <c r="AH435" s="4412"/>
      <c r="AI435" s="4575"/>
      <c r="AJ435" s="4412"/>
      <c r="AK435" s="4575">
        <f>J435</f>
        <v>504</v>
      </c>
      <c r="AL435" s="3708"/>
      <c r="AM435" s="4154"/>
      <c r="AN435" s="1040"/>
      <c r="AO435" s="4510">
        <f t="shared" si="216"/>
        <v>504</v>
      </c>
      <c r="AP435" s="1048"/>
      <c r="AQ435" s="1040"/>
      <c r="AR435" s="1040"/>
      <c r="AS435" s="4510">
        <f t="shared" si="236"/>
        <v>504</v>
      </c>
      <c r="AT435" s="1048"/>
      <c r="AU435" s="1040"/>
      <c r="AV435" s="4945"/>
      <c r="AW435" s="4945"/>
      <c r="AX435" s="1048"/>
      <c r="AY435" s="4945"/>
      <c r="AZ435" s="4945"/>
      <c r="BA435" s="1048"/>
      <c r="BB435" s="4622"/>
      <c r="BC435" s="4945"/>
      <c r="BD435" s="4622"/>
      <c r="BE435" s="4622"/>
      <c r="BF435" s="4622"/>
      <c r="BG435" s="4622"/>
      <c r="BH435" s="4510"/>
      <c r="BI435" s="4622"/>
      <c r="BJ435" s="1048"/>
      <c r="BK435" s="4160" t="s">
        <v>89</v>
      </c>
      <c r="BL435" s="1048"/>
      <c r="BM435" s="1048"/>
      <c r="BN435" s="1048"/>
      <c r="BO435" s="1048"/>
      <c r="BP435" s="1048"/>
      <c r="BQ435" s="1048"/>
      <c r="BR435" s="4510">
        <f>J435</f>
        <v>504</v>
      </c>
      <c r="BS435" s="4524"/>
      <c r="BT435" s="4524"/>
      <c r="BU435" s="4524"/>
      <c r="BV435" s="4524"/>
      <c r="BW435" s="4524"/>
      <c r="BX435" s="1041"/>
      <c r="BY435" s="1041"/>
      <c r="BZ435" s="3708">
        <f t="shared" si="227"/>
        <v>504</v>
      </c>
      <c r="CA435" s="4154">
        <f t="shared" si="228"/>
        <v>0</v>
      </c>
      <c r="CB435" s="4619"/>
      <c r="CC435" s="4619"/>
      <c r="CD435" s="4323"/>
      <c r="CE435" s="4323"/>
      <c r="CF435" s="4323"/>
    </row>
    <row r="436" s="4316" customFormat="1" ht="50" customHeight="1" spans="1:84">
      <c r="A436" s="4500">
        <v>45917</v>
      </c>
      <c r="B436" s="4501" t="s">
        <v>371</v>
      </c>
      <c r="C436" s="3708" t="s">
        <v>471</v>
      </c>
      <c r="D436" s="4502">
        <v>4500179736</v>
      </c>
      <c r="E436" s="3708" t="s">
        <v>2112</v>
      </c>
      <c r="F436" s="4502" t="s">
        <v>2117</v>
      </c>
      <c r="G436" s="3708"/>
      <c r="H436" s="3708" t="s">
        <v>1045</v>
      </c>
      <c r="I436" s="4154" t="s">
        <v>328</v>
      </c>
      <c r="J436" s="4154">
        <v>504</v>
      </c>
      <c r="K436" s="4154">
        <v>0</v>
      </c>
      <c r="L436" s="4154">
        <v>12</v>
      </c>
      <c r="M436" s="4154">
        <f t="shared" si="235"/>
        <v>42</v>
      </c>
      <c r="N436" s="4503">
        <v>45968</v>
      </c>
      <c r="O436" s="4503">
        <v>45964</v>
      </c>
      <c r="P436" s="3712"/>
      <c r="Q436" s="4154" t="s">
        <v>82</v>
      </c>
      <c r="R436" s="4944"/>
      <c r="S436" s="4157"/>
      <c r="T436" s="4157"/>
      <c r="U436" s="3726"/>
      <c r="V436" s="3711" t="s">
        <v>2108</v>
      </c>
      <c r="W436" s="3711"/>
      <c r="X436" s="3711" t="s">
        <v>2114</v>
      </c>
      <c r="Y436" s="3711"/>
      <c r="Z436" s="3711"/>
      <c r="AA436" s="4154"/>
      <c r="AB436" s="3713" t="s">
        <v>2118</v>
      </c>
      <c r="AC436" s="4154" t="s">
        <v>380</v>
      </c>
      <c r="AD436" s="4504">
        <v>2.0947</v>
      </c>
      <c r="AE436" s="4154">
        <f t="shared" si="212"/>
        <v>1055.7288</v>
      </c>
      <c r="AF436" s="3726" t="s">
        <v>2116</v>
      </c>
      <c r="AG436" s="3726"/>
      <c r="AH436" s="4412"/>
      <c r="AI436" s="4575"/>
      <c r="AJ436" s="4412"/>
      <c r="AK436" s="4575">
        <f>J436</f>
        <v>504</v>
      </c>
      <c r="AL436" s="3708"/>
      <c r="AM436" s="4154"/>
      <c r="AN436" s="1040"/>
      <c r="AO436" s="4510">
        <f t="shared" si="216"/>
        <v>504</v>
      </c>
      <c r="AP436" s="1048"/>
      <c r="AQ436" s="1040"/>
      <c r="AR436" s="1040"/>
      <c r="AS436" s="4510">
        <f t="shared" si="236"/>
        <v>504</v>
      </c>
      <c r="AT436" s="1048"/>
      <c r="AU436" s="1040"/>
      <c r="AV436" s="4945"/>
      <c r="AW436" s="4945"/>
      <c r="AX436" s="1048"/>
      <c r="AY436" s="4945"/>
      <c r="AZ436" s="4945"/>
      <c r="BA436" s="1048"/>
      <c r="BB436" s="4622"/>
      <c r="BC436" s="4945"/>
      <c r="BD436" s="4622"/>
      <c r="BE436" s="4622"/>
      <c r="BF436" s="4622"/>
      <c r="BG436" s="4622"/>
      <c r="BH436" s="4510"/>
      <c r="BI436" s="4622"/>
      <c r="BJ436" s="1048"/>
      <c r="BK436" s="4160" t="s">
        <v>89</v>
      </c>
      <c r="BL436" s="4415"/>
      <c r="BM436" s="4415"/>
      <c r="BN436" s="4558">
        <f>J436</f>
        <v>504</v>
      </c>
      <c r="BO436" s="4558"/>
      <c r="BP436" s="4558"/>
      <c r="BQ436" s="4928"/>
      <c r="BR436" s="4510"/>
      <c r="BS436" s="4524"/>
      <c r="BT436" s="4524"/>
      <c r="BU436" s="4524"/>
      <c r="BV436" s="4524"/>
      <c r="BW436" s="4524"/>
      <c r="BX436" s="1041"/>
      <c r="BY436" s="1041"/>
      <c r="BZ436" s="3708">
        <f t="shared" si="227"/>
        <v>504</v>
      </c>
      <c r="CA436" s="4154">
        <f t="shared" si="228"/>
        <v>0</v>
      </c>
      <c r="CB436" s="4619"/>
      <c r="CC436" s="4619"/>
      <c r="CD436" s="4323"/>
      <c r="CE436" s="4323"/>
      <c r="CF436" s="4323"/>
    </row>
    <row r="437" s="4316" customFormat="1" ht="50" customHeight="1" spans="1:84">
      <c r="A437" s="4500">
        <v>45925</v>
      </c>
      <c r="B437" s="4501" t="s">
        <v>2005</v>
      </c>
      <c r="C437" s="3708" t="s">
        <v>673</v>
      </c>
      <c r="D437" s="4502">
        <v>4500180345</v>
      </c>
      <c r="E437" s="3708">
        <v>5000002005</v>
      </c>
      <c r="F437" s="4502" t="s">
        <v>2119</v>
      </c>
      <c r="G437" s="3708"/>
      <c r="H437" s="3708" t="s">
        <v>1933</v>
      </c>
      <c r="I437" s="3708" t="s">
        <v>1934</v>
      </c>
      <c r="J437" s="4154">
        <v>5100</v>
      </c>
      <c r="K437" s="4154">
        <v>0</v>
      </c>
      <c r="L437" s="4154">
        <v>3</v>
      </c>
      <c r="M437" s="4509">
        <f t="shared" si="235"/>
        <v>1700</v>
      </c>
      <c r="N437" s="4503">
        <v>45968</v>
      </c>
      <c r="O437" s="4503">
        <v>45966</v>
      </c>
      <c r="P437" s="3712"/>
      <c r="Q437" s="4154" t="s">
        <v>82</v>
      </c>
      <c r="R437" s="4797"/>
      <c r="S437" s="4797"/>
      <c r="T437" s="4797"/>
      <c r="U437" s="3726" t="s">
        <v>2120</v>
      </c>
      <c r="V437" s="3711" t="s">
        <v>2121</v>
      </c>
      <c r="W437" s="3711"/>
      <c r="X437" s="3711" t="s">
        <v>2122</v>
      </c>
      <c r="Y437" s="3711"/>
      <c r="Z437" s="3711" t="s">
        <v>2123</v>
      </c>
      <c r="AA437" s="4154"/>
      <c r="AB437" s="3713" t="s">
        <v>2124</v>
      </c>
      <c r="AC437" s="4154" t="s">
        <v>993</v>
      </c>
      <c r="AD437" s="4504">
        <v>4.5087</v>
      </c>
      <c r="AE437" s="4154">
        <f t="shared" si="212"/>
        <v>22994.37</v>
      </c>
      <c r="AF437" s="3726"/>
      <c r="AG437" s="3726"/>
      <c r="AH437" s="4430"/>
      <c r="AI437" s="4575">
        <f>J437*2</f>
        <v>10200</v>
      </c>
      <c r="AJ437" s="4430"/>
      <c r="AK437" s="4575"/>
      <c r="AL437" s="3708"/>
      <c r="AM437" s="4154"/>
      <c r="AN437" s="4413"/>
      <c r="AO437" s="4510"/>
      <c r="AP437" s="4510">
        <f>J437*2</f>
        <v>10200</v>
      </c>
      <c r="AQ437" s="4413"/>
      <c r="AR437" s="4413"/>
      <c r="AS437" s="4510">
        <f>J437*2</f>
        <v>10200</v>
      </c>
      <c r="AT437" s="1048"/>
      <c r="AU437" s="4413"/>
      <c r="AV437" s="4939"/>
      <c r="AW437" s="4939"/>
      <c r="AX437" s="1048"/>
      <c r="AY437" s="4939"/>
      <c r="AZ437" s="4939"/>
      <c r="BA437" s="1048"/>
      <c r="BB437" s="4622"/>
      <c r="BC437" s="4939"/>
      <c r="BD437" s="4622"/>
      <c r="BE437" s="4622"/>
      <c r="BF437" s="4622"/>
      <c r="BG437" s="4622"/>
      <c r="BH437" s="4510">
        <f>J437</f>
        <v>5100</v>
      </c>
      <c r="BI437" s="4622"/>
      <c r="BJ437" s="1048"/>
      <c r="BK437" s="4160" t="s">
        <v>682</v>
      </c>
      <c r="BL437" s="4415">
        <f>J437/60*1*2</f>
        <v>170</v>
      </c>
      <c r="BM437" s="4415">
        <f>J437/60*9*2</f>
        <v>1530</v>
      </c>
      <c r="BN437" s="4415">
        <f>J437/60*10*2</f>
        <v>1700</v>
      </c>
      <c r="BO437" s="4415">
        <f>J437/60*10*2</f>
        <v>1700</v>
      </c>
      <c r="BP437" s="4415">
        <f>J437/60*10*2</f>
        <v>1700</v>
      </c>
      <c r="BQ437" s="4414">
        <f>J437/60*10*2</f>
        <v>1700</v>
      </c>
      <c r="BR437" s="1048">
        <f>J437/60*10*2</f>
        <v>1700</v>
      </c>
      <c r="BS437" s="4432"/>
      <c r="BT437" s="4432"/>
      <c r="BU437" s="4432"/>
      <c r="BV437" s="4432"/>
      <c r="BW437" s="4432"/>
      <c r="BX437" s="4431"/>
      <c r="BY437" s="4431"/>
      <c r="BZ437" s="3708">
        <f t="shared" si="227"/>
        <v>10200</v>
      </c>
      <c r="CA437" s="4154">
        <f>SUM(BL437:BR437)-BZ437</f>
        <v>0</v>
      </c>
      <c r="CB437" s="4591"/>
      <c r="CC437" s="4591"/>
      <c r="CD437" s="4323"/>
      <c r="CE437" s="4323"/>
      <c r="CF437" s="4323"/>
    </row>
    <row r="438" s="4316" customFormat="1" ht="50" customHeight="1" spans="1:84">
      <c r="A438" s="4500">
        <v>45912</v>
      </c>
      <c r="B438" s="4501" t="s">
        <v>407</v>
      </c>
      <c r="C438" s="3708" t="s">
        <v>91</v>
      </c>
      <c r="D438" s="4502">
        <v>4500179381</v>
      </c>
      <c r="E438" s="3708">
        <v>60253166</v>
      </c>
      <c r="F438" s="4502" t="s">
        <v>2125</v>
      </c>
      <c r="G438" s="3708"/>
      <c r="H438" s="3708" t="s">
        <v>409</v>
      </c>
      <c r="I438" s="3708" t="s">
        <v>410</v>
      </c>
      <c r="J438" s="4154">
        <v>3000</v>
      </c>
      <c r="K438" s="4154">
        <v>0</v>
      </c>
      <c r="L438" s="4154">
        <v>12</v>
      </c>
      <c r="M438" s="4154">
        <f t="shared" si="235"/>
        <v>250</v>
      </c>
      <c r="N438" s="4503">
        <v>45968</v>
      </c>
      <c r="O438" s="4503">
        <v>45964</v>
      </c>
      <c r="P438" s="3712"/>
      <c r="Q438" s="4154" t="s">
        <v>82</v>
      </c>
      <c r="R438" s="4944"/>
      <c r="S438" s="4157"/>
      <c r="T438" s="4157"/>
      <c r="U438" s="3726" t="s">
        <v>2126</v>
      </c>
      <c r="V438" s="3711" t="s">
        <v>2050</v>
      </c>
      <c r="W438" s="3711"/>
      <c r="X438" s="3711" t="s">
        <v>98</v>
      </c>
      <c r="Y438" s="3711"/>
      <c r="Z438" s="3711" t="s">
        <v>2127</v>
      </c>
      <c r="AA438" s="4154"/>
      <c r="AB438" s="3713" t="s">
        <v>2128</v>
      </c>
      <c r="AC438" s="4154" t="s">
        <v>393</v>
      </c>
      <c r="AD438" s="4154">
        <v>2.8691</v>
      </c>
      <c r="AE438" s="4154">
        <f t="shared" si="212"/>
        <v>8607.3</v>
      </c>
      <c r="AF438" s="3726" t="s">
        <v>2129</v>
      </c>
      <c r="AG438" s="3726"/>
      <c r="AH438" s="4405"/>
      <c r="AI438" s="4575">
        <f>J438</f>
        <v>3000</v>
      </c>
      <c r="AJ438" s="4405"/>
      <c r="AK438" s="3708"/>
      <c r="AL438" s="3708"/>
      <c r="AM438" s="4154"/>
      <c r="AN438" s="4417"/>
      <c r="AO438" s="4510">
        <f>J438</f>
        <v>3000</v>
      </c>
      <c r="AP438" s="1048"/>
      <c r="AQ438" s="4417"/>
      <c r="AR438" s="4417"/>
      <c r="AS438" s="4510">
        <f>J438</f>
        <v>3000</v>
      </c>
      <c r="AT438" s="1048"/>
      <c r="AU438" s="4417"/>
      <c r="AV438" s="4946"/>
      <c r="AW438" s="4946"/>
      <c r="AX438" s="1048"/>
      <c r="AY438" s="4946"/>
      <c r="AZ438" s="4946"/>
      <c r="BA438" s="1048"/>
      <c r="BB438" s="4622"/>
      <c r="BC438" s="4946"/>
      <c r="BD438" s="4622"/>
      <c r="BE438" s="4622"/>
      <c r="BF438" s="4622"/>
      <c r="BG438" s="4622"/>
      <c r="BH438" s="4510">
        <f>J438</f>
        <v>3000</v>
      </c>
      <c r="BI438" s="4622"/>
      <c r="BJ438" s="1048"/>
      <c r="BK438" s="4160" t="s">
        <v>89</v>
      </c>
      <c r="BL438" s="4415">
        <f>J438/60*1</f>
        <v>50</v>
      </c>
      <c r="BM438" s="4415">
        <f>J438/60*9</f>
        <v>450</v>
      </c>
      <c r="BN438" s="4415">
        <f>J438/60*10</f>
        <v>500</v>
      </c>
      <c r="BO438" s="4415">
        <f>J438/60*10</f>
        <v>500</v>
      </c>
      <c r="BP438" s="4415">
        <f>J438/60*10</f>
        <v>500</v>
      </c>
      <c r="BQ438" s="4414">
        <f>J438/60*10</f>
        <v>500</v>
      </c>
      <c r="BR438" s="1048">
        <f>J438/60*10</f>
        <v>500</v>
      </c>
      <c r="BS438" s="4418"/>
      <c r="BT438" s="4418"/>
      <c r="BU438" s="4418"/>
      <c r="BV438" s="4418"/>
      <c r="BW438" s="4418"/>
      <c r="BX438" s="4472"/>
      <c r="BY438" s="4472"/>
      <c r="BZ438" s="3708">
        <f t="shared" si="227"/>
        <v>3000</v>
      </c>
      <c r="CA438" s="4154">
        <f>J438-BZ438</f>
        <v>0</v>
      </c>
      <c r="CB438" s="4644"/>
      <c r="CC438" s="4644"/>
      <c r="CD438" s="4323"/>
      <c r="CE438" s="4323"/>
      <c r="CF438" s="4323"/>
    </row>
    <row r="439" s="4316" customFormat="1" ht="50" customHeight="1" spans="1:84">
      <c r="A439" s="4500">
        <v>45925</v>
      </c>
      <c r="B439" s="4501" t="s">
        <v>2005</v>
      </c>
      <c r="C439" s="3708" t="s">
        <v>673</v>
      </c>
      <c r="D439" s="4502">
        <v>4500180345</v>
      </c>
      <c r="E439" s="3708">
        <v>5000002005</v>
      </c>
      <c r="F439" s="4502" t="s">
        <v>2130</v>
      </c>
      <c r="G439" s="3708"/>
      <c r="H439" s="3708" t="s">
        <v>508</v>
      </c>
      <c r="I439" s="3708" t="s">
        <v>328</v>
      </c>
      <c r="J439" s="4593">
        <v>6000</v>
      </c>
      <c r="K439" s="4154">
        <v>0</v>
      </c>
      <c r="L439" s="4154">
        <v>6</v>
      </c>
      <c r="M439" s="4154">
        <f t="shared" si="235"/>
        <v>1000</v>
      </c>
      <c r="N439" s="4503">
        <v>45968</v>
      </c>
      <c r="O439" s="4503">
        <v>45966</v>
      </c>
      <c r="P439" s="3712"/>
      <c r="Q439" s="4154" t="s">
        <v>82</v>
      </c>
      <c r="R439" s="4797"/>
      <c r="S439" s="4797"/>
      <c r="T439" s="4797"/>
      <c r="U439" s="3726" t="s">
        <v>2131</v>
      </c>
      <c r="V439" s="3711" t="s">
        <v>2132</v>
      </c>
      <c r="W439" s="3711"/>
      <c r="X439" s="3711" t="s">
        <v>2133</v>
      </c>
      <c r="Y439" s="3711"/>
      <c r="Z439" s="3711" t="s">
        <v>2123</v>
      </c>
      <c r="AA439" s="4154"/>
      <c r="AB439" s="3713" t="s">
        <v>2134</v>
      </c>
      <c r="AC439" s="4154" t="s">
        <v>993</v>
      </c>
      <c r="AD439" s="4504">
        <v>2.0898</v>
      </c>
      <c r="AE439" s="4154">
        <f t="shared" si="212"/>
        <v>12538.8</v>
      </c>
      <c r="AF439" s="3726" t="s">
        <v>2135</v>
      </c>
      <c r="AG439" s="3726"/>
      <c r="AH439" s="4422"/>
      <c r="AI439" s="4575">
        <f>J439</f>
        <v>6000</v>
      </c>
      <c r="AJ439" s="4422"/>
      <c r="AK439" s="4575"/>
      <c r="AL439" s="3708"/>
      <c r="AM439" s="4154"/>
      <c r="AN439" s="907"/>
      <c r="AO439" s="4510"/>
      <c r="AP439" s="4510">
        <f>J439</f>
        <v>6000</v>
      </c>
      <c r="AQ439" s="907"/>
      <c r="AR439" s="907"/>
      <c r="AS439" s="4510">
        <f>J439</f>
        <v>6000</v>
      </c>
      <c r="AT439" s="1048"/>
      <c r="AU439" s="907"/>
      <c r="AV439" s="4922"/>
      <c r="AW439" s="4922"/>
      <c r="AX439" s="4510">
        <f>J439/6</f>
        <v>1000</v>
      </c>
      <c r="AY439" s="4922"/>
      <c r="AZ439" s="4922"/>
      <c r="BA439" s="1048"/>
      <c r="BB439" s="4622"/>
      <c r="BC439" s="4922"/>
      <c r="BD439" s="4622"/>
      <c r="BE439" s="4622"/>
      <c r="BF439" s="4622"/>
      <c r="BG439" s="4622"/>
      <c r="BH439" s="4510"/>
      <c r="BI439" s="4622"/>
      <c r="BJ439" s="1048"/>
      <c r="BK439" s="4160" t="s">
        <v>682</v>
      </c>
      <c r="BL439" s="4415">
        <f>J439/60*1</f>
        <v>100</v>
      </c>
      <c r="BM439" s="4415">
        <f>J439/60*9</f>
        <v>900</v>
      </c>
      <c r="BN439" s="4415">
        <f>J439/60*10</f>
        <v>1000</v>
      </c>
      <c r="BO439" s="4415">
        <f>J439/60*10</f>
        <v>1000</v>
      </c>
      <c r="BP439" s="4415">
        <f>J439/60*10</f>
        <v>1000</v>
      </c>
      <c r="BQ439" s="4414">
        <f>J439/60*10</f>
        <v>1000</v>
      </c>
      <c r="BR439" s="1048">
        <f>J439/60*10</f>
        <v>1000</v>
      </c>
      <c r="BS439" s="911"/>
      <c r="BT439" s="911"/>
      <c r="BU439" s="911"/>
      <c r="BV439" s="911"/>
      <c r="BW439" s="911"/>
      <c r="BX439" s="910"/>
      <c r="BY439" s="910"/>
      <c r="BZ439" s="3708">
        <f t="shared" si="227"/>
        <v>6000</v>
      </c>
      <c r="CA439" s="4154">
        <f>J439-BZ439</f>
        <v>0</v>
      </c>
      <c r="CB439" s="4923"/>
      <c r="CC439" s="4923"/>
      <c r="CD439" s="4323"/>
      <c r="CE439" s="4323"/>
      <c r="CF439" s="4323"/>
    </row>
    <row r="440" s="4316" customFormat="1" ht="50" customHeight="1" spans="1:84">
      <c r="A440" s="4500">
        <v>45944</v>
      </c>
      <c r="B440" s="3708" t="s">
        <v>2136</v>
      </c>
      <c r="C440" s="3708" t="s">
        <v>2137</v>
      </c>
      <c r="D440" s="4154">
        <v>4500181761</v>
      </c>
      <c r="E440" s="3708"/>
      <c r="F440" s="4154" t="s">
        <v>2138</v>
      </c>
      <c r="G440" s="3708"/>
      <c r="H440" s="3708" t="s">
        <v>327</v>
      </c>
      <c r="I440" s="4154" t="s">
        <v>328</v>
      </c>
      <c r="J440" s="4154">
        <v>204</v>
      </c>
      <c r="K440" s="4154">
        <v>0</v>
      </c>
      <c r="L440" s="4154">
        <v>12</v>
      </c>
      <c r="M440" s="4154">
        <f t="shared" si="235"/>
        <v>17</v>
      </c>
      <c r="N440" s="4503">
        <v>45978</v>
      </c>
      <c r="O440" s="4553">
        <v>45974</v>
      </c>
      <c r="P440" s="3712"/>
      <c r="Q440" s="4154" t="s">
        <v>82</v>
      </c>
      <c r="R440" s="4944"/>
      <c r="S440" s="4944"/>
      <c r="T440" s="4944"/>
      <c r="U440" s="3726" t="s">
        <v>2107</v>
      </c>
      <c r="V440" s="3711" t="s">
        <v>2139</v>
      </c>
      <c r="W440" s="3711"/>
      <c r="X440" s="3711" t="s">
        <v>98</v>
      </c>
      <c r="Y440" s="3711"/>
      <c r="Z440" s="3711"/>
      <c r="AA440" s="4154"/>
      <c r="AB440" s="3713" t="s">
        <v>2140</v>
      </c>
      <c r="AC440" s="3711" t="s">
        <v>2141</v>
      </c>
      <c r="AD440" s="4504">
        <v>2.0981</v>
      </c>
      <c r="AE440" s="4154">
        <f t="shared" si="212"/>
        <v>428.0124</v>
      </c>
      <c r="AF440" s="3726" t="s">
        <v>2142</v>
      </c>
      <c r="AG440" s="3726"/>
      <c r="AH440" s="4405"/>
      <c r="AI440" s="4575">
        <f>J440</f>
        <v>204</v>
      </c>
      <c r="AJ440" s="4405"/>
      <c r="AK440" s="4575"/>
      <c r="AL440" s="3708"/>
      <c r="AM440" s="4154"/>
      <c r="AN440" s="4417"/>
      <c r="AO440" s="4510">
        <f t="shared" ref="AO440:AO447" si="237">J440</f>
        <v>204</v>
      </c>
      <c r="AP440" s="4510"/>
      <c r="AQ440" s="4417"/>
      <c r="AR440" s="4417"/>
      <c r="AS440" s="4510">
        <f>J440</f>
        <v>204</v>
      </c>
      <c r="AT440" s="1048"/>
      <c r="AU440" s="4417"/>
      <c r="AV440" s="4946"/>
      <c r="AW440" s="4946"/>
      <c r="AX440" s="1048">
        <f>J440/6</f>
        <v>34</v>
      </c>
      <c r="AY440" s="4946"/>
      <c r="AZ440" s="4946"/>
      <c r="BA440" s="1048"/>
      <c r="BB440" s="4622"/>
      <c r="BC440" s="4946"/>
      <c r="BD440" s="4622"/>
      <c r="BE440" s="4622"/>
      <c r="BF440" s="4622"/>
      <c r="BG440" s="4622"/>
      <c r="BH440" s="4510"/>
      <c r="BI440" s="4622"/>
      <c r="BJ440" s="1048"/>
      <c r="BK440" s="4415" t="s">
        <v>89</v>
      </c>
      <c r="BL440" s="4415">
        <f>J440/60*1</f>
        <v>3.4</v>
      </c>
      <c r="BM440" s="4415">
        <f>J440/60*9</f>
        <v>30.6</v>
      </c>
      <c r="BN440" s="4415">
        <f>J440/60*10</f>
        <v>34</v>
      </c>
      <c r="BO440" s="4415">
        <f>J440/60*10</f>
        <v>34</v>
      </c>
      <c r="BP440" s="4415">
        <f>J440/60*10</f>
        <v>34</v>
      </c>
      <c r="BQ440" s="4414">
        <f>J440/60*10</f>
        <v>34</v>
      </c>
      <c r="BR440" s="1048">
        <f>J440/60*10</f>
        <v>34</v>
      </c>
      <c r="BS440" s="4418"/>
      <c r="BT440" s="4418"/>
      <c r="BU440" s="4418"/>
      <c r="BV440" s="4418"/>
      <c r="BW440" s="4418"/>
      <c r="BX440" s="4472"/>
      <c r="BY440" s="4472"/>
      <c r="BZ440" s="3708">
        <f t="shared" si="227"/>
        <v>204</v>
      </c>
      <c r="CA440" s="4154">
        <f t="shared" ref="CA440:CA447" si="238">J440-BZ440</f>
        <v>0</v>
      </c>
      <c r="CB440" s="4644"/>
      <c r="CC440" s="4644"/>
      <c r="CD440" s="4323"/>
      <c r="CE440" s="4323"/>
      <c r="CF440" s="4323"/>
    </row>
    <row r="441" s="4316" customFormat="1" ht="50" customHeight="1" spans="1:84">
      <c r="A441" s="4500">
        <v>45941</v>
      </c>
      <c r="B441" s="3708" t="s">
        <v>2143</v>
      </c>
      <c r="C441" s="3708" t="s">
        <v>1624</v>
      </c>
      <c r="D441" s="4154">
        <v>4500181278</v>
      </c>
      <c r="E441" s="3708">
        <v>5200007921</v>
      </c>
      <c r="F441" s="4154" t="s">
        <v>2144</v>
      </c>
      <c r="G441" s="3708"/>
      <c r="H441" s="3708" t="s">
        <v>2145</v>
      </c>
      <c r="I441" s="4154" t="s">
        <v>328</v>
      </c>
      <c r="J441" s="4154">
        <v>330</v>
      </c>
      <c r="K441" s="4154">
        <v>0</v>
      </c>
      <c r="L441" s="4154">
        <v>6</v>
      </c>
      <c r="M441" s="4154">
        <f t="shared" si="235"/>
        <v>55</v>
      </c>
      <c r="N441" s="4503">
        <v>45981</v>
      </c>
      <c r="O441" s="4553">
        <v>45978</v>
      </c>
      <c r="P441" s="3712"/>
      <c r="Q441" s="4154" t="s">
        <v>82</v>
      </c>
      <c r="R441" s="4944"/>
      <c r="S441" s="4944"/>
      <c r="T441" s="4944"/>
      <c r="U441" s="3726"/>
      <c r="V441" s="3711" t="s">
        <v>2146</v>
      </c>
      <c r="W441" s="3711"/>
      <c r="X441" s="3711" t="s">
        <v>2147</v>
      </c>
      <c r="Y441" s="3711"/>
      <c r="Z441" s="3711"/>
      <c r="AA441" s="4154"/>
      <c r="AB441" s="3713" t="s">
        <v>2148</v>
      </c>
      <c r="AC441" s="3711" t="s">
        <v>2149</v>
      </c>
      <c r="AD441" s="4504">
        <v>2.1703</v>
      </c>
      <c r="AE441" s="4154">
        <f t="shared" si="212"/>
        <v>716.199</v>
      </c>
      <c r="AF441" s="4161" t="s">
        <v>2150</v>
      </c>
      <c r="AG441" s="3726"/>
      <c r="AH441" s="4405"/>
      <c r="AI441" s="4575"/>
      <c r="AJ441" s="4405"/>
      <c r="AK441" s="4575">
        <f>J441</f>
        <v>330</v>
      </c>
      <c r="AL441" s="3708"/>
      <c r="AM441" s="4154"/>
      <c r="AN441" s="4417"/>
      <c r="AO441" s="4510">
        <f t="shared" si="237"/>
        <v>330</v>
      </c>
      <c r="AP441" s="4510"/>
      <c r="AQ441" s="4417"/>
      <c r="AR441" s="4417"/>
      <c r="AS441" s="4510"/>
      <c r="AT441" s="1048">
        <f>J441</f>
        <v>330</v>
      </c>
      <c r="AU441" s="4417"/>
      <c r="AV441" s="4946"/>
      <c r="AW441" s="4946"/>
      <c r="AX441" s="1048"/>
      <c r="AY441" s="4946"/>
      <c r="AZ441" s="4946"/>
      <c r="BA441" s="1048">
        <f>J441/6</f>
        <v>55</v>
      </c>
      <c r="BB441" s="4622"/>
      <c r="BC441" s="4946"/>
      <c r="BD441" s="4622"/>
      <c r="BE441" s="4622"/>
      <c r="BF441" s="4622"/>
      <c r="BG441" s="4622"/>
      <c r="BH441" s="4510"/>
      <c r="BI441" s="4622"/>
      <c r="BJ441" s="1048"/>
      <c r="BK441" s="4415" t="s">
        <v>89</v>
      </c>
      <c r="BL441" s="4415">
        <f>J441/60*1</f>
        <v>5.5</v>
      </c>
      <c r="BM441" s="4415">
        <f>J441/60*9</f>
        <v>49.5</v>
      </c>
      <c r="BN441" s="4415">
        <f>J441/60*10</f>
        <v>55</v>
      </c>
      <c r="BO441" s="4415">
        <f>J441/60*10</f>
        <v>55</v>
      </c>
      <c r="BP441" s="4415">
        <f>J441/60*10</f>
        <v>55</v>
      </c>
      <c r="BQ441" s="4414">
        <f>J441/60*10</f>
        <v>55</v>
      </c>
      <c r="BR441" s="1048">
        <f>J441/60*10</f>
        <v>55</v>
      </c>
      <c r="BS441" s="4418"/>
      <c r="BT441" s="4418"/>
      <c r="BU441" s="4418"/>
      <c r="BV441" s="4418"/>
      <c r="BW441" s="4418"/>
      <c r="BX441" s="4472"/>
      <c r="BY441" s="4472"/>
      <c r="BZ441" s="3708">
        <f t="shared" si="227"/>
        <v>330</v>
      </c>
      <c r="CA441" s="4154">
        <f t="shared" si="238"/>
        <v>0</v>
      </c>
      <c r="CB441" s="4644"/>
      <c r="CC441" s="4644"/>
      <c r="CD441" s="4323"/>
      <c r="CE441" s="4323"/>
      <c r="CF441" s="4323"/>
    </row>
    <row r="442" s="4316" customFormat="1" ht="50" customHeight="1" spans="1:84">
      <c r="A442" s="4500">
        <v>45944</v>
      </c>
      <c r="B442" s="3708" t="s">
        <v>1641</v>
      </c>
      <c r="C442" s="3708" t="s">
        <v>396</v>
      </c>
      <c r="D442" s="4154">
        <v>4500181601</v>
      </c>
      <c r="E442" s="3708" t="s">
        <v>2151</v>
      </c>
      <c r="F442" s="4154" t="s">
        <v>2152</v>
      </c>
      <c r="G442" s="3708"/>
      <c r="H442" s="3708" t="s">
        <v>1020</v>
      </c>
      <c r="I442" s="3699" t="s">
        <v>328</v>
      </c>
      <c r="J442" s="4593">
        <v>12</v>
      </c>
      <c r="K442" s="4154">
        <v>0</v>
      </c>
      <c r="L442" s="4154">
        <v>12</v>
      </c>
      <c r="M442" s="4154">
        <f t="shared" si="235"/>
        <v>1</v>
      </c>
      <c r="N442" s="4503">
        <v>45981</v>
      </c>
      <c r="O442" s="4553">
        <v>45978</v>
      </c>
      <c r="P442" s="3712"/>
      <c r="Q442" s="4154" t="s">
        <v>82</v>
      </c>
      <c r="R442" s="4944"/>
      <c r="S442" s="4944"/>
      <c r="T442" s="4944"/>
      <c r="U442" s="3726" t="s">
        <v>2153</v>
      </c>
      <c r="V442" s="3711" t="s">
        <v>2139</v>
      </c>
      <c r="W442" s="3711"/>
      <c r="X442" s="3711" t="s">
        <v>1505</v>
      </c>
      <c r="Y442" s="3711"/>
      <c r="Z442" s="3711"/>
      <c r="AA442" s="4154"/>
      <c r="AB442" s="3713" t="s">
        <v>1507</v>
      </c>
      <c r="AC442" s="3711" t="s">
        <v>369</v>
      </c>
      <c r="AD442" s="4504">
        <v>2.2104</v>
      </c>
      <c r="AE442" s="4154">
        <f t="shared" si="212"/>
        <v>26.5248</v>
      </c>
      <c r="AF442" s="3726" t="s">
        <v>2154</v>
      </c>
      <c r="AG442" s="3726"/>
      <c r="AH442" s="4405"/>
      <c r="AI442" s="4575"/>
      <c r="AJ442" s="4405"/>
      <c r="AK442" s="4575">
        <f>J442</f>
        <v>12</v>
      </c>
      <c r="AL442" s="3708"/>
      <c r="AM442" s="4154"/>
      <c r="AN442" s="4417"/>
      <c r="AO442" s="4510">
        <f t="shared" si="237"/>
        <v>12</v>
      </c>
      <c r="AP442" s="4510"/>
      <c r="AQ442" s="4417"/>
      <c r="AR442" s="4417"/>
      <c r="AS442" s="4510"/>
      <c r="AT442" s="1048">
        <f>J442</f>
        <v>12</v>
      </c>
      <c r="AU442" s="4417"/>
      <c r="AV442" s="4946"/>
      <c r="AW442" s="4946"/>
      <c r="AX442" s="1048"/>
      <c r="AY442" s="4946"/>
      <c r="AZ442" s="4946"/>
      <c r="BA442" s="1048"/>
      <c r="BB442" s="4622"/>
      <c r="BC442" s="4946"/>
      <c r="BD442" s="4622"/>
      <c r="BE442" s="4622"/>
      <c r="BF442" s="4622"/>
      <c r="BG442" s="4622"/>
      <c r="BH442" s="4510"/>
      <c r="BI442" s="4622"/>
      <c r="BJ442" s="1048"/>
      <c r="BK442" s="4415" t="s">
        <v>89</v>
      </c>
      <c r="BL442" s="4589">
        <f>J442/59*1</f>
        <v>0.203389830508475</v>
      </c>
      <c r="BM442" s="4415"/>
      <c r="BN442" s="4589">
        <f>J442-BL442</f>
        <v>11.7966101694915</v>
      </c>
      <c r="BO442" s="4160"/>
      <c r="BP442" s="4415"/>
      <c r="BQ442" s="4414"/>
      <c r="BR442" s="1048"/>
      <c r="BS442" s="4418"/>
      <c r="BT442" s="4418"/>
      <c r="BU442" s="4418"/>
      <c r="BV442" s="4418"/>
      <c r="BW442" s="4418"/>
      <c r="BX442" s="4472"/>
      <c r="BY442" s="4472"/>
      <c r="BZ442" s="4562">
        <f t="shared" si="227"/>
        <v>12</v>
      </c>
      <c r="CA442" s="4562">
        <f t="shared" si="238"/>
        <v>0</v>
      </c>
      <c r="CB442" s="4644"/>
      <c r="CC442" s="4644"/>
      <c r="CD442" s="4323"/>
      <c r="CE442" s="4323"/>
      <c r="CF442" s="4323"/>
    </row>
    <row r="443" s="4316" customFormat="1" ht="50" customHeight="1" spans="1:84">
      <c r="A443" s="4500">
        <v>45944</v>
      </c>
      <c r="B443" s="3708" t="s">
        <v>1641</v>
      </c>
      <c r="C443" s="3708" t="s">
        <v>396</v>
      </c>
      <c r="D443" s="4154">
        <v>4500181601</v>
      </c>
      <c r="E443" s="3708" t="s">
        <v>2155</v>
      </c>
      <c r="F443" s="4154" t="s">
        <v>2156</v>
      </c>
      <c r="G443" s="3708"/>
      <c r="H443" s="3708" t="s">
        <v>1020</v>
      </c>
      <c r="I443" s="3699" t="s">
        <v>328</v>
      </c>
      <c r="J443" s="4593">
        <v>24</v>
      </c>
      <c r="K443" s="4154">
        <v>0</v>
      </c>
      <c r="L443" s="4154">
        <v>12</v>
      </c>
      <c r="M443" s="4154">
        <f t="shared" si="235"/>
        <v>2</v>
      </c>
      <c r="N443" s="4503">
        <v>45981</v>
      </c>
      <c r="O443" s="4553">
        <v>45978</v>
      </c>
      <c r="P443" s="3712"/>
      <c r="Q443" s="4154" t="s">
        <v>82</v>
      </c>
      <c r="R443" s="4944"/>
      <c r="S443" s="4944"/>
      <c r="T443" s="4944"/>
      <c r="U443" s="3726" t="s">
        <v>2153</v>
      </c>
      <c r="V443" s="3711" t="s">
        <v>2139</v>
      </c>
      <c r="W443" s="3711"/>
      <c r="X443" s="3711" t="s">
        <v>1505</v>
      </c>
      <c r="Y443" s="3711"/>
      <c r="Z443" s="3711"/>
      <c r="AA443" s="4154"/>
      <c r="AB443" s="3713" t="s">
        <v>1507</v>
      </c>
      <c r="AC443" s="3711" t="s">
        <v>369</v>
      </c>
      <c r="AD443" s="4504">
        <v>2.2104</v>
      </c>
      <c r="AE443" s="4154">
        <f t="shared" si="212"/>
        <v>53.0496</v>
      </c>
      <c r="AF443" s="3726" t="s">
        <v>2154</v>
      </c>
      <c r="AG443" s="3726"/>
      <c r="AH443" s="4405"/>
      <c r="AI443" s="4575"/>
      <c r="AJ443" s="4405"/>
      <c r="AK443" s="4575">
        <f>J443</f>
        <v>24</v>
      </c>
      <c r="AL443" s="3708"/>
      <c r="AM443" s="4154"/>
      <c r="AN443" s="4417"/>
      <c r="AO443" s="4510">
        <f t="shared" si="237"/>
        <v>24</v>
      </c>
      <c r="AP443" s="4510"/>
      <c r="AQ443" s="4417"/>
      <c r="AR443" s="4417"/>
      <c r="AS443" s="4510"/>
      <c r="AT443" s="1048">
        <f>J443</f>
        <v>24</v>
      </c>
      <c r="AU443" s="4417"/>
      <c r="AV443" s="4946"/>
      <c r="AW443" s="4946"/>
      <c r="AX443" s="1048"/>
      <c r="AY443" s="4946"/>
      <c r="AZ443" s="4946"/>
      <c r="BA443" s="1048"/>
      <c r="BB443" s="4622"/>
      <c r="BC443" s="4946"/>
      <c r="BD443" s="4622"/>
      <c r="BE443" s="4622"/>
      <c r="BF443" s="4622"/>
      <c r="BG443" s="4622"/>
      <c r="BH443" s="4510"/>
      <c r="BI443" s="4622"/>
      <c r="BJ443" s="1048"/>
      <c r="BK443" s="4415" t="s">
        <v>89</v>
      </c>
      <c r="BL443" s="4589">
        <f>J443/59*1</f>
        <v>0.406779661016949</v>
      </c>
      <c r="BM443" s="4415"/>
      <c r="BN443" s="4589">
        <f>J443-BL443</f>
        <v>23.5932203389831</v>
      </c>
      <c r="BO443" s="4160"/>
      <c r="BP443" s="4415"/>
      <c r="BQ443" s="4414"/>
      <c r="BR443" s="1048"/>
      <c r="BS443" s="4418"/>
      <c r="BT443" s="4418"/>
      <c r="BU443" s="4418"/>
      <c r="BV443" s="4418"/>
      <c r="BW443" s="4418"/>
      <c r="BX443" s="4472"/>
      <c r="BY443" s="4472"/>
      <c r="BZ443" s="4562">
        <f t="shared" si="227"/>
        <v>24</v>
      </c>
      <c r="CA443" s="4562">
        <f t="shared" si="238"/>
        <v>0</v>
      </c>
      <c r="CB443" s="4644"/>
      <c r="CC443" s="4644"/>
      <c r="CD443" s="4323"/>
      <c r="CE443" s="4323"/>
      <c r="CF443" s="4323"/>
    </row>
    <row r="444" s="4316" customFormat="1" ht="50" customHeight="1" spans="1:84">
      <c r="A444" s="4500">
        <v>45944</v>
      </c>
      <c r="B444" s="3708" t="s">
        <v>1641</v>
      </c>
      <c r="C444" s="3708" t="s">
        <v>396</v>
      </c>
      <c r="D444" s="4154">
        <v>4500181601</v>
      </c>
      <c r="E444" s="3708" t="s">
        <v>2157</v>
      </c>
      <c r="F444" s="4154" t="s">
        <v>2158</v>
      </c>
      <c r="G444" s="3708"/>
      <c r="H444" s="3708" t="s">
        <v>1033</v>
      </c>
      <c r="I444" s="3699" t="s">
        <v>328</v>
      </c>
      <c r="J444" s="4593">
        <v>12</v>
      </c>
      <c r="K444" s="4154">
        <v>0</v>
      </c>
      <c r="L444" s="4154">
        <v>12</v>
      </c>
      <c r="M444" s="4154">
        <v>1</v>
      </c>
      <c r="N444" s="4503">
        <v>45981</v>
      </c>
      <c r="O444" s="4553">
        <v>45978</v>
      </c>
      <c r="P444" s="3712"/>
      <c r="Q444" s="4154" t="s">
        <v>82</v>
      </c>
      <c r="R444" s="4944"/>
      <c r="S444" s="4944"/>
      <c r="T444" s="4944"/>
      <c r="U444" s="3726" t="s">
        <v>2153</v>
      </c>
      <c r="V444" s="3711" t="s">
        <v>2139</v>
      </c>
      <c r="W444" s="3711"/>
      <c r="X444" s="3711" t="s">
        <v>1505</v>
      </c>
      <c r="Y444" s="3711"/>
      <c r="Z444" s="3711"/>
      <c r="AA444" s="4154"/>
      <c r="AB444" s="3713" t="s">
        <v>1507</v>
      </c>
      <c r="AC444" s="3711" t="s">
        <v>369</v>
      </c>
      <c r="AD444" s="4504">
        <v>2.2104</v>
      </c>
      <c r="AE444" s="4154">
        <f t="shared" si="212"/>
        <v>26.5248</v>
      </c>
      <c r="AF444" s="3726" t="s">
        <v>2154</v>
      </c>
      <c r="AG444" s="3726"/>
      <c r="AH444" s="4405"/>
      <c r="AI444" s="4575"/>
      <c r="AJ444" s="4405"/>
      <c r="AK444" s="4575">
        <f>J444</f>
        <v>12</v>
      </c>
      <c r="AL444" s="3708"/>
      <c r="AM444" s="4154"/>
      <c r="AN444" s="4417"/>
      <c r="AO444" s="4510">
        <f t="shared" si="237"/>
        <v>12</v>
      </c>
      <c r="AP444" s="4510"/>
      <c r="AQ444" s="4417"/>
      <c r="AR444" s="4417"/>
      <c r="AS444" s="4510"/>
      <c r="AT444" s="1048">
        <f>J444</f>
        <v>12</v>
      </c>
      <c r="AU444" s="4417"/>
      <c r="AV444" s="4946"/>
      <c r="AW444" s="4946"/>
      <c r="AX444" s="1048"/>
      <c r="AY444" s="4946"/>
      <c r="AZ444" s="4946"/>
      <c r="BA444" s="1048"/>
      <c r="BB444" s="4622"/>
      <c r="BC444" s="4946"/>
      <c r="BD444" s="4622"/>
      <c r="BE444" s="4622"/>
      <c r="BF444" s="4622"/>
      <c r="BG444" s="4622"/>
      <c r="BH444" s="4510"/>
      <c r="BI444" s="4622"/>
      <c r="BJ444" s="1048"/>
      <c r="BK444" s="4415" t="s">
        <v>89</v>
      </c>
      <c r="BL444" s="4589">
        <f>J444/60*1</f>
        <v>0.2</v>
      </c>
      <c r="BM444" s="4415"/>
      <c r="BN444" s="4589"/>
      <c r="BO444" s="4589">
        <f>J444-BL444</f>
        <v>11.8</v>
      </c>
      <c r="BP444" s="4415"/>
      <c r="BQ444" s="4414"/>
      <c r="BR444" s="1048"/>
      <c r="BS444" s="4418"/>
      <c r="BT444" s="4418"/>
      <c r="BU444" s="4418"/>
      <c r="BV444" s="4418"/>
      <c r="BW444" s="4418"/>
      <c r="BX444" s="4472"/>
      <c r="BY444" s="4472"/>
      <c r="BZ444" s="4562">
        <f t="shared" si="227"/>
        <v>12</v>
      </c>
      <c r="CA444" s="4562">
        <f t="shared" si="238"/>
        <v>0</v>
      </c>
      <c r="CB444" s="4644"/>
      <c r="CC444" s="4644"/>
      <c r="CD444" s="4323"/>
      <c r="CE444" s="4323"/>
      <c r="CF444" s="4323"/>
    </row>
    <row r="445" s="4316" customFormat="1" ht="50" customHeight="1" spans="1:84">
      <c r="A445" s="4500">
        <v>45944</v>
      </c>
      <c r="B445" s="3708" t="s">
        <v>1641</v>
      </c>
      <c r="C445" s="3708" t="s">
        <v>396</v>
      </c>
      <c r="D445" s="4154">
        <v>4500181601</v>
      </c>
      <c r="E445" s="3708" t="s">
        <v>2159</v>
      </c>
      <c r="F445" s="4154" t="s">
        <v>2160</v>
      </c>
      <c r="G445" s="3708"/>
      <c r="H445" s="3708" t="s">
        <v>1033</v>
      </c>
      <c r="I445" s="3699" t="s">
        <v>328</v>
      </c>
      <c r="J445" s="4593">
        <v>12</v>
      </c>
      <c r="K445" s="4154">
        <v>0</v>
      </c>
      <c r="L445" s="4154">
        <v>12</v>
      </c>
      <c r="M445" s="4154">
        <v>1</v>
      </c>
      <c r="N445" s="4503">
        <v>45981</v>
      </c>
      <c r="O445" s="4553">
        <v>45978</v>
      </c>
      <c r="P445" s="3712"/>
      <c r="Q445" s="4154" t="s">
        <v>82</v>
      </c>
      <c r="R445" s="4944"/>
      <c r="S445" s="4944"/>
      <c r="T445" s="4944"/>
      <c r="U445" s="3726" t="s">
        <v>2153</v>
      </c>
      <c r="V445" s="3711" t="s">
        <v>2139</v>
      </c>
      <c r="W445" s="3711"/>
      <c r="X445" s="3711" t="s">
        <v>1505</v>
      </c>
      <c r="Y445" s="3711"/>
      <c r="Z445" s="3711"/>
      <c r="AA445" s="4154"/>
      <c r="AB445" s="3713" t="s">
        <v>1507</v>
      </c>
      <c r="AC445" s="3711" t="s">
        <v>369</v>
      </c>
      <c r="AD445" s="4504">
        <v>2.2104</v>
      </c>
      <c r="AE445" s="4154">
        <f t="shared" si="212"/>
        <v>26.5248</v>
      </c>
      <c r="AF445" s="3726" t="s">
        <v>2154</v>
      </c>
      <c r="AG445" s="3726"/>
      <c r="AH445" s="4405"/>
      <c r="AI445" s="4575"/>
      <c r="AJ445" s="4405"/>
      <c r="AK445" s="4575">
        <f>J445</f>
        <v>12</v>
      </c>
      <c r="AL445" s="3708"/>
      <c r="AM445" s="4154"/>
      <c r="AN445" s="4417"/>
      <c r="AO445" s="4510">
        <f t="shared" si="237"/>
        <v>12</v>
      </c>
      <c r="AP445" s="4510"/>
      <c r="AQ445" s="4417"/>
      <c r="AR445" s="4417"/>
      <c r="AS445" s="4510"/>
      <c r="AT445" s="1048">
        <f>J445</f>
        <v>12</v>
      </c>
      <c r="AU445" s="4417"/>
      <c r="AV445" s="4946"/>
      <c r="AW445" s="4946"/>
      <c r="AX445" s="1048"/>
      <c r="AY445" s="4946"/>
      <c r="AZ445" s="4946"/>
      <c r="BA445" s="1048"/>
      <c r="BB445" s="4622"/>
      <c r="BC445" s="4946"/>
      <c r="BD445" s="4622"/>
      <c r="BE445" s="4622"/>
      <c r="BF445" s="4622"/>
      <c r="BG445" s="4622"/>
      <c r="BH445" s="4510"/>
      <c r="BI445" s="4622"/>
      <c r="BJ445" s="1048"/>
      <c r="BK445" s="4415" t="s">
        <v>89</v>
      </c>
      <c r="BL445" s="4589">
        <f>J445/60*1</f>
        <v>0.2</v>
      </c>
      <c r="BM445" s="4415"/>
      <c r="BN445" s="4589"/>
      <c r="BO445" s="4589">
        <f>J445-BL445</f>
        <v>11.8</v>
      </c>
      <c r="BP445" s="4415"/>
      <c r="BQ445" s="4414"/>
      <c r="BR445" s="1048"/>
      <c r="BS445" s="4418"/>
      <c r="BT445" s="4418"/>
      <c r="BU445" s="4418"/>
      <c r="BV445" s="4418"/>
      <c r="BW445" s="4418"/>
      <c r="BX445" s="4472"/>
      <c r="BY445" s="4472"/>
      <c r="BZ445" s="4562">
        <f t="shared" si="227"/>
        <v>12</v>
      </c>
      <c r="CA445" s="4562">
        <f t="shared" si="238"/>
        <v>0</v>
      </c>
      <c r="CB445" s="4644"/>
      <c r="CC445" s="4644"/>
      <c r="CD445" s="4323"/>
      <c r="CE445" s="4323"/>
      <c r="CF445" s="4323"/>
    </row>
    <row r="446" s="4316" customFormat="1" ht="50" customHeight="1" spans="1:84">
      <c r="A446" s="4500">
        <v>45968</v>
      </c>
      <c r="B446" s="3708"/>
      <c r="C446" s="3708"/>
      <c r="D446" s="4154" t="s">
        <v>2161</v>
      </c>
      <c r="E446" s="3708"/>
      <c r="F446" s="4154"/>
      <c r="G446" s="3708"/>
      <c r="H446" s="3708" t="s">
        <v>333</v>
      </c>
      <c r="I446" s="3708" t="s">
        <v>328</v>
      </c>
      <c r="J446" s="4593">
        <v>168</v>
      </c>
      <c r="K446" s="4154">
        <v>0</v>
      </c>
      <c r="L446" s="4154">
        <v>24</v>
      </c>
      <c r="M446" s="4154">
        <f t="shared" ref="M446:M509" si="239">J446/L446</f>
        <v>7</v>
      </c>
      <c r="N446" s="4503">
        <v>45981</v>
      </c>
      <c r="O446" s="4553">
        <v>45978</v>
      </c>
      <c r="P446" s="3712"/>
      <c r="Q446" s="4154" t="s">
        <v>82</v>
      </c>
      <c r="R446" s="4944"/>
      <c r="S446" s="4944"/>
      <c r="T446" s="4944"/>
      <c r="U446" s="3726"/>
      <c r="V446" s="3711" t="s">
        <v>2162</v>
      </c>
      <c r="W446" s="3711"/>
      <c r="X446" s="3711" t="s">
        <v>98</v>
      </c>
      <c r="Y446" s="3711"/>
      <c r="Z446" s="3711"/>
      <c r="AA446" s="4154"/>
      <c r="AB446" s="3713" t="s">
        <v>2163</v>
      </c>
      <c r="AC446" s="3711" t="s">
        <v>792</v>
      </c>
      <c r="AD446" s="4504"/>
      <c r="AE446" s="4154"/>
      <c r="AF446" s="3726"/>
      <c r="AG446" s="3726"/>
      <c r="AH446" s="4484"/>
      <c r="AI446" s="4575">
        <f>J446</f>
        <v>168</v>
      </c>
      <c r="AJ446" s="4484"/>
      <c r="AK446" s="4575"/>
      <c r="AL446" s="3708"/>
      <c r="AM446" s="4154"/>
      <c r="AN446" s="4463"/>
      <c r="AO446" s="4510">
        <f t="shared" si="237"/>
        <v>168</v>
      </c>
      <c r="AP446" s="4510"/>
      <c r="AQ446" s="4463"/>
      <c r="AR446" s="4463"/>
      <c r="AS446" s="4510">
        <f>J446</f>
        <v>168</v>
      </c>
      <c r="AT446" s="1048"/>
      <c r="AU446" s="4463"/>
      <c r="AV446" s="4947"/>
      <c r="AW446" s="4947"/>
      <c r="AX446" s="1048"/>
      <c r="AY446" s="4947"/>
      <c r="AZ446" s="4947"/>
      <c r="BA446" s="1048"/>
      <c r="BB446" s="4622"/>
      <c r="BC446" s="4947"/>
      <c r="BD446" s="4622"/>
      <c r="BE446" s="4622"/>
      <c r="BF446" s="4622"/>
      <c r="BG446" s="4622"/>
      <c r="BH446" s="4510"/>
      <c r="BI446" s="4622"/>
      <c r="BJ446" s="1048"/>
      <c r="BK446" s="4415" t="s">
        <v>89</v>
      </c>
      <c r="BL446" s="4589">
        <f>J446/60*1</f>
        <v>2.8</v>
      </c>
      <c r="BM446" s="4415">
        <f>J446/60*9</f>
        <v>25.2</v>
      </c>
      <c r="BN446" s="4589">
        <f>J446/60*10</f>
        <v>28</v>
      </c>
      <c r="BO446" s="4589">
        <f>J446/60*10</f>
        <v>28</v>
      </c>
      <c r="BP446" s="4415">
        <f>J446/60*10</f>
        <v>28</v>
      </c>
      <c r="BQ446" s="4414">
        <f>J446/60*10</f>
        <v>28</v>
      </c>
      <c r="BR446" s="1048">
        <f>J446/60*10</f>
        <v>28</v>
      </c>
      <c r="BS446" s="4465"/>
      <c r="BT446" s="4465"/>
      <c r="BU446" s="4465"/>
      <c r="BV446" s="4465"/>
      <c r="BW446" s="4465"/>
      <c r="BX446" s="4464"/>
      <c r="BY446" s="4464"/>
      <c r="BZ446" s="4562">
        <f t="shared" si="227"/>
        <v>168</v>
      </c>
      <c r="CA446" s="4562">
        <f t="shared" si="238"/>
        <v>0</v>
      </c>
      <c r="CB446" s="4548"/>
      <c r="CC446" s="4548"/>
      <c r="CD446" s="4323"/>
      <c r="CE446" s="4323"/>
      <c r="CF446" s="4323"/>
    </row>
    <row r="447" s="4316" customFormat="1" ht="50" customHeight="1" spans="1:84">
      <c r="A447" s="4500">
        <v>45952</v>
      </c>
      <c r="B447" s="4501" t="s">
        <v>2005</v>
      </c>
      <c r="C447" s="3708" t="s">
        <v>673</v>
      </c>
      <c r="D447" s="4502">
        <v>4500180345</v>
      </c>
      <c r="E447" s="3708">
        <v>5000002005</v>
      </c>
      <c r="F447" s="4502" t="s">
        <v>2164</v>
      </c>
      <c r="G447" s="3708"/>
      <c r="H447" s="3708" t="s">
        <v>508</v>
      </c>
      <c r="I447" s="3708" t="s">
        <v>328</v>
      </c>
      <c r="J447" s="4593">
        <v>9000</v>
      </c>
      <c r="K447" s="4154">
        <v>0</v>
      </c>
      <c r="L447" s="4154">
        <v>6</v>
      </c>
      <c r="M447" s="4154">
        <f t="shared" si="239"/>
        <v>1500</v>
      </c>
      <c r="N447" s="4503">
        <v>45992</v>
      </c>
      <c r="O447" s="4503">
        <f>N447-4</f>
        <v>45988</v>
      </c>
      <c r="P447" s="3712"/>
      <c r="Q447" s="4154" t="s">
        <v>82</v>
      </c>
      <c r="R447" s="4797"/>
      <c r="S447" s="4797"/>
      <c r="T447" s="4797"/>
      <c r="U447" s="3726"/>
      <c r="V447" s="3711" t="s">
        <v>2165</v>
      </c>
      <c r="W447" s="3711"/>
      <c r="X447" s="3711" t="s">
        <v>2166</v>
      </c>
      <c r="Y447" s="3711"/>
      <c r="Z447" s="3711"/>
      <c r="AA447" s="4154"/>
      <c r="AB447" s="3713" t="s">
        <v>2134</v>
      </c>
      <c r="AC447" s="4154" t="s">
        <v>993</v>
      </c>
      <c r="AD447" s="4504">
        <v>2.0656</v>
      </c>
      <c r="AE447" s="4154">
        <f t="shared" ref="AE447:AE456" si="240">J447*AD447</f>
        <v>18590.4</v>
      </c>
      <c r="AF447" s="3726" t="s">
        <v>2167</v>
      </c>
      <c r="AG447" s="3726"/>
      <c r="AH447" s="4422"/>
      <c r="AI447" s="4575">
        <f>J447</f>
        <v>9000</v>
      </c>
      <c r="AJ447" s="4422"/>
      <c r="AK447" s="4575"/>
      <c r="AL447" s="3708"/>
      <c r="AM447" s="4154"/>
      <c r="AN447" s="907"/>
      <c r="AO447" s="4510"/>
      <c r="AP447" s="4510">
        <f>J447</f>
        <v>9000</v>
      </c>
      <c r="AQ447" s="907"/>
      <c r="AR447" s="907"/>
      <c r="AS447" s="4510">
        <f>J447</f>
        <v>9000</v>
      </c>
      <c r="AT447" s="1048"/>
      <c r="AU447" s="907"/>
      <c r="AV447" s="4922"/>
      <c r="AW447" s="4922"/>
      <c r="AX447" s="4510">
        <f>J447/6</f>
        <v>1500</v>
      </c>
      <c r="AY447" s="4922"/>
      <c r="AZ447" s="4922"/>
      <c r="BA447" s="1048"/>
      <c r="BB447" s="4622"/>
      <c r="BC447" s="4922"/>
      <c r="BD447" s="4622"/>
      <c r="BE447" s="4622"/>
      <c r="BF447" s="4622"/>
      <c r="BG447" s="4622"/>
      <c r="BH447" s="4510"/>
      <c r="BI447" s="4622"/>
      <c r="BJ447" s="1048"/>
      <c r="BK447" s="4160" t="s">
        <v>89</v>
      </c>
      <c r="BL447" s="4415">
        <f>J447/60*1</f>
        <v>150</v>
      </c>
      <c r="BM447" s="4415">
        <f>J447/60*9</f>
        <v>1350</v>
      </c>
      <c r="BN447" s="4415">
        <f>J447/60*10</f>
        <v>1500</v>
      </c>
      <c r="BO447" s="4415">
        <f>J447/60*10</f>
        <v>1500</v>
      </c>
      <c r="BP447" s="4415">
        <f>J447/60*10</f>
        <v>1500</v>
      </c>
      <c r="BQ447" s="4414">
        <f>J447/60*10</f>
        <v>1500</v>
      </c>
      <c r="BR447" s="1048">
        <f>J447/60*10</f>
        <v>1500</v>
      </c>
      <c r="BS447" s="911"/>
      <c r="BT447" s="911"/>
      <c r="BU447" s="911"/>
      <c r="BV447" s="911"/>
      <c r="BW447" s="911"/>
      <c r="BX447" s="910"/>
      <c r="BY447" s="910"/>
      <c r="BZ447" s="3708">
        <f t="shared" si="227"/>
        <v>9000</v>
      </c>
      <c r="CA447" s="4154">
        <f t="shared" si="238"/>
        <v>0</v>
      </c>
      <c r="CB447" s="4923"/>
      <c r="CC447" s="4923"/>
      <c r="CD447" s="4323"/>
      <c r="CE447" s="4323"/>
      <c r="CF447" s="4323"/>
    </row>
    <row r="448" s="4316" customFormat="1" ht="50" customHeight="1" spans="1:84">
      <c r="A448" s="4500">
        <v>45952</v>
      </c>
      <c r="B448" s="4501" t="s">
        <v>2005</v>
      </c>
      <c r="C448" s="3708" t="s">
        <v>673</v>
      </c>
      <c r="D448" s="4502">
        <v>4500180345</v>
      </c>
      <c r="E448" s="3708">
        <v>5000002005</v>
      </c>
      <c r="F448" s="4502" t="s">
        <v>2168</v>
      </c>
      <c r="G448" s="3708"/>
      <c r="H448" s="3708" t="s">
        <v>1933</v>
      </c>
      <c r="I448" s="3708" t="s">
        <v>1934</v>
      </c>
      <c r="J448" s="4154">
        <v>1500</v>
      </c>
      <c r="K448" s="4154">
        <v>0</v>
      </c>
      <c r="L448" s="4154">
        <v>3</v>
      </c>
      <c r="M448" s="4509">
        <f t="shared" si="239"/>
        <v>500</v>
      </c>
      <c r="N448" s="4503">
        <v>45992</v>
      </c>
      <c r="O448" s="4503">
        <f>N448-4</f>
        <v>45988</v>
      </c>
      <c r="P448" s="3712"/>
      <c r="Q448" s="4154" t="s">
        <v>82</v>
      </c>
      <c r="R448" s="4797"/>
      <c r="S448" s="4797"/>
      <c r="T448" s="4797"/>
      <c r="U448" s="3726"/>
      <c r="V448" s="3711" t="s">
        <v>2169</v>
      </c>
      <c r="W448" s="3711"/>
      <c r="X448" s="3711" t="s">
        <v>2170</v>
      </c>
      <c r="Y448" s="3711"/>
      <c r="Z448" s="3711"/>
      <c r="AA448" s="4154"/>
      <c r="AB448" s="3713" t="s">
        <v>2124</v>
      </c>
      <c r="AC448" s="4154" t="s">
        <v>993</v>
      </c>
      <c r="AD448" s="4504">
        <v>4.5087</v>
      </c>
      <c r="AE448" s="4154">
        <f t="shared" si="240"/>
        <v>6763.05</v>
      </c>
      <c r="AF448" s="3726" t="s">
        <v>2167</v>
      </c>
      <c r="AG448" s="3726"/>
      <c r="AH448" s="4422"/>
      <c r="AI448" s="4575">
        <f>J448*2</f>
        <v>3000</v>
      </c>
      <c r="AJ448" s="4422"/>
      <c r="AK448" s="4575"/>
      <c r="AL448" s="3708"/>
      <c r="AM448" s="4154"/>
      <c r="AN448" s="907"/>
      <c r="AO448" s="4510"/>
      <c r="AP448" s="4510">
        <f>J448*2</f>
        <v>3000</v>
      </c>
      <c r="AQ448" s="907"/>
      <c r="AR448" s="907"/>
      <c r="AS448" s="4510">
        <f>J448*2</f>
        <v>3000</v>
      </c>
      <c r="AT448" s="1048"/>
      <c r="AU448" s="907"/>
      <c r="AV448" s="4922"/>
      <c r="AW448" s="4922"/>
      <c r="AX448" s="4510"/>
      <c r="AY448" s="4922"/>
      <c r="AZ448" s="4922"/>
      <c r="BA448" s="1048"/>
      <c r="BB448" s="4622"/>
      <c r="BC448" s="4922"/>
      <c r="BD448" s="4622"/>
      <c r="BE448" s="4622"/>
      <c r="BF448" s="4622"/>
      <c r="BG448" s="4622"/>
      <c r="BH448" s="4510">
        <f>J448</f>
        <v>1500</v>
      </c>
      <c r="BI448" s="4622"/>
      <c r="BJ448" s="1048"/>
      <c r="BK448" s="4160" t="s">
        <v>89</v>
      </c>
      <c r="BL448" s="4415">
        <f>J448/60*1*2</f>
        <v>50</v>
      </c>
      <c r="BM448" s="4415">
        <f>J448/60*9*2</f>
        <v>450</v>
      </c>
      <c r="BN448" s="4415">
        <f>J448/60*10*2</f>
        <v>500</v>
      </c>
      <c r="BO448" s="4415">
        <f>J448/60*10*2</f>
        <v>500</v>
      </c>
      <c r="BP448" s="4415">
        <f>J448/60*10*2</f>
        <v>500</v>
      </c>
      <c r="BQ448" s="4414">
        <f>J448/60*10*2</f>
        <v>500</v>
      </c>
      <c r="BR448" s="1048">
        <f>J448/60*10*2</f>
        <v>500</v>
      </c>
      <c r="BS448" s="911"/>
      <c r="BT448" s="911"/>
      <c r="BU448" s="911"/>
      <c r="BV448" s="911"/>
      <c r="BW448" s="911"/>
      <c r="BX448" s="910"/>
      <c r="BY448" s="910"/>
      <c r="BZ448" s="3708">
        <f t="shared" si="227"/>
        <v>3000</v>
      </c>
      <c r="CA448" s="4154">
        <f>SUM(BL448:BR448)-BZ448</f>
        <v>0</v>
      </c>
      <c r="CB448" s="4923"/>
      <c r="CC448" s="4923"/>
      <c r="CD448" s="4323"/>
      <c r="CE448" s="4323"/>
      <c r="CF448" s="4323"/>
    </row>
    <row r="449" s="4316" customFormat="1" ht="50" customHeight="1" spans="1:84">
      <c r="A449" s="4500">
        <v>45947</v>
      </c>
      <c r="B449" s="3708" t="s">
        <v>2171</v>
      </c>
      <c r="C449" s="3708" t="s">
        <v>341</v>
      </c>
      <c r="D449" s="4154">
        <v>4500182286</v>
      </c>
      <c r="E449" s="3708" t="s">
        <v>2172</v>
      </c>
      <c r="F449" s="4154" t="s">
        <v>2173</v>
      </c>
      <c r="G449" s="3708"/>
      <c r="H449" s="3708" t="s">
        <v>1045</v>
      </c>
      <c r="I449" s="4154" t="s">
        <v>328</v>
      </c>
      <c r="J449" s="4154">
        <v>504</v>
      </c>
      <c r="K449" s="4154">
        <v>0</v>
      </c>
      <c r="L449" s="4154">
        <v>12</v>
      </c>
      <c r="M449" s="4154">
        <f t="shared" si="239"/>
        <v>42</v>
      </c>
      <c r="N449" s="4503">
        <v>45996</v>
      </c>
      <c r="O449" s="4553">
        <v>45992</v>
      </c>
      <c r="P449" s="3712"/>
      <c r="Q449" s="4154" t="s">
        <v>82</v>
      </c>
      <c r="R449" s="4944"/>
      <c r="S449" s="4944"/>
      <c r="T449" s="4944"/>
      <c r="U449" s="3726" t="s">
        <v>2174</v>
      </c>
      <c r="V449" s="3711" t="s">
        <v>1262</v>
      </c>
      <c r="W449" s="3711"/>
      <c r="X449" s="3711" t="s">
        <v>2175</v>
      </c>
      <c r="Y449" s="3711"/>
      <c r="Z449" s="3711"/>
      <c r="AA449" s="4154"/>
      <c r="AB449" s="3713" t="s">
        <v>2176</v>
      </c>
      <c r="AC449" s="3711" t="s">
        <v>380</v>
      </c>
      <c r="AD449" s="4504">
        <v>2.0947</v>
      </c>
      <c r="AE449" s="4154">
        <f t="shared" si="240"/>
        <v>1055.7288</v>
      </c>
      <c r="AF449" s="3726"/>
      <c r="AG449" s="3726"/>
      <c r="AH449" s="4405"/>
      <c r="AI449" s="4575"/>
      <c r="AJ449" s="4405"/>
      <c r="AK449" s="3708">
        <f>J449</f>
        <v>504</v>
      </c>
      <c r="AL449" s="3708"/>
      <c r="AM449" s="4154"/>
      <c r="AN449" s="4417"/>
      <c r="AO449" s="4510">
        <f t="shared" ref="AO449:AO459" si="241">J449</f>
        <v>504</v>
      </c>
      <c r="AP449" s="1048"/>
      <c r="AQ449" s="4417"/>
      <c r="AR449" s="4417"/>
      <c r="AS449" s="4510">
        <f t="shared" ref="AS449:AS459" si="242">J449</f>
        <v>504</v>
      </c>
      <c r="AT449" s="1048"/>
      <c r="AU449" s="4417"/>
      <c r="AV449" s="4946"/>
      <c r="AW449" s="4946"/>
      <c r="AX449" s="1048"/>
      <c r="AY449" s="4946"/>
      <c r="AZ449" s="4946"/>
      <c r="BA449" s="1048"/>
      <c r="BB449" s="4622"/>
      <c r="BC449" s="4946"/>
      <c r="BD449" s="4622"/>
      <c r="BE449" s="4622"/>
      <c r="BF449" s="4622"/>
      <c r="BG449" s="4622"/>
      <c r="BH449" s="4622"/>
      <c r="BI449" s="4622"/>
      <c r="BJ449" s="1048"/>
      <c r="BK449" s="4415" t="s">
        <v>89</v>
      </c>
      <c r="BL449" s="4415"/>
      <c r="BM449" s="4415"/>
      <c r="BN449" s="4558">
        <f>J449</f>
        <v>504</v>
      </c>
      <c r="BO449" s="4558"/>
      <c r="BP449" s="4558"/>
      <c r="BQ449" s="4928"/>
      <c r="BR449" s="4510"/>
      <c r="BS449" s="4418"/>
      <c r="BT449" s="4418"/>
      <c r="BU449" s="4418"/>
      <c r="BV449" s="4418"/>
      <c r="BW449" s="4418"/>
      <c r="BX449" s="4472"/>
      <c r="BY449" s="4472"/>
      <c r="BZ449" s="3708">
        <f t="shared" si="227"/>
        <v>504</v>
      </c>
      <c r="CA449" s="4154">
        <f t="shared" ref="CA449:CA459" si="243">J449-BZ449</f>
        <v>0</v>
      </c>
      <c r="CB449" s="4644"/>
      <c r="CC449" s="4644"/>
      <c r="CD449" s="4323"/>
      <c r="CE449" s="4323"/>
      <c r="CF449" s="4323"/>
    </row>
    <row r="450" s="4316" customFormat="1" ht="50" customHeight="1" spans="1:84">
      <c r="A450" s="4500">
        <v>45947</v>
      </c>
      <c r="B450" s="3708" t="s">
        <v>2171</v>
      </c>
      <c r="C450" s="3708" t="s">
        <v>2058</v>
      </c>
      <c r="D450" s="4154">
        <v>4500182286</v>
      </c>
      <c r="E450" s="3708" t="s">
        <v>2177</v>
      </c>
      <c r="F450" s="4154" t="s">
        <v>2178</v>
      </c>
      <c r="G450" s="3708"/>
      <c r="H450" s="3708" t="s">
        <v>1045</v>
      </c>
      <c r="I450" s="4154" t="s">
        <v>328</v>
      </c>
      <c r="J450" s="4154">
        <v>504</v>
      </c>
      <c r="K450" s="4154">
        <v>0</v>
      </c>
      <c r="L450" s="4154">
        <v>12</v>
      </c>
      <c r="M450" s="4154">
        <f t="shared" si="239"/>
        <v>42</v>
      </c>
      <c r="N450" s="4503">
        <v>45996</v>
      </c>
      <c r="O450" s="4553">
        <v>45992</v>
      </c>
      <c r="P450" s="3712"/>
      <c r="Q450" s="4154" t="s">
        <v>82</v>
      </c>
      <c r="R450" s="4944"/>
      <c r="S450" s="4944"/>
      <c r="T450" s="4944"/>
      <c r="U450" s="3726" t="s">
        <v>2179</v>
      </c>
      <c r="V450" s="3711" t="s">
        <v>1262</v>
      </c>
      <c r="W450" s="3711"/>
      <c r="X450" s="3711" t="s">
        <v>2175</v>
      </c>
      <c r="Y450" s="3711"/>
      <c r="Z450" s="3711"/>
      <c r="AA450" s="4154"/>
      <c r="AB450" s="3713" t="s">
        <v>2176</v>
      </c>
      <c r="AC450" s="3711" t="s">
        <v>380</v>
      </c>
      <c r="AD450" s="4504">
        <v>2.0947</v>
      </c>
      <c r="AE450" s="4154">
        <f t="shared" si="240"/>
        <v>1055.7288</v>
      </c>
      <c r="AF450" s="3726"/>
      <c r="AG450" s="3726"/>
      <c r="AH450" s="4405"/>
      <c r="AI450" s="4575"/>
      <c r="AJ450" s="4405"/>
      <c r="AK450" s="3708">
        <f>J450</f>
        <v>504</v>
      </c>
      <c r="AL450" s="3708"/>
      <c r="AM450" s="4154"/>
      <c r="AN450" s="4417"/>
      <c r="AO450" s="4510">
        <f t="shared" si="241"/>
        <v>504</v>
      </c>
      <c r="AP450" s="1048"/>
      <c r="AQ450" s="4417"/>
      <c r="AR450" s="4417"/>
      <c r="AS450" s="4510">
        <f t="shared" si="242"/>
        <v>504</v>
      </c>
      <c r="AT450" s="1048"/>
      <c r="AU450" s="4417"/>
      <c r="AV450" s="4946"/>
      <c r="AW450" s="4946"/>
      <c r="AX450" s="1048"/>
      <c r="AY450" s="4946"/>
      <c r="AZ450" s="4946"/>
      <c r="BA450" s="1048"/>
      <c r="BB450" s="4622"/>
      <c r="BC450" s="4946"/>
      <c r="BD450" s="4622"/>
      <c r="BE450" s="4622"/>
      <c r="BF450" s="4622"/>
      <c r="BG450" s="4622"/>
      <c r="BH450" s="4622"/>
      <c r="BI450" s="4622"/>
      <c r="BJ450" s="1048"/>
      <c r="BK450" s="4415" t="s">
        <v>89</v>
      </c>
      <c r="BL450" s="4415"/>
      <c r="BM450" s="4415"/>
      <c r="BN450" s="4558">
        <f>J450</f>
        <v>504</v>
      </c>
      <c r="BO450" s="4558"/>
      <c r="BP450" s="4558"/>
      <c r="BQ450" s="4928"/>
      <c r="BR450" s="4510"/>
      <c r="BS450" s="4418"/>
      <c r="BT450" s="4418"/>
      <c r="BU450" s="4418"/>
      <c r="BV450" s="4418"/>
      <c r="BW450" s="4418"/>
      <c r="BX450" s="4472"/>
      <c r="BY450" s="4472"/>
      <c r="BZ450" s="3708">
        <f t="shared" si="227"/>
        <v>504</v>
      </c>
      <c r="CA450" s="4154">
        <f t="shared" si="243"/>
        <v>0</v>
      </c>
      <c r="CB450" s="4644"/>
      <c r="CC450" s="4644"/>
      <c r="CD450" s="4323"/>
      <c r="CE450" s="4323"/>
      <c r="CF450" s="4323"/>
    </row>
    <row r="451" s="4316" customFormat="1" ht="50" customHeight="1" spans="1:84">
      <c r="A451" s="4500">
        <v>45947</v>
      </c>
      <c r="B451" s="3708" t="s">
        <v>1789</v>
      </c>
      <c r="C451" s="3708" t="s">
        <v>1279</v>
      </c>
      <c r="D451" s="4154">
        <v>4500182320</v>
      </c>
      <c r="E451" s="3708" t="s">
        <v>2180</v>
      </c>
      <c r="F451" s="4154" t="s">
        <v>2181</v>
      </c>
      <c r="G451" s="3708"/>
      <c r="H451" s="3708" t="s">
        <v>1045</v>
      </c>
      <c r="I451" s="4154" t="s">
        <v>328</v>
      </c>
      <c r="J451" s="4154">
        <v>504</v>
      </c>
      <c r="K451" s="4154">
        <v>0</v>
      </c>
      <c r="L451" s="4154">
        <v>12</v>
      </c>
      <c r="M451" s="4154">
        <f t="shared" si="239"/>
        <v>42</v>
      </c>
      <c r="N451" s="4503">
        <v>45996</v>
      </c>
      <c r="O451" s="4553">
        <v>45992</v>
      </c>
      <c r="P451" s="3712"/>
      <c r="Q451" s="4154" t="s">
        <v>82</v>
      </c>
      <c r="R451" s="4944"/>
      <c r="S451" s="4944"/>
      <c r="T451" s="4944"/>
      <c r="U451" s="3726" t="s">
        <v>2182</v>
      </c>
      <c r="V451" s="3711" t="s">
        <v>1262</v>
      </c>
      <c r="W451" s="3711"/>
      <c r="X451" s="3711" t="s">
        <v>2175</v>
      </c>
      <c r="Y451" s="3711"/>
      <c r="Z451" s="3711"/>
      <c r="AA451" s="4154"/>
      <c r="AB451" s="3713" t="s">
        <v>2183</v>
      </c>
      <c r="AC451" s="3711" t="s">
        <v>380</v>
      </c>
      <c r="AD451" s="4504">
        <v>2.2104</v>
      </c>
      <c r="AE451" s="4154">
        <f t="shared" si="240"/>
        <v>1114.0416</v>
      </c>
      <c r="AF451" s="3726"/>
      <c r="AG451" s="3726"/>
      <c r="AH451" s="4405"/>
      <c r="AI451" s="4575"/>
      <c r="AJ451" s="4405"/>
      <c r="AK451" s="3708">
        <f>J451</f>
        <v>504</v>
      </c>
      <c r="AL451" s="3708"/>
      <c r="AM451" s="4154"/>
      <c r="AN451" s="4417"/>
      <c r="AO451" s="4510">
        <f t="shared" si="241"/>
        <v>504</v>
      </c>
      <c r="AP451" s="1048"/>
      <c r="AQ451" s="4417"/>
      <c r="AR451" s="4417"/>
      <c r="AS451" s="4510">
        <f t="shared" si="242"/>
        <v>504</v>
      </c>
      <c r="AT451" s="1048"/>
      <c r="AU451" s="4417"/>
      <c r="AV451" s="4946"/>
      <c r="AW451" s="4946"/>
      <c r="AX451" s="1048"/>
      <c r="AY451" s="4946"/>
      <c r="AZ451" s="4946"/>
      <c r="BA451" s="1048"/>
      <c r="BB451" s="4622"/>
      <c r="BC451" s="4946"/>
      <c r="BD451" s="4622"/>
      <c r="BE451" s="4622"/>
      <c r="BF451" s="4622"/>
      <c r="BG451" s="4622"/>
      <c r="BH451" s="4622"/>
      <c r="BI451" s="4622"/>
      <c r="BJ451" s="1048"/>
      <c r="BK451" s="4415" t="s">
        <v>89</v>
      </c>
      <c r="BL451" s="4415"/>
      <c r="BM451" s="4415"/>
      <c r="BN451" s="4558">
        <f>J451</f>
        <v>504</v>
      </c>
      <c r="BO451" s="4558"/>
      <c r="BP451" s="4558"/>
      <c r="BQ451" s="4928"/>
      <c r="BR451" s="4510"/>
      <c r="BS451" s="4418"/>
      <c r="BT451" s="4418"/>
      <c r="BU451" s="4418"/>
      <c r="BV451" s="4418"/>
      <c r="BW451" s="4418"/>
      <c r="BX451" s="4472"/>
      <c r="BY451" s="4472"/>
      <c r="BZ451" s="3708">
        <f t="shared" si="227"/>
        <v>504</v>
      </c>
      <c r="CA451" s="4154">
        <f t="shared" si="243"/>
        <v>0</v>
      </c>
      <c r="CB451" s="4644"/>
      <c r="CC451" s="4644"/>
      <c r="CD451" s="4323"/>
      <c r="CE451" s="4323"/>
      <c r="CF451" s="4323"/>
    </row>
    <row r="452" s="4316" customFormat="1" ht="50" customHeight="1" spans="1:84">
      <c r="A452" s="4500">
        <v>45960</v>
      </c>
      <c r="B452" s="3708" t="s">
        <v>90</v>
      </c>
      <c r="C452" s="3708" t="s">
        <v>91</v>
      </c>
      <c r="D452" s="4154">
        <v>4500183797</v>
      </c>
      <c r="E452" s="3708" t="s">
        <v>2184</v>
      </c>
      <c r="F452" s="4154" t="s">
        <v>2185</v>
      </c>
      <c r="G452" s="3708"/>
      <c r="H452" s="3708" t="s">
        <v>333</v>
      </c>
      <c r="I452" s="3708" t="s">
        <v>328</v>
      </c>
      <c r="J452" s="4593">
        <v>2400</v>
      </c>
      <c r="K452" s="4154">
        <v>0</v>
      </c>
      <c r="L452" s="4154">
        <v>24</v>
      </c>
      <c r="M452" s="4154">
        <f t="shared" si="239"/>
        <v>100</v>
      </c>
      <c r="N452" s="4503">
        <v>45996</v>
      </c>
      <c r="O452" s="4553">
        <v>45992</v>
      </c>
      <c r="P452" s="3712"/>
      <c r="Q452" s="4154" t="s">
        <v>82</v>
      </c>
      <c r="R452" s="4948"/>
      <c r="S452" s="4948"/>
      <c r="T452" s="4948"/>
      <c r="U452" s="3711" t="s">
        <v>2186</v>
      </c>
      <c r="V452" s="4154" t="s">
        <v>97</v>
      </c>
      <c r="W452" s="4155"/>
      <c r="X452" s="3711" t="s">
        <v>98</v>
      </c>
      <c r="Y452" s="3711"/>
      <c r="Z452" s="3711" t="s">
        <v>2187</v>
      </c>
      <c r="AA452" s="4154"/>
      <c r="AB452" s="4932" t="s">
        <v>2188</v>
      </c>
      <c r="AC452" s="4154" t="s">
        <v>653</v>
      </c>
      <c r="AD452" s="4575">
        <v>1.2199</v>
      </c>
      <c r="AE452" s="3708">
        <f t="shared" si="240"/>
        <v>2927.76</v>
      </c>
      <c r="AF452" s="4154"/>
      <c r="AG452" s="1048"/>
      <c r="AH452" s="4949"/>
      <c r="AI452" s="1048">
        <f t="shared" ref="AI452:AI459" si="244">J452</f>
        <v>2400</v>
      </c>
      <c r="AJ452" s="907"/>
      <c r="AK452" s="4622"/>
      <c r="AL452" s="4622"/>
      <c r="AM452" s="4622"/>
      <c r="AN452" s="911"/>
      <c r="AO452" s="4415">
        <f t="shared" si="241"/>
        <v>2400</v>
      </c>
      <c r="AP452" s="4415"/>
      <c r="AQ452" s="910"/>
      <c r="AR452" s="907"/>
      <c r="AS452" s="3708">
        <f t="shared" si="242"/>
        <v>2400</v>
      </c>
      <c r="AT452" s="4154"/>
      <c r="AU452" s="4462"/>
      <c r="AV452" s="4462"/>
      <c r="AW452" s="4462"/>
      <c r="AX452" s="4323"/>
      <c r="AY452" s="911"/>
      <c r="AZ452" s="911"/>
      <c r="BA452" s="4415"/>
      <c r="BB452" s="4415"/>
      <c r="BC452" s="911"/>
      <c r="BD452" s="4414"/>
      <c r="BE452" s="1048"/>
      <c r="BF452" s="3708"/>
      <c r="BG452" s="4154"/>
      <c r="BH452" s="4323"/>
      <c r="BI452" s="4323"/>
      <c r="BJ452" s="4323"/>
      <c r="BK452" s="4160" t="s">
        <v>89</v>
      </c>
      <c r="BL452" s="4415">
        <f t="shared" ref="BL452:BL459" si="245">J452/60*1</f>
        <v>40</v>
      </c>
      <c r="BM452" s="4415">
        <f t="shared" ref="BM452:BM459" si="246">J452/60*9</f>
        <v>360</v>
      </c>
      <c r="BN452" s="4415">
        <f t="shared" ref="BN452:BN459" si="247">J452/60*10</f>
        <v>400</v>
      </c>
      <c r="BO452" s="4415">
        <f t="shared" ref="BO452:BO459" si="248">J452/60*10</f>
        <v>400</v>
      </c>
      <c r="BP452" s="4415">
        <f t="shared" ref="BP452:BP459" si="249">J452/60*10</f>
        <v>400</v>
      </c>
      <c r="BQ452" s="4414">
        <f t="shared" ref="BQ452:BQ459" si="250">J452/60*10</f>
        <v>400</v>
      </c>
      <c r="BR452" s="1048">
        <f t="shared" ref="BR452:BR459" si="251">J452/60*10</f>
        <v>400</v>
      </c>
      <c r="BS452" s="4462"/>
      <c r="BT452" s="4462"/>
      <c r="BU452" s="4462"/>
      <c r="BV452" s="4462"/>
      <c r="BW452" s="4462"/>
      <c r="BX452" s="4462"/>
      <c r="BY452" s="4462"/>
      <c r="BZ452" s="3708">
        <f t="shared" si="227"/>
        <v>2400</v>
      </c>
      <c r="CA452" s="4154">
        <f t="shared" si="243"/>
        <v>0</v>
      </c>
      <c r="CB452" s="4462"/>
      <c r="CC452" s="4462"/>
      <c r="CD452" s="4323"/>
      <c r="CE452" s="4323"/>
      <c r="CF452" s="4323"/>
    </row>
    <row r="453" s="4316" customFormat="1" ht="50" customHeight="1" spans="1:84">
      <c r="A453" s="4500">
        <v>45960</v>
      </c>
      <c r="B453" s="3708" t="s">
        <v>2189</v>
      </c>
      <c r="C453" s="3708" t="s">
        <v>91</v>
      </c>
      <c r="D453" s="4154">
        <v>4500183798</v>
      </c>
      <c r="E453" s="3708" t="s">
        <v>2190</v>
      </c>
      <c r="F453" s="4154" t="s">
        <v>2191</v>
      </c>
      <c r="G453" s="3708"/>
      <c r="H453" s="3708" t="s">
        <v>333</v>
      </c>
      <c r="I453" s="3708" t="s">
        <v>328</v>
      </c>
      <c r="J453" s="4593">
        <v>2808</v>
      </c>
      <c r="K453" s="4154">
        <v>0</v>
      </c>
      <c r="L453" s="4154">
        <v>24</v>
      </c>
      <c r="M453" s="4154">
        <f t="shared" si="239"/>
        <v>117</v>
      </c>
      <c r="N453" s="4503">
        <v>45996</v>
      </c>
      <c r="O453" s="4553">
        <v>45992</v>
      </c>
      <c r="P453" s="3712"/>
      <c r="Q453" s="4154" t="s">
        <v>82</v>
      </c>
      <c r="R453" s="4948"/>
      <c r="S453" s="4948"/>
      <c r="T453" s="4948"/>
      <c r="U453" s="3711" t="s">
        <v>2192</v>
      </c>
      <c r="V453" s="4154" t="s">
        <v>97</v>
      </c>
      <c r="W453" s="4155"/>
      <c r="X453" s="3711" t="s">
        <v>98</v>
      </c>
      <c r="Y453" s="3711"/>
      <c r="Z453" s="3711" t="s">
        <v>2187</v>
      </c>
      <c r="AA453" s="4154"/>
      <c r="AB453" s="4932" t="s">
        <v>2188</v>
      </c>
      <c r="AC453" s="4154" t="s">
        <v>653</v>
      </c>
      <c r="AD453" s="4575">
        <v>1.2199</v>
      </c>
      <c r="AE453" s="3708">
        <f t="shared" si="240"/>
        <v>3425.4792</v>
      </c>
      <c r="AF453" s="4154"/>
      <c r="AG453" s="1048"/>
      <c r="AH453" s="4949"/>
      <c r="AI453" s="1048">
        <f t="shared" si="244"/>
        <v>2808</v>
      </c>
      <c r="AJ453" s="907"/>
      <c r="AK453" s="4622"/>
      <c r="AL453" s="4622"/>
      <c r="AM453" s="4622"/>
      <c r="AN453" s="911"/>
      <c r="AO453" s="4415">
        <f t="shared" si="241"/>
        <v>2808</v>
      </c>
      <c r="AP453" s="4415"/>
      <c r="AQ453" s="910"/>
      <c r="AR453" s="907"/>
      <c r="AS453" s="3708">
        <f t="shared" si="242"/>
        <v>2808</v>
      </c>
      <c r="AT453" s="4154"/>
      <c r="AU453" s="4462"/>
      <c r="AV453" s="4462"/>
      <c r="AW453" s="4462"/>
      <c r="AX453" s="4323"/>
      <c r="AY453" s="911"/>
      <c r="AZ453" s="911"/>
      <c r="BA453" s="4415"/>
      <c r="BB453" s="4415"/>
      <c r="BC453" s="911"/>
      <c r="BD453" s="4414"/>
      <c r="BE453" s="1048"/>
      <c r="BF453" s="3708"/>
      <c r="BG453" s="4154"/>
      <c r="BH453" s="4323"/>
      <c r="BI453" s="4323"/>
      <c r="BJ453" s="4323"/>
      <c r="BK453" s="4160" t="s">
        <v>89</v>
      </c>
      <c r="BL453" s="4415">
        <f t="shared" si="245"/>
        <v>46.8</v>
      </c>
      <c r="BM453" s="4415">
        <f t="shared" si="246"/>
        <v>421.2</v>
      </c>
      <c r="BN453" s="4415">
        <f t="shared" si="247"/>
        <v>468</v>
      </c>
      <c r="BO453" s="4415">
        <f t="shared" si="248"/>
        <v>468</v>
      </c>
      <c r="BP453" s="4415">
        <f t="shared" si="249"/>
        <v>468</v>
      </c>
      <c r="BQ453" s="4414">
        <f t="shared" si="250"/>
        <v>468</v>
      </c>
      <c r="BR453" s="1048">
        <f t="shared" si="251"/>
        <v>468</v>
      </c>
      <c r="BS453" s="4462"/>
      <c r="BT453" s="4462"/>
      <c r="BU453" s="4462"/>
      <c r="BV453" s="4462"/>
      <c r="BW453" s="4462"/>
      <c r="BX453" s="4462"/>
      <c r="BY453" s="4462"/>
      <c r="BZ453" s="3708">
        <f t="shared" si="227"/>
        <v>2808</v>
      </c>
      <c r="CA453" s="4154">
        <f t="shared" si="243"/>
        <v>0</v>
      </c>
      <c r="CB453" s="4462"/>
      <c r="CC453" s="4462"/>
      <c r="CD453" s="4323"/>
      <c r="CE453" s="4323"/>
      <c r="CF453" s="4323"/>
    </row>
    <row r="454" s="4316" customFormat="1" ht="50" customHeight="1" spans="1:84">
      <c r="A454" s="4500">
        <v>45957</v>
      </c>
      <c r="B454" s="3708" t="s">
        <v>505</v>
      </c>
      <c r="C454" s="3708" t="s">
        <v>506</v>
      </c>
      <c r="D454" s="4154">
        <v>4500183184</v>
      </c>
      <c r="E454" s="3708">
        <v>21243170</v>
      </c>
      <c r="F454" s="4154" t="s">
        <v>2193</v>
      </c>
      <c r="G454" s="3708"/>
      <c r="H454" s="3708" t="s">
        <v>508</v>
      </c>
      <c r="I454" s="3708" t="s">
        <v>328</v>
      </c>
      <c r="J454" s="4593">
        <v>306</v>
      </c>
      <c r="K454" s="4154">
        <v>0</v>
      </c>
      <c r="L454" s="4154">
        <v>6</v>
      </c>
      <c r="M454" s="4154">
        <f t="shared" si="239"/>
        <v>51</v>
      </c>
      <c r="N454" s="4503">
        <v>45999</v>
      </c>
      <c r="O454" s="4553">
        <v>45995</v>
      </c>
      <c r="P454" s="3712"/>
      <c r="Q454" s="4154" t="s">
        <v>82</v>
      </c>
      <c r="R454" s="4797"/>
      <c r="S454" s="4157"/>
      <c r="T454" s="4157"/>
      <c r="U454" s="3726" t="s">
        <v>2194</v>
      </c>
      <c r="V454" s="4154" t="s">
        <v>2195</v>
      </c>
      <c r="W454" s="3711"/>
      <c r="X454" s="3711" t="s">
        <v>2196</v>
      </c>
      <c r="Y454" s="3711"/>
      <c r="Z454" s="3711"/>
      <c r="AA454" s="4154"/>
      <c r="AB454" s="3713" t="s">
        <v>2197</v>
      </c>
      <c r="AC454" s="3711" t="s">
        <v>513</v>
      </c>
      <c r="AD454" s="4504">
        <v>2.3151</v>
      </c>
      <c r="AE454" s="4154">
        <f t="shared" si="240"/>
        <v>708.4206</v>
      </c>
      <c r="AF454" s="3726"/>
      <c r="AG454" s="3726"/>
      <c r="AH454" s="4422"/>
      <c r="AI454" s="1048">
        <f t="shared" si="244"/>
        <v>306</v>
      </c>
      <c r="AJ454" s="4422"/>
      <c r="AK454" s="3708"/>
      <c r="AL454" s="3708"/>
      <c r="AM454" s="4154"/>
      <c r="AN454" s="907"/>
      <c r="AO454" s="4415">
        <f t="shared" si="241"/>
        <v>306</v>
      </c>
      <c r="AP454" s="1048"/>
      <c r="AQ454" s="907"/>
      <c r="AR454" s="907"/>
      <c r="AS454" s="3708">
        <f t="shared" si="242"/>
        <v>306</v>
      </c>
      <c r="AT454" s="1048"/>
      <c r="AU454" s="907"/>
      <c r="AV454" s="4922"/>
      <c r="AW454" s="4922"/>
      <c r="AX454" s="1048">
        <f>J454/6</f>
        <v>51</v>
      </c>
      <c r="AY454" s="4922"/>
      <c r="AZ454" s="4922"/>
      <c r="BA454" s="1048"/>
      <c r="BB454" s="4622"/>
      <c r="BC454" s="4922"/>
      <c r="BD454" s="4622"/>
      <c r="BE454" s="4622"/>
      <c r="BF454" s="4622"/>
      <c r="BG454" s="4622"/>
      <c r="BH454" s="4622"/>
      <c r="BI454" s="4622"/>
      <c r="BJ454" s="1048"/>
      <c r="BK454" s="4160" t="s">
        <v>89</v>
      </c>
      <c r="BL454" s="4415">
        <f t="shared" si="245"/>
        <v>5.1</v>
      </c>
      <c r="BM454" s="4415">
        <f t="shared" si="246"/>
        <v>45.9</v>
      </c>
      <c r="BN454" s="4415">
        <f t="shared" si="247"/>
        <v>51</v>
      </c>
      <c r="BO454" s="4415">
        <f t="shared" si="248"/>
        <v>51</v>
      </c>
      <c r="BP454" s="4415">
        <f t="shared" si="249"/>
        <v>51</v>
      </c>
      <c r="BQ454" s="4414">
        <f t="shared" si="250"/>
        <v>51</v>
      </c>
      <c r="BR454" s="1048">
        <f t="shared" si="251"/>
        <v>51</v>
      </c>
      <c r="BS454" s="911"/>
      <c r="BT454" s="911"/>
      <c r="BU454" s="911"/>
      <c r="BV454" s="911"/>
      <c r="BW454" s="911"/>
      <c r="BX454" s="910"/>
      <c r="BY454" s="910"/>
      <c r="BZ454" s="3708">
        <f t="shared" si="227"/>
        <v>306</v>
      </c>
      <c r="CA454" s="4154">
        <f t="shared" si="243"/>
        <v>0</v>
      </c>
      <c r="CB454" s="4923"/>
      <c r="CC454" s="4923"/>
      <c r="CD454" s="4323"/>
      <c r="CE454" s="4323"/>
      <c r="CF454" s="4323"/>
    </row>
    <row r="455" s="4316" customFormat="1" ht="50" customHeight="1" spans="1:84">
      <c r="A455" s="4500">
        <v>45957</v>
      </c>
      <c r="B455" s="3708" t="s">
        <v>839</v>
      </c>
      <c r="C455" s="3708" t="s">
        <v>840</v>
      </c>
      <c r="D455" s="4154">
        <v>4500183185</v>
      </c>
      <c r="E455" s="3708">
        <v>21243171</v>
      </c>
      <c r="F455" s="4154" t="s">
        <v>2198</v>
      </c>
      <c r="G455" s="3708"/>
      <c r="H455" s="3708" t="s">
        <v>508</v>
      </c>
      <c r="I455" s="3708" t="s">
        <v>328</v>
      </c>
      <c r="J455" s="4593">
        <v>1194</v>
      </c>
      <c r="K455" s="4154">
        <v>0</v>
      </c>
      <c r="L455" s="4154">
        <v>6</v>
      </c>
      <c r="M455" s="4154">
        <f t="shared" si="239"/>
        <v>199</v>
      </c>
      <c r="N455" s="4503">
        <v>45999</v>
      </c>
      <c r="O455" s="4553">
        <v>45995</v>
      </c>
      <c r="P455" s="3712"/>
      <c r="Q455" s="4154" t="s">
        <v>82</v>
      </c>
      <c r="R455" s="4797"/>
      <c r="S455" s="4157"/>
      <c r="T455" s="4157"/>
      <c r="U455" s="3726" t="s">
        <v>2194</v>
      </c>
      <c r="V455" s="4154" t="s">
        <v>2195</v>
      </c>
      <c r="W455" s="3711"/>
      <c r="X455" s="3711" t="s">
        <v>2196</v>
      </c>
      <c r="Y455" s="3711"/>
      <c r="Z455" s="3711"/>
      <c r="AA455" s="4154"/>
      <c r="AB455" s="3713" t="s">
        <v>2199</v>
      </c>
      <c r="AC455" s="3711" t="s">
        <v>513</v>
      </c>
      <c r="AD455" s="4504">
        <v>2.3106</v>
      </c>
      <c r="AE455" s="4154">
        <f t="shared" si="240"/>
        <v>2758.8564</v>
      </c>
      <c r="AF455" s="3726"/>
      <c r="AG455" s="3726"/>
      <c r="AH455" s="4422"/>
      <c r="AI455" s="1048">
        <f t="shared" si="244"/>
        <v>1194</v>
      </c>
      <c r="AJ455" s="4422"/>
      <c r="AK455" s="3708"/>
      <c r="AL455" s="3708"/>
      <c r="AM455" s="4154"/>
      <c r="AN455" s="907"/>
      <c r="AO455" s="4415">
        <f t="shared" si="241"/>
        <v>1194</v>
      </c>
      <c r="AP455" s="1048"/>
      <c r="AQ455" s="907"/>
      <c r="AR455" s="907"/>
      <c r="AS455" s="3708">
        <f t="shared" si="242"/>
        <v>1194</v>
      </c>
      <c r="AT455" s="1048"/>
      <c r="AU455" s="907"/>
      <c r="AV455" s="4922"/>
      <c r="AW455" s="4922"/>
      <c r="AX455" s="1048">
        <f>J455/6</f>
        <v>199</v>
      </c>
      <c r="AY455" s="4922"/>
      <c r="AZ455" s="4922"/>
      <c r="BA455" s="1048"/>
      <c r="BB455" s="4622"/>
      <c r="BC455" s="4922"/>
      <c r="BD455" s="4622"/>
      <c r="BE455" s="4622"/>
      <c r="BF455" s="4622"/>
      <c r="BG455" s="4622"/>
      <c r="BH455" s="4622"/>
      <c r="BI455" s="4622"/>
      <c r="BJ455" s="1048"/>
      <c r="BK455" s="4160" t="s">
        <v>89</v>
      </c>
      <c r="BL455" s="4415">
        <f t="shared" si="245"/>
        <v>19.9</v>
      </c>
      <c r="BM455" s="4415">
        <f t="shared" si="246"/>
        <v>179.1</v>
      </c>
      <c r="BN455" s="4415">
        <f t="shared" si="247"/>
        <v>199</v>
      </c>
      <c r="BO455" s="4415">
        <f t="shared" si="248"/>
        <v>199</v>
      </c>
      <c r="BP455" s="4415">
        <f t="shared" si="249"/>
        <v>199</v>
      </c>
      <c r="BQ455" s="4414">
        <f t="shared" si="250"/>
        <v>199</v>
      </c>
      <c r="BR455" s="1048">
        <f t="shared" si="251"/>
        <v>199</v>
      </c>
      <c r="BS455" s="911"/>
      <c r="BT455" s="911"/>
      <c r="BU455" s="911"/>
      <c r="BV455" s="911"/>
      <c r="BW455" s="911"/>
      <c r="BX455" s="910"/>
      <c r="BY455" s="910"/>
      <c r="BZ455" s="3708">
        <f t="shared" si="227"/>
        <v>1194</v>
      </c>
      <c r="CA455" s="4154">
        <f t="shared" si="243"/>
        <v>0</v>
      </c>
      <c r="CB455" s="4923"/>
      <c r="CC455" s="4923"/>
      <c r="CD455" s="4323"/>
      <c r="CE455" s="4323"/>
      <c r="CF455" s="4323"/>
    </row>
    <row r="456" s="4316" customFormat="1" ht="50" customHeight="1" spans="1:84">
      <c r="A456" s="4500">
        <v>45880</v>
      </c>
      <c r="B456" s="3708" t="s">
        <v>1617</v>
      </c>
      <c r="C456" s="3708" t="s">
        <v>91</v>
      </c>
      <c r="D456" s="4154">
        <v>4500176588</v>
      </c>
      <c r="E456" s="3708">
        <v>70072754</v>
      </c>
      <c r="F456" s="4154" t="s">
        <v>2200</v>
      </c>
      <c r="G456" s="3708"/>
      <c r="H456" s="3708" t="s">
        <v>333</v>
      </c>
      <c r="I456" s="3708" t="s">
        <v>328</v>
      </c>
      <c r="J456" s="4593">
        <v>600</v>
      </c>
      <c r="K456" s="4154">
        <v>0</v>
      </c>
      <c r="L456" s="4154">
        <v>24</v>
      </c>
      <c r="M456" s="4154">
        <f t="shared" si="239"/>
        <v>25</v>
      </c>
      <c r="N456" s="4503">
        <v>45994</v>
      </c>
      <c r="O456" s="4553">
        <f>N456-4</f>
        <v>45990</v>
      </c>
      <c r="P456" s="4154"/>
      <c r="Q456" s="4154" t="s">
        <v>82</v>
      </c>
      <c r="R456" s="4157"/>
      <c r="S456" s="4157"/>
      <c r="T456" s="4157"/>
      <c r="U456" s="3726"/>
      <c r="V456" s="3711" t="s">
        <v>2201</v>
      </c>
      <c r="W456" s="3711"/>
      <c r="X456" s="3711" t="s">
        <v>98</v>
      </c>
      <c r="Y456" s="3711"/>
      <c r="Z456" s="3711" t="s">
        <v>2202</v>
      </c>
      <c r="AA456" s="4154"/>
      <c r="AB456" s="3713" t="s">
        <v>1621</v>
      </c>
      <c r="AC456" s="3711" t="s">
        <v>393</v>
      </c>
      <c r="AD456" s="4504">
        <v>1.2226</v>
      </c>
      <c r="AE456" s="4154">
        <f t="shared" si="240"/>
        <v>733.56</v>
      </c>
      <c r="AF456" s="3726"/>
      <c r="AG456" s="3726"/>
      <c r="AH456" s="4422"/>
      <c r="AI456" s="4575">
        <f t="shared" si="244"/>
        <v>600</v>
      </c>
      <c r="AJ456" s="4422"/>
      <c r="AK456" s="3708"/>
      <c r="AL456" s="3708"/>
      <c r="AM456" s="4154"/>
      <c r="AN456" s="907"/>
      <c r="AO456" s="4510">
        <f t="shared" si="241"/>
        <v>600</v>
      </c>
      <c r="AP456" s="1048"/>
      <c r="AQ456" s="907"/>
      <c r="AR456" s="907"/>
      <c r="AS456" s="4510">
        <f t="shared" si="242"/>
        <v>600</v>
      </c>
      <c r="AT456" s="1048"/>
      <c r="AU456" s="907"/>
      <c r="AV456" s="4922"/>
      <c r="AW456" s="4922"/>
      <c r="AX456" s="1048"/>
      <c r="AY456" s="4922"/>
      <c r="AZ456" s="4922"/>
      <c r="BA456" s="1048"/>
      <c r="BB456" s="4622"/>
      <c r="BC456" s="4922"/>
      <c r="BD456" s="4622"/>
      <c r="BE456" s="4622"/>
      <c r="BF456" s="4622"/>
      <c r="BG456" s="4622"/>
      <c r="BH456" s="4622"/>
      <c r="BI456" s="4622"/>
      <c r="BJ456" s="1048"/>
      <c r="BK456" s="4415" t="s">
        <v>89</v>
      </c>
      <c r="BL456" s="4415">
        <f t="shared" si="245"/>
        <v>10</v>
      </c>
      <c r="BM456" s="4415">
        <f t="shared" si="246"/>
        <v>90</v>
      </c>
      <c r="BN456" s="4415">
        <f t="shared" si="247"/>
        <v>100</v>
      </c>
      <c r="BO456" s="4415">
        <f t="shared" si="248"/>
        <v>100</v>
      </c>
      <c r="BP456" s="4415">
        <f t="shared" si="249"/>
        <v>100</v>
      </c>
      <c r="BQ456" s="4414">
        <f t="shared" si="250"/>
        <v>100</v>
      </c>
      <c r="BR456" s="1048">
        <f t="shared" si="251"/>
        <v>100</v>
      </c>
      <c r="BS456" s="4384"/>
      <c r="BT456" s="4384"/>
      <c r="BU456" s="4384"/>
      <c r="BV456" s="4384"/>
      <c r="BW456" s="4384"/>
      <c r="BX456" s="4383"/>
      <c r="BY456" s="4383"/>
      <c r="BZ456" s="3708">
        <f t="shared" si="227"/>
        <v>600</v>
      </c>
      <c r="CA456" s="4154">
        <f t="shared" si="243"/>
        <v>0</v>
      </c>
      <c r="CB456" s="4923"/>
      <c r="CC456" s="4923"/>
      <c r="CD456" s="4323"/>
      <c r="CE456" s="4323"/>
      <c r="CF456" s="4323"/>
    </row>
    <row r="457" s="4316" customFormat="1" ht="50" customHeight="1" spans="1:84">
      <c r="A457" s="4500">
        <v>45960</v>
      </c>
      <c r="B457" s="3708" t="s">
        <v>90</v>
      </c>
      <c r="C457" s="3708" t="s">
        <v>91</v>
      </c>
      <c r="D457" s="4154">
        <v>4500183800</v>
      </c>
      <c r="E457" s="3708" t="s">
        <v>2203</v>
      </c>
      <c r="F457" s="4154" t="s">
        <v>2204</v>
      </c>
      <c r="G457" s="3708"/>
      <c r="H457" s="3708" t="s">
        <v>333</v>
      </c>
      <c r="I457" s="3708" t="s">
        <v>328</v>
      </c>
      <c r="J457" s="4593">
        <v>1800</v>
      </c>
      <c r="K457" s="4154">
        <v>0</v>
      </c>
      <c r="L457" s="4154">
        <v>24</v>
      </c>
      <c r="M457" s="4154">
        <f t="shared" si="239"/>
        <v>75</v>
      </c>
      <c r="N457" s="4503">
        <v>46001</v>
      </c>
      <c r="O457" s="4553">
        <f>N457-4</f>
        <v>45997</v>
      </c>
      <c r="P457" s="3712"/>
      <c r="Q457" s="4154" t="s">
        <v>82</v>
      </c>
      <c r="R457" s="4950"/>
      <c r="S457" s="4157"/>
      <c r="T457" s="4157"/>
      <c r="U457" s="3711" t="s">
        <v>2205</v>
      </c>
      <c r="V457" s="4154" t="s">
        <v>97</v>
      </c>
      <c r="W457" s="3711"/>
      <c r="X457" s="3711" t="s">
        <v>98</v>
      </c>
      <c r="Y457" s="3711"/>
      <c r="Z457" s="3711" t="s">
        <v>2206</v>
      </c>
      <c r="AA457" s="3711"/>
      <c r="AB457" s="4932" t="s">
        <v>2207</v>
      </c>
      <c r="AC457" s="4154" t="s">
        <v>653</v>
      </c>
      <c r="AD457" s="4504">
        <v>1.2596</v>
      </c>
      <c r="AE457" s="3708">
        <f t="shared" ref="AE447:AE520" si="252">J457*AD457</f>
        <v>2267.28</v>
      </c>
      <c r="AF457" s="4575"/>
      <c r="AG457" s="3708"/>
      <c r="AH457" s="4422"/>
      <c r="AI457" s="1048">
        <f t="shared" si="244"/>
        <v>1800</v>
      </c>
      <c r="AJ457" s="4949"/>
      <c r="AK457" s="1048"/>
      <c r="AL457" s="4510"/>
      <c r="AM457" s="1048"/>
      <c r="AN457" s="907"/>
      <c r="AO457" s="4415">
        <f t="shared" si="241"/>
        <v>1800</v>
      </c>
      <c r="AP457" s="4622"/>
      <c r="AQ457" s="4922"/>
      <c r="AR457" s="4922"/>
      <c r="AS457" s="3708">
        <f t="shared" si="242"/>
        <v>1800</v>
      </c>
      <c r="AT457" s="4622"/>
      <c r="AU457" s="4922"/>
      <c r="AV457" s="4922"/>
      <c r="AW457" s="907"/>
      <c r="AX457" s="4415"/>
      <c r="AY457" s="911"/>
      <c r="AZ457" s="911"/>
      <c r="BA457" s="4415"/>
      <c r="BB457" s="4415"/>
      <c r="BC457" s="911"/>
      <c r="BD457" s="4414"/>
      <c r="BE457" s="1048"/>
      <c r="BF457" s="3708"/>
      <c r="BG457" s="4154"/>
      <c r="BH457" s="4323"/>
      <c r="BI457" s="4323"/>
      <c r="BJ457" s="4323"/>
      <c r="BK457" s="4160" t="s">
        <v>89</v>
      </c>
      <c r="BL457" s="4415">
        <f t="shared" si="245"/>
        <v>30</v>
      </c>
      <c r="BM457" s="4415">
        <f t="shared" si="246"/>
        <v>270</v>
      </c>
      <c r="BN457" s="4415">
        <f t="shared" si="247"/>
        <v>300</v>
      </c>
      <c r="BO457" s="4415">
        <f t="shared" si="248"/>
        <v>300</v>
      </c>
      <c r="BP457" s="4415">
        <f t="shared" si="249"/>
        <v>300</v>
      </c>
      <c r="BQ457" s="4414">
        <f t="shared" si="250"/>
        <v>300</v>
      </c>
      <c r="BR457" s="1048">
        <f t="shared" si="251"/>
        <v>300</v>
      </c>
      <c r="BS457" s="4462"/>
      <c r="BT457" s="4462"/>
      <c r="BU457" s="4462"/>
      <c r="BV457" s="4462"/>
      <c r="BW457" s="4462"/>
      <c r="BX457" s="4462"/>
      <c r="BY457" s="4462"/>
      <c r="BZ457" s="3708">
        <f t="shared" si="227"/>
        <v>1800</v>
      </c>
      <c r="CA457" s="4154">
        <f t="shared" si="243"/>
        <v>0</v>
      </c>
      <c r="CB457" s="4462"/>
      <c r="CC457" s="4462"/>
      <c r="CD457" s="4323"/>
      <c r="CE457" s="4323"/>
      <c r="CF457" s="4323"/>
    </row>
    <row r="458" s="4316" customFormat="1" ht="50" customHeight="1" spans="1:84">
      <c r="A458" s="4500">
        <v>45960</v>
      </c>
      <c r="B458" s="3708" t="s">
        <v>90</v>
      </c>
      <c r="C458" s="3708" t="s">
        <v>91</v>
      </c>
      <c r="D458" s="4154">
        <v>4500183799</v>
      </c>
      <c r="E458" s="3708" t="s">
        <v>2208</v>
      </c>
      <c r="F458" s="4154" t="s">
        <v>2209</v>
      </c>
      <c r="G458" s="3708"/>
      <c r="H458" s="3708" t="s">
        <v>333</v>
      </c>
      <c r="I458" s="3708" t="s">
        <v>328</v>
      </c>
      <c r="J458" s="4593">
        <v>1200</v>
      </c>
      <c r="K458" s="4154">
        <v>0</v>
      </c>
      <c r="L458" s="4154">
        <v>24</v>
      </c>
      <c r="M458" s="4154">
        <f t="shared" si="239"/>
        <v>50</v>
      </c>
      <c r="N458" s="4503">
        <v>46001</v>
      </c>
      <c r="O458" s="4553">
        <f>N458-4</f>
        <v>45997</v>
      </c>
      <c r="P458" s="3712"/>
      <c r="Q458" s="4154" t="s">
        <v>82</v>
      </c>
      <c r="R458" s="4950"/>
      <c r="S458" s="4157"/>
      <c r="T458" s="4157"/>
      <c r="U458" s="3711" t="s">
        <v>2210</v>
      </c>
      <c r="V458" s="4154" t="s">
        <v>97</v>
      </c>
      <c r="W458" s="3711"/>
      <c r="X458" s="3711" t="s">
        <v>98</v>
      </c>
      <c r="Y458" s="3711"/>
      <c r="Z458" s="3711" t="s">
        <v>2206</v>
      </c>
      <c r="AA458" s="3711"/>
      <c r="AB458" s="4932" t="s">
        <v>2207</v>
      </c>
      <c r="AC458" s="4154" t="s">
        <v>2211</v>
      </c>
      <c r="AD458" s="4504">
        <v>1.2596</v>
      </c>
      <c r="AE458" s="3708">
        <f t="shared" si="252"/>
        <v>1511.52</v>
      </c>
      <c r="AF458" s="4575"/>
      <c r="AG458" s="3708"/>
      <c r="AH458" s="4422"/>
      <c r="AI458" s="1048">
        <f t="shared" si="244"/>
        <v>1200</v>
      </c>
      <c r="AJ458" s="4949"/>
      <c r="AK458" s="1048"/>
      <c r="AL458" s="4510"/>
      <c r="AM458" s="1048"/>
      <c r="AN458" s="907"/>
      <c r="AO458" s="4415">
        <f t="shared" si="241"/>
        <v>1200</v>
      </c>
      <c r="AP458" s="4622"/>
      <c r="AQ458" s="4922"/>
      <c r="AR458" s="4922"/>
      <c r="AS458" s="3708">
        <f t="shared" si="242"/>
        <v>1200</v>
      </c>
      <c r="AT458" s="4622"/>
      <c r="AU458" s="4922"/>
      <c r="AV458" s="4922"/>
      <c r="AW458" s="907"/>
      <c r="AX458" s="4415"/>
      <c r="AY458" s="911"/>
      <c r="AZ458" s="911"/>
      <c r="BA458" s="4415"/>
      <c r="BB458" s="4415"/>
      <c r="BC458" s="911"/>
      <c r="BD458" s="4414"/>
      <c r="BE458" s="1048"/>
      <c r="BF458" s="3708"/>
      <c r="BG458" s="4154"/>
      <c r="BH458" s="4323"/>
      <c r="BI458" s="4323"/>
      <c r="BJ458" s="4323"/>
      <c r="BK458" s="4160" t="s">
        <v>89</v>
      </c>
      <c r="BL458" s="4415">
        <f t="shared" si="245"/>
        <v>20</v>
      </c>
      <c r="BM458" s="4415">
        <f t="shared" si="246"/>
        <v>180</v>
      </c>
      <c r="BN458" s="4415">
        <f t="shared" si="247"/>
        <v>200</v>
      </c>
      <c r="BO458" s="4415">
        <f t="shared" si="248"/>
        <v>200</v>
      </c>
      <c r="BP458" s="4415">
        <f t="shared" si="249"/>
        <v>200</v>
      </c>
      <c r="BQ458" s="4414">
        <f t="shared" si="250"/>
        <v>200</v>
      </c>
      <c r="BR458" s="1048">
        <f t="shared" si="251"/>
        <v>200</v>
      </c>
      <c r="BS458" s="4462"/>
      <c r="BT458" s="4462"/>
      <c r="BU458" s="4462"/>
      <c r="BV458" s="4462"/>
      <c r="BW458" s="4462"/>
      <c r="BX458" s="4462"/>
      <c r="BY458" s="4462"/>
      <c r="BZ458" s="3708">
        <f t="shared" si="227"/>
        <v>1200</v>
      </c>
      <c r="CA458" s="4154">
        <f t="shared" si="243"/>
        <v>0</v>
      </c>
      <c r="CB458" s="4462"/>
      <c r="CC458" s="4462"/>
      <c r="CD458" s="4323"/>
      <c r="CE458" s="4323"/>
      <c r="CF458" s="4323"/>
    </row>
    <row r="459" s="4316" customFormat="1" ht="50" customHeight="1" spans="1:84">
      <c r="A459" s="4500">
        <v>45973</v>
      </c>
      <c r="B459" s="3708" t="s">
        <v>2005</v>
      </c>
      <c r="C459" s="3708" t="s">
        <v>673</v>
      </c>
      <c r="D459" s="4154">
        <v>4500185221</v>
      </c>
      <c r="E459" s="3708">
        <v>5000002057</v>
      </c>
      <c r="F459" s="4154" t="s">
        <v>2212</v>
      </c>
      <c r="G459" s="3708"/>
      <c r="H459" s="3708" t="s">
        <v>508</v>
      </c>
      <c r="I459" s="3708" t="s">
        <v>328</v>
      </c>
      <c r="J459" s="4593">
        <v>2400</v>
      </c>
      <c r="K459" s="4154">
        <v>0</v>
      </c>
      <c r="L459" s="4154">
        <v>6</v>
      </c>
      <c r="M459" s="4154">
        <f t="shared" si="239"/>
        <v>400</v>
      </c>
      <c r="N459" s="4503">
        <v>46003</v>
      </c>
      <c r="O459" s="4553">
        <v>45999</v>
      </c>
      <c r="P459" s="3712"/>
      <c r="Q459" s="4154" t="s">
        <v>82</v>
      </c>
      <c r="R459" s="4951"/>
      <c r="S459" s="4157"/>
      <c r="T459" s="4157"/>
      <c r="U459" s="3711" t="s">
        <v>2213</v>
      </c>
      <c r="V459" s="3708" t="s">
        <v>2214</v>
      </c>
      <c r="W459" s="3711"/>
      <c r="X459" s="3711" t="s">
        <v>2215</v>
      </c>
      <c r="Y459" s="3711"/>
      <c r="Z459" s="3711" t="s">
        <v>2216</v>
      </c>
      <c r="AA459" s="3711"/>
      <c r="AB459" s="4932" t="s">
        <v>2217</v>
      </c>
      <c r="AC459" s="4154" t="s">
        <v>993</v>
      </c>
      <c r="AD459" s="4504">
        <v>2.1089</v>
      </c>
      <c r="AE459" s="4154">
        <f t="shared" si="252"/>
        <v>5061.36</v>
      </c>
      <c r="AF459" s="4575"/>
      <c r="AG459" s="3708"/>
      <c r="AH459" s="4405"/>
      <c r="AI459" s="1048">
        <f t="shared" si="244"/>
        <v>2400</v>
      </c>
      <c r="AJ459" s="4952"/>
      <c r="AK459" s="1048"/>
      <c r="AL459" s="4510"/>
      <c r="AM459" s="1048"/>
      <c r="AN459" s="4417"/>
      <c r="AO459" s="4415"/>
      <c r="AP459" s="4510">
        <f>J459</f>
        <v>2400</v>
      </c>
      <c r="AQ459" s="4946"/>
      <c r="AR459" s="4946"/>
      <c r="AS459" s="3708">
        <f t="shared" si="242"/>
        <v>2400</v>
      </c>
      <c r="AT459" s="4622"/>
      <c r="AU459" s="4946"/>
      <c r="AV459" s="4946"/>
      <c r="AW459" s="4417"/>
      <c r="AX459" s="4415">
        <f>J459/6</f>
        <v>400</v>
      </c>
      <c r="AY459" s="4418"/>
      <c r="AZ459" s="4418"/>
      <c r="BA459" s="4415"/>
      <c r="BB459" s="4415"/>
      <c r="BC459" s="4418"/>
      <c r="BD459" s="4414"/>
      <c r="BE459" s="1048"/>
      <c r="BF459" s="3708"/>
      <c r="BG459" s="4154"/>
      <c r="BH459" s="4323"/>
      <c r="BI459" s="4323"/>
      <c r="BJ459" s="4323"/>
      <c r="BK459" s="4160" t="s">
        <v>682</v>
      </c>
      <c r="BL459" s="4415">
        <f t="shared" si="245"/>
        <v>40</v>
      </c>
      <c r="BM459" s="4415">
        <f t="shared" si="246"/>
        <v>360</v>
      </c>
      <c r="BN459" s="4415">
        <f t="shared" si="247"/>
        <v>400</v>
      </c>
      <c r="BO459" s="4415">
        <f t="shared" si="248"/>
        <v>400</v>
      </c>
      <c r="BP459" s="4415">
        <f t="shared" si="249"/>
        <v>400</v>
      </c>
      <c r="BQ459" s="4414">
        <f t="shared" si="250"/>
        <v>400</v>
      </c>
      <c r="BR459" s="1048">
        <f t="shared" si="251"/>
        <v>400</v>
      </c>
      <c r="BS459" s="4649"/>
      <c r="BT459" s="4649"/>
      <c r="BU459" s="4649"/>
      <c r="BV459" s="4649"/>
      <c r="BW459" s="4649"/>
      <c r="BX459" s="4649"/>
      <c r="BY459" s="4649"/>
      <c r="BZ459" s="3708">
        <f t="shared" si="227"/>
        <v>2400</v>
      </c>
      <c r="CA459" s="4154">
        <f t="shared" si="243"/>
        <v>0</v>
      </c>
      <c r="CB459" s="4649"/>
      <c r="CC459" s="4649"/>
      <c r="CD459" s="4323"/>
      <c r="CE459" s="4323"/>
      <c r="CF459" s="4323"/>
    </row>
    <row r="460" s="4316" customFormat="1" ht="50" customHeight="1" spans="1:84">
      <c r="A460" s="4500">
        <v>45973</v>
      </c>
      <c r="B460" s="3708" t="s">
        <v>2005</v>
      </c>
      <c r="C460" s="3708" t="s">
        <v>673</v>
      </c>
      <c r="D460" s="4154">
        <v>4500185221</v>
      </c>
      <c r="E460" s="3708">
        <v>5000002057</v>
      </c>
      <c r="F460" s="4154" t="s">
        <v>2218</v>
      </c>
      <c r="G460" s="3708"/>
      <c r="H460" s="3708" t="s">
        <v>1933</v>
      </c>
      <c r="I460" s="3708" t="s">
        <v>1934</v>
      </c>
      <c r="J460" s="4154">
        <v>1200</v>
      </c>
      <c r="K460" s="4154">
        <v>0</v>
      </c>
      <c r="L460" s="4154">
        <v>3</v>
      </c>
      <c r="M460" s="4509">
        <f t="shared" si="239"/>
        <v>400</v>
      </c>
      <c r="N460" s="4503">
        <v>46003</v>
      </c>
      <c r="O460" s="4553">
        <v>45999</v>
      </c>
      <c r="P460" s="3712"/>
      <c r="Q460" s="4154" t="s">
        <v>82</v>
      </c>
      <c r="R460" s="4951"/>
      <c r="S460" s="4157"/>
      <c r="T460" s="4157"/>
      <c r="U460" s="3711" t="s">
        <v>2213</v>
      </c>
      <c r="V460" s="3708" t="s">
        <v>2214</v>
      </c>
      <c r="W460" s="3711"/>
      <c r="X460" s="3711" t="s">
        <v>2219</v>
      </c>
      <c r="Y460" s="3711"/>
      <c r="Z460" s="3711" t="s">
        <v>2216</v>
      </c>
      <c r="AA460" s="3711"/>
      <c r="AB460" s="4932" t="s">
        <v>2220</v>
      </c>
      <c r="AC460" s="4154" t="s">
        <v>993</v>
      </c>
      <c r="AD460" s="4504">
        <v>4.5754</v>
      </c>
      <c r="AE460" s="4154">
        <f t="shared" si="252"/>
        <v>5490.48</v>
      </c>
      <c r="AF460" s="4575"/>
      <c r="AG460" s="3708"/>
      <c r="AH460" s="4405"/>
      <c r="AI460" s="1048">
        <f>J460*2</f>
        <v>2400</v>
      </c>
      <c r="AJ460" s="4952"/>
      <c r="AK460" s="1048"/>
      <c r="AL460" s="4510"/>
      <c r="AM460" s="1048"/>
      <c r="AN460" s="4417"/>
      <c r="AO460" s="4415"/>
      <c r="AP460" s="4510">
        <f>J460*2</f>
        <v>2400</v>
      </c>
      <c r="AQ460" s="4946"/>
      <c r="AR460" s="4946"/>
      <c r="AS460" s="3708">
        <f>J460*2</f>
        <v>2400</v>
      </c>
      <c r="AT460" s="4622"/>
      <c r="AU460" s="4946"/>
      <c r="AV460" s="4946"/>
      <c r="AW460" s="4417"/>
      <c r="AX460" s="4415"/>
      <c r="AY460" s="4418"/>
      <c r="AZ460" s="4418"/>
      <c r="BA460" s="4415"/>
      <c r="BB460" s="4415"/>
      <c r="BC460" s="4418"/>
      <c r="BD460" s="4414"/>
      <c r="BE460" s="1048"/>
      <c r="BF460" s="3708"/>
      <c r="BG460" s="4154"/>
      <c r="BH460" s="4160">
        <f>J460</f>
        <v>1200</v>
      </c>
      <c r="BI460" s="4323"/>
      <c r="BJ460" s="4323"/>
      <c r="BK460" s="4160" t="s">
        <v>682</v>
      </c>
      <c r="BL460" s="4415">
        <f>J460/60*1*2</f>
        <v>40</v>
      </c>
      <c r="BM460" s="4415">
        <f>J460/60*9*2</f>
        <v>360</v>
      </c>
      <c r="BN460" s="4415">
        <f>J460/60*10*2</f>
        <v>400</v>
      </c>
      <c r="BO460" s="4415">
        <f>J460/60*10*2</f>
        <v>400</v>
      </c>
      <c r="BP460" s="4415">
        <f>J460/60*10*2</f>
        <v>400</v>
      </c>
      <c r="BQ460" s="4414">
        <f>J460/60*10*2</f>
        <v>400</v>
      </c>
      <c r="BR460" s="1048">
        <f>J460/60*10*2</f>
        <v>400</v>
      </c>
      <c r="BS460" s="4649"/>
      <c r="BT460" s="4649"/>
      <c r="BU460" s="4649"/>
      <c r="BV460" s="4649"/>
      <c r="BW460" s="4649"/>
      <c r="BX460" s="4649"/>
      <c r="BY460" s="4649"/>
      <c r="BZ460" s="3708">
        <f t="shared" si="227"/>
        <v>2400</v>
      </c>
      <c r="CA460" s="4154">
        <f>SUM(BL460:BR460)-BZ460</f>
        <v>0</v>
      </c>
      <c r="CB460" s="4649"/>
      <c r="CC460" s="4649"/>
      <c r="CD460" s="4323"/>
      <c r="CE460" s="4323"/>
      <c r="CF460" s="4323"/>
    </row>
    <row r="461" s="4316" customFormat="1" ht="50" customHeight="1" spans="1:84">
      <c r="A461" s="4500">
        <v>45960</v>
      </c>
      <c r="B461" s="3708" t="s">
        <v>90</v>
      </c>
      <c r="C461" s="3708" t="s">
        <v>91</v>
      </c>
      <c r="D461" s="4154">
        <v>4500183802</v>
      </c>
      <c r="E461" s="3708" t="s">
        <v>2221</v>
      </c>
      <c r="F461" s="4154" t="s">
        <v>2222</v>
      </c>
      <c r="G461" s="3708"/>
      <c r="H461" s="3708" t="s">
        <v>333</v>
      </c>
      <c r="I461" s="3708" t="s">
        <v>328</v>
      </c>
      <c r="J461" s="4593">
        <v>2400</v>
      </c>
      <c r="K461" s="4154">
        <v>0</v>
      </c>
      <c r="L461" s="4154">
        <v>24</v>
      </c>
      <c r="M461" s="4154">
        <f t="shared" si="239"/>
        <v>100</v>
      </c>
      <c r="N461" s="4503">
        <v>46009</v>
      </c>
      <c r="O461" s="4553">
        <v>46006</v>
      </c>
      <c r="P461" s="3712"/>
      <c r="Q461" s="4154" t="s">
        <v>82</v>
      </c>
      <c r="R461" s="4797"/>
      <c r="S461" s="4157"/>
      <c r="T461" s="4157"/>
      <c r="U461" s="3726" t="s">
        <v>2223</v>
      </c>
      <c r="V461" s="4154" t="s">
        <v>97</v>
      </c>
      <c r="W461" s="3711"/>
      <c r="X461" s="3711" t="s">
        <v>98</v>
      </c>
      <c r="Y461" s="3711"/>
      <c r="Z461" s="3711" t="s">
        <v>2224</v>
      </c>
      <c r="AA461" s="4154"/>
      <c r="AB461" s="3713" t="s">
        <v>2188</v>
      </c>
      <c r="AC461" s="3711" t="s">
        <v>653</v>
      </c>
      <c r="AD461" s="4504">
        <v>1.2199</v>
      </c>
      <c r="AE461" s="3708">
        <f t="shared" si="252"/>
        <v>2927.76</v>
      </c>
      <c r="AF461" s="3726"/>
      <c r="AG461" s="3726"/>
      <c r="AH461" s="4422"/>
      <c r="AI461" s="1048">
        <f t="shared" ref="AI461:AI472" si="253">J461</f>
        <v>2400</v>
      </c>
      <c r="AJ461" s="4422"/>
      <c r="AK461" s="3708"/>
      <c r="AL461" s="3708"/>
      <c r="AM461" s="4154"/>
      <c r="AN461" s="907"/>
      <c r="AO461" s="4415">
        <f t="shared" ref="AO461:AO472" si="254">J461</f>
        <v>2400</v>
      </c>
      <c r="AP461" s="1048"/>
      <c r="AQ461" s="907"/>
      <c r="AR461" s="907"/>
      <c r="AS461" s="3708">
        <f t="shared" ref="AS461:AS472" si="255">J461</f>
        <v>2400</v>
      </c>
      <c r="AT461" s="1048"/>
      <c r="AU461" s="907"/>
      <c r="AV461" s="4922"/>
      <c r="AW461" s="4922"/>
      <c r="AX461" s="1048"/>
      <c r="AY461" s="4922"/>
      <c r="AZ461" s="4922"/>
      <c r="BA461" s="1048"/>
      <c r="BB461" s="4622"/>
      <c r="BC461" s="4922"/>
      <c r="BD461" s="4622"/>
      <c r="BE461" s="4622"/>
      <c r="BF461" s="4622"/>
      <c r="BG461" s="4622"/>
      <c r="BH461" s="4622"/>
      <c r="BI461" s="4622"/>
      <c r="BJ461" s="1048"/>
      <c r="BK461" s="4160" t="s">
        <v>89</v>
      </c>
      <c r="BL461" s="4415">
        <f t="shared" ref="BL461:BL472" si="256">J461/60*1</f>
        <v>40</v>
      </c>
      <c r="BM461" s="4415">
        <f t="shared" ref="BM461:BM472" si="257">J461/60*9</f>
        <v>360</v>
      </c>
      <c r="BN461" s="4415">
        <f t="shared" ref="BN461:BN472" si="258">J461/60*10</f>
        <v>400</v>
      </c>
      <c r="BO461" s="4415">
        <f t="shared" ref="BO461:BO472" si="259">J461/60*10</f>
        <v>400</v>
      </c>
      <c r="BP461" s="4415">
        <f t="shared" ref="BP461:BP472" si="260">J461/60*10</f>
        <v>400</v>
      </c>
      <c r="BQ461" s="4414">
        <f t="shared" ref="BQ461:BQ472" si="261">J461/60*10</f>
        <v>400</v>
      </c>
      <c r="BR461" s="1048">
        <f t="shared" ref="BR461:BR472" si="262">J461/60*10</f>
        <v>400</v>
      </c>
      <c r="BS461" s="911"/>
      <c r="BT461" s="911"/>
      <c r="BU461" s="911"/>
      <c r="BV461" s="911"/>
      <c r="BW461" s="911"/>
      <c r="BX461" s="910"/>
      <c r="BY461" s="910"/>
      <c r="BZ461" s="3708">
        <f t="shared" si="227"/>
        <v>2400</v>
      </c>
      <c r="CA461" s="4154">
        <f t="shared" ref="CA461:CA472" si="263">J461-BZ461</f>
        <v>0</v>
      </c>
      <c r="CB461" s="4923"/>
      <c r="CC461" s="4923"/>
      <c r="CD461" s="4323"/>
      <c r="CE461" s="4323"/>
      <c r="CF461" s="4323"/>
    </row>
    <row r="462" s="4316" customFormat="1" ht="50" customHeight="1" spans="1:84">
      <c r="A462" s="4953">
        <v>45960</v>
      </c>
      <c r="B462" s="4954" t="s">
        <v>90</v>
      </c>
      <c r="C462" s="4955" t="s">
        <v>91</v>
      </c>
      <c r="D462" s="4956">
        <v>4500183801</v>
      </c>
      <c r="E462" s="4957" t="s">
        <v>2225</v>
      </c>
      <c r="F462" s="4956" t="s">
        <v>2226</v>
      </c>
      <c r="G462" s="3708"/>
      <c r="H462" s="3708" t="s">
        <v>333</v>
      </c>
      <c r="I462" s="3708" t="s">
        <v>328</v>
      </c>
      <c r="J462" s="4593">
        <v>2208</v>
      </c>
      <c r="K462" s="4154">
        <v>0</v>
      </c>
      <c r="L462" s="4154">
        <v>24</v>
      </c>
      <c r="M462" s="4154">
        <f t="shared" si="239"/>
        <v>92</v>
      </c>
      <c r="N462" s="4958">
        <v>46009</v>
      </c>
      <c r="O462" s="4958">
        <v>46006</v>
      </c>
      <c r="P462" s="3712"/>
      <c r="Q462" s="4154" t="s">
        <v>82</v>
      </c>
      <c r="R462" s="4797"/>
      <c r="S462" s="4157"/>
      <c r="T462" s="4157"/>
      <c r="U462" s="3726" t="s">
        <v>2227</v>
      </c>
      <c r="V462" s="4154" t="s">
        <v>97</v>
      </c>
      <c r="W462" s="3711"/>
      <c r="X462" s="3711" t="s">
        <v>98</v>
      </c>
      <c r="Y462" s="3711"/>
      <c r="Z462" s="3711" t="s">
        <v>2224</v>
      </c>
      <c r="AA462" s="4154"/>
      <c r="AB462" s="4959" t="s">
        <v>2228</v>
      </c>
      <c r="AC462" s="4954" t="s">
        <v>653</v>
      </c>
      <c r="AD462" s="4504">
        <v>1.2199</v>
      </c>
      <c r="AE462" s="3708">
        <f t="shared" si="252"/>
        <v>2693.5392</v>
      </c>
      <c r="AF462" s="3726"/>
      <c r="AG462" s="3726"/>
      <c r="AH462" s="4422"/>
      <c r="AI462" s="1048">
        <f t="shared" si="253"/>
        <v>2208</v>
      </c>
      <c r="AJ462" s="4422"/>
      <c r="AK462" s="3708"/>
      <c r="AL462" s="3708"/>
      <c r="AM462" s="4154"/>
      <c r="AN462" s="907"/>
      <c r="AO462" s="4415">
        <f t="shared" si="254"/>
        <v>2208</v>
      </c>
      <c r="AP462" s="1048"/>
      <c r="AQ462" s="907"/>
      <c r="AR462" s="907"/>
      <c r="AS462" s="3708">
        <f t="shared" si="255"/>
        <v>2208</v>
      </c>
      <c r="AT462" s="1048"/>
      <c r="AU462" s="907"/>
      <c r="AV462" s="4922"/>
      <c r="AW462" s="4922"/>
      <c r="AX462" s="1048"/>
      <c r="AY462" s="4922"/>
      <c r="AZ462" s="4922"/>
      <c r="BA462" s="1048"/>
      <c r="BB462" s="4622"/>
      <c r="BC462" s="4922"/>
      <c r="BD462" s="4622"/>
      <c r="BE462" s="4622"/>
      <c r="BF462" s="4622"/>
      <c r="BG462" s="4622"/>
      <c r="BH462" s="4622"/>
      <c r="BI462" s="4622"/>
      <c r="BJ462" s="1048"/>
      <c r="BK462" s="4160" t="s">
        <v>89</v>
      </c>
      <c r="BL462" s="4415">
        <f t="shared" si="256"/>
        <v>36.8</v>
      </c>
      <c r="BM462" s="4415">
        <f t="shared" si="257"/>
        <v>331.2</v>
      </c>
      <c r="BN462" s="4415">
        <f t="shared" si="258"/>
        <v>368</v>
      </c>
      <c r="BO462" s="4415">
        <f t="shared" si="259"/>
        <v>368</v>
      </c>
      <c r="BP462" s="4415">
        <f t="shared" si="260"/>
        <v>368</v>
      </c>
      <c r="BQ462" s="4414">
        <f t="shared" si="261"/>
        <v>368</v>
      </c>
      <c r="BR462" s="1048">
        <f t="shared" si="262"/>
        <v>368</v>
      </c>
      <c r="BS462" s="911"/>
      <c r="BT462" s="911"/>
      <c r="BU462" s="911"/>
      <c r="BV462" s="911"/>
      <c r="BW462" s="911"/>
      <c r="BX462" s="910"/>
      <c r="BY462" s="910"/>
      <c r="BZ462" s="3708">
        <f t="shared" si="227"/>
        <v>2208</v>
      </c>
      <c r="CA462" s="4154">
        <f t="shared" si="263"/>
        <v>0</v>
      </c>
      <c r="CB462" s="4923"/>
      <c r="CC462" s="4923"/>
      <c r="CD462" s="4323"/>
      <c r="CE462" s="4323"/>
      <c r="CF462" s="4323"/>
    </row>
    <row r="463" s="4316" customFormat="1" ht="50" customHeight="1" spans="1:84">
      <c r="A463" s="4953">
        <v>45954</v>
      </c>
      <c r="B463" s="4954" t="s">
        <v>1206</v>
      </c>
      <c r="C463" s="4955" t="s">
        <v>351</v>
      </c>
      <c r="D463" s="4956">
        <v>4500182941</v>
      </c>
      <c r="E463" s="4957"/>
      <c r="F463" s="4956" t="s">
        <v>2229</v>
      </c>
      <c r="G463" s="3708"/>
      <c r="H463" s="3708" t="s">
        <v>333</v>
      </c>
      <c r="I463" s="3708" t="s">
        <v>328</v>
      </c>
      <c r="J463" s="4593">
        <v>312</v>
      </c>
      <c r="K463" s="4154">
        <v>0</v>
      </c>
      <c r="L463" s="4154">
        <v>24</v>
      </c>
      <c r="M463" s="4154">
        <f t="shared" si="239"/>
        <v>13</v>
      </c>
      <c r="N463" s="4958">
        <v>46013</v>
      </c>
      <c r="O463" s="4958">
        <v>46009</v>
      </c>
      <c r="P463" s="3712"/>
      <c r="Q463" s="4154" t="s">
        <v>82</v>
      </c>
      <c r="R463" s="4797"/>
      <c r="S463" s="4157"/>
      <c r="T463" s="4157"/>
      <c r="U463" s="3726" t="s">
        <v>2230</v>
      </c>
      <c r="V463" s="4154" t="s">
        <v>2231</v>
      </c>
      <c r="W463" s="3711"/>
      <c r="X463" s="3711" t="s">
        <v>2232</v>
      </c>
      <c r="Y463" s="3711"/>
      <c r="Z463" s="3711"/>
      <c r="AA463" s="4154"/>
      <c r="AB463" s="4959" t="s">
        <v>2233</v>
      </c>
      <c r="AC463" s="4954" t="s">
        <v>357</v>
      </c>
      <c r="AD463" s="4504">
        <v>2.09</v>
      </c>
      <c r="AE463" s="3708">
        <f t="shared" si="252"/>
        <v>652.08</v>
      </c>
      <c r="AF463" s="3726"/>
      <c r="AG463" s="3726"/>
      <c r="AH463" s="4448"/>
      <c r="AI463" s="1048">
        <f t="shared" si="253"/>
        <v>312</v>
      </c>
      <c r="AJ463" s="4448"/>
      <c r="AK463" s="3708"/>
      <c r="AL463" s="3708"/>
      <c r="AM463" s="4154"/>
      <c r="AN463" s="4411"/>
      <c r="AO463" s="4415">
        <f t="shared" si="254"/>
        <v>312</v>
      </c>
      <c r="AP463" s="1048"/>
      <c r="AQ463" s="4411"/>
      <c r="AR463" s="4411"/>
      <c r="AS463" s="3708">
        <f t="shared" si="255"/>
        <v>312</v>
      </c>
      <c r="AT463" s="1048"/>
      <c r="AU463" s="4411"/>
      <c r="AV463" s="4933"/>
      <c r="AW463" s="4933"/>
      <c r="AX463" s="1048"/>
      <c r="AY463" s="4933"/>
      <c r="AZ463" s="4933"/>
      <c r="BA463" s="1048"/>
      <c r="BB463" s="4622"/>
      <c r="BC463" s="4933"/>
      <c r="BD463" s="4622"/>
      <c r="BE463" s="4622"/>
      <c r="BF463" s="4622"/>
      <c r="BG463" s="4622"/>
      <c r="BH463" s="4622"/>
      <c r="BI463" s="4622"/>
      <c r="BJ463" s="1048"/>
      <c r="BK463" s="4160" t="s">
        <v>89</v>
      </c>
      <c r="BL463" s="4415">
        <f t="shared" si="256"/>
        <v>5.2</v>
      </c>
      <c r="BM463" s="4415">
        <f t="shared" si="257"/>
        <v>46.8</v>
      </c>
      <c r="BN463" s="4415">
        <f t="shared" si="258"/>
        <v>52</v>
      </c>
      <c r="BO463" s="4415">
        <f t="shared" si="259"/>
        <v>52</v>
      </c>
      <c r="BP463" s="4415">
        <f t="shared" si="260"/>
        <v>52</v>
      </c>
      <c r="BQ463" s="4414">
        <f t="shared" si="261"/>
        <v>52</v>
      </c>
      <c r="BR463" s="1048">
        <f t="shared" si="262"/>
        <v>52</v>
      </c>
      <c r="BS463" s="4454"/>
      <c r="BT463" s="4454"/>
      <c r="BU463" s="4454"/>
      <c r="BV463" s="4454"/>
      <c r="BW463" s="4454"/>
      <c r="BX463" s="4453"/>
      <c r="BY463" s="4453"/>
      <c r="BZ463" s="3708">
        <f t="shared" si="227"/>
        <v>312</v>
      </c>
      <c r="CA463" s="4154">
        <f t="shared" si="263"/>
        <v>0</v>
      </c>
      <c r="CB463" s="4934"/>
      <c r="CC463" s="4934"/>
      <c r="CD463" s="4323"/>
      <c r="CE463" s="4323"/>
      <c r="CF463" s="4323"/>
    </row>
    <row r="464" s="4316" customFormat="1" ht="50" customHeight="1" spans="1:84">
      <c r="A464" s="4953">
        <v>45978</v>
      </c>
      <c r="B464" s="4954" t="s">
        <v>1172</v>
      </c>
      <c r="C464" s="4955" t="s">
        <v>91</v>
      </c>
      <c r="D464" s="4956">
        <v>4500185895</v>
      </c>
      <c r="E464" s="4957">
        <v>36012</v>
      </c>
      <c r="F464" s="4956" t="s">
        <v>2234</v>
      </c>
      <c r="G464" s="3708"/>
      <c r="H464" s="3708" t="s">
        <v>327</v>
      </c>
      <c r="I464" s="4154" t="s">
        <v>328</v>
      </c>
      <c r="J464" s="4154">
        <v>1440</v>
      </c>
      <c r="K464" s="4154">
        <v>0</v>
      </c>
      <c r="L464" s="4154">
        <v>12</v>
      </c>
      <c r="M464" s="4154">
        <f t="shared" si="239"/>
        <v>120</v>
      </c>
      <c r="N464" s="4958">
        <v>46015</v>
      </c>
      <c r="O464" s="4958">
        <v>46011</v>
      </c>
      <c r="P464" s="3712"/>
      <c r="Q464" s="4154" t="s">
        <v>82</v>
      </c>
      <c r="R464" s="4157"/>
      <c r="S464" s="4157"/>
      <c r="T464" s="4157"/>
      <c r="U464" s="3726" t="s">
        <v>2235</v>
      </c>
      <c r="V464" s="4154" t="s">
        <v>2236</v>
      </c>
      <c r="W464" s="3711"/>
      <c r="X464" s="3711" t="s">
        <v>98</v>
      </c>
      <c r="Y464" s="3711"/>
      <c r="Z464" s="3711"/>
      <c r="AA464" s="4154"/>
      <c r="AB464" s="4959" t="s">
        <v>1916</v>
      </c>
      <c r="AC464" s="4954" t="s">
        <v>1917</v>
      </c>
      <c r="AD464" s="4504">
        <v>1.2953</v>
      </c>
      <c r="AE464" s="4154">
        <f t="shared" si="252"/>
        <v>1865.232</v>
      </c>
      <c r="AF464" s="3726"/>
      <c r="AG464" s="3726"/>
      <c r="AH464" s="4422"/>
      <c r="AI464" s="1048">
        <f t="shared" si="253"/>
        <v>1440</v>
      </c>
      <c r="AJ464" s="4422"/>
      <c r="AK464" s="3708"/>
      <c r="AL464" s="3708"/>
      <c r="AM464" s="4154"/>
      <c r="AN464" s="907"/>
      <c r="AO464" s="4415">
        <f t="shared" si="254"/>
        <v>1440</v>
      </c>
      <c r="AP464" s="1048"/>
      <c r="AQ464" s="907"/>
      <c r="AR464" s="907"/>
      <c r="AS464" s="3708">
        <f t="shared" si="255"/>
        <v>1440</v>
      </c>
      <c r="AT464" s="1048"/>
      <c r="AU464" s="907"/>
      <c r="AV464" s="4922"/>
      <c r="AW464" s="4922"/>
      <c r="AX464" s="1048">
        <f>J464/6</f>
        <v>240</v>
      </c>
      <c r="AY464" s="4922"/>
      <c r="AZ464" s="4922"/>
      <c r="BA464" s="1048"/>
      <c r="BB464" s="4622"/>
      <c r="BC464" s="4922"/>
      <c r="BD464" s="4622"/>
      <c r="BE464" s="4622"/>
      <c r="BF464" s="4622"/>
      <c r="BG464" s="4622"/>
      <c r="BH464" s="4622"/>
      <c r="BI464" s="4622"/>
      <c r="BJ464" s="1048"/>
      <c r="BK464" s="4160" t="s">
        <v>89</v>
      </c>
      <c r="BL464" s="4415">
        <f t="shared" si="256"/>
        <v>24</v>
      </c>
      <c r="BM464" s="4415">
        <f t="shared" si="257"/>
        <v>216</v>
      </c>
      <c r="BN464" s="4415">
        <f t="shared" si="258"/>
        <v>240</v>
      </c>
      <c r="BO464" s="4415">
        <f t="shared" si="259"/>
        <v>240</v>
      </c>
      <c r="BP464" s="4415">
        <f t="shared" si="260"/>
        <v>240</v>
      </c>
      <c r="BQ464" s="4414">
        <f t="shared" si="261"/>
        <v>240</v>
      </c>
      <c r="BR464" s="1048">
        <f t="shared" si="262"/>
        <v>240</v>
      </c>
      <c r="BS464" s="911"/>
      <c r="BT464" s="911"/>
      <c r="BU464" s="911"/>
      <c r="BV464" s="911"/>
      <c r="BW464" s="911"/>
      <c r="BX464" s="910"/>
      <c r="BY464" s="910"/>
      <c r="BZ464" s="3708">
        <f t="shared" si="227"/>
        <v>1440</v>
      </c>
      <c r="CA464" s="4154">
        <f t="shared" si="263"/>
        <v>0</v>
      </c>
      <c r="CB464" s="4923"/>
      <c r="CC464" s="4923"/>
      <c r="CD464" s="4323"/>
      <c r="CE464" s="4323"/>
      <c r="CF464" s="4323"/>
    </row>
    <row r="465" s="4316" customFormat="1" ht="50" customHeight="1" spans="1:84">
      <c r="A465" s="4953">
        <v>45985</v>
      </c>
      <c r="B465" s="4954" t="s">
        <v>1409</v>
      </c>
      <c r="C465" s="4955" t="s">
        <v>1410</v>
      </c>
      <c r="D465" s="4956">
        <v>4500186722</v>
      </c>
      <c r="E465" s="4957" t="s">
        <v>2237</v>
      </c>
      <c r="F465" s="4956" t="s">
        <v>2238</v>
      </c>
      <c r="G465" s="3708"/>
      <c r="H465" s="3708" t="s">
        <v>333</v>
      </c>
      <c r="I465" s="3708" t="s">
        <v>328</v>
      </c>
      <c r="J465" s="4593">
        <v>1680</v>
      </c>
      <c r="K465" s="4154">
        <v>0</v>
      </c>
      <c r="L465" s="4154">
        <v>24</v>
      </c>
      <c r="M465" s="4154">
        <f t="shared" si="239"/>
        <v>70</v>
      </c>
      <c r="N465" s="4958">
        <v>46018</v>
      </c>
      <c r="O465" s="4958">
        <v>46014</v>
      </c>
      <c r="P465" s="3712"/>
      <c r="Q465" s="4154" t="s">
        <v>82</v>
      </c>
      <c r="R465" s="4157"/>
      <c r="S465" s="4157"/>
      <c r="T465" s="4157"/>
      <c r="U465" s="3726" t="s">
        <v>104</v>
      </c>
      <c r="V465" s="3711" t="s">
        <v>2236</v>
      </c>
      <c r="W465" s="3711"/>
      <c r="X465" s="3711" t="s">
        <v>98</v>
      </c>
      <c r="Y465" s="3711"/>
      <c r="Z465" s="3711"/>
      <c r="AA465" s="4154"/>
      <c r="AB465" s="4959" t="s">
        <v>2239</v>
      </c>
      <c r="AC465" s="4954" t="s">
        <v>892</v>
      </c>
      <c r="AD465" s="4504">
        <v>2.0854</v>
      </c>
      <c r="AE465" s="3708">
        <f t="shared" si="252"/>
        <v>3503.472</v>
      </c>
      <c r="AF465" s="3726"/>
      <c r="AG465" s="3726"/>
      <c r="AH465" s="4422"/>
      <c r="AI465" s="1048">
        <f t="shared" si="253"/>
        <v>1680</v>
      </c>
      <c r="AJ465" s="4422"/>
      <c r="AK465" s="3708"/>
      <c r="AL465" s="3708"/>
      <c r="AM465" s="4154"/>
      <c r="AN465" s="907"/>
      <c r="AO465" s="4415">
        <f t="shared" si="254"/>
        <v>1680</v>
      </c>
      <c r="AP465" s="1048"/>
      <c r="AQ465" s="907"/>
      <c r="AR465" s="907"/>
      <c r="AS465" s="3708">
        <f t="shared" si="255"/>
        <v>1680</v>
      </c>
      <c r="AT465" s="1048"/>
      <c r="AU465" s="907"/>
      <c r="AV465" s="4922"/>
      <c r="AW465" s="4922"/>
      <c r="AX465" s="1048"/>
      <c r="AY465" s="4922"/>
      <c r="AZ465" s="4922"/>
      <c r="BA465" s="1048"/>
      <c r="BB465" s="4622"/>
      <c r="BC465" s="4922"/>
      <c r="BD465" s="4622"/>
      <c r="BE465" s="4622"/>
      <c r="BF465" s="4622"/>
      <c r="BG465" s="4622"/>
      <c r="BH465" s="4622"/>
      <c r="BI465" s="4622"/>
      <c r="BJ465" s="1048"/>
      <c r="BK465" s="4160" t="s">
        <v>89</v>
      </c>
      <c r="BL465" s="4415">
        <f t="shared" si="256"/>
        <v>28</v>
      </c>
      <c r="BM465" s="4415">
        <f t="shared" si="257"/>
        <v>252</v>
      </c>
      <c r="BN465" s="4415">
        <f t="shared" si="258"/>
        <v>280</v>
      </c>
      <c r="BO465" s="4415">
        <f t="shared" si="259"/>
        <v>280</v>
      </c>
      <c r="BP465" s="4415">
        <f t="shared" si="260"/>
        <v>280</v>
      </c>
      <c r="BQ465" s="4414">
        <f t="shared" si="261"/>
        <v>280</v>
      </c>
      <c r="BR465" s="1048">
        <f t="shared" si="262"/>
        <v>280</v>
      </c>
      <c r="BS465" s="911"/>
      <c r="BT465" s="911"/>
      <c r="BU465" s="911"/>
      <c r="BV465" s="911"/>
      <c r="BW465" s="911"/>
      <c r="BX465" s="910"/>
      <c r="BY465" s="910"/>
      <c r="BZ465" s="3708">
        <f t="shared" si="227"/>
        <v>1680</v>
      </c>
      <c r="CA465" s="4154">
        <f t="shared" si="263"/>
        <v>0</v>
      </c>
      <c r="CB465" s="4923"/>
      <c r="CC465" s="4923"/>
      <c r="CD465" s="4323"/>
      <c r="CE465" s="4323"/>
      <c r="CF465" s="4323"/>
    </row>
    <row r="466" s="4316" customFormat="1" ht="50" customHeight="1" spans="1:84">
      <c r="A466" s="4953">
        <v>45961</v>
      </c>
      <c r="B466" s="4954" t="s">
        <v>2240</v>
      </c>
      <c r="C466" s="4955" t="s">
        <v>873</v>
      </c>
      <c r="D466" s="4956">
        <v>4500183736</v>
      </c>
      <c r="E466" s="4957"/>
      <c r="F466" s="4956" t="s">
        <v>2241</v>
      </c>
      <c r="G466" s="3708"/>
      <c r="H466" s="3708" t="s">
        <v>327</v>
      </c>
      <c r="I466" s="4154" t="s">
        <v>328</v>
      </c>
      <c r="J466" s="4154">
        <v>600</v>
      </c>
      <c r="K466" s="4154">
        <v>0</v>
      </c>
      <c r="L466" s="4154">
        <v>12</v>
      </c>
      <c r="M466" s="4154">
        <f t="shared" si="239"/>
        <v>50</v>
      </c>
      <c r="N466" s="4958">
        <v>46017</v>
      </c>
      <c r="O466" s="4958">
        <v>46013</v>
      </c>
      <c r="P466" s="3712"/>
      <c r="Q466" s="4154" t="s">
        <v>82</v>
      </c>
      <c r="R466" s="4797"/>
      <c r="S466" s="4157"/>
      <c r="T466" s="4157"/>
      <c r="U466" s="3726" t="s">
        <v>2242</v>
      </c>
      <c r="V466" s="3711" t="s">
        <v>2243</v>
      </c>
      <c r="W466" s="3711"/>
      <c r="X466" s="3711" t="s">
        <v>2244</v>
      </c>
      <c r="Y466" s="3711"/>
      <c r="Z466" s="3711"/>
      <c r="AA466" s="4154"/>
      <c r="AB466" s="4959" t="s">
        <v>1981</v>
      </c>
      <c r="AC466" s="4954" t="s">
        <v>1982</v>
      </c>
      <c r="AD466" s="4504">
        <v>2.1633</v>
      </c>
      <c r="AE466" s="4154">
        <f t="shared" si="252"/>
        <v>1297.98</v>
      </c>
      <c r="AF466" s="3715" t="s">
        <v>2245</v>
      </c>
      <c r="AG466" s="3726"/>
      <c r="AH466" s="4422"/>
      <c r="AI466" s="1048">
        <f t="shared" si="253"/>
        <v>600</v>
      </c>
      <c r="AJ466" s="4422"/>
      <c r="AK466" s="3708"/>
      <c r="AL466" s="3708"/>
      <c r="AM466" s="4154"/>
      <c r="AN466" s="907"/>
      <c r="AO466" s="4415">
        <f t="shared" si="254"/>
        <v>600</v>
      </c>
      <c r="AP466" s="1048"/>
      <c r="AQ466" s="907"/>
      <c r="AR466" s="907"/>
      <c r="AS466" s="3708">
        <f t="shared" si="255"/>
        <v>600</v>
      </c>
      <c r="AT466" s="1048"/>
      <c r="AU466" s="907"/>
      <c r="AV466" s="4922"/>
      <c r="AW466" s="4922"/>
      <c r="AX466" s="1048">
        <f>J466/6</f>
        <v>100</v>
      </c>
      <c r="AY466" s="4922"/>
      <c r="AZ466" s="4922"/>
      <c r="BA466" s="1048"/>
      <c r="BB466" s="4622"/>
      <c r="BC466" s="4922"/>
      <c r="BD466" s="4622"/>
      <c r="BE466" s="4622"/>
      <c r="BF466" s="4622"/>
      <c r="BG466" s="4622"/>
      <c r="BH466" s="4622"/>
      <c r="BI466" s="4622"/>
      <c r="BJ466" s="1048"/>
      <c r="BK466" s="4160" t="s">
        <v>89</v>
      </c>
      <c r="BL466" s="4415">
        <f t="shared" si="256"/>
        <v>10</v>
      </c>
      <c r="BM466" s="4415">
        <f t="shared" si="257"/>
        <v>90</v>
      </c>
      <c r="BN466" s="4415">
        <f t="shared" si="258"/>
        <v>100</v>
      </c>
      <c r="BO466" s="4415">
        <f t="shared" si="259"/>
        <v>100</v>
      </c>
      <c r="BP466" s="4415">
        <f t="shared" si="260"/>
        <v>100</v>
      </c>
      <c r="BQ466" s="4414">
        <f t="shared" si="261"/>
        <v>100</v>
      </c>
      <c r="BR466" s="1048">
        <f t="shared" si="262"/>
        <v>100</v>
      </c>
      <c r="BS466" s="911"/>
      <c r="BT466" s="911"/>
      <c r="BU466" s="911"/>
      <c r="BV466" s="911"/>
      <c r="BW466" s="911"/>
      <c r="BX466" s="910"/>
      <c r="BY466" s="910"/>
      <c r="BZ466" s="3708">
        <f t="shared" si="227"/>
        <v>600</v>
      </c>
      <c r="CA466" s="4154">
        <f t="shared" si="263"/>
        <v>0</v>
      </c>
      <c r="CB466" s="4923"/>
      <c r="CC466" s="4923"/>
      <c r="CD466" s="4323"/>
      <c r="CE466" s="4323"/>
      <c r="CF466" s="4323"/>
    </row>
    <row r="467" s="4316" customFormat="1" ht="50" customHeight="1" spans="1:84">
      <c r="A467" s="4953">
        <v>45967</v>
      </c>
      <c r="B467" s="4954" t="s">
        <v>2246</v>
      </c>
      <c r="C467" s="4955" t="s">
        <v>858</v>
      </c>
      <c r="D467" s="4956">
        <v>4500184600</v>
      </c>
      <c r="E467" s="4957"/>
      <c r="F467" s="4956" t="s">
        <v>2247</v>
      </c>
      <c r="G467" s="3708"/>
      <c r="H467" s="3708" t="s">
        <v>327</v>
      </c>
      <c r="I467" s="4154" t="s">
        <v>328</v>
      </c>
      <c r="J467" s="4154">
        <v>156</v>
      </c>
      <c r="K467" s="4154">
        <v>0</v>
      </c>
      <c r="L467" s="4154">
        <v>12</v>
      </c>
      <c r="M467" s="4154">
        <f t="shared" si="239"/>
        <v>13</v>
      </c>
      <c r="N467" s="4958">
        <v>46020</v>
      </c>
      <c r="O467" s="4958">
        <v>46016</v>
      </c>
      <c r="P467" s="3712"/>
      <c r="Q467" s="4154" t="s">
        <v>82</v>
      </c>
      <c r="R467" s="4944"/>
      <c r="S467" s="4157"/>
      <c r="T467" s="4157"/>
      <c r="U467" s="3726" t="s">
        <v>110</v>
      </c>
      <c r="V467" s="3711" t="s">
        <v>2195</v>
      </c>
      <c r="W467" s="3711"/>
      <c r="X467" s="3711" t="s">
        <v>2248</v>
      </c>
      <c r="Y467" s="3711"/>
      <c r="Z467" s="3711"/>
      <c r="AA467" s="4154"/>
      <c r="AB467" s="4959" t="s">
        <v>2249</v>
      </c>
      <c r="AC467" s="4954" t="s">
        <v>357</v>
      </c>
      <c r="AD467" s="4504">
        <v>2.1633</v>
      </c>
      <c r="AE467" s="4154">
        <f t="shared" si="252"/>
        <v>337.4748</v>
      </c>
      <c r="AF467" s="3726"/>
      <c r="AG467" s="3726"/>
      <c r="AH467" s="4405"/>
      <c r="AI467" s="1048">
        <f t="shared" si="253"/>
        <v>156</v>
      </c>
      <c r="AJ467" s="4405"/>
      <c r="AK467" s="3708"/>
      <c r="AL467" s="3708"/>
      <c r="AM467" s="4154"/>
      <c r="AN467" s="4417"/>
      <c r="AO467" s="4415">
        <f t="shared" si="254"/>
        <v>156</v>
      </c>
      <c r="AP467" s="1048"/>
      <c r="AQ467" s="4417"/>
      <c r="AR467" s="4417"/>
      <c r="AS467" s="3708">
        <f t="shared" si="255"/>
        <v>156</v>
      </c>
      <c r="AT467" s="1048"/>
      <c r="AU467" s="4417"/>
      <c r="AV467" s="4946"/>
      <c r="AW467" s="4946"/>
      <c r="AX467" s="1048">
        <f>J467/6</f>
        <v>26</v>
      </c>
      <c r="AY467" s="4946"/>
      <c r="AZ467" s="4946"/>
      <c r="BA467" s="1048"/>
      <c r="BB467" s="4622"/>
      <c r="BC467" s="4946"/>
      <c r="BD467" s="4622"/>
      <c r="BE467" s="4622"/>
      <c r="BF467" s="4622"/>
      <c r="BG467" s="4622"/>
      <c r="BH467" s="4622"/>
      <c r="BI467" s="4622"/>
      <c r="BJ467" s="1048"/>
      <c r="BK467" s="4160" t="s">
        <v>89</v>
      </c>
      <c r="BL467" s="4415">
        <f t="shared" si="256"/>
        <v>2.6</v>
      </c>
      <c r="BM467" s="4415">
        <f t="shared" si="257"/>
        <v>23.4</v>
      </c>
      <c r="BN467" s="4415">
        <f t="shared" si="258"/>
        <v>26</v>
      </c>
      <c r="BO467" s="4415">
        <f t="shared" si="259"/>
        <v>26</v>
      </c>
      <c r="BP467" s="4415">
        <f t="shared" si="260"/>
        <v>26</v>
      </c>
      <c r="BQ467" s="4414">
        <f t="shared" si="261"/>
        <v>26</v>
      </c>
      <c r="BR467" s="1048">
        <f t="shared" si="262"/>
        <v>26</v>
      </c>
      <c r="BS467" s="4418"/>
      <c r="BT467" s="4418"/>
      <c r="BU467" s="4418"/>
      <c r="BV467" s="4418"/>
      <c r="BW467" s="4418"/>
      <c r="BX467" s="4472"/>
      <c r="BY467" s="4472"/>
      <c r="BZ467" s="3708">
        <f t="shared" si="227"/>
        <v>156</v>
      </c>
      <c r="CA467" s="4154">
        <f t="shared" si="263"/>
        <v>0</v>
      </c>
      <c r="CB467" s="4644"/>
      <c r="CC467" s="4644"/>
      <c r="CD467" s="4323"/>
      <c r="CE467" s="4323"/>
      <c r="CF467" s="4323"/>
    </row>
    <row r="468" s="4316" customFormat="1" ht="50" customHeight="1" spans="1:84">
      <c r="A468" s="4500">
        <v>45940</v>
      </c>
      <c r="B468" s="3708" t="s">
        <v>2250</v>
      </c>
      <c r="C468" s="3708" t="s">
        <v>91</v>
      </c>
      <c r="D468" s="4154">
        <v>4500181336</v>
      </c>
      <c r="E468" s="3708">
        <v>84006700</v>
      </c>
      <c r="F468" s="4154" t="s">
        <v>2251</v>
      </c>
      <c r="G468" s="3708"/>
      <c r="H468" s="3708" t="s">
        <v>327</v>
      </c>
      <c r="I468" s="4154" t="s">
        <v>328</v>
      </c>
      <c r="J468" s="4154">
        <v>2100</v>
      </c>
      <c r="K468" s="4154">
        <v>0</v>
      </c>
      <c r="L468" s="4154">
        <v>12</v>
      </c>
      <c r="M468" s="4154">
        <f t="shared" si="239"/>
        <v>175</v>
      </c>
      <c r="N468" s="4503">
        <v>46006</v>
      </c>
      <c r="O468" s="4553">
        <v>46002</v>
      </c>
      <c r="P468" s="3712"/>
      <c r="Q468" s="4154" t="s">
        <v>82</v>
      </c>
      <c r="R468" s="4944"/>
      <c r="S468" s="4157"/>
      <c r="T468" s="4157"/>
      <c r="U468" s="3726" t="s">
        <v>2252</v>
      </c>
      <c r="V468" s="3711" t="s">
        <v>2253</v>
      </c>
      <c r="W468" s="3711"/>
      <c r="X468" s="3711" t="s">
        <v>98</v>
      </c>
      <c r="Y468" s="3711"/>
      <c r="Z468" s="3711"/>
      <c r="AA468" s="4154"/>
      <c r="AB468" s="3713" t="s">
        <v>1395</v>
      </c>
      <c r="AC468" s="3711" t="s">
        <v>500</v>
      </c>
      <c r="AD468" s="4504">
        <v>1.2562</v>
      </c>
      <c r="AE468" s="4154">
        <f t="shared" si="252"/>
        <v>2638.02</v>
      </c>
      <c r="AF468" s="3726"/>
      <c r="AG468" s="3726"/>
      <c r="AH468" s="4412"/>
      <c r="AI468" s="4575">
        <f t="shared" si="253"/>
        <v>2100</v>
      </c>
      <c r="AJ468" s="4412"/>
      <c r="AK468" s="3708"/>
      <c r="AL468" s="3708"/>
      <c r="AM468" s="4154"/>
      <c r="AN468" s="1040"/>
      <c r="AO468" s="4510">
        <f t="shared" si="254"/>
        <v>2100</v>
      </c>
      <c r="AP468" s="1048"/>
      <c r="AQ468" s="1040"/>
      <c r="AR468" s="1040"/>
      <c r="AS468" s="4510">
        <f t="shared" si="255"/>
        <v>2100</v>
      </c>
      <c r="AT468" s="1048"/>
      <c r="AU468" s="1040"/>
      <c r="AV468" s="4945"/>
      <c r="AW468" s="4945"/>
      <c r="AX468" s="1048">
        <f>J468</f>
        <v>2100</v>
      </c>
      <c r="AY468" s="4945"/>
      <c r="AZ468" s="4945"/>
      <c r="BA468" s="1048"/>
      <c r="BB468" s="4622"/>
      <c r="BC468" s="4945"/>
      <c r="BD468" s="4622"/>
      <c r="BE468" s="4622"/>
      <c r="BF468" s="4622"/>
      <c r="BG468" s="4622"/>
      <c r="BH468" s="4622"/>
      <c r="BI468" s="4622"/>
      <c r="BJ468" s="1048"/>
      <c r="BK468" s="4415" t="s">
        <v>89</v>
      </c>
      <c r="BL468" s="4415">
        <f t="shared" si="256"/>
        <v>35</v>
      </c>
      <c r="BM468" s="4415">
        <f t="shared" si="257"/>
        <v>315</v>
      </c>
      <c r="BN468" s="4415">
        <f t="shared" si="258"/>
        <v>350</v>
      </c>
      <c r="BO468" s="4415">
        <f t="shared" si="259"/>
        <v>350</v>
      </c>
      <c r="BP468" s="4415">
        <f t="shared" si="260"/>
        <v>350</v>
      </c>
      <c r="BQ468" s="4414">
        <f t="shared" si="261"/>
        <v>350</v>
      </c>
      <c r="BR468" s="1048">
        <f t="shared" si="262"/>
        <v>350</v>
      </c>
      <c r="BS468" s="4524"/>
      <c r="BT468" s="4524"/>
      <c r="BU468" s="4524"/>
      <c r="BV468" s="4524"/>
      <c r="BW468" s="4524"/>
      <c r="BX468" s="1041"/>
      <c r="BY468" s="1041"/>
      <c r="BZ468" s="3708">
        <f t="shared" si="227"/>
        <v>2100</v>
      </c>
      <c r="CA468" s="4154">
        <f t="shared" si="263"/>
        <v>0</v>
      </c>
      <c r="CB468" s="4619"/>
      <c r="CC468" s="4619"/>
      <c r="CD468" s="4323"/>
      <c r="CE468" s="4323"/>
      <c r="CF468" s="4323"/>
    </row>
    <row r="469" s="4316" customFormat="1" ht="50" customHeight="1" spans="1:84">
      <c r="A469" s="4500">
        <v>45940</v>
      </c>
      <c r="B469" s="3708" t="s">
        <v>2250</v>
      </c>
      <c r="C469" s="3708" t="s">
        <v>91</v>
      </c>
      <c r="D469" s="4154">
        <v>4500181336</v>
      </c>
      <c r="E469" s="3708">
        <v>84006701</v>
      </c>
      <c r="F469" s="4154" t="s">
        <v>2254</v>
      </c>
      <c r="G469" s="3708"/>
      <c r="H469" s="3708" t="s">
        <v>327</v>
      </c>
      <c r="I469" s="4154" t="s">
        <v>328</v>
      </c>
      <c r="J469" s="4154">
        <v>180</v>
      </c>
      <c r="K469" s="4154">
        <v>0</v>
      </c>
      <c r="L469" s="4154">
        <v>12</v>
      </c>
      <c r="M469" s="4154">
        <f t="shared" si="239"/>
        <v>15</v>
      </c>
      <c r="N469" s="4503">
        <v>46006</v>
      </c>
      <c r="O469" s="4553">
        <v>46002</v>
      </c>
      <c r="P469" s="3712"/>
      <c r="Q469" s="4154" t="s">
        <v>82</v>
      </c>
      <c r="R469" s="4944">
        <f>168</f>
        <v>168</v>
      </c>
      <c r="S469" s="4157"/>
      <c r="T469" s="4157"/>
      <c r="U469" s="3726" t="s">
        <v>2252</v>
      </c>
      <c r="V469" s="3711" t="s">
        <v>2253</v>
      </c>
      <c r="W469" s="3711"/>
      <c r="X469" s="3711" t="s">
        <v>98</v>
      </c>
      <c r="Y469" s="3711"/>
      <c r="Z469" s="3711"/>
      <c r="AA469" s="4154"/>
      <c r="AB469" s="3713" t="s">
        <v>1395</v>
      </c>
      <c r="AC469" s="3711" t="s">
        <v>500</v>
      </c>
      <c r="AD469" s="4504">
        <v>1.2589</v>
      </c>
      <c r="AE469" s="4154">
        <f t="shared" si="252"/>
        <v>226.602</v>
      </c>
      <c r="AF469" s="3726"/>
      <c r="AG469" s="3726"/>
      <c r="AH469" s="4412"/>
      <c r="AI469" s="4575">
        <f t="shared" si="253"/>
        <v>180</v>
      </c>
      <c r="AJ469" s="4412"/>
      <c r="AK469" s="4575"/>
      <c r="AL469" s="3708"/>
      <c r="AM469" s="4154"/>
      <c r="AN469" s="1040"/>
      <c r="AO469" s="4510">
        <f t="shared" si="254"/>
        <v>180</v>
      </c>
      <c r="AP469" s="4510"/>
      <c r="AQ469" s="1040"/>
      <c r="AR469" s="1040"/>
      <c r="AS469" s="4510">
        <f t="shared" si="255"/>
        <v>180</v>
      </c>
      <c r="AT469" s="1048"/>
      <c r="AU469" s="1040"/>
      <c r="AV469" s="4945"/>
      <c r="AW469" s="4945"/>
      <c r="AX469" s="1048">
        <f>J469</f>
        <v>180</v>
      </c>
      <c r="AY469" s="4945"/>
      <c r="AZ469" s="4945"/>
      <c r="BA469" s="1048"/>
      <c r="BB469" s="4622"/>
      <c r="BC469" s="4945"/>
      <c r="BD469" s="4622"/>
      <c r="BE469" s="4622"/>
      <c r="BF469" s="4622"/>
      <c r="BG469" s="4622"/>
      <c r="BH469" s="4510"/>
      <c r="BI469" s="4622"/>
      <c r="BJ469" s="1048"/>
      <c r="BK469" s="4415" t="s">
        <v>89</v>
      </c>
      <c r="BL469" s="4415">
        <f t="shared" si="256"/>
        <v>3</v>
      </c>
      <c r="BM469" s="4415">
        <f t="shared" si="257"/>
        <v>27</v>
      </c>
      <c r="BN469" s="4415">
        <f t="shared" si="258"/>
        <v>30</v>
      </c>
      <c r="BO469" s="4415">
        <f t="shared" si="259"/>
        <v>30</v>
      </c>
      <c r="BP469" s="4415">
        <f t="shared" si="260"/>
        <v>30</v>
      </c>
      <c r="BQ469" s="4414">
        <f t="shared" si="261"/>
        <v>30</v>
      </c>
      <c r="BR469" s="1048">
        <f t="shared" si="262"/>
        <v>30</v>
      </c>
      <c r="BS469" s="4524"/>
      <c r="BT469" s="4524"/>
      <c r="BU469" s="4524"/>
      <c r="BV469" s="4524"/>
      <c r="BW469" s="4524"/>
      <c r="BX469" s="1041"/>
      <c r="BY469" s="1041"/>
      <c r="BZ469" s="3708">
        <f t="shared" si="227"/>
        <v>180</v>
      </c>
      <c r="CA469" s="4154">
        <f t="shared" si="263"/>
        <v>0</v>
      </c>
      <c r="CB469" s="4619"/>
      <c r="CC469" s="4619"/>
      <c r="CD469" s="4323"/>
      <c r="CE469" s="4323"/>
      <c r="CF469" s="4323"/>
    </row>
    <row r="470" s="4316" customFormat="1" ht="50" customHeight="1" spans="1:84">
      <c r="A470" s="4953">
        <v>45965</v>
      </c>
      <c r="B470" s="4954" t="s">
        <v>407</v>
      </c>
      <c r="C470" s="4955" t="s">
        <v>91</v>
      </c>
      <c r="D470" s="4956">
        <v>4500184377</v>
      </c>
      <c r="E470" s="4957" t="s">
        <v>2255</v>
      </c>
      <c r="F470" s="4956" t="s">
        <v>2256</v>
      </c>
      <c r="G470" s="3708"/>
      <c r="H470" s="3708" t="s">
        <v>409</v>
      </c>
      <c r="I470" s="3708" t="s">
        <v>410</v>
      </c>
      <c r="J470" s="4154">
        <v>2400</v>
      </c>
      <c r="K470" s="4154">
        <v>0</v>
      </c>
      <c r="L470" s="4154">
        <v>12</v>
      </c>
      <c r="M470" s="4154">
        <f t="shared" si="239"/>
        <v>200</v>
      </c>
      <c r="N470" s="4958">
        <v>46010</v>
      </c>
      <c r="O470" s="4958">
        <v>46006</v>
      </c>
      <c r="P470" s="3712"/>
      <c r="Q470" s="4154" t="s">
        <v>82</v>
      </c>
      <c r="R470" s="4944"/>
      <c r="S470" s="4157"/>
      <c r="T470" s="4157"/>
      <c r="U470" s="3726" t="s">
        <v>2257</v>
      </c>
      <c r="V470" s="4154" t="s">
        <v>97</v>
      </c>
      <c r="W470" s="3711"/>
      <c r="X470" s="3711" t="s">
        <v>98</v>
      </c>
      <c r="Y470" s="3711"/>
      <c r="Z470" s="3711" t="s">
        <v>2224</v>
      </c>
      <c r="AA470" s="4154"/>
      <c r="AB470" s="4959" t="s">
        <v>2258</v>
      </c>
      <c r="AC470" s="4954" t="s">
        <v>1880</v>
      </c>
      <c r="AD470" s="4154">
        <v>2.8146</v>
      </c>
      <c r="AE470" s="4154">
        <f t="shared" si="252"/>
        <v>6755.04</v>
      </c>
      <c r="AF470" s="3726"/>
      <c r="AG470" s="3726"/>
      <c r="AH470" s="4412"/>
      <c r="AI470" s="1048">
        <f t="shared" si="253"/>
        <v>2400</v>
      </c>
      <c r="AJ470" s="4412"/>
      <c r="AK470" s="3708"/>
      <c r="AL470" s="3708"/>
      <c r="AM470" s="4154"/>
      <c r="AN470" s="1040"/>
      <c r="AO470" s="4415">
        <f t="shared" si="254"/>
        <v>2400</v>
      </c>
      <c r="AP470" s="1048"/>
      <c r="AQ470" s="1040"/>
      <c r="AR470" s="1040"/>
      <c r="AS470" s="3708">
        <f t="shared" si="255"/>
        <v>2400</v>
      </c>
      <c r="AT470" s="1048"/>
      <c r="AU470" s="1040"/>
      <c r="AV470" s="4945"/>
      <c r="AW470" s="4945"/>
      <c r="AX470" s="1048"/>
      <c r="AY470" s="4945"/>
      <c r="AZ470" s="4945"/>
      <c r="BA470" s="1048"/>
      <c r="BB470" s="4622"/>
      <c r="BC470" s="4945"/>
      <c r="BD470" s="4622"/>
      <c r="BE470" s="4622"/>
      <c r="BF470" s="4622"/>
      <c r="BG470" s="4622"/>
      <c r="BH470" s="1048">
        <f>J470</f>
        <v>2400</v>
      </c>
      <c r="BI470" s="4622"/>
      <c r="BJ470" s="1048"/>
      <c r="BK470" s="4160" t="s">
        <v>89</v>
      </c>
      <c r="BL470" s="4415">
        <f t="shared" si="256"/>
        <v>40</v>
      </c>
      <c r="BM470" s="4415">
        <f t="shared" si="257"/>
        <v>360</v>
      </c>
      <c r="BN470" s="4415">
        <f t="shared" si="258"/>
        <v>400</v>
      </c>
      <c r="BO470" s="4415">
        <f t="shared" si="259"/>
        <v>400</v>
      </c>
      <c r="BP470" s="4415">
        <f t="shared" si="260"/>
        <v>400</v>
      </c>
      <c r="BQ470" s="4414">
        <f t="shared" si="261"/>
        <v>400</v>
      </c>
      <c r="BR470" s="1048">
        <f t="shared" si="262"/>
        <v>400</v>
      </c>
      <c r="BS470" s="4524"/>
      <c r="BT470" s="4524"/>
      <c r="BU470" s="4524"/>
      <c r="BV470" s="4524"/>
      <c r="BW470" s="4524"/>
      <c r="BX470" s="1041"/>
      <c r="BY470" s="1041"/>
      <c r="BZ470" s="3708">
        <f t="shared" si="227"/>
        <v>2400</v>
      </c>
      <c r="CA470" s="4154">
        <f t="shared" si="263"/>
        <v>0</v>
      </c>
      <c r="CB470" s="4619"/>
      <c r="CC470" s="4619"/>
      <c r="CD470" s="4323"/>
      <c r="CE470" s="4323"/>
      <c r="CF470" s="4323"/>
    </row>
    <row r="471" s="4316" customFormat="1" ht="50" customHeight="1" spans="1:84">
      <c r="A471" s="4953">
        <v>45960</v>
      </c>
      <c r="B471" s="4954" t="s">
        <v>2189</v>
      </c>
      <c r="C471" s="4955" t="s">
        <v>91</v>
      </c>
      <c r="D471" s="4956">
        <v>4500183803</v>
      </c>
      <c r="E471" s="4957" t="s">
        <v>2259</v>
      </c>
      <c r="F471" s="4956" t="s">
        <v>2260</v>
      </c>
      <c r="G471" s="3708"/>
      <c r="H471" s="3708" t="s">
        <v>333</v>
      </c>
      <c r="I471" s="3708" t="s">
        <v>328</v>
      </c>
      <c r="J471" s="4593">
        <v>1200</v>
      </c>
      <c r="K471" s="4154">
        <v>0</v>
      </c>
      <c r="L471" s="4154">
        <v>24</v>
      </c>
      <c r="M471" s="4154">
        <f t="shared" si="239"/>
        <v>50</v>
      </c>
      <c r="N471" s="4958">
        <v>46016</v>
      </c>
      <c r="O471" s="4958">
        <v>46013</v>
      </c>
      <c r="P471" s="3712"/>
      <c r="Q471" s="4154" t="s">
        <v>82</v>
      </c>
      <c r="R471" s="4797"/>
      <c r="S471" s="4157"/>
      <c r="T471" s="4157"/>
      <c r="U471" s="3726" t="s">
        <v>2230</v>
      </c>
      <c r="V471" s="4154" t="s">
        <v>97</v>
      </c>
      <c r="W471" s="3711"/>
      <c r="X471" s="3711" t="s">
        <v>98</v>
      </c>
      <c r="Y471" s="3711"/>
      <c r="Z471" s="3711" t="s">
        <v>2261</v>
      </c>
      <c r="AA471" s="4154"/>
      <c r="AB471" s="4959" t="s">
        <v>2207</v>
      </c>
      <c r="AC471" s="4954" t="s">
        <v>653</v>
      </c>
      <c r="AD471" s="4504">
        <v>1.2199</v>
      </c>
      <c r="AE471" s="3708">
        <f t="shared" si="252"/>
        <v>1463.88</v>
      </c>
      <c r="AF471" s="3726"/>
      <c r="AG471" s="3726"/>
      <c r="AH471" s="4430"/>
      <c r="AI471" s="1048">
        <f t="shared" si="253"/>
        <v>1200</v>
      </c>
      <c r="AJ471" s="4430"/>
      <c r="AK471" s="3708"/>
      <c r="AL471" s="3708"/>
      <c r="AM471" s="4154"/>
      <c r="AN471" s="4413"/>
      <c r="AO471" s="4415">
        <f t="shared" si="254"/>
        <v>1200</v>
      </c>
      <c r="AP471" s="1048"/>
      <c r="AQ471" s="4413"/>
      <c r="AR471" s="4413"/>
      <c r="AS471" s="3708">
        <f t="shared" si="255"/>
        <v>1200</v>
      </c>
      <c r="AT471" s="1048"/>
      <c r="AU471" s="4413"/>
      <c r="AV471" s="4939"/>
      <c r="AW471" s="4939"/>
      <c r="AX471" s="1048"/>
      <c r="AY471" s="4939"/>
      <c r="AZ471" s="4939"/>
      <c r="BA471" s="1048"/>
      <c r="BB471" s="4622"/>
      <c r="BC471" s="4939"/>
      <c r="BD471" s="4622"/>
      <c r="BE471" s="4622"/>
      <c r="BF471" s="4622"/>
      <c r="BG471" s="4622"/>
      <c r="BH471" s="4622"/>
      <c r="BI471" s="4622"/>
      <c r="BJ471" s="1048"/>
      <c r="BK471" s="4160" t="s">
        <v>89</v>
      </c>
      <c r="BL471" s="4415">
        <f t="shared" si="256"/>
        <v>20</v>
      </c>
      <c r="BM471" s="4415">
        <f t="shared" si="257"/>
        <v>180</v>
      </c>
      <c r="BN471" s="4415">
        <f t="shared" si="258"/>
        <v>200</v>
      </c>
      <c r="BO471" s="4415">
        <f t="shared" si="259"/>
        <v>200</v>
      </c>
      <c r="BP471" s="4415">
        <f t="shared" si="260"/>
        <v>200</v>
      </c>
      <c r="BQ471" s="4414">
        <f t="shared" si="261"/>
        <v>200</v>
      </c>
      <c r="BR471" s="1048">
        <f t="shared" si="262"/>
        <v>200</v>
      </c>
      <c r="BS471" s="4432"/>
      <c r="BT471" s="4432"/>
      <c r="BU471" s="4432"/>
      <c r="BV471" s="4432"/>
      <c r="BW471" s="4432"/>
      <c r="BX471" s="4431"/>
      <c r="BY471" s="4431"/>
      <c r="BZ471" s="3708">
        <f t="shared" si="227"/>
        <v>1200</v>
      </c>
      <c r="CA471" s="4154">
        <f t="shared" si="263"/>
        <v>0</v>
      </c>
      <c r="CB471" s="4591"/>
      <c r="CC471" s="4591"/>
      <c r="CD471" s="4323"/>
      <c r="CE471" s="4323"/>
      <c r="CF471" s="4323"/>
    </row>
    <row r="472" s="4316" customFormat="1" ht="50" customHeight="1" spans="1:84">
      <c r="A472" s="4953">
        <v>45960</v>
      </c>
      <c r="B472" s="4954" t="s">
        <v>2189</v>
      </c>
      <c r="C472" s="4955" t="s">
        <v>91</v>
      </c>
      <c r="D472" s="4956">
        <v>4500183804</v>
      </c>
      <c r="E472" s="4957" t="s">
        <v>2262</v>
      </c>
      <c r="F472" s="4956" t="s">
        <v>2263</v>
      </c>
      <c r="G472" s="3708"/>
      <c r="H472" s="3708" t="s">
        <v>333</v>
      </c>
      <c r="I472" s="3708" t="s">
        <v>328</v>
      </c>
      <c r="J472" s="4593">
        <v>1800</v>
      </c>
      <c r="K472" s="4154">
        <v>0</v>
      </c>
      <c r="L472" s="4154">
        <v>24</v>
      </c>
      <c r="M472" s="4154">
        <f t="shared" si="239"/>
        <v>75</v>
      </c>
      <c r="N472" s="4958">
        <v>46016</v>
      </c>
      <c r="O472" s="4958">
        <v>46013</v>
      </c>
      <c r="P472" s="3712"/>
      <c r="Q472" s="4154" t="s">
        <v>82</v>
      </c>
      <c r="R472" s="4797"/>
      <c r="S472" s="4157"/>
      <c r="T472" s="4157"/>
      <c r="U472" s="3726" t="s">
        <v>2230</v>
      </c>
      <c r="V472" s="4154" t="s">
        <v>97</v>
      </c>
      <c r="W472" s="3711"/>
      <c r="X472" s="3711" t="s">
        <v>98</v>
      </c>
      <c r="Y472" s="3711"/>
      <c r="Z472" s="3711" t="s">
        <v>2261</v>
      </c>
      <c r="AA472" s="4154"/>
      <c r="AB472" s="4959" t="s">
        <v>2207</v>
      </c>
      <c r="AC472" s="4954" t="s">
        <v>2211</v>
      </c>
      <c r="AD472" s="4504">
        <v>1.2512</v>
      </c>
      <c r="AE472" s="3708">
        <f t="shared" si="252"/>
        <v>2252.16</v>
      </c>
      <c r="AF472" s="3726"/>
      <c r="AG472" s="3726"/>
      <c r="AH472" s="4430"/>
      <c r="AI472" s="1048">
        <f t="shared" si="253"/>
        <v>1800</v>
      </c>
      <c r="AJ472" s="4430"/>
      <c r="AK472" s="3708"/>
      <c r="AL472" s="3708"/>
      <c r="AM472" s="4154"/>
      <c r="AN472" s="4413"/>
      <c r="AO472" s="4415">
        <f t="shared" si="254"/>
        <v>1800</v>
      </c>
      <c r="AP472" s="1048"/>
      <c r="AQ472" s="4413"/>
      <c r="AR472" s="4413"/>
      <c r="AS472" s="3708">
        <f t="shared" si="255"/>
        <v>1800</v>
      </c>
      <c r="AT472" s="1048"/>
      <c r="AU472" s="4413"/>
      <c r="AV472" s="4939"/>
      <c r="AW472" s="4939"/>
      <c r="AX472" s="1048"/>
      <c r="AY472" s="4939"/>
      <c r="AZ472" s="4939"/>
      <c r="BA472" s="1048"/>
      <c r="BB472" s="4622"/>
      <c r="BC472" s="4939"/>
      <c r="BD472" s="4622"/>
      <c r="BE472" s="4622"/>
      <c r="BF472" s="4622"/>
      <c r="BG472" s="4622"/>
      <c r="BH472" s="4622"/>
      <c r="BI472" s="4622"/>
      <c r="BJ472" s="1048"/>
      <c r="BK472" s="4160" t="s">
        <v>89</v>
      </c>
      <c r="BL472" s="4415">
        <f t="shared" si="256"/>
        <v>30</v>
      </c>
      <c r="BM472" s="4415">
        <f t="shared" si="257"/>
        <v>270</v>
      </c>
      <c r="BN472" s="4415">
        <f t="shared" si="258"/>
        <v>300</v>
      </c>
      <c r="BO472" s="4415">
        <f t="shared" si="259"/>
        <v>300</v>
      </c>
      <c r="BP472" s="4415">
        <f t="shared" si="260"/>
        <v>300</v>
      </c>
      <c r="BQ472" s="4414">
        <f t="shared" si="261"/>
        <v>300</v>
      </c>
      <c r="BR472" s="1048">
        <f t="shared" si="262"/>
        <v>300</v>
      </c>
      <c r="BS472" s="4432"/>
      <c r="BT472" s="4432"/>
      <c r="BU472" s="4432"/>
      <c r="BV472" s="4432"/>
      <c r="BW472" s="4432"/>
      <c r="BX472" s="4431"/>
      <c r="BY472" s="4431"/>
      <c r="BZ472" s="3708">
        <f t="shared" si="227"/>
        <v>1800</v>
      </c>
      <c r="CA472" s="4154">
        <f t="shared" si="263"/>
        <v>0</v>
      </c>
      <c r="CB472" s="4591"/>
      <c r="CC472" s="4591"/>
      <c r="CD472" s="4323"/>
      <c r="CE472" s="4323"/>
      <c r="CF472" s="4323"/>
    </row>
    <row r="473" s="4316" customFormat="1" ht="50" customHeight="1" spans="1:84">
      <c r="A473" s="4953">
        <v>45960</v>
      </c>
      <c r="B473" s="4954" t="s">
        <v>2189</v>
      </c>
      <c r="C473" s="4955" t="s">
        <v>91</v>
      </c>
      <c r="D473" s="4956">
        <v>4500183805</v>
      </c>
      <c r="E473" s="3708" t="s">
        <v>2264</v>
      </c>
      <c r="F473" s="4956" t="s">
        <v>2265</v>
      </c>
      <c r="G473" s="4323"/>
      <c r="H473" s="3708" t="s">
        <v>333</v>
      </c>
      <c r="I473" s="3708" t="s">
        <v>328</v>
      </c>
      <c r="J473" s="4593">
        <v>2400</v>
      </c>
      <c r="K473" s="4154">
        <v>0</v>
      </c>
      <c r="L473" s="4154">
        <v>24</v>
      </c>
      <c r="M473" s="4154">
        <f t="shared" si="239"/>
        <v>100</v>
      </c>
      <c r="N473" s="4958">
        <v>46022</v>
      </c>
      <c r="O473" s="4958">
        <v>46018</v>
      </c>
      <c r="P473" s="3712"/>
      <c r="Q473" s="4154" t="s">
        <v>82</v>
      </c>
      <c r="R473" s="4797"/>
      <c r="S473" s="4157"/>
      <c r="T473" s="4157"/>
      <c r="U473" s="3726" t="s">
        <v>110</v>
      </c>
      <c r="V473" s="4154" t="s">
        <v>97</v>
      </c>
      <c r="W473" s="3711"/>
      <c r="X473" s="3711" t="s">
        <v>98</v>
      </c>
      <c r="Y473" s="3711"/>
      <c r="Z473" s="3711" t="s">
        <v>2261</v>
      </c>
      <c r="AA473" s="4154"/>
      <c r="AB473" s="4959" t="s">
        <v>2188</v>
      </c>
      <c r="AC473" s="4957" t="s">
        <v>653</v>
      </c>
      <c r="AD473" s="4504">
        <v>1.2199</v>
      </c>
      <c r="AE473" s="3708">
        <f t="shared" si="252"/>
        <v>2927.76</v>
      </c>
      <c r="AF473" s="3726"/>
      <c r="AG473" s="3726"/>
      <c r="AH473" s="4430"/>
      <c r="AI473" s="1048">
        <f t="shared" ref="AI473:AI489" si="264">J473</f>
        <v>2400</v>
      </c>
      <c r="AJ473" s="4430"/>
      <c r="AK473" s="3708"/>
      <c r="AL473" s="3708"/>
      <c r="AM473" s="4154"/>
      <c r="AN473" s="4413"/>
      <c r="AO473" s="4415">
        <f t="shared" ref="AO473:AO495" si="265">J473</f>
        <v>2400</v>
      </c>
      <c r="AP473" s="1048"/>
      <c r="AQ473" s="4413"/>
      <c r="AR473" s="4413"/>
      <c r="AS473" s="3708">
        <f t="shared" ref="AS473:AS489" si="266">J473</f>
        <v>2400</v>
      </c>
      <c r="AT473" s="1048"/>
      <c r="AU473" s="4413"/>
      <c r="AV473" s="4939"/>
      <c r="AW473" s="4939"/>
      <c r="AX473" s="1048"/>
      <c r="AY473" s="4939"/>
      <c r="AZ473" s="4939"/>
      <c r="BA473" s="1048"/>
      <c r="BB473" s="4622"/>
      <c r="BC473" s="4939"/>
      <c r="BD473" s="4622"/>
      <c r="BE473" s="4622"/>
      <c r="BF473" s="4622"/>
      <c r="BG473" s="4622"/>
      <c r="BH473" s="4622"/>
      <c r="BI473" s="4622"/>
      <c r="BJ473" s="1048"/>
      <c r="BK473" s="4160" t="s">
        <v>89</v>
      </c>
      <c r="BL473" s="4415">
        <f t="shared" ref="BL473:BL489" si="267">J473/60*1</f>
        <v>40</v>
      </c>
      <c r="BM473" s="4415">
        <f t="shared" ref="BM473:BM489" si="268">J473/60*9</f>
        <v>360</v>
      </c>
      <c r="BN473" s="4415">
        <f t="shared" ref="BN473:BN489" si="269">J473/60*10</f>
        <v>400</v>
      </c>
      <c r="BO473" s="4415">
        <f t="shared" ref="BO473:BO489" si="270">J473/60*10</f>
        <v>400</v>
      </c>
      <c r="BP473" s="4415">
        <f t="shared" ref="BP473:BP489" si="271">J473/60*10</f>
        <v>400</v>
      </c>
      <c r="BQ473" s="4414">
        <f t="shared" ref="BQ473:BQ489" si="272">J473/60*10</f>
        <v>400</v>
      </c>
      <c r="BR473" s="1048">
        <f t="shared" ref="BR473:BR489" si="273">J473/60*10</f>
        <v>400</v>
      </c>
      <c r="BS473" s="4432"/>
      <c r="BT473" s="4432"/>
      <c r="BU473" s="4432"/>
      <c r="BV473" s="4432"/>
      <c r="BW473" s="4432"/>
      <c r="BX473" s="4431"/>
      <c r="BY473" s="4431"/>
      <c r="BZ473" s="3708">
        <f t="shared" ref="BZ472:BZ536" si="274">SUM(BL473:BY473)</f>
        <v>2400</v>
      </c>
      <c r="CA473" s="4154">
        <f t="shared" ref="CA473:CA536" si="275">J473-BZ473</f>
        <v>0</v>
      </c>
      <c r="CB473" s="4591"/>
      <c r="CC473" s="4591"/>
      <c r="CD473" s="4323"/>
      <c r="CE473" s="4323"/>
      <c r="CF473" s="4323"/>
    </row>
    <row r="474" s="4316" customFormat="1" ht="50" customHeight="1" spans="1:84">
      <c r="A474" s="4953">
        <v>45960</v>
      </c>
      <c r="B474" s="4954" t="s">
        <v>90</v>
      </c>
      <c r="C474" s="4955" t="s">
        <v>91</v>
      </c>
      <c r="D474" s="4956">
        <v>4500183807</v>
      </c>
      <c r="E474" s="3708" t="s">
        <v>2266</v>
      </c>
      <c r="F474" s="4956" t="s">
        <v>2267</v>
      </c>
      <c r="G474" s="4323"/>
      <c r="H474" s="3708" t="s">
        <v>333</v>
      </c>
      <c r="I474" s="3708" t="s">
        <v>328</v>
      </c>
      <c r="J474" s="4593">
        <v>2208</v>
      </c>
      <c r="K474" s="4154">
        <v>0</v>
      </c>
      <c r="L474" s="4154">
        <v>24</v>
      </c>
      <c r="M474" s="4154">
        <f t="shared" si="239"/>
        <v>92</v>
      </c>
      <c r="N474" s="4958">
        <v>46022</v>
      </c>
      <c r="O474" s="4958">
        <v>46018</v>
      </c>
      <c r="P474" s="3712"/>
      <c r="Q474" s="4154" t="s">
        <v>82</v>
      </c>
      <c r="R474" s="4797"/>
      <c r="S474" s="4157"/>
      <c r="T474" s="4797"/>
      <c r="U474" s="3726" t="s">
        <v>110</v>
      </c>
      <c r="V474" s="4154" t="s">
        <v>97</v>
      </c>
      <c r="W474" s="3711"/>
      <c r="X474" s="3711" t="s">
        <v>98</v>
      </c>
      <c r="Y474" s="3711"/>
      <c r="Z474" s="3711" t="s">
        <v>2261</v>
      </c>
      <c r="AA474" s="4154"/>
      <c r="AB474" s="4959" t="s">
        <v>2268</v>
      </c>
      <c r="AC474" s="4957" t="s">
        <v>653</v>
      </c>
      <c r="AD474" s="4504">
        <v>1.2199</v>
      </c>
      <c r="AE474" s="3708">
        <f t="shared" si="252"/>
        <v>2693.5392</v>
      </c>
      <c r="AF474" s="3726"/>
      <c r="AG474" s="3726"/>
      <c r="AH474" s="4430"/>
      <c r="AI474" s="1048">
        <f t="shared" si="264"/>
        <v>2208</v>
      </c>
      <c r="AJ474" s="4430"/>
      <c r="AK474" s="3708"/>
      <c r="AL474" s="3708"/>
      <c r="AM474" s="4154"/>
      <c r="AN474" s="4413"/>
      <c r="AO474" s="4415">
        <f t="shared" si="265"/>
        <v>2208</v>
      </c>
      <c r="AP474" s="1048"/>
      <c r="AQ474" s="4413"/>
      <c r="AR474" s="4413"/>
      <c r="AS474" s="3708">
        <f t="shared" si="266"/>
        <v>2208</v>
      </c>
      <c r="AT474" s="1048"/>
      <c r="AU474" s="4413"/>
      <c r="AV474" s="4939"/>
      <c r="AW474" s="4939"/>
      <c r="AX474" s="1048"/>
      <c r="AY474" s="4939"/>
      <c r="AZ474" s="4939"/>
      <c r="BA474" s="1048"/>
      <c r="BB474" s="4622"/>
      <c r="BC474" s="4939"/>
      <c r="BD474" s="4622"/>
      <c r="BE474" s="4622"/>
      <c r="BF474" s="4622"/>
      <c r="BG474" s="4622"/>
      <c r="BH474" s="4622"/>
      <c r="BI474" s="4622"/>
      <c r="BJ474" s="1048"/>
      <c r="BK474" s="4160" t="s">
        <v>89</v>
      </c>
      <c r="BL474" s="4415">
        <f t="shared" si="267"/>
        <v>36.8</v>
      </c>
      <c r="BM474" s="4415">
        <f t="shared" si="268"/>
        <v>331.2</v>
      </c>
      <c r="BN474" s="4415">
        <f t="shared" si="269"/>
        <v>368</v>
      </c>
      <c r="BO474" s="4415">
        <f t="shared" si="270"/>
        <v>368</v>
      </c>
      <c r="BP474" s="4415">
        <f t="shared" si="271"/>
        <v>368</v>
      </c>
      <c r="BQ474" s="4414">
        <f t="shared" si="272"/>
        <v>368</v>
      </c>
      <c r="BR474" s="1048">
        <f t="shared" si="273"/>
        <v>368</v>
      </c>
      <c r="BS474" s="4432"/>
      <c r="BT474" s="4432"/>
      <c r="BU474" s="4432"/>
      <c r="BV474" s="4432"/>
      <c r="BW474" s="4432"/>
      <c r="BX474" s="4431"/>
      <c r="BY474" s="4431"/>
      <c r="BZ474" s="3708">
        <f t="shared" si="274"/>
        <v>2208</v>
      </c>
      <c r="CA474" s="4154">
        <f t="shared" si="275"/>
        <v>0</v>
      </c>
      <c r="CB474" s="4591"/>
      <c r="CC474" s="4591"/>
      <c r="CD474" s="4323"/>
      <c r="CE474" s="4323"/>
      <c r="CF474" s="4323"/>
    </row>
    <row r="475" s="4316" customFormat="1" ht="50" customHeight="1" spans="1:84">
      <c r="A475" s="4500">
        <v>45960</v>
      </c>
      <c r="B475" s="3708" t="s">
        <v>90</v>
      </c>
      <c r="C475" s="4955" t="s">
        <v>91</v>
      </c>
      <c r="D475" s="4154">
        <v>4500183808</v>
      </c>
      <c r="E475" s="3708" t="s">
        <v>2269</v>
      </c>
      <c r="F475" s="4154" t="s">
        <v>2270</v>
      </c>
      <c r="G475" s="3708"/>
      <c r="H475" s="3708" t="s">
        <v>333</v>
      </c>
      <c r="I475" s="3708" t="s">
        <v>328</v>
      </c>
      <c r="J475" s="4593">
        <v>1200</v>
      </c>
      <c r="K475" s="4154">
        <v>0</v>
      </c>
      <c r="L475" s="4154">
        <v>24</v>
      </c>
      <c r="M475" s="4154">
        <f t="shared" si="239"/>
        <v>50</v>
      </c>
      <c r="N475" s="4503">
        <v>46022</v>
      </c>
      <c r="O475" s="4553">
        <v>46018</v>
      </c>
      <c r="P475" s="3712"/>
      <c r="Q475" s="4154" t="s">
        <v>82</v>
      </c>
      <c r="R475" s="4797"/>
      <c r="S475" s="4157"/>
      <c r="T475" s="4797"/>
      <c r="U475" s="3726" t="s">
        <v>110</v>
      </c>
      <c r="V475" s="4154" t="s">
        <v>97</v>
      </c>
      <c r="W475" s="3711"/>
      <c r="X475" s="3711" t="s">
        <v>98</v>
      </c>
      <c r="Y475" s="3711"/>
      <c r="Z475" s="3711" t="s">
        <v>2261</v>
      </c>
      <c r="AA475" s="4323"/>
      <c r="AB475" s="3713" t="s">
        <v>2271</v>
      </c>
      <c r="AC475" s="4154" t="s">
        <v>2211</v>
      </c>
      <c r="AD475" s="4504">
        <v>1.2199</v>
      </c>
      <c r="AE475" s="3708">
        <f t="shared" si="252"/>
        <v>1463.88</v>
      </c>
      <c r="AF475" s="3726"/>
      <c r="AG475" s="3726"/>
      <c r="AH475" s="4430"/>
      <c r="AI475" s="1048">
        <f t="shared" si="264"/>
        <v>1200</v>
      </c>
      <c r="AJ475" s="4430"/>
      <c r="AK475" s="3708"/>
      <c r="AL475" s="3708"/>
      <c r="AM475" s="4154"/>
      <c r="AN475" s="4413"/>
      <c r="AO475" s="4415">
        <f t="shared" si="265"/>
        <v>1200</v>
      </c>
      <c r="AP475" s="1048"/>
      <c r="AQ475" s="4413"/>
      <c r="AR475" s="4413"/>
      <c r="AS475" s="3708">
        <f t="shared" si="266"/>
        <v>1200</v>
      </c>
      <c r="AT475" s="1048"/>
      <c r="AU475" s="4413"/>
      <c r="AV475" s="4939"/>
      <c r="AW475" s="4939"/>
      <c r="AX475" s="1048"/>
      <c r="AY475" s="4939"/>
      <c r="AZ475" s="4939"/>
      <c r="BA475" s="1048"/>
      <c r="BB475" s="4622"/>
      <c r="BC475" s="4939"/>
      <c r="BD475" s="4622"/>
      <c r="BE475" s="4622"/>
      <c r="BF475" s="4622"/>
      <c r="BG475" s="4622"/>
      <c r="BH475" s="4622"/>
      <c r="BI475" s="4622"/>
      <c r="BJ475" s="1048"/>
      <c r="BK475" s="4160" t="s">
        <v>89</v>
      </c>
      <c r="BL475" s="4415">
        <f t="shared" si="267"/>
        <v>20</v>
      </c>
      <c r="BM475" s="4415">
        <f t="shared" si="268"/>
        <v>180</v>
      </c>
      <c r="BN475" s="4415">
        <f t="shared" si="269"/>
        <v>200</v>
      </c>
      <c r="BO475" s="4415">
        <f t="shared" si="270"/>
        <v>200</v>
      </c>
      <c r="BP475" s="4415">
        <f t="shared" si="271"/>
        <v>200</v>
      </c>
      <c r="BQ475" s="4414">
        <f t="shared" si="272"/>
        <v>200</v>
      </c>
      <c r="BR475" s="1048">
        <f t="shared" si="273"/>
        <v>200</v>
      </c>
      <c r="BS475" s="4432"/>
      <c r="BT475" s="4432"/>
      <c r="BU475" s="4432"/>
      <c r="BV475" s="4432"/>
      <c r="BW475" s="4432"/>
      <c r="BX475" s="4431"/>
      <c r="BY475" s="4431"/>
      <c r="BZ475" s="3708">
        <f t="shared" si="274"/>
        <v>1200</v>
      </c>
      <c r="CA475" s="4154">
        <f t="shared" si="275"/>
        <v>0</v>
      </c>
      <c r="CB475" s="4591"/>
      <c r="CC475" s="4591"/>
      <c r="CD475" s="4323"/>
      <c r="CE475" s="4323"/>
      <c r="CF475" s="4323"/>
    </row>
    <row r="476" s="4316" customFormat="1" ht="50" customHeight="1" spans="1:84">
      <c r="A476" s="4500">
        <v>45960</v>
      </c>
      <c r="B476" s="3708" t="s">
        <v>2189</v>
      </c>
      <c r="C476" s="4955" t="s">
        <v>91</v>
      </c>
      <c r="D476" s="4154">
        <v>4500183811</v>
      </c>
      <c r="E476" s="3708" t="s">
        <v>2272</v>
      </c>
      <c r="F476" s="4154" t="s">
        <v>2273</v>
      </c>
      <c r="G476" s="3708"/>
      <c r="H476" s="3708" t="s">
        <v>333</v>
      </c>
      <c r="I476" s="3708" t="s">
        <v>328</v>
      </c>
      <c r="J476" s="4593">
        <v>2400</v>
      </c>
      <c r="K476" s="4154">
        <v>0</v>
      </c>
      <c r="L476" s="4154">
        <v>24</v>
      </c>
      <c r="M476" s="4154">
        <f t="shared" si="239"/>
        <v>100</v>
      </c>
      <c r="N476" s="4503">
        <v>46022</v>
      </c>
      <c r="O476" s="4553">
        <v>46018</v>
      </c>
      <c r="P476" s="3712"/>
      <c r="Q476" s="4154" t="s">
        <v>82</v>
      </c>
      <c r="R476" s="4797"/>
      <c r="S476" s="4157"/>
      <c r="T476" s="4797"/>
      <c r="U476" s="3726" t="s">
        <v>110</v>
      </c>
      <c r="V476" s="4154" t="s">
        <v>97</v>
      </c>
      <c r="W476" s="3711"/>
      <c r="X476" s="3711" t="s">
        <v>98</v>
      </c>
      <c r="Y476" s="3711"/>
      <c r="Z476" s="3711" t="s">
        <v>2261</v>
      </c>
      <c r="AA476" s="4323"/>
      <c r="AB476" s="3713" t="s">
        <v>2274</v>
      </c>
      <c r="AC476" s="4154" t="s">
        <v>653</v>
      </c>
      <c r="AD476" s="4504">
        <v>1.2199</v>
      </c>
      <c r="AE476" s="3708">
        <f t="shared" si="252"/>
        <v>2927.76</v>
      </c>
      <c r="AF476" s="3726"/>
      <c r="AG476" s="3726"/>
      <c r="AH476" s="4430"/>
      <c r="AI476" s="1048">
        <f t="shared" si="264"/>
        <v>2400</v>
      </c>
      <c r="AJ476" s="4430"/>
      <c r="AK476" s="3708"/>
      <c r="AL476" s="3708"/>
      <c r="AM476" s="4154"/>
      <c r="AN476" s="4413"/>
      <c r="AO476" s="4415">
        <f t="shared" si="265"/>
        <v>2400</v>
      </c>
      <c r="AP476" s="1048"/>
      <c r="AQ476" s="4413"/>
      <c r="AR476" s="4413"/>
      <c r="AS476" s="3708">
        <f t="shared" si="266"/>
        <v>2400</v>
      </c>
      <c r="AT476" s="1048"/>
      <c r="AU476" s="4413"/>
      <c r="AV476" s="4939"/>
      <c r="AW476" s="4939"/>
      <c r="AX476" s="1048"/>
      <c r="AY476" s="4939"/>
      <c r="AZ476" s="4939"/>
      <c r="BA476" s="1048"/>
      <c r="BB476" s="4622"/>
      <c r="BC476" s="4939"/>
      <c r="BD476" s="4622"/>
      <c r="BE476" s="4622"/>
      <c r="BF476" s="4622"/>
      <c r="BG476" s="4622"/>
      <c r="BH476" s="4622"/>
      <c r="BI476" s="4622"/>
      <c r="BJ476" s="1048"/>
      <c r="BK476" s="4160" t="s">
        <v>89</v>
      </c>
      <c r="BL476" s="4415">
        <f t="shared" si="267"/>
        <v>40</v>
      </c>
      <c r="BM476" s="4415">
        <f t="shared" si="268"/>
        <v>360</v>
      </c>
      <c r="BN476" s="4415">
        <f t="shared" si="269"/>
        <v>400</v>
      </c>
      <c r="BO476" s="4415">
        <f t="shared" si="270"/>
        <v>400</v>
      </c>
      <c r="BP476" s="4415">
        <f t="shared" si="271"/>
        <v>400</v>
      </c>
      <c r="BQ476" s="4414">
        <f t="shared" si="272"/>
        <v>400</v>
      </c>
      <c r="BR476" s="1048">
        <f t="shared" si="273"/>
        <v>400</v>
      </c>
      <c r="BS476" s="4432"/>
      <c r="BT476" s="4432"/>
      <c r="BU476" s="4432"/>
      <c r="BV476" s="4432"/>
      <c r="BW476" s="4432"/>
      <c r="BX476" s="4431"/>
      <c r="BY476" s="4431"/>
      <c r="BZ476" s="3708">
        <f t="shared" si="274"/>
        <v>2400</v>
      </c>
      <c r="CA476" s="4154">
        <f t="shared" si="275"/>
        <v>0</v>
      </c>
      <c r="CB476" s="4591"/>
      <c r="CC476" s="4591"/>
      <c r="CD476" s="4323"/>
      <c r="CE476" s="4323"/>
      <c r="CF476" s="4323"/>
    </row>
    <row r="477" s="4316" customFormat="1" ht="50" customHeight="1" spans="1:84">
      <c r="A477" s="4500">
        <v>45960</v>
      </c>
      <c r="B477" s="3708" t="s">
        <v>90</v>
      </c>
      <c r="C477" s="4955" t="s">
        <v>91</v>
      </c>
      <c r="D477" s="4154">
        <v>4500183810</v>
      </c>
      <c r="E477" s="3708" t="s">
        <v>2275</v>
      </c>
      <c r="F477" s="4154" t="s">
        <v>2276</v>
      </c>
      <c r="G477" s="3708"/>
      <c r="H477" s="3708" t="s">
        <v>333</v>
      </c>
      <c r="I477" s="3708" t="s">
        <v>328</v>
      </c>
      <c r="J477" s="4593">
        <v>1800</v>
      </c>
      <c r="K477" s="4154">
        <v>0</v>
      </c>
      <c r="L477" s="4154">
        <v>24</v>
      </c>
      <c r="M477" s="4154">
        <f t="shared" si="239"/>
        <v>75</v>
      </c>
      <c r="N477" s="4503">
        <v>46022</v>
      </c>
      <c r="O477" s="4553">
        <v>46018</v>
      </c>
      <c r="P477" s="3712"/>
      <c r="Q477" s="4154" t="s">
        <v>82</v>
      </c>
      <c r="R477" s="4797"/>
      <c r="S477" s="4157"/>
      <c r="T477" s="4797"/>
      <c r="U477" s="3726" t="s">
        <v>110</v>
      </c>
      <c r="V477" s="4154" t="s">
        <v>97</v>
      </c>
      <c r="W477" s="3711"/>
      <c r="X477" s="3711" t="s">
        <v>98</v>
      </c>
      <c r="Y477" s="3711"/>
      <c r="Z477" s="3711" t="s">
        <v>2261</v>
      </c>
      <c r="AA477" s="4323"/>
      <c r="AB477" s="3713" t="s">
        <v>2274</v>
      </c>
      <c r="AC477" s="4154" t="s">
        <v>2211</v>
      </c>
      <c r="AD477" s="4504">
        <v>1.2199</v>
      </c>
      <c r="AE477" s="3708">
        <f t="shared" si="252"/>
        <v>2195.82</v>
      </c>
      <c r="AF477" s="3726"/>
      <c r="AG477" s="3726"/>
      <c r="AH477" s="4430"/>
      <c r="AI477" s="1048">
        <f t="shared" si="264"/>
        <v>1800</v>
      </c>
      <c r="AJ477" s="4430"/>
      <c r="AK477" s="3708"/>
      <c r="AL477" s="3708"/>
      <c r="AM477" s="4154"/>
      <c r="AN477" s="4413"/>
      <c r="AO477" s="4415">
        <f t="shared" si="265"/>
        <v>1800</v>
      </c>
      <c r="AP477" s="1048"/>
      <c r="AQ477" s="4413"/>
      <c r="AR477" s="4413"/>
      <c r="AS477" s="3708">
        <f t="shared" si="266"/>
        <v>1800</v>
      </c>
      <c r="AT477" s="1048"/>
      <c r="AU477" s="4413"/>
      <c r="AV477" s="4939"/>
      <c r="AW477" s="4939"/>
      <c r="AX477" s="1048"/>
      <c r="AY477" s="4939"/>
      <c r="AZ477" s="4939"/>
      <c r="BA477" s="1048"/>
      <c r="BB477" s="4622"/>
      <c r="BC477" s="4939"/>
      <c r="BD477" s="4622"/>
      <c r="BE477" s="4622"/>
      <c r="BF477" s="4622"/>
      <c r="BG477" s="4622"/>
      <c r="BH477" s="4622"/>
      <c r="BI477" s="4622"/>
      <c r="BJ477" s="1048"/>
      <c r="BK477" s="4160" t="s">
        <v>89</v>
      </c>
      <c r="BL477" s="4415">
        <f t="shared" si="267"/>
        <v>30</v>
      </c>
      <c r="BM477" s="4415">
        <f t="shared" si="268"/>
        <v>270</v>
      </c>
      <c r="BN477" s="4415">
        <f t="shared" si="269"/>
        <v>300</v>
      </c>
      <c r="BO477" s="4415">
        <f t="shared" si="270"/>
        <v>300</v>
      </c>
      <c r="BP477" s="4415">
        <f t="shared" si="271"/>
        <v>300</v>
      </c>
      <c r="BQ477" s="4414">
        <f t="shared" si="272"/>
        <v>300</v>
      </c>
      <c r="BR477" s="1048">
        <f t="shared" si="273"/>
        <v>300</v>
      </c>
      <c r="BS477" s="4432"/>
      <c r="BT477" s="4432"/>
      <c r="BU477" s="4432"/>
      <c r="BV477" s="4432"/>
      <c r="BW477" s="4432"/>
      <c r="BX477" s="4431"/>
      <c r="BY477" s="4431"/>
      <c r="BZ477" s="3708">
        <f t="shared" si="274"/>
        <v>1800</v>
      </c>
      <c r="CA477" s="4154">
        <f t="shared" si="275"/>
        <v>0</v>
      </c>
      <c r="CB477" s="4591"/>
      <c r="CC477" s="4591"/>
      <c r="CD477" s="4323"/>
      <c r="CE477" s="4323"/>
      <c r="CF477" s="4323"/>
    </row>
    <row r="478" s="4316" customFormat="1" ht="50" customHeight="1" spans="1:84">
      <c r="A478" s="4500">
        <v>45960</v>
      </c>
      <c r="B478" s="3708" t="s">
        <v>90</v>
      </c>
      <c r="C478" s="4955" t="s">
        <v>91</v>
      </c>
      <c r="D478" s="4154">
        <v>4500183812</v>
      </c>
      <c r="E478" s="3708" t="s">
        <v>2277</v>
      </c>
      <c r="F478" s="4154" t="s">
        <v>2278</v>
      </c>
      <c r="G478" s="3708"/>
      <c r="H478" s="3708" t="s">
        <v>333</v>
      </c>
      <c r="I478" s="3708" t="s">
        <v>328</v>
      </c>
      <c r="J478" s="4593">
        <v>1800</v>
      </c>
      <c r="K478" s="4154">
        <v>0</v>
      </c>
      <c r="L478" s="4154">
        <v>24</v>
      </c>
      <c r="M478" s="4154">
        <f t="shared" si="239"/>
        <v>75</v>
      </c>
      <c r="N478" s="4503">
        <v>46022</v>
      </c>
      <c r="O478" s="4553">
        <v>46018</v>
      </c>
      <c r="P478" s="3712"/>
      <c r="Q478" s="4154" t="s">
        <v>82</v>
      </c>
      <c r="R478" s="4797"/>
      <c r="S478" s="4157"/>
      <c r="T478" s="4797"/>
      <c r="U478" s="3726" t="s">
        <v>110</v>
      </c>
      <c r="V478" s="4154" t="s">
        <v>97</v>
      </c>
      <c r="W478" s="3711"/>
      <c r="X478" s="3711" t="s">
        <v>98</v>
      </c>
      <c r="Y478" s="3711"/>
      <c r="Z478" s="3711" t="s">
        <v>2261</v>
      </c>
      <c r="AA478" s="4323"/>
      <c r="AB478" s="3713" t="s">
        <v>2279</v>
      </c>
      <c r="AC478" s="4154" t="s">
        <v>2211</v>
      </c>
      <c r="AD478" s="4504">
        <v>1.2199</v>
      </c>
      <c r="AE478" s="3708">
        <f t="shared" si="252"/>
        <v>2195.82</v>
      </c>
      <c r="AF478" s="3726"/>
      <c r="AG478" s="3726"/>
      <c r="AH478" s="4430"/>
      <c r="AI478" s="1048">
        <f t="shared" si="264"/>
        <v>1800</v>
      </c>
      <c r="AJ478" s="4430"/>
      <c r="AK478" s="3708"/>
      <c r="AL478" s="3708"/>
      <c r="AM478" s="4154"/>
      <c r="AN478" s="4413"/>
      <c r="AO478" s="4415">
        <f t="shared" si="265"/>
        <v>1800</v>
      </c>
      <c r="AP478" s="1048"/>
      <c r="AQ478" s="4413"/>
      <c r="AR478" s="4413"/>
      <c r="AS478" s="3708">
        <f t="shared" si="266"/>
        <v>1800</v>
      </c>
      <c r="AT478" s="1048"/>
      <c r="AU478" s="4413"/>
      <c r="AV478" s="4939"/>
      <c r="AW478" s="4939"/>
      <c r="AX478" s="1048"/>
      <c r="AY478" s="4939"/>
      <c r="AZ478" s="4939"/>
      <c r="BA478" s="1048"/>
      <c r="BB478" s="4622"/>
      <c r="BC478" s="4939"/>
      <c r="BD478" s="4622"/>
      <c r="BE478" s="4622"/>
      <c r="BF478" s="4622"/>
      <c r="BG478" s="4622"/>
      <c r="BH478" s="4622"/>
      <c r="BI478" s="4622"/>
      <c r="BJ478" s="1048"/>
      <c r="BK478" s="4160" t="s">
        <v>89</v>
      </c>
      <c r="BL478" s="4415">
        <f t="shared" si="267"/>
        <v>30</v>
      </c>
      <c r="BM478" s="4415">
        <f t="shared" si="268"/>
        <v>270</v>
      </c>
      <c r="BN478" s="4415">
        <f t="shared" si="269"/>
        <v>300</v>
      </c>
      <c r="BO478" s="4415">
        <f t="shared" si="270"/>
        <v>300</v>
      </c>
      <c r="BP478" s="4415">
        <f t="shared" si="271"/>
        <v>300</v>
      </c>
      <c r="BQ478" s="4414">
        <f t="shared" si="272"/>
        <v>300</v>
      </c>
      <c r="BR478" s="1048">
        <f t="shared" si="273"/>
        <v>300</v>
      </c>
      <c r="BS478" s="4432"/>
      <c r="BT478" s="4432"/>
      <c r="BU478" s="4432"/>
      <c r="BV478" s="4432"/>
      <c r="BW478" s="4432"/>
      <c r="BX478" s="4431"/>
      <c r="BY478" s="4431"/>
      <c r="BZ478" s="3708">
        <f t="shared" si="274"/>
        <v>1800</v>
      </c>
      <c r="CA478" s="4154">
        <f t="shared" si="275"/>
        <v>0</v>
      </c>
      <c r="CB478" s="4591"/>
      <c r="CC478" s="4591"/>
      <c r="CD478" s="4323"/>
      <c r="CE478" s="4323"/>
      <c r="CF478" s="4323"/>
    </row>
    <row r="479" s="4316" customFormat="1" ht="50" customHeight="1" spans="1:84">
      <c r="A479" s="4500">
        <v>45960</v>
      </c>
      <c r="B479" s="3708" t="s">
        <v>2189</v>
      </c>
      <c r="C479" s="4955" t="s">
        <v>91</v>
      </c>
      <c r="D479" s="4154">
        <v>4500183806</v>
      </c>
      <c r="E479" s="3708" t="s">
        <v>2280</v>
      </c>
      <c r="F479" s="4154" t="s">
        <v>2281</v>
      </c>
      <c r="G479" s="3708"/>
      <c r="H479" s="3708" t="s">
        <v>333</v>
      </c>
      <c r="I479" s="3708" t="s">
        <v>328</v>
      </c>
      <c r="J479" s="4593">
        <v>1200</v>
      </c>
      <c r="K479" s="4154">
        <v>0</v>
      </c>
      <c r="L479" s="4154">
        <v>24</v>
      </c>
      <c r="M479" s="4154">
        <f t="shared" si="239"/>
        <v>50</v>
      </c>
      <c r="N479" s="4503">
        <v>46022</v>
      </c>
      <c r="O479" s="4553">
        <v>46018</v>
      </c>
      <c r="P479" s="3712"/>
      <c r="Q479" s="4154" t="s">
        <v>82</v>
      </c>
      <c r="R479" s="4797"/>
      <c r="S479" s="4157"/>
      <c r="T479" s="4797"/>
      <c r="U479" s="3726" t="s">
        <v>110</v>
      </c>
      <c r="V479" s="4154" t="s">
        <v>97</v>
      </c>
      <c r="W479" s="3711"/>
      <c r="X479" s="3711" t="s">
        <v>98</v>
      </c>
      <c r="Y479" s="3711"/>
      <c r="Z479" s="3711" t="s">
        <v>2261</v>
      </c>
      <c r="AA479" s="4323"/>
      <c r="AB479" s="3713" t="s">
        <v>2282</v>
      </c>
      <c r="AC479" s="4154" t="s">
        <v>2211</v>
      </c>
      <c r="AD479" s="4504">
        <v>1.2199</v>
      </c>
      <c r="AE479" s="3708">
        <f t="shared" si="252"/>
        <v>1463.88</v>
      </c>
      <c r="AF479" s="3726"/>
      <c r="AG479" s="3726"/>
      <c r="AH479" s="4430"/>
      <c r="AI479" s="1048">
        <f t="shared" si="264"/>
        <v>1200</v>
      </c>
      <c r="AJ479" s="4430"/>
      <c r="AK479" s="3708"/>
      <c r="AL479" s="3708"/>
      <c r="AM479" s="4154"/>
      <c r="AN479" s="4413"/>
      <c r="AO479" s="4415">
        <f t="shared" si="265"/>
        <v>1200</v>
      </c>
      <c r="AP479" s="1048"/>
      <c r="AQ479" s="4413"/>
      <c r="AR479" s="4413"/>
      <c r="AS479" s="3708">
        <f t="shared" si="266"/>
        <v>1200</v>
      </c>
      <c r="AT479" s="1048"/>
      <c r="AU479" s="4413"/>
      <c r="AV479" s="4939"/>
      <c r="AW479" s="4939"/>
      <c r="AX479" s="1048"/>
      <c r="AY479" s="4939"/>
      <c r="AZ479" s="4939"/>
      <c r="BA479" s="1048"/>
      <c r="BB479" s="4622"/>
      <c r="BC479" s="4939"/>
      <c r="BD479" s="4622"/>
      <c r="BE479" s="4622"/>
      <c r="BF479" s="4622"/>
      <c r="BG479" s="4622"/>
      <c r="BH479" s="4622"/>
      <c r="BI479" s="4622"/>
      <c r="BJ479" s="1048"/>
      <c r="BK479" s="4160" t="s">
        <v>89</v>
      </c>
      <c r="BL479" s="4415">
        <f t="shared" si="267"/>
        <v>20</v>
      </c>
      <c r="BM479" s="4415">
        <f t="shared" si="268"/>
        <v>180</v>
      </c>
      <c r="BN479" s="4415">
        <f t="shared" si="269"/>
        <v>200</v>
      </c>
      <c r="BO479" s="4415">
        <f t="shared" si="270"/>
        <v>200</v>
      </c>
      <c r="BP479" s="4415">
        <f t="shared" si="271"/>
        <v>200</v>
      </c>
      <c r="BQ479" s="4414">
        <f t="shared" si="272"/>
        <v>200</v>
      </c>
      <c r="BR479" s="1048">
        <f t="shared" si="273"/>
        <v>200</v>
      </c>
      <c r="BS479" s="4432"/>
      <c r="BT479" s="4432"/>
      <c r="BU479" s="4432"/>
      <c r="BV479" s="4432"/>
      <c r="BW479" s="4432"/>
      <c r="BX479" s="4431"/>
      <c r="BY479" s="4431"/>
      <c r="BZ479" s="3708">
        <f t="shared" si="274"/>
        <v>1200</v>
      </c>
      <c r="CA479" s="4154">
        <f t="shared" si="275"/>
        <v>0</v>
      </c>
      <c r="CB479" s="4591"/>
      <c r="CC479" s="4591"/>
      <c r="CD479" s="4323"/>
      <c r="CE479" s="4323"/>
      <c r="CF479" s="4323"/>
    </row>
    <row r="480" s="4316" customFormat="1" ht="50" customHeight="1" spans="1:84">
      <c r="A480" s="4500">
        <v>45960</v>
      </c>
      <c r="B480" s="3708" t="s">
        <v>2189</v>
      </c>
      <c r="C480" s="4955" t="s">
        <v>91</v>
      </c>
      <c r="D480" s="4154">
        <v>4500183809</v>
      </c>
      <c r="E480" s="3708" t="s">
        <v>2283</v>
      </c>
      <c r="F480" s="4154" t="s">
        <v>2284</v>
      </c>
      <c r="G480" s="3708"/>
      <c r="H480" s="3708" t="s">
        <v>333</v>
      </c>
      <c r="I480" s="3708" t="s">
        <v>328</v>
      </c>
      <c r="J480" s="4593">
        <v>2808</v>
      </c>
      <c r="K480" s="4154">
        <v>0</v>
      </c>
      <c r="L480" s="4154">
        <v>24</v>
      </c>
      <c r="M480" s="4154">
        <f t="shared" si="239"/>
        <v>117</v>
      </c>
      <c r="N480" s="4503">
        <v>46022</v>
      </c>
      <c r="O480" s="4553">
        <v>46018</v>
      </c>
      <c r="P480" s="3712"/>
      <c r="Q480" s="4154" t="s">
        <v>82</v>
      </c>
      <c r="R480" s="4797"/>
      <c r="S480" s="4157"/>
      <c r="T480" s="4797"/>
      <c r="U480" s="3726" t="s">
        <v>110</v>
      </c>
      <c r="V480" s="4154" t="s">
        <v>97</v>
      </c>
      <c r="W480" s="3711"/>
      <c r="X480" s="3711" t="s">
        <v>98</v>
      </c>
      <c r="Y480" s="3711"/>
      <c r="Z480" s="3711" t="s">
        <v>2261</v>
      </c>
      <c r="AA480" s="4323"/>
      <c r="AB480" s="3713" t="s">
        <v>2188</v>
      </c>
      <c r="AC480" s="4154" t="s">
        <v>653</v>
      </c>
      <c r="AD480" s="4504">
        <v>1.2199</v>
      </c>
      <c r="AE480" s="3708">
        <f t="shared" si="252"/>
        <v>3425.4792</v>
      </c>
      <c r="AF480" s="3726"/>
      <c r="AG480" s="3726"/>
      <c r="AH480" s="4430"/>
      <c r="AI480" s="1048">
        <f t="shared" si="264"/>
        <v>2808</v>
      </c>
      <c r="AJ480" s="4430"/>
      <c r="AK480" s="3708"/>
      <c r="AL480" s="3708"/>
      <c r="AM480" s="4154"/>
      <c r="AN480" s="4413"/>
      <c r="AO480" s="4415">
        <f t="shared" si="265"/>
        <v>2808</v>
      </c>
      <c r="AP480" s="1048"/>
      <c r="AQ480" s="4413"/>
      <c r="AR480" s="4413"/>
      <c r="AS480" s="3708">
        <f t="shared" si="266"/>
        <v>2808</v>
      </c>
      <c r="AT480" s="1048"/>
      <c r="AU480" s="4413"/>
      <c r="AV480" s="4939"/>
      <c r="AW480" s="4939"/>
      <c r="AX480" s="1048"/>
      <c r="AY480" s="4939"/>
      <c r="AZ480" s="4939"/>
      <c r="BA480" s="1048"/>
      <c r="BB480" s="4622"/>
      <c r="BC480" s="4939"/>
      <c r="BD480" s="4622"/>
      <c r="BE480" s="4622"/>
      <c r="BF480" s="4622"/>
      <c r="BG480" s="4622"/>
      <c r="BH480" s="4622"/>
      <c r="BI480" s="4622"/>
      <c r="BJ480" s="1048"/>
      <c r="BK480" s="4160" t="s">
        <v>89</v>
      </c>
      <c r="BL480" s="4415">
        <f t="shared" si="267"/>
        <v>46.8</v>
      </c>
      <c r="BM480" s="4415">
        <f t="shared" si="268"/>
        <v>421.2</v>
      </c>
      <c r="BN480" s="4415">
        <f t="shared" si="269"/>
        <v>468</v>
      </c>
      <c r="BO480" s="4415">
        <f t="shared" si="270"/>
        <v>468</v>
      </c>
      <c r="BP480" s="4415">
        <f t="shared" si="271"/>
        <v>468</v>
      </c>
      <c r="BQ480" s="4414">
        <f t="shared" si="272"/>
        <v>468</v>
      </c>
      <c r="BR480" s="1048">
        <f t="shared" si="273"/>
        <v>468</v>
      </c>
      <c r="BS480" s="4432"/>
      <c r="BT480" s="4432"/>
      <c r="BU480" s="4432"/>
      <c r="BV480" s="4432"/>
      <c r="BW480" s="4432"/>
      <c r="BX480" s="4431"/>
      <c r="BY480" s="4431"/>
      <c r="BZ480" s="3708">
        <f t="shared" si="274"/>
        <v>2808</v>
      </c>
      <c r="CA480" s="4154">
        <f t="shared" si="275"/>
        <v>0</v>
      </c>
      <c r="CB480" s="4591"/>
      <c r="CC480" s="4591"/>
      <c r="CD480" s="4323"/>
      <c r="CE480" s="4323"/>
      <c r="CF480" s="4323"/>
    </row>
    <row r="481" s="4316" customFormat="1" ht="50" customHeight="1" spans="1:84">
      <c r="A481" s="4500">
        <v>45953</v>
      </c>
      <c r="B481" s="3708" t="s">
        <v>2285</v>
      </c>
      <c r="C481" s="3708" t="s">
        <v>351</v>
      </c>
      <c r="D481" s="4154">
        <v>4500182880</v>
      </c>
      <c r="E481" s="3708" t="s">
        <v>2286</v>
      </c>
      <c r="F481" s="4154" t="s">
        <v>2287</v>
      </c>
      <c r="G481" s="3708"/>
      <c r="H481" s="3708" t="s">
        <v>333</v>
      </c>
      <c r="I481" s="3708" t="s">
        <v>328</v>
      </c>
      <c r="J481" s="4593">
        <v>6264</v>
      </c>
      <c r="K481" s="4154">
        <v>0</v>
      </c>
      <c r="L481" s="4154">
        <v>24</v>
      </c>
      <c r="M481" s="4154">
        <f t="shared" si="239"/>
        <v>261</v>
      </c>
      <c r="N481" s="4503">
        <v>46024</v>
      </c>
      <c r="O481" s="4553">
        <f>N481-4</f>
        <v>46020</v>
      </c>
      <c r="P481" s="3712"/>
      <c r="Q481" s="4154" t="s">
        <v>82</v>
      </c>
      <c r="R481" s="4797"/>
      <c r="S481" s="4157"/>
      <c r="T481" s="4797"/>
      <c r="U481" s="3726" t="s">
        <v>401</v>
      </c>
      <c r="V481" s="3711" t="s">
        <v>2288</v>
      </c>
      <c r="W481" s="3711"/>
      <c r="X481" s="3711" t="s">
        <v>2289</v>
      </c>
      <c r="Y481" s="3711"/>
      <c r="Z481" s="3711"/>
      <c r="AA481" s="4323"/>
      <c r="AB481" s="3713" t="s">
        <v>2290</v>
      </c>
      <c r="AC481" s="4154" t="s">
        <v>1199</v>
      </c>
      <c r="AD481" s="4504">
        <v>2.0717</v>
      </c>
      <c r="AE481" s="3708">
        <f t="shared" si="252"/>
        <v>12977.1288</v>
      </c>
      <c r="AF481" s="3680" t="s">
        <v>2291</v>
      </c>
      <c r="AG481" s="3726"/>
      <c r="AH481" s="4430"/>
      <c r="AI481" s="4575">
        <f t="shared" si="264"/>
        <v>6264</v>
      </c>
      <c r="AJ481" s="4430"/>
      <c r="AK481" s="3708"/>
      <c r="AL481" s="3708"/>
      <c r="AM481" s="4154"/>
      <c r="AN481" s="4413"/>
      <c r="AO481" s="4510">
        <f t="shared" si="265"/>
        <v>6264</v>
      </c>
      <c r="AP481" s="1048"/>
      <c r="AQ481" s="4413"/>
      <c r="AR481" s="4413"/>
      <c r="AS481" s="4510">
        <f t="shared" si="266"/>
        <v>6264</v>
      </c>
      <c r="AT481" s="1048"/>
      <c r="AU481" s="4413"/>
      <c r="AV481" s="4939"/>
      <c r="AW481" s="4939"/>
      <c r="AX481" s="1048"/>
      <c r="AY481" s="4939"/>
      <c r="AZ481" s="4939"/>
      <c r="BA481" s="1048"/>
      <c r="BB481" s="4622"/>
      <c r="BC481" s="4939"/>
      <c r="BD481" s="4622"/>
      <c r="BE481" s="4622"/>
      <c r="BF481" s="4622"/>
      <c r="BG481" s="4622"/>
      <c r="BH481" s="4622"/>
      <c r="BI481" s="4622"/>
      <c r="BJ481" s="1048"/>
      <c r="BK481" s="4160" t="s">
        <v>89</v>
      </c>
      <c r="BL481" s="4415">
        <f t="shared" si="267"/>
        <v>104.4</v>
      </c>
      <c r="BM481" s="4415">
        <f t="shared" si="268"/>
        <v>939.6</v>
      </c>
      <c r="BN481" s="4415">
        <f t="shared" si="269"/>
        <v>1044</v>
      </c>
      <c r="BO481" s="4415">
        <f t="shared" si="270"/>
        <v>1044</v>
      </c>
      <c r="BP481" s="4415">
        <f t="shared" si="271"/>
        <v>1044</v>
      </c>
      <c r="BQ481" s="4414">
        <f t="shared" si="272"/>
        <v>1044</v>
      </c>
      <c r="BR481" s="1048">
        <f t="shared" si="273"/>
        <v>1044</v>
      </c>
      <c r="BS481" s="4432"/>
      <c r="BT481" s="4432"/>
      <c r="BU481" s="4432"/>
      <c r="BV481" s="4432"/>
      <c r="BW481" s="4432"/>
      <c r="BX481" s="4431"/>
      <c r="BY481" s="4431"/>
      <c r="BZ481" s="3708">
        <f t="shared" si="274"/>
        <v>6264</v>
      </c>
      <c r="CA481" s="4154">
        <f t="shared" si="275"/>
        <v>0</v>
      </c>
      <c r="CB481" s="4591"/>
      <c r="CC481" s="4591"/>
      <c r="CD481" s="4323"/>
      <c r="CE481" s="4323"/>
      <c r="CF481" s="4323"/>
    </row>
    <row r="482" s="4316" customFormat="1" ht="50" customHeight="1" spans="1:84">
      <c r="A482" s="4500">
        <v>45953</v>
      </c>
      <c r="B482" s="3708" t="s">
        <v>2285</v>
      </c>
      <c r="C482" s="3708" t="s">
        <v>351</v>
      </c>
      <c r="D482" s="4154">
        <v>4500182880</v>
      </c>
      <c r="E482" s="3708" t="s">
        <v>2292</v>
      </c>
      <c r="F482" s="4154" t="s">
        <v>2293</v>
      </c>
      <c r="G482" s="3708"/>
      <c r="H482" s="3708" t="s">
        <v>333</v>
      </c>
      <c r="I482" s="3708" t="s">
        <v>328</v>
      </c>
      <c r="J482" s="4593">
        <v>2448</v>
      </c>
      <c r="K482" s="4154">
        <v>0</v>
      </c>
      <c r="L482" s="4154">
        <v>24</v>
      </c>
      <c r="M482" s="4154">
        <f t="shared" si="239"/>
        <v>102</v>
      </c>
      <c r="N482" s="4503">
        <v>46024</v>
      </c>
      <c r="O482" s="4553">
        <f>N482-4</f>
        <v>46020</v>
      </c>
      <c r="P482" s="3712"/>
      <c r="Q482" s="4154" t="s">
        <v>82</v>
      </c>
      <c r="R482" s="4797"/>
      <c r="S482" s="4157"/>
      <c r="T482" s="4797"/>
      <c r="U482" s="3726" t="s">
        <v>401</v>
      </c>
      <c r="V482" s="3711" t="s">
        <v>2288</v>
      </c>
      <c r="W482" s="3711"/>
      <c r="X482" s="3711" t="s">
        <v>2289</v>
      </c>
      <c r="Y482" s="3711"/>
      <c r="Z482" s="3711"/>
      <c r="AA482" s="4323"/>
      <c r="AB482" s="3713" t="s">
        <v>2290</v>
      </c>
      <c r="AC482" s="4154" t="s">
        <v>1199</v>
      </c>
      <c r="AD482" s="4504">
        <v>2.0717</v>
      </c>
      <c r="AE482" s="3708">
        <f t="shared" si="252"/>
        <v>5071.5216</v>
      </c>
      <c r="AF482" s="3680" t="s">
        <v>2294</v>
      </c>
      <c r="AG482" s="3726"/>
      <c r="AH482" s="4430"/>
      <c r="AI482" s="4575">
        <f t="shared" si="264"/>
        <v>2448</v>
      </c>
      <c r="AJ482" s="4430"/>
      <c r="AK482" s="3708"/>
      <c r="AL482" s="3708"/>
      <c r="AM482" s="4154"/>
      <c r="AN482" s="4413"/>
      <c r="AO482" s="4510">
        <f t="shared" si="265"/>
        <v>2448</v>
      </c>
      <c r="AP482" s="1048"/>
      <c r="AQ482" s="4413"/>
      <c r="AR482" s="4413"/>
      <c r="AS482" s="4510">
        <f t="shared" si="266"/>
        <v>2448</v>
      </c>
      <c r="AT482" s="1048"/>
      <c r="AU482" s="4413"/>
      <c r="AV482" s="4939"/>
      <c r="AW482" s="4939"/>
      <c r="AX482" s="1048"/>
      <c r="AY482" s="4939"/>
      <c r="AZ482" s="4939"/>
      <c r="BA482" s="1048"/>
      <c r="BB482" s="4622"/>
      <c r="BC482" s="4939"/>
      <c r="BD482" s="4622"/>
      <c r="BE482" s="4622"/>
      <c r="BF482" s="4622"/>
      <c r="BG482" s="4622"/>
      <c r="BH482" s="4622"/>
      <c r="BI482" s="4622"/>
      <c r="BJ482" s="1048"/>
      <c r="BK482" s="4160" t="s">
        <v>89</v>
      </c>
      <c r="BL482" s="4415">
        <f t="shared" si="267"/>
        <v>40.8</v>
      </c>
      <c r="BM482" s="4415">
        <f t="shared" si="268"/>
        <v>367.2</v>
      </c>
      <c r="BN482" s="4415">
        <f t="shared" si="269"/>
        <v>408</v>
      </c>
      <c r="BO482" s="4415">
        <f t="shared" si="270"/>
        <v>408</v>
      </c>
      <c r="BP482" s="4415">
        <f t="shared" si="271"/>
        <v>408</v>
      </c>
      <c r="BQ482" s="4414">
        <f t="shared" si="272"/>
        <v>408</v>
      </c>
      <c r="BR482" s="1048">
        <f t="shared" si="273"/>
        <v>408</v>
      </c>
      <c r="BS482" s="4432"/>
      <c r="BT482" s="4432"/>
      <c r="BU482" s="4432"/>
      <c r="BV482" s="4432"/>
      <c r="BW482" s="4432"/>
      <c r="BX482" s="4431"/>
      <c r="BY482" s="4431"/>
      <c r="BZ482" s="3708">
        <f t="shared" si="274"/>
        <v>2448</v>
      </c>
      <c r="CA482" s="4154">
        <f t="shared" si="275"/>
        <v>0</v>
      </c>
      <c r="CB482" s="4591"/>
      <c r="CC482" s="4591"/>
      <c r="CD482" s="4323"/>
      <c r="CE482" s="4323"/>
      <c r="CF482" s="4323"/>
    </row>
    <row r="483" s="4316" customFormat="1" ht="50" customHeight="1" spans="1:84">
      <c r="A483" s="4500">
        <v>45982</v>
      </c>
      <c r="B483" s="3708" t="s">
        <v>1641</v>
      </c>
      <c r="C483" s="3708" t="s">
        <v>396</v>
      </c>
      <c r="D483" s="4154">
        <v>4500186530</v>
      </c>
      <c r="E483" s="3708" t="s">
        <v>2295</v>
      </c>
      <c r="F483" s="4154" t="s">
        <v>2296</v>
      </c>
      <c r="G483" s="3708"/>
      <c r="H483" s="3708" t="s">
        <v>1020</v>
      </c>
      <c r="I483" s="3699" t="s">
        <v>328</v>
      </c>
      <c r="J483" s="4593">
        <v>24</v>
      </c>
      <c r="K483" s="4154">
        <v>0</v>
      </c>
      <c r="L483" s="4154">
        <v>12</v>
      </c>
      <c r="M483" s="4154">
        <f t="shared" si="239"/>
        <v>2</v>
      </c>
      <c r="N483" s="4503">
        <v>46031</v>
      </c>
      <c r="O483" s="4553">
        <v>46027</v>
      </c>
      <c r="P483" s="3712"/>
      <c r="Q483" s="4154" t="s">
        <v>82</v>
      </c>
      <c r="R483" s="4157">
        <v>24</v>
      </c>
      <c r="S483" s="4157">
        <f t="shared" ref="S474:S533" si="276">R483-J483</f>
        <v>0</v>
      </c>
      <c r="T483" s="4174" t="s">
        <v>2297</v>
      </c>
      <c r="U483" s="4154" t="s">
        <v>2298</v>
      </c>
      <c r="V483" s="3711" t="s">
        <v>2299</v>
      </c>
      <c r="W483" s="3711"/>
      <c r="X483" s="3711" t="s">
        <v>1505</v>
      </c>
      <c r="Y483" s="3711"/>
      <c r="Z483" s="3711" t="s">
        <v>2300</v>
      </c>
      <c r="AA483" s="4323"/>
      <c r="AB483" s="3713" t="s">
        <v>2301</v>
      </c>
      <c r="AC483" s="3711" t="s">
        <v>369</v>
      </c>
      <c r="AD483" s="4504">
        <v>2.2571</v>
      </c>
      <c r="AE483" s="4154">
        <f t="shared" si="252"/>
        <v>54.1704</v>
      </c>
      <c r="AF483" s="3726"/>
      <c r="AG483" s="3726"/>
      <c r="AH483" s="4430"/>
      <c r="AI483" s="4575"/>
      <c r="AJ483" s="4430"/>
      <c r="AK483" s="4575">
        <f t="shared" ref="AK483:AK488" si="277">J483</f>
        <v>24</v>
      </c>
      <c r="AL483" s="3708"/>
      <c r="AM483" s="4154"/>
      <c r="AN483" s="4413"/>
      <c r="AO483" s="4415">
        <f t="shared" si="265"/>
        <v>24</v>
      </c>
      <c r="AP483" s="4510"/>
      <c r="AQ483" s="4413"/>
      <c r="AR483" s="4413"/>
      <c r="AS483" s="4510"/>
      <c r="AT483" s="1048">
        <f t="shared" ref="AT483:AT488" si="278">J483</f>
        <v>24</v>
      </c>
      <c r="AU483" s="4413"/>
      <c r="AV483" s="4939"/>
      <c r="AW483" s="4939"/>
      <c r="AX483" s="1048"/>
      <c r="AY483" s="4939"/>
      <c r="AZ483" s="4939"/>
      <c r="BA483" s="1048"/>
      <c r="BB483" s="4622"/>
      <c r="BC483" s="4939"/>
      <c r="BD483" s="4622"/>
      <c r="BE483" s="4622"/>
      <c r="BF483" s="4622"/>
      <c r="BG483" s="4622"/>
      <c r="BH483" s="4510"/>
      <c r="BI483" s="4622"/>
      <c r="BJ483" s="1048"/>
      <c r="BK483" s="4160" t="s">
        <v>89</v>
      </c>
      <c r="BL483" s="4415"/>
      <c r="BM483" s="4415"/>
      <c r="BN483" s="4589">
        <f t="shared" ref="BN483:BN488" si="279">J483-BL483</f>
        <v>24</v>
      </c>
      <c r="BO483" s="4415"/>
      <c r="BP483" s="4415"/>
      <c r="BQ483" s="4414"/>
      <c r="BR483" s="1048"/>
      <c r="BS483" s="4432"/>
      <c r="BT483" s="4432"/>
      <c r="BU483" s="4432"/>
      <c r="BV483" s="4432"/>
      <c r="BW483" s="4432"/>
      <c r="BX483" s="4431"/>
      <c r="BY483" s="4431"/>
      <c r="BZ483" s="4562">
        <f t="shared" si="274"/>
        <v>24</v>
      </c>
      <c r="CA483" s="4562">
        <f t="shared" si="275"/>
        <v>0</v>
      </c>
      <c r="CB483" s="4591"/>
      <c r="CC483" s="4591"/>
      <c r="CD483" s="4323"/>
      <c r="CE483" s="4323"/>
      <c r="CF483" s="4323"/>
    </row>
    <row r="484" s="4316" customFormat="1" ht="50" customHeight="1" spans="1:84">
      <c r="A484" s="4500">
        <v>45982</v>
      </c>
      <c r="B484" s="3708" t="s">
        <v>1641</v>
      </c>
      <c r="C484" s="3708" t="s">
        <v>396</v>
      </c>
      <c r="D484" s="4154">
        <v>4500186530</v>
      </c>
      <c r="E484" s="3708" t="s">
        <v>2302</v>
      </c>
      <c r="F484" s="4154" t="s">
        <v>2303</v>
      </c>
      <c r="G484" s="3708"/>
      <c r="H484" s="3708" t="s">
        <v>1020</v>
      </c>
      <c r="I484" s="3699" t="s">
        <v>328</v>
      </c>
      <c r="J484" s="4593">
        <v>12</v>
      </c>
      <c r="K484" s="4154">
        <v>0</v>
      </c>
      <c r="L484" s="4154">
        <v>12</v>
      </c>
      <c r="M484" s="4154">
        <f t="shared" si="239"/>
        <v>1</v>
      </c>
      <c r="N484" s="4503">
        <v>46031</v>
      </c>
      <c r="O484" s="4553">
        <v>46027</v>
      </c>
      <c r="P484" s="3712"/>
      <c r="Q484" s="4154" t="s">
        <v>82</v>
      </c>
      <c r="R484" s="4157">
        <v>12</v>
      </c>
      <c r="S484" s="4157">
        <f t="shared" si="276"/>
        <v>0</v>
      </c>
      <c r="T484" s="4162"/>
      <c r="U484" s="4154" t="s">
        <v>2298</v>
      </c>
      <c r="V484" s="3711" t="s">
        <v>2299</v>
      </c>
      <c r="W484" s="3711"/>
      <c r="X484" s="3711" t="s">
        <v>1505</v>
      </c>
      <c r="Y484" s="3711"/>
      <c r="Z484" s="3711" t="s">
        <v>2300</v>
      </c>
      <c r="AA484" s="4323"/>
      <c r="AB484" s="3713" t="s">
        <v>2301</v>
      </c>
      <c r="AC484" s="3711" t="s">
        <v>369</v>
      </c>
      <c r="AD484" s="4504">
        <v>2.2571</v>
      </c>
      <c r="AE484" s="4154">
        <f t="shared" si="252"/>
        <v>27.0852</v>
      </c>
      <c r="AF484" s="3726"/>
      <c r="AG484" s="3726"/>
      <c r="AH484" s="4430"/>
      <c r="AI484" s="4575"/>
      <c r="AJ484" s="4430"/>
      <c r="AK484" s="4575">
        <f t="shared" si="277"/>
        <v>12</v>
      </c>
      <c r="AL484" s="3708"/>
      <c r="AM484" s="4154"/>
      <c r="AN484" s="4413"/>
      <c r="AO484" s="4415">
        <f t="shared" si="265"/>
        <v>12</v>
      </c>
      <c r="AP484" s="4510"/>
      <c r="AQ484" s="4413"/>
      <c r="AR484" s="4413"/>
      <c r="AS484" s="4510"/>
      <c r="AT484" s="1048">
        <f t="shared" si="278"/>
        <v>12</v>
      </c>
      <c r="AU484" s="4413"/>
      <c r="AV484" s="4939"/>
      <c r="AW484" s="4939"/>
      <c r="AX484" s="1048"/>
      <c r="AY484" s="4939"/>
      <c r="AZ484" s="4939"/>
      <c r="BA484" s="1048"/>
      <c r="BB484" s="4622"/>
      <c r="BC484" s="4939"/>
      <c r="BD484" s="4622"/>
      <c r="BE484" s="4622"/>
      <c r="BF484" s="4622"/>
      <c r="BG484" s="4622"/>
      <c r="BH484" s="4510"/>
      <c r="BI484" s="4622"/>
      <c r="BJ484" s="1048"/>
      <c r="BK484" s="4160" t="s">
        <v>89</v>
      </c>
      <c r="BL484" s="4415"/>
      <c r="BM484" s="4415"/>
      <c r="BN484" s="4589">
        <f t="shared" si="279"/>
        <v>12</v>
      </c>
      <c r="BO484" s="4415"/>
      <c r="BP484" s="4415"/>
      <c r="BQ484" s="4414"/>
      <c r="BR484" s="1048"/>
      <c r="BS484" s="4432"/>
      <c r="BT484" s="4432"/>
      <c r="BU484" s="4432"/>
      <c r="BV484" s="4432"/>
      <c r="BW484" s="4432"/>
      <c r="BX484" s="4431"/>
      <c r="BY484" s="4431"/>
      <c r="BZ484" s="4562">
        <f t="shared" si="274"/>
        <v>12</v>
      </c>
      <c r="CA484" s="4562">
        <f t="shared" si="275"/>
        <v>0</v>
      </c>
      <c r="CB484" s="4591"/>
      <c r="CC484" s="4591"/>
      <c r="CD484" s="4323"/>
      <c r="CE484" s="4323"/>
      <c r="CF484" s="4323"/>
    </row>
    <row r="485" s="4316" customFormat="1" ht="50" customHeight="1" spans="1:84">
      <c r="A485" s="4500">
        <v>45982</v>
      </c>
      <c r="B485" s="3708" t="s">
        <v>1641</v>
      </c>
      <c r="C485" s="3708" t="s">
        <v>396</v>
      </c>
      <c r="D485" s="4154">
        <v>4500186530</v>
      </c>
      <c r="E485" s="3708" t="s">
        <v>2304</v>
      </c>
      <c r="F485" s="4154" t="s">
        <v>2305</v>
      </c>
      <c r="G485" s="3708"/>
      <c r="H485" s="3708" t="s">
        <v>1020</v>
      </c>
      <c r="I485" s="3699" t="s">
        <v>328</v>
      </c>
      <c r="J485" s="4593">
        <v>24</v>
      </c>
      <c r="K485" s="4154">
        <v>0</v>
      </c>
      <c r="L485" s="4154">
        <v>12</v>
      </c>
      <c r="M485" s="4154">
        <f t="shared" si="239"/>
        <v>2</v>
      </c>
      <c r="N485" s="4503">
        <v>46031</v>
      </c>
      <c r="O485" s="4553">
        <v>46027</v>
      </c>
      <c r="P485" s="3712"/>
      <c r="Q485" s="4154" t="s">
        <v>82</v>
      </c>
      <c r="R485" s="4157">
        <v>24</v>
      </c>
      <c r="S485" s="4157">
        <f t="shared" si="276"/>
        <v>0</v>
      </c>
      <c r="T485" s="4162"/>
      <c r="U485" s="4154" t="s">
        <v>2298</v>
      </c>
      <c r="V485" s="3711" t="s">
        <v>2299</v>
      </c>
      <c r="W485" s="3711"/>
      <c r="X485" s="3711" t="s">
        <v>1505</v>
      </c>
      <c r="Y485" s="3711"/>
      <c r="Z485" s="3711" t="s">
        <v>2300</v>
      </c>
      <c r="AA485" s="4323"/>
      <c r="AB485" s="3713" t="s">
        <v>2301</v>
      </c>
      <c r="AC485" s="3711" t="s">
        <v>369</v>
      </c>
      <c r="AD485" s="4504">
        <v>2.2571</v>
      </c>
      <c r="AE485" s="4154">
        <f t="shared" si="252"/>
        <v>54.1704</v>
      </c>
      <c r="AF485" s="3726"/>
      <c r="AG485" s="3726"/>
      <c r="AH485" s="4430"/>
      <c r="AI485" s="4575"/>
      <c r="AJ485" s="4430"/>
      <c r="AK485" s="4575">
        <f t="shared" si="277"/>
        <v>24</v>
      </c>
      <c r="AL485" s="3708"/>
      <c r="AM485" s="4154"/>
      <c r="AN485" s="4413"/>
      <c r="AO485" s="4415">
        <f t="shared" si="265"/>
        <v>24</v>
      </c>
      <c r="AP485" s="4510"/>
      <c r="AQ485" s="4413"/>
      <c r="AR485" s="4413"/>
      <c r="AS485" s="4510"/>
      <c r="AT485" s="1048">
        <f t="shared" si="278"/>
        <v>24</v>
      </c>
      <c r="AU485" s="4413"/>
      <c r="AV485" s="4939"/>
      <c r="AW485" s="4939"/>
      <c r="AX485" s="1048"/>
      <c r="AY485" s="4939"/>
      <c r="AZ485" s="4939"/>
      <c r="BA485" s="1048"/>
      <c r="BB485" s="4622"/>
      <c r="BC485" s="4939"/>
      <c r="BD485" s="4622"/>
      <c r="BE485" s="4622"/>
      <c r="BF485" s="4622"/>
      <c r="BG485" s="4622"/>
      <c r="BH485" s="4510"/>
      <c r="BI485" s="4622"/>
      <c r="BJ485" s="1048"/>
      <c r="BK485" s="4160" t="s">
        <v>89</v>
      </c>
      <c r="BL485" s="4415"/>
      <c r="BM485" s="4415"/>
      <c r="BN485" s="4589">
        <f t="shared" si="279"/>
        <v>24</v>
      </c>
      <c r="BO485" s="4415"/>
      <c r="BP485" s="4415"/>
      <c r="BQ485" s="4414"/>
      <c r="BR485" s="1048"/>
      <c r="BS485" s="4432"/>
      <c r="BT485" s="4432"/>
      <c r="BU485" s="4432"/>
      <c r="BV485" s="4432"/>
      <c r="BW485" s="4432"/>
      <c r="BX485" s="4431"/>
      <c r="BY485" s="4431"/>
      <c r="BZ485" s="4562">
        <f t="shared" si="274"/>
        <v>24</v>
      </c>
      <c r="CA485" s="4562">
        <f t="shared" si="275"/>
        <v>0</v>
      </c>
      <c r="CB485" s="4591"/>
      <c r="CC485" s="4591"/>
      <c r="CD485" s="4323"/>
      <c r="CE485" s="4323"/>
      <c r="CF485" s="4323"/>
    </row>
    <row r="486" s="4316" customFormat="1" ht="50" customHeight="1" spans="1:84">
      <c r="A486" s="4500">
        <v>45982</v>
      </c>
      <c r="B486" s="3708" t="s">
        <v>1641</v>
      </c>
      <c r="C486" s="3708" t="s">
        <v>396</v>
      </c>
      <c r="D486" s="4154">
        <v>4500186530</v>
      </c>
      <c r="E486" s="3708" t="s">
        <v>2306</v>
      </c>
      <c r="F486" s="4154" t="s">
        <v>2307</v>
      </c>
      <c r="G486" s="3708"/>
      <c r="H486" s="3708" t="s">
        <v>1020</v>
      </c>
      <c r="I486" s="3699" t="s">
        <v>328</v>
      </c>
      <c r="J486" s="4593">
        <v>36</v>
      </c>
      <c r="K486" s="4154">
        <v>0</v>
      </c>
      <c r="L486" s="4154">
        <v>12</v>
      </c>
      <c r="M486" s="4154">
        <f t="shared" si="239"/>
        <v>3</v>
      </c>
      <c r="N486" s="4503">
        <v>46031</v>
      </c>
      <c r="O486" s="4553">
        <v>46027</v>
      </c>
      <c r="P486" s="3712"/>
      <c r="Q486" s="4154" t="s">
        <v>82</v>
      </c>
      <c r="R486" s="4157">
        <v>36</v>
      </c>
      <c r="S486" s="4157">
        <f t="shared" si="276"/>
        <v>0</v>
      </c>
      <c r="T486" s="4162"/>
      <c r="U486" s="4154" t="s">
        <v>2298</v>
      </c>
      <c r="V486" s="3711" t="s">
        <v>2299</v>
      </c>
      <c r="W486" s="3711"/>
      <c r="X486" s="3711" t="s">
        <v>1505</v>
      </c>
      <c r="Y486" s="3711"/>
      <c r="Z486" s="3711" t="s">
        <v>2300</v>
      </c>
      <c r="AA486" s="4323"/>
      <c r="AB486" s="3713" t="s">
        <v>2301</v>
      </c>
      <c r="AC486" s="3711" t="s">
        <v>369</v>
      </c>
      <c r="AD486" s="4504">
        <v>2.2571</v>
      </c>
      <c r="AE486" s="4154">
        <f t="shared" si="252"/>
        <v>81.2556</v>
      </c>
      <c r="AF486" s="3726"/>
      <c r="AG486" s="3726"/>
      <c r="AH486" s="4430"/>
      <c r="AI486" s="4575"/>
      <c r="AJ486" s="4430"/>
      <c r="AK486" s="4575">
        <f t="shared" si="277"/>
        <v>36</v>
      </c>
      <c r="AL486" s="3708"/>
      <c r="AM486" s="4154"/>
      <c r="AN486" s="4413"/>
      <c r="AO486" s="4415">
        <f t="shared" si="265"/>
        <v>36</v>
      </c>
      <c r="AP486" s="4510"/>
      <c r="AQ486" s="4413"/>
      <c r="AR486" s="4413"/>
      <c r="AS486" s="4510"/>
      <c r="AT486" s="1048">
        <f t="shared" si="278"/>
        <v>36</v>
      </c>
      <c r="AU486" s="4413"/>
      <c r="AV486" s="4939"/>
      <c r="AW486" s="4939"/>
      <c r="AX486" s="1048"/>
      <c r="AY486" s="4939"/>
      <c r="AZ486" s="4939"/>
      <c r="BA486" s="1048"/>
      <c r="BB486" s="4622"/>
      <c r="BC486" s="4939"/>
      <c r="BD486" s="4622"/>
      <c r="BE486" s="4622"/>
      <c r="BF486" s="4622"/>
      <c r="BG486" s="4622"/>
      <c r="BH486" s="4510"/>
      <c r="BI486" s="4622"/>
      <c r="BJ486" s="1048"/>
      <c r="BK486" s="4160" t="s">
        <v>89</v>
      </c>
      <c r="BL486" s="4415"/>
      <c r="BM486" s="4415"/>
      <c r="BN486" s="4589">
        <f t="shared" si="279"/>
        <v>36</v>
      </c>
      <c r="BO486" s="4415"/>
      <c r="BP486" s="4415"/>
      <c r="BQ486" s="4414"/>
      <c r="BR486" s="1048"/>
      <c r="BS486" s="4432"/>
      <c r="BT486" s="4432"/>
      <c r="BU486" s="4432"/>
      <c r="BV486" s="4432"/>
      <c r="BW486" s="4432"/>
      <c r="BX486" s="4431"/>
      <c r="BY486" s="4431"/>
      <c r="BZ486" s="4562">
        <f t="shared" si="274"/>
        <v>36</v>
      </c>
      <c r="CA486" s="4562">
        <f t="shared" si="275"/>
        <v>0</v>
      </c>
      <c r="CB486" s="4591"/>
      <c r="CC486" s="4591"/>
      <c r="CD486" s="4323"/>
      <c r="CE486" s="4323"/>
      <c r="CF486" s="4323"/>
    </row>
    <row r="487" s="4316" customFormat="1" ht="50" customHeight="1" spans="1:84">
      <c r="A487" s="4500">
        <v>45982</v>
      </c>
      <c r="B487" s="3708" t="s">
        <v>1641</v>
      </c>
      <c r="C487" s="3708" t="s">
        <v>396</v>
      </c>
      <c r="D487" s="4154">
        <v>4500186530</v>
      </c>
      <c r="E487" s="3708" t="s">
        <v>2308</v>
      </c>
      <c r="F487" s="4154" t="s">
        <v>2309</v>
      </c>
      <c r="G487" s="3708"/>
      <c r="H487" s="3708" t="s">
        <v>1020</v>
      </c>
      <c r="I487" s="3699" t="s">
        <v>328</v>
      </c>
      <c r="J487" s="4593">
        <v>36</v>
      </c>
      <c r="K487" s="4154">
        <v>0</v>
      </c>
      <c r="L487" s="4154">
        <v>12</v>
      </c>
      <c r="M487" s="4154">
        <f t="shared" si="239"/>
        <v>3</v>
      </c>
      <c r="N487" s="4503">
        <v>46031</v>
      </c>
      <c r="O487" s="4553">
        <v>46027</v>
      </c>
      <c r="P487" s="3712"/>
      <c r="Q487" s="4154" t="s">
        <v>82</v>
      </c>
      <c r="R487" s="4157">
        <v>36</v>
      </c>
      <c r="S487" s="4157">
        <f t="shared" si="276"/>
        <v>0</v>
      </c>
      <c r="T487" s="4162"/>
      <c r="U487" s="4154" t="s">
        <v>2298</v>
      </c>
      <c r="V487" s="3711" t="s">
        <v>2299</v>
      </c>
      <c r="W487" s="3711"/>
      <c r="X487" s="3711" t="s">
        <v>1505</v>
      </c>
      <c r="Y487" s="3711"/>
      <c r="Z487" s="3711" t="s">
        <v>2300</v>
      </c>
      <c r="AA487" s="4323"/>
      <c r="AB487" s="3713" t="s">
        <v>2301</v>
      </c>
      <c r="AC487" s="3711" t="s">
        <v>369</v>
      </c>
      <c r="AD487" s="4504">
        <v>2.2571</v>
      </c>
      <c r="AE487" s="4154">
        <f t="shared" si="252"/>
        <v>81.2556</v>
      </c>
      <c r="AF487" s="3726"/>
      <c r="AG487" s="3726"/>
      <c r="AH487" s="4430"/>
      <c r="AI487" s="4575"/>
      <c r="AJ487" s="4430"/>
      <c r="AK487" s="4575">
        <f t="shared" si="277"/>
        <v>36</v>
      </c>
      <c r="AL487" s="3708"/>
      <c r="AM487" s="4154"/>
      <c r="AN487" s="4413"/>
      <c r="AO487" s="4415">
        <f t="shared" si="265"/>
        <v>36</v>
      </c>
      <c r="AP487" s="4510"/>
      <c r="AQ487" s="4413"/>
      <c r="AR487" s="4413"/>
      <c r="AS487" s="4510"/>
      <c r="AT487" s="1048">
        <f t="shared" si="278"/>
        <v>36</v>
      </c>
      <c r="AU487" s="4413"/>
      <c r="AV487" s="4939"/>
      <c r="AW487" s="4939"/>
      <c r="AX487" s="1048"/>
      <c r="AY487" s="4939"/>
      <c r="AZ487" s="4939"/>
      <c r="BA487" s="1048"/>
      <c r="BB487" s="4622"/>
      <c r="BC487" s="4939"/>
      <c r="BD487" s="4622"/>
      <c r="BE487" s="4622"/>
      <c r="BF487" s="4622"/>
      <c r="BG487" s="4622"/>
      <c r="BH487" s="4510"/>
      <c r="BI487" s="4622"/>
      <c r="BJ487" s="1048"/>
      <c r="BK487" s="4160" t="s">
        <v>89</v>
      </c>
      <c r="BL487" s="4415"/>
      <c r="BM487" s="4415"/>
      <c r="BN487" s="4589">
        <f t="shared" si="279"/>
        <v>36</v>
      </c>
      <c r="BO487" s="4415"/>
      <c r="BP487" s="4415"/>
      <c r="BQ487" s="4414"/>
      <c r="BR487" s="1048"/>
      <c r="BS487" s="4432"/>
      <c r="BT487" s="4432"/>
      <c r="BU487" s="4432"/>
      <c r="BV487" s="4432"/>
      <c r="BW487" s="4432"/>
      <c r="BX487" s="4431"/>
      <c r="BY487" s="4431"/>
      <c r="BZ487" s="4562">
        <f t="shared" si="274"/>
        <v>36</v>
      </c>
      <c r="CA487" s="4562">
        <f t="shared" si="275"/>
        <v>0</v>
      </c>
      <c r="CB487" s="4591"/>
      <c r="CC487" s="4591"/>
      <c r="CD487" s="4323"/>
      <c r="CE487" s="4323"/>
      <c r="CF487" s="4323"/>
    </row>
    <row r="488" s="4316" customFormat="1" ht="50" customHeight="1" spans="1:84">
      <c r="A488" s="4500">
        <v>45982</v>
      </c>
      <c r="B488" s="3708" t="s">
        <v>1641</v>
      </c>
      <c r="C488" s="3708" t="s">
        <v>396</v>
      </c>
      <c r="D488" s="4154">
        <v>4500186530</v>
      </c>
      <c r="E488" s="3708" t="s">
        <v>2310</v>
      </c>
      <c r="F488" s="4154" t="s">
        <v>2311</v>
      </c>
      <c r="G488" s="3708"/>
      <c r="H488" s="3708" t="s">
        <v>1020</v>
      </c>
      <c r="I488" s="3699" t="s">
        <v>328</v>
      </c>
      <c r="J488" s="4593">
        <v>48</v>
      </c>
      <c r="K488" s="4154">
        <v>0</v>
      </c>
      <c r="L488" s="4154">
        <v>12</v>
      </c>
      <c r="M488" s="4154">
        <f t="shared" si="239"/>
        <v>4</v>
      </c>
      <c r="N488" s="4503">
        <v>46031</v>
      </c>
      <c r="O488" s="4553">
        <v>46027</v>
      </c>
      <c r="P488" s="3712"/>
      <c r="Q488" s="4154" t="s">
        <v>82</v>
      </c>
      <c r="R488" s="4157">
        <v>48</v>
      </c>
      <c r="S488" s="4157">
        <f t="shared" si="276"/>
        <v>0</v>
      </c>
      <c r="T488" s="4960"/>
      <c r="U488" s="4154" t="s">
        <v>2298</v>
      </c>
      <c r="V488" s="3711" t="s">
        <v>2299</v>
      </c>
      <c r="W488" s="3711"/>
      <c r="X488" s="3711" t="s">
        <v>1505</v>
      </c>
      <c r="Y488" s="3711"/>
      <c r="Z488" s="3711" t="s">
        <v>2300</v>
      </c>
      <c r="AA488" s="4323"/>
      <c r="AB488" s="3713" t="s">
        <v>2301</v>
      </c>
      <c r="AC488" s="3711" t="s">
        <v>369</v>
      </c>
      <c r="AD488" s="4504">
        <v>2.2571</v>
      </c>
      <c r="AE488" s="4154">
        <f t="shared" si="252"/>
        <v>108.3408</v>
      </c>
      <c r="AF488" s="3726"/>
      <c r="AG488" s="3726"/>
      <c r="AH488" s="4430"/>
      <c r="AI488" s="4575"/>
      <c r="AJ488" s="4430"/>
      <c r="AK488" s="4575">
        <f t="shared" si="277"/>
        <v>48</v>
      </c>
      <c r="AL488" s="3708"/>
      <c r="AM488" s="4154"/>
      <c r="AN488" s="4413"/>
      <c r="AO488" s="4415">
        <f t="shared" si="265"/>
        <v>48</v>
      </c>
      <c r="AP488" s="4510"/>
      <c r="AQ488" s="4413"/>
      <c r="AR488" s="4413"/>
      <c r="AS488" s="4510"/>
      <c r="AT488" s="1048">
        <f t="shared" si="278"/>
        <v>48</v>
      </c>
      <c r="AU488" s="4413"/>
      <c r="AV488" s="4939"/>
      <c r="AW488" s="4939"/>
      <c r="AX488" s="1048"/>
      <c r="AY488" s="4939"/>
      <c r="AZ488" s="4939"/>
      <c r="BA488" s="1048"/>
      <c r="BB488" s="4622"/>
      <c r="BC488" s="4939"/>
      <c r="BD488" s="4622"/>
      <c r="BE488" s="4622"/>
      <c r="BF488" s="4622"/>
      <c r="BG488" s="4622"/>
      <c r="BH488" s="4510"/>
      <c r="BI488" s="4622"/>
      <c r="BJ488" s="1048"/>
      <c r="BK488" s="4160" t="s">
        <v>89</v>
      </c>
      <c r="BL488" s="4415"/>
      <c r="BM488" s="4415"/>
      <c r="BN488" s="4589">
        <f t="shared" si="279"/>
        <v>48</v>
      </c>
      <c r="BO488" s="4415"/>
      <c r="BP488" s="4415"/>
      <c r="BQ488" s="4414"/>
      <c r="BR488" s="1048"/>
      <c r="BS488" s="4432"/>
      <c r="BT488" s="4432"/>
      <c r="BU488" s="4432"/>
      <c r="BV488" s="4432"/>
      <c r="BW488" s="4432"/>
      <c r="BX488" s="4431"/>
      <c r="BY488" s="4431"/>
      <c r="BZ488" s="4562">
        <f t="shared" si="274"/>
        <v>48</v>
      </c>
      <c r="CA488" s="4562">
        <f t="shared" si="275"/>
        <v>0</v>
      </c>
      <c r="CB488" s="4591"/>
      <c r="CC488" s="4591"/>
      <c r="CD488" s="4323"/>
      <c r="CE488" s="4323"/>
      <c r="CF488" s="4323"/>
    </row>
    <row r="489" s="4316" customFormat="1" ht="50" customHeight="1" spans="1:84">
      <c r="A489" s="4500">
        <v>45992</v>
      </c>
      <c r="B489" s="3708" t="s">
        <v>505</v>
      </c>
      <c r="C489" s="3708" t="s">
        <v>506</v>
      </c>
      <c r="D489" s="4154">
        <v>4500187539</v>
      </c>
      <c r="E489" s="3708"/>
      <c r="F489" s="4154" t="s">
        <v>2312</v>
      </c>
      <c r="G489" s="3708"/>
      <c r="H489" s="3708" t="s">
        <v>508</v>
      </c>
      <c r="I489" s="3708" t="s">
        <v>328</v>
      </c>
      <c r="J489" s="4593">
        <v>1500</v>
      </c>
      <c r="K489" s="4154">
        <v>0</v>
      </c>
      <c r="L489" s="4154">
        <v>6</v>
      </c>
      <c r="M489" s="4154">
        <f t="shared" si="239"/>
        <v>250</v>
      </c>
      <c r="N489" s="4503">
        <v>46027</v>
      </c>
      <c r="O489" s="4553">
        <v>46023</v>
      </c>
      <c r="P489" s="3712"/>
      <c r="Q489" s="4154" t="s">
        <v>82</v>
      </c>
      <c r="R489" s="4157">
        <v>1500</v>
      </c>
      <c r="S489" s="4157">
        <f t="shared" si="276"/>
        <v>0</v>
      </c>
      <c r="T489" s="4157" t="s">
        <v>2297</v>
      </c>
      <c r="U489" s="3726" t="s">
        <v>116</v>
      </c>
      <c r="V489" s="3711" t="s">
        <v>465</v>
      </c>
      <c r="W489" s="3711"/>
      <c r="X489" s="3711" t="s">
        <v>2313</v>
      </c>
      <c r="Y489" s="3711"/>
      <c r="Z489" s="3711"/>
      <c r="AA489" s="4154"/>
      <c r="AB489" s="3713" t="s">
        <v>2314</v>
      </c>
      <c r="AC489" s="3711" t="s">
        <v>513</v>
      </c>
      <c r="AD489" s="4504">
        <v>2.3106</v>
      </c>
      <c r="AE489" s="4154">
        <f t="shared" si="252"/>
        <v>3465.9</v>
      </c>
      <c r="AF489" s="3875" t="s">
        <v>2315</v>
      </c>
      <c r="AG489" s="3726"/>
      <c r="AH489" s="4412"/>
      <c r="AI489" s="4575">
        <f t="shared" ref="AI489:AI505" si="280">J489</f>
        <v>1500</v>
      </c>
      <c r="AJ489" s="4412"/>
      <c r="AK489" s="4575"/>
      <c r="AL489" s="3708"/>
      <c r="AM489" s="4154"/>
      <c r="AN489" s="1040"/>
      <c r="AO489" s="4510">
        <f t="shared" si="265"/>
        <v>1500</v>
      </c>
      <c r="AP489" s="4510"/>
      <c r="AQ489" s="1040"/>
      <c r="AR489" s="1040"/>
      <c r="AS489" s="4510">
        <f>J489</f>
        <v>1500</v>
      </c>
      <c r="AT489" s="1048"/>
      <c r="AU489" s="1040"/>
      <c r="AV489" s="4945"/>
      <c r="AW489" s="4945"/>
      <c r="AX489" s="1048">
        <f>J489/6</f>
        <v>250</v>
      </c>
      <c r="AY489" s="4945"/>
      <c r="AZ489" s="4945"/>
      <c r="BA489" s="1048"/>
      <c r="BB489" s="4622"/>
      <c r="BC489" s="4945"/>
      <c r="BD489" s="4622"/>
      <c r="BE489" s="4622"/>
      <c r="BF489" s="4622"/>
      <c r="BG489" s="4622"/>
      <c r="BH489" s="4510"/>
      <c r="BI489" s="4622"/>
      <c r="BJ489" s="1048"/>
      <c r="BK489" s="4415" t="s">
        <v>89</v>
      </c>
      <c r="BL489" s="4415">
        <f t="shared" ref="BL489:BL508" si="281">J489/60*1</f>
        <v>25</v>
      </c>
      <c r="BM489" s="4415">
        <f t="shared" ref="BM489:BM508" si="282">J489/60*9</f>
        <v>225</v>
      </c>
      <c r="BN489" s="4415">
        <f t="shared" ref="BN489:BN508" si="283">J489/60*10</f>
        <v>250</v>
      </c>
      <c r="BO489" s="4415">
        <f t="shared" ref="BO489:BO508" si="284">J489/60*10</f>
        <v>250</v>
      </c>
      <c r="BP489" s="4415">
        <f t="shared" ref="BP489:BP508" si="285">J489/60*10</f>
        <v>250</v>
      </c>
      <c r="BQ489" s="4414">
        <f t="shared" ref="BQ489:BQ508" si="286">J489/60*10</f>
        <v>250</v>
      </c>
      <c r="BR489" s="1048">
        <f t="shared" ref="BR489:BR508" si="287">J489/60*10</f>
        <v>250</v>
      </c>
      <c r="BS489" s="4524"/>
      <c r="BT489" s="4524"/>
      <c r="BU489" s="4524"/>
      <c r="BV489" s="4524"/>
      <c r="BW489" s="4524"/>
      <c r="BX489" s="1041"/>
      <c r="BY489" s="1041"/>
      <c r="BZ489" s="3708">
        <f t="shared" si="274"/>
        <v>1500</v>
      </c>
      <c r="CA489" s="4154">
        <f t="shared" si="275"/>
        <v>0</v>
      </c>
      <c r="CB489" s="4619"/>
      <c r="CC489" s="4619"/>
      <c r="CD489" s="4323"/>
      <c r="CE489" s="4323"/>
      <c r="CF489" s="4323"/>
    </row>
    <row r="490" s="4316" customFormat="1" ht="50" customHeight="1" spans="1:84">
      <c r="A490" s="4500">
        <v>45982</v>
      </c>
      <c r="B490" s="3708" t="s">
        <v>90</v>
      </c>
      <c r="C490" s="3708" t="s">
        <v>91</v>
      </c>
      <c r="D490" s="4154">
        <v>4500186435</v>
      </c>
      <c r="E490" s="3708" t="s">
        <v>2316</v>
      </c>
      <c r="F490" s="4154" t="s">
        <v>2317</v>
      </c>
      <c r="G490" s="3708"/>
      <c r="H490" s="3708" t="s">
        <v>333</v>
      </c>
      <c r="I490" s="3708" t="s">
        <v>328</v>
      </c>
      <c r="J490" s="4593">
        <v>2400</v>
      </c>
      <c r="K490" s="4154">
        <v>0</v>
      </c>
      <c r="L490" s="4154">
        <v>24</v>
      </c>
      <c r="M490" s="4154">
        <f t="shared" si="239"/>
        <v>100</v>
      </c>
      <c r="N490" s="4503">
        <v>46029</v>
      </c>
      <c r="O490" s="4553">
        <v>46025</v>
      </c>
      <c r="P490" s="3712"/>
      <c r="Q490" s="4154" t="s">
        <v>82</v>
      </c>
      <c r="R490" s="4157">
        <v>2400</v>
      </c>
      <c r="S490" s="4157">
        <f t="shared" si="276"/>
        <v>0</v>
      </c>
      <c r="T490" s="4157" t="s">
        <v>2297</v>
      </c>
      <c r="U490" s="3726" t="s">
        <v>116</v>
      </c>
      <c r="V490" s="3711" t="s">
        <v>2299</v>
      </c>
      <c r="W490" s="3711"/>
      <c r="X490" s="3711" t="s">
        <v>98</v>
      </c>
      <c r="Y490" s="3711"/>
      <c r="Z490" s="3711" t="s">
        <v>2261</v>
      </c>
      <c r="AA490" s="4154"/>
      <c r="AB490" s="3713" t="s">
        <v>2318</v>
      </c>
      <c r="AC490" s="3711" t="s">
        <v>101</v>
      </c>
      <c r="AD490" s="4504">
        <v>1.2512</v>
      </c>
      <c r="AE490" s="3708">
        <f t="shared" si="252"/>
        <v>3002.88</v>
      </c>
      <c r="AF490" s="3726"/>
      <c r="AG490" s="3726"/>
      <c r="AH490" s="4430"/>
      <c r="AI490" s="4575">
        <f t="shared" si="280"/>
        <v>2400</v>
      </c>
      <c r="AJ490" s="4430"/>
      <c r="AK490" s="4575"/>
      <c r="AL490" s="3708"/>
      <c r="AM490" s="4154"/>
      <c r="AN490" s="4413"/>
      <c r="AO490" s="4510">
        <f t="shared" si="265"/>
        <v>2400</v>
      </c>
      <c r="AP490" s="4510"/>
      <c r="AQ490" s="4413"/>
      <c r="AR490" s="4413"/>
      <c r="AS490" s="4510">
        <f>J490</f>
        <v>2400</v>
      </c>
      <c r="AT490" s="1048"/>
      <c r="AU490" s="4413"/>
      <c r="AV490" s="4939"/>
      <c r="AW490" s="4939"/>
      <c r="AX490" s="1048"/>
      <c r="AY490" s="4939"/>
      <c r="AZ490" s="4939"/>
      <c r="BA490" s="1048"/>
      <c r="BB490" s="4622"/>
      <c r="BC490" s="4939"/>
      <c r="BD490" s="4622"/>
      <c r="BE490" s="4622"/>
      <c r="BF490" s="4622"/>
      <c r="BG490" s="4622"/>
      <c r="BH490" s="4510"/>
      <c r="BI490" s="4622"/>
      <c r="BJ490" s="1048"/>
      <c r="BK490" s="4415" t="s">
        <v>89</v>
      </c>
      <c r="BL490" s="4415">
        <f t="shared" si="281"/>
        <v>40</v>
      </c>
      <c r="BM490" s="4415">
        <f t="shared" si="282"/>
        <v>360</v>
      </c>
      <c r="BN490" s="4415">
        <f t="shared" si="283"/>
        <v>400</v>
      </c>
      <c r="BO490" s="4415">
        <f t="shared" si="284"/>
        <v>400</v>
      </c>
      <c r="BP490" s="4415">
        <f t="shared" si="285"/>
        <v>400</v>
      </c>
      <c r="BQ490" s="4414">
        <f t="shared" si="286"/>
        <v>400</v>
      </c>
      <c r="BR490" s="1048">
        <f t="shared" si="287"/>
        <v>400</v>
      </c>
      <c r="BS490" s="4432"/>
      <c r="BT490" s="4432"/>
      <c r="BU490" s="4432"/>
      <c r="BV490" s="4432"/>
      <c r="BW490" s="4432"/>
      <c r="BX490" s="4431"/>
      <c r="BY490" s="4431"/>
      <c r="BZ490" s="3708">
        <f t="shared" si="274"/>
        <v>2400</v>
      </c>
      <c r="CA490" s="4154">
        <f t="shared" si="275"/>
        <v>0</v>
      </c>
      <c r="CB490" s="4591"/>
      <c r="CC490" s="4591"/>
      <c r="CD490" s="4323"/>
      <c r="CE490" s="4323"/>
      <c r="CF490" s="4323"/>
    </row>
    <row r="491" s="4316" customFormat="1" ht="50" customHeight="1" spans="1:84">
      <c r="A491" s="4500">
        <v>45982</v>
      </c>
      <c r="B491" s="3708" t="s">
        <v>90</v>
      </c>
      <c r="C491" s="3708" t="s">
        <v>91</v>
      </c>
      <c r="D491" s="4154">
        <v>4500186433</v>
      </c>
      <c r="E491" s="3708" t="s">
        <v>2319</v>
      </c>
      <c r="F491" s="4154" t="s">
        <v>2320</v>
      </c>
      <c r="G491" s="3708"/>
      <c r="H491" s="3708" t="s">
        <v>333</v>
      </c>
      <c r="I491" s="3708" t="s">
        <v>328</v>
      </c>
      <c r="J491" s="4593">
        <v>2208</v>
      </c>
      <c r="K491" s="4154">
        <v>0</v>
      </c>
      <c r="L491" s="4154">
        <v>24</v>
      </c>
      <c r="M491" s="4154">
        <f t="shared" si="239"/>
        <v>92</v>
      </c>
      <c r="N491" s="4503">
        <v>46029</v>
      </c>
      <c r="O491" s="4553">
        <v>46025</v>
      </c>
      <c r="P491" s="3712"/>
      <c r="Q491" s="4154" t="s">
        <v>82</v>
      </c>
      <c r="R491" s="4157">
        <v>2208</v>
      </c>
      <c r="S491" s="4157">
        <f t="shared" si="276"/>
        <v>0</v>
      </c>
      <c r="T491" s="4157" t="s">
        <v>2297</v>
      </c>
      <c r="U491" s="3726" t="s">
        <v>116</v>
      </c>
      <c r="V491" s="3711" t="s">
        <v>2299</v>
      </c>
      <c r="W491" s="3711"/>
      <c r="X491" s="3711" t="s">
        <v>98</v>
      </c>
      <c r="Y491" s="3711"/>
      <c r="Z491" s="3711" t="s">
        <v>2261</v>
      </c>
      <c r="AA491" s="4154"/>
      <c r="AB491" s="3713" t="s">
        <v>2321</v>
      </c>
      <c r="AC491" s="3711" t="s">
        <v>101</v>
      </c>
      <c r="AD491" s="4504">
        <v>1.2512</v>
      </c>
      <c r="AE491" s="3708">
        <f t="shared" si="252"/>
        <v>2762.6496</v>
      </c>
      <c r="AF491" s="3726"/>
      <c r="AG491" s="3726"/>
      <c r="AH491" s="4430"/>
      <c r="AI491" s="4575">
        <f t="shared" si="280"/>
        <v>2208</v>
      </c>
      <c r="AJ491" s="4430"/>
      <c r="AK491" s="4575"/>
      <c r="AL491" s="3708"/>
      <c r="AM491" s="4154"/>
      <c r="AN491" s="4413"/>
      <c r="AO491" s="4510">
        <f t="shared" si="265"/>
        <v>2208</v>
      </c>
      <c r="AP491" s="4510"/>
      <c r="AQ491" s="4413"/>
      <c r="AR491" s="4413"/>
      <c r="AS491" s="4510">
        <f>J491</f>
        <v>2208</v>
      </c>
      <c r="AT491" s="1048"/>
      <c r="AU491" s="4413"/>
      <c r="AV491" s="4939"/>
      <c r="AW491" s="4939"/>
      <c r="AX491" s="1048"/>
      <c r="AY491" s="4939"/>
      <c r="AZ491" s="4939"/>
      <c r="BA491" s="1048"/>
      <c r="BB491" s="4622"/>
      <c r="BC491" s="4939"/>
      <c r="BD491" s="4622"/>
      <c r="BE491" s="4622"/>
      <c r="BF491" s="4622"/>
      <c r="BG491" s="4622"/>
      <c r="BH491" s="4510"/>
      <c r="BI491" s="4622"/>
      <c r="BJ491" s="1048"/>
      <c r="BK491" s="4415" t="s">
        <v>89</v>
      </c>
      <c r="BL491" s="4415">
        <f t="shared" si="281"/>
        <v>36.8</v>
      </c>
      <c r="BM491" s="4415">
        <f t="shared" si="282"/>
        <v>331.2</v>
      </c>
      <c r="BN491" s="4415">
        <f t="shared" si="283"/>
        <v>368</v>
      </c>
      <c r="BO491" s="4415">
        <f t="shared" si="284"/>
        <v>368</v>
      </c>
      <c r="BP491" s="4415">
        <f t="shared" si="285"/>
        <v>368</v>
      </c>
      <c r="BQ491" s="4414">
        <f t="shared" si="286"/>
        <v>368</v>
      </c>
      <c r="BR491" s="1048">
        <f t="shared" si="287"/>
        <v>368</v>
      </c>
      <c r="BS491" s="4432"/>
      <c r="BT491" s="4432"/>
      <c r="BU491" s="4432"/>
      <c r="BV491" s="4432"/>
      <c r="BW491" s="4432"/>
      <c r="BX491" s="4431"/>
      <c r="BY491" s="4431"/>
      <c r="BZ491" s="3708">
        <f t="shared" si="274"/>
        <v>2208</v>
      </c>
      <c r="CA491" s="4154">
        <f t="shared" si="275"/>
        <v>0</v>
      </c>
      <c r="CB491" s="4591"/>
      <c r="CC491" s="4591"/>
      <c r="CD491" s="4323"/>
      <c r="CE491" s="4323"/>
      <c r="CF491" s="4323"/>
    </row>
    <row r="492" s="4316" customFormat="1" ht="50" customHeight="1" spans="1:84">
      <c r="A492" s="4500">
        <v>45988</v>
      </c>
      <c r="B492" s="3708" t="s">
        <v>90</v>
      </c>
      <c r="C492" s="3708" t="s">
        <v>91</v>
      </c>
      <c r="D492" s="4154">
        <v>4500187231</v>
      </c>
      <c r="E492" s="3708">
        <v>770791</v>
      </c>
      <c r="F492" s="4154" t="s">
        <v>2322</v>
      </c>
      <c r="G492" s="3708"/>
      <c r="H492" s="3708" t="s">
        <v>333</v>
      </c>
      <c r="I492" s="3708" t="s">
        <v>328</v>
      </c>
      <c r="J492" s="4593">
        <v>1992</v>
      </c>
      <c r="K492" s="4154">
        <v>0</v>
      </c>
      <c r="L492" s="4154">
        <v>24</v>
      </c>
      <c r="M492" s="4154">
        <f t="shared" si="239"/>
        <v>83</v>
      </c>
      <c r="N492" s="4503">
        <v>46029</v>
      </c>
      <c r="O492" s="4553">
        <v>46025</v>
      </c>
      <c r="P492" s="3712"/>
      <c r="Q492" s="4154" t="s">
        <v>82</v>
      </c>
      <c r="R492" s="4157">
        <v>1992</v>
      </c>
      <c r="S492" s="4157">
        <f t="shared" si="276"/>
        <v>0</v>
      </c>
      <c r="T492" s="4157" t="s">
        <v>2297</v>
      </c>
      <c r="U492" s="3726" t="s">
        <v>116</v>
      </c>
      <c r="V492" s="3711" t="s">
        <v>384</v>
      </c>
      <c r="W492" s="3711"/>
      <c r="X492" s="3711" t="s">
        <v>98</v>
      </c>
      <c r="Y492" s="3711"/>
      <c r="Z492" s="3711" t="s">
        <v>2261</v>
      </c>
      <c r="AA492" s="4154"/>
      <c r="AB492" s="3713" t="s">
        <v>2323</v>
      </c>
      <c r="AC492" s="3711" t="s">
        <v>101</v>
      </c>
      <c r="AD492" s="4504">
        <v>1.2199</v>
      </c>
      <c r="AE492" s="3708">
        <f t="shared" si="252"/>
        <v>2430.0408</v>
      </c>
      <c r="AF492" s="3726"/>
      <c r="AG492" s="3726"/>
      <c r="AH492" s="4430"/>
      <c r="AI492" s="1048">
        <f t="shared" si="280"/>
        <v>1992</v>
      </c>
      <c r="AJ492" s="4430"/>
      <c r="AK492" s="4575"/>
      <c r="AL492" s="3708"/>
      <c r="AM492" s="4154"/>
      <c r="AN492" s="4413"/>
      <c r="AO492" s="4415">
        <f t="shared" si="265"/>
        <v>1992</v>
      </c>
      <c r="AP492" s="4510"/>
      <c r="AQ492" s="4413"/>
      <c r="AR492" s="4413"/>
      <c r="AS492" s="3708">
        <f>J492</f>
        <v>1992</v>
      </c>
      <c r="AT492" s="1048"/>
      <c r="AU492" s="4413"/>
      <c r="AV492" s="4939"/>
      <c r="AW492" s="4939"/>
      <c r="AX492" s="1048"/>
      <c r="AY492" s="4939"/>
      <c r="AZ492" s="4939"/>
      <c r="BA492" s="1048"/>
      <c r="BB492" s="4622"/>
      <c r="BC492" s="4939"/>
      <c r="BD492" s="4622"/>
      <c r="BE492" s="4622"/>
      <c r="BF492" s="4622"/>
      <c r="BG492" s="4622"/>
      <c r="BH492" s="4510"/>
      <c r="BI492" s="4622"/>
      <c r="BJ492" s="1048"/>
      <c r="BK492" s="4160" t="s">
        <v>89</v>
      </c>
      <c r="BL492" s="4415">
        <f t="shared" si="281"/>
        <v>33.2</v>
      </c>
      <c r="BM492" s="4415">
        <f t="shared" si="282"/>
        <v>298.8</v>
      </c>
      <c r="BN492" s="4415">
        <f t="shared" si="283"/>
        <v>332</v>
      </c>
      <c r="BO492" s="4415">
        <f t="shared" si="284"/>
        <v>332</v>
      </c>
      <c r="BP492" s="4415">
        <f t="shared" si="285"/>
        <v>332</v>
      </c>
      <c r="BQ492" s="4414">
        <f t="shared" si="286"/>
        <v>332</v>
      </c>
      <c r="BR492" s="1048">
        <f t="shared" si="287"/>
        <v>332</v>
      </c>
      <c r="BS492" s="4432"/>
      <c r="BT492" s="4432"/>
      <c r="BU492" s="4432"/>
      <c r="BV492" s="4432"/>
      <c r="BW492" s="4432"/>
      <c r="BX492" s="4431"/>
      <c r="BY492" s="4431"/>
      <c r="BZ492" s="3708">
        <f t="shared" si="274"/>
        <v>1992</v>
      </c>
      <c r="CA492" s="4154">
        <f t="shared" si="275"/>
        <v>0</v>
      </c>
      <c r="CB492" s="4591"/>
      <c r="CC492" s="4591"/>
      <c r="CD492" s="4323"/>
      <c r="CE492" s="4323"/>
      <c r="CF492" s="4323"/>
    </row>
    <row r="493" s="4316" customFormat="1" ht="50" customHeight="1" spans="1:84">
      <c r="A493" s="4500">
        <v>45988</v>
      </c>
      <c r="B493" s="3708" t="s">
        <v>90</v>
      </c>
      <c r="C493" s="3708" t="s">
        <v>91</v>
      </c>
      <c r="D493" s="4154">
        <v>4500187236</v>
      </c>
      <c r="E493" s="3708">
        <v>770793</v>
      </c>
      <c r="F493" s="4154" t="s">
        <v>2324</v>
      </c>
      <c r="G493" s="3708"/>
      <c r="H493" s="3708" t="s">
        <v>333</v>
      </c>
      <c r="I493" s="3708" t="s">
        <v>328</v>
      </c>
      <c r="J493" s="4593">
        <v>2208</v>
      </c>
      <c r="K493" s="4154">
        <v>0</v>
      </c>
      <c r="L493" s="4154">
        <v>24</v>
      </c>
      <c r="M493" s="4154">
        <f t="shared" si="239"/>
        <v>92</v>
      </c>
      <c r="N493" s="4503">
        <v>46029</v>
      </c>
      <c r="O493" s="4553">
        <v>46025</v>
      </c>
      <c r="P493" s="3712"/>
      <c r="Q493" s="4154" t="s">
        <v>82</v>
      </c>
      <c r="R493" s="4157">
        <v>2208</v>
      </c>
      <c r="S493" s="4157">
        <f t="shared" si="276"/>
        <v>0</v>
      </c>
      <c r="T493" s="4157" t="s">
        <v>2297</v>
      </c>
      <c r="U493" s="3726" t="s">
        <v>116</v>
      </c>
      <c r="V493" s="3711" t="s">
        <v>384</v>
      </c>
      <c r="W493" s="3711"/>
      <c r="X493" s="3711" t="s">
        <v>98</v>
      </c>
      <c r="Y493" s="3711"/>
      <c r="Z493" s="3711" t="s">
        <v>2261</v>
      </c>
      <c r="AA493" s="4154"/>
      <c r="AB493" s="3713" t="s">
        <v>2325</v>
      </c>
      <c r="AC493" s="3711" t="s">
        <v>101</v>
      </c>
      <c r="AD493" s="4504">
        <v>1.2199</v>
      </c>
      <c r="AE493" s="3708">
        <f t="shared" si="252"/>
        <v>2693.5392</v>
      </c>
      <c r="AF493" s="3726"/>
      <c r="AG493" s="3726"/>
      <c r="AH493" s="4430"/>
      <c r="AI493" s="1048">
        <f t="shared" si="280"/>
        <v>2208</v>
      </c>
      <c r="AJ493" s="4430"/>
      <c r="AK493" s="4575"/>
      <c r="AL493" s="3708"/>
      <c r="AM493" s="4154"/>
      <c r="AN493" s="4413"/>
      <c r="AO493" s="4415">
        <f t="shared" si="265"/>
        <v>2208</v>
      </c>
      <c r="AP493" s="4510"/>
      <c r="AQ493" s="4413"/>
      <c r="AR493" s="4413"/>
      <c r="AS493" s="3708">
        <f>J493</f>
        <v>2208</v>
      </c>
      <c r="AT493" s="1048"/>
      <c r="AU493" s="4413"/>
      <c r="AV493" s="4939"/>
      <c r="AW493" s="4939"/>
      <c r="AX493" s="1048"/>
      <c r="AY493" s="4939"/>
      <c r="AZ493" s="4939"/>
      <c r="BA493" s="1048"/>
      <c r="BB493" s="4622"/>
      <c r="BC493" s="4939"/>
      <c r="BD493" s="4622"/>
      <c r="BE493" s="4622"/>
      <c r="BF493" s="4622"/>
      <c r="BG493" s="4622"/>
      <c r="BH493" s="4510"/>
      <c r="BI493" s="4622"/>
      <c r="BJ493" s="1048"/>
      <c r="BK493" s="4160" t="s">
        <v>89</v>
      </c>
      <c r="BL493" s="4415">
        <f t="shared" si="281"/>
        <v>36.8</v>
      </c>
      <c r="BM493" s="4415">
        <f t="shared" si="282"/>
        <v>331.2</v>
      </c>
      <c r="BN493" s="4415">
        <f t="shared" si="283"/>
        <v>368</v>
      </c>
      <c r="BO493" s="4415">
        <f t="shared" si="284"/>
        <v>368</v>
      </c>
      <c r="BP493" s="4415">
        <f t="shared" si="285"/>
        <v>368</v>
      </c>
      <c r="BQ493" s="4414">
        <f t="shared" si="286"/>
        <v>368</v>
      </c>
      <c r="BR493" s="1048">
        <f t="shared" si="287"/>
        <v>368</v>
      </c>
      <c r="BS493" s="4432"/>
      <c r="BT493" s="4432"/>
      <c r="BU493" s="4432"/>
      <c r="BV493" s="4432"/>
      <c r="BW493" s="4432"/>
      <c r="BX493" s="4431"/>
      <c r="BY493" s="4431"/>
      <c r="BZ493" s="3708">
        <f t="shared" si="274"/>
        <v>2208</v>
      </c>
      <c r="CA493" s="4154">
        <f t="shared" si="275"/>
        <v>0</v>
      </c>
      <c r="CB493" s="4591"/>
      <c r="CC493" s="4591"/>
      <c r="CD493" s="4323"/>
      <c r="CE493" s="4323"/>
      <c r="CF493" s="4323"/>
    </row>
    <row r="494" s="4316" customFormat="1" ht="50" customHeight="1" spans="1:84">
      <c r="A494" s="4500">
        <v>45999</v>
      </c>
      <c r="B494" s="3708" t="s">
        <v>438</v>
      </c>
      <c r="C494" s="3708" t="s">
        <v>439</v>
      </c>
      <c r="D494" s="4154">
        <v>4500188394</v>
      </c>
      <c r="E494" s="3708" t="s">
        <v>2326</v>
      </c>
      <c r="F494" s="4154" t="s">
        <v>2327</v>
      </c>
      <c r="G494" s="3708"/>
      <c r="H494" s="3708" t="s">
        <v>443</v>
      </c>
      <c r="I494" s="3708" t="s">
        <v>328</v>
      </c>
      <c r="J494" s="4154">
        <v>4200</v>
      </c>
      <c r="K494" s="4154">
        <v>0</v>
      </c>
      <c r="L494" s="4154">
        <v>12</v>
      </c>
      <c r="M494" s="4154">
        <f t="shared" si="239"/>
        <v>350</v>
      </c>
      <c r="N494" s="4503">
        <v>46036</v>
      </c>
      <c r="O494" s="4553">
        <v>46032</v>
      </c>
      <c r="P494" s="3712"/>
      <c r="Q494" s="4154" t="s">
        <v>82</v>
      </c>
      <c r="R494" s="4157">
        <v>4200</v>
      </c>
      <c r="S494" s="4157">
        <f t="shared" si="276"/>
        <v>0</v>
      </c>
      <c r="T494" s="4157" t="s">
        <v>2297</v>
      </c>
      <c r="U494" s="3726" t="s">
        <v>116</v>
      </c>
      <c r="V494" s="3711" t="s">
        <v>2328</v>
      </c>
      <c r="W494" s="3711"/>
      <c r="X494" s="3711" t="s">
        <v>2329</v>
      </c>
      <c r="Y494" s="3711"/>
      <c r="Z494" s="3711"/>
      <c r="AA494" s="4154"/>
      <c r="AB494" s="3713" t="s">
        <v>2330</v>
      </c>
      <c r="AC494" s="3711" t="s">
        <v>2141</v>
      </c>
      <c r="AD494" s="4504">
        <v>2.0901</v>
      </c>
      <c r="AE494" s="4154">
        <f t="shared" si="252"/>
        <v>8778.42</v>
      </c>
      <c r="AF494" s="3680" t="s">
        <v>2331</v>
      </c>
      <c r="AG494" s="3726"/>
      <c r="AH494" s="4430"/>
      <c r="AI494" s="4575">
        <f t="shared" si="280"/>
        <v>4200</v>
      </c>
      <c r="AJ494" s="4430"/>
      <c r="AK494" s="4575"/>
      <c r="AL494" s="3708"/>
      <c r="AM494" s="4154"/>
      <c r="AN494" s="4413"/>
      <c r="AO494" s="4415"/>
      <c r="AP494" s="4510">
        <f>J494</f>
        <v>4200</v>
      </c>
      <c r="AQ494" s="4413"/>
      <c r="AR494" s="4413"/>
      <c r="AS494" s="4510"/>
      <c r="AT494" s="1048">
        <f>J494</f>
        <v>4200</v>
      </c>
      <c r="AU494" s="4413"/>
      <c r="AV494" s="4939"/>
      <c r="AW494" s="4939"/>
      <c r="AX494" s="1048">
        <f>J494/6</f>
        <v>700</v>
      </c>
      <c r="AY494" s="4939"/>
      <c r="AZ494" s="4939"/>
      <c r="BA494" s="1048"/>
      <c r="BB494" s="4622"/>
      <c r="BC494" s="4939"/>
      <c r="BD494" s="4622"/>
      <c r="BE494" s="4622"/>
      <c r="BF494" s="4622"/>
      <c r="BG494" s="4622"/>
      <c r="BH494" s="4510"/>
      <c r="BI494" s="4622"/>
      <c r="BJ494" s="1048"/>
      <c r="BK494" s="4160" t="s">
        <v>89</v>
      </c>
      <c r="BL494" s="4415">
        <f t="shared" si="281"/>
        <v>70</v>
      </c>
      <c r="BM494" s="4415">
        <f t="shared" si="282"/>
        <v>630</v>
      </c>
      <c r="BN494" s="4415">
        <f t="shared" si="283"/>
        <v>700</v>
      </c>
      <c r="BO494" s="4415">
        <f t="shared" si="284"/>
        <v>700</v>
      </c>
      <c r="BP494" s="4415">
        <f t="shared" si="285"/>
        <v>700</v>
      </c>
      <c r="BQ494" s="4414">
        <f t="shared" si="286"/>
        <v>700</v>
      </c>
      <c r="BR494" s="1048">
        <f t="shared" si="287"/>
        <v>700</v>
      </c>
      <c r="BS494" s="4432"/>
      <c r="BT494" s="4432"/>
      <c r="BU494" s="4432"/>
      <c r="BV494" s="4432"/>
      <c r="BW494" s="4432"/>
      <c r="BX494" s="4431"/>
      <c r="BY494" s="4431"/>
      <c r="BZ494" s="3708">
        <f t="shared" si="274"/>
        <v>4200</v>
      </c>
      <c r="CA494" s="4154">
        <f t="shared" si="275"/>
        <v>0</v>
      </c>
      <c r="CB494" s="4591"/>
      <c r="CC494" s="4591"/>
      <c r="CD494" s="4323"/>
      <c r="CE494" s="4323"/>
      <c r="CF494" s="4323"/>
    </row>
    <row r="495" s="4316" customFormat="1" ht="50" customHeight="1" spans="1:84">
      <c r="A495" s="4500">
        <v>45953</v>
      </c>
      <c r="B495" s="3708" t="s">
        <v>2285</v>
      </c>
      <c r="C495" s="3708" t="s">
        <v>351</v>
      </c>
      <c r="D495" s="4154">
        <v>4500182922</v>
      </c>
      <c r="E495" s="3708" t="s">
        <v>2286</v>
      </c>
      <c r="F495" s="4154" t="s">
        <v>2332</v>
      </c>
      <c r="G495" s="3708"/>
      <c r="H495" s="3708" t="s">
        <v>333</v>
      </c>
      <c r="I495" s="3708" t="s">
        <v>328</v>
      </c>
      <c r="J495" s="4593">
        <v>1848</v>
      </c>
      <c r="K495" s="4154">
        <v>0</v>
      </c>
      <c r="L495" s="4154">
        <v>24</v>
      </c>
      <c r="M495" s="4154">
        <f t="shared" si="239"/>
        <v>77</v>
      </c>
      <c r="N495" s="4503">
        <v>46049</v>
      </c>
      <c r="O495" s="4553">
        <f>N495-4</f>
        <v>46045</v>
      </c>
      <c r="P495" s="3712"/>
      <c r="Q495" s="4154" t="s">
        <v>82</v>
      </c>
      <c r="R495" s="4157">
        <v>1848</v>
      </c>
      <c r="S495" s="4157">
        <f t="shared" si="276"/>
        <v>0</v>
      </c>
      <c r="T495" s="4174" t="s">
        <v>2297</v>
      </c>
      <c r="U495" s="3726" t="s">
        <v>2333</v>
      </c>
      <c r="V495" s="3711" t="s">
        <v>2288</v>
      </c>
      <c r="W495" s="3711"/>
      <c r="X495" s="3711" t="s">
        <v>2334</v>
      </c>
      <c r="Y495" s="3711"/>
      <c r="Z495" s="3711"/>
      <c r="AA495" s="4323"/>
      <c r="AB495" s="3713" t="s">
        <v>2335</v>
      </c>
      <c r="AC495" s="4154" t="s">
        <v>1199</v>
      </c>
      <c r="AD495" s="4504">
        <v>2.0854</v>
      </c>
      <c r="AE495" s="3708">
        <f t="shared" si="252"/>
        <v>3853.8192</v>
      </c>
      <c r="AF495" s="3726"/>
      <c r="AG495" s="3726"/>
      <c r="AH495" s="4430"/>
      <c r="AI495" s="4575">
        <f t="shared" si="280"/>
        <v>1848</v>
      </c>
      <c r="AJ495" s="4430"/>
      <c r="AK495" s="3708"/>
      <c r="AL495" s="3708"/>
      <c r="AM495" s="4154"/>
      <c r="AN495" s="4413"/>
      <c r="AO495" s="4510">
        <f t="shared" ref="AO495:AO532" si="288">J495</f>
        <v>1848</v>
      </c>
      <c r="AP495" s="1048"/>
      <c r="AQ495" s="4413"/>
      <c r="AR495" s="4413"/>
      <c r="AS495" s="4510">
        <f t="shared" ref="AS495:AS508" si="289">J495</f>
        <v>1848</v>
      </c>
      <c r="AT495" s="1048"/>
      <c r="AU495" s="4413"/>
      <c r="AV495" s="4939"/>
      <c r="AW495" s="4939"/>
      <c r="AX495" s="1048"/>
      <c r="AY495" s="4939"/>
      <c r="AZ495" s="4939"/>
      <c r="BA495" s="1048"/>
      <c r="BB495" s="4622"/>
      <c r="BC495" s="4939"/>
      <c r="BD495" s="4622"/>
      <c r="BE495" s="4622"/>
      <c r="BF495" s="4622"/>
      <c r="BG495" s="4622"/>
      <c r="BH495" s="4622"/>
      <c r="BI495" s="4622"/>
      <c r="BJ495" s="1048"/>
      <c r="BK495" s="4160" t="s">
        <v>89</v>
      </c>
      <c r="BL495" s="4415">
        <f t="shared" si="281"/>
        <v>30.8</v>
      </c>
      <c r="BM495" s="4415">
        <f t="shared" si="282"/>
        <v>277.2</v>
      </c>
      <c r="BN495" s="4415">
        <f t="shared" si="283"/>
        <v>308</v>
      </c>
      <c r="BO495" s="4415">
        <f t="shared" si="284"/>
        <v>308</v>
      </c>
      <c r="BP495" s="4415">
        <f t="shared" si="285"/>
        <v>308</v>
      </c>
      <c r="BQ495" s="4414">
        <f t="shared" si="286"/>
        <v>308</v>
      </c>
      <c r="BR495" s="1048">
        <f t="shared" si="287"/>
        <v>308</v>
      </c>
      <c r="BS495" s="4432"/>
      <c r="BT495" s="4432"/>
      <c r="BU495" s="4432"/>
      <c r="BV495" s="4432"/>
      <c r="BW495" s="4432"/>
      <c r="BX495" s="4431"/>
      <c r="BY495" s="4431"/>
      <c r="BZ495" s="3708">
        <f t="shared" si="274"/>
        <v>1848</v>
      </c>
      <c r="CA495" s="4154">
        <f t="shared" si="275"/>
        <v>0</v>
      </c>
      <c r="CB495" s="4591"/>
      <c r="CC495" s="4591"/>
      <c r="CD495" s="4323"/>
      <c r="CE495" s="4323"/>
      <c r="CF495" s="4323"/>
    </row>
    <row r="496" s="4316" customFormat="1" ht="50" customHeight="1" spans="1:84">
      <c r="A496" s="4500">
        <v>45953</v>
      </c>
      <c r="B496" s="3708" t="s">
        <v>2285</v>
      </c>
      <c r="C496" s="3708" t="s">
        <v>351</v>
      </c>
      <c r="D496" s="4154">
        <v>4500182922</v>
      </c>
      <c r="E496" s="3708" t="s">
        <v>2292</v>
      </c>
      <c r="F496" s="4154" t="s">
        <v>2336</v>
      </c>
      <c r="G496" s="3708"/>
      <c r="H496" s="3708" t="s">
        <v>333</v>
      </c>
      <c r="I496" s="3708" t="s">
        <v>328</v>
      </c>
      <c r="J496" s="4593">
        <v>720</v>
      </c>
      <c r="K496" s="4154">
        <v>0</v>
      </c>
      <c r="L496" s="4154">
        <v>24</v>
      </c>
      <c r="M496" s="4154">
        <f t="shared" si="239"/>
        <v>30</v>
      </c>
      <c r="N496" s="4503">
        <v>46049</v>
      </c>
      <c r="O496" s="4553">
        <f>N496-4</f>
        <v>46045</v>
      </c>
      <c r="P496" s="3712"/>
      <c r="Q496" s="4154" t="s">
        <v>82</v>
      </c>
      <c r="R496" s="4157">
        <v>720</v>
      </c>
      <c r="S496" s="4157">
        <f t="shared" si="276"/>
        <v>0</v>
      </c>
      <c r="T496" s="4960"/>
      <c r="U496" s="3726" t="s">
        <v>2333</v>
      </c>
      <c r="V496" s="3711" t="s">
        <v>2288</v>
      </c>
      <c r="W496" s="3711"/>
      <c r="X496" s="3711" t="s">
        <v>2334</v>
      </c>
      <c r="Y496" s="3711"/>
      <c r="Z496" s="3711"/>
      <c r="AA496" s="4323"/>
      <c r="AB496" s="3713" t="s">
        <v>2335</v>
      </c>
      <c r="AC496" s="4154" t="s">
        <v>1199</v>
      </c>
      <c r="AD496" s="4504">
        <v>2.0854</v>
      </c>
      <c r="AE496" s="3708">
        <f t="shared" si="252"/>
        <v>1501.488</v>
      </c>
      <c r="AF496" s="3726"/>
      <c r="AG496" s="3726"/>
      <c r="AH496" s="4430"/>
      <c r="AI496" s="4575">
        <f t="shared" si="280"/>
        <v>720</v>
      </c>
      <c r="AJ496" s="4430"/>
      <c r="AK496" s="3708"/>
      <c r="AL496" s="3708"/>
      <c r="AM496" s="4154"/>
      <c r="AN496" s="4413"/>
      <c r="AO496" s="4510">
        <f t="shared" si="288"/>
        <v>720</v>
      </c>
      <c r="AP496" s="1048"/>
      <c r="AQ496" s="4413"/>
      <c r="AR496" s="4413"/>
      <c r="AS496" s="4510">
        <f t="shared" si="289"/>
        <v>720</v>
      </c>
      <c r="AT496" s="1048"/>
      <c r="AU496" s="4413"/>
      <c r="AV496" s="4939"/>
      <c r="AW496" s="4939"/>
      <c r="AX496" s="1048"/>
      <c r="AY496" s="4939"/>
      <c r="AZ496" s="4939"/>
      <c r="BA496" s="1048"/>
      <c r="BB496" s="4622"/>
      <c r="BC496" s="4939"/>
      <c r="BD496" s="4622"/>
      <c r="BE496" s="4622"/>
      <c r="BF496" s="4622"/>
      <c r="BG496" s="4622"/>
      <c r="BH496" s="4622"/>
      <c r="BI496" s="4622"/>
      <c r="BJ496" s="1048"/>
      <c r="BK496" s="4160" t="s">
        <v>89</v>
      </c>
      <c r="BL496" s="4415">
        <f t="shared" si="281"/>
        <v>12</v>
      </c>
      <c r="BM496" s="4415">
        <f t="shared" si="282"/>
        <v>108</v>
      </c>
      <c r="BN496" s="4415">
        <f t="shared" si="283"/>
        <v>120</v>
      </c>
      <c r="BO496" s="4415">
        <f t="shared" si="284"/>
        <v>120</v>
      </c>
      <c r="BP496" s="4415">
        <f t="shared" si="285"/>
        <v>120</v>
      </c>
      <c r="BQ496" s="4414">
        <f t="shared" si="286"/>
        <v>120</v>
      </c>
      <c r="BR496" s="1048">
        <f t="shared" si="287"/>
        <v>120</v>
      </c>
      <c r="BS496" s="4432"/>
      <c r="BT496" s="4432"/>
      <c r="BU496" s="4432"/>
      <c r="BV496" s="4432"/>
      <c r="BW496" s="4432"/>
      <c r="BX496" s="4431"/>
      <c r="BY496" s="4431"/>
      <c r="BZ496" s="3708">
        <f t="shared" si="274"/>
        <v>720</v>
      </c>
      <c r="CA496" s="4154">
        <f t="shared" si="275"/>
        <v>0</v>
      </c>
      <c r="CB496" s="4591"/>
      <c r="CC496" s="4591"/>
      <c r="CD496" s="4323"/>
      <c r="CE496" s="4323"/>
      <c r="CF496" s="4323"/>
    </row>
    <row r="497" s="4316" customFormat="1" ht="50" customHeight="1" spans="1:84">
      <c r="A497" s="4500">
        <v>46002</v>
      </c>
      <c r="B497" s="3708" t="s">
        <v>505</v>
      </c>
      <c r="C497" s="3708" t="s">
        <v>506</v>
      </c>
      <c r="D497" s="4154">
        <v>4500188650</v>
      </c>
      <c r="E497" s="3708">
        <v>21347325</v>
      </c>
      <c r="F497" s="4154" t="s">
        <v>2337</v>
      </c>
      <c r="G497" s="3708"/>
      <c r="H497" s="3708" t="s">
        <v>508</v>
      </c>
      <c r="I497" s="3708" t="s">
        <v>328</v>
      </c>
      <c r="J497" s="4593">
        <v>1914</v>
      </c>
      <c r="K497" s="4154">
        <v>0</v>
      </c>
      <c r="L497" s="4154">
        <v>6</v>
      </c>
      <c r="M497" s="4154">
        <f t="shared" si="239"/>
        <v>319</v>
      </c>
      <c r="N497" s="4503">
        <v>46041</v>
      </c>
      <c r="O497" s="4553">
        <v>46036</v>
      </c>
      <c r="P497" s="3712"/>
      <c r="Q497" s="4154" t="s">
        <v>82</v>
      </c>
      <c r="R497" s="4156">
        <v>1914</v>
      </c>
      <c r="S497" s="4157">
        <f t="shared" si="276"/>
        <v>0</v>
      </c>
      <c r="T497" s="4157" t="s">
        <v>2297</v>
      </c>
      <c r="U497" s="3726" t="s">
        <v>2338</v>
      </c>
      <c r="V497" s="3711" t="s">
        <v>2339</v>
      </c>
      <c r="W497" s="3711"/>
      <c r="X497" s="3711" t="s">
        <v>2340</v>
      </c>
      <c r="Y497" s="3711"/>
      <c r="Z497" s="3711"/>
      <c r="AA497" s="4154"/>
      <c r="AB497" s="3713" t="s">
        <v>2341</v>
      </c>
      <c r="AC497" s="3711" t="s">
        <v>513</v>
      </c>
      <c r="AD497" s="4504">
        <v>2.3106</v>
      </c>
      <c r="AE497" s="4154">
        <f t="shared" si="252"/>
        <v>4422.4884</v>
      </c>
      <c r="AF497" s="3726"/>
      <c r="AG497" s="3726"/>
      <c r="AH497" s="4430"/>
      <c r="AI497" s="4575">
        <f t="shared" si="280"/>
        <v>1914</v>
      </c>
      <c r="AJ497" s="4430"/>
      <c r="AK497" s="4575"/>
      <c r="AL497" s="3708"/>
      <c r="AM497" s="4154"/>
      <c r="AN497" s="4413"/>
      <c r="AO497" s="4510">
        <f t="shared" si="288"/>
        <v>1914</v>
      </c>
      <c r="AP497" s="4510"/>
      <c r="AQ497" s="4413"/>
      <c r="AR497" s="4413"/>
      <c r="AS497" s="4510">
        <f t="shared" si="289"/>
        <v>1914</v>
      </c>
      <c r="AT497" s="1048"/>
      <c r="AU497" s="4413"/>
      <c r="AV497" s="4939"/>
      <c r="AW497" s="4939"/>
      <c r="AX497" s="1048">
        <f>J497/6</f>
        <v>319</v>
      </c>
      <c r="AY497" s="4939"/>
      <c r="AZ497" s="4939"/>
      <c r="BA497" s="1048"/>
      <c r="BB497" s="4622"/>
      <c r="BC497" s="4939"/>
      <c r="BD497" s="4622"/>
      <c r="BE497" s="4622"/>
      <c r="BF497" s="4622"/>
      <c r="BG497" s="4622"/>
      <c r="BH497" s="4510"/>
      <c r="BI497" s="4622"/>
      <c r="BJ497" s="1048"/>
      <c r="BK497" s="4160" t="s">
        <v>89</v>
      </c>
      <c r="BL497" s="4415">
        <f t="shared" si="281"/>
        <v>31.9</v>
      </c>
      <c r="BM497" s="4415">
        <f t="shared" si="282"/>
        <v>287.1</v>
      </c>
      <c r="BN497" s="4415">
        <f t="shared" si="283"/>
        <v>319</v>
      </c>
      <c r="BO497" s="4415">
        <f t="shared" si="284"/>
        <v>319</v>
      </c>
      <c r="BP497" s="4415">
        <f t="shared" si="285"/>
        <v>319</v>
      </c>
      <c r="BQ497" s="4414">
        <f t="shared" si="286"/>
        <v>319</v>
      </c>
      <c r="BR497" s="1048">
        <f t="shared" si="287"/>
        <v>319</v>
      </c>
      <c r="BS497" s="4432"/>
      <c r="BT497" s="4432"/>
      <c r="BU497" s="4432"/>
      <c r="BV497" s="4432"/>
      <c r="BW497" s="4432"/>
      <c r="BX497" s="4431"/>
      <c r="BY497" s="4431"/>
      <c r="BZ497" s="3708">
        <f t="shared" si="274"/>
        <v>1914</v>
      </c>
      <c r="CA497" s="4154">
        <f t="shared" si="275"/>
        <v>0</v>
      </c>
      <c r="CB497" s="4591"/>
      <c r="CC497" s="4591"/>
      <c r="CD497" s="4323"/>
      <c r="CE497" s="4323"/>
      <c r="CF497" s="4323"/>
    </row>
    <row r="498" s="4316" customFormat="1" ht="50" customHeight="1" spans="1:84">
      <c r="A498" s="4500">
        <v>46008</v>
      </c>
      <c r="B498" s="3708" t="s">
        <v>2342</v>
      </c>
      <c r="C498" s="3708" t="s">
        <v>2343</v>
      </c>
      <c r="D498" s="4154">
        <v>4500189283</v>
      </c>
      <c r="E498" s="3708"/>
      <c r="F498" s="4154" t="s">
        <v>2344</v>
      </c>
      <c r="G498" s="3708"/>
      <c r="H498" s="3708" t="s">
        <v>333</v>
      </c>
      <c r="I498" s="3708" t="s">
        <v>328</v>
      </c>
      <c r="J498" s="4593">
        <v>504</v>
      </c>
      <c r="K498" s="4154">
        <v>0</v>
      </c>
      <c r="L498" s="4154">
        <v>24</v>
      </c>
      <c r="M498" s="4154">
        <f t="shared" si="239"/>
        <v>21</v>
      </c>
      <c r="N498" s="4503">
        <v>46043</v>
      </c>
      <c r="O498" s="4553">
        <v>46039</v>
      </c>
      <c r="P498" s="3712"/>
      <c r="Q498" s="4154" t="s">
        <v>82</v>
      </c>
      <c r="R498" s="4157">
        <v>504</v>
      </c>
      <c r="S498" s="4157">
        <f t="shared" si="276"/>
        <v>0</v>
      </c>
      <c r="T498" s="4157" t="s">
        <v>2297</v>
      </c>
      <c r="U498" s="3726" t="s">
        <v>2345</v>
      </c>
      <c r="V498" s="3711" t="s">
        <v>2346</v>
      </c>
      <c r="W498" s="3711"/>
      <c r="X498" s="3711" t="s">
        <v>2347</v>
      </c>
      <c r="Y498" s="3711"/>
      <c r="Z498" s="3711"/>
      <c r="AA498" s="4154"/>
      <c r="AB498" s="3713" t="s">
        <v>2348</v>
      </c>
      <c r="AC498" s="3711" t="s">
        <v>892</v>
      </c>
      <c r="AD498" s="4504">
        <v>2.1095</v>
      </c>
      <c r="AE498" s="3708">
        <f t="shared" si="252"/>
        <v>1063.188</v>
      </c>
      <c r="AF498" s="3726"/>
      <c r="AG498" s="3726"/>
      <c r="AH498" s="4430"/>
      <c r="AI498" s="4575">
        <f t="shared" si="280"/>
        <v>504</v>
      </c>
      <c r="AJ498" s="4430"/>
      <c r="AK498" s="4575"/>
      <c r="AL498" s="3708"/>
      <c r="AM498" s="4154"/>
      <c r="AN498" s="4413"/>
      <c r="AO498" s="4510">
        <f t="shared" si="288"/>
        <v>504</v>
      </c>
      <c r="AP498" s="4510"/>
      <c r="AQ498" s="4413"/>
      <c r="AR498" s="4413"/>
      <c r="AS498" s="4510">
        <f t="shared" si="289"/>
        <v>504</v>
      </c>
      <c r="AT498" s="1048"/>
      <c r="AU498" s="4413"/>
      <c r="AV498" s="4939"/>
      <c r="AW498" s="4939"/>
      <c r="AX498" s="1048"/>
      <c r="AY498" s="4939"/>
      <c r="AZ498" s="4939"/>
      <c r="BA498" s="1048"/>
      <c r="BB498" s="4622"/>
      <c r="BC498" s="4939"/>
      <c r="BD498" s="4622"/>
      <c r="BE498" s="4622"/>
      <c r="BF498" s="4622"/>
      <c r="BG498" s="4622"/>
      <c r="BH498" s="4510"/>
      <c r="BI498" s="4622"/>
      <c r="BJ498" s="1048"/>
      <c r="BK498" s="4160" t="s">
        <v>89</v>
      </c>
      <c r="BL498" s="4415">
        <f t="shared" si="281"/>
        <v>8.4</v>
      </c>
      <c r="BM498" s="4415">
        <f t="shared" si="282"/>
        <v>75.6</v>
      </c>
      <c r="BN498" s="4415">
        <f t="shared" si="283"/>
        <v>84</v>
      </c>
      <c r="BO498" s="4415">
        <f t="shared" si="284"/>
        <v>84</v>
      </c>
      <c r="BP498" s="4415">
        <f t="shared" si="285"/>
        <v>84</v>
      </c>
      <c r="BQ498" s="4414">
        <f t="shared" si="286"/>
        <v>84</v>
      </c>
      <c r="BR498" s="1048">
        <f t="shared" si="287"/>
        <v>84</v>
      </c>
      <c r="BS498" s="4432"/>
      <c r="BT498" s="4432"/>
      <c r="BU498" s="4432"/>
      <c r="BV498" s="4432"/>
      <c r="BW498" s="4432"/>
      <c r="BX498" s="4431"/>
      <c r="BY498" s="4431"/>
      <c r="BZ498" s="3708">
        <f t="shared" si="274"/>
        <v>504</v>
      </c>
      <c r="CA498" s="4154">
        <f t="shared" si="275"/>
        <v>0</v>
      </c>
      <c r="CB498" s="4591"/>
      <c r="CC498" s="4591"/>
      <c r="CD498" s="4323"/>
      <c r="CE498" s="4323"/>
      <c r="CF498" s="4323"/>
    </row>
    <row r="499" s="4316" customFormat="1" ht="50" customHeight="1" spans="1:84">
      <c r="A499" s="4500">
        <v>45996</v>
      </c>
      <c r="B499" s="3708" t="s">
        <v>1596</v>
      </c>
      <c r="C499" s="3708" t="s">
        <v>1430</v>
      </c>
      <c r="D499" s="4154">
        <v>4500188302</v>
      </c>
      <c r="E499" s="3708"/>
      <c r="F499" s="4154" t="s">
        <v>2349</v>
      </c>
      <c r="G499" s="3708"/>
      <c r="H499" s="3708" t="s">
        <v>327</v>
      </c>
      <c r="I499" s="4154" t="s">
        <v>328</v>
      </c>
      <c r="J499" s="4154">
        <v>504</v>
      </c>
      <c r="K499" s="4154">
        <v>0</v>
      </c>
      <c r="L499" s="4154">
        <v>12</v>
      </c>
      <c r="M499" s="4154">
        <f t="shared" si="239"/>
        <v>42</v>
      </c>
      <c r="N499" s="4503">
        <v>46052</v>
      </c>
      <c r="O499" s="4553">
        <v>46048</v>
      </c>
      <c r="P499" s="3712"/>
      <c r="Q499" s="4154" t="s">
        <v>82</v>
      </c>
      <c r="R499" s="4157">
        <v>504</v>
      </c>
      <c r="S499" s="4157">
        <f t="shared" si="276"/>
        <v>0</v>
      </c>
      <c r="T499" s="4157" t="s">
        <v>2297</v>
      </c>
      <c r="U499" s="3726" t="s">
        <v>401</v>
      </c>
      <c r="V499" s="3711" t="s">
        <v>2350</v>
      </c>
      <c r="W499" s="3711"/>
      <c r="X499" s="3711" t="s">
        <v>98</v>
      </c>
      <c r="Y499" s="3711"/>
      <c r="Z499" s="3711"/>
      <c r="AA499" s="4154"/>
      <c r="AB499" s="3713" t="s">
        <v>2351</v>
      </c>
      <c r="AC499" s="3711" t="s">
        <v>1434</v>
      </c>
      <c r="AD499" s="4154">
        <v>2.1633</v>
      </c>
      <c r="AE499" s="4154">
        <f t="shared" si="252"/>
        <v>1090.3032</v>
      </c>
      <c r="AF499" s="3726"/>
      <c r="AG499" s="3726"/>
      <c r="AH499" s="4430"/>
      <c r="AI499" s="4575"/>
      <c r="AJ499" s="4430"/>
      <c r="AK499" s="4575">
        <f>J499</f>
        <v>504</v>
      </c>
      <c r="AL499" s="3708"/>
      <c r="AM499" s="4154"/>
      <c r="AN499" s="4413"/>
      <c r="AO499" s="4510">
        <f t="shared" si="288"/>
        <v>504</v>
      </c>
      <c r="AP499" s="4510"/>
      <c r="AQ499" s="4413"/>
      <c r="AR499" s="4413"/>
      <c r="AS499" s="4510">
        <f t="shared" si="289"/>
        <v>504</v>
      </c>
      <c r="AT499" s="1048"/>
      <c r="AU499" s="4413"/>
      <c r="AV499" s="4939"/>
      <c r="AW499" s="4939"/>
      <c r="AX499" s="4510">
        <f>J499/6</f>
        <v>84</v>
      </c>
      <c r="AY499" s="4939"/>
      <c r="AZ499" s="4939"/>
      <c r="BA499" s="1048"/>
      <c r="BB499" s="4622"/>
      <c r="BC499" s="4939"/>
      <c r="BD499" s="4622"/>
      <c r="BE499" s="4622"/>
      <c r="BF499" s="4622"/>
      <c r="BG499" s="4622"/>
      <c r="BH499" s="4510"/>
      <c r="BI499" s="4622"/>
      <c r="BJ499" s="1048"/>
      <c r="BK499" s="4160" t="s">
        <v>89</v>
      </c>
      <c r="BL499" s="4415">
        <f t="shared" si="281"/>
        <v>8.4</v>
      </c>
      <c r="BM499" s="4415">
        <f t="shared" si="282"/>
        <v>75.6</v>
      </c>
      <c r="BN499" s="4415">
        <f t="shared" si="283"/>
        <v>84</v>
      </c>
      <c r="BO499" s="4415">
        <f t="shared" si="284"/>
        <v>84</v>
      </c>
      <c r="BP499" s="4415">
        <f t="shared" si="285"/>
        <v>84</v>
      </c>
      <c r="BQ499" s="4414">
        <f t="shared" si="286"/>
        <v>84</v>
      </c>
      <c r="BR499" s="1048">
        <f t="shared" si="287"/>
        <v>84</v>
      </c>
      <c r="BS499" s="4432"/>
      <c r="BT499" s="4432"/>
      <c r="BU499" s="4432"/>
      <c r="BV499" s="4432"/>
      <c r="BW499" s="4432"/>
      <c r="BX499" s="4431"/>
      <c r="BY499" s="4431"/>
      <c r="BZ499" s="3708">
        <f t="shared" si="274"/>
        <v>504</v>
      </c>
      <c r="CA499" s="4154">
        <f t="shared" si="275"/>
        <v>0</v>
      </c>
      <c r="CB499" s="4591"/>
      <c r="CC499" s="4591"/>
      <c r="CD499" s="4323"/>
      <c r="CE499" s="4323"/>
      <c r="CF499" s="4323"/>
    </row>
    <row r="500" s="4316" customFormat="1" ht="50" customHeight="1" spans="1:84">
      <c r="A500" s="4500">
        <v>46003</v>
      </c>
      <c r="B500" s="3708" t="s">
        <v>505</v>
      </c>
      <c r="C500" s="3708" t="s">
        <v>506</v>
      </c>
      <c r="D500" s="4154">
        <v>4500188871</v>
      </c>
      <c r="E500" s="3708">
        <v>21347326</v>
      </c>
      <c r="F500" s="4154" t="s">
        <v>2352</v>
      </c>
      <c r="G500" s="3708"/>
      <c r="H500" s="3708" t="s">
        <v>508</v>
      </c>
      <c r="I500" s="3708" t="s">
        <v>328</v>
      </c>
      <c r="J500" s="4593">
        <v>1500</v>
      </c>
      <c r="K500" s="4154">
        <v>0</v>
      </c>
      <c r="L500" s="4154">
        <v>6</v>
      </c>
      <c r="M500" s="4154">
        <f t="shared" si="239"/>
        <v>250</v>
      </c>
      <c r="N500" s="4503">
        <v>46048</v>
      </c>
      <c r="O500" s="4553">
        <v>46044</v>
      </c>
      <c r="P500" s="3712"/>
      <c r="Q500" s="4154" t="s">
        <v>82</v>
      </c>
      <c r="R500" s="4157">
        <v>1500</v>
      </c>
      <c r="S500" s="4157">
        <f t="shared" si="276"/>
        <v>0</v>
      </c>
      <c r="T500" s="4172" t="s">
        <v>2297</v>
      </c>
      <c r="U500" s="3726" t="s">
        <v>2353</v>
      </c>
      <c r="V500" s="3711" t="s">
        <v>2354</v>
      </c>
      <c r="W500" s="3711"/>
      <c r="X500" s="3711" t="s">
        <v>2355</v>
      </c>
      <c r="Y500" s="3711"/>
      <c r="Z500" s="3711"/>
      <c r="AA500" s="4154"/>
      <c r="AB500" s="3713" t="s">
        <v>2356</v>
      </c>
      <c r="AC500" s="3711" t="s">
        <v>2357</v>
      </c>
      <c r="AD500" s="4504">
        <v>2.3106</v>
      </c>
      <c r="AE500" s="4154">
        <f t="shared" si="252"/>
        <v>3465.9</v>
      </c>
      <c r="AF500" s="3726"/>
      <c r="AG500" s="3726"/>
      <c r="AH500" s="4430"/>
      <c r="AI500" s="4575">
        <f t="shared" ref="AI500:AI508" si="290">J500</f>
        <v>1500</v>
      </c>
      <c r="AJ500" s="4430"/>
      <c r="AK500" s="4575"/>
      <c r="AL500" s="3708"/>
      <c r="AM500" s="4154"/>
      <c r="AN500" s="4413"/>
      <c r="AO500" s="4510">
        <f t="shared" si="288"/>
        <v>1500</v>
      </c>
      <c r="AP500" s="4510"/>
      <c r="AQ500" s="4413"/>
      <c r="AR500" s="4413"/>
      <c r="AS500" s="4510">
        <f t="shared" si="289"/>
        <v>1500</v>
      </c>
      <c r="AT500" s="1048"/>
      <c r="AU500" s="4413"/>
      <c r="AV500" s="4939"/>
      <c r="AW500" s="4939"/>
      <c r="AX500" s="4510">
        <f>J500/6</f>
        <v>250</v>
      </c>
      <c r="AY500" s="4939"/>
      <c r="AZ500" s="4939"/>
      <c r="BA500" s="1048"/>
      <c r="BB500" s="4622"/>
      <c r="BC500" s="4939"/>
      <c r="BD500" s="4622"/>
      <c r="BE500" s="4622"/>
      <c r="BF500" s="4622"/>
      <c r="BG500" s="4622"/>
      <c r="BH500" s="4510"/>
      <c r="BI500" s="4622"/>
      <c r="BJ500" s="1048"/>
      <c r="BK500" s="4160" t="s">
        <v>89</v>
      </c>
      <c r="BL500" s="4415">
        <f t="shared" si="281"/>
        <v>25</v>
      </c>
      <c r="BM500" s="4415">
        <f t="shared" si="282"/>
        <v>225</v>
      </c>
      <c r="BN500" s="4415">
        <f t="shared" si="283"/>
        <v>250</v>
      </c>
      <c r="BO500" s="4415">
        <f t="shared" si="284"/>
        <v>250</v>
      </c>
      <c r="BP500" s="4415">
        <f t="shared" si="285"/>
        <v>250</v>
      </c>
      <c r="BQ500" s="4414">
        <f t="shared" si="286"/>
        <v>250</v>
      </c>
      <c r="BR500" s="1048">
        <f t="shared" si="287"/>
        <v>250</v>
      </c>
      <c r="BS500" s="4432"/>
      <c r="BT500" s="4432"/>
      <c r="BU500" s="4432"/>
      <c r="BV500" s="4432"/>
      <c r="BW500" s="4432"/>
      <c r="BX500" s="4431"/>
      <c r="BY500" s="4431"/>
      <c r="BZ500" s="3708">
        <f t="shared" si="274"/>
        <v>1500</v>
      </c>
      <c r="CA500" s="4154">
        <f t="shared" si="275"/>
        <v>0</v>
      </c>
      <c r="CB500" s="4591"/>
      <c r="CC500" s="4591"/>
      <c r="CD500" s="4323"/>
      <c r="CE500" s="4323"/>
      <c r="CF500" s="4323"/>
    </row>
    <row r="501" s="4316" customFormat="1" ht="50" customHeight="1" spans="1:84">
      <c r="A501" s="4500">
        <v>46003</v>
      </c>
      <c r="B501" s="3708" t="s">
        <v>505</v>
      </c>
      <c r="C501" s="3708" t="s">
        <v>506</v>
      </c>
      <c r="D501" s="4154">
        <v>4500188871</v>
      </c>
      <c r="E501" s="3708">
        <v>21359937</v>
      </c>
      <c r="F501" s="4154" t="s">
        <v>2358</v>
      </c>
      <c r="G501" s="3708"/>
      <c r="H501" s="3708" t="s">
        <v>508</v>
      </c>
      <c r="I501" s="3708" t="s">
        <v>328</v>
      </c>
      <c r="J501" s="4593">
        <v>1500</v>
      </c>
      <c r="K501" s="4154">
        <v>0</v>
      </c>
      <c r="L501" s="4154">
        <v>6</v>
      </c>
      <c r="M501" s="4154">
        <f t="shared" si="239"/>
        <v>250</v>
      </c>
      <c r="N501" s="4503">
        <v>46048</v>
      </c>
      <c r="O501" s="4553">
        <v>46044</v>
      </c>
      <c r="P501" s="3712"/>
      <c r="Q501" s="4154" t="s">
        <v>82</v>
      </c>
      <c r="R501" s="4157">
        <v>1500</v>
      </c>
      <c r="S501" s="4157">
        <f t="shared" si="276"/>
        <v>0</v>
      </c>
      <c r="T501" s="4599"/>
      <c r="U501" s="3726" t="s">
        <v>2353</v>
      </c>
      <c r="V501" s="3711" t="s">
        <v>2354</v>
      </c>
      <c r="W501" s="3711"/>
      <c r="X501" s="3711" t="s">
        <v>2355</v>
      </c>
      <c r="Y501" s="3711"/>
      <c r="Z501" s="3711"/>
      <c r="AA501" s="4154"/>
      <c r="AB501" s="3713" t="s">
        <v>2356</v>
      </c>
      <c r="AC501" s="3711" t="s">
        <v>2357</v>
      </c>
      <c r="AD501" s="4504">
        <v>2.3071</v>
      </c>
      <c r="AE501" s="4154">
        <f t="shared" si="252"/>
        <v>3460.65</v>
      </c>
      <c r="AF501" s="3726"/>
      <c r="AG501" s="3726"/>
      <c r="AH501" s="4430"/>
      <c r="AI501" s="4575">
        <f t="shared" si="290"/>
        <v>1500</v>
      </c>
      <c r="AJ501" s="4430"/>
      <c r="AK501" s="4575"/>
      <c r="AL501" s="3708"/>
      <c r="AM501" s="4154"/>
      <c r="AN501" s="4413"/>
      <c r="AO501" s="4510">
        <f t="shared" si="288"/>
        <v>1500</v>
      </c>
      <c r="AP501" s="4510"/>
      <c r="AQ501" s="4413"/>
      <c r="AR501" s="4413"/>
      <c r="AS501" s="4510">
        <f t="shared" si="289"/>
        <v>1500</v>
      </c>
      <c r="AT501" s="1048"/>
      <c r="AU501" s="4413"/>
      <c r="AV501" s="4939"/>
      <c r="AW501" s="4939"/>
      <c r="AX501" s="4510">
        <f>J501/6</f>
        <v>250</v>
      </c>
      <c r="AY501" s="4939"/>
      <c r="AZ501" s="4939"/>
      <c r="BA501" s="1048"/>
      <c r="BB501" s="4622"/>
      <c r="BC501" s="4939"/>
      <c r="BD501" s="4622"/>
      <c r="BE501" s="4622"/>
      <c r="BF501" s="4622"/>
      <c r="BG501" s="4622"/>
      <c r="BH501" s="4510"/>
      <c r="BI501" s="4622"/>
      <c r="BJ501" s="1048"/>
      <c r="BK501" s="4160" t="s">
        <v>89</v>
      </c>
      <c r="BL501" s="4415">
        <f t="shared" si="281"/>
        <v>25</v>
      </c>
      <c r="BM501" s="4415">
        <f t="shared" si="282"/>
        <v>225</v>
      </c>
      <c r="BN501" s="4415">
        <f t="shared" si="283"/>
        <v>250</v>
      </c>
      <c r="BO501" s="4415">
        <f t="shared" si="284"/>
        <v>250</v>
      </c>
      <c r="BP501" s="4415">
        <f t="shared" si="285"/>
        <v>250</v>
      </c>
      <c r="BQ501" s="4414">
        <f t="shared" si="286"/>
        <v>250</v>
      </c>
      <c r="BR501" s="1048">
        <f t="shared" si="287"/>
        <v>250</v>
      </c>
      <c r="BS501" s="4432"/>
      <c r="BT501" s="4432"/>
      <c r="BU501" s="4432"/>
      <c r="BV501" s="4432"/>
      <c r="BW501" s="4432"/>
      <c r="BX501" s="4431"/>
      <c r="BY501" s="4431"/>
      <c r="BZ501" s="3708">
        <f t="shared" si="274"/>
        <v>1500</v>
      </c>
      <c r="CA501" s="4154">
        <f t="shared" si="275"/>
        <v>0</v>
      </c>
      <c r="CB501" s="4591"/>
      <c r="CC501" s="4591"/>
      <c r="CD501" s="4323"/>
      <c r="CE501" s="4323"/>
      <c r="CF501" s="4323"/>
    </row>
    <row r="502" s="4316" customFormat="1" ht="50" customHeight="1" spans="1:84">
      <c r="A502" s="4500">
        <v>46003</v>
      </c>
      <c r="B502" s="3708" t="s">
        <v>505</v>
      </c>
      <c r="C502" s="3708" t="s">
        <v>506</v>
      </c>
      <c r="D502" s="4154">
        <v>4500188871</v>
      </c>
      <c r="E502" s="3708">
        <v>21387805</v>
      </c>
      <c r="F502" s="4154" t="s">
        <v>2359</v>
      </c>
      <c r="G502" s="3708"/>
      <c r="H502" s="3708" t="s">
        <v>508</v>
      </c>
      <c r="I502" s="3708" t="s">
        <v>328</v>
      </c>
      <c r="J502" s="4593">
        <v>1500</v>
      </c>
      <c r="K502" s="4154">
        <v>0</v>
      </c>
      <c r="L502" s="4154">
        <v>6</v>
      </c>
      <c r="M502" s="4154">
        <f t="shared" si="239"/>
        <v>250</v>
      </c>
      <c r="N502" s="4503">
        <v>46048</v>
      </c>
      <c r="O502" s="4553">
        <v>46044</v>
      </c>
      <c r="P502" s="3712"/>
      <c r="Q502" s="4154" t="s">
        <v>82</v>
      </c>
      <c r="R502" s="4157">
        <v>1500</v>
      </c>
      <c r="S502" s="4157">
        <f t="shared" si="276"/>
        <v>0</v>
      </c>
      <c r="T502" s="4600"/>
      <c r="U502" s="3726" t="s">
        <v>2353</v>
      </c>
      <c r="V502" s="3711" t="s">
        <v>2354</v>
      </c>
      <c r="W502" s="3711"/>
      <c r="X502" s="3711" t="s">
        <v>2355</v>
      </c>
      <c r="Y502" s="3711"/>
      <c r="Z502" s="3711"/>
      <c r="AA502" s="4154"/>
      <c r="AB502" s="3713" t="s">
        <v>2356</v>
      </c>
      <c r="AC502" s="3711" t="s">
        <v>2357</v>
      </c>
      <c r="AD502" s="4504">
        <v>2.3071</v>
      </c>
      <c r="AE502" s="4154">
        <f t="shared" si="252"/>
        <v>3460.65</v>
      </c>
      <c r="AF502" s="3726"/>
      <c r="AG502" s="3726"/>
      <c r="AH502" s="4430"/>
      <c r="AI502" s="4575">
        <f t="shared" si="290"/>
        <v>1500</v>
      </c>
      <c r="AJ502" s="4430"/>
      <c r="AK502" s="4575"/>
      <c r="AL502" s="3708"/>
      <c r="AM502" s="4154"/>
      <c r="AN502" s="4413"/>
      <c r="AO502" s="4510">
        <f t="shared" si="288"/>
        <v>1500</v>
      </c>
      <c r="AP502" s="4510"/>
      <c r="AQ502" s="4413"/>
      <c r="AR502" s="4413"/>
      <c r="AS502" s="4510">
        <f t="shared" si="289"/>
        <v>1500</v>
      </c>
      <c r="AT502" s="1048"/>
      <c r="AU502" s="4413"/>
      <c r="AV502" s="4939"/>
      <c r="AW502" s="4939"/>
      <c r="AX502" s="4510">
        <f>J502/6</f>
        <v>250</v>
      </c>
      <c r="AY502" s="4939"/>
      <c r="AZ502" s="4939"/>
      <c r="BA502" s="1048"/>
      <c r="BB502" s="4622"/>
      <c r="BC502" s="4939"/>
      <c r="BD502" s="4622"/>
      <c r="BE502" s="4622"/>
      <c r="BF502" s="4622"/>
      <c r="BG502" s="4622"/>
      <c r="BH502" s="4510"/>
      <c r="BI502" s="4622"/>
      <c r="BJ502" s="1048"/>
      <c r="BK502" s="4160" t="s">
        <v>89</v>
      </c>
      <c r="BL502" s="4415">
        <f t="shared" si="281"/>
        <v>25</v>
      </c>
      <c r="BM502" s="4415">
        <f t="shared" si="282"/>
        <v>225</v>
      </c>
      <c r="BN502" s="4415">
        <f t="shared" si="283"/>
        <v>250</v>
      </c>
      <c r="BO502" s="4415">
        <f t="shared" si="284"/>
        <v>250</v>
      </c>
      <c r="BP502" s="4415">
        <f t="shared" si="285"/>
        <v>250</v>
      </c>
      <c r="BQ502" s="4414">
        <f t="shared" si="286"/>
        <v>250</v>
      </c>
      <c r="BR502" s="1048">
        <f t="shared" si="287"/>
        <v>250</v>
      </c>
      <c r="BS502" s="4432"/>
      <c r="BT502" s="4432"/>
      <c r="BU502" s="4432"/>
      <c r="BV502" s="4432"/>
      <c r="BW502" s="4432"/>
      <c r="BX502" s="4431"/>
      <c r="BY502" s="4431"/>
      <c r="BZ502" s="3708">
        <f t="shared" si="274"/>
        <v>1500</v>
      </c>
      <c r="CA502" s="4154">
        <f t="shared" si="275"/>
        <v>0</v>
      </c>
      <c r="CB502" s="4591"/>
      <c r="CC502" s="4591"/>
      <c r="CD502" s="4323"/>
      <c r="CE502" s="4323"/>
      <c r="CF502" s="4323"/>
    </row>
    <row r="503" s="4316" customFormat="1" ht="50" customHeight="1" spans="1:84">
      <c r="A503" s="4500">
        <v>45957</v>
      </c>
      <c r="B503" s="3708" t="s">
        <v>2250</v>
      </c>
      <c r="C503" s="3708" t="s">
        <v>91</v>
      </c>
      <c r="D503" s="4154">
        <v>4500183158</v>
      </c>
      <c r="E503" s="3708">
        <v>84006705</v>
      </c>
      <c r="F503" s="4154" t="s">
        <v>2360</v>
      </c>
      <c r="G503" s="3708"/>
      <c r="H503" s="3708" t="s">
        <v>327</v>
      </c>
      <c r="I503" s="4154" t="s">
        <v>328</v>
      </c>
      <c r="J503" s="4154">
        <v>900</v>
      </c>
      <c r="K503" s="4154">
        <v>0</v>
      </c>
      <c r="L503" s="4154">
        <v>12</v>
      </c>
      <c r="M503" s="4154">
        <f t="shared" si="239"/>
        <v>75</v>
      </c>
      <c r="N503" s="4503">
        <v>46055</v>
      </c>
      <c r="O503" s="4553">
        <v>46051</v>
      </c>
      <c r="P503" s="3712"/>
      <c r="Q503" s="4154" t="s">
        <v>82</v>
      </c>
      <c r="R503" s="4157">
        <v>900</v>
      </c>
      <c r="S503" s="4157">
        <f t="shared" si="276"/>
        <v>0</v>
      </c>
      <c r="T503" s="4157" t="s">
        <v>98</v>
      </c>
      <c r="U503" s="3726" t="s">
        <v>2333</v>
      </c>
      <c r="V503" s="4154" t="s">
        <v>2299</v>
      </c>
      <c r="W503" s="3711"/>
      <c r="X503" s="3711" t="s">
        <v>98</v>
      </c>
      <c r="Y503" s="3711"/>
      <c r="Z503" s="3711"/>
      <c r="AA503" s="4323"/>
      <c r="AB503" s="3713" t="s">
        <v>1395</v>
      </c>
      <c r="AC503" s="4154" t="s">
        <v>500</v>
      </c>
      <c r="AD503" s="4504">
        <v>1.298</v>
      </c>
      <c r="AE503" s="4154">
        <f t="shared" si="252"/>
        <v>1168.2</v>
      </c>
      <c r="AF503" s="3726"/>
      <c r="AG503" s="3726"/>
      <c r="AH503" s="4430"/>
      <c r="AI503" s="1048">
        <f t="shared" si="290"/>
        <v>900</v>
      </c>
      <c r="AJ503" s="4430"/>
      <c r="AK503" s="3708"/>
      <c r="AL503" s="3708"/>
      <c r="AM503" s="4154"/>
      <c r="AN503" s="4413"/>
      <c r="AO503" s="4415">
        <f t="shared" si="288"/>
        <v>900</v>
      </c>
      <c r="AP503" s="1048"/>
      <c r="AQ503" s="4413"/>
      <c r="AR503" s="4413"/>
      <c r="AS503" s="3708">
        <f t="shared" si="289"/>
        <v>900</v>
      </c>
      <c r="AT503" s="1048"/>
      <c r="AU503" s="4413"/>
      <c r="AV503" s="4939"/>
      <c r="AW503" s="4939"/>
      <c r="AX503" s="1048"/>
      <c r="AY503" s="4939"/>
      <c r="AZ503" s="4939"/>
      <c r="BA503" s="1048"/>
      <c r="BB503" s="4622"/>
      <c r="BC503" s="4939"/>
      <c r="BD503" s="4622"/>
      <c r="BE503" s="4622"/>
      <c r="BF503" s="4622"/>
      <c r="BG503" s="4622"/>
      <c r="BH503" s="4622"/>
      <c r="BI503" s="4622"/>
      <c r="BJ503" s="1048"/>
      <c r="BK503" s="4160" t="s">
        <v>89</v>
      </c>
      <c r="BL503" s="4415">
        <f t="shared" si="281"/>
        <v>15</v>
      </c>
      <c r="BM503" s="4415">
        <f t="shared" si="282"/>
        <v>135</v>
      </c>
      <c r="BN503" s="4415">
        <f t="shared" si="283"/>
        <v>150</v>
      </c>
      <c r="BO503" s="4415">
        <f t="shared" si="284"/>
        <v>150</v>
      </c>
      <c r="BP503" s="4415">
        <f t="shared" si="285"/>
        <v>150</v>
      </c>
      <c r="BQ503" s="4414">
        <f t="shared" si="286"/>
        <v>150</v>
      </c>
      <c r="BR503" s="1048">
        <f t="shared" si="287"/>
        <v>150</v>
      </c>
      <c r="BS503" s="4432"/>
      <c r="BT503" s="4432"/>
      <c r="BU503" s="4432"/>
      <c r="BV503" s="4432"/>
      <c r="BW503" s="4432"/>
      <c r="BX503" s="4431"/>
      <c r="BY503" s="4431"/>
      <c r="BZ503" s="3708">
        <f t="shared" si="274"/>
        <v>900</v>
      </c>
      <c r="CA503" s="4154">
        <f t="shared" si="275"/>
        <v>0</v>
      </c>
      <c r="CB503" s="4591"/>
      <c r="CC503" s="4591"/>
      <c r="CD503" s="4323"/>
      <c r="CE503" s="4323"/>
      <c r="CF503" s="4323"/>
    </row>
    <row r="504" s="4316" customFormat="1" ht="50" customHeight="1" spans="1:84">
      <c r="A504" s="4500">
        <v>46010</v>
      </c>
      <c r="B504" s="3708" t="s">
        <v>1206</v>
      </c>
      <c r="C504" s="3708" t="s">
        <v>351</v>
      </c>
      <c r="D504" s="4154">
        <v>4500189430</v>
      </c>
      <c r="E504" s="3708"/>
      <c r="F504" s="4154" t="s">
        <v>2361</v>
      </c>
      <c r="G504" s="3708"/>
      <c r="H504" s="3708" t="s">
        <v>333</v>
      </c>
      <c r="I504" s="3708" t="s">
        <v>328</v>
      </c>
      <c r="J504" s="4593">
        <v>1512</v>
      </c>
      <c r="K504" s="4154">
        <v>0</v>
      </c>
      <c r="L504" s="4154">
        <v>24</v>
      </c>
      <c r="M504" s="4154">
        <f t="shared" si="239"/>
        <v>63</v>
      </c>
      <c r="N504" s="4503">
        <v>46055</v>
      </c>
      <c r="O504" s="4553">
        <v>46051</v>
      </c>
      <c r="P504" s="3712"/>
      <c r="Q504" s="4154" t="s">
        <v>82</v>
      </c>
      <c r="R504" s="4157">
        <v>1512</v>
      </c>
      <c r="S504" s="4157">
        <f t="shared" si="276"/>
        <v>0</v>
      </c>
      <c r="T504" s="4157" t="s">
        <v>2297</v>
      </c>
      <c r="U504" s="3726" t="s">
        <v>2362</v>
      </c>
      <c r="V504" s="4154" t="s">
        <v>2363</v>
      </c>
      <c r="W504" s="3711"/>
      <c r="X504" s="3711" t="s">
        <v>2364</v>
      </c>
      <c r="Y504" s="3711"/>
      <c r="Z504" s="3711"/>
      <c r="AA504" s="4323"/>
      <c r="AB504" s="3713" t="s">
        <v>2365</v>
      </c>
      <c r="AC504" s="4154" t="s">
        <v>1199</v>
      </c>
      <c r="AD504" s="4504">
        <v>2.0331</v>
      </c>
      <c r="AE504" s="3708">
        <f t="shared" si="252"/>
        <v>3074.0472</v>
      </c>
      <c r="AF504" s="3726"/>
      <c r="AG504" s="3726"/>
      <c r="AH504" s="4430"/>
      <c r="AI504" s="1048">
        <f t="shared" si="290"/>
        <v>1512</v>
      </c>
      <c r="AJ504" s="4430"/>
      <c r="AK504" s="3708"/>
      <c r="AL504" s="3708"/>
      <c r="AM504" s="4154"/>
      <c r="AN504" s="4413"/>
      <c r="AO504" s="4415">
        <f t="shared" si="288"/>
        <v>1512</v>
      </c>
      <c r="AP504" s="1048"/>
      <c r="AQ504" s="4413"/>
      <c r="AR504" s="4413"/>
      <c r="AS504" s="3708">
        <f t="shared" si="289"/>
        <v>1512</v>
      </c>
      <c r="AT504" s="1048"/>
      <c r="AU504" s="4413"/>
      <c r="AV504" s="4939"/>
      <c r="AW504" s="4939"/>
      <c r="AX504" s="1048"/>
      <c r="AY504" s="4939"/>
      <c r="AZ504" s="4939"/>
      <c r="BA504" s="1048"/>
      <c r="BB504" s="4622"/>
      <c r="BC504" s="4939"/>
      <c r="BD504" s="4622"/>
      <c r="BE504" s="4622"/>
      <c r="BF504" s="4622"/>
      <c r="BG504" s="4622"/>
      <c r="BH504" s="4622"/>
      <c r="BI504" s="4622"/>
      <c r="BJ504" s="1048"/>
      <c r="BK504" s="4160" t="s">
        <v>89</v>
      </c>
      <c r="BL504" s="4415">
        <f t="shared" si="281"/>
        <v>25.2</v>
      </c>
      <c r="BM504" s="4415">
        <f t="shared" si="282"/>
        <v>226.8</v>
      </c>
      <c r="BN504" s="4415">
        <f t="shared" si="283"/>
        <v>252</v>
      </c>
      <c r="BO504" s="4415">
        <f t="shared" si="284"/>
        <v>252</v>
      </c>
      <c r="BP504" s="4415">
        <f t="shared" si="285"/>
        <v>252</v>
      </c>
      <c r="BQ504" s="4414">
        <f t="shared" si="286"/>
        <v>252</v>
      </c>
      <c r="BR504" s="1048">
        <f t="shared" si="287"/>
        <v>252</v>
      </c>
      <c r="BS504" s="4432"/>
      <c r="BT504" s="4432"/>
      <c r="BU504" s="4432"/>
      <c r="BV504" s="4432"/>
      <c r="BW504" s="4432"/>
      <c r="BX504" s="4431"/>
      <c r="BY504" s="4431"/>
      <c r="BZ504" s="3708">
        <f t="shared" si="274"/>
        <v>1512</v>
      </c>
      <c r="CA504" s="4154">
        <f t="shared" si="275"/>
        <v>0</v>
      </c>
      <c r="CB504" s="4591"/>
      <c r="CC504" s="4591"/>
      <c r="CD504" s="4323"/>
      <c r="CE504" s="4323"/>
      <c r="CF504" s="4323"/>
    </row>
    <row r="505" s="4316" customFormat="1" ht="50" customHeight="1" spans="1:84">
      <c r="A505" s="4500">
        <v>45944</v>
      </c>
      <c r="B505" s="3708" t="s">
        <v>2250</v>
      </c>
      <c r="C505" s="3708" t="s">
        <v>91</v>
      </c>
      <c r="D505" s="4154">
        <v>4500181546</v>
      </c>
      <c r="E505" s="3708">
        <v>84006702</v>
      </c>
      <c r="F505" s="4154" t="s">
        <v>2366</v>
      </c>
      <c r="G505" s="3708"/>
      <c r="H505" s="3708" t="s">
        <v>327</v>
      </c>
      <c r="I505" s="4154" t="s">
        <v>328</v>
      </c>
      <c r="J505" s="4154">
        <v>1200</v>
      </c>
      <c r="K505" s="4154">
        <v>0</v>
      </c>
      <c r="L505" s="4154">
        <v>12</v>
      </c>
      <c r="M505" s="4154">
        <f t="shared" si="239"/>
        <v>100</v>
      </c>
      <c r="N505" s="4503">
        <v>46027</v>
      </c>
      <c r="O505" s="4553">
        <v>46023</v>
      </c>
      <c r="P505" s="3712"/>
      <c r="Q505" s="4154" t="s">
        <v>82</v>
      </c>
      <c r="R505" s="4157">
        <v>1200</v>
      </c>
      <c r="S505" s="4157">
        <f t="shared" si="276"/>
        <v>0</v>
      </c>
      <c r="T505" s="4174" t="s">
        <v>98</v>
      </c>
      <c r="U505" s="3726" t="s">
        <v>518</v>
      </c>
      <c r="V505" s="3711" t="s">
        <v>2367</v>
      </c>
      <c r="W505" s="3711"/>
      <c r="X505" s="3711" t="s">
        <v>98</v>
      </c>
      <c r="Y505" s="3711"/>
      <c r="Z505" s="3711"/>
      <c r="AA505" s="4154"/>
      <c r="AB505" s="3713" t="s">
        <v>1395</v>
      </c>
      <c r="AC505" s="3711" t="s">
        <v>500</v>
      </c>
      <c r="AD505" s="4504">
        <v>1.2953</v>
      </c>
      <c r="AE505" s="4154">
        <f t="shared" si="252"/>
        <v>1554.36</v>
      </c>
      <c r="AF505" s="3726"/>
      <c r="AG505" s="3726"/>
      <c r="AH505" s="4412"/>
      <c r="AI505" s="4575">
        <f t="shared" si="290"/>
        <v>1200</v>
      </c>
      <c r="AJ505" s="4412"/>
      <c r="AK505" s="4575"/>
      <c r="AL505" s="3708"/>
      <c r="AM505" s="4154"/>
      <c r="AN505" s="1040"/>
      <c r="AO505" s="4510">
        <f t="shared" si="288"/>
        <v>1200</v>
      </c>
      <c r="AP505" s="4510"/>
      <c r="AQ505" s="1040"/>
      <c r="AR505" s="1040"/>
      <c r="AS505" s="4510">
        <f t="shared" si="289"/>
        <v>1200</v>
      </c>
      <c r="AT505" s="1048"/>
      <c r="AU505" s="1040"/>
      <c r="AV505" s="4945"/>
      <c r="AW505" s="4945"/>
      <c r="AX505" s="1048">
        <f>J505/6</f>
        <v>200</v>
      </c>
      <c r="AY505" s="4945"/>
      <c r="AZ505" s="4945"/>
      <c r="BA505" s="1048"/>
      <c r="BB505" s="4622"/>
      <c r="BC505" s="4945"/>
      <c r="BD505" s="4622"/>
      <c r="BE505" s="4622"/>
      <c r="BF505" s="4622"/>
      <c r="BG505" s="4622"/>
      <c r="BH505" s="4510"/>
      <c r="BI505" s="4622"/>
      <c r="BJ505" s="1048"/>
      <c r="BK505" s="4415" t="s">
        <v>89</v>
      </c>
      <c r="BL505" s="4415">
        <f t="shared" si="281"/>
        <v>20</v>
      </c>
      <c r="BM505" s="4415">
        <f t="shared" si="282"/>
        <v>180</v>
      </c>
      <c r="BN505" s="4415">
        <f t="shared" si="283"/>
        <v>200</v>
      </c>
      <c r="BO505" s="4415">
        <f t="shared" si="284"/>
        <v>200</v>
      </c>
      <c r="BP505" s="4415">
        <f t="shared" si="285"/>
        <v>200</v>
      </c>
      <c r="BQ505" s="4414">
        <f t="shared" si="286"/>
        <v>200</v>
      </c>
      <c r="BR505" s="1048">
        <f t="shared" si="287"/>
        <v>200</v>
      </c>
      <c r="BS505" s="4524"/>
      <c r="BT505" s="4524"/>
      <c r="BU505" s="4524"/>
      <c r="BV505" s="4524"/>
      <c r="BW505" s="4524"/>
      <c r="BX505" s="1041"/>
      <c r="BY505" s="1041"/>
      <c r="BZ505" s="3708">
        <f t="shared" si="274"/>
        <v>1200</v>
      </c>
      <c r="CA505" s="4154">
        <f t="shared" si="275"/>
        <v>0</v>
      </c>
      <c r="CB505" s="4619"/>
      <c r="CC505" s="4619"/>
      <c r="CD505" s="4323"/>
      <c r="CE505" s="4323"/>
      <c r="CF505" s="4323"/>
    </row>
    <row r="506" s="4316" customFormat="1" ht="50" customHeight="1" spans="1:84">
      <c r="A506" s="4500">
        <v>45944</v>
      </c>
      <c r="B506" s="3708" t="s">
        <v>2250</v>
      </c>
      <c r="C506" s="3708" t="s">
        <v>91</v>
      </c>
      <c r="D506" s="4154">
        <v>4500181546</v>
      </c>
      <c r="E506" s="3708">
        <v>84006703</v>
      </c>
      <c r="F506" s="4154" t="s">
        <v>2368</v>
      </c>
      <c r="G506" s="3708"/>
      <c r="H506" s="3708" t="s">
        <v>327</v>
      </c>
      <c r="I506" s="4154" t="s">
        <v>328</v>
      </c>
      <c r="J506" s="4154">
        <v>156</v>
      </c>
      <c r="K506" s="4154">
        <v>0</v>
      </c>
      <c r="L506" s="4154">
        <v>12</v>
      </c>
      <c r="M506" s="4154">
        <f t="shared" si="239"/>
        <v>13</v>
      </c>
      <c r="N506" s="4503">
        <v>46027</v>
      </c>
      <c r="O506" s="4553">
        <v>46023</v>
      </c>
      <c r="P506" s="3712"/>
      <c r="Q506" s="4154" t="s">
        <v>82</v>
      </c>
      <c r="R506" s="4157">
        <v>156</v>
      </c>
      <c r="S506" s="4157">
        <f t="shared" si="276"/>
        <v>0</v>
      </c>
      <c r="T506" s="4960"/>
      <c r="U506" s="3726" t="s">
        <v>518</v>
      </c>
      <c r="V506" s="3711" t="s">
        <v>2367</v>
      </c>
      <c r="W506" s="3711"/>
      <c r="X506" s="3711" t="s">
        <v>98</v>
      </c>
      <c r="Y506" s="3711"/>
      <c r="Z506" s="3711"/>
      <c r="AA506" s="4154"/>
      <c r="AB506" s="3713" t="s">
        <v>1395</v>
      </c>
      <c r="AC506" s="3711" t="s">
        <v>500</v>
      </c>
      <c r="AD506" s="4504">
        <v>1.2588</v>
      </c>
      <c r="AE506" s="4154">
        <f t="shared" si="252"/>
        <v>196.3728</v>
      </c>
      <c r="AF506" s="3726"/>
      <c r="AG506" s="3726"/>
      <c r="AH506" s="4412"/>
      <c r="AI506" s="4575">
        <f t="shared" si="290"/>
        <v>156</v>
      </c>
      <c r="AJ506" s="4412"/>
      <c r="AK506" s="4575"/>
      <c r="AL506" s="3708"/>
      <c r="AM506" s="4154"/>
      <c r="AN506" s="1040"/>
      <c r="AO506" s="4510">
        <f t="shared" si="288"/>
        <v>156</v>
      </c>
      <c r="AP506" s="4510"/>
      <c r="AQ506" s="1040"/>
      <c r="AR506" s="1040"/>
      <c r="AS506" s="4510">
        <f t="shared" si="289"/>
        <v>156</v>
      </c>
      <c r="AT506" s="1048"/>
      <c r="AU506" s="1040"/>
      <c r="AV506" s="4945"/>
      <c r="AW506" s="4945"/>
      <c r="AX506" s="1048">
        <f>J506/6</f>
        <v>26</v>
      </c>
      <c r="AY506" s="4945"/>
      <c r="AZ506" s="4945"/>
      <c r="BA506" s="1048"/>
      <c r="BB506" s="4622"/>
      <c r="BC506" s="4945"/>
      <c r="BD506" s="4622"/>
      <c r="BE506" s="4622"/>
      <c r="BF506" s="4622"/>
      <c r="BG506" s="4622"/>
      <c r="BH506" s="4510"/>
      <c r="BI506" s="4622"/>
      <c r="BJ506" s="1048"/>
      <c r="BK506" s="4415" t="s">
        <v>89</v>
      </c>
      <c r="BL506" s="4415">
        <f t="shared" si="281"/>
        <v>2.6</v>
      </c>
      <c r="BM506" s="4415">
        <f t="shared" si="282"/>
        <v>23.4</v>
      </c>
      <c r="BN506" s="4415">
        <f t="shared" si="283"/>
        <v>26</v>
      </c>
      <c r="BO506" s="4415">
        <f t="shared" si="284"/>
        <v>26</v>
      </c>
      <c r="BP506" s="4415">
        <f t="shared" si="285"/>
        <v>26</v>
      </c>
      <c r="BQ506" s="4414">
        <f t="shared" si="286"/>
        <v>26</v>
      </c>
      <c r="BR506" s="1048">
        <f t="shared" si="287"/>
        <v>26</v>
      </c>
      <c r="BS506" s="4524"/>
      <c r="BT506" s="4524"/>
      <c r="BU506" s="4524"/>
      <c r="BV506" s="4524"/>
      <c r="BW506" s="4524"/>
      <c r="BX506" s="1041"/>
      <c r="BY506" s="1041"/>
      <c r="BZ506" s="3708">
        <f t="shared" si="274"/>
        <v>156</v>
      </c>
      <c r="CA506" s="4154">
        <f t="shared" si="275"/>
        <v>0</v>
      </c>
      <c r="CB506" s="4619"/>
      <c r="CC506" s="4619"/>
      <c r="CD506" s="4323"/>
      <c r="CE506" s="4323"/>
      <c r="CF506" s="4323"/>
    </row>
    <row r="507" s="4316" customFormat="1" ht="50" customHeight="1" spans="1:84">
      <c r="A507" s="4500">
        <v>46359</v>
      </c>
      <c r="B507" s="3708" t="s">
        <v>2136</v>
      </c>
      <c r="C507" s="3708" t="s">
        <v>2137</v>
      </c>
      <c r="D507" s="4154">
        <v>4500187926</v>
      </c>
      <c r="E507" s="3708"/>
      <c r="F507" s="4154" t="s">
        <v>2369</v>
      </c>
      <c r="G507" s="3708"/>
      <c r="H507" s="3708" t="s">
        <v>327</v>
      </c>
      <c r="I507" s="4154" t="s">
        <v>328</v>
      </c>
      <c r="J507" s="4593">
        <v>1200</v>
      </c>
      <c r="K507" s="4154">
        <v>0</v>
      </c>
      <c r="L507" s="4154">
        <v>12</v>
      </c>
      <c r="M507" s="4154">
        <f t="shared" si="239"/>
        <v>100</v>
      </c>
      <c r="N507" s="4503">
        <v>46034</v>
      </c>
      <c r="O507" s="4553">
        <v>46030</v>
      </c>
      <c r="P507" s="3712"/>
      <c r="Q507" s="4154" t="s">
        <v>82</v>
      </c>
      <c r="R507" s="4157">
        <v>1200</v>
      </c>
      <c r="S507" s="4157">
        <f t="shared" si="276"/>
        <v>0</v>
      </c>
      <c r="T507" s="4157" t="s">
        <v>98</v>
      </c>
      <c r="U507" s="3726" t="s">
        <v>127</v>
      </c>
      <c r="V507" s="3711" t="s">
        <v>2370</v>
      </c>
      <c r="W507" s="3711"/>
      <c r="X507" s="3711" t="s">
        <v>98</v>
      </c>
      <c r="Y507" s="3711"/>
      <c r="Z507" s="3711"/>
      <c r="AA507" s="4154"/>
      <c r="AB507" s="3713" t="s">
        <v>2371</v>
      </c>
      <c r="AC507" s="3711" t="s">
        <v>2141</v>
      </c>
      <c r="AD507" s="4504">
        <v>2.0936</v>
      </c>
      <c r="AE507" s="4154">
        <f t="shared" si="252"/>
        <v>2512.32</v>
      </c>
      <c r="AF507" s="3680" t="s">
        <v>2372</v>
      </c>
      <c r="AG507" s="3726"/>
      <c r="AH507" s="4430"/>
      <c r="AI507" s="4575">
        <f t="shared" si="290"/>
        <v>1200</v>
      </c>
      <c r="AJ507" s="4430"/>
      <c r="AK507" s="4575"/>
      <c r="AL507" s="3708"/>
      <c r="AM507" s="4154"/>
      <c r="AN507" s="4413"/>
      <c r="AO507" s="4510">
        <f t="shared" si="288"/>
        <v>1200</v>
      </c>
      <c r="AP507" s="4510"/>
      <c r="AQ507" s="4413"/>
      <c r="AR507" s="4413"/>
      <c r="AS507" s="4510">
        <f t="shared" si="289"/>
        <v>1200</v>
      </c>
      <c r="AT507" s="1048"/>
      <c r="AU507" s="4413"/>
      <c r="AV507" s="4939"/>
      <c r="AW507" s="4939"/>
      <c r="AX507" s="1048">
        <f>J507/6</f>
        <v>200</v>
      </c>
      <c r="AY507" s="4939"/>
      <c r="AZ507" s="4939"/>
      <c r="BA507" s="1048"/>
      <c r="BB507" s="4622"/>
      <c r="BC507" s="4939"/>
      <c r="BD507" s="4622"/>
      <c r="BE507" s="4622"/>
      <c r="BF507" s="4622"/>
      <c r="BG507" s="4622"/>
      <c r="BH507" s="4510"/>
      <c r="BI507" s="4622"/>
      <c r="BJ507" s="1048"/>
      <c r="BK507" s="4415" t="s">
        <v>89</v>
      </c>
      <c r="BL507" s="4415">
        <f t="shared" si="281"/>
        <v>20</v>
      </c>
      <c r="BM507" s="4415">
        <f t="shared" si="282"/>
        <v>180</v>
      </c>
      <c r="BN507" s="4415">
        <f t="shared" si="283"/>
        <v>200</v>
      </c>
      <c r="BO507" s="4415">
        <f t="shared" si="284"/>
        <v>200</v>
      </c>
      <c r="BP507" s="4415">
        <f t="shared" si="285"/>
        <v>200</v>
      </c>
      <c r="BQ507" s="4414">
        <f t="shared" si="286"/>
        <v>200</v>
      </c>
      <c r="BR507" s="1048">
        <f t="shared" si="287"/>
        <v>200</v>
      </c>
      <c r="BS507" s="4432"/>
      <c r="BT507" s="4432"/>
      <c r="BU507" s="4432"/>
      <c r="BV507" s="4432"/>
      <c r="BW507" s="4432"/>
      <c r="BX507" s="4431"/>
      <c r="BY507" s="4431"/>
      <c r="BZ507" s="3708">
        <f t="shared" si="274"/>
        <v>1200</v>
      </c>
      <c r="CA507" s="4154">
        <f t="shared" si="275"/>
        <v>0</v>
      </c>
      <c r="CB507" s="4591"/>
      <c r="CC507" s="4591"/>
      <c r="CD507" s="4323"/>
      <c r="CE507" s="4323"/>
      <c r="CF507" s="4323"/>
    </row>
    <row r="508" s="4316" customFormat="1" ht="50" customHeight="1" spans="1:84">
      <c r="A508" s="4500">
        <v>45985</v>
      </c>
      <c r="B508" s="3708" t="s">
        <v>407</v>
      </c>
      <c r="C508" s="3708" t="s">
        <v>91</v>
      </c>
      <c r="D508" s="4154">
        <v>4500186392</v>
      </c>
      <c r="E508" s="3708">
        <v>60261201</v>
      </c>
      <c r="F508" s="4154" t="s">
        <v>2373</v>
      </c>
      <c r="G508" s="3708"/>
      <c r="H508" s="3708" t="s">
        <v>409</v>
      </c>
      <c r="I508" s="3708" t="s">
        <v>410</v>
      </c>
      <c r="J508" s="4154">
        <v>2004</v>
      </c>
      <c r="K508" s="4154">
        <v>0</v>
      </c>
      <c r="L508" s="4154">
        <v>12</v>
      </c>
      <c r="M508" s="4154">
        <f t="shared" si="239"/>
        <v>167</v>
      </c>
      <c r="N508" s="4503">
        <v>46044</v>
      </c>
      <c r="O508" s="4553">
        <v>46041</v>
      </c>
      <c r="P508" s="3712" t="s">
        <v>2374</v>
      </c>
      <c r="Q508" s="4154" t="s">
        <v>82</v>
      </c>
      <c r="R508" s="4157">
        <v>2004</v>
      </c>
      <c r="S508" s="4157">
        <f t="shared" si="276"/>
        <v>0</v>
      </c>
      <c r="T508" s="4157" t="s">
        <v>2297</v>
      </c>
      <c r="U508" s="3726" t="s">
        <v>2375</v>
      </c>
      <c r="V508" s="3711" t="s">
        <v>2236</v>
      </c>
      <c r="W508" s="3711"/>
      <c r="X508" s="3711" t="s">
        <v>98</v>
      </c>
      <c r="Y508" s="3711"/>
      <c r="Z508" s="3711" t="s">
        <v>2261</v>
      </c>
      <c r="AA508" s="4154"/>
      <c r="AB508" s="3713" t="s">
        <v>2376</v>
      </c>
      <c r="AC508" s="3711" t="s">
        <v>1880</v>
      </c>
      <c r="AD508" s="4154">
        <v>2.8819</v>
      </c>
      <c r="AE508" s="4154">
        <f t="shared" si="252"/>
        <v>5775.3276</v>
      </c>
      <c r="AF508" s="3726"/>
      <c r="AG508" s="3726"/>
      <c r="AH508" s="4430"/>
      <c r="AI508" s="4575">
        <f t="shared" si="290"/>
        <v>2004</v>
      </c>
      <c r="AJ508" s="4430"/>
      <c r="AK508" s="4575"/>
      <c r="AL508" s="3708"/>
      <c r="AM508" s="4154"/>
      <c r="AN508" s="4413"/>
      <c r="AO508" s="4510">
        <f t="shared" si="288"/>
        <v>2004</v>
      </c>
      <c r="AP508" s="4510"/>
      <c r="AQ508" s="4413"/>
      <c r="AR508" s="4413"/>
      <c r="AS508" s="4510">
        <f t="shared" si="289"/>
        <v>2004</v>
      </c>
      <c r="AT508" s="1048"/>
      <c r="AU508" s="4413"/>
      <c r="AV508" s="4939"/>
      <c r="AW508" s="4939"/>
      <c r="AX508" s="1048"/>
      <c r="AY508" s="4939"/>
      <c r="AZ508" s="4939"/>
      <c r="BA508" s="1048"/>
      <c r="BB508" s="4622"/>
      <c r="BC508" s="4939"/>
      <c r="BD508" s="4622"/>
      <c r="BE508" s="4622"/>
      <c r="BF508" s="4622"/>
      <c r="BG508" s="4622"/>
      <c r="BH508" s="4510">
        <f>J508</f>
        <v>2004</v>
      </c>
      <c r="BI508" s="4622"/>
      <c r="BJ508" s="1048"/>
      <c r="BK508" s="4160" t="s">
        <v>89</v>
      </c>
      <c r="BL508" s="4415">
        <f t="shared" si="281"/>
        <v>33.4</v>
      </c>
      <c r="BM508" s="4415">
        <f t="shared" si="282"/>
        <v>300.6</v>
      </c>
      <c r="BN508" s="4415">
        <f t="shared" si="283"/>
        <v>334</v>
      </c>
      <c r="BO508" s="4415">
        <f t="shared" si="284"/>
        <v>334</v>
      </c>
      <c r="BP508" s="4415">
        <f t="shared" si="285"/>
        <v>334</v>
      </c>
      <c r="BQ508" s="4414">
        <f t="shared" si="286"/>
        <v>334</v>
      </c>
      <c r="BR508" s="1048">
        <f t="shared" si="287"/>
        <v>334</v>
      </c>
      <c r="BS508" s="4432"/>
      <c r="BT508" s="4432"/>
      <c r="BU508" s="4432"/>
      <c r="BV508" s="4432"/>
      <c r="BW508" s="4432"/>
      <c r="BX508" s="4431"/>
      <c r="BY508" s="4431"/>
      <c r="BZ508" s="3708">
        <f t="shared" si="274"/>
        <v>2004</v>
      </c>
      <c r="CA508" s="4154">
        <f t="shared" si="275"/>
        <v>0</v>
      </c>
      <c r="CB508" s="4591"/>
      <c r="CC508" s="4591"/>
      <c r="CD508" s="4323"/>
      <c r="CE508" s="4323"/>
      <c r="CF508" s="4323"/>
    </row>
    <row r="509" s="4316" customFormat="1" ht="50" customHeight="1" spans="1:84">
      <c r="A509" s="4500">
        <v>46031</v>
      </c>
      <c r="B509" s="3708" t="s">
        <v>2377</v>
      </c>
      <c r="C509" s="3708" t="s">
        <v>1316</v>
      </c>
      <c r="D509" s="4154">
        <v>4500191077</v>
      </c>
      <c r="E509" s="3708"/>
      <c r="F509" s="4154" t="s">
        <v>2378</v>
      </c>
      <c r="G509" s="3708"/>
      <c r="H509" s="3708" t="s">
        <v>443</v>
      </c>
      <c r="I509" s="3708" t="s">
        <v>328</v>
      </c>
      <c r="J509" s="4593">
        <v>18000</v>
      </c>
      <c r="K509" s="4154">
        <v>0</v>
      </c>
      <c r="L509" s="4154">
        <v>12</v>
      </c>
      <c r="M509" s="4154">
        <f t="shared" si="239"/>
        <v>1500</v>
      </c>
      <c r="N509" s="4503">
        <v>46059</v>
      </c>
      <c r="O509" s="4553">
        <v>46055</v>
      </c>
      <c r="P509" s="3712"/>
      <c r="Q509" s="4154" t="s">
        <v>82</v>
      </c>
      <c r="R509" s="4157">
        <f>17904+96</f>
        <v>18000</v>
      </c>
      <c r="S509" s="4157">
        <f t="shared" si="276"/>
        <v>0</v>
      </c>
      <c r="T509" s="4961" t="s">
        <v>2297</v>
      </c>
      <c r="U509" s="3726" t="s">
        <v>2333</v>
      </c>
      <c r="V509" s="4154" t="s">
        <v>2379</v>
      </c>
      <c r="W509" s="3711"/>
      <c r="X509" s="3711" t="s">
        <v>2380</v>
      </c>
      <c r="Y509" s="3711"/>
      <c r="Z509" s="3711"/>
      <c r="AA509" s="4323"/>
      <c r="AB509" s="3713" t="s">
        <v>2381</v>
      </c>
      <c r="AC509" s="4154" t="s">
        <v>2382</v>
      </c>
      <c r="AD509" s="4504">
        <v>2.0503</v>
      </c>
      <c r="AE509" s="4154">
        <f t="shared" si="252"/>
        <v>36905.4</v>
      </c>
      <c r="AF509" s="3726"/>
      <c r="AG509" s="3726"/>
      <c r="AH509" s="4430"/>
      <c r="AI509" s="1048"/>
      <c r="AJ509" s="4430"/>
      <c r="AK509" s="3708">
        <f>J509</f>
        <v>18000</v>
      </c>
      <c r="AL509" s="3708"/>
      <c r="AM509" s="4154"/>
      <c r="AN509" s="4413"/>
      <c r="AO509" s="4415">
        <f t="shared" si="288"/>
        <v>18000</v>
      </c>
      <c r="AP509" s="1048"/>
      <c r="AQ509" s="4413"/>
      <c r="AR509" s="4413"/>
      <c r="AS509" s="3708"/>
      <c r="AT509" s="1048">
        <f>J509</f>
        <v>18000</v>
      </c>
      <c r="AU509" s="4413"/>
      <c r="AV509" s="4939"/>
      <c r="AW509" s="4939"/>
      <c r="AX509" s="1048">
        <f>J509/6</f>
        <v>3000</v>
      </c>
      <c r="AY509" s="4939"/>
      <c r="AZ509" s="4939"/>
      <c r="BA509" s="1048"/>
      <c r="BB509" s="4622"/>
      <c r="BC509" s="4939"/>
      <c r="BD509" s="4622"/>
      <c r="BE509" s="4622"/>
      <c r="BF509" s="4622"/>
      <c r="BG509" s="4622"/>
      <c r="BH509" s="4622"/>
      <c r="BI509" s="4622"/>
      <c r="BJ509" s="1048"/>
      <c r="BK509" s="4160" t="s">
        <v>89</v>
      </c>
      <c r="BL509" s="4415">
        <f t="shared" ref="BL498:BL533" si="291">J509/60*1</f>
        <v>300</v>
      </c>
      <c r="BM509" s="4415">
        <f t="shared" ref="BM498:BM533" si="292">J509/60*9</f>
        <v>2700</v>
      </c>
      <c r="BN509" s="4415">
        <f t="shared" ref="BN498:BN533" si="293">J509/60*10</f>
        <v>3000</v>
      </c>
      <c r="BO509" s="4415">
        <f t="shared" ref="BO498:BO533" si="294">J509/60*10</f>
        <v>3000</v>
      </c>
      <c r="BP509" s="4415">
        <f t="shared" ref="BP498:BP533" si="295">J509/60*10</f>
        <v>3000</v>
      </c>
      <c r="BQ509" s="4414">
        <f t="shared" ref="BQ498:BQ533" si="296">J509/60*10</f>
        <v>3000</v>
      </c>
      <c r="BR509" s="1048">
        <f t="shared" ref="BR498:BR533" si="297">J509/60*10</f>
        <v>3000</v>
      </c>
      <c r="BS509" s="4432"/>
      <c r="BT509" s="4432"/>
      <c r="BU509" s="4432"/>
      <c r="BV509" s="4432"/>
      <c r="BW509" s="4432"/>
      <c r="BX509" s="4431"/>
      <c r="BY509" s="4431"/>
      <c r="BZ509" s="3708">
        <f t="shared" si="274"/>
        <v>18000</v>
      </c>
      <c r="CA509" s="4154">
        <f t="shared" si="275"/>
        <v>0</v>
      </c>
      <c r="CB509" s="4591"/>
      <c r="CC509" s="4591"/>
      <c r="CD509" s="4323"/>
      <c r="CE509" s="4323"/>
      <c r="CF509" s="4323"/>
    </row>
    <row r="510" s="4316" customFormat="1" ht="50" customHeight="1" spans="1:84">
      <c r="A510" s="4500">
        <v>46015</v>
      </c>
      <c r="B510" s="3708" t="s">
        <v>90</v>
      </c>
      <c r="C510" s="3708" t="s">
        <v>91</v>
      </c>
      <c r="D510" s="4154">
        <v>4500189852</v>
      </c>
      <c r="E510" s="3708" t="s">
        <v>2383</v>
      </c>
      <c r="F510" s="4154" t="s">
        <v>2384</v>
      </c>
      <c r="G510" s="3708"/>
      <c r="H510" s="3708" t="s">
        <v>333</v>
      </c>
      <c r="I510" s="3708" t="s">
        <v>328</v>
      </c>
      <c r="J510" s="4593">
        <v>1992</v>
      </c>
      <c r="K510" s="4154">
        <v>0</v>
      </c>
      <c r="L510" s="4154">
        <v>24</v>
      </c>
      <c r="M510" s="4154">
        <f t="shared" ref="M510:M539" si="298">J510/L510</f>
        <v>83</v>
      </c>
      <c r="N510" s="4503">
        <v>46063</v>
      </c>
      <c r="O510" s="4553">
        <v>46059</v>
      </c>
      <c r="P510" s="3712"/>
      <c r="Q510" s="4154" t="s">
        <v>82</v>
      </c>
      <c r="R510" s="4157">
        <v>1992</v>
      </c>
      <c r="S510" s="4157">
        <f t="shared" si="276"/>
        <v>0</v>
      </c>
      <c r="T510" s="4157" t="s">
        <v>2297</v>
      </c>
      <c r="U510" s="3726" t="s">
        <v>2385</v>
      </c>
      <c r="V510" s="4154" t="s">
        <v>2386</v>
      </c>
      <c r="W510" s="3711"/>
      <c r="X510" s="3711" t="s">
        <v>98</v>
      </c>
      <c r="Y510" s="3711"/>
      <c r="Z510" s="3711" t="s">
        <v>2387</v>
      </c>
      <c r="AA510" s="4323"/>
      <c r="AB510" s="3713" t="s">
        <v>2388</v>
      </c>
      <c r="AC510" s="4154" t="s">
        <v>101</v>
      </c>
      <c r="AD510" s="4504">
        <v>1.2512</v>
      </c>
      <c r="AE510" s="3708">
        <f t="shared" si="252"/>
        <v>2492.3904</v>
      </c>
      <c r="AF510" s="3726"/>
      <c r="AG510" s="3726"/>
      <c r="AH510" s="4430"/>
      <c r="AI510" s="1048">
        <f t="shared" ref="AI510:AI518" si="299">J510</f>
        <v>1992</v>
      </c>
      <c r="AJ510" s="4430"/>
      <c r="AK510" s="3708"/>
      <c r="AL510" s="3708"/>
      <c r="AM510" s="4154"/>
      <c r="AN510" s="4413"/>
      <c r="AO510" s="4415">
        <f t="shared" si="288"/>
        <v>1992</v>
      </c>
      <c r="AP510" s="1048"/>
      <c r="AQ510" s="4413"/>
      <c r="AR510" s="4413"/>
      <c r="AS510" s="3708">
        <f t="shared" ref="AS510:AS518" si="300">J510</f>
        <v>1992</v>
      </c>
      <c r="AT510" s="1048"/>
      <c r="AU510" s="4413"/>
      <c r="AV510" s="4939"/>
      <c r="AW510" s="4939"/>
      <c r="AX510" s="1048"/>
      <c r="AY510" s="4939"/>
      <c r="AZ510" s="4939"/>
      <c r="BA510" s="1048"/>
      <c r="BB510" s="4622"/>
      <c r="BC510" s="4939"/>
      <c r="BD510" s="4622"/>
      <c r="BE510" s="4622"/>
      <c r="BF510" s="4622"/>
      <c r="BG510" s="4622"/>
      <c r="BH510" s="4622"/>
      <c r="BI510" s="4622"/>
      <c r="BJ510" s="1048"/>
      <c r="BK510" s="4160" t="s">
        <v>89</v>
      </c>
      <c r="BL510" s="4415">
        <f t="shared" si="291"/>
        <v>33.2</v>
      </c>
      <c r="BM510" s="4415">
        <f t="shared" si="292"/>
        <v>298.8</v>
      </c>
      <c r="BN510" s="4415">
        <f t="shared" si="293"/>
        <v>332</v>
      </c>
      <c r="BO510" s="4415">
        <f t="shared" si="294"/>
        <v>332</v>
      </c>
      <c r="BP510" s="4415">
        <f t="shared" si="295"/>
        <v>332</v>
      </c>
      <c r="BQ510" s="4414">
        <f t="shared" si="296"/>
        <v>332</v>
      </c>
      <c r="BR510" s="1048">
        <f t="shared" si="297"/>
        <v>332</v>
      </c>
      <c r="BS510" s="4432"/>
      <c r="BT510" s="4432"/>
      <c r="BU510" s="4432"/>
      <c r="BV510" s="4432"/>
      <c r="BW510" s="4432"/>
      <c r="BX510" s="4431"/>
      <c r="BY510" s="4431"/>
      <c r="BZ510" s="3708">
        <f t="shared" si="274"/>
        <v>1992</v>
      </c>
      <c r="CA510" s="4154">
        <f t="shared" si="275"/>
        <v>0</v>
      </c>
      <c r="CB510" s="4591"/>
      <c r="CC510" s="4591"/>
      <c r="CD510" s="4323"/>
      <c r="CE510" s="4323"/>
      <c r="CF510" s="4323"/>
    </row>
    <row r="511" s="4316" customFormat="1" ht="50" customHeight="1" spans="1:84">
      <c r="A511" s="4500">
        <v>46015</v>
      </c>
      <c r="B511" s="3708" t="s">
        <v>90</v>
      </c>
      <c r="C511" s="3708" t="s">
        <v>91</v>
      </c>
      <c r="D511" s="4154">
        <v>4500189853</v>
      </c>
      <c r="E511" s="3708">
        <v>951859</v>
      </c>
      <c r="F511" s="4154" t="s">
        <v>2389</v>
      </c>
      <c r="G511" s="3708"/>
      <c r="H511" s="3708" t="s">
        <v>333</v>
      </c>
      <c r="I511" s="3708" t="s">
        <v>328</v>
      </c>
      <c r="J511" s="4593">
        <v>2208</v>
      </c>
      <c r="K511" s="4154">
        <v>0</v>
      </c>
      <c r="L511" s="4154">
        <v>24</v>
      </c>
      <c r="M511" s="4154">
        <f t="shared" si="298"/>
        <v>92</v>
      </c>
      <c r="N511" s="4503">
        <v>46063</v>
      </c>
      <c r="O511" s="4553">
        <v>46059</v>
      </c>
      <c r="P511" s="3712"/>
      <c r="Q511" s="4154" t="s">
        <v>82</v>
      </c>
      <c r="R511" s="4157">
        <v>2208</v>
      </c>
      <c r="S511" s="4157">
        <f t="shared" si="276"/>
        <v>0</v>
      </c>
      <c r="T511" s="4157" t="s">
        <v>2297</v>
      </c>
      <c r="U511" s="3726" t="s">
        <v>778</v>
      </c>
      <c r="V511" s="4154" t="s">
        <v>2386</v>
      </c>
      <c r="W511" s="3711"/>
      <c r="X511" s="3711" t="s">
        <v>98</v>
      </c>
      <c r="Y511" s="3711"/>
      <c r="Z511" s="3711" t="s">
        <v>2387</v>
      </c>
      <c r="AA511" s="4323"/>
      <c r="AB511" s="3713" t="s">
        <v>2390</v>
      </c>
      <c r="AC511" s="4154" t="s">
        <v>101</v>
      </c>
      <c r="AD511" s="4504">
        <v>1.2199</v>
      </c>
      <c r="AE511" s="3708">
        <f t="shared" si="252"/>
        <v>2693.5392</v>
      </c>
      <c r="AF511" s="3726"/>
      <c r="AG511" s="3726"/>
      <c r="AH511" s="4430"/>
      <c r="AI511" s="1048">
        <f t="shared" si="299"/>
        <v>2208</v>
      </c>
      <c r="AJ511" s="4430"/>
      <c r="AK511" s="3708"/>
      <c r="AL511" s="3708"/>
      <c r="AM511" s="4154"/>
      <c r="AN511" s="4413"/>
      <c r="AO511" s="4415">
        <f t="shared" si="288"/>
        <v>2208</v>
      </c>
      <c r="AP511" s="1048"/>
      <c r="AQ511" s="4413"/>
      <c r="AR511" s="4413"/>
      <c r="AS511" s="3708">
        <f t="shared" si="300"/>
        <v>2208</v>
      </c>
      <c r="AT511" s="1048"/>
      <c r="AU511" s="4413"/>
      <c r="AV511" s="4939"/>
      <c r="AW511" s="4939"/>
      <c r="AX511" s="1048"/>
      <c r="AY511" s="4939"/>
      <c r="AZ511" s="4939"/>
      <c r="BA511" s="1048"/>
      <c r="BB511" s="4622"/>
      <c r="BC511" s="4939"/>
      <c r="BD511" s="4622"/>
      <c r="BE511" s="4622"/>
      <c r="BF511" s="4622"/>
      <c r="BG511" s="4622"/>
      <c r="BH511" s="4622"/>
      <c r="BI511" s="4622"/>
      <c r="BJ511" s="1048"/>
      <c r="BK511" s="4160" t="s">
        <v>89</v>
      </c>
      <c r="BL511" s="4415">
        <f t="shared" si="291"/>
        <v>36.8</v>
      </c>
      <c r="BM511" s="4415">
        <f t="shared" si="292"/>
        <v>331.2</v>
      </c>
      <c r="BN511" s="4415">
        <f t="shared" si="293"/>
        <v>368</v>
      </c>
      <c r="BO511" s="4415">
        <f t="shared" si="294"/>
        <v>368</v>
      </c>
      <c r="BP511" s="4415">
        <f t="shared" si="295"/>
        <v>368</v>
      </c>
      <c r="BQ511" s="4414">
        <f t="shared" si="296"/>
        <v>368</v>
      </c>
      <c r="BR511" s="1048">
        <f t="shared" si="297"/>
        <v>368</v>
      </c>
      <c r="BS511" s="4432"/>
      <c r="BT511" s="4432"/>
      <c r="BU511" s="4432"/>
      <c r="BV511" s="4432"/>
      <c r="BW511" s="4432"/>
      <c r="BX511" s="4431"/>
      <c r="BY511" s="4431"/>
      <c r="BZ511" s="3708">
        <f t="shared" si="274"/>
        <v>2208</v>
      </c>
      <c r="CA511" s="4154">
        <f t="shared" si="275"/>
        <v>0</v>
      </c>
      <c r="CB511" s="4591"/>
      <c r="CC511" s="4591"/>
      <c r="CD511" s="4323"/>
      <c r="CE511" s="4323"/>
      <c r="CF511" s="4323"/>
    </row>
    <row r="512" s="4316" customFormat="1" ht="50" customHeight="1" spans="1:84">
      <c r="A512" s="4500">
        <v>45985</v>
      </c>
      <c r="B512" s="3708" t="s">
        <v>407</v>
      </c>
      <c r="C512" s="3708" t="s">
        <v>91</v>
      </c>
      <c r="D512" s="4154">
        <v>4500186623</v>
      </c>
      <c r="E512" s="3708">
        <v>60261230</v>
      </c>
      <c r="F512" s="4154" t="s">
        <v>2391</v>
      </c>
      <c r="G512" s="3708"/>
      <c r="H512" s="3708" t="s">
        <v>409</v>
      </c>
      <c r="I512" s="3708" t="s">
        <v>410</v>
      </c>
      <c r="J512" s="4154">
        <v>2004</v>
      </c>
      <c r="K512" s="4154">
        <v>0</v>
      </c>
      <c r="L512" s="4154">
        <v>12</v>
      </c>
      <c r="M512" s="4154">
        <f t="shared" si="298"/>
        <v>167</v>
      </c>
      <c r="N512" s="4503">
        <v>46078</v>
      </c>
      <c r="O512" s="4553">
        <v>46074</v>
      </c>
      <c r="P512" s="3712" t="s">
        <v>2374</v>
      </c>
      <c r="Q512" s="4154" t="s">
        <v>82</v>
      </c>
      <c r="R512" s="4157">
        <v>2004</v>
      </c>
      <c r="S512" s="4157">
        <f t="shared" si="276"/>
        <v>0</v>
      </c>
      <c r="T512" s="4157" t="s">
        <v>2297</v>
      </c>
      <c r="U512" s="3726" t="s">
        <v>2392</v>
      </c>
      <c r="V512" s="3711" t="s">
        <v>2236</v>
      </c>
      <c r="W512" s="3711"/>
      <c r="X512" s="3711" t="s">
        <v>98</v>
      </c>
      <c r="Y512" s="3711"/>
      <c r="Z512" s="3711" t="s">
        <v>2393</v>
      </c>
      <c r="AA512" s="4323"/>
      <c r="AB512" s="3713" t="s">
        <v>2394</v>
      </c>
      <c r="AC512" s="4154" t="s">
        <v>1880</v>
      </c>
      <c r="AD512" s="4154">
        <v>2.8819</v>
      </c>
      <c r="AE512" s="4154">
        <f t="shared" si="252"/>
        <v>5775.3276</v>
      </c>
      <c r="AF512" s="3726"/>
      <c r="AG512" s="3726"/>
      <c r="AH512" s="4430"/>
      <c r="AI512" s="4575">
        <f t="shared" si="299"/>
        <v>2004</v>
      </c>
      <c r="AJ512" s="4430"/>
      <c r="AK512" s="3708"/>
      <c r="AL512" s="3708"/>
      <c r="AM512" s="4154"/>
      <c r="AN512" s="4413"/>
      <c r="AO512" s="4510">
        <f t="shared" si="288"/>
        <v>2004</v>
      </c>
      <c r="AP512" s="1048"/>
      <c r="AQ512" s="4413"/>
      <c r="AR512" s="4413"/>
      <c r="AS512" s="4510">
        <f t="shared" si="300"/>
        <v>2004</v>
      </c>
      <c r="AT512" s="1048"/>
      <c r="AU512" s="4413"/>
      <c r="AV512" s="4939"/>
      <c r="AW512" s="4939"/>
      <c r="AX512" s="1048"/>
      <c r="AY512" s="4939"/>
      <c r="AZ512" s="4939"/>
      <c r="BA512" s="1048"/>
      <c r="BB512" s="4622"/>
      <c r="BC512" s="4939"/>
      <c r="BD512" s="4622"/>
      <c r="BE512" s="4622"/>
      <c r="BF512" s="4622"/>
      <c r="BG512" s="4622"/>
      <c r="BH512" s="4510">
        <f>J512</f>
        <v>2004</v>
      </c>
      <c r="BI512" s="4622"/>
      <c r="BJ512" s="1048"/>
      <c r="BK512" s="4160" t="s">
        <v>89</v>
      </c>
      <c r="BL512" s="4415">
        <f t="shared" si="291"/>
        <v>33.4</v>
      </c>
      <c r="BM512" s="4415">
        <f t="shared" si="292"/>
        <v>300.6</v>
      </c>
      <c r="BN512" s="4415">
        <f t="shared" si="293"/>
        <v>334</v>
      </c>
      <c r="BO512" s="4415">
        <f t="shared" si="294"/>
        <v>334</v>
      </c>
      <c r="BP512" s="4415">
        <f t="shared" si="295"/>
        <v>334</v>
      </c>
      <c r="BQ512" s="4414">
        <f t="shared" si="296"/>
        <v>334</v>
      </c>
      <c r="BR512" s="1048">
        <f t="shared" si="297"/>
        <v>334</v>
      </c>
      <c r="BS512" s="4432"/>
      <c r="BT512" s="4432"/>
      <c r="BU512" s="4432"/>
      <c r="BV512" s="4432"/>
      <c r="BW512" s="4432"/>
      <c r="BX512" s="4431"/>
      <c r="BY512" s="4431"/>
      <c r="BZ512" s="3708">
        <f t="shared" si="274"/>
        <v>2004</v>
      </c>
      <c r="CA512" s="4154">
        <f t="shared" si="275"/>
        <v>0</v>
      </c>
      <c r="CB512" s="4591"/>
      <c r="CC512" s="4591"/>
      <c r="CD512" s="4323"/>
      <c r="CE512" s="4323"/>
      <c r="CF512" s="4323"/>
    </row>
    <row r="513" s="4316" customFormat="1" ht="50" customHeight="1" spans="1:84 16246:16384">
      <c r="A513" s="4500">
        <v>46027</v>
      </c>
      <c r="B513" s="3708" t="s">
        <v>505</v>
      </c>
      <c r="C513" s="3708" t="s">
        <v>506</v>
      </c>
      <c r="D513" s="4154">
        <v>4500190626</v>
      </c>
      <c r="E513" s="3708">
        <v>21387807</v>
      </c>
      <c r="F513" s="4154" t="s">
        <v>2395</v>
      </c>
      <c r="G513" s="3708"/>
      <c r="H513" s="3708" t="s">
        <v>508</v>
      </c>
      <c r="I513" s="3708" t="s">
        <v>328</v>
      </c>
      <c r="J513" s="4593">
        <v>1500</v>
      </c>
      <c r="K513" s="4154">
        <v>0</v>
      </c>
      <c r="L513" s="4154">
        <v>6</v>
      </c>
      <c r="M513" s="4154">
        <f t="shared" si="298"/>
        <v>250</v>
      </c>
      <c r="N513" s="4503">
        <v>46097</v>
      </c>
      <c r="O513" s="4553">
        <v>46093</v>
      </c>
      <c r="P513" s="3712"/>
      <c r="Q513" s="4154" t="s">
        <v>82</v>
      </c>
      <c r="R513" s="4157">
        <f>1056+444</f>
        <v>1500</v>
      </c>
      <c r="S513" s="4157">
        <f t="shared" si="276"/>
        <v>0</v>
      </c>
      <c r="T513" s="4157" t="s">
        <v>2297</v>
      </c>
      <c r="U513" s="3726" t="s">
        <v>2396</v>
      </c>
      <c r="V513" s="3711" t="s">
        <v>2397</v>
      </c>
      <c r="W513" s="3711"/>
      <c r="X513" s="3711" t="s">
        <v>2398</v>
      </c>
      <c r="Y513" s="3711"/>
      <c r="Z513" s="3711"/>
      <c r="AA513" s="4323"/>
      <c r="AB513" s="3713" t="s">
        <v>2399</v>
      </c>
      <c r="AC513" s="3711" t="s">
        <v>2357</v>
      </c>
      <c r="AD513" s="4504">
        <v>2.3106</v>
      </c>
      <c r="AE513" s="4154">
        <f t="shared" si="252"/>
        <v>3465.9</v>
      </c>
      <c r="AF513" s="3726"/>
      <c r="AG513" s="3726"/>
      <c r="AH513" s="4412"/>
      <c r="AI513" s="4575">
        <f t="shared" si="299"/>
        <v>1500</v>
      </c>
      <c r="AJ513" s="4412"/>
      <c r="AK513" s="3708"/>
      <c r="AL513" s="3708"/>
      <c r="AM513" s="4154"/>
      <c r="AN513" s="1040"/>
      <c r="AO513" s="4510">
        <f t="shared" si="288"/>
        <v>1500</v>
      </c>
      <c r="AP513" s="1048"/>
      <c r="AQ513" s="1040"/>
      <c r="AR513" s="1040"/>
      <c r="AS513" s="4510">
        <f t="shared" si="300"/>
        <v>1500</v>
      </c>
      <c r="AT513" s="1048"/>
      <c r="AU513" s="1040"/>
      <c r="AV513" s="4945"/>
      <c r="AW513" s="4945"/>
      <c r="AX513" s="1048">
        <f>J513/6</f>
        <v>250</v>
      </c>
      <c r="AY513" s="4945"/>
      <c r="AZ513" s="4945"/>
      <c r="BA513" s="1048"/>
      <c r="BB513" s="4622"/>
      <c r="BC513" s="4945"/>
      <c r="BD513" s="4622"/>
      <c r="BE513" s="4622"/>
      <c r="BF513" s="4622"/>
      <c r="BG513" s="4622"/>
      <c r="BH513" s="4510"/>
      <c r="BI513" s="4622"/>
      <c r="BJ513" s="1048"/>
      <c r="BK513" s="4160" t="s">
        <v>89</v>
      </c>
      <c r="BL513" s="4415">
        <f t="shared" si="291"/>
        <v>25</v>
      </c>
      <c r="BM513" s="4415">
        <f t="shared" si="292"/>
        <v>225</v>
      </c>
      <c r="BN513" s="4415">
        <f t="shared" si="293"/>
        <v>250</v>
      </c>
      <c r="BO513" s="4415">
        <f t="shared" si="294"/>
        <v>250</v>
      </c>
      <c r="BP513" s="4415">
        <f t="shared" si="295"/>
        <v>250</v>
      </c>
      <c r="BQ513" s="4414">
        <f t="shared" si="296"/>
        <v>250</v>
      </c>
      <c r="BR513" s="1048">
        <f t="shared" si="297"/>
        <v>250</v>
      </c>
      <c r="BS513" s="4524"/>
      <c r="BT513" s="4524"/>
      <c r="BU513" s="4524"/>
      <c r="BV513" s="4524"/>
      <c r="BW513" s="4524"/>
      <c r="BX513" s="1041"/>
      <c r="BY513" s="1041"/>
      <c r="BZ513" s="3708">
        <f t="shared" si="274"/>
        <v>1500</v>
      </c>
      <c r="CA513" s="4154">
        <f t="shared" si="275"/>
        <v>0</v>
      </c>
      <c r="CB513" s="4619"/>
      <c r="CC513" s="4619"/>
      <c r="CD513" s="4323"/>
      <c r="CE513" s="4323"/>
      <c r="CF513" s="4323"/>
    </row>
    <row r="514" s="4316" customFormat="1" ht="50" customHeight="1" spans="1:84 16246:16384">
      <c r="A514" s="4500">
        <v>45995</v>
      </c>
      <c r="B514" s="3708" t="s">
        <v>407</v>
      </c>
      <c r="C514" s="3708" t="s">
        <v>91</v>
      </c>
      <c r="D514" s="4154">
        <v>4500186386</v>
      </c>
      <c r="E514" s="3708">
        <v>60260737</v>
      </c>
      <c r="F514" s="4154" t="s">
        <v>2400</v>
      </c>
      <c r="G514" s="3708"/>
      <c r="H514" s="3708" t="s">
        <v>409</v>
      </c>
      <c r="I514" s="3708" t="s">
        <v>410</v>
      </c>
      <c r="J514" s="4154">
        <v>2400</v>
      </c>
      <c r="K514" s="4154">
        <v>0</v>
      </c>
      <c r="L514" s="4154">
        <v>12</v>
      </c>
      <c r="M514" s="4154">
        <f t="shared" si="298"/>
        <v>200</v>
      </c>
      <c r="N514" s="4503">
        <v>46093</v>
      </c>
      <c r="O514" s="4553">
        <v>46090</v>
      </c>
      <c r="P514" s="3712" t="s">
        <v>2374</v>
      </c>
      <c r="Q514" s="4154" t="s">
        <v>82</v>
      </c>
      <c r="R514" s="4157">
        <v>2400</v>
      </c>
      <c r="S514" s="4157">
        <f t="shared" si="276"/>
        <v>0</v>
      </c>
      <c r="T514" s="4157" t="s">
        <v>2297</v>
      </c>
      <c r="U514" s="3726" t="s">
        <v>769</v>
      </c>
      <c r="V514" s="3711" t="s">
        <v>2370</v>
      </c>
      <c r="W514" s="3711"/>
      <c r="X514" s="3711" t="s">
        <v>98</v>
      </c>
      <c r="Y514" s="3711"/>
      <c r="Z514" s="3711" t="s">
        <v>2393</v>
      </c>
      <c r="AA514" s="4323"/>
      <c r="AB514" s="3713" t="s">
        <v>2401</v>
      </c>
      <c r="AC514" s="4154" t="s">
        <v>1880</v>
      </c>
      <c r="AD514" s="4154">
        <v>2.8819</v>
      </c>
      <c r="AE514" s="4154">
        <f t="shared" si="252"/>
        <v>6916.56</v>
      </c>
      <c r="AF514" s="3726"/>
      <c r="AG514" s="3726"/>
      <c r="AH514" s="4412"/>
      <c r="AI514" s="4575">
        <f t="shared" si="299"/>
        <v>2400</v>
      </c>
      <c r="AJ514" s="4412"/>
      <c r="AK514" s="3708"/>
      <c r="AL514" s="3708"/>
      <c r="AM514" s="4154"/>
      <c r="AN514" s="1040"/>
      <c r="AO514" s="4510">
        <f t="shared" si="288"/>
        <v>2400</v>
      </c>
      <c r="AP514" s="1048"/>
      <c r="AQ514" s="1040"/>
      <c r="AR514" s="1040"/>
      <c r="AS514" s="4510">
        <f t="shared" si="300"/>
        <v>2400</v>
      </c>
      <c r="AT514" s="1048"/>
      <c r="AU514" s="1040"/>
      <c r="AV514" s="4945"/>
      <c r="AW514" s="4945"/>
      <c r="AX514" s="1048"/>
      <c r="AY514" s="4945"/>
      <c r="AZ514" s="4945"/>
      <c r="BA514" s="1048"/>
      <c r="BB514" s="4622"/>
      <c r="BC514" s="4945"/>
      <c r="BD514" s="4622"/>
      <c r="BE514" s="4622"/>
      <c r="BF514" s="4622"/>
      <c r="BG514" s="4622"/>
      <c r="BH514" s="4510">
        <f>J514</f>
        <v>2400</v>
      </c>
      <c r="BI514" s="4622"/>
      <c r="BJ514" s="1048"/>
      <c r="BK514" s="4160" t="s">
        <v>89</v>
      </c>
      <c r="BL514" s="4415">
        <f t="shared" si="291"/>
        <v>40</v>
      </c>
      <c r="BM514" s="4415">
        <f t="shared" si="292"/>
        <v>360</v>
      </c>
      <c r="BN514" s="4415">
        <f t="shared" si="293"/>
        <v>400</v>
      </c>
      <c r="BO514" s="4415">
        <f t="shared" si="294"/>
        <v>400</v>
      </c>
      <c r="BP514" s="4415">
        <f t="shared" si="295"/>
        <v>400</v>
      </c>
      <c r="BQ514" s="4414">
        <f t="shared" si="296"/>
        <v>400</v>
      </c>
      <c r="BR514" s="1048">
        <f t="shared" si="297"/>
        <v>400</v>
      </c>
      <c r="BS514" s="4524"/>
      <c r="BT514" s="4524"/>
      <c r="BU514" s="4524"/>
      <c r="BV514" s="4524"/>
      <c r="BW514" s="4524"/>
      <c r="BX514" s="1041"/>
      <c r="BY514" s="1041"/>
      <c r="BZ514" s="3708">
        <f t="shared" si="274"/>
        <v>2400</v>
      </c>
      <c r="CA514" s="4154">
        <f t="shared" si="275"/>
        <v>0</v>
      </c>
      <c r="CB514" s="4619"/>
      <c r="CC514" s="4619"/>
      <c r="CD514" s="4323"/>
      <c r="CE514" s="4323"/>
      <c r="CF514" s="4323"/>
    </row>
    <row r="515" s="4316" customFormat="1" ht="50" customHeight="1" spans="1:84 16246:16384">
      <c r="A515" s="4500">
        <v>45995</v>
      </c>
      <c r="B515" s="3708" t="s">
        <v>407</v>
      </c>
      <c r="C515" s="3708" t="s">
        <v>91</v>
      </c>
      <c r="D515" s="4154">
        <v>4500186385</v>
      </c>
      <c r="E515" s="3708">
        <v>60260792</v>
      </c>
      <c r="F515" s="4154" t="s">
        <v>2402</v>
      </c>
      <c r="G515" s="3708"/>
      <c r="H515" s="3708" t="s">
        <v>409</v>
      </c>
      <c r="I515" s="3708" t="s">
        <v>410</v>
      </c>
      <c r="J515" s="4154">
        <v>2400</v>
      </c>
      <c r="K515" s="4154">
        <v>0</v>
      </c>
      <c r="L515" s="4154">
        <v>12</v>
      </c>
      <c r="M515" s="4154">
        <f t="shared" si="298"/>
        <v>200</v>
      </c>
      <c r="N515" s="4503">
        <v>46115</v>
      </c>
      <c r="O515" s="4553">
        <v>46111</v>
      </c>
      <c r="P515" s="3712" t="s">
        <v>2374</v>
      </c>
      <c r="Q515" s="4154" t="s">
        <v>82</v>
      </c>
      <c r="R515" s="4157">
        <v>2400</v>
      </c>
      <c r="S515" s="4157">
        <f t="shared" si="276"/>
        <v>0</v>
      </c>
      <c r="T515" s="4157" t="s">
        <v>2297</v>
      </c>
      <c r="U515" s="3726" t="s">
        <v>2403</v>
      </c>
      <c r="V515" s="3711" t="s">
        <v>2370</v>
      </c>
      <c r="W515" s="3711"/>
      <c r="X515" s="3711" t="s">
        <v>98</v>
      </c>
      <c r="Y515" s="3711"/>
      <c r="Z515" s="3711" t="s">
        <v>2393</v>
      </c>
      <c r="AA515" s="4323"/>
      <c r="AB515" s="3713" t="s">
        <v>2404</v>
      </c>
      <c r="AC515" s="4154" t="s">
        <v>1880</v>
      </c>
      <c r="AD515" s="4154">
        <v>2.8819</v>
      </c>
      <c r="AE515" s="4154">
        <f t="shared" si="252"/>
        <v>6916.56</v>
      </c>
      <c r="AF515" s="3726"/>
      <c r="AG515" s="3726"/>
      <c r="AH515" s="4412"/>
      <c r="AI515" s="4575">
        <f t="shared" si="299"/>
        <v>2400</v>
      </c>
      <c r="AJ515" s="4412"/>
      <c r="AK515" s="3708"/>
      <c r="AL515" s="3708"/>
      <c r="AM515" s="4154"/>
      <c r="AN515" s="1040"/>
      <c r="AO515" s="4510">
        <f t="shared" si="288"/>
        <v>2400</v>
      </c>
      <c r="AP515" s="1048"/>
      <c r="AQ515" s="1040"/>
      <c r="AR515" s="1040"/>
      <c r="AS515" s="4510">
        <f t="shared" si="300"/>
        <v>2400</v>
      </c>
      <c r="AT515" s="1048"/>
      <c r="AU515" s="1040"/>
      <c r="AV515" s="4945"/>
      <c r="AW515" s="4945"/>
      <c r="AX515" s="1048"/>
      <c r="AY515" s="4945"/>
      <c r="AZ515" s="4945"/>
      <c r="BA515" s="1048"/>
      <c r="BB515" s="4622"/>
      <c r="BC515" s="4945"/>
      <c r="BD515" s="4622"/>
      <c r="BE515" s="4622"/>
      <c r="BF515" s="4622"/>
      <c r="BG515" s="4622"/>
      <c r="BH515" s="4510">
        <f>J515</f>
        <v>2400</v>
      </c>
      <c r="BI515" s="4622"/>
      <c r="BJ515" s="1048"/>
      <c r="BK515" s="4160" t="s">
        <v>89</v>
      </c>
      <c r="BL515" s="4415">
        <f t="shared" si="291"/>
        <v>40</v>
      </c>
      <c r="BM515" s="4415">
        <f t="shared" si="292"/>
        <v>360</v>
      </c>
      <c r="BN515" s="4415">
        <f t="shared" si="293"/>
        <v>400</v>
      </c>
      <c r="BO515" s="4415">
        <f t="shared" si="294"/>
        <v>400</v>
      </c>
      <c r="BP515" s="4415">
        <f t="shared" si="295"/>
        <v>400</v>
      </c>
      <c r="BQ515" s="4414">
        <f t="shared" si="296"/>
        <v>400</v>
      </c>
      <c r="BR515" s="1048">
        <f t="shared" si="297"/>
        <v>400</v>
      </c>
      <c r="BS515" s="4524"/>
      <c r="BT515" s="4524"/>
      <c r="BU515" s="4524"/>
      <c r="BV515" s="4524"/>
      <c r="BW515" s="4524"/>
      <c r="BX515" s="1041"/>
      <c r="BY515" s="1041"/>
      <c r="BZ515" s="3708">
        <f t="shared" si="274"/>
        <v>2400</v>
      </c>
      <c r="CA515" s="4154">
        <f t="shared" si="275"/>
        <v>0</v>
      </c>
      <c r="CB515" s="4619"/>
      <c r="CC515" s="4619"/>
      <c r="CD515" s="4323"/>
      <c r="CE515" s="4323"/>
      <c r="CF515" s="4323"/>
    </row>
    <row r="516" s="4316" customFormat="1" ht="50" customHeight="1" spans="1:84 16246:16384">
      <c r="A516" s="4962">
        <v>45995</v>
      </c>
      <c r="B516" s="4963" t="s">
        <v>407</v>
      </c>
      <c r="C516" s="4963" t="s">
        <v>91</v>
      </c>
      <c r="D516" s="3767">
        <v>4500186369</v>
      </c>
      <c r="E516" s="4963">
        <v>60260844</v>
      </c>
      <c r="F516" s="3767" t="s">
        <v>2405</v>
      </c>
      <c r="G516" s="3708" t="s">
        <v>409</v>
      </c>
      <c r="H516" s="4963" t="s">
        <v>409</v>
      </c>
      <c r="I516" s="4963" t="s">
        <v>410</v>
      </c>
      <c r="J516" s="3767">
        <v>2400</v>
      </c>
      <c r="K516" s="3767">
        <v>0</v>
      </c>
      <c r="L516" s="3767">
        <v>12</v>
      </c>
      <c r="M516" s="3767">
        <f t="shared" si="298"/>
        <v>200</v>
      </c>
      <c r="N516" s="4964">
        <v>46150</v>
      </c>
      <c r="O516" s="4965">
        <v>46146</v>
      </c>
      <c r="P516" s="4966" t="s">
        <v>2374</v>
      </c>
      <c r="Q516" s="4154" t="s">
        <v>82</v>
      </c>
      <c r="R516" s="4174">
        <v>2400</v>
      </c>
      <c r="S516" s="4174">
        <f t="shared" si="276"/>
        <v>0</v>
      </c>
      <c r="T516" s="4174"/>
      <c r="U516" s="4212" t="s">
        <v>2406</v>
      </c>
      <c r="V516" s="3709" t="s">
        <v>2370</v>
      </c>
      <c r="W516" s="3709"/>
      <c r="X516" s="3709" t="s">
        <v>98</v>
      </c>
      <c r="Y516" s="3709"/>
      <c r="Z516" s="3709" t="s">
        <v>2407</v>
      </c>
      <c r="AA516" s="4588"/>
      <c r="AB516" s="4967" t="s">
        <v>2408</v>
      </c>
      <c r="AC516" s="3767" t="s">
        <v>1880</v>
      </c>
      <c r="AD516" s="3767">
        <v>2.8819</v>
      </c>
      <c r="AE516" s="3767">
        <f t="shared" si="252"/>
        <v>6916.56</v>
      </c>
      <c r="AF516" s="4212"/>
      <c r="AG516" s="4212"/>
      <c r="AH516" s="4968"/>
      <c r="AI516" s="4969">
        <f t="shared" si="299"/>
        <v>2400</v>
      </c>
      <c r="AJ516" s="4968"/>
      <c r="AK516" s="4963"/>
      <c r="AL516" s="4963"/>
      <c r="AM516" s="3767"/>
      <c r="AN516" s="1017"/>
      <c r="AO516" s="4970">
        <f t="shared" si="288"/>
        <v>2400</v>
      </c>
      <c r="AP516" s="4971"/>
      <c r="AQ516" s="1017"/>
      <c r="AR516" s="1017"/>
      <c r="AS516" s="4970">
        <f t="shared" si="300"/>
        <v>2400</v>
      </c>
      <c r="AT516" s="4971"/>
      <c r="AU516" s="1017"/>
      <c r="AV516" s="4972"/>
      <c r="AW516" s="4972"/>
      <c r="AX516" s="4971"/>
      <c r="AY516" s="4972"/>
      <c r="AZ516" s="4972"/>
      <c r="BA516" s="4971"/>
      <c r="BB516" s="4973"/>
      <c r="BC516" s="4972"/>
      <c r="BD516" s="4973"/>
      <c r="BE516" s="4973"/>
      <c r="BF516" s="4973"/>
      <c r="BG516" s="4973"/>
      <c r="BH516" s="4970">
        <f>J516</f>
        <v>2400</v>
      </c>
      <c r="BI516" s="4973"/>
      <c r="BJ516" s="4971"/>
      <c r="BK516" s="4974" t="s">
        <v>89</v>
      </c>
      <c r="BL516" s="4975">
        <f t="shared" si="291"/>
        <v>40</v>
      </c>
      <c r="BM516" s="4975">
        <f t="shared" si="292"/>
        <v>360</v>
      </c>
      <c r="BN516" s="4975">
        <f t="shared" si="293"/>
        <v>400</v>
      </c>
      <c r="BO516" s="4975">
        <f t="shared" si="294"/>
        <v>400</v>
      </c>
      <c r="BP516" s="4975">
        <f t="shared" si="295"/>
        <v>400</v>
      </c>
      <c r="BQ516" s="4976">
        <f t="shared" si="296"/>
        <v>400</v>
      </c>
      <c r="BR516" s="4971">
        <f t="shared" si="297"/>
        <v>400</v>
      </c>
      <c r="BS516" s="1019"/>
      <c r="BT516" s="1019"/>
      <c r="BU516" s="1019"/>
      <c r="BV516" s="1019"/>
      <c r="BW516" s="1019"/>
      <c r="BX516" s="1018"/>
      <c r="BY516" s="1018"/>
      <c r="BZ516" s="4963">
        <f t="shared" si="274"/>
        <v>2400</v>
      </c>
      <c r="CA516" s="3767">
        <f t="shared" si="275"/>
        <v>0</v>
      </c>
      <c r="CB516" s="4977"/>
      <c r="CC516" s="4977"/>
      <c r="CD516" s="4588"/>
      <c r="CE516" s="4588"/>
      <c r="CF516" s="4588"/>
    </row>
    <row r="517" s="4316" customFormat="1" ht="50" customHeight="1" spans="1:84 16246:16384">
      <c r="A517" s="4500">
        <v>46098</v>
      </c>
      <c r="B517" s="4501" t="s">
        <v>2409</v>
      </c>
      <c r="C517" s="3708" t="s">
        <v>2410</v>
      </c>
      <c r="D517" s="4502">
        <v>4500197298</v>
      </c>
      <c r="E517" s="3708"/>
      <c r="F517" s="4615" t="s">
        <v>2411</v>
      </c>
      <c r="G517" s="3708"/>
      <c r="H517" s="3708" t="s">
        <v>327</v>
      </c>
      <c r="I517" s="4154" t="s">
        <v>328</v>
      </c>
      <c r="J517" s="4154">
        <v>2400</v>
      </c>
      <c r="K517" s="4154">
        <v>0</v>
      </c>
      <c r="L517" s="4154">
        <v>12</v>
      </c>
      <c r="M517" s="4154">
        <f t="shared" si="298"/>
        <v>200</v>
      </c>
      <c r="N517" s="4503">
        <v>46177</v>
      </c>
      <c r="O517" s="4503">
        <v>46174</v>
      </c>
      <c r="P517" s="3708"/>
      <c r="Q517" s="4154" t="s">
        <v>82</v>
      </c>
      <c r="R517" s="4174">
        <f>2388+12</f>
        <v>2400</v>
      </c>
      <c r="S517" s="4174">
        <f t="shared" si="276"/>
        <v>0</v>
      </c>
      <c r="T517" s="4157"/>
      <c r="U517" s="3680" t="s">
        <v>2412</v>
      </c>
      <c r="V517" s="3711" t="s">
        <v>2413</v>
      </c>
      <c r="W517" s="3711"/>
      <c r="X517" s="3711" t="s">
        <v>2414</v>
      </c>
      <c r="Y517" s="3711"/>
      <c r="Z517" s="3711"/>
      <c r="AA517" s="4154"/>
      <c r="AB517" s="3680" t="s">
        <v>2415</v>
      </c>
      <c r="AC517" s="4154" t="s">
        <v>2416</v>
      </c>
      <c r="AD517" s="4616">
        <v>2.2106</v>
      </c>
      <c r="AE517" s="4154">
        <f t="shared" si="252"/>
        <v>5305.44</v>
      </c>
      <c r="AF517" s="3726"/>
      <c r="AG517" s="3726"/>
      <c r="AH517" s="3708"/>
      <c r="AI517" s="3708">
        <f t="shared" si="299"/>
        <v>2400</v>
      </c>
      <c r="AJ517" s="3708"/>
      <c r="AK517" s="3708"/>
      <c r="AL517" s="3708"/>
      <c r="AM517" s="4154"/>
      <c r="AN517" s="1048"/>
      <c r="AO517" s="1048">
        <f t="shared" si="288"/>
        <v>2400</v>
      </c>
      <c r="AP517" s="1048"/>
      <c r="AQ517" s="1048"/>
      <c r="AR517" s="1048"/>
      <c r="AS517" s="1048">
        <f t="shared" si="300"/>
        <v>2400</v>
      </c>
      <c r="AT517" s="1048"/>
      <c r="AU517" s="1048"/>
      <c r="AV517" s="4622"/>
      <c r="AW517" s="4622"/>
      <c r="AX517" s="1048">
        <f>J517/6</f>
        <v>400</v>
      </c>
      <c r="AY517" s="4622"/>
      <c r="AZ517" s="4622"/>
      <c r="BA517" s="1048"/>
      <c r="BB517" s="4622"/>
      <c r="BC517" s="4622"/>
      <c r="BD517" s="4622"/>
      <c r="BE517" s="4622"/>
      <c r="BF517" s="4622"/>
      <c r="BG517" s="4622"/>
      <c r="BH517" s="4510"/>
      <c r="BI517" s="4622"/>
      <c r="BJ517" s="1048"/>
      <c r="BK517" s="4160" t="s">
        <v>89</v>
      </c>
      <c r="BL517" s="4415">
        <f t="shared" si="291"/>
        <v>40</v>
      </c>
      <c r="BM517" s="4415">
        <f t="shared" si="292"/>
        <v>360</v>
      </c>
      <c r="BN517" s="4415">
        <f t="shared" si="293"/>
        <v>400</v>
      </c>
      <c r="BO517" s="4415">
        <f t="shared" si="294"/>
        <v>400</v>
      </c>
      <c r="BP517" s="4415">
        <f t="shared" si="295"/>
        <v>400</v>
      </c>
      <c r="BQ517" s="4414">
        <f t="shared" si="296"/>
        <v>400</v>
      </c>
      <c r="BR517" s="1048">
        <f t="shared" si="297"/>
        <v>400</v>
      </c>
      <c r="BS517" s="4415"/>
      <c r="BT517" s="4415"/>
      <c r="BU517" s="4415"/>
      <c r="BV517" s="4415"/>
      <c r="BW517" s="4415"/>
      <c r="BX517" s="4414"/>
      <c r="BY517" s="4414"/>
      <c r="BZ517" s="3708">
        <f t="shared" si="274"/>
        <v>2400</v>
      </c>
      <c r="CA517" s="4154">
        <f t="shared" si="275"/>
        <v>0</v>
      </c>
      <c r="CB517" s="4160"/>
      <c r="CC517" s="4160"/>
      <c r="CD517" s="4323"/>
      <c r="CE517" s="4323"/>
      <c r="CF517" s="4323"/>
    </row>
    <row r="518" s="4318" customFormat="1" ht="50" customHeight="1" spans="1:84 16246:16384">
      <c r="A518" s="4513">
        <v>46167</v>
      </c>
      <c r="B518" s="4514" t="s">
        <v>1057</v>
      </c>
      <c r="C518" s="905" t="s">
        <v>396</v>
      </c>
      <c r="D518" s="4515" t="s">
        <v>2417</v>
      </c>
      <c r="E518" s="905" t="s">
        <v>2418</v>
      </c>
      <c r="F518" s="4515" t="s">
        <v>2419</v>
      </c>
      <c r="G518" s="905"/>
      <c r="H518" s="905" t="s">
        <v>1060</v>
      </c>
      <c r="I518" s="905" t="s">
        <v>1061</v>
      </c>
      <c r="J518" s="906">
        <v>792</v>
      </c>
      <c r="K518" s="906">
        <v>0</v>
      </c>
      <c r="L518" s="906">
        <v>24</v>
      </c>
      <c r="M518" s="906">
        <f t="shared" si="298"/>
        <v>33</v>
      </c>
      <c r="N518" s="4516">
        <v>46203</v>
      </c>
      <c r="O518" s="4516">
        <v>46199</v>
      </c>
      <c r="P518" s="906"/>
      <c r="Q518" s="4154" t="s">
        <v>82</v>
      </c>
      <c r="R518" s="4978">
        <v>792</v>
      </c>
      <c r="S518" s="4978">
        <f t="shared" si="276"/>
        <v>0</v>
      </c>
      <c r="T518" s="4978" t="s">
        <v>2297</v>
      </c>
      <c r="U518" s="3625" t="s">
        <v>2420</v>
      </c>
      <c r="V518" s="3820" t="s">
        <v>2421</v>
      </c>
      <c r="W518" s="3739"/>
      <c r="X518" s="3739" t="s">
        <v>2422</v>
      </c>
      <c r="Y518" s="3739"/>
      <c r="Z518" s="3820" t="s">
        <v>2423</v>
      </c>
      <c r="AA518" s="906"/>
      <c r="AB518" s="3625" t="s">
        <v>2424</v>
      </c>
      <c r="AC518" s="906" t="s">
        <v>2425</v>
      </c>
      <c r="AD518" s="4523">
        <v>2.196</v>
      </c>
      <c r="AE518" s="906">
        <f t="shared" si="252"/>
        <v>1739.232</v>
      </c>
      <c r="AF518" s="4148"/>
      <c r="AG518" s="4148"/>
      <c r="AH518" s="4979"/>
      <c r="AI518" s="4382"/>
      <c r="AJ518" s="4946"/>
      <c r="AK518" s="4382">
        <f>J518</f>
        <v>792</v>
      </c>
      <c r="AL518" s="4384"/>
      <c r="AM518" s="906"/>
      <c r="AN518" s="4644"/>
      <c r="AO518" s="4544">
        <f t="shared" si="288"/>
        <v>792</v>
      </c>
      <c r="AP518" s="4544"/>
      <c r="AQ518" s="4644"/>
      <c r="AR518" s="4644"/>
      <c r="AS518" s="4544"/>
      <c r="AT518" s="4544">
        <f>J518</f>
        <v>792</v>
      </c>
      <c r="AU518" s="4644"/>
      <c r="AV518" s="4644"/>
      <c r="AW518" s="4644"/>
      <c r="AX518" s="4544"/>
      <c r="AY518" s="4644"/>
      <c r="AZ518" s="4644"/>
      <c r="BA518" s="4544"/>
      <c r="BB518" s="4544"/>
      <c r="BC518" s="4644"/>
      <c r="BD518" s="4544"/>
      <c r="BE518" s="4544"/>
      <c r="BF518" s="4544"/>
      <c r="BG518" s="4544"/>
      <c r="BH518" s="4544"/>
      <c r="BI518" s="4544"/>
      <c r="BJ518" s="4544"/>
      <c r="BK518" s="4544" t="s">
        <v>89</v>
      </c>
      <c r="BL518" s="4638">
        <f t="shared" si="291"/>
        <v>13.2</v>
      </c>
      <c r="BM518" s="4638">
        <f t="shared" si="292"/>
        <v>118.8</v>
      </c>
      <c r="BN518" s="4638">
        <f t="shared" si="293"/>
        <v>132</v>
      </c>
      <c r="BO518" s="4638">
        <f t="shared" si="294"/>
        <v>132</v>
      </c>
      <c r="BP518" s="4638">
        <f t="shared" si="295"/>
        <v>132</v>
      </c>
      <c r="BQ518" s="4638">
        <f t="shared" si="296"/>
        <v>132</v>
      </c>
      <c r="BR518" s="4638">
        <f t="shared" si="297"/>
        <v>132</v>
      </c>
      <c r="BS518" s="4980"/>
      <c r="BT518" s="4980"/>
      <c r="BU518" s="4980"/>
      <c r="BV518" s="4980"/>
      <c r="BW518" s="4980"/>
      <c r="BX518" s="4980"/>
      <c r="BY518" s="4980"/>
      <c r="BZ518" s="4638">
        <f t="shared" si="274"/>
        <v>792</v>
      </c>
      <c r="CA518" s="4544">
        <f t="shared" si="275"/>
        <v>0</v>
      </c>
      <c r="CB518" s="4644"/>
      <c r="CC518" s="4644"/>
      <c r="CD518" s="4544"/>
      <c r="CE518" s="4544"/>
      <c r="CF518" s="4544"/>
      <c r="XCD518" s="4513"/>
      <c r="XCE518" s="4514"/>
      <c r="XCF518" s="905"/>
      <c r="XCG518" s="4515"/>
      <c r="XCH518" s="905"/>
      <c r="XCI518" s="4515"/>
      <c r="XCJ518" s="905"/>
      <c r="XCK518" s="905"/>
      <c r="XCL518" s="905"/>
      <c r="XCM518" s="906"/>
      <c r="XCN518" s="906"/>
      <c r="XCO518" s="906"/>
      <c r="XCP518" s="906"/>
      <c r="XCQ518" s="4516"/>
      <c r="XCR518" s="4516"/>
      <c r="XCS518" s="906"/>
      <c r="XCT518" s="4148"/>
      <c r="XCU518" s="4156"/>
      <c r="XCV518" s="4156"/>
      <c r="XCW518" s="4156"/>
      <c r="XCX518" s="4513"/>
      <c r="XCY518" s="4514"/>
      <c r="XCZ518" s="905"/>
      <c r="XDA518" s="4515"/>
      <c r="XDB518" s="905"/>
      <c r="XDC518" s="4515"/>
      <c r="XDD518" s="905"/>
      <c r="XDE518" s="905"/>
      <c r="XDF518" s="905"/>
      <c r="XDG518" s="906"/>
      <c r="XDH518" s="906"/>
      <c r="XDI518" s="906"/>
      <c r="XDJ518" s="906"/>
      <c r="XDK518" s="4516"/>
      <c r="XDL518" s="4516"/>
      <c r="XDM518" s="906"/>
      <c r="XDN518" s="4148"/>
      <c r="XDO518" s="4156"/>
      <c r="XDP518" s="4156"/>
      <c r="XDQ518" s="4156"/>
      <c r="XDR518" s="4513"/>
      <c r="XDS518" s="4514"/>
      <c r="XDT518" s="905"/>
      <c r="XDU518" s="4515"/>
      <c r="XDV518" s="905"/>
      <c r="XDW518" s="4515"/>
      <c r="XDX518" s="905"/>
      <c r="XDY518" s="905"/>
      <c r="XDZ518" s="905"/>
      <c r="XEA518" s="906"/>
      <c r="XEB518" s="906"/>
      <c r="XEC518" s="906"/>
      <c r="XED518" s="906"/>
      <c r="XEE518" s="4516"/>
      <c r="XEF518" s="4516"/>
      <c r="XEG518" s="906"/>
      <c r="XEH518" s="4148"/>
      <c r="XEI518" s="4156"/>
      <c r="XEJ518" s="4156"/>
      <c r="XEK518" s="4156"/>
      <c r="XEL518" s="4513"/>
      <c r="XEM518" s="4514"/>
      <c r="XEN518" s="905"/>
      <c r="XEO518" s="4515"/>
      <c r="XEP518" s="905"/>
      <c r="XEQ518" s="4515"/>
      <c r="XER518" s="905"/>
      <c r="XES518" s="905"/>
      <c r="XET518" s="905"/>
      <c r="XEU518" s="906"/>
      <c r="XEV518" s="906"/>
      <c r="XEW518" s="906"/>
      <c r="XEX518" s="906"/>
      <c r="XEY518" s="4516"/>
      <c r="XEZ518" s="4516"/>
      <c r="XFA518" s="906"/>
      <c r="XFB518" s="4148"/>
      <c r="XFC518" s="4156"/>
      <c r="XFD518" s="4156"/>
    </row>
    <row r="519" s="4318" customFormat="1" ht="50" customHeight="1" spans="1:84 16246:16384">
      <c r="A519" s="4513">
        <v>46167</v>
      </c>
      <c r="B519" s="4514" t="s">
        <v>1057</v>
      </c>
      <c r="C519" s="905" t="s">
        <v>396</v>
      </c>
      <c r="D519" s="4515" t="s">
        <v>2417</v>
      </c>
      <c r="E519" s="905" t="s">
        <v>2426</v>
      </c>
      <c r="F519" s="4515" t="s">
        <v>2427</v>
      </c>
      <c r="G519" s="905"/>
      <c r="H519" s="905" t="s">
        <v>1060</v>
      </c>
      <c r="I519" s="905" t="s">
        <v>1061</v>
      </c>
      <c r="J519" s="906">
        <v>192</v>
      </c>
      <c r="K519" s="906">
        <v>0</v>
      </c>
      <c r="L519" s="906">
        <v>24</v>
      </c>
      <c r="M519" s="906">
        <f t="shared" si="298"/>
        <v>8</v>
      </c>
      <c r="N519" s="4516">
        <v>46203</v>
      </c>
      <c r="O519" s="4516">
        <v>46199</v>
      </c>
      <c r="P519" s="906"/>
      <c r="Q519" s="4154" t="s">
        <v>82</v>
      </c>
      <c r="R519" s="4978">
        <v>192</v>
      </c>
      <c r="S519" s="4981">
        <f t="shared" si="276"/>
        <v>0</v>
      </c>
      <c r="T519" s="4982" t="s">
        <v>2297</v>
      </c>
      <c r="U519" s="3625" t="s">
        <v>2420</v>
      </c>
      <c r="V519" s="3820" t="s">
        <v>2421</v>
      </c>
      <c r="W519" s="3739"/>
      <c r="X519" s="3739" t="s">
        <v>2422</v>
      </c>
      <c r="Y519" s="3739"/>
      <c r="Z519" s="3820" t="s">
        <v>2423</v>
      </c>
      <c r="AA519" s="906"/>
      <c r="AB519" s="3625" t="s">
        <v>2424</v>
      </c>
      <c r="AC519" s="906" t="s">
        <v>2425</v>
      </c>
      <c r="AD519" s="4523">
        <v>2.196</v>
      </c>
      <c r="AE519" s="906">
        <f t="shared" si="252"/>
        <v>421.632</v>
      </c>
      <c r="AF519" s="4148"/>
      <c r="AG519" s="4148"/>
      <c r="AH519" s="4979"/>
      <c r="AI519" s="4931"/>
      <c r="AJ519" s="4418"/>
      <c r="AK519" s="4382">
        <f>J519</f>
        <v>192</v>
      </c>
      <c r="AL519" s="4544"/>
      <c r="AM519" s="4544"/>
      <c r="AN519" s="4644"/>
      <c r="AO519" s="4544">
        <f t="shared" si="288"/>
        <v>192</v>
      </c>
      <c r="AP519" s="4544"/>
      <c r="AQ519" s="4644"/>
      <c r="AR519" s="4644"/>
      <c r="AS519" s="4544"/>
      <c r="AT519" s="4544">
        <f>J519</f>
        <v>192</v>
      </c>
      <c r="AU519" s="4644"/>
      <c r="AV519" s="4644"/>
      <c r="AW519" s="4644"/>
      <c r="AX519" s="4544"/>
      <c r="AY519" s="4644"/>
      <c r="AZ519" s="4644"/>
      <c r="BA519" s="4544"/>
      <c r="BB519" s="4544"/>
      <c r="BC519" s="4644"/>
      <c r="BD519" s="4544"/>
      <c r="BE519" s="4544"/>
      <c r="BF519" s="4544"/>
      <c r="BG519" s="4544"/>
      <c r="BH519" s="4544"/>
      <c r="BI519" s="4544"/>
      <c r="BJ519" s="4544"/>
      <c r="BK519" s="4544" t="s">
        <v>89</v>
      </c>
      <c r="BL519" s="4638">
        <f t="shared" si="291"/>
        <v>3.2</v>
      </c>
      <c r="BM519" s="4638">
        <f t="shared" si="292"/>
        <v>28.8</v>
      </c>
      <c r="BN519" s="4638">
        <f t="shared" si="293"/>
        <v>32</v>
      </c>
      <c r="BO519" s="4638">
        <f t="shared" si="294"/>
        <v>32</v>
      </c>
      <c r="BP519" s="4638">
        <f t="shared" si="295"/>
        <v>32</v>
      </c>
      <c r="BQ519" s="4638">
        <f t="shared" si="296"/>
        <v>32</v>
      </c>
      <c r="BR519" s="4638">
        <f t="shared" si="297"/>
        <v>32</v>
      </c>
      <c r="BS519" s="4980"/>
      <c r="BT519" s="4980"/>
      <c r="BU519" s="4980"/>
      <c r="BV519" s="4980"/>
      <c r="BW519" s="4980"/>
      <c r="BX519" s="4980"/>
      <c r="BY519" s="4980"/>
      <c r="BZ519" s="4638">
        <f t="shared" si="274"/>
        <v>192</v>
      </c>
      <c r="CA519" s="4544">
        <f t="shared" si="275"/>
        <v>0</v>
      </c>
      <c r="CB519" s="4644"/>
      <c r="CC519" s="4644"/>
      <c r="CD519" s="4544"/>
      <c r="CE519" s="4544"/>
      <c r="CF519" s="4544"/>
      <c r="XBJ519" s="4513"/>
      <c r="XBK519" s="4514"/>
      <c r="XBL519" s="905"/>
      <c r="XBM519" s="4515"/>
      <c r="XBN519" s="905"/>
      <c r="XBO519" s="4515"/>
      <c r="XBP519" s="905"/>
      <c r="XBQ519" s="905"/>
      <c r="XBR519" s="905"/>
      <c r="XBS519" s="906"/>
      <c r="XBT519" s="906"/>
      <c r="XBU519" s="906"/>
      <c r="XBV519" s="906"/>
      <c r="XBW519" s="4516"/>
      <c r="XBX519" s="4516"/>
      <c r="XBY519" s="906"/>
      <c r="XBZ519" s="4148"/>
      <c r="XCA519" s="4156"/>
      <c r="XCB519" s="4156"/>
      <c r="XCC519" s="4156"/>
      <c r="XCD519" s="4513"/>
      <c r="XCE519" s="4514"/>
      <c r="XCF519" s="905"/>
      <c r="XCG519" s="4515"/>
      <c r="XCH519" s="905"/>
      <c r="XCI519" s="4515"/>
      <c r="XCJ519" s="905"/>
      <c r="XCK519" s="905"/>
      <c r="XCL519" s="905"/>
      <c r="XCM519" s="906"/>
      <c r="XCN519" s="906"/>
      <c r="XCO519" s="906"/>
      <c r="XCP519" s="906"/>
      <c r="XCQ519" s="4516"/>
      <c r="XCR519" s="4516"/>
      <c r="XCS519" s="906"/>
      <c r="XCT519" s="4148"/>
      <c r="XCU519" s="4156"/>
      <c r="XCV519" s="4156"/>
      <c r="XCW519" s="4156"/>
      <c r="XCX519" s="4513"/>
      <c r="XCY519" s="4514"/>
      <c r="XCZ519" s="905"/>
      <c r="XDA519" s="4515"/>
      <c r="XDB519" s="905"/>
      <c r="XDC519" s="4515"/>
      <c r="XDD519" s="905"/>
      <c r="XDE519" s="905"/>
      <c r="XDF519" s="905"/>
      <c r="XDG519" s="906"/>
      <c r="XDH519" s="906"/>
      <c r="XDI519" s="906"/>
      <c r="XDJ519" s="906"/>
      <c r="XDK519" s="4516"/>
      <c r="XDL519" s="4516"/>
      <c r="XDM519" s="906"/>
      <c r="XDN519" s="4148"/>
      <c r="XDO519" s="4156"/>
      <c r="XDP519" s="4156"/>
      <c r="XDQ519" s="4156"/>
      <c r="XDR519" s="4513"/>
      <c r="XDS519" s="4514"/>
      <c r="XDT519" s="905"/>
      <c r="XDU519" s="4515"/>
      <c r="XDV519" s="905"/>
      <c r="XDW519" s="4515"/>
      <c r="XDX519" s="905"/>
      <c r="XDY519" s="905"/>
      <c r="XDZ519" s="905"/>
      <c r="XEA519" s="906"/>
      <c r="XEB519" s="906"/>
      <c r="XEC519" s="906"/>
      <c r="XED519" s="906"/>
      <c r="XEE519" s="4516"/>
      <c r="XEF519" s="4516"/>
      <c r="XEG519" s="906"/>
      <c r="XEH519" s="4148"/>
      <c r="XEI519" s="4156"/>
      <c r="XEJ519" s="4156"/>
      <c r="XEK519" s="4156"/>
      <c r="XEL519" s="4513"/>
      <c r="XEM519" s="4514"/>
      <c r="XEN519" s="905"/>
      <c r="XEO519" s="4515"/>
      <c r="XEP519" s="905"/>
      <c r="XEQ519" s="4515"/>
      <c r="XER519" s="905"/>
      <c r="XES519" s="905"/>
      <c r="XET519" s="905"/>
      <c r="XEU519" s="906"/>
      <c r="XEV519" s="906"/>
      <c r="XEW519" s="906"/>
      <c r="XEX519" s="906"/>
      <c r="XEY519" s="4516"/>
      <c r="XEZ519" s="4516"/>
      <c r="XFA519" s="906"/>
      <c r="XFB519" s="4148"/>
      <c r="XFC519" s="4156"/>
      <c r="XFD519" s="4156"/>
    </row>
    <row r="520" s="4318" customFormat="1" ht="50" customHeight="1" spans="1:84 16246:16384">
      <c r="A520" s="4513">
        <v>46167</v>
      </c>
      <c r="B520" s="4514" t="s">
        <v>1057</v>
      </c>
      <c r="C520" s="905" t="s">
        <v>396</v>
      </c>
      <c r="D520" s="4515" t="s">
        <v>2428</v>
      </c>
      <c r="E520" s="905" t="s">
        <v>2429</v>
      </c>
      <c r="F520" s="4515" t="s">
        <v>2430</v>
      </c>
      <c r="G520" s="905"/>
      <c r="H520" s="905" t="s">
        <v>1060</v>
      </c>
      <c r="I520" s="905" t="s">
        <v>1061</v>
      </c>
      <c r="J520" s="906">
        <v>192</v>
      </c>
      <c r="K520" s="906">
        <v>0</v>
      </c>
      <c r="L520" s="906">
        <v>24</v>
      </c>
      <c r="M520" s="906">
        <f t="shared" si="298"/>
        <v>8</v>
      </c>
      <c r="N520" s="4516">
        <v>46203</v>
      </c>
      <c r="O520" s="4516">
        <v>46199</v>
      </c>
      <c r="P520" s="906"/>
      <c r="Q520" s="4154" t="s">
        <v>82</v>
      </c>
      <c r="R520" s="4978">
        <v>192</v>
      </c>
      <c r="S520" s="4981">
        <f t="shared" si="276"/>
        <v>0</v>
      </c>
      <c r="T520" s="4982" t="s">
        <v>2297</v>
      </c>
      <c r="U520" s="4140"/>
      <c r="V520" s="3820" t="s">
        <v>2421</v>
      </c>
      <c r="W520" s="3739"/>
      <c r="X520" s="3739" t="s">
        <v>2422</v>
      </c>
      <c r="Y520" s="3739"/>
      <c r="Z520" s="3820" t="s">
        <v>2423</v>
      </c>
      <c r="AA520" s="906"/>
      <c r="AB520" s="3625" t="s">
        <v>2431</v>
      </c>
      <c r="AC520" s="906" t="s">
        <v>2425</v>
      </c>
      <c r="AD520" s="4523">
        <v>2.196</v>
      </c>
      <c r="AE520" s="906">
        <f t="shared" si="252"/>
        <v>421.632</v>
      </c>
      <c r="AF520" s="4148"/>
      <c r="AG520" s="4148"/>
      <c r="AH520" s="4983"/>
      <c r="AI520" s="905"/>
      <c r="AJ520" s="4405"/>
      <c r="AK520" s="4382">
        <f>J520</f>
        <v>192</v>
      </c>
      <c r="AL520" s="4382"/>
      <c r="AM520" s="4382"/>
      <c r="AN520" s="4417"/>
      <c r="AO520" s="4544">
        <f t="shared" si="288"/>
        <v>192</v>
      </c>
      <c r="AP520" s="4382"/>
      <c r="AQ520" s="4417"/>
      <c r="AR520" s="4946"/>
      <c r="AS520" s="4931"/>
      <c r="AT520" s="4544">
        <f>J520</f>
        <v>192</v>
      </c>
      <c r="AU520" s="4946"/>
      <c r="AV520" s="4946"/>
      <c r="AW520" s="4417"/>
      <c r="AX520" s="4931"/>
      <c r="AY520" s="4417"/>
      <c r="AZ520" s="4418"/>
      <c r="BA520" s="4384"/>
      <c r="BB520" s="4384"/>
      <c r="BC520" s="4418"/>
      <c r="BD520" s="4384"/>
      <c r="BE520" s="4384"/>
      <c r="BF520" s="4383"/>
      <c r="BG520" s="4382"/>
      <c r="BH520" s="905"/>
      <c r="BI520" s="906"/>
      <c r="BJ520" s="4544"/>
      <c r="BK520" s="4544" t="s">
        <v>89</v>
      </c>
      <c r="BL520" s="4638">
        <f t="shared" si="291"/>
        <v>3.2</v>
      </c>
      <c r="BM520" s="4638">
        <f t="shared" si="292"/>
        <v>28.8</v>
      </c>
      <c r="BN520" s="4638">
        <f t="shared" si="293"/>
        <v>32</v>
      </c>
      <c r="BO520" s="4638">
        <f t="shared" si="294"/>
        <v>32</v>
      </c>
      <c r="BP520" s="4638">
        <f t="shared" si="295"/>
        <v>32</v>
      </c>
      <c r="BQ520" s="4638">
        <f t="shared" si="296"/>
        <v>32</v>
      </c>
      <c r="BR520" s="4638">
        <f t="shared" si="297"/>
        <v>32</v>
      </c>
      <c r="BS520" s="4980"/>
      <c r="BT520" s="4980"/>
      <c r="BU520" s="4980"/>
      <c r="BV520" s="4980"/>
      <c r="BW520" s="4980"/>
      <c r="BX520" s="4980"/>
      <c r="BY520" s="4980"/>
      <c r="BZ520" s="4638">
        <f t="shared" si="274"/>
        <v>192</v>
      </c>
      <c r="CA520" s="4544">
        <f t="shared" si="275"/>
        <v>0</v>
      </c>
      <c r="CB520" s="4644"/>
      <c r="CC520" s="4644"/>
      <c r="CD520" s="4544"/>
      <c r="CE520" s="4544"/>
      <c r="CF520" s="4544"/>
      <c r="XEL520" s="4513"/>
      <c r="XEM520" s="4514"/>
      <c r="XEN520" s="905"/>
      <c r="XEO520" s="4515"/>
      <c r="XEP520" s="905"/>
      <c r="XEQ520" s="4515"/>
      <c r="XER520" s="905"/>
      <c r="XES520" s="905"/>
      <c r="XET520" s="905"/>
      <c r="XEU520" s="906"/>
      <c r="XEV520" s="906"/>
      <c r="XEW520" s="906"/>
      <c r="XEX520" s="906"/>
      <c r="XEY520" s="4516"/>
      <c r="XEZ520" s="4516"/>
      <c r="XFA520" s="906"/>
      <c r="XFB520" s="4148"/>
      <c r="XFC520" s="4156"/>
      <c r="XFD520" s="4156"/>
    </row>
    <row r="521" s="4324" customFormat="1" ht="50" customHeight="1" spans="1:84 16246:16384">
      <c r="A521" s="4735">
        <v>46188</v>
      </c>
      <c r="B521" s="4736" t="s">
        <v>2432</v>
      </c>
      <c r="C521" s="4251" t="s">
        <v>1385</v>
      </c>
      <c r="D521" s="4737" t="s">
        <v>2433</v>
      </c>
      <c r="E521" s="4251" t="s">
        <v>2434</v>
      </c>
      <c r="F521" s="4737" t="s">
        <v>2435</v>
      </c>
      <c r="G521" s="4251"/>
      <c r="H521" s="4251" t="s">
        <v>327</v>
      </c>
      <c r="I521" s="4251" t="s">
        <v>328</v>
      </c>
      <c r="J521" s="4738">
        <v>600</v>
      </c>
      <c r="K521" s="4738">
        <v>0</v>
      </c>
      <c r="L521" s="4738">
        <v>12</v>
      </c>
      <c r="M521" s="4738">
        <f t="shared" si="298"/>
        <v>50</v>
      </c>
      <c r="N521" s="4739">
        <v>46223</v>
      </c>
      <c r="O521" s="4739">
        <v>46219</v>
      </c>
      <c r="P521" s="4738"/>
      <c r="Q521" s="4154" t="s">
        <v>82</v>
      </c>
      <c r="R521" s="4984">
        <f>576+24</f>
        <v>600</v>
      </c>
      <c r="S521" s="4985">
        <f t="shared" si="276"/>
        <v>0</v>
      </c>
      <c r="T521" s="4986" t="s">
        <v>98</v>
      </c>
      <c r="U521" s="4987" t="s">
        <v>213</v>
      </c>
      <c r="V521" s="4257" t="s">
        <v>2436</v>
      </c>
      <c r="W521" s="4256"/>
      <c r="X521" s="4257" t="s">
        <v>98</v>
      </c>
      <c r="Y521" s="4257"/>
      <c r="Z521" s="4256"/>
      <c r="AA521" s="4738"/>
      <c r="AB521" s="4255" t="s">
        <v>2437</v>
      </c>
      <c r="AC521" s="4738" t="s">
        <v>2438</v>
      </c>
      <c r="AD521" s="4988">
        <v>2.2046</v>
      </c>
      <c r="AE521" s="4738">
        <f t="shared" ref="AE521:AE533" si="301">J521*AD521</f>
        <v>1322.76</v>
      </c>
      <c r="AF521" s="4742"/>
      <c r="AG521" s="4742"/>
      <c r="AH521" s="4989"/>
      <c r="AI521" s="4746">
        <f>J521</f>
        <v>600</v>
      </c>
      <c r="AJ521" s="4750"/>
      <c r="AK521" s="4746"/>
      <c r="AL521" s="4990"/>
      <c r="AM521" s="4990"/>
      <c r="AN521" s="4991"/>
      <c r="AO521" s="4753">
        <f t="shared" si="288"/>
        <v>600</v>
      </c>
      <c r="AP521" s="4738"/>
      <c r="AQ521" s="4992"/>
      <c r="AR521" s="4992"/>
      <c r="AS521" s="4753">
        <f>J521</f>
        <v>600</v>
      </c>
      <c r="AT521" s="4753"/>
      <c r="AU521" s="4992"/>
      <c r="AV521" s="4992"/>
      <c r="AW521" s="4992"/>
      <c r="AX521" s="4753">
        <f>J521/6</f>
        <v>100</v>
      </c>
      <c r="AY521" s="4992"/>
      <c r="AZ521" s="4992"/>
      <c r="BA521" s="4753"/>
      <c r="BB521" s="4753"/>
      <c r="BC521" s="4992"/>
      <c r="BD521" s="4753"/>
      <c r="BE521" s="4753"/>
      <c r="BF521" s="4753"/>
      <c r="BG521" s="4753"/>
      <c r="BH521" s="4753"/>
      <c r="BI521" s="4753"/>
      <c r="BJ521" s="4753"/>
      <c r="BK521" s="4993" t="s">
        <v>89</v>
      </c>
      <c r="BL521" s="4994">
        <f t="shared" si="291"/>
        <v>10</v>
      </c>
      <c r="BM521" s="4994">
        <f t="shared" si="292"/>
        <v>90</v>
      </c>
      <c r="BN521" s="4994">
        <f t="shared" si="293"/>
        <v>100</v>
      </c>
      <c r="BO521" s="4994">
        <f t="shared" si="294"/>
        <v>100</v>
      </c>
      <c r="BP521" s="4994">
        <f t="shared" si="295"/>
        <v>100</v>
      </c>
      <c r="BQ521" s="4994">
        <f t="shared" si="296"/>
        <v>100</v>
      </c>
      <c r="BR521" s="4994">
        <f t="shared" si="297"/>
        <v>100</v>
      </c>
      <c r="BS521" s="4995"/>
      <c r="BT521" s="4995"/>
      <c r="BU521" s="4995"/>
      <c r="BV521" s="4995"/>
      <c r="BW521" s="4995"/>
      <c r="BX521" s="4995"/>
      <c r="BY521" s="4995"/>
      <c r="BZ521" s="4994">
        <f t="shared" si="274"/>
        <v>600</v>
      </c>
      <c r="CA521" s="4753">
        <f t="shared" si="275"/>
        <v>0</v>
      </c>
      <c r="CB521" s="4992"/>
      <c r="CC521" s="4992"/>
      <c r="CD521" s="4753"/>
      <c r="CE521" s="4753"/>
      <c r="CF521" s="4753"/>
      <c r="XCX521" s="4735"/>
      <c r="XCY521" s="4736"/>
      <c r="XCZ521" s="4251"/>
      <c r="XDA521" s="4737"/>
      <c r="XDB521" s="4251"/>
      <c r="XDC521" s="4737"/>
      <c r="XDD521" s="4251"/>
      <c r="XDE521" s="4251"/>
      <c r="XDF521" s="4251"/>
      <c r="XDG521" s="4738"/>
      <c r="XDH521" s="4738"/>
      <c r="XDI521" s="4738"/>
      <c r="XDJ521" s="4738"/>
      <c r="XDK521" s="4739"/>
      <c r="XDL521" s="4739"/>
      <c r="XDM521" s="4738"/>
      <c r="XDN521" s="4742"/>
      <c r="XDO521" s="4253"/>
      <c r="XDP521" s="4253"/>
      <c r="XDQ521" s="4253"/>
      <c r="XDR521" s="4735"/>
      <c r="XDS521" s="4736"/>
      <c r="XDT521" s="4251"/>
      <c r="XDU521" s="4737"/>
      <c r="XDV521" s="4251"/>
      <c r="XDW521" s="4737"/>
      <c r="XDX521" s="4251"/>
      <c r="XDY521" s="4251"/>
      <c r="XDZ521" s="4251"/>
      <c r="XEA521" s="4738"/>
      <c r="XEB521" s="4738"/>
      <c r="XEC521" s="4738"/>
      <c r="XED521" s="4738"/>
      <c r="XEE521" s="4739"/>
      <c r="XEF521" s="4739"/>
      <c r="XEG521" s="4738"/>
      <c r="XEH521" s="4742"/>
      <c r="XEI521" s="4253"/>
      <c r="XEJ521" s="4253"/>
      <c r="XEK521" s="4253"/>
      <c r="XEL521" s="4735"/>
      <c r="XEM521" s="4736"/>
      <c r="XEN521" s="4251"/>
      <c r="XEO521" s="4737"/>
      <c r="XEP521" s="4251"/>
      <c r="XEQ521" s="4737"/>
      <c r="XER521" s="4251"/>
      <c r="XES521" s="4251"/>
      <c r="XET521" s="4251"/>
      <c r="XEU521" s="4738"/>
      <c r="XEV521" s="4738"/>
      <c r="XEW521" s="4738"/>
      <c r="XEX521" s="4738"/>
      <c r="XEY521" s="4739"/>
      <c r="XEZ521" s="4739"/>
      <c r="XFA521" s="4738"/>
      <c r="XFB521" s="4742"/>
      <c r="XFC521" s="4253"/>
      <c r="XFD521" s="4253"/>
    </row>
    <row r="522" s="4324" customFormat="1" ht="50" customHeight="1" spans="1:84 16246:16384">
      <c r="A522" s="4735">
        <v>46182</v>
      </c>
      <c r="B522" s="4736" t="s">
        <v>2136</v>
      </c>
      <c r="C522" s="4251" t="s">
        <v>2137</v>
      </c>
      <c r="D522" s="4737" t="s">
        <v>2439</v>
      </c>
      <c r="E522" s="4251"/>
      <c r="F522" s="4737" t="s">
        <v>2440</v>
      </c>
      <c r="G522" s="4251"/>
      <c r="H522" s="4251" t="s">
        <v>327</v>
      </c>
      <c r="I522" s="4251" t="s">
        <v>328</v>
      </c>
      <c r="J522" s="4738">
        <v>300</v>
      </c>
      <c r="K522" s="4738">
        <v>0</v>
      </c>
      <c r="L522" s="4738">
        <v>12</v>
      </c>
      <c r="M522" s="4738">
        <f t="shared" si="298"/>
        <v>25</v>
      </c>
      <c r="N522" s="4739">
        <v>46230</v>
      </c>
      <c r="O522" s="4739">
        <v>46226</v>
      </c>
      <c r="P522" s="4738"/>
      <c r="Q522" s="4154" t="s">
        <v>82</v>
      </c>
      <c r="R522" s="4984">
        <v>300</v>
      </c>
      <c r="S522" s="4985">
        <f t="shared" si="276"/>
        <v>0</v>
      </c>
      <c r="T522" s="4986" t="s">
        <v>98</v>
      </c>
      <c r="U522" s="4987" t="s">
        <v>208</v>
      </c>
      <c r="V522" s="4257" t="s">
        <v>2441</v>
      </c>
      <c r="W522" s="4256"/>
      <c r="X522" s="4257" t="s">
        <v>98</v>
      </c>
      <c r="Y522" s="4257"/>
      <c r="Z522" s="4256"/>
      <c r="AA522" s="4738"/>
      <c r="AB522" s="4255" t="s">
        <v>2442</v>
      </c>
      <c r="AC522" s="4738" t="s">
        <v>2141</v>
      </c>
      <c r="AD522" s="4988">
        <v>2.2731</v>
      </c>
      <c r="AE522" s="4738">
        <f t="shared" si="301"/>
        <v>681.93</v>
      </c>
      <c r="AF522" s="4742"/>
      <c r="AG522" s="4742"/>
      <c r="AH522" s="4989"/>
      <c r="AI522" s="4746">
        <f>J522</f>
        <v>300</v>
      </c>
      <c r="AJ522" s="4750"/>
      <c r="AK522" s="4746"/>
      <c r="AL522" s="4990"/>
      <c r="AM522" s="4990"/>
      <c r="AN522" s="4991"/>
      <c r="AO522" s="4753">
        <f t="shared" si="288"/>
        <v>300</v>
      </c>
      <c r="AP522" s="4738"/>
      <c r="AQ522" s="4992"/>
      <c r="AR522" s="4992"/>
      <c r="AS522" s="4753">
        <f>J522</f>
        <v>300</v>
      </c>
      <c r="AT522" s="4753"/>
      <c r="AU522" s="4992"/>
      <c r="AV522" s="4992"/>
      <c r="AW522" s="4992"/>
      <c r="AX522" s="4753">
        <f>J522/6</f>
        <v>50</v>
      </c>
      <c r="AY522" s="4992"/>
      <c r="AZ522" s="4992"/>
      <c r="BA522" s="4753"/>
      <c r="BB522" s="4753"/>
      <c r="BC522" s="4992"/>
      <c r="BD522" s="4753"/>
      <c r="BE522" s="4753"/>
      <c r="BF522" s="4753"/>
      <c r="BG522" s="4753"/>
      <c r="BH522" s="4753"/>
      <c r="BI522" s="4753"/>
      <c r="BJ522" s="4753"/>
      <c r="BK522" s="4993" t="s">
        <v>89</v>
      </c>
      <c r="BL522" s="4994">
        <f t="shared" si="291"/>
        <v>5</v>
      </c>
      <c r="BM522" s="4994">
        <f t="shared" si="292"/>
        <v>45</v>
      </c>
      <c r="BN522" s="4994">
        <f t="shared" si="293"/>
        <v>50</v>
      </c>
      <c r="BO522" s="4994">
        <f t="shared" si="294"/>
        <v>50</v>
      </c>
      <c r="BP522" s="4994">
        <f t="shared" si="295"/>
        <v>50</v>
      </c>
      <c r="BQ522" s="4994">
        <f t="shared" si="296"/>
        <v>50</v>
      </c>
      <c r="BR522" s="4994">
        <f t="shared" si="297"/>
        <v>50</v>
      </c>
      <c r="BS522" s="4995"/>
      <c r="BT522" s="4995"/>
      <c r="BU522" s="4995"/>
      <c r="BV522" s="4995"/>
      <c r="BW522" s="4995"/>
      <c r="BX522" s="4995"/>
      <c r="BY522" s="4995"/>
      <c r="BZ522" s="4994">
        <f t="shared" si="274"/>
        <v>300</v>
      </c>
      <c r="CA522" s="4753">
        <f t="shared" si="275"/>
        <v>0</v>
      </c>
      <c r="CB522" s="4992"/>
      <c r="CC522" s="4992"/>
      <c r="CD522" s="4753"/>
      <c r="CE522" s="4753"/>
      <c r="CF522" s="4753"/>
      <c r="XCX522" s="4735"/>
      <c r="XCY522" s="4736"/>
      <c r="XCZ522" s="4251"/>
      <c r="XDA522" s="4737"/>
      <c r="XDB522" s="4251"/>
      <c r="XDC522" s="4737"/>
      <c r="XDD522" s="4251"/>
      <c r="XDE522" s="4251"/>
      <c r="XDF522" s="4251"/>
      <c r="XDG522" s="4738"/>
      <c r="XDH522" s="4738"/>
      <c r="XDI522" s="4738"/>
      <c r="XDJ522" s="4738"/>
      <c r="XDK522" s="4739"/>
      <c r="XDL522" s="4739"/>
      <c r="XDM522" s="4738"/>
      <c r="XDN522" s="4742"/>
      <c r="XDO522" s="4253"/>
      <c r="XDP522" s="4253"/>
      <c r="XDQ522" s="4253"/>
      <c r="XDR522" s="4735"/>
      <c r="XDS522" s="4736"/>
      <c r="XDT522" s="4251"/>
      <c r="XDU522" s="4737"/>
      <c r="XDV522" s="4251"/>
      <c r="XDW522" s="4737"/>
      <c r="XDX522" s="4251"/>
      <c r="XDY522" s="4251"/>
      <c r="XDZ522" s="4251"/>
      <c r="XEA522" s="4738"/>
      <c r="XEB522" s="4738"/>
      <c r="XEC522" s="4738"/>
      <c r="XED522" s="4738"/>
      <c r="XEE522" s="4739"/>
      <c r="XEF522" s="4739"/>
      <c r="XEG522" s="4738"/>
      <c r="XEH522" s="4742"/>
      <c r="XEI522" s="4253"/>
      <c r="XEJ522" s="4253"/>
      <c r="XEK522" s="4253"/>
      <c r="XEL522" s="4735"/>
      <c r="XEM522" s="4736"/>
      <c r="XEN522" s="4251"/>
      <c r="XEO522" s="4737"/>
      <c r="XEP522" s="4251"/>
      <c r="XEQ522" s="4737"/>
      <c r="XER522" s="4251"/>
      <c r="XES522" s="4251"/>
      <c r="XET522" s="4251"/>
      <c r="XEU522" s="4738"/>
      <c r="XEV522" s="4738"/>
      <c r="XEW522" s="4738"/>
      <c r="XEX522" s="4738"/>
      <c r="XEY522" s="4739"/>
      <c r="XEZ522" s="4739"/>
      <c r="XFA522" s="4738"/>
      <c r="XFB522" s="4742"/>
      <c r="XFC522" s="4253"/>
      <c r="XFD522" s="4253"/>
    </row>
    <row r="523" s="4025" customFormat="1" ht="50" customHeight="1" spans="1:84 16246:16384">
      <c r="A523" s="3688">
        <v>46167</v>
      </c>
      <c r="B523" s="3689" t="s">
        <v>1057</v>
      </c>
      <c r="C523" s="3664" t="s">
        <v>396</v>
      </c>
      <c r="D523" s="3690" t="s">
        <v>2428</v>
      </c>
      <c r="E523" s="3664" t="s">
        <v>2443</v>
      </c>
      <c r="F523" s="3690" t="s">
        <v>2444</v>
      </c>
      <c r="G523" s="3664"/>
      <c r="H523" s="3664" t="s">
        <v>1060</v>
      </c>
      <c r="I523" s="3664" t="s">
        <v>1061</v>
      </c>
      <c r="J523" s="3691">
        <v>192</v>
      </c>
      <c r="K523" s="3691">
        <v>0</v>
      </c>
      <c r="L523" s="3691">
        <v>24</v>
      </c>
      <c r="M523" s="3691">
        <f t="shared" si="298"/>
        <v>8</v>
      </c>
      <c r="N523" s="3659">
        <v>46225</v>
      </c>
      <c r="O523" s="3659">
        <v>46221</v>
      </c>
      <c r="P523" s="3691"/>
      <c r="Q523" s="4154" t="s">
        <v>82</v>
      </c>
      <c r="R523" s="4704">
        <v>192</v>
      </c>
      <c r="S523" s="4996">
        <f t="shared" si="276"/>
        <v>0</v>
      </c>
      <c r="T523" s="4997" t="s">
        <v>2297</v>
      </c>
      <c r="U523" s="3701"/>
      <c r="V523" s="3622" t="s">
        <v>2421</v>
      </c>
      <c r="W523" s="3657"/>
      <c r="X523" s="3657" t="s">
        <v>2422</v>
      </c>
      <c r="Y523" s="3657"/>
      <c r="Z523" s="3622" t="s">
        <v>2423</v>
      </c>
      <c r="AA523" s="3691"/>
      <c r="AB523" s="3620" t="s">
        <v>2431</v>
      </c>
      <c r="AC523" s="3691" t="s">
        <v>2425</v>
      </c>
      <c r="AD523" s="4087">
        <v>2.196</v>
      </c>
      <c r="AE523" s="3691">
        <f t="shared" si="301"/>
        <v>421.632</v>
      </c>
      <c r="AF523" s="3645"/>
      <c r="AG523" s="3645"/>
      <c r="AH523" s="4998"/>
      <c r="AI523" s="3691"/>
      <c r="AJ523" s="4463"/>
      <c r="AK523" s="4089">
        <f>J523</f>
        <v>192</v>
      </c>
      <c r="AL523" s="4089"/>
      <c r="AM523" s="4089"/>
      <c r="AN523" s="4947"/>
      <c r="AO523" s="4390">
        <f t="shared" si="288"/>
        <v>192</v>
      </c>
      <c r="AP523" s="4487"/>
      <c r="AQ523" s="4465"/>
      <c r="AR523" s="4465"/>
      <c r="AS523" s="4403"/>
      <c r="AT523" s="4390">
        <f>J523</f>
        <v>192</v>
      </c>
      <c r="AU523" s="4464"/>
      <c r="AV523" s="4463"/>
      <c r="AW523" s="4484"/>
      <c r="AX523" s="3691"/>
      <c r="AY523" s="4548"/>
      <c r="AZ523" s="4548"/>
      <c r="BA523" s="4390"/>
      <c r="BB523" s="4390"/>
      <c r="BC523" s="4548"/>
      <c r="BD523" s="4390"/>
      <c r="BE523" s="4390"/>
      <c r="BF523" s="4390"/>
      <c r="BG523" s="4390"/>
      <c r="BH523" s="4390"/>
      <c r="BI523" s="4390"/>
      <c r="BJ523" s="4390"/>
      <c r="BK523" s="4390" t="s">
        <v>89</v>
      </c>
      <c r="BL523" s="4716">
        <f t="shared" si="291"/>
        <v>3.2</v>
      </c>
      <c r="BM523" s="4716">
        <f t="shared" si="292"/>
        <v>28.8</v>
      </c>
      <c r="BN523" s="4716">
        <f t="shared" si="293"/>
        <v>32</v>
      </c>
      <c r="BO523" s="4716">
        <f t="shared" si="294"/>
        <v>32</v>
      </c>
      <c r="BP523" s="4716">
        <f t="shared" si="295"/>
        <v>32</v>
      </c>
      <c r="BQ523" s="4716">
        <f t="shared" si="296"/>
        <v>32</v>
      </c>
      <c r="BR523" s="4716">
        <f t="shared" si="297"/>
        <v>32</v>
      </c>
      <c r="BS523" s="4999"/>
      <c r="BT523" s="4999"/>
      <c r="BU523" s="4999"/>
      <c r="BV523" s="4999"/>
      <c r="BW523" s="4999"/>
      <c r="BX523" s="4999"/>
      <c r="BY523" s="4999"/>
      <c r="BZ523" s="4716">
        <f t="shared" si="274"/>
        <v>192</v>
      </c>
      <c r="CA523" s="4390">
        <f t="shared" si="275"/>
        <v>0</v>
      </c>
      <c r="CB523" s="4548"/>
      <c r="CC523" s="4548"/>
      <c r="CD523" s="4390"/>
      <c r="CE523" s="4390"/>
      <c r="CF523" s="4390"/>
      <c r="XDR523" s="3688"/>
      <c r="XDS523" s="3689"/>
      <c r="XDT523" s="3664"/>
      <c r="XDU523" s="3690"/>
      <c r="XDV523" s="3664"/>
      <c r="XDW523" s="3690"/>
      <c r="XDX523" s="3664"/>
      <c r="XDY523" s="3664"/>
      <c r="XDZ523" s="3664"/>
      <c r="XEA523" s="3691"/>
      <c r="XEB523" s="3691"/>
      <c r="XEC523" s="3691"/>
      <c r="XED523" s="3691"/>
      <c r="XEE523" s="3659"/>
      <c r="XEF523" s="3659"/>
      <c r="XEG523" s="3691"/>
      <c r="XEH523" s="3645"/>
      <c r="XEI523" s="4101"/>
      <c r="XEJ523" s="4101"/>
      <c r="XEK523" s="4101"/>
      <c r="XEL523" s="3688"/>
      <c r="XEM523" s="3689"/>
      <c r="XEN523" s="3664"/>
      <c r="XEO523" s="3690"/>
      <c r="XEP523" s="3664"/>
      <c r="XEQ523" s="3690"/>
      <c r="XER523" s="3664"/>
      <c r="XES523" s="3664"/>
      <c r="XET523" s="3664"/>
      <c r="XEU523" s="3691"/>
      <c r="XEV523" s="3691"/>
      <c r="XEW523" s="3691"/>
      <c r="XEX523" s="3691"/>
      <c r="XEY523" s="3659"/>
      <c r="XEZ523" s="3659"/>
      <c r="XFA523" s="3691"/>
      <c r="XFB523" s="3645"/>
      <c r="XFC523" s="4101"/>
      <c r="XFD523" s="4101"/>
    </row>
    <row r="524" s="4025" customFormat="1" ht="50" customHeight="1" spans="1:84 16246:16384">
      <c r="A524" s="3688">
        <v>46167</v>
      </c>
      <c r="B524" s="3689" t="s">
        <v>1057</v>
      </c>
      <c r="C524" s="3664" t="s">
        <v>396</v>
      </c>
      <c r="D524" s="3690" t="s">
        <v>2417</v>
      </c>
      <c r="E524" s="3664" t="s">
        <v>2445</v>
      </c>
      <c r="F524" s="3690" t="s">
        <v>2446</v>
      </c>
      <c r="G524" s="3664"/>
      <c r="H524" s="3664" t="s">
        <v>1060</v>
      </c>
      <c r="I524" s="3664" t="s">
        <v>1061</v>
      </c>
      <c r="J524" s="3691">
        <v>792</v>
      </c>
      <c r="K524" s="3691">
        <v>0</v>
      </c>
      <c r="L524" s="3691">
        <v>24</v>
      </c>
      <c r="M524" s="3691">
        <f t="shared" si="298"/>
        <v>33</v>
      </c>
      <c r="N524" s="3659">
        <v>46225</v>
      </c>
      <c r="O524" s="3659">
        <v>46221</v>
      </c>
      <c r="P524" s="3691"/>
      <c r="Q524" s="4154" t="s">
        <v>82</v>
      </c>
      <c r="R524" s="4704">
        <v>792</v>
      </c>
      <c r="S524" s="4996">
        <f t="shared" si="276"/>
        <v>0</v>
      </c>
      <c r="T524" s="5000" t="s">
        <v>2297</v>
      </c>
      <c r="U524" s="3620" t="s">
        <v>216</v>
      </c>
      <c r="V524" s="3622" t="s">
        <v>2421</v>
      </c>
      <c r="W524" s="3657"/>
      <c r="X524" s="3657" t="s">
        <v>2422</v>
      </c>
      <c r="Y524" s="3657"/>
      <c r="Z524" s="3622" t="s">
        <v>2423</v>
      </c>
      <c r="AA524" s="3691"/>
      <c r="AB524" s="3620" t="s">
        <v>2424</v>
      </c>
      <c r="AC524" s="3691" t="s">
        <v>2425</v>
      </c>
      <c r="AD524" s="4087">
        <v>2.196</v>
      </c>
      <c r="AE524" s="3691">
        <f t="shared" si="301"/>
        <v>1739.232</v>
      </c>
      <c r="AF524" s="3645"/>
      <c r="AG524" s="3645"/>
      <c r="AH524" s="5001"/>
      <c r="AI524" s="3691"/>
      <c r="AJ524" s="4548"/>
      <c r="AK524" s="4089">
        <f>J524</f>
        <v>792</v>
      </c>
      <c r="AL524" s="4390"/>
      <c r="AM524" s="4390"/>
      <c r="AN524" s="4548"/>
      <c r="AO524" s="4390">
        <f t="shared" si="288"/>
        <v>792</v>
      </c>
      <c r="AP524" s="4390"/>
      <c r="AQ524" s="4548"/>
      <c r="AR524" s="4548"/>
      <c r="AS524" s="4390"/>
      <c r="AT524" s="4390">
        <f>J524</f>
        <v>792</v>
      </c>
      <c r="AU524" s="4548"/>
      <c r="AV524" s="4548"/>
      <c r="AW524" s="4548"/>
      <c r="AX524" s="4390"/>
      <c r="AY524" s="4548"/>
      <c r="AZ524" s="4548"/>
      <c r="BA524" s="4390"/>
      <c r="BB524" s="4390"/>
      <c r="BC524" s="4548"/>
      <c r="BD524" s="4390"/>
      <c r="BE524" s="4390"/>
      <c r="BF524" s="4390"/>
      <c r="BG524" s="4390"/>
      <c r="BH524" s="4390"/>
      <c r="BI524" s="4390"/>
      <c r="BJ524" s="4390"/>
      <c r="BK524" s="4390" t="s">
        <v>89</v>
      </c>
      <c r="BL524" s="4716">
        <f t="shared" si="291"/>
        <v>13.2</v>
      </c>
      <c r="BM524" s="4716">
        <f t="shared" si="292"/>
        <v>118.8</v>
      </c>
      <c r="BN524" s="4716">
        <f t="shared" si="293"/>
        <v>132</v>
      </c>
      <c r="BO524" s="4716">
        <f t="shared" si="294"/>
        <v>132</v>
      </c>
      <c r="BP524" s="4716">
        <f t="shared" si="295"/>
        <v>132</v>
      </c>
      <c r="BQ524" s="4716">
        <f t="shared" si="296"/>
        <v>132</v>
      </c>
      <c r="BR524" s="4716">
        <f t="shared" si="297"/>
        <v>132</v>
      </c>
      <c r="BS524" s="4999"/>
      <c r="BT524" s="4999"/>
      <c r="BU524" s="4999"/>
      <c r="BV524" s="4999"/>
      <c r="BW524" s="4999"/>
      <c r="BX524" s="4999"/>
      <c r="BY524" s="4999"/>
      <c r="BZ524" s="4716">
        <f t="shared" si="274"/>
        <v>792</v>
      </c>
      <c r="CA524" s="4390">
        <f t="shared" si="275"/>
        <v>0</v>
      </c>
      <c r="CB524" s="4548"/>
      <c r="CC524" s="4548"/>
      <c r="CD524" s="4390"/>
      <c r="CE524" s="4390"/>
      <c r="CF524" s="4390"/>
      <c r="XAP524" s="3688"/>
      <c r="XAQ524" s="3689"/>
      <c r="XAR524" s="3664"/>
      <c r="XAS524" s="3690"/>
      <c r="XAT524" s="3664"/>
      <c r="XAU524" s="3690"/>
      <c r="XAV524" s="3664"/>
      <c r="XAW524" s="3664"/>
      <c r="XAX524" s="3664"/>
      <c r="XAY524" s="3691"/>
      <c r="XAZ524" s="3691"/>
      <c r="XBA524" s="3691"/>
      <c r="XBB524" s="3691"/>
      <c r="XBC524" s="3659"/>
      <c r="XBD524" s="3659"/>
      <c r="XBE524" s="3691"/>
      <c r="XBF524" s="3645"/>
      <c r="XBG524" s="4101"/>
      <c r="XBH524" s="4101"/>
      <c r="XBI524" s="4101"/>
      <c r="XBJ524" s="3688"/>
      <c r="XBK524" s="3689"/>
      <c r="XBL524" s="3664"/>
      <c r="XBM524" s="3690"/>
      <c r="XBN524" s="3664"/>
      <c r="XBO524" s="3690"/>
      <c r="XBP524" s="3664"/>
      <c r="XBQ524" s="3664"/>
      <c r="XBR524" s="3664"/>
      <c r="XBS524" s="3691"/>
      <c r="XBT524" s="3691"/>
      <c r="XBU524" s="3691"/>
      <c r="XBV524" s="3691"/>
      <c r="XBW524" s="3659"/>
      <c r="XBX524" s="3659"/>
      <c r="XBY524" s="3691"/>
      <c r="XBZ524" s="3645"/>
      <c r="XCA524" s="4101"/>
      <c r="XCB524" s="4101"/>
      <c r="XCC524" s="4101"/>
      <c r="XCD524" s="3688"/>
      <c r="XCE524" s="3689"/>
      <c r="XCF524" s="3664"/>
      <c r="XCG524" s="3690"/>
      <c r="XCH524" s="3664"/>
      <c r="XCI524" s="3690"/>
      <c r="XCJ524" s="3664"/>
      <c r="XCK524" s="3664"/>
      <c r="XCL524" s="3664"/>
      <c r="XCM524" s="3691"/>
      <c r="XCN524" s="3691"/>
      <c r="XCO524" s="3691"/>
      <c r="XCP524" s="3691"/>
      <c r="XCQ524" s="3659"/>
      <c r="XCR524" s="3659"/>
      <c r="XCS524" s="3691"/>
      <c r="XCT524" s="3645"/>
      <c r="XCU524" s="4101"/>
      <c r="XCV524" s="4101"/>
      <c r="XCW524" s="4101"/>
      <c r="XCX524" s="3688"/>
      <c r="XCY524" s="3689"/>
      <c r="XCZ524" s="3664"/>
      <c r="XDA524" s="3690"/>
      <c r="XDB524" s="3664"/>
      <c r="XDC524" s="3690"/>
      <c r="XDD524" s="3664"/>
      <c r="XDE524" s="3664"/>
      <c r="XDF524" s="3664"/>
      <c r="XDG524" s="3691"/>
      <c r="XDH524" s="3691"/>
      <c r="XDI524" s="3691"/>
      <c r="XDJ524" s="3691"/>
      <c r="XDK524" s="3659"/>
      <c r="XDL524" s="3659"/>
      <c r="XDM524" s="3691"/>
      <c r="XDN524" s="3645"/>
      <c r="XDO524" s="4101"/>
      <c r="XDP524" s="4101"/>
      <c r="XDQ524" s="4101"/>
      <c r="XDR524" s="3688"/>
      <c r="XDS524" s="3689"/>
      <c r="XDT524" s="3664"/>
      <c r="XDU524" s="3690"/>
      <c r="XDV524" s="3664"/>
      <c r="XDW524" s="3690"/>
      <c r="XDX524" s="3664"/>
      <c r="XDY524" s="3664"/>
      <c r="XDZ524" s="3664"/>
      <c r="XEA524" s="3691"/>
      <c r="XEB524" s="3691"/>
      <c r="XEC524" s="3691"/>
      <c r="XED524" s="3691"/>
      <c r="XEE524" s="3659"/>
      <c r="XEF524" s="3659"/>
      <c r="XEG524" s="3691"/>
      <c r="XEH524" s="3645"/>
      <c r="XEI524" s="4101"/>
      <c r="XEJ524" s="4101"/>
      <c r="XEK524" s="4101"/>
      <c r="XEL524" s="3688"/>
      <c r="XEM524" s="3689"/>
      <c r="XEN524" s="3664"/>
      <c r="XEO524" s="3690"/>
      <c r="XEP524" s="3664"/>
      <c r="XEQ524" s="3690"/>
      <c r="XER524" s="3664"/>
      <c r="XES524" s="3664"/>
      <c r="XET524" s="3664"/>
      <c r="XEU524" s="3691"/>
      <c r="XEV524" s="3691"/>
      <c r="XEW524" s="3691"/>
      <c r="XEX524" s="3691"/>
      <c r="XEY524" s="3659"/>
      <c r="XEZ524" s="3659"/>
      <c r="XFA524" s="3691"/>
      <c r="XFB524" s="3645"/>
      <c r="XFC524" s="4101"/>
      <c r="XFD524" s="4101"/>
    </row>
    <row r="525" s="4025" customFormat="1" ht="50" customHeight="1" spans="1:84 16246:16384">
      <c r="A525" s="3688">
        <v>46167</v>
      </c>
      <c r="B525" s="3689" t="s">
        <v>1057</v>
      </c>
      <c r="C525" s="3664" t="s">
        <v>396</v>
      </c>
      <c r="D525" s="3690" t="s">
        <v>2447</v>
      </c>
      <c r="E525" s="3664" t="s">
        <v>2448</v>
      </c>
      <c r="F525" s="3690" t="s">
        <v>2449</v>
      </c>
      <c r="G525" s="3664"/>
      <c r="H525" s="3664" t="s">
        <v>1060</v>
      </c>
      <c r="I525" s="3664" t="s">
        <v>1061</v>
      </c>
      <c r="J525" s="3691">
        <v>192</v>
      </c>
      <c r="K525" s="3691">
        <v>0</v>
      </c>
      <c r="L525" s="3691">
        <v>24</v>
      </c>
      <c r="M525" s="3691">
        <f t="shared" si="298"/>
        <v>8</v>
      </c>
      <c r="N525" s="3659">
        <v>46225</v>
      </c>
      <c r="O525" s="3659">
        <v>46221</v>
      </c>
      <c r="P525" s="3691"/>
      <c r="Q525" s="4154" t="s">
        <v>82</v>
      </c>
      <c r="R525" s="4704">
        <v>192</v>
      </c>
      <c r="S525" s="4996">
        <f t="shared" si="276"/>
        <v>0</v>
      </c>
      <c r="T525" s="4704" t="s">
        <v>2297</v>
      </c>
      <c r="U525" s="3680" t="s">
        <v>224</v>
      </c>
      <c r="V525" s="3622" t="s">
        <v>2421</v>
      </c>
      <c r="W525" s="3657"/>
      <c r="X525" s="3657" t="s">
        <v>2422</v>
      </c>
      <c r="Y525" s="3657"/>
      <c r="Z525" s="3622" t="s">
        <v>2423</v>
      </c>
      <c r="AA525" s="3691"/>
      <c r="AB525" s="3620" t="s">
        <v>2450</v>
      </c>
      <c r="AC525" s="3691" t="s">
        <v>2425</v>
      </c>
      <c r="AD525" s="4087">
        <v>2.196</v>
      </c>
      <c r="AE525" s="3691">
        <f t="shared" si="301"/>
        <v>421.632</v>
      </c>
      <c r="AF525" s="3645"/>
      <c r="AG525" s="3645"/>
      <c r="AH525" s="5002"/>
      <c r="AI525" s="4390"/>
      <c r="AJ525" s="4548"/>
      <c r="AK525" s="4089">
        <f>J525</f>
        <v>192</v>
      </c>
      <c r="AL525" s="4390"/>
      <c r="AM525" s="4390"/>
      <c r="AN525" s="4548"/>
      <c r="AO525" s="4390">
        <f t="shared" si="288"/>
        <v>192</v>
      </c>
      <c r="AP525" s="4390"/>
      <c r="AQ525" s="4548"/>
      <c r="AR525" s="4548"/>
      <c r="AS525" s="4390"/>
      <c r="AT525" s="4390">
        <f>J525</f>
        <v>192</v>
      </c>
      <c r="AU525" s="4548"/>
      <c r="AV525" s="4548"/>
      <c r="AW525" s="4548"/>
      <c r="AX525" s="4390"/>
      <c r="AY525" s="4548"/>
      <c r="AZ525" s="4548"/>
      <c r="BA525" s="4390"/>
      <c r="BB525" s="4390"/>
      <c r="BC525" s="4548"/>
      <c r="BD525" s="4390"/>
      <c r="BE525" s="4390"/>
      <c r="BF525" s="4390"/>
      <c r="BG525" s="4390"/>
      <c r="BH525" s="4390"/>
      <c r="BI525" s="4390"/>
      <c r="BJ525" s="4390"/>
      <c r="BK525" s="4390" t="s">
        <v>89</v>
      </c>
      <c r="BL525" s="4716">
        <f t="shared" si="291"/>
        <v>3.2</v>
      </c>
      <c r="BM525" s="4716">
        <f t="shared" si="292"/>
        <v>28.8</v>
      </c>
      <c r="BN525" s="4716">
        <f t="shared" si="293"/>
        <v>32</v>
      </c>
      <c r="BO525" s="4716">
        <f t="shared" si="294"/>
        <v>32</v>
      </c>
      <c r="BP525" s="4716">
        <f t="shared" si="295"/>
        <v>32</v>
      </c>
      <c r="BQ525" s="4716">
        <f t="shared" si="296"/>
        <v>32</v>
      </c>
      <c r="BR525" s="4716">
        <f t="shared" si="297"/>
        <v>32</v>
      </c>
      <c r="BS525" s="4999"/>
      <c r="BT525" s="4999"/>
      <c r="BU525" s="4999"/>
      <c r="BV525" s="4999"/>
      <c r="BW525" s="4999"/>
      <c r="BX525" s="4999"/>
      <c r="BY525" s="4999"/>
      <c r="BZ525" s="4716">
        <f t="shared" si="274"/>
        <v>192</v>
      </c>
      <c r="CA525" s="4390">
        <f t="shared" si="275"/>
        <v>0</v>
      </c>
      <c r="CB525" s="4548"/>
      <c r="CC525" s="4548"/>
      <c r="CD525" s="4390"/>
      <c r="CE525" s="4390"/>
      <c r="CF525" s="4390"/>
      <c r="WZV525" s="3688"/>
      <c r="WZW525" s="3689"/>
      <c r="WZX525" s="3664"/>
      <c r="WZY525" s="3690"/>
      <c r="WZZ525" s="3664"/>
      <c r="XAA525" s="3690"/>
      <c r="XAB525" s="3664"/>
      <c r="XAC525" s="3664"/>
      <c r="XAD525" s="3664"/>
      <c r="XAE525" s="3691"/>
      <c r="XAF525" s="3691"/>
      <c r="XAG525" s="3691"/>
      <c r="XAH525" s="3691"/>
      <c r="XAI525" s="3659"/>
      <c r="XAJ525" s="3659"/>
      <c r="XAK525" s="3691"/>
      <c r="XAL525" s="3645"/>
      <c r="XAM525" s="4101"/>
      <c r="XAN525" s="4101"/>
      <c r="XAO525" s="4101"/>
      <c r="XAP525" s="3688"/>
      <c r="XAQ525" s="3689"/>
      <c r="XAR525" s="3664"/>
      <c r="XAS525" s="3690"/>
      <c r="XAT525" s="3664"/>
      <c r="XAU525" s="3690"/>
      <c r="XAV525" s="3664"/>
      <c r="XAW525" s="3664"/>
      <c r="XAX525" s="3664"/>
      <c r="XAY525" s="3691"/>
      <c r="XAZ525" s="3691"/>
      <c r="XBA525" s="3691"/>
      <c r="XBB525" s="3691"/>
      <c r="XBC525" s="3659"/>
      <c r="XBD525" s="3659"/>
      <c r="XBE525" s="3691"/>
      <c r="XBF525" s="3645"/>
      <c r="XBG525" s="4101"/>
      <c r="XBH525" s="4101"/>
      <c r="XBI525" s="4101"/>
      <c r="XBJ525" s="3688"/>
      <c r="XBK525" s="3689"/>
      <c r="XBL525" s="3664"/>
      <c r="XBM525" s="3690"/>
      <c r="XBN525" s="3664"/>
      <c r="XBO525" s="3690"/>
      <c r="XBP525" s="3664"/>
      <c r="XBQ525" s="3664"/>
      <c r="XBR525" s="3664"/>
      <c r="XBS525" s="3691"/>
      <c r="XBT525" s="3691"/>
      <c r="XBU525" s="3691"/>
      <c r="XBV525" s="3691"/>
      <c r="XBW525" s="3659"/>
      <c r="XBX525" s="3659"/>
      <c r="XBY525" s="3691"/>
      <c r="XBZ525" s="3645"/>
      <c r="XCA525" s="4101"/>
      <c r="XCB525" s="4101"/>
      <c r="XCC525" s="4101"/>
      <c r="XCD525" s="3688"/>
      <c r="XCE525" s="3689"/>
      <c r="XCF525" s="3664"/>
      <c r="XCG525" s="3690"/>
      <c r="XCH525" s="3664"/>
      <c r="XCI525" s="3690"/>
      <c r="XCJ525" s="3664"/>
      <c r="XCK525" s="3664"/>
      <c r="XCL525" s="3664"/>
      <c r="XCM525" s="3691"/>
      <c r="XCN525" s="3691"/>
      <c r="XCO525" s="3691"/>
      <c r="XCP525" s="3691"/>
      <c r="XCQ525" s="3659"/>
      <c r="XCR525" s="3659"/>
      <c r="XCS525" s="3691"/>
      <c r="XCT525" s="3645"/>
      <c r="XCU525" s="4101"/>
      <c r="XCV525" s="4101"/>
      <c r="XCW525" s="4101"/>
      <c r="XCX525" s="3688"/>
      <c r="XCY525" s="3689"/>
      <c r="XCZ525" s="3664"/>
      <c r="XDA525" s="3690"/>
      <c r="XDB525" s="3664"/>
      <c r="XDC525" s="3690"/>
      <c r="XDD525" s="3664"/>
      <c r="XDE525" s="3664"/>
      <c r="XDF525" s="3664"/>
      <c r="XDG525" s="3691"/>
      <c r="XDH525" s="3691"/>
      <c r="XDI525" s="3691"/>
      <c r="XDJ525" s="3691"/>
      <c r="XDK525" s="3659"/>
      <c r="XDL525" s="3659"/>
      <c r="XDM525" s="3691"/>
      <c r="XDN525" s="3645"/>
      <c r="XDO525" s="4101"/>
      <c r="XDP525" s="4101"/>
      <c r="XDQ525" s="4101"/>
      <c r="XDR525" s="3688"/>
      <c r="XDS525" s="3689"/>
      <c r="XDT525" s="3664"/>
      <c r="XDU525" s="3690"/>
      <c r="XDV525" s="3664"/>
      <c r="XDW525" s="3690"/>
      <c r="XDX525" s="3664"/>
      <c r="XDY525" s="3664"/>
      <c r="XDZ525" s="3664"/>
      <c r="XEA525" s="3691"/>
      <c r="XEB525" s="3691"/>
      <c r="XEC525" s="3691"/>
      <c r="XED525" s="3691"/>
      <c r="XEE525" s="3659"/>
      <c r="XEF525" s="3659"/>
      <c r="XEG525" s="3691"/>
      <c r="XEH525" s="3645"/>
      <c r="XEI525" s="4101"/>
      <c r="XEJ525" s="4101"/>
      <c r="XEK525" s="4101"/>
      <c r="XEL525" s="3688"/>
      <c r="XEM525" s="3689"/>
      <c r="XEN525" s="3664"/>
      <c r="XEO525" s="3690"/>
      <c r="XEP525" s="3664"/>
      <c r="XEQ525" s="3690"/>
      <c r="XER525" s="3664"/>
      <c r="XES525" s="3664"/>
      <c r="XET525" s="3664"/>
      <c r="XEU525" s="3691"/>
      <c r="XEV525" s="3691"/>
      <c r="XEW525" s="3691"/>
      <c r="XEX525" s="3691"/>
      <c r="XEY525" s="3659"/>
      <c r="XEZ525" s="3659"/>
      <c r="XFA525" s="3691"/>
      <c r="XFB525" s="3645"/>
      <c r="XFC525" s="4101"/>
      <c r="XFD525" s="4101"/>
    </row>
    <row r="526" s="4316" customFormat="1" ht="50" customHeight="1" spans="1:84 16246:16384">
      <c r="A526" s="4500">
        <v>46196</v>
      </c>
      <c r="B526" s="4501" t="s">
        <v>2342</v>
      </c>
      <c r="C526" s="3708" t="s">
        <v>2343</v>
      </c>
      <c r="D526" s="4502" t="s">
        <v>2451</v>
      </c>
      <c r="E526" s="3708" t="s">
        <v>2434</v>
      </c>
      <c r="F526" s="4502" t="s">
        <v>2452</v>
      </c>
      <c r="G526" s="3708"/>
      <c r="H526" s="3708" t="s">
        <v>333</v>
      </c>
      <c r="I526" s="3708" t="s">
        <v>328</v>
      </c>
      <c r="J526" s="4154">
        <v>504</v>
      </c>
      <c r="K526" s="4154">
        <v>0</v>
      </c>
      <c r="L526" s="4154">
        <v>24</v>
      </c>
      <c r="M526" s="4154">
        <f t="shared" si="298"/>
        <v>21</v>
      </c>
      <c r="N526" s="4503">
        <v>46231</v>
      </c>
      <c r="O526" s="4503">
        <v>46227</v>
      </c>
      <c r="P526" s="4154"/>
      <c r="Q526" s="4154" t="s">
        <v>82</v>
      </c>
      <c r="R526" s="4174">
        <v>504</v>
      </c>
      <c r="S526" s="5003">
        <f t="shared" si="276"/>
        <v>0</v>
      </c>
      <c r="T526" s="5004" t="s">
        <v>2297</v>
      </c>
      <c r="U526" s="5005" t="s">
        <v>224</v>
      </c>
      <c r="V526" s="3876" t="s">
        <v>2453</v>
      </c>
      <c r="W526" s="3711"/>
      <c r="X526" s="3876" t="s">
        <v>2454</v>
      </c>
      <c r="Y526" s="3876" t="s">
        <v>2455</v>
      </c>
      <c r="Z526" s="3876"/>
      <c r="AA526" s="4154"/>
      <c r="AB526" s="3680" t="s">
        <v>2456</v>
      </c>
      <c r="AC526" s="4154" t="s">
        <v>892</v>
      </c>
      <c r="AD526" s="4504">
        <v>2.2165</v>
      </c>
      <c r="AE526" s="4154">
        <f t="shared" si="301"/>
        <v>1117.116</v>
      </c>
      <c r="AF526" s="3726"/>
      <c r="AG526" s="3726"/>
      <c r="AH526" s="5006"/>
      <c r="AI526" s="1048"/>
      <c r="AJ526" s="1040"/>
      <c r="AK526" s="1048">
        <f>J526</f>
        <v>504</v>
      </c>
      <c r="AL526" s="4622"/>
      <c r="AM526" s="4622"/>
      <c r="AN526" s="4524"/>
      <c r="AO526" s="4160">
        <f t="shared" si="288"/>
        <v>504</v>
      </c>
      <c r="AP526" s="4154"/>
      <c r="AQ526" s="4619"/>
      <c r="AR526" s="4619"/>
      <c r="AS526" s="4160">
        <f>J526</f>
        <v>504</v>
      </c>
      <c r="AT526" s="4160"/>
      <c r="AU526" s="4619"/>
      <c r="AV526" s="4619"/>
      <c r="AW526" s="4619"/>
      <c r="AX526" s="4160"/>
      <c r="AY526" s="4619"/>
      <c r="AZ526" s="4619"/>
      <c r="BA526" s="4160"/>
      <c r="BB526" s="4160"/>
      <c r="BC526" s="4619"/>
      <c r="BD526" s="4160"/>
      <c r="BE526" s="4160"/>
      <c r="BF526" s="4160"/>
      <c r="BG526" s="4160"/>
      <c r="BH526" s="4160"/>
      <c r="BI526" s="4160"/>
      <c r="BJ526" s="4160"/>
      <c r="BK526" s="3724" t="s">
        <v>89</v>
      </c>
      <c r="BL526" s="5007">
        <f t="shared" si="291"/>
        <v>8.4</v>
      </c>
      <c r="BM526" s="5007">
        <f t="shared" si="292"/>
        <v>75.6</v>
      </c>
      <c r="BN526" s="5007">
        <f t="shared" si="293"/>
        <v>84</v>
      </c>
      <c r="BO526" s="5007">
        <f t="shared" si="294"/>
        <v>84</v>
      </c>
      <c r="BP526" s="5007">
        <f t="shared" si="295"/>
        <v>84</v>
      </c>
      <c r="BQ526" s="5007">
        <f t="shared" si="296"/>
        <v>84</v>
      </c>
      <c r="BR526" s="5007">
        <f t="shared" si="297"/>
        <v>84</v>
      </c>
      <c r="BS526" s="5008"/>
      <c r="BT526" s="5008"/>
      <c r="BU526" s="5008"/>
      <c r="BV526" s="5008"/>
      <c r="BW526" s="5008"/>
      <c r="BX526" s="5008"/>
      <c r="BY526" s="5008"/>
      <c r="BZ526" s="5007">
        <f t="shared" si="274"/>
        <v>504</v>
      </c>
      <c r="CA526" s="4160">
        <f t="shared" si="275"/>
        <v>0</v>
      </c>
      <c r="CB526" s="4619"/>
      <c r="CC526" s="4619"/>
      <c r="CD526" s="4160"/>
      <c r="CE526" s="4160"/>
      <c r="CF526" s="4160"/>
      <c r="XCX526" s="4500"/>
      <c r="XCY526" s="4501"/>
      <c r="XCZ526" s="3708"/>
      <c r="XDA526" s="4502"/>
      <c r="XDB526" s="3708"/>
      <c r="XDC526" s="4502"/>
      <c r="XDD526" s="3708"/>
      <c r="XDE526" s="3708"/>
      <c r="XDF526" s="3708"/>
      <c r="XDG526" s="4154"/>
      <c r="XDH526" s="4154"/>
      <c r="XDI526" s="4154"/>
      <c r="XDJ526" s="4154"/>
      <c r="XDK526" s="4503"/>
      <c r="XDL526" s="4503"/>
      <c r="XDM526" s="4154"/>
      <c r="XDN526" s="3726"/>
      <c r="XDO526" s="4157"/>
      <c r="XDP526" s="4157"/>
      <c r="XDQ526" s="4157"/>
      <c r="XDR526" s="4500"/>
      <c r="XDS526" s="4501"/>
      <c r="XDT526" s="3708"/>
      <c r="XDU526" s="4502"/>
      <c r="XDV526" s="3708"/>
      <c r="XDW526" s="4502"/>
      <c r="XDX526" s="3708"/>
      <c r="XDY526" s="3708"/>
      <c r="XDZ526" s="3708"/>
      <c r="XEA526" s="4154"/>
      <c r="XEB526" s="4154"/>
      <c r="XEC526" s="4154"/>
      <c r="XED526" s="4154"/>
      <c r="XEE526" s="4503"/>
      <c r="XEF526" s="4503"/>
      <c r="XEG526" s="4154"/>
      <c r="XEH526" s="3726"/>
      <c r="XEI526" s="4157"/>
      <c r="XEJ526" s="4157"/>
      <c r="XEK526" s="4157"/>
      <c r="XEL526" s="4500"/>
      <c r="XEM526" s="4501"/>
      <c r="XEN526" s="3708"/>
      <c r="XEO526" s="4502"/>
      <c r="XEP526" s="3708"/>
      <c r="XEQ526" s="4502"/>
      <c r="XER526" s="3708"/>
      <c r="XES526" s="3708"/>
      <c r="XET526" s="3708"/>
      <c r="XEU526" s="4154"/>
      <c r="XEV526" s="4154"/>
      <c r="XEW526" s="4154"/>
      <c r="XEX526" s="4154"/>
      <c r="XEY526" s="4503"/>
      <c r="XEZ526" s="4503"/>
      <c r="XFA526" s="4154"/>
      <c r="XFB526" s="3726"/>
      <c r="XFC526" s="4157"/>
      <c r="XFD526" s="4157"/>
    </row>
    <row r="527" s="4025" customFormat="1" ht="50" customHeight="1" spans="1:84 16246:16384">
      <c r="A527" s="3688">
        <v>46151</v>
      </c>
      <c r="B527" s="3689" t="s">
        <v>2457</v>
      </c>
      <c r="C527" s="3664" t="s">
        <v>351</v>
      </c>
      <c r="D527" s="3690" t="s">
        <v>2458</v>
      </c>
      <c r="E527" s="3664" t="s">
        <v>2459</v>
      </c>
      <c r="F527" s="4086" t="s">
        <v>2460</v>
      </c>
      <c r="G527" s="3664"/>
      <c r="H527" s="3664" t="s">
        <v>327</v>
      </c>
      <c r="I527" s="3691" t="s">
        <v>328</v>
      </c>
      <c r="J527" s="3691">
        <v>444</v>
      </c>
      <c r="K527" s="3691">
        <v>0</v>
      </c>
      <c r="L527" s="3691">
        <v>12</v>
      </c>
      <c r="M527" s="3691">
        <f t="shared" si="298"/>
        <v>37</v>
      </c>
      <c r="N527" s="3659">
        <v>46223</v>
      </c>
      <c r="O527" s="3659">
        <f>N527-4</f>
        <v>46219</v>
      </c>
      <c r="P527" s="3664"/>
      <c r="Q527" s="4154" t="s">
        <v>82</v>
      </c>
      <c r="R527" s="4704">
        <v>444</v>
      </c>
      <c r="S527" s="4704">
        <f t="shared" si="276"/>
        <v>0</v>
      </c>
      <c r="T527" s="5009" t="s">
        <v>2297</v>
      </c>
      <c r="U527" s="3620" t="s">
        <v>2461</v>
      </c>
      <c r="V527" s="3657" t="s">
        <v>1336</v>
      </c>
      <c r="W527" s="3657"/>
      <c r="X527" s="3657" t="s">
        <v>2462</v>
      </c>
      <c r="Y527" s="3657"/>
      <c r="Z527" s="3657" t="s">
        <v>2463</v>
      </c>
      <c r="AA527" s="3691"/>
      <c r="AB527" s="3620" t="s">
        <v>2464</v>
      </c>
      <c r="AC527" s="3691" t="s">
        <v>1199</v>
      </c>
      <c r="AD527" s="4692">
        <v>2.2153</v>
      </c>
      <c r="AE527" s="3691">
        <f t="shared" si="301"/>
        <v>983.5932</v>
      </c>
      <c r="AF527" s="3645"/>
      <c r="AG527" s="3645"/>
      <c r="AH527" s="4484"/>
      <c r="AI527" s="3664">
        <f>J527</f>
        <v>444</v>
      </c>
      <c r="AJ527" s="4484"/>
      <c r="AK527" s="3664"/>
      <c r="AL527" s="3664"/>
      <c r="AM527" s="3691"/>
      <c r="AN527" s="4463"/>
      <c r="AO527" s="4089">
        <f t="shared" si="288"/>
        <v>444</v>
      </c>
      <c r="AP527" s="4089"/>
      <c r="AQ527" s="4463"/>
      <c r="AR527" s="4463"/>
      <c r="AS527" s="4089">
        <f>J527</f>
        <v>444</v>
      </c>
      <c r="AT527" s="4089"/>
      <c r="AU527" s="4463"/>
      <c r="AV527" s="4947"/>
      <c r="AW527" s="4947"/>
      <c r="AX527" s="4089">
        <f>J527/6</f>
        <v>74</v>
      </c>
      <c r="AY527" s="4947"/>
      <c r="AZ527" s="4947"/>
      <c r="BA527" s="4089"/>
      <c r="BB527" s="4487"/>
      <c r="BC527" s="4947"/>
      <c r="BD527" s="4487"/>
      <c r="BE527" s="4487"/>
      <c r="BF527" s="4487"/>
      <c r="BG527" s="4487"/>
      <c r="BH527" s="4495"/>
      <c r="BI527" s="4487"/>
      <c r="BJ527" s="4089"/>
      <c r="BK527" s="4390" t="s">
        <v>89</v>
      </c>
      <c r="BL527" s="4403">
        <f t="shared" si="291"/>
        <v>7.4</v>
      </c>
      <c r="BM527" s="4403">
        <f t="shared" si="292"/>
        <v>66.6</v>
      </c>
      <c r="BN527" s="4403">
        <f t="shared" si="293"/>
        <v>74</v>
      </c>
      <c r="BO527" s="4403">
        <f t="shared" si="294"/>
        <v>74</v>
      </c>
      <c r="BP527" s="4403">
        <f t="shared" si="295"/>
        <v>74</v>
      </c>
      <c r="BQ527" s="4404">
        <f t="shared" si="296"/>
        <v>74</v>
      </c>
      <c r="BR527" s="4089">
        <f t="shared" si="297"/>
        <v>74</v>
      </c>
      <c r="BS527" s="4465"/>
      <c r="BT527" s="4465"/>
      <c r="BU527" s="4465"/>
      <c r="BV527" s="4465"/>
      <c r="BW527" s="4465"/>
      <c r="BX527" s="4464"/>
      <c r="BY527" s="4464"/>
      <c r="BZ527" s="3664">
        <f t="shared" si="274"/>
        <v>444</v>
      </c>
      <c r="CA527" s="3691">
        <f t="shared" si="275"/>
        <v>0</v>
      </c>
      <c r="CB527" s="4548"/>
      <c r="CC527" s="4548"/>
      <c r="CD527" s="4387"/>
      <c r="CE527" s="4387"/>
      <c r="CF527" s="4387"/>
    </row>
    <row r="528" s="4025" customFormat="1" ht="50" customHeight="1" spans="1:84 16246:16384">
      <c r="A528" s="3688">
        <v>46167</v>
      </c>
      <c r="B528" s="3689" t="s">
        <v>1057</v>
      </c>
      <c r="C528" s="3664" t="s">
        <v>396</v>
      </c>
      <c r="D528" s="3690" t="s">
        <v>2428</v>
      </c>
      <c r="E528" s="3664" t="s">
        <v>2465</v>
      </c>
      <c r="F528" s="3690" t="s">
        <v>2466</v>
      </c>
      <c r="G528" s="3664"/>
      <c r="H528" s="3664" t="s">
        <v>1060</v>
      </c>
      <c r="I528" s="3664" t="s">
        <v>1061</v>
      </c>
      <c r="J528" s="3691">
        <v>192</v>
      </c>
      <c r="K528" s="3691">
        <v>0</v>
      </c>
      <c r="L528" s="3691">
        <v>24</v>
      </c>
      <c r="M528" s="3691">
        <f t="shared" si="298"/>
        <v>8</v>
      </c>
      <c r="N528" s="3659">
        <v>46240</v>
      </c>
      <c r="O528" s="4701">
        <v>46237</v>
      </c>
      <c r="P528" s="4700"/>
      <c r="Q528" s="4154" t="s">
        <v>82</v>
      </c>
      <c r="R528" s="4704">
        <v>192</v>
      </c>
      <c r="S528" s="4996">
        <f t="shared" si="276"/>
        <v>0</v>
      </c>
      <c r="T528" s="4997" t="s">
        <v>2297</v>
      </c>
      <c r="U528" s="5010"/>
      <c r="V528" s="3695" t="s">
        <v>2421</v>
      </c>
      <c r="W528" s="3649"/>
      <c r="X528" s="3649" t="s">
        <v>2422</v>
      </c>
      <c r="Y528" s="3649"/>
      <c r="Z528" s="3695" t="s">
        <v>2423</v>
      </c>
      <c r="AA528" s="4700"/>
      <c r="AB528" s="3653" t="s">
        <v>2431</v>
      </c>
      <c r="AC528" s="4700" t="s">
        <v>2425</v>
      </c>
      <c r="AD528" s="5011">
        <v>2.196</v>
      </c>
      <c r="AE528" s="4700">
        <f t="shared" si="301"/>
        <v>421.632</v>
      </c>
      <c r="AF528" s="4221"/>
      <c r="AG528" s="4221"/>
      <c r="AH528" s="5012"/>
      <c r="AI528" s="4694"/>
      <c r="AJ528" s="5013"/>
      <c r="AK528" s="4694">
        <f>J528</f>
        <v>192</v>
      </c>
      <c r="AL528" s="5014"/>
      <c r="AM528" s="5014"/>
      <c r="AN528" s="5015"/>
      <c r="AO528" s="4693">
        <f t="shared" si="288"/>
        <v>192</v>
      </c>
      <c r="AP528" s="4700"/>
      <c r="AQ528" s="5016"/>
      <c r="AR528" s="5016"/>
      <c r="AS528" s="4693"/>
      <c r="AT528" s="4693">
        <f>J528</f>
        <v>192</v>
      </c>
      <c r="AU528" s="5016"/>
      <c r="AV528" s="5016"/>
      <c r="AW528" s="5016"/>
      <c r="AX528" s="4693"/>
      <c r="AY528" s="5016"/>
      <c r="AZ528" s="5016"/>
      <c r="BA528" s="4693"/>
      <c r="BB528" s="4693"/>
      <c r="BC528" s="5016"/>
      <c r="BD528" s="4693"/>
      <c r="BE528" s="4693"/>
      <c r="BF528" s="4693"/>
      <c r="BG528" s="4693"/>
      <c r="BH528" s="4693"/>
      <c r="BI528" s="4693"/>
      <c r="BJ528" s="4693"/>
      <c r="BK528" s="4693" t="s">
        <v>89</v>
      </c>
      <c r="BL528" s="5017">
        <f t="shared" si="291"/>
        <v>3.2</v>
      </c>
      <c r="BM528" s="5017">
        <f t="shared" si="292"/>
        <v>28.8</v>
      </c>
      <c r="BN528" s="5017">
        <f t="shared" si="293"/>
        <v>32</v>
      </c>
      <c r="BO528" s="5017">
        <f t="shared" si="294"/>
        <v>32</v>
      </c>
      <c r="BP528" s="5017">
        <f t="shared" si="295"/>
        <v>32</v>
      </c>
      <c r="BQ528" s="5017">
        <f t="shared" si="296"/>
        <v>32</v>
      </c>
      <c r="BR528" s="5017">
        <f t="shared" si="297"/>
        <v>32</v>
      </c>
      <c r="BS528" s="5018"/>
      <c r="BT528" s="5018"/>
      <c r="BU528" s="5018"/>
      <c r="BV528" s="5018"/>
      <c r="BW528" s="5018"/>
      <c r="BX528" s="5018"/>
      <c r="BY528" s="5018"/>
      <c r="BZ528" s="5017">
        <f t="shared" si="274"/>
        <v>192</v>
      </c>
      <c r="CA528" s="4693">
        <f t="shared" si="275"/>
        <v>0</v>
      </c>
      <c r="CB528" s="5016"/>
      <c r="CC528" s="5016"/>
      <c r="CD528" s="4693"/>
      <c r="CE528" s="4693"/>
      <c r="CF528" s="4693"/>
      <c r="XCX528" s="3688"/>
      <c r="XCY528" s="3689"/>
      <c r="XCZ528" s="3664"/>
      <c r="XDA528" s="3690"/>
      <c r="XDB528" s="3664"/>
      <c r="XDC528" s="3690"/>
      <c r="XDD528" s="3664"/>
      <c r="XDE528" s="3664"/>
      <c r="XDF528" s="3664"/>
      <c r="XDG528" s="3691"/>
      <c r="XDH528" s="3691"/>
      <c r="XDI528" s="3691"/>
      <c r="XDJ528" s="3691"/>
      <c r="XDK528" s="3659"/>
      <c r="XDL528" s="3659"/>
      <c r="XDM528" s="3691"/>
      <c r="XDN528" s="3645"/>
      <c r="XDO528" s="4101"/>
      <c r="XDP528" s="4101"/>
      <c r="XDQ528" s="4101"/>
      <c r="XDR528" s="3688"/>
      <c r="XDS528" s="3689"/>
      <c r="XDT528" s="3664"/>
      <c r="XDU528" s="3690"/>
      <c r="XDV528" s="3664"/>
      <c r="XDW528" s="3690"/>
      <c r="XDX528" s="3664"/>
      <c r="XDY528" s="3664"/>
      <c r="XDZ528" s="3664"/>
      <c r="XEA528" s="3691"/>
      <c r="XEB528" s="3691"/>
      <c r="XEC528" s="3691"/>
      <c r="XED528" s="3691"/>
      <c r="XEE528" s="3659"/>
      <c r="XEF528" s="3659"/>
      <c r="XEG528" s="3691"/>
      <c r="XEH528" s="3645"/>
      <c r="XEI528" s="4101"/>
      <c r="XEJ528" s="4101"/>
      <c r="XEK528" s="4101"/>
      <c r="XEL528" s="3688"/>
      <c r="XEM528" s="3689"/>
      <c r="XEN528" s="3664"/>
      <c r="XEO528" s="3690"/>
      <c r="XEP528" s="3664"/>
      <c r="XEQ528" s="3690"/>
      <c r="XER528" s="3664"/>
      <c r="XES528" s="3664"/>
      <c r="XET528" s="3664"/>
      <c r="XEU528" s="3691"/>
      <c r="XEV528" s="3691"/>
      <c r="XEW528" s="3691"/>
      <c r="XEX528" s="3691"/>
      <c r="XEY528" s="3659"/>
      <c r="XEZ528" s="3659"/>
      <c r="XFA528" s="3691"/>
      <c r="XFB528" s="3645"/>
      <c r="XFC528" s="4101"/>
      <c r="XFD528" s="4101"/>
    </row>
    <row r="529" s="4025" customFormat="1" ht="50" customHeight="1" spans="1:84 16206:16384">
      <c r="A529" s="3688">
        <v>46167</v>
      </c>
      <c r="B529" s="3689" t="s">
        <v>1057</v>
      </c>
      <c r="C529" s="3664" t="s">
        <v>396</v>
      </c>
      <c r="D529" s="3690" t="s">
        <v>2447</v>
      </c>
      <c r="E529" s="3664" t="s">
        <v>2467</v>
      </c>
      <c r="F529" s="3690" t="s">
        <v>2468</v>
      </c>
      <c r="G529" s="3664"/>
      <c r="H529" s="3664" t="s">
        <v>1060</v>
      </c>
      <c r="I529" s="3664" t="s">
        <v>1061</v>
      </c>
      <c r="J529" s="3691">
        <v>1200</v>
      </c>
      <c r="K529" s="3691">
        <v>0</v>
      </c>
      <c r="L529" s="3691">
        <v>24</v>
      </c>
      <c r="M529" s="3691">
        <f t="shared" si="298"/>
        <v>50</v>
      </c>
      <c r="N529" s="3659">
        <v>46240</v>
      </c>
      <c r="O529" s="3659">
        <v>46237</v>
      </c>
      <c r="P529" s="3691"/>
      <c r="Q529" s="4154" t="s">
        <v>82</v>
      </c>
      <c r="R529" s="4704">
        <f>1176+24</f>
        <v>1200</v>
      </c>
      <c r="S529" s="4996">
        <f t="shared" si="276"/>
        <v>0</v>
      </c>
      <c r="T529" s="4704" t="s">
        <v>2297</v>
      </c>
      <c r="U529" s="3620" t="s">
        <v>224</v>
      </c>
      <c r="V529" s="3622" t="s">
        <v>2421</v>
      </c>
      <c r="W529" s="3657"/>
      <c r="X529" s="3657" t="s">
        <v>2422</v>
      </c>
      <c r="Y529" s="3657"/>
      <c r="Z529" s="3622" t="s">
        <v>2423</v>
      </c>
      <c r="AA529" s="3691"/>
      <c r="AB529" s="3620" t="s">
        <v>2450</v>
      </c>
      <c r="AC529" s="3691" t="s">
        <v>2425</v>
      </c>
      <c r="AD529" s="4087">
        <v>2.1912</v>
      </c>
      <c r="AE529" s="3691">
        <f t="shared" si="301"/>
        <v>2629.44</v>
      </c>
      <c r="AF529" s="3645"/>
      <c r="AG529" s="3645"/>
      <c r="AH529" s="5019"/>
      <c r="AI529" s="4390"/>
      <c r="AJ529" s="4548"/>
      <c r="AK529" s="4089">
        <f>J529</f>
        <v>1200</v>
      </c>
      <c r="AL529" s="4390"/>
      <c r="AM529" s="4390"/>
      <c r="AN529" s="4548"/>
      <c r="AO529" s="4390">
        <f t="shared" si="288"/>
        <v>1200</v>
      </c>
      <c r="AP529" s="4390"/>
      <c r="AQ529" s="4548"/>
      <c r="AR529" s="4548"/>
      <c r="AS529" s="4390"/>
      <c r="AT529" s="4390">
        <f>J529</f>
        <v>1200</v>
      </c>
      <c r="AU529" s="4548"/>
      <c r="AV529" s="4548"/>
      <c r="AW529" s="4548"/>
      <c r="AX529" s="4390"/>
      <c r="AY529" s="4548"/>
      <c r="AZ529" s="4548"/>
      <c r="BA529" s="4390"/>
      <c r="BB529" s="4390"/>
      <c r="BC529" s="4548"/>
      <c r="BD529" s="4390"/>
      <c r="BE529" s="4390"/>
      <c r="BF529" s="4390"/>
      <c r="BG529" s="4390"/>
      <c r="BH529" s="4390"/>
      <c r="BI529" s="4390"/>
      <c r="BJ529" s="4390"/>
      <c r="BK529" s="4390" t="s">
        <v>89</v>
      </c>
      <c r="BL529" s="4716">
        <f t="shared" si="291"/>
        <v>20</v>
      </c>
      <c r="BM529" s="4716">
        <f t="shared" si="292"/>
        <v>180</v>
      </c>
      <c r="BN529" s="4716">
        <f t="shared" si="293"/>
        <v>200</v>
      </c>
      <c r="BO529" s="4716">
        <f t="shared" si="294"/>
        <v>200</v>
      </c>
      <c r="BP529" s="4716">
        <f t="shared" si="295"/>
        <v>200</v>
      </c>
      <c r="BQ529" s="4716">
        <f t="shared" si="296"/>
        <v>200</v>
      </c>
      <c r="BR529" s="4716">
        <f t="shared" si="297"/>
        <v>200</v>
      </c>
      <c r="BS529" s="4999"/>
      <c r="BT529" s="4999"/>
      <c r="BU529" s="4999"/>
      <c r="BV529" s="4999"/>
      <c r="BW529" s="4999"/>
      <c r="BX529" s="4999"/>
      <c r="BY529" s="4999"/>
      <c r="BZ529" s="4716">
        <f t="shared" si="274"/>
        <v>1200</v>
      </c>
      <c r="CA529" s="4390">
        <f t="shared" si="275"/>
        <v>0</v>
      </c>
      <c r="CB529" s="4548"/>
      <c r="CC529" s="4548"/>
      <c r="CD529" s="4390"/>
      <c r="CE529" s="4390"/>
      <c r="CF529" s="4390"/>
      <c r="WZB529" s="3688"/>
      <c r="WZC529" s="3689"/>
      <c r="WZD529" s="3664"/>
      <c r="WZE529" s="3690"/>
      <c r="WZF529" s="3664"/>
      <c r="WZG529" s="3690"/>
      <c r="WZH529" s="3664"/>
      <c r="WZI529" s="3664"/>
      <c r="WZJ529" s="3664"/>
      <c r="WZK529" s="3691"/>
      <c r="WZL529" s="3691"/>
      <c r="WZM529" s="3691"/>
      <c r="WZN529" s="3691"/>
      <c r="WZO529" s="3659"/>
      <c r="WZP529" s="3659"/>
      <c r="WZQ529" s="3691"/>
      <c r="WZR529" s="3645"/>
      <c r="WZS529" s="4101"/>
      <c r="WZT529" s="4101"/>
      <c r="WZU529" s="4101"/>
      <c r="WZV529" s="3688"/>
      <c r="WZW529" s="3689"/>
      <c r="WZX529" s="3664"/>
      <c r="WZY529" s="3690"/>
      <c r="WZZ529" s="3664"/>
      <c r="XAA529" s="3690"/>
      <c r="XAB529" s="3664"/>
      <c r="XAC529" s="3664"/>
      <c r="XAD529" s="3664"/>
      <c r="XAE529" s="3691"/>
      <c r="XAF529" s="3691"/>
      <c r="XAG529" s="3691"/>
      <c r="XAH529" s="3691"/>
      <c r="XAI529" s="3659"/>
      <c r="XAJ529" s="3659"/>
      <c r="XAK529" s="3691"/>
      <c r="XAL529" s="3645"/>
      <c r="XAM529" s="4101"/>
      <c r="XAN529" s="4101"/>
      <c r="XAO529" s="4101"/>
      <c r="XAP529" s="3688"/>
      <c r="XAQ529" s="3689"/>
      <c r="XAR529" s="3664"/>
      <c r="XAS529" s="3690"/>
      <c r="XAT529" s="3664"/>
      <c r="XAU529" s="3690"/>
      <c r="XAV529" s="3664"/>
      <c r="XAW529" s="3664"/>
      <c r="XAX529" s="3664"/>
      <c r="XAY529" s="3691"/>
      <c r="XAZ529" s="3691"/>
      <c r="XBA529" s="3691"/>
      <c r="XBB529" s="3691"/>
      <c r="XBC529" s="3659"/>
      <c r="XBD529" s="3659"/>
      <c r="XBE529" s="3691"/>
      <c r="XBF529" s="3645"/>
      <c r="XBG529" s="4101"/>
      <c r="XBH529" s="4101"/>
      <c r="XBI529" s="4101"/>
      <c r="XBJ529" s="3688"/>
      <c r="XBK529" s="3689"/>
      <c r="XBL529" s="3664"/>
      <c r="XBM529" s="3690"/>
      <c r="XBN529" s="3664"/>
      <c r="XBO529" s="3690"/>
      <c r="XBP529" s="3664"/>
      <c r="XBQ529" s="3664"/>
      <c r="XBR529" s="3664"/>
      <c r="XBS529" s="3691"/>
      <c r="XBT529" s="3691"/>
      <c r="XBU529" s="3691"/>
      <c r="XBV529" s="3691"/>
      <c r="XBW529" s="3659"/>
      <c r="XBX529" s="3659"/>
      <c r="XBY529" s="3691"/>
      <c r="XBZ529" s="3645"/>
      <c r="XCA529" s="4101"/>
      <c r="XCB529" s="4101"/>
      <c r="XCC529" s="4101"/>
      <c r="XCD529" s="3688"/>
      <c r="XCE529" s="3689"/>
      <c r="XCF529" s="3664"/>
      <c r="XCG529" s="3690"/>
      <c r="XCH529" s="3664"/>
      <c r="XCI529" s="3690"/>
      <c r="XCJ529" s="3664"/>
      <c r="XCK529" s="3664"/>
      <c r="XCL529" s="3664"/>
      <c r="XCM529" s="3691"/>
      <c r="XCN529" s="3691"/>
      <c r="XCO529" s="3691"/>
      <c r="XCP529" s="3691"/>
      <c r="XCQ529" s="3659"/>
      <c r="XCR529" s="3659"/>
      <c r="XCS529" s="3691"/>
      <c r="XCT529" s="3645"/>
      <c r="XCU529" s="4101"/>
      <c r="XCV529" s="4101"/>
      <c r="XCW529" s="4101"/>
      <c r="XCX529" s="3688"/>
      <c r="XCY529" s="3689"/>
      <c r="XCZ529" s="3664"/>
      <c r="XDA529" s="3690"/>
      <c r="XDB529" s="3664"/>
      <c r="XDC529" s="3690"/>
      <c r="XDD529" s="3664"/>
      <c r="XDE529" s="3664"/>
      <c r="XDF529" s="3664"/>
      <c r="XDG529" s="3691"/>
      <c r="XDH529" s="3691"/>
      <c r="XDI529" s="3691"/>
      <c r="XDJ529" s="3691"/>
      <c r="XDK529" s="3659"/>
      <c r="XDL529" s="3659"/>
      <c r="XDM529" s="3691"/>
      <c r="XDN529" s="3645"/>
      <c r="XDO529" s="4101"/>
      <c r="XDP529" s="4101"/>
      <c r="XDQ529" s="4101"/>
      <c r="XDR529" s="3688"/>
      <c r="XDS529" s="3689"/>
      <c r="XDT529" s="3664"/>
      <c r="XDU529" s="3690"/>
      <c r="XDV529" s="3664"/>
      <c r="XDW529" s="3690"/>
      <c r="XDX529" s="3664"/>
      <c r="XDY529" s="3664"/>
      <c r="XDZ529" s="3664"/>
      <c r="XEA529" s="3691"/>
      <c r="XEB529" s="3691"/>
      <c r="XEC529" s="3691"/>
      <c r="XED529" s="3691"/>
      <c r="XEE529" s="3659"/>
      <c r="XEF529" s="3659"/>
      <c r="XEG529" s="3691"/>
      <c r="XEH529" s="3645"/>
      <c r="XEI529" s="4101"/>
      <c r="XEJ529" s="4101"/>
      <c r="XEK529" s="4101"/>
      <c r="XEL529" s="3688"/>
      <c r="XEM529" s="3689"/>
      <c r="XEN529" s="3664"/>
      <c r="XEO529" s="3690"/>
      <c r="XEP529" s="3664"/>
      <c r="XEQ529" s="3690"/>
      <c r="XER529" s="3664"/>
      <c r="XES529" s="3664"/>
      <c r="XET529" s="3664"/>
      <c r="XEU529" s="3691"/>
      <c r="XEV529" s="3691"/>
      <c r="XEW529" s="3691"/>
      <c r="XEX529" s="3691"/>
      <c r="XEY529" s="3659"/>
      <c r="XEZ529" s="3659"/>
      <c r="XFA529" s="3691"/>
      <c r="XFB529" s="3645"/>
      <c r="XFC529" s="4101"/>
      <c r="XFD529" s="4101"/>
    </row>
    <row r="530" s="4025" customFormat="1" ht="50" customHeight="1" spans="1:84 16206:16384">
      <c r="A530" s="3688">
        <v>46167</v>
      </c>
      <c r="B530" s="3689" t="s">
        <v>1057</v>
      </c>
      <c r="C530" s="3664" t="s">
        <v>396</v>
      </c>
      <c r="D530" s="3690" t="s">
        <v>2447</v>
      </c>
      <c r="E530" s="3664" t="s">
        <v>2469</v>
      </c>
      <c r="F530" s="3690" t="s">
        <v>2470</v>
      </c>
      <c r="G530" s="3664"/>
      <c r="H530" s="3664" t="s">
        <v>1060</v>
      </c>
      <c r="I530" s="3664" t="s">
        <v>1061</v>
      </c>
      <c r="J530" s="3691">
        <v>288</v>
      </c>
      <c r="K530" s="3691">
        <v>0</v>
      </c>
      <c r="L530" s="3691">
        <v>24</v>
      </c>
      <c r="M530" s="3691">
        <f t="shared" si="298"/>
        <v>12</v>
      </c>
      <c r="N530" s="3659">
        <v>46240</v>
      </c>
      <c r="O530" s="3659">
        <v>46237</v>
      </c>
      <c r="P530" s="3691"/>
      <c r="Q530" s="4154" t="s">
        <v>82</v>
      </c>
      <c r="R530" s="4704">
        <v>288</v>
      </c>
      <c r="S530" s="4996">
        <f t="shared" si="276"/>
        <v>0</v>
      </c>
      <c r="T530" s="4997" t="s">
        <v>2297</v>
      </c>
      <c r="U530" s="3620" t="s">
        <v>224</v>
      </c>
      <c r="V530" s="3622" t="s">
        <v>2421</v>
      </c>
      <c r="W530" s="3657"/>
      <c r="X530" s="3657" t="s">
        <v>2422</v>
      </c>
      <c r="Y530" s="3657"/>
      <c r="Z530" s="3622" t="s">
        <v>2423</v>
      </c>
      <c r="AA530" s="3691"/>
      <c r="AB530" s="3620" t="s">
        <v>2450</v>
      </c>
      <c r="AC530" s="3691" t="s">
        <v>2425</v>
      </c>
      <c r="AD530" s="4087">
        <v>2.1912</v>
      </c>
      <c r="AE530" s="3691">
        <f t="shared" si="301"/>
        <v>631.0656</v>
      </c>
      <c r="AF530" s="3645"/>
      <c r="AG530" s="3645"/>
      <c r="AH530" s="5019"/>
      <c r="AI530" s="4390"/>
      <c r="AJ530" s="4548"/>
      <c r="AK530" s="4089">
        <f>J530</f>
        <v>288</v>
      </c>
      <c r="AL530" s="4390"/>
      <c r="AM530" s="4390"/>
      <c r="AN530" s="4548"/>
      <c r="AO530" s="4390">
        <f t="shared" si="288"/>
        <v>288</v>
      </c>
      <c r="AP530" s="4390"/>
      <c r="AQ530" s="4548"/>
      <c r="AR530" s="4548"/>
      <c r="AS530" s="4390"/>
      <c r="AT530" s="4390">
        <f>J530</f>
        <v>288</v>
      </c>
      <c r="AU530" s="4548"/>
      <c r="AV530" s="4548"/>
      <c r="AW530" s="4548"/>
      <c r="AX530" s="4390"/>
      <c r="AY530" s="4548"/>
      <c r="AZ530" s="4548"/>
      <c r="BA530" s="4390"/>
      <c r="BB530" s="4390"/>
      <c r="BC530" s="4548"/>
      <c r="BD530" s="4390"/>
      <c r="BE530" s="4390"/>
      <c r="BF530" s="4390"/>
      <c r="BG530" s="4390"/>
      <c r="BH530" s="4390"/>
      <c r="BI530" s="4390"/>
      <c r="BJ530" s="4390"/>
      <c r="BK530" s="4390" t="s">
        <v>89</v>
      </c>
      <c r="BL530" s="4716">
        <f t="shared" si="291"/>
        <v>4.8</v>
      </c>
      <c r="BM530" s="4716">
        <f t="shared" si="292"/>
        <v>43.2</v>
      </c>
      <c r="BN530" s="4716">
        <f t="shared" si="293"/>
        <v>48</v>
      </c>
      <c r="BO530" s="4716">
        <f t="shared" si="294"/>
        <v>48</v>
      </c>
      <c r="BP530" s="4716">
        <f t="shared" si="295"/>
        <v>48</v>
      </c>
      <c r="BQ530" s="4716">
        <f t="shared" si="296"/>
        <v>48</v>
      </c>
      <c r="BR530" s="4716">
        <f t="shared" si="297"/>
        <v>48</v>
      </c>
      <c r="BS530" s="4999"/>
      <c r="BT530" s="4999"/>
      <c r="BU530" s="4999"/>
      <c r="BV530" s="4999"/>
      <c r="BW530" s="4999"/>
      <c r="BX530" s="4999"/>
      <c r="BY530" s="4999"/>
      <c r="BZ530" s="4716">
        <f t="shared" si="274"/>
        <v>288</v>
      </c>
      <c r="CA530" s="4390">
        <f t="shared" si="275"/>
        <v>0</v>
      </c>
      <c r="CB530" s="4548"/>
      <c r="CC530" s="4548"/>
      <c r="CD530" s="4390"/>
      <c r="CE530" s="4390"/>
      <c r="CF530" s="4390"/>
      <c r="WYH530" s="3688"/>
      <c r="WYI530" s="3689"/>
      <c r="WYJ530" s="3664"/>
      <c r="WYK530" s="3690"/>
      <c r="WYL530" s="3664"/>
      <c r="WYM530" s="3690"/>
      <c r="WYN530" s="3664"/>
      <c r="WYO530" s="3664"/>
      <c r="WYP530" s="3664"/>
      <c r="WYQ530" s="3691"/>
      <c r="WYR530" s="3691"/>
      <c r="WYS530" s="3691"/>
      <c r="WYT530" s="3691"/>
      <c r="WYU530" s="3659"/>
      <c r="WYV530" s="3659"/>
      <c r="WYW530" s="3691"/>
      <c r="WYX530" s="3645"/>
      <c r="WYY530" s="4101"/>
      <c r="WYZ530" s="4101"/>
      <c r="WZA530" s="4101"/>
      <c r="WZB530" s="3688"/>
      <c r="WZC530" s="3689"/>
      <c r="WZD530" s="3664"/>
      <c r="WZE530" s="3690"/>
      <c r="WZF530" s="3664"/>
      <c r="WZG530" s="3690"/>
      <c r="WZH530" s="3664"/>
      <c r="WZI530" s="3664"/>
      <c r="WZJ530" s="3664"/>
      <c r="WZK530" s="3691"/>
      <c r="WZL530" s="3691"/>
      <c r="WZM530" s="3691"/>
      <c r="WZN530" s="3691"/>
      <c r="WZO530" s="3659"/>
      <c r="WZP530" s="3659"/>
      <c r="WZQ530" s="3691"/>
      <c r="WZR530" s="3645"/>
      <c r="WZS530" s="4101"/>
      <c r="WZT530" s="4101"/>
      <c r="WZU530" s="4101"/>
      <c r="WZV530" s="3688"/>
      <c r="WZW530" s="3689"/>
      <c r="WZX530" s="3664"/>
      <c r="WZY530" s="3690"/>
      <c r="WZZ530" s="3664"/>
      <c r="XAA530" s="3690"/>
      <c r="XAB530" s="3664"/>
      <c r="XAC530" s="3664"/>
      <c r="XAD530" s="3664"/>
      <c r="XAE530" s="3691"/>
      <c r="XAF530" s="3691"/>
      <c r="XAG530" s="3691"/>
      <c r="XAH530" s="3691"/>
      <c r="XAI530" s="3659"/>
      <c r="XAJ530" s="3659"/>
      <c r="XAK530" s="3691"/>
      <c r="XAL530" s="3645"/>
      <c r="XAM530" s="4101"/>
      <c r="XAN530" s="4101"/>
      <c r="XAO530" s="4101"/>
      <c r="XAP530" s="3688"/>
      <c r="XAQ530" s="3689"/>
      <c r="XAR530" s="3664"/>
      <c r="XAS530" s="3690"/>
      <c r="XAT530" s="3664"/>
      <c r="XAU530" s="3690"/>
      <c r="XAV530" s="3664"/>
      <c r="XAW530" s="3664"/>
      <c r="XAX530" s="3664"/>
      <c r="XAY530" s="3691"/>
      <c r="XAZ530" s="3691"/>
      <c r="XBA530" s="3691"/>
      <c r="XBB530" s="3691"/>
      <c r="XBC530" s="3659"/>
      <c r="XBD530" s="3659"/>
      <c r="XBE530" s="3691"/>
      <c r="XBF530" s="3645"/>
      <c r="XBG530" s="4101"/>
      <c r="XBH530" s="4101"/>
      <c r="XBI530" s="4101"/>
      <c r="XBJ530" s="3688"/>
      <c r="XBK530" s="3689"/>
      <c r="XBL530" s="3664"/>
      <c r="XBM530" s="3690"/>
      <c r="XBN530" s="3664"/>
      <c r="XBO530" s="3690"/>
      <c r="XBP530" s="3664"/>
      <c r="XBQ530" s="3664"/>
      <c r="XBR530" s="3664"/>
      <c r="XBS530" s="3691"/>
      <c r="XBT530" s="3691"/>
      <c r="XBU530" s="3691"/>
      <c r="XBV530" s="3691"/>
      <c r="XBW530" s="3659"/>
      <c r="XBX530" s="3659"/>
      <c r="XBY530" s="3691"/>
      <c r="XBZ530" s="3645"/>
      <c r="XCA530" s="4101"/>
      <c r="XCB530" s="4101"/>
      <c r="XCC530" s="4101"/>
      <c r="XCD530" s="3688"/>
      <c r="XCE530" s="3689"/>
      <c r="XCF530" s="3664"/>
      <c r="XCG530" s="3690"/>
      <c r="XCH530" s="3664"/>
      <c r="XCI530" s="3690"/>
      <c r="XCJ530" s="3664"/>
      <c r="XCK530" s="3664"/>
      <c r="XCL530" s="3664"/>
      <c r="XCM530" s="3691"/>
      <c r="XCN530" s="3691"/>
      <c r="XCO530" s="3691"/>
      <c r="XCP530" s="3691"/>
      <c r="XCQ530" s="3659"/>
      <c r="XCR530" s="3659"/>
      <c r="XCS530" s="3691"/>
      <c r="XCT530" s="3645"/>
      <c r="XCU530" s="4101"/>
      <c r="XCV530" s="4101"/>
      <c r="XCW530" s="4101"/>
      <c r="XCX530" s="3688"/>
      <c r="XCY530" s="3689"/>
      <c r="XCZ530" s="3664"/>
      <c r="XDA530" s="3690"/>
      <c r="XDB530" s="3664"/>
      <c r="XDC530" s="3690"/>
      <c r="XDD530" s="3664"/>
      <c r="XDE530" s="3664"/>
      <c r="XDF530" s="3664"/>
      <c r="XDG530" s="3691"/>
      <c r="XDH530" s="3691"/>
      <c r="XDI530" s="3691"/>
      <c r="XDJ530" s="3691"/>
      <c r="XDK530" s="3659"/>
      <c r="XDL530" s="3659"/>
      <c r="XDM530" s="3691"/>
      <c r="XDN530" s="3645"/>
      <c r="XDO530" s="4101"/>
      <c r="XDP530" s="4101"/>
      <c r="XDQ530" s="4101"/>
      <c r="XDR530" s="3688"/>
      <c r="XDS530" s="3689"/>
      <c r="XDT530" s="3664"/>
      <c r="XDU530" s="3690"/>
      <c r="XDV530" s="3664"/>
      <c r="XDW530" s="3690"/>
      <c r="XDX530" s="3664"/>
      <c r="XDY530" s="3664"/>
      <c r="XDZ530" s="3664"/>
      <c r="XEA530" s="3691"/>
      <c r="XEB530" s="3691"/>
      <c r="XEC530" s="3691"/>
      <c r="XED530" s="3691"/>
      <c r="XEE530" s="3659"/>
      <c r="XEF530" s="3659"/>
      <c r="XEG530" s="3691"/>
      <c r="XEH530" s="3645"/>
      <c r="XEI530" s="4101"/>
      <c r="XEJ530" s="4101"/>
      <c r="XEK530" s="4101"/>
      <c r="XEL530" s="3688"/>
      <c r="XEM530" s="3689"/>
      <c r="XEN530" s="3664"/>
      <c r="XEO530" s="3690"/>
      <c r="XEP530" s="3664"/>
      <c r="XEQ530" s="3690"/>
      <c r="XER530" s="3664"/>
      <c r="XES530" s="3664"/>
      <c r="XET530" s="3664"/>
      <c r="XEU530" s="3691"/>
      <c r="XEV530" s="3691"/>
      <c r="XEW530" s="3691"/>
      <c r="XEX530" s="3691"/>
      <c r="XEY530" s="3659"/>
      <c r="XEZ530" s="3659"/>
      <c r="XFA530" s="3691"/>
      <c r="XFB530" s="3645"/>
      <c r="XFC530" s="4101"/>
      <c r="XFD530" s="4101"/>
    </row>
    <row r="531" s="4311" customFormat="1" ht="50" customHeight="1" spans="1:84 16206:16384">
      <c r="A531" s="4776">
        <v>46213</v>
      </c>
      <c r="B531" s="4777" t="s">
        <v>2471</v>
      </c>
      <c r="C531" s="875" t="s">
        <v>91</v>
      </c>
      <c r="D531" s="4778" t="s">
        <v>2472</v>
      </c>
      <c r="E531" s="875" t="s">
        <v>2473</v>
      </c>
      <c r="F531" s="4778" t="s">
        <v>2474</v>
      </c>
      <c r="G531" s="875"/>
      <c r="H531" s="875" t="s">
        <v>327</v>
      </c>
      <c r="I531" s="875" t="s">
        <v>328</v>
      </c>
      <c r="J531" s="4349">
        <v>960</v>
      </c>
      <c r="K531" s="4349">
        <v>0</v>
      </c>
      <c r="L531" s="4349">
        <v>12</v>
      </c>
      <c r="M531" s="4349">
        <f t="shared" si="298"/>
        <v>80</v>
      </c>
      <c r="N531" s="4779">
        <v>46254</v>
      </c>
      <c r="O531" s="4779">
        <v>46251</v>
      </c>
      <c r="P531" s="4349"/>
      <c r="Q531" s="4278"/>
      <c r="R531" s="4174"/>
      <c r="S531" s="5003">
        <f t="shared" si="276"/>
        <v>-960</v>
      </c>
      <c r="T531" s="5020" t="s">
        <v>98</v>
      </c>
      <c r="U531" s="5021"/>
      <c r="V531" s="3897" t="s">
        <v>2475</v>
      </c>
      <c r="W531" s="3898"/>
      <c r="X531" s="3897" t="s">
        <v>98</v>
      </c>
      <c r="Y531" s="3897"/>
      <c r="Z531" s="3897"/>
      <c r="AA531" s="4349"/>
      <c r="AB531" s="3658" t="s">
        <v>1916</v>
      </c>
      <c r="AC531" s="4349" t="s">
        <v>2476</v>
      </c>
      <c r="AD531" s="5022">
        <v>1.3639</v>
      </c>
      <c r="AE531" s="4349">
        <f t="shared" si="301"/>
        <v>1309.344</v>
      </c>
      <c r="AF531" s="4278"/>
      <c r="AG531" s="4278"/>
      <c r="AH531" s="5023"/>
      <c r="AI531" s="878">
        <f t="shared" ref="AI531:AI539" si="302">J531</f>
        <v>960</v>
      </c>
      <c r="AJ531" s="980"/>
      <c r="AK531" s="878"/>
      <c r="AL531" s="4920"/>
      <c r="AM531" s="4920"/>
      <c r="AN531" s="982"/>
      <c r="AO531" s="4782">
        <f t="shared" si="288"/>
        <v>960</v>
      </c>
      <c r="AP531" s="4349"/>
      <c r="AQ531" s="1022"/>
      <c r="AR531" s="1022"/>
      <c r="AS531" s="4782">
        <f>J531</f>
        <v>960</v>
      </c>
      <c r="AT531" s="4782"/>
      <c r="AU531" s="1022"/>
      <c r="AV531" s="1022"/>
      <c r="AW531" s="1022"/>
      <c r="AX531" s="4782">
        <f>J531/6</f>
        <v>160</v>
      </c>
      <c r="AY531" s="1022"/>
      <c r="AZ531" s="1022"/>
      <c r="BA531" s="4782"/>
      <c r="BB531" s="4782"/>
      <c r="BC531" s="1022"/>
      <c r="BD531" s="4782"/>
      <c r="BE531" s="4782"/>
      <c r="BF531" s="4782"/>
      <c r="BG531" s="4782"/>
      <c r="BH531" s="4782"/>
      <c r="BI531" s="4782"/>
      <c r="BJ531" s="4782"/>
      <c r="BK531" s="5024" t="s">
        <v>89</v>
      </c>
      <c r="BL531" s="5025">
        <f t="shared" si="291"/>
        <v>16</v>
      </c>
      <c r="BM531" s="5025">
        <f t="shared" si="292"/>
        <v>144</v>
      </c>
      <c r="BN531" s="5025">
        <f t="shared" si="293"/>
        <v>160</v>
      </c>
      <c r="BO531" s="5025">
        <f t="shared" si="294"/>
        <v>160</v>
      </c>
      <c r="BP531" s="5025">
        <f t="shared" si="295"/>
        <v>160</v>
      </c>
      <c r="BQ531" s="5025">
        <f t="shared" si="296"/>
        <v>160</v>
      </c>
      <c r="BR531" s="5025">
        <f t="shared" si="297"/>
        <v>160</v>
      </c>
      <c r="BS531" s="5026"/>
      <c r="BT531" s="5026"/>
      <c r="BU531" s="5026"/>
      <c r="BV531" s="5026"/>
      <c r="BW531" s="5026"/>
      <c r="BX531" s="5026"/>
      <c r="BY531" s="5026"/>
      <c r="BZ531" s="5025">
        <f t="shared" si="274"/>
        <v>960</v>
      </c>
      <c r="CA531" s="4782">
        <f t="shared" si="275"/>
        <v>0</v>
      </c>
      <c r="CB531" s="1022"/>
      <c r="CC531" s="1022"/>
      <c r="CD531" s="4782"/>
      <c r="CE531" s="4782"/>
      <c r="CF531" s="4782"/>
      <c r="XCX531" s="4776"/>
      <c r="XCY531" s="4777"/>
      <c r="XCZ531" s="875"/>
      <c r="XDA531" s="4778"/>
      <c r="XDB531" s="875"/>
      <c r="XDC531" s="4778"/>
      <c r="XDD531" s="875"/>
      <c r="XDE531" s="875"/>
      <c r="XDF531" s="875"/>
      <c r="XDG531" s="4349"/>
      <c r="XDH531" s="4349"/>
      <c r="XDI531" s="4349"/>
      <c r="XDJ531" s="4349"/>
      <c r="XDK531" s="4779"/>
      <c r="XDL531" s="4779"/>
      <c r="XDM531" s="4349"/>
      <c r="XDN531" s="4278"/>
      <c r="XDO531" s="5027"/>
      <c r="XDP531" s="5027"/>
      <c r="XDQ531" s="5027"/>
      <c r="XDR531" s="4776"/>
      <c r="XDS531" s="4777"/>
      <c r="XDT531" s="875"/>
      <c r="XDU531" s="4778"/>
      <c r="XDV531" s="875"/>
      <c r="XDW531" s="4778"/>
      <c r="XDX531" s="875"/>
      <c r="XDY531" s="875"/>
      <c r="XDZ531" s="875"/>
      <c r="XEA531" s="4349"/>
      <c r="XEB531" s="4349"/>
      <c r="XEC531" s="4349"/>
      <c r="XED531" s="4349"/>
      <c r="XEE531" s="4779"/>
      <c r="XEF531" s="4779"/>
      <c r="XEG531" s="4349"/>
      <c r="XEH531" s="4278"/>
      <c r="XEI531" s="5027"/>
      <c r="XEJ531" s="5027"/>
      <c r="XEK531" s="5027"/>
      <c r="XEL531" s="4776"/>
      <c r="XEM531" s="4777"/>
      <c r="XEN531" s="875"/>
      <c r="XEO531" s="4778"/>
      <c r="XEP531" s="875"/>
      <c r="XEQ531" s="4778"/>
      <c r="XER531" s="875"/>
      <c r="XES531" s="875"/>
      <c r="XET531" s="875"/>
      <c r="XEU531" s="4349"/>
      <c r="XEV531" s="4349"/>
      <c r="XEW531" s="4349"/>
      <c r="XEX531" s="4349"/>
      <c r="XEY531" s="4779"/>
      <c r="XEZ531" s="4779"/>
      <c r="XFA531" s="4349"/>
      <c r="XFB531" s="4278"/>
      <c r="XFC531" s="5027"/>
      <c r="XFD531" s="5027"/>
    </row>
    <row r="532" s="4867" customFormat="1" ht="50" customHeight="1" spans="1:84 16206:16384">
      <c r="A532" s="4820">
        <v>46206</v>
      </c>
      <c r="B532" s="4821" t="s">
        <v>2477</v>
      </c>
      <c r="C532" s="3929" t="s">
        <v>439</v>
      </c>
      <c r="D532" s="4822" t="s">
        <v>2478</v>
      </c>
      <c r="E532" s="3929" t="s">
        <v>2479</v>
      </c>
      <c r="F532" s="3925" t="s">
        <v>2480</v>
      </c>
      <c r="G532" s="3929"/>
      <c r="H532" s="3926" t="s">
        <v>443</v>
      </c>
      <c r="I532" s="3929" t="s">
        <v>328</v>
      </c>
      <c r="J532" s="4823">
        <v>2040</v>
      </c>
      <c r="K532" s="4823">
        <v>0</v>
      </c>
      <c r="L532" s="4823">
        <v>12</v>
      </c>
      <c r="M532" s="4823">
        <f t="shared" si="298"/>
        <v>170</v>
      </c>
      <c r="N532" s="5028">
        <v>46255</v>
      </c>
      <c r="O532" s="5029">
        <v>46251</v>
      </c>
      <c r="P532" s="5030" t="s">
        <v>2481</v>
      </c>
      <c r="Q532" s="5031"/>
      <c r="R532" s="4174"/>
      <c r="S532" s="5003">
        <f t="shared" si="276"/>
        <v>-2040</v>
      </c>
      <c r="T532" s="5032" t="s">
        <v>2297</v>
      </c>
      <c r="U532" s="5031"/>
      <c r="V532" s="5033" t="s">
        <v>2482</v>
      </c>
      <c r="W532" s="5034"/>
      <c r="X532" s="5033" t="s">
        <v>2483</v>
      </c>
      <c r="Y532" s="5033"/>
      <c r="Z532" s="5034"/>
      <c r="AA532" s="5035"/>
      <c r="AB532" s="5036" t="s">
        <v>2484</v>
      </c>
      <c r="AC532" s="5035" t="s">
        <v>2485</v>
      </c>
      <c r="AD532" s="5037">
        <v>2.2683</v>
      </c>
      <c r="AE532" s="5035">
        <f t="shared" si="301"/>
        <v>4627.332</v>
      </c>
      <c r="AF532" s="5031"/>
      <c r="AG532" s="5031"/>
      <c r="AH532" s="1093"/>
      <c r="AI532" s="5038">
        <f t="shared" si="302"/>
        <v>2040</v>
      </c>
      <c r="AJ532" s="5039"/>
      <c r="AK532" s="5040"/>
      <c r="AL532" s="5041"/>
      <c r="AM532" s="5035"/>
      <c r="AN532" s="1091"/>
      <c r="AO532" s="5041"/>
      <c r="AP532" s="5041">
        <f>J532</f>
        <v>2040</v>
      </c>
      <c r="AQ532" s="1091"/>
      <c r="AR532" s="1091"/>
      <c r="AS532" s="5041"/>
      <c r="AT532" s="5041">
        <f>J532</f>
        <v>2040</v>
      </c>
      <c r="AU532" s="1091"/>
      <c r="AV532" s="1091"/>
      <c r="AW532" s="1091"/>
      <c r="AX532" s="5041">
        <f>J532/6</f>
        <v>340</v>
      </c>
      <c r="AY532" s="1091"/>
      <c r="AZ532" s="5042"/>
      <c r="BA532" s="5043"/>
      <c r="BB532" s="5043"/>
      <c r="BC532" s="1092"/>
      <c r="BD532" s="5043"/>
      <c r="BE532" s="5043"/>
      <c r="BF532" s="5043"/>
      <c r="BG532" s="5043"/>
      <c r="BH532" s="5043"/>
      <c r="BI532" s="5041"/>
      <c r="BJ532" s="5041"/>
      <c r="BK532" s="3943" t="s">
        <v>89</v>
      </c>
      <c r="BL532" s="5044">
        <f t="shared" si="291"/>
        <v>34</v>
      </c>
      <c r="BM532" s="5044">
        <f t="shared" si="292"/>
        <v>306</v>
      </c>
      <c r="BN532" s="5044">
        <f t="shared" si="293"/>
        <v>340</v>
      </c>
      <c r="BO532" s="5044">
        <f t="shared" si="294"/>
        <v>340</v>
      </c>
      <c r="BP532" s="5044">
        <f t="shared" si="295"/>
        <v>340</v>
      </c>
      <c r="BQ532" s="5045">
        <f t="shared" si="296"/>
        <v>340</v>
      </c>
      <c r="BR532" s="5046">
        <f t="shared" si="297"/>
        <v>340</v>
      </c>
      <c r="BS532" s="4432"/>
      <c r="BT532" s="4432"/>
      <c r="BU532" s="4432"/>
      <c r="BV532" s="4432"/>
      <c r="BW532" s="4432"/>
      <c r="BX532" s="4431"/>
      <c r="BY532" s="4431"/>
      <c r="BZ532" s="3929">
        <f t="shared" si="274"/>
        <v>2040</v>
      </c>
      <c r="CA532" s="4823">
        <f t="shared" si="275"/>
        <v>0</v>
      </c>
      <c r="CB532" s="1091"/>
      <c r="CC532" s="1091"/>
      <c r="CD532" s="5041"/>
      <c r="CE532" s="5041"/>
      <c r="CF532" s="5041"/>
      <c r="XCD532" s="4820"/>
      <c r="XCE532" s="4821"/>
      <c r="XCF532" s="3929"/>
      <c r="XCG532" s="4822"/>
      <c r="XCH532" s="3929"/>
      <c r="XCI532" s="4822"/>
      <c r="XCJ532" s="3929"/>
      <c r="XCK532" s="3929"/>
      <c r="XCL532" s="3929"/>
      <c r="XCM532" s="4823"/>
      <c r="XCN532" s="4823"/>
      <c r="XCO532" s="4823"/>
      <c r="XCP532" s="4823"/>
      <c r="XCQ532" s="4824"/>
      <c r="XCR532" s="4824"/>
      <c r="XCS532" s="4823"/>
      <c r="XCT532" s="4829"/>
      <c r="XCU532" s="4827"/>
      <c r="XCV532" s="4827"/>
      <c r="XCW532" s="4827"/>
      <c r="XCX532" s="4820"/>
      <c r="XCY532" s="4821"/>
      <c r="XCZ532" s="3929"/>
      <c r="XDA532" s="4822"/>
      <c r="XDB532" s="3929"/>
      <c r="XDC532" s="4822"/>
      <c r="XDD532" s="3929"/>
      <c r="XDE532" s="3929"/>
      <c r="XDF532" s="3929"/>
      <c r="XDG532" s="4823"/>
      <c r="XDH532" s="4823"/>
      <c r="XDI532" s="4823"/>
      <c r="XDJ532" s="4823"/>
      <c r="XDK532" s="4824"/>
      <c r="XDL532" s="4824"/>
      <c r="XDM532" s="4823"/>
      <c r="XDN532" s="4829"/>
      <c r="XDO532" s="4827"/>
      <c r="XDP532" s="4827"/>
      <c r="XDQ532" s="4827"/>
      <c r="XDR532" s="4820"/>
      <c r="XDS532" s="4821"/>
      <c r="XDT532" s="3929"/>
      <c r="XDU532" s="4822"/>
      <c r="XDV532" s="3929"/>
      <c r="XDW532" s="4822"/>
      <c r="XDX532" s="3929"/>
      <c r="XDY532" s="3929"/>
      <c r="XDZ532" s="3929"/>
      <c r="XEA532" s="4823"/>
      <c r="XEB532" s="4823"/>
      <c r="XEC532" s="4823"/>
      <c r="XED532" s="4823"/>
      <c r="XEE532" s="4824"/>
      <c r="XEF532" s="4824"/>
      <c r="XEG532" s="4823"/>
      <c r="XEH532" s="4829"/>
      <c r="XEI532" s="4827"/>
      <c r="XEJ532" s="4827"/>
      <c r="XEK532" s="4827"/>
      <c r="XEL532" s="4820"/>
      <c r="XEM532" s="4821"/>
      <c r="XEN532" s="3929"/>
      <c r="XEO532" s="4822"/>
      <c r="XEP532" s="3929"/>
      <c r="XEQ532" s="4822"/>
      <c r="XER532" s="3929"/>
      <c r="XES532" s="3929"/>
      <c r="XET532" s="3929"/>
      <c r="XEU532" s="4823"/>
      <c r="XEV532" s="4823"/>
      <c r="XEW532" s="4823"/>
      <c r="XEX532" s="4823"/>
      <c r="XEY532" s="4824"/>
      <c r="XEZ532" s="4824"/>
      <c r="XFA532" s="4823"/>
      <c r="XFB532" s="4829"/>
      <c r="XFC532" s="5047"/>
      <c r="XFD532" s="5048"/>
    </row>
    <row r="533" s="4867" customFormat="1" ht="50" customHeight="1" spans="1:84 16206:16384">
      <c r="A533" s="4820">
        <v>46206</v>
      </c>
      <c r="B533" s="3929" t="s">
        <v>2486</v>
      </c>
      <c r="C533" s="3929" t="s">
        <v>439</v>
      </c>
      <c r="D533" s="4823" t="s">
        <v>2487</v>
      </c>
      <c r="E533" s="3929" t="s">
        <v>2488</v>
      </c>
      <c r="F533" s="4823" t="s">
        <v>2489</v>
      </c>
      <c r="G533" s="3929"/>
      <c r="H533" s="3929" t="s">
        <v>443</v>
      </c>
      <c r="I533" s="3929" t="s">
        <v>328</v>
      </c>
      <c r="J533" s="5049">
        <v>1008</v>
      </c>
      <c r="K533" s="4823">
        <v>0</v>
      </c>
      <c r="L533" s="4823">
        <v>12</v>
      </c>
      <c r="M533" s="4823">
        <f t="shared" si="298"/>
        <v>84</v>
      </c>
      <c r="N533" s="5028">
        <v>46255</v>
      </c>
      <c r="O533" s="5050">
        <v>46251</v>
      </c>
      <c r="P533" s="5030" t="s">
        <v>2481</v>
      </c>
      <c r="Q533" s="5035"/>
      <c r="R533" s="4174"/>
      <c r="S533" s="5003">
        <f t="shared" si="276"/>
        <v>-1008</v>
      </c>
      <c r="T533" s="5051"/>
      <c r="U533" s="5031"/>
      <c r="V533" s="5033" t="s">
        <v>2482</v>
      </c>
      <c r="W533" s="5034"/>
      <c r="X533" s="5033" t="s">
        <v>2483</v>
      </c>
      <c r="Y533" s="5033"/>
      <c r="Z533" s="5034"/>
      <c r="AA533" s="5041"/>
      <c r="AB533" s="5052" t="s">
        <v>2490</v>
      </c>
      <c r="AC533" s="5035" t="s">
        <v>2485</v>
      </c>
      <c r="AD533" s="5037">
        <v>2.1588</v>
      </c>
      <c r="AE533" s="5035">
        <f t="shared" si="301"/>
        <v>2176.0704</v>
      </c>
      <c r="AF533" s="5031"/>
      <c r="AG533" s="5031"/>
      <c r="AH533" s="5053"/>
      <c r="AI533" s="5038">
        <f t="shared" si="302"/>
        <v>1008</v>
      </c>
      <c r="AJ533" s="5039"/>
      <c r="AK533" s="5040"/>
      <c r="AL533" s="5041"/>
      <c r="AM533" s="5035"/>
      <c r="AN533" s="1091"/>
      <c r="AO533" s="5041"/>
      <c r="AP533" s="5041">
        <f>J533</f>
        <v>1008</v>
      </c>
      <c r="AQ533" s="1091"/>
      <c r="AR533" s="1091"/>
      <c r="AS533" s="5041"/>
      <c r="AT533" s="5041">
        <f>J533</f>
        <v>1008</v>
      </c>
      <c r="AU533" s="1091"/>
      <c r="AV533" s="1091"/>
      <c r="AW533" s="1091"/>
      <c r="AX533" s="5041">
        <f>J533/6</f>
        <v>168</v>
      </c>
      <c r="AY533" s="5053"/>
      <c r="AZ533" s="5054"/>
      <c r="BA533" s="5055"/>
      <c r="BB533" s="5055"/>
      <c r="BC533" s="5056"/>
      <c r="BD533" s="5055"/>
      <c r="BE533" s="5055"/>
      <c r="BF533" s="5057"/>
      <c r="BG533" s="5038"/>
      <c r="BH533" s="5058"/>
      <c r="BI533" s="5035"/>
      <c r="BJ533" s="5041"/>
      <c r="BK533" s="3943" t="s">
        <v>89</v>
      </c>
      <c r="BL533" s="5044">
        <f t="shared" si="291"/>
        <v>16.8</v>
      </c>
      <c r="BM533" s="5044">
        <f t="shared" si="292"/>
        <v>151.2</v>
      </c>
      <c r="BN533" s="5044">
        <f t="shared" si="293"/>
        <v>168</v>
      </c>
      <c r="BO533" s="5044">
        <f t="shared" si="294"/>
        <v>168</v>
      </c>
      <c r="BP533" s="5044">
        <f t="shared" si="295"/>
        <v>168</v>
      </c>
      <c r="BQ533" s="5045">
        <f t="shared" si="296"/>
        <v>168</v>
      </c>
      <c r="BR533" s="5046">
        <f t="shared" si="297"/>
        <v>168</v>
      </c>
      <c r="BS533" s="4432"/>
      <c r="BT533" s="4432"/>
      <c r="BU533" s="4432"/>
      <c r="BV533" s="4432"/>
      <c r="BW533" s="4432"/>
      <c r="BX533" s="4431"/>
      <c r="BY533" s="4431"/>
      <c r="BZ533" s="3929">
        <f t="shared" si="274"/>
        <v>1008</v>
      </c>
      <c r="CA533" s="4823">
        <f t="shared" si="275"/>
        <v>0</v>
      </c>
      <c r="CB533" s="5054"/>
      <c r="CC533" s="5054"/>
      <c r="CD533" s="5041"/>
      <c r="CE533" s="5041"/>
      <c r="CF533" s="5041"/>
      <c r="XEL533" s="4820"/>
      <c r="XEM533" s="3929"/>
      <c r="XEN533" s="3929"/>
      <c r="XEO533" s="4823"/>
      <c r="XEP533" s="3929"/>
      <c r="XEQ533" s="4823"/>
      <c r="XER533" s="3929"/>
      <c r="XES533" s="3929"/>
      <c r="XET533" s="3929"/>
      <c r="XEU533" s="5049"/>
      <c r="XEV533" s="4823"/>
      <c r="XEW533" s="4823"/>
      <c r="XEX533" s="4823"/>
      <c r="XEY533" s="4824"/>
      <c r="XEZ533" s="4780"/>
      <c r="XFA533" s="3932"/>
      <c r="XFB533" s="4823"/>
      <c r="XFC533" s="4827"/>
      <c r="XFD533" s="4827"/>
    </row>
    <row r="534" s="4867" customFormat="1" ht="50" customHeight="1" spans="1:84 16206:16384">
      <c r="A534" s="4820">
        <v>46240</v>
      </c>
      <c r="B534" s="3929"/>
      <c r="C534" s="3929" t="s">
        <v>2491</v>
      </c>
      <c r="D534" s="4823" t="s">
        <v>2492</v>
      </c>
      <c r="E534" s="3929" t="s">
        <v>2493</v>
      </c>
      <c r="F534" s="4823" t="s">
        <v>2494</v>
      </c>
      <c r="G534" s="3929"/>
      <c r="H534" s="3929" t="s">
        <v>2495</v>
      </c>
      <c r="I534" s="3929" t="s">
        <v>328</v>
      </c>
      <c r="J534" s="5049">
        <v>1152</v>
      </c>
      <c r="K534" s="4823">
        <v>0</v>
      </c>
      <c r="L534" s="4823">
        <v>16</v>
      </c>
      <c r="M534" s="4823">
        <f t="shared" si="298"/>
        <v>72</v>
      </c>
      <c r="N534" s="5028">
        <v>46275</v>
      </c>
      <c r="O534" s="5050">
        <v>46272</v>
      </c>
      <c r="P534" s="5059" t="s">
        <v>2496</v>
      </c>
      <c r="Q534" s="5035"/>
      <c r="R534" s="4174"/>
      <c r="S534" s="5003">
        <f t="shared" ref="S534:S539" si="303">R534-J534</f>
        <v>-1152</v>
      </c>
      <c r="T534" s="5051"/>
      <c r="U534" s="5031"/>
      <c r="V534" s="5033" t="s">
        <v>335</v>
      </c>
      <c r="W534" s="5034"/>
      <c r="X534" s="5033" t="s">
        <v>98</v>
      </c>
      <c r="Y534" s="5033"/>
      <c r="Z534" s="5034"/>
      <c r="AA534" s="5041"/>
      <c r="AB534" s="5052" t="s">
        <v>2497</v>
      </c>
      <c r="AC534" s="5035" t="s">
        <v>596</v>
      </c>
      <c r="AD534" s="5037">
        <v>2.15</v>
      </c>
      <c r="AE534" s="5035">
        <v>2476.8</v>
      </c>
      <c r="AF534" s="5031"/>
      <c r="AG534" s="5031"/>
      <c r="AH534" s="5053"/>
      <c r="AI534" s="5038">
        <f t="shared" si="302"/>
        <v>1152</v>
      </c>
      <c r="AJ534" s="5039"/>
      <c r="AK534" s="5040"/>
      <c r="AL534" s="5041"/>
      <c r="AM534" s="5035"/>
      <c r="AN534" s="1091"/>
      <c r="AO534" s="5041">
        <f t="shared" ref="AO534:AO539" si="304">J534</f>
        <v>1152</v>
      </c>
      <c r="AP534" s="5041"/>
      <c r="AQ534" s="1091"/>
      <c r="AR534" s="1091"/>
      <c r="AS534" s="5041">
        <f t="shared" ref="AS534:AS539" si="305">J534</f>
        <v>1152</v>
      </c>
      <c r="AT534" s="5041"/>
      <c r="AU534" s="1091"/>
      <c r="AV534" s="1091"/>
      <c r="AW534" s="1091"/>
      <c r="AX534" s="5041"/>
      <c r="AY534" s="5053"/>
      <c r="AZ534" s="5054"/>
      <c r="BA534" s="5055"/>
      <c r="BB534" s="5055"/>
      <c r="BC534" s="5056"/>
      <c r="BD534" s="5055"/>
      <c r="BE534" s="5055"/>
      <c r="BF534" s="5057"/>
      <c r="BG534" s="5038"/>
      <c r="BH534" s="5058"/>
      <c r="BI534" s="5035"/>
      <c r="BJ534" s="5041"/>
      <c r="BK534" s="3943" t="s">
        <v>89</v>
      </c>
      <c r="BL534" s="5060">
        <f t="shared" ref="BL534:BL539" si="306">J534/100*14</f>
        <v>161.28</v>
      </c>
      <c r="BM534" s="5060">
        <f t="shared" ref="BM534:BM539" si="307">J534/100*26</f>
        <v>299.52</v>
      </c>
      <c r="BN534" s="5060">
        <f t="shared" ref="BN534:BN539" si="308">J534/100*8</f>
        <v>92.16</v>
      </c>
      <c r="BO534" s="5060">
        <f t="shared" ref="BO534:BO539" si="309">J534/100*20</f>
        <v>230.4</v>
      </c>
      <c r="BP534" s="5060">
        <f t="shared" ref="BP534:BP539" si="310">J534/100*12</f>
        <v>138.24</v>
      </c>
      <c r="BQ534" s="5060">
        <f t="shared" ref="BQ534:BQ539" si="311">J534/100*8</f>
        <v>92.16</v>
      </c>
      <c r="BR534" s="5060">
        <f t="shared" ref="BR534:BR539" si="312">J534/100*12</f>
        <v>138.24</v>
      </c>
      <c r="BS534" s="5061"/>
      <c r="BT534" s="5061"/>
      <c r="BU534" s="5061"/>
      <c r="BV534" s="5061"/>
      <c r="BW534" s="5061"/>
      <c r="BX534" s="5061"/>
      <c r="BY534" s="5061"/>
      <c r="BZ534" s="5062">
        <f t="shared" si="274"/>
        <v>1152</v>
      </c>
      <c r="CA534" s="5063">
        <f t="shared" si="275"/>
        <v>0</v>
      </c>
      <c r="CB534" s="5054"/>
      <c r="CC534" s="5054"/>
      <c r="CD534" s="5041"/>
      <c r="CE534" s="5041"/>
      <c r="CF534" s="5041"/>
      <c r="XEL534" s="4820"/>
      <c r="XEM534" s="3929"/>
      <c r="XEN534" s="3929"/>
      <c r="XEO534" s="4823"/>
      <c r="XEP534" s="3929"/>
      <c r="XEQ534" s="4823"/>
      <c r="XER534" s="3929"/>
      <c r="XES534" s="3929"/>
      <c r="XET534" s="3929"/>
      <c r="XEU534" s="5049"/>
      <c r="XEV534" s="4823"/>
      <c r="XEW534" s="4823"/>
      <c r="XEX534" s="4823"/>
      <c r="XEY534" s="4824"/>
      <c r="XEZ534" s="4780"/>
      <c r="XFA534" s="3932"/>
      <c r="XFB534" s="4823"/>
      <c r="XFC534" s="4827"/>
      <c r="XFD534" s="4827"/>
    </row>
    <row r="535" s="4867" customFormat="1" ht="50" customHeight="1" spans="1:84 16206:16384">
      <c r="A535" s="4820">
        <v>46240</v>
      </c>
      <c r="B535" s="3929"/>
      <c r="C535" s="3929" t="s">
        <v>2491</v>
      </c>
      <c r="D535" s="4823" t="s">
        <v>2492</v>
      </c>
      <c r="E535" s="3929" t="s">
        <v>2493</v>
      </c>
      <c r="F535" s="4823" t="s">
        <v>2498</v>
      </c>
      <c r="G535" s="3929"/>
      <c r="H535" s="3929" t="s">
        <v>2495</v>
      </c>
      <c r="I535" s="3929" t="s">
        <v>328</v>
      </c>
      <c r="J535" s="5049">
        <v>1152</v>
      </c>
      <c r="K535" s="4823">
        <v>0</v>
      </c>
      <c r="L535" s="4823">
        <v>16</v>
      </c>
      <c r="M535" s="4823">
        <f t="shared" si="298"/>
        <v>72</v>
      </c>
      <c r="N535" s="5028">
        <v>46275</v>
      </c>
      <c r="O535" s="5050">
        <v>46272</v>
      </c>
      <c r="P535" s="5059" t="s">
        <v>2496</v>
      </c>
      <c r="Q535" s="5035"/>
      <c r="R535" s="4174"/>
      <c r="S535" s="5003">
        <f t="shared" si="303"/>
        <v>-1152</v>
      </c>
      <c r="T535" s="5051"/>
      <c r="U535" s="5031"/>
      <c r="V535" s="5033" t="s">
        <v>335</v>
      </c>
      <c r="W535" s="5034"/>
      <c r="X535" s="5033" t="s">
        <v>98</v>
      </c>
      <c r="Y535" s="5033"/>
      <c r="Z535" s="5034"/>
      <c r="AA535" s="5041"/>
      <c r="AB535" s="5052" t="s">
        <v>2497</v>
      </c>
      <c r="AC535" s="5035" t="s">
        <v>596</v>
      </c>
      <c r="AD535" s="5037">
        <v>2.15</v>
      </c>
      <c r="AE535" s="5035">
        <v>2476.8</v>
      </c>
      <c r="AF535" s="5031"/>
      <c r="AG535" s="5031"/>
      <c r="AH535" s="5053"/>
      <c r="AI535" s="5038">
        <f t="shared" si="302"/>
        <v>1152</v>
      </c>
      <c r="AJ535" s="5039"/>
      <c r="AK535" s="5040"/>
      <c r="AL535" s="5041"/>
      <c r="AM535" s="5035"/>
      <c r="AN535" s="1091"/>
      <c r="AO535" s="5041">
        <f t="shared" si="304"/>
        <v>1152</v>
      </c>
      <c r="AP535" s="5041"/>
      <c r="AQ535" s="1091"/>
      <c r="AR535" s="1091"/>
      <c r="AS535" s="5041">
        <f t="shared" si="305"/>
        <v>1152</v>
      </c>
      <c r="AT535" s="5041"/>
      <c r="AU535" s="1091"/>
      <c r="AV535" s="1091"/>
      <c r="AW535" s="1091"/>
      <c r="AX535" s="5041"/>
      <c r="AY535" s="5053"/>
      <c r="AZ535" s="5054"/>
      <c r="BA535" s="5055"/>
      <c r="BB535" s="5055"/>
      <c r="BC535" s="5056"/>
      <c r="BD535" s="5055"/>
      <c r="BE535" s="5055"/>
      <c r="BF535" s="5057"/>
      <c r="BG535" s="5038"/>
      <c r="BH535" s="5058"/>
      <c r="BI535" s="5035"/>
      <c r="BJ535" s="5041"/>
      <c r="BK535" s="3943" t="s">
        <v>89</v>
      </c>
      <c r="BL535" s="5060">
        <f t="shared" si="306"/>
        <v>161.28</v>
      </c>
      <c r="BM535" s="5060">
        <f t="shared" si="307"/>
        <v>299.52</v>
      </c>
      <c r="BN535" s="5060">
        <f t="shared" si="308"/>
        <v>92.16</v>
      </c>
      <c r="BO535" s="5060">
        <f t="shared" si="309"/>
        <v>230.4</v>
      </c>
      <c r="BP535" s="5060">
        <f t="shared" si="310"/>
        <v>138.24</v>
      </c>
      <c r="BQ535" s="5060">
        <f t="shared" si="311"/>
        <v>92.16</v>
      </c>
      <c r="BR535" s="5060">
        <f t="shared" si="312"/>
        <v>138.24</v>
      </c>
      <c r="BS535" s="5061"/>
      <c r="BT535" s="5061"/>
      <c r="BU535" s="5061"/>
      <c r="BV535" s="5061"/>
      <c r="BW535" s="5061"/>
      <c r="BX535" s="5061"/>
      <c r="BY535" s="5061"/>
      <c r="BZ535" s="5062">
        <f t="shared" si="274"/>
        <v>1152</v>
      </c>
      <c r="CA535" s="5063">
        <f t="shared" si="275"/>
        <v>0</v>
      </c>
      <c r="CB535" s="5054"/>
      <c r="CC535" s="5054"/>
      <c r="CD535" s="5041"/>
      <c r="CE535" s="5041"/>
      <c r="CF535" s="5041"/>
      <c r="XEL535" s="4820"/>
      <c r="XEM535" s="3929"/>
      <c r="XEN535" s="3929"/>
      <c r="XEO535" s="4823"/>
      <c r="XEP535" s="3929"/>
      <c r="XEQ535" s="4823"/>
      <c r="XER535" s="3929"/>
      <c r="XES535" s="3929"/>
      <c r="XET535" s="3929"/>
      <c r="XEU535" s="5049"/>
      <c r="XEV535" s="4823"/>
      <c r="XEW535" s="4823"/>
      <c r="XEX535" s="4823"/>
      <c r="XEY535" s="4824"/>
      <c r="XEZ535" s="4780"/>
      <c r="XFA535" s="3932"/>
      <c r="XFB535" s="4823"/>
      <c r="XFC535" s="4827"/>
      <c r="XFD535" s="4827"/>
    </row>
    <row r="536" s="4867" customFormat="1" ht="50" customHeight="1" spans="1:84 16206:16384">
      <c r="A536" s="4820">
        <v>46240</v>
      </c>
      <c r="B536" s="3929"/>
      <c r="C536" s="3929" t="s">
        <v>2491</v>
      </c>
      <c r="D536" s="4823" t="s">
        <v>2492</v>
      </c>
      <c r="E536" s="3929" t="s">
        <v>2493</v>
      </c>
      <c r="F536" s="4823" t="s">
        <v>2499</v>
      </c>
      <c r="G536" s="3929"/>
      <c r="H536" s="3929" t="s">
        <v>2495</v>
      </c>
      <c r="I536" s="3929" t="s">
        <v>328</v>
      </c>
      <c r="J536" s="5049">
        <v>1152</v>
      </c>
      <c r="K536" s="4823">
        <v>0</v>
      </c>
      <c r="L536" s="4823">
        <v>16</v>
      </c>
      <c r="M536" s="4823">
        <f t="shared" si="298"/>
        <v>72</v>
      </c>
      <c r="N536" s="5028">
        <v>46275</v>
      </c>
      <c r="O536" s="5050">
        <v>46272</v>
      </c>
      <c r="P536" s="5059" t="s">
        <v>2496</v>
      </c>
      <c r="Q536" s="5035"/>
      <c r="R536" s="4174"/>
      <c r="S536" s="5003">
        <f t="shared" si="303"/>
        <v>-1152</v>
      </c>
      <c r="T536" s="5051"/>
      <c r="U536" s="5031"/>
      <c r="V536" s="5033" t="s">
        <v>335</v>
      </c>
      <c r="W536" s="5034"/>
      <c r="X536" s="5033" t="s">
        <v>98</v>
      </c>
      <c r="Y536" s="5033"/>
      <c r="Z536" s="5034"/>
      <c r="AA536" s="5041"/>
      <c r="AB536" s="5052" t="s">
        <v>2497</v>
      </c>
      <c r="AC536" s="5035" t="s">
        <v>596</v>
      </c>
      <c r="AD536" s="5037">
        <v>2.15</v>
      </c>
      <c r="AE536" s="5035">
        <v>2476.8</v>
      </c>
      <c r="AF536" s="5031"/>
      <c r="AG536" s="5031"/>
      <c r="AH536" s="5053"/>
      <c r="AI536" s="5038">
        <f t="shared" si="302"/>
        <v>1152</v>
      </c>
      <c r="AJ536" s="5039"/>
      <c r="AK536" s="5040"/>
      <c r="AL536" s="5041"/>
      <c r="AM536" s="5035"/>
      <c r="AN536" s="1091"/>
      <c r="AO536" s="5041">
        <f t="shared" si="304"/>
        <v>1152</v>
      </c>
      <c r="AP536" s="5041"/>
      <c r="AQ536" s="1091"/>
      <c r="AR536" s="1091"/>
      <c r="AS536" s="5041">
        <f t="shared" si="305"/>
        <v>1152</v>
      </c>
      <c r="AT536" s="5041"/>
      <c r="AU536" s="1091"/>
      <c r="AV536" s="1091"/>
      <c r="AW536" s="1091"/>
      <c r="AX536" s="5041"/>
      <c r="AY536" s="5053"/>
      <c r="AZ536" s="5054"/>
      <c r="BA536" s="5055"/>
      <c r="BB536" s="5055"/>
      <c r="BC536" s="5056"/>
      <c r="BD536" s="5055"/>
      <c r="BE536" s="5055"/>
      <c r="BF536" s="5057"/>
      <c r="BG536" s="5038"/>
      <c r="BH536" s="5058"/>
      <c r="BI536" s="5035"/>
      <c r="BJ536" s="5041"/>
      <c r="BK536" s="3943" t="s">
        <v>89</v>
      </c>
      <c r="BL536" s="5060">
        <f t="shared" si="306"/>
        <v>161.28</v>
      </c>
      <c r="BM536" s="5060">
        <f t="shared" si="307"/>
        <v>299.52</v>
      </c>
      <c r="BN536" s="5060">
        <f t="shared" si="308"/>
        <v>92.16</v>
      </c>
      <c r="BO536" s="5060">
        <f t="shared" si="309"/>
        <v>230.4</v>
      </c>
      <c r="BP536" s="5060">
        <f t="shared" si="310"/>
        <v>138.24</v>
      </c>
      <c r="BQ536" s="5060">
        <f t="shared" si="311"/>
        <v>92.16</v>
      </c>
      <c r="BR536" s="5060">
        <f t="shared" si="312"/>
        <v>138.24</v>
      </c>
      <c r="BS536" s="5061"/>
      <c r="BT536" s="5061"/>
      <c r="BU536" s="5061"/>
      <c r="BV536" s="5061"/>
      <c r="BW536" s="5061"/>
      <c r="BX536" s="5061"/>
      <c r="BY536" s="5061"/>
      <c r="BZ536" s="5062">
        <f t="shared" si="274"/>
        <v>1152</v>
      </c>
      <c r="CA536" s="5063">
        <f t="shared" si="275"/>
        <v>0</v>
      </c>
      <c r="CB536" s="5054"/>
      <c r="CC536" s="5054"/>
      <c r="CD536" s="5041"/>
      <c r="CE536" s="5041"/>
      <c r="CF536" s="5041"/>
      <c r="XEL536" s="4820"/>
      <c r="XEM536" s="3929"/>
      <c r="XEN536" s="3929"/>
      <c r="XEO536" s="4823"/>
      <c r="XEP536" s="3929"/>
      <c r="XEQ536" s="4823"/>
      <c r="XER536" s="3929"/>
      <c r="XES536" s="3929"/>
      <c r="XET536" s="3929"/>
      <c r="XEU536" s="5049"/>
      <c r="XEV536" s="4823"/>
      <c r="XEW536" s="4823"/>
      <c r="XEX536" s="4823"/>
      <c r="XEY536" s="4824"/>
      <c r="XEZ536" s="4780"/>
      <c r="XFA536" s="3932"/>
      <c r="XFB536" s="4823"/>
      <c r="XFC536" s="4827"/>
      <c r="XFD536" s="4827"/>
    </row>
    <row r="537" s="4867" customFormat="1" ht="50" customHeight="1" spans="1:84 16206:16384">
      <c r="A537" s="4820">
        <v>46240</v>
      </c>
      <c r="B537" s="3929"/>
      <c r="C537" s="3929" t="s">
        <v>2491</v>
      </c>
      <c r="D537" s="4823" t="s">
        <v>2492</v>
      </c>
      <c r="E537" s="3929" t="s">
        <v>2493</v>
      </c>
      <c r="F537" s="4823" t="s">
        <v>2500</v>
      </c>
      <c r="G537" s="3929"/>
      <c r="H537" s="3929" t="s">
        <v>2495</v>
      </c>
      <c r="I537" s="3929" t="s">
        <v>328</v>
      </c>
      <c r="J537" s="5049">
        <v>1152</v>
      </c>
      <c r="K537" s="4823">
        <v>0</v>
      </c>
      <c r="L537" s="4823">
        <v>16</v>
      </c>
      <c r="M537" s="4823">
        <f t="shared" si="298"/>
        <v>72</v>
      </c>
      <c r="N537" s="5028">
        <v>46275</v>
      </c>
      <c r="O537" s="5050">
        <v>46272</v>
      </c>
      <c r="P537" s="5059" t="s">
        <v>2496</v>
      </c>
      <c r="Q537" s="5035"/>
      <c r="R537" s="4174"/>
      <c r="S537" s="5003">
        <f t="shared" si="303"/>
        <v>-1152</v>
      </c>
      <c r="T537" s="5051"/>
      <c r="U537" s="5031"/>
      <c r="V537" s="5033" t="s">
        <v>335</v>
      </c>
      <c r="W537" s="5034"/>
      <c r="X537" s="5033" t="s">
        <v>98</v>
      </c>
      <c r="Y537" s="5033"/>
      <c r="Z537" s="5034"/>
      <c r="AA537" s="5041"/>
      <c r="AB537" s="5052" t="s">
        <v>2497</v>
      </c>
      <c r="AC537" s="5035" t="s">
        <v>596</v>
      </c>
      <c r="AD537" s="5037">
        <v>2.15</v>
      </c>
      <c r="AE537" s="5035">
        <v>2476.8</v>
      </c>
      <c r="AF537" s="5031"/>
      <c r="AG537" s="5031"/>
      <c r="AH537" s="5053"/>
      <c r="AI537" s="5038">
        <f t="shared" si="302"/>
        <v>1152</v>
      </c>
      <c r="AJ537" s="5039"/>
      <c r="AK537" s="5040"/>
      <c r="AL537" s="5041"/>
      <c r="AM537" s="5035"/>
      <c r="AN537" s="1091"/>
      <c r="AO537" s="5041">
        <f t="shared" si="304"/>
        <v>1152</v>
      </c>
      <c r="AP537" s="5041"/>
      <c r="AQ537" s="1091"/>
      <c r="AR537" s="1091"/>
      <c r="AS537" s="5041">
        <f t="shared" si="305"/>
        <v>1152</v>
      </c>
      <c r="AT537" s="5041"/>
      <c r="AU537" s="1091"/>
      <c r="AV537" s="1091"/>
      <c r="AW537" s="1091"/>
      <c r="AX537" s="5041"/>
      <c r="AY537" s="5053"/>
      <c r="AZ537" s="5054"/>
      <c r="BA537" s="5055"/>
      <c r="BB537" s="5055"/>
      <c r="BC537" s="5056"/>
      <c r="BD537" s="5055"/>
      <c r="BE537" s="5055"/>
      <c r="BF537" s="5057"/>
      <c r="BG537" s="5038"/>
      <c r="BH537" s="5058"/>
      <c r="BI537" s="5035"/>
      <c r="BJ537" s="5041"/>
      <c r="BK537" s="3943" t="s">
        <v>89</v>
      </c>
      <c r="BL537" s="5060">
        <f t="shared" si="306"/>
        <v>161.28</v>
      </c>
      <c r="BM537" s="5060">
        <f t="shared" si="307"/>
        <v>299.52</v>
      </c>
      <c r="BN537" s="5060">
        <f t="shared" si="308"/>
        <v>92.16</v>
      </c>
      <c r="BO537" s="5060">
        <f t="shared" si="309"/>
        <v>230.4</v>
      </c>
      <c r="BP537" s="5060">
        <f t="shared" si="310"/>
        <v>138.24</v>
      </c>
      <c r="BQ537" s="5060">
        <f t="shared" si="311"/>
        <v>92.16</v>
      </c>
      <c r="BR537" s="5060">
        <f t="shared" si="312"/>
        <v>138.24</v>
      </c>
      <c r="BS537" s="5061"/>
      <c r="BT537" s="5061"/>
      <c r="BU537" s="5061"/>
      <c r="BV537" s="5061"/>
      <c r="BW537" s="5061"/>
      <c r="BX537" s="5061"/>
      <c r="BY537" s="5061"/>
      <c r="BZ537" s="5062">
        <f>SUM(BL537:BY537)</f>
        <v>1152</v>
      </c>
      <c r="CA537" s="5063">
        <f>J537-BZ537</f>
        <v>0</v>
      </c>
      <c r="CB537" s="5054"/>
      <c r="CC537" s="5054"/>
      <c r="CD537" s="5041"/>
      <c r="CE537" s="5041"/>
      <c r="CF537" s="5041"/>
      <c r="XEL537" s="4820"/>
      <c r="XEM537" s="3929"/>
      <c r="XEN537" s="3929"/>
      <c r="XEO537" s="4823"/>
      <c r="XEP537" s="3929"/>
      <c r="XEQ537" s="4823"/>
      <c r="XER537" s="3929"/>
      <c r="XES537" s="3929"/>
      <c r="XET537" s="3929"/>
      <c r="XEU537" s="5049"/>
      <c r="XEV537" s="4823"/>
      <c r="XEW537" s="4823"/>
      <c r="XEX537" s="4823"/>
      <c r="XEY537" s="4824"/>
      <c r="XEZ537" s="4780"/>
      <c r="XFA537" s="3932"/>
      <c r="XFB537" s="4823"/>
      <c r="XFC537" s="4827"/>
      <c r="XFD537" s="4827"/>
    </row>
    <row r="538" s="4867" customFormat="1" ht="50" customHeight="1" spans="1:84 16206:16384">
      <c r="A538" s="4820">
        <v>46240</v>
      </c>
      <c r="B538" s="3929"/>
      <c r="C538" s="3929" t="s">
        <v>2491</v>
      </c>
      <c r="D538" s="4823" t="s">
        <v>2492</v>
      </c>
      <c r="E538" s="3929" t="s">
        <v>2493</v>
      </c>
      <c r="F538" s="4823" t="s">
        <v>2501</v>
      </c>
      <c r="G538" s="3929"/>
      <c r="H538" s="3929" t="s">
        <v>2495</v>
      </c>
      <c r="I538" s="3929" t="s">
        <v>328</v>
      </c>
      <c r="J538" s="5049">
        <v>1152</v>
      </c>
      <c r="K538" s="4823">
        <v>0</v>
      </c>
      <c r="L538" s="4823">
        <v>16</v>
      </c>
      <c r="M538" s="4823">
        <f t="shared" si="298"/>
        <v>72</v>
      </c>
      <c r="N538" s="5028">
        <v>46275</v>
      </c>
      <c r="O538" s="5050">
        <v>46272</v>
      </c>
      <c r="P538" s="5059" t="s">
        <v>2496</v>
      </c>
      <c r="Q538" s="5035"/>
      <c r="R538" s="4174"/>
      <c r="S538" s="5003">
        <f t="shared" si="303"/>
        <v>-1152</v>
      </c>
      <c r="T538" s="5051"/>
      <c r="U538" s="5031"/>
      <c r="V538" s="5033" t="s">
        <v>335</v>
      </c>
      <c r="W538" s="5034"/>
      <c r="X538" s="5033" t="s">
        <v>98</v>
      </c>
      <c r="Y538" s="5033"/>
      <c r="Z538" s="5034"/>
      <c r="AA538" s="5041"/>
      <c r="AB538" s="5052" t="s">
        <v>2497</v>
      </c>
      <c r="AC538" s="5035" t="s">
        <v>596</v>
      </c>
      <c r="AD538" s="5037">
        <v>2.15</v>
      </c>
      <c r="AE538" s="5035">
        <v>2476.8</v>
      </c>
      <c r="AF538" s="5031"/>
      <c r="AG538" s="5031"/>
      <c r="AH538" s="5053"/>
      <c r="AI538" s="5038">
        <f t="shared" si="302"/>
        <v>1152</v>
      </c>
      <c r="AJ538" s="5039"/>
      <c r="AK538" s="5040"/>
      <c r="AL538" s="5041"/>
      <c r="AM538" s="5035"/>
      <c r="AN538" s="1091"/>
      <c r="AO538" s="5041">
        <f t="shared" si="304"/>
        <v>1152</v>
      </c>
      <c r="AP538" s="5041"/>
      <c r="AQ538" s="1091"/>
      <c r="AR538" s="1091"/>
      <c r="AS538" s="5041">
        <f t="shared" si="305"/>
        <v>1152</v>
      </c>
      <c r="AT538" s="5041"/>
      <c r="AU538" s="1091"/>
      <c r="AV538" s="1091"/>
      <c r="AW538" s="1091"/>
      <c r="AX538" s="5041"/>
      <c r="AY538" s="5053"/>
      <c r="AZ538" s="5054"/>
      <c r="BA538" s="5055"/>
      <c r="BB538" s="5055"/>
      <c r="BC538" s="5056"/>
      <c r="BD538" s="5055"/>
      <c r="BE538" s="5055"/>
      <c r="BF538" s="5057"/>
      <c r="BG538" s="5038"/>
      <c r="BH538" s="5058"/>
      <c r="BI538" s="5035"/>
      <c r="BJ538" s="5041"/>
      <c r="BK538" s="3943" t="s">
        <v>89</v>
      </c>
      <c r="BL538" s="5060">
        <f t="shared" si="306"/>
        <v>161.28</v>
      </c>
      <c r="BM538" s="5060">
        <f t="shared" si="307"/>
        <v>299.52</v>
      </c>
      <c r="BN538" s="5060">
        <f t="shared" si="308"/>
        <v>92.16</v>
      </c>
      <c r="BO538" s="5060">
        <f t="shared" si="309"/>
        <v>230.4</v>
      </c>
      <c r="BP538" s="5060">
        <f t="shared" si="310"/>
        <v>138.24</v>
      </c>
      <c r="BQ538" s="5060">
        <f t="shared" si="311"/>
        <v>92.16</v>
      </c>
      <c r="BR538" s="5060">
        <f t="shared" si="312"/>
        <v>138.24</v>
      </c>
      <c r="BS538" s="5061"/>
      <c r="BT538" s="5061"/>
      <c r="BU538" s="5061"/>
      <c r="BV538" s="5061"/>
      <c r="BW538" s="5061"/>
      <c r="BX538" s="5061"/>
      <c r="BY538" s="5061"/>
      <c r="BZ538" s="5062">
        <f>SUM(BL538:BY538)</f>
        <v>1152</v>
      </c>
      <c r="CA538" s="5063">
        <f>J538-BZ538</f>
        <v>0</v>
      </c>
      <c r="CB538" s="5054"/>
      <c r="CC538" s="5054"/>
      <c r="CD538" s="5041"/>
      <c r="CE538" s="5041"/>
      <c r="CF538" s="5041"/>
      <c r="XEL538" s="4820"/>
      <c r="XEM538" s="3929"/>
      <c r="XEN538" s="3929"/>
      <c r="XEO538" s="4823"/>
      <c r="XEP538" s="3929"/>
      <c r="XEQ538" s="4823"/>
      <c r="XER538" s="3929"/>
      <c r="XES538" s="3929"/>
      <c r="XET538" s="3929"/>
      <c r="XEU538" s="5049"/>
      <c r="XEV538" s="4823"/>
      <c r="XEW538" s="4823"/>
      <c r="XEX538" s="4823"/>
      <c r="XEY538" s="4824"/>
      <c r="XEZ538" s="4780"/>
      <c r="XFA538" s="3932"/>
      <c r="XFB538" s="4823"/>
      <c r="XFC538" s="4827"/>
      <c r="XFD538" s="4827"/>
    </row>
    <row r="539" s="4867" customFormat="1" ht="50" customHeight="1" spans="1:84 16206:16384">
      <c r="A539" s="4820">
        <v>46240</v>
      </c>
      <c r="B539" s="3929"/>
      <c r="C539" s="3929" t="s">
        <v>2491</v>
      </c>
      <c r="D539" s="4823" t="s">
        <v>2492</v>
      </c>
      <c r="E539" s="3929" t="s">
        <v>2493</v>
      </c>
      <c r="F539" s="4823" t="s">
        <v>2502</v>
      </c>
      <c r="G539" s="3929"/>
      <c r="H539" s="3929" t="s">
        <v>2495</v>
      </c>
      <c r="I539" s="3929" t="s">
        <v>328</v>
      </c>
      <c r="J539" s="5049">
        <v>1152</v>
      </c>
      <c r="K539" s="4823">
        <v>0</v>
      </c>
      <c r="L539" s="4823">
        <v>16</v>
      </c>
      <c r="M539" s="4823">
        <f t="shared" si="298"/>
        <v>72</v>
      </c>
      <c r="N539" s="5028">
        <v>46275</v>
      </c>
      <c r="O539" s="5050">
        <v>46272</v>
      </c>
      <c r="P539" s="5059" t="s">
        <v>2496</v>
      </c>
      <c r="Q539" s="5035"/>
      <c r="R539" s="4174"/>
      <c r="S539" s="5003">
        <f t="shared" si="303"/>
        <v>-1152</v>
      </c>
      <c r="T539" s="5051"/>
      <c r="U539" s="5031"/>
      <c r="V539" s="5033" t="s">
        <v>335</v>
      </c>
      <c r="W539" s="5034"/>
      <c r="X539" s="5033" t="s">
        <v>98</v>
      </c>
      <c r="Y539" s="5033"/>
      <c r="Z539" s="5034"/>
      <c r="AA539" s="5041"/>
      <c r="AB539" s="5052" t="s">
        <v>2497</v>
      </c>
      <c r="AC539" s="5035" t="s">
        <v>596</v>
      </c>
      <c r="AD539" s="5037">
        <v>2.15</v>
      </c>
      <c r="AE539" s="5035">
        <v>2476.8</v>
      </c>
      <c r="AF539" s="5031"/>
      <c r="AG539" s="5031"/>
      <c r="AH539" s="5053"/>
      <c r="AI539" s="5038">
        <f t="shared" si="302"/>
        <v>1152</v>
      </c>
      <c r="AJ539" s="5039"/>
      <c r="AK539" s="5040"/>
      <c r="AL539" s="5041"/>
      <c r="AM539" s="5035"/>
      <c r="AN539" s="1091"/>
      <c r="AO539" s="5041">
        <f t="shared" si="304"/>
        <v>1152</v>
      </c>
      <c r="AP539" s="5041"/>
      <c r="AQ539" s="1091"/>
      <c r="AR539" s="1091"/>
      <c r="AS539" s="5041">
        <f t="shared" si="305"/>
        <v>1152</v>
      </c>
      <c r="AT539" s="5041"/>
      <c r="AU539" s="1091"/>
      <c r="AV539" s="1091"/>
      <c r="AW539" s="1091"/>
      <c r="AX539" s="5041"/>
      <c r="AY539" s="5053"/>
      <c r="AZ539" s="5054"/>
      <c r="BA539" s="5055"/>
      <c r="BB539" s="5055"/>
      <c r="BC539" s="5056"/>
      <c r="BD539" s="5055"/>
      <c r="BE539" s="5055"/>
      <c r="BF539" s="5057"/>
      <c r="BG539" s="5038"/>
      <c r="BH539" s="5058"/>
      <c r="BI539" s="5035"/>
      <c r="BJ539" s="5041"/>
      <c r="BK539" s="3943" t="s">
        <v>89</v>
      </c>
      <c r="BL539" s="5060">
        <f t="shared" si="306"/>
        <v>161.28</v>
      </c>
      <c r="BM539" s="5060">
        <f t="shared" si="307"/>
        <v>299.52</v>
      </c>
      <c r="BN539" s="5060">
        <f t="shared" si="308"/>
        <v>92.16</v>
      </c>
      <c r="BO539" s="5060">
        <f t="shared" si="309"/>
        <v>230.4</v>
      </c>
      <c r="BP539" s="5060">
        <f t="shared" si="310"/>
        <v>138.24</v>
      </c>
      <c r="BQ539" s="5060">
        <f t="shared" si="311"/>
        <v>92.16</v>
      </c>
      <c r="BR539" s="5060">
        <f t="shared" si="312"/>
        <v>138.24</v>
      </c>
      <c r="BS539" s="5061"/>
      <c r="BT539" s="5061"/>
      <c r="BU539" s="5061"/>
      <c r="BV539" s="5061"/>
      <c r="BW539" s="5061"/>
      <c r="BX539" s="5061"/>
      <c r="BY539" s="5061"/>
      <c r="BZ539" s="5062">
        <f>SUM(BL539:BY539)</f>
        <v>1152</v>
      </c>
      <c r="CA539" s="5063">
        <f>J539-BZ539</f>
        <v>0</v>
      </c>
      <c r="CB539" s="5054"/>
      <c r="CC539" s="5054"/>
      <c r="CD539" s="5041"/>
      <c r="CE539" s="5041"/>
      <c r="CF539" s="5041"/>
      <c r="XEL539" s="4820"/>
      <c r="XEM539" s="3929"/>
      <c r="XEN539" s="3929"/>
      <c r="XEO539" s="4823"/>
      <c r="XEP539" s="3929"/>
      <c r="XEQ539" s="4823"/>
      <c r="XER539" s="3929"/>
      <c r="XES539" s="3929"/>
      <c r="XET539" s="3929"/>
      <c r="XEU539" s="5049"/>
      <c r="XEV539" s="4823"/>
      <c r="XEW539" s="4823"/>
      <c r="XEX539" s="4823"/>
      <c r="XEY539" s="4824"/>
      <c r="XEZ539" s="4780"/>
      <c r="XFA539" s="3932"/>
      <c r="XFB539" s="4823"/>
      <c r="XFC539" s="4827"/>
      <c r="XFD539" s="4827"/>
    </row>
    <row r="540" s="4867" customFormat="1" ht="50" customHeight="1" spans="1:84 16206:16384">
      <c r="A540" s="4820">
        <v>46205</v>
      </c>
      <c r="B540" s="4821" t="s">
        <v>2503</v>
      </c>
      <c r="C540" s="3929" t="s">
        <v>351</v>
      </c>
      <c r="D540" s="4822" t="s">
        <v>2504</v>
      </c>
      <c r="E540" s="3929"/>
      <c r="F540" s="4822" t="s">
        <v>2505</v>
      </c>
      <c r="G540" s="3929"/>
      <c r="H540" s="3929" t="s">
        <v>2506</v>
      </c>
      <c r="I540" s="3926" t="s">
        <v>2507</v>
      </c>
      <c r="J540" s="4823">
        <v>2496</v>
      </c>
      <c r="K540" s="4823">
        <v>0</v>
      </c>
      <c r="L540" s="4823">
        <v>24</v>
      </c>
      <c r="M540" s="4823">
        <f t="shared" ref="M540:M551" si="313">J540/L540</f>
        <v>104</v>
      </c>
      <c r="N540" s="4824">
        <v>46276</v>
      </c>
      <c r="O540" s="5064">
        <v>46272</v>
      </c>
      <c r="P540" s="5065"/>
      <c r="Q540" s="5066"/>
      <c r="R540" s="4174"/>
      <c r="S540" s="5003">
        <f t="shared" ref="S540:S547" si="314">R540-J540</f>
        <v>-2496</v>
      </c>
      <c r="T540" s="5067"/>
      <c r="U540" s="5066"/>
      <c r="V540" s="5068" t="s">
        <v>1644</v>
      </c>
      <c r="W540" s="5069"/>
      <c r="X540" s="5068" t="s">
        <v>2508</v>
      </c>
      <c r="Y540" s="5068"/>
      <c r="Z540" s="5068"/>
      <c r="AA540" s="5065"/>
      <c r="AB540" s="5070" t="s">
        <v>2509</v>
      </c>
      <c r="AC540" s="5065" t="s">
        <v>2510</v>
      </c>
      <c r="AD540" s="5071">
        <v>2.1362</v>
      </c>
      <c r="AE540" s="5065">
        <f t="shared" ref="AE540:AE551" si="315">J540*AD540</f>
        <v>5331.9552</v>
      </c>
      <c r="AF540" s="5066"/>
      <c r="AG540" s="5066"/>
      <c r="AH540" s="5072"/>
      <c r="AI540" s="5038">
        <f t="shared" ref="AI540:AI545" si="316">J540</f>
        <v>2496</v>
      </c>
      <c r="AJ540" s="5073"/>
      <c r="AK540" s="5074"/>
      <c r="AL540" s="5075"/>
      <c r="AM540" s="5075"/>
      <c r="AN540" s="5076"/>
      <c r="AO540" s="5077">
        <f t="shared" ref="AO540:AO551" si="317">J540</f>
        <v>2496</v>
      </c>
      <c r="AP540" s="5065"/>
      <c r="AQ540" s="5078"/>
      <c r="AR540" s="5079"/>
      <c r="AS540" s="5041">
        <f t="shared" ref="AS540:AS551" si="318">J540</f>
        <v>2496</v>
      </c>
      <c r="AT540" s="5080"/>
      <c r="AU540" s="5081"/>
      <c r="AV540" s="5078"/>
      <c r="AW540" s="5078"/>
      <c r="AX540" s="5077"/>
      <c r="AY540" s="5078"/>
      <c r="AZ540" s="5078"/>
      <c r="BA540" s="5077"/>
      <c r="BB540" s="5077"/>
      <c r="BC540" s="5078"/>
      <c r="BD540" s="5077"/>
      <c r="BE540" s="5077"/>
      <c r="BF540" s="5077"/>
      <c r="BG540" s="5077"/>
      <c r="BH540" s="5077"/>
      <c r="BI540" s="5077"/>
      <c r="BJ540" s="5077"/>
      <c r="BK540" s="3943" t="s">
        <v>89</v>
      </c>
      <c r="BL540" s="5082"/>
      <c r="BM540" s="5082">
        <f>J540</f>
        <v>2496</v>
      </c>
      <c r="BN540" s="5082"/>
      <c r="BO540" s="5082"/>
      <c r="BP540" s="5082"/>
      <c r="BQ540" s="5082"/>
      <c r="BR540" s="5082"/>
      <c r="BS540" s="5083"/>
      <c r="BT540" s="5083"/>
      <c r="BU540" s="5083"/>
      <c r="BV540" s="5083"/>
      <c r="BW540" s="5083"/>
      <c r="BX540" s="5083"/>
      <c r="BY540" s="5083"/>
      <c r="BZ540" s="5041">
        <f t="shared" ref="BZ540:BZ551" si="319">SUM(BL540:BY540)</f>
        <v>2496</v>
      </c>
      <c r="CA540" s="5041">
        <f t="shared" ref="CA540:CA551" si="320">J540-BZ540</f>
        <v>0</v>
      </c>
      <c r="CB540" s="5078"/>
      <c r="CC540" s="5078"/>
      <c r="CD540" s="5077"/>
      <c r="CE540" s="5077"/>
      <c r="CF540" s="5077"/>
      <c r="XCX540" s="4820"/>
      <c r="XCY540" s="4821"/>
      <c r="XCZ540" s="3929"/>
      <c r="XDA540" s="4822"/>
      <c r="XDB540" s="3929"/>
      <c r="XDC540" s="4822"/>
      <c r="XDD540" s="3929"/>
      <c r="XDE540" s="3929"/>
      <c r="XDF540" s="3929"/>
      <c r="XDG540" s="4823"/>
      <c r="XDH540" s="4823"/>
      <c r="XDI540" s="4823"/>
      <c r="XDJ540" s="4823"/>
      <c r="XDK540" s="4824"/>
      <c r="XDL540" s="4824"/>
      <c r="XDM540" s="4823"/>
      <c r="XDN540" s="4829"/>
      <c r="XDO540" s="4827"/>
      <c r="XDP540" s="4827"/>
      <c r="XDQ540" s="4827"/>
      <c r="XDR540" s="4820"/>
      <c r="XDS540" s="4821"/>
      <c r="XDT540" s="3929"/>
      <c r="XDU540" s="4822"/>
      <c r="XDV540" s="3929"/>
      <c r="XDW540" s="4822"/>
      <c r="XDX540" s="3929"/>
      <c r="XDY540" s="3929"/>
      <c r="XDZ540" s="3929"/>
      <c r="XEA540" s="4823"/>
      <c r="XEB540" s="4823"/>
      <c r="XEC540" s="4823"/>
      <c r="XED540" s="4823"/>
      <c r="XEE540" s="4824"/>
      <c r="XEF540" s="4824"/>
      <c r="XEG540" s="4823"/>
      <c r="XEH540" s="4829"/>
      <c r="XEI540" s="4827"/>
      <c r="XEJ540" s="4827"/>
      <c r="XEK540" s="4827"/>
      <c r="XEL540" s="4820"/>
      <c r="XEM540" s="4821"/>
      <c r="XEN540" s="3929"/>
      <c r="XEO540" s="4822"/>
      <c r="XEP540" s="3929"/>
      <c r="XEQ540" s="4822"/>
      <c r="XER540" s="3929"/>
      <c r="XES540" s="3929"/>
      <c r="XET540" s="3929"/>
      <c r="XEU540" s="4823"/>
      <c r="XEV540" s="4823"/>
      <c r="XEW540" s="4823"/>
      <c r="XEX540" s="4823"/>
      <c r="XEY540" s="4824"/>
      <c r="XEZ540" s="4824"/>
      <c r="XFA540" s="4823"/>
      <c r="XFB540" s="4829"/>
      <c r="XFC540" s="4827"/>
      <c r="XFD540" s="4827"/>
    </row>
    <row r="541" s="4867" customFormat="1" ht="50" customHeight="1" spans="1:84 16206:16384">
      <c r="A541" s="4820">
        <v>46205</v>
      </c>
      <c r="B541" s="4821" t="s">
        <v>2511</v>
      </c>
      <c r="C541" s="3929" t="s">
        <v>351</v>
      </c>
      <c r="D541" s="4822" t="s">
        <v>2504</v>
      </c>
      <c r="E541" s="3929"/>
      <c r="F541" s="4822" t="s">
        <v>2512</v>
      </c>
      <c r="G541" s="3929"/>
      <c r="H541" s="3929" t="s">
        <v>2513</v>
      </c>
      <c r="I541" s="3926" t="s">
        <v>2514</v>
      </c>
      <c r="J541" s="4823">
        <v>2496</v>
      </c>
      <c r="K541" s="4823">
        <v>0</v>
      </c>
      <c r="L541" s="4823">
        <v>24</v>
      </c>
      <c r="M541" s="4823">
        <f t="shared" si="313"/>
        <v>104</v>
      </c>
      <c r="N541" s="4824">
        <v>46276</v>
      </c>
      <c r="O541" s="4824">
        <v>46272</v>
      </c>
      <c r="P541" s="4823"/>
      <c r="Q541" s="4829"/>
      <c r="R541" s="4174"/>
      <c r="S541" s="5003">
        <f t="shared" si="314"/>
        <v>-2496</v>
      </c>
      <c r="T541" s="5067"/>
      <c r="U541" s="4829"/>
      <c r="V541" s="5068" t="s">
        <v>1644</v>
      </c>
      <c r="W541" s="5069"/>
      <c r="X541" s="5068" t="s">
        <v>2508</v>
      </c>
      <c r="Y541" s="5068"/>
      <c r="Z541" s="3897"/>
      <c r="AA541" s="4823"/>
      <c r="AB541" s="3900" t="s">
        <v>2509</v>
      </c>
      <c r="AC541" s="4823" t="s">
        <v>2515</v>
      </c>
      <c r="AD541" s="5084">
        <v>2.1362</v>
      </c>
      <c r="AE541" s="4823">
        <f t="shared" si="315"/>
        <v>5331.9552</v>
      </c>
      <c r="AF541" s="4829"/>
      <c r="AG541" s="4829"/>
      <c r="AH541" s="5085"/>
      <c r="AI541" s="5038">
        <f t="shared" si="316"/>
        <v>2496</v>
      </c>
      <c r="AJ541" s="5086"/>
      <c r="AK541" s="5046"/>
      <c r="AL541" s="5087"/>
      <c r="AM541" s="5087"/>
      <c r="AN541" s="5088"/>
      <c r="AO541" s="5077">
        <f t="shared" si="317"/>
        <v>2496</v>
      </c>
      <c r="AP541" s="4823"/>
      <c r="AQ541" s="5089"/>
      <c r="AR541" s="5090"/>
      <c r="AS541" s="5041">
        <f t="shared" si="318"/>
        <v>2496</v>
      </c>
      <c r="AT541" s="5080"/>
      <c r="AU541" s="5091"/>
      <c r="AV541" s="5089"/>
      <c r="AW541" s="5089"/>
      <c r="AX541" s="5092"/>
      <c r="AY541" s="5089"/>
      <c r="AZ541" s="5089"/>
      <c r="BA541" s="5092"/>
      <c r="BB541" s="5092"/>
      <c r="BC541" s="5089"/>
      <c r="BD541" s="5092"/>
      <c r="BE541" s="5092"/>
      <c r="BF541" s="5092"/>
      <c r="BG541" s="5092"/>
      <c r="BH541" s="5092"/>
      <c r="BI541" s="5092"/>
      <c r="BJ541" s="5092"/>
      <c r="BK541" s="3943" t="s">
        <v>89</v>
      </c>
      <c r="BL541" s="5093"/>
      <c r="BM541" s="5093"/>
      <c r="BN541" s="5093"/>
      <c r="BO541" s="5093"/>
      <c r="BP541" s="5093">
        <f>J541</f>
        <v>2496</v>
      </c>
      <c r="BQ541" s="5093"/>
      <c r="BR541" s="5093"/>
      <c r="BS541" s="5094"/>
      <c r="BT541" s="5094"/>
      <c r="BU541" s="5094"/>
      <c r="BV541" s="5094"/>
      <c r="BW541" s="5094"/>
      <c r="BX541" s="5094"/>
      <c r="BY541" s="5094"/>
      <c r="BZ541" s="5041">
        <f t="shared" si="319"/>
        <v>2496</v>
      </c>
      <c r="CA541" s="5041">
        <f t="shared" si="320"/>
        <v>0</v>
      </c>
      <c r="CB541" s="5089"/>
      <c r="CC541" s="5089"/>
      <c r="CD541" s="5092"/>
      <c r="CE541" s="5092"/>
      <c r="CF541" s="5092"/>
      <c r="XCX541" s="4820"/>
      <c r="XCY541" s="4821"/>
      <c r="XCZ541" s="3929"/>
      <c r="XDA541" s="4822"/>
      <c r="XDB541" s="3929"/>
      <c r="XDC541" s="4822"/>
      <c r="XDD541" s="3929"/>
      <c r="XDE541" s="3929"/>
      <c r="XDF541" s="3929"/>
      <c r="XDG541" s="4823"/>
      <c r="XDH541" s="4823"/>
      <c r="XDI541" s="4823"/>
      <c r="XDJ541" s="4823"/>
      <c r="XDK541" s="4824"/>
      <c r="XDL541" s="4824"/>
      <c r="XDM541" s="4823"/>
      <c r="XDN541" s="4829"/>
      <c r="XDO541" s="4827"/>
      <c r="XDP541" s="4827"/>
      <c r="XDQ541" s="4827"/>
      <c r="XDR541" s="4820"/>
      <c r="XDS541" s="4821"/>
      <c r="XDT541" s="3929"/>
      <c r="XDU541" s="4822"/>
      <c r="XDV541" s="3929"/>
      <c r="XDW541" s="4822"/>
      <c r="XDX541" s="3929"/>
      <c r="XDY541" s="3929"/>
      <c r="XDZ541" s="3929"/>
      <c r="XEA541" s="4823"/>
      <c r="XEB541" s="4823"/>
      <c r="XEC541" s="4823"/>
      <c r="XED541" s="4823"/>
      <c r="XEE541" s="4824"/>
      <c r="XEF541" s="4824"/>
      <c r="XEG541" s="4823"/>
      <c r="XEH541" s="4829"/>
      <c r="XEI541" s="4827"/>
      <c r="XEJ541" s="4827"/>
      <c r="XEK541" s="4827"/>
      <c r="XEL541" s="4820"/>
      <c r="XEM541" s="4821"/>
      <c r="XEN541" s="3929"/>
      <c r="XEO541" s="4822"/>
      <c r="XEP541" s="3929"/>
      <c r="XEQ541" s="4822"/>
      <c r="XER541" s="3929"/>
      <c r="XES541" s="3929"/>
      <c r="XET541" s="3929"/>
      <c r="XEU541" s="4823"/>
      <c r="XEV541" s="4823"/>
      <c r="XEW541" s="4823"/>
      <c r="XEX541" s="4823"/>
      <c r="XEY541" s="4824"/>
      <c r="XEZ541" s="4824"/>
      <c r="XFA541" s="4823"/>
      <c r="XFB541" s="4829"/>
      <c r="XFC541" s="4827"/>
      <c r="XFD541" s="4827"/>
    </row>
    <row r="542" s="4867" customFormat="1" ht="50" customHeight="1" spans="1:84 16206:16384">
      <c r="A542" s="4820">
        <v>46205</v>
      </c>
      <c r="B542" s="4821" t="s">
        <v>2511</v>
      </c>
      <c r="C542" s="3929" t="s">
        <v>351</v>
      </c>
      <c r="D542" s="4822" t="s">
        <v>2504</v>
      </c>
      <c r="E542" s="3929"/>
      <c r="F542" s="4822" t="s">
        <v>2516</v>
      </c>
      <c r="G542" s="3929"/>
      <c r="H542" s="3929" t="s">
        <v>2517</v>
      </c>
      <c r="I542" s="3926" t="s">
        <v>2518</v>
      </c>
      <c r="J542" s="4823">
        <v>2496</v>
      </c>
      <c r="K542" s="4823">
        <v>0</v>
      </c>
      <c r="L542" s="4823">
        <v>24</v>
      </c>
      <c r="M542" s="4823">
        <f t="shared" si="313"/>
        <v>104</v>
      </c>
      <c r="N542" s="4824">
        <v>46276</v>
      </c>
      <c r="O542" s="4824">
        <v>46272</v>
      </c>
      <c r="P542" s="4823"/>
      <c r="Q542" s="4829"/>
      <c r="R542" s="4174"/>
      <c r="S542" s="5003">
        <f t="shared" si="314"/>
        <v>-2496</v>
      </c>
      <c r="T542" s="5067"/>
      <c r="U542" s="4829"/>
      <c r="V542" s="5068" t="s">
        <v>1644</v>
      </c>
      <c r="W542" s="5069"/>
      <c r="X542" s="5068" t="s">
        <v>2508</v>
      </c>
      <c r="Y542" s="5068"/>
      <c r="Z542" s="3897"/>
      <c r="AA542" s="4823"/>
      <c r="AB542" s="3900" t="s">
        <v>2509</v>
      </c>
      <c r="AC542" s="4823" t="s">
        <v>2515</v>
      </c>
      <c r="AD542" s="5084">
        <v>2.1362</v>
      </c>
      <c r="AE542" s="4823">
        <f t="shared" si="315"/>
        <v>5331.9552</v>
      </c>
      <c r="AF542" s="4829"/>
      <c r="AG542" s="4829"/>
      <c r="AH542" s="5085"/>
      <c r="AI542" s="5038">
        <f t="shared" si="316"/>
        <v>2496</v>
      </c>
      <c r="AJ542" s="5086"/>
      <c r="AK542" s="5046"/>
      <c r="AL542" s="5087"/>
      <c r="AM542" s="5087"/>
      <c r="AN542" s="5088"/>
      <c r="AO542" s="5077">
        <f t="shared" si="317"/>
        <v>2496</v>
      </c>
      <c r="AP542" s="4823"/>
      <c r="AQ542" s="5089"/>
      <c r="AR542" s="5090"/>
      <c r="AS542" s="5041">
        <f t="shared" si="318"/>
        <v>2496</v>
      </c>
      <c r="AT542" s="5080"/>
      <c r="AU542" s="5091"/>
      <c r="AV542" s="5089"/>
      <c r="AW542" s="5089"/>
      <c r="AX542" s="5092"/>
      <c r="AY542" s="5089"/>
      <c r="AZ542" s="5089"/>
      <c r="BA542" s="5092"/>
      <c r="BB542" s="5092"/>
      <c r="BC542" s="5089"/>
      <c r="BD542" s="5092"/>
      <c r="BE542" s="5092"/>
      <c r="BF542" s="5092"/>
      <c r="BG542" s="5092"/>
      <c r="BH542" s="5092"/>
      <c r="BI542" s="5092"/>
      <c r="BJ542" s="5092"/>
      <c r="BK542" s="3943" t="s">
        <v>89</v>
      </c>
      <c r="BL542" s="5093"/>
      <c r="BM542" s="5093"/>
      <c r="BN542" s="5093"/>
      <c r="BO542" s="5093"/>
      <c r="BP542" s="5093"/>
      <c r="BQ542" s="5093">
        <f>J542</f>
        <v>2496</v>
      </c>
      <c r="BR542" s="5093"/>
      <c r="BS542" s="5094"/>
      <c r="BT542" s="5094"/>
      <c r="BU542" s="5094"/>
      <c r="BV542" s="5094"/>
      <c r="BW542" s="5094"/>
      <c r="BX542" s="5094"/>
      <c r="BY542" s="5094"/>
      <c r="BZ542" s="5041">
        <f t="shared" si="319"/>
        <v>2496</v>
      </c>
      <c r="CA542" s="5041">
        <f t="shared" si="320"/>
        <v>0</v>
      </c>
      <c r="CB542" s="5089"/>
      <c r="CC542" s="5089"/>
      <c r="CD542" s="5092"/>
      <c r="CE542" s="5092"/>
      <c r="CF542" s="5092"/>
      <c r="XCX542" s="4820"/>
      <c r="XCY542" s="4821"/>
      <c r="XCZ542" s="3929"/>
      <c r="XDA542" s="4822"/>
      <c r="XDB542" s="3929"/>
      <c r="XDC542" s="4822"/>
      <c r="XDD542" s="3929"/>
      <c r="XDE542" s="3929"/>
      <c r="XDF542" s="3929"/>
      <c r="XDG542" s="4823"/>
      <c r="XDH542" s="4823"/>
      <c r="XDI542" s="4823"/>
      <c r="XDJ542" s="4823"/>
      <c r="XDK542" s="4824"/>
      <c r="XDL542" s="4824"/>
      <c r="XDM542" s="4823"/>
      <c r="XDN542" s="4829"/>
      <c r="XDO542" s="4827"/>
      <c r="XDP542" s="4827"/>
      <c r="XDQ542" s="4827"/>
      <c r="XDR542" s="4820"/>
      <c r="XDS542" s="4821"/>
      <c r="XDT542" s="3929"/>
      <c r="XDU542" s="4822"/>
      <c r="XDV542" s="3929"/>
      <c r="XDW542" s="4822"/>
      <c r="XDX542" s="3929"/>
      <c r="XDY542" s="3929"/>
      <c r="XDZ542" s="3929"/>
      <c r="XEA542" s="4823"/>
      <c r="XEB542" s="4823"/>
      <c r="XEC542" s="4823"/>
      <c r="XED542" s="4823"/>
      <c r="XEE542" s="4824"/>
      <c r="XEF542" s="4824"/>
      <c r="XEG542" s="4823"/>
      <c r="XEH542" s="4829"/>
      <c r="XEI542" s="4827"/>
      <c r="XEJ542" s="4827"/>
      <c r="XEK542" s="4827"/>
      <c r="XEL542" s="4820"/>
      <c r="XEM542" s="4821"/>
      <c r="XEN542" s="3929"/>
      <c r="XEO542" s="4822"/>
      <c r="XEP542" s="3929"/>
      <c r="XEQ542" s="4822"/>
      <c r="XER542" s="3929"/>
      <c r="XES542" s="3929"/>
      <c r="XET542" s="3929"/>
      <c r="XEU542" s="4823"/>
      <c r="XEV542" s="4823"/>
      <c r="XEW542" s="4823"/>
      <c r="XEX542" s="4823"/>
      <c r="XEY542" s="4824"/>
      <c r="XEZ542" s="4824"/>
      <c r="XFA542" s="4823"/>
      <c r="XFB542" s="4829"/>
      <c r="XFC542" s="4827"/>
      <c r="XFD542" s="4827"/>
    </row>
    <row r="543" s="4867" customFormat="1" ht="50" customHeight="1" spans="1:84 16206:16384">
      <c r="A543" s="4820">
        <v>46205</v>
      </c>
      <c r="B543" s="4821" t="s">
        <v>2511</v>
      </c>
      <c r="C543" s="3929" t="s">
        <v>351</v>
      </c>
      <c r="D543" s="4822" t="s">
        <v>2504</v>
      </c>
      <c r="E543" s="3929"/>
      <c r="F543" s="4822" t="s">
        <v>2519</v>
      </c>
      <c r="G543" s="3929"/>
      <c r="H543" s="3929" t="s">
        <v>2520</v>
      </c>
      <c r="I543" s="3926" t="s">
        <v>2521</v>
      </c>
      <c r="J543" s="4823">
        <v>2520</v>
      </c>
      <c r="K543" s="4823">
        <v>0</v>
      </c>
      <c r="L543" s="4823">
        <v>24</v>
      </c>
      <c r="M543" s="4823">
        <f t="shared" si="313"/>
        <v>105</v>
      </c>
      <c r="N543" s="4824">
        <v>46276</v>
      </c>
      <c r="O543" s="4824">
        <v>46272</v>
      </c>
      <c r="P543" s="4823"/>
      <c r="Q543" s="4829"/>
      <c r="R543" s="4174"/>
      <c r="S543" s="5003">
        <f t="shared" si="314"/>
        <v>-2520</v>
      </c>
      <c r="T543" s="5067"/>
      <c r="U543" s="4829"/>
      <c r="V543" s="5068" t="s">
        <v>1644</v>
      </c>
      <c r="W543" s="5069"/>
      <c r="X543" s="5068" t="s">
        <v>2508</v>
      </c>
      <c r="Y543" s="5068"/>
      <c r="Z543" s="3897"/>
      <c r="AA543" s="4823"/>
      <c r="AB543" s="3900" t="s">
        <v>2509</v>
      </c>
      <c r="AC543" s="4823" t="s">
        <v>2515</v>
      </c>
      <c r="AD543" s="5084">
        <v>2.1362</v>
      </c>
      <c r="AE543" s="4823">
        <f t="shared" si="315"/>
        <v>5383.224</v>
      </c>
      <c r="AF543" s="4829"/>
      <c r="AG543" s="4829"/>
      <c r="AH543" s="5085"/>
      <c r="AI543" s="5038">
        <f t="shared" si="316"/>
        <v>2520</v>
      </c>
      <c r="AJ543" s="5086"/>
      <c r="AK543" s="5046"/>
      <c r="AL543" s="5087"/>
      <c r="AM543" s="5087"/>
      <c r="AN543" s="5088"/>
      <c r="AO543" s="5077">
        <f t="shared" si="317"/>
        <v>2520</v>
      </c>
      <c r="AP543" s="4823"/>
      <c r="AQ543" s="5089"/>
      <c r="AR543" s="5090"/>
      <c r="AS543" s="5041">
        <f t="shared" si="318"/>
        <v>2520</v>
      </c>
      <c r="AT543" s="5080"/>
      <c r="AU543" s="5091"/>
      <c r="AV543" s="5089"/>
      <c r="AW543" s="5089"/>
      <c r="AX543" s="5092"/>
      <c r="AY543" s="5089"/>
      <c r="AZ543" s="5089"/>
      <c r="BA543" s="5092"/>
      <c r="BB543" s="5092"/>
      <c r="BC543" s="5089"/>
      <c r="BD543" s="5092"/>
      <c r="BE543" s="5092"/>
      <c r="BF543" s="5092"/>
      <c r="BG543" s="5092"/>
      <c r="BH543" s="5092"/>
      <c r="BI543" s="5092"/>
      <c r="BJ543" s="5092"/>
      <c r="BK543" s="3943" t="s">
        <v>89</v>
      </c>
      <c r="BL543" s="5093"/>
      <c r="BM543" s="5093"/>
      <c r="BN543" s="5093">
        <f>J543</f>
        <v>2520</v>
      </c>
      <c r="BO543" s="5093"/>
      <c r="BP543" s="5093"/>
      <c r="BQ543" s="5093"/>
      <c r="BR543" s="5093"/>
      <c r="BS543" s="5094"/>
      <c r="BT543" s="5094"/>
      <c r="BU543" s="5094"/>
      <c r="BV543" s="5094"/>
      <c r="BW543" s="5094"/>
      <c r="BX543" s="5094"/>
      <c r="BY543" s="5094"/>
      <c r="BZ543" s="5041">
        <f t="shared" si="319"/>
        <v>2520</v>
      </c>
      <c r="CA543" s="5041">
        <f t="shared" si="320"/>
        <v>0</v>
      </c>
      <c r="CB543" s="5089"/>
      <c r="CC543" s="5089"/>
      <c r="CD543" s="5092"/>
      <c r="CE543" s="5092"/>
      <c r="CF543" s="5092"/>
      <c r="XCX543" s="4820"/>
      <c r="XCY543" s="4821"/>
      <c r="XCZ543" s="3929"/>
      <c r="XDA543" s="4822"/>
      <c r="XDB543" s="3929"/>
      <c r="XDC543" s="4822"/>
      <c r="XDD543" s="3929"/>
      <c r="XDE543" s="3929"/>
      <c r="XDF543" s="3929"/>
      <c r="XDG543" s="4823"/>
      <c r="XDH543" s="4823"/>
      <c r="XDI543" s="4823"/>
      <c r="XDJ543" s="4823"/>
      <c r="XDK543" s="4824"/>
      <c r="XDL543" s="4824"/>
      <c r="XDM543" s="4823"/>
      <c r="XDN543" s="4829"/>
      <c r="XDO543" s="4827"/>
      <c r="XDP543" s="4827"/>
      <c r="XDQ543" s="4827"/>
      <c r="XDR543" s="4820"/>
      <c r="XDS543" s="4821"/>
      <c r="XDT543" s="3929"/>
      <c r="XDU543" s="4822"/>
      <c r="XDV543" s="3929"/>
      <c r="XDW543" s="4822"/>
      <c r="XDX543" s="3929"/>
      <c r="XDY543" s="3929"/>
      <c r="XDZ543" s="3929"/>
      <c r="XEA543" s="4823"/>
      <c r="XEB543" s="4823"/>
      <c r="XEC543" s="4823"/>
      <c r="XED543" s="4823"/>
      <c r="XEE543" s="4824"/>
      <c r="XEF543" s="4824"/>
      <c r="XEG543" s="4823"/>
      <c r="XEH543" s="4829"/>
      <c r="XEI543" s="4827"/>
      <c r="XEJ543" s="4827"/>
      <c r="XEK543" s="4827"/>
      <c r="XEL543" s="4820"/>
      <c r="XEM543" s="4821"/>
      <c r="XEN543" s="3929"/>
      <c r="XEO543" s="4822"/>
      <c r="XEP543" s="3929"/>
      <c r="XEQ543" s="4822"/>
      <c r="XER543" s="3929"/>
      <c r="XES543" s="3929"/>
      <c r="XET543" s="3929"/>
      <c r="XEU543" s="4823"/>
      <c r="XEV543" s="4823"/>
      <c r="XEW543" s="4823"/>
      <c r="XEX543" s="4823"/>
      <c r="XEY543" s="4824"/>
      <c r="XEZ543" s="4824"/>
      <c r="XFA543" s="4823"/>
      <c r="XFB543" s="4829"/>
      <c r="XFC543" s="4827"/>
      <c r="XFD543" s="4827"/>
    </row>
    <row r="544" s="4867" customFormat="1" ht="50" customHeight="1" spans="1:84 16206:16384">
      <c r="A544" s="4820">
        <v>46205</v>
      </c>
      <c r="B544" s="4821" t="s">
        <v>2511</v>
      </c>
      <c r="C544" s="3929" t="s">
        <v>351</v>
      </c>
      <c r="D544" s="4822" t="s">
        <v>2504</v>
      </c>
      <c r="E544" s="3929"/>
      <c r="F544" s="4822" t="s">
        <v>2522</v>
      </c>
      <c r="G544" s="3929"/>
      <c r="H544" s="3929" t="s">
        <v>2523</v>
      </c>
      <c r="I544" s="3926" t="s">
        <v>2524</v>
      </c>
      <c r="J544" s="4823">
        <v>2496</v>
      </c>
      <c r="K544" s="4823">
        <v>0</v>
      </c>
      <c r="L544" s="4823">
        <v>24</v>
      </c>
      <c r="M544" s="4823">
        <f t="shared" si="313"/>
        <v>104</v>
      </c>
      <c r="N544" s="4824">
        <v>46276</v>
      </c>
      <c r="O544" s="4824">
        <v>46272</v>
      </c>
      <c r="P544" s="4823"/>
      <c r="Q544" s="4829"/>
      <c r="R544" s="4174"/>
      <c r="S544" s="5003">
        <f t="shared" si="314"/>
        <v>-2496</v>
      </c>
      <c r="T544" s="5067"/>
      <c r="U544" s="4829"/>
      <c r="V544" s="5068" t="s">
        <v>1644</v>
      </c>
      <c r="W544" s="5069"/>
      <c r="X544" s="5068" t="s">
        <v>2508</v>
      </c>
      <c r="Y544" s="5068"/>
      <c r="Z544" s="3897"/>
      <c r="AA544" s="4823"/>
      <c r="AB544" s="3900" t="s">
        <v>2509</v>
      </c>
      <c r="AC544" s="4823" t="s">
        <v>2515</v>
      </c>
      <c r="AD544" s="5084">
        <v>2.1362</v>
      </c>
      <c r="AE544" s="4823">
        <f t="shared" si="315"/>
        <v>5331.9552</v>
      </c>
      <c r="AF544" s="4829"/>
      <c r="AG544" s="4829"/>
      <c r="AH544" s="5085"/>
      <c r="AI544" s="5038">
        <f t="shared" si="316"/>
        <v>2496</v>
      </c>
      <c r="AJ544" s="5086"/>
      <c r="AK544" s="5046"/>
      <c r="AL544" s="5087"/>
      <c r="AM544" s="5087"/>
      <c r="AN544" s="5088"/>
      <c r="AO544" s="5077">
        <f t="shared" si="317"/>
        <v>2496</v>
      </c>
      <c r="AP544" s="4823"/>
      <c r="AQ544" s="5089"/>
      <c r="AR544" s="5090"/>
      <c r="AS544" s="5041">
        <f t="shared" si="318"/>
        <v>2496</v>
      </c>
      <c r="AT544" s="5080"/>
      <c r="AU544" s="5091"/>
      <c r="AV544" s="5089"/>
      <c r="AW544" s="5089"/>
      <c r="AX544" s="5092"/>
      <c r="AY544" s="5089"/>
      <c r="AZ544" s="5089"/>
      <c r="BA544" s="5092"/>
      <c r="BB544" s="5092"/>
      <c r="BC544" s="5089"/>
      <c r="BD544" s="5092"/>
      <c r="BE544" s="5092"/>
      <c r="BF544" s="5092"/>
      <c r="BG544" s="5092"/>
      <c r="BH544" s="5092"/>
      <c r="BI544" s="5092"/>
      <c r="BJ544" s="5092"/>
      <c r="BK544" s="3943" t="s">
        <v>89</v>
      </c>
      <c r="BL544" s="5093"/>
      <c r="BM544" s="5093"/>
      <c r="BN544" s="5093"/>
      <c r="BO544" s="5093">
        <f>J544</f>
        <v>2496</v>
      </c>
      <c r="BP544" s="5093"/>
      <c r="BQ544" s="5093"/>
      <c r="BR544" s="5093"/>
      <c r="BS544" s="5094"/>
      <c r="BT544" s="5094"/>
      <c r="BU544" s="5094"/>
      <c r="BV544" s="5094"/>
      <c r="BW544" s="5094"/>
      <c r="BX544" s="5094"/>
      <c r="BY544" s="5094"/>
      <c r="BZ544" s="5041">
        <f t="shared" si="319"/>
        <v>2496</v>
      </c>
      <c r="CA544" s="5041">
        <f t="shared" si="320"/>
        <v>0</v>
      </c>
      <c r="CB544" s="5089"/>
      <c r="CC544" s="5089"/>
      <c r="CD544" s="5092"/>
      <c r="CE544" s="5092"/>
      <c r="CF544" s="5092"/>
      <c r="XCX544" s="4820"/>
      <c r="XCY544" s="4821"/>
      <c r="XCZ544" s="3929"/>
      <c r="XDA544" s="4822"/>
      <c r="XDB544" s="3929"/>
      <c r="XDC544" s="4822"/>
      <c r="XDD544" s="3929"/>
      <c r="XDE544" s="3929"/>
      <c r="XDF544" s="3929"/>
      <c r="XDG544" s="4823"/>
      <c r="XDH544" s="4823"/>
      <c r="XDI544" s="4823"/>
      <c r="XDJ544" s="4823"/>
      <c r="XDK544" s="4824"/>
      <c r="XDL544" s="4824"/>
      <c r="XDM544" s="4823"/>
      <c r="XDN544" s="4829"/>
      <c r="XDO544" s="4827"/>
      <c r="XDP544" s="4827"/>
      <c r="XDQ544" s="4827"/>
      <c r="XDR544" s="4820"/>
      <c r="XDS544" s="4821"/>
      <c r="XDT544" s="3929"/>
      <c r="XDU544" s="4822"/>
      <c r="XDV544" s="3929"/>
      <c r="XDW544" s="4822"/>
      <c r="XDX544" s="3929"/>
      <c r="XDY544" s="3929"/>
      <c r="XDZ544" s="3929"/>
      <c r="XEA544" s="4823"/>
      <c r="XEB544" s="4823"/>
      <c r="XEC544" s="4823"/>
      <c r="XED544" s="4823"/>
      <c r="XEE544" s="4824"/>
      <c r="XEF544" s="4824"/>
      <c r="XEG544" s="4823"/>
      <c r="XEH544" s="4829"/>
      <c r="XEI544" s="4827"/>
      <c r="XEJ544" s="4827"/>
      <c r="XEK544" s="4827"/>
      <c r="XEL544" s="4820"/>
      <c r="XEM544" s="4821"/>
      <c r="XEN544" s="3929"/>
      <c r="XEO544" s="4822"/>
      <c r="XEP544" s="3929"/>
      <c r="XEQ544" s="4822"/>
      <c r="XER544" s="3929"/>
      <c r="XES544" s="3929"/>
      <c r="XET544" s="3929"/>
      <c r="XEU544" s="4823"/>
      <c r="XEV544" s="4823"/>
      <c r="XEW544" s="4823"/>
      <c r="XEX544" s="4823"/>
      <c r="XEY544" s="4824"/>
      <c r="XEZ544" s="4824"/>
      <c r="XFA544" s="4823"/>
      <c r="XFB544" s="4829"/>
      <c r="XFC544" s="4827"/>
      <c r="XFD544" s="4827"/>
    </row>
    <row r="545" s="4867" customFormat="1" ht="50" customHeight="1" spans="1:84 16286:16384">
      <c r="A545" s="4820">
        <v>46205</v>
      </c>
      <c r="B545" s="4821" t="s">
        <v>2511</v>
      </c>
      <c r="C545" s="3929" t="s">
        <v>351</v>
      </c>
      <c r="D545" s="4822" t="s">
        <v>2504</v>
      </c>
      <c r="E545" s="3929"/>
      <c r="F545" s="4822" t="s">
        <v>2525</v>
      </c>
      <c r="G545" s="3929"/>
      <c r="H545" s="3929" t="s">
        <v>2526</v>
      </c>
      <c r="I545" s="3926" t="s">
        <v>2527</v>
      </c>
      <c r="J545" s="4823">
        <v>2496</v>
      </c>
      <c r="K545" s="4823">
        <v>0</v>
      </c>
      <c r="L545" s="4823">
        <v>24</v>
      </c>
      <c r="M545" s="4823">
        <f t="shared" si="313"/>
        <v>104</v>
      </c>
      <c r="N545" s="4824">
        <v>46276</v>
      </c>
      <c r="O545" s="4824">
        <v>46272</v>
      </c>
      <c r="P545" s="4823"/>
      <c r="Q545" s="4829"/>
      <c r="R545" s="4174"/>
      <c r="S545" s="5003">
        <f t="shared" si="314"/>
        <v>-2496</v>
      </c>
      <c r="T545" s="5067"/>
      <c r="U545" s="4829"/>
      <c r="V545" s="5068" t="s">
        <v>1644</v>
      </c>
      <c r="W545" s="5069"/>
      <c r="X545" s="5068" t="s">
        <v>2508</v>
      </c>
      <c r="Y545" s="5068"/>
      <c r="Z545" s="3897"/>
      <c r="AA545" s="4823"/>
      <c r="AB545" s="3900" t="s">
        <v>2509</v>
      </c>
      <c r="AC545" s="4823" t="s">
        <v>2515</v>
      </c>
      <c r="AD545" s="5084">
        <v>2.1362</v>
      </c>
      <c r="AE545" s="4823">
        <f t="shared" si="315"/>
        <v>5331.9552</v>
      </c>
      <c r="AF545" s="4829"/>
      <c r="AG545" s="4829"/>
      <c r="AH545" s="5085"/>
      <c r="AI545" s="5038">
        <f t="shared" si="316"/>
        <v>2496</v>
      </c>
      <c r="AJ545" s="5086"/>
      <c r="AK545" s="5046"/>
      <c r="AL545" s="5087"/>
      <c r="AM545" s="5087"/>
      <c r="AN545" s="5088"/>
      <c r="AO545" s="5077">
        <f t="shared" si="317"/>
        <v>2496</v>
      </c>
      <c r="AP545" s="4823"/>
      <c r="AQ545" s="5089"/>
      <c r="AR545" s="5090"/>
      <c r="AS545" s="5041">
        <f t="shared" si="318"/>
        <v>2496</v>
      </c>
      <c r="AT545" s="5080"/>
      <c r="AU545" s="5091"/>
      <c r="AV545" s="5089"/>
      <c r="AW545" s="5089"/>
      <c r="AX545" s="5092"/>
      <c r="AY545" s="5089"/>
      <c r="AZ545" s="5089"/>
      <c r="BA545" s="5092"/>
      <c r="BB545" s="5092"/>
      <c r="BC545" s="5089"/>
      <c r="BD545" s="5092"/>
      <c r="BE545" s="5092"/>
      <c r="BF545" s="5092"/>
      <c r="BG545" s="5092"/>
      <c r="BH545" s="5092"/>
      <c r="BI545" s="5092"/>
      <c r="BJ545" s="5092"/>
      <c r="BK545" s="3943" t="s">
        <v>89</v>
      </c>
      <c r="BL545" s="5093"/>
      <c r="BM545" s="5093"/>
      <c r="BN545" s="5093"/>
      <c r="BO545" s="5093"/>
      <c r="BP545" s="5093"/>
      <c r="BQ545" s="5093"/>
      <c r="BR545" s="5093">
        <f>J545</f>
        <v>2496</v>
      </c>
      <c r="BS545" s="5094"/>
      <c r="BT545" s="5094"/>
      <c r="BU545" s="5094"/>
      <c r="BV545" s="5094"/>
      <c r="BW545" s="5094"/>
      <c r="BX545" s="5094"/>
      <c r="BY545" s="5094"/>
      <c r="BZ545" s="5041">
        <f t="shared" si="319"/>
        <v>2496</v>
      </c>
      <c r="CA545" s="5041">
        <f t="shared" si="320"/>
        <v>0</v>
      </c>
      <c r="CB545" s="5089"/>
      <c r="CC545" s="5089"/>
      <c r="CD545" s="5092"/>
      <c r="CE545" s="5092"/>
      <c r="CF545" s="5092"/>
      <c r="XCX545" s="4820"/>
      <c r="XCY545" s="4821"/>
      <c r="XCZ545" s="3929"/>
      <c r="XDA545" s="4822"/>
      <c r="XDB545" s="3929"/>
      <c r="XDC545" s="4822"/>
      <c r="XDD545" s="3929"/>
      <c r="XDE545" s="3929"/>
      <c r="XDF545" s="3929"/>
      <c r="XDG545" s="4823"/>
      <c r="XDH545" s="4823"/>
      <c r="XDI545" s="4823"/>
      <c r="XDJ545" s="4823"/>
      <c r="XDK545" s="4824"/>
      <c r="XDL545" s="4824"/>
      <c r="XDM545" s="4823"/>
      <c r="XDN545" s="4829"/>
      <c r="XDO545" s="4827"/>
      <c r="XDP545" s="4827"/>
      <c r="XDQ545" s="4827"/>
      <c r="XDR545" s="4820"/>
      <c r="XDS545" s="4821"/>
      <c r="XDT545" s="3929"/>
      <c r="XDU545" s="4822"/>
      <c r="XDV545" s="3929"/>
      <c r="XDW545" s="4822"/>
      <c r="XDX545" s="3929"/>
      <c r="XDY545" s="3929"/>
      <c r="XDZ545" s="3929"/>
      <c r="XEA545" s="4823"/>
      <c r="XEB545" s="4823"/>
      <c r="XEC545" s="4823"/>
      <c r="XED545" s="4823"/>
      <c r="XEE545" s="4824"/>
      <c r="XEF545" s="4824"/>
      <c r="XEG545" s="4823"/>
      <c r="XEH545" s="4829"/>
      <c r="XEI545" s="4827"/>
      <c r="XEJ545" s="4827"/>
      <c r="XEK545" s="4827"/>
      <c r="XEL545" s="4820"/>
      <c r="XEM545" s="4821"/>
      <c r="XEN545" s="3929"/>
      <c r="XEO545" s="4822"/>
      <c r="XEP545" s="3929"/>
      <c r="XEQ545" s="4822"/>
      <c r="XER545" s="3929"/>
      <c r="XES545" s="3929"/>
      <c r="XET545" s="3929"/>
      <c r="XEU545" s="4823"/>
      <c r="XEV545" s="4823"/>
      <c r="XEW545" s="4823"/>
      <c r="XEX545" s="4823"/>
      <c r="XEY545" s="4824"/>
      <c r="XEZ545" s="4824"/>
      <c r="XFA545" s="4823"/>
      <c r="XFB545" s="4829"/>
      <c r="XFC545" s="4827"/>
      <c r="XFD545" s="4827"/>
    </row>
    <row r="546" s="4311" customFormat="1" ht="50" customHeight="1" spans="1:84 16286:16384">
      <c r="A546" s="4776">
        <v>46196</v>
      </c>
      <c r="B546" s="4777" t="s">
        <v>2528</v>
      </c>
      <c r="C546" s="875" t="s">
        <v>351</v>
      </c>
      <c r="D546" s="4778" t="s">
        <v>2529</v>
      </c>
      <c r="E546" s="875" t="s">
        <v>2530</v>
      </c>
      <c r="F546" s="4778" t="s">
        <v>2531</v>
      </c>
      <c r="G546" s="875"/>
      <c r="H546" s="875" t="s">
        <v>496</v>
      </c>
      <c r="I546" s="875" t="s">
        <v>328</v>
      </c>
      <c r="J546" s="4349">
        <v>6516</v>
      </c>
      <c r="K546" s="4349">
        <v>0</v>
      </c>
      <c r="L546" s="4349">
        <v>6</v>
      </c>
      <c r="M546" s="4349">
        <f t="shared" si="313"/>
        <v>1086</v>
      </c>
      <c r="N546" s="4779">
        <v>46287</v>
      </c>
      <c r="O546" s="4779">
        <v>46283</v>
      </c>
      <c r="P546" s="4349"/>
      <c r="Q546" s="4278"/>
      <c r="R546" s="4174"/>
      <c r="S546" s="5003">
        <f t="shared" si="314"/>
        <v>-6516</v>
      </c>
      <c r="T546" s="4581"/>
      <c r="U546" s="4278"/>
      <c r="V546" s="3897" t="s">
        <v>2532</v>
      </c>
      <c r="W546" s="3898"/>
      <c r="X546" s="3897" t="s">
        <v>2533</v>
      </c>
      <c r="Y546" s="3897"/>
      <c r="Z546" s="3897" t="s">
        <v>2534</v>
      </c>
      <c r="AA546" s="4349"/>
      <c r="AB546" s="3658" t="s">
        <v>2535</v>
      </c>
      <c r="AC546" s="4349" t="s">
        <v>1199</v>
      </c>
      <c r="AD546" s="5022">
        <v>2.0851</v>
      </c>
      <c r="AE546" s="4349">
        <f t="shared" si="315"/>
        <v>13586.5116</v>
      </c>
      <c r="AF546" s="4278"/>
      <c r="AG546" s="4278"/>
      <c r="AH546" s="5023"/>
      <c r="AI546" s="878"/>
      <c r="AJ546" s="980"/>
      <c r="AK546" s="878">
        <f>J546</f>
        <v>6516</v>
      </c>
      <c r="AL546" s="4920"/>
      <c r="AM546" s="4920"/>
      <c r="AN546" s="982"/>
      <c r="AO546" s="4782">
        <f t="shared" si="317"/>
        <v>6516</v>
      </c>
      <c r="AP546" s="4349"/>
      <c r="AQ546" s="1022"/>
      <c r="AR546" s="5095"/>
      <c r="AS546" s="5096">
        <f t="shared" si="318"/>
        <v>6516</v>
      </c>
      <c r="AT546" s="5096"/>
      <c r="AU546" s="5097"/>
      <c r="AV546" s="1022"/>
      <c r="AW546" s="1022"/>
      <c r="AX546" s="4782"/>
      <c r="AY546" s="1022"/>
      <c r="AZ546" s="1022"/>
      <c r="BA546" s="4782"/>
      <c r="BB546" s="4782"/>
      <c r="BC546" s="1022"/>
      <c r="BD546" s="4782"/>
      <c r="BE546" s="4782"/>
      <c r="BF546" s="4782"/>
      <c r="BG546" s="4782"/>
      <c r="BH546" s="4782"/>
      <c r="BI546" s="4782"/>
      <c r="BJ546" s="4782"/>
      <c r="BK546" s="5024" t="s">
        <v>89</v>
      </c>
      <c r="BL546" s="5060">
        <f t="shared" ref="BL546:BL551" si="321">J546/100*14</f>
        <v>912.24</v>
      </c>
      <c r="BM546" s="5060">
        <f t="shared" ref="BM546:BM551" si="322">J546/100*26</f>
        <v>1694.16</v>
      </c>
      <c r="BN546" s="5060">
        <f t="shared" ref="BN546:BN551" si="323">J546/100*8</f>
        <v>521.28</v>
      </c>
      <c r="BO546" s="5060">
        <f t="shared" ref="BO546:BO551" si="324">J546/100*20</f>
        <v>1303.2</v>
      </c>
      <c r="BP546" s="5060">
        <f t="shared" ref="BP546:BP551" si="325">J546/100*12</f>
        <v>781.92</v>
      </c>
      <c r="BQ546" s="5060">
        <f t="shared" ref="BQ546:BQ551" si="326">J546/100*8</f>
        <v>521.28</v>
      </c>
      <c r="BR546" s="5060">
        <f t="shared" ref="BR546:BR551" si="327">J546/100*12</f>
        <v>781.92</v>
      </c>
      <c r="BS546" s="5061"/>
      <c r="BT546" s="5061"/>
      <c r="BU546" s="5061"/>
      <c r="BV546" s="5061"/>
      <c r="BW546" s="5061"/>
      <c r="BX546" s="5061"/>
      <c r="BY546" s="5061"/>
      <c r="BZ546" s="5062">
        <f t="shared" si="319"/>
        <v>6516</v>
      </c>
      <c r="CA546" s="5063">
        <f t="shared" si="320"/>
        <v>0</v>
      </c>
      <c r="CB546" s="5098"/>
      <c r="CC546" s="5098"/>
      <c r="CD546" s="5063"/>
      <c r="CE546" s="5063"/>
      <c r="CF546" s="5063"/>
      <c r="XCX546" s="4776"/>
      <c r="XCY546" s="4777"/>
      <c r="XCZ546" s="875"/>
      <c r="XDA546" s="4778"/>
      <c r="XDB546" s="875"/>
      <c r="XDC546" s="4778"/>
      <c r="XDD546" s="875"/>
      <c r="XDE546" s="875"/>
      <c r="XDF546" s="875"/>
      <c r="XDG546" s="4349"/>
      <c r="XDH546" s="4349"/>
      <c r="XDI546" s="4349"/>
      <c r="XDJ546" s="4349"/>
      <c r="XDK546" s="4779"/>
      <c r="XDL546" s="4779"/>
      <c r="XDM546" s="4349"/>
      <c r="XDN546" s="4278"/>
      <c r="XDO546" s="5027"/>
      <c r="XDP546" s="5027"/>
      <c r="XDQ546" s="5027"/>
      <c r="XDR546" s="4776"/>
      <c r="XDS546" s="4777"/>
      <c r="XDT546" s="875"/>
      <c r="XDU546" s="4778"/>
      <c r="XDV546" s="875"/>
      <c r="XDW546" s="4778"/>
      <c r="XDX546" s="875"/>
      <c r="XDY546" s="875"/>
      <c r="XDZ546" s="875"/>
      <c r="XEA546" s="4349"/>
      <c r="XEB546" s="4349"/>
      <c r="XEC546" s="4349"/>
      <c r="XED546" s="4349"/>
      <c r="XEE546" s="4779"/>
      <c r="XEF546" s="4779"/>
      <c r="XEG546" s="4349"/>
      <c r="XEH546" s="4278"/>
      <c r="XEI546" s="5027"/>
      <c r="XEJ546" s="5027"/>
      <c r="XEK546" s="5027"/>
      <c r="XEL546" s="4776"/>
      <c r="XEM546" s="4777"/>
      <c r="XEN546" s="875"/>
      <c r="XEO546" s="4778"/>
      <c r="XEP546" s="875"/>
      <c r="XEQ546" s="4778"/>
      <c r="XER546" s="875"/>
      <c r="XES546" s="875"/>
      <c r="XET546" s="875"/>
      <c r="XEU546" s="4349"/>
      <c r="XEV546" s="4349"/>
      <c r="XEW546" s="4349"/>
      <c r="XEX546" s="4349"/>
      <c r="XEY546" s="4779"/>
      <c r="XEZ546" s="4779"/>
      <c r="XFA546" s="4349"/>
      <c r="XFB546" s="4278"/>
      <c r="XFC546" s="5027"/>
      <c r="XFD546" s="5027"/>
    </row>
    <row r="547" s="4311" customFormat="1" ht="50" customHeight="1" spans="1:84 16286:16384">
      <c r="A547" s="4776">
        <v>46196</v>
      </c>
      <c r="B547" s="4777" t="s">
        <v>2528</v>
      </c>
      <c r="C547" s="875" t="s">
        <v>351</v>
      </c>
      <c r="D547" s="4778" t="s">
        <v>2529</v>
      </c>
      <c r="E547" s="875" t="s">
        <v>2536</v>
      </c>
      <c r="F547" s="4778" t="s">
        <v>2537</v>
      </c>
      <c r="G547" s="875"/>
      <c r="H547" s="875" t="s">
        <v>496</v>
      </c>
      <c r="I547" s="875" t="s">
        <v>328</v>
      </c>
      <c r="J547" s="4349">
        <v>1734</v>
      </c>
      <c r="K547" s="4349">
        <v>0</v>
      </c>
      <c r="L547" s="4349">
        <v>6</v>
      </c>
      <c r="M547" s="4349">
        <f t="shared" si="313"/>
        <v>289</v>
      </c>
      <c r="N547" s="4779">
        <v>46287</v>
      </c>
      <c r="O547" s="4779">
        <v>46283</v>
      </c>
      <c r="P547" s="4349"/>
      <c r="Q547" s="4278"/>
      <c r="R547" s="4174"/>
      <c r="S547" s="5003">
        <f t="shared" si="314"/>
        <v>-1734</v>
      </c>
      <c r="T547" s="4581"/>
      <c r="U547" s="4278"/>
      <c r="V547" s="3897" t="s">
        <v>2532</v>
      </c>
      <c r="W547" s="3898"/>
      <c r="X547" s="3897" t="s">
        <v>2533</v>
      </c>
      <c r="Y547" s="3897"/>
      <c r="Z547" s="3897" t="s">
        <v>2534</v>
      </c>
      <c r="AA547" s="4349"/>
      <c r="AB547" s="3658" t="s">
        <v>2535</v>
      </c>
      <c r="AC547" s="4349" t="s">
        <v>1199</v>
      </c>
      <c r="AD547" s="5022">
        <v>2.0851</v>
      </c>
      <c r="AE547" s="4349">
        <f t="shared" si="315"/>
        <v>3615.5634</v>
      </c>
      <c r="AF547" s="4278"/>
      <c r="AG547" s="4278"/>
      <c r="AH547" s="5023"/>
      <c r="AI547" s="878"/>
      <c r="AJ547" s="980"/>
      <c r="AK547" s="878">
        <f>J547</f>
        <v>1734</v>
      </c>
      <c r="AL547" s="4920"/>
      <c r="AM547" s="4920"/>
      <c r="AN547" s="982"/>
      <c r="AO547" s="4782">
        <f t="shared" si="317"/>
        <v>1734</v>
      </c>
      <c r="AP547" s="4349"/>
      <c r="AQ547" s="1022"/>
      <c r="AR547" s="5095"/>
      <c r="AS547" s="5096">
        <f t="shared" si="318"/>
        <v>1734</v>
      </c>
      <c r="AT547" s="5096"/>
      <c r="AU547" s="5097"/>
      <c r="AV547" s="1022"/>
      <c r="AW547" s="1022"/>
      <c r="AX547" s="4782"/>
      <c r="AY547" s="1022"/>
      <c r="AZ547" s="1022"/>
      <c r="BA547" s="4782"/>
      <c r="BB547" s="4782"/>
      <c r="BC547" s="1022"/>
      <c r="BD547" s="4782"/>
      <c r="BE547" s="4782"/>
      <c r="BF547" s="4782"/>
      <c r="BG547" s="4782"/>
      <c r="BH547" s="4782"/>
      <c r="BI547" s="4782"/>
      <c r="BJ547" s="4782"/>
      <c r="BK547" s="3942" t="s">
        <v>89</v>
      </c>
      <c r="BL547" s="5060">
        <f t="shared" si="321"/>
        <v>242.76</v>
      </c>
      <c r="BM547" s="5060">
        <f t="shared" si="322"/>
        <v>450.84</v>
      </c>
      <c r="BN547" s="5060">
        <f t="shared" si="323"/>
        <v>138.72</v>
      </c>
      <c r="BO547" s="5060">
        <f t="shared" si="324"/>
        <v>346.8</v>
      </c>
      <c r="BP547" s="5060">
        <f t="shared" si="325"/>
        <v>208.08</v>
      </c>
      <c r="BQ547" s="5060">
        <f t="shared" si="326"/>
        <v>138.72</v>
      </c>
      <c r="BR547" s="5060">
        <f t="shared" si="327"/>
        <v>208.08</v>
      </c>
      <c r="BS547" s="1092"/>
      <c r="BT547" s="1092"/>
      <c r="BU547" s="1092"/>
      <c r="BV547" s="1092"/>
      <c r="BW547" s="1092"/>
      <c r="BX547" s="1092"/>
      <c r="BY547" s="1092"/>
      <c r="BZ547" s="5099">
        <f t="shared" si="319"/>
        <v>1734</v>
      </c>
      <c r="CA547" s="5099">
        <f t="shared" si="320"/>
        <v>0</v>
      </c>
      <c r="CB547" s="1092"/>
      <c r="CC547" s="1092"/>
      <c r="CD547" s="5099"/>
      <c r="CE547" s="5099"/>
      <c r="CF547" s="5099"/>
      <c r="XCX547" s="4776"/>
      <c r="XCY547" s="4777"/>
      <c r="XCZ547" s="875"/>
      <c r="XDA547" s="4778"/>
      <c r="XDB547" s="875"/>
      <c r="XDC547" s="4778"/>
      <c r="XDD547" s="875"/>
      <c r="XDE547" s="875"/>
      <c r="XDF547" s="875"/>
      <c r="XDG547" s="4349"/>
      <c r="XDH547" s="4349"/>
      <c r="XDI547" s="4349"/>
      <c r="XDJ547" s="4349"/>
      <c r="XDK547" s="4779"/>
      <c r="XDL547" s="4779"/>
      <c r="XDM547" s="4349"/>
      <c r="XDN547" s="4278"/>
      <c r="XDO547" s="5027"/>
      <c r="XDP547" s="5027"/>
      <c r="XDQ547" s="5027"/>
      <c r="XDR547" s="4776"/>
      <c r="XDS547" s="4777"/>
      <c r="XDT547" s="875"/>
      <c r="XDU547" s="4778"/>
      <c r="XDV547" s="875"/>
      <c r="XDW547" s="4778"/>
      <c r="XDX547" s="875"/>
      <c r="XDY547" s="875"/>
      <c r="XDZ547" s="875"/>
      <c r="XEA547" s="4349"/>
      <c r="XEB547" s="4349"/>
      <c r="XEC547" s="4349"/>
      <c r="XED547" s="4349"/>
      <c r="XEE547" s="4779"/>
      <c r="XEF547" s="4779"/>
      <c r="XEG547" s="4349"/>
      <c r="XEH547" s="4278"/>
      <c r="XEI547" s="5027"/>
      <c r="XEJ547" s="5027"/>
      <c r="XEK547" s="5027"/>
      <c r="XEL547" s="4776"/>
      <c r="XEM547" s="4777"/>
      <c r="XEN547" s="875"/>
      <c r="XEO547" s="4778"/>
      <c r="XEP547" s="875"/>
      <c r="XEQ547" s="4778"/>
      <c r="XER547" s="875"/>
      <c r="XES547" s="875"/>
      <c r="XET547" s="875"/>
      <c r="XEU547" s="4349"/>
      <c r="XEV547" s="4349"/>
      <c r="XEW547" s="4349"/>
      <c r="XEX547" s="4349"/>
      <c r="XEY547" s="4779"/>
      <c r="XEZ547" s="4779"/>
      <c r="XFA547" s="4349"/>
      <c r="XFB547" s="4278"/>
      <c r="XFC547" s="5027"/>
      <c r="XFD547" s="5027"/>
    </row>
    <row r="548" s="4867" customFormat="1" ht="50" customHeight="1" spans="1:84 16286:16384">
      <c r="A548" s="4820">
        <v>46239</v>
      </c>
      <c r="B548" s="4821" t="s">
        <v>2538</v>
      </c>
      <c r="C548" s="3929" t="s">
        <v>91</v>
      </c>
      <c r="D548" s="4822">
        <v>4500218792</v>
      </c>
      <c r="E548" s="3929">
        <v>1964519</v>
      </c>
      <c r="F548" s="4822" t="s">
        <v>2539</v>
      </c>
      <c r="G548" s="3929"/>
      <c r="H548" s="3929" t="s">
        <v>333</v>
      </c>
      <c r="I548" s="3929" t="s">
        <v>328</v>
      </c>
      <c r="J548" s="4823">
        <v>648</v>
      </c>
      <c r="K548" s="4823">
        <v>0</v>
      </c>
      <c r="L548" s="4823">
        <v>24</v>
      </c>
      <c r="M548" s="4823">
        <f t="shared" si="313"/>
        <v>27</v>
      </c>
      <c r="N548" s="4824">
        <v>46287</v>
      </c>
      <c r="O548" s="4824">
        <v>46283</v>
      </c>
      <c r="P548" s="4823"/>
      <c r="Q548" s="4823"/>
      <c r="R548" s="5047"/>
      <c r="S548" s="5048"/>
      <c r="T548" s="5067"/>
      <c r="U548" s="4829"/>
      <c r="V548" s="3897" t="s">
        <v>2532</v>
      </c>
      <c r="W548" s="3931"/>
      <c r="X548" s="3897" t="s">
        <v>98</v>
      </c>
      <c r="Y548" s="3897"/>
      <c r="Z548" s="3897" t="s">
        <v>2540</v>
      </c>
      <c r="AA548" s="4823"/>
      <c r="AB548" s="3900" t="s">
        <v>2541</v>
      </c>
      <c r="AC548" s="4823" t="s">
        <v>2542</v>
      </c>
      <c r="AD548" s="5084">
        <v>1.2846</v>
      </c>
      <c r="AE548" s="4823">
        <f t="shared" si="315"/>
        <v>832.4208</v>
      </c>
      <c r="AF548" s="4829"/>
      <c r="AG548" s="4829"/>
      <c r="AH548" s="1040"/>
      <c r="AI548" s="5046">
        <f>J548</f>
        <v>648</v>
      </c>
      <c r="AJ548" s="4945"/>
      <c r="AK548" s="5087"/>
      <c r="AL548" s="5092"/>
      <c r="AM548" s="4823"/>
      <c r="AN548" s="4619"/>
      <c r="AO548" s="5092">
        <f t="shared" si="317"/>
        <v>648</v>
      </c>
      <c r="AP548" s="5092"/>
      <c r="AQ548" s="4619"/>
      <c r="AR548" s="4619"/>
      <c r="AS548" s="5077">
        <f t="shared" si="318"/>
        <v>648</v>
      </c>
      <c r="AT548" s="5077"/>
      <c r="AU548" s="4619"/>
      <c r="AV548" s="4619"/>
      <c r="AW548" s="4619"/>
      <c r="AX548" s="5092"/>
      <c r="AY548" s="4619"/>
      <c r="AZ548" s="3879"/>
      <c r="BA548" s="5093"/>
      <c r="BB548" s="5093"/>
      <c r="BC548" s="5008"/>
      <c r="BD548" s="5093"/>
      <c r="BE548" s="5093"/>
      <c r="BF548" s="5093"/>
      <c r="BG548" s="5093"/>
      <c r="BH548" s="5093"/>
      <c r="BI548" s="5092"/>
      <c r="BJ548" s="5092"/>
      <c r="BK548" s="3942" t="s">
        <v>89</v>
      </c>
      <c r="BL548" s="5060">
        <f t="shared" si="321"/>
        <v>90.72</v>
      </c>
      <c r="BM548" s="5060">
        <f t="shared" si="322"/>
        <v>168.48</v>
      </c>
      <c r="BN548" s="5060">
        <f t="shared" si="323"/>
        <v>51.84</v>
      </c>
      <c r="BO548" s="5060">
        <f t="shared" si="324"/>
        <v>129.6</v>
      </c>
      <c r="BP548" s="5060">
        <f t="shared" si="325"/>
        <v>77.76</v>
      </c>
      <c r="BQ548" s="5060">
        <f t="shared" si="326"/>
        <v>51.84</v>
      </c>
      <c r="BR548" s="5060">
        <f t="shared" si="327"/>
        <v>77.76</v>
      </c>
      <c r="BS548" s="5100"/>
      <c r="BT548" s="5100"/>
      <c r="BU548" s="5100"/>
      <c r="BV548" s="5100"/>
      <c r="BW548" s="5100"/>
      <c r="BX548" s="5100"/>
      <c r="BY548" s="5100"/>
      <c r="BZ548" s="5060">
        <f t="shared" si="319"/>
        <v>648</v>
      </c>
      <c r="CA548" s="5060">
        <f t="shared" si="320"/>
        <v>0</v>
      </c>
      <c r="CB548" s="5101"/>
      <c r="CC548" s="5101"/>
      <c r="CD548" s="5080"/>
      <c r="CE548" s="5080"/>
      <c r="CF548" s="5080"/>
      <c r="XCD548" s="4820"/>
      <c r="XCE548" s="4821"/>
      <c r="XCF548" s="3929"/>
      <c r="XCG548" s="4822"/>
      <c r="XCH548" s="3929"/>
      <c r="XCI548" s="4822"/>
      <c r="XCJ548" s="3929"/>
      <c r="XCK548" s="3929"/>
      <c r="XCL548" s="3929"/>
      <c r="XCM548" s="4823"/>
      <c r="XCN548" s="4823"/>
      <c r="XCO548" s="4823"/>
      <c r="XCP548" s="4823"/>
      <c r="XCQ548" s="4824"/>
      <c r="XCR548" s="4824"/>
      <c r="XCS548" s="4823"/>
      <c r="XCT548" s="4829"/>
      <c r="XCU548" s="4827"/>
      <c r="XCV548" s="4827"/>
      <c r="XCW548" s="4827"/>
      <c r="XCX548" s="4820"/>
      <c r="XCY548" s="4821"/>
      <c r="XCZ548" s="3929"/>
      <c r="XDA548" s="4822"/>
      <c r="XDB548" s="3929"/>
      <c r="XDC548" s="4822"/>
      <c r="XDD548" s="3929"/>
      <c r="XDE548" s="3929"/>
      <c r="XDF548" s="3929"/>
      <c r="XDG548" s="4823"/>
      <c r="XDH548" s="4823"/>
      <c r="XDI548" s="4823"/>
      <c r="XDJ548" s="4823"/>
      <c r="XDK548" s="4824"/>
      <c r="XDL548" s="4824"/>
      <c r="XDM548" s="4823"/>
      <c r="XDN548" s="4829"/>
      <c r="XDO548" s="4827"/>
      <c r="XDP548" s="4827"/>
      <c r="XDQ548" s="4827"/>
      <c r="XDR548" s="4820"/>
      <c r="XDS548" s="4821"/>
      <c r="XDT548" s="3929"/>
      <c r="XDU548" s="4822"/>
      <c r="XDV548" s="3929"/>
      <c r="XDW548" s="4822"/>
      <c r="XDX548" s="3929"/>
      <c r="XDY548" s="3929"/>
      <c r="XDZ548" s="3929"/>
      <c r="XEA548" s="4823"/>
      <c r="XEB548" s="4823"/>
      <c r="XEC548" s="4823"/>
      <c r="XED548" s="4823"/>
      <c r="XEE548" s="4824"/>
      <c r="XEF548" s="4824"/>
      <c r="XEG548" s="4823"/>
      <c r="XEH548" s="4829"/>
      <c r="XEI548" s="4827"/>
      <c r="XEJ548" s="4827"/>
      <c r="XEK548" s="4820"/>
      <c r="XEL548" s="4821"/>
      <c r="XEM548" s="3929"/>
      <c r="XEN548" s="4822"/>
      <c r="XEO548" s="3929"/>
      <c r="XEP548" s="4822"/>
      <c r="XEQ548" s="3929"/>
      <c r="XER548" s="3929"/>
      <c r="XES548" s="3929"/>
      <c r="XET548" s="4823"/>
      <c r="XEU548" s="4823"/>
      <c r="XEV548" s="4823"/>
      <c r="XEW548" s="4823"/>
      <c r="XEX548" s="4824"/>
      <c r="XEY548" s="4824"/>
      <c r="XEZ548" s="4823"/>
      <c r="XFA548" s="4823"/>
      <c r="XFB548" s="5047"/>
      <c r="XFC548" s="5048"/>
      <c r="XFD548" s="5067"/>
    </row>
    <row r="549" s="4867" customFormat="1" ht="50" customHeight="1" spans="1:84 16286:16384">
      <c r="A549" s="4820">
        <v>46239</v>
      </c>
      <c r="B549" s="4821" t="s">
        <v>2538</v>
      </c>
      <c r="C549" s="3929" t="s">
        <v>91</v>
      </c>
      <c r="D549" s="4822">
        <v>4500218792</v>
      </c>
      <c r="E549" s="3929">
        <v>1964418</v>
      </c>
      <c r="F549" s="4822" t="s">
        <v>2543</v>
      </c>
      <c r="G549" s="3929"/>
      <c r="H549" s="3929" t="s">
        <v>333</v>
      </c>
      <c r="I549" s="3929" t="s">
        <v>328</v>
      </c>
      <c r="J549" s="4823">
        <v>120</v>
      </c>
      <c r="K549" s="4823">
        <v>0</v>
      </c>
      <c r="L549" s="4823">
        <v>24</v>
      </c>
      <c r="M549" s="4823">
        <f t="shared" si="313"/>
        <v>5</v>
      </c>
      <c r="N549" s="4824">
        <v>46287</v>
      </c>
      <c r="O549" s="4824">
        <v>46283</v>
      </c>
      <c r="P549" s="4823"/>
      <c r="Q549" s="4823"/>
      <c r="R549" s="5047"/>
      <c r="S549" s="5048"/>
      <c r="T549" s="5067"/>
      <c r="U549" s="4829"/>
      <c r="V549" s="3897" t="s">
        <v>2532</v>
      </c>
      <c r="W549" s="3931"/>
      <c r="X549" s="3897" t="s">
        <v>98</v>
      </c>
      <c r="Y549" s="3897"/>
      <c r="Z549" s="3897" t="s">
        <v>2540</v>
      </c>
      <c r="AA549" s="4823"/>
      <c r="AB549" s="3900" t="s">
        <v>2541</v>
      </c>
      <c r="AC549" s="4823" t="s">
        <v>2542</v>
      </c>
      <c r="AD549" s="5084">
        <v>1.2846</v>
      </c>
      <c r="AE549" s="4823">
        <f t="shared" si="315"/>
        <v>154.152</v>
      </c>
      <c r="AF549" s="4829"/>
      <c r="AG549" s="4829"/>
      <c r="AH549" s="1040"/>
      <c r="AI549" s="5046">
        <f>J549</f>
        <v>120</v>
      </c>
      <c r="AJ549" s="4945"/>
      <c r="AK549" s="5087"/>
      <c r="AL549" s="5092"/>
      <c r="AM549" s="4823"/>
      <c r="AN549" s="4619"/>
      <c r="AO549" s="5092">
        <f t="shared" si="317"/>
        <v>120</v>
      </c>
      <c r="AP549" s="5092"/>
      <c r="AQ549" s="4619"/>
      <c r="AR549" s="4619"/>
      <c r="AS549" s="5092">
        <f t="shared" si="318"/>
        <v>120</v>
      </c>
      <c r="AT549" s="5092"/>
      <c r="AU549" s="4619"/>
      <c r="AV549" s="4619"/>
      <c r="AW549" s="4619"/>
      <c r="AX549" s="5092"/>
      <c r="AY549" s="4619"/>
      <c r="AZ549" s="3879"/>
      <c r="BA549" s="5093"/>
      <c r="BB549" s="5093"/>
      <c r="BC549" s="5008"/>
      <c r="BD549" s="5093"/>
      <c r="BE549" s="5093"/>
      <c r="BF549" s="5093"/>
      <c r="BG549" s="5093"/>
      <c r="BH549" s="5093"/>
      <c r="BI549" s="5092"/>
      <c r="BJ549" s="5092"/>
      <c r="BK549" s="3942" t="s">
        <v>89</v>
      </c>
      <c r="BL549" s="5060">
        <f t="shared" si="321"/>
        <v>16.8</v>
      </c>
      <c r="BM549" s="5060">
        <f t="shared" si="322"/>
        <v>31.2</v>
      </c>
      <c r="BN549" s="5060">
        <f t="shared" si="323"/>
        <v>9.6</v>
      </c>
      <c r="BO549" s="5060">
        <f t="shared" si="324"/>
        <v>24</v>
      </c>
      <c r="BP549" s="5060">
        <f t="shared" si="325"/>
        <v>14.4</v>
      </c>
      <c r="BQ549" s="5060">
        <f t="shared" si="326"/>
        <v>9.6</v>
      </c>
      <c r="BR549" s="5060">
        <f t="shared" si="327"/>
        <v>14.4</v>
      </c>
      <c r="BS549" s="5100"/>
      <c r="BT549" s="5100"/>
      <c r="BU549" s="5100"/>
      <c r="BV549" s="5100"/>
      <c r="BW549" s="5100"/>
      <c r="BX549" s="5100"/>
      <c r="BY549" s="5100"/>
      <c r="BZ549" s="5060">
        <f t="shared" si="319"/>
        <v>120</v>
      </c>
      <c r="CA549" s="5060">
        <f t="shared" si="320"/>
        <v>0</v>
      </c>
      <c r="CB549" s="5101"/>
      <c r="CC549" s="5101"/>
      <c r="CD549" s="5080"/>
      <c r="CE549" s="5080"/>
      <c r="CF549" s="5080"/>
      <c r="XCD549" s="4820"/>
      <c r="XCE549" s="4821"/>
      <c r="XCF549" s="3929"/>
      <c r="XCG549" s="4822"/>
      <c r="XCH549" s="3929"/>
      <c r="XCI549" s="4822"/>
      <c r="XCJ549" s="3929"/>
      <c r="XCK549" s="3929"/>
      <c r="XCL549" s="3929"/>
      <c r="XCM549" s="4823"/>
      <c r="XCN549" s="4823"/>
      <c r="XCO549" s="4823"/>
      <c r="XCP549" s="4823"/>
      <c r="XCQ549" s="4824"/>
      <c r="XCR549" s="4824"/>
      <c r="XCS549" s="4823"/>
      <c r="XCT549" s="4829"/>
      <c r="XCU549" s="4827"/>
      <c r="XCV549" s="4827"/>
      <c r="XCW549" s="4827"/>
      <c r="XCX549" s="4820"/>
      <c r="XCY549" s="4821"/>
      <c r="XCZ549" s="3929"/>
      <c r="XDA549" s="4822"/>
      <c r="XDB549" s="3929"/>
      <c r="XDC549" s="4822"/>
      <c r="XDD549" s="3929"/>
      <c r="XDE549" s="3929"/>
      <c r="XDF549" s="3929"/>
      <c r="XDG549" s="4823"/>
      <c r="XDH549" s="4823"/>
      <c r="XDI549" s="4823"/>
      <c r="XDJ549" s="4823"/>
      <c r="XDK549" s="4824"/>
      <c r="XDL549" s="4824"/>
      <c r="XDM549" s="4823"/>
      <c r="XDN549" s="4829"/>
      <c r="XDO549" s="4827"/>
      <c r="XDP549" s="4827"/>
      <c r="XDQ549" s="4827"/>
      <c r="XDR549" s="4820"/>
      <c r="XDS549" s="4821"/>
      <c r="XDT549" s="3929"/>
      <c r="XDU549" s="4822"/>
      <c r="XDV549" s="3929"/>
      <c r="XDW549" s="4822"/>
      <c r="XDX549" s="3929"/>
      <c r="XDY549" s="3929"/>
      <c r="XDZ549" s="3929"/>
      <c r="XEA549" s="4823"/>
      <c r="XEB549" s="4823"/>
      <c r="XEC549" s="4823"/>
      <c r="XED549" s="4823"/>
      <c r="XEE549" s="4824"/>
      <c r="XEF549" s="4824"/>
      <c r="XEG549" s="4823"/>
      <c r="XEH549" s="4829"/>
      <c r="XEI549" s="4827"/>
      <c r="XEJ549" s="4827"/>
      <c r="XEK549" s="4820"/>
      <c r="XEL549" s="4821"/>
      <c r="XEM549" s="3929"/>
      <c r="XEN549" s="4822"/>
      <c r="XEO549" s="3929"/>
      <c r="XEP549" s="4822"/>
      <c r="XEQ549" s="3929"/>
      <c r="XER549" s="3929"/>
      <c r="XES549" s="3929"/>
      <c r="XET549" s="4823"/>
      <c r="XEU549" s="4823"/>
      <c r="XEV549" s="4823"/>
      <c r="XEW549" s="4823"/>
      <c r="XEX549" s="4824"/>
      <c r="XEY549" s="4824"/>
      <c r="XEZ549" s="4823"/>
      <c r="XFA549" s="4823"/>
      <c r="XFB549" s="5047"/>
      <c r="XFC549" s="5048"/>
      <c r="XFD549" s="5067"/>
    </row>
    <row r="550" s="4867" customFormat="1" ht="50" customHeight="1" spans="1:84 16286:16384">
      <c r="A550" s="4820">
        <v>46239</v>
      </c>
      <c r="B550" s="4821" t="s">
        <v>2538</v>
      </c>
      <c r="C550" s="3929" t="s">
        <v>91</v>
      </c>
      <c r="D550" s="4822">
        <v>4500218792</v>
      </c>
      <c r="E550" s="3929">
        <v>1964518</v>
      </c>
      <c r="F550" s="4822" t="s">
        <v>2544</v>
      </c>
      <c r="G550" s="3929"/>
      <c r="H550" s="3929" t="s">
        <v>333</v>
      </c>
      <c r="I550" s="3929" t="s">
        <v>328</v>
      </c>
      <c r="J550" s="4823">
        <v>1632</v>
      </c>
      <c r="K550" s="4823">
        <v>0</v>
      </c>
      <c r="L550" s="4823">
        <v>24</v>
      </c>
      <c r="M550" s="4823">
        <f t="shared" si="313"/>
        <v>68</v>
      </c>
      <c r="N550" s="4824">
        <v>46287</v>
      </c>
      <c r="O550" s="4824">
        <v>46283</v>
      </c>
      <c r="P550" s="4823"/>
      <c r="Q550" s="4823"/>
      <c r="R550" s="5047"/>
      <c r="S550" s="5048"/>
      <c r="T550" s="5067"/>
      <c r="U550" s="4829"/>
      <c r="V550" s="3897" t="s">
        <v>2532</v>
      </c>
      <c r="W550" s="3931"/>
      <c r="X550" s="3897" t="s">
        <v>98</v>
      </c>
      <c r="Y550" s="3897"/>
      <c r="Z550" s="3897" t="s">
        <v>2540</v>
      </c>
      <c r="AA550" s="4823"/>
      <c r="AB550" s="3900" t="s">
        <v>2541</v>
      </c>
      <c r="AC550" s="4823" t="s">
        <v>2542</v>
      </c>
      <c r="AD550" s="5084">
        <v>1.2817</v>
      </c>
      <c r="AE550" s="4823">
        <f t="shared" si="315"/>
        <v>2091.7344</v>
      </c>
      <c r="AF550" s="4829"/>
      <c r="AG550" s="4829"/>
      <c r="AH550" s="1040"/>
      <c r="AI550" s="5046">
        <f>J550</f>
        <v>1632</v>
      </c>
      <c r="AJ550" s="4945"/>
      <c r="AK550" s="5087"/>
      <c r="AL550" s="5092"/>
      <c r="AM550" s="4823"/>
      <c r="AN550" s="4619"/>
      <c r="AO550" s="5092">
        <f t="shared" si="317"/>
        <v>1632</v>
      </c>
      <c r="AP550" s="5092"/>
      <c r="AQ550" s="4619"/>
      <c r="AR550" s="4619"/>
      <c r="AS550" s="5092">
        <f t="shared" si="318"/>
        <v>1632</v>
      </c>
      <c r="AT550" s="5092"/>
      <c r="AU550" s="4619"/>
      <c r="AV550" s="4619"/>
      <c r="AW550" s="4619"/>
      <c r="AX550" s="5092"/>
      <c r="AY550" s="4619"/>
      <c r="AZ550" s="3879"/>
      <c r="BA550" s="5093"/>
      <c r="BB550" s="5093"/>
      <c r="BC550" s="5008"/>
      <c r="BD550" s="5093"/>
      <c r="BE550" s="5093"/>
      <c r="BF550" s="5093"/>
      <c r="BG550" s="5093"/>
      <c r="BH550" s="5093"/>
      <c r="BI550" s="5092"/>
      <c r="BJ550" s="5092"/>
      <c r="BK550" s="3942" t="s">
        <v>89</v>
      </c>
      <c r="BL550" s="5060">
        <f t="shared" si="321"/>
        <v>228.48</v>
      </c>
      <c r="BM550" s="5060">
        <f t="shared" si="322"/>
        <v>424.32</v>
      </c>
      <c r="BN550" s="5060">
        <f t="shared" si="323"/>
        <v>130.56</v>
      </c>
      <c r="BO550" s="5060">
        <f t="shared" si="324"/>
        <v>326.4</v>
      </c>
      <c r="BP550" s="5060">
        <f t="shared" si="325"/>
        <v>195.84</v>
      </c>
      <c r="BQ550" s="5060">
        <f t="shared" si="326"/>
        <v>130.56</v>
      </c>
      <c r="BR550" s="5060">
        <f t="shared" si="327"/>
        <v>195.84</v>
      </c>
      <c r="BS550" s="5100"/>
      <c r="BT550" s="5100"/>
      <c r="BU550" s="5100"/>
      <c r="BV550" s="5100"/>
      <c r="BW550" s="5100"/>
      <c r="BX550" s="5100"/>
      <c r="BY550" s="5100"/>
      <c r="BZ550" s="5060">
        <f t="shared" si="319"/>
        <v>1632</v>
      </c>
      <c r="CA550" s="5060">
        <f t="shared" si="320"/>
        <v>0</v>
      </c>
      <c r="CB550" s="5101"/>
      <c r="CC550" s="5101"/>
      <c r="CD550" s="5080"/>
      <c r="CE550" s="5080"/>
      <c r="CF550" s="5080"/>
      <c r="XCD550" s="4820"/>
      <c r="XCE550" s="4821"/>
      <c r="XCF550" s="3929"/>
      <c r="XCG550" s="4822"/>
      <c r="XCH550" s="3929"/>
      <c r="XCI550" s="4822"/>
      <c r="XCJ550" s="3929"/>
      <c r="XCK550" s="3929"/>
      <c r="XCL550" s="3929"/>
      <c r="XCM550" s="4823"/>
      <c r="XCN550" s="4823"/>
      <c r="XCO550" s="4823"/>
      <c r="XCP550" s="4823"/>
      <c r="XCQ550" s="4824"/>
      <c r="XCR550" s="4824"/>
      <c r="XCS550" s="4823"/>
      <c r="XCT550" s="4829"/>
      <c r="XCU550" s="4827"/>
      <c r="XCV550" s="4827"/>
      <c r="XCW550" s="4827"/>
      <c r="XCX550" s="4820"/>
      <c r="XCY550" s="4821"/>
      <c r="XCZ550" s="3929"/>
      <c r="XDA550" s="4822"/>
      <c r="XDB550" s="3929"/>
      <c r="XDC550" s="4822"/>
      <c r="XDD550" s="3929"/>
      <c r="XDE550" s="3929"/>
      <c r="XDF550" s="3929"/>
      <c r="XDG550" s="4823"/>
      <c r="XDH550" s="4823"/>
      <c r="XDI550" s="4823"/>
      <c r="XDJ550" s="4823"/>
      <c r="XDK550" s="4824"/>
      <c r="XDL550" s="4824"/>
      <c r="XDM550" s="4823"/>
      <c r="XDN550" s="4829"/>
      <c r="XDO550" s="4827"/>
      <c r="XDP550" s="4827"/>
      <c r="XDQ550" s="4827"/>
      <c r="XDR550" s="4820"/>
      <c r="XDS550" s="4821"/>
      <c r="XDT550" s="3929"/>
      <c r="XDU550" s="4822"/>
      <c r="XDV550" s="3929"/>
      <c r="XDW550" s="4822"/>
      <c r="XDX550" s="3929"/>
      <c r="XDY550" s="3929"/>
      <c r="XDZ550" s="3929"/>
      <c r="XEA550" s="4823"/>
      <c r="XEB550" s="4823"/>
      <c r="XEC550" s="4823"/>
      <c r="XED550" s="4823"/>
      <c r="XEE550" s="4824"/>
      <c r="XEF550" s="4824"/>
      <c r="XEG550" s="4823"/>
      <c r="XEH550" s="4829"/>
      <c r="XEI550" s="4827"/>
      <c r="XEJ550" s="4827"/>
      <c r="XEK550" s="4820"/>
      <c r="XEL550" s="4821"/>
      <c r="XEM550" s="3929"/>
      <c r="XEN550" s="4822"/>
      <c r="XEO550" s="3929"/>
      <c r="XEP550" s="4822"/>
      <c r="XEQ550" s="3929"/>
      <c r="XER550" s="3929"/>
      <c r="XES550" s="3929"/>
      <c r="XET550" s="4823"/>
      <c r="XEU550" s="4823"/>
      <c r="XEV550" s="4823"/>
      <c r="XEW550" s="4823"/>
      <c r="XEX550" s="4824"/>
      <c r="XEY550" s="4824"/>
      <c r="XEZ550" s="4823"/>
      <c r="XFA550" s="4823"/>
      <c r="XFB550" s="5047"/>
      <c r="XFC550" s="5048"/>
      <c r="XFD550" s="5067"/>
    </row>
    <row r="551" s="4867" customFormat="1" ht="50" customHeight="1" spans="1:84 16286:16384">
      <c r="A551" s="4820">
        <v>46224</v>
      </c>
      <c r="B551" s="4821" t="s">
        <v>2545</v>
      </c>
      <c r="C551" s="3929" t="s">
        <v>351</v>
      </c>
      <c r="D551" s="4822" t="s">
        <v>2546</v>
      </c>
      <c r="E551" s="3929" t="s">
        <v>2547</v>
      </c>
      <c r="F551" s="4822" t="s">
        <v>2548</v>
      </c>
      <c r="G551" s="3929"/>
      <c r="H551" s="3929" t="s">
        <v>327</v>
      </c>
      <c r="I551" s="3929" t="s">
        <v>328</v>
      </c>
      <c r="J551" s="4823">
        <v>408</v>
      </c>
      <c r="K551" s="4823">
        <v>0</v>
      </c>
      <c r="L551" s="4823">
        <v>12</v>
      </c>
      <c r="M551" s="4823">
        <f t="shared" si="313"/>
        <v>34</v>
      </c>
      <c r="N551" s="5028">
        <v>46292</v>
      </c>
      <c r="O551" s="5029">
        <v>46288</v>
      </c>
      <c r="P551" s="5030"/>
      <c r="Q551" s="5031"/>
      <c r="R551" s="4174"/>
      <c r="S551" s="5003"/>
      <c r="T551" s="5020" t="s">
        <v>2297</v>
      </c>
      <c r="U551" s="5031"/>
      <c r="V551" s="5033" t="s">
        <v>1833</v>
      </c>
      <c r="W551" s="5034"/>
      <c r="X551" s="5033" t="s">
        <v>2549</v>
      </c>
      <c r="Y551" s="5033"/>
      <c r="Z551" s="5034"/>
      <c r="AA551" s="5035"/>
      <c r="AB551" s="5102" t="s">
        <v>2550</v>
      </c>
      <c r="AC551" s="5035" t="s">
        <v>2551</v>
      </c>
      <c r="AD551" s="5037">
        <v>2</v>
      </c>
      <c r="AE551" s="5035">
        <f t="shared" si="315"/>
        <v>816</v>
      </c>
      <c r="AF551" s="5031"/>
      <c r="AG551" s="5031"/>
      <c r="AH551" s="5103"/>
      <c r="AI551" s="5040">
        <f>J551</f>
        <v>408</v>
      </c>
      <c r="AJ551" s="5104"/>
      <c r="AK551" s="5035"/>
      <c r="AL551" s="5041"/>
      <c r="AM551" s="5041"/>
      <c r="AN551" s="5104"/>
      <c r="AO551" s="5041">
        <f t="shared" si="317"/>
        <v>408</v>
      </c>
      <c r="AP551" s="5041"/>
      <c r="AQ551" s="5105"/>
      <c r="AR551" s="5105"/>
      <c r="AS551" s="4782">
        <f t="shared" si="318"/>
        <v>408</v>
      </c>
      <c r="AT551" s="5043"/>
      <c r="AU551" s="5105"/>
      <c r="AV551" s="5105"/>
      <c r="AW551" s="5105"/>
      <c r="AX551" s="5041">
        <f>J551/6</f>
        <v>68</v>
      </c>
      <c r="AY551" s="5104"/>
      <c r="AZ551" s="5042"/>
      <c r="BA551" s="5041"/>
      <c r="BB551" s="5041"/>
      <c r="BC551" s="5104"/>
      <c r="BD551" s="5041"/>
      <c r="BE551" s="5041"/>
      <c r="BF551" s="5041"/>
      <c r="BG551" s="5041"/>
      <c r="BH551" s="5041"/>
      <c r="BI551" s="5041"/>
      <c r="BJ551" s="5041"/>
      <c r="BK551" s="5106" t="s">
        <v>89</v>
      </c>
      <c r="BL551" s="5060">
        <f t="shared" si="321"/>
        <v>57.12</v>
      </c>
      <c r="BM551" s="5060">
        <f t="shared" si="322"/>
        <v>106.08</v>
      </c>
      <c r="BN551" s="5060">
        <f t="shared" si="323"/>
        <v>32.64</v>
      </c>
      <c r="BO551" s="5060">
        <f t="shared" si="324"/>
        <v>81.6</v>
      </c>
      <c r="BP551" s="5060">
        <f t="shared" si="325"/>
        <v>48.96</v>
      </c>
      <c r="BQ551" s="5060">
        <f t="shared" si="326"/>
        <v>32.64</v>
      </c>
      <c r="BR551" s="5060">
        <f t="shared" si="327"/>
        <v>48.96</v>
      </c>
      <c r="BS551" s="5105"/>
      <c r="BT551" s="5105"/>
      <c r="BU551" s="5105"/>
      <c r="BV551" s="5105"/>
      <c r="BW551" s="5105"/>
      <c r="BX551" s="5105"/>
      <c r="BY551" s="5105"/>
      <c r="BZ551" s="5043">
        <f t="shared" si="319"/>
        <v>408</v>
      </c>
      <c r="CA551" s="5043">
        <f t="shared" si="320"/>
        <v>0</v>
      </c>
      <c r="CB551" s="5105"/>
      <c r="CC551" s="5105"/>
      <c r="CD551" s="5043"/>
      <c r="CE551" s="5043"/>
      <c r="CF551" s="5043"/>
      <c r="XBJ551" s="4820"/>
      <c r="XBK551" s="4821"/>
      <c r="XBL551" s="3929"/>
      <c r="XBM551" s="4822"/>
      <c r="XBN551" s="3929"/>
      <c r="XBO551" s="4822"/>
      <c r="XBP551" s="3929"/>
      <c r="XBQ551" s="3929"/>
      <c r="XBR551" s="3929"/>
      <c r="XBS551" s="4823"/>
      <c r="XBT551" s="4823"/>
      <c r="XBU551" s="4823"/>
      <c r="XBV551" s="4823"/>
      <c r="XBW551" s="4824"/>
      <c r="XBX551" s="4824"/>
      <c r="XBY551" s="4823"/>
      <c r="XBZ551" s="4829"/>
      <c r="XCA551" s="4827"/>
      <c r="XCB551" s="4827"/>
      <c r="XCC551" s="4827"/>
      <c r="XCD551" s="4820"/>
      <c r="XCE551" s="4821"/>
      <c r="XCF551" s="3929"/>
      <c r="XCG551" s="4822"/>
      <c r="XCH551" s="3929"/>
      <c r="XCI551" s="4822"/>
      <c r="XCJ551" s="3929"/>
      <c r="XCK551" s="3929"/>
      <c r="XCL551" s="3929"/>
      <c r="XCM551" s="4823"/>
      <c r="XCN551" s="4823"/>
      <c r="XCO551" s="4823"/>
      <c r="XCP551" s="4823"/>
      <c r="XCQ551" s="4824"/>
      <c r="XCR551" s="4824"/>
      <c r="XCS551" s="4823"/>
      <c r="XCT551" s="4829"/>
      <c r="XCU551" s="4827"/>
      <c r="XCV551" s="4827"/>
      <c r="XCW551" s="4827"/>
      <c r="XCX551" s="4820"/>
      <c r="XCY551" s="4821"/>
      <c r="XCZ551" s="3929"/>
      <c r="XDA551" s="4822"/>
      <c r="XDB551" s="3929"/>
      <c r="XDC551" s="4822"/>
      <c r="XDD551" s="3929"/>
      <c r="XDE551" s="3929"/>
      <c r="XDF551" s="3929"/>
      <c r="XDG551" s="4823"/>
      <c r="XDH551" s="4823"/>
      <c r="XDI551" s="4823"/>
      <c r="XDJ551" s="4823"/>
      <c r="XDK551" s="4824"/>
      <c r="XDL551" s="4824"/>
      <c r="XDM551" s="4823"/>
      <c r="XDN551" s="4829"/>
      <c r="XDO551" s="4827"/>
      <c r="XDP551" s="4827"/>
      <c r="XDQ551" s="4827"/>
      <c r="XDR551" s="4820"/>
      <c r="XDS551" s="4821"/>
      <c r="XDT551" s="3929"/>
      <c r="XDU551" s="4822"/>
      <c r="XDV551" s="3929"/>
      <c r="XDW551" s="4822"/>
      <c r="XDX551" s="3929"/>
      <c r="XDY551" s="3929"/>
      <c r="XDZ551" s="3929"/>
      <c r="XEA551" s="4823"/>
      <c r="XEB551" s="4823"/>
      <c r="XEC551" s="4823"/>
      <c r="XED551" s="4823"/>
      <c r="XEE551" s="4824"/>
      <c r="XEF551" s="4824"/>
      <c r="XEG551" s="4823"/>
      <c r="XEH551" s="4829"/>
      <c r="XEI551" s="5047"/>
      <c r="XEJ551" s="5048"/>
      <c r="XEK551" s="4820"/>
      <c r="XEL551" s="4821"/>
      <c r="XEM551" s="3929"/>
      <c r="XEN551" s="4822"/>
      <c r="XEO551" s="3929"/>
      <c r="XEP551" s="4822"/>
      <c r="XEQ551" s="3929"/>
      <c r="XER551" s="3929"/>
      <c r="XES551" s="3929"/>
      <c r="XET551" s="4823"/>
      <c r="XEU551" s="4823"/>
      <c r="XEV551" s="4823"/>
      <c r="XEW551" s="4823"/>
      <c r="XEX551" s="5028"/>
      <c r="XEY551" s="5029"/>
      <c r="XEZ551" s="5030"/>
      <c r="XFA551" s="5031"/>
      <c r="XFB551" s="4174"/>
      <c r="XFC551" s="5003"/>
      <c r="XFD551" s="5020"/>
    </row>
    <row r="552" s="2834" customFormat="1" ht="50" customHeight="1" spans="1:84 16286:16384">
      <c r="AB552" s="5107"/>
      <c r="BL552" s="5108"/>
      <c r="BM552" s="5108"/>
      <c r="BN552" s="5108"/>
      <c r="BO552" s="5108"/>
      <c r="BP552" s="5108"/>
      <c r="BQ552" s="5108"/>
      <c r="BR552" s="5108"/>
      <c r="BS552" s="5108"/>
      <c r="BT552" s="5108"/>
      <c r="BU552" s="5108"/>
      <c r="BV552" s="5108"/>
      <c r="BW552" s="5108"/>
      <c r="BX552" s="5108"/>
      <c r="BY552" s="5108"/>
      <c r="BZ552" s="5108"/>
      <c r="CA552" s="5108"/>
      <c r="CB552" s="5108"/>
      <c r="CC552" s="5108"/>
      <c r="CD552" s="5108"/>
      <c r="CE552" s="5108"/>
      <c r="CF552" s="5108"/>
    </row>
    <row r="553" s="4311" customFormat="1" ht="50" customHeight="1" spans="1:84 16286:16384">
      <c r="A553" s="5109"/>
      <c r="B553" s="5110"/>
      <c r="C553" s="5110"/>
      <c r="D553" s="5111"/>
      <c r="E553" s="5110"/>
      <c r="F553" s="5111"/>
      <c r="G553" s="5110"/>
      <c r="H553" s="5110"/>
      <c r="I553" s="5110"/>
      <c r="J553" s="5112"/>
      <c r="K553" s="5111"/>
      <c r="L553" s="5111"/>
      <c r="M553" s="5111"/>
      <c r="N553" s="5113"/>
      <c r="O553" s="5113"/>
      <c r="P553" s="5114"/>
      <c r="Q553" s="5111"/>
      <c r="R553" s="4658"/>
      <c r="S553" s="4658"/>
      <c r="T553" s="4658"/>
      <c r="U553" s="5115"/>
      <c r="V553" s="5116"/>
      <c r="W553" s="5116"/>
      <c r="X553" s="5116"/>
      <c r="Y553" s="5116"/>
      <c r="Z553" s="5116"/>
      <c r="AA553" s="5111"/>
      <c r="AB553" s="5117"/>
      <c r="AC553" s="5116"/>
      <c r="AD553" s="5118"/>
      <c r="AE553" s="5111"/>
      <c r="AF553" s="5115"/>
      <c r="AG553" s="5115"/>
      <c r="AH553" s="5119"/>
      <c r="AI553" s="5110"/>
      <c r="AJ553" s="5119"/>
      <c r="AK553" s="5110"/>
      <c r="AL553" s="5110"/>
      <c r="AM553" s="5111"/>
      <c r="AN553" s="5120"/>
      <c r="AO553" s="5121"/>
      <c r="AP553" s="5121"/>
      <c r="AQ553" s="5120"/>
      <c r="AR553" s="5120"/>
      <c r="AS553" s="5121"/>
      <c r="AT553" s="5121"/>
      <c r="AU553" s="5120"/>
      <c r="AV553" s="5122"/>
      <c r="AW553" s="5122"/>
      <c r="AX553" s="5121"/>
      <c r="AY553" s="5122"/>
      <c r="AZ553" s="5122"/>
      <c r="BA553" s="5121"/>
      <c r="BB553" s="5123"/>
      <c r="BC553" s="5122"/>
      <c r="BD553" s="5123"/>
      <c r="BE553" s="5123"/>
      <c r="BF553" s="5123"/>
      <c r="BG553" s="5123"/>
      <c r="BH553" s="5123"/>
      <c r="BI553" s="5123"/>
      <c r="BJ553" s="5121"/>
      <c r="BK553" s="5124"/>
      <c r="BL553" s="5124"/>
      <c r="BM553" s="5124"/>
      <c r="BN553" s="5124"/>
      <c r="BO553" s="5124"/>
      <c r="BP553" s="5124"/>
      <c r="BQ553" s="5125"/>
      <c r="BR553" s="5121"/>
      <c r="BS553" s="5126"/>
      <c r="BT553" s="5126"/>
      <c r="BU553" s="5126"/>
      <c r="BV553" s="5126"/>
      <c r="BW553" s="5126"/>
      <c r="BX553" s="5127"/>
      <c r="BY553" s="5127"/>
      <c r="BZ553" s="5110"/>
      <c r="CA553" s="5111"/>
      <c r="CB553" s="5128"/>
      <c r="CC553" s="5128"/>
      <c r="CD553" s="4864"/>
      <c r="CE553" s="4864"/>
      <c r="CF553" s="4864"/>
    </row>
    <row r="554" s="4311" customFormat="1" ht="50" customHeight="1" spans="1:84 16286:16384">
      <c r="A554" s="4776"/>
      <c r="B554" s="875"/>
      <c r="C554" s="875"/>
      <c r="D554" s="4349"/>
      <c r="E554" s="875"/>
      <c r="F554" s="4349"/>
      <c r="G554" s="875"/>
      <c r="H554" s="875"/>
      <c r="I554" s="875"/>
      <c r="J554" s="5129"/>
      <c r="K554" s="4349"/>
      <c r="L554" s="4349"/>
      <c r="M554" s="4349"/>
      <c r="N554" s="4779"/>
      <c r="O554" s="4779"/>
      <c r="P554" s="3899"/>
      <c r="Q554" s="4349"/>
      <c r="R554" s="4156"/>
      <c r="S554" s="4156"/>
      <c r="T554" s="4156"/>
      <c r="U554" s="4278"/>
      <c r="V554" s="3898"/>
      <c r="W554" s="3898"/>
      <c r="X554" s="3898"/>
      <c r="Y554" s="3898"/>
      <c r="Z554" s="3898"/>
      <c r="AA554" s="4349"/>
      <c r="AB554" s="3998"/>
      <c r="AC554" s="3898"/>
      <c r="AD554" s="5022"/>
      <c r="AE554" s="4349"/>
      <c r="AF554" s="4278"/>
      <c r="AG554" s="4278"/>
      <c r="AH554" s="984"/>
      <c r="AI554" s="875"/>
      <c r="AJ554" s="984"/>
      <c r="AK554" s="875"/>
      <c r="AL554" s="875"/>
      <c r="AM554" s="4349"/>
      <c r="AN554" s="877"/>
      <c r="AO554" s="878"/>
      <c r="AP554" s="878"/>
      <c r="AQ554" s="877"/>
      <c r="AR554" s="877"/>
      <c r="AS554" s="878"/>
      <c r="AT554" s="878"/>
      <c r="AU554" s="877"/>
      <c r="AV554" s="4921"/>
      <c r="AW554" s="4921"/>
      <c r="AX554" s="878"/>
      <c r="AY554" s="4921"/>
      <c r="AZ554" s="4921"/>
      <c r="BA554" s="878"/>
      <c r="BB554" s="4920"/>
      <c r="BC554" s="4921"/>
      <c r="BD554" s="4920"/>
      <c r="BE554" s="4920"/>
      <c r="BF554" s="4920"/>
      <c r="BG554" s="4920"/>
      <c r="BH554" s="4920"/>
      <c r="BI554" s="4920"/>
      <c r="BJ554" s="878"/>
      <c r="BK554" s="880"/>
      <c r="BL554" s="880"/>
      <c r="BM554" s="880"/>
      <c r="BN554" s="880"/>
      <c r="BO554" s="880"/>
      <c r="BP554" s="880"/>
      <c r="BQ554" s="879"/>
      <c r="BR554" s="878"/>
      <c r="BS554" s="992"/>
      <c r="BT554" s="992"/>
      <c r="BU554" s="992"/>
      <c r="BV554" s="992"/>
      <c r="BW554" s="992"/>
      <c r="BX554" s="991"/>
      <c r="BY554" s="991"/>
      <c r="BZ554" s="875"/>
      <c r="CA554" s="4349"/>
      <c r="CB554" s="4804"/>
      <c r="CC554" s="4804"/>
      <c r="CD554" s="4333"/>
      <c r="CE554" s="4333"/>
      <c r="CF554" s="4333"/>
    </row>
    <row r="555" s="4311" customFormat="1" ht="47" customHeight="1" spans="1:84 16286:16384">
      <c r="A555" s="5130"/>
      <c r="B555" s="875"/>
      <c r="C555" s="875"/>
      <c r="D555" s="4349"/>
      <c r="E555" s="4349"/>
      <c r="F555" s="4834"/>
      <c r="G555" s="4349"/>
      <c r="H555" s="875"/>
      <c r="I555" s="4349"/>
      <c r="J555" s="4349"/>
      <c r="K555" s="4349"/>
      <c r="L555" s="4349"/>
      <c r="M555" s="4349"/>
      <c r="N555" s="4349"/>
      <c r="O555" s="5131"/>
      <c r="P555" s="4349"/>
      <c r="Q555" s="875"/>
      <c r="R555" s="4156"/>
      <c r="S555" s="4156"/>
      <c r="T555" s="4156"/>
      <c r="U555" s="4278"/>
      <c r="V555" s="3898"/>
      <c r="W555" s="3898"/>
      <c r="X555" s="3898"/>
      <c r="Y555" s="3898"/>
      <c r="Z555" s="3898"/>
      <c r="AA555" s="4349"/>
      <c r="AB555" s="3658"/>
      <c r="AC555" s="4278"/>
      <c r="AD555" s="4278"/>
      <c r="AE555" s="4278"/>
      <c r="AF555" s="4278"/>
      <c r="AG555" s="4278"/>
      <c r="AH555" s="875"/>
      <c r="AI555" s="875"/>
      <c r="AJ555" s="5132"/>
      <c r="AK555" s="5132"/>
      <c r="AL555" s="5132"/>
      <c r="AM555" s="5133"/>
      <c r="AN555" s="5134"/>
      <c r="AO555" s="5134"/>
      <c r="AP555" s="5135"/>
      <c r="AQ555" s="4920"/>
      <c r="AR555" s="4920"/>
      <c r="AS555" s="4920"/>
      <c r="AT555" s="4920"/>
      <c r="AU555" s="5135"/>
      <c r="AV555" s="5135"/>
      <c r="AW555" s="5135"/>
      <c r="AX555" s="5135"/>
      <c r="AY555" s="5135"/>
      <c r="AZ555" s="5135"/>
      <c r="BA555" s="5135"/>
      <c r="BB555" s="5135"/>
      <c r="BC555" s="5135"/>
      <c r="BD555" s="5135"/>
      <c r="BE555" s="5135"/>
      <c r="BF555" s="5135"/>
      <c r="BG555" s="5135"/>
      <c r="BH555" s="5135"/>
      <c r="BI555" s="5135"/>
      <c r="BJ555" s="5135"/>
      <c r="BK555" s="4920"/>
      <c r="BL555" s="878"/>
      <c r="BM555" s="878"/>
      <c r="BN555" s="878"/>
      <c r="BO555" s="878"/>
      <c r="BP555" s="878"/>
      <c r="BQ555" s="878"/>
      <c r="BR555" s="878"/>
      <c r="BS555" s="5136"/>
      <c r="BT555" s="875"/>
      <c r="BU555" s="875"/>
      <c r="BV555" s="880"/>
      <c r="BW555" s="878"/>
      <c r="BX555" s="878"/>
      <c r="BY555" s="878"/>
      <c r="BZ555" s="875">
        <f>SUM(BL555:BY555)</f>
        <v>0</v>
      </c>
      <c r="CA555" s="4349">
        <f>J555-BZ555</f>
        <v>0</v>
      </c>
      <c r="CB555" s="929" t="e">
        <v>#N/A</v>
      </c>
      <c r="CC555" s="4160" t="e">
        <v>#N/A</v>
      </c>
      <c r="CD555" s="4333"/>
      <c r="CE555" s="4333"/>
      <c r="CF555" s="4333"/>
    </row>
    <row r="556" s="4311" customFormat="1" ht="47" customHeight="1" spans="1:84 16286:16384">
      <c r="A556" s="4326"/>
      <c r="B556" s="1008"/>
      <c r="C556" s="1008"/>
      <c r="D556" s="4309"/>
      <c r="E556" s="4309"/>
      <c r="F556" s="1008"/>
      <c r="G556" s="1008"/>
      <c r="H556" s="1008"/>
      <c r="I556" s="4309"/>
      <c r="J556" s="4309">
        <f>SUM(J4:J555)</f>
        <v>840149</v>
      </c>
      <c r="K556" s="4309"/>
      <c r="L556" s="4309"/>
      <c r="M556" s="4309"/>
      <c r="N556" s="4309"/>
      <c r="O556" s="4309"/>
      <c r="P556" s="4309"/>
      <c r="Q556" s="4309"/>
      <c r="R556" s="5137"/>
      <c r="S556" s="5137"/>
      <c r="T556" s="5138"/>
      <c r="U556" s="4309"/>
      <c r="V556" s="4309"/>
      <c r="W556" s="4309"/>
      <c r="X556" s="4850"/>
      <c r="Y556" s="4309"/>
      <c r="Z556" s="4309"/>
      <c r="AA556" s="4309"/>
      <c r="AB556" s="3563"/>
      <c r="AC556" s="4309"/>
      <c r="AD556" s="4309"/>
      <c r="AE556" s="4309"/>
      <c r="AF556" s="4309"/>
      <c r="AG556" s="4309"/>
      <c r="AH556" s="5139">
        <f t="shared" ref="AH556:BJ556" si="328">SUM(AH4:AH555)</f>
        <v>0</v>
      </c>
      <c r="AI556" s="4309">
        <f t="shared" si="328"/>
        <v>589402</v>
      </c>
      <c r="AJ556" s="5139">
        <f t="shared" si="328"/>
        <v>0</v>
      </c>
      <c r="AK556" s="4309">
        <f t="shared" si="328"/>
        <v>147180</v>
      </c>
      <c r="AL556" s="4309">
        <f t="shared" si="328"/>
        <v>0</v>
      </c>
      <c r="AM556" s="4309">
        <f t="shared" si="328"/>
        <v>117748</v>
      </c>
      <c r="AN556" s="5139">
        <f t="shared" si="328"/>
        <v>0</v>
      </c>
      <c r="AO556" s="4309">
        <f t="shared" si="328"/>
        <v>642136</v>
      </c>
      <c r="AP556" s="4309">
        <f t="shared" si="328"/>
        <v>223822</v>
      </c>
      <c r="AQ556" s="5139">
        <f t="shared" si="328"/>
        <v>0</v>
      </c>
      <c r="AR556" s="5139">
        <f t="shared" si="328"/>
        <v>0</v>
      </c>
      <c r="AS556" s="4309">
        <f t="shared" si="328"/>
        <v>801836</v>
      </c>
      <c r="AT556" s="4309">
        <f t="shared" si="328"/>
        <v>60882</v>
      </c>
      <c r="AU556" s="5139">
        <f t="shared" si="328"/>
        <v>0</v>
      </c>
      <c r="AV556" s="5139">
        <f t="shared" si="328"/>
        <v>0</v>
      </c>
      <c r="AW556" s="5139">
        <f t="shared" si="328"/>
        <v>0</v>
      </c>
      <c r="AX556" s="4309">
        <f t="shared" si="328"/>
        <v>42804</v>
      </c>
      <c r="AY556" s="5139">
        <f t="shared" si="328"/>
        <v>0</v>
      </c>
      <c r="AZ556" s="5139">
        <f t="shared" si="328"/>
        <v>0</v>
      </c>
      <c r="BA556" s="4309">
        <f t="shared" si="328"/>
        <v>1063</v>
      </c>
      <c r="BB556" s="4309">
        <f t="shared" si="328"/>
        <v>0</v>
      </c>
      <c r="BC556" s="5139">
        <f t="shared" si="328"/>
        <v>0</v>
      </c>
      <c r="BD556" s="4309">
        <f t="shared" si="328"/>
        <v>0</v>
      </c>
      <c r="BE556" s="4309">
        <f t="shared" si="328"/>
        <v>0</v>
      </c>
      <c r="BF556" s="4309">
        <f t="shared" si="328"/>
        <v>0</v>
      </c>
      <c r="BG556" s="4309">
        <f t="shared" si="328"/>
        <v>120</v>
      </c>
      <c r="BH556" s="4309">
        <f t="shared" si="328"/>
        <v>151209</v>
      </c>
      <c r="BI556" s="4309">
        <f t="shared" si="328"/>
        <v>1249</v>
      </c>
      <c r="BJ556" s="4309">
        <f t="shared" si="328"/>
        <v>0</v>
      </c>
      <c r="BK556" s="4309"/>
      <c r="BL556" s="1010">
        <f t="shared" ref="BL556:BY556" si="329">SUM(BL4:BL555)</f>
        <v>15373.8892655367</v>
      </c>
      <c r="BM556" s="1010">
        <f t="shared" si="329"/>
        <v>130881</v>
      </c>
      <c r="BN556" s="1010">
        <f t="shared" si="329"/>
        <v>144371.77740113</v>
      </c>
      <c r="BO556" s="1010">
        <f t="shared" si="329"/>
        <v>144381.333333333</v>
      </c>
      <c r="BP556" s="1010">
        <f t="shared" si="329"/>
        <v>144265.733333333</v>
      </c>
      <c r="BQ556" s="1010">
        <f t="shared" si="329"/>
        <v>140438.933333333</v>
      </c>
      <c r="BR556" s="1010">
        <f t="shared" si="329"/>
        <v>142705.733333333</v>
      </c>
      <c r="BS556" s="5140">
        <f t="shared" si="329"/>
        <v>673.2</v>
      </c>
      <c r="BT556" s="5141">
        <f t="shared" si="329"/>
        <v>0</v>
      </c>
      <c r="BU556" s="5141">
        <f t="shared" si="329"/>
        <v>0</v>
      </c>
      <c r="BV556" s="5141">
        <f t="shared" si="329"/>
        <v>0</v>
      </c>
      <c r="BW556" s="5141">
        <f t="shared" si="329"/>
        <v>0</v>
      </c>
      <c r="BX556" s="5141">
        <f t="shared" si="329"/>
        <v>0</v>
      </c>
      <c r="BY556" s="5141">
        <f t="shared" si="329"/>
        <v>0</v>
      </c>
      <c r="BZ556" s="1008"/>
      <c r="CA556" s="4309"/>
      <c r="CB556" s="884"/>
      <c r="CC556" s="4334"/>
      <c r="CD556" s="4864"/>
      <c r="CE556" s="4864"/>
      <c r="CF556" s="4864"/>
    </row>
    <row r="557" s="4311" customFormat="1" ht="47" customHeight="1" spans="1:84 16286:16384">
      <c r="A557" s="4326"/>
      <c r="B557" s="1008"/>
      <c r="C557" s="1008"/>
      <c r="D557" s="4309"/>
      <c r="E557" s="4309"/>
      <c r="F557" s="1008"/>
      <c r="G557" s="1008"/>
      <c r="H557" s="1008"/>
      <c r="I557" s="4309"/>
      <c r="J557" s="4309">
        <f>SUBTOTAL(9,J5:J556)</f>
        <v>1680298</v>
      </c>
      <c r="K557" s="4309"/>
      <c r="L557" s="4309"/>
      <c r="M557" s="4309"/>
      <c r="N557" s="4309"/>
      <c r="O557" s="4309"/>
      <c r="P557" s="4309"/>
      <c r="Q557" s="4309"/>
      <c r="R557" s="5137"/>
      <c r="S557" s="5137"/>
      <c r="T557" s="5138"/>
      <c r="U557" s="4309"/>
      <c r="V557" s="4309"/>
      <c r="W557" s="4309"/>
      <c r="X557" s="4850"/>
      <c r="Y557" s="4309"/>
      <c r="Z557" s="4309"/>
      <c r="AA557" s="4309"/>
      <c r="AB557" s="3563"/>
      <c r="AC557" s="4309"/>
      <c r="AD557" s="4309"/>
      <c r="AE557" s="4309"/>
      <c r="AF557" s="4309"/>
      <c r="AG557" s="4309"/>
      <c r="AH557" s="5139"/>
      <c r="AI557" s="4309"/>
      <c r="AJ557" s="5139"/>
      <c r="AK557" s="4309"/>
      <c r="AL557" s="4309"/>
      <c r="AM557" s="4309"/>
      <c r="AN557" s="5139"/>
      <c r="AO557" s="4309"/>
      <c r="AP557" s="4309"/>
      <c r="AQ557" s="5139"/>
      <c r="AR557" s="5139"/>
      <c r="AS557" s="4309"/>
      <c r="AT557" s="4309"/>
      <c r="AU557" s="5139"/>
      <c r="AV557" s="5139"/>
      <c r="AW557" s="5139"/>
      <c r="AX557" s="4309"/>
      <c r="AY557" s="5139"/>
      <c r="AZ557" s="5139"/>
      <c r="BA557" s="4309"/>
      <c r="BB557" s="4309"/>
      <c r="BC557" s="5139"/>
      <c r="BD557" s="4309"/>
      <c r="BE557" s="4309"/>
      <c r="BF557" s="4309"/>
      <c r="BG557" s="4309"/>
      <c r="BH557" s="4309"/>
      <c r="BI557" s="4309"/>
      <c r="BJ557" s="4309"/>
      <c r="BK557" s="4309"/>
      <c r="BL557" s="1010"/>
      <c r="BM557" s="1010"/>
      <c r="BN557" s="1010"/>
      <c r="BO557" s="1010"/>
      <c r="BP557" s="1010"/>
      <c r="BQ557" s="1010"/>
      <c r="BR557" s="1010"/>
      <c r="BS557" s="1010"/>
      <c r="BT557" s="5141"/>
      <c r="BU557" s="5141"/>
      <c r="BV557" s="5141"/>
      <c r="BW557" s="5141"/>
      <c r="BX557" s="5141"/>
      <c r="BY557" s="5141"/>
      <c r="BZ557" s="1008"/>
      <c r="CA557" s="4309"/>
      <c r="CB557" s="884"/>
      <c r="CC557" s="4334"/>
      <c r="CD557" s="4333"/>
      <c r="CE557" s="4333"/>
      <c r="CF557" s="4333"/>
    </row>
    <row r="558" s="4311" customFormat="1" ht="47" customHeight="1" spans="1:84 16286:16384">
      <c r="A558" s="4326"/>
      <c r="B558" s="1008"/>
      <c r="C558" s="1008"/>
      <c r="D558" s="4309"/>
      <c r="E558" s="4309"/>
      <c r="F558" s="1008"/>
      <c r="G558" s="1008"/>
      <c r="H558" s="1008"/>
      <c r="I558" s="4309"/>
      <c r="J558" s="4309"/>
      <c r="K558" s="4309"/>
      <c r="L558" s="4309">
        <f>J247*2</f>
        <v>11320</v>
      </c>
      <c r="M558" s="4309"/>
      <c r="N558" s="4309"/>
      <c r="O558" s="4309"/>
      <c r="P558" s="4309"/>
      <c r="Q558" s="4309"/>
      <c r="R558" s="5137"/>
      <c r="S558" s="5137"/>
      <c r="T558" s="5138"/>
      <c r="U558" s="4309"/>
      <c r="V558" s="4309"/>
      <c r="W558" s="4309"/>
      <c r="X558" s="4850"/>
      <c r="Y558" s="4309"/>
      <c r="Z558" s="4309"/>
      <c r="AA558" s="4309"/>
      <c r="AB558" s="3563"/>
      <c r="AC558" s="4309"/>
      <c r="AD558" s="4309"/>
      <c r="AE558" s="4309"/>
      <c r="AF558" s="4309"/>
      <c r="AG558" s="4309"/>
      <c r="AH558" s="5139"/>
      <c r="AI558" s="4309"/>
      <c r="AJ558" s="5139"/>
      <c r="AK558" s="4309"/>
      <c r="AL558" s="4309"/>
      <c r="AM558" s="4309"/>
      <c r="AN558" s="5139"/>
      <c r="AO558" s="4309"/>
      <c r="AP558" s="4309"/>
      <c r="AQ558" s="5139"/>
      <c r="AR558" s="5139"/>
      <c r="AS558" s="4309"/>
      <c r="AT558" s="4309"/>
      <c r="AU558" s="5139"/>
      <c r="AV558" s="5139"/>
      <c r="AW558" s="5139"/>
      <c r="AX558" s="4309"/>
      <c r="AY558" s="5139"/>
      <c r="AZ558" s="5139"/>
      <c r="BA558" s="4309"/>
      <c r="BB558" s="4309"/>
      <c r="BC558" s="5139"/>
      <c r="BD558" s="4309"/>
      <c r="BE558" s="4309"/>
      <c r="BF558" s="4309"/>
      <c r="BG558" s="4309"/>
      <c r="BH558" s="4309"/>
      <c r="BI558" s="4309"/>
      <c r="BJ558" s="4309"/>
      <c r="BK558" s="4309"/>
      <c r="BL558" s="1010"/>
      <c r="BM558" s="1010"/>
      <c r="BN558" s="1010"/>
      <c r="BO558" s="1010"/>
      <c r="BP558" s="1010"/>
      <c r="BQ558" s="1010"/>
      <c r="BR558" s="1010"/>
      <c r="BS558" s="1010"/>
      <c r="BT558" s="5141"/>
      <c r="BU558" s="5141"/>
      <c r="BV558" s="5141"/>
      <c r="BW558" s="5141"/>
      <c r="BX558" s="5141"/>
      <c r="BY558" s="5141"/>
      <c r="BZ558" s="1008"/>
      <c r="CA558" s="4309"/>
      <c r="CB558" s="884"/>
      <c r="CC558" s="4334"/>
      <c r="CD558" s="4333"/>
      <c r="CE558" s="4333"/>
      <c r="CF558" s="4333"/>
    </row>
    <row r="559" s="4311" customFormat="1" ht="47" customHeight="1" spans="1:84 16286:16384">
      <c r="A559" s="4326"/>
      <c r="B559" s="1008"/>
      <c r="C559" s="1008"/>
      <c r="D559" s="4309"/>
      <c r="E559" s="4309"/>
      <c r="F559" s="1008"/>
      <c r="G559" s="1008"/>
      <c r="H559" s="1008"/>
      <c r="I559" s="4309"/>
      <c r="J559" s="4309"/>
      <c r="K559" s="4309"/>
      <c r="L559" s="4309"/>
      <c r="M559" s="4309"/>
      <c r="N559" s="4309"/>
      <c r="O559" s="4309"/>
      <c r="P559" s="4309"/>
      <c r="Q559" s="4309"/>
      <c r="R559" s="5137"/>
      <c r="S559" s="5137"/>
      <c r="T559" s="5138"/>
      <c r="U559" s="4309"/>
      <c r="V559" s="4309"/>
      <c r="W559" s="4309"/>
      <c r="X559" s="4850"/>
      <c r="Y559" s="4309"/>
      <c r="Z559" s="4309"/>
      <c r="AA559" s="4309"/>
      <c r="AB559" s="3563"/>
      <c r="AC559" s="4309"/>
      <c r="AD559" s="4309"/>
      <c r="AE559" s="4309"/>
      <c r="AF559" s="4309"/>
      <c r="AG559" s="4309"/>
      <c r="AH559" s="5139"/>
      <c r="AI559" s="4309"/>
      <c r="AJ559" s="5139"/>
      <c r="AK559" s="4309"/>
      <c r="AL559" s="4309"/>
      <c r="AM559" s="4309"/>
      <c r="AN559" s="5139"/>
      <c r="AO559" s="4309"/>
      <c r="AP559" s="4309"/>
      <c r="AQ559" s="5139"/>
      <c r="AR559" s="5139"/>
      <c r="AS559" s="4309"/>
      <c r="AT559" s="4309"/>
      <c r="AU559" s="5139"/>
      <c r="AV559" s="5139"/>
      <c r="AW559" s="5139"/>
      <c r="AX559" s="4309"/>
      <c r="AY559" s="5139"/>
      <c r="AZ559" s="5139"/>
      <c r="BA559" s="4309"/>
      <c r="BB559" s="4309"/>
      <c r="BC559" s="5139"/>
      <c r="BD559" s="4309"/>
      <c r="BE559" s="4309"/>
      <c r="BF559" s="4309"/>
      <c r="BG559" s="4309"/>
      <c r="BH559" s="4309"/>
      <c r="BI559" s="4309"/>
      <c r="BJ559" s="4309"/>
      <c r="BK559" s="4309"/>
      <c r="BL559" s="1010"/>
      <c r="BM559" s="1010"/>
      <c r="BN559" s="1010"/>
      <c r="BO559" s="1010"/>
      <c r="BP559" s="1010"/>
      <c r="BQ559" s="1010"/>
      <c r="BR559" s="1010"/>
      <c r="BS559" s="1010"/>
      <c r="BT559" s="5141"/>
      <c r="BU559" s="5141"/>
      <c r="BV559" s="5141"/>
      <c r="BW559" s="5141"/>
      <c r="BX559" s="5141"/>
      <c r="BY559" s="5141"/>
      <c r="BZ559" s="1008"/>
      <c r="CA559" s="4309"/>
      <c r="CB559" s="884"/>
      <c r="CC559" s="4334"/>
      <c r="CD559" s="4333"/>
      <c r="CE559" s="4333"/>
      <c r="CF559" s="4333"/>
    </row>
    <row r="560" s="4311" customFormat="1" ht="47" customHeight="1" spans="1:84 16286:16384">
      <c r="A560" s="4326"/>
      <c r="B560" s="1008"/>
      <c r="C560" s="1008"/>
      <c r="D560" s="4309"/>
      <c r="E560" s="4309"/>
      <c r="F560" s="1008"/>
      <c r="G560" s="1008"/>
      <c r="H560" s="1008"/>
      <c r="I560" s="4309"/>
      <c r="J560" s="4309"/>
      <c r="K560" s="4309"/>
      <c r="L560" s="4309"/>
      <c r="M560" s="4309"/>
      <c r="N560" s="4309"/>
      <c r="O560" s="4309"/>
      <c r="P560" s="4309"/>
      <c r="Q560" s="4309"/>
      <c r="R560" s="5137"/>
      <c r="S560" s="5137"/>
      <c r="T560" s="5138"/>
      <c r="U560" s="4309"/>
      <c r="V560" s="4309"/>
      <c r="W560" s="4309"/>
      <c r="X560" s="4850"/>
      <c r="Y560" s="4309"/>
      <c r="Z560" s="4309"/>
      <c r="AA560" s="4309"/>
      <c r="AB560" s="3563"/>
      <c r="AC560" s="4309"/>
      <c r="AD560" s="4309"/>
      <c r="AE560" s="4309">
        <f>SUBTOTAL(9,AE158:AE352)</f>
        <v>850132.2039</v>
      </c>
      <c r="AF560" s="4309"/>
      <c r="AG560" s="4309"/>
      <c r="AH560" s="5139"/>
      <c r="AI560" s="4309"/>
      <c r="AJ560" s="5139"/>
      <c r="AK560" s="4309"/>
      <c r="AL560" s="4309"/>
      <c r="AM560" s="4309"/>
      <c r="AN560" s="5139"/>
      <c r="AO560" s="4309"/>
      <c r="AP560" s="4309"/>
      <c r="AQ560" s="5139"/>
      <c r="AR560" s="5139"/>
      <c r="AS560" s="4309"/>
      <c r="AT560" s="4309"/>
      <c r="AU560" s="5139"/>
      <c r="AV560" s="5139"/>
      <c r="AW560" s="5139"/>
      <c r="AX560" s="4309"/>
      <c r="AY560" s="5139"/>
      <c r="AZ560" s="5139"/>
      <c r="BA560" s="4309"/>
      <c r="BB560" s="4309"/>
      <c r="BC560" s="5139"/>
      <c r="BD560" s="4309"/>
      <c r="BE560" s="4309"/>
      <c r="BF560" s="4309"/>
      <c r="BG560" s="4309"/>
      <c r="BH560" s="4309"/>
      <c r="BI560" s="4309"/>
      <c r="BJ560" s="4309"/>
      <c r="BK560" s="4309"/>
      <c r="BL560" s="1010"/>
      <c r="BM560" s="1010"/>
      <c r="BN560" s="1010"/>
      <c r="BO560" s="1010"/>
      <c r="BP560" s="1010"/>
      <c r="BQ560" s="1010"/>
      <c r="BR560" s="1010"/>
      <c r="BS560" s="1010"/>
      <c r="BT560" s="5141"/>
      <c r="BU560" s="5141"/>
      <c r="BV560" s="5141"/>
      <c r="BW560" s="5141"/>
      <c r="BX560" s="5141"/>
      <c r="BY560" s="5141"/>
      <c r="BZ560" s="1008"/>
      <c r="CA560" s="4309"/>
      <c r="CB560" s="884"/>
      <c r="CC560" s="4334"/>
      <c r="CD560" s="4333"/>
      <c r="CE560" s="4333"/>
      <c r="CF560" s="4333"/>
    </row>
    <row r="561" s="4311" customFormat="1" spans="1:84">
      <c r="A561" s="4326"/>
      <c r="B561" s="1008"/>
      <c r="C561" s="1008"/>
      <c r="D561" s="4309"/>
      <c r="E561" s="4309"/>
      <c r="F561" s="1008"/>
      <c r="G561" s="4309"/>
      <c r="H561" s="1008"/>
      <c r="I561" s="4309"/>
      <c r="J561" s="4309"/>
      <c r="K561" s="4309"/>
      <c r="L561" s="4309"/>
      <c r="M561" s="4309"/>
      <c r="N561" s="4309"/>
      <c r="O561" s="4327"/>
      <c r="P561" s="4309"/>
      <c r="Q561" s="1008"/>
      <c r="R561" s="5137"/>
      <c r="S561" s="5137"/>
      <c r="T561" s="5138"/>
      <c r="U561" s="4329"/>
      <c r="V561" s="4309"/>
      <c r="W561" s="4309"/>
      <c r="X561" s="4840"/>
      <c r="Y561" s="5142"/>
      <c r="Z561" s="4309"/>
      <c r="AA561" s="4309"/>
      <c r="AB561" s="3578"/>
      <c r="AC561" s="4329"/>
      <c r="AD561" s="5143"/>
      <c r="AE561" s="5143">
        <f>AE560*7.75</f>
        <v>6588524.580225</v>
      </c>
      <c r="AF561" s="4329"/>
      <c r="AG561" s="4329"/>
      <c r="AH561" s="4870"/>
      <c r="AI561" s="1008"/>
      <c r="AJ561" s="4871"/>
      <c r="AK561" s="4872"/>
      <c r="AL561" s="4872"/>
      <c r="AM561" s="4873"/>
      <c r="AN561" s="4874"/>
      <c r="AO561" s="4875"/>
      <c r="AP561" s="4876"/>
      <c r="AQ561" s="4877"/>
      <c r="AR561" s="4877"/>
      <c r="AS561" s="4332"/>
      <c r="AT561" s="4332"/>
      <c r="AU561" s="4878"/>
      <c r="AV561" s="4878"/>
      <c r="AW561" s="4878"/>
      <c r="AX561" s="4876"/>
      <c r="AY561" s="4878"/>
      <c r="AZ561" s="4878"/>
      <c r="BA561" s="4876"/>
      <c r="BB561" s="4876"/>
      <c r="BC561" s="4878"/>
      <c r="BD561" s="4876"/>
      <c r="BE561" s="4876"/>
      <c r="BF561" s="4876"/>
      <c r="BG561" s="4876"/>
      <c r="BH561" s="4876"/>
      <c r="BI561" s="4876"/>
      <c r="BJ561" s="4876"/>
      <c r="BK561" s="4332"/>
      <c r="BL561" s="4332"/>
      <c r="BM561" s="4332"/>
      <c r="BN561" s="4332"/>
      <c r="BO561" s="4332"/>
      <c r="BP561" s="4332"/>
      <c r="BQ561" s="4332"/>
      <c r="BR561" s="4332"/>
      <c r="BS561" s="1008"/>
      <c r="BT561" s="1008"/>
      <c r="BU561" s="1008"/>
      <c r="BV561" s="1009"/>
      <c r="BW561" s="1010"/>
      <c r="BX561" s="1010"/>
      <c r="BY561" s="1010"/>
      <c r="BZ561" s="1008"/>
      <c r="CA561" s="4309"/>
      <c r="CB561" s="884"/>
      <c r="CC561" s="4334"/>
      <c r="CD561" s="4333"/>
      <c r="CE561" s="4333"/>
      <c r="CF561" s="4333"/>
    </row>
    <row r="562" spans="1:84">
      <c r="I562" s="1008"/>
      <c r="J562" s="1008"/>
      <c r="R562" s="5137"/>
      <c r="S562" s="5137"/>
      <c r="T562" s="5138"/>
      <c r="X562" s="4840"/>
      <c r="Y562" s="5142"/>
    </row>
    <row r="563" spans="1:84">
      <c r="I563" s="1008"/>
      <c r="R563" s="5137"/>
      <c r="S563" s="5137"/>
      <c r="T563" s="5138"/>
      <c r="X563" s="4840"/>
      <c r="Y563" s="5142"/>
    </row>
    <row r="564" spans="1:84">
      <c r="I564" s="1008"/>
      <c r="R564" s="5137"/>
      <c r="S564" s="5137"/>
      <c r="T564" s="5138"/>
      <c r="X564" s="4840"/>
      <c r="Y564" s="5142"/>
    </row>
    <row r="565" spans="1:84">
      <c r="R565" s="5137"/>
      <c r="S565" s="5137"/>
      <c r="T565" s="5138"/>
      <c r="X565" s="4840"/>
      <c r="Y565" s="5142"/>
    </row>
    <row r="566" spans="1:84">
      <c r="I566" s="1008"/>
      <c r="R566" s="5137"/>
      <c r="S566" s="5137"/>
      <c r="T566" s="5138"/>
      <c r="X566" s="4840"/>
      <c r="Y566" s="5142"/>
    </row>
    <row r="567" spans="1:84">
      <c r="R567" s="5137"/>
      <c r="S567" s="5137"/>
      <c r="T567" s="5138"/>
      <c r="X567" s="4840"/>
      <c r="Y567" s="5142"/>
    </row>
    <row r="568" spans="1:84">
      <c r="R568" s="5137"/>
      <c r="S568" s="5137"/>
      <c r="T568" s="5138"/>
      <c r="X568" s="4840"/>
      <c r="Y568" s="5142"/>
    </row>
    <row r="569" spans="1:84">
      <c r="R569" s="5137"/>
      <c r="S569" s="5137"/>
      <c r="T569" s="5138"/>
      <c r="X569" s="4840"/>
      <c r="Y569" s="5142"/>
    </row>
    <row r="570" spans="1:84">
      <c r="R570" s="5137"/>
      <c r="S570" s="5137"/>
      <c r="T570" s="5138"/>
      <c r="X570" s="4840"/>
      <c r="Y570" s="5142"/>
    </row>
    <row r="571" spans="1:84">
      <c r="R571" s="5137"/>
      <c r="S571" s="5137"/>
      <c r="T571" s="5138"/>
      <c r="X571" s="4840"/>
      <c r="Y571" s="5142"/>
    </row>
    <row r="572" spans="1:84">
      <c r="R572" s="5137"/>
      <c r="S572" s="5137"/>
      <c r="T572" s="5138"/>
      <c r="X572" s="4840"/>
      <c r="Y572" s="5142"/>
    </row>
    <row r="573" spans="1:84">
      <c r="I573" s="1008"/>
      <c r="J573" s="1008"/>
      <c r="R573" s="5137"/>
      <c r="S573" s="5137"/>
      <c r="T573" s="5138"/>
      <c r="X573" s="4840"/>
      <c r="Y573" s="5142"/>
    </row>
    <row r="574" spans="1:84">
      <c r="R574" s="5137"/>
      <c r="S574" s="5137"/>
      <c r="T574" s="5138"/>
      <c r="X574" s="4840"/>
      <c r="Y574" s="5142"/>
    </row>
    <row r="575" spans="1:84">
      <c r="R575" s="5137"/>
      <c r="S575" s="5137"/>
      <c r="T575" s="5138"/>
      <c r="X575" s="4840"/>
      <c r="Y575" s="5142"/>
    </row>
    <row r="576" spans="1:84">
      <c r="R576" s="5137"/>
      <c r="S576" s="5137"/>
      <c r="T576" s="5138"/>
      <c r="X576" s="4840"/>
      <c r="Y576" s="5142"/>
    </row>
    <row r="577" spans="9:25">
      <c r="R577" s="5137"/>
      <c r="S577" s="5137"/>
      <c r="T577" s="5138"/>
      <c r="X577" s="4840"/>
      <c r="Y577" s="5142"/>
    </row>
    <row r="578" spans="9:25">
      <c r="I578" s="1008"/>
      <c r="J578" s="1008"/>
      <c r="R578" s="5137"/>
      <c r="S578" s="5137"/>
      <c r="T578" s="5138"/>
      <c r="X578" s="4840"/>
      <c r="Y578" s="5142"/>
    </row>
    <row r="579" spans="9:25">
      <c r="R579" s="5137"/>
      <c r="S579" s="5137"/>
      <c r="T579" s="5138"/>
      <c r="X579" s="4840"/>
      <c r="Y579" s="5142"/>
    </row>
    <row r="580" spans="9:25">
      <c r="R580" s="5137"/>
      <c r="S580" s="5137"/>
      <c r="T580" s="5138"/>
      <c r="X580" s="4840"/>
      <c r="Y580" s="5142"/>
    </row>
    <row r="581" spans="9:25">
      <c r="I581" s="1008"/>
      <c r="J581" s="1008"/>
      <c r="R581" s="5137"/>
      <c r="S581" s="5137"/>
      <c r="T581" s="5138"/>
      <c r="X581" s="4840"/>
      <c r="Y581" s="5142"/>
    </row>
    <row r="582" spans="9:25">
      <c r="R582" s="5137"/>
      <c r="S582" s="5137"/>
      <c r="T582" s="5138"/>
      <c r="X582" s="4840"/>
      <c r="Y582" s="5142"/>
    </row>
    <row r="583" spans="9:25">
      <c r="I583" s="1008"/>
      <c r="R583" s="5137"/>
      <c r="S583" s="5137"/>
      <c r="T583" s="5138"/>
      <c r="X583" s="4840"/>
      <c r="Y583" s="5142"/>
    </row>
    <row r="584" spans="9:25">
      <c r="R584" s="5137"/>
      <c r="S584" s="5137"/>
      <c r="T584" s="5138"/>
      <c r="X584" s="4840"/>
      <c r="Y584" s="5142"/>
    </row>
    <row r="585" spans="9:25">
      <c r="R585" s="5137"/>
      <c r="S585" s="5137"/>
      <c r="T585" s="5138"/>
      <c r="X585" s="4840"/>
      <c r="Y585" s="5142"/>
    </row>
    <row r="586" spans="9:25">
      <c r="R586" s="5137"/>
      <c r="S586" s="5137"/>
      <c r="T586" s="5138"/>
      <c r="X586" s="4840"/>
      <c r="Y586" s="5142"/>
    </row>
    <row r="587" spans="9:25">
      <c r="R587" s="5137"/>
      <c r="S587" s="5137"/>
      <c r="T587" s="5138"/>
      <c r="X587" s="4840"/>
      <c r="Y587" s="5142"/>
    </row>
    <row r="588" spans="9:25">
      <c r="R588" s="5137"/>
      <c r="S588" s="5137"/>
      <c r="T588" s="5138"/>
      <c r="X588" s="4840"/>
      <c r="Y588" s="5142"/>
    </row>
    <row r="589" spans="9:25">
      <c r="R589" s="5137"/>
      <c r="S589" s="5137"/>
      <c r="T589" s="5138"/>
      <c r="X589" s="4840"/>
      <c r="Y589" s="5142"/>
    </row>
    <row r="590" spans="9:25">
      <c r="R590" s="5137"/>
      <c r="S590" s="5137"/>
      <c r="T590" s="5138"/>
      <c r="X590" s="4840"/>
      <c r="Y590" s="5142"/>
    </row>
    <row r="591" spans="9:25">
      <c r="R591" s="5137"/>
      <c r="S591" s="5137"/>
      <c r="T591" s="5138"/>
      <c r="X591" s="4840"/>
      <c r="Y591" s="5142"/>
    </row>
    <row r="592" spans="9:25">
      <c r="R592" s="5137"/>
      <c r="S592" s="5137"/>
      <c r="T592" s="5138"/>
      <c r="X592" s="4840"/>
      <c r="Y592" s="5142"/>
    </row>
    <row r="593" spans="18:25">
      <c r="R593" s="5137"/>
      <c r="S593" s="5137"/>
      <c r="T593" s="5138"/>
      <c r="X593" s="4840"/>
      <c r="Y593" s="5142"/>
    </row>
    <row r="594" spans="18:25">
      <c r="R594" s="5137"/>
      <c r="S594" s="5137"/>
      <c r="T594" s="5138"/>
      <c r="X594" s="4840"/>
      <c r="Y594" s="5142"/>
    </row>
    <row r="595" spans="18:25">
      <c r="R595" s="5137"/>
      <c r="S595" s="5137"/>
      <c r="T595" s="5138"/>
      <c r="X595" s="4840"/>
      <c r="Y595" s="5142"/>
    </row>
    <row r="596" spans="18:25">
      <c r="R596" s="5137"/>
      <c r="S596" s="5137"/>
      <c r="T596" s="5138"/>
      <c r="X596" s="4840"/>
      <c r="Y596" s="5142"/>
    </row>
    <row r="597" spans="18:25">
      <c r="R597" s="5137"/>
      <c r="S597" s="5137"/>
      <c r="T597" s="5138"/>
      <c r="X597" s="4840"/>
      <c r="Y597" s="5142"/>
    </row>
    <row r="598" spans="18:25">
      <c r="R598" s="5137"/>
      <c r="S598" s="5137"/>
      <c r="T598" s="5138"/>
      <c r="X598" s="4840"/>
      <c r="Y598" s="5142"/>
    </row>
    <row r="599" spans="18:25">
      <c r="R599" s="5137"/>
      <c r="S599" s="5137"/>
      <c r="T599" s="5138"/>
      <c r="X599" s="4840"/>
      <c r="Y599" s="5142"/>
    </row>
    <row r="600" spans="18:25">
      <c r="R600" s="5137"/>
      <c r="S600" s="5137"/>
      <c r="T600" s="5138"/>
      <c r="X600" s="4840"/>
      <c r="Y600" s="5142"/>
    </row>
    <row r="601" spans="18:25">
      <c r="R601" s="5137"/>
      <c r="S601" s="5137"/>
      <c r="T601" s="5138"/>
      <c r="X601" s="4840"/>
      <c r="Y601" s="5142"/>
    </row>
    <row r="602" spans="18:25">
      <c r="R602" s="5137"/>
      <c r="S602" s="5137"/>
      <c r="T602" s="5138"/>
      <c r="X602" s="4840"/>
      <c r="Y602" s="5142"/>
    </row>
    <row r="603" spans="18:25">
      <c r="R603" s="5137"/>
      <c r="S603" s="5137"/>
      <c r="T603" s="5138"/>
      <c r="X603" s="4840"/>
      <c r="Y603" s="5142"/>
    </row>
    <row r="604" spans="18:25">
      <c r="R604" s="5137"/>
      <c r="S604" s="5137"/>
      <c r="T604" s="5138"/>
      <c r="X604" s="4840"/>
      <c r="Y604" s="5142"/>
    </row>
    <row r="605" spans="18:25">
      <c r="R605" s="5137"/>
      <c r="S605" s="5137"/>
      <c r="T605" s="5138"/>
      <c r="X605" s="4840"/>
      <c r="Y605" s="5142"/>
    </row>
    <row r="606" spans="18:25">
      <c r="R606" s="5137"/>
      <c r="S606" s="5137"/>
      <c r="T606" s="5138"/>
      <c r="X606" s="4840"/>
      <c r="Y606" s="5142"/>
    </row>
    <row r="607" spans="18:25">
      <c r="R607" s="5137"/>
      <c r="S607" s="5137"/>
      <c r="T607" s="5138"/>
      <c r="X607" s="4840"/>
      <c r="Y607" s="5142"/>
    </row>
    <row r="608" spans="18:25">
      <c r="R608" s="5137"/>
      <c r="S608" s="5137"/>
      <c r="T608" s="5138"/>
      <c r="X608" s="4840"/>
      <c r="Y608" s="5142"/>
    </row>
    <row r="609" spans="18:25">
      <c r="R609" s="5137"/>
      <c r="S609" s="5137"/>
      <c r="T609" s="5138"/>
      <c r="X609" s="4840"/>
      <c r="Y609" s="5142"/>
    </row>
    <row r="610" spans="18:25">
      <c r="R610" s="5137"/>
      <c r="S610" s="5137"/>
      <c r="T610" s="5138"/>
      <c r="X610" s="4840"/>
      <c r="Y610" s="5142"/>
    </row>
    <row r="611" spans="18:25">
      <c r="R611" s="5137"/>
      <c r="S611" s="5137"/>
      <c r="T611" s="5138"/>
      <c r="X611" s="4840"/>
      <c r="Y611" s="5142"/>
    </row>
    <row r="612" spans="18:25">
      <c r="R612" s="5137"/>
      <c r="S612" s="5137"/>
      <c r="T612" s="5138"/>
      <c r="X612" s="4840"/>
      <c r="Y612" s="5142"/>
    </row>
    <row r="613" spans="18:25">
      <c r="R613" s="5137"/>
      <c r="S613" s="5137"/>
      <c r="T613" s="5138"/>
      <c r="X613" s="4840"/>
      <c r="Y613" s="5142"/>
    </row>
    <row r="614" spans="18:25">
      <c r="R614" s="5137"/>
      <c r="S614" s="5137"/>
      <c r="T614" s="5138"/>
      <c r="X614" s="4840"/>
      <c r="Y614" s="5142"/>
    </row>
    <row r="615" spans="18:25">
      <c r="R615" s="5137"/>
      <c r="S615" s="5137"/>
      <c r="T615" s="5138"/>
      <c r="X615" s="4840"/>
      <c r="Y615" s="5142"/>
    </row>
    <row r="616" spans="18:25">
      <c r="R616" s="5137"/>
      <c r="S616" s="5137"/>
      <c r="T616" s="5138"/>
      <c r="X616" s="4840"/>
      <c r="Y616" s="5142"/>
    </row>
    <row r="617" spans="18:25">
      <c r="R617" s="5137"/>
      <c r="S617" s="5137"/>
      <c r="T617" s="5138"/>
      <c r="X617" s="4840"/>
      <c r="Y617" s="5142"/>
    </row>
    <row r="618" spans="18:25">
      <c r="R618" s="5137"/>
      <c r="S618" s="5137"/>
      <c r="T618" s="5138"/>
      <c r="X618" s="4840"/>
      <c r="Y618" s="5142"/>
    </row>
    <row r="619" spans="18:25">
      <c r="R619" s="5137"/>
      <c r="S619" s="5137"/>
      <c r="T619" s="5138"/>
      <c r="X619" s="4840"/>
      <c r="Y619" s="5142"/>
    </row>
    <row r="620" spans="18:25">
      <c r="R620" s="5137"/>
      <c r="S620" s="5137"/>
      <c r="T620" s="5138"/>
      <c r="X620" s="4840"/>
      <c r="Y620" s="5142"/>
    </row>
    <row r="621" spans="18:25">
      <c r="R621" s="5137"/>
      <c r="S621" s="5137"/>
      <c r="T621" s="5138"/>
      <c r="X621" s="4840"/>
      <c r="Y621" s="5142"/>
    </row>
    <row r="622" spans="18:25">
      <c r="R622" s="5137"/>
      <c r="S622" s="5137"/>
      <c r="T622" s="5138"/>
      <c r="X622" s="4840"/>
      <c r="Y622" s="5142"/>
    </row>
    <row r="623" spans="18:25">
      <c r="R623" s="5137"/>
      <c r="S623" s="5137"/>
      <c r="T623" s="5138"/>
      <c r="X623" s="4840"/>
      <c r="Y623" s="5142"/>
    </row>
    <row r="624" spans="18:25">
      <c r="R624" s="5137"/>
      <c r="S624" s="5137"/>
      <c r="T624" s="5138"/>
      <c r="X624" s="4840"/>
      <c r="Y624" s="5142"/>
    </row>
    <row r="625" spans="18:25">
      <c r="R625" s="5137"/>
      <c r="S625" s="5137"/>
      <c r="T625" s="5138"/>
      <c r="X625" s="4840"/>
      <c r="Y625" s="5142"/>
    </row>
    <row r="626" spans="18:25">
      <c r="R626" s="5137"/>
      <c r="S626" s="5137"/>
      <c r="T626" s="5138"/>
      <c r="X626" s="4840"/>
      <c r="Y626" s="5142"/>
    </row>
    <row r="627" spans="18:25">
      <c r="R627" s="5137"/>
      <c r="S627" s="5137"/>
      <c r="T627" s="5138"/>
      <c r="X627" s="4728"/>
      <c r="Y627" s="5144"/>
    </row>
    <row r="628" spans="18:25">
      <c r="R628" s="5137"/>
      <c r="S628" s="5137"/>
      <c r="T628" s="5138"/>
      <c r="X628" s="4728"/>
      <c r="Y628" s="5144"/>
    </row>
    <row r="629" spans="18:25">
      <c r="R629" s="5137"/>
      <c r="S629" s="5137"/>
      <c r="T629" s="5138"/>
      <c r="X629" s="5145"/>
      <c r="Y629" s="5146"/>
    </row>
    <row r="630" spans="18:25">
      <c r="R630" s="5137"/>
      <c r="S630" s="5137"/>
      <c r="T630" s="5138"/>
      <c r="X630" s="4728"/>
      <c r="Y630" s="5144"/>
    </row>
    <row r="631" spans="18:25">
      <c r="R631" s="5137"/>
      <c r="S631" s="5137"/>
      <c r="T631" s="5138"/>
      <c r="X631" s="4728"/>
      <c r="Y631" s="5144"/>
    </row>
    <row r="632" spans="18:25">
      <c r="R632" s="5137"/>
      <c r="S632" s="5137"/>
      <c r="T632" s="5138"/>
      <c r="X632" s="4728"/>
      <c r="Y632" s="5144"/>
    </row>
    <row r="633" spans="18:25">
      <c r="R633" s="5137"/>
      <c r="S633" s="5137"/>
      <c r="T633" s="5138"/>
      <c r="X633" s="4728"/>
      <c r="Y633" s="5144"/>
    </row>
    <row r="634" spans="18:25">
      <c r="R634" s="5137"/>
      <c r="S634" s="5137"/>
      <c r="T634" s="5138"/>
      <c r="X634" s="4728"/>
      <c r="Y634" s="5144"/>
    </row>
    <row r="635" spans="18:25">
      <c r="R635" s="5137"/>
      <c r="S635" s="5137"/>
      <c r="T635" s="5138"/>
      <c r="X635" s="5147"/>
      <c r="Y635" s="5148"/>
    </row>
    <row r="636" spans="18:25">
      <c r="R636" s="5137"/>
      <c r="S636" s="5137"/>
      <c r="T636" s="5138"/>
      <c r="X636" s="4728"/>
      <c r="Y636" s="5144"/>
    </row>
    <row r="637" spans="18:25">
      <c r="R637" s="5137"/>
      <c r="S637" s="5137"/>
      <c r="T637" s="5138"/>
      <c r="X637" s="4728"/>
      <c r="Y637" s="5144"/>
    </row>
    <row r="638" spans="18:25">
      <c r="R638" s="5137"/>
      <c r="S638" s="5137"/>
      <c r="T638" s="5138"/>
      <c r="X638" s="4728"/>
      <c r="Y638" s="5144"/>
    </row>
    <row r="639" spans="18:25">
      <c r="R639" s="5137"/>
      <c r="S639" s="5137"/>
      <c r="T639" s="5138"/>
      <c r="X639" s="4728"/>
      <c r="Y639" s="5144"/>
    </row>
    <row r="640" spans="18:25">
      <c r="R640" s="5137"/>
      <c r="S640" s="5137"/>
      <c r="T640" s="5138"/>
      <c r="X640" s="4728"/>
      <c r="Y640" s="5144"/>
    </row>
    <row r="641" spans="18:84">
      <c r="R641" s="5137"/>
      <c r="S641" s="5137"/>
      <c r="T641" s="5138"/>
      <c r="X641" s="4728"/>
      <c r="Y641" s="5144"/>
    </row>
    <row r="642" spans="18:84">
      <c r="R642" s="5137"/>
      <c r="S642" s="5137"/>
      <c r="T642" s="5138"/>
      <c r="X642" s="4728"/>
      <c r="Y642" s="5144"/>
    </row>
    <row r="643" spans="18:84">
      <c r="R643" s="5137"/>
      <c r="S643" s="5137"/>
      <c r="T643" s="5138"/>
      <c r="X643" s="4728"/>
      <c r="Y643" s="5144"/>
    </row>
    <row r="644" spans="18:84">
      <c r="R644" s="5137"/>
      <c r="S644" s="5137"/>
      <c r="T644" s="5138"/>
      <c r="X644" s="4728"/>
      <c r="Y644" s="5144"/>
    </row>
    <row r="645" spans="18:84">
      <c r="R645" s="5137"/>
      <c r="S645" s="5137"/>
      <c r="T645" s="5138"/>
      <c r="X645" s="4728"/>
      <c r="Y645" s="5144"/>
    </row>
    <row r="646" spans="18:84">
      <c r="R646" s="5137"/>
      <c r="S646" s="5137"/>
      <c r="T646" s="5138"/>
      <c r="X646" s="5149"/>
      <c r="Y646" s="5150"/>
    </row>
    <row r="647" spans="18:84">
      <c r="R647" s="5137"/>
      <c r="S647" s="5137"/>
      <c r="T647" s="5138"/>
      <c r="X647" s="5149"/>
      <c r="Y647" s="5150"/>
    </row>
    <row r="648" spans="18:84">
      <c r="R648" s="5137"/>
      <c r="S648" s="5137"/>
      <c r="T648" s="5138"/>
      <c r="X648" s="5151"/>
      <c r="Y648" s="5152"/>
      <c r="CD648" s="3572"/>
      <c r="CE648" s="3572"/>
      <c r="CF648" s="3572"/>
    </row>
    <row r="649" spans="18:84">
      <c r="R649" s="5137"/>
      <c r="S649" s="5137"/>
      <c r="T649" s="5138"/>
      <c r="X649" s="4728"/>
      <c r="Y649" s="5144"/>
    </row>
    <row r="650" spans="18:84">
      <c r="R650" s="5153"/>
      <c r="S650" s="5137"/>
      <c r="T650" s="5138"/>
      <c r="X650" s="4728"/>
      <c r="Y650" s="5144"/>
    </row>
    <row r="651" spans="18:84">
      <c r="R651" s="5153"/>
      <c r="S651" s="5137"/>
      <c r="T651" s="5138"/>
      <c r="X651" s="4728"/>
      <c r="Y651" s="5144"/>
    </row>
    <row r="652" spans="18:84">
      <c r="R652" s="5153"/>
      <c r="S652" s="5137"/>
      <c r="T652" s="5138"/>
      <c r="X652" s="4728"/>
      <c r="Y652" s="5144"/>
    </row>
    <row r="653" spans="18:84">
      <c r="R653" s="5153"/>
      <c r="S653" s="5137"/>
      <c r="T653" s="5138"/>
      <c r="X653" s="5145"/>
      <c r="Y653" s="5146"/>
    </row>
    <row r="654" spans="18:84">
      <c r="R654" s="5153"/>
      <c r="S654" s="5137"/>
      <c r="T654" s="5138"/>
      <c r="X654" s="5145"/>
      <c r="Y654" s="5146"/>
    </row>
    <row r="655" spans="18:84">
      <c r="R655" s="5153"/>
      <c r="S655" s="5137"/>
      <c r="T655" s="5138"/>
      <c r="X655" s="5145"/>
      <c r="Y655" s="5146"/>
    </row>
    <row r="656" spans="18:84">
      <c r="R656" s="5153"/>
      <c r="S656" s="5137"/>
      <c r="T656" s="5138"/>
      <c r="X656" s="5145"/>
      <c r="Y656" s="5146"/>
    </row>
    <row r="657" spans="18:25">
      <c r="R657" s="5153"/>
      <c r="S657" s="5137"/>
      <c r="T657" s="5138"/>
      <c r="X657" s="5145"/>
      <c r="Y657" s="5146"/>
    </row>
    <row r="658" spans="18:25">
      <c r="R658" s="5153"/>
      <c r="S658" s="5137"/>
      <c r="T658" s="5138"/>
      <c r="X658" s="5145"/>
      <c r="Y658" s="5146"/>
    </row>
    <row r="659" spans="18:25">
      <c r="R659" s="5153"/>
      <c r="S659" s="5137"/>
      <c r="T659" s="5138"/>
      <c r="X659" s="5145"/>
      <c r="Y659" s="5146"/>
    </row>
    <row r="660" spans="18:25">
      <c r="R660" s="5153"/>
      <c r="S660" s="5153"/>
      <c r="T660" s="5154"/>
      <c r="X660" s="5145"/>
      <c r="Y660" s="5146"/>
    </row>
    <row r="661" spans="18:25">
      <c r="R661" s="5153"/>
      <c r="S661" s="5153"/>
      <c r="T661" s="5154"/>
      <c r="X661" s="5145"/>
      <c r="Y661" s="5146"/>
    </row>
    <row r="662" spans="18:25">
      <c r="R662" s="5153"/>
      <c r="S662" s="5153"/>
      <c r="T662" s="5154"/>
      <c r="X662" s="5145"/>
      <c r="Y662" s="5146"/>
    </row>
    <row r="663" spans="18:25">
      <c r="R663" s="5153"/>
      <c r="S663" s="5153"/>
      <c r="T663" s="5154"/>
      <c r="X663" s="5145"/>
      <c r="Y663" s="5146"/>
    </row>
    <row r="664" spans="18:25">
      <c r="R664" s="5153"/>
      <c r="S664" s="5153"/>
      <c r="T664" s="5154"/>
      <c r="X664" s="5145"/>
      <c r="Y664" s="5146"/>
    </row>
    <row r="665" spans="18:25">
      <c r="R665" s="5153"/>
      <c r="S665" s="5153"/>
      <c r="T665" s="5154"/>
      <c r="X665" s="5145"/>
      <c r="Y665" s="5146"/>
    </row>
    <row r="666" spans="18:25">
      <c r="R666" s="5153"/>
      <c r="S666" s="5153"/>
      <c r="T666" s="5154"/>
      <c r="X666" s="5145"/>
      <c r="Y666" s="5146"/>
    </row>
    <row r="667" spans="18:25">
      <c r="R667" s="5153"/>
      <c r="S667" s="5153"/>
      <c r="T667" s="5154"/>
      <c r="X667" s="5155"/>
      <c r="Y667" s="5156"/>
    </row>
    <row r="668" spans="18:25">
      <c r="R668" s="5153"/>
      <c r="S668" s="5153"/>
      <c r="T668" s="5154"/>
      <c r="X668" s="5155"/>
      <c r="Y668" s="5156"/>
    </row>
    <row r="669" spans="18:25">
      <c r="R669" s="5153"/>
      <c r="S669" s="5153"/>
      <c r="T669" s="5154"/>
      <c r="X669" s="5155"/>
      <c r="Y669" s="5156"/>
    </row>
    <row r="670" spans="18:25">
      <c r="R670" s="5153"/>
      <c r="S670" s="5153"/>
      <c r="T670" s="5154"/>
      <c r="X670" s="5155"/>
      <c r="Y670" s="5156"/>
    </row>
    <row r="671" spans="18:25">
      <c r="R671" s="5153"/>
      <c r="S671" s="5153"/>
      <c r="T671" s="5154"/>
      <c r="X671" s="5155"/>
      <c r="Y671" s="5156"/>
    </row>
    <row r="672" spans="18:25">
      <c r="R672" s="5153"/>
      <c r="S672" s="5153"/>
      <c r="T672" s="5154"/>
      <c r="X672" s="5155"/>
      <c r="Y672" s="5156"/>
    </row>
    <row r="673" spans="18:25">
      <c r="R673" s="5153"/>
      <c r="S673" s="5153"/>
      <c r="T673" s="5154"/>
      <c r="X673" s="1104"/>
      <c r="Y673" s="5157"/>
    </row>
    <row r="674" spans="18:25">
      <c r="R674" s="5153"/>
      <c r="S674" s="5153"/>
      <c r="T674" s="5154"/>
      <c r="X674" s="5155"/>
      <c r="Y674" s="5156"/>
    </row>
    <row r="675" spans="18:25">
      <c r="R675" s="5153"/>
      <c r="S675" s="5153"/>
      <c r="T675" s="5154"/>
      <c r="X675" s="5158"/>
      <c r="Y675" s="5159"/>
    </row>
    <row r="676" spans="18:25">
      <c r="R676" s="5153"/>
      <c r="S676" s="5153"/>
      <c r="T676" s="5154"/>
      <c r="X676" s="5155"/>
      <c r="Y676" s="5156"/>
    </row>
    <row r="677" spans="18:25">
      <c r="R677" s="5153"/>
      <c r="S677" s="5153"/>
      <c r="T677" s="5154"/>
      <c r="X677" s="5155"/>
      <c r="Y677" s="5156"/>
    </row>
    <row r="678" spans="18:25">
      <c r="R678" s="5153"/>
      <c r="S678" s="5153"/>
      <c r="T678" s="5154"/>
      <c r="X678" s="5155"/>
      <c r="Y678" s="5156"/>
    </row>
    <row r="679" spans="18:25">
      <c r="R679" s="5153"/>
      <c r="S679" s="5153"/>
      <c r="T679" s="5154"/>
      <c r="X679" s="4840"/>
      <c r="Y679" s="5142"/>
    </row>
    <row r="680" spans="18:25">
      <c r="R680" s="5153"/>
      <c r="S680" s="5153"/>
      <c r="T680" s="5154"/>
      <c r="X680" s="4840"/>
      <c r="Y680" s="5142"/>
    </row>
    <row r="681" spans="18:25">
      <c r="R681" s="5153"/>
      <c r="S681" s="5153"/>
      <c r="T681" s="5154"/>
      <c r="X681" s="4840"/>
      <c r="Y681" s="5142"/>
    </row>
    <row r="682" spans="18:25">
      <c r="R682" s="5153"/>
      <c r="S682" s="5153"/>
      <c r="T682" s="5154"/>
      <c r="X682" s="4840"/>
      <c r="Y682" s="5142"/>
    </row>
    <row r="683" spans="18:25">
      <c r="R683" s="5153"/>
      <c r="S683" s="5153"/>
      <c r="T683" s="5154"/>
      <c r="X683" s="4840"/>
      <c r="Y683" s="5142"/>
    </row>
    <row r="684" spans="18:25">
      <c r="R684" s="5153"/>
      <c r="S684" s="5153"/>
      <c r="T684" s="5154"/>
      <c r="X684" s="4840"/>
      <c r="Y684" s="5142"/>
    </row>
    <row r="685" spans="18:25">
      <c r="R685" s="5153"/>
      <c r="S685" s="5153"/>
      <c r="T685" s="5154"/>
      <c r="X685" s="4840"/>
      <c r="Y685" s="5142"/>
    </row>
    <row r="686" spans="18:25">
      <c r="R686" s="5153"/>
      <c r="S686" s="5153"/>
      <c r="T686" s="5154"/>
      <c r="X686" s="4840"/>
      <c r="Y686" s="5142"/>
    </row>
    <row r="687" spans="18:25">
      <c r="R687" s="5153"/>
      <c r="S687" s="5153"/>
      <c r="T687" s="5154"/>
      <c r="X687" s="4840"/>
      <c r="Y687" s="5142"/>
    </row>
    <row r="688" spans="18:25">
      <c r="R688" s="5153"/>
      <c r="S688" s="5153"/>
      <c r="T688" s="5154"/>
      <c r="X688" s="4840"/>
      <c r="Y688" s="5142"/>
    </row>
    <row r="689" spans="18:25">
      <c r="R689" s="5153"/>
      <c r="S689" s="5153"/>
      <c r="T689" s="5154"/>
      <c r="X689" s="4840"/>
      <c r="Y689" s="5142"/>
    </row>
    <row r="690" spans="18:25">
      <c r="R690" s="5153"/>
      <c r="S690" s="5153"/>
      <c r="T690" s="5154"/>
      <c r="X690" s="4840"/>
      <c r="Y690" s="5142"/>
    </row>
    <row r="691" spans="18:25">
      <c r="R691" s="5153"/>
      <c r="S691" s="5153"/>
      <c r="T691" s="5154"/>
      <c r="X691" s="4840"/>
      <c r="Y691" s="5142"/>
    </row>
    <row r="692" spans="18:25">
      <c r="R692" s="5153"/>
      <c r="S692" s="5153"/>
      <c r="T692" s="5154"/>
      <c r="X692" s="4840"/>
      <c r="Y692" s="5142"/>
    </row>
    <row r="693" spans="18:25">
      <c r="R693" s="5153"/>
      <c r="S693" s="5153"/>
      <c r="T693" s="5154"/>
      <c r="X693" s="4840"/>
      <c r="Y693" s="5142"/>
    </row>
    <row r="694" spans="18:25">
      <c r="R694" s="5153"/>
      <c r="S694" s="5153"/>
      <c r="T694" s="5154"/>
      <c r="X694" s="4840"/>
      <c r="Y694" s="5142"/>
    </row>
    <row r="695" spans="18:25">
      <c r="R695" s="5153"/>
      <c r="S695" s="5153"/>
      <c r="T695" s="5154"/>
      <c r="X695" s="4840"/>
      <c r="Y695" s="5142"/>
    </row>
    <row r="696" spans="18:25">
      <c r="R696" s="5153"/>
      <c r="S696" s="5153"/>
      <c r="T696" s="5154"/>
      <c r="X696" s="4840"/>
      <c r="Y696" s="5142"/>
    </row>
    <row r="697" spans="18:25">
      <c r="R697" s="5153"/>
      <c r="S697" s="5153"/>
      <c r="T697" s="5154"/>
      <c r="X697" s="4840"/>
      <c r="Y697" s="5142"/>
    </row>
    <row r="698" spans="18:25">
      <c r="R698" s="5153"/>
      <c r="S698" s="5153"/>
      <c r="T698" s="5154"/>
      <c r="X698" s="4840"/>
      <c r="Y698" s="5142"/>
    </row>
    <row r="699" spans="18:25">
      <c r="R699" s="5153"/>
      <c r="S699" s="5153"/>
      <c r="T699" s="5154"/>
      <c r="X699" s="4840"/>
      <c r="Y699" s="5142"/>
    </row>
    <row r="700" spans="18:25">
      <c r="R700" s="5153"/>
      <c r="S700" s="5153"/>
      <c r="T700" s="5154"/>
      <c r="X700" s="4840"/>
      <c r="Y700" s="5142"/>
    </row>
    <row r="701" spans="18:25">
      <c r="R701" s="5153"/>
      <c r="S701" s="5153"/>
      <c r="T701" s="5154"/>
      <c r="X701" s="4840"/>
      <c r="Y701" s="5142"/>
    </row>
    <row r="702" spans="18:25">
      <c r="R702" s="5153"/>
      <c r="S702" s="5153"/>
      <c r="T702" s="5154"/>
      <c r="X702" s="4840"/>
      <c r="Y702" s="5142"/>
    </row>
    <row r="703" spans="18:25">
      <c r="R703" s="5153"/>
      <c r="S703" s="5153"/>
      <c r="T703" s="5154"/>
      <c r="X703" s="4840"/>
      <c r="Y703" s="5142"/>
    </row>
    <row r="704" spans="18:25">
      <c r="R704" s="5153"/>
      <c r="S704" s="5153"/>
      <c r="T704" s="5154"/>
      <c r="X704" s="4840"/>
      <c r="Y704" s="5142"/>
    </row>
    <row r="705" spans="18:25">
      <c r="R705" s="5153"/>
      <c r="S705" s="5153"/>
      <c r="T705" s="5154"/>
      <c r="X705" s="4840"/>
      <c r="Y705" s="5142"/>
    </row>
    <row r="706" spans="18:25">
      <c r="R706" s="5153"/>
      <c r="S706" s="5153"/>
      <c r="T706" s="5154"/>
      <c r="X706" s="4840"/>
      <c r="Y706" s="5142"/>
    </row>
    <row r="707" spans="18:25">
      <c r="R707" s="5153"/>
      <c r="S707" s="5153"/>
      <c r="T707" s="5154"/>
      <c r="X707" s="4840"/>
      <c r="Y707" s="5142"/>
    </row>
    <row r="708" spans="18:25">
      <c r="R708" s="5153"/>
      <c r="S708" s="5153"/>
      <c r="T708" s="5154"/>
      <c r="X708" s="4840"/>
      <c r="Y708" s="5142"/>
    </row>
    <row r="709" spans="18:25">
      <c r="R709" s="5153"/>
      <c r="S709" s="5153"/>
      <c r="T709" s="5154"/>
      <c r="X709" s="4840"/>
      <c r="Y709" s="5142"/>
    </row>
    <row r="710" spans="18:25">
      <c r="R710" s="5153"/>
      <c r="S710" s="5153"/>
      <c r="T710" s="5154"/>
      <c r="X710" s="4840"/>
      <c r="Y710" s="5142"/>
    </row>
    <row r="711" spans="18:25">
      <c r="R711" s="5153"/>
      <c r="S711" s="5153"/>
      <c r="T711" s="5154"/>
      <c r="X711" s="4840"/>
      <c r="Y711" s="5142"/>
    </row>
    <row r="712" spans="18:25">
      <c r="R712" s="5153"/>
      <c r="S712" s="5153"/>
      <c r="T712" s="5154"/>
      <c r="X712" s="4840"/>
      <c r="Y712" s="5142"/>
    </row>
    <row r="713" spans="18:25">
      <c r="R713" s="5153"/>
      <c r="S713" s="5153"/>
      <c r="T713" s="5154"/>
      <c r="X713" s="4840"/>
      <c r="Y713" s="5142"/>
    </row>
    <row r="714" spans="18:25">
      <c r="R714" s="5153"/>
      <c r="S714" s="5153"/>
      <c r="T714" s="5154"/>
      <c r="X714" s="4840"/>
      <c r="Y714" s="5142"/>
    </row>
    <row r="715" spans="18:25">
      <c r="R715" s="5153"/>
      <c r="S715" s="5153"/>
      <c r="T715" s="5154"/>
      <c r="X715" s="4840"/>
      <c r="Y715" s="5142"/>
    </row>
    <row r="716" spans="18:25">
      <c r="R716" s="5153"/>
      <c r="S716" s="5153"/>
      <c r="T716" s="5154"/>
      <c r="X716" s="4840"/>
      <c r="Y716" s="5142"/>
    </row>
    <row r="717" spans="18:25">
      <c r="R717" s="5153"/>
      <c r="S717" s="5153"/>
      <c r="T717" s="5154"/>
      <c r="X717" s="4840"/>
      <c r="Y717" s="5142"/>
    </row>
    <row r="718" spans="18:25">
      <c r="R718" s="5153"/>
      <c r="S718" s="5153"/>
      <c r="T718" s="5154"/>
      <c r="X718" s="4840"/>
      <c r="Y718" s="5142"/>
    </row>
    <row r="719" spans="18:25">
      <c r="R719" s="5153"/>
      <c r="S719" s="5153"/>
      <c r="T719" s="5154"/>
      <c r="X719" s="4840"/>
      <c r="Y719" s="5142"/>
    </row>
    <row r="720" spans="18:25">
      <c r="R720" s="5153"/>
      <c r="S720" s="5153"/>
      <c r="T720" s="5154"/>
      <c r="X720" s="4840"/>
      <c r="Y720" s="5142"/>
    </row>
    <row r="721" spans="18:25">
      <c r="R721" s="5153"/>
      <c r="S721" s="5153"/>
      <c r="T721" s="5154"/>
      <c r="X721" s="4840"/>
      <c r="Y721" s="5142"/>
    </row>
    <row r="722" spans="18:25">
      <c r="R722" s="5153"/>
      <c r="S722" s="5153"/>
      <c r="T722" s="5154"/>
      <c r="X722" s="4840"/>
      <c r="Y722" s="5142"/>
    </row>
    <row r="723" spans="18:25">
      <c r="R723" s="5153"/>
      <c r="S723" s="5153"/>
      <c r="T723" s="5154"/>
      <c r="X723" s="4840"/>
      <c r="Y723" s="5142"/>
    </row>
    <row r="724" spans="18:25">
      <c r="R724" s="5153"/>
      <c r="S724" s="5153"/>
      <c r="T724" s="5154"/>
      <c r="X724" s="4840"/>
      <c r="Y724" s="5142"/>
    </row>
    <row r="725" spans="18:25">
      <c r="R725" s="5153"/>
      <c r="S725" s="5153"/>
      <c r="T725" s="5154"/>
      <c r="X725" s="4840"/>
      <c r="Y725" s="5142"/>
    </row>
    <row r="726" spans="18:25">
      <c r="R726" s="5153"/>
      <c r="S726" s="5153"/>
      <c r="T726" s="5154"/>
      <c r="X726" s="4840"/>
      <c r="Y726" s="5142"/>
    </row>
    <row r="727" spans="18:25">
      <c r="R727" s="5153"/>
      <c r="S727" s="5153"/>
      <c r="T727" s="5154"/>
      <c r="X727" s="4840"/>
      <c r="Y727" s="5142"/>
    </row>
    <row r="728" spans="18:25">
      <c r="R728" s="5153"/>
      <c r="S728" s="5153"/>
      <c r="T728" s="5154"/>
      <c r="X728" s="4840"/>
      <c r="Y728" s="5142"/>
    </row>
    <row r="729" spans="18:25">
      <c r="R729" s="5153"/>
      <c r="S729" s="5153"/>
      <c r="T729" s="5154"/>
      <c r="X729" s="4840"/>
      <c r="Y729" s="5142"/>
    </row>
    <row r="730" spans="18:25">
      <c r="R730" s="5153"/>
      <c r="S730" s="5153"/>
      <c r="T730" s="5154"/>
      <c r="X730" s="4840"/>
      <c r="Y730" s="5142"/>
    </row>
    <row r="731" spans="18:25">
      <c r="R731" s="5153"/>
      <c r="S731" s="5153"/>
      <c r="T731" s="5154"/>
      <c r="X731" s="4840"/>
      <c r="Y731" s="5142"/>
    </row>
    <row r="732" spans="18:25">
      <c r="R732" s="4896"/>
      <c r="S732" s="4896"/>
      <c r="T732" s="4897"/>
      <c r="X732" s="4840"/>
      <c r="Y732" s="5142"/>
    </row>
    <row r="733" spans="18:25">
      <c r="X733" s="4840"/>
      <c r="Y733" s="5142"/>
    </row>
    <row r="734" spans="18:25">
      <c r="X734" s="4840"/>
      <c r="Y734" s="5142"/>
    </row>
    <row r="735" spans="18:25">
      <c r="X735" s="4840"/>
      <c r="Y735" s="5142"/>
    </row>
    <row r="736" spans="18:25">
      <c r="R736" s="5160"/>
      <c r="S736" s="5160"/>
      <c r="T736" s="5161"/>
      <c r="X736" s="4840"/>
      <c r="Y736" s="5142"/>
    </row>
    <row r="737" spans="18:25">
      <c r="R737" s="5160"/>
      <c r="S737" s="5160"/>
      <c r="T737" s="5161"/>
      <c r="X737" s="4840"/>
      <c r="Y737" s="5142"/>
    </row>
    <row r="738" spans="18:25">
      <c r="R738" s="5160"/>
      <c r="S738" s="5160"/>
      <c r="T738" s="5161"/>
      <c r="X738" s="4840"/>
      <c r="Y738" s="5142"/>
    </row>
    <row r="739" spans="18:25">
      <c r="R739" s="5160"/>
      <c r="S739" s="5160"/>
      <c r="T739" s="5161"/>
      <c r="X739" s="4840"/>
      <c r="Y739" s="5142"/>
    </row>
    <row r="740" spans="18:25">
      <c r="R740" s="5162"/>
      <c r="S740" s="5162"/>
      <c r="T740" s="5163"/>
      <c r="X740" s="4840"/>
      <c r="Y740" s="5142"/>
    </row>
    <row r="741" spans="18:25">
      <c r="R741" s="5162"/>
      <c r="S741" s="5162"/>
      <c r="T741" s="5163"/>
      <c r="X741" s="4840"/>
      <c r="Y741" s="5142"/>
    </row>
    <row r="742" spans="18:25">
      <c r="R742" s="5162"/>
      <c r="S742" s="5162"/>
      <c r="T742" s="5163"/>
      <c r="X742" s="4840"/>
      <c r="Y742" s="5142"/>
    </row>
    <row r="743" spans="18:25">
      <c r="R743" s="5162"/>
      <c r="S743" s="5162"/>
      <c r="T743" s="5163"/>
      <c r="X743" s="4840"/>
      <c r="Y743" s="5142"/>
    </row>
    <row r="744" spans="18:25">
      <c r="R744" s="5162"/>
      <c r="S744" s="5162"/>
      <c r="T744" s="5163"/>
      <c r="X744" s="4840"/>
      <c r="Y744" s="5142"/>
    </row>
    <row r="745" spans="18:25">
      <c r="R745" s="5160"/>
      <c r="S745" s="5160"/>
      <c r="T745" s="5161"/>
      <c r="X745" s="4840"/>
      <c r="Y745" s="5142"/>
    </row>
    <row r="746" spans="18:25">
      <c r="R746" s="5160"/>
      <c r="S746" s="5160"/>
      <c r="T746" s="5161"/>
      <c r="X746" s="4840"/>
      <c r="Y746" s="5142"/>
    </row>
    <row r="747" spans="18:25">
      <c r="R747" s="5160"/>
      <c r="S747" s="5160"/>
      <c r="T747" s="5161"/>
      <c r="X747" s="4840"/>
      <c r="Y747" s="5142"/>
    </row>
    <row r="748" spans="18:25">
      <c r="R748" s="5160"/>
      <c r="S748" s="5160"/>
      <c r="T748" s="5161"/>
      <c r="X748" s="4840"/>
      <c r="Y748" s="5142"/>
    </row>
    <row r="749" spans="18:25">
      <c r="R749" s="5160"/>
      <c r="S749" s="5160"/>
      <c r="T749" s="5161"/>
      <c r="X749" s="4840"/>
      <c r="Y749" s="5142"/>
    </row>
    <row r="750" spans="18:25">
      <c r="R750" s="5160"/>
      <c r="S750" s="5160"/>
      <c r="T750" s="5161"/>
      <c r="X750" s="4840"/>
      <c r="Y750" s="5142"/>
    </row>
    <row r="751" spans="18:25">
      <c r="X751" s="4840"/>
      <c r="Y751" s="5142"/>
    </row>
    <row r="752" spans="18:25">
      <c r="X752" s="4840"/>
      <c r="Y752" s="5142"/>
    </row>
    <row r="753" spans="18:25">
      <c r="R753" s="5160"/>
      <c r="S753" s="5160"/>
      <c r="T753" s="5161"/>
      <c r="X753" s="4840"/>
      <c r="Y753" s="5142"/>
    </row>
    <row r="754" spans="18:25">
      <c r="X754" s="4840"/>
      <c r="Y754" s="5142"/>
    </row>
    <row r="755" spans="18:25">
      <c r="X755" s="4840"/>
      <c r="Y755" s="5142"/>
    </row>
    <row r="756" spans="18:25">
      <c r="X756" s="4840"/>
      <c r="Y756" s="5142"/>
    </row>
    <row r="757" spans="18:25">
      <c r="X757" s="4840"/>
      <c r="Y757" s="5142"/>
    </row>
    <row r="758" spans="18:25">
      <c r="X758" s="4840"/>
      <c r="Y758" s="5142"/>
    </row>
    <row r="759" spans="18:25">
      <c r="X759" s="4840"/>
      <c r="Y759" s="5142"/>
    </row>
    <row r="760" spans="18:25">
      <c r="X760" s="4840"/>
      <c r="Y760" s="5142"/>
    </row>
    <row r="761" spans="18:25">
      <c r="X761" s="4840"/>
      <c r="Y761" s="5142"/>
    </row>
    <row r="762" spans="18:25">
      <c r="X762" s="4840"/>
      <c r="Y762" s="5142"/>
    </row>
    <row r="763" spans="18:25">
      <c r="X763" s="4840"/>
      <c r="Y763" s="5142"/>
    </row>
    <row r="764" spans="18:25">
      <c r="X764" s="4840"/>
      <c r="Y764" s="5142"/>
    </row>
    <row r="765" spans="18:25">
      <c r="X765" s="4840"/>
      <c r="Y765" s="5142"/>
    </row>
    <row r="766" spans="18:25">
      <c r="X766" s="4840"/>
      <c r="Y766" s="5142"/>
    </row>
    <row r="767" spans="18:25">
      <c r="X767" s="4840"/>
      <c r="Y767" s="5142"/>
    </row>
    <row r="768" spans="18:25">
      <c r="X768" s="4865"/>
      <c r="Y768" s="4907"/>
    </row>
    <row r="769" spans="24:25">
      <c r="X769" s="4840"/>
      <c r="Y769" s="5142"/>
    </row>
    <row r="770" spans="24:25">
      <c r="X770" s="4840"/>
      <c r="Y770" s="5142"/>
    </row>
    <row r="771" spans="24:25">
      <c r="X771" s="4840"/>
      <c r="Y771" s="5142"/>
    </row>
    <row r="772" spans="24:25">
      <c r="X772" s="4840"/>
      <c r="Y772" s="5142"/>
    </row>
    <row r="773" spans="24:25">
      <c r="X773" s="4840"/>
      <c r="Y773" s="5142"/>
    </row>
    <row r="774" spans="24:25">
      <c r="X774" s="4840"/>
      <c r="Y774" s="5142"/>
    </row>
    <row r="775" spans="24:25">
      <c r="X775" s="4840"/>
      <c r="Y775" s="5142"/>
    </row>
    <row r="776" spans="24:25">
      <c r="X776" s="4840"/>
      <c r="Y776" s="5142"/>
    </row>
    <row r="777" spans="24:25">
      <c r="X777" s="4840"/>
      <c r="Y777" s="5142"/>
    </row>
    <row r="778" spans="24:25">
      <c r="X778" s="4840"/>
      <c r="Y778" s="5142"/>
    </row>
    <row r="779" spans="24:25">
      <c r="X779" s="4840"/>
      <c r="Y779" s="5142"/>
    </row>
    <row r="780" spans="24:25">
      <c r="X780" s="4840"/>
      <c r="Y780" s="5142"/>
    </row>
    <row r="781" spans="24:25">
      <c r="X781" s="4840"/>
      <c r="Y781" s="5142"/>
    </row>
    <row r="782" spans="24:25">
      <c r="X782" s="4840"/>
      <c r="Y782" s="5142"/>
    </row>
    <row r="783" spans="24:25">
      <c r="X783" s="4840"/>
      <c r="Y783" s="5142"/>
    </row>
    <row r="784" spans="24:25">
      <c r="X784" s="4840"/>
      <c r="Y784" s="5142"/>
    </row>
    <row r="785" spans="24:25">
      <c r="X785" s="4840"/>
      <c r="Y785" s="5142"/>
    </row>
    <row r="786" spans="24:25">
      <c r="X786" s="4840"/>
      <c r="Y786" s="5142"/>
    </row>
    <row r="787" spans="24:25">
      <c r="X787" s="4840"/>
      <c r="Y787" s="5142"/>
    </row>
    <row r="788" spans="24:25">
      <c r="X788" s="4840"/>
      <c r="Y788" s="5142"/>
    </row>
    <row r="789" spans="24:25">
      <c r="X789" s="4840"/>
      <c r="Y789" s="5142"/>
    </row>
    <row r="790" spans="24:25">
      <c r="X790" s="4840"/>
      <c r="Y790" s="5142"/>
    </row>
    <row r="791" spans="24:25">
      <c r="X791" s="4840"/>
      <c r="Y791" s="5142"/>
    </row>
    <row r="792" spans="24:25">
      <c r="X792" s="4840"/>
      <c r="Y792" s="5142"/>
    </row>
    <row r="793" spans="24:25">
      <c r="X793" s="4840"/>
      <c r="Y793" s="5142"/>
    </row>
    <row r="794" spans="24:25">
      <c r="X794" s="4840"/>
      <c r="Y794" s="5142"/>
    </row>
    <row r="795" spans="24:25">
      <c r="X795" s="4840"/>
      <c r="Y795" s="5142"/>
    </row>
    <row r="796" spans="24:25">
      <c r="X796" s="4840"/>
      <c r="Y796" s="5142"/>
    </row>
    <row r="797" spans="24:25">
      <c r="X797" s="4840"/>
      <c r="Y797" s="5142"/>
    </row>
    <row r="798" spans="24:25">
      <c r="X798" s="4840"/>
      <c r="Y798" s="5142"/>
    </row>
    <row r="799" spans="24:25">
      <c r="X799" s="4840"/>
      <c r="Y799" s="5142"/>
    </row>
    <row r="800" spans="24:25">
      <c r="X800" s="4840"/>
      <c r="Y800" s="5142"/>
    </row>
    <row r="801" spans="24:25">
      <c r="X801" s="4865"/>
      <c r="Y801" s="4907"/>
    </row>
    <row r="802" spans="24:25">
      <c r="X802" s="4840"/>
      <c r="Y802" s="5142"/>
    </row>
    <row r="803" spans="24:25">
      <c r="X803" s="4840"/>
      <c r="Y803" s="5142"/>
    </row>
    <row r="804" spans="24:25">
      <c r="X804" s="4840"/>
      <c r="Y804" s="5142"/>
    </row>
    <row r="805" spans="24:25">
      <c r="X805" s="4840"/>
      <c r="Y805" s="5142"/>
    </row>
    <row r="806" spans="24:25">
      <c r="X806" s="4840"/>
      <c r="Y806" s="5142"/>
    </row>
    <row r="807" spans="24:25">
      <c r="X807" s="4840"/>
      <c r="Y807" s="5142"/>
    </row>
    <row r="808" spans="24:25">
      <c r="X808" s="4840"/>
      <c r="Y808" s="5142"/>
    </row>
    <row r="809" spans="24:25">
      <c r="X809" s="4840"/>
      <c r="Y809" s="5142"/>
    </row>
    <row r="810" spans="24:25">
      <c r="X810" s="4840"/>
      <c r="Y810" s="5142"/>
    </row>
    <row r="811" spans="24:25">
      <c r="X811" s="4840"/>
      <c r="Y811" s="5142"/>
    </row>
    <row r="812" spans="24:25">
      <c r="X812" s="4840"/>
      <c r="Y812" s="5142"/>
    </row>
    <row r="813" spans="24:25">
      <c r="X813" s="4840"/>
      <c r="Y813" s="5142"/>
    </row>
    <row r="814" spans="24:25">
      <c r="X814" s="4840"/>
      <c r="Y814" s="5142"/>
    </row>
    <row r="815" spans="24:25">
      <c r="X815" s="4840"/>
      <c r="Y815" s="5142"/>
    </row>
    <row r="816" spans="24:25">
      <c r="X816" s="4840"/>
      <c r="Y816" s="5142"/>
    </row>
    <row r="817" spans="24:25">
      <c r="X817" s="4840"/>
      <c r="Y817" s="5142"/>
    </row>
    <row r="818" spans="24:25">
      <c r="X818" s="4840"/>
      <c r="Y818" s="5142"/>
    </row>
    <row r="819" spans="24:25">
      <c r="X819" s="4840"/>
      <c r="Y819" s="5142"/>
    </row>
    <row r="820" spans="24:25">
      <c r="X820" s="4840"/>
      <c r="Y820" s="5142"/>
    </row>
    <row r="821" spans="24:25">
      <c r="X821" s="4840"/>
      <c r="Y821" s="5142"/>
    </row>
    <row r="822" spans="24:25">
      <c r="X822" s="4840"/>
      <c r="Y822" s="5142"/>
    </row>
    <row r="823" spans="24:25">
      <c r="X823" s="4840"/>
      <c r="Y823" s="5142"/>
    </row>
    <row r="824" spans="24:25">
      <c r="X824" s="4840"/>
      <c r="Y824" s="5142"/>
    </row>
    <row r="825" spans="24:25">
      <c r="X825" s="4840"/>
      <c r="Y825" s="5142"/>
    </row>
    <row r="826" spans="24:25">
      <c r="X826" s="4840"/>
      <c r="Y826" s="5142"/>
    </row>
    <row r="827" spans="24:25">
      <c r="X827" s="4840"/>
      <c r="Y827" s="5142"/>
    </row>
    <row r="828" spans="24:25">
      <c r="X828" s="4840"/>
      <c r="Y828" s="5142"/>
    </row>
    <row r="829" spans="24:25">
      <c r="X829" s="4840"/>
      <c r="Y829" s="5142"/>
    </row>
    <row r="830" spans="24:25">
      <c r="X830" s="4840"/>
      <c r="Y830" s="5142"/>
    </row>
    <row r="831" spans="24:25">
      <c r="X831" s="4840"/>
      <c r="Y831" s="5142"/>
    </row>
    <row r="832" spans="24:25">
      <c r="X832" s="4840"/>
      <c r="Y832" s="5142"/>
    </row>
    <row r="833" spans="24:25">
      <c r="X833" s="4840"/>
      <c r="Y833" s="5142"/>
    </row>
    <row r="834" spans="24:25">
      <c r="X834" s="4840"/>
      <c r="Y834" s="5142"/>
    </row>
    <row r="835" spans="24:25">
      <c r="X835" s="4840"/>
      <c r="Y835" s="5142"/>
    </row>
    <row r="836" spans="24:25">
      <c r="X836" s="4840"/>
      <c r="Y836" s="5142"/>
    </row>
    <row r="837" spans="24:25">
      <c r="X837" s="4840"/>
      <c r="Y837" s="5142"/>
    </row>
    <row r="838" spans="24:25">
      <c r="X838" s="4840"/>
      <c r="Y838" s="5142"/>
    </row>
    <row r="839" spans="24:25">
      <c r="X839" s="4840"/>
      <c r="Y839" s="5142"/>
    </row>
    <row r="840" spans="24:25">
      <c r="X840" s="4840"/>
      <c r="Y840" s="5142"/>
    </row>
    <row r="841" spans="24:25">
      <c r="X841" s="4840"/>
      <c r="Y841" s="5142"/>
    </row>
    <row r="842" spans="24:25">
      <c r="X842" s="4840"/>
      <c r="Y842" s="5142"/>
    </row>
    <row r="843" spans="24:25">
      <c r="X843" s="4840"/>
      <c r="Y843" s="5142"/>
    </row>
    <row r="844" spans="24:25">
      <c r="X844" s="4840"/>
      <c r="Y844" s="5142"/>
    </row>
    <row r="845" spans="24:25">
      <c r="X845" s="4840"/>
      <c r="Y845" s="5142"/>
    </row>
    <row r="846" spans="24:25">
      <c r="X846" s="4840"/>
      <c r="Y846" s="5142"/>
    </row>
    <row r="847" spans="24:25">
      <c r="X847" s="4840"/>
      <c r="Y847" s="5142"/>
    </row>
    <row r="848" spans="24:25">
      <c r="X848" s="4840"/>
      <c r="Y848" s="5142"/>
    </row>
    <row r="849" spans="24:25">
      <c r="X849" s="4840"/>
      <c r="Y849" s="5142"/>
    </row>
    <row r="850" spans="24:25">
      <c r="X850" s="4840"/>
      <c r="Y850" s="5142"/>
    </row>
    <row r="851" spans="24:25">
      <c r="X851" s="4840"/>
      <c r="Y851" s="5142"/>
    </row>
    <row r="852" spans="24:25">
      <c r="X852" s="4840"/>
      <c r="Y852" s="5142"/>
    </row>
    <row r="853" spans="24:25">
      <c r="X853" s="4840"/>
      <c r="Y853" s="5142"/>
    </row>
    <row r="854" spans="24:25">
      <c r="X854" s="4840"/>
      <c r="Y854" s="5142"/>
    </row>
    <row r="855" spans="24:25">
      <c r="X855" s="4840"/>
      <c r="Y855" s="5142"/>
    </row>
    <row r="856" spans="24:25">
      <c r="X856" s="4840"/>
      <c r="Y856" s="5142"/>
    </row>
    <row r="857" spans="24:25">
      <c r="X857" s="4840"/>
      <c r="Y857" s="5142"/>
    </row>
    <row r="858" spans="24:25">
      <c r="X858" s="4840"/>
      <c r="Y858" s="5142"/>
    </row>
    <row r="859" spans="24:25">
      <c r="X859" s="4840"/>
      <c r="Y859" s="5142"/>
    </row>
    <row r="860" spans="24:25">
      <c r="X860" s="4840"/>
      <c r="Y860" s="5142"/>
    </row>
    <row r="861" spans="24:25">
      <c r="X861" s="4840"/>
      <c r="Y861" s="5142"/>
    </row>
    <row r="862" spans="24:25">
      <c r="X862" s="4840"/>
      <c r="Y862" s="5142"/>
    </row>
    <row r="863" spans="24:25">
      <c r="X863" s="4840"/>
      <c r="Y863" s="5142"/>
    </row>
    <row r="864" spans="24:25">
      <c r="X864" s="4840"/>
      <c r="Y864" s="5142"/>
    </row>
    <row r="865" spans="24:25">
      <c r="X865" s="4840"/>
      <c r="Y865" s="5142"/>
    </row>
    <row r="866" spans="24:25">
      <c r="X866" s="4840"/>
      <c r="Y866" s="5142"/>
    </row>
    <row r="867" spans="24:25">
      <c r="X867" s="4840"/>
      <c r="Y867" s="5142"/>
    </row>
    <row r="868" spans="24:25">
      <c r="X868" s="4840"/>
      <c r="Y868" s="5142"/>
    </row>
    <row r="869" spans="24:25">
      <c r="X869" s="4840"/>
      <c r="Y869" s="5142"/>
    </row>
    <row r="870" spans="24:25">
      <c r="X870" s="4840"/>
      <c r="Y870" s="5142"/>
    </row>
    <row r="871" spans="24:25">
      <c r="X871" s="4840"/>
      <c r="Y871" s="5142"/>
    </row>
    <row r="872" spans="24:25">
      <c r="X872" s="4840"/>
      <c r="Y872" s="5142"/>
    </row>
    <row r="873" spans="24:25">
      <c r="X873" s="4840"/>
      <c r="Y873" s="5142"/>
    </row>
    <row r="874" spans="24:25">
      <c r="X874" s="4840"/>
      <c r="Y874" s="5142"/>
    </row>
    <row r="875" spans="24:25">
      <c r="X875" s="4840"/>
      <c r="Y875" s="5142"/>
    </row>
    <row r="876" spans="24:25">
      <c r="X876" s="4840"/>
      <c r="Y876" s="5142"/>
    </row>
    <row r="877" spans="24:25">
      <c r="X877" s="4840"/>
      <c r="Y877" s="5142"/>
    </row>
    <row r="878" spans="24:25">
      <c r="X878" s="4840"/>
      <c r="Y878" s="5142"/>
    </row>
    <row r="879" spans="24:25">
      <c r="X879" s="4840"/>
      <c r="Y879" s="5142"/>
    </row>
    <row r="880" spans="24:25">
      <c r="X880" s="4840"/>
      <c r="Y880" s="5142"/>
    </row>
    <row r="881" spans="24:25">
      <c r="X881" s="4840"/>
      <c r="Y881" s="5142"/>
    </row>
    <row r="882" spans="24:25">
      <c r="X882" s="4840"/>
      <c r="Y882" s="5142"/>
    </row>
    <row r="883" spans="24:25">
      <c r="X883" s="4840"/>
      <c r="Y883" s="5142"/>
    </row>
    <row r="884" spans="24:25">
      <c r="X884" s="4840"/>
      <c r="Y884" s="5142"/>
    </row>
    <row r="885" spans="24:25">
      <c r="X885" s="4840"/>
      <c r="Y885" s="5142"/>
    </row>
    <row r="886" spans="24:25">
      <c r="X886" s="4840"/>
      <c r="Y886" s="5142"/>
    </row>
    <row r="887" spans="24:25">
      <c r="X887" s="4840"/>
      <c r="Y887" s="5142"/>
    </row>
    <row r="888" spans="24:25">
      <c r="X888" s="4840"/>
      <c r="Y888" s="5142"/>
    </row>
    <row r="889" spans="24:25">
      <c r="X889" s="4840"/>
      <c r="Y889" s="5142"/>
    </row>
    <row r="890" spans="24:25">
      <c r="X890" s="4840"/>
      <c r="Y890" s="5142"/>
    </row>
    <row r="891" spans="24:25">
      <c r="X891" s="4840"/>
      <c r="Y891" s="5142"/>
    </row>
    <row r="892" spans="24:25">
      <c r="X892" s="4840"/>
      <c r="Y892" s="5142"/>
    </row>
    <row r="893" spans="24:25">
      <c r="X893" s="4840"/>
      <c r="Y893" s="5142"/>
    </row>
    <row r="894" spans="24:25">
      <c r="X894" s="4840"/>
      <c r="Y894" s="5142"/>
    </row>
    <row r="895" spans="24:25">
      <c r="X895" s="4840"/>
      <c r="Y895" s="5142"/>
    </row>
    <row r="896" spans="24:25">
      <c r="X896" s="4840"/>
      <c r="Y896" s="5142"/>
    </row>
    <row r="897" spans="24:25">
      <c r="X897" s="4840"/>
      <c r="Y897" s="5142"/>
    </row>
    <row r="898" spans="24:25">
      <c r="X898" s="4840"/>
      <c r="Y898" s="5142"/>
    </row>
    <row r="899" spans="24:25">
      <c r="X899" s="4840"/>
      <c r="Y899" s="5142"/>
    </row>
    <row r="900" spans="24:25">
      <c r="X900" s="4840"/>
      <c r="Y900" s="5142"/>
    </row>
    <row r="901" spans="24:25">
      <c r="X901" s="4840"/>
      <c r="Y901" s="5142"/>
    </row>
    <row r="902" spans="24:25">
      <c r="X902" s="4840"/>
      <c r="Y902" s="5142"/>
    </row>
    <row r="903" spans="24:25">
      <c r="X903" s="4840"/>
      <c r="Y903" s="5142"/>
    </row>
    <row r="904" spans="24:25">
      <c r="X904" s="4840"/>
      <c r="Y904" s="5142"/>
    </row>
    <row r="905" spans="24:25">
      <c r="X905" s="4865"/>
      <c r="Y905" s="4907"/>
    </row>
    <row r="906" spans="24:25">
      <c r="X906" s="4840"/>
      <c r="Y906" s="5142"/>
    </row>
    <row r="907" spans="24:25">
      <c r="X907" s="4840"/>
      <c r="Y907" s="5142"/>
    </row>
    <row r="908" spans="24:25">
      <c r="X908" s="4840"/>
      <c r="Y908" s="5142"/>
    </row>
    <row r="909" spans="24:25">
      <c r="X909" s="4840"/>
      <c r="Y909" s="5142"/>
    </row>
    <row r="910" spans="24:25">
      <c r="X910" s="4840"/>
      <c r="Y910" s="5142"/>
    </row>
    <row r="911" spans="24:25">
      <c r="X911" s="4840"/>
      <c r="Y911" s="5142"/>
    </row>
    <row r="912" spans="24:25">
      <c r="X912" s="4840"/>
      <c r="Y912" s="5142"/>
    </row>
    <row r="913" spans="24:25">
      <c r="X913" s="4851"/>
      <c r="Y913" s="4329"/>
    </row>
    <row r="914" spans="24:25">
      <c r="X914" s="4851"/>
      <c r="Y914" s="4329"/>
    </row>
    <row r="915" spans="24:25">
      <c r="X915" s="4851"/>
      <c r="Y915" s="4329"/>
    </row>
    <row r="916" spans="24:25">
      <c r="X916" s="4851"/>
      <c r="Y916" s="4329"/>
    </row>
    <row r="917" spans="24:25">
      <c r="X917" s="4851"/>
      <c r="Y917" s="4329"/>
    </row>
    <row r="918" spans="24:25">
      <c r="X918" s="4851"/>
      <c r="Y918" s="4329"/>
    </row>
    <row r="919" spans="24:25">
      <c r="X919" s="4851"/>
      <c r="Y919" s="4329"/>
    </row>
    <row r="920" spans="24:25">
      <c r="X920" s="4851"/>
      <c r="Y920" s="4329"/>
    </row>
    <row r="921" spans="24:25">
      <c r="X921" s="4851"/>
      <c r="Y921" s="4329"/>
    </row>
    <row r="922" spans="24:25">
      <c r="X922" s="4851"/>
      <c r="Y922" s="4329"/>
    </row>
    <row r="923" spans="24:25">
      <c r="X923" s="4851"/>
      <c r="Y923" s="4329"/>
    </row>
    <row r="924" spans="24:25">
      <c r="X924" s="4851"/>
      <c r="Y924" s="4329"/>
    </row>
    <row r="925" spans="24:25">
      <c r="X925" s="4851"/>
      <c r="Y925" s="4329"/>
    </row>
    <row r="926" spans="24:25">
      <c r="X926" s="4851"/>
      <c r="Y926" s="4329"/>
    </row>
    <row r="927" spans="24:25">
      <c r="X927" s="4851"/>
      <c r="Y927" s="4329"/>
    </row>
    <row r="928" spans="24:25">
      <c r="X928" s="4851"/>
      <c r="Y928" s="4329"/>
    </row>
    <row r="929" spans="24:25">
      <c r="X929" s="4851"/>
      <c r="Y929" s="4329"/>
    </row>
    <row r="930" spans="24:25">
      <c r="X930" s="4851"/>
      <c r="Y930" s="4329"/>
    </row>
    <row r="931" spans="24:25">
      <c r="X931" s="4851"/>
      <c r="Y931" s="4329"/>
    </row>
    <row r="932" spans="24:25">
      <c r="X932" s="4851"/>
      <c r="Y932" s="4329"/>
    </row>
    <row r="933" spans="24:25">
      <c r="X933" s="4851"/>
      <c r="Y933" s="4329"/>
    </row>
    <row r="934" spans="24:25">
      <c r="X934" s="4851"/>
      <c r="Y934" s="4329"/>
    </row>
    <row r="935" spans="24:25">
      <c r="X935" s="4851"/>
      <c r="Y935" s="4329"/>
    </row>
    <row r="936" spans="24:25">
      <c r="X936" s="4851"/>
      <c r="Y936" s="4329"/>
    </row>
    <row r="937" spans="24:25">
      <c r="X937" s="4851"/>
      <c r="Y937" s="4329"/>
    </row>
    <row r="938" spans="24:25">
      <c r="X938" s="4851"/>
      <c r="Y938" s="4329"/>
    </row>
  </sheetData>
  <sheetProtection selectLockedCells="1" autoFilter="0"/>
  <autoFilter xmlns:etc="http://www.wps.cn/officeDocument/2017/etCustomData" ref="A3:XFD938" etc:filterBottomFollowUsedRange="1">
    <extLst/>
  </autoFilter>
  <mergeCells count="37">
    <mergeCell ref="A1:J1"/>
    <mergeCell ref="BL1:BR1"/>
    <mergeCell ref="BS1:BY1"/>
    <mergeCell ref="A2:E2"/>
    <mergeCell ref="I2:J2"/>
    <mergeCell ref="L2:N2"/>
    <mergeCell ref="P2:Q2"/>
    <mergeCell ref="AH2:AM2"/>
    <mergeCell ref="AN2:AP2"/>
    <mergeCell ref="AQ2:AU2"/>
    <mergeCell ref="R174:R176"/>
    <mergeCell ref="R177:R179"/>
    <mergeCell ref="R180:R182"/>
    <mergeCell ref="R183:R185"/>
    <mergeCell ref="R194:R196"/>
    <mergeCell ref="R197:R199"/>
    <mergeCell ref="R200:R202"/>
    <mergeCell ref="R203:R205"/>
    <mergeCell ref="R206:R208"/>
    <mergeCell ref="R342:R344"/>
    <mergeCell ref="R345:R347"/>
    <mergeCell ref="S174:S176"/>
    <mergeCell ref="S177:S179"/>
    <mergeCell ref="S180:S182"/>
    <mergeCell ref="S183:S185"/>
    <mergeCell ref="S194:S196"/>
    <mergeCell ref="S197:S199"/>
    <mergeCell ref="S200:S202"/>
    <mergeCell ref="S203:S205"/>
    <mergeCell ref="S206:S208"/>
    <mergeCell ref="S342:S344"/>
    <mergeCell ref="S345:S347"/>
    <mergeCell ref="T483:T488"/>
    <mergeCell ref="T495:T496"/>
    <mergeCell ref="T500:T502"/>
    <mergeCell ref="T505:T506"/>
    <mergeCell ref="T532:T533"/>
  </mergeCells>
  <conditionalFormatting sqref="V3:W3">
    <cfRule type="cellIs" dxfId="0" priority="711" operator="equal">
      <formula>"欠"</formula>
    </cfRule>
  </conditionalFormatting>
  <conditionalFormatting sqref="X3:Y3">
    <cfRule type="cellIs" dxfId="0" priority="710" operator="equal">
      <formula>"欠"</formula>
    </cfRule>
  </conditionalFormatting>
  <conditionalFormatting sqref="X38:Y38">
    <cfRule type="containsText" dxfId="1" priority="693" operator="between" text="欠">
      <formula>NOT(ISERROR(SEARCH("欠",X38)))</formula>
    </cfRule>
  </conditionalFormatting>
  <conditionalFormatting sqref="V48:Y48">
    <cfRule type="containsText" dxfId="1" priority="689" operator="between" text="欠">
      <formula>NOT(ISERROR(SEARCH("欠",V48)))</formula>
    </cfRule>
  </conditionalFormatting>
  <conditionalFormatting sqref="V49:Y49">
    <cfRule type="containsText" dxfId="1" priority="685" operator="between" text="欠">
      <formula>NOT(ISERROR(SEARCH("欠",V49)))</formula>
    </cfRule>
  </conditionalFormatting>
  <conditionalFormatting sqref="W67">
    <cfRule type="containsText" dxfId="1" priority="669" operator="between" text="欠">
      <formula>NOT(ISERROR(SEARCH("欠",W67)))</formula>
    </cfRule>
  </conditionalFormatting>
  <conditionalFormatting sqref="V71">
    <cfRule type="containsText" dxfId="1" priority="653" operator="between" text="欠">
      <formula>NOT(ISERROR(SEARCH("欠",V71)))</formula>
    </cfRule>
  </conditionalFormatting>
  <conditionalFormatting sqref="W101">
    <cfRule type="containsText" dxfId="1" priority="640" operator="between" text="欠">
      <formula>NOT(ISERROR(SEARCH("欠",W101)))</formula>
    </cfRule>
  </conditionalFormatting>
  <conditionalFormatting sqref="XEL102:XEN102">
    <cfRule type="containsText" dxfId="1" priority="628" operator="between" text="欠">
      <formula>NOT(ISERROR(SEARCH("欠",XEL102)))</formula>
    </cfRule>
  </conditionalFormatting>
  <conditionalFormatting sqref="W103">
    <cfRule type="containsText" dxfId="1" priority="630" operator="between" text="欠">
      <formula>NOT(ISERROR(SEARCH("欠",W103)))</formula>
    </cfRule>
  </conditionalFormatting>
  <conditionalFormatting sqref="XEL103:XEN103">
    <cfRule type="containsText" dxfId="1" priority="627" operator="between" text="欠">
      <formula>NOT(ISERROR(SEARCH("欠",XEL103)))</formula>
    </cfRule>
  </conditionalFormatting>
  <conditionalFormatting sqref="Z104">
    <cfRule type="containsText" dxfId="1" priority="615" operator="between" text="欠">
      <formula>NOT(ISERROR(SEARCH("欠",Z104)))</formula>
    </cfRule>
  </conditionalFormatting>
  <conditionalFormatting sqref="XEL104:XEN104">
    <cfRule type="containsText" dxfId="1" priority="617" operator="between" text="欠">
      <formula>NOT(ISERROR(SEARCH("欠",XEL104)))</formula>
    </cfRule>
  </conditionalFormatting>
  <conditionalFormatting sqref="Q106">
    <cfRule type="containsText" dxfId="1" priority="534" operator="between" text="欠">
      <formula>NOT(ISERROR(SEARCH("欠",Q106)))</formula>
    </cfRule>
  </conditionalFormatting>
  <conditionalFormatting sqref="V108:Y108">
    <cfRule type="containsText" dxfId="1" priority="687" operator="between" text="欠">
      <formula>NOT(ISERROR(SEARCH("欠",V108)))</formula>
    </cfRule>
  </conditionalFormatting>
  <conditionalFormatting sqref="V111:Z111">
    <cfRule type="containsText" dxfId="1" priority="651" operator="between" text="欠">
      <formula>NOT(ISERROR(SEARCH("欠",V111)))</formula>
    </cfRule>
  </conditionalFormatting>
  <conditionalFormatting sqref="Z113">
    <cfRule type="containsText" dxfId="1" priority="613" operator="between" text="欠">
      <formula>NOT(ISERROR(SEARCH("欠",Z113)))</formula>
    </cfRule>
  </conditionalFormatting>
  <conditionalFormatting sqref="V115:Z115">
    <cfRule type="containsText" dxfId="1" priority="611" operator="between" text="欠">
      <formula>NOT(ISERROR(SEARCH("欠",V115)))</formula>
    </cfRule>
  </conditionalFormatting>
  <conditionalFormatting sqref="Z118">
    <cfRule type="containsText" dxfId="1" priority="601" operator="between" text="欠">
      <formula>NOT(ISERROR(SEARCH("欠",Z118)))</formula>
    </cfRule>
  </conditionalFormatting>
  <conditionalFormatting sqref="Z125">
    <cfRule type="containsText" dxfId="1" priority="593" operator="between" text="欠">
      <formula>NOT(ISERROR(SEARCH("欠",Z125)))</formula>
    </cfRule>
  </conditionalFormatting>
  <conditionalFormatting sqref="V128:Y128">
    <cfRule type="containsText" dxfId="1" priority="547" operator="between" text="欠">
      <formula>NOT(ISERROR(SEARCH("欠",V128)))</formula>
    </cfRule>
  </conditionalFormatting>
  <conditionalFormatting sqref="Z128">
    <cfRule type="containsText" dxfId="1" priority="527" operator="between" text="欠">
      <formula>NOT(ISERROR(SEARCH("欠",Z128)))</formula>
    </cfRule>
  </conditionalFormatting>
  <conditionalFormatting sqref="V137:Z137">
    <cfRule type="containsText" dxfId="1" priority="541" operator="between" text="欠">
      <formula>NOT(ISERROR(SEARCH("欠",V137)))</formula>
    </cfRule>
  </conditionalFormatting>
  <conditionalFormatting sqref="X142:Y142">
    <cfRule type="containsText" dxfId="1" priority="531" operator="between" text="欠">
      <formula>NOT(ISERROR(SEARCH("欠",X142)))</formula>
    </cfRule>
  </conditionalFormatting>
  <conditionalFormatting sqref="V145:Y145">
    <cfRule type="containsText" dxfId="1" priority="529" operator="between" text="欠">
      <formula>NOT(ISERROR(SEARCH("欠",V145)))</formula>
    </cfRule>
  </conditionalFormatting>
  <conditionalFormatting sqref="W155">
    <cfRule type="containsText" dxfId="1" priority="523" operator="between" text="欠">
      <formula>NOT(ISERROR(SEARCH("欠",W155)))</formula>
    </cfRule>
  </conditionalFormatting>
  <conditionalFormatting sqref="Z175">
    <cfRule type="containsText" dxfId="1" priority="518" operator="between" text="欠">
      <formula>NOT(ISERROR(SEARCH("欠",Z175)))</formula>
    </cfRule>
  </conditionalFormatting>
  <conditionalFormatting sqref="V188">
    <cfRule type="containsText" dxfId="1" priority="512" operator="between" text="欠">
      <formula>NOT(ISERROR(SEARCH("欠",V188)))</formula>
    </cfRule>
  </conditionalFormatting>
  <conditionalFormatting sqref="V190">
    <cfRule type="containsText" dxfId="1" priority="514" operator="between" text="欠">
      <formula>NOT(ISERROR(SEARCH("欠",V190)))</formula>
    </cfRule>
  </conditionalFormatting>
  <conditionalFormatting sqref="X190:Y190">
    <cfRule type="containsText" dxfId="1" priority="513" operator="between" text="欠">
      <formula>NOT(ISERROR(SEARCH("欠",X190)))</formula>
    </cfRule>
  </conditionalFormatting>
  <conditionalFormatting sqref="X209:Y209">
    <cfRule type="containsText" dxfId="1" priority="511" operator="between" text="欠">
      <formula>NOT(ISERROR(SEARCH("欠",X209)))</formula>
    </cfRule>
  </conditionalFormatting>
  <conditionalFormatting sqref="V244">
    <cfRule type="containsText" dxfId="1" priority="490" operator="between" text="欠">
      <formula>NOT(ISERROR(SEARCH("欠",V244)))</formula>
    </cfRule>
  </conditionalFormatting>
  <conditionalFormatting sqref="X244:Y244">
    <cfRule type="containsText" dxfId="1" priority="489" operator="between" text="欠">
      <formula>NOT(ISERROR(SEARCH("欠",X244)))</formula>
    </cfRule>
  </conditionalFormatting>
  <conditionalFormatting sqref="X245:Y245">
    <cfRule type="containsText" dxfId="1" priority="497" operator="between" text="欠">
      <formula>NOT(ISERROR(SEARCH("欠",X245)))</formula>
    </cfRule>
  </conditionalFormatting>
  <conditionalFormatting sqref="V254">
    <cfRule type="containsText" dxfId="1" priority="475" operator="between" text="欠">
      <formula>NOT(ISERROR(SEARCH("欠",V254)))</formula>
    </cfRule>
  </conditionalFormatting>
  <conditionalFormatting sqref="X254:Y254">
    <cfRule type="containsText" dxfId="1" priority="474" operator="between" text="欠">
      <formula>NOT(ISERROR(SEARCH("欠",X254)))</formula>
    </cfRule>
  </conditionalFormatting>
  <conditionalFormatting sqref="X255:Y255">
    <cfRule type="containsText" dxfId="1" priority="494" operator="between" text="欠">
      <formula>NOT(ISERROR(SEARCH("欠",X255)))</formula>
    </cfRule>
  </conditionalFormatting>
  <conditionalFormatting sqref="W264">
    <cfRule type="containsText" dxfId="1" priority="468" operator="between" text="欠">
      <formula>NOT(ISERROR(SEARCH("欠",W264)))</formula>
    </cfRule>
  </conditionalFormatting>
  <conditionalFormatting sqref="W265">
    <cfRule type="containsText" dxfId="1" priority="467" operator="between" text="欠">
      <formula>NOT(ISERROR(SEARCH("欠",W265)))</formula>
    </cfRule>
  </conditionalFormatting>
  <conditionalFormatting sqref="W266">
    <cfRule type="containsText" dxfId="1" priority="466" operator="between" text="欠">
      <formula>NOT(ISERROR(SEARCH("欠",W266)))</formula>
    </cfRule>
  </conditionalFormatting>
  <conditionalFormatting sqref="W267">
    <cfRule type="containsText" dxfId="1" priority="465" operator="between" text="欠">
      <formula>NOT(ISERROR(SEARCH("欠",W267)))</formula>
    </cfRule>
  </conditionalFormatting>
  <conditionalFormatting sqref="W268">
    <cfRule type="containsText" dxfId="1" priority="464" operator="between" text="欠">
      <formula>NOT(ISERROR(SEARCH("欠",W268)))</formula>
    </cfRule>
  </conditionalFormatting>
  <conditionalFormatting sqref="W269">
    <cfRule type="containsText" dxfId="1" priority="463" operator="between" text="欠">
      <formula>NOT(ISERROR(SEARCH("欠",W269)))</formula>
    </cfRule>
  </conditionalFormatting>
  <conditionalFormatting sqref="W270">
    <cfRule type="containsText" dxfId="1" priority="462" operator="between" text="欠">
      <formula>NOT(ISERROR(SEARCH("欠",W270)))</formula>
    </cfRule>
  </conditionalFormatting>
  <conditionalFormatting sqref="W271">
    <cfRule type="containsText" dxfId="1" priority="461" operator="between" text="欠">
      <formula>NOT(ISERROR(SEARCH("欠",W271)))</formula>
    </cfRule>
  </conditionalFormatting>
  <conditionalFormatting sqref="X276:Y276">
    <cfRule type="containsText" dxfId="1" priority="480" operator="between" text="欠">
      <formula>NOT(ISERROR(SEARCH("欠",X276)))</formula>
    </cfRule>
  </conditionalFormatting>
  <conditionalFormatting sqref="W287">
    <cfRule type="containsText" dxfId="1" priority="435" operator="between" text="欠">
      <formula>NOT(ISERROR(SEARCH("欠",W287)))</formula>
    </cfRule>
  </conditionalFormatting>
  <conditionalFormatting sqref="V293">
    <cfRule type="containsText" dxfId="1" priority="368" operator="between" text="欠">
      <formula>NOT(ISERROR(SEARCH("欠",V293)))</formula>
    </cfRule>
  </conditionalFormatting>
  <conditionalFormatting sqref="W293">
    <cfRule type="containsText" dxfId="1" priority="369" operator="between" text="欠">
      <formula>NOT(ISERROR(SEARCH("欠",W293)))</formula>
    </cfRule>
  </conditionalFormatting>
  <conditionalFormatting sqref="V296">
    <cfRule type="containsText" dxfId="1" priority="362" operator="between" text="欠">
      <formula>NOT(ISERROR(SEARCH("欠",V296)))</formula>
    </cfRule>
  </conditionalFormatting>
  <conditionalFormatting sqref="X296:Y296">
    <cfRule type="containsText" dxfId="1" priority="361" operator="between" text="欠">
      <formula>NOT(ISERROR(SEARCH("欠",X296)))</formula>
    </cfRule>
  </conditionalFormatting>
  <conditionalFormatting sqref="X299:Y299">
    <cfRule type="containsText" dxfId="1" priority="436" operator="between" text="欠">
      <formula>NOT(ISERROR(SEARCH("欠",X299)))</formula>
    </cfRule>
  </conditionalFormatting>
  <conditionalFormatting sqref="W305">
    <cfRule type="containsText" dxfId="1" priority="398" operator="between" text="欠">
      <formula>NOT(ISERROR(SEARCH("欠",W305)))</formula>
    </cfRule>
  </conditionalFormatting>
  <conditionalFormatting sqref="W306">
    <cfRule type="containsText" dxfId="1" priority="397" operator="between" text="欠">
      <formula>NOT(ISERROR(SEARCH("欠",W306)))</formula>
    </cfRule>
  </conditionalFormatting>
  <conditionalFormatting sqref="W307">
    <cfRule type="containsText" dxfId="1" priority="396" operator="between" text="欠">
      <formula>NOT(ISERROR(SEARCH("欠",W307)))</formula>
    </cfRule>
  </conditionalFormatting>
  <conditionalFormatting sqref="W308">
    <cfRule type="containsText" dxfId="1" priority="395" operator="between" text="欠">
      <formula>NOT(ISERROR(SEARCH("欠",W308)))</formula>
    </cfRule>
  </conditionalFormatting>
  <conditionalFormatting sqref="W309">
    <cfRule type="containsText" dxfId="1" priority="394" operator="between" text="欠">
      <formula>NOT(ISERROR(SEARCH("欠",W309)))</formula>
    </cfRule>
  </conditionalFormatting>
  <conditionalFormatting sqref="W310">
    <cfRule type="containsText" dxfId="1" priority="393" operator="between" text="欠">
      <formula>NOT(ISERROR(SEARCH("欠",W310)))</formula>
    </cfRule>
  </conditionalFormatting>
  <conditionalFormatting sqref="W311">
    <cfRule type="containsText" dxfId="1" priority="392" operator="between" text="欠">
      <formula>NOT(ISERROR(SEARCH("欠",W311)))</formula>
    </cfRule>
  </conditionalFormatting>
  <conditionalFormatting sqref="W312">
    <cfRule type="containsText" dxfId="1" priority="375" operator="between" text="欠">
      <formula>NOT(ISERROR(SEARCH("欠",W312)))</formula>
    </cfRule>
  </conditionalFormatting>
  <conditionalFormatting sqref="W313">
    <cfRule type="containsText" dxfId="1" priority="374" operator="between" text="欠">
      <formula>NOT(ISERROR(SEARCH("欠",W313)))</formula>
    </cfRule>
  </conditionalFormatting>
  <conditionalFormatting sqref="X316:Y316">
    <cfRule type="containsText" dxfId="1" priority="364" operator="between" text="欠">
      <formula>NOT(ISERROR(SEARCH("欠",X316)))</formula>
    </cfRule>
  </conditionalFormatting>
  <conditionalFormatting sqref="X317:Y317">
    <cfRule type="containsText" dxfId="1" priority="358" operator="between" text="欠">
      <formula>NOT(ISERROR(SEARCH("欠",X317)))</formula>
    </cfRule>
  </conditionalFormatting>
  <conditionalFormatting sqref="V318">
    <cfRule type="containsText" dxfId="1" priority="431" operator="between" text="欠">
      <formula>NOT(ISERROR(SEARCH("欠",V318)))</formula>
    </cfRule>
  </conditionalFormatting>
  <conditionalFormatting sqref="X318:Y318">
    <cfRule type="containsText" dxfId="1" priority="430" operator="between" text="欠">
      <formula>NOT(ISERROR(SEARCH("欠",X318)))</formula>
    </cfRule>
  </conditionalFormatting>
  <conditionalFormatting sqref="W319">
    <cfRule type="containsText" dxfId="1" priority="429" operator="between" text="欠">
      <formula>NOT(ISERROR(SEARCH("欠",W319)))</formula>
    </cfRule>
  </conditionalFormatting>
  <conditionalFormatting sqref="W320">
    <cfRule type="containsText" dxfId="1" priority="426" operator="between" text="欠">
      <formula>NOT(ISERROR(SEARCH("欠",W320)))</formula>
    </cfRule>
  </conditionalFormatting>
  <conditionalFormatting sqref="W326">
    <cfRule type="containsText" dxfId="1" priority="417" operator="between" text="欠">
      <formula>NOT(ISERROR(SEARCH("欠",W326)))</formula>
    </cfRule>
  </conditionalFormatting>
  <conditionalFormatting sqref="W334">
    <cfRule type="containsText" dxfId="1" priority="414" operator="between" text="欠">
      <formula>NOT(ISERROR(SEARCH("欠",W334)))</formula>
    </cfRule>
  </conditionalFormatting>
  <conditionalFormatting sqref="W338">
    <cfRule type="containsText" dxfId="1" priority="408" operator="between" text="欠">
      <formula>NOT(ISERROR(SEARCH("欠",W338)))</formula>
    </cfRule>
  </conditionalFormatting>
  <conditionalFormatting sqref="X342:Y342">
    <cfRule type="containsText" dxfId="1" priority="348" operator="between" text="欠">
      <formula>NOT(ISERROR(SEARCH("欠",X342)))</formula>
    </cfRule>
  </conditionalFormatting>
  <conditionalFormatting sqref="W344:Y344">
    <cfRule type="containsText" dxfId="1" priority="442" operator="between" text="欠">
      <formula>NOT(ISERROR(SEARCH("欠",W344)))</formula>
    </cfRule>
  </conditionalFormatting>
  <conditionalFormatting sqref="V354">
    <cfRule type="containsText" dxfId="1" priority="356" operator="between" text="欠">
      <formula>NOT(ISERROR(SEARCH("欠",V354)))</formula>
    </cfRule>
  </conditionalFormatting>
  <conditionalFormatting sqref="V356">
    <cfRule type="containsText" dxfId="1" priority="344" operator="between" text="欠">
      <formula>NOT(ISERROR(SEARCH("欠",V356)))</formula>
    </cfRule>
  </conditionalFormatting>
  <conditionalFormatting sqref="V357">
    <cfRule type="containsText" dxfId="1" priority="343" operator="between" text="欠">
      <formula>NOT(ISERROR(SEARCH("欠",V357)))</formula>
    </cfRule>
  </conditionalFormatting>
  <conditionalFormatting sqref="W381">
    <cfRule type="containsText" dxfId="1" priority="402" operator="between" text="欠">
      <formula>NOT(ISERROR(SEARCH("欠",W381)))</formula>
    </cfRule>
  </conditionalFormatting>
  <conditionalFormatting sqref="V394">
    <cfRule type="containsText" dxfId="1" priority="341" operator="between" text="欠">
      <formula>NOT(ISERROR(SEARCH("欠",V394)))</formula>
    </cfRule>
  </conditionalFormatting>
  <conditionalFormatting sqref="X394:Y394">
    <cfRule type="containsText" dxfId="1" priority="340" operator="between" text="欠">
      <formula>NOT(ISERROR(SEARCH("欠",X394)))</formula>
    </cfRule>
  </conditionalFormatting>
  <conditionalFormatting sqref="V402:W402">
    <cfRule type="containsText" dxfId="1" priority="330" operator="between" text="欠">
      <formula>NOT(ISERROR(SEARCH("欠",V402)))</formula>
    </cfRule>
  </conditionalFormatting>
  <conditionalFormatting sqref="X402:Y402">
    <cfRule type="containsText" dxfId="1" priority="328" operator="between" text="欠">
      <formula>NOT(ISERROR(SEARCH("欠",X402)))</formula>
    </cfRule>
  </conditionalFormatting>
  <conditionalFormatting sqref="Z402">
    <cfRule type="containsText" dxfId="1" priority="329" operator="between" text="欠">
      <formula>NOT(ISERROR(SEARCH("欠",Z402)))</formula>
    </cfRule>
  </conditionalFormatting>
  <conditionalFormatting sqref="Z408">
    <cfRule type="containsText" dxfId="1" priority="254" operator="between" text="欠">
      <formula>NOT(ISERROR(SEARCH("欠",Z408)))</formula>
    </cfRule>
  </conditionalFormatting>
  <conditionalFormatting sqref="V410">
    <cfRule type="containsText" dxfId="1" priority="323" operator="between" text="欠">
      <formula>NOT(ISERROR(SEARCH("欠",V410)))</formula>
    </cfRule>
  </conditionalFormatting>
  <conditionalFormatting sqref="W410">
    <cfRule type="containsText" dxfId="1" priority="322" operator="between" text="欠">
      <formula>NOT(ISERROR(SEARCH("欠",W410)))</formula>
    </cfRule>
  </conditionalFormatting>
  <conditionalFormatting sqref="X410:Y410">
    <cfRule type="containsText" dxfId="1" priority="320" operator="between" text="欠">
      <formula>NOT(ISERROR(SEARCH("欠",X410)))</formula>
    </cfRule>
  </conditionalFormatting>
  <conditionalFormatting sqref="Z410">
    <cfRule type="containsText" dxfId="1" priority="321" operator="between" text="欠">
      <formula>NOT(ISERROR(SEARCH("欠",Z410)))</formula>
    </cfRule>
  </conditionalFormatting>
  <conditionalFormatting sqref="W411">
    <cfRule type="containsText" dxfId="1" priority="317" operator="between" text="欠">
      <formula>NOT(ISERROR(SEARCH("欠",W411)))</formula>
    </cfRule>
  </conditionalFormatting>
  <conditionalFormatting sqref="X411:Y411">
    <cfRule type="containsText" dxfId="1" priority="315" operator="between" text="欠">
      <formula>NOT(ISERROR(SEARCH("欠",X411)))</formula>
    </cfRule>
  </conditionalFormatting>
  <conditionalFormatting sqref="Z411">
    <cfRule type="containsText" dxfId="1" priority="316" operator="between" text="欠">
      <formula>NOT(ISERROR(SEARCH("欠",Z411)))</formula>
    </cfRule>
  </conditionalFormatting>
  <conditionalFormatting sqref="W412">
    <cfRule type="containsText" dxfId="1" priority="313" operator="between" text="欠">
      <formula>NOT(ISERROR(SEARCH("欠",W412)))</formula>
    </cfRule>
  </conditionalFormatting>
  <conditionalFormatting sqref="X412:Y412">
    <cfRule type="containsText" dxfId="1" priority="311" operator="between" text="欠">
      <formula>NOT(ISERROR(SEARCH("欠",X412)))</formula>
    </cfRule>
  </conditionalFormatting>
  <conditionalFormatting sqref="Z412">
    <cfRule type="containsText" dxfId="1" priority="312" operator="between" text="欠">
      <formula>NOT(ISERROR(SEARCH("欠",Z412)))</formula>
    </cfRule>
  </conditionalFormatting>
  <conditionalFormatting sqref="Z413">
    <cfRule type="containsText" dxfId="1" priority="253" operator="between" text="欠">
      <formula>NOT(ISERROR(SEARCH("欠",Z413)))</formula>
    </cfRule>
  </conditionalFormatting>
  <conditionalFormatting sqref="X418:Y418">
    <cfRule type="containsText" dxfId="1" priority="319" operator="between" text="欠">
      <formula>NOT(ISERROR(SEARCH("欠",X418)))</formula>
    </cfRule>
  </conditionalFormatting>
  <conditionalFormatting sqref="W420">
    <cfRule type="containsText" dxfId="1" priority="297" operator="between" text="欠">
      <formula>NOT(ISERROR(SEARCH("欠",W420)))</formula>
    </cfRule>
  </conditionalFormatting>
  <conditionalFormatting sqref="W421">
    <cfRule type="containsText" dxfId="1" priority="296" operator="between" text="欠">
      <formula>NOT(ISERROR(SEARCH("欠",W421)))</formula>
    </cfRule>
  </conditionalFormatting>
  <conditionalFormatting sqref="W422">
    <cfRule type="containsText" dxfId="1" priority="295" operator="between" text="欠">
      <formula>NOT(ISERROR(SEARCH("欠",W422)))</formula>
    </cfRule>
  </conditionalFormatting>
  <conditionalFormatting sqref="W423">
    <cfRule type="containsText" dxfId="1" priority="294" operator="between" text="欠">
      <formula>NOT(ISERROR(SEARCH("欠",W423)))</formula>
    </cfRule>
  </conditionalFormatting>
  <conditionalFormatting sqref="W424">
    <cfRule type="containsText" dxfId="1" priority="293" operator="between" text="欠">
      <formula>NOT(ISERROR(SEARCH("欠",W424)))</formula>
    </cfRule>
  </conditionalFormatting>
  <conditionalFormatting sqref="W425">
    <cfRule type="containsText" dxfId="1" priority="268" operator="between" text="欠">
      <formula>NOT(ISERROR(SEARCH("欠",W425)))</formula>
    </cfRule>
  </conditionalFormatting>
  <conditionalFormatting sqref="W426">
    <cfRule type="containsText" dxfId="1" priority="267" operator="between" text="欠">
      <formula>NOT(ISERROR(SEARCH("欠",W426)))</formula>
    </cfRule>
  </conditionalFormatting>
  <conditionalFormatting sqref="W427">
    <cfRule type="containsText" dxfId="1" priority="266" operator="between" text="欠">
      <formula>NOT(ISERROR(SEARCH("欠",W427)))</formula>
    </cfRule>
  </conditionalFormatting>
  <conditionalFormatting sqref="W428">
    <cfRule type="containsText" dxfId="1" priority="265" operator="between" text="欠">
      <formula>NOT(ISERROR(SEARCH("欠",W428)))</formula>
    </cfRule>
  </conditionalFormatting>
  <conditionalFormatting sqref="W429">
    <cfRule type="containsText" dxfId="1" priority="264" operator="between" text="欠">
      <formula>NOT(ISERROR(SEARCH("欠",W429)))</formula>
    </cfRule>
  </conditionalFormatting>
  <conditionalFormatting sqref="W430">
    <cfRule type="containsText" dxfId="1" priority="263" operator="between" text="欠">
      <formula>NOT(ISERROR(SEARCH("欠",W430)))</formula>
    </cfRule>
  </conditionalFormatting>
  <conditionalFormatting sqref="W431">
    <cfRule type="containsText" dxfId="1" priority="259" operator="between" text="欠">
      <formula>NOT(ISERROR(SEARCH("欠",W431)))</formula>
    </cfRule>
  </conditionalFormatting>
  <conditionalFormatting sqref="Z431">
    <cfRule type="containsText" dxfId="1" priority="261" operator="between" text="欠">
      <formula>NOT(ISERROR(SEARCH("欠",Z431)))</formula>
    </cfRule>
  </conditionalFormatting>
  <conditionalFormatting sqref="W432">
    <cfRule type="containsText" dxfId="1" priority="255" operator="between" text="欠">
      <formula>NOT(ISERROR(SEARCH("欠",W432)))</formula>
    </cfRule>
  </conditionalFormatting>
  <conditionalFormatting sqref="Z432">
    <cfRule type="containsText" dxfId="1" priority="257" operator="between" text="欠">
      <formula>NOT(ISERROR(SEARCH("欠",Z432)))</formula>
    </cfRule>
  </conditionalFormatting>
  <conditionalFormatting sqref="Z433">
    <cfRule type="containsText" dxfId="1" priority="236" operator="between" text="欠">
      <formula>NOT(ISERROR(SEARCH("欠",Z433)))</formula>
    </cfRule>
  </conditionalFormatting>
  <conditionalFormatting sqref="V434">
    <cfRule type="containsText" dxfId="1" priority="243" operator="between" text="欠">
      <formula>NOT(ISERROR(SEARCH("欠",V434)))</formula>
    </cfRule>
  </conditionalFormatting>
  <conditionalFormatting sqref="Z434">
    <cfRule type="containsText" dxfId="1" priority="242" operator="between" text="欠">
      <formula>NOT(ISERROR(SEARCH("欠",Z434)))</formula>
    </cfRule>
  </conditionalFormatting>
  <conditionalFormatting sqref="W437">
    <cfRule type="containsText" dxfId="1" priority="240" operator="between" text="欠">
      <formula>NOT(ISERROR(SEARCH("欠",W437)))</formula>
    </cfRule>
  </conditionalFormatting>
  <conditionalFormatting sqref="Z438">
    <cfRule type="containsText" dxfId="1" priority="209" operator="between" text="欠">
      <formula>NOT(ISERROR(SEARCH("欠",Z438)))</formula>
    </cfRule>
  </conditionalFormatting>
  <conditionalFormatting sqref="W442">
    <cfRule type="containsText" dxfId="1" priority="230" operator="between" text="欠">
      <formula>NOT(ISERROR(SEARCH("欠",W442)))</formula>
    </cfRule>
  </conditionalFormatting>
  <conditionalFormatting sqref="Z442">
    <cfRule type="containsText" dxfId="1" priority="226" operator="between" text="欠">
      <formula>NOT(ISERROR(SEARCH("欠",Z442)))</formula>
    </cfRule>
  </conditionalFormatting>
  <conditionalFormatting sqref="W443">
    <cfRule type="containsText" dxfId="1" priority="229" operator="between" text="欠">
      <formula>NOT(ISERROR(SEARCH("欠",W443)))</formula>
    </cfRule>
  </conditionalFormatting>
  <conditionalFormatting sqref="Z443">
    <cfRule type="containsText" dxfId="1" priority="225" operator="between" text="欠">
      <formula>NOT(ISERROR(SEARCH("欠",Z443)))</formula>
    </cfRule>
  </conditionalFormatting>
  <conditionalFormatting sqref="W444">
    <cfRule type="containsText" dxfId="1" priority="228" operator="between" text="欠">
      <formula>NOT(ISERROR(SEARCH("欠",W444)))</formula>
    </cfRule>
  </conditionalFormatting>
  <conditionalFormatting sqref="Z444">
    <cfRule type="containsText" dxfId="1" priority="224" operator="between" text="欠">
      <formula>NOT(ISERROR(SEARCH("欠",Z444)))</formula>
    </cfRule>
  </conditionalFormatting>
  <conditionalFormatting sqref="W449">
    <cfRule type="containsText" dxfId="1" priority="214" operator="between" text="欠">
      <formula>NOT(ISERROR(SEARCH("欠",W449)))</formula>
    </cfRule>
  </conditionalFormatting>
  <conditionalFormatting sqref="Z449">
    <cfRule type="containsText" dxfId="1" priority="213" operator="between" text="欠">
      <formula>NOT(ISERROR(SEARCH("欠",Z449)))</formula>
    </cfRule>
  </conditionalFormatting>
  <conditionalFormatting sqref="V452">
    <cfRule type="cellIs" dxfId="0" priority="112" operator="equal">
      <formula>"欠"</formula>
    </cfRule>
  </conditionalFormatting>
  <conditionalFormatting sqref="V456">
    <cfRule type="containsText" dxfId="1" priority="325" operator="between" text="欠">
      <formula>NOT(ISERROR(SEARCH("欠",V456)))</formula>
    </cfRule>
  </conditionalFormatting>
  <conditionalFormatting sqref="X456:Y456">
    <cfRule type="containsText" dxfId="1" priority="324" operator="between" text="欠">
      <formula>NOT(ISERROR(SEARCH("欠",X456)))</formula>
    </cfRule>
  </conditionalFormatting>
  <conditionalFormatting sqref="U457">
    <cfRule type="containsText" dxfId="1" priority="180" operator="between" text="欠">
      <formula>NOT(ISERROR(SEARCH("欠",U457)))</formula>
    </cfRule>
  </conditionalFormatting>
  <conditionalFormatting sqref="XFC457">
    <cfRule type="containsText" dxfId="1" priority="173" operator="between" text="欠">
      <formula>NOT(ISERROR(SEARCH("欠",XFC457)))</formula>
    </cfRule>
  </conditionalFormatting>
  <conditionalFormatting sqref="XFD457">
    <cfRule type="containsText" dxfId="1" priority="179" operator="between" text="欠">
      <formula>NOT(ISERROR(SEARCH("欠",XFD457)))</formula>
    </cfRule>
  </conditionalFormatting>
  <conditionalFormatting sqref="X459:Y459">
    <cfRule type="containsText" dxfId="1" priority="109" operator="between" text="欠">
      <formula>NOT(ISERROR(SEARCH("欠",X459)))</formula>
    </cfRule>
  </conditionalFormatting>
  <conditionalFormatting sqref="X460:Y460">
    <cfRule type="containsText" dxfId="1" priority="108" operator="between" text="欠">
      <formula>NOT(ISERROR(SEARCH("欠",X460)))</formula>
    </cfRule>
  </conditionalFormatting>
  <conditionalFormatting sqref="W462">
    <cfRule type="containsText" dxfId="1" priority="138" operator="between" text="欠">
      <formula>NOT(ISERROR(SEARCH("欠",W462)))</formula>
    </cfRule>
  </conditionalFormatting>
  <conditionalFormatting sqref="V464">
    <cfRule type="cellIs" dxfId="0" priority="104" operator="equal">
      <formula>"欠"</formula>
    </cfRule>
  </conditionalFormatting>
  <conditionalFormatting sqref="W464">
    <cfRule type="containsText" dxfId="1" priority="107" operator="between" text="欠">
      <formula>NOT(ISERROR(SEARCH("欠",W464)))</formula>
    </cfRule>
  </conditionalFormatting>
  <conditionalFormatting sqref="Z464">
    <cfRule type="containsText" dxfId="1" priority="106" operator="between" text="欠">
      <formula>NOT(ISERROR(SEARCH("欠",Z464)))</formula>
    </cfRule>
  </conditionalFormatting>
  <conditionalFormatting sqref="V467">
    <cfRule type="cellIs" dxfId="0" priority="113" operator="equal">
      <formula>"欠"</formula>
    </cfRule>
    <cfRule type="containsText" dxfId="1" priority="114" operator="between" text="欠">
      <formula>NOT(ISERROR(SEARCH("欠",V467)))</formula>
    </cfRule>
  </conditionalFormatting>
  <conditionalFormatting sqref="W467">
    <cfRule type="containsText" dxfId="1" priority="117" operator="between" text="欠">
      <formula>NOT(ISERROR(SEARCH("欠",W467)))</formula>
    </cfRule>
  </conditionalFormatting>
  <conditionalFormatting sqref="X467:Y467">
    <cfRule type="containsText" dxfId="1" priority="115" operator="between" text="欠">
      <formula>NOT(ISERROR(SEARCH("欠",X467)))</formula>
    </cfRule>
  </conditionalFormatting>
  <conditionalFormatting sqref="Z467">
    <cfRule type="containsText" dxfId="1" priority="116" operator="between" text="欠">
      <formula>NOT(ISERROR(SEARCH("欠",Z467)))</formula>
    </cfRule>
  </conditionalFormatting>
  <conditionalFormatting sqref="W468">
    <cfRule type="containsText" dxfId="1" priority="235" operator="between" text="欠">
      <formula>NOT(ISERROR(SEARCH("欠",W468)))</formula>
    </cfRule>
  </conditionalFormatting>
  <conditionalFormatting sqref="Z468">
    <cfRule type="containsText" dxfId="1" priority="234" operator="between" text="欠">
      <formula>NOT(ISERROR(SEARCH("欠",Z468)))</formula>
    </cfRule>
  </conditionalFormatting>
  <conditionalFormatting sqref="V470">
    <cfRule type="cellIs" dxfId="0" priority="119" operator="equal">
      <formula>"欠"</formula>
    </cfRule>
  </conditionalFormatting>
  <conditionalFormatting sqref="W470">
    <cfRule type="containsText" dxfId="1" priority="120" operator="between" text="欠">
      <formula>NOT(ISERROR(SEARCH("欠",W470)))</formula>
    </cfRule>
  </conditionalFormatting>
  <conditionalFormatting sqref="W481">
    <cfRule type="containsText" dxfId="1" priority="200" operator="between" text="欠">
      <formula>NOT(ISERROR(SEARCH("欠",W481)))</formula>
    </cfRule>
  </conditionalFormatting>
  <conditionalFormatting sqref="Z481">
    <cfRule type="containsText" dxfId="1" priority="198" operator="between" text="欠">
      <formula>NOT(ISERROR(SEARCH("欠",Z481)))</formula>
    </cfRule>
  </conditionalFormatting>
  <conditionalFormatting sqref="W483">
    <cfRule type="containsText" dxfId="1" priority="89" operator="between" text="欠">
      <formula>NOT(ISERROR(SEARCH("欠",W483)))</formula>
    </cfRule>
  </conditionalFormatting>
  <conditionalFormatting sqref="V489">
    <cfRule type="cellIs" dxfId="0" priority="84" operator="equal">
      <formula>"欠"</formula>
    </cfRule>
    <cfRule type="containsText" dxfId="1" priority="86" operator="between" text="欠">
      <formula>NOT(ISERROR(SEARCH("欠",V489)))</formula>
    </cfRule>
  </conditionalFormatting>
  <conditionalFormatting sqref="W489">
    <cfRule type="containsText" dxfId="1" priority="88" operator="between" text="欠">
      <formula>NOT(ISERROR(SEARCH("欠",W489)))</formula>
    </cfRule>
  </conditionalFormatting>
  <conditionalFormatting sqref="X489:Y489">
    <cfRule type="containsText" dxfId="1" priority="85" operator="between" text="欠">
      <formula>NOT(ISERROR(SEARCH("欠",X489)))</formula>
    </cfRule>
  </conditionalFormatting>
  <conditionalFormatting sqref="Z489">
    <cfRule type="containsText" dxfId="1" priority="87" operator="between" text="欠">
      <formula>NOT(ISERROR(SEARCH("欠",Z489)))</formula>
    </cfRule>
  </conditionalFormatting>
  <conditionalFormatting sqref="W490">
    <cfRule type="containsText" dxfId="1" priority="103" operator="between" text="欠">
      <formula>NOT(ISERROR(SEARCH("欠",W490)))</formula>
    </cfRule>
  </conditionalFormatting>
  <conditionalFormatting sqref="X498:Y498">
    <cfRule type="containsText" dxfId="1" priority="70" operator="between" text="欠">
      <formula>NOT(ISERROR(SEARCH("欠",X498)))</formula>
    </cfRule>
  </conditionalFormatting>
  <conditionalFormatting sqref="Z508">
    <cfRule type="containsText" dxfId="1" priority="71" operator="between" text="欠">
      <formula>NOT(ISERROR(SEARCH("欠",Z508)))</formula>
    </cfRule>
  </conditionalFormatting>
  <conditionalFormatting sqref="T509">
    <cfRule type="containsText" dxfId="1" priority="58" operator="between" text="欠">
      <formula>NOT(ISERROR(SEARCH("欠",T509)))</formula>
    </cfRule>
  </conditionalFormatting>
  <conditionalFormatting sqref="W510">
    <cfRule type="containsText" dxfId="1" priority="64" operator="between" text="欠">
      <formula>NOT(ISERROR(SEARCH("欠",W510)))</formula>
    </cfRule>
  </conditionalFormatting>
  <conditionalFormatting sqref="W511">
    <cfRule type="containsText" dxfId="1" priority="68" operator="between" text="欠">
      <formula>NOT(ISERROR(SEARCH("欠",W511)))</formula>
    </cfRule>
  </conditionalFormatting>
  <conditionalFormatting sqref="V513">
    <cfRule type="cellIs" dxfId="0" priority="59" operator="equal">
      <formula>"欠"</formula>
    </cfRule>
    <cfRule type="containsText" dxfId="1" priority="60" operator="between" text="欠">
      <formula>NOT(ISERROR(SEARCH("欠",V513)))</formula>
    </cfRule>
  </conditionalFormatting>
  <conditionalFormatting sqref="W515">
    <cfRule type="containsText" dxfId="1" priority="83" operator="between" text="欠">
      <formula>NOT(ISERROR(SEARCH("欠",W515)))</formula>
    </cfRule>
  </conditionalFormatting>
  <conditionalFormatting sqref="W516">
    <cfRule type="containsText" dxfId="1" priority="78" operator="between" text="欠">
      <formula>NOT(ISERROR(SEARCH("欠",W516)))</formula>
    </cfRule>
  </conditionalFormatting>
  <conditionalFormatting sqref="V517">
    <cfRule type="cellIs" dxfId="0" priority="54" operator="equal">
      <formula>"欠"</formula>
    </cfRule>
    <cfRule type="containsText" dxfId="1" priority="55" operator="between" text="欠">
      <formula>NOT(ISERROR(SEARCH("欠",V517)))</formula>
    </cfRule>
  </conditionalFormatting>
  <conditionalFormatting sqref="X517:Y517">
    <cfRule type="containsText" dxfId="1" priority="56" operator="between" text="欠">
      <formula>NOT(ISERROR(SEARCH("欠",X517)))</formula>
    </cfRule>
  </conditionalFormatting>
  <conditionalFormatting sqref="W518">
    <cfRule type="containsText" dxfId="1" priority="27" operator="between" text="欠">
      <formula>NOT(ISERROR(SEARCH("欠",W518)))</formula>
    </cfRule>
  </conditionalFormatting>
  <conditionalFormatting sqref="W520">
    <cfRule type="containsText" dxfId="1" priority="39" operator="between" text="欠">
      <formula>NOT(ISERROR(SEARCH("欠",W520)))</formula>
    </cfRule>
  </conditionalFormatting>
  <conditionalFormatting sqref="W523">
    <cfRule type="containsText" dxfId="1" priority="35" operator="between" text="欠">
      <formula>NOT(ISERROR(SEARCH("欠",W523)))</formula>
    </cfRule>
  </conditionalFormatting>
  <conditionalFormatting sqref="W524">
    <cfRule type="containsText" dxfId="1" priority="19" operator="between" text="欠">
      <formula>NOT(ISERROR(SEARCH("欠",W524)))</formula>
    </cfRule>
  </conditionalFormatting>
  <conditionalFormatting sqref="W525">
    <cfRule type="containsText" dxfId="1" priority="15" operator="between" text="欠">
      <formula>NOT(ISERROR(SEARCH("欠",W525)))</formula>
    </cfRule>
  </conditionalFormatting>
  <conditionalFormatting sqref="V527">
    <cfRule type="cellIs" dxfId="0" priority="40" operator="equal">
      <formula>"欠"</formula>
    </cfRule>
    <cfRule type="containsText" dxfId="1" priority="41" operator="between" text="欠">
      <formula>NOT(ISERROR(SEARCH("欠",V527)))</formula>
    </cfRule>
  </conditionalFormatting>
  <conditionalFormatting sqref="X527:Y527">
    <cfRule type="containsText" dxfId="1" priority="42" operator="between" text="欠">
      <formula>NOT(ISERROR(SEARCH("欠",X527)))</formula>
    </cfRule>
  </conditionalFormatting>
  <conditionalFormatting sqref="W529">
    <cfRule type="containsText" dxfId="1" priority="11" operator="between" text="欠">
      <formula>NOT(ISERROR(SEARCH("欠",W529)))</formula>
    </cfRule>
  </conditionalFormatting>
  <conditionalFormatting sqref="W530">
    <cfRule type="containsText" dxfId="1" priority="7" operator="between" text="欠">
      <formula>NOT(ISERROR(SEARCH("欠",W530)))</formula>
    </cfRule>
  </conditionalFormatting>
  <conditionalFormatting sqref="R452:R453">
    <cfRule type="containsText" dxfId="1" priority="152" operator="between" text="欠">
      <formula>NOT(ISERROR(SEARCH("欠",R452)))</formula>
    </cfRule>
  </conditionalFormatting>
  <conditionalFormatting sqref="U452:U453">
    <cfRule type="containsText" dxfId="1" priority="149" operator="between" text="欠">
      <formula>NOT(ISERROR(SEARCH("欠",U452)))</formula>
    </cfRule>
  </conditionalFormatting>
  <conditionalFormatting sqref="U458:U460">
    <cfRule type="containsText" dxfId="1" priority="172" operator="between" text="欠">
      <formula>NOT(ISERROR(SEARCH("欠",U458)))</formula>
    </cfRule>
  </conditionalFormatting>
  <conditionalFormatting sqref="V297:V298">
    <cfRule type="containsText" dxfId="1" priority="440" operator="between" text="欠">
      <formula>NOT(ISERROR(SEARCH("欠",V297)))</formula>
    </cfRule>
  </conditionalFormatting>
  <conditionalFormatting sqref="V304:V313">
    <cfRule type="containsText" dxfId="1" priority="391" operator="between" text="欠">
      <formula>NOT(ISERROR(SEARCH("欠",V304)))</formula>
    </cfRule>
  </conditionalFormatting>
  <conditionalFormatting sqref="V411:V412">
    <cfRule type="containsText" dxfId="1" priority="318" operator="between" text="欠">
      <formula>NOT(ISERROR(SEARCH("欠",V411)))</formula>
    </cfRule>
  </conditionalFormatting>
  <conditionalFormatting sqref="V419:V430">
    <cfRule type="containsText" dxfId="1" priority="304" operator="between" text="欠">
      <formula>NOT(ISERROR(SEARCH("欠",V419)))</formula>
    </cfRule>
  </conditionalFormatting>
  <conditionalFormatting sqref="V431:V432">
    <cfRule type="containsText" dxfId="1" priority="262" operator="between" text="欠">
      <formula>NOT(ISERROR(SEARCH("欠",V431)))</formula>
    </cfRule>
  </conditionalFormatting>
  <conditionalFormatting sqref="V449:V451">
    <cfRule type="containsText" dxfId="1" priority="210" operator="between" text="欠">
      <formula>NOT(ISERROR(SEARCH("欠",V449)))</formula>
    </cfRule>
  </conditionalFormatting>
  <conditionalFormatting sqref="V465:V466">
    <cfRule type="containsText" dxfId="1" priority="131" operator="between" text="欠">
      <formula>NOT(ISERROR(SEARCH("欠",V465)))</formula>
    </cfRule>
  </conditionalFormatting>
  <conditionalFormatting sqref="V471:V472">
    <cfRule type="cellIs" dxfId="0" priority="111" operator="equal">
      <formula>"欠"</formula>
    </cfRule>
  </conditionalFormatting>
  <conditionalFormatting sqref="V473:V480">
    <cfRule type="cellIs" dxfId="0" priority="110" operator="equal">
      <formula>"欠"</formula>
    </cfRule>
  </conditionalFormatting>
  <conditionalFormatting sqref="V510:V511">
    <cfRule type="cellIs" dxfId="0" priority="61" operator="equal">
      <formula>"欠"</formula>
    </cfRule>
  </conditionalFormatting>
  <conditionalFormatting sqref="V519:V551">
    <cfRule type="cellIs" dxfId="0" priority="24" operator="equal">
      <formula>"欠"</formula>
    </cfRule>
    <cfRule type="containsText" dxfId="1" priority="26" operator="between" text="欠">
      <formula>NOT(ISERROR(SEARCH("欠",V519)))</formula>
    </cfRule>
  </conditionalFormatting>
  <conditionalFormatting sqref="W321:W323">
    <cfRule type="containsText" dxfId="1" priority="423" operator="between" text="欠">
      <formula>NOT(ISERROR(SEARCH("欠",W321)))</formula>
    </cfRule>
  </conditionalFormatting>
  <conditionalFormatting sqref="W324:W325">
    <cfRule type="containsText" dxfId="1" priority="420" operator="between" text="欠">
      <formula>NOT(ISERROR(SEARCH("欠",W324)))</formula>
    </cfRule>
  </conditionalFormatting>
  <conditionalFormatting sqref="W346:W349">
    <cfRule type="containsText" dxfId="1" priority="347" operator="between" text="欠">
      <formula>NOT(ISERROR(SEARCH("欠",W346)))</formula>
    </cfRule>
  </conditionalFormatting>
  <conditionalFormatting sqref="W408:W409">
    <cfRule type="containsText" dxfId="1" priority="333" operator="between" text="欠">
      <formula>NOT(ISERROR(SEARCH("欠",W408)))</formula>
    </cfRule>
  </conditionalFormatting>
  <conditionalFormatting sqref="W445:W446">
    <cfRule type="containsText" dxfId="1" priority="227" operator="between" text="欠">
      <formula>NOT(ISERROR(SEARCH("欠",W445)))</formula>
    </cfRule>
  </conditionalFormatting>
  <conditionalFormatting sqref="W457:W461">
    <cfRule type="containsText" dxfId="1" priority="178" operator="between" text="欠">
      <formula>NOT(ISERROR(SEARCH("欠",W457)))</formula>
    </cfRule>
  </conditionalFormatting>
  <conditionalFormatting sqref="W465:W466">
    <cfRule type="containsText" dxfId="1" priority="134" operator="between" text="欠">
      <formula>NOT(ISERROR(SEARCH("欠",W465)))</formula>
    </cfRule>
  </conditionalFormatting>
  <conditionalFormatting sqref="W471:W472">
    <cfRule type="containsText" dxfId="1" priority="126" operator="between" text="欠">
      <formula>NOT(ISERROR(SEARCH("欠",W471)))</formula>
    </cfRule>
  </conditionalFormatting>
  <conditionalFormatting sqref="W473:W480">
    <cfRule type="containsText" dxfId="1" priority="123" operator="between" text="欠">
      <formula>NOT(ISERROR(SEARCH("欠",W473)))</formula>
    </cfRule>
  </conditionalFormatting>
  <conditionalFormatting sqref="W528:W551">
    <cfRule type="containsText" dxfId="1" priority="31" operator="between" text="欠">
      <formula>NOT(ISERROR(SEARCH("欠",W528)))</formula>
    </cfRule>
  </conditionalFormatting>
  <conditionalFormatting sqref="Z100:Z103">
    <cfRule type="containsText" dxfId="1" priority="625" operator="between" text="欠">
      <formula>NOT(ISERROR(SEARCH("欠",Z100)))</formula>
    </cfRule>
  </conditionalFormatting>
  <conditionalFormatting sqref="Z445:Z446">
    <cfRule type="containsText" dxfId="1" priority="223" operator="between" text="欠">
      <formula>NOT(ISERROR(SEARCH("欠",Z445)))</formula>
    </cfRule>
  </conditionalFormatting>
  <conditionalFormatting sqref="Z452:Z453">
    <cfRule type="containsText" dxfId="1" priority="128" operator="between" text="欠">
      <formula>NOT(ISERROR(SEARCH("欠",Z452)))</formula>
    </cfRule>
  </conditionalFormatting>
  <conditionalFormatting sqref="Z465:Z466">
    <cfRule type="containsText" dxfId="1" priority="133" operator="between" text="欠">
      <formula>NOT(ISERROR(SEARCH("欠",Z465)))</formula>
    </cfRule>
  </conditionalFormatting>
  <conditionalFormatting sqref="Z471:Z472">
    <cfRule type="containsText" dxfId="1" priority="124" operator="between" text="欠">
      <formula>NOT(ISERROR(SEARCH("欠",Z471)))</formula>
    </cfRule>
  </conditionalFormatting>
  <conditionalFormatting sqref="Z473:Z480">
    <cfRule type="containsText" dxfId="1" priority="73" operator="between" text="欠">
      <formula>NOT(ISERROR(SEARCH("欠",Z473)))</formula>
    </cfRule>
  </conditionalFormatting>
  <conditionalFormatting sqref="Z490:Z493">
    <cfRule type="containsText" dxfId="1" priority="72" operator="between" text="欠">
      <formula>NOT(ISERROR(SEARCH("欠",Z490)))</formula>
    </cfRule>
  </conditionalFormatting>
  <conditionalFormatting sqref="Z510:Z511">
    <cfRule type="containsText" dxfId="1" priority="63" operator="between" text="欠">
      <formula>NOT(ISERROR(SEARCH("欠",Z510)))</formula>
    </cfRule>
  </conditionalFormatting>
  <conditionalFormatting sqref="Z518:Z520">
    <cfRule type="containsText" dxfId="1" priority="1" operator="between" text="欠">
      <formula>NOT(ISERROR(SEARCH("欠",Z518)))</formula>
    </cfRule>
  </conditionalFormatting>
  <conditionalFormatting sqref="XEG452:XEG453">
    <cfRule type="containsText" dxfId="1" priority="143" operator="between" text="欠">
      <formula>NOT(ISERROR(SEARCH("欠",XEG452)))</formula>
    </cfRule>
  </conditionalFormatting>
  <conditionalFormatting sqref="XEH452:XEH453">
    <cfRule type="containsText" dxfId="1" priority="150" operator="between" text="欠">
      <formula>NOT(ISERROR(SEARCH("欠",XEH452)))</formula>
    </cfRule>
  </conditionalFormatting>
  <conditionalFormatting sqref="XEI452:XEI453">
    <cfRule type="containsText" dxfId="1" priority="144" operator="between" text="欠">
      <formula>NOT(ISERROR(SEARCH("欠",XEI452)))</formula>
    </cfRule>
  </conditionalFormatting>
  <conditionalFormatting sqref="XEJ452:XEJ453">
    <cfRule type="containsText" dxfId="1" priority="147" operator="between" text="欠">
      <formula>NOT(ISERROR(SEARCH("欠",XEJ452)))</formula>
    </cfRule>
  </conditionalFormatting>
  <conditionalFormatting sqref="XFB452:XFB453">
    <cfRule type="containsText" dxfId="1" priority="151" operator="between" text="欠">
      <formula>NOT(ISERROR(SEARCH("欠",XFB452)))</formula>
    </cfRule>
  </conditionalFormatting>
  <conditionalFormatting sqref="XFC452:XFC453">
    <cfRule type="containsText" dxfId="1" priority="145" operator="between" text="欠">
      <formula>NOT(ISERROR(SEARCH("欠",XFC452)))</formula>
    </cfRule>
  </conditionalFormatting>
  <conditionalFormatting sqref="XFC458:XFC460">
    <cfRule type="containsText" dxfId="1" priority="165" operator="between" text="欠">
      <formula>NOT(ISERROR(SEARCH("欠",XFC458)))</formula>
    </cfRule>
  </conditionalFormatting>
  <conditionalFormatting sqref="XFD452:XFD453">
    <cfRule type="containsText" dxfId="1" priority="148" operator="between" text="欠">
      <formula>NOT(ISERROR(SEARCH("欠",XFD452)))</formula>
    </cfRule>
  </conditionalFormatting>
  <conditionalFormatting sqref="XFD458:XFD460">
    <cfRule type="containsText" dxfId="1" priority="171" operator="between" text="欠">
      <formula>NOT(ISERROR(SEARCH("欠",XFD458)))</formula>
    </cfRule>
  </conditionalFormatting>
  <conditionalFormatting sqref="V1:V451 V456 V465:V466 V468:V469 V481:V482 V495:V496 V505:V507 V553:V1048576">
    <cfRule type="cellIs" dxfId="0" priority="130" operator="equal">
      <formula>"欠"</formula>
    </cfRule>
  </conditionalFormatting>
  <conditionalFormatting sqref="V5:Z18 V19:Y20 V21:Z21 V22:Y23 V24:Z28 V29:Y32 V33:Z37 V38:W38 Z38 V39:Z47 Z48:Z49 V50:Z54 Z55:Z59 V60:Z65 W68:Z69 V72:Z88 V89:Y90 V91:Z92 W93 Z93 V94:Z99 V105:Z107 Z108 V109:Z109 V114:Z114 V117:V118 V120 V122:V125 W189 Z189 W191:W192 Z191:Z192 V210:Z211 W212:Z213 W217:W218 Z217:Z218 W221:W232 Z221:Z232 V233:Z233 W234:W236 Z234:Z236 W240 Z240 W243 Z243 W246:W249 Z246:Z249 V251:W251 Z251 W252 Z252 W256:W262 Z256:Z271 W274:W275 Z274:Z275 W277:W279 Z277:Z279 W282:W286 Z282:Z287 W288:W292 Z288:Z292 W294 Z294 W300:W303 Z300:Z303 W314:W315 Z314:Z315 Z319:Z328 W331:W332 Z331:Z332 Z334 W336:W337 Z336:Z338 W340:W341 Z340:Z341 W343 Z343 W345 Z345:Z349 W350:W353 Z350:Z353 W356:W357 Z356:Z357 W375 Z375 W382 Z382 W384 Z384 W385 W390:W393 Z390:Z393 W395 W397 Z397 W416 Z416 W546:W551">
    <cfRule type="containsText" dxfId="1" priority="695" operator="between" text="欠">
      <formula>NOT(ISERROR(SEARCH("欠",V5)))</formula>
    </cfRule>
  </conditionalFormatting>
  <conditionalFormatting sqref="V55:Y55 W56:Y59 V93 X93:Y93">
    <cfRule type="containsText" dxfId="1" priority="683" operator="between" text="欠">
      <formula>NOT(ISERROR(SEARCH("欠",V55)))</formula>
    </cfRule>
  </conditionalFormatting>
  <conditionalFormatting sqref="V56:V59 V66:V70">
    <cfRule type="containsText" dxfId="1" priority="655" operator="between" text="欠">
      <formula>NOT(ISERROR(SEARCH("欠",V56)))</formula>
    </cfRule>
  </conditionalFormatting>
  <conditionalFormatting sqref="W66:Y66 X67:Y67 X70:Y71">
    <cfRule type="containsText" dxfId="1" priority="670" operator="between" text="欠">
      <formula>NOT(ISERROR(SEARCH("欠",W66)))</formula>
    </cfRule>
  </conditionalFormatting>
  <conditionalFormatting sqref="Z66:Z67 Z70:Z71">
    <cfRule type="containsText" dxfId="1" priority="674" operator="between" text="欠">
      <formula>NOT(ISERROR(SEARCH("欠",Z66)))</formula>
    </cfRule>
  </conditionalFormatting>
  <conditionalFormatting sqref="U70 W70">
    <cfRule type="containsText" dxfId="1" priority="660" operator="between" text="欠">
      <formula>NOT(ISERROR(SEARCH("欠",U70)))</formula>
    </cfRule>
  </conditionalFormatting>
  <conditionalFormatting sqref="U71 W71">
    <cfRule type="containsText" dxfId="1" priority="658" operator="between" text="欠">
      <formula>NOT(ISERROR(SEARCH("欠",U71)))</formula>
    </cfRule>
  </conditionalFormatting>
  <conditionalFormatting sqref="U100:X100 X101:X103 V101:V103 U101">
    <cfRule type="containsText" dxfId="1" priority="642" operator="between" text="欠">
      <formula>NOT(ISERROR(SEARCH("欠",U100)))</formula>
    </cfRule>
  </conditionalFormatting>
  <conditionalFormatting sqref="Q102:Q103 U102:U103 W102">
    <cfRule type="containsText" dxfId="1" priority="632" operator="between" text="欠">
      <formula>NOT(ISERROR(SEARCH("欠",Q102)))</formula>
    </cfRule>
  </conditionalFormatting>
  <conditionalFormatting sqref="Q104 U104 W104">
    <cfRule type="containsText" dxfId="1" priority="619" operator="between" text="欠">
      <formula>NOT(ISERROR(SEARCH("欠",Q104)))</formula>
    </cfRule>
  </conditionalFormatting>
  <conditionalFormatting sqref="V104 X104:Y104">
    <cfRule type="containsText" dxfId="1" priority="623" operator="between" text="欠">
      <formula>NOT(ISERROR(SEARCH("欠",V104)))</formula>
    </cfRule>
  </conditionalFormatting>
  <conditionalFormatting sqref="V110:Z110 V112:Z112 V113:Y113">
    <cfRule type="containsText" dxfId="1" priority="677" operator="between" text="欠">
      <formula>NOT(ISERROR(SEARCH("欠",V110)))</formula>
    </cfRule>
  </conditionalFormatting>
  <conditionalFormatting sqref="U116 W116:Y116 X118:Y118">
    <cfRule type="containsText" dxfId="1" priority="604" operator="between" text="欠">
      <formula>NOT(ISERROR(SEARCH("欠",U116)))</formula>
    </cfRule>
  </conditionalFormatting>
  <conditionalFormatting sqref="V116 V119:Z119">
    <cfRule type="containsText" dxfId="1" priority="607" operator="between" text="欠">
      <formula>NOT(ISERROR(SEARCH("欠",V116)))</formula>
    </cfRule>
  </conditionalFormatting>
  <conditionalFormatting sqref="W117:Z117 X120:Y120 X122:Y125">
    <cfRule type="containsText" dxfId="1" priority="680" operator="between" text="欠">
      <formula>NOT(ISERROR(SEARCH("欠",W117)))</formula>
    </cfRule>
  </conditionalFormatting>
  <conditionalFormatting sqref="Y120 W120 W118 Y122:Y124 W122:W125">
    <cfRule type="containsText" dxfId="1" priority="679" operator="between" text="欠">
      <formula>NOT(ISERROR(SEARCH("欠",W118)))</formula>
    </cfRule>
  </conditionalFormatting>
  <conditionalFormatting sqref="V121:Z121 V126:Z127 V129:Z130 W132:Y134 V138:Z141 V142:W142 Z142 V143:Z144 Z145 V146:Z149 V156:Z174 V175:Y175 V176:Z176 V177 X177:Y177 V178:Z180 V181 X181:Y181 V182:Z187 W188:Z188 V189 V191:V192 V193:Z195 V196:W209 Z196:Z209 V214:W214 Z214 V217:V218 V219:W220 Z219:Z220 V221:V232 V234:V236 V240 V243 V246:V249 V252 V253:Z253 V256:V262 V272:Z272 V274:V275 V277:V279 V282:V292 V294 V300:V303 V314:V315 V331:V332 V336:V337 V340:V341 V343 V350:V353 V358:Z358 V359:V372 V375:V380 V382:V385 V390:V393 V395 V396:Z396 V397 V398:Z398 W399:Z400 V401:Z401 W403 V404:W406 W407 V416 V417:W417 W433 W435:W436 W438 W450:W451 W454:W456 W463 V553:W554">
    <cfRule type="containsText" dxfId="1" priority="555" operator="between" text="欠">
      <formula>NOT(ISERROR(SEARCH("欠",V121)))</formula>
    </cfRule>
  </conditionalFormatting>
  <conditionalFormatting sqref="V131:Z131 V132:V134 Z132:Z134">
    <cfRule type="containsText" dxfId="1" priority="553" operator="between" text="欠">
      <formula>NOT(ISERROR(SEARCH("欠",V131)))</formula>
    </cfRule>
  </conditionalFormatting>
  <conditionalFormatting sqref="V135:W135 Z135 V136">
    <cfRule type="containsText" dxfId="1" priority="550" operator="between" text="欠">
      <formula>NOT(ISERROR(SEARCH("欠",V135)))</formula>
    </cfRule>
  </conditionalFormatting>
  <conditionalFormatting sqref="X135:Y136">
    <cfRule type="containsText" dxfId="1" priority="539" operator="between" text="欠">
      <formula>NOT(ISERROR(SEARCH("欠",X135)))</formula>
    </cfRule>
  </conditionalFormatting>
  <conditionalFormatting sqref="W136 Z136">
    <cfRule type="containsText" dxfId="1" priority="549" operator="between" text="欠">
      <formula>NOT(ISERROR(SEARCH("欠",W136)))</formula>
    </cfRule>
  </conditionalFormatting>
  <conditionalFormatting sqref="V150:Z153">
    <cfRule type="containsText" dxfId="1" priority="537" operator="between" text="欠">
      <formula>NOT(ISERROR(SEARCH("欠",V150)))</formula>
    </cfRule>
  </conditionalFormatting>
  <conditionalFormatting sqref="V154:Z154 V155 X155:Z155">
    <cfRule type="containsText" dxfId="1" priority="524" operator="between" text="欠">
      <formula>NOT(ISERROR(SEARCH("欠",V154)))</formula>
    </cfRule>
  </conditionalFormatting>
  <conditionalFormatting sqref="W177 Z177 W181 Z181">
    <cfRule type="containsText" dxfId="1" priority="519" operator="between" text="欠">
      <formula>NOT(ISERROR(SEARCH("欠",W177)))</formula>
    </cfRule>
  </conditionalFormatting>
  <conditionalFormatting sqref="X189:Y189 X191:Y192 X196:Y208 X214:Y214 X217:Y218 X221:Y232 X235:Y236 X240:Y240 X243:Y243 X248:Y249 X251:Y251 X256:Y262 X274:Y275 X277:Y279 X282:Y292 X294:Y294 X300:Y303 X314:Y315 X331:Y332 X336:Y337 X340:Y341 X343:Y343 X345:Y353 X356:Y357 X390:Y392 X416:Y416">
    <cfRule type="containsText" dxfId="1" priority="516" operator="between" text="欠">
      <formula>NOT(ISERROR(SEARCH("欠",X189)))</formula>
    </cfRule>
  </conditionalFormatting>
  <conditionalFormatting sqref="W190 Z190">
    <cfRule type="containsText" dxfId="1" priority="515" operator="between" text="欠">
      <formula>NOT(ISERROR(SEARCH("欠",W190)))</formula>
    </cfRule>
  </conditionalFormatting>
  <conditionalFormatting sqref="V212:V213 V215:W216 Z215:Z216 V250:W250 Z250">
    <cfRule type="containsText" dxfId="1" priority="508" operator="between" text="欠">
      <formula>NOT(ISERROR(SEARCH("欠",V212)))</formula>
    </cfRule>
  </conditionalFormatting>
  <conditionalFormatting sqref="X215:Y216 X250:Y250">
    <cfRule type="containsText" dxfId="1" priority="507" operator="between" text="欠">
      <formula>NOT(ISERROR(SEARCH("欠",X215)))</formula>
    </cfRule>
  </conditionalFormatting>
  <conditionalFormatting sqref="X219:Y220 X234:Y234 X246:Y247 X252:Y252">
    <cfRule type="containsText" dxfId="1" priority="492" operator="between" text="欠">
      <formula>NOT(ISERROR(SEARCH("欠",X219)))</formula>
    </cfRule>
  </conditionalFormatting>
  <conditionalFormatting sqref="V237:V239 V241:V242">
    <cfRule type="containsText" dxfId="1" priority="505" operator="between" text="欠">
      <formula>NOT(ISERROR(SEARCH("欠",V237)))</formula>
    </cfRule>
  </conditionalFormatting>
  <conditionalFormatting sqref="W237:W239 Z237:Z239 W241:W242 Z241:Z242">
    <cfRule type="containsText" dxfId="1" priority="506" operator="between" text="欠">
      <formula>NOT(ISERROR(SEARCH("欠",W237)))</formula>
    </cfRule>
  </conditionalFormatting>
  <conditionalFormatting sqref="X237:Y239 X241:Y242">
    <cfRule type="containsText" dxfId="1" priority="504" operator="between" text="欠">
      <formula>NOT(ISERROR(SEARCH("欠",X237)))</formula>
    </cfRule>
  </conditionalFormatting>
  <conditionalFormatting sqref="W244 Z244">
    <cfRule type="containsText" dxfId="1" priority="491" operator="between" text="欠">
      <formula>NOT(ISERROR(SEARCH("欠",W244)))</formula>
    </cfRule>
  </conditionalFormatting>
  <conditionalFormatting sqref="V245 V255">
    <cfRule type="containsText" dxfId="1" priority="498" operator="between" text="欠">
      <formula>NOT(ISERROR(SEARCH("欠",V245)))</formula>
    </cfRule>
  </conditionalFormatting>
  <conditionalFormatting sqref="W245 Z245">
    <cfRule type="containsText" dxfId="1" priority="499" operator="between" text="欠">
      <formula>NOT(ISERROR(SEARCH("欠",W245)))</formula>
    </cfRule>
  </conditionalFormatting>
  <conditionalFormatting sqref="W254 Z254">
    <cfRule type="containsText" dxfId="1" priority="476" operator="between" text="欠">
      <formula>NOT(ISERROR(SEARCH("欠",W254)))</formula>
    </cfRule>
  </conditionalFormatting>
  <conditionalFormatting sqref="W255 Z255">
    <cfRule type="containsText" dxfId="1" priority="496" operator="between" text="欠">
      <formula>NOT(ISERROR(SEARCH("欠",W255)))</formula>
    </cfRule>
  </conditionalFormatting>
  <conditionalFormatting sqref="V263:V271 V344">
    <cfRule type="containsText" dxfId="1" priority="460" operator="between" text="欠">
      <formula>NOT(ISERROR(SEARCH("欠",V263)))</formula>
    </cfRule>
  </conditionalFormatting>
  <conditionalFormatting sqref="W263 Z344">
    <cfRule type="containsText" dxfId="1" priority="469" operator="between" text="欠">
      <formula>NOT(ISERROR(SEARCH("欠",W263)))</formula>
    </cfRule>
  </conditionalFormatting>
  <conditionalFormatting sqref="X263:Y271">
    <cfRule type="containsText" dxfId="1" priority="451" operator="between" text="欠">
      <formula>NOT(ISERROR(SEARCH("欠",X263)))</formula>
    </cfRule>
  </conditionalFormatting>
  <conditionalFormatting sqref="V276 V273 V281">
    <cfRule type="containsText" dxfId="1" priority="481" operator="between" text="欠">
      <formula>NOT(ISERROR(SEARCH("欠",V273)))</formula>
    </cfRule>
  </conditionalFormatting>
  <conditionalFormatting sqref="W273 W281">
    <cfRule type="containsText" dxfId="1" priority="479" operator="between" text="欠">
      <formula>NOT(ISERROR(SEARCH("欠",W273)))</formula>
    </cfRule>
  </conditionalFormatting>
  <conditionalFormatting sqref="X273:Y273 X281:Y281">
    <cfRule type="containsText" dxfId="1" priority="477" operator="between" text="欠">
      <formula>NOT(ISERROR(SEARCH("欠",X273)))</formula>
    </cfRule>
  </conditionalFormatting>
  <conditionalFormatting sqref="Z273 Z281">
    <cfRule type="containsText" dxfId="1" priority="473" operator="between" text="欠">
      <formula>NOT(ISERROR(SEARCH("欠",Z273)))</formula>
    </cfRule>
  </conditionalFormatting>
  <conditionalFormatting sqref="W276 Z276">
    <cfRule type="containsText" dxfId="1" priority="482" operator="between" text="欠">
      <formula>NOT(ISERROR(SEARCH("欠",W276)))</formula>
    </cfRule>
  </conditionalFormatting>
  <conditionalFormatting sqref="V280 V335">
    <cfRule type="containsText" dxfId="1" priority="487" operator="between" text="欠">
      <formula>NOT(ISERROR(SEARCH("欠",V280)))</formula>
    </cfRule>
  </conditionalFormatting>
  <conditionalFormatting sqref="W280 Z280">
    <cfRule type="containsText" dxfId="1" priority="488" operator="between" text="欠">
      <formula>NOT(ISERROR(SEARCH("欠",W280)))</formula>
    </cfRule>
  </conditionalFormatting>
  <conditionalFormatting sqref="X280:Y280 X335:Y335">
    <cfRule type="containsText" dxfId="1" priority="486" operator="between" text="欠">
      <formula>NOT(ISERROR(SEARCH("欠",X280)))</formula>
    </cfRule>
  </conditionalFormatting>
  <conditionalFormatting sqref="Z293 W295 Z295 W298:W299 Z298:Z299 W339 Z339">
    <cfRule type="containsText" dxfId="1" priority="438" operator="between" text="欠">
      <formula>NOT(ISERROR(SEARCH("欠",W293)))</formula>
    </cfRule>
  </conditionalFormatting>
  <conditionalFormatting sqref="X293:Y293 X295:Y295">
    <cfRule type="containsText" dxfId="1" priority="367" operator="between" text="欠">
      <formula>NOT(ISERROR(SEARCH("欠",X293)))</formula>
    </cfRule>
  </conditionalFormatting>
  <conditionalFormatting sqref="V295 V299 V339">
    <cfRule type="containsText" dxfId="1" priority="437" operator="between" text="欠">
      <formula>NOT(ISERROR(SEARCH("欠",V295)))</formula>
    </cfRule>
  </conditionalFormatting>
  <conditionalFormatting sqref="W296 Z296">
    <cfRule type="containsText" dxfId="1" priority="363" operator="between" text="欠">
      <formula>NOT(ISERROR(SEARCH("欠",W296)))</formula>
    </cfRule>
  </conditionalFormatting>
  <conditionalFormatting sqref="W297 Z297">
    <cfRule type="containsText" dxfId="1" priority="441" operator="between" text="欠">
      <formula>NOT(ISERROR(SEARCH("欠",W297)))</formula>
    </cfRule>
  </conditionalFormatting>
  <conditionalFormatting sqref="X297:Y298">
    <cfRule type="containsText" dxfId="1" priority="439" operator="between" text="欠">
      <formula>NOT(ISERROR(SEARCH("欠",X297)))</formula>
    </cfRule>
  </conditionalFormatting>
  <conditionalFormatting sqref="W304 Z304:Z313">
    <cfRule type="containsText" dxfId="1" priority="399" operator="between" text="欠">
      <formula>NOT(ISERROR(SEARCH("欠",W304)))</formula>
    </cfRule>
  </conditionalFormatting>
  <conditionalFormatting sqref="X304:Y313">
    <cfRule type="containsText" dxfId="1" priority="383" operator="between" text="欠">
      <formula>NOT(ISERROR(SEARCH("欠",X304)))</formula>
    </cfRule>
  </conditionalFormatting>
  <conditionalFormatting sqref="V316 V329">
    <cfRule type="containsText" dxfId="1" priority="365" operator="between" text="欠">
      <formula>NOT(ISERROR(SEARCH("欠",V316)))</formula>
    </cfRule>
  </conditionalFormatting>
  <conditionalFormatting sqref="W316 Z316 Z329">
    <cfRule type="containsText" dxfId="1" priority="366" operator="between" text="欠">
      <formula>NOT(ISERROR(SEARCH("欠",W316)))</formula>
    </cfRule>
  </conditionalFormatting>
  <conditionalFormatting sqref="V317 V333">
    <cfRule type="containsText" dxfId="1" priority="351" operator="between" text="欠">
      <formula>NOT(ISERROR(SEARCH("欠",V317)))</formula>
    </cfRule>
  </conditionalFormatting>
  <conditionalFormatting sqref="W317 Z317 Z333">
    <cfRule type="containsText" dxfId="1" priority="360" operator="between" text="欠">
      <formula>NOT(ISERROR(SEARCH("欠",W317)))</formula>
    </cfRule>
  </conditionalFormatting>
  <conditionalFormatting sqref="W318 Z318">
    <cfRule type="containsText" dxfId="1" priority="432" operator="between" text="欠">
      <formula>NOT(ISERROR(SEARCH("欠",W318)))</formula>
    </cfRule>
  </conditionalFormatting>
  <conditionalFormatting sqref="V338 V319:V328 V334 V355 V373:V374">
    <cfRule type="containsText" dxfId="1" priority="428" operator="between" text="欠">
      <formula>NOT(ISERROR(SEARCH("欠",V319)))</formula>
    </cfRule>
  </conditionalFormatting>
  <conditionalFormatting sqref="X319:Y329 X333:Y334 X338:Y338 X373:Y374">
    <cfRule type="containsText" dxfId="1" priority="427" operator="between" text="欠">
      <formula>NOT(ISERROR(SEARCH("欠",X319)))</formula>
    </cfRule>
  </conditionalFormatting>
  <conditionalFormatting sqref="W327 W330 Z330 Z381">
    <cfRule type="containsText" dxfId="1" priority="411" operator="between" text="欠">
      <formula>NOT(ISERROR(SEARCH("欠",W327)))</formula>
    </cfRule>
  </conditionalFormatting>
  <conditionalFormatting sqref="W333 W328:W329 W373:W374">
    <cfRule type="containsText" dxfId="1" priority="405" operator="between" text="欠">
      <formula>NOT(ISERROR(SEARCH("欠",W328)))</formula>
    </cfRule>
  </conditionalFormatting>
  <conditionalFormatting sqref="V330 V381">
    <cfRule type="containsText" dxfId="1" priority="410" operator="between" text="欠">
      <formula>NOT(ISERROR(SEARCH("欠",V330)))</formula>
    </cfRule>
  </conditionalFormatting>
  <conditionalFormatting sqref="X330:Y330 X339:Y339">
    <cfRule type="containsText" dxfId="1" priority="409" operator="between" text="欠">
      <formula>NOT(ISERROR(SEARCH("欠",X330)))</formula>
    </cfRule>
  </conditionalFormatting>
  <conditionalFormatting sqref="W335 Z335">
    <cfRule type="containsText" dxfId="1" priority="485" operator="between" text="欠">
      <formula>NOT(ISERROR(SEARCH("欠",W335)))</formula>
    </cfRule>
  </conditionalFormatting>
  <conditionalFormatting sqref="V345:V349 V342">
    <cfRule type="containsText" dxfId="1" priority="349" operator="between" text="欠">
      <formula>NOT(ISERROR(SEARCH("欠",V342)))</formula>
    </cfRule>
  </conditionalFormatting>
  <conditionalFormatting sqref="W342 Z342">
    <cfRule type="containsText" dxfId="1" priority="350" operator="between" text="欠">
      <formula>NOT(ISERROR(SEARCH("欠",W342)))</formula>
    </cfRule>
  </conditionalFormatting>
  <conditionalFormatting sqref="W354:W355 Z354:Z355 Z373:Z374">
    <cfRule type="containsText" dxfId="1" priority="357" operator="between" text="欠">
      <formula>NOT(ISERROR(SEARCH("欠",W354)))</formula>
    </cfRule>
  </conditionalFormatting>
  <conditionalFormatting sqref="X354:Y355">
    <cfRule type="containsText" dxfId="1" priority="355" operator="between" text="欠">
      <formula>NOT(ISERROR(SEARCH("欠",X354)))</formula>
    </cfRule>
  </conditionalFormatting>
  <conditionalFormatting sqref="W359:W372 Z359:Z372 W376:W380 Z376:Z380 W383 Z383 Z385 Z395 Z403:Z407 Z417 Z553:Z554">
    <cfRule type="containsText" dxfId="1" priority="354" operator="between" text="欠">
      <formula>NOT(ISERROR(SEARCH("欠",W359)))</formula>
    </cfRule>
  </conditionalFormatting>
  <conditionalFormatting sqref="X359:Y372 X376:Y381 X383:Y383 X385:Y385 X395:Y395 X403:Y407 X417:Y417 X553:Y554">
    <cfRule type="containsText" dxfId="1" priority="352" operator="between" text="欠">
      <formula>NOT(ISERROR(SEARCH("欠",X359)))</formula>
    </cfRule>
  </conditionalFormatting>
  <conditionalFormatting sqref="X375:Y375 X382:Y382">
    <cfRule type="containsText" dxfId="1" priority="310" operator="between" text="欠">
      <formula>NOT(ISERROR(SEARCH("欠",X375)))</formula>
    </cfRule>
  </conditionalFormatting>
  <conditionalFormatting sqref="X384:Y384 X393:Y393 X397:Y397">
    <cfRule type="containsText" dxfId="1" priority="309" operator="between" text="欠">
      <formula>NOT(ISERROR(SEARCH("欠",X384)))</formula>
    </cfRule>
  </conditionalFormatting>
  <conditionalFormatting sqref="V386:Z386 V399:V400">
    <cfRule type="containsText" dxfId="1" priority="327" operator="between" text="欠">
      <formula>NOT(ISERROR(SEARCH("欠",V386)))</formula>
    </cfRule>
  </conditionalFormatting>
  <conditionalFormatting sqref="V387:V389 V438 V435:V436 V433 V408:V409 V413:V415 V418">
    <cfRule type="containsText" dxfId="1" priority="338" operator="between" text="欠">
      <formula>NOT(ISERROR(SEARCH("欠",V387)))</formula>
    </cfRule>
  </conditionalFormatting>
  <conditionalFormatting sqref="W387:W389 Z387:Z389">
    <cfRule type="containsText" dxfId="1" priority="339" operator="between" text="欠">
      <formula>NOT(ISERROR(SEARCH("欠",W387)))</formula>
    </cfRule>
  </conditionalFormatting>
  <conditionalFormatting sqref="X387:Y389">
    <cfRule type="containsText" dxfId="1" priority="337" operator="between" text="欠">
      <formula>NOT(ISERROR(SEARCH("欠",X387)))</formula>
    </cfRule>
  </conditionalFormatting>
  <conditionalFormatting sqref="W394 Z394">
    <cfRule type="containsText" dxfId="1" priority="342" operator="between" text="欠">
      <formula>NOT(ISERROR(SEARCH("欠",W394)))</formula>
    </cfRule>
  </conditionalFormatting>
  <conditionalFormatting sqref="V403 V407">
    <cfRule type="containsText" dxfId="1" priority="326" operator="between" text="欠">
      <formula>NOT(ISERROR(SEARCH("欠",V403)))</formula>
    </cfRule>
  </conditionalFormatting>
  <conditionalFormatting sqref="X408:Y409 X413:Y415 X433:Y436 X438:Y438">
    <cfRule type="containsText" dxfId="1" priority="331" operator="between" text="欠">
      <formula>NOT(ISERROR(SEARCH("欠",X408)))</formula>
    </cfRule>
  </conditionalFormatting>
  <conditionalFormatting sqref="Z409 Z414:Z415 Z418 Z435:Z436 Z450:Z451 Z454:Z456 Z463">
    <cfRule type="containsText" dxfId="1" priority="332" operator="between" text="欠">
      <formula>NOT(ISERROR(SEARCH("欠",Z409)))</formula>
    </cfRule>
  </conditionalFormatting>
  <conditionalFormatting sqref="W413:W415 W418">
    <cfRule type="containsText" dxfId="1" priority="336" operator="between" text="欠">
      <formula>NOT(ISERROR(SEARCH("欠",W413)))</formula>
    </cfRule>
  </conditionalFormatting>
  <conditionalFormatting sqref="W419 Z419:Z430">
    <cfRule type="containsText" dxfId="1" priority="298" operator="between" text="欠">
      <formula>NOT(ISERROR(SEARCH("欠",W419)))</formula>
    </cfRule>
  </conditionalFormatting>
  <conditionalFormatting sqref="X419:Y430">
    <cfRule type="containsText" dxfId="1" priority="292" operator="between" text="欠">
      <formula>NOT(ISERROR(SEARCH("欠",X419)))</formula>
    </cfRule>
  </conditionalFormatting>
  <conditionalFormatting sqref="X431:Y432">
    <cfRule type="containsText" dxfId="1" priority="260" operator="between" text="欠">
      <formula>NOT(ISERROR(SEARCH("欠",X431)))</formula>
    </cfRule>
  </conditionalFormatting>
  <conditionalFormatting sqref="W469 W447:W448 W439:W441 W434 W505:W507">
    <cfRule type="containsText" dxfId="1" priority="244" operator="between" text="欠">
      <formula>NOT(ISERROR(SEARCH("欠",W434)))</formula>
    </cfRule>
  </conditionalFormatting>
  <conditionalFormatting sqref="V439 V447:V448 V437">
    <cfRule type="containsText" dxfId="1" priority="239" operator="between" text="欠">
      <formula>NOT(ISERROR(SEARCH("欠",V437)))</formula>
    </cfRule>
  </conditionalFormatting>
  <conditionalFormatting sqref="X437:Y437 X439:Y439 X447:Y448">
    <cfRule type="containsText" dxfId="1" priority="237" operator="between" text="欠">
      <formula>NOT(ISERROR(SEARCH("欠",X437)))</formula>
    </cfRule>
  </conditionalFormatting>
  <conditionalFormatting sqref="Z437 Z439:Z441 Z447:Z448 Z469 Z505:Z507">
    <cfRule type="containsText" dxfId="1" priority="238" operator="between" text="欠">
      <formula>NOT(ISERROR(SEARCH("欠",Z437)))</formula>
    </cfRule>
  </conditionalFormatting>
  <conditionalFormatting sqref="V440:V446 V468:V469 V505:V507">
    <cfRule type="containsText" dxfId="1" priority="233" operator="between" text="欠">
      <formula>NOT(ISERROR(SEARCH("欠",V440)))</formula>
    </cfRule>
  </conditionalFormatting>
  <conditionalFormatting sqref="X440:Y441 X468:Y469 X505:Y507">
    <cfRule type="containsText" dxfId="1" priority="231" operator="between" text="欠">
      <formula>NOT(ISERROR(SEARCH("欠",X440)))</formula>
    </cfRule>
  </conditionalFormatting>
  <conditionalFormatting sqref="X442:Y446">
    <cfRule type="containsText" dxfId="1" priority="218" operator="between" text="欠">
      <formula>NOT(ISERROR(SEARCH("欠",X442)))</formula>
    </cfRule>
  </conditionalFormatting>
  <conditionalFormatting sqref="X449:Y451 X454:Y455 X463:Y463">
    <cfRule type="containsText" dxfId="1" priority="211" operator="between" text="欠">
      <formula>NOT(ISERROR(SEARCH("欠",X449)))</formula>
    </cfRule>
  </conditionalFormatting>
  <conditionalFormatting sqref="S452:T453">
    <cfRule type="containsText" dxfId="1" priority="146" operator="between" text="欠">
      <formula>NOT(ISERROR(SEARCH("欠",S452)))</formula>
    </cfRule>
  </conditionalFormatting>
  <conditionalFormatting sqref="V457:V463 V453:V455">
    <cfRule type="cellIs" dxfId="0" priority="129" operator="equal">
      <formula>"欠"</formula>
    </cfRule>
  </conditionalFormatting>
  <conditionalFormatting sqref="Z457:Z462 Z470">
    <cfRule type="containsText" dxfId="1" priority="127" operator="between" text="欠">
      <formula>NOT(ISERROR(SEARCH("欠",Z457)))</formula>
    </cfRule>
  </conditionalFormatting>
  <conditionalFormatting sqref="X464:Y464 X490:Y491 X499:Y499 X508:Y508 X512:Y516">
    <cfRule type="containsText" dxfId="1" priority="105" operator="between" text="欠">
      <formula>NOT(ISERROR(SEARCH("欠",X464)))</formula>
    </cfRule>
  </conditionalFormatting>
  <conditionalFormatting sqref="X465:Y466 X492:Y493">
    <cfRule type="containsText" dxfId="1" priority="132" operator="between" text="欠">
      <formula>NOT(ISERROR(SEARCH("欠",X465)))</formula>
    </cfRule>
  </conditionalFormatting>
  <conditionalFormatting sqref="V481:V482 V495:V496">
    <cfRule type="containsText" dxfId="1" priority="194" operator="between" text="欠">
      <formula>NOT(ISERROR(SEARCH("欠",V481)))</formula>
    </cfRule>
  </conditionalFormatting>
  <conditionalFormatting sqref="X481:Y482 X495:Y496 X503:Y504 X509:Y509">
    <cfRule type="containsText" dxfId="1" priority="196" operator="between" text="欠">
      <formula>NOT(ISERROR(SEARCH("欠",X481)))</formula>
    </cfRule>
  </conditionalFormatting>
  <conditionalFormatting sqref="W482 W495:W496 W512:W514 W503:W504 W509">
    <cfRule type="containsText" dxfId="1" priority="199" operator="between" text="欠">
      <formula>NOT(ISERROR(SEARCH("欠",W482)))</formula>
    </cfRule>
  </conditionalFormatting>
  <conditionalFormatting sqref="Z482 Z495:Z496 Z503:Z504 Z509">
    <cfRule type="containsText" dxfId="1" priority="197" operator="between" text="欠">
      <formula>NOT(ISERROR(SEARCH("欠",Z482)))</formula>
    </cfRule>
  </conditionalFormatting>
  <conditionalFormatting sqref="V494 V497:V502 V483:V488">
    <cfRule type="cellIs" dxfId="0" priority="90" operator="equal">
      <formula>"欠"</formula>
    </cfRule>
    <cfRule type="containsText" dxfId="1" priority="91" operator="between" text="欠">
      <formula>NOT(ISERROR(SEARCH("欠",V483)))</formula>
    </cfRule>
  </conditionalFormatting>
  <conditionalFormatting sqref="X483:Y488 X494:Y494 X497:Y497">
    <cfRule type="containsText" dxfId="1" priority="93" operator="between" text="欠">
      <formula>NOT(ISERROR(SEARCH("欠",X483)))</formula>
    </cfRule>
  </conditionalFormatting>
  <conditionalFormatting sqref="Z483:Z488 Z494 Z497:Z498">
    <cfRule type="containsText" dxfId="1" priority="92" operator="between" text="欠">
      <formula>NOT(ISERROR(SEARCH("欠",Z483)))</formula>
    </cfRule>
  </conditionalFormatting>
  <conditionalFormatting sqref="W484:W488 W497:W502 W491:W494 W508">
    <cfRule type="containsText" dxfId="1" priority="98" operator="between" text="欠">
      <formula>NOT(ISERROR(SEARCH("欠",W484)))</formula>
    </cfRule>
  </conditionalFormatting>
  <conditionalFormatting sqref="V490:V493 V512 V508 V514:V516">
    <cfRule type="cellIs" dxfId="0" priority="99" operator="equal">
      <formula>"欠"</formula>
    </cfRule>
    <cfRule type="containsText" dxfId="1" priority="101" operator="between" text="欠">
      <formula>NOT(ISERROR(SEARCH("欠",V490)))</formula>
    </cfRule>
  </conditionalFormatting>
  <conditionalFormatting sqref="Z499:Z502 Z512:Z516">
    <cfRule type="containsText" dxfId="1" priority="102" operator="between" text="欠">
      <formula>NOT(ISERROR(SEARCH("欠",Z499)))</formula>
    </cfRule>
  </conditionalFormatting>
  <conditionalFormatting sqref="X500:Y502">
    <cfRule type="containsText" dxfId="1" priority="69" operator="between" text="欠">
      <formula>NOT(ISERROR(SEARCH("欠",X500)))</formula>
    </cfRule>
  </conditionalFormatting>
  <conditionalFormatting sqref="V509 V503:V504">
    <cfRule type="cellIs" dxfId="0" priority="122" operator="equal">
      <formula>"欠"</formula>
    </cfRule>
  </conditionalFormatting>
  <conditionalFormatting sqref="X510:Y511">
    <cfRule type="containsText" dxfId="1" priority="62" operator="between" text="欠">
      <formula>NOT(ISERROR(SEARCH("欠",X510)))</formula>
    </cfRule>
  </conditionalFormatting>
  <conditionalFormatting sqref="W517 Z517">
    <cfRule type="containsText" dxfId="1" priority="57" operator="between" text="欠">
      <formula>NOT(ISERROR(SEARCH("欠",W517)))</formula>
    </cfRule>
  </conditionalFormatting>
  <conditionalFormatting sqref="X519:Y551">
    <cfRule type="containsText" dxfId="1" priority="25" operator="between" text="欠">
      <formula>NOT(ISERROR(SEARCH("欠",X519)))</formula>
    </cfRule>
  </conditionalFormatting>
  <conditionalFormatting sqref="W520 Z522:Z551">
    <cfRule type="containsText" dxfId="1" priority="23" operator="between" text="欠">
      <formula>NOT(ISERROR(SEARCH("欠",W520)))</formula>
    </cfRule>
  </conditionalFormatting>
  <conditionalFormatting sqref="W527 Z527">
    <cfRule type="containsText" dxfId="1" priority="43" operator="between" text="欠">
      <formula>NOT(ISERROR(SEARCH("欠",W527)))</formula>
    </cfRule>
  </conditionalFormatting>
  <pageMargins left="0" right="0.0784722222222222" top="0.306944444444444" bottom="0.306944444444444" header="0.5" footer="0.5"/>
  <pageSetup paperSize="9" scale="45" fitToWidth="0" orientation="landscape" horizontalDpi="600"/>
  <headerFooter alignWithMargins="0" scaleWithDoc="0"/>
  <ignoredErrors>
    <ignoredError sqref="AS433" 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482"/>
  <sheetViews>
    <sheetView zoomScale="60" zoomScaleNormal="60" workbookViewId="0">
      <pane xSplit="14" ySplit="3" topLeftCell="AD1060" activePane="bottomRight" state="frozen"/>
      <selection/>
      <selection pane="topRight"/>
      <selection pane="bottomLeft"/>
      <selection pane="bottomRight" activeCell="A1062" sqref="$A1062:$XFD1062"/>
    </sheetView>
  </sheetViews>
  <sheetFormatPr defaultColWidth="9" defaultRowHeight="18.75"/>
  <cols>
    <col min="1" max="1" width="25.25" style="4326" customWidth="1"/>
    <col min="2" max="2" width="16.425" style="1008" customWidth="1"/>
    <col min="3" max="3" width="11.3" style="1008" customWidth="1"/>
    <col min="4" max="4" width="15.2666666666667" style="4309" customWidth="1"/>
    <col min="5" max="5" width="15.8083333333333" style="4309" customWidth="1"/>
    <col min="6" max="6" width="17.5" style="1008" customWidth="1"/>
    <col min="7" max="7" width="18.55" style="1008" customWidth="1"/>
    <col min="8" max="8" width="21.8083333333333" style="4309" customWidth="1"/>
    <col min="9" max="9" width="12.6416666666667" style="4309" customWidth="1"/>
    <col min="10" max="10" width="9.275" style="4309" customWidth="1"/>
    <col min="11" max="11" width="9.41666666666667" style="4309" customWidth="1"/>
    <col min="12" max="12" width="11.9916666666667" style="4309" customWidth="1"/>
    <col min="13" max="13" width="18.1833333333333" style="4309" customWidth="1"/>
    <col min="14" max="14" width="17.6416666666667" style="4327" customWidth="1"/>
    <col min="15" max="15" width="14.3583333333333" style="1008" customWidth="1"/>
    <col min="16" max="17" width="11.275" style="1008" customWidth="1"/>
    <col min="18" max="18" width="11.275" style="4328" customWidth="1"/>
    <col min="19" max="19" width="10.6" style="4328" customWidth="1"/>
    <col min="20" max="20" width="12.7333333333333" style="4328" customWidth="1"/>
    <col min="21" max="21" width="12.1833333333333" style="4329" customWidth="1"/>
    <col min="22" max="22" width="13.9916666666667" style="4309" customWidth="1"/>
    <col min="23" max="23" width="10.35" style="4309" customWidth="1"/>
    <col min="24" max="24" width="23.0833333333333" style="4330" customWidth="1"/>
    <col min="25" max="25" width="15.425" style="4309" customWidth="1"/>
    <col min="26" max="26" width="17.4" style="4309" customWidth="1"/>
    <col min="27" max="27" width="31.4" style="3578" customWidth="1"/>
    <col min="28" max="30" width="17.4" style="4329" customWidth="1"/>
    <col min="31" max="31" width="14.725" style="4329" customWidth="1"/>
    <col min="32" max="32" width="18" style="1008" customWidth="1"/>
    <col min="33" max="33" width="14.2833333333333" style="4329" customWidth="1"/>
    <col min="34" max="35" width="17.4" style="1008" customWidth="1"/>
    <col min="36" max="36" width="24.2" style="1008" customWidth="1"/>
    <col min="37" max="39" width="17.4" style="1008" customWidth="1"/>
    <col min="40" max="40" width="17.4" style="4331" customWidth="1"/>
    <col min="41" max="42" width="17.4" style="1010" customWidth="1"/>
    <col min="43" max="57" width="17.4" style="4332" customWidth="1"/>
    <col min="58" max="58" width="24.725" style="4332" customWidth="1"/>
    <col min="59" max="66" width="17.4" style="4332" customWidth="1"/>
    <col min="67" max="69" width="17.4" style="1008" hidden="1" customWidth="1"/>
    <col min="70" max="70" width="17.4" style="1009" hidden="1" customWidth="1"/>
    <col min="71" max="73" width="17.4" style="1010" hidden="1" customWidth="1"/>
    <col min="74" max="74" width="17.4" style="1008" customWidth="1"/>
    <col min="75" max="75" width="17.4" style="4309" customWidth="1"/>
    <col min="76" max="78" width="15.225" style="4333" customWidth="1"/>
    <col min="79" max="79" width="19.25" style="4334" customWidth="1"/>
    <col min="80" max="80" width="19.25" style="4311" customWidth="1"/>
    <col min="81" max="81" width="19.25" style="4335" customWidth="1"/>
    <col min="82" max="82" width="19.25" style="4334" customWidth="1"/>
    <col min="83" max="16298" width="21.325" style="4311"/>
    <col min="16299" max="16327" width="9" style="4311"/>
    <col min="16328" max="16328" width="9" style="4336"/>
    <col min="16329" max="16329" width="21.325" style="4336"/>
    <col min="16330" max="16384" width="9" style="4336"/>
  </cols>
  <sheetData>
    <row r="1" s="4309" customFormat="1" ht="75" customHeight="1" spans="1:85">
      <c r="A1" s="4337" t="s">
        <v>2552</v>
      </c>
      <c r="B1" s="4337"/>
      <c r="C1" s="4337"/>
      <c r="D1" s="4337"/>
      <c r="E1" s="4337"/>
      <c r="F1" s="4337"/>
      <c r="G1" s="4337"/>
      <c r="H1" s="4338"/>
      <c r="I1" s="4338"/>
      <c r="J1" s="4339"/>
      <c r="K1" s="4340"/>
      <c r="L1" s="4339"/>
      <c r="M1" s="4339"/>
      <c r="N1" s="4334"/>
      <c r="O1" s="4341"/>
      <c r="P1" s="4341"/>
      <c r="Q1" s="4341"/>
      <c r="R1" s="4341"/>
      <c r="S1" s="4341"/>
      <c r="T1" s="4341"/>
      <c r="U1" s="4341"/>
      <c r="V1" s="4341"/>
      <c r="W1" s="4341"/>
      <c r="X1" s="4341"/>
      <c r="Y1" s="4339"/>
      <c r="Z1" s="4339"/>
      <c r="AA1" s="3587"/>
      <c r="AB1" s="4342"/>
      <c r="AC1" s="4342"/>
      <c r="AD1" s="4342"/>
      <c r="AE1" s="4343"/>
      <c r="AF1" s="4338"/>
      <c r="AG1" s="4343"/>
      <c r="AH1" s="4341"/>
      <c r="AI1" s="4341"/>
      <c r="AJ1" s="4341"/>
      <c r="AK1" s="4341"/>
      <c r="AL1" s="4341"/>
      <c r="AM1" s="4341"/>
      <c r="AN1" s="4339"/>
      <c r="AO1" s="4344"/>
      <c r="AP1" s="4344"/>
      <c r="AQ1" s="4344"/>
      <c r="AR1" s="4345"/>
      <c r="AS1" s="4345"/>
      <c r="AT1" s="4345"/>
      <c r="AU1" s="4345"/>
      <c r="AV1" s="4345"/>
      <c r="AW1" s="4345"/>
      <c r="AX1" s="4345"/>
      <c r="AY1" s="4345"/>
      <c r="AZ1" s="4345"/>
      <c r="BA1" s="4345"/>
      <c r="BB1" s="4345"/>
      <c r="BC1" s="4345"/>
      <c r="BD1" s="4345"/>
      <c r="BE1" s="4345"/>
      <c r="BF1" s="4345"/>
      <c r="BG1" s="4345"/>
      <c r="BH1" s="4346" t="s">
        <v>65</v>
      </c>
      <c r="BI1" s="4347"/>
      <c r="BJ1" s="4347"/>
      <c r="BK1" s="4347"/>
      <c r="BL1" s="4347"/>
      <c r="BM1" s="4347"/>
      <c r="BN1" s="4348"/>
      <c r="BO1" s="4346" t="s">
        <v>285</v>
      </c>
      <c r="BP1" s="4347"/>
      <c r="BQ1" s="4347"/>
      <c r="BR1" s="4347"/>
      <c r="BS1" s="4347"/>
      <c r="BT1" s="4347"/>
      <c r="BU1" s="4348"/>
      <c r="BV1" s="1008"/>
      <c r="BX1" s="4349"/>
      <c r="BY1" s="4349"/>
      <c r="BZ1" s="4349"/>
      <c r="CA1" s="4350" t="s">
        <v>2553</v>
      </c>
      <c r="CB1" s="4350" t="s">
        <v>2554</v>
      </c>
      <c r="CC1" s="4350" t="s">
        <v>2555</v>
      </c>
      <c r="CD1" s="4350" t="s">
        <v>2556</v>
      </c>
      <c r="CE1" s="4350" t="s">
        <v>2557</v>
      </c>
      <c r="CF1" s="4350" t="s">
        <v>2558</v>
      </c>
      <c r="CG1" s="4351" t="s">
        <v>2559</v>
      </c>
    </row>
    <row r="2" s="4310" customFormat="1" ht="21" customHeight="1" spans="1:85">
      <c r="A2" s="4352" t="e">
        <f>#REF!</f>
        <v>#REF!</v>
      </c>
      <c r="B2" s="4353"/>
      <c r="C2" s="4353"/>
      <c r="D2" s="4354"/>
      <c r="E2" s="4354"/>
      <c r="F2" s="4355"/>
      <c r="G2" s="4356"/>
      <c r="H2" s="4356" t="s">
        <v>3</v>
      </c>
      <c r="I2" s="4356"/>
      <c r="J2" s="4331"/>
      <c r="K2" s="4331" t="s">
        <v>4</v>
      </c>
      <c r="L2" s="4331"/>
      <c r="M2" s="4331"/>
      <c r="N2" s="4357"/>
      <c r="O2" s="4328" t="s">
        <v>5</v>
      </c>
      <c r="P2" s="4331"/>
      <c r="Q2" s="4331"/>
      <c r="R2" s="4331"/>
      <c r="S2" s="4331"/>
      <c r="T2" s="4331"/>
      <c r="U2" s="4343"/>
      <c r="V2" s="4331"/>
      <c r="W2" s="4331"/>
      <c r="X2" s="4358"/>
      <c r="Y2" s="4331"/>
      <c r="Z2" s="4331"/>
      <c r="AA2" s="3589"/>
      <c r="AB2" s="4343"/>
      <c r="AC2" s="4343"/>
      <c r="AD2" s="4343"/>
      <c r="AE2" s="4343"/>
      <c r="AF2" s="4355"/>
      <c r="AG2" s="4343"/>
      <c r="AH2" s="4359" t="s">
        <v>6</v>
      </c>
      <c r="AI2" s="4359"/>
      <c r="AJ2" s="4359"/>
      <c r="AK2" s="4359"/>
      <c r="AL2" s="4359"/>
      <c r="AM2" s="4359"/>
      <c r="AN2" s="4359"/>
      <c r="AO2" s="4360" t="s">
        <v>286</v>
      </c>
      <c r="AP2" s="4360"/>
      <c r="AQ2" s="4361"/>
      <c r="AR2" s="4361" t="s">
        <v>287</v>
      </c>
      <c r="AS2" s="4361"/>
      <c r="AT2" s="4361"/>
      <c r="AU2" s="4361"/>
      <c r="AV2" s="4332"/>
      <c r="AW2" s="4332"/>
      <c r="AX2" s="4332"/>
      <c r="AY2" s="4332"/>
      <c r="AZ2" s="4332"/>
      <c r="BA2" s="4332"/>
      <c r="BB2" s="4332"/>
      <c r="BC2" s="4332"/>
      <c r="BD2" s="4332"/>
      <c r="BE2" s="4332"/>
      <c r="BF2" s="4332"/>
      <c r="BG2" s="4332"/>
      <c r="BH2" s="4356">
        <v>10</v>
      </c>
      <c r="BI2" s="4356">
        <v>10</v>
      </c>
      <c r="BJ2" s="4356">
        <v>10</v>
      </c>
      <c r="BK2" s="4362">
        <v>10</v>
      </c>
      <c r="BL2" s="4362">
        <v>10</v>
      </c>
      <c r="BM2" s="4362">
        <v>8</v>
      </c>
      <c r="BN2" s="4362">
        <v>2</v>
      </c>
      <c r="BO2" s="4356">
        <v>10</v>
      </c>
      <c r="BP2" s="4356">
        <v>10</v>
      </c>
      <c r="BQ2" s="4356">
        <v>10</v>
      </c>
      <c r="BR2" s="4362">
        <v>10</v>
      </c>
      <c r="BS2" s="4362">
        <v>10</v>
      </c>
      <c r="BT2" s="4362">
        <v>8</v>
      </c>
      <c r="BU2" s="4362">
        <v>2</v>
      </c>
      <c r="BV2" s="4363"/>
      <c r="BW2" s="4309"/>
      <c r="BX2" s="4364"/>
      <c r="BY2" s="4364"/>
      <c r="BZ2" s="4364"/>
      <c r="CA2" s="4365"/>
      <c r="CB2" s="4366"/>
      <c r="CC2" s="4367"/>
      <c r="CD2" s="4365"/>
      <c r="CE2" s="4366"/>
      <c r="CF2" s="4366"/>
      <c r="CG2" s="4366"/>
    </row>
    <row r="3" s="4311" customFormat="1" ht="89" customHeight="1" spans="1:85">
      <c r="A3" s="4368" t="s">
        <v>14</v>
      </c>
      <c r="B3" s="4369" t="s">
        <v>15</v>
      </c>
      <c r="C3" s="4369" t="s">
        <v>16</v>
      </c>
      <c r="D3" s="4369" t="s">
        <v>17</v>
      </c>
      <c r="E3" s="4369" t="s">
        <v>18</v>
      </c>
      <c r="F3" s="4369" t="s">
        <v>19</v>
      </c>
      <c r="G3" s="4369" t="s">
        <v>21</v>
      </c>
      <c r="H3" s="4369" t="s">
        <v>22</v>
      </c>
      <c r="I3" s="4369" t="s">
        <v>23</v>
      </c>
      <c r="J3" s="4369" t="s">
        <v>24</v>
      </c>
      <c r="K3" s="4369" t="s">
        <v>25</v>
      </c>
      <c r="L3" s="4369" t="s">
        <v>26</v>
      </c>
      <c r="M3" s="4369" t="s">
        <v>27</v>
      </c>
      <c r="N3" s="4369" t="s">
        <v>28</v>
      </c>
      <c r="O3" s="4370" t="s">
        <v>29</v>
      </c>
      <c r="P3" s="4369" t="s">
        <v>30</v>
      </c>
      <c r="Q3" s="4042" t="s">
        <v>31</v>
      </c>
      <c r="R3" s="4042" t="s">
        <v>32</v>
      </c>
      <c r="S3" s="4042" t="s">
        <v>288</v>
      </c>
      <c r="T3" s="4043" t="s">
        <v>2560</v>
      </c>
      <c r="U3" s="4369" t="s">
        <v>33</v>
      </c>
      <c r="V3" s="4369" t="s">
        <v>34</v>
      </c>
      <c r="W3" s="4369" t="s">
        <v>35</v>
      </c>
      <c r="X3" s="4370" t="s">
        <v>36</v>
      </c>
      <c r="Y3" s="3610" t="s">
        <v>37</v>
      </c>
      <c r="Z3" s="3610" t="s">
        <v>38</v>
      </c>
      <c r="AA3" s="3607" t="s">
        <v>39</v>
      </c>
      <c r="AB3" s="4369" t="s">
        <v>40</v>
      </c>
      <c r="AC3" s="4369" t="s">
        <v>41</v>
      </c>
      <c r="AD3" s="4371" t="s">
        <v>42</v>
      </c>
      <c r="AE3" s="4372" t="s">
        <v>43</v>
      </c>
      <c r="AF3" s="4369" t="s">
        <v>20</v>
      </c>
      <c r="AG3" s="3610" t="s">
        <v>44</v>
      </c>
      <c r="AH3" s="4369" t="s">
        <v>45</v>
      </c>
      <c r="AI3" s="4369" t="s">
        <v>290</v>
      </c>
      <c r="AJ3" s="4369" t="s">
        <v>2561</v>
      </c>
      <c r="AK3" s="4373" t="s">
        <v>2562</v>
      </c>
      <c r="AL3" s="4374" t="s">
        <v>2563</v>
      </c>
      <c r="AM3" s="4374" t="s">
        <v>2564</v>
      </c>
      <c r="AN3" s="4373" t="s">
        <v>48</v>
      </c>
      <c r="AO3" s="4373" t="s">
        <v>294</v>
      </c>
      <c r="AP3" s="4374" t="s">
        <v>295</v>
      </c>
      <c r="AQ3" s="4375" t="s">
        <v>52</v>
      </c>
      <c r="AR3" s="4375" t="s">
        <v>53</v>
      </c>
      <c r="AS3" s="4375" t="s">
        <v>2565</v>
      </c>
      <c r="AT3" s="4375" t="s">
        <v>300</v>
      </c>
      <c r="AU3" s="4376" t="s">
        <v>2566</v>
      </c>
      <c r="AV3" s="4369" t="s">
        <v>2567</v>
      </c>
      <c r="AW3" s="4377" t="s">
        <v>2568</v>
      </c>
      <c r="AX3" s="4369" t="s">
        <v>2569</v>
      </c>
      <c r="AY3" s="4377" t="s">
        <v>2570</v>
      </c>
      <c r="AZ3" s="4369" t="s">
        <v>2571</v>
      </c>
      <c r="BA3" s="4377" t="s">
        <v>2572</v>
      </c>
      <c r="BB3" s="4369" t="s">
        <v>2573</v>
      </c>
      <c r="BC3" s="4375" t="s">
        <v>64</v>
      </c>
      <c r="BD3" s="4375" t="s">
        <v>2574</v>
      </c>
      <c r="BE3" s="4375" t="s">
        <v>2575</v>
      </c>
      <c r="BF3" s="4375" t="s">
        <v>66</v>
      </c>
      <c r="BG3" s="4375" t="s">
        <v>65</v>
      </c>
      <c r="BH3" s="4044" t="s">
        <v>2553</v>
      </c>
      <c r="BI3" s="4044" t="s">
        <v>2554</v>
      </c>
      <c r="BJ3" s="4044" t="s">
        <v>2555</v>
      </c>
      <c r="BK3" s="4044" t="s">
        <v>2556</v>
      </c>
      <c r="BL3" s="4044" t="s">
        <v>2557</v>
      </c>
      <c r="BM3" s="4044" t="s">
        <v>2558</v>
      </c>
      <c r="BN3" s="4044" t="s">
        <v>2559</v>
      </c>
      <c r="BO3" s="4044" t="s">
        <v>2553</v>
      </c>
      <c r="BP3" s="4044" t="s">
        <v>2554</v>
      </c>
      <c r="BQ3" s="4044" t="s">
        <v>2555</v>
      </c>
      <c r="BR3" s="4044" t="s">
        <v>2556</v>
      </c>
      <c r="BS3" s="4044" t="s">
        <v>2557</v>
      </c>
      <c r="BT3" s="4044" t="s">
        <v>2558</v>
      </c>
      <c r="BU3" s="4044" t="s">
        <v>2559</v>
      </c>
      <c r="BV3" s="875" t="s">
        <v>74</v>
      </c>
      <c r="BW3" s="4378" t="s">
        <v>75</v>
      </c>
      <c r="BX3" s="4044" t="s">
        <v>31</v>
      </c>
      <c r="BY3" s="4044" t="s">
        <v>321</v>
      </c>
      <c r="BZ3" s="4044" t="s">
        <v>322</v>
      </c>
      <c r="CA3" s="4379">
        <v>34372</v>
      </c>
      <c r="CB3" s="4379">
        <v>23076</v>
      </c>
      <c r="CC3" s="4379">
        <v>36799</v>
      </c>
      <c r="CD3" s="4379">
        <v>30293</v>
      </c>
      <c r="CE3" s="4379">
        <v>31863</v>
      </c>
      <c r="CF3" s="4379">
        <v>27176</v>
      </c>
      <c r="CG3" s="4380">
        <v>22206</v>
      </c>
    </row>
    <row r="4" s="4025" customFormat="1" ht="50" customHeight="1" spans="1:85">
      <c r="A4" s="3688">
        <v>45418</v>
      </c>
      <c r="B4" s="3664" t="s">
        <v>323</v>
      </c>
      <c r="C4" s="4381" t="s">
        <v>324</v>
      </c>
      <c r="D4" s="3690" t="s">
        <v>2576</v>
      </c>
      <c r="E4" s="3689"/>
      <c r="F4" s="4086"/>
      <c r="G4" s="3664" t="s">
        <v>2577</v>
      </c>
      <c r="H4" s="3664" t="s">
        <v>2578</v>
      </c>
      <c r="I4" s="3691">
        <v>50</v>
      </c>
      <c r="J4" s="3691">
        <v>0</v>
      </c>
      <c r="K4" s="3691">
        <v>0</v>
      </c>
      <c r="L4" s="3691">
        <v>0</v>
      </c>
      <c r="M4" s="3659">
        <v>45432</v>
      </c>
      <c r="N4" s="3659">
        <v>45428</v>
      </c>
      <c r="O4" s="4085"/>
      <c r="P4" s="3682"/>
      <c r="Q4" s="3682"/>
      <c r="R4" s="4083"/>
      <c r="S4" s="4083"/>
      <c r="T4" s="4083"/>
      <c r="U4" s="3645"/>
      <c r="V4" s="3664" t="s">
        <v>98</v>
      </c>
      <c r="W4" s="3691"/>
      <c r="X4" s="3659" t="s">
        <v>98</v>
      </c>
      <c r="Y4" s="3657"/>
      <c r="Z4" s="3661"/>
      <c r="AA4" s="3620" t="s">
        <v>2579</v>
      </c>
      <c r="AB4" s="3659"/>
      <c r="AC4" s="3691"/>
      <c r="AD4" s="3691"/>
      <c r="AE4" s="4098"/>
      <c r="AF4" s="3664" t="s">
        <v>326</v>
      </c>
      <c r="AG4" s="3645" t="s">
        <v>326</v>
      </c>
      <c r="AH4" s="905"/>
      <c r="AI4" s="3664"/>
      <c r="AJ4" s="3664"/>
      <c r="AK4" s="905"/>
      <c r="AL4" s="3664"/>
      <c r="AM4" s="3664"/>
      <c r="AN4" s="3691"/>
      <c r="AO4" s="3691"/>
      <c r="AP4" s="3691"/>
      <c r="AQ4" s="4089"/>
      <c r="AR4" s="4382"/>
      <c r="AS4" s="4089"/>
      <c r="AT4" s="4382"/>
      <c r="AU4" s="4089"/>
      <c r="AV4" s="4089">
        <f>I4/6</f>
        <v>8.33333333333333</v>
      </c>
      <c r="AW4" s="4089"/>
      <c r="AX4" s="4089"/>
      <c r="AY4" s="4089"/>
      <c r="AZ4" s="4089"/>
      <c r="BA4" s="4089"/>
      <c r="BB4" s="4089"/>
      <c r="BC4" s="4089"/>
      <c r="BD4" s="4089"/>
      <c r="BE4" s="4089"/>
      <c r="BF4" s="4089"/>
      <c r="BG4" s="4089"/>
      <c r="BH4" s="4089"/>
      <c r="BI4" s="4089"/>
      <c r="BJ4" s="4089"/>
      <c r="BK4" s="4089"/>
      <c r="BL4" s="4089"/>
      <c r="BM4" s="4089"/>
      <c r="BN4" s="4089"/>
      <c r="BO4" s="4382"/>
      <c r="BP4" s="4382"/>
      <c r="BQ4" s="4382"/>
      <c r="BR4" s="4382"/>
      <c r="BS4" s="4382"/>
      <c r="BT4" s="4383"/>
      <c r="BU4" s="4384"/>
      <c r="BV4" s="4385">
        <f t="shared" ref="BV4:BV67" si="0">SUM(BH4:BU4)</f>
        <v>0</v>
      </c>
      <c r="BW4" s="4386">
        <v>0</v>
      </c>
      <c r="BX4" s="4387"/>
      <c r="BY4" s="4387"/>
      <c r="BZ4" s="4387"/>
      <c r="CA4" s="4388"/>
      <c r="CC4" s="4389"/>
      <c r="CD4" s="4388"/>
    </row>
    <row r="5" s="4025" customFormat="1" ht="50" customHeight="1" spans="1:85">
      <c r="A5" s="3688">
        <v>45463</v>
      </c>
      <c r="B5" s="3664" t="s">
        <v>2285</v>
      </c>
      <c r="C5" s="4381" t="s">
        <v>2580</v>
      </c>
      <c r="D5" s="3690">
        <v>4500137881</v>
      </c>
      <c r="E5" s="3689" t="s">
        <v>2581</v>
      </c>
      <c r="F5" s="4086" t="s">
        <v>2582</v>
      </c>
      <c r="G5" s="3664" t="s">
        <v>2577</v>
      </c>
      <c r="H5" s="3664" t="s">
        <v>2578</v>
      </c>
      <c r="I5" s="3691">
        <v>5532</v>
      </c>
      <c r="J5" s="3691">
        <v>0</v>
      </c>
      <c r="K5" s="3691">
        <v>12</v>
      </c>
      <c r="L5" s="3691">
        <f t="shared" ref="L5:L21" si="1">I5/K5</f>
        <v>461</v>
      </c>
      <c r="M5" s="3659">
        <v>45498</v>
      </c>
      <c r="N5" s="3659">
        <v>45500</v>
      </c>
      <c r="O5" s="4097"/>
      <c r="P5" s="3682" t="s">
        <v>82</v>
      </c>
      <c r="Q5" s="3682"/>
      <c r="R5" s="4083"/>
      <c r="S5" s="4083"/>
      <c r="T5" s="4083"/>
      <c r="U5" s="3645" t="s">
        <v>2583</v>
      </c>
      <c r="V5" s="3691" t="s">
        <v>1571</v>
      </c>
      <c r="W5" s="3691"/>
      <c r="X5" s="3664" t="s">
        <v>2584</v>
      </c>
      <c r="Y5" s="3657"/>
      <c r="Z5" s="3661"/>
      <c r="AA5" s="3620" t="s">
        <v>2585</v>
      </c>
      <c r="AB5" s="3659" t="s">
        <v>357</v>
      </c>
      <c r="AC5" s="3691">
        <v>2.1606</v>
      </c>
      <c r="AD5" s="3691">
        <f t="shared" ref="AD5:AD21" si="2">AC5*I5</f>
        <v>11952.4392</v>
      </c>
      <c r="AE5" s="4098" t="s">
        <v>2586</v>
      </c>
      <c r="AF5" s="3664" t="s">
        <v>2577</v>
      </c>
      <c r="AG5" s="3645" t="s">
        <v>416</v>
      </c>
      <c r="AH5" s="905">
        <f>I5</f>
        <v>5532</v>
      </c>
      <c r="AI5" s="4390"/>
      <c r="AJ5" s="3664"/>
      <c r="AK5" s="905"/>
      <c r="AL5" s="3664"/>
      <c r="AM5" s="3664"/>
      <c r="AN5" s="3691"/>
      <c r="AO5" s="3691">
        <f t="shared" ref="AO5:AO15" si="3">I5</f>
        <v>5532</v>
      </c>
      <c r="AP5" s="3691"/>
      <c r="AQ5" s="4089"/>
      <c r="AR5" s="4382"/>
      <c r="AS5" s="4089">
        <f>I5</f>
        <v>5532</v>
      </c>
      <c r="AT5" s="4382"/>
      <c r="AU5" s="4089"/>
      <c r="AV5" s="4089">
        <f>I5/6</f>
        <v>922</v>
      </c>
      <c r="AW5" s="4089"/>
      <c r="AX5" s="4089"/>
      <c r="AY5" s="4089"/>
      <c r="AZ5" s="4089"/>
      <c r="BA5" s="4089"/>
      <c r="BB5" s="4089"/>
      <c r="BC5" s="4089"/>
      <c r="BD5" s="4089"/>
      <c r="BE5" s="4089"/>
      <c r="BF5" s="4089" t="s">
        <v>89</v>
      </c>
      <c r="BG5" s="4089"/>
      <c r="BH5" s="4089">
        <f t="shared" ref="BH5:BH11" si="4">I5/60*10</f>
        <v>922</v>
      </c>
      <c r="BI5" s="4089">
        <f t="shared" ref="BI5:BI11" si="5">I5/60*10</f>
        <v>922</v>
      </c>
      <c r="BJ5" s="4089">
        <f t="shared" ref="BJ5:BJ11" si="6">I5/60*10</f>
        <v>922</v>
      </c>
      <c r="BK5" s="4089">
        <f t="shared" ref="BK5:BK11" si="7">I5/60*10</f>
        <v>922</v>
      </c>
      <c r="BL5" s="4089">
        <f t="shared" ref="BL5:BL11" si="8">I5/60*10</f>
        <v>922</v>
      </c>
      <c r="BM5" s="4089">
        <f t="shared" ref="BM5:BM11" si="9">I5/60*8</f>
        <v>737.6</v>
      </c>
      <c r="BN5" s="4089"/>
      <c r="BO5" s="4382"/>
      <c r="BP5" s="4382"/>
      <c r="BQ5" s="4382"/>
      <c r="BR5" s="4382"/>
      <c r="BS5" s="4382"/>
      <c r="BT5" s="4383"/>
      <c r="BU5" s="4384">
        <f>I5/60*2</f>
        <v>184.4</v>
      </c>
      <c r="BV5" s="4385">
        <f t="shared" si="0"/>
        <v>5532</v>
      </c>
      <c r="BW5" s="4386">
        <f t="shared" ref="BW5:BW68" si="10">I5-BV5</f>
        <v>0</v>
      </c>
      <c r="BX5" s="4387"/>
      <c r="BY5" s="4387"/>
      <c r="BZ5" s="4387"/>
      <c r="CA5" s="4391"/>
      <c r="CC5" s="4392"/>
      <c r="CD5" s="4391"/>
    </row>
    <row r="6" s="4025" customFormat="1" ht="50" customHeight="1" spans="1:85">
      <c r="A6" s="3688">
        <v>45546</v>
      </c>
      <c r="B6" s="3689" t="s">
        <v>2587</v>
      </c>
      <c r="C6" s="4381" t="s">
        <v>91</v>
      </c>
      <c r="D6" s="3690">
        <v>4500145013</v>
      </c>
      <c r="E6" s="3664" t="s">
        <v>2588</v>
      </c>
      <c r="F6" s="4086" t="s">
        <v>2589</v>
      </c>
      <c r="G6" s="3664" t="s">
        <v>2590</v>
      </c>
      <c r="H6" s="3664" t="s">
        <v>2591</v>
      </c>
      <c r="I6" s="3691">
        <v>1560</v>
      </c>
      <c r="J6" s="3691">
        <v>0</v>
      </c>
      <c r="K6" s="3691">
        <v>6</v>
      </c>
      <c r="L6" s="3691">
        <f t="shared" si="1"/>
        <v>260</v>
      </c>
      <c r="M6" s="3659">
        <v>45628</v>
      </c>
      <c r="N6" s="3659">
        <v>45624</v>
      </c>
      <c r="O6" s="4085"/>
      <c r="P6" s="3682" t="s">
        <v>82</v>
      </c>
      <c r="Q6" s="3682"/>
      <c r="R6" s="4083"/>
      <c r="S6" s="4083"/>
      <c r="T6" s="4083"/>
      <c r="U6" s="3645" t="s">
        <v>2592</v>
      </c>
      <c r="V6" s="3657" t="s">
        <v>2593</v>
      </c>
      <c r="W6" s="3657"/>
      <c r="X6" s="3657" t="s">
        <v>98</v>
      </c>
      <c r="Y6" s="3657"/>
      <c r="Z6" s="3661"/>
      <c r="AA6" s="3638" t="s">
        <v>2594</v>
      </c>
      <c r="AB6" s="3691" t="s">
        <v>2595</v>
      </c>
      <c r="AC6" s="3691">
        <v>2.1991</v>
      </c>
      <c r="AD6" s="3691">
        <f t="shared" si="2"/>
        <v>3430.596</v>
      </c>
      <c r="AE6" s="4098" t="s">
        <v>2596</v>
      </c>
      <c r="AF6" s="3664" t="s">
        <v>2590</v>
      </c>
      <c r="AG6" s="3645" t="s">
        <v>416</v>
      </c>
      <c r="AH6" s="905"/>
      <c r="AI6" s="3664">
        <f>I6</f>
        <v>1560</v>
      </c>
      <c r="AJ6" s="3664"/>
      <c r="AK6" s="905"/>
      <c r="AL6" s="3664"/>
      <c r="AM6" s="3664"/>
      <c r="AN6" s="3691"/>
      <c r="AO6" s="3691">
        <f t="shared" si="3"/>
        <v>1560</v>
      </c>
      <c r="AP6" s="3691"/>
      <c r="AQ6" s="4089"/>
      <c r="AR6" s="877"/>
      <c r="AS6" s="4089">
        <f>I6</f>
        <v>1560</v>
      </c>
      <c r="AT6" s="877"/>
      <c r="AU6" s="4089"/>
      <c r="AV6" s="4089">
        <f>I6/6</f>
        <v>260</v>
      </c>
      <c r="AW6" s="4089"/>
      <c r="AX6" s="4089"/>
      <c r="AY6" s="4089"/>
      <c r="AZ6" s="4089"/>
      <c r="BA6" s="4089"/>
      <c r="BB6" s="4089"/>
      <c r="BC6" s="4089"/>
      <c r="BD6" s="4089"/>
      <c r="BE6" s="4089"/>
      <c r="BF6" s="4089" t="s">
        <v>89</v>
      </c>
      <c r="BG6" s="4089"/>
      <c r="BH6" s="4089">
        <f t="shared" si="4"/>
        <v>260</v>
      </c>
      <c r="BI6" s="4089">
        <f t="shared" si="5"/>
        <v>260</v>
      </c>
      <c r="BJ6" s="4089">
        <f t="shared" si="6"/>
        <v>260</v>
      </c>
      <c r="BK6" s="4089">
        <f t="shared" si="7"/>
        <v>260</v>
      </c>
      <c r="BL6" s="4089">
        <f t="shared" si="8"/>
        <v>260</v>
      </c>
      <c r="BM6" s="4089">
        <f t="shared" si="9"/>
        <v>208</v>
      </c>
      <c r="BN6" s="4089"/>
      <c r="BO6" s="878"/>
      <c r="BP6" s="878"/>
      <c r="BQ6" s="878"/>
      <c r="BR6" s="878"/>
      <c r="BS6" s="878"/>
      <c r="BT6" s="879"/>
      <c r="BU6" s="4384">
        <f>I6/60*2</f>
        <v>52</v>
      </c>
      <c r="BV6" s="4385">
        <f t="shared" si="0"/>
        <v>1560</v>
      </c>
      <c r="BW6" s="4386">
        <f t="shared" si="10"/>
        <v>0</v>
      </c>
      <c r="BX6" s="4387"/>
      <c r="BY6" s="4387"/>
      <c r="BZ6" s="4387"/>
      <c r="CA6" s="4391"/>
      <c r="CC6" s="4392"/>
      <c r="CD6" s="4391"/>
    </row>
    <row r="7" s="4025" customFormat="1" ht="50" customHeight="1" spans="1:85">
      <c r="A7" s="3688">
        <v>45595</v>
      </c>
      <c r="B7" s="3664" t="s">
        <v>2597</v>
      </c>
      <c r="C7" s="3664" t="s">
        <v>738</v>
      </c>
      <c r="D7" s="3691">
        <v>4500149669</v>
      </c>
      <c r="E7" s="3664"/>
      <c r="F7" s="3664" t="s">
        <v>2598</v>
      </c>
      <c r="G7" s="3664" t="s">
        <v>2577</v>
      </c>
      <c r="H7" s="3664" t="s">
        <v>2578</v>
      </c>
      <c r="I7" s="3691">
        <v>3180</v>
      </c>
      <c r="J7" s="3691">
        <v>0</v>
      </c>
      <c r="K7" s="3691">
        <v>12</v>
      </c>
      <c r="L7" s="3691">
        <f t="shared" si="1"/>
        <v>265</v>
      </c>
      <c r="M7" s="3659">
        <v>45642</v>
      </c>
      <c r="N7" s="3659">
        <v>45664</v>
      </c>
      <c r="O7" s="4097"/>
      <c r="P7" s="3682" t="s">
        <v>82</v>
      </c>
      <c r="Q7" s="3682"/>
      <c r="R7" s="4083"/>
      <c r="S7" s="4083"/>
      <c r="T7" s="4083"/>
      <c r="U7" s="3645" t="s">
        <v>2599</v>
      </c>
      <c r="V7" s="3657" t="s">
        <v>2600</v>
      </c>
      <c r="W7" s="3657"/>
      <c r="X7" s="3657" t="s">
        <v>2601</v>
      </c>
      <c r="Y7" s="3657"/>
      <c r="Z7" s="3661"/>
      <c r="AA7" s="3638" t="s">
        <v>2602</v>
      </c>
      <c r="AB7" s="3691" t="s">
        <v>1257</v>
      </c>
      <c r="AC7" s="3691">
        <v>2.1809</v>
      </c>
      <c r="AD7" s="3691">
        <f t="shared" si="2"/>
        <v>6935.262</v>
      </c>
      <c r="AE7" s="4098" t="s">
        <v>2603</v>
      </c>
      <c r="AF7" s="3664" t="s">
        <v>2604</v>
      </c>
      <c r="AG7" s="3645" t="s">
        <v>416</v>
      </c>
      <c r="AH7" s="905"/>
      <c r="AI7" s="3664"/>
      <c r="AJ7" s="3664"/>
      <c r="AK7" s="905">
        <f>I7</f>
        <v>3180</v>
      </c>
      <c r="AL7" s="3664"/>
      <c r="AM7" s="3664"/>
      <c r="AN7" s="3691"/>
      <c r="AO7" s="3691">
        <f t="shared" si="3"/>
        <v>3180</v>
      </c>
      <c r="AP7" s="3691"/>
      <c r="AQ7" s="4089"/>
      <c r="AR7" s="877"/>
      <c r="AS7" s="4089">
        <f>I7</f>
        <v>3180</v>
      </c>
      <c r="AT7" s="877"/>
      <c r="AU7" s="4089"/>
      <c r="AV7" s="4089">
        <f>I7/6</f>
        <v>530</v>
      </c>
      <c r="AW7" s="4089"/>
      <c r="AX7" s="4089"/>
      <c r="AY7" s="4089"/>
      <c r="AZ7" s="4089"/>
      <c r="BA7" s="4089"/>
      <c r="BB7" s="4089"/>
      <c r="BC7" s="4089"/>
      <c r="BD7" s="4089"/>
      <c r="BE7" s="4089"/>
      <c r="BF7" s="4089" t="s">
        <v>89</v>
      </c>
      <c r="BG7" s="4089"/>
      <c r="BH7" s="4089">
        <f t="shared" si="4"/>
        <v>530</v>
      </c>
      <c r="BI7" s="4089">
        <f t="shared" si="5"/>
        <v>530</v>
      </c>
      <c r="BJ7" s="4089">
        <f t="shared" si="6"/>
        <v>530</v>
      </c>
      <c r="BK7" s="4089">
        <f t="shared" si="7"/>
        <v>530</v>
      </c>
      <c r="BL7" s="4089">
        <f t="shared" si="8"/>
        <v>530</v>
      </c>
      <c r="BM7" s="4089">
        <f t="shared" si="9"/>
        <v>424</v>
      </c>
      <c r="BN7" s="4089">
        <f t="shared" ref="BN7:BN12" si="11">I7/60*2</f>
        <v>106</v>
      </c>
      <c r="BO7" s="878"/>
      <c r="BP7" s="878"/>
      <c r="BQ7" s="878"/>
      <c r="BR7" s="878"/>
      <c r="BS7" s="878"/>
      <c r="BT7" s="879"/>
      <c r="BU7" s="4384"/>
      <c r="BV7" s="4385">
        <f t="shared" si="0"/>
        <v>3180</v>
      </c>
      <c r="BW7" s="4386">
        <f t="shared" si="10"/>
        <v>0</v>
      </c>
      <c r="BX7" s="4387"/>
      <c r="BY7" s="4387"/>
      <c r="BZ7" s="4387"/>
      <c r="CA7" s="4391"/>
      <c r="CC7" s="4392"/>
      <c r="CD7" s="4391"/>
    </row>
    <row r="8" s="4025" customFormat="1" ht="50" customHeight="1" spans="1:85">
      <c r="A8" s="3688">
        <v>45596</v>
      </c>
      <c r="B8" s="3689" t="s">
        <v>2605</v>
      </c>
      <c r="C8" s="4381" t="s">
        <v>91</v>
      </c>
      <c r="D8" s="3690">
        <v>4500149775</v>
      </c>
      <c r="E8" s="3664" t="s">
        <v>2606</v>
      </c>
      <c r="F8" s="4086" t="s">
        <v>2607</v>
      </c>
      <c r="G8" s="3664" t="s">
        <v>2608</v>
      </c>
      <c r="H8" s="3664" t="s">
        <v>2609</v>
      </c>
      <c r="I8" s="3691">
        <v>33684</v>
      </c>
      <c r="J8" s="3691">
        <v>0</v>
      </c>
      <c r="K8" s="3691">
        <v>6</v>
      </c>
      <c r="L8" s="3691">
        <f t="shared" si="1"/>
        <v>5614</v>
      </c>
      <c r="M8" s="3659">
        <v>45646</v>
      </c>
      <c r="N8" s="3659">
        <v>45642</v>
      </c>
      <c r="O8" s="3664" t="s">
        <v>2610</v>
      </c>
      <c r="P8" s="3682" t="s">
        <v>82</v>
      </c>
      <c r="Q8" s="3682"/>
      <c r="R8" s="4083"/>
      <c r="S8" s="4083"/>
      <c r="T8" s="4083"/>
      <c r="U8" s="3645" t="s">
        <v>110</v>
      </c>
      <c r="V8" s="3657" t="s">
        <v>2162</v>
      </c>
      <c r="W8" s="3657"/>
      <c r="X8" s="3657" t="s">
        <v>98</v>
      </c>
      <c r="Y8" s="3657"/>
      <c r="Z8" s="3661" t="s">
        <v>2611</v>
      </c>
      <c r="AA8" s="3620" t="s">
        <v>2612</v>
      </c>
      <c r="AB8" s="3691" t="s">
        <v>1607</v>
      </c>
      <c r="AC8" s="3691">
        <v>2.2102</v>
      </c>
      <c r="AD8" s="3691">
        <f t="shared" si="2"/>
        <v>74448.3768</v>
      </c>
      <c r="AE8" s="4098" t="s">
        <v>2613</v>
      </c>
      <c r="AF8" s="3664" t="s">
        <v>2608</v>
      </c>
      <c r="AG8" s="3645" t="s">
        <v>326</v>
      </c>
      <c r="AH8" s="905"/>
      <c r="AI8" s="3691"/>
      <c r="AJ8" s="3691"/>
      <c r="AK8" s="905"/>
      <c r="AL8" s="3664"/>
      <c r="AM8" s="3664"/>
      <c r="AN8" s="3691">
        <f>I8</f>
        <v>33684</v>
      </c>
      <c r="AO8" s="3691">
        <f t="shared" si="3"/>
        <v>33684</v>
      </c>
      <c r="AP8" s="3691"/>
      <c r="AQ8" s="4089"/>
      <c r="AR8" s="877"/>
      <c r="AS8" s="4089">
        <f>I8</f>
        <v>33684</v>
      </c>
      <c r="AT8" s="877"/>
      <c r="AU8" s="4089"/>
      <c r="AV8" s="4089"/>
      <c r="AW8" s="4089"/>
      <c r="AX8" s="4089"/>
      <c r="AY8" s="4089"/>
      <c r="AZ8" s="4089"/>
      <c r="BA8" s="4089"/>
      <c r="BB8" s="4089"/>
      <c r="BC8" s="4089"/>
      <c r="BD8" s="4089"/>
      <c r="BE8" s="4089"/>
      <c r="BF8" s="4089" t="s">
        <v>89</v>
      </c>
      <c r="BG8" s="4089"/>
      <c r="BH8" s="4089">
        <f t="shared" si="4"/>
        <v>5614</v>
      </c>
      <c r="BI8" s="4089">
        <f t="shared" si="5"/>
        <v>5614</v>
      </c>
      <c r="BJ8" s="4089">
        <f t="shared" si="6"/>
        <v>5614</v>
      </c>
      <c r="BK8" s="4089">
        <f t="shared" si="7"/>
        <v>5614</v>
      </c>
      <c r="BL8" s="4089">
        <f t="shared" si="8"/>
        <v>5614</v>
      </c>
      <c r="BM8" s="4089">
        <f t="shared" si="9"/>
        <v>4491.2</v>
      </c>
      <c r="BN8" s="4089">
        <f t="shared" si="11"/>
        <v>1122.8</v>
      </c>
      <c r="BO8" s="878"/>
      <c r="BP8" s="878"/>
      <c r="BQ8" s="878"/>
      <c r="BR8" s="878"/>
      <c r="BS8" s="878"/>
      <c r="BT8" s="879"/>
      <c r="BU8" s="4384"/>
      <c r="BV8" s="4385">
        <f t="shared" si="0"/>
        <v>33684</v>
      </c>
      <c r="BW8" s="4386">
        <f t="shared" si="10"/>
        <v>0</v>
      </c>
      <c r="BX8" s="4387"/>
      <c r="BY8" s="4387"/>
      <c r="BZ8" s="4387"/>
      <c r="CA8" s="4391"/>
      <c r="CC8" s="4392"/>
      <c r="CD8" s="4391"/>
    </row>
    <row r="9" s="4025" customFormat="1" ht="50" customHeight="1" spans="1:85">
      <c r="A9" s="3688">
        <v>45596</v>
      </c>
      <c r="B9" s="3689" t="s">
        <v>2605</v>
      </c>
      <c r="C9" s="4381" t="s">
        <v>91</v>
      </c>
      <c r="D9" s="3690">
        <v>4500149775</v>
      </c>
      <c r="E9" s="3664" t="s">
        <v>2614</v>
      </c>
      <c r="F9" s="4086" t="s">
        <v>2615</v>
      </c>
      <c r="G9" s="3664" t="s">
        <v>2608</v>
      </c>
      <c r="H9" s="3664" t="s">
        <v>2609</v>
      </c>
      <c r="I9" s="3691">
        <v>33684</v>
      </c>
      <c r="J9" s="3691">
        <v>0</v>
      </c>
      <c r="K9" s="3691">
        <v>6</v>
      </c>
      <c r="L9" s="3691">
        <f t="shared" si="1"/>
        <v>5614</v>
      </c>
      <c r="M9" s="3659">
        <v>45646</v>
      </c>
      <c r="N9" s="3659">
        <v>45642</v>
      </c>
      <c r="O9" s="3664" t="s">
        <v>2610</v>
      </c>
      <c r="P9" s="3682" t="s">
        <v>82</v>
      </c>
      <c r="Q9" s="3682"/>
      <c r="R9" s="4083"/>
      <c r="S9" s="4083"/>
      <c r="T9" s="4083"/>
      <c r="U9" s="3645" t="s">
        <v>110</v>
      </c>
      <c r="V9" s="3657" t="s">
        <v>2162</v>
      </c>
      <c r="W9" s="3657"/>
      <c r="X9" s="3657" t="s">
        <v>98</v>
      </c>
      <c r="Y9" s="3657"/>
      <c r="Z9" s="3661" t="s">
        <v>2611</v>
      </c>
      <c r="AA9" s="3620" t="s">
        <v>2612</v>
      </c>
      <c r="AB9" s="3691" t="s">
        <v>1607</v>
      </c>
      <c r="AC9" s="3691">
        <v>2.2102</v>
      </c>
      <c r="AD9" s="3691">
        <f t="shared" si="2"/>
        <v>74448.3768</v>
      </c>
      <c r="AE9" s="4098" t="s">
        <v>2613</v>
      </c>
      <c r="AF9" s="3664" t="s">
        <v>2608</v>
      </c>
      <c r="AG9" s="3645" t="s">
        <v>326</v>
      </c>
      <c r="AH9" s="905"/>
      <c r="AI9" s="3691"/>
      <c r="AJ9" s="3691"/>
      <c r="AK9" s="905"/>
      <c r="AL9" s="3664"/>
      <c r="AM9" s="3664"/>
      <c r="AN9" s="3691">
        <f>I9</f>
        <v>33684</v>
      </c>
      <c r="AO9" s="3691">
        <f t="shared" si="3"/>
        <v>33684</v>
      </c>
      <c r="AP9" s="3691"/>
      <c r="AQ9" s="4089"/>
      <c r="AR9" s="877"/>
      <c r="AS9" s="4089">
        <f>I9</f>
        <v>33684</v>
      </c>
      <c r="AT9" s="877"/>
      <c r="AU9" s="4089"/>
      <c r="AV9" s="4089"/>
      <c r="AW9" s="4089"/>
      <c r="AX9" s="4089"/>
      <c r="AY9" s="4089"/>
      <c r="AZ9" s="4089"/>
      <c r="BA9" s="4089"/>
      <c r="BB9" s="4089"/>
      <c r="BC9" s="4089"/>
      <c r="BD9" s="4089"/>
      <c r="BE9" s="4089"/>
      <c r="BF9" s="4089" t="s">
        <v>89</v>
      </c>
      <c r="BG9" s="4089"/>
      <c r="BH9" s="4089">
        <f t="shared" si="4"/>
        <v>5614</v>
      </c>
      <c r="BI9" s="4089">
        <f t="shared" si="5"/>
        <v>5614</v>
      </c>
      <c r="BJ9" s="4089">
        <f t="shared" si="6"/>
        <v>5614</v>
      </c>
      <c r="BK9" s="4089">
        <f t="shared" si="7"/>
        <v>5614</v>
      </c>
      <c r="BL9" s="4089">
        <f t="shared" si="8"/>
        <v>5614</v>
      </c>
      <c r="BM9" s="4089">
        <f t="shared" si="9"/>
        <v>4491.2</v>
      </c>
      <c r="BN9" s="4089">
        <f t="shared" si="11"/>
        <v>1122.8</v>
      </c>
      <c r="BO9" s="878"/>
      <c r="BP9" s="878"/>
      <c r="BQ9" s="878"/>
      <c r="BR9" s="878"/>
      <c r="BS9" s="878"/>
      <c r="BT9" s="879"/>
      <c r="BU9" s="4384"/>
      <c r="BV9" s="4385">
        <f t="shared" si="0"/>
        <v>33684</v>
      </c>
      <c r="BW9" s="4386">
        <f t="shared" si="10"/>
        <v>0</v>
      </c>
      <c r="BX9" s="4387"/>
      <c r="BY9" s="4387"/>
      <c r="BZ9" s="4387"/>
      <c r="CA9" s="4391"/>
      <c r="CC9" s="4392"/>
      <c r="CD9" s="4391"/>
    </row>
    <row r="10" s="4025" customFormat="1" ht="50" customHeight="1" spans="1:85">
      <c r="A10" s="3688">
        <v>45602</v>
      </c>
      <c r="B10" s="3689" t="s">
        <v>2616</v>
      </c>
      <c r="C10" s="4381" t="s">
        <v>471</v>
      </c>
      <c r="D10" s="3690">
        <v>4500149853</v>
      </c>
      <c r="E10" s="3664" t="s">
        <v>2617</v>
      </c>
      <c r="F10" s="3690" t="s">
        <v>2618</v>
      </c>
      <c r="G10" s="3664" t="s">
        <v>2619</v>
      </c>
      <c r="H10" s="3664" t="s">
        <v>2620</v>
      </c>
      <c r="I10" s="3691">
        <v>12000</v>
      </c>
      <c r="J10" s="3691">
        <v>0</v>
      </c>
      <c r="K10" s="3691">
        <v>24</v>
      </c>
      <c r="L10" s="3691">
        <f t="shared" si="1"/>
        <v>500</v>
      </c>
      <c r="M10" s="3659">
        <v>45649</v>
      </c>
      <c r="N10" s="3659">
        <v>45645</v>
      </c>
      <c r="O10" s="3664" t="s">
        <v>2621</v>
      </c>
      <c r="P10" s="3682" t="s">
        <v>82</v>
      </c>
      <c r="Q10" s="3682"/>
      <c r="R10" s="4083"/>
      <c r="S10" s="4083"/>
      <c r="T10" s="4083"/>
      <c r="U10" s="3645" t="s">
        <v>96</v>
      </c>
      <c r="V10" s="3657" t="s">
        <v>497</v>
      </c>
      <c r="W10" s="3657"/>
      <c r="X10" s="3657" t="s">
        <v>2622</v>
      </c>
      <c r="Y10" s="3657"/>
      <c r="Z10" s="3661"/>
      <c r="AA10" s="3620" t="s">
        <v>2623</v>
      </c>
      <c r="AB10" s="3691" t="s">
        <v>2624</v>
      </c>
      <c r="AC10" s="3691">
        <v>2.1003</v>
      </c>
      <c r="AD10" s="3691">
        <f t="shared" si="2"/>
        <v>25203.6</v>
      </c>
      <c r="AE10" s="4098" t="s">
        <v>2625</v>
      </c>
      <c r="AF10" s="3664" t="s">
        <v>2619</v>
      </c>
      <c r="AG10" s="3645" t="s">
        <v>326</v>
      </c>
      <c r="AH10" s="905"/>
      <c r="AI10" s="3691">
        <f>I10</f>
        <v>12000</v>
      </c>
      <c r="AJ10" s="3691"/>
      <c r="AK10" s="905"/>
      <c r="AL10" s="3664"/>
      <c r="AM10" s="3664"/>
      <c r="AN10" s="3691"/>
      <c r="AO10" s="3691">
        <f t="shared" si="3"/>
        <v>12000</v>
      </c>
      <c r="AP10" s="3691"/>
      <c r="AQ10" s="4089"/>
      <c r="AR10" s="877"/>
      <c r="AS10" s="4089"/>
      <c r="AT10" s="877"/>
      <c r="AU10" s="4089">
        <f>I10</f>
        <v>12000</v>
      </c>
      <c r="AV10" s="4089"/>
      <c r="AW10" s="4089"/>
      <c r="AX10" s="4089"/>
      <c r="AY10" s="4089"/>
      <c r="AZ10" s="4089"/>
      <c r="BA10" s="4089"/>
      <c r="BB10" s="4089"/>
      <c r="BC10" s="4089"/>
      <c r="BD10" s="4089"/>
      <c r="BE10" s="4089"/>
      <c r="BF10" s="4089" t="s">
        <v>89</v>
      </c>
      <c r="BG10" s="4089"/>
      <c r="BH10" s="4089">
        <f t="shared" si="4"/>
        <v>2000</v>
      </c>
      <c r="BI10" s="4089">
        <f t="shared" si="5"/>
        <v>2000</v>
      </c>
      <c r="BJ10" s="4089">
        <f t="shared" si="6"/>
        <v>2000</v>
      </c>
      <c r="BK10" s="4089">
        <f t="shared" si="7"/>
        <v>2000</v>
      </c>
      <c r="BL10" s="4089">
        <f t="shared" si="8"/>
        <v>2000</v>
      </c>
      <c r="BM10" s="4089">
        <f t="shared" si="9"/>
        <v>1600</v>
      </c>
      <c r="BN10" s="4089">
        <f t="shared" si="11"/>
        <v>400</v>
      </c>
      <c r="BO10" s="878"/>
      <c r="BP10" s="878"/>
      <c r="BQ10" s="878"/>
      <c r="BR10" s="878"/>
      <c r="BS10" s="878"/>
      <c r="BT10" s="879"/>
      <c r="BU10" s="4384"/>
      <c r="BV10" s="4385">
        <f t="shared" si="0"/>
        <v>12000</v>
      </c>
      <c r="BW10" s="4386">
        <f t="shared" si="10"/>
        <v>0</v>
      </c>
      <c r="BX10" s="4387"/>
      <c r="BY10" s="4387"/>
      <c r="BZ10" s="4387"/>
      <c r="CA10" s="4391"/>
      <c r="CC10" s="4392"/>
      <c r="CD10" s="4391"/>
    </row>
    <row r="11" s="4025" customFormat="1" ht="50" customHeight="1" spans="1:85">
      <c r="A11" s="3688">
        <v>45604</v>
      </c>
      <c r="B11" s="3664" t="s">
        <v>350</v>
      </c>
      <c r="C11" s="3664" t="s">
        <v>351</v>
      </c>
      <c r="D11" s="3691">
        <v>4500150797</v>
      </c>
      <c r="E11" s="3664"/>
      <c r="F11" s="3691" t="s">
        <v>2626</v>
      </c>
      <c r="G11" s="3664" t="s">
        <v>2627</v>
      </c>
      <c r="H11" s="3691" t="s">
        <v>2591</v>
      </c>
      <c r="I11" s="3691">
        <v>2400</v>
      </c>
      <c r="J11" s="3691">
        <v>0</v>
      </c>
      <c r="K11" s="3691">
        <v>24</v>
      </c>
      <c r="L11" s="3691">
        <f t="shared" si="1"/>
        <v>100</v>
      </c>
      <c r="M11" s="3659">
        <v>45649</v>
      </c>
      <c r="N11" s="3659">
        <v>45645</v>
      </c>
      <c r="O11" s="3664"/>
      <c r="P11" s="3682" t="s">
        <v>82</v>
      </c>
      <c r="Q11" s="3682"/>
      <c r="R11" s="4083"/>
      <c r="S11" s="4083"/>
      <c r="T11" s="4083"/>
      <c r="U11" s="3645" t="s">
        <v>107</v>
      </c>
      <c r="V11" s="3657" t="s">
        <v>353</v>
      </c>
      <c r="W11" s="3657"/>
      <c r="X11" s="3657" t="s">
        <v>354</v>
      </c>
      <c r="Y11" s="3657"/>
      <c r="Z11" s="3664" t="s">
        <v>355</v>
      </c>
      <c r="AA11" s="3620" t="s">
        <v>356</v>
      </c>
      <c r="AB11" s="3691" t="s">
        <v>357</v>
      </c>
      <c r="AC11" s="3691">
        <v>2.1285</v>
      </c>
      <c r="AD11" s="3691">
        <f t="shared" si="2"/>
        <v>5108.4</v>
      </c>
      <c r="AE11" s="4098" t="s">
        <v>358</v>
      </c>
      <c r="AF11" s="3664" t="s">
        <v>2627</v>
      </c>
      <c r="AG11" s="3645" t="s">
        <v>416</v>
      </c>
      <c r="AH11" s="905"/>
      <c r="AI11" s="3691">
        <f>I11</f>
        <v>2400</v>
      </c>
      <c r="AJ11" s="3691"/>
      <c r="AK11" s="905"/>
      <c r="AL11" s="3664"/>
      <c r="AM11" s="3664"/>
      <c r="AN11" s="3691"/>
      <c r="AO11" s="3691">
        <f t="shared" si="3"/>
        <v>2400</v>
      </c>
      <c r="AP11" s="3691"/>
      <c r="AQ11" s="4089"/>
      <c r="AR11" s="877"/>
      <c r="AS11" s="4089">
        <f>I11</f>
        <v>2400</v>
      </c>
      <c r="AT11" s="877"/>
      <c r="AU11" s="4089"/>
      <c r="AV11" s="4089"/>
      <c r="AW11" s="4089"/>
      <c r="AX11" s="4089"/>
      <c r="AY11" s="4089"/>
      <c r="AZ11" s="4089"/>
      <c r="BA11" s="4089"/>
      <c r="BB11" s="4089"/>
      <c r="BC11" s="4089"/>
      <c r="BD11" s="4089"/>
      <c r="BE11" s="4089"/>
      <c r="BF11" s="4089" t="s">
        <v>89</v>
      </c>
      <c r="BG11" s="4089"/>
      <c r="BH11" s="4089">
        <f t="shared" si="4"/>
        <v>400</v>
      </c>
      <c r="BI11" s="4089">
        <f t="shared" si="5"/>
        <v>400</v>
      </c>
      <c r="BJ11" s="4089">
        <f t="shared" si="6"/>
        <v>400</v>
      </c>
      <c r="BK11" s="4089">
        <f t="shared" si="7"/>
        <v>400</v>
      </c>
      <c r="BL11" s="4089">
        <f t="shared" si="8"/>
        <v>400</v>
      </c>
      <c r="BM11" s="4089">
        <f t="shared" si="9"/>
        <v>320</v>
      </c>
      <c r="BN11" s="4089">
        <f t="shared" si="11"/>
        <v>80</v>
      </c>
      <c r="BO11" s="878"/>
      <c r="BP11" s="878"/>
      <c r="BQ11" s="878"/>
      <c r="BR11" s="878"/>
      <c r="BS11" s="878"/>
      <c r="BT11" s="879"/>
      <c r="BU11" s="4384"/>
      <c r="BV11" s="4385">
        <f t="shared" si="0"/>
        <v>2400</v>
      </c>
      <c r="BW11" s="4386">
        <f t="shared" si="10"/>
        <v>0</v>
      </c>
      <c r="BX11" s="4387"/>
      <c r="BY11" s="4387"/>
      <c r="BZ11" s="4387"/>
      <c r="CA11" s="4391"/>
      <c r="CC11" s="4392"/>
      <c r="CD11" s="4391"/>
    </row>
    <row r="12" s="4025" customFormat="1" ht="50" customHeight="1" spans="1:85">
      <c r="A12" s="3688">
        <v>45614</v>
      </c>
      <c r="B12" s="3664" t="s">
        <v>2628</v>
      </c>
      <c r="C12" s="3664" t="s">
        <v>738</v>
      </c>
      <c r="D12" s="3691">
        <v>4500151559</v>
      </c>
      <c r="E12" s="3664" t="s">
        <v>2629</v>
      </c>
      <c r="F12" s="3691" t="s">
        <v>2630</v>
      </c>
      <c r="G12" s="3664" t="s">
        <v>2631</v>
      </c>
      <c r="H12" s="3664" t="s">
        <v>2632</v>
      </c>
      <c r="I12" s="3691">
        <v>72</v>
      </c>
      <c r="J12" s="3691">
        <v>0</v>
      </c>
      <c r="K12" s="3691">
        <v>12</v>
      </c>
      <c r="L12" s="3691">
        <f t="shared" si="1"/>
        <v>6</v>
      </c>
      <c r="M12" s="3659">
        <v>45649</v>
      </c>
      <c r="N12" s="3659">
        <v>45645</v>
      </c>
      <c r="O12" s="3664"/>
      <c r="P12" s="3682" t="s">
        <v>82</v>
      </c>
      <c r="Q12" s="3682"/>
      <c r="R12" s="4083"/>
      <c r="S12" s="4083"/>
      <c r="T12" s="4083"/>
      <c r="U12" s="3645"/>
      <c r="V12" s="3657" t="s">
        <v>2633</v>
      </c>
      <c r="W12" s="3657"/>
      <c r="X12" s="3657" t="s">
        <v>2634</v>
      </c>
      <c r="Y12" s="3657" t="s">
        <v>2635</v>
      </c>
      <c r="Z12" s="3661"/>
      <c r="AA12" s="3620" t="s">
        <v>2636</v>
      </c>
      <c r="AB12" s="3691" t="s">
        <v>521</v>
      </c>
      <c r="AC12" s="3691">
        <v>2.2403</v>
      </c>
      <c r="AD12" s="3691">
        <f t="shared" si="2"/>
        <v>161.3016</v>
      </c>
      <c r="AE12" s="4098" t="s">
        <v>2637</v>
      </c>
      <c r="AF12" s="3664" t="s">
        <v>2631</v>
      </c>
      <c r="AG12" s="3645" t="s">
        <v>416</v>
      </c>
      <c r="AH12" s="905"/>
      <c r="AI12" s="3691">
        <f>I12</f>
        <v>72</v>
      </c>
      <c r="AJ12" s="3691"/>
      <c r="AK12" s="905"/>
      <c r="AL12" s="3664"/>
      <c r="AM12" s="3664"/>
      <c r="AN12" s="3691"/>
      <c r="AO12" s="3691">
        <f t="shared" si="3"/>
        <v>72</v>
      </c>
      <c r="AP12" s="3691"/>
      <c r="AQ12" s="4089"/>
      <c r="AR12" s="877"/>
      <c r="AS12" s="4089">
        <f>I12</f>
        <v>72</v>
      </c>
      <c r="AT12" s="877"/>
      <c r="AU12" s="4089"/>
      <c r="AV12" s="4089"/>
      <c r="AW12" s="4089"/>
      <c r="AX12" s="4089"/>
      <c r="AY12" s="4089"/>
      <c r="AZ12" s="4089"/>
      <c r="BA12" s="4089"/>
      <c r="BB12" s="4089"/>
      <c r="BC12" s="4089"/>
      <c r="BD12" s="4089"/>
      <c r="BE12" s="4089"/>
      <c r="BF12" s="4089" t="s">
        <v>89</v>
      </c>
      <c r="BG12" s="4089"/>
      <c r="BH12" s="4089"/>
      <c r="BI12" s="4089"/>
      <c r="BJ12" s="4089">
        <f>I12-BN12</f>
        <v>69.6</v>
      </c>
      <c r="BK12" s="4089"/>
      <c r="BL12" s="4089"/>
      <c r="BM12" s="4089"/>
      <c r="BN12" s="4089">
        <f t="shared" si="11"/>
        <v>2.4</v>
      </c>
      <c r="BO12" s="878"/>
      <c r="BP12" s="878"/>
      <c r="BQ12" s="878"/>
      <c r="BR12" s="878"/>
      <c r="BS12" s="878"/>
      <c r="BT12" s="879"/>
      <c r="BU12" s="4384"/>
      <c r="BV12" s="4385">
        <f t="shared" si="0"/>
        <v>72</v>
      </c>
      <c r="BW12" s="4386">
        <f t="shared" si="10"/>
        <v>0</v>
      </c>
      <c r="BX12" s="4387"/>
      <c r="BY12" s="4387"/>
      <c r="BZ12" s="4387"/>
      <c r="CA12" s="4391"/>
      <c r="CC12" s="4392"/>
      <c r="CD12" s="4391"/>
    </row>
    <row r="13" s="4025" customFormat="1" ht="50" customHeight="1" spans="1:85">
      <c r="A13" s="3688">
        <v>45595</v>
      </c>
      <c r="B13" s="3689" t="s">
        <v>371</v>
      </c>
      <c r="C13" s="4381" t="s">
        <v>341</v>
      </c>
      <c r="D13" s="3690">
        <v>4500149496</v>
      </c>
      <c r="E13" s="3664" t="s">
        <v>2638</v>
      </c>
      <c r="F13" s="4086" t="s">
        <v>2639</v>
      </c>
      <c r="G13" s="3664" t="s">
        <v>2640</v>
      </c>
      <c r="H13" s="3664" t="s">
        <v>2641</v>
      </c>
      <c r="I13" s="3691">
        <v>504</v>
      </c>
      <c r="J13" s="3691">
        <v>0</v>
      </c>
      <c r="K13" s="3691">
        <v>12</v>
      </c>
      <c r="L13" s="3691">
        <f t="shared" si="1"/>
        <v>42</v>
      </c>
      <c r="M13" s="3659">
        <v>45651</v>
      </c>
      <c r="N13" s="3659">
        <v>45647</v>
      </c>
      <c r="O13" s="4085"/>
      <c r="P13" s="3682" t="s">
        <v>82</v>
      </c>
      <c r="Q13" s="3682"/>
      <c r="R13" s="4083"/>
      <c r="S13" s="4083"/>
      <c r="T13" s="4083"/>
      <c r="U13" s="3645"/>
      <c r="V13" s="3657" t="s">
        <v>376</v>
      </c>
      <c r="W13" s="3657"/>
      <c r="X13" s="3657" t="s">
        <v>2642</v>
      </c>
      <c r="Y13" s="3657" t="s">
        <v>378</v>
      </c>
      <c r="Z13" s="3661"/>
      <c r="AA13" s="3620" t="s">
        <v>2643</v>
      </c>
      <c r="AB13" s="3691" t="s">
        <v>380</v>
      </c>
      <c r="AC13" s="3691">
        <v>2.1357</v>
      </c>
      <c r="AD13" s="3691">
        <f t="shared" si="2"/>
        <v>1076.3928</v>
      </c>
      <c r="AE13" s="4098" t="s">
        <v>381</v>
      </c>
      <c r="AF13" s="3664" t="s">
        <v>2644</v>
      </c>
      <c r="AG13" s="3645" t="s">
        <v>416</v>
      </c>
      <c r="AH13" s="905"/>
      <c r="AI13" s="3691"/>
      <c r="AJ13" s="3691"/>
      <c r="AK13" s="905"/>
      <c r="AL13" s="3664">
        <f>I13</f>
        <v>504</v>
      </c>
      <c r="AM13" s="3664"/>
      <c r="AN13" s="3691"/>
      <c r="AO13" s="3691">
        <f t="shared" si="3"/>
        <v>504</v>
      </c>
      <c r="AP13" s="3691"/>
      <c r="AQ13" s="4089"/>
      <c r="AR13" s="877"/>
      <c r="AS13" s="4089">
        <f>I13</f>
        <v>504</v>
      </c>
      <c r="AT13" s="877"/>
      <c r="AU13" s="4089"/>
      <c r="AV13" s="4089"/>
      <c r="AW13" s="4089"/>
      <c r="AX13" s="4089"/>
      <c r="AY13" s="4089"/>
      <c r="AZ13" s="4089"/>
      <c r="BA13" s="4089"/>
      <c r="BB13" s="4089"/>
      <c r="BC13" s="4089"/>
      <c r="BD13" s="4089"/>
      <c r="BE13" s="4089"/>
      <c r="BF13" s="4089" t="s">
        <v>89</v>
      </c>
      <c r="BG13" s="4089"/>
      <c r="BH13" s="4089">
        <f>I13-BU13</f>
        <v>504</v>
      </c>
      <c r="BI13" s="4089"/>
      <c r="BJ13" s="4089"/>
      <c r="BK13" s="4089"/>
      <c r="BL13" s="4089"/>
      <c r="BM13" s="4089"/>
      <c r="BN13" s="4089"/>
      <c r="BO13" s="878"/>
      <c r="BP13" s="878"/>
      <c r="BQ13" s="878"/>
      <c r="BR13" s="878"/>
      <c r="BS13" s="878"/>
      <c r="BT13" s="879"/>
      <c r="BU13" s="4384"/>
      <c r="BV13" s="4385">
        <f t="shared" si="0"/>
        <v>504</v>
      </c>
      <c r="BW13" s="4386">
        <f t="shared" si="10"/>
        <v>0</v>
      </c>
      <c r="BX13" s="4387"/>
      <c r="BY13" s="4387"/>
      <c r="BZ13" s="4387"/>
      <c r="CA13" s="4391"/>
      <c r="CC13" s="4392"/>
      <c r="CD13" s="4391"/>
    </row>
    <row r="14" s="4025" customFormat="1" ht="50" customHeight="1" spans="1:85">
      <c r="A14" s="3688">
        <v>45610</v>
      </c>
      <c r="B14" s="3689" t="s">
        <v>2645</v>
      </c>
      <c r="C14" s="4381" t="s">
        <v>2058</v>
      </c>
      <c r="D14" s="3690">
        <v>4500151118</v>
      </c>
      <c r="E14" s="3664">
        <v>5200005699</v>
      </c>
      <c r="F14" s="4086" t="s">
        <v>2646</v>
      </c>
      <c r="G14" s="3664" t="s">
        <v>2647</v>
      </c>
      <c r="H14" s="3664" t="s">
        <v>2648</v>
      </c>
      <c r="I14" s="3691">
        <v>504</v>
      </c>
      <c r="J14" s="3691">
        <v>0</v>
      </c>
      <c r="K14" s="3691">
        <v>6</v>
      </c>
      <c r="L14" s="3691">
        <f t="shared" si="1"/>
        <v>84</v>
      </c>
      <c r="M14" s="3659">
        <v>45651</v>
      </c>
      <c r="N14" s="3659">
        <v>45647</v>
      </c>
      <c r="O14" s="4085"/>
      <c r="P14" s="3682" t="s">
        <v>82</v>
      </c>
      <c r="Q14" s="3682"/>
      <c r="R14" s="4083"/>
      <c r="S14" s="4083"/>
      <c r="T14" s="4083"/>
      <c r="U14" s="3645" t="s">
        <v>107</v>
      </c>
      <c r="V14" s="3657" t="s">
        <v>600</v>
      </c>
      <c r="W14" s="3657"/>
      <c r="X14" s="3657" t="s">
        <v>2649</v>
      </c>
      <c r="Y14" s="3657"/>
      <c r="Z14" s="3661"/>
      <c r="AA14" s="3620" t="s">
        <v>2650</v>
      </c>
      <c r="AB14" s="3691" t="s">
        <v>578</v>
      </c>
      <c r="AC14" s="3691">
        <v>2.1498</v>
      </c>
      <c r="AD14" s="3691">
        <f t="shared" si="2"/>
        <v>1083.4992</v>
      </c>
      <c r="AE14" s="4098" t="s">
        <v>2651</v>
      </c>
      <c r="AF14" s="959" t="s">
        <v>2652</v>
      </c>
      <c r="AG14" s="3645" t="s">
        <v>416</v>
      </c>
      <c r="AH14" s="905"/>
      <c r="AI14" s="3691"/>
      <c r="AJ14" s="3691"/>
      <c r="AK14" s="905"/>
      <c r="AL14" s="3664">
        <f>I14</f>
        <v>504</v>
      </c>
      <c r="AM14" s="3664"/>
      <c r="AN14" s="3691"/>
      <c r="AO14" s="3691">
        <f t="shared" si="3"/>
        <v>504</v>
      </c>
      <c r="AP14" s="3691"/>
      <c r="AQ14" s="4089"/>
      <c r="AR14" s="907"/>
      <c r="AS14" s="4089"/>
      <c r="AT14" s="907"/>
      <c r="AU14" s="4089">
        <f>I14</f>
        <v>504</v>
      </c>
      <c r="AV14" s="4089">
        <f>I14/6</f>
        <v>84</v>
      </c>
      <c r="AW14" s="4089"/>
      <c r="AX14" s="4089"/>
      <c r="AY14" s="4089"/>
      <c r="AZ14" s="4089"/>
      <c r="BA14" s="4089"/>
      <c r="BB14" s="4089"/>
      <c r="BC14" s="4089"/>
      <c r="BD14" s="4089"/>
      <c r="BE14" s="4089"/>
      <c r="BF14" s="4089" t="s">
        <v>89</v>
      </c>
      <c r="BG14" s="4089"/>
      <c r="BH14" s="4089">
        <f>I14/60*10</f>
        <v>84</v>
      </c>
      <c r="BI14" s="4089">
        <f>I14/60*10</f>
        <v>84</v>
      </c>
      <c r="BJ14" s="4089">
        <f>I14/60*10</f>
        <v>84</v>
      </c>
      <c r="BK14" s="4089">
        <f>I14/60*10</f>
        <v>84</v>
      </c>
      <c r="BL14" s="4089">
        <f>I14/60*10</f>
        <v>84</v>
      </c>
      <c r="BM14" s="4089">
        <f>I14/60*8</f>
        <v>67.2</v>
      </c>
      <c r="BN14" s="4089">
        <f t="shared" ref="BN14:BN77" si="12">I14/60*2</f>
        <v>16.8</v>
      </c>
      <c r="BO14" s="4382"/>
      <c r="BP14" s="4382"/>
      <c r="BQ14" s="4382"/>
      <c r="BR14" s="4382"/>
      <c r="BS14" s="4382"/>
      <c r="BT14" s="4383"/>
      <c r="BU14" s="4384"/>
      <c r="BV14" s="4385">
        <f t="shared" si="0"/>
        <v>504</v>
      </c>
      <c r="BW14" s="4386">
        <f t="shared" si="10"/>
        <v>0</v>
      </c>
      <c r="BX14" s="4387"/>
      <c r="BY14" s="4387"/>
      <c r="BZ14" s="4387"/>
      <c r="CA14" s="4391"/>
      <c r="CC14" s="4392"/>
      <c r="CD14" s="4391"/>
    </row>
    <row r="15" s="4025" customFormat="1" ht="50" customHeight="1" spans="1:85">
      <c r="A15" s="3688">
        <v>45608</v>
      </c>
      <c r="B15" s="3689" t="s">
        <v>395</v>
      </c>
      <c r="C15" s="4381" t="s">
        <v>396</v>
      </c>
      <c r="D15" s="3690">
        <v>4500151018</v>
      </c>
      <c r="E15" s="3664" t="s">
        <v>397</v>
      </c>
      <c r="F15" s="3690" t="s">
        <v>2653</v>
      </c>
      <c r="G15" s="3664" t="s">
        <v>2654</v>
      </c>
      <c r="H15" s="3664" t="s">
        <v>2591</v>
      </c>
      <c r="I15" s="3691">
        <v>372</v>
      </c>
      <c r="J15" s="3691">
        <v>0</v>
      </c>
      <c r="K15" s="3691">
        <v>6</v>
      </c>
      <c r="L15" s="3691">
        <f t="shared" si="1"/>
        <v>62</v>
      </c>
      <c r="M15" s="3659">
        <v>45651</v>
      </c>
      <c r="N15" s="3659">
        <v>45647</v>
      </c>
      <c r="O15" s="4085"/>
      <c r="P15" s="3682" t="s">
        <v>82</v>
      </c>
      <c r="Q15" s="3682"/>
      <c r="R15" s="4083"/>
      <c r="S15" s="4083"/>
      <c r="T15" s="4083"/>
      <c r="U15" s="3645" t="s">
        <v>401</v>
      </c>
      <c r="V15" s="3657" t="s">
        <v>402</v>
      </c>
      <c r="W15" s="3657"/>
      <c r="X15" s="3657" t="s">
        <v>2655</v>
      </c>
      <c r="Y15" s="3657"/>
      <c r="Z15" s="3661"/>
      <c r="AA15" s="3620" t="s">
        <v>2656</v>
      </c>
      <c r="AB15" s="3691" t="s">
        <v>405</v>
      </c>
      <c r="AC15" s="3691">
        <v>2.2038</v>
      </c>
      <c r="AD15" s="3691">
        <f t="shared" si="2"/>
        <v>819.8136</v>
      </c>
      <c r="AE15" s="4098" t="s">
        <v>406</v>
      </c>
      <c r="AF15" s="959" t="s">
        <v>2652</v>
      </c>
      <c r="AG15" s="3645" t="s">
        <v>416</v>
      </c>
      <c r="AH15" s="905"/>
      <c r="AI15" s="3691"/>
      <c r="AJ15" s="3691"/>
      <c r="AK15" s="905"/>
      <c r="AL15" s="3664">
        <f>I15</f>
        <v>372</v>
      </c>
      <c r="AM15" s="3664"/>
      <c r="AN15" s="3691"/>
      <c r="AO15" s="3691">
        <f t="shared" si="3"/>
        <v>372</v>
      </c>
      <c r="AP15" s="3691"/>
      <c r="AQ15" s="4089"/>
      <c r="AR15" s="907"/>
      <c r="AS15" s="4089"/>
      <c r="AT15" s="907"/>
      <c r="AU15" s="4089">
        <f>I15</f>
        <v>372</v>
      </c>
      <c r="AV15" s="4089">
        <f>I15/6</f>
        <v>62</v>
      </c>
      <c r="AW15" s="4089"/>
      <c r="AX15" s="4089"/>
      <c r="AY15" s="4089"/>
      <c r="AZ15" s="4089"/>
      <c r="BA15" s="4089"/>
      <c r="BB15" s="4089"/>
      <c r="BC15" s="4089"/>
      <c r="BD15" s="4089"/>
      <c r="BE15" s="4089"/>
      <c r="BF15" s="4089" t="s">
        <v>89</v>
      </c>
      <c r="BG15" s="4089"/>
      <c r="BH15" s="4089">
        <f>I15/60*10</f>
        <v>62</v>
      </c>
      <c r="BI15" s="4089">
        <f>I15/60*10</f>
        <v>62</v>
      </c>
      <c r="BJ15" s="4089">
        <f>I15/60*10</f>
        <v>62</v>
      </c>
      <c r="BK15" s="4089">
        <f>I15/60*10</f>
        <v>62</v>
      </c>
      <c r="BL15" s="4089">
        <f>I15/60*10</f>
        <v>62</v>
      </c>
      <c r="BM15" s="4089">
        <f>I15/60*8</f>
        <v>49.6</v>
      </c>
      <c r="BN15" s="4089">
        <f t="shared" si="12"/>
        <v>12.4</v>
      </c>
      <c r="BO15" s="4382"/>
      <c r="BP15" s="4382"/>
      <c r="BQ15" s="4382"/>
      <c r="BR15" s="4382"/>
      <c r="BS15" s="4382"/>
      <c r="BT15" s="4383"/>
      <c r="BU15" s="4384"/>
      <c r="BV15" s="4385">
        <f t="shared" si="0"/>
        <v>372</v>
      </c>
      <c r="BW15" s="4386">
        <f t="shared" si="10"/>
        <v>0</v>
      </c>
      <c r="BX15" s="4387"/>
      <c r="BY15" s="4387"/>
      <c r="BZ15" s="4387"/>
      <c r="CA15" s="4391"/>
      <c r="CC15" s="4392"/>
      <c r="CD15" s="4391"/>
    </row>
    <row r="16" s="4025" customFormat="1" ht="50" customHeight="1" spans="1:85">
      <c r="A16" s="3688">
        <v>45621</v>
      </c>
      <c r="B16" s="3689" t="s">
        <v>672</v>
      </c>
      <c r="C16" s="4381" t="s">
        <v>673</v>
      </c>
      <c r="D16" s="3690">
        <v>4500152175</v>
      </c>
      <c r="E16" s="3664">
        <v>5000001714</v>
      </c>
      <c r="F16" s="3690" t="s">
        <v>2657</v>
      </c>
      <c r="G16" s="3664" t="s">
        <v>2590</v>
      </c>
      <c r="H16" s="3664" t="s">
        <v>2591</v>
      </c>
      <c r="I16" s="3691">
        <v>3600</v>
      </c>
      <c r="J16" s="3691">
        <v>0</v>
      </c>
      <c r="K16" s="3691">
        <v>6</v>
      </c>
      <c r="L16" s="3691">
        <f t="shared" si="1"/>
        <v>600</v>
      </c>
      <c r="M16" s="3659">
        <v>45651</v>
      </c>
      <c r="N16" s="3659">
        <v>45647</v>
      </c>
      <c r="O16" s="4085"/>
      <c r="P16" s="3682" t="s">
        <v>82</v>
      </c>
      <c r="Q16" s="3682"/>
      <c r="R16" s="4083"/>
      <c r="S16" s="4083"/>
      <c r="T16" s="4083"/>
      <c r="U16" s="3645" t="s">
        <v>389</v>
      </c>
      <c r="V16" s="3657" t="s">
        <v>2658</v>
      </c>
      <c r="W16" s="3657"/>
      <c r="X16" s="3657" t="s">
        <v>2659</v>
      </c>
      <c r="Y16" s="3657" t="s">
        <v>2660</v>
      </c>
      <c r="Z16" s="3661"/>
      <c r="AA16" s="3620" t="s">
        <v>2661</v>
      </c>
      <c r="AB16" s="3691" t="s">
        <v>680</v>
      </c>
      <c r="AC16" s="3691">
        <v>2.1416</v>
      </c>
      <c r="AD16" s="3691">
        <f t="shared" si="2"/>
        <v>7709.76</v>
      </c>
      <c r="AE16" s="4098" t="s">
        <v>2662</v>
      </c>
      <c r="AF16" s="3664" t="s">
        <v>2663</v>
      </c>
      <c r="AG16" s="3645" t="s">
        <v>416</v>
      </c>
      <c r="AH16" s="905"/>
      <c r="AI16" s="4393">
        <f>I16</f>
        <v>3600</v>
      </c>
      <c r="AJ16" s="4393"/>
      <c r="AK16" s="905"/>
      <c r="AL16" s="3664"/>
      <c r="AM16" s="3664"/>
      <c r="AN16" s="3691"/>
      <c r="AO16" s="3691"/>
      <c r="AP16" s="3691"/>
      <c r="AQ16" s="4089">
        <f>I16</f>
        <v>3600</v>
      </c>
      <c r="AR16" s="877"/>
      <c r="AS16" s="4089">
        <f>I16</f>
        <v>3600</v>
      </c>
      <c r="AT16" s="877"/>
      <c r="AU16" s="4089"/>
      <c r="AV16" s="4089">
        <f>I16/6</f>
        <v>600</v>
      </c>
      <c r="AW16" s="4089"/>
      <c r="AX16" s="4089"/>
      <c r="AY16" s="4089"/>
      <c r="AZ16" s="4089"/>
      <c r="BA16" s="4089"/>
      <c r="BB16" s="4089"/>
      <c r="BC16" s="4089"/>
      <c r="BD16" s="4089"/>
      <c r="BE16" s="4089"/>
      <c r="BF16" s="4089" t="s">
        <v>89</v>
      </c>
      <c r="BG16" s="4089"/>
      <c r="BH16" s="4089">
        <f>I16/60*10</f>
        <v>600</v>
      </c>
      <c r="BI16" s="4089">
        <f>I16/60*10</f>
        <v>600</v>
      </c>
      <c r="BJ16" s="4089">
        <f>I16/60*10</f>
        <v>600</v>
      </c>
      <c r="BK16" s="4089">
        <f>I16/60*10</f>
        <v>600</v>
      </c>
      <c r="BL16" s="4089">
        <f>I16/60*10</f>
        <v>600</v>
      </c>
      <c r="BM16" s="4089">
        <f>I16/60*8</f>
        <v>480</v>
      </c>
      <c r="BN16" s="4089">
        <f t="shared" si="12"/>
        <v>120</v>
      </c>
      <c r="BO16" s="878"/>
      <c r="BP16" s="878"/>
      <c r="BQ16" s="878"/>
      <c r="BR16" s="878"/>
      <c r="BS16" s="878"/>
      <c r="BT16" s="879"/>
      <c r="BU16" s="4384"/>
      <c r="BV16" s="4385">
        <f t="shared" si="0"/>
        <v>3600</v>
      </c>
      <c r="BW16" s="4386">
        <f t="shared" si="10"/>
        <v>0</v>
      </c>
      <c r="BX16" s="4387"/>
      <c r="BY16" s="4387"/>
      <c r="BZ16" s="4387"/>
      <c r="CA16" s="4391"/>
      <c r="CC16" s="4392"/>
      <c r="CD16" s="4391"/>
    </row>
    <row r="17" s="4025" customFormat="1" ht="50" customHeight="1" spans="1:82">
      <c r="A17" s="3688">
        <v>45608</v>
      </c>
      <c r="B17" s="3664" t="s">
        <v>1016</v>
      </c>
      <c r="C17" s="3664" t="s">
        <v>396</v>
      </c>
      <c r="D17" s="3691">
        <v>4500150978</v>
      </c>
      <c r="E17" s="3664" t="s">
        <v>2664</v>
      </c>
      <c r="F17" s="4086" t="s">
        <v>2665</v>
      </c>
      <c r="G17" s="3664" t="s">
        <v>2666</v>
      </c>
      <c r="H17" s="3664" t="s">
        <v>2667</v>
      </c>
      <c r="I17" s="3691">
        <v>12</v>
      </c>
      <c r="J17" s="3691">
        <v>0</v>
      </c>
      <c r="K17" s="3691">
        <v>12</v>
      </c>
      <c r="L17" s="3691">
        <f t="shared" si="1"/>
        <v>1</v>
      </c>
      <c r="M17" s="3659">
        <v>45653</v>
      </c>
      <c r="N17" s="3659">
        <v>45649</v>
      </c>
      <c r="O17" s="4085"/>
      <c r="P17" s="3682" t="s">
        <v>82</v>
      </c>
      <c r="Q17" s="3682"/>
      <c r="R17" s="4083"/>
      <c r="S17" s="4083"/>
      <c r="T17" s="4083"/>
      <c r="U17" s="3645" t="s">
        <v>2668</v>
      </c>
      <c r="V17" s="3657" t="s">
        <v>2669</v>
      </c>
      <c r="W17" s="3657"/>
      <c r="X17" s="3657" t="s">
        <v>2670</v>
      </c>
      <c r="Y17" s="3657" t="s">
        <v>367</v>
      </c>
      <c r="Z17" s="3661"/>
      <c r="AA17" s="3620" t="s">
        <v>2671</v>
      </c>
      <c r="AB17" s="3691" t="s">
        <v>2672</v>
      </c>
      <c r="AC17" s="4087">
        <v>2.0865</v>
      </c>
      <c r="AD17" s="3691">
        <f t="shared" si="2"/>
        <v>25.038</v>
      </c>
      <c r="AE17" s="4098" t="s">
        <v>2673</v>
      </c>
      <c r="AF17" s="3664" t="s">
        <v>2666</v>
      </c>
      <c r="AG17" s="3645" t="s">
        <v>416</v>
      </c>
      <c r="AH17" s="905"/>
      <c r="AI17" s="3691"/>
      <c r="AJ17" s="3691"/>
      <c r="AK17" s="905"/>
      <c r="AL17" s="3664">
        <f>I17</f>
        <v>12</v>
      </c>
      <c r="AM17" s="3664"/>
      <c r="AN17" s="3691"/>
      <c r="AO17" s="3691">
        <f t="shared" ref="AO17:AO29" si="13">I17</f>
        <v>12</v>
      </c>
      <c r="AP17" s="3691"/>
      <c r="AQ17" s="4089"/>
      <c r="AR17" s="877"/>
      <c r="AS17" s="4089"/>
      <c r="AT17" s="877"/>
      <c r="AU17" s="4089">
        <f>I17</f>
        <v>12</v>
      </c>
      <c r="AV17" s="4089"/>
      <c r="AW17" s="4089"/>
      <c r="AX17" s="4089"/>
      <c r="AY17" s="4089"/>
      <c r="AZ17" s="4089"/>
      <c r="BA17" s="4089"/>
      <c r="BB17" s="4089"/>
      <c r="BC17" s="4089"/>
      <c r="BD17" s="4089"/>
      <c r="BE17" s="4089"/>
      <c r="BF17" s="4089" t="s">
        <v>89</v>
      </c>
      <c r="BG17" s="4089"/>
      <c r="BH17" s="4089"/>
      <c r="BI17" s="4089"/>
      <c r="BJ17" s="4089"/>
      <c r="BK17" s="4089"/>
      <c r="BL17" s="4089"/>
      <c r="BM17" s="4089">
        <f>I17-BN17</f>
        <v>11.6</v>
      </c>
      <c r="BN17" s="4089">
        <f t="shared" si="12"/>
        <v>0.4</v>
      </c>
      <c r="BO17" s="878"/>
      <c r="BP17" s="878"/>
      <c r="BQ17" s="878"/>
      <c r="BR17" s="878"/>
      <c r="BS17" s="878"/>
      <c r="BT17" s="879"/>
      <c r="BU17" s="4384"/>
      <c r="BV17" s="4385">
        <f t="shared" si="0"/>
        <v>12</v>
      </c>
      <c r="BW17" s="4394">
        <f t="shared" si="10"/>
        <v>0</v>
      </c>
      <c r="BX17" s="4387"/>
      <c r="BY17" s="4387"/>
      <c r="BZ17" s="4387"/>
      <c r="CA17" s="4391"/>
      <c r="CC17" s="4392"/>
      <c r="CD17" s="4391"/>
    </row>
    <row r="18" s="4025" customFormat="1" ht="50" customHeight="1" spans="1:82">
      <c r="A18" s="3688">
        <v>45608</v>
      </c>
      <c r="B18" s="3664" t="s">
        <v>1016</v>
      </c>
      <c r="C18" s="3664" t="s">
        <v>396</v>
      </c>
      <c r="D18" s="3691">
        <v>4500150978</v>
      </c>
      <c r="E18" s="3664" t="s">
        <v>2674</v>
      </c>
      <c r="F18" s="4086" t="s">
        <v>2675</v>
      </c>
      <c r="G18" s="3664" t="s">
        <v>2676</v>
      </c>
      <c r="H18" s="3664" t="s">
        <v>2677</v>
      </c>
      <c r="I18" s="3691">
        <v>12</v>
      </c>
      <c r="J18" s="3691">
        <v>0</v>
      </c>
      <c r="K18" s="3691">
        <v>12</v>
      </c>
      <c r="L18" s="3691">
        <f t="shared" si="1"/>
        <v>1</v>
      </c>
      <c r="M18" s="3659">
        <v>45653</v>
      </c>
      <c r="N18" s="3659">
        <v>45649</v>
      </c>
      <c r="O18" s="4085"/>
      <c r="P18" s="3682" t="s">
        <v>82</v>
      </c>
      <c r="Q18" s="3682"/>
      <c r="R18" s="4083"/>
      <c r="S18" s="4083"/>
      <c r="T18" s="4083"/>
      <c r="U18" s="3645" t="s">
        <v>2668</v>
      </c>
      <c r="V18" s="3657" t="s">
        <v>2669</v>
      </c>
      <c r="W18" s="3657"/>
      <c r="X18" s="3657" t="s">
        <v>2670</v>
      </c>
      <c r="Y18" s="3657" t="s">
        <v>367</v>
      </c>
      <c r="Z18" s="3661"/>
      <c r="AA18" s="3620" t="s">
        <v>2671</v>
      </c>
      <c r="AB18" s="3691" t="s">
        <v>2672</v>
      </c>
      <c r="AC18" s="3691">
        <v>2.0865</v>
      </c>
      <c r="AD18" s="3691">
        <f t="shared" si="2"/>
        <v>25.038</v>
      </c>
      <c r="AE18" s="4098" t="s">
        <v>2673</v>
      </c>
      <c r="AF18" s="4395" t="s">
        <v>2676</v>
      </c>
      <c r="AG18" s="3645" t="s">
        <v>416</v>
      </c>
      <c r="AH18" s="905"/>
      <c r="AI18" s="3691"/>
      <c r="AJ18" s="3691"/>
      <c r="AK18" s="905"/>
      <c r="AL18" s="3664">
        <f>I18</f>
        <v>12</v>
      </c>
      <c r="AM18" s="3664"/>
      <c r="AN18" s="3691"/>
      <c r="AO18" s="3691">
        <f t="shared" si="13"/>
        <v>12</v>
      </c>
      <c r="AP18" s="3691"/>
      <c r="AQ18" s="4089"/>
      <c r="AR18" s="877"/>
      <c r="AS18" s="4089"/>
      <c r="AT18" s="877"/>
      <c r="AU18" s="4089">
        <f>I18</f>
        <v>12</v>
      </c>
      <c r="AV18" s="4089"/>
      <c r="AW18" s="4089"/>
      <c r="AX18" s="4089"/>
      <c r="AY18" s="4089"/>
      <c r="AZ18" s="4089"/>
      <c r="BA18" s="4089"/>
      <c r="BB18" s="4089"/>
      <c r="BC18" s="4089"/>
      <c r="BD18" s="4089"/>
      <c r="BE18" s="4089"/>
      <c r="BF18" s="4089" t="s">
        <v>89</v>
      </c>
      <c r="BG18" s="4089"/>
      <c r="BH18" s="4089"/>
      <c r="BI18" s="4089">
        <f>I18-BN18</f>
        <v>11.6</v>
      </c>
      <c r="BJ18" s="4089"/>
      <c r="BK18" s="4089"/>
      <c r="BL18" s="4089"/>
      <c r="BM18" s="4089"/>
      <c r="BN18" s="4089">
        <f t="shared" si="12"/>
        <v>0.4</v>
      </c>
      <c r="BO18" s="878"/>
      <c r="BP18" s="878"/>
      <c r="BQ18" s="878"/>
      <c r="BR18" s="878"/>
      <c r="BS18" s="878"/>
      <c r="BT18" s="879"/>
      <c r="BU18" s="4384"/>
      <c r="BV18" s="4385">
        <f t="shared" si="0"/>
        <v>12</v>
      </c>
      <c r="BW18" s="4386">
        <f t="shared" si="10"/>
        <v>0</v>
      </c>
      <c r="BX18" s="4387"/>
      <c r="BY18" s="4387"/>
      <c r="BZ18" s="4387"/>
      <c r="CA18" s="4391"/>
      <c r="CC18" s="4392"/>
      <c r="CD18" s="4391"/>
    </row>
    <row r="19" s="4025" customFormat="1" ht="50" customHeight="1" spans="1:82">
      <c r="A19" s="3688">
        <v>45608</v>
      </c>
      <c r="B19" s="3664" t="s">
        <v>1016</v>
      </c>
      <c r="C19" s="3664" t="s">
        <v>396</v>
      </c>
      <c r="D19" s="3691">
        <v>4500150978</v>
      </c>
      <c r="E19" s="3664" t="s">
        <v>2678</v>
      </c>
      <c r="F19" s="4086" t="s">
        <v>2679</v>
      </c>
      <c r="G19" s="3664" t="s">
        <v>2680</v>
      </c>
      <c r="H19" s="3664" t="s">
        <v>2632</v>
      </c>
      <c r="I19" s="3691">
        <v>60</v>
      </c>
      <c r="J19" s="3691">
        <v>0</v>
      </c>
      <c r="K19" s="3691">
        <v>12</v>
      </c>
      <c r="L19" s="3691">
        <f t="shared" si="1"/>
        <v>5</v>
      </c>
      <c r="M19" s="3659">
        <v>45653</v>
      </c>
      <c r="N19" s="3659">
        <v>45649</v>
      </c>
      <c r="O19" s="4085"/>
      <c r="P19" s="3682" t="s">
        <v>82</v>
      </c>
      <c r="Q19" s="3682"/>
      <c r="R19" s="4083"/>
      <c r="S19" s="4083"/>
      <c r="T19" s="4083"/>
      <c r="U19" s="3645" t="s">
        <v>2668</v>
      </c>
      <c r="V19" s="3657" t="s">
        <v>2669</v>
      </c>
      <c r="W19" s="3657"/>
      <c r="X19" s="3657" t="s">
        <v>2670</v>
      </c>
      <c r="Y19" s="3657" t="s">
        <v>367</v>
      </c>
      <c r="Z19" s="3661"/>
      <c r="AA19" s="3620" t="s">
        <v>2671</v>
      </c>
      <c r="AB19" s="3691" t="s">
        <v>2672</v>
      </c>
      <c r="AC19" s="4087">
        <v>2.0865</v>
      </c>
      <c r="AD19" s="3691">
        <f t="shared" si="2"/>
        <v>125.19</v>
      </c>
      <c r="AE19" s="4098" t="s">
        <v>2673</v>
      </c>
      <c r="AF19" s="3664" t="s">
        <v>2680</v>
      </c>
      <c r="AG19" s="3645" t="s">
        <v>416</v>
      </c>
      <c r="AH19" s="905"/>
      <c r="AI19" s="3691"/>
      <c r="AJ19" s="3691"/>
      <c r="AK19" s="905"/>
      <c r="AL19" s="3664">
        <f>I19</f>
        <v>60</v>
      </c>
      <c r="AM19" s="3664"/>
      <c r="AN19" s="3691"/>
      <c r="AO19" s="3691">
        <f t="shared" si="13"/>
        <v>60</v>
      </c>
      <c r="AP19" s="3691"/>
      <c r="AQ19" s="4089"/>
      <c r="AR19" s="877"/>
      <c r="AS19" s="4089"/>
      <c r="AT19" s="877"/>
      <c r="AU19" s="4089">
        <f>I19</f>
        <v>60</v>
      </c>
      <c r="AV19" s="4089"/>
      <c r="AW19" s="4089"/>
      <c r="AX19" s="4089"/>
      <c r="AY19" s="4089"/>
      <c r="AZ19" s="4089"/>
      <c r="BA19" s="4089"/>
      <c r="BB19" s="4089"/>
      <c r="BC19" s="4089"/>
      <c r="BD19" s="4089"/>
      <c r="BE19" s="4089"/>
      <c r="BF19" s="4089" t="s">
        <v>89</v>
      </c>
      <c r="BG19" s="4089"/>
      <c r="BH19" s="4089"/>
      <c r="BI19" s="4089"/>
      <c r="BJ19" s="4089">
        <f>I19-BN19</f>
        <v>58</v>
      </c>
      <c r="BK19" s="4089"/>
      <c r="BL19" s="4089"/>
      <c r="BM19" s="4089"/>
      <c r="BN19" s="4089">
        <f t="shared" si="12"/>
        <v>2</v>
      </c>
      <c r="BO19" s="878"/>
      <c r="BP19" s="878"/>
      <c r="BQ19" s="878"/>
      <c r="BR19" s="878"/>
      <c r="BS19" s="878"/>
      <c r="BT19" s="879"/>
      <c r="BU19" s="4384"/>
      <c r="BV19" s="4385">
        <f t="shared" si="0"/>
        <v>60</v>
      </c>
      <c r="BW19" s="4386">
        <f t="shared" si="10"/>
        <v>0</v>
      </c>
      <c r="BX19" s="4387"/>
      <c r="BY19" s="4387"/>
      <c r="BZ19" s="4387"/>
      <c r="CA19" s="4391"/>
      <c r="CC19" s="4392"/>
      <c r="CD19" s="4391"/>
    </row>
    <row r="20" s="4025" customFormat="1" ht="50" customHeight="1" spans="1:82">
      <c r="A20" s="3688">
        <v>45607</v>
      </c>
      <c r="B20" s="3664" t="s">
        <v>2681</v>
      </c>
      <c r="C20" s="3664" t="s">
        <v>91</v>
      </c>
      <c r="D20" s="3691">
        <v>4500150859</v>
      </c>
      <c r="E20" s="3664" t="s">
        <v>2682</v>
      </c>
      <c r="F20" s="3691" t="s">
        <v>2683</v>
      </c>
      <c r="G20" s="3664" t="s">
        <v>2684</v>
      </c>
      <c r="H20" s="3664" t="s">
        <v>2591</v>
      </c>
      <c r="I20" s="3691">
        <v>3372</v>
      </c>
      <c r="J20" s="3691">
        <v>0</v>
      </c>
      <c r="K20" s="3691">
        <v>6</v>
      </c>
      <c r="L20" s="3691">
        <f t="shared" si="1"/>
        <v>562</v>
      </c>
      <c r="M20" s="3659">
        <v>45653</v>
      </c>
      <c r="N20" s="3659">
        <v>45649</v>
      </c>
      <c r="O20" s="4085"/>
      <c r="P20" s="3682" t="s">
        <v>82</v>
      </c>
      <c r="Q20" s="3682"/>
      <c r="R20" s="4083"/>
      <c r="S20" s="4083"/>
      <c r="T20" s="4083"/>
      <c r="U20" s="3645" t="s">
        <v>116</v>
      </c>
      <c r="V20" s="3657" t="s">
        <v>402</v>
      </c>
      <c r="W20" s="3657"/>
      <c r="X20" s="3657" t="s">
        <v>98</v>
      </c>
      <c r="Y20" s="3657" t="s">
        <v>367</v>
      </c>
      <c r="Z20" s="3661"/>
      <c r="AA20" s="3620" t="s">
        <v>2685</v>
      </c>
      <c r="AB20" s="3691" t="s">
        <v>2686</v>
      </c>
      <c r="AC20" s="4087">
        <v>2.1435</v>
      </c>
      <c r="AD20" s="3691">
        <f t="shared" si="2"/>
        <v>7227.882</v>
      </c>
      <c r="AE20" s="4098" t="s">
        <v>2687</v>
      </c>
      <c r="AF20" s="3664" t="s">
        <v>2684</v>
      </c>
      <c r="AG20" s="3645" t="s">
        <v>416</v>
      </c>
      <c r="AH20" s="905"/>
      <c r="AI20" s="4396">
        <f t="shared" ref="AI20:AI28" si="14">I20</f>
        <v>3372</v>
      </c>
      <c r="AJ20" s="3691"/>
      <c r="AK20" s="905"/>
      <c r="AL20" s="3664"/>
      <c r="AM20" s="3664"/>
      <c r="AN20" s="3691"/>
      <c r="AO20" s="3691">
        <f t="shared" si="13"/>
        <v>3372</v>
      </c>
      <c r="AP20" s="3691"/>
      <c r="AQ20" s="4089"/>
      <c r="AR20" s="907"/>
      <c r="AS20" s="4089">
        <f>I20</f>
        <v>3372</v>
      </c>
      <c r="AT20" s="907"/>
      <c r="AU20" s="4089"/>
      <c r="AV20" s="4089"/>
      <c r="AW20" s="4089"/>
      <c r="AX20" s="4089">
        <f>I20/6</f>
        <v>562</v>
      </c>
      <c r="AY20" s="4089"/>
      <c r="AZ20" s="4089"/>
      <c r="BA20" s="4089"/>
      <c r="BB20" s="4089"/>
      <c r="BC20" s="4089"/>
      <c r="BD20" s="4089"/>
      <c r="BE20" s="4089"/>
      <c r="BF20" s="4089" t="s">
        <v>89</v>
      </c>
      <c r="BG20" s="4089"/>
      <c r="BH20" s="4089">
        <f t="shared" ref="BH20:BH53" si="15">I20/60*10</f>
        <v>562</v>
      </c>
      <c r="BI20" s="4089">
        <f t="shared" ref="BI20:BI53" si="16">I20/60*10</f>
        <v>562</v>
      </c>
      <c r="BJ20" s="4089">
        <f t="shared" ref="BJ20:BJ53" si="17">I20/60*10</f>
        <v>562</v>
      </c>
      <c r="BK20" s="4089">
        <f t="shared" ref="BK20:BK53" si="18">I20/60*10</f>
        <v>562</v>
      </c>
      <c r="BL20" s="4089">
        <f t="shared" ref="BL20:BL53" si="19">I20/60*10</f>
        <v>562</v>
      </c>
      <c r="BM20" s="4089">
        <f t="shared" ref="BM20:BM53" si="20">I20/60*8</f>
        <v>449.6</v>
      </c>
      <c r="BN20" s="4089">
        <f t="shared" si="12"/>
        <v>112.4</v>
      </c>
      <c r="BO20" s="4382"/>
      <c r="BP20" s="4382"/>
      <c r="BQ20" s="4382"/>
      <c r="BR20" s="4382"/>
      <c r="BS20" s="4382"/>
      <c r="BT20" s="4383"/>
      <c r="BU20" s="4384"/>
      <c r="BV20" s="4385">
        <f t="shared" si="0"/>
        <v>3372</v>
      </c>
      <c r="BW20" s="4386">
        <f t="shared" si="10"/>
        <v>0</v>
      </c>
      <c r="BX20" s="4387"/>
      <c r="BY20" s="4387"/>
      <c r="BZ20" s="4387"/>
      <c r="CA20" s="4391"/>
      <c r="CC20" s="4392"/>
      <c r="CD20" s="4391"/>
    </row>
    <row r="21" s="4025" customFormat="1" ht="50" customHeight="1" spans="1:82">
      <c r="A21" s="3688">
        <v>45607</v>
      </c>
      <c r="B21" s="3664" t="s">
        <v>2681</v>
      </c>
      <c r="C21" s="3664" t="s">
        <v>91</v>
      </c>
      <c r="D21" s="3691">
        <v>4500150863</v>
      </c>
      <c r="E21" s="3664" t="s">
        <v>2688</v>
      </c>
      <c r="F21" s="3691" t="s">
        <v>2689</v>
      </c>
      <c r="G21" s="3664" t="s">
        <v>2684</v>
      </c>
      <c r="H21" s="3664" t="s">
        <v>2591</v>
      </c>
      <c r="I21" s="3691">
        <v>4644</v>
      </c>
      <c r="J21" s="3691">
        <v>0</v>
      </c>
      <c r="K21" s="3691">
        <v>6</v>
      </c>
      <c r="L21" s="3691">
        <f t="shared" si="1"/>
        <v>774</v>
      </c>
      <c r="M21" s="3659">
        <v>45653</v>
      </c>
      <c r="N21" s="3659">
        <v>45649</v>
      </c>
      <c r="O21" s="4085"/>
      <c r="P21" s="3682" t="s">
        <v>82</v>
      </c>
      <c r="Q21" s="3682"/>
      <c r="R21" s="4083"/>
      <c r="S21" s="4083"/>
      <c r="T21" s="4083"/>
      <c r="U21" s="3645" t="s">
        <v>518</v>
      </c>
      <c r="V21" s="3657" t="s">
        <v>402</v>
      </c>
      <c r="W21" s="3657"/>
      <c r="X21" s="3657" t="s">
        <v>98</v>
      </c>
      <c r="Y21" s="3657" t="s">
        <v>367</v>
      </c>
      <c r="Z21" s="3661"/>
      <c r="AA21" s="3620" t="s">
        <v>2690</v>
      </c>
      <c r="AB21" s="3691" t="s">
        <v>2686</v>
      </c>
      <c r="AC21" s="4087">
        <v>2.1435</v>
      </c>
      <c r="AD21" s="3691">
        <f t="shared" si="2"/>
        <v>9954.414</v>
      </c>
      <c r="AE21" s="4098" t="s">
        <v>2691</v>
      </c>
      <c r="AF21" s="3664" t="s">
        <v>2684</v>
      </c>
      <c r="AG21" s="3645" t="s">
        <v>416</v>
      </c>
      <c r="AH21" s="905"/>
      <c r="AI21" s="3691">
        <f t="shared" si="14"/>
        <v>4644</v>
      </c>
      <c r="AJ21" s="3691"/>
      <c r="AK21" s="905"/>
      <c r="AL21" s="3664"/>
      <c r="AM21" s="3664"/>
      <c r="AN21" s="3691"/>
      <c r="AO21" s="3691">
        <f t="shared" si="13"/>
        <v>4644</v>
      </c>
      <c r="AP21" s="3691"/>
      <c r="AQ21" s="4089"/>
      <c r="AR21" s="907"/>
      <c r="AS21" s="4089">
        <f>I21</f>
        <v>4644</v>
      </c>
      <c r="AT21" s="907"/>
      <c r="AU21" s="4089"/>
      <c r="AV21" s="4089"/>
      <c r="AW21" s="4089"/>
      <c r="AX21" s="4089">
        <f>I21/6</f>
        <v>774</v>
      </c>
      <c r="AY21" s="4089"/>
      <c r="AZ21" s="4089"/>
      <c r="BA21" s="4089"/>
      <c r="BB21" s="4089"/>
      <c r="BC21" s="4089"/>
      <c r="BD21" s="4089"/>
      <c r="BE21" s="4089"/>
      <c r="BF21" s="4089" t="s">
        <v>89</v>
      </c>
      <c r="BG21" s="4089"/>
      <c r="BH21" s="4089">
        <f t="shared" si="15"/>
        <v>774</v>
      </c>
      <c r="BI21" s="4089">
        <f t="shared" si="16"/>
        <v>774</v>
      </c>
      <c r="BJ21" s="4089">
        <f t="shared" si="17"/>
        <v>774</v>
      </c>
      <c r="BK21" s="4089">
        <f t="shared" si="18"/>
        <v>774</v>
      </c>
      <c r="BL21" s="4089">
        <f t="shared" si="19"/>
        <v>774</v>
      </c>
      <c r="BM21" s="4089">
        <f t="shared" si="20"/>
        <v>619.2</v>
      </c>
      <c r="BN21" s="4089">
        <f t="shared" si="12"/>
        <v>154.8</v>
      </c>
      <c r="BO21" s="4382"/>
      <c r="BP21" s="4382"/>
      <c r="BQ21" s="4382"/>
      <c r="BR21" s="4382"/>
      <c r="BS21" s="4382"/>
      <c r="BT21" s="4383"/>
      <c r="BU21" s="4384"/>
      <c r="BV21" s="4385">
        <f t="shared" si="0"/>
        <v>4644</v>
      </c>
      <c r="BW21" s="4386">
        <f t="shared" si="10"/>
        <v>0</v>
      </c>
      <c r="BX21" s="4387"/>
      <c r="BY21" s="4387"/>
      <c r="BZ21" s="4387"/>
      <c r="CA21" s="4391"/>
      <c r="CC21" s="4392"/>
      <c r="CD21" s="4391"/>
    </row>
    <row r="22" s="4025" customFormat="1" ht="50" customHeight="1" spans="1:82">
      <c r="A22" s="3688">
        <v>45617</v>
      </c>
      <c r="B22" s="3664" t="s">
        <v>2681</v>
      </c>
      <c r="C22" s="3664" t="s">
        <v>91</v>
      </c>
      <c r="D22" s="3691">
        <v>4500151904</v>
      </c>
      <c r="E22" s="3664" t="s">
        <v>2692</v>
      </c>
      <c r="F22" s="3664" t="s">
        <v>2693</v>
      </c>
      <c r="G22" s="3664" t="s">
        <v>2684</v>
      </c>
      <c r="H22" s="3664" t="s">
        <v>2591</v>
      </c>
      <c r="I22" s="3691">
        <v>3372</v>
      </c>
      <c r="J22" s="3691">
        <v>0</v>
      </c>
      <c r="K22" s="3691">
        <v>6</v>
      </c>
      <c r="L22" s="3691">
        <v>562</v>
      </c>
      <c r="M22" s="3659">
        <v>45653</v>
      </c>
      <c r="N22" s="3659">
        <v>45649</v>
      </c>
      <c r="O22" s="4085"/>
      <c r="P22" s="3682" t="s">
        <v>82</v>
      </c>
      <c r="Q22" s="3682"/>
      <c r="R22" s="4083"/>
      <c r="S22" s="4083"/>
      <c r="T22" s="4083"/>
      <c r="U22" s="3645" t="s">
        <v>110</v>
      </c>
      <c r="V22" s="3657" t="s">
        <v>2694</v>
      </c>
      <c r="W22" s="3657"/>
      <c r="X22" s="3657" t="s">
        <v>98</v>
      </c>
      <c r="Y22" s="3657" t="s">
        <v>367</v>
      </c>
      <c r="Z22" s="3661"/>
      <c r="AA22" s="3620" t="s">
        <v>2695</v>
      </c>
      <c r="AB22" s="3691" t="s">
        <v>2686</v>
      </c>
      <c r="AC22" s="4087">
        <v>2.1435</v>
      </c>
      <c r="AD22" s="3691">
        <v>7227.882</v>
      </c>
      <c r="AE22" s="4098" t="s">
        <v>2696</v>
      </c>
      <c r="AF22" s="3664" t="s">
        <v>2684</v>
      </c>
      <c r="AG22" s="3645" t="s">
        <v>416</v>
      </c>
      <c r="AH22" s="905"/>
      <c r="AI22" s="3691">
        <f t="shared" si="14"/>
        <v>3372</v>
      </c>
      <c r="AJ22" s="3691"/>
      <c r="AK22" s="905"/>
      <c r="AL22" s="3664"/>
      <c r="AM22" s="3664"/>
      <c r="AN22" s="3691"/>
      <c r="AO22" s="3691">
        <f t="shared" si="13"/>
        <v>3372</v>
      </c>
      <c r="AP22" s="3691"/>
      <c r="AQ22" s="4089"/>
      <c r="AR22" s="907"/>
      <c r="AS22" s="4089">
        <f>I22</f>
        <v>3372</v>
      </c>
      <c r="AT22" s="907"/>
      <c r="AU22" s="4089"/>
      <c r="AV22" s="4089"/>
      <c r="AW22" s="4089"/>
      <c r="AX22" s="4089">
        <f>I22/6</f>
        <v>562</v>
      </c>
      <c r="AY22" s="4089"/>
      <c r="AZ22" s="4089"/>
      <c r="BA22" s="4089"/>
      <c r="BB22" s="4089"/>
      <c r="BC22" s="4089"/>
      <c r="BD22" s="4089"/>
      <c r="BE22" s="4089"/>
      <c r="BF22" s="4089" t="s">
        <v>89</v>
      </c>
      <c r="BG22" s="4089"/>
      <c r="BH22" s="4089">
        <f t="shared" si="15"/>
        <v>562</v>
      </c>
      <c r="BI22" s="4089">
        <f t="shared" si="16"/>
        <v>562</v>
      </c>
      <c r="BJ22" s="4089">
        <f t="shared" si="17"/>
        <v>562</v>
      </c>
      <c r="BK22" s="4089">
        <f t="shared" si="18"/>
        <v>562</v>
      </c>
      <c r="BL22" s="4089">
        <f t="shared" si="19"/>
        <v>562</v>
      </c>
      <c r="BM22" s="4089">
        <f t="shared" si="20"/>
        <v>449.6</v>
      </c>
      <c r="BN22" s="4089">
        <f t="shared" si="12"/>
        <v>112.4</v>
      </c>
      <c r="BO22" s="4382"/>
      <c r="BP22" s="4382"/>
      <c r="BQ22" s="4382"/>
      <c r="BR22" s="4382"/>
      <c r="BS22" s="4382"/>
      <c r="BT22" s="4383"/>
      <c r="BU22" s="4384"/>
      <c r="BV22" s="4385">
        <f t="shared" si="0"/>
        <v>3372</v>
      </c>
      <c r="BW22" s="4386">
        <f t="shared" si="10"/>
        <v>0</v>
      </c>
      <c r="BX22" s="4387"/>
      <c r="BY22" s="4387"/>
      <c r="BZ22" s="4387"/>
      <c r="CA22" s="4391"/>
      <c r="CC22" s="4392"/>
      <c r="CD22" s="4391"/>
    </row>
    <row r="23" s="4025" customFormat="1" ht="50" customHeight="1" spans="1:82">
      <c r="A23" s="3688">
        <v>45611</v>
      </c>
      <c r="B23" s="3689" t="s">
        <v>2697</v>
      </c>
      <c r="C23" s="4381" t="s">
        <v>2698</v>
      </c>
      <c r="D23" s="3690">
        <v>4500151435</v>
      </c>
      <c r="E23" s="3664">
        <v>83721</v>
      </c>
      <c r="F23" s="3690" t="s">
        <v>2699</v>
      </c>
      <c r="G23" s="3664" t="s">
        <v>2700</v>
      </c>
      <c r="H23" s="3664" t="s">
        <v>2591</v>
      </c>
      <c r="I23" s="3691">
        <v>5004</v>
      </c>
      <c r="J23" s="3691">
        <v>0</v>
      </c>
      <c r="K23" s="3691">
        <v>12</v>
      </c>
      <c r="L23" s="3691">
        <f t="shared" ref="L23:L41" si="21">I23/K23</f>
        <v>417</v>
      </c>
      <c r="M23" s="3659">
        <v>45656</v>
      </c>
      <c r="N23" s="3659">
        <v>45652</v>
      </c>
      <c r="O23" s="3664"/>
      <c r="P23" s="3682" t="s">
        <v>82</v>
      </c>
      <c r="Q23" s="3682"/>
      <c r="R23" s="4083"/>
      <c r="S23" s="4083"/>
      <c r="T23" s="4083"/>
      <c r="U23" s="3645" t="s">
        <v>96</v>
      </c>
      <c r="V23" s="3657" t="s">
        <v>2694</v>
      </c>
      <c r="W23" s="3657"/>
      <c r="X23" s="3657" t="s">
        <v>2701</v>
      </c>
      <c r="Y23" s="3657"/>
      <c r="Z23" s="3691" t="s">
        <v>2702</v>
      </c>
      <c r="AA23" s="3620" t="s">
        <v>2703</v>
      </c>
      <c r="AB23" s="3691" t="s">
        <v>559</v>
      </c>
      <c r="AC23" s="3691">
        <v>2.1809</v>
      </c>
      <c r="AD23" s="3691">
        <f t="shared" ref="AD23:AD29" si="22">AC23*I23</f>
        <v>10913.2236</v>
      </c>
      <c r="AE23" s="4098" t="s">
        <v>2704</v>
      </c>
      <c r="AF23" s="3664" t="s">
        <v>2700</v>
      </c>
      <c r="AG23" s="3645" t="s">
        <v>416</v>
      </c>
      <c r="AH23" s="905"/>
      <c r="AI23" s="3691">
        <f t="shared" si="14"/>
        <v>5004</v>
      </c>
      <c r="AJ23" s="3691"/>
      <c r="AK23" s="905"/>
      <c r="AL23" s="3664"/>
      <c r="AM23" s="3664"/>
      <c r="AN23" s="3691"/>
      <c r="AO23" s="3691">
        <f t="shared" si="13"/>
        <v>5004</v>
      </c>
      <c r="AP23" s="3691"/>
      <c r="AQ23" s="4089"/>
      <c r="AR23" s="907"/>
      <c r="AS23" s="4089"/>
      <c r="AT23" s="907"/>
      <c r="AU23" s="4089">
        <f>I23</f>
        <v>5004</v>
      </c>
      <c r="AV23" s="4089">
        <f>I23/6</f>
        <v>834</v>
      </c>
      <c r="AW23" s="4089"/>
      <c r="AX23" s="4089"/>
      <c r="AY23" s="4089"/>
      <c r="AZ23" s="4089"/>
      <c r="BA23" s="4089"/>
      <c r="BB23" s="4089"/>
      <c r="BC23" s="4089"/>
      <c r="BD23" s="4089"/>
      <c r="BE23" s="4089"/>
      <c r="BF23" s="4089" t="s">
        <v>89</v>
      </c>
      <c r="BG23" s="4089"/>
      <c r="BH23" s="4089">
        <f t="shared" si="15"/>
        <v>834</v>
      </c>
      <c r="BI23" s="4089">
        <f t="shared" si="16"/>
        <v>834</v>
      </c>
      <c r="BJ23" s="4089">
        <f t="shared" si="17"/>
        <v>834</v>
      </c>
      <c r="BK23" s="4089">
        <f t="shared" si="18"/>
        <v>834</v>
      </c>
      <c r="BL23" s="4089">
        <f t="shared" si="19"/>
        <v>834</v>
      </c>
      <c r="BM23" s="4089">
        <f t="shared" si="20"/>
        <v>667.2</v>
      </c>
      <c r="BN23" s="4089">
        <f t="shared" si="12"/>
        <v>166.8</v>
      </c>
      <c r="BO23" s="4382"/>
      <c r="BP23" s="4382"/>
      <c r="BQ23" s="4382"/>
      <c r="BR23" s="4382"/>
      <c r="BS23" s="4382"/>
      <c r="BT23" s="4383"/>
      <c r="BU23" s="4384"/>
      <c r="BV23" s="4385">
        <f t="shared" si="0"/>
        <v>5004</v>
      </c>
      <c r="BW23" s="4386">
        <f t="shared" si="10"/>
        <v>0</v>
      </c>
      <c r="BX23" s="4387"/>
      <c r="BY23" s="4387"/>
      <c r="BZ23" s="4387"/>
      <c r="CA23" s="4391"/>
      <c r="CC23" s="4392"/>
      <c r="CD23" s="4391"/>
    </row>
    <row r="24" s="4025" customFormat="1" ht="50" customHeight="1" spans="1:82">
      <c r="A24" s="3688">
        <v>45614</v>
      </c>
      <c r="B24" s="3664" t="s">
        <v>839</v>
      </c>
      <c r="C24" s="3664" t="s">
        <v>840</v>
      </c>
      <c r="D24" s="3691">
        <v>4500151625</v>
      </c>
      <c r="E24" s="3664">
        <v>20478293</v>
      </c>
      <c r="F24" s="3691" t="s">
        <v>2705</v>
      </c>
      <c r="G24" s="3664" t="s">
        <v>2577</v>
      </c>
      <c r="H24" s="3664" t="s">
        <v>2578</v>
      </c>
      <c r="I24" s="3691">
        <v>60</v>
      </c>
      <c r="J24" s="3691">
        <v>0</v>
      </c>
      <c r="K24" s="3691">
        <v>12</v>
      </c>
      <c r="L24" s="3691">
        <f t="shared" si="21"/>
        <v>5</v>
      </c>
      <c r="M24" s="3659">
        <v>45656</v>
      </c>
      <c r="N24" s="3659">
        <v>45652</v>
      </c>
      <c r="O24" s="3664"/>
      <c r="P24" s="3682" t="s">
        <v>82</v>
      </c>
      <c r="Q24" s="3682"/>
      <c r="R24" s="4083"/>
      <c r="S24" s="4083"/>
      <c r="T24" s="4083"/>
      <c r="U24" s="3645" t="s">
        <v>2706</v>
      </c>
      <c r="V24" s="3657" t="s">
        <v>384</v>
      </c>
      <c r="W24" s="3657"/>
      <c r="X24" s="3657" t="s">
        <v>2707</v>
      </c>
      <c r="Y24" s="3657"/>
      <c r="Z24" s="3661"/>
      <c r="AA24" s="3620" t="s">
        <v>2708</v>
      </c>
      <c r="AB24" s="3691" t="s">
        <v>513</v>
      </c>
      <c r="AC24" s="3691">
        <v>2.2984</v>
      </c>
      <c r="AD24" s="3691">
        <f t="shared" si="22"/>
        <v>137.904</v>
      </c>
      <c r="AE24" s="4098" t="s">
        <v>2709</v>
      </c>
      <c r="AF24" s="3664" t="s">
        <v>2577</v>
      </c>
      <c r="AG24" s="3645" t="s">
        <v>416</v>
      </c>
      <c r="AH24" s="905"/>
      <c r="AI24" s="3691">
        <f t="shared" si="14"/>
        <v>60</v>
      </c>
      <c r="AJ24" s="3691"/>
      <c r="AK24" s="905"/>
      <c r="AL24" s="3664"/>
      <c r="AM24" s="3664"/>
      <c r="AN24" s="3691"/>
      <c r="AO24" s="3691">
        <f t="shared" si="13"/>
        <v>60</v>
      </c>
      <c r="AP24" s="3691"/>
      <c r="AQ24" s="4089"/>
      <c r="AR24" s="907"/>
      <c r="AS24" s="4089">
        <f>I24</f>
        <v>60</v>
      </c>
      <c r="AT24" s="907"/>
      <c r="AU24" s="4089"/>
      <c r="AV24" s="4089">
        <f>I24/6</f>
        <v>10</v>
      </c>
      <c r="AW24" s="4089"/>
      <c r="AX24" s="4089"/>
      <c r="AY24" s="4089"/>
      <c r="AZ24" s="4089"/>
      <c r="BA24" s="4089"/>
      <c r="BB24" s="4089"/>
      <c r="BC24" s="4089"/>
      <c r="BD24" s="4089"/>
      <c r="BE24" s="4089"/>
      <c r="BF24" s="4089" t="s">
        <v>89</v>
      </c>
      <c r="BG24" s="4089"/>
      <c r="BH24" s="4089">
        <f t="shared" si="15"/>
        <v>10</v>
      </c>
      <c r="BI24" s="4089">
        <f t="shared" si="16"/>
        <v>10</v>
      </c>
      <c r="BJ24" s="4089">
        <f t="shared" si="17"/>
        <v>10</v>
      </c>
      <c r="BK24" s="4089">
        <f t="shared" si="18"/>
        <v>10</v>
      </c>
      <c r="BL24" s="4089">
        <f t="shared" si="19"/>
        <v>10</v>
      </c>
      <c r="BM24" s="4089">
        <f t="shared" si="20"/>
        <v>8</v>
      </c>
      <c r="BN24" s="4089">
        <f t="shared" si="12"/>
        <v>2</v>
      </c>
      <c r="BO24" s="4382"/>
      <c r="BP24" s="4382"/>
      <c r="BQ24" s="4382"/>
      <c r="BR24" s="4382"/>
      <c r="BS24" s="4382"/>
      <c r="BT24" s="4383"/>
      <c r="BU24" s="4384"/>
      <c r="BV24" s="4385">
        <f t="shared" si="0"/>
        <v>60</v>
      </c>
      <c r="BW24" s="4386">
        <f t="shared" si="10"/>
        <v>0</v>
      </c>
      <c r="BX24" s="4387"/>
      <c r="BY24" s="4387"/>
      <c r="BZ24" s="4387"/>
      <c r="CA24" s="4391"/>
      <c r="CC24" s="4392"/>
      <c r="CD24" s="4391"/>
    </row>
    <row r="25" s="4025" customFormat="1" ht="50" customHeight="1" spans="1:82">
      <c r="A25" s="3688">
        <v>45614</v>
      </c>
      <c r="B25" s="3664" t="s">
        <v>505</v>
      </c>
      <c r="C25" s="3664" t="s">
        <v>506</v>
      </c>
      <c r="D25" s="3691">
        <v>4500151624</v>
      </c>
      <c r="E25" s="3664">
        <v>20478291</v>
      </c>
      <c r="F25" s="3691" t="s">
        <v>2710</v>
      </c>
      <c r="G25" s="3664" t="s">
        <v>2577</v>
      </c>
      <c r="H25" s="3664" t="s">
        <v>2578</v>
      </c>
      <c r="I25" s="3691">
        <v>1440</v>
      </c>
      <c r="J25" s="3691">
        <v>0</v>
      </c>
      <c r="K25" s="3691">
        <v>12</v>
      </c>
      <c r="L25" s="3691">
        <f t="shared" si="21"/>
        <v>120</v>
      </c>
      <c r="M25" s="3659">
        <v>45656</v>
      </c>
      <c r="N25" s="3659">
        <v>45652</v>
      </c>
      <c r="O25" s="3664"/>
      <c r="P25" s="3682" t="s">
        <v>82</v>
      </c>
      <c r="Q25" s="3682"/>
      <c r="R25" s="4083"/>
      <c r="S25" s="4083"/>
      <c r="T25" s="4083"/>
      <c r="U25" s="3645" t="s">
        <v>2706</v>
      </c>
      <c r="V25" s="3657" t="s">
        <v>384</v>
      </c>
      <c r="W25" s="3657"/>
      <c r="X25" s="3657" t="s">
        <v>2707</v>
      </c>
      <c r="Y25" s="3657"/>
      <c r="Z25" s="3661"/>
      <c r="AA25" s="3620" t="s">
        <v>2711</v>
      </c>
      <c r="AB25" s="3691" t="s">
        <v>513</v>
      </c>
      <c r="AC25" s="3691">
        <v>2.2937</v>
      </c>
      <c r="AD25" s="3691">
        <f t="shared" si="22"/>
        <v>3302.928</v>
      </c>
      <c r="AE25" s="4098" t="s">
        <v>2712</v>
      </c>
      <c r="AF25" s="3664" t="s">
        <v>2577</v>
      </c>
      <c r="AG25" s="3645" t="s">
        <v>416</v>
      </c>
      <c r="AH25" s="905"/>
      <c r="AI25" s="3691">
        <f t="shared" si="14"/>
        <v>1440</v>
      </c>
      <c r="AJ25" s="3691"/>
      <c r="AK25" s="905"/>
      <c r="AL25" s="3664"/>
      <c r="AM25" s="3664"/>
      <c r="AN25" s="3691"/>
      <c r="AO25" s="3691">
        <f t="shared" si="13"/>
        <v>1440</v>
      </c>
      <c r="AP25" s="3691"/>
      <c r="AQ25" s="4089"/>
      <c r="AR25" s="907"/>
      <c r="AS25" s="4089">
        <f>I25</f>
        <v>1440</v>
      </c>
      <c r="AT25" s="907"/>
      <c r="AU25" s="4089"/>
      <c r="AV25" s="4089">
        <f>I25/6</f>
        <v>240</v>
      </c>
      <c r="AW25" s="4089"/>
      <c r="AX25" s="4089"/>
      <c r="AY25" s="4089"/>
      <c r="AZ25" s="4089"/>
      <c r="BA25" s="4089"/>
      <c r="BB25" s="4089"/>
      <c r="BC25" s="4089"/>
      <c r="BD25" s="4089"/>
      <c r="BE25" s="4089"/>
      <c r="BF25" s="4089" t="s">
        <v>89</v>
      </c>
      <c r="BG25" s="4089"/>
      <c r="BH25" s="4089">
        <f t="shared" si="15"/>
        <v>240</v>
      </c>
      <c r="BI25" s="4089">
        <f t="shared" si="16"/>
        <v>240</v>
      </c>
      <c r="BJ25" s="4089">
        <f t="shared" si="17"/>
        <v>240</v>
      </c>
      <c r="BK25" s="4089">
        <f t="shared" si="18"/>
        <v>240</v>
      </c>
      <c r="BL25" s="4089">
        <f t="shared" si="19"/>
        <v>240</v>
      </c>
      <c r="BM25" s="4089">
        <f t="shared" si="20"/>
        <v>192</v>
      </c>
      <c r="BN25" s="4089">
        <f t="shared" si="12"/>
        <v>48</v>
      </c>
      <c r="BO25" s="4382"/>
      <c r="BP25" s="4382"/>
      <c r="BQ25" s="4382"/>
      <c r="BR25" s="4382"/>
      <c r="BS25" s="4382"/>
      <c r="BT25" s="4383"/>
      <c r="BU25" s="4384"/>
      <c r="BV25" s="4385">
        <f t="shared" si="0"/>
        <v>1440</v>
      </c>
      <c r="BW25" s="4386">
        <f t="shared" si="10"/>
        <v>0</v>
      </c>
      <c r="BX25" s="4387"/>
      <c r="BY25" s="4387"/>
      <c r="BZ25" s="4387"/>
      <c r="CA25" s="4391"/>
      <c r="CC25" s="4392"/>
      <c r="CD25" s="4391"/>
    </row>
    <row r="26" s="4025" customFormat="1" ht="50" customHeight="1" spans="1:82">
      <c r="A26" s="3688">
        <v>45628</v>
      </c>
      <c r="B26" s="3664" t="s">
        <v>2697</v>
      </c>
      <c r="C26" s="3664" t="s">
        <v>2698</v>
      </c>
      <c r="D26" s="3691">
        <v>4500153097</v>
      </c>
      <c r="E26" s="3664">
        <v>83887</v>
      </c>
      <c r="F26" s="3691" t="s">
        <v>2713</v>
      </c>
      <c r="G26" s="3664" t="s">
        <v>2700</v>
      </c>
      <c r="H26" s="3664" t="s">
        <v>2591</v>
      </c>
      <c r="I26" s="3691">
        <v>5004</v>
      </c>
      <c r="J26" s="3691">
        <v>0</v>
      </c>
      <c r="K26" s="3691">
        <v>12</v>
      </c>
      <c r="L26" s="3691">
        <f t="shared" si="21"/>
        <v>417</v>
      </c>
      <c r="M26" s="3659">
        <v>45656</v>
      </c>
      <c r="N26" s="3659">
        <v>45652</v>
      </c>
      <c r="O26" s="3664"/>
      <c r="P26" s="3682" t="s">
        <v>82</v>
      </c>
      <c r="Q26" s="3682"/>
      <c r="R26" s="4083"/>
      <c r="S26" s="4083"/>
      <c r="T26" s="4083"/>
      <c r="U26" s="3645" t="s">
        <v>116</v>
      </c>
      <c r="V26" s="3657" t="s">
        <v>2370</v>
      </c>
      <c r="W26" s="3657"/>
      <c r="X26" s="3657" t="s">
        <v>2714</v>
      </c>
      <c r="Y26" s="3657"/>
      <c r="Z26" s="3691" t="s">
        <v>2702</v>
      </c>
      <c r="AA26" s="3620" t="s">
        <v>2715</v>
      </c>
      <c r="AB26" s="3691" t="s">
        <v>559</v>
      </c>
      <c r="AC26" s="3691">
        <v>2.1606</v>
      </c>
      <c r="AD26" s="3691">
        <f t="shared" si="22"/>
        <v>10811.6424</v>
      </c>
      <c r="AE26" s="4098" t="s">
        <v>2716</v>
      </c>
      <c r="AF26" s="3664" t="s">
        <v>2700</v>
      </c>
      <c r="AG26" s="3645" t="s">
        <v>416</v>
      </c>
      <c r="AH26" s="905"/>
      <c r="AI26" s="3691">
        <f t="shared" si="14"/>
        <v>5004</v>
      </c>
      <c r="AJ26" s="3691"/>
      <c r="AK26" s="905"/>
      <c r="AL26" s="3664"/>
      <c r="AM26" s="3664"/>
      <c r="AN26" s="3691"/>
      <c r="AO26" s="3691">
        <f t="shared" si="13"/>
        <v>5004</v>
      </c>
      <c r="AP26" s="3691"/>
      <c r="AQ26" s="4089"/>
      <c r="AR26" s="907"/>
      <c r="AS26" s="4089"/>
      <c r="AT26" s="907"/>
      <c r="AU26" s="4089">
        <f>I26</f>
        <v>5004</v>
      </c>
      <c r="AV26" s="4089">
        <f>I26/6</f>
        <v>834</v>
      </c>
      <c r="AW26" s="4089"/>
      <c r="AX26" s="4089"/>
      <c r="AY26" s="4089"/>
      <c r="AZ26" s="4089"/>
      <c r="BA26" s="4089"/>
      <c r="BB26" s="4089"/>
      <c r="BC26" s="4089"/>
      <c r="BD26" s="4089"/>
      <c r="BE26" s="4089"/>
      <c r="BF26" s="4089" t="s">
        <v>89</v>
      </c>
      <c r="BG26" s="4089"/>
      <c r="BH26" s="4089">
        <f t="shared" si="15"/>
        <v>834</v>
      </c>
      <c r="BI26" s="4089">
        <f t="shared" si="16"/>
        <v>834</v>
      </c>
      <c r="BJ26" s="4089">
        <f t="shared" si="17"/>
        <v>834</v>
      </c>
      <c r="BK26" s="4089">
        <f t="shared" si="18"/>
        <v>834</v>
      </c>
      <c r="BL26" s="4089">
        <f t="shared" si="19"/>
        <v>834</v>
      </c>
      <c r="BM26" s="4089">
        <f t="shared" si="20"/>
        <v>667.2</v>
      </c>
      <c r="BN26" s="4089">
        <f t="shared" si="12"/>
        <v>166.8</v>
      </c>
      <c r="BO26" s="4382"/>
      <c r="BP26" s="4382"/>
      <c r="BQ26" s="4382"/>
      <c r="BR26" s="4382"/>
      <c r="BS26" s="4382"/>
      <c r="BT26" s="4383"/>
      <c r="BU26" s="4384"/>
      <c r="BV26" s="4385">
        <f t="shared" si="0"/>
        <v>5004</v>
      </c>
      <c r="BW26" s="4386">
        <f t="shared" si="10"/>
        <v>0</v>
      </c>
      <c r="BX26" s="4387"/>
      <c r="BY26" s="4387"/>
      <c r="BZ26" s="4387"/>
      <c r="CA26" s="4391"/>
      <c r="CC26" s="4392"/>
      <c r="CD26" s="4391"/>
    </row>
    <row r="27" s="4025" customFormat="1" ht="50" customHeight="1" spans="1:82">
      <c r="A27" s="3688">
        <v>45586</v>
      </c>
      <c r="B27" s="3689" t="s">
        <v>90</v>
      </c>
      <c r="C27" s="4381" t="s">
        <v>91</v>
      </c>
      <c r="D27" s="3690">
        <v>4500147798</v>
      </c>
      <c r="E27" s="3664" t="s">
        <v>2717</v>
      </c>
      <c r="F27" s="4086" t="s">
        <v>2718</v>
      </c>
      <c r="G27" s="3664" t="s">
        <v>2719</v>
      </c>
      <c r="H27" s="3664" t="s">
        <v>2591</v>
      </c>
      <c r="I27" s="3691">
        <v>798</v>
      </c>
      <c r="J27" s="3691">
        <v>0</v>
      </c>
      <c r="K27" s="3691">
        <v>6</v>
      </c>
      <c r="L27" s="3691">
        <f t="shared" si="21"/>
        <v>133</v>
      </c>
      <c r="M27" s="3659">
        <v>45657</v>
      </c>
      <c r="N27" s="3659">
        <v>45653</v>
      </c>
      <c r="O27" s="4085"/>
      <c r="P27" s="3682" t="s">
        <v>82</v>
      </c>
      <c r="Q27" s="3682"/>
      <c r="R27" s="4083"/>
      <c r="S27" s="4083"/>
      <c r="T27" s="4083"/>
      <c r="U27" s="3657" t="s">
        <v>110</v>
      </c>
      <c r="V27" s="3657" t="s">
        <v>97</v>
      </c>
      <c r="W27" s="3657"/>
      <c r="X27" s="3657" t="s">
        <v>98</v>
      </c>
      <c r="Y27" s="3657" t="s">
        <v>385</v>
      </c>
      <c r="Z27" s="3661"/>
      <c r="AA27" s="3620" t="s">
        <v>100</v>
      </c>
      <c r="AB27" s="3691" t="s">
        <v>101</v>
      </c>
      <c r="AC27" s="3691">
        <v>2.1484</v>
      </c>
      <c r="AD27" s="3691">
        <f t="shared" si="22"/>
        <v>1714.4232</v>
      </c>
      <c r="AE27" s="4098" t="s">
        <v>122</v>
      </c>
      <c r="AF27" s="3664" t="s">
        <v>2719</v>
      </c>
      <c r="AG27" s="3645" t="s">
        <v>416</v>
      </c>
      <c r="AH27" s="905"/>
      <c r="AI27" s="3664">
        <f t="shared" si="14"/>
        <v>798</v>
      </c>
      <c r="AJ27" s="3664"/>
      <c r="AK27" s="905"/>
      <c r="AL27" s="3664"/>
      <c r="AM27" s="3664"/>
      <c r="AN27" s="3691"/>
      <c r="AO27" s="3691">
        <f t="shared" si="13"/>
        <v>798</v>
      </c>
      <c r="AP27" s="3691"/>
      <c r="AQ27" s="4089"/>
      <c r="AR27" s="877"/>
      <c r="AS27" s="4089">
        <f t="shared" ref="AS27:AS53" si="23">I27</f>
        <v>798</v>
      </c>
      <c r="AT27" s="877"/>
      <c r="AU27" s="4089"/>
      <c r="AV27" s="4089"/>
      <c r="AW27" s="4089"/>
      <c r="AX27" s="4089"/>
      <c r="AY27" s="4089"/>
      <c r="AZ27" s="4089"/>
      <c r="BA27" s="4089"/>
      <c r="BB27" s="4089"/>
      <c r="BC27" s="4089"/>
      <c r="BD27" s="4089"/>
      <c r="BE27" s="4089"/>
      <c r="BF27" s="4089" t="s">
        <v>89</v>
      </c>
      <c r="BG27" s="4089"/>
      <c r="BH27" s="4089">
        <f t="shared" si="15"/>
        <v>133</v>
      </c>
      <c r="BI27" s="4089">
        <f t="shared" si="16"/>
        <v>133</v>
      </c>
      <c r="BJ27" s="4089">
        <f t="shared" si="17"/>
        <v>133</v>
      </c>
      <c r="BK27" s="4089">
        <f t="shared" si="18"/>
        <v>133</v>
      </c>
      <c r="BL27" s="4089">
        <f t="shared" si="19"/>
        <v>133</v>
      </c>
      <c r="BM27" s="4089">
        <f t="shared" si="20"/>
        <v>106.4</v>
      </c>
      <c r="BN27" s="4089">
        <f t="shared" si="12"/>
        <v>26.6</v>
      </c>
      <c r="BO27" s="878"/>
      <c r="BP27" s="878"/>
      <c r="BQ27" s="878"/>
      <c r="BR27" s="878"/>
      <c r="BS27" s="878"/>
      <c r="BT27" s="879"/>
      <c r="BU27" s="4384"/>
      <c r="BV27" s="4385">
        <f t="shared" si="0"/>
        <v>798</v>
      </c>
      <c r="BW27" s="4386">
        <f t="shared" si="10"/>
        <v>0</v>
      </c>
      <c r="BX27" s="4387"/>
      <c r="BY27" s="4387"/>
      <c r="BZ27" s="4387"/>
      <c r="CA27" s="4391"/>
      <c r="CC27" s="4392"/>
      <c r="CD27" s="4391"/>
    </row>
    <row r="28" s="4025" customFormat="1" ht="50" customHeight="1" spans="1:82">
      <c r="A28" s="3688">
        <v>45586</v>
      </c>
      <c r="B28" s="3664" t="s">
        <v>90</v>
      </c>
      <c r="C28" s="3664" t="s">
        <v>91</v>
      </c>
      <c r="D28" s="3691">
        <v>4500147794</v>
      </c>
      <c r="E28" s="3664" t="s">
        <v>2720</v>
      </c>
      <c r="F28" s="3664" t="s">
        <v>2721</v>
      </c>
      <c r="G28" s="3664" t="s">
        <v>2719</v>
      </c>
      <c r="H28" s="3664" t="s">
        <v>2591</v>
      </c>
      <c r="I28" s="3691">
        <v>600</v>
      </c>
      <c r="J28" s="3691">
        <v>0</v>
      </c>
      <c r="K28" s="3691">
        <v>6</v>
      </c>
      <c r="L28" s="3691">
        <f t="shared" si="21"/>
        <v>100</v>
      </c>
      <c r="M28" s="3659">
        <v>45657</v>
      </c>
      <c r="N28" s="3659">
        <v>45653</v>
      </c>
      <c r="O28" s="4085"/>
      <c r="P28" s="3682" t="s">
        <v>82</v>
      </c>
      <c r="Q28" s="3682"/>
      <c r="R28" s="4083"/>
      <c r="S28" s="4083"/>
      <c r="T28" s="4083"/>
      <c r="U28" s="3657" t="s">
        <v>116</v>
      </c>
      <c r="V28" s="3657" t="s">
        <v>97</v>
      </c>
      <c r="W28" s="3657"/>
      <c r="X28" s="3657" t="s">
        <v>98</v>
      </c>
      <c r="Y28" s="3657" t="s">
        <v>385</v>
      </c>
      <c r="Z28" s="3661"/>
      <c r="AA28" s="3620" t="s">
        <v>100</v>
      </c>
      <c r="AB28" s="3691" t="s">
        <v>101</v>
      </c>
      <c r="AC28" s="3691">
        <v>2.1484</v>
      </c>
      <c r="AD28" s="3691">
        <f t="shared" si="22"/>
        <v>1289.04</v>
      </c>
      <c r="AE28" s="4098" t="s">
        <v>125</v>
      </c>
      <c r="AF28" s="3664" t="s">
        <v>2719</v>
      </c>
      <c r="AG28" s="3645" t="s">
        <v>416</v>
      </c>
      <c r="AH28" s="905"/>
      <c r="AI28" s="3664">
        <f t="shared" si="14"/>
        <v>600</v>
      </c>
      <c r="AJ28" s="3664"/>
      <c r="AK28" s="905"/>
      <c r="AL28" s="3664"/>
      <c r="AM28" s="3664"/>
      <c r="AN28" s="3691"/>
      <c r="AO28" s="3691">
        <f t="shared" si="13"/>
        <v>600</v>
      </c>
      <c r="AP28" s="3691"/>
      <c r="AQ28" s="4089"/>
      <c r="AR28" s="877"/>
      <c r="AS28" s="4089">
        <f t="shared" si="23"/>
        <v>600</v>
      </c>
      <c r="AT28" s="877"/>
      <c r="AU28" s="4089"/>
      <c r="AV28" s="4089"/>
      <c r="AW28" s="4089"/>
      <c r="AX28" s="4089"/>
      <c r="AY28" s="4089"/>
      <c r="AZ28" s="4089"/>
      <c r="BA28" s="4089"/>
      <c r="BB28" s="4089"/>
      <c r="BC28" s="4089"/>
      <c r="BD28" s="4089"/>
      <c r="BE28" s="4089"/>
      <c r="BF28" s="4089" t="s">
        <v>89</v>
      </c>
      <c r="BG28" s="4089"/>
      <c r="BH28" s="4089">
        <f t="shared" si="15"/>
        <v>100</v>
      </c>
      <c r="BI28" s="4089">
        <f t="shared" si="16"/>
        <v>100</v>
      </c>
      <c r="BJ28" s="4089">
        <f t="shared" si="17"/>
        <v>100</v>
      </c>
      <c r="BK28" s="4089">
        <f t="shared" si="18"/>
        <v>100</v>
      </c>
      <c r="BL28" s="4089">
        <f t="shared" si="19"/>
        <v>100</v>
      </c>
      <c r="BM28" s="4089">
        <f t="shared" si="20"/>
        <v>80</v>
      </c>
      <c r="BN28" s="4089">
        <f t="shared" si="12"/>
        <v>20</v>
      </c>
      <c r="BO28" s="878"/>
      <c r="BP28" s="878"/>
      <c r="BQ28" s="878"/>
      <c r="BR28" s="878"/>
      <c r="BS28" s="878"/>
      <c r="BT28" s="879"/>
      <c r="BU28" s="4384"/>
      <c r="BV28" s="4385">
        <f t="shared" si="0"/>
        <v>600</v>
      </c>
      <c r="BW28" s="4386">
        <f t="shared" si="10"/>
        <v>0</v>
      </c>
      <c r="BX28" s="4387"/>
      <c r="BY28" s="4387"/>
      <c r="BZ28" s="4387"/>
      <c r="CA28" s="4391"/>
      <c r="CC28" s="4392"/>
      <c r="CD28" s="4391"/>
    </row>
    <row r="29" s="4025" customFormat="1" ht="50" customHeight="1" spans="1:82">
      <c r="A29" s="3688">
        <v>45611</v>
      </c>
      <c r="B29" s="3664" t="s">
        <v>2722</v>
      </c>
      <c r="C29" s="3664" t="s">
        <v>2723</v>
      </c>
      <c r="D29" s="3691">
        <v>4500151401</v>
      </c>
      <c r="E29" s="3664">
        <v>2024101316</v>
      </c>
      <c r="F29" s="3691" t="s">
        <v>2724</v>
      </c>
      <c r="G29" s="3664" t="s">
        <v>2577</v>
      </c>
      <c r="H29" s="3664" t="s">
        <v>2578</v>
      </c>
      <c r="I29" s="3691">
        <v>504</v>
      </c>
      <c r="J29" s="3691">
        <v>0</v>
      </c>
      <c r="K29" s="3691">
        <v>12</v>
      </c>
      <c r="L29" s="3691">
        <f t="shared" si="21"/>
        <v>42</v>
      </c>
      <c r="M29" s="3659">
        <v>45657</v>
      </c>
      <c r="N29" s="3659">
        <v>45653</v>
      </c>
      <c r="O29" s="4085"/>
      <c r="P29" s="3682" t="s">
        <v>82</v>
      </c>
      <c r="Q29" s="3682"/>
      <c r="R29" s="4083"/>
      <c r="S29" s="4083"/>
      <c r="T29" s="4083"/>
      <c r="U29" s="3645" t="s">
        <v>2725</v>
      </c>
      <c r="V29" s="3657" t="s">
        <v>2299</v>
      </c>
      <c r="W29" s="3657"/>
      <c r="X29" s="3657" t="s">
        <v>2726</v>
      </c>
      <c r="Y29" s="3657"/>
      <c r="Z29" s="3661"/>
      <c r="AA29" s="3620" t="s">
        <v>2727</v>
      </c>
      <c r="AB29" s="3691" t="s">
        <v>1771</v>
      </c>
      <c r="AC29" s="3691">
        <v>2.1891</v>
      </c>
      <c r="AD29" s="3691">
        <f t="shared" si="22"/>
        <v>1103.3064</v>
      </c>
      <c r="AE29" s="4098" t="s">
        <v>2728</v>
      </c>
      <c r="AF29" s="3664" t="s">
        <v>2604</v>
      </c>
      <c r="AG29" s="3645" t="s">
        <v>416</v>
      </c>
      <c r="AH29" s="905"/>
      <c r="AI29" s="3664"/>
      <c r="AJ29" s="3664"/>
      <c r="AK29" s="905"/>
      <c r="AL29" s="3664">
        <f>I29</f>
        <v>504</v>
      </c>
      <c r="AM29" s="3664"/>
      <c r="AN29" s="3691"/>
      <c r="AO29" s="3691">
        <f t="shared" si="13"/>
        <v>504</v>
      </c>
      <c r="AP29" s="3691"/>
      <c r="AQ29" s="4089"/>
      <c r="AR29" s="907"/>
      <c r="AS29" s="4089">
        <f t="shared" si="23"/>
        <v>504</v>
      </c>
      <c r="AT29" s="907"/>
      <c r="AU29" s="4089"/>
      <c r="AV29" s="4089">
        <f>I29/6</f>
        <v>84</v>
      </c>
      <c r="AW29" s="4089"/>
      <c r="AX29" s="4089"/>
      <c r="AY29" s="4089"/>
      <c r="AZ29" s="4089"/>
      <c r="BA29" s="4089"/>
      <c r="BB29" s="4089"/>
      <c r="BC29" s="4089"/>
      <c r="BD29" s="4089"/>
      <c r="BE29" s="4089"/>
      <c r="BF29" s="4089" t="s">
        <v>89</v>
      </c>
      <c r="BG29" s="4089"/>
      <c r="BH29" s="4089">
        <f t="shared" si="15"/>
        <v>84</v>
      </c>
      <c r="BI29" s="4089">
        <f t="shared" si="16"/>
        <v>84</v>
      </c>
      <c r="BJ29" s="4089">
        <f t="shared" si="17"/>
        <v>84</v>
      </c>
      <c r="BK29" s="4089">
        <f t="shared" si="18"/>
        <v>84</v>
      </c>
      <c r="BL29" s="4089">
        <f t="shared" si="19"/>
        <v>84</v>
      </c>
      <c r="BM29" s="4089">
        <f t="shared" si="20"/>
        <v>67.2</v>
      </c>
      <c r="BN29" s="4089">
        <f t="shared" si="12"/>
        <v>16.8</v>
      </c>
      <c r="BO29" s="4382"/>
      <c r="BP29" s="4382"/>
      <c r="BQ29" s="4382"/>
      <c r="BR29" s="4382"/>
      <c r="BS29" s="4382"/>
      <c r="BT29" s="4383"/>
      <c r="BU29" s="4384"/>
      <c r="BV29" s="4385">
        <f t="shared" si="0"/>
        <v>504</v>
      </c>
      <c r="BW29" s="4386">
        <f t="shared" si="10"/>
        <v>0</v>
      </c>
      <c r="BX29" s="4387"/>
      <c r="BY29" s="4387"/>
      <c r="BZ29" s="4387"/>
      <c r="CA29" s="4391"/>
      <c r="CC29" s="4392"/>
      <c r="CD29" s="4391"/>
    </row>
    <row r="30" s="4025" customFormat="1" ht="50" customHeight="1" spans="1:82">
      <c r="A30" s="3688">
        <v>45625</v>
      </c>
      <c r="B30" s="3664" t="s">
        <v>672</v>
      </c>
      <c r="C30" s="3664" t="s">
        <v>673</v>
      </c>
      <c r="D30" s="3691">
        <v>4500152175</v>
      </c>
      <c r="E30" s="3664">
        <v>5000001714</v>
      </c>
      <c r="F30" s="3691" t="s">
        <v>2729</v>
      </c>
      <c r="G30" s="3664" t="s">
        <v>2590</v>
      </c>
      <c r="H30" s="3664" t="s">
        <v>2591</v>
      </c>
      <c r="I30" s="3691">
        <v>1800</v>
      </c>
      <c r="J30" s="3691">
        <v>0</v>
      </c>
      <c r="K30" s="3691">
        <v>6</v>
      </c>
      <c r="L30" s="3691">
        <f t="shared" si="21"/>
        <v>300</v>
      </c>
      <c r="M30" s="3659">
        <v>45657</v>
      </c>
      <c r="N30" s="3659">
        <v>45653</v>
      </c>
      <c r="O30" s="4085"/>
      <c r="P30" s="3682" t="s">
        <v>82</v>
      </c>
      <c r="Q30" s="3682"/>
      <c r="R30" s="4083"/>
      <c r="S30" s="4083"/>
      <c r="T30" s="4083"/>
      <c r="U30" s="3645" t="s">
        <v>389</v>
      </c>
      <c r="V30" s="3657" t="s">
        <v>2658</v>
      </c>
      <c r="W30" s="3657"/>
      <c r="X30" s="3657" t="s">
        <v>2659</v>
      </c>
      <c r="Y30" s="3657" t="s">
        <v>2660</v>
      </c>
      <c r="Z30" s="3661"/>
      <c r="AA30" s="3620" t="s">
        <v>2661</v>
      </c>
      <c r="AB30" s="3691" t="s">
        <v>680</v>
      </c>
      <c r="AC30" s="4087">
        <v>2.1213</v>
      </c>
      <c r="AD30" s="3691">
        <v>9954.414</v>
      </c>
      <c r="AE30" s="4098" t="s">
        <v>2662</v>
      </c>
      <c r="AF30" s="3664" t="s">
        <v>2663</v>
      </c>
      <c r="AG30" s="3645" t="s">
        <v>416</v>
      </c>
      <c r="AH30" s="905"/>
      <c r="AI30" s="4393">
        <f>I30</f>
        <v>1800</v>
      </c>
      <c r="AJ30" s="4393"/>
      <c r="AK30" s="905"/>
      <c r="AL30" s="3664"/>
      <c r="AM30" s="3664"/>
      <c r="AN30" s="3691"/>
      <c r="AO30" s="3691"/>
      <c r="AP30" s="3691"/>
      <c r="AQ30" s="4089">
        <f>I30</f>
        <v>1800</v>
      </c>
      <c r="AR30" s="4397"/>
      <c r="AS30" s="4089">
        <f t="shared" si="23"/>
        <v>1800</v>
      </c>
      <c r="AT30" s="4397"/>
      <c r="AU30" s="4089"/>
      <c r="AV30" s="4089">
        <f>I30/6</f>
        <v>300</v>
      </c>
      <c r="AW30" s="4089"/>
      <c r="AX30" s="4089"/>
      <c r="AY30" s="4089"/>
      <c r="AZ30" s="4089"/>
      <c r="BA30" s="4089"/>
      <c r="BB30" s="4089"/>
      <c r="BC30" s="4089"/>
      <c r="BD30" s="4089"/>
      <c r="BE30" s="4089"/>
      <c r="BF30" s="4089" t="s">
        <v>89</v>
      </c>
      <c r="BG30" s="4089"/>
      <c r="BH30" s="4089">
        <f t="shared" si="15"/>
        <v>300</v>
      </c>
      <c r="BI30" s="4089">
        <f t="shared" si="16"/>
        <v>300</v>
      </c>
      <c r="BJ30" s="4089">
        <f t="shared" si="17"/>
        <v>300</v>
      </c>
      <c r="BK30" s="4089">
        <f t="shared" si="18"/>
        <v>300</v>
      </c>
      <c r="BL30" s="4089">
        <f t="shared" si="19"/>
        <v>300</v>
      </c>
      <c r="BM30" s="4089">
        <f t="shared" si="20"/>
        <v>240</v>
      </c>
      <c r="BN30" s="4089">
        <f t="shared" si="12"/>
        <v>60</v>
      </c>
      <c r="BO30" s="878"/>
      <c r="BP30" s="878"/>
      <c r="BQ30" s="878"/>
      <c r="BR30" s="878"/>
      <c r="BS30" s="878"/>
      <c r="BT30" s="879"/>
      <c r="BU30" s="4384"/>
      <c r="BV30" s="4385">
        <f t="shared" si="0"/>
        <v>1800</v>
      </c>
      <c r="BW30" s="4386">
        <f t="shared" si="10"/>
        <v>0</v>
      </c>
      <c r="BX30" s="4387"/>
      <c r="BY30" s="4387"/>
      <c r="BZ30" s="4387"/>
      <c r="CA30" s="4391"/>
      <c r="CC30" s="4392"/>
      <c r="CD30" s="4391"/>
    </row>
    <row r="31" s="4025" customFormat="1" ht="50" customHeight="1" spans="1:82">
      <c r="A31" s="3688">
        <v>45603</v>
      </c>
      <c r="B31" s="3664" t="s">
        <v>387</v>
      </c>
      <c r="C31" s="3664" t="s">
        <v>91</v>
      </c>
      <c r="D31" s="3691">
        <v>4500150294</v>
      </c>
      <c r="E31" s="3664">
        <v>70054068</v>
      </c>
      <c r="F31" s="3691" t="s">
        <v>2730</v>
      </c>
      <c r="G31" s="3664" t="s">
        <v>2627</v>
      </c>
      <c r="H31" s="3691" t="s">
        <v>2591</v>
      </c>
      <c r="I31" s="3691">
        <v>600</v>
      </c>
      <c r="J31" s="3691">
        <v>0</v>
      </c>
      <c r="K31" s="3691">
        <v>24</v>
      </c>
      <c r="L31" s="3691">
        <f t="shared" si="21"/>
        <v>25</v>
      </c>
      <c r="M31" s="3659">
        <v>45660</v>
      </c>
      <c r="N31" s="3659">
        <v>45657</v>
      </c>
      <c r="O31" s="4085"/>
      <c r="P31" s="3682" t="s">
        <v>82</v>
      </c>
      <c r="Q31" s="3682"/>
      <c r="R31" s="4083"/>
      <c r="S31" s="4083"/>
      <c r="T31" s="4083"/>
      <c r="U31" s="3645" t="s">
        <v>564</v>
      </c>
      <c r="V31" s="3657" t="s">
        <v>411</v>
      </c>
      <c r="W31" s="3657"/>
      <c r="X31" s="3657" t="s">
        <v>98</v>
      </c>
      <c r="Y31" s="3657" t="s">
        <v>587</v>
      </c>
      <c r="Z31" s="3661"/>
      <c r="AA31" s="3620" t="s">
        <v>413</v>
      </c>
      <c r="AB31" s="3691" t="s">
        <v>393</v>
      </c>
      <c r="AC31" s="3691">
        <v>2.1332</v>
      </c>
      <c r="AD31" s="3691">
        <f t="shared" ref="AD31:AD41" si="24">AC31*I31</f>
        <v>1279.92</v>
      </c>
      <c r="AE31" s="4098" t="s">
        <v>2731</v>
      </c>
      <c r="AF31" s="3664" t="s">
        <v>2627</v>
      </c>
      <c r="AG31" s="3645" t="s">
        <v>416</v>
      </c>
      <c r="AH31" s="905"/>
      <c r="AI31" s="3691">
        <f>I31</f>
        <v>600</v>
      </c>
      <c r="AJ31" s="3691"/>
      <c r="AK31" s="905"/>
      <c r="AL31" s="3664"/>
      <c r="AM31" s="3664"/>
      <c r="AN31" s="3691"/>
      <c r="AO31" s="3691">
        <f t="shared" ref="AO31:AO94" si="25">I31</f>
        <v>600</v>
      </c>
      <c r="AP31" s="3691"/>
      <c r="AQ31" s="4089"/>
      <c r="AR31" s="877"/>
      <c r="AS31" s="4089">
        <f t="shared" si="23"/>
        <v>600</v>
      </c>
      <c r="AT31" s="877"/>
      <c r="AU31" s="4089"/>
      <c r="AV31" s="4089"/>
      <c r="AW31" s="4089"/>
      <c r="AX31" s="4089"/>
      <c r="AY31" s="4089"/>
      <c r="AZ31" s="4089"/>
      <c r="BA31" s="4089"/>
      <c r="BB31" s="4089"/>
      <c r="BC31" s="4089"/>
      <c r="BD31" s="4089"/>
      <c r="BE31" s="4089"/>
      <c r="BF31" s="4089" t="s">
        <v>89</v>
      </c>
      <c r="BG31" s="4089"/>
      <c r="BH31" s="4089">
        <f t="shared" si="15"/>
        <v>100</v>
      </c>
      <c r="BI31" s="4089">
        <f t="shared" si="16"/>
        <v>100</v>
      </c>
      <c r="BJ31" s="4089">
        <f t="shared" si="17"/>
        <v>100</v>
      </c>
      <c r="BK31" s="4089">
        <f t="shared" si="18"/>
        <v>100</v>
      </c>
      <c r="BL31" s="4089">
        <f t="shared" si="19"/>
        <v>100</v>
      </c>
      <c r="BM31" s="4089">
        <f t="shared" si="20"/>
        <v>80</v>
      </c>
      <c r="BN31" s="4089">
        <f t="shared" si="12"/>
        <v>20</v>
      </c>
      <c r="BO31" s="878"/>
      <c r="BP31" s="878"/>
      <c r="BQ31" s="878"/>
      <c r="BR31" s="878"/>
      <c r="BS31" s="878"/>
      <c r="BT31" s="879"/>
      <c r="BU31" s="4384"/>
      <c r="BV31" s="4385">
        <f t="shared" si="0"/>
        <v>600</v>
      </c>
      <c r="BW31" s="4386">
        <f t="shared" si="10"/>
        <v>0</v>
      </c>
      <c r="BX31" s="4387"/>
      <c r="BY31" s="4387"/>
      <c r="BZ31" s="4387"/>
      <c r="CA31" s="4391"/>
      <c r="CC31" s="4392"/>
      <c r="CD31" s="4391"/>
    </row>
    <row r="32" s="4025" customFormat="1" ht="50" customHeight="1" spans="1:82">
      <c r="A32" s="3688">
        <v>45615</v>
      </c>
      <c r="B32" s="3664" t="s">
        <v>2732</v>
      </c>
      <c r="C32" s="3664" t="s">
        <v>840</v>
      </c>
      <c r="D32" s="3691">
        <v>4500151710</v>
      </c>
      <c r="E32" s="3664"/>
      <c r="F32" s="3691" t="s">
        <v>2733</v>
      </c>
      <c r="G32" s="3664" t="s">
        <v>2577</v>
      </c>
      <c r="H32" s="3664" t="s">
        <v>2578</v>
      </c>
      <c r="I32" s="3691">
        <v>624</v>
      </c>
      <c r="J32" s="3691">
        <v>0</v>
      </c>
      <c r="K32" s="3691">
        <v>12</v>
      </c>
      <c r="L32" s="3691">
        <f t="shared" si="21"/>
        <v>52</v>
      </c>
      <c r="M32" s="3659">
        <v>45660</v>
      </c>
      <c r="N32" s="3659">
        <v>45657</v>
      </c>
      <c r="O32" s="4085"/>
      <c r="P32" s="3682" t="s">
        <v>82</v>
      </c>
      <c r="Q32" s="3682"/>
      <c r="R32" s="4083"/>
      <c r="S32" s="4083"/>
      <c r="T32" s="4083"/>
      <c r="U32" s="3645" t="s">
        <v>2599</v>
      </c>
      <c r="V32" s="3657" t="s">
        <v>2299</v>
      </c>
      <c r="W32" s="3657"/>
      <c r="X32" s="3657" t="s">
        <v>98</v>
      </c>
      <c r="Y32" s="3657"/>
      <c r="Z32" s="3661"/>
      <c r="AA32" s="3620" t="s">
        <v>2734</v>
      </c>
      <c r="AB32" s="3691" t="s">
        <v>2735</v>
      </c>
      <c r="AC32" s="3691">
        <v>2.1376</v>
      </c>
      <c r="AD32" s="3691">
        <f t="shared" si="24"/>
        <v>1333.8624</v>
      </c>
      <c r="AE32" s="4098" t="s">
        <v>2736</v>
      </c>
      <c r="AF32" s="3664" t="s">
        <v>2577</v>
      </c>
      <c r="AG32" s="3645" t="s">
        <v>416</v>
      </c>
      <c r="AH32" s="905"/>
      <c r="AI32" s="3691">
        <f>I32</f>
        <v>624</v>
      </c>
      <c r="AJ32" s="3691"/>
      <c r="AK32" s="905"/>
      <c r="AL32" s="3664"/>
      <c r="AM32" s="3664"/>
      <c r="AN32" s="3691"/>
      <c r="AO32" s="3691">
        <f t="shared" si="25"/>
        <v>624</v>
      </c>
      <c r="AP32" s="3691"/>
      <c r="AQ32" s="4089"/>
      <c r="AR32" s="907"/>
      <c r="AS32" s="4089">
        <f t="shared" si="23"/>
        <v>624</v>
      </c>
      <c r="AT32" s="907"/>
      <c r="AU32" s="4089"/>
      <c r="AV32" s="4089">
        <f>I32/6</f>
        <v>104</v>
      </c>
      <c r="AW32" s="4089"/>
      <c r="AX32" s="4089"/>
      <c r="AY32" s="4089"/>
      <c r="AZ32" s="4089"/>
      <c r="BA32" s="4089"/>
      <c r="BB32" s="4089"/>
      <c r="BC32" s="4089"/>
      <c r="BD32" s="4089"/>
      <c r="BE32" s="4089"/>
      <c r="BF32" s="4089" t="s">
        <v>89</v>
      </c>
      <c r="BG32" s="4089"/>
      <c r="BH32" s="4089">
        <f t="shared" si="15"/>
        <v>104</v>
      </c>
      <c r="BI32" s="4089">
        <f t="shared" si="16"/>
        <v>104</v>
      </c>
      <c r="BJ32" s="4089">
        <f t="shared" si="17"/>
        <v>104</v>
      </c>
      <c r="BK32" s="4089">
        <f t="shared" si="18"/>
        <v>104</v>
      </c>
      <c r="BL32" s="4089">
        <f t="shared" si="19"/>
        <v>104</v>
      </c>
      <c r="BM32" s="4089">
        <f t="shared" si="20"/>
        <v>83.2</v>
      </c>
      <c r="BN32" s="4089">
        <f t="shared" si="12"/>
        <v>20.8</v>
      </c>
      <c r="BO32" s="4382"/>
      <c r="BP32" s="4382"/>
      <c r="BQ32" s="4382"/>
      <c r="BR32" s="4382"/>
      <c r="BS32" s="4382"/>
      <c r="BT32" s="4383"/>
      <c r="BU32" s="4384"/>
      <c r="BV32" s="4385">
        <f t="shared" si="0"/>
        <v>624</v>
      </c>
      <c r="BW32" s="4386">
        <f t="shared" si="10"/>
        <v>0</v>
      </c>
      <c r="BX32" s="4387"/>
      <c r="BY32" s="4387"/>
      <c r="BZ32" s="4387"/>
      <c r="CA32" s="4391"/>
      <c r="CC32" s="4392"/>
      <c r="CD32" s="4391"/>
    </row>
    <row r="33" s="4025" customFormat="1" ht="50" customHeight="1" spans="1:82">
      <c r="A33" s="3688">
        <v>45615</v>
      </c>
      <c r="B33" s="3664" t="s">
        <v>2732</v>
      </c>
      <c r="C33" s="3664" t="s">
        <v>840</v>
      </c>
      <c r="D33" s="3691">
        <v>4500151707</v>
      </c>
      <c r="E33" s="3664"/>
      <c r="F33" s="3691" t="s">
        <v>2737</v>
      </c>
      <c r="G33" s="3664" t="s">
        <v>2577</v>
      </c>
      <c r="H33" s="3664" t="s">
        <v>2578</v>
      </c>
      <c r="I33" s="3691">
        <v>1872</v>
      </c>
      <c r="J33" s="3691">
        <v>0</v>
      </c>
      <c r="K33" s="3691">
        <v>12</v>
      </c>
      <c r="L33" s="3691">
        <f t="shared" si="21"/>
        <v>156</v>
      </c>
      <c r="M33" s="3659">
        <v>45660</v>
      </c>
      <c r="N33" s="3659">
        <v>45657</v>
      </c>
      <c r="O33" s="4085"/>
      <c r="P33" s="3682" t="s">
        <v>82</v>
      </c>
      <c r="Q33" s="3682"/>
      <c r="R33" s="4083"/>
      <c r="S33" s="4083"/>
      <c r="T33" s="4083"/>
      <c r="U33" s="3645" t="s">
        <v>2599</v>
      </c>
      <c r="V33" s="3657" t="s">
        <v>2299</v>
      </c>
      <c r="W33" s="3657"/>
      <c r="X33" s="3657" t="s">
        <v>98</v>
      </c>
      <c r="Y33" s="3657"/>
      <c r="Z33" s="3661"/>
      <c r="AA33" s="3620" t="s">
        <v>2738</v>
      </c>
      <c r="AB33" s="3691" t="s">
        <v>2735</v>
      </c>
      <c r="AC33" s="3691">
        <v>2.1329</v>
      </c>
      <c r="AD33" s="3691">
        <f t="shared" si="24"/>
        <v>3992.7888</v>
      </c>
      <c r="AE33" s="4098" t="s">
        <v>2739</v>
      </c>
      <c r="AF33" s="3664" t="s">
        <v>2577</v>
      </c>
      <c r="AG33" s="3645" t="s">
        <v>416</v>
      </c>
      <c r="AH33" s="905"/>
      <c r="AI33" s="3691">
        <f>I33</f>
        <v>1872</v>
      </c>
      <c r="AJ33" s="3691"/>
      <c r="AK33" s="905"/>
      <c r="AL33" s="3664"/>
      <c r="AM33" s="3664"/>
      <c r="AN33" s="3691"/>
      <c r="AO33" s="3691">
        <f t="shared" si="25"/>
        <v>1872</v>
      </c>
      <c r="AP33" s="3691"/>
      <c r="AQ33" s="4089"/>
      <c r="AR33" s="907"/>
      <c r="AS33" s="4089">
        <f t="shared" si="23"/>
        <v>1872</v>
      </c>
      <c r="AT33" s="907"/>
      <c r="AU33" s="4089"/>
      <c r="AV33" s="4089">
        <f>I33/6</f>
        <v>312</v>
      </c>
      <c r="AW33" s="4089"/>
      <c r="AX33" s="4089"/>
      <c r="AY33" s="4089"/>
      <c r="AZ33" s="4089"/>
      <c r="BA33" s="4089"/>
      <c r="BB33" s="4089"/>
      <c r="BC33" s="4089"/>
      <c r="BD33" s="4089"/>
      <c r="BE33" s="4089"/>
      <c r="BF33" s="4089" t="s">
        <v>89</v>
      </c>
      <c r="BG33" s="4089"/>
      <c r="BH33" s="4089">
        <f t="shared" si="15"/>
        <v>312</v>
      </c>
      <c r="BI33" s="4089">
        <f t="shared" si="16"/>
        <v>312</v>
      </c>
      <c r="BJ33" s="4089">
        <f t="shared" si="17"/>
        <v>312</v>
      </c>
      <c r="BK33" s="4089">
        <f t="shared" si="18"/>
        <v>312</v>
      </c>
      <c r="BL33" s="4089">
        <f t="shared" si="19"/>
        <v>312</v>
      </c>
      <c r="BM33" s="4089">
        <f t="shared" si="20"/>
        <v>249.6</v>
      </c>
      <c r="BN33" s="4089">
        <f t="shared" si="12"/>
        <v>62.4</v>
      </c>
      <c r="BO33" s="4382"/>
      <c r="BP33" s="4382"/>
      <c r="BQ33" s="4382"/>
      <c r="BR33" s="4382"/>
      <c r="BS33" s="4382"/>
      <c r="BT33" s="4383"/>
      <c r="BU33" s="4384"/>
      <c r="BV33" s="4385">
        <f t="shared" si="0"/>
        <v>1872</v>
      </c>
      <c r="BW33" s="4386">
        <f t="shared" si="10"/>
        <v>0</v>
      </c>
      <c r="BX33" s="4387"/>
      <c r="BY33" s="4387"/>
      <c r="BZ33" s="4387"/>
      <c r="CA33" s="4391"/>
      <c r="CC33" s="4392"/>
      <c r="CD33" s="4391"/>
    </row>
    <row r="34" s="4025" customFormat="1" ht="50" customHeight="1" spans="1:82">
      <c r="A34" s="3688">
        <v>45625</v>
      </c>
      <c r="B34" s="3664" t="s">
        <v>470</v>
      </c>
      <c r="C34" s="3664" t="s">
        <v>471</v>
      </c>
      <c r="D34" s="3691">
        <v>4500152906</v>
      </c>
      <c r="E34" s="3664" t="s">
        <v>2740</v>
      </c>
      <c r="F34" s="3691" t="s">
        <v>2741</v>
      </c>
      <c r="G34" s="3664" t="s">
        <v>2719</v>
      </c>
      <c r="H34" s="3664" t="s">
        <v>2591</v>
      </c>
      <c r="I34" s="3691">
        <v>1002</v>
      </c>
      <c r="J34" s="3691">
        <v>0</v>
      </c>
      <c r="K34" s="3691">
        <v>6</v>
      </c>
      <c r="L34" s="3691">
        <f t="shared" si="21"/>
        <v>167</v>
      </c>
      <c r="M34" s="3659">
        <v>45660</v>
      </c>
      <c r="N34" s="3659">
        <v>45656</v>
      </c>
      <c r="O34" s="4085"/>
      <c r="P34" s="3682" t="s">
        <v>82</v>
      </c>
      <c r="Q34" s="3682"/>
      <c r="R34" s="4083"/>
      <c r="S34" s="4083"/>
      <c r="T34" s="4083"/>
      <c r="U34" s="3645" t="s">
        <v>116</v>
      </c>
      <c r="V34" s="3657" t="s">
        <v>465</v>
      </c>
      <c r="W34" s="3657"/>
      <c r="X34" s="3657" t="s">
        <v>2742</v>
      </c>
      <c r="Y34" s="3657" t="s">
        <v>385</v>
      </c>
      <c r="Z34" s="3661"/>
      <c r="AA34" s="3620" t="s">
        <v>2743</v>
      </c>
      <c r="AB34" s="3691" t="s">
        <v>348</v>
      </c>
      <c r="AC34" s="3691">
        <v>2.1437</v>
      </c>
      <c r="AD34" s="3691">
        <f t="shared" si="24"/>
        <v>2147.9874</v>
      </c>
      <c r="AE34" s="4098" t="s">
        <v>475</v>
      </c>
      <c r="AF34" s="3691" t="s">
        <v>2744</v>
      </c>
      <c r="AG34" s="3645" t="s">
        <v>416</v>
      </c>
      <c r="AH34" s="905"/>
      <c r="AI34" s="3691"/>
      <c r="AJ34" s="3691"/>
      <c r="AK34" s="905"/>
      <c r="AL34" s="3664">
        <f>I34</f>
        <v>1002</v>
      </c>
      <c r="AM34" s="3664"/>
      <c r="AN34" s="3691"/>
      <c r="AO34" s="3691">
        <f t="shared" si="25"/>
        <v>1002</v>
      </c>
      <c r="AP34" s="3691"/>
      <c r="AQ34" s="4089"/>
      <c r="AR34" s="907"/>
      <c r="AS34" s="4089">
        <f t="shared" si="23"/>
        <v>1002</v>
      </c>
      <c r="AT34" s="907"/>
      <c r="AU34" s="4089"/>
      <c r="AV34" s="4089"/>
      <c r="AW34" s="4089"/>
      <c r="AX34" s="4089"/>
      <c r="AY34" s="4089"/>
      <c r="AZ34" s="4089"/>
      <c r="BA34" s="4089"/>
      <c r="BB34" s="4089"/>
      <c r="BC34" s="4089"/>
      <c r="BD34" s="4089"/>
      <c r="BE34" s="4089"/>
      <c r="BF34" s="4089" t="s">
        <v>89</v>
      </c>
      <c r="BG34" s="4089"/>
      <c r="BH34" s="4089">
        <f t="shared" si="15"/>
        <v>167</v>
      </c>
      <c r="BI34" s="4089">
        <f t="shared" si="16"/>
        <v>167</v>
      </c>
      <c r="BJ34" s="4089">
        <f t="shared" si="17"/>
        <v>167</v>
      </c>
      <c r="BK34" s="4089">
        <f t="shared" si="18"/>
        <v>167</v>
      </c>
      <c r="BL34" s="4089">
        <f t="shared" si="19"/>
        <v>167</v>
      </c>
      <c r="BM34" s="4089">
        <f t="shared" si="20"/>
        <v>133.6</v>
      </c>
      <c r="BN34" s="4089">
        <f t="shared" si="12"/>
        <v>33.4</v>
      </c>
      <c r="BO34" s="4382"/>
      <c r="BP34" s="4382"/>
      <c r="BQ34" s="4382"/>
      <c r="BR34" s="4382"/>
      <c r="BS34" s="4382"/>
      <c r="BT34" s="4383"/>
      <c r="BU34" s="4384"/>
      <c r="BV34" s="4385">
        <f t="shared" si="0"/>
        <v>1002</v>
      </c>
      <c r="BW34" s="4386">
        <f t="shared" si="10"/>
        <v>0</v>
      </c>
      <c r="BX34" s="4387"/>
      <c r="BY34" s="4387"/>
      <c r="BZ34" s="4387"/>
      <c r="CA34" s="4391"/>
      <c r="CC34" s="4392"/>
      <c r="CD34" s="4391"/>
    </row>
    <row r="35" s="4025" customFormat="1" ht="50" customHeight="1" spans="1:82">
      <c r="A35" s="3688">
        <v>45625</v>
      </c>
      <c r="B35" s="3664" t="s">
        <v>470</v>
      </c>
      <c r="C35" s="3664" t="s">
        <v>471</v>
      </c>
      <c r="D35" s="3691">
        <v>4500152906</v>
      </c>
      <c r="E35" s="3664" t="s">
        <v>2745</v>
      </c>
      <c r="F35" s="3691" t="s">
        <v>2746</v>
      </c>
      <c r="G35" s="3664" t="s">
        <v>2719</v>
      </c>
      <c r="H35" s="3664" t="s">
        <v>2591</v>
      </c>
      <c r="I35" s="3691">
        <v>1002</v>
      </c>
      <c r="J35" s="3691">
        <v>0</v>
      </c>
      <c r="K35" s="3691">
        <v>6</v>
      </c>
      <c r="L35" s="3691">
        <f t="shared" si="21"/>
        <v>167</v>
      </c>
      <c r="M35" s="3659">
        <v>45660</v>
      </c>
      <c r="N35" s="3659">
        <v>45656</v>
      </c>
      <c r="O35" s="4085"/>
      <c r="P35" s="3682" t="s">
        <v>82</v>
      </c>
      <c r="Q35" s="3682"/>
      <c r="R35" s="4083"/>
      <c r="S35" s="4083"/>
      <c r="T35" s="4083"/>
      <c r="U35" s="3645" t="s">
        <v>116</v>
      </c>
      <c r="V35" s="3657" t="s">
        <v>465</v>
      </c>
      <c r="W35" s="3657"/>
      <c r="X35" s="3657" t="s">
        <v>2742</v>
      </c>
      <c r="Y35" s="3657" t="s">
        <v>385</v>
      </c>
      <c r="Z35" s="3661"/>
      <c r="AA35" s="3620" t="s">
        <v>2743</v>
      </c>
      <c r="AB35" s="3691" t="s">
        <v>348</v>
      </c>
      <c r="AC35" s="3691">
        <v>2.1437</v>
      </c>
      <c r="AD35" s="3691">
        <f t="shared" si="24"/>
        <v>2147.9874</v>
      </c>
      <c r="AE35" s="4098" t="s">
        <v>475</v>
      </c>
      <c r="AF35" s="3691" t="s">
        <v>2744</v>
      </c>
      <c r="AG35" s="3645" t="s">
        <v>416</v>
      </c>
      <c r="AH35" s="905"/>
      <c r="AI35" s="3691"/>
      <c r="AJ35" s="3691"/>
      <c r="AK35" s="905"/>
      <c r="AL35" s="3664">
        <f>I35</f>
        <v>1002</v>
      </c>
      <c r="AM35" s="3664"/>
      <c r="AN35" s="3691"/>
      <c r="AO35" s="3691">
        <f t="shared" si="25"/>
        <v>1002</v>
      </c>
      <c r="AP35" s="3691"/>
      <c r="AQ35" s="4089"/>
      <c r="AR35" s="907"/>
      <c r="AS35" s="4089">
        <f t="shared" si="23"/>
        <v>1002</v>
      </c>
      <c r="AT35" s="907"/>
      <c r="AU35" s="4089"/>
      <c r="AV35" s="4089"/>
      <c r="AW35" s="4089"/>
      <c r="AX35" s="4089"/>
      <c r="AY35" s="4089"/>
      <c r="AZ35" s="4089"/>
      <c r="BA35" s="4089"/>
      <c r="BB35" s="4089"/>
      <c r="BC35" s="4089"/>
      <c r="BD35" s="4089"/>
      <c r="BE35" s="4089"/>
      <c r="BF35" s="4089" t="s">
        <v>89</v>
      </c>
      <c r="BG35" s="4089"/>
      <c r="BH35" s="4089">
        <f t="shared" si="15"/>
        <v>167</v>
      </c>
      <c r="BI35" s="4089">
        <f t="shared" si="16"/>
        <v>167</v>
      </c>
      <c r="BJ35" s="4089">
        <f t="shared" si="17"/>
        <v>167</v>
      </c>
      <c r="BK35" s="4089">
        <f t="shared" si="18"/>
        <v>167</v>
      </c>
      <c r="BL35" s="4089">
        <f t="shared" si="19"/>
        <v>167</v>
      </c>
      <c r="BM35" s="4089">
        <f t="shared" si="20"/>
        <v>133.6</v>
      </c>
      <c r="BN35" s="4089">
        <f t="shared" si="12"/>
        <v>33.4</v>
      </c>
      <c r="BO35" s="4382"/>
      <c r="BP35" s="4382"/>
      <c r="BQ35" s="4382"/>
      <c r="BR35" s="4382"/>
      <c r="BS35" s="4382"/>
      <c r="BT35" s="4383"/>
      <c r="BU35" s="4384"/>
      <c r="BV35" s="4385">
        <f t="shared" si="0"/>
        <v>1002</v>
      </c>
      <c r="BW35" s="4386">
        <f t="shared" si="10"/>
        <v>0</v>
      </c>
      <c r="BX35" s="4387"/>
      <c r="BY35" s="4387"/>
      <c r="BZ35" s="4387"/>
      <c r="CA35" s="4391"/>
      <c r="CC35" s="4392"/>
      <c r="CD35" s="4391"/>
    </row>
    <row r="36" s="4025" customFormat="1" ht="50" customHeight="1" spans="1:82">
      <c r="A36" s="3688">
        <v>45618</v>
      </c>
      <c r="B36" s="3664" t="s">
        <v>1331</v>
      </c>
      <c r="C36" s="3664" t="s">
        <v>1332</v>
      </c>
      <c r="D36" s="3691">
        <v>4500152087</v>
      </c>
      <c r="E36" s="3664" t="s">
        <v>2747</v>
      </c>
      <c r="F36" s="3691" t="s">
        <v>2748</v>
      </c>
      <c r="G36" s="3664" t="s">
        <v>2577</v>
      </c>
      <c r="H36" s="3664" t="s">
        <v>2578</v>
      </c>
      <c r="I36" s="3691">
        <v>504</v>
      </c>
      <c r="J36" s="3691">
        <v>0</v>
      </c>
      <c r="K36" s="3691">
        <v>12</v>
      </c>
      <c r="L36" s="3691">
        <f t="shared" si="21"/>
        <v>42</v>
      </c>
      <c r="M36" s="3659">
        <v>45660</v>
      </c>
      <c r="N36" s="3659">
        <v>45657</v>
      </c>
      <c r="O36" s="4085"/>
      <c r="P36" s="3682" t="s">
        <v>82</v>
      </c>
      <c r="Q36" s="3682"/>
      <c r="R36" s="4083"/>
      <c r="S36" s="4083"/>
      <c r="T36" s="4083"/>
      <c r="U36" s="3645" t="s">
        <v>110</v>
      </c>
      <c r="V36" s="3657" t="s">
        <v>384</v>
      </c>
      <c r="W36" s="3657"/>
      <c r="X36" s="3657" t="s">
        <v>2749</v>
      </c>
      <c r="Y36" s="3657"/>
      <c r="Z36" s="3661"/>
      <c r="AA36" s="3620" t="s">
        <v>2750</v>
      </c>
      <c r="AB36" s="3691" t="s">
        <v>459</v>
      </c>
      <c r="AC36" s="3691">
        <v>2.1891</v>
      </c>
      <c r="AD36" s="3691">
        <f t="shared" si="24"/>
        <v>1103.3064</v>
      </c>
      <c r="AE36" s="4098" t="s">
        <v>2751</v>
      </c>
      <c r="AF36" s="3664" t="s">
        <v>2577</v>
      </c>
      <c r="AG36" s="3645" t="s">
        <v>416</v>
      </c>
      <c r="AH36" s="905"/>
      <c r="AI36" s="3691">
        <f>I36</f>
        <v>504</v>
      </c>
      <c r="AJ36" s="3691"/>
      <c r="AK36" s="905"/>
      <c r="AL36" s="3664"/>
      <c r="AM36" s="3664"/>
      <c r="AN36" s="3691"/>
      <c r="AO36" s="3691">
        <f t="shared" si="25"/>
        <v>504</v>
      </c>
      <c r="AP36" s="3691"/>
      <c r="AQ36" s="4089"/>
      <c r="AR36" s="877"/>
      <c r="AS36" s="4089">
        <f t="shared" si="23"/>
        <v>504</v>
      </c>
      <c r="AT36" s="877"/>
      <c r="AU36" s="4089"/>
      <c r="AV36" s="4089">
        <f>I36/6</f>
        <v>84</v>
      </c>
      <c r="AW36" s="4089"/>
      <c r="AX36" s="4089"/>
      <c r="AY36" s="4089"/>
      <c r="AZ36" s="4089"/>
      <c r="BA36" s="4089"/>
      <c r="BB36" s="4089"/>
      <c r="BC36" s="4089"/>
      <c r="BD36" s="4089"/>
      <c r="BE36" s="4089"/>
      <c r="BF36" s="4089" t="s">
        <v>89</v>
      </c>
      <c r="BG36" s="4089"/>
      <c r="BH36" s="4089">
        <f t="shared" si="15"/>
        <v>84</v>
      </c>
      <c r="BI36" s="4089">
        <f t="shared" si="16"/>
        <v>84</v>
      </c>
      <c r="BJ36" s="4089">
        <f t="shared" si="17"/>
        <v>84</v>
      </c>
      <c r="BK36" s="4089">
        <f t="shared" si="18"/>
        <v>84</v>
      </c>
      <c r="BL36" s="4089">
        <f t="shared" si="19"/>
        <v>84</v>
      </c>
      <c r="BM36" s="4089">
        <f t="shared" si="20"/>
        <v>67.2</v>
      </c>
      <c r="BN36" s="4089">
        <f t="shared" si="12"/>
        <v>16.8</v>
      </c>
      <c r="BO36" s="878"/>
      <c r="BP36" s="878"/>
      <c r="BQ36" s="878"/>
      <c r="BR36" s="878"/>
      <c r="BS36" s="878"/>
      <c r="BT36" s="879"/>
      <c r="BU36" s="4384"/>
      <c r="BV36" s="4385">
        <f t="shared" si="0"/>
        <v>504</v>
      </c>
      <c r="BW36" s="4386">
        <f t="shared" si="10"/>
        <v>0</v>
      </c>
      <c r="BX36" s="4387"/>
      <c r="BY36" s="4387"/>
      <c r="BZ36" s="4387"/>
      <c r="CA36" s="4391"/>
      <c r="CC36" s="4392"/>
      <c r="CD36" s="4391"/>
    </row>
    <row r="37" s="4025" customFormat="1" ht="50" customHeight="1" spans="1:82">
      <c r="A37" s="3688">
        <v>45625</v>
      </c>
      <c r="B37" s="3664" t="s">
        <v>461</v>
      </c>
      <c r="C37" s="3664" t="s">
        <v>341</v>
      </c>
      <c r="D37" s="3691">
        <v>4500152937</v>
      </c>
      <c r="E37" s="3664" t="s">
        <v>2752</v>
      </c>
      <c r="F37" s="3664" t="s">
        <v>2753</v>
      </c>
      <c r="G37" s="3664" t="s">
        <v>2719</v>
      </c>
      <c r="H37" s="3664" t="s">
        <v>2591</v>
      </c>
      <c r="I37" s="3691">
        <v>3000</v>
      </c>
      <c r="J37" s="3691">
        <v>0</v>
      </c>
      <c r="K37" s="3691">
        <v>6</v>
      </c>
      <c r="L37" s="3691">
        <f t="shared" si="21"/>
        <v>500</v>
      </c>
      <c r="M37" s="3659">
        <v>45660</v>
      </c>
      <c r="N37" s="3659">
        <v>45656</v>
      </c>
      <c r="O37" s="4085"/>
      <c r="P37" s="3682" t="s">
        <v>82</v>
      </c>
      <c r="Q37" s="3682"/>
      <c r="R37" s="4083"/>
      <c r="S37" s="4083"/>
      <c r="T37" s="4083"/>
      <c r="U37" s="3645" t="s">
        <v>455</v>
      </c>
      <c r="V37" s="3657" t="s">
        <v>465</v>
      </c>
      <c r="W37" s="3657"/>
      <c r="X37" s="3657" t="s">
        <v>98</v>
      </c>
      <c r="Y37" s="3657" t="s">
        <v>385</v>
      </c>
      <c r="Z37" s="3661"/>
      <c r="AA37" s="3620" t="s">
        <v>2754</v>
      </c>
      <c r="AB37" s="3691" t="s">
        <v>348</v>
      </c>
      <c r="AC37" s="3691">
        <v>2.1403</v>
      </c>
      <c r="AD37" s="3691">
        <f t="shared" si="24"/>
        <v>6420.9</v>
      </c>
      <c r="AE37" s="4098" t="s">
        <v>467</v>
      </c>
      <c r="AF37" s="3691" t="s">
        <v>2744</v>
      </c>
      <c r="AG37" s="3645" t="s">
        <v>416</v>
      </c>
      <c r="AH37" s="905"/>
      <c r="AI37" s="3664"/>
      <c r="AJ37" s="3664"/>
      <c r="AK37" s="905"/>
      <c r="AL37" s="3664">
        <f>I37</f>
        <v>3000</v>
      </c>
      <c r="AM37" s="3664"/>
      <c r="AN37" s="3691"/>
      <c r="AO37" s="3691">
        <f t="shared" si="25"/>
        <v>3000</v>
      </c>
      <c r="AP37" s="3691"/>
      <c r="AQ37" s="4089"/>
      <c r="AR37" s="907"/>
      <c r="AS37" s="4089">
        <f t="shared" si="23"/>
        <v>3000</v>
      </c>
      <c r="AT37" s="907"/>
      <c r="AU37" s="4089"/>
      <c r="AV37" s="4089"/>
      <c r="AW37" s="4089"/>
      <c r="AX37" s="4089"/>
      <c r="AY37" s="4089"/>
      <c r="AZ37" s="4089"/>
      <c r="BA37" s="4089"/>
      <c r="BB37" s="4089"/>
      <c r="BC37" s="4089"/>
      <c r="BD37" s="4089"/>
      <c r="BE37" s="4089"/>
      <c r="BF37" s="4089" t="s">
        <v>89</v>
      </c>
      <c r="BG37" s="4089"/>
      <c r="BH37" s="4089">
        <f t="shared" si="15"/>
        <v>500</v>
      </c>
      <c r="BI37" s="4089">
        <f t="shared" si="16"/>
        <v>500</v>
      </c>
      <c r="BJ37" s="4089">
        <f t="shared" si="17"/>
        <v>500</v>
      </c>
      <c r="BK37" s="4089">
        <f t="shared" si="18"/>
        <v>500</v>
      </c>
      <c r="BL37" s="4089">
        <f t="shared" si="19"/>
        <v>500</v>
      </c>
      <c r="BM37" s="4089">
        <f t="shared" si="20"/>
        <v>400</v>
      </c>
      <c r="BN37" s="4089">
        <f t="shared" si="12"/>
        <v>100</v>
      </c>
      <c r="BO37" s="4382"/>
      <c r="BP37" s="4382"/>
      <c r="BQ37" s="4382"/>
      <c r="BR37" s="4382"/>
      <c r="BS37" s="4382"/>
      <c r="BT37" s="4383"/>
      <c r="BU37" s="4384"/>
      <c r="BV37" s="4385">
        <f t="shared" si="0"/>
        <v>3000</v>
      </c>
      <c r="BW37" s="4386">
        <f t="shared" si="10"/>
        <v>0</v>
      </c>
      <c r="BX37" s="4387"/>
      <c r="BY37" s="4387"/>
      <c r="BZ37" s="4387"/>
      <c r="CA37" s="4391"/>
      <c r="CC37" s="4392"/>
      <c r="CD37" s="4391"/>
    </row>
    <row r="38" s="4025" customFormat="1" ht="50" customHeight="1" spans="1:82">
      <c r="A38" s="3688">
        <v>45597</v>
      </c>
      <c r="B38" s="3664" t="s">
        <v>2755</v>
      </c>
      <c r="C38" s="3664" t="s">
        <v>2756</v>
      </c>
      <c r="D38" s="3691">
        <v>4500149882</v>
      </c>
      <c r="E38" s="3664" t="s">
        <v>2757</v>
      </c>
      <c r="F38" s="3664" t="s">
        <v>2758</v>
      </c>
      <c r="G38" s="3664" t="s">
        <v>2577</v>
      </c>
      <c r="H38" s="3664" t="s">
        <v>2578</v>
      </c>
      <c r="I38" s="3691">
        <v>1200</v>
      </c>
      <c r="J38" s="3691">
        <v>0</v>
      </c>
      <c r="K38" s="3691">
        <v>12</v>
      </c>
      <c r="L38" s="3691">
        <f t="shared" si="21"/>
        <v>100</v>
      </c>
      <c r="M38" s="3659">
        <v>45662</v>
      </c>
      <c r="N38" s="3659">
        <v>45658</v>
      </c>
      <c r="O38" s="4085"/>
      <c r="P38" s="3682" t="s">
        <v>82</v>
      </c>
      <c r="Q38" s="3682"/>
      <c r="R38" s="4083"/>
      <c r="S38" s="4083"/>
      <c r="T38" s="4083"/>
      <c r="U38" s="3645" t="s">
        <v>427</v>
      </c>
      <c r="V38" s="3657" t="s">
        <v>2759</v>
      </c>
      <c r="W38" s="3657"/>
      <c r="X38" s="3657" t="s">
        <v>2760</v>
      </c>
      <c r="Y38" s="3657"/>
      <c r="Z38" s="3661"/>
      <c r="AA38" s="3620" t="s">
        <v>2761</v>
      </c>
      <c r="AB38" s="3691" t="s">
        <v>2762</v>
      </c>
      <c r="AC38" s="3691">
        <v>2.1844</v>
      </c>
      <c r="AD38" s="3691">
        <f t="shared" si="24"/>
        <v>2621.28</v>
      </c>
      <c r="AE38" s="4098" t="s">
        <v>2763</v>
      </c>
      <c r="AF38" s="3664" t="s">
        <v>2604</v>
      </c>
      <c r="AG38" s="3645" t="s">
        <v>416</v>
      </c>
      <c r="AH38" s="905"/>
      <c r="AI38" s="3664"/>
      <c r="AJ38" s="3664"/>
      <c r="AK38" s="905"/>
      <c r="AL38" s="3664">
        <f>I38</f>
        <v>1200</v>
      </c>
      <c r="AM38" s="3664"/>
      <c r="AN38" s="3691"/>
      <c r="AO38" s="3691">
        <f t="shared" si="25"/>
        <v>1200</v>
      </c>
      <c r="AP38" s="3691"/>
      <c r="AQ38" s="4089"/>
      <c r="AR38" s="907"/>
      <c r="AS38" s="4089">
        <f t="shared" si="23"/>
        <v>1200</v>
      </c>
      <c r="AT38" s="907"/>
      <c r="AU38" s="4089"/>
      <c r="AV38" s="4089">
        <f>I38/6</f>
        <v>200</v>
      </c>
      <c r="AW38" s="4089"/>
      <c r="AX38" s="4089"/>
      <c r="AY38" s="4089"/>
      <c r="AZ38" s="4089"/>
      <c r="BA38" s="4089"/>
      <c r="BB38" s="4089"/>
      <c r="BC38" s="4089"/>
      <c r="BD38" s="4089"/>
      <c r="BE38" s="4089"/>
      <c r="BF38" s="4089" t="s">
        <v>89</v>
      </c>
      <c r="BG38" s="4089"/>
      <c r="BH38" s="4089">
        <f t="shared" si="15"/>
        <v>200</v>
      </c>
      <c r="BI38" s="4089">
        <f t="shared" si="16"/>
        <v>200</v>
      </c>
      <c r="BJ38" s="4089">
        <f t="shared" si="17"/>
        <v>200</v>
      </c>
      <c r="BK38" s="4089">
        <f t="shared" si="18"/>
        <v>200</v>
      </c>
      <c r="BL38" s="4089">
        <f t="shared" si="19"/>
        <v>200</v>
      </c>
      <c r="BM38" s="4089">
        <f t="shared" si="20"/>
        <v>160</v>
      </c>
      <c r="BN38" s="4089">
        <f t="shared" si="12"/>
        <v>40</v>
      </c>
      <c r="BO38" s="4382"/>
      <c r="BP38" s="4382"/>
      <c r="BQ38" s="4382"/>
      <c r="BR38" s="4382"/>
      <c r="BS38" s="4382"/>
      <c r="BT38" s="4383"/>
      <c r="BU38" s="4384"/>
      <c r="BV38" s="4385">
        <f t="shared" si="0"/>
        <v>1200</v>
      </c>
      <c r="BW38" s="4386">
        <f t="shared" si="10"/>
        <v>0</v>
      </c>
      <c r="BX38" s="4387"/>
      <c r="BY38" s="4387"/>
      <c r="BZ38" s="4387"/>
      <c r="CA38" s="4391"/>
      <c r="CC38" s="4392"/>
      <c r="CD38" s="4391"/>
    </row>
    <row r="39" s="4025" customFormat="1" ht="50" customHeight="1" spans="1:82">
      <c r="A39" s="3688">
        <v>45614</v>
      </c>
      <c r="B39" s="3664" t="s">
        <v>493</v>
      </c>
      <c r="C39" s="3664" t="s">
        <v>91</v>
      </c>
      <c r="D39" s="3691">
        <v>4500151472</v>
      </c>
      <c r="E39" s="3664" t="s">
        <v>2764</v>
      </c>
      <c r="F39" s="3691" t="s">
        <v>2765</v>
      </c>
      <c r="G39" s="3664" t="s">
        <v>2719</v>
      </c>
      <c r="H39" s="3664" t="s">
        <v>2591</v>
      </c>
      <c r="I39" s="3691">
        <v>3000</v>
      </c>
      <c r="J39" s="3691">
        <v>0</v>
      </c>
      <c r="K39" s="3691">
        <v>6</v>
      </c>
      <c r="L39" s="3691">
        <f t="shared" si="21"/>
        <v>500</v>
      </c>
      <c r="M39" s="3659">
        <v>45663</v>
      </c>
      <c r="N39" s="3659">
        <v>45659</v>
      </c>
      <c r="O39" s="4085"/>
      <c r="P39" s="3682" t="s">
        <v>82</v>
      </c>
      <c r="Q39" s="3682"/>
      <c r="R39" s="4083"/>
      <c r="S39" s="4083"/>
      <c r="T39" s="4083"/>
      <c r="U39" s="3645"/>
      <c r="V39" s="3657" t="s">
        <v>497</v>
      </c>
      <c r="W39" s="3657"/>
      <c r="X39" s="3657" t="s">
        <v>498</v>
      </c>
      <c r="Y39" s="3657"/>
      <c r="Z39" s="3661"/>
      <c r="AA39" s="3620" t="s">
        <v>499</v>
      </c>
      <c r="AB39" s="3691" t="s">
        <v>500</v>
      </c>
      <c r="AC39" s="3691">
        <v>2.1403</v>
      </c>
      <c r="AD39" s="3691">
        <f t="shared" si="24"/>
        <v>6420.9</v>
      </c>
      <c r="AE39" s="4098" t="s">
        <v>501</v>
      </c>
      <c r="AF39" s="3664" t="s">
        <v>2719</v>
      </c>
      <c r="AG39" s="3645" t="s">
        <v>416</v>
      </c>
      <c r="AH39" s="905"/>
      <c r="AI39" s="3664">
        <f>I39</f>
        <v>3000</v>
      </c>
      <c r="AJ39" s="3664"/>
      <c r="AK39" s="905"/>
      <c r="AL39" s="3664"/>
      <c r="AM39" s="3664"/>
      <c r="AN39" s="3691"/>
      <c r="AO39" s="3691">
        <f t="shared" si="25"/>
        <v>3000</v>
      </c>
      <c r="AP39" s="3691"/>
      <c r="AQ39" s="4089"/>
      <c r="AR39" s="877"/>
      <c r="AS39" s="4089">
        <f t="shared" si="23"/>
        <v>3000</v>
      </c>
      <c r="AT39" s="877"/>
      <c r="AU39" s="4089"/>
      <c r="AV39" s="4089"/>
      <c r="AW39" s="4089"/>
      <c r="AX39" s="4089"/>
      <c r="AY39" s="4089"/>
      <c r="AZ39" s="4089"/>
      <c r="BA39" s="4089"/>
      <c r="BB39" s="4089"/>
      <c r="BC39" s="4089"/>
      <c r="BD39" s="4089"/>
      <c r="BE39" s="4089"/>
      <c r="BF39" s="4089" t="s">
        <v>89</v>
      </c>
      <c r="BG39" s="4089"/>
      <c r="BH39" s="4089">
        <f t="shared" si="15"/>
        <v>500</v>
      </c>
      <c r="BI39" s="4089">
        <f t="shared" si="16"/>
        <v>500</v>
      </c>
      <c r="BJ39" s="4089">
        <f t="shared" si="17"/>
        <v>500</v>
      </c>
      <c r="BK39" s="4089">
        <f t="shared" si="18"/>
        <v>500</v>
      </c>
      <c r="BL39" s="4089">
        <f t="shared" si="19"/>
        <v>500</v>
      </c>
      <c r="BM39" s="4089">
        <f t="shared" si="20"/>
        <v>400</v>
      </c>
      <c r="BN39" s="4089">
        <f t="shared" si="12"/>
        <v>100</v>
      </c>
      <c r="BO39" s="878"/>
      <c r="BP39" s="878"/>
      <c r="BQ39" s="878"/>
      <c r="BR39" s="878"/>
      <c r="BS39" s="878"/>
      <c r="BT39" s="879"/>
      <c r="BU39" s="4384"/>
      <c r="BV39" s="4385">
        <f t="shared" si="0"/>
        <v>3000</v>
      </c>
      <c r="BW39" s="4386">
        <f t="shared" si="10"/>
        <v>0</v>
      </c>
      <c r="BX39" s="4387"/>
      <c r="BY39" s="4387"/>
      <c r="BZ39" s="4387"/>
      <c r="CA39" s="4391"/>
      <c r="CC39" s="4392"/>
      <c r="CD39" s="4391"/>
    </row>
    <row r="40" s="4025" customFormat="1" ht="50" customHeight="1" spans="1:82">
      <c r="A40" s="3688">
        <v>45614</v>
      </c>
      <c r="B40" s="3664" t="s">
        <v>493</v>
      </c>
      <c r="C40" s="3664" t="s">
        <v>91</v>
      </c>
      <c r="D40" s="3691">
        <v>4500151472</v>
      </c>
      <c r="E40" s="3664" t="s">
        <v>2766</v>
      </c>
      <c r="F40" s="3691" t="s">
        <v>2767</v>
      </c>
      <c r="G40" s="3664" t="s">
        <v>2719</v>
      </c>
      <c r="H40" s="3664" t="s">
        <v>2591</v>
      </c>
      <c r="I40" s="3691">
        <v>4800</v>
      </c>
      <c r="J40" s="3691">
        <v>0</v>
      </c>
      <c r="K40" s="3691">
        <v>6</v>
      </c>
      <c r="L40" s="3691">
        <f t="shared" si="21"/>
        <v>800</v>
      </c>
      <c r="M40" s="3659">
        <v>45663</v>
      </c>
      <c r="N40" s="3659">
        <v>45659</v>
      </c>
      <c r="O40" s="4085"/>
      <c r="P40" s="3682" t="s">
        <v>82</v>
      </c>
      <c r="Q40" s="3682"/>
      <c r="R40" s="4083"/>
      <c r="S40" s="4083"/>
      <c r="T40" s="4083"/>
      <c r="U40" s="3645"/>
      <c r="V40" s="3657" t="s">
        <v>497</v>
      </c>
      <c r="W40" s="3657"/>
      <c r="X40" s="3657" t="s">
        <v>498</v>
      </c>
      <c r="Y40" s="3657"/>
      <c r="Z40" s="3661"/>
      <c r="AA40" s="3620" t="s">
        <v>499</v>
      </c>
      <c r="AB40" s="3691" t="s">
        <v>500</v>
      </c>
      <c r="AC40" s="3691">
        <v>2.1403</v>
      </c>
      <c r="AD40" s="3691">
        <f t="shared" si="24"/>
        <v>10273.44</v>
      </c>
      <c r="AE40" s="4098" t="s">
        <v>504</v>
      </c>
      <c r="AF40" s="3664" t="s">
        <v>2719</v>
      </c>
      <c r="AG40" s="3645" t="s">
        <v>416</v>
      </c>
      <c r="AH40" s="905"/>
      <c r="AI40" s="3664">
        <f>I40</f>
        <v>4800</v>
      </c>
      <c r="AJ40" s="3664"/>
      <c r="AK40" s="905"/>
      <c r="AL40" s="3664"/>
      <c r="AM40" s="3664"/>
      <c r="AN40" s="3691"/>
      <c r="AO40" s="3691">
        <f t="shared" si="25"/>
        <v>4800</v>
      </c>
      <c r="AP40" s="3691"/>
      <c r="AQ40" s="4089"/>
      <c r="AR40" s="877"/>
      <c r="AS40" s="4089">
        <f t="shared" si="23"/>
        <v>4800</v>
      </c>
      <c r="AT40" s="877"/>
      <c r="AU40" s="4089"/>
      <c r="AV40" s="4089"/>
      <c r="AW40" s="4089"/>
      <c r="AX40" s="4089"/>
      <c r="AY40" s="4089"/>
      <c r="AZ40" s="4089"/>
      <c r="BA40" s="4089"/>
      <c r="BB40" s="4089"/>
      <c r="BC40" s="4089"/>
      <c r="BD40" s="4089"/>
      <c r="BE40" s="4089"/>
      <c r="BF40" s="4089" t="s">
        <v>89</v>
      </c>
      <c r="BG40" s="4089"/>
      <c r="BH40" s="4089">
        <f t="shared" si="15"/>
        <v>800</v>
      </c>
      <c r="BI40" s="4089">
        <f t="shared" si="16"/>
        <v>800</v>
      </c>
      <c r="BJ40" s="4089">
        <f t="shared" si="17"/>
        <v>800</v>
      </c>
      <c r="BK40" s="4089">
        <f t="shared" si="18"/>
        <v>800</v>
      </c>
      <c r="BL40" s="4089">
        <f t="shared" si="19"/>
        <v>800</v>
      </c>
      <c r="BM40" s="4089">
        <f t="shared" si="20"/>
        <v>640</v>
      </c>
      <c r="BN40" s="4089">
        <f t="shared" si="12"/>
        <v>160</v>
      </c>
      <c r="BO40" s="878"/>
      <c r="BP40" s="878"/>
      <c r="BQ40" s="878"/>
      <c r="BR40" s="878"/>
      <c r="BS40" s="878"/>
      <c r="BT40" s="879"/>
      <c r="BU40" s="4384"/>
      <c r="BV40" s="4385">
        <f t="shared" si="0"/>
        <v>4800</v>
      </c>
      <c r="BW40" s="4386">
        <f t="shared" si="10"/>
        <v>0</v>
      </c>
      <c r="BX40" s="4387"/>
      <c r="BY40" s="4387"/>
      <c r="BZ40" s="4387"/>
      <c r="CA40" s="4391"/>
      <c r="CC40" s="4392"/>
      <c r="CD40" s="4391"/>
    </row>
    <row r="41" s="4025" customFormat="1" ht="50" customHeight="1" spans="1:82">
      <c r="A41" s="3688">
        <v>45622</v>
      </c>
      <c r="B41" s="3664" t="s">
        <v>523</v>
      </c>
      <c r="C41" s="3664" t="s">
        <v>524</v>
      </c>
      <c r="D41" s="3691">
        <v>4500152326</v>
      </c>
      <c r="E41" s="3664"/>
      <c r="F41" s="3691" t="s">
        <v>2768</v>
      </c>
      <c r="G41" s="3664" t="s">
        <v>2577</v>
      </c>
      <c r="H41" s="3664" t="s">
        <v>2578</v>
      </c>
      <c r="I41" s="3691">
        <v>360</v>
      </c>
      <c r="J41" s="3691">
        <v>0</v>
      </c>
      <c r="K41" s="3691">
        <v>12</v>
      </c>
      <c r="L41" s="3691">
        <f t="shared" si="21"/>
        <v>30</v>
      </c>
      <c r="M41" s="3659">
        <v>45663</v>
      </c>
      <c r="N41" s="3659">
        <v>45659</v>
      </c>
      <c r="O41" s="4085"/>
      <c r="P41" s="3682" t="s">
        <v>82</v>
      </c>
      <c r="Q41" s="3682"/>
      <c r="R41" s="4083"/>
      <c r="S41" s="4083"/>
      <c r="T41" s="4083"/>
      <c r="U41" s="3645" t="s">
        <v>116</v>
      </c>
      <c r="V41" s="3645" t="s">
        <v>526</v>
      </c>
      <c r="W41" s="3657"/>
      <c r="X41" s="3657" t="s">
        <v>527</v>
      </c>
      <c r="Y41" s="3657"/>
      <c r="Z41" s="3661"/>
      <c r="AA41" s="3620" t="s">
        <v>2769</v>
      </c>
      <c r="AB41" s="3691" t="s">
        <v>459</v>
      </c>
      <c r="AC41" s="3691">
        <v>2.1891</v>
      </c>
      <c r="AD41" s="3691">
        <f t="shared" si="24"/>
        <v>788.076</v>
      </c>
      <c r="AE41" s="4098" t="s">
        <v>529</v>
      </c>
      <c r="AF41" s="3664" t="s">
        <v>2604</v>
      </c>
      <c r="AG41" s="3645" t="s">
        <v>416</v>
      </c>
      <c r="AH41" s="905"/>
      <c r="AI41" s="3664"/>
      <c r="AJ41" s="3664"/>
      <c r="AK41" s="4398"/>
      <c r="AL41" s="3664">
        <f>I41</f>
        <v>360</v>
      </c>
      <c r="AM41" s="3664"/>
      <c r="AN41" s="3691"/>
      <c r="AO41" s="3691">
        <f t="shared" si="25"/>
        <v>360</v>
      </c>
      <c r="AP41" s="3691"/>
      <c r="AQ41" s="4089"/>
      <c r="AR41" s="877"/>
      <c r="AS41" s="4089">
        <f t="shared" si="23"/>
        <v>360</v>
      </c>
      <c r="AT41" s="877"/>
      <c r="AU41" s="4089"/>
      <c r="AV41" s="4089">
        <f>I41/6</f>
        <v>60</v>
      </c>
      <c r="AW41" s="4089"/>
      <c r="AX41" s="4089"/>
      <c r="AY41" s="4089"/>
      <c r="AZ41" s="4089"/>
      <c r="BA41" s="4089"/>
      <c r="BB41" s="4089"/>
      <c r="BC41" s="4089"/>
      <c r="BD41" s="4089"/>
      <c r="BE41" s="4089"/>
      <c r="BF41" s="4089" t="s">
        <v>89</v>
      </c>
      <c r="BG41" s="4089"/>
      <c r="BH41" s="4089">
        <f t="shared" si="15"/>
        <v>60</v>
      </c>
      <c r="BI41" s="4089">
        <f t="shared" si="16"/>
        <v>60</v>
      </c>
      <c r="BJ41" s="4089">
        <f t="shared" si="17"/>
        <v>60</v>
      </c>
      <c r="BK41" s="4089">
        <f t="shared" si="18"/>
        <v>60</v>
      </c>
      <c r="BL41" s="4089">
        <f t="shared" si="19"/>
        <v>60</v>
      </c>
      <c r="BM41" s="4089">
        <f t="shared" si="20"/>
        <v>48</v>
      </c>
      <c r="BN41" s="4089">
        <f t="shared" si="12"/>
        <v>12</v>
      </c>
      <c r="BO41" s="878"/>
      <c r="BP41" s="878"/>
      <c r="BQ41" s="878"/>
      <c r="BR41" s="878"/>
      <c r="BS41" s="878"/>
      <c r="BT41" s="879"/>
      <c r="BU41" s="4384"/>
      <c r="BV41" s="4385">
        <f t="shared" si="0"/>
        <v>360</v>
      </c>
      <c r="BW41" s="4386">
        <f t="shared" si="10"/>
        <v>0</v>
      </c>
      <c r="BX41" s="4387"/>
      <c r="BY41" s="4387"/>
      <c r="BZ41" s="4387"/>
      <c r="CA41" s="4391"/>
      <c r="CC41" s="4392"/>
      <c r="CD41" s="4391"/>
    </row>
    <row r="42" s="4025" customFormat="1" ht="50" customHeight="1" spans="1:82">
      <c r="A42" s="3688">
        <v>45617</v>
      </c>
      <c r="B42" s="3664" t="s">
        <v>2770</v>
      </c>
      <c r="C42" s="3664" t="s">
        <v>2723</v>
      </c>
      <c r="D42" s="3691">
        <v>4500151910</v>
      </c>
      <c r="E42" s="3664">
        <v>4500054548</v>
      </c>
      <c r="F42" s="3664" t="s">
        <v>2771</v>
      </c>
      <c r="G42" s="3664" t="s">
        <v>2577</v>
      </c>
      <c r="H42" s="3664" t="s">
        <v>2578</v>
      </c>
      <c r="I42" s="3691">
        <v>1584</v>
      </c>
      <c r="J42" s="3691">
        <v>0</v>
      </c>
      <c r="K42" s="3691">
        <v>12</v>
      </c>
      <c r="L42" s="3691">
        <v>132</v>
      </c>
      <c r="M42" s="3659">
        <v>45663</v>
      </c>
      <c r="N42" s="3659">
        <v>45659</v>
      </c>
      <c r="O42" s="4085"/>
      <c r="P42" s="3682" t="s">
        <v>82</v>
      </c>
      <c r="Q42" s="3682"/>
      <c r="R42" s="4083"/>
      <c r="S42" s="4083"/>
      <c r="T42" s="4083"/>
      <c r="U42" s="3645"/>
      <c r="V42" s="3657" t="s">
        <v>2299</v>
      </c>
      <c r="W42" s="3657"/>
      <c r="X42" s="3657" t="s">
        <v>2772</v>
      </c>
      <c r="Y42" s="3657"/>
      <c r="Z42" s="3661"/>
      <c r="AA42" s="3620" t="s">
        <v>2773</v>
      </c>
      <c r="AB42" s="3691" t="s">
        <v>1771</v>
      </c>
      <c r="AC42" s="3691">
        <v>2.1329</v>
      </c>
      <c r="AD42" s="3691">
        <v>3378.5136</v>
      </c>
      <c r="AE42" s="4098" t="s">
        <v>2774</v>
      </c>
      <c r="AF42" s="3664" t="s">
        <v>2604</v>
      </c>
      <c r="AG42" s="3645" t="s">
        <v>416</v>
      </c>
      <c r="AH42" s="905"/>
      <c r="AI42" s="3691"/>
      <c r="AJ42" s="3691"/>
      <c r="AK42" s="905"/>
      <c r="AL42" s="3664">
        <f>I42</f>
        <v>1584</v>
      </c>
      <c r="AM42" s="3664"/>
      <c r="AN42" s="3691"/>
      <c r="AO42" s="3691">
        <f t="shared" si="25"/>
        <v>1584</v>
      </c>
      <c r="AP42" s="3691"/>
      <c r="AQ42" s="4089"/>
      <c r="AR42" s="4397"/>
      <c r="AS42" s="4089">
        <f t="shared" si="23"/>
        <v>1584</v>
      </c>
      <c r="AT42" s="4397"/>
      <c r="AU42" s="4089"/>
      <c r="AV42" s="4089">
        <f>I42/6</f>
        <v>264</v>
      </c>
      <c r="AW42" s="4089"/>
      <c r="AX42" s="4089"/>
      <c r="AY42" s="4089"/>
      <c r="AZ42" s="4089"/>
      <c r="BA42" s="4089"/>
      <c r="BB42" s="4089"/>
      <c r="BC42" s="4089"/>
      <c r="BD42" s="4089"/>
      <c r="BE42" s="4089"/>
      <c r="BF42" s="4089" t="s">
        <v>89</v>
      </c>
      <c r="BG42" s="4089"/>
      <c r="BH42" s="4089">
        <f t="shared" si="15"/>
        <v>264</v>
      </c>
      <c r="BI42" s="4089">
        <f t="shared" si="16"/>
        <v>264</v>
      </c>
      <c r="BJ42" s="4089">
        <f t="shared" si="17"/>
        <v>264</v>
      </c>
      <c r="BK42" s="4089">
        <f t="shared" si="18"/>
        <v>264</v>
      </c>
      <c r="BL42" s="4089">
        <f t="shared" si="19"/>
        <v>264</v>
      </c>
      <c r="BM42" s="4089">
        <f t="shared" si="20"/>
        <v>211.2</v>
      </c>
      <c r="BN42" s="4089">
        <f t="shared" si="12"/>
        <v>52.8</v>
      </c>
      <c r="BO42" s="4333"/>
      <c r="BP42" s="4333"/>
      <c r="BQ42" s="4333"/>
      <c r="BR42" s="4333"/>
      <c r="BS42" s="4333"/>
      <c r="BT42" s="4333"/>
      <c r="BU42" s="4384"/>
      <c r="BV42" s="4385">
        <f t="shared" si="0"/>
        <v>1584</v>
      </c>
      <c r="BW42" s="4386">
        <f t="shared" si="10"/>
        <v>0</v>
      </c>
      <c r="BX42" s="4387"/>
      <c r="BY42" s="4387"/>
      <c r="BZ42" s="4387"/>
      <c r="CA42" s="4391"/>
      <c r="CC42" s="4392"/>
      <c r="CD42" s="4391"/>
    </row>
    <row r="43" s="4025" customFormat="1" ht="50" customHeight="1" spans="1:82">
      <c r="A43" s="3688">
        <v>45624</v>
      </c>
      <c r="B43" s="3664" t="s">
        <v>2775</v>
      </c>
      <c r="C43" s="3664" t="s">
        <v>2776</v>
      </c>
      <c r="D43" s="3691">
        <v>4500152720</v>
      </c>
      <c r="E43" s="3664"/>
      <c r="F43" s="3664" t="s">
        <v>2777</v>
      </c>
      <c r="G43" s="3664" t="s">
        <v>2577</v>
      </c>
      <c r="H43" s="3664" t="s">
        <v>2578</v>
      </c>
      <c r="I43" s="3691">
        <v>2400</v>
      </c>
      <c r="J43" s="3691">
        <v>0</v>
      </c>
      <c r="K43" s="3691">
        <v>12</v>
      </c>
      <c r="L43" s="3691">
        <f t="shared" ref="L43:L58" si="26">I43/K43</f>
        <v>200</v>
      </c>
      <c r="M43" s="3659">
        <v>45663</v>
      </c>
      <c r="N43" s="3659">
        <v>45659</v>
      </c>
      <c r="O43" s="4085"/>
      <c r="P43" s="3682" t="s">
        <v>82</v>
      </c>
      <c r="Q43" s="3682"/>
      <c r="R43" s="4083"/>
      <c r="S43" s="4083"/>
      <c r="T43" s="4083"/>
      <c r="U43" s="3645" t="s">
        <v>110</v>
      </c>
      <c r="V43" s="3657" t="s">
        <v>510</v>
      </c>
      <c r="W43" s="3657"/>
      <c r="X43" s="3657" t="s">
        <v>2778</v>
      </c>
      <c r="Y43" s="3657"/>
      <c r="Z43" s="3661"/>
      <c r="AA43" s="3620" t="s">
        <v>2779</v>
      </c>
      <c r="AB43" s="3691" t="s">
        <v>459</v>
      </c>
      <c r="AC43" s="3691">
        <v>2.1844</v>
      </c>
      <c r="AD43" s="3691">
        <f>AC43*I43</f>
        <v>5242.56</v>
      </c>
      <c r="AE43" s="4098" t="s">
        <v>2780</v>
      </c>
      <c r="AF43" s="3664" t="s">
        <v>2604</v>
      </c>
      <c r="AG43" s="3645" t="s">
        <v>416</v>
      </c>
      <c r="AH43" s="905"/>
      <c r="AI43" s="3664"/>
      <c r="AJ43" s="3664"/>
      <c r="AK43" s="905"/>
      <c r="AL43" s="3664">
        <f>I43</f>
        <v>2400</v>
      </c>
      <c r="AM43" s="3664"/>
      <c r="AN43" s="3691"/>
      <c r="AO43" s="3691">
        <f t="shared" si="25"/>
        <v>2400</v>
      </c>
      <c r="AP43" s="3691"/>
      <c r="AQ43" s="4089"/>
      <c r="AR43" s="4397"/>
      <c r="AS43" s="4089">
        <f t="shared" si="23"/>
        <v>2400</v>
      </c>
      <c r="AT43" s="4397"/>
      <c r="AU43" s="4089"/>
      <c r="AV43" s="4089">
        <f>I43/6</f>
        <v>400</v>
      </c>
      <c r="AW43" s="4089"/>
      <c r="AX43" s="4089"/>
      <c r="AY43" s="4089"/>
      <c r="AZ43" s="4089"/>
      <c r="BA43" s="4089"/>
      <c r="BB43" s="4089"/>
      <c r="BC43" s="4089"/>
      <c r="BD43" s="4089"/>
      <c r="BE43" s="4089"/>
      <c r="BF43" s="4089" t="s">
        <v>89</v>
      </c>
      <c r="BG43" s="4089"/>
      <c r="BH43" s="4089">
        <f t="shared" si="15"/>
        <v>400</v>
      </c>
      <c r="BI43" s="4089">
        <f t="shared" si="16"/>
        <v>400</v>
      </c>
      <c r="BJ43" s="4089">
        <f t="shared" si="17"/>
        <v>400</v>
      </c>
      <c r="BK43" s="4089">
        <f t="shared" si="18"/>
        <v>400</v>
      </c>
      <c r="BL43" s="4089">
        <f t="shared" si="19"/>
        <v>400</v>
      </c>
      <c r="BM43" s="4089">
        <f t="shared" si="20"/>
        <v>320</v>
      </c>
      <c r="BN43" s="4089">
        <f t="shared" si="12"/>
        <v>80</v>
      </c>
      <c r="BO43" s="4399"/>
      <c r="BP43" s="4399"/>
      <c r="BQ43" s="4399"/>
      <c r="BR43" s="4399"/>
      <c r="BS43" s="4399"/>
      <c r="BT43" s="4400"/>
      <c r="BU43" s="4384"/>
      <c r="BV43" s="4385">
        <f t="shared" si="0"/>
        <v>2400</v>
      </c>
      <c r="BW43" s="4386">
        <f t="shared" si="10"/>
        <v>0</v>
      </c>
      <c r="BX43" s="4387"/>
      <c r="BY43" s="4387"/>
      <c r="BZ43" s="4387"/>
      <c r="CA43" s="4391"/>
      <c r="CC43" s="4392"/>
      <c r="CD43" s="4391"/>
    </row>
    <row r="44" s="4025" customFormat="1" ht="50" customHeight="1" spans="1:82">
      <c r="A44" s="3688">
        <v>45621</v>
      </c>
      <c r="B44" s="3664" t="s">
        <v>515</v>
      </c>
      <c r="C44" s="3664" t="s">
        <v>516</v>
      </c>
      <c r="D44" s="3691">
        <v>4500152261</v>
      </c>
      <c r="E44" s="3664"/>
      <c r="F44" s="3691" t="s">
        <v>2781</v>
      </c>
      <c r="G44" s="3664" t="s">
        <v>2577</v>
      </c>
      <c r="H44" s="3664" t="s">
        <v>2578</v>
      </c>
      <c r="I44" s="3691">
        <v>6000</v>
      </c>
      <c r="J44" s="3691">
        <v>0</v>
      </c>
      <c r="K44" s="3691">
        <v>12</v>
      </c>
      <c r="L44" s="3691">
        <f t="shared" si="26"/>
        <v>500</v>
      </c>
      <c r="M44" s="3659">
        <v>45663</v>
      </c>
      <c r="N44" s="3659">
        <v>45659</v>
      </c>
      <c r="O44" s="4085"/>
      <c r="P44" s="3682" t="s">
        <v>82</v>
      </c>
      <c r="Q44" s="3682"/>
      <c r="R44" s="4083"/>
      <c r="S44" s="4083"/>
      <c r="T44" s="4083"/>
      <c r="U44" s="3645" t="s">
        <v>518</v>
      </c>
      <c r="V44" s="3657" t="s">
        <v>353</v>
      </c>
      <c r="W44" s="3657"/>
      <c r="X44" s="3657" t="s">
        <v>2782</v>
      </c>
      <c r="Y44" s="3657"/>
      <c r="Z44" s="3661"/>
      <c r="AA44" s="3620" t="s">
        <v>2783</v>
      </c>
      <c r="AB44" s="3691" t="s">
        <v>521</v>
      </c>
      <c r="AC44" s="3691">
        <v>2.1606</v>
      </c>
      <c r="AD44" s="3691">
        <f>AC44*I44</f>
        <v>12963.6</v>
      </c>
      <c r="AE44" s="4098" t="s">
        <v>522</v>
      </c>
      <c r="AF44" s="3664" t="s">
        <v>2604</v>
      </c>
      <c r="AG44" s="3645" t="s">
        <v>416</v>
      </c>
      <c r="AH44" s="905"/>
      <c r="AI44" s="3664"/>
      <c r="AJ44" s="3664"/>
      <c r="AK44" s="905"/>
      <c r="AL44" s="3664">
        <f>I44</f>
        <v>6000</v>
      </c>
      <c r="AM44" s="3664"/>
      <c r="AN44" s="3691"/>
      <c r="AO44" s="3691">
        <f t="shared" si="25"/>
        <v>6000</v>
      </c>
      <c r="AP44" s="3691"/>
      <c r="AQ44" s="4089"/>
      <c r="AR44" s="877"/>
      <c r="AS44" s="4089">
        <f t="shared" si="23"/>
        <v>6000</v>
      </c>
      <c r="AT44" s="877"/>
      <c r="AU44" s="4089"/>
      <c r="AV44" s="4089">
        <f>I44/6</f>
        <v>1000</v>
      </c>
      <c r="AW44" s="4089"/>
      <c r="AX44" s="4089"/>
      <c r="AY44" s="4089"/>
      <c r="AZ44" s="4089"/>
      <c r="BA44" s="4089"/>
      <c r="BB44" s="4089"/>
      <c r="BC44" s="4089"/>
      <c r="BD44" s="4089"/>
      <c r="BE44" s="4089"/>
      <c r="BF44" s="4089" t="s">
        <v>89</v>
      </c>
      <c r="BG44" s="4089"/>
      <c r="BH44" s="4089">
        <f t="shared" si="15"/>
        <v>1000</v>
      </c>
      <c r="BI44" s="4089">
        <f t="shared" si="16"/>
        <v>1000</v>
      </c>
      <c r="BJ44" s="4089">
        <f t="shared" si="17"/>
        <v>1000</v>
      </c>
      <c r="BK44" s="4089">
        <f t="shared" si="18"/>
        <v>1000</v>
      </c>
      <c r="BL44" s="4089">
        <f t="shared" si="19"/>
        <v>1000</v>
      </c>
      <c r="BM44" s="4089">
        <f t="shared" si="20"/>
        <v>800</v>
      </c>
      <c r="BN44" s="4089">
        <f t="shared" si="12"/>
        <v>200</v>
      </c>
      <c r="BO44" s="878"/>
      <c r="BP44" s="878"/>
      <c r="BQ44" s="878"/>
      <c r="BR44" s="878"/>
      <c r="BS44" s="878"/>
      <c r="BT44" s="879"/>
      <c r="BU44" s="4384"/>
      <c r="BV44" s="4385">
        <f t="shared" si="0"/>
        <v>6000</v>
      </c>
      <c r="BW44" s="4386">
        <f t="shared" si="10"/>
        <v>0</v>
      </c>
      <c r="BX44" s="4387"/>
      <c r="BY44" s="4387"/>
      <c r="BZ44" s="4387"/>
      <c r="CA44" s="4391"/>
      <c r="CC44" s="4392"/>
      <c r="CD44" s="4391"/>
    </row>
    <row r="45" s="4025" customFormat="1" ht="50" customHeight="1" spans="1:82">
      <c r="A45" s="3688">
        <v>45617</v>
      </c>
      <c r="B45" s="3664" t="s">
        <v>2681</v>
      </c>
      <c r="C45" s="3664" t="s">
        <v>91</v>
      </c>
      <c r="D45" s="3691">
        <v>4500151906</v>
      </c>
      <c r="E45" s="3664" t="s">
        <v>2784</v>
      </c>
      <c r="F45" s="3691" t="s">
        <v>2785</v>
      </c>
      <c r="G45" s="3664" t="s">
        <v>2684</v>
      </c>
      <c r="H45" s="3664" t="s">
        <v>2591</v>
      </c>
      <c r="I45" s="3691">
        <v>3372</v>
      </c>
      <c r="J45" s="3691">
        <v>0</v>
      </c>
      <c r="K45" s="3691">
        <v>6</v>
      </c>
      <c r="L45" s="3691">
        <f t="shared" si="26"/>
        <v>562</v>
      </c>
      <c r="M45" s="3659">
        <v>45663</v>
      </c>
      <c r="N45" s="3659">
        <v>45659</v>
      </c>
      <c r="O45" s="4085"/>
      <c r="P45" s="3682" t="s">
        <v>82</v>
      </c>
      <c r="Q45" s="3682"/>
      <c r="R45" s="4083"/>
      <c r="S45" s="4083"/>
      <c r="T45" s="4083"/>
      <c r="U45" s="3645"/>
      <c r="V45" s="3657" t="s">
        <v>729</v>
      </c>
      <c r="W45" s="3657"/>
      <c r="X45" s="3657" t="s">
        <v>98</v>
      </c>
      <c r="Y45" s="3657" t="s">
        <v>2786</v>
      </c>
      <c r="Z45" s="3661"/>
      <c r="AA45" s="3620" t="s">
        <v>2695</v>
      </c>
      <c r="AB45" s="3691" t="s">
        <v>2686</v>
      </c>
      <c r="AC45" s="4087">
        <v>2.1435</v>
      </c>
      <c r="AD45" s="3691">
        <v>7227.882</v>
      </c>
      <c r="AE45" s="4098" t="s">
        <v>2787</v>
      </c>
      <c r="AF45" s="3664" t="s">
        <v>2684</v>
      </c>
      <c r="AG45" s="3645" t="s">
        <v>416</v>
      </c>
      <c r="AH45" s="905"/>
      <c r="AI45" s="3664">
        <f t="shared" ref="AI45:AI50" si="27">I45</f>
        <v>3372</v>
      </c>
      <c r="AJ45" s="3664"/>
      <c r="AK45" s="905"/>
      <c r="AL45" s="3664"/>
      <c r="AM45" s="3664"/>
      <c r="AN45" s="3691"/>
      <c r="AO45" s="3691">
        <f t="shared" si="25"/>
        <v>3372</v>
      </c>
      <c r="AP45" s="3691"/>
      <c r="AQ45" s="4089"/>
      <c r="AR45" s="877"/>
      <c r="AS45" s="4089">
        <f t="shared" si="23"/>
        <v>3372</v>
      </c>
      <c r="AT45" s="877"/>
      <c r="AU45" s="4089"/>
      <c r="AV45" s="4089"/>
      <c r="AW45" s="4089"/>
      <c r="AX45" s="4089">
        <f>I45/6</f>
        <v>562</v>
      </c>
      <c r="AY45" s="4089"/>
      <c r="AZ45" s="4089"/>
      <c r="BA45" s="4089"/>
      <c r="BB45" s="4089"/>
      <c r="BC45" s="4089"/>
      <c r="BD45" s="4089"/>
      <c r="BE45" s="4089"/>
      <c r="BF45" s="4089" t="s">
        <v>89</v>
      </c>
      <c r="BG45" s="4089"/>
      <c r="BH45" s="4089">
        <f t="shared" si="15"/>
        <v>562</v>
      </c>
      <c r="BI45" s="4089">
        <f t="shared" si="16"/>
        <v>562</v>
      </c>
      <c r="BJ45" s="4089">
        <f t="shared" si="17"/>
        <v>562</v>
      </c>
      <c r="BK45" s="4089">
        <f t="shared" si="18"/>
        <v>562</v>
      </c>
      <c r="BL45" s="4089">
        <f t="shared" si="19"/>
        <v>562</v>
      </c>
      <c r="BM45" s="4089">
        <f t="shared" si="20"/>
        <v>449.6</v>
      </c>
      <c r="BN45" s="4089">
        <f t="shared" si="12"/>
        <v>112.4</v>
      </c>
      <c r="BO45" s="878"/>
      <c r="BP45" s="878"/>
      <c r="BQ45" s="878"/>
      <c r="BR45" s="878"/>
      <c r="BS45" s="878"/>
      <c r="BT45" s="879"/>
      <c r="BU45" s="4384"/>
      <c r="BV45" s="4385">
        <f t="shared" si="0"/>
        <v>3372</v>
      </c>
      <c r="BW45" s="4386">
        <f t="shared" si="10"/>
        <v>0</v>
      </c>
      <c r="BX45" s="4387"/>
      <c r="BY45" s="4387"/>
      <c r="BZ45" s="4387"/>
      <c r="CA45" s="4391"/>
      <c r="CC45" s="4392"/>
      <c r="CD45" s="4391"/>
    </row>
    <row r="46" s="4025" customFormat="1" ht="50" customHeight="1" spans="1:82">
      <c r="A46" s="3688">
        <v>45617</v>
      </c>
      <c r="B46" s="3664" t="s">
        <v>2681</v>
      </c>
      <c r="C46" s="3664" t="s">
        <v>91</v>
      </c>
      <c r="D46" s="3691">
        <v>4500151907</v>
      </c>
      <c r="E46" s="3664" t="s">
        <v>2788</v>
      </c>
      <c r="F46" s="3691" t="s">
        <v>2789</v>
      </c>
      <c r="G46" s="3664" t="s">
        <v>2684</v>
      </c>
      <c r="H46" s="3664" t="s">
        <v>2591</v>
      </c>
      <c r="I46" s="3691">
        <v>4644</v>
      </c>
      <c r="J46" s="3691">
        <v>0</v>
      </c>
      <c r="K46" s="3691">
        <v>6</v>
      </c>
      <c r="L46" s="3691">
        <f t="shared" si="26"/>
        <v>774</v>
      </c>
      <c r="M46" s="3659">
        <v>45663</v>
      </c>
      <c r="N46" s="3659">
        <v>45659</v>
      </c>
      <c r="O46" s="4085"/>
      <c r="P46" s="3682" t="s">
        <v>82</v>
      </c>
      <c r="Q46" s="3682"/>
      <c r="R46" s="4083"/>
      <c r="S46" s="4083"/>
      <c r="T46" s="4083"/>
      <c r="U46" s="3645" t="s">
        <v>427</v>
      </c>
      <c r="V46" s="3657" t="s">
        <v>729</v>
      </c>
      <c r="W46" s="3657"/>
      <c r="X46" s="3657" t="s">
        <v>98</v>
      </c>
      <c r="Y46" s="3657" t="s">
        <v>2786</v>
      </c>
      <c r="Z46" s="3661"/>
      <c r="AA46" s="3620" t="s">
        <v>2695</v>
      </c>
      <c r="AB46" s="3691" t="s">
        <v>2686</v>
      </c>
      <c r="AC46" s="3691">
        <v>2.1435</v>
      </c>
      <c r="AD46" s="3691">
        <v>9954.414</v>
      </c>
      <c r="AE46" s="4098" t="s">
        <v>2790</v>
      </c>
      <c r="AF46" s="3664" t="s">
        <v>2684</v>
      </c>
      <c r="AG46" s="3645" t="s">
        <v>416</v>
      </c>
      <c r="AH46" s="905"/>
      <c r="AI46" s="3664">
        <f t="shared" si="27"/>
        <v>4644</v>
      </c>
      <c r="AJ46" s="3664"/>
      <c r="AK46" s="905"/>
      <c r="AL46" s="3664"/>
      <c r="AM46" s="3664"/>
      <c r="AN46" s="3691"/>
      <c r="AO46" s="3691">
        <f t="shared" si="25"/>
        <v>4644</v>
      </c>
      <c r="AP46" s="3691"/>
      <c r="AQ46" s="4089"/>
      <c r="AR46" s="907"/>
      <c r="AS46" s="4089">
        <f t="shared" si="23"/>
        <v>4644</v>
      </c>
      <c r="AT46" s="907"/>
      <c r="AU46" s="4089"/>
      <c r="AV46" s="4089"/>
      <c r="AW46" s="4089"/>
      <c r="AX46" s="4089">
        <f>I46/6</f>
        <v>774</v>
      </c>
      <c r="AY46" s="4089"/>
      <c r="AZ46" s="4089"/>
      <c r="BA46" s="4089"/>
      <c r="BB46" s="4089"/>
      <c r="BC46" s="4089"/>
      <c r="BD46" s="4089"/>
      <c r="BE46" s="4089"/>
      <c r="BF46" s="4089" t="s">
        <v>89</v>
      </c>
      <c r="BG46" s="4089"/>
      <c r="BH46" s="4089">
        <f t="shared" si="15"/>
        <v>774</v>
      </c>
      <c r="BI46" s="4089">
        <f t="shared" si="16"/>
        <v>774</v>
      </c>
      <c r="BJ46" s="4089">
        <f t="shared" si="17"/>
        <v>774</v>
      </c>
      <c r="BK46" s="4089">
        <f t="shared" si="18"/>
        <v>774</v>
      </c>
      <c r="BL46" s="4089">
        <f t="shared" si="19"/>
        <v>774</v>
      </c>
      <c r="BM46" s="4089">
        <f t="shared" si="20"/>
        <v>619.2</v>
      </c>
      <c r="BN46" s="4089">
        <f t="shared" si="12"/>
        <v>154.8</v>
      </c>
      <c r="BO46" s="4382"/>
      <c r="BP46" s="4382"/>
      <c r="BQ46" s="4382"/>
      <c r="BR46" s="4382"/>
      <c r="BS46" s="4382"/>
      <c r="BT46" s="4383"/>
      <c r="BU46" s="4384"/>
      <c r="BV46" s="4385">
        <f t="shared" si="0"/>
        <v>4644</v>
      </c>
      <c r="BW46" s="4386">
        <f t="shared" si="10"/>
        <v>0</v>
      </c>
      <c r="BX46" s="4387"/>
      <c r="BY46" s="4387"/>
      <c r="BZ46" s="4387"/>
      <c r="CA46" s="4391"/>
      <c r="CC46" s="4392"/>
      <c r="CD46" s="4391"/>
    </row>
    <row r="47" s="4025" customFormat="1" ht="50" customHeight="1" spans="1:82">
      <c r="A47" s="3688">
        <v>45615</v>
      </c>
      <c r="B47" s="3664" t="s">
        <v>2791</v>
      </c>
      <c r="C47" s="3664" t="s">
        <v>91</v>
      </c>
      <c r="D47" s="3691">
        <v>4500151635</v>
      </c>
      <c r="E47" s="3691">
        <v>4357</v>
      </c>
      <c r="F47" s="3691" t="s">
        <v>2792</v>
      </c>
      <c r="G47" s="3664" t="s">
        <v>2590</v>
      </c>
      <c r="H47" s="3664" t="s">
        <v>2591</v>
      </c>
      <c r="I47" s="3691">
        <v>2742</v>
      </c>
      <c r="J47" s="3691">
        <v>0</v>
      </c>
      <c r="K47" s="3691">
        <v>6</v>
      </c>
      <c r="L47" s="3691">
        <f t="shared" si="26"/>
        <v>457</v>
      </c>
      <c r="M47" s="3659">
        <v>45665</v>
      </c>
      <c r="N47" s="3659">
        <v>45661</v>
      </c>
      <c r="O47" s="4085"/>
      <c r="P47" s="3682" t="s">
        <v>82</v>
      </c>
      <c r="Q47" s="3682"/>
      <c r="R47" s="4083"/>
      <c r="S47" s="4083"/>
      <c r="T47" s="4083"/>
      <c r="U47" s="3645" t="s">
        <v>138</v>
      </c>
      <c r="V47" s="3657" t="s">
        <v>384</v>
      </c>
      <c r="W47" s="3657"/>
      <c r="X47" s="3657" t="s">
        <v>2793</v>
      </c>
      <c r="Y47" s="3657"/>
      <c r="Z47" s="3661"/>
      <c r="AA47" s="3620" t="s">
        <v>2794</v>
      </c>
      <c r="AB47" s="3664" t="s">
        <v>2795</v>
      </c>
      <c r="AC47" s="3691">
        <v>2.1451</v>
      </c>
      <c r="AD47" s="3691">
        <f t="shared" ref="AD47:AD53" si="28">AC47*I47</f>
        <v>5881.8642</v>
      </c>
      <c r="AE47" s="4098" t="s">
        <v>2796</v>
      </c>
      <c r="AF47" s="3664" t="s">
        <v>2590</v>
      </c>
      <c r="AG47" s="3645" t="s">
        <v>416</v>
      </c>
      <c r="AH47" s="905"/>
      <c r="AI47" s="3664">
        <f t="shared" si="27"/>
        <v>2742</v>
      </c>
      <c r="AJ47" s="3664"/>
      <c r="AK47" s="905"/>
      <c r="AL47" s="3664"/>
      <c r="AM47" s="3664"/>
      <c r="AN47" s="3691"/>
      <c r="AO47" s="3691">
        <f t="shared" si="25"/>
        <v>2742</v>
      </c>
      <c r="AP47" s="3691"/>
      <c r="AQ47" s="4089"/>
      <c r="AR47" s="877"/>
      <c r="AS47" s="4089">
        <f t="shared" si="23"/>
        <v>2742</v>
      </c>
      <c r="AT47" s="877"/>
      <c r="AU47" s="4089"/>
      <c r="AV47" s="4089">
        <f>I47/6</f>
        <v>457</v>
      </c>
      <c r="AW47" s="4089"/>
      <c r="AX47" s="4089"/>
      <c r="AY47" s="4089"/>
      <c r="AZ47" s="4089"/>
      <c r="BA47" s="4089"/>
      <c r="BB47" s="4089"/>
      <c r="BC47" s="4089"/>
      <c r="BD47" s="4089"/>
      <c r="BE47" s="4089"/>
      <c r="BF47" s="4089" t="s">
        <v>89</v>
      </c>
      <c r="BG47" s="4089"/>
      <c r="BH47" s="4089">
        <f t="shared" si="15"/>
        <v>457</v>
      </c>
      <c r="BI47" s="4089">
        <f t="shared" si="16"/>
        <v>457</v>
      </c>
      <c r="BJ47" s="4089">
        <f t="shared" si="17"/>
        <v>457</v>
      </c>
      <c r="BK47" s="4089">
        <f t="shared" si="18"/>
        <v>457</v>
      </c>
      <c r="BL47" s="4089">
        <f t="shared" si="19"/>
        <v>457</v>
      </c>
      <c r="BM47" s="4089">
        <f t="shared" si="20"/>
        <v>365.6</v>
      </c>
      <c r="BN47" s="4089">
        <f t="shared" si="12"/>
        <v>91.4</v>
      </c>
      <c r="BO47" s="878"/>
      <c r="BP47" s="878"/>
      <c r="BQ47" s="878"/>
      <c r="BR47" s="878"/>
      <c r="BS47" s="878"/>
      <c r="BT47" s="879"/>
      <c r="BU47" s="4384"/>
      <c r="BV47" s="4385">
        <f t="shared" si="0"/>
        <v>2742</v>
      </c>
      <c r="BW47" s="4386">
        <f t="shared" si="10"/>
        <v>0</v>
      </c>
      <c r="BX47" s="4387"/>
      <c r="BY47" s="4387"/>
      <c r="BZ47" s="4387"/>
      <c r="CA47" s="4391"/>
      <c r="CC47" s="4392"/>
      <c r="CD47" s="4391"/>
    </row>
    <row r="48" s="4025" customFormat="1" ht="50" customHeight="1" spans="1:82">
      <c r="A48" s="3688">
        <v>45623</v>
      </c>
      <c r="B48" s="3689" t="s">
        <v>2797</v>
      </c>
      <c r="C48" s="3664" t="s">
        <v>91</v>
      </c>
      <c r="D48" s="3690">
        <v>4500152429</v>
      </c>
      <c r="E48" s="3664" t="s">
        <v>2798</v>
      </c>
      <c r="F48" s="3690" t="s">
        <v>2799</v>
      </c>
      <c r="G48" s="3664" t="s">
        <v>2684</v>
      </c>
      <c r="H48" s="3664" t="s">
        <v>2591</v>
      </c>
      <c r="I48" s="3691">
        <v>678</v>
      </c>
      <c r="J48" s="3691">
        <v>0</v>
      </c>
      <c r="K48" s="3691">
        <v>6</v>
      </c>
      <c r="L48" s="3691">
        <f t="shared" si="26"/>
        <v>113</v>
      </c>
      <c r="M48" s="3659">
        <v>45665</v>
      </c>
      <c r="N48" s="3659">
        <v>45661</v>
      </c>
      <c r="O48" s="3664" t="s">
        <v>2800</v>
      </c>
      <c r="P48" s="3682" t="s">
        <v>82</v>
      </c>
      <c r="Q48" s="3682"/>
      <c r="R48" s="4083"/>
      <c r="S48" s="4083"/>
      <c r="T48" s="4083"/>
      <c r="U48" s="3645" t="s">
        <v>2298</v>
      </c>
      <c r="V48" s="3657" t="s">
        <v>384</v>
      </c>
      <c r="W48" s="3657"/>
      <c r="X48" s="3657" t="s">
        <v>98</v>
      </c>
      <c r="Y48" s="3657"/>
      <c r="Z48" s="3661"/>
      <c r="AA48" s="3620" t="s">
        <v>2801</v>
      </c>
      <c r="AB48" s="3691" t="s">
        <v>2802</v>
      </c>
      <c r="AC48" s="4087">
        <v>2.2059</v>
      </c>
      <c r="AD48" s="3691">
        <f t="shared" si="28"/>
        <v>1495.6002</v>
      </c>
      <c r="AE48" s="4098" t="s">
        <v>2803</v>
      </c>
      <c r="AF48" s="3664" t="s">
        <v>2684</v>
      </c>
      <c r="AG48" s="3645" t="s">
        <v>416</v>
      </c>
      <c r="AH48" s="905"/>
      <c r="AI48" s="3664">
        <f t="shared" si="27"/>
        <v>678</v>
      </c>
      <c r="AJ48" s="3664"/>
      <c r="AK48" s="905"/>
      <c r="AL48" s="3664"/>
      <c r="AM48" s="3664"/>
      <c r="AN48" s="3691"/>
      <c r="AO48" s="3691">
        <f t="shared" si="25"/>
        <v>678</v>
      </c>
      <c r="AP48" s="3691"/>
      <c r="AQ48" s="4089"/>
      <c r="AR48" s="4382"/>
      <c r="AS48" s="4089">
        <f t="shared" si="23"/>
        <v>678</v>
      </c>
      <c r="AT48" s="4382"/>
      <c r="AU48" s="4089"/>
      <c r="AV48" s="4089"/>
      <c r="AW48" s="4089"/>
      <c r="AX48" s="4089">
        <f>I48/6</f>
        <v>113</v>
      </c>
      <c r="AY48" s="4089"/>
      <c r="AZ48" s="4089"/>
      <c r="BA48" s="4089"/>
      <c r="BB48" s="4089"/>
      <c r="BC48" s="4089"/>
      <c r="BD48" s="4089"/>
      <c r="BE48" s="4089"/>
      <c r="BF48" s="4089" t="s">
        <v>89</v>
      </c>
      <c r="BG48" s="4089"/>
      <c r="BH48" s="4089">
        <f t="shared" si="15"/>
        <v>113</v>
      </c>
      <c r="BI48" s="4089">
        <f t="shared" si="16"/>
        <v>113</v>
      </c>
      <c r="BJ48" s="4089">
        <f t="shared" si="17"/>
        <v>113</v>
      </c>
      <c r="BK48" s="4089">
        <f t="shared" si="18"/>
        <v>113</v>
      </c>
      <c r="BL48" s="4089">
        <f t="shared" si="19"/>
        <v>113</v>
      </c>
      <c r="BM48" s="4089">
        <f t="shared" si="20"/>
        <v>90.4</v>
      </c>
      <c r="BN48" s="4089">
        <f t="shared" si="12"/>
        <v>22.6</v>
      </c>
      <c r="BO48" s="4382"/>
      <c r="BP48" s="4382"/>
      <c r="BQ48" s="4382"/>
      <c r="BR48" s="4382"/>
      <c r="BS48" s="4382"/>
      <c r="BT48" s="4383"/>
      <c r="BU48" s="4384"/>
      <c r="BV48" s="4385">
        <f t="shared" si="0"/>
        <v>678</v>
      </c>
      <c r="BW48" s="4386">
        <f t="shared" si="10"/>
        <v>0</v>
      </c>
      <c r="BX48" s="4387"/>
      <c r="BY48" s="4387"/>
      <c r="BZ48" s="4387"/>
      <c r="CA48" s="4391"/>
      <c r="CC48" s="4392"/>
      <c r="CD48" s="4391"/>
    </row>
    <row r="49" s="4025" customFormat="1" ht="50" customHeight="1" spans="1:82">
      <c r="A49" s="3688">
        <v>45618</v>
      </c>
      <c r="B49" s="3664" t="s">
        <v>2804</v>
      </c>
      <c r="C49" s="3664" t="s">
        <v>91</v>
      </c>
      <c r="D49" s="3691">
        <v>4500151779</v>
      </c>
      <c r="E49" s="3664"/>
      <c r="F49" s="3691" t="s">
        <v>2805</v>
      </c>
      <c r="G49" s="3664" t="s">
        <v>2806</v>
      </c>
      <c r="H49" s="3664" t="s">
        <v>2591</v>
      </c>
      <c r="I49" s="3691">
        <v>960</v>
      </c>
      <c r="J49" s="3691">
        <v>0</v>
      </c>
      <c r="K49" s="3691">
        <v>12</v>
      </c>
      <c r="L49" s="3691">
        <f t="shared" si="26"/>
        <v>80</v>
      </c>
      <c r="M49" s="3659">
        <v>45666</v>
      </c>
      <c r="N49" s="3659">
        <v>45295</v>
      </c>
      <c r="O49" s="4085"/>
      <c r="P49" s="3682" t="s">
        <v>82</v>
      </c>
      <c r="Q49" s="3682"/>
      <c r="R49" s="4083"/>
      <c r="S49" s="4083"/>
      <c r="T49" s="4083"/>
      <c r="U49" s="3645" t="s">
        <v>427</v>
      </c>
      <c r="V49" s="3657" t="s">
        <v>2807</v>
      </c>
      <c r="W49" s="3657"/>
      <c r="X49" s="3657" t="s">
        <v>98</v>
      </c>
      <c r="Y49" s="3657"/>
      <c r="Z49" s="3661"/>
      <c r="AA49" s="3638" t="s">
        <v>1177</v>
      </c>
      <c r="AB49" s="3691" t="s">
        <v>2808</v>
      </c>
      <c r="AC49" s="3691">
        <v>2.1892</v>
      </c>
      <c r="AD49" s="3691">
        <f t="shared" si="28"/>
        <v>2101.632</v>
      </c>
      <c r="AE49" s="3645" t="s">
        <v>2809</v>
      </c>
      <c r="AF49" s="3664" t="s">
        <v>2806</v>
      </c>
      <c r="AG49" s="3645" t="s">
        <v>416</v>
      </c>
      <c r="AH49" s="905"/>
      <c r="AI49" s="3664">
        <f t="shared" si="27"/>
        <v>960</v>
      </c>
      <c r="AJ49" s="3664"/>
      <c r="AK49" s="905"/>
      <c r="AL49" s="3664"/>
      <c r="AM49" s="3664"/>
      <c r="AN49" s="3691"/>
      <c r="AO49" s="3691">
        <f t="shared" si="25"/>
        <v>960</v>
      </c>
      <c r="AP49" s="3691"/>
      <c r="AQ49" s="4089"/>
      <c r="AR49" s="907"/>
      <c r="AS49" s="4089">
        <f t="shared" si="23"/>
        <v>960</v>
      </c>
      <c r="AT49" s="907"/>
      <c r="AU49" s="4089"/>
      <c r="AV49" s="4089"/>
      <c r="AW49" s="4089"/>
      <c r="AX49" s="4089">
        <f>I49/6</f>
        <v>160</v>
      </c>
      <c r="AY49" s="4089"/>
      <c r="AZ49" s="4089"/>
      <c r="BA49" s="4089"/>
      <c r="BB49" s="4089"/>
      <c r="BC49" s="4089"/>
      <c r="BD49" s="4089"/>
      <c r="BE49" s="4089"/>
      <c r="BF49" s="4089" t="s">
        <v>89</v>
      </c>
      <c r="BG49" s="4089"/>
      <c r="BH49" s="4089">
        <f t="shared" si="15"/>
        <v>160</v>
      </c>
      <c r="BI49" s="4089">
        <f t="shared" si="16"/>
        <v>160</v>
      </c>
      <c r="BJ49" s="4089">
        <f t="shared" si="17"/>
        <v>160</v>
      </c>
      <c r="BK49" s="4089">
        <f t="shared" si="18"/>
        <v>160</v>
      </c>
      <c r="BL49" s="4089">
        <f t="shared" si="19"/>
        <v>160</v>
      </c>
      <c r="BM49" s="4089">
        <f t="shared" si="20"/>
        <v>128</v>
      </c>
      <c r="BN49" s="4089">
        <f t="shared" si="12"/>
        <v>32</v>
      </c>
      <c r="BO49" s="4382"/>
      <c r="BP49" s="4382"/>
      <c r="BQ49" s="4382"/>
      <c r="BR49" s="4382"/>
      <c r="BS49" s="4382"/>
      <c r="BT49" s="4383"/>
      <c r="BU49" s="4384"/>
      <c r="BV49" s="4385">
        <f t="shared" si="0"/>
        <v>960</v>
      </c>
      <c r="BW49" s="4386">
        <f t="shared" si="10"/>
        <v>0</v>
      </c>
      <c r="BX49" s="4387"/>
      <c r="BY49" s="4387"/>
      <c r="BZ49" s="4387"/>
      <c r="CA49" s="4391"/>
      <c r="CC49" s="4392"/>
      <c r="CD49" s="4391"/>
    </row>
    <row r="50" s="4025" customFormat="1" ht="50" customHeight="1" spans="1:82">
      <c r="A50" s="3688">
        <v>45621</v>
      </c>
      <c r="B50" s="3664" t="s">
        <v>553</v>
      </c>
      <c r="C50" s="3664" t="s">
        <v>554</v>
      </c>
      <c r="D50" s="3691">
        <v>4500152205</v>
      </c>
      <c r="E50" s="3664"/>
      <c r="F50" s="3691" t="s">
        <v>2810</v>
      </c>
      <c r="G50" s="3664" t="s">
        <v>2577</v>
      </c>
      <c r="H50" s="3664" t="s">
        <v>2578</v>
      </c>
      <c r="I50" s="3691">
        <v>504</v>
      </c>
      <c r="J50" s="3691">
        <v>0</v>
      </c>
      <c r="K50" s="3691">
        <v>12</v>
      </c>
      <c r="L50" s="3691">
        <f t="shared" si="26"/>
        <v>42</v>
      </c>
      <c r="M50" s="3659">
        <v>45667</v>
      </c>
      <c r="N50" s="3659">
        <v>45663</v>
      </c>
      <c r="O50" s="4085"/>
      <c r="P50" s="3682" t="s">
        <v>82</v>
      </c>
      <c r="Q50" s="3682"/>
      <c r="R50" s="4083"/>
      <c r="S50" s="4083"/>
      <c r="T50" s="4083"/>
      <c r="U50" s="3645"/>
      <c r="V50" s="3657" t="s">
        <v>402</v>
      </c>
      <c r="W50" s="3657"/>
      <c r="X50" s="3657" t="s">
        <v>557</v>
      </c>
      <c r="Y50" s="3657"/>
      <c r="Z50" s="3661"/>
      <c r="AA50" s="3620" t="s">
        <v>2811</v>
      </c>
      <c r="AB50" s="3691" t="s">
        <v>559</v>
      </c>
      <c r="AC50" s="3691">
        <v>2.1891</v>
      </c>
      <c r="AD50" s="3691">
        <f t="shared" si="28"/>
        <v>1103.3064</v>
      </c>
      <c r="AE50" s="4098" t="s">
        <v>560</v>
      </c>
      <c r="AF50" s="3664" t="s">
        <v>2577</v>
      </c>
      <c r="AG50" s="3645" t="s">
        <v>416</v>
      </c>
      <c r="AH50" s="905"/>
      <c r="AI50" s="3691">
        <f t="shared" si="27"/>
        <v>504</v>
      </c>
      <c r="AJ50" s="3691"/>
      <c r="AK50" s="905"/>
      <c r="AL50" s="3664"/>
      <c r="AM50" s="3664"/>
      <c r="AN50" s="3691"/>
      <c r="AO50" s="3691">
        <f t="shared" si="25"/>
        <v>504</v>
      </c>
      <c r="AP50" s="3691"/>
      <c r="AQ50" s="4089"/>
      <c r="AR50" s="877"/>
      <c r="AS50" s="4089">
        <f t="shared" si="23"/>
        <v>504</v>
      </c>
      <c r="AT50" s="877"/>
      <c r="AU50" s="4089"/>
      <c r="AV50" s="4089">
        <f>I50/6</f>
        <v>84</v>
      </c>
      <c r="AW50" s="4089"/>
      <c r="AX50" s="4089"/>
      <c r="AY50" s="4089"/>
      <c r="AZ50" s="4089"/>
      <c r="BA50" s="4089"/>
      <c r="BB50" s="4089"/>
      <c r="BC50" s="4089"/>
      <c r="BD50" s="4089"/>
      <c r="BE50" s="4089"/>
      <c r="BF50" s="4089" t="s">
        <v>89</v>
      </c>
      <c r="BG50" s="4089"/>
      <c r="BH50" s="4089">
        <f t="shared" si="15"/>
        <v>84</v>
      </c>
      <c r="BI50" s="4089">
        <f t="shared" si="16"/>
        <v>84</v>
      </c>
      <c r="BJ50" s="4089">
        <f t="shared" si="17"/>
        <v>84</v>
      </c>
      <c r="BK50" s="4089">
        <f t="shared" si="18"/>
        <v>84</v>
      </c>
      <c r="BL50" s="4089">
        <f t="shared" si="19"/>
        <v>84</v>
      </c>
      <c r="BM50" s="4089">
        <f t="shared" si="20"/>
        <v>67.2</v>
      </c>
      <c r="BN50" s="4089">
        <f t="shared" si="12"/>
        <v>16.8</v>
      </c>
      <c r="BO50" s="878"/>
      <c r="BP50" s="878"/>
      <c r="BQ50" s="878"/>
      <c r="BR50" s="878"/>
      <c r="BS50" s="878"/>
      <c r="BT50" s="879"/>
      <c r="BU50" s="4384"/>
      <c r="BV50" s="4385">
        <f t="shared" si="0"/>
        <v>504</v>
      </c>
      <c r="BW50" s="4386">
        <f t="shared" si="10"/>
        <v>0</v>
      </c>
      <c r="BX50" s="4387"/>
      <c r="BY50" s="4387"/>
      <c r="BZ50" s="4387"/>
      <c r="CA50" s="4391"/>
      <c r="CC50" s="4392"/>
      <c r="CD50" s="4391"/>
    </row>
    <row r="51" s="4025" customFormat="1" ht="50" customHeight="1" spans="1:82">
      <c r="A51" s="3688">
        <v>45631</v>
      </c>
      <c r="B51" s="3689" t="s">
        <v>2812</v>
      </c>
      <c r="C51" s="3664" t="s">
        <v>2813</v>
      </c>
      <c r="D51" s="3690">
        <v>4500153308</v>
      </c>
      <c r="E51" s="3664"/>
      <c r="F51" s="3690" t="s">
        <v>2814</v>
      </c>
      <c r="G51" s="3664" t="s">
        <v>2577</v>
      </c>
      <c r="H51" s="3664" t="s">
        <v>2591</v>
      </c>
      <c r="I51" s="3691">
        <v>2400</v>
      </c>
      <c r="J51" s="3691">
        <v>0</v>
      </c>
      <c r="K51" s="3691">
        <v>12</v>
      </c>
      <c r="L51" s="3691">
        <f t="shared" si="26"/>
        <v>200</v>
      </c>
      <c r="M51" s="3659">
        <v>45667</v>
      </c>
      <c r="N51" s="3659">
        <v>45663</v>
      </c>
      <c r="O51" s="4085"/>
      <c r="P51" s="3682" t="s">
        <v>82</v>
      </c>
      <c r="Q51" s="3682"/>
      <c r="R51" s="4083"/>
      <c r="S51" s="4083"/>
      <c r="T51" s="4083"/>
      <c r="U51" s="3645" t="s">
        <v>556</v>
      </c>
      <c r="V51" s="3657" t="s">
        <v>2815</v>
      </c>
      <c r="W51" s="3657"/>
      <c r="X51" s="3657" t="s">
        <v>565</v>
      </c>
      <c r="Y51" s="3657"/>
      <c r="Z51" s="3661"/>
      <c r="AA51" s="3620" t="s">
        <v>2816</v>
      </c>
      <c r="AB51" s="3691" t="s">
        <v>2382</v>
      </c>
      <c r="AC51" s="4087">
        <v>2.1844</v>
      </c>
      <c r="AD51" s="3691">
        <f t="shared" si="28"/>
        <v>5242.56</v>
      </c>
      <c r="AE51" s="4098" t="s">
        <v>2817</v>
      </c>
      <c r="AF51" s="3664" t="s">
        <v>2604</v>
      </c>
      <c r="AG51" s="3645" t="s">
        <v>416</v>
      </c>
      <c r="AH51" s="905"/>
      <c r="AI51" s="3691"/>
      <c r="AJ51" s="3691"/>
      <c r="AK51" s="905"/>
      <c r="AL51" s="3664">
        <f>I51</f>
        <v>2400</v>
      </c>
      <c r="AM51" s="3664"/>
      <c r="AN51" s="3691"/>
      <c r="AO51" s="3691">
        <f t="shared" si="25"/>
        <v>2400</v>
      </c>
      <c r="AP51" s="3691"/>
      <c r="AQ51" s="4089"/>
      <c r="AR51" s="907"/>
      <c r="AS51" s="4089">
        <f t="shared" si="23"/>
        <v>2400</v>
      </c>
      <c r="AT51" s="907"/>
      <c r="AU51" s="4089"/>
      <c r="AV51" s="4089">
        <f>I51/6</f>
        <v>400</v>
      </c>
      <c r="AW51" s="4089"/>
      <c r="AX51" s="4089"/>
      <c r="AY51" s="4089"/>
      <c r="AZ51" s="4089"/>
      <c r="BA51" s="4089"/>
      <c r="BB51" s="4089"/>
      <c r="BC51" s="4089"/>
      <c r="BD51" s="4089"/>
      <c r="BE51" s="4089"/>
      <c r="BF51" s="4089" t="s">
        <v>89</v>
      </c>
      <c r="BG51" s="4089"/>
      <c r="BH51" s="4089">
        <f t="shared" si="15"/>
        <v>400</v>
      </c>
      <c r="BI51" s="4089">
        <f t="shared" si="16"/>
        <v>400</v>
      </c>
      <c r="BJ51" s="4089">
        <f t="shared" si="17"/>
        <v>400</v>
      </c>
      <c r="BK51" s="4089">
        <f t="shared" si="18"/>
        <v>400</v>
      </c>
      <c r="BL51" s="4089">
        <f t="shared" si="19"/>
        <v>400</v>
      </c>
      <c r="BM51" s="4089">
        <f t="shared" si="20"/>
        <v>320</v>
      </c>
      <c r="BN51" s="4089">
        <f t="shared" si="12"/>
        <v>80</v>
      </c>
      <c r="BO51" s="4382"/>
      <c r="BP51" s="4382"/>
      <c r="BQ51" s="4382"/>
      <c r="BR51" s="4382"/>
      <c r="BS51" s="4382"/>
      <c r="BT51" s="4383"/>
      <c r="BU51" s="4384"/>
      <c r="BV51" s="4385">
        <f t="shared" si="0"/>
        <v>2400</v>
      </c>
      <c r="BW51" s="4386">
        <f t="shared" si="10"/>
        <v>0</v>
      </c>
      <c r="BX51" s="4387"/>
      <c r="BY51" s="4387"/>
      <c r="BZ51" s="4387"/>
      <c r="CA51" s="4391"/>
      <c r="CC51" s="4392"/>
      <c r="CD51" s="4391"/>
    </row>
    <row r="52" s="4025" customFormat="1" ht="50" customHeight="1" spans="1:82">
      <c r="A52" s="3688">
        <v>45625</v>
      </c>
      <c r="B52" s="3689" t="s">
        <v>2818</v>
      </c>
      <c r="C52" s="3664" t="s">
        <v>738</v>
      </c>
      <c r="D52" s="3690">
        <v>4500153048</v>
      </c>
      <c r="E52" s="3664"/>
      <c r="F52" s="3690" t="s">
        <v>2819</v>
      </c>
      <c r="G52" s="3664" t="s">
        <v>2577</v>
      </c>
      <c r="H52" s="3664" t="s">
        <v>2591</v>
      </c>
      <c r="I52" s="3691">
        <v>1344</v>
      </c>
      <c r="J52" s="3691">
        <v>0</v>
      </c>
      <c r="K52" s="3691">
        <v>12</v>
      </c>
      <c r="L52" s="3691">
        <f t="shared" si="26"/>
        <v>112</v>
      </c>
      <c r="M52" s="3659">
        <v>45667</v>
      </c>
      <c r="N52" s="3659">
        <v>45663</v>
      </c>
      <c r="O52" s="4085"/>
      <c r="P52" s="3682" t="s">
        <v>82</v>
      </c>
      <c r="Q52" s="3682"/>
      <c r="R52" s="4083"/>
      <c r="S52" s="4083"/>
      <c r="T52" s="4083"/>
      <c r="U52" s="3645" t="s">
        <v>556</v>
      </c>
      <c r="V52" s="3657" t="s">
        <v>2600</v>
      </c>
      <c r="W52" s="3657"/>
      <c r="X52" s="3657" t="s">
        <v>2820</v>
      </c>
      <c r="Y52" s="3657"/>
      <c r="Z52" s="3661"/>
      <c r="AA52" s="3620" t="s">
        <v>2821</v>
      </c>
      <c r="AB52" s="3691" t="s">
        <v>1257</v>
      </c>
      <c r="AC52" s="4087">
        <v>2.1329</v>
      </c>
      <c r="AD52" s="3691">
        <f t="shared" si="28"/>
        <v>2866.6176</v>
      </c>
      <c r="AE52" s="4098" t="s">
        <v>2822</v>
      </c>
      <c r="AF52" s="3664" t="s">
        <v>2604</v>
      </c>
      <c r="AG52" s="3645" t="s">
        <v>416</v>
      </c>
      <c r="AH52" s="875"/>
      <c r="AI52" s="3691"/>
      <c r="AJ52" s="3691"/>
      <c r="AK52" s="875"/>
      <c r="AL52" s="3664">
        <f>I52</f>
        <v>1344</v>
      </c>
      <c r="AM52" s="3664"/>
      <c r="AN52" s="3691"/>
      <c r="AO52" s="3691">
        <f t="shared" si="25"/>
        <v>1344</v>
      </c>
      <c r="AP52" s="3691"/>
      <c r="AQ52" s="4089"/>
      <c r="AR52" s="907"/>
      <c r="AS52" s="4089">
        <f t="shared" si="23"/>
        <v>1344</v>
      </c>
      <c r="AT52" s="907"/>
      <c r="AU52" s="4089"/>
      <c r="AV52" s="4089">
        <f>I52/6</f>
        <v>224</v>
      </c>
      <c r="AW52" s="4089"/>
      <c r="AX52" s="4089"/>
      <c r="AY52" s="4089"/>
      <c r="AZ52" s="4089"/>
      <c r="BA52" s="4089"/>
      <c r="BB52" s="4089"/>
      <c r="BC52" s="4089"/>
      <c r="BD52" s="4089"/>
      <c r="BE52" s="4089"/>
      <c r="BF52" s="4089" t="s">
        <v>89</v>
      </c>
      <c r="BG52" s="4089"/>
      <c r="BH52" s="4089">
        <f t="shared" si="15"/>
        <v>224</v>
      </c>
      <c r="BI52" s="4089">
        <f t="shared" si="16"/>
        <v>224</v>
      </c>
      <c r="BJ52" s="4089">
        <f t="shared" si="17"/>
        <v>224</v>
      </c>
      <c r="BK52" s="4089">
        <f t="shared" si="18"/>
        <v>224</v>
      </c>
      <c r="BL52" s="4089">
        <f t="shared" si="19"/>
        <v>224</v>
      </c>
      <c r="BM52" s="4089">
        <f t="shared" si="20"/>
        <v>179.2</v>
      </c>
      <c r="BN52" s="4089">
        <f t="shared" si="12"/>
        <v>44.8</v>
      </c>
      <c r="BO52" s="4382"/>
      <c r="BP52" s="4382"/>
      <c r="BQ52" s="4382"/>
      <c r="BR52" s="4382"/>
      <c r="BS52" s="4382"/>
      <c r="BT52" s="4383"/>
      <c r="BU52" s="4384"/>
      <c r="BV52" s="4385">
        <f t="shared" si="0"/>
        <v>1344</v>
      </c>
      <c r="BW52" s="4386">
        <f t="shared" si="10"/>
        <v>0</v>
      </c>
      <c r="BX52" s="4387"/>
      <c r="BY52" s="4387"/>
      <c r="BZ52" s="4387"/>
      <c r="CA52" s="4391"/>
      <c r="CC52" s="4392"/>
      <c r="CD52" s="4391"/>
    </row>
    <row r="53" s="4025" customFormat="1" ht="50" customHeight="1" spans="1:82">
      <c r="A53" s="3688">
        <v>45631</v>
      </c>
      <c r="B53" s="3689" t="s">
        <v>561</v>
      </c>
      <c r="C53" s="3664" t="s">
        <v>562</v>
      </c>
      <c r="D53" s="3690">
        <v>4500153347</v>
      </c>
      <c r="E53" s="3664"/>
      <c r="F53" s="3690" t="s">
        <v>2823</v>
      </c>
      <c r="G53" s="3664" t="s">
        <v>2577</v>
      </c>
      <c r="H53" s="3664" t="s">
        <v>2591</v>
      </c>
      <c r="I53" s="3691">
        <v>1008</v>
      </c>
      <c r="J53" s="3691">
        <v>0</v>
      </c>
      <c r="K53" s="3691">
        <v>12</v>
      </c>
      <c r="L53" s="3691">
        <f t="shared" si="26"/>
        <v>84</v>
      </c>
      <c r="M53" s="3659">
        <v>45667</v>
      </c>
      <c r="N53" s="3659">
        <v>45663</v>
      </c>
      <c r="O53" s="4085"/>
      <c r="P53" s="3682" t="s">
        <v>82</v>
      </c>
      <c r="Q53" s="3682"/>
      <c r="R53" s="4083"/>
      <c r="S53" s="4083"/>
      <c r="T53" s="4083"/>
      <c r="U53" s="3645" t="s">
        <v>564</v>
      </c>
      <c r="V53" s="3657" t="s">
        <v>465</v>
      </c>
      <c r="W53" s="3657"/>
      <c r="X53" s="3657" t="s">
        <v>565</v>
      </c>
      <c r="Y53" s="3657"/>
      <c r="Z53" s="3661"/>
      <c r="AA53" s="3620" t="s">
        <v>2824</v>
      </c>
      <c r="AB53" s="3691" t="s">
        <v>459</v>
      </c>
      <c r="AC53" s="4087">
        <v>2.1844</v>
      </c>
      <c r="AD53" s="3691">
        <f t="shared" si="28"/>
        <v>2201.8752</v>
      </c>
      <c r="AE53" s="4098" t="s">
        <v>567</v>
      </c>
      <c r="AF53" s="3664" t="s">
        <v>2577</v>
      </c>
      <c r="AG53" s="3645" t="s">
        <v>416</v>
      </c>
      <c r="AH53" s="875"/>
      <c r="AI53" s="3691">
        <f>I53</f>
        <v>1008</v>
      </c>
      <c r="AJ53" s="3691"/>
      <c r="AK53" s="875"/>
      <c r="AL53" s="3664"/>
      <c r="AM53" s="3664"/>
      <c r="AN53" s="3691"/>
      <c r="AO53" s="3691">
        <f t="shared" si="25"/>
        <v>1008</v>
      </c>
      <c r="AP53" s="3691"/>
      <c r="AQ53" s="4089"/>
      <c r="AR53" s="877"/>
      <c r="AS53" s="4089">
        <f t="shared" si="23"/>
        <v>1008</v>
      </c>
      <c r="AT53" s="877"/>
      <c r="AU53" s="4089"/>
      <c r="AV53" s="4089">
        <f>I53/6</f>
        <v>168</v>
      </c>
      <c r="AW53" s="4089"/>
      <c r="AX53" s="4089"/>
      <c r="AY53" s="4089"/>
      <c r="AZ53" s="4089"/>
      <c r="BA53" s="4089"/>
      <c r="BB53" s="4089"/>
      <c r="BC53" s="4089"/>
      <c r="BD53" s="4089"/>
      <c r="BE53" s="4089"/>
      <c r="BF53" s="4089" t="s">
        <v>89</v>
      </c>
      <c r="BG53" s="4089"/>
      <c r="BH53" s="4089">
        <f t="shared" si="15"/>
        <v>168</v>
      </c>
      <c r="BI53" s="4089">
        <f t="shared" si="16"/>
        <v>168</v>
      </c>
      <c r="BJ53" s="4089">
        <f t="shared" si="17"/>
        <v>168</v>
      </c>
      <c r="BK53" s="4089">
        <f t="shared" si="18"/>
        <v>168</v>
      </c>
      <c r="BL53" s="4089">
        <f t="shared" si="19"/>
        <v>168</v>
      </c>
      <c r="BM53" s="4089">
        <f t="shared" si="20"/>
        <v>134.4</v>
      </c>
      <c r="BN53" s="4089">
        <f t="shared" si="12"/>
        <v>33.6</v>
      </c>
      <c r="BO53" s="878"/>
      <c r="BP53" s="878"/>
      <c r="BQ53" s="878"/>
      <c r="BR53" s="878"/>
      <c r="BS53" s="878"/>
      <c r="BT53" s="879"/>
      <c r="BU53" s="4384"/>
      <c r="BV53" s="4385">
        <f t="shared" si="0"/>
        <v>1008</v>
      </c>
      <c r="BW53" s="4386">
        <f t="shared" si="10"/>
        <v>0</v>
      </c>
      <c r="BX53" s="4387"/>
      <c r="BY53" s="4387"/>
      <c r="BZ53" s="4387"/>
      <c r="CA53" s="4391"/>
      <c r="CC53" s="4392"/>
      <c r="CD53" s="4391"/>
    </row>
    <row r="54" s="4025" customFormat="1" ht="50" customHeight="1" spans="1:82">
      <c r="A54" s="3688">
        <v>45623</v>
      </c>
      <c r="B54" s="3689" t="s">
        <v>1016</v>
      </c>
      <c r="C54" s="3664" t="s">
        <v>396</v>
      </c>
      <c r="D54" s="3690">
        <v>4500152544</v>
      </c>
      <c r="E54" s="3664" t="s">
        <v>2825</v>
      </c>
      <c r="F54" s="3690" t="s">
        <v>2826</v>
      </c>
      <c r="G54" s="3664" t="s">
        <v>2827</v>
      </c>
      <c r="H54" s="3664" t="s">
        <v>2641</v>
      </c>
      <c r="I54" s="3691">
        <v>12</v>
      </c>
      <c r="J54" s="3691">
        <v>0</v>
      </c>
      <c r="K54" s="3691">
        <v>12</v>
      </c>
      <c r="L54" s="3691">
        <f t="shared" si="26"/>
        <v>1</v>
      </c>
      <c r="M54" s="3659">
        <v>45670</v>
      </c>
      <c r="N54" s="3659">
        <v>45666</v>
      </c>
      <c r="O54" s="4085"/>
      <c r="P54" s="3682" t="s">
        <v>82</v>
      </c>
      <c r="Q54" s="3682"/>
      <c r="R54" s="4083"/>
      <c r="S54" s="4083"/>
      <c r="T54" s="4083"/>
      <c r="U54" s="3645" t="s">
        <v>2828</v>
      </c>
      <c r="V54" s="3657" t="s">
        <v>384</v>
      </c>
      <c r="W54" s="3657"/>
      <c r="X54" s="3657" t="s">
        <v>2829</v>
      </c>
      <c r="Y54" s="3657" t="s">
        <v>532</v>
      </c>
      <c r="Z54" s="3661"/>
      <c r="AA54" s="3620" t="s">
        <v>2830</v>
      </c>
      <c r="AB54" s="3691" t="s">
        <v>2672</v>
      </c>
      <c r="AC54" s="3691">
        <v>2.0865</v>
      </c>
      <c r="AD54" s="3691">
        <v>25.038</v>
      </c>
      <c r="AE54" s="4098" t="s">
        <v>2831</v>
      </c>
      <c r="AF54" s="3664" t="s">
        <v>2827</v>
      </c>
      <c r="AG54" s="3645" t="s">
        <v>416</v>
      </c>
      <c r="AH54" s="905"/>
      <c r="AI54" s="3691"/>
      <c r="AJ54" s="3691"/>
      <c r="AK54" s="905"/>
      <c r="AL54" s="3664">
        <f t="shared" ref="AL54:AL59" si="29">I54</f>
        <v>12</v>
      </c>
      <c r="AM54" s="3664"/>
      <c r="AN54" s="3691"/>
      <c r="AO54" s="3691">
        <f t="shared" si="25"/>
        <v>12</v>
      </c>
      <c r="AP54" s="3691"/>
      <c r="AQ54" s="4089"/>
      <c r="AR54" s="877"/>
      <c r="AS54" s="4089"/>
      <c r="AT54" s="877"/>
      <c r="AU54" s="4089">
        <f t="shared" ref="AU54:AU59" si="30">I54</f>
        <v>12</v>
      </c>
      <c r="AV54" s="4089"/>
      <c r="AW54" s="4089"/>
      <c r="AX54" s="4089"/>
      <c r="AY54" s="4089"/>
      <c r="AZ54" s="4089"/>
      <c r="BA54" s="4089"/>
      <c r="BB54" s="4089"/>
      <c r="BC54" s="4089"/>
      <c r="BD54" s="4089"/>
      <c r="BE54" s="4089"/>
      <c r="BF54" s="4089" t="s">
        <v>89</v>
      </c>
      <c r="BG54" s="4089"/>
      <c r="BH54" s="4089">
        <f>I54-BN54</f>
        <v>11.6</v>
      </c>
      <c r="BI54" s="4089"/>
      <c r="BJ54" s="4089"/>
      <c r="BK54" s="4089"/>
      <c r="BL54" s="4089"/>
      <c r="BM54" s="4089"/>
      <c r="BN54" s="4089">
        <f t="shared" si="12"/>
        <v>0.4</v>
      </c>
      <c r="BO54" s="878"/>
      <c r="BP54" s="878"/>
      <c r="BQ54" s="878"/>
      <c r="BR54" s="878"/>
      <c r="BS54" s="878"/>
      <c r="BT54" s="879"/>
      <c r="BU54" s="4384"/>
      <c r="BV54" s="4385">
        <f t="shared" si="0"/>
        <v>12</v>
      </c>
      <c r="BW54" s="4386">
        <f t="shared" si="10"/>
        <v>0</v>
      </c>
      <c r="BX54" s="4387"/>
      <c r="BY54" s="4387"/>
      <c r="BZ54" s="4387"/>
      <c r="CA54" s="4391"/>
      <c r="CC54" s="4392"/>
      <c r="CD54" s="4391"/>
    </row>
    <row r="55" s="4025" customFormat="1" ht="50" customHeight="1" spans="1:82">
      <c r="A55" s="3688">
        <v>45623</v>
      </c>
      <c r="B55" s="3689" t="s">
        <v>1016</v>
      </c>
      <c r="C55" s="3664" t="s">
        <v>396</v>
      </c>
      <c r="D55" s="3690">
        <v>4500152544</v>
      </c>
      <c r="E55" s="3664" t="s">
        <v>2832</v>
      </c>
      <c r="F55" s="3690" t="s">
        <v>2833</v>
      </c>
      <c r="G55" s="3664" t="s">
        <v>2827</v>
      </c>
      <c r="H55" s="3664" t="s">
        <v>2641</v>
      </c>
      <c r="I55" s="3691">
        <v>12</v>
      </c>
      <c r="J55" s="3691">
        <v>0</v>
      </c>
      <c r="K55" s="3691">
        <v>12</v>
      </c>
      <c r="L55" s="3691">
        <f t="shared" si="26"/>
        <v>1</v>
      </c>
      <c r="M55" s="3659">
        <v>45670</v>
      </c>
      <c r="N55" s="3659">
        <v>45666</v>
      </c>
      <c r="O55" s="4085"/>
      <c r="P55" s="3682" t="s">
        <v>82</v>
      </c>
      <c r="Q55" s="3682"/>
      <c r="R55" s="4083"/>
      <c r="S55" s="4083"/>
      <c r="T55" s="4083"/>
      <c r="U55" s="3645" t="s">
        <v>2828</v>
      </c>
      <c r="V55" s="3657" t="s">
        <v>384</v>
      </c>
      <c r="W55" s="3657"/>
      <c r="X55" s="3657" t="s">
        <v>2829</v>
      </c>
      <c r="Y55" s="3657" t="s">
        <v>532</v>
      </c>
      <c r="Z55" s="3661"/>
      <c r="AA55" s="3620" t="s">
        <v>2830</v>
      </c>
      <c r="AB55" s="3691" t="s">
        <v>2672</v>
      </c>
      <c r="AC55" s="3691">
        <v>2.0865</v>
      </c>
      <c r="AD55" s="3691">
        <v>25.038</v>
      </c>
      <c r="AE55" s="4098" t="s">
        <v>2831</v>
      </c>
      <c r="AF55" s="3664" t="s">
        <v>2827</v>
      </c>
      <c r="AG55" s="3645" t="s">
        <v>416</v>
      </c>
      <c r="AH55" s="905"/>
      <c r="AI55" s="3691"/>
      <c r="AJ55" s="3691"/>
      <c r="AK55" s="905"/>
      <c r="AL55" s="3664">
        <f t="shared" si="29"/>
        <v>12</v>
      </c>
      <c r="AM55" s="3664"/>
      <c r="AN55" s="3691"/>
      <c r="AO55" s="3691">
        <f t="shared" si="25"/>
        <v>12</v>
      </c>
      <c r="AP55" s="3691"/>
      <c r="AQ55" s="4089"/>
      <c r="AR55" s="877"/>
      <c r="AS55" s="4089"/>
      <c r="AT55" s="877"/>
      <c r="AU55" s="4089">
        <f t="shared" si="30"/>
        <v>12</v>
      </c>
      <c r="AV55" s="4089"/>
      <c r="AW55" s="4089"/>
      <c r="AX55" s="4089"/>
      <c r="AY55" s="4089"/>
      <c r="AZ55" s="4089"/>
      <c r="BA55" s="4089"/>
      <c r="BB55" s="4089"/>
      <c r="BC55" s="4089"/>
      <c r="BD55" s="4089"/>
      <c r="BE55" s="4089"/>
      <c r="BF55" s="4089" t="s">
        <v>89</v>
      </c>
      <c r="BG55" s="4089"/>
      <c r="BH55" s="4089">
        <f>I55-BN55</f>
        <v>11.6</v>
      </c>
      <c r="BI55" s="4089"/>
      <c r="BJ55" s="4089"/>
      <c r="BK55" s="4089"/>
      <c r="BL55" s="4089"/>
      <c r="BM55" s="4089"/>
      <c r="BN55" s="4089">
        <f t="shared" si="12"/>
        <v>0.4</v>
      </c>
      <c r="BO55" s="878"/>
      <c r="BP55" s="878"/>
      <c r="BQ55" s="878"/>
      <c r="BR55" s="878"/>
      <c r="BS55" s="878"/>
      <c r="BT55" s="879"/>
      <c r="BU55" s="4384"/>
      <c r="BV55" s="4385">
        <f t="shared" si="0"/>
        <v>12</v>
      </c>
      <c r="BW55" s="4386">
        <f t="shared" si="10"/>
        <v>0</v>
      </c>
      <c r="BX55" s="4387"/>
      <c r="BY55" s="4387"/>
      <c r="BZ55" s="4387"/>
      <c r="CA55" s="4391"/>
      <c r="CC55" s="4392"/>
      <c r="CD55" s="4391"/>
    </row>
    <row r="56" s="4025" customFormat="1" ht="50" customHeight="1" spans="1:82">
      <c r="A56" s="3688">
        <v>45623</v>
      </c>
      <c r="B56" s="3689" t="s">
        <v>1016</v>
      </c>
      <c r="C56" s="3664" t="s">
        <v>396</v>
      </c>
      <c r="D56" s="3690">
        <v>4500152544</v>
      </c>
      <c r="E56" s="3664" t="s">
        <v>2834</v>
      </c>
      <c r="F56" s="3690" t="s">
        <v>2835</v>
      </c>
      <c r="G56" s="3664" t="s">
        <v>2827</v>
      </c>
      <c r="H56" s="3664" t="s">
        <v>2641</v>
      </c>
      <c r="I56" s="3691">
        <v>12</v>
      </c>
      <c r="J56" s="3691">
        <v>0</v>
      </c>
      <c r="K56" s="3691">
        <v>12</v>
      </c>
      <c r="L56" s="3691">
        <f t="shared" si="26"/>
        <v>1</v>
      </c>
      <c r="M56" s="3659">
        <v>45670</v>
      </c>
      <c r="N56" s="3659">
        <v>45666</v>
      </c>
      <c r="O56" s="4085"/>
      <c r="P56" s="3682" t="s">
        <v>82</v>
      </c>
      <c r="Q56" s="3682"/>
      <c r="R56" s="4083"/>
      <c r="S56" s="4083"/>
      <c r="T56" s="4083"/>
      <c r="U56" s="3645" t="s">
        <v>2828</v>
      </c>
      <c r="V56" s="3657" t="s">
        <v>384</v>
      </c>
      <c r="W56" s="3657"/>
      <c r="X56" s="3657" t="s">
        <v>2829</v>
      </c>
      <c r="Y56" s="3657" t="s">
        <v>532</v>
      </c>
      <c r="Z56" s="3661"/>
      <c r="AA56" s="3620" t="s">
        <v>2830</v>
      </c>
      <c r="AB56" s="3691" t="s">
        <v>2672</v>
      </c>
      <c r="AC56" s="3691">
        <v>2.0865</v>
      </c>
      <c r="AD56" s="3691">
        <v>25.038</v>
      </c>
      <c r="AE56" s="4098" t="s">
        <v>2831</v>
      </c>
      <c r="AF56" s="3664" t="s">
        <v>2827</v>
      </c>
      <c r="AG56" s="3645" t="s">
        <v>416</v>
      </c>
      <c r="AH56" s="905"/>
      <c r="AI56" s="3691"/>
      <c r="AJ56" s="3691"/>
      <c r="AK56" s="905"/>
      <c r="AL56" s="3664">
        <f t="shared" si="29"/>
        <v>12</v>
      </c>
      <c r="AM56" s="3664"/>
      <c r="AN56" s="3691"/>
      <c r="AO56" s="3691">
        <f t="shared" si="25"/>
        <v>12</v>
      </c>
      <c r="AP56" s="3691"/>
      <c r="AQ56" s="4089"/>
      <c r="AR56" s="877"/>
      <c r="AS56" s="4089"/>
      <c r="AT56" s="877"/>
      <c r="AU56" s="4089">
        <f t="shared" si="30"/>
        <v>12</v>
      </c>
      <c r="AV56" s="4089"/>
      <c r="AW56" s="4089"/>
      <c r="AX56" s="4089"/>
      <c r="AY56" s="4089"/>
      <c r="AZ56" s="4089"/>
      <c r="BA56" s="4089"/>
      <c r="BB56" s="4089"/>
      <c r="BC56" s="4089"/>
      <c r="BD56" s="4089"/>
      <c r="BE56" s="4089"/>
      <c r="BF56" s="4089" t="s">
        <v>89</v>
      </c>
      <c r="BG56" s="4089"/>
      <c r="BH56" s="4089">
        <f>I56-BN56</f>
        <v>11.6</v>
      </c>
      <c r="BI56" s="4089"/>
      <c r="BJ56" s="4089"/>
      <c r="BK56" s="4089"/>
      <c r="BL56" s="4089"/>
      <c r="BM56" s="4089"/>
      <c r="BN56" s="4089">
        <f t="shared" si="12"/>
        <v>0.4</v>
      </c>
      <c r="BO56" s="878"/>
      <c r="BP56" s="878"/>
      <c r="BQ56" s="878"/>
      <c r="BR56" s="878"/>
      <c r="BS56" s="878"/>
      <c r="BT56" s="879"/>
      <c r="BU56" s="4384"/>
      <c r="BV56" s="4385">
        <f t="shared" si="0"/>
        <v>12</v>
      </c>
      <c r="BW56" s="4386">
        <f t="shared" si="10"/>
        <v>0</v>
      </c>
      <c r="BX56" s="4387"/>
      <c r="BY56" s="4387"/>
      <c r="BZ56" s="4387"/>
      <c r="CA56" s="4391"/>
      <c r="CC56" s="4392"/>
      <c r="CD56" s="4391"/>
    </row>
    <row r="57" s="4025" customFormat="1" ht="50" customHeight="1" spans="1:82">
      <c r="A57" s="3688">
        <v>45623</v>
      </c>
      <c r="B57" s="3689" t="s">
        <v>1016</v>
      </c>
      <c r="C57" s="3664" t="s">
        <v>396</v>
      </c>
      <c r="D57" s="3690">
        <v>4500152544</v>
      </c>
      <c r="E57" s="3664" t="s">
        <v>2836</v>
      </c>
      <c r="F57" s="3690" t="s">
        <v>2837</v>
      </c>
      <c r="G57" s="3664" t="s">
        <v>2827</v>
      </c>
      <c r="H57" s="3664" t="s">
        <v>2641</v>
      </c>
      <c r="I57" s="3691">
        <v>24</v>
      </c>
      <c r="J57" s="3691">
        <v>0</v>
      </c>
      <c r="K57" s="3691">
        <v>12</v>
      </c>
      <c r="L57" s="3691">
        <f t="shared" si="26"/>
        <v>2</v>
      </c>
      <c r="M57" s="3659">
        <v>45670</v>
      </c>
      <c r="N57" s="3659">
        <v>45666</v>
      </c>
      <c r="O57" s="4085"/>
      <c r="P57" s="3682" t="s">
        <v>82</v>
      </c>
      <c r="Q57" s="3682"/>
      <c r="R57" s="4083"/>
      <c r="S57" s="4083"/>
      <c r="T57" s="4083"/>
      <c r="U57" s="3645" t="s">
        <v>2828</v>
      </c>
      <c r="V57" s="3657" t="s">
        <v>384</v>
      </c>
      <c r="W57" s="3657"/>
      <c r="X57" s="3657" t="s">
        <v>2829</v>
      </c>
      <c r="Y57" s="3657" t="s">
        <v>532</v>
      </c>
      <c r="Z57" s="3661"/>
      <c r="AA57" s="3620" t="s">
        <v>2830</v>
      </c>
      <c r="AB57" s="3691" t="s">
        <v>2672</v>
      </c>
      <c r="AC57" s="3691">
        <v>2.0865</v>
      </c>
      <c r="AD57" s="3691">
        <v>50.076</v>
      </c>
      <c r="AE57" s="4098" t="s">
        <v>2831</v>
      </c>
      <c r="AF57" s="3664" t="s">
        <v>2827</v>
      </c>
      <c r="AG57" s="3645" t="s">
        <v>416</v>
      </c>
      <c r="AH57" s="905"/>
      <c r="AI57" s="3691"/>
      <c r="AJ57" s="3691"/>
      <c r="AK57" s="905"/>
      <c r="AL57" s="3664">
        <f t="shared" si="29"/>
        <v>24</v>
      </c>
      <c r="AM57" s="3664"/>
      <c r="AN57" s="3691"/>
      <c r="AO57" s="3691">
        <f t="shared" si="25"/>
        <v>24</v>
      </c>
      <c r="AP57" s="3691"/>
      <c r="AQ57" s="4089"/>
      <c r="AR57" s="877"/>
      <c r="AS57" s="4089"/>
      <c r="AT57" s="877"/>
      <c r="AU57" s="4089">
        <f t="shared" si="30"/>
        <v>24</v>
      </c>
      <c r="AV57" s="4089"/>
      <c r="AW57" s="4089"/>
      <c r="AX57" s="4089"/>
      <c r="AY57" s="4089"/>
      <c r="AZ57" s="4089"/>
      <c r="BA57" s="4089"/>
      <c r="BB57" s="4089"/>
      <c r="BC57" s="4089"/>
      <c r="BD57" s="4089"/>
      <c r="BE57" s="4089"/>
      <c r="BF57" s="4089" t="s">
        <v>89</v>
      </c>
      <c r="BG57" s="4089"/>
      <c r="BH57" s="4089">
        <f>I57-BN57</f>
        <v>23.2</v>
      </c>
      <c r="BI57" s="4089"/>
      <c r="BJ57" s="4089"/>
      <c r="BK57" s="4089"/>
      <c r="BL57" s="4089"/>
      <c r="BM57" s="4089"/>
      <c r="BN57" s="4089">
        <f t="shared" si="12"/>
        <v>0.8</v>
      </c>
      <c r="BO57" s="878"/>
      <c r="BP57" s="878"/>
      <c r="BQ57" s="878"/>
      <c r="BR57" s="878"/>
      <c r="BS57" s="878"/>
      <c r="BT57" s="879"/>
      <c r="BU57" s="4384"/>
      <c r="BV57" s="4385">
        <f t="shared" si="0"/>
        <v>24</v>
      </c>
      <c r="BW57" s="4386">
        <f t="shared" si="10"/>
        <v>0</v>
      </c>
      <c r="BX57" s="4387"/>
      <c r="BY57" s="4387"/>
      <c r="BZ57" s="4387"/>
      <c r="CA57" s="4391"/>
      <c r="CC57" s="4392"/>
      <c r="CD57" s="4391"/>
    </row>
    <row r="58" s="4025" customFormat="1" ht="50" customHeight="1" spans="1:82">
      <c r="A58" s="3688">
        <v>45623</v>
      </c>
      <c r="B58" s="3689" t="s">
        <v>1016</v>
      </c>
      <c r="C58" s="3664" t="s">
        <v>396</v>
      </c>
      <c r="D58" s="3690">
        <v>4500152544</v>
      </c>
      <c r="E58" s="3664" t="s">
        <v>2838</v>
      </c>
      <c r="F58" s="3690" t="s">
        <v>2839</v>
      </c>
      <c r="G58" s="3664" t="s">
        <v>2827</v>
      </c>
      <c r="H58" s="3664" t="s">
        <v>2641</v>
      </c>
      <c r="I58" s="3691">
        <v>12</v>
      </c>
      <c r="J58" s="3691">
        <v>0</v>
      </c>
      <c r="K58" s="3691">
        <v>12</v>
      </c>
      <c r="L58" s="3691">
        <f t="shared" si="26"/>
        <v>1</v>
      </c>
      <c r="M58" s="3659">
        <v>45670</v>
      </c>
      <c r="N58" s="3659">
        <v>45666</v>
      </c>
      <c r="O58" s="4085"/>
      <c r="P58" s="3682" t="s">
        <v>82</v>
      </c>
      <c r="Q58" s="3682"/>
      <c r="R58" s="4083"/>
      <c r="S58" s="4083"/>
      <c r="T58" s="4083"/>
      <c r="U58" s="3645" t="s">
        <v>2828</v>
      </c>
      <c r="V58" s="3657" t="s">
        <v>384</v>
      </c>
      <c r="W58" s="3657"/>
      <c r="X58" s="3657" t="s">
        <v>2829</v>
      </c>
      <c r="Y58" s="3657" t="s">
        <v>532</v>
      </c>
      <c r="Z58" s="3661"/>
      <c r="AA58" s="3620" t="s">
        <v>2830</v>
      </c>
      <c r="AB58" s="3691" t="s">
        <v>2672</v>
      </c>
      <c r="AC58" s="3691">
        <v>2.0865</v>
      </c>
      <c r="AD58" s="3691">
        <v>25.038</v>
      </c>
      <c r="AE58" s="4098" t="s">
        <v>2831</v>
      </c>
      <c r="AF58" s="3664" t="s">
        <v>2827</v>
      </c>
      <c r="AG58" s="3645" t="s">
        <v>416</v>
      </c>
      <c r="AH58" s="905"/>
      <c r="AI58" s="3691"/>
      <c r="AJ58" s="3691"/>
      <c r="AK58" s="905"/>
      <c r="AL58" s="3664">
        <f t="shared" si="29"/>
        <v>12</v>
      </c>
      <c r="AM58" s="3664"/>
      <c r="AN58" s="3691"/>
      <c r="AO58" s="3691">
        <f t="shared" si="25"/>
        <v>12</v>
      </c>
      <c r="AP58" s="3691"/>
      <c r="AQ58" s="4089"/>
      <c r="AR58" s="877"/>
      <c r="AS58" s="4089"/>
      <c r="AT58" s="877"/>
      <c r="AU58" s="4089">
        <f t="shared" si="30"/>
        <v>12</v>
      </c>
      <c r="AV58" s="4089"/>
      <c r="AW58" s="4089"/>
      <c r="AX58" s="4089"/>
      <c r="AY58" s="4089"/>
      <c r="AZ58" s="4089"/>
      <c r="BA58" s="4089"/>
      <c r="BB58" s="4089"/>
      <c r="BC58" s="4089"/>
      <c r="BD58" s="4089"/>
      <c r="BE58" s="4089"/>
      <c r="BF58" s="4089" t="s">
        <v>89</v>
      </c>
      <c r="BG58" s="4089"/>
      <c r="BH58" s="4089">
        <f>I58-BN58</f>
        <v>11.6</v>
      </c>
      <c r="BI58" s="4089"/>
      <c r="BJ58" s="4089"/>
      <c r="BK58" s="4089"/>
      <c r="BL58" s="4089"/>
      <c r="BM58" s="4089"/>
      <c r="BN58" s="4089">
        <f t="shared" si="12"/>
        <v>0.4</v>
      </c>
      <c r="BO58" s="878"/>
      <c r="BP58" s="878"/>
      <c r="BQ58" s="878"/>
      <c r="BR58" s="878"/>
      <c r="BS58" s="878"/>
      <c r="BT58" s="879"/>
      <c r="BU58" s="4384"/>
      <c r="BV58" s="4385">
        <f t="shared" si="0"/>
        <v>12</v>
      </c>
      <c r="BW58" s="4386">
        <f t="shared" si="10"/>
        <v>0</v>
      </c>
      <c r="BX58" s="4387"/>
      <c r="BY58" s="4387"/>
      <c r="BZ58" s="4387"/>
      <c r="CA58" s="4391"/>
      <c r="CC58" s="4392"/>
      <c r="CD58" s="4391"/>
    </row>
    <row r="59" s="4025" customFormat="1" ht="50" customHeight="1" spans="1:82">
      <c r="A59" s="3688">
        <v>45607</v>
      </c>
      <c r="B59" s="3664" t="s">
        <v>2645</v>
      </c>
      <c r="C59" s="3664" t="s">
        <v>2058</v>
      </c>
      <c r="D59" s="3691">
        <v>4500149708</v>
      </c>
      <c r="E59" s="3664">
        <v>5200005612</v>
      </c>
      <c r="F59" s="3691" t="s">
        <v>2840</v>
      </c>
      <c r="G59" s="3664" t="s">
        <v>2647</v>
      </c>
      <c r="H59" s="3664" t="s">
        <v>2648</v>
      </c>
      <c r="I59" s="3691">
        <v>3846</v>
      </c>
      <c r="J59" s="3691">
        <v>0</v>
      </c>
      <c r="K59" s="3691">
        <v>6</v>
      </c>
      <c r="L59" s="3691">
        <f t="shared" ref="L59:L122" si="31">I59/K59</f>
        <v>641</v>
      </c>
      <c r="M59" s="3659">
        <v>45670</v>
      </c>
      <c r="N59" s="3659">
        <v>45666</v>
      </c>
      <c r="O59" s="4085"/>
      <c r="P59" s="3682" t="s">
        <v>82</v>
      </c>
      <c r="Q59" s="3682"/>
      <c r="R59" s="4083"/>
      <c r="S59" s="4083"/>
      <c r="T59" s="4083"/>
      <c r="U59" s="3645" t="s">
        <v>2841</v>
      </c>
      <c r="V59" s="3657" t="s">
        <v>2815</v>
      </c>
      <c r="W59" s="3657"/>
      <c r="X59" s="3657" t="s">
        <v>2842</v>
      </c>
      <c r="Y59" s="3657"/>
      <c r="Z59" s="3661"/>
      <c r="AA59" s="3620" t="s">
        <v>2843</v>
      </c>
      <c r="AB59" s="3691" t="s">
        <v>578</v>
      </c>
      <c r="AC59" s="3691">
        <v>2.1956</v>
      </c>
      <c r="AD59" s="3691">
        <f>AC59*I59</f>
        <v>8444.2776</v>
      </c>
      <c r="AE59" s="4098" t="s">
        <v>2844</v>
      </c>
      <c r="AF59" s="959" t="s">
        <v>2652</v>
      </c>
      <c r="AG59" s="3645" t="s">
        <v>416</v>
      </c>
      <c r="AH59" s="875"/>
      <c r="AI59" s="3664"/>
      <c r="AJ59" s="3664"/>
      <c r="AK59" s="875"/>
      <c r="AL59" s="3664">
        <f t="shared" si="29"/>
        <v>3846</v>
      </c>
      <c r="AM59" s="3664"/>
      <c r="AN59" s="3691"/>
      <c r="AO59" s="3691">
        <f t="shared" si="25"/>
        <v>3846</v>
      </c>
      <c r="AP59" s="3691"/>
      <c r="AQ59" s="4089"/>
      <c r="AR59" s="877"/>
      <c r="AS59" s="4089"/>
      <c r="AT59" s="877"/>
      <c r="AU59" s="4089">
        <f t="shared" si="30"/>
        <v>3846</v>
      </c>
      <c r="AV59" s="4089">
        <f>I59/6</f>
        <v>641</v>
      </c>
      <c r="AW59" s="4089"/>
      <c r="AX59" s="4089"/>
      <c r="AY59" s="4089"/>
      <c r="AZ59" s="4089"/>
      <c r="BA59" s="4089"/>
      <c r="BB59" s="4089"/>
      <c r="BC59" s="4089"/>
      <c r="BD59" s="4089"/>
      <c r="BE59" s="4089"/>
      <c r="BF59" s="4089" t="s">
        <v>89</v>
      </c>
      <c r="BG59" s="4089"/>
      <c r="BH59" s="4089">
        <f t="shared" ref="BH59:BH90" si="32">I59/60*10</f>
        <v>641</v>
      </c>
      <c r="BI59" s="4089">
        <f t="shared" ref="BI59:BI90" si="33">I59/60*10</f>
        <v>641</v>
      </c>
      <c r="BJ59" s="4089">
        <f t="shared" ref="BJ59:BJ90" si="34">I59/60*10</f>
        <v>641</v>
      </c>
      <c r="BK59" s="4089">
        <f t="shared" ref="BK59:BK90" si="35">I59/60*10</f>
        <v>641</v>
      </c>
      <c r="BL59" s="4089">
        <f t="shared" ref="BL59:BL90" si="36">I59/60*10</f>
        <v>641</v>
      </c>
      <c r="BM59" s="4089">
        <f t="shared" ref="BM59:BM90" si="37">I59/60*8</f>
        <v>512.8</v>
      </c>
      <c r="BN59" s="4089">
        <f t="shared" si="12"/>
        <v>128.2</v>
      </c>
      <c r="BO59" s="878"/>
      <c r="BP59" s="878"/>
      <c r="BQ59" s="878"/>
      <c r="BR59" s="878"/>
      <c r="BS59" s="878"/>
      <c r="BT59" s="879"/>
      <c r="BU59" s="4384"/>
      <c r="BV59" s="4385">
        <f t="shared" si="0"/>
        <v>3846</v>
      </c>
      <c r="BW59" s="4386">
        <f t="shared" si="10"/>
        <v>0</v>
      </c>
      <c r="BX59" s="4387"/>
      <c r="BY59" s="4387"/>
      <c r="BZ59" s="4387"/>
      <c r="CA59" s="4391"/>
      <c r="CC59" s="4392"/>
      <c r="CD59" s="4391"/>
    </row>
    <row r="60" s="4025" customFormat="1" ht="50" customHeight="1" spans="1:82">
      <c r="A60" s="3688">
        <v>45603</v>
      </c>
      <c r="B60" s="3664" t="s">
        <v>387</v>
      </c>
      <c r="C60" s="3664" t="s">
        <v>91</v>
      </c>
      <c r="D60" s="3691">
        <v>4500150317</v>
      </c>
      <c r="E60" s="3664">
        <v>70054070</v>
      </c>
      <c r="F60" s="3691" t="s">
        <v>2845</v>
      </c>
      <c r="G60" s="3664" t="s">
        <v>2627</v>
      </c>
      <c r="H60" s="3691" t="s">
        <v>2591</v>
      </c>
      <c r="I60" s="3691">
        <v>360</v>
      </c>
      <c r="J60" s="3691">
        <v>0</v>
      </c>
      <c r="K60" s="3691">
        <v>24</v>
      </c>
      <c r="L60" s="3691">
        <f t="shared" si="31"/>
        <v>15</v>
      </c>
      <c r="M60" s="3659">
        <v>45670</v>
      </c>
      <c r="N60" s="3659">
        <v>45666</v>
      </c>
      <c r="O60" s="4085"/>
      <c r="P60" s="3682" t="s">
        <v>82</v>
      </c>
      <c r="Q60" s="3682"/>
      <c r="R60" s="4083"/>
      <c r="S60" s="4083"/>
      <c r="T60" s="4083"/>
      <c r="U60" s="3645" t="s">
        <v>138</v>
      </c>
      <c r="V60" s="3657" t="s">
        <v>411</v>
      </c>
      <c r="W60" s="3657"/>
      <c r="X60" s="3657" t="s">
        <v>98</v>
      </c>
      <c r="Y60" s="3657" t="s">
        <v>587</v>
      </c>
      <c r="Z60" s="3661"/>
      <c r="AA60" s="3620" t="s">
        <v>413</v>
      </c>
      <c r="AB60" s="3691" t="s">
        <v>393</v>
      </c>
      <c r="AC60" s="3691">
        <v>2.084</v>
      </c>
      <c r="AD60" s="3691">
        <f>AC60*I60</f>
        <v>750.24</v>
      </c>
      <c r="AE60" s="4098" t="s">
        <v>588</v>
      </c>
      <c r="AF60" s="3664" t="s">
        <v>2627</v>
      </c>
      <c r="AG60" s="3645" t="s">
        <v>416</v>
      </c>
      <c r="AH60" s="875"/>
      <c r="AI60" s="3691">
        <f>I60</f>
        <v>360</v>
      </c>
      <c r="AJ60" s="3691"/>
      <c r="AK60" s="875"/>
      <c r="AL60" s="3664"/>
      <c r="AM60" s="3664"/>
      <c r="AN60" s="3691"/>
      <c r="AO60" s="3691">
        <f t="shared" si="25"/>
        <v>360</v>
      </c>
      <c r="AP60" s="3691"/>
      <c r="AQ60" s="4089"/>
      <c r="AR60" s="877"/>
      <c r="AS60" s="4089">
        <f>I60</f>
        <v>360</v>
      </c>
      <c r="AT60" s="877"/>
      <c r="AU60" s="4089"/>
      <c r="AV60" s="4089"/>
      <c r="AW60" s="4089"/>
      <c r="AX60" s="4089"/>
      <c r="AY60" s="4089"/>
      <c r="AZ60" s="4089"/>
      <c r="BA60" s="4089"/>
      <c r="BB60" s="4089"/>
      <c r="BC60" s="4089"/>
      <c r="BD60" s="4089"/>
      <c r="BE60" s="4089"/>
      <c r="BF60" s="4089" t="s">
        <v>89</v>
      </c>
      <c r="BG60" s="4089"/>
      <c r="BH60" s="4089">
        <f t="shared" si="32"/>
        <v>60</v>
      </c>
      <c r="BI60" s="4089">
        <f t="shared" si="33"/>
        <v>60</v>
      </c>
      <c r="BJ60" s="4089">
        <f t="shared" si="34"/>
        <v>60</v>
      </c>
      <c r="BK60" s="4089">
        <f t="shared" si="35"/>
        <v>60</v>
      </c>
      <c r="BL60" s="4089">
        <f t="shared" si="36"/>
        <v>60</v>
      </c>
      <c r="BM60" s="4089">
        <f t="shared" si="37"/>
        <v>48</v>
      </c>
      <c r="BN60" s="4089">
        <f t="shared" si="12"/>
        <v>12</v>
      </c>
      <c r="BO60" s="878"/>
      <c r="BP60" s="878"/>
      <c r="BQ60" s="878"/>
      <c r="BR60" s="878"/>
      <c r="BS60" s="878"/>
      <c r="BT60" s="879"/>
      <c r="BU60" s="4384"/>
      <c r="BV60" s="4385">
        <f t="shared" si="0"/>
        <v>360</v>
      </c>
      <c r="BW60" s="4386">
        <f t="shared" si="10"/>
        <v>0</v>
      </c>
      <c r="BX60" s="4387"/>
      <c r="BY60" s="4387"/>
      <c r="BZ60" s="4387"/>
      <c r="CA60" s="4391"/>
      <c r="CC60" s="4392"/>
      <c r="CD60" s="4391"/>
    </row>
    <row r="61" s="4025" customFormat="1" ht="50" customHeight="1" spans="1:82">
      <c r="A61" s="3688">
        <v>45636</v>
      </c>
      <c r="B61" s="3664" t="s">
        <v>2846</v>
      </c>
      <c r="C61" s="3664" t="s">
        <v>91</v>
      </c>
      <c r="D61" s="3691">
        <v>4500153610</v>
      </c>
      <c r="E61" s="3664">
        <v>195953</v>
      </c>
      <c r="F61" s="3691" t="s">
        <v>2847</v>
      </c>
      <c r="G61" s="3664" t="s">
        <v>2848</v>
      </c>
      <c r="H61" s="3664" t="s">
        <v>2849</v>
      </c>
      <c r="I61" s="4401">
        <v>5040</v>
      </c>
      <c r="J61" s="3691">
        <v>0</v>
      </c>
      <c r="K61" s="3691">
        <v>24</v>
      </c>
      <c r="L61" s="3691">
        <f t="shared" si="31"/>
        <v>210</v>
      </c>
      <c r="M61" s="3659">
        <v>45671</v>
      </c>
      <c r="N61" s="3659">
        <v>45667</v>
      </c>
      <c r="O61" s="3664" t="s">
        <v>2850</v>
      </c>
      <c r="P61" s="3682" t="s">
        <v>82</v>
      </c>
      <c r="Q61" s="3682"/>
      <c r="R61" s="4083"/>
      <c r="S61" s="4083"/>
      <c r="T61" s="4083"/>
      <c r="U61" s="3645" t="s">
        <v>2851</v>
      </c>
      <c r="V61" s="3657" t="s">
        <v>574</v>
      </c>
      <c r="W61" s="3657"/>
      <c r="X61" s="3657" t="s">
        <v>2852</v>
      </c>
      <c r="Y61" s="3657"/>
      <c r="Z61" s="3661"/>
      <c r="AA61" s="3620" t="s">
        <v>2853</v>
      </c>
      <c r="AB61" s="3691" t="s">
        <v>1880</v>
      </c>
      <c r="AC61" s="4087">
        <v>2.215</v>
      </c>
      <c r="AD61" s="3691">
        <v>11163.6</v>
      </c>
      <c r="AE61" s="4098" t="s">
        <v>2854</v>
      </c>
      <c r="AF61" s="3664" t="s">
        <v>2848</v>
      </c>
      <c r="AG61" s="3645" t="s">
        <v>326</v>
      </c>
      <c r="AH61" s="905"/>
      <c r="AI61" s="3691">
        <f>I61</f>
        <v>5040</v>
      </c>
      <c r="AJ61" s="3691"/>
      <c r="AK61" s="905"/>
      <c r="AL61" s="3664"/>
      <c r="AM61" s="3664"/>
      <c r="AN61" s="3691"/>
      <c r="AO61" s="3691">
        <f t="shared" si="25"/>
        <v>5040</v>
      </c>
      <c r="AP61" s="3691"/>
      <c r="AQ61" s="4089"/>
      <c r="AR61" s="877"/>
      <c r="AS61" s="4089">
        <f>I61</f>
        <v>5040</v>
      </c>
      <c r="AT61" s="877"/>
      <c r="AU61" s="4089"/>
      <c r="AV61" s="4089"/>
      <c r="AW61" s="4089"/>
      <c r="AX61" s="4089"/>
      <c r="AY61" s="4089"/>
      <c r="AZ61" s="4089"/>
      <c r="BA61" s="4089"/>
      <c r="BB61" s="4089"/>
      <c r="BC61" s="4089"/>
      <c r="BD61" s="4089"/>
      <c r="BE61" s="4089"/>
      <c r="BF61" s="4089" t="s">
        <v>89</v>
      </c>
      <c r="BG61" s="4089"/>
      <c r="BH61" s="4089">
        <f t="shared" si="32"/>
        <v>840</v>
      </c>
      <c r="BI61" s="4089">
        <f t="shared" si="33"/>
        <v>840</v>
      </c>
      <c r="BJ61" s="4089">
        <f t="shared" si="34"/>
        <v>840</v>
      </c>
      <c r="BK61" s="4089">
        <f t="shared" si="35"/>
        <v>840</v>
      </c>
      <c r="BL61" s="4089">
        <f t="shared" si="36"/>
        <v>840</v>
      </c>
      <c r="BM61" s="4089">
        <f t="shared" si="37"/>
        <v>672</v>
      </c>
      <c r="BN61" s="4089">
        <f t="shared" si="12"/>
        <v>168</v>
      </c>
      <c r="BO61" s="878"/>
      <c r="BP61" s="878"/>
      <c r="BQ61" s="878"/>
      <c r="BR61" s="878"/>
      <c r="BS61" s="878"/>
      <c r="BT61" s="879"/>
      <c r="BU61" s="4384"/>
      <c r="BV61" s="4385">
        <f t="shared" si="0"/>
        <v>5040</v>
      </c>
      <c r="BW61" s="4386">
        <f t="shared" si="10"/>
        <v>0</v>
      </c>
      <c r="BX61" s="4387"/>
      <c r="BY61" s="4387"/>
      <c r="BZ61" s="4387"/>
      <c r="CA61" s="4391"/>
      <c r="CC61" s="4392"/>
      <c r="CD61" s="4391"/>
    </row>
    <row r="62" s="4025" customFormat="1" ht="50" customHeight="1" spans="1:82">
      <c r="A62" s="3688">
        <v>45642</v>
      </c>
      <c r="B62" s="3689" t="s">
        <v>2681</v>
      </c>
      <c r="C62" s="4381" t="s">
        <v>91</v>
      </c>
      <c r="D62" s="3690">
        <v>4500154083</v>
      </c>
      <c r="E62" s="3664" t="s">
        <v>2855</v>
      </c>
      <c r="F62" s="4086" t="s">
        <v>2856</v>
      </c>
      <c r="G62" s="3664" t="s">
        <v>2684</v>
      </c>
      <c r="H62" s="3664" t="s">
        <v>2591</v>
      </c>
      <c r="I62" s="3691">
        <v>3372</v>
      </c>
      <c r="J62" s="3691">
        <v>0</v>
      </c>
      <c r="K62" s="3691">
        <v>6</v>
      </c>
      <c r="L62" s="3691">
        <f t="shared" si="31"/>
        <v>562</v>
      </c>
      <c r="M62" s="3659">
        <v>45671</v>
      </c>
      <c r="N62" s="3659">
        <v>45667</v>
      </c>
      <c r="O62" s="4085"/>
      <c r="P62" s="3682" t="s">
        <v>82</v>
      </c>
      <c r="Q62" s="3682"/>
      <c r="R62" s="4083"/>
      <c r="S62" s="4083"/>
      <c r="T62" s="4083"/>
      <c r="U62" s="3645" t="s">
        <v>2841</v>
      </c>
      <c r="V62" s="3657" t="s">
        <v>619</v>
      </c>
      <c r="W62" s="3657"/>
      <c r="X62" s="3657" t="s">
        <v>98</v>
      </c>
      <c r="Y62" s="3657" t="s">
        <v>2857</v>
      </c>
      <c r="Z62" s="3661"/>
      <c r="AA62" s="3620" t="s">
        <v>2858</v>
      </c>
      <c r="AB62" s="3691" t="s">
        <v>2686</v>
      </c>
      <c r="AC62" s="4087">
        <v>2.1435</v>
      </c>
      <c r="AD62" s="3691">
        <f>AC62*I62</f>
        <v>7227.882</v>
      </c>
      <c r="AE62" s="4098" t="s">
        <v>2859</v>
      </c>
      <c r="AF62" s="3664" t="s">
        <v>2684</v>
      </c>
      <c r="AG62" s="3645" t="s">
        <v>416</v>
      </c>
      <c r="AH62" s="4349"/>
      <c r="AI62" s="3691">
        <f>I62</f>
        <v>3372</v>
      </c>
      <c r="AJ62" s="3691"/>
      <c r="AK62" s="875"/>
      <c r="AL62" s="3664"/>
      <c r="AM62" s="3664"/>
      <c r="AN62" s="3691"/>
      <c r="AO62" s="3691">
        <f t="shared" si="25"/>
        <v>3372</v>
      </c>
      <c r="AP62" s="3691"/>
      <c r="AQ62" s="4089"/>
      <c r="AR62" s="877"/>
      <c r="AS62" s="4089">
        <f>I62</f>
        <v>3372</v>
      </c>
      <c r="AT62" s="877"/>
      <c r="AU62" s="4089"/>
      <c r="AV62" s="4089"/>
      <c r="AW62" s="4089"/>
      <c r="AX62" s="4089">
        <f>I62/6</f>
        <v>562</v>
      </c>
      <c r="AY62" s="4089"/>
      <c r="AZ62" s="4089"/>
      <c r="BA62" s="4089"/>
      <c r="BB62" s="4089"/>
      <c r="BC62" s="4089"/>
      <c r="BD62" s="4089"/>
      <c r="BE62" s="4089"/>
      <c r="BF62" s="4089" t="s">
        <v>89</v>
      </c>
      <c r="BG62" s="4089"/>
      <c r="BH62" s="4089">
        <f t="shared" si="32"/>
        <v>562</v>
      </c>
      <c r="BI62" s="4089">
        <f t="shared" si="33"/>
        <v>562</v>
      </c>
      <c r="BJ62" s="4089">
        <f t="shared" si="34"/>
        <v>562</v>
      </c>
      <c r="BK62" s="4089">
        <f t="shared" si="35"/>
        <v>562</v>
      </c>
      <c r="BL62" s="4089">
        <f t="shared" si="36"/>
        <v>562</v>
      </c>
      <c r="BM62" s="4089">
        <f t="shared" si="37"/>
        <v>449.6</v>
      </c>
      <c r="BN62" s="4089">
        <f t="shared" si="12"/>
        <v>112.4</v>
      </c>
      <c r="BO62" s="878"/>
      <c r="BP62" s="878"/>
      <c r="BQ62" s="878"/>
      <c r="BR62" s="878"/>
      <c r="BS62" s="878"/>
      <c r="BT62" s="879"/>
      <c r="BU62" s="4384"/>
      <c r="BV62" s="4385">
        <f t="shared" si="0"/>
        <v>3372</v>
      </c>
      <c r="BW62" s="4386">
        <f t="shared" si="10"/>
        <v>0</v>
      </c>
      <c r="BX62" s="4387"/>
      <c r="BY62" s="4387"/>
      <c r="BZ62" s="4387"/>
      <c r="CA62" s="4391"/>
      <c r="CC62" s="4392"/>
      <c r="CD62" s="4391"/>
    </row>
    <row r="63" s="4025" customFormat="1" ht="50" customHeight="1" spans="1:82">
      <c r="A63" s="3688">
        <v>45610</v>
      </c>
      <c r="B63" s="3664" t="s">
        <v>589</v>
      </c>
      <c r="C63" s="3664" t="s">
        <v>569</v>
      </c>
      <c r="D63" s="3691">
        <v>4500151283</v>
      </c>
      <c r="E63" s="3664">
        <v>9412</v>
      </c>
      <c r="F63" s="3691" t="s">
        <v>2860</v>
      </c>
      <c r="G63" s="3664" t="s">
        <v>2861</v>
      </c>
      <c r="H63" s="3664" t="s">
        <v>2862</v>
      </c>
      <c r="I63" s="4401">
        <v>800</v>
      </c>
      <c r="J63" s="3691">
        <v>0</v>
      </c>
      <c r="K63" s="3691">
        <v>40</v>
      </c>
      <c r="L63" s="3691">
        <f t="shared" si="31"/>
        <v>20</v>
      </c>
      <c r="M63" s="3659">
        <v>45672</v>
      </c>
      <c r="N63" s="3659">
        <v>45668</v>
      </c>
      <c r="O63" s="4085"/>
      <c r="P63" s="3682" t="s">
        <v>82</v>
      </c>
      <c r="Q63" s="3682"/>
      <c r="R63" s="4083"/>
      <c r="S63" s="4083"/>
      <c r="T63" s="4083"/>
      <c r="U63" s="3645" t="s">
        <v>138</v>
      </c>
      <c r="V63" s="3657" t="s">
        <v>421</v>
      </c>
      <c r="W63" s="3657"/>
      <c r="X63" s="3657" t="s">
        <v>2863</v>
      </c>
      <c r="Y63" s="3657"/>
      <c r="Z63" s="3661"/>
      <c r="AA63" s="3620" t="s">
        <v>2864</v>
      </c>
      <c r="AB63" s="3691" t="s">
        <v>596</v>
      </c>
      <c r="AC63" s="4087">
        <v>105.3264</v>
      </c>
      <c r="AD63" s="3691">
        <f>AC63*L63</f>
        <v>2106.528</v>
      </c>
      <c r="AE63" s="4098" t="s">
        <v>597</v>
      </c>
      <c r="AF63" s="959" t="s">
        <v>2865</v>
      </c>
      <c r="AG63" s="3645" t="s">
        <v>326</v>
      </c>
      <c r="AH63" s="905"/>
      <c r="AI63" s="3664"/>
      <c r="AJ63" s="3664"/>
      <c r="AK63" s="905"/>
      <c r="AL63" s="3664">
        <f>I63</f>
        <v>800</v>
      </c>
      <c r="AM63" s="3664"/>
      <c r="AN63" s="3691"/>
      <c r="AO63" s="3691">
        <f t="shared" si="25"/>
        <v>800</v>
      </c>
      <c r="AP63" s="3691"/>
      <c r="AQ63" s="4089"/>
      <c r="AR63" s="907"/>
      <c r="AS63" s="4089"/>
      <c r="AT63" s="907"/>
      <c r="AU63" s="4089">
        <f>I63</f>
        <v>800</v>
      </c>
      <c r="AV63" s="4089"/>
      <c r="AW63" s="4089"/>
      <c r="AX63" s="4089"/>
      <c r="AY63" s="4089"/>
      <c r="AZ63" s="4089"/>
      <c r="BA63" s="4089"/>
      <c r="BB63" s="4089"/>
      <c r="BC63" s="4089"/>
      <c r="BD63" s="4089"/>
      <c r="BE63" s="4089">
        <f>I63/40</f>
        <v>20</v>
      </c>
      <c r="BF63" s="4089" t="s">
        <v>89</v>
      </c>
      <c r="BG63" s="4089">
        <f>I63</f>
        <v>800</v>
      </c>
      <c r="BH63" s="4089">
        <f t="shared" si="32"/>
        <v>133.333333333333</v>
      </c>
      <c r="BI63" s="4089">
        <f t="shared" si="33"/>
        <v>133.333333333333</v>
      </c>
      <c r="BJ63" s="4089">
        <f t="shared" si="34"/>
        <v>133.333333333333</v>
      </c>
      <c r="BK63" s="4089">
        <f t="shared" si="35"/>
        <v>133.333333333333</v>
      </c>
      <c r="BL63" s="4089">
        <f t="shared" si="36"/>
        <v>133.333333333333</v>
      </c>
      <c r="BM63" s="4089">
        <f t="shared" si="37"/>
        <v>106.666666666667</v>
      </c>
      <c r="BN63" s="4089">
        <f t="shared" si="12"/>
        <v>26.6666666666667</v>
      </c>
      <c r="BO63" s="4382"/>
      <c r="BP63" s="4382"/>
      <c r="BQ63" s="4382"/>
      <c r="BR63" s="4382"/>
      <c r="BS63" s="4382"/>
      <c r="BT63" s="4383"/>
      <c r="BU63" s="4384"/>
      <c r="BV63" s="4385">
        <f t="shared" si="0"/>
        <v>800</v>
      </c>
      <c r="BW63" s="4386">
        <f t="shared" si="10"/>
        <v>0</v>
      </c>
      <c r="BX63" s="4387"/>
      <c r="BY63" s="4387"/>
      <c r="BZ63" s="4387"/>
      <c r="CA63" s="4391"/>
      <c r="CC63" s="4392"/>
      <c r="CD63" s="4391"/>
    </row>
    <row r="64" s="4025" customFormat="1" ht="50" customHeight="1" spans="1:82">
      <c r="A64" s="3688">
        <v>45616</v>
      </c>
      <c r="B64" s="3664" t="s">
        <v>598</v>
      </c>
      <c r="C64" s="3664" t="s">
        <v>569</v>
      </c>
      <c r="D64" s="3691">
        <v>4500151811</v>
      </c>
      <c r="E64" s="3664"/>
      <c r="F64" s="3691" t="s">
        <v>2866</v>
      </c>
      <c r="G64" s="3664" t="s">
        <v>2861</v>
      </c>
      <c r="H64" s="3664" t="s">
        <v>2862</v>
      </c>
      <c r="I64" s="4401">
        <v>4000</v>
      </c>
      <c r="J64" s="3691">
        <v>0</v>
      </c>
      <c r="K64" s="3691">
        <v>40</v>
      </c>
      <c r="L64" s="3691">
        <f t="shared" si="31"/>
        <v>100</v>
      </c>
      <c r="M64" s="3659">
        <v>45672</v>
      </c>
      <c r="N64" s="3659">
        <v>45668</v>
      </c>
      <c r="O64" s="4085"/>
      <c r="P64" s="3682" t="s">
        <v>82</v>
      </c>
      <c r="Q64" s="3682"/>
      <c r="R64" s="4083"/>
      <c r="S64" s="4083"/>
      <c r="T64" s="4083"/>
      <c r="U64" s="3645" t="s">
        <v>556</v>
      </c>
      <c r="V64" s="3657" t="s">
        <v>600</v>
      </c>
      <c r="W64" s="3657"/>
      <c r="X64" s="3657" t="s">
        <v>2867</v>
      </c>
      <c r="Y64" s="3657"/>
      <c r="Z64" s="3661"/>
      <c r="AA64" s="3620" t="s">
        <v>2868</v>
      </c>
      <c r="AB64" s="3691" t="s">
        <v>596</v>
      </c>
      <c r="AC64" s="4087">
        <v>107.7653</v>
      </c>
      <c r="AD64" s="3691">
        <f>AC64*L64</f>
        <v>10776.53</v>
      </c>
      <c r="AE64" s="4098" t="s">
        <v>603</v>
      </c>
      <c r="AF64" s="959" t="s">
        <v>2865</v>
      </c>
      <c r="AG64" s="3645" t="s">
        <v>326</v>
      </c>
      <c r="AH64" s="905"/>
      <c r="AI64" s="3664"/>
      <c r="AJ64" s="3664"/>
      <c r="AK64" s="905"/>
      <c r="AL64" s="3664">
        <f>I64</f>
        <v>4000</v>
      </c>
      <c r="AM64" s="3664"/>
      <c r="AN64" s="3691"/>
      <c r="AO64" s="3691">
        <f t="shared" si="25"/>
        <v>4000</v>
      </c>
      <c r="AP64" s="3691"/>
      <c r="AQ64" s="4089"/>
      <c r="AR64" s="907"/>
      <c r="AS64" s="4089"/>
      <c r="AT64" s="907"/>
      <c r="AU64" s="4089">
        <f>I64</f>
        <v>4000</v>
      </c>
      <c r="AV64" s="4089"/>
      <c r="AW64" s="4089"/>
      <c r="AX64" s="4089"/>
      <c r="AY64" s="4089"/>
      <c r="AZ64" s="4089"/>
      <c r="BA64" s="4089"/>
      <c r="BB64" s="4089"/>
      <c r="BC64" s="4089"/>
      <c r="BD64" s="4089"/>
      <c r="BE64" s="4089">
        <f>I64/40</f>
        <v>100</v>
      </c>
      <c r="BF64" s="4089" t="s">
        <v>89</v>
      </c>
      <c r="BG64" s="4089"/>
      <c r="BH64" s="4089">
        <f t="shared" si="32"/>
        <v>666.666666666667</v>
      </c>
      <c r="BI64" s="4089">
        <f t="shared" si="33"/>
        <v>666.666666666667</v>
      </c>
      <c r="BJ64" s="4089">
        <f t="shared" si="34"/>
        <v>666.666666666667</v>
      </c>
      <c r="BK64" s="4089">
        <f t="shared" si="35"/>
        <v>666.666666666667</v>
      </c>
      <c r="BL64" s="4089">
        <f t="shared" si="36"/>
        <v>666.666666666667</v>
      </c>
      <c r="BM64" s="4089">
        <f t="shared" si="37"/>
        <v>533.333333333333</v>
      </c>
      <c r="BN64" s="4089">
        <f t="shared" si="12"/>
        <v>133.333333333333</v>
      </c>
      <c r="BO64" s="4382"/>
      <c r="BP64" s="4382"/>
      <c r="BQ64" s="4382"/>
      <c r="BR64" s="4382"/>
      <c r="BS64" s="4382"/>
      <c r="BT64" s="4383"/>
      <c r="BU64" s="4384"/>
      <c r="BV64" s="4385">
        <f t="shared" si="0"/>
        <v>4000</v>
      </c>
      <c r="BW64" s="4386">
        <f t="shared" si="10"/>
        <v>0</v>
      </c>
      <c r="BX64" s="4387"/>
      <c r="BY64" s="4387"/>
      <c r="BZ64" s="4387"/>
      <c r="CA64" s="4391"/>
      <c r="CC64" s="4392"/>
      <c r="CD64" s="4391"/>
    </row>
    <row r="65" s="4025" customFormat="1" ht="50" customHeight="1" spans="1:82">
      <c r="A65" s="3688">
        <v>45631</v>
      </c>
      <c r="B65" s="3664" t="s">
        <v>568</v>
      </c>
      <c r="C65" s="3664" t="s">
        <v>569</v>
      </c>
      <c r="D65" s="3691">
        <v>4500153302</v>
      </c>
      <c r="E65" s="3664">
        <v>2000006814</v>
      </c>
      <c r="F65" s="3691" t="s">
        <v>2869</v>
      </c>
      <c r="G65" s="3664" t="s">
        <v>2700</v>
      </c>
      <c r="H65" s="3664" t="s">
        <v>2591</v>
      </c>
      <c r="I65" s="3691">
        <v>816</v>
      </c>
      <c r="J65" s="3691">
        <v>0</v>
      </c>
      <c r="K65" s="3691">
        <v>12</v>
      </c>
      <c r="L65" s="3691">
        <f t="shared" si="31"/>
        <v>68</v>
      </c>
      <c r="M65" s="3659">
        <v>45672</v>
      </c>
      <c r="N65" s="3659">
        <v>45668</v>
      </c>
      <c r="O65" s="3664" t="s">
        <v>572</v>
      </c>
      <c r="P65" s="3682" t="s">
        <v>82</v>
      </c>
      <c r="Q65" s="3682"/>
      <c r="R65" s="4083"/>
      <c r="S65" s="4083"/>
      <c r="T65" s="4083"/>
      <c r="U65" s="3645" t="s">
        <v>573</v>
      </c>
      <c r="V65" s="3657" t="s">
        <v>574</v>
      </c>
      <c r="W65" s="3657"/>
      <c r="X65" s="3657" t="s">
        <v>575</v>
      </c>
      <c r="Y65" s="3657"/>
      <c r="Z65" s="3691" t="s">
        <v>576</v>
      </c>
      <c r="AA65" s="3620" t="s">
        <v>2870</v>
      </c>
      <c r="AB65" s="3691" t="s">
        <v>578</v>
      </c>
      <c r="AC65" s="3691">
        <v>2.1891</v>
      </c>
      <c r="AD65" s="3691">
        <f>AC65*I65</f>
        <v>1786.3056</v>
      </c>
      <c r="AE65" s="4098" t="s">
        <v>579</v>
      </c>
      <c r="AF65" s="3664" t="s">
        <v>2871</v>
      </c>
      <c r="AG65" s="3645" t="s">
        <v>416</v>
      </c>
      <c r="AH65" s="875"/>
      <c r="AI65" s="3664"/>
      <c r="AJ65" s="3664"/>
      <c r="AK65" s="875"/>
      <c r="AL65" s="3664">
        <f>I65</f>
        <v>816</v>
      </c>
      <c r="AM65" s="3664"/>
      <c r="AN65" s="3691"/>
      <c r="AO65" s="3691">
        <f t="shared" si="25"/>
        <v>816</v>
      </c>
      <c r="AP65" s="3691"/>
      <c r="AQ65" s="4089"/>
      <c r="AR65" s="877"/>
      <c r="AS65" s="4089"/>
      <c r="AT65" s="877"/>
      <c r="AU65" s="4089">
        <f>I65</f>
        <v>816</v>
      </c>
      <c r="AV65" s="4089">
        <f>I65/6</f>
        <v>136</v>
      </c>
      <c r="AW65" s="4089"/>
      <c r="AX65" s="4089"/>
      <c r="AY65" s="4089"/>
      <c r="AZ65" s="4089"/>
      <c r="BA65" s="4089"/>
      <c r="BB65" s="4089"/>
      <c r="BC65" s="4089"/>
      <c r="BD65" s="4089"/>
      <c r="BE65" s="4089"/>
      <c r="BF65" s="4089" t="s">
        <v>89</v>
      </c>
      <c r="BG65" s="4089"/>
      <c r="BH65" s="4089">
        <f t="shared" si="32"/>
        <v>136</v>
      </c>
      <c r="BI65" s="4089">
        <f t="shared" si="33"/>
        <v>136</v>
      </c>
      <c r="BJ65" s="4089">
        <f t="shared" si="34"/>
        <v>136</v>
      </c>
      <c r="BK65" s="4089">
        <f t="shared" si="35"/>
        <v>136</v>
      </c>
      <c r="BL65" s="4089">
        <f t="shared" si="36"/>
        <v>136</v>
      </c>
      <c r="BM65" s="4089">
        <f t="shared" si="37"/>
        <v>108.8</v>
      </c>
      <c r="BN65" s="4089">
        <f t="shared" si="12"/>
        <v>27.2</v>
      </c>
      <c r="BO65" s="878"/>
      <c r="BP65" s="878"/>
      <c r="BQ65" s="878"/>
      <c r="BR65" s="878"/>
      <c r="BS65" s="878"/>
      <c r="BT65" s="879"/>
      <c r="BU65" s="4384"/>
      <c r="BV65" s="4385">
        <f t="shared" si="0"/>
        <v>816</v>
      </c>
      <c r="BW65" s="4386">
        <f t="shared" si="10"/>
        <v>0</v>
      </c>
      <c r="BX65" s="4387"/>
      <c r="BY65" s="4387"/>
      <c r="BZ65" s="4387"/>
      <c r="CA65" s="4391"/>
      <c r="CC65" s="4392"/>
      <c r="CD65" s="4391"/>
    </row>
    <row r="66" s="4025" customFormat="1" ht="50" customHeight="1" spans="1:82">
      <c r="A66" s="3688">
        <v>45632</v>
      </c>
      <c r="B66" s="3664" t="s">
        <v>2872</v>
      </c>
      <c r="C66" s="3664" t="s">
        <v>471</v>
      </c>
      <c r="D66" s="3691">
        <v>4500153463</v>
      </c>
      <c r="E66" s="5456" t="s">
        <v>2873</v>
      </c>
      <c r="F66" s="3691" t="s">
        <v>2874</v>
      </c>
      <c r="G66" s="3664" t="s">
        <v>2806</v>
      </c>
      <c r="H66" s="3664" t="s">
        <v>2591</v>
      </c>
      <c r="I66" s="3691">
        <v>720</v>
      </c>
      <c r="J66" s="3691">
        <v>0</v>
      </c>
      <c r="K66" s="3691">
        <v>12</v>
      </c>
      <c r="L66" s="3691">
        <f t="shared" si="31"/>
        <v>60</v>
      </c>
      <c r="M66" s="3659">
        <v>45672</v>
      </c>
      <c r="N66" s="3659">
        <v>45668</v>
      </c>
      <c r="O66" s="4085"/>
      <c r="P66" s="3682" t="s">
        <v>82</v>
      </c>
      <c r="Q66" s="3682"/>
      <c r="R66" s="4083"/>
      <c r="S66" s="4083"/>
      <c r="T66" s="4083"/>
      <c r="U66" s="3645" t="s">
        <v>2345</v>
      </c>
      <c r="V66" s="3657" t="s">
        <v>2875</v>
      </c>
      <c r="W66" s="3657"/>
      <c r="X66" s="3657" t="s">
        <v>2876</v>
      </c>
      <c r="Y66" s="3657"/>
      <c r="Z66" s="3661"/>
      <c r="AA66" s="3620" t="s">
        <v>2877</v>
      </c>
      <c r="AB66" s="3691" t="s">
        <v>2878</v>
      </c>
      <c r="AC66" s="3691">
        <v>2.2089</v>
      </c>
      <c r="AD66" s="3691">
        <f>AC66*I66</f>
        <v>1590.408</v>
      </c>
      <c r="AE66" s="4098" t="s">
        <v>2879</v>
      </c>
      <c r="AF66" s="3664" t="s">
        <v>2880</v>
      </c>
      <c r="AG66" s="3645" t="s">
        <v>416</v>
      </c>
      <c r="AH66" s="875"/>
      <c r="AI66" s="3691"/>
      <c r="AJ66" s="3691"/>
      <c r="AK66" s="875"/>
      <c r="AL66" s="3664">
        <f>I66</f>
        <v>720</v>
      </c>
      <c r="AM66" s="3664"/>
      <c r="AN66" s="3691"/>
      <c r="AO66" s="3691">
        <f t="shared" si="25"/>
        <v>720</v>
      </c>
      <c r="AP66" s="3691"/>
      <c r="AQ66" s="4089"/>
      <c r="AR66" s="877"/>
      <c r="AS66" s="4089">
        <f t="shared" ref="AS66:AS98" si="38">I66</f>
        <v>720</v>
      </c>
      <c r="AT66" s="877"/>
      <c r="AU66" s="4089"/>
      <c r="AV66" s="4089"/>
      <c r="AW66" s="4089"/>
      <c r="AX66" s="4089">
        <f>I66/6</f>
        <v>120</v>
      </c>
      <c r="AY66" s="4089"/>
      <c r="AZ66" s="4089"/>
      <c r="BA66" s="4089"/>
      <c r="BB66" s="4089"/>
      <c r="BC66" s="4089"/>
      <c r="BD66" s="4089"/>
      <c r="BE66" s="4089"/>
      <c r="BF66" s="4089" t="s">
        <v>89</v>
      </c>
      <c r="BG66" s="4089"/>
      <c r="BH66" s="4089">
        <f t="shared" si="32"/>
        <v>120</v>
      </c>
      <c r="BI66" s="4089">
        <f t="shared" si="33"/>
        <v>120</v>
      </c>
      <c r="BJ66" s="4089">
        <f t="shared" si="34"/>
        <v>120</v>
      </c>
      <c r="BK66" s="4089">
        <f t="shared" si="35"/>
        <v>120</v>
      </c>
      <c r="BL66" s="4089">
        <f t="shared" si="36"/>
        <v>120</v>
      </c>
      <c r="BM66" s="4089">
        <f t="shared" si="37"/>
        <v>96</v>
      </c>
      <c r="BN66" s="4089">
        <f t="shared" si="12"/>
        <v>24</v>
      </c>
      <c r="BO66" s="878"/>
      <c r="BP66" s="878"/>
      <c r="BQ66" s="878"/>
      <c r="BR66" s="878"/>
      <c r="BS66" s="878"/>
      <c r="BT66" s="879"/>
      <c r="BU66" s="4384"/>
      <c r="BV66" s="4385">
        <f t="shared" si="0"/>
        <v>720</v>
      </c>
      <c r="BW66" s="4386">
        <f t="shared" si="10"/>
        <v>0</v>
      </c>
      <c r="BX66" s="4387"/>
      <c r="BY66" s="4387"/>
      <c r="BZ66" s="4387"/>
      <c r="CA66" s="4391"/>
      <c r="CC66" s="4392"/>
      <c r="CD66" s="4391"/>
    </row>
    <row r="67" s="4025" customFormat="1" ht="50" customHeight="1" spans="1:82">
      <c r="A67" s="3688">
        <v>45642</v>
      </c>
      <c r="B67" s="3689" t="s">
        <v>2681</v>
      </c>
      <c r="C67" s="3664" t="s">
        <v>91</v>
      </c>
      <c r="D67" s="3690">
        <v>4500154099</v>
      </c>
      <c r="E67" s="3664" t="s">
        <v>2881</v>
      </c>
      <c r="F67" s="3690" t="s">
        <v>2882</v>
      </c>
      <c r="G67" s="3664" t="s">
        <v>2684</v>
      </c>
      <c r="H67" s="3664" t="s">
        <v>2591</v>
      </c>
      <c r="I67" s="3691">
        <v>4644</v>
      </c>
      <c r="J67" s="3691">
        <v>0</v>
      </c>
      <c r="K67" s="3691">
        <v>6</v>
      </c>
      <c r="L67" s="3691">
        <f t="shared" si="31"/>
        <v>774</v>
      </c>
      <c r="M67" s="3659">
        <v>45672</v>
      </c>
      <c r="N67" s="3659">
        <v>45668</v>
      </c>
      <c r="O67" s="4085"/>
      <c r="P67" s="3682" t="s">
        <v>82</v>
      </c>
      <c r="Q67" s="3682"/>
      <c r="R67" s="4083"/>
      <c r="S67" s="4083"/>
      <c r="T67" s="4083"/>
      <c r="U67" s="3645" t="s">
        <v>2841</v>
      </c>
      <c r="V67" s="3657" t="s">
        <v>619</v>
      </c>
      <c r="W67" s="3657"/>
      <c r="X67" s="3657" t="s">
        <v>98</v>
      </c>
      <c r="Y67" s="3657" t="s">
        <v>2857</v>
      </c>
      <c r="Z67" s="3661"/>
      <c r="AA67" s="3620" t="s">
        <v>2883</v>
      </c>
      <c r="AB67" s="3691" t="s">
        <v>2686</v>
      </c>
      <c r="AC67" s="4087">
        <v>2.1435</v>
      </c>
      <c r="AD67" s="3691">
        <f>AC67*I67</f>
        <v>9954.414</v>
      </c>
      <c r="AE67" s="4098" t="s">
        <v>2884</v>
      </c>
      <c r="AF67" s="3664" t="s">
        <v>2684</v>
      </c>
      <c r="AG67" s="3645" t="s">
        <v>416</v>
      </c>
      <c r="AH67" s="875"/>
      <c r="AI67" s="3691">
        <f>I67</f>
        <v>4644</v>
      </c>
      <c r="AJ67" s="3691"/>
      <c r="AK67" s="875"/>
      <c r="AL67" s="3664"/>
      <c r="AM67" s="3664"/>
      <c r="AN67" s="3691"/>
      <c r="AO67" s="3691">
        <f t="shared" si="25"/>
        <v>4644</v>
      </c>
      <c r="AP67" s="3691"/>
      <c r="AQ67" s="4089"/>
      <c r="AR67" s="877"/>
      <c r="AS67" s="4089">
        <f t="shared" si="38"/>
        <v>4644</v>
      </c>
      <c r="AT67" s="877"/>
      <c r="AU67" s="4089"/>
      <c r="AV67" s="4089"/>
      <c r="AW67" s="4089"/>
      <c r="AX67" s="4089">
        <f>I67/6</f>
        <v>774</v>
      </c>
      <c r="AY67" s="4089"/>
      <c r="AZ67" s="4089"/>
      <c r="BA67" s="4089"/>
      <c r="BB67" s="4089"/>
      <c r="BC67" s="4089"/>
      <c r="BD67" s="4089"/>
      <c r="BE67" s="4089"/>
      <c r="BF67" s="4089" t="s">
        <v>89</v>
      </c>
      <c r="BG67" s="4089"/>
      <c r="BH67" s="4089">
        <f t="shared" si="32"/>
        <v>774</v>
      </c>
      <c r="BI67" s="4089">
        <f t="shared" si="33"/>
        <v>774</v>
      </c>
      <c r="BJ67" s="4089">
        <f t="shared" si="34"/>
        <v>774</v>
      </c>
      <c r="BK67" s="4089">
        <f t="shared" si="35"/>
        <v>774</v>
      </c>
      <c r="BL67" s="4089">
        <f t="shared" si="36"/>
        <v>774</v>
      </c>
      <c r="BM67" s="4089">
        <f t="shared" si="37"/>
        <v>619.2</v>
      </c>
      <c r="BN67" s="4089">
        <f t="shared" si="12"/>
        <v>154.8</v>
      </c>
      <c r="BO67" s="878"/>
      <c r="BP67" s="878"/>
      <c r="BQ67" s="878"/>
      <c r="BR67" s="878"/>
      <c r="BS67" s="878"/>
      <c r="BT67" s="879"/>
      <c r="BU67" s="4384"/>
      <c r="BV67" s="4385">
        <f t="shared" si="0"/>
        <v>4644</v>
      </c>
      <c r="BW67" s="4386">
        <f t="shared" si="10"/>
        <v>0</v>
      </c>
      <c r="BX67" s="4387"/>
      <c r="BY67" s="4387"/>
      <c r="BZ67" s="4387"/>
      <c r="CA67" s="4391"/>
      <c r="CC67" s="4392"/>
      <c r="CD67" s="4391"/>
    </row>
    <row r="68" s="4025" customFormat="1" ht="50" customHeight="1" spans="1:82">
      <c r="A68" s="3688">
        <v>45632</v>
      </c>
      <c r="B68" s="3664" t="s">
        <v>2885</v>
      </c>
      <c r="C68" s="3664" t="s">
        <v>1279</v>
      </c>
      <c r="D68" s="3691">
        <v>4500153372</v>
      </c>
      <c r="E68" s="3664"/>
      <c r="F68" s="3691" t="s">
        <v>2886</v>
      </c>
      <c r="G68" s="3664" t="s">
        <v>2627</v>
      </c>
      <c r="H68" s="3691" t="s">
        <v>2591</v>
      </c>
      <c r="I68" s="3691">
        <v>480</v>
      </c>
      <c r="J68" s="3691">
        <v>0</v>
      </c>
      <c r="K68" s="3691">
        <v>24</v>
      </c>
      <c r="L68" s="3691">
        <f t="shared" si="31"/>
        <v>20</v>
      </c>
      <c r="M68" s="3659">
        <v>45672</v>
      </c>
      <c r="N68" s="3659">
        <v>45668</v>
      </c>
      <c r="O68" s="4085"/>
      <c r="P68" s="3682" t="s">
        <v>82</v>
      </c>
      <c r="Q68" s="3682"/>
      <c r="R68" s="4083"/>
      <c r="S68" s="4083"/>
      <c r="T68" s="4083"/>
      <c r="U68" s="3645" t="s">
        <v>564</v>
      </c>
      <c r="V68" s="3657" t="s">
        <v>2807</v>
      </c>
      <c r="W68" s="3657"/>
      <c r="X68" s="3657" t="s">
        <v>2887</v>
      </c>
      <c r="Y68" s="3657"/>
      <c r="Z68" s="3661"/>
      <c r="AA68" s="3620" t="s">
        <v>2888</v>
      </c>
      <c r="AB68" s="3691" t="s">
        <v>2762</v>
      </c>
      <c r="AC68" s="4087">
        <v>2.1332</v>
      </c>
      <c r="AD68" s="3691">
        <f>AC68*I68</f>
        <v>1023.936</v>
      </c>
      <c r="AE68" s="4098" t="s">
        <v>2889</v>
      </c>
      <c r="AF68" s="3664" t="s">
        <v>2890</v>
      </c>
      <c r="AG68" s="3645" t="s">
        <v>416</v>
      </c>
      <c r="AH68" s="875"/>
      <c r="AI68" s="3664"/>
      <c r="AJ68" s="3664"/>
      <c r="AK68" s="875"/>
      <c r="AL68" s="3664">
        <f>I68</f>
        <v>480</v>
      </c>
      <c r="AM68" s="3664"/>
      <c r="AN68" s="3691"/>
      <c r="AO68" s="3691">
        <f t="shared" si="25"/>
        <v>480</v>
      </c>
      <c r="AP68" s="3691"/>
      <c r="AQ68" s="4089"/>
      <c r="AR68" s="877"/>
      <c r="AS68" s="4089">
        <f t="shared" si="38"/>
        <v>480</v>
      </c>
      <c r="AT68" s="877"/>
      <c r="AU68" s="4089"/>
      <c r="AV68" s="4089"/>
      <c r="AW68" s="4089"/>
      <c r="AX68" s="4089"/>
      <c r="AY68" s="4089"/>
      <c r="AZ68" s="4089"/>
      <c r="BA68" s="4089"/>
      <c r="BB68" s="4089"/>
      <c r="BC68" s="4089"/>
      <c r="BD68" s="4089"/>
      <c r="BE68" s="4089"/>
      <c r="BF68" s="4089" t="s">
        <v>89</v>
      </c>
      <c r="BG68" s="4089"/>
      <c r="BH68" s="4089">
        <f t="shared" si="32"/>
        <v>80</v>
      </c>
      <c r="BI68" s="4089">
        <f t="shared" si="33"/>
        <v>80</v>
      </c>
      <c r="BJ68" s="4089">
        <f t="shared" si="34"/>
        <v>80</v>
      </c>
      <c r="BK68" s="4089">
        <f t="shared" si="35"/>
        <v>80</v>
      </c>
      <c r="BL68" s="4089">
        <f t="shared" si="36"/>
        <v>80</v>
      </c>
      <c r="BM68" s="4089">
        <f t="shared" si="37"/>
        <v>64</v>
      </c>
      <c r="BN68" s="4089">
        <f t="shared" si="12"/>
        <v>16</v>
      </c>
      <c r="BO68" s="878"/>
      <c r="BP68" s="878"/>
      <c r="BQ68" s="878"/>
      <c r="BR68" s="878"/>
      <c r="BS68" s="878"/>
      <c r="BT68" s="879"/>
      <c r="BU68" s="4384"/>
      <c r="BV68" s="4385">
        <f t="shared" ref="BV68:BV131" si="39">SUM(BH68:BU68)</f>
        <v>480</v>
      </c>
      <c r="BW68" s="4386">
        <f t="shared" si="10"/>
        <v>0</v>
      </c>
      <c r="BX68" s="4387"/>
      <c r="BY68" s="4387"/>
      <c r="BZ68" s="4387"/>
      <c r="CA68" s="4391"/>
      <c r="CC68" s="4392"/>
      <c r="CD68" s="4391"/>
    </row>
    <row r="69" s="4025" customFormat="1" ht="50" customHeight="1" spans="1:82">
      <c r="A69" s="3688">
        <v>45631</v>
      </c>
      <c r="B69" s="3664" t="s">
        <v>2891</v>
      </c>
      <c r="C69" s="3664" t="s">
        <v>1279</v>
      </c>
      <c r="D69" s="3691">
        <v>4500153328</v>
      </c>
      <c r="E69" s="3664"/>
      <c r="F69" s="3691" t="s">
        <v>2892</v>
      </c>
      <c r="G69" s="3664" t="s">
        <v>2627</v>
      </c>
      <c r="H69" s="3691" t="s">
        <v>2591</v>
      </c>
      <c r="I69" s="3691">
        <v>1200</v>
      </c>
      <c r="J69" s="3691">
        <v>0</v>
      </c>
      <c r="K69" s="3691">
        <v>24</v>
      </c>
      <c r="L69" s="3691">
        <f t="shared" si="31"/>
        <v>50</v>
      </c>
      <c r="M69" s="3659">
        <v>45672</v>
      </c>
      <c r="N69" s="3659">
        <v>45668</v>
      </c>
      <c r="O69" s="4085"/>
      <c r="P69" s="3682" t="s">
        <v>82</v>
      </c>
      <c r="Q69" s="3682"/>
      <c r="R69" s="4083"/>
      <c r="S69" s="4083"/>
      <c r="T69" s="4083"/>
      <c r="U69" s="3645" t="s">
        <v>2893</v>
      </c>
      <c r="V69" s="3657" t="s">
        <v>2600</v>
      </c>
      <c r="W69" s="3657"/>
      <c r="X69" s="3657" t="s">
        <v>2894</v>
      </c>
      <c r="Y69" s="3657"/>
      <c r="Z69" s="3661"/>
      <c r="AA69" s="3620" t="s">
        <v>2895</v>
      </c>
      <c r="AB69" s="3691" t="s">
        <v>2762</v>
      </c>
      <c r="AC69" s="4087">
        <v>2.1285</v>
      </c>
      <c r="AD69" s="3691">
        <f>AC69*L69</f>
        <v>106.425</v>
      </c>
      <c r="AE69" s="3645"/>
      <c r="AF69" s="3664" t="s">
        <v>2890</v>
      </c>
      <c r="AG69" s="3645" t="s">
        <v>416</v>
      </c>
      <c r="AH69" s="875"/>
      <c r="AI69" s="3664"/>
      <c r="AJ69" s="3664"/>
      <c r="AK69" s="875"/>
      <c r="AL69" s="3664">
        <f>I69</f>
        <v>1200</v>
      </c>
      <c r="AM69" s="3664"/>
      <c r="AN69" s="3691"/>
      <c r="AO69" s="3691">
        <f t="shared" si="25"/>
        <v>1200</v>
      </c>
      <c r="AP69" s="3691"/>
      <c r="AQ69" s="4089"/>
      <c r="AR69" s="877"/>
      <c r="AS69" s="4089">
        <f t="shared" si="38"/>
        <v>1200</v>
      </c>
      <c r="AT69" s="877"/>
      <c r="AU69" s="4089"/>
      <c r="AV69" s="4089"/>
      <c r="AW69" s="4089"/>
      <c r="AX69" s="4089"/>
      <c r="AY69" s="4089"/>
      <c r="AZ69" s="4089"/>
      <c r="BA69" s="4089"/>
      <c r="BB69" s="4089"/>
      <c r="BC69" s="4089"/>
      <c r="BD69" s="4089"/>
      <c r="BE69" s="4089"/>
      <c r="BF69" s="4089" t="s">
        <v>89</v>
      </c>
      <c r="BG69" s="4089"/>
      <c r="BH69" s="4089">
        <f t="shared" si="32"/>
        <v>200</v>
      </c>
      <c r="BI69" s="4089">
        <f t="shared" si="33"/>
        <v>200</v>
      </c>
      <c r="BJ69" s="4089">
        <f t="shared" si="34"/>
        <v>200</v>
      </c>
      <c r="BK69" s="4089">
        <f t="shared" si="35"/>
        <v>200</v>
      </c>
      <c r="BL69" s="4089">
        <f t="shared" si="36"/>
        <v>200</v>
      </c>
      <c r="BM69" s="4089">
        <f t="shared" si="37"/>
        <v>160</v>
      </c>
      <c r="BN69" s="4089">
        <f t="shared" si="12"/>
        <v>40</v>
      </c>
      <c r="BO69" s="878"/>
      <c r="BP69" s="878"/>
      <c r="BQ69" s="878"/>
      <c r="BR69" s="878"/>
      <c r="BS69" s="878"/>
      <c r="BT69" s="879"/>
      <c r="BU69" s="4384"/>
      <c r="BV69" s="4385">
        <f t="shared" si="39"/>
        <v>1200</v>
      </c>
      <c r="BW69" s="4386">
        <f t="shared" ref="BW69:BW132" si="40">I69-BV69</f>
        <v>0</v>
      </c>
      <c r="BX69" s="4387"/>
      <c r="BY69" s="4387"/>
      <c r="BZ69" s="4387"/>
      <c r="CA69" s="4391"/>
      <c r="CC69" s="4392"/>
      <c r="CD69" s="4391"/>
    </row>
    <row r="70" s="4025" customFormat="1" ht="50" customHeight="1" spans="1:82">
      <c r="A70" s="3688">
        <v>45603</v>
      </c>
      <c r="B70" s="3664" t="s">
        <v>387</v>
      </c>
      <c r="C70" s="3664" t="s">
        <v>91</v>
      </c>
      <c r="D70" s="3691">
        <v>4500150534</v>
      </c>
      <c r="E70" s="3664">
        <v>70054074</v>
      </c>
      <c r="F70" s="3691" t="s">
        <v>2896</v>
      </c>
      <c r="G70" s="3664" t="s">
        <v>2627</v>
      </c>
      <c r="H70" s="3691" t="s">
        <v>2591</v>
      </c>
      <c r="I70" s="3691">
        <v>360</v>
      </c>
      <c r="J70" s="3691">
        <v>0</v>
      </c>
      <c r="K70" s="3691">
        <v>24</v>
      </c>
      <c r="L70" s="3691">
        <f t="shared" si="31"/>
        <v>15</v>
      </c>
      <c r="M70" s="3659">
        <v>45673</v>
      </c>
      <c r="N70" s="3659">
        <v>45670</v>
      </c>
      <c r="O70" s="4085"/>
      <c r="P70" s="3682" t="s">
        <v>82</v>
      </c>
      <c r="Q70" s="3682"/>
      <c r="R70" s="4083"/>
      <c r="S70" s="4083"/>
      <c r="T70" s="4083"/>
      <c r="U70" s="3645"/>
      <c r="V70" s="3657" t="s">
        <v>411</v>
      </c>
      <c r="W70" s="3657"/>
      <c r="X70" s="3657" t="s">
        <v>98</v>
      </c>
      <c r="Y70" s="3657" t="s">
        <v>630</v>
      </c>
      <c r="Z70" s="3661"/>
      <c r="AA70" s="3620" t="s">
        <v>2897</v>
      </c>
      <c r="AB70" s="3691" t="s">
        <v>393</v>
      </c>
      <c r="AC70" s="3691">
        <v>2.084</v>
      </c>
      <c r="AD70" s="3691">
        <f t="shared" ref="AD70:AD79" si="41">AC70*I70</f>
        <v>750.24</v>
      </c>
      <c r="AE70" s="4098" t="s">
        <v>632</v>
      </c>
      <c r="AF70" s="3664" t="s">
        <v>2627</v>
      </c>
      <c r="AG70" s="3645" t="s">
        <v>416</v>
      </c>
      <c r="AH70" s="875"/>
      <c r="AI70" s="3691">
        <f>I70</f>
        <v>360</v>
      </c>
      <c r="AJ70" s="3691"/>
      <c r="AK70" s="875"/>
      <c r="AL70" s="3664"/>
      <c r="AM70" s="3664"/>
      <c r="AN70" s="3691"/>
      <c r="AO70" s="3691">
        <f t="shared" si="25"/>
        <v>360</v>
      </c>
      <c r="AP70" s="3691"/>
      <c r="AQ70" s="4089"/>
      <c r="AR70" s="877"/>
      <c r="AS70" s="4089">
        <f t="shared" si="38"/>
        <v>360</v>
      </c>
      <c r="AT70" s="877"/>
      <c r="AU70" s="4089"/>
      <c r="AV70" s="4089"/>
      <c r="AW70" s="4089"/>
      <c r="AX70" s="4089"/>
      <c r="AY70" s="4089"/>
      <c r="AZ70" s="4089"/>
      <c r="BA70" s="4089"/>
      <c r="BB70" s="4089"/>
      <c r="BC70" s="4089"/>
      <c r="BD70" s="4089"/>
      <c r="BE70" s="4089"/>
      <c r="BF70" s="4089" t="s">
        <v>89</v>
      </c>
      <c r="BG70" s="4089"/>
      <c r="BH70" s="4089">
        <f t="shared" si="32"/>
        <v>60</v>
      </c>
      <c r="BI70" s="4089">
        <f t="shared" si="33"/>
        <v>60</v>
      </c>
      <c r="BJ70" s="4089">
        <f t="shared" si="34"/>
        <v>60</v>
      </c>
      <c r="BK70" s="4089">
        <f t="shared" si="35"/>
        <v>60</v>
      </c>
      <c r="BL70" s="4089">
        <f t="shared" si="36"/>
        <v>60</v>
      </c>
      <c r="BM70" s="4089">
        <f t="shared" si="37"/>
        <v>48</v>
      </c>
      <c r="BN70" s="4089">
        <f t="shared" si="12"/>
        <v>12</v>
      </c>
      <c r="BO70" s="878"/>
      <c r="BP70" s="878"/>
      <c r="BQ70" s="878"/>
      <c r="BR70" s="878"/>
      <c r="BS70" s="878"/>
      <c r="BT70" s="879"/>
      <c r="BU70" s="4384"/>
      <c r="BV70" s="4385">
        <f t="shared" si="39"/>
        <v>360</v>
      </c>
      <c r="BW70" s="4386">
        <f t="shared" si="40"/>
        <v>0</v>
      </c>
      <c r="BX70" s="4387"/>
      <c r="BY70" s="4387"/>
      <c r="BZ70" s="4387"/>
      <c r="CA70" s="4391"/>
      <c r="CC70" s="4392"/>
      <c r="CD70" s="4391"/>
    </row>
    <row r="71" s="4025" customFormat="1" ht="50" customHeight="1" spans="1:82">
      <c r="A71" s="3688">
        <v>45586</v>
      </c>
      <c r="B71" s="3664" t="s">
        <v>90</v>
      </c>
      <c r="C71" s="3664" t="s">
        <v>91</v>
      </c>
      <c r="D71" s="3691">
        <v>4500147799</v>
      </c>
      <c r="E71" s="3664" t="s">
        <v>2720</v>
      </c>
      <c r="F71" s="3664" t="s">
        <v>2898</v>
      </c>
      <c r="G71" s="3664" t="s">
        <v>2719</v>
      </c>
      <c r="H71" s="3664" t="s">
        <v>2591</v>
      </c>
      <c r="I71" s="3691">
        <v>600</v>
      </c>
      <c r="J71" s="3691">
        <v>0</v>
      </c>
      <c r="K71" s="3691">
        <v>6</v>
      </c>
      <c r="L71" s="3691">
        <f t="shared" si="31"/>
        <v>100</v>
      </c>
      <c r="M71" s="3659">
        <v>45677</v>
      </c>
      <c r="N71" s="3659">
        <v>45673</v>
      </c>
      <c r="O71" s="4085"/>
      <c r="P71" s="3682" t="s">
        <v>82</v>
      </c>
      <c r="Q71" s="3682"/>
      <c r="R71" s="4083"/>
      <c r="S71" s="4083"/>
      <c r="T71" s="4083"/>
      <c r="U71" s="3657" t="s">
        <v>141</v>
      </c>
      <c r="V71" s="3657" t="s">
        <v>97</v>
      </c>
      <c r="W71" s="3657"/>
      <c r="X71" s="3657" t="s">
        <v>98</v>
      </c>
      <c r="Y71" s="3657" t="s">
        <v>2899</v>
      </c>
      <c r="Z71" s="3661"/>
      <c r="AA71" s="3620" t="s">
        <v>100</v>
      </c>
      <c r="AB71" s="3691" t="s">
        <v>101</v>
      </c>
      <c r="AC71" s="3691">
        <v>2.0968</v>
      </c>
      <c r="AD71" s="3691">
        <f t="shared" si="41"/>
        <v>1258.08</v>
      </c>
      <c r="AE71" s="4098"/>
      <c r="AF71" s="3664" t="s">
        <v>2719</v>
      </c>
      <c r="AG71" s="3645" t="s">
        <v>416</v>
      </c>
      <c r="AH71" s="875"/>
      <c r="AI71" s="3691">
        <f>I71</f>
        <v>600</v>
      </c>
      <c r="AJ71" s="3691"/>
      <c r="AK71" s="875"/>
      <c r="AL71" s="3664"/>
      <c r="AM71" s="3664"/>
      <c r="AN71" s="3691"/>
      <c r="AO71" s="3691">
        <f t="shared" si="25"/>
        <v>600</v>
      </c>
      <c r="AP71" s="3691"/>
      <c r="AQ71" s="4089"/>
      <c r="AR71" s="877"/>
      <c r="AS71" s="4089">
        <f t="shared" si="38"/>
        <v>600</v>
      </c>
      <c r="AT71" s="877"/>
      <c r="AU71" s="4089"/>
      <c r="AV71" s="4089"/>
      <c r="AW71" s="4089"/>
      <c r="AX71" s="4089"/>
      <c r="AY71" s="4089"/>
      <c r="AZ71" s="4089"/>
      <c r="BA71" s="4089"/>
      <c r="BB71" s="4089"/>
      <c r="BC71" s="4089"/>
      <c r="BD71" s="4089"/>
      <c r="BE71" s="4089"/>
      <c r="BF71" s="4089" t="s">
        <v>89</v>
      </c>
      <c r="BG71" s="4089"/>
      <c r="BH71" s="4089">
        <f t="shared" si="32"/>
        <v>100</v>
      </c>
      <c r="BI71" s="4089">
        <f t="shared" si="33"/>
        <v>100</v>
      </c>
      <c r="BJ71" s="4089">
        <f t="shared" si="34"/>
        <v>100</v>
      </c>
      <c r="BK71" s="4089">
        <f t="shared" si="35"/>
        <v>100</v>
      </c>
      <c r="BL71" s="4089">
        <f t="shared" si="36"/>
        <v>100</v>
      </c>
      <c r="BM71" s="4089">
        <f t="shared" si="37"/>
        <v>80</v>
      </c>
      <c r="BN71" s="4089">
        <f t="shared" si="12"/>
        <v>20</v>
      </c>
      <c r="BO71" s="878"/>
      <c r="BP71" s="878"/>
      <c r="BQ71" s="878"/>
      <c r="BR71" s="878"/>
      <c r="BS71" s="878"/>
      <c r="BT71" s="879"/>
      <c r="BU71" s="4384"/>
      <c r="BV71" s="4385">
        <f t="shared" si="39"/>
        <v>600</v>
      </c>
      <c r="BW71" s="4386">
        <f t="shared" si="40"/>
        <v>0</v>
      </c>
      <c r="BX71" s="4387"/>
      <c r="BY71" s="4387"/>
      <c r="BZ71" s="4387"/>
      <c r="CA71" s="4391"/>
      <c r="CC71" s="4392"/>
      <c r="CD71" s="4391"/>
    </row>
    <row r="72" s="4025" customFormat="1" ht="50" customHeight="1" spans="1:82">
      <c r="A72" s="3688">
        <v>45608</v>
      </c>
      <c r="B72" s="3689" t="s">
        <v>407</v>
      </c>
      <c r="C72" s="3664" t="s">
        <v>91</v>
      </c>
      <c r="D72" s="3690">
        <v>4500150488</v>
      </c>
      <c r="E72" s="3664">
        <v>60190680</v>
      </c>
      <c r="F72" s="3690" t="s">
        <v>2900</v>
      </c>
      <c r="G72" s="3664" t="s">
        <v>2627</v>
      </c>
      <c r="H72" s="3691" t="s">
        <v>2591</v>
      </c>
      <c r="I72" s="3691">
        <v>1200</v>
      </c>
      <c r="J72" s="3691">
        <v>0</v>
      </c>
      <c r="K72" s="3691">
        <v>24</v>
      </c>
      <c r="L72" s="3691">
        <f t="shared" si="31"/>
        <v>50</v>
      </c>
      <c r="M72" s="3659">
        <v>45677</v>
      </c>
      <c r="N72" s="3659">
        <v>45673</v>
      </c>
      <c r="O72" s="4085"/>
      <c r="P72" s="3682" t="s">
        <v>82</v>
      </c>
      <c r="Q72" s="3682"/>
      <c r="R72" s="4083"/>
      <c r="S72" s="4083"/>
      <c r="T72" s="4083"/>
      <c r="U72" s="3645" t="s">
        <v>144</v>
      </c>
      <c r="V72" s="3657" t="s">
        <v>411</v>
      </c>
      <c r="W72" s="3657"/>
      <c r="X72" s="3657" t="s">
        <v>98</v>
      </c>
      <c r="Y72" s="3657" t="s">
        <v>142</v>
      </c>
      <c r="Z72" s="3661"/>
      <c r="AA72" s="3620" t="s">
        <v>413</v>
      </c>
      <c r="AB72" s="3691" t="s">
        <v>393</v>
      </c>
      <c r="AC72" s="3691">
        <v>2.0793</v>
      </c>
      <c r="AD72" s="3691">
        <f t="shared" si="41"/>
        <v>2495.16</v>
      </c>
      <c r="AE72" s="4098" t="s">
        <v>636</v>
      </c>
      <c r="AF72" s="3664" t="s">
        <v>2627</v>
      </c>
      <c r="AG72" s="3645" t="s">
        <v>416</v>
      </c>
      <c r="AH72" s="905"/>
      <c r="AI72" s="3691">
        <f>I72</f>
        <v>1200</v>
      </c>
      <c r="AJ72" s="3691"/>
      <c r="AK72" s="905"/>
      <c r="AL72" s="3664"/>
      <c r="AM72" s="3664"/>
      <c r="AN72" s="3691"/>
      <c r="AO72" s="3691">
        <f t="shared" si="25"/>
        <v>1200</v>
      </c>
      <c r="AP72" s="3691"/>
      <c r="AQ72" s="4089"/>
      <c r="AR72" s="877"/>
      <c r="AS72" s="4089">
        <f t="shared" si="38"/>
        <v>1200</v>
      </c>
      <c r="AT72" s="877"/>
      <c r="AU72" s="4089"/>
      <c r="AV72" s="4089"/>
      <c r="AW72" s="4089"/>
      <c r="AX72" s="4089"/>
      <c r="AY72" s="4089"/>
      <c r="AZ72" s="4089"/>
      <c r="BA72" s="4089"/>
      <c r="BB72" s="4089"/>
      <c r="BC72" s="4089"/>
      <c r="BD72" s="4089"/>
      <c r="BE72" s="4089"/>
      <c r="BF72" s="4089" t="s">
        <v>89</v>
      </c>
      <c r="BG72" s="4089"/>
      <c r="BH72" s="4089">
        <f t="shared" si="32"/>
        <v>200</v>
      </c>
      <c r="BI72" s="4089">
        <f t="shared" si="33"/>
        <v>200</v>
      </c>
      <c r="BJ72" s="4089">
        <f t="shared" si="34"/>
        <v>200</v>
      </c>
      <c r="BK72" s="4089">
        <f t="shared" si="35"/>
        <v>200</v>
      </c>
      <c r="BL72" s="4089">
        <f t="shared" si="36"/>
        <v>200</v>
      </c>
      <c r="BM72" s="4089">
        <f t="shared" si="37"/>
        <v>160</v>
      </c>
      <c r="BN72" s="4089">
        <f t="shared" si="12"/>
        <v>40</v>
      </c>
      <c r="BO72" s="878"/>
      <c r="BP72" s="878"/>
      <c r="BQ72" s="878"/>
      <c r="BR72" s="878"/>
      <c r="BS72" s="878"/>
      <c r="BT72" s="879"/>
      <c r="BU72" s="4384"/>
      <c r="BV72" s="4385">
        <f t="shared" si="39"/>
        <v>1200</v>
      </c>
      <c r="BW72" s="4386">
        <f t="shared" si="40"/>
        <v>0</v>
      </c>
      <c r="BX72" s="4387"/>
      <c r="BY72" s="4387"/>
      <c r="BZ72" s="4387"/>
      <c r="CA72" s="4391"/>
      <c r="CC72" s="4392"/>
      <c r="CD72" s="4391"/>
    </row>
    <row r="73" s="4025" customFormat="1" ht="50" customHeight="1" spans="1:82">
      <c r="A73" s="3688">
        <v>45586</v>
      </c>
      <c r="B73" s="3689" t="s">
        <v>90</v>
      </c>
      <c r="C73" s="3664" t="s">
        <v>91</v>
      </c>
      <c r="D73" s="3690">
        <v>4500147801</v>
      </c>
      <c r="E73" s="3664" t="s">
        <v>2901</v>
      </c>
      <c r="F73" s="4086" t="s">
        <v>2902</v>
      </c>
      <c r="G73" s="3664" t="s">
        <v>2719</v>
      </c>
      <c r="H73" s="3664" t="s">
        <v>2591</v>
      </c>
      <c r="I73" s="3691">
        <v>798</v>
      </c>
      <c r="J73" s="3691">
        <v>0</v>
      </c>
      <c r="K73" s="3691">
        <v>6</v>
      </c>
      <c r="L73" s="3691">
        <f t="shared" si="31"/>
        <v>133</v>
      </c>
      <c r="M73" s="3659">
        <v>45677</v>
      </c>
      <c r="N73" s="3659">
        <v>45673</v>
      </c>
      <c r="O73" s="4085"/>
      <c r="P73" s="3682" t="s">
        <v>82</v>
      </c>
      <c r="Q73" s="3682"/>
      <c r="R73" s="4083"/>
      <c r="S73" s="4083"/>
      <c r="T73" s="4083"/>
      <c r="U73" s="3657" t="s">
        <v>144</v>
      </c>
      <c r="V73" s="3657" t="s">
        <v>97</v>
      </c>
      <c r="W73" s="3657"/>
      <c r="X73" s="3657" t="s">
        <v>98</v>
      </c>
      <c r="Y73" s="3657" t="s">
        <v>142</v>
      </c>
      <c r="Z73" s="3661"/>
      <c r="AA73" s="3620" t="s">
        <v>100</v>
      </c>
      <c r="AB73" s="3691" t="s">
        <v>101</v>
      </c>
      <c r="AC73" s="3691">
        <v>2.1484</v>
      </c>
      <c r="AD73" s="3691">
        <f t="shared" si="41"/>
        <v>1714.4232</v>
      </c>
      <c r="AE73" s="3645"/>
      <c r="AF73" s="3664" t="s">
        <v>2719</v>
      </c>
      <c r="AG73" s="3645" t="s">
        <v>416</v>
      </c>
      <c r="AH73" s="875"/>
      <c r="AI73" s="3691">
        <f>I73</f>
        <v>798</v>
      </c>
      <c r="AJ73" s="3691"/>
      <c r="AK73" s="875"/>
      <c r="AL73" s="3664"/>
      <c r="AM73" s="3664"/>
      <c r="AN73" s="3691"/>
      <c r="AO73" s="3691">
        <f t="shared" si="25"/>
        <v>798</v>
      </c>
      <c r="AP73" s="3691"/>
      <c r="AQ73" s="4089"/>
      <c r="AR73" s="877"/>
      <c r="AS73" s="4089">
        <f t="shared" si="38"/>
        <v>798</v>
      </c>
      <c r="AT73" s="877"/>
      <c r="AU73" s="4089"/>
      <c r="AV73" s="4089"/>
      <c r="AW73" s="4089"/>
      <c r="AX73" s="4089"/>
      <c r="AY73" s="4089"/>
      <c r="AZ73" s="4089"/>
      <c r="BA73" s="4089"/>
      <c r="BB73" s="4089"/>
      <c r="BC73" s="4089"/>
      <c r="BD73" s="4089"/>
      <c r="BE73" s="4089"/>
      <c r="BF73" s="4089" t="s">
        <v>89</v>
      </c>
      <c r="BG73" s="4089"/>
      <c r="BH73" s="4089">
        <f t="shared" si="32"/>
        <v>133</v>
      </c>
      <c r="BI73" s="4089">
        <f t="shared" si="33"/>
        <v>133</v>
      </c>
      <c r="BJ73" s="4089">
        <f t="shared" si="34"/>
        <v>133</v>
      </c>
      <c r="BK73" s="4089">
        <f t="shared" si="35"/>
        <v>133</v>
      </c>
      <c r="BL73" s="4089">
        <f t="shared" si="36"/>
        <v>133</v>
      </c>
      <c r="BM73" s="4089">
        <f t="shared" si="37"/>
        <v>106.4</v>
      </c>
      <c r="BN73" s="4089">
        <f t="shared" si="12"/>
        <v>26.6</v>
      </c>
      <c r="BO73" s="878"/>
      <c r="BP73" s="878"/>
      <c r="BQ73" s="878"/>
      <c r="BR73" s="878"/>
      <c r="BS73" s="878"/>
      <c r="BT73" s="879"/>
      <c r="BU73" s="4384"/>
      <c r="BV73" s="4385">
        <f t="shared" si="39"/>
        <v>798</v>
      </c>
      <c r="BW73" s="4386">
        <f t="shared" si="40"/>
        <v>0</v>
      </c>
      <c r="BX73" s="4387"/>
      <c r="BY73" s="4387"/>
      <c r="BZ73" s="4387"/>
      <c r="CA73" s="4391"/>
      <c r="CC73" s="4392"/>
      <c r="CD73" s="4391"/>
    </row>
    <row r="74" s="4025" customFormat="1" ht="50" customHeight="1" spans="1:82">
      <c r="A74" s="3688">
        <v>45638</v>
      </c>
      <c r="B74" s="3689" t="s">
        <v>2903</v>
      </c>
      <c r="C74" s="3664" t="s">
        <v>1279</v>
      </c>
      <c r="D74" s="3690">
        <v>4500153788</v>
      </c>
      <c r="E74" s="3664"/>
      <c r="F74" s="3690" t="s">
        <v>2904</v>
      </c>
      <c r="G74" s="3664" t="s">
        <v>2577</v>
      </c>
      <c r="H74" s="3664" t="s">
        <v>2591</v>
      </c>
      <c r="I74" s="3691">
        <v>480</v>
      </c>
      <c r="J74" s="3691">
        <v>0</v>
      </c>
      <c r="K74" s="3691">
        <v>12</v>
      </c>
      <c r="L74" s="3691">
        <f t="shared" si="31"/>
        <v>40</v>
      </c>
      <c r="M74" s="3659">
        <v>45687</v>
      </c>
      <c r="N74" s="3659">
        <v>45684</v>
      </c>
      <c r="O74" s="4085"/>
      <c r="P74" s="3682" t="s">
        <v>82</v>
      </c>
      <c r="Q74" s="3682"/>
      <c r="R74" s="4083"/>
      <c r="S74" s="4083"/>
      <c r="T74" s="4083"/>
      <c r="U74" s="3645" t="s">
        <v>144</v>
      </c>
      <c r="V74" s="3657" t="s">
        <v>663</v>
      </c>
      <c r="W74" s="3657"/>
      <c r="X74" s="3657" t="s">
        <v>2905</v>
      </c>
      <c r="Y74" s="3657"/>
      <c r="Z74" s="3661"/>
      <c r="AA74" s="3620" t="s">
        <v>2906</v>
      </c>
      <c r="AB74" s="3691" t="s">
        <v>2762</v>
      </c>
      <c r="AC74" s="4087">
        <v>2.1891</v>
      </c>
      <c r="AD74" s="3691">
        <f t="shared" si="41"/>
        <v>1050.768</v>
      </c>
      <c r="AE74" s="4098" t="s">
        <v>2907</v>
      </c>
      <c r="AF74" s="3664" t="s">
        <v>2604</v>
      </c>
      <c r="AG74" s="3645" t="s">
        <v>416</v>
      </c>
      <c r="AH74" s="905"/>
      <c r="AI74" s="3691"/>
      <c r="AJ74" s="3691"/>
      <c r="AK74" s="905"/>
      <c r="AL74" s="3664">
        <f>I74</f>
        <v>480</v>
      </c>
      <c r="AM74" s="3664"/>
      <c r="AN74" s="3691"/>
      <c r="AO74" s="3691">
        <f t="shared" si="25"/>
        <v>480</v>
      </c>
      <c r="AP74" s="3691"/>
      <c r="AQ74" s="4089"/>
      <c r="AR74" s="877"/>
      <c r="AS74" s="4089">
        <f t="shared" si="38"/>
        <v>480</v>
      </c>
      <c r="AT74" s="877"/>
      <c r="AU74" s="4089"/>
      <c r="AV74" s="4089">
        <f>I74/6</f>
        <v>80</v>
      </c>
      <c r="AW74" s="4089"/>
      <c r="AX74" s="4089"/>
      <c r="AY74" s="4089"/>
      <c r="AZ74" s="4089"/>
      <c r="BA74" s="4089"/>
      <c r="BB74" s="4089"/>
      <c r="BC74" s="4089"/>
      <c r="BD74" s="4089"/>
      <c r="BE74" s="4089"/>
      <c r="BF74" s="4089" t="s">
        <v>89</v>
      </c>
      <c r="BG74" s="4089"/>
      <c r="BH74" s="4089">
        <f t="shared" si="32"/>
        <v>80</v>
      </c>
      <c r="BI74" s="4089">
        <f t="shared" si="33"/>
        <v>80</v>
      </c>
      <c r="BJ74" s="4089">
        <f t="shared" si="34"/>
        <v>80</v>
      </c>
      <c r="BK74" s="4089">
        <f t="shared" si="35"/>
        <v>80</v>
      </c>
      <c r="BL74" s="4089">
        <f t="shared" si="36"/>
        <v>80</v>
      </c>
      <c r="BM74" s="4089">
        <f t="shared" si="37"/>
        <v>64</v>
      </c>
      <c r="BN74" s="4089">
        <f t="shared" si="12"/>
        <v>16</v>
      </c>
      <c r="BO74" s="878"/>
      <c r="BP74" s="878"/>
      <c r="BQ74" s="878"/>
      <c r="BR74" s="878"/>
      <c r="BS74" s="878"/>
      <c r="BT74" s="879"/>
      <c r="BU74" s="4384"/>
      <c r="BV74" s="4385">
        <f t="shared" si="39"/>
        <v>480</v>
      </c>
      <c r="BW74" s="4386">
        <f t="shared" si="40"/>
        <v>0</v>
      </c>
      <c r="BX74" s="4387"/>
      <c r="BY74" s="4387"/>
      <c r="BZ74" s="4387"/>
      <c r="CA74" s="4391"/>
      <c r="CC74" s="4392"/>
      <c r="CD74" s="4391"/>
    </row>
    <row r="75" s="4025" customFormat="1" ht="50" customHeight="1" spans="1:82">
      <c r="A75" s="3688">
        <v>45624</v>
      </c>
      <c r="B75" s="3689" t="s">
        <v>2908</v>
      </c>
      <c r="C75" s="3664" t="s">
        <v>341</v>
      </c>
      <c r="D75" s="3690">
        <v>4500152775</v>
      </c>
      <c r="E75" s="3664" t="s">
        <v>2909</v>
      </c>
      <c r="F75" s="3690" t="s">
        <v>2910</v>
      </c>
      <c r="G75" s="3664" t="s">
        <v>2911</v>
      </c>
      <c r="H75" s="3664" t="s">
        <v>2620</v>
      </c>
      <c r="I75" s="3691">
        <v>2000</v>
      </c>
      <c r="J75" s="3691">
        <v>0</v>
      </c>
      <c r="K75" s="3691">
        <v>4</v>
      </c>
      <c r="L75" s="3691">
        <f t="shared" si="31"/>
        <v>500</v>
      </c>
      <c r="M75" s="3659">
        <v>45695</v>
      </c>
      <c r="N75" s="3659">
        <v>45691</v>
      </c>
      <c r="O75" s="4085"/>
      <c r="P75" s="3682" t="s">
        <v>82</v>
      </c>
      <c r="Q75" s="3682"/>
      <c r="R75" s="4083"/>
      <c r="S75" s="4083"/>
      <c r="T75" s="4083"/>
      <c r="U75" s="3645" t="s">
        <v>144</v>
      </c>
      <c r="V75" s="3657" t="s">
        <v>663</v>
      </c>
      <c r="W75" s="3657"/>
      <c r="X75" s="3657" t="s">
        <v>98</v>
      </c>
      <c r="Y75" s="3657"/>
      <c r="Z75" s="3661"/>
      <c r="AA75" s="3620" t="s">
        <v>2912</v>
      </c>
      <c r="AB75" s="3691" t="s">
        <v>348</v>
      </c>
      <c r="AC75" s="3691">
        <v>2.2408</v>
      </c>
      <c r="AD75" s="3691">
        <f t="shared" si="41"/>
        <v>4481.6</v>
      </c>
      <c r="AE75" s="4098" t="s">
        <v>2913</v>
      </c>
      <c r="AF75" s="3664" t="s">
        <v>2911</v>
      </c>
      <c r="AG75" s="3645" t="s">
        <v>416</v>
      </c>
      <c r="AH75" s="875"/>
      <c r="AI75" s="3691">
        <f t="shared" ref="AI75:AI80" si="42">I75</f>
        <v>2000</v>
      </c>
      <c r="AJ75" s="3691"/>
      <c r="AK75" s="875"/>
      <c r="AL75" s="3664"/>
      <c r="AM75" s="3664"/>
      <c r="AN75" s="3691"/>
      <c r="AO75" s="3691">
        <f t="shared" si="25"/>
        <v>2000</v>
      </c>
      <c r="AP75" s="3691"/>
      <c r="AQ75" s="4089"/>
      <c r="AR75" s="877"/>
      <c r="AS75" s="4089">
        <f t="shared" si="38"/>
        <v>2000</v>
      </c>
      <c r="AT75" s="877"/>
      <c r="AU75" s="4089"/>
      <c r="AV75" s="4089"/>
      <c r="AW75" s="4089"/>
      <c r="AX75" s="4089"/>
      <c r="AY75" s="4089"/>
      <c r="AZ75" s="4089"/>
      <c r="BA75" s="4089">
        <f>I75/4</f>
        <v>500</v>
      </c>
      <c r="BB75" s="4089"/>
      <c r="BC75" s="4089"/>
      <c r="BD75" s="4089"/>
      <c r="BE75" s="4089"/>
      <c r="BF75" s="4089" t="s">
        <v>89</v>
      </c>
      <c r="BG75" s="4089"/>
      <c r="BH75" s="4089">
        <f t="shared" si="32"/>
        <v>333.333333333333</v>
      </c>
      <c r="BI75" s="4089">
        <f t="shared" si="33"/>
        <v>333.333333333333</v>
      </c>
      <c r="BJ75" s="4089">
        <f t="shared" si="34"/>
        <v>333.333333333333</v>
      </c>
      <c r="BK75" s="4089">
        <f t="shared" si="35"/>
        <v>333.333333333333</v>
      </c>
      <c r="BL75" s="4089">
        <f t="shared" si="36"/>
        <v>333.333333333333</v>
      </c>
      <c r="BM75" s="4089">
        <f t="shared" si="37"/>
        <v>266.666666666667</v>
      </c>
      <c r="BN75" s="4089">
        <f t="shared" si="12"/>
        <v>66.6666666666667</v>
      </c>
      <c r="BO75" s="878"/>
      <c r="BP75" s="878"/>
      <c r="BQ75" s="878"/>
      <c r="BR75" s="878"/>
      <c r="BS75" s="878"/>
      <c r="BT75" s="879"/>
      <c r="BU75" s="4384"/>
      <c r="BV75" s="4385">
        <f t="shared" si="39"/>
        <v>2000</v>
      </c>
      <c r="BW75" s="4386">
        <f t="shared" si="40"/>
        <v>0</v>
      </c>
      <c r="BX75" s="4387"/>
      <c r="BY75" s="4387"/>
      <c r="BZ75" s="4387"/>
      <c r="CA75" s="4391"/>
      <c r="CC75" s="4392"/>
      <c r="CD75" s="4391"/>
    </row>
    <row r="76" s="4025" customFormat="1" ht="50" customHeight="1" spans="1:82">
      <c r="A76" s="3688">
        <v>45623</v>
      </c>
      <c r="B76" s="3689" t="s">
        <v>2914</v>
      </c>
      <c r="C76" s="3664" t="s">
        <v>341</v>
      </c>
      <c r="D76" s="3690">
        <v>4500152538</v>
      </c>
      <c r="E76" s="3664" t="s">
        <v>2915</v>
      </c>
      <c r="F76" s="3690" t="s">
        <v>2916</v>
      </c>
      <c r="G76" s="3664" t="s">
        <v>2917</v>
      </c>
      <c r="H76" s="3691" t="s">
        <v>2591</v>
      </c>
      <c r="I76" s="3691">
        <v>2000</v>
      </c>
      <c r="J76" s="3691">
        <v>0</v>
      </c>
      <c r="K76" s="3691">
        <v>16</v>
      </c>
      <c r="L76" s="3691">
        <f t="shared" si="31"/>
        <v>125</v>
      </c>
      <c r="M76" s="3659">
        <v>45696</v>
      </c>
      <c r="N76" s="3659">
        <v>45692</v>
      </c>
      <c r="O76" s="4085"/>
      <c r="P76" s="3682" t="s">
        <v>82</v>
      </c>
      <c r="Q76" s="3682"/>
      <c r="R76" s="4083"/>
      <c r="S76" s="4083"/>
      <c r="T76" s="4083"/>
      <c r="U76" s="3645" t="s">
        <v>2918</v>
      </c>
      <c r="V76" s="3657" t="s">
        <v>2694</v>
      </c>
      <c r="W76" s="3657"/>
      <c r="X76" s="3657" t="s">
        <v>2919</v>
      </c>
      <c r="Y76" s="3657"/>
      <c r="Z76" s="3661"/>
      <c r="AA76" s="3620" t="s">
        <v>2920</v>
      </c>
      <c r="AB76" s="3691" t="s">
        <v>2921</v>
      </c>
      <c r="AC76" s="4402">
        <v>2.2887</v>
      </c>
      <c r="AD76" s="4402">
        <f t="shared" si="41"/>
        <v>4577.4</v>
      </c>
      <c r="AE76" s="4098"/>
      <c r="AF76" s="3664" t="s">
        <v>2917</v>
      </c>
      <c r="AG76" s="3645" t="s">
        <v>326</v>
      </c>
      <c r="AH76" s="875"/>
      <c r="AI76" s="3691">
        <f t="shared" si="42"/>
        <v>2000</v>
      </c>
      <c r="AJ76" s="3691"/>
      <c r="AK76" s="875"/>
      <c r="AL76" s="3664"/>
      <c r="AM76" s="3664"/>
      <c r="AN76" s="3691"/>
      <c r="AO76" s="3691">
        <f t="shared" si="25"/>
        <v>2000</v>
      </c>
      <c r="AP76" s="3691"/>
      <c r="AQ76" s="4089"/>
      <c r="AR76" s="877"/>
      <c r="AS76" s="4089">
        <f t="shared" si="38"/>
        <v>2000</v>
      </c>
      <c r="AT76" s="877"/>
      <c r="AU76" s="4089"/>
      <c r="AV76" s="4089"/>
      <c r="AW76" s="4089"/>
      <c r="AX76" s="4089"/>
      <c r="AY76" s="4089"/>
      <c r="AZ76" s="4089"/>
      <c r="BA76" s="4089">
        <f>I76/4</f>
        <v>500</v>
      </c>
      <c r="BB76" s="4089"/>
      <c r="BC76" s="4089"/>
      <c r="BD76" s="4089"/>
      <c r="BE76" s="4089"/>
      <c r="BF76" s="4089" t="s">
        <v>89</v>
      </c>
      <c r="BG76" s="4089"/>
      <c r="BH76" s="4089">
        <f t="shared" si="32"/>
        <v>333.333333333333</v>
      </c>
      <c r="BI76" s="4089">
        <f t="shared" si="33"/>
        <v>333.333333333333</v>
      </c>
      <c r="BJ76" s="4089">
        <f t="shared" si="34"/>
        <v>333.333333333333</v>
      </c>
      <c r="BK76" s="4089">
        <f t="shared" si="35"/>
        <v>333.333333333333</v>
      </c>
      <c r="BL76" s="4089">
        <f t="shared" si="36"/>
        <v>333.333333333333</v>
      </c>
      <c r="BM76" s="4089">
        <f t="shared" si="37"/>
        <v>266.666666666667</v>
      </c>
      <c r="BN76" s="4089">
        <f t="shared" si="12"/>
        <v>66.6666666666667</v>
      </c>
      <c r="BO76" s="878"/>
      <c r="BP76" s="878"/>
      <c r="BQ76" s="878"/>
      <c r="BR76" s="878"/>
      <c r="BS76" s="878"/>
      <c r="BT76" s="879"/>
      <c r="BU76" s="4384"/>
      <c r="BV76" s="4385">
        <f t="shared" si="39"/>
        <v>2000</v>
      </c>
      <c r="BW76" s="4386">
        <f t="shared" si="40"/>
        <v>0</v>
      </c>
      <c r="BX76" s="4387"/>
      <c r="BY76" s="4387"/>
      <c r="BZ76" s="4387"/>
      <c r="CA76" s="4391"/>
      <c r="CC76" s="4392"/>
      <c r="CD76" s="4391"/>
    </row>
    <row r="77" s="4025" customFormat="1" ht="50" customHeight="1" spans="1:82">
      <c r="A77" s="3688">
        <v>45623</v>
      </c>
      <c r="B77" s="3689" t="s">
        <v>2914</v>
      </c>
      <c r="C77" s="3664" t="s">
        <v>341</v>
      </c>
      <c r="D77" s="3690">
        <v>4500152538</v>
      </c>
      <c r="E77" s="3664" t="s">
        <v>2922</v>
      </c>
      <c r="F77" s="3690" t="s">
        <v>2923</v>
      </c>
      <c r="G77" s="3664" t="s">
        <v>2917</v>
      </c>
      <c r="H77" s="3691" t="s">
        <v>2591</v>
      </c>
      <c r="I77" s="3691">
        <v>1488</v>
      </c>
      <c r="J77" s="3691">
        <v>0</v>
      </c>
      <c r="K77" s="3691">
        <v>16</v>
      </c>
      <c r="L77" s="3691">
        <f t="shared" si="31"/>
        <v>93</v>
      </c>
      <c r="M77" s="3659">
        <v>45696</v>
      </c>
      <c r="N77" s="3659">
        <v>45692</v>
      </c>
      <c r="O77" s="4085"/>
      <c r="P77" s="3682" t="s">
        <v>82</v>
      </c>
      <c r="Q77" s="3682"/>
      <c r="R77" s="4083"/>
      <c r="S77" s="4083"/>
      <c r="T77" s="4083"/>
      <c r="U77" s="3645" t="s">
        <v>2918</v>
      </c>
      <c r="V77" s="3657" t="s">
        <v>2694</v>
      </c>
      <c r="W77" s="3657"/>
      <c r="X77" s="3657" t="s">
        <v>2919</v>
      </c>
      <c r="Y77" s="3657"/>
      <c r="Z77" s="3661"/>
      <c r="AA77" s="3620" t="s">
        <v>2920</v>
      </c>
      <c r="AB77" s="3691" t="s">
        <v>2921</v>
      </c>
      <c r="AC77" s="4402">
        <v>2.2887</v>
      </c>
      <c r="AD77" s="4402">
        <f t="shared" si="41"/>
        <v>3405.5856</v>
      </c>
      <c r="AE77" s="4098"/>
      <c r="AF77" s="3664" t="s">
        <v>2917</v>
      </c>
      <c r="AG77" s="3645" t="s">
        <v>326</v>
      </c>
      <c r="AH77" s="875"/>
      <c r="AI77" s="3691">
        <f t="shared" si="42"/>
        <v>1488</v>
      </c>
      <c r="AJ77" s="3691"/>
      <c r="AK77" s="875"/>
      <c r="AL77" s="3664"/>
      <c r="AM77" s="3664"/>
      <c r="AN77" s="3691"/>
      <c r="AO77" s="3691">
        <f t="shared" si="25"/>
        <v>1488</v>
      </c>
      <c r="AP77" s="3691"/>
      <c r="AQ77" s="4089"/>
      <c r="AR77" s="877"/>
      <c r="AS77" s="4089">
        <f t="shared" si="38"/>
        <v>1488</v>
      </c>
      <c r="AT77" s="877"/>
      <c r="AU77" s="4089"/>
      <c r="AV77" s="4089"/>
      <c r="AW77" s="4089"/>
      <c r="AX77" s="4089"/>
      <c r="AY77" s="4089"/>
      <c r="AZ77" s="4089"/>
      <c r="BA77" s="4089">
        <f>I77/4</f>
        <v>372</v>
      </c>
      <c r="BB77" s="4089"/>
      <c r="BC77" s="4089"/>
      <c r="BD77" s="4089"/>
      <c r="BE77" s="4089"/>
      <c r="BF77" s="4089" t="s">
        <v>89</v>
      </c>
      <c r="BG77" s="4089"/>
      <c r="BH77" s="4089">
        <f t="shared" si="32"/>
        <v>248</v>
      </c>
      <c r="BI77" s="4089">
        <f t="shared" si="33"/>
        <v>248</v>
      </c>
      <c r="BJ77" s="4089">
        <f t="shared" si="34"/>
        <v>248</v>
      </c>
      <c r="BK77" s="4089">
        <f t="shared" si="35"/>
        <v>248</v>
      </c>
      <c r="BL77" s="4089">
        <f t="shared" si="36"/>
        <v>248</v>
      </c>
      <c r="BM77" s="4089">
        <f t="shared" si="37"/>
        <v>198.4</v>
      </c>
      <c r="BN77" s="4089">
        <f t="shared" si="12"/>
        <v>49.6</v>
      </c>
      <c r="BO77" s="878"/>
      <c r="BP77" s="878"/>
      <c r="BQ77" s="878"/>
      <c r="BR77" s="878"/>
      <c r="BS77" s="878"/>
      <c r="BT77" s="879"/>
      <c r="BU77" s="4384"/>
      <c r="BV77" s="4385">
        <f t="shared" si="39"/>
        <v>1488</v>
      </c>
      <c r="BW77" s="4386">
        <f t="shared" si="40"/>
        <v>0</v>
      </c>
      <c r="BX77" s="4387"/>
      <c r="BY77" s="4387"/>
      <c r="BZ77" s="4387"/>
      <c r="CA77" s="4391"/>
      <c r="CC77" s="4392"/>
      <c r="CD77" s="4391"/>
    </row>
    <row r="78" s="4025" customFormat="1" ht="50" customHeight="1" spans="1:82">
      <c r="A78" s="3688">
        <v>45586</v>
      </c>
      <c r="B78" s="3689" t="s">
        <v>90</v>
      </c>
      <c r="C78" s="3664" t="s">
        <v>91</v>
      </c>
      <c r="D78" s="3690">
        <v>4500147806</v>
      </c>
      <c r="E78" s="3664" t="s">
        <v>2901</v>
      </c>
      <c r="F78" s="4086" t="s">
        <v>2924</v>
      </c>
      <c r="G78" s="3664" t="s">
        <v>2719</v>
      </c>
      <c r="H78" s="3664" t="s">
        <v>2591</v>
      </c>
      <c r="I78" s="3691">
        <v>798</v>
      </c>
      <c r="J78" s="3691">
        <v>0</v>
      </c>
      <c r="K78" s="3691">
        <v>6</v>
      </c>
      <c r="L78" s="3691">
        <f t="shared" si="31"/>
        <v>133</v>
      </c>
      <c r="M78" s="3659">
        <v>45698</v>
      </c>
      <c r="N78" s="3659">
        <v>45694</v>
      </c>
      <c r="O78" s="4085"/>
      <c r="P78" s="3682" t="s">
        <v>82</v>
      </c>
      <c r="Q78" s="3682"/>
      <c r="R78" s="4083"/>
      <c r="S78" s="4083"/>
      <c r="T78" s="4083"/>
      <c r="U78" s="3645" t="s">
        <v>159</v>
      </c>
      <c r="V78" s="3657" t="s">
        <v>97</v>
      </c>
      <c r="W78" s="3657"/>
      <c r="X78" s="3657" t="s">
        <v>98</v>
      </c>
      <c r="Y78" s="3657" t="s">
        <v>142</v>
      </c>
      <c r="Z78" s="3661"/>
      <c r="AA78" s="3620" t="s">
        <v>100</v>
      </c>
      <c r="AB78" s="3691" t="s">
        <v>101</v>
      </c>
      <c r="AC78" s="3691">
        <v>2.1484</v>
      </c>
      <c r="AD78" s="3691">
        <f t="shared" si="41"/>
        <v>1714.4232</v>
      </c>
      <c r="AE78" s="3645" t="s">
        <v>160</v>
      </c>
      <c r="AF78" s="3664" t="s">
        <v>2719</v>
      </c>
      <c r="AG78" s="3645" t="s">
        <v>416</v>
      </c>
      <c r="AH78" s="875"/>
      <c r="AI78" s="3691">
        <f t="shared" si="42"/>
        <v>798</v>
      </c>
      <c r="AJ78" s="3691"/>
      <c r="AK78" s="875"/>
      <c r="AL78" s="3664"/>
      <c r="AM78" s="3664"/>
      <c r="AN78" s="3691"/>
      <c r="AO78" s="3691">
        <f t="shared" si="25"/>
        <v>798</v>
      </c>
      <c r="AP78" s="3691"/>
      <c r="AQ78" s="4089"/>
      <c r="AR78" s="877"/>
      <c r="AS78" s="4089">
        <f t="shared" si="38"/>
        <v>798</v>
      </c>
      <c r="AT78" s="877"/>
      <c r="AU78" s="4089"/>
      <c r="AV78" s="4089"/>
      <c r="AW78" s="4089"/>
      <c r="AX78" s="4089"/>
      <c r="AY78" s="4089"/>
      <c r="AZ78" s="4089"/>
      <c r="BA78" s="4089"/>
      <c r="BB78" s="4089"/>
      <c r="BC78" s="4089"/>
      <c r="BD78" s="4089"/>
      <c r="BE78" s="4089"/>
      <c r="BF78" s="4089" t="s">
        <v>89</v>
      </c>
      <c r="BG78" s="4089"/>
      <c r="BH78" s="4089">
        <f t="shared" si="32"/>
        <v>133</v>
      </c>
      <c r="BI78" s="4089">
        <f t="shared" si="33"/>
        <v>133</v>
      </c>
      <c r="BJ78" s="4089">
        <f t="shared" si="34"/>
        <v>133</v>
      </c>
      <c r="BK78" s="4089">
        <f t="shared" si="35"/>
        <v>133</v>
      </c>
      <c r="BL78" s="4089">
        <f t="shared" si="36"/>
        <v>133</v>
      </c>
      <c r="BM78" s="4089">
        <f t="shared" si="37"/>
        <v>106.4</v>
      </c>
      <c r="BN78" s="4089">
        <f t="shared" ref="BN78:BN90" si="43">I78/60*2</f>
        <v>26.6</v>
      </c>
      <c r="BO78" s="878"/>
      <c r="BP78" s="878"/>
      <c r="BQ78" s="878"/>
      <c r="BR78" s="878"/>
      <c r="BS78" s="878"/>
      <c r="BT78" s="879"/>
      <c r="BU78" s="4384"/>
      <c r="BV78" s="4385">
        <f t="shared" si="39"/>
        <v>798</v>
      </c>
      <c r="BW78" s="4386">
        <f t="shared" si="40"/>
        <v>0</v>
      </c>
      <c r="BX78" s="4387"/>
      <c r="BY78" s="4387"/>
      <c r="BZ78" s="4387"/>
      <c r="CA78" s="4391"/>
      <c r="CC78" s="4392"/>
      <c r="CD78" s="4391"/>
    </row>
    <row r="79" s="4025" customFormat="1" ht="50" customHeight="1" spans="1:82">
      <c r="A79" s="3688">
        <v>45586</v>
      </c>
      <c r="B79" s="3689" t="s">
        <v>90</v>
      </c>
      <c r="C79" s="3664" t="s">
        <v>91</v>
      </c>
      <c r="D79" s="3690">
        <v>4500147804</v>
      </c>
      <c r="E79" s="3664" t="s">
        <v>2720</v>
      </c>
      <c r="F79" s="4086" t="s">
        <v>2925</v>
      </c>
      <c r="G79" s="3664" t="s">
        <v>2719</v>
      </c>
      <c r="H79" s="3664" t="s">
        <v>2591</v>
      </c>
      <c r="I79" s="3691">
        <v>600</v>
      </c>
      <c r="J79" s="3691">
        <v>0</v>
      </c>
      <c r="K79" s="3691">
        <v>6</v>
      </c>
      <c r="L79" s="3691">
        <f t="shared" si="31"/>
        <v>100</v>
      </c>
      <c r="M79" s="3659">
        <v>45698</v>
      </c>
      <c r="N79" s="3659">
        <v>45694</v>
      </c>
      <c r="O79" s="4085"/>
      <c r="P79" s="3682" t="s">
        <v>82</v>
      </c>
      <c r="Q79" s="3682"/>
      <c r="R79" s="4083"/>
      <c r="S79" s="4083"/>
      <c r="T79" s="4083"/>
      <c r="U79" s="3645" t="s">
        <v>156</v>
      </c>
      <c r="V79" s="3657" t="s">
        <v>97</v>
      </c>
      <c r="W79" s="3657"/>
      <c r="X79" s="3657" t="s">
        <v>98</v>
      </c>
      <c r="Y79" s="3657" t="s">
        <v>142</v>
      </c>
      <c r="Z79" s="3661"/>
      <c r="AA79" s="3620" t="s">
        <v>100</v>
      </c>
      <c r="AB79" s="3691" t="s">
        <v>101</v>
      </c>
      <c r="AC79" s="3691">
        <v>2.1484</v>
      </c>
      <c r="AD79" s="3691">
        <f t="shared" si="41"/>
        <v>1289.04</v>
      </c>
      <c r="AE79" s="3645" t="s">
        <v>157</v>
      </c>
      <c r="AF79" s="3664" t="s">
        <v>2719</v>
      </c>
      <c r="AG79" s="3645" t="s">
        <v>416</v>
      </c>
      <c r="AH79" s="875"/>
      <c r="AI79" s="3691">
        <f t="shared" si="42"/>
        <v>600</v>
      </c>
      <c r="AJ79" s="3691"/>
      <c r="AK79" s="875"/>
      <c r="AL79" s="3664"/>
      <c r="AM79" s="3664"/>
      <c r="AN79" s="3691"/>
      <c r="AO79" s="3691">
        <f t="shared" si="25"/>
        <v>600</v>
      </c>
      <c r="AP79" s="3691"/>
      <c r="AQ79" s="4089"/>
      <c r="AR79" s="877"/>
      <c r="AS79" s="4089">
        <f t="shared" si="38"/>
        <v>600</v>
      </c>
      <c r="AT79" s="877"/>
      <c r="AU79" s="4089"/>
      <c r="AV79" s="4089"/>
      <c r="AW79" s="4089"/>
      <c r="AX79" s="4089"/>
      <c r="AY79" s="4089"/>
      <c r="AZ79" s="4089"/>
      <c r="BA79" s="4089"/>
      <c r="BB79" s="4089"/>
      <c r="BC79" s="4089"/>
      <c r="BD79" s="4089"/>
      <c r="BE79" s="4089"/>
      <c r="BF79" s="4089" t="s">
        <v>89</v>
      </c>
      <c r="BG79" s="4089"/>
      <c r="BH79" s="4089">
        <f t="shared" si="32"/>
        <v>100</v>
      </c>
      <c r="BI79" s="4089">
        <f t="shared" si="33"/>
        <v>100</v>
      </c>
      <c r="BJ79" s="4089">
        <f t="shared" si="34"/>
        <v>100</v>
      </c>
      <c r="BK79" s="4089">
        <f t="shared" si="35"/>
        <v>100</v>
      </c>
      <c r="BL79" s="4089">
        <f t="shared" si="36"/>
        <v>100</v>
      </c>
      <c r="BM79" s="4089">
        <f t="shared" si="37"/>
        <v>80</v>
      </c>
      <c r="BN79" s="4089">
        <f t="shared" si="43"/>
        <v>20</v>
      </c>
      <c r="BO79" s="878"/>
      <c r="BP79" s="878"/>
      <c r="BQ79" s="878"/>
      <c r="BR79" s="878"/>
      <c r="BS79" s="878"/>
      <c r="BT79" s="879"/>
      <c r="BU79" s="4384"/>
      <c r="BV79" s="4385">
        <f t="shared" si="39"/>
        <v>600</v>
      </c>
      <c r="BW79" s="4386">
        <f t="shared" si="40"/>
        <v>0</v>
      </c>
      <c r="BX79" s="4387"/>
      <c r="BY79" s="4387"/>
      <c r="BZ79" s="4387"/>
      <c r="CA79" s="4391"/>
      <c r="CC79" s="4392"/>
      <c r="CD79" s="4391"/>
    </row>
    <row r="80" s="4025" customFormat="1" ht="50" customHeight="1" spans="1:82">
      <c r="A80" s="3688">
        <v>45629</v>
      </c>
      <c r="B80" s="3689" t="s">
        <v>607</v>
      </c>
      <c r="C80" s="3664" t="s">
        <v>91</v>
      </c>
      <c r="D80" s="3690">
        <v>4500153134</v>
      </c>
      <c r="E80" s="3664" t="s">
        <v>608</v>
      </c>
      <c r="F80" s="3690" t="s">
        <v>609</v>
      </c>
      <c r="G80" s="3664" t="s">
        <v>2926</v>
      </c>
      <c r="H80" s="3664" t="s">
        <v>1320</v>
      </c>
      <c r="I80" s="4401">
        <v>3000</v>
      </c>
      <c r="J80" s="3691">
        <v>0</v>
      </c>
      <c r="K80" s="3691">
        <v>12</v>
      </c>
      <c r="L80" s="3691">
        <f t="shared" si="31"/>
        <v>250</v>
      </c>
      <c r="M80" s="3659">
        <v>45698</v>
      </c>
      <c r="N80" s="3659">
        <v>45694</v>
      </c>
      <c r="O80" s="4085"/>
      <c r="P80" s="3682" t="s">
        <v>82</v>
      </c>
      <c r="Q80" s="3682"/>
      <c r="R80" s="4083"/>
      <c r="S80" s="4083"/>
      <c r="T80" s="4083"/>
      <c r="U80" s="3645"/>
      <c r="V80" s="3657" t="s">
        <v>510</v>
      </c>
      <c r="W80" s="3657"/>
      <c r="X80" s="3657" t="s">
        <v>612</v>
      </c>
      <c r="Y80" s="3657"/>
      <c r="Z80" s="3661"/>
      <c r="AA80" s="3620" t="s">
        <v>613</v>
      </c>
      <c r="AB80" s="3691" t="s">
        <v>614</v>
      </c>
      <c r="AC80" s="4087">
        <v>51.0846</v>
      </c>
      <c r="AD80" s="3691">
        <f>AC80*L80</f>
        <v>12771.15</v>
      </c>
      <c r="AE80" s="3645" t="s">
        <v>615</v>
      </c>
      <c r="AF80" s="3664" t="s">
        <v>2927</v>
      </c>
      <c r="AG80" s="3645" t="s">
        <v>416</v>
      </c>
      <c r="AH80" s="875"/>
      <c r="AI80" s="3691">
        <f t="shared" si="42"/>
        <v>3000</v>
      </c>
      <c r="AJ80" s="3691"/>
      <c r="AK80" s="875"/>
      <c r="AL80" s="3664"/>
      <c r="AM80" s="3664"/>
      <c r="AN80" s="3691"/>
      <c r="AO80" s="3691">
        <f t="shared" si="25"/>
        <v>3000</v>
      </c>
      <c r="AP80" s="3691"/>
      <c r="AQ80" s="4089"/>
      <c r="AR80" s="877"/>
      <c r="AS80" s="4089">
        <f t="shared" si="38"/>
        <v>3000</v>
      </c>
      <c r="AT80" s="877"/>
      <c r="AU80" s="4089"/>
      <c r="AV80" s="4089"/>
      <c r="AW80" s="4089"/>
      <c r="AX80" s="4089"/>
      <c r="AY80" s="4089"/>
      <c r="AZ80" s="4089"/>
      <c r="BA80" s="4089"/>
      <c r="BB80" s="4089"/>
      <c r="BC80" s="4089"/>
      <c r="BD80" s="4089"/>
      <c r="BE80" s="4089"/>
      <c r="BF80" s="4089" t="s">
        <v>89</v>
      </c>
      <c r="BG80" s="4089"/>
      <c r="BH80" s="4089">
        <f t="shared" si="32"/>
        <v>500</v>
      </c>
      <c r="BI80" s="4089">
        <f t="shared" si="33"/>
        <v>500</v>
      </c>
      <c r="BJ80" s="4089">
        <f t="shared" si="34"/>
        <v>500</v>
      </c>
      <c r="BK80" s="4089">
        <f t="shared" si="35"/>
        <v>500</v>
      </c>
      <c r="BL80" s="4089">
        <f t="shared" si="36"/>
        <v>500</v>
      </c>
      <c r="BM80" s="4089">
        <f t="shared" si="37"/>
        <v>400</v>
      </c>
      <c r="BN80" s="4089">
        <f t="shared" si="43"/>
        <v>100</v>
      </c>
      <c r="BO80" s="878"/>
      <c r="BP80" s="878"/>
      <c r="BQ80" s="878"/>
      <c r="BR80" s="878"/>
      <c r="BS80" s="878"/>
      <c r="BT80" s="879"/>
      <c r="BU80" s="4384"/>
      <c r="BV80" s="4385">
        <f t="shared" si="39"/>
        <v>3000</v>
      </c>
      <c r="BW80" s="4386">
        <f t="shared" si="40"/>
        <v>0</v>
      </c>
      <c r="BX80" s="4387"/>
      <c r="BY80" s="4387"/>
      <c r="BZ80" s="4387"/>
      <c r="CA80" s="4391"/>
      <c r="CC80" s="4392"/>
      <c r="CD80" s="4391"/>
    </row>
    <row r="81" s="4025" customFormat="1" ht="50" customHeight="1" spans="1:82">
      <c r="A81" s="3688">
        <v>45645</v>
      </c>
      <c r="B81" s="3689" t="s">
        <v>2605</v>
      </c>
      <c r="C81" s="4381" t="s">
        <v>91</v>
      </c>
      <c r="D81" s="3690">
        <v>4500154353</v>
      </c>
      <c r="E81" s="3664" t="s">
        <v>2928</v>
      </c>
      <c r="F81" s="4086" t="s">
        <v>2929</v>
      </c>
      <c r="G81" s="3664" t="s">
        <v>2608</v>
      </c>
      <c r="H81" s="3664" t="s">
        <v>2609</v>
      </c>
      <c r="I81" s="3691">
        <v>33684</v>
      </c>
      <c r="J81" s="3691">
        <v>0</v>
      </c>
      <c r="K81" s="3691">
        <v>6</v>
      </c>
      <c r="L81" s="3691">
        <f t="shared" si="31"/>
        <v>5614</v>
      </c>
      <c r="M81" s="3659">
        <v>45699</v>
      </c>
      <c r="N81" s="3659">
        <v>45695</v>
      </c>
      <c r="O81" s="3664" t="s">
        <v>2930</v>
      </c>
      <c r="P81" s="3682" t="s">
        <v>82</v>
      </c>
      <c r="Q81" s="3682"/>
      <c r="R81" s="4083"/>
      <c r="S81" s="4083"/>
      <c r="T81" s="4083"/>
      <c r="U81" s="3645" t="s">
        <v>2931</v>
      </c>
      <c r="V81" s="3657" t="s">
        <v>2932</v>
      </c>
      <c r="W81" s="3657"/>
      <c r="X81" s="3657" t="s">
        <v>98</v>
      </c>
      <c r="Y81" s="3657"/>
      <c r="Z81" s="3661" t="s">
        <v>2933</v>
      </c>
      <c r="AA81" s="3620" t="s">
        <v>2934</v>
      </c>
      <c r="AB81" s="3691" t="s">
        <v>1607</v>
      </c>
      <c r="AC81" s="3691">
        <v>2.2478</v>
      </c>
      <c r="AD81" s="3691">
        <f>AC81*I81</f>
        <v>75714.8952</v>
      </c>
      <c r="AE81" s="3645" t="s">
        <v>2935</v>
      </c>
      <c r="AF81" s="3664" t="s">
        <v>2608</v>
      </c>
      <c r="AG81" s="3645" t="s">
        <v>326</v>
      </c>
      <c r="AH81" s="906"/>
      <c r="AI81" s="3691"/>
      <c r="AJ81" s="3691"/>
      <c r="AK81" s="905"/>
      <c r="AL81" s="3664"/>
      <c r="AM81" s="3664"/>
      <c r="AN81" s="3691">
        <f>I81</f>
        <v>33684</v>
      </c>
      <c r="AO81" s="3691">
        <f t="shared" si="25"/>
        <v>33684</v>
      </c>
      <c r="AP81" s="3691"/>
      <c r="AQ81" s="4089"/>
      <c r="AR81" s="907"/>
      <c r="AS81" s="4089">
        <f t="shared" si="38"/>
        <v>33684</v>
      </c>
      <c r="AT81" s="907"/>
      <c r="AU81" s="4089"/>
      <c r="AV81" s="4089"/>
      <c r="AW81" s="4089"/>
      <c r="AX81" s="4089"/>
      <c r="AY81" s="4089"/>
      <c r="AZ81" s="4089"/>
      <c r="BA81" s="4089"/>
      <c r="BB81" s="4089"/>
      <c r="BC81" s="4089"/>
      <c r="BD81" s="4089"/>
      <c r="BE81" s="4089"/>
      <c r="BF81" s="4089" t="s">
        <v>89</v>
      </c>
      <c r="BG81" s="4089"/>
      <c r="BH81" s="4089">
        <f t="shared" si="32"/>
        <v>5614</v>
      </c>
      <c r="BI81" s="4089">
        <f t="shared" si="33"/>
        <v>5614</v>
      </c>
      <c r="BJ81" s="4089">
        <f t="shared" si="34"/>
        <v>5614</v>
      </c>
      <c r="BK81" s="4089">
        <f t="shared" si="35"/>
        <v>5614</v>
      </c>
      <c r="BL81" s="4089">
        <f t="shared" si="36"/>
        <v>5614</v>
      </c>
      <c r="BM81" s="4089">
        <f t="shared" si="37"/>
        <v>4491.2</v>
      </c>
      <c r="BN81" s="4089">
        <f t="shared" si="43"/>
        <v>1122.8</v>
      </c>
      <c r="BO81" s="4382"/>
      <c r="BP81" s="4382"/>
      <c r="BQ81" s="4382"/>
      <c r="BR81" s="4382"/>
      <c r="BS81" s="4382"/>
      <c r="BT81" s="4383"/>
      <c r="BU81" s="4384"/>
      <c r="BV81" s="4385">
        <f t="shared" si="39"/>
        <v>33684</v>
      </c>
      <c r="BW81" s="4386">
        <f t="shared" si="40"/>
        <v>0</v>
      </c>
      <c r="BX81" s="4387"/>
      <c r="BY81" s="4387"/>
      <c r="BZ81" s="4387"/>
      <c r="CA81" s="4391"/>
      <c r="CC81" s="4392"/>
      <c r="CD81" s="4391"/>
    </row>
    <row r="82" s="4025" customFormat="1" ht="50" customHeight="1" spans="1:82">
      <c r="A82" s="3688">
        <v>45642</v>
      </c>
      <c r="B82" s="3689" t="s">
        <v>470</v>
      </c>
      <c r="C82" s="4381" t="s">
        <v>471</v>
      </c>
      <c r="D82" s="3690">
        <v>4500154045</v>
      </c>
      <c r="E82" s="3664" t="s">
        <v>2936</v>
      </c>
      <c r="F82" s="4086" t="s">
        <v>2937</v>
      </c>
      <c r="G82" s="3664" t="s">
        <v>2719</v>
      </c>
      <c r="H82" s="3664" t="s">
        <v>2591</v>
      </c>
      <c r="I82" s="3691">
        <v>1002</v>
      </c>
      <c r="J82" s="3691">
        <v>0</v>
      </c>
      <c r="K82" s="3691">
        <v>6</v>
      </c>
      <c r="L82" s="3691">
        <f t="shared" si="31"/>
        <v>167</v>
      </c>
      <c r="M82" s="3659">
        <v>45699</v>
      </c>
      <c r="N82" s="3659">
        <v>45695</v>
      </c>
      <c r="O82" s="4085"/>
      <c r="P82" s="3682" t="s">
        <v>82</v>
      </c>
      <c r="Q82" s="3682"/>
      <c r="R82" s="4083"/>
      <c r="S82" s="4083"/>
      <c r="T82" s="4083"/>
      <c r="U82" s="3645" t="s">
        <v>618</v>
      </c>
      <c r="V82" s="3657" t="s">
        <v>619</v>
      </c>
      <c r="W82" s="3657"/>
      <c r="X82" s="3657" t="s">
        <v>2938</v>
      </c>
      <c r="Y82" s="3657" t="s">
        <v>605</v>
      </c>
      <c r="Z82" s="3661"/>
      <c r="AA82" s="3620" t="s">
        <v>2939</v>
      </c>
      <c r="AB82" s="3691" t="s">
        <v>87</v>
      </c>
      <c r="AC82" s="3691">
        <v>2.1437</v>
      </c>
      <c r="AD82" s="3691">
        <f>AC82*I82</f>
        <v>2147.9874</v>
      </c>
      <c r="AE82" s="3645"/>
      <c r="AF82" s="3691" t="s">
        <v>2744</v>
      </c>
      <c r="AG82" s="3645" t="s">
        <v>416</v>
      </c>
      <c r="AH82" s="4349"/>
      <c r="AI82" s="3691"/>
      <c r="AJ82" s="3691"/>
      <c r="AK82" s="875"/>
      <c r="AL82" s="3664">
        <f>I82</f>
        <v>1002</v>
      </c>
      <c r="AM82" s="3664"/>
      <c r="AN82" s="3691"/>
      <c r="AO82" s="3691">
        <f t="shared" si="25"/>
        <v>1002</v>
      </c>
      <c r="AP82" s="3691"/>
      <c r="AQ82" s="4089"/>
      <c r="AR82" s="4397"/>
      <c r="AS82" s="4089">
        <f t="shared" si="38"/>
        <v>1002</v>
      </c>
      <c r="AT82" s="4397"/>
      <c r="AU82" s="4089"/>
      <c r="AV82" s="4089"/>
      <c r="AW82" s="4089"/>
      <c r="AX82" s="4089"/>
      <c r="AY82" s="4089"/>
      <c r="AZ82" s="4089"/>
      <c r="BA82" s="4089"/>
      <c r="BB82" s="4089"/>
      <c r="BC82" s="4089"/>
      <c r="BD82" s="4089"/>
      <c r="BE82" s="4089"/>
      <c r="BF82" s="4089" t="s">
        <v>89</v>
      </c>
      <c r="BG82" s="4089"/>
      <c r="BH82" s="4089">
        <f t="shared" si="32"/>
        <v>167</v>
      </c>
      <c r="BI82" s="4089">
        <f t="shared" si="33"/>
        <v>167</v>
      </c>
      <c r="BJ82" s="4089">
        <f t="shared" si="34"/>
        <v>167</v>
      </c>
      <c r="BK82" s="4089">
        <f t="shared" si="35"/>
        <v>167</v>
      </c>
      <c r="BL82" s="4089">
        <f t="shared" si="36"/>
        <v>167</v>
      </c>
      <c r="BM82" s="4089">
        <f t="shared" si="37"/>
        <v>133.6</v>
      </c>
      <c r="BN82" s="4089">
        <f t="shared" si="43"/>
        <v>33.4</v>
      </c>
      <c r="BO82" s="878"/>
      <c r="BP82" s="878"/>
      <c r="BQ82" s="878"/>
      <c r="BR82" s="878"/>
      <c r="BS82" s="878"/>
      <c r="BT82" s="879"/>
      <c r="BU82" s="4384"/>
      <c r="BV82" s="4385">
        <f t="shared" si="39"/>
        <v>1002</v>
      </c>
      <c r="BW82" s="4386">
        <f t="shared" si="40"/>
        <v>0</v>
      </c>
      <c r="BX82" s="4387"/>
      <c r="BY82" s="4387"/>
      <c r="BZ82" s="4387"/>
      <c r="CA82" s="4391"/>
      <c r="CC82" s="4392"/>
      <c r="CD82" s="4391"/>
    </row>
    <row r="83" s="4025" customFormat="1" ht="50" customHeight="1" spans="1:82">
      <c r="A83" s="3688">
        <v>45642</v>
      </c>
      <c r="B83" s="3689" t="s">
        <v>470</v>
      </c>
      <c r="C83" s="4381" t="s">
        <v>471</v>
      </c>
      <c r="D83" s="3690">
        <v>4500154045</v>
      </c>
      <c r="E83" s="3664" t="s">
        <v>2940</v>
      </c>
      <c r="F83" s="4086" t="s">
        <v>2941</v>
      </c>
      <c r="G83" s="3664" t="s">
        <v>2719</v>
      </c>
      <c r="H83" s="3664" t="s">
        <v>2591</v>
      </c>
      <c r="I83" s="3691">
        <v>1002</v>
      </c>
      <c r="J83" s="3691">
        <v>0</v>
      </c>
      <c r="K83" s="3691">
        <v>6</v>
      </c>
      <c r="L83" s="3691">
        <f t="shared" si="31"/>
        <v>167</v>
      </c>
      <c r="M83" s="3659">
        <v>45699</v>
      </c>
      <c r="N83" s="3659">
        <v>45695</v>
      </c>
      <c r="O83" s="4085"/>
      <c r="P83" s="3682" t="s">
        <v>82</v>
      </c>
      <c r="Q83" s="3682"/>
      <c r="R83" s="4083"/>
      <c r="S83" s="4083"/>
      <c r="T83" s="4083"/>
      <c r="U83" s="3645" t="s">
        <v>618</v>
      </c>
      <c r="V83" s="3657" t="s">
        <v>619</v>
      </c>
      <c r="W83" s="3657"/>
      <c r="X83" s="3657" t="s">
        <v>2938</v>
      </c>
      <c r="Y83" s="3657" t="s">
        <v>605</v>
      </c>
      <c r="Z83" s="3661"/>
      <c r="AA83" s="3620" t="s">
        <v>2939</v>
      </c>
      <c r="AB83" s="3691" t="s">
        <v>87</v>
      </c>
      <c r="AC83" s="3691">
        <v>2.1437</v>
      </c>
      <c r="AD83" s="3691">
        <f>AC83*I83</f>
        <v>2147.9874</v>
      </c>
      <c r="AE83" s="3645"/>
      <c r="AF83" s="3691" t="s">
        <v>2744</v>
      </c>
      <c r="AG83" s="3645" t="s">
        <v>416</v>
      </c>
      <c r="AH83" s="4349"/>
      <c r="AI83" s="3691"/>
      <c r="AJ83" s="3691"/>
      <c r="AK83" s="875"/>
      <c r="AL83" s="3664">
        <f>I83</f>
        <v>1002</v>
      </c>
      <c r="AM83" s="3664"/>
      <c r="AN83" s="3691"/>
      <c r="AO83" s="3691">
        <f t="shared" si="25"/>
        <v>1002</v>
      </c>
      <c r="AP83" s="3691"/>
      <c r="AQ83" s="4089"/>
      <c r="AR83" s="4397"/>
      <c r="AS83" s="4089">
        <f t="shared" si="38"/>
        <v>1002</v>
      </c>
      <c r="AT83" s="4397"/>
      <c r="AU83" s="4089"/>
      <c r="AV83" s="4089"/>
      <c r="AW83" s="4089"/>
      <c r="AX83" s="4089"/>
      <c r="AY83" s="4089"/>
      <c r="AZ83" s="4089"/>
      <c r="BA83" s="4089"/>
      <c r="BB83" s="4089"/>
      <c r="BC83" s="4089"/>
      <c r="BD83" s="4089"/>
      <c r="BE83" s="4089"/>
      <c r="BF83" s="4089" t="s">
        <v>89</v>
      </c>
      <c r="BG83" s="4089"/>
      <c r="BH83" s="4089">
        <f t="shared" si="32"/>
        <v>167</v>
      </c>
      <c r="BI83" s="4089">
        <f t="shared" si="33"/>
        <v>167</v>
      </c>
      <c r="BJ83" s="4089">
        <f t="shared" si="34"/>
        <v>167</v>
      </c>
      <c r="BK83" s="4089">
        <f t="shared" si="35"/>
        <v>167</v>
      </c>
      <c r="BL83" s="4089">
        <f t="shared" si="36"/>
        <v>167</v>
      </c>
      <c r="BM83" s="4089">
        <f t="shared" si="37"/>
        <v>133.6</v>
      </c>
      <c r="BN83" s="4089">
        <f t="shared" si="43"/>
        <v>33.4</v>
      </c>
      <c r="BO83" s="878"/>
      <c r="BP83" s="878"/>
      <c r="BQ83" s="878"/>
      <c r="BR83" s="878"/>
      <c r="BS83" s="878"/>
      <c r="BT83" s="879"/>
      <c r="BU83" s="4384"/>
      <c r="BV83" s="4385">
        <f t="shared" si="39"/>
        <v>1002</v>
      </c>
      <c r="BW83" s="4386">
        <f t="shared" si="40"/>
        <v>0</v>
      </c>
      <c r="BX83" s="4387"/>
      <c r="BY83" s="4387"/>
      <c r="BZ83" s="4387"/>
      <c r="CA83" s="4391"/>
      <c r="CC83" s="4392"/>
      <c r="CD83" s="4391"/>
    </row>
    <row r="84" s="4025" customFormat="1" ht="50" customHeight="1" spans="1:82">
      <c r="A84" s="3688">
        <v>45642</v>
      </c>
      <c r="B84" s="3689" t="s">
        <v>461</v>
      </c>
      <c r="C84" s="4381" t="s">
        <v>341</v>
      </c>
      <c r="D84" s="3690">
        <v>4500154092</v>
      </c>
      <c r="E84" s="3664" t="s">
        <v>2942</v>
      </c>
      <c r="F84" s="4086" t="s">
        <v>2943</v>
      </c>
      <c r="G84" s="3664" t="s">
        <v>2719</v>
      </c>
      <c r="H84" s="3664" t="s">
        <v>2591</v>
      </c>
      <c r="I84" s="3691">
        <v>1500</v>
      </c>
      <c r="J84" s="3691">
        <v>0</v>
      </c>
      <c r="K84" s="3691">
        <v>6</v>
      </c>
      <c r="L84" s="3691">
        <f t="shared" si="31"/>
        <v>250</v>
      </c>
      <c r="M84" s="3659">
        <v>45699</v>
      </c>
      <c r="N84" s="3659">
        <v>45695</v>
      </c>
      <c r="O84" s="4085"/>
      <c r="P84" s="3682" t="s">
        <v>82</v>
      </c>
      <c r="Q84" s="3682"/>
      <c r="R84" s="4083"/>
      <c r="S84" s="4083"/>
      <c r="T84" s="4083"/>
      <c r="U84" s="3645" t="s">
        <v>147</v>
      </c>
      <c r="V84" s="3657" t="s">
        <v>619</v>
      </c>
      <c r="W84" s="3657"/>
      <c r="X84" s="3657" t="s">
        <v>98</v>
      </c>
      <c r="Y84" s="3657" t="s">
        <v>605</v>
      </c>
      <c r="Z84" s="3661"/>
      <c r="AA84" s="3620" t="s">
        <v>2944</v>
      </c>
      <c r="AB84" s="3691" t="s">
        <v>87</v>
      </c>
      <c r="AC84" s="3691">
        <v>2.1403</v>
      </c>
      <c r="AD84" s="3691">
        <f>AC84*I84</f>
        <v>3210.45</v>
      </c>
      <c r="AE84" s="3645" t="s">
        <v>626</v>
      </c>
      <c r="AF84" s="3691" t="s">
        <v>2744</v>
      </c>
      <c r="AG84" s="3645" t="s">
        <v>416</v>
      </c>
      <c r="AH84" s="4349"/>
      <c r="AI84" s="3691"/>
      <c r="AJ84" s="3691"/>
      <c r="AK84" s="875"/>
      <c r="AL84" s="3664">
        <f>I84</f>
        <v>1500</v>
      </c>
      <c r="AM84" s="3664"/>
      <c r="AN84" s="3691"/>
      <c r="AO84" s="3691">
        <f t="shared" si="25"/>
        <v>1500</v>
      </c>
      <c r="AP84" s="3691"/>
      <c r="AQ84" s="4089"/>
      <c r="AR84" s="4397"/>
      <c r="AS84" s="4089">
        <f t="shared" si="38"/>
        <v>1500</v>
      </c>
      <c r="AT84" s="4397"/>
      <c r="AU84" s="4089"/>
      <c r="AV84" s="4089"/>
      <c r="AW84" s="4089"/>
      <c r="AX84" s="4089"/>
      <c r="AY84" s="4089"/>
      <c r="AZ84" s="4089"/>
      <c r="BA84" s="4089"/>
      <c r="BB84" s="4089"/>
      <c r="BC84" s="4089"/>
      <c r="BD84" s="4089"/>
      <c r="BE84" s="4089"/>
      <c r="BF84" s="4089" t="s">
        <v>89</v>
      </c>
      <c r="BG84" s="4089"/>
      <c r="BH84" s="4089">
        <f t="shared" si="32"/>
        <v>250</v>
      </c>
      <c r="BI84" s="4089">
        <f t="shared" si="33"/>
        <v>250</v>
      </c>
      <c r="BJ84" s="4089">
        <f t="shared" si="34"/>
        <v>250</v>
      </c>
      <c r="BK84" s="4089">
        <f t="shared" si="35"/>
        <v>250</v>
      </c>
      <c r="BL84" s="4089">
        <f t="shared" si="36"/>
        <v>250</v>
      </c>
      <c r="BM84" s="4089">
        <f t="shared" si="37"/>
        <v>200</v>
      </c>
      <c r="BN84" s="4089">
        <f t="shared" si="43"/>
        <v>50</v>
      </c>
      <c r="BO84" s="878"/>
      <c r="BP84" s="878"/>
      <c r="BQ84" s="878"/>
      <c r="BR84" s="878"/>
      <c r="BS84" s="878"/>
      <c r="BT84" s="879"/>
      <c r="BU84" s="4384"/>
      <c r="BV84" s="4385">
        <f t="shared" si="39"/>
        <v>1500</v>
      </c>
      <c r="BW84" s="4386">
        <f t="shared" si="40"/>
        <v>0</v>
      </c>
      <c r="BX84" s="4387"/>
      <c r="BY84" s="4387"/>
      <c r="BZ84" s="4387"/>
      <c r="CA84" s="4391"/>
      <c r="CC84" s="4392"/>
      <c r="CD84" s="4391"/>
    </row>
    <row r="85" s="4025" customFormat="1" ht="50" customHeight="1" spans="1:82">
      <c r="A85" s="3688">
        <v>45642</v>
      </c>
      <c r="B85" s="3689" t="s">
        <v>461</v>
      </c>
      <c r="C85" s="4381" t="s">
        <v>341</v>
      </c>
      <c r="D85" s="3690">
        <v>4500154092</v>
      </c>
      <c r="E85" s="3664" t="s">
        <v>2945</v>
      </c>
      <c r="F85" s="4086" t="s">
        <v>2946</v>
      </c>
      <c r="G85" s="3664" t="s">
        <v>2719</v>
      </c>
      <c r="H85" s="3664" t="s">
        <v>2591</v>
      </c>
      <c r="I85" s="3691">
        <v>1500</v>
      </c>
      <c r="J85" s="3691">
        <v>0</v>
      </c>
      <c r="K85" s="3691">
        <v>6</v>
      </c>
      <c r="L85" s="3691">
        <f t="shared" si="31"/>
        <v>250</v>
      </c>
      <c r="M85" s="3659">
        <v>45699</v>
      </c>
      <c r="N85" s="3659">
        <v>45695</v>
      </c>
      <c r="O85" s="4085"/>
      <c r="P85" s="3682" t="s">
        <v>82</v>
      </c>
      <c r="Q85" s="3682"/>
      <c r="R85" s="4083"/>
      <c r="S85" s="4083"/>
      <c r="T85" s="4083"/>
      <c r="U85" s="3645" t="s">
        <v>147</v>
      </c>
      <c r="V85" s="3657" t="s">
        <v>619</v>
      </c>
      <c r="W85" s="3657"/>
      <c r="X85" s="3657" t="s">
        <v>98</v>
      </c>
      <c r="Y85" s="3657" t="s">
        <v>605</v>
      </c>
      <c r="Z85" s="3661"/>
      <c r="AA85" s="3620" t="s">
        <v>2944</v>
      </c>
      <c r="AB85" s="3691" t="s">
        <v>87</v>
      </c>
      <c r="AC85" s="3691">
        <v>2.1403</v>
      </c>
      <c r="AD85" s="3691">
        <f>AC85*I85</f>
        <v>3210.45</v>
      </c>
      <c r="AE85" s="3645" t="s">
        <v>626</v>
      </c>
      <c r="AF85" s="3691" t="s">
        <v>2744</v>
      </c>
      <c r="AG85" s="3645" t="s">
        <v>416</v>
      </c>
      <c r="AH85" s="4349"/>
      <c r="AI85" s="3691"/>
      <c r="AJ85" s="3691"/>
      <c r="AK85" s="875"/>
      <c r="AL85" s="3664">
        <f>I85</f>
        <v>1500</v>
      </c>
      <c r="AM85" s="3664"/>
      <c r="AN85" s="3691"/>
      <c r="AO85" s="3691">
        <f t="shared" si="25"/>
        <v>1500</v>
      </c>
      <c r="AP85" s="3691"/>
      <c r="AQ85" s="4089"/>
      <c r="AR85" s="4397"/>
      <c r="AS85" s="4089">
        <f t="shared" si="38"/>
        <v>1500</v>
      </c>
      <c r="AT85" s="4397"/>
      <c r="AU85" s="4089"/>
      <c r="AV85" s="4089"/>
      <c r="AW85" s="4089"/>
      <c r="AX85" s="4089"/>
      <c r="AY85" s="4089"/>
      <c r="AZ85" s="4089"/>
      <c r="BA85" s="4089"/>
      <c r="BB85" s="4089"/>
      <c r="BC85" s="4089"/>
      <c r="BD85" s="4089"/>
      <c r="BE85" s="4089"/>
      <c r="BF85" s="4089" t="s">
        <v>89</v>
      </c>
      <c r="BG85" s="4089"/>
      <c r="BH85" s="4089">
        <f t="shared" si="32"/>
        <v>250</v>
      </c>
      <c r="BI85" s="4089">
        <f t="shared" si="33"/>
        <v>250</v>
      </c>
      <c r="BJ85" s="4089">
        <f t="shared" si="34"/>
        <v>250</v>
      </c>
      <c r="BK85" s="4089">
        <f t="shared" si="35"/>
        <v>250</v>
      </c>
      <c r="BL85" s="4089">
        <f t="shared" si="36"/>
        <v>250</v>
      </c>
      <c r="BM85" s="4089">
        <f t="shared" si="37"/>
        <v>200</v>
      </c>
      <c r="BN85" s="4089">
        <f t="shared" si="43"/>
        <v>50</v>
      </c>
      <c r="BO85" s="878"/>
      <c r="BP85" s="878"/>
      <c r="BQ85" s="878"/>
      <c r="BR85" s="878"/>
      <c r="BS85" s="878"/>
      <c r="BT85" s="879"/>
      <c r="BU85" s="4384"/>
      <c r="BV85" s="4385">
        <f t="shared" si="39"/>
        <v>1500</v>
      </c>
      <c r="BW85" s="4386">
        <f t="shared" si="40"/>
        <v>0</v>
      </c>
      <c r="BX85" s="4387"/>
      <c r="BY85" s="4387"/>
      <c r="BZ85" s="4387"/>
      <c r="CA85" s="4391"/>
      <c r="CC85" s="4392"/>
      <c r="CD85" s="4391"/>
    </row>
    <row r="86" s="4025" customFormat="1" ht="50" customHeight="1" spans="1:82">
      <c r="A86" s="3688">
        <v>45673</v>
      </c>
      <c r="B86" s="3689"/>
      <c r="C86" s="3664"/>
      <c r="D86" s="3690" t="s">
        <v>2947</v>
      </c>
      <c r="E86" s="3664"/>
      <c r="F86" s="3690"/>
      <c r="G86" s="3664" t="s">
        <v>2627</v>
      </c>
      <c r="H86" s="3691" t="s">
        <v>2591</v>
      </c>
      <c r="I86" s="3691">
        <v>144</v>
      </c>
      <c r="J86" s="3691">
        <v>0</v>
      </c>
      <c r="K86" s="3691">
        <v>24</v>
      </c>
      <c r="L86" s="3691">
        <f t="shared" si="31"/>
        <v>6</v>
      </c>
      <c r="M86" s="3659">
        <v>45699</v>
      </c>
      <c r="N86" s="3659">
        <v>45695</v>
      </c>
      <c r="O86" s="3664"/>
      <c r="P86" s="3682" t="s">
        <v>82</v>
      </c>
      <c r="Q86" s="3682"/>
      <c r="R86" s="4083"/>
      <c r="S86" s="4083"/>
      <c r="T86" s="4083"/>
      <c r="U86" s="3645"/>
      <c r="V86" s="3657" t="s">
        <v>335</v>
      </c>
      <c r="W86" s="3657"/>
      <c r="X86" s="3657" t="s">
        <v>98</v>
      </c>
      <c r="Y86" s="3657"/>
      <c r="Z86" s="3661"/>
      <c r="AA86" s="3620" t="s">
        <v>2948</v>
      </c>
      <c r="AB86" s="3691" t="s">
        <v>792</v>
      </c>
      <c r="AC86" s="4087"/>
      <c r="AD86" s="3691"/>
      <c r="AE86" s="3645"/>
      <c r="AF86" s="3664" t="s">
        <v>2627</v>
      </c>
      <c r="AG86" s="3645" t="s">
        <v>416</v>
      </c>
      <c r="AH86" s="875"/>
      <c r="AI86" s="3664">
        <f>I86</f>
        <v>144</v>
      </c>
      <c r="AJ86" s="3664"/>
      <c r="AK86" s="875"/>
      <c r="AL86" s="3664"/>
      <c r="AM86" s="3664"/>
      <c r="AN86" s="3691"/>
      <c r="AO86" s="3691">
        <f t="shared" si="25"/>
        <v>144</v>
      </c>
      <c r="AP86" s="3691"/>
      <c r="AQ86" s="4089"/>
      <c r="AR86" s="877"/>
      <c r="AS86" s="4089">
        <f t="shared" si="38"/>
        <v>144</v>
      </c>
      <c r="AT86" s="877"/>
      <c r="AU86" s="4089"/>
      <c r="AV86" s="4089"/>
      <c r="AW86" s="4089"/>
      <c r="AX86" s="4089"/>
      <c r="AY86" s="4089"/>
      <c r="AZ86" s="4089"/>
      <c r="BA86" s="4089"/>
      <c r="BB86" s="4089"/>
      <c r="BC86" s="4089"/>
      <c r="BD86" s="4089"/>
      <c r="BE86" s="4089"/>
      <c r="BF86" s="4089" t="s">
        <v>89</v>
      </c>
      <c r="BG86" s="4089"/>
      <c r="BH86" s="4089">
        <f t="shared" si="32"/>
        <v>24</v>
      </c>
      <c r="BI86" s="4089">
        <f t="shared" si="33"/>
        <v>24</v>
      </c>
      <c r="BJ86" s="4089">
        <f t="shared" si="34"/>
        <v>24</v>
      </c>
      <c r="BK86" s="4089">
        <f t="shared" si="35"/>
        <v>24</v>
      </c>
      <c r="BL86" s="4089">
        <f t="shared" si="36"/>
        <v>24</v>
      </c>
      <c r="BM86" s="4089">
        <f t="shared" si="37"/>
        <v>19.2</v>
      </c>
      <c r="BN86" s="4089">
        <f t="shared" si="43"/>
        <v>4.8</v>
      </c>
      <c r="BO86" s="878"/>
      <c r="BP86" s="878"/>
      <c r="BQ86" s="878"/>
      <c r="BR86" s="878"/>
      <c r="BS86" s="878"/>
      <c r="BT86" s="879"/>
      <c r="BU86" s="4384"/>
      <c r="BV86" s="4385">
        <f t="shared" si="39"/>
        <v>144</v>
      </c>
      <c r="BW86" s="4386">
        <f t="shared" si="40"/>
        <v>0</v>
      </c>
      <c r="BX86" s="4387"/>
      <c r="BY86" s="4387"/>
      <c r="BZ86" s="4387"/>
      <c r="CA86" s="4391"/>
      <c r="CC86" s="4392"/>
      <c r="CD86" s="4391"/>
    </row>
    <row r="87" s="4025" customFormat="1" ht="50" customHeight="1" spans="1:82">
      <c r="A87" s="3688">
        <v>45517</v>
      </c>
      <c r="B87" s="3689" t="s">
        <v>2949</v>
      </c>
      <c r="C87" s="4381" t="s">
        <v>341</v>
      </c>
      <c r="D87" s="3690">
        <v>4500142850</v>
      </c>
      <c r="E87" s="3664"/>
      <c r="F87" s="4086" t="s">
        <v>2950</v>
      </c>
      <c r="G87" s="3664" t="s">
        <v>2951</v>
      </c>
      <c r="H87" s="3691" t="s">
        <v>2591</v>
      </c>
      <c r="I87" s="3691">
        <v>1808</v>
      </c>
      <c r="J87" s="3691">
        <v>4</v>
      </c>
      <c r="K87" s="3691">
        <v>16</v>
      </c>
      <c r="L87" s="3691">
        <f t="shared" si="31"/>
        <v>113</v>
      </c>
      <c r="M87" s="3659">
        <v>45702</v>
      </c>
      <c r="N87" s="3659">
        <v>45698</v>
      </c>
      <c r="O87" s="4085"/>
      <c r="P87" s="3682" t="s">
        <v>82</v>
      </c>
      <c r="Q87" s="3682"/>
      <c r="R87" s="4083"/>
      <c r="S87" s="4083"/>
      <c r="T87" s="4083"/>
      <c r="U87" s="3645" t="s">
        <v>156</v>
      </c>
      <c r="V87" s="3657" t="s">
        <v>2346</v>
      </c>
      <c r="W87" s="3657"/>
      <c r="X87" s="3657" t="s">
        <v>2952</v>
      </c>
      <c r="Y87" s="3657"/>
      <c r="Z87" s="3661"/>
      <c r="AA87" s="3620" t="s">
        <v>2953</v>
      </c>
      <c r="AB87" s="3691" t="s">
        <v>424</v>
      </c>
      <c r="AC87" s="4402">
        <v>2.2887</v>
      </c>
      <c r="AD87" s="4402">
        <f t="shared" ref="AD87:AD111" si="44">AC87*I87</f>
        <v>4137.9696</v>
      </c>
      <c r="AE87" s="3645"/>
      <c r="AF87" s="3664" t="s">
        <v>2951</v>
      </c>
      <c r="AG87" s="3645" t="s">
        <v>416</v>
      </c>
      <c r="AH87" s="4349"/>
      <c r="AI87" s="3691">
        <f>I87</f>
        <v>1808</v>
      </c>
      <c r="AJ87" s="3691"/>
      <c r="AK87" s="875"/>
      <c r="AL87" s="3664"/>
      <c r="AM87" s="3664"/>
      <c r="AN87" s="3691"/>
      <c r="AO87" s="3691">
        <f t="shared" si="25"/>
        <v>1808</v>
      </c>
      <c r="AP87" s="3691"/>
      <c r="AQ87" s="4089"/>
      <c r="AR87" s="877"/>
      <c r="AS87" s="4089">
        <f t="shared" si="38"/>
        <v>1808</v>
      </c>
      <c r="AT87" s="877"/>
      <c r="AU87" s="4089"/>
      <c r="AV87" s="4089"/>
      <c r="AW87" s="4089"/>
      <c r="AX87" s="4089"/>
      <c r="AY87" s="4089"/>
      <c r="AZ87" s="4089"/>
      <c r="BA87" s="4089">
        <f>I87/4</f>
        <v>452</v>
      </c>
      <c r="BB87" s="4089"/>
      <c r="BC87" s="4089"/>
      <c r="BD87" s="4089"/>
      <c r="BE87" s="4089"/>
      <c r="BF87" s="4089" t="s">
        <v>89</v>
      </c>
      <c r="BG87" s="4089"/>
      <c r="BH87" s="4089">
        <f t="shared" si="32"/>
        <v>301.333333333333</v>
      </c>
      <c r="BI87" s="4089">
        <f t="shared" si="33"/>
        <v>301.333333333333</v>
      </c>
      <c r="BJ87" s="4089">
        <f t="shared" si="34"/>
        <v>301.333333333333</v>
      </c>
      <c r="BK87" s="4089">
        <f t="shared" si="35"/>
        <v>301.333333333333</v>
      </c>
      <c r="BL87" s="4089">
        <f t="shared" si="36"/>
        <v>301.333333333333</v>
      </c>
      <c r="BM87" s="4089">
        <f t="shared" si="37"/>
        <v>241.066666666667</v>
      </c>
      <c r="BN87" s="4089">
        <f t="shared" si="43"/>
        <v>60.2666666666667</v>
      </c>
      <c r="BO87" s="878"/>
      <c r="BP87" s="878"/>
      <c r="BQ87" s="878"/>
      <c r="BR87" s="878"/>
      <c r="BS87" s="878"/>
      <c r="BT87" s="879"/>
      <c r="BU87" s="4384"/>
      <c r="BV87" s="4385">
        <f t="shared" si="39"/>
        <v>1808</v>
      </c>
      <c r="BW87" s="4386">
        <f t="shared" si="40"/>
        <v>0</v>
      </c>
      <c r="BX87" s="4387"/>
      <c r="BY87" s="4387"/>
      <c r="BZ87" s="4387"/>
      <c r="CA87" s="4391"/>
      <c r="CC87" s="4392"/>
      <c r="CD87" s="4391"/>
    </row>
    <row r="88" s="4025" customFormat="1" ht="50" customHeight="1" spans="1:82">
      <c r="A88" s="3688">
        <v>45642</v>
      </c>
      <c r="B88" s="3689" t="s">
        <v>2681</v>
      </c>
      <c r="C88" s="3664" t="s">
        <v>91</v>
      </c>
      <c r="D88" s="3690">
        <v>4500154105</v>
      </c>
      <c r="E88" s="3664" t="s">
        <v>2954</v>
      </c>
      <c r="F88" s="3690" t="s">
        <v>2955</v>
      </c>
      <c r="G88" s="3664" t="s">
        <v>2684</v>
      </c>
      <c r="H88" s="3664" t="s">
        <v>2591</v>
      </c>
      <c r="I88" s="3691">
        <v>4644</v>
      </c>
      <c r="J88" s="3691">
        <v>0</v>
      </c>
      <c r="K88" s="3691">
        <v>6</v>
      </c>
      <c r="L88" s="3691">
        <f t="shared" si="31"/>
        <v>774</v>
      </c>
      <c r="M88" s="3659">
        <v>45703</v>
      </c>
      <c r="N88" s="3659">
        <v>45699</v>
      </c>
      <c r="O88" s="4085"/>
      <c r="P88" s="3682" t="s">
        <v>82</v>
      </c>
      <c r="Q88" s="3682"/>
      <c r="R88" s="4083"/>
      <c r="S88" s="4083"/>
      <c r="T88" s="4083"/>
      <c r="U88" s="3645" t="s">
        <v>618</v>
      </c>
      <c r="V88" s="3657" t="s">
        <v>2956</v>
      </c>
      <c r="W88" s="3657"/>
      <c r="X88" s="3657" t="s">
        <v>98</v>
      </c>
      <c r="Y88" s="3657" t="s">
        <v>687</v>
      </c>
      <c r="Z88" s="3661"/>
      <c r="AA88" s="3620" t="s">
        <v>2858</v>
      </c>
      <c r="AB88" s="3691" t="s">
        <v>2686</v>
      </c>
      <c r="AC88" s="4087">
        <v>2.1435</v>
      </c>
      <c r="AD88" s="3691">
        <f t="shared" si="44"/>
        <v>9954.414</v>
      </c>
      <c r="AE88" s="3645"/>
      <c r="AF88" s="3664" t="s">
        <v>2684</v>
      </c>
      <c r="AG88" s="3645" t="s">
        <v>416</v>
      </c>
      <c r="AH88" s="905"/>
      <c r="AI88" s="3691">
        <f>I88</f>
        <v>4644</v>
      </c>
      <c r="AJ88" s="3691"/>
      <c r="AK88" s="905"/>
      <c r="AL88" s="3664"/>
      <c r="AM88" s="3664"/>
      <c r="AN88" s="3691"/>
      <c r="AO88" s="3691">
        <f t="shared" si="25"/>
        <v>4644</v>
      </c>
      <c r="AP88" s="3691"/>
      <c r="AQ88" s="4089"/>
      <c r="AR88" s="907"/>
      <c r="AS88" s="4089">
        <f t="shared" si="38"/>
        <v>4644</v>
      </c>
      <c r="AT88" s="907"/>
      <c r="AU88" s="4089"/>
      <c r="AV88" s="4089"/>
      <c r="AW88" s="4089"/>
      <c r="AX88" s="4089">
        <f>I88/6</f>
        <v>774</v>
      </c>
      <c r="AY88" s="4089"/>
      <c r="AZ88" s="4089"/>
      <c r="BA88" s="4089"/>
      <c r="BB88" s="4089"/>
      <c r="BC88" s="4089"/>
      <c r="BD88" s="4089"/>
      <c r="BE88" s="4089"/>
      <c r="BF88" s="4089" t="s">
        <v>89</v>
      </c>
      <c r="BG88" s="4089"/>
      <c r="BH88" s="4089">
        <f t="shared" si="32"/>
        <v>774</v>
      </c>
      <c r="BI88" s="4089">
        <f t="shared" si="33"/>
        <v>774</v>
      </c>
      <c r="BJ88" s="4089">
        <f t="shared" si="34"/>
        <v>774</v>
      </c>
      <c r="BK88" s="4089">
        <f t="shared" si="35"/>
        <v>774</v>
      </c>
      <c r="BL88" s="4089">
        <f t="shared" si="36"/>
        <v>774</v>
      </c>
      <c r="BM88" s="4089">
        <f t="shared" si="37"/>
        <v>619.2</v>
      </c>
      <c r="BN88" s="4089">
        <f t="shared" si="43"/>
        <v>154.8</v>
      </c>
      <c r="BO88" s="4382"/>
      <c r="BP88" s="4382"/>
      <c r="BQ88" s="4382"/>
      <c r="BR88" s="4382"/>
      <c r="BS88" s="4382"/>
      <c r="BT88" s="4383"/>
      <c r="BU88" s="4384"/>
      <c r="BV88" s="4385">
        <f t="shared" si="39"/>
        <v>4644</v>
      </c>
      <c r="BW88" s="4386">
        <f t="shared" si="40"/>
        <v>0</v>
      </c>
      <c r="BX88" s="4387"/>
      <c r="BY88" s="4387"/>
      <c r="BZ88" s="4387"/>
      <c r="CA88" s="4391"/>
      <c r="CC88" s="4392"/>
      <c r="CD88" s="4391"/>
    </row>
    <row r="89" s="4025" customFormat="1" ht="50" customHeight="1" spans="1:82">
      <c r="A89" s="3688">
        <v>45657</v>
      </c>
      <c r="B89" s="3689" t="s">
        <v>2681</v>
      </c>
      <c r="C89" s="3664" t="s">
        <v>91</v>
      </c>
      <c r="D89" s="3690">
        <v>4500154981</v>
      </c>
      <c r="E89" s="3664" t="s">
        <v>2957</v>
      </c>
      <c r="F89" s="3690" t="s">
        <v>2958</v>
      </c>
      <c r="G89" s="3664" t="s">
        <v>2684</v>
      </c>
      <c r="H89" s="3664" t="s">
        <v>2591</v>
      </c>
      <c r="I89" s="3691">
        <v>2532</v>
      </c>
      <c r="J89" s="3691">
        <v>0</v>
      </c>
      <c r="K89" s="3691">
        <v>6</v>
      </c>
      <c r="L89" s="3691">
        <f t="shared" si="31"/>
        <v>422</v>
      </c>
      <c r="M89" s="3659">
        <v>45703</v>
      </c>
      <c r="N89" s="3659">
        <v>45699</v>
      </c>
      <c r="O89" s="4085"/>
      <c r="P89" s="3682" t="s">
        <v>82</v>
      </c>
      <c r="Q89" s="3682"/>
      <c r="R89" s="4083"/>
      <c r="S89" s="4083"/>
      <c r="T89" s="4083"/>
      <c r="U89" s="3645" t="s">
        <v>156</v>
      </c>
      <c r="V89" s="3657" t="s">
        <v>2959</v>
      </c>
      <c r="W89" s="3657"/>
      <c r="X89" s="3657" t="s">
        <v>98</v>
      </c>
      <c r="Y89" s="3657" t="s">
        <v>687</v>
      </c>
      <c r="Z89" s="3661"/>
      <c r="AA89" s="3620" t="s">
        <v>2960</v>
      </c>
      <c r="AB89" s="3691" t="s">
        <v>2686</v>
      </c>
      <c r="AC89" s="4087">
        <v>2.147</v>
      </c>
      <c r="AD89" s="3691">
        <f t="shared" si="44"/>
        <v>5436.204</v>
      </c>
      <c r="AE89" s="3645"/>
      <c r="AF89" s="3664" t="s">
        <v>2684</v>
      </c>
      <c r="AG89" s="3645" t="s">
        <v>416</v>
      </c>
      <c r="AH89" s="905"/>
      <c r="AI89" s="3664">
        <f>I89</f>
        <v>2532</v>
      </c>
      <c r="AJ89" s="3664"/>
      <c r="AK89" s="905"/>
      <c r="AL89" s="3664"/>
      <c r="AM89" s="3664"/>
      <c r="AN89" s="3691"/>
      <c r="AO89" s="3691">
        <f t="shared" si="25"/>
        <v>2532</v>
      </c>
      <c r="AP89" s="3691"/>
      <c r="AQ89" s="4089"/>
      <c r="AR89" s="907"/>
      <c r="AS89" s="4089">
        <f t="shared" si="38"/>
        <v>2532</v>
      </c>
      <c r="AT89" s="907"/>
      <c r="AU89" s="4089"/>
      <c r="AV89" s="4089"/>
      <c r="AW89" s="4089"/>
      <c r="AX89" s="4089">
        <f>I89/6</f>
        <v>422</v>
      </c>
      <c r="AY89" s="4089"/>
      <c r="AZ89" s="4089"/>
      <c r="BA89" s="4089"/>
      <c r="BB89" s="4089"/>
      <c r="BC89" s="4089"/>
      <c r="BD89" s="4089"/>
      <c r="BE89" s="4089"/>
      <c r="BF89" s="4089" t="s">
        <v>89</v>
      </c>
      <c r="BG89" s="4089"/>
      <c r="BH89" s="4089">
        <f t="shared" si="32"/>
        <v>422</v>
      </c>
      <c r="BI89" s="4089">
        <f t="shared" si="33"/>
        <v>422</v>
      </c>
      <c r="BJ89" s="4089">
        <f t="shared" si="34"/>
        <v>422</v>
      </c>
      <c r="BK89" s="4089">
        <f t="shared" si="35"/>
        <v>422</v>
      </c>
      <c r="BL89" s="4089">
        <f t="shared" si="36"/>
        <v>422</v>
      </c>
      <c r="BM89" s="4089">
        <f t="shared" si="37"/>
        <v>337.6</v>
      </c>
      <c r="BN89" s="4089">
        <f t="shared" si="43"/>
        <v>84.4</v>
      </c>
      <c r="BO89" s="4382"/>
      <c r="BP89" s="4382"/>
      <c r="BQ89" s="4382"/>
      <c r="BR89" s="4382"/>
      <c r="BS89" s="4382"/>
      <c r="BT89" s="4383"/>
      <c r="BU89" s="4384"/>
      <c r="BV89" s="4385">
        <f t="shared" si="39"/>
        <v>2532</v>
      </c>
      <c r="BW89" s="4386">
        <f t="shared" si="40"/>
        <v>0</v>
      </c>
      <c r="BX89" s="4387"/>
      <c r="BY89" s="4387"/>
      <c r="BZ89" s="4387"/>
      <c r="CA89" s="4391"/>
      <c r="CC89" s="4392"/>
      <c r="CD89" s="4391"/>
    </row>
    <row r="90" s="4025" customFormat="1" ht="50" customHeight="1" spans="1:82">
      <c r="A90" s="3688">
        <v>45650</v>
      </c>
      <c r="B90" s="3689" t="s">
        <v>2961</v>
      </c>
      <c r="C90" s="3664" t="s">
        <v>341</v>
      </c>
      <c r="D90" s="3690">
        <v>4500154651</v>
      </c>
      <c r="E90" s="3664" t="s">
        <v>2962</v>
      </c>
      <c r="F90" s="3690" t="s">
        <v>2963</v>
      </c>
      <c r="G90" s="3664" t="s">
        <v>2964</v>
      </c>
      <c r="H90" s="3664" t="s">
        <v>2965</v>
      </c>
      <c r="I90" s="3691">
        <v>504</v>
      </c>
      <c r="J90" s="3691">
        <v>6</v>
      </c>
      <c r="K90" s="3691">
        <v>12</v>
      </c>
      <c r="L90" s="3691">
        <f t="shared" si="31"/>
        <v>42</v>
      </c>
      <c r="M90" s="3659">
        <v>45705</v>
      </c>
      <c r="N90" s="3659">
        <v>45701</v>
      </c>
      <c r="O90" s="4085"/>
      <c r="P90" s="3682" t="s">
        <v>82</v>
      </c>
      <c r="Q90" s="3682"/>
      <c r="R90" s="4083"/>
      <c r="S90" s="4083"/>
      <c r="T90" s="4083"/>
      <c r="U90" s="3645" t="s">
        <v>686</v>
      </c>
      <c r="V90" s="3657" t="s">
        <v>2354</v>
      </c>
      <c r="W90" s="3657"/>
      <c r="X90" s="3657" t="s">
        <v>98</v>
      </c>
      <c r="Y90" s="3657"/>
      <c r="Z90" s="3661"/>
      <c r="AA90" s="3620" t="s">
        <v>2966</v>
      </c>
      <c r="AB90" s="3691" t="s">
        <v>1459</v>
      </c>
      <c r="AC90" s="3691">
        <v>2.243</v>
      </c>
      <c r="AD90" s="3691">
        <f t="shared" si="44"/>
        <v>1130.472</v>
      </c>
      <c r="AE90" s="3645" t="s">
        <v>2967</v>
      </c>
      <c r="AF90" s="3690" t="s">
        <v>2964</v>
      </c>
      <c r="AG90" s="3645" t="s">
        <v>416</v>
      </c>
      <c r="AH90" s="875"/>
      <c r="AI90" s="3691">
        <f>I90</f>
        <v>504</v>
      </c>
      <c r="AJ90" s="3691"/>
      <c r="AK90" s="875"/>
      <c r="AL90" s="3664"/>
      <c r="AM90" s="3664"/>
      <c r="AN90" s="3691"/>
      <c r="AO90" s="3691">
        <f t="shared" si="25"/>
        <v>504</v>
      </c>
      <c r="AP90" s="3691"/>
      <c r="AQ90" s="4089"/>
      <c r="AR90" s="877"/>
      <c r="AS90" s="4089">
        <f t="shared" si="38"/>
        <v>504</v>
      </c>
      <c r="AT90" s="877"/>
      <c r="AU90" s="4089"/>
      <c r="AV90" s="4089">
        <f>I90/6</f>
        <v>84</v>
      </c>
      <c r="AW90" s="4089"/>
      <c r="AX90" s="4089"/>
      <c r="AY90" s="4089"/>
      <c r="AZ90" s="4089"/>
      <c r="BA90" s="4089"/>
      <c r="BB90" s="4089"/>
      <c r="BC90" s="4089"/>
      <c r="BD90" s="4089"/>
      <c r="BE90" s="4089"/>
      <c r="BF90" s="4089" t="s">
        <v>89</v>
      </c>
      <c r="BG90" s="4089"/>
      <c r="BH90" s="4089">
        <f t="shared" si="32"/>
        <v>84</v>
      </c>
      <c r="BI90" s="4089">
        <f t="shared" si="33"/>
        <v>84</v>
      </c>
      <c r="BJ90" s="4089">
        <f t="shared" si="34"/>
        <v>84</v>
      </c>
      <c r="BK90" s="4089">
        <f t="shared" si="35"/>
        <v>84</v>
      </c>
      <c r="BL90" s="4089">
        <f t="shared" si="36"/>
        <v>84</v>
      </c>
      <c r="BM90" s="4089">
        <f t="shared" si="37"/>
        <v>67.2</v>
      </c>
      <c r="BN90" s="4089">
        <f t="shared" si="43"/>
        <v>16.8</v>
      </c>
      <c r="BO90" s="878"/>
      <c r="BP90" s="878"/>
      <c r="BQ90" s="878"/>
      <c r="BR90" s="878"/>
      <c r="BS90" s="878"/>
      <c r="BT90" s="879"/>
      <c r="BU90" s="4384"/>
      <c r="BV90" s="4385">
        <f t="shared" si="39"/>
        <v>504</v>
      </c>
      <c r="BW90" s="4386">
        <f t="shared" si="40"/>
        <v>0</v>
      </c>
      <c r="BX90" s="4387"/>
      <c r="BY90" s="4387"/>
      <c r="BZ90" s="4387"/>
      <c r="CA90" s="4391"/>
      <c r="CC90" s="4392"/>
      <c r="CD90" s="4391"/>
    </row>
    <row r="91" s="4025" customFormat="1" ht="50" customHeight="1" spans="1:82">
      <c r="A91" s="3688">
        <v>45653</v>
      </c>
      <c r="B91" s="3689" t="s">
        <v>1278</v>
      </c>
      <c r="C91" s="3664" t="s">
        <v>1279</v>
      </c>
      <c r="D91" s="3690">
        <v>4500154883</v>
      </c>
      <c r="E91" s="3664" t="s">
        <v>2968</v>
      </c>
      <c r="F91" s="3690" t="s">
        <v>2969</v>
      </c>
      <c r="G91" s="3664" t="s">
        <v>2970</v>
      </c>
      <c r="H91" s="3664" t="s">
        <v>2667</v>
      </c>
      <c r="I91" s="3691">
        <v>504</v>
      </c>
      <c r="J91" s="3691">
        <v>0</v>
      </c>
      <c r="K91" s="3691">
        <v>12</v>
      </c>
      <c r="L91" s="3691">
        <f t="shared" si="31"/>
        <v>42</v>
      </c>
      <c r="M91" s="3659">
        <v>45706</v>
      </c>
      <c r="N91" s="3659">
        <v>45702</v>
      </c>
      <c r="O91" s="4085"/>
      <c r="P91" s="3682" t="s">
        <v>82</v>
      </c>
      <c r="Q91" s="3682"/>
      <c r="R91" s="4083"/>
      <c r="S91" s="4083"/>
      <c r="T91" s="4083"/>
      <c r="U91" s="3645"/>
      <c r="V91" s="3657" t="s">
        <v>2971</v>
      </c>
      <c r="W91" s="3657"/>
      <c r="X91" s="3657" t="s">
        <v>2972</v>
      </c>
      <c r="Y91" s="3657"/>
      <c r="Z91" s="3661"/>
      <c r="AA91" s="3620" t="s">
        <v>2973</v>
      </c>
      <c r="AB91" s="3691" t="s">
        <v>1285</v>
      </c>
      <c r="AC91" s="3691">
        <v>2.1357</v>
      </c>
      <c r="AD91" s="3691">
        <f t="shared" si="44"/>
        <v>1076.3928</v>
      </c>
      <c r="AE91" s="3645" t="s">
        <v>2974</v>
      </c>
      <c r="AF91" s="3664" t="s">
        <v>2975</v>
      </c>
      <c r="AG91" s="3645" t="s">
        <v>326</v>
      </c>
      <c r="AH91" s="875"/>
      <c r="AI91" s="3664"/>
      <c r="AJ91" s="3664"/>
      <c r="AK91" s="875"/>
      <c r="AL91" s="3664">
        <f>I91</f>
        <v>504</v>
      </c>
      <c r="AM91" s="3664"/>
      <c r="AN91" s="3691"/>
      <c r="AO91" s="3691">
        <f t="shared" si="25"/>
        <v>504</v>
      </c>
      <c r="AP91" s="3691"/>
      <c r="AQ91" s="4089"/>
      <c r="AR91" s="877"/>
      <c r="AS91" s="4089">
        <f t="shared" si="38"/>
        <v>504</v>
      </c>
      <c r="AT91" s="877"/>
      <c r="AU91" s="4089"/>
      <c r="AV91" s="4089"/>
      <c r="AW91" s="4089"/>
      <c r="AX91" s="4089"/>
      <c r="AY91" s="4089"/>
      <c r="AZ91" s="4089"/>
      <c r="BA91" s="4089"/>
      <c r="BB91" s="4089"/>
      <c r="BC91" s="4089"/>
      <c r="BD91" s="4089"/>
      <c r="BE91" s="4089"/>
      <c r="BF91" s="4089" t="s">
        <v>89</v>
      </c>
      <c r="BG91" s="4089"/>
      <c r="BH91" s="4089"/>
      <c r="BI91" s="4089"/>
      <c r="BJ91" s="4089"/>
      <c r="BK91" s="4089"/>
      <c r="BL91" s="4089"/>
      <c r="BM91" s="4089">
        <f>I91-BU91</f>
        <v>504</v>
      </c>
      <c r="BN91" s="4089"/>
      <c r="BO91" s="878"/>
      <c r="BP91" s="878"/>
      <c r="BQ91" s="878"/>
      <c r="BR91" s="878"/>
      <c r="BS91" s="878"/>
      <c r="BT91" s="879"/>
      <c r="BU91" s="4384"/>
      <c r="BV91" s="4385">
        <f t="shared" si="39"/>
        <v>504</v>
      </c>
      <c r="BW91" s="4386">
        <f t="shared" si="40"/>
        <v>0</v>
      </c>
      <c r="BX91" s="4387"/>
      <c r="BY91" s="4387"/>
      <c r="BZ91" s="4387"/>
      <c r="CA91" s="4391"/>
      <c r="CC91" s="4392"/>
      <c r="CD91" s="4391"/>
    </row>
    <row r="92" s="4025" customFormat="1" ht="50" customHeight="1" spans="1:82">
      <c r="A92" s="3688">
        <v>45651</v>
      </c>
      <c r="B92" s="3689" t="s">
        <v>2976</v>
      </c>
      <c r="C92" s="3664" t="s">
        <v>471</v>
      </c>
      <c r="D92" s="3690">
        <v>4500153900</v>
      </c>
      <c r="E92" s="3664">
        <v>4500183563</v>
      </c>
      <c r="F92" s="3690" t="s">
        <v>2977</v>
      </c>
      <c r="G92" s="3664" t="s">
        <v>2577</v>
      </c>
      <c r="H92" s="3664" t="s">
        <v>2591</v>
      </c>
      <c r="I92" s="3691">
        <v>804</v>
      </c>
      <c r="J92" s="3691">
        <v>0</v>
      </c>
      <c r="K92" s="3691">
        <v>12</v>
      </c>
      <c r="L92" s="3691">
        <f t="shared" si="31"/>
        <v>67</v>
      </c>
      <c r="M92" s="3659">
        <v>45706</v>
      </c>
      <c r="N92" s="3659">
        <v>45702</v>
      </c>
      <c r="O92" s="4085"/>
      <c r="P92" s="3682">
        <f>16025-3514</f>
        <v>12511</v>
      </c>
      <c r="Q92" s="3682"/>
      <c r="R92" s="4083"/>
      <c r="S92" s="4083"/>
      <c r="T92" s="4083"/>
      <c r="U92" s="3645">
        <f>29748-3514</f>
        <v>26234</v>
      </c>
      <c r="V92" s="3657">
        <f>23242-3514</f>
        <v>19728</v>
      </c>
      <c r="W92" s="3657">
        <f>24812-3514</f>
        <v>21298</v>
      </c>
      <c r="X92" s="3657">
        <f>21535-2811</f>
        <v>18724</v>
      </c>
      <c r="Y92" s="3657">
        <f>21217-702</f>
        <v>20515</v>
      </c>
      <c r="Z92" s="3661" t="s">
        <v>2978</v>
      </c>
      <c r="AA92" s="3620" t="s">
        <v>2979</v>
      </c>
      <c r="AB92" s="3691" t="s">
        <v>2624</v>
      </c>
      <c r="AC92" s="4087">
        <v>2.1891</v>
      </c>
      <c r="AD92" s="3691">
        <f t="shared" si="44"/>
        <v>1760.0364</v>
      </c>
      <c r="AE92" s="3645" t="s">
        <v>2980</v>
      </c>
      <c r="AF92" s="3664" t="s">
        <v>2604</v>
      </c>
      <c r="AG92" s="3645" t="s">
        <v>416</v>
      </c>
      <c r="AH92" s="875"/>
      <c r="AI92" s="3664"/>
      <c r="AJ92" s="3664"/>
      <c r="AK92" s="875"/>
      <c r="AL92" s="3664">
        <f>I92</f>
        <v>804</v>
      </c>
      <c r="AM92" s="3664"/>
      <c r="AN92" s="3691"/>
      <c r="AO92" s="3691">
        <f t="shared" si="25"/>
        <v>804</v>
      </c>
      <c r="AP92" s="3691"/>
      <c r="AQ92" s="4089"/>
      <c r="AR92" s="877"/>
      <c r="AS92" s="4089">
        <f t="shared" si="38"/>
        <v>804</v>
      </c>
      <c r="AT92" s="877"/>
      <c r="AU92" s="4089"/>
      <c r="AV92" s="4089">
        <f>I92/6</f>
        <v>134</v>
      </c>
      <c r="AW92" s="4089"/>
      <c r="AX92" s="4089"/>
      <c r="AY92" s="4089"/>
      <c r="AZ92" s="4089"/>
      <c r="BA92" s="4089"/>
      <c r="BB92" s="4089"/>
      <c r="BC92" s="4089"/>
      <c r="BD92" s="4089"/>
      <c r="BE92" s="4089"/>
      <c r="BF92" s="4089" t="s">
        <v>89</v>
      </c>
      <c r="BG92" s="4089"/>
      <c r="BH92" s="4089">
        <f>I92/60*10</f>
        <v>134</v>
      </c>
      <c r="BI92" s="4089">
        <f>I92/60*10</f>
        <v>134</v>
      </c>
      <c r="BJ92" s="4089">
        <f>I92/60*10</f>
        <v>134</v>
      </c>
      <c r="BK92" s="4089">
        <f>I92/60*10</f>
        <v>134</v>
      </c>
      <c r="BL92" s="4089">
        <f>I92/60*10</f>
        <v>134</v>
      </c>
      <c r="BM92" s="4089">
        <f>I92/60*8</f>
        <v>107.2</v>
      </c>
      <c r="BN92" s="4089">
        <f>I92/60*2</f>
        <v>26.8</v>
      </c>
      <c r="BO92" s="878"/>
      <c r="BP92" s="878"/>
      <c r="BQ92" s="878"/>
      <c r="BR92" s="878"/>
      <c r="BS92" s="878"/>
      <c r="BT92" s="879"/>
      <c r="BU92" s="4384"/>
      <c r="BV92" s="4385">
        <f t="shared" si="39"/>
        <v>804</v>
      </c>
      <c r="BW92" s="4386">
        <f t="shared" si="40"/>
        <v>0</v>
      </c>
      <c r="BX92" s="4387"/>
      <c r="BY92" s="4387"/>
      <c r="BZ92" s="4387"/>
      <c r="CA92" s="4391"/>
      <c r="CC92" s="4392"/>
      <c r="CD92" s="4391"/>
    </row>
    <row r="93" s="4025" customFormat="1" ht="50" customHeight="1" spans="1:82">
      <c r="A93" s="3688">
        <v>45642</v>
      </c>
      <c r="B93" s="3689" t="s">
        <v>361</v>
      </c>
      <c r="C93" s="3664" t="s">
        <v>91</v>
      </c>
      <c r="D93" s="3690">
        <v>4500154101</v>
      </c>
      <c r="E93" s="3664" t="s">
        <v>2981</v>
      </c>
      <c r="F93" s="3690" t="s">
        <v>2982</v>
      </c>
      <c r="G93" s="3664" t="s">
        <v>2983</v>
      </c>
      <c r="H93" s="3664" t="s">
        <v>2984</v>
      </c>
      <c r="I93" s="3691">
        <v>1140</v>
      </c>
      <c r="J93" s="3691">
        <v>0</v>
      </c>
      <c r="K93" s="3691">
        <v>12</v>
      </c>
      <c r="L93" s="3691">
        <f t="shared" si="31"/>
        <v>95</v>
      </c>
      <c r="M93" s="3659">
        <v>45707</v>
      </c>
      <c r="N93" s="3659">
        <v>45703</v>
      </c>
      <c r="O93" s="4085"/>
      <c r="P93" s="3682" t="s">
        <v>82</v>
      </c>
      <c r="Q93" s="3682"/>
      <c r="R93" s="4083"/>
      <c r="S93" s="4083"/>
      <c r="T93" s="4083"/>
      <c r="U93" s="3645" t="s">
        <v>686</v>
      </c>
      <c r="V93" s="3657" t="s">
        <v>663</v>
      </c>
      <c r="W93" s="3657"/>
      <c r="X93" s="3657" t="s">
        <v>2670</v>
      </c>
      <c r="Y93" s="3657" t="s">
        <v>687</v>
      </c>
      <c r="Z93" s="3661"/>
      <c r="AA93" s="3620" t="s">
        <v>2985</v>
      </c>
      <c r="AB93" s="3691" t="s">
        <v>689</v>
      </c>
      <c r="AC93" s="4087">
        <v>2.131</v>
      </c>
      <c r="AD93" s="3691">
        <f t="shared" si="44"/>
        <v>2429.34</v>
      </c>
      <c r="AE93" s="3645" t="s">
        <v>690</v>
      </c>
      <c r="AF93" s="959" t="s">
        <v>2983</v>
      </c>
      <c r="AG93" s="3645" t="s">
        <v>416</v>
      </c>
      <c r="AH93" s="905"/>
      <c r="AI93" s="3691">
        <f t="shared" ref="AI93:AI99" si="45">I93</f>
        <v>1140</v>
      </c>
      <c r="AJ93" s="3691"/>
      <c r="AK93" s="905"/>
      <c r="AL93" s="3664"/>
      <c r="AM93" s="3664"/>
      <c r="AN93" s="3691"/>
      <c r="AO93" s="3691">
        <f t="shared" si="25"/>
        <v>1140</v>
      </c>
      <c r="AP93" s="3691"/>
      <c r="AQ93" s="4089"/>
      <c r="AR93" s="907"/>
      <c r="AS93" s="4089">
        <f t="shared" si="38"/>
        <v>1140</v>
      </c>
      <c r="AT93" s="907"/>
      <c r="AU93" s="4089"/>
      <c r="AV93" s="4089"/>
      <c r="AW93" s="4089"/>
      <c r="AX93" s="4089"/>
      <c r="AY93" s="4089"/>
      <c r="AZ93" s="4089"/>
      <c r="BA93" s="4089"/>
      <c r="BB93" s="4089"/>
      <c r="BC93" s="4089"/>
      <c r="BD93" s="4089"/>
      <c r="BE93" s="4089"/>
      <c r="BF93" s="4089" t="s">
        <v>89</v>
      </c>
      <c r="BG93" s="4089"/>
      <c r="BH93" s="4089"/>
      <c r="BI93" s="4089"/>
      <c r="BJ93" s="4089"/>
      <c r="BK93" s="4089"/>
      <c r="BL93" s="4089">
        <f>I93</f>
        <v>1140</v>
      </c>
      <c r="BM93" s="4089"/>
      <c r="BN93" s="4089"/>
      <c r="BO93" s="4382"/>
      <c r="BP93" s="4382"/>
      <c r="BQ93" s="4382"/>
      <c r="BR93" s="4382"/>
      <c r="BS93" s="4382"/>
      <c r="BT93" s="4383"/>
      <c r="BU93" s="4384"/>
      <c r="BV93" s="4385">
        <f t="shared" si="39"/>
        <v>1140</v>
      </c>
      <c r="BW93" s="4386">
        <f t="shared" si="40"/>
        <v>0</v>
      </c>
      <c r="BX93" s="4387"/>
      <c r="BY93" s="4387"/>
      <c r="BZ93" s="4387"/>
      <c r="CA93" s="4391"/>
      <c r="CC93" s="4392"/>
      <c r="CD93" s="4391"/>
    </row>
    <row r="94" s="4025" customFormat="1" ht="50" customHeight="1" spans="1:82">
      <c r="A94" s="3688">
        <v>45642</v>
      </c>
      <c r="B94" s="3689" t="s">
        <v>361</v>
      </c>
      <c r="C94" s="3664" t="s">
        <v>91</v>
      </c>
      <c r="D94" s="3690">
        <v>4500154032</v>
      </c>
      <c r="E94" s="3664" t="s">
        <v>2986</v>
      </c>
      <c r="F94" s="3690" t="s">
        <v>2987</v>
      </c>
      <c r="G94" s="3664" t="s">
        <v>2983</v>
      </c>
      <c r="H94" s="3664" t="s">
        <v>2984</v>
      </c>
      <c r="I94" s="3691">
        <v>228</v>
      </c>
      <c r="J94" s="3691">
        <v>0</v>
      </c>
      <c r="K94" s="3691">
        <v>12</v>
      </c>
      <c r="L94" s="3691">
        <f t="shared" si="31"/>
        <v>19</v>
      </c>
      <c r="M94" s="3659">
        <v>45707</v>
      </c>
      <c r="N94" s="3659">
        <v>45703</v>
      </c>
      <c r="O94" s="4085"/>
      <c r="P94" s="3682" t="s">
        <v>82</v>
      </c>
      <c r="Q94" s="3682"/>
      <c r="R94" s="4083"/>
      <c r="S94" s="4083"/>
      <c r="T94" s="4083"/>
      <c r="U94" s="3645" t="s">
        <v>159</v>
      </c>
      <c r="V94" s="3657" t="s">
        <v>663</v>
      </c>
      <c r="W94" s="3657"/>
      <c r="X94" s="3657" t="s">
        <v>2670</v>
      </c>
      <c r="Y94" s="3657" t="s">
        <v>687</v>
      </c>
      <c r="Z94" s="3661"/>
      <c r="AA94" s="3620" t="s">
        <v>2988</v>
      </c>
      <c r="AB94" s="3691" t="s">
        <v>689</v>
      </c>
      <c r="AC94" s="4087">
        <v>2.0865</v>
      </c>
      <c r="AD94" s="3691">
        <f t="shared" si="44"/>
        <v>475.722</v>
      </c>
      <c r="AE94" s="3645" t="s">
        <v>701</v>
      </c>
      <c r="AF94" s="959" t="s">
        <v>2983</v>
      </c>
      <c r="AG94" s="3645" t="s">
        <v>416</v>
      </c>
      <c r="AH94" s="905"/>
      <c r="AI94" s="3691">
        <f t="shared" si="45"/>
        <v>228</v>
      </c>
      <c r="AJ94" s="3691"/>
      <c r="AK94" s="905"/>
      <c r="AL94" s="3664"/>
      <c r="AM94" s="3664"/>
      <c r="AN94" s="3691"/>
      <c r="AO94" s="3691">
        <f t="shared" si="25"/>
        <v>228</v>
      </c>
      <c r="AP94" s="3691"/>
      <c r="AQ94" s="4089"/>
      <c r="AR94" s="907"/>
      <c r="AS94" s="4089">
        <f t="shared" si="38"/>
        <v>228</v>
      </c>
      <c r="AT94" s="907"/>
      <c r="AU94" s="4089"/>
      <c r="AV94" s="4089"/>
      <c r="AW94" s="4089"/>
      <c r="AX94" s="4089"/>
      <c r="AY94" s="4089"/>
      <c r="AZ94" s="4089"/>
      <c r="BA94" s="4089"/>
      <c r="BB94" s="4089"/>
      <c r="BC94" s="4089"/>
      <c r="BD94" s="4089"/>
      <c r="BE94" s="4089"/>
      <c r="BF94" s="4089" t="s">
        <v>89</v>
      </c>
      <c r="BG94" s="4089"/>
      <c r="BH94" s="4089"/>
      <c r="BI94" s="4089"/>
      <c r="BJ94" s="4089"/>
      <c r="BK94" s="4089"/>
      <c r="BL94" s="4089">
        <f>I94</f>
        <v>228</v>
      </c>
      <c r="BM94" s="4089"/>
      <c r="BN94" s="4089"/>
      <c r="BO94" s="4382"/>
      <c r="BP94" s="4382"/>
      <c r="BQ94" s="4382"/>
      <c r="BR94" s="4382"/>
      <c r="BS94" s="4382"/>
      <c r="BT94" s="4383"/>
      <c r="BU94" s="4384"/>
      <c r="BV94" s="4385">
        <f t="shared" si="39"/>
        <v>228</v>
      </c>
      <c r="BW94" s="4386">
        <f t="shared" si="40"/>
        <v>0</v>
      </c>
      <c r="BX94" s="4387"/>
      <c r="BY94" s="4387"/>
      <c r="BZ94" s="4387"/>
      <c r="CA94" s="4391"/>
      <c r="CC94" s="4392"/>
      <c r="CD94" s="4391"/>
    </row>
    <row r="95" s="4025" customFormat="1" ht="50" customHeight="1" spans="1:82">
      <c r="A95" s="3688">
        <v>45642</v>
      </c>
      <c r="B95" s="3689" t="s">
        <v>361</v>
      </c>
      <c r="C95" s="3664" t="s">
        <v>91</v>
      </c>
      <c r="D95" s="3690">
        <v>4500154144</v>
      </c>
      <c r="E95" s="3664" t="s">
        <v>2989</v>
      </c>
      <c r="F95" s="3690" t="s">
        <v>2990</v>
      </c>
      <c r="G95" s="3664" t="s">
        <v>2983</v>
      </c>
      <c r="H95" s="3664" t="s">
        <v>2984</v>
      </c>
      <c r="I95" s="3691">
        <v>168</v>
      </c>
      <c r="J95" s="3691">
        <v>0</v>
      </c>
      <c r="K95" s="3691">
        <v>12</v>
      </c>
      <c r="L95" s="3691">
        <f t="shared" si="31"/>
        <v>14</v>
      </c>
      <c r="M95" s="3659">
        <v>45707</v>
      </c>
      <c r="N95" s="3659">
        <v>45703</v>
      </c>
      <c r="O95" s="4085"/>
      <c r="P95" s="3682" t="s">
        <v>82</v>
      </c>
      <c r="Q95" s="3682"/>
      <c r="R95" s="4083"/>
      <c r="S95" s="4083"/>
      <c r="T95" s="4083"/>
      <c r="U95" s="3645" t="s">
        <v>159</v>
      </c>
      <c r="V95" s="3657" t="s">
        <v>663</v>
      </c>
      <c r="W95" s="3657"/>
      <c r="X95" s="3657" t="s">
        <v>2670</v>
      </c>
      <c r="Y95" s="3657" t="s">
        <v>687</v>
      </c>
      <c r="Z95" s="3661"/>
      <c r="AA95" s="3620" t="s">
        <v>2985</v>
      </c>
      <c r="AB95" s="3691" t="s">
        <v>689</v>
      </c>
      <c r="AC95" s="4087">
        <v>2.1357</v>
      </c>
      <c r="AD95" s="3691">
        <f t="shared" si="44"/>
        <v>358.7976</v>
      </c>
      <c r="AE95" s="3645" t="s">
        <v>712</v>
      </c>
      <c r="AF95" s="959" t="s">
        <v>2983</v>
      </c>
      <c r="AG95" s="3645" t="s">
        <v>416</v>
      </c>
      <c r="AH95" s="905"/>
      <c r="AI95" s="3691">
        <f t="shared" si="45"/>
        <v>168</v>
      </c>
      <c r="AJ95" s="3691"/>
      <c r="AK95" s="905"/>
      <c r="AL95" s="3664"/>
      <c r="AM95" s="3664"/>
      <c r="AN95" s="3691"/>
      <c r="AO95" s="3691">
        <f t="shared" ref="AO95:AO110" si="46">I95</f>
        <v>168</v>
      </c>
      <c r="AP95" s="3691"/>
      <c r="AQ95" s="4089"/>
      <c r="AR95" s="907"/>
      <c r="AS95" s="4089">
        <f t="shared" si="38"/>
        <v>168</v>
      </c>
      <c r="AT95" s="907"/>
      <c r="AU95" s="4089"/>
      <c r="AV95" s="4089"/>
      <c r="AW95" s="4089"/>
      <c r="AX95" s="4089"/>
      <c r="AY95" s="4089"/>
      <c r="AZ95" s="4089"/>
      <c r="BA95" s="4089"/>
      <c r="BB95" s="4089"/>
      <c r="BC95" s="4089"/>
      <c r="BD95" s="4089"/>
      <c r="BE95" s="4089"/>
      <c r="BF95" s="4089" t="s">
        <v>89</v>
      </c>
      <c r="BG95" s="4089"/>
      <c r="BH95" s="4089"/>
      <c r="BI95" s="4089"/>
      <c r="BJ95" s="4089"/>
      <c r="BK95" s="4089"/>
      <c r="BL95" s="4089">
        <f>I95</f>
        <v>168</v>
      </c>
      <c r="BM95" s="4089"/>
      <c r="BN95" s="4089"/>
      <c r="BO95" s="4382"/>
      <c r="BP95" s="4382"/>
      <c r="BQ95" s="4382"/>
      <c r="BR95" s="4382"/>
      <c r="BS95" s="4382"/>
      <c r="BT95" s="4383"/>
      <c r="BU95" s="4384"/>
      <c r="BV95" s="4385">
        <f t="shared" si="39"/>
        <v>168</v>
      </c>
      <c r="BW95" s="4386">
        <f t="shared" si="40"/>
        <v>0</v>
      </c>
      <c r="BX95" s="4387"/>
      <c r="BY95" s="4387"/>
      <c r="BZ95" s="4387"/>
      <c r="CA95" s="4391"/>
      <c r="CC95" s="4392"/>
      <c r="CD95" s="4391"/>
    </row>
    <row r="96" s="4025" customFormat="1" ht="50" customHeight="1" spans="1:82">
      <c r="A96" s="3688">
        <v>45642</v>
      </c>
      <c r="B96" s="3689" t="s">
        <v>361</v>
      </c>
      <c r="C96" s="3664" t="s">
        <v>91</v>
      </c>
      <c r="D96" s="3690">
        <v>4500154124</v>
      </c>
      <c r="E96" s="3664" t="s">
        <v>2991</v>
      </c>
      <c r="F96" s="3690" t="s">
        <v>2992</v>
      </c>
      <c r="G96" s="3664" t="s">
        <v>2983</v>
      </c>
      <c r="H96" s="3664" t="s">
        <v>2984</v>
      </c>
      <c r="I96" s="3691">
        <v>372</v>
      </c>
      <c r="J96" s="3691">
        <v>0</v>
      </c>
      <c r="K96" s="3691">
        <v>12</v>
      </c>
      <c r="L96" s="3691">
        <f t="shared" si="31"/>
        <v>31</v>
      </c>
      <c r="M96" s="3659">
        <v>45707</v>
      </c>
      <c r="N96" s="3659">
        <v>45703</v>
      </c>
      <c r="O96" s="4085"/>
      <c r="P96" s="3682" t="s">
        <v>82</v>
      </c>
      <c r="Q96" s="3682"/>
      <c r="R96" s="4083"/>
      <c r="S96" s="4083"/>
      <c r="T96" s="4083"/>
      <c r="U96" s="3645" t="s">
        <v>159</v>
      </c>
      <c r="V96" s="3657" t="s">
        <v>663</v>
      </c>
      <c r="W96" s="3657"/>
      <c r="X96" s="3657" t="s">
        <v>2670</v>
      </c>
      <c r="Y96" s="3657" t="s">
        <v>687</v>
      </c>
      <c r="Z96" s="3661"/>
      <c r="AA96" s="3620" t="s">
        <v>2993</v>
      </c>
      <c r="AB96" s="3691" t="s">
        <v>689</v>
      </c>
      <c r="AC96" s="4087">
        <v>2.1357</v>
      </c>
      <c r="AD96" s="3691">
        <f t="shared" si="44"/>
        <v>794.4804</v>
      </c>
      <c r="AE96" s="3645" t="s">
        <v>720</v>
      </c>
      <c r="AF96" s="959" t="s">
        <v>2983</v>
      </c>
      <c r="AG96" s="3645" t="s">
        <v>416</v>
      </c>
      <c r="AH96" s="905"/>
      <c r="AI96" s="3691">
        <f t="shared" si="45"/>
        <v>372</v>
      </c>
      <c r="AJ96" s="3691"/>
      <c r="AK96" s="905"/>
      <c r="AL96" s="3664"/>
      <c r="AM96" s="3664"/>
      <c r="AN96" s="3691"/>
      <c r="AO96" s="3691">
        <f t="shared" si="46"/>
        <v>372</v>
      </c>
      <c r="AP96" s="3691"/>
      <c r="AQ96" s="4089"/>
      <c r="AR96" s="907"/>
      <c r="AS96" s="4089">
        <f t="shared" si="38"/>
        <v>372</v>
      </c>
      <c r="AT96" s="907"/>
      <c r="AU96" s="4089"/>
      <c r="AV96" s="4089"/>
      <c r="AW96" s="4089"/>
      <c r="AX96" s="4089"/>
      <c r="AY96" s="4089"/>
      <c r="AZ96" s="4089"/>
      <c r="BA96" s="4089"/>
      <c r="BB96" s="4089"/>
      <c r="BC96" s="4089"/>
      <c r="BD96" s="4089"/>
      <c r="BE96" s="4089"/>
      <c r="BF96" s="4089" t="s">
        <v>89</v>
      </c>
      <c r="BG96" s="4089"/>
      <c r="BH96" s="4089"/>
      <c r="BI96" s="4089"/>
      <c r="BJ96" s="4089"/>
      <c r="BK96" s="4089"/>
      <c r="BL96" s="4089">
        <f>I96</f>
        <v>372</v>
      </c>
      <c r="BM96" s="4089"/>
      <c r="BN96" s="4089"/>
      <c r="BO96" s="4382"/>
      <c r="BP96" s="4382"/>
      <c r="BQ96" s="4382"/>
      <c r="BR96" s="4382"/>
      <c r="BS96" s="4382"/>
      <c r="BT96" s="4383"/>
      <c r="BU96" s="4384"/>
      <c r="BV96" s="4385">
        <f t="shared" si="39"/>
        <v>372</v>
      </c>
      <c r="BW96" s="4386">
        <f t="shared" si="40"/>
        <v>0</v>
      </c>
      <c r="BX96" s="4387"/>
      <c r="BY96" s="4387"/>
      <c r="BZ96" s="4387"/>
      <c r="CA96" s="4391"/>
      <c r="CC96" s="4392"/>
      <c r="CD96" s="4391"/>
    </row>
    <row r="97" s="4025" customFormat="1" ht="50" customHeight="1" spans="1:82">
      <c r="A97" s="3688">
        <v>45667</v>
      </c>
      <c r="B97" s="3689" t="s">
        <v>2681</v>
      </c>
      <c r="C97" s="3664" t="s">
        <v>91</v>
      </c>
      <c r="D97" s="3690">
        <v>4500155686</v>
      </c>
      <c r="E97" s="3664" t="s">
        <v>2994</v>
      </c>
      <c r="F97" s="3690" t="s">
        <v>2995</v>
      </c>
      <c r="G97" s="3664" t="s">
        <v>2684</v>
      </c>
      <c r="H97" s="3664" t="s">
        <v>2591</v>
      </c>
      <c r="I97" s="3691">
        <v>3486</v>
      </c>
      <c r="J97" s="3691">
        <v>0</v>
      </c>
      <c r="K97" s="3691">
        <v>6</v>
      </c>
      <c r="L97" s="3691">
        <f t="shared" si="31"/>
        <v>581</v>
      </c>
      <c r="M97" s="3659">
        <v>45707</v>
      </c>
      <c r="N97" s="3659">
        <v>45703</v>
      </c>
      <c r="O97" s="4085"/>
      <c r="P97" s="3682" t="s">
        <v>82</v>
      </c>
      <c r="Q97" s="3682"/>
      <c r="R97" s="4083"/>
      <c r="S97" s="4083"/>
      <c r="T97" s="4083"/>
      <c r="U97" s="3645" t="s">
        <v>853</v>
      </c>
      <c r="V97" s="3657" t="s">
        <v>2959</v>
      </c>
      <c r="W97" s="3657"/>
      <c r="X97" s="3657" t="s">
        <v>98</v>
      </c>
      <c r="Y97" s="3657" t="s">
        <v>687</v>
      </c>
      <c r="Z97" s="3661"/>
      <c r="AA97" s="3620" t="s">
        <v>2996</v>
      </c>
      <c r="AB97" s="3691" t="s">
        <v>2686</v>
      </c>
      <c r="AC97" s="4087">
        <v>2.1435</v>
      </c>
      <c r="AD97" s="3691">
        <f t="shared" si="44"/>
        <v>7472.241</v>
      </c>
      <c r="AE97" s="3645" t="s">
        <v>2997</v>
      </c>
      <c r="AF97" s="3664" t="s">
        <v>2684</v>
      </c>
      <c r="AG97" s="3645" t="s">
        <v>416</v>
      </c>
      <c r="AH97" s="875"/>
      <c r="AI97" s="3691">
        <f t="shared" si="45"/>
        <v>3486</v>
      </c>
      <c r="AJ97" s="3691"/>
      <c r="AK97" s="979"/>
      <c r="AL97" s="3664"/>
      <c r="AM97" s="3664"/>
      <c r="AN97" s="3691"/>
      <c r="AO97" s="3691">
        <f t="shared" si="46"/>
        <v>3486</v>
      </c>
      <c r="AP97" s="3691"/>
      <c r="AQ97" s="4089"/>
      <c r="AR97" s="877"/>
      <c r="AS97" s="4089">
        <f t="shared" si="38"/>
        <v>3486</v>
      </c>
      <c r="AT97" s="877"/>
      <c r="AU97" s="4089"/>
      <c r="AV97" s="4089"/>
      <c r="AW97" s="4089"/>
      <c r="AX97" s="4089">
        <f>I97/6</f>
        <v>581</v>
      </c>
      <c r="AY97" s="4089"/>
      <c r="AZ97" s="4089"/>
      <c r="BA97" s="4089"/>
      <c r="BB97" s="4089"/>
      <c r="BC97" s="4089"/>
      <c r="BD97" s="4089"/>
      <c r="BE97" s="4089"/>
      <c r="BF97" s="4089" t="s">
        <v>89</v>
      </c>
      <c r="BG97" s="4089"/>
      <c r="BH97" s="4089">
        <f>I97/60*10</f>
        <v>581</v>
      </c>
      <c r="BI97" s="4089">
        <f>I97/60*10</f>
        <v>581</v>
      </c>
      <c r="BJ97" s="4089">
        <f>I97/60*10</f>
        <v>581</v>
      </c>
      <c r="BK97" s="4089">
        <f>I97/60*10</f>
        <v>581</v>
      </c>
      <c r="BL97" s="4089">
        <f>I97/60*10</f>
        <v>581</v>
      </c>
      <c r="BM97" s="4089">
        <f>I97/60*8</f>
        <v>464.8</v>
      </c>
      <c r="BN97" s="4089">
        <f>I97/60*2</f>
        <v>116.2</v>
      </c>
      <c r="BO97" s="878"/>
      <c r="BP97" s="878"/>
      <c r="BQ97" s="878"/>
      <c r="BR97" s="878"/>
      <c r="BS97" s="878"/>
      <c r="BT97" s="879"/>
      <c r="BU97" s="4384"/>
      <c r="BV97" s="4385">
        <f t="shared" si="39"/>
        <v>3486</v>
      </c>
      <c r="BW97" s="4386">
        <f t="shared" si="40"/>
        <v>0</v>
      </c>
      <c r="BX97" s="4387"/>
      <c r="BY97" s="4387"/>
      <c r="BZ97" s="4387"/>
      <c r="CA97" s="4391"/>
      <c r="CC97" s="4392"/>
      <c r="CD97" s="4391"/>
    </row>
    <row r="98" s="4025" customFormat="1" ht="50" customHeight="1" spans="1:82">
      <c r="A98" s="3688">
        <v>45646</v>
      </c>
      <c r="B98" s="3689" t="s">
        <v>2998</v>
      </c>
      <c r="C98" s="3664" t="s">
        <v>2999</v>
      </c>
      <c r="D98" s="3690">
        <v>4500154499</v>
      </c>
      <c r="E98" s="3664" t="s">
        <v>3000</v>
      </c>
      <c r="F98" s="3690" t="s">
        <v>3001</v>
      </c>
      <c r="G98" s="3664" t="s">
        <v>2627</v>
      </c>
      <c r="H98" s="3691" t="s">
        <v>2591</v>
      </c>
      <c r="I98" s="3691">
        <v>2016</v>
      </c>
      <c r="J98" s="3691">
        <v>0</v>
      </c>
      <c r="K98" s="3691">
        <v>24</v>
      </c>
      <c r="L98" s="3691">
        <f t="shared" si="31"/>
        <v>84</v>
      </c>
      <c r="M98" s="3659">
        <v>45708</v>
      </c>
      <c r="N98" s="3659">
        <v>45706</v>
      </c>
      <c r="O98" s="4085"/>
      <c r="P98" s="3682" t="s">
        <v>82</v>
      </c>
      <c r="Q98" s="3682"/>
      <c r="R98" s="4083"/>
      <c r="S98" s="4083"/>
      <c r="T98" s="4083"/>
      <c r="U98" s="3645" t="s">
        <v>141</v>
      </c>
      <c r="V98" s="3657" t="s">
        <v>3002</v>
      </c>
      <c r="W98" s="3657"/>
      <c r="X98" s="3657" t="s">
        <v>98</v>
      </c>
      <c r="Y98" s="3657"/>
      <c r="Z98" s="3661"/>
      <c r="AA98" s="3620" t="s">
        <v>3003</v>
      </c>
      <c r="AB98" s="3691" t="s">
        <v>892</v>
      </c>
      <c r="AC98" s="3691">
        <v>2.0793</v>
      </c>
      <c r="AD98" s="3691">
        <f t="shared" si="44"/>
        <v>4191.8688</v>
      </c>
      <c r="AE98" s="3645"/>
      <c r="AF98" s="3664" t="s">
        <v>2627</v>
      </c>
      <c r="AG98" s="3645" t="s">
        <v>416</v>
      </c>
      <c r="AH98" s="875"/>
      <c r="AI98" s="3691">
        <f t="shared" si="45"/>
        <v>2016</v>
      </c>
      <c r="AJ98" s="3691"/>
      <c r="AK98" s="875"/>
      <c r="AL98" s="3664"/>
      <c r="AM98" s="3664"/>
      <c r="AN98" s="3691"/>
      <c r="AO98" s="3691">
        <f t="shared" si="46"/>
        <v>2016</v>
      </c>
      <c r="AP98" s="3691"/>
      <c r="AQ98" s="4089"/>
      <c r="AR98" s="4397"/>
      <c r="AS98" s="4089">
        <f t="shared" si="38"/>
        <v>2016</v>
      </c>
      <c r="AT98" s="4397"/>
      <c r="AU98" s="4089"/>
      <c r="AV98" s="4089"/>
      <c r="AW98" s="4089"/>
      <c r="AX98" s="4089"/>
      <c r="AY98" s="4089"/>
      <c r="AZ98" s="4089"/>
      <c r="BA98" s="4089"/>
      <c r="BB98" s="4089"/>
      <c r="BC98" s="4089"/>
      <c r="BD98" s="4089"/>
      <c r="BE98" s="4089"/>
      <c r="BF98" s="4089" t="s">
        <v>89</v>
      </c>
      <c r="BG98" s="4089"/>
      <c r="BH98" s="4089">
        <f>I98/60*10</f>
        <v>336</v>
      </c>
      <c r="BI98" s="4089">
        <f>I98/60*10</f>
        <v>336</v>
      </c>
      <c r="BJ98" s="4089">
        <f>I98/60*10</f>
        <v>336</v>
      </c>
      <c r="BK98" s="4089">
        <f>I98/60*10</f>
        <v>336</v>
      </c>
      <c r="BL98" s="4089">
        <f>I98/60*10</f>
        <v>336</v>
      </c>
      <c r="BM98" s="4089">
        <f>I98/60*8</f>
        <v>268.8</v>
      </c>
      <c r="BN98" s="4089">
        <f>I98/60*2</f>
        <v>67.2</v>
      </c>
      <c r="BO98" s="878"/>
      <c r="BP98" s="878"/>
      <c r="BQ98" s="878"/>
      <c r="BR98" s="878"/>
      <c r="BS98" s="878"/>
      <c r="BT98" s="879"/>
      <c r="BU98" s="4384"/>
      <c r="BV98" s="4385">
        <f t="shared" si="39"/>
        <v>2016</v>
      </c>
      <c r="BW98" s="4386">
        <f t="shared" si="40"/>
        <v>0</v>
      </c>
      <c r="BX98" s="4387"/>
      <c r="BY98" s="4387"/>
      <c r="BZ98" s="4387"/>
      <c r="CA98" s="4391"/>
      <c r="CC98" s="4392"/>
      <c r="CD98" s="4391"/>
    </row>
    <row r="99" s="4025" customFormat="1" ht="50" customHeight="1" spans="1:82">
      <c r="A99" s="3688">
        <v>45618</v>
      </c>
      <c r="B99" s="3689" t="s">
        <v>2616</v>
      </c>
      <c r="C99" s="3664" t="s">
        <v>471</v>
      </c>
      <c r="D99" s="3690">
        <v>4500150125</v>
      </c>
      <c r="E99" s="3664" t="s">
        <v>3004</v>
      </c>
      <c r="F99" s="3690" t="s">
        <v>3005</v>
      </c>
      <c r="G99" s="3664" t="s">
        <v>2619</v>
      </c>
      <c r="H99" s="3664" t="s">
        <v>2620</v>
      </c>
      <c r="I99" s="3691">
        <v>8016</v>
      </c>
      <c r="J99" s="3691">
        <v>0</v>
      </c>
      <c r="K99" s="3691">
        <v>24</v>
      </c>
      <c r="L99" s="3691">
        <f t="shared" si="31"/>
        <v>334</v>
      </c>
      <c r="M99" s="3659">
        <v>45709</v>
      </c>
      <c r="N99" s="3659">
        <v>45705</v>
      </c>
      <c r="O99" s="4085"/>
      <c r="P99" s="3682" t="s">
        <v>82</v>
      </c>
      <c r="Q99" s="3682"/>
      <c r="R99" s="4083"/>
      <c r="S99" s="4083"/>
      <c r="T99" s="4083"/>
      <c r="U99" s="3645"/>
      <c r="V99" s="3657" t="s">
        <v>3006</v>
      </c>
      <c r="W99" s="3657"/>
      <c r="X99" s="3657" t="s">
        <v>3007</v>
      </c>
      <c r="Y99" s="3657"/>
      <c r="Z99" s="3661"/>
      <c r="AA99" s="3620" t="s">
        <v>3008</v>
      </c>
      <c r="AB99" s="3691" t="s">
        <v>2624</v>
      </c>
      <c r="AC99" s="3691">
        <v>2.0612</v>
      </c>
      <c r="AD99" s="3691">
        <f t="shared" si="44"/>
        <v>16522.5792</v>
      </c>
      <c r="AE99" s="3645" t="s">
        <v>3009</v>
      </c>
      <c r="AF99" s="3664" t="s">
        <v>2619</v>
      </c>
      <c r="AG99" s="3645" t="s">
        <v>326</v>
      </c>
      <c r="AH99" s="875"/>
      <c r="AI99" s="3691">
        <f t="shared" si="45"/>
        <v>8016</v>
      </c>
      <c r="AJ99" s="3691"/>
      <c r="AK99" s="875"/>
      <c r="AL99" s="3664"/>
      <c r="AM99" s="3664"/>
      <c r="AN99" s="3691"/>
      <c r="AO99" s="3691">
        <f t="shared" si="46"/>
        <v>8016</v>
      </c>
      <c r="AP99" s="3691"/>
      <c r="AQ99" s="4089"/>
      <c r="AR99" s="877"/>
      <c r="AS99" s="4089"/>
      <c r="AT99" s="877"/>
      <c r="AU99" s="4089">
        <f>I99</f>
        <v>8016</v>
      </c>
      <c r="AV99" s="4089"/>
      <c r="AW99" s="4089"/>
      <c r="AX99" s="4089"/>
      <c r="AY99" s="4089"/>
      <c r="AZ99" s="4089"/>
      <c r="BA99" s="4089"/>
      <c r="BB99" s="4089"/>
      <c r="BC99" s="4089"/>
      <c r="BD99" s="4089"/>
      <c r="BE99" s="4089"/>
      <c r="BF99" s="4089" t="s">
        <v>89</v>
      </c>
      <c r="BG99" s="4089"/>
      <c r="BH99" s="4089">
        <f>I99/60*10</f>
        <v>1336</v>
      </c>
      <c r="BI99" s="4089">
        <f>I99/60*10</f>
        <v>1336</v>
      </c>
      <c r="BJ99" s="4089">
        <f>I99/60*10</f>
        <v>1336</v>
      </c>
      <c r="BK99" s="4089">
        <f>I99/60*10</f>
        <v>1336</v>
      </c>
      <c r="BL99" s="4089">
        <f>I99/60*10</f>
        <v>1336</v>
      </c>
      <c r="BM99" s="4089">
        <f>I99/60*8</f>
        <v>1068.8</v>
      </c>
      <c r="BN99" s="4089">
        <f>I99/60*2</f>
        <v>267.2</v>
      </c>
      <c r="BO99" s="878"/>
      <c r="BP99" s="878"/>
      <c r="BQ99" s="878"/>
      <c r="BR99" s="878"/>
      <c r="BS99" s="878"/>
      <c r="BT99" s="879"/>
      <c r="BU99" s="4384"/>
      <c r="BV99" s="4385">
        <f t="shared" si="39"/>
        <v>8016</v>
      </c>
      <c r="BW99" s="4386">
        <f t="shared" si="40"/>
        <v>0</v>
      </c>
      <c r="BX99" s="4387"/>
      <c r="BY99" s="4387"/>
      <c r="BZ99" s="4387"/>
      <c r="CA99" s="4391"/>
      <c r="CC99" s="4392"/>
      <c r="CD99" s="4391"/>
    </row>
    <row r="100" s="4025" customFormat="1" ht="50" customHeight="1" spans="1:82">
      <c r="A100" s="3688">
        <v>45609</v>
      </c>
      <c r="B100" s="3689" t="s">
        <v>395</v>
      </c>
      <c r="C100" s="3664" t="s">
        <v>396</v>
      </c>
      <c r="D100" s="3690">
        <v>4500151019</v>
      </c>
      <c r="E100" s="3664" t="s">
        <v>727</v>
      </c>
      <c r="F100" s="3690" t="s">
        <v>3010</v>
      </c>
      <c r="G100" s="3664" t="s">
        <v>2654</v>
      </c>
      <c r="H100" s="3664" t="s">
        <v>2591</v>
      </c>
      <c r="I100" s="3691">
        <v>672</v>
      </c>
      <c r="J100" s="3691">
        <v>0</v>
      </c>
      <c r="K100" s="3691">
        <v>6</v>
      </c>
      <c r="L100" s="3691">
        <f t="shared" si="31"/>
        <v>112</v>
      </c>
      <c r="M100" s="3659">
        <v>45709</v>
      </c>
      <c r="N100" s="3659">
        <v>45705</v>
      </c>
      <c r="O100" s="4085"/>
      <c r="P100" s="3682" t="s">
        <v>82</v>
      </c>
      <c r="Q100" s="3682"/>
      <c r="R100" s="4083"/>
      <c r="S100" s="4083"/>
      <c r="T100" s="4083"/>
      <c r="U100" s="3645"/>
      <c r="V100" s="3657" t="s">
        <v>729</v>
      </c>
      <c r="W100" s="3657"/>
      <c r="X100" s="3657" t="s">
        <v>3011</v>
      </c>
      <c r="Y100" s="3657"/>
      <c r="Z100" s="3661"/>
      <c r="AA100" s="3620" t="s">
        <v>2656</v>
      </c>
      <c r="AB100" s="3691" t="s">
        <v>405</v>
      </c>
      <c r="AC100" s="3691">
        <v>2.2038</v>
      </c>
      <c r="AD100" s="3691">
        <f t="shared" si="44"/>
        <v>1480.9536</v>
      </c>
      <c r="AE100" s="3645" t="s">
        <v>731</v>
      </c>
      <c r="AF100" s="959" t="s">
        <v>2652</v>
      </c>
      <c r="AG100" s="3645" t="s">
        <v>416</v>
      </c>
      <c r="AH100" s="875"/>
      <c r="AI100" s="3664"/>
      <c r="AJ100" s="3664"/>
      <c r="AK100" s="875"/>
      <c r="AL100" s="3664">
        <f t="shared" ref="AL100:AL110" si="47">I100</f>
        <v>672</v>
      </c>
      <c r="AM100" s="3664"/>
      <c r="AN100" s="3691"/>
      <c r="AO100" s="3691">
        <f t="shared" si="46"/>
        <v>672</v>
      </c>
      <c r="AP100" s="3691"/>
      <c r="AQ100" s="4089"/>
      <c r="AR100" s="877"/>
      <c r="AS100" s="4089"/>
      <c r="AT100" s="877"/>
      <c r="AU100" s="4089">
        <f>I100</f>
        <v>672</v>
      </c>
      <c r="AV100" s="4089">
        <f>I100/6</f>
        <v>112</v>
      </c>
      <c r="AW100" s="4089"/>
      <c r="AX100" s="4089"/>
      <c r="AY100" s="4089"/>
      <c r="AZ100" s="4089"/>
      <c r="BA100" s="4089"/>
      <c r="BB100" s="4089"/>
      <c r="BC100" s="4089"/>
      <c r="BD100" s="4089"/>
      <c r="BE100" s="4089"/>
      <c r="BF100" s="4089" t="s">
        <v>89</v>
      </c>
      <c r="BG100" s="4089"/>
      <c r="BH100" s="4089">
        <f>I100/60*10</f>
        <v>112</v>
      </c>
      <c r="BI100" s="4089">
        <f>I100/60*10</f>
        <v>112</v>
      </c>
      <c r="BJ100" s="4089">
        <f>I100/60*10</f>
        <v>112</v>
      </c>
      <c r="BK100" s="4089">
        <f>I100/60*10</f>
        <v>112</v>
      </c>
      <c r="BL100" s="4089">
        <f>I100/60*10</f>
        <v>112</v>
      </c>
      <c r="BM100" s="4089">
        <f>I100/60*8</f>
        <v>89.6</v>
      </c>
      <c r="BN100" s="4089">
        <f>I100/60*2</f>
        <v>22.4</v>
      </c>
      <c r="BO100" s="878"/>
      <c r="BP100" s="878"/>
      <c r="BQ100" s="878"/>
      <c r="BR100" s="878"/>
      <c r="BS100" s="878"/>
      <c r="BT100" s="879"/>
      <c r="BU100" s="4384"/>
      <c r="BV100" s="4385">
        <f t="shared" si="39"/>
        <v>672</v>
      </c>
      <c r="BW100" s="4386">
        <f t="shared" si="40"/>
        <v>0</v>
      </c>
      <c r="BX100" s="4387"/>
      <c r="BY100" s="4387"/>
      <c r="BZ100" s="4387"/>
      <c r="CA100" s="4391"/>
      <c r="CC100" s="4392"/>
      <c r="CD100" s="4391"/>
    </row>
    <row r="101" s="4025" customFormat="1" ht="50" customHeight="1" spans="1:82">
      <c r="A101" s="3688">
        <v>45653</v>
      </c>
      <c r="B101" s="3689" t="s">
        <v>3012</v>
      </c>
      <c r="C101" s="3664" t="s">
        <v>569</v>
      </c>
      <c r="D101" s="3690">
        <v>4500154887</v>
      </c>
      <c r="E101" s="3664" t="s">
        <v>3013</v>
      </c>
      <c r="F101" s="3690" t="s">
        <v>3014</v>
      </c>
      <c r="G101" s="3664" t="s">
        <v>2983</v>
      </c>
      <c r="H101" s="3664" t="s">
        <v>2984</v>
      </c>
      <c r="I101" s="3691">
        <v>504</v>
      </c>
      <c r="J101" s="3691">
        <v>0</v>
      </c>
      <c r="K101" s="3691">
        <v>12</v>
      </c>
      <c r="L101" s="3691">
        <f t="shared" si="31"/>
        <v>42</v>
      </c>
      <c r="M101" s="3659">
        <v>45709</v>
      </c>
      <c r="N101" s="3659">
        <v>45705</v>
      </c>
      <c r="O101" s="4085"/>
      <c r="P101" s="3682" t="s">
        <v>82</v>
      </c>
      <c r="Q101" s="3682"/>
      <c r="R101" s="4083"/>
      <c r="S101" s="4083"/>
      <c r="T101" s="4083"/>
      <c r="U101" s="3645" t="s">
        <v>3015</v>
      </c>
      <c r="V101" s="3657" t="s">
        <v>2971</v>
      </c>
      <c r="W101" s="3657"/>
      <c r="X101" s="3657" t="s">
        <v>2972</v>
      </c>
      <c r="Y101" s="3657"/>
      <c r="Z101" s="3661"/>
      <c r="AA101" s="3620" t="s">
        <v>3016</v>
      </c>
      <c r="AB101" s="3691" t="s">
        <v>1285</v>
      </c>
      <c r="AC101" s="3691">
        <v>2.1357</v>
      </c>
      <c r="AD101" s="3691">
        <f t="shared" si="44"/>
        <v>1076.3928</v>
      </c>
      <c r="AE101" s="3645" t="s">
        <v>3017</v>
      </c>
      <c r="AF101" s="959" t="s">
        <v>3018</v>
      </c>
      <c r="AG101" s="3645" t="s">
        <v>416</v>
      </c>
      <c r="AH101" s="905"/>
      <c r="AI101" s="3664"/>
      <c r="AJ101" s="3664"/>
      <c r="AK101" s="905"/>
      <c r="AL101" s="3664">
        <f t="shared" si="47"/>
        <v>504</v>
      </c>
      <c r="AM101" s="3664"/>
      <c r="AN101" s="3691"/>
      <c r="AO101" s="3691">
        <f t="shared" si="46"/>
        <v>504</v>
      </c>
      <c r="AP101" s="3691"/>
      <c r="AQ101" s="4089"/>
      <c r="AR101" s="907"/>
      <c r="AS101" s="4089">
        <f>I101</f>
        <v>504</v>
      </c>
      <c r="AT101" s="907"/>
      <c r="AU101" s="4089"/>
      <c r="AV101" s="4089"/>
      <c r="AW101" s="4089"/>
      <c r="AX101" s="4089"/>
      <c r="AY101" s="4089"/>
      <c r="AZ101" s="4089"/>
      <c r="BA101" s="4089"/>
      <c r="BB101" s="4089"/>
      <c r="BC101" s="4089"/>
      <c r="BD101" s="4089"/>
      <c r="BE101" s="4089"/>
      <c r="BF101" s="4089" t="s">
        <v>89</v>
      </c>
      <c r="BG101" s="4089"/>
      <c r="BH101" s="4089"/>
      <c r="BI101" s="4089"/>
      <c r="BJ101" s="4089"/>
      <c r="BK101" s="4089"/>
      <c r="BL101" s="4089">
        <f>I101</f>
        <v>504</v>
      </c>
      <c r="BM101" s="4089"/>
      <c r="BN101" s="4089"/>
      <c r="BO101" s="4382"/>
      <c r="BP101" s="4382"/>
      <c r="BQ101" s="4382"/>
      <c r="BR101" s="4382"/>
      <c r="BS101" s="4382"/>
      <c r="BT101" s="4383"/>
      <c r="BU101" s="4384"/>
      <c r="BV101" s="4385">
        <f t="shared" si="39"/>
        <v>504</v>
      </c>
      <c r="BW101" s="4386">
        <f t="shared" si="40"/>
        <v>0</v>
      </c>
      <c r="BX101" s="4387"/>
      <c r="BY101" s="4387"/>
      <c r="BZ101" s="4387"/>
      <c r="CA101" s="4391"/>
      <c r="CC101" s="4392"/>
      <c r="CD101" s="4391"/>
    </row>
    <row r="102" s="4025" customFormat="1" ht="50" customHeight="1" spans="1:82">
      <c r="A102" s="3688">
        <v>45656</v>
      </c>
      <c r="B102" s="3689" t="s">
        <v>1016</v>
      </c>
      <c r="C102" s="3664" t="s">
        <v>396</v>
      </c>
      <c r="D102" s="3690">
        <v>4500154964</v>
      </c>
      <c r="E102" s="3664" t="s">
        <v>3019</v>
      </c>
      <c r="F102" s="3690" t="s">
        <v>3020</v>
      </c>
      <c r="G102" s="3664" t="s">
        <v>3021</v>
      </c>
      <c r="H102" s="3664" t="s">
        <v>2984</v>
      </c>
      <c r="I102" s="3691">
        <v>12</v>
      </c>
      <c r="J102" s="3691">
        <v>0</v>
      </c>
      <c r="K102" s="3691">
        <v>12</v>
      </c>
      <c r="L102" s="3691">
        <f t="shared" si="31"/>
        <v>1</v>
      </c>
      <c r="M102" s="3659">
        <v>45712</v>
      </c>
      <c r="N102" s="3659">
        <v>45708</v>
      </c>
      <c r="O102" s="4085"/>
      <c r="P102" s="3682" t="s">
        <v>82</v>
      </c>
      <c r="Q102" s="3682"/>
      <c r="R102" s="4083"/>
      <c r="S102" s="4083"/>
      <c r="T102" s="4083"/>
      <c r="U102" s="3657" t="s">
        <v>3022</v>
      </c>
      <c r="V102" s="3657" t="s">
        <v>2350</v>
      </c>
      <c r="W102" s="3657"/>
      <c r="X102" s="3657" t="s">
        <v>2670</v>
      </c>
      <c r="Y102" s="3657" t="s">
        <v>3023</v>
      </c>
      <c r="Z102" s="3661"/>
      <c r="AA102" s="3620" t="s">
        <v>3024</v>
      </c>
      <c r="AB102" s="3691" t="s">
        <v>2672</v>
      </c>
      <c r="AC102" s="3691">
        <v>2.0865</v>
      </c>
      <c r="AD102" s="3691">
        <f t="shared" si="44"/>
        <v>25.038</v>
      </c>
      <c r="AE102" s="3645" t="s">
        <v>3025</v>
      </c>
      <c r="AF102" s="959" t="s">
        <v>3021</v>
      </c>
      <c r="AG102" s="3645" t="s">
        <v>326</v>
      </c>
      <c r="AH102" s="875"/>
      <c r="AI102" s="3664"/>
      <c r="AJ102" s="3664"/>
      <c r="AK102" s="875"/>
      <c r="AL102" s="3664">
        <f t="shared" si="47"/>
        <v>12</v>
      </c>
      <c r="AM102" s="3664"/>
      <c r="AN102" s="3691"/>
      <c r="AO102" s="3691">
        <f t="shared" si="46"/>
        <v>12</v>
      </c>
      <c r="AP102" s="3691"/>
      <c r="AQ102" s="4089"/>
      <c r="AR102" s="877"/>
      <c r="AS102" s="4089"/>
      <c r="AT102" s="877"/>
      <c r="AU102" s="4089">
        <f t="shared" ref="AU102:AU108" si="48">I102</f>
        <v>12</v>
      </c>
      <c r="AV102" s="4089"/>
      <c r="AW102" s="4089"/>
      <c r="AX102" s="4089"/>
      <c r="AY102" s="4089"/>
      <c r="AZ102" s="4089"/>
      <c r="BA102" s="4089"/>
      <c r="BB102" s="4089"/>
      <c r="BC102" s="4089"/>
      <c r="BD102" s="4089"/>
      <c r="BE102" s="4089"/>
      <c r="BF102" s="4089" t="s">
        <v>89</v>
      </c>
      <c r="BG102" s="4089"/>
      <c r="BH102" s="4089"/>
      <c r="BI102" s="4089"/>
      <c r="BJ102" s="4089"/>
      <c r="BK102" s="4089"/>
      <c r="BL102" s="4089">
        <f>I102-BU102</f>
        <v>12</v>
      </c>
      <c r="BM102" s="4089"/>
      <c r="BN102" s="4089">
        <f t="shared" ref="BN102:BN108" si="49">I102/60*1</f>
        <v>0.2</v>
      </c>
      <c r="BO102" s="878"/>
      <c r="BP102" s="878"/>
      <c r="BQ102" s="878"/>
      <c r="BR102" s="878"/>
      <c r="BS102" s="878"/>
      <c r="BT102" s="879"/>
      <c r="BU102" s="4384"/>
      <c r="BV102" s="4385">
        <f t="shared" si="39"/>
        <v>12.2</v>
      </c>
      <c r="BW102" s="4386">
        <f t="shared" si="40"/>
        <v>-0.199999999999999</v>
      </c>
      <c r="BX102" s="4387"/>
      <c r="BY102" s="4387"/>
      <c r="BZ102" s="4387"/>
      <c r="CA102" s="4391"/>
      <c r="CC102" s="4392"/>
      <c r="CD102" s="4391"/>
    </row>
    <row r="103" s="4025" customFormat="1" ht="50" customHeight="1" spans="1:82">
      <c r="A103" s="3688">
        <v>45656</v>
      </c>
      <c r="B103" s="3689" t="s">
        <v>1016</v>
      </c>
      <c r="C103" s="3664" t="s">
        <v>396</v>
      </c>
      <c r="D103" s="3690">
        <v>4500154964</v>
      </c>
      <c r="E103" s="3664" t="s">
        <v>3026</v>
      </c>
      <c r="F103" s="3690" t="s">
        <v>3027</v>
      </c>
      <c r="G103" s="3664" t="s">
        <v>3021</v>
      </c>
      <c r="H103" s="3664" t="s">
        <v>2984</v>
      </c>
      <c r="I103" s="3691">
        <v>12</v>
      </c>
      <c r="J103" s="3691">
        <v>0</v>
      </c>
      <c r="K103" s="3691">
        <v>12</v>
      </c>
      <c r="L103" s="3691">
        <f t="shared" si="31"/>
        <v>1</v>
      </c>
      <c r="M103" s="3659">
        <v>45712</v>
      </c>
      <c r="N103" s="3659">
        <v>45708</v>
      </c>
      <c r="O103" s="4085"/>
      <c r="P103" s="3682" t="s">
        <v>82</v>
      </c>
      <c r="Q103" s="3682"/>
      <c r="R103" s="4083"/>
      <c r="S103" s="4083"/>
      <c r="T103" s="4083"/>
      <c r="U103" s="3657" t="s">
        <v>3022</v>
      </c>
      <c r="V103" s="3657" t="s">
        <v>2350</v>
      </c>
      <c r="W103" s="3657"/>
      <c r="X103" s="3657" t="s">
        <v>2670</v>
      </c>
      <c r="Y103" s="3657" t="s">
        <v>3023</v>
      </c>
      <c r="Z103" s="3661"/>
      <c r="AA103" s="3620" t="s">
        <v>3024</v>
      </c>
      <c r="AB103" s="3691" t="s">
        <v>2672</v>
      </c>
      <c r="AC103" s="3691">
        <v>2.0865</v>
      </c>
      <c r="AD103" s="3691">
        <f t="shared" si="44"/>
        <v>25.038</v>
      </c>
      <c r="AE103" s="3645"/>
      <c r="AF103" s="959" t="s">
        <v>3021</v>
      </c>
      <c r="AG103" s="3645" t="s">
        <v>326</v>
      </c>
      <c r="AH103" s="875"/>
      <c r="AI103" s="3664"/>
      <c r="AJ103" s="3664"/>
      <c r="AK103" s="875"/>
      <c r="AL103" s="3664">
        <f t="shared" si="47"/>
        <v>12</v>
      </c>
      <c r="AM103" s="3664"/>
      <c r="AN103" s="3691"/>
      <c r="AO103" s="3691">
        <f t="shared" si="46"/>
        <v>12</v>
      </c>
      <c r="AP103" s="3691"/>
      <c r="AQ103" s="4089"/>
      <c r="AR103" s="877"/>
      <c r="AS103" s="4089"/>
      <c r="AT103" s="877"/>
      <c r="AU103" s="4089">
        <f t="shared" si="48"/>
        <v>12</v>
      </c>
      <c r="AV103" s="4089"/>
      <c r="AW103" s="4089"/>
      <c r="AX103" s="4089"/>
      <c r="AY103" s="4089"/>
      <c r="AZ103" s="4089"/>
      <c r="BA103" s="4089"/>
      <c r="BB103" s="4089"/>
      <c r="BC103" s="4089"/>
      <c r="BD103" s="4089"/>
      <c r="BE103" s="4089"/>
      <c r="BF103" s="4089" t="s">
        <v>89</v>
      </c>
      <c r="BG103" s="4089"/>
      <c r="BH103" s="4089"/>
      <c r="BI103" s="4089"/>
      <c r="BJ103" s="4089"/>
      <c r="BK103" s="4089"/>
      <c r="BL103" s="4089">
        <f>I103-BU103</f>
        <v>12</v>
      </c>
      <c r="BM103" s="4089"/>
      <c r="BN103" s="4089">
        <f t="shared" si="49"/>
        <v>0.2</v>
      </c>
      <c r="BO103" s="878"/>
      <c r="BP103" s="878"/>
      <c r="BQ103" s="878"/>
      <c r="BR103" s="878"/>
      <c r="BS103" s="878"/>
      <c r="BT103" s="879"/>
      <c r="BU103" s="4384"/>
      <c r="BV103" s="4385">
        <f t="shared" si="39"/>
        <v>12.2</v>
      </c>
      <c r="BW103" s="4386">
        <f t="shared" si="40"/>
        <v>-0.199999999999999</v>
      </c>
      <c r="BX103" s="4387"/>
      <c r="BY103" s="4387"/>
      <c r="BZ103" s="4387"/>
      <c r="CA103" s="4391"/>
      <c r="CC103" s="4392"/>
      <c r="CD103" s="4391"/>
    </row>
    <row r="104" s="4025" customFormat="1" ht="50" customHeight="1" spans="1:82">
      <c r="A104" s="3688">
        <v>45656</v>
      </c>
      <c r="B104" s="3689" t="s">
        <v>1016</v>
      </c>
      <c r="C104" s="3664" t="s">
        <v>396</v>
      </c>
      <c r="D104" s="3690">
        <v>4500154964</v>
      </c>
      <c r="E104" s="3664" t="s">
        <v>3028</v>
      </c>
      <c r="F104" s="3690" t="s">
        <v>3029</v>
      </c>
      <c r="G104" s="3664" t="s">
        <v>3021</v>
      </c>
      <c r="H104" s="3664" t="s">
        <v>2984</v>
      </c>
      <c r="I104" s="3691">
        <v>12</v>
      </c>
      <c r="J104" s="3691">
        <v>0</v>
      </c>
      <c r="K104" s="3691">
        <v>12</v>
      </c>
      <c r="L104" s="3691">
        <f t="shared" si="31"/>
        <v>1</v>
      </c>
      <c r="M104" s="3659">
        <v>45712</v>
      </c>
      <c r="N104" s="3659">
        <v>45708</v>
      </c>
      <c r="O104" s="4085"/>
      <c r="P104" s="3682" t="s">
        <v>82</v>
      </c>
      <c r="Q104" s="3682"/>
      <c r="R104" s="4083"/>
      <c r="S104" s="4083"/>
      <c r="T104" s="4083"/>
      <c r="U104" s="3657" t="s">
        <v>3022</v>
      </c>
      <c r="V104" s="3657" t="s">
        <v>2350</v>
      </c>
      <c r="W104" s="3657"/>
      <c r="X104" s="3657" t="s">
        <v>2670</v>
      </c>
      <c r="Y104" s="3657" t="s">
        <v>3023</v>
      </c>
      <c r="Z104" s="3661"/>
      <c r="AA104" s="3620" t="s">
        <v>3024</v>
      </c>
      <c r="AB104" s="3691" t="s">
        <v>2672</v>
      </c>
      <c r="AC104" s="3691">
        <v>2.0865</v>
      </c>
      <c r="AD104" s="3691">
        <f t="shared" si="44"/>
        <v>25.038</v>
      </c>
      <c r="AE104" s="3645"/>
      <c r="AF104" s="959" t="s">
        <v>3021</v>
      </c>
      <c r="AG104" s="3645" t="s">
        <v>326</v>
      </c>
      <c r="AH104" s="875"/>
      <c r="AI104" s="3664"/>
      <c r="AJ104" s="3664"/>
      <c r="AK104" s="875"/>
      <c r="AL104" s="3664">
        <f t="shared" si="47"/>
        <v>12</v>
      </c>
      <c r="AM104" s="3664"/>
      <c r="AN104" s="3691"/>
      <c r="AO104" s="3691">
        <f t="shared" si="46"/>
        <v>12</v>
      </c>
      <c r="AP104" s="3691"/>
      <c r="AQ104" s="4089"/>
      <c r="AR104" s="877"/>
      <c r="AS104" s="4089"/>
      <c r="AT104" s="877"/>
      <c r="AU104" s="4089">
        <f t="shared" si="48"/>
        <v>12</v>
      </c>
      <c r="AV104" s="4089"/>
      <c r="AW104" s="4089"/>
      <c r="AX104" s="4089"/>
      <c r="AY104" s="4089"/>
      <c r="AZ104" s="4089"/>
      <c r="BA104" s="4089"/>
      <c r="BB104" s="4089"/>
      <c r="BC104" s="4089"/>
      <c r="BD104" s="4089"/>
      <c r="BE104" s="4089"/>
      <c r="BF104" s="4089" t="s">
        <v>89</v>
      </c>
      <c r="BG104" s="4089"/>
      <c r="BH104" s="4089"/>
      <c r="BI104" s="4089"/>
      <c r="BJ104" s="4089"/>
      <c r="BK104" s="4089"/>
      <c r="BL104" s="4089">
        <f>I104-BU104</f>
        <v>12</v>
      </c>
      <c r="BM104" s="4089"/>
      <c r="BN104" s="4089">
        <f t="shared" si="49"/>
        <v>0.2</v>
      </c>
      <c r="BO104" s="878"/>
      <c r="BP104" s="878"/>
      <c r="BQ104" s="878"/>
      <c r="BR104" s="878"/>
      <c r="BS104" s="878"/>
      <c r="BT104" s="879"/>
      <c r="BU104" s="4384"/>
      <c r="BV104" s="4385">
        <f t="shared" si="39"/>
        <v>12.2</v>
      </c>
      <c r="BW104" s="4386">
        <f t="shared" si="40"/>
        <v>-0.199999999999999</v>
      </c>
      <c r="BX104" s="4387"/>
      <c r="BY104" s="4387"/>
      <c r="BZ104" s="4387"/>
      <c r="CA104" s="4391"/>
      <c r="CC104" s="4392"/>
      <c r="CD104" s="4391"/>
    </row>
    <row r="105" s="4025" customFormat="1" ht="50" customHeight="1" spans="1:82">
      <c r="A105" s="3688">
        <v>45656</v>
      </c>
      <c r="B105" s="3689" t="s">
        <v>1016</v>
      </c>
      <c r="C105" s="3664" t="s">
        <v>396</v>
      </c>
      <c r="D105" s="3690">
        <v>4500154964</v>
      </c>
      <c r="E105" s="3664" t="s">
        <v>3030</v>
      </c>
      <c r="F105" s="3690" t="s">
        <v>3031</v>
      </c>
      <c r="G105" s="3664" t="s">
        <v>3021</v>
      </c>
      <c r="H105" s="3664" t="s">
        <v>2984</v>
      </c>
      <c r="I105" s="3691">
        <v>12</v>
      </c>
      <c r="J105" s="3691">
        <v>0</v>
      </c>
      <c r="K105" s="3691">
        <v>12</v>
      </c>
      <c r="L105" s="3691">
        <f t="shared" si="31"/>
        <v>1</v>
      </c>
      <c r="M105" s="3659">
        <v>45712</v>
      </c>
      <c r="N105" s="3659">
        <v>45708</v>
      </c>
      <c r="O105" s="4085"/>
      <c r="P105" s="3682" t="s">
        <v>82</v>
      </c>
      <c r="Q105" s="3682"/>
      <c r="R105" s="4083"/>
      <c r="S105" s="4083"/>
      <c r="T105" s="4083"/>
      <c r="U105" s="3657" t="s">
        <v>3022</v>
      </c>
      <c r="V105" s="3657" t="s">
        <v>2350</v>
      </c>
      <c r="W105" s="3657"/>
      <c r="X105" s="3657" t="s">
        <v>2670</v>
      </c>
      <c r="Y105" s="3657" t="s">
        <v>3023</v>
      </c>
      <c r="Z105" s="3661"/>
      <c r="AA105" s="3620" t="s">
        <v>3024</v>
      </c>
      <c r="AB105" s="3691" t="s">
        <v>2672</v>
      </c>
      <c r="AC105" s="3691">
        <v>2.0865</v>
      </c>
      <c r="AD105" s="3691">
        <f t="shared" si="44"/>
        <v>25.038</v>
      </c>
      <c r="AE105" s="3645"/>
      <c r="AF105" s="959" t="s">
        <v>3021</v>
      </c>
      <c r="AG105" s="3645" t="s">
        <v>326</v>
      </c>
      <c r="AH105" s="875"/>
      <c r="AI105" s="3664"/>
      <c r="AJ105" s="3664"/>
      <c r="AK105" s="875"/>
      <c r="AL105" s="3664">
        <f t="shared" si="47"/>
        <v>12</v>
      </c>
      <c r="AM105" s="3664"/>
      <c r="AN105" s="3691"/>
      <c r="AO105" s="3691">
        <f t="shared" si="46"/>
        <v>12</v>
      </c>
      <c r="AP105" s="3691"/>
      <c r="AQ105" s="4089"/>
      <c r="AR105" s="877"/>
      <c r="AS105" s="4089"/>
      <c r="AT105" s="877"/>
      <c r="AU105" s="4089">
        <f t="shared" si="48"/>
        <v>12</v>
      </c>
      <c r="AV105" s="4089"/>
      <c r="AW105" s="4089"/>
      <c r="AX105" s="4089"/>
      <c r="AY105" s="4089"/>
      <c r="AZ105" s="4089"/>
      <c r="BA105" s="4089"/>
      <c r="BB105" s="4089"/>
      <c r="BC105" s="4089"/>
      <c r="BD105" s="4089"/>
      <c r="BE105" s="4089"/>
      <c r="BF105" s="4089" t="s">
        <v>89</v>
      </c>
      <c r="BG105" s="4089"/>
      <c r="BH105" s="4089"/>
      <c r="BI105" s="4089"/>
      <c r="BJ105" s="4089"/>
      <c r="BK105" s="4089"/>
      <c r="BL105" s="4089">
        <f>I105-BN105</f>
        <v>11.8</v>
      </c>
      <c r="BM105" s="4089"/>
      <c r="BN105" s="4089">
        <f t="shared" si="49"/>
        <v>0.2</v>
      </c>
      <c r="BO105" s="878"/>
      <c r="BP105" s="878"/>
      <c r="BQ105" s="878"/>
      <c r="BR105" s="878"/>
      <c r="BS105" s="878"/>
      <c r="BT105" s="879"/>
      <c r="BU105" s="4384"/>
      <c r="BV105" s="4385">
        <f t="shared" si="39"/>
        <v>12</v>
      </c>
      <c r="BW105" s="4386">
        <f t="shared" si="40"/>
        <v>0</v>
      </c>
      <c r="BX105" s="4387"/>
      <c r="BY105" s="4387"/>
      <c r="BZ105" s="4387"/>
      <c r="CA105" s="4391"/>
      <c r="CC105" s="4392"/>
      <c r="CD105" s="4391"/>
    </row>
    <row r="106" s="4025" customFormat="1" ht="50" customHeight="1" spans="1:82">
      <c r="A106" s="3688">
        <v>45656</v>
      </c>
      <c r="B106" s="3689" t="s">
        <v>1016</v>
      </c>
      <c r="C106" s="3664" t="s">
        <v>396</v>
      </c>
      <c r="D106" s="3690">
        <v>4500154964</v>
      </c>
      <c r="E106" s="3664" t="s">
        <v>3032</v>
      </c>
      <c r="F106" s="3690" t="s">
        <v>3033</v>
      </c>
      <c r="G106" s="3664" t="s">
        <v>2680</v>
      </c>
      <c r="H106" s="3664" t="s">
        <v>2632</v>
      </c>
      <c r="I106" s="3691">
        <v>12</v>
      </c>
      <c r="J106" s="3691">
        <v>0</v>
      </c>
      <c r="K106" s="3691">
        <v>12</v>
      </c>
      <c r="L106" s="3691">
        <f t="shared" si="31"/>
        <v>1</v>
      </c>
      <c r="M106" s="3659">
        <v>45712</v>
      </c>
      <c r="N106" s="3659">
        <v>45708</v>
      </c>
      <c r="O106" s="4085"/>
      <c r="P106" s="3682" t="s">
        <v>82</v>
      </c>
      <c r="Q106" s="3682"/>
      <c r="R106" s="4083"/>
      <c r="S106" s="4083"/>
      <c r="T106" s="4083"/>
      <c r="U106" s="3657" t="s">
        <v>3022</v>
      </c>
      <c r="V106" s="3657" t="s">
        <v>2350</v>
      </c>
      <c r="W106" s="3657"/>
      <c r="X106" s="3657" t="s">
        <v>2670</v>
      </c>
      <c r="Y106" s="3657" t="s">
        <v>3023</v>
      </c>
      <c r="Z106" s="3661"/>
      <c r="AA106" s="3620" t="s">
        <v>3024</v>
      </c>
      <c r="AB106" s="3691" t="s">
        <v>2672</v>
      </c>
      <c r="AC106" s="4087">
        <v>2.2403</v>
      </c>
      <c r="AD106" s="3691">
        <f t="shared" si="44"/>
        <v>26.8836</v>
      </c>
      <c r="AE106" s="3645" t="s">
        <v>3025</v>
      </c>
      <c r="AF106" s="3664" t="s">
        <v>2680</v>
      </c>
      <c r="AG106" s="3645" t="s">
        <v>416</v>
      </c>
      <c r="AH106" s="875"/>
      <c r="AI106" s="3664"/>
      <c r="AJ106" s="3664"/>
      <c r="AK106" s="875"/>
      <c r="AL106" s="3664">
        <f t="shared" si="47"/>
        <v>12</v>
      </c>
      <c r="AM106" s="3664"/>
      <c r="AN106" s="3691"/>
      <c r="AO106" s="3691">
        <f t="shared" si="46"/>
        <v>12</v>
      </c>
      <c r="AP106" s="3691"/>
      <c r="AQ106" s="4089"/>
      <c r="AR106" s="877"/>
      <c r="AS106" s="4089"/>
      <c r="AT106" s="877"/>
      <c r="AU106" s="4089">
        <f t="shared" si="48"/>
        <v>12</v>
      </c>
      <c r="AV106" s="4089"/>
      <c r="AW106" s="4089"/>
      <c r="AX106" s="4089"/>
      <c r="AY106" s="4089"/>
      <c r="AZ106" s="4089"/>
      <c r="BA106" s="4089"/>
      <c r="BB106" s="4089"/>
      <c r="BC106" s="4089"/>
      <c r="BD106" s="4089"/>
      <c r="BE106" s="4089"/>
      <c r="BF106" s="4089" t="s">
        <v>89</v>
      </c>
      <c r="BG106" s="4089"/>
      <c r="BH106" s="4089"/>
      <c r="BI106" s="4089"/>
      <c r="BJ106" s="4089">
        <f>I106-BN106</f>
        <v>11.8</v>
      </c>
      <c r="BK106" s="4089"/>
      <c r="BL106" s="4089"/>
      <c r="BM106" s="4089"/>
      <c r="BN106" s="4089">
        <f t="shared" si="49"/>
        <v>0.2</v>
      </c>
      <c r="BO106" s="878"/>
      <c r="BP106" s="878"/>
      <c r="BQ106" s="878"/>
      <c r="BR106" s="878"/>
      <c r="BS106" s="878"/>
      <c r="BT106" s="879"/>
      <c r="BU106" s="4384"/>
      <c r="BV106" s="4385">
        <f t="shared" si="39"/>
        <v>12</v>
      </c>
      <c r="BW106" s="4386">
        <f t="shared" si="40"/>
        <v>0</v>
      </c>
      <c r="BX106" s="4387"/>
      <c r="BY106" s="4387"/>
      <c r="BZ106" s="4387"/>
      <c r="CA106" s="4388"/>
      <c r="CC106" s="4389"/>
      <c r="CD106" s="4388"/>
    </row>
    <row r="107" s="4025" customFormat="1" ht="50" customHeight="1" spans="1:82">
      <c r="A107" s="3688">
        <v>45656</v>
      </c>
      <c r="B107" s="3689" t="s">
        <v>1016</v>
      </c>
      <c r="C107" s="3664" t="s">
        <v>396</v>
      </c>
      <c r="D107" s="3690">
        <v>4500154964</v>
      </c>
      <c r="E107" s="3664" t="s">
        <v>3034</v>
      </c>
      <c r="F107" s="3690" t="s">
        <v>3035</v>
      </c>
      <c r="G107" s="3664" t="s">
        <v>2827</v>
      </c>
      <c r="H107" s="3664" t="s">
        <v>2641</v>
      </c>
      <c r="I107" s="3691">
        <v>12</v>
      </c>
      <c r="J107" s="3691">
        <v>0</v>
      </c>
      <c r="K107" s="3691">
        <v>12</v>
      </c>
      <c r="L107" s="3691">
        <f t="shared" si="31"/>
        <v>1</v>
      </c>
      <c r="M107" s="3659">
        <v>45712</v>
      </c>
      <c r="N107" s="3659">
        <v>45708</v>
      </c>
      <c r="O107" s="4085"/>
      <c r="P107" s="3682" t="s">
        <v>82</v>
      </c>
      <c r="Q107" s="3682"/>
      <c r="R107" s="4083"/>
      <c r="S107" s="4083"/>
      <c r="T107" s="4083"/>
      <c r="U107" s="3657" t="s">
        <v>3022</v>
      </c>
      <c r="V107" s="3657" t="s">
        <v>2350</v>
      </c>
      <c r="W107" s="3657"/>
      <c r="X107" s="3657" t="s">
        <v>2670</v>
      </c>
      <c r="Y107" s="3657" t="s">
        <v>3023</v>
      </c>
      <c r="Z107" s="3661"/>
      <c r="AA107" s="3620" t="s">
        <v>3024</v>
      </c>
      <c r="AB107" s="3691" t="s">
        <v>2672</v>
      </c>
      <c r="AC107" s="3691">
        <v>2.0865</v>
      </c>
      <c r="AD107" s="3691">
        <f t="shared" si="44"/>
        <v>25.038</v>
      </c>
      <c r="AE107" s="3645" t="s">
        <v>3025</v>
      </c>
      <c r="AF107" s="3664" t="s">
        <v>2827</v>
      </c>
      <c r="AG107" s="3645" t="s">
        <v>416</v>
      </c>
      <c r="AH107" s="875"/>
      <c r="AI107" s="3664"/>
      <c r="AJ107" s="3664"/>
      <c r="AK107" s="875"/>
      <c r="AL107" s="3664">
        <f t="shared" si="47"/>
        <v>12</v>
      </c>
      <c r="AM107" s="3664"/>
      <c r="AN107" s="3691"/>
      <c r="AO107" s="3691">
        <f t="shared" si="46"/>
        <v>12</v>
      </c>
      <c r="AP107" s="3691"/>
      <c r="AQ107" s="4089"/>
      <c r="AR107" s="877"/>
      <c r="AS107" s="4089"/>
      <c r="AT107" s="877"/>
      <c r="AU107" s="4089">
        <f t="shared" si="48"/>
        <v>12</v>
      </c>
      <c r="AV107" s="4089"/>
      <c r="AW107" s="4089"/>
      <c r="AX107" s="4089"/>
      <c r="AY107" s="4089"/>
      <c r="AZ107" s="4089"/>
      <c r="BA107" s="4089"/>
      <c r="BB107" s="4089"/>
      <c r="BC107" s="4089"/>
      <c r="BD107" s="4089"/>
      <c r="BE107" s="4089"/>
      <c r="BF107" s="4089" t="s">
        <v>89</v>
      </c>
      <c r="BG107" s="4089"/>
      <c r="BH107" s="4089">
        <f>I107-BN107</f>
        <v>11.8</v>
      </c>
      <c r="BI107" s="4089"/>
      <c r="BJ107" s="4089"/>
      <c r="BK107" s="4089"/>
      <c r="BL107" s="4089"/>
      <c r="BM107" s="4089"/>
      <c r="BN107" s="4089">
        <f t="shared" si="49"/>
        <v>0.2</v>
      </c>
      <c r="BO107" s="878"/>
      <c r="BP107" s="878"/>
      <c r="BQ107" s="878"/>
      <c r="BR107" s="878"/>
      <c r="BS107" s="878"/>
      <c r="BT107" s="879"/>
      <c r="BU107" s="4384"/>
      <c r="BV107" s="4385">
        <f t="shared" si="39"/>
        <v>12</v>
      </c>
      <c r="BW107" s="4386">
        <f t="shared" si="40"/>
        <v>0</v>
      </c>
      <c r="BX107" s="4387"/>
      <c r="BY107" s="4387"/>
      <c r="BZ107" s="4387"/>
      <c r="CA107" s="4388"/>
      <c r="CC107" s="4389"/>
      <c r="CD107" s="4388"/>
    </row>
    <row r="108" s="4025" customFormat="1" ht="50" customHeight="1" spans="1:82">
      <c r="A108" s="3688">
        <v>45656</v>
      </c>
      <c r="B108" s="3689" t="s">
        <v>1016</v>
      </c>
      <c r="C108" s="3664" t="s">
        <v>396</v>
      </c>
      <c r="D108" s="3690">
        <v>4500154964</v>
      </c>
      <c r="E108" s="3664" t="s">
        <v>3036</v>
      </c>
      <c r="F108" s="3690" t="s">
        <v>3037</v>
      </c>
      <c r="G108" s="3664" t="s">
        <v>2827</v>
      </c>
      <c r="H108" s="3664" t="s">
        <v>2641</v>
      </c>
      <c r="I108" s="3691">
        <v>24</v>
      </c>
      <c r="J108" s="3691">
        <v>0</v>
      </c>
      <c r="K108" s="3691">
        <v>12</v>
      </c>
      <c r="L108" s="3691">
        <f t="shared" si="31"/>
        <v>2</v>
      </c>
      <c r="M108" s="3659">
        <v>45712</v>
      </c>
      <c r="N108" s="3659">
        <v>45708</v>
      </c>
      <c r="O108" s="4085"/>
      <c r="P108" s="3682" t="s">
        <v>82</v>
      </c>
      <c r="Q108" s="3682"/>
      <c r="R108" s="4083"/>
      <c r="S108" s="4083"/>
      <c r="T108" s="4083"/>
      <c r="U108" s="3657" t="s">
        <v>3022</v>
      </c>
      <c r="V108" s="3657" t="s">
        <v>2350</v>
      </c>
      <c r="W108" s="3657"/>
      <c r="X108" s="3657" t="s">
        <v>2670</v>
      </c>
      <c r="Y108" s="3657" t="s">
        <v>3023</v>
      </c>
      <c r="Z108" s="3661"/>
      <c r="AA108" s="3620" t="s">
        <v>3024</v>
      </c>
      <c r="AB108" s="3691" t="s">
        <v>2672</v>
      </c>
      <c r="AC108" s="3691">
        <v>2.2403</v>
      </c>
      <c r="AD108" s="3691">
        <f t="shared" si="44"/>
        <v>53.7672</v>
      </c>
      <c r="AE108" s="3645"/>
      <c r="AF108" s="3664" t="s">
        <v>2827</v>
      </c>
      <c r="AG108" s="3645" t="s">
        <v>416</v>
      </c>
      <c r="AH108" s="875"/>
      <c r="AI108" s="3664"/>
      <c r="AJ108" s="3664"/>
      <c r="AK108" s="875"/>
      <c r="AL108" s="3664">
        <f t="shared" si="47"/>
        <v>24</v>
      </c>
      <c r="AM108" s="3664"/>
      <c r="AN108" s="3691"/>
      <c r="AO108" s="3691">
        <f t="shared" si="46"/>
        <v>24</v>
      </c>
      <c r="AP108" s="3691"/>
      <c r="AQ108" s="4089"/>
      <c r="AR108" s="877"/>
      <c r="AS108" s="4089"/>
      <c r="AT108" s="877"/>
      <c r="AU108" s="4089">
        <f t="shared" si="48"/>
        <v>24</v>
      </c>
      <c r="AV108" s="4089"/>
      <c r="AW108" s="4089"/>
      <c r="AX108" s="4089"/>
      <c r="AY108" s="4089"/>
      <c r="AZ108" s="4089"/>
      <c r="BA108" s="4089"/>
      <c r="BB108" s="4089"/>
      <c r="BC108" s="4089"/>
      <c r="BD108" s="4089"/>
      <c r="BE108" s="4089"/>
      <c r="BF108" s="4089" t="s">
        <v>89</v>
      </c>
      <c r="BG108" s="4089"/>
      <c r="BH108" s="4089">
        <f>I108-BN108</f>
        <v>23.6</v>
      </c>
      <c r="BI108" s="4089"/>
      <c r="BJ108" s="4089"/>
      <c r="BK108" s="4089"/>
      <c r="BL108" s="4089"/>
      <c r="BM108" s="4089"/>
      <c r="BN108" s="4089">
        <f t="shared" si="49"/>
        <v>0.4</v>
      </c>
      <c r="BO108" s="878"/>
      <c r="BP108" s="878"/>
      <c r="BQ108" s="878"/>
      <c r="BR108" s="878"/>
      <c r="BS108" s="878"/>
      <c r="BT108" s="879"/>
      <c r="BU108" s="4384"/>
      <c r="BV108" s="4385">
        <f t="shared" si="39"/>
        <v>24</v>
      </c>
      <c r="BW108" s="4386">
        <f t="shared" si="40"/>
        <v>0</v>
      </c>
      <c r="BX108" s="4387"/>
      <c r="BY108" s="4387"/>
      <c r="BZ108" s="4387"/>
      <c r="CA108" s="4388"/>
      <c r="CC108" s="4389"/>
      <c r="CD108" s="4388"/>
    </row>
    <row r="109" s="4025" customFormat="1" ht="50" customHeight="1" spans="1:82">
      <c r="A109" s="3688">
        <v>45594</v>
      </c>
      <c r="B109" s="3689" t="s">
        <v>737</v>
      </c>
      <c r="C109" s="4381" t="s">
        <v>738</v>
      </c>
      <c r="D109" s="3690">
        <v>4500149460</v>
      </c>
      <c r="E109" s="3664">
        <v>61900883</v>
      </c>
      <c r="F109" s="4086" t="s">
        <v>3038</v>
      </c>
      <c r="G109" s="3664" t="s">
        <v>2577</v>
      </c>
      <c r="H109" s="3664" t="s">
        <v>2578</v>
      </c>
      <c r="I109" s="3691">
        <v>240</v>
      </c>
      <c r="J109" s="3691">
        <v>0</v>
      </c>
      <c r="K109" s="3691">
        <v>12</v>
      </c>
      <c r="L109" s="3691">
        <f t="shared" si="31"/>
        <v>20</v>
      </c>
      <c r="M109" s="3659">
        <v>45712</v>
      </c>
      <c r="N109" s="3659">
        <v>45708</v>
      </c>
      <c r="O109" s="3664"/>
      <c r="P109" s="3682" t="s">
        <v>82</v>
      </c>
      <c r="Q109" s="3682"/>
      <c r="R109" s="4083"/>
      <c r="S109" s="4083"/>
      <c r="T109" s="4083"/>
      <c r="U109" s="3645" t="s">
        <v>740</v>
      </c>
      <c r="V109" s="3657" t="s">
        <v>741</v>
      </c>
      <c r="W109" s="3657"/>
      <c r="X109" s="3657" t="s">
        <v>3039</v>
      </c>
      <c r="Y109" s="3657" t="s">
        <v>743</v>
      </c>
      <c r="Z109" s="3661"/>
      <c r="AA109" s="3638" t="s">
        <v>3040</v>
      </c>
      <c r="AB109" s="3691" t="s">
        <v>459</v>
      </c>
      <c r="AC109" s="3691">
        <v>2.1891</v>
      </c>
      <c r="AD109" s="3691">
        <f t="shared" si="44"/>
        <v>525.384</v>
      </c>
      <c r="AE109" s="3645" t="s">
        <v>745</v>
      </c>
      <c r="AF109" s="3664" t="s">
        <v>2604</v>
      </c>
      <c r="AG109" s="3645" t="s">
        <v>416</v>
      </c>
      <c r="AH109" s="875"/>
      <c r="AI109" s="3664"/>
      <c r="AJ109" s="3664"/>
      <c r="AK109" s="875"/>
      <c r="AL109" s="3664">
        <f t="shared" si="47"/>
        <v>240</v>
      </c>
      <c r="AM109" s="3664"/>
      <c r="AN109" s="3691"/>
      <c r="AO109" s="3691">
        <f t="shared" si="46"/>
        <v>240</v>
      </c>
      <c r="AP109" s="3691"/>
      <c r="AQ109" s="4089"/>
      <c r="AR109" s="877"/>
      <c r="AS109" s="4089">
        <f t="shared" ref="AS109:AS123" si="50">I109</f>
        <v>240</v>
      </c>
      <c r="AT109" s="877"/>
      <c r="AU109" s="4089"/>
      <c r="AV109" s="4089">
        <f>I109/6</f>
        <v>40</v>
      </c>
      <c r="AW109" s="4089"/>
      <c r="AX109" s="4089"/>
      <c r="AY109" s="4089"/>
      <c r="AZ109" s="4089"/>
      <c r="BA109" s="4089"/>
      <c r="BB109" s="4089"/>
      <c r="BC109" s="4089"/>
      <c r="BD109" s="4089"/>
      <c r="BE109" s="4089"/>
      <c r="BF109" s="4089" t="s">
        <v>89</v>
      </c>
      <c r="BG109" s="4089"/>
      <c r="BH109" s="4089">
        <f>I109/60*10</f>
        <v>40</v>
      </c>
      <c r="BI109" s="4089">
        <f>I109/60*10</f>
        <v>40</v>
      </c>
      <c r="BJ109" s="4089">
        <f>I109/60*10</f>
        <v>40</v>
      </c>
      <c r="BK109" s="4089">
        <f>I109/60*10</f>
        <v>40</v>
      </c>
      <c r="BL109" s="4089">
        <f>I109/60*10</f>
        <v>40</v>
      </c>
      <c r="BM109" s="4089">
        <f>I109/60*8</f>
        <v>32</v>
      </c>
      <c r="BN109" s="4089">
        <f>I109/60*2</f>
        <v>8</v>
      </c>
      <c r="BO109" s="878"/>
      <c r="BP109" s="878"/>
      <c r="BQ109" s="878"/>
      <c r="BR109" s="878"/>
      <c r="BS109" s="878"/>
      <c r="BT109" s="879"/>
      <c r="BU109" s="4384"/>
      <c r="BV109" s="4385">
        <f t="shared" si="39"/>
        <v>240</v>
      </c>
      <c r="BW109" s="4386">
        <f t="shared" si="40"/>
        <v>0</v>
      </c>
      <c r="BX109" s="4387"/>
      <c r="BY109" s="4387"/>
      <c r="BZ109" s="4387"/>
      <c r="CA109" s="4391"/>
      <c r="CC109" s="4392"/>
      <c r="CD109" s="4391"/>
    </row>
    <row r="110" s="4025" customFormat="1" ht="50" customHeight="1" spans="1:82">
      <c r="A110" s="3688">
        <v>45611</v>
      </c>
      <c r="B110" s="3664" t="s">
        <v>737</v>
      </c>
      <c r="C110" s="3664" t="s">
        <v>738</v>
      </c>
      <c r="D110" s="3691">
        <v>4500151307</v>
      </c>
      <c r="E110" s="3664"/>
      <c r="F110" s="3664" t="s">
        <v>3041</v>
      </c>
      <c r="G110" s="3664" t="s">
        <v>2577</v>
      </c>
      <c r="H110" s="3664" t="s">
        <v>2578</v>
      </c>
      <c r="I110" s="3691">
        <v>96</v>
      </c>
      <c r="J110" s="3691">
        <v>0</v>
      </c>
      <c r="K110" s="3691">
        <v>12</v>
      </c>
      <c r="L110" s="3691">
        <f t="shared" si="31"/>
        <v>8</v>
      </c>
      <c r="M110" s="3659">
        <v>45712</v>
      </c>
      <c r="N110" s="3659">
        <v>45708</v>
      </c>
      <c r="O110" s="3664"/>
      <c r="P110" s="3682" t="s">
        <v>82</v>
      </c>
      <c r="Q110" s="3682"/>
      <c r="R110" s="4083"/>
      <c r="S110" s="4083"/>
      <c r="T110" s="4083"/>
      <c r="U110" s="3645" t="s">
        <v>740</v>
      </c>
      <c r="V110" s="3657" t="s">
        <v>3042</v>
      </c>
      <c r="W110" s="3657"/>
      <c r="X110" s="3657" t="s">
        <v>3043</v>
      </c>
      <c r="Y110" s="3657" t="s">
        <v>743</v>
      </c>
      <c r="Z110" s="3661"/>
      <c r="AA110" s="3620" t="s">
        <v>3044</v>
      </c>
      <c r="AB110" s="3691" t="s">
        <v>459</v>
      </c>
      <c r="AC110" s="3691">
        <v>2.1891</v>
      </c>
      <c r="AD110" s="3691">
        <f t="shared" si="44"/>
        <v>210.1536</v>
      </c>
      <c r="AE110" s="3645" t="s">
        <v>3045</v>
      </c>
      <c r="AF110" s="3664" t="s">
        <v>2604</v>
      </c>
      <c r="AG110" s="3645" t="s">
        <v>416</v>
      </c>
      <c r="AH110" s="905"/>
      <c r="AI110" s="3664"/>
      <c r="AJ110" s="3664"/>
      <c r="AK110" s="905"/>
      <c r="AL110" s="3664">
        <f t="shared" si="47"/>
        <v>96</v>
      </c>
      <c r="AM110" s="3664"/>
      <c r="AN110" s="3691"/>
      <c r="AO110" s="3691">
        <f t="shared" si="46"/>
        <v>96</v>
      </c>
      <c r="AP110" s="3691"/>
      <c r="AQ110" s="4089"/>
      <c r="AR110" s="907"/>
      <c r="AS110" s="4089">
        <f t="shared" si="50"/>
        <v>96</v>
      </c>
      <c r="AT110" s="907"/>
      <c r="AU110" s="4089"/>
      <c r="AV110" s="4089">
        <f>I110/6</f>
        <v>16</v>
      </c>
      <c r="AW110" s="4089"/>
      <c r="AX110" s="4089"/>
      <c r="AY110" s="4089"/>
      <c r="AZ110" s="4089"/>
      <c r="BA110" s="4089"/>
      <c r="BB110" s="4089"/>
      <c r="BC110" s="4089"/>
      <c r="BD110" s="4089"/>
      <c r="BE110" s="4089"/>
      <c r="BF110" s="4089" t="s">
        <v>89</v>
      </c>
      <c r="BG110" s="4089"/>
      <c r="BH110" s="4089">
        <f>I110/60*10</f>
        <v>16</v>
      </c>
      <c r="BI110" s="4089">
        <f>I110/60*10</f>
        <v>16</v>
      </c>
      <c r="BJ110" s="4089">
        <f>I110/60*10</f>
        <v>16</v>
      </c>
      <c r="BK110" s="4089">
        <f>I110/60*10</f>
        <v>16</v>
      </c>
      <c r="BL110" s="4089">
        <f>I110/60*10</f>
        <v>16</v>
      </c>
      <c r="BM110" s="4089">
        <f>I110/60*8</f>
        <v>12.8</v>
      </c>
      <c r="BN110" s="4089">
        <f>I110/60*2</f>
        <v>3.2</v>
      </c>
      <c r="BO110" s="4382"/>
      <c r="BP110" s="4382"/>
      <c r="BQ110" s="4382"/>
      <c r="BR110" s="4382"/>
      <c r="BS110" s="4382"/>
      <c r="BT110" s="4383"/>
      <c r="BU110" s="4384"/>
      <c r="BV110" s="4385">
        <f t="shared" si="39"/>
        <v>96</v>
      </c>
      <c r="BW110" s="4386">
        <f t="shared" si="40"/>
        <v>0</v>
      </c>
      <c r="BX110" s="4387"/>
      <c r="BY110" s="4387"/>
      <c r="BZ110" s="4387"/>
      <c r="CA110" s="4391"/>
      <c r="CC110" s="4392"/>
      <c r="CD110" s="4391"/>
    </row>
    <row r="111" s="4025" customFormat="1" ht="50" customHeight="1" spans="1:82">
      <c r="A111" s="3688">
        <v>45651</v>
      </c>
      <c r="B111" s="3689" t="s">
        <v>672</v>
      </c>
      <c r="C111" s="3664" t="s">
        <v>673</v>
      </c>
      <c r="D111" s="3690">
        <v>4500154728</v>
      </c>
      <c r="E111" s="3664">
        <v>5000001743</v>
      </c>
      <c r="F111" s="3690" t="s">
        <v>3046</v>
      </c>
      <c r="G111" s="3664" t="s">
        <v>2590</v>
      </c>
      <c r="H111" s="3664" t="s">
        <v>2591</v>
      </c>
      <c r="I111" s="3691">
        <v>1200</v>
      </c>
      <c r="J111" s="3691">
        <v>0</v>
      </c>
      <c r="K111" s="3691">
        <v>6</v>
      </c>
      <c r="L111" s="3691">
        <f t="shared" si="31"/>
        <v>200</v>
      </c>
      <c r="M111" s="3659">
        <v>45713</v>
      </c>
      <c r="N111" s="3659">
        <v>45709</v>
      </c>
      <c r="O111" s="4085"/>
      <c r="P111" s="3682" t="s">
        <v>82</v>
      </c>
      <c r="Q111" s="3682"/>
      <c r="R111" s="4083"/>
      <c r="S111" s="4083"/>
      <c r="T111" s="4083"/>
      <c r="U111" s="3645" t="s">
        <v>740</v>
      </c>
      <c r="V111" s="3657" t="s">
        <v>3047</v>
      </c>
      <c r="W111" s="3657"/>
      <c r="X111" s="3657" t="s">
        <v>3048</v>
      </c>
      <c r="Y111" s="3657" t="s">
        <v>678</v>
      </c>
      <c r="Z111" s="3661"/>
      <c r="AA111" s="3620" t="s">
        <v>3049</v>
      </c>
      <c r="AB111" s="3691" t="s">
        <v>680</v>
      </c>
      <c r="AC111" s="3691">
        <v>2.1451</v>
      </c>
      <c r="AD111" s="3691">
        <f t="shared" si="44"/>
        <v>2574.12</v>
      </c>
      <c r="AE111" s="3645" t="s">
        <v>3050</v>
      </c>
      <c r="AF111" s="3664" t="s">
        <v>2663</v>
      </c>
      <c r="AG111" s="3645" t="s">
        <v>416</v>
      </c>
      <c r="AH111" s="905"/>
      <c r="AI111" s="4082">
        <f>I111</f>
        <v>1200</v>
      </c>
      <c r="AJ111" s="4082"/>
      <c r="AK111" s="905"/>
      <c r="AL111" s="3664"/>
      <c r="AM111" s="3664"/>
      <c r="AN111" s="3691"/>
      <c r="AO111" s="3691"/>
      <c r="AP111" s="3691"/>
      <c r="AQ111" s="4089">
        <f>I111</f>
        <v>1200</v>
      </c>
      <c r="AR111" s="907"/>
      <c r="AS111" s="4089">
        <f t="shared" si="50"/>
        <v>1200</v>
      </c>
      <c r="AT111" s="907"/>
      <c r="AU111" s="4089"/>
      <c r="AV111" s="4089">
        <f>I111/6</f>
        <v>200</v>
      </c>
      <c r="AW111" s="4089"/>
      <c r="AX111" s="4089"/>
      <c r="AY111" s="4089"/>
      <c r="AZ111" s="4089"/>
      <c r="BA111" s="4089"/>
      <c r="BB111" s="4089"/>
      <c r="BC111" s="4089"/>
      <c r="BD111" s="4089"/>
      <c r="BE111" s="4089"/>
      <c r="BF111" s="4089" t="s">
        <v>682</v>
      </c>
      <c r="BG111" s="4089"/>
      <c r="BH111" s="4089">
        <f>I111/60*10</f>
        <v>200</v>
      </c>
      <c r="BI111" s="4089">
        <f>I111/60*10</f>
        <v>200</v>
      </c>
      <c r="BJ111" s="4089">
        <f>I111/60*10</f>
        <v>200</v>
      </c>
      <c r="BK111" s="4089">
        <f>I111/60*10</f>
        <v>200</v>
      </c>
      <c r="BL111" s="4089">
        <f>I111/60*10</f>
        <v>200</v>
      </c>
      <c r="BM111" s="4089">
        <f>I111/60*8</f>
        <v>160</v>
      </c>
      <c r="BN111" s="4089">
        <f>I111/60*2</f>
        <v>40</v>
      </c>
      <c r="BO111" s="4382"/>
      <c r="BP111" s="4382"/>
      <c r="BQ111" s="4382"/>
      <c r="BR111" s="4382"/>
      <c r="BS111" s="4382"/>
      <c r="BT111" s="4383"/>
      <c r="BU111" s="4384"/>
      <c r="BV111" s="4385">
        <f t="shared" si="39"/>
        <v>1200</v>
      </c>
      <c r="BW111" s="4386">
        <f t="shared" si="40"/>
        <v>0</v>
      </c>
      <c r="BX111" s="4387"/>
      <c r="BY111" s="4387"/>
      <c r="BZ111" s="4387"/>
      <c r="CA111" s="4391"/>
      <c r="CC111" s="4392"/>
      <c r="CD111" s="4391"/>
    </row>
    <row r="112" s="4025" customFormat="1" ht="50" customHeight="1" spans="1:82">
      <c r="A112" s="3688">
        <v>45708</v>
      </c>
      <c r="B112" s="3689"/>
      <c r="C112" s="3664"/>
      <c r="D112" s="3690" t="s">
        <v>3051</v>
      </c>
      <c r="E112" s="3664"/>
      <c r="F112" s="3690"/>
      <c r="G112" s="3664" t="s">
        <v>2627</v>
      </c>
      <c r="H112" s="3691" t="s">
        <v>2591</v>
      </c>
      <c r="I112" s="3691">
        <v>8</v>
      </c>
      <c r="J112" s="3691">
        <v>0</v>
      </c>
      <c r="K112" s="3691">
        <v>8</v>
      </c>
      <c r="L112" s="3691">
        <f t="shared" si="31"/>
        <v>1</v>
      </c>
      <c r="M112" s="3659">
        <v>45714</v>
      </c>
      <c r="N112" s="3659">
        <v>45710</v>
      </c>
      <c r="O112" s="4085"/>
      <c r="P112" s="3682" t="s">
        <v>3052</v>
      </c>
      <c r="Q112" s="3682"/>
      <c r="R112" s="4083"/>
      <c r="S112" s="4083"/>
      <c r="T112" s="4083"/>
      <c r="U112" s="3645"/>
      <c r="V112" s="3657" t="s">
        <v>335</v>
      </c>
      <c r="W112" s="3657"/>
      <c r="X112" s="3657" t="s">
        <v>98</v>
      </c>
      <c r="Y112" s="3657"/>
      <c r="Z112" s="3661"/>
      <c r="AA112" s="3620" t="s">
        <v>3053</v>
      </c>
      <c r="AB112" s="3691" t="s">
        <v>3054</v>
      </c>
      <c r="AC112" s="4087"/>
      <c r="AD112" s="3691"/>
      <c r="AE112" s="3645"/>
      <c r="AF112" s="3664" t="s">
        <v>2627</v>
      </c>
      <c r="AG112" s="3645" t="s">
        <v>416</v>
      </c>
      <c r="AH112" s="3664"/>
      <c r="AI112" s="3691"/>
      <c r="AJ112" s="3691"/>
      <c r="AK112" s="3664"/>
      <c r="AL112" s="3664">
        <f>I112</f>
        <v>8</v>
      </c>
      <c r="AM112" s="3664"/>
      <c r="AN112" s="3691"/>
      <c r="AO112" s="3691">
        <f t="shared" ref="AO112:AO166" si="51">I112</f>
        <v>8</v>
      </c>
      <c r="AP112" s="3691"/>
      <c r="AQ112" s="4089"/>
      <c r="AR112" s="4089"/>
      <c r="AS112" s="4089">
        <f t="shared" si="50"/>
        <v>8</v>
      </c>
      <c r="AT112" s="4089"/>
      <c r="AU112" s="4089"/>
      <c r="AV112" s="4089"/>
      <c r="AW112" s="4089"/>
      <c r="AX112" s="4089"/>
      <c r="AY112" s="4089"/>
      <c r="AZ112" s="4089"/>
      <c r="BA112" s="4089"/>
      <c r="BB112" s="4089"/>
      <c r="BC112" s="4089"/>
      <c r="BD112" s="4089"/>
      <c r="BE112" s="4089"/>
      <c r="BF112" s="4089" t="s">
        <v>89</v>
      </c>
      <c r="BG112" s="4089"/>
      <c r="BH112" s="4089">
        <v>1</v>
      </c>
      <c r="BI112" s="4089">
        <v>1</v>
      </c>
      <c r="BJ112" s="4089">
        <v>1</v>
      </c>
      <c r="BK112" s="4089">
        <v>1</v>
      </c>
      <c r="BL112" s="4089">
        <v>1</v>
      </c>
      <c r="BM112" s="4089">
        <v>1</v>
      </c>
      <c r="BN112" s="4089">
        <v>1</v>
      </c>
      <c r="BO112" s="4403"/>
      <c r="BP112" s="4385"/>
      <c r="BQ112" s="4385"/>
      <c r="BR112" s="4089"/>
      <c r="BS112" s="4089"/>
      <c r="BT112" s="4404"/>
      <c r="BU112" s="4403"/>
      <c r="BV112" s="4385">
        <f t="shared" si="39"/>
        <v>7</v>
      </c>
      <c r="BW112" s="4386">
        <f t="shared" si="40"/>
        <v>1</v>
      </c>
      <c r="BX112" s="4387"/>
      <c r="BY112" s="4387"/>
      <c r="BZ112" s="4387"/>
      <c r="CA112" s="4391"/>
      <c r="CC112" s="4392"/>
      <c r="CD112" s="4391"/>
    </row>
    <row r="113" s="4025" customFormat="1" ht="50" customHeight="1" spans="1:82">
      <c r="A113" s="3688">
        <v>45643</v>
      </c>
      <c r="B113" s="3689" t="s">
        <v>523</v>
      </c>
      <c r="C113" s="3664" t="s">
        <v>524</v>
      </c>
      <c r="D113" s="3690">
        <v>4500153776</v>
      </c>
      <c r="E113" s="3664"/>
      <c r="F113" s="3690" t="s">
        <v>3055</v>
      </c>
      <c r="G113" s="3664" t="s">
        <v>2577</v>
      </c>
      <c r="H113" s="3664" t="s">
        <v>2591</v>
      </c>
      <c r="I113" s="3691">
        <v>600</v>
      </c>
      <c r="J113" s="3691">
        <v>0</v>
      </c>
      <c r="K113" s="3691">
        <v>12</v>
      </c>
      <c r="L113" s="3691">
        <f t="shared" si="31"/>
        <v>50</v>
      </c>
      <c r="M113" s="3659">
        <v>45715</v>
      </c>
      <c r="N113" s="3659">
        <v>45712</v>
      </c>
      <c r="O113" s="4085"/>
      <c r="P113" s="3682" t="s">
        <v>82</v>
      </c>
      <c r="Q113" s="3682"/>
      <c r="R113" s="4083"/>
      <c r="S113" s="4083"/>
      <c r="T113" s="4083"/>
      <c r="U113" s="3645" t="s">
        <v>401</v>
      </c>
      <c r="V113" s="3657" t="s">
        <v>526</v>
      </c>
      <c r="W113" s="3657"/>
      <c r="X113" s="3657" t="s">
        <v>747</v>
      </c>
      <c r="Y113" s="3657"/>
      <c r="Z113" s="3661"/>
      <c r="AA113" s="3620" t="s">
        <v>3056</v>
      </c>
      <c r="AB113" s="3691" t="s">
        <v>459</v>
      </c>
      <c r="AC113" s="4087">
        <v>2.1891</v>
      </c>
      <c r="AD113" s="3691">
        <f>AC113*I113</f>
        <v>1313.46</v>
      </c>
      <c r="AE113" s="3645" t="s">
        <v>749</v>
      </c>
      <c r="AF113" s="3664" t="s">
        <v>2604</v>
      </c>
      <c r="AG113" s="3645" t="s">
        <v>416</v>
      </c>
      <c r="AH113" s="875"/>
      <c r="AI113" s="3664"/>
      <c r="AJ113" s="3664"/>
      <c r="AK113" s="875"/>
      <c r="AL113" s="3664">
        <f>I113</f>
        <v>600</v>
      </c>
      <c r="AM113" s="3664"/>
      <c r="AN113" s="3691"/>
      <c r="AO113" s="3691">
        <f t="shared" si="51"/>
        <v>600</v>
      </c>
      <c r="AP113" s="3691"/>
      <c r="AQ113" s="4089"/>
      <c r="AR113" s="4397"/>
      <c r="AS113" s="4089">
        <f t="shared" si="50"/>
        <v>600</v>
      </c>
      <c r="AT113" s="4397"/>
      <c r="AU113" s="4089"/>
      <c r="AV113" s="4089">
        <f>I113/6</f>
        <v>100</v>
      </c>
      <c r="AW113" s="4089"/>
      <c r="AX113" s="4089"/>
      <c r="AY113" s="4089"/>
      <c r="AZ113" s="4089"/>
      <c r="BA113" s="4089"/>
      <c r="BB113" s="4089"/>
      <c r="BC113" s="4089"/>
      <c r="BD113" s="4089"/>
      <c r="BE113" s="4089"/>
      <c r="BF113" s="4089" t="s">
        <v>89</v>
      </c>
      <c r="BG113" s="4089"/>
      <c r="BH113" s="4089">
        <f t="shared" ref="BH113:BH138" si="52">I113/60*10</f>
        <v>100</v>
      </c>
      <c r="BI113" s="4089">
        <f t="shared" ref="BI113:BI138" si="53">I113/60*10</f>
        <v>100</v>
      </c>
      <c r="BJ113" s="4089">
        <f t="shared" ref="BJ113:BJ138" si="54">I113/60*10</f>
        <v>100</v>
      </c>
      <c r="BK113" s="4089">
        <f t="shared" ref="BK113:BK138" si="55">I113/60*10</f>
        <v>100</v>
      </c>
      <c r="BL113" s="4089">
        <f t="shared" ref="BL113:BL138" si="56">I113/60*10</f>
        <v>100</v>
      </c>
      <c r="BM113" s="4089">
        <f t="shared" ref="BM113:BM138" si="57">I113/60*8</f>
        <v>80</v>
      </c>
      <c r="BN113" s="4089">
        <f t="shared" ref="BN113:BN138" si="58">I113/60*2</f>
        <v>20</v>
      </c>
      <c r="BO113" s="878"/>
      <c r="BP113" s="878"/>
      <c r="BQ113" s="878"/>
      <c r="BR113" s="878"/>
      <c r="BS113" s="878"/>
      <c r="BT113" s="879"/>
      <c r="BU113" s="4384"/>
      <c r="BV113" s="4385">
        <f t="shared" si="39"/>
        <v>600</v>
      </c>
      <c r="BW113" s="4386">
        <f t="shared" si="40"/>
        <v>0</v>
      </c>
      <c r="BX113" s="4387"/>
      <c r="BY113" s="4387"/>
      <c r="BZ113" s="4387"/>
      <c r="CA113" s="4391"/>
      <c r="CC113" s="4392"/>
      <c r="CD113" s="4391"/>
    </row>
    <row r="114" s="4025" customFormat="1" ht="50" customHeight="1" spans="1:82">
      <c r="A114" s="3688">
        <v>45664</v>
      </c>
      <c r="B114" s="3689" t="s">
        <v>3057</v>
      </c>
      <c r="C114" s="3664" t="s">
        <v>91</v>
      </c>
      <c r="D114" s="3690">
        <v>4500155435</v>
      </c>
      <c r="E114" s="3664" t="s">
        <v>3058</v>
      </c>
      <c r="F114" s="3690" t="s">
        <v>3059</v>
      </c>
      <c r="G114" s="3664" t="s">
        <v>2684</v>
      </c>
      <c r="H114" s="3664" t="s">
        <v>2591</v>
      </c>
      <c r="I114" s="3691">
        <v>1350</v>
      </c>
      <c r="J114" s="3691">
        <v>0</v>
      </c>
      <c r="K114" s="3691">
        <v>6</v>
      </c>
      <c r="L114" s="3691">
        <f t="shared" si="31"/>
        <v>225</v>
      </c>
      <c r="M114" s="3659">
        <v>45717</v>
      </c>
      <c r="N114" s="3659">
        <v>45713</v>
      </c>
      <c r="O114" s="4085"/>
      <c r="P114" s="3682" t="s">
        <v>82</v>
      </c>
      <c r="Q114" s="3682"/>
      <c r="R114" s="4083"/>
      <c r="S114" s="4083"/>
      <c r="T114" s="4083"/>
      <c r="U114" s="3645" t="s">
        <v>778</v>
      </c>
      <c r="V114" s="3657" t="s">
        <v>2959</v>
      </c>
      <c r="W114" s="3657"/>
      <c r="X114" s="3657" t="s">
        <v>98</v>
      </c>
      <c r="Y114" s="3657"/>
      <c r="Z114" s="3661"/>
      <c r="AA114" s="3620" t="s">
        <v>3060</v>
      </c>
      <c r="AB114" s="3691" t="s">
        <v>3061</v>
      </c>
      <c r="AC114" s="4087">
        <v>2.2012</v>
      </c>
      <c r="AD114" s="3691">
        <f>AC114*I114</f>
        <v>2971.62</v>
      </c>
      <c r="AE114" s="3645" t="s">
        <v>3062</v>
      </c>
      <c r="AF114" s="3664" t="s">
        <v>2684</v>
      </c>
      <c r="AG114" s="3645" t="s">
        <v>416</v>
      </c>
      <c r="AH114" s="905"/>
      <c r="AI114" s="3691">
        <f>I114</f>
        <v>1350</v>
      </c>
      <c r="AJ114" s="3691"/>
      <c r="AK114" s="4405"/>
      <c r="AL114" s="3664"/>
      <c r="AM114" s="3664"/>
      <c r="AN114" s="3691"/>
      <c r="AO114" s="3691">
        <f t="shared" si="51"/>
        <v>1350</v>
      </c>
      <c r="AP114" s="3691"/>
      <c r="AQ114" s="4089"/>
      <c r="AR114" s="907"/>
      <c r="AS114" s="4089">
        <f t="shared" si="50"/>
        <v>1350</v>
      </c>
      <c r="AT114" s="907"/>
      <c r="AU114" s="4089"/>
      <c r="AV114" s="4089"/>
      <c r="AW114" s="4089"/>
      <c r="AX114" s="4089">
        <f>I114/6</f>
        <v>225</v>
      </c>
      <c r="AY114" s="4089"/>
      <c r="AZ114" s="4089"/>
      <c r="BA114" s="4089"/>
      <c r="BB114" s="4089"/>
      <c r="BC114" s="4089"/>
      <c r="BD114" s="4089"/>
      <c r="BE114" s="4089"/>
      <c r="BF114" s="4089" t="s">
        <v>89</v>
      </c>
      <c r="BG114" s="4089"/>
      <c r="BH114" s="4089">
        <f t="shared" si="52"/>
        <v>225</v>
      </c>
      <c r="BI114" s="4089">
        <f t="shared" si="53"/>
        <v>225</v>
      </c>
      <c r="BJ114" s="4089">
        <f t="shared" si="54"/>
        <v>225</v>
      </c>
      <c r="BK114" s="4089">
        <f t="shared" si="55"/>
        <v>225</v>
      </c>
      <c r="BL114" s="4089">
        <f t="shared" si="56"/>
        <v>225</v>
      </c>
      <c r="BM114" s="4089">
        <f t="shared" si="57"/>
        <v>180</v>
      </c>
      <c r="BN114" s="4089">
        <f t="shared" si="58"/>
        <v>45</v>
      </c>
      <c r="BO114" s="4382"/>
      <c r="BP114" s="4382"/>
      <c r="BQ114" s="4382"/>
      <c r="BR114" s="4382"/>
      <c r="BS114" s="4382"/>
      <c r="BT114" s="4383"/>
      <c r="BU114" s="4384"/>
      <c r="BV114" s="4385">
        <f t="shared" si="39"/>
        <v>1350</v>
      </c>
      <c r="BW114" s="4386">
        <f t="shared" si="40"/>
        <v>0</v>
      </c>
      <c r="BX114" s="4387"/>
      <c r="BY114" s="4387"/>
      <c r="BZ114" s="4387"/>
      <c r="CA114" s="4391"/>
      <c r="CC114" s="4392"/>
      <c r="CD114" s="4391"/>
    </row>
    <row r="115" s="4025" customFormat="1" ht="50" customHeight="1" spans="1:82">
      <c r="A115" s="3688">
        <v>45664</v>
      </c>
      <c r="B115" s="3689" t="s">
        <v>3057</v>
      </c>
      <c r="C115" s="3664" t="s">
        <v>91</v>
      </c>
      <c r="D115" s="3690">
        <v>4500155435</v>
      </c>
      <c r="E115" s="3664" t="s">
        <v>3063</v>
      </c>
      <c r="F115" s="3690" t="s">
        <v>3064</v>
      </c>
      <c r="G115" s="3664" t="s">
        <v>2684</v>
      </c>
      <c r="H115" s="3664" t="s">
        <v>2591</v>
      </c>
      <c r="I115" s="3691">
        <v>840</v>
      </c>
      <c r="J115" s="3691">
        <v>0</v>
      </c>
      <c r="K115" s="3691">
        <v>6</v>
      </c>
      <c r="L115" s="3691">
        <f t="shared" si="31"/>
        <v>140</v>
      </c>
      <c r="M115" s="3659">
        <v>45717</v>
      </c>
      <c r="N115" s="3659">
        <v>45713</v>
      </c>
      <c r="O115" s="4085"/>
      <c r="P115" s="3682" t="s">
        <v>82</v>
      </c>
      <c r="Q115" s="4406"/>
      <c r="R115" s="4407"/>
      <c r="S115" s="4407"/>
      <c r="T115" s="4407"/>
      <c r="U115" s="4221" t="s">
        <v>2931</v>
      </c>
      <c r="V115" s="3657" t="s">
        <v>2959</v>
      </c>
      <c r="W115" s="3657"/>
      <c r="X115" s="3657" t="s">
        <v>98</v>
      </c>
      <c r="Y115" s="3657"/>
      <c r="Z115" s="3661"/>
      <c r="AA115" s="3620" t="s">
        <v>3060</v>
      </c>
      <c r="AB115" s="3691" t="s">
        <v>3061</v>
      </c>
      <c r="AC115" s="4087">
        <v>2.2059</v>
      </c>
      <c r="AD115" s="3691">
        <f>AC115*I115</f>
        <v>1852.956</v>
      </c>
      <c r="AE115" s="3645" t="s">
        <v>3062</v>
      </c>
      <c r="AF115" s="3664" t="s">
        <v>2684</v>
      </c>
      <c r="AG115" s="3645" t="s">
        <v>416</v>
      </c>
      <c r="AH115" s="905"/>
      <c r="AI115" s="3691">
        <f>I115</f>
        <v>840</v>
      </c>
      <c r="AJ115" s="3691"/>
      <c r="AK115" s="4405"/>
      <c r="AL115" s="3664"/>
      <c r="AM115" s="3664"/>
      <c r="AN115" s="3691"/>
      <c r="AO115" s="3691">
        <f t="shared" si="51"/>
        <v>840</v>
      </c>
      <c r="AP115" s="3691"/>
      <c r="AQ115" s="4089"/>
      <c r="AR115" s="907"/>
      <c r="AS115" s="4089">
        <f t="shared" si="50"/>
        <v>840</v>
      </c>
      <c r="AT115" s="907"/>
      <c r="AU115" s="4089"/>
      <c r="AV115" s="4089"/>
      <c r="AW115" s="4089"/>
      <c r="AX115" s="4089">
        <f>I115/6</f>
        <v>140</v>
      </c>
      <c r="AY115" s="4089"/>
      <c r="AZ115" s="4089"/>
      <c r="BA115" s="4089"/>
      <c r="BB115" s="4089"/>
      <c r="BC115" s="4089"/>
      <c r="BD115" s="4089"/>
      <c r="BE115" s="4089"/>
      <c r="BF115" s="4089" t="s">
        <v>89</v>
      </c>
      <c r="BG115" s="4089"/>
      <c r="BH115" s="4089">
        <f t="shared" si="52"/>
        <v>140</v>
      </c>
      <c r="BI115" s="4089">
        <f t="shared" si="53"/>
        <v>140</v>
      </c>
      <c r="BJ115" s="4089">
        <f t="shared" si="54"/>
        <v>140</v>
      </c>
      <c r="BK115" s="4089">
        <f t="shared" si="55"/>
        <v>140</v>
      </c>
      <c r="BL115" s="4089">
        <f t="shared" si="56"/>
        <v>140</v>
      </c>
      <c r="BM115" s="4089">
        <f t="shared" si="57"/>
        <v>112</v>
      </c>
      <c r="BN115" s="4089">
        <f t="shared" si="58"/>
        <v>28</v>
      </c>
      <c r="BO115" s="4382"/>
      <c r="BP115" s="4382"/>
      <c r="BQ115" s="4382"/>
      <c r="BR115" s="4382"/>
      <c r="BS115" s="4382"/>
      <c r="BT115" s="4383"/>
      <c r="BU115" s="4384"/>
      <c r="BV115" s="4385">
        <f t="shared" si="39"/>
        <v>840</v>
      </c>
      <c r="BW115" s="4386">
        <f t="shared" si="40"/>
        <v>0</v>
      </c>
      <c r="BX115" s="4387"/>
      <c r="BY115" s="4387"/>
      <c r="BZ115" s="4387"/>
      <c r="CA115" s="4391"/>
      <c r="CC115" s="4392"/>
      <c r="CD115" s="4391"/>
    </row>
    <row r="116" s="4025" customFormat="1" ht="50" customHeight="1" spans="1:82">
      <c r="A116" s="3688">
        <v>45681</v>
      </c>
      <c r="B116" s="3689" t="s">
        <v>3065</v>
      </c>
      <c r="C116" s="3664" t="s">
        <v>91</v>
      </c>
      <c r="D116" s="3690">
        <v>4500156556</v>
      </c>
      <c r="E116" s="5456" t="s">
        <v>3066</v>
      </c>
      <c r="F116" s="3690" t="s">
        <v>3067</v>
      </c>
      <c r="G116" s="3664" t="s">
        <v>3068</v>
      </c>
      <c r="H116" s="3664" t="s">
        <v>3069</v>
      </c>
      <c r="I116" s="3691">
        <v>768</v>
      </c>
      <c r="J116" s="3691">
        <v>2</v>
      </c>
      <c r="K116" s="3691">
        <v>384</v>
      </c>
      <c r="L116" s="3691">
        <f t="shared" si="31"/>
        <v>2</v>
      </c>
      <c r="M116" s="3659">
        <v>45717</v>
      </c>
      <c r="N116" s="3659">
        <v>45713</v>
      </c>
      <c r="O116" s="3664" t="s">
        <v>3070</v>
      </c>
      <c r="P116" s="3682" t="s">
        <v>82</v>
      </c>
      <c r="Q116" s="4406"/>
      <c r="R116" s="4407"/>
      <c r="S116" s="4407"/>
      <c r="T116" s="4407"/>
      <c r="U116" s="4221" t="s">
        <v>3071</v>
      </c>
      <c r="V116" s="3657" t="s">
        <v>3072</v>
      </c>
      <c r="W116" s="3657"/>
      <c r="X116" s="3657" t="s">
        <v>3073</v>
      </c>
      <c r="Y116" s="3657" t="s">
        <v>3074</v>
      </c>
      <c r="Z116" s="3661"/>
      <c r="AA116" s="3620" t="s">
        <v>3075</v>
      </c>
      <c r="AB116" s="3691" t="s">
        <v>3076</v>
      </c>
      <c r="AC116" s="4087">
        <v>906.8553</v>
      </c>
      <c r="AD116" s="3691">
        <f>AC116*L116</f>
        <v>1813.7106</v>
      </c>
      <c r="AE116" s="3645" t="s">
        <v>3077</v>
      </c>
      <c r="AF116" s="959" t="s">
        <v>3078</v>
      </c>
      <c r="AG116" s="3645" t="s">
        <v>416</v>
      </c>
      <c r="AH116" s="875"/>
      <c r="AI116" s="3691">
        <f>I116</f>
        <v>768</v>
      </c>
      <c r="AJ116" s="3691"/>
      <c r="AK116" s="875"/>
      <c r="AL116" s="3664"/>
      <c r="AM116" s="3664"/>
      <c r="AN116" s="3691"/>
      <c r="AO116" s="3691">
        <f t="shared" si="51"/>
        <v>768</v>
      </c>
      <c r="AP116" s="3691"/>
      <c r="AQ116" s="4089"/>
      <c r="AR116" s="877"/>
      <c r="AS116" s="4089">
        <f t="shared" si="50"/>
        <v>768</v>
      </c>
      <c r="AT116" s="877"/>
      <c r="AU116" s="4089"/>
      <c r="AV116" s="4089"/>
      <c r="AW116" s="4089"/>
      <c r="AX116" s="4089"/>
      <c r="AY116" s="4089"/>
      <c r="AZ116" s="4089"/>
      <c r="BA116" s="4089"/>
      <c r="BB116" s="4089">
        <f>I116/2</f>
        <v>384</v>
      </c>
      <c r="BC116" s="4089"/>
      <c r="BD116" s="4089"/>
      <c r="BE116" s="4089"/>
      <c r="BF116" s="4089" t="s">
        <v>89</v>
      </c>
      <c r="BG116" s="4089"/>
      <c r="BH116" s="4089">
        <f t="shared" si="52"/>
        <v>128</v>
      </c>
      <c r="BI116" s="4089">
        <f t="shared" si="53"/>
        <v>128</v>
      </c>
      <c r="BJ116" s="4089">
        <f t="shared" si="54"/>
        <v>128</v>
      </c>
      <c r="BK116" s="4089">
        <f t="shared" si="55"/>
        <v>128</v>
      </c>
      <c r="BL116" s="4089">
        <f t="shared" si="56"/>
        <v>128</v>
      </c>
      <c r="BM116" s="4089">
        <f t="shared" si="57"/>
        <v>102.4</v>
      </c>
      <c r="BN116" s="4089">
        <f t="shared" si="58"/>
        <v>25.6</v>
      </c>
      <c r="BO116" s="880"/>
      <c r="BP116" s="4408"/>
      <c r="BQ116" s="4408">
        <v>0</v>
      </c>
      <c r="BR116" s="878"/>
      <c r="BS116" s="878"/>
      <c r="BT116" s="879"/>
      <c r="BU116" s="880"/>
      <c r="BV116" s="4385">
        <f t="shared" si="39"/>
        <v>768</v>
      </c>
      <c r="BW116" s="4386">
        <f t="shared" si="40"/>
        <v>0</v>
      </c>
      <c r="BX116" s="4387"/>
      <c r="BY116" s="4387"/>
      <c r="BZ116" s="4387"/>
      <c r="CA116" s="4391"/>
      <c r="CC116" s="4392"/>
      <c r="CD116" s="4391"/>
    </row>
    <row r="117" s="4025" customFormat="1" ht="50" customHeight="1" spans="1:82">
      <c r="A117" s="3688">
        <v>45665</v>
      </c>
      <c r="B117" s="3689" t="s">
        <v>470</v>
      </c>
      <c r="C117" s="3664" t="s">
        <v>471</v>
      </c>
      <c r="D117" s="3690">
        <v>4500155456</v>
      </c>
      <c r="E117" s="3664" t="s">
        <v>3079</v>
      </c>
      <c r="F117" s="3690" t="s">
        <v>3080</v>
      </c>
      <c r="G117" s="3664" t="s">
        <v>2719</v>
      </c>
      <c r="H117" s="3664" t="s">
        <v>2591</v>
      </c>
      <c r="I117" s="3691">
        <v>1002</v>
      </c>
      <c r="J117" s="3691">
        <v>0</v>
      </c>
      <c r="K117" s="3691">
        <v>6</v>
      </c>
      <c r="L117" s="3691">
        <f t="shared" si="31"/>
        <v>167</v>
      </c>
      <c r="M117" s="3659">
        <v>45719</v>
      </c>
      <c r="N117" s="3659">
        <v>45715</v>
      </c>
      <c r="O117" s="4085"/>
      <c r="P117" s="3682" t="s">
        <v>82</v>
      </c>
      <c r="Q117" s="3682"/>
      <c r="R117" s="4083"/>
      <c r="S117" s="4083"/>
      <c r="T117" s="4083"/>
      <c r="U117" s="3645" t="s">
        <v>778</v>
      </c>
      <c r="V117" s="3657" t="s">
        <v>770</v>
      </c>
      <c r="W117" s="3657"/>
      <c r="X117" s="3657" t="s">
        <v>98</v>
      </c>
      <c r="Y117" s="3657" t="s">
        <v>651</v>
      </c>
      <c r="Z117" s="3661"/>
      <c r="AA117" s="3620" t="s">
        <v>3081</v>
      </c>
      <c r="AB117" s="3691" t="s">
        <v>87</v>
      </c>
      <c r="AC117" s="3691">
        <v>2.1437</v>
      </c>
      <c r="AD117" s="3691">
        <f t="shared" ref="AD117:AD124" si="59">AC117*I117</f>
        <v>2147.9874</v>
      </c>
      <c r="AE117" s="3645" t="s">
        <v>3082</v>
      </c>
      <c r="AF117" s="3691" t="s">
        <v>2744</v>
      </c>
      <c r="AG117" s="3645" t="s">
        <v>416</v>
      </c>
      <c r="AH117" s="905"/>
      <c r="AI117" s="3664"/>
      <c r="AJ117" s="3664"/>
      <c r="AK117" s="4405"/>
      <c r="AL117" s="3664">
        <f>I117</f>
        <v>1002</v>
      </c>
      <c r="AM117" s="3664"/>
      <c r="AN117" s="3691"/>
      <c r="AO117" s="3691">
        <f t="shared" si="51"/>
        <v>1002</v>
      </c>
      <c r="AP117" s="3691"/>
      <c r="AQ117" s="4089"/>
      <c r="AR117" s="907"/>
      <c r="AS117" s="4089">
        <f t="shared" si="50"/>
        <v>1002</v>
      </c>
      <c r="AT117" s="907"/>
      <c r="AU117" s="4089"/>
      <c r="AV117" s="4089"/>
      <c r="AW117" s="4089"/>
      <c r="AX117" s="4089"/>
      <c r="AY117" s="4089"/>
      <c r="AZ117" s="4089"/>
      <c r="BA117" s="4089"/>
      <c r="BB117" s="4089"/>
      <c r="BC117" s="4089"/>
      <c r="BD117" s="4089"/>
      <c r="BE117" s="4089"/>
      <c r="BF117" s="4089" t="s">
        <v>89</v>
      </c>
      <c r="BG117" s="4089"/>
      <c r="BH117" s="4089">
        <f t="shared" si="52"/>
        <v>167</v>
      </c>
      <c r="BI117" s="4089">
        <f t="shared" si="53"/>
        <v>167</v>
      </c>
      <c r="BJ117" s="4089">
        <f t="shared" si="54"/>
        <v>167</v>
      </c>
      <c r="BK117" s="4089">
        <f t="shared" si="55"/>
        <v>167</v>
      </c>
      <c r="BL117" s="4089">
        <f t="shared" si="56"/>
        <v>167</v>
      </c>
      <c r="BM117" s="4089">
        <f t="shared" si="57"/>
        <v>133.6</v>
      </c>
      <c r="BN117" s="4089">
        <f t="shared" si="58"/>
        <v>33.4</v>
      </c>
      <c r="BO117" s="4382"/>
      <c r="BP117" s="4382"/>
      <c r="BQ117" s="4382"/>
      <c r="BR117" s="4382"/>
      <c r="BS117" s="4382"/>
      <c r="BT117" s="4383"/>
      <c r="BU117" s="4384"/>
      <c r="BV117" s="4385">
        <f t="shared" si="39"/>
        <v>1002</v>
      </c>
      <c r="BW117" s="4386">
        <f t="shared" si="40"/>
        <v>0</v>
      </c>
      <c r="BX117" s="4387"/>
      <c r="BY117" s="4387"/>
      <c r="BZ117" s="4387"/>
      <c r="CA117" s="4391"/>
      <c r="CC117" s="4392"/>
      <c r="CD117" s="4391"/>
    </row>
    <row r="118" s="4025" customFormat="1" ht="50" customHeight="1" spans="1:82">
      <c r="A118" s="3688">
        <v>45665</v>
      </c>
      <c r="B118" s="3689" t="s">
        <v>470</v>
      </c>
      <c r="C118" s="3664" t="s">
        <v>471</v>
      </c>
      <c r="D118" s="3690">
        <v>4500155456</v>
      </c>
      <c r="E118" s="3664" t="s">
        <v>3083</v>
      </c>
      <c r="F118" s="3690" t="s">
        <v>3084</v>
      </c>
      <c r="G118" s="3664" t="s">
        <v>2719</v>
      </c>
      <c r="H118" s="3664" t="s">
        <v>2591</v>
      </c>
      <c r="I118" s="3691">
        <v>1002</v>
      </c>
      <c r="J118" s="3691">
        <v>0</v>
      </c>
      <c r="K118" s="3691">
        <v>6</v>
      </c>
      <c r="L118" s="3691">
        <f t="shared" si="31"/>
        <v>167</v>
      </c>
      <c r="M118" s="3659">
        <v>45719</v>
      </c>
      <c r="N118" s="3659">
        <v>45715</v>
      </c>
      <c r="O118" s="4085"/>
      <c r="P118" s="3682" t="s">
        <v>82</v>
      </c>
      <c r="Q118" s="3682"/>
      <c r="R118" s="4083"/>
      <c r="S118" s="4083"/>
      <c r="T118" s="4083"/>
      <c r="U118" s="3645" t="s">
        <v>778</v>
      </c>
      <c r="V118" s="3657" t="s">
        <v>770</v>
      </c>
      <c r="W118" s="3657"/>
      <c r="X118" s="3657" t="s">
        <v>98</v>
      </c>
      <c r="Y118" s="3657" t="s">
        <v>651</v>
      </c>
      <c r="Z118" s="3661"/>
      <c r="AA118" s="3620" t="s">
        <v>3085</v>
      </c>
      <c r="AB118" s="3691" t="s">
        <v>87</v>
      </c>
      <c r="AC118" s="3691">
        <v>2.1437</v>
      </c>
      <c r="AD118" s="3691">
        <f t="shared" si="59"/>
        <v>2147.9874</v>
      </c>
      <c r="AE118" s="3645" t="s">
        <v>3082</v>
      </c>
      <c r="AF118" s="3691" t="s">
        <v>2744</v>
      </c>
      <c r="AG118" s="3645" t="s">
        <v>416</v>
      </c>
      <c r="AH118" s="905"/>
      <c r="AI118" s="3664"/>
      <c r="AJ118" s="3664"/>
      <c r="AK118" s="4405"/>
      <c r="AL118" s="3664">
        <f>I118</f>
        <v>1002</v>
      </c>
      <c r="AM118" s="3664"/>
      <c r="AN118" s="3691"/>
      <c r="AO118" s="3691">
        <f t="shared" si="51"/>
        <v>1002</v>
      </c>
      <c r="AP118" s="3691"/>
      <c r="AQ118" s="4089"/>
      <c r="AR118" s="907"/>
      <c r="AS118" s="4089">
        <f t="shared" si="50"/>
        <v>1002</v>
      </c>
      <c r="AT118" s="907"/>
      <c r="AU118" s="4089"/>
      <c r="AV118" s="4089"/>
      <c r="AW118" s="4089"/>
      <c r="AX118" s="4089"/>
      <c r="AY118" s="4089"/>
      <c r="AZ118" s="4089"/>
      <c r="BA118" s="4089"/>
      <c r="BB118" s="4089"/>
      <c r="BC118" s="4089"/>
      <c r="BD118" s="4089"/>
      <c r="BE118" s="4089"/>
      <c r="BF118" s="4089" t="s">
        <v>89</v>
      </c>
      <c r="BG118" s="4089"/>
      <c r="BH118" s="4089">
        <f t="shared" si="52"/>
        <v>167</v>
      </c>
      <c r="BI118" s="4089">
        <f t="shared" si="53"/>
        <v>167</v>
      </c>
      <c r="BJ118" s="4089">
        <f t="shared" si="54"/>
        <v>167</v>
      </c>
      <c r="BK118" s="4089">
        <f t="shared" si="55"/>
        <v>167</v>
      </c>
      <c r="BL118" s="4089">
        <f t="shared" si="56"/>
        <v>167</v>
      </c>
      <c r="BM118" s="4089">
        <f t="shared" si="57"/>
        <v>133.6</v>
      </c>
      <c r="BN118" s="4089">
        <f t="shared" si="58"/>
        <v>33.4</v>
      </c>
      <c r="BO118" s="4382"/>
      <c r="BP118" s="4382"/>
      <c r="BQ118" s="4382"/>
      <c r="BR118" s="4382"/>
      <c r="BS118" s="4382"/>
      <c r="BT118" s="4383"/>
      <c r="BU118" s="4384"/>
      <c r="BV118" s="4385">
        <f t="shared" si="39"/>
        <v>1002</v>
      </c>
      <c r="BW118" s="4386">
        <f t="shared" si="40"/>
        <v>0</v>
      </c>
      <c r="BX118" s="4387"/>
      <c r="BY118" s="4387"/>
      <c r="BZ118" s="4387"/>
      <c r="CA118" s="4391"/>
      <c r="CC118" s="4392"/>
      <c r="CD118" s="4391"/>
    </row>
    <row r="119" s="4025" customFormat="1" ht="50" customHeight="1" spans="1:82">
      <c r="A119" s="3688">
        <v>45665</v>
      </c>
      <c r="B119" s="3689" t="s">
        <v>461</v>
      </c>
      <c r="C119" s="3664" t="s">
        <v>341</v>
      </c>
      <c r="D119" s="3690">
        <v>4500155467</v>
      </c>
      <c r="E119" s="3664" t="s">
        <v>3086</v>
      </c>
      <c r="F119" s="3690" t="s">
        <v>3087</v>
      </c>
      <c r="G119" s="3664" t="s">
        <v>2719</v>
      </c>
      <c r="H119" s="3664" t="s">
        <v>2591</v>
      </c>
      <c r="I119" s="3691">
        <v>1500</v>
      </c>
      <c r="J119" s="3691">
        <v>0</v>
      </c>
      <c r="K119" s="3691">
        <v>6</v>
      </c>
      <c r="L119" s="3691">
        <f t="shared" si="31"/>
        <v>250</v>
      </c>
      <c r="M119" s="3659">
        <v>45719</v>
      </c>
      <c r="N119" s="3659">
        <v>45715</v>
      </c>
      <c r="O119" s="4085"/>
      <c r="P119" s="3682" t="s">
        <v>82</v>
      </c>
      <c r="Q119" s="3682"/>
      <c r="R119" s="4083"/>
      <c r="S119" s="4083"/>
      <c r="T119" s="4083"/>
      <c r="U119" s="3657" t="s">
        <v>769</v>
      </c>
      <c r="V119" s="3657" t="s">
        <v>770</v>
      </c>
      <c r="W119" s="3657"/>
      <c r="X119" s="3657" t="s">
        <v>98</v>
      </c>
      <c r="Y119" s="3657" t="s">
        <v>651</v>
      </c>
      <c r="Z119" s="3661"/>
      <c r="AA119" s="3620" t="s">
        <v>3088</v>
      </c>
      <c r="AB119" s="3691" t="s">
        <v>87</v>
      </c>
      <c r="AC119" s="3691">
        <v>2.1403</v>
      </c>
      <c r="AD119" s="3691">
        <f t="shared" si="59"/>
        <v>3210.45</v>
      </c>
      <c r="AE119" s="3645" t="s">
        <v>772</v>
      </c>
      <c r="AF119" s="3691" t="s">
        <v>2744</v>
      </c>
      <c r="AG119" s="3645" t="s">
        <v>416</v>
      </c>
      <c r="AH119" s="905"/>
      <c r="AI119" s="3664"/>
      <c r="AJ119" s="3664"/>
      <c r="AK119" s="4405"/>
      <c r="AL119" s="3664">
        <f>I119</f>
        <v>1500</v>
      </c>
      <c r="AM119" s="3664"/>
      <c r="AN119" s="3691"/>
      <c r="AO119" s="3691">
        <f t="shared" si="51"/>
        <v>1500</v>
      </c>
      <c r="AP119" s="3691"/>
      <c r="AQ119" s="4089"/>
      <c r="AR119" s="907"/>
      <c r="AS119" s="4089">
        <f t="shared" si="50"/>
        <v>1500</v>
      </c>
      <c r="AT119" s="907"/>
      <c r="AU119" s="4089"/>
      <c r="AV119" s="4089"/>
      <c r="AW119" s="4089"/>
      <c r="AX119" s="4089"/>
      <c r="AY119" s="4089"/>
      <c r="AZ119" s="4089"/>
      <c r="BA119" s="4089"/>
      <c r="BB119" s="4089"/>
      <c r="BC119" s="4089"/>
      <c r="BD119" s="4089"/>
      <c r="BE119" s="4089"/>
      <c r="BF119" s="4089" t="s">
        <v>89</v>
      </c>
      <c r="BG119" s="4089"/>
      <c r="BH119" s="4089">
        <f t="shared" si="52"/>
        <v>250</v>
      </c>
      <c r="BI119" s="4089">
        <f t="shared" si="53"/>
        <v>250</v>
      </c>
      <c r="BJ119" s="4089">
        <f t="shared" si="54"/>
        <v>250</v>
      </c>
      <c r="BK119" s="4089">
        <f t="shared" si="55"/>
        <v>250</v>
      </c>
      <c r="BL119" s="4089">
        <f t="shared" si="56"/>
        <v>250</v>
      </c>
      <c r="BM119" s="4089">
        <f t="shared" si="57"/>
        <v>200</v>
      </c>
      <c r="BN119" s="4089">
        <f t="shared" si="58"/>
        <v>50</v>
      </c>
      <c r="BO119" s="4382"/>
      <c r="BP119" s="4382"/>
      <c r="BQ119" s="4382"/>
      <c r="BR119" s="4382"/>
      <c r="BS119" s="4382"/>
      <c r="BT119" s="4383"/>
      <c r="BU119" s="4384"/>
      <c r="BV119" s="4385">
        <f t="shared" si="39"/>
        <v>1500</v>
      </c>
      <c r="BW119" s="4386">
        <f t="shared" si="40"/>
        <v>0</v>
      </c>
      <c r="BX119" s="4387"/>
      <c r="BY119" s="4387"/>
      <c r="BZ119" s="4387"/>
      <c r="CA119" s="4391"/>
      <c r="CC119" s="4392"/>
      <c r="CD119" s="4391"/>
    </row>
    <row r="120" s="4025" customFormat="1" ht="50" customHeight="1" spans="1:82">
      <c r="A120" s="3688">
        <v>45665</v>
      </c>
      <c r="B120" s="3689" t="s">
        <v>461</v>
      </c>
      <c r="C120" s="3664" t="s">
        <v>341</v>
      </c>
      <c r="D120" s="3690">
        <v>4500155467</v>
      </c>
      <c r="E120" s="3664" t="s">
        <v>3089</v>
      </c>
      <c r="F120" s="3690" t="s">
        <v>3090</v>
      </c>
      <c r="G120" s="3664" t="s">
        <v>2719</v>
      </c>
      <c r="H120" s="3664" t="s">
        <v>2591</v>
      </c>
      <c r="I120" s="3691">
        <v>1500</v>
      </c>
      <c r="J120" s="3691">
        <v>0</v>
      </c>
      <c r="K120" s="3691">
        <v>6</v>
      </c>
      <c r="L120" s="3691">
        <f t="shared" si="31"/>
        <v>250</v>
      </c>
      <c r="M120" s="3659">
        <v>45719</v>
      </c>
      <c r="N120" s="3659">
        <v>45715</v>
      </c>
      <c r="O120" s="4085"/>
      <c r="P120" s="3682" t="s">
        <v>82</v>
      </c>
      <c r="Q120" s="3682"/>
      <c r="R120" s="4083"/>
      <c r="S120" s="4083"/>
      <c r="T120" s="4083"/>
      <c r="U120" s="3657" t="s">
        <v>769</v>
      </c>
      <c r="V120" s="3657" t="s">
        <v>770</v>
      </c>
      <c r="W120" s="3657"/>
      <c r="X120" s="3657" t="s">
        <v>98</v>
      </c>
      <c r="Y120" s="3657" t="s">
        <v>651</v>
      </c>
      <c r="Z120" s="3661"/>
      <c r="AA120" s="3620" t="s">
        <v>3091</v>
      </c>
      <c r="AB120" s="3691" t="s">
        <v>87</v>
      </c>
      <c r="AC120" s="3691">
        <v>2.1403</v>
      </c>
      <c r="AD120" s="3691">
        <f t="shared" si="59"/>
        <v>3210.45</v>
      </c>
      <c r="AE120" s="3645" t="s">
        <v>772</v>
      </c>
      <c r="AF120" s="3691" t="s">
        <v>2744</v>
      </c>
      <c r="AG120" s="3645" t="s">
        <v>416</v>
      </c>
      <c r="AH120" s="905"/>
      <c r="AI120" s="3664"/>
      <c r="AJ120" s="3664"/>
      <c r="AK120" s="4405"/>
      <c r="AL120" s="3664">
        <f>I120</f>
        <v>1500</v>
      </c>
      <c r="AM120" s="3664"/>
      <c r="AN120" s="3691"/>
      <c r="AO120" s="3691">
        <f t="shared" si="51"/>
        <v>1500</v>
      </c>
      <c r="AP120" s="3691"/>
      <c r="AQ120" s="4089"/>
      <c r="AR120" s="907"/>
      <c r="AS120" s="4089">
        <f t="shared" si="50"/>
        <v>1500</v>
      </c>
      <c r="AT120" s="907"/>
      <c r="AU120" s="4089"/>
      <c r="AV120" s="4089"/>
      <c r="AW120" s="4089"/>
      <c r="AX120" s="4089"/>
      <c r="AY120" s="4089"/>
      <c r="AZ120" s="4089"/>
      <c r="BA120" s="4089"/>
      <c r="BB120" s="4089"/>
      <c r="BC120" s="4089"/>
      <c r="BD120" s="4089"/>
      <c r="BE120" s="4089"/>
      <c r="BF120" s="4089" t="s">
        <v>89</v>
      </c>
      <c r="BG120" s="4089"/>
      <c r="BH120" s="4089">
        <f t="shared" si="52"/>
        <v>250</v>
      </c>
      <c r="BI120" s="4089">
        <f t="shared" si="53"/>
        <v>250</v>
      </c>
      <c r="BJ120" s="4089">
        <f t="shared" si="54"/>
        <v>250</v>
      </c>
      <c r="BK120" s="4089">
        <f t="shared" si="55"/>
        <v>250</v>
      </c>
      <c r="BL120" s="4089">
        <f t="shared" si="56"/>
        <v>250</v>
      </c>
      <c r="BM120" s="4089">
        <f t="shared" si="57"/>
        <v>200</v>
      </c>
      <c r="BN120" s="4089">
        <f t="shared" si="58"/>
        <v>50</v>
      </c>
      <c r="BO120" s="4382"/>
      <c r="BP120" s="4382"/>
      <c r="BQ120" s="4382"/>
      <c r="BR120" s="4382"/>
      <c r="BS120" s="4382"/>
      <c r="BT120" s="4383"/>
      <c r="BU120" s="4384"/>
      <c r="BV120" s="4385">
        <f t="shared" si="39"/>
        <v>1500</v>
      </c>
      <c r="BW120" s="4386">
        <f t="shared" si="40"/>
        <v>0</v>
      </c>
      <c r="BX120" s="4387"/>
      <c r="BY120" s="4387"/>
      <c r="BZ120" s="4387"/>
      <c r="CA120" s="4391"/>
      <c r="CC120" s="4392"/>
      <c r="CD120" s="4391"/>
    </row>
    <row r="121" s="4025" customFormat="1" ht="50" customHeight="1" spans="1:82">
      <c r="A121" s="3688">
        <v>45666</v>
      </c>
      <c r="B121" s="3664" t="s">
        <v>505</v>
      </c>
      <c r="C121" s="3664" t="s">
        <v>506</v>
      </c>
      <c r="D121" s="3691">
        <v>4500155599</v>
      </c>
      <c r="E121" s="3664">
        <v>20604118</v>
      </c>
      <c r="F121" s="3664" t="s">
        <v>3092</v>
      </c>
      <c r="G121" s="3664" t="s">
        <v>2577</v>
      </c>
      <c r="H121" s="3664" t="s">
        <v>2578</v>
      </c>
      <c r="I121" s="3691">
        <v>3924</v>
      </c>
      <c r="J121" s="3691">
        <v>0</v>
      </c>
      <c r="K121" s="3691">
        <v>12</v>
      </c>
      <c r="L121" s="3691">
        <f t="shared" si="31"/>
        <v>327</v>
      </c>
      <c r="M121" s="3659">
        <v>45719</v>
      </c>
      <c r="N121" s="3659">
        <v>45715</v>
      </c>
      <c r="O121" s="3664"/>
      <c r="P121" s="3664" t="s">
        <v>82</v>
      </c>
      <c r="Q121" s="3664"/>
      <c r="R121" s="4095"/>
      <c r="S121" s="4095"/>
      <c r="T121" s="4095"/>
      <c r="U121" s="3645" t="s">
        <v>3093</v>
      </c>
      <c r="V121" s="3657" t="s">
        <v>3042</v>
      </c>
      <c r="W121" s="3657"/>
      <c r="X121" s="3657" t="s">
        <v>3094</v>
      </c>
      <c r="Y121" s="3657"/>
      <c r="Z121" s="3661"/>
      <c r="AA121" s="3620" t="s">
        <v>3095</v>
      </c>
      <c r="AB121" s="3691" t="s">
        <v>513</v>
      </c>
      <c r="AC121" s="3691">
        <v>2.2903</v>
      </c>
      <c r="AD121" s="3691">
        <f t="shared" si="59"/>
        <v>8987.1372</v>
      </c>
      <c r="AE121" s="3645" t="s">
        <v>3096</v>
      </c>
      <c r="AF121" s="3664" t="s">
        <v>2577</v>
      </c>
      <c r="AG121" s="3645" t="s">
        <v>416</v>
      </c>
      <c r="AH121" s="905"/>
      <c r="AI121" s="3664">
        <f>I121</f>
        <v>3924</v>
      </c>
      <c r="AJ121" s="3664"/>
      <c r="AK121" s="4405"/>
      <c r="AL121" s="3664"/>
      <c r="AM121" s="3664"/>
      <c r="AN121" s="4089"/>
      <c r="AO121" s="3691">
        <f t="shared" si="51"/>
        <v>3924</v>
      </c>
      <c r="AP121" s="3691"/>
      <c r="AQ121" s="4089"/>
      <c r="AR121" s="907"/>
      <c r="AS121" s="4089">
        <f t="shared" si="50"/>
        <v>3924</v>
      </c>
      <c r="AT121" s="907"/>
      <c r="AU121" s="4089"/>
      <c r="AV121" s="4089">
        <f>I121/6</f>
        <v>654</v>
      </c>
      <c r="AW121" s="4089"/>
      <c r="AX121" s="4089"/>
      <c r="AY121" s="4089"/>
      <c r="AZ121" s="4089"/>
      <c r="BA121" s="4089"/>
      <c r="BB121" s="4089"/>
      <c r="BC121" s="4089"/>
      <c r="BD121" s="4089"/>
      <c r="BE121" s="4089"/>
      <c r="BF121" s="4089" t="s">
        <v>89</v>
      </c>
      <c r="BG121" s="4089"/>
      <c r="BH121" s="4089">
        <f t="shared" si="52"/>
        <v>654</v>
      </c>
      <c r="BI121" s="4089">
        <f t="shared" si="53"/>
        <v>654</v>
      </c>
      <c r="BJ121" s="4089">
        <f t="shared" si="54"/>
        <v>654</v>
      </c>
      <c r="BK121" s="4089">
        <f t="shared" si="55"/>
        <v>654</v>
      </c>
      <c r="BL121" s="4089">
        <f t="shared" si="56"/>
        <v>654</v>
      </c>
      <c r="BM121" s="4089">
        <f t="shared" si="57"/>
        <v>523.2</v>
      </c>
      <c r="BN121" s="4089">
        <f t="shared" si="58"/>
        <v>130.8</v>
      </c>
      <c r="BO121" s="4409"/>
      <c r="BP121" s="4409"/>
      <c r="BQ121" s="4409"/>
      <c r="BR121" s="4409"/>
      <c r="BS121" s="4409"/>
      <c r="BT121" s="4409"/>
      <c r="BU121" s="4384"/>
      <c r="BV121" s="4385">
        <f t="shared" si="39"/>
        <v>3924</v>
      </c>
      <c r="BW121" s="4386">
        <f t="shared" si="40"/>
        <v>0</v>
      </c>
      <c r="BX121" s="4387"/>
      <c r="BY121" s="4387"/>
      <c r="BZ121" s="4387"/>
      <c r="CA121" s="4391"/>
      <c r="CC121" s="4392"/>
      <c r="CD121" s="4391"/>
    </row>
    <row r="122" s="4025" customFormat="1" ht="50" customHeight="1" spans="1:82">
      <c r="A122" s="3688">
        <v>45666</v>
      </c>
      <c r="B122" s="3664" t="s">
        <v>839</v>
      </c>
      <c r="C122" s="3664" t="s">
        <v>840</v>
      </c>
      <c r="D122" s="3691">
        <v>4500155600</v>
      </c>
      <c r="E122" s="3664">
        <v>20604119</v>
      </c>
      <c r="F122" s="3664" t="s">
        <v>3097</v>
      </c>
      <c r="G122" s="3664" t="s">
        <v>2577</v>
      </c>
      <c r="H122" s="3664" t="s">
        <v>2578</v>
      </c>
      <c r="I122" s="3691">
        <v>108</v>
      </c>
      <c r="J122" s="3691">
        <v>0</v>
      </c>
      <c r="K122" s="3691">
        <v>12</v>
      </c>
      <c r="L122" s="3691">
        <f t="shared" si="31"/>
        <v>9</v>
      </c>
      <c r="M122" s="3659">
        <v>45719</v>
      </c>
      <c r="N122" s="3659">
        <v>45715</v>
      </c>
      <c r="O122" s="3664"/>
      <c r="P122" s="3664" t="s">
        <v>82</v>
      </c>
      <c r="Q122" s="3664"/>
      <c r="R122" s="4095"/>
      <c r="S122" s="4095"/>
      <c r="T122" s="4095"/>
      <c r="U122" s="3645"/>
      <c r="V122" s="3657" t="s">
        <v>3042</v>
      </c>
      <c r="W122" s="3657"/>
      <c r="X122" s="3657" t="s">
        <v>3094</v>
      </c>
      <c r="Y122" s="3657"/>
      <c r="Z122" s="3661"/>
      <c r="AA122" s="3620" t="s">
        <v>3098</v>
      </c>
      <c r="AB122" s="3691" t="s">
        <v>513</v>
      </c>
      <c r="AC122" s="3691">
        <v>2.2984</v>
      </c>
      <c r="AD122" s="3691">
        <f t="shared" si="59"/>
        <v>248.2272</v>
      </c>
      <c r="AE122" s="3645" t="s">
        <v>3099</v>
      </c>
      <c r="AF122" s="3664" t="s">
        <v>2577</v>
      </c>
      <c r="AG122" s="3645" t="s">
        <v>416</v>
      </c>
      <c r="AH122" s="905"/>
      <c r="AI122" s="3664">
        <f>I122</f>
        <v>108</v>
      </c>
      <c r="AJ122" s="3664"/>
      <c r="AK122" s="4405"/>
      <c r="AL122" s="3664"/>
      <c r="AM122" s="3664"/>
      <c r="AN122" s="4089"/>
      <c r="AO122" s="3691">
        <f t="shared" si="51"/>
        <v>108</v>
      </c>
      <c r="AP122" s="3691"/>
      <c r="AQ122" s="4089"/>
      <c r="AR122" s="907"/>
      <c r="AS122" s="4089">
        <f t="shared" si="50"/>
        <v>108</v>
      </c>
      <c r="AT122" s="907"/>
      <c r="AU122" s="4089"/>
      <c r="AV122" s="4089">
        <f>I122/6</f>
        <v>18</v>
      </c>
      <c r="AW122" s="4089"/>
      <c r="AX122" s="4089"/>
      <c r="AY122" s="4089"/>
      <c r="AZ122" s="4089"/>
      <c r="BA122" s="4089"/>
      <c r="BB122" s="4089"/>
      <c r="BC122" s="4089"/>
      <c r="BD122" s="4089"/>
      <c r="BE122" s="4089"/>
      <c r="BF122" s="4089" t="s">
        <v>89</v>
      </c>
      <c r="BG122" s="4089"/>
      <c r="BH122" s="4089">
        <f t="shared" si="52"/>
        <v>18</v>
      </c>
      <c r="BI122" s="4089">
        <f t="shared" si="53"/>
        <v>18</v>
      </c>
      <c r="BJ122" s="4089">
        <f t="shared" si="54"/>
        <v>18</v>
      </c>
      <c r="BK122" s="4089">
        <f t="shared" si="55"/>
        <v>18</v>
      </c>
      <c r="BL122" s="4089">
        <f t="shared" si="56"/>
        <v>18</v>
      </c>
      <c r="BM122" s="4089">
        <f t="shared" si="57"/>
        <v>14.4</v>
      </c>
      <c r="BN122" s="4089">
        <f t="shared" si="58"/>
        <v>3.6</v>
      </c>
      <c r="BO122" s="4410"/>
      <c r="BP122" s="4410"/>
      <c r="BQ122" s="4410"/>
      <c r="BR122" s="4410"/>
      <c r="BS122" s="4410"/>
      <c r="BT122" s="4410"/>
      <c r="BU122" s="4384"/>
      <c r="BV122" s="4385">
        <f t="shared" si="39"/>
        <v>108</v>
      </c>
      <c r="BW122" s="4386">
        <f t="shared" si="40"/>
        <v>0</v>
      </c>
      <c r="BX122" s="4387"/>
      <c r="BY122" s="4387"/>
      <c r="BZ122" s="4387"/>
      <c r="CA122" s="4391"/>
      <c r="CC122" s="4392"/>
      <c r="CD122" s="4391"/>
    </row>
    <row r="123" s="4025" customFormat="1" ht="50" customHeight="1" spans="1:82">
      <c r="A123" s="3688">
        <v>45672</v>
      </c>
      <c r="B123" s="3689" t="s">
        <v>515</v>
      </c>
      <c r="C123" s="3664" t="s">
        <v>516</v>
      </c>
      <c r="D123" s="3690">
        <v>4500155723</v>
      </c>
      <c r="E123" s="3664"/>
      <c r="F123" s="3690" t="s">
        <v>3100</v>
      </c>
      <c r="G123" s="3664" t="s">
        <v>2577</v>
      </c>
      <c r="H123" s="3664" t="s">
        <v>2578</v>
      </c>
      <c r="I123" s="3691">
        <v>6000</v>
      </c>
      <c r="J123" s="3691">
        <v>0</v>
      </c>
      <c r="K123" s="3691">
        <v>12</v>
      </c>
      <c r="L123" s="3691">
        <f t="shared" ref="L123:L186" si="60">I123/K123</f>
        <v>500</v>
      </c>
      <c r="M123" s="3659">
        <v>45720</v>
      </c>
      <c r="N123" s="3659">
        <v>45716</v>
      </c>
      <c r="O123" s="4085"/>
      <c r="P123" s="3682" t="s">
        <v>82</v>
      </c>
      <c r="Q123" s="3682"/>
      <c r="R123" s="4083"/>
      <c r="S123" s="4083"/>
      <c r="T123" s="4083"/>
      <c r="U123" s="3657" t="s">
        <v>785</v>
      </c>
      <c r="V123" s="3657" t="s">
        <v>786</v>
      </c>
      <c r="W123" s="3657"/>
      <c r="X123" s="3657" t="s">
        <v>3101</v>
      </c>
      <c r="Y123" s="3657"/>
      <c r="Z123" s="3661"/>
      <c r="AA123" s="3620" t="s">
        <v>3102</v>
      </c>
      <c r="AB123" s="3691" t="s">
        <v>521</v>
      </c>
      <c r="AC123" s="4087">
        <v>2.1606</v>
      </c>
      <c r="AD123" s="3691">
        <f t="shared" si="59"/>
        <v>12963.6</v>
      </c>
      <c r="AE123" s="3645" t="s">
        <v>789</v>
      </c>
      <c r="AF123" s="3664" t="s">
        <v>2604</v>
      </c>
      <c r="AG123" s="3645" t="s">
        <v>416</v>
      </c>
      <c r="AH123" s="875"/>
      <c r="AI123" s="3691"/>
      <c r="AJ123" s="3691"/>
      <c r="AK123" s="875"/>
      <c r="AL123" s="3664">
        <f>I123</f>
        <v>6000</v>
      </c>
      <c r="AM123" s="3664"/>
      <c r="AN123" s="3691"/>
      <c r="AO123" s="3691">
        <f t="shared" si="51"/>
        <v>6000</v>
      </c>
      <c r="AP123" s="3691"/>
      <c r="AQ123" s="4089"/>
      <c r="AR123" s="877"/>
      <c r="AS123" s="4089">
        <f t="shared" si="50"/>
        <v>6000</v>
      </c>
      <c r="AT123" s="877"/>
      <c r="AU123" s="4089"/>
      <c r="AV123" s="4089">
        <f>I123/6</f>
        <v>1000</v>
      </c>
      <c r="AW123" s="4089"/>
      <c r="AX123" s="4089"/>
      <c r="AY123" s="4089"/>
      <c r="AZ123" s="4089"/>
      <c r="BA123" s="4089"/>
      <c r="BB123" s="4089"/>
      <c r="BC123" s="4089"/>
      <c r="BD123" s="4089"/>
      <c r="BE123" s="4089"/>
      <c r="BF123" s="4089" t="s">
        <v>89</v>
      </c>
      <c r="BG123" s="4089"/>
      <c r="BH123" s="4089">
        <f t="shared" si="52"/>
        <v>1000</v>
      </c>
      <c r="BI123" s="4089">
        <f t="shared" si="53"/>
        <v>1000</v>
      </c>
      <c r="BJ123" s="4089">
        <f t="shared" si="54"/>
        <v>1000</v>
      </c>
      <c r="BK123" s="4089">
        <f t="shared" si="55"/>
        <v>1000</v>
      </c>
      <c r="BL123" s="4089">
        <f t="shared" si="56"/>
        <v>1000</v>
      </c>
      <c r="BM123" s="4089">
        <f t="shared" si="57"/>
        <v>800</v>
      </c>
      <c r="BN123" s="4089">
        <f t="shared" si="58"/>
        <v>200</v>
      </c>
      <c r="BO123" s="4410"/>
      <c r="BP123" s="4410"/>
      <c r="BQ123" s="4410"/>
      <c r="BR123" s="4410"/>
      <c r="BS123" s="4410"/>
      <c r="BT123" s="4410"/>
      <c r="BU123" s="4403"/>
      <c r="BV123" s="4385">
        <f t="shared" si="39"/>
        <v>6000</v>
      </c>
      <c r="BW123" s="4386">
        <f t="shared" si="40"/>
        <v>0</v>
      </c>
      <c r="BX123" s="4387"/>
      <c r="BY123" s="4387"/>
      <c r="BZ123" s="4387"/>
      <c r="CA123" s="4391"/>
      <c r="CC123" s="4392"/>
      <c r="CD123" s="4391"/>
    </row>
    <row r="124" s="4025" customFormat="1" ht="50" customHeight="1" spans="1:82">
      <c r="A124" s="3688">
        <v>45672</v>
      </c>
      <c r="B124" s="3689" t="s">
        <v>2645</v>
      </c>
      <c r="C124" s="3664" t="s">
        <v>2058</v>
      </c>
      <c r="D124" s="3690">
        <v>4500155852</v>
      </c>
      <c r="E124" s="3664">
        <v>5200006018</v>
      </c>
      <c r="F124" s="3690" t="s">
        <v>3103</v>
      </c>
      <c r="G124" s="3664" t="s">
        <v>2647</v>
      </c>
      <c r="H124" s="3664" t="s">
        <v>2648</v>
      </c>
      <c r="I124" s="3691">
        <v>504</v>
      </c>
      <c r="J124" s="3691">
        <v>0</v>
      </c>
      <c r="K124" s="3691">
        <v>6</v>
      </c>
      <c r="L124" s="3691">
        <f t="shared" si="60"/>
        <v>84</v>
      </c>
      <c r="M124" s="3659">
        <v>45720</v>
      </c>
      <c r="N124" s="3659">
        <v>45716</v>
      </c>
      <c r="O124" s="4085"/>
      <c r="P124" s="3682" t="s">
        <v>82</v>
      </c>
      <c r="Q124" s="3682"/>
      <c r="R124" s="4083"/>
      <c r="S124" s="4083"/>
      <c r="T124" s="4083"/>
      <c r="U124" s="3645" t="s">
        <v>785</v>
      </c>
      <c r="V124" s="3657" t="s">
        <v>3104</v>
      </c>
      <c r="W124" s="3657"/>
      <c r="X124" s="3657" t="s">
        <v>3105</v>
      </c>
      <c r="Y124" s="3657"/>
      <c r="Z124" s="3661"/>
      <c r="AA124" s="3620" t="s">
        <v>3106</v>
      </c>
      <c r="AB124" s="3691" t="s">
        <v>3107</v>
      </c>
      <c r="AC124" s="3691">
        <v>2.2038</v>
      </c>
      <c r="AD124" s="3691">
        <f t="shared" si="59"/>
        <v>1110.7152</v>
      </c>
      <c r="AE124" s="3645" t="s">
        <v>3108</v>
      </c>
      <c r="AF124" s="959" t="s">
        <v>2652</v>
      </c>
      <c r="AG124" s="3645" t="s">
        <v>416</v>
      </c>
      <c r="AH124" s="3664"/>
      <c r="AI124" s="3664"/>
      <c r="AJ124" s="3664"/>
      <c r="AK124" s="3664"/>
      <c r="AL124" s="3664">
        <f>I124</f>
        <v>504</v>
      </c>
      <c r="AM124" s="3664"/>
      <c r="AN124" s="3691"/>
      <c r="AO124" s="3691">
        <f t="shared" si="51"/>
        <v>504</v>
      </c>
      <c r="AP124" s="3691"/>
      <c r="AQ124" s="4089"/>
      <c r="AR124" s="4411"/>
      <c r="AS124" s="4089"/>
      <c r="AT124" s="4411"/>
      <c r="AU124" s="4089">
        <f>I124</f>
        <v>504</v>
      </c>
      <c r="AV124" s="4089">
        <f>I124/6</f>
        <v>84</v>
      </c>
      <c r="AW124" s="4089"/>
      <c r="AX124" s="4089"/>
      <c r="AY124" s="4089"/>
      <c r="AZ124" s="4089"/>
      <c r="BA124" s="4089"/>
      <c r="BB124" s="4089"/>
      <c r="BC124" s="4089"/>
      <c r="BD124" s="4089"/>
      <c r="BE124" s="4089"/>
      <c r="BF124" s="4089" t="s">
        <v>89</v>
      </c>
      <c r="BG124" s="4089"/>
      <c r="BH124" s="4089">
        <f t="shared" si="52"/>
        <v>84</v>
      </c>
      <c r="BI124" s="4089">
        <f t="shared" si="53"/>
        <v>84</v>
      </c>
      <c r="BJ124" s="4089">
        <f t="shared" si="54"/>
        <v>84</v>
      </c>
      <c r="BK124" s="4089">
        <f t="shared" si="55"/>
        <v>84</v>
      </c>
      <c r="BL124" s="4089">
        <f t="shared" si="56"/>
        <v>84</v>
      </c>
      <c r="BM124" s="4089">
        <f t="shared" si="57"/>
        <v>67.2</v>
      </c>
      <c r="BN124" s="4089">
        <f t="shared" si="58"/>
        <v>16.8</v>
      </c>
      <c r="BO124" s="4089"/>
      <c r="BP124" s="4089"/>
      <c r="BQ124" s="4089"/>
      <c r="BR124" s="4089"/>
      <c r="BS124" s="4089"/>
      <c r="BT124" s="4404"/>
      <c r="BU124" s="4403"/>
      <c r="BV124" s="4385">
        <f t="shared" si="39"/>
        <v>504</v>
      </c>
      <c r="BW124" s="4386">
        <f t="shared" si="40"/>
        <v>0</v>
      </c>
      <c r="BX124" s="4387"/>
      <c r="BY124" s="4387"/>
      <c r="BZ124" s="4387"/>
      <c r="CA124" s="4391"/>
      <c r="CC124" s="4392"/>
      <c r="CD124" s="4391"/>
    </row>
    <row r="125" s="4025" customFormat="1" ht="50" customHeight="1" spans="1:82">
      <c r="A125" s="3688">
        <v>45657</v>
      </c>
      <c r="B125" s="3689" t="s">
        <v>607</v>
      </c>
      <c r="C125" s="3664" t="s">
        <v>91</v>
      </c>
      <c r="D125" s="3690">
        <v>4500154994</v>
      </c>
      <c r="E125" s="3664" t="s">
        <v>822</v>
      </c>
      <c r="F125" s="3690" t="s">
        <v>823</v>
      </c>
      <c r="G125" s="3664" t="s">
        <v>2926</v>
      </c>
      <c r="H125" s="3664" t="s">
        <v>1320</v>
      </c>
      <c r="I125" s="4401">
        <v>1200</v>
      </c>
      <c r="J125" s="3691">
        <v>0</v>
      </c>
      <c r="K125" s="3691">
        <v>12</v>
      </c>
      <c r="L125" s="3691">
        <f t="shared" si="60"/>
        <v>100</v>
      </c>
      <c r="M125" s="3659">
        <v>45721</v>
      </c>
      <c r="N125" s="3659">
        <v>45717</v>
      </c>
      <c r="O125" s="4085"/>
      <c r="P125" s="3682" t="s">
        <v>82</v>
      </c>
      <c r="Q125" s="3682"/>
      <c r="R125" s="4083"/>
      <c r="S125" s="4083"/>
      <c r="T125" s="4083"/>
      <c r="U125" s="3645" t="s">
        <v>769</v>
      </c>
      <c r="V125" s="3657" t="s">
        <v>824</v>
      </c>
      <c r="W125" s="3657"/>
      <c r="X125" s="3657" t="s">
        <v>825</v>
      </c>
      <c r="Y125" s="3657"/>
      <c r="Z125" s="3661"/>
      <c r="AA125" s="3620" t="s">
        <v>826</v>
      </c>
      <c r="AB125" s="3691" t="s">
        <v>614</v>
      </c>
      <c r="AC125" s="4087">
        <v>51.1686</v>
      </c>
      <c r="AD125" s="3691">
        <f>AC125*L125</f>
        <v>5116.86</v>
      </c>
      <c r="AE125" s="3645" t="s">
        <v>827</v>
      </c>
      <c r="AF125" s="3664" t="s">
        <v>2927</v>
      </c>
      <c r="AG125" s="3645" t="s">
        <v>416</v>
      </c>
      <c r="AH125" s="3664"/>
      <c r="AI125" s="3664">
        <f>I125</f>
        <v>1200</v>
      </c>
      <c r="AJ125" s="3664"/>
      <c r="AK125" s="3664"/>
      <c r="AL125" s="3664"/>
      <c r="AM125" s="3664"/>
      <c r="AN125" s="3691"/>
      <c r="AO125" s="3691">
        <f t="shared" si="51"/>
        <v>1200</v>
      </c>
      <c r="AP125" s="3691"/>
      <c r="AQ125" s="4089"/>
      <c r="AR125" s="4411"/>
      <c r="AS125" s="4089">
        <f t="shared" ref="AS125:AS131" si="61">I125</f>
        <v>1200</v>
      </c>
      <c r="AT125" s="4411"/>
      <c r="AU125" s="4089"/>
      <c r="AV125" s="4089"/>
      <c r="AW125" s="4089"/>
      <c r="AX125" s="4089"/>
      <c r="AY125" s="4089"/>
      <c r="AZ125" s="4089"/>
      <c r="BA125" s="4089"/>
      <c r="BB125" s="4089"/>
      <c r="BC125" s="4089"/>
      <c r="BD125" s="4089"/>
      <c r="BE125" s="4089"/>
      <c r="BF125" s="4089" t="s">
        <v>89</v>
      </c>
      <c r="BG125" s="4089"/>
      <c r="BH125" s="4089">
        <f t="shared" si="52"/>
        <v>200</v>
      </c>
      <c r="BI125" s="4089">
        <f t="shared" si="53"/>
        <v>200</v>
      </c>
      <c r="BJ125" s="4089">
        <f t="shared" si="54"/>
        <v>200</v>
      </c>
      <c r="BK125" s="4089">
        <f t="shared" si="55"/>
        <v>200</v>
      </c>
      <c r="BL125" s="4089">
        <f t="shared" si="56"/>
        <v>200</v>
      </c>
      <c r="BM125" s="4089">
        <f t="shared" si="57"/>
        <v>160</v>
      </c>
      <c r="BN125" s="4089">
        <f t="shared" si="58"/>
        <v>40</v>
      </c>
      <c r="BO125" s="4089"/>
      <c r="BP125" s="4089"/>
      <c r="BQ125" s="4089"/>
      <c r="BR125" s="4089"/>
      <c r="BS125" s="4089"/>
      <c r="BT125" s="4404"/>
      <c r="BU125" s="4403"/>
      <c r="BV125" s="4385">
        <f t="shared" si="39"/>
        <v>1200</v>
      </c>
      <c r="BW125" s="4386">
        <f t="shared" si="40"/>
        <v>0</v>
      </c>
      <c r="BX125" s="4387"/>
      <c r="BY125" s="4387"/>
      <c r="BZ125" s="4387"/>
      <c r="CA125" s="4391"/>
      <c r="CC125" s="4392"/>
      <c r="CD125" s="4391"/>
    </row>
    <row r="126" s="4025" customFormat="1" ht="50" customHeight="1" spans="1:82">
      <c r="A126" s="3688">
        <v>45651</v>
      </c>
      <c r="B126" s="3689" t="s">
        <v>737</v>
      </c>
      <c r="C126" s="3664" t="s">
        <v>738</v>
      </c>
      <c r="D126" s="3690">
        <v>4500154604</v>
      </c>
      <c r="E126" s="3664">
        <v>61900884</v>
      </c>
      <c r="F126" s="3690" t="s">
        <v>3109</v>
      </c>
      <c r="G126" s="3664" t="s">
        <v>2577</v>
      </c>
      <c r="H126" s="3664" t="s">
        <v>2591</v>
      </c>
      <c r="I126" s="3691">
        <v>240</v>
      </c>
      <c r="J126" s="3691">
        <v>0</v>
      </c>
      <c r="K126" s="3691">
        <v>12</v>
      </c>
      <c r="L126" s="3691">
        <f t="shared" si="60"/>
        <v>20</v>
      </c>
      <c r="M126" s="3619">
        <v>45721</v>
      </c>
      <c r="N126" s="3619">
        <v>45717</v>
      </c>
      <c r="O126" s="4085"/>
      <c r="P126" s="3682" t="s">
        <v>82</v>
      </c>
      <c r="Q126" s="3682"/>
      <c r="R126" s="4083"/>
      <c r="S126" s="4083"/>
      <c r="T126" s="4083"/>
      <c r="U126" s="3645" t="s">
        <v>803</v>
      </c>
      <c r="V126" s="3657" t="s">
        <v>804</v>
      </c>
      <c r="W126" s="3657"/>
      <c r="X126" s="3657" t="s">
        <v>3043</v>
      </c>
      <c r="Y126" s="3657" t="s">
        <v>806</v>
      </c>
      <c r="Z126" s="3661"/>
      <c r="AA126" s="3620" t="s">
        <v>3110</v>
      </c>
      <c r="AB126" s="3691" t="s">
        <v>459</v>
      </c>
      <c r="AC126" s="4087">
        <v>2.1891</v>
      </c>
      <c r="AD126" s="3691">
        <f>AC126*I126</f>
        <v>525.384</v>
      </c>
      <c r="AE126" s="3645" t="s">
        <v>808</v>
      </c>
      <c r="AF126" s="3664" t="s">
        <v>2604</v>
      </c>
      <c r="AG126" s="3645" t="s">
        <v>416</v>
      </c>
      <c r="AH126" s="875"/>
      <c r="AI126" s="3664"/>
      <c r="AJ126" s="3664"/>
      <c r="AK126" s="875"/>
      <c r="AL126" s="3664">
        <f>I126</f>
        <v>240</v>
      </c>
      <c r="AM126" s="3664"/>
      <c r="AN126" s="3691"/>
      <c r="AO126" s="3691">
        <f t="shared" si="51"/>
        <v>240</v>
      </c>
      <c r="AP126" s="3691"/>
      <c r="AQ126" s="4089"/>
      <c r="AR126" s="877"/>
      <c r="AS126" s="4089">
        <f t="shared" si="61"/>
        <v>240</v>
      </c>
      <c r="AT126" s="877"/>
      <c r="AU126" s="4089"/>
      <c r="AV126" s="4089">
        <f>I126/6</f>
        <v>40</v>
      </c>
      <c r="AW126" s="4089"/>
      <c r="AX126" s="4089"/>
      <c r="AY126" s="4089"/>
      <c r="AZ126" s="4089"/>
      <c r="BA126" s="4089"/>
      <c r="BB126" s="4089"/>
      <c r="BC126" s="4089"/>
      <c r="BD126" s="4089"/>
      <c r="BE126" s="4089"/>
      <c r="BF126" s="4089" t="s">
        <v>89</v>
      </c>
      <c r="BG126" s="4089"/>
      <c r="BH126" s="4089">
        <f t="shared" si="52"/>
        <v>40</v>
      </c>
      <c r="BI126" s="4089">
        <f t="shared" si="53"/>
        <v>40</v>
      </c>
      <c r="BJ126" s="4089">
        <f t="shared" si="54"/>
        <v>40</v>
      </c>
      <c r="BK126" s="4089">
        <f t="shared" si="55"/>
        <v>40</v>
      </c>
      <c r="BL126" s="4089">
        <f t="shared" si="56"/>
        <v>40</v>
      </c>
      <c r="BM126" s="4089">
        <f t="shared" si="57"/>
        <v>32</v>
      </c>
      <c r="BN126" s="4089">
        <f t="shared" si="58"/>
        <v>8</v>
      </c>
      <c r="BO126" s="878"/>
      <c r="BP126" s="878"/>
      <c r="BQ126" s="878"/>
      <c r="BR126" s="878"/>
      <c r="BS126" s="878"/>
      <c r="BT126" s="879"/>
      <c r="BU126" s="880"/>
      <c r="BV126" s="4385">
        <f t="shared" si="39"/>
        <v>240</v>
      </c>
      <c r="BW126" s="4386">
        <f t="shared" si="40"/>
        <v>0</v>
      </c>
      <c r="BX126" s="4387"/>
      <c r="BY126" s="4387"/>
      <c r="BZ126" s="4387"/>
      <c r="CA126" s="4391"/>
      <c r="CC126" s="4392"/>
      <c r="CD126" s="4391"/>
    </row>
    <row r="127" s="4025" customFormat="1" ht="50" customHeight="1" spans="1:82">
      <c r="A127" s="3688">
        <v>45673</v>
      </c>
      <c r="B127" s="3689" t="s">
        <v>3065</v>
      </c>
      <c r="C127" s="3664" t="s">
        <v>91</v>
      </c>
      <c r="D127" s="3690">
        <v>4500155981</v>
      </c>
      <c r="E127" s="5456" t="s">
        <v>3111</v>
      </c>
      <c r="F127" s="3690" t="s">
        <v>3112</v>
      </c>
      <c r="G127" s="3664" t="s">
        <v>3068</v>
      </c>
      <c r="H127" s="3664" t="s">
        <v>3069</v>
      </c>
      <c r="I127" s="3691">
        <v>768</v>
      </c>
      <c r="J127" s="3691">
        <v>2</v>
      </c>
      <c r="K127" s="3691">
        <v>384</v>
      </c>
      <c r="L127" s="3691">
        <f t="shared" si="60"/>
        <v>2</v>
      </c>
      <c r="M127" s="3659">
        <v>45722</v>
      </c>
      <c r="N127" s="3659">
        <v>45719</v>
      </c>
      <c r="O127" s="3664" t="s">
        <v>3113</v>
      </c>
      <c r="P127" s="3682" t="s">
        <v>82</v>
      </c>
      <c r="Q127" s="3682"/>
      <c r="R127" s="4083"/>
      <c r="S127" s="4083"/>
      <c r="T127" s="4083"/>
      <c r="U127" s="3645" t="s">
        <v>3114</v>
      </c>
      <c r="V127" s="3657" t="s">
        <v>3115</v>
      </c>
      <c r="W127" s="3657"/>
      <c r="X127" s="3657" t="s">
        <v>3073</v>
      </c>
      <c r="Y127" s="3657" t="s">
        <v>3074</v>
      </c>
      <c r="Z127" s="3661"/>
      <c r="AA127" s="3620" t="s">
        <v>3116</v>
      </c>
      <c r="AB127" s="3691" t="s">
        <v>3076</v>
      </c>
      <c r="AC127" s="4087">
        <v>906.8553</v>
      </c>
      <c r="AD127" s="3691">
        <f>AC127*L127</f>
        <v>1813.7106</v>
      </c>
      <c r="AE127" s="3645" t="s">
        <v>3117</v>
      </c>
      <c r="AF127" s="959" t="s">
        <v>3078</v>
      </c>
      <c r="AG127" s="3645" t="s">
        <v>416</v>
      </c>
      <c r="AH127" s="875"/>
      <c r="AI127" s="3691">
        <f>I127</f>
        <v>768</v>
      </c>
      <c r="AJ127" s="3691"/>
      <c r="AK127" s="875"/>
      <c r="AL127" s="3664"/>
      <c r="AM127" s="3664"/>
      <c r="AN127" s="3691"/>
      <c r="AO127" s="3691">
        <f t="shared" si="51"/>
        <v>768</v>
      </c>
      <c r="AP127" s="3691"/>
      <c r="AQ127" s="4089"/>
      <c r="AR127" s="877"/>
      <c r="AS127" s="4089">
        <f t="shared" si="61"/>
        <v>768</v>
      </c>
      <c r="AT127" s="877"/>
      <c r="AU127" s="4089"/>
      <c r="AV127" s="4089"/>
      <c r="AW127" s="4089"/>
      <c r="AX127" s="4089"/>
      <c r="AY127" s="4089"/>
      <c r="AZ127" s="4089"/>
      <c r="BA127" s="4089"/>
      <c r="BB127" s="4089">
        <f>I127/2</f>
        <v>384</v>
      </c>
      <c r="BC127" s="4089"/>
      <c r="BD127" s="4089"/>
      <c r="BE127" s="4089"/>
      <c r="BF127" s="4089" t="s">
        <v>89</v>
      </c>
      <c r="BG127" s="4089"/>
      <c r="BH127" s="4089">
        <f t="shared" si="52"/>
        <v>128</v>
      </c>
      <c r="BI127" s="4089">
        <f t="shared" si="53"/>
        <v>128</v>
      </c>
      <c r="BJ127" s="4089">
        <f t="shared" si="54"/>
        <v>128</v>
      </c>
      <c r="BK127" s="4089">
        <f t="shared" si="55"/>
        <v>128</v>
      </c>
      <c r="BL127" s="4089">
        <f t="shared" si="56"/>
        <v>128</v>
      </c>
      <c r="BM127" s="4089">
        <f t="shared" si="57"/>
        <v>102.4</v>
      </c>
      <c r="BN127" s="4089">
        <f t="shared" si="58"/>
        <v>25.6</v>
      </c>
      <c r="BO127" s="878"/>
      <c r="BP127" s="878"/>
      <c r="BQ127" s="878"/>
      <c r="BR127" s="878"/>
      <c r="BS127" s="878"/>
      <c r="BT127" s="879"/>
      <c r="BU127" s="880"/>
      <c r="BV127" s="4385">
        <f t="shared" si="39"/>
        <v>768</v>
      </c>
      <c r="BW127" s="4386">
        <f t="shared" si="40"/>
        <v>0</v>
      </c>
      <c r="BX127" s="4387"/>
      <c r="BY127" s="4387"/>
      <c r="BZ127" s="4387"/>
      <c r="CA127" s="4391"/>
      <c r="CC127" s="4392"/>
      <c r="CD127" s="4391"/>
    </row>
    <row r="128" s="4025" customFormat="1" ht="50" customHeight="1" spans="1:82">
      <c r="A128" s="3688">
        <v>45664</v>
      </c>
      <c r="B128" s="3689" t="s">
        <v>3118</v>
      </c>
      <c r="C128" s="3664" t="s">
        <v>506</v>
      </c>
      <c r="D128" s="3690">
        <v>4500155386</v>
      </c>
      <c r="E128" s="3664">
        <v>83456</v>
      </c>
      <c r="F128" s="3690" t="s">
        <v>3119</v>
      </c>
      <c r="G128" s="3664" t="s">
        <v>2577</v>
      </c>
      <c r="H128" s="3664" t="s">
        <v>2578</v>
      </c>
      <c r="I128" s="3691">
        <v>504</v>
      </c>
      <c r="J128" s="3691">
        <v>0</v>
      </c>
      <c r="K128" s="3691">
        <v>12</v>
      </c>
      <c r="L128" s="3691">
        <f t="shared" si="60"/>
        <v>42</v>
      </c>
      <c r="M128" s="3659">
        <v>45723</v>
      </c>
      <c r="N128" s="3659">
        <v>45719</v>
      </c>
      <c r="O128" s="4085"/>
      <c r="P128" s="3682" t="s">
        <v>82</v>
      </c>
      <c r="Q128" s="3682"/>
      <c r="R128" s="4083"/>
      <c r="S128" s="4083"/>
      <c r="T128" s="4083"/>
      <c r="U128" s="3645" t="s">
        <v>3120</v>
      </c>
      <c r="V128" s="3657" t="s">
        <v>3121</v>
      </c>
      <c r="W128" s="3657"/>
      <c r="X128" s="3657" t="s">
        <v>3122</v>
      </c>
      <c r="Y128" s="3657"/>
      <c r="Z128" s="3661"/>
      <c r="AA128" s="3620" t="s">
        <v>3123</v>
      </c>
      <c r="AB128" s="3691" t="s">
        <v>513</v>
      </c>
      <c r="AC128" s="3691">
        <v>2.2984</v>
      </c>
      <c r="AD128" s="3691">
        <f>AC128*I128</f>
        <v>1158.3936</v>
      </c>
      <c r="AE128" s="3645" t="s">
        <v>3124</v>
      </c>
      <c r="AF128" s="3664" t="s">
        <v>2577</v>
      </c>
      <c r="AG128" s="3645" t="s">
        <v>416</v>
      </c>
      <c r="AH128" s="3708"/>
      <c r="AI128" s="3664">
        <f>I128</f>
        <v>504</v>
      </c>
      <c r="AJ128" s="3664"/>
      <c r="AK128" s="4412"/>
      <c r="AL128" s="3664"/>
      <c r="AM128" s="3664"/>
      <c r="AN128" s="3691"/>
      <c r="AO128" s="3691">
        <f t="shared" si="51"/>
        <v>504</v>
      </c>
      <c r="AP128" s="3691"/>
      <c r="AQ128" s="4089"/>
      <c r="AR128" s="4413"/>
      <c r="AS128" s="4089">
        <f t="shared" si="61"/>
        <v>504</v>
      </c>
      <c r="AT128" s="4413"/>
      <c r="AU128" s="4089"/>
      <c r="AV128" s="4089">
        <f>I128/6</f>
        <v>84</v>
      </c>
      <c r="AW128" s="4089"/>
      <c r="AX128" s="4089"/>
      <c r="AY128" s="4089"/>
      <c r="AZ128" s="4089"/>
      <c r="BA128" s="4089"/>
      <c r="BB128" s="4089"/>
      <c r="BC128" s="4089"/>
      <c r="BD128" s="4089"/>
      <c r="BE128" s="4089"/>
      <c r="BF128" s="4089" t="s">
        <v>89</v>
      </c>
      <c r="BG128" s="4089"/>
      <c r="BH128" s="4089">
        <f t="shared" si="52"/>
        <v>84</v>
      </c>
      <c r="BI128" s="4089">
        <f t="shared" si="53"/>
        <v>84</v>
      </c>
      <c r="BJ128" s="4089">
        <f t="shared" si="54"/>
        <v>84</v>
      </c>
      <c r="BK128" s="4089">
        <f t="shared" si="55"/>
        <v>84</v>
      </c>
      <c r="BL128" s="4089">
        <f t="shared" si="56"/>
        <v>84</v>
      </c>
      <c r="BM128" s="4089">
        <f t="shared" si="57"/>
        <v>67.2</v>
      </c>
      <c r="BN128" s="4089">
        <f t="shared" si="58"/>
        <v>16.8</v>
      </c>
      <c r="BO128" s="1048"/>
      <c r="BP128" s="1048"/>
      <c r="BQ128" s="1048"/>
      <c r="BR128" s="1048"/>
      <c r="BS128" s="1048"/>
      <c r="BT128" s="4414"/>
      <c r="BU128" s="4415"/>
      <c r="BV128" s="4385">
        <f t="shared" si="39"/>
        <v>504</v>
      </c>
      <c r="BW128" s="4386">
        <f t="shared" si="40"/>
        <v>0</v>
      </c>
      <c r="BX128" s="4387"/>
      <c r="BY128" s="4387"/>
      <c r="BZ128" s="4387"/>
      <c r="CA128" s="4391"/>
      <c r="CC128" s="4392"/>
      <c r="CD128" s="4391"/>
    </row>
    <row r="129" s="4025" customFormat="1" ht="50" customHeight="1" spans="1:82">
      <c r="A129" s="3688">
        <v>45671</v>
      </c>
      <c r="B129" s="3689" t="s">
        <v>580</v>
      </c>
      <c r="C129" s="3664" t="s">
        <v>581</v>
      </c>
      <c r="D129" s="3690">
        <v>4500155859</v>
      </c>
      <c r="E129" s="3664" t="s">
        <v>3125</v>
      </c>
      <c r="F129" s="3690" t="s">
        <v>3126</v>
      </c>
      <c r="G129" s="3664" t="s">
        <v>2627</v>
      </c>
      <c r="H129" s="3691" t="s">
        <v>2591</v>
      </c>
      <c r="I129" s="3691">
        <v>6504</v>
      </c>
      <c r="J129" s="3691">
        <v>0</v>
      </c>
      <c r="K129" s="3691">
        <v>24</v>
      </c>
      <c r="L129" s="3691">
        <f t="shared" si="60"/>
        <v>271</v>
      </c>
      <c r="M129" s="3659">
        <v>45723</v>
      </c>
      <c r="N129" s="3659">
        <v>45719</v>
      </c>
      <c r="O129" s="4085"/>
      <c r="P129" s="3682" t="s">
        <v>82</v>
      </c>
      <c r="Q129" s="3682"/>
      <c r="R129" s="4083"/>
      <c r="S129" s="4083"/>
      <c r="T129" s="4083"/>
      <c r="U129" s="3645" t="s">
        <v>3071</v>
      </c>
      <c r="V129" s="3657" t="s">
        <v>3104</v>
      </c>
      <c r="W129" s="3657"/>
      <c r="X129" s="3657" t="s">
        <v>3127</v>
      </c>
      <c r="Y129" s="3657"/>
      <c r="Z129" s="3661"/>
      <c r="AA129" s="3620" t="s">
        <v>3128</v>
      </c>
      <c r="AB129" s="3691" t="s">
        <v>459</v>
      </c>
      <c r="AC129" s="3691">
        <v>2.0612</v>
      </c>
      <c r="AD129" s="3691">
        <f>AC129*I129</f>
        <v>13406.0448</v>
      </c>
      <c r="AE129" s="3645" t="s">
        <v>3129</v>
      </c>
      <c r="AF129" s="3664" t="s">
        <v>2627</v>
      </c>
      <c r="AG129" s="3645" t="s">
        <v>416</v>
      </c>
      <c r="AH129" s="875"/>
      <c r="AI129" s="3664">
        <f>I129</f>
        <v>6504</v>
      </c>
      <c r="AJ129" s="3664"/>
      <c r="AK129" s="875"/>
      <c r="AL129" s="3664"/>
      <c r="AM129" s="3664"/>
      <c r="AN129" s="3691"/>
      <c r="AO129" s="3691">
        <f t="shared" si="51"/>
        <v>6504</v>
      </c>
      <c r="AP129" s="3691"/>
      <c r="AQ129" s="4089"/>
      <c r="AR129" s="877"/>
      <c r="AS129" s="4089">
        <f t="shared" si="61"/>
        <v>6504</v>
      </c>
      <c r="AT129" s="877"/>
      <c r="AU129" s="4089"/>
      <c r="AV129" s="4089"/>
      <c r="AW129" s="4089"/>
      <c r="AX129" s="4089"/>
      <c r="AY129" s="4089"/>
      <c r="AZ129" s="4089"/>
      <c r="BA129" s="4089"/>
      <c r="BB129" s="4089"/>
      <c r="BC129" s="4089"/>
      <c r="BD129" s="4089"/>
      <c r="BE129" s="4089"/>
      <c r="BF129" s="4089" t="s">
        <v>89</v>
      </c>
      <c r="BG129" s="4089"/>
      <c r="BH129" s="4089">
        <f t="shared" si="52"/>
        <v>1084</v>
      </c>
      <c r="BI129" s="4089">
        <f t="shared" si="53"/>
        <v>1084</v>
      </c>
      <c r="BJ129" s="4089">
        <f t="shared" si="54"/>
        <v>1084</v>
      </c>
      <c r="BK129" s="4089">
        <f t="shared" si="55"/>
        <v>1084</v>
      </c>
      <c r="BL129" s="4089">
        <f t="shared" si="56"/>
        <v>1084</v>
      </c>
      <c r="BM129" s="4089">
        <f t="shared" si="57"/>
        <v>867.2</v>
      </c>
      <c r="BN129" s="4089">
        <f t="shared" si="58"/>
        <v>216.8</v>
      </c>
      <c r="BO129" s="878"/>
      <c r="BP129" s="878"/>
      <c r="BQ129" s="878"/>
      <c r="BR129" s="878"/>
      <c r="BS129" s="878"/>
      <c r="BT129" s="879"/>
      <c r="BU129" s="4403"/>
      <c r="BV129" s="4385">
        <f t="shared" si="39"/>
        <v>6504</v>
      </c>
      <c r="BW129" s="4386">
        <f t="shared" si="40"/>
        <v>0</v>
      </c>
      <c r="BX129" s="4387"/>
      <c r="BY129" s="4387"/>
      <c r="BZ129" s="4387"/>
      <c r="CA129" s="4391"/>
      <c r="CC129" s="4392"/>
      <c r="CD129" s="4391"/>
    </row>
    <row r="130" s="4025" customFormat="1" ht="50" customHeight="1" spans="1:82">
      <c r="A130" s="3688">
        <v>45630</v>
      </c>
      <c r="B130" s="3664" t="s">
        <v>809</v>
      </c>
      <c r="C130" s="3664" t="s">
        <v>738</v>
      </c>
      <c r="D130" s="3691">
        <v>4500153293</v>
      </c>
      <c r="E130" s="3664"/>
      <c r="F130" s="3691" t="s">
        <v>3130</v>
      </c>
      <c r="G130" s="3664" t="s">
        <v>2577</v>
      </c>
      <c r="H130" s="3664" t="s">
        <v>2591</v>
      </c>
      <c r="I130" s="3691">
        <v>840</v>
      </c>
      <c r="J130" s="3691">
        <v>0</v>
      </c>
      <c r="K130" s="3691">
        <v>12</v>
      </c>
      <c r="L130" s="3691">
        <f t="shared" si="60"/>
        <v>70</v>
      </c>
      <c r="M130" s="3659">
        <v>45723</v>
      </c>
      <c r="N130" s="3659">
        <v>45719</v>
      </c>
      <c r="O130" s="3645"/>
      <c r="P130" s="3682" t="s">
        <v>82</v>
      </c>
      <c r="Q130" s="3682"/>
      <c r="R130" s="4083"/>
      <c r="S130" s="4083"/>
      <c r="T130" s="4083"/>
      <c r="U130" s="3645" t="s">
        <v>778</v>
      </c>
      <c r="V130" s="3657" t="s">
        <v>924</v>
      </c>
      <c r="W130" s="3657"/>
      <c r="X130" s="3657" t="s">
        <v>3131</v>
      </c>
      <c r="Y130" s="3657"/>
      <c r="Z130" s="3661"/>
      <c r="AA130" s="3620" t="s">
        <v>3132</v>
      </c>
      <c r="AB130" s="3691" t="s">
        <v>521</v>
      </c>
      <c r="AC130" s="4087">
        <v>2.1891</v>
      </c>
      <c r="AD130" s="3691">
        <f>AC130*I130</f>
        <v>1838.844</v>
      </c>
      <c r="AE130" s="3645" t="s">
        <v>813</v>
      </c>
      <c r="AF130" s="3664" t="s">
        <v>2604</v>
      </c>
      <c r="AG130" s="3645" t="s">
        <v>416</v>
      </c>
      <c r="AH130" s="875"/>
      <c r="AI130" s="3691"/>
      <c r="AJ130" s="3691"/>
      <c r="AK130" s="875"/>
      <c r="AL130" s="3664">
        <f>I130</f>
        <v>840</v>
      </c>
      <c r="AM130" s="3664"/>
      <c r="AN130" s="3691"/>
      <c r="AO130" s="3691">
        <f t="shared" si="51"/>
        <v>840</v>
      </c>
      <c r="AP130" s="3691"/>
      <c r="AQ130" s="4089"/>
      <c r="AR130" s="877"/>
      <c r="AS130" s="4089">
        <f t="shared" si="61"/>
        <v>840</v>
      </c>
      <c r="AT130" s="877"/>
      <c r="AU130" s="4089"/>
      <c r="AV130" s="4089">
        <f>I130/6</f>
        <v>140</v>
      </c>
      <c r="AW130" s="4089"/>
      <c r="AX130" s="4089"/>
      <c r="AY130" s="4089"/>
      <c r="AZ130" s="4089"/>
      <c r="BA130" s="4089"/>
      <c r="BB130" s="4089"/>
      <c r="BC130" s="4089"/>
      <c r="BD130" s="4089"/>
      <c r="BE130" s="4089"/>
      <c r="BF130" s="4089" t="s">
        <v>89</v>
      </c>
      <c r="BG130" s="4089"/>
      <c r="BH130" s="4089">
        <f t="shared" si="52"/>
        <v>140</v>
      </c>
      <c r="BI130" s="4089">
        <f t="shared" si="53"/>
        <v>140</v>
      </c>
      <c r="BJ130" s="4089">
        <f t="shared" si="54"/>
        <v>140</v>
      </c>
      <c r="BK130" s="4089">
        <f t="shared" si="55"/>
        <v>140</v>
      </c>
      <c r="BL130" s="4089">
        <f t="shared" si="56"/>
        <v>140</v>
      </c>
      <c r="BM130" s="4089">
        <f t="shared" si="57"/>
        <v>112</v>
      </c>
      <c r="BN130" s="4089">
        <f t="shared" si="58"/>
        <v>28</v>
      </c>
      <c r="BO130" s="878"/>
      <c r="BP130" s="878"/>
      <c r="BQ130" s="878"/>
      <c r="BR130" s="878"/>
      <c r="BS130" s="878"/>
      <c r="BT130" s="879"/>
      <c r="BU130" s="4415"/>
      <c r="BV130" s="4385">
        <f t="shared" si="39"/>
        <v>840</v>
      </c>
      <c r="BW130" s="4386">
        <f t="shared" si="40"/>
        <v>0</v>
      </c>
      <c r="BX130" s="4387"/>
      <c r="BY130" s="4387"/>
      <c r="BZ130" s="4387"/>
      <c r="CA130" s="4391"/>
      <c r="CC130" s="4392"/>
      <c r="CD130" s="4391"/>
    </row>
    <row r="131" s="4025" customFormat="1" ht="50" customHeight="1" spans="1:82">
      <c r="A131" s="3688">
        <v>45673</v>
      </c>
      <c r="B131" s="3689" t="s">
        <v>3133</v>
      </c>
      <c r="C131" s="3664" t="s">
        <v>341</v>
      </c>
      <c r="D131" s="3690">
        <v>4500156034</v>
      </c>
      <c r="E131" s="3664">
        <v>599724</v>
      </c>
      <c r="F131" s="3690" t="s">
        <v>3134</v>
      </c>
      <c r="G131" s="3664" t="s">
        <v>2590</v>
      </c>
      <c r="H131" s="3664" t="s">
        <v>2591</v>
      </c>
      <c r="I131" s="3691">
        <v>3000</v>
      </c>
      <c r="J131" s="3691">
        <v>0</v>
      </c>
      <c r="K131" s="3691">
        <v>6</v>
      </c>
      <c r="L131" s="3691">
        <f t="shared" si="60"/>
        <v>500</v>
      </c>
      <c r="M131" s="3659">
        <v>45723</v>
      </c>
      <c r="N131" s="3659">
        <v>45719</v>
      </c>
      <c r="O131" s="4085"/>
      <c r="P131" s="3682" t="s">
        <v>82</v>
      </c>
      <c r="Q131" s="3682"/>
      <c r="R131" s="4083"/>
      <c r="S131" s="4083"/>
      <c r="T131" s="4083"/>
      <c r="U131" s="3645" t="s">
        <v>3071</v>
      </c>
      <c r="V131" s="3657" t="s">
        <v>846</v>
      </c>
      <c r="W131" s="3657"/>
      <c r="X131" s="3657" t="s">
        <v>3135</v>
      </c>
      <c r="Y131" s="3657"/>
      <c r="Z131" s="3661"/>
      <c r="AA131" s="3620" t="s">
        <v>3136</v>
      </c>
      <c r="AB131" s="3691" t="s">
        <v>87</v>
      </c>
      <c r="AC131" s="3691">
        <v>2.1956</v>
      </c>
      <c r="AD131" s="3691">
        <f>AC131*I131</f>
        <v>6586.8</v>
      </c>
      <c r="AE131" s="3645" t="s">
        <v>3137</v>
      </c>
      <c r="AF131" s="3664" t="s">
        <v>2590</v>
      </c>
      <c r="AG131" s="3645" t="s">
        <v>416</v>
      </c>
      <c r="AH131" s="3664"/>
      <c r="AI131" s="3691">
        <f>I131</f>
        <v>3000</v>
      </c>
      <c r="AJ131" s="3691"/>
      <c r="AK131" s="3664"/>
      <c r="AL131" s="3664"/>
      <c r="AM131" s="3664"/>
      <c r="AN131" s="3691"/>
      <c r="AO131" s="3691">
        <f t="shared" si="51"/>
        <v>3000</v>
      </c>
      <c r="AP131" s="3691"/>
      <c r="AQ131" s="4089"/>
      <c r="AR131" s="4411"/>
      <c r="AS131" s="4089">
        <f t="shared" si="61"/>
        <v>3000</v>
      </c>
      <c r="AT131" s="4411"/>
      <c r="AU131" s="4089"/>
      <c r="AV131" s="4089">
        <f>I131/6</f>
        <v>500</v>
      </c>
      <c r="AW131" s="4089"/>
      <c r="AX131" s="4089"/>
      <c r="AY131" s="4089"/>
      <c r="AZ131" s="4089"/>
      <c r="BA131" s="4089"/>
      <c r="BB131" s="4089"/>
      <c r="BC131" s="4089"/>
      <c r="BD131" s="4089"/>
      <c r="BE131" s="4089"/>
      <c r="BF131" s="4089" t="s">
        <v>89</v>
      </c>
      <c r="BG131" s="4089"/>
      <c r="BH131" s="4089">
        <f t="shared" si="52"/>
        <v>500</v>
      </c>
      <c r="BI131" s="4089">
        <f t="shared" si="53"/>
        <v>500</v>
      </c>
      <c r="BJ131" s="4089">
        <f t="shared" si="54"/>
        <v>500</v>
      </c>
      <c r="BK131" s="4089">
        <f t="shared" si="55"/>
        <v>500</v>
      </c>
      <c r="BL131" s="4089">
        <f t="shared" si="56"/>
        <v>500</v>
      </c>
      <c r="BM131" s="4089">
        <f t="shared" si="57"/>
        <v>400</v>
      </c>
      <c r="BN131" s="4089">
        <f t="shared" si="58"/>
        <v>100</v>
      </c>
      <c r="BO131" s="4089"/>
      <c r="BP131" s="4089"/>
      <c r="BQ131" s="4089"/>
      <c r="BR131" s="4089"/>
      <c r="BS131" s="4089"/>
      <c r="BT131" s="4404"/>
      <c r="BU131" s="4403"/>
      <c r="BV131" s="4385">
        <f t="shared" si="39"/>
        <v>3000</v>
      </c>
      <c r="BW131" s="4386">
        <f t="shared" si="40"/>
        <v>0</v>
      </c>
      <c r="BX131" s="4387"/>
      <c r="BY131" s="4387"/>
      <c r="BZ131" s="4387"/>
      <c r="CA131" s="4391"/>
      <c r="CC131" s="4392"/>
      <c r="CD131" s="4391"/>
    </row>
    <row r="132" s="4025" customFormat="1" ht="50" customHeight="1" spans="1:82">
      <c r="A132" s="3688">
        <v>45665</v>
      </c>
      <c r="B132" s="3689" t="s">
        <v>3138</v>
      </c>
      <c r="C132" s="3664" t="s">
        <v>396</v>
      </c>
      <c r="D132" s="3690">
        <v>4500155486</v>
      </c>
      <c r="E132" s="3664" t="s">
        <v>3139</v>
      </c>
      <c r="F132" s="3690" t="s">
        <v>3140</v>
      </c>
      <c r="G132" s="3664" t="s">
        <v>3141</v>
      </c>
      <c r="H132" s="3664" t="s">
        <v>2620</v>
      </c>
      <c r="I132" s="3691">
        <v>4800</v>
      </c>
      <c r="J132" s="3691">
        <v>0</v>
      </c>
      <c r="K132" s="3691">
        <v>6</v>
      </c>
      <c r="L132" s="3691">
        <f t="shared" si="60"/>
        <v>800</v>
      </c>
      <c r="M132" s="3659">
        <v>45726</v>
      </c>
      <c r="N132" s="3659">
        <v>45722</v>
      </c>
      <c r="O132" s="4085"/>
      <c r="P132" s="3682" t="s">
        <v>82</v>
      </c>
      <c r="Q132" s="3682"/>
      <c r="R132" s="4083"/>
      <c r="S132" s="4083"/>
      <c r="T132" s="4083"/>
      <c r="U132" s="3645" t="s">
        <v>401</v>
      </c>
      <c r="V132" s="3657" t="s">
        <v>770</v>
      </c>
      <c r="W132" s="3657"/>
      <c r="X132" s="3657" t="s">
        <v>3142</v>
      </c>
      <c r="Y132" s="3657"/>
      <c r="Z132" s="3661"/>
      <c r="AA132" s="3620" t="s">
        <v>3143</v>
      </c>
      <c r="AB132" s="3691" t="s">
        <v>405</v>
      </c>
      <c r="AC132" s="4087">
        <v>2.1977</v>
      </c>
      <c r="AD132" s="3691">
        <f>AC132*I132</f>
        <v>10548.96</v>
      </c>
      <c r="AE132" s="3645" t="s">
        <v>3144</v>
      </c>
      <c r="AF132" s="3664" t="s">
        <v>3145</v>
      </c>
      <c r="AG132" s="3645" t="s">
        <v>416</v>
      </c>
      <c r="AH132" s="875"/>
      <c r="AI132" s="3664"/>
      <c r="AJ132" s="3664"/>
      <c r="AK132" s="979"/>
      <c r="AL132" s="3664">
        <f>I132</f>
        <v>4800</v>
      </c>
      <c r="AM132" s="3664"/>
      <c r="AN132" s="3691"/>
      <c r="AO132" s="3691">
        <f t="shared" si="51"/>
        <v>4800</v>
      </c>
      <c r="AP132" s="3691"/>
      <c r="AQ132" s="4089"/>
      <c r="AR132" s="877"/>
      <c r="AS132" s="4089"/>
      <c r="AT132" s="877"/>
      <c r="AU132" s="4089">
        <f>I132</f>
        <v>4800</v>
      </c>
      <c r="AV132" s="4089"/>
      <c r="AW132" s="4089"/>
      <c r="AX132" s="4089">
        <f>I132/6</f>
        <v>800</v>
      </c>
      <c r="AY132" s="4089"/>
      <c r="AZ132" s="4089"/>
      <c r="BA132" s="4089"/>
      <c r="BB132" s="4089"/>
      <c r="BC132" s="4089"/>
      <c r="BD132" s="4089"/>
      <c r="BE132" s="4089"/>
      <c r="BF132" s="4089" t="s">
        <v>89</v>
      </c>
      <c r="BG132" s="4089"/>
      <c r="BH132" s="4089">
        <f t="shared" si="52"/>
        <v>800</v>
      </c>
      <c r="BI132" s="4089">
        <f t="shared" si="53"/>
        <v>800</v>
      </c>
      <c r="BJ132" s="4089">
        <f t="shared" si="54"/>
        <v>800</v>
      </c>
      <c r="BK132" s="4089">
        <f t="shared" si="55"/>
        <v>800</v>
      </c>
      <c r="BL132" s="4089">
        <f t="shared" si="56"/>
        <v>800</v>
      </c>
      <c r="BM132" s="4089">
        <f t="shared" si="57"/>
        <v>640</v>
      </c>
      <c r="BN132" s="4089">
        <f t="shared" si="58"/>
        <v>160</v>
      </c>
      <c r="BO132" s="4382"/>
      <c r="BP132" s="4382"/>
      <c r="BQ132" s="4382"/>
      <c r="BR132" s="4382"/>
      <c r="BS132" s="4382"/>
      <c r="BT132" s="4383"/>
      <c r="BU132" s="880"/>
      <c r="BV132" s="4385">
        <f t="shared" ref="BV132:BV160" si="62">SUM(BH132:BU132)</f>
        <v>4800</v>
      </c>
      <c r="BW132" s="4386">
        <f t="shared" si="40"/>
        <v>0</v>
      </c>
      <c r="BX132" s="4387"/>
      <c r="BY132" s="4387"/>
      <c r="BZ132" s="4387"/>
      <c r="CA132" s="4391"/>
      <c r="CC132" s="4392"/>
      <c r="CD132" s="4391"/>
    </row>
    <row r="133" s="4025" customFormat="1" ht="50" customHeight="1" spans="1:82">
      <c r="A133" s="3688">
        <v>45677</v>
      </c>
      <c r="B133" s="3664" t="s">
        <v>3065</v>
      </c>
      <c r="C133" s="3664" t="s">
        <v>91</v>
      </c>
      <c r="D133" s="3691">
        <v>4500156208</v>
      </c>
      <c r="E133" s="5457" t="s">
        <v>3146</v>
      </c>
      <c r="F133" s="3664" t="s">
        <v>3147</v>
      </c>
      <c r="G133" s="3664" t="s">
        <v>3068</v>
      </c>
      <c r="H133" s="3664" t="s">
        <v>3069</v>
      </c>
      <c r="I133" s="3691">
        <v>1536</v>
      </c>
      <c r="J133" s="3691">
        <v>2</v>
      </c>
      <c r="K133" s="3691">
        <v>384</v>
      </c>
      <c r="L133" s="3691">
        <f t="shared" si="60"/>
        <v>4</v>
      </c>
      <c r="M133" s="3659">
        <v>45727</v>
      </c>
      <c r="N133" s="3659">
        <v>45723</v>
      </c>
      <c r="O133" s="3664" t="s">
        <v>3148</v>
      </c>
      <c r="P133" s="3682" t="s">
        <v>82</v>
      </c>
      <c r="Q133" s="3682"/>
      <c r="R133" s="4083"/>
      <c r="S133" s="4083"/>
      <c r="T133" s="4083"/>
      <c r="U133" s="3645" t="s">
        <v>166</v>
      </c>
      <c r="V133" s="3657" t="s">
        <v>3072</v>
      </c>
      <c r="W133" s="3657"/>
      <c r="X133" s="3657" t="s">
        <v>3073</v>
      </c>
      <c r="Y133" s="3657" t="s">
        <v>3074</v>
      </c>
      <c r="Z133" s="3661"/>
      <c r="AA133" s="3620" t="s">
        <v>3116</v>
      </c>
      <c r="AB133" s="3691" t="s">
        <v>3076</v>
      </c>
      <c r="AC133" s="4087">
        <v>851.2093</v>
      </c>
      <c r="AD133" s="3691">
        <f>AC133*L133</f>
        <v>3404.8372</v>
      </c>
      <c r="AE133" s="3645" t="s">
        <v>3149</v>
      </c>
      <c r="AF133" s="959" t="s">
        <v>3078</v>
      </c>
      <c r="AG133" s="3645" t="s">
        <v>416</v>
      </c>
      <c r="AH133" s="875"/>
      <c r="AI133" s="3691">
        <f>I133</f>
        <v>1536</v>
      </c>
      <c r="AJ133" s="3691"/>
      <c r="AK133" s="875"/>
      <c r="AL133" s="3664"/>
      <c r="AM133" s="3664"/>
      <c r="AN133" s="3691"/>
      <c r="AO133" s="3691">
        <f t="shared" si="51"/>
        <v>1536</v>
      </c>
      <c r="AP133" s="3691"/>
      <c r="AQ133" s="4089"/>
      <c r="AR133" s="877"/>
      <c r="AS133" s="4089">
        <f>I133</f>
        <v>1536</v>
      </c>
      <c r="AT133" s="877"/>
      <c r="AU133" s="4089"/>
      <c r="AV133" s="4089"/>
      <c r="AW133" s="4089"/>
      <c r="AX133" s="4089"/>
      <c r="AY133" s="4089"/>
      <c r="AZ133" s="4089"/>
      <c r="BA133" s="4089"/>
      <c r="BB133" s="4089">
        <f>I133/2</f>
        <v>768</v>
      </c>
      <c r="BC133" s="4089"/>
      <c r="BD133" s="4089"/>
      <c r="BE133" s="4089"/>
      <c r="BF133" s="4089" t="s">
        <v>89</v>
      </c>
      <c r="BG133" s="4089"/>
      <c r="BH133" s="4089">
        <f t="shared" si="52"/>
        <v>256</v>
      </c>
      <c r="BI133" s="4089">
        <f t="shared" si="53"/>
        <v>256</v>
      </c>
      <c r="BJ133" s="4089">
        <f t="shared" si="54"/>
        <v>256</v>
      </c>
      <c r="BK133" s="4089">
        <f t="shared" si="55"/>
        <v>256</v>
      </c>
      <c r="BL133" s="4089">
        <f t="shared" si="56"/>
        <v>256</v>
      </c>
      <c r="BM133" s="4089">
        <f t="shared" si="57"/>
        <v>204.8</v>
      </c>
      <c r="BN133" s="4089">
        <f t="shared" si="58"/>
        <v>51.2</v>
      </c>
      <c r="BO133" s="878"/>
      <c r="BP133" s="878"/>
      <c r="BQ133" s="878"/>
      <c r="BR133" s="878"/>
      <c r="BS133" s="878"/>
      <c r="BT133" s="879"/>
      <c r="BU133" s="880"/>
      <c r="BV133" s="4385">
        <f t="shared" si="62"/>
        <v>1536</v>
      </c>
      <c r="BW133" s="4386">
        <f t="shared" ref="BW133:BW196" si="63">I133-BV133</f>
        <v>0</v>
      </c>
      <c r="BX133" s="4387"/>
      <c r="BY133" s="4387"/>
      <c r="BZ133" s="4387"/>
      <c r="CA133" s="4391"/>
      <c r="CC133" s="4392"/>
      <c r="CD133" s="4391"/>
    </row>
    <row r="134" s="4025" customFormat="1" ht="50" customHeight="1" spans="1:82">
      <c r="A134" s="3688">
        <v>45677</v>
      </c>
      <c r="B134" s="3664" t="s">
        <v>3065</v>
      </c>
      <c r="C134" s="3664" t="s">
        <v>91</v>
      </c>
      <c r="D134" s="3691">
        <v>4500156208</v>
      </c>
      <c r="E134" s="5457" t="s">
        <v>3150</v>
      </c>
      <c r="F134" s="3690" t="s">
        <v>3151</v>
      </c>
      <c r="G134" s="3664" t="s">
        <v>3068</v>
      </c>
      <c r="H134" s="3664" t="s">
        <v>3069</v>
      </c>
      <c r="I134" s="3691">
        <v>1920</v>
      </c>
      <c r="J134" s="3691">
        <v>2</v>
      </c>
      <c r="K134" s="3691">
        <v>384</v>
      </c>
      <c r="L134" s="3691">
        <f t="shared" si="60"/>
        <v>5</v>
      </c>
      <c r="M134" s="3659">
        <v>45727</v>
      </c>
      <c r="N134" s="3659">
        <v>45723</v>
      </c>
      <c r="O134" s="3664" t="s">
        <v>3148</v>
      </c>
      <c r="P134" s="3682" t="s">
        <v>82</v>
      </c>
      <c r="Q134" s="3682"/>
      <c r="R134" s="4083"/>
      <c r="S134" s="4083"/>
      <c r="T134" s="4083"/>
      <c r="U134" s="3645" t="s">
        <v>172</v>
      </c>
      <c r="V134" s="3657" t="s">
        <v>3072</v>
      </c>
      <c r="W134" s="3657"/>
      <c r="X134" s="3657" t="s">
        <v>3073</v>
      </c>
      <c r="Y134" s="3657" t="s">
        <v>3074</v>
      </c>
      <c r="Z134" s="3661"/>
      <c r="AA134" s="3620" t="s">
        <v>3116</v>
      </c>
      <c r="AB134" s="3691" t="s">
        <v>3076</v>
      </c>
      <c r="AC134" s="4087">
        <v>851.2093</v>
      </c>
      <c r="AD134" s="3691">
        <f>AC134*L134</f>
        <v>4256.0465</v>
      </c>
      <c r="AE134" s="3645" t="s">
        <v>3152</v>
      </c>
      <c r="AF134" s="959" t="s">
        <v>3078</v>
      </c>
      <c r="AG134" s="3645" t="s">
        <v>416</v>
      </c>
      <c r="AH134" s="875"/>
      <c r="AI134" s="3691">
        <f>I134</f>
        <v>1920</v>
      </c>
      <c r="AJ134" s="3691"/>
      <c r="AK134" s="875"/>
      <c r="AL134" s="3664"/>
      <c r="AM134" s="3664"/>
      <c r="AN134" s="3691"/>
      <c r="AO134" s="3691">
        <f t="shared" si="51"/>
        <v>1920</v>
      </c>
      <c r="AP134" s="3691"/>
      <c r="AQ134" s="4089"/>
      <c r="AR134" s="877"/>
      <c r="AS134" s="4089">
        <f>I134</f>
        <v>1920</v>
      </c>
      <c r="AT134" s="877"/>
      <c r="AU134" s="4089"/>
      <c r="AV134" s="4089"/>
      <c r="AW134" s="4089"/>
      <c r="AX134" s="4089"/>
      <c r="AY134" s="4089"/>
      <c r="AZ134" s="4089"/>
      <c r="BA134" s="4089"/>
      <c r="BB134" s="4089">
        <f>I134/2</f>
        <v>960</v>
      </c>
      <c r="BC134" s="4089"/>
      <c r="BD134" s="4089"/>
      <c r="BE134" s="4089"/>
      <c r="BF134" s="4089" t="s">
        <v>89</v>
      </c>
      <c r="BG134" s="4089"/>
      <c r="BH134" s="4089">
        <f t="shared" si="52"/>
        <v>320</v>
      </c>
      <c r="BI134" s="4089">
        <f t="shared" si="53"/>
        <v>320</v>
      </c>
      <c r="BJ134" s="4089">
        <f t="shared" si="54"/>
        <v>320</v>
      </c>
      <c r="BK134" s="4089">
        <f t="shared" si="55"/>
        <v>320</v>
      </c>
      <c r="BL134" s="4089">
        <f t="shared" si="56"/>
        <v>320</v>
      </c>
      <c r="BM134" s="4089">
        <f t="shared" si="57"/>
        <v>256</v>
      </c>
      <c r="BN134" s="4089">
        <f t="shared" si="58"/>
        <v>64</v>
      </c>
      <c r="BO134" s="878"/>
      <c r="BP134" s="878"/>
      <c r="BQ134" s="878"/>
      <c r="BR134" s="878"/>
      <c r="BS134" s="878"/>
      <c r="BT134" s="879"/>
      <c r="BU134" s="880"/>
      <c r="BV134" s="4385">
        <f t="shared" si="62"/>
        <v>1920</v>
      </c>
      <c r="BW134" s="4386">
        <f t="shared" si="63"/>
        <v>0</v>
      </c>
      <c r="BX134" s="4387"/>
      <c r="BY134" s="4387"/>
      <c r="BZ134" s="4387"/>
      <c r="CA134" s="4391"/>
      <c r="CC134" s="4392"/>
      <c r="CD134" s="4391"/>
    </row>
    <row r="135" s="4025" customFormat="1" ht="50" customHeight="1" spans="1:82">
      <c r="A135" s="3688">
        <v>45677</v>
      </c>
      <c r="B135" s="3664" t="s">
        <v>3065</v>
      </c>
      <c r="C135" s="3664" t="s">
        <v>91</v>
      </c>
      <c r="D135" s="3691">
        <v>4500156208</v>
      </c>
      <c r="E135" s="5457" t="s">
        <v>3153</v>
      </c>
      <c r="F135" s="3690" t="s">
        <v>3154</v>
      </c>
      <c r="G135" s="3664" t="s">
        <v>3068</v>
      </c>
      <c r="H135" s="3664" t="s">
        <v>3069</v>
      </c>
      <c r="I135" s="3691">
        <v>1536</v>
      </c>
      <c r="J135" s="3691">
        <v>2</v>
      </c>
      <c r="K135" s="3691">
        <v>384</v>
      </c>
      <c r="L135" s="3691">
        <f t="shared" si="60"/>
        <v>4</v>
      </c>
      <c r="M135" s="3659">
        <v>45727</v>
      </c>
      <c r="N135" s="3659">
        <v>45723</v>
      </c>
      <c r="O135" s="3664" t="s">
        <v>3148</v>
      </c>
      <c r="P135" s="3682" t="s">
        <v>82</v>
      </c>
      <c r="Q135" s="3682"/>
      <c r="R135" s="4083"/>
      <c r="S135" s="4083"/>
      <c r="T135" s="4083"/>
      <c r="U135" s="3645" t="s">
        <v>863</v>
      </c>
      <c r="V135" s="3657" t="s">
        <v>3072</v>
      </c>
      <c r="W135" s="3657"/>
      <c r="X135" s="3657" t="s">
        <v>3073</v>
      </c>
      <c r="Y135" s="3657" t="s">
        <v>3074</v>
      </c>
      <c r="Z135" s="3661"/>
      <c r="AA135" s="3620" t="s">
        <v>3116</v>
      </c>
      <c r="AB135" s="3691" t="s">
        <v>3076</v>
      </c>
      <c r="AC135" s="4087">
        <v>871.7366</v>
      </c>
      <c r="AD135" s="3691">
        <f>AC135*L135</f>
        <v>3486.9464</v>
      </c>
      <c r="AE135" s="3645" t="s">
        <v>3155</v>
      </c>
      <c r="AF135" s="959" t="s">
        <v>3078</v>
      </c>
      <c r="AG135" s="3645" t="s">
        <v>416</v>
      </c>
      <c r="AH135" s="875"/>
      <c r="AI135" s="3691">
        <f>I135</f>
        <v>1536</v>
      </c>
      <c r="AJ135" s="3691"/>
      <c r="AK135" s="875"/>
      <c r="AL135" s="3664"/>
      <c r="AM135" s="3664"/>
      <c r="AN135" s="3691"/>
      <c r="AO135" s="3691">
        <f t="shared" si="51"/>
        <v>1536</v>
      </c>
      <c r="AP135" s="3691"/>
      <c r="AQ135" s="4089"/>
      <c r="AR135" s="877"/>
      <c r="AS135" s="4089">
        <f>I135</f>
        <v>1536</v>
      </c>
      <c r="AT135" s="877"/>
      <c r="AU135" s="4089"/>
      <c r="AV135" s="4089"/>
      <c r="AW135" s="4089"/>
      <c r="AX135" s="4089"/>
      <c r="AY135" s="4089"/>
      <c r="AZ135" s="4089"/>
      <c r="BA135" s="4089"/>
      <c r="BB135" s="4089">
        <f>I135/2</f>
        <v>768</v>
      </c>
      <c r="BC135" s="4089"/>
      <c r="BD135" s="4089"/>
      <c r="BE135" s="4089"/>
      <c r="BF135" s="4089" t="s">
        <v>89</v>
      </c>
      <c r="BG135" s="4089"/>
      <c r="BH135" s="4089">
        <f t="shared" si="52"/>
        <v>256</v>
      </c>
      <c r="BI135" s="4089">
        <f t="shared" si="53"/>
        <v>256</v>
      </c>
      <c r="BJ135" s="4089">
        <f t="shared" si="54"/>
        <v>256</v>
      </c>
      <c r="BK135" s="4089">
        <f t="shared" si="55"/>
        <v>256</v>
      </c>
      <c r="BL135" s="4089">
        <f t="shared" si="56"/>
        <v>256</v>
      </c>
      <c r="BM135" s="4089">
        <f t="shared" si="57"/>
        <v>204.8</v>
      </c>
      <c r="BN135" s="4089">
        <f t="shared" si="58"/>
        <v>51.2</v>
      </c>
      <c r="BO135" s="878"/>
      <c r="BP135" s="878"/>
      <c r="BQ135" s="878"/>
      <c r="BR135" s="878"/>
      <c r="BS135" s="878"/>
      <c r="BT135" s="879"/>
      <c r="BU135" s="880"/>
      <c r="BV135" s="4385">
        <f t="shared" si="62"/>
        <v>1536</v>
      </c>
      <c r="BW135" s="4386">
        <f t="shared" si="63"/>
        <v>0</v>
      </c>
      <c r="BX135" s="4387"/>
      <c r="BY135" s="4387"/>
      <c r="BZ135" s="4387"/>
      <c r="CA135" s="4391"/>
      <c r="CC135" s="4392"/>
      <c r="CD135" s="4391"/>
    </row>
    <row r="136" s="4025" customFormat="1" ht="50" customHeight="1" spans="1:82">
      <c r="A136" s="3688">
        <v>45674</v>
      </c>
      <c r="B136" s="3664" t="s">
        <v>3156</v>
      </c>
      <c r="C136" s="3664" t="s">
        <v>471</v>
      </c>
      <c r="D136" s="3691">
        <v>4500156082</v>
      </c>
      <c r="E136" s="3664">
        <v>5200006028</v>
      </c>
      <c r="F136" s="3664" t="s">
        <v>3157</v>
      </c>
      <c r="G136" s="3664" t="s">
        <v>3158</v>
      </c>
      <c r="H136" s="3691" t="s">
        <v>2591</v>
      </c>
      <c r="I136" s="3691">
        <v>2400</v>
      </c>
      <c r="J136" s="3691">
        <v>0</v>
      </c>
      <c r="K136" s="3691">
        <v>6</v>
      </c>
      <c r="L136" s="3691">
        <f t="shared" si="60"/>
        <v>400</v>
      </c>
      <c r="M136" s="3659">
        <v>45729</v>
      </c>
      <c r="N136" s="3659">
        <v>45726</v>
      </c>
      <c r="O136" s="4085"/>
      <c r="P136" s="3682" t="s">
        <v>82</v>
      </c>
      <c r="Q136" s="3682"/>
      <c r="R136" s="4083"/>
      <c r="S136" s="4083"/>
      <c r="T136" s="4083"/>
      <c r="U136" s="3645"/>
      <c r="V136" s="3657" t="s">
        <v>3159</v>
      </c>
      <c r="W136" s="3657"/>
      <c r="X136" s="3657" t="s">
        <v>3160</v>
      </c>
      <c r="Y136" s="3657"/>
      <c r="Z136" s="3661"/>
      <c r="AA136" s="3620" t="s">
        <v>3161</v>
      </c>
      <c r="AB136" s="3691" t="s">
        <v>3162</v>
      </c>
      <c r="AC136" s="3691">
        <v>2.0921</v>
      </c>
      <c r="AD136" s="3691">
        <f>AC136*I136</f>
        <v>5021.04</v>
      </c>
      <c r="AE136" s="3645" t="s">
        <v>3163</v>
      </c>
      <c r="AF136" s="3664" t="s">
        <v>3164</v>
      </c>
      <c r="AG136" s="3645" t="s">
        <v>416</v>
      </c>
      <c r="AH136" s="875"/>
      <c r="AI136" s="3691"/>
      <c r="AJ136" s="3691"/>
      <c r="AK136" s="875"/>
      <c r="AL136" s="3664">
        <f>I136</f>
        <v>2400</v>
      </c>
      <c r="AM136" s="3664"/>
      <c r="AN136" s="3691"/>
      <c r="AO136" s="3691">
        <f t="shared" si="51"/>
        <v>2400</v>
      </c>
      <c r="AP136" s="3691"/>
      <c r="AQ136" s="4089"/>
      <c r="AR136" s="877"/>
      <c r="AS136" s="4089"/>
      <c r="AT136" s="877"/>
      <c r="AU136" s="4089">
        <f>I136</f>
        <v>2400</v>
      </c>
      <c r="AV136" s="4089"/>
      <c r="AW136" s="4089"/>
      <c r="AX136" s="4089"/>
      <c r="AY136" s="4089"/>
      <c r="AZ136" s="4089"/>
      <c r="BA136" s="4089"/>
      <c r="BB136" s="4089"/>
      <c r="BC136" s="4089"/>
      <c r="BD136" s="4089"/>
      <c r="BE136" s="4089"/>
      <c r="BF136" s="4089" t="s">
        <v>89</v>
      </c>
      <c r="BG136" s="4089"/>
      <c r="BH136" s="4089">
        <f t="shared" si="52"/>
        <v>400</v>
      </c>
      <c r="BI136" s="4089">
        <f t="shared" si="53"/>
        <v>400</v>
      </c>
      <c r="BJ136" s="4089">
        <f t="shared" si="54"/>
        <v>400</v>
      </c>
      <c r="BK136" s="4089">
        <f t="shared" si="55"/>
        <v>400</v>
      </c>
      <c r="BL136" s="4089">
        <f t="shared" si="56"/>
        <v>400</v>
      </c>
      <c r="BM136" s="4089">
        <f t="shared" si="57"/>
        <v>320</v>
      </c>
      <c r="BN136" s="4089">
        <f t="shared" si="58"/>
        <v>80</v>
      </c>
      <c r="BO136" s="878"/>
      <c r="BP136" s="878"/>
      <c r="BQ136" s="878"/>
      <c r="BR136" s="878"/>
      <c r="BS136" s="878"/>
      <c r="BT136" s="879"/>
      <c r="BU136" s="880"/>
      <c r="BV136" s="4385">
        <f t="shared" si="62"/>
        <v>2400</v>
      </c>
      <c r="BW136" s="4386">
        <f t="shared" si="63"/>
        <v>0</v>
      </c>
      <c r="BX136" s="4387"/>
      <c r="BY136" s="4387"/>
      <c r="BZ136" s="4387"/>
      <c r="CA136" s="4391"/>
      <c r="CC136" s="4392"/>
      <c r="CD136" s="4391"/>
    </row>
    <row r="137" s="4025" customFormat="1" ht="50" customHeight="1" spans="1:82">
      <c r="A137" s="3688">
        <v>45702</v>
      </c>
      <c r="B137" s="3664" t="s">
        <v>3156</v>
      </c>
      <c r="C137" s="3664" t="s">
        <v>471</v>
      </c>
      <c r="D137" s="3691">
        <v>4500157623</v>
      </c>
      <c r="E137" s="3691">
        <v>5200006155</v>
      </c>
      <c r="F137" s="3664" t="s">
        <v>3165</v>
      </c>
      <c r="G137" s="3664" t="s">
        <v>3158</v>
      </c>
      <c r="H137" s="3691" t="s">
        <v>2591</v>
      </c>
      <c r="I137" s="3691">
        <v>2400</v>
      </c>
      <c r="J137" s="3691">
        <v>0</v>
      </c>
      <c r="K137" s="3691">
        <v>6</v>
      </c>
      <c r="L137" s="3691">
        <f t="shared" si="60"/>
        <v>400</v>
      </c>
      <c r="M137" s="3659">
        <v>45729</v>
      </c>
      <c r="N137" s="3659">
        <v>45726</v>
      </c>
      <c r="O137" s="4085"/>
      <c r="P137" s="3682" t="s">
        <v>82</v>
      </c>
      <c r="Q137" s="3682"/>
      <c r="R137" s="4083"/>
      <c r="S137" s="4083"/>
      <c r="T137" s="4083"/>
      <c r="U137" s="3645" t="s">
        <v>803</v>
      </c>
      <c r="V137" s="3657" t="s">
        <v>3166</v>
      </c>
      <c r="W137" s="3657"/>
      <c r="X137" s="3657" t="s">
        <v>3167</v>
      </c>
      <c r="Y137" s="3657"/>
      <c r="Z137" s="3661"/>
      <c r="AA137" s="3620" t="s">
        <v>3168</v>
      </c>
      <c r="AB137" s="3691" t="s">
        <v>3162</v>
      </c>
      <c r="AC137" s="3691">
        <v>2.1437</v>
      </c>
      <c r="AD137" s="3691">
        <f>AC137*I137</f>
        <v>5144.88</v>
      </c>
      <c r="AE137" s="3645" t="s">
        <v>3169</v>
      </c>
      <c r="AF137" s="3664" t="s">
        <v>3164</v>
      </c>
      <c r="AG137" s="3645" t="s">
        <v>416</v>
      </c>
      <c r="AH137" s="875"/>
      <c r="AI137" s="3691"/>
      <c r="AJ137" s="3691"/>
      <c r="AK137" s="875"/>
      <c r="AL137" s="3664">
        <f>I137</f>
        <v>2400</v>
      </c>
      <c r="AM137" s="3664"/>
      <c r="AN137" s="3691"/>
      <c r="AO137" s="3691">
        <f t="shared" si="51"/>
        <v>2400</v>
      </c>
      <c r="AP137" s="3691"/>
      <c r="AQ137" s="4089"/>
      <c r="AR137" s="878"/>
      <c r="AS137" s="4089"/>
      <c r="AT137" s="878"/>
      <c r="AU137" s="4089">
        <f>I137</f>
        <v>2400</v>
      </c>
      <c r="AV137" s="4089"/>
      <c r="AW137" s="4089"/>
      <c r="AX137" s="4089"/>
      <c r="AY137" s="4089"/>
      <c r="AZ137" s="4089"/>
      <c r="BA137" s="4089"/>
      <c r="BB137" s="4089"/>
      <c r="BC137" s="4089"/>
      <c r="BD137" s="4089"/>
      <c r="BE137" s="4089"/>
      <c r="BF137" s="4089" t="s">
        <v>89</v>
      </c>
      <c r="BG137" s="4089"/>
      <c r="BH137" s="4089">
        <f t="shared" si="52"/>
        <v>400</v>
      </c>
      <c r="BI137" s="4089">
        <f t="shared" si="53"/>
        <v>400</v>
      </c>
      <c r="BJ137" s="4089">
        <f t="shared" si="54"/>
        <v>400</v>
      </c>
      <c r="BK137" s="4089">
        <f t="shared" si="55"/>
        <v>400</v>
      </c>
      <c r="BL137" s="4089">
        <f t="shared" si="56"/>
        <v>400</v>
      </c>
      <c r="BM137" s="4089">
        <f t="shared" si="57"/>
        <v>320</v>
      </c>
      <c r="BN137" s="4089">
        <f t="shared" si="58"/>
        <v>80</v>
      </c>
      <c r="BO137" s="878"/>
      <c r="BP137" s="878"/>
      <c r="BQ137" s="878"/>
      <c r="BR137" s="878"/>
      <c r="BS137" s="878"/>
      <c r="BT137" s="879"/>
      <c r="BU137" s="880"/>
      <c r="BV137" s="4385">
        <f t="shared" si="62"/>
        <v>2400</v>
      </c>
      <c r="BW137" s="4386">
        <f t="shared" si="63"/>
        <v>0</v>
      </c>
      <c r="BX137" s="4387"/>
      <c r="BY137" s="4387"/>
      <c r="BZ137" s="4387"/>
      <c r="CA137" s="4391"/>
      <c r="CC137" s="4392"/>
      <c r="CD137" s="4391"/>
    </row>
    <row r="138" s="4025" customFormat="1" ht="50" customHeight="1" spans="1:82">
      <c r="A138" s="3688">
        <v>45651</v>
      </c>
      <c r="B138" s="3664" t="s">
        <v>737</v>
      </c>
      <c r="C138" s="3664" t="s">
        <v>738</v>
      </c>
      <c r="D138" s="3691">
        <v>4500154624</v>
      </c>
      <c r="E138" s="3664">
        <v>61900885</v>
      </c>
      <c r="F138" s="3691" t="s">
        <v>3170</v>
      </c>
      <c r="G138" s="3664" t="s">
        <v>2577</v>
      </c>
      <c r="H138" s="3664" t="s">
        <v>2591</v>
      </c>
      <c r="I138" s="3691">
        <v>228</v>
      </c>
      <c r="J138" s="3691">
        <v>0</v>
      </c>
      <c r="K138" s="3691">
        <v>12</v>
      </c>
      <c r="L138" s="3691">
        <f t="shared" si="60"/>
        <v>19</v>
      </c>
      <c r="M138" s="3659">
        <v>45730</v>
      </c>
      <c r="N138" s="3659">
        <v>45726</v>
      </c>
      <c r="O138" s="4085"/>
      <c r="P138" s="3682" t="s">
        <v>82</v>
      </c>
      <c r="Q138" s="3682"/>
      <c r="R138" s="4083"/>
      <c r="S138" s="4083"/>
      <c r="T138" s="4083"/>
      <c r="U138" s="3645" t="s">
        <v>845</v>
      </c>
      <c r="V138" s="3657" t="s">
        <v>846</v>
      </c>
      <c r="W138" s="3657"/>
      <c r="X138" s="3657" t="s">
        <v>3043</v>
      </c>
      <c r="Y138" s="3657" t="s">
        <v>847</v>
      </c>
      <c r="Z138" s="3661"/>
      <c r="AA138" s="3620" t="s">
        <v>3171</v>
      </c>
      <c r="AB138" s="3691" t="s">
        <v>459</v>
      </c>
      <c r="AC138" s="4087">
        <v>2.1891</v>
      </c>
      <c r="AD138" s="3691">
        <f t="shared" ref="AD138:AD150" si="64">AC138*I138</f>
        <v>499.1148</v>
      </c>
      <c r="AE138" s="3645" t="s">
        <v>848</v>
      </c>
      <c r="AF138" s="3664" t="s">
        <v>2604</v>
      </c>
      <c r="AG138" s="3645" t="s">
        <v>416</v>
      </c>
      <c r="AH138" s="875"/>
      <c r="AI138" s="3691"/>
      <c r="AJ138" s="3691"/>
      <c r="AK138" s="875"/>
      <c r="AL138" s="3664">
        <f t="shared" ref="AL138:AL146" si="65">I138</f>
        <v>228</v>
      </c>
      <c r="AM138" s="3664"/>
      <c r="AN138" s="3691"/>
      <c r="AO138" s="3691">
        <f t="shared" si="51"/>
        <v>228</v>
      </c>
      <c r="AP138" s="3691"/>
      <c r="AQ138" s="4089"/>
      <c r="AR138" s="877"/>
      <c r="AS138" s="4089">
        <f t="shared" ref="AS137:AS159" si="66">I138</f>
        <v>228</v>
      </c>
      <c r="AT138" s="877"/>
      <c r="AU138" s="4089"/>
      <c r="AV138" s="4089">
        <f>I138/6</f>
        <v>38</v>
      </c>
      <c r="AW138" s="4089"/>
      <c r="AX138" s="4089"/>
      <c r="AY138" s="4089"/>
      <c r="AZ138" s="4089"/>
      <c r="BA138" s="4089"/>
      <c r="BB138" s="4089"/>
      <c r="BC138" s="4089"/>
      <c r="BD138" s="4089"/>
      <c r="BE138" s="4089"/>
      <c r="BF138" s="4089" t="s">
        <v>89</v>
      </c>
      <c r="BG138" s="4089"/>
      <c r="BH138" s="4089">
        <f t="shared" si="52"/>
        <v>38</v>
      </c>
      <c r="BI138" s="4089">
        <f t="shared" si="53"/>
        <v>38</v>
      </c>
      <c r="BJ138" s="4089">
        <f t="shared" si="54"/>
        <v>38</v>
      </c>
      <c r="BK138" s="4089">
        <f t="shared" si="55"/>
        <v>38</v>
      </c>
      <c r="BL138" s="4089">
        <f t="shared" si="56"/>
        <v>38</v>
      </c>
      <c r="BM138" s="4089">
        <f t="shared" si="57"/>
        <v>30.4</v>
      </c>
      <c r="BN138" s="4089">
        <f t="shared" si="58"/>
        <v>7.6</v>
      </c>
      <c r="BO138" s="878"/>
      <c r="BP138" s="878"/>
      <c r="BQ138" s="878"/>
      <c r="BR138" s="878"/>
      <c r="BS138" s="878"/>
      <c r="BT138" s="879"/>
      <c r="BU138" s="880"/>
      <c r="BV138" s="4385">
        <f t="shared" si="62"/>
        <v>228</v>
      </c>
      <c r="BW138" s="4386">
        <f t="shared" si="63"/>
        <v>0</v>
      </c>
      <c r="BX138" s="4387"/>
      <c r="BY138" s="4387"/>
      <c r="BZ138" s="4387"/>
      <c r="CA138" s="4388"/>
      <c r="CC138" s="4389"/>
      <c r="CD138" s="4388"/>
    </row>
    <row r="139" s="4025" customFormat="1" ht="50" customHeight="1" spans="1:82">
      <c r="A139" s="3688">
        <v>45677</v>
      </c>
      <c r="B139" s="3664" t="s">
        <v>3172</v>
      </c>
      <c r="C139" s="3664" t="s">
        <v>840</v>
      </c>
      <c r="D139" s="3691">
        <v>4500156115</v>
      </c>
      <c r="E139" s="3664">
        <v>7631985</v>
      </c>
      <c r="F139" s="3691" t="s">
        <v>3173</v>
      </c>
      <c r="G139" s="3664" t="s">
        <v>3174</v>
      </c>
      <c r="H139" s="3664" t="s">
        <v>2677</v>
      </c>
      <c r="I139" s="3691">
        <v>156</v>
      </c>
      <c r="J139" s="3691">
        <v>0</v>
      </c>
      <c r="K139" s="3691">
        <v>12</v>
      </c>
      <c r="L139" s="3691">
        <f t="shared" si="60"/>
        <v>13</v>
      </c>
      <c r="M139" s="3659">
        <v>45730</v>
      </c>
      <c r="N139" s="3659">
        <v>45726</v>
      </c>
      <c r="O139" s="4085"/>
      <c r="P139" s="3682" t="s">
        <v>82</v>
      </c>
      <c r="Q139" s="3682"/>
      <c r="R139" s="4083"/>
      <c r="S139" s="4083"/>
      <c r="T139" s="4083"/>
      <c r="U139" s="3620" t="s">
        <v>3175</v>
      </c>
      <c r="V139" s="3657" t="s">
        <v>835</v>
      </c>
      <c r="W139" s="3657"/>
      <c r="X139" s="3657" t="s">
        <v>3176</v>
      </c>
      <c r="Y139" s="3657"/>
      <c r="Z139" s="3661"/>
      <c r="AA139" s="3620" t="s">
        <v>3177</v>
      </c>
      <c r="AB139" s="3691" t="s">
        <v>380</v>
      </c>
      <c r="AC139" s="4087">
        <v>2.0865</v>
      </c>
      <c r="AD139" s="3691">
        <f t="shared" si="64"/>
        <v>325.494</v>
      </c>
      <c r="AE139" s="3645" t="s">
        <v>3178</v>
      </c>
      <c r="AF139" s="959" t="s">
        <v>3179</v>
      </c>
      <c r="AG139" s="3645" t="s">
        <v>416</v>
      </c>
      <c r="AH139" s="875"/>
      <c r="AI139" s="3691"/>
      <c r="AJ139" s="3691"/>
      <c r="AK139" s="875"/>
      <c r="AL139" s="3664">
        <f t="shared" si="65"/>
        <v>156</v>
      </c>
      <c r="AM139" s="3664"/>
      <c r="AN139" s="3691"/>
      <c r="AO139" s="3691">
        <f t="shared" si="51"/>
        <v>156</v>
      </c>
      <c r="AP139" s="3691"/>
      <c r="AQ139" s="4089"/>
      <c r="AR139" s="877"/>
      <c r="AS139" s="4089">
        <f t="shared" si="66"/>
        <v>156</v>
      </c>
      <c r="AT139" s="877"/>
      <c r="AU139" s="4089"/>
      <c r="AV139" s="4089"/>
      <c r="AW139" s="4089"/>
      <c r="AX139" s="4089"/>
      <c r="AY139" s="4089"/>
      <c r="AZ139" s="4089"/>
      <c r="BA139" s="4089"/>
      <c r="BB139" s="4089"/>
      <c r="BC139" s="4089"/>
      <c r="BD139" s="4089"/>
      <c r="BE139" s="4089"/>
      <c r="BF139" s="4089" t="s">
        <v>89</v>
      </c>
      <c r="BG139" s="4089"/>
      <c r="BH139" s="4089"/>
      <c r="BI139" s="4089">
        <f>I139</f>
        <v>156</v>
      </c>
      <c r="BJ139" s="4089"/>
      <c r="BK139" s="4089"/>
      <c r="BL139" s="4089"/>
      <c r="BM139" s="4089"/>
      <c r="BN139" s="4403"/>
      <c r="BO139" s="878"/>
      <c r="BP139" s="878"/>
      <c r="BQ139" s="878"/>
      <c r="BR139" s="878"/>
      <c r="BS139" s="878"/>
      <c r="BT139" s="879"/>
      <c r="BU139" s="880"/>
      <c r="BV139" s="4385">
        <f t="shared" si="62"/>
        <v>156</v>
      </c>
      <c r="BW139" s="4386">
        <f t="shared" si="63"/>
        <v>0</v>
      </c>
      <c r="BX139" s="4387"/>
      <c r="BY139" s="4387"/>
      <c r="BZ139" s="4387"/>
      <c r="CA139" s="4388"/>
      <c r="CC139" s="4389"/>
      <c r="CD139" s="4388"/>
    </row>
    <row r="140" s="4025" customFormat="1" ht="50" customHeight="1" spans="1:82">
      <c r="A140" s="3688">
        <v>45677</v>
      </c>
      <c r="B140" s="3664" t="s">
        <v>3172</v>
      </c>
      <c r="C140" s="3664" t="s">
        <v>840</v>
      </c>
      <c r="D140" s="3691">
        <v>4500156115</v>
      </c>
      <c r="E140" s="3664">
        <v>7631985</v>
      </c>
      <c r="F140" s="3691" t="s">
        <v>3180</v>
      </c>
      <c r="G140" s="3664" t="s">
        <v>2631</v>
      </c>
      <c r="H140" s="3664" t="s">
        <v>2632</v>
      </c>
      <c r="I140" s="3691">
        <v>156</v>
      </c>
      <c r="J140" s="3691">
        <v>0</v>
      </c>
      <c r="K140" s="3691">
        <v>12</v>
      </c>
      <c r="L140" s="3691">
        <f t="shared" si="60"/>
        <v>13</v>
      </c>
      <c r="M140" s="3659">
        <v>45730</v>
      </c>
      <c r="N140" s="3659">
        <v>45726</v>
      </c>
      <c r="O140" s="4085"/>
      <c r="P140" s="3682" t="s">
        <v>82</v>
      </c>
      <c r="Q140" s="3682"/>
      <c r="R140" s="4083"/>
      <c r="S140" s="4083"/>
      <c r="T140" s="4083"/>
      <c r="U140" s="3620" t="s">
        <v>3175</v>
      </c>
      <c r="V140" s="3657" t="s">
        <v>835</v>
      </c>
      <c r="W140" s="3657"/>
      <c r="X140" s="3657" t="s">
        <v>3176</v>
      </c>
      <c r="Y140" s="3657"/>
      <c r="Z140" s="3661"/>
      <c r="AA140" s="3620" t="s">
        <v>3181</v>
      </c>
      <c r="AB140" s="3691" t="s">
        <v>380</v>
      </c>
      <c r="AC140" s="4087">
        <v>2.0865</v>
      </c>
      <c r="AD140" s="3691">
        <f t="shared" si="64"/>
        <v>325.494</v>
      </c>
      <c r="AE140" s="3645" t="s">
        <v>3178</v>
      </c>
      <c r="AF140" s="959" t="s">
        <v>3182</v>
      </c>
      <c r="AG140" s="3645" t="s">
        <v>416</v>
      </c>
      <c r="AH140" s="875"/>
      <c r="AI140" s="3691"/>
      <c r="AJ140" s="3691"/>
      <c r="AK140" s="875"/>
      <c r="AL140" s="3664">
        <f t="shared" si="65"/>
        <v>156</v>
      </c>
      <c r="AM140" s="3664"/>
      <c r="AN140" s="3691"/>
      <c r="AO140" s="3691">
        <f t="shared" si="51"/>
        <v>156</v>
      </c>
      <c r="AP140" s="3691"/>
      <c r="AQ140" s="4089"/>
      <c r="AR140" s="877"/>
      <c r="AS140" s="4089">
        <f t="shared" si="66"/>
        <v>156</v>
      </c>
      <c r="AT140" s="877"/>
      <c r="AU140" s="4089"/>
      <c r="AV140" s="4089"/>
      <c r="AW140" s="4089"/>
      <c r="AX140" s="4089"/>
      <c r="AY140" s="4089"/>
      <c r="AZ140" s="4089"/>
      <c r="BA140" s="4089"/>
      <c r="BB140" s="4089"/>
      <c r="BC140" s="4089"/>
      <c r="BD140" s="4089"/>
      <c r="BE140" s="4089"/>
      <c r="BF140" s="4089" t="s">
        <v>89</v>
      </c>
      <c r="BG140" s="4089"/>
      <c r="BH140" s="4089"/>
      <c r="BI140" s="4089"/>
      <c r="BJ140" s="4089">
        <f>I140-BN140</f>
        <v>156</v>
      </c>
      <c r="BK140" s="4089"/>
      <c r="BL140" s="4089"/>
      <c r="BM140" s="4089"/>
      <c r="BN140" s="4089"/>
      <c r="BO140" s="878"/>
      <c r="BP140" s="878"/>
      <c r="BQ140" s="878"/>
      <c r="BR140" s="878"/>
      <c r="BS140" s="878"/>
      <c r="BT140" s="879"/>
      <c r="BU140" s="880"/>
      <c r="BV140" s="4385">
        <f t="shared" si="62"/>
        <v>156</v>
      </c>
      <c r="BW140" s="4386">
        <f t="shared" si="63"/>
        <v>0</v>
      </c>
      <c r="BX140" s="4387"/>
      <c r="BY140" s="4387"/>
      <c r="BZ140" s="4387"/>
      <c r="CA140" s="4388"/>
      <c r="CC140" s="4389"/>
      <c r="CD140" s="4388"/>
    </row>
    <row r="141" s="4025" customFormat="1" ht="50" customHeight="1" spans="1:82">
      <c r="A141" s="3688">
        <v>45677</v>
      </c>
      <c r="B141" s="3664" t="s">
        <v>3172</v>
      </c>
      <c r="C141" s="3664" t="s">
        <v>840</v>
      </c>
      <c r="D141" s="3691">
        <v>4500156115</v>
      </c>
      <c r="E141" s="3664">
        <v>7631985</v>
      </c>
      <c r="F141" s="3691" t="s">
        <v>3183</v>
      </c>
      <c r="G141" s="3664" t="s">
        <v>2983</v>
      </c>
      <c r="H141" s="3664" t="s">
        <v>2984</v>
      </c>
      <c r="I141" s="3691">
        <v>156</v>
      </c>
      <c r="J141" s="3691">
        <v>0</v>
      </c>
      <c r="K141" s="3691">
        <v>12</v>
      </c>
      <c r="L141" s="3691">
        <f t="shared" si="60"/>
        <v>13</v>
      </c>
      <c r="M141" s="3659">
        <v>45730</v>
      </c>
      <c r="N141" s="3659">
        <v>45726</v>
      </c>
      <c r="O141" s="4085"/>
      <c r="P141" s="3682" t="s">
        <v>82</v>
      </c>
      <c r="Q141" s="3682"/>
      <c r="R141" s="4083"/>
      <c r="S141" s="4083"/>
      <c r="T141" s="4083"/>
      <c r="U141" s="3620" t="s">
        <v>3175</v>
      </c>
      <c r="V141" s="3657" t="s">
        <v>835</v>
      </c>
      <c r="W141" s="3657"/>
      <c r="X141" s="3657" t="s">
        <v>3176</v>
      </c>
      <c r="Y141" s="3657"/>
      <c r="Z141" s="3661"/>
      <c r="AA141" s="3620" t="s">
        <v>3184</v>
      </c>
      <c r="AB141" s="3691" t="s">
        <v>380</v>
      </c>
      <c r="AC141" s="4087">
        <v>2.0865</v>
      </c>
      <c r="AD141" s="3691">
        <f t="shared" si="64"/>
        <v>325.494</v>
      </c>
      <c r="AE141" s="3645" t="s">
        <v>3178</v>
      </c>
      <c r="AF141" s="959" t="s">
        <v>3018</v>
      </c>
      <c r="AG141" s="3645" t="s">
        <v>416</v>
      </c>
      <c r="AH141" s="875"/>
      <c r="AI141" s="3664"/>
      <c r="AJ141" s="3664"/>
      <c r="AK141" s="875"/>
      <c r="AL141" s="3664">
        <f t="shared" si="65"/>
        <v>156</v>
      </c>
      <c r="AM141" s="3664"/>
      <c r="AN141" s="3691"/>
      <c r="AO141" s="3691">
        <f t="shared" si="51"/>
        <v>156</v>
      </c>
      <c r="AP141" s="3691"/>
      <c r="AQ141" s="4089"/>
      <c r="AR141" s="877"/>
      <c r="AS141" s="4089">
        <f t="shared" si="66"/>
        <v>156</v>
      </c>
      <c r="AT141" s="877"/>
      <c r="AU141" s="4089"/>
      <c r="AV141" s="4089"/>
      <c r="AW141" s="4089"/>
      <c r="AX141" s="4089"/>
      <c r="AY141" s="4089"/>
      <c r="AZ141" s="4089"/>
      <c r="BA141" s="4089"/>
      <c r="BB141" s="4089"/>
      <c r="BC141" s="4089"/>
      <c r="BD141" s="4089"/>
      <c r="BE141" s="4089"/>
      <c r="BF141" s="4089" t="s">
        <v>89</v>
      </c>
      <c r="BG141" s="4089"/>
      <c r="BH141" s="4089"/>
      <c r="BI141" s="4089"/>
      <c r="BJ141" s="4089"/>
      <c r="BK141" s="4089"/>
      <c r="BL141" s="4089">
        <f>I141</f>
        <v>156</v>
      </c>
      <c r="BM141" s="4089"/>
      <c r="BN141" s="4089"/>
      <c r="BO141" s="878"/>
      <c r="BP141" s="878"/>
      <c r="BQ141" s="878"/>
      <c r="BR141" s="878"/>
      <c r="BS141" s="878"/>
      <c r="BT141" s="879"/>
      <c r="BU141" s="880"/>
      <c r="BV141" s="4385">
        <f t="shared" si="62"/>
        <v>156</v>
      </c>
      <c r="BW141" s="4386">
        <f t="shared" si="63"/>
        <v>0</v>
      </c>
      <c r="BX141" s="4387"/>
      <c r="BY141" s="4387"/>
      <c r="BZ141" s="4387"/>
      <c r="CA141" s="4388"/>
      <c r="CC141" s="4389"/>
      <c r="CD141" s="4388"/>
    </row>
    <row r="142" s="4025" customFormat="1" ht="50" customHeight="1" spans="1:82">
      <c r="A142" s="3688">
        <v>45677</v>
      </c>
      <c r="B142" s="3664" t="s">
        <v>3172</v>
      </c>
      <c r="C142" s="3664" t="s">
        <v>840</v>
      </c>
      <c r="D142" s="3691">
        <v>4500156115</v>
      </c>
      <c r="E142" s="3664">
        <v>7631985</v>
      </c>
      <c r="F142" s="3691" t="s">
        <v>3185</v>
      </c>
      <c r="G142" s="3664" t="s">
        <v>3186</v>
      </c>
      <c r="H142" s="3664" t="s">
        <v>3187</v>
      </c>
      <c r="I142" s="3691">
        <v>156</v>
      </c>
      <c r="J142" s="3691">
        <v>0</v>
      </c>
      <c r="K142" s="3691">
        <v>12</v>
      </c>
      <c r="L142" s="3691">
        <f t="shared" si="60"/>
        <v>13</v>
      </c>
      <c r="M142" s="3659">
        <v>45730</v>
      </c>
      <c r="N142" s="3659">
        <v>45726</v>
      </c>
      <c r="O142" s="4085"/>
      <c r="P142" s="3682" t="s">
        <v>82</v>
      </c>
      <c r="Q142" s="3682"/>
      <c r="R142" s="4083"/>
      <c r="S142" s="4083"/>
      <c r="T142" s="4083"/>
      <c r="U142" s="3620" t="s">
        <v>3175</v>
      </c>
      <c r="V142" s="3657" t="s">
        <v>835</v>
      </c>
      <c r="W142" s="3657"/>
      <c r="X142" s="3657" t="s">
        <v>3176</v>
      </c>
      <c r="Y142" s="3657"/>
      <c r="Z142" s="3661"/>
      <c r="AA142" s="3620" t="s">
        <v>3188</v>
      </c>
      <c r="AB142" s="3691" t="s">
        <v>380</v>
      </c>
      <c r="AC142" s="4087">
        <v>2.0865</v>
      </c>
      <c r="AD142" s="3691">
        <f t="shared" si="64"/>
        <v>325.494</v>
      </c>
      <c r="AE142" s="3645"/>
      <c r="AF142" s="959" t="s">
        <v>3189</v>
      </c>
      <c r="AG142" s="3645" t="s">
        <v>416</v>
      </c>
      <c r="AH142" s="875"/>
      <c r="AI142" s="3691"/>
      <c r="AJ142" s="3691"/>
      <c r="AK142" s="875"/>
      <c r="AL142" s="3664">
        <f t="shared" si="65"/>
        <v>156</v>
      </c>
      <c r="AM142" s="3664"/>
      <c r="AN142" s="3691"/>
      <c r="AO142" s="3691">
        <f t="shared" si="51"/>
        <v>156</v>
      </c>
      <c r="AP142" s="3691"/>
      <c r="AQ142" s="4089"/>
      <c r="AR142" s="877"/>
      <c r="AS142" s="4089">
        <f t="shared" si="66"/>
        <v>156</v>
      </c>
      <c r="AT142" s="877"/>
      <c r="AU142" s="4089"/>
      <c r="AV142" s="4089"/>
      <c r="AW142" s="4089"/>
      <c r="AX142" s="4089"/>
      <c r="AY142" s="4089"/>
      <c r="AZ142" s="4089"/>
      <c r="BA142" s="4089"/>
      <c r="BB142" s="4089"/>
      <c r="BC142" s="4089"/>
      <c r="BD142" s="4089"/>
      <c r="BE142" s="4089"/>
      <c r="BF142" s="4089" t="s">
        <v>89</v>
      </c>
      <c r="BG142" s="4089"/>
      <c r="BH142" s="4089"/>
      <c r="BI142" s="4089"/>
      <c r="BJ142" s="4089"/>
      <c r="BK142" s="4089">
        <f>I142-BU142</f>
        <v>156</v>
      </c>
      <c r="BL142" s="4089"/>
      <c r="BM142" s="4089"/>
      <c r="BN142" s="4089"/>
      <c r="BO142" s="878"/>
      <c r="BP142" s="878"/>
      <c r="BQ142" s="878"/>
      <c r="BR142" s="878"/>
      <c r="BS142" s="878"/>
      <c r="BT142" s="879"/>
      <c r="BU142" s="880"/>
      <c r="BV142" s="4385">
        <f t="shared" si="62"/>
        <v>156</v>
      </c>
      <c r="BW142" s="4386">
        <f t="shared" si="63"/>
        <v>0</v>
      </c>
      <c r="BX142" s="4387"/>
      <c r="BY142" s="4387"/>
      <c r="BZ142" s="4387"/>
      <c r="CA142" s="4388"/>
      <c r="CC142" s="4389"/>
      <c r="CD142" s="4388"/>
    </row>
    <row r="143" s="4025" customFormat="1" ht="50" customHeight="1" spans="1:82">
      <c r="A143" s="3688">
        <v>45677</v>
      </c>
      <c r="B143" s="3664" t="s">
        <v>3172</v>
      </c>
      <c r="C143" s="3664" t="s">
        <v>840</v>
      </c>
      <c r="D143" s="3691">
        <v>4500156115</v>
      </c>
      <c r="E143" s="3664">
        <v>7631985</v>
      </c>
      <c r="F143" s="3691" t="s">
        <v>3190</v>
      </c>
      <c r="G143" s="3664" t="s">
        <v>2640</v>
      </c>
      <c r="H143" s="3664" t="s">
        <v>2641</v>
      </c>
      <c r="I143" s="3691">
        <v>156</v>
      </c>
      <c r="J143" s="3691">
        <v>0</v>
      </c>
      <c r="K143" s="3691">
        <v>12</v>
      </c>
      <c r="L143" s="3691">
        <f t="shared" si="60"/>
        <v>13</v>
      </c>
      <c r="M143" s="3659">
        <v>45730</v>
      </c>
      <c r="N143" s="3659">
        <v>45726</v>
      </c>
      <c r="O143" s="4085"/>
      <c r="P143" s="3682" t="s">
        <v>82</v>
      </c>
      <c r="Q143" s="3682"/>
      <c r="R143" s="4083"/>
      <c r="S143" s="4083"/>
      <c r="T143" s="4083"/>
      <c r="U143" s="3620" t="s">
        <v>3175</v>
      </c>
      <c r="V143" s="3657" t="s">
        <v>835</v>
      </c>
      <c r="W143" s="3657"/>
      <c r="X143" s="3657" t="s">
        <v>3176</v>
      </c>
      <c r="Y143" s="3657"/>
      <c r="Z143" s="3661"/>
      <c r="AA143" s="3620" t="s">
        <v>3191</v>
      </c>
      <c r="AB143" s="3691" t="s">
        <v>380</v>
      </c>
      <c r="AC143" s="4087">
        <v>2.1357</v>
      </c>
      <c r="AD143" s="3691">
        <f t="shared" si="64"/>
        <v>333.1692</v>
      </c>
      <c r="AE143" s="3645" t="s">
        <v>3178</v>
      </c>
      <c r="AF143" s="3664" t="s">
        <v>2644</v>
      </c>
      <c r="AG143" s="3645" t="s">
        <v>416</v>
      </c>
      <c r="AH143" s="875"/>
      <c r="AI143" s="3691"/>
      <c r="AJ143" s="3691"/>
      <c r="AK143" s="875"/>
      <c r="AL143" s="3664">
        <f t="shared" si="65"/>
        <v>156</v>
      </c>
      <c r="AM143" s="3664"/>
      <c r="AN143" s="3691"/>
      <c r="AO143" s="3691">
        <f t="shared" si="51"/>
        <v>156</v>
      </c>
      <c r="AP143" s="3691"/>
      <c r="AQ143" s="4089"/>
      <c r="AR143" s="877"/>
      <c r="AS143" s="4089">
        <f t="shared" si="66"/>
        <v>156</v>
      </c>
      <c r="AT143" s="877"/>
      <c r="AU143" s="4089"/>
      <c r="AV143" s="4089"/>
      <c r="AW143" s="4089"/>
      <c r="AX143" s="4089"/>
      <c r="AY143" s="4089"/>
      <c r="AZ143" s="4089"/>
      <c r="BA143" s="4089"/>
      <c r="BB143" s="4089"/>
      <c r="BC143" s="4089"/>
      <c r="BD143" s="4089"/>
      <c r="BE143" s="4089"/>
      <c r="BF143" s="4089" t="s">
        <v>89</v>
      </c>
      <c r="BG143" s="4089"/>
      <c r="BH143" s="4089">
        <f>I143-BU143</f>
        <v>156</v>
      </c>
      <c r="BI143" s="4089"/>
      <c r="BJ143" s="4089"/>
      <c r="BK143" s="4089"/>
      <c r="BL143" s="4089"/>
      <c r="BM143" s="4089"/>
      <c r="BN143" s="4089"/>
      <c r="BO143" s="878"/>
      <c r="BP143" s="878"/>
      <c r="BQ143" s="878"/>
      <c r="BR143" s="878"/>
      <c r="BS143" s="878"/>
      <c r="BT143" s="879"/>
      <c r="BU143" s="880"/>
      <c r="BV143" s="4385">
        <f t="shared" si="62"/>
        <v>156</v>
      </c>
      <c r="BW143" s="4386">
        <f t="shared" si="63"/>
        <v>0</v>
      </c>
      <c r="BX143" s="4387"/>
      <c r="BY143" s="4387"/>
      <c r="BZ143" s="4387"/>
      <c r="CA143" s="4388"/>
      <c r="CC143" s="4389"/>
      <c r="CD143" s="4388"/>
    </row>
    <row r="144" s="4025" customFormat="1" ht="50" customHeight="1" spans="1:82">
      <c r="A144" s="3688">
        <v>45677</v>
      </c>
      <c r="B144" s="3664" t="s">
        <v>3172</v>
      </c>
      <c r="C144" s="3664" t="s">
        <v>840</v>
      </c>
      <c r="D144" s="3691">
        <v>4500156115</v>
      </c>
      <c r="E144" s="3664">
        <v>7631985</v>
      </c>
      <c r="F144" s="3664" t="s">
        <v>3192</v>
      </c>
      <c r="G144" s="3664" t="s">
        <v>2970</v>
      </c>
      <c r="H144" s="3664" t="s">
        <v>2667</v>
      </c>
      <c r="I144" s="3691">
        <v>156</v>
      </c>
      <c r="J144" s="3691">
        <v>0</v>
      </c>
      <c r="K144" s="3691">
        <v>12</v>
      </c>
      <c r="L144" s="3691">
        <f t="shared" si="60"/>
        <v>13</v>
      </c>
      <c r="M144" s="3659">
        <v>45730</v>
      </c>
      <c r="N144" s="3659">
        <v>45726</v>
      </c>
      <c r="O144" s="4085"/>
      <c r="P144" s="3682" t="s">
        <v>82</v>
      </c>
      <c r="Q144" s="3682"/>
      <c r="R144" s="4083"/>
      <c r="S144" s="4083"/>
      <c r="T144" s="4083"/>
      <c r="U144" s="3620" t="s">
        <v>3175</v>
      </c>
      <c r="V144" s="3657" t="s">
        <v>835</v>
      </c>
      <c r="W144" s="3657"/>
      <c r="X144" s="3657" t="s">
        <v>3176</v>
      </c>
      <c r="Y144" s="3657"/>
      <c r="Z144" s="3661"/>
      <c r="AA144" s="3620" t="s">
        <v>3193</v>
      </c>
      <c r="AB144" s="3691" t="s">
        <v>380</v>
      </c>
      <c r="AC144" s="4087">
        <v>2.0865</v>
      </c>
      <c r="AD144" s="3691">
        <f t="shared" si="64"/>
        <v>325.494</v>
      </c>
      <c r="AE144" s="3645" t="s">
        <v>3178</v>
      </c>
      <c r="AF144" s="3664" t="s">
        <v>2975</v>
      </c>
      <c r="AG144" s="3645" t="s">
        <v>416</v>
      </c>
      <c r="AH144" s="875"/>
      <c r="AI144" s="3691"/>
      <c r="AJ144" s="3691"/>
      <c r="AK144" s="875"/>
      <c r="AL144" s="3664">
        <f t="shared" si="65"/>
        <v>156</v>
      </c>
      <c r="AM144" s="3664"/>
      <c r="AN144" s="3691"/>
      <c r="AO144" s="3691">
        <f t="shared" si="51"/>
        <v>156</v>
      </c>
      <c r="AP144" s="3691"/>
      <c r="AQ144" s="4089"/>
      <c r="AR144" s="877"/>
      <c r="AS144" s="4089">
        <f t="shared" si="66"/>
        <v>156</v>
      </c>
      <c r="AT144" s="877"/>
      <c r="AU144" s="4089"/>
      <c r="AV144" s="4089"/>
      <c r="AW144" s="4089"/>
      <c r="AX144" s="4089"/>
      <c r="AY144" s="4089"/>
      <c r="AZ144" s="4089"/>
      <c r="BA144" s="4089"/>
      <c r="BB144" s="4089"/>
      <c r="BC144" s="4089"/>
      <c r="BD144" s="4089"/>
      <c r="BE144" s="4089"/>
      <c r="BF144" s="4089" t="s">
        <v>89</v>
      </c>
      <c r="BG144" s="4089"/>
      <c r="BH144" s="4089"/>
      <c r="BI144" s="4089"/>
      <c r="BJ144" s="4089"/>
      <c r="BK144" s="4089"/>
      <c r="BL144" s="4089"/>
      <c r="BM144" s="4089">
        <f>I144-BU144</f>
        <v>156</v>
      </c>
      <c r="BN144" s="4089"/>
      <c r="BO144" s="878"/>
      <c r="BP144" s="878"/>
      <c r="BQ144" s="878"/>
      <c r="BR144" s="878"/>
      <c r="BS144" s="878"/>
      <c r="BT144" s="879"/>
      <c r="BU144" s="880"/>
      <c r="BV144" s="4385">
        <f t="shared" si="62"/>
        <v>156</v>
      </c>
      <c r="BW144" s="4386">
        <f t="shared" si="63"/>
        <v>0</v>
      </c>
      <c r="BX144" s="4387"/>
      <c r="BY144" s="4387"/>
      <c r="BZ144" s="4387"/>
      <c r="CA144" s="4388"/>
      <c r="CC144" s="4389"/>
      <c r="CD144" s="4388"/>
    </row>
    <row r="145" s="4025" customFormat="1" ht="50" customHeight="1" spans="1:82">
      <c r="A145" s="3688">
        <v>45650</v>
      </c>
      <c r="B145" s="3664" t="s">
        <v>3194</v>
      </c>
      <c r="C145" s="3664" t="s">
        <v>506</v>
      </c>
      <c r="D145" s="3691">
        <v>4500153983</v>
      </c>
      <c r="E145" s="3664" t="s">
        <v>3195</v>
      </c>
      <c r="F145" s="3664" t="s">
        <v>3196</v>
      </c>
      <c r="G145" s="3664" t="s">
        <v>3197</v>
      </c>
      <c r="H145" s="3664" t="s">
        <v>3198</v>
      </c>
      <c r="I145" s="3691">
        <v>1112</v>
      </c>
      <c r="J145" s="3691">
        <v>0</v>
      </c>
      <c r="K145" s="3691">
        <v>4</v>
      </c>
      <c r="L145" s="3691">
        <f t="shared" si="60"/>
        <v>278</v>
      </c>
      <c r="M145" s="3659">
        <v>45730</v>
      </c>
      <c r="N145" s="3659">
        <v>45726</v>
      </c>
      <c r="O145" s="3664" t="s">
        <v>3199</v>
      </c>
      <c r="P145" s="3682" t="s">
        <v>82</v>
      </c>
      <c r="Q145" s="3682"/>
      <c r="R145" s="4083"/>
      <c r="S145" s="4083"/>
      <c r="T145" s="4083"/>
      <c r="U145" s="3645" t="s">
        <v>401</v>
      </c>
      <c r="V145" s="3657" t="s">
        <v>741</v>
      </c>
      <c r="W145" s="3657"/>
      <c r="X145" s="3657" t="s">
        <v>3200</v>
      </c>
      <c r="Y145" s="3657"/>
      <c r="Z145" s="3661"/>
      <c r="AA145" s="3620" t="s">
        <v>3201</v>
      </c>
      <c r="AB145" s="3691" t="s">
        <v>3202</v>
      </c>
      <c r="AC145" s="3691">
        <v>11.2871</v>
      </c>
      <c r="AD145" s="3691">
        <f t="shared" ref="AD145:AD152" si="67">L145*AC145</f>
        <v>3137.8138</v>
      </c>
      <c r="AE145" s="3645" t="s">
        <v>3203</v>
      </c>
      <c r="AF145" s="3664" t="s">
        <v>3204</v>
      </c>
      <c r="AG145" s="3645" t="s">
        <v>416</v>
      </c>
      <c r="AH145" s="905"/>
      <c r="AI145" s="3691">
        <f t="shared" ref="AI145:AI152" si="68">I145</f>
        <v>1112</v>
      </c>
      <c r="AJ145" s="3691"/>
      <c r="AK145" s="905"/>
      <c r="AL145" s="3664"/>
      <c r="AM145" s="3664"/>
      <c r="AN145" s="3691"/>
      <c r="AO145" s="3691">
        <f t="shared" si="51"/>
        <v>1112</v>
      </c>
      <c r="AP145" s="3691"/>
      <c r="AQ145" s="4089"/>
      <c r="AR145" s="907"/>
      <c r="AS145" s="4089">
        <f t="shared" si="66"/>
        <v>1112</v>
      </c>
      <c r="AT145" s="907"/>
      <c r="AU145" s="4089"/>
      <c r="AV145" s="4089"/>
      <c r="AW145" s="4089"/>
      <c r="AX145" s="4089"/>
      <c r="AY145" s="4089"/>
      <c r="AZ145" s="4089"/>
      <c r="BA145" s="4089"/>
      <c r="BB145" s="4089"/>
      <c r="BC145" s="4089">
        <f t="shared" ref="BC145:BC152" si="69">I145/4</f>
        <v>278</v>
      </c>
      <c r="BD145" s="4089"/>
      <c r="BE145" s="4089"/>
      <c r="BF145" s="4089" t="s">
        <v>89</v>
      </c>
      <c r="BG145" s="4089"/>
      <c r="BH145" s="4089">
        <f t="shared" ref="BH145:BH199" si="70">I145/60*10</f>
        <v>185.333333333333</v>
      </c>
      <c r="BI145" s="4089">
        <f t="shared" ref="BI145:BI199" si="71">I145/60*10</f>
        <v>185.333333333333</v>
      </c>
      <c r="BJ145" s="4089">
        <f t="shared" ref="BJ145:BJ199" si="72">I145/60*10</f>
        <v>185.333333333333</v>
      </c>
      <c r="BK145" s="4089">
        <f t="shared" ref="BK145:BK199" si="73">I145/60*10</f>
        <v>185.333333333333</v>
      </c>
      <c r="BL145" s="4089">
        <f t="shared" ref="BL145:BL199" si="74">I145/60*10</f>
        <v>185.333333333333</v>
      </c>
      <c r="BM145" s="4089">
        <f t="shared" ref="BM145:BM199" si="75">I145/60*8</f>
        <v>148.266666666667</v>
      </c>
      <c r="BN145" s="4089">
        <f t="shared" ref="BN145:BN208" si="76">I145/60*2</f>
        <v>37.0666666666667</v>
      </c>
      <c r="BO145" s="4382"/>
      <c r="BP145" s="4382"/>
      <c r="BQ145" s="4382"/>
      <c r="BR145" s="4382"/>
      <c r="BS145" s="4382"/>
      <c r="BT145" s="4383"/>
      <c r="BU145" s="4384"/>
      <c r="BV145" s="4385">
        <f t="shared" si="62"/>
        <v>1112</v>
      </c>
      <c r="BW145" s="4386">
        <f t="shared" si="63"/>
        <v>0</v>
      </c>
      <c r="BX145" s="4387"/>
      <c r="BY145" s="4387"/>
      <c r="BZ145" s="4387"/>
      <c r="CA145" s="4391"/>
      <c r="CC145" s="4392"/>
      <c r="CD145" s="4391"/>
    </row>
    <row r="146" s="4025" customFormat="1" ht="50" customHeight="1" spans="1:82">
      <c r="A146" s="3688">
        <v>45650</v>
      </c>
      <c r="B146" s="3664" t="s">
        <v>3194</v>
      </c>
      <c r="C146" s="3664" t="s">
        <v>506</v>
      </c>
      <c r="D146" s="3691">
        <v>4500153983</v>
      </c>
      <c r="E146" s="3664" t="s">
        <v>3205</v>
      </c>
      <c r="F146" s="3664" t="s">
        <v>3206</v>
      </c>
      <c r="G146" s="3664" t="s">
        <v>3197</v>
      </c>
      <c r="H146" s="3664" t="s">
        <v>3198</v>
      </c>
      <c r="I146" s="3691">
        <v>812</v>
      </c>
      <c r="J146" s="3691">
        <v>0</v>
      </c>
      <c r="K146" s="3691">
        <v>4</v>
      </c>
      <c r="L146" s="3691">
        <f t="shared" si="60"/>
        <v>203</v>
      </c>
      <c r="M146" s="3659">
        <v>45730</v>
      </c>
      <c r="N146" s="3659">
        <v>45726</v>
      </c>
      <c r="O146" s="3664" t="s">
        <v>3199</v>
      </c>
      <c r="P146" s="3682" t="s">
        <v>82</v>
      </c>
      <c r="Q146" s="3682"/>
      <c r="R146" s="4083"/>
      <c r="S146" s="4083"/>
      <c r="T146" s="4083"/>
      <c r="U146" s="3645" t="s">
        <v>401</v>
      </c>
      <c r="V146" s="3657" t="s">
        <v>741</v>
      </c>
      <c r="W146" s="3657"/>
      <c r="X146" s="3657" t="s">
        <v>3200</v>
      </c>
      <c r="Y146" s="3657"/>
      <c r="Z146" s="3661"/>
      <c r="AA146" s="3620" t="s">
        <v>3201</v>
      </c>
      <c r="AB146" s="3691" t="s">
        <v>3202</v>
      </c>
      <c r="AC146" s="3691">
        <v>11.2871</v>
      </c>
      <c r="AD146" s="3691">
        <f t="shared" si="67"/>
        <v>2291.2813</v>
      </c>
      <c r="AE146" s="3645" t="s">
        <v>3203</v>
      </c>
      <c r="AF146" s="3664" t="s">
        <v>3204</v>
      </c>
      <c r="AG146" s="3645" t="s">
        <v>416</v>
      </c>
      <c r="AH146" s="905"/>
      <c r="AI146" s="3691">
        <f t="shared" si="68"/>
        <v>812</v>
      </c>
      <c r="AJ146" s="3691"/>
      <c r="AK146" s="905"/>
      <c r="AL146" s="3664"/>
      <c r="AM146" s="3664"/>
      <c r="AN146" s="3691"/>
      <c r="AO146" s="3691">
        <f t="shared" si="51"/>
        <v>812</v>
      </c>
      <c r="AP146" s="3691"/>
      <c r="AQ146" s="4089"/>
      <c r="AR146" s="907"/>
      <c r="AS146" s="4089">
        <f t="shared" si="66"/>
        <v>812</v>
      </c>
      <c r="AT146" s="907"/>
      <c r="AU146" s="4089"/>
      <c r="AV146" s="4089"/>
      <c r="AW146" s="4089"/>
      <c r="AX146" s="4089"/>
      <c r="AY146" s="4089"/>
      <c r="AZ146" s="4089"/>
      <c r="BA146" s="4089"/>
      <c r="BB146" s="4089"/>
      <c r="BC146" s="4089">
        <f t="shared" si="69"/>
        <v>203</v>
      </c>
      <c r="BD146" s="4089"/>
      <c r="BE146" s="4089"/>
      <c r="BF146" s="4089" t="s">
        <v>89</v>
      </c>
      <c r="BG146" s="4089"/>
      <c r="BH146" s="4089">
        <f t="shared" si="70"/>
        <v>135.333333333333</v>
      </c>
      <c r="BI146" s="4089">
        <f t="shared" si="71"/>
        <v>135.333333333333</v>
      </c>
      <c r="BJ146" s="4089">
        <f t="shared" si="72"/>
        <v>135.333333333333</v>
      </c>
      <c r="BK146" s="4089">
        <f t="shared" si="73"/>
        <v>135.333333333333</v>
      </c>
      <c r="BL146" s="4089">
        <f t="shared" si="74"/>
        <v>135.333333333333</v>
      </c>
      <c r="BM146" s="4089">
        <f t="shared" si="75"/>
        <v>108.266666666667</v>
      </c>
      <c r="BN146" s="4089">
        <f t="shared" si="76"/>
        <v>27.0666666666667</v>
      </c>
      <c r="BO146" s="4382"/>
      <c r="BP146" s="4382"/>
      <c r="BQ146" s="4382"/>
      <c r="BR146" s="4382"/>
      <c r="BS146" s="4382"/>
      <c r="BT146" s="4383"/>
      <c r="BU146" s="4384"/>
      <c r="BV146" s="4385">
        <f t="shared" si="62"/>
        <v>812</v>
      </c>
      <c r="BW146" s="4386">
        <f t="shared" si="63"/>
        <v>0</v>
      </c>
      <c r="BX146" s="4387"/>
      <c r="BY146" s="4387"/>
      <c r="BZ146" s="4387"/>
      <c r="CA146" s="4391"/>
      <c r="CC146" s="4392"/>
      <c r="CD146" s="4391"/>
    </row>
    <row r="147" s="4025" customFormat="1" ht="50" customHeight="1" spans="1:82">
      <c r="A147" s="3688">
        <v>45650</v>
      </c>
      <c r="B147" s="3664" t="s">
        <v>3194</v>
      </c>
      <c r="C147" s="3664" t="s">
        <v>506</v>
      </c>
      <c r="D147" s="3691">
        <v>4500153983</v>
      </c>
      <c r="E147" s="3664" t="s">
        <v>3207</v>
      </c>
      <c r="F147" s="3664" t="s">
        <v>3208</v>
      </c>
      <c r="G147" s="3664" t="s">
        <v>3197</v>
      </c>
      <c r="H147" s="3664" t="s">
        <v>3198</v>
      </c>
      <c r="I147" s="3691">
        <v>956</v>
      </c>
      <c r="J147" s="3691">
        <v>0</v>
      </c>
      <c r="K147" s="3691">
        <v>4</v>
      </c>
      <c r="L147" s="3691">
        <f t="shared" si="60"/>
        <v>239</v>
      </c>
      <c r="M147" s="3659">
        <v>45730</v>
      </c>
      <c r="N147" s="3659">
        <v>45726</v>
      </c>
      <c r="O147" s="3664" t="s">
        <v>3199</v>
      </c>
      <c r="P147" s="3682" t="s">
        <v>82</v>
      </c>
      <c r="Q147" s="3682"/>
      <c r="R147" s="4083"/>
      <c r="S147" s="4083"/>
      <c r="T147" s="4083"/>
      <c r="U147" s="3645" t="s">
        <v>401</v>
      </c>
      <c r="V147" s="3657" t="s">
        <v>741</v>
      </c>
      <c r="W147" s="3657"/>
      <c r="X147" s="3657" t="s">
        <v>3200</v>
      </c>
      <c r="Y147" s="3657"/>
      <c r="Z147" s="3661"/>
      <c r="AA147" s="3620" t="s">
        <v>3201</v>
      </c>
      <c r="AB147" s="3691" t="s">
        <v>3202</v>
      </c>
      <c r="AC147" s="3691">
        <v>11.2871</v>
      </c>
      <c r="AD147" s="3691">
        <f t="shared" si="67"/>
        <v>2697.6169</v>
      </c>
      <c r="AE147" s="3645" t="s">
        <v>3203</v>
      </c>
      <c r="AF147" s="3664" t="s">
        <v>3204</v>
      </c>
      <c r="AG147" s="3645" t="s">
        <v>416</v>
      </c>
      <c r="AH147" s="905"/>
      <c r="AI147" s="3691">
        <f t="shared" si="68"/>
        <v>956</v>
      </c>
      <c r="AJ147" s="3691"/>
      <c r="AK147" s="905"/>
      <c r="AL147" s="3664"/>
      <c r="AM147" s="3664"/>
      <c r="AN147" s="3691"/>
      <c r="AO147" s="3691">
        <f t="shared" si="51"/>
        <v>956</v>
      </c>
      <c r="AP147" s="3691"/>
      <c r="AQ147" s="4089"/>
      <c r="AR147" s="907"/>
      <c r="AS147" s="4089">
        <f t="shared" si="66"/>
        <v>956</v>
      </c>
      <c r="AT147" s="907"/>
      <c r="AU147" s="4089"/>
      <c r="AV147" s="4089"/>
      <c r="AW147" s="4089"/>
      <c r="AX147" s="4089"/>
      <c r="AY147" s="4089"/>
      <c r="AZ147" s="4089"/>
      <c r="BA147" s="4089"/>
      <c r="BB147" s="4089"/>
      <c r="BC147" s="4089">
        <f t="shared" si="69"/>
        <v>239</v>
      </c>
      <c r="BD147" s="4089"/>
      <c r="BE147" s="4089"/>
      <c r="BF147" s="4089" t="s">
        <v>89</v>
      </c>
      <c r="BG147" s="4089"/>
      <c r="BH147" s="4089">
        <f t="shared" si="70"/>
        <v>159.333333333333</v>
      </c>
      <c r="BI147" s="4089">
        <f t="shared" si="71"/>
        <v>159.333333333333</v>
      </c>
      <c r="BJ147" s="4089">
        <f t="shared" si="72"/>
        <v>159.333333333333</v>
      </c>
      <c r="BK147" s="4089">
        <f t="shared" si="73"/>
        <v>159.333333333333</v>
      </c>
      <c r="BL147" s="4089">
        <f t="shared" si="74"/>
        <v>159.333333333333</v>
      </c>
      <c r="BM147" s="4089">
        <f t="shared" si="75"/>
        <v>127.466666666667</v>
      </c>
      <c r="BN147" s="4089">
        <f t="shared" si="76"/>
        <v>31.8666666666667</v>
      </c>
      <c r="BO147" s="4382"/>
      <c r="BP147" s="4382"/>
      <c r="BQ147" s="4382"/>
      <c r="BR147" s="4382"/>
      <c r="BS147" s="4382"/>
      <c r="BT147" s="4383"/>
      <c r="BU147" s="4384"/>
      <c r="BV147" s="4385">
        <f t="shared" si="62"/>
        <v>956</v>
      </c>
      <c r="BW147" s="4386">
        <f t="shared" si="63"/>
        <v>0</v>
      </c>
      <c r="BX147" s="4387"/>
      <c r="BY147" s="4387"/>
      <c r="BZ147" s="4387"/>
      <c r="CA147" s="4391"/>
      <c r="CC147" s="4392"/>
      <c r="CD147" s="4391"/>
    </row>
    <row r="148" s="4025" customFormat="1" ht="50" customHeight="1" spans="1:82">
      <c r="A148" s="3688">
        <v>45650</v>
      </c>
      <c r="B148" s="3664" t="s">
        <v>3194</v>
      </c>
      <c r="C148" s="3664" t="s">
        <v>506</v>
      </c>
      <c r="D148" s="3691">
        <v>4500153983</v>
      </c>
      <c r="E148" s="3664" t="s">
        <v>3209</v>
      </c>
      <c r="F148" s="3664" t="s">
        <v>3210</v>
      </c>
      <c r="G148" s="3664" t="s">
        <v>3197</v>
      </c>
      <c r="H148" s="3664" t="s">
        <v>3198</v>
      </c>
      <c r="I148" s="3691">
        <v>1676</v>
      </c>
      <c r="J148" s="3691">
        <v>0</v>
      </c>
      <c r="K148" s="3691">
        <v>4</v>
      </c>
      <c r="L148" s="3691">
        <f t="shared" si="60"/>
        <v>419</v>
      </c>
      <c r="M148" s="3659">
        <v>45730</v>
      </c>
      <c r="N148" s="3659">
        <v>45726</v>
      </c>
      <c r="O148" s="3664" t="s">
        <v>3199</v>
      </c>
      <c r="P148" s="3682" t="s">
        <v>82</v>
      </c>
      <c r="Q148" s="3682"/>
      <c r="R148" s="4083"/>
      <c r="S148" s="4083"/>
      <c r="T148" s="4083"/>
      <c r="U148" s="3645" t="s">
        <v>401</v>
      </c>
      <c r="V148" s="3657" t="s">
        <v>741</v>
      </c>
      <c r="W148" s="3657"/>
      <c r="X148" s="3657" t="s">
        <v>3200</v>
      </c>
      <c r="Y148" s="3657"/>
      <c r="Z148" s="3661"/>
      <c r="AA148" s="3620" t="s">
        <v>3201</v>
      </c>
      <c r="AB148" s="3691" t="s">
        <v>3202</v>
      </c>
      <c r="AC148" s="3691">
        <v>11.2871</v>
      </c>
      <c r="AD148" s="3691">
        <f t="shared" si="67"/>
        <v>4729.2949</v>
      </c>
      <c r="AE148" s="3645" t="s">
        <v>3203</v>
      </c>
      <c r="AF148" s="3664" t="s">
        <v>3204</v>
      </c>
      <c r="AG148" s="3645" t="s">
        <v>416</v>
      </c>
      <c r="AH148" s="905"/>
      <c r="AI148" s="3691">
        <f t="shared" si="68"/>
        <v>1676</v>
      </c>
      <c r="AJ148" s="3691"/>
      <c r="AK148" s="905"/>
      <c r="AL148" s="3664"/>
      <c r="AM148" s="3664"/>
      <c r="AN148" s="3691"/>
      <c r="AO148" s="3691">
        <f t="shared" si="51"/>
        <v>1676</v>
      </c>
      <c r="AP148" s="3691"/>
      <c r="AQ148" s="4089"/>
      <c r="AR148" s="907"/>
      <c r="AS148" s="4089">
        <f t="shared" si="66"/>
        <v>1676</v>
      </c>
      <c r="AT148" s="907"/>
      <c r="AU148" s="4089"/>
      <c r="AV148" s="4089"/>
      <c r="AW148" s="4089"/>
      <c r="AX148" s="4089"/>
      <c r="AY148" s="4089"/>
      <c r="AZ148" s="4089"/>
      <c r="BA148" s="4089"/>
      <c r="BB148" s="4089"/>
      <c r="BC148" s="4089">
        <f t="shared" si="69"/>
        <v>419</v>
      </c>
      <c r="BD148" s="4089"/>
      <c r="BE148" s="4089"/>
      <c r="BF148" s="4089" t="s">
        <v>89</v>
      </c>
      <c r="BG148" s="4089"/>
      <c r="BH148" s="4089">
        <f t="shared" si="70"/>
        <v>279.333333333333</v>
      </c>
      <c r="BI148" s="4089">
        <f t="shared" si="71"/>
        <v>279.333333333333</v>
      </c>
      <c r="BJ148" s="4089">
        <f t="shared" si="72"/>
        <v>279.333333333333</v>
      </c>
      <c r="BK148" s="4089">
        <f t="shared" si="73"/>
        <v>279.333333333333</v>
      </c>
      <c r="BL148" s="4089">
        <f t="shared" si="74"/>
        <v>279.333333333333</v>
      </c>
      <c r="BM148" s="4089">
        <f t="shared" si="75"/>
        <v>223.466666666667</v>
      </c>
      <c r="BN148" s="4089">
        <f t="shared" si="76"/>
        <v>55.8666666666667</v>
      </c>
      <c r="BO148" s="4382"/>
      <c r="BP148" s="4382"/>
      <c r="BQ148" s="4382"/>
      <c r="BR148" s="4382"/>
      <c r="BS148" s="4382"/>
      <c r="BT148" s="4383"/>
      <c r="BU148" s="4384"/>
      <c r="BV148" s="4385">
        <f t="shared" si="62"/>
        <v>1676</v>
      </c>
      <c r="BW148" s="4386">
        <f t="shared" si="63"/>
        <v>0</v>
      </c>
      <c r="BX148" s="4387"/>
      <c r="BY148" s="4387"/>
      <c r="BZ148" s="4387"/>
      <c r="CA148" s="4391"/>
      <c r="CC148" s="4392"/>
      <c r="CD148" s="4391"/>
    </row>
    <row r="149" s="4025" customFormat="1" ht="50" customHeight="1" spans="1:82">
      <c r="A149" s="3688">
        <v>45650</v>
      </c>
      <c r="B149" s="3664" t="s">
        <v>3194</v>
      </c>
      <c r="C149" s="3664" t="s">
        <v>506</v>
      </c>
      <c r="D149" s="3691">
        <v>4500153983</v>
      </c>
      <c r="E149" s="3664" t="s">
        <v>3211</v>
      </c>
      <c r="F149" s="3664" t="s">
        <v>3212</v>
      </c>
      <c r="G149" s="3664" t="s">
        <v>3197</v>
      </c>
      <c r="H149" s="3664" t="s">
        <v>3198</v>
      </c>
      <c r="I149" s="3691">
        <v>940</v>
      </c>
      <c r="J149" s="3691">
        <v>0</v>
      </c>
      <c r="K149" s="3691">
        <v>4</v>
      </c>
      <c r="L149" s="3691">
        <f t="shared" si="60"/>
        <v>235</v>
      </c>
      <c r="M149" s="3659">
        <v>45730</v>
      </c>
      <c r="N149" s="3659">
        <v>45726</v>
      </c>
      <c r="O149" s="3664" t="s">
        <v>3199</v>
      </c>
      <c r="P149" s="3682" t="s">
        <v>82</v>
      </c>
      <c r="Q149" s="3682"/>
      <c r="R149" s="4083"/>
      <c r="S149" s="4083"/>
      <c r="T149" s="4083"/>
      <c r="U149" s="3645" t="s">
        <v>401</v>
      </c>
      <c r="V149" s="3657" t="s">
        <v>741</v>
      </c>
      <c r="W149" s="3657"/>
      <c r="X149" s="3657" t="s">
        <v>3200</v>
      </c>
      <c r="Y149" s="3657"/>
      <c r="Z149" s="3661"/>
      <c r="AA149" s="3620" t="s">
        <v>3201</v>
      </c>
      <c r="AB149" s="3691" t="s">
        <v>3202</v>
      </c>
      <c r="AC149" s="3691">
        <v>11.2871</v>
      </c>
      <c r="AD149" s="3691">
        <f t="shared" si="67"/>
        <v>2652.4685</v>
      </c>
      <c r="AE149" s="3645" t="s">
        <v>3203</v>
      </c>
      <c r="AF149" s="3664" t="s">
        <v>3204</v>
      </c>
      <c r="AG149" s="3645" t="s">
        <v>416</v>
      </c>
      <c r="AH149" s="905"/>
      <c r="AI149" s="3691">
        <f t="shared" si="68"/>
        <v>940</v>
      </c>
      <c r="AJ149" s="3691"/>
      <c r="AK149" s="905"/>
      <c r="AL149" s="3664"/>
      <c r="AM149" s="3664"/>
      <c r="AN149" s="3691"/>
      <c r="AO149" s="3691">
        <f t="shared" si="51"/>
        <v>940</v>
      </c>
      <c r="AP149" s="3691"/>
      <c r="AQ149" s="4089"/>
      <c r="AR149" s="907"/>
      <c r="AS149" s="4089">
        <f t="shared" si="66"/>
        <v>940</v>
      </c>
      <c r="AT149" s="907"/>
      <c r="AU149" s="4089"/>
      <c r="AV149" s="4089"/>
      <c r="AW149" s="4089"/>
      <c r="AX149" s="4089"/>
      <c r="AY149" s="4089"/>
      <c r="AZ149" s="4089"/>
      <c r="BA149" s="4089"/>
      <c r="BB149" s="4089"/>
      <c r="BC149" s="4089">
        <f t="shared" si="69"/>
        <v>235</v>
      </c>
      <c r="BD149" s="4089"/>
      <c r="BE149" s="4089"/>
      <c r="BF149" s="4089" t="s">
        <v>89</v>
      </c>
      <c r="BG149" s="4089"/>
      <c r="BH149" s="4089">
        <f t="shared" si="70"/>
        <v>156.666666666667</v>
      </c>
      <c r="BI149" s="4089">
        <f t="shared" si="71"/>
        <v>156.666666666667</v>
      </c>
      <c r="BJ149" s="4089">
        <f t="shared" si="72"/>
        <v>156.666666666667</v>
      </c>
      <c r="BK149" s="4089">
        <f t="shared" si="73"/>
        <v>156.666666666667</v>
      </c>
      <c r="BL149" s="4089">
        <f t="shared" si="74"/>
        <v>156.666666666667</v>
      </c>
      <c r="BM149" s="4089">
        <f t="shared" si="75"/>
        <v>125.333333333333</v>
      </c>
      <c r="BN149" s="4089">
        <f t="shared" si="76"/>
        <v>31.3333333333333</v>
      </c>
      <c r="BO149" s="4382"/>
      <c r="BP149" s="4382"/>
      <c r="BQ149" s="4382"/>
      <c r="BR149" s="4382"/>
      <c r="BS149" s="4382"/>
      <c r="BT149" s="4383"/>
      <c r="BU149" s="4384"/>
      <c r="BV149" s="4385">
        <f t="shared" si="62"/>
        <v>940</v>
      </c>
      <c r="BW149" s="4386">
        <f t="shared" si="63"/>
        <v>0</v>
      </c>
      <c r="BX149" s="4387"/>
      <c r="BY149" s="4387"/>
      <c r="BZ149" s="4387"/>
      <c r="CA149" s="4391"/>
      <c r="CC149" s="4392"/>
      <c r="CD149" s="4391"/>
    </row>
    <row r="150" s="4025" customFormat="1" ht="50" customHeight="1" spans="1:82">
      <c r="A150" s="3688">
        <v>45650</v>
      </c>
      <c r="B150" s="3664" t="s">
        <v>3194</v>
      </c>
      <c r="C150" s="3664" t="s">
        <v>506</v>
      </c>
      <c r="D150" s="3691">
        <v>4500153983</v>
      </c>
      <c r="E150" s="3664" t="s">
        <v>3213</v>
      </c>
      <c r="F150" s="3664" t="s">
        <v>3214</v>
      </c>
      <c r="G150" s="3664" t="s">
        <v>3197</v>
      </c>
      <c r="H150" s="3664" t="s">
        <v>3198</v>
      </c>
      <c r="I150" s="3691">
        <v>748</v>
      </c>
      <c r="J150" s="3691">
        <v>0</v>
      </c>
      <c r="K150" s="3691">
        <v>4</v>
      </c>
      <c r="L150" s="3691">
        <f t="shared" si="60"/>
        <v>187</v>
      </c>
      <c r="M150" s="3659">
        <v>45730</v>
      </c>
      <c r="N150" s="3659">
        <v>45726</v>
      </c>
      <c r="O150" s="3664" t="s">
        <v>3199</v>
      </c>
      <c r="P150" s="3682" t="s">
        <v>82</v>
      </c>
      <c r="Q150" s="3682"/>
      <c r="R150" s="4083"/>
      <c r="S150" s="4083"/>
      <c r="T150" s="4083"/>
      <c r="U150" s="3645" t="s">
        <v>401</v>
      </c>
      <c r="V150" s="3657" t="s">
        <v>741</v>
      </c>
      <c r="W150" s="3657"/>
      <c r="X150" s="3657" t="s">
        <v>3200</v>
      </c>
      <c r="Y150" s="3657"/>
      <c r="Z150" s="3661"/>
      <c r="AA150" s="3620" t="s">
        <v>3201</v>
      </c>
      <c r="AB150" s="3691" t="s">
        <v>3202</v>
      </c>
      <c r="AC150" s="3691">
        <v>11.2871</v>
      </c>
      <c r="AD150" s="3691">
        <f t="shared" si="67"/>
        <v>2110.6877</v>
      </c>
      <c r="AE150" s="3645" t="s">
        <v>3203</v>
      </c>
      <c r="AF150" s="3664" t="s">
        <v>3204</v>
      </c>
      <c r="AG150" s="3645" t="s">
        <v>416</v>
      </c>
      <c r="AH150" s="905"/>
      <c r="AI150" s="3691">
        <f t="shared" si="68"/>
        <v>748</v>
      </c>
      <c r="AJ150" s="3691"/>
      <c r="AK150" s="905"/>
      <c r="AL150" s="3664"/>
      <c r="AM150" s="3664"/>
      <c r="AN150" s="3691"/>
      <c r="AO150" s="3691">
        <f t="shared" si="51"/>
        <v>748</v>
      </c>
      <c r="AP150" s="3691"/>
      <c r="AQ150" s="4089"/>
      <c r="AR150" s="907"/>
      <c r="AS150" s="4089">
        <f t="shared" si="66"/>
        <v>748</v>
      </c>
      <c r="AT150" s="907"/>
      <c r="AU150" s="4089"/>
      <c r="AV150" s="4089"/>
      <c r="AW150" s="4089"/>
      <c r="AX150" s="4089"/>
      <c r="AY150" s="4089"/>
      <c r="AZ150" s="4089"/>
      <c r="BA150" s="4089"/>
      <c r="BB150" s="4089"/>
      <c r="BC150" s="4089">
        <f t="shared" si="69"/>
        <v>187</v>
      </c>
      <c r="BD150" s="4089"/>
      <c r="BE150" s="4089"/>
      <c r="BF150" s="4089" t="s">
        <v>89</v>
      </c>
      <c r="BG150" s="4089"/>
      <c r="BH150" s="4089">
        <f t="shared" si="70"/>
        <v>124.666666666667</v>
      </c>
      <c r="BI150" s="4089">
        <f t="shared" si="71"/>
        <v>124.666666666667</v>
      </c>
      <c r="BJ150" s="4089">
        <f t="shared" si="72"/>
        <v>124.666666666667</v>
      </c>
      <c r="BK150" s="4089">
        <f t="shared" si="73"/>
        <v>124.666666666667</v>
      </c>
      <c r="BL150" s="4089">
        <f t="shared" si="74"/>
        <v>124.666666666667</v>
      </c>
      <c r="BM150" s="4089">
        <f t="shared" si="75"/>
        <v>99.7333333333333</v>
      </c>
      <c r="BN150" s="4089">
        <f t="shared" si="76"/>
        <v>24.9333333333333</v>
      </c>
      <c r="BO150" s="4382"/>
      <c r="BP150" s="4382"/>
      <c r="BQ150" s="4382"/>
      <c r="BR150" s="4382"/>
      <c r="BS150" s="4382"/>
      <c r="BT150" s="4383"/>
      <c r="BU150" s="4384"/>
      <c r="BV150" s="4385">
        <f t="shared" si="62"/>
        <v>748</v>
      </c>
      <c r="BW150" s="4386">
        <f t="shared" si="63"/>
        <v>0</v>
      </c>
      <c r="BX150" s="4387"/>
      <c r="BY150" s="4387"/>
      <c r="BZ150" s="4387"/>
      <c r="CA150" s="4391"/>
      <c r="CC150" s="4392"/>
      <c r="CD150" s="4391"/>
    </row>
    <row r="151" s="4025" customFormat="1" ht="50" customHeight="1" spans="1:82">
      <c r="A151" s="3688">
        <v>45650</v>
      </c>
      <c r="B151" s="3664" t="s">
        <v>3194</v>
      </c>
      <c r="C151" s="3664" t="s">
        <v>506</v>
      </c>
      <c r="D151" s="3691">
        <v>4500153983</v>
      </c>
      <c r="E151" s="3664" t="s">
        <v>3215</v>
      </c>
      <c r="F151" s="3664" t="s">
        <v>3216</v>
      </c>
      <c r="G151" s="3664" t="s">
        <v>3197</v>
      </c>
      <c r="H151" s="3664" t="s">
        <v>3198</v>
      </c>
      <c r="I151" s="3691">
        <v>476</v>
      </c>
      <c r="J151" s="3691">
        <v>0</v>
      </c>
      <c r="K151" s="3691">
        <v>4</v>
      </c>
      <c r="L151" s="3691">
        <f t="shared" si="60"/>
        <v>119</v>
      </c>
      <c r="M151" s="3659">
        <v>45730</v>
      </c>
      <c r="N151" s="3659">
        <v>45726</v>
      </c>
      <c r="O151" s="3664" t="s">
        <v>3199</v>
      </c>
      <c r="P151" s="3682" t="s">
        <v>82</v>
      </c>
      <c r="Q151" s="3682"/>
      <c r="R151" s="4083"/>
      <c r="S151" s="4083"/>
      <c r="T151" s="4083"/>
      <c r="U151" s="3645" t="s">
        <v>401</v>
      </c>
      <c r="V151" s="3657" t="s">
        <v>741</v>
      </c>
      <c r="W151" s="3657"/>
      <c r="X151" s="3657" t="s">
        <v>3200</v>
      </c>
      <c r="Y151" s="3657"/>
      <c r="Z151" s="3661"/>
      <c r="AA151" s="3620" t="s">
        <v>3201</v>
      </c>
      <c r="AB151" s="3691" t="s">
        <v>3202</v>
      </c>
      <c r="AC151" s="3691">
        <v>11.2871</v>
      </c>
      <c r="AD151" s="3691">
        <f t="shared" si="67"/>
        <v>1343.1649</v>
      </c>
      <c r="AE151" s="3645" t="s">
        <v>3203</v>
      </c>
      <c r="AF151" s="3664" t="s">
        <v>3204</v>
      </c>
      <c r="AG151" s="3645" t="s">
        <v>416</v>
      </c>
      <c r="AH151" s="905"/>
      <c r="AI151" s="3691">
        <f t="shared" si="68"/>
        <v>476</v>
      </c>
      <c r="AJ151" s="3691"/>
      <c r="AK151" s="905"/>
      <c r="AL151" s="3664"/>
      <c r="AM151" s="3664"/>
      <c r="AN151" s="3691"/>
      <c r="AO151" s="3691">
        <f t="shared" si="51"/>
        <v>476</v>
      </c>
      <c r="AP151" s="3691"/>
      <c r="AQ151" s="4089"/>
      <c r="AR151" s="907"/>
      <c r="AS151" s="4089">
        <f t="shared" si="66"/>
        <v>476</v>
      </c>
      <c r="AT151" s="907"/>
      <c r="AU151" s="4089"/>
      <c r="AV151" s="4089"/>
      <c r="AW151" s="4089"/>
      <c r="AX151" s="4089"/>
      <c r="AY151" s="4089"/>
      <c r="AZ151" s="4089"/>
      <c r="BA151" s="4089"/>
      <c r="BB151" s="4089"/>
      <c r="BC151" s="4089">
        <f t="shared" si="69"/>
        <v>119</v>
      </c>
      <c r="BD151" s="4089"/>
      <c r="BE151" s="4089"/>
      <c r="BF151" s="4089" t="s">
        <v>89</v>
      </c>
      <c r="BG151" s="4089"/>
      <c r="BH151" s="4089">
        <f t="shared" si="70"/>
        <v>79.3333333333333</v>
      </c>
      <c r="BI151" s="4089">
        <f t="shared" si="71"/>
        <v>79.3333333333333</v>
      </c>
      <c r="BJ151" s="4089">
        <f t="shared" si="72"/>
        <v>79.3333333333333</v>
      </c>
      <c r="BK151" s="4089">
        <f t="shared" si="73"/>
        <v>79.3333333333333</v>
      </c>
      <c r="BL151" s="4089">
        <f t="shared" si="74"/>
        <v>79.3333333333333</v>
      </c>
      <c r="BM151" s="4089">
        <f t="shared" si="75"/>
        <v>63.4666666666667</v>
      </c>
      <c r="BN151" s="4089">
        <f t="shared" si="76"/>
        <v>15.8666666666667</v>
      </c>
      <c r="BO151" s="4382"/>
      <c r="BP151" s="4382"/>
      <c r="BQ151" s="4382"/>
      <c r="BR151" s="4382"/>
      <c r="BS151" s="4382"/>
      <c r="BT151" s="4383"/>
      <c r="BU151" s="4384"/>
      <c r="BV151" s="4385">
        <f t="shared" si="62"/>
        <v>476</v>
      </c>
      <c r="BW151" s="4386">
        <f t="shared" si="63"/>
        <v>0</v>
      </c>
      <c r="BX151" s="4387"/>
      <c r="BY151" s="4387"/>
      <c r="BZ151" s="4387"/>
      <c r="CA151" s="4391"/>
      <c r="CC151" s="4392"/>
      <c r="CD151" s="4391"/>
    </row>
    <row r="152" s="4025" customFormat="1" ht="50" customHeight="1" spans="1:82">
      <c r="A152" s="3688">
        <v>45650</v>
      </c>
      <c r="B152" s="3664" t="s">
        <v>3194</v>
      </c>
      <c r="C152" s="3664" t="s">
        <v>506</v>
      </c>
      <c r="D152" s="3691">
        <v>4500153983</v>
      </c>
      <c r="E152" s="3664" t="s">
        <v>3217</v>
      </c>
      <c r="F152" s="3664" t="s">
        <v>3218</v>
      </c>
      <c r="G152" s="3664" t="s">
        <v>3197</v>
      </c>
      <c r="H152" s="3664" t="s">
        <v>3198</v>
      </c>
      <c r="I152" s="3691">
        <v>644</v>
      </c>
      <c r="J152" s="3691">
        <v>0</v>
      </c>
      <c r="K152" s="3691">
        <v>4</v>
      </c>
      <c r="L152" s="3691">
        <f t="shared" si="60"/>
        <v>161</v>
      </c>
      <c r="M152" s="3659">
        <v>45730</v>
      </c>
      <c r="N152" s="3659">
        <v>45726</v>
      </c>
      <c r="O152" s="3664" t="s">
        <v>3199</v>
      </c>
      <c r="P152" s="3682" t="s">
        <v>82</v>
      </c>
      <c r="Q152" s="3682"/>
      <c r="R152" s="4083"/>
      <c r="S152" s="4083"/>
      <c r="T152" s="4083"/>
      <c r="U152" s="3645" t="s">
        <v>401</v>
      </c>
      <c r="V152" s="3657" t="s">
        <v>741</v>
      </c>
      <c r="W152" s="3657"/>
      <c r="X152" s="3657" t="s">
        <v>3200</v>
      </c>
      <c r="Y152" s="3657"/>
      <c r="Z152" s="3661"/>
      <c r="AA152" s="3620" t="s">
        <v>3201</v>
      </c>
      <c r="AB152" s="3691" t="s">
        <v>3202</v>
      </c>
      <c r="AC152" s="3691">
        <v>11.2871</v>
      </c>
      <c r="AD152" s="3691">
        <f t="shared" si="67"/>
        <v>1817.2231</v>
      </c>
      <c r="AE152" s="3645" t="s">
        <v>3203</v>
      </c>
      <c r="AF152" s="3664" t="s">
        <v>3204</v>
      </c>
      <c r="AG152" s="3645" t="s">
        <v>416</v>
      </c>
      <c r="AH152" s="905"/>
      <c r="AI152" s="3691">
        <f t="shared" si="68"/>
        <v>644</v>
      </c>
      <c r="AJ152" s="3691"/>
      <c r="AK152" s="905"/>
      <c r="AL152" s="3664"/>
      <c r="AM152" s="3664"/>
      <c r="AN152" s="3691"/>
      <c r="AO152" s="3691">
        <f t="shared" si="51"/>
        <v>644</v>
      </c>
      <c r="AP152" s="3691"/>
      <c r="AQ152" s="4089"/>
      <c r="AR152" s="907"/>
      <c r="AS152" s="4089">
        <f t="shared" si="66"/>
        <v>644</v>
      </c>
      <c r="AT152" s="907"/>
      <c r="AU152" s="4089"/>
      <c r="AV152" s="4089"/>
      <c r="AW152" s="4089"/>
      <c r="AX152" s="4089"/>
      <c r="AY152" s="4089"/>
      <c r="AZ152" s="4089"/>
      <c r="BA152" s="4089"/>
      <c r="BB152" s="4089"/>
      <c r="BC152" s="4089">
        <f t="shared" si="69"/>
        <v>161</v>
      </c>
      <c r="BD152" s="4089"/>
      <c r="BE152" s="4089"/>
      <c r="BF152" s="4089" t="s">
        <v>89</v>
      </c>
      <c r="BG152" s="4089"/>
      <c r="BH152" s="4089">
        <f t="shared" si="70"/>
        <v>107.333333333333</v>
      </c>
      <c r="BI152" s="4089">
        <f t="shared" si="71"/>
        <v>107.333333333333</v>
      </c>
      <c r="BJ152" s="4089">
        <f t="shared" si="72"/>
        <v>107.333333333333</v>
      </c>
      <c r="BK152" s="4089">
        <f t="shared" si="73"/>
        <v>107.333333333333</v>
      </c>
      <c r="BL152" s="4089">
        <f t="shared" si="74"/>
        <v>107.333333333333</v>
      </c>
      <c r="BM152" s="4089">
        <f t="shared" si="75"/>
        <v>85.8666666666667</v>
      </c>
      <c r="BN152" s="4089">
        <f t="shared" si="76"/>
        <v>21.4666666666667</v>
      </c>
      <c r="BO152" s="4382"/>
      <c r="BP152" s="4382"/>
      <c r="BQ152" s="4382"/>
      <c r="BR152" s="4382"/>
      <c r="BS152" s="4382"/>
      <c r="BT152" s="4383"/>
      <c r="BU152" s="4384"/>
      <c r="BV152" s="4385">
        <f t="shared" si="62"/>
        <v>644</v>
      </c>
      <c r="BW152" s="4386">
        <f t="shared" si="63"/>
        <v>0</v>
      </c>
      <c r="BX152" s="4387"/>
      <c r="BY152" s="4387"/>
      <c r="BZ152" s="4387"/>
      <c r="CA152" s="4391"/>
      <c r="CC152" s="4392"/>
      <c r="CD152" s="4391"/>
    </row>
    <row r="153" s="4025" customFormat="1" ht="50" customHeight="1" spans="1:82">
      <c r="A153" s="3688">
        <v>45672</v>
      </c>
      <c r="B153" s="3664" t="s">
        <v>3219</v>
      </c>
      <c r="C153" s="3664" t="s">
        <v>1279</v>
      </c>
      <c r="D153" s="3691">
        <v>4500155907</v>
      </c>
      <c r="E153" s="3664"/>
      <c r="F153" s="3691" t="s">
        <v>3220</v>
      </c>
      <c r="G153" s="3664" t="s">
        <v>2577</v>
      </c>
      <c r="H153" s="3664" t="s">
        <v>2591</v>
      </c>
      <c r="I153" s="3691">
        <v>456</v>
      </c>
      <c r="J153" s="3691">
        <v>0</v>
      </c>
      <c r="K153" s="3691">
        <v>12</v>
      </c>
      <c r="L153" s="3691">
        <f t="shared" si="60"/>
        <v>38</v>
      </c>
      <c r="M153" s="3659">
        <v>45731</v>
      </c>
      <c r="N153" s="3659">
        <v>45727</v>
      </c>
      <c r="O153" s="4085"/>
      <c r="P153" s="3682" t="s">
        <v>82</v>
      </c>
      <c r="Q153" s="3682"/>
      <c r="R153" s="4083"/>
      <c r="S153" s="4083"/>
      <c r="T153" s="4083"/>
      <c r="U153" s="3645" t="s">
        <v>845</v>
      </c>
      <c r="V153" s="3657" t="s">
        <v>3221</v>
      </c>
      <c r="W153" s="3657"/>
      <c r="X153" s="3657" t="s">
        <v>3222</v>
      </c>
      <c r="Y153" s="3657"/>
      <c r="Z153" s="3661"/>
      <c r="AA153" s="3620" t="s">
        <v>3223</v>
      </c>
      <c r="AB153" s="3691" t="s">
        <v>3224</v>
      </c>
      <c r="AC153" s="4087">
        <v>2.1891</v>
      </c>
      <c r="AD153" s="3691">
        <f t="shared" ref="AD153:AD160" si="77">AC153*I153</f>
        <v>998.2296</v>
      </c>
      <c r="AE153" s="3645" t="s">
        <v>3225</v>
      </c>
      <c r="AF153" s="3664" t="s">
        <v>2604</v>
      </c>
      <c r="AG153" s="3645" t="s">
        <v>416</v>
      </c>
      <c r="AH153" s="875"/>
      <c r="AI153" s="3691"/>
      <c r="AJ153" s="3691"/>
      <c r="AK153" s="875"/>
      <c r="AL153" s="3664">
        <f>I153</f>
        <v>456</v>
      </c>
      <c r="AM153" s="3664"/>
      <c r="AN153" s="3691"/>
      <c r="AO153" s="3691">
        <f t="shared" si="51"/>
        <v>456</v>
      </c>
      <c r="AP153" s="3691"/>
      <c r="AQ153" s="4089"/>
      <c r="AR153" s="877"/>
      <c r="AS153" s="4089">
        <f t="shared" si="66"/>
        <v>456</v>
      </c>
      <c r="AT153" s="877"/>
      <c r="AU153" s="4089"/>
      <c r="AV153" s="4089">
        <f>I153/6</f>
        <v>76</v>
      </c>
      <c r="AW153" s="4089"/>
      <c r="AX153" s="4089"/>
      <c r="AY153" s="4089"/>
      <c r="AZ153" s="4089"/>
      <c r="BA153" s="4089"/>
      <c r="BB153" s="4089"/>
      <c r="BC153" s="4089"/>
      <c r="BD153" s="4089"/>
      <c r="BE153" s="4089"/>
      <c r="BF153" s="4089" t="s">
        <v>89</v>
      </c>
      <c r="BG153" s="4089"/>
      <c r="BH153" s="4089">
        <f t="shared" si="70"/>
        <v>76</v>
      </c>
      <c r="BI153" s="4089">
        <f t="shared" si="71"/>
        <v>76</v>
      </c>
      <c r="BJ153" s="4089">
        <f t="shared" si="72"/>
        <v>76</v>
      </c>
      <c r="BK153" s="4089">
        <f t="shared" si="73"/>
        <v>76</v>
      </c>
      <c r="BL153" s="4089">
        <f t="shared" si="74"/>
        <v>76</v>
      </c>
      <c r="BM153" s="4089">
        <f t="shared" si="75"/>
        <v>60.8</v>
      </c>
      <c r="BN153" s="4403">
        <f t="shared" si="76"/>
        <v>15.2</v>
      </c>
      <c r="BO153" s="878"/>
      <c r="BP153" s="878"/>
      <c r="BQ153" s="878"/>
      <c r="BR153" s="878"/>
      <c r="BS153" s="878"/>
      <c r="BT153" s="879"/>
      <c r="BU153" s="880"/>
      <c r="BV153" s="4385">
        <f t="shared" si="62"/>
        <v>456</v>
      </c>
      <c r="BW153" s="4386">
        <f t="shared" si="63"/>
        <v>0</v>
      </c>
      <c r="BX153" s="4387"/>
      <c r="BY153" s="4387"/>
      <c r="BZ153" s="4387"/>
      <c r="CA153" s="4391"/>
      <c r="CC153" s="4392"/>
      <c r="CD153" s="4391"/>
    </row>
    <row r="154" s="4025" customFormat="1" ht="50" customHeight="1" spans="1:82">
      <c r="A154" s="3688">
        <v>45672</v>
      </c>
      <c r="B154" s="3664" t="s">
        <v>3226</v>
      </c>
      <c r="C154" s="3664" t="s">
        <v>1279</v>
      </c>
      <c r="D154" s="3691">
        <v>4500155934</v>
      </c>
      <c r="E154" s="3664"/>
      <c r="F154" s="3691" t="s">
        <v>3227</v>
      </c>
      <c r="G154" s="3664" t="s">
        <v>2577</v>
      </c>
      <c r="H154" s="3664" t="s">
        <v>2591</v>
      </c>
      <c r="I154" s="3691">
        <v>228</v>
      </c>
      <c r="J154" s="3691">
        <v>0</v>
      </c>
      <c r="K154" s="3691">
        <v>12</v>
      </c>
      <c r="L154" s="3691">
        <f t="shared" si="60"/>
        <v>19</v>
      </c>
      <c r="M154" s="3659">
        <v>45731</v>
      </c>
      <c r="N154" s="3659">
        <v>45727</v>
      </c>
      <c r="O154" s="4085"/>
      <c r="P154" s="3682" t="s">
        <v>82</v>
      </c>
      <c r="Q154" s="3682"/>
      <c r="R154" s="4083"/>
      <c r="S154" s="4083"/>
      <c r="T154" s="4083"/>
      <c r="U154" s="3645" t="s">
        <v>3175</v>
      </c>
      <c r="V154" s="3657" t="s">
        <v>3228</v>
      </c>
      <c r="W154" s="3657"/>
      <c r="X154" s="3657" t="s">
        <v>3229</v>
      </c>
      <c r="Y154" s="3657"/>
      <c r="Z154" s="3661"/>
      <c r="AA154" s="3620" t="s">
        <v>3230</v>
      </c>
      <c r="AB154" s="3691" t="s">
        <v>3224</v>
      </c>
      <c r="AC154" s="4087">
        <v>2.1891</v>
      </c>
      <c r="AD154" s="3691">
        <f t="shared" si="77"/>
        <v>499.1148</v>
      </c>
      <c r="AE154" s="3645" t="s">
        <v>3231</v>
      </c>
      <c r="AF154" s="3664" t="s">
        <v>2604</v>
      </c>
      <c r="AG154" s="3645" t="s">
        <v>416</v>
      </c>
      <c r="AH154" s="875"/>
      <c r="AI154" s="3691"/>
      <c r="AJ154" s="3691"/>
      <c r="AK154" s="875"/>
      <c r="AL154" s="3664">
        <f>I154</f>
        <v>228</v>
      </c>
      <c r="AM154" s="3664"/>
      <c r="AN154" s="3691"/>
      <c r="AO154" s="3691">
        <f t="shared" si="51"/>
        <v>228</v>
      </c>
      <c r="AP154" s="3691"/>
      <c r="AQ154" s="4089"/>
      <c r="AR154" s="877"/>
      <c r="AS154" s="4089">
        <f t="shared" si="66"/>
        <v>228</v>
      </c>
      <c r="AT154" s="877"/>
      <c r="AU154" s="4089"/>
      <c r="AV154" s="4089">
        <f>I154/6</f>
        <v>38</v>
      </c>
      <c r="AW154" s="4089"/>
      <c r="AX154" s="4089"/>
      <c r="AY154" s="4089"/>
      <c r="AZ154" s="4089"/>
      <c r="BA154" s="4089"/>
      <c r="BB154" s="4089"/>
      <c r="BC154" s="4089"/>
      <c r="BD154" s="4089"/>
      <c r="BE154" s="4089"/>
      <c r="BF154" s="4089" t="s">
        <v>89</v>
      </c>
      <c r="BG154" s="4089"/>
      <c r="BH154" s="4089">
        <f t="shared" si="70"/>
        <v>38</v>
      </c>
      <c r="BI154" s="4089">
        <f t="shared" si="71"/>
        <v>38</v>
      </c>
      <c r="BJ154" s="4089">
        <f t="shared" si="72"/>
        <v>38</v>
      </c>
      <c r="BK154" s="4089">
        <f t="shared" si="73"/>
        <v>38</v>
      </c>
      <c r="BL154" s="4089">
        <f t="shared" si="74"/>
        <v>38</v>
      </c>
      <c r="BM154" s="4089">
        <f t="shared" si="75"/>
        <v>30.4</v>
      </c>
      <c r="BN154" s="4089">
        <f t="shared" si="76"/>
        <v>7.6</v>
      </c>
      <c r="BO154" s="878"/>
      <c r="BP154" s="878"/>
      <c r="BQ154" s="878"/>
      <c r="BR154" s="878"/>
      <c r="BS154" s="878"/>
      <c r="BT154" s="879"/>
      <c r="BU154" s="880"/>
      <c r="BV154" s="4385">
        <f t="shared" si="62"/>
        <v>228</v>
      </c>
      <c r="BW154" s="4386">
        <f t="shared" si="63"/>
        <v>0</v>
      </c>
      <c r="BX154" s="4387"/>
      <c r="BY154" s="4387"/>
      <c r="BZ154" s="4387"/>
      <c r="CA154" s="4391"/>
      <c r="CC154" s="4392"/>
      <c r="CD154" s="4391"/>
    </row>
    <row r="155" s="4025" customFormat="1" ht="50" customHeight="1" spans="1:82">
      <c r="A155" s="3688">
        <v>45693</v>
      </c>
      <c r="B155" s="3664" t="s">
        <v>505</v>
      </c>
      <c r="C155" s="3664" t="s">
        <v>506</v>
      </c>
      <c r="D155" s="3691">
        <v>4500156707</v>
      </c>
      <c r="E155" s="3664">
        <v>20626204</v>
      </c>
      <c r="F155" s="3691" t="s">
        <v>3232</v>
      </c>
      <c r="G155" s="3664" t="s">
        <v>2577</v>
      </c>
      <c r="H155" s="3664" t="s">
        <v>2591</v>
      </c>
      <c r="I155" s="3691">
        <v>1404</v>
      </c>
      <c r="J155" s="3691">
        <v>0</v>
      </c>
      <c r="K155" s="3691">
        <v>12</v>
      </c>
      <c r="L155" s="3691">
        <f t="shared" si="60"/>
        <v>117</v>
      </c>
      <c r="M155" s="3659">
        <v>45733</v>
      </c>
      <c r="N155" s="3659">
        <v>45729</v>
      </c>
      <c r="O155" s="4085"/>
      <c r="P155" s="3682" t="s">
        <v>82</v>
      </c>
      <c r="Q155" s="3682"/>
      <c r="R155" s="4083"/>
      <c r="S155" s="4083"/>
      <c r="T155" s="4083"/>
      <c r="U155" s="3645" t="s">
        <v>3233</v>
      </c>
      <c r="V155" s="3657" t="s">
        <v>3234</v>
      </c>
      <c r="W155" s="3657"/>
      <c r="X155" s="3657" t="s">
        <v>3235</v>
      </c>
      <c r="Y155" s="3657"/>
      <c r="Z155" s="3661"/>
      <c r="AA155" s="3620" t="s">
        <v>3236</v>
      </c>
      <c r="AB155" s="3691" t="s">
        <v>513</v>
      </c>
      <c r="AC155" s="4087">
        <v>2.2937</v>
      </c>
      <c r="AD155" s="3691">
        <f t="shared" si="77"/>
        <v>3220.3548</v>
      </c>
      <c r="AE155" s="3645" t="s">
        <v>3237</v>
      </c>
      <c r="AF155" s="3664" t="s">
        <v>2577</v>
      </c>
      <c r="AG155" s="3645" t="s">
        <v>416</v>
      </c>
      <c r="AH155" s="906"/>
      <c r="AI155" s="3664">
        <f>I155</f>
        <v>1404</v>
      </c>
      <c r="AJ155" s="3664"/>
      <c r="AK155" s="906"/>
      <c r="AL155" s="3691"/>
      <c r="AM155" s="3691"/>
      <c r="AN155" s="4089"/>
      <c r="AO155" s="4089">
        <f t="shared" si="51"/>
        <v>1404</v>
      </c>
      <c r="AP155" s="4089"/>
      <c r="AQ155" s="4089"/>
      <c r="AR155" s="4382"/>
      <c r="AS155" s="4089">
        <f t="shared" si="66"/>
        <v>1404</v>
      </c>
      <c r="AT155" s="4382"/>
      <c r="AU155" s="4089"/>
      <c r="AV155" s="4089">
        <f>I155/6</f>
        <v>234</v>
      </c>
      <c r="AW155" s="4089"/>
      <c r="AX155" s="4089"/>
      <c r="AY155" s="4089"/>
      <c r="AZ155" s="4089"/>
      <c r="BA155" s="4089"/>
      <c r="BB155" s="4089"/>
      <c r="BC155" s="4089"/>
      <c r="BD155" s="4089"/>
      <c r="BE155" s="4089"/>
      <c r="BF155" s="4089" t="s">
        <v>89</v>
      </c>
      <c r="BG155" s="4089"/>
      <c r="BH155" s="4089">
        <f t="shared" si="70"/>
        <v>234</v>
      </c>
      <c r="BI155" s="4089">
        <f t="shared" si="71"/>
        <v>234</v>
      </c>
      <c r="BJ155" s="4089">
        <f t="shared" si="72"/>
        <v>234</v>
      </c>
      <c r="BK155" s="4089">
        <f t="shared" si="73"/>
        <v>234</v>
      </c>
      <c r="BL155" s="4089">
        <f t="shared" si="74"/>
        <v>234</v>
      </c>
      <c r="BM155" s="4385">
        <f t="shared" si="75"/>
        <v>187.2</v>
      </c>
      <c r="BN155" s="4403">
        <f t="shared" si="76"/>
        <v>46.8</v>
      </c>
      <c r="BO155" s="4416"/>
      <c r="BP155" s="4416"/>
      <c r="BQ155" s="4416"/>
      <c r="BR155" s="4416"/>
      <c r="BS155" s="4416"/>
      <c r="BT155" s="4416"/>
      <c r="BU155" s="4384"/>
      <c r="BV155" s="4385">
        <f t="shared" si="62"/>
        <v>1404</v>
      </c>
      <c r="BW155" s="4386">
        <f t="shared" si="63"/>
        <v>0</v>
      </c>
      <c r="BX155" s="4387"/>
      <c r="BY155" s="4387"/>
      <c r="BZ155" s="4387"/>
      <c r="CA155" s="4391"/>
      <c r="CC155" s="4392"/>
      <c r="CD155" s="4391"/>
    </row>
    <row r="156" s="4025" customFormat="1" ht="50" customHeight="1" spans="1:82">
      <c r="A156" s="3688">
        <v>45693</v>
      </c>
      <c r="B156" s="3664" t="s">
        <v>839</v>
      </c>
      <c r="C156" s="3664" t="s">
        <v>840</v>
      </c>
      <c r="D156" s="3691">
        <v>4500156708</v>
      </c>
      <c r="E156" s="3664">
        <v>20626205</v>
      </c>
      <c r="F156" s="3691" t="s">
        <v>3238</v>
      </c>
      <c r="G156" s="3664" t="s">
        <v>2577</v>
      </c>
      <c r="H156" s="3664" t="s">
        <v>2591</v>
      </c>
      <c r="I156" s="3691">
        <v>120</v>
      </c>
      <c r="J156" s="3691">
        <v>0</v>
      </c>
      <c r="K156" s="3691">
        <v>12</v>
      </c>
      <c r="L156" s="3691">
        <f t="shared" si="60"/>
        <v>10</v>
      </c>
      <c r="M156" s="3659">
        <v>45733</v>
      </c>
      <c r="N156" s="3659">
        <v>45729</v>
      </c>
      <c r="O156" s="4085"/>
      <c r="P156" s="3682" t="s">
        <v>82</v>
      </c>
      <c r="Q156" s="3682"/>
      <c r="R156" s="4083"/>
      <c r="S156" s="4083"/>
      <c r="T156" s="4083"/>
      <c r="U156" s="3645" t="s">
        <v>3233</v>
      </c>
      <c r="V156" s="3657" t="s">
        <v>3234</v>
      </c>
      <c r="W156" s="3657"/>
      <c r="X156" s="3657" t="s">
        <v>3235</v>
      </c>
      <c r="Y156" s="3657"/>
      <c r="Z156" s="3661"/>
      <c r="AA156" s="3620" t="s">
        <v>3239</v>
      </c>
      <c r="AB156" s="3691" t="s">
        <v>513</v>
      </c>
      <c r="AC156" s="4087">
        <v>2.2984</v>
      </c>
      <c r="AD156" s="3691">
        <f t="shared" si="77"/>
        <v>275.808</v>
      </c>
      <c r="AE156" s="3645" t="s">
        <v>3240</v>
      </c>
      <c r="AF156" s="3664" t="s">
        <v>2577</v>
      </c>
      <c r="AG156" s="3645" t="s">
        <v>416</v>
      </c>
      <c r="AH156" s="906"/>
      <c r="AI156" s="3664">
        <f>I156</f>
        <v>120</v>
      </c>
      <c r="AJ156" s="3664"/>
      <c r="AK156" s="906"/>
      <c r="AL156" s="3691"/>
      <c r="AM156" s="3691"/>
      <c r="AN156" s="4089"/>
      <c r="AO156" s="4089">
        <f t="shared" si="51"/>
        <v>120</v>
      </c>
      <c r="AP156" s="4089"/>
      <c r="AQ156" s="4089"/>
      <c r="AR156" s="4382"/>
      <c r="AS156" s="4089">
        <f t="shared" si="66"/>
        <v>120</v>
      </c>
      <c r="AT156" s="4382"/>
      <c r="AU156" s="4089"/>
      <c r="AV156" s="4089">
        <f>I156/6</f>
        <v>20</v>
      </c>
      <c r="AW156" s="4089"/>
      <c r="AX156" s="4089"/>
      <c r="AY156" s="4089"/>
      <c r="AZ156" s="4089"/>
      <c r="BA156" s="4089"/>
      <c r="BB156" s="4089"/>
      <c r="BC156" s="4089"/>
      <c r="BD156" s="4089"/>
      <c r="BE156" s="4089"/>
      <c r="BF156" s="4089" t="s">
        <v>89</v>
      </c>
      <c r="BG156" s="4089"/>
      <c r="BH156" s="4089">
        <f t="shared" si="70"/>
        <v>20</v>
      </c>
      <c r="BI156" s="4089">
        <f t="shared" si="71"/>
        <v>20</v>
      </c>
      <c r="BJ156" s="4089">
        <f t="shared" si="72"/>
        <v>20</v>
      </c>
      <c r="BK156" s="4089">
        <f t="shared" si="73"/>
        <v>20</v>
      </c>
      <c r="BL156" s="4089">
        <f t="shared" si="74"/>
        <v>20</v>
      </c>
      <c r="BM156" s="4403">
        <f t="shared" si="75"/>
        <v>16</v>
      </c>
      <c r="BN156" s="4089">
        <f t="shared" si="76"/>
        <v>4</v>
      </c>
      <c r="BO156" s="4416"/>
      <c r="BP156" s="4416"/>
      <c r="BQ156" s="4416"/>
      <c r="BR156" s="4416"/>
      <c r="BS156" s="4416"/>
      <c r="BT156" s="4416"/>
      <c r="BU156" s="4384"/>
      <c r="BV156" s="4385">
        <f t="shared" si="62"/>
        <v>120</v>
      </c>
      <c r="BW156" s="4386">
        <f t="shared" si="63"/>
        <v>0</v>
      </c>
      <c r="BX156" s="4387"/>
      <c r="BY156" s="4387"/>
      <c r="BZ156" s="4387"/>
      <c r="CA156" s="4391"/>
      <c r="CC156" s="4392"/>
      <c r="CD156" s="4391"/>
    </row>
    <row r="157" s="4025" customFormat="1" ht="50" customHeight="1" spans="1:82">
      <c r="A157" s="3688">
        <v>45683</v>
      </c>
      <c r="B157" s="3664" t="s">
        <v>872</v>
      </c>
      <c r="C157" s="3664" t="s">
        <v>873</v>
      </c>
      <c r="D157" s="3691">
        <v>4500156659</v>
      </c>
      <c r="E157" s="3664"/>
      <c r="F157" s="3691" t="s">
        <v>3241</v>
      </c>
      <c r="G157" s="3664" t="s">
        <v>2627</v>
      </c>
      <c r="H157" s="3691" t="s">
        <v>2591</v>
      </c>
      <c r="I157" s="3691">
        <v>672</v>
      </c>
      <c r="J157" s="3691">
        <v>0</v>
      </c>
      <c r="K157" s="3691">
        <v>24</v>
      </c>
      <c r="L157" s="3691">
        <f t="shared" si="60"/>
        <v>28</v>
      </c>
      <c r="M157" s="3659">
        <v>45734</v>
      </c>
      <c r="N157" s="3659">
        <v>45730</v>
      </c>
      <c r="O157" s="4085"/>
      <c r="P157" s="3682" t="s">
        <v>82</v>
      </c>
      <c r="Q157" s="3682"/>
      <c r="R157" s="4083"/>
      <c r="S157" s="4083"/>
      <c r="T157" s="4083"/>
      <c r="U157" s="3645" t="s">
        <v>875</v>
      </c>
      <c r="V157" s="3657" t="s">
        <v>876</v>
      </c>
      <c r="W157" s="3657"/>
      <c r="X157" s="3657" t="s">
        <v>830</v>
      </c>
      <c r="Y157" s="3657"/>
      <c r="Z157" s="3661"/>
      <c r="AA157" s="3620" t="s">
        <v>3242</v>
      </c>
      <c r="AB157" s="3691" t="s">
        <v>357</v>
      </c>
      <c r="AC157" s="3691">
        <v>2.1332</v>
      </c>
      <c r="AD157" s="3691">
        <f t="shared" si="77"/>
        <v>1433.5104</v>
      </c>
      <c r="AE157" s="3645" t="s">
        <v>878</v>
      </c>
      <c r="AF157" s="3664" t="s">
        <v>2627</v>
      </c>
      <c r="AG157" s="3645" t="s">
        <v>416</v>
      </c>
      <c r="AH157" s="875"/>
      <c r="AI157" s="3691">
        <f>I157</f>
        <v>672</v>
      </c>
      <c r="AJ157" s="3691"/>
      <c r="AK157" s="875"/>
      <c r="AL157" s="3664"/>
      <c r="AM157" s="3664"/>
      <c r="AN157" s="3691"/>
      <c r="AO157" s="3691">
        <f t="shared" si="51"/>
        <v>672</v>
      </c>
      <c r="AP157" s="3691"/>
      <c r="AQ157" s="4089"/>
      <c r="AR157" s="877"/>
      <c r="AS157" s="4089">
        <f t="shared" si="66"/>
        <v>672</v>
      </c>
      <c r="AT157" s="877"/>
      <c r="AU157" s="4089"/>
      <c r="AV157" s="4089"/>
      <c r="AW157" s="4089"/>
      <c r="AX157" s="4089"/>
      <c r="AY157" s="4089"/>
      <c r="AZ157" s="4089"/>
      <c r="BA157" s="4089"/>
      <c r="BB157" s="4089"/>
      <c r="BC157" s="4089"/>
      <c r="BD157" s="4089"/>
      <c r="BE157" s="4089"/>
      <c r="BF157" s="4089" t="s">
        <v>89</v>
      </c>
      <c r="BG157" s="4089"/>
      <c r="BH157" s="4089">
        <f t="shared" si="70"/>
        <v>112</v>
      </c>
      <c r="BI157" s="4089">
        <f t="shared" si="71"/>
        <v>112</v>
      </c>
      <c r="BJ157" s="4089">
        <f t="shared" si="72"/>
        <v>112</v>
      </c>
      <c r="BK157" s="4089">
        <f t="shared" si="73"/>
        <v>112</v>
      </c>
      <c r="BL157" s="4089">
        <f t="shared" si="74"/>
        <v>112</v>
      </c>
      <c r="BM157" s="4089">
        <f t="shared" si="75"/>
        <v>89.6</v>
      </c>
      <c r="BN157" s="4089">
        <f t="shared" si="76"/>
        <v>22.4</v>
      </c>
      <c r="BO157" s="878"/>
      <c r="BP157" s="878"/>
      <c r="BQ157" s="878"/>
      <c r="BR157" s="878"/>
      <c r="BS157" s="878"/>
      <c r="BT157" s="879"/>
      <c r="BU157" s="880"/>
      <c r="BV157" s="4385">
        <f t="shared" si="62"/>
        <v>672</v>
      </c>
      <c r="BW157" s="4386">
        <f t="shared" si="63"/>
        <v>0</v>
      </c>
      <c r="BX157" s="4387"/>
      <c r="BY157" s="4387"/>
      <c r="BZ157" s="4387"/>
      <c r="CA157" s="4391"/>
      <c r="CC157" s="4392"/>
      <c r="CD157" s="4391"/>
    </row>
    <row r="158" s="4025" customFormat="1" ht="50" customHeight="1" spans="1:82">
      <c r="A158" s="3688">
        <v>45694</v>
      </c>
      <c r="B158" s="3664" t="s">
        <v>857</v>
      </c>
      <c r="C158" s="3664" t="s">
        <v>858</v>
      </c>
      <c r="D158" s="3691">
        <v>4500156829</v>
      </c>
      <c r="E158" s="3664"/>
      <c r="F158" s="3691" t="s">
        <v>3243</v>
      </c>
      <c r="G158" s="3664" t="s">
        <v>2627</v>
      </c>
      <c r="H158" s="3691" t="s">
        <v>2591</v>
      </c>
      <c r="I158" s="3691">
        <v>240</v>
      </c>
      <c r="J158" s="3691">
        <v>0</v>
      </c>
      <c r="K158" s="3691">
        <v>24</v>
      </c>
      <c r="L158" s="3691">
        <f t="shared" si="60"/>
        <v>10</v>
      </c>
      <c r="M158" s="3659">
        <v>45736</v>
      </c>
      <c r="N158" s="3659">
        <v>45731</v>
      </c>
      <c r="O158" s="4085"/>
      <c r="P158" s="3682" t="s">
        <v>82</v>
      </c>
      <c r="Q158" s="3682"/>
      <c r="R158" s="4083"/>
      <c r="S158" s="4083"/>
      <c r="T158" s="4083"/>
      <c r="U158" s="3645"/>
      <c r="V158" s="3657" t="s">
        <v>846</v>
      </c>
      <c r="W158" s="3657" t="s">
        <v>401</v>
      </c>
      <c r="X158" s="3657" t="s">
        <v>98</v>
      </c>
      <c r="Y158" s="3657"/>
      <c r="Z158" s="3661"/>
      <c r="AA158" s="3620" t="s">
        <v>3244</v>
      </c>
      <c r="AB158" s="3691" t="s">
        <v>357</v>
      </c>
      <c r="AC158" s="4087">
        <v>2.084</v>
      </c>
      <c r="AD158" s="3691">
        <f t="shared" si="77"/>
        <v>500.16</v>
      </c>
      <c r="AE158" s="3645"/>
      <c r="AF158" s="3664" t="s">
        <v>2627</v>
      </c>
      <c r="AG158" s="3645" t="s">
        <v>416</v>
      </c>
      <c r="AH158" s="875"/>
      <c r="AI158" s="3691">
        <f>I158</f>
        <v>240</v>
      </c>
      <c r="AJ158" s="3691"/>
      <c r="AK158" s="875"/>
      <c r="AL158" s="3664"/>
      <c r="AM158" s="3664"/>
      <c r="AN158" s="3691"/>
      <c r="AO158" s="3691">
        <f t="shared" si="51"/>
        <v>240</v>
      </c>
      <c r="AP158" s="3691"/>
      <c r="AQ158" s="4089"/>
      <c r="AR158" s="877"/>
      <c r="AS158" s="4089">
        <f t="shared" si="66"/>
        <v>240</v>
      </c>
      <c r="AT158" s="877"/>
      <c r="AU158" s="4089"/>
      <c r="AV158" s="4089"/>
      <c r="AW158" s="4089"/>
      <c r="AX158" s="4089"/>
      <c r="AY158" s="4089"/>
      <c r="AZ158" s="4089"/>
      <c r="BA158" s="4089"/>
      <c r="BB158" s="4089"/>
      <c r="BC158" s="4089"/>
      <c r="BD158" s="4089"/>
      <c r="BE158" s="4089"/>
      <c r="BF158" s="4089" t="s">
        <v>89</v>
      </c>
      <c r="BG158" s="4089"/>
      <c r="BH158" s="4089">
        <f t="shared" si="70"/>
        <v>40</v>
      </c>
      <c r="BI158" s="4089">
        <f t="shared" si="71"/>
        <v>40</v>
      </c>
      <c r="BJ158" s="4089">
        <f t="shared" si="72"/>
        <v>40</v>
      </c>
      <c r="BK158" s="4089">
        <f t="shared" si="73"/>
        <v>40</v>
      </c>
      <c r="BL158" s="4089">
        <f t="shared" si="74"/>
        <v>40</v>
      </c>
      <c r="BM158" s="4089">
        <f t="shared" si="75"/>
        <v>32</v>
      </c>
      <c r="BN158" s="4089">
        <f t="shared" si="76"/>
        <v>8</v>
      </c>
      <c r="BO158" s="878"/>
      <c r="BP158" s="878"/>
      <c r="BQ158" s="878"/>
      <c r="BR158" s="878"/>
      <c r="BS158" s="878"/>
      <c r="BT158" s="879"/>
      <c r="BU158" s="880"/>
      <c r="BV158" s="4385">
        <f t="shared" si="62"/>
        <v>240</v>
      </c>
      <c r="BW158" s="4386">
        <f t="shared" si="63"/>
        <v>0</v>
      </c>
      <c r="BX158" s="4387"/>
      <c r="BY158" s="4387"/>
      <c r="BZ158" s="4387"/>
      <c r="CA158" s="4391"/>
      <c r="CC158" s="4392"/>
      <c r="CD158" s="4391"/>
    </row>
    <row r="159" s="4025" customFormat="1" ht="50" customHeight="1" spans="1:82">
      <c r="A159" s="3688">
        <v>45665</v>
      </c>
      <c r="B159" s="3689" t="s">
        <v>2908</v>
      </c>
      <c r="C159" s="3664" t="s">
        <v>341</v>
      </c>
      <c r="D159" s="3690">
        <v>4500155167</v>
      </c>
      <c r="E159" s="3664">
        <v>2702027</v>
      </c>
      <c r="F159" s="3690" t="s">
        <v>3245</v>
      </c>
      <c r="G159" s="3664" t="s">
        <v>2911</v>
      </c>
      <c r="H159" s="3664" t="s">
        <v>2620</v>
      </c>
      <c r="I159" s="3691">
        <v>3000</v>
      </c>
      <c r="J159" s="3691">
        <v>0</v>
      </c>
      <c r="K159" s="3691">
        <v>4</v>
      </c>
      <c r="L159" s="3691">
        <f t="shared" si="60"/>
        <v>750</v>
      </c>
      <c r="M159" s="3659">
        <v>45737</v>
      </c>
      <c r="N159" s="3659">
        <v>45733</v>
      </c>
      <c r="O159" s="4085"/>
      <c r="P159" s="3682" t="s">
        <v>82</v>
      </c>
      <c r="Q159" s="3682"/>
      <c r="R159" s="4083"/>
      <c r="S159" s="4083"/>
      <c r="T159" s="4083"/>
      <c r="U159" s="3645" t="s">
        <v>863</v>
      </c>
      <c r="V159" s="3657" t="s">
        <v>864</v>
      </c>
      <c r="W159" s="3657"/>
      <c r="X159" s="3657" t="s">
        <v>98</v>
      </c>
      <c r="Y159" s="3657"/>
      <c r="Z159" s="3661"/>
      <c r="AA159" s="3620" t="s">
        <v>3246</v>
      </c>
      <c r="AB159" s="3691" t="s">
        <v>424</v>
      </c>
      <c r="AC159" s="3691">
        <v>2.1678</v>
      </c>
      <c r="AD159" s="3691">
        <f t="shared" si="77"/>
        <v>6503.4</v>
      </c>
      <c r="AE159" s="3645" t="s">
        <v>3247</v>
      </c>
      <c r="AF159" s="3664" t="s">
        <v>2911</v>
      </c>
      <c r="AG159" s="3645" t="s">
        <v>416</v>
      </c>
      <c r="AH159" s="875"/>
      <c r="AI159" s="3664">
        <f>I159</f>
        <v>3000</v>
      </c>
      <c r="AJ159" s="3664"/>
      <c r="AK159" s="979"/>
      <c r="AL159" s="3664"/>
      <c r="AM159" s="3664"/>
      <c r="AN159" s="3691"/>
      <c r="AO159" s="3691">
        <f t="shared" si="51"/>
        <v>3000</v>
      </c>
      <c r="AP159" s="3691"/>
      <c r="AQ159" s="4089"/>
      <c r="AR159" s="877"/>
      <c r="AS159" s="4089">
        <f t="shared" si="66"/>
        <v>3000</v>
      </c>
      <c r="AT159" s="877"/>
      <c r="AU159" s="4089"/>
      <c r="AV159" s="4089"/>
      <c r="AW159" s="4089"/>
      <c r="AX159" s="4089"/>
      <c r="AY159" s="4089"/>
      <c r="AZ159" s="4089"/>
      <c r="BA159" s="4089">
        <f>I159/4</f>
        <v>750</v>
      </c>
      <c r="BB159" s="4089"/>
      <c r="BC159" s="4089"/>
      <c r="BD159" s="4089"/>
      <c r="BE159" s="4089"/>
      <c r="BF159" s="4089" t="s">
        <v>89</v>
      </c>
      <c r="BG159" s="4089"/>
      <c r="BH159" s="4089">
        <f t="shared" si="70"/>
        <v>500</v>
      </c>
      <c r="BI159" s="4089">
        <f t="shared" si="71"/>
        <v>500</v>
      </c>
      <c r="BJ159" s="4089">
        <f t="shared" si="72"/>
        <v>500</v>
      </c>
      <c r="BK159" s="4089">
        <f t="shared" si="73"/>
        <v>500</v>
      </c>
      <c r="BL159" s="4089">
        <f t="shared" si="74"/>
        <v>500</v>
      </c>
      <c r="BM159" s="4089">
        <f t="shared" si="75"/>
        <v>400</v>
      </c>
      <c r="BN159" s="4089">
        <f t="shared" si="76"/>
        <v>100</v>
      </c>
      <c r="BO159" s="878"/>
      <c r="BP159" s="878"/>
      <c r="BQ159" s="878"/>
      <c r="BR159" s="878"/>
      <c r="BS159" s="878"/>
      <c r="BT159" s="879"/>
      <c r="BU159" s="880"/>
      <c r="BV159" s="4385">
        <f t="shared" si="62"/>
        <v>3000</v>
      </c>
      <c r="BW159" s="4386">
        <f t="shared" si="63"/>
        <v>0</v>
      </c>
      <c r="BX159" s="4387"/>
      <c r="BY159" s="4387"/>
      <c r="BZ159" s="4387"/>
      <c r="CA159" s="4391"/>
      <c r="CC159" s="4392"/>
      <c r="CD159" s="4391"/>
    </row>
    <row r="160" s="4025" customFormat="1" ht="50" customHeight="1" spans="1:82">
      <c r="A160" s="3688">
        <v>45674</v>
      </c>
      <c r="B160" s="3664" t="s">
        <v>3248</v>
      </c>
      <c r="C160" s="3664" t="s">
        <v>1279</v>
      </c>
      <c r="D160" s="3691">
        <v>4500156067</v>
      </c>
      <c r="E160" s="4395"/>
      <c r="F160" s="3664" t="s">
        <v>3249</v>
      </c>
      <c r="G160" s="3664" t="s">
        <v>2700</v>
      </c>
      <c r="H160" s="3664" t="s">
        <v>2591</v>
      </c>
      <c r="I160" s="3691">
        <v>348</v>
      </c>
      <c r="J160" s="3691">
        <v>0</v>
      </c>
      <c r="K160" s="3691">
        <v>12</v>
      </c>
      <c r="L160" s="3691">
        <f t="shared" si="60"/>
        <v>29</v>
      </c>
      <c r="M160" s="3659">
        <v>45737</v>
      </c>
      <c r="N160" s="3659">
        <v>45733</v>
      </c>
      <c r="O160" s="3664" t="s">
        <v>3250</v>
      </c>
      <c r="P160" s="3682" t="s">
        <v>82</v>
      </c>
      <c r="Q160" s="3682"/>
      <c r="R160" s="4083"/>
      <c r="S160" s="4083"/>
      <c r="T160" s="4083"/>
      <c r="U160" s="3645" t="s">
        <v>3251</v>
      </c>
      <c r="V160" s="3647" t="s">
        <v>876</v>
      </c>
      <c r="W160" s="3657"/>
      <c r="X160" s="3657" t="s">
        <v>3252</v>
      </c>
      <c r="Y160" s="3657"/>
      <c r="Z160" s="3691" t="s">
        <v>3253</v>
      </c>
      <c r="AA160" s="3620" t="s">
        <v>3254</v>
      </c>
      <c r="AB160" s="3691" t="s">
        <v>578</v>
      </c>
      <c r="AC160" s="3691">
        <v>2.1891</v>
      </c>
      <c r="AD160" s="3691">
        <f t="shared" si="77"/>
        <v>761.8068</v>
      </c>
      <c r="AE160" s="3645" t="s">
        <v>3255</v>
      </c>
      <c r="AF160" s="3664" t="s">
        <v>2871</v>
      </c>
      <c r="AG160" s="3645" t="s">
        <v>416</v>
      </c>
      <c r="AH160" s="875"/>
      <c r="AI160" s="3691"/>
      <c r="AJ160" s="3691"/>
      <c r="AK160" s="875"/>
      <c r="AL160" s="3664">
        <f>I160</f>
        <v>348</v>
      </c>
      <c r="AM160" s="3664"/>
      <c r="AN160" s="3691"/>
      <c r="AO160" s="3691">
        <f t="shared" si="51"/>
        <v>348</v>
      </c>
      <c r="AP160" s="3691"/>
      <c r="AQ160" s="4089"/>
      <c r="AR160" s="877"/>
      <c r="AS160" s="4089"/>
      <c r="AT160" s="877"/>
      <c r="AU160" s="4089">
        <f>I160</f>
        <v>348</v>
      </c>
      <c r="AV160" s="4089">
        <f>I160/6</f>
        <v>58</v>
      </c>
      <c r="AW160" s="4089"/>
      <c r="AX160" s="4089"/>
      <c r="AY160" s="4089"/>
      <c r="AZ160" s="4089"/>
      <c r="BA160" s="4089"/>
      <c r="BB160" s="4089"/>
      <c r="BC160" s="4089"/>
      <c r="BD160" s="4089"/>
      <c r="BE160" s="4089"/>
      <c r="BF160" s="4089" t="s">
        <v>89</v>
      </c>
      <c r="BG160" s="4089"/>
      <c r="BH160" s="4089">
        <f t="shared" si="70"/>
        <v>58</v>
      </c>
      <c r="BI160" s="4089">
        <f t="shared" si="71"/>
        <v>58</v>
      </c>
      <c r="BJ160" s="4089">
        <f t="shared" si="72"/>
        <v>58</v>
      </c>
      <c r="BK160" s="4089">
        <f t="shared" si="73"/>
        <v>58</v>
      </c>
      <c r="BL160" s="4089">
        <f t="shared" si="74"/>
        <v>58</v>
      </c>
      <c r="BM160" s="4089">
        <f t="shared" si="75"/>
        <v>46.4</v>
      </c>
      <c r="BN160" s="4089">
        <f t="shared" si="76"/>
        <v>11.6</v>
      </c>
      <c r="BO160" s="878"/>
      <c r="BP160" s="878"/>
      <c r="BQ160" s="878"/>
      <c r="BR160" s="878"/>
      <c r="BS160" s="878"/>
      <c r="BT160" s="879"/>
      <c r="BU160" s="880"/>
      <c r="BV160" s="4385">
        <f t="shared" si="62"/>
        <v>348</v>
      </c>
      <c r="BW160" s="4386">
        <f t="shared" si="63"/>
        <v>0</v>
      </c>
      <c r="BX160" s="4387"/>
      <c r="BY160" s="4387"/>
      <c r="BZ160" s="4387"/>
      <c r="CA160" s="4391"/>
      <c r="CC160" s="4392"/>
      <c r="CD160" s="4391"/>
    </row>
    <row r="161" s="4025" customFormat="1" ht="50" customHeight="1" spans="1:82">
      <c r="A161" s="3688">
        <v>45694</v>
      </c>
      <c r="B161" s="3664" t="s">
        <v>607</v>
      </c>
      <c r="C161" s="3664" t="s">
        <v>91</v>
      </c>
      <c r="D161" s="3691">
        <v>4500156769</v>
      </c>
      <c r="E161" s="3664" t="s">
        <v>879</v>
      </c>
      <c r="F161" s="3691" t="s">
        <v>880</v>
      </c>
      <c r="G161" s="3664" t="s">
        <v>2926</v>
      </c>
      <c r="H161" s="3664" t="s">
        <v>1320</v>
      </c>
      <c r="I161" s="4401">
        <v>2004</v>
      </c>
      <c r="J161" s="3691">
        <v>0</v>
      </c>
      <c r="K161" s="3691">
        <v>12</v>
      </c>
      <c r="L161" s="3691">
        <f t="shared" si="60"/>
        <v>167</v>
      </c>
      <c r="M161" s="3659">
        <v>45740</v>
      </c>
      <c r="N161" s="3659">
        <v>45736</v>
      </c>
      <c r="O161" s="4085"/>
      <c r="P161" s="3682" t="s">
        <v>82</v>
      </c>
      <c r="Q161" s="3682"/>
      <c r="R161" s="4083"/>
      <c r="S161" s="4083"/>
      <c r="T161" s="4083"/>
      <c r="U161" s="3645" t="s">
        <v>881</v>
      </c>
      <c r="V161" s="3657" t="s">
        <v>882</v>
      </c>
      <c r="W161" s="3657"/>
      <c r="X161" s="3657" t="s">
        <v>883</v>
      </c>
      <c r="Y161" s="3657"/>
      <c r="Z161" s="3661"/>
      <c r="AA161" s="3620" t="s">
        <v>826</v>
      </c>
      <c r="AB161" s="3691" t="s">
        <v>614</v>
      </c>
      <c r="AC161" s="3691">
        <v>51.1686</v>
      </c>
      <c r="AD161" s="3691">
        <f>L161*AC161</f>
        <v>8545.1562</v>
      </c>
      <c r="AE161" s="3645" t="s">
        <v>884</v>
      </c>
      <c r="AF161" s="3664" t="s">
        <v>2927</v>
      </c>
      <c r="AG161" s="3645" t="s">
        <v>416</v>
      </c>
      <c r="AH161" s="905"/>
      <c r="AI161" s="3664">
        <f t="shared" ref="AI161:AI167" si="78">I161</f>
        <v>2004</v>
      </c>
      <c r="AJ161" s="3664"/>
      <c r="AK161" s="905"/>
      <c r="AL161" s="3664"/>
      <c r="AM161" s="3664"/>
      <c r="AN161" s="3691"/>
      <c r="AO161" s="3691">
        <f t="shared" si="51"/>
        <v>2004</v>
      </c>
      <c r="AP161" s="3691"/>
      <c r="AQ161" s="4089"/>
      <c r="AR161" s="907">
        <f>I161</f>
        <v>2004</v>
      </c>
      <c r="AS161" s="4089">
        <f t="shared" ref="AS161:AS199" si="79">I161</f>
        <v>2004</v>
      </c>
      <c r="AT161" s="907"/>
      <c r="AU161" s="4089"/>
      <c r="AV161" s="4089"/>
      <c r="AW161" s="4089"/>
      <c r="AX161" s="4089"/>
      <c r="AY161" s="4089"/>
      <c r="AZ161" s="4089"/>
      <c r="BA161" s="4089"/>
      <c r="BB161" s="4089"/>
      <c r="BC161" s="4089"/>
      <c r="BD161" s="4089"/>
      <c r="BE161" s="4089"/>
      <c r="BF161" s="4089" t="s">
        <v>89</v>
      </c>
      <c r="BG161" s="4089"/>
      <c r="BH161" s="4089">
        <f t="shared" si="70"/>
        <v>334</v>
      </c>
      <c r="BI161" s="4089">
        <f t="shared" si="71"/>
        <v>334</v>
      </c>
      <c r="BJ161" s="4089">
        <f t="shared" si="72"/>
        <v>334</v>
      </c>
      <c r="BK161" s="4089">
        <f t="shared" si="73"/>
        <v>334</v>
      </c>
      <c r="BL161" s="4089">
        <f t="shared" si="74"/>
        <v>334</v>
      </c>
      <c r="BM161" s="4089">
        <f t="shared" si="75"/>
        <v>267.2</v>
      </c>
      <c r="BN161" s="4089">
        <f t="shared" si="76"/>
        <v>66.8</v>
      </c>
      <c r="BO161" s="4382"/>
      <c r="BP161" s="4382"/>
      <c r="BQ161" s="4382">
        <f>I161/60*1</f>
        <v>33.4</v>
      </c>
      <c r="BR161" s="4382">
        <f>I161/60*9</f>
        <v>300.6</v>
      </c>
      <c r="BS161" s="4382">
        <f>I161/60*10</f>
        <v>334</v>
      </c>
      <c r="BT161" s="4383">
        <f>I161/60*10</f>
        <v>334</v>
      </c>
      <c r="BU161" s="4384"/>
      <c r="BV161" s="4385">
        <v>2004</v>
      </c>
      <c r="BW161" s="4386">
        <f t="shared" si="63"/>
        <v>0</v>
      </c>
      <c r="BX161" s="4387"/>
      <c r="BY161" s="4387"/>
      <c r="BZ161" s="4387"/>
      <c r="CA161" s="4391"/>
      <c r="CC161" s="4392"/>
      <c r="CD161" s="4391"/>
    </row>
    <row r="162" s="4025" customFormat="1" ht="50" customHeight="1" spans="1:82">
      <c r="A162" s="3688">
        <v>45699</v>
      </c>
      <c r="B162" s="3689" t="s">
        <v>3256</v>
      </c>
      <c r="C162" s="3664" t="s">
        <v>91</v>
      </c>
      <c r="D162" s="3690">
        <v>4500157177</v>
      </c>
      <c r="E162" s="3664">
        <v>4551467064</v>
      </c>
      <c r="F162" s="3690" t="s">
        <v>3257</v>
      </c>
      <c r="G162" s="3664" t="s">
        <v>2719</v>
      </c>
      <c r="H162" s="3691" t="s">
        <v>2591</v>
      </c>
      <c r="I162" s="3691">
        <v>3612</v>
      </c>
      <c r="J162" s="3691">
        <v>0</v>
      </c>
      <c r="K162" s="3691">
        <v>6</v>
      </c>
      <c r="L162" s="3691">
        <f t="shared" si="60"/>
        <v>602</v>
      </c>
      <c r="M162" s="3659">
        <v>45740</v>
      </c>
      <c r="N162" s="3659">
        <v>45736</v>
      </c>
      <c r="O162" s="3664" t="s">
        <v>3258</v>
      </c>
      <c r="P162" s="3682" t="s">
        <v>82</v>
      </c>
      <c r="Q162" s="3682"/>
      <c r="R162" s="4083"/>
      <c r="S162" s="4083"/>
      <c r="T162" s="4083"/>
      <c r="U162" s="3645" t="s">
        <v>1007</v>
      </c>
      <c r="V162" s="3657" t="s">
        <v>882</v>
      </c>
      <c r="W162" s="3657"/>
      <c r="X162" s="3657" t="s">
        <v>3259</v>
      </c>
      <c r="Y162" s="3657"/>
      <c r="Z162" s="3661" t="s">
        <v>3260</v>
      </c>
      <c r="AA162" s="3620" t="s">
        <v>3261</v>
      </c>
      <c r="AB162" s="3691" t="s">
        <v>3262</v>
      </c>
      <c r="AC162" s="3691">
        <v>2.2498</v>
      </c>
      <c r="AD162" s="3691">
        <f t="shared" ref="AD162:AD174" si="80">AC162*I162</f>
        <v>8126.2776</v>
      </c>
      <c r="AE162" s="3645" t="s">
        <v>3263</v>
      </c>
      <c r="AF162" s="3664" t="s">
        <v>2719</v>
      </c>
      <c r="AG162" s="3645" t="s">
        <v>416</v>
      </c>
      <c r="AH162" s="905"/>
      <c r="AI162" s="3691">
        <f t="shared" si="78"/>
        <v>3612</v>
      </c>
      <c r="AJ162" s="3691"/>
      <c r="AK162" s="905"/>
      <c r="AL162" s="3664"/>
      <c r="AM162" s="3664"/>
      <c r="AN162" s="3691"/>
      <c r="AO162" s="3691">
        <f t="shared" si="51"/>
        <v>3612</v>
      </c>
      <c r="AP162" s="3691"/>
      <c r="AQ162" s="4089"/>
      <c r="AR162" s="907"/>
      <c r="AS162" s="4089">
        <f t="shared" si="79"/>
        <v>3612</v>
      </c>
      <c r="AT162" s="907"/>
      <c r="AU162" s="4089"/>
      <c r="AV162" s="4089"/>
      <c r="AW162" s="4089"/>
      <c r="AX162" s="4089"/>
      <c r="AY162" s="4089"/>
      <c r="AZ162" s="4089"/>
      <c r="BA162" s="4089"/>
      <c r="BB162" s="4089"/>
      <c r="BC162" s="4089"/>
      <c r="BD162" s="4089"/>
      <c r="BE162" s="4089"/>
      <c r="BF162" s="4089" t="s">
        <v>89</v>
      </c>
      <c r="BG162" s="4089"/>
      <c r="BH162" s="4089">
        <f t="shared" si="70"/>
        <v>602</v>
      </c>
      <c r="BI162" s="4089">
        <f t="shared" si="71"/>
        <v>602</v>
      </c>
      <c r="BJ162" s="4089">
        <f t="shared" si="72"/>
        <v>602</v>
      </c>
      <c r="BK162" s="4089">
        <f t="shared" si="73"/>
        <v>602</v>
      </c>
      <c r="BL162" s="4089">
        <f t="shared" si="74"/>
        <v>602</v>
      </c>
      <c r="BM162" s="4089">
        <f t="shared" si="75"/>
        <v>481.6</v>
      </c>
      <c r="BN162" s="4089">
        <f t="shared" si="76"/>
        <v>120.4</v>
      </c>
      <c r="BO162" s="4382"/>
      <c r="BP162" s="4382"/>
      <c r="BQ162" s="4382"/>
      <c r="BR162" s="4382"/>
      <c r="BS162" s="4382"/>
      <c r="BT162" s="4383"/>
      <c r="BU162" s="4384"/>
      <c r="BV162" s="4385">
        <f t="shared" ref="BV162:BV225" si="81">SUM(BH162:BU162)</f>
        <v>3612</v>
      </c>
      <c r="BW162" s="4386">
        <f t="shared" si="63"/>
        <v>0</v>
      </c>
      <c r="BX162" s="4387"/>
      <c r="BY162" s="4387"/>
      <c r="BZ162" s="4387"/>
      <c r="CA162" s="4391"/>
      <c r="CC162" s="4392"/>
      <c r="CD162" s="4391"/>
    </row>
    <row r="163" s="4025" customFormat="1" ht="50" customHeight="1" spans="1:82">
      <c r="A163" s="3688">
        <v>45705</v>
      </c>
      <c r="B163" s="4387" t="s">
        <v>3264</v>
      </c>
      <c r="C163" s="3689" t="s">
        <v>858</v>
      </c>
      <c r="D163" s="3690">
        <v>4500157780</v>
      </c>
      <c r="E163" s="3689"/>
      <c r="F163" s="3690" t="s">
        <v>3265</v>
      </c>
      <c r="G163" s="3664" t="s">
        <v>2627</v>
      </c>
      <c r="H163" s="3691" t="s">
        <v>2591</v>
      </c>
      <c r="I163" s="3691">
        <v>120</v>
      </c>
      <c r="J163" s="3691">
        <v>0</v>
      </c>
      <c r="K163" s="3691">
        <v>24</v>
      </c>
      <c r="L163" s="3691">
        <f t="shared" si="60"/>
        <v>5</v>
      </c>
      <c r="M163" s="3659">
        <v>45741</v>
      </c>
      <c r="N163" s="3659">
        <v>45737</v>
      </c>
      <c r="O163" s="4085"/>
      <c r="P163" s="3682" t="s">
        <v>82</v>
      </c>
      <c r="Q163" s="3682"/>
      <c r="R163" s="4083"/>
      <c r="S163" s="4083"/>
      <c r="T163" s="4083"/>
      <c r="U163" s="3645" t="s">
        <v>3266</v>
      </c>
      <c r="V163" s="3657" t="s">
        <v>876</v>
      </c>
      <c r="W163" s="3657"/>
      <c r="X163" s="3657" t="s">
        <v>98</v>
      </c>
      <c r="Y163" s="3657"/>
      <c r="Z163" s="3661"/>
      <c r="AA163" s="3620" t="s">
        <v>3267</v>
      </c>
      <c r="AB163" s="3691" t="s">
        <v>357</v>
      </c>
      <c r="AC163" s="3691">
        <v>2.084</v>
      </c>
      <c r="AD163" s="3691">
        <f t="shared" si="80"/>
        <v>250.08</v>
      </c>
      <c r="AE163" s="3645" t="s">
        <v>3268</v>
      </c>
      <c r="AF163" s="3691" t="s">
        <v>2627</v>
      </c>
      <c r="AG163" s="3645" t="s">
        <v>416</v>
      </c>
      <c r="AH163" s="875"/>
      <c r="AI163" s="3664">
        <f t="shared" si="78"/>
        <v>120</v>
      </c>
      <c r="AJ163" s="3664"/>
      <c r="AK163" s="875"/>
      <c r="AL163" s="3664"/>
      <c r="AM163" s="3664"/>
      <c r="AN163" s="3691"/>
      <c r="AO163" s="3691">
        <f t="shared" si="51"/>
        <v>120</v>
      </c>
      <c r="AP163" s="3691"/>
      <c r="AQ163" s="4089"/>
      <c r="AR163" s="878"/>
      <c r="AS163" s="4089">
        <f t="shared" si="79"/>
        <v>120</v>
      </c>
      <c r="AT163" s="878"/>
      <c r="AU163" s="4089"/>
      <c r="AV163" s="4089"/>
      <c r="AW163" s="4089"/>
      <c r="AX163" s="4089"/>
      <c r="AY163" s="4089"/>
      <c r="AZ163" s="4089"/>
      <c r="BA163" s="4089"/>
      <c r="BB163" s="4089"/>
      <c r="BC163" s="4089"/>
      <c r="BD163" s="4089"/>
      <c r="BE163" s="4089"/>
      <c r="BF163" s="4089" t="s">
        <v>89</v>
      </c>
      <c r="BG163" s="4089"/>
      <c r="BH163" s="4089">
        <f t="shared" si="70"/>
        <v>20</v>
      </c>
      <c r="BI163" s="4089">
        <f t="shared" si="71"/>
        <v>20</v>
      </c>
      <c r="BJ163" s="4089">
        <f t="shared" si="72"/>
        <v>20</v>
      </c>
      <c r="BK163" s="4089">
        <f t="shared" si="73"/>
        <v>20</v>
      </c>
      <c r="BL163" s="4089">
        <f t="shared" si="74"/>
        <v>20</v>
      </c>
      <c r="BM163" s="4089">
        <f t="shared" si="75"/>
        <v>16</v>
      </c>
      <c r="BN163" s="4089">
        <f t="shared" si="76"/>
        <v>4</v>
      </c>
      <c r="BO163" s="878"/>
      <c r="BP163" s="878"/>
      <c r="BQ163" s="878"/>
      <c r="BR163" s="878"/>
      <c r="BS163" s="878"/>
      <c r="BT163" s="879"/>
      <c r="BU163" s="880"/>
      <c r="BV163" s="4385">
        <f t="shared" si="81"/>
        <v>120</v>
      </c>
      <c r="BW163" s="4386">
        <f t="shared" si="63"/>
        <v>0</v>
      </c>
      <c r="BX163" s="4387"/>
      <c r="BY163" s="4387"/>
      <c r="BZ163" s="4387"/>
      <c r="CA163" s="4391"/>
      <c r="CC163" s="4392"/>
      <c r="CD163" s="4391"/>
    </row>
    <row r="164" s="4025" customFormat="1" ht="50" customHeight="1" spans="1:82">
      <c r="A164" s="3688">
        <v>45695</v>
      </c>
      <c r="B164" s="3664" t="s">
        <v>387</v>
      </c>
      <c r="C164" s="3664" t="s">
        <v>91</v>
      </c>
      <c r="D164" s="3691">
        <v>4500156881</v>
      </c>
      <c r="E164" s="3664">
        <v>70058006</v>
      </c>
      <c r="F164" s="3691" t="s">
        <v>3269</v>
      </c>
      <c r="G164" s="3664" t="s">
        <v>2627</v>
      </c>
      <c r="H164" s="3691" t="s">
        <v>2591</v>
      </c>
      <c r="I164" s="3691">
        <v>360</v>
      </c>
      <c r="J164" s="3691">
        <v>0</v>
      </c>
      <c r="K164" s="3691">
        <v>24</v>
      </c>
      <c r="L164" s="3691">
        <f t="shared" si="60"/>
        <v>15</v>
      </c>
      <c r="M164" s="3659">
        <v>45741</v>
      </c>
      <c r="N164" s="3659">
        <v>45737</v>
      </c>
      <c r="O164" s="4085" t="s">
        <v>3270</v>
      </c>
      <c r="P164" s="3682" t="s">
        <v>82</v>
      </c>
      <c r="Q164" s="3682"/>
      <c r="R164" s="4083"/>
      <c r="S164" s="4083"/>
      <c r="T164" s="4083"/>
      <c r="U164" s="3645" t="s">
        <v>923</v>
      </c>
      <c r="V164" s="3657" t="s">
        <v>804</v>
      </c>
      <c r="W164" s="3657"/>
      <c r="X164" s="3657" t="s">
        <v>98</v>
      </c>
      <c r="Y164" s="3657" t="s">
        <v>869</v>
      </c>
      <c r="Z164" s="3661"/>
      <c r="AA164" s="3620" t="s">
        <v>3271</v>
      </c>
      <c r="AB164" s="3691" t="s">
        <v>393</v>
      </c>
      <c r="AC164" s="3691">
        <v>2.084</v>
      </c>
      <c r="AD164" s="3691">
        <f t="shared" si="80"/>
        <v>750.24</v>
      </c>
      <c r="AE164" s="3645" t="s">
        <v>3272</v>
      </c>
      <c r="AF164" s="3664" t="s">
        <v>2627</v>
      </c>
      <c r="AG164" s="3645" t="s">
        <v>416</v>
      </c>
      <c r="AH164" s="905"/>
      <c r="AI164" s="3664">
        <f t="shared" si="78"/>
        <v>360</v>
      </c>
      <c r="AJ164" s="3664"/>
      <c r="AK164" s="905"/>
      <c r="AL164" s="3664"/>
      <c r="AM164" s="3664"/>
      <c r="AN164" s="3691"/>
      <c r="AO164" s="3691">
        <f t="shared" si="51"/>
        <v>360</v>
      </c>
      <c r="AP164" s="3691"/>
      <c r="AQ164" s="4089"/>
      <c r="AR164" s="907"/>
      <c r="AS164" s="4089">
        <f t="shared" si="79"/>
        <v>360</v>
      </c>
      <c r="AT164" s="907"/>
      <c r="AU164" s="4089"/>
      <c r="AV164" s="4089"/>
      <c r="AW164" s="4089"/>
      <c r="AX164" s="4089"/>
      <c r="AY164" s="4089"/>
      <c r="AZ164" s="4089"/>
      <c r="BA164" s="4089"/>
      <c r="BB164" s="4089"/>
      <c r="BC164" s="4089"/>
      <c r="BD164" s="4089"/>
      <c r="BE164" s="4089"/>
      <c r="BF164" s="4089" t="s">
        <v>89</v>
      </c>
      <c r="BG164" s="4089"/>
      <c r="BH164" s="4089">
        <f t="shared" si="70"/>
        <v>60</v>
      </c>
      <c r="BI164" s="4089">
        <f t="shared" si="71"/>
        <v>60</v>
      </c>
      <c r="BJ164" s="4089">
        <f t="shared" si="72"/>
        <v>60</v>
      </c>
      <c r="BK164" s="4089">
        <f t="shared" si="73"/>
        <v>60</v>
      </c>
      <c r="BL164" s="4089">
        <f t="shared" si="74"/>
        <v>60</v>
      </c>
      <c r="BM164" s="4089">
        <f t="shared" si="75"/>
        <v>48</v>
      </c>
      <c r="BN164" s="4089">
        <f t="shared" si="76"/>
        <v>12</v>
      </c>
      <c r="BO164" s="4382"/>
      <c r="BP164" s="4382"/>
      <c r="BQ164" s="4382"/>
      <c r="BR164" s="4382"/>
      <c r="BS164" s="4382"/>
      <c r="BT164" s="4383"/>
      <c r="BU164" s="4384"/>
      <c r="BV164" s="4385">
        <f t="shared" si="81"/>
        <v>360</v>
      </c>
      <c r="BW164" s="4386">
        <f t="shared" si="63"/>
        <v>0</v>
      </c>
      <c r="BX164" s="4387"/>
      <c r="BY164" s="4387"/>
      <c r="BZ164" s="4387"/>
      <c r="CA164" s="4388"/>
      <c r="CC164" s="4389"/>
      <c r="CD164" s="4388"/>
    </row>
    <row r="165" s="4025" customFormat="1" ht="50" customHeight="1" spans="1:82">
      <c r="A165" s="3688">
        <v>45701</v>
      </c>
      <c r="B165" s="3689" t="s">
        <v>90</v>
      </c>
      <c r="C165" s="3664" t="s">
        <v>91</v>
      </c>
      <c r="D165" s="3690">
        <v>4500157300</v>
      </c>
      <c r="E165" s="3689" t="s">
        <v>3273</v>
      </c>
      <c r="F165" s="3690" t="s">
        <v>3274</v>
      </c>
      <c r="G165" s="3664" t="s">
        <v>2719</v>
      </c>
      <c r="H165" s="3691" t="s">
        <v>2591</v>
      </c>
      <c r="I165" s="3691">
        <v>1200</v>
      </c>
      <c r="J165" s="3691">
        <v>0</v>
      </c>
      <c r="K165" s="3691">
        <v>6</v>
      </c>
      <c r="L165" s="3691">
        <f t="shared" si="60"/>
        <v>200</v>
      </c>
      <c r="M165" s="3659">
        <v>45742</v>
      </c>
      <c r="N165" s="3659">
        <v>45738</v>
      </c>
      <c r="O165" s="4085"/>
      <c r="P165" s="3682" t="s">
        <v>82</v>
      </c>
      <c r="Q165" s="3682"/>
      <c r="R165" s="4083"/>
      <c r="S165" s="4083"/>
      <c r="T165" s="4083"/>
      <c r="U165" s="3645" t="s">
        <v>175</v>
      </c>
      <c r="V165" s="3657" t="s">
        <v>912</v>
      </c>
      <c r="W165" s="3657"/>
      <c r="X165" s="3657" t="s">
        <v>98</v>
      </c>
      <c r="Y165" s="3649" t="s">
        <v>913</v>
      </c>
      <c r="Z165" s="3661"/>
      <c r="AA165" s="3620" t="s">
        <v>656</v>
      </c>
      <c r="AB165" s="3691" t="s">
        <v>653</v>
      </c>
      <c r="AC165" s="4087">
        <v>2.1437</v>
      </c>
      <c r="AD165" s="3691">
        <f t="shared" si="80"/>
        <v>2572.44</v>
      </c>
      <c r="AE165" s="3645" t="s">
        <v>3275</v>
      </c>
      <c r="AF165" s="3664" t="s">
        <v>2719</v>
      </c>
      <c r="AG165" s="3645" t="s">
        <v>416</v>
      </c>
      <c r="AH165" s="905"/>
      <c r="AI165" s="3691">
        <f t="shared" si="78"/>
        <v>1200</v>
      </c>
      <c r="AJ165" s="3691"/>
      <c r="AK165" s="905"/>
      <c r="AL165" s="3664"/>
      <c r="AM165" s="3664"/>
      <c r="AN165" s="3691"/>
      <c r="AO165" s="3691">
        <f t="shared" si="51"/>
        <v>1200</v>
      </c>
      <c r="AP165" s="3691"/>
      <c r="AQ165" s="4089"/>
      <c r="AR165" s="907"/>
      <c r="AS165" s="4089">
        <f t="shared" si="79"/>
        <v>1200</v>
      </c>
      <c r="AT165" s="907"/>
      <c r="AU165" s="4089"/>
      <c r="AV165" s="4089"/>
      <c r="AW165" s="4089"/>
      <c r="AX165" s="4089"/>
      <c r="AY165" s="4089"/>
      <c r="AZ165" s="4089"/>
      <c r="BA165" s="4089"/>
      <c r="BB165" s="4089"/>
      <c r="BC165" s="4089"/>
      <c r="BD165" s="4089"/>
      <c r="BE165" s="4089"/>
      <c r="BF165" s="4089" t="s">
        <v>89</v>
      </c>
      <c r="BG165" s="4089"/>
      <c r="BH165" s="4089">
        <f t="shared" si="70"/>
        <v>200</v>
      </c>
      <c r="BI165" s="4089">
        <f t="shared" si="71"/>
        <v>200</v>
      </c>
      <c r="BJ165" s="4089">
        <f t="shared" si="72"/>
        <v>200</v>
      </c>
      <c r="BK165" s="4089">
        <f t="shared" si="73"/>
        <v>200</v>
      </c>
      <c r="BL165" s="4089">
        <f t="shared" si="74"/>
        <v>200</v>
      </c>
      <c r="BM165" s="4089">
        <f t="shared" si="75"/>
        <v>160</v>
      </c>
      <c r="BN165" s="4089">
        <f t="shared" si="76"/>
        <v>40</v>
      </c>
      <c r="BO165" s="4382"/>
      <c r="BP165" s="4382"/>
      <c r="BQ165" s="4382"/>
      <c r="BR165" s="4382"/>
      <c r="BS165" s="4382"/>
      <c r="BT165" s="4383"/>
      <c r="BU165" s="4384"/>
      <c r="BV165" s="4385">
        <f t="shared" si="81"/>
        <v>1200</v>
      </c>
      <c r="BW165" s="4386">
        <f t="shared" si="63"/>
        <v>0</v>
      </c>
      <c r="BX165" s="4387"/>
      <c r="BY165" s="4387"/>
      <c r="BZ165" s="4387"/>
      <c r="CA165" s="4388"/>
      <c r="CC165" s="4389"/>
      <c r="CD165" s="4388"/>
    </row>
    <row r="166" s="4025" customFormat="1" ht="50" customHeight="1" spans="1:82">
      <c r="A166" s="3688">
        <v>45701</v>
      </c>
      <c r="B166" s="3689" t="s">
        <v>90</v>
      </c>
      <c r="C166" s="3664" t="s">
        <v>91</v>
      </c>
      <c r="D166" s="3690">
        <v>4500157297</v>
      </c>
      <c r="E166" s="3664" t="s">
        <v>3276</v>
      </c>
      <c r="F166" s="3690" t="s">
        <v>3277</v>
      </c>
      <c r="G166" s="3664" t="s">
        <v>2719</v>
      </c>
      <c r="H166" s="3664" t="s">
        <v>2591</v>
      </c>
      <c r="I166" s="3691">
        <v>1002</v>
      </c>
      <c r="J166" s="3691">
        <v>0</v>
      </c>
      <c r="K166" s="3691">
        <v>6</v>
      </c>
      <c r="L166" s="3691">
        <f t="shared" si="60"/>
        <v>167</v>
      </c>
      <c r="M166" s="3659">
        <v>45742</v>
      </c>
      <c r="N166" s="3659">
        <v>45738</v>
      </c>
      <c r="O166" s="4085"/>
      <c r="P166" s="3682" t="s">
        <v>82</v>
      </c>
      <c r="Q166" s="3682"/>
      <c r="R166" s="4083"/>
      <c r="S166" s="4083"/>
      <c r="T166" s="4083"/>
      <c r="U166" s="3645" t="s">
        <v>875</v>
      </c>
      <c r="V166" s="3657" t="s">
        <v>912</v>
      </c>
      <c r="W166" s="3657"/>
      <c r="X166" s="3657" t="s">
        <v>98</v>
      </c>
      <c r="Y166" s="3649" t="s">
        <v>918</v>
      </c>
      <c r="Z166" s="3661"/>
      <c r="AA166" s="3620" t="s">
        <v>656</v>
      </c>
      <c r="AB166" s="3691" t="s">
        <v>653</v>
      </c>
      <c r="AC166" s="3691">
        <v>2.1437</v>
      </c>
      <c r="AD166" s="3691">
        <f t="shared" si="80"/>
        <v>2147.9874</v>
      </c>
      <c r="AE166" s="3645" t="s">
        <v>3278</v>
      </c>
      <c r="AF166" s="3664" t="s">
        <v>2719</v>
      </c>
      <c r="AG166" s="3645" t="s">
        <v>416</v>
      </c>
      <c r="AH166" s="905"/>
      <c r="AI166" s="3691">
        <f t="shared" si="78"/>
        <v>1002</v>
      </c>
      <c r="AJ166" s="3691"/>
      <c r="AK166" s="905"/>
      <c r="AL166" s="3664"/>
      <c r="AM166" s="3664"/>
      <c r="AN166" s="3691"/>
      <c r="AO166" s="3691">
        <f t="shared" si="51"/>
        <v>1002</v>
      </c>
      <c r="AP166" s="3691"/>
      <c r="AQ166" s="4089"/>
      <c r="AR166" s="907"/>
      <c r="AS166" s="4089">
        <f t="shared" si="79"/>
        <v>1002</v>
      </c>
      <c r="AT166" s="907"/>
      <c r="AU166" s="4089"/>
      <c r="AV166" s="4089"/>
      <c r="AW166" s="4089"/>
      <c r="AX166" s="4089"/>
      <c r="AY166" s="4089"/>
      <c r="AZ166" s="4089"/>
      <c r="BA166" s="4089"/>
      <c r="BB166" s="4089"/>
      <c r="BC166" s="4089"/>
      <c r="BD166" s="4089"/>
      <c r="BE166" s="4089"/>
      <c r="BF166" s="4089" t="s">
        <v>89</v>
      </c>
      <c r="BG166" s="4089"/>
      <c r="BH166" s="4089">
        <f t="shared" si="70"/>
        <v>167</v>
      </c>
      <c r="BI166" s="4089">
        <f t="shared" si="71"/>
        <v>167</v>
      </c>
      <c r="BJ166" s="4089">
        <f t="shared" si="72"/>
        <v>167</v>
      </c>
      <c r="BK166" s="4089">
        <f t="shared" si="73"/>
        <v>167</v>
      </c>
      <c r="BL166" s="4089">
        <f t="shared" si="74"/>
        <v>167</v>
      </c>
      <c r="BM166" s="4089">
        <f t="shared" si="75"/>
        <v>133.6</v>
      </c>
      <c r="BN166" s="4089">
        <f t="shared" si="76"/>
        <v>33.4</v>
      </c>
      <c r="BO166" s="4382"/>
      <c r="BP166" s="4382"/>
      <c r="BQ166" s="4382"/>
      <c r="BR166" s="4382"/>
      <c r="BS166" s="4382"/>
      <c r="BT166" s="4383"/>
      <c r="BU166" s="4384"/>
      <c r="BV166" s="4385">
        <f t="shared" si="81"/>
        <v>1002</v>
      </c>
      <c r="BW166" s="4386">
        <f t="shared" si="63"/>
        <v>0</v>
      </c>
      <c r="BX166" s="4387"/>
      <c r="BY166" s="4387"/>
      <c r="BZ166" s="4387"/>
      <c r="CA166" s="4388"/>
      <c r="CC166" s="4389"/>
      <c r="CD166" s="4388"/>
    </row>
    <row r="167" s="4025" customFormat="1" ht="50" customHeight="1" spans="1:82">
      <c r="A167" s="3688">
        <v>45714</v>
      </c>
      <c r="B167" s="3689" t="s">
        <v>672</v>
      </c>
      <c r="C167" s="3664" t="s">
        <v>673</v>
      </c>
      <c r="D167" s="3690">
        <v>4500158641</v>
      </c>
      <c r="E167" s="3664">
        <v>5000001797</v>
      </c>
      <c r="F167" s="3690" t="s">
        <v>3279</v>
      </c>
      <c r="G167" s="3664" t="s">
        <v>2590</v>
      </c>
      <c r="H167" s="3664" t="s">
        <v>2591</v>
      </c>
      <c r="I167" s="3691">
        <v>2400</v>
      </c>
      <c r="J167" s="3691">
        <v>0</v>
      </c>
      <c r="K167" s="3691">
        <v>6</v>
      </c>
      <c r="L167" s="3691">
        <f t="shared" si="60"/>
        <v>400</v>
      </c>
      <c r="M167" s="3659">
        <v>45743</v>
      </c>
      <c r="N167" s="3659">
        <v>45738</v>
      </c>
      <c r="O167" s="4085"/>
      <c r="P167" s="3682" t="s">
        <v>82</v>
      </c>
      <c r="Q167" s="3682"/>
      <c r="R167" s="4083"/>
      <c r="S167" s="4083"/>
      <c r="T167" s="4083"/>
      <c r="U167" s="3645" t="s">
        <v>935</v>
      </c>
      <c r="V167" s="3657" t="s">
        <v>990</v>
      </c>
      <c r="W167" s="3657"/>
      <c r="X167" s="3649" t="s">
        <v>3280</v>
      </c>
      <c r="Y167" s="3657" t="s">
        <v>3281</v>
      </c>
      <c r="Z167" s="3661"/>
      <c r="AA167" s="3620" t="s">
        <v>3282</v>
      </c>
      <c r="AB167" s="3691" t="s">
        <v>3283</v>
      </c>
      <c r="AC167" s="3691">
        <v>2.1451</v>
      </c>
      <c r="AD167" s="3691">
        <f t="shared" si="80"/>
        <v>5148.24</v>
      </c>
      <c r="AE167" s="3645" t="s">
        <v>3284</v>
      </c>
      <c r="AF167" s="3691" t="s">
        <v>2663</v>
      </c>
      <c r="AG167" s="3645" t="s">
        <v>416</v>
      </c>
      <c r="AH167" s="905"/>
      <c r="AI167" s="4082">
        <f t="shared" si="78"/>
        <v>2400</v>
      </c>
      <c r="AJ167" s="4082"/>
      <c r="AK167" s="905"/>
      <c r="AL167" s="3664"/>
      <c r="AM167" s="3664"/>
      <c r="AN167" s="3691"/>
      <c r="AO167" s="4089"/>
      <c r="AP167" s="4089"/>
      <c r="AQ167" s="4089">
        <f>I167</f>
        <v>2400</v>
      </c>
      <c r="AR167" s="907"/>
      <c r="AS167" s="4089">
        <f t="shared" si="79"/>
        <v>2400</v>
      </c>
      <c r="AT167" s="907"/>
      <c r="AU167" s="4089"/>
      <c r="AV167" s="4089">
        <f>I167/6</f>
        <v>400</v>
      </c>
      <c r="AW167" s="4089"/>
      <c r="AX167" s="4089"/>
      <c r="AY167" s="4089"/>
      <c r="AZ167" s="4089"/>
      <c r="BA167" s="4089"/>
      <c r="BB167" s="4089"/>
      <c r="BC167" s="4089"/>
      <c r="BD167" s="4089"/>
      <c r="BE167" s="4089"/>
      <c r="BF167" s="4089" t="s">
        <v>89</v>
      </c>
      <c r="BG167" s="4089"/>
      <c r="BH167" s="4089">
        <f t="shared" si="70"/>
        <v>400</v>
      </c>
      <c r="BI167" s="4089">
        <f t="shared" si="71"/>
        <v>400</v>
      </c>
      <c r="BJ167" s="4089">
        <f t="shared" si="72"/>
        <v>400</v>
      </c>
      <c r="BK167" s="4403">
        <f t="shared" si="73"/>
        <v>400</v>
      </c>
      <c r="BL167" s="4385">
        <f t="shared" si="74"/>
        <v>400</v>
      </c>
      <c r="BM167" s="4403">
        <f t="shared" si="75"/>
        <v>320</v>
      </c>
      <c r="BN167" s="4089">
        <f t="shared" si="76"/>
        <v>80</v>
      </c>
      <c r="BO167" s="4382"/>
      <c r="BP167" s="4382"/>
      <c r="BQ167" s="4382"/>
      <c r="BR167" s="4382"/>
      <c r="BS167" s="4382"/>
      <c r="BT167" s="4383"/>
      <c r="BU167" s="4384"/>
      <c r="BV167" s="4385">
        <f t="shared" si="81"/>
        <v>2400</v>
      </c>
      <c r="BW167" s="4386">
        <f t="shared" si="63"/>
        <v>0</v>
      </c>
      <c r="BX167" s="4387"/>
      <c r="BY167" s="4387"/>
      <c r="BZ167" s="4387"/>
      <c r="CA167" s="4391"/>
      <c r="CC167" s="4392"/>
      <c r="CD167" s="4391"/>
    </row>
    <row r="168" s="4025" customFormat="1" ht="50" customHeight="1" spans="1:82">
      <c r="A168" s="3688">
        <v>45712</v>
      </c>
      <c r="B168" s="3689" t="s">
        <v>3285</v>
      </c>
      <c r="C168" s="3664" t="s">
        <v>3286</v>
      </c>
      <c r="D168" s="3690">
        <v>4500158356</v>
      </c>
      <c r="E168" s="3664"/>
      <c r="F168" s="3690" t="s">
        <v>3287</v>
      </c>
      <c r="G168" s="3664" t="s">
        <v>2577</v>
      </c>
      <c r="H168" s="3664" t="s">
        <v>2591</v>
      </c>
      <c r="I168" s="3691">
        <v>540</v>
      </c>
      <c r="J168" s="3691">
        <v>0</v>
      </c>
      <c r="K168" s="3691">
        <v>12</v>
      </c>
      <c r="L168" s="3691">
        <f t="shared" si="60"/>
        <v>45</v>
      </c>
      <c r="M168" s="3659">
        <v>45744</v>
      </c>
      <c r="N168" s="3659">
        <v>45740</v>
      </c>
      <c r="O168" s="4085"/>
      <c r="P168" s="3682" t="s">
        <v>82</v>
      </c>
      <c r="Q168" s="3682"/>
      <c r="R168" s="4083"/>
      <c r="S168" s="4083"/>
      <c r="T168" s="4083"/>
      <c r="U168" s="3645" t="s">
        <v>3251</v>
      </c>
      <c r="V168" s="3657" t="s">
        <v>924</v>
      </c>
      <c r="W168" s="3657"/>
      <c r="X168" s="3649" t="s">
        <v>3288</v>
      </c>
      <c r="Y168" s="3657"/>
      <c r="Z168" s="3661"/>
      <c r="AA168" s="3620" t="s">
        <v>3289</v>
      </c>
      <c r="AB168" s="3691" t="s">
        <v>459</v>
      </c>
      <c r="AC168" s="4087">
        <v>2.1376</v>
      </c>
      <c r="AD168" s="3691">
        <f t="shared" si="80"/>
        <v>1154.304</v>
      </c>
      <c r="AE168" s="3645" t="s">
        <v>3290</v>
      </c>
      <c r="AF168" s="4395" t="s">
        <v>2604</v>
      </c>
      <c r="AG168" s="3645" t="s">
        <v>416</v>
      </c>
      <c r="AH168" s="905"/>
      <c r="AI168" s="3691"/>
      <c r="AJ168" s="3691"/>
      <c r="AK168" s="4405"/>
      <c r="AL168" s="3664">
        <f>I168</f>
        <v>540</v>
      </c>
      <c r="AM168" s="3664"/>
      <c r="AN168" s="3691"/>
      <c r="AO168" s="4089">
        <f t="shared" ref="AO168:AO231" si="82">I168</f>
        <v>540</v>
      </c>
      <c r="AP168" s="4089"/>
      <c r="AQ168" s="4089"/>
      <c r="AR168" s="4417"/>
      <c r="AS168" s="4089">
        <f t="shared" si="79"/>
        <v>540</v>
      </c>
      <c r="AT168" s="4417"/>
      <c r="AU168" s="4089"/>
      <c r="AV168" s="4089">
        <f>I168/6</f>
        <v>90</v>
      </c>
      <c r="AW168" s="4089"/>
      <c r="AX168" s="4089"/>
      <c r="AY168" s="4089"/>
      <c r="AZ168" s="4089"/>
      <c r="BA168" s="4089"/>
      <c r="BB168" s="4089"/>
      <c r="BC168" s="4089"/>
      <c r="BD168" s="4089"/>
      <c r="BE168" s="4089"/>
      <c r="BF168" s="4089" t="s">
        <v>89</v>
      </c>
      <c r="BG168" s="4089"/>
      <c r="BH168" s="4089">
        <f t="shared" si="70"/>
        <v>90</v>
      </c>
      <c r="BI168" s="4089">
        <f t="shared" si="71"/>
        <v>90</v>
      </c>
      <c r="BJ168" s="4089">
        <f t="shared" si="72"/>
        <v>90</v>
      </c>
      <c r="BK168" s="4089">
        <f t="shared" si="73"/>
        <v>90</v>
      </c>
      <c r="BL168" s="4089">
        <f t="shared" si="74"/>
        <v>90</v>
      </c>
      <c r="BM168" s="4403">
        <f t="shared" si="75"/>
        <v>72</v>
      </c>
      <c r="BN168" s="4089">
        <f t="shared" si="76"/>
        <v>18</v>
      </c>
      <c r="BO168" s="4405"/>
      <c r="BP168" s="4405"/>
      <c r="BQ168" s="4405"/>
      <c r="BR168" s="4418"/>
      <c r="BS168" s="4417"/>
      <c r="BT168" s="4417"/>
      <c r="BU168" s="4418"/>
      <c r="BV168" s="4385">
        <f t="shared" si="81"/>
        <v>540</v>
      </c>
      <c r="BW168" s="4386">
        <f t="shared" si="63"/>
        <v>0</v>
      </c>
      <c r="BX168" s="4387">
        <v>540</v>
      </c>
      <c r="BY168" s="4387"/>
      <c r="BZ168" s="4387"/>
      <c r="CA168" s="4391"/>
      <c r="CC168" s="4392"/>
      <c r="CD168" s="4391"/>
    </row>
    <row r="169" s="4025" customFormat="1" ht="50" customHeight="1" spans="1:82">
      <c r="A169" s="3688">
        <v>45709</v>
      </c>
      <c r="B169" s="3689" t="s">
        <v>505</v>
      </c>
      <c r="C169" s="3664" t="s">
        <v>506</v>
      </c>
      <c r="D169" s="3690">
        <v>4500158156</v>
      </c>
      <c r="E169" s="3664">
        <v>20650320</v>
      </c>
      <c r="F169" s="3690" t="s">
        <v>3291</v>
      </c>
      <c r="G169" s="3664" t="s">
        <v>2577</v>
      </c>
      <c r="H169" s="3664" t="s">
        <v>2591</v>
      </c>
      <c r="I169" s="3691">
        <v>1344</v>
      </c>
      <c r="J169" s="3691">
        <v>0</v>
      </c>
      <c r="K169" s="3691">
        <v>12</v>
      </c>
      <c r="L169" s="3691">
        <f t="shared" si="60"/>
        <v>112</v>
      </c>
      <c r="M169" s="3659">
        <v>45747</v>
      </c>
      <c r="N169" s="3659">
        <v>45743</v>
      </c>
      <c r="O169" s="4085"/>
      <c r="P169" s="3682" t="s">
        <v>82</v>
      </c>
      <c r="Q169" s="3682"/>
      <c r="R169" s="4083"/>
      <c r="S169" s="4083"/>
      <c r="T169" s="4083"/>
      <c r="U169" s="3645" t="s">
        <v>949</v>
      </c>
      <c r="V169" s="3657" t="s">
        <v>950</v>
      </c>
      <c r="W169" s="3657"/>
      <c r="X169" s="3657" t="s">
        <v>951</v>
      </c>
      <c r="Y169" s="3649"/>
      <c r="Z169" s="3661"/>
      <c r="AA169" s="3620" t="s">
        <v>3292</v>
      </c>
      <c r="AB169" s="3691" t="s">
        <v>513</v>
      </c>
      <c r="AC169" s="4087">
        <v>2.2937</v>
      </c>
      <c r="AD169" s="3691">
        <f t="shared" si="80"/>
        <v>3082.7328</v>
      </c>
      <c r="AE169" s="4385" t="s">
        <v>953</v>
      </c>
      <c r="AF169" s="3664" t="s">
        <v>2577</v>
      </c>
      <c r="AG169" s="3645" t="s">
        <v>416</v>
      </c>
      <c r="AH169" s="905"/>
      <c r="AI169" s="3664">
        <f>I169</f>
        <v>1344</v>
      </c>
      <c r="AJ169" s="3664"/>
      <c r="AK169" s="905"/>
      <c r="AL169" s="3664"/>
      <c r="AM169" s="3664"/>
      <c r="AN169" s="3691"/>
      <c r="AO169" s="4089">
        <f t="shared" si="82"/>
        <v>1344</v>
      </c>
      <c r="AP169" s="4089"/>
      <c r="AQ169" s="4089"/>
      <c r="AR169" s="4382"/>
      <c r="AS169" s="4089">
        <f t="shared" si="79"/>
        <v>1344</v>
      </c>
      <c r="AT169" s="4382"/>
      <c r="AU169" s="4089"/>
      <c r="AV169" s="4089">
        <f>I169/6</f>
        <v>224</v>
      </c>
      <c r="AW169" s="4089"/>
      <c r="AX169" s="4089"/>
      <c r="AY169" s="4089"/>
      <c r="AZ169" s="4089"/>
      <c r="BA169" s="4089"/>
      <c r="BB169" s="4089"/>
      <c r="BC169" s="4089"/>
      <c r="BD169" s="4089"/>
      <c r="BE169" s="4089"/>
      <c r="BF169" s="4089" t="s">
        <v>89</v>
      </c>
      <c r="BG169" s="4089"/>
      <c r="BH169" s="4089">
        <f t="shared" si="70"/>
        <v>224</v>
      </c>
      <c r="BI169" s="4089">
        <f t="shared" si="71"/>
        <v>224</v>
      </c>
      <c r="BJ169" s="4089">
        <f t="shared" si="72"/>
        <v>224</v>
      </c>
      <c r="BK169" s="4403">
        <f t="shared" si="73"/>
        <v>224</v>
      </c>
      <c r="BL169" s="4385">
        <f t="shared" si="74"/>
        <v>224</v>
      </c>
      <c r="BM169" s="4403">
        <f t="shared" si="75"/>
        <v>179.2</v>
      </c>
      <c r="BN169" s="4089">
        <f t="shared" si="76"/>
        <v>44.8</v>
      </c>
      <c r="BO169" s="4416"/>
      <c r="BP169" s="4416"/>
      <c r="BQ169" s="4416"/>
      <c r="BR169" s="4416"/>
      <c r="BS169" s="4416"/>
      <c r="BT169" s="4416"/>
      <c r="BU169" s="4384"/>
      <c r="BV169" s="4385">
        <f t="shared" si="81"/>
        <v>1344</v>
      </c>
      <c r="BW169" s="4386">
        <f t="shared" si="63"/>
        <v>0</v>
      </c>
      <c r="BX169" s="4387"/>
      <c r="BY169" s="4387"/>
      <c r="BZ169" s="4387"/>
      <c r="CA169" s="4391"/>
      <c r="CC169" s="4392"/>
      <c r="CD169" s="4391"/>
    </row>
    <row r="170" s="4025" customFormat="1" ht="50" customHeight="1" spans="1:82">
      <c r="A170" s="3688">
        <v>45709</v>
      </c>
      <c r="B170" s="3689" t="s">
        <v>839</v>
      </c>
      <c r="C170" s="3664" t="s">
        <v>840</v>
      </c>
      <c r="D170" s="3690">
        <v>4500158157</v>
      </c>
      <c r="E170" s="3664">
        <v>20650321</v>
      </c>
      <c r="F170" s="3690" t="s">
        <v>3293</v>
      </c>
      <c r="G170" s="3664" t="s">
        <v>2577</v>
      </c>
      <c r="H170" s="3664" t="s">
        <v>2591</v>
      </c>
      <c r="I170" s="3691">
        <v>156</v>
      </c>
      <c r="J170" s="3691">
        <v>0</v>
      </c>
      <c r="K170" s="3691">
        <v>12</v>
      </c>
      <c r="L170" s="3691">
        <f t="shared" si="60"/>
        <v>13</v>
      </c>
      <c r="M170" s="3659">
        <v>45747</v>
      </c>
      <c r="N170" s="3659">
        <v>45743</v>
      </c>
      <c r="O170" s="4085"/>
      <c r="P170" s="3682" t="s">
        <v>82</v>
      </c>
      <c r="Q170" s="3682"/>
      <c r="R170" s="4083"/>
      <c r="S170" s="4083"/>
      <c r="T170" s="4083"/>
      <c r="U170" s="3645" t="s">
        <v>949</v>
      </c>
      <c r="V170" s="3657" t="s">
        <v>950</v>
      </c>
      <c r="W170" s="3657"/>
      <c r="X170" s="3657" t="s">
        <v>951</v>
      </c>
      <c r="Y170" s="3649"/>
      <c r="Z170" s="3661"/>
      <c r="AA170" s="3620" t="s">
        <v>3294</v>
      </c>
      <c r="AB170" s="3691" t="s">
        <v>513</v>
      </c>
      <c r="AC170" s="4087">
        <v>2.2984</v>
      </c>
      <c r="AD170" s="3691">
        <f t="shared" si="80"/>
        <v>358.5504</v>
      </c>
      <c r="AE170" s="3645" t="s">
        <v>956</v>
      </c>
      <c r="AF170" s="3664" t="s">
        <v>2577</v>
      </c>
      <c r="AG170" s="3645" t="s">
        <v>416</v>
      </c>
      <c r="AH170" s="905"/>
      <c r="AI170" s="3664">
        <f>I170</f>
        <v>156</v>
      </c>
      <c r="AJ170" s="3664"/>
      <c r="AK170" s="905"/>
      <c r="AL170" s="3664"/>
      <c r="AM170" s="3664"/>
      <c r="AN170" s="3691"/>
      <c r="AO170" s="4089">
        <f t="shared" si="82"/>
        <v>156</v>
      </c>
      <c r="AP170" s="4089"/>
      <c r="AQ170" s="4089"/>
      <c r="AR170" s="4382"/>
      <c r="AS170" s="4089">
        <f t="shared" si="79"/>
        <v>156</v>
      </c>
      <c r="AT170" s="4382"/>
      <c r="AU170" s="4089"/>
      <c r="AV170" s="4089">
        <f>I170/6</f>
        <v>26</v>
      </c>
      <c r="AW170" s="4089"/>
      <c r="AX170" s="4089"/>
      <c r="AY170" s="4089"/>
      <c r="AZ170" s="4089"/>
      <c r="BA170" s="4089"/>
      <c r="BB170" s="4089"/>
      <c r="BC170" s="4089"/>
      <c r="BD170" s="4089"/>
      <c r="BE170" s="4089"/>
      <c r="BF170" s="4089" t="s">
        <v>89</v>
      </c>
      <c r="BG170" s="4089"/>
      <c r="BH170" s="4089">
        <f t="shared" si="70"/>
        <v>26</v>
      </c>
      <c r="BI170" s="4089">
        <f t="shared" si="71"/>
        <v>26</v>
      </c>
      <c r="BJ170" s="4089">
        <f t="shared" si="72"/>
        <v>26</v>
      </c>
      <c r="BK170" s="4403">
        <f t="shared" si="73"/>
        <v>26</v>
      </c>
      <c r="BL170" s="4385">
        <f t="shared" si="74"/>
        <v>26</v>
      </c>
      <c r="BM170" s="4403">
        <f t="shared" si="75"/>
        <v>20.8</v>
      </c>
      <c r="BN170" s="4089">
        <f t="shared" si="76"/>
        <v>5.2</v>
      </c>
      <c r="BO170" s="4416"/>
      <c r="BP170" s="4416"/>
      <c r="BQ170" s="4416"/>
      <c r="BR170" s="4416"/>
      <c r="BS170" s="4416"/>
      <c r="BT170" s="4416"/>
      <c r="BU170" s="4384"/>
      <c r="BV170" s="4385">
        <f t="shared" si="81"/>
        <v>156</v>
      </c>
      <c r="BW170" s="4386">
        <f t="shared" si="63"/>
        <v>0</v>
      </c>
      <c r="BX170" s="4387"/>
      <c r="BY170" s="4387"/>
      <c r="BZ170" s="4387"/>
      <c r="CA170" s="4391"/>
      <c r="CC170" s="4392"/>
      <c r="CD170" s="4391"/>
    </row>
    <row r="171" s="4025" customFormat="1" ht="50" customHeight="1" spans="1:82">
      <c r="A171" s="3688">
        <v>45701</v>
      </c>
      <c r="B171" s="3689" t="s">
        <v>461</v>
      </c>
      <c r="C171" s="3664" t="s">
        <v>341</v>
      </c>
      <c r="D171" s="3690">
        <v>4500157606</v>
      </c>
      <c r="E171" s="3664" t="s">
        <v>3295</v>
      </c>
      <c r="F171" s="3690" t="s">
        <v>3296</v>
      </c>
      <c r="G171" s="3664" t="s">
        <v>2719</v>
      </c>
      <c r="H171" s="3664" t="s">
        <v>2591</v>
      </c>
      <c r="I171" s="3691">
        <v>1500</v>
      </c>
      <c r="J171" s="3691">
        <v>0</v>
      </c>
      <c r="K171" s="3691">
        <v>6</v>
      </c>
      <c r="L171" s="3691">
        <f t="shared" si="60"/>
        <v>250</v>
      </c>
      <c r="M171" s="3659">
        <v>45747</v>
      </c>
      <c r="N171" s="3659">
        <v>45743</v>
      </c>
      <c r="O171" s="4085"/>
      <c r="P171" s="3682" t="s">
        <v>82</v>
      </c>
      <c r="Q171" s="3682"/>
      <c r="R171" s="4083"/>
      <c r="S171" s="4083"/>
      <c r="T171" s="4083"/>
      <c r="U171" s="3645" t="s">
        <v>935</v>
      </c>
      <c r="V171" s="3657" t="s">
        <v>936</v>
      </c>
      <c r="W171" s="3657"/>
      <c r="X171" s="3657" t="s">
        <v>98</v>
      </c>
      <c r="Y171" s="3649" t="s">
        <v>937</v>
      </c>
      <c r="Z171" s="3661"/>
      <c r="AA171" s="3620" t="s">
        <v>3297</v>
      </c>
      <c r="AB171" s="3691" t="s">
        <v>87</v>
      </c>
      <c r="AC171" s="3691">
        <v>2.0887</v>
      </c>
      <c r="AD171" s="3691">
        <f t="shared" si="80"/>
        <v>3133.05</v>
      </c>
      <c r="AE171" s="3645" t="s">
        <v>939</v>
      </c>
      <c r="AF171" s="3691" t="s">
        <v>2744</v>
      </c>
      <c r="AG171" s="3645" t="s">
        <v>416</v>
      </c>
      <c r="AH171" s="905"/>
      <c r="AI171" s="3691"/>
      <c r="AJ171" s="3691"/>
      <c r="AK171" s="905"/>
      <c r="AL171" s="3664">
        <f>I171</f>
        <v>1500</v>
      </c>
      <c r="AM171" s="3664"/>
      <c r="AN171" s="3691"/>
      <c r="AO171" s="3691">
        <f t="shared" si="82"/>
        <v>1500</v>
      </c>
      <c r="AP171" s="3691"/>
      <c r="AQ171" s="4089"/>
      <c r="AR171" s="907"/>
      <c r="AS171" s="4089">
        <f t="shared" si="79"/>
        <v>1500</v>
      </c>
      <c r="AT171" s="907"/>
      <c r="AU171" s="4089"/>
      <c r="AV171" s="4089"/>
      <c r="AW171" s="4089"/>
      <c r="AX171" s="4089"/>
      <c r="AY171" s="4089"/>
      <c r="AZ171" s="4089"/>
      <c r="BA171" s="4089"/>
      <c r="BB171" s="4089"/>
      <c r="BC171" s="4089"/>
      <c r="BD171" s="4089"/>
      <c r="BE171" s="4089"/>
      <c r="BF171" s="4089" t="s">
        <v>89</v>
      </c>
      <c r="BG171" s="4089"/>
      <c r="BH171" s="4089">
        <f t="shared" si="70"/>
        <v>250</v>
      </c>
      <c r="BI171" s="4089">
        <f t="shared" si="71"/>
        <v>250</v>
      </c>
      <c r="BJ171" s="4089">
        <f t="shared" si="72"/>
        <v>250</v>
      </c>
      <c r="BK171" s="4089">
        <f t="shared" si="73"/>
        <v>250</v>
      </c>
      <c r="BL171" s="4089">
        <f t="shared" si="74"/>
        <v>250</v>
      </c>
      <c r="BM171" s="4089">
        <f t="shared" si="75"/>
        <v>200</v>
      </c>
      <c r="BN171" s="4089">
        <f t="shared" si="76"/>
        <v>50</v>
      </c>
      <c r="BO171" s="4382"/>
      <c r="BP171" s="4382"/>
      <c r="BQ171" s="4382"/>
      <c r="BR171" s="4382"/>
      <c r="BS171" s="4382"/>
      <c r="BT171" s="4383"/>
      <c r="BU171" s="4384"/>
      <c r="BV171" s="4385">
        <f t="shared" si="81"/>
        <v>1500</v>
      </c>
      <c r="BW171" s="4386">
        <f t="shared" si="63"/>
        <v>0</v>
      </c>
      <c r="BX171" s="4387"/>
      <c r="BY171" s="4387"/>
      <c r="BZ171" s="4387"/>
      <c r="CA171" s="4391"/>
      <c r="CC171" s="4392"/>
      <c r="CD171" s="4391"/>
    </row>
    <row r="172" s="4025" customFormat="1" ht="50" customHeight="1" spans="1:82">
      <c r="A172" s="3688">
        <v>45701</v>
      </c>
      <c r="B172" s="3689" t="s">
        <v>461</v>
      </c>
      <c r="C172" s="3664" t="s">
        <v>341</v>
      </c>
      <c r="D172" s="3690">
        <v>4500157606</v>
      </c>
      <c r="E172" s="3664" t="s">
        <v>3298</v>
      </c>
      <c r="F172" s="3690" t="s">
        <v>3299</v>
      </c>
      <c r="G172" s="3664" t="s">
        <v>2719</v>
      </c>
      <c r="H172" s="3664" t="s">
        <v>2591</v>
      </c>
      <c r="I172" s="3691">
        <v>1500</v>
      </c>
      <c r="J172" s="3691">
        <v>0</v>
      </c>
      <c r="K172" s="3691">
        <v>6</v>
      </c>
      <c r="L172" s="3691">
        <f t="shared" si="60"/>
        <v>250</v>
      </c>
      <c r="M172" s="3659">
        <v>45747</v>
      </c>
      <c r="N172" s="3659">
        <v>45743</v>
      </c>
      <c r="O172" s="4085"/>
      <c r="P172" s="3682" t="s">
        <v>82</v>
      </c>
      <c r="Q172" s="3682"/>
      <c r="R172" s="4083"/>
      <c r="S172" s="4083"/>
      <c r="T172" s="4083"/>
      <c r="U172" s="3645" t="s">
        <v>935</v>
      </c>
      <c r="V172" s="3657" t="s">
        <v>936</v>
      </c>
      <c r="W172" s="3657"/>
      <c r="X172" s="3657" t="s">
        <v>98</v>
      </c>
      <c r="Y172" s="3649" t="s">
        <v>937</v>
      </c>
      <c r="Z172" s="3661"/>
      <c r="AA172" s="3620" t="s">
        <v>3297</v>
      </c>
      <c r="AB172" s="3691" t="s">
        <v>87</v>
      </c>
      <c r="AC172" s="3691">
        <v>2.0887</v>
      </c>
      <c r="AD172" s="3691">
        <f t="shared" si="80"/>
        <v>3133.05</v>
      </c>
      <c r="AE172" s="3645" t="s">
        <v>939</v>
      </c>
      <c r="AF172" s="3691" t="s">
        <v>2744</v>
      </c>
      <c r="AG172" s="3645" t="s">
        <v>416</v>
      </c>
      <c r="AH172" s="905"/>
      <c r="AI172" s="3691"/>
      <c r="AJ172" s="3691"/>
      <c r="AK172" s="905"/>
      <c r="AL172" s="3664">
        <f>I172</f>
        <v>1500</v>
      </c>
      <c r="AM172" s="3664"/>
      <c r="AN172" s="3691"/>
      <c r="AO172" s="3691">
        <f t="shared" si="82"/>
        <v>1500</v>
      </c>
      <c r="AP172" s="3691"/>
      <c r="AQ172" s="4089"/>
      <c r="AR172" s="907"/>
      <c r="AS172" s="4089">
        <f t="shared" si="79"/>
        <v>1500</v>
      </c>
      <c r="AT172" s="907"/>
      <c r="AU172" s="4089"/>
      <c r="AV172" s="4089"/>
      <c r="AW172" s="4089"/>
      <c r="AX172" s="4089"/>
      <c r="AY172" s="4089"/>
      <c r="AZ172" s="4089"/>
      <c r="BA172" s="4089"/>
      <c r="BB172" s="4089"/>
      <c r="BC172" s="4089"/>
      <c r="BD172" s="4089"/>
      <c r="BE172" s="4089"/>
      <c r="BF172" s="4089" t="s">
        <v>89</v>
      </c>
      <c r="BG172" s="4089"/>
      <c r="BH172" s="4089">
        <f t="shared" si="70"/>
        <v>250</v>
      </c>
      <c r="BI172" s="4089">
        <f t="shared" si="71"/>
        <v>250</v>
      </c>
      <c r="BJ172" s="4089">
        <f t="shared" si="72"/>
        <v>250</v>
      </c>
      <c r="BK172" s="4089">
        <f t="shared" si="73"/>
        <v>250</v>
      </c>
      <c r="BL172" s="4089">
        <f t="shared" si="74"/>
        <v>250</v>
      </c>
      <c r="BM172" s="4089">
        <f t="shared" si="75"/>
        <v>200</v>
      </c>
      <c r="BN172" s="4089">
        <f t="shared" si="76"/>
        <v>50</v>
      </c>
      <c r="BO172" s="4382"/>
      <c r="BP172" s="4382"/>
      <c r="BQ172" s="4382"/>
      <c r="BR172" s="4382"/>
      <c r="BS172" s="4382"/>
      <c r="BT172" s="4383"/>
      <c r="BU172" s="4384"/>
      <c r="BV172" s="4385">
        <f t="shared" si="81"/>
        <v>1500</v>
      </c>
      <c r="BW172" s="4386">
        <f t="shared" si="63"/>
        <v>0</v>
      </c>
      <c r="BX172" s="4387"/>
      <c r="BY172" s="4387"/>
      <c r="BZ172" s="4387"/>
      <c r="CA172" s="4391"/>
      <c r="CC172" s="4392"/>
      <c r="CD172" s="4391"/>
    </row>
    <row r="173" s="4025" customFormat="1" ht="50" customHeight="1" spans="1:82">
      <c r="A173" s="3688">
        <v>45701</v>
      </c>
      <c r="B173" s="3689" t="s">
        <v>470</v>
      </c>
      <c r="C173" s="3664" t="s">
        <v>471</v>
      </c>
      <c r="D173" s="3690">
        <v>4500157593</v>
      </c>
      <c r="E173" s="3664" t="s">
        <v>3300</v>
      </c>
      <c r="F173" s="3690" t="s">
        <v>3301</v>
      </c>
      <c r="G173" s="3664" t="s">
        <v>2719</v>
      </c>
      <c r="H173" s="3664" t="s">
        <v>2591</v>
      </c>
      <c r="I173" s="3691">
        <v>1002</v>
      </c>
      <c r="J173" s="3691">
        <v>0</v>
      </c>
      <c r="K173" s="3691">
        <v>6</v>
      </c>
      <c r="L173" s="3691">
        <f t="shared" si="60"/>
        <v>167</v>
      </c>
      <c r="M173" s="3659">
        <v>45747</v>
      </c>
      <c r="N173" s="3659">
        <v>45743</v>
      </c>
      <c r="O173" s="4085"/>
      <c r="P173" s="3682" t="s">
        <v>82</v>
      </c>
      <c r="Q173" s="3682"/>
      <c r="R173" s="4083"/>
      <c r="S173" s="4083"/>
      <c r="T173" s="4083"/>
      <c r="U173" s="3645" t="s">
        <v>935</v>
      </c>
      <c r="V173" s="3657" t="s">
        <v>936</v>
      </c>
      <c r="W173" s="3657"/>
      <c r="X173" s="3657" t="s">
        <v>3302</v>
      </c>
      <c r="Y173" s="3657" t="s">
        <v>937</v>
      </c>
      <c r="Z173" s="3661"/>
      <c r="AA173" s="3620" t="s">
        <v>3303</v>
      </c>
      <c r="AB173" s="3691" t="s">
        <v>87</v>
      </c>
      <c r="AC173" s="3691">
        <v>2.1437</v>
      </c>
      <c r="AD173" s="3691">
        <f t="shared" si="80"/>
        <v>2147.9874</v>
      </c>
      <c r="AE173" s="3645" t="s">
        <v>945</v>
      </c>
      <c r="AF173" s="3691" t="s">
        <v>2744</v>
      </c>
      <c r="AG173" s="3645" t="s">
        <v>416</v>
      </c>
      <c r="AH173" s="905"/>
      <c r="AI173" s="3691"/>
      <c r="AJ173" s="3691"/>
      <c r="AK173" s="905"/>
      <c r="AL173" s="3664">
        <f>I173</f>
        <v>1002</v>
      </c>
      <c r="AM173" s="3664"/>
      <c r="AN173" s="3691"/>
      <c r="AO173" s="3691">
        <f t="shared" si="82"/>
        <v>1002</v>
      </c>
      <c r="AP173" s="3691"/>
      <c r="AQ173" s="4089"/>
      <c r="AR173" s="907"/>
      <c r="AS173" s="4089">
        <f t="shared" si="79"/>
        <v>1002</v>
      </c>
      <c r="AT173" s="907"/>
      <c r="AU173" s="4089"/>
      <c r="AV173" s="4089"/>
      <c r="AW173" s="4089"/>
      <c r="AX173" s="4089"/>
      <c r="AY173" s="4089"/>
      <c r="AZ173" s="4089"/>
      <c r="BA173" s="4089"/>
      <c r="BB173" s="4089"/>
      <c r="BC173" s="4089"/>
      <c r="BD173" s="4089"/>
      <c r="BE173" s="4089"/>
      <c r="BF173" s="4089" t="s">
        <v>89</v>
      </c>
      <c r="BG173" s="4089"/>
      <c r="BH173" s="4089">
        <f t="shared" si="70"/>
        <v>167</v>
      </c>
      <c r="BI173" s="4089">
        <f t="shared" si="71"/>
        <v>167</v>
      </c>
      <c r="BJ173" s="4089">
        <f t="shared" si="72"/>
        <v>167</v>
      </c>
      <c r="BK173" s="4089">
        <f t="shared" si="73"/>
        <v>167</v>
      </c>
      <c r="BL173" s="4089">
        <f t="shared" si="74"/>
        <v>167</v>
      </c>
      <c r="BM173" s="4089">
        <f t="shared" si="75"/>
        <v>133.6</v>
      </c>
      <c r="BN173" s="4089">
        <f t="shared" si="76"/>
        <v>33.4</v>
      </c>
      <c r="BO173" s="4382"/>
      <c r="BP173" s="4382"/>
      <c r="BQ173" s="4382"/>
      <c r="BR173" s="4382"/>
      <c r="BS173" s="4382"/>
      <c r="BT173" s="4383"/>
      <c r="BU173" s="4384"/>
      <c r="BV173" s="4385">
        <f t="shared" si="81"/>
        <v>1002</v>
      </c>
      <c r="BW173" s="4386">
        <f t="shared" si="63"/>
        <v>0</v>
      </c>
      <c r="BX173" s="4387">
        <v>1002</v>
      </c>
      <c r="BY173" s="4387"/>
      <c r="BZ173" s="4387"/>
      <c r="CA173" s="4391"/>
      <c r="CC173" s="4392"/>
      <c r="CD173" s="4391"/>
    </row>
    <row r="174" s="4025" customFormat="1" ht="50" customHeight="1" spans="1:82">
      <c r="A174" s="3688">
        <v>45701</v>
      </c>
      <c r="B174" s="3689" t="s">
        <v>470</v>
      </c>
      <c r="C174" s="3664" t="s">
        <v>471</v>
      </c>
      <c r="D174" s="3690">
        <v>4500157593</v>
      </c>
      <c r="E174" s="3664" t="s">
        <v>3304</v>
      </c>
      <c r="F174" s="3690" t="s">
        <v>3305</v>
      </c>
      <c r="G174" s="3664" t="s">
        <v>2719</v>
      </c>
      <c r="H174" s="3664" t="s">
        <v>2591</v>
      </c>
      <c r="I174" s="3691">
        <v>1002</v>
      </c>
      <c r="J174" s="3691">
        <v>0</v>
      </c>
      <c r="K174" s="3691">
        <v>6</v>
      </c>
      <c r="L174" s="3691">
        <f t="shared" si="60"/>
        <v>167</v>
      </c>
      <c r="M174" s="3659">
        <v>45747</v>
      </c>
      <c r="N174" s="3659">
        <v>45743</v>
      </c>
      <c r="O174" s="4085"/>
      <c r="P174" s="3682" t="s">
        <v>82</v>
      </c>
      <c r="Q174" s="3682"/>
      <c r="R174" s="4083"/>
      <c r="S174" s="4083"/>
      <c r="T174" s="4083"/>
      <c r="U174" s="3645" t="s">
        <v>935</v>
      </c>
      <c r="V174" s="3657" t="s">
        <v>936</v>
      </c>
      <c r="W174" s="3657"/>
      <c r="X174" s="3657" t="s">
        <v>3302</v>
      </c>
      <c r="Y174" s="3657" t="s">
        <v>937</v>
      </c>
      <c r="Z174" s="3661"/>
      <c r="AA174" s="3620" t="s">
        <v>3303</v>
      </c>
      <c r="AB174" s="3691" t="s">
        <v>87</v>
      </c>
      <c r="AC174" s="3691">
        <v>2.1437</v>
      </c>
      <c r="AD174" s="3691">
        <f t="shared" si="80"/>
        <v>2147.9874</v>
      </c>
      <c r="AE174" s="3645" t="s">
        <v>945</v>
      </c>
      <c r="AF174" s="3691" t="s">
        <v>2744</v>
      </c>
      <c r="AG174" s="3645" t="s">
        <v>416</v>
      </c>
      <c r="AH174" s="905"/>
      <c r="AI174" s="3691"/>
      <c r="AJ174" s="3691"/>
      <c r="AK174" s="905"/>
      <c r="AL174" s="3664">
        <f>I174</f>
        <v>1002</v>
      </c>
      <c r="AM174" s="3664"/>
      <c r="AN174" s="3691"/>
      <c r="AO174" s="3691">
        <f t="shared" si="82"/>
        <v>1002</v>
      </c>
      <c r="AP174" s="3691"/>
      <c r="AQ174" s="4089"/>
      <c r="AR174" s="907"/>
      <c r="AS174" s="4089">
        <f t="shared" si="79"/>
        <v>1002</v>
      </c>
      <c r="AT174" s="907"/>
      <c r="AU174" s="4089"/>
      <c r="AV174" s="4089"/>
      <c r="AW174" s="4089"/>
      <c r="AX174" s="4089"/>
      <c r="AY174" s="4089"/>
      <c r="AZ174" s="4089"/>
      <c r="BA174" s="4089"/>
      <c r="BB174" s="4089"/>
      <c r="BC174" s="4089"/>
      <c r="BD174" s="4089"/>
      <c r="BE174" s="4089"/>
      <c r="BF174" s="4089" t="s">
        <v>89</v>
      </c>
      <c r="BG174" s="4089"/>
      <c r="BH174" s="4089">
        <f t="shared" si="70"/>
        <v>167</v>
      </c>
      <c r="BI174" s="4089">
        <f t="shared" si="71"/>
        <v>167</v>
      </c>
      <c r="BJ174" s="4089">
        <f t="shared" si="72"/>
        <v>167</v>
      </c>
      <c r="BK174" s="4089">
        <f t="shared" si="73"/>
        <v>167</v>
      </c>
      <c r="BL174" s="4089">
        <f t="shared" si="74"/>
        <v>167</v>
      </c>
      <c r="BM174" s="4089">
        <f t="shared" si="75"/>
        <v>133.6</v>
      </c>
      <c r="BN174" s="4089">
        <f t="shared" si="76"/>
        <v>33.4</v>
      </c>
      <c r="BO174" s="4382"/>
      <c r="BP174" s="4382"/>
      <c r="BQ174" s="4382"/>
      <c r="BR174" s="4382"/>
      <c r="BS174" s="4382"/>
      <c r="BT174" s="4383"/>
      <c r="BU174" s="4384"/>
      <c r="BV174" s="4385">
        <f t="shared" si="81"/>
        <v>1002</v>
      </c>
      <c r="BW174" s="4386">
        <f t="shared" si="63"/>
        <v>0</v>
      </c>
      <c r="BX174" s="4387">
        <v>1002</v>
      </c>
      <c r="BY174" s="4387"/>
      <c r="BZ174" s="4387"/>
      <c r="CA174" s="4391"/>
      <c r="CC174" s="4392"/>
      <c r="CD174" s="4391"/>
    </row>
    <row r="175" s="4025" customFormat="1" ht="50" customHeight="1" spans="1:82">
      <c r="A175" s="3688">
        <v>45719</v>
      </c>
      <c r="B175" s="3689" t="s">
        <v>3065</v>
      </c>
      <c r="C175" s="3664" t="s">
        <v>91</v>
      </c>
      <c r="D175" s="3690">
        <v>4500159032</v>
      </c>
      <c r="E175" s="5456" t="s">
        <v>3306</v>
      </c>
      <c r="F175" s="3690" t="s">
        <v>3307</v>
      </c>
      <c r="G175" s="3664" t="s">
        <v>3068</v>
      </c>
      <c r="H175" s="3664" t="s">
        <v>3069</v>
      </c>
      <c r="I175" s="3691">
        <v>768</v>
      </c>
      <c r="J175" s="3691">
        <v>2</v>
      </c>
      <c r="K175" s="3691">
        <v>384</v>
      </c>
      <c r="L175" s="3691">
        <f t="shared" si="60"/>
        <v>2</v>
      </c>
      <c r="M175" s="3659">
        <v>45747</v>
      </c>
      <c r="N175" s="3659">
        <v>45743</v>
      </c>
      <c r="O175" s="3664" t="s">
        <v>3308</v>
      </c>
      <c r="P175" s="3682" t="s">
        <v>82</v>
      </c>
      <c r="Q175" s="3682"/>
      <c r="R175" s="4083"/>
      <c r="S175" s="4083"/>
      <c r="T175" s="4083"/>
      <c r="U175" s="3645" t="s">
        <v>180</v>
      </c>
      <c r="V175" s="3657" t="s">
        <v>3072</v>
      </c>
      <c r="W175" s="3657"/>
      <c r="X175" s="3657" t="s">
        <v>3073</v>
      </c>
      <c r="Y175" s="3657" t="s">
        <v>3309</v>
      </c>
      <c r="Z175" s="3661"/>
      <c r="AA175" s="3620" t="s">
        <v>3310</v>
      </c>
      <c r="AB175" s="3691" t="s">
        <v>3076</v>
      </c>
      <c r="AC175" s="4087">
        <v>884.5233</v>
      </c>
      <c r="AD175" s="3691">
        <f>AC175*L175</f>
        <v>1769.0466</v>
      </c>
      <c r="AE175" s="3645" t="s">
        <v>3311</v>
      </c>
      <c r="AF175" s="959" t="s">
        <v>3078</v>
      </c>
      <c r="AG175" s="3645" t="s">
        <v>416</v>
      </c>
      <c r="AH175" s="905"/>
      <c r="AI175" s="3691">
        <f t="shared" ref="AI175:AI191" si="83">I175</f>
        <v>768</v>
      </c>
      <c r="AJ175" s="3691"/>
      <c r="AK175" s="905"/>
      <c r="AL175" s="3664"/>
      <c r="AM175" s="3664"/>
      <c r="AN175" s="3691"/>
      <c r="AO175" s="3691">
        <f t="shared" si="82"/>
        <v>768</v>
      </c>
      <c r="AP175" s="3691"/>
      <c r="AQ175" s="4089"/>
      <c r="AR175" s="907"/>
      <c r="AS175" s="4089">
        <f t="shared" si="79"/>
        <v>768</v>
      </c>
      <c r="AT175" s="907"/>
      <c r="AU175" s="4089"/>
      <c r="AV175" s="4089"/>
      <c r="AW175" s="4089"/>
      <c r="AX175" s="4089"/>
      <c r="AY175" s="4089"/>
      <c r="AZ175" s="4089"/>
      <c r="BA175" s="4089"/>
      <c r="BB175" s="4089">
        <f>I175/2</f>
        <v>384</v>
      </c>
      <c r="BC175" s="4089"/>
      <c r="BD175" s="4089"/>
      <c r="BE175" s="4089"/>
      <c r="BF175" s="4089" t="s">
        <v>89</v>
      </c>
      <c r="BG175" s="4089"/>
      <c r="BH175" s="4089">
        <f t="shared" si="70"/>
        <v>128</v>
      </c>
      <c r="BI175" s="4089">
        <f t="shared" si="71"/>
        <v>128</v>
      </c>
      <c r="BJ175" s="4089">
        <f t="shared" si="72"/>
        <v>128</v>
      </c>
      <c r="BK175" s="4089">
        <f t="shared" si="73"/>
        <v>128</v>
      </c>
      <c r="BL175" s="4089">
        <f t="shared" si="74"/>
        <v>128</v>
      </c>
      <c r="BM175" s="4089">
        <f t="shared" si="75"/>
        <v>102.4</v>
      </c>
      <c r="BN175" s="4089">
        <f t="shared" si="76"/>
        <v>25.6</v>
      </c>
      <c r="BO175" s="4382"/>
      <c r="BP175" s="4382"/>
      <c r="BQ175" s="4382"/>
      <c r="BR175" s="4382"/>
      <c r="BS175" s="4382"/>
      <c r="BT175" s="4383"/>
      <c r="BU175" s="4384"/>
      <c r="BV175" s="4385">
        <f t="shared" si="81"/>
        <v>768</v>
      </c>
      <c r="BW175" s="4386">
        <f t="shared" si="63"/>
        <v>0</v>
      </c>
      <c r="BX175" s="4387"/>
      <c r="BY175" s="4387"/>
      <c r="BZ175" s="4387"/>
      <c r="CA175" s="4388"/>
      <c r="CC175" s="4389"/>
      <c r="CD175" s="4388"/>
    </row>
    <row r="176" s="4025" customFormat="1" ht="50" customHeight="1" spans="1:82">
      <c r="A176" s="3688">
        <v>45719</v>
      </c>
      <c r="B176" s="3689" t="s">
        <v>3065</v>
      </c>
      <c r="C176" s="3664" t="s">
        <v>91</v>
      </c>
      <c r="D176" s="3690">
        <v>4500159032</v>
      </c>
      <c r="E176" s="5456" t="s">
        <v>3312</v>
      </c>
      <c r="F176" s="3690" t="s">
        <v>3313</v>
      </c>
      <c r="G176" s="3664" t="s">
        <v>3068</v>
      </c>
      <c r="H176" s="3664" t="s">
        <v>3069</v>
      </c>
      <c r="I176" s="3691">
        <v>768</v>
      </c>
      <c r="J176" s="3691">
        <v>2</v>
      </c>
      <c r="K176" s="3691">
        <v>384</v>
      </c>
      <c r="L176" s="3691">
        <f t="shared" si="60"/>
        <v>2</v>
      </c>
      <c r="M176" s="3659">
        <v>45747</v>
      </c>
      <c r="N176" s="3659">
        <v>45743</v>
      </c>
      <c r="O176" s="3664" t="s">
        <v>3308</v>
      </c>
      <c r="P176" s="3682" t="s">
        <v>82</v>
      </c>
      <c r="Q176" s="3682"/>
      <c r="R176" s="4083"/>
      <c r="S176" s="4083"/>
      <c r="T176" s="4083"/>
      <c r="U176" s="3645" t="s">
        <v>3266</v>
      </c>
      <c r="V176" s="3657" t="s">
        <v>3072</v>
      </c>
      <c r="W176" s="3657"/>
      <c r="X176" s="3657" t="s">
        <v>3073</v>
      </c>
      <c r="Y176" s="3657" t="s">
        <v>3309</v>
      </c>
      <c r="Z176" s="3661"/>
      <c r="AA176" s="3620" t="s">
        <v>3310</v>
      </c>
      <c r="AB176" s="3691" t="s">
        <v>3076</v>
      </c>
      <c r="AC176" s="4087">
        <v>884.5233</v>
      </c>
      <c r="AD176" s="3691">
        <f>AC176*L176</f>
        <v>1769.0466</v>
      </c>
      <c r="AE176" s="3645" t="s">
        <v>3314</v>
      </c>
      <c r="AF176" s="959" t="s">
        <v>3078</v>
      </c>
      <c r="AG176" s="3645" t="s">
        <v>416</v>
      </c>
      <c r="AH176" s="905"/>
      <c r="AI176" s="3691">
        <f t="shared" si="83"/>
        <v>768</v>
      </c>
      <c r="AJ176" s="3691"/>
      <c r="AK176" s="905"/>
      <c r="AL176" s="3664"/>
      <c r="AM176" s="3664"/>
      <c r="AN176" s="3691"/>
      <c r="AO176" s="3691">
        <f t="shared" si="82"/>
        <v>768</v>
      </c>
      <c r="AP176" s="3691"/>
      <c r="AQ176" s="4089"/>
      <c r="AR176" s="907"/>
      <c r="AS176" s="4089">
        <f t="shared" si="79"/>
        <v>768</v>
      </c>
      <c r="AT176" s="907"/>
      <c r="AU176" s="4089"/>
      <c r="AV176" s="4089"/>
      <c r="AW176" s="4089"/>
      <c r="AX176" s="4089"/>
      <c r="AY176" s="4089"/>
      <c r="AZ176" s="4089"/>
      <c r="BA176" s="4089"/>
      <c r="BB176" s="4089">
        <f>I176/2</f>
        <v>384</v>
      </c>
      <c r="BC176" s="4089"/>
      <c r="BD176" s="4089"/>
      <c r="BE176" s="4089"/>
      <c r="BF176" s="4089" t="s">
        <v>89</v>
      </c>
      <c r="BG176" s="4089"/>
      <c r="BH176" s="4089">
        <f t="shared" si="70"/>
        <v>128</v>
      </c>
      <c r="BI176" s="4089">
        <f t="shared" si="71"/>
        <v>128</v>
      </c>
      <c r="BJ176" s="4089">
        <f t="shared" si="72"/>
        <v>128</v>
      </c>
      <c r="BK176" s="4089">
        <f t="shared" si="73"/>
        <v>128</v>
      </c>
      <c r="BL176" s="4089">
        <f t="shared" si="74"/>
        <v>128</v>
      </c>
      <c r="BM176" s="4089">
        <f t="shared" si="75"/>
        <v>102.4</v>
      </c>
      <c r="BN176" s="4089">
        <f t="shared" si="76"/>
        <v>25.6</v>
      </c>
      <c r="BO176" s="4382"/>
      <c r="BP176" s="4382"/>
      <c r="BQ176" s="4382"/>
      <c r="BR176" s="4382"/>
      <c r="BS176" s="4382"/>
      <c r="BT176" s="4383"/>
      <c r="BU176" s="4384"/>
      <c r="BV176" s="4385">
        <f t="shared" si="81"/>
        <v>768</v>
      </c>
      <c r="BW176" s="4386">
        <f t="shared" si="63"/>
        <v>0</v>
      </c>
      <c r="BX176" s="4387"/>
      <c r="BY176" s="4387"/>
      <c r="BZ176" s="4387"/>
      <c r="CA176" s="4388"/>
      <c r="CC176" s="4389"/>
      <c r="CD176" s="4388"/>
    </row>
    <row r="177" s="4025" customFormat="1" ht="50" customHeight="1" spans="1:82">
      <c r="A177" s="3688">
        <v>45719</v>
      </c>
      <c r="B177" s="3689" t="s">
        <v>3065</v>
      </c>
      <c r="C177" s="3664" t="s">
        <v>91</v>
      </c>
      <c r="D177" s="3690">
        <v>4500159032</v>
      </c>
      <c r="E177" s="5456" t="s">
        <v>3315</v>
      </c>
      <c r="F177" s="3690" t="s">
        <v>3316</v>
      </c>
      <c r="G177" s="3664" t="s">
        <v>3068</v>
      </c>
      <c r="H177" s="3664" t="s">
        <v>3069</v>
      </c>
      <c r="I177" s="3691">
        <v>768</v>
      </c>
      <c r="J177" s="3691">
        <v>2</v>
      </c>
      <c r="K177" s="3691">
        <v>384</v>
      </c>
      <c r="L177" s="3691">
        <f t="shared" si="60"/>
        <v>2</v>
      </c>
      <c r="M177" s="3659">
        <v>45747</v>
      </c>
      <c r="N177" s="3659">
        <v>45743</v>
      </c>
      <c r="O177" s="3664" t="s">
        <v>3308</v>
      </c>
      <c r="P177" s="3682" t="s">
        <v>82</v>
      </c>
      <c r="Q177" s="3682"/>
      <c r="R177" s="4083"/>
      <c r="S177" s="4083"/>
      <c r="T177" s="4083"/>
      <c r="U177" s="3645" t="s">
        <v>3317</v>
      </c>
      <c r="V177" s="3657" t="s">
        <v>3072</v>
      </c>
      <c r="W177" s="3657"/>
      <c r="X177" s="3657" t="s">
        <v>3073</v>
      </c>
      <c r="Y177" s="3657" t="s">
        <v>3309</v>
      </c>
      <c r="Z177" s="3661"/>
      <c r="AA177" s="3620" t="s">
        <v>3310</v>
      </c>
      <c r="AB177" s="3691" t="s">
        <v>3076</v>
      </c>
      <c r="AC177" s="4087">
        <v>905.0505</v>
      </c>
      <c r="AD177" s="3691">
        <f>AC177*L177</f>
        <v>1810.101</v>
      </c>
      <c r="AE177" s="3645" t="s">
        <v>3318</v>
      </c>
      <c r="AF177" s="959" t="s">
        <v>3078</v>
      </c>
      <c r="AG177" s="3645" t="s">
        <v>416</v>
      </c>
      <c r="AH177" s="905"/>
      <c r="AI177" s="3691">
        <f t="shared" si="83"/>
        <v>768</v>
      </c>
      <c r="AJ177" s="3691"/>
      <c r="AK177" s="905"/>
      <c r="AL177" s="3664"/>
      <c r="AM177" s="3664"/>
      <c r="AN177" s="3691"/>
      <c r="AO177" s="3691">
        <f t="shared" si="82"/>
        <v>768</v>
      </c>
      <c r="AP177" s="3691"/>
      <c r="AQ177" s="4089"/>
      <c r="AR177" s="907"/>
      <c r="AS177" s="4089">
        <f t="shared" si="79"/>
        <v>768</v>
      </c>
      <c r="AT177" s="907"/>
      <c r="AU177" s="4089"/>
      <c r="AV177" s="4089"/>
      <c r="AW177" s="4089"/>
      <c r="AX177" s="4089"/>
      <c r="AY177" s="4089"/>
      <c r="AZ177" s="4089"/>
      <c r="BA177" s="4089"/>
      <c r="BB177" s="4089">
        <f>I177/2</f>
        <v>384</v>
      </c>
      <c r="BC177" s="4089"/>
      <c r="BD177" s="4089"/>
      <c r="BE177" s="4089"/>
      <c r="BF177" s="4089" t="s">
        <v>89</v>
      </c>
      <c r="BG177" s="4089"/>
      <c r="BH177" s="4089">
        <f t="shared" si="70"/>
        <v>128</v>
      </c>
      <c r="BI177" s="4089">
        <f t="shared" si="71"/>
        <v>128</v>
      </c>
      <c r="BJ177" s="4089">
        <f t="shared" si="72"/>
        <v>128</v>
      </c>
      <c r="BK177" s="4089">
        <f t="shared" si="73"/>
        <v>128</v>
      </c>
      <c r="BL177" s="4089">
        <f t="shared" si="74"/>
        <v>128</v>
      </c>
      <c r="BM177" s="4089">
        <f t="shared" si="75"/>
        <v>102.4</v>
      </c>
      <c r="BN177" s="4089">
        <f t="shared" si="76"/>
        <v>25.6</v>
      </c>
      <c r="BO177" s="4382"/>
      <c r="BP177" s="4382"/>
      <c r="BQ177" s="4382"/>
      <c r="BR177" s="4382"/>
      <c r="BS177" s="4382"/>
      <c r="BT177" s="4383"/>
      <c r="BU177" s="4384"/>
      <c r="BV177" s="4385">
        <f t="shared" si="81"/>
        <v>768</v>
      </c>
      <c r="BW177" s="4386">
        <f t="shared" si="63"/>
        <v>0</v>
      </c>
      <c r="BX177" s="4387"/>
      <c r="BY177" s="4387"/>
      <c r="BZ177" s="4387"/>
      <c r="CA177" s="4388"/>
      <c r="CC177" s="4389"/>
      <c r="CD177" s="4388"/>
    </row>
    <row r="178" s="4025" customFormat="1" ht="50" customHeight="1" spans="1:82">
      <c r="A178" s="3688">
        <v>45707</v>
      </c>
      <c r="B178" s="3689" t="s">
        <v>2914</v>
      </c>
      <c r="C178" s="3664" t="s">
        <v>341</v>
      </c>
      <c r="D178" s="3690">
        <v>4500157986</v>
      </c>
      <c r="E178" s="3664" t="s">
        <v>3319</v>
      </c>
      <c r="F178" s="3690" t="s">
        <v>3320</v>
      </c>
      <c r="G178" s="3664" t="s">
        <v>3321</v>
      </c>
      <c r="H178" s="3664" t="s">
        <v>3322</v>
      </c>
      <c r="I178" s="3691">
        <v>1560</v>
      </c>
      <c r="J178" s="3691">
        <v>0</v>
      </c>
      <c r="K178" s="3691">
        <v>12</v>
      </c>
      <c r="L178" s="3691">
        <f t="shared" si="60"/>
        <v>130</v>
      </c>
      <c r="M178" s="3659">
        <v>45748</v>
      </c>
      <c r="N178" s="3659">
        <v>45744</v>
      </c>
      <c r="O178" s="3664" t="s">
        <v>3323</v>
      </c>
      <c r="P178" s="3682" t="s">
        <v>82</v>
      </c>
      <c r="Q178" s="3682"/>
      <c r="R178" s="4083"/>
      <c r="S178" s="4083"/>
      <c r="T178" s="4083"/>
      <c r="U178" s="3645" t="s">
        <v>935</v>
      </c>
      <c r="V178" s="3657" t="s">
        <v>3324</v>
      </c>
      <c r="W178" s="3657"/>
      <c r="X178" s="3657" t="s">
        <v>3325</v>
      </c>
      <c r="Y178" s="3657"/>
      <c r="Z178" s="3661"/>
      <c r="AA178" s="3620" t="s">
        <v>3326</v>
      </c>
      <c r="AB178" s="3691" t="s">
        <v>87</v>
      </c>
      <c r="AC178" s="4087">
        <v>119.2306</v>
      </c>
      <c r="AD178" s="3691">
        <f>AC178*L178</f>
        <v>15499.978</v>
      </c>
      <c r="AE178" s="3645" t="s">
        <v>3327</v>
      </c>
      <c r="AF178" s="3691" t="s">
        <v>2627</v>
      </c>
      <c r="AG178" s="3645" t="s">
        <v>416</v>
      </c>
      <c r="AH178" s="905"/>
      <c r="AI178" s="3664">
        <f t="shared" si="83"/>
        <v>1560</v>
      </c>
      <c r="AJ178" s="3664"/>
      <c r="AK178" s="905"/>
      <c r="AL178" s="3664"/>
      <c r="AM178" s="3664"/>
      <c r="AN178" s="3691"/>
      <c r="AO178" s="4089">
        <f t="shared" si="82"/>
        <v>1560</v>
      </c>
      <c r="AP178" s="4089"/>
      <c r="AQ178" s="4089"/>
      <c r="AR178" s="4382"/>
      <c r="AS178" s="4089">
        <f t="shared" si="79"/>
        <v>1560</v>
      </c>
      <c r="AT178" s="4382"/>
      <c r="AU178" s="4089"/>
      <c r="AV178" s="4089"/>
      <c r="AW178" s="4089"/>
      <c r="AX178" s="4089"/>
      <c r="AY178" s="4089"/>
      <c r="AZ178" s="4089"/>
      <c r="BA178" s="4089"/>
      <c r="BB178" s="4089"/>
      <c r="BC178" s="4089"/>
      <c r="BD178" s="4089"/>
      <c r="BE178" s="4089"/>
      <c r="BF178" s="4089" t="s">
        <v>89</v>
      </c>
      <c r="BG178" s="4089"/>
      <c r="BH178" s="4089">
        <f t="shared" si="70"/>
        <v>260</v>
      </c>
      <c r="BI178" s="4089">
        <f t="shared" si="71"/>
        <v>260</v>
      </c>
      <c r="BJ178" s="4089">
        <f t="shared" si="72"/>
        <v>260</v>
      </c>
      <c r="BK178" s="4089">
        <f t="shared" si="73"/>
        <v>260</v>
      </c>
      <c r="BL178" s="4089">
        <f t="shared" si="74"/>
        <v>260</v>
      </c>
      <c r="BM178" s="4089">
        <f t="shared" si="75"/>
        <v>208</v>
      </c>
      <c r="BN178" s="4089">
        <f t="shared" si="76"/>
        <v>52</v>
      </c>
      <c r="BO178" s="4382"/>
      <c r="BP178" s="4382"/>
      <c r="BQ178" s="4382"/>
      <c r="BR178" s="4382"/>
      <c r="BS178" s="4382"/>
      <c r="BT178" s="4383"/>
      <c r="BU178" s="4384"/>
      <c r="BV178" s="4385">
        <f t="shared" si="81"/>
        <v>1560</v>
      </c>
      <c r="BW178" s="4386">
        <f t="shared" si="63"/>
        <v>0</v>
      </c>
      <c r="BX178" s="4387"/>
      <c r="BY178" s="4387"/>
      <c r="BZ178" s="4387"/>
      <c r="CA178" s="4388"/>
      <c r="CC178" s="4389"/>
      <c r="CD178" s="4388"/>
    </row>
    <row r="179" s="4025" customFormat="1" ht="50" customHeight="1" spans="1:82">
      <c r="A179" s="3688">
        <v>45707</v>
      </c>
      <c r="B179" s="3689" t="s">
        <v>2914</v>
      </c>
      <c r="C179" s="3664" t="s">
        <v>341</v>
      </c>
      <c r="D179" s="3690">
        <v>4500157986</v>
      </c>
      <c r="E179" s="3664" t="s">
        <v>3328</v>
      </c>
      <c r="F179" s="3690" t="s">
        <v>3329</v>
      </c>
      <c r="G179" s="3664" t="s">
        <v>3321</v>
      </c>
      <c r="H179" s="3664" t="s">
        <v>3322</v>
      </c>
      <c r="I179" s="3691">
        <v>1560</v>
      </c>
      <c r="J179" s="3691">
        <v>0</v>
      </c>
      <c r="K179" s="3691">
        <v>12</v>
      </c>
      <c r="L179" s="3691">
        <f t="shared" si="60"/>
        <v>130</v>
      </c>
      <c r="M179" s="3659">
        <v>45748</v>
      </c>
      <c r="N179" s="3659">
        <v>45744</v>
      </c>
      <c r="O179" s="3664" t="s">
        <v>3323</v>
      </c>
      <c r="P179" s="3682" t="s">
        <v>82</v>
      </c>
      <c r="Q179" s="3682"/>
      <c r="R179" s="4083"/>
      <c r="S179" s="4083"/>
      <c r="T179" s="4083"/>
      <c r="U179" s="3645" t="s">
        <v>935</v>
      </c>
      <c r="V179" s="3657" t="s">
        <v>3324</v>
      </c>
      <c r="W179" s="3657"/>
      <c r="X179" s="3657" t="s">
        <v>3325</v>
      </c>
      <c r="Y179" s="3657"/>
      <c r="Z179" s="3661"/>
      <c r="AA179" s="3620" t="s">
        <v>3326</v>
      </c>
      <c r="AB179" s="3691" t="s">
        <v>87</v>
      </c>
      <c r="AC179" s="4087">
        <v>119.2306</v>
      </c>
      <c r="AD179" s="3691">
        <f>AC179*L179</f>
        <v>15499.978</v>
      </c>
      <c r="AE179" s="3645" t="s">
        <v>3327</v>
      </c>
      <c r="AF179" s="3691" t="s">
        <v>2627</v>
      </c>
      <c r="AG179" s="3645" t="s">
        <v>416</v>
      </c>
      <c r="AH179" s="905"/>
      <c r="AI179" s="3664">
        <f t="shared" si="83"/>
        <v>1560</v>
      </c>
      <c r="AJ179" s="3664"/>
      <c r="AK179" s="905"/>
      <c r="AL179" s="3664"/>
      <c r="AM179" s="3664"/>
      <c r="AN179" s="3691"/>
      <c r="AO179" s="4089">
        <f t="shared" si="82"/>
        <v>1560</v>
      </c>
      <c r="AP179" s="4089"/>
      <c r="AQ179" s="4089"/>
      <c r="AR179" s="4382"/>
      <c r="AS179" s="4089">
        <f t="shared" si="79"/>
        <v>1560</v>
      </c>
      <c r="AT179" s="4382"/>
      <c r="AU179" s="4089"/>
      <c r="AV179" s="4089"/>
      <c r="AW179" s="4089"/>
      <c r="AX179" s="4089"/>
      <c r="AY179" s="4089"/>
      <c r="AZ179" s="4089"/>
      <c r="BA179" s="4089"/>
      <c r="BB179" s="4089"/>
      <c r="BC179" s="4089"/>
      <c r="BD179" s="4089"/>
      <c r="BE179" s="4089"/>
      <c r="BF179" s="4089" t="s">
        <v>89</v>
      </c>
      <c r="BG179" s="4089"/>
      <c r="BH179" s="4089">
        <f t="shared" si="70"/>
        <v>260</v>
      </c>
      <c r="BI179" s="4089">
        <f t="shared" si="71"/>
        <v>260</v>
      </c>
      <c r="BJ179" s="4089">
        <f t="shared" si="72"/>
        <v>260</v>
      </c>
      <c r="BK179" s="4089">
        <f t="shared" si="73"/>
        <v>260</v>
      </c>
      <c r="BL179" s="4089">
        <f t="shared" si="74"/>
        <v>260</v>
      </c>
      <c r="BM179" s="4089">
        <f t="shared" si="75"/>
        <v>208</v>
      </c>
      <c r="BN179" s="4089">
        <f t="shared" si="76"/>
        <v>52</v>
      </c>
      <c r="BO179" s="4382"/>
      <c r="BP179" s="4382"/>
      <c r="BQ179" s="4382"/>
      <c r="BR179" s="4382"/>
      <c r="BS179" s="4382"/>
      <c r="BT179" s="4383"/>
      <c r="BU179" s="4384"/>
      <c r="BV179" s="4385">
        <f t="shared" si="81"/>
        <v>1560</v>
      </c>
      <c r="BW179" s="4386">
        <f t="shared" si="63"/>
        <v>0</v>
      </c>
      <c r="BX179" s="4387"/>
      <c r="BY179" s="4387"/>
      <c r="BZ179" s="4387"/>
      <c r="CA179" s="4388"/>
      <c r="CC179" s="4389"/>
      <c r="CD179" s="4388"/>
    </row>
    <row r="180" s="4025" customFormat="1" ht="50" customHeight="1" spans="1:82">
      <c r="A180" s="3688">
        <v>45611</v>
      </c>
      <c r="B180" s="3664" t="s">
        <v>2285</v>
      </c>
      <c r="C180" s="3664" t="s">
        <v>2580</v>
      </c>
      <c r="D180" s="3691">
        <v>4500151398</v>
      </c>
      <c r="E180" s="3664" t="s">
        <v>3330</v>
      </c>
      <c r="F180" s="3691" t="s">
        <v>3331</v>
      </c>
      <c r="G180" s="3664" t="s">
        <v>2577</v>
      </c>
      <c r="H180" s="3664" t="s">
        <v>2578</v>
      </c>
      <c r="I180" s="3691">
        <v>1500</v>
      </c>
      <c r="J180" s="3691">
        <v>0</v>
      </c>
      <c r="K180" s="3691">
        <v>12</v>
      </c>
      <c r="L180" s="3691">
        <f t="shared" si="60"/>
        <v>125</v>
      </c>
      <c r="M180" s="3659">
        <v>45750</v>
      </c>
      <c r="N180" s="3659">
        <v>45747</v>
      </c>
      <c r="O180" s="4085"/>
      <c r="P180" s="3682" t="s">
        <v>82</v>
      </c>
      <c r="Q180" s="3682"/>
      <c r="R180" s="4083"/>
      <c r="S180" s="4083"/>
      <c r="T180" s="4083"/>
      <c r="U180" s="3645" t="s">
        <v>3266</v>
      </c>
      <c r="V180" s="3657" t="s">
        <v>3332</v>
      </c>
      <c r="W180" s="3657"/>
      <c r="X180" s="3657" t="s">
        <v>3333</v>
      </c>
      <c r="Y180" s="3657"/>
      <c r="Z180" s="3661" t="s">
        <v>355</v>
      </c>
      <c r="AA180" s="3620" t="s">
        <v>3334</v>
      </c>
      <c r="AB180" s="3691" t="s">
        <v>357</v>
      </c>
      <c r="AC180" s="3691">
        <v>2.1329</v>
      </c>
      <c r="AD180" s="3691">
        <f t="shared" ref="AD180:AD196" si="84">AC180*I180</f>
        <v>3199.35</v>
      </c>
      <c r="AE180" s="3645" t="s">
        <v>3335</v>
      </c>
      <c r="AF180" s="3664" t="s">
        <v>2577</v>
      </c>
      <c r="AG180" s="3645" t="s">
        <v>416</v>
      </c>
      <c r="AH180" s="905"/>
      <c r="AI180" s="3691">
        <f t="shared" si="83"/>
        <v>1500</v>
      </c>
      <c r="AJ180" s="3691"/>
      <c r="AK180" s="905"/>
      <c r="AL180" s="3664"/>
      <c r="AM180" s="3664"/>
      <c r="AN180" s="3691"/>
      <c r="AO180" s="3691">
        <f t="shared" si="82"/>
        <v>1500</v>
      </c>
      <c r="AP180" s="3691"/>
      <c r="AQ180" s="4089"/>
      <c r="AR180" s="907"/>
      <c r="AS180" s="4089">
        <f t="shared" si="79"/>
        <v>1500</v>
      </c>
      <c r="AT180" s="907"/>
      <c r="AU180" s="4089"/>
      <c r="AV180" s="4089">
        <f>I180/6</f>
        <v>250</v>
      </c>
      <c r="AW180" s="4089"/>
      <c r="AX180" s="4089"/>
      <c r="AY180" s="4089"/>
      <c r="AZ180" s="4089"/>
      <c r="BA180" s="4089"/>
      <c r="BB180" s="4089"/>
      <c r="BC180" s="4089"/>
      <c r="BD180" s="4089"/>
      <c r="BE180" s="4089"/>
      <c r="BF180" s="4089" t="s">
        <v>89</v>
      </c>
      <c r="BG180" s="4089"/>
      <c r="BH180" s="4089">
        <f t="shared" si="70"/>
        <v>250</v>
      </c>
      <c r="BI180" s="4089">
        <f t="shared" si="71"/>
        <v>250</v>
      </c>
      <c r="BJ180" s="4089">
        <f t="shared" si="72"/>
        <v>250</v>
      </c>
      <c r="BK180" s="4089">
        <f t="shared" si="73"/>
        <v>250</v>
      </c>
      <c r="BL180" s="4089">
        <f t="shared" si="74"/>
        <v>250</v>
      </c>
      <c r="BM180" s="4089">
        <f t="shared" si="75"/>
        <v>200</v>
      </c>
      <c r="BN180" s="4089">
        <f t="shared" si="76"/>
        <v>50</v>
      </c>
      <c r="BO180" s="4382"/>
      <c r="BP180" s="4382"/>
      <c r="BQ180" s="4382"/>
      <c r="BR180" s="4382"/>
      <c r="BS180" s="4382"/>
      <c r="BT180" s="4383"/>
      <c r="BU180" s="4384"/>
      <c r="BV180" s="4385">
        <f t="shared" si="81"/>
        <v>1500</v>
      </c>
      <c r="BW180" s="4386">
        <f t="shared" si="63"/>
        <v>0</v>
      </c>
      <c r="BX180" s="4387"/>
      <c r="BY180" s="4387"/>
      <c r="BZ180" s="4387"/>
      <c r="CA180" s="4388"/>
      <c r="CC180" s="4389"/>
      <c r="CD180" s="4388"/>
    </row>
    <row r="181" s="4025" customFormat="1" ht="50" customHeight="1" spans="1:82">
      <c r="A181" s="3688">
        <v>45611</v>
      </c>
      <c r="B181" s="3664" t="s">
        <v>2285</v>
      </c>
      <c r="C181" s="3664" t="s">
        <v>2580</v>
      </c>
      <c r="D181" s="3691">
        <v>4500151398</v>
      </c>
      <c r="E181" s="3664" t="s">
        <v>3336</v>
      </c>
      <c r="F181" s="3691" t="s">
        <v>3337</v>
      </c>
      <c r="G181" s="3664" t="s">
        <v>2577</v>
      </c>
      <c r="H181" s="3664" t="s">
        <v>2578</v>
      </c>
      <c r="I181" s="3691">
        <v>576</v>
      </c>
      <c r="J181" s="3691">
        <v>0</v>
      </c>
      <c r="K181" s="3691">
        <v>12</v>
      </c>
      <c r="L181" s="3691">
        <f t="shared" si="60"/>
        <v>48</v>
      </c>
      <c r="M181" s="3659">
        <v>45750</v>
      </c>
      <c r="N181" s="3659">
        <v>45747</v>
      </c>
      <c r="O181" s="4085"/>
      <c r="P181" s="3682" t="s">
        <v>82</v>
      </c>
      <c r="Q181" s="3682"/>
      <c r="R181" s="4083"/>
      <c r="S181" s="4083"/>
      <c r="T181" s="4083"/>
      <c r="U181" s="3645" t="s">
        <v>989</v>
      </c>
      <c r="V181" s="3657" t="s">
        <v>3332</v>
      </c>
      <c r="W181" s="3657"/>
      <c r="X181" s="3657" t="s">
        <v>3333</v>
      </c>
      <c r="Y181" s="3657"/>
      <c r="Z181" s="3661" t="s">
        <v>355</v>
      </c>
      <c r="AA181" s="3620" t="s">
        <v>3334</v>
      </c>
      <c r="AB181" s="3691" t="s">
        <v>357</v>
      </c>
      <c r="AC181" s="3691">
        <v>2.1329</v>
      </c>
      <c r="AD181" s="3691">
        <f t="shared" si="84"/>
        <v>1228.5504</v>
      </c>
      <c r="AE181" s="3645" t="s">
        <v>3335</v>
      </c>
      <c r="AF181" s="3664" t="s">
        <v>2577</v>
      </c>
      <c r="AG181" s="3645" t="s">
        <v>416</v>
      </c>
      <c r="AH181" s="905"/>
      <c r="AI181" s="3691">
        <f t="shared" si="83"/>
        <v>576</v>
      </c>
      <c r="AJ181" s="3691"/>
      <c r="AK181" s="905"/>
      <c r="AL181" s="3664"/>
      <c r="AM181" s="3664"/>
      <c r="AN181" s="3691"/>
      <c r="AO181" s="3691">
        <f t="shared" si="82"/>
        <v>576</v>
      </c>
      <c r="AP181" s="3691"/>
      <c r="AQ181" s="4089"/>
      <c r="AR181" s="907"/>
      <c r="AS181" s="4089">
        <f t="shared" si="79"/>
        <v>576</v>
      </c>
      <c r="AT181" s="907"/>
      <c r="AU181" s="4089"/>
      <c r="AV181" s="4089">
        <f>I181/6</f>
        <v>96</v>
      </c>
      <c r="AW181" s="4089"/>
      <c r="AX181" s="4089"/>
      <c r="AY181" s="4089"/>
      <c r="AZ181" s="4089"/>
      <c r="BA181" s="4089"/>
      <c r="BB181" s="4089"/>
      <c r="BC181" s="4089"/>
      <c r="BD181" s="4089"/>
      <c r="BE181" s="4089"/>
      <c r="BF181" s="4089" t="s">
        <v>89</v>
      </c>
      <c r="BG181" s="4089"/>
      <c r="BH181" s="4089">
        <f t="shared" si="70"/>
        <v>96</v>
      </c>
      <c r="BI181" s="4089">
        <f t="shared" si="71"/>
        <v>96</v>
      </c>
      <c r="BJ181" s="4089">
        <f t="shared" si="72"/>
        <v>96</v>
      </c>
      <c r="BK181" s="4089">
        <f t="shared" si="73"/>
        <v>96</v>
      </c>
      <c r="BL181" s="4089">
        <f t="shared" si="74"/>
        <v>96</v>
      </c>
      <c r="BM181" s="4089">
        <f t="shared" si="75"/>
        <v>76.8</v>
      </c>
      <c r="BN181" s="4089">
        <f t="shared" si="76"/>
        <v>19.2</v>
      </c>
      <c r="BO181" s="4382"/>
      <c r="BP181" s="4382"/>
      <c r="BQ181" s="4382"/>
      <c r="BR181" s="4382"/>
      <c r="BS181" s="4382"/>
      <c r="BT181" s="4383"/>
      <c r="BU181" s="4384"/>
      <c r="BV181" s="4385">
        <f t="shared" si="81"/>
        <v>576</v>
      </c>
      <c r="BW181" s="4386">
        <f t="shared" si="63"/>
        <v>0</v>
      </c>
      <c r="BX181" s="4387"/>
      <c r="BY181" s="4387"/>
      <c r="BZ181" s="4387"/>
      <c r="CA181" s="4388"/>
      <c r="CC181" s="4389"/>
      <c r="CD181" s="4388"/>
    </row>
    <row r="182" s="4025" customFormat="1" ht="50" customHeight="1" spans="1:82">
      <c r="A182" s="3688">
        <v>45715</v>
      </c>
      <c r="B182" s="3689" t="s">
        <v>505</v>
      </c>
      <c r="C182" s="3664" t="s">
        <v>506</v>
      </c>
      <c r="D182" s="3690">
        <v>4500158785</v>
      </c>
      <c r="E182" s="3664">
        <v>20661141</v>
      </c>
      <c r="F182" s="3690" t="s">
        <v>3338</v>
      </c>
      <c r="G182" s="3664" t="s">
        <v>2577</v>
      </c>
      <c r="H182" s="3664" t="s">
        <v>2591</v>
      </c>
      <c r="I182" s="3691">
        <v>1368</v>
      </c>
      <c r="J182" s="3691">
        <v>0</v>
      </c>
      <c r="K182" s="3691">
        <v>12</v>
      </c>
      <c r="L182" s="3691">
        <f t="shared" si="60"/>
        <v>114</v>
      </c>
      <c r="M182" s="3659">
        <v>45754</v>
      </c>
      <c r="N182" s="3659">
        <v>45750</v>
      </c>
      <c r="O182" s="4085"/>
      <c r="P182" s="3682" t="s">
        <v>82</v>
      </c>
      <c r="Q182" s="3682"/>
      <c r="R182" s="4083"/>
      <c r="S182" s="4083"/>
      <c r="T182" s="4083"/>
      <c r="U182" s="3645" t="s">
        <v>973</v>
      </c>
      <c r="V182" s="3649" t="s">
        <v>974</v>
      </c>
      <c r="W182" s="3657"/>
      <c r="X182" s="3649" t="s">
        <v>975</v>
      </c>
      <c r="Y182" s="3657"/>
      <c r="Z182" s="3661"/>
      <c r="AA182" s="3620" t="s">
        <v>3236</v>
      </c>
      <c r="AB182" s="3691" t="s">
        <v>513</v>
      </c>
      <c r="AC182" s="4087">
        <v>2.2937</v>
      </c>
      <c r="AD182" s="3691">
        <f t="shared" si="84"/>
        <v>3137.7816</v>
      </c>
      <c r="AE182" s="3645" t="s">
        <v>979</v>
      </c>
      <c r="AF182" s="3664" t="s">
        <v>2577</v>
      </c>
      <c r="AG182" s="3645" t="s">
        <v>416</v>
      </c>
      <c r="AH182" s="905"/>
      <c r="AI182" s="3664">
        <f t="shared" si="83"/>
        <v>1368</v>
      </c>
      <c r="AJ182" s="3664"/>
      <c r="AK182" s="905"/>
      <c r="AL182" s="3664"/>
      <c r="AM182" s="3664"/>
      <c r="AN182" s="3691"/>
      <c r="AO182" s="4089">
        <f t="shared" si="82"/>
        <v>1368</v>
      </c>
      <c r="AP182" s="4089"/>
      <c r="AQ182" s="4089"/>
      <c r="AR182" s="907"/>
      <c r="AS182" s="4089">
        <f t="shared" si="79"/>
        <v>1368</v>
      </c>
      <c r="AT182" s="907"/>
      <c r="AU182" s="4089"/>
      <c r="AV182" s="4089">
        <f>I182/6</f>
        <v>228</v>
      </c>
      <c r="AW182" s="4089"/>
      <c r="AX182" s="4089"/>
      <c r="AY182" s="4089"/>
      <c r="AZ182" s="4089"/>
      <c r="BA182" s="4089"/>
      <c r="BB182" s="4089"/>
      <c r="BC182" s="4089"/>
      <c r="BD182" s="4089"/>
      <c r="BE182" s="4089"/>
      <c r="BF182" s="4089" t="s">
        <v>89</v>
      </c>
      <c r="BG182" s="4089"/>
      <c r="BH182" s="4089">
        <f t="shared" si="70"/>
        <v>228</v>
      </c>
      <c r="BI182" s="4089">
        <f t="shared" si="71"/>
        <v>228</v>
      </c>
      <c r="BJ182" s="4089">
        <f t="shared" si="72"/>
        <v>228</v>
      </c>
      <c r="BK182" s="4403">
        <f t="shared" si="73"/>
        <v>228</v>
      </c>
      <c r="BL182" s="4385">
        <f t="shared" si="74"/>
        <v>228</v>
      </c>
      <c r="BM182" s="4403">
        <f t="shared" si="75"/>
        <v>182.4</v>
      </c>
      <c r="BN182" s="4089">
        <f t="shared" si="76"/>
        <v>45.6</v>
      </c>
      <c r="BO182" s="4409"/>
      <c r="BP182" s="4409"/>
      <c r="BQ182" s="4409"/>
      <c r="BR182" s="4409"/>
      <c r="BS182" s="4409"/>
      <c r="BT182" s="4409"/>
      <c r="BU182" s="4384"/>
      <c r="BV182" s="4385">
        <f t="shared" si="81"/>
        <v>1368</v>
      </c>
      <c r="BW182" s="4386">
        <f t="shared" si="63"/>
        <v>0</v>
      </c>
      <c r="BX182" s="4387"/>
      <c r="BY182" s="4387"/>
      <c r="BZ182" s="4387"/>
      <c r="CA182" s="4388"/>
      <c r="CC182" s="4389"/>
      <c r="CD182" s="4388"/>
    </row>
    <row r="183" s="4025" customFormat="1" ht="50" customHeight="1" spans="1:82">
      <c r="A183" s="3688">
        <v>45715</v>
      </c>
      <c r="B183" s="3689" t="s">
        <v>839</v>
      </c>
      <c r="C183" s="3664" t="s">
        <v>840</v>
      </c>
      <c r="D183" s="3690">
        <v>4500158787</v>
      </c>
      <c r="E183" s="3664">
        <v>20661142</v>
      </c>
      <c r="F183" s="3690" t="s">
        <v>3339</v>
      </c>
      <c r="G183" s="3664" t="s">
        <v>2577</v>
      </c>
      <c r="H183" s="3664" t="s">
        <v>2591</v>
      </c>
      <c r="I183" s="3691">
        <v>132</v>
      </c>
      <c r="J183" s="3691">
        <v>0</v>
      </c>
      <c r="K183" s="3691">
        <v>12</v>
      </c>
      <c r="L183" s="3691">
        <f t="shared" si="60"/>
        <v>11</v>
      </c>
      <c r="M183" s="3659">
        <v>45754</v>
      </c>
      <c r="N183" s="3659">
        <v>45750</v>
      </c>
      <c r="O183" s="4085"/>
      <c r="P183" s="3682" t="s">
        <v>82</v>
      </c>
      <c r="Q183" s="3682"/>
      <c r="R183" s="4083"/>
      <c r="S183" s="4083"/>
      <c r="T183" s="4083"/>
      <c r="U183" s="3645" t="s">
        <v>973</v>
      </c>
      <c r="V183" s="3649" t="s">
        <v>974</v>
      </c>
      <c r="W183" s="3657"/>
      <c r="X183" s="3649" t="s">
        <v>975</v>
      </c>
      <c r="Y183" s="3657"/>
      <c r="Z183" s="3661"/>
      <c r="AA183" s="3620" t="s">
        <v>3236</v>
      </c>
      <c r="AB183" s="3691" t="s">
        <v>513</v>
      </c>
      <c r="AC183" s="4087">
        <v>2.2984</v>
      </c>
      <c r="AD183" s="3691">
        <f t="shared" si="84"/>
        <v>303.3888</v>
      </c>
      <c r="AE183" s="3645" t="s">
        <v>976</v>
      </c>
      <c r="AF183" s="3664" t="s">
        <v>2577</v>
      </c>
      <c r="AG183" s="3645" t="s">
        <v>416</v>
      </c>
      <c r="AH183" s="905"/>
      <c r="AI183" s="3664">
        <f t="shared" si="83"/>
        <v>132</v>
      </c>
      <c r="AJ183" s="3664"/>
      <c r="AK183" s="905"/>
      <c r="AL183" s="3664"/>
      <c r="AM183" s="3664"/>
      <c r="AN183" s="3691"/>
      <c r="AO183" s="4089">
        <f t="shared" si="82"/>
        <v>132</v>
      </c>
      <c r="AP183" s="4089"/>
      <c r="AQ183" s="4089"/>
      <c r="AR183" s="907"/>
      <c r="AS183" s="4089">
        <f t="shared" si="79"/>
        <v>132</v>
      </c>
      <c r="AT183" s="907"/>
      <c r="AU183" s="4089"/>
      <c r="AV183" s="4089">
        <f>I183/6</f>
        <v>22</v>
      </c>
      <c r="AW183" s="4089"/>
      <c r="AX183" s="4089"/>
      <c r="AY183" s="4089"/>
      <c r="AZ183" s="4089"/>
      <c r="BA183" s="4089"/>
      <c r="BB183" s="4089"/>
      <c r="BC183" s="4089"/>
      <c r="BD183" s="4089"/>
      <c r="BE183" s="4089"/>
      <c r="BF183" s="4089" t="s">
        <v>89</v>
      </c>
      <c r="BG183" s="4089"/>
      <c r="BH183" s="4089">
        <f t="shared" si="70"/>
        <v>22</v>
      </c>
      <c r="BI183" s="4089">
        <f t="shared" si="71"/>
        <v>22</v>
      </c>
      <c r="BJ183" s="4089">
        <f t="shared" si="72"/>
        <v>22</v>
      </c>
      <c r="BK183" s="4403">
        <f t="shared" si="73"/>
        <v>22</v>
      </c>
      <c r="BL183" s="4385">
        <f t="shared" si="74"/>
        <v>22</v>
      </c>
      <c r="BM183" s="4403">
        <f t="shared" si="75"/>
        <v>17.6</v>
      </c>
      <c r="BN183" s="4089">
        <f t="shared" si="76"/>
        <v>4.4</v>
      </c>
      <c r="BO183" s="4409"/>
      <c r="BP183" s="4409"/>
      <c r="BQ183" s="4409"/>
      <c r="BR183" s="4409"/>
      <c r="BS183" s="4409"/>
      <c r="BT183" s="4409"/>
      <c r="BU183" s="4384"/>
      <c r="BV183" s="4385">
        <f t="shared" si="81"/>
        <v>132</v>
      </c>
      <c r="BW183" s="4386">
        <f t="shared" si="63"/>
        <v>0</v>
      </c>
      <c r="BX183" s="4387"/>
      <c r="BY183" s="4387"/>
      <c r="BZ183" s="4387"/>
      <c r="CA183" s="4388"/>
      <c r="CC183" s="4389"/>
      <c r="CD183" s="4388"/>
    </row>
    <row r="184" s="4025" customFormat="1" ht="50" customHeight="1" spans="1:82">
      <c r="A184" s="3688">
        <v>45712</v>
      </c>
      <c r="B184" s="3689" t="s">
        <v>980</v>
      </c>
      <c r="C184" s="3664" t="s">
        <v>351</v>
      </c>
      <c r="D184" s="3690">
        <v>4500158125</v>
      </c>
      <c r="E184" s="3664"/>
      <c r="F184" s="3690" t="s">
        <v>3340</v>
      </c>
      <c r="G184" s="3664" t="s">
        <v>2627</v>
      </c>
      <c r="H184" s="3664" t="s">
        <v>2591</v>
      </c>
      <c r="I184" s="3691">
        <v>504</v>
      </c>
      <c r="J184" s="3691">
        <v>0</v>
      </c>
      <c r="K184" s="3691">
        <v>24</v>
      </c>
      <c r="L184" s="3691">
        <f t="shared" si="60"/>
        <v>21</v>
      </c>
      <c r="M184" s="3659">
        <v>45756</v>
      </c>
      <c r="N184" s="3659">
        <v>45752</v>
      </c>
      <c r="O184" s="4085"/>
      <c r="P184" s="3682" t="s">
        <v>82</v>
      </c>
      <c r="Q184" s="3682"/>
      <c r="R184" s="4083"/>
      <c r="S184" s="4083"/>
      <c r="T184" s="4083"/>
      <c r="U184" s="3645" t="s">
        <v>982</v>
      </c>
      <c r="V184" s="3657" t="s">
        <v>936</v>
      </c>
      <c r="W184" s="3657"/>
      <c r="X184" s="3657" t="s">
        <v>983</v>
      </c>
      <c r="Y184" s="3657"/>
      <c r="Z184" s="3661"/>
      <c r="AA184" s="3620" t="s">
        <v>3341</v>
      </c>
      <c r="AB184" s="3691" t="s">
        <v>357</v>
      </c>
      <c r="AC184" s="4087">
        <v>2.084</v>
      </c>
      <c r="AD184" s="3691">
        <f t="shared" si="84"/>
        <v>1050.336</v>
      </c>
      <c r="AE184" s="3645" t="s">
        <v>985</v>
      </c>
      <c r="AF184" s="3664" t="s">
        <v>2627</v>
      </c>
      <c r="AG184" s="3645" t="s">
        <v>416</v>
      </c>
      <c r="AH184" s="905"/>
      <c r="AI184" s="3691">
        <f t="shared" si="83"/>
        <v>504</v>
      </c>
      <c r="AJ184" s="3691"/>
      <c r="AK184" s="905"/>
      <c r="AL184" s="3664"/>
      <c r="AM184" s="3664"/>
      <c r="AN184" s="3691"/>
      <c r="AO184" s="3691">
        <f t="shared" si="82"/>
        <v>504</v>
      </c>
      <c r="AP184" s="3691"/>
      <c r="AQ184" s="4089"/>
      <c r="AR184" s="907"/>
      <c r="AS184" s="4089">
        <f t="shared" si="79"/>
        <v>504</v>
      </c>
      <c r="AT184" s="907"/>
      <c r="AU184" s="4089"/>
      <c r="AV184" s="4089"/>
      <c r="AW184" s="4089"/>
      <c r="AX184" s="4089"/>
      <c r="AY184" s="4089"/>
      <c r="AZ184" s="4089"/>
      <c r="BA184" s="4089"/>
      <c r="BB184" s="4089"/>
      <c r="BC184" s="4089"/>
      <c r="BD184" s="4089"/>
      <c r="BE184" s="4089"/>
      <c r="BF184" s="4089" t="s">
        <v>89</v>
      </c>
      <c r="BG184" s="4089"/>
      <c r="BH184" s="4089">
        <f t="shared" si="70"/>
        <v>84</v>
      </c>
      <c r="BI184" s="4089">
        <f t="shared" si="71"/>
        <v>84</v>
      </c>
      <c r="BJ184" s="4089">
        <f t="shared" si="72"/>
        <v>84</v>
      </c>
      <c r="BK184" s="4403">
        <f t="shared" si="73"/>
        <v>84</v>
      </c>
      <c r="BL184" s="4385">
        <f t="shared" si="74"/>
        <v>84</v>
      </c>
      <c r="BM184" s="4403">
        <f t="shared" si="75"/>
        <v>67.2</v>
      </c>
      <c r="BN184" s="4089">
        <f t="shared" si="76"/>
        <v>16.8</v>
      </c>
      <c r="BO184" s="4382"/>
      <c r="BP184" s="4382"/>
      <c r="BQ184" s="4382"/>
      <c r="BR184" s="4382"/>
      <c r="BS184" s="4382"/>
      <c r="BT184" s="4383"/>
      <c r="BU184" s="4384"/>
      <c r="BV184" s="4385">
        <f t="shared" si="81"/>
        <v>504</v>
      </c>
      <c r="BW184" s="4386">
        <f t="shared" si="63"/>
        <v>0</v>
      </c>
      <c r="BX184" s="4387"/>
      <c r="BY184" s="4387"/>
      <c r="BZ184" s="4387"/>
      <c r="CA184" s="4391"/>
      <c r="CC184" s="4392"/>
      <c r="CD184" s="4391"/>
    </row>
    <row r="185" s="4025" customFormat="1" ht="50" customHeight="1" spans="1:82">
      <c r="A185" s="3688">
        <v>45726</v>
      </c>
      <c r="B185" s="3689" t="s">
        <v>2285</v>
      </c>
      <c r="C185" s="3664" t="s">
        <v>351</v>
      </c>
      <c r="D185" s="3690">
        <v>4500159461</v>
      </c>
      <c r="E185" s="3664" t="s">
        <v>3330</v>
      </c>
      <c r="F185" s="3690" t="s">
        <v>3342</v>
      </c>
      <c r="G185" s="3664" t="s">
        <v>3343</v>
      </c>
      <c r="H185" s="3664" t="s">
        <v>3344</v>
      </c>
      <c r="I185" s="3691">
        <v>4318</v>
      </c>
      <c r="J185" s="3691">
        <v>0</v>
      </c>
      <c r="K185" s="3691">
        <v>1</v>
      </c>
      <c r="L185" s="3691">
        <f t="shared" si="60"/>
        <v>4318</v>
      </c>
      <c r="M185" s="3659">
        <v>45756</v>
      </c>
      <c r="N185" s="3659">
        <v>45752</v>
      </c>
      <c r="O185" s="3664"/>
      <c r="P185" s="3682" t="s">
        <v>3345</v>
      </c>
      <c r="Q185" s="3682"/>
      <c r="R185" s="4083"/>
      <c r="S185" s="4083"/>
      <c r="T185" s="4083"/>
      <c r="U185" s="3645" t="s">
        <v>401</v>
      </c>
      <c r="V185" s="3657" t="s">
        <v>1124</v>
      </c>
      <c r="W185" s="3657"/>
      <c r="X185" s="3657" t="s">
        <v>1099</v>
      </c>
      <c r="Y185" s="3657"/>
      <c r="Z185" s="3661" t="s">
        <v>3346</v>
      </c>
      <c r="AA185" s="3620" t="s">
        <v>3347</v>
      </c>
      <c r="AB185" s="3691" t="s">
        <v>1199</v>
      </c>
      <c r="AC185" s="4087">
        <v>8.499</v>
      </c>
      <c r="AD185" s="3691">
        <f t="shared" si="84"/>
        <v>36698.682</v>
      </c>
      <c r="AE185" s="3645" t="s">
        <v>3348</v>
      </c>
      <c r="AF185" s="3664" t="s">
        <v>3349</v>
      </c>
      <c r="AG185" s="3645" t="s">
        <v>416</v>
      </c>
      <c r="AH185" s="875"/>
      <c r="AI185" s="3691">
        <f t="shared" si="83"/>
        <v>4318</v>
      </c>
      <c r="AJ185" s="3691"/>
      <c r="AK185" s="875"/>
      <c r="AL185" s="3664"/>
      <c r="AM185" s="3664"/>
      <c r="AN185" s="3691"/>
      <c r="AO185" s="3691">
        <f t="shared" si="82"/>
        <v>4318</v>
      </c>
      <c r="AP185" s="3691"/>
      <c r="AQ185" s="4089"/>
      <c r="AR185" s="877"/>
      <c r="AS185" s="4089">
        <f t="shared" si="79"/>
        <v>4318</v>
      </c>
      <c r="AT185" s="877"/>
      <c r="AU185" s="4089"/>
      <c r="AV185" s="4089"/>
      <c r="AW185" s="4089"/>
      <c r="AX185" s="4089"/>
      <c r="AY185" s="4089"/>
      <c r="AZ185" s="4089"/>
      <c r="BA185" s="4089"/>
      <c r="BB185" s="4089"/>
      <c r="BC185" s="4089">
        <f t="shared" ref="BC185:BC190" si="85">I185</f>
        <v>4318</v>
      </c>
      <c r="BD185" s="4089"/>
      <c r="BE185" s="4089"/>
      <c r="BF185" s="4089" t="s">
        <v>89</v>
      </c>
      <c r="BG185" s="4089"/>
      <c r="BH185" s="4089">
        <f t="shared" si="70"/>
        <v>719.666666666667</v>
      </c>
      <c r="BI185" s="4089">
        <f t="shared" si="71"/>
        <v>719.666666666667</v>
      </c>
      <c r="BJ185" s="4089">
        <f t="shared" si="72"/>
        <v>719.666666666667</v>
      </c>
      <c r="BK185" s="4403">
        <f t="shared" si="73"/>
        <v>719.666666666667</v>
      </c>
      <c r="BL185" s="4385">
        <f t="shared" si="74"/>
        <v>719.666666666667</v>
      </c>
      <c r="BM185" s="4403">
        <f t="shared" si="75"/>
        <v>575.733333333333</v>
      </c>
      <c r="BN185" s="4089">
        <f t="shared" si="76"/>
        <v>143.933333333333</v>
      </c>
      <c r="BO185" s="877"/>
      <c r="BP185" s="877"/>
      <c r="BQ185" s="877"/>
      <c r="BR185" s="877"/>
      <c r="BS185" s="877"/>
      <c r="BT185" s="991"/>
      <c r="BU185" s="992"/>
      <c r="BV185" s="4385">
        <f t="shared" si="81"/>
        <v>4318</v>
      </c>
      <c r="BW185" s="4386">
        <f t="shared" si="63"/>
        <v>0</v>
      </c>
      <c r="BX185" s="4387"/>
      <c r="BY185" s="4387"/>
      <c r="BZ185" s="4387"/>
      <c r="CA185" s="4391"/>
      <c r="CC185" s="4392"/>
      <c r="CD185" s="4391"/>
    </row>
    <row r="186" s="4025" customFormat="1" ht="50" customHeight="1" spans="1:82">
      <c r="A186" s="3688">
        <v>45726</v>
      </c>
      <c r="B186" s="3689" t="s">
        <v>2285</v>
      </c>
      <c r="C186" s="3664" t="s">
        <v>351</v>
      </c>
      <c r="D186" s="3690">
        <v>4500159461</v>
      </c>
      <c r="E186" s="3664" t="s">
        <v>3336</v>
      </c>
      <c r="F186" s="3690" t="s">
        <v>3350</v>
      </c>
      <c r="G186" s="3664" t="s">
        <v>3343</v>
      </c>
      <c r="H186" s="3664" t="s">
        <v>3344</v>
      </c>
      <c r="I186" s="3691">
        <v>1679</v>
      </c>
      <c r="J186" s="3691">
        <v>0</v>
      </c>
      <c r="K186" s="3691">
        <v>1</v>
      </c>
      <c r="L186" s="3691">
        <f t="shared" si="60"/>
        <v>1679</v>
      </c>
      <c r="M186" s="3659">
        <v>45756</v>
      </c>
      <c r="N186" s="3659">
        <v>45752</v>
      </c>
      <c r="O186" s="3664"/>
      <c r="P186" s="3682" t="s">
        <v>3345</v>
      </c>
      <c r="Q186" s="3682"/>
      <c r="R186" s="4083"/>
      <c r="S186" s="4083"/>
      <c r="T186" s="4083"/>
      <c r="U186" s="3645" t="s">
        <v>1062</v>
      </c>
      <c r="V186" s="3657" t="s">
        <v>1124</v>
      </c>
      <c r="W186" s="3657"/>
      <c r="X186" s="3649" t="s">
        <v>1099</v>
      </c>
      <c r="Y186" s="3657"/>
      <c r="Z186" s="3661" t="s">
        <v>3346</v>
      </c>
      <c r="AA186" s="3620" t="s">
        <v>3347</v>
      </c>
      <c r="AB186" s="3691" t="s">
        <v>1199</v>
      </c>
      <c r="AC186" s="4087">
        <v>8.499</v>
      </c>
      <c r="AD186" s="3691">
        <f t="shared" si="84"/>
        <v>14269.821</v>
      </c>
      <c r="AE186" s="3645" t="s">
        <v>3348</v>
      </c>
      <c r="AF186" s="3664" t="s">
        <v>3349</v>
      </c>
      <c r="AG186" s="3645" t="s">
        <v>416</v>
      </c>
      <c r="AH186" s="875"/>
      <c r="AI186" s="3691">
        <f t="shared" si="83"/>
        <v>1679</v>
      </c>
      <c r="AJ186" s="3691"/>
      <c r="AK186" s="875"/>
      <c r="AL186" s="3664"/>
      <c r="AM186" s="3664"/>
      <c r="AN186" s="3691"/>
      <c r="AO186" s="3691">
        <f t="shared" si="82"/>
        <v>1679</v>
      </c>
      <c r="AP186" s="3691"/>
      <c r="AQ186" s="4089"/>
      <c r="AR186" s="877"/>
      <c r="AS186" s="4089">
        <f t="shared" si="79"/>
        <v>1679</v>
      </c>
      <c r="AT186" s="877"/>
      <c r="AU186" s="4089"/>
      <c r="AV186" s="4089"/>
      <c r="AW186" s="4089"/>
      <c r="AX186" s="4089"/>
      <c r="AY186" s="4089"/>
      <c r="AZ186" s="4089"/>
      <c r="BA186" s="4089"/>
      <c r="BB186" s="4089"/>
      <c r="BC186" s="4089">
        <f t="shared" si="85"/>
        <v>1679</v>
      </c>
      <c r="BD186" s="4089"/>
      <c r="BE186" s="4089"/>
      <c r="BF186" s="4089" t="s">
        <v>89</v>
      </c>
      <c r="BG186" s="4089"/>
      <c r="BH186" s="4089">
        <f t="shared" si="70"/>
        <v>279.833333333333</v>
      </c>
      <c r="BI186" s="4089">
        <f t="shared" si="71"/>
        <v>279.833333333333</v>
      </c>
      <c r="BJ186" s="4089">
        <f t="shared" si="72"/>
        <v>279.833333333333</v>
      </c>
      <c r="BK186" s="4403">
        <f t="shared" si="73"/>
        <v>279.833333333333</v>
      </c>
      <c r="BL186" s="4385">
        <f t="shared" si="74"/>
        <v>279.833333333333</v>
      </c>
      <c r="BM186" s="4403">
        <f t="shared" si="75"/>
        <v>223.866666666667</v>
      </c>
      <c r="BN186" s="4089">
        <f t="shared" si="76"/>
        <v>55.9666666666667</v>
      </c>
      <c r="BO186" s="877"/>
      <c r="BP186" s="877"/>
      <c r="BQ186" s="877"/>
      <c r="BR186" s="877"/>
      <c r="BS186" s="877"/>
      <c r="BT186" s="991"/>
      <c r="BU186" s="992"/>
      <c r="BV186" s="4385">
        <f t="shared" si="81"/>
        <v>1679</v>
      </c>
      <c r="BW186" s="4386">
        <f t="shared" si="63"/>
        <v>0</v>
      </c>
      <c r="BX186" s="4387"/>
      <c r="BY186" s="4387"/>
      <c r="BZ186" s="4387"/>
      <c r="CA186" s="4391"/>
      <c r="CC186" s="4392"/>
      <c r="CD186" s="4391"/>
    </row>
    <row r="187" s="4025" customFormat="1" ht="50" customHeight="1" spans="1:82">
      <c r="A187" s="3688">
        <v>45726</v>
      </c>
      <c r="B187" s="3689" t="s">
        <v>2285</v>
      </c>
      <c r="C187" s="3664" t="s">
        <v>351</v>
      </c>
      <c r="D187" s="3690">
        <v>4500159461</v>
      </c>
      <c r="E187" s="3664" t="s">
        <v>3330</v>
      </c>
      <c r="F187" s="3690" t="s">
        <v>3351</v>
      </c>
      <c r="G187" s="3664" t="s">
        <v>3352</v>
      </c>
      <c r="H187" s="3664" t="s">
        <v>3353</v>
      </c>
      <c r="I187" s="3691">
        <v>8472</v>
      </c>
      <c r="J187" s="3691">
        <v>0</v>
      </c>
      <c r="K187" s="3691">
        <v>12</v>
      </c>
      <c r="L187" s="3691">
        <f t="shared" ref="L187:L241" si="86">I187/K187</f>
        <v>706</v>
      </c>
      <c r="M187" s="3659">
        <v>45756</v>
      </c>
      <c r="N187" s="3659">
        <v>45752</v>
      </c>
      <c r="O187" s="3664" t="s">
        <v>3354</v>
      </c>
      <c r="P187" s="3682" t="s">
        <v>82</v>
      </c>
      <c r="Q187" s="3682"/>
      <c r="R187" s="4083"/>
      <c r="S187" s="4083"/>
      <c r="T187" s="4083"/>
      <c r="U187" s="3645" t="s">
        <v>401</v>
      </c>
      <c r="V187" s="3657" t="s">
        <v>1124</v>
      </c>
      <c r="W187" s="3657"/>
      <c r="X187" s="3657" t="s">
        <v>1099</v>
      </c>
      <c r="Y187" s="3649"/>
      <c r="Z187" s="3661" t="s">
        <v>3346</v>
      </c>
      <c r="AA187" s="3620" t="s">
        <v>3355</v>
      </c>
      <c r="AB187" s="3691" t="s">
        <v>1199</v>
      </c>
      <c r="AC187" s="4087">
        <v>4.4796</v>
      </c>
      <c r="AD187" s="3691">
        <f t="shared" si="84"/>
        <v>37951.1712</v>
      </c>
      <c r="AE187" s="3645"/>
      <c r="AF187" s="3664" t="s">
        <v>3356</v>
      </c>
      <c r="AG187" s="3645" t="s">
        <v>416</v>
      </c>
      <c r="AH187" s="875"/>
      <c r="AI187" s="3691">
        <f t="shared" si="83"/>
        <v>8472</v>
      </c>
      <c r="AJ187" s="3691"/>
      <c r="AK187" s="875"/>
      <c r="AL187" s="3664"/>
      <c r="AM187" s="3664"/>
      <c r="AN187" s="3691"/>
      <c r="AO187" s="3691">
        <f t="shared" si="82"/>
        <v>8472</v>
      </c>
      <c r="AP187" s="3691"/>
      <c r="AQ187" s="4089"/>
      <c r="AR187" s="877"/>
      <c r="AS187" s="4089">
        <f t="shared" si="79"/>
        <v>8472</v>
      </c>
      <c r="AT187" s="877"/>
      <c r="AU187" s="4089"/>
      <c r="AV187" s="4089"/>
      <c r="AW187" s="4089"/>
      <c r="AX187" s="4089"/>
      <c r="AY187" s="4089"/>
      <c r="AZ187" s="4089"/>
      <c r="BA187" s="4089"/>
      <c r="BB187" s="4089"/>
      <c r="BC187" s="4089">
        <f t="shared" si="85"/>
        <v>8472</v>
      </c>
      <c r="BD187" s="4089"/>
      <c r="BE187" s="4089"/>
      <c r="BF187" s="4089" t="s">
        <v>89</v>
      </c>
      <c r="BG187" s="4089"/>
      <c r="BH187" s="4089">
        <f t="shared" si="70"/>
        <v>1412</v>
      </c>
      <c r="BI187" s="4089">
        <f t="shared" si="71"/>
        <v>1412</v>
      </c>
      <c r="BJ187" s="4089">
        <f t="shared" si="72"/>
        <v>1412</v>
      </c>
      <c r="BK187" s="4403">
        <f t="shared" si="73"/>
        <v>1412</v>
      </c>
      <c r="BL187" s="4385">
        <f t="shared" si="74"/>
        <v>1412</v>
      </c>
      <c r="BM187" s="4403">
        <f t="shared" si="75"/>
        <v>1129.6</v>
      </c>
      <c r="BN187" s="4089">
        <f t="shared" si="76"/>
        <v>282.4</v>
      </c>
      <c r="BO187" s="877"/>
      <c r="BP187" s="877"/>
      <c r="BQ187" s="877"/>
      <c r="BR187" s="877"/>
      <c r="BS187" s="877"/>
      <c r="BT187" s="991"/>
      <c r="BU187" s="992"/>
      <c r="BV187" s="4385">
        <f t="shared" si="81"/>
        <v>8472</v>
      </c>
      <c r="BW187" s="4386">
        <f t="shared" si="63"/>
        <v>0</v>
      </c>
      <c r="BX187" s="4387"/>
      <c r="BY187" s="4387"/>
      <c r="BZ187" s="4387"/>
      <c r="CA187" s="4391"/>
      <c r="CC187" s="4392"/>
      <c r="CD187" s="4391"/>
    </row>
    <row r="188" s="4025" customFormat="1" ht="50" customHeight="1" spans="1:82">
      <c r="A188" s="3688">
        <v>45726</v>
      </c>
      <c r="B188" s="3689" t="s">
        <v>2285</v>
      </c>
      <c r="C188" s="3664" t="s">
        <v>351</v>
      </c>
      <c r="D188" s="3690">
        <v>4500159461</v>
      </c>
      <c r="E188" s="3664" t="s">
        <v>3336</v>
      </c>
      <c r="F188" s="3690" t="s">
        <v>3357</v>
      </c>
      <c r="G188" s="3664" t="s">
        <v>3352</v>
      </c>
      <c r="H188" s="3664" t="s">
        <v>3353</v>
      </c>
      <c r="I188" s="3691">
        <v>3852</v>
      </c>
      <c r="J188" s="3691">
        <v>0</v>
      </c>
      <c r="K188" s="3691">
        <v>12</v>
      </c>
      <c r="L188" s="3691">
        <f t="shared" si="86"/>
        <v>321</v>
      </c>
      <c r="M188" s="3659">
        <v>45756</v>
      </c>
      <c r="N188" s="3659">
        <v>45752</v>
      </c>
      <c r="O188" s="3664" t="s">
        <v>3354</v>
      </c>
      <c r="P188" s="3682" t="s">
        <v>82</v>
      </c>
      <c r="Q188" s="3682"/>
      <c r="R188" s="4083"/>
      <c r="S188" s="4083"/>
      <c r="T188" s="4083"/>
      <c r="U188" s="3645" t="s">
        <v>401</v>
      </c>
      <c r="V188" s="3657" t="s">
        <v>1124</v>
      </c>
      <c r="W188" s="3657"/>
      <c r="X188" s="3657" t="s">
        <v>1099</v>
      </c>
      <c r="Y188" s="3649"/>
      <c r="Z188" s="3661" t="s">
        <v>3346</v>
      </c>
      <c r="AA188" s="3620" t="s">
        <v>3355</v>
      </c>
      <c r="AB188" s="3691" t="s">
        <v>1199</v>
      </c>
      <c r="AC188" s="4087">
        <v>4.4796</v>
      </c>
      <c r="AD188" s="3691">
        <f t="shared" si="84"/>
        <v>17255.4192</v>
      </c>
      <c r="AE188" s="3645" t="s">
        <v>3348</v>
      </c>
      <c r="AF188" s="3664" t="s">
        <v>3356</v>
      </c>
      <c r="AG188" s="3645" t="s">
        <v>416</v>
      </c>
      <c r="AH188" s="875"/>
      <c r="AI188" s="3691">
        <f t="shared" si="83"/>
        <v>3852</v>
      </c>
      <c r="AJ188" s="3691"/>
      <c r="AK188" s="875"/>
      <c r="AL188" s="3664"/>
      <c r="AM188" s="3664"/>
      <c r="AN188" s="3691"/>
      <c r="AO188" s="3691">
        <f t="shared" si="82"/>
        <v>3852</v>
      </c>
      <c r="AP188" s="3691"/>
      <c r="AQ188" s="4089"/>
      <c r="AR188" s="877"/>
      <c r="AS188" s="4089">
        <f t="shared" si="79"/>
        <v>3852</v>
      </c>
      <c r="AT188" s="877"/>
      <c r="AU188" s="4089"/>
      <c r="AV188" s="4089"/>
      <c r="AW188" s="4089"/>
      <c r="AX188" s="4089"/>
      <c r="AY188" s="4089"/>
      <c r="AZ188" s="4089"/>
      <c r="BA188" s="4089"/>
      <c r="BB188" s="4089"/>
      <c r="BC188" s="4089">
        <f t="shared" si="85"/>
        <v>3852</v>
      </c>
      <c r="BD188" s="4089"/>
      <c r="BE188" s="4089"/>
      <c r="BF188" s="4089" t="s">
        <v>89</v>
      </c>
      <c r="BG188" s="4089"/>
      <c r="BH188" s="4089">
        <f t="shared" si="70"/>
        <v>642</v>
      </c>
      <c r="BI188" s="4089">
        <f t="shared" si="71"/>
        <v>642</v>
      </c>
      <c r="BJ188" s="4089">
        <f t="shared" si="72"/>
        <v>642</v>
      </c>
      <c r="BK188" s="4403">
        <f t="shared" si="73"/>
        <v>642</v>
      </c>
      <c r="BL188" s="4385">
        <f t="shared" si="74"/>
        <v>642</v>
      </c>
      <c r="BM188" s="4403">
        <f t="shared" si="75"/>
        <v>513.6</v>
      </c>
      <c r="BN188" s="4089">
        <f t="shared" si="76"/>
        <v>128.4</v>
      </c>
      <c r="BO188" s="877"/>
      <c r="BP188" s="877"/>
      <c r="BQ188" s="877"/>
      <c r="BR188" s="877"/>
      <c r="BS188" s="877"/>
      <c r="BT188" s="991"/>
      <c r="BU188" s="992"/>
      <c r="BV188" s="4385">
        <f t="shared" si="81"/>
        <v>3852</v>
      </c>
      <c r="BW188" s="4386">
        <f t="shared" si="63"/>
        <v>0</v>
      </c>
      <c r="BX188" s="4387"/>
      <c r="BY188" s="4387"/>
      <c r="BZ188" s="4387"/>
      <c r="CA188" s="4391"/>
      <c r="CC188" s="4392"/>
      <c r="CD188" s="4391"/>
    </row>
    <row r="189" s="4025" customFormat="1" ht="50" customHeight="1" spans="1:82">
      <c r="A189" s="3688">
        <v>45726</v>
      </c>
      <c r="B189" s="3689" t="s">
        <v>2285</v>
      </c>
      <c r="C189" s="3664" t="s">
        <v>351</v>
      </c>
      <c r="D189" s="3690">
        <v>4500159461</v>
      </c>
      <c r="E189" s="3664" t="s">
        <v>3330</v>
      </c>
      <c r="F189" s="3690" t="s">
        <v>3358</v>
      </c>
      <c r="G189" s="3664" t="s">
        <v>3352</v>
      </c>
      <c r="H189" s="3664" t="s">
        <v>3353</v>
      </c>
      <c r="I189" s="3691">
        <v>4872</v>
      </c>
      <c r="J189" s="3691">
        <v>0</v>
      </c>
      <c r="K189" s="3691">
        <v>12</v>
      </c>
      <c r="L189" s="3691">
        <f t="shared" si="86"/>
        <v>406</v>
      </c>
      <c r="M189" s="3659">
        <v>45756</v>
      </c>
      <c r="N189" s="3659">
        <v>45752</v>
      </c>
      <c r="O189" s="3664" t="s">
        <v>3354</v>
      </c>
      <c r="P189" s="3682" t="s">
        <v>82</v>
      </c>
      <c r="Q189" s="3682"/>
      <c r="R189" s="4083"/>
      <c r="S189" s="4083"/>
      <c r="T189" s="4083"/>
      <c r="U189" s="3645" t="s">
        <v>401</v>
      </c>
      <c r="V189" s="3649" t="s">
        <v>1124</v>
      </c>
      <c r="W189" s="3649"/>
      <c r="X189" s="3649" t="s">
        <v>1099</v>
      </c>
      <c r="Y189" s="3657"/>
      <c r="Z189" s="3661" t="s">
        <v>3346</v>
      </c>
      <c r="AA189" s="3620" t="s">
        <v>3355</v>
      </c>
      <c r="AB189" s="3691" t="s">
        <v>1199</v>
      </c>
      <c r="AC189" s="4087">
        <v>4.4796</v>
      </c>
      <c r="AD189" s="3691">
        <f t="shared" si="84"/>
        <v>21824.6112</v>
      </c>
      <c r="AE189" s="3645" t="s">
        <v>3359</v>
      </c>
      <c r="AF189" s="3664" t="s">
        <v>3356</v>
      </c>
      <c r="AG189" s="3645" t="s">
        <v>416</v>
      </c>
      <c r="AH189" s="984"/>
      <c r="AI189" s="3691">
        <f t="shared" si="83"/>
        <v>4872</v>
      </c>
      <c r="AJ189" s="3691"/>
      <c r="AK189" s="984"/>
      <c r="AL189" s="3664"/>
      <c r="AM189" s="3664"/>
      <c r="AN189" s="3691"/>
      <c r="AO189" s="3691">
        <f t="shared" si="82"/>
        <v>4872</v>
      </c>
      <c r="AP189" s="3691"/>
      <c r="AQ189" s="4089"/>
      <c r="AR189" s="877"/>
      <c r="AS189" s="4089">
        <f t="shared" si="79"/>
        <v>4872</v>
      </c>
      <c r="AT189" s="877"/>
      <c r="AU189" s="4089"/>
      <c r="AV189" s="4089"/>
      <c r="AW189" s="4089"/>
      <c r="AX189" s="4089"/>
      <c r="AY189" s="4089"/>
      <c r="AZ189" s="4089"/>
      <c r="BA189" s="4089"/>
      <c r="BB189" s="4089"/>
      <c r="BC189" s="4089">
        <f t="shared" si="85"/>
        <v>4872</v>
      </c>
      <c r="BD189" s="4089"/>
      <c r="BE189" s="4089"/>
      <c r="BF189" s="4089" t="s">
        <v>89</v>
      </c>
      <c r="BG189" s="4089"/>
      <c r="BH189" s="4089">
        <f t="shared" si="70"/>
        <v>812</v>
      </c>
      <c r="BI189" s="4089">
        <f t="shared" si="71"/>
        <v>812</v>
      </c>
      <c r="BJ189" s="4089">
        <f t="shared" si="72"/>
        <v>812</v>
      </c>
      <c r="BK189" s="4403">
        <f t="shared" si="73"/>
        <v>812</v>
      </c>
      <c r="BL189" s="4385">
        <f t="shared" si="74"/>
        <v>812</v>
      </c>
      <c r="BM189" s="4403">
        <f t="shared" si="75"/>
        <v>649.6</v>
      </c>
      <c r="BN189" s="4089">
        <f t="shared" si="76"/>
        <v>162.4</v>
      </c>
      <c r="BO189" s="877"/>
      <c r="BP189" s="877"/>
      <c r="BQ189" s="877"/>
      <c r="BR189" s="877"/>
      <c r="BS189" s="877"/>
      <c r="BT189" s="991"/>
      <c r="BU189" s="992"/>
      <c r="BV189" s="4385">
        <f t="shared" si="81"/>
        <v>4872</v>
      </c>
      <c r="BW189" s="4386">
        <f t="shared" si="63"/>
        <v>0</v>
      </c>
      <c r="BX189" s="4387"/>
      <c r="BY189" s="4387"/>
      <c r="BZ189" s="4387"/>
      <c r="CA189" s="4391"/>
      <c r="CC189" s="4392"/>
      <c r="CD189" s="4391"/>
    </row>
    <row r="190" s="4025" customFormat="1" ht="50" customHeight="1" spans="1:82">
      <c r="A190" s="3688">
        <v>45726</v>
      </c>
      <c r="B190" s="3689" t="s">
        <v>2285</v>
      </c>
      <c r="C190" s="3664" t="s">
        <v>351</v>
      </c>
      <c r="D190" s="3690">
        <v>4500159461</v>
      </c>
      <c r="E190" s="3664" t="s">
        <v>3336</v>
      </c>
      <c r="F190" s="3690" t="s">
        <v>3360</v>
      </c>
      <c r="G190" s="3664" t="s">
        <v>3352</v>
      </c>
      <c r="H190" s="3664" t="s">
        <v>3353</v>
      </c>
      <c r="I190" s="3691">
        <v>1344</v>
      </c>
      <c r="J190" s="3691">
        <v>0</v>
      </c>
      <c r="K190" s="3691">
        <v>12</v>
      </c>
      <c r="L190" s="3691">
        <f t="shared" si="86"/>
        <v>112</v>
      </c>
      <c r="M190" s="3659">
        <v>45756</v>
      </c>
      <c r="N190" s="3659">
        <v>45752</v>
      </c>
      <c r="O190" s="3664" t="s">
        <v>3354</v>
      </c>
      <c r="P190" s="3682" t="s">
        <v>82</v>
      </c>
      <c r="Q190" s="3682"/>
      <c r="R190" s="4083"/>
      <c r="S190" s="4083"/>
      <c r="T190" s="4083"/>
      <c r="U190" s="3645" t="s">
        <v>1004</v>
      </c>
      <c r="V190" s="3657" t="s">
        <v>1124</v>
      </c>
      <c r="W190" s="3657"/>
      <c r="X190" s="3657" t="s">
        <v>1099</v>
      </c>
      <c r="Y190" s="3657"/>
      <c r="Z190" s="3661" t="s">
        <v>3346</v>
      </c>
      <c r="AA190" s="3620" t="s">
        <v>3355</v>
      </c>
      <c r="AB190" s="3691" t="s">
        <v>1199</v>
      </c>
      <c r="AC190" s="4087">
        <v>4.4796</v>
      </c>
      <c r="AD190" s="3691">
        <f t="shared" si="84"/>
        <v>6020.5824</v>
      </c>
      <c r="AE190" s="3645" t="s">
        <v>3359</v>
      </c>
      <c r="AF190" s="3664" t="s">
        <v>3356</v>
      </c>
      <c r="AG190" s="3645" t="s">
        <v>416</v>
      </c>
      <c r="AH190" s="984"/>
      <c r="AI190" s="3691">
        <f t="shared" si="83"/>
        <v>1344</v>
      </c>
      <c r="AJ190" s="3691"/>
      <c r="AK190" s="984"/>
      <c r="AL190" s="3664"/>
      <c r="AM190" s="3664"/>
      <c r="AN190" s="3691"/>
      <c r="AO190" s="3691">
        <f t="shared" si="82"/>
        <v>1344</v>
      </c>
      <c r="AP190" s="3691"/>
      <c r="AQ190" s="4089"/>
      <c r="AR190" s="877"/>
      <c r="AS190" s="4089">
        <f t="shared" si="79"/>
        <v>1344</v>
      </c>
      <c r="AT190" s="877"/>
      <c r="AU190" s="4089"/>
      <c r="AV190" s="4089"/>
      <c r="AW190" s="4089"/>
      <c r="AX190" s="4089"/>
      <c r="AY190" s="4089"/>
      <c r="AZ190" s="4089"/>
      <c r="BA190" s="4089"/>
      <c r="BB190" s="4089"/>
      <c r="BC190" s="4089">
        <f t="shared" si="85"/>
        <v>1344</v>
      </c>
      <c r="BD190" s="4089"/>
      <c r="BE190" s="4089"/>
      <c r="BF190" s="4089" t="s">
        <v>89</v>
      </c>
      <c r="BG190" s="4089"/>
      <c r="BH190" s="4089">
        <f t="shared" si="70"/>
        <v>224</v>
      </c>
      <c r="BI190" s="4089">
        <f t="shared" si="71"/>
        <v>224</v>
      </c>
      <c r="BJ190" s="4089">
        <f t="shared" si="72"/>
        <v>224</v>
      </c>
      <c r="BK190" s="4403">
        <f t="shared" si="73"/>
        <v>224</v>
      </c>
      <c r="BL190" s="4385">
        <f t="shared" si="74"/>
        <v>224</v>
      </c>
      <c r="BM190" s="4403">
        <f t="shared" si="75"/>
        <v>179.2</v>
      </c>
      <c r="BN190" s="4089">
        <f t="shared" si="76"/>
        <v>44.8</v>
      </c>
      <c r="BO190" s="877"/>
      <c r="BP190" s="877"/>
      <c r="BQ190" s="877"/>
      <c r="BR190" s="877"/>
      <c r="BS190" s="877"/>
      <c r="BT190" s="991"/>
      <c r="BU190" s="992"/>
      <c r="BV190" s="4385">
        <f t="shared" si="81"/>
        <v>1344</v>
      </c>
      <c r="BW190" s="4386">
        <f t="shared" si="63"/>
        <v>0</v>
      </c>
      <c r="BX190" s="4387"/>
      <c r="BY190" s="4387"/>
      <c r="BZ190" s="4387"/>
      <c r="CA190" s="4391"/>
      <c r="CC190" s="4392"/>
      <c r="CD190" s="4391"/>
    </row>
    <row r="191" s="4025" customFormat="1" ht="50" customHeight="1" spans="1:82">
      <c r="A191" s="3688">
        <v>45709</v>
      </c>
      <c r="B191" s="3689" t="s">
        <v>995</v>
      </c>
      <c r="C191" s="3664" t="s">
        <v>996</v>
      </c>
      <c r="D191" s="3690">
        <v>4500158103</v>
      </c>
      <c r="E191" s="3664" t="s">
        <v>997</v>
      </c>
      <c r="F191" s="3690" t="s">
        <v>3361</v>
      </c>
      <c r="G191" s="3664" t="s">
        <v>2627</v>
      </c>
      <c r="H191" s="3691" t="s">
        <v>2591</v>
      </c>
      <c r="I191" s="3691">
        <v>504</v>
      </c>
      <c r="J191" s="3691">
        <v>0</v>
      </c>
      <c r="K191" s="3691">
        <v>24</v>
      </c>
      <c r="L191" s="3691">
        <f t="shared" si="86"/>
        <v>21</v>
      </c>
      <c r="M191" s="3659">
        <v>45757</v>
      </c>
      <c r="N191" s="3659">
        <v>45752</v>
      </c>
      <c r="O191" s="4085"/>
      <c r="P191" s="3682" t="s">
        <v>82</v>
      </c>
      <c r="Q191" s="3682"/>
      <c r="R191" s="4083"/>
      <c r="S191" s="4083"/>
      <c r="T191" s="4083"/>
      <c r="U191" s="3645" t="s">
        <v>989</v>
      </c>
      <c r="V191" s="3657" t="s">
        <v>999</v>
      </c>
      <c r="W191" s="3657"/>
      <c r="X191" s="3657" t="s">
        <v>3362</v>
      </c>
      <c r="Y191" s="3657"/>
      <c r="Z191" s="3661"/>
      <c r="AA191" s="3620" t="s">
        <v>3363</v>
      </c>
      <c r="AB191" s="3691" t="s">
        <v>892</v>
      </c>
      <c r="AC191" s="3691">
        <v>2.084</v>
      </c>
      <c r="AD191" s="3691">
        <f t="shared" si="84"/>
        <v>1050.336</v>
      </c>
      <c r="AE191" s="3645" t="s">
        <v>1002</v>
      </c>
      <c r="AF191" s="3691" t="s">
        <v>2627</v>
      </c>
      <c r="AG191" s="3645" t="s">
        <v>416</v>
      </c>
      <c r="AH191" s="905"/>
      <c r="AI191" s="3664">
        <f t="shared" si="83"/>
        <v>504</v>
      </c>
      <c r="AJ191" s="3664"/>
      <c r="AK191" s="905"/>
      <c r="AL191" s="3664"/>
      <c r="AM191" s="3664"/>
      <c r="AN191" s="3691"/>
      <c r="AO191" s="3691">
        <f t="shared" si="82"/>
        <v>504</v>
      </c>
      <c r="AP191" s="3691"/>
      <c r="AQ191" s="4089"/>
      <c r="AR191" s="4382"/>
      <c r="AS191" s="4089">
        <f t="shared" si="79"/>
        <v>504</v>
      </c>
      <c r="AT191" s="4382"/>
      <c r="AU191" s="4089"/>
      <c r="AV191" s="4089"/>
      <c r="AW191" s="4089"/>
      <c r="AX191" s="4089"/>
      <c r="AY191" s="4089"/>
      <c r="AZ191" s="4089"/>
      <c r="BA191" s="4089"/>
      <c r="BB191" s="4089"/>
      <c r="BC191" s="4089"/>
      <c r="BD191" s="4089"/>
      <c r="BE191" s="4089"/>
      <c r="BF191" s="4089" t="s">
        <v>89</v>
      </c>
      <c r="BG191" s="4089"/>
      <c r="BH191" s="4089">
        <f t="shared" si="70"/>
        <v>84</v>
      </c>
      <c r="BI191" s="4089">
        <f t="shared" si="71"/>
        <v>84</v>
      </c>
      <c r="BJ191" s="4089">
        <f t="shared" si="72"/>
        <v>84</v>
      </c>
      <c r="BK191" s="4403">
        <f t="shared" si="73"/>
        <v>84</v>
      </c>
      <c r="BL191" s="4385">
        <f t="shared" si="74"/>
        <v>84</v>
      </c>
      <c r="BM191" s="4089">
        <f t="shared" si="75"/>
        <v>67.2</v>
      </c>
      <c r="BN191" s="4089">
        <f t="shared" si="76"/>
        <v>16.8</v>
      </c>
      <c r="BO191" s="4382"/>
      <c r="BP191" s="4382"/>
      <c r="BQ191" s="4382"/>
      <c r="BR191" s="4382"/>
      <c r="BS191" s="4382"/>
      <c r="BT191" s="4383"/>
      <c r="BU191" s="4384"/>
      <c r="BV191" s="4385">
        <f t="shared" si="81"/>
        <v>504</v>
      </c>
      <c r="BW191" s="4386">
        <f t="shared" si="63"/>
        <v>0</v>
      </c>
      <c r="BX191" s="4387"/>
      <c r="BY191" s="4387"/>
      <c r="BZ191" s="4387"/>
      <c r="CA191" s="4391"/>
      <c r="CC191" s="4392"/>
      <c r="CD191" s="4391"/>
    </row>
    <row r="192" s="4025" customFormat="1" ht="50" customHeight="1" spans="1:82">
      <c r="A192" s="3688">
        <v>45719</v>
      </c>
      <c r="B192" s="3689" t="s">
        <v>2605</v>
      </c>
      <c r="C192" s="3664" t="s">
        <v>91</v>
      </c>
      <c r="D192" s="3690">
        <v>4500158897</v>
      </c>
      <c r="E192" s="3664" t="s">
        <v>3364</v>
      </c>
      <c r="F192" s="3690" t="s">
        <v>3365</v>
      </c>
      <c r="G192" s="3664" t="s">
        <v>2608</v>
      </c>
      <c r="H192" s="3664" t="s">
        <v>2609</v>
      </c>
      <c r="I192" s="3691">
        <v>21360</v>
      </c>
      <c r="J192" s="3691">
        <v>0</v>
      </c>
      <c r="K192" s="3691">
        <v>6</v>
      </c>
      <c r="L192" s="3691">
        <f t="shared" si="86"/>
        <v>3560</v>
      </c>
      <c r="M192" s="3659">
        <v>45757</v>
      </c>
      <c r="N192" s="3659">
        <v>45752</v>
      </c>
      <c r="O192" s="3664" t="s">
        <v>3366</v>
      </c>
      <c r="P192" s="3682" t="s">
        <v>82</v>
      </c>
      <c r="Q192" s="3682"/>
      <c r="R192" s="4083"/>
      <c r="S192" s="4083"/>
      <c r="T192" s="4083"/>
      <c r="U192" s="3645" t="s">
        <v>3367</v>
      </c>
      <c r="V192" s="3664" t="s">
        <v>3368</v>
      </c>
      <c r="W192" s="3657"/>
      <c r="X192" s="3657" t="s">
        <v>98</v>
      </c>
      <c r="Y192" s="3657" t="s">
        <v>3369</v>
      </c>
      <c r="Z192" s="3661" t="s">
        <v>3370</v>
      </c>
      <c r="AA192" s="3620" t="s">
        <v>3371</v>
      </c>
      <c r="AB192" s="3691" t="s">
        <v>1607</v>
      </c>
      <c r="AC192" s="4087">
        <v>2.1247</v>
      </c>
      <c r="AD192" s="3691">
        <f t="shared" si="84"/>
        <v>45383.592</v>
      </c>
      <c r="AE192" s="3645" t="s">
        <v>3372</v>
      </c>
      <c r="AF192" s="3664" t="s">
        <v>2608</v>
      </c>
      <c r="AG192" s="3645" t="s">
        <v>416</v>
      </c>
      <c r="AH192" s="875"/>
      <c r="AI192" s="3691"/>
      <c r="AJ192" s="3691"/>
      <c r="AK192" s="875"/>
      <c r="AL192" s="3664"/>
      <c r="AM192" s="3664"/>
      <c r="AN192" s="3691">
        <f>I192</f>
        <v>21360</v>
      </c>
      <c r="AO192" s="3691">
        <f t="shared" si="82"/>
        <v>21360</v>
      </c>
      <c r="AP192" s="3691"/>
      <c r="AQ192" s="4089"/>
      <c r="AR192" s="877"/>
      <c r="AS192" s="4089">
        <f t="shared" si="79"/>
        <v>21360</v>
      </c>
      <c r="AT192" s="877"/>
      <c r="AU192" s="4089"/>
      <c r="AV192" s="4089"/>
      <c r="AW192" s="4089"/>
      <c r="AX192" s="4089"/>
      <c r="AY192" s="4089"/>
      <c r="AZ192" s="4089"/>
      <c r="BA192" s="4089"/>
      <c r="BB192" s="4089"/>
      <c r="BC192" s="4089"/>
      <c r="BD192" s="4089"/>
      <c r="BE192" s="4089"/>
      <c r="BF192" s="4089" t="s">
        <v>89</v>
      </c>
      <c r="BG192" s="4089"/>
      <c r="BH192" s="4089">
        <f t="shared" si="70"/>
        <v>3560</v>
      </c>
      <c r="BI192" s="4089">
        <f t="shared" si="71"/>
        <v>3560</v>
      </c>
      <c r="BJ192" s="4089">
        <f t="shared" si="72"/>
        <v>3560</v>
      </c>
      <c r="BK192" s="4403">
        <f t="shared" si="73"/>
        <v>3560</v>
      </c>
      <c r="BL192" s="4385">
        <f t="shared" si="74"/>
        <v>3560</v>
      </c>
      <c r="BM192" s="4403">
        <f t="shared" si="75"/>
        <v>2848</v>
      </c>
      <c r="BN192" s="4089">
        <f t="shared" si="76"/>
        <v>712</v>
      </c>
      <c r="BO192" s="877"/>
      <c r="BP192" s="877"/>
      <c r="BQ192" s="877"/>
      <c r="BR192" s="877"/>
      <c r="BS192" s="877"/>
      <c r="BT192" s="991"/>
      <c r="BU192" s="992"/>
      <c r="BV192" s="4385">
        <f t="shared" si="81"/>
        <v>21360</v>
      </c>
      <c r="BW192" s="4386">
        <f t="shared" si="63"/>
        <v>0</v>
      </c>
      <c r="BX192" s="4387"/>
      <c r="BY192" s="4387"/>
      <c r="BZ192" s="4387"/>
      <c r="CA192" s="4391"/>
      <c r="CC192" s="4392"/>
      <c r="CD192" s="4391"/>
    </row>
    <row r="193" s="4025" customFormat="1" ht="50" customHeight="1" spans="1:82">
      <c r="A193" s="3688">
        <v>45719</v>
      </c>
      <c r="B193" s="3689" t="s">
        <v>2605</v>
      </c>
      <c r="C193" s="3664" t="s">
        <v>91</v>
      </c>
      <c r="D193" s="3690">
        <v>4500158897</v>
      </c>
      <c r="E193" s="3664" t="s">
        <v>3373</v>
      </c>
      <c r="F193" s="3690" t="s">
        <v>3374</v>
      </c>
      <c r="G193" s="3664" t="s">
        <v>2608</v>
      </c>
      <c r="H193" s="3664" t="s">
        <v>2609</v>
      </c>
      <c r="I193" s="3691">
        <v>12324</v>
      </c>
      <c r="J193" s="3691">
        <v>0</v>
      </c>
      <c r="K193" s="3691">
        <v>6</v>
      </c>
      <c r="L193" s="3691">
        <f t="shared" si="86"/>
        <v>2054</v>
      </c>
      <c r="M193" s="3659">
        <v>45757</v>
      </c>
      <c r="N193" s="3659">
        <v>45752</v>
      </c>
      <c r="O193" s="3664" t="s">
        <v>3366</v>
      </c>
      <c r="P193" s="3682" t="s">
        <v>82</v>
      </c>
      <c r="Q193" s="3682"/>
      <c r="R193" s="4083"/>
      <c r="S193" s="4083"/>
      <c r="T193" s="4083"/>
      <c r="U193" s="3645" t="s">
        <v>1134</v>
      </c>
      <c r="V193" s="3664" t="s">
        <v>3368</v>
      </c>
      <c r="W193" s="3657"/>
      <c r="X193" s="3657" t="s">
        <v>98</v>
      </c>
      <c r="Y193" s="3657" t="s">
        <v>3369</v>
      </c>
      <c r="Z193" s="3661" t="s">
        <v>3370</v>
      </c>
      <c r="AA193" s="3620" t="s">
        <v>3371</v>
      </c>
      <c r="AB193" s="3691" t="s">
        <v>1607</v>
      </c>
      <c r="AC193" s="4087">
        <v>2.233</v>
      </c>
      <c r="AD193" s="3691">
        <f t="shared" si="84"/>
        <v>27519.492</v>
      </c>
      <c r="AE193" s="3645" t="s">
        <v>3372</v>
      </c>
      <c r="AF193" s="3664" t="s">
        <v>2608</v>
      </c>
      <c r="AG193" s="3645" t="s">
        <v>416</v>
      </c>
      <c r="AH193" s="979"/>
      <c r="AI193" s="3691"/>
      <c r="AJ193" s="3691"/>
      <c r="AK193" s="979"/>
      <c r="AL193" s="3664"/>
      <c r="AM193" s="3664"/>
      <c r="AN193" s="3691">
        <f>I193</f>
        <v>12324</v>
      </c>
      <c r="AO193" s="3691">
        <f t="shared" si="82"/>
        <v>12324</v>
      </c>
      <c r="AP193" s="3691"/>
      <c r="AQ193" s="4089"/>
      <c r="AR193" s="980"/>
      <c r="AS193" s="4089">
        <f t="shared" si="79"/>
        <v>12324</v>
      </c>
      <c r="AT193" s="980"/>
      <c r="AU193" s="4089"/>
      <c r="AV193" s="4089"/>
      <c r="AW193" s="4089"/>
      <c r="AX193" s="4089"/>
      <c r="AY193" s="4089"/>
      <c r="AZ193" s="4089"/>
      <c r="BA193" s="4089"/>
      <c r="BB193" s="4089"/>
      <c r="BC193" s="4089"/>
      <c r="BD193" s="4089"/>
      <c r="BE193" s="4089"/>
      <c r="BF193" s="4089" t="s">
        <v>89</v>
      </c>
      <c r="BG193" s="4089"/>
      <c r="BH193" s="4089">
        <f t="shared" si="70"/>
        <v>2054</v>
      </c>
      <c r="BI193" s="4089">
        <f t="shared" si="71"/>
        <v>2054</v>
      </c>
      <c r="BJ193" s="4089">
        <f t="shared" si="72"/>
        <v>2054</v>
      </c>
      <c r="BK193" s="4403">
        <f t="shared" si="73"/>
        <v>2054</v>
      </c>
      <c r="BL193" s="4385">
        <f t="shared" si="74"/>
        <v>2054</v>
      </c>
      <c r="BM193" s="4403">
        <f t="shared" si="75"/>
        <v>1643.2</v>
      </c>
      <c r="BN193" s="4089">
        <f t="shared" si="76"/>
        <v>410.8</v>
      </c>
      <c r="BO193" s="980"/>
      <c r="BP193" s="980"/>
      <c r="BQ193" s="980"/>
      <c r="BR193" s="980"/>
      <c r="BS193" s="980"/>
      <c r="BT193" s="981"/>
      <c r="BU193" s="982"/>
      <c r="BV193" s="4385">
        <f t="shared" si="81"/>
        <v>12324</v>
      </c>
      <c r="BW193" s="4386">
        <f t="shared" si="63"/>
        <v>0</v>
      </c>
      <c r="BX193" s="4387"/>
      <c r="BY193" s="4387"/>
      <c r="BZ193" s="4387"/>
      <c r="CA193" s="4391"/>
      <c r="CC193" s="4392"/>
      <c r="CD193" s="4391"/>
    </row>
    <row r="194" s="4025" customFormat="1" ht="50" customHeight="1" spans="1:82">
      <c r="A194" s="3688">
        <v>45701</v>
      </c>
      <c r="B194" s="3689" t="s">
        <v>90</v>
      </c>
      <c r="C194" s="3664" t="s">
        <v>91</v>
      </c>
      <c r="D194" s="3690">
        <v>4500157310</v>
      </c>
      <c r="E194" s="3664" t="s">
        <v>3276</v>
      </c>
      <c r="F194" s="3690" t="s">
        <v>3375</v>
      </c>
      <c r="G194" s="3664" t="s">
        <v>2719</v>
      </c>
      <c r="H194" s="3664" t="s">
        <v>2591</v>
      </c>
      <c r="I194" s="3691">
        <v>1002</v>
      </c>
      <c r="J194" s="3691">
        <v>0</v>
      </c>
      <c r="K194" s="3691">
        <v>6</v>
      </c>
      <c r="L194" s="3691">
        <f t="shared" si="86"/>
        <v>167</v>
      </c>
      <c r="M194" s="3659">
        <v>45758</v>
      </c>
      <c r="N194" s="3659">
        <v>45754</v>
      </c>
      <c r="O194" s="3664" t="s">
        <v>963</v>
      </c>
      <c r="P194" s="3682" t="s">
        <v>82</v>
      </c>
      <c r="Q194" s="3682"/>
      <c r="R194" s="4083"/>
      <c r="S194" s="4083"/>
      <c r="T194" s="4083"/>
      <c r="U194" s="3645" t="s">
        <v>1004</v>
      </c>
      <c r="V194" s="3657" t="s">
        <v>912</v>
      </c>
      <c r="W194" s="3657"/>
      <c r="X194" s="3657" t="s">
        <v>98</v>
      </c>
      <c r="Y194" s="3657" t="s">
        <v>965</v>
      </c>
      <c r="Z194" s="3661"/>
      <c r="AA194" s="3620" t="s">
        <v>656</v>
      </c>
      <c r="AB194" s="3691" t="s">
        <v>653</v>
      </c>
      <c r="AC194" s="3691">
        <v>2.1437</v>
      </c>
      <c r="AD194" s="3691">
        <f t="shared" si="84"/>
        <v>2147.9874</v>
      </c>
      <c r="AE194" s="4419" t="s">
        <v>3376</v>
      </c>
      <c r="AF194" s="3664" t="s">
        <v>2719</v>
      </c>
      <c r="AG194" s="3645" t="s">
        <v>416</v>
      </c>
      <c r="AH194" s="905"/>
      <c r="AI194" s="3691">
        <f t="shared" ref="AI194:AI199" si="87">I194</f>
        <v>1002</v>
      </c>
      <c r="AJ194" s="3691"/>
      <c r="AK194" s="905"/>
      <c r="AL194" s="3664"/>
      <c r="AM194" s="3664"/>
      <c r="AN194" s="3691"/>
      <c r="AO194" s="3691">
        <f t="shared" si="82"/>
        <v>1002</v>
      </c>
      <c r="AP194" s="3691"/>
      <c r="AQ194" s="4089"/>
      <c r="AR194" s="907"/>
      <c r="AS194" s="4089">
        <f t="shared" si="79"/>
        <v>1002</v>
      </c>
      <c r="AT194" s="907"/>
      <c r="AU194" s="4089"/>
      <c r="AV194" s="4089"/>
      <c r="AW194" s="4089"/>
      <c r="AX194" s="4089"/>
      <c r="AY194" s="4089"/>
      <c r="AZ194" s="4089"/>
      <c r="BA194" s="4089"/>
      <c r="BB194" s="4089"/>
      <c r="BC194" s="4089"/>
      <c r="BD194" s="4089"/>
      <c r="BE194" s="4089"/>
      <c r="BF194" s="4089" t="s">
        <v>89</v>
      </c>
      <c r="BG194" s="4089"/>
      <c r="BH194" s="4089">
        <f t="shared" si="70"/>
        <v>167</v>
      </c>
      <c r="BI194" s="4089">
        <f t="shared" si="71"/>
        <v>167</v>
      </c>
      <c r="BJ194" s="4089">
        <f t="shared" si="72"/>
        <v>167</v>
      </c>
      <c r="BK194" s="4089">
        <f t="shared" si="73"/>
        <v>167</v>
      </c>
      <c r="BL194" s="4089">
        <f t="shared" si="74"/>
        <v>167</v>
      </c>
      <c r="BM194" s="4089">
        <f t="shared" si="75"/>
        <v>133.6</v>
      </c>
      <c r="BN194" s="4089">
        <f t="shared" si="76"/>
        <v>33.4</v>
      </c>
      <c r="BO194" s="4382"/>
      <c r="BP194" s="4382"/>
      <c r="BQ194" s="4382"/>
      <c r="BR194" s="4382"/>
      <c r="BS194" s="4382"/>
      <c r="BT194" s="4383"/>
      <c r="BU194" s="4384"/>
      <c r="BV194" s="4385">
        <f t="shared" si="81"/>
        <v>1002</v>
      </c>
      <c r="BW194" s="4386">
        <f t="shared" si="63"/>
        <v>0</v>
      </c>
      <c r="BX194" s="4387"/>
      <c r="BY194" s="4387"/>
      <c r="BZ194" s="4387"/>
      <c r="CA194" s="4391"/>
      <c r="CC194" s="4392"/>
      <c r="CD194" s="4391"/>
    </row>
    <row r="195" s="4025" customFormat="1" ht="50" customHeight="1" spans="1:82">
      <c r="A195" s="3688">
        <v>45701</v>
      </c>
      <c r="B195" s="3689" t="s">
        <v>90</v>
      </c>
      <c r="C195" s="3664" t="s">
        <v>91</v>
      </c>
      <c r="D195" s="3690">
        <v>4500157311</v>
      </c>
      <c r="E195" s="3664" t="s">
        <v>3377</v>
      </c>
      <c r="F195" s="3690" t="s">
        <v>3378</v>
      </c>
      <c r="G195" s="3664" t="s">
        <v>2719</v>
      </c>
      <c r="H195" s="3664" t="s">
        <v>2591</v>
      </c>
      <c r="I195" s="3691">
        <v>1200</v>
      </c>
      <c r="J195" s="3691">
        <v>0</v>
      </c>
      <c r="K195" s="3691">
        <v>6</v>
      </c>
      <c r="L195" s="3691">
        <f t="shared" si="86"/>
        <v>200</v>
      </c>
      <c r="M195" s="3659">
        <v>45758</v>
      </c>
      <c r="N195" s="3659">
        <v>45754</v>
      </c>
      <c r="O195" s="3664" t="s">
        <v>963</v>
      </c>
      <c r="P195" s="3682" t="s">
        <v>82</v>
      </c>
      <c r="Q195" s="3682"/>
      <c r="R195" s="4083"/>
      <c r="S195" s="4083"/>
      <c r="T195" s="4083"/>
      <c r="U195" s="3645" t="s">
        <v>1007</v>
      </c>
      <c r="V195" s="3657" t="s">
        <v>912</v>
      </c>
      <c r="W195" s="3657"/>
      <c r="X195" s="3657" t="s">
        <v>98</v>
      </c>
      <c r="Y195" s="3657" t="s">
        <v>965</v>
      </c>
      <c r="Z195" s="3661"/>
      <c r="AA195" s="3620" t="s">
        <v>656</v>
      </c>
      <c r="AB195" s="3691" t="s">
        <v>653</v>
      </c>
      <c r="AC195" s="3691">
        <v>2.1437</v>
      </c>
      <c r="AD195" s="3691">
        <f t="shared" si="84"/>
        <v>2572.44</v>
      </c>
      <c r="AE195" s="4420" t="s">
        <v>1009</v>
      </c>
      <c r="AF195" s="3664" t="s">
        <v>2719</v>
      </c>
      <c r="AG195" s="3645" t="s">
        <v>416</v>
      </c>
      <c r="AH195" s="905"/>
      <c r="AI195" s="3691">
        <f t="shared" si="87"/>
        <v>1200</v>
      </c>
      <c r="AJ195" s="3691"/>
      <c r="AK195" s="905"/>
      <c r="AL195" s="3664"/>
      <c r="AM195" s="3664"/>
      <c r="AN195" s="3691"/>
      <c r="AO195" s="3691">
        <f t="shared" si="82"/>
        <v>1200</v>
      </c>
      <c r="AP195" s="3691"/>
      <c r="AQ195" s="4089"/>
      <c r="AR195" s="907"/>
      <c r="AS195" s="4089">
        <f t="shared" si="79"/>
        <v>1200</v>
      </c>
      <c r="AT195" s="907"/>
      <c r="AU195" s="4089"/>
      <c r="AV195" s="4089"/>
      <c r="AW195" s="4089"/>
      <c r="AX195" s="4089"/>
      <c r="AY195" s="4089"/>
      <c r="AZ195" s="4089"/>
      <c r="BA195" s="4089"/>
      <c r="BB195" s="4089"/>
      <c r="BC195" s="4089"/>
      <c r="BD195" s="4089"/>
      <c r="BE195" s="4089"/>
      <c r="BF195" s="4089" t="s">
        <v>89</v>
      </c>
      <c r="BG195" s="4089"/>
      <c r="BH195" s="4089">
        <f t="shared" si="70"/>
        <v>200</v>
      </c>
      <c r="BI195" s="4089">
        <f t="shared" si="71"/>
        <v>200</v>
      </c>
      <c r="BJ195" s="4089">
        <f t="shared" si="72"/>
        <v>200</v>
      </c>
      <c r="BK195" s="4089">
        <f t="shared" si="73"/>
        <v>200</v>
      </c>
      <c r="BL195" s="4089">
        <f t="shared" si="74"/>
        <v>200</v>
      </c>
      <c r="BM195" s="4089">
        <f t="shared" si="75"/>
        <v>160</v>
      </c>
      <c r="BN195" s="4089">
        <f t="shared" si="76"/>
        <v>40</v>
      </c>
      <c r="BO195" s="4382"/>
      <c r="BP195" s="4382"/>
      <c r="BQ195" s="4382"/>
      <c r="BR195" s="4382"/>
      <c r="BS195" s="4382"/>
      <c r="BT195" s="4383"/>
      <c r="BU195" s="4384"/>
      <c r="BV195" s="4385">
        <f t="shared" si="81"/>
        <v>1200</v>
      </c>
      <c r="BW195" s="4386">
        <f t="shared" si="63"/>
        <v>0</v>
      </c>
      <c r="BX195" s="4387"/>
      <c r="BY195" s="4387"/>
      <c r="BZ195" s="4387"/>
      <c r="CA195" s="4391"/>
      <c r="CC195" s="4392"/>
      <c r="CD195" s="4391"/>
    </row>
    <row r="196" s="4025" customFormat="1" ht="50" customHeight="1" spans="1:82">
      <c r="A196" s="3688">
        <v>45721</v>
      </c>
      <c r="B196" s="3689" t="s">
        <v>1010</v>
      </c>
      <c r="C196" s="3664" t="s">
        <v>351</v>
      </c>
      <c r="D196" s="3690">
        <v>4500159190</v>
      </c>
      <c r="E196" s="3664"/>
      <c r="F196" s="3690" t="s">
        <v>3379</v>
      </c>
      <c r="G196" s="3664" t="s">
        <v>2627</v>
      </c>
      <c r="H196" s="3664" t="s">
        <v>2591</v>
      </c>
      <c r="I196" s="3691">
        <v>2400</v>
      </c>
      <c r="J196" s="3691">
        <v>0</v>
      </c>
      <c r="K196" s="3691">
        <v>24</v>
      </c>
      <c r="L196" s="3691">
        <f t="shared" si="86"/>
        <v>100</v>
      </c>
      <c r="M196" s="3659">
        <v>45761</v>
      </c>
      <c r="N196" s="3659">
        <v>45757</v>
      </c>
      <c r="O196" s="4085"/>
      <c r="P196" s="3682" t="s">
        <v>82</v>
      </c>
      <c r="Q196" s="3682"/>
      <c r="R196" s="4083"/>
      <c r="S196" s="4083"/>
      <c r="T196" s="4083"/>
      <c r="U196" s="3645" t="s">
        <v>969</v>
      </c>
      <c r="V196" s="3657" t="s">
        <v>1012</v>
      </c>
      <c r="W196" s="3657"/>
      <c r="X196" s="3657" t="s">
        <v>3380</v>
      </c>
      <c r="Y196" s="3657"/>
      <c r="Z196" s="3661"/>
      <c r="AA196" s="3620" t="s">
        <v>3381</v>
      </c>
      <c r="AB196" s="3691" t="s">
        <v>357</v>
      </c>
      <c r="AC196" s="4087">
        <v>2.1285</v>
      </c>
      <c r="AD196" s="3691">
        <f t="shared" si="84"/>
        <v>5108.4</v>
      </c>
      <c r="AE196" s="3645" t="s">
        <v>1015</v>
      </c>
      <c r="AF196" s="3664" t="s">
        <v>2627</v>
      </c>
      <c r="AG196" s="3645" t="s">
        <v>416</v>
      </c>
      <c r="AH196" s="905"/>
      <c r="AI196" s="3691">
        <f t="shared" si="87"/>
        <v>2400</v>
      </c>
      <c r="AJ196" s="3691"/>
      <c r="AK196" s="905"/>
      <c r="AL196" s="3664"/>
      <c r="AM196" s="3664"/>
      <c r="AN196" s="3691"/>
      <c r="AO196" s="3691">
        <f t="shared" si="82"/>
        <v>2400</v>
      </c>
      <c r="AP196" s="3691"/>
      <c r="AQ196" s="4089"/>
      <c r="AR196" s="907"/>
      <c r="AS196" s="4089">
        <f t="shared" si="79"/>
        <v>2400</v>
      </c>
      <c r="AT196" s="907"/>
      <c r="AU196" s="4089"/>
      <c r="AV196" s="4089"/>
      <c r="AW196" s="4089"/>
      <c r="AX196" s="4089"/>
      <c r="AY196" s="4089"/>
      <c r="AZ196" s="4089"/>
      <c r="BA196" s="4089"/>
      <c r="BB196" s="4089"/>
      <c r="BC196" s="4089"/>
      <c r="BD196" s="4089"/>
      <c r="BE196" s="4089"/>
      <c r="BF196" s="4089" t="s">
        <v>89</v>
      </c>
      <c r="BG196" s="4089"/>
      <c r="BH196" s="4089">
        <f t="shared" si="70"/>
        <v>400</v>
      </c>
      <c r="BI196" s="4089">
        <f t="shared" si="71"/>
        <v>400</v>
      </c>
      <c r="BJ196" s="4089">
        <f t="shared" si="72"/>
        <v>400</v>
      </c>
      <c r="BK196" s="4403">
        <f t="shared" si="73"/>
        <v>400</v>
      </c>
      <c r="BL196" s="4385">
        <f t="shared" si="74"/>
        <v>400</v>
      </c>
      <c r="BM196" s="4403">
        <f t="shared" si="75"/>
        <v>320</v>
      </c>
      <c r="BN196" s="4089">
        <f t="shared" si="76"/>
        <v>80</v>
      </c>
      <c r="BO196" s="4382"/>
      <c r="BP196" s="4382"/>
      <c r="BQ196" s="4382"/>
      <c r="BR196" s="4382"/>
      <c r="BS196" s="4382"/>
      <c r="BT196" s="4383"/>
      <c r="BU196" s="4384"/>
      <c r="BV196" s="4385">
        <f t="shared" si="81"/>
        <v>2400</v>
      </c>
      <c r="BW196" s="4386">
        <f t="shared" si="63"/>
        <v>0</v>
      </c>
      <c r="BX196" s="4387"/>
      <c r="BY196" s="4387"/>
      <c r="BZ196" s="4387"/>
      <c r="CA196" s="4391"/>
      <c r="CC196" s="4392"/>
      <c r="CD196" s="4391"/>
    </row>
    <row r="197" s="4025" customFormat="1" ht="50" customHeight="1" spans="1:82">
      <c r="A197" s="3688">
        <v>45728</v>
      </c>
      <c r="B197" s="3689" t="s">
        <v>3065</v>
      </c>
      <c r="C197" s="3664" t="s">
        <v>91</v>
      </c>
      <c r="D197" s="3690">
        <v>4500159919</v>
      </c>
      <c r="E197" s="5457" t="s">
        <v>3382</v>
      </c>
      <c r="F197" s="3690" t="s">
        <v>3383</v>
      </c>
      <c r="G197" s="3664" t="s">
        <v>3068</v>
      </c>
      <c r="H197" s="3664" t="s">
        <v>3069</v>
      </c>
      <c r="I197" s="3691">
        <v>384</v>
      </c>
      <c r="J197" s="3691">
        <v>2</v>
      </c>
      <c r="K197" s="3691">
        <v>384</v>
      </c>
      <c r="L197" s="3691">
        <f t="shared" si="86"/>
        <v>1</v>
      </c>
      <c r="M197" s="3659">
        <v>45762</v>
      </c>
      <c r="N197" s="3659">
        <v>45758</v>
      </c>
      <c r="O197" s="3664" t="s">
        <v>3384</v>
      </c>
      <c r="P197" s="3682" t="s">
        <v>82</v>
      </c>
      <c r="Q197" s="3682"/>
      <c r="R197" s="4083"/>
      <c r="S197" s="4083"/>
      <c r="T197" s="4083"/>
      <c r="U197" s="3645" t="s">
        <v>1050</v>
      </c>
      <c r="V197" s="3657" t="s">
        <v>3072</v>
      </c>
      <c r="W197" s="3657"/>
      <c r="X197" s="3657" t="s">
        <v>3073</v>
      </c>
      <c r="Y197" s="3657" t="s">
        <v>3309</v>
      </c>
      <c r="Z197" s="3661"/>
      <c r="AA197" s="3620" t="s">
        <v>3385</v>
      </c>
      <c r="AB197" s="3691" t="s">
        <v>3386</v>
      </c>
      <c r="AC197" s="4087">
        <v>868.2801</v>
      </c>
      <c r="AD197" s="3691">
        <f>AC197*L197</f>
        <v>868.2801</v>
      </c>
      <c r="AE197" s="3645" t="s">
        <v>3387</v>
      </c>
      <c r="AF197" s="4421" t="s">
        <v>3078</v>
      </c>
      <c r="AG197" s="3645" t="s">
        <v>416</v>
      </c>
      <c r="AH197" s="875"/>
      <c r="AI197" s="3691">
        <f t="shared" si="87"/>
        <v>384</v>
      </c>
      <c r="AJ197" s="3691"/>
      <c r="AK197" s="875"/>
      <c r="AL197" s="3664"/>
      <c r="AM197" s="3664"/>
      <c r="AN197" s="3691"/>
      <c r="AO197" s="3691">
        <f t="shared" si="82"/>
        <v>384</v>
      </c>
      <c r="AP197" s="3691"/>
      <c r="AQ197" s="4089"/>
      <c r="AR197" s="877"/>
      <c r="AS197" s="4089">
        <f t="shared" si="79"/>
        <v>384</v>
      </c>
      <c r="AT197" s="877"/>
      <c r="AU197" s="4089"/>
      <c r="AV197" s="4089"/>
      <c r="AW197" s="4089"/>
      <c r="AX197" s="4089"/>
      <c r="AY197" s="4089"/>
      <c r="AZ197" s="4089"/>
      <c r="BA197" s="4089"/>
      <c r="BB197" s="4089">
        <f>I197/2</f>
        <v>192</v>
      </c>
      <c r="BC197" s="4089"/>
      <c r="BD197" s="4089"/>
      <c r="BE197" s="4089"/>
      <c r="BF197" s="4089" t="s">
        <v>89</v>
      </c>
      <c r="BG197" s="4089"/>
      <c r="BH197" s="4089">
        <f t="shared" si="70"/>
        <v>64</v>
      </c>
      <c r="BI197" s="4089">
        <f t="shared" si="71"/>
        <v>64</v>
      </c>
      <c r="BJ197" s="4089">
        <f t="shared" si="72"/>
        <v>64</v>
      </c>
      <c r="BK197" s="4089">
        <f t="shared" si="73"/>
        <v>64</v>
      </c>
      <c r="BL197" s="4089">
        <f t="shared" si="74"/>
        <v>64</v>
      </c>
      <c r="BM197" s="4089">
        <f t="shared" si="75"/>
        <v>51.2</v>
      </c>
      <c r="BN197" s="4089">
        <f t="shared" si="76"/>
        <v>12.8</v>
      </c>
      <c r="BO197" s="878"/>
      <c r="BP197" s="878"/>
      <c r="BQ197" s="878"/>
      <c r="BR197" s="878"/>
      <c r="BS197" s="878"/>
      <c r="BT197" s="879"/>
      <c r="BU197" s="880"/>
      <c r="BV197" s="4385">
        <f t="shared" si="81"/>
        <v>384</v>
      </c>
      <c r="BW197" s="4386">
        <f t="shared" ref="BW197:BW260" si="88">I197-BV197</f>
        <v>0</v>
      </c>
      <c r="BX197" s="4387"/>
      <c r="BY197" s="4387"/>
      <c r="BZ197" s="4387"/>
      <c r="CA197" s="4391"/>
      <c r="CC197" s="4392"/>
      <c r="CD197" s="4391"/>
    </row>
    <row r="198" s="4025" customFormat="1" ht="50" customHeight="1" spans="1:82">
      <c r="A198" s="3688">
        <v>45728</v>
      </c>
      <c r="B198" s="3689" t="s">
        <v>3065</v>
      </c>
      <c r="C198" s="3664" t="s">
        <v>91</v>
      </c>
      <c r="D198" s="3690">
        <v>4500159919</v>
      </c>
      <c r="E198" s="4395" t="s">
        <v>3388</v>
      </c>
      <c r="F198" s="3690" t="s">
        <v>3389</v>
      </c>
      <c r="G198" s="3664" t="s">
        <v>3068</v>
      </c>
      <c r="H198" s="3664" t="s">
        <v>3069</v>
      </c>
      <c r="I198" s="3691">
        <v>768</v>
      </c>
      <c r="J198" s="3691">
        <v>2</v>
      </c>
      <c r="K198" s="3691">
        <v>384</v>
      </c>
      <c r="L198" s="3691">
        <f t="shared" si="86"/>
        <v>2</v>
      </c>
      <c r="M198" s="3659">
        <v>45762</v>
      </c>
      <c r="N198" s="3659">
        <v>45758</v>
      </c>
      <c r="O198" s="3664" t="s">
        <v>3384</v>
      </c>
      <c r="P198" s="3682" t="s">
        <v>82</v>
      </c>
      <c r="Q198" s="3682"/>
      <c r="R198" s="4083"/>
      <c r="S198" s="4083"/>
      <c r="T198" s="4083"/>
      <c r="U198" s="3645" t="s">
        <v>3390</v>
      </c>
      <c r="V198" s="3657" t="s">
        <v>3072</v>
      </c>
      <c r="W198" s="3657"/>
      <c r="X198" s="3657" t="s">
        <v>3073</v>
      </c>
      <c r="Y198" s="3657" t="s">
        <v>3309</v>
      </c>
      <c r="Z198" s="3661"/>
      <c r="AA198" s="3620" t="s">
        <v>3385</v>
      </c>
      <c r="AB198" s="3691" t="s">
        <v>3386</v>
      </c>
      <c r="AC198" s="4087">
        <v>868.2801</v>
      </c>
      <c r="AD198" s="3691">
        <f>AC198*L198</f>
        <v>1736.5602</v>
      </c>
      <c r="AE198" s="3645" t="s">
        <v>3391</v>
      </c>
      <c r="AF198" s="4421" t="s">
        <v>3078</v>
      </c>
      <c r="AG198" s="3645" t="s">
        <v>416</v>
      </c>
      <c r="AH198" s="875"/>
      <c r="AI198" s="3691">
        <f t="shared" si="87"/>
        <v>768</v>
      </c>
      <c r="AJ198" s="3691"/>
      <c r="AK198" s="875"/>
      <c r="AL198" s="3664"/>
      <c r="AM198" s="3664"/>
      <c r="AN198" s="3691"/>
      <c r="AO198" s="3691">
        <f t="shared" si="82"/>
        <v>768</v>
      </c>
      <c r="AP198" s="3691"/>
      <c r="AQ198" s="4089"/>
      <c r="AR198" s="877"/>
      <c r="AS198" s="4089">
        <f t="shared" si="79"/>
        <v>768</v>
      </c>
      <c r="AT198" s="877"/>
      <c r="AU198" s="4089"/>
      <c r="AV198" s="4089"/>
      <c r="AW198" s="4089"/>
      <c r="AX198" s="4089"/>
      <c r="AY198" s="4089"/>
      <c r="AZ198" s="4089"/>
      <c r="BA198" s="4089"/>
      <c r="BB198" s="4089">
        <f>I198/2</f>
        <v>384</v>
      </c>
      <c r="BC198" s="4089"/>
      <c r="BD198" s="4089"/>
      <c r="BE198" s="4089"/>
      <c r="BF198" s="4089" t="s">
        <v>89</v>
      </c>
      <c r="BG198" s="4089"/>
      <c r="BH198" s="4089">
        <f t="shared" si="70"/>
        <v>128</v>
      </c>
      <c r="BI198" s="4089">
        <f t="shared" si="71"/>
        <v>128</v>
      </c>
      <c r="BJ198" s="4089">
        <f t="shared" si="72"/>
        <v>128</v>
      </c>
      <c r="BK198" s="4089">
        <f t="shared" si="73"/>
        <v>128</v>
      </c>
      <c r="BL198" s="4089">
        <f t="shared" si="74"/>
        <v>128</v>
      </c>
      <c r="BM198" s="4089">
        <f t="shared" si="75"/>
        <v>102.4</v>
      </c>
      <c r="BN198" s="4089">
        <f t="shared" si="76"/>
        <v>25.6</v>
      </c>
      <c r="BO198" s="878"/>
      <c r="BP198" s="878"/>
      <c r="BQ198" s="878"/>
      <c r="BR198" s="878"/>
      <c r="BS198" s="878"/>
      <c r="BT198" s="879"/>
      <c r="BU198" s="880"/>
      <c r="BV198" s="4385">
        <f t="shared" si="81"/>
        <v>768</v>
      </c>
      <c r="BW198" s="4386">
        <f t="shared" si="88"/>
        <v>0</v>
      </c>
      <c r="BX198" s="4387"/>
      <c r="BY198" s="4387"/>
      <c r="BZ198" s="4387"/>
      <c r="CA198" s="4391"/>
      <c r="CC198" s="4392"/>
      <c r="CD198" s="4391"/>
    </row>
    <row r="199" s="4025" customFormat="1" ht="50" customHeight="1" spans="1:82">
      <c r="A199" s="3688">
        <v>45728</v>
      </c>
      <c r="B199" s="3689" t="s">
        <v>3065</v>
      </c>
      <c r="C199" s="3664" t="s">
        <v>91</v>
      </c>
      <c r="D199" s="3690">
        <v>4500159919</v>
      </c>
      <c r="E199" s="5457" t="s">
        <v>3392</v>
      </c>
      <c r="F199" s="3690" t="s">
        <v>3393</v>
      </c>
      <c r="G199" s="3664" t="s">
        <v>3068</v>
      </c>
      <c r="H199" s="3664" t="s">
        <v>3069</v>
      </c>
      <c r="I199" s="3691">
        <v>768</v>
      </c>
      <c r="J199" s="3691">
        <v>2</v>
      </c>
      <c r="K199" s="3691">
        <v>384</v>
      </c>
      <c r="L199" s="3691">
        <f t="shared" si="86"/>
        <v>2</v>
      </c>
      <c r="M199" s="3659">
        <v>45762</v>
      </c>
      <c r="N199" s="3659">
        <v>45758</v>
      </c>
      <c r="O199" s="3664" t="s">
        <v>3384</v>
      </c>
      <c r="P199" s="3682" t="s">
        <v>82</v>
      </c>
      <c r="Q199" s="3682"/>
      <c r="R199" s="4083"/>
      <c r="S199" s="4083"/>
      <c r="T199" s="4083"/>
      <c r="U199" s="3645" t="s">
        <v>2403</v>
      </c>
      <c r="V199" s="3649" t="s">
        <v>3072</v>
      </c>
      <c r="W199" s="3649"/>
      <c r="X199" s="3649" t="s">
        <v>3073</v>
      </c>
      <c r="Y199" s="3657" t="s">
        <v>3309</v>
      </c>
      <c r="Z199" s="3661"/>
      <c r="AA199" s="3620" t="s">
        <v>3385</v>
      </c>
      <c r="AB199" s="3691" t="s">
        <v>3386</v>
      </c>
      <c r="AC199" s="4087">
        <v>888.8073</v>
      </c>
      <c r="AD199" s="3691">
        <f>AC199*L199</f>
        <v>1777.6146</v>
      </c>
      <c r="AE199" s="3645" t="s">
        <v>3394</v>
      </c>
      <c r="AF199" s="4421" t="s">
        <v>3078</v>
      </c>
      <c r="AG199" s="3645" t="s">
        <v>416</v>
      </c>
      <c r="AH199" s="875"/>
      <c r="AI199" s="3691">
        <f t="shared" si="87"/>
        <v>768</v>
      </c>
      <c r="AJ199" s="3691"/>
      <c r="AK199" s="875"/>
      <c r="AL199" s="3664"/>
      <c r="AM199" s="3664"/>
      <c r="AN199" s="3691"/>
      <c r="AO199" s="3691">
        <f t="shared" si="82"/>
        <v>768</v>
      </c>
      <c r="AP199" s="3691"/>
      <c r="AQ199" s="4089"/>
      <c r="AR199" s="877"/>
      <c r="AS199" s="4089">
        <f t="shared" si="79"/>
        <v>768</v>
      </c>
      <c r="AT199" s="877"/>
      <c r="AU199" s="4089"/>
      <c r="AV199" s="4089"/>
      <c r="AW199" s="4089"/>
      <c r="AX199" s="4089"/>
      <c r="AY199" s="4089"/>
      <c r="AZ199" s="4089"/>
      <c r="BA199" s="4089"/>
      <c r="BB199" s="4089">
        <f>I199/2</f>
        <v>384</v>
      </c>
      <c r="BC199" s="4089"/>
      <c r="BD199" s="4089"/>
      <c r="BE199" s="4089"/>
      <c r="BF199" s="4089" t="s">
        <v>89</v>
      </c>
      <c r="BG199" s="4089"/>
      <c r="BH199" s="4089">
        <f t="shared" si="70"/>
        <v>128</v>
      </c>
      <c r="BI199" s="4089">
        <f t="shared" si="71"/>
        <v>128</v>
      </c>
      <c r="BJ199" s="4089">
        <f t="shared" si="72"/>
        <v>128</v>
      </c>
      <c r="BK199" s="4089">
        <f t="shared" si="73"/>
        <v>128</v>
      </c>
      <c r="BL199" s="4089">
        <f t="shared" si="74"/>
        <v>128</v>
      </c>
      <c r="BM199" s="4089">
        <f t="shared" si="75"/>
        <v>102.4</v>
      </c>
      <c r="BN199" s="4089">
        <f t="shared" si="76"/>
        <v>25.6</v>
      </c>
      <c r="BO199" s="878"/>
      <c r="BP199" s="878"/>
      <c r="BQ199" s="878"/>
      <c r="BR199" s="878"/>
      <c r="BS199" s="878"/>
      <c r="BT199" s="879"/>
      <c r="BU199" s="880"/>
      <c r="BV199" s="4385">
        <f t="shared" si="81"/>
        <v>768</v>
      </c>
      <c r="BW199" s="4386">
        <f t="shared" si="88"/>
        <v>0</v>
      </c>
      <c r="BX199" s="4387"/>
      <c r="BY199" s="4387"/>
      <c r="BZ199" s="4387"/>
      <c r="CA199" s="4391"/>
      <c r="CC199" s="4392"/>
      <c r="CD199" s="4391"/>
    </row>
    <row r="200" s="4025" customFormat="1" ht="50" customHeight="1" spans="1:82">
      <c r="A200" s="3688">
        <v>45719</v>
      </c>
      <c r="B200" s="3689" t="s">
        <v>1016</v>
      </c>
      <c r="C200" s="3664" t="s">
        <v>396</v>
      </c>
      <c r="D200" s="3690">
        <v>4500158947</v>
      </c>
      <c r="E200" s="3664" t="s">
        <v>3395</v>
      </c>
      <c r="F200" s="3690" t="s">
        <v>3396</v>
      </c>
      <c r="G200" s="3664" t="s">
        <v>2676</v>
      </c>
      <c r="H200" s="3664" t="s">
        <v>2677</v>
      </c>
      <c r="I200" s="3691">
        <v>12</v>
      </c>
      <c r="J200" s="3691">
        <v>0</v>
      </c>
      <c r="K200" s="3691">
        <v>12</v>
      </c>
      <c r="L200" s="3691">
        <f t="shared" si="86"/>
        <v>1</v>
      </c>
      <c r="M200" s="3659">
        <v>45763</v>
      </c>
      <c r="N200" s="3659">
        <v>45759</v>
      </c>
      <c r="O200" s="4085"/>
      <c r="P200" s="3682" t="s">
        <v>82</v>
      </c>
      <c r="Q200" s="3682"/>
      <c r="R200" s="4083"/>
      <c r="S200" s="4083"/>
      <c r="T200" s="4083"/>
      <c r="U200" s="3645"/>
      <c r="V200" s="3649" t="s">
        <v>974</v>
      </c>
      <c r="W200" s="3649"/>
      <c r="X200" s="3649" t="s">
        <v>2670</v>
      </c>
      <c r="Y200" s="3657" t="s">
        <v>1022</v>
      </c>
      <c r="Z200" s="3661"/>
      <c r="AA200" s="3620" t="s">
        <v>3397</v>
      </c>
      <c r="AB200" s="3691" t="s">
        <v>1024</v>
      </c>
      <c r="AC200" s="3691">
        <v>2.0865</v>
      </c>
      <c r="AD200" s="3691">
        <f t="shared" ref="AD200:AD235" si="89">AC200*I200</f>
        <v>25.038</v>
      </c>
      <c r="AE200" s="3645" t="s">
        <v>3398</v>
      </c>
      <c r="AF200" s="3664" t="s">
        <v>2676</v>
      </c>
      <c r="AG200" s="3645" t="s">
        <v>416</v>
      </c>
      <c r="AH200" s="875"/>
      <c r="AI200" s="3691"/>
      <c r="AJ200" s="3691"/>
      <c r="AK200" s="875"/>
      <c r="AL200" s="3664">
        <f t="shared" ref="AL200:AL211" si="90">I200</f>
        <v>12</v>
      </c>
      <c r="AM200" s="3664"/>
      <c r="AN200" s="3691"/>
      <c r="AO200" s="3691">
        <f t="shared" si="82"/>
        <v>12</v>
      </c>
      <c r="AP200" s="3691"/>
      <c r="AQ200" s="4089"/>
      <c r="AR200" s="877"/>
      <c r="AS200" s="4089"/>
      <c r="AT200" s="877"/>
      <c r="AU200" s="4089">
        <f t="shared" ref="AU200:AU208" si="91">I200</f>
        <v>12</v>
      </c>
      <c r="AV200" s="4089"/>
      <c r="AW200" s="4089"/>
      <c r="AX200" s="4089"/>
      <c r="AY200" s="4089"/>
      <c r="AZ200" s="4089"/>
      <c r="BA200" s="4089"/>
      <c r="BB200" s="4089"/>
      <c r="BC200" s="4089"/>
      <c r="BD200" s="4089"/>
      <c r="BE200" s="4089"/>
      <c r="BF200" s="4089" t="s">
        <v>89</v>
      </c>
      <c r="BG200" s="4089"/>
      <c r="BH200" s="4089"/>
      <c r="BI200" s="4089">
        <f>I200-BN200</f>
        <v>11.6</v>
      </c>
      <c r="BJ200" s="4089"/>
      <c r="BK200" s="4089"/>
      <c r="BL200" s="4089"/>
      <c r="BM200" s="4089"/>
      <c r="BN200" s="4089">
        <f t="shared" si="76"/>
        <v>0.4</v>
      </c>
      <c r="BO200" s="877"/>
      <c r="BP200" s="877"/>
      <c r="BQ200" s="877"/>
      <c r="BR200" s="877"/>
      <c r="BS200" s="877"/>
      <c r="BT200" s="991"/>
      <c r="BU200" s="992"/>
      <c r="BV200" s="4385">
        <f t="shared" si="81"/>
        <v>12</v>
      </c>
      <c r="BW200" s="4386">
        <f t="shared" si="88"/>
        <v>0</v>
      </c>
      <c r="BX200" s="4387"/>
      <c r="BY200" s="4387"/>
      <c r="BZ200" s="4387"/>
      <c r="CA200" s="4391"/>
      <c r="CC200" s="4392"/>
      <c r="CD200" s="4391"/>
    </row>
    <row r="201" s="4025" customFormat="1" ht="50" customHeight="1" spans="1:82">
      <c r="A201" s="3688">
        <v>45719</v>
      </c>
      <c r="B201" s="3689" t="s">
        <v>1016</v>
      </c>
      <c r="C201" s="3664" t="s">
        <v>396</v>
      </c>
      <c r="D201" s="3690">
        <v>4500158947</v>
      </c>
      <c r="E201" s="3664" t="s">
        <v>3399</v>
      </c>
      <c r="F201" s="3690" t="s">
        <v>3400</v>
      </c>
      <c r="G201" s="3664" t="s">
        <v>2827</v>
      </c>
      <c r="H201" s="3664" t="s">
        <v>2641</v>
      </c>
      <c r="I201" s="3691">
        <v>12</v>
      </c>
      <c r="J201" s="3691">
        <v>0</v>
      </c>
      <c r="K201" s="3691">
        <v>12</v>
      </c>
      <c r="L201" s="3691">
        <f t="shared" si="86"/>
        <v>1</v>
      </c>
      <c r="M201" s="3659">
        <v>45763</v>
      </c>
      <c r="N201" s="3659">
        <v>45759</v>
      </c>
      <c r="O201" s="4085"/>
      <c r="P201" s="3682" t="s">
        <v>82</v>
      </c>
      <c r="Q201" s="3682"/>
      <c r="R201" s="4083"/>
      <c r="S201" s="4083"/>
      <c r="T201" s="4083"/>
      <c r="U201" s="3645"/>
      <c r="V201" s="3649" t="s">
        <v>974</v>
      </c>
      <c r="W201" s="3649"/>
      <c r="X201" s="3649" t="s">
        <v>2670</v>
      </c>
      <c r="Y201" s="3657" t="s">
        <v>1022</v>
      </c>
      <c r="Z201" s="3661"/>
      <c r="AA201" s="3620" t="s">
        <v>3401</v>
      </c>
      <c r="AB201" s="3691" t="s">
        <v>1024</v>
      </c>
      <c r="AC201" s="3691">
        <v>2.0865</v>
      </c>
      <c r="AD201" s="3691">
        <f t="shared" si="89"/>
        <v>25.038</v>
      </c>
      <c r="AE201" s="3645" t="s">
        <v>3398</v>
      </c>
      <c r="AF201" s="3664" t="s">
        <v>2827</v>
      </c>
      <c r="AG201" s="3645" t="s">
        <v>416</v>
      </c>
      <c r="AH201" s="875"/>
      <c r="AI201" s="3691"/>
      <c r="AJ201" s="3691"/>
      <c r="AK201" s="875"/>
      <c r="AL201" s="3664">
        <f t="shared" si="90"/>
        <v>12</v>
      </c>
      <c r="AM201" s="3664"/>
      <c r="AN201" s="3691"/>
      <c r="AO201" s="3691">
        <f t="shared" si="82"/>
        <v>12</v>
      </c>
      <c r="AP201" s="3691"/>
      <c r="AQ201" s="4089"/>
      <c r="AR201" s="877"/>
      <c r="AS201" s="4089"/>
      <c r="AT201" s="877"/>
      <c r="AU201" s="4089">
        <f t="shared" si="91"/>
        <v>12</v>
      </c>
      <c r="AV201" s="4089"/>
      <c r="AW201" s="4089"/>
      <c r="AX201" s="4089"/>
      <c r="AY201" s="4089"/>
      <c r="AZ201" s="4089"/>
      <c r="BA201" s="4089"/>
      <c r="BB201" s="4089"/>
      <c r="BC201" s="4089"/>
      <c r="BD201" s="4089"/>
      <c r="BE201" s="4089"/>
      <c r="BF201" s="4089" t="s">
        <v>89</v>
      </c>
      <c r="BG201" s="4089"/>
      <c r="BH201" s="4089">
        <f t="shared" ref="BH201:BH208" si="92">I201-BN201</f>
        <v>11.6</v>
      </c>
      <c r="BI201" s="4089"/>
      <c r="BJ201" s="4089"/>
      <c r="BK201" s="4089"/>
      <c r="BL201" s="4089"/>
      <c r="BM201" s="4089"/>
      <c r="BN201" s="4089">
        <f t="shared" si="76"/>
        <v>0.4</v>
      </c>
      <c r="BO201" s="877"/>
      <c r="BP201" s="877"/>
      <c r="BQ201" s="877"/>
      <c r="BR201" s="877"/>
      <c r="BS201" s="877"/>
      <c r="BT201" s="991"/>
      <c r="BU201" s="992"/>
      <c r="BV201" s="4385">
        <f t="shared" si="81"/>
        <v>12</v>
      </c>
      <c r="BW201" s="4386">
        <f t="shared" si="88"/>
        <v>0</v>
      </c>
      <c r="BX201" s="4387"/>
      <c r="BY201" s="4387"/>
      <c r="BZ201" s="4387"/>
      <c r="CA201" s="4391"/>
      <c r="CC201" s="4392"/>
      <c r="CD201" s="4391"/>
    </row>
    <row r="202" s="4025" customFormat="1" ht="50" customHeight="1" spans="1:82">
      <c r="A202" s="3688">
        <v>45719</v>
      </c>
      <c r="B202" s="3689" t="s">
        <v>1016</v>
      </c>
      <c r="C202" s="3664" t="s">
        <v>396</v>
      </c>
      <c r="D202" s="3690">
        <v>4500158947</v>
      </c>
      <c r="E202" s="3664" t="s">
        <v>3402</v>
      </c>
      <c r="F202" s="3690" t="s">
        <v>3403</v>
      </c>
      <c r="G202" s="3664" t="s">
        <v>2827</v>
      </c>
      <c r="H202" s="3664" t="s">
        <v>2641</v>
      </c>
      <c r="I202" s="3691">
        <v>24</v>
      </c>
      <c r="J202" s="3691">
        <v>0</v>
      </c>
      <c r="K202" s="3691">
        <v>12</v>
      </c>
      <c r="L202" s="3691">
        <f t="shared" si="86"/>
        <v>2</v>
      </c>
      <c r="M202" s="3659">
        <v>45763</v>
      </c>
      <c r="N202" s="3659">
        <v>45759</v>
      </c>
      <c r="O202" s="4085"/>
      <c r="P202" s="3682" t="s">
        <v>82</v>
      </c>
      <c r="Q202" s="3682"/>
      <c r="R202" s="4083"/>
      <c r="S202" s="4083"/>
      <c r="T202" s="4083"/>
      <c r="U202" s="3645"/>
      <c r="V202" s="3657" t="s">
        <v>974</v>
      </c>
      <c r="W202" s="3657"/>
      <c r="X202" s="3657" t="s">
        <v>2670</v>
      </c>
      <c r="Y202" s="3657" t="s">
        <v>1022</v>
      </c>
      <c r="Z202" s="3661"/>
      <c r="AA202" s="3620" t="s">
        <v>3401</v>
      </c>
      <c r="AB202" s="3691" t="s">
        <v>1024</v>
      </c>
      <c r="AC202" s="3691">
        <v>2.0865</v>
      </c>
      <c r="AD202" s="3691">
        <f t="shared" si="89"/>
        <v>50.076</v>
      </c>
      <c r="AE202" s="3645" t="s">
        <v>3398</v>
      </c>
      <c r="AF202" s="3664" t="s">
        <v>2827</v>
      </c>
      <c r="AG202" s="3645" t="s">
        <v>416</v>
      </c>
      <c r="AH202" s="875"/>
      <c r="AI202" s="3691"/>
      <c r="AJ202" s="3691"/>
      <c r="AK202" s="875"/>
      <c r="AL202" s="3664">
        <f t="shared" si="90"/>
        <v>24</v>
      </c>
      <c r="AM202" s="3664"/>
      <c r="AN202" s="3691"/>
      <c r="AO202" s="3691">
        <f t="shared" si="82"/>
        <v>24</v>
      </c>
      <c r="AP202" s="3691"/>
      <c r="AQ202" s="4089"/>
      <c r="AR202" s="877"/>
      <c r="AS202" s="4089"/>
      <c r="AT202" s="877"/>
      <c r="AU202" s="4089">
        <f t="shared" si="91"/>
        <v>24</v>
      </c>
      <c r="AV202" s="4089"/>
      <c r="AW202" s="4089"/>
      <c r="AX202" s="4089"/>
      <c r="AY202" s="4089"/>
      <c r="AZ202" s="4089"/>
      <c r="BA202" s="4089"/>
      <c r="BB202" s="4089"/>
      <c r="BC202" s="4089"/>
      <c r="BD202" s="4089"/>
      <c r="BE202" s="4089"/>
      <c r="BF202" s="4089" t="s">
        <v>89</v>
      </c>
      <c r="BG202" s="4089"/>
      <c r="BH202" s="4089">
        <f t="shared" si="92"/>
        <v>23.2</v>
      </c>
      <c r="BI202" s="4089"/>
      <c r="BJ202" s="4089"/>
      <c r="BK202" s="4089"/>
      <c r="BL202" s="4089"/>
      <c r="BM202" s="4089"/>
      <c r="BN202" s="4089">
        <f t="shared" si="76"/>
        <v>0.8</v>
      </c>
      <c r="BO202" s="877"/>
      <c r="BP202" s="877"/>
      <c r="BQ202" s="877"/>
      <c r="BR202" s="877"/>
      <c r="BS202" s="877"/>
      <c r="BT202" s="991"/>
      <c r="BU202" s="992"/>
      <c r="BV202" s="4385">
        <f t="shared" si="81"/>
        <v>24</v>
      </c>
      <c r="BW202" s="4386">
        <f t="shared" si="88"/>
        <v>0</v>
      </c>
      <c r="BX202" s="4387"/>
      <c r="BY202" s="4387"/>
      <c r="BZ202" s="4387"/>
      <c r="CA202" s="4391"/>
      <c r="CC202" s="4392"/>
      <c r="CD202" s="4391"/>
    </row>
    <row r="203" s="4025" customFormat="1" ht="50" customHeight="1" spans="1:82">
      <c r="A203" s="3688">
        <v>45719</v>
      </c>
      <c r="B203" s="3689" t="s">
        <v>1016</v>
      </c>
      <c r="C203" s="3664" t="s">
        <v>396</v>
      </c>
      <c r="D203" s="3690">
        <v>4500158947</v>
      </c>
      <c r="E203" s="3664" t="s">
        <v>3404</v>
      </c>
      <c r="F203" s="3690" t="s">
        <v>3405</v>
      </c>
      <c r="G203" s="3664" t="s">
        <v>2827</v>
      </c>
      <c r="H203" s="3664" t="s">
        <v>2641</v>
      </c>
      <c r="I203" s="3691">
        <v>12</v>
      </c>
      <c r="J203" s="3691">
        <v>0</v>
      </c>
      <c r="K203" s="3691">
        <v>12</v>
      </c>
      <c r="L203" s="3691">
        <f t="shared" si="86"/>
        <v>1</v>
      </c>
      <c r="M203" s="3659">
        <v>45763</v>
      </c>
      <c r="N203" s="3659">
        <v>45759</v>
      </c>
      <c r="O203" s="4085"/>
      <c r="P203" s="3682" t="s">
        <v>82</v>
      </c>
      <c r="Q203" s="3682"/>
      <c r="R203" s="4083"/>
      <c r="S203" s="4083"/>
      <c r="T203" s="4083"/>
      <c r="U203" s="3645"/>
      <c r="V203" s="3657" t="s">
        <v>974</v>
      </c>
      <c r="W203" s="3657"/>
      <c r="X203" s="3657" t="s">
        <v>2670</v>
      </c>
      <c r="Y203" s="3657" t="s">
        <v>1022</v>
      </c>
      <c r="Z203" s="3661"/>
      <c r="AA203" s="3620" t="s">
        <v>3401</v>
      </c>
      <c r="AB203" s="3691" t="s">
        <v>1024</v>
      </c>
      <c r="AC203" s="3691">
        <v>2.0865</v>
      </c>
      <c r="AD203" s="3691">
        <f t="shared" si="89"/>
        <v>25.038</v>
      </c>
      <c r="AE203" s="3645" t="s">
        <v>3398</v>
      </c>
      <c r="AF203" s="3664" t="s">
        <v>2827</v>
      </c>
      <c r="AG203" s="3645" t="s">
        <v>416</v>
      </c>
      <c r="AH203" s="875"/>
      <c r="AI203" s="3691"/>
      <c r="AJ203" s="3691"/>
      <c r="AK203" s="875"/>
      <c r="AL203" s="3664">
        <f t="shared" si="90"/>
        <v>12</v>
      </c>
      <c r="AM203" s="3664"/>
      <c r="AN203" s="3691"/>
      <c r="AO203" s="3691">
        <f t="shared" si="82"/>
        <v>12</v>
      </c>
      <c r="AP203" s="3691"/>
      <c r="AQ203" s="4089"/>
      <c r="AR203" s="877"/>
      <c r="AS203" s="4089"/>
      <c r="AT203" s="877"/>
      <c r="AU203" s="4089">
        <f t="shared" si="91"/>
        <v>12</v>
      </c>
      <c r="AV203" s="4089"/>
      <c r="AW203" s="4089"/>
      <c r="AX203" s="4089"/>
      <c r="AY203" s="4089"/>
      <c r="AZ203" s="4089"/>
      <c r="BA203" s="4089"/>
      <c r="BB203" s="4089"/>
      <c r="BC203" s="4089"/>
      <c r="BD203" s="4089"/>
      <c r="BE203" s="4089"/>
      <c r="BF203" s="4089" t="s">
        <v>89</v>
      </c>
      <c r="BG203" s="4089"/>
      <c r="BH203" s="4089">
        <f t="shared" si="92"/>
        <v>11.6</v>
      </c>
      <c r="BI203" s="4089"/>
      <c r="BJ203" s="4089"/>
      <c r="BK203" s="4089"/>
      <c r="BL203" s="4089"/>
      <c r="BM203" s="4089"/>
      <c r="BN203" s="4089">
        <f t="shared" si="76"/>
        <v>0.4</v>
      </c>
      <c r="BO203" s="877"/>
      <c r="BP203" s="877"/>
      <c r="BQ203" s="877"/>
      <c r="BR203" s="877"/>
      <c r="BS203" s="877"/>
      <c r="BT203" s="991"/>
      <c r="BU203" s="992"/>
      <c r="BV203" s="4385">
        <f t="shared" si="81"/>
        <v>12</v>
      </c>
      <c r="BW203" s="4386">
        <f t="shared" si="88"/>
        <v>0</v>
      </c>
      <c r="BX203" s="4387"/>
      <c r="BY203" s="4387"/>
      <c r="BZ203" s="4387"/>
      <c r="CA203" s="4391"/>
      <c r="CC203" s="4392"/>
      <c r="CD203" s="4391"/>
    </row>
    <row r="204" s="4025" customFormat="1" ht="50" customHeight="1" spans="1:82">
      <c r="A204" s="3688">
        <v>45719</v>
      </c>
      <c r="B204" s="3689" t="s">
        <v>1016</v>
      </c>
      <c r="C204" s="3664" t="s">
        <v>396</v>
      </c>
      <c r="D204" s="3690">
        <v>4500158947</v>
      </c>
      <c r="E204" s="3664" t="s">
        <v>3406</v>
      </c>
      <c r="F204" s="3690" t="s">
        <v>3407</v>
      </c>
      <c r="G204" s="3664" t="s">
        <v>2827</v>
      </c>
      <c r="H204" s="3664" t="s">
        <v>2641</v>
      </c>
      <c r="I204" s="3691">
        <v>12</v>
      </c>
      <c r="J204" s="3691">
        <v>0</v>
      </c>
      <c r="K204" s="3691">
        <v>12</v>
      </c>
      <c r="L204" s="3691">
        <f t="shared" si="86"/>
        <v>1</v>
      </c>
      <c r="M204" s="3659">
        <v>45763</v>
      </c>
      <c r="N204" s="3659">
        <v>45759</v>
      </c>
      <c r="O204" s="4085"/>
      <c r="P204" s="3682" t="s">
        <v>82</v>
      </c>
      <c r="Q204" s="3682"/>
      <c r="R204" s="4083"/>
      <c r="S204" s="4083"/>
      <c r="T204" s="4083"/>
      <c r="U204" s="3645"/>
      <c r="V204" s="3657" t="s">
        <v>974</v>
      </c>
      <c r="W204" s="3657"/>
      <c r="X204" s="3657" t="s">
        <v>2670</v>
      </c>
      <c r="Y204" s="3657" t="s">
        <v>1022</v>
      </c>
      <c r="Z204" s="3661"/>
      <c r="AA204" s="3620" t="s">
        <v>3401</v>
      </c>
      <c r="AB204" s="3691" t="s">
        <v>1024</v>
      </c>
      <c r="AC204" s="3691">
        <v>2.0865</v>
      </c>
      <c r="AD204" s="3691">
        <f t="shared" si="89"/>
        <v>25.038</v>
      </c>
      <c r="AE204" s="3645" t="s">
        <v>3398</v>
      </c>
      <c r="AF204" s="3664" t="s">
        <v>2827</v>
      </c>
      <c r="AG204" s="3645" t="s">
        <v>416</v>
      </c>
      <c r="AH204" s="875"/>
      <c r="AI204" s="3691"/>
      <c r="AJ204" s="3691"/>
      <c r="AK204" s="875"/>
      <c r="AL204" s="3664">
        <f t="shared" si="90"/>
        <v>12</v>
      </c>
      <c r="AM204" s="3664"/>
      <c r="AN204" s="3691"/>
      <c r="AO204" s="3691">
        <f t="shared" si="82"/>
        <v>12</v>
      </c>
      <c r="AP204" s="3691"/>
      <c r="AQ204" s="4089"/>
      <c r="AR204" s="877"/>
      <c r="AS204" s="4089"/>
      <c r="AT204" s="877"/>
      <c r="AU204" s="4089">
        <f t="shared" si="91"/>
        <v>12</v>
      </c>
      <c r="AV204" s="4089"/>
      <c r="AW204" s="4089"/>
      <c r="AX204" s="4089"/>
      <c r="AY204" s="4089"/>
      <c r="AZ204" s="4089"/>
      <c r="BA204" s="4089"/>
      <c r="BB204" s="4089"/>
      <c r="BC204" s="4089"/>
      <c r="BD204" s="4089"/>
      <c r="BE204" s="4089"/>
      <c r="BF204" s="4089" t="s">
        <v>89</v>
      </c>
      <c r="BG204" s="4089"/>
      <c r="BH204" s="4089">
        <f t="shared" si="92"/>
        <v>11.6</v>
      </c>
      <c r="BI204" s="4089"/>
      <c r="BJ204" s="4089"/>
      <c r="BK204" s="4089"/>
      <c r="BL204" s="4089"/>
      <c r="BM204" s="4089"/>
      <c r="BN204" s="4089">
        <f t="shared" si="76"/>
        <v>0.4</v>
      </c>
      <c r="BO204" s="877"/>
      <c r="BP204" s="877"/>
      <c r="BQ204" s="877"/>
      <c r="BR204" s="877"/>
      <c r="BS204" s="877"/>
      <c r="BT204" s="991"/>
      <c r="BU204" s="992"/>
      <c r="BV204" s="4385">
        <f t="shared" si="81"/>
        <v>12</v>
      </c>
      <c r="BW204" s="4386">
        <f t="shared" si="88"/>
        <v>0</v>
      </c>
      <c r="BX204" s="4387"/>
      <c r="BY204" s="4387"/>
      <c r="BZ204" s="4387"/>
      <c r="CA204" s="4391"/>
      <c r="CC204" s="4392"/>
      <c r="CD204" s="4391"/>
    </row>
    <row r="205" s="4025" customFormat="1" ht="50" customHeight="1" spans="1:82">
      <c r="A205" s="3688">
        <v>45719</v>
      </c>
      <c r="B205" s="3689" t="s">
        <v>1016</v>
      </c>
      <c r="C205" s="3664" t="s">
        <v>396</v>
      </c>
      <c r="D205" s="3690">
        <v>4500158947</v>
      </c>
      <c r="E205" s="3664" t="s">
        <v>3408</v>
      </c>
      <c r="F205" s="3690" t="s">
        <v>3409</v>
      </c>
      <c r="G205" s="3664" t="s">
        <v>2827</v>
      </c>
      <c r="H205" s="3664" t="s">
        <v>2641</v>
      </c>
      <c r="I205" s="3691">
        <v>24</v>
      </c>
      <c r="J205" s="3691">
        <v>0</v>
      </c>
      <c r="K205" s="3691">
        <v>12</v>
      </c>
      <c r="L205" s="3691">
        <f t="shared" si="86"/>
        <v>2</v>
      </c>
      <c r="M205" s="3659">
        <v>45763</v>
      </c>
      <c r="N205" s="3659">
        <v>45759</v>
      </c>
      <c r="O205" s="4085"/>
      <c r="P205" s="3682" t="s">
        <v>82</v>
      </c>
      <c r="Q205" s="3682"/>
      <c r="R205" s="4083"/>
      <c r="S205" s="4083"/>
      <c r="T205" s="4083"/>
      <c r="U205" s="3645"/>
      <c r="V205" s="3657" t="s">
        <v>974</v>
      </c>
      <c r="W205" s="3657"/>
      <c r="X205" s="3657" t="s">
        <v>2670</v>
      </c>
      <c r="Y205" s="3657" t="s">
        <v>1022</v>
      </c>
      <c r="Z205" s="3661"/>
      <c r="AA205" s="3620" t="s">
        <v>3401</v>
      </c>
      <c r="AB205" s="3691" t="s">
        <v>1024</v>
      </c>
      <c r="AC205" s="3691">
        <v>2.0865</v>
      </c>
      <c r="AD205" s="3691">
        <f t="shared" si="89"/>
        <v>50.076</v>
      </c>
      <c r="AE205" s="3645" t="s">
        <v>3398</v>
      </c>
      <c r="AF205" s="3664" t="s">
        <v>2827</v>
      </c>
      <c r="AG205" s="3645" t="s">
        <v>416</v>
      </c>
      <c r="AH205" s="875"/>
      <c r="AI205" s="3691"/>
      <c r="AJ205" s="3691"/>
      <c r="AK205" s="875"/>
      <c r="AL205" s="3664">
        <f t="shared" si="90"/>
        <v>24</v>
      </c>
      <c r="AM205" s="3664"/>
      <c r="AN205" s="3691"/>
      <c r="AO205" s="3691">
        <f t="shared" si="82"/>
        <v>24</v>
      </c>
      <c r="AP205" s="3691"/>
      <c r="AQ205" s="4089"/>
      <c r="AR205" s="877"/>
      <c r="AS205" s="4089"/>
      <c r="AT205" s="877"/>
      <c r="AU205" s="4089">
        <f t="shared" si="91"/>
        <v>24</v>
      </c>
      <c r="AV205" s="4089"/>
      <c r="AW205" s="4089"/>
      <c r="AX205" s="4089"/>
      <c r="AY205" s="4089"/>
      <c r="AZ205" s="4089"/>
      <c r="BA205" s="4089"/>
      <c r="BB205" s="4089"/>
      <c r="BC205" s="4089"/>
      <c r="BD205" s="4089"/>
      <c r="BE205" s="4089"/>
      <c r="BF205" s="4089" t="s">
        <v>89</v>
      </c>
      <c r="BG205" s="4089"/>
      <c r="BH205" s="4089">
        <f t="shared" si="92"/>
        <v>23.2</v>
      </c>
      <c r="BI205" s="4089"/>
      <c r="BJ205" s="4089"/>
      <c r="BK205" s="4089"/>
      <c r="BL205" s="4089"/>
      <c r="BM205" s="4089"/>
      <c r="BN205" s="4089">
        <f t="shared" si="76"/>
        <v>0.8</v>
      </c>
      <c r="BO205" s="877"/>
      <c r="BP205" s="877"/>
      <c r="BQ205" s="877"/>
      <c r="BR205" s="877"/>
      <c r="BS205" s="877"/>
      <c r="BT205" s="991"/>
      <c r="BU205" s="992"/>
      <c r="BV205" s="4385">
        <f t="shared" si="81"/>
        <v>24</v>
      </c>
      <c r="BW205" s="4386">
        <f t="shared" si="88"/>
        <v>0</v>
      </c>
      <c r="BX205" s="4387"/>
      <c r="BY205" s="4387"/>
      <c r="BZ205" s="4387"/>
      <c r="CA205" s="4391"/>
      <c r="CC205" s="4392"/>
      <c r="CD205" s="4391"/>
    </row>
    <row r="206" s="4025" customFormat="1" ht="50" customHeight="1" spans="1:82">
      <c r="A206" s="3688">
        <v>45719</v>
      </c>
      <c r="B206" s="3689" t="s">
        <v>1016</v>
      </c>
      <c r="C206" s="3664" t="s">
        <v>396</v>
      </c>
      <c r="D206" s="3690">
        <v>4500158947</v>
      </c>
      <c r="E206" s="3664" t="s">
        <v>3410</v>
      </c>
      <c r="F206" s="3690" t="s">
        <v>3411</v>
      </c>
      <c r="G206" s="3664" t="s">
        <v>2827</v>
      </c>
      <c r="H206" s="3664" t="s">
        <v>2641</v>
      </c>
      <c r="I206" s="3691">
        <v>24</v>
      </c>
      <c r="J206" s="3691">
        <v>0</v>
      </c>
      <c r="K206" s="3691">
        <v>12</v>
      </c>
      <c r="L206" s="3691">
        <f t="shared" si="86"/>
        <v>2</v>
      </c>
      <c r="M206" s="3659">
        <v>45763</v>
      </c>
      <c r="N206" s="3659">
        <v>45759</v>
      </c>
      <c r="O206" s="4085"/>
      <c r="P206" s="3682" t="s">
        <v>82</v>
      </c>
      <c r="Q206" s="3682"/>
      <c r="R206" s="4083"/>
      <c r="S206" s="4083"/>
      <c r="T206" s="4083"/>
      <c r="U206" s="3645"/>
      <c r="V206" s="3657" t="s">
        <v>974</v>
      </c>
      <c r="W206" s="3657"/>
      <c r="X206" s="3657" t="s">
        <v>2670</v>
      </c>
      <c r="Y206" s="3657" t="s">
        <v>1022</v>
      </c>
      <c r="Z206" s="3661"/>
      <c r="AA206" s="3620" t="s">
        <v>3401</v>
      </c>
      <c r="AB206" s="3691" t="s">
        <v>1024</v>
      </c>
      <c r="AC206" s="3691">
        <v>2.0865</v>
      </c>
      <c r="AD206" s="3691">
        <f t="shared" si="89"/>
        <v>50.076</v>
      </c>
      <c r="AE206" s="3645" t="s">
        <v>3398</v>
      </c>
      <c r="AF206" s="3664" t="s">
        <v>2827</v>
      </c>
      <c r="AG206" s="3645" t="s">
        <v>416</v>
      </c>
      <c r="AH206" s="875"/>
      <c r="AI206" s="3691"/>
      <c r="AJ206" s="3691"/>
      <c r="AK206" s="875"/>
      <c r="AL206" s="3664">
        <f t="shared" si="90"/>
        <v>24</v>
      </c>
      <c r="AM206" s="3664"/>
      <c r="AN206" s="3691"/>
      <c r="AO206" s="3691">
        <f t="shared" si="82"/>
        <v>24</v>
      </c>
      <c r="AP206" s="3691"/>
      <c r="AQ206" s="4089"/>
      <c r="AR206" s="877"/>
      <c r="AS206" s="4089"/>
      <c r="AT206" s="877"/>
      <c r="AU206" s="4089">
        <f t="shared" si="91"/>
        <v>24</v>
      </c>
      <c r="AV206" s="4089"/>
      <c r="AW206" s="4089"/>
      <c r="AX206" s="4089"/>
      <c r="AY206" s="4089"/>
      <c r="AZ206" s="4089"/>
      <c r="BA206" s="4089"/>
      <c r="BB206" s="4089"/>
      <c r="BC206" s="4089"/>
      <c r="BD206" s="4089"/>
      <c r="BE206" s="4089"/>
      <c r="BF206" s="4089" t="s">
        <v>89</v>
      </c>
      <c r="BG206" s="4089"/>
      <c r="BH206" s="4089">
        <f t="shared" si="92"/>
        <v>23.2</v>
      </c>
      <c r="BI206" s="4089"/>
      <c r="BJ206" s="4089"/>
      <c r="BK206" s="4089"/>
      <c r="BL206" s="4089"/>
      <c r="BM206" s="4089"/>
      <c r="BN206" s="4089">
        <f t="shared" si="76"/>
        <v>0.8</v>
      </c>
      <c r="BO206" s="877"/>
      <c r="BP206" s="877"/>
      <c r="BQ206" s="877"/>
      <c r="BR206" s="877"/>
      <c r="BS206" s="877"/>
      <c r="BT206" s="991"/>
      <c r="BU206" s="992"/>
      <c r="BV206" s="4385">
        <f t="shared" si="81"/>
        <v>24</v>
      </c>
      <c r="BW206" s="4386">
        <f t="shared" si="88"/>
        <v>0</v>
      </c>
      <c r="BX206" s="4387"/>
      <c r="BY206" s="4387"/>
      <c r="BZ206" s="4387"/>
      <c r="CA206" s="4391"/>
      <c r="CC206" s="4392"/>
      <c r="CD206" s="4391"/>
    </row>
    <row r="207" s="4025" customFormat="1" ht="50" customHeight="1" spans="1:82">
      <c r="A207" s="3688">
        <v>45719</v>
      </c>
      <c r="B207" s="3689" t="s">
        <v>1016</v>
      </c>
      <c r="C207" s="3664" t="s">
        <v>396</v>
      </c>
      <c r="D207" s="3690">
        <v>4500158947</v>
      </c>
      <c r="E207" s="3664" t="s">
        <v>3412</v>
      </c>
      <c r="F207" s="3690" t="s">
        <v>3413</v>
      </c>
      <c r="G207" s="3664" t="s">
        <v>2827</v>
      </c>
      <c r="H207" s="3664" t="s">
        <v>2641</v>
      </c>
      <c r="I207" s="3691">
        <v>12</v>
      </c>
      <c r="J207" s="3691">
        <v>0</v>
      </c>
      <c r="K207" s="3691">
        <v>12</v>
      </c>
      <c r="L207" s="3691">
        <f t="shared" si="86"/>
        <v>1</v>
      </c>
      <c r="M207" s="3659">
        <v>45763</v>
      </c>
      <c r="N207" s="3659">
        <v>45759</v>
      </c>
      <c r="O207" s="4085"/>
      <c r="P207" s="3682" t="s">
        <v>82</v>
      </c>
      <c r="Q207" s="3682"/>
      <c r="R207" s="4083"/>
      <c r="S207" s="4083"/>
      <c r="T207" s="4083"/>
      <c r="U207" s="3645"/>
      <c r="V207" s="3657" t="s">
        <v>974</v>
      </c>
      <c r="W207" s="3657"/>
      <c r="X207" s="3657" t="s">
        <v>2670</v>
      </c>
      <c r="Y207" s="3657" t="s">
        <v>1022</v>
      </c>
      <c r="Z207" s="3661"/>
      <c r="AA207" s="3620" t="s">
        <v>3401</v>
      </c>
      <c r="AB207" s="3691" t="s">
        <v>1024</v>
      </c>
      <c r="AC207" s="3691">
        <v>2.0865</v>
      </c>
      <c r="AD207" s="3691">
        <f t="shared" si="89"/>
        <v>25.038</v>
      </c>
      <c r="AE207" s="3645" t="s">
        <v>3398</v>
      </c>
      <c r="AF207" s="3664" t="s">
        <v>2827</v>
      </c>
      <c r="AG207" s="3645" t="s">
        <v>416</v>
      </c>
      <c r="AH207" s="875"/>
      <c r="AI207" s="3691"/>
      <c r="AJ207" s="3691"/>
      <c r="AK207" s="875"/>
      <c r="AL207" s="3664">
        <f t="shared" si="90"/>
        <v>12</v>
      </c>
      <c r="AM207" s="3664"/>
      <c r="AN207" s="3691"/>
      <c r="AO207" s="3691">
        <f t="shared" si="82"/>
        <v>12</v>
      </c>
      <c r="AP207" s="3691"/>
      <c r="AQ207" s="4089"/>
      <c r="AR207" s="877"/>
      <c r="AS207" s="4089"/>
      <c r="AT207" s="877"/>
      <c r="AU207" s="4089">
        <f t="shared" si="91"/>
        <v>12</v>
      </c>
      <c r="AV207" s="4089"/>
      <c r="AW207" s="4089"/>
      <c r="AX207" s="4089"/>
      <c r="AY207" s="4089"/>
      <c r="AZ207" s="4089"/>
      <c r="BA207" s="4089"/>
      <c r="BB207" s="4089"/>
      <c r="BC207" s="4089"/>
      <c r="BD207" s="4089"/>
      <c r="BE207" s="4089"/>
      <c r="BF207" s="4089" t="s">
        <v>89</v>
      </c>
      <c r="BG207" s="4089"/>
      <c r="BH207" s="4089">
        <f t="shared" si="92"/>
        <v>11.6</v>
      </c>
      <c r="BI207" s="4089"/>
      <c r="BJ207" s="4089"/>
      <c r="BK207" s="4089"/>
      <c r="BL207" s="4089"/>
      <c r="BM207" s="4089"/>
      <c r="BN207" s="4089">
        <f t="shared" si="76"/>
        <v>0.4</v>
      </c>
      <c r="BO207" s="877"/>
      <c r="BP207" s="877"/>
      <c r="BQ207" s="877"/>
      <c r="BR207" s="877"/>
      <c r="BS207" s="877"/>
      <c r="BT207" s="991"/>
      <c r="BU207" s="992"/>
      <c r="BV207" s="4385">
        <f t="shared" si="81"/>
        <v>12</v>
      </c>
      <c r="BW207" s="4386">
        <f t="shared" si="88"/>
        <v>0</v>
      </c>
      <c r="BX207" s="4387"/>
      <c r="BY207" s="4387"/>
      <c r="BZ207" s="4387"/>
      <c r="CA207" s="4391"/>
      <c r="CC207" s="4392"/>
      <c r="CD207" s="4391"/>
    </row>
    <row r="208" s="4025" customFormat="1" ht="50" customHeight="1" spans="1:82">
      <c r="A208" s="3688">
        <v>45719</v>
      </c>
      <c r="B208" s="3689" t="s">
        <v>1016</v>
      </c>
      <c r="C208" s="3664" t="s">
        <v>396</v>
      </c>
      <c r="D208" s="3690">
        <v>4500158947</v>
      </c>
      <c r="E208" s="3664" t="s">
        <v>3414</v>
      </c>
      <c r="F208" s="3690" t="s">
        <v>3415</v>
      </c>
      <c r="G208" s="3664" t="s">
        <v>2827</v>
      </c>
      <c r="H208" s="3664" t="s">
        <v>2641</v>
      </c>
      <c r="I208" s="3691">
        <v>12</v>
      </c>
      <c r="J208" s="3691">
        <v>0</v>
      </c>
      <c r="K208" s="3691">
        <v>12</v>
      </c>
      <c r="L208" s="3691">
        <f t="shared" si="86"/>
        <v>1</v>
      </c>
      <c r="M208" s="3659">
        <v>45763</v>
      </c>
      <c r="N208" s="3659">
        <v>45759</v>
      </c>
      <c r="O208" s="4085"/>
      <c r="P208" s="3682" t="s">
        <v>82</v>
      </c>
      <c r="Q208" s="3682"/>
      <c r="R208" s="4083"/>
      <c r="S208" s="4083"/>
      <c r="T208" s="4083"/>
      <c r="U208" s="3645"/>
      <c r="V208" s="3657" t="s">
        <v>974</v>
      </c>
      <c r="W208" s="3657"/>
      <c r="X208" s="3657" t="s">
        <v>2670</v>
      </c>
      <c r="Y208" s="3657" t="s">
        <v>1022</v>
      </c>
      <c r="Z208" s="3661"/>
      <c r="AA208" s="3620" t="s">
        <v>3401</v>
      </c>
      <c r="AB208" s="3691" t="s">
        <v>1024</v>
      </c>
      <c r="AC208" s="3691">
        <v>2.0865</v>
      </c>
      <c r="AD208" s="3691">
        <f t="shared" si="89"/>
        <v>25.038</v>
      </c>
      <c r="AE208" s="3645" t="s">
        <v>3398</v>
      </c>
      <c r="AF208" s="3664" t="s">
        <v>2827</v>
      </c>
      <c r="AG208" s="3645" t="s">
        <v>416</v>
      </c>
      <c r="AH208" s="875"/>
      <c r="AI208" s="3691"/>
      <c r="AJ208" s="3691"/>
      <c r="AK208" s="875"/>
      <c r="AL208" s="3664">
        <f t="shared" si="90"/>
        <v>12</v>
      </c>
      <c r="AM208" s="3664"/>
      <c r="AN208" s="3691"/>
      <c r="AO208" s="3691">
        <f t="shared" si="82"/>
        <v>12</v>
      </c>
      <c r="AP208" s="3691"/>
      <c r="AQ208" s="4089"/>
      <c r="AR208" s="877"/>
      <c r="AS208" s="4089"/>
      <c r="AT208" s="877"/>
      <c r="AU208" s="4089">
        <f t="shared" si="91"/>
        <v>12</v>
      </c>
      <c r="AV208" s="4089"/>
      <c r="AW208" s="4089"/>
      <c r="AX208" s="4089"/>
      <c r="AY208" s="4089"/>
      <c r="AZ208" s="4089"/>
      <c r="BA208" s="4089"/>
      <c r="BB208" s="4089"/>
      <c r="BC208" s="4089"/>
      <c r="BD208" s="4089"/>
      <c r="BE208" s="4089"/>
      <c r="BF208" s="4089" t="s">
        <v>89</v>
      </c>
      <c r="BG208" s="4089"/>
      <c r="BH208" s="4089">
        <f t="shared" si="92"/>
        <v>11.6</v>
      </c>
      <c r="BI208" s="4089"/>
      <c r="BJ208" s="4089"/>
      <c r="BK208" s="4089"/>
      <c r="BL208" s="4089"/>
      <c r="BM208" s="4089"/>
      <c r="BN208" s="4089">
        <f t="shared" si="76"/>
        <v>0.4</v>
      </c>
      <c r="BO208" s="877"/>
      <c r="BP208" s="877"/>
      <c r="BQ208" s="877"/>
      <c r="BR208" s="877"/>
      <c r="BS208" s="877"/>
      <c r="BT208" s="991"/>
      <c r="BU208" s="992"/>
      <c r="BV208" s="4385">
        <f t="shared" si="81"/>
        <v>12</v>
      </c>
      <c r="BW208" s="4386">
        <f t="shared" si="88"/>
        <v>0</v>
      </c>
      <c r="BX208" s="4387"/>
      <c r="BY208" s="4387"/>
      <c r="BZ208" s="4387"/>
      <c r="CA208" s="4391"/>
      <c r="CC208" s="4392"/>
      <c r="CD208" s="4391"/>
    </row>
    <row r="209" s="4025" customFormat="1" ht="50" customHeight="1" spans="1:82">
      <c r="A209" s="3688">
        <v>45714</v>
      </c>
      <c r="B209" s="3689" t="s">
        <v>3416</v>
      </c>
      <c r="C209" s="3664" t="s">
        <v>3417</v>
      </c>
      <c r="D209" s="3690">
        <v>4500158447</v>
      </c>
      <c r="E209" s="3664"/>
      <c r="F209" s="3690" t="s">
        <v>3418</v>
      </c>
      <c r="G209" s="3664" t="s">
        <v>2577</v>
      </c>
      <c r="H209" s="3664" t="s">
        <v>2591</v>
      </c>
      <c r="I209" s="3691">
        <v>936</v>
      </c>
      <c r="J209" s="3691">
        <v>0</v>
      </c>
      <c r="K209" s="3691">
        <v>12</v>
      </c>
      <c r="L209" s="3691">
        <f t="shared" si="86"/>
        <v>78</v>
      </c>
      <c r="M209" s="3659">
        <v>45763</v>
      </c>
      <c r="N209" s="3659">
        <v>45759</v>
      </c>
      <c r="O209" s="4085"/>
      <c r="P209" s="3682" t="s">
        <v>82</v>
      </c>
      <c r="Q209" s="3682"/>
      <c r="R209" s="4083"/>
      <c r="S209" s="4083"/>
      <c r="T209" s="4083"/>
      <c r="U209" s="3645" t="s">
        <v>1123</v>
      </c>
      <c r="V209" s="3657" t="s">
        <v>3419</v>
      </c>
      <c r="W209" s="3657"/>
      <c r="X209" s="3657" t="s">
        <v>3420</v>
      </c>
      <c r="Y209" s="3657"/>
      <c r="Z209" s="3661"/>
      <c r="AA209" s="3620" t="s">
        <v>3421</v>
      </c>
      <c r="AB209" s="3691" t="s">
        <v>1257</v>
      </c>
      <c r="AC209" s="4087">
        <v>2.1891</v>
      </c>
      <c r="AD209" s="3691">
        <f t="shared" si="89"/>
        <v>2048.9976</v>
      </c>
      <c r="AE209" s="3645" t="s">
        <v>3422</v>
      </c>
      <c r="AF209" s="4395" t="s">
        <v>2604</v>
      </c>
      <c r="AG209" s="3645" t="s">
        <v>416</v>
      </c>
      <c r="AH209" s="875"/>
      <c r="AI209" s="3691"/>
      <c r="AJ209" s="3691"/>
      <c r="AK209" s="875"/>
      <c r="AL209" s="3664">
        <f t="shared" si="90"/>
        <v>936</v>
      </c>
      <c r="AM209" s="3664"/>
      <c r="AN209" s="3691"/>
      <c r="AO209" s="4089">
        <f t="shared" si="82"/>
        <v>936</v>
      </c>
      <c r="AP209" s="4089"/>
      <c r="AQ209" s="4089"/>
      <c r="AR209" s="877"/>
      <c r="AS209" s="4089">
        <f t="shared" ref="AS209:AS217" si="93">I209</f>
        <v>936</v>
      </c>
      <c r="AT209" s="877"/>
      <c r="AU209" s="4089"/>
      <c r="AV209" s="4089">
        <f>I209/6</f>
        <v>156</v>
      </c>
      <c r="AW209" s="4089"/>
      <c r="AX209" s="4089"/>
      <c r="AY209" s="4089"/>
      <c r="AZ209" s="4089"/>
      <c r="BA209" s="4089"/>
      <c r="BB209" s="4089"/>
      <c r="BC209" s="4089"/>
      <c r="BD209" s="4089"/>
      <c r="BE209" s="4089"/>
      <c r="BF209" s="4089" t="s">
        <v>89</v>
      </c>
      <c r="BG209" s="4089"/>
      <c r="BH209" s="4089">
        <f t="shared" ref="BH209:BH272" si="94">I209/60*10</f>
        <v>156</v>
      </c>
      <c r="BI209" s="4089">
        <f t="shared" ref="BI209:BI272" si="95">I209/60*10</f>
        <v>156</v>
      </c>
      <c r="BJ209" s="4089">
        <f t="shared" ref="BJ209:BJ272" si="96">I209/60*10</f>
        <v>156</v>
      </c>
      <c r="BK209" s="4403">
        <f t="shared" ref="BK209:BK272" si="97">I209/60*10</f>
        <v>156</v>
      </c>
      <c r="BL209" s="4385">
        <f t="shared" ref="BL209:BL272" si="98">I209/60*10</f>
        <v>156</v>
      </c>
      <c r="BM209" s="4403">
        <f t="shared" ref="BM209:BM272" si="99">I209/60*8</f>
        <v>124.8</v>
      </c>
      <c r="BN209" s="4089">
        <f t="shared" ref="BN209:BN272" si="100">I209/60*2</f>
        <v>31.2</v>
      </c>
      <c r="BO209" s="878"/>
      <c r="BP209" s="878"/>
      <c r="BQ209" s="878"/>
      <c r="BR209" s="878"/>
      <c r="BS209" s="878"/>
      <c r="BT209" s="879"/>
      <c r="BU209" s="880"/>
      <c r="BV209" s="4385">
        <f t="shared" si="81"/>
        <v>936</v>
      </c>
      <c r="BW209" s="4386">
        <f t="shared" si="88"/>
        <v>0</v>
      </c>
      <c r="BX209" s="4387"/>
      <c r="BY209" s="4387"/>
      <c r="BZ209" s="4387"/>
      <c r="CA209" s="4391"/>
      <c r="CC209" s="4392"/>
      <c r="CD209" s="4391"/>
    </row>
    <row r="210" s="4025" customFormat="1" ht="50" customHeight="1" spans="1:82">
      <c r="A210" s="3688">
        <v>45714</v>
      </c>
      <c r="B210" s="3689" t="s">
        <v>3423</v>
      </c>
      <c r="C210" s="3664" t="s">
        <v>1332</v>
      </c>
      <c r="D210" s="3690">
        <v>4500158535</v>
      </c>
      <c r="E210" s="3664"/>
      <c r="F210" s="3690" t="s">
        <v>3424</v>
      </c>
      <c r="G210" s="3664" t="s">
        <v>2577</v>
      </c>
      <c r="H210" s="3664" t="s">
        <v>2591</v>
      </c>
      <c r="I210" s="3691">
        <v>1260</v>
      </c>
      <c r="J210" s="3691">
        <v>0</v>
      </c>
      <c r="K210" s="3691">
        <v>12</v>
      </c>
      <c r="L210" s="3691">
        <f t="shared" si="86"/>
        <v>105</v>
      </c>
      <c r="M210" s="3659">
        <v>45763</v>
      </c>
      <c r="N210" s="3659">
        <v>45759</v>
      </c>
      <c r="O210" s="4085"/>
      <c r="P210" s="3682" t="s">
        <v>82</v>
      </c>
      <c r="Q210" s="3682"/>
      <c r="R210" s="4083"/>
      <c r="S210" s="4083"/>
      <c r="T210" s="4083"/>
      <c r="U210" s="3645" t="s">
        <v>1054</v>
      </c>
      <c r="V210" s="3657" t="s">
        <v>3419</v>
      </c>
      <c r="W210" s="3657"/>
      <c r="X210" s="3657" t="s">
        <v>3420</v>
      </c>
      <c r="Y210" s="3657"/>
      <c r="Z210" s="3661"/>
      <c r="AA210" s="3620" t="s">
        <v>3425</v>
      </c>
      <c r="AB210" s="3691" t="s">
        <v>1257</v>
      </c>
      <c r="AC210" s="4087">
        <v>2.1844</v>
      </c>
      <c r="AD210" s="3691">
        <f t="shared" si="89"/>
        <v>2752.344</v>
      </c>
      <c r="AE210" s="3645" t="s">
        <v>3426</v>
      </c>
      <c r="AF210" s="4395" t="s">
        <v>2604</v>
      </c>
      <c r="AG210" s="3645" t="s">
        <v>416</v>
      </c>
      <c r="AH210" s="875"/>
      <c r="AI210" s="3691"/>
      <c r="AJ210" s="3691"/>
      <c r="AK210" s="875"/>
      <c r="AL210" s="3664">
        <f t="shared" si="90"/>
        <v>1260</v>
      </c>
      <c r="AM210" s="3664"/>
      <c r="AN210" s="3691"/>
      <c r="AO210" s="4089">
        <f t="shared" si="82"/>
        <v>1260</v>
      </c>
      <c r="AP210" s="4089"/>
      <c r="AQ210" s="4089"/>
      <c r="AR210" s="877"/>
      <c r="AS210" s="4089">
        <f t="shared" si="93"/>
        <v>1260</v>
      </c>
      <c r="AT210" s="877"/>
      <c r="AU210" s="4089"/>
      <c r="AV210" s="4089">
        <f>I210/6</f>
        <v>210</v>
      </c>
      <c r="AW210" s="4089"/>
      <c r="AX210" s="4089"/>
      <c r="AY210" s="4089"/>
      <c r="AZ210" s="4089"/>
      <c r="BA210" s="4089"/>
      <c r="BB210" s="4089"/>
      <c r="BC210" s="4089"/>
      <c r="BD210" s="4089"/>
      <c r="BE210" s="4089"/>
      <c r="BF210" s="4089" t="s">
        <v>89</v>
      </c>
      <c r="BG210" s="4089"/>
      <c r="BH210" s="4089">
        <f t="shared" si="94"/>
        <v>210</v>
      </c>
      <c r="BI210" s="4089">
        <f t="shared" si="95"/>
        <v>210</v>
      </c>
      <c r="BJ210" s="4089">
        <f t="shared" si="96"/>
        <v>210</v>
      </c>
      <c r="BK210" s="4403">
        <f t="shared" si="97"/>
        <v>210</v>
      </c>
      <c r="BL210" s="4385">
        <f t="shared" si="98"/>
        <v>210</v>
      </c>
      <c r="BM210" s="4403">
        <f t="shared" si="99"/>
        <v>168</v>
      </c>
      <c r="BN210" s="4089">
        <f t="shared" si="100"/>
        <v>42</v>
      </c>
      <c r="BO210" s="878"/>
      <c r="BP210" s="878"/>
      <c r="BQ210" s="878"/>
      <c r="BR210" s="878"/>
      <c r="BS210" s="878"/>
      <c r="BT210" s="879"/>
      <c r="BU210" s="880"/>
      <c r="BV210" s="4385">
        <f t="shared" si="81"/>
        <v>1260</v>
      </c>
      <c r="BW210" s="4386">
        <f t="shared" si="88"/>
        <v>0</v>
      </c>
      <c r="BX210" s="4387"/>
      <c r="BY210" s="4387"/>
      <c r="BZ210" s="4387"/>
      <c r="CA210" s="4391"/>
      <c r="CC210" s="4392"/>
      <c r="CD210" s="4391"/>
    </row>
    <row r="211" s="4025" customFormat="1" ht="50" customHeight="1" spans="1:82">
      <c r="A211" s="3688">
        <v>45712</v>
      </c>
      <c r="B211" s="3689" t="s">
        <v>3427</v>
      </c>
      <c r="C211" s="3664" t="s">
        <v>3428</v>
      </c>
      <c r="D211" s="3690">
        <v>4500158302</v>
      </c>
      <c r="E211" s="3664"/>
      <c r="F211" s="3690" t="s">
        <v>3429</v>
      </c>
      <c r="G211" s="3664" t="s">
        <v>2577</v>
      </c>
      <c r="H211" s="3664" t="s">
        <v>2591</v>
      </c>
      <c r="I211" s="3691">
        <v>528</v>
      </c>
      <c r="J211" s="3691">
        <v>0</v>
      </c>
      <c r="K211" s="3691">
        <v>12</v>
      </c>
      <c r="L211" s="3691">
        <f t="shared" si="86"/>
        <v>44</v>
      </c>
      <c r="M211" s="3659">
        <v>45763</v>
      </c>
      <c r="N211" s="3659">
        <v>45759</v>
      </c>
      <c r="O211" s="4085"/>
      <c r="P211" s="3682" t="s">
        <v>82</v>
      </c>
      <c r="Q211" s="3682"/>
      <c r="R211" s="4083"/>
      <c r="S211" s="4083"/>
      <c r="T211" s="4083"/>
      <c r="U211" s="3645" t="s">
        <v>1123</v>
      </c>
      <c r="V211" s="3657" t="s">
        <v>3419</v>
      </c>
      <c r="W211" s="3657"/>
      <c r="X211" s="3657" t="s">
        <v>3430</v>
      </c>
      <c r="Y211" s="3657"/>
      <c r="Z211" s="3661"/>
      <c r="AA211" s="3620" t="s">
        <v>3431</v>
      </c>
      <c r="AB211" s="3691" t="s">
        <v>1257</v>
      </c>
      <c r="AC211" s="4087">
        <v>2.1891</v>
      </c>
      <c r="AD211" s="3691">
        <f t="shared" si="89"/>
        <v>1155.8448</v>
      </c>
      <c r="AE211" s="3645" t="s">
        <v>3432</v>
      </c>
      <c r="AF211" s="4395" t="s">
        <v>2604</v>
      </c>
      <c r="AG211" s="3645" t="s">
        <v>416</v>
      </c>
      <c r="AH211" s="875"/>
      <c r="AI211" s="3691"/>
      <c r="AJ211" s="3691"/>
      <c r="AK211" s="875"/>
      <c r="AL211" s="3664">
        <f t="shared" si="90"/>
        <v>528</v>
      </c>
      <c r="AM211" s="3664"/>
      <c r="AN211" s="3691"/>
      <c r="AO211" s="4089">
        <f t="shared" si="82"/>
        <v>528</v>
      </c>
      <c r="AP211" s="4089"/>
      <c r="AQ211" s="4089"/>
      <c r="AR211" s="877"/>
      <c r="AS211" s="4089">
        <f t="shared" si="93"/>
        <v>528</v>
      </c>
      <c r="AT211" s="877"/>
      <c r="AU211" s="4089"/>
      <c r="AV211" s="4089">
        <f>I211/6</f>
        <v>88</v>
      </c>
      <c r="AW211" s="4089"/>
      <c r="AX211" s="4089"/>
      <c r="AY211" s="4089"/>
      <c r="AZ211" s="4089"/>
      <c r="BA211" s="4089"/>
      <c r="BB211" s="4089"/>
      <c r="BC211" s="4089"/>
      <c r="BD211" s="4089"/>
      <c r="BE211" s="4089"/>
      <c r="BF211" s="4089" t="s">
        <v>89</v>
      </c>
      <c r="BG211" s="4089"/>
      <c r="BH211" s="4089">
        <f t="shared" si="94"/>
        <v>88</v>
      </c>
      <c r="BI211" s="4089">
        <f t="shared" si="95"/>
        <v>88</v>
      </c>
      <c r="BJ211" s="4089">
        <f t="shared" si="96"/>
        <v>88</v>
      </c>
      <c r="BK211" s="4403">
        <f t="shared" si="97"/>
        <v>88</v>
      </c>
      <c r="BL211" s="4385">
        <f t="shared" si="98"/>
        <v>88</v>
      </c>
      <c r="BM211" s="4403">
        <f t="shared" si="99"/>
        <v>70.4</v>
      </c>
      <c r="BN211" s="4089">
        <f t="shared" si="100"/>
        <v>17.6</v>
      </c>
      <c r="BO211" s="878"/>
      <c r="BP211" s="878"/>
      <c r="BQ211" s="878"/>
      <c r="BR211" s="878"/>
      <c r="BS211" s="878"/>
      <c r="BT211" s="879"/>
      <c r="BU211" s="880"/>
      <c r="BV211" s="4385">
        <f t="shared" si="81"/>
        <v>528</v>
      </c>
      <c r="BW211" s="4386">
        <f t="shared" si="88"/>
        <v>0</v>
      </c>
      <c r="BX211" s="4387"/>
      <c r="BY211" s="4387"/>
      <c r="BZ211" s="4387"/>
      <c r="CA211" s="4391"/>
      <c r="CC211" s="4392"/>
      <c r="CD211" s="4391"/>
    </row>
    <row r="212" s="4025" customFormat="1" ht="50" customHeight="1" spans="1:82">
      <c r="A212" s="3688">
        <v>45699</v>
      </c>
      <c r="B212" s="3689" t="s">
        <v>3256</v>
      </c>
      <c r="C212" s="3664" t="s">
        <v>91</v>
      </c>
      <c r="D212" s="3690">
        <v>4500157177</v>
      </c>
      <c r="E212" s="3664">
        <v>4551466806</v>
      </c>
      <c r="F212" s="3690" t="s">
        <v>3433</v>
      </c>
      <c r="G212" s="3664" t="s">
        <v>2719</v>
      </c>
      <c r="H212" s="3691" t="s">
        <v>2591</v>
      </c>
      <c r="I212" s="3691">
        <v>2766</v>
      </c>
      <c r="J212" s="3691">
        <v>0</v>
      </c>
      <c r="K212" s="3691">
        <v>6</v>
      </c>
      <c r="L212" s="3691">
        <f t="shared" si="86"/>
        <v>461</v>
      </c>
      <c r="M212" s="3659">
        <v>45764</v>
      </c>
      <c r="N212" s="3659">
        <v>45761</v>
      </c>
      <c r="O212" s="4085"/>
      <c r="P212" s="3682" t="s">
        <v>82</v>
      </c>
      <c r="Q212" s="3682"/>
      <c r="R212" s="4083"/>
      <c r="S212" s="4083"/>
      <c r="T212" s="4083"/>
      <c r="U212" s="3645" t="s">
        <v>1007</v>
      </c>
      <c r="V212" s="3657" t="s">
        <v>882</v>
      </c>
      <c r="W212" s="3657"/>
      <c r="X212" s="3657" t="s">
        <v>3259</v>
      </c>
      <c r="Y212" s="3657"/>
      <c r="Z212" s="3661" t="s">
        <v>3260</v>
      </c>
      <c r="AA212" s="3620" t="s">
        <v>3261</v>
      </c>
      <c r="AB212" s="3691" t="s">
        <v>3262</v>
      </c>
      <c r="AC212" s="3691">
        <v>2.2533</v>
      </c>
      <c r="AD212" s="3691">
        <f t="shared" si="89"/>
        <v>6232.6278</v>
      </c>
      <c r="AE212" s="3645" t="s">
        <v>3263</v>
      </c>
      <c r="AF212" s="3664" t="s">
        <v>2719</v>
      </c>
      <c r="AG212" s="3645" t="s">
        <v>416</v>
      </c>
      <c r="AH212" s="875"/>
      <c r="AI212" s="3691">
        <f t="shared" ref="AI212:AI217" si="101">I212</f>
        <v>2766</v>
      </c>
      <c r="AJ212" s="3691"/>
      <c r="AK212" s="875"/>
      <c r="AL212" s="3664"/>
      <c r="AM212" s="3664"/>
      <c r="AN212" s="3691"/>
      <c r="AO212" s="3691">
        <f t="shared" si="82"/>
        <v>2766</v>
      </c>
      <c r="AP212" s="3691"/>
      <c r="AQ212" s="4089"/>
      <c r="AR212" s="877"/>
      <c r="AS212" s="4089">
        <f t="shared" si="93"/>
        <v>2766</v>
      </c>
      <c r="AT212" s="877"/>
      <c r="AU212" s="4089"/>
      <c r="AV212" s="4089"/>
      <c r="AW212" s="4089"/>
      <c r="AX212" s="4089"/>
      <c r="AY212" s="4089"/>
      <c r="AZ212" s="4089"/>
      <c r="BA212" s="4089"/>
      <c r="BB212" s="4089"/>
      <c r="BC212" s="4089"/>
      <c r="BD212" s="4089"/>
      <c r="BE212" s="4089"/>
      <c r="BF212" s="4089" t="s">
        <v>89</v>
      </c>
      <c r="BG212" s="4089"/>
      <c r="BH212" s="4089">
        <f t="shared" si="94"/>
        <v>461</v>
      </c>
      <c r="BI212" s="4089">
        <f t="shared" si="95"/>
        <v>461</v>
      </c>
      <c r="BJ212" s="4089">
        <f t="shared" si="96"/>
        <v>461</v>
      </c>
      <c r="BK212" s="4089">
        <f t="shared" si="97"/>
        <v>461</v>
      </c>
      <c r="BL212" s="4089">
        <f t="shared" si="98"/>
        <v>461</v>
      </c>
      <c r="BM212" s="4089">
        <f t="shared" si="99"/>
        <v>368.8</v>
      </c>
      <c r="BN212" s="4089">
        <f t="shared" si="100"/>
        <v>92.2</v>
      </c>
      <c r="BO212" s="878"/>
      <c r="BP212" s="878"/>
      <c r="BQ212" s="878"/>
      <c r="BR212" s="878"/>
      <c r="BS212" s="878"/>
      <c r="BT212" s="879"/>
      <c r="BU212" s="880"/>
      <c r="BV212" s="4385">
        <f t="shared" si="81"/>
        <v>2766</v>
      </c>
      <c r="BW212" s="4386">
        <f t="shared" si="88"/>
        <v>0</v>
      </c>
      <c r="BX212" s="4387"/>
      <c r="BY212" s="4387"/>
      <c r="BZ212" s="4387"/>
      <c r="CA212" s="4391"/>
      <c r="CC212" s="4392"/>
      <c r="CD212" s="4391"/>
    </row>
    <row r="213" s="4025" customFormat="1" ht="50" customHeight="1" spans="1:82">
      <c r="A213" s="3688">
        <v>45699</v>
      </c>
      <c r="B213" s="3689" t="s">
        <v>3256</v>
      </c>
      <c r="C213" s="3664" t="s">
        <v>91</v>
      </c>
      <c r="D213" s="3690">
        <v>4500157177</v>
      </c>
      <c r="E213" s="3664">
        <v>4551467042</v>
      </c>
      <c r="F213" s="3690" t="s">
        <v>3434</v>
      </c>
      <c r="G213" s="3664" t="s">
        <v>2719</v>
      </c>
      <c r="H213" s="3691" t="s">
        <v>2591</v>
      </c>
      <c r="I213" s="3691">
        <v>4068</v>
      </c>
      <c r="J213" s="3691">
        <v>0</v>
      </c>
      <c r="K213" s="3691">
        <v>6</v>
      </c>
      <c r="L213" s="3691">
        <f t="shared" si="86"/>
        <v>678</v>
      </c>
      <c r="M213" s="3659">
        <v>45764</v>
      </c>
      <c r="N213" s="3659">
        <v>45761</v>
      </c>
      <c r="O213" s="4085"/>
      <c r="P213" s="3682" t="s">
        <v>82</v>
      </c>
      <c r="Q213" s="3682"/>
      <c r="R213" s="4083"/>
      <c r="S213" s="4083"/>
      <c r="T213" s="4083"/>
      <c r="U213" s="3645" t="s">
        <v>1007</v>
      </c>
      <c r="V213" s="3657" t="s">
        <v>882</v>
      </c>
      <c r="W213" s="3657"/>
      <c r="X213" s="3657" t="s">
        <v>3259</v>
      </c>
      <c r="Y213" s="3657"/>
      <c r="Z213" s="3661" t="s">
        <v>3260</v>
      </c>
      <c r="AA213" s="3620" t="s">
        <v>3261</v>
      </c>
      <c r="AB213" s="3691" t="s">
        <v>3262</v>
      </c>
      <c r="AC213" s="3691">
        <v>2.2498</v>
      </c>
      <c r="AD213" s="3691">
        <f t="shared" si="89"/>
        <v>9152.1864</v>
      </c>
      <c r="AE213" s="3645" t="s">
        <v>3263</v>
      </c>
      <c r="AF213" s="3664" t="s">
        <v>2719</v>
      </c>
      <c r="AG213" s="3645" t="s">
        <v>416</v>
      </c>
      <c r="AH213" s="875"/>
      <c r="AI213" s="3691">
        <f t="shared" si="101"/>
        <v>4068</v>
      </c>
      <c r="AJ213" s="3691"/>
      <c r="AK213" s="875"/>
      <c r="AL213" s="3664"/>
      <c r="AM213" s="3664"/>
      <c r="AN213" s="3691"/>
      <c r="AO213" s="3691">
        <f t="shared" si="82"/>
        <v>4068</v>
      </c>
      <c r="AP213" s="3691"/>
      <c r="AQ213" s="4089"/>
      <c r="AR213" s="877"/>
      <c r="AS213" s="4089">
        <f t="shared" si="93"/>
        <v>4068</v>
      </c>
      <c r="AT213" s="877"/>
      <c r="AU213" s="4089"/>
      <c r="AV213" s="4089"/>
      <c r="AW213" s="4089"/>
      <c r="AX213" s="4089"/>
      <c r="AY213" s="4089"/>
      <c r="AZ213" s="4089"/>
      <c r="BA213" s="4089"/>
      <c r="BB213" s="4089"/>
      <c r="BC213" s="4089"/>
      <c r="BD213" s="4089"/>
      <c r="BE213" s="4089"/>
      <c r="BF213" s="4089" t="s">
        <v>89</v>
      </c>
      <c r="BG213" s="4089"/>
      <c r="BH213" s="4089">
        <f t="shared" si="94"/>
        <v>678</v>
      </c>
      <c r="BI213" s="4089">
        <f t="shared" si="95"/>
        <v>678</v>
      </c>
      <c r="BJ213" s="4089">
        <f t="shared" si="96"/>
        <v>678</v>
      </c>
      <c r="BK213" s="4089">
        <f t="shared" si="97"/>
        <v>678</v>
      </c>
      <c r="BL213" s="4089">
        <f t="shared" si="98"/>
        <v>678</v>
      </c>
      <c r="BM213" s="4089">
        <f t="shared" si="99"/>
        <v>542.4</v>
      </c>
      <c r="BN213" s="4089">
        <f t="shared" si="100"/>
        <v>135.6</v>
      </c>
      <c r="BO213" s="878"/>
      <c r="BP213" s="878"/>
      <c r="BQ213" s="878"/>
      <c r="BR213" s="878"/>
      <c r="BS213" s="878"/>
      <c r="BT213" s="879"/>
      <c r="BU213" s="880"/>
      <c r="BV213" s="4385">
        <f t="shared" si="81"/>
        <v>4068</v>
      </c>
      <c r="BW213" s="4386">
        <f t="shared" si="88"/>
        <v>0</v>
      </c>
      <c r="BX213" s="4387"/>
      <c r="BY213" s="4387"/>
      <c r="BZ213" s="4387"/>
      <c r="CA213" s="4391"/>
      <c r="CC213" s="4392"/>
      <c r="CD213" s="4391"/>
    </row>
    <row r="214" s="4025" customFormat="1" ht="50" customHeight="1" spans="1:82">
      <c r="A214" s="3688">
        <v>45699</v>
      </c>
      <c r="B214" s="3689" t="s">
        <v>3256</v>
      </c>
      <c r="C214" s="3664" t="s">
        <v>91</v>
      </c>
      <c r="D214" s="3690">
        <v>4500157177</v>
      </c>
      <c r="E214" s="3664">
        <v>4551466906</v>
      </c>
      <c r="F214" s="3690" t="s">
        <v>3435</v>
      </c>
      <c r="G214" s="3664" t="s">
        <v>2719</v>
      </c>
      <c r="H214" s="3691" t="s">
        <v>2591</v>
      </c>
      <c r="I214" s="3691">
        <v>1812</v>
      </c>
      <c r="J214" s="3691">
        <v>0</v>
      </c>
      <c r="K214" s="3691">
        <v>6</v>
      </c>
      <c r="L214" s="3691">
        <f t="shared" si="86"/>
        <v>302</v>
      </c>
      <c r="M214" s="3659">
        <v>45764</v>
      </c>
      <c r="N214" s="3659">
        <v>45761</v>
      </c>
      <c r="O214" s="4085"/>
      <c r="P214" s="3682" t="s">
        <v>82</v>
      </c>
      <c r="Q214" s="3682"/>
      <c r="R214" s="4083"/>
      <c r="S214" s="4083"/>
      <c r="T214" s="4083"/>
      <c r="U214" s="3645" t="s">
        <v>1007</v>
      </c>
      <c r="V214" s="3657" t="s">
        <v>882</v>
      </c>
      <c r="W214" s="3657"/>
      <c r="X214" s="3657" t="s">
        <v>3259</v>
      </c>
      <c r="Y214" s="3657"/>
      <c r="Z214" s="3661" t="s">
        <v>3260</v>
      </c>
      <c r="AA214" s="3620" t="s">
        <v>3261</v>
      </c>
      <c r="AB214" s="3691" t="s">
        <v>3262</v>
      </c>
      <c r="AC214" s="3691">
        <v>2.2533</v>
      </c>
      <c r="AD214" s="3691">
        <f t="shared" si="89"/>
        <v>4082.9796</v>
      </c>
      <c r="AE214" s="3645" t="s">
        <v>3263</v>
      </c>
      <c r="AF214" s="3664" t="s">
        <v>2719</v>
      </c>
      <c r="AG214" s="3645" t="s">
        <v>416</v>
      </c>
      <c r="AH214" s="875"/>
      <c r="AI214" s="3691">
        <f t="shared" si="101"/>
        <v>1812</v>
      </c>
      <c r="AJ214" s="3691"/>
      <c r="AK214" s="875"/>
      <c r="AL214" s="3664"/>
      <c r="AM214" s="3664"/>
      <c r="AN214" s="3691"/>
      <c r="AO214" s="3691">
        <f t="shared" si="82"/>
        <v>1812</v>
      </c>
      <c r="AP214" s="3691"/>
      <c r="AQ214" s="4089"/>
      <c r="AR214" s="877"/>
      <c r="AS214" s="4089">
        <f t="shared" si="93"/>
        <v>1812</v>
      </c>
      <c r="AT214" s="877"/>
      <c r="AU214" s="4089"/>
      <c r="AV214" s="4089"/>
      <c r="AW214" s="4089"/>
      <c r="AX214" s="4089"/>
      <c r="AY214" s="4089"/>
      <c r="AZ214" s="4089"/>
      <c r="BA214" s="4089"/>
      <c r="BB214" s="4089"/>
      <c r="BC214" s="4089"/>
      <c r="BD214" s="4089"/>
      <c r="BE214" s="4089"/>
      <c r="BF214" s="4089" t="s">
        <v>89</v>
      </c>
      <c r="BG214" s="4089"/>
      <c r="BH214" s="4089">
        <f t="shared" si="94"/>
        <v>302</v>
      </c>
      <c r="BI214" s="4089">
        <f t="shared" si="95"/>
        <v>302</v>
      </c>
      <c r="BJ214" s="4089">
        <f t="shared" si="96"/>
        <v>302</v>
      </c>
      <c r="BK214" s="4089">
        <f t="shared" si="97"/>
        <v>302</v>
      </c>
      <c r="BL214" s="4089">
        <f t="shared" si="98"/>
        <v>302</v>
      </c>
      <c r="BM214" s="4089">
        <f t="shared" si="99"/>
        <v>241.6</v>
      </c>
      <c r="BN214" s="4089">
        <f t="shared" si="100"/>
        <v>60.4</v>
      </c>
      <c r="BO214" s="878"/>
      <c r="BP214" s="878"/>
      <c r="BQ214" s="878"/>
      <c r="BR214" s="878"/>
      <c r="BS214" s="878"/>
      <c r="BT214" s="879"/>
      <c r="BU214" s="880"/>
      <c r="BV214" s="4385">
        <f t="shared" si="81"/>
        <v>1812</v>
      </c>
      <c r="BW214" s="4386">
        <f t="shared" si="88"/>
        <v>0</v>
      </c>
      <c r="BX214" s="4387"/>
      <c r="BY214" s="4387"/>
      <c r="BZ214" s="4387"/>
      <c r="CA214" s="4391"/>
      <c r="CC214" s="4392"/>
      <c r="CD214" s="4391"/>
    </row>
    <row r="215" s="4025" customFormat="1" ht="50" customHeight="1" spans="1:82">
      <c r="A215" s="3688">
        <v>45699</v>
      </c>
      <c r="B215" s="3689" t="s">
        <v>3256</v>
      </c>
      <c r="C215" s="3664" t="s">
        <v>91</v>
      </c>
      <c r="D215" s="3690">
        <v>4500157177</v>
      </c>
      <c r="E215" s="3664">
        <v>4551467155</v>
      </c>
      <c r="F215" s="3690" t="s">
        <v>3436</v>
      </c>
      <c r="G215" s="3664" t="s">
        <v>2719</v>
      </c>
      <c r="H215" s="3691" t="s">
        <v>2591</v>
      </c>
      <c r="I215" s="3691">
        <v>576</v>
      </c>
      <c r="J215" s="3691">
        <v>0</v>
      </c>
      <c r="K215" s="3691">
        <v>6</v>
      </c>
      <c r="L215" s="3691">
        <f t="shared" si="86"/>
        <v>96</v>
      </c>
      <c r="M215" s="3659">
        <v>45764</v>
      </c>
      <c r="N215" s="3659">
        <v>45761</v>
      </c>
      <c r="O215" s="4085"/>
      <c r="P215" s="3682" t="s">
        <v>82</v>
      </c>
      <c r="Q215" s="3682"/>
      <c r="R215" s="4083"/>
      <c r="S215" s="4083"/>
      <c r="T215" s="4083"/>
      <c r="U215" s="3645" t="s">
        <v>1007</v>
      </c>
      <c r="V215" s="3657" t="s">
        <v>882</v>
      </c>
      <c r="W215" s="3657"/>
      <c r="X215" s="3657" t="s">
        <v>3259</v>
      </c>
      <c r="Y215" s="3657"/>
      <c r="Z215" s="3661" t="s">
        <v>3260</v>
      </c>
      <c r="AA215" s="3620" t="s">
        <v>3261</v>
      </c>
      <c r="AB215" s="3691" t="s">
        <v>3262</v>
      </c>
      <c r="AC215" s="4087">
        <v>2.258</v>
      </c>
      <c r="AD215" s="3691">
        <f t="shared" si="89"/>
        <v>1300.608</v>
      </c>
      <c r="AE215" s="3645" t="s">
        <v>3263</v>
      </c>
      <c r="AF215" s="3664" t="s">
        <v>2719</v>
      </c>
      <c r="AG215" s="3645" t="s">
        <v>416</v>
      </c>
      <c r="AH215" s="875"/>
      <c r="AI215" s="3691">
        <f t="shared" si="101"/>
        <v>576</v>
      </c>
      <c r="AJ215" s="3691"/>
      <c r="AK215" s="875"/>
      <c r="AL215" s="3664"/>
      <c r="AM215" s="3664"/>
      <c r="AN215" s="3691"/>
      <c r="AO215" s="3691">
        <f t="shared" si="82"/>
        <v>576</v>
      </c>
      <c r="AP215" s="3691"/>
      <c r="AQ215" s="4089"/>
      <c r="AR215" s="877"/>
      <c r="AS215" s="4089">
        <f t="shared" si="93"/>
        <v>576</v>
      </c>
      <c r="AT215" s="877"/>
      <c r="AU215" s="4089"/>
      <c r="AV215" s="4089"/>
      <c r="AW215" s="4089"/>
      <c r="AX215" s="4089"/>
      <c r="AY215" s="4089"/>
      <c r="AZ215" s="4089"/>
      <c r="BA215" s="4089"/>
      <c r="BB215" s="4089"/>
      <c r="BC215" s="4089"/>
      <c r="BD215" s="4089"/>
      <c r="BE215" s="4089"/>
      <c r="BF215" s="4089" t="s">
        <v>89</v>
      </c>
      <c r="BG215" s="4089"/>
      <c r="BH215" s="4089">
        <f t="shared" si="94"/>
        <v>96</v>
      </c>
      <c r="BI215" s="4089">
        <f t="shared" si="95"/>
        <v>96</v>
      </c>
      <c r="BJ215" s="4089">
        <f t="shared" si="96"/>
        <v>96</v>
      </c>
      <c r="BK215" s="4089">
        <f t="shared" si="97"/>
        <v>96</v>
      </c>
      <c r="BL215" s="4089">
        <f t="shared" si="98"/>
        <v>96</v>
      </c>
      <c r="BM215" s="4089">
        <f t="shared" si="99"/>
        <v>76.8</v>
      </c>
      <c r="BN215" s="4089">
        <f t="shared" si="100"/>
        <v>19.2</v>
      </c>
      <c r="BO215" s="878"/>
      <c r="BP215" s="878"/>
      <c r="BQ215" s="878"/>
      <c r="BR215" s="878"/>
      <c r="BS215" s="878"/>
      <c r="BT215" s="879"/>
      <c r="BU215" s="880"/>
      <c r="BV215" s="4385">
        <f t="shared" si="81"/>
        <v>576</v>
      </c>
      <c r="BW215" s="4386">
        <f t="shared" si="88"/>
        <v>0</v>
      </c>
      <c r="BX215" s="4387"/>
      <c r="BY215" s="4387"/>
      <c r="BZ215" s="4387"/>
      <c r="CA215" s="4391"/>
      <c r="CC215" s="4392"/>
      <c r="CD215" s="4391"/>
    </row>
    <row r="216" s="4025" customFormat="1" ht="50" customHeight="1" spans="1:82">
      <c r="A216" s="3688">
        <v>45699</v>
      </c>
      <c r="B216" s="3689" t="s">
        <v>3256</v>
      </c>
      <c r="C216" s="3664" t="s">
        <v>91</v>
      </c>
      <c r="D216" s="3690">
        <v>4500157177</v>
      </c>
      <c r="E216" s="3664">
        <v>4551467211</v>
      </c>
      <c r="F216" s="3690" t="s">
        <v>3437</v>
      </c>
      <c r="G216" s="3664" t="s">
        <v>2719</v>
      </c>
      <c r="H216" s="3691" t="s">
        <v>2591</v>
      </c>
      <c r="I216" s="3691">
        <v>2520</v>
      </c>
      <c r="J216" s="3691">
        <v>0</v>
      </c>
      <c r="K216" s="3691">
        <v>6</v>
      </c>
      <c r="L216" s="3691">
        <f t="shared" si="86"/>
        <v>420</v>
      </c>
      <c r="M216" s="3659">
        <v>45764</v>
      </c>
      <c r="N216" s="3659">
        <v>45761</v>
      </c>
      <c r="O216" s="4085"/>
      <c r="P216" s="3682" t="s">
        <v>82</v>
      </c>
      <c r="Q216" s="3682"/>
      <c r="R216" s="4083"/>
      <c r="S216" s="4083"/>
      <c r="T216" s="4083"/>
      <c r="U216" s="3645" t="s">
        <v>1007</v>
      </c>
      <c r="V216" s="3657" t="s">
        <v>882</v>
      </c>
      <c r="W216" s="3657"/>
      <c r="X216" s="3657" t="s">
        <v>3259</v>
      </c>
      <c r="Y216" s="3657"/>
      <c r="Z216" s="3661" t="s">
        <v>3260</v>
      </c>
      <c r="AA216" s="3620" t="s">
        <v>3261</v>
      </c>
      <c r="AB216" s="3691" t="s">
        <v>3262</v>
      </c>
      <c r="AC216" s="3691">
        <v>2.2533</v>
      </c>
      <c r="AD216" s="3691">
        <f t="shared" si="89"/>
        <v>5678.316</v>
      </c>
      <c r="AE216" s="3645" t="s">
        <v>3263</v>
      </c>
      <c r="AF216" s="3664" t="s">
        <v>2719</v>
      </c>
      <c r="AG216" s="3645" t="s">
        <v>416</v>
      </c>
      <c r="AH216" s="875"/>
      <c r="AI216" s="3691">
        <f t="shared" si="101"/>
        <v>2520</v>
      </c>
      <c r="AJ216" s="3691"/>
      <c r="AK216" s="875"/>
      <c r="AL216" s="3664"/>
      <c r="AM216" s="3664"/>
      <c r="AN216" s="3691"/>
      <c r="AO216" s="3691">
        <f t="shared" si="82"/>
        <v>2520</v>
      </c>
      <c r="AP216" s="3691"/>
      <c r="AQ216" s="4089"/>
      <c r="AR216" s="877"/>
      <c r="AS216" s="4089">
        <f t="shared" si="93"/>
        <v>2520</v>
      </c>
      <c r="AT216" s="877"/>
      <c r="AU216" s="4089"/>
      <c r="AV216" s="4089"/>
      <c r="AW216" s="4089"/>
      <c r="AX216" s="4089"/>
      <c r="AY216" s="4089"/>
      <c r="AZ216" s="4089"/>
      <c r="BA216" s="4089"/>
      <c r="BB216" s="4089"/>
      <c r="BC216" s="4089"/>
      <c r="BD216" s="4089"/>
      <c r="BE216" s="4089"/>
      <c r="BF216" s="4089" t="s">
        <v>89</v>
      </c>
      <c r="BG216" s="4089"/>
      <c r="BH216" s="4089">
        <f t="shared" si="94"/>
        <v>420</v>
      </c>
      <c r="BI216" s="4089">
        <f t="shared" si="95"/>
        <v>420</v>
      </c>
      <c r="BJ216" s="4089">
        <f t="shared" si="96"/>
        <v>420</v>
      </c>
      <c r="BK216" s="4089">
        <f t="shared" si="97"/>
        <v>420</v>
      </c>
      <c r="BL216" s="4089">
        <f t="shared" si="98"/>
        <v>420</v>
      </c>
      <c r="BM216" s="4089">
        <f t="shared" si="99"/>
        <v>336</v>
      </c>
      <c r="BN216" s="4089">
        <f t="shared" si="100"/>
        <v>84</v>
      </c>
      <c r="BO216" s="878"/>
      <c r="BP216" s="878"/>
      <c r="BQ216" s="878"/>
      <c r="BR216" s="878"/>
      <c r="BS216" s="878"/>
      <c r="BT216" s="879"/>
      <c r="BU216" s="880"/>
      <c r="BV216" s="4385">
        <f t="shared" si="81"/>
        <v>2520</v>
      </c>
      <c r="BW216" s="4386">
        <f t="shared" si="88"/>
        <v>0</v>
      </c>
      <c r="BX216" s="4387"/>
      <c r="BY216" s="4387"/>
      <c r="BZ216" s="4387"/>
      <c r="CA216" s="4391"/>
      <c r="CC216" s="4392"/>
      <c r="CD216" s="4391"/>
    </row>
    <row r="217" s="4025" customFormat="1" ht="50" customHeight="1" spans="1:82">
      <c r="A217" s="3688">
        <v>45699</v>
      </c>
      <c r="B217" s="3689" t="s">
        <v>3256</v>
      </c>
      <c r="C217" s="3664" t="s">
        <v>91</v>
      </c>
      <c r="D217" s="3690">
        <v>4500157177</v>
      </c>
      <c r="E217" s="3664">
        <v>4551466845</v>
      </c>
      <c r="F217" s="3690" t="s">
        <v>3438</v>
      </c>
      <c r="G217" s="3664" t="s">
        <v>2719</v>
      </c>
      <c r="H217" s="3691" t="s">
        <v>2591</v>
      </c>
      <c r="I217" s="3691">
        <v>744</v>
      </c>
      <c r="J217" s="3691">
        <v>0</v>
      </c>
      <c r="K217" s="3691">
        <v>6</v>
      </c>
      <c r="L217" s="3691">
        <f t="shared" si="86"/>
        <v>124</v>
      </c>
      <c r="M217" s="3659">
        <v>45764</v>
      </c>
      <c r="N217" s="3659">
        <v>45761</v>
      </c>
      <c r="O217" s="4085"/>
      <c r="P217" s="3682" t="s">
        <v>82</v>
      </c>
      <c r="Q217" s="3682"/>
      <c r="R217" s="4083"/>
      <c r="S217" s="4083"/>
      <c r="T217" s="4083"/>
      <c r="U217" s="3645" t="s">
        <v>1007</v>
      </c>
      <c r="V217" s="3657" t="s">
        <v>882</v>
      </c>
      <c r="W217" s="3657"/>
      <c r="X217" s="3657" t="s">
        <v>3259</v>
      </c>
      <c r="Y217" s="3657"/>
      <c r="Z217" s="3661" t="s">
        <v>3260</v>
      </c>
      <c r="AA217" s="3620" t="s">
        <v>3261</v>
      </c>
      <c r="AB217" s="3691" t="s">
        <v>3262</v>
      </c>
      <c r="AC217" s="4087">
        <v>2.258</v>
      </c>
      <c r="AD217" s="3691">
        <f t="shared" si="89"/>
        <v>1679.952</v>
      </c>
      <c r="AE217" s="3645" t="s">
        <v>3263</v>
      </c>
      <c r="AF217" s="3664" t="s">
        <v>2719</v>
      </c>
      <c r="AG217" s="3645" t="s">
        <v>416</v>
      </c>
      <c r="AH217" s="875"/>
      <c r="AI217" s="3691">
        <f t="shared" si="101"/>
        <v>744</v>
      </c>
      <c r="AJ217" s="3691"/>
      <c r="AK217" s="875"/>
      <c r="AL217" s="3664"/>
      <c r="AM217" s="3664"/>
      <c r="AN217" s="3691"/>
      <c r="AO217" s="3691">
        <f t="shared" si="82"/>
        <v>744</v>
      </c>
      <c r="AP217" s="3691"/>
      <c r="AQ217" s="4089"/>
      <c r="AR217" s="877"/>
      <c r="AS217" s="4089">
        <f t="shared" si="93"/>
        <v>744</v>
      </c>
      <c r="AT217" s="877"/>
      <c r="AU217" s="4089"/>
      <c r="AV217" s="4089"/>
      <c r="AW217" s="4089"/>
      <c r="AX217" s="4089"/>
      <c r="AY217" s="4089"/>
      <c r="AZ217" s="4089"/>
      <c r="BA217" s="4089"/>
      <c r="BB217" s="4089"/>
      <c r="BC217" s="4089"/>
      <c r="BD217" s="4089"/>
      <c r="BE217" s="4089"/>
      <c r="BF217" s="4089" t="s">
        <v>89</v>
      </c>
      <c r="BG217" s="4089"/>
      <c r="BH217" s="4089">
        <f t="shared" si="94"/>
        <v>124</v>
      </c>
      <c r="BI217" s="4089">
        <f t="shared" si="95"/>
        <v>124</v>
      </c>
      <c r="BJ217" s="4089">
        <f t="shared" si="96"/>
        <v>124</v>
      </c>
      <c r="BK217" s="4089">
        <f t="shared" si="97"/>
        <v>124</v>
      </c>
      <c r="BL217" s="4089">
        <f t="shared" si="98"/>
        <v>124</v>
      </c>
      <c r="BM217" s="4089">
        <f t="shared" si="99"/>
        <v>99.2</v>
      </c>
      <c r="BN217" s="4089">
        <f t="shared" si="100"/>
        <v>24.8</v>
      </c>
      <c r="BO217" s="878"/>
      <c r="BP217" s="878"/>
      <c r="BQ217" s="878"/>
      <c r="BR217" s="878"/>
      <c r="BS217" s="878"/>
      <c r="BT217" s="879"/>
      <c r="BU217" s="880"/>
      <c r="BV217" s="4385">
        <f t="shared" si="81"/>
        <v>744</v>
      </c>
      <c r="BW217" s="4386">
        <f t="shared" si="88"/>
        <v>0</v>
      </c>
      <c r="BX217" s="4387"/>
      <c r="BY217" s="4387"/>
      <c r="BZ217" s="4387"/>
      <c r="CA217" s="4391"/>
      <c r="CC217" s="4392"/>
      <c r="CD217" s="4391"/>
    </row>
    <row r="218" s="4025" customFormat="1" ht="50" customHeight="1" spans="1:82">
      <c r="A218" s="3688">
        <v>45720</v>
      </c>
      <c r="B218" s="3689" t="s">
        <v>1057</v>
      </c>
      <c r="C218" s="3664" t="s">
        <v>396</v>
      </c>
      <c r="D218" s="3690">
        <v>4500158873</v>
      </c>
      <c r="E218" s="3664" t="s">
        <v>3439</v>
      </c>
      <c r="F218" s="3690" t="s">
        <v>3440</v>
      </c>
      <c r="G218" s="3664" t="s">
        <v>2619</v>
      </c>
      <c r="H218" s="3664" t="s">
        <v>2620</v>
      </c>
      <c r="I218" s="3691">
        <v>216</v>
      </c>
      <c r="J218" s="3691">
        <v>0</v>
      </c>
      <c r="K218" s="3691">
        <v>24</v>
      </c>
      <c r="L218" s="3691">
        <f t="shared" si="86"/>
        <v>9</v>
      </c>
      <c r="M218" s="3659">
        <v>45768</v>
      </c>
      <c r="N218" s="3659">
        <v>45764</v>
      </c>
      <c r="O218" s="4085"/>
      <c r="P218" s="3682" t="s">
        <v>82</v>
      </c>
      <c r="Q218" s="3682"/>
      <c r="R218" s="4083"/>
      <c r="S218" s="4083"/>
      <c r="T218" s="4083"/>
      <c r="U218" s="3645" t="s">
        <v>1062</v>
      </c>
      <c r="V218" s="3657" t="s">
        <v>1063</v>
      </c>
      <c r="W218" s="3657"/>
      <c r="X218" s="3657" t="s">
        <v>3441</v>
      </c>
      <c r="Y218" s="3657" t="s">
        <v>3442</v>
      </c>
      <c r="Z218" s="3661"/>
      <c r="AA218" s="3620" t="s">
        <v>3443</v>
      </c>
      <c r="AB218" s="3691" t="s">
        <v>405</v>
      </c>
      <c r="AC218" s="3691">
        <v>2.1285</v>
      </c>
      <c r="AD218" s="3691">
        <f t="shared" si="89"/>
        <v>459.756</v>
      </c>
      <c r="AE218" s="3645" t="s">
        <v>1066</v>
      </c>
      <c r="AF218" s="3664" t="s">
        <v>3444</v>
      </c>
      <c r="AG218" s="3645" t="s">
        <v>416</v>
      </c>
      <c r="AH218" s="875"/>
      <c r="AI218" s="3691"/>
      <c r="AJ218" s="3691"/>
      <c r="AK218" s="875"/>
      <c r="AL218" s="3664">
        <f t="shared" ref="AL218:AL227" si="102">I218</f>
        <v>216</v>
      </c>
      <c r="AM218" s="3664"/>
      <c r="AN218" s="3691"/>
      <c r="AO218" s="3691">
        <f t="shared" si="82"/>
        <v>216</v>
      </c>
      <c r="AP218" s="3691"/>
      <c r="AQ218" s="4089"/>
      <c r="AR218" s="877"/>
      <c r="AS218" s="4089"/>
      <c r="AT218" s="877"/>
      <c r="AU218" s="4089">
        <f t="shared" ref="AU218:AU226" si="103">I218</f>
        <v>216</v>
      </c>
      <c r="AV218" s="4089"/>
      <c r="AW218" s="4089"/>
      <c r="AX218" s="4089"/>
      <c r="AY218" s="4089"/>
      <c r="AZ218" s="4089"/>
      <c r="BA218" s="4089"/>
      <c r="BB218" s="4089"/>
      <c r="BC218" s="4089"/>
      <c r="BD218" s="4089"/>
      <c r="BE218" s="4089"/>
      <c r="BF218" s="4089" t="s">
        <v>89</v>
      </c>
      <c r="BG218" s="4089"/>
      <c r="BH218" s="4089">
        <f t="shared" si="94"/>
        <v>36</v>
      </c>
      <c r="BI218" s="4089">
        <f t="shared" si="95"/>
        <v>36</v>
      </c>
      <c r="BJ218" s="4089">
        <f t="shared" si="96"/>
        <v>36</v>
      </c>
      <c r="BK218" s="4089">
        <f t="shared" si="97"/>
        <v>36</v>
      </c>
      <c r="BL218" s="4089">
        <f t="shared" si="98"/>
        <v>36</v>
      </c>
      <c r="BM218" s="4089">
        <f t="shared" si="99"/>
        <v>28.8</v>
      </c>
      <c r="BN218" s="4089">
        <f t="shared" si="100"/>
        <v>7.2</v>
      </c>
      <c r="BO218" s="878"/>
      <c r="BP218" s="878"/>
      <c r="BQ218" s="878"/>
      <c r="BR218" s="878"/>
      <c r="BS218" s="878"/>
      <c r="BT218" s="879"/>
      <c r="BU218" s="4384"/>
      <c r="BV218" s="4385">
        <f t="shared" si="81"/>
        <v>216</v>
      </c>
      <c r="BW218" s="4386">
        <f t="shared" si="88"/>
        <v>0</v>
      </c>
      <c r="BX218" s="4387"/>
      <c r="BY218" s="4387"/>
      <c r="BZ218" s="4387"/>
      <c r="CA218" s="4391"/>
      <c r="CC218" s="4392"/>
      <c r="CD218" s="4391"/>
    </row>
    <row r="219" s="4025" customFormat="1" ht="50" customHeight="1" spans="1:82">
      <c r="A219" s="3688">
        <v>45720</v>
      </c>
      <c r="B219" s="3689" t="s">
        <v>1057</v>
      </c>
      <c r="C219" s="3664" t="s">
        <v>396</v>
      </c>
      <c r="D219" s="3690">
        <v>4500158873</v>
      </c>
      <c r="E219" s="3664" t="s">
        <v>1077</v>
      </c>
      <c r="F219" s="3690" t="s">
        <v>3445</v>
      </c>
      <c r="G219" s="3664" t="s">
        <v>2619</v>
      </c>
      <c r="H219" s="3664" t="s">
        <v>2620</v>
      </c>
      <c r="I219" s="3691">
        <v>600</v>
      </c>
      <c r="J219" s="3691">
        <v>0</v>
      </c>
      <c r="K219" s="3691">
        <v>24</v>
      </c>
      <c r="L219" s="3691">
        <f t="shared" si="86"/>
        <v>25</v>
      </c>
      <c r="M219" s="3659">
        <v>45768</v>
      </c>
      <c r="N219" s="3659">
        <v>45764</v>
      </c>
      <c r="O219" s="4085"/>
      <c r="P219" s="3682" t="s">
        <v>82</v>
      </c>
      <c r="Q219" s="3682"/>
      <c r="R219" s="4083"/>
      <c r="S219" s="4083"/>
      <c r="T219" s="4083"/>
      <c r="U219" s="3645" t="s">
        <v>1062</v>
      </c>
      <c r="V219" s="3657" t="s">
        <v>1063</v>
      </c>
      <c r="W219" s="3657"/>
      <c r="X219" s="3657" t="s">
        <v>3441</v>
      </c>
      <c r="Y219" s="3657" t="s">
        <v>3442</v>
      </c>
      <c r="Z219" s="3661"/>
      <c r="AA219" s="3620" t="s">
        <v>3446</v>
      </c>
      <c r="AB219" s="3691" t="s">
        <v>405</v>
      </c>
      <c r="AC219" s="3691">
        <v>2.0793</v>
      </c>
      <c r="AD219" s="3691">
        <f t="shared" si="89"/>
        <v>1247.58</v>
      </c>
      <c r="AE219" s="3645" t="s">
        <v>1080</v>
      </c>
      <c r="AF219" s="3664" t="s">
        <v>3444</v>
      </c>
      <c r="AG219" s="3645" t="s">
        <v>416</v>
      </c>
      <c r="AH219" s="875"/>
      <c r="AI219" s="3691"/>
      <c r="AJ219" s="3691"/>
      <c r="AK219" s="875"/>
      <c r="AL219" s="3664">
        <f t="shared" si="102"/>
        <v>600</v>
      </c>
      <c r="AM219" s="3664"/>
      <c r="AN219" s="3691"/>
      <c r="AO219" s="3691">
        <f t="shared" si="82"/>
        <v>600</v>
      </c>
      <c r="AP219" s="3691"/>
      <c r="AQ219" s="4089"/>
      <c r="AR219" s="877"/>
      <c r="AS219" s="4089"/>
      <c r="AT219" s="877"/>
      <c r="AU219" s="4089">
        <f t="shared" si="103"/>
        <v>600</v>
      </c>
      <c r="AV219" s="4089"/>
      <c r="AW219" s="4089"/>
      <c r="AX219" s="4089"/>
      <c r="AY219" s="4089"/>
      <c r="AZ219" s="4089"/>
      <c r="BA219" s="4089"/>
      <c r="BB219" s="4089"/>
      <c r="BC219" s="4089"/>
      <c r="BD219" s="4089"/>
      <c r="BE219" s="4089"/>
      <c r="BF219" s="4089" t="s">
        <v>89</v>
      </c>
      <c r="BG219" s="4089"/>
      <c r="BH219" s="4089">
        <f t="shared" si="94"/>
        <v>100</v>
      </c>
      <c r="BI219" s="4089">
        <f t="shared" si="95"/>
        <v>100</v>
      </c>
      <c r="BJ219" s="4089">
        <f t="shared" si="96"/>
        <v>100</v>
      </c>
      <c r="BK219" s="4089">
        <f t="shared" si="97"/>
        <v>100</v>
      </c>
      <c r="BL219" s="4089">
        <f t="shared" si="98"/>
        <v>100</v>
      </c>
      <c r="BM219" s="4089">
        <f t="shared" si="99"/>
        <v>80</v>
      </c>
      <c r="BN219" s="4089">
        <f t="shared" si="100"/>
        <v>20</v>
      </c>
      <c r="BO219" s="877"/>
      <c r="BP219" s="877"/>
      <c r="BQ219" s="877"/>
      <c r="BR219" s="877"/>
      <c r="BS219" s="877"/>
      <c r="BT219" s="991"/>
      <c r="BU219" s="992"/>
      <c r="BV219" s="4385">
        <f t="shared" si="81"/>
        <v>600</v>
      </c>
      <c r="BW219" s="4386">
        <f t="shared" si="88"/>
        <v>0</v>
      </c>
      <c r="BX219" s="4387"/>
      <c r="BY219" s="4387"/>
      <c r="BZ219" s="4387"/>
      <c r="CA219" s="4391"/>
      <c r="CC219" s="4392"/>
      <c r="CD219" s="4391"/>
    </row>
    <row r="220" s="4025" customFormat="1" ht="50" customHeight="1" spans="1:82">
      <c r="A220" s="3688">
        <v>45720</v>
      </c>
      <c r="B220" s="3689" t="s">
        <v>1057</v>
      </c>
      <c r="C220" s="3664" t="s">
        <v>396</v>
      </c>
      <c r="D220" s="3690">
        <v>4500158873</v>
      </c>
      <c r="E220" s="3664" t="s">
        <v>3447</v>
      </c>
      <c r="F220" s="3690" t="s">
        <v>3448</v>
      </c>
      <c r="G220" s="3664" t="s">
        <v>2619</v>
      </c>
      <c r="H220" s="3664" t="s">
        <v>2620</v>
      </c>
      <c r="I220" s="3691">
        <v>216</v>
      </c>
      <c r="J220" s="3691">
        <v>0</v>
      </c>
      <c r="K220" s="3691">
        <v>24</v>
      </c>
      <c r="L220" s="3691">
        <f t="shared" si="86"/>
        <v>9</v>
      </c>
      <c r="M220" s="3659">
        <v>45768</v>
      </c>
      <c r="N220" s="3659">
        <v>45764</v>
      </c>
      <c r="O220" s="4085"/>
      <c r="P220" s="3682" t="s">
        <v>82</v>
      </c>
      <c r="Q220" s="3682"/>
      <c r="R220" s="4083"/>
      <c r="S220" s="4083"/>
      <c r="T220" s="4083"/>
      <c r="U220" s="3645" t="s">
        <v>1062</v>
      </c>
      <c r="V220" s="3657" t="s">
        <v>1063</v>
      </c>
      <c r="W220" s="3657"/>
      <c r="X220" s="3657" t="s">
        <v>3441</v>
      </c>
      <c r="Y220" s="3657" t="s">
        <v>3442</v>
      </c>
      <c r="Z220" s="3661"/>
      <c r="AA220" s="3620" t="s">
        <v>3446</v>
      </c>
      <c r="AB220" s="3691" t="s">
        <v>405</v>
      </c>
      <c r="AC220" s="3691">
        <v>2.1285</v>
      </c>
      <c r="AD220" s="3691">
        <f t="shared" si="89"/>
        <v>459.756</v>
      </c>
      <c r="AE220" s="3645" t="s">
        <v>1066</v>
      </c>
      <c r="AF220" s="3664" t="s">
        <v>3444</v>
      </c>
      <c r="AG220" s="3645" t="s">
        <v>416</v>
      </c>
      <c r="AH220" s="875"/>
      <c r="AI220" s="3691"/>
      <c r="AJ220" s="3691"/>
      <c r="AK220" s="875"/>
      <c r="AL220" s="3664">
        <f t="shared" si="102"/>
        <v>216</v>
      </c>
      <c r="AM220" s="3664"/>
      <c r="AN220" s="3691"/>
      <c r="AO220" s="3691">
        <f t="shared" si="82"/>
        <v>216</v>
      </c>
      <c r="AP220" s="3691"/>
      <c r="AQ220" s="4089"/>
      <c r="AR220" s="877"/>
      <c r="AS220" s="4089"/>
      <c r="AT220" s="877"/>
      <c r="AU220" s="4089">
        <f t="shared" si="103"/>
        <v>216</v>
      </c>
      <c r="AV220" s="4089"/>
      <c r="AW220" s="4089"/>
      <c r="AX220" s="4089"/>
      <c r="AY220" s="4089"/>
      <c r="AZ220" s="4089"/>
      <c r="BA220" s="4089"/>
      <c r="BB220" s="4089"/>
      <c r="BC220" s="4089"/>
      <c r="BD220" s="4089"/>
      <c r="BE220" s="4089"/>
      <c r="BF220" s="4089" t="s">
        <v>89</v>
      </c>
      <c r="BG220" s="4089"/>
      <c r="BH220" s="4089">
        <f t="shared" si="94"/>
        <v>36</v>
      </c>
      <c r="BI220" s="4089">
        <f t="shared" si="95"/>
        <v>36</v>
      </c>
      <c r="BJ220" s="4089">
        <f t="shared" si="96"/>
        <v>36</v>
      </c>
      <c r="BK220" s="4089">
        <f t="shared" si="97"/>
        <v>36</v>
      </c>
      <c r="BL220" s="4089">
        <f t="shared" si="98"/>
        <v>36</v>
      </c>
      <c r="BM220" s="4089">
        <f t="shared" si="99"/>
        <v>28.8</v>
      </c>
      <c r="BN220" s="4089">
        <f t="shared" si="100"/>
        <v>7.2</v>
      </c>
      <c r="BO220" s="877"/>
      <c r="BP220" s="877"/>
      <c r="BQ220" s="877"/>
      <c r="BR220" s="877"/>
      <c r="BS220" s="877"/>
      <c r="BT220" s="991"/>
      <c r="BU220" s="992"/>
      <c r="BV220" s="4385">
        <f t="shared" si="81"/>
        <v>216</v>
      </c>
      <c r="BW220" s="4386">
        <f t="shared" si="88"/>
        <v>0</v>
      </c>
      <c r="BX220" s="4387"/>
      <c r="BY220" s="4387"/>
      <c r="BZ220" s="4387"/>
      <c r="CA220" s="4391"/>
      <c r="CC220" s="4392"/>
      <c r="CD220" s="4391"/>
    </row>
    <row r="221" s="4025" customFormat="1" ht="50" customHeight="1" spans="1:82">
      <c r="A221" s="3688">
        <v>45720</v>
      </c>
      <c r="B221" s="3689" t="s">
        <v>1057</v>
      </c>
      <c r="C221" s="3664" t="s">
        <v>396</v>
      </c>
      <c r="D221" s="3690">
        <v>4500159075</v>
      </c>
      <c r="E221" s="3664" t="s">
        <v>1104</v>
      </c>
      <c r="F221" s="3690" t="s">
        <v>3449</v>
      </c>
      <c r="G221" s="3664" t="s">
        <v>2619</v>
      </c>
      <c r="H221" s="3664" t="s">
        <v>2620</v>
      </c>
      <c r="I221" s="3691">
        <v>120</v>
      </c>
      <c r="J221" s="3691">
        <v>0</v>
      </c>
      <c r="K221" s="3691">
        <v>24</v>
      </c>
      <c r="L221" s="3691">
        <f t="shared" si="86"/>
        <v>5</v>
      </c>
      <c r="M221" s="3659">
        <v>45768</v>
      </c>
      <c r="N221" s="3659">
        <v>45764</v>
      </c>
      <c r="O221" s="4085"/>
      <c r="P221" s="3682" t="s">
        <v>82</v>
      </c>
      <c r="Q221" s="3682"/>
      <c r="R221" s="4083"/>
      <c r="S221" s="4083"/>
      <c r="T221" s="4083"/>
      <c r="U221" s="3645" t="s">
        <v>1062</v>
      </c>
      <c r="V221" s="3649" t="s">
        <v>1063</v>
      </c>
      <c r="W221" s="3649"/>
      <c r="X221" s="3649" t="s">
        <v>3441</v>
      </c>
      <c r="Y221" s="3657"/>
      <c r="Z221" s="3661"/>
      <c r="AA221" s="3620" t="s">
        <v>3450</v>
      </c>
      <c r="AB221" s="3691" t="s">
        <v>405</v>
      </c>
      <c r="AC221" s="3691">
        <v>2.1332</v>
      </c>
      <c r="AD221" s="3691">
        <f t="shared" si="89"/>
        <v>255.984</v>
      </c>
      <c r="AE221" s="3645" t="s">
        <v>1072</v>
      </c>
      <c r="AF221" s="3664" t="s">
        <v>3444</v>
      </c>
      <c r="AG221" s="3645" t="s">
        <v>416</v>
      </c>
      <c r="AH221" s="905"/>
      <c r="AI221" s="3691"/>
      <c r="AJ221" s="3691"/>
      <c r="AK221" s="905"/>
      <c r="AL221" s="3664">
        <f t="shared" si="102"/>
        <v>120</v>
      </c>
      <c r="AM221" s="3664"/>
      <c r="AN221" s="3691"/>
      <c r="AO221" s="3691">
        <f t="shared" si="82"/>
        <v>120</v>
      </c>
      <c r="AP221" s="3691"/>
      <c r="AQ221" s="4089"/>
      <c r="AR221" s="907"/>
      <c r="AS221" s="4089"/>
      <c r="AT221" s="907"/>
      <c r="AU221" s="4089">
        <f t="shared" si="103"/>
        <v>120</v>
      </c>
      <c r="AV221" s="4089"/>
      <c r="AW221" s="4089"/>
      <c r="AX221" s="4089"/>
      <c r="AY221" s="4089"/>
      <c r="AZ221" s="4089"/>
      <c r="BA221" s="4089"/>
      <c r="BB221" s="4089"/>
      <c r="BC221" s="4089"/>
      <c r="BD221" s="4089"/>
      <c r="BE221" s="4089"/>
      <c r="BF221" s="4089" t="s">
        <v>89</v>
      </c>
      <c r="BG221" s="4089"/>
      <c r="BH221" s="4089">
        <f t="shared" si="94"/>
        <v>20</v>
      </c>
      <c r="BI221" s="4089">
        <f t="shared" si="95"/>
        <v>20</v>
      </c>
      <c r="BJ221" s="4089">
        <f t="shared" si="96"/>
        <v>20</v>
      </c>
      <c r="BK221" s="4089">
        <f t="shared" si="97"/>
        <v>20</v>
      </c>
      <c r="BL221" s="4089">
        <f t="shared" si="98"/>
        <v>20</v>
      </c>
      <c r="BM221" s="4089">
        <f t="shared" si="99"/>
        <v>16</v>
      </c>
      <c r="BN221" s="4089">
        <f t="shared" si="100"/>
        <v>4</v>
      </c>
      <c r="BO221" s="907"/>
      <c r="BP221" s="907"/>
      <c r="BQ221" s="907"/>
      <c r="BR221" s="907"/>
      <c r="BS221" s="907"/>
      <c r="BT221" s="910"/>
      <c r="BU221" s="911"/>
      <c r="BV221" s="4385">
        <f t="shared" si="81"/>
        <v>120</v>
      </c>
      <c r="BW221" s="4386">
        <f t="shared" si="88"/>
        <v>0</v>
      </c>
      <c r="BX221" s="4387"/>
      <c r="BY221" s="4387"/>
      <c r="BZ221" s="4387"/>
      <c r="CA221" s="4391"/>
      <c r="CC221" s="4392"/>
      <c r="CD221" s="4391"/>
    </row>
    <row r="222" s="4025" customFormat="1" ht="50" customHeight="1" spans="1:82">
      <c r="A222" s="3688">
        <v>45720</v>
      </c>
      <c r="B222" s="3689" t="s">
        <v>1057</v>
      </c>
      <c r="C222" s="3664" t="s">
        <v>396</v>
      </c>
      <c r="D222" s="3690">
        <v>4500159075</v>
      </c>
      <c r="E222" s="3664" t="s">
        <v>3451</v>
      </c>
      <c r="F222" s="3690" t="s">
        <v>3452</v>
      </c>
      <c r="G222" s="3664" t="s">
        <v>2619</v>
      </c>
      <c r="H222" s="3664" t="s">
        <v>2620</v>
      </c>
      <c r="I222" s="3691">
        <v>120</v>
      </c>
      <c r="J222" s="3691">
        <v>0</v>
      </c>
      <c r="K222" s="3691">
        <v>24</v>
      </c>
      <c r="L222" s="3691">
        <f t="shared" si="86"/>
        <v>5</v>
      </c>
      <c r="M222" s="3659">
        <v>45768</v>
      </c>
      <c r="N222" s="3659">
        <v>45764</v>
      </c>
      <c r="O222" s="4085"/>
      <c r="P222" s="3682" t="s">
        <v>82</v>
      </c>
      <c r="Q222" s="3682"/>
      <c r="R222" s="4083"/>
      <c r="S222" s="4083"/>
      <c r="T222" s="4083"/>
      <c r="U222" s="3645" t="s">
        <v>1062</v>
      </c>
      <c r="V222" s="3649" t="s">
        <v>1063</v>
      </c>
      <c r="W222" s="3649"/>
      <c r="X222" s="3649" t="s">
        <v>3441</v>
      </c>
      <c r="Y222" s="3657"/>
      <c r="Z222" s="3661"/>
      <c r="AA222" s="3620" t="s">
        <v>3450</v>
      </c>
      <c r="AB222" s="3691" t="s">
        <v>405</v>
      </c>
      <c r="AC222" s="3691">
        <v>2.1332</v>
      </c>
      <c r="AD222" s="3691">
        <f t="shared" si="89"/>
        <v>255.984</v>
      </c>
      <c r="AE222" s="3645" t="s">
        <v>1072</v>
      </c>
      <c r="AF222" s="3664" t="s">
        <v>3444</v>
      </c>
      <c r="AG222" s="3645" t="s">
        <v>416</v>
      </c>
      <c r="AH222" s="905"/>
      <c r="AI222" s="3691"/>
      <c r="AJ222" s="3691"/>
      <c r="AK222" s="905"/>
      <c r="AL222" s="3664">
        <f t="shared" si="102"/>
        <v>120</v>
      </c>
      <c r="AM222" s="3664"/>
      <c r="AN222" s="3691"/>
      <c r="AO222" s="3691">
        <f t="shared" si="82"/>
        <v>120</v>
      </c>
      <c r="AP222" s="3691"/>
      <c r="AQ222" s="4089"/>
      <c r="AR222" s="907"/>
      <c r="AS222" s="4089"/>
      <c r="AT222" s="907"/>
      <c r="AU222" s="4089">
        <f t="shared" si="103"/>
        <v>120</v>
      </c>
      <c r="AV222" s="4089"/>
      <c r="AW222" s="4089"/>
      <c r="AX222" s="4089"/>
      <c r="AY222" s="4089"/>
      <c r="AZ222" s="4089"/>
      <c r="BA222" s="4089"/>
      <c r="BB222" s="4089"/>
      <c r="BC222" s="4089"/>
      <c r="BD222" s="4089"/>
      <c r="BE222" s="4089"/>
      <c r="BF222" s="4089" t="s">
        <v>89</v>
      </c>
      <c r="BG222" s="4089"/>
      <c r="BH222" s="4089">
        <f t="shared" si="94"/>
        <v>20</v>
      </c>
      <c r="BI222" s="4089">
        <f t="shared" si="95"/>
        <v>20</v>
      </c>
      <c r="BJ222" s="4089">
        <f t="shared" si="96"/>
        <v>20</v>
      </c>
      <c r="BK222" s="4089">
        <f t="shared" si="97"/>
        <v>20</v>
      </c>
      <c r="BL222" s="4089">
        <f t="shared" si="98"/>
        <v>20</v>
      </c>
      <c r="BM222" s="4089">
        <f t="shared" si="99"/>
        <v>16</v>
      </c>
      <c r="BN222" s="4089">
        <f t="shared" si="100"/>
        <v>4</v>
      </c>
      <c r="BO222" s="907"/>
      <c r="BP222" s="907"/>
      <c r="BQ222" s="907"/>
      <c r="BR222" s="907"/>
      <c r="BS222" s="907"/>
      <c r="BT222" s="910"/>
      <c r="BU222" s="911"/>
      <c r="BV222" s="4385">
        <f t="shared" si="81"/>
        <v>120</v>
      </c>
      <c r="BW222" s="4386">
        <f t="shared" si="88"/>
        <v>0</v>
      </c>
      <c r="BX222" s="4387"/>
      <c r="BY222" s="4387"/>
      <c r="BZ222" s="4387"/>
      <c r="CA222" s="4391"/>
      <c r="CC222" s="4392"/>
      <c r="CD222" s="4391"/>
    </row>
    <row r="223" s="4025" customFormat="1" ht="50" customHeight="1" spans="1:82">
      <c r="A223" s="3688">
        <v>45720</v>
      </c>
      <c r="B223" s="3689" t="s">
        <v>1057</v>
      </c>
      <c r="C223" s="3664" t="s">
        <v>396</v>
      </c>
      <c r="D223" s="3690">
        <v>4500159075</v>
      </c>
      <c r="E223" s="3664" t="s">
        <v>3453</v>
      </c>
      <c r="F223" s="3690" t="s">
        <v>3454</v>
      </c>
      <c r="G223" s="3664" t="s">
        <v>2619</v>
      </c>
      <c r="H223" s="3664" t="s">
        <v>2620</v>
      </c>
      <c r="I223" s="3691">
        <v>120</v>
      </c>
      <c r="J223" s="3691">
        <v>0</v>
      </c>
      <c r="K223" s="3691">
        <v>24</v>
      </c>
      <c r="L223" s="3691">
        <f t="shared" si="86"/>
        <v>5</v>
      </c>
      <c r="M223" s="3659">
        <v>45768</v>
      </c>
      <c r="N223" s="3659">
        <v>45764</v>
      </c>
      <c r="O223" s="4085"/>
      <c r="P223" s="3682" t="s">
        <v>82</v>
      </c>
      <c r="Q223" s="3682"/>
      <c r="R223" s="4083"/>
      <c r="S223" s="4083"/>
      <c r="T223" s="4083"/>
      <c r="U223" s="3645" t="s">
        <v>1062</v>
      </c>
      <c r="V223" s="3649" t="s">
        <v>1063</v>
      </c>
      <c r="W223" s="3649"/>
      <c r="X223" s="3649" t="s">
        <v>3441</v>
      </c>
      <c r="Y223" s="3657"/>
      <c r="Z223" s="3661"/>
      <c r="AA223" s="3620" t="s">
        <v>3450</v>
      </c>
      <c r="AB223" s="3691" t="s">
        <v>405</v>
      </c>
      <c r="AC223" s="3691">
        <v>2.1332</v>
      </c>
      <c r="AD223" s="3691">
        <f t="shared" si="89"/>
        <v>255.984</v>
      </c>
      <c r="AE223" s="3645" t="s">
        <v>1072</v>
      </c>
      <c r="AF223" s="3664" t="s">
        <v>3444</v>
      </c>
      <c r="AG223" s="3645" t="s">
        <v>416</v>
      </c>
      <c r="AH223" s="905"/>
      <c r="AI223" s="3691"/>
      <c r="AJ223" s="3691"/>
      <c r="AK223" s="905"/>
      <c r="AL223" s="3664">
        <f t="shared" si="102"/>
        <v>120</v>
      </c>
      <c r="AM223" s="3664"/>
      <c r="AN223" s="3691"/>
      <c r="AO223" s="3691">
        <f t="shared" si="82"/>
        <v>120</v>
      </c>
      <c r="AP223" s="3691"/>
      <c r="AQ223" s="4089"/>
      <c r="AR223" s="907"/>
      <c r="AS223" s="4089"/>
      <c r="AT223" s="907"/>
      <c r="AU223" s="4089">
        <f t="shared" si="103"/>
        <v>120</v>
      </c>
      <c r="AV223" s="4089"/>
      <c r="AW223" s="4089"/>
      <c r="AX223" s="4089"/>
      <c r="AY223" s="4089"/>
      <c r="AZ223" s="4089"/>
      <c r="BA223" s="4089"/>
      <c r="BB223" s="4089"/>
      <c r="BC223" s="4089"/>
      <c r="BD223" s="4089"/>
      <c r="BE223" s="4089"/>
      <c r="BF223" s="4089" t="s">
        <v>89</v>
      </c>
      <c r="BG223" s="4089"/>
      <c r="BH223" s="4089">
        <f t="shared" si="94"/>
        <v>20</v>
      </c>
      <c r="BI223" s="4089">
        <f t="shared" si="95"/>
        <v>20</v>
      </c>
      <c r="BJ223" s="4089">
        <f t="shared" si="96"/>
        <v>20</v>
      </c>
      <c r="BK223" s="4089">
        <f t="shared" si="97"/>
        <v>20</v>
      </c>
      <c r="BL223" s="4089">
        <f t="shared" si="98"/>
        <v>20</v>
      </c>
      <c r="BM223" s="4089">
        <f t="shared" si="99"/>
        <v>16</v>
      </c>
      <c r="BN223" s="4089">
        <f t="shared" si="100"/>
        <v>4</v>
      </c>
      <c r="BO223" s="907"/>
      <c r="BP223" s="907"/>
      <c r="BQ223" s="907"/>
      <c r="BR223" s="907"/>
      <c r="BS223" s="907"/>
      <c r="BT223" s="910"/>
      <c r="BU223" s="911"/>
      <c r="BV223" s="4385">
        <f t="shared" si="81"/>
        <v>120</v>
      </c>
      <c r="BW223" s="4386">
        <f t="shared" si="88"/>
        <v>0</v>
      </c>
      <c r="BX223" s="4387"/>
      <c r="BY223" s="4387"/>
      <c r="BZ223" s="4387"/>
      <c r="CA223" s="4391"/>
      <c r="CC223" s="4392"/>
      <c r="CD223" s="4391"/>
    </row>
    <row r="224" s="4025" customFormat="1" ht="50" customHeight="1" spans="1:82">
      <c r="A224" s="3688">
        <v>45720</v>
      </c>
      <c r="B224" s="3689" t="s">
        <v>1057</v>
      </c>
      <c r="C224" s="3664" t="s">
        <v>396</v>
      </c>
      <c r="D224" s="3690">
        <v>4500158924</v>
      </c>
      <c r="E224" s="3664" t="s">
        <v>1087</v>
      </c>
      <c r="F224" s="3690" t="s">
        <v>3455</v>
      </c>
      <c r="G224" s="3664" t="s">
        <v>2619</v>
      </c>
      <c r="H224" s="3664" t="s">
        <v>2620</v>
      </c>
      <c r="I224" s="3691">
        <v>600</v>
      </c>
      <c r="J224" s="3691">
        <v>0</v>
      </c>
      <c r="K224" s="3691">
        <v>24</v>
      </c>
      <c r="L224" s="3691">
        <f t="shared" si="86"/>
        <v>25</v>
      </c>
      <c r="M224" s="3659">
        <v>45768</v>
      </c>
      <c r="N224" s="3659">
        <v>45764</v>
      </c>
      <c r="O224" s="4085"/>
      <c r="P224" s="3682" t="s">
        <v>82</v>
      </c>
      <c r="Q224" s="3682"/>
      <c r="R224" s="4083"/>
      <c r="S224" s="4083"/>
      <c r="T224" s="4083"/>
      <c r="U224" s="3645"/>
      <c r="V224" s="3649" t="s">
        <v>1063</v>
      </c>
      <c r="W224" s="3657"/>
      <c r="X224" s="3649" t="s">
        <v>3441</v>
      </c>
      <c r="Y224" s="3657" t="s">
        <v>1064</v>
      </c>
      <c r="Z224" s="3661"/>
      <c r="AA224" s="3620" t="s">
        <v>3456</v>
      </c>
      <c r="AB224" s="3691" t="s">
        <v>405</v>
      </c>
      <c r="AC224" s="3691">
        <v>2.1285</v>
      </c>
      <c r="AD224" s="3691">
        <f t="shared" si="89"/>
        <v>1277.1</v>
      </c>
      <c r="AE224" s="3645" t="s">
        <v>1090</v>
      </c>
      <c r="AF224" s="3664" t="s">
        <v>3444</v>
      </c>
      <c r="AG224" s="3645" t="s">
        <v>416</v>
      </c>
      <c r="AH224" s="905"/>
      <c r="AI224" s="3664"/>
      <c r="AJ224" s="3664"/>
      <c r="AK224" s="905"/>
      <c r="AL224" s="3664">
        <f t="shared" si="102"/>
        <v>600</v>
      </c>
      <c r="AM224" s="3664"/>
      <c r="AN224" s="3691"/>
      <c r="AO224" s="3691">
        <f t="shared" si="82"/>
        <v>600</v>
      </c>
      <c r="AP224" s="3691"/>
      <c r="AQ224" s="4089"/>
      <c r="AR224" s="907"/>
      <c r="AS224" s="4089"/>
      <c r="AT224" s="907"/>
      <c r="AU224" s="4089">
        <f t="shared" si="103"/>
        <v>600</v>
      </c>
      <c r="AV224" s="4089"/>
      <c r="AW224" s="4089"/>
      <c r="AX224" s="4089"/>
      <c r="AY224" s="4089"/>
      <c r="AZ224" s="4089"/>
      <c r="BA224" s="4089"/>
      <c r="BB224" s="4089"/>
      <c r="BC224" s="4089"/>
      <c r="BD224" s="4089"/>
      <c r="BE224" s="4089"/>
      <c r="BF224" s="4089" t="s">
        <v>89</v>
      </c>
      <c r="BG224" s="4089"/>
      <c r="BH224" s="4089">
        <f t="shared" si="94"/>
        <v>100</v>
      </c>
      <c r="BI224" s="4089">
        <f t="shared" si="95"/>
        <v>100</v>
      </c>
      <c r="BJ224" s="4089">
        <f t="shared" si="96"/>
        <v>100</v>
      </c>
      <c r="BK224" s="4089">
        <f t="shared" si="97"/>
        <v>100</v>
      </c>
      <c r="BL224" s="4089">
        <f t="shared" si="98"/>
        <v>100</v>
      </c>
      <c r="BM224" s="4089">
        <f t="shared" si="99"/>
        <v>80</v>
      </c>
      <c r="BN224" s="4089">
        <f t="shared" si="100"/>
        <v>20</v>
      </c>
      <c r="BO224" s="907"/>
      <c r="BP224" s="907"/>
      <c r="BQ224" s="907"/>
      <c r="BR224" s="907"/>
      <c r="BS224" s="907"/>
      <c r="BT224" s="910"/>
      <c r="BU224" s="911"/>
      <c r="BV224" s="4385">
        <f t="shared" si="81"/>
        <v>600</v>
      </c>
      <c r="BW224" s="4386">
        <f t="shared" si="88"/>
        <v>0</v>
      </c>
      <c r="BX224" s="4387"/>
      <c r="BY224" s="4387"/>
      <c r="BZ224" s="4387"/>
      <c r="CA224" s="4391"/>
      <c r="CC224" s="4392"/>
      <c r="CD224" s="4391"/>
    </row>
    <row r="225" s="4025" customFormat="1" ht="50" customHeight="1" spans="1:82">
      <c r="A225" s="3688">
        <v>45720</v>
      </c>
      <c r="B225" s="3689" t="s">
        <v>1057</v>
      </c>
      <c r="C225" s="3664" t="s">
        <v>396</v>
      </c>
      <c r="D225" s="3690">
        <v>4500158924</v>
      </c>
      <c r="E225" s="3664" t="s">
        <v>1091</v>
      </c>
      <c r="F225" s="3690" t="s">
        <v>3457</v>
      </c>
      <c r="G225" s="3664" t="s">
        <v>2619</v>
      </c>
      <c r="H225" s="3664" t="s">
        <v>2620</v>
      </c>
      <c r="I225" s="3691">
        <v>216</v>
      </c>
      <c r="J225" s="3691">
        <v>0</v>
      </c>
      <c r="K225" s="3691">
        <v>24</v>
      </c>
      <c r="L225" s="3691">
        <f t="shared" si="86"/>
        <v>9</v>
      </c>
      <c r="M225" s="3659">
        <v>45768</v>
      </c>
      <c r="N225" s="3659">
        <v>45764</v>
      </c>
      <c r="O225" s="4085"/>
      <c r="P225" s="3682" t="s">
        <v>82</v>
      </c>
      <c r="Q225" s="3682"/>
      <c r="R225" s="4083"/>
      <c r="S225" s="4083"/>
      <c r="T225" s="4083"/>
      <c r="U225" s="3645"/>
      <c r="V225" s="3649" t="s">
        <v>1063</v>
      </c>
      <c r="W225" s="3657"/>
      <c r="X225" s="3649" t="s">
        <v>3441</v>
      </c>
      <c r="Y225" s="3657" t="s">
        <v>1064</v>
      </c>
      <c r="Z225" s="3661"/>
      <c r="AA225" s="3620" t="s">
        <v>3456</v>
      </c>
      <c r="AB225" s="3691" t="s">
        <v>405</v>
      </c>
      <c r="AC225" s="3691">
        <v>2.1285</v>
      </c>
      <c r="AD225" s="3691">
        <f t="shared" si="89"/>
        <v>459.756</v>
      </c>
      <c r="AE225" s="3645" t="s">
        <v>1090</v>
      </c>
      <c r="AF225" s="3664" t="s">
        <v>3444</v>
      </c>
      <c r="AG225" s="3645" t="s">
        <v>416</v>
      </c>
      <c r="AH225" s="905"/>
      <c r="AI225" s="3664"/>
      <c r="AJ225" s="3664"/>
      <c r="AK225" s="905"/>
      <c r="AL225" s="3664">
        <f t="shared" si="102"/>
        <v>216</v>
      </c>
      <c r="AM225" s="3664"/>
      <c r="AN225" s="3691"/>
      <c r="AO225" s="3691">
        <f t="shared" si="82"/>
        <v>216</v>
      </c>
      <c r="AP225" s="3691"/>
      <c r="AQ225" s="4089"/>
      <c r="AR225" s="907"/>
      <c r="AS225" s="4089"/>
      <c r="AT225" s="907"/>
      <c r="AU225" s="4089">
        <f t="shared" si="103"/>
        <v>216</v>
      </c>
      <c r="AV225" s="4089"/>
      <c r="AW225" s="4089"/>
      <c r="AX225" s="4089"/>
      <c r="AY225" s="4089"/>
      <c r="AZ225" s="4089"/>
      <c r="BA225" s="4089"/>
      <c r="BB225" s="4089"/>
      <c r="BC225" s="4089"/>
      <c r="BD225" s="4089"/>
      <c r="BE225" s="4089"/>
      <c r="BF225" s="4089" t="s">
        <v>89</v>
      </c>
      <c r="BG225" s="4089"/>
      <c r="BH225" s="4089">
        <f t="shared" si="94"/>
        <v>36</v>
      </c>
      <c r="BI225" s="4089">
        <f t="shared" si="95"/>
        <v>36</v>
      </c>
      <c r="BJ225" s="4089">
        <f t="shared" si="96"/>
        <v>36</v>
      </c>
      <c r="BK225" s="4089">
        <f t="shared" si="97"/>
        <v>36</v>
      </c>
      <c r="BL225" s="4089">
        <f t="shared" si="98"/>
        <v>36</v>
      </c>
      <c r="BM225" s="4089">
        <f t="shared" si="99"/>
        <v>28.8</v>
      </c>
      <c r="BN225" s="4089">
        <f t="shared" si="100"/>
        <v>7.2</v>
      </c>
      <c r="BO225" s="907"/>
      <c r="BP225" s="907"/>
      <c r="BQ225" s="907"/>
      <c r="BR225" s="907"/>
      <c r="BS225" s="907"/>
      <c r="BT225" s="910"/>
      <c r="BU225" s="911"/>
      <c r="BV225" s="4385">
        <f t="shared" si="81"/>
        <v>216</v>
      </c>
      <c r="BW225" s="4386">
        <f t="shared" si="88"/>
        <v>0</v>
      </c>
      <c r="BX225" s="4387"/>
      <c r="BY225" s="4387"/>
      <c r="BZ225" s="4387"/>
      <c r="CA225" s="4391"/>
      <c r="CC225" s="4392"/>
      <c r="CD225" s="4391"/>
    </row>
    <row r="226" s="4025" customFormat="1" ht="50" customHeight="1" spans="1:82">
      <c r="A226" s="3688">
        <v>45720</v>
      </c>
      <c r="B226" s="3689" t="s">
        <v>1057</v>
      </c>
      <c r="C226" s="3664" t="s">
        <v>396</v>
      </c>
      <c r="D226" s="3690">
        <v>4500158924</v>
      </c>
      <c r="E226" s="3664" t="s">
        <v>1094</v>
      </c>
      <c r="F226" s="3690" t="s">
        <v>3458</v>
      </c>
      <c r="G226" s="3664" t="s">
        <v>2619</v>
      </c>
      <c r="H226" s="3664" t="s">
        <v>2620</v>
      </c>
      <c r="I226" s="3691">
        <v>600</v>
      </c>
      <c r="J226" s="3691">
        <v>0</v>
      </c>
      <c r="K226" s="3691">
        <v>24</v>
      </c>
      <c r="L226" s="3691">
        <f t="shared" si="86"/>
        <v>25</v>
      </c>
      <c r="M226" s="3659">
        <v>45768</v>
      </c>
      <c r="N226" s="3659">
        <v>45764</v>
      </c>
      <c r="O226" s="4085"/>
      <c r="P226" s="3682" t="s">
        <v>82</v>
      </c>
      <c r="Q226" s="3682"/>
      <c r="R226" s="4083"/>
      <c r="S226" s="4083"/>
      <c r="T226" s="4083"/>
      <c r="U226" s="3645"/>
      <c r="V226" s="3649" t="s">
        <v>1063</v>
      </c>
      <c r="W226" s="3657"/>
      <c r="X226" s="3649" t="s">
        <v>3441</v>
      </c>
      <c r="Y226" s="3657" t="s">
        <v>1064</v>
      </c>
      <c r="Z226" s="3661"/>
      <c r="AA226" s="3620" t="s">
        <v>3456</v>
      </c>
      <c r="AB226" s="3691" t="s">
        <v>405</v>
      </c>
      <c r="AC226" s="3691">
        <v>2.1285</v>
      </c>
      <c r="AD226" s="3691">
        <f t="shared" si="89"/>
        <v>1277.1</v>
      </c>
      <c r="AE226" s="3645" t="s">
        <v>1090</v>
      </c>
      <c r="AF226" s="3664" t="s">
        <v>3444</v>
      </c>
      <c r="AG226" s="3645" t="s">
        <v>416</v>
      </c>
      <c r="AH226" s="905"/>
      <c r="AI226" s="3664"/>
      <c r="AJ226" s="3664"/>
      <c r="AK226" s="905"/>
      <c r="AL226" s="3664">
        <f t="shared" si="102"/>
        <v>600</v>
      </c>
      <c r="AM226" s="3664"/>
      <c r="AN226" s="3691"/>
      <c r="AO226" s="3691">
        <f t="shared" si="82"/>
        <v>600</v>
      </c>
      <c r="AP226" s="3691"/>
      <c r="AQ226" s="4089"/>
      <c r="AR226" s="907"/>
      <c r="AS226" s="4089"/>
      <c r="AT226" s="907"/>
      <c r="AU226" s="4089">
        <f t="shared" si="103"/>
        <v>600</v>
      </c>
      <c r="AV226" s="4089"/>
      <c r="AW226" s="4089"/>
      <c r="AX226" s="4089"/>
      <c r="AY226" s="4089"/>
      <c r="AZ226" s="4089"/>
      <c r="BA226" s="4089"/>
      <c r="BB226" s="4089"/>
      <c r="BC226" s="4089"/>
      <c r="BD226" s="4089"/>
      <c r="BE226" s="4089"/>
      <c r="BF226" s="4089" t="s">
        <v>89</v>
      </c>
      <c r="BG226" s="4089"/>
      <c r="BH226" s="4089">
        <f t="shared" si="94"/>
        <v>100</v>
      </c>
      <c r="BI226" s="4089">
        <f t="shared" si="95"/>
        <v>100</v>
      </c>
      <c r="BJ226" s="4089">
        <f t="shared" si="96"/>
        <v>100</v>
      </c>
      <c r="BK226" s="4089">
        <f t="shared" si="97"/>
        <v>100</v>
      </c>
      <c r="BL226" s="4089">
        <f t="shared" si="98"/>
        <v>100</v>
      </c>
      <c r="BM226" s="4089">
        <f t="shared" si="99"/>
        <v>80</v>
      </c>
      <c r="BN226" s="4089">
        <f t="shared" si="100"/>
        <v>20</v>
      </c>
      <c r="BO226" s="907"/>
      <c r="BP226" s="907"/>
      <c r="BQ226" s="907"/>
      <c r="BR226" s="907"/>
      <c r="BS226" s="907"/>
      <c r="BT226" s="910"/>
      <c r="BU226" s="911"/>
      <c r="BV226" s="4385">
        <f t="shared" ref="BV226:BV240" si="104">SUM(BH226:BU226)</f>
        <v>600</v>
      </c>
      <c r="BW226" s="4386">
        <f t="shared" si="88"/>
        <v>0</v>
      </c>
      <c r="BX226" s="4387"/>
      <c r="BY226" s="4387"/>
      <c r="BZ226" s="4387"/>
      <c r="CA226" s="4391"/>
      <c r="CC226" s="4392"/>
      <c r="CD226" s="4391"/>
    </row>
    <row r="227" s="4025" customFormat="1" ht="50" customHeight="1" spans="1:82">
      <c r="A227" s="3688">
        <v>45730</v>
      </c>
      <c r="B227" s="3689" t="s">
        <v>3459</v>
      </c>
      <c r="C227" s="3664" t="s">
        <v>3460</v>
      </c>
      <c r="D227" s="3690">
        <v>4500160421</v>
      </c>
      <c r="E227" s="4395"/>
      <c r="F227" s="3690" t="s">
        <v>3461</v>
      </c>
      <c r="G227" s="3664" t="s">
        <v>2577</v>
      </c>
      <c r="H227" s="3664" t="s">
        <v>2591</v>
      </c>
      <c r="I227" s="3691">
        <v>600</v>
      </c>
      <c r="J227" s="3691">
        <v>0</v>
      </c>
      <c r="K227" s="3691">
        <v>12</v>
      </c>
      <c r="L227" s="3691">
        <f t="shared" si="86"/>
        <v>50</v>
      </c>
      <c r="M227" s="3659">
        <v>45768</v>
      </c>
      <c r="N227" s="3659">
        <v>45764</v>
      </c>
      <c r="O227" s="4085"/>
      <c r="P227" s="3682" t="s">
        <v>82</v>
      </c>
      <c r="Q227" s="3682"/>
      <c r="R227" s="4083"/>
      <c r="S227" s="4083"/>
      <c r="T227" s="4083"/>
      <c r="U227" s="3645" t="s">
        <v>1062</v>
      </c>
      <c r="V227" s="3657" t="s">
        <v>3462</v>
      </c>
      <c r="W227" s="3657"/>
      <c r="X227" s="3649" t="s">
        <v>3463</v>
      </c>
      <c r="Y227" s="3657"/>
      <c r="Z227" s="3661"/>
      <c r="AA227" s="3620" t="s">
        <v>3464</v>
      </c>
      <c r="AB227" s="3691" t="s">
        <v>459</v>
      </c>
      <c r="AC227" s="3691">
        <v>2.1438</v>
      </c>
      <c r="AD227" s="3691">
        <f t="shared" si="89"/>
        <v>1286.28</v>
      </c>
      <c r="AE227" s="3645" t="s">
        <v>3465</v>
      </c>
      <c r="AF227" s="4395" t="s">
        <v>2604</v>
      </c>
      <c r="AG227" s="3645" t="s">
        <v>416</v>
      </c>
      <c r="AH227" s="4422"/>
      <c r="AI227" s="3664"/>
      <c r="AJ227" s="3664"/>
      <c r="AK227" s="4405"/>
      <c r="AL227" s="3664">
        <f t="shared" si="102"/>
        <v>600</v>
      </c>
      <c r="AM227" s="3664"/>
      <c r="AN227" s="3691"/>
      <c r="AO227" s="4089">
        <f t="shared" si="82"/>
        <v>600</v>
      </c>
      <c r="AP227" s="4089"/>
      <c r="AQ227" s="4089"/>
      <c r="AR227" s="907"/>
      <c r="AS227" s="4089">
        <f t="shared" ref="AS227:AS240" si="105">I227</f>
        <v>600</v>
      </c>
      <c r="AT227" s="907"/>
      <c r="AU227" s="4089"/>
      <c r="AV227" s="4089">
        <f>I227/6</f>
        <v>100</v>
      </c>
      <c r="AW227" s="4089"/>
      <c r="AX227" s="4089"/>
      <c r="AY227" s="4089"/>
      <c r="AZ227" s="4089"/>
      <c r="BA227" s="4089"/>
      <c r="BB227" s="4089"/>
      <c r="BC227" s="4089"/>
      <c r="BD227" s="4089"/>
      <c r="BE227" s="4089"/>
      <c r="BF227" s="4089" t="s">
        <v>89</v>
      </c>
      <c r="BG227" s="4089"/>
      <c r="BH227" s="4089">
        <f t="shared" si="94"/>
        <v>100</v>
      </c>
      <c r="BI227" s="4089">
        <f t="shared" si="95"/>
        <v>100</v>
      </c>
      <c r="BJ227" s="4089">
        <f t="shared" si="96"/>
        <v>100</v>
      </c>
      <c r="BK227" s="4403">
        <f t="shared" si="97"/>
        <v>100</v>
      </c>
      <c r="BL227" s="4385">
        <f t="shared" si="98"/>
        <v>100</v>
      </c>
      <c r="BM227" s="4403">
        <f t="shared" si="99"/>
        <v>80</v>
      </c>
      <c r="BN227" s="4089">
        <f t="shared" si="100"/>
        <v>20</v>
      </c>
      <c r="BO227" s="4382"/>
      <c r="BP227" s="4382"/>
      <c r="BQ227" s="4382"/>
      <c r="BR227" s="4382"/>
      <c r="BS227" s="4382"/>
      <c r="BT227" s="4383"/>
      <c r="BU227" s="4384"/>
      <c r="BV227" s="4385">
        <f t="shared" si="104"/>
        <v>600</v>
      </c>
      <c r="BW227" s="4386">
        <f t="shared" si="88"/>
        <v>0</v>
      </c>
      <c r="BX227" s="4387"/>
      <c r="BY227" s="4387"/>
      <c r="BZ227" s="4387"/>
      <c r="CA227" s="4391"/>
      <c r="CC227" s="4392"/>
      <c r="CD227" s="4391"/>
    </row>
    <row r="228" s="4025" customFormat="1" ht="50" customHeight="1" spans="1:82">
      <c r="A228" s="3688">
        <v>45730</v>
      </c>
      <c r="B228" s="3689" t="s">
        <v>839</v>
      </c>
      <c r="C228" s="3664" t="s">
        <v>840</v>
      </c>
      <c r="D228" s="3690">
        <v>4500160289</v>
      </c>
      <c r="E228" s="4395">
        <v>20709475</v>
      </c>
      <c r="F228" s="3690" t="s">
        <v>3466</v>
      </c>
      <c r="G228" s="3664" t="s">
        <v>2577</v>
      </c>
      <c r="H228" s="3664" t="s">
        <v>2591</v>
      </c>
      <c r="I228" s="3691">
        <v>108</v>
      </c>
      <c r="J228" s="3691">
        <v>0</v>
      </c>
      <c r="K228" s="3691">
        <v>12</v>
      </c>
      <c r="L228" s="3691">
        <f t="shared" si="86"/>
        <v>9</v>
      </c>
      <c r="M228" s="3659">
        <v>45771</v>
      </c>
      <c r="N228" s="3659">
        <v>45768</v>
      </c>
      <c r="O228" s="4085"/>
      <c r="P228" s="3682" t="s">
        <v>82</v>
      </c>
      <c r="Q228" s="3682"/>
      <c r="R228" s="4083"/>
      <c r="S228" s="4083"/>
      <c r="T228" s="4083"/>
      <c r="U228" s="4423" t="s">
        <v>3467</v>
      </c>
      <c r="V228" s="3657" t="s">
        <v>3468</v>
      </c>
      <c r="W228" s="3657"/>
      <c r="X228" s="3649" t="s">
        <v>3469</v>
      </c>
      <c r="Y228" s="3657"/>
      <c r="Z228" s="3661"/>
      <c r="AA228" s="3620" t="s">
        <v>3239</v>
      </c>
      <c r="AB228" s="3691" t="s">
        <v>513</v>
      </c>
      <c r="AC228" s="3691">
        <v>2.2509</v>
      </c>
      <c r="AD228" s="3691">
        <f t="shared" si="89"/>
        <v>243.0972</v>
      </c>
      <c r="AE228" s="3645" t="s">
        <v>3470</v>
      </c>
      <c r="AF228" s="3664" t="s">
        <v>2577</v>
      </c>
      <c r="AG228" s="3645" t="s">
        <v>416</v>
      </c>
      <c r="AH228" s="984"/>
      <c r="AI228" s="3691">
        <f t="shared" ref="AI228:AI244" si="106">I228</f>
        <v>108</v>
      </c>
      <c r="AJ228" s="3691"/>
      <c r="AK228" s="979"/>
      <c r="AL228" s="3664"/>
      <c r="AM228" s="3664"/>
      <c r="AN228" s="3691"/>
      <c r="AO228" s="4089">
        <f t="shared" si="82"/>
        <v>108</v>
      </c>
      <c r="AP228" s="4089"/>
      <c r="AQ228" s="4089"/>
      <c r="AR228" s="877"/>
      <c r="AS228" s="4089">
        <f t="shared" si="105"/>
        <v>108</v>
      </c>
      <c r="AT228" s="877"/>
      <c r="AU228" s="4089"/>
      <c r="AV228" s="4089">
        <f>I228/6</f>
        <v>18</v>
      </c>
      <c r="AW228" s="4089"/>
      <c r="AX228" s="4089"/>
      <c r="AY228" s="4089"/>
      <c r="AZ228" s="4089"/>
      <c r="BA228" s="4089"/>
      <c r="BB228" s="4089"/>
      <c r="BC228" s="4089"/>
      <c r="BD228" s="4089"/>
      <c r="BE228" s="4089"/>
      <c r="BF228" s="4089" t="s">
        <v>89</v>
      </c>
      <c r="BG228" s="4089"/>
      <c r="BH228" s="4089">
        <f t="shared" si="94"/>
        <v>18</v>
      </c>
      <c r="BI228" s="4089">
        <f t="shared" si="95"/>
        <v>18</v>
      </c>
      <c r="BJ228" s="4089">
        <f t="shared" si="96"/>
        <v>18</v>
      </c>
      <c r="BK228" s="4403">
        <f t="shared" si="97"/>
        <v>18</v>
      </c>
      <c r="BL228" s="4385">
        <f t="shared" si="98"/>
        <v>18</v>
      </c>
      <c r="BM228" s="4403">
        <f t="shared" si="99"/>
        <v>14.4</v>
      </c>
      <c r="BN228" s="4089">
        <f t="shared" si="100"/>
        <v>3.6</v>
      </c>
      <c r="BO228" s="878"/>
      <c r="BP228" s="878"/>
      <c r="BQ228" s="878"/>
      <c r="BR228" s="878"/>
      <c r="BS228" s="878"/>
      <c r="BT228" s="879"/>
      <c r="BU228" s="880"/>
      <c r="BV228" s="4385">
        <f t="shared" si="104"/>
        <v>108</v>
      </c>
      <c r="BW228" s="4386">
        <f t="shared" si="88"/>
        <v>0</v>
      </c>
      <c r="BX228" s="4387"/>
      <c r="BY228" s="4387"/>
      <c r="BZ228" s="4387"/>
      <c r="CA228" s="4391"/>
      <c r="CC228" s="4392"/>
      <c r="CD228" s="4391"/>
    </row>
    <row r="229" s="4025" customFormat="1" ht="50" customHeight="1" spans="1:82">
      <c r="A229" s="3688">
        <v>45730</v>
      </c>
      <c r="B229" s="3689" t="s">
        <v>505</v>
      </c>
      <c r="C229" s="3664" t="s">
        <v>506</v>
      </c>
      <c r="D229" s="3690">
        <v>4500160284</v>
      </c>
      <c r="E229" s="4395">
        <v>20709474</v>
      </c>
      <c r="F229" s="3690" t="s">
        <v>3471</v>
      </c>
      <c r="G229" s="3664" t="s">
        <v>2577</v>
      </c>
      <c r="H229" s="3664" t="s">
        <v>2591</v>
      </c>
      <c r="I229" s="3691">
        <v>1392</v>
      </c>
      <c r="J229" s="3691">
        <v>0</v>
      </c>
      <c r="K229" s="3691">
        <v>12</v>
      </c>
      <c r="L229" s="3691">
        <f t="shared" si="86"/>
        <v>116</v>
      </c>
      <c r="M229" s="3659">
        <v>45771</v>
      </c>
      <c r="N229" s="3659">
        <v>45768</v>
      </c>
      <c r="O229" s="4085"/>
      <c r="P229" s="3682" t="s">
        <v>82</v>
      </c>
      <c r="Q229" s="3682"/>
      <c r="R229" s="4083"/>
      <c r="S229" s="4083"/>
      <c r="T229" s="4083"/>
      <c r="U229" s="4423" t="s">
        <v>3467</v>
      </c>
      <c r="V229" s="3657" t="s">
        <v>3468</v>
      </c>
      <c r="W229" s="3657"/>
      <c r="X229" s="3649" t="s">
        <v>3469</v>
      </c>
      <c r="Y229" s="3657"/>
      <c r="Z229" s="3661"/>
      <c r="AA229" s="3620" t="s">
        <v>3472</v>
      </c>
      <c r="AB229" s="3691" t="s">
        <v>513</v>
      </c>
      <c r="AC229" s="3691">
        <v>2.2463</v>
      </c>
      <c r="AD229" s="3691">
        <f t="shared" si="89"/>
        <v>3126.8496</v>
      </c>
      <c r="AE229" s="3645" t="s">
        <v>3473</v>
      </c>
      <c r="AF229" s="3664" t="s">
        <v>2577</v>
      </c>
      <c r="AG229" s="3645" t="s">
        <v>416</v>
      </c>
      <c r="AH229" s="984"/>
      <c r="AI229" s="3691">
        <f t="shared" si="106"/>
        <v>1392</v>
      </c>
      <c r="AJ229" s="3691"/>
      <c r="AK229" s="979"/>
      <c r="AL229" s="3664"/>
      <c r="AM229" s="3664"/>
      <c r="AN229" s="3691"/>
      <c r="AO229" s="4089">
        <f t="shared" si="82"/>
        <v>1392</v>
      </c>
      <c r="AP229" s="4089"/>
      <c r="AQ229" s="4089"/>
      <c r="AR229" s="877"/>
      <c r="AS229" s="4089">
        <f t="shared" si="105"/>
        <v>1392</v>
      </c>
      <c r="AT229" s="877"/>
      <c r="AU229" s="4089"/>
      <c r="AV229" s="4089">
        <f>I229/6</f>
        <v>232</v>
      </c>
      <c r="AW229" s="4089"/>
      <c r="AX229" s="4089"/>
      <c r="AY229" s="4089"/>
      <c r="AZ229" s="4089"/>
      <c r="BA229" s="4089"/>
      <c r="BB229" s="4089"/>
      <c r="BC229" s="4089"/>
      <c r="BD229" s="4089"/>
      <c r="BE229" s="4089"/>
      <c r="BF229" s="4089" t="s">
        <v>89</v>
      </c>
      <c r="BG229" s="4089"/>
      <c r="BH229" s="4089">
        <f t="shared" si="94"/>
        <v>232</v>
      </c>
      <c r="BI229" s="4089">
        <f t="shared" si="95"/>
        <v>232</v>
      </c>
      <c r="BJ229" s="4089">
        <f t="shared" si="96"/>
        <v>232</v>
      </c>
      <c r="BK229" s="4403">
        <f t="shared" si="97"/>
        <v>232</v>
      </c>
      <c r="BL229" s="4385">
        <f t="shared" si="98"/>
        <v>232</v>
      </c>
      <c r="BM229" s="4403">
        <f t="shared" si="99"/>
        <v>185.6</v>
      </c>
      <c r="BN229" s="4089">
        <f t="shared" si="100"/>
        <v>46.4</v>
      </c>
      <c r="BO229" s="878"/>
      <c r="BP229" s="878"/>
      <c r="BQ229" s="878"/>
      <c r="BR229" s="878"/>
      <c r="BS229" s="878"/>
      <c r="BT229" s="879"/>
      <c r="BU229" s="880"/>
      <c r="BV229" s="4385">
        <f t="shared" si="104"/>
        <v>1392</v>
      </c>
      <c r="BW229" s="4386">
        <f t="shared" si="88"/>
        <v>0</v>
      </c>
      <c r="BX229" s="4387"/>
      <c r="BY229" s="4387"/>
      <c r="BZ229" s="4387"/>
      <c r="CA229" s="4391"/>
      <c r="CC229" s="4392"/>
      <c r="CD229" s="4391"/>
    </row>
    <row r="230" s="4025" customFormat="1" ht="50" customHeight="1" spans="1:82">
      <c r="A230" s="3688">
        <v>45665</v>
      </c>
      <c r="B230" s="4080" t="s">
        <v>2908</v>
      </c>
      <c r="C230" s="3663" t="s">
        <v>341</v>
      </c>
      <c r="D230" s="4077">
        <v>4500155227</v>
      </c>
      <c r="E230" s="3664">
        <v>2702031</v>
      </c>
      <c r="F230" s="4077" t="s">
        <v>3474</v>
      </c>
      <c r="G230" s="3664" t="s">
        <v>2911</v>
      </c>
      <c r="H230" s="3664" t="s">
        <v>2620</v>
      </c>
      <c r="I230" s="3691">
        <v>2000</v>
      </c>
      <c r="J230" s="3691">
        <v>0</v>
      </c>
      <c r="K230" s="3691">
        <v>4</v>
      </c>
      <c r="L230" s="3691">
        <f t="shared" si="86"/>
        <v>500</v>
      </c>
      <c r="M230" s="3659">
        <v>45772</v>
      </c>
      <c r="N230" s="3659">
        <v>45768</v>
      </c>
      <c r="O230" s="4085"/>
      <c r="P230" s="3682" t="s">
        <v>82</v>
      </c>
      <c r="Q230" s="3682"/>
      <c r="R230" s="4083"/>
      <c r="S230" s="4083"/>
      <c r="T230" s="4083"/>
      <c r="U230" s="3645" t="s">
        <v>1123</v>
      </c>
      <c r="V230" s="3657" t="s">
        <v>2413</v>
      </c>
      <c r="W230" s="3657"/>
      <c r="X230" s="3649" t="s">
        <v>98</v>
      </c>
      <c r="Y230" s="3657"/>
      <c r="Z230" s="3661"/>
      <c r="AA230" s="3620" t="s">
        <v>3475</v>
      </c>
      <c r="AB230" s="3691" t="s">
        <v>424</v>
      </c>
      <c r="AC230" s="3691">
        <v>2.1841</v>
      </c>
      <c r="AD230" s="3691">
        <f t="shared" si="89"/>
        <v>4368.2</v>
      </c>
      <c r="AE230" s="3645" t="s">
        <v>3476</v>
      </c>
      <c r="AF230" s="3664" t="s">
        <v>2911</v>
      </c>
      <c r="AG230" s="3645" t="s">
        <v>416</v>
      </c>
      <c r="AH230" s="875"/>
      <c r="AI230" s="3664">
        <f t="shared" si="106"/>
        <v>2000</v>
      </c>
      <c r="AJ230" s="3664"/>
      <c r="AK230" s="979"/>
      <c r="AL230" s="3664"/>
      <c r="AM230" s="3664"/>
      <c r="AN230" s="3691"/>
      <c r="AO230" s="3691">
        <f t="shared" si="82"/>
        <v>2000</v>
      </c>
      <c r="AP230" s="3691"/>
      <c r="AQ230" s="4089"/>
      <c r="AR230" s="877"/>
      <c r="AS230" s="4089">
        <f t="shared" si="105"/>
        <v>2000</v>
      </c>
      <c r="AT230" s="877"/>
      <c r="AU230" s="4089"/>
      <c r="AV230" s="4089"/>
      <c r="AW230" s="4089"/>
      <c r="AX230" s="4089"/>
      <c r="AY230" s="4089"/>
      <c r="AZ230" s="4089"/>
      <c r="BA230" s="4089">
        <f>I230/4</f>
        <v>500</v>
      </c>
      <c r="BB230" s="4089"/>
      <c r="BC230" s="4089"/>
      <c r="BD230" s="4089"/>
      <c r="BE230" s="4089"/>
      <c r="BF230" s="4089" t="s">
        <v>89</v>
      </c>
      <c r="BG230" s="4089"/>
      <c r="BH230" s="4089">
        <f t="shared" si="94"/>
        <v>333.333333333333</v>
      </c>
      <c r="BI230" s="4089">
        <f t="shared" si="95"/>
        <v>333.333333333333</v>
      </c>
      <c r="BJ230" s="4089">
        <f t="shared" si="96"/>
        <v>333.333333333333</v>
      </c>
      <c r="BK230" s="4089">
        <f t="shared" si="97"/>
        <v>333.333333333333</v>
      </c>
      <c r="BL230" s="4089">
        <f t="shared" si="98"/>
        <v>333.333333333333</v>
      </c>
      <c r="BM230" s="4089">
        <f t="shared" si="99"/>
        <v>266.666666666667</v>
      </c>
      <c r="BN230" s="4089">
        <f t="shared" si="100"/>
        <v>66.6666666666667</v>
      </c>
      <c r="BO230" s="878"/>
      <c r="BP230" s="878"/>
      <c r="BQ230" s="878"/>
      <c r="BR230" s="878"/>
      <c r="BS230" s="878"/>
      <c r="BT230" s="879"/>
      <c r="BU230" s="880"/>
      <c r="BV230" s="4385">
        <f t="shared" si="104"/>
        <v>2000</v>
      </c>
      <c r="BW230" s="4386">
        <f t="shared" si="88"/>
        <v>0</v>
      </c>
      <c r="BX230" s="4387"/>
      <c r="BY230" s="4387"/>
      <c r="BZ230" s="4387"/>
      <c r="CA230" s="4391"/>
      <c r="CC230" s="4392"/>
      <c r="CD230" s="4391"/>
    </row>
    <row r="231" s="4025" customFormat="1" ht="50" customHeight="1" spans="1:82">
      <c r="A231" s="3688">
        <v>45736</v>
      </c>
      <c r="B231" s="3689" t="s">
        <v>2914</v>
      </c>
      <c r="C231" s="3664" t="s">
        <v>341</v>
      </c>
      <c r="D231" s="3690">
        <v>4500160901</v>
      </c>
      <c r="E231" s="3664" t="s">
        <v>3477</v>
      </c>
      <c r="F231" s="3690" t="s">
        <v>3478</v>
      </c>
      <c r="G231" s="3664" t="s">
        <v>2917</v>
      </c>
      <c r="H231" s="3691" t="s">
        <v>2591</v>
      </c>
      <c r="I231" s="3691">
        <v>2128</v>
      </c>
      <c r="J231" s="3691">
        <v>0</v>
      </c>
      <c r="K231" s="3691">
        <v>16</v>
      </c>
      <c r="L231" s="3691">
        <f t="shared" si="86"/>
        <v>133</v>
      </c>
      <c r="M231" s="3659">
        <v>45772</v>
      </c>
      <c r="N231" s="3659">
        <v>45768</v>
      </c>
      <c r="O231" s="3682"/>
      <c r="P231" s="3645" t="s">
        <v>82</v>
      </c>
      <c r="Q231" s="3645"/>
      <c r="R231" s="4424"/>
      <c r="S231" s="4424"/>
      <c r="T231" s="4424"/>
      <c r="U231" s="3657" t="s">
        <v>1054</v>
      </c>
      <c r="V231" s="3657" t="s">
        <v>1147</v>
      </c>
      <c r="W231" s="3657"/>
      <c r="X231" s="3649" t="s">
        <v>3479</v>
      </c>
      <c r="Y231" s="3661"/>
      <c r="Z231" s="3645"/>
      <c r="AA231" s="3620" t="s">
        <v>3480</v>
      </c>
      <c r="AB231" s="4087" t="s">
        <v>87</v>
      </c>
      <c r="AC231" s="3691">
        <v>2.2049</v>
      </c>
      <c r="AD231" s="4402">
        <f t="shared" si="89"/>
        <v>4692.0272</v>
      </c>
      <c r="AE231" s="3645" t="s">
        <v>3481</v>
      </c>
      <c r="AF231" s="3664" t="s">
        <v>2917</v>
      </c>
      <c r="AG231" s="3645" t="s">
        <v>416</v>
      </c>
      <c r="AH231" s="4425"/>
      <c r="AI231" s="3691">
        <f t="shared" si="106"/>
        <v>2128</v>
      </c>
      <c r="AJ231" s="3691"/>
      <c r="AK231" s="984"/>
      <c r="AL231" s="3691"/>
      <c r="AM231" s="3691"/>
      <c r="AN231" s="4089"/>
      <c r="AO231" s="3691">
        <f t="shared" si="82"/>
        <v>2128</v>
      </c>
      <c r="AP231" s="3691"/>
      <c r="AQ231" s="4089"/>
      <c r="AR231" s="877"/>
      <c r="AS231" s="4089">
        <f t="shared" si="105"/>
        <v>2128</v>
      </c>
      <c r="AT231" s="877"/>
      <c r="AU231" s="4089"/>
      <c r="AV231" s="4089"/>
      <c r="AW231" s="4089"/>
      <c r="AX231" s="4089"/>
      <c r="AY231" s="4089"/>
      <c r="AZ231" s="4089"/>
      <c r="BA231" s="4089">
        <f>I231/4</f>
        <v>532</v>
      </c>
      <c r="BB231" s="4089"/>
      <c r="BC231" s="4089"/>
      <c r="BD231" s="4089"/>
      <c r="BE231" s="4089"/>
      <c r="BF231" s="4089" t="s">
        <v>89</v>
      </c>
      <c r="BG231" s="4089"/>
      <c r="BH231" s="4089">
        <f t="shared" si="94"/>
        <v>354.666666666667</v>
      </c>
      <c r="BI231" s="4089">
        <f t="shared" si="95"/>
        <v>354.666666666667</v>
      </c>
      <c r="BJ231" s="4089">
        <f t="shared" si="96"/>
        <v>354.666666666667</v>
      </c>
      <c r="BK231" s="4089">
        <f t="shared" si="97"/>
        <v>354.666666666667</v>
      </c>
      <c r="BL231" s="4089">
        <f t="shared" si="98"/>
        <v>354.666666666667</v>
      </c>
      <c r="BM231" s="4089">
        <f t="shared" si="99"/>
        <v>283.733333333333</v>
      </c>
      <c r="BN231" s="4089">
        <f t="shared" si="100"/>
        <v>70.9333333333333</v>
      </c>
      <c r="BO231" s="878"/>
      <c r="BP231" s="878"/>
      <c r="BQ231" s="878"/>
      <c r="BR231" s="878"/>
      <c r="BS231" s="878"/>
      <c r="BT231" s="879"/>
      <c r="BU231" s="4384"/>
      <c r="BV231" s="4385">
        <f t="shared" si="104"/>
        <v>2128</v>
      </c>
      <c r="BW231" s="4386">
        <f t="shared" si="88"/>
        <v>0</v>
      </c>
      <c r="BX231" s="4387"/>
      <c r="BY231" s="4387"/>
      <c r="BZ231" s="4387"/>
      <c r="CA231" s="4391"/>
      <c r="CC231" s="4392"/>
      <c r="CD231" s="4391"/>
    </row>
    <row r="232" s="4025" customFormat="1" ht="50" customHeight="1" spans="1:82">
      <c r="A232" s="3688">
        <v>45736</v>
      </c>
      <c r="B232" s="3689" t="s">
        <v>2914</v>
      </c>
      <c r="C232" s="3664" t="s">
        <v>341</v>
      </c>
      <c r="D232" s="3690">
        <v>4500160901</v>
      </c>
      <c r="E232" s="3664" t="s">
        <v>3482</v>
      </c>
      <c r="F232" s="3690" t="s">
        <v>3483</v>
      </c>
      <c r="G232" s="3664" t="s">
        <v>2917</v>
      </c>
      <c r="H232" s="3691" t="s">
        <v>2591</v>
      </c>
      <c r="I232" s="3691">
        <v>2080</v>
      </c>
      <c r="J232" s="3691">
        <v>0</v>
      </c>
      <c r="K232" s="3691">
        <v>16</v>
      </c>
      <c r="L232" s="3691">
        <f t="shared" si="86"/>
        <v>130</v>
      </c>
      <c r="M232" s="3659">
        <v>45772</v>
      </c>
      <c r="N232" s="3659">
        <v>45768</v>
      </c>
      <c r="O232" s="3682"/>
      <c r="P232" s="3645" t="s">
        <v>82</v>
      </c>
      <c r="Q232" s="3645"/>
      <c r="R232" s="4424"/>
      <c r="S232" s="4424"/>
      <c r="T232" s="4424"/>
      <c r="U232" s="3657" t="s">
        <v>1054</v>
      </c>
      <c r="V232" s="3657" t="s">
        <v>1147</v>
      </c>
      <c r="W232" s="3657"/>
      <c r="X232" s="3649" t="s">
        <v>3479</v>
      </c>
      <c r="Y232" s="3661"/>
      <c r="Z232" s="3645"/>
      <c r="AA232" s="3620" t="s">
        <v>3480</v>
      </c>
      <c r="AB232" s="4087" t="s">
        <v>87</v>
      </c>
      <c r="AC232" s="3691">
        <v>2.2049</v>
      </c>
      <c r="AD232" s="4402">
        <f t="shared" si="89"/>
        <v>4586.192</v>
      </c>
      <c r="AE232" s="3645" t="s">
        <v>3481</v>
      </c>
      <c r="AF232" s="3664" t="s">
        <v>2917</v>
      </c>
      <c r="AG232" s="3645" t="s">
        <v>416</v>
      </c>
      <c r="AH232" s="4425"/>
      <c r="AI232" s="3691">
        <f t="shared" si="106"/>
        <v>2080</v>
      </c>
      <c r="AJ232" s="3691"/>
      <c r="AK232" s="984"/>
      <c r="AL232" s="3691"/>
      <c r="AM232" s="3691"/>
      <c r="AN232" s="4089"/>
      <c r="AO232" s="3691">
        <f t="shared" ref="AO232:AO242" si="107">I232</f>
        <v>2080</v>
      </c>
      <c r="AP232" s="3691"/>
      <c r="AQ232" s="4089"/>
      <c r="AR232" s="877"/>
      <c r="AS232" s="4089">
        <f t="shared" si="105"/>
        <v>2080</v>
      </c>
      <c r="AT232" s="877"/>
      <c r="AU232" s="4089"/>
      <c r="AV232" s="4089"/>
      <c r="AW232" s="4089"/>
      <c r="AX232" s="4089"/>
      <c r="AY232" s="4089"/>
      <c r="AZ232" s="4089"/>
      <c r="BA232" s="4089">
        <f>I232/4</f>
        <v>520</v>
      </c>
      <c r="BB232" s="4089"/>
      <c r="BC232" s="4089"/>
      <c r="BD232" s="4089"/>
      <c r="BE232" s="4089"/>
      <c r="BF232" s="4089" t="s">
        <v>89</v>
      </c>
      <c r="BG232" s="4089"/>
      <c r="BH232" s="4089">
        <f t="shared" si="94"/>
        <v>346.666666666667</v>
      </c>
      <c r="BI232" s="4089">
        <f t="shared" si="95"/>
        <v>346.666666666667</v>
      </c>
      <c r="BJ232" s="4089">
        <f t="shared" si="96"/>
        <v>346.666666666667</v>
      </c>
      <c r="BK232" s="4089">
        <f t="shared" si="97"/>
        <v>346.666666666667</v>
      </c>
      <c r="BL232" s="4089">
        <f t="shared" si="98"/>
        <v>346.666666666667</v>
      </c>
      <c r="BM232" s="4089">
        <f t="shared" si="99"/>
        <v>277.333333333333</v>
      </c>
      <c r="BN232" s="4089">
        <f t="shared" si="100"/>
        <v>69.3333333333333</v>
      </c>
      <c r="BO232" s="878"/>
      <c r="BP232" s="878"/>
      <c r="BQ232" s="878"/>
      <c r="BR232" s="878"/>
      <c r="BS232" s="878"/>
      <c r="BT232" s="879"/>
      <c r="BU232" s="4384"/>
      <c r="BV232" s="4385">
        <f t="shared" si="104"/>
        <v>2080</v>
      </c>
      <c r="BW232" s="4386">
        <f t="shared" si="88"/>
        <v>0</v>
      </c>
      <c r="BX232" s="4387"/>
      <c r="BY232" s="4387"/>
      <c r="BZ232" s="4387"/>
      <c r="CA232" s="4391"/>
      <c r="CC232" s="4392"/>
      <c r="CD232" s="4391"/>
    </row>
    <row r="233" s="4025" customFormat="1" ht="50" customHeight="1" spans="1:82">
      <c r="A233" s="3688">
        <v>45736</v>
      </c>
      <c r="B233" s="3689" t="s">
        <v>2914</v>
      </c>
      <c r="C233" s="3664" t="s">
        <v>341</v>
      </c>
      <c r="D233" s="3690">
        <v>4500160901</v>
      </c>
      <c r="E233" s="3664" t="s">
        <v>3484</v>
      </c>
      <c r="F233" s="3690" t="s">
        <v>3485</v>
      </c>
      <c r="G233" s="3664" t="s">
        <v>2917</v>
      </c>
      <c r="H233" s="3691" t="s">
        <v>2591</v>
      </c>
      <c r="I233" s="3691">
        <v>2080</v>
      </c>
      <c r="J233" s="3691">
        <v>0</v>
      </c>
      <c r="K233" s="3691">
        <v>16</v>
      </c>
      <c r="L233" s="3691">
        <f t="shared" si="86"/>
        <v>130</v>
      </c>
      <c r="M233" s="3659">
        <v>45772</v>
      </c>
      <c r="N233" s="3659">
        <v>45768</v>
      </c>
      <c r="O233" s="3682"/>
      <c r="P233" s="3645" t="s">
        <v>82</v>
      </c>
      <c r="Q233" s="3645"/>
      <c r="R233" s="4424"/>
      <c r="S233" s="4424"/>
      <c r="T233" s="4424"/>
      <c r="U233" s="3657" t="s">
        <v>1054</v>
      </c>
      <c r="V233" s="3657" t="s">
        <v>1147</v>
      </c>
      <c r="W233" s="3657"/>
      <c r="X233" s="3657" t="s">
        <v>3479</v>
      </c>
      <c r="Y233" s="3661"/>
      <c r="Z233" s="3645"/>
      <c r="AA233" s="3620" t="s">
        <v>3480</v>
      </c>
      <c r="AB233" s="4087" t="s">
        <v>87</v>
      </c>
      <c r="AC233" s="3691">
        <v>2.2049</v>
      </c>
      <c r="AD233" s="4402">
        <f t="shared" si="89"/>
        <v>4586.192</v>
      </c>
      <c r="AE233" s="3645" t="s">
        <v>3481</v>
      </c>
      <c r="AF233" s="3664" t="s">
        <v>2917</v>
      </c>
      <c r="AG233" s="3645" t="s">
        <v>416</v>
      </c>
      <c r="AH233" s="4425"/>
      <c r="AI233" s="3691">
        <f t="shared" si="106"/>
        <v>2080</v>
      </c>
      <c r="AJ233" s="3691"/>
      <c r="AK233" s="984"/>
      <c r="AL233" s="3691"/>
      <c r="AM233" s="3691"/>
      <c r="AN233" s="4089"/>
      <c r="AO233" s="3691">
        <f t="shared" si="107"/>
        <v>2080</v>
      </c>
      <c r="AP233" s="3691"/>
      <c r="AQ233" s="4089"/>
      <c r="AR233" s="877"/>
      <c r="AS233" s="4089">
        <f t="shared" si="105"/>
        <v>2080</v>
      </c>
      <c r="AT233" s="877"/>
      <c r="AU233" s="4089"/>
      <c r="AV233" s="4089"/>
      <c r="AW233" s="4089"/>
      <c r="AX233" s="4089"/>
      <c r="AY233" s="4089"/>
      <c r="AZ233" s="4089"/>
      <c r="BA233" s="4089">
        <f>I233/4</f>
        <v>520</v>
      </c>
      <c r="BB233" s="4089"/>
      <c r="BC233" s="4089"/>
      <c r="BD233" s="4089"/>
      <c r="BE233" s="4089"/>
      <c r="BF233" s="4089" t="s">
        <v>89</v>
      </c>
      <c r="BG233" s="4089"/>
      <c r="BH233" s="4089">
        <f t="shared" si="94"/>
        <v>346.666666666667</v>
      </c>
      <c r="BI233" s="4089">
        <f t="shared" si="95"/>
        <v>346.666666666667</v>
      </c>
      <c r="BJ233" s="4089">
        <f t="shared" si="96"/>
        <v>346.666666666667</v>
      </c>
      <c r="BK233" s="4089">
        <f t="shared" si="97"/>
        <v>346.666666666667</v>
      </c>
      <c r="BL233" s="4089">
        <f t="shared" si="98"/>
        <v>346.666666666667</v>
      </c>
      <c r="BM233" s="4089">
        <f t="shared" si="99"/>
        <v>277.333333333333</v>
      </c>
      <c r="BN233" s="4089">
        <f t="shared" si="100"/>
        <v>69.3333333333333</v>
      </c>
      <c r="BO233" s="878"/>
      <c r="BP233" s="878"/>
      <c r="BQ233" s="878"/>
      <c r="BR233" s="878"/>
      <c r="BS233" s="878"/>
      <c r="BT233" s="879"/>
      <c r="BU233" s="4384"/>
      <c r="BV233" s="4385">
        <f t="shared" si="104"/>
        <v>2080</v>
      </c>
      <c r="BW233" s="4386">
        <f t="shared" si="88"/>
        <v>0</v>
      </c>
      <c r="BX233" s="4387"/>
      <c r="BY233" s="4387"/>
      <c r="BZ233" s="4387"/>
      <c r="CA233" s="4391"/>
      <c r="CC233" s="4392"/>
      <c r="CD233" s="4391"/>
    </row>
    <row r="234" s="4025" customFormat="1" ht="50" customHeight="1" spans="1:82">
      <c r="A234" s="3688">
        <v>45701</v>
      </c>
      <c r="B234" s="3689" t="s">
        <v>90</v>
      </c>
      <c r="C234" s="3664" t="s">
        <v>91</v>
      </c>
      <c r="D234" s="3690">
        <v>4500157317</v>
      </c>
      <c r="E234" s="3664" t="s">
        <v>3486</v>
      </c>
      <c r="F234" s="3690" t="s">
        <v>3487</v>
      </c>
      <c r="G234" s="3664" t="s">
        <v>2719</v>
      </c>
      <c r="H234" s="3691" t="s">
        <v>2591</v>
      </c>
      <c r="I234" s="3691">
        <v>1200</v>
      </c>
      <c r="J234" s="3691">
        <v>0</v>
      </c>
      <c r="K234" s="3691">
        <v>6</v>
      </c>
      <c r="L234" s="3691">
        <f t="shared" si="86"/>
        <v>200</v>
      </c>
      <c r="M234" s="3659">
        <v>45772</v>
      </c>
      <c r="N234" s="3659">
        <v>45768</v>
      </c>
      <c r="O234" s="3664" t="s">
        <v>1083</v>
      </c>
      <c r="P234" s="3682" t="s">
        <v>82</v>
      </c>
      <c r="Q234" s="3682"/>
      <c r="R234" s="4083"/>
      <c r="S234" s="4083"/>
      <c r="T234" s="4083"/>
      <c r="U234" s="3645" t="s">
        <v>3488</v>
      </c>
      <c r="V234" s="3657" t="s">
        <v>912</v>
      </c>
      <c r="W234" s="3657"/>
      <c r="X234" s="3657" t="s">
        <v>98</v>
      </c>
      <c r="Y234" s="3657" t="s">
        <v>3489</v>
      </c>
      <c r="Z234" s="3661"/>
      <c r="AA234" s="3620" t="s">
        <v>1139</v>
      </c>
      <c r="AB234" s="3691" t="s">
        <v>653</v>
      </c>
      <c r="AC234" s="4087">
        <v>2.1437</v>
      </c>
      <c r="AD234" s="3691">
        <f t="shared" si="89"/>
        <v>2572.44</v>
      </c>
      <c r="AE234" s="3645" t="s">
        <v>3490</v>
      </c>
      <c r="AF234" s="3664" t="s">
        <v>2719</v>
      </c>
      <c r="AG234" s="3645" t="s">
        <v>416</v>
      </c>
      <c r="AH234" s="875"/>
      <c r="AI234" s="3691">
        <f t="shared" si="106"/>
        <v>1200</v>
      </c>
      <c r="AJ234" s="3691"/>
      <c r="AK234" s="875"/>
      <c r="AL234" s="3664"/>
      <c r="AM234" s="3664"/>
      <c r="AN234" s="3691"/>
      <c r="AO234" s="3691">
        <f t="shared" si="107"/>
        <v>1200</v>
      </c>
      <c r="AP234" s="3691"/>
      <c r="AQ234" s="4089"/>
      <c r="AR234" s="877"/>
      <c r="AS234" s="4089">
        <f t="shared" si="105"/>
        <v>1200</v>
      </c>
      <c r="AT234" s="877"/>
      <c r="AU234" s="4089"/>
      <c r="AV234" s="4089"/>
      <c r="AW234" s="4089"/>
      <c r="AX234" s="4089"/>
      <c r="AY234" s="4089"/>
      <c r="AZ234" s="4089"/>
      <c r="BA234" s="4089"/>
      <c r="BB234" s="4089"/>
      <c r="BC234" s="4089"/>
      <c r="BD234" s="4089"/>
      <c r="BE234" s="4089"/>
      <c r="BF234" s="4089" t="s">
        <v>89</v>
      </c>
      <c r="BG234" s="4089"/>
      <c r="BH234" s="4089">
        <f t="shared" si="94"/>
        <v>200</v>
      </c>
      <c r="BI234" s="4089">
        <f t="shared" si="95"/>
        <v>200</v>
      </c>
      <c r="BJ234" s="4089">
        <f t="shared" si="96"/>
        <v>200</v>
      </c>
      <c r="BK234" s="4089">
        <f t="shared" si="97"/>
        <v>200</v>
      </c>
      <c r="BL234" s="4089">
        <f t="shared" si="98"/>
        <v>200</v>
      </c>
      <c r="BM234" s="4089">
        <f t="shared" si="99"/>
        <v>160</v>
      </c>
      <c r="BN234" s="4089">
        <f t="shared" si="100"/>
        <v>40</v>
      </c>
      <c r="BO234" s="878"/>
      <c r="BP234" s="878"/>
      <c r="BQ234" s="878"/>
      <c r="BR234" s="878"/>
      <c r="BS234" s="878"/>
      <c r="BT234" s="879"/>
      <c r="BU234" s="880"/>
      <c r="BV234" s="4385">
        <f t="shared" si="104"/>
        <v>1200</v>
      </c>
      <c r="BW234" s="4386">
        <f t="shared" si="88"/>
        <v>0</v>
      </c>
      <c r="BX234" s="4387"/>
      <c r="BY234" s="4387"/>
      <c r="BZ234" s="4387"/>
      <c r="CA234" s="4391"/>
      <c r="CC234" s="4392"/>
      <c r="CD234" s="4391"/>
    </row>
    <row r="235" s="4025" customFormat="1" ht="50" customHeight="1" spans="1:82">
      <c r="A235" s="3688">
        <v>45701</v>
      </c>
      <c r="B235" s="3689" t="s">
        <v>90</v>
      </c>
      <c r="C235" s="3664" t="s">
        <v>91</v>
      </c>
      <c r="D235" s="3690">
        <v>4500157316</v>
      </c>
      <c r="E235" s="3664" t="s">
        <v>3491</v>
      </c>
      <c r="F235" s="3690" t="s">
        <v>3492</v>
      </c>
      <c r="G235" s="3664" t="s">
        <v>2719</v>
      </c>
      <c r="H235" s="3691" t="s">
        <v>2591</v>
      </c>
      <c r="I235" s="3691">
        <v>1002</v>
      </c>
      <c r="J235" s="3691">
        <v>0</v>
      </c>
      <c r="K235" s="3691">
        <v>6</v>
      </c>
      <c r="L235" s="3691">
        <f t="shared" si="86"/>
        <v>167</v>
      </c>
      <c r="M235" s="3659">
        <v>45772</v>
      </c>
      <c r="N235" s="3659">
        <v>45768</v>
      </c>
      <c r="O235" s="3664" t="s">
        <v>1083</v>
      </c>
      <c r="P235" s="3682" t="s">
        <v>82</v>
      </c>
      <c r="Q235" s="3682"/>
      <c r="R235" s="4083"/>
      <c r="S235" s="4083"/>
      <c r="T235" s="4083"/>
      <c r="U235" s="3645" t="s">
        <v>3488</v>
      </c>
      <c r="V235" s="3657" t="s">
        <v>912</v>
      </c>
      <c r="W235" s="3657"/>
      <c r="X235" s="3657" t="s">
        <v>98</v>
      </c>
      <c r="Y235" s="3657" t="s">
        <v>3493</v>
      </c>
      <c r="Z235" s="3661"/>
      <c r="AA235" s="3620" t="s">
        <v>1139</v>
      </c>
      <c r="AB235" s="3691" t="s">
        <v>653</v>
      </c>
      <c r="AC235" s="4087">
        <v>2.1437</v>
      </c>
      <c r="AD235" s="3691">
        <f t="shared" si="89"/>
        <v>2147.9874</v>
      </c>
      <c r="AE235" s="3645" t="s">
        <v>3494</v>
      </c>
      <c r="AF235" s="3664" t="s">
        <v>2719</v>
      </c>
      <c r="AG235" s="3645" t="s">
        <v>416</v>
      </c>
      <c r="AH235" s="875"/>
      <c r="AI235" s="3691">
        <f t="shared" si="106"/>
        <v>1002</v>
      </c>
      <c r="AJ235" s="3691"/>
      <c r="AK235" s="875"/>
      <c r="AL235" s="3664"/>
      <c r="AM235" s="3664"/>
      <c r="AN235" s="3691"/>
      <c r="AO235" s="3691">
        <f t="shared" si="107"/>
        <v>1002</v>
      </c>
      <c r="AP235" s="3691"/>
      <c r="AQ235" s="4089"/>
      <c r="AR235" s="877"/>
      <c r="AS235" s="4089">
        <f t="shared" si="105"/>
        <v>1002</v>
      </c>
      <c r="AT235" s="877"/>
      <c r="AU235" s="4089"/>
      <c r="AV235" s="4089"/>
      <c r="AW235" s="4089"/>
      <c r="AX235" s="4089"/>
      <c r="AY235" s="4089"/>
      <c r="AZ235" s="4089"/>
      <c r="BA235" s="4089"/>
      <c r="BB235" s="4089"/>
      <c r="BC235" s="4089"/>
      <c r="BD235" s="4089"/>
      <c r="BE235" s="4089"/>
      <c r="BF235" s="4089" t="s">
        <v>89</v>
      </c>
      <c r="BG235" s="4089"/>
      <c r="BH235" s="4089">
        <f t="shared" si="94"/>
        <v>167</v>
      </c>
      <c r="BI235" s="4089">
        <f t="shared" si="95"/>
        <v>167</v>
      </c>
      <c r="BJ235" s="4089">
        <f t="shared" si="96"/>
        <v>167</v>
      </c>
      <c r="BK235" s="4089">
        <f t="shared" si="97"/>
        <v>167</v>
      </c>
      <c r="BL235" s="4089">
        <f t="shared" si="98"/>
        <v>167</v>
      </c>
      <c r="BM235" s="4089">
        <f t="shared" si="99"/>
        <v>133.6</v>
      </c>
      <c r="BN235" s="4089">
        <f t="shared" si="100"/>
        <v>33.4</v>
      </c>
      <c r="BO235" s="878"/>
      <c r="BP235" s="878"/>
      <c r="BQ235" s="878"/>
      <c r="BR235" s="878"/>
      <c r="BS235" s="878"/>
      <c r="BT235" s="879"/>
      <c r="BU235" s="880"/>
      <c r="BV235" s="4385">
        <f t="shared" si="104"/>
        <v>1002</v>
      </c>
      <c r="BW235" s="4386">
        <f t="shared" si="88"/>
        <v>0</v>
      </c>
      <c r="BX235" s="4387"/>
      <c r="BY235" s="4387"/>
      <c r="BZ235" s="4387"/>
      <c r="CA235" s="4391"/>
      <c r="CC235" s="4392"/>
      <c r="CD235" s="4391"/>
    </row>
    <row r="236" s="4025" customFormat="1" ht="50" customHeight="1" spans="1:82">
      <c r="A236" s="3688">
        <v>45741</v>
      </c>
      <c r="B236" s="3689" t="s">
        <v>3495</v>
      </c>
      <c r="C236" s="3664" t="s">
        <v>91</v>
      </c>
      <c r="D236" s="3690">
        <v>4500161382</v>
      </c>
      <c r="E236" s="5456" t="s">
        <v>3496</v>
      </c>
      <c r="F236" s="3690" t="s">
        <v>3497</v>
      </c>
      <c r="G236" s="3664" t="s">
        <v>3068</v>
      </c>
      <c r="H236" s="3664" t="s">
        <v>3069</v>
      </c>
      <c r="I236" s="3691">
        <v>768</v>
      </c>
      <c r="J236" s="3691">
        <v>2</v>
      </c>
      <c r="K236" s="3691">
        <v>384</v>
      </c>
      <c r="L236" s="3691">
        <f t="shared" si="86"/>
        <v>2</v>
      </c>
      <c r="M236" s="3659">
        <v>45772</v>
      </c>
      <c r="N236" s="3659">
        <v>45768</v>
      </c>
      <c r="O236" s="4097" t="s">
        <v>3498</v>
      </c>
      <c r="P236" s="3645" t="s">
        <v>82</v>
      </c>
      <c r="Q236" s="3645"/>
      <c r="R236" s="4424"/>
      <c r="S236" s="4424"/>
      <c r="T236" s="4424"/>
      <c r="U236" s="3657" t="s">
        <v>3488</v>
      </c>
      <c r="V236" s="3657" t="s">
        <v>3072</v>
      </c>
      <c r="W236" s="3657"/>
      <c r="X236" s="3657" t="s">
        <v>3073</v>
      </c>
      <c r="Y236" s="4085" t="s">
        <v>3499</v>
      </c>
      <c r="Z236" s="3645"/>
      <c r="AA236" s="3620" t="s">
        <v>3500</v>
      </c>
      <c r="AB236" s="4087" t="s">
        <v>3076</v>
      </c>
      <c r="AC236" s="4087">
        <v>866.2148</v>
      </c>
      <c r="AD236" s="3691">
        <f>AC236*L236</f>
        <v>1732.4296</v>
      </c>
      <c r="AE236" s="3645" t="s">
        <v>3501</v>
      </c>
      <c r="AF236" s="3664" t="s">
        <v>3078</v>
      </c>
      <c r="AG236" s="3645" t="s">
        <v>416</v>
      </c>
      <c r="AH236" s="4425"/>
      <c r="AI236" s="3691">
        <f t="shared" si="106"/>
        <v>768</v>
      </c>
      <c r="AJ236" s="3691"/>
      <c r="AK236" s="984"/>
      <c r="AL236" s="3691"/>
      <c r="AM236" s="3691"/>
      <c r="AN236" s="4089"/>
      <c r="AO236" s="3691">
        <f t="shared" si="107"/>
        <v>768</v>
      </c>
      <c r="AP236" s="3691"/>
      <c r="AQ236" s="4089"/>
      <c r="AR236" s="877"/>
      <c r="AS236" s="4089">
        <f t="shared" si="105"/>
        <v>768</v>
      </c>
      <c r="AT236" s="877"/>
      <c r="AU236" s="4089"/>
      <c r="AV236" s="4089"/>
      <c r="AW236" s="4089"/>
      <c r="AX236" s="4089"/>
      <c r="AY236" s="4089"/>
      <c r="AZ236" s="4089"/>
      <c r="BA236" s="4089"/>
      <c r="BB236" s="4089">
        <f>I236/2</f>
        <v>384</v>
      </c>
      <c r="BC236" s="4089"/>
      <c r="BD236" s="4089"/>
      <c r="BE236" s="4089"/>
      <c r="BF236" s="4089" t="s">
        <v>89</v>
      </c>
      <c r="BG236" s="4089"/>
      <c r="BH236" s="4089">
        <f t="shared" si="94"/>
        <v>128</v>
      </c>
      <c r="BI236" s="4089">
        <f t="shared" si="95"/>
        <v>128</v>
      </c>
      <c r="BJ236" s="4089">
        <f t="shared" si="96"/>
        <v>128</v>
      </c>
      <c r="BK236" s="4089">
        <f t="shared" si="97"/>
        <v>128</v>
      </c>
      <c r="BL236" s="4089">
        <f t="shared" si="98"/>
        <v>128</v>
      </c>
      <c r="BM236" s="4089">
        <f t="shared" si="99"/>
        <v>102.4</v>
      </c>
      <c r="BN236" s="4089">
        <f t="shared" si="100"/>
        <v>25.6</v>
      </c>
      <c r="BO236" s="878"/>
      <c r="BP236" s="878"/>
      <c r="BQ236" s="878"/>
      <c r="BR236" s="878"/>
      <c r="BS236" s="878"/>
      <c r="BT236" s="879"/>
      <c r="BU236" s="880"/>
      <c r="BV236" s="4385">
        <f t="shared" si="104"/>
        <v>768</v>
      </c>
      <c r="BW236" s="4386">
        <f t="shared" si="88"/>
        <v>0</v>
      </c>
      <c r="BX236" s="4387"/>
      <c r="BY236" s="4387"/>
      <c r="BZ236" s="4387"/>
      <c r="CA236" s="4391"/>
      <c r="CC236" s="4392"/>
      <c r="CD236" s="4391"/>
    </row>
    <row r="237" s="4025" customFormat="1" ht="50" customHeight="1" spans="1:82">
      <c r="A237" s="3688">
        <v>45741</v>
      </c>
      <c r="B237" s="3689" t="s">
        <v>3495</v>
      </c>
      <c r="C237" s="3664" t="s">
        <v>91</v>
      </c>
      <c r="D237" s="3690">
        <v>4500161382</v>
      </c>
      <c r="E237" s="5456" t="s">
        <v>3502</v>
      </c>
      <c r="F237" s="3690" t="s">
        <v>3503</v>
      </c>
      <c r="G237" s="3664" t="s">
        <v>3068</v>
      </c>
      <c r="H237" s="3664" t="s">
        <v>3069</v>
      </c>
      <c r="I237" s="3691">
        <v>384</v>
      </c>
      <c r="J237" s="3691">
        <v>2</v>
      </c>
      <c r="K237" s="3691">
        <v>384</v>
      </c>
      <c r="L237" s="3691">
        <f t="shared" si="86"/>
        <v>1</v>
      </c>
      <c r="M237" s="3659">
        <v>45772</v>
      </c>
      <c r="N237" s="3659">
        <v>45768</v>
      </c>
      <c r="O237" s="4097" t="s">
        <v>3498</v>
      </c>
      <c r="P237" s="3645" t="s">
        <v>82</v>
      </c>
      <c r="Q237" s="3645"/>
      <c r="R237" s="4424"/>
      <c r="S237" s="4424"/>
      <c r="T237" s="4424"/>
      <c r="U237" s="3657" t="s">
        <v>1134</v>
      </c>
      <c r="V237" s="3657" t="s">
        <v>3072</v>
      </c>
      <c r="W237" s="3657"/>
      <c r="X237" s="3657" t="s">
        <v>3073</v>
      </c>
      <c r="Y237" s="4085" t="s">
        <v>3499</v>
      </c>
      <c r="Z237" s="3645"/>
      <c r="AA237" s="3620" t="s">
        <v>3500</v>
      </c>
      <c r="AB237" s="4087" t="s">
        <v>3076</v>
      </c>
      <c r="AC237" s="4087">
        <v>866.2148</v>
      </c>
      <c r="AD237" s="3691">
        <f>AC237*L237</f>
        <v>866.2148</v>
      </c>
      <c r="AE237" s="3645" t="s">
        <v>3504</v>
      </c>
      <c r="AF237" s="3664" t="s">
        <v>3078</v>
      </c>
      <c r="AG237" s="3645" t="s">
        <v>416</v>
      </c>
      <c r="AH237" s="4425"/>
      <c r="AI237" s="3691">
        <f t="shared" si="106"/>
        <v>384</v>
      </c>
      <c r="AJ237" s="3691"/>
      <c r="AK237" s="984"/>
      <c r="AL237" s="3691"/>
      <c r="AM237" s="3691"/>
      <c r="AN237" s="4089"/>
      <c r="AO237" s="3691">
        <f t="shared" si="107"/>
        <v>384</v>
      </c>
      <c r="AP237" s="3691"/>
      <c r="AQ237" s="4089"/>
      <c r="AR237" s="877"/>
      <c r="AS237" s="4089">
        <f t="shared" si="105"/>
        <v>384</v>
      </c>
      <c r="AT237" s="877"/>
      <c r="AU237" s="4089"/>
      <c r="AV237" s="4089"/>
      <c r="AW237" s="4089"/>
      <c r="AX237" s="4089"/>
      <c r="AY237" s="4089"/>
      <c r="AZ237" s="4089"/>
      <c r="BA237" s="4089"/>
      <c r="BB237" s="4089">
        <f>I237/2</f>
        <v>192</v>
      </c>
      <c r="BC237" s="4089"/>
      <c r="BD237" s="4089"/>
      <c r="BE237" s="4089"/>
      <c r="BF237" s="4089" t="s">
        <v>89</v>
      </c>
      <c r="BG237" s="4089"/>
      <c r="BH237" s="4089">
        <f t="shared" si="94"/>
        <v>64</v>
      </c>
      <c r="BI237" s="4089">
        <f t="shared" si="95"/>
        <v>64</v>
      </c>
      <c r="BJ237" s="4089">
        <f t="shared" si="96"/>
        <v>64</v>
      </c>
      <c r="BK237" s="4089">
        <f t="shared" si="97"/>
        <v>64</v>
      </c>
      <c r="BL237" s="4089">
        <f t="shared" si="98"/>
        <v>64</v>
      </c>
      <c r="BM237" s="4089">
        <f t="shared" si="99"/>
        <v>51.2</v>
      </c>
      <c r="BN237" s="4089">
        <f t="shared" si="100"/>
        <v>12.8</v>
      </c>
      <c r="BO237" s="878"/>
      <c r="BP237" s="878"/>
      <c r="BQ237" s="878"/>
      <c r="BR237" s="878"/>
      <c r="BS237" s="878"/>
      <c r="BT237" s="879"/>
      <c r="BU237" s="880"/>
      <c r="BV237" s="4385">
        <f t="shared" si="104"/>
        <v>384</v>
      </c>
      <c r="BW237" s="4386">
        <f t="shared" si="88"/>
        <v>0</v>
      </c>
      <c r="BX237" s="4387"/>
      <c r="BY237" s="4387"/>
      <c r="BZ237" s="4387"/>
      <c r="CA237" s="4391"/>
      <c r="CC237" s="4392"/>
      <c r="CD237" s="4391"/>
    </row>
    <row r="238" s="4025" customFormat="1" ht="50" customHeight="1" spans="1:82">
      <c r="A238" s="3688">
        <v>45741</v>
      </c>
      <c r="B238" s="3689" t="s">
        <v>3495</v>
      </c>
      <c r="C238" s="3664" t="s">
        <v>91</v>
      </c>
      <c r="D238" s="3690">
        <v>4500161382</v>
      </c>
      <c r="E238" s="5456" t="s">
        <v>3505</v>
      </c>
      <c r="F238" s="3690" t="s">
        <v>3506</v>
      </c>
      <c r="G238" s="3664" t="s">
        <v>3068</v>
      </c>
      <c r="H238" s="3664" t="s">
        <v>3069</v>
      </c>
      <c r="I238" s="3691">
        <v>384</v>
      </c>
      <c r="J238" s="3691">
        <v>2</v>
      </c>
      <c r="K238" s="3691">
        <v>384</v>
      </c>
      <c r="L238" s="3691">
        <f t="shared" si="86"/>
        <v>1</v>
      </c>
      <c r="M238" s="3659">
        <v>45772</v>
      </c>
      <c r="N238" s="3659">
        <v>45768</v>
      </c>
      <c r="O238" s="4097" t="s">
        <v>3498</v>
      </c>
      <c r="P238" s="3645" t="s">
        <v>82</v>
      </c>
      <c r="Q238" s="3645"/>
      <c r="R238" s="4424"/>
      <c r="S238" s="4424"/>
      <c r="T238" s="4424"/>
      <c r="U238" s="3657" t="s">
        <v>3488</v>
      </c>
      <c r="V238" s="3657" t="s">
        <v>3072</v>
      </c>
      <c r="W238" s="3657"/>
      <c r="X238" s="3657" t="s">
        <v>3073</v>
      </c>
      <c r="Y238" s="4085" t="s">
        <v>3499</v>
      </c>
      <c r="Z238" s="3645"/>
      <c r="AA238" s="3620" t="s">
        <v>3500</v>
      </c>
      <c r="AB238" s="4087" t="s">
        <v>3076</v>
      </c>
      <c r="AC238" s="4087">
        <v>866.2148</v>
      </c>
      <c r="AD238" s="3691">
        <f>AC238*L238</f>
        <v>866.2148</v>
      </c>
      <c r="AE238" s="3645" t="s">
        <v>3507</v>
      </c>
      <c r="AF238" s="3664" t="s">
        <v>3078</v>
      </c>
      <c r="AG238" s="3645" t="s">
        <v>416</v>
      </c>
      <c r="AH238" s="4425"/>
      <c r="AI238" s="3691">
        <f t="shared" si="106"/>
        <v>384</v>
      </c>
      <c r="AJ238" s="3691"/>
      <c r="AK238" s="984"/>
      <c r="AL238" s="3691"/>
      <c r="AM238" s="3691"/>
      <c r="AN238" s="4089"/>
      <c r="AO238" s="3691">
        <f t="shared" si="107"/>
        <v>384</v>
      </c>
      <c r="AP238" s="3691"/>
      <c r="AQ238" s="4089"/>
      <c r="AR238" s="877"/>
      <c r="AS238" s="4089">
        <f t="shared" si="105"/>
        <v>384</v>
      </c>
      <c r="AT238" s="877"/>
      <c r="AU238" s="4089"/>
      <c r="AV238" s="4089"/>
      <c r="AW238" s="4089"/>
      <c r="AX238" s="4089"/>
      <c r="AY238" s="4089"/>
      <c r="AZ238" s="4089"/>
      <c r="BA238" s="4089"/>
      <c r="BB238" s="4089">
        <f>I238/2</f>
        <v>192</v>
      </c>
      <c r="BC238" s="4089"/>
      <c r="BD238" s="4089"/>
      <c r="BE238" s="4089"/>
      <c r="BF238" s="4089" t="s">
        <v>89</v>
      </c>
      <c r="BG238" s="4089"/>
      <c r="BH238" s="4089">
        <f t="shared" si="94"/>
        <v>64</v>
      </c>
      <c r="BI238" s="4089">
        <f t="shared" si="95"/>
        <v>64</v>
      </c>
      <c r="BJ238" s="4089">
        <f t="shared" si="96"/>
        <v>64</v>
      </c>
      <c r="BK238" s="4089">
        <f t="shared" si="97"/>
        <v>64</v>
      </c>
      <c r="BL238" s="4089">
        <f t="shared" si="98"/>
        <v>64</v>
      </c>
      <c r="BM238" s="4089">
        <f t="shared" si="99"/>
        <v>51.2</v>
      </c>
      <c r="BN238" s="4089">
        <f t="shared" si="100"/>
        <v>12.8</v>
      </c>
      <c r="BO238" s="878"/>
      <c r="BP238" s="878"/>
      <c r="BQ238" s="878"/>
      <c r="BR238" s="878"/>
      <c r="BS238" s="878"/>
      <c r="BT238" s="879"/>
      <c r="BU238" s="880"/>
      <c r="BV238" s="4385">
        <f t="shared" si="104"/>
        <v>384</v>
      </c>
      <c r="BW238" s="4386">
        <f t="shared" si="88"/>
        <v>0</v>
      </c>
      <c r="BX238" s="4387"/>
      <c r="BY238" s="4387"/>
      <c r="BZ238" s="4387"/>
      <c r="CA238" s="4391"/>
      <c r="CC238" s="4392"/>
      <c r="CD238" s="4391"/>
    </row>
    <row r="239" s="4025" customFormat="1" ht="50" customHeight="1" spans="1:82">
      <c r="A239" s="3688">
        <v>45741</v>
      </c>
      <c r="B239" s="3689" t="s">
        <v>3495</v>
      </c>
      <c r="C239" s="3664" t="s">
        <v>91</v>
      </c>
      <c r="D239" s="3690">
        <v>4500161382</v>
      </c>
      <c r="E239" s="5456" t="s">
        <v>3508</v>
      </c>
      <c r="F239" s="3690" t="s">
        <v>3509</v>
      </c>
      <c r="G239" s="3664" t="s">
        <v>3068</v>
      </c>
      <c r="H239" s="3664" t="s">
        <v>3069</v>
      </c>
      <c r="I239" s="3691">
        <v>768</v>
      </c>
      <c r="J239" s="3691">
        <v>2</v>
      </c>
      <c r="K239" s="3691">
        <v>384</v>
      </c>
      <c r="L239" s="3691">
        <f t="shared" si="86"/>
        <v>2</v>
      </c>
      <c r="M239" s="3659">
        <v>45772</v>
      </c>
      <c r="N239" s="3659">
        <v>45768</v>
      </c>
      <c r="O239" s="4097" t="s">
        <v>3498</v>
      </c>
      <c r="P239" s="3645" t="s">
        <v>82</v>
      </c>
      <c r="Q239" s="3645"/>
      <c r="R239" s="4424"/>
      <c r="S239" s="4424"/>
      <c r="T239" s="4424"/>
      <c r="U239" s="3657" t="s">
        <v>3510</v>
      </c>
      <c r="V239" s="3657" t="s">
        <v>3072</v>
      </c>
      <c r="W239" s="3657"/>
      <c r="X239" s="3657" t="s">
        <v>3073</v>
      </c>
      <c r="Y239" s="4085" t="s">
        <v>3499</v>
      </c>
      <c r="Z239" s="3645"/>
      <c r="AA239" s="3620" t="s">
        <v>3500</v>
      </c>
      <c r="AB239" s="4087" t="s">
        <v>3076</v>
      </c>
      <c r="AC239" s="4087">
        <v>886.3174</v>
      </c>
      <c r="AD239" s="3691">
        <f>AC239*L239</f>
        <v>1772.6348</v>
      </c>
      <c r="AE239" s="3645" t="s">
        <v>3511</v>
      </c>
      <c r="AF239" s="3664" t="s">
        <v>3078</v>
      </c>
      <c r="AG239" s="3645" t="s">
        <v>416</v>
      </c>
      <c r="AH239" s="4425"/>
      <c r="AI239" s="3691">
        <f t="shared" si="106"/>
        <v>768</v>
      </c>
      <c r="AJ239" s="3691"/>
      <c r="AK239" s="984"/>
      <c r="AL239" s="3691"/>
      <c r="AM239" s="3691"/>
      <c r="AN239" s="4089"/>
      <c r="AO239" s="3691">
        <f t="shared" si="107"/>
        <v>768</v>
      </c>
      <c r="AP239" s="3691"/>
      <c r="AQ239" s="4089"/>
      <c r="AR239" s="877"/>
      <c r="AS239" s="4089">
        <f t="shared" si="105"/>
        <v>768</v>
      </c>
      <c r="AT239" s="877"/>
      <c r="AU239" s="4089"/>
      <c r="AV239" s="4089"/>
      <c r="AW239" s="4089"/>
      <c r="AX239" s="4089"/>
      <c r="AY239" s="4089"/>
      <c r="AZ239" s="4089"/>
      <c r="BA239" s="4089"/>
      <c r="BB239" s="4089">
        <f>I239/2</f>
        <v>384</v>
      </c>
      <c r="BC239" s="4089"/>
      <c r="BD239" s="4089"/>
      <c r="BE239" s="4089"/>
      <c r="BF239" s="4089" t="s">
        <v>89</v>
      </c>
      <c r="BG239" s="4089"/>
      <c r="BH239" s="4089">
        <f t="shared" si="94"/>
        <v>128</v>
      </c>
      <c r="BI239" s="4089">
        <f t="shared" si="95"/>
        <v>128</v>
      </c>
      <c r="BJ239" s="4089">
        <f t="shared" si="96"/>
        <v>128</v>
      </c>
      <c r="BK239" s="4089">
        <f t="shared" si="97"/>
        <v>128</v>
      </c>
      <c r="BL239" s="4089">
        <f t="shared" si="98"/>
        <v>128</v>
      </c>
      <c r="BM239" s="4089">
        <f t="shared" si="99"/>
        <v>102.4</v>
      </c>
      <c r="BN239" s="4089">
        <f t="shared" si="100"/>
        <v>25.6</v>
      </c>
      <c r="BO239" s="878"/>
      <c r="BP239" s="878"/>
      <c r="BQ239" s="878"/>
      <c r="BR239" s="878"/>
      <c r="BS239" s="878"/>
      <c r="BT239" s="879"/>
      <c r="BU239" s="880"/>
      <c r="BV239" s="4385">
        <f t="shared" si="104"/>
        <v>768</v>
      </c>
      <c r="BW239" s="4386">
        <f t="shared" si="88"/>
        <v>0</v>
      </c>
      <c r="BX239" s="4387"/>
      <c r="BY239" s="4387"/>
      <c r="BZ239" s="4387"/>
      <c r="CA239" s="4391"/>
      <c r="CC239" s="4392"/>
      <c r="CD239" s="4391"/>
    </row>
    <row r="240" s="4025" customFormat="1" ht="50" customHeight="1" spans="1:82">
      <c r="A240" s="3688">
        <v>45741</v>
      </c>
      <c r="B240" s="3689" t="s">
        <v>3495</v>
      </c>
      <c r="C240" s="3664" t="s">
        <v>91</v>
      </c>
      <c r="D240" s="3690">
        <v>4500161382</v>
      </c>
      <c r="E240" s="5456" t="s">
        <v>3512</v>
      </c>
      <c r="F240" s="3690" t="s">
        <v>3513</v>
      </c>
      <c r="G240" s="3664" t="s">
        <v>3068</v>
      </c>
      <c r="H240" s="3664" t="s">
        <v>3069</v>
      </c>
      <c r="I240" s="3691">
        <v>384</v>
      </c>
      <c r="J240" s="3691">
        <v>2</v>
      </c>
      <c r="K240" s="3691">
        <v>384</v>
      </c>
      <c r="L240" s="3691">
        <f t="shared" si="86"/>
        <v>1</v>
      </c>
      <c r="M240" s="3659">
        <v>45772</v>
      </c>
      <c r="N240" s="3659">
        <v>45768</v>
      </c>
      <c r="O240" s="4097" t="s">
        <v>3498</v>
      </c>
      <c r="P240" s="3645" t="s">
        <v>82</v>
      </c>
      <c r="Q240" s="3645"/>
      <c r="R240" s="4424"/>
      <c r="S240" s="4424"/>
      <c r="T240" s="4424"/>
      <c r="U240" s="3657" t="s">
        <v>1134</v>
      </c>
      <c r="V240" s="3657" t="s">
        <v>3072</v>
      </c>
      <c r="W240" s="3657"/>
      <c r="X240" s="3657" t="s">
        <v>3073</v>
      </c>
      <c r="Y240" s="4085" t="s">
        <v>3499</v>
      </c>
      <c r="Z240" s="3645"/>
      <c r="AA240" s="3620" t="s">
        <v>3500</v>
      </c>
      <c r="AB240" s="4087" t="s">
        <v>3076</v>
      </c>
      <c r="AC240" s="4087">
        <v>886.3174</v>
      </c>
      <c r="AD240" s="3691">
        <f>AC240*L240</f>
        <v>886.3174</v>
      </c>
      <c r="AE240" s="3645" t="s">
        <v>3514</v>
      </c>
      <c r="AF240" s="3664" t="s">
        <v>3078</v>
      </c>
      <c r="AG240" s="3645" t="s">
        <v>416</v>
      </c>
      <c r="AH240" s="4425"/>
      <c r="AI240" s="3691">
        <f t="shared" si="106"/>
        <v>384</v>
      </c>
      <c r="AJ240" s="3691"/>
      <c r="AK240" s="984"/>
      <c r="AL240" s="3691"/>
      <c r="AM240" s="3691"/>
      <c r="AN240" s="4089"/>
      <c r="AO240" s="3691">
        <f t="shared" si="107"/>
        <v>384</v>
      </c>
      <c r="AP240" s="3691"/>
      <c r="AQ240" s="4089"/>
      <c r="AR240" s="877"/>
      <c r="AS240" s="4089">
        <f t="shared" si="105"/>
        <v>384</v>
      </c>
      <c r="AT240" s="877"/>
      <c r="AU240" s="4089"/>
      <c r="AV240" s="4089"/>
      <c r="AW240" s="4089"/>
      <c r="AX240" s="4089"/>
      <c r="AY240" s="4089"/>
      <c r="AZ240" s="4089"/>
      <c r="BA240" s="4089"/>
      <c r="BB240" s="4089">
        <f>I240/2</f>
        <v>192</v>
      </c>
      <c r="BC240" s="4089"/>
      <c r="BD240" s="4089"/>
      <c r="BE240" s="4089"/>
      <c r="BF240" s="4089" t="s">
        <v>89</v>
      </c>
      <c r="BG240" s="4089"/>
      <c r="BH240" s="4089">
        <f t="shared" si="94"/>
        <v>64</v>
      </c>
      <c r="BI240" s="4089">
        <f t="shared" si="95"/>
        <v>64</v>
      </c>
      <c r="BJ240" s="4089">
        <f t="shared" si="96"/>
        <v>64</v>
      </c>
      <c r="BK240" s="4089">
        <f t="shared" si="97"/>
        <v>64</v>
      </c>
      <c r="BL240" s="4089">
        <f t="shared" si="98"/>
        <v>64</v>
      </c>
      <c r="BM240" s="4089">
        <f t="shared" si="99"/>
        <v>51.2</v>
      </c>
      <c r="BN240" s="4089">
        <f t="shared" si="100"/>
        <v>12.8</v>
      </c>
      <c r="BO240" s="878"/>
      <c r="BP240" s="878"/>
      <c r="BQ240" s="878"/>
      <c r="BR240" s="878"/>
      <c r="BS240" s="878"/>
      <c r="BT240" s="879"/>
      <c r="BU240" s="880"/>
      <c r="BV240" s="4385">
        <f t="shared" si="104"/>
        <v>384</v>
      </c>
      <c r="BW240" s="4386">
        <f t="shared" si="88"/>
        <v>0</v>
      </c>
      <c r="BX240" s="4387"/>
      <c r="BY240" s="4387"/>
      <c r="BZ240" s="4387"/>
      <c r="CA240" s="4391"/>
      <c r="CC240" s="4392"/>
      <c r="CD240" s="4391"/>
    </row>
    <row r="241" s="4025" customFormat="1" ht="50" customHeight="1" spans="1:82">
      <c r="A241" s="3688">
        <v>45726</v>
      </c>
      <c r="B241" s="3689" t="s">
        <v>2285</v>
      </c>
      <c r="C241" s="3664" t="s">
        <v>351</v>
      </c>
      <c r="D241" s="3690">
        <v>4500159526</v>
      </c>
      <c r="E241" s="3664" t="s">
        <v>3515</v>
      </c>
      <c r="F241" s="3690" t="s">
        <v>3516</v>
      </c>
      <c r="G241" s="3664" t="s">
        <v>3352</v>
      </c>
      <c r="H241" s="3664" t="s">
        <v>3517</v>
      </c>
      <c r="I241" s="3691">
        <v>2388</v>
      </c>
      <c r="J241" s="3691">
        <v>0</v>
      </c>
      <c r="K241" s="3691">
        <v>12</v>
      </c>
      <c r="L241" s="3691">
        <f t="shared" si="86"/>
        <v>199</v>
      </c>
      <c r="M241" s="3659">
        <v>45775</v>
      </c>
      <c r="N241" s="3659">
        <v>45771</v>
      </c>
      <c r="O241" s="3664"/>
      <c r="P241" s="3682" t="s">
        <v>82</v>
      </c>
      <c r="Q241" s="3682"/>
      <c r="R241" s="4083"/>
      <c r="S241" s="4083"/>
      <c r="T241" s="4083"/>
      <c r="U241" s="3645" t="s">
        <v>1175</v>
      </c>
      <c r="V241" s="3657" t="s">
        <v>1124</v>
      </c>
      <c r="W241" s="3657"/>
      <c r="X241" s="3657" t="s">
        <v>1099</v>
      </c>
      <c r="Y241" s="3657"/>
      <c r="Z241" s="3661" t="s">
        <v>3518</v>
      </c>
      <c r="AA241" s="3620" t="s">
        <v>3519</v>
      </c>
      <c r="AB241" s="3691" t="s">
        <v>1199</v>
      </c>
      <c r="AC241" s="4087">
        <v>4.4796</v>
      </c>
      <c r="AD241" s="3691">
        <v>10697.2848</v>
      </c>
      <c r="AE241" s="3645"/>
      <c r="AF241" s="3664" t="s">
        <v>3520</v>
      </c>
      <c r="AG241" s="3645" t="s">
        <v>416</v>
      </c>
      <c r="AH241" s="984"/>
      <c r="AI241" s="3691">
        <f t="shared" si="106"/>
        <v>2388</v>
      </c>
      <c r="AJ241" s="3691"/>
      <c r="AK241" s="984"/>
      <c r="AL241" s="3664"/>
      <c r="AM241" s="3664"/>
      <c r="AN241" s="3691"/>
      <c r="AO241" s="3691">
        <f t="shared" si="107"/>
        <v>2388</v>
      </c>
      <c r="AP241" s="3691"/>
      <c r="AQ241" s="4089"/>
      <c r="AR241" s="877"/>
      <c r="AS241" s="4089">
        <v>2388</v>
      </c>
      <c r="AT241" s="877"/>
      <c r="AU241" s="4089"/>
      <c r="AV241" s="4089"/>
      <c r="AW241" s="4089"/>
      <c r="AX241" s="4089"/>
      <c r="AY241" s="4089"/>
      <c r="AZ241" s="4089"/>
      <c r="BA241" s="4089"/>
      <c r="BB241" s="4089"/>
      <c r="BC241" s="4089">
        <f>I241</f>
        <v>2388</v>
      </c>
      <c r="BD241" s="4089"/>
      <c r="BE241" s="4089"/>
      <c r="BF241" s="4089" t="s">
        <v>89</v>
      </c>
      <c r="BG241" s="4089"/>
      <c r="BH241" s="4089">
        <f t="shared" si="94"/>
        <v>398</v>
      </c>
      <c r="BI241" s="4089">
        <f t="shared" si="95"/>
        <v>398</v>
      </c>
      <c r="BJ241" s="4089">
        <f t="shared" si="96"/>
        <v>398</v>
      </c>
      <c r="BK241" s="4403">
        <f t="shared" si="97"/>
        <v>398</v>
      </c>
      <c r="BL241" s="4385">
        <f t="shared" si="98"/>
        <v>398</v>
      </c>
      <c r="BM241" s="4403">
        <f t="shared" si="99"/>
        <v>318.4</v>
      </c>
      <c r="BN241" s="4089">
        <f t="shared" si="100"/>
        <v>79.6</v>
      </c>
      <c r="BO241" s="877">
        <v>398</v>
      </c>
      <c r="BP241" s="877">
        <v>398</v>
      </c>
      <c r="BQ241" s="877">
        <v>2388</v>
      </c>
      <c r="BR241" s="877">
        <v>0</v>
      </c>
      <c r="BS241" s="877"/>
      <c r="BT241" s="991"/>
      <c r="BU241" s="992"/>
      <c r="BV241" s="4385">
        <f>I241</f>
        <v>2388</v>
      </c>
      <c r="BW241" s="4386">
        <f t="shared" si="88"/>
        <v>0</v>
      </c>
      <c r="BX241" s="4387"/>
      <c r="BY241" s="4387"/>
      <c r="BZ241" s="4387"/>
      <c r="CA241" s="4391"/>
      <c r="CC241" s="4392"/>
      <c r="CD241" s="4391"/>
    </row>
    <row r="242" s="4025" customFormat="1" ht="50" customHeight="1" spans="1:82">
      <c r="A242" s="3688">
        <v>45734</v>
      </c>
      <c r="B242" s="3689" t="s">
        <v>872</v>
      </c>
      <c r="C242" s="3664" t="s">
        <v>873</v>
      </c>
      <c r="D242" s="3690">
        <v>4500160611</v>
      </c>
      <c r="E242" s="3664"/>
      <c r="F242" s="3690" t="s">
        <v>3521</v>
      </c>
      <c r="G242" s="3664" t="s">
        <v>2627</v>
      </c>
      <c r="H242" s="3691" t="s">
        <v>2591</v>
      </c>
      <c r="I242" s="3691">
        <v>1176</v>
      </c>
      <c r="J242" s="3691">
        <v>0</v>
      </c>
      <c r="K242" s="3691">
        <v>24</v>
      </c>
      <c r="L242" s="3691">
        <f t="shared" ref="L242:L305" si="108">I242/K242</f>
        <v>49</v>
      </c>
      <c r="M242" s="3659">
        <v>45775</v>
      </c>
      <c r="N242" s="3659">
        <v>45771</v>
      </c>
      <c r="O242" s="3645"/>
      <c r="P242" s="3657" t="s">
        <v>82</v>
      </c>
      <c r="Q242" s="3657"/>
      <c r="R242" s="4093"/>
      <c r="S242" s="4093"/>
      <c r="T242" s="4093"/>
      <c r="U242" s="3657" t="s">
        <v>1123</v>
      </c>
      <c r="V242" s="3657" t="s">
        <v>1012</v>
      </c>
      <c r="W242" s="3657"/>
      <c r="X242" s="3657" t="s">
        <v>3522</v>
      </c>
      <c r="Y242" s="3657"/>
      <c r="Z242" s="3664"/>
      <c r="AA242" s="3620" t="s">
        <v>3523</v>
      </c>
      <c r="AB242" s="3691" t="s">
        <v>1131</v>
      </c>
      <c r="AC242" s="4087">
        <v>2.0845</v>
      </c>
      <c r="AD242" s="3691">
        <f t="shared" ref="AD242:AD290" si="109">AC242*I242</f>
        <v>2451.372</v>
      </c>
      <c r="AE242" s="4088"/>
      <c r="AF242" s="3664" t="s">
        <v>2627</v>
      </c>
      <c r="AG242" s="3645" t="s">
        <v>416</v>
      </c>
      <c r="AH242" s="4422"/>
      <c r="AI242" s="3664">
        <f t="shared" si="106"/>
        <v>1176</v>
      </c>
      <c r="AJ242" s="3664"/>
      <c r="AK242" s="4426"/>
      <c r="AL242" s="3664"/>
      <c r="AM242" s="3664"/>
      <c r="AN242" s="4089"/>
      <c r="AO242" s="3691">
        <f t="shared" si="107"/>
        <v>1176</v>
      </c>
      <c r="AP242" s="3691"/>
      <c r="AQ242" s="4089"/>
      <c r="AR242" s="907"/>
      <c r="AS242" s="4089">
        <f>I242</f>
        <v>1176</v>
      </c>
      <c r="AT242" s="907"/>
      <c r="AU242" s="4089"/>
      <c r="AV242" s="4089"/>
      <c r="AW242" s="4089"/>
      <c r="AX242" s="4089"/>
      <c r="AY242" s="4089"/>
      <c r="AZ242" s="4089"/>
      <c r="BA242" s="4089"/>
      <c r="BB242" s="4089"/>
      <c r="BC242" s="4089"/>
      <c r="BD242" s="4089"/>
      <c r="BE242" s="4403"/>
      <c r="BF242" s="4089" t="s">
        <v>89</v>
      </c>
      <c r="BG242" s="4403"/>
      <c r="BH242" s="4089">
        <f t="shared" si="94"/>
        <v>196</v>
      </c>
      <c r="BI242" s="4089">
        <f t="shared" si="95"/>
        <v>196</v>
      </c>
      <c r="BJ242" s="4089">
        <f t="shared" si="96"/>
        <v>196</v>
      </c>
      <c r="BK242" s="4089">
        <f t="shared" si="97"/>
        <v>196</v>
      </c>
      <c r="BL242" s="4089">
        <f t="shared" si="98"/>
        <v>196</v>
      </c>
      <c r="BM242" s="4089">
        <f t="shared" si="99"/>
        <v>156.8</v>
      </c>
      <c r="BN242" s="4089">
        <f t="shared" si="100"/>
        <v>39.2</v>
      </c>
      <c r="BO242" s="4382"/>
      <c r="BP242" s="4382"/>
      <c r="BQ242" s="4382"/>
      <c r="BR242" s="4382"/>
      <c r="BS242" s="4382"/>
      <c r="BT242" s="4383"/>
      <c r="BU242" s="4384"/>
      <c r="BV242" s="4385">
        <f t="shared" ref="BV242:BV305" si="110">SUM(BH242:BU242)</f>
        <v>1176</v>
      </c>
      <c r="BW242" s="4386">
        <f t="shared" si="88"/>
        <v>0</v>
      </c>
      <c r="BX242" s="4387"/>
      <c r="BY242" s="4387"/>
      <c r="BZ242" s="4387"/>
      <c r="CA242" s="4391"/>
      <c r="CC242" s="4392"/>
      <c r="CD242" s="4391"/>
    </row>
    <row r="243" s="4025" customFormat="1" ht="50" customHeight="1" spans="1:82">
      <c r="A243" s="3688">
        <v>45737</v>
      </c>
      <c r="B243" s="3689" t="s">
        <v>672</v>
      </c>
      <c r="C243" s="3664" t="s">
        <v>673</v>
      </c>
      <c r="D243" s="3690">
        <v>4500161002</v>
      </c>
      <c r="E243" s="3664">
        <v>5000001824</v>
      </c>
      <c r="F243" s="3690" t="s">
        <v>3524</v>
      </c>
      <c r="G243" s="3664" t="s">
        <v>2590</v>
      </c>
      <c r="H243" s="3664" t="s">
        <v>2591</v>
      </c>
      <c r="I243" s="3691">
        <v>1800</v>
      </c>
      <c r="J243" s="3691">
        <v>0</v>
      </c>
      <c r="K243" s="3691">
        <v>6</v>
      </c>
      <c r="L243" s="3691">
        <f t="shared" si="108"/>
        <v>300</v>
      </c>
      <c r="M243" s="3659">
        <v>45775</v>
      </c>
      <c r="N243" s="3659">
        <v>45771</v>
      </c>
      <c r="O243" s="3645"/>
      <c r="P243" s="3657" t="s">
        <v>82</v>
      </c>
      <c r="Q243" s="3657"/>
      <c r="R243" s="4093"/>
      <c r="S243" s="4093"/>
      <c r="T243" s="4093"/>
      <c r="U243" s="3657" t="s">
        <v>3525</v>
      </c>
      <c r="V243" s="3657" t="s">
        <v>3526</v>
      </c>
      <c r="W243" s="3657"/>
      <c r="X243" s="3657" t="s">
        <v>3527</v>
      </c>
      <c r="Y243" s="3657"/>
      <c r="Z243" s="3664"/>
      <c r="AA243" s="3620" t="s">
        <v>3528</v>
      </c>
      <c r="AB243" s="3691" t="s">
        <v>993</v>
      </c>
      <c r="AC243" s="3691">
        <v>2.1451</v>
      </c>
      <c r="AD243" s="3691">
        <f t="shared" si="109"/>
        <v>3861.18</v>
      </c>
      <c r="AE243" s="4088" t="s">
        <v>3529</v>
      </c>
      <c r="AF243" s="3691" t="s">
        <v>2663</v>
      </c>
      <c r="AG243" s="3645" t="s">
        <v>416</v>
      </c>
      <c r="AH243" s="4422"/>
      <c r="AI243" s="4393">
        <f t="shared" si="106"/>
        <v>1800</v>
      </c>
      <c r="AJ243" s="4393"/>
      <c r="AK243" s="4427"/>
      <c r="AL243" s="3664"/>
      <c r="AM243" s="3664"/>
      <c r="AN243" s="4089"/>
      <c r="AO243" s="4089"/>
      <c r="AP243" s="4089"/>
      <c r="AQ243" s="4089">
        <f>I243</f>
        <v>1800</v>
      </c>
      <c r="AR243" s="907"/>
      <c r="AS243" s="4089">
        <f>I243</f>
        <v>1800</v>
      </c>
      <c r="AT243" s="907"/>
      <c r="AU243" s="4089"/>
      <c r="AV243" s="4089">
        <f>I243/6</f>
        <v>300</v>
      </c>
      <c r="AW243" s="4089"/>
      <c r="AX243" s="4089"/>
      <c r="AY243" s="4089"/>
      <c r="AZ243" s="4089"/>
      <c r="BA243" s="4089"/>
      <c r="BB243" s="4089"/>
      <c r="BC243" s="4089"/>
      <c r="BD243" s="4089"/>
      <c r="BE243" s="4403"/>
      <c r="BF243" s="4089" t="s">
        <v>682</v>
      </c>
      <c r="BG243" s="4403"/>
      <c r="BH243" s="4089">
        <f t="shared" si="94"/>
        <v>300</v>
      </c>
      <c r="BI243" s="4089">
        <f t="shared" si="95"/>
        <v>300</v>
      </c>
      <c r="BJ243" s="4089">
        <f t="shared" si="96"/>
        <v>300</v>
      </c>
      <c r="BK243" s="4403">
        <f t="shared" si="97"/>
        <v>300</v>
      </c>
      <c r="BL243" s="4385">
        <f t="shared" si="98"/>
        <v>300</v>
      </c>
      <c r="BM243" s="4403">
        <f t="shared" si="99"/>
        <v>240</v>
      </c>
      <c r="BN243" s="4089">
        <f t="shared" si="100"/>
        <v>60</v>
      </c>
      <c r="BO243" s="4382"/>
      <c r="BP243" s="4382"/>
      <c r="BQ243" s="4382"/>
      <c r="BR243" s="4382"/>
      <c r="BS243" s="4382"/>
      <c r="BT243" s="4383"/>
      <c r="BU243" s="4384"/>
      <c r="BV243" s="4385">
        <f t="shared" si="110"/>
        <v>1800</v>
      </c>
      <c r="BW243" s="4386">
        <f t="shared" si="88"/>
        <v>0</v>
      </c>
      <c r="BX243" s="4387"/>
      <c r="BY243" s="4387"/>
      <c r="BZ243" s="4387"/>
      <c r="CA243" s="4391"/>
      <c r="CC243" s="4392"/>
      <c r="CD243" s="4391"/>
    </row>
    <row r="244" s="4025" customFormat="1" ht="50" customHeight="1" spans="1:82">
      <c r="A244" s="3688">
        <v>45726</v>
      </c>
      <c r="B244" s="3689" t="s">
        <v>2285</v>
      </c>
      <c r="C244" s="3664" t="s">
        <v>351</v>
      </c>
      <c r="D244" s="3690">
        <v>4500159526</v>
      </c>
      <c r="E244" s="3664" t="s">
        <v>3515</v>
      </c>
      <c r="F244" s="3690" t="s">
        <v>3530</v>
      </c>
      <c r="G244" s="3664" t="s">
        <v>3343</v>
      </c>
      <c r="H244" s="3664" t="s">
        <v>3344</v>
      </c>
      <c r="I244" s="3691">
        <v>406</v>
      </c>
      <c r="J244" s="3691">
        <v>0</v>
      </c>
      <c r="K244" s="3691">
        <v>1</v>
      </c>
      <c r="L244" s="3691">
        <f t="shared" si="108"/>
        <v>406</v>
      </c>
      <c r="M244" s="3659">
        <v>45775</v>
      </c>
      <c r="N244" s="3659">
        <v>45771</v>
      </c>
      <c r="O244" s="3645" t="s">
        <v>3531</v>
      </c>
      <c r="P244" s="3657" t="s">
        <v>82</v>
      </c>
      <c r="Q244" s="3657"/>
      <c r="R244" s="4093"/>
      <c r="S244" s="4093"/>
      <c r="T244" s="4093"/>
      <c r="U244" s="3657" t="s">
        <v>1175</v>
      </c>
      <c r="V244" s="3649" t="s">
        <v>1124</v>
      </c>
      <c r="W244" s="3649"/>
      <c r="X244" s="3649" t="s">
        <v>1099</v>
      </c>
      <c r="Y244" s="3649"/>
      <c r="Z244" s="3664" t="s">
        <v>3518</v>
      </c>
      <c r="AA244" s="3620" t="s">
        <v>3532</v>
      </c>
      <c r="AB244" s="3691" t="s">
        <v>1199</v>
      </c>
      <c r="AC244" s="3691">
        <v>8.499</v>
      </c>
      <c r="AD244" s="3691">
        <f t="shared" si="109"/>
        <v>3450.594</v>
      </c>
      <c r="AE244" s="4088"/>
      <c r="AF244" s="3691" t="s">
        <v>3349</v>
      </c>
      <c r="AG244" s="3645" t="s">
        <v>416</v>
      </c>
      <c r="AH244" s="4422"/>
      <c r="AI244" s="4393">
        <f t="shared" si="106"/>
        <v>406</v>
      </c>
      <c r="AJ244" s="4393"/>
      <c r="AK244" s="4427"/>
      <c r="AL244" s="3664"/>
      <c r="AM244" s="3664"/>
      <c r="AN244" s="4089"/>
      <c r="AO244" s="4089">
        <f t="shared" ref="AO244:AO267" si="111">I244</f>
        <v>406</v>
      </c>
      <c r="AP244" s="4089"/>
      <c r="AQ244" s="4089"/>
      <c r="AR244" s="907"/>
      <c r="AS244" s="4089">
        <f>I244</f>
        <v>406</v>
      </c>
      <c r="AT244" s="907"/>
      <c r="AU244" s="4089"/>
      <c r="AV244" s="4089"/>
      <c r="AW244" s="4089"/>
      <c r="AX244" s="4089"/>
      <c r="AY244" s="4089"/>
      <c r="AZ244" s="4089"/>
      <c r="BA244" s="4089"/>
      <c r="BB244" s="4089"/>
      <c r="BC244" s="4089">
        <f>I244</f>
        <v>406</v>
      </c>
      <c r="BD244" s="4089"/>
      <c r="BE244" s="4403"/>
      <c r="BF244" s="4089" t="s">
        <v>89</v>
      </c>
      <c r="BG244" s="4403"/>
      <c r="BH244" s="4089">
        <f t="shared" si="94"/>
        <v>67.6666666666667</v>
      </c>
      <c r="BI244" s="4089">
        <f t="shared" si="95"/>
        <v>67.6666666666667</v>
      </c>
      <c r="BJ244" s="4089">
        <f t="shared" si="96"/>
        <v>67.6666666666667</v>
      </c>
      <c r="BK244" s="4403">
        <f t="shared" si="97"/>
        <v>67.6666666666667</v>
      </c>
      <c r="BL244" s="4385">
        <f t="shared" si="98"/>
        <v>67.6666666666667</v>
      </c>
      <c r="BM244" s="4403">
        <f t="shared" si="99"/>
        <v>54.1333333333333</v>
      </c>
      <c r="BN244" s="4089">
        <f t="shared" si="100"/>
        <v>13.5333333333333</v>
      </c>
      <c r="BO244" s="4382"/>
      <c r="BP244" s="4382"/>
      <c r="BQ244" s="4382"/>
      <c r="BR244" s="4382"/>
      <c r="BS244" s="4382"/>
      <c r="BT244" s="4383"/>
      <c r="BU244" s="4384"/>
      <c r="BV244" s="4385">
        <f t="shared" si="110"/>
        <v>406</v>
      </c>
      <c r="BW244" s="4386">
        <f t="shared" si="88"/>
        <v>0</v>
      </c>
      <c r="BX244" s="4387"/>
      <c r="BY244" s="4387"/>
      <c r="BZ244" s="4387"/>
      <c r="CA244" s="4391"/>
      <c r="CC244" s="4392"/>
      <c r="CD244" s="4391"/>
    </row>
    <row r="245" s="4025" customFormat="1" ht="50" customHeight="1" spans="1:82">
      <c r="A245" s="3688">
        <v>45730</v>
      </c>
      <c r="B245" s="3689" t="s">
        <v>1141</v>
      </c>
      <c r="C245" s="3664" t="s">
        <v>1151</v>
      </c>
      <c r="D245" s="3690">
        <v>4500160092</v>
      </c>
      <c r="E245" s="3664" t="s">
        <v>1152</v>
      </c>
      <c r="F245" s="3690" t="s">
        <v>3533</v>
      </c>
      <c r="G245" s="3664" t="s">
        <v>2577</v>
      </c>
      <c r="H245" s="3691" t="s">
        <v>2591</v>
      </c>
      <c r="I245" s="3691">
        <v>960</v>
      </c>
      <c r="J245" s="3691">
        <v>0</v>
      </c>
      <c r="K245" s="3691">
        <v>12</v>
      </c>
      <c r="L245" s="3691">
        <f t="shared" si="108"/>
        <v>80</v>
      </c>
      <c r="M245" s="3659">
        <v>45775</v>
      </c>
      <c r="N245" s="3659">
        <v>45783</v>
      </c>
      <c r="O245" s="3682"/>
      <c r="P245" s="3657" t="s">
        <v>82</v>
      </c>
      <c r="Q245" s="3657"/>
      <c r="R245" s="4093"/>
      <c r="S245" s="4093"/>
      <c r="T245" s="4093"/>
      <c r="U245" s="3645" t="s">
        <v>1146</v>
      </c>
      <c r="V245" s="3649" t="s">
        <v>1147</v>
      </c>
      <c r="W245" s="3649"/>
      <c r="X245" s="3649" t="s">
        <v>3534</v>
      </c>
      <c r="Y245" s="3649"/>
      <c r="Z245" s="3664" t="s">
        <v>1149</v>
      </c>
      <c r="AA245" s="3620" t="s">
        <v>3535</v>
      </c>
      <c r="AB245" s="3691" t="s">
        <v>459</v>
      </c>
      <c r="AC245" s="4087">
        <v>2.1438</v>
      </c>
      <c r="AD245" s="3691">
        <f t="shared" si="109"/>
        <v>2058.048</v>
      </c>
      <c r="AE245" s="4088"/>
      <c r="AF245" s="4395" t="s">
        <v>2604</v>
      </c>
      <c r="AG245" s="3645" t="s">
        <v>416</v>
      </c>
      <c r="AH245" s="905"/>
      <c r="AI245" s="3691"/>
      <c r="AJ245" s="3691"/>
      <c r="AK245" s="906"/>
      <c r="AL245" s="3664">
        <f>I245</f>
        <v>960</v>
      </c>
      <c r="AM245" s="3664"/>
      <c r="AN245" s="4089"/>
      <c r="AO245" s="4089">
        <f t="shared" si="111"/>
        <v>960</v>
      </c>
      <c r="AP245" s="4089"/>
      <c r="AQ245" s="4089"/>
      <c r="AR245" s="907"/>
      <c r="AS245" s="4089">
        <f>I245</f>
        <v>960</v>
      </c>
      <c r="AT245" s="907"/>
      <c r="AU245" s="4089"/>
      <c r="AV245" s="4089">
        <f>I245/6</f>
        <v>160</v>
      </c>
      <c r="AW245" s="4089"/>
      <c r="AX245" s="4089"/>
      <c r="AY245" s="4089"/>
      <c r="AZ245" s="4089"/>
      <c r="BA245" s="4089"/>
      <c r="BB245" s="4089"/>
      <c r="BC245" s="4089"/>
      <c r="BD245" s="4089"/>
      <c r="BE245" s="4403"/>
      <c r="BF245" s="4089" t="s">
        <v>89</v>
      </c>
      <c r="BG245" s="4403"/>
      <c r="BH245" s="4403">
        <f t="shared" si="94"/>
        <v>160</v>
      </c>
      <c r="BI245" s="4385">
        <f t="shared" si="95"/>
        <v>160</v>
      </c>
      <c r="BJ245" s="4403">
        <f t="shared" si="96"/>
        <v>160</v>
      </c>
      <c r="BK245" s="4089">
        <f t="shared" si="97"/>
        <v>160</v>
      </c>
      <c r="BL245" s="4385">
        <f t="shared" si="98"/>
        <v>160</v>
      </c>
      <c r="BM245" s="4089">
        <f t="shared" si="99"/>
        <v>128</v>
      </c>
      <c r="BN245" s="4089">
        <f t="shared" si="100"/>
        <v>32</v>
      </c>
      <c r="BO245" s="907"/>
      <c r="BP245" s="907"/>
      <c r="BQ245" s="907"/>
      <c r="BR245" s="907"/>
      <c r="BS245" s="907"/>
      <c r="BT245" s="910"/>
      <c r="BU245" s="911"/>
      <c r="BV245" s="4385">
        <f t="shared" si="110"/>
        <v>960</v>
      </c>
      <c r="BW245" s="4386">
        <f t="shared" si="88"/>
        <v>0</v>
      </c>
      <c r="BX245" s="4387"/>
      <c r="BY245" s="4387"/>
      <c r="BZ245" s="4387"/>
      <c r="CA245" s="4391"/>
      <c r="CC245" s="4392"/>
      <c r="CD245" s="4391"/>
    </row>
    <row r="246" s="4025" customFormat="1" ht="50" customHeight="1" spans="1:82">
      <c r="A246" s="3688">
        <v>45730</v>
      </c>
      <c r="B246" s="3689" t="s">
        <v>3536</v>
      </c>
      <c r="C246" s="3664" t="s">
        <v>1546</v>
      </c>
      <c r="D246" s="3690">
        <v>4500160345</v>
      </c>
      <c r="E246" s="3664"/>
      <c r="F246" s="3690" t="s">
        <v>3537</v>
      </c>
      <c r="G246" s="3664" t="s">
        <v>2577</v>
      </c>
      <c r="H246" s="3691" t="s">
        <v>2591</v>
      </c>
      <c r="I246" s="3691">
        <v>96</v>
      </c>
      <c r="J246" s="3691">
        <v>0</v>
      </c>
      <c r="K246" s="3691">
        <v>12</v>
      </c>
      <c r="L246" s="3691">
        <f t="shared" si="108"/>
        <v>8</v>
      </c>
      <c r="M246" s="3659">
        <v>45776</v>
      </c>
      <c r="N246" s="3659">
        <v>45772</v>
      </c>
      <c r="O246" s="3645"/>
      <c r="P246" s="3657" t="s">
        <v>82</v>
      </c>
      <c r="Q246" s="3657"/>
      <c r="R246" s="4093"/>
      <c r="S246" s="4093"/>
      <c r="T246" s="4093"/>
      <c r="U246" s="3657" t="s">
        <v>1054</v>
      </c>
      <c r="V246" s="3649" t="s">
        <v>3538</v>
      </c>
      <c r="W246" s="3649"/>
      <c r="X246" s="3649" t="s">
        <v>3539</v>
      </c>
      <c r="Y246" s="3649"/>
      <c r="Z246" s="3664"/>
      <c r="AA246" s="3620" t="s">
        <v>3540</v>
      </c>
      <c r="AB246" s="3691" t="s">
        <v>459</v>
      </c>
      <c r="AC246" s="4087">
        <v>2.1438</v>
      </c>
      <c r="AD246" s="3691">
        <f t="shared" si="109"/>
        <v>205.8048</v>
      </c>
      <c r="AE246" s="4088" t="s">
        <v>3541</v>
      </c>
      <c r="AF246" s="4395" t="s">
        <v>2604</v>
      </c>
      <c r="AG246" s="3645" t="s">
        <v>416</v>
      </c>
      <c r="AH246" s="4422"/>
      <c r="AI246" s="3664"/>
      <c r="AJ246" s="3664"/>
      <c r="AK246" s="4426"/>
      <c r="AL246" s="3664">
        <f>I246</f>
        <v>96</v>
      </c>
      <c r="AM246" s="3664"/>
      <c r="AN246" s="4089"/>
      <c r="AO246" s="4089">
        <f t="shared" si="111"/>
        <v>96</v>
      </c>
      <c r="AP246" s="4089"/>
      <c r="AQ246" s="4089"/>
      <c r="AR246" s="907"/>
      <c r="AS246" s="4089">
        <f>I246</f>
        <v>96</v>
      </c>
      <c r="AT246" s="907"/>
      <c r="AU246" s="4089"/>
      <c r="AV246" s="4089">
        <f>I246/6</f>
        <v>16</v>
      </c>
      <c r="AW246" s="4089"/>
      <c r="AX246" s="4089"/>
      <c r="AY246" s="4089"/>
      <c r="AZ246" s="4089"/>
      <c r="BA246" s="4089"/>
      <c r="BB246" s="4089"/>
      <c r="BC246" s="4089"/>
      <c r="BD246" s="4089"/>
      <c r="BE246" s="4403"/>
      <c r="BF246" s="4089" t="s">
        <v>89</v>
      </c>
      <c r="BG246" s="4403"/>
      <c r="BH246" s="4089">
        <f t="shared" si="94"/>
        <v>16</v>
      </c>
      <c r="BI246" s="4385">
        <f t="shared" si="95"/>
        <v>16</v>
      </c>
      <c r="BJ246" s="4403">
        <f t="shared" si="96"/>
        <v>16</v>
      </c>
      <c r="BK246" s="4089">
        <f t="shared" si="97"/>
        <v>16</v>
      </c>
      <c r="BL246" s="4385">
        <f t="shared" si="98"/>
        <v>16</v>
      </c>
      <c r="BM246" s="4089">
        <f t="shared" si="99"/>
        <v>12.8</v>
      </c>
      <c r="BN246" s="4089">
        <f t="shared" si="100"/>
        <v>3.2</v>
      </c>
      <c r="BO246" s="907"/>
      <c r="BP246" s="907"/>
      <c r="BQ246" s="907"/>
      <c r="BR246" s="907"/>
      <c r="BS246" s="907"/>
      <c r="BT246" s="910"/>
      <c r="BU246" s="911"/>
      <c r="BV246" s="4385">
        <f t="shared" si="110"/>
        <v>96</v>
      </c>
      <c r="BW246" s="4386">
        <f t="shared" si="88"/>
        <v>0</v>
      </c>
      <c r="BX246" s="4387"/>
      <c r="BY246" s="4387"/>
      <c r="BZ246" s="4387"/>
      <c r="CA246" s="4391"/>
      <c r="CC246" s="4392"/>
      <c r="CD246" s="4391"/>
    </row>
    <row r="247" s="4025" customFormat="1" ht="50" customHeight="1" spans="1:82">
      <c r="A247" s="3688">
        <v>45741</v>
      </c>
      <c r="B247" s="3689" t="s">
        <v>3542</v>
      </c>
      <c r="C247" s="3664" t="s">
        <v>471</v>
      </c>
      <c r="D247" s="3690">
        <v>4500160738</v>
      </c>
      <c r="E247" s="3664" t="s">
        <v>3543</v>
      </c>
      <c r="F247" s="3690" t="s">
        <v>3544</v>
      </c>
      <c r="G247" s="3664" t="s">
        <v>3545</v>
      </c>
      <c r="H247" s="3664" t="s">
        <v>2620</v>
      </c>
      <c r="I247" s="3691">
        <v>1008</v>
      </c>
      <c r="J247" s="3691">
        <v>0</v>
      </c>
      <c r="K247" s="3691">
        <v>12</v>
      </c>
      <c r="L247" s="3691">
        <f t="shared" si="108"/>
        <v>84</v>
      </c>
      <c r="M247" s="3659">
        <v>45777</v>
      </c>
      <c r="N247" s="3659">
        <v>45773</v>
      </c>
      <c r="O247" s="4097"/>
      <c r="P247" s="3657" t="s">
        <v>82</v>
      </c>
      <c r="Q247" s="3657"/>
      <c r="R247" s="4093"/>
      <c r="S247" s="4093"/>
      <c r="T247" s="4093"/>
      <c r="U247" s="3645" t="s">
        <v>2406</v>
      </c>
      <c r="V247" s="3657" t="s">
        <v>3538</v>
      </c>
      <c r="W247" s="3649"/>
      <c r="X247" s="3649" t="s">
        <v>3546</v>
      </c>
      <c r="Y247" s="3649"/>
      <c r="Z247" s="3661"/>
      <c r="AA247" s="3620" t="s">
        <v>3547</v>
      </c>
      <c r="AB247" s="3691" t="s">
        <v>2878</v>
      </c>
      <c r="AC247" s="4087">
        <v>2.1845</v>
      </c>
      <c r="AD247" s="3691">
        <f t="shared" si="109"/>
        <v>2201.976</v>
      </c>
      <c r="AE247" s="3645" t="s">
        <v>3548</v>
      </c>
      <c r="AF247" s="3664" t="s">
        <v>3549</v>
      </c>
      <c r="AG247" s="3645" t="s">
        <v>416</v>
      </c>
      <c r="AH247" s="4422"/>
      <c r="AI247" s="3691"/>
      <c r="AJ247" s="3691"/>
      <c r="AK247" s="4422"/>
      <c r="AL247" s="3664">
        <f>I247</f>
        <v>1008</v>
      </c>
      <c r="AM247" s="3664"/>
      <c r="AN247" s="3691"/>
      <c r="AO247" s="3691">
        <f t="shared" si="111"/>
        <v>1008</v>
      </c>
      <c r="AP247" s="3691"/>
      <c r="AQ247" s="4089"/>
      <c r="AR247" s="907"/>
      <c r="AS247" s="4089"/>
      <c r="AT247" s="907"/>
      <c r="AU247" s="4089">
        <f>I247</f>
        <v>1008</v>
      </c>
      <c r="AV247" s="4089"/>
      <c r="AW247" s="4089"/>
      <c r="AX247" s="4089">
        <f>I247/6</f>
        <v>168</v>
      </c>
      <c r="AY247" s="4089"/>
      <c r="AZ247" s="4089"/>
      <c r="BA247" s="4089"/>
      <c r="BB247" s="4089"/>
      <c r="BC247" s="4089"/>
      <c r="BD247" s="4089"/>
      <c r="BE247" s="4089"/>
      <c r="BF247" s="4089" t="s">
        <v>89</v>
      </c>
      <c r="BG247" s="4089"/>
      <c r="BH247" s="4089">
        <f t="shared" si="94"/>
        <v>168</v>
      </c>
      <c r="BI247" s="4089">
        <f t="shared" si="95"/>
        <v>168</v>
      </c>
      <c r="BJ247" s="4089">
        <f t="shared" si="96"/>
        <v>168</v>
      </c>
      <c r="BK247" s="4089">
        <f t="shared" si="97"/>
        <v>168</v>
      </c>
      <c r="BL247" s="4089">
        <f t="shared" si="98"/>
        <v>168</v>
      </c>
      <c r="BM247" s="4089">
        <f t="shared" si="99"/>
        <v>134.4</v>
      </c>
      <c r="BN247" s="4089">
        <f t="shared" si="100"/>
        <v>33.6</v>
      </c>
      <c r="BO247" s="4382"/>
      <c r="BP247" s="4382"/>
      <c r="BQ247" s="4382"/>
      <c r="BR247" s="4382"/>
      <c r="BS247" s="4382"/>
      <c r="BT247" s="4383"/>
      <c r="BU247" s="4384"/>
      <c r="BV247" s="4385">
        <f t="shared" si="110"/>
        <v>1008</v>
      </c>
      <c r="BW247" s="4386">
        <f t="shared" si="88"/>
        <v>0</v>
      </c>
      <c r="BX247" s="4387"/>
      <c r="BY247" s="4387"/>
      <c r="BZ247" s="4387"/>
      <c r="CA247" s="4391"/>
      <c r="CC247" s="4392"/>
      <c r="CD247" s="4391"/>
    </row>
    <row r="248" s="4025" customFormat="1" ht="50" customHeight="1" spans="1:82">
      <c r="A248" s="3688">
        <v>45701</v>
      </c>
      <c r="B248" s="3689" t="s">
        <v>387</v>
      </c>
      <c r="C248" s="3664" t="s">
        <v>91</v>
      </c>
      <c r="D248" s="3690">
        <v>4500157195</v>
      </c>
      <c r="E248" s="3664">
        <v>70058008</v>
      </c>
      <c r="F248" s="3690" t="s">
        <v>3550</v>
      </c>
      <c r="G248" s="3664" t="s">
        <v>2627</v>
      </c>
      <c r="H248" s="3664" t="s">
        <v>2591</v>
      </c>
      <c r="I248" s="3691">
        <v>360</v>
      </c>
      <c r="J248" s="3691">
        <v>0</v>
      </c>
      <c r="K248" s="3691">
        <v>24</v>
      </c>
      <c r="L248" s="3691">
        <f t="shared" si="108"/>
        <v>15</v>
      </c>
      <c r="M248" s="3659">
        <v>45783</v>
      </c>
      <c r="N248" s="3659">
        <v>45779</v>
      </c>
      <c r="O248" s="3664" t="s">
        <v>3551</v>
      </c>
      <c r="P248" s="3682" t="s">
        <v>82</v>
      </c>
      <c r="Q248" s="3682"/>
      <c r="R248" s="4083"/>
      <c r="S248" s="4083"/>
      <c r="T248" s="4083"/>
      <c r="U248" s="3645" t="s">
        <v>1134</v>
      </c>
      <c r="V248" s="3657" t="s">
        <v>912</v>
      </c>
      <c r="W248" s="3649"/>
      <c r="X248" s="3649" t="s">
        <v>98</v>
      </c>
      <c r="Y248" s="3649" t="s">
        <v>959</v>
      </c>
      <c r="Z248" s="3661"/>
      <c r="AA248" s="3620" t="s">
        <v>870</v>
      </c>
      <c r="AB248" s="3691" t="s">
        <v>393</v>
      </c>
      <c r="AC248" s="4087">
        <v>2.084</v>
      </c>
      <c r="AD248" s="3691">
        <f t="shared" si="109"/>
        <v>750.24</v>
      </c>
      <c r="AE248" s="3645" t="s">
        <v>3552</v>
      </c>
      <c r="AF248" s="3664" t="s">
        <v>2627</v>
      </c>
      <c r="AG248" s="3645" t="s">
        <v>416</v>
      </c>
      <c r="AH248" s="905"/>
      <c r="AI248" s="3691">
        <f t="shared" ref="AI248:AI259" si="112">I248</f>
        <v>360</v>
      </c>
      <c r="AJ248" s="3691"/>
      <c r="AK248" s="905"/>
      <c r="AL248" s="3664"/>
      <c r="AM248" s="3664"/>
      <c r="AN248" s="3691"/>
      <c r="AO248" s="3691">
        <f t="shared" si="111"/>
        <v>360</v>
      </c>
      <c r="AP248" s="3691"/>
      <c r="AQ248" s="4089"/>
      <c r="AR248" s="907"/>
      <c r="AS248" s="4089">
        <f t="shared" ref="AS248:AS259" si="113">I248</f>
        <v>360</v>
      </c>
      <c r="AT248" s="907"/>
      <c r="AU248" s="4089"/>
      <c r="AV248" s="4089"/>
      <c r="AW248" s="4089"/>
      <c r="AX248" s="4089"/>
      <c r="AY248" s="4089"/>
      <c r="AZ248" s="4089"/>
      <c r="BA248" s="4089"/>
      <c r="BB248" s="4089"/>
      <c r="BC248" s="4089"/>
      <c r="BD248" s="4089"/>
      <c r="BE248" s="4089"/>
      <c r="BF248" s="4089" t="s">
        <v>89</v>
      </c>
      <c r="BG248" s="4089"/>
      <c r="BH248" s="4089">
        <f t="shared" si="94"/>
        <v>60</v>
      </c>
      <c r="BI248" s="4089">
        <f t="shared" si="95"/>
        <v>60</v>
      </c>
      <c r="BJ248" s="4089">
        <f t="shared" si="96"/>
        <v>60</v>
      </c>
      <c r="BK248" s="4089">
        <f t="shared" si="97"/>
        <v>60</v>
      </c>
      <c r="BL248" s="4089">
        <f t="shared" si="98"/>
        <v>60</v>
      </c>
      <c r="BM248" s="4089">
        <f t="shared" si="99"/>
        <v>48</v>
      </c>
      <c r="BN248" s="4089">
        <f t="shared" si="100"/>
        <v>12</v>
      </c>
      <c r="BO248" s="4382"/>
      <c r="BP248" s="4382"/>
      <c r="BQ248" s="4382"/>
      <c r="BR248" s="4382"/>
      <c r="BS248" s="4382"/>
      <c r="BT248" s="4383"/>
      <c r="BU248" s="4384"/>
      <c r="BV248" s="4385">
        <f t="shared" si="110"/>
        <v>360</v>
      </c>
      <c r="BW248" s="4386">
        <f t="shared" si="88"/>
        <v>0</v>
      </c>
      <c r="BX248" s="4387"/>
      <c r="BY248" s="4387"/>
      <c r="BZ248" s="4387"/>
      <c r="CA248" s="4391"/>
      <c r="CC248" s="4392"/>
      <c r="CD248" s="4391"/>
    </row>
    <row r="249" s="4025" customFormat="1" ht="50" customHeight="1" spans="1:82">
      <c r="A249" s="3688">
        <v>45701</v>
      </c>
      <c r="B249" s="3689" t="s">
        <v>387</v>
      </c>
      <c r="C249" s="3664" t="s">
        <v>91</v>
      </c>
      <c r="D249" s="3690">
        <v>4500157203</v>
      </c>
      <c r="E249" s="3664">
        <v>70058010</v>
      </c>
      <c r="F249" s="3690" t="s">
        <v>3553</v>
      </c>
      <c r="G249" s="3664" t="s">
        <v>2627</v>
      </c>
      <c r="H249" s="3691" t="s">
        <v>2591</v>
      </c>
      <c r="I249" s="3691">
        <v>600</v>
      </c>
      <c r="J249" s="3691">
        <v>0</v>
      </c>
      <c r="K249" s="3691">
        <v>24</v>
      </c>
      <c r="L249" s="3691">
        <f t="shared" si="108"/>
        <v>25</v>
      </c>
      <c r="M249" s="3659">
        <v>45783</v>
      </c>
      <c r="N249" s="3659">
        <v>45779</v>
      </c>
      <c r="O249" s="3618" t="s">
        <v>3551</v>
      </c>
      <c r="P249" s="3682" t="s">
        <v>82</v>
      </c>
      <c r="Q249" s="3682"/>
      <c r="R249" s="4083"/>
      <c r="S249" s="4083"/>
      <c r="T249" s="4083"/>
      <c r="U249" s="3645" t="s">
        <v>1134</v>
      </c>
      <c r="V249" s="3649" t="s">
        <v>912</v>
      </c>
      <c r="W249" s="3649"/>
      <c r="X249" s="3649" t="s">
        <v>98</v>
      </c>
      <c r="Y249" s="3649" t="s">
        <v>959</v>
      </c>
      <c r="Z249" s="3661"/>
      <c r="AA249" s="3620" t="s">
        <v>3271</v>
      </c>
      <c r="AB249" s="3691" t="s">
        <v>393</v>
      </c>
      <c r="AC249" s="3691">
        <v>2.084</v>
      </c>
      <c r="AD249" s="3691">
        <f t="shared" si="109"/>
        <v>1250.4</v>
      </c>
      <c r="AE249" s="3645" t="s">
        <v>3554</v>
      </c>
      <c r="AF249" s="3664" t="s">
        <v>2627</v>
      </c>
      <c r="AG249" s="3645" t="s">
        <v>416</v>
      </c>
      <c r="AH249" s="905"/>
      <c r="AI249" s="3664">
        <f t="shared" si="112"/>
        <v>600</v>
      </c>
      <c r="AJ249" s="3664"/>
      <c r="AK249" s="905"/>
      <c r="AL249" s="3664"/>
      <c r="AM249" s="3664"/>
      <c r="AN249" s="3691"/>
      <c r="AO249" s="3691">
        <f t="shared" si="111"/>
        <v>600</v>
      </c>
      <c r="AP249" s="3691"/>
      <c r="AQ249" s="4089"/>
      <c r="AR249" s="907"/>
      <c r="AS249" s="4089">
        <f t="shared" si="113"/>
        <v>600</v>
      </c>
      <c r="AT249" s="907"/>
      <c r="AU249" s="4089"/>
      <c r="AV249" s="4089"/>
      <c r="AW249" s="4089"/>
      <c r="AX249" s="4089"/>
      <c r="AY249" s="4089"/>
      <c r="AZ249" s="4089"/>
      <c r="BA249" s="4089"/>
      <c r="BB249" s="4089"/>
      <c r="BC249" s="4089"/>
      <c r="BD249" s="4089"/>
      <c r="BE249" s="4089"/>
      <c r="BF249" s="4089" t="s">
        <v>89</v>
      </c>
      <c r="BG249" s="4089"/>
      <c r="BH249" s="4089">
        <f t="shared" si="94"/>
        <v>100</v>
      </c>
      <c r="BI249" s="4089">
        <f t="shared" si="95"/>
        <v>100</v>
      </c>
      <c r="BJ249" s="4089">
        <f t="shared" si="96"/>
        <v>100</v>
      </c>
      <c r="BK249" s="4089">
        <f t="shared" si="97"/>
        <v>100</v>
      </c>
      <c r="BL249" s="4089">
        <f t="shared" si="98"/>
        <v>100</v>
      </c>
      <c r="BM249" s="4089">
        <f t="shared" si="99"/>
        <v>80</v>
      </c>
      <c r="BN249" s="4089">
        <f t="shared" si="100"/>
        <v>20</v>
      </c>
      <c r="BO249" s="4382"/>
      <c r="BP249" s="4382"/>
      <c r="BQ249" s="4382"/>
      <c r="BR249" s="4382"/>
      <c r="BS249" s="4382"/>
      <c r="BT249" s="4383"/>
      <c r="BU249" s="4384"/>
      <c r="BV249" s="4385">
        <f t="shared" si="110"/>
        <v>600</v>
      </c>
      <c r="BW249" s="4386">
        <f t="shared" si="88"/>
        <v>0</v>
      </c>
      <c r="BX249" s="4387"/>
      <c r="BY249" s="4387"/>
      <c r="BZ249" s="4387"/>
      <c r="CA249" s="4391"/>
      <c r="CC249" s="4392"/>
      <c r="CD249" s="4391"/>
    </row>
    <row r="250" s="4025" customFormat="1" ht="50" customHeight="1" spans="1:82">
      <c r="A250" s="3688">
        <v>45730</v>
      </c>
      <c r="B250" s="3689" t="s">
        <v>3555</v>
      </c>
      <c r="C250" s="3664" t="s">
        <v>1385</v>
      </c>
      <c r="D250" s="3690">
        <v>4500160342</v>
      </c>
      <c r="E250" s="3664" t="s">
        <v>3556</v>
      </c>
      <c r="F250" s="3690" t="s">
        <v>3557</v>
      </c>
      <c r="G250" s="3664" t="s">
        <v>2806</v>
      </c>
      <c r="H250" s="3664" t="s">
        <v>2591</v>
      </c>
      <c r="I250" s="3691">
        <v>7200</v>
      </c>
      <c r="J250" s="3691">
        <v>0</v>
      </c>
      <c r="K250" s="3691">
        <v>12</v>
      </c>
      <c r="L250" s="3691">
        <f t="shared" si="108"/>
        <v>600</v>
      </c>
      <c r="M250" s="3659">
        <v>45783</v>
      </c>
      <c r="N250" s="3659">
        <v>45779</v>
      </c>
      <c r="O250" s="3645"/>
      <c r="P250" s="3657" t="s">
        <v>82</v>
      </c>
      <c r="Q250" s="3657"/>
      <c r="R250" s="4093"/>
      <c r="S250" s="4093"/>
      <c r="T250" s="4093"/>
      <c r="U250" s="3657" t="s">
        <v>1162</v>
      </c>
      <c r="V250" s="3649" t="s">
        <v>3558</v>
      </c>
      <c r="W250" s="3649"/>
      <c r="X250" s="3649" t="s">
        <v>98</v>
      </c>
      <c r="Y250" s="3649"/>
      <c r="Z250" s="3664"/>
      <c r="AA250" s="3620" t="s">
        <v>3559</v>
      </c>
      <c r="AB250" s="3691" t="s">
        <v>448</v>
      </c>
      <c r="AC250" s="4087">
        <v>2.0648</v>
      </c>
      <c r="AD250" s="3691">
        <f t="shared" si="109"/>
        <v>14866.56</v>
      </c>
      <c r="AE250" s="4088"/>
      <c r="AF250" s="3664" t="s">
        <v>2806</v>
      </c>
      <c r="AG250" s="3645" t="s">
        <v>416</v>
      </c>
      <c r="AH250" s="4422"/>
      <c r="AI250" s="3664">
        <f t="shared" si="112"/>
        <v>7200</v>
      </c>
      <c r="AJ250" s="3664"/>
      <c r="AK250" s="4426"/>
      <c r="AL250" s="3664"/>
      <c r="AM250" s="3664"/>
      <c r="AN250" s="4089"/>
      <c r="AO250" s="3691">
        <f t="shared" si="111"/>
        <v>7200</v>
      </c>
      <c r="AP250" s="3691"/>
      <c r="AQ250" s="4089"/>
      <c r="AR250" s="907"/>
      <c r="AS250" s="4089">
        <f t="shared" si="113"/>
        <v>7200</v>
      </c>
      <c r="AT250" s="907"/>
      <c r="AU250" s="4089"/>
      <c r="AV250" s="4089"/>
      <c r="AW250" s="4089"/>
      <c r="AX250" s="4089">
        <f>I250/6</f>
        <v>1200</v>
      </c>
      <c r="AY250" s="4089"/>
      <c r="AZ250" s="4089"/>
      <c r="BA250" s="4089"/>
      <c r="BB250" s="4089"/>
      <c r="BC250" s="4089"/>
      <c r="BD250" s="4089"/>
      <c r="BE250" s="4403"/>
      <c r="BF250" s="4089" t="s">
        <v>89</v>
      </c>
      <c r="BG250" s="4403"/>
      <c r="BH250" s="4089">
        <f t="shared" si="94"/>
        <v>1200</v>
      </c>
      <c r="BI250" s="4089">
        <f t="shared" si="95"/>
        <v>1200</v>
      </c>
      <c r="BJ250" s="4089">
        <f t="shared" si="96"/>
        <v>1200</v>
      </c>
      <c r="BK250" s="4089">
        <f t="shared" si="97"/>
        <v>1200</v>
      </c>
      <c r="BL250" s="4089">
        <f t="shared" si="98"/>
        <v>1200</v>
      </c>
      <c r="BM250" s="4089">
        <f t="shared" si="99"/>
        <v>960</v>
      </c>
      <c r="BN250" s="4089">
        <f t="shared" si="100"/>
        <v>240</v>
      </c>
      <c r="BO250" s="4382"/>
      <c r="BP250" s="4382"/>
      <c r="BQ250" s="4382"/>
      <c r="BR250" s="4382"/>
      <c r="BS250" s="4382"/>
      <c r="BT250" s="4383"/>
      <c r="BU250" s="4384"/>
      <c r="BV250" s="4385">
        <f t="shared" si="110"/>
        <v>7200</v>
      </c>
      <c r="BW250" s="4386">
        <f t="shared" si="88"/>
        <v>0</v>
      </c>
      <c r="BX250" s="4387"/>
      <c r="BY250" s="4387"/>
      <c r="BZ250" s="4387"/>
      <c r="CA250" s="4388"/>
      <c r="CC250" s="4389"/>
      <c r="CD250" s="4388"/>
    </row>
    <row r="251" s="4025" customFormat="1" ht="50" customHeight="1" spans="1:82">
      <c r="A251" s="3688">
        <v>45701</v>
      </c>
      <c r="B251" s="3689" t="s">
        <v>90</v>
      </c>
      <c r="C251" s="3664" t="s">
        <v>91</v>
      </c>
      <c r="D251" s="3690">
        <v>4500157320</v>
      </c>
      <c r="E251" s="3664" t="s">
        <v>3560</v>
      </c>
      <c r="F251" s="3690" t="s">
        <v>3561</v>
      </c>
      <c r="G251" s="3664" t="s">
        <v>2719</v>
      </c>
      <c r="H251" s="3691" t="s">
        <v>2591</v>
      </c>
      <c r="I251" s="3691">
        <v>1002</v>
      </c>
      <c r="J251" s="3691">
        <v>0</v>
      </c>
      <c r="K251" s="3691">
        <v>6</v>
      </c>
      <c r="L251" s="3691">
        <f t="shared" si="108"/>
        <v>167</v>
      </c>
      <c r="M251" s="3659">
        <v>45786</v>
      </c>
      <c r="N251" s="3659">
        <v>45782</v>
      </c>
      <c r="O251" s="3664" t="s">
        <v>1083</v>
      </c>
      <c r="P251" s="3657" t="s">
        <v>82</v>
      </c>
      <c r="Q251" s="3657"/>
      <c r="R251" s="4093"/>
      <c r="S251" s="4093"/>
      <c r="T251" s="4093"/>
      <c r="U251" s="3645" t="s">
        <v>1162</v>
      </c>
      <c r="V251" s="3657" t="s">
        <v>912</v>
      </c>
      <c r="W251" s="3657"/>
      <c r="X251" s="3657" t="s">
        <v>98</v>
      </c>
      <c r="Y251" s="3657" t="s">
        <v>3493</v>
      </c>
      <c r="Z251" s="3661"/>
      <c r="AA251" s="3620" t="s">
        <v>1139</v>
      </c>
      <c r="AB251" s="3691" t="s">
        <v>653</v>
      </c>
      <c r="AC251" s="4087">
        <v>2.1437</v>
      </c>
      <c r="AD251" s="3691">
        <f t="shared" si="109"/>
        <v>2147.9874</v>
      </c>
      <c r="AE251" s="3645"/>
      <c r="AF251" s="3664" t="s">
        <v>2719</v>
      </c>
      <c r="AG251" s="3645" t="s">
        <v>416</v>
      </c>
      <c r="AH251" s="905"/>
      <c r="AI251" s="3691">
        <f t="shared" si="112"/>
        <v>1002</v>
      </c>
      <c r="AJ251" s="3691"/>
      <c r="AK251" s="905"/>
      <c r="AL251" s="3664"/>
      <c r="AM251" s="3664"/>
      <c r="AN251" s="3691"/>
      <c r="AO251" s="3691">
        <f t="shared" si="111"/>
        <v>1002</v>
      </c>
      <c r="AP251" s="3691"/>
      <c r="AQ251" s="4089"/>
      <c r="AR251" s="907"/>
      <c r="AS251" s="4089">
        <f t="shared" si="113"/>
        <v>1002</v>
      </c>
      <c r="AT251" s="907"/>
      <c r="AU251" s="4089"/>
      <c r="AV251" s="4089"/>
      <c r="AW251" s="4089"/>
      <c r="AX251" s="4089"/>
      <c r="AY251" s="4089"/>
      <c r="AZ251" s="4089"/>
      <c r="BA251" s="4089"/>
      <c r="BB251" s="4089"/>
      <c r="BC251" s="4089"/>
      <c r="BD251" s="4089"/>
      <c r="BE251" s="4089"/>
      <c r="BF251" s="4089" t="s">
        <v>89</v>
      </c>
      <c r="BG251" s="4089"/>
      <c r="BH251" s="4089">
        <f t="shared" si="94"/>
        <v>167</v>
      </c>
      <c r="BI251" s="4089">
        <f t="shared" si="95"/>
        <v>167</v>
      </c>
      <c r="BJ251" s="4089">
        <f t="shared" si="96"/>
        <v>167</v>
      </c>
      <c r="BK251" s="4089">
        <f t="shared" si="97"/>
        <v>167</v>
      </c>
      <c r="BL251" s="4089">
        <f t="shared" si="98"/>
        <v>167</v>
      </c>
      <c r="BM251" s="4089">
        <f t="shared" si="99"/>
        <v>133.6</v>
      </c>
      <c r="BN251" s="4089">
        <f t="shared" si="100"/>
        <v>33.4</v>
      </c>
      <c r="BO251" s="4382"/>
      <c r="BP251" s="4382"/>
      <c r="BQ251" s="4382"/>
      <c r="BR251" s="4382"/>
      <c r="BS251" s="4382"/>
      <c r="BT251" s="4383"/>
      <c r="BU251" s="4384"/>
      <c r="BV251" s="4385">
        <f t="shared" si="110"/>
        <v>1002</v>
      </c>
      <c r="BW251" s="4386">
        <f t="shared" si="88"/>
        <v>0</v>
      </c>
      <c r="BX251" s="4387"/>
      <c r="BY251" s="4387"/>
      <c r="BZ251" s="4387"/>
      <c r="CA251" s="4388"/>
      <c r="CC251" s="4389"/>
      <c r="CD251" s="4388"/>
    </row>
    <row r="252" s="4025" customFormat="1" ht="50" customHeight="1" spans="1:82">
      <c r="A252" s="3688">
        <v>45701</v>
      </c>
      <c r="B252" s="3689" t="s">
        <v>90</v>
      </c>
      <c r="C252" s="3664" t="s">
        <v>91</v>
      </c>
      <c r="D252" s="3690">
        <v>4500157321</v>
      </c>
      <c r="E252" s="3664" t="s">
        <v>3562</v>
      </c>
      <c r="F252" s="3690" t="s">
        <v>3563</v>
      </c>
      <c r="G252" s="3664" t="s">
        <v>2719</v>
      </c>
      <c r="H252" s="3691" t="s">
        <v>2591</v>
      </c>
      <c r="I252" s="3691">
        <v>1200</v>
      </c>
      <c r="J252" s="3691">
        <v>0</v>
      </c>
      <c r="K252" s="3691">
        <v>6</v>
      </c>
      <c r="L252" s="3691">
        <f t="shared" si="108"/>
        <v>200</v>
      </c>
      <c r="M252" s="3659">
        <v>45786</v>
      </c>
      <c r="N252" s="3659">
        <v>45782</v>
      </c>
      <c r="O252" s="3664" t="s">
        <v>1083</v>
      </c>
      <c r="P252" s="3657" t="s">
        <v>82</v>
      </c>
      <c r="Q252" s="3657"/>
      <c r="R252" s="4093"/>
      <c r="S252" s="4093"/>
      <c r="T252" s="4093"/>
      <c r="U252" s="3645" t="s">
        <v>1162</v>
      </c>
      <c r="V252" s="3657" t="s">
        <v>912</v>
      </c>
      <c r="W252" s="3657"/>
      <c r="X252" s="3657" t="s">
        <v>98</v>
      </c>
      <c r="Y252" s="3657" t="s">
        <v>3489</v>
      </c>
      <c r="Z252" s="3661"/>
      <c r="AA252" s="3620" t="s">
        <v>2207</v>
      </c>
      <c r="AB252" s="3691" t="s">
        <v>653</v>
      </c>
      <c r="AC252" s="4087">
        <v>2.1437</v>
      </c>
      <c r="AD252" s="3691">
        <f t="shared" si="109"/>
        <v>2572.44</v>
      </c>
      <c r="AE252" s="3645"/>
      <c r="AF252" s="3664" t="s">
        <v>2719</v>
      </c>
      <c r="AG252" s="3645" t="s">
        <v>416</v>
      </c>
      <c r="AH252" s="905"/>
      <c r="AI252" s="3691">
        <f t="shared" si="112"/>
        <v>1200</v>
      </c>
      <c r="AJ252" s="3691"/>
      <c r="AK252" s="905"/>
      <c r="AL252" s="3664"/>
      <c r="AM252" s="3664"/>
      <c r="AN252" s="3691"/>
      <c r="AO252" s="3691">
        <f t="shared" si="111"/>
        <v>1200</v>
      </c>
      <c r="AP252" s="3691"/>
      <c r="AQ252" s="4089"/>
      <c r="AR252" s="907"/>
      <c r="AS252" s="4089">
        <f t="shared" si="113"/>
        <v>1200</v>
      </c>
      <c r="AT252" s="907"/>
      <c r="AU252" s="4089"/>
      <c r="AV252" s="4089"/>
      <c r="AW252" s="4089"/>
      <c r="AX252" s="4089"/>
      <c r="AY252" s="4089"/>
      <c r="AZ252" s="4089"/>
      <c r="BA252" s="4089"/>
      <c r="BB252" s="4089"/>
      <c r="BC252" s="4089"/>
      <c r="BD252" s="4089"/>
      <c r="BE252" s="4089"/>
      <c r="BF252" s="4089" t="s">
        <v>89</v>
      </c>
      <c r="BG252" s="4089"/>
      <c r="BH252" s="4089">
        <f t="shared" si="94"/>
        <v>200</v>
      </c>
      <c r="BI252" s="4089">
        <f t="shared" si="95"/>
        <v>200</v>
      </c>
      <c r="BJ252" s="4089">
        <f t="shared" si="96"/>
        <v>200</v>
      </c>
      <c r="BK252" s="4089">
        <f t="shared" si="97"/>
        <v>200</v>
      </c>
      <c r="BL252" s="4089">
        <f t="shared" si="98"/>
        <v>200</v>
      </c>
      <c r="BM252" s="4089">
        <f t="shared" si="99"/>
        <v>160</v>
      </c>
      <c r="BN252" s="4089">
        <f t="shared" si="100"/>
        <v>40</v>
      </c>
      <c r="BO252" s="4382"/>
      <c r="BP252" s="4382"/>
      <c r="BQ252" s="4382"/>
      <c r="BR252" s="4382"/>
      <c r="BS252" s="4382"/>
      <c r="BT252" s="4383"/>
      <c r="BU252" s="4384"/>
      <c r="BV252" s="4385">
        <f t="shared" si="110"/>
        <v>1200</v>
      </c>
      <c r="BW252" s="4386">
        <f t="shared" si="88"/>
        <v>0</v>
      </c>
      <c r="BX252" s="4387"/>
      <c r="BY252" s="4387"/>
      <c r="BZ252" s="4387"/>
      <c r="CA252" s="4388"/>
      <c r="CC252" s="4389"/>
      <c r="CD252" s="4388"/>
    </row>
    <row r="253" s="4025" customFormat="1" ht="50" customHeight="1" spans="1:82">
      <c r="A253" s="3688">
        <v>45744</v>
      </c>
      <c r="B253" s="3689" t="s">
        <v>2961</v>
      </c>
      <c r="C253" s="3664" t="s">
        <v>341</v>
      </c>
      <c r="D253" s="3690">
        <v>4500161792</v>
      </c>
      <c r="E253" s="3664" t="s">
        <v>3564</v>
      </c>
      <c r="F253" s="3690" t="s">
        <v>3565</v>
      </c>
      <c r="G253" s="3664" t="s">
        <v>2964</v>
      </c>
      <c r="H253" s="3664" t="s">
        <v>2965</v>
      </c>
      <c r="I253" s="3691">
        <v>504</v>
      </c>
      <c r="J253" s="3691">
        <v>6</v>
      </c>
      <c r="K253" s="3691">
        <v>12</v>
      </c>
      <c r="L253" s="3691">
        <f t="shared" si="108"/>
        <v>42</v>
      </c>
      <c r="M253" s="3659">
        <v>45789</v>
      </c>
      <c r="N253" s="3659">
        <v>45785</v>
      </c>
      <c r="O253" s="4097"/>
      <c r="P253" s="3682" t="s">
        <v>82</v>
      </c>
      <c r="Q253" s="3682"/>
      <c r="R253" s="4083"/>
      <c r="S253" s="4083"/>
      <c r="T253" s="4083"/>
      <c r="U253" s="3645" t="s">
        <v>1146</v>
      </c>
      <c r="V253" s="3657" t="s">
        <v>3566</v>
      </c>
      <c r="W253" s="3657"/>
      <c r="X253" s="3657" t="s">
        <v>98</v>
      </c>
      <c r="Y253" s="3657"/>
      <c r="Z253" s="3661"/>
      <c r="AA253" s="3620" t="s">
        <v>3567</v>
      </c>
      <c r="AB253" s="3691" t="s">
        <v>1459</v>
      </c>
      <c r="AC253" s="3691">
        <v>2.243</v>
      </c>
      <c r="AD253" s="3691">
        <f t="shared" si="109"/>
        <v>1130.472</v>
      </c>
      <c r="AE253" s="3645"/>
      <c r="AF253" s="3664" t="s">
        <v>2964</v>
      </c>
      <c r="AG253" s="3645" t="s">
        <v>416</v>
      </c>
      <c r="AH253" s="4422"/>
      <c r="AI253" s="3664">
        <f t="shared" si="112"/>
        <v>504</v>
      </c>
      <c r="AJ253" s="3664"/>
      <c r="AK253" s="4422"/>
      <c r="AL253" s="3664"/>
      <c r="AM253" s="3664"/>
      <c r="AN253" s="3691"/>
      <c r="AO253" s="3691">
        <f t="shared" si="111"/>
        <v>504</v>
      </c>
      <c r="AP253" s="3691"/>
      <c r="AQ253" s="4089"/>
      <c r="AR253" s="907"/>
      <c r="AS253" s="4089">
        <f t="shared" si="113"/>
        <v>504</v>
      </c>
      <c r="AT253" s="907"/>
      <c r="AU253" s="4089"/>
      <c r="AV253" s="4089">
        <f>I253/6</f>
        <v>84</v>
      </c>
      <c r="AW253" s="4089"/>
      <c r="AX253" s="4089"/>
      <c r="AY253" s="4089"/>
      <c r="AZ253" s="4089"/>
      <c r="BA253" s="4089"/>
      <c r="BB253" s="4089"/>
      <c r="BC253" s="4089"/>
      <c r="BD253" s="4089"/>
      <c r="BE253" s="4089"/>
      <c r="BF253" s="4089" t="s">
        <v>89</v>
      </c>
      <c r="BG253" s="4089"/>
      <c r="BH253" s="4089">
        <f t="shared" si="94"/>
        <v>84</v>
      </c>
      <c r="BI253" s="4089">
        <f t="shared" si="95"/>
        <v>84</v>
      </c>
      <c r="BJ253" s="4089">
        <f t="shared" si="96"/>
        <v>84</v>
      </c>
      <c r="BK253" s="4089">
        <f t="shared" si="97"/>
        <v>84</v>
      </c>
      <c r="BL253" s="4089">
        <f t="shared" si="98"/>
        <v>84</v>
      </c>
      <c r="BM253" s="4089">
        <f t="shared" si="99"/>
        <v>67.2</v>
      </c>
      <c r="BN253" s="4089">
        <f t="shared" si="100"/>
        <v>16.8</v>
      </c>
      <c r="BO253" s="4382"/>
      <c r="BP253" s="4382"/>
      <c r="BQ253" s="4382"/>
      <c r="BR253" s="4382"/>
      <c r="BS253" s="4382"/>
      <c r="BT253" s="4383"/>
      <c r="BU253" s="4384"/>
      <c r="BV253" s="4385">
        <f t="shared" si="110"/>
        <v>504</v>
      </c>
      <c r="BW253" s="4386">
        <f t="shared" si="88"/>
        <v>0</v>
      </c>
      <c r="BX253" s="4387"/>
      <c r="BY253" s="4387"/>
      <c r="BZ253" s="4387"/>
      <c r="CA253" s="4391"/>
      <c r="CC253" s="4392"/>
      <c r="CD253" s="4391"/>
    </row>
    <row r="254" s="4025" customFormat="1" ht="50" customHeight="1" spans="1:82">
      <c r="A254" s="3688">
        <v>45747</v>
      </c>
      <c r="B254" s="3689" t="s">
        <v>839</v>
      </c>
      <c r="C254" s="3664" t="s">
        <v>840</v>
      </c>
      <c r="D254" s="3690">
        <v>4500161963</v>
      </c>
      <c r="E254" s="3664">
        <v>20739449</v>
      </c>
      <c r="F254" s="3690" t="s">
        <v>3568</v>
      </c>
      <c r="G254" s="3664" t="s">
        <v>2577</v>
      </c>
      <c r="H254" s="3691" t="s">
        <v>2591</v>
      </c>
      <c r="I254" s="3691">
        <v>120</v>
      </c>
      <c r="J254" s="3691">
        <v>0</v>
      </c>
      <c r="K254" s="3691">
        <v>12</v>
      </c>
      <c r="L254" s="3691">
        <f t="shared" si="108"/>
        <v>10</v>
      </c>
      <c r="M254" s="3659">
        <v>45789</v>
      </c>
      <c r="N254" s="3659">
        <v>45785</v>
      </c>
      <c r="O254" s="4097"/>
      <c r="P254" s="3682" t="s">
        <v>82</v>
      </c>
      <c r="Q254" s="3682"/>
      <c r="R254" s="4083"/>
      <c r="S254" s="4083"/>
      <c r="T254" s="4083"/>
      <c r="U254" s="3657" t="s">
        <v>1166</v>
      </c>
      <c r="V254" s="3657" t="s">
        <v>1167</v>
      </c>
      <c r="W254" s="3657"/>
      <c r="X254" s="3649" t="s">
        <v>1168</v>
      </c>
      <c r="Y254" s="3657"/>
      <c r="Z254" s="3661"/>
      <c r="AA254" s="3620" t="s">
        <v>3569</v>
      </c>
      <c r="AB254" s="3691" t="s">
        <v>513</v>
      </c>
      <c r="AC254" s="4087">
        <v>2.2509</v>
      </c>
      <c r="AD254" s="3691">
        <f t="shared" si="109"/>
        <v>270.108</v>
      </c>
      <c r="AE254" s="3645"/>
      <c r="AF254" s="3664" t="s">
        <v>2577</v>
      </c>
      <c r="AG254" s="3645" t="s">
        <v>416</v>
      </c>
      <c r="AH254" s="4422"/>
      <c r="AI254" s="3664">
        <f t="shared" si="112"/>
        <v>120</v>
      </c>
      <c r="AJ254" s="3664"/>
      <c r="AK254" s="4422"/>
      <c r="AL254" s="3664"/>
      <c r="AM254" s="3664"/>
      <c r="AN254" s="3691"/>
      <c r="AO254" s="3691">
        <f t="shared" si="111"/>
        <v>120</v>
      </c>
      <c r="AP254" s="3691"/>
      <c r="AQ254" s="4089"/>
      <c r="AR254" s="907"/>
      <c r="AS254" s="4089">
        <f t="shared" si="113"/>
        <v>120</v>
      </c>
      <c r="AT254" s="907"/>
      <c r="AU254" s="4089"/>
      <c r="AV254" s="4089">
        <f>I254/6</f>
        <v>20</v>
      </c>
      <c r="AW254" s="4089"/>
      <c r="AX254" s="4089"/>
      <c r="AY254" s="4089"/>
      <c r="AZ254" s="4089"/>
      <c r="BA254" s="4089"/>
      <c r="BB254" s="4089"/>
      <c r="BC254" s="4089"/>
      <c r="BD254" s="4089"/>
      <c r="BE254" s="4089"/>
      <c r="BF254" s="4089" t="s">
        <v>89</v>
      </c>
      <c r="BG254" s="4089"/>
      <c r="BH254" s="4089">
        <f t="shared" si="94"/>
        <v>20</v>
      </c>
      <c r="BI254" s="4385">
        <f t="shared" si="95"/>
        <v>20</v>
      </c>
      <c r="BJ254" s="4403">
        <f t="shared" si="96"/>
        <v>20</v>
      </c>
      <c r="BK254" s="4089">
        <f t="shared" si="97"/>
        <v>20</v>
      </c>
      <c r="BL254" s="4385">
        <f t="shared" si="98"/>
        <v>20</v>
      </c>
      <c r="BM254" s="4089">
        <f t="shared" si="99"/>
        <v>16</v>
      </c>
      <c r="BN254" s="4089">
        <f t="shared" si="100"/>
        <v>4</v>
      </c>
      <c r="BO254" s="907"/>
      <c r="BP254" s="907"/>
      <c r="BQ254" s="907"/>
      <c r="BR254" s="907"/>
      <c r="BS254" s="907"/>
      <c r="BT254" s="910"/>
      <c r="BU254" s="911"/>
      <c r="BV254" s="4385">
        <f t="shared" si="110"/>
        <v>120</v>
      </c>
      <c r="BW254" s="4386">
        <f t="shared" si="88"/>
        <v>0</v>
      </c>
      <c r="BX254" s="4387"/>
      <c r="BY254" s="4387"/>
      <c r="BZ254" s="4387"/>
      <c r="CA254" s="4391"/>
      <c r="CC254" s="4392"/>
      <c r="CD254" s="4391"/>
    </row>
    <row r="255" s="4025" customFormat="1" ht="50" customHeight="1" spans="1:82">
      <c r="A255" s="3688">
        <v>45747</v>
      </c>
      <c r="B255" s="3689" t="s">
        <v>505</v>
      </c>
      <c r="C255" s="3664" t="s">
        <v>506</v>
      </c>
      <c r="D255" s="3690">
        <v>4500161960</v>
      </c>
      <c r="E255" s="3664">
        <v>20739448</v>
      </c>
      <c r="F255" s="3690" t="s">
        <v>3570</v>
      </c>
      <c r="G255" s="3664" t="s">
        <v>2577</v>
      </c>
      <c r="H255" s="3691" t="s">
        <v>2591</v>
      </c>
      <c r="I255" s="3691">
        <v>1668</v>
      </c>
      <c r="J255" s="3691">
        <v>0</v>
      </c>
      <c r="K255" s="3691">
        <v>12</v>
      </c>
      <c r="L255" s="3691">
        <f t="shared" si="108"/>
        <v>139</v>
      </c>
      <c r="M255" s="3659">
        <v>45789</v>
      </c>
      <c r="N255" s="3659">
        <v>45785</v>
      </c>
      <c r="O255" s="4097"/>
      <c r="P255" s="3682" t="s">
        <v>82</v>
      </c>
      <c r="Q255" s="3682"/>
      <c r="R255" s="4083"/>
      <c r="S255" s="4083"/>
      <c r="T255" s="4083"/>
      <c r="U255" s="3657" t="s">
        <v>1166</v>
      </c>
      <c r="V255" s="3657" t="s">
        <v>1167</v>
      </c>
      <c r="W255" s="3657"/>
      <c r="X255" s="3657" t="s">
        <v>1168</v>
      </c>
      <c r="Y255" s="3657"/>
      <c r="Z255" s="3661"/>
      <c r="AA255" s="3620" t="s">
        <v>3571</v>
      </c>
      <c r="AB255" s="3691" t="s">
        <v>513</v>
      </c>
      <c r="AC255" s="4087">
        <v>2.2463</v>
      </c>
      <c r="AD255" s="3691">
        <f t="shared" si="109"/>
        <v>3746.8284</v>
      </c>
      <c r="AE255" s="3645"/>
      <c r="AF255" s="3664" t="s">
        <v>2577</v>
      </c>
      <c r="AG255" s="3645" t="s">
        <v>416</v>
      </c>
      <c r="AH255" s="4422"/>
      <c r="AI255" s="3664">
        <f t="shared" si="112"/>
        <v>1668</v>
      </c>
      <c r="AJ255" s="3664"/>
      <c r="AK255" s="4422"/>
      <c r="AL255" s="3664"/>
      <c r="AM255" s="3664"/>
      <c r="AN255" s="3691"/>
      <c r="AO255" s="3691">
        <f t="shared" si="111"/>
        <v>1668</v>
      </c>
      <c r="AP255" s="3691"/>
      <c r="AQ255" s="4089"/>
      <c r="AR255" s="907"/>
      <c r="AS255" s="4089">
        <f t="shared" si="113"/>
        <v>1668</v>
      </c>
      <c r="AT255" s="907"/>
      <c r="AU255" s="4089"/>
      <c r="AV255" s="4089">
        <f>I255/6</f>
        <v>278</v>
      </c>
      <c r="AW255" s="4089"/>
      <c r="AX255" s="4089"/>
      <c r="AY255" s="4089"/>
      <c r="AZ255" s="4089"/>
      <c r="BA255" s="4089"/>
      <c r="BB255" s="4089"/>
      <c r="BC255" s="4089"/>
      <c r="BD255" s="4089"/>
      <c r="BE255" s="4089"/>
      <c r="BF255" s="4089" t="s">
        <v>89</v>
      </c>
      <c r="BG255" s="4089"/>
      <c r="BH255" s="4089">
        <f t="shared" si="94"/>
        <v>278</v>
      </c>
      <c r="BI255" s="4385">
        <f t="shared" si="95"/>
        <v>278</v>
      </c>
      <c r="BJ255" s="4403">
        <f t="shared" si="96"/>
        <v>278</v>
      </c>
      <c r="BK255" s="4089">
        <f t="shared" si="97"/>
        <v>278</v>
      </c>
      <c r="BL255" s="4385">
        <f t="shared" si="98"/>
        <v>278</v>
      </c>
      <c r="BM255" s="4089">
        <f t="shared" si="99"/>
        <v>222.4</v>
      </c>
      <c r="BN255" s="4089">
        <f t="shared" si="100"/>
        <v>55.6</v>
      </c>
      <c r="BO255" s="907"/>
      <c r="BP255" s="907"/>
      <c r="BQ255" s="907"/>
      <c r="BR255" s="907"/>
      <c r="BS255" s="907"/>
      <c r="BT255" s="910"/>
      <c r="BU255" s="911"/>
      <c r="BV255" s="4385">
        <f t="shared" si="110"/>
        <v>1668</v>
      </c>
      <c r="BW255" s="4386">
        <f t="shared" si="88"/>
        <v>0</v>
      </c>
      <c r="BX255" s="4387"/>
      <c r="BY255" s="4387"/>
      <c r="BZ255" s="4387"/>
      <c r="CA255" s="4391"/>
      <c r="CC255" s="4392"/>
      <c r="CD255" s="4391"/>
    </row>
    <row r="256" s="4025" customFormat="1" ht="50" customHeight="1" spans="1:82">
      <c r="A256" s="3688">
        <v>45749</v>
      </c>
      <c r="B256" s="3689" t="s">
        <v>2908</v>
      </c>
      <c r="C256" s="3664" t="s">
        <v>341</v>
      </c>
      <c r="D256" s="3690">
        <v>4500162070</v>
      </c>
      <c r="E256" s="3664" t="s">
        <v>3572</v>
      </c>
      <c r="F256" s="3690" t="s">
        <v>3573</v>
      </c>
      <c r="G256" s="3664" t="s">
        <v>2911</v>
      </c>
      <c r="H256" s="3664" t="s">
        <v>2620</v>
      </c>
      <c r="I256" s="3691">
        <v>4500</v>
      </c>
      <c r="J256" s="3691">
        <v>0</v>
      </c>
      <c r="K256" s="3691">
        <v>4</v>
      </c>
      <c r="L256" s="3691">
        <f t="shared" si="108"/>
        <v>1125</v>
      </c>
      <c r="M256" s="3659">
        <v>45789</v>
      </c>
      <c r="N256" s="3659">
        <v>45785</v>
      </c>
      <c r="O256" s="3664"/>
      <c r="P256" s="3682" t="s">
        <v>82</v>
      </c>
      <c r="Q256" s="3682"/>
      <c r="R256" s="4083"/>
      <c r="S256" s="4083"/>
      <c r="T256" s="4083"/>
      <c r="U256" s="3645" t="s">
        <v>3574</v>
      </c>
      <c r="V256" s="3649" t="s">
        <v>3575</v>
      </c>
      <c r="W256" s="3649"/>
      <c r="X256" s="3649" t="s">
        <v>98</v>
      </c>
      <c r="Y256" s="3657"/>
      <c r="Z256" s="3661"/>
      <c r="AA256" s="3620" t="s">
        <v>3576</v>
      </c>
      <c r="AB256" s="3691" t="s">
        <v>3577</v>
      </c>
      <c r="AC256" s="3691">
        <v>2.2246</v>
      </c>
      <c r="AD256" s="3691">
        <f t="shared" si="109"/>
        <v>10010.7</v>
      </c>
      <c r="AE256" s="3645"/>
      <c r="AF256" s="3664" t="s">
        <v>2911</v>
      </c>
      <c r="AG256" s="3645" t="s">
        <v>416</v>
      </c>
      <c r="AH256" s="984"/>
      <c r="AI256" s="3664">
        <f t="shared" si="112"/>
        <v>4500</v>
      </c>
      <c r="AJ256" s="3664"/>
      <c r="AK256" s="984"/>
      <c r="AL256" s="3664"/>
      <c r="AM256" s="3664"/>
      <c r="AN256" s="3691"/>
      <c r="AO256" s="3691">
        <f t="shared" si="111"/>
        <v>4500</v>
      </c>
      <c r="AP256" s="3691"/>
      <c r="AQ256" s="4089"/>
      <c r="AR256" s="877"/>
      <c r="AS256" s="4089">
        <f t="shared" si="113"/>
        <v>4500</v>
      </c>
      <c r="AT256" s="877"/>
      <c r="AU256" s="4089"/>
      <c r="AV256" s="4089"/>
      <c r="AW256" s="4089"/>
      <c r="AX256" s="4089"/>
      <c r="AY256" s="4089"/>
      <c r="AZ256" s="4089"/>
      <c r="BA256" s="4089">
        <f>I256/4</f>
        <v>1125</v>
      </c>
      <c r="BB256" s="4089"/>
      <c r="BC256" s="4089"/>
      <c r="BD256" s="4089"/>
      <c r="BE256" s="4089"/>
      <c r="BF256" s="4089" t="s">
        <v>89</v>
      </c>
      <c r="BG256" s="4089"/>
      <c r="BH256" s="4089">
        <f t="shared" si="94"/>
        <v>750</v>
      </c>
      <c r="BI256" s="4089">
        <f t="shared" si="95"/>
        <v>750</v>
      </c>
      <c r="BJ256" s="4089">
        <f t="shared" si="96"/>
        <v>750</v>
      </c>
      <c r="BK256" s="4089">
        <f t="shared" si="97"/>
        <v>750</v>
      </c>
      <c r="BL256" s="4089">
        <f t="shared" si="98"/>
        <v>750</v>
      </c>
      <c r="BM256" s="4089">
        <f t="shared" si="99"/>
        <v>600</v>
      </c>
      <c r="BN256" s="4089">
        <f t="shared" si="100"/>
        <v>150</v>
      </c>
      <c r="BO256" s="878"/>
      <c r="BP256" s="878"/>
      <c r="BQ256" s="878"/>
      <c r="BR256" s="878"/>
      <c r="BS256" s="878"/>
      <c r="BT256" s="879"/>
      <c r="BU256" s="880"/>
      <c r="BV256" s="4385">
        <f t="shared" si="110"/>
        <v>4500</v>
      </c>
      <c r="BW256" s="4386">
        <f t="shared" si="88"/>
        <v>0</v>
      </c>
      <c r="BX256" s="4387"/>
      <c r="BY256" s="4387"/>
      <c r="BZ256" s="4387"/>
      <c r="CA256" s="4391"/>
      <c r="CC256" s="4392"/>
      <c r="CD256" s="4391"/>
    </row>
    <row r="257" s="4025" customFormat="1" ht="50" customHeight="1" spans="1:82">
      <c r="A257" s="3688">
        <v>45754</v>
      </c>
      <c r="B257" s="3689" t="s">
        <v>3578</v>
      </c>
      <c r="C257" s="3664" t="s">
        <v>91</v>
      </c>
      <c r="D257" s="3690">
        <v>4500162658</v>
      </c>
      <c r="E257" s="3664">
        <v>217111438</v>
      </c>
      <c r="F257" s="3690" t="s">
        <v>3579</v>
      </c>
      <c r="G257" s="3664" t="s">
        <v>2590</v>
      </c>
      <c r="H257" s="3664" t="s">
        <v>2591</v>
      </c>
      <c r="I257" s="3691">
        <v>2088</v>
      </c>
      <c r="J257" s="3691">
        <v>0</v>
      </c>
      <c r="K257" s="3691">
        <v>6</v>
      </c>
      <c r="L257" s="3691">
        <f t="shared" si="108"/>
        <v>348</v>
      </c>
      <c r="M257" s="3659">
        <v>45791</v>
      </c>
      <c r="N257" s="3659">
        <v>45787</v>
      </c>
      <c r="O257" s="3664"/>
      <c r="P257" s="3682" t="s">
        <v>82</v>
      </c>
      <c r="Q257" s="3682"/>
      <c r="R257" s="4083"/>
      <c r="S257" s="4083"/>
      <c r="T257" s="4083"/>
      <c r="U257" s="3645" t="s">
        <v>2406</v>
      </c>
      <c r="V257" s="3649" t="s">
        <v>1176</v>
      </c>
      <c r="W257" s="3649"/>
      <c r="X257" s="3649" t="s">
        <v>98</v>
      </c>
      <c r="Y257" s="3657"/>
      <c r="Z257" s="3661"/>
      <c r="AA257" s="3620" t="s">
        <v>3580</v>
      </c>
      <c r="AB257" s="3691" t="s">
        <v>3581</v>
      </c>
      <c r="AC257" s="3691">
        <v>2.1007</v>
      </c>
      <c r="AD257" s="3691">
        <f t="shared" si="109"/>
        <v>4386.2616</v>
      </c>
      <c r="AE257" s="3645"/>
      <c r="AF257" s="3664" t="s">
        <v>2590</v>
      </c>
      <c r="AG257" s="3645" t="s">
        <v>416</v>
      </c>
      <c r="AH257" s="4422"/>
      <c r="AI257" s="3664">
        <f t="shared" si="112"/>
        <v>2088</v>
      </c>
      <c r="AJ257" s="3664"/>
      <c r="AK257" s="4422"/>
      <c r="AL257" s="3664"/>
      <c r="AM257" s="3664"/>
      <c r="AN257" s="3691"/>
      <c r="AO257" s="3691">
        <f t="shared" si="111"/>
        <v>2088</v>
      </c>
      <c r="AP257" s="3691"/>
      <c r="AQ257" s="4089"/>
      <c r="AR257" s="907"/>
      <c r="AS257" s="4089">
        <f t="shared" si="113"/>
        <v>2088</v>
      </c>
      <c r="AT257" s="907"/>
      <c r="AU257" s="4089"/>
      <c r="AV257" s="4089">
        <f t="shared" ref="AV257:AV262" si="114">I257/6</f>
        <v>348</v>
      </c>
      <c r="AW257" s="4089"/>
      <c r="AX257" s="4089"/>
      <c r="AY257" s="4089"/>
      <c r="AZ257" s="4089"/>
      <c r="BA257" s="4089"/>
      <c r="BB257" s="4089"/>
      <c r="BC257" s="4089"/>
      <c r="BD257" s="4089"/>
      <c r="BE257" s="4089"/>
      <c r="BF257" s="4089" t="s">
        <v>89</v>
      </c>
      <c r="BG257" s="4089"/>
      <c r="BH257" s="4089">
        <f t="shared" si="94"/>
        <v>348</v>
      </c>
      <c r="BI257" s="4089">
        <f t="shared" si="95"/>
        <v>348</v>
      </c>
      <c r="BJ257" s="4089">
        <f t="shared" si="96"/>
        <v>348</v>
      </c>
      <c r="BK257" s="4403">
        <f t="shared" si="97"/>
        <v>348</v>
      </c>
      <c r="BL257" s="4385">
        <f t="shared" si="98"/>
        <v>348</v>
      </c>
      <c r="BM257" s="4403">
        <f t="shared" si="99"/>
        <v>278.4</v>
      </c>
      <c r="BN257" s="4089">
        <f t="shared" si="100"/>
        <v>69.6</v>
      </c>
      <c r="BO257" s="4382"/>
      <c r="BP257" s="4382"/>
      <c r="BQ257" s="4382"/>
      <c r="BR257" s="4382"/>
      <c r="BS257" s="4382"/>
      <c r="BT257" s="4383"/>
      <c r="BU257" s="4384"/>
      <c r="BV257" s="4385">
        <f t="shared" si="110"/>
        <v>2088</v>
      </c>
      <c r="BW257" s="4386">
        <f t="shared" si="88"/>
        <v>0</v>
      </c>
      <c r="BX257" s="4387"/>
      <c r="BY257" s="4387"/>
      <c r="BZ257" s="4387"/>
      <c r="CA257" s="4391"/>
      <c r="CC257" s="4392"/>
      <c r="CD257" s="4391"/>
    </row>
    <row r="258" s="4025" customFormat="1" ht="50" customHeight="1" spans="1:82">
      <c r="A258" s="3688">
        <v>45754</v>
      </c>
      <c r="B258" s="3689" t="s">
        <v>3578</v>
      </c>
      <c r="C258" s="3664" t="s">
        <v>91</v>
      </c>
      <c r="D258" s="3690">
        <v>4500162669</v>
      </c>
      <c r="E258" s="3664">
        <v>217111479</v>
      </c>
      <c r="F258" s="3690" t="s">
        <v>3582</v>
      </c>
      <c r="G258" s="3664" t="s">
        <v>2590</v>
      </c>
      <c r="H258" s="3664" t="s">
        <v>2591</v>
      </c>
      <c r="I258" s="3691">
        <v>1128</v>
      </c>
      <c r="J258" s="3691">
        <v>0</v>
      </c>
      <c r="K258" s="3691">
        <v>6</v>
      </c>
      <c r="L258" s="3691">
        <f t="shared" si="108"/>
        <v>188</v>
      </c>
      <c r="M258" s="3659">
        <v>45791</v>
      </c>
      <c r="N258" s="3659">
        <v>45787</v>
      </c>
      <c r="O258" s="3664"/>
      <c r="P258" s="3682" t="s">
        <v>82</v>
      </c>
      <c r="Q258" s="3682"/>
      <c r="R258" s="4083"/>
      <c r="S258" s="4083"/>
      <c r="T258" s="4083"/>
      <c r="U258" s="3645"/>
      <c r="V258" s="3649" t="s">
        <v>1176</v>
      </c>
      <c r="W258" s="3657"/>
      <c r="X258" s="3657" t="s">
        <v>98</v>
      </c>
      <c r="Y258" s="3657"/>
      <c r="Z258" s="3661"/>
      <c r="AA258" s="3620" t="s">
        <v>3580</v>
      </c>
      <c r="AB258" s="3691" t="s">
        <v>3581</v>
      </c>
      <c r="AC258" s="3691">
        <v>2.1007</v>
      </c>
      <c r="AD258" s="3691">
        <f t="shared" si="109"/>
        <v>2369.5896</v>
      </c>
      <c r="AE258" s="3645"/>
      <c r="AF258" s="3664" t="s">
        <v>2590</v>
      </c>
      <c r="AG258" s="3645" t="s">
        <v>416</v>
      </c>
      <c r="AH258" s="4422"/>
      <c r="AI258" s="3664">
        <f t="shared" si="112"/>
        <v>1128</v>
      </c>
      <c r="AJ258" s="3664"/>
      <c r="AK258" s="4422"/>
      <c r="AL258" s="3664"/>
      <c r="AM258" s="3664"/>
      <c r="AN258" s="3691"/>
      <c r="AO258" s="3691">
        <f t="shared" si="111"/>
        <v>1128</v>
      </c>
      <c r="AP258" s="3691"/>
      <c r="AQ258" s="4089"/>
      <c r="AR258" s="907"/>
      <c r="AS258" s="4089">
        <f t="shared" si="113"/>
        <v>1128</v>
      </c>
      <c r="AT258" s="907"/>
      <c r="AU258" s="4089"/>
      <c r="AV258" s="4089">
        <f t="shared" si="114"/>
        <v>188</v>
      </c>
      <c r="AW258" s="4089"/>
      <c r="AX258" s="4089"/>
      <c r="AY258" s="4089"/>
      <c r="AZ258" s="4089"/>
      <c r="BA258" s="4089"/>
      <c r="BB258" s="4089"/>
      <c r="BC258" s="4089"/>
      <c r="BD258" s="4089"/>
      <c r="BE258" s="4089"/>
      <c r="BF258" s="4089" t="s">
        <v>89</v>
      </c>
      <c r="BG258" s="4089"/>
      <c r="BH258" s="4089">
        <f t="shared" si="94"/>
        <v>188</v>
      </c>
      <c r="BI258" s="4089">
        <f t="shared" si="95"/>
        <v>188</v>
      </c>
      <c r="BJ258" s="4089">
        <f t="shared" si="96"/>
        <v>188</v>
      </c>
      <c r="BK258" s="4403">
        <f t="shared" si="97"/>
        <v>188</v>
      </c>
      <c r="BL258" s="4385">
        <f t="shared" si="98"/>
        <v>188</v>
      </c>
      <c r="BM258" s="4403">
        <f t="shared" si="99"/>
        <v>150.4</v>
      </c>
      <c r="BN258" s="4089">
        <f t="shared" si="100"/>
        <v>37.6</v>
      </c>
      <c r="BO258" s="4382"/>
      <c r="BP258" s="4382"/>
      <c r="BQ258" s="4382"/>
      <c r="BR258" s="4382"/>
      <c r="BS258" s="4382"/>
      <c r="BT258" s="4383"/>
      <c r="BU258" s="4384"/>
      <c r="BV258" s="4385">
        <f t="shared" si="110"/>
        <v>1128</v>
      </c>
      <c r="BW258" s="4386">
        <f t="shared" si="88"/>
        <v>0</v>
      </c>
      <c r="BX258" s="4387"/>
      <c r="BY258" s="4387"/>
      <c r="BZ258" s="4387"/>
      <c r="CA258" s="4391"/>
      <c r="CC258" s="4392"/>
      <c r="CD258" s="4391"/>
    </row>
    <row r="259" s="4025" customFormat="1" ht="50" customHeight="1" spans="1:82">
      <c r="A259" s="3688">
        <v>45765</v>
      </c>
      <c r="B259" s="3689" t="s">
        <v>2285</v>
      </c>
      <c r="C259" s="3664" t="s">
        <v>351</v>
      </c>
      <c r="D259" s="3690">
        <v>4500164028</v>
      </c>
      <c r="E259" s="3664" t="s">
        <v>3583</v>
      </c>
      <c r="F259" s="3690" t="s">
        <v>3584</v>
      </c>
      <c r="G259" s="3664" t="s">
        <v>2577</v>
      </c>
      <c r="H259" s="3691" t="s">
        <v>2591</v>
      </c>
      <c r="I259" s="3691">
        <v>8376</v>
      </c>
      <c r="J259" s="3691">
        <v>0</v>
      </c>
      <c r="K259" s="3691">
        <v>12</v>
      </c>
      <c r="L259" s="3691">
        <f t="shared" si="108"/>
        <v>698</v>
      </c>
      <c r="M259" s="3659">
        <v>45792</v>
      </c>
      <c r="N259" s="3659">
        <v>45789</v>
      </c>
      <c r="O259" s="3664" t="s">
        <v>3585</v>
      </c>
      <c r="P259" s="3682" t="s">
        <v>82</v>
      </c>
      <c r="Q259" s="3682"/>
      <c r="R259" s="4083"/>
      <c r="S259" s="4083"/>
      <c r="T259" s="4083"/>
      <c r="U259" s="3645" t="s">
        <v>271</v>
      </c>
      <c r="V259" s="3649" t="s">
        <v>1124</v>
      </c>
      <c r="W259" s="3657"/>
      <c r="X259" s="3657" t="s">
        <v>3586</v>
      </c>
      <c r="Y259" s="3657"/>
      <c r="Z259" s="3661" t="s">
        <v>3518</v>
      </c>
      <c r="AA259" s="3620" t="s">
        <v>3587</v>
      </c>
      <c r="AB259" s="3691" t="s">
        <v>1199</v>
      </c>
      <c r="AC259" s="4087">
        <v>2.1159</v>
      </c>
      <c r="AD259" s="3691">
        <f t="shared" si="109"/>
        <v>17722.7784</v>
      </c>
      <c r="AE259" s="3645"/>
      <c r="AF259" s="3664" t="s">
        <v>2577</v>
      </c>
      <c r="AG259" s="3645" t="s">
        <v>416</v>
      </c>
      <c r="AH259" s="979"/>
      <c r="AI259" s="3664">
        <f t="shared" si="112"/>
        <v>8376</v>
      </c>
      <c r="AJ259" s="3664"/>
      <c r="AK259" s="979"/>
      <c r="AL259" s="3664"/>
      <c r="AM259" s="3664"/>
      <c r="AN259" s="3691"/>
      <c r="AO259" s="3691">
        <f t="shared" si="111"/>
        <v>8376</v>
      </c>
      <c r="AP259" s="3691"/>
      <c r="AQ259" s="4089"/>
      <c r="AR259" s="980"/>
      <c r="AS259" s="4089">
        <f t="shared" si="113"/>
        <v>8376</v>
      </c>
      <c r="AT259" s="980"/>
      <c r="AU259" s="4089"/>
      <c r="AV259" s="4089">
        <f t="shared" si="114"/>
        <v>1396</v>
      </c>
      <c r="AW259" s="4089"/>
      <c r="AX259" s="4089"/>
      <c r="AY259" s="4089"/>
      <c r="AZ259" s="4089"/>
      <c r="BA259" s="4089"/>
      <c r="BB259" s="4089"/>
      <c r="BC259" s="4089"/>
      <c r="BD259" s="4089"/>
      <c r="BE259" s="4089"/>
      <c r="BF259" s="4089" t="s">
        <v>89</v>
      </c>
      <c r="BG259" s="4089"/>
      <c r="BH259" s="4089">
        <f t="shared" si="94"/>
        <v>1396</v>
      </c>
      <c r="BI259" s="4385">
        <f t="shared" si="95"/>
        <v>1396</v>
      </c>
      <c r="BJ259" s="4403">
        <f t="shared" si="96"/>
        <v>1396</v>
      </c>
      <c r="BK259" s="4089">
        <f t="shared" si="97"/>
        <v>1396</v>
      </c>
      <c r="BL259" s="4385">
        <f t="shared" si="98"/>
        <v>1396</v>
      </c>
      <c r="BM259" s="4089">
        <f t="shared" si="99"/>
        <v>1116.8</v>
      </c>
      <c r="BN259" s="4089">
        <f t="shared" si="100"/>
        <v>279.2</v>
      </c>
      <c r="BO259" s="980"/>
      <c r="BP259" s="980"/>
      <c r="BQ259" s="980"/>
      <c r="BR259" s="980"/>
      <c r="BS259" s="980"/>
      <c r="BT259" s="981"/>
      <c r="BU259" s="982"/>
      <c r="BV259" s="4385">
        <f t="shared" si="110"/>
        <v>8376</v>
      </c>
      <c r="BW259" s="4386">
        <f t="shared" si="88"/>
        <v>0</v>
      </c>
      <c r="BX259" s="4387"/>
      <c r="BY259" s="4387"/>
      <c r="BZ259" s="4387"/>
      <c r="CA259" s="4391"/>
      <c r="CC259" s="4392"/>
      <c r="CD259" s="4391"/>
    </row>
    <row r="260" s="4025" customFormat="1" ht="50" customHeight="1" spans="1:82">
      <c r="A260" s="3688">
        <v>45763</v>
      </c>
      <c r="B260" s="3689" t="s">
        <v>3156</v>
      </c>
      <c r="C260" s="3664" t="s">
        <v>471</v>
      </c>
      <c r="D260" s="3690">
        <v>4500163539</v>
      </c>
      <c r="E260" s="3664">
        <v>5200006607</v>
      </c>
      <c r="F260" s="3690" t="s">
        <v>3588</v>
      </c>
      <c r="G260" s="3664" t="s">
        <v>2647</v>
      </c>
      <c r="H260" s="3664" t="s">
        <v>2648</v>
      </c>
      <c r="I260" s="3691">
        <v>2520</v>
      </c>
      <c r="J260" s="3691">
        <v>0</v>
      </c>
      <c r="K260" s="3691">
        <v>6</v>
      </c>
      <c r="L260" s="3691">
        <f t="shared" si="108"/>
        <v>420</v>
      </c>
      <c r="M260" s="3659">
        <v>45793</v>
      </c>
      <c r="N260" s="3659">
        <v>45789</v>
      </c>
      <c r="O260" s="3664" t="s">
        <v>3589</v>
      </c>
      <c r="P260" s="3682" t="s">
        <v>82</v>
      </c>
      <c r="Q260" s="3682"/>
      <c r="R260" s="4083"/>
      <c r="S260" s="4083"/>
      <c r="T260" s="4083"/>
      <c r="U260" s="3645" t="s">
        <v>3590</v>
      </c>
      <c r="V260" s="3649" t="s">
        <v>1196</v>
      </c>
      <c r="W260" s="3657"/>
      <c r="X260" s="3657" t="s">
        <v>3591</v>
      </c>
      <c r="Y260" s="3657"/>
      <c r="Z260" s="3661"/>
      <c r="AA260" s="3620" t="s">
        <v>3592</v>
      </c>
      <c r="AB260" s="3691" t="s">
        <v>3593</v>
      </c>
      <c r="AC260" s="3691">
        <v>2.1536</v>
      </c>
      <c r="AD260" s="3691">
        <f t="shared" si="109"/>
        <v>5427.072</v>
      </c>
      <c r="AE260" s="3645"/>
      <c r="AF260" s="959" t="s">
        <v>2652</v>
      </c>
      <c r="AG260" s="3645" t="s">
        <v>416</v>
      </c>
      <c r="AH260" s="4422"/>
      <c r="AI260" s="3664"/>
      <c r="AJ260" s="3664"/>
      <c r="AK260" s="4422"/>
      <c r="AL260" s="3664">
        <f>I260</f>
        <v>2520</v>
      </c>
      <c r="AM260" s="3664"/>
      <c r="AN260" s="3691"/>
      <c r="AO260" s="3691">
        <f t="shared" si="111"/>
        <v>2520</v>
      </c>
      <c r="AP260" s="3691"/>
      <c r="AQ260" s="4089"/>
      <c r="AR260" s="907"/>
      <c r="AS260" s="4089"/>
      <c r="AT260" s="907"/>
      <c r="AU260" s="4089">
        <f>I260</f>
        <v>2520</v>
      </c>
      <c r="AV260" s="4089">
        <f t="shared" si="114"/>
        <v>420</v>
      </c>
      <c r="AW260" s="4089"/>
      <c r="AX260" s="4089"/>
      <c r="AY260" s="4089"/>
      <c r="AZ260" s="4089"/>
      <c r="BA260" s="4089"/>
      <c r="BB260" s="4089"/>
      <c r="BC260" s="4089"/>
      <c r="BD260" s="4089"/>
      <c r="BE260" s="4089"/>
      <c r="BF260" s="4089" t="s">
        <v>89</v>
      </c>
      <c r="BG260" s="4089"/>
      <c r="BH260" s="4089">
        <f t="shared" si="94"/>
        <v>420</v>
      </c>
      <c r="BI260" s="4089">
        <f t="shared" si="95"/>
        <v>420</v>
      </c>
      <c r="BJ260" s="4089">
        <f t="shared" si="96"/>
        <v>420</v>
      </c>
      <c r="BK260" s="4089">
        <f t="shared" si="97"/>
        <v>420</v>
      </c>
      <c r="BL260" s="4089">
        <f t="shared" si="98"/>
        <v>420</v>
      </c>
      <c r="BM260" s="4089">
        <f t="shared" si="99"/>
        <v>336</v>
      </c>
      <c r="BN260" s="4089">
        <f t="shared" si="100"/>
        <v>84</v>
      </c>
      <c r="BO260" s="907"/>
      <c r="BP260" s="907"/>
      <c r="BQ260" s="907"/>
      <c r="BR260" s="907"/>
      <c r="BS260" s="907"/>
      <c r="BT260" s="910"/>
      <c r="BU260" s="911"/>
      <c r="BV260" s="4385">
        <f t="shared" si="110"/>
        <v>2520</v>
      </c>
      <c r="BW260" s="4386">
        <f t="shared" si="88"/>
        <v>0</v>
      </c>
      <c r="BX260" s="4387"/>
      <c r="BY260" s="4387"/>
      <c r="BZ260" s="4387"/>
      <c r="CA260" s="4388"/>
      <c r="CC260" s="4389"/>
      <c r="CD260" s="4388"/>
    </row>
    <row r="261" s="4025" customFormat="1" ht="50" customHeight="1" spans="1:82">
      <c r="A261" s="3688">
        <v>45754</v>
      </c>
      <c r="B261" s="3689" t="s">
        <v>839</v>
      </c>
      <c r="C261" s="3664" t="s">
        <v>840</v>
      </c>
      <c r="D261" s="3690">
        <v>4500162692</v>
      </c>
      <c r="E261" s="3664">
        <v>20756002</v>
      </c>
      <c r="F261" s="3690" t="s">
        <v>3594</v>
      </c>
      <c r="G261" s="3664" t="s">
        <v>2577</v>
      </c>
      <c r="H261" s="3691" t="s">
        <v>2591</v>
      </c>
      <c r="I261" s="3691">
        <v>84</v>
      </c>
      <c r="J261" s="3691">
        <v>0</v>
      </c>
      <c r="K261" s="3691">
        <v>12</v>
      </c>
      <c r="L261" s="3691">
        <f t="shared" si="108"/>
        <v>7</v>
      </c>
      <c r="M261" s="3659">
        <v>45796</v>
      </c>
      <c r="N261" s="3659">
        <v>45792</v>
      </c>
      <c r="O261" s="3664"/>
      <c r="P261" s="3682" t="s">
        <v>82</v>
      </c>
      <c r="Q261" s="3682"/>
      <c r="R261" s="4083"/>
      <c r="S261" s="4083"/>
      <c r="T261" s="4083"/>
      <c r="U261" s="3645" t="s">
        <v>3595</v>
      </c>
      <c r="V261" s="3649" t="s">
        <v>1203</v>
      </c>
      <c r="W261" s="3657"/>
      <c r="X261" s="3657" t="s">
        <v>3596</v>
      </c>
      <c r="Y261" s="3657"/>
      <c r="Z261" s="3661"/>
      <c r="AA261" s="3620" t="s">
        <v>3569</v>
      </c>
      <c r="AB261" s="3691" t="s">
        <v>513</v>
      </c>
      <c r="AC261" s="4087">
        <v>2.2509</v>
      </c>
      <c r="AD261" s="3691">
        <f t="shared" si="109"/>
        <v>189.0756</v>
      </c>
      <c r="AE261" s="3645"/>
      <c r="AF261" s="3664" t="s">
        <v>2577</v>
      </c>
      <c r="AG261" s="3645" t="s">
        <v>416</v>
      </c>
      <c r="AH261" s="984"/>
      <c r="AI261" s="3664">
        <f>I261</f>
        <v>84</v>
      </c>
      <c r="AJ261" s="3664"/>
      <c r="AK261" s="984"/>
      <c r="AL261" s="3664"/>
      <c r="AM261" s="3664"/>
      <c r="AN261" s="3691"/>
      <c r="AO261" s="3691">
        <f t="shared" si="111"/>
        <v>84</v>
      </c>
      <c r="AP261" s="3691"/>
      <c r="AQ261" s="4089"/>
      <c r="AR261" s="877"/>
      <c r="AS261" s="4089">
        <f>I261</f>
        <v>84</v>
      </c>
      <c r="AT261" s="877"/>
      <c r="AU261" s="4089"/>
      <c r="AV261" s="4089">
        <f t="shared" si="114"/>
        <v>14</v>
      </c>
      <c r="AW261" s="4089"/>
      <c r="AX261" s="4089"/>
      <c r="AY261" s="4089"/>
      <c r="AZ261" s="4089"/>
      <c r="BA261" s="4089"/>
      <c r="BB261" s="4089"/>
      <c r="BC261" s="4089"/>
      <c r="BD261" s="4089"/>
      <c r="BE261" s="4089"/>
      <c r="BF261" s="4089" t="s">
        <v>89</v>
      </c>
      <c r="BG261" s="4089"/>
      <c r="BH261" s="4089">
        <f t="shared" si="94"/>
        <v>14</v>
      </c>
      <c r="BI261" s="4385">
        <f t="shared" si="95"/>
        <v>14</v>
      </c>
      <c r="BJ261" s="4403">
        <f t="shared" si="96"/>
        <v>14</v>
      </c>
      <c r="BK261" s="4089">
        <f t="shared" si="97"/>
        <v>14</v>
      </c>
      <c r="BL261" s="4385">
        <f t="shared" si="98"/>
        <v>14</v>
      </c>
      <c r="BM261" s="4089">
        <f t="shared" si="99"/>
        <v>11.2</v>
      </c>
      <c r="BN261" s="4089">
        <f t="shared" si="100"/>
        <v>2.8</v>
      </c>
      <c r="BO261" s="877"/>
      <c r="BP261" s="877"/>
      <c r="BQ261" s="877"/>
      <c r="BR261" s="877"/>
      <c r="BS261" s="877"/>
      <c r="BT261" s="991"/>
      <c r="BU261" s="992"/>
      <c r="BV261" s="4385">
        <f t="shared" si="110"/>
        <v>84</v>
      </c>
      <c r="BW261" s="4386">
        <f t="shared" ref="BW261:BW324" si="115">I261-BV261</f>
        <v>0</v>
      </c>
      <c r="BX261" s="4387"/>
      <c r="BY261" s="4387"/>
      <c r="BZ261" s="4387"/>
      <c r="CA261" s="4391"/>
      <c r="CC261" s="4392"/>
      <c r="CD261" s="4391"/>
    </row>
    <row r="262" s="4025" customFormat="1" ht="50" customHeight="1" spans="1:82">
      <c r="A262" s="3688">
        <v>45754</v>
      </c>
      <c r="B262" s="3689" t="s">
        <v>505</v>
      </c>
      <c r="C262" s="3664" t="s">
        <v>506</v>
      </c>
      <c r="D262" s="3690">
        <v>4500162690</v>
      </c>
      <c r="E262" s="3664">
        <v>20756001</v>
      </c>
      <c r="F262" s="3690" t="s">
        <v>3597</v>
      </c>
      <c r="G262" s="3664" t="s">
        <v>2577</v>
      </c>
      <c r="H262" s="3691" t="s">
        <v>2591</v>
      </c>
      <c r="I262" s="3691">
        <v>1416</v>
      </c>
      <c r="J262" s="3691">
        <v>0</v>
      </c>
      <c r="K262" s="3691">
        <v>12</v>
      </c>
      <c r="L262" s="3691">
        <f t="shared" si="108"/>
        <v>118</v>
      </c>
      <c r="M262" s="3659">
        <v>45796</v>
      </c>
      <c r="N262" s="3659">
        <v>45792</v>
      </c>
      <c r="O262" s="3664"/>
      <c r="P262" s="3682" t="s">
        <v>82</v>
      </c>
      <c r="Q262" s="3682"/>
      <c r="R262" s="4083"/>
      <c r="S262" s="4083"/>
      <c r="T262" s="4083"/>
      <c r="U262" s="3645" t="s">
        <v>3595</v>
      </c>
      <c r="V262" s="3649" t="s">
        <v>1203</v>
      </c>
      <c r="W262" s="3657"/>
      <c r="X262" s="3657" t="s">
        <v>3596</v>
      </c>
      <c r="Y262" s="3657"/>
      <c r="Z262" s="3661"/>
      <c r="AA262" s="3620" t="s">
        <v>3598</v>
      </c>
      <c r="AB262" s="3691" t="s">
        <v>513</v>
      </c>
      <c r="AC262" s="4087">
        <v>2.2463</v>
      </c>
      <c r="AD262" s="3691">
        <f t="shared" si="109"/>
        <v>3180.7608</v>
      </c>
      <c r="AE262" s="3645"/>
      <c r="AF262" s="3664" t="s">
        <v>2577</v>
      </c>
      <c r="AG262" s="3645" t="s">
        <v>416</v>
      </c>
      <c r="AH262" s="984"/>
      <c r="AI262" s="3664">
        <f>I262</f>
        <v>1416</v>
      </c>
      <c r="AJ262" s="3664"/>
      <c r="AK262" s="984"/>
      <c r="AL262" s="3664"/>
      <c r="AM262" s="3664"/>
      <c r="AN262" s="3691"/>
      <c r="AO262" s="3691">
        <f t="shared" si="111"/>
        <v>1416</v>
      </c>
      <c r="AP262" s="3691"/>
      <c r="AQ262" s="4089"/>
      <c r="AR262" s="877"/>
      <c r="AS262" s="4089">
        <f>I262</f>
        <v>1416</v>
      </c>
      <c r="AT262" s="877"/>
      <c r="AU262" s="4089"/>
      <c r="AV262" s="4089">
        <f t="shared" si="114"/>
        <v>236</v>
      </c>
      <c r="AW262" s="4089"/>
      <c r="AX262" s="4089"/>
      <c r="AY262" s="4089"/>
      <c r="AZ262" s="4089"/>
      <c r="BA262" s="4089"/>
      <c r="BB262" s="4089"/>
      <c r="BC262" s="4089"/>
      <c r="BD262" s="4089"/>
      <c r="BE262" s="4089"/>
      <c r="BF262" s="4089" t="s">
        <v>89</v>
      </c>
      <c r="BG262" s="4089"/>
      <c r="BH262" s="4089">
        <f t="shared" si="94"/>
        <v>236</v>
      </c>
      <c r="BI262" s="4385">
        <f t="shared" si="95"/>
        <v>236</v>
      </c>
      <c r="BJ262" s="4403">
        <f t="shared" si="96"/>
        <v>236</v>
      </c>
      <c r="BK262" s="4089">
        <f t="shared" si="97"/>
        <v>236</v>
      </c>
      <c r="BL262" s="4385">
        <f t="shared" si="98"/>
        <v>236</v>
      </c>
      <c r="BM262" s="4089">
        <f t="shared" si="99"/>
        <v>188.8</v>
      </c>
      <c r="BN262" s="4089">
        <f t="shared" si="100"/>
        <v>47.2</v>
      </c>
      <c r="BO262" s="877"/>
      <c r="BP262" s="877"/>
      <c r="BQ262" s="877"/>
      <c r="BR262" s="877"/>
      <c r="BS262" s="877"/>
      <c r="BT262" s="991"/>
      <c r="BU262" s="992"/>
      <c r="BV262" s="4385">
        <f t="shared" si="110"/>
        <v>1416</v>
      </c>
      <c r="BW262" s="4386">
        <f t="shared" si="115"/>
        <v>0</v>
      </c>
      <c r="BX262" s="4387"/>
      <c r="BY262" s="4387"/>
      <c r="BZ262" s="4387"/>
      <c r="CA262" s="4391"/>
      <c r="CC262" s="4392"/>
      <c r="CD262" s="4391"/>
    </row>
    <row r="263" s="4025" customFormat="1" ht="50" customHeight="1" spans="1:82">
      <c r="A263" s="4428">
        <v>45742</v>
      </c>
      <c r="B263" s="959" t="s">
        <v>3599</v>
      </c>
      <c r="C263" s="959" t="s">
        <v>2058</v>
      </c>
      <c r="D263" s="3618">
        <v>4500161360</v>
      </c>
      <c r="E263" s="959">
        <v>2000007033</v>
      </c>
      <c r="F263" s="3618" t="s">
        <v>3600</v>
      </c>
      <c r="G263" s="959" t="s">
        <v>3356</v>
      </c>
      <c r="H263" s="3664" t="s">
        <v>3353</v>
      </c>
      <c r="I263" s="3618">
        <v>2508</v>
      </c>
      <c r="J263" s="3618">
        <v>0</v>
      </c>
      <c r="K263" s="3618">
        <v>12</v>
      </c>
      <c r="L263" s="3618">
        <f t="shared" si="108"/>
        <v>209</v>
      </c>
      <c r="M263" s="3659">
        <v>45797</v>
      </c>
      <c r="N263" s="3659">
        <v>45793</v>
      </c>
      <c r="O263" s="3664" t="s">
        <v>3601</v>
      </c>
      <c r="P263" s="3682" t="s">
        <v>82</v>
      </c>
      <c r="Q263" s="3682"/>
      <c r="R263" s="4083"/>
      <c r="S263" s="4083"/>
      <c r="T263" s="4083"/>
      <c r="U263" s="3645" t="s">
        <v>2412</v>
      </c>
      <c r="V263" s="3649" t="s">
        <v>1176</v>
      </c>
      <c r="W263" s="3657"/>
      <c r="X263" s="3657" t="s">
        <v>3602</v>
      </c>
      <c r="Y263" s="3657"/>
      <c r="Z263" s="3623" t="s">
        <v>3603</v>
      </c>
      <c r="AA263" s="3620" t="s">
        <v>3604</v>
      </c>
      <c r="AB263" s="3618" t="s">
        <v>578</v>
      </c>
      <c r="AC263" s="3618">
        <v>4.4796</v>
      </c>
      <c r="AD263" s="3618">
        <f t="shared" si="109"/>
        <v>11234.8368</v>
      </c>
      <c r="AE263" s="3645"/>
      <c r="AF263" s="959" t="s">
        <v>3605</v>
      </c>
      <c r="AG263" s="3645" t="s">
        <v>416</v>
      </c>
      <c r="AH263" s="4422"/>
      <c r="AI263" s="3691"/>
      <c r="AJ263" s="3691"/>
      <c r="AK263" s="4422"/>
      <c r="AL263" s="3664">
        <f>I263</f>
        <v>2508</v>
      </c>
      <c r="AM263" s="3664"/>
      <c r="AN263" s="3691"/>
      <c r="AO263" s="3691">
        <f t="shared" si="111"/>
        <v>2508</v>
      </c>
      <c r="AP263" s="3691"/>
      <c r="AQ263" s="4089"/>
      <c r="AR263" s="907"/>
      <c r="AS263" s="4089">
        <f>I263</f>
        <v>2508</v>
      </c>
      <c r="AT263" s="907"/>
      <c r="AU263" s="4089"/>
      <c r="AV263" s="4089"/>
      <c r="AW263" s="4089"/>
      <c r="AX263" s="4089"/>
      <c r="AY263" s="4089"/>
      <c r="AZ263" s="4089"/>
      <c r="BA263" s="4089"/>
      <c r="BB263" s="4089"/>
      <c r="BC263" s="4089">
        <f>I263</f>
        <v>2508</v>
      </c>
      <c r="BD263" s="4089"/>
      <c r="BE263" s="4089"/>
      <c r="BF263" s="4089" t="s">
        <v>89</v>
      </c>
      <c r="BG263" s="4089"/>
      <c r="BH263" s="4089">
        <f t="shared" si="94"/>
        <v>418</v>
      </c>
      <c r="BI263" s="4089">
        <f t="shared" si="95"/>
        <v>418</v>
      </c>
      <c r="BJ263" s="4089">
        <f t="shared" si="96"/>
        <v>418</v>
      </c>
      <c r="BK263" s="4403">
        <f t="shared" si="97"/>
        <v>418</v>
      </c>
      <c r="BL263" s="4385">
        <f t="shared" si="98"/>
        <v>418</v>
      </c>
      <c r="BM263" s="4403">
        <f t="shared" si="99"/>
        <v>334.4</v>
      </c>
      <c r="BN263" s="4089">
        <f t="shared" si="100"/>
        <v>83.6</v>
      </c>
      <c r="BO263" s="907"/>
      <c r="BP263" s="907"/>
      <c r="BQ263" s="907"/>
      <c r="BR263" s="907"/>
      <c r="BS263" s="907"/>
      <c r="BT263" s="910"/>
      <c r="BU263" s="911"/>
      <c r="BV263" s="4385">
        <f t="shared" si="110"/>
        <v>2508</v>
      </c>
      <c r="BW263" s="4386">
        <f t="shared" si="115"/>
        <v>0</v>
      </c>
      <c r="BX263" s="4387"/>
      <c r="BY263" s="4387"/>
      <c r="BZ263" s="4387"/>
      <c r="CA263" s="4391"/>
      <c r="CC263" s="4392"/>
      <c r="CD263" s="4391"/>
    </row>
    <row r="264" s="4025" customFormat="1" ht="50" customHeight="1" spans="1:82">
      <c r="A264" s="3635">
        <v>45742</v>
      </c>
      <c r="B264" s="3617" t="s">
        <v>568</v>
      </c>
      <c r="C264" s="3617" t="s">
        <v>569</v>
      </c>
      <c r="D264" s="3624">
        <v>4500160038</v>
      </c>
      <c r="E264" s="3664">
        <v>2000007048</v>
      </c>
      <c r="F264" s="3624" t="s">
        <v>3606</v>
      </c>
      <c r="G264" s="3664" t="s">
        <v>3356</v>
      </c>
      <c r="H264" s="3664" t="s">
        <v>3353</v>
      </c>
      <c r="I264" s="3618">
        <v>996</v>
      </c>
      <c r="J264" s="3618">
        <v>0</v>
      </c>
      <c r="K264" s="3618">
        <v>12</v>
      </c>
      <c r="L264" s="3618">
        <f t="shared" si="108"/>
        <v>83</v>
      </c>
      <c r="M264" s="3659">
        <v>45797</v>
      </c>
      <c r="N264" s="3659">
        <v>45793</v>
      </c>
      <c r="O264" s="3664" t="s">
        <v>3601</v>
      </c>
      <c r="P264" s="3682" t="s">
        <v>82</v>
      </c>
      <c r="Q264" s="3682"/>
      <c r="R264" s="4083"/>
      <c r="S264" s="4083"/>
      <c r="T264" s="4083"/>
      <c r="U264" s="3645"/>
      <c r="V264" s="3657" t="s">
        <v>1209</v>
      </c>
      <c r="W264" s="3657"/>
      <c r="X264" s="3657" t="s">
        <v>3602</v>
      </c>
      <c r="Y264" s="3657"/>
      <c r="Z264" s="3623" t="s">
        <v>3603</v>
      </c>
      <c r="AA264" s="3620" t="s">
        <v>3607</v>
      </c>
      <c r="AB264" s="3691" t="s">
        <v>578</v>
      </c>
      <c r="AC264" s="3618">
        <v>4.4796</v>
      </c>
      <c r="AD264" s="3618">
        <f t="shared" si="109"/>
        <v>4461.6816</v>
      </c>
      <c r="AE264" s="3645"/>
      <c r="AF264" s="959" t="s">
        <v>3605</v>
      </c>
      <c r="AG264" s="3645" t="s">
        <v>416</v>
      </c>
      <c r="AH264" s="4422"/>
      <c r="AI264" s="3691"/>
      <c r="AJ264" s="3691"/>
      <c r="AK264" s="4422"/>
      <c r="AL264" s="3664">
        <f>I264</f>
        <v>996</v>
      </c>
      <c r="AM264" s="3664"/>
      <c r="AN264" s="3691"/>
      <c r="AO264" s="3691">
        <f t="shared" si="111"/>
        <v>996</v>
      </c>
      <c r="AP264" s="3691"/>
      <c r="AQ264" s="4089"/>
      <c r="AR264" s="907"/>
      <c r="AS264" s="4089"/>
      <c r="AT264" s="907"/>
      <c r="AU264" s="4089">
        <f>I264</f>
        <v>996</v>
      </c>
      <c r="AV264" s="4089"/>
      <c r="AW264" s="4089"/>
      <c r="AX264" s="4089"/>
      <c r="AY264" s="4089"/>
      <c r="AZ264" s="4089"/>
      <c r="BA264" s="4089"/>
      <c r="BB264" s="4089"/>
      <c r="BC264" s="4089">
        <f>I264</f>
        <v>996</v>
      </c>
      <c r="BD264" s="4089"/>
      <c r="BE264" s="4089"/>
      <c r="BF264" s="4089" t="s">
        <v>89</v>
      </c>
      <c r="BG264" s="4089"/>
      <c r="BH264" s="4089">
        <f t="shared" si="94"/>
        <v>166</v>
      </c>
      <c r="BI264" s="4089">
        <f t="shared" si="95"/>
        <v>166</v>
      </c>
      <c r="BJ264" s="4089">
        <f t="shared" si="96"/>
        <v>166</v>
      </c>
      <c r="BK264" s="4403">
        <f t="shared" si="97"/>
        <v>166</v>
      </c>
      <c r="BL264" s="4385">
        <f t="shared" si="98"/>
        <v>166</v>
      </c>
      <c r="BM264" s="4403">
        <f t="shared" si="99"/>
        <v>132.8</v>
      </c>
      <c r="BN264" s="4089">
        <f t="shared" si="100"/>
        <v>33.2</v>
      </c>
      <c r="BO264" s="907"/>
      <c r="BP264" s="907"/>
      <c r="BQ264" s="907"/>
      <c r="BR264" s="907"/>
      <c r="BS264" s="907"/>
      <c r="BT264" s="910"/>
      <c r="BU264" s="911"/>
      <c r="BV264" s="4385">
        <f t="shared" si="110"/>
        <v>996</v>
      </c>
      <c r="BW264" s="4386">
        <f t="shared" si="115"/>
        <v>0</v>
      </c>
      <c r="BX264" s="4387"/>
      <c r="BY264" s="4387"/>
      <c r="BZ264" s="4387"/>
      <c r="CA264" s="4391"/>
      <c r="CC264" s="4392"/>
      <c r="CD264" s="4391"/>
    </row>
    <row r="265" s="4025" customFormat="1" ht="50" customHeight="1" spans="1:82">
      <c r="A265" s="3635">
        <v>45734</v>
      </c>
      <c r="B265" s="3617" t="s">
        <v>3608</v>
      </c>
      <c r="C265" s="3617" t="s">
        <v>738</v>
      </c>
      <c r="D265" s="3624">
        <v>4500160573</v>
      </c>
      <c r="E265" s="3664">
        <v>5251215527</v>
      </c>
      <c r="F265" s="3624" t="s">
        <v>3609</v>
      </c>
      <c r="G265" s="3664" t="s">
        <v>2590</v>
      </c>
      <c r="H265" s="3664" t="s">
        <v>2591</v>
      </c>
      <c r="I265" s="3691">
        <v>6756</v>
      </c>
      <c r="J265" s="3691">
        <v>0</v>
      </c>
      <c r="K265" s="3691">
        <v>6</v>
      </c>
      <c r="L265" s="3691">
        <f t="shared" si="108"/>
        <v>1126</v>
      </c>
      <c r="M265" s="3659">
        <v>45798</v>
      </c>
      <c r="N265" s="3659">
        <v>45794</v>
      </c>
      <c r="O265" s="4085"/>
      <c r="P265" s="3682" t="s">
        <v>82</v>
      </c>
      <c r="Q265" s="3682"/>
      <c r="R265" s="4083"/>
      <c r="S265" s="4083"/>
      <c r="T265" s="4083"/>
      <c r="U265" s="3645" t="s">
        <v>1208</v>
      </c>
      <c r="V265" s="3657" t="s">
        <v>3610</v>
      </c>
      <c r="W265" s="3657"/>
      <c r="X265" s="3657" t="s">
        <v>3611</v>
      </c>
      <c r="Y265" s="3657"/>
      <c r="Z265" s="3623" t="s">
        <v>3612</v>
      </c>
      <c r="AA265" s="3620" t="s">
        <v>3613</v>
      </c>
      <c r="AB265" s="3691" t="s">
        <v>1257</v>
      </c>
      <c r="AC265" s="3691">
        <v>2.1544</v>
      </c>
      <c r="AD265" s="3691">
        <f t="shared" si="109"/>
        <v>14555.1264</v>
      </c>
      <c r="AE265" s="3645"/>
      <c r="AF265" s="3664" t="s">
        <v>3614</v>
      </c>
      <c r="AG265" s="3645" t="s">
        <v>416</v>
      </c>
      <c r="AH265" s="984"/>
      <c r="AI265" s="3691"/>
      <c r="AJ265" s="3691"/>
      <c r="AK265" s="979"/>
      <c r="AL265" s="3664">
        <f>I265</f>
        <v>6756</v>
      </c>
      <c r="AM265" s="3664"/>
      <c r="AN265" s="3691"/>
      <c r="AO265" s="3691">
        <f t="shared" si="111"/>
        <v>6756</v>
      </c>
      <c r="AP265" s="3691"/>
      <c r="AQ265" s="4089"/>
      <c r="AR265" s="877"/>
      <c r="AS265" s="4089">
        <f t="shared" ref="AS265:AS278" si="116">I265</f>
        <v>6756</v>
      </c>
      <c r="AT265" s="877"/>
      <c r="AU265" s="4089"/>
      <c r="AV265" s="4089">
        <f t="shared" ref="AV265:AV271" si="117">I265/6</f>
        <v>1126</v>
      </c>
      <c r="AW265" s="4089"/>
      <c r="AX265" s="4089"/>
      <c r="AY265" s="4089"/>
      <c r="AZ265" s="4089"/>
      <c r="BA265" s="4089"/>
      <c r="BB265" s="4089"/>
      <c r="BC265" s="4089"/>
      <c r="BD265" s="4089"/>
      <c r="BE265" s="4089"/>
      <c r="BF265" s="4089" t="s">
        <v>89</v>
      </c>
      <c r="BG265" s="4089"/>
      <c r="BH265" s="4089">
        <f t="shared" si="94"/>
        <v>1126</v>
      </c>
      <c r="BI265" s="4089">
        <f t="shared" si="95"/>
        <v>1126</v>
      </c>
      <c r="BJ265" s="4089">
        <f t="shared" si="96"/>
        <v>1126</v>
      </c>
      <c r="BK265" s="4403">
        <f t="shared" si="97"/>
        <v>1126</v>
      </c>
      <c r="BL265" s="4385">
        <f t="shared" si="98"/>
        <v>1126</v>
      </c>
      <c r="BM265" s="4403">
        <f t="shared" si="99"/>
        <v>900.8</v>
      </c>
      <c r="BN265" s="4089">
        <f t="shared" si="100"/>
        <v>225.2</v>
      </c>
      <c r="BO265" s="877"/>
      <c r="BP265" s="877"/>
      <c r="BQ265" s="877"/>
      <c r="BR265" s="877"/>
      <c r="BS265" s="877"/>
      <c r="BT265" s="991"/>
      <c r="BU265" s="992"/>
      <c r="BV265" s="4385">
        <f t="shared" si="110"/>
        <v>6756</v>
      </c>
      <c r="BW265" s="4386">
        <f t="shared" si="115"/>
        <v>0</v>
      </c>
      <c r="BX265" s="4387"/>
      <c r="BY265" s="4387"/>
      <c r="BZ265" s="4387"/>
      <c r="CA265" s="4391"/>
      <c r="CC265" s="4392"/>
      <c r="CD265" s="4391"/>
    </row>
    <row r="266" s="4025" customFormat="1" ht="50" customHeight="1" spans="1:82">
      <c r="A266" s="3635">
        <v>45734</v>
      </c>
      <c r="B266" s="3617" t="s">
        <v>3608</v>
      </c>
      <c r="C266" s="3617" t="s">
        <v>738</v>
      </c>
      <c r="D266" s="3624">
        <v>4500160573</v>
      </c>
      <c r="E266" s="3664">
        <v>5251215528</v>
      </c>
      <c r="F266" s="3624" t="s">
        <v>3615</v>
      </c>
      <c r="G266" s="3664" t="s">
        <v>2590</v>
      </c>
      <c r="H266" s="3664" t="s">
        <v>2591</v>
      </c>
      <c r="I266" s="3691">
        <v>6504</v>
      </c>
      <c r="J266" s="3691">
        <v>0</v>
      </c>
      <c r="K266" s="3691">
        <v>6</v>
      </c>
      <c r="L266" s="3691">
        <f t="shared" si="108"/>
        <v>1084</v>
      </c>
      <c r="M266" s="3659">
        <v>45798</v>
      </c>
      <c r="N266" s="3659">
        <v>45794</v>
      </c>
      <c r="O266" s="4085"/>
      <c r="P266" s="3682" t="s">
        <v>82</v>
      </c>
      <c r="Q266" s="3682"/>
      <c r="R266" s="4083"/>
      <c r="S266" s="4083"/>
      <c r="T266" s="4083"/>
      <c r="U266" s="3645" t="s">
        <v>1208</v>
      </c>
      <c r="V266" s="3657" t="s">
        <v>3610</v>
      </c>
      <c r="W266" s="3657"/>
      <c r="X266" s="3657" t="s">
        <v>3611</v>
      </c>
      <c r="Y266" s="3657"/>
      <c r="Z266" s="3623" t="s">
        <v>3612</v>
      </c>
      <c r="AA266" s="3620" t="s">
        <v>3613</v>
      </c>
      <c r="AB266" s="3691" t="s">
        <v>1257</v>
      </c>
      <c r="AC266" s="3691">
        <v>2.1544</v>
      </c>
      <c r="AD266" s="3691">
        <f t="shared" si="109"/>
        <v>14012.2176</v>
      </c>
      <c r="AE266" s="3645"/>
      <c r="AF266" s="3664" t="s">
        <v>3614</v>
      </c>
      <c r="AG266" s="3645" t="s">
        <v>416</v>
      </c>
      <c r="AH266" s="984"/>
      <c r="AI266" s="3691"/>
      <c r="AJ266" s="3691"/>
      <c r="AK266" s="979"/>
      <c r="AL266" s="3664">
        <f>I266</f>
        <v>6504</v>
      </c>
      <c r="AM266" s="3664"/>
      <c r="AN266" s="3691"/>
      <c r="AO266" s="3691">
        <f t="shared" si="111"/>
        <v>6504</v>
      </c>
      <c r="AP266" s="3691"/>
      <c r="AQ266" s="4089"/>
      <c r="AR266" s="877"/>
      <c r="AS266" s="4089">
        <f t="shared" si="116"/>
        <v>6504</v>
      </c>
      <c r="AT266" s="877"/>
      <c r="AU266" s="4089"/>
      <c r="AV266" s="4089">
        <f t="shared" si="117"/>
        <v>1084</v>
      </c>
      <c r="AW266" s="4089"/>
      <c r="AX266" s="4089"/>
      <c r="AY266" s="4089"/>
      <c r="AZ266" s="4089"/>
      <c r="BA266" s="4089"/>
      <c r="BB266" s="4089"/>
      <c r="BC266" s="4089"/>
      <c r="BD266" s="4089"/>
      <c r="BE266" s="4089"/>
      <c r="BF266" s="4089" t="s">
        <v>89</v>
      </c>
      <c r="BG266" s="4089"/>
      <c r="BH266" s="4089">
        <f t="shared" si="94"/>
        <v>1084</v>
      </c>
      <c r="BI266" s="4089">
        <f t="shared" si="95"/>
        <v>1084</v>
      </c>
      <c r="BJ266" s="4089">
        <f t="shared" si="96"/>
        <v>1084</v>
      </c>
      <c r="BK266" s="4403">
        <f t="shared" si="97"/>
        <v>1084</v>
      </c>
      <c r="BL266" s="4385">
        <f t="shared" si="98"/>
        <v>1084</v>
      </c>
      <c r="BM266" s="4403">
        <f t="shared" si="99"/>
        <v>867.2</v>
      </c>
      <c r="BN266" s="4089">
        <f t="shared" si="100"/>
        <v>216.8</v>
      </c>
      <c r="BO266" s="877"/>
      <c r="BP266" s="877"/>
      <c r="BQ266" s="877"/>
      <c r="BR266" s="877"/>
      <c r="BS266" s="877"/>
      <c r="BT266" s="991"/>
      <c r="BU266" s="992"/>
      <c r="BV266" s="4385">
        <f t="shared" si="110"/>
        <v>6504</v>
      </c>
      <c r="BW266" s="4386">
        <f t="shared" si="115"/>
        <v>0</v>
      </c>
      <c r="BX266" s="4387"/>
      <c r="BY266" s="4387"/>
      <c r="BZ266" s="4387"/>
      <c r="CA266" s="4391"/>
      <c r="CC266" s="4392"/>
      <c r="CD266" s="4391"/>
    </row>
    <row r="267" s="4025" customFormat="1" ht="50" customHeight="1" spans="1:82">
      <c r="A267" s="3688">
        <v>45741</v>
      </c>
      <c r="B267" s="3689" t="s">
        <v>3427</v>
      </c>
      <c r="C267" s="3664" t="s">
        <v>3428</v>
      </c>
      <c r="D267" s="3690">
        <v>4500161312</v>
      </c>
      <c r="E267" s="3664">
        <v>5907181238</v>
      </c>
      <c r="F267" s="3690" t="s">
        <v>3616</v>
      </c>
      <c r="G267" s="3664" t="s">
        <v>2577</v>
      </c>
      <c r="H267" s="3691" t="s">
        <v>2591</v>
      </c>
      <c r="I267" s="3691">
        <v>528</v>
      </c>
      <c r="J267" s="3691">
        <v>0</v>
      </c>
      <c r="K267" s="3691">
        <v>12</v>
      </c>
      <c r="L267" s="3691">
        <f t="shared" si="108"/>
        <v>44</v>
      </c>
      <c r="M267" s="3659">
        <v>45799</v>
      </c>
      <c r="N267" s="3659">
        <v>45796</v>
      </c>
      <c r="O267" s="4085"/>
      <c r="P267" s="3682" t="s">
        <v>82</v>
      </c>
      <c r="Q267" s="3682"/>
      <c r="R267" s="4083"/>
      <c r="S267" s="4083"/>
      <c r="T267" s="4083"/>
      <c r="U267" s="3645" t="s">
        <v>281</v>
      </c>
      <c r="V267" s="3657" t="s">
        <v>3617</v>
      </c>
      <c r="W267" s="3657"/>
      <c r="X267" s="3657" t="s">
        <v>3618</v>
      </c>
      <c r="Y267" s="3657"/>
      <c r="Z267" s="3661"/>
      <c r="AA267" s="3620" t="s">
        <v>3619</v>
      </c>
      <c r="AB267" s="3691" t="s">
        <v>1257</v>
      </c>
      <c r="AC267" s="4087">
        <v>2.1438</v>
      </c>
      <c r="AD267" s="3691">
        <f t="shared" si="109"/>
        <v>1131.9264</v>
      </c>
      <c r="AE267" s="3645"/>
      <c r="AF267" s="3664" t="s">
        <v>2604</v>
      </c>
      <c r="AG267" s="3645" t="s">
        <v>416</v>
      </c>
      <c r="AH267" s="984"/>
      <c r="AI267" s="3691"/>
      <c r="AJ267" s="3691"/>
      <c r="AK267" s="984"/>
      <c r="AL267" s="3664">
        <f>I267</f>
        <v>528</v>
      </c>
      <c r="AM267" s="3664"/>
      <c r="AN267" s="3691"/>
      <c r="AO267" s="4089">
        <f t="shared" si="111"/>
        <v>528</v>
      </c>
      <c r="AP267" s="4089"/>
      <c r="AQ267" s="4089"/>
      <c r="AR267" s="877"/>
      <c r="AS267" s="4089">
        <f t="shared" si="116"/>
        <v>528</v>
      </c>
      <c r="AT267" s="877"/>
      <c r="AU267" s="4089"/>
      <c r="AV267" s="4089">
        <f t="shared" si="117"/>
        <v>88</v>
      </c>
      <c r="AW267" s="4089"/>
      <c r="AX267" s="4089"/>
      <c r="AY267" s="4089"/>
      <c r="AZ267" s="4089"/>
      <c r="BA267" s="4089"/>
      <c r="BB267" s="4089"/>
      <c r="BC267" s="4089"/>
      <c r="BD267" s="4089"/>
      <c r="BE267" s="4089"/>
      <c r="BF267" s="4089" t="s">
        <v>89</v>
      </c>
      <c r="BG267" s="4089"/>
      <c r="BH267" s="4089">
        <f t="shared" si="94"/>
        <v>88</v>
      </c>
      <c r="BI267" s="4385">
        <f t="shared" si="95"/>
        <v>88</v>
      </c>
      <c r="BJ267" s="4403">
        <f t="shared" si="96"/>
        <v>88</v>
      </c>
      <c r="BK267" s="4089">
        <f t="shared" si="97"/>
        <v>88</v>
      </c>
      <c r="BL267" s="4385">
        <f t="shared" si="98"/>
        <v>88</v>
      </c>
      <c r="BM267" s="4089">
        <f t="shared" si="99"/>
        <v>70.4</v>
      </c>
      <c r="BN267" s="4089">
        <f t="shared" si="100"/>
        <v>17.6</v>
      </c>
      <c r="BO267" s="877"/>
      <c r="BP267" s="877"/>
      <c r="BQ267" s="877"/>
      <c r="BR267" s="877"/>
      <c r="BS267" s="877"/>
      <c r="BT267" s="991"/>
      <c r="BU267" s="992"/>
      <c r="BV267" s="4385">
        <f t="shared" si="110"/>
        <v>528</v>
      </c>
      <c r="BW267" s="4386">
        <f t="shared" si="115"/>
        <v>0</v>
      </c>
      <c r="BX267" s="4387"/>
      <c r="BY267" s="4387"/>
      <c r="BZ267" s="4387"/>
      <c r="CA267" s="4391"/>
      <c r="CC267" s="4392"/>
      <c r="CD267" s="4391"/>
    </row>
    <row r="268" s="4025" customFormat="1" ht="50" customHeight="1" spans="1:82">
      <c r="A268" s="3688">
        <v>45765</v>
      </c>
      <c r="B268" s="959" t="s">
        <v>672</v>
      </c>
      <c r="C268" s="959" t="s">
        <v>673</v>
      </c>
      <c r="D268" s="3690">
        <v>4500164177</v>
      </c>
      <c r="E268" s="3664">
        <v>5000001847</v>
      </c>
      <c r="F268" s="3690" t="s">
        <v>3620</v>
      </c>
      <c r="G268" s="3664" t="s">
        <v>2590</v>
      </c>
      <c r="H268" s="3664" t="s">
        <v>2591</v>
      </c>
      <c r="I268" s="3691">
        <v>1200</v>
      </c>
      <c r="J268" s="3691">
        <v>0</v>
      </c>
      <c r="K268" s="3691">
        <v>6</v>
      </c>
      <c r="L268" s="3691">
        <f t="shared" si="108"/>
        <v>200</v>
      </c>
      <c r="M268" s="3659">
        <v>45799</v>
      </c>
      <c r="N268" s="3659">
        <v>45796</v>
      </c>
      <c r="O268" s="4085"/>
      <c r="P268" s="3682" t="s">
        <v>82</v>
      </c>
      <c r="Q268" s="3682"/>
      <c r="R268" s="4083"/>
      <c r="S268" s="4083"/>
      <c r="T268" s="4083"/>
      <c r="U268" s="3645" t="s">
        <v>3621</v>
      </c>
      <c r="V268" s="3649" t="s">
        <v>3622</v>
      </c>
      <c r="W268" s="3649"/>
      <c r="X268" s="3649" t="s">
        <v>1182</v>
      </c>
      <c r="Y268" s="3657" t="s">
        <v>3623</v>
      </c>
      <c r="Z268" s="3661"/>
      <c r="AA268" s="3620" t="s">
        <v>3624</v>
      </c>
      <c r="AB268" s="3691" t="s">
        <v>993</v>
      </c>
      <c r="AC268" s="3691">
        <v>2.1007</v>
      </c>
      <c r="AD268" s="3691">
        <f t="shared" si="109"/>
        <v>2520.84</v>
      </c>
      <c r="AE268" s="3645"/>
      <c r="AF268" s="3664" t="s">
        <v>2663</v>
      </c>
      <c r="AG268" s="3645" t="s">
        <v>416</v>
      </c>
      <c r="AH268" s="984"/>
      <c r="AI268" s="4393">
        <f>I268</f>
        <v>1200</v>
      </c>
      <c r="AJ268" s="4393"/>
      <c r="AK268" s="984"/>
      <c r="AL268" s="3664"/>
      <c r="AM268" s="3664"/>
      <c r="AN268" s="3691"/>
      <c r="AO268" s="3691"/>
      <c r="AP268" s="3691"/>
      <c r="AQ268" s="4089">
        <f>I268</f>
        <v>1200</v>
      </c>
      <c r="AR268" s="877"/>
      <c r="AS268" s="4089">
        <f t="shared" si="116"/>
        <v>1200</v>
      </c>
      <c r="AT268" s="877"/>
      <c r="AU268" s="4089"/>
      <c r="AV268" s="4089">
        <f t="shared" si="117"/>
        <v>200</v>
      </c>
      <c r="AW268" s="4089"/>
      <c r="AX268" s="4089"/>
      <c r="AY268" s="4089"/>
      <c r="AZ268" s="4089"/>
      <c r="BA268" s="4089"/>
      <c r="BB268" s="4089"/>
      <c r="BC268" s="4089"/>
      <c r="BD268" s="4089"/>
      <c r="BE268" s="4089"/>
      <c r="BF268" s="4089" t="s">
        <v>682</v>
      </c>
      <c r="BG268" s="4089"/>
      <c r="BH268" s="4089">
        <f t="shared" si="94"/>
        <v>200</v>
      </c>
      <c r="BI268" s="4089">
        <f t="shared" si="95"/>
        <v>200</v>
      </c>
      <c r="BJ268" s="4089">
        <f t="shared" si="96"/>
        <v>200</v>
      </c>
      <c r="BK268" s="4403">
        <f t="shared" si="97"/>
        <v>200</v>
      </c>
      <c r="BL268" s="4385">
        <f t="shared" si="98"/>
        <v>200</v>
      </c>
      <c r="BM268" s="4403">
        <f t="shared" si="99"/>
        <v>160</v>
      </c>
      <c r="BN268" s="4089">
        <f t="shared" si="100"/>
        <v>40</v>
      </c>
      <c r="BO268" s="877"/>
      <c r="BP268" s="877"/>
      <c r="BQ268" s="877"/>
      <c r="BR268" s="877"/>
      <c r="BS268" s="877"/>
      <c r="BT268" s="991"/>
      <c r="BU268" s="992"/>
      <c r="BV268" s="4385">
        <f t="shared" si="110"/>
        <v>1200</v>
      </c>
      <c r="BW268" s="4386">
        <f t="shared" si="115"/>
        <v>0</v>
      </c>
      <c r="BX268" s="4387"/>
      <c r="BY268" s="4387"/>
      <c r="BZ268" s="4387"/>
      <c r="CA268" s="4391"/>
      <c r="CC268" s="4392"/>
      <c r="CD268" s="4391"/>
    </row>
    <row r="269" s="4025" customFormat="1" ht="50" customHeight="1" spans="1:82">
      <c r="A269" s="3688">
        <v>45765</v>
      </c>
      <c r="B269" s="959" t="s">
        <v>672</v>
      </c>
      <c r="C269" s="959" t="s">
        <v>673</v>
      </c>
      <c r="D269" s="3690">
        <v>4500164177</v>
      </c>
      <c r="E269" s="3664">
        <v>5000001847</v>
      </c>
      <c r="F269" s="3690" t="s">
        <v>3625</v>
      </c>
      <c r="G269" s="3664" t="s">
        <v>2590</v>
      </c>
      <c r="H269" s="3664" t="s">
        <v>2591</v>
      </c>
      <c r="I269" s="3691">
        <v>600</v>
      </c>
      <c r="J269" s="3691">
        <v>0</v>
      </c>
      <c r="K269" s="3691">
        <v>6</v>
      </c>
      <c r="L269" s="3691">
        <f t="shared" si="108"/>
        <v>100</v>
      </c>
      <c r="M269" s="3659">
        <v>45799</v>
      </c>
      <c r="N269" s="3659">
        <v>45796</v>
      </c>
      <c r="O269" s="4085"/>
      <c r="P269" s="3682" t="s">
        <v>82</v>
      </c>
      <c r="Q269" s="3682"/>
      <c r="R269" s="4083"/>
      <c r="S269" s="4083"/>
      <c r="T269" s="4083"/>
      <c r="U269" s="3645" t="s">
        <v>3621</v>
      </c>
      <c r="V269" s="3649" t="s">
        <v>3622</v>
      </c>
      <c r="W269" s="3657"/>
      <c r="X269" s="3657" t="s">
        <v>1182</v>
      </c>
      <c r="Y269" s="3657" t="s">
        <v>3623</v>
      </c>
      <c r="Z269" s="3661"/>
      <c r="AA269" s="3620" t="s">
        <v>3624</v>
      </c>
      <c r="AB269" s="3691" t="s">
        <v>993</v>
      </c>
      <c r="AC269" s="3691">
        <v>2.1007</v>
      </c>
      <c r="AD269" s="3691">
        <f t="shared" si="109"/>
        <v>1260.42</v>
      </c>
      <c r="AE269" s="3645"/>
      <c r="AF269" s="3664" t="s">
        <v>2663</v>
      </c>
      <c r="AG269" s="3645" t="s">
        <v>416</v>
      </c>
      <c r="AH269" s="984"/>
      <c r="AI269" s="4393">
        <f>I269</f>
        <v>600</v>
      </c>
      <c r="AJ269" s="4393"/>
      <c r="AK269" s="984"/>
      <c r="AL269" s="3664"/>
      <c r="AM269" s="3664"/>
      <c r="AN269" s="3691"/>
      <c r="AO269" s="3691"/>
      <c r="AP269" s="3691"/>
      <c r="AQ269" s="4089">
        <f>I269</f>
        <v>600</v>
      </c>
      <c r="AR269" s="877"/>
      <c r="AS269" s="4089">
        <f t="shared" si="116"/>
        <v>600</v>
      </c>
      <c r="AT269" s="877"/>
      <c r="AU269" s="4089"/>
      <c r="AV269" s="4089">
        <f t="shared" si="117"/>
        <v>100</v>
      </c>
      <c r="AW269" s="4089"/>
      <c r="AX269" s="4089"/>
      <c r="AY269" s="4089"/>
      <c r="AZ269" s="4089"/>
      <c r="BA269" s="4089"/>
      <c r="BB269" s="4089"/>
      <c r="BC269" s="4089"/>
      <c r="BD269" s="4089"/>
      <c r="BE269" s="4089"/>
      <c r="BF269" s="4089" t="s">
        <v>682</v>
      </c>
      <c r="BG269" s="4089"/>
      <c r="BH269" s="4089">
        <f t="shared" si="94"/>
        <v>100</v>
      </c>
      <c r="BI269" s="4089">
        <f t="shared" si="95"/>
        <v>100</v>
      </c>
      <c r="BJ269" s="4089">
        <f t="shared" si="96"/>
        <v>100</v>
      </c>
      <c r="BK269" s="4403">
        <f t="shared" si="97"/>
        <v>100</v>
      </c>
      <c r="BL269" s="4385">
        <f t="shared" si="98"/>
        <v>100</v>
      </c>
      <c r="BM269" s="4403">
        <f t="shared" si="99"/>
        <v>80</v>
      </c>
      <c r="BN269" s="4089">
        <f t="shared" si="100"/>
        <v>20</v>
      </c>
      <c r="BO269" s="877"/>
      <c r="BP269" s="877"/>
      <c r="BQ269" s="877"/>
      <c r="BR269" s="877"/>
      <c r="BS269" s="877"/>
      <c r="BT269" s="991"/>
      <c r="BU269" s="992"/>
      <c r="BV269" s="4385">
        <f t="shared" si="110"/>
        <v>600</v>
      </c>
      <c r="BW269" s="4386">
        <f t="shared" si="115"/>
        <v>0</v>
      </c>
      <c r="BX269" s="4387"/>
      <c r="BY269" s="4387"/>
      <c r="BZ269" s="4387"/>
      <c r="CA269" s="4391"/>
      <c r="CC269" s="4392"/>
      <c r="CD269" s="4391"/>
    </row>
    <row r="270" s="4025" customFormat="1" ht="50" customHeight="1" spans="1:82">
      <c r="A270" s="3688">
        <v>45765</v>
      </c>
      <c r="B270" s="959" t="s">
        <v>672</v>
      </c>
      <c r="C270" s="959" t="s">
        <v>673</v>
      </c>
      <c r="D270" s="3690">
        <v>4500164177</v>
      </c>
      <c r="E270" s="3664">
        <v>5000001847</v>
      </c>
      <c r="F270" s="3690" t="s">
        <v>3626</v>
      </c>
      <c r="G270" s="3664" t="s">
        <v>2590</v>
      </c>
      <c r="H270" s="3664" t="s">
        <v>2591</v>
      </c>
      <c r="I270" s="3691">
        <v>1902</v>
      </c>
      <c r="J270" s="3691">
        <v>0</v>
      </c>
      <c r="K270" s="3691">
        <v>6</v>
      </c>
      <c r="L270" s="3691">
        <f t="shared" si="108"/>
        <v>317</v>
      </c>
      <c r="M270" s="3659">
        <v>45799</v>
      </c>
      <c r="N270" s="3659">
        <v>45796</v>
      </c>
      <c r="O270" s="4085"/>
      <c r="P270" s="3682" t="s">
        <v>82</v>
      </c>
      <c r="Q270" s="3682"/>
      <c r="R270" s="4083"/>
      <c r="S270" s="4083"/>
      <c r="T270" s="4083"/>
      <c r="U270" s="3645" t="s">
        <v>3621</v>
      </c>
      <c r="V270" s="3649" t="s">
        <v>3622</v>
      </c>
      <c r="W270" s="3649"/>
      <c r="X270" s="3657" t="s">
        <v>1182</v>
      </c>
      <c r="Y270" s="3657" t="s">
        <v>3623</v>
      </c>
      <c r="Z270" s="3661"/>
      <c r="AA270" s="3620" t="s">
        <v>3624</v>
      </c>
      <c r="AB270" s="3691" t="s">
        <v>993</v>
      </c>
      <c r="AC270" s="3691">
        <v>2.0973</v>
      </c>
      <c r="AD270" s="3691">
        <f t="shared" si="109"/>
        <v>3989.0646</v>
      </c>
      <c r="AE270" s="3645"/>
      <c r="AF270" s="3664" t="s">
        <v>2663</v>
      </c>
      <c r="AG270" s="3645" t="s">
        <v>416</v>
      </c>
      <c r="AH270" s="984"/>
      <c r="AI270" s="4393">
        <f>I270</f>
        <v>1902</v>
      </c>
      <c r="AJ270" s="4393"/>
      <c r="AK270" s="984"/>
      <c r="AL270" s="3664"/>
      <c r="AM270" s="3664"/>
      <c r="AN270" s="3691"/>
      <c r="AO270" s="3691"/>
      <c r="AP270" s="3691"/>
      <c r="AQ270" s="4089">
        <f>I270</f>
        <v>1902</v>
      </c>
      <c r="AR270" s="877"/>
      <c r="AS270" s="4089">
        <f t="shared" si="116"/>
        <v>1902</v>
      </c>
      <c r="AT270" s="877"/>
      <c r="AU270" s="4089"/>
      <c r="AV270" s="4089">
        <f t="shared" si="117"/>
        <v>317</v>
      </c>
      <c r="AW270" s="4089"/>
      <c r="AX270" s="4089"/>
      <c r="AY270" s="4089"/>
      <c r="AZ270" s="4089"/>
      <c r="BA270" s="4089"/>
      <c r="BB270" s="4089"/>
      <c r="BC270" s="4089"/>
      <c r="BD270" s="4089"/>
      <c r="BE270" s="4089"/>
      <c r="BF270" s="4089" t="s">
        <v>682</v>
      </c>
      <c r="BG270" s="4089"/>
      <c r="BH270" s="4089">
        <f t="shared" si="94"/>
        <v>317</v>
      </c>
      <c r="BI270" s="4089">
        <f t="shared" si="95"/>
        <v>317</v>
      </c>
      <c r="BJ270" s="4089">
        <f t="shared" si="96"/>
        <v>317</v>
      </c>
      <c r="BK270" s="4403">
        <f t="shared" si="97"/>
        <v>317</v>
      </c>
      <c r="BL270" s="4385">
        <f t="shared" si="98"/>
        <v>317</v>
      </c>
      <c r="BM270" s="4403">
        <f t="shared" si="99"/>
        <v>253.6</v>
      </c>
      <c r="BN270" s="4089">
        <f t="shared" si="100"/>
        <v>63.4</v>
      </c>
      <c r="BO270" s="877"/>
      <c r="BP270" s="877"/>
      <c r="BQ270" s="877"/>
      <c r="BR270" s="877"/>
      <c r="BS270" s="877"/>
      <c r="BT270" s="991"/>
      <c r="BU270" s="992"/>
      <c r="BV270" s="4385">
        <f t="shared" si="110"/>
        <v>1902</v>
      </c>
      <c r="BW270" s="4386">
        <f t="shared" si="115"/>
        <v>0</v>
      </c>
      <c r="BX270" s="4387"/>
      <c r="BY270" s="4387"/>
      <c r="BZ270" s="4387"/>
      <c r="CA270" s="4391"/>
      <c r="CC270" s="4392"/>
      <c r="CD270" s="4391"/>
    </row>
    <row r="271" s="4025" customFormat="1" ht="50" customHeight="1" spans="1:82">
      <c r="A271" s="3688">
        <v>45757</v>
      </c>
      <c r="B271" s="3689" t="s">
        <v>2755</v>
      </c>
      <c r="C271" s="3664" t="s">
        <v>2756</v>
      </c>
      <c r="D271" s="3690">
        <v>4500163149</v>
      </c>
      <c r="E271" s="3664" t="s">
        <v>3627</v>
      </c>
      <c r="F271" s="3690" t="s">
        <v>3628</v>
      </c>
      <c r="G271" s="3664" t="s">
        <v>2577</v>
      </c>
      <c r="H271" s="3691" t="s">
        <v>2591</v>
      </c>
      <c r="I271" s="3691">
        <v>600</v>
      </c>
      <c r="J271" s="3691">
        <v>0</v>
      </c>
      <c r="K271" s="3691">
        <v>12</v>
      </c>
      <c r="L271" s="3691">
        <f t="shared" si="108"/>
        <v>50</v>
      </c>
      <c r="M271" s="3659">
        <v>45799</v>
      </c>
      <c r="N271" s="3659">
        <v>45796</v>
      </c>
      <c r="O271" s="4085"/>
      <c r="P271" s="3682" t="s">
        <v>82</v>
      </c>
      <c r="Q271" s="3682"/>
      <c r="R271" s="4083"/>
      <c r="S271" s="4083"/>
      <c r="T271" s="4083"/>
      <c r="U271" s="3645"/>
      <c r="V271" s="3649" t="s">
        <v>1267</v>
      </c>
      <c r="W271" s="3649"/>
      <c r="X271" s="3657" t="s">
        <v>3629</v>
      </c>
      <c r="Y271" s="3657"/>
      <c r="Z271" s="3661"/>
      <c r="AA271" s="3620" t="s">
        <v>3630</v>
      </c>
      <c r="AB271" s="3691" t="s">
        <v>578</v>
      </c>
      <c r="AC271" s="4087">
        <v>2.0933</v>
      </c>
      <c r="AD271" s="3691">
        <f t="shared" si="109"/>
        <v>1255.98</v>
      </c>
      <c r="AE271" s="3645"/>
      <c r="AF271" s="3664" t="s">
        <v>2604</v>
      </c>
      <c r="AG271" s="3645" t="s">
        <v>416</v>
      </c>
      <c r="AH271" s="984"/>
      <c r="AI271" s="3691"/>
      <c r="AJ271" s="3691"/>
      <c r="AK271" s="984"/>
      <c r="AL271" s="3664">
        <f>I271</f>
        <v>600</v>
      </c>
      <c r="AM271" s="3664"/>
      <c r="AN271" s="3691"/>
      <c r="AO271" s="4089">
        <f t="shared" ref="AO271:AO303" si="118">I271</f>
        <v>600</v>
      </c>
      <c r="AP271" s="4089"/>
      <c r="AQ271" s="4089"/>
      <c r="AR271" s="877"/>
      <c r="AS271" s="4089">
        <f t="shared" si="116"/>
        <v>600</v>
      </c>
      <c r="AT271" s="877"/>
      <c r="AU271" s="4089"/>
      <c r="AV271" s="4089">
        <f t="shared" si="117"/>
        <v>100</v>
      </c>
      <c r="AW271" s="4089"/>
      <c r="AX271" s="4089"/>
      <c r="AY271" s="4089"/>
      <c r="AZ271" s="4089"/>
      <c r="BA271" s="4089"/>
      <c r="BB271" s="4089"/>
      <c r="BC271" s="4089"/>
      <c r="BD271" s="4089"/>
      <c r="BE271" s="4089"/>
      <c r="BF271" s="4089" t="s">
        <v>89</v>
      </c>
      <c r="BG271" s="4089"/>
      <c r="BH271" s="4089">
        <f t="shared" si="94"/>
        <v>100</v>
      </c>
      <c r="BI271" s="4385">
        <f t="shared" si="95"/>
        <v>100</v>
      </c>
      <c r="BJ271" s="4403">
        <f t="shared" si="96"/>
        <v>100</v>
      </c>
      <c r="BK271" s="4089">
        <f t="shared" si="97"/>
        <v>100</v>
      </c>
      <c r="BL271" s="4385">
        <f t="shared" si="98"/>
        <v>100</v>
      </c>
      <c r="BM271" s="4089">
        <f t="shared" si="99"/>
        <v>80</v>
      </c>
      <c r="BN271" s="4089">
        <f t="shared" si="100"/>
        <v>20</v>
      </c>
      <c r="BO271" s="877"/>
      <c r="BP271" s="877"/>
      <c r="BQ271" s="877"/>
      <c r="BR271" s="877"/>
      <c r="BS271" s="877"/>
      <c r="BT271" s="991"/>
      <c r="BU271" s="992"/>
      <c r="BV271" s="4385">
        <f t="shared" si="110"/>
        <v>600</v>
      </c>
      <c r="BW271" s="4386">
        <f t="shared" si="115"/>
        <v>0</v>
      </c>
      <c r="BX271" s="4387"/>
      <c r="BY271" s="4387"/>
      <c r="BZ271" s="4387"/>
      <c r="CA271" s="4391"/>
      <c r="CC271" s="4392"/>
      <c r="CD271" s="4391"/>
    </row>
    <row r="272" s="4025" customFormat="1" ht="50" customHeight="1" spans="1:82">
      <c r="A272" s="4429">
        <v>45729</v>
      </c>
      <c r="B272" s="4080" t="s">
        <v>3631</v>
      </c>
      <c r="C272" s="3663" t="s">
        <v>2410</v>
      </c>
      <c r="D272" s="4077">
        <v>4500159898</v>
      </c>
      <c r="E272" s="3664"/>
      <c r="F272" s="4077" t="s">
        <v>3632</v>
      </c>
      <c r="G272" s="3664" t="s">
        <v>2627</v>
      </c>
      <c r="H272" s="3691" t="s">
        <v>2591</v>
      </c>
      <c r="I272" s="3691">
        <v>2016</v>
      </c>
      <c r="J272" s="3691">
        <v>0</v>
      </c>
      <c r="K272" s="3691">
        <v>24</v>
      </c>
      <c r="L272" s="3691">
        <f t="shared" si="108"/>
        <v>84</v>
      </c>
      <c r="M272" s="3659">
        <v>45800</v>
      </c>
      <c r="N272" s="3659">
        <v>45796</v>
      </c>
      <c r="O272" s="3682"/>
      <c r="P272" s="3682" t="s">
        <v>82</v>
      </c>
      <c r="Q272" s="3682"/>
      <c r="R272" s="4083"/>
      <c r="S272" s="4083"/>
      <c r="T272" s="4083"/>
      <c r="U272" s="3645" t="s">
        <v>3633</v>
      </c>
      <c r="V272" s="3649" t="s">
        <v>1124</v>
      </c>
      <c r="W272" s="3657"/>
      <c r="X272" s="3657" t="s">
        <v>3634</v>
      </c>
      <c r="Y272" s="3657"/>
      <c r="Z272" s="3661"/>
      <c r="AA272" s="3620" t="s">
        <v>3635</v>
      </c>
      <c r="AB272" s="3691" t="s">
        <v>1326</v>
      </c>
      <c r="AC272" s="3691">
        <v>2.0981</v>
      </c>
      <c r="AD272" s="3691">
        <f t="shared" si="109"/>
        <v>4229.7696</v>
      </c>
      <c r="AE272" s="3645"/>
      <c r="AF272" s="3664" t="s">
        <v>2627</v>
      </c>
      <c r="AG272" s="3645" t="s">
        <v>416</v>
      </c>
      <c r="AH272" s="905"/>
      <c r="AI272" s="3664">
        <f t="shared" ref="AI272:AI278" si="119">I272</f>
        <v>2016</v>
      </c>
      <c r="AJ272" s="3664"/>
      <c r="AK272" s="905"/>
      <c r="AL272" s="3664"/>
      <c r="AM272" s="3664"/>
      <c r="AN272" s="3691"/>
      <c r="AO272" s="3691">
        <f t="shared" si="118"/>
        <v>2016</v>
      </c>
      <c r="AP272" s="3691"/>
      <c r="AQ272" s="4089"/>
      <c r="AR272" s="4382"/>
      <c r="AS272" s="4089">
        <f t="shared" si="116"/>
        <v>2016</v>
      </c>
      <c r="AT272" s="4382"/>
      <c r="AU272" s="4089"/>
      <c r="AV272" s="4089"/>
      <c r="AW272" s="4089"/>
      <c r="AX272" s="4089"/>
      <c r="AY272" s="4089"/>
      <c r="AZ272" s="4089"/>
      <c r="BA272" s="4089"/>
      <c r="BB272" s="4089"/>
      <c r="BC272" s="4089"/>
      <c r="BD272" s="4089"/>
      <c r="BE272" s="4089"/>
      <c r="BF272" s="4089" t="s">
        <v>89</v>
      </c>
      <c r="BG272" s="4089"/>
      <c r="BH272" s="4089">
        <f t="shared" si="94"/>
        <v>336</v>
      </c>
      <c r="BI272" s="4089">
        <f t="shared" si="95"/>
        <v>336</v>
      </c>
      <c r="BJ272" s="4089">
        <f t="shared" si="96"/>
        <v>336</v>
      </c>
      <c r="BK272" s="4089">
        <f t="shared" si="97"/>
        <v>336</v>
      </c>
      <c r="BL272" s="4089">
        <f t="shared" si="98"/>
        <v>336</v>
      </c>
      <c r="BM272" s="4089">
        <f t="shared" si="99"/>
        <v>268.8</v>
      </c>
      <c r="BN272" s="4089">
        <f t="shared" si="100"/>
        <v>67.2</v>
      </c>
      <c r="BO272" s="4382"/>
      <c r="BP272" s="4382"/>
      <c r="BQ272" s="4382"/>
      <c r="BR272" s="4382"/>
      <c r="BS272" s="4382"/>
      <c r="BT272" s="4383"/>
      <c r="BU272" s="4384"/>
      <c r="BV272" s="4385">
        <f t="shared" si="110"/>
        <v>2016</v>
      </c>
      <c r="BW272" s="4386">
        <f t="shared" si="115"/>
        <v>0</v>
      </c>
      <c r="BX272" s="4387"/>
      <c r="BY272" s="4387"/>
      <c r="BZ272" s="4387"/>
      <c r="CA272" s="4391"/>
      <c r="CC272" s="4392"/>
      <c r="CD272" s="4391"/>
    </row>
    <row r="273" s="4025" customFormat="1" ht="50" customHeight="1" spans="1:82">
      <c r="A273" s="4429">
        <v>45727</v>
      </c>
      <c r="B273" s="4080" t="s">
        <v>2914</v>
      </c>
      <c r="C273" s="3663" t="s">
        <v>341</v>
      </c>
      <c r="D273" s="4077">
        <v>4500159575</v>
      </c>
      <c r="E273" s="3664" t="s">
        <v>3636</v>
      </c>
      <c r="F273" s="4077" t="s">
        <v>3637</v>
      </c>
      <c r="G273" s="3664" t="s">
        <v>2917</v>
      </c>
      <c r="H273" s="3691" t="s">
        <v>2591</v>
      </c>
      <c r="I273" s="3691">
        <v>1824</v>
      </c>
      <c r="J273" s="3691">
        <v>0</v>
      </c>
      <c r="K273" s="3691">
        <v>16</v>
      </c>
      <c r="L273" s="3691">
        <f t="shared" si="108"/>
        <v>114</v>
      </c>
      <c r="M273" s="3659">
        <v>45800</v>
      </c>
      <c r="N273" s="3659">
        <v>45796</v>
      </c>
      <c r="O273" s="4085"/>
      <c r="P273" s="3682" t="s">
        <v>82</v>
      </c>
      <c r="Q273" s="3682"/>
      <c r="R273" s="4083"/>
      <c r="S273" s="4083"/>
      <c r="T273" s="4083"/>
      <c r="U273" s="3645" t="s">
        <v>3638</v>
      </c>
      <c r="V273" s="3649" t="s">
        <v>3639</v>
      </c>
      <c r="W273" s="3657"/>
      <c r="X273" s="3657" t="s">
        <v>3479</v>
      </c>
      <c r="Y273" s="3657"/>
      <c r="Z273" s="3661"/>
      <c r="AA273" s="3620" t="s">
        <v>3640</v>
      </c>
      <c r="AB273" s="3691" t="s">
        <v>87</v>
      </c>
      <c r="AC273" s="3691">
        <v>2.2049</v>
      </c>
      <c r="AD273" s="4402">
        <f t="shared" si="109"/>
        <v>4021.7376</v>
      </c>
      <c r="AE273" s="3645"/>
      <c r="AF273" s="3664" t="s">
        <v>2917</v>
      </c>
      <c r="AG273" s="3645" t="s">
        <v>416</v>
      </c>
      <c r="AH273" s="875"/>
      <c r="AI273" s="3691">
        <f t="shared" si="119"/>
        <v>1824</v>
      </c>
      <c r="AJ273" s="3691"/>
      <c r="AK273" s="875"/>
      <c r="AL273" s="3664"/>
      <c r="AM273" s="3664"/>
      <c r="AN273" s="3691"/>
      <c r="AO273" s="3691">
        <f t="shared" si="118"/>
        <v>1824</v>
      </c>
      <c r="AP273" s="3691"/>
      <c r="AQ273" s="4089"/>
      <c r="AR273" s="877"/>
      <c r="AS273" s="4089">
        <f t="shared" si="116"/>
        <v>1824</v>
      </c>
      <c r="AT273" s="877"/>
      <c r="AU273" s="4089"/>
      <c r="AV273" s="4089"/>
      <c r="AW273" s="4089"/>
      <c r="AX273" s="4089"/>
      <c r="AY273" s="4089"/>
      <c r="AZ273" s="4089"/>
      <c r="BA273" s="4089">
        <f>I273/4</f>
        <v>456</v>
      </c>
      <c r="BB273" s="4089"/>
      <c r="BC273" s="4089"/>
      <c r="BD273" s="4089"/>
      <c r="BE273" s="4089"/>
      <c r="BF273" s="4089" t="s">
        <v>89</v>
      </c>
      <c r="BG273" s="4089"/>
      <c r="BH273" s="4089">
        <f t="shared" ref="BH273:BH278" si="120">I273/60*10</f>
        <v>304</v>
      </c>
      <c r="BI273" s="4089">
        <f t="shared" ref="BI273:BI278" si="121">I273/60*10</f>
        <v>304</v>
      </c>
      <c r="BJ273" s="4089">
        <f t="shared" ref="BJ273:BJ278" si="122">I273/60*10</f>
        <v>304</v>
      </c>
      <c r="BK273" s="4089">
        <f t="shared" ref="BK273:BK278" si="123">I273/60*10</f>
        <v>304</v>
      </c>
      <c r="BL273" s="4089">
        <f t="shared" ref="BL273:BL278" si="124">I273/60*10</f>
        <v>304</v>
      </c>
      <c r="BM273" s="4089">
        <f t="shared" ref="BM273:BM278" si="125">I273/60*8</f>
        <v>243.2</v>
      </c>
      <c r="BN273" s="4089">
        <f t="shared" ref="BN273:BN278" si="126">I273/60*2</f>
        <v>60.8</v>
      </c>
      <c r="BO273" s="877"/>
      <c r="BP273" s="877"/>
      <c r="BQ273" s="877"/>
      <c r="BR273" s="877"/>
      <c r="BS273" s="877"/>
      <c r="BT273" s="991"/>
      <c r="BU273" s="992"/>
      <c r="BV273" s="4385">
        <f t="shared" si="110"/>
        <v>1824</v>
      </c>
      <c r="BW273" s="4386">
        <f t="shared" si="115"/>
        <v>0</v>
      </c>
      <c r="BX273" s="4387"/>
      <c r="BY273" s="4387"/>
      <c r="BZ273" s="4387"/>
      <c r="CA273" s="4391"/>
      <c r="CC273" s="4392"/>
      <c r="CD273" s="4391"/>
    </row>
    <row r="274" s="4025" customFormat="1" ht="50" customHeight="1" spans="1:82">
      <c r="A274" s="4429">
        <v>45750</v>
      </c>
      <c r="B274" s="4080" t="s">
        <v>1192</v>
      </c>
      <c r="C274" s="3663" t="s">
        <v>1193</v>
      </c>
      <c r="D274" s="4077">
        <v>4500162547</v>
      </c>
      <c r="E274" s="3664"/>
      <c r="F274" s="4077" t="s">
        <v>3641</v>
      </c>
      <c r="G274" s="3664" t="s">
        <v>2627</v>
      </c>
      <c r="H274" s="3691" t="s">
        <v>2591</v>
      </c>
      <c r="I274" s="3691">
        <v>192</v>
      </c>
      <c r="J274" s="3691">
        <v>0</v>
      </c>
      <c r="K274" s="3691">
        <v>24</v>
      </c>
      <c r="L274" s="3691">
        <f t="shared" si="108"/>
        <v>8</v>
      </c>
      <c r="M274" s="3659">
        <v>45800</v>
      </c>
      <c r="N274" s="3659">
        <v>45796</v>
      </c>
      <c r="O274" s="4085"/>
      <c r="P274" s="3682" t="s">
        <v>82</v>
      </c>
      <c r="Q274" s="3682"/>
      <c r="R274" s="4083"/>
      <c r="S274" s="4083"/>
      <c r="T274" s="4083"/>
      <c r="U274" s="3645" t="s">
        <v>1195</v>
      </c>
      <c r="V274" s="3649" t="s">
        <v>1196</v>
      </c>
      <c r="W274" s="3657"/>
      <c r="X274" s="3657" t="s">
        <v>1197</v>
      </c>
      <c r="Y274" s="3657"/>
      <c r="Z274" s="3691"/>
      <c r="AA274" s="3620" t="s">
        <v>1198</v>
      </c>
      <c r="AB274" s="3691" t="s">
        <v>1199</v>
      </c>
      <c r="AC274" s="3691">
        <v>2.0408</v>
      </c>
      <c r="AD274" s="3691">
        <f t="shared" si="109"/>
        <v>391.8336</v>
      </c>
      <c r="AE274" s="3645"/>
      <c r="AF274" s="3664" t="s">
        <v>2627</v>
      </c>
      <c r="AG274" s="3645" t="s">
        <v>416</v>
      </c>
      <c r="AH274" s="984"/>
      <c r="AI274" s="3664">
        <f t="shared" si="119"/>
        <v>192</v>
      </c>
      <c r="AJ274" s="3664"/>
      <c r="AK274" s="984"/>
      <c r="AL274" s="3664"/>
      <c r="AM274" s="3664"/>
      <c r="AN274" s="3691"/>
      <c r="AO274" s="3691">
        <f t="shared" si="118"/>
        <v>192</v>
      </c>
      <c r="AP274" s="3691"/>
      <c r="AQ274" s="4089"/>
      <c r="AR274" s="877"/>
      <c r="AS274" s="4089">
        <f t="shared" si="116"/>
        <v>192</v>
      </c>
      <c r="AT274" s="877"/>
      <c r="AU274" s="4089"/>
      <c r="AV274" s="4089"/>
      <c r="AW274" s="4089"/>
      <c r="AX274" s="4089"/>
      <c r="AY274" s="4089"/>
      <c r="AZ274" s="4089"/>
      <c r="BA274" s="4089"/>
      <c r="BB274" s="4089"/>
      <c r="BC274" s="4089"/>
      <c r="BD274" s="4089"/>
      <c r="BE274" s="4089"/>
      <c r="BF274" s="4089" t="s">
        <v>89</v>
      </c>
      <c r="BG274" s="4089"/>
      <c r="BH274" s="4089">
        <f t="shared" si="120"/>
        <v>32</v>
      </c>
      <c r="BI274" s="4089">
        <f t="shared" si="121"/>
        <v>32</v>
      </c>
      <c r="BJ274" s="4089">
        <f t="shared" si="122"/>
        <v>32</v>
      </c>
      <c r="BK274" s="4089">
        <f t="shared" si="123"/>
        <v>32</v>
      </c>
      <c r="BL274" s="4089">
        <f t="shared" si="124"/>
        <v>32</v>
      </c>
      <c r="BM274" s="4089">
        <f t="shared" si="125"/>
        <v>25.6</v>
      </c>
      <c r="BN274" s="4089">
        <f t="shared" si="126"/>
        <v>6.4</v>
      </c>
      <c r="BO274" s="878"/>
      <c r="BP274" s="878"/>
      <c r="BQ274" s="878"/>
      <c r="BR274" s="878"/>
      <c r="BS274" s="878"/>
      <c r="BT274" s="879"/>
      <c r="BU274" s="880"/>
      <c r="BV274" s="4385">
        <f t="shared" si="110"/>
        <v>192</v>
      </c>
      <c r="BW274" s="4386">
        <f t="shared" si="115"/>
        <v>0</v>
      </c>
      <c r="BX274" s="4387"/>
      <c r="BY274" s="4387"/>
      <c r="BZ274" s="4387"/>
      <c r="CA274" s="4391"/>
      <c r="CC274" s="4392"/>
      <c r="CD274" s="4391"/>
    </row>
    <row r="275" s="4025" customFormat="1" ht="50" customHeight="1" spans="1:82">
      <c r="A275" s="3688">
        <v>45756</v>
      </c>
      <c r="B275" s="3689" t="s">
        <v>2914</v>
      </c>
      <c r="C275" s="3664" t="s">
        <v>341</v>
      </c>
      <c r="D275" s="3690">
        <v>4500161772</v>
      </c>
      <c r="E275" s="3664" t="s">
        <v>3642</v>
      </c>
      <c r="F275" s="3690" t="s">
        <v>3643</v>
      </c>
      <c r="G275" s="3664" t="s">
        <v>2917</v>
      </c>
      <c r="H275" s="3691" t="s">
        <v>2591</v>
      </c>
      <c r="I275" s="3691">
        <v>1280</v>
      </c>
      <c r="J275" s="3691">
        <v>0</v>
      </c>
      <c r="K275" s="3691">
        <v>16</v>
      </c>
      <c r="L275" s="3691">
        <f t="shared" si="108"/>
        <v>80</v>
      </c>
      <c r="M275" s="3659">
        <v>45800</v>
      </c>
      <c r="N275" s="3659">
        <v>45796</v>
      </c>
      <c r="O275" s="4085"/>
      <c r="P275" s="3682" t="s">
        <v>82</v>
      </c>
      <c r="Q275" s="3682"/>
      <c r="R275" s="4083"/>
      <c r="S275" s="4083"/>
      <c r="T275" s="4083"/>
      <c r="U275" s="3645" t="s">
        <v>3638</v>
      </c>
      <c r="V275" s="3649" t="s">
        <v>1239</v>
      </c>
      <c r="W275" s="3649"/>
      <c r="X275" s="3657" t="s">
        <v>3479</v>
      </c>
      <c r="Y275" s="3657"/>
      <c r="Z275" s="3691"/>
      <c r="AA275" s="3620" t="s">
        <v>3644</v>
      </c>
      <c r="AB275" s="3691" t="s">
        <v>87</v>
      </c>
      <c r="AC275" s="3691">
        <v>2.2049</v>
      </c>
      <c r="AD275" s="4402">
        <f t="shared" si="109"/>
        <v>2822.272</v>
      </c>
      <c r="AE275" s="3645"/>
      <c r="AF275" s="3664" t="s">
        <v>2917</v>
      </c>
      <c r="AG275" s="3645" t="s">
        <v>416</v>
      </c>
      <c r="AH275" s="984"/>
      <c r="AI275" s="3691">
        <f t="shared" si="119"/>
        <v>1280</v>
      </c>
      <c r="AJ275" s="3691"/>
      <c r="AK275" s="984"/>
      <c r="AL275" s="3664"/>
      <c r="AM275" s="3664"/>
      <c r="AN275" s="3691"/>
      <c r="AO275" s="3691">
        <f t="shared" si="118"/>
        <v>1280</v>
      </c>
      <c r="AP275" s="3691"/>
      <c r="AQ275" s="4089"/>
      <c r="AR275" s="877"/>
      <c r="AS275" s="4089">
        <f t="shared" si="116"/>
        <v>1280</v>
      </c>
      <c r="AT275" s="877"/>
      <c r="AU275" s="4089"/>
      <c r="AV275" s="4089"/>
      <c r="AW275" s="4089"/>
      <c r="AX275" s="4089"/>
      <c r="AY275" s="4089"/>
      <c r="AZ275" s="4089"/>
      <c r="BA275" s="4089">
        <f>I275/4</f>
        <v>320</v>
      </c>
      <c r="BB275" s="4089"/>
      <c r="BC275" s="4089"/>
      <c r="BD275" s="4089"/>
      <c r="BE275" s="4089"/>
      <c r="BF275" s="4089" t="s">
        <v>89</v>
      </c>
      <c r="BG275" s="4089"/>
      <c r="BH275" s="4089">
        <f t="shared" si="120"/>
        <v>213.333333333333</v>
      </c>
      <c r="BI275" s="4089">
        <f t="shared" si="121"/>
        <v>213.333333333333</v>
      </c>
      <c r="BJ275" s="4089">
        <f t="shared" si="122"/>
        <v>213.333333333333</v>
      </c>
      <c r="BK275" s="4089">
        <f t="shared" si="123"/>
        <v>213.333333333333</v>
      </c>
      <c r="BL275" s="4089">
        <f t="shared" si="124"/>
        <v>213.333333333333</v>
      </c>
      <c r="BM275" s="4089">
        <f t="shared" si="125"/>
        <v>170.666666666667</v>
      </c>
      <c r="BN275" s="4089">
        <f t="shared" si="126"/>
        <v>42.6666666666667</v>
      </c>
      <c r="BO275" s="877"/>
      <c r="BP275" s="877"/>
      <c r="BQ275" s="877"/>
      <c r="BR275" s="877"/>
      <c r="BS275" s="877"/>
      <c r="BT275" s="991"/>
      <c r="BU275" s="992"/>
      <c r="BV275" s="4385">
        <f t="shared" si="110"/>
        <v>1280</v>
      </c>
      <c r="BW275" s="4386">
        <f t="shared" si="115"/>
        <v>0</v>
      </c>
      <c r="BX275" s="4387"/>
      <c r="BY275" s="4387"/>
      <c r="BZ275" s="4387"/>
      <c r="CA275" s="4391"/>
      <c r="CC275" s="4392"/>
      <c r="CD275" s="4391"/>
    </row>
    <row r="276" s="4025" customFormat="1" ht="50" customHeight="1" spans="1:82">
      <c r="A276" s="3688">
        <v>45761</v>
      </c>
      <c r="B276" s="959" t="s">
        <v>2908</v>
      </c>
      <c r="C276" s="959" t="s">
        <v>341</v>
      </c>
      <c r="D276" s="3690">
        <v>4500163542</v>
      </c>
      <c r="E276" s="3664" t="s">
        <v>3645</v>
      </c>
      <c r="F276" s="3690" t="s">
        <v>3646</v>
      </c>
      <c r="G276" s="3664" t="s">
        <v>3343</v>
      </c>
      <c r="H276" s="3664" t="s">
        <v>3344</v>
      </c>
      <c r="I276" s="3691">
        <v>420</v>
      </c>
      <c r="J276" s="3691">
        <v>0</v>
      </c>
      <c r="K276" s="3691">
        <v>1</v>
      </c>
      <c r="L276" s="3691">
        <f t="shared" si="108"/>
        <v>420</v>
      </c>
      <c r="M276" s="3659">
        <v>45800</v>
      </c>
      <c r="N276" s="3659">
        <v>45796</v>
      </c>
      <c r="O276" s="4085"/>
      <c r="P276" s="3682" t="s">
        <v>82</v>
      </c>
      <c r="Q276" s="3682"/>
      <c r="R276" s="4083"/>
      <c r="S276" s="4083"/>
      <c r="T276" s="4083"/>
      <c r="U276" s="3645" t="s">
        <v>3638</v>
      </c>
      <c r="V276" s="3649" t="s">
        <v>3566</v>
      </c>
      <c r="W276" s="3649"/>
      <c r="X276" s="3657" t="s">
        <v>1099</v>
      </c>
      <c r="Y276" s="3657"/>
      <c r="Z276" s="3691" t="s">
        <v>3647</v>
      </c>
      <c r="AA276" s="3620" t="s">
        <v>3648</v>
      </c>
      <c r="AB276" s="3691" t="s">
        <v>3577</v>
      </c>
      <c r="AC276" s="3691">
        <v>8.499</v>
      </c>
      <c r="AD276" s="3691">
        <f t="shared" si="109"/>
        <v>3569.58</v>
      </c>
      <c r="AE276" s="3645"/>
      <c r="AF276" s="3664" t="s">
        <v>3349</v>
      </c>
      <c r="AG276" s="3645" t="s">
        <v>416</v>
      </c>
      <c r="AH276" s="984"/>
      <c r="AI276" s="3664">
        <f t="shared" si="119"/>
        <v>420</v>
      </c>
      <c r="AJ276" s="3664"/>
      <c r="AK276" s="984"/>
      <c r="AL276" s="3664"/>
      <c r="AM276" s="3664"/>
      <c r="AN276" s="3691"/>
      <c r="AO276" s="4089">
        <f t="shared" si="118"/>
        <v>420</v>
      </c>
      <c r="AP276" s="4089"/>
      <c r="AQ276" s="4089"/>
      <c r="AR276" s="877"/>
      <c r="AS276" s="4089">
        <f t="shared" si="116"/>
        <v>420</v>
      </c>
      <c r="AT276" s="877"/>
      <c r="AU276" s="4089"/>
      <c r="AV276" s="4089"/>
      <c r="AW276" s="4089"/>
      <c r="AX276" s="4089"/>
      <c r="AY276" s="4089"/>
      <c r="AZ276" s="4089"/>
      <c r="BA276" s="4089"/>
      <c r="BB276" s="4089"/>
      <c r="BC276" s="4089">
        <f>I276</f>
        <v>420</v>
      </c>
      <c r="BD276" s="4089"/>
      <c r="BE276" s="4089"/>
      <c r="BF276" s="4089" t="s">
        <v>89</v>
      </c>
      <c r="BG276" s="4089"/>
      <c r="BH276" s="4403">
        <f t="shared" si="120"/>
        <v>70</v>
      </c>
      <c r="BI276" s="4385">
        <f t="shared" si="121"/>
        <v>70</v>
      </c>
      <c r="BJ276" s="4403">
        <f t="shared" si="122"/>
        <v>70</v>
      </c>
      <c r="BK276" s="4089">
        <f t="shared" si="123"/>
        <v>70</v>
      </c>
      <c r="BL276" s="4385">
        <f t="shared" si="124"/>
        <v>70</v>
      </c>
      <c r="BM276" s="4089">
        <f t="shared" si="125"/>
        <v>56</v>
      </c>
      <c r="BN276" s="4089">
        <f t="shared" si="126"/>
        <v>14</v>
      </c>
      <c r="BO276" s="877"/>
      <c r="BP276" s="877"/>
      <c r="BQ276" s="877"/>
      <c r="BR276" s="877"/>
      <c r="BS276" s="877"/>
      <c r="BT276" s="991"/>
      <c r="BU276" s="992"/>
      <c r="BV276" s="4385">
        <f t="shared" si="110"/>
        <v>420</v>
      </c>
      <c r="BW276" s="4386">
        <f t="shared" si="115"/>
        <v>0</v>
      </c>
      <c r="BX276" s="4387"/>
      <c r="BY276" s="4387"/>
      <c r="BZ276" s="4387"/>
      <c r="CA276" s="4391"/>
      <c r="CC276" s="4392"/>
      <c r="CD276" s="4391"/>
    </row>
    <row r="277" s="4025" customFormat="1" ht="50" customHeight="1" spans="1:82">
      <c r="A277" s="4429">
        <v>45756</v>
      </c>
      <c r="B277" s="4080" t="s">
        <v>839</v>
      </c>
      <c r="C277" s="3663" t="s">
        <v>840</v>
      </c>
      <c r="D277" s="4077">
        <v>4500162969</v>
      </c>
      <c r="E277" s="3664">
        <v>20768436</v>
      </c>
      <c r="F277" s="4077" t="s">
        <v>3649</v>
      </c>
      <c r="G277" s="3664" t="s">
        <v>2577</v>
      </c>
      <c r="H277" s="3691" t="s">
        <v>2591</v>
      </c>
      <c r="I277" s="3691">
        <v>132</v>
      </c>
      <c r="J277" s="3691">
        <v>0</v>
      </c>
      <c r="K277" s="3691">
        <v>12</v>
      </c>
      <c r="L277" s="3691">
        <f t="shared" si="108"/>
        <v>11</v>
      </c>
      <c r="M277" s="3659">
        <v>45803</v>
      </c>
      <c r="N277" s="3659">
        <v>45799</v>
      </c>
      <c r="O277" s="4085"/>
      <c r="P277" s="3682" t="s">
        <v>82</v>
      </c>
      <c r="Q277" s="3682"/>
      <c r="R277" s="4083"/>
      <c r="S277" s="4083"/>
      <c r="T277" s="4083"/>
      <c r="U277" s="3645" t="s">
        <v>1215</v>
      </c>
      <c r="V277" s="3649" t="s">
        <v>1216</v>
      </c>
      <c r="W277" s="3657"/>
      <c r="X277" s="3657" t="s">
        <v>3650</v>
      </c>
      <c r="Y277" s="3657"/>
      <c r="Z277" s="3661"/>
      <c r="AA277" s="3620" t="s">
        <v>3569</v>
      </c>
      <c r="AB277" s="3691" t="s">
        <v>513</v>
      </c>
      <c r="AC277" s="4087">
        <v>2.2509</v>
      </c>
      <c r="AD277" s="3691">
        <f t="shared" si="109"/>
        <v>297.1188</v>
      </c>
      <c r="AE277" s="3645"/>
      <c r="AF277" s="3664" t="s">
        <v>2577</v>
      </c>
      <c r="AG277" s="3645" t="s">
        <v>416</v>
      </c>
      <c r="AH277" s="4422"/>
      <c r="AI277" s="3664">
        <f t="shared" si="119"/>
        <v>132</v>
      </c>
      <c r="AJ277" s="3664"/>
      <c r="AK277" s="4422"/>
      <c r="AL277" s="3664"/>
      <c r="AM277" s="3664"/>
      <c r="AN277" s="3691"/>
      <c r="AO277" s="4089">
        <f t="shared" si="118"/>
        <v>132</v>
      </c>
      <c r="AP277" s="4089"/>
      <c r="AQ277" s="4089"/>
      <c r="AR277" s="907"/>
      <c r="AS277" s="4089">
        <f t="shared" si="116"/>
        <v>132</v>
      </c>
      <c r="AT277" s="907"/>
      <c r="AU277" s="4089"/>
      <c r="AV277" s="4089">
        <f>I277/6</f>
        <v>22</v>
      </c>
      <c r="AW277" s="4089"/>
      <c r="AX277" s="4089"/>
      <c r="AY277" s="4089"/>
      <c r="AZ277" s="4089"/>
      <c r="BA277" s="4089"/>
      <c r="BB277" s="4089"/>
      <c r="BC277" s="4089"/>
      <c r="BD277" s="4089"/>
      <c r="BE277" s="4089"/>
      <c r="BF277" s="4089" t="s">
        <v>89</v>
      </c>
      <c r="BG277" s="4089"/>
      <c r="BH277" s="4089">
        <f t="shared" si="120"/>
        <v>22</v>
      </c>
      <c r="BI277" s="4385">
        <f t="shared" si="121"/>
        <v>22</v>
      </c>
      <c r="BJ277" s="4403">
        <f t="shared" si="122"/>
        <v>22</v>
      </c>
      <c r="BK277" s="4089">
        <f t="shared" si="123"/>
        <v>22</v>
      </c>
      <c r="BL277" s="4385">
        <f t="shared" si="124"/>
        <v>22</v>
      </c>
      <c r="BM277" s="4089">
        <f t="shared" si="125"/>
        <v>17.6</v>
      </c>
      <c r="BN277" s="4089">
        <f t="shared" si="126"/>
        <v>4.4</v>
      </c>
      <c r="BO277" s="907"/>
      <c r="BP277" s="907"/>
      <c r="BQ277" s="907"/>
      <c r="BR277" s="907"/>
      <c r="BS277" s="907"/>
      <c r="BT277" s="910"/>
      <c r="BU277" s="911"/>
      <c r="BV277" s="4385">
        <f t="shared" si="110"/>
        <v>132</v>
      </c>
      <c r="BW277" s="4386">
        <f t="shared" si="115"/>
        <v>0</v>
      </c>
      <c r="BX277" s="4387"/>
      <c r="BY277" s="4387"/>
      <c r="BZ277" s="4387"/>
      <c r="CA277" s="4391"/>
      <c r="CC277" s="4392"/>
      <c r="CD277" s="4391"/>
    </row>
    <row r="278" s="4025" customFormat="1" ht="50" customHeight="1" spans="1:82">
      <c r="A278" s="4429">
        <v>45756</v>
      </c>
      <c r="B278" s="4080" t="s">
        <v>505</v>
      </c>
      <c r="C278" s="3663" t="s">
        <v>506</v>
      </c>
      <c r="D278" s="4077">
        <v>4500162968</v>
      </c>
      <c r="E278" s="3664">
        <v>20768435</v>
      </c>
      <c r="F278" s="4077" t="s">
        <v>3651</v>
      </c>
      <c r="G278" s="3664" t="s">
        <v>2577</v>
      </c>
      <c r="H278" s="3691" t="s">
        <v>2591</v>
      </c>
      <c r="I278" s="3691">
        <v>1368</v>
      </c>
      <c r="J278" s="3691">
        <v>0</v>
      </c>
      <c r="K278" s="3691">
        <v>12</v>
      </c>
      <c r="L278" s="3691">
        <f t="shared" si="108"/>
        <v>114</v>
      </c>
      <c r="M278" s="3659">
        <v>45803</v>
      </c>
      <c r="N278" s="3659">
        <v>45799</v>
      </c>
      <c r="O278" s="4085"/>
      <c r="P278" s="3682" t="s">
        <v>82</v>
      </c>
      <c r="Q278" s="3682"/>
      <c r="R278" s="4083"/>
      <c r="S278" s="4083"/>
      <c r="T278" s="4083"/>
      <c r="U278" s="3645" t="s">
        <v>1215</v>
      </c>
      <c r="V278" s="3657" t="s">
        <v>1216</v>
      </c>
      <c r="W278" s="3657"/>
      <c r="X278" s="3657" t="s">
        <v>3650</v>
      </c>
      <c r="Y278" s="3657"/>
      <c r="Z278" s="3661"/>
      <c r="AA278" s="3620" t="s">
        <v>3598</v>
      </c>
      <c r="AB278" s="4084" t="s">
        <v>513</v>
      </c>
      <c r="AC278" s="4087">
        <v>2.2463</v>
      </c>
      <c r="AD278" s="3691">
        <f t="shared" si="109"/>
        <v>3072.9384</v>
      </c>
      <c r="AE278" s="3645"/>
      <c r="AF278" s="3664" t="s">
        <v>2577</v>
      </c>
      <c r="AG278" s="3645" t="s">
        <v>416</v>
      </c>
      <c r="AH278" s="4422"/>
      <c r="AI278" s="3664">
        <f t="shared" si="119"/>
        <v>1368</v>
      </c>
      <c r="AJ278" s="3664"/>
      <c r="AK278" s="4422"/>
      <c r="AL278" s="3664"/>
      <c r="AM278" s="3664"/>
      <c r="AN278" s="3691"/>
      <c r="AO278" s="4089">
        <f t="shared" si="118"/>
        <v>1368</v>
      </c>
      <c r="AP278" s="4089"/>
      <c r="AQ278" s="4089"/>
      <c r="AR278" s="907"/>
      <c r="AS278" s="4089">
        <f t="shared" si="116"/>
        <v>1368</v>
      </c>
      <c r="AT278" s="907"/>
      <c r="AU278" s="4089"/>
      <c r="AV278" s="4089">
        <f>I278/6</f>
        <v>228</v>
      </c>
      <c r="AW278" s="4089"/>
      <c r="AX278" s="4089"/>
      <c r="AY278" s="4089"/>
      <c r="AZ278" s="4089"/>
      <c r="BA278" s="4089"/>
      <c r="BB278" s="4089"/>
      <c r="BC278" s="4089"/>
      <c r="BD278" s="4089"/>
      <c r="BE278" s="4089"/>
      <c r="BF278" s="4089" t="s">
        <v>89</v>
      </c>
      <c r="BG278" s="4089"/>
      <c r="BH278" s="4089">
        <f t="shared" si="120"/>
        <v>228</v>
      </c>
      <c r="BI278" s="4385">
        <f t="shared" si="121"/>
        <v>228</v>
      </c>
      <c r="BJ278" s="4403">
        <f t="shared" si="122"/>
        <v>228</v>
      </c>
      <c r="BK278" s="4089">
        <f t="shared" si="123"/>
        <v>228</v>
      </c>
      <c r="BL278" s="4385">
        <f t="shared" si="124"/>
        <v>228</v>
      </c>
      <c r="BM278" s="4089">
        <f t="shared" si="125"/>
        <v>182.4</v>
      </c>
      <c r="BN278" s="4089">
        <f t="shared" si="126"/>
        <v>45.6</v>
      </c>
      <c r="BO278" s="907"/>
      <c r="BP278" s="907"/>
      <c r="BQ278" s="907"/>
      <c r="BR278" s="907"/>
      <c r="BS278" s="907"/>
      <c r="BT278" s="910"/>
      <c r="BU278" s="911"/>
      <c r="BV278" s="4385">
        <f t="shared" si="110"/>
        <v>1368</v>
      </c>
      <c r="BW278" s="4386">
        <f t="shared" si="115"/>
        <v>0</v>
      </c>
      <c r="BX278" s="4387"/>
      <c r="BY278" s="4387"/>
      <c r="BZ278" s="4387"/>
      <c r="CA278" s="4391"/>
      <c r="CC278" s="4392"/>
      <c r="CD278" s="4391"/>
    </row>
    <row r="279" s="4025" customFormat="1" ht="50" customHeight="1" spans="1:82">
      <c r="A279" s="4429">
        <v>45763</v>
      </c>
      <c r="B279" s="4080" t="s">
        <v>1016</v>
      </c>
      <c r="C279" s="3663" t="s">
        <v>396</v>
      </c>
      <c r="D279" s="4077">
        <v>4500163897</v>
      </c>
      <c r="E279" s="3664" t="s">
        <v>3652</v>
      </c>
      <c r="F279" s="4077" t="s">
        <v>3653</v>
      </c>
      <c r="G279" s="3664" t="s">
        <v>3021</v>
      </c>
      <c r="H279" s="3664" t="s">
        <v>2984</v>
      </c>
      <c r="I279" s="3691">
        <v>24</v>
      </c>
      <c r="J279" s="3691">
        <v>0</v>
      </c>
      <c r="K279" s="3691">
        <v>12</v>
      </c>
      <c r="L279" s="3691">
        <f t="shared" si="108"/>
        <v>2</v>
      </c>
      <c r="M279" s="3659">
        <v>45803</v>
      </c>
      <c r="N279" s="3659">
        <v>45799</v>
      </c>
      <c r="O279" s="4085"/>
      <c r="P279" s="3682" t="s">
        <v>82</v>
      </c>
      <c r="Q279" s="3682"/>
      <c r="R279" s="4083"/>
      <c r="S279" s="4083"/>
      <c r="T279" s="4083"/>
      <c r="U279" s="3645" t="s">
        <v>1223</v>
      </c>
      <c r="V279" s="3657" t="s">
        <v>1196</v>
      </c>
      <c r="W279" s="3657"/>
      <c r="X279" s="3657" t="s">
        <v>2670</v>
      </c>
      <c r="Y279" s="3657" t="s">
        <v>1224</v>
      </c>
      <c r="Z279" s="3661"/>
      <c r="AA279" s="3620" t="s">
        <v>3654</v>
      </c>
      <c r="AB279" s="4084" t="s">
        <v>1024</v>
      </c>
      <c r="AC279" s="3691">
        <v>2.0891</v>
      </c>
      <c r="AD279" s="3691">
        <f t="shared" si="109"/>
        <v>50.1384</v>
      </c>
      <c r="AE279" s="3645"/>
      <c r="AF279" s="959" t="s">
        <v>3021</v>
      </c>
      <c r="AG279" s="3645" t="s">
        <v>416</v>
      </c>
      <c r="AH279" s="984"/>
      <c r="AI279" s="3664"/>
      <c r="AJ279" s="3664"/>
      <c r="AK279" s="984"/>
      <c r="AL279" s="3664">
        <f>I279</f>
        <v>24</v>
      </c>
      <c r="AM279" s="3664"/>
      <c r="AN279" s="3691"/>
      <c r="AO279" s="3691">
        <f t="shared" si="118"/>
        <v>24</v>
      </c>
      <c r="AP279" s="3691"/>
      <c r="AQ279" s="4089"/>
      <c r="AR279" s="877"/>
      <c r="AS279" s="4089"/>
      <c r="AT279" s="877"/>
      <c r="AU279" s="4089">
        <f>I279</f>
        <v>24</v>
      </c>
      <c r="AV279" s="4089"/>
      <c r="AW279" s="4089"/>
      <c r="AX279" s="4089"/>
      <c r="AY279" s="4089"/>
      <c r="AZ279" s="4089"/>
      <c r="BA279" s="4089"/>
      <c r="BB279" s="4089"/>
      <c r="BC279" s="4089"/>
      <c r="BD279" s="4089"/>
      <c r="BE279" s="4089"/>
      <c r="BF279" s="4089" t="s">
        <v>89</v>
      </c>
      <c r="BG279" s="4089"/>
      <c r="BH279" s="4089"/>
      <c r="BI279" s="4385"/>
      <c r="BJ279" s="4403"/>
      <c r="BK279" s="4089"/>
      <c r="BL279" s="4089">
        <f>I279-BN279</f>
        <v>23.6</v>
      </c>
      <c r="BM279" s="4089"/>
      <c r="BN279" s="4089">
        <f>I279/60*1</f>
        <v>0.4</v>
      </c>
      <c r="BO279" s="877"/>
      <c r="BP279" s="877"/>
      <c r="BQ279" s="877"/>
      <c r="BR279" s="877"/>
      <c r="BS279" s="877"/>
      <c r="BT279" s="991"/>
      <c r="BU279" s="992"/>
      <c r="BV279" s="4385">
        <f t="shared" si="110"/>
        <v>24</v>
      </c>
      <c r="BW279" s="4386">
        <f t="shared" si="115"/>
        <v>0</v>
      </c>
      <c r="BX279" s="4387"/>
      <c r="BY279" s="4387"/>
      <c r="BZ279" s="4387"/>
      <c r="CA279" s="4391"/>
      <c r="CC279" s="4392"/>
      <c r="CD279" s="4391"/>
    </row>
    <row r="280" s="4025" customFormat="1" ht="50" customHeight="1" spans="1:82">
      <c r="A280" s="4429">
        <v>45763</v>
      </c>
      <c r="B280" s="4080" t="s">
        <v>1016</v>
      </c>
      <c r="C280" s="3663" t="s">
        <v>396</v>
      </c>
      <c r="D280" s="4077">
        <v>4500163897</v>
      </c>
      <c r="E280" s="3664" t="s">
        <v>3655</v>
      </c>
      <c r="F280" s="4077" t="s">
        <v>3656</v>
      </c>
      <c r="G280" s="3664" t="s">
        <v>3021</v>
      </c>
      <c r="H280" s="3664" t="s">
        <v>2984</v>
      </c>
      <c r="I280" s="3691">
        <v>24</v>
      </c>
      <c r="J280" s="3691">
        <v>0</v>
      </c>
      <c r="K280" s="3691">
        <v>12</v>
      </c>
      <c r="L280" s="3691">
        <f t="shared" si="108"/>
        <v>2</v>
      </c>
      <c r="M280" s="3659">
        <v>45803</v>
      </c>
      <c r="N280" s="3659">
        <v>45799</v>
      </c>
      <c r="O280" s="4085"/>
      <c r="P280" s="3682" t="s">
        <v>82</v>
      </c>
      <c r="Q280" s="3682"/>
      <c r="R280" s="4083"/>
      <c r="S280" s="4083"/>
      <c r="T280" s="4083"/>
      <c r="U280" s="3645" t="s">
        <v>1223</v>
      </c>
      <c r="V280" s="3649" t="s">
        <v>1196</v>
      </c>
      <c r="W280" s="3657"/>
      <c r="X280" s="3657" t="s">
        <v>2670</v>
      </c>
      <c r="Y280" s="3657" t="s">
        <v>1224</v>
      </c>
      <c r="Z280" s="3661"/>
      <c r="AA280" s="3620" t="s">
        <v>3654</v>
      </c>
      <c r="AB280" s="3691" t="s">
        <v>1024</v>
      </c>
      <c r="AC280" s="3691">
        <v>2.0891</v>
      </c>
      <c r="AD280" s="3691">
        <f t="shared" si="109"/>
        <v>50.1384</v>
      </c>
      <c r="AE280" s="3645"/>
      <c r="AF280" s="959" t="s">
        <v>3021</v>
      </c>
      <c r="AG280" s="3645" t="s">
        <v>416</v>
      </c>
      <c r="AH280" s="984"/>
      <c r="AI280" s="3664"/>
      <c r="AJ280" s="3664"/>
      <c r="AK280" s="984"/>
      <c r="AL280" s="3664">
        <f>I280</f>
        <v>24</v>
      </c>
      <c r="AM280" s="3664"/>
      <c r="AN280" s="3691"/>
      <c r="AO280" s="3691">
        <f t="shared" si="118"/>
        <v>24</v>
      </c>
      <c r="AP280" s="3691"/>
      <c r="AQ280" s="4089"/>
      <c r="AR280" s="877"/>
      <c r="AS280" s="4089"/>
      <c r="AT280" s="877"/>
      <c r="AU280" s="4089">
        <f>I280</f>
        <v>24</v>
      </c>
      <c r="AV280" s="4089"/>
      <c r="AW280" s="4089"/>
      <c r="AX280" s="4089"/>
      <c r="AY280" s="4089"/>
      <c r="AZ280" s="4089"/>
      <c r="BA280" s="4089"/>
      <c r="BB280" s="4089"/>
      <c r="BC280" s="4089"/>
      <c r="BD280" s="4089"/>
      <c r="BE280" s="4089"/>
      <c r="BF280" s="4089" t="s">
        <v>89</v>
      </c>
      <c r="BG280" s="4089"/>
      <c r="BH280" s="4089"/>
      <c r="BI280" s="4385"/>
      <c r="BJ280" s="4403"/>
      <c r="BK280" s="4089"/>
      <c r="BL280" s="4089">
        <f>I280-BN280</f>
        <v>23.6</v>
      </c>
      <c r="BM280" s="4089"/>
      <c r="BN280" s="4089">
        <f>I280/60*1</f>
        <v>0.4</v>
      </c>
      <c r="BO280" s="877"/>
      <c r="BP280" s="877"/>
      <c r="BQ280" s="877"/>
      <c r="BR280" s="877"/>
      <c r="BS280" s="877"/>
      <c r="BT280" s="991"/>
      <c r="BU280" s="992"/>
      <c r="BV280" s="4385">
        <f t="shared" si="110"/>
        <v>24</v>
      </c>
      <c r="BW280" s="4386">
        <f t="shared" si="115"/>
        <v>0</v>
      </c>
      <c r="BX280" s="4387"/>
      <c r="BY280" s="4387"/>
      <c r="BZ280" s="4387"/>
      <c r="CA280" s="4391"/>
      <c r="CC280" s="4392"/>
      <c r="CD280" s="4391"/>
    </row>
    <row r="281" s="4025" customFormat="1" ht="50" customHeight="1" spans="1:82">
      <c r="A281" s="4428">
        <v>45763</v>
      </c>
      <c r="B281" s="959" t="s">
        <v>3657</v>
      </c>
      <c r="C281" s="959" t="s">
        <v>341</v>
      </c>
      <c r="D281" s="3618">
        <v>4500163957</v>
      </c>
      <c r="E281" s="959" t="s">
        <v>3658</v>
      </c>
      <c r="F281" s="959" t="s">
        <v>3659</v>
      </c>
      <c r="G281" s="3664" t="s">
        <v>3356</v>
      </c>
      <c r="H281" s="3664" t="s">
        <v>3353</v>
      </c>
      <c r="I281" s="3618">
        <v>8316</v>
      </c>
      <c r="J281" s="3618">
        <v>0</v>
      </c>
      <c r="K281" s="3618">
        <v>12</v>
      </c>
      <c r="L281" s="3618">
        <f t="shared" si="108"/>
        <v>693</v>
      </c>
      <c r="M281" s="3659">
        <v>45803</v>
      </c>
      <c r="N281" s="3659">
        <v>45813</v>
      </c>
      <c r="O281" s="3645" t="s">
        <v>3660</v>
      </c>
      <c r="P281" s="3682" t="s">
        <v>82</v>
      </c>
      <c r="Q281" s="3682"/>
      <c r="R281" s="4083"/>
      <c r="S281" s="4083"/>
      <c r="T281" s="4083"/>
      <c r="U281" s="3645" t="s">
        <v>3660</v>
      </c>
      <c r="V281" s="3649" t="s">
        <v>1196</v>
      </c>
      <c r="W281" s="3657"/>
      <c r="X281" s="3657" t="s">
        <v>3661</v>
      </c>
      <c r="Y281" s="3657"/>
      <c r="Z281" s="3661" t="s">
        <v>3662</v>
      </c>
      <c r="AA281" s="3620" t="s">
        <v>3663</v>
      </c>
      <c r="AB281" s="3618" t="s">
        <v>380</v>
      </c>
      <c r="AC281" s="3618">
        <v>4.4796</v>
      </c>
      <c r="AD281" s="3618">
        <f t="shared" si="109"/>
        <v>37252.3536</v>
      </c>
      <c r="AE281" s="3645"/>
      <c r="AF281" s="3664" t="s">
        <v>3664</v>
      </c>
      <c r="AG281" s="3645" t="s">
        <v>416</v>
      </c>
      <c r="AH281" s="4430"/>
      <c r="AI281" s="3664"/>
      <c r="AJ281" s="3664"/>
      <c r="AK281" s="4430"/>
      <c r="AL281" s="3664"/>
      <c r="AM281" s="3664"/>
      <c r="AN281" s="3691">
        <f>I281</f>
        <v>8316</v>
      </c>
      <c r="AO281" s="3691">
        <f t="shared" si="118"/>
        <v>8316</v>
      </c>
      <c r="AP281" s="3691"/>
      <c r="AQ281" s="4089"/>
      <c r="AR281" s="4413"/>
      <c r="AS281" s="4089">
        <f t="shared" ref="AS281:AS291" si="127">I281</f>
        <v>8316</v>
      </c>
      <c r="AT281" s="4413"/>
      <c r="AU281" s="4089"/>
      <c r="AV281" s="4089"/>
      <c r="AW281" s="4089"/>
      <c r="AX281" s="4089"/>
      <c r="AY281" s="4089"/>
      <c r="AZ281" s="4089"/>
      <c r="BA281" s="4089"/>
      <c r="BB281" s="4089"/>
      <c r="BC281" s="4089">
        <f>I281</f>
        <v>8316</v>
      </c>
      <c r="BD281" s="4089"/>
      <c r="BE281" s="4089"/>
      <c r="BF281" s="4089" t="s">
        <v>89</v>
      </c>
      <c r="BG281" s="4089"/>
      <c r="BH281" s="4089">
        <f t="shared" ref="BH281:BH344" si="128">I281/60*10</f>
        <v>1386</v>
      </c>
      <c r="BI281" s="4089">
        <f t="shared" ref="BI281:BI344" si="129">I281/60*10</f>
        <v>1386</v>
      </c>
      <c r="BJ281" s="4089">
        <f t="shared" ref="BJ281:BJ344" si="130">I281/60*10</f>
        <v>1386</v>
      </c>
      <c r="BK281" s="4403">
        <f t="shared" ref="BK281:BK344" si="131">I281/60*10</f>
        <v>1386</v>
      </c>
      <c r="BL281" s="4385">
        <f t="shared" ref="BL281:BL344" si="132">I281/60*10</f>
        <v>1386</v>
      </c>
      <c r="BM281" s="4403">
        <f t="shared" ref="BM281:BM344" si="133">I281/60*8</f>
        <v>1108.8</v>
      </c>
      <c r="BN281" s="4089">
        <f t="shared" ref="BN281:BN344" si="134">I281/60*2</f>
        <v>277.2</v>
      </c>
      <c r="BO281" s="4413"/>
      <c r="BP281" s="4413"/>
      <c r="BQ281" s="4413"/>
      <c r="BR281" s="4413"/>
      <c r="BS281" s="4413"/>
      <c r="BT281" s="4431"/>
      <c r="BU281" s="4432"/>
      <c r="BV281" s="4385">
        <f t="shared" si="110"/>
        <v>8316</v>
      </c>
      <c r="BW281" s="4386">
        <f t="shared" si="115"/>
        <v>0</v>
      </c>
      <c r="BX281" s="4387"/>
      <c r="BY281" s="4387"/>
      <c r="BZ281" s="4387"/>
      <c r="CA281" s="4391"/>
      <c r="CC281" s="4392"/>
      <c r="CD281" s="4391"/>
    </row>
    <row r="282" s="4025" customFormat="1" ht="50" customHeight="1" spans="1:82">
      <c r="A282" s="4428">
        <v>45763</v>
      </c>
      <c r="B282" s="959" t="s">
        <v>3657</v>
      </c>
      <c r="C282" s="959" t="s">
        <v>341</v>
      </c>
      <c r="D282" s="3618">
        <v>4500163957</v>
      </c>
      <c r="E282" s="959" t="s">
        <v>3665</v>
      </c>
      <c r="F282" s="959" t="s">
        <v>3666</v>
      </c>
      <c r="G282" s="3664" t="s">
        <v>3356</v>
      </c>
      <c r="H282" s="3664" t="s">
        <v>3353</v>
      </c>
      <c r="I282" s="3618">
        <v>8316</v>
      </c>
      <c r="J282" s="3618">
        <v>0</v>
      </c>
      <c r="K282" s="3618">
        <v>12</v>
      </c>
      <c r="L282" s="3618">
        <f t="shared" si="108"/>
        <v>693</v>
      </c>
      <c r="M282" s="3659">
        <v>45803</v>
      </c>
      <c r="N282" s="3659">
        <v>45813</v>
      </c>
      <c r="O282" s="3645" t="s">
        <v>3660</v>
      </c>
      <c r="P282" s="3682" t="s">
        <v>82</v>
      </c>
      <c r="Q282" s="3682"/>
      <c r="R282" s="4083"/>
      <c r="S282" s="4083"/>
      <c r="T282" s="4083"/>
      <c r="U282" s="3645" t="s">
        <v>3660</v>
      </c>
      <c r="V282" s="3649" t="s">
        <v>1196</v>
      </c>
      <c r="W282" s="3657"/>
      <c r="X282" s="3657" t="s">
        <v>3661</v>
      </c>
      <c r="Y282" s="3657"/>
      <c r="Z282" s="3661" t="s">
        <v>3662</v>
      </c>
      <c r="AA282" s="4433" t="s">
        <v>3663</v>
      </c>
      <c r="AB282" s="3618" t="s">
        <v>380</v>
      </c>
      <c r="AC282" s="3618">
        <v>4.4796</v>
      </c>
      <c r="AD282" s="3618">
        <f t="shared" si="109"/>
        <v>37252.3536</v>
      </c>
      <c r="AE282" s="3645"/>
      <c r="AF282" s="3664" t="s">
        <v>3664</v>
      </c>
      <c r="AG282" s="3645" t="s">
        <v>416</v>
      </c>
      <c r="AH282" s="4430"/>
      <c r="AI282" s="3664"/>
      <c r="AJ282" s="3664"/>
      <c r="AK282" s="4430"/>
      <c r="AL282" s="3664"/>
      <c r="AM282" s="3664"/>
      <c r="AN282" s="3691">
        <f>I282</f>
        <v>8316</v>
      </c>
      <c r="AO282" s="3691">
        <f t="shared" si="118"/>
        <v>8316</v>
      </c>
      <c r="AP282" s="3691"/>
      <c r="AQ282" s="4089"/>
      <c r="AR282" s="4413"/>
      <c r="AS282" s="4089">
        <f t="shared" si="127"/>
        <v>8316</v>
      </c>
      <c r="AT282" s="4413"/>
      <c r="AU282" s="4089"/>
      <c r="AV282" s="4089"/>
      <c r="AW282" s="4089"/>
      <c r="AX282" s="4089"/>
      <c r="AY282" s="4089"/>
      <c r="AZ282" s="4089"/>
      <c r="BA282" s="4089"/>
      <c r="BB282" s="4089"/>
      <c r="BC282" s="4089">
        <f>I282</f>
        <v>8316</v>
      </c>
      <c r="BD282" s="4089"/>
      <c r="BE282" s="4089"/>
      <c r="BF282" s="4089" t="s">
        <v>89</v>
      </c>
      <c r="BG282" s="4089"/>
      <c r="BH282" s="4089">
        <f t="shared" si="128"/>
        <v>1386</v>
      </c>
      <c r="BI282" s="4089">
        <f t="shared" si="129"/>
        <v>1386</v>
      </c>
      <c r="BJ282" s="4089">
        <f t="shared" si="130"/>
        <v>1386</v>
      </c>
      <c r="BK282" s="4403">
        <f t="shared" si="131"/>
        <v>1386</v>
      </c>
      <c r="BL282" s="4385">
        <f t="shared" si="132"/>
        <v>1386</v>
      </c>
      <c r="BM282" s="4403">
        <f t="shared" si="133"/>
        <v>1108.8</v>
      </c>
      <c r="BN282" s="4089">
        <f t="shared" si="134"/>
        <v>277.2</v>
      </c>
      <c r="BO282" s="4434"/>
      <c r="BP282" s="4434"/>
      <c r="BQ282" s="4434"/>
      <c r="BR282" s="4434"/>
      <c r="BS282" s="4434"/>
      <c r="BT282" s="4435"/>
      <c r="BU282" s="4436"/>
      <c r="BV282" s="4385">
        <f t="shared" si="110"/>
        <v>8316</v>
      </c>
      <c r="BW282" s="4386">
        <f t="shared" si="115"/>
        <v>0</v>
      </c>
      <c r="BX282" s="4387"/>
      <c r="BY282" s="4387"/>
      <c r="BZ282" s="4387"/>
      <c r="CA282" s="4391"/>
      <c r="CC282" s="4392"/>
      <c r="CD282" s="4391"/>
    </row>
    <row r="283" s="4025" customFormat="1" ht="50" customHeight="1" spans="1:82">
      <c r="A283" s="3688">
        <v>45713</v>
      </c>
      <c r="B283" s="3689" t="s">
        <v>2797</v>
      </c>
      <c r="C283" s="3664" t="s">
        <v>91</v>
      </c>
      <c r="D283" s="3690">
        <v>4500158500</v>
      </c>
      <c r="E283" s="3664" t="s">
        <v>3667</v>
      </c>
      <c r="F283" s="3690" t="s">
        <v>3668</v>
      </c>
      <c r="G283" s="3664" t="s">
        <v>2684</v>
      </c>
      <c r="H283" s="3664" t="s">
        <v>2591</v>
      </c>
      <c r="I283" s="3691">
        <v>2004</v>
      </c>
      <c r="J283" s="3691">
        <v>0</v>
      </c>
      <c r="K283" s="3691">
        <v>6</v>
      </c>
      <c r="L283" s="3691">
        <f t="shared" si="108"/>
        <v>334</v>
      </c>
      <c r="M283" s="3659">
        <v>45805</v>
      </c>
      <c r="N283" s="3659">
        <v>45824</v>
      </c>
      <c r="O283" s="3664" t="s">
        <v>3669</v>
      </c>
      <c r="P283" s="3682" t="s">
        <v>82</v>
      </c>
      <c r="Q283" s="3682"/>
      <c r="R283" s="4083"/>
      <c r="S283" s="4083"/>
      <c r="T283" s="4083"/>
      <c r="U283" s="3645" t="s">
        <v>1405</v>
      </c>
      <c r="V283" s="3657" t="s">
        <v>1349</v>
      </c>
      <c r="W283" s="3657"/>
      <c r="X283" s="3657" t="s">
        <v>98</v>
      </c>
      <c r="Y283" s="3657"/>
      <c r="Z283" s="3661"/>
      <c r="AA283" s="3620" t="s">
        <v>3670</v>
      </c>
      <c r="AB283" s="3691" t="s">
        <v>2802</v>
      </c>
      <c r="AC283" s="3691">
        <v>2.2012</v>
      </c>
      <c r="AD283" s="3691">
        <f t="shared" si="109"/>
        <v>4411.2048</v>
      </c>
      <c r="AE283" s="3645" t="s">
        <v>3671</v>
      </c>
      <c r="AF283" s="3664" t="s">
        <v>2684</v>
      </c>
      <c r="AG283" s="3645" t="s">
        <v>416</v>
      </c>
      <c r="AH283" s="905"/>
      <c r="AI283" s="3691">
        <f t="shared" ref="AI283:AI291" si="135">I283</f>
        <v>2004</v>
      </c>
      <c r="AJ283" s="3691"/>
      <c r="AK283" s="905"/>
      <c r="AL283" s="3664"/>
      <c r="AM283" s="3664"/>
      <c r="AN283" s="3691"/>
      <c r="AO283" s="3691">
        <f t="shared" si="118"/>
        <v>2004</v>
      </c>
      <c r="AP283" s="3691"/>
      <c r="AQ283" s="4089"/>
      <c r="AR283" s="4382"/>
      <c r="AS283" s="4089">
        <f t="shared" si="127"/>
        <v>2004</v>
      </c>
      <c r="AT283" s="4382"/>
      <c r="AU283" s="4089"/>
      <c r="AV283" s="4089"/>
      <c r="AW283" s="4089"/>
      <c r="AX283" s="4089">
        <f>I283/6</f>
        <v>334</v>
      </c>
      <c r="AY283" s="4089"/>
      <c r="AZ283" s="4089"/>
      <c r="BA283" s="4089"/>
      <c r="BB283" s="4089"/>
      <c r="BC283" s="4089"/>
      <c r="BD283" s="4089"/>
      <c r="BE283" s="4089"/>
      <c r="BF283" s="4089" t="s">
        <v>89</v>
      </c>
      <c r="BG283" s="4089"/>
      <c r="BH283" s="4089">
        <f t="shared" si="128"/>
        <v>334</v>
      </c>
      <c r="BI283" s="4089">
        <f t="shared" si="129"/>
        <v>334</v>
      </c>
      <c r="BJ283" s="4089">
        <f t="shared" si="130"/>
        <v>334</v>
      </c>
      <c r="BK283" s="4089">
        <f t="shared" si="131"/>
        <v>334</v>
      </c>
      <c r="BL283" s="4089">
        <f t="shared" si="132"/>
        <v>334</v>
      </c>
      <c r="BM283" s="4089">
        <f t="shared" si="133"/>
        <v>267.2</v>
      </c>
      <c r="BN283" s="4089">
        <f t="shared" si="134"/>
        <v>66.8</v>
      </c>
      <c r="BO283" s="4437"/>
      <c r="BP283" s="4437"/>
      <c r="BQ283" s="4437"/>
      <c r="BR283" s="4437"/>
      <c r="BS283" s="4437"/>
      <c r="BT283" s="4438"/>
      <c r="BU283" s="4439"/>
      <c r="BV283" s="4385">
        <f t="shared" si="110"/>
        <v>2004</v>
      </c>
      <c r="BW283" s="4386">
        <f t="shared" si="115"/>
        <v>0</v>
      </c>
      <c r="BX283" s="4387"/>
      <c r="BY283" s="4387"/>
      <c r="BZ283" s="4387"/>
      <c r="CA283" s="4391"/>
      <c r="CC283" s="4392"/>
      <c r="CD283" s="4391"/>
    </row>
    <row r="284" s="4025" customFormat="1" ht="50" customHeight="1" spans="1:82">
      <c r="A284" s="3688">
        <v>45723</v>
      </c>
      <c r="B284" s="3689" t="s">
        <v>3672</v>
      </c>
      <c r="C284" s="3664" t="s">
        <v>91</v>
      </c>
      <c r="D284" s="3690">
        <v>4500159427</v>
      </c>
      <c r="E284" s="3664" t="s">
        <v>3673</v>
      </c>
      <c r="F284" s="3690" t="s">
        <v>3674</v>
      </c>
      <c r="G284" s="3664" t="s">
        <v>2684</v>
      </c>
      <c r="H284" s="3664" t="s">
        <v>2591</v>
      </c>
      <c r="I284" s="3691">
        <v>840</v>
      </c>
      <c r="J284" s="3691">
        <v>0</v>
      </c>
      <c r="K284" s="3691">
        <v>6</v>
      </c>
      <c r="L284" s="3691">
        <f t="shared" si="108"/>
        <v>140</v>
      </c>
      <c r="M284" s="3659">
        <v>45806</v>
      </c>
      <c r="N284" s="3659">
        <v>45803</v>
      </c>
      <c r="O284" s="4085"/>
      <c r="P284" s="3682" t="s">
        <v>82</v>
      </c>
      <c r="Q284" s="3682"/>
      <c r="R284" s="4083"/>
      <c r="S284" s="4083"/>
      <c r="T284" s="4083"/>
      <c r="U284" s="3645" t="s">
        <v>3660</v>
      </c>
      <c r="V284" s="3649" t="s">
        <v>3675</v>
      </c>
      <c r="W284" s="3657"/>
      <c r="X284" s="3657" t="s">
        <v>3676</v>
      </c>
      <c r="Y284" s="3657" t="s">
        <v>3677</v>
      </c>
      <c r="Z284" s="3661" t="s">
        <v>3678</v>
      </c>
      <c r="AA284" s="3620" t="s">
        <v>3679</v>
      </c>
      <c r="AB284" s="3691" t="s">
        <v>3680</v>
      </c>
      <c r="AC284" s="3691">
        <v>2.2728</v>
      </c>
      <c r="AD284" s="3691">
        <f t="shared" si="109"/>
        <v>1909.152</v>
      </c>
      <c r="AE284" s="3645" t="s">
        <v>3681</v>
      </c>
      <c r="AF284" s="3664" t="s">
        <v>2684</v>
      </c>
      <c r="AG284" s="3645" t="s">
        <v>416</v>
      </c>
      <c r="AH284" s="905"/>
      <c r="AI284" s="3691">
        <f t="shared" si="135"/>
        <v>840</v>
      </c>
      <c r="AJ284" s="3691"/>
      <c r="AK284" s="905"/>
      <c r="AL284" s="3664"/>
      <c r="AM284" s="3664"/>
      <c r="AN284" s="3691"/>
      <c r="AO284" s="3691">
        <f t="shared" si="118"/>
        <v>840</v>
      </c>
      <c r="AP284" s="3691"/>
      <c r="AQ284" s="4089"/>
      <c r="AR284" s="907"/>
      <c r="AS284" s="4089">
        <f t="shared" si="127"/>
        <v>840</v>
      </c>
      <c r="AT284" s="907"/>
      <c r="AU284" s="4089"/>
      <c r="AV284" s="4089"/>
      <c r="AW284" s="4089"/>
      <c r="AX284" s="4089"/>
      <c r="AY284" s="4089"/>
      <c r="AZ284" s="4089"/>
      <c r="BA284" s="4089"/>
      <c r="BB284" s="4089"/>
      <c r="BC284" s="4089">
        <f>I284/6</f>
        <v>140</v>
      </c>
      <c r="BD284" s="4089"/>
      <c r="BE284" s="4089"/>
      <c r="BF284" s="4089" t="s">
        <v>89</v>
      </c>
      <c r="BG284" s="4089"/>
      <c r="BH284" s="4089">
        <f t="shared" si="128"/>
        <v>140</v>
      </c>
      <c r="BI284" s="4089">
        <f t="shared" si="129"/>
        <v>140</v>
      </c>
      <c r="BJ284" s="4089">
        <f t="shared" si="130"/>
        <v>140</v>
      </c>
      <c r="BK284" s="4089">
        <f t="shared" si="131"/>
        <v>140</v>
      </c>
      <c r="BL284" s="4089">
        <f t="shared" si="132"/>
        <v>140</v>
      </c>
      <c r="BM284" s="4089">
        <f t="shared" si="133"/>
        <v>112</v>
      </c>
      <c r="BN284" s="4089">
        <f t="shared" si="134"/>
        <v>28</v>
      </c>
      <c r="BO284" s="4382"/>
      <c r="BP284" s="4382"/>
      <c r="BQ284" s="4382"/>
      <c r="BR284" s="4382"/>
      <c r="BS284" s="4382"/>
      <c r="BT284" s="4383"/>
      <c r="BU284" s="4384"/>
      <c r="BV284" s="4385">
        <f t="shared" si="110"/>
        <v>840</v>
      </c>
      <c r="BW284" s="4386">
        <f t="shared" si="115"/>
        <v>0</v>
      </c>
      <c r="BX284" s="4387"/>
      <c r="BY284" s="4387"/>
      <c r="BZ284" s="4387"/>
      <c r="CA284" s="4391"/>
      <c r="CC284" s="4392"/>
      <c r="CD284" s="4391"/>
    </row>
    <row r="285" s="4025" customFormat="1" ht="50" customHeight="1" spans="1:82">
      <c r="A285" s="3688">
        <v>45811</v>
      </c>
      <c r="B285" s="3689" t="s">
        <v>3672</v>
      </c>
      <c r="C285" s="3664" t="s">
        <v>91</v>
      </c>
      <c r="D285" s="3690">
        <v>4500159427</v>
      </c>
      <c r="E285" s="3664">
        <v>37625547</v>
      </c>
      <c r="F285" s="3690" t="s">
        <v>3682</v>
      </c>
      <c r="G285" s="3664" t="s">
        <v>2684</v>
      </c>
      <c r="H285" s="3664" t="s">
        <v>2591</v>
      </c>
      <c r="I285" s="3691">
        <v>25758</v>
      </c>
      <c r="J285" s="3691">
        <v>0</v>
      </c>
      <c r="K285" s="3691">
        <v>6</v>
      </c>
      <c r="L285" s="3691">
        <f t="shared" si="108"/>
        <v>4293</v>
      </c>
      <c r="M285" s="3659">
        <v>45806</v>
      </c>
      <c r="N285" s="3659">
        <v>45803</v>
      </c>
      <c r="O285" s="4085"/>
      <c r="P285" s="3682" t="s">
        <v>82</v>
      </c>
      <c r="Q285" s="3682"/>
      <c r="R285" s="4083"/>
      <c r="S285" s="4083"/>
      <c r="T285" s="4083"/>
      <c r="U285" s="3645" t="s">
        <v>3683</v>
      </c>
      <c r="V285" s="3657"/>
      <c r="W285" s="3657"/>
      <c r="X285" s="3657"/>
      <c r="Y285" s="3657"/>
      <c r="Z285" s="3661"/>
      <c r="AA285" s="3620" t="s">
        <v>3679</v>
      </c>
      <c r="AB285" s="3691" t="s">
        <v>3680</v>
      </c>
      <c r="AC285" s="3691">
        <v>1.2679</v>
      </c>
      <c r="AD285" s="3691">
        <f t="shared" si="109"/>
        <v>32658.5682</v>
      </c>
      <c r="AE285" s="4420" t="s">
        <v>3684</v>
      </c>
      <c r="AF285" s="3664" t="s">
        <v>2684</v>
      </c>
      <c r="AG285" s="3645" t="s">
        <v>416</v>
      </c>
      <c r="AH285" s="905"/>
      <c r="AI285" s="3691">
        <f t="shared" si="135"/>
        <v>25758</v>
      </c>
      <c r="AJ285" s="3691"/>
      <c r="AK285" s="4422"/>
      <c r="AL285" s="3664"/>
      <c r="AM285" s="3664"/>
      <c r="AN285" s="3691"/>
      <c r="AO285" s="3691">
        <f t="shared" si="118"/>
        <v>25758</v>
      </c>
      <c r="AP285" s="3691"/>
      <c r="AQ285" s="4089"/>
      <c r="AR285" s="907"/>
      <c r="AS285" s="4089">
        <f t="shared" si="127"/>
        <v>25758</v>
      </c>
      <c r="AT285" s="907"/>
      <c r="AU285" s="4089"/>
      <c r="AV285" s="4089"/>
      <c r="AW285" s="4089"/>
      <c r="AX285" s="4089"/>
      <c r="AY285" s="4089"/>
      <c r="AZ285" s="4089"/>
      <c r="BA285" s="4089"/>
      <c r="BB285" s="4089"/>
      <c r="BC285" s="4089">
        <f>I285/6</f>
        <v>4293</v>
      </c>
      <c r="BD285" s="4089"/>
      <c r="BE285" s="4089"/>
      <c r="BF285" s="4089" t="s">
        <v>89</v>
      </c>
      <c r="BG285" s="4089"/>
      <c r="BH285" s="4089">
        <f t="shared" si="128"/>
        <v>4293</v>
      </c>
      <c r="BI285" s="4089">
        <f t="shared" si="129"/>
        <v>4293</v>
      </c>
      <c r="BJ285" s="4089">
        <f t="shared" si="130"/>
        <v>4293</v>
      </c>
      <c r="BK285" s="4089">
        <f t="shared" si="131"/>
        <v>4293</v>
      </c>
      <c r="BL285" s="4089">
        <f t="shared" si="132"/>
        <v>4293</v>
      </c>
      <c r="BM285" s="4089">
        <f t="shared" si="133"/>
        <v>3434.4</v>
      </c>
      <c r="BN285" s="4089">
        <f t="shared" si="134"/>
        <v>858.6</v>
      </c>
      <c r="BO285" s="4440"/>
      <c r="BP285" s="4440"/>
      <c r="BQ285" s="4440"/>
      <c r="BR285" s="4440"/>
      <c r="BS285" s="4440"/>
      <c r="BT285" s="4441"/>
      <c r="BU285" s="4442"/>
      <c r="BV285" s="4385">
        <f t="shared" si="110"/>
        <v>25758</v>
      </c>
      <c r="BW285" s="4386">
        <f t="shared" si="115"/>
        <v>0</v>
      </c>
      <c r="BX285" s="4387"/>
      <c r="BY285" s="4387"/>
      <c r="BZ285" s="4387"/>
      <c r="CA285" s="4391"/>
      <c r="CC285" s="4392"/>
      <c r="CD285" s="4391"/>
    </row>
    <row r="286" s="4025" customFormat="1" ht="50" customHeight="1" spans="1:82">
      <c r="A286" s="3688">
        <v>45730</v>
      </c>
      <c r="B286" s="3689" t="s">
        <v>3685</v>
      </c>
      <c r="C286" s="3664" t="s">
        <v>351</v>
      </c>
      <c r="D286" s="3690">
        <v>4500160211</v>
      </c>
      <c r="E286" s="3664" t="s">
        <v>3686</v>
      </c>
      <c r="F286" s="3690" t="s">
        <v>3687</v>
      </c>
      <c r="G286" s="3664" t="s">
        <v>2577</v>
      </c>
      <c r="H286" s="3664" t="s">
        <v>2578</v>
      </c>
      <c r="I286" s="3691">
        <v>1140</v>
      </c>
      <c r="J286" s="3691">
        <v>0</v>
      </c>
      <c r="K286" s="3691">
        <v>12</v>
      </c>
      <c r="L286" s="3691">
        <f t="shared" si="108"/>
        <v>95</v>
      </c>
      <c r="M286" s="3659">
        <v>45807</v>
      </c>
      <c r="N286" s="3659">
        <v>45803</v>
      </c>
      <c r="O286" s="4085"/>
      <c r="P286" s="3682" t="s">
        <v>82</v>
      </c>
      <c r="Q286" s="3682"/>
      <c r="R286" s="4083"/>
      <c r="S286" s="4083"/>
      <c r="T286" s="4083"/>
      <c r="U286" s="3645" t="s">
        <v>279</v>
      </c>
      <c r="V286" s="3657" t="s">
        <v>3558</v>
      </c>
      <c r="W286" s="3657"/>
      <c r="X286" s="3657" t="s">
        <v>3688</v>
      </c>
      <c r="Y286" s="3657"/>
      <c r="Z286" s="3661"/>
      <c r="AA286" s="3620" t="s">
        <v>3689</v>
      </c>
      <c r="AB286" s="3691" t="s">
        <v>1131</v>
      </c>
      <c r="AC286" s="3691">
        <v>2.1392</v>
      </c>
      <c r="AD286" s="3691">
        <f t="shared" si="109"/>
        <v>2438.688</v>
      </c>
      <c r="AE286" s="3645"/>
      <c r="AF286" s="3664" t="s">
        <v>2577</v>
      </c>
      <c r="AG286" s="3645" t="s">
        <v>416</v>
      </c>
      <c r="AH286" s="905"/>
      <c r="AI286" s="3691">
        <f t="shared" si="135"/>
        <v>1140</v>
      </c>
      <c r="AJ286" s="3691"/>
      <c r="AK286" s="905"/>
      <c r="AL286" s="3664"/>
      <c r="AM286" s="3664"/>
      <c r="AN286" s="3691"/>
      <c r="AO286" s="3691">
        <f t="shared" si="118"/>
        <v>1140</v>
      </c>
      <c r="AP286" s="3691"/>
      <c r="AQ286" s="4089"/>
      <c r="AR286" s="907"/>
      <c r="AS286" s="4089">
        <f t="shared" si="127"/>
        <v>1140</v>
      </c>
      <c r="AT286" s="907"/>
      <c r="AU286" s="4089"/>
      <c r="AV286" s="4089">
        <f>I286/6</f>
        <v>190</v>
      </c>
      <c r="AW286" s="4089"/>
      <c r="AX286" s="4089"/>
      <c r="AY286" s="4089"/>
      <c r="AZ286" s="4089"/>
      <c r="BA286" s="4089"/>
      <c r="BB286" s="4089"/>
      <c r="BC286" s="4089"/>
      <c r="BD286" s="4089"/>
      <c r="BE286" s="4089"/>
      <c r="BF286" s="4089" t="s">
        <v>89</v>
      </c>
      <c r="BG286" s="4089"/>
      <c r="BH286" s="4089">
        <f t="shared" si="128"/>
        <v>190</v>
      </c>
      <c r="BI286" s="4089">
        <f t="shared" si="129"/>
        <v>190</v>
      </c>
      <c r="BJ286" s="4089">
        <f t="shared" si="130"/>
        <v>190</v>
      </c>
      <c r="BK286" s="4089">
        <f t="shared" si="131"/>
        <v>190</v>
      </c>
      <c r="BL286" s="4089">
        <f t="shared" si="132"/>
        <v>190</v>
      </c>
      <c r="BM286" s="4089">
        <f t="shared" si="133"/>
        <v>152</v>
      </c>
      <c r="BN286" s="4089">
        <f t="shared" si="134"/>
        <v>38</v>
      </c>
      <c r="BO286" s="4440"/>
      <c r="BP286" s="4440"/>
      <c r="BQ286" s="4440"/>
      <c r="BR286" s="4440"/>
      <c r="BS286" s="4440"/>
      <c r="BT286" s="4441"/>
      <c r="BU286" s="4442"/>
      <c r="BV286" s="4385">
        <f t="shared" si="110"/>
        <v>1140</v>
      </c>
      <c r="BW286" s="4386">
        <f t="shared" si="115"/>
        <v>0</v>
      </c>
      <c r="BX286" s="4387"/>
      <c r="BY286" s="4387"/>
      <c r="BZ286" s="4387"/>
      <c r="CA286" s="4391"/>
      <c r="CC286" s="4392"/>
      <c r="CD286" s="4391"/>
    </row>
    <row r="287" s="4025" customFormat="1" ht="50" customHeight="1" spans="1:82">
      <c r="A287" s="3688">
        <v>45756</v>
      </c>
      <c r="B287" s="3689" t="s">
        <v>1236</v>
      </c>
      <c r="C287" s="3664" t="s">
        <v>1237</v>
      </c>
      <c r="D287" s="3690">
        <v>4500163069</v>
      </c>
      <c r="E287" s="3664"/>
      <c r="F287" s="3690" t="s">
        <v>3690</v>
      </c>
      <c r="G287" s="3664" t="s">
        <v>2806</v>
      </c>
      <c r="H287" s="3664" t="s">
        <v>2591</v>
      </c>
      <c r="I287" s="3691">
        <v>504</v>
      </c>
      <c r="J287" s="3691">
        <v>0</v>
      </c>
      <c r="K287" s="3691">
        <v>12</v>
      </c>
      <c r="L287" s="3691">
        <f t="shared" si="108"/>
        <v>42</v>
      </c>
      <c r="M287" s="3659">
        <v>45807</v>
      </c>
      <c r="N287" s="3659">
        <v>45803</v>
      </c>
      <c r="O287" s="4085"/>
      <c r="P287" s="3682" t="s">
        <v>82</v>
      </c>
      <c r="Q287" s="3682"/>
      <c r="R287" s="4083"/>
      <c r="S287" s="4083"/>
      <c r="T287" s="4083"/>
      <c r="U287" s="3645" t="s">
        <v>1195</v>
      </c>
      <c r="V287" s="3649" t="s">
        <v>1239</v>
      </c>
      <c r="W287" s="3657"/>
      <c r="X287" s="3657" t="s">
        <v>98</v>
      </c>
      <c r="Y287" s="3657"/>
      <c r="Z287" s="3661"/>
      <c r="AA287" s="3620" t="s">
        <v>1240</v>
      </c>
      <c r="AB287" s="3691" t="s">
        <v>448</v>
      </c>
      <c r="AC287" s="4087">
        <v>2.1439</v>
      </c>
      <c r="AD287" s="3691">
        <f t="shared" si="109"/>
        <v>1080.5256</v>
      </c>
      <c r="AE287" s="3645"/>
      <c r="AF287" s="3664" t="s">
        <v>2806</v>
      </c>
      <c r="AG287" s="3645" t="s">
        <v>416</v>
      </c>
      <c r="AH287" s="4422"/>
      <c r="AI287" s="3664">
        <f t="shared" si="135"/>
        <v>504</v>
      </c>
      <c r="AJ287" s="3664"/>
      <c r="AK287" s="4422"/>
      <c r="AL287" s="3664"/>
      <c r="AM287" s="3664"/>
      <c r="AN287" s="3691"/>
      <c r="AO287" s="3691">
        <f t="shared" si="118"/>
        <v>504</v>
      </c>
      <c r="AP287" s="3691"/>
      <c r="AQ287" s="4089"/>
      <c r="AR287" s="907"/>
      <c r="AS287" s="4089">
        <f t="shared" si="127"/>
        <v>504</v>
      </c>
      <c r="AT287" s="907"/>
      <c r="AU287" s="4089"/>
      <c r="AV287" s="4089"/>
      <c r="AW287" s="4089"/>
      <c r="AX287" s="4089">
        <f>I287/6</f>
        <v>84</v>
      </c>
      <c r="AY287" s="4089"/>
      <c r="AZ287" s="4089"/>
      <c r="BA287" s="4089"/>
      <c r="BB287" s="4089"/>
      <c r="BC287" s="4089"/>
      <c r="BD287" s="4089"/>
      <c r="BE287" s="4089"/>
      <c r="BF287" s="4089" t="s">
        <v>89</v>
      </c>
      <c r="BG287" s="4089"/>
      <c r="BH287" s="4089">
        <f t="shared" si="128"/>
        <v>84</v>
      </c>
      <c r="BI287" s="4089">
        <f t="shared" si="129"/>
        <v>84</v>
      </c>
      <c r="BJ287" s="4089">
        <f t="shared" si="130"/>
        <v>84</v>
      </c>
      <c r="BK287" s="4089">
        <f t="shared" si="131"/>
        <v>84</v>
      </c>
      <c r="BL287" s="4089">
        <f t="shared" si="132"/>
        <v>84</v>
      </c>
      <c r="BM287" s="4089">
        <f t="shared" si="133"/>
        <v>67.2</v>
      </c>
      <c r="BN287" s="4089">
        <f t="shared" si="134"/>
        <v>16.8</v>
      </c>
      <c r="BO287" s="4382"/>
      <c r="BP287" s="4382"/>
      <c r="BQ287" s="4382"/>
      <c r="BR287" s="4382"/>
      <c r="BS287" s="4382"/>
      <c r="BT287" s="4383"/>
      <c r="BU287" s="4384"/>
      <c r="BV287" s="4385">
        <f t="shared" si="110"/>
        <v>504</v>
      </c>
      <c r="BW287" s="4386">
        <f t="shared" si="115"/>
        <v>0</v>
      </c>
      <c r="BX287" s="4387"/>
      <c r="BY287" s="4387"/>
      <c r="BZ287" s="4387"/>
      <c r="CA287" s="4391"/>
      <c r="CC287" s="4392"/>
      <c r="CD287" s="4391"/>
    </row>
    <row r="288" s="4025" customFormat="1" ht="50" customHeight="1" spans="1:82">
      <c r="A288" s="3688">
        <v>45762</v>
      </c>
      <c r="B288" s="3689" t="s">
        <v>3118</v>
      </c>
      <c r="C288" s="3664" t="s">
        <v>506</v>
      </c>
      <c r="D288" s="3690">
        <v>4500163821</v>
      </c>
      <c r="E288" s="3664">
        <v>83776</v>
      </c>
      <c r="F288" s="3690" t="s">
        <v>3691</v>
      </c>
      <c r="G288" s="3664" t="s">
        <v>2577</v>
      </c>
      <c r="H288" s="3664" t="s">
        <v>2578</v>
      </c>
      <c r="I288" s="3691">
        <v>720</v>
      </c>
      <c r="J288" s="3691">
        <v>0</v>
      </c>
      <c r="K288" s="3691">
        <v>12</v>
      </c>
      <c r="L288" s="3691">
        <f t="shared" si="108"/>
        <v>60</v>
      </c>
      <c r="M288" s="3659">
        <v>45807</v>
      </c>
      <c r="N288" s="3659">
        <v>45803</v>
      </c>
      <c r="O288" s="4085"/>
      <c r="P288" s="3682" t="s">
        <v>82</v>
      </c>
      <c r="Q288" s="3682"/>
      <c r="R288" s="4083"/>
      <c r="S288" s="4083"/>
      <c r="T288" s="4083"/>
      <c r="U288" s="3645" t="s">
        <v>3660</v>
      </c>
      <c r="V288" s="3649" t="s">
        <v>1186</v>
      </c>
      <c r="W288" s="3657"/>
      <c r="X288" s="3657" t="s">
        <v>3122</v>
      </c>
      <c r="Y288" s="3657"/>
      <c r="Z288" s="3661"/>
      <c r="AA288" s="3620" t="s">
        <v>3692</v>
      </c>
      <c r="AB288" s="3691" t="s">
        <v>513</v>
      </c>
      <c r="AC288" s="3691">
        <v>2.1438</v>
      </c>
      <c r="AD288" s="3691">
        <f t="shared" si="109"/>
        <v>1543.536</v>
      </c>
      <c r="AE288" s="3645"/>
      <c r="AF288" s="3664" t="s">
        <v>2577</v>
      </c>
      <c r="AG288" s="3645" t="s">
        <v>416</v>
      </c>
      <c r="AH288" s="4430"/>
      <c r="AI288" s="3691">
        <f t="shared" si="135"/>
        <v>720</v>
      </c>
      <c r="AJ288" s="3691"/>
      <c r="AK288" s="4430"/>
      <c r="AL288" s="3664"/>
      <c r="AM288" s="3664"/>
      <c r="AN288" s="3691"/>
      <c r="AO288" s="3691">
        <f t="shared" si="118"/>
        <v>720</v>
      </c>
      <c r="AP288" s="3691"/>
      <c r="AQ288" s="4089"/>
      <c r="AR288" s="4413"/>
      <c r="AS288" s="4089">
        <f t="shared" si="127"/>
        <v>720</v>
      </c>
      <c r="AT288" s="4413"/>
      <c r="AU288" s="4089"/>
      <c r="AV288" s="4089">
        <f>I288/6</f>
        <v>120</v>
      </c>
      <c r="AW288" s="4089"/>
      <c r="AX288" s="4089"/>
      <c r="AY288" s="4089"/>
      <c r="AZ288" s="4089"/>
      <c r="BA288" s="4089"/>
      <c r="BB288" s="4089"/>
      <c r="BC288" s="4089"/>
      <c r="BD288" s="4089"/>
      <c r="BE288" s="4089"/>
      <c r="BF288" s="4089" t="s">
        <v>89</v>
      </c>
      <c r="BG288" s="4089"/>
      <c r="BH288" s="4089">
        <f t="shared" si="128"/>
        <v>120</v>
      </c>
      <c r="BI288" s="4089">
        <f t="shared" si="129"/>
        <v>120</v>
      </c>
      <c r="BJ288" s="4089">
        <f t="shared" si="130"/>
        <v>120</v>
      </c>
      <c r="BK288" s="4089">
        <f t="shared" si="131"/>
        <v>120</v>
      </c>
      <c r="BL288" s="4089">
        <f t="shared" si="132"/>
        <v>120</v>
      </c>
      <c r="BM288" s="4089">
        <f t="shared" si="133"/>
        <v>96</v>
      </c>
      <c r="BN288" s="4089">
        <f t="shared" si="134"/>
        <v>24</v>
      </c>
      <c r="BO288" s="4443"/>
      <c r="BP288" s="4443"/>
      <c r="BQ288" s="4443"/>
      <c r="BR288" s="4443"/>
      <c r="BS288" s="4443"/>
      <c r="BT288" s="4444"/>
      <c r="BU288" s="4445"/>
      <c r="BV288" s="4385">
        <f t="shared" si="110"/>
        <v>720</v>
      </c>
      <c r="BW288" s="4386">
        <f t="shared" si="115"/>
        <v>0</v>
      </c>
      <c r="BX288" s="4387"/>
      <c r="BY288" s="4387"/>
      <c r="BZ288" s="4387"/>
      <c r="CA288" s="4388"/>
      <c r="CC288" s="4389"/>
      <c r="CD288" s="4388"/>
    </row>
    <row r="289" s="4025" customFormat="1" ht="50" customHeight="1" spans="1:82">
      <c r="A289" s="4429">
        <v>45763</v>
      </c>
      <c r="B289" s="4080" t="s">
        <v>505</v>
      </c>
      <c r="C289" s="3663" t="s">
        <v>506</v>
      </c>
      <c r="D289" s="4077">
        <v>4500163864</v>
      </c>
      <c r="E289" s="3664">
        <v>20784125</v>
      </c>
      <c r="F289" s="4077" t="s">
        <v>3693</v>
      </c>
      <c r="G289" s="3664" t="s">
        <v>2577</v>
      </c>
      <c r="H289" s="3664" t="s">
        <v>2578</v>
      </c>
      <c r="I289" s="3691">
        <v>1308</v>
      </c>
      <c r="J289" s="3691">
        <v>0</v>
      </c>
      <c r="K289" s="3691">
        <v>12</v>
      </c>
      <c r="L289" s="3691">
        <f t="shared" si="108"/>
        <v>109</v>
      </c>
      <c r="M289" s="3659">
        <v>45810</v>
      </c>
      <c r="N289" s="3659">
        <f t="shared" ref="N289:N295" si="136">M289-4</f>
        <v>45806</v>
      </c>
      <c r="O289" s="4085"/>
      <c r="P289" s="3682" t="s">
        <v>82</v>
      </c>
      <c r="Q289" s="3682"/>
      <c r="R289" s="4083"/>
      <c r="S289" s="4083"/>
      <c r="T289" s="4083"/>
      <c r="U289" s="3645" t="s">
        <v>3694</v>
      </c>
      <c r="V289" s="3649" t="s">
        <v>3695</v>
      </c>
      <c r="W289" s="3657"/>
      <c r="X289" s="3657" t="s">
        <v>3696</v>
      </c>
      <c r="Y289" s="3657"/>
      <c r="Z289" s="3661"/>
      <c r="AA289" s="3620" t="s">
        <v>3598</v>
      </c>
      <c r="AB289" s="4446" t="s">
        <v>513</v>
      </c>
      <c r="AC289" s="3691">
        <v>2.2463</v>
      </c>
      <c r="AD289" s="3691">
        <f t="shared" si="109"/>
        <v>2938.1604</v>
      </c>
      <c r="AE289" s="3645"/>
      <c r="AF289" s="3664" t="s">
        <v>2577</v>
      </c>
      <c r="AG289" s="3645" t="s">
        <v>416</v>
      </c>
      <c r="AH289" s="984"/>
      <c r="AI289" s="3691">
        <f t="shared" si="135"/>
        <v>1308</v>
      </c>
      <c r="AJ289" s="3691"/>
      <c r="AK289" s="984"/>
      <c r="AL289" s="3664"/>
      <c r="AM289" s="3664"/>
      <c r="AN289" s="3691"/>
      <c r="AO289" s="3691">
        <f t="shared" si="118"/>
        <v>1308</v>
      </c>
      <c r="AP289" s="3691"/>
      <c r="AQ289" s="4089"/>
      <c r="AR289" s="877"/>
      <c r="AS289" s="4089">
        <f t="shared" si="127"/>
        <v>1308</v>
      </c>
      <c r="AT289" s="877"/>
      <c r="AU289" s="4089"/>
      <c r="AV289" s="4089">
        <f>I289/6</f>
        <v>218</v>
      </c>
      <c r="AW289" s="4089"/>
      <c r="AX289" s="4089"/>
      <c r="AY289" s="4089"/>
      <c r="AZ289" s="4089"/>
      <c r="BA289" s="4089"/>
      <c r="BB289" s="4089"/>
      <c r="BC289" s="4089"/>
      <c r="BD289" s="4089"/>
      <c r="BE289" s="4089"/>
      <c r="BF289" s="4089" t="s">
        <v>89</v>
      </c>
      <c r="BG289" s="4089"/>
      <c r="BH289" s="4089">
        <f t="shared" si="128"/>
        <v>218</v>
      </c>
      <c r="BI289" s="4089">
        <f t="shared" si="129"/>
        <v>218</v>
      </c>
      <c r="BJ289" s="4089">
        <f t="shared" si="130"/>
        <v>218</v>
      </c>
      <c r="BK289" s="4089">
        <f t="shared" si="131"/>
        <v>218</v>
      </c>
      <c r="BL289" s="4089">
        <f t="shared" si="132"/>
        <v>218</v>
      </c>
      <c r="BM289" s="4089">
        <f t="shared" si="133"/>
        <v>174.4</v>
      </c>
      <c r="BN289" s="4089">
        <f t="shared" si="134"/>
        <v>43.6</v>
      </c>
      <c r="BO289" s="985"/>
      <c r="BP289" s="985"/>
      <c r="BQ289" s="985"/>
      <c r="BR289" s="985"/>
      <c r="BS289" s="985"/>
      <c r="BT289" s="986"/>
      <c r="BU289" s="4442"/>
      <c r="BV289" s="4385">
        <f t="shared" si="110"/>
        <v>1308</v>
      </c>
      <c r="BW289" s="4386">
        <f t="shared" si="115"/>
        <v>0</v>
      </c>
      <c r="BX289" s="4387"/>
      <c r="BY289" s="4387"/>
      <c r="BZ289" s="4387"/>
      <c r="CA289" s="4391"/>
      <c r="CC289" s="4392"/>
      <c r="CD289" s="4391"/>
    </row>
    <row r="290" s="4025" customFormat="1" ht="50" customHeight="1" spans="1:82">
      <c r="A290" s="3688">
        <v>45763</v>
      </c>
      <c r="B290" s="3689" t="s">
        <v>839</v>
      </c>
      <c r="C290" s="3664" t="s">
        <v>840</v>
      </c>
      <c r="D290" s="3690">
        <v>4500163861</v>
      </c>
      <c r="E290" s="3664">
        <v>20784126</v>
      </c>
      <c r="F290" s="3690" t="s">
        <v>3697</v>
      </c>
      <c r="G290" s="3664" t="s">
        <v>2577</v>
      </c>
      <c r="H290" s="3664" t="s">
        <v>2578</v>
      </c>
      <c r="I290" s="3691">
        <v>192</v>
      </c>
      <c r="J290" s="3691">
        <v>0</v>
      </c>
      <c r="K290" s="3691">
        <v>12</v>
      </c>
      <c r="L290" s="3691">
        <f t="shared" si="108"/>
        <v>16</v>
      </c>
      <c r="M290" s="3659">
        <v>45810</v>
      </c>
      <c r="N290" s="3659">
        <f t="shared" si="136"/>
        <v>45806</v>
      </c>
      <c r="O290" s="4085"/>
      <c r="P290" s="3682" t="s">
        <v>82</v>
      </c>
      <c r="Q290" s="3682"/>
      <c r="R290" s="4083"/>
      <c r="S290" s="4083"/>
      <c r="T290" s="4083"/>
      <c r="U290" s="3645" t="s">
        <v>3694</v>
      </c>
      <c r="V290" s="3657" t="s">
        <v>3695</v>
      </c>
      <c r="W290" s="3657"/>
      <c r="X290" s="3657" t="s">
        <v>3696</v>
      </c>
      <c r="Y290" s="3657"/>
      <c r="Z290" s="3661"/>
      <c r="AA290" s="3620" t="s">
        <v>3698</v>
      </c>
      <c r="AB290" s="3691" t="s">
        <v>513</v>
      </c>
      <c r="AC290" s="3691">
        <v>2.2509</v>
      </c>
      <c r="AD290" s="3691">
        <f t="shared" si="109"/>
        <v>432.1728</v>
      </c>
      <c r="AE290" s="3645"/>
      <c r="AF290" s="3664" t="s">
        <v>2577</v>
      </c>
      <c r="AG290" s="3645" t="s">
        <v>416</v>
      </c>
      <c r="AH290" s="984"/>
      <c r="AI290" s="3691">
        <f t="shared" si="135"/>
        <v>192</v>
      </c>
      <c r="AJ290" s="3691"/>
      <c r="AK290" s="984"/>
      <c r="AL290" s="3664"/>
      <c r="AM290" s="3664"/>
      <c r="AN290" s="3691"/>
      <c r="AO290" s="3691">
        <f t="shared" si="118"/>
        <v>192</v>
      </c>
      <c r="AP290" s="3691"/>
      <c r="AQ290" s="4089"/>
      <c r="AR290" s="877"/>
      <c r="AS290" s="4089">
        <f t="shared" si="127"/>
        <v>192</v>
      </c>
      <c r="AT290" s="877"/>
      <c r="AU290" s="4089"/>
      <c r="AV290" s="4089">
        <f>I290/6</f>
        <v>32</v>
      </c>
      <c r="AW290" s="4089"/>
      <c r="AX290" s="4089"/>
      <c r="AY290" s="4089"/>
      <c r="AZ290" s="4089"/>
      <c r="BA290" s="4089"/>
      <c r="BB290" s="4089"/>
      <c r="BC290" s="4089"/>
      <c r="BD290" s="4089"/>
      <c r="BE290" s="4089"/>
      <c r="BF290" s="4089" t="s">
        <v>89</v>
      </c>
      <c r="BG290" s="4089"/>
      <c r="BH290" s="4089">
        <f t="shared" si="128"/>
        <v>32</v>
      </c>
      <c r="BI290" s="4089">
        <f t="shared" si="129"/>
        <v>32</v>
      </c>
      <c r="BJ290" s="4089">
        <f t="shared" si="130"/>
        <v>32</v>
      </c>
      <c r="BK290" s="4089">
        <f t="shared" si="131"/>
        <v>32</v>
      </c>
      <c r="BL290" s="4089">
        <f t="shared" si="132"/>
        <v>32</v>
      </c>
      <c r="BM290" s="4089">
        <f t="shared" si="133"/>
        <v>25.6</v>
      </c>
      <c r="BN290" s="4089">
        <f t="shared" si="134"/>
        <v>6.4</v>
      </c>
      <c r="BO290" s="985"/>
      <c r="BP290" s="985"/>
      <c r="BQ290" s="985"/>
      <c r="BR290" s="985"/>
      <c r="BS290" s="985"/>
      <c r="BT290" s="986"/>
      <c r="BU290" s="4442"/>
      <c r="BV290" s="4385">
        <f t="shared" si="110"/>
        <v>192</v>
      </c>
      <c r="BW290" s="4386">
        <f t="shared" si="115"/>
        <v>0</v>
      </c>
      <c r="BX290" s="4387"/>
      <c r="BY290" s="4387"/>
      <c r="BZ290" s="4387"/>
      <c r="CA290" s="4391"/>
      <c r="CC290" s="4392"/>
      <c r="CD290" s="4391"/>
    </row>
    <row r="291" s="4025" customFormat="1" ht="50" customHeight="1" spans="1:82">
      <c r="A291" s="4428">
        <v>45789</v>
      </c>
      <c r="B291" s="959" t="s">
        <v>3495</v>
      </c>
      <c r="C291" s="959" t="s">
        <v>91</v>
      </c>
      <c r="D291" s="3618">
        <v>4500166060</v>
      </c>
      <c r="E291" s="5458" t="s">
        <v>3699</v>
      </c>
      <c r="F291" s="3618" t="s">
        <v>3700</v>
      </c>
      <c r="G291" s="959" t="s">
        <v>3068</v>
      </c>
      <c r="H291" s="3664" t="s">
        <v>3069</v>
      </c>
      <c r="I291" s="3691">
        <v>3840</v>
      </c>
      <c r="J291" s="3691">
        <v>2</v>
      </c>
      <c r="K291" s="3691">
        <v>384</v>
      </c>
      <c r="L291" s="3691">
        <f t="shared" si="108"/>
        <v>10</v>
      </c>
      <c r="M291" s="3659">
        <v>45810</v>
      </c>
      <c r="N291" s="3659">
        <f t="shared" si="136"/>
        <v>45806</v>
      </c>
      <c r="O291" s="3664" t="s">
        <v>3701</v>
      </c>
      <c r="P291" s="3682" t="s">
        <v>82</v>
      </c>
      <c r="Q291" s="3682"/>
      <c r="R291" s="4083"/>
      <c r="S291" s="4083"/>
      <c r="T291" s="4083"/>
      <c r="U291" s="3645" t="s">
        <v>3702</v>
      </c>
      <c r="V291" s="3657" t="s">
        <v>3703</v>
      </c>
      <c r="W291" s="3657"/>
      <c r="X291" s="3657" t="s">
        <v>3073</v>
      </c>
      <c r="Y291" s="3657" t="s">
        <v>3704</v>
      </c>
      <c r="Z291" s="3661"/>
      <c r="AA291" s="3620" t="s">
        <v>3705</v>
      </c>
      <c r="AB291" s="3618" t="s">
        <v>3706</v>
      </c>
      <c r="AC291" s="4087">
        <v>512.222</v>
      </c>
      <c r="AD291" s="3691">
        <f>AC291*L291</f>
        <v>5122.22</v>
      </c>
      <c r="AE291" s="3645" t="s">
        <v>3707</v>
      </c>
      <c r="AF291" s="3664" t="s">
        <v>3078</v>
      </c>
      <c r="AG291" s="3645" t="s">
        <v>416</v>
      </c>
      <c r="AH291" s="4430"/>
      <c r="AI291" s="3691">
        <f t="shared" si="135"/>
        <v>3840</v>
      </c>
      <c r="AJ291" s="3691"/>
      <c r="AK291" s="4430"/>
      <c r="AL291" s="3664"/>
      <c r="AM291" s="3664"/>
      <c r="AN291" s="3691"/>
      <c r="AO291" s="3691">
        <f t="shared" si="118"/>
        <v>3840</v>
      </c>
      <c r="AP291" s="3691"/>
      <c r="AQ291" s="4089"/>
      <c r="AR291" s="4413"/>
      <c r="AS291" s="4089">
        <f t="shared" si="127"/>
        <v>3840</v>
      </c>
      <c r="AT291" s="4413"/>
      <c r="AU291" s="4089"/>
      <c r="AV291" s="4089"/>
      <c r="AW291" s="4089"/>
      <c r="AX291" s="4089"/>
      <c r="AY291" s="4089"/>
      <c r="AZ291" s="4089"/>
      <c r="BA291" s="4089"/>
      <c r="BB291" s="4089">
        <f>I291/2</f>
        <v>1920</v>
      </c>
      <c r="BC291" s="4089"/>
      <c r="BD291" s="4089"/>
      <c r="BE291" s="4089"/>
      <c r="BF291" s="4089" t="s">
        <v>682</v>
      </c>
      <c r="BG291" s="4089"/>
      <c r="BH291" s="4089">
        <f t="shared" si="128"/>
        <v>640</v>
      </c>
      <c r="BI291" s="4089">
        <f t="shared" si="129"/>
        <v>640</v>
      </c>
      <c r="BJ291" s="4089">
        <f t="shared" si="130"/>
        <v>640</v>
      </c>
      <c r="BK291" s="4089">
        <f t="shared" si="131"/>
        <v>640</v>
      </c>
      <c r="BL291" s="4089">
        <f t="shared" si="132"/>
        <v>640</v>
      </c>
      <c r="BM291" s="4089">
        <f t="shared" si="133"/>
        <v>512</v>
      </c>
      <c r="BN291" s="4089">
        <f t="shared" si="134"/>
        <v>128</v>
      </c>
      <c r="BO291" s="4447"/>
      <c r="BP291" s="4447"/>
      <c r="BQ291" s="4447"/>
      <c r="BR291" s="4447"/>
      <c r="BS291" s="4447"/>
      <c r="BT291" s="4447"/>
      <c r="BU291" s="4447"/>
      <c r="BV291" s="4385">
        <f t="shared" si="110"/>
        <v>3840</v>
      </c>
      <c r="BW291" s="4386">
        <f t="shared" si="115"/>
        <v>0</v>
      </c>
      <c r="BX291" s="4387"/>
      <c r="BY291" s="4387"/>
      <c r="BZ291" s="4387"/>
      <c r="CA291" s="4391"/>
      <c r="CC291" s="4392"/>
      <c r="CD291" s="4391"/>
    </row>
    <row r="292" s="4025" customFormat="1" ht="50" customHeight="1" spans="1:82">
      <c r="A292" s="3688">
        <v>45772</v>
      </c>
      <c r="B292" s="3689" t="s">
        <v>3156</v>
      </c>
      <c r="C292" s="3664" t="s">
        <v>471</v>
      </c>
      <c r="D292" s="3690">
        <v>4500164822</v>
      </c>
      <c r="E292" s="3664">
        <v>5200006664</v>
      </c>
      <c r="F292" s="3690" t="s">
        <v>3708</v>
      </c>
      <c r="G292" s="3664" t="s">
        <v>2647</v>
      </c>
      <c r="H292" s="3664" t="s">
        <v>2648</v>
      </c>
      <c r="I292" s="3691">
        <v>2400</v>
      </c>
      <c r="J292" s="3691">
        <v>0</v>
      </c>
      <c r="K292" s="3691">
        <v>6</v>
      </c>
      <c r="L292" s="3691">
        <f t="shared" si="108"/>
        <v>400</v>
      </c>
      <c r="M292" s="3659">
        <v>45810</v>
      </c>
      <c r="N292" s="3659">
        <f t="shared" si="136"/>
        <v>45806</v>
      </c>
      <c r="O292" s="4085"/>
      <c r="P292" s="3682" t="s">
        <v>82</v>
      </c>
      <c r="Q292" s="3682"/>
      <c r="R292" s="4083"/>
      <c r="S292" s="4083"/>
      <c r="T292" s="4083"/>
      <c r="U292" s="3645" t="s">
        <v>281</v>
      </c>
      <c r="V292" s="3649" t="s">
        <v>3709</v>
      </c>
      <c r="W292" s="3657"/>
      <c r="X292" s="3657" t="s">
        <v>3710</v>
      </c>
      <c r="Y292" s="3657"/>
      <c r="Z292" s="3661"/>
      <c r="AA292" s="3620" t="s">
        <v>3711</v>
      </c>
      <c r="AB292" s="3691" t="s">
        <v>596</v>
      </c>
      <c r="AC292" s="3691">
        <v>2.1536</v>
      </c>
      <c r="AD292" s="3691">
        <f t="shared" ref="AD292:AD305" si="137">AC292*I292</f>
        <v>5168.64</v>
      </c>
      <c r="AE292" s="3645"/>
      <c r="AF292" s="959" t="s">
        <v>2652</v>
      </c>
      <c r="AG292" s="3645" t="s">
        <v>416</v>
      </c>
      <c r="AH292" s="984"/>
      <c r="AI292" s="3691"/>
      <c r="AJ292" s="3691"/>
      <c r="AK292" s="984"/>
      <c r="AL292" s="3664">
        <f>I292</f>
        <v>2400</v>
      </c>
      <c r="AM292" s="3664"/>
      <c r="AN292" s="3691"/>
      <c r="AO292" s="3691">
        <f t="shared" si="118"/>
        <v>2400</v>
      </c>
      <c r="AP292" s="3691"/>
      <c r="AQ292" s="4089"/>
      <c r="AR292" s="877"/>
      <c r="AS292" s="4089"/>
      <c r="AT292" s="877"/>
      <c r="AU292" s="4089">
        <f>I292</f>
        <v>2400</v>
      </c>
      <c r="AV292" s="4089">
        <f>I292/6</f>
        <v>400</v>
      </c>
      <c r="AW292" s="4089"/>
      <c r="AX292" s="4089"/>
      <c r="AY292" s="4089"/>
      <c r="AZ292" s="4089"/>
      <c r="BA292" s="4089"/>
      <c r="BB292" s="4089"/>
      <c r="BC292" s="4089"/>
      <c r="BD292" s="4089"/>
      <c r="BE292" s="4089"/>
      <c r="BF292" s="4089" t="s">
        <v>89</v>
      </c>
      <c r="BG292" s="4089"/>
      <c r="BH292" s="4089">
        <f t="shared" si="128"/>
        <v>400</v>
      </c>
      <c r="BI292" s="4089">
        <f t="shared" si="129"/>
        <v>400</v>
      </c>
      <c r="BJ292" s="4089">
        <f t="shared" si="130"/>
        <v>400</v>
      </c>
      <c r="BK292" s="4089">
        <f t="shared" si="131"/>
        <v>400</v>
      </c>
      <c r="BL292" s="4089">
        <f t="shared" si="132"/>
        <v>400</v>
      </c>
      <c r="BM292" s="4089">
        <f t="shared" si="133"/>
        <v>320</v>
      </c>
      <c r="BN292" s="4089">
        <f t="shared" si="134"/>
        <v>80</v>
      </c>
      <c r="BO292" s="877"/>
      <c r="BP292" s="877"/>
      <c r="BQ292" s="877"/>
      <c r="BR292" s="877"/>
      <c r="BS292" s="877"/>
      <c r="BT292" s="991"/>
      <c r="BU292" s="992"/>
      <c r="BV292" s="4385">
        <f t="shared" si="110"/>
        <v>2400</v>
      </c>
      <c r="BW292" s="4386">
        <f t="shared" si="115"/>
        <v>0</v>
      </c>
      <c r="BX292" s="4387"/>
      <c r="BY292" s="4387"/>
      <c r="BZ292" s="4387"/>
      <c r="CA292" s="4391"/>
      <c r="CC292" s="4392"/>
      <c r="CD292" s="4391"/>
    </row>
    <row r="293" s="4025" customFormat="1" ht="50" customHeight="1" spans="1:82">
      <c r="A293" s="3688">
        <v>45772</v>
      </c>
      <c r="B293" s="3689" t="s">
        <v>1292</v>
      </c>
      <c r="C293" s="3664" t="s">
        <v>569</v>
      </c>
      <c r="D293" s="3690">
        <v>4500164781</v>
      </c>
      <c r="E293" s="3664"/>
      <c r="F293" s="3690" t="s">
        <v>3712</v>
      </c>
      <c r="G293" s="3664" t="s">
        <v>2700</v>
      </c>
      <c r="H293" s="3664" t="s">
        <v>2591</v>
      </c>
      <c r="I293" s="3691">
        <v>504</v>
      </c>
      <c r="J293" s="3691">
        <v>0</v>
      </c>
      <c r="K293" s="3691">
        <v>12</v>
      </c>
      <c r="L293" s="3691">
        <f t="shared" si="108"/>
        <v>42</v>
      </c>
      <c r="M293" s="3659">
        <v>45810</v>
      </c>
      <c r="N293" s="3659">
        <f t="shared" si="136"/>
        <v>45806</v>
      </c>
      <c r="O293" s="3682"/>
      <c r="P293" s="3682" t="s">
        <v>82</v>
      </c>
      <c r="Q293" s="3682"/>
      <c r="R293" s="4083"/>
      <c r="S293" s="4083"/>
      <c r="T293" s="4083"/>
      <c r="U293" s="3645"/>
      <c r="V293" s="3649" t="s">
        <v>1295</v>
      </c>
      <c r="W293" s="3657"/>
      <c r="X293" s="3657" t="s">
        <v>3713</v>
      </c>
      <c r="Y293" s="3657"/>
      <c r="Z293" s="3661"/>
      <c r="AA293" s="3620" t="s">
        <v>3714</v>
      </c>
      <c r="AB293" s="3691" t="s">
        <v>1298</v>
      </c>
      <c r="AC293" s="3691">
        <v>2.1891</v>
      </c>
      <c r="AD293" s="3691">
        <f t="shared" si="137"/>
        <v>1103.3064</v>
      </c>
      <c r="AE293" s="3645"/>
      <c r="AF293" s="3664" t="s">
        <v>2871</v>
      </c>
      <c r="AG293" s="3645" t="s">
        <v>416</v>
      </c>
      <c r="AH293" s="4430"/>
      <c r="AI293" s="3691"/>
      <c r="AJ293" s="3691"/>
      <c r="AK293" s="4430"/>
      <c r="AL293" s="3664">
        <f>I293</f>
        <v>504</v>
      </c>
      <c r="AM293" s="3664"/>
      <c r="AN293" s="3691"/>
      <c r="AO293" s="3691">
        <f t="shared" si="118"/>
        <v>504</v>
      </c>
      <c r="AP293" s="3691"/>
      <c r="AQ293" s="4089"/>
      <c r="AR293" s="4413"/>
      <c r="AS293" s="4089"/>
      <c r="AT293" s="4413"/>
      <c r="AU293" s="4089">
        <f>I293</f>
        <v>504</v>
      </c>
      <c r="AV293" s="4089">
        <f>I293/6</f>
        <v>84</v>
      </c>
      <c r="AW293" s="4089"/>
      <c r="AX293" s="4089"/>
      <c r="AY293" s="4089"/>
      <c r="AZ293" s="4089"/>
      <c r="BA293" s="4089"/>
      <c r="BB293" s="4089"/>
      <c r="BC293" s="4089"/>
      <c r="BD293" s="4089"/>
      <c r="BE293" s="4089"/>
      <c r="BF293" s="4089" t="s">
        <v>89</v>
      </c>
      <c r="BG293" s="4089"/>
      <c r="BH293" s="4089">
        <f t="shared" si="128"/>
        <v>84</v>
      </c>
      <c r="BI293" s="4089">
        <f t="shared" si="129"/>
        <v>84</v>
      </c>
      <c r="BJ293" s="4089">
        <f t="shared" si="130"/>
        <v>84</v>
      </c>
      <c r="BK293" s="4089">
        <f t="shared" si="131"/>
        <v>84</v>
      </c>
      <c r="BL293" s="4089">
        <f t="shared" si="132"/>
        <v>84</v>
      </c>
      <c r="BM293" s="4089">
        <f t="shared" si="133"/>
        <v>67.2</v>
      </c>
      <c r="BN293" s="4089">
        <f t="shared" si="134"/>
        <v>16.8</v>
      </c>
      <c r="BO293" s="4434"/>
      <c r="BP293" s="4434"/>
      <c r="BQ293" s="4434"/>
      <c r="BR293" s="4434"/>
      <c r="BS293" s="4434"/>
      <c r="BT293" s="4435"/>
      <c r="BU293" s="4436"/>
      <c r="BV293" s="4385">
        <f t="shared" si="110"/>
        <v>504</v>
      </c>
      <c r="BW293" s="4386">
        <f t="shared" si="115"/>
        <v>0</v>
      </c>
      <c r="BX293" s="4387"/>
      <c r="BY293" s="4387"/>
      <c r="BZ293" s="4387"/>
      <c r="CA293" s="4391"/>
      <c r="CC293" s="4392"/>
      <c r="CD293" s="4391"/>
    </row>
    <row r="294" s="4025" customFormat="1" ht="50" customHeight="1" spans="1:82">
      <c r="A294" s="3688">
        <v>45770</v>
      </c>
      <c r="B294" s="3689" t="s">
        <v>3715</v>
      </c>
      <c r="C294" s="3664" t="s">
        <v>1279</v>
      </c>
      <c r="D294" s="3690">
        <v>4500163874</v>
      </c>
      <c r="E294" s="3664"/>
      <c r="F294" s="3690" t="s">
        <v>3716</v>
      </c>
      <c r="G294" s="3664" t="s">
        <v>2590</v>
      </c>
      <c r="H294" s="3664" t="s">
        <v>2591</v>
      </c>
      <c r="I294" s="3691">
        <v>600</v>
      </c>
      <c r="J294" s="3691">
        <v>0</v>
      </c>
      <c r="K294" s="3691">
        <v>6</v>
      </c>
      <c r="L294" s="3691">
        <f t="shared" si="108"/>
        <v>100</v>
      </c>
      <c r="M294" s="3659">
        <v>45812</v>
      </c>
      <c r="N294" s="3659">
        <f t="shared" si="136"/>
        <v>45808</v>
      </c>
      <c r="O294" s="4085"/>
      <c r="P294" s="3682" t="s">
        <v>82</v>
      </c>
      <c r="Q294" s="3682"/>
      <c r="R294" s="4083"/>
      <c r="S294" s="4083"/>
      <c r="T294" s="4083"/>
      <c r="U294" s="3645" t="s">
        <v>3660</v>
      </c>
      <c r="V294" s="3649" t="s">
        <v>1267</v>
      </c>
      <c r="W294" s="3657"/>
      <c r="X294" s="3657" t="s">
        <v>3717</v>
      </c>
      <c r="Y294" s="3657"/>
      <c r="Z294" s="3661" t="s">
        <v>3718</v>
      </c>
      <c r="AA294" s="3620" t="s">
        <v>3719</v>
      </c>
      <c r="AB294" s="3691" t="s">
        <v>3720</v>
      </c>
      <c r="AC294" s="3691">
        <v>2.1053</v>
      </c>
      <c r="AD294" s="3691">
        <f t="shared" si="137"/>
        <v>1263.18</v>
      </c>
      <c r="AE294" s="3645"/>
      <c r="AF294" s="3664" t="s">
        <v>3614</v>
      </c>
      <c r="AG294" s="3645" t="s">
        <v>416</v>
      </c>
      <c r="AH294" s="4430"/>
      <c r="AI294" s="3691"/>
      <c r="AJ294" s="3691"/>
      <c r="AK294" s="4430"/>
      <c r="AL294" s="3664">
        <f>I294</f>
        <v>600</v>
      </c>
      <c r="AM294" s="3664"/>
      <c r="AN294" s="3691"/>
      <c r="AO294" s="3691">
        <f t="shared" si="118"/>
        <v>600</v>
      </c>
      <c r="AP294" s="3691"/>
      <c r="AQ294" s="4089"/>
      <c r="AR294" s="4413"/>
      <c r="AS294" s="4089">
        <f>I294</f>
        <v>600</v>
      </c>
      <c r="AT294" s="4413"/>
      <c r="AU294" s="4089"/>
      <c r="AV294" s="4089">
        <f>I294/6</f>
        <v>100</v>
      </c>
      <c r="AW294" s="4089"/>
      <c r="AX294" s="4089"/>
      <c r="AY294" s="4089"/>
      <c r="AZ294" s="4089"/>
      <c r="BA294" s="4089"/>
      <c r="BB294" s="4089"/>
      <c r="BC294" s="4089"/>
      <c r="BD294" s="4089"/>
      <c r="BE294" s="4089"/>
      <c r="BF294" s="4089" t="s">
        <v>89</v>
      </c>
      <c r="BG294" s="4089"/>
      <c r="BH294" s="4089">
        <f t="shared" si="128"/>
        <v>100</v>
      </c>
      <c r="BI294" s="4089">
        <f t="shared" si="129"/>
        <v>100</v>
      </c>
      <c r="BJ294" s="4089">
        <f t="shared" si="130"/>
        <v>100</v>
      </c>
      <c r="BK294" s="4403">
        <f t="shared" si="131"/>
        <v>100</v>
      </c>
      <c r="BL294" s="4385">
        <f t="shared" si="132"/>
        <v>100</v>
      </c>
      <c r="BM294" s="4403">
        <f t="shared" si="133"/>
        <v>80</v>
      </c>
      <c r="BN294" s="4089">
        <f t="shared" si="134"/>
        <v>20</v>
      </c>
      <c r="BO294" s="4434"/>
      <c r="BP294" s="4434"/>
      <c r="BQ294" s="4434"/>
      <c r="BR294" s="4434"/>
      <c r="BS294" s="4434"/>
      <c r="BT294" s="4435"/>
      <c r="BU294" s="4436"/>
      <c r="BV294" s="4385">
        <f t="shared" si="110"/>
        <v>600</v>
      </c>
      <c r="BW294" s="4386">
        <f t="shared" si="115"/>
        <v>0</v>
      </c>
      <c r="BX294" s="4387"/>
      <c r="BY294" s="4387"/>
      <c r="BZ294" s="4387"/>
      <c r="CA294" s="4391"/>
      <c r="CC294" s="4392"/>
      <c r="CD294" s="4391"/>
    </row>
    <row r="295" s="4025" customFormat="1" ht="50" customHeight="1" spans="1:82">
      <c r="A295" s="3688">
        <v>45777</v>
      </c>
      <c r="B295" s="3689" t="s">
        <v>3721</v>
      </c>
      <c r="C295" s="3664" t="s">
        <v>3722</v>
      </c>
      <c r="D295" s="3690">
        <v>4500165462</v>
      </c>
      <c r="E295" s="3664" t="s">
        <v>3723</v>
      </c>
      <c r="F295" s="3690" t="s">
        <v>3724</v>
      </c>
      <c r="G295" s="3664" t="s">
        <v>2806</v>
      </c>
      <c r="H295" s="3664" t="s">
        <v>2591</v>
      </c>
      <c r="I295" s="3691">
        <v>504</v>
      </c>
      <c r="J295" s="3691">
        <v>0</v>
      </c>
      <c r="K295" s="3691">
        <v>12</v>
      </c>
      <c r="L295" s="3691">
        <f t="shared" si="108"/>
        <v>42</v>
      </c>
      <c r="M295" s="3659">
        <v>45812</v>
      </c>
      <c r="N295" s="3659">
        <f t="shared" si="136"/>
        <v>45808</v>
      </c>
      <c r="O295" s="3682"/>
      <c r="P295" s="3682" t="s">
        <v>82</v>
      </c>
      <c r="Q295" s="3682"/>
      <c r="R295" s="4083"/>
      <c r="S295" s="4083"/>
      <c r="T295" s="4083"/>
      <c r="U295" s="3645" t="s">
        <v>3660</v>
      </c>
      <c r="V295" s="3649" t="s">
        <v>3725</v>
      </c>
      <c r="W295" s="3657"/>
      <c r="X295" s="3657" t="s">
        <v>3726</v>
      </c>
      <c r="Y295" s="3657"/>
      <c r="Z295" s="3661"/>
      <c r="AA295" s="3620" t="s">
        <v>3727</v>
      </c>
      <c r="AB295" s="3691" t="s">
        <v>3728</v>
      </c>
      <c r="AC295" s="4087">
        <v>2.1439</v>
      </c>
      <c r="AD295" s="3691">
        <f t="shared" si="137"/>
        <v>1080.5256</v>
      </c>
      <c r="AE295" s="3645"/>
      <c r="AF295" s="3664" t="s">
        <v>2806</v>
      </c>
      <c r="AG295" s="3645" t="s">
        <v>416</v>
      </c>
      <c r="AH295" s="4430"/>
      <c r="AI295" s="3664">
        <f>I295</f>
        <v>504</v>
      </c>
      <c r="AJ295" s="3664"/>
      <c r="AK295" s="4430"/>
      <c r="AL295" s="3664"/>
      <c r="AM295" s="3664"/>
      <c r="AN295" s="3691"/>
      <c r="AO295" s="3691">
        <f t="shared" si="118"/>
        <v>504</v>
      </c>
      <c r="AP295" s="3691"/>
      <c r="AQ295" s="4089"/>
      <c r="AR295" s="4413"/>
      <c r="AS295" s="4089">
        <f>I295</f>
        <v>504</v>
      </c>
      <c r="AT295" s="4413"/>
      <c r="AU295" s="4089"/>
      <c r="AV295" s="4089"/>
      <c r="AW295" s="4089"/>
      <c r="AX295" s="4089">
        <f>I295/6</f>
        <v>84</v>
      </c>
      <c r="AY295" s="4089"/>
      <c r="AZ295" s="4089"/>
      <c r="BA295" s="4089"/>
      <c r="BB295" s="4089"/>
      <c r="BC295" s="4089"/>
      <c r="BD295" s="4089"/>
      <c r="BE295" s="4089"/>
      <c r="BF295" s="4089" t="s">
        <v>89</v>
      </c>
      <c r="BG295" s="4089"/>
      <c r="BH295" s="4089">
        <f t="shared" si="128"/>
        <v>84</v>
      </c>
      <c r="BI295" s="4089">
        <f t="shared" si="129"/>
        <v>84</v>
      </c>
      <c r="BJ295" s="4089">
        <f t="shared" si="130"/>
        <v>84</v>
      </c>
      <c r="BK295" s="4089">
        <f t="shared" si="131"/>
        <v>84</v>
      </c>
      <c r="BL295" s="4089">
        <f t="shared" si="132"/>
        <v>84</v>
      </c>
      <c r="BM295" s="4089">
        <f t="shared" si="133"/>
        <v>67.2</v>
      </c>
      <c r="BN295" s="4089">
        <f t="shared" si="134"/>
        <v>16.8</v>
      </c>
      <c r="BO295" s="4413"/>
      <c r="BP295" s="4413"/>
      <c r="BQ295" s="4413"/>
      <c r="BR295" s="4413"/>
      <c r="BS295" s="4413"/>
      <c r="BT295" s="4431"/>
      <c r="BU295" s="4432"/>
      <c r="BV295" s="4385">
        <f t="shared" si="110"/>
        <v>504</v>
      </c>
      <c r="BW295" s="4386">
        <f t="shared" si="115"/>
        <v>0</v>
      </c>
      <c r="BX295" s="4387"/>
      <c r="BY295" s="4387"/>
      <c r="BZ295" s="4387"/>
      <c r="CA295" s="4391"/>
      <c r="CC295" s="4392"/>
      <c r="CD295" s="4391"/>
    </row>
    <row r="296" s="4025" customFormat="1" ht="50" customHeight="1" spans="1:82">
      <c r="A296" s="3688">
        <v>45758</v>
      </c>
      <c r="B296" s="3689" t="s">
        <v>2812</v>
      </c>
      <c r="C296" s="3664" t="s">
        <v>2813</v>
      </c>
      <c r="D296" s="3690">
        <v>4500163328</v>
      </c>
      <c r="E296" s="3664"/>
      <c r="F296" s="3690" t="s">
        <v>3729</v>
      </c>
      <c r="G296" s="3664" t="s">
        <v>2577</v>
      </c>
      <c r="H296" s="3664" t="s">
        <v>2578</v>
      </c>
      <c r="I296" s="3691">
        <v>2940</v>
      </c>
      <c r="J296" s="3691">
        <v>0</v>
      </c>
      <c r="K296" s="3691">
        <v>12</v>
      </c>
      <c r="L296" s="3691">
        <f t="shared" si="108"/>
        <v>245</v>
      </c>
      <c r="M296" s="3659">
        <v>45814</v>
      </c>
      <c r="N296" s="3659">
        <v>45810</v>
      </c>
      <c r="O296" s="4085"/>
      <c r="P296" s="3682" t="s">
        <v>82</v>
      </c>
      <c r="Q296" s="3682"/>
      <c r="R296" s="4083"/>
      <c r="S296" s="4083"/>
      <c r="T296" s="4083"/>
      <c r="U296" s="3645" t="s">
        <v>277</v>
      </c>
      <c r="V296" s="3649" t="s">
        <v>1176</v>
      </c>
      <c r="W296" s="3657"/>
      <c r="X296" s="3657" t="s">
        <v>3730</v>
      </c>
      <c r="Y296" s="3657"/>
      <c r="Z296" s="3661"/>
      <c r="AA296" s="3620" t="s">
        <v>3731</v>
      </c>
      <c r="AB296" s="3691" t="s">
        <v>1326</v>
      </c>
      <c r="AC296" s="3691">
        <v>2.1392</v>
      </c>
      <c r="AD296" s="3691">
        <f t="shared" si="137"/>
        <v>6289.248</v>
      </c>
      <c r="AE296" s="3645"/>
      <c r="AF296" s="3664" t="s">
        <v>2604</v>
      </c>
      <c r="AG296" s="3645" t="s">
        <v>416</v>
      </c>
      <c r="AH296" s="984"/>
      <c r="AI296" s="3691"/>
      <c r="AJ296" s="3691"/>
      <c r="AK296" s="984"/>
      <c r="AL296" s="3664">
        <f>I296</f>
        <v>2940</v>
      </c>
      <c r="AM296" s="3664"/>
      <c r="AN296" s="3691"/>
      <c r="AO296" s="3691">
        <f t="shared" si="118"/>
        <v>2940</v>
      </c>
      <c r="AP296" s="3691"/>
      <c r="AQ296" s="4089"/>
      <c r="AR296" s="877"/>
      <c r="AS296" s="4089">
        <f>I296</f>
        <v>2940</v>
      </c>
      <c r="AT296" s="877"/>
      <c r="AU296" s="4089"/>
      <c r="AV296" s="4089">
        <f>I296/6</f>
        <v>490</v>
      </c>
      <c r="AW296" s="4089"/>
      <c r="AX296" s="4089"/>
      <c r="AY296" s="4089"/>
      <c r="AZ296" s="4089"/>
      <c r="BA296" s="4089"/>
      <c r="BB296" s="4089"/>
      <c r="BC296" s="4089"/>
      <c r="BD296" s="4089"/>
      <c r="BE296" s="4089"/>
      <c r="BF296" s="4089" t="s">
        <v>89</v>
      </c>
      <c r="BG296" s="4089"/>
      <c r="BH296" s="4089">
        <f t="shared" si="128"/>
        <v>490</v>
      </c>
      <c r="BI296" s="4089">
        <f t="shared" si="129"/>
        <v>490</v>
      </c>
      <c r="BJ296" s="4089">
        <f t="shared" si="130"/>
        <v>490</v>
      </c>
      <c r="BK296" s="4089">
        <f t="shared" si="131"/>
        <v>490</v>
      </c>
      <c r="BL296" s="4089">
        <f t="shared" si="132"/>
        <v>490</v>
      </c>
      <c r="BM296" s="4089">
        <f t="shared" si="133"/>
        <v>392</v>
      </c>
      <c r="BN296" s="4089">
        <f t="shared" si="134"/>
        <v>98</v>
      </c>
      <c r="BO296" s="985"/>
      <c r="BP296" s="985"/>
      <c r="BQ296" s="985"/>
      <c r="BR296" s="985"/>
      <c r="BS296" s="985"/>
      <c r="BT296" s="986"/>
      <c r="BU296" s="987"/>
      <c r="BV296" s="4385">
        <f t="shared" si="110"/>
        <v>2940</v>
      </c>
      <c r="BW296" s="4386">
        <f t="shared" si="115"/>
        <v>0</v>
      </c>
      <c r="BX296" s="4387"/>
      <c r="BY296" s="4387"/>
      <c r="BZ296" s="4387"/>
      <c r="CA296" s="4391"/>
      <c r="CC296" s="4392"/>
      <c r="CD296" s="4391"/>
    </row>
    <row r="297" s="4025" customFormat="1" ht="50" customHeight="1" spans="1:82">
      <c r="A297" s="3688">
        <v>45775</v>
      </c>
      <c r="B297" s="3689" t="s">
        <v>2908</v>
      </c>
      <c r="C297" s="3664" t="s">
        <v>341</v>
      </c>
      <c r="D297" s="3690">
        <v>4500163222</v>
      </c>
      <c r="E297" s="3664" t="s">
        <v>3732</v>
      </c>
      <c r="F297" s="3690" t="s">
        <v>3733</v>
      </c>
      <c r="G297" s="3664" t="s">
        <v>2911</v>
      </c>
      <c r="H297" s="3664" t="s">
        <v>2620</v>
      </c>
      <c r="I297" s="3691">
        <v>2500</v>
      </c>
      <c r="J297" s="3691">
        <v>0</v>
      </c>
      <c r="K297" s="3691">
        <v>4</v>
      </c>
      <c r="L297" s="3691">
        <f t="shared" si="108"/>
        <v>625</v>
      </c>
      <c r="M297" s="3659">
        <v>45814</v>
      </c>
      <c r="N297" s="3659">
        <v>45810</v>
      </c>
      <c r="O297" s="3645" t="s">
        <v>3633</v>
      </c>
      <c r="P297" s="3682" t="s">
        <v>82</v>
      </c>
      <c r="Q297" s="3682"/>
      <c r="R297" s="4083"/>
      <c r="S297" s="4083"/>
      <c r="T297" s="4083"/>
      <c r="U297" s="3645" t="s">
        <v>3633</v>
      </c>
      <c r="V297" s="3649" t="s">
        <v>3734</v>
      </c>
      <c r="W297" s="3657"/>
      <c r="X297" s="3657" t="s">
        <v>98</v>
      </c>
      <c r="Y297" s="3657"/>
      <c r="Z297" s="3682" t="s">
        <v>3735</v>
      </c>
      <c r="AA297" s="3620" t="s">
        <v>3736</v>
      </c>
      <c r="AB297" s="3691" t="s">
        <v>1245</v>
      </c>
      <c r="AC297" s="3691">
        <v>2.1841</v>
      </c>
      <c r="AD297" s="3691">
        <f t="shared" si="137"/>
        <v>5460.25</v>
      </c>
      <c r="AE297" s="3645"/>
      <c r="AF297" s="3664" t="s">
        <v>2911</v>
      </c>
      <c r="AG297" s="3645" t="s">
        <v>416</v>
      </c>
      <c r="AH297" s="4430"/>
      <c r="AI297" s="3664">
        <f>I297</f>
        <v>2500</v>
      </c>
      <c r="AJ297" s="3664"/>
      <c r="AK297" s="4430"/>
      <c r="AL297" s="3664"/>
      <c r="AM297" s="3664"/>
      <c r="AN297" s="3691"/>
      <c r="AO297" s="3691">
        <f t="shared" si="118"/>
        <v>2500</v>
      </c>
      <c r="AP297" s="3691"/>
      <c r="AQ297" s="4089"/>
      <c r="AR297" s="4413"/>
      <c r="AS297" s="4089">
        <f>I297</f>
        <v>2500</v>
      </c>
      <c r="AT297" s="4413"/>
      <c r="AU297" s="4089"/>
      <c r="AV297" s="4089"/>
      <c r="AW297" s="4089"/>
      <c r="AX297" s="4089"/>
      <c r="AY297" s="4089"/>
      <c r="AZ297" s="4089"/>
      <c r="BA297" s="4089">
        <f>I297/4</f>
        <v>625</v>
      </c>
      <c r="BB297" s="4089"/>
      <c r="BC297" s="4089"/>
      <c r="BD297" s="4089"/>
      <c r="BE297" s="4089"/>
      <c r="BF297" s="4089" t="s">
        <v>89</v>
      </c>
      <c r="BG297" s="4089"/>
      <c r="BH297" s="4089">
        <f t="shared" si="128"/>
        <v>416.666666666667</v>
      </c>
      <c r="BI297" s="4089">
        <f t="shared" si="129"/>
        <v>416.666666666667</v>
      </c>
      <c r="BJ297" s="4089">
        <f t="shared" si="130"/>
        <v>416.666666666667</v>
      </c>
      <c r="BK297" s="4089">
        <f t="shared" si="131"/>
        <v>416.666666666667</v>
      </c>
      <c r="BL297" s="4089">
        <f t="shared" si="132"/>
        <v>416.666666666667</v>
      </c>
      <c r="BM297" s="4089">
        <f t="shared" si="133"/>
        <v>333.333333333333</v>
      </c>
      <c r="BN297" s="4089">
        <f t="shared" si="134"/>
        <v>83.3333333333333</v>
      </c>
      <c r="BO297" s="1048"/>
      <c r="BP297" s="1048"/>
      <c r="BQ297" s="1048"/>
      <c r="BR297" s="1048"/>
      <c r="BS297" s="1048"/>
      <c r="BT297" s="4414"/>
      <c r="BU297" s="4415"/>
      <c r="BV297" s="4385">
        <f t="shared" si="110"/>
        <v>2500</v>
      </c>
      <c r="BW297" s="4386">
        <f t="shared" si="115"/>
        <v>0</v>
      </c>
      <c r="BX297" s="4387"/>
      <c r="BY297" s="4387"/>
      <c r="BZ297" s="4387"/>
      <c r="CA297" s="4391"/>
      <c r="CC297" s="4392"/>
      <c r="CD297" s="4391"/>
    </row>
    <row r="298" s="4025" customFormat="1" ht="50" customHeight="1" spans="1:82">
      <c r="A298" s="4429">
        <v>45771</v>
      </c>
      <c r="B298" s="4080" t="s">
        <v>2976</v>
      </c>
      <c r="C298" s="3663" t="s">
        <v>471</v>
      </c>
      <c r="D298" s="4077">
        <v>4500164851</v>
      </c>
      <c r="E298" s="3664">
        <v>4500185989</v>
      </c>
      <c r="F298" s="4077" t="s">
        <v>3737</v>
      </c>
      <c r="G298" s="3664" t="s">
        <v>2700</v>
      </c>
      <c r="H298" s="3664" t="s">
        <v>2591</v>
      </c>
      <c r="I298" s="3691">
        <v>1500</v>
      </c>
      <c r="J298" s="3691">
        <v>0</v>
      </c>
      <c r="K298" s="3691">
        <v>12</v>
      </c>
      <c r="L298" s="3691">
        <f t="shared" si="108"/>
        <v>125</v>
      </c>
      <c r="M298" s="3659">
        <v>45814</v>
      </c>
      <c r="N298" s="3659">
        <v>45810</v>
      </c>
      <c r="O298" s="3664" t="s">
        <v>3738</v>
      </c>
      <c r="P298" s="3682" t="s">
        <v>82</v>
      </c>
      <c r="Q298" s="3682"/>
      <c r="R298" s="4083"/>
      <c r="S298" s="4083"/>
      <c r="T298" s="4083"/>
      <c r="U298" s="3682" t="s">
        <v>3739</v>
      </c>
      <c r="V298" s="3649" t="s">
        <v>3740</v>
      </c>
      <c r="W298" s="3657"/>
      <c r="X298" s="3657" t="s">
        <v>3741</v>
      </c>
      <c r="Y298" s="3657"/>
      <c r="Z298" s="3661" t="s">
        <v>3742</v>
      </c>
      <c r="AA298" s="3620" t="s">
        <v>3743</v>
      </c>
      <c r="AB298" s="4446" t="s">
        <v>2624</v>
      </c>
      <c r="AC298" s="3691">
        <v>2.1844</v>
      </c>
      <c r="AD298" s="3691">
        <f t="shared" si="137"/>
        <v>3276.6</v>
      </c>
      <c r="AE298" s="3645"/>
      <c r="AF298" s="3664" t="s">
        <v>2871</v>
      </c>
      <c r="AG298" s="3645" t="s">
        <v>416</v>
      </c>
      <c r="AH298" s="4448"/>
      <c r="AI298" s="3691"/>
      <c r="AJ298" s="3691"/>
      <c r="AK298" s="4448"/>
      <c r="AL298" s="3664">
        <f>I298</f>
        <v>1500</v>
      </c>
      <c r="AM298" s="3664"/>
      <c r="AN298" s="3691"/>
      <c r="AO298" s="3691">
        <f t="shared" si="118"/>
        <v>1500</v>
      </c>
      <c r="AP298" s="3691"/>
      <c r="AQ298" s="4089"/>
      <c r="AR298" s="4411"/>
      <c r="AS298" s="4089"/>
      <c r="AT298" s="4411"/>
      <c r="AU298" s="4089">
        <f>I298</f>
        <v>1500</v>
      </c>
      <c r="AV298" s="4089">
        <f>I298/6</f>
        <v>250</v>
      </c>
      <c r="AW298" s="4089"/>
      <c r="AX298" s="4089"/>
      <c r="AY298" s="4089"/>
      <c r="AZ298" s="4089"/>
      <c r="BA298" s="4089"/>
      <c r="BB298" s="4089"/>
      <c r="BC298" s="4089"/>
      <c r="BD298" s="4089"/>
      <c r="BE298" s="4089"/>
      <c r="BF298" s="4089" t="s">
        <v>89</v>
      </c>
      <c r="BG298" s="4089"/>
      <c r="BH298" s="4089">
        <f t="shared" si="128"/>
        <v>250</v>
      </c>
      <c r="BI298" s="4089">
        <f t="shared" si="129"/>
        <v>250</v>
      </c>
      <c r="BJ298" s="4089">
        <f t="shared" si="130"/>
        <v>250</v>
      </c>
      <c r="BK298" s="4089">
        <f t="shared" si="131"/>
        <v>250</v>
      </c>
      <c r="BL298" s="4089">
        <f t="shared" si="132"/>
        <v>250</v>
      </c>
      <c r="BM298" s="4089">
        <f t="shared" si="133"/>
        <v>200</v>
      </c>
      <c r="BN298" s="4089">
        <f t="shared" si="134"/>
        <v>50</v>
      </c>
      <c r="BO298" s="4449"/>
      <c r="BP298" s="4449"/>
      <c r="BQ298" s="4449"/>
      <c r="BR298" s="4449"/>
      <c r="BS298" s="4449"/>
      <c r="BT298" s="4450"/>
      <c r="BU298" s="4451"/>
      <c r="BV298" s="4385">
        <f t="shared" si="110"/>
        <v>1500</v>
      </c>
      <c r="BW298" s="4386">
        <f t="shared" si="115"/>
        <v>0</v>
      </c>
      <c r="BX298" s="4387"/>
      <c r="BY298" s="4387"/>
      <c r="BZ298" s="4387"/>
      <c r="CA298" s="4391"/>
      <c r="CC298" s="4392"/>
      <c r="CD298" s="4391"/>
    </row>
    <row r="299" s="4025" customFormat="1" ht="50" customHeight="1" spans="1:82">
      <c r="A299" s="4429">
        <v>45754</v>
      </c>
      <c r="B299" s="4080" t="s">
        <v>3744</v>
      </c>
      <c r="C299" s="3663" t="s">
        <v>91</v>
      </c>
      <c r="D299" s="4077">
        <v>4500162695</v>
      </c>
      <c r="E299" s="3664" t="s">
        <v>3745</v>
      </c>
      <c r="F299" s="4077" t="s">
        <v>3746</v>
      </c>
      <c r="G299" s="3664" t="s">
        <v>2608</v>
      </c>
      <c r="H299" s="3664" t="s">
        <v>2609</v>
      </c>
      <c r="I299" s="3691">
        <v>33684</v>
      </c>
      <c r="J299" s="3691">
        <v>0</v>
      </c>
      <c r="K299" s="3691">
        <v>6</v>
      </c>
      <c r="L299" s="3691">
        <f t="shared" si="108"/>
        <v>5614</v>
      </c>
      <c r="M299" s="3659">
        <v>45817</v>
      </c>
      <c r="N299" s="3659">
        <v>45813</v>
      </c>
      <c r="O299" s="3659" t="s">
        <v>3747</v>
      </c>
      <c r="P299" s="3682" t="s">
        <v>82</v>
      </c>
      <c r="Q299" s="3682"/>
      <c r="R299" s="4083"/>
      <c r="S299" s="4083"/>
      <c r="T299" s="4083"/>
      <c r="U299" s="3645" t="s">
        <v>1335</v>
      </c>
      <c r="V299" s="3649" t="s">
        <v>3748</v>
      </c>
      <c r="W299" s="3657"/>
      <c r="X299" s="3657" t="s">
        <v>98</v>
      </c>
      <c r="Y299" s="3657" t="s">
        <v>3749</v>
      </c>
      <c r="Z299" s="3661" t="s">
        <v>3750</v>
      </c>
      <c r="AA299" s="3620" t="s">
        <v>3751</v>
      </c>
      <c r="AB299" s="4446" t="s">
        <v>1607</v>
      </c>
      <c r="AC299" s="4087">
        <v>2.0236</v>
      </c>
      <c r="AD299" s="3691">
        <f t="shared" si="137"/>
        <v>68162.9424</v>
      </c>
      <c r="AE299" s="3645" t="s">
        <v>3752</v>
      </c>
      <c r="AF299" s="3664" t="s">
        <v>2608</v>
      </c>
      <c r="AG299" s="3645" t="s">
        <v>416</v>
      </c>
      <c r="AH299" s="984"/>
      <c r="AI299" s="3691"/>
      <c r="AJ299" s="3691"/>
      <c r="AK299" s="984"/>
      <c r="AL299" s="3664"/>
      <c r="AM299" s="3664"/>
      <c r="AN299" s="3691">
        <f>I299</f>
        <v>33684</v>
      </c>
      <c r="AO299" s="3691">
        <f t="shared" si="118"/>
        <v>33684</v>
      </c>
      <c r="AP299" s="3691"/>
      <c r="AQ299" s="4089"/>
      <c r="AR299" s="877"/>
      <c r="AS299" s="4089">
        <f t="shared" ref="AS299:AS316" si="138">I299</f>
        <v>33684</v>
      </c>
      <c r="AT299" s="877"/>
      <c r="AU299" s="4089"/>
      <c r="AV299" s="4089"/>
      <c r="AW299" s="4089"/>
      <c r="AX299" s="4089"/>
      <c r="AY299" s="4089"/>
      <c r="AZ299" s="4089"/>
      <c r="BA299" s="4089"/>
      <c r="BB299" s="4089"/>
      <c r="BC299" s="4089"/>
      <c r="BD299" s="4089"/>
      <c r="BE299" s="4089"/>
      <c r="BF299" s="4089" t="s">
        <v>89</v>
      </c>
      <c r="BG299" s="4089"/>
      <c r="BH299" s="4089">
        <f t="shared" si="128"/>
        <v>5614</v>
      </c>
      <c r="BI299" s="4089">
        <f t="shared" si="129"/>
        <v>5614</v>
      </c>
      <c r="BJ299" s="4089">
        <f t="shared" si="130"/>
        <v>5614</v>
      </c>
      <c r="BK299" s="4403">
        <f t="shared" si="131"/>
        <v>5614</v>
      </c>
      <c r="BL299" s="4385">
        <f t="shared" si="132"/>
        <v>5614</v>
      </c>
      <c r="BM299" s="4403">
        <f t="shared" si="133"/>
        <v>4491.2</v>
      </c>
      <c r="BN299" s="4089">
        <f t="shared" si="134"/>
        <v>1122.8</v>
      </c>
      <c r="BO299" s="985"/>
      <c r="BP299" s="985"/>
      <c r="BQ299" s="985"/>
      <c r="BR299" s="985"/>
      <c r="BS299" s="985"/>
      <c r="BT299" s="986"/>
      <c r="BU299" s="987"/>
      <c r="BV299" s="4385">
        <f t="shared" si="110"/>
        <v>33684</v>
      </c>
      <c r="BW299" s="4386">
        <f t="shared" si="115"/>
        <v>0</v>
      </c>
      <c r="BX299" s="4387"/>
      <c r="BY299" s="4387"/>
      <c r="BZ299" s="4387"/>
      <c r="CA299" s="4391"/>
      <c r="CC299" s="4392"/>
      <c r="CD299" s="4391"/>
    </row>
    <row r="300" s="4025" customFormat="1" ht="50" customHeight="1" spans="1:82">
      <c r="A300" s="3688">
        <v>45755</v>
      </c>
      <c r="B300" s="3689" t="s">
        <v>2597</v>
      </c>
      <c r="C300" s="3664" t="s">
        <v>738</v>
      </c>
      <c r="D300" s="3690">
        <v>4500162848</v>
      </c>
      <c r="E300" s="3664"/>
      <c r="F300" s="3690" t="s">
        <v>3753</v>
      </c>
      <c r="G300" s="3664" t="s">
        <v>2577</v>
      </c>
      <c r="H300" s="3664" t="s">
        <v>2578</v>
      </c>
      <c r="I300" s="3691">
        <v>2040</v>
      </c>
      <c r="J300" s="3691">
        <v>0</v>
      </c>
      <c r="K300" s="3691">
        <v>12</v>
      </c>
      <c r="L300" s="3691">
        <f t="shared" si="108"/>
        <v>170</v>
      </c>
      <c r="M300" s="3659">
        <v>45817</v>
      </c>
      <c r="N300" s="3659">
        <f>M300-4</f>
        <v>45813</v>
      </c>
      <c r="O300" s="3664" t="s">
        <v>191</v>
      </c>
      <c r="P300" s="3682" t="s">
        <v>82</v>
      </c>
      <c r="Q300" s="3682"/>
      <c r="R300" s="4083"/>
      <c r="S300" s="4083"/>
      <c r="T300" s="4083"/>
      <c r="U300" s="3645" t="s">
        <v>191</v>
      </c>
      <c r="V300" s="3657" t="s">
        <v>3709</v>
      </c>
      <c r="W300" s="3657"/>
      <c r="X300" s="3657" t="s">
        <v>3754</v>
      </c>
      <c r="Y300" s="3657"/>
      <c r="Z300" s="3661"/>
      <c r="AA300" s="3620" t="s">
        <v>3755</v>
      </c>
      <c r="AB300" s="3691" t="s">
        <v>1257</v>
      </c>
      <c r="AC300" s="3691">
        <v>2.1392</v>
      </c>
      <c r="AD300" s="3691">
        <f t="shared" si="137"/>
        <v>4363.968</v>
      </c>
      <c r="AE300" s="3645"/>
      <c r="AF300" s="3664" t="s">
        <v>2604</v>
      </c>
      <c r="AG300" s="3645" t="s">
        <v>416</v>
      </c>
      <c r="AH300" s="4448"/>
      <c r="AI300" s="3691"/>
      <c r="AJ300" s="3691"/>
      <c r="AK300" s="4448"/>
      <c r="AL300" s="3664">
        <f>I300</f>
        <v>2040</v>
      </c>
      <c r="AM300" s="3664"/>
      <c r="AN300" s="3691"/>
      <c r="AO300" s="3691">
        <f t="shared" si="118"/>
        <v>2040</v>
      </c>
      <c r="AP300" s="3691"/>
      <c r="AQ300" s="4089"/>
      <c r="AR300" s="4411"/>
      <c r="AS300" s="4089">
        <f t="shared" si="138"/>
        <v>2040</v>
      </c>
      <c r="AT300" s="4411"/>
      <c r="AU300" s="4089"/>
      <c r="AV300" s="4089">
        <f>I300/6</f>
        <v>340</v>
      </c>
      <c r="AW300" s="4089"/>
      <c r="AX300" s="4089"/>
      <c r="AY300" s="4089"/>
      <c r="AZ300" s="4089"/>
      <c r="BA300" s="4089"/>
      <c r="BB300" s="4089"/>
      <c r="BC300" s="4089"/>
      <c r="BD300" s="4089"/>
      <c r="BE300" s="4089"/>
      <c r="BF300" s="4089" t="s">
        <v>89</v>
      </c>
      <c r="BG300" s="4089"/>
      <c r="BH300" s="4089">
        <f t="shared" si="128"/>
        <v>340</v>
      </c>
      <c r="BI300" s="4089">
        <f t="shared" si="129"/>
        <v>340</v>
      </c>
      <c r="BJ300" s="4089">
        <f t="shared" si="130"/>
        <v>340</v>
      </c>
      <c r="BK300" s="4089">
        <f t="shared" si="131"/>
        <v>340</v>
      </c>
      <c r="BL300" s="4089">
        <f t="shared" si="132"/>
        <v>340</v>
      </c>
      <c r="BM300" s="4089">
        <f t="shared" si="133"/>
        <v>272</v>
      </c>
      <c r="BN300" s="4089">
        <f t="shared" si="134"/>
        <v>68</v>
      </c>
      <c r="BO300" s="4089"/>
      <c r="BP300" s="4089"/>
      <c r="BQ300" s="4089"/>
      <c r="BR300" s="4089"/>
      <c r="BS300" s="4089"/>
      <c r="BT300" s="4404"/>
      <c r="BU300" s="4403"/>
      <c r="BV300" s="4385">
        <f t="shared" si="110"/>
        <v>2040</v>
      </c>
      <c r="BW300" s="4386">
        <f t="shared" si="115"/>
        <v>0</v>
      </c>
      <c r="BX300" s="4387"/>
      <c r="BY300" s="4387"/>
      <c r="BZ300" s="4387"/>
      <c r="CA300" s="4391"/>
      <c r="CC300" s="4392"/>
      <c r="CD300" s="4391"/>
    </row>
    <row r="301" s="4025" customFormat="1" ht="50" customHeight="1" spans="1:82">
      <c r="A301" s="3688">
        <v>45754</v>
      </c>
      <c r="B301" s="3689" t="s">
        <v>3744</v>
      </c>
      <c r="C301" s="3664" t="s">
        <v>91</v>
      </c>
      <c r="D301" s="3690">
        <v>4500162695</v>
      </c>
      <c r="E301" s="3664" t="s">
        <v>3756</v>
      </c>
      <c r="F301" s="3690" t="s">
        <v>3757</v>
      </c>
      <c r="G301" s="3664" t="s">
        <v>2608</v>
      </c>
      <c r="H301" s="3664" t="s">
        <v>2609</v>
      </c>
      <c r="I301" s="3691">
        <v>33684</v>
      </c>
      <c r="J301" s="3691">
        <v>0</v>
      </c>
      <c r="K301" s="3691">
        <v>6</v>
      </c>
      <c r="L301" s="3691">
        <f t="shared" si="108"/>
        <v>5614</v>
      </c>
      <c r="M301" s="3659">
        <v>45817</v>
      </c>
      <c r="N301" s="3659">
        <v>45813</v>
      </c>
      <c r="O301" s="3659" t="s">
        <v>3758</v>
      </c>
      <c r="P301" s="3682" t="s">
        <v>82</v>
      </c>
      <c r="Q301" s="3682"/>
      <c r="R301" s="4083"/>
      <c r="S301" s="4083"/>
      <c r="T301" s="4083"/>
      <c r="U301" s="3645" t="s">
        <v>3759</v>
      </c>
      <c r="V301" s="3649" t="s">
        <v>3748</v>
      </c>
      <c r="W301" s="3657"/>
      <c r="X301" s="3657" t="s">
        <v>98</v>
      </c>
      <c r="Y301" s="3657" t="s">
        <v>3749</v>
      </c>
      <c r="Z301" s="3661" t="s">
        <v>3760</v>
      </c>
      <c r="AA301" s="3620" t="s">
        <v>3751</v>
      </c>
      <c r="AB301" s="3691" t="s">
        <v>1607</v>
      </c>
      <c r="AC301" s="4087">
        <v>2.1797</v>
      </c>
      <c r="AD301" s="3691">
        <f t="shared" si="137"/>
        <v>73421.0148</v>
      </c>
      <c r="AE301" s="3645" t="s">
        <v>3761</v>
      </c>
      <c r="AF301" s="3664" t="s">
        <v>2608</v>
      </c>
      <c r="AG301" s="3645" t="s">
        <v>416</v>
      </c>
      <c r="AH301" s="984"/>
      <c r="AI301" s="3691"/>
      <c r="AJ301" s="3691"/>
      <c r="AK301" s="984"/>
      <c r="AL301" s="3664"/>
      <c r="AM301" s="3664"/>
      <c r="AN301" s="3691">
        <f>I301</f>
        <v>33684</v>
      </c>
      <c r="AO301" s="3691">
        <f t="shared" si="118"/>
        <v>33684</v>
      </c>
      <c r="AP301" s="3691"/>
      <c r="AQ301" s="4089"/>
      <c r="AR301" s="877"/>
      <c r="AS301" s="4089">
        <f t="shared" si="138"/>
        <v>33684</v>
      </c>
      <c r="AT301" s="877"/>
      <c r="AU301" s="4089"/>
      <c r="AV301" s="4089"/>
      <c r="AW301" s="4089"/>
      <c r="AX301" s="4089"/>
      <c r="AY301" s="4089"/>
      <c r="AZ301" s="4089"/>
      <c r="BA301" s="4089"/>
      <c r="BB301" s="4089"/>
      <c r="BC301" s="4089"/>
      <c r="BD301" s="4089"/>
      <c r="BE301" s="4089"/>
      <c r="BF301" s="4089" t="s">
        <v>89</v>
      </c>
      <c r="BG301" s="4089"/>
      <c r="BH301" s="4089">
        <f t="shared" si="128"/>
        <v>5614</v>
      </c>
      <c r="BI301" s="4089">
        <f t="shared" si="129"/>
        <v>5614</v>
      </c>
      <c r="BJ301" s="4089">
        <f t="shared" si="130"/>
        <v>5614</v>
      </c>
      <c r="BK301" s="4403">
        <f t="shared" si="131"/>
        <v>5614</v>
      </c>
      <c r="BL301" s="4385">
        <f t="shared" si="132"/>
        <v>5614</v>
      </c>
      <c r="BM301" s="4403">
        <f t="shared" si="133"/>
        <v>4491.2</v>
      </c>
      <c r="BN301" s="4089">
        <f t="shared" si="134"/>
        <v>1122.8</v>
      </c>
      <c r="BO301" s="877"/>
      <c r="BP301" s="877"/>
      <c r="BQ301" s="877"/>
      <c r="BR301" s="877"/>
      <c r="BS301" s="877"/>
      <c r="BT301" s="991"/>
      <c r="BU301" s="992"/>
      <c r="BV301" s="4385">
        <f t="shared" si="110"/>
        <v>33684</v>
      </c>
      <c r="BW301" s="4386">
        <f t="shared" si="115"/>
        <v>0</v>
      </c>
      <c r="BX301" s="4387"/>
      <c r="BY301" s="4387"/>
      <c r="BZ301" s="4387"/>
      <c r="CA301" s="4388"/>
      <c r="CC301" s="4389"/>
      <c r="CD301" s="4388"/>
    </row>
    <row r="302" s="4025" customFormat="1" ht="50" customHeight="1" spans="1:82">
      <c r="A302" s="4429">
        <v>45730</v>
      </c>
      <c r="B302" s="4080" t="s">
        <v>2605</v>
      </c>
      <c r="C302" s="3663" t="s">
        <v>91</v>
      </c>
      <c r="D302" s="4077">
        <v>4500160244</v>
      </c>
      <c r="E302" s="4452" t="s">
        <v>3762</v>
      </c>
      <c r="F302" s="4077" t="s">
        <v>3763</v>
      </c>
      <c r="G302" s="3664" t="s">
        <v>2608</v>
      </c>
      <c r="H302" s="3664" t="s">
        <v>2609</v>
      </c>
      <c r="I302" s="3691">
        <v>33684</v>
      </c>
      <c r="J302" s="3691">
        <v>0</v>
      </c>
      <c r="K302" s="3691">
        <v>6</v>
      </c>
      <c r="L302" s="3691">
        <f t="shared" si="108"/>
        <v>5614</v>
      </c>
      <c r="M302" s="3659">
        <v>45817</v>
      </c>
      <c r="N302" s="3659">
        <v>45813</v>
      </c>
      <c r="O302" s="3659" t="s">
        <v>3758</v>
      </c>
      <c r="P302" s="3682" t="s">
        <v>82</v>
      </c>
      <c r="Q302" s="3682"/>
      <c r="R302" s="4083"/>
      <c r="S302" s="4083"/>
      <c r="T302" s="4083"/>
      <c r="U302" s="3645" t="s">
        <v>3759</v>
      </c>
      <c r="V302" s="3649" t="s">
        <v>3368</v>
      </c>
      <c r="W302" s="3649"/>
      <c r="X302" s="3657" t="s">
        <v>98</v>
      </c>
      <c r="Y302" s="3657" t="s">
        <v>3369</v>
      </c>
      <c r="Z302" s="3661" t="s">
        <v>3764</v>
      </c>
      <c r="AA302" s="3620" t="s">
        <v>3765</v>
      </c>
      <c r="AB302" s="4084" t="s">
        <v>1607</v>
      </c>
      <c r="AC302" s="4087">
        <v>2.1264</v>
      </c>
      <c r="AD302" s="3691">
        <f t="shared" si="137"/>
        <v>71625.6576</v>
      </c>
      <c r="AE302" s="3645" t="s">
        <v>3766</v>
      </c>
      <c r="AF302" s="3664" t="s">
        <v>2608</v>
      </c>
      <c r="AG302" s="3645" t="s">
        <v>416</v>
      </c>
      <c r="AH302" s="875"/>
      <c r="AI302" s="3664"/>
      <c r="AJ302" s="3664"/>
      <c r="AK302" s="875"/>
      <c r="AL302" s="3664"/>
      <c r="AM302" s="3664"/>
      <c r="AN302" s="3691">
        <f>I302</f>
        <v>33684</v>
      </c>
      <c r="AO302" s="3691">
        <f t="shared" si="118"/>
        <v>33684</v>
      </c>
      <c r="AP302" s="3691"/>
      <c r="AQ302" s="4089"/>
      <c r="AR302" s="878"/>
      <c r="AS302" s="4089">
        <f t="shared" si="138"/>
        <v>33684</v>
      </c>
      <c r="AT302" s="878"/>
      <c r="AU302" s="4089"/>
      <c r="AV302" s="4089"/>
      <c r="AW302" s="4089"/>
      <c r="AX302" s="4089"/>
      <c r="AY302" s="4089"/>
      <c r="AZ302" s="4089"/>
      <c r="BA302" s="4089"/>
      <c r="BB302" s="4089"/>
      <c r="BC302" s="4089"/>
      <c r="BD302" s="4089"/>
      <c r="BE302" s="4089"/>
      <c r="BF302" s="4089" t="s">
        <v>89</v>
      </c>
      <c r="BG302" s="4089"/>
      <c r="BH302" s="4089">
        <f t="shared" si="128"/>
        <v>5614</v>
      </c>
      <c r="BI302" s="4089">
        <f t="shared" si="129"/>
        <v>5614</v>
      </c>
      <c r="BJ302" s="4089">
        <f t="shared" si="130"/>
        <v>5614</v>
      </c>
      <c r="BK302" s="4403">
        <f t="shared" si="131"/>
        <v>5614</v>
      </c>
      <c r="BL302" s="4385">
        <f t="shared" si="132"/>
        <v>5614</v>
      </c>
      <c r="BM302" s="4403">
        <f t="shared" si="133"/>
        <v>4491.2</v>
      </c>
      <c r="BN302" s="4089">
        <f t="shared" si="134"/>
        <v>1122.8</v>
      </c>
      <c r="BO302" s="877"/>
      <c r="BP302" s="877"/>
      <c r="BQ302" s="877"/>
      <c r="BR302" s="877"/>
      <c r="BS302" s="877"/>
      <c r="BT302" s="991"/>
      <c r="BU302" s="992"/>
      <c r="BV302" s="4385">
        <f t="shared" si="110"/>
        <v>33684</v>
      </c>
      <c r="BW302" s="4386">
        <f t="shared" si="115"/>
        <v>0</v>
      </c>
      <c r="BX302" s="4387"/>
      <c r="BY302" s="4387"/>
      <c r="BZ302" s="4387"/>
      <c r="CA302" s="4391"/>
      <c r="CC302" s="4392"/>
      <c r="CD302" s="4391"/>
    </row>
    <row r="303" s="4025" customFormat="1" ht="50" customHeight="1" spans="1:82">
      <c r="A303" s="4429">
        <v>45730</v>
      </c>
      <c r="B303" s="4080" t="s">
        <v>2605</v>
      </c>
      <c r="C303" s="3663" t="s">
        <v>91</v>
      </c>
      <c r="D303" s="4077">
        <v>4500160253</v>
      </c>
      <c r="E303" s="3664"/>
      <c r="F303" s="4077" t="s">
        <v>3767</v>
      </c>
      <c r="G303" s="3664" t="s">
        <v>2608</v>
      </c>
      <c r="H303" s="3664" t="s">
        <v>2609</v>
      </c>
      <c r="I303" s="3691">
        <v>33684</v>
      </c>
      <c r="J303" s="3691">
        <v>0</v>
      </c>
      <c r="K303" s="3691">
        <v>6</v>
      </c>
      <c r="L303" s="3691">
        <f t="shared" si="108"/>
        <v>5614</v>
      </c>
      <c r="M303" s="3659">
        <v>45817</v>
      </c>
      <c r="N303" s="3659">
        <v>45813</v>
      </c>
      <c r="O303" s="3659" t="s">
        <v>3758</v>
      </c>
      <c r="P303" s="3682" t="s">
        <v>82</v>
      </c>
      <c r="Q303" s="3682"/>
      <c r="R303" s="4083"/>
      <c r="S303" s="4083"/>
      <c r="T303" s="4083"/>
      <c r="U303" s="3645"/>
      <c r="V303" s="3649" t="s">
        <v>3748</v>
      </c>
      <c r="W303" s="3649"/>
      <c r="X303" s="3657" t="s">
        <v>98</v>
      </c>
      <c r="Y303" s="3657" t="s">
        <v>3768</v>
      </c>
      <c r="Z303" s="3661" t="s">
        <v>3764</v>
      </c>
      <c r="AA303" s="3620" t="s">
        <v>3769</v>
      </c>
      <c r="AB303" s="4084" t="s">
        <v>1607</v>
      </c>
      <c r="AC303" s="4087">
        <v>2.1247</v>
      </c>
      <c r="AD303" s="3691">
        <f t="shared" si="137"/>
        <v>71568.3948</v>
      </c>
      <c r="AE303" s="3645" t="s">
        <v>3770</v>
      </c>
      <c r="AF303" s="3664" t="s">
        <v>2608</v>
      </c>
      <c r="AG303" s="3645" t="s">
        <v>416</v>
      </c>
      <c r="AH303" s="875"/>
      <c r="AI303" s="3664"/>
      <c r="AJ303" s="3664"/>
      <c r="AK303" s="875"/>
      <c r="AL303" s="3664"/>
      <c r="AM303" s="3664"/>
      <c r="AN303" s="3691">
        <f>I303</f>
        <v>33684</v>
      </c>
      <c r="AO303" s="3691">
        <f t="shared" si="118"/>
        <v>33684</v>
      </c>
      <c r="AP303" s="3691"/>
      <c r="AQ303" s="4089"/>
      <c r="AR303" s="878"/>
      <c r="AS303" s="4089">
        <f t="shared" si="138"/>
        <v>33684</v>
      </c>
      <c r="AT303" s="878"/>
      <c r="AU303" s="4089"/>
      <c r="AV303" s="4089"/>
      <c r="AW303" s="4089"/>
      <c r="AX303" s="4089"/>
      <c r="AY303" s="4089"/>
      <c r="AZ303" s="4089"/>
      <c r="BA303" s="4089"/>
      <c r="BB303" s="4089"/>
      <c r="BC303" s="4089"/>
      <c r="BD303" s="4089"/>
      <c r="BE303" s="4089"/>
      <c r="BF303" s="4089" t="s">
        <v>89</v>
      </c>
      <c r="BG303" s="4089"/>
      <c r="BH303" s="4089">
        <f t="shared" si="128"/>
        <v>5614</v>
      </c>
      <c r="BI303" s="4089">
        <f t="shared" si="129"/>
        <v>5614</v>
      </c>
      <c r="BJ303" s="4089">
        <f t="shared" si="130"/>
        <v>5614</v>
      </c>
      <c r="BK303" s="4403">
        <f t="shared" si="131"/>
        <v>5614</v>
      </c>
      <c r="BL303" s="4385">
        <f t="shared" si="132"/>
        <v>5614</v>
      </c>
      <c r="BM303" s="4403">
        <f t="shared" si="133"/>
        <v>4491.2</v>
      </c>
      <c r="BN303" s="4089">
        <f t="shared" si="134"/>
        <v>1122.8</v>
      </c>
      <c r="BO303" s="877"/>
      <c r="BP303" s="877"/>
      <c r="BQ303" s="877"/>
      <c r="BR303" s="877"/>
      <c r="BS303" s="877"/>
      <c r="BT303" s="991"/>
      <c r="BU303" s="992"/>
      <c r="BV303" s="4385">
        <f t="shared" si="110"/>
        <v>33684</v>
      </c>
      <c r="BW303" s="4386">
        <f t="shared" si="115"/>
        <v>0</v>
      </c>
      <c r="BX303" s="4387"/>
      <c r="BY303" s="4387"/>
      <c r="BZ303" s="4387"/>
      <c r="CA303" s="4391"/>
      <c r="CC303" s="4392"/>
      <c r="CD303" s="4391"/>
    </row>
    <row r="304" s="4025" customFormat="1" ht="50" customHeight="1" spans="1:82">
      <c r="A304" s="3688">
        <v>45750</v>
      </c>
      <c r="B304" s="3689" t="s">
        <v>3771</v>
      </c>
      <c r="C304" s="3664" t="s">
        <v>3772</v>
      </c>
      <c r="D304" s="3690">
        <v>4500162560</v>
      </c>
      <c r="E304" s="3664" t="s">
        <v>3773</v>
      </c>
      <c r="F304" s="3690" t="s">
        <v>3774</v>
      </c>
      <c r="G304" s="3664" t="s">
        <v>3775</v>
      </c>
      <c r="H304" s="3664" t="s">
        <v>3353</v>
      </c>
      <c r="I304" s="3618">
        <v>10020</v>
      </c>
      <c r="J304" s="3618">
        <v>0</v>
      </c>
      <c r="K304" s="3618">
        <v>12</v>
      </c>
      <c r="L304" s="3618">
        <f t="shared" si="108"/>
        <v>835</v>
      </c>
      <c r="M304" s="3659">
        <v>45817</v>
      </c>
      <c r="N304" s="3659">
        <v>45828</v>
      </c>
      <c r="O304" s="3657" t="s">
        <v>3776</v>
      </c>
      <c r="P304" s="3682" t="s">
        <v>82</v>
      </c>
      <c r="Q304" s="3682"/>
      <c r="R304" s="4083"/>
      <c r="S304" s="4083"/>
      <c r="T304" s="4083"/>
      <c r="U304" s="3645" t="s">
        <v>3759</v>
      </c>
      <c r="V304" s="3649" t="s">
        <v>3777</v>
      </c>
      <c r="W304" s="3657"/>
      <c r="X304" s="3657" t="s">
        <v>3778</v>
      </c>
      <c r="Y304" s="3657"/>
      <c r="Z304" s="3657" t="s">
        <v>3779</v>
      </c>
      <c r="AA304" s="3620" t="s">
        <v>3780</v>
      </c>
      <c r="AB304" s="3691" t="s">
        <v>559</v>
      </c>
      <c r="AC304" s="3618">
        <v>4.8085</v>
      </c>
      <c r="AD304" s="3618">
        <f t="shared" si="137"/>
        <v>48181.17</v>
      </c>
      <c r="AE304" s="3645"/>
      <c r="AF304" s="3664" t="s">
        <v>3775</v>
      </c>
      <c r="AG304" s="3645" t="s">
        <v>416</v>
      </c>
      <c r="AH304" s="3664"/>
      <c r="AI304" s="3691"/>
      <c r="AJ304" s="3691"/>
      <c r="AK304" s="3664"/>
      <c r="AL304" s="3664"/>
      <c r="AM304" s="3664"/>
      <c r="AN304" s="3691">
        <f>I304</f>
        <v>10020</v>
      </c>
      <c r="AO304" s="3691"/>
      <c r="AP304" s="3691"/>
      <c r="AQ304" s="4089">
        <f>I304</f>
        <v>10020</v>
      </c>
      <c r="AR304" s="4089"/>
      <c r="AS304" s="4089">
        <f t="shared" si="138"/>
        <v>10020</v>
      </c>
      <c r="AT304" s="4089"/>
      <c r="AU304" s="4089"/>
      <c r="AV304" s="4089"/>
      <c r="AW304" s="4089"/>
      <c r="AX304" s="4089"/>
      <c r="AY304" s="4089"/>
      <c r="AZ304" s="4089"/>
      <c r="BA304" s="4089"/>
      <c r="BB304" s="4089"/>
      <c r="BC304" s="4089">
        <f>I304</f>
        <v>10020</v>
      </c>
      <c r="BD304" s="4089"/>
      <c r="BE304" s="4089"/>
      <c r="BF304" s="4089" t="s">
        <v>89</v>
      </c>
      <c r="BG304" s="4089"/>
      <c r="BH304" s="4089">
        <f t="shared" si="128"/>
        <v>1670</v>
      </c>
      <c r="BI304" s="4089">
        <f t="shared" si="129"/>
        <v>1670</v>
      </c>
      <c r="BJ304" s="4089">
        <f t="shared" si="130"/>
        <v>1670</v>
      </c>
      <c r="BK304" s="4089">
        <f t="shared" si="131"/>
        <v>1670</v>
      </c>
      <c r="BL304" s="4089">
        <f t="shared" si="132"/>
        <v>1670</v>
      </c>
      <c r="BM304" s="4089">
        <f t="shared" si="133"/>
        <v>1336</v>
      </c>
      <c r="BN304" s="4089">
        <f t="shared" si="134"/>
        <v>334</v>
      </c>
      <c r="BO304" s="4411"/>
      <c r="BP304" s="4411"/>
      <c r="BQ304" s="4411"/>
      <c r="BR304" s="4411"/>
      <c r="BS304" s="4411"/>
      <c r="BT304" s="4453"/>
      <c r="BU304" s="4454"/>
      <c r="BV304" s="4385">
        <f t="shared" si="110"/>
        <v>10020</v>
      </c>
      <c r="BW304" s="4386">
        <f t="shared" si="115"/>
        <v>0</v>
      </c>
      <c r="BX304" s="4387"/>
      <c r="BY304" s="4387"/>
      <c r="BZ304" s="4387"/>
      <c r="CA304" s="4391" t="str">
        <f>VLOOKUP(D304&amp;G304&amp;H304&amp;I304,'9298 版本变更明细'!C:AJ,34,FALSE)</f>
        <v>A版本口水胶+C版本配件包（香味贴纸/指定配件）</v>
      </c>
      <c r="CC304" s="4392"/>
      <c r="CD304" s="4391"/>
    </row>
    <row r="305" s="4025" customFormat="1" ht="50" customHeight="1" spans="1:82">
      <c r="A305" s="3688">
        <v>45726</v>
      </c>
      <c r="B305" s="3689" t="s">
        <v>3781</v>
      </c>
      <c r="C305" s="3664" t="s">
        <v>738</v>
      </c>
      <c r="D305" s="3690">
        <v>4500159682</v>
      </c>
      <c r="E305" s="3664" t="s">
        <v>3782</v>
      </c>
      <c r="F305" s="3690" t="s">
        <v>3783</v>
      </c>
      <c r="G305" s="3664" t="s">
        <v>2577</v>
      </c>
      <c r="H305" s="3664" t="s">
        <v>2578</v>
      </c>
      <c r="I305" s="3691">
        <v>552</v>
      </c>
      <c r="J305" s="3691">
        <v>0</v>
      </c>
      <c r="K305" s="3691">
        <v>12</v>
      </c>
      <c r="L305" s="3691">
        <f t="shared" si="108"/>
        <v>46</v>
      </c>
      <c r="M305" s="3659">
        <v>45818</v>
      </c>
      <c r="N305" s="3659">
        <v>45814</v>
      </c>
      <c r="O305" s="3645" t="s">
        <v>194</v>
      </c>
      <c r="P305" s="3682" t="s">
        <v>82</v>
      </c>
      <c r="Q305" s="3682"/>
      <c r="R305" s="4083"/>
      <c r="S305" s="4083"/>
      <c r="T305" s="4083"/>
      <c r="U305" s="3645" t="s">
        <v>194</v>
      </c>
      <c r="V305" s="3649" t="s">
        <v>3777</v>
      </c>
      <c r="W305" s="3657"/>
      <c r="X305" s="3657" t="s">
        <v>3784</v>
      </c>
      <c r="Y305" s="3657"/>
      <c r="Z305" s="3661"/>
      <c r="AA305" s="3620" t="s">
        <v>3785</v>
      </c>
      <c r="AB305" s="3691" t="s">
        <v>1257</v>
      </c>
      <c r="AC305" s="3691">
        <v>2.1891</v>
      </c>
      <c r="AD305" s="3691">
        <f t="shared" si="137"/>
        <v>1208.3832</v>
      </c>
      <c r="AE305" s="3645"/>
      <c r="AF305" s="3664" t="s">
        <v>2604</v>
      </c>
      <c r="AG305" s="3645" t="s">
        <v>416</v>
      </c>
      <c r="AH305" s="3664"/>
      <c r="AI305" s="3691"/>
      <c r="AJ305" s="3691"/>
      <c r="AK305" s="3664"/>
      <c r="AL305" s="3664">
        <f>I305</f>
        <v>552</v>
      </c>
      <c r="AM305" s="3664"/>
      <c r="AN305" s="3691"/>
      <c r="AO305" s="3691">
        <f t="shared" ref="AO305:AO314" si="139">I305</f>
        <v>552</v>
      </c>
      <c r="AP305" s="3691"/>
      <c r="AQ305" s="4089"/>
      <c r="AR305" s="4411"/>
      <c r="AS305" s="4089">
        <f t="shared" si="138"/>
        <v>552</v>
      </c>
      <c r="AT305" s="4411"/>
      <c r="AU305" s="4089"/>
      <c r="AV305" s="4089">
        <f>I305/6</f>
        <v>92</v>
      </c>
      <c r="AW305" s="4089"/>
      <c r="AX305" s="4089"/>
      <c r="AY305" s="4089"/>
      <c r="AZ305" s="4089"/>
      <c r="BA305" s="4089"/>
      <c r="BB305" s="4089"/>
      <c r="BC305" s="4089"/>
      <c r="BD305" s="4089"/>
      <c r="BE305" s="4089"/>
      <c r="BF305" s="4089" t="s">
        <v>89</v>
      </c>
      <c r="BG305" s="4089"/>
      <c r="BH305" s="4089">
        <f t="shared" si="128"/>
        <v>92</v>
      </c>
      <c r="BI305" s="4089">
        <f t="shared" si="129"/>
        <v>92</v>
      </c>
      <c r="BJ305" s="4089">
        <f t="shared" si="130"/>
        <v>92</v>
      </c>
      <c r="BK305" s="4089">
        <f t="shared" si="131"/>
        <v>92</v>
      </c>
      <c r="BL305" s="4089">
        <f t="shared" si="132"/>
        <v>92</v>
      </c>
      <c r="BM305" s="4089">
        <f t="shared" si="133"/>
        <v>73.6</v>
      </c>
      <c r="BN305" s="4089">
        <f t="shared" si="134"/>
        <v>18.4</v>
      </c>
      <c r="BO305" s="4089"/>
      <c r="BP305" s="4089"/>
      <c r="BQ305" s="4089"/>
      <c r="BR305" s="4089"/>
      <c r="BS305" s="4089"/>
      <c r="BT305" s="4404"/>
      <c r="BU305" s="4403"/>
      <c r="BV305" s="4385">
        <f t="shared" si="110"/>
        <v>552</v>
      </c>
      <c r="BW305" s="4386">
        <f t="shared" si="115"/>
        <v>0</v>
      </c>
      <c r="BX305" s="4387"/>
      <c r="BY305" s="4387"/>
      <c r="BZ305" s="4387"/>
      <c r="CA305" s="4391"/>
      <c r="CC305" s="4392"/>
      <c r="CD305" s="4391"/>
    </row>
    <row r="306" s="4025" customFormat="1" ht="50" customHeight="1" spans="1:82">
      <c r="A306" s="4428">
        <v>45789</v>
      </c>
      <c r="B306" s="959" t="s">
        <v>3495</v>
      </c>
      <c r="C306" s="959" t="s">
        <v>91</v>
      </c>
      <c r="D306" s="3618">
        <v>4500166060</v>
      </c>
      <c r="E306" s="5458" t="s">
        <v>3786</v>
      </c>
      <c r="F306" s="3618" t="s">
        <v>3787</v>
      </c>
      <c r="G306" s="959" t="s">
        <v>3068</v>
      </c>
      <c r="H306" s="3664" t="s">
        <v>3069</v>
      </c>
      <c r="I306" s="3691">
        <v>2688</v>
      </c>
      <c r="J306" s="3691">
        <v>2</v>
      </c>
      <c r="K306" s="3691">
        <v>384</v>
      </c>
      <c r="L306" s="3691">
        <f t="shared" ref="L306:L369" si="140">I306/K306</f>
        <v>7</v>
      </c>
      <c r="M306" s="3659">
        <v>45818</v>
      </c>
      <c r="N306" s="3659">
        <v>45814</v>
      </c>
      <c r="O306" s="3682" t="s">
        <v>3788</v>
      </c>
      <c r="P306" s="3682" t="s">
        <v>82</v>
      </c>
      <c r="Q306" s="3682"/>
      <c r="R306" s="4083"/>
      <c r="S306" s="4083"/>
      <c r="T306" s="4083"/>
      <c r="U306" s="3645" t="s">
        <v>3702</v>
      </c>
      <c r="V306" s="3657" t="s">
        <v>3703</v>
      </c>
      <c r="W306" s="3657"/>
      <c r="X306" s="3649" t="s">
        <v>3073</v>
      </c>
      <c r="Y306" s="3657" t="s">
        <v>3704</v>
      </c>
      <c r="Z306" s="3661"/>
      <c r="AA306" s="3620" t="s">
        <v>3705</v>
      </c>
      <c r="AB306" s="3618" t="s">
        <v>3706</v>
      </c>
      <c r="AC306" s="4087">
        <v>531.79</v>
      </c>
      <c r="AD306" s="3691">
        <f>AC306*L306</f>
        <v>3722.53</v>
      </c>
      <c r="AE306" s="3645" t="s">
        <v>3789</v>
      </c>
      <c r="AF306" s="3664" t="s">
        <v>3078</v>
      </c>
      <c r="AG306" s="3645" t="s">
        <v>416</v>
      </c>
      <c r="AH306" s="3708"/>
      <c r="AI306" s="3691">
        <f>I306</f>
        <v>2688</v>
      </c>
      <c r="AJ306" s="3691"/>
      <c r="AK306" s="3708"/>
      <c r="AL306" s="3664"/>
      <c r="AM306" s="3664"/>
      <c r="AN306" s="3691"/>
      <c r="AO306" s="3691">
        <f t="shared" si="139"/>
        <v>2688</v>
      </c>
      <c r="AP306" s="3691"/>
      <c r="AQ306" s="4089"/>
      <c r="AR306" s="1048"/>
      <c r="AS306" s="4089">
        <f t="shared" si="138"/>
        <v>2688</v>
      </c>
      <c r="AT306" s="1048"/>
      <c r="AU306" s="4089"/>
      <c r="AV306" s="4089"/>
      <c r="AW306" s="4089"/>
      <c r="AX306" s="4089"/>
      <c r="AY306" s="4089"/>
      <c r="AZ306" s="4089"/>
      <c r="BA306" s="4089"/>
      <c r="BB306" s="4089">
        <f>I306/2</f>
        <v>1344</v>
      </c>
      <c r="BC306" s="4089"/>
      <c r="BD306" s="4089"/>
      <c r="BE306" s="4089"/>
      <c r="BF306" s="4089" t="s">
        <v>682</v>
      </c>
      <c r="BG306" s="4089"/>
      <c r="BH306" s="4089">
        <f t="shared" si="128"/>
        <v>448</v>
      </c>
      <c r="BI306" s="4089">
        <f t="shared" si="129"/>
        <v>448</v>
      </c>
      <c r="BJ306" s="4089">
        <f t="shared" si="130"/>
        <v>448</v>
      </c>
      <c r="BK306" s="4089">
        <f t="shared" si="131"/>
        <v>448</v>
      </c>
      <c r="BL306" s="4089">
        <f t="shared" si="132"/>
        <v>448</v>
      </c>
      <c r="BM306" s="4089">
        <f t="shared" si="133"/>
        <v>358.4</v>
      </c>
      <c r="BN306" s="4089">
        <f t="shared" si="134"/>
        <v>89.6</v>
      </c>
      <c r="BO306" s="4447"/>
      <c r="BP306" s="4447"/>
      <c r="BQ306" s="4447"/>
      <c r="BR306" s="4447"/>
      <c r="BS306" s="4447"/>
      <c r="BT306" s="4447"/>
      <c r="BU306" s="4447"/>
      <c r="BV306" s="4385">
        <f t="shared" ref="BV306:BV369" si="141">SUM(BH306:BU306)</f>
        <v>2688</v>
      </c>
      <c r="BW306" s="4386">
        <f t="shared" si="115"/>
        <v>0</v>
      </c>
      <c r="BX306" s="4387"/>
      <c r="BY306" s="4387"/>
      <c r="BZ306" s="4387"/>
      <c r="CA306" s="4391"/>
      <c r="CC306" s="4392"/>
      <c r="CD306" s="4391"/>
    </row>
    <row r="307" s="4025" customFormat="1" ht="50" customHeight="1" spans="1:82">
      <c r="A307" s="4428">
        <v>45789</v>
      </c>
      <c r="B307" s="959" t="s">
        <v>3495</v>
      </c>
      <c r="C307" s="959" t="s">
        <v>91</v>
      </c>
      <c r="D307" s="3618">
        <v>4500166060</v>
      </c>
      <c r="E307" s="5458" t="s">
        <v>3790</v>
      </c>
      <c r="F307" s="3618" t="s">
        <v>3791</v>
      </c>
      <c r="G307" s="959" t="s">
        <v>3068</v>
      </c>
      <c r="H307" s="3664" t="s">
        <v>3069</v>
      </c>
      <c r="I307" s="3691">
        <v>2304</v>
      </c>
      <c r="J307" s="3691">
        <v>2</v>
      </c>
      <c r="K307" s="3691">
        <v>384</v>
      </c>
      <c r="L307" s="3691">
        <f t="shared" si="140"/>
        <v>6</v>
      </c>
      <c r="M307" s="3659">
        <v>45818</v>
      </c>
      <c r="N307" s="3659">
        <v>45814</v>
      </c>
      <c r="O307" s="3682" t="s">
        <v>3788</v>
      </c>
      <c r="P307" s="3682" t="s">
        <v>82</v>
      </c>
      <c r="Q307" s="3682"/>
      <c r="R307" s="4083"/>
      <c r="S307" s="4083"/>
      <c r="T307" s="4083"/>
      <c r="U307" s="3645" t="s">
        <v>3702</v>
      </c>
      <c r="V307" s="3657" t="s">
        <v>3703</v>
      </c>
      <c r="W307" s="3657"/>
      <c r="X307" s="3649" t="s">
        <v>3073</v>
      </c>
      <c r="Y307" s="3657" t="s">
        <v>3704</v>
      </c>
      <c r="Z307" s="3661"/>
      <c r="AA307" s="3620" t="s">
        <v>3705</v>
      </c>
      <c r="AB307" s="3618" t="s">
        <v>3706</v>
      </c>
      <c r="AC307" s="4087">
        <v>531.79</v>
      </c>
      <c r="AD307" s="3691">
        <f>AC307*L307</f>
        <v>3190.74</v>
      </c>
      <c r="AE307" s="3645" t="s">
        <v>3792</v>
      </c>
      <c r="AF307" s="3664" t="s">
        <v>3078</v>
      </c>
      <c r="AG307" s="3645" t="s">
        <v>416</v>
      </c>
      <c r="AH307" s="3708"/>
      <c r="AI307" s="3691">
        <f>I307</f>
        <v>2304</v>
      </c>
      <c r="AJ307" s="3691"/>
      <c r="AK307" s="3708"/>
      <c r="AL307" s="3664"/>
      <c r="AM307" s="3664"/>
      <c r="AN307" s="3691"/>
      <c r="AO307" s="3691">
        <f t="shared" si="139"/>
        <v>2304</v>
      </c>
      <c r="AP307" s="3691"/>
      <c r="AQ307" s="4089"/>
      <c r="AR307" s="1048"/>
      <c r="AS307" s="4089">
        <f t="shared" si="138"/>
        <v>2304</v>
      </c>
      <c r="AT307" s="1048"/>
      <c r="AU307" s="4089"/>
      <c r="AV307" s="4089"/>
      <c r="AW307" s="4089"/>
      <c r="AX307" s="4089"/>
      <c r="AY307" s="4089"/>
      <c r="AZ307" s="4089"/>
      <c r="BA307" s="4089"/>
      <c r="BB307" s="4089">
        <f>I307/2</f>
        <v>1152</v>
      </c>
      <c r="BC307" s="4089"/>
      <c r="BD307" s="4089"/>
      <c r="BE307" s="4089"/>
      <c r="BF307" s="4089" t="s">
        <v>682</v>
      </c>
      <c r="BG307" s="4089"/>
      <c r="BH307" s="4089">
        <f t="shared" si="128"/>
        <v>384</v>
      </c>
      <c r="BI307" s="4089">
        <f t="shared" si="129"/>
        <v>384</v>
      </c>
      <c r="BJ307" s="4089">
        <f t="shared" si="130"/>
        <v>384</v>
      </c>
      <c r="BK307" s="4089">
        <f t="shared" si="131"/>
        <v>384</v>
      </c>
      <c r="BL307" s="4089">
        <f t="shared" si="132"/>
        <v>384</v>
      </c>
      <c r="BM307" s="4089">
        <f t="shared" si="133"/>
        <v>307.2</v>
      </c>
      <c r="BN307" s="4089">
        <f t="shared" si="134"/>
        <v>76.8</v>
      </c>
      <c r="BO307" s="4447"/>
      <c r="BP307" s="4447"/>
      <c r="BQ307" s="4447"/>
      <c r="BR307" s="4447"/>
      <c r="BS307" s="4447"/>
      <c r="BT307" s="4447"/>
      <c r="BU307" s="4447"/>
      <c r="BV307" s="4385">
        <f t="shared" si="141"/>
        <v>2304</v>
      </c>
      <c r="BW307" s="4386">
        <f t="shared" si="115"/>
        <v>0</v>
      </c>
      <c r="BX307" s="4387"/>
      <c r="BY307" s="4387"/>
      <c r="BZ307" s="4387"/>
      <c r="CA307" s="4391"/>
      <c r="CC307" s="4392"/>
      <c r="CD307" s="4391"/>
    </row>
    <row r="308" s="4025" customFormat="1" ht="50" customHeight="1" spans="1:82">
      <c r="A308" s="3635">
        <v>45789</v>
      </c>
      <c r="B308" s="3617" t="s">
        <v>3495</v>
      </c>
      <c r="C308" s="3617" t="s">
        <v>91</v>
      </c>
      <c r="D308" s="3624">
        <v>4500166060</v>
      </c>
      <c r="E308" s="5458" t="s">
        <v>3793</v>
      </c>
      <c r="F308" s="3624" t="s">
        <v>3794</v>
      </c>
      <c r="G308" s="959" t="s">
        <v>3068</v>
      </c>
      <c r="H308" s="3664" t="s">
        <v>3069</v>
      </c>
      <c r="I308" s="3691">
        <v>1536</v>
      </c>
      <c r="J308" s="3691">
        <v>2</v>
      </c>
      <c r="K308" s="3691">
        <v>384</v>
      </c>
      <c r="L308" s="3691">
        <f t="shared" si="140"/>
        <v>4</v>
      </c>
      <c r="M308" s="3659">
        <v>45818</v>
      </c>
      <c r="N308" s="3659">
        <v>45814</v>
      </c>
      <c r="O308" s="3682" t="s">
        <v>3788</v>
      </c>
      <c r="P308" s="3682" t="s">
        <v>82</v>
      </c>
      <c r="Q308" s="3682"/>
      <c r="R308" s="4083"/>
      <c r="S308" s="4083"/>
      <c r="T308" s="4083"/>
      <c r="U308" s="3645" t="s">
        <v>3702</v>
      </c>
      <c r="V308" s="3649" t="s">
        <v>3703</v>
      </c>
      <c r="W308" s="3657"/>
      <c r="X308" s="3657" t="s">
        <v>3073</v>
      </c>
      <c r="Y308" s="3657" t="s">
        <v>3704</v>
      </c>
      <c r="Z308" s="3661"/>
      <c r="AA308" s="3620" t="s">
        <v>3705</v>
      </c>
      <c r="AB308" s="3632" t="s">
        <v>3706</v>
      </c>
      <c r="AC308" s="4087">
        <v>531.79</v>
      </c>
      <c r="AD308" s="3691">
        <f>AC308*L308</f>
        <v>2127.16</v>
      </c>
      <c r="AE308" s="3645" t="s">
        <v>3795</v>
      </c>
      <c r="AF308" s="3664" t="s">
        <v>3078</v>
      </c>
      <c r="AG308" s="3645" t="s">
        <v>416</v>
      </c>
      <c r="AH308" s="3708"/>
      <c r="AI308" s="3691">
        <f>I308</f>
        <v>1536</v>
      </c>
      <c r="AJ308" s="3691"/>
      <c r="AK308" s="3708"/>
      <c r="AL308" s="3664"/>
      <c r="AM308" s="3664"/>
      <c r="AN308" s="3691"/>
      <c r="AO308" s="3691">
        <f t="shared" si="139"/>
        <v>1536</v>
      </c>
      <c r="AP308" s="3691"/>
      <c r="AQ308" s="4089"/>
      <c r="AR308" s="1048"/>
      <c r="AS308" s="4089">
        <f t="shared" si="138"/>
        <v>1536</v>
      </c>
      <c r="AT308" s="1048"/>
      <c r="AU308" s="4089"/>
      <c r="AV308" s="4089"/>
      <c r="AW308" s="4089"/>
      <c r="AX308" s="4089"/>
      <c r="AY308" s="4089"/>
      <c r="AZ308" s="4089"/>
      <c r="BA308" s="4089"/>
      <c r="BB308" s="4089">
        <f>I308/2</f>
        <v>768</v>
      </c>
      <c r="BC308" s="4089"/>
      <c r="BD308" s="4089"/>
      <c r="BE308" s="4089"/>
      <c r="BF308" s="4089" t="s">
        <v>682</v>
      </c>
      <c r="BG308" s="4089"/>
      <c r="BH308" s="4089">
        <f t="shared" si="128"/>
        <v>256</v>
      </c>
      <c r="BI308" s="4089">
        <f t="shared" si="129"/>
        <v>256</v>
      </c>
      <c r="BJ308" s="4089">
        <f t="shared" si="130"/>
        <v>256</v>
      </c>
      <c r="BK308" s="4089">
        <f t="shared" si="131"/>
        <v>256</v>
      </c>
      <c r="BL308" s="4089">
        <f t="shared" si="132"/>
        <v>256</v>
      </c>
      <c r="BM308" s="4089">
        <f t="shared" si="133"/>
        <v>204.8</v>
      </c>
      <c r="BN308" s="4089">
        <f t="shared" si="134"/>
        <v>51.2</v>
      </c>
      <c r="BO308" s="4455"/>
      <c r="BP308" s="4455"/>
      <c r="BQ308" s="4455"/>
      <c r="BR308" s="4455"/>
      <c r="BS308" s="4455"/>
      <c r="BT308" s="4455"/>
      <c r="BU308" s="4455"/>
      <c r="BV308" s="4385">
        <f t="shared" si="141"/>
        <v>1536</v>
      </c>
      <c r="BW308" s="4386">
        <f t="shared" si="115"/>
        <v>0</v>
      </c>
      <c r="BX308" s="4387"/>
      <c r="BY308" s="4387"/>
      <c r="BZ308" s="4387"/>
      <c r="CA308" s="4391"/>
      <c r="CC308" s="4392"/>
      <c r="CD308" s="4391"/>
    </row>
    <row r="309" s="4025" customFormat="1" ht="50" customHeight="1" spans="1:82">
      <c r="A309" s="3635">
        <v>45789</v>
      </c>
      <c r="B309" s="3617" t="s">
        <v>3495</v>
      </c>
      <c r="C309" s="3617" t="s">
        <v>91</v>
      </c>
      <c r="D309" s="3624">
        <v>4500166060</v>
      </c>
      <c r="E309" s="5458" t="s">
        <v>3796</v>
      </c>
      <c r="F309" s="3624" t="s">
        <v>3797</v>
      </c>
      <c r="G309" s="959" t="s">
        <v>3068</v>
      </c>
      <c r="H309" s="3664" t="s">
        <v>3069</v>
      </c>
      <c r="I309" s="3691">
        <v>2304</v>
      </c>
      <c r="J309" s="3691">
        <v>2</v>
      </c>
      <c r="K309" s="3691">
        <v>384</v>
      </c>
      <c r="L309" s="3691">
        <f t="shared" si="140"/>
        <v>6</v>
      </c>
      <c r="M309" s="3659">
        <v>45818</v>
      </c>
      <c r="N309" s="3659">
        <v>45814</v>
      </c>
      <c r="O309" s="3682" t="s">
        <v>3788</v>
      </c>
      <c r="P309" s="3682" t="s">
        <v>82</v>
      </c>
      <c r="Q309" s="3682"/>
      <c r="R309" s="4083"/>
      <c r="S309" s="4083"/>
      <c r="T309" s="4083"/>
      <c r="U309" s="3645" t="s">
        <v>3702</v>
      </c>
      <c r="V309" s="3649" t="s">
        <v>3703</v>
      </c>
      <c r="W309" s="3657"/>
      <c r="X309" s="3657" t="s">
        <v>3073</v>
      </c>
      <c r="Y309" s="3657" t="s">
        <v>3704</v>
      </c>
      <c r="Z309" s="3661"/>
      <c r="AA309" s="3620" t="s">
        <v>3705</v>
      </c>
      <c r="AB309" s="3632" t="s">
        <v>3706</v>
      </c>
      <c r="AC309" s="4087">
        <v>531.79</v>
      </c>
      <c r="AD309" s="3691">
        <f>AC309*L309</f>
        <v>3190.74</v>
      </c>
      <c r="AE309" s="3645" t="s">
        <v>3798</v>
      </c>
      <c r="AF309" s="3664" t="s">
        <v>3078</v>
      </c>
      <c r="AG309" s="3645" t="s">
        <v>416</v>
      </c>
      <c r="AH309" s="3708"/>
      <c r="AI309" s="3691">
        <f>I309</f>
        <v>2304</v>
      </c>
      <c r="AJ309" s="3691"/>
      <c r="AK309" s="3708"/>
      <c r="AL309" s="3664"/>
      <c r="AM309" s="3664"/>
      <c r="AN309" s="3691"/>
      <c r="AO309" s="3691">
        <f t="shared" si="139"/>
        <v>2304</v>
      </c>
      <c r="AP309" s="3691"/>
      <c r="AQ309" s="4089"/>
      <c r="AR309" s="1048"/>
      <c r="AS309" s="4089">
        <f t="shared" si="138"/>
        <v>2304</v>
      </c>
      <c r="AT309" s="1048"/>
      <c r="AU309" s="4089"/>
      <c r="AV309" s="4089"/>
      <c r="AW309" s="4089"/>
      <c r="AX309" s="4089"/>
      <c r="AY309" s="4089"/>
      <c r="AZ309" s="4089"/>
      <c r="BA309" s="4089"/>
      <c r="BB309" s="4089">
        <f>I309/2</f>
        <v>1152</v>
      </c>
      <c r="BC309" s="4089"/>
      <c r="BD309" s="4089"/>
      <c r="BE309" s="4089"/>
      <c r="BF309" s="4089" t="s">
        <v>682</v>
      </c>
      <c r="BG309" s="4089"/>
      <c r="BH309" s="4089">
        <f t="shared" si="128"/>
        <v>384</v>
      </c>
      <c r="BI309" s="4089">
        <f t="shared" si="129"/>
        <v>384</v>
      </c>
      <c r="BJ309" s="4089">
        <f t="shared" si="130"/>
        <v>384</v>
      </c>
      <c r="BK309" s="4089">
        <f t="shared" si="131"/>
        <v>384</v>
      </c>
      <c r="BL309" s="4089">
        <f t="shared" si="132"/>
        <v>384</v>
      </c>
      <c r="BM309" s="4089">
        <f t="shared" si="133"/>
        <v>307.2</v>
      </c>
      <c r="BN309" s="4089">
        <f t="shared" si="134"/>
        <v>76.8</v>
      </c>
      <c r="BO309" s="4455"/>
      <c r="BP309" s="4455"/>
      <c r="BQ309" s="4455"/>
      <c r="BR309" s="4455"/>
      <c r="BS309" s="4455"/>
      <c r="BT309" s="4455"/>
      <c r="BU309" s="4455"/>
      <c r="BV309" s="4385">
        <f t="shared" si="141"/>
        <v>2304</v>
      </c>
      <c r="BW309" s="4386">
        <f t="shared" si="115"/>
        <v>0</v>
      </c>
      <c r="BX309" s="4387"/>
      <c r="BY309" s="4387"/>
      <c r="BZ309" s="4387"/>
      <c r="CA309" s="4391"/>
      <c r="CC309" s="4392"/>
      <c r="CD309" s="4391"/>
    </row>
    <row r="310" s="4025" customFormat="1" ht="50" customHeight="1" spans="1:82">
      <c r="A310" s="3635">
        <v>45786</v>
      </c>
      <c r="B310" s="3617" t="s">
        <v>3799</v>
      </c>
      <c r="C310" s="3617" t="s">
        <v>738</v>
      </c>
      <c r="D310" s="3624">
        <v>4500165792</v>
      </c>
      <c r="E310" s="959"/>
      <c r="F310" s="3617" t="s">
        <v>3800</v>
      </c>
      <c r="G310" s="959" t="s">
        <v>2577</v>
      </c>
      <c r="H310" s="3664" t="s">
        <v>2578</v>
      </c>
      <c r="I310" s="3691">
        <v>1404</v>
      </c>
      <c r="J310" s="3691">
        <v>0</v>
      </c>
      <c r="K310" s="3691">
        <v>12</v>
      </c>
      <c r="L310" s="3691">
        <f t="shared" si="140"/>
        <v>117</v>
      </c>
      <c r="M310" s="3659">
        <v>45818</v>
      </c>
      <c r="N310" s="3659">
        <v>45832</v>
      </c>
      <c r="O310" s="3682"/>
      <c r="P310" s="3691" t="s">
        <v>82</v>
      </c>
      <c r="Q310" s="3691"/>
      <c r="R310" s="4094"/>
      <c r="S310" s="4094"/>
      <c r="T310" s="4094"/>
      <c r="U310" s="3645" t="s">
        <v>3801</v>
      </c>
      <c r="V310" s="3649" t="s">
        <v>3802</v>
      </c>
      <c r="W310" s="3657"/>
      <c r="X310" s="3657" t="s">
        <v>3803</v>
      </c>
      <c r="Y310" s="3657"/>
      <c r="Z310" s="3661"/>
      <c r="AA310" s="3620" t="s">
        <v>3804</v>
      </c>
      <c r="AB310" s="3632" t="s">
        <v>3805</v>
      </c>
      <c r="AC310" s="3691">
        <v>2.1392</v>
      </c>
      <c r="AD310" s="3691">
        <f>AC310*I310</f>
        <v>3003.4368</v>
      </c>
      <c r="AE310" s="3645"/>
      <c r="AF310" s="3664" t="s">
        <v>2604</v>
      </c>
      <c r="AG310" s="3645" t="s">
        <v>416</v>
      </c>
      <c r="AH310" s="3664"/>
      <c r="AI310" s="3691"/>
      <c r="AJ310" s="3691"/>
      <c r="AK310" s="3664"/>
      <c r="AL310" s="3664">
        <f>I310</f>
        <v>1404</v>
      </c>
      <c r="AM310" s="3664"/>
      <c r="AN310" s="3691"/>
      <c r="AO310" s="3691">
        <f t="shared" si="139"/>
        <v>1404</v>
      </c>
      <c r="AP310" s="3691"/>
      <c r="AQ310" s="4089"/>
      <c r="AR310" s="4089"/>
      <c r="AS310" s="4089">
        <f t="shared" si="138"/>
        <v>1404</v>
      </c>
      <c r="AT310" s="4089"/>
      <c r="AU310" s="4089"/>
      <c r="AV310" s="4089">
        <f>I310/6</f>
        <v>234</v>
      </c>
      <c r="AW310" s="4089"/>
      <c r="AX310" s="4089"/>
      <c r="AY310" s="4089"/>
      <c r="AZ310" s="4089"/>
      <c r="BA310" s="4089"/>
      <c r="BB310" s="4089"/>
      <c r="BC310" s="4089"/>
      <c r="BD310" s="4089"/>
      <c r="BE310" s="4089"/>
      <c r="BF310" s="4089" t="s">
        <v>89</v>
      </c>
      <c r="BG310" s="4089"/>
      <c r="BH310" s="4089">
        <f t="shared" si="128"/>
        <v>234</v>
      </c>
      <c r="BI310" s="4089">
        <f t="shared" si="129"/>
        <v>234</v>
      </c>
      <c r="BJ310" s="4089">
        <f t="shared" si="130"/>
        <v>234</v>
      </c>
      <c r="BK310" s="4089">
        <f t="shared" si="131"/>
        <v>234</v>
      </c>
      <c r="BL310" s="4089">
        <f t="shared" si="132"/>
        <v>234</v>
      </c>
      <c r="BM310" s="4089">
        <f t="shared" si="133"/>
        <v>187.2</v>
      </c>
      <c r="BN310" s="4089">
        <f t="shared" si="134"/>
        <v>46.8</v>
      </c>
      <c r="BO310" s="4312"/>
      <c r="BP310" s="4312"/>
      <c r="BQ310" s="4312"/>
      <c r="BR310" s="4312"/>
      <c r="BS310" s="4312"/>
      <c r="BT310" s="4312"/>
      <c r="BU310" s="4312"/>
      <c r="BV310" s="4385">
        <f t="shared" si="141"/>
        <v>1404</v>
      </c>
      <c r="BW310" s="4386">
        <f t="shared" si="115"/>
        <v>0</v>
      </c>
      <c r="BX310" s="4387"/>
      <c r="BY310" s="4387"/>
      <c r="BZ310" s="4387"/>
      <c r="CA310" s="4391" t="str">
        <f>VLOOKUP(D310&amp;G310&amp;H310&amp;I310,'9298 版本变更明细'!C:AJ,34,FALSE)</f>
        <v>B版本膜+A版本指南+口水胶+C版本配件包（香味贴纸/指定配件）</v>
      </c>
      <c r="CC310" s="4392"/>
      <c r="CD310" s="4391"/>
    </row>
    <row r="311" s="4025" customFormat="1" ht="50" customHeight="1" spans="1:82">
      <c r="A311" s="4429">
        <v>45769</v>
      </c>
      <c r="B311" s="4080" t="s">
        <v>3248</v>
      </c>
      <c r="C311" s="3663" t="s">
        <v>1279</v>
      </c>
      <c r="D311" s="4077">
        <v>4500164587</v>
      </c>
      <c r="E311" s="3664">
        <v>2000007585</v>
      </c>
      <c r="F311" s="4077" t="s">
        <v>3806</v>
      </c>
      <c r="G311" s="3664" t="s">
        <v>3352</v>
      </c>
      <c r="H311" s="3664" t="s">
        <v>3353</v>
      </c>
      <c r="I311" s="3691">
        <v>1500</v>
      </c>
      <c r="J311" s="3691">
        <v>0</v>
      </c>
      <c r="K311" s="3691">
        <v>12</v>
      </c>
      <c r="L311" s="3691">
        <f t="shared" si="140"/>
        <v>125</v>
      </c>
      <c r="M311" s="3659">
        <v>45818</v>
      </c>
      <c r="N311" s="3659">
        <v>45832</v>
      </c>
      <c r="O311" s="3664" t="s">
        <v>3807</v>
      </c>
      <c r="P311" s="3682" t="s">
        <v>82</v>
      </c>
      <c r="Q311" s="3682"/>
      <c r="R311" s="4083"/>
      <c r="S311" s="4083"/>
      <c r="T311" s="4083"/>
      <c r="U311" s="3645" t="s">
        <v>203</v>
      </c>
      <c r="V311" s="3649" t="s">
        <v>1342</v>
      </c>
      <c r="W311" s="3657"/>
      <c r="X311" s="3657" t="s">
        <v>3808</v>
      </c>
      <c r="Y311" s="3657"/>
      <c r="Z311" s="3661" t="s">
        <v>3809</v>
      </c>
      <c r="AA311" s="3620" t="s">
        <v>3810</v>
      </c>
      <c r="AB311" s="4446" t="s">
        <v>1298</v>
      </c>
      <c r="AC311" s="3691">
        <v>4.9215</v>
      </c>
      <c r="AD311" s="3691">
        <f>AC311*I311</f>
        <v>7382.25</v>
      </c>
      <c r="AE311" s="3645"/>
      <c r="AF311" s="3664" t="s">
        <v>3605</v>
      </c>
      <c r="AG311" s="3645" t="s">
        <v>416</v>
      </c>
      <c r="AH311" s="3664"/>
      <c r="AI311" s="3691"/>
      <c r="AJ311" s="3691"/>
      <c r="AK311" s="3664"/>
      <c r="AL311" s="3664">
        <f>I311</f>
        <v>1500</v>
      </c>
      <c r="AM311" s="3664"/>
      <c r="AN311" s="3691"/>
      <c r="AO311" s="3691">
        <f t="shared" si="139"/>
        <v>1500</v>
      </c>
      <c r="AP311" s="3691"/>
      <c r="AQ311" s="4089"/>
      <c r="AR311" s="4089"/>
      <c r="AS311" s="4089">
        <f t="shared" si="138"/>
        <v>1500</v>
      </c>
      <c r="AT311" s="4089"/>
      <c r="AU311" s="4089"/>
      <c r="AV311" s="4089"/>
      <c r="AW311" s="4089"/>
      <c r="AX311" s="4089"/>
      <c r="AY311" s="4089"/>
      <c r="AZ311" s="4089"/>
      <c r="BA311" s="4089"/>
      <c r="BB311" s="4089"/>
      <c r="BC311" s="4089">
        <f>I311</f>
        <v>1500</v>
      </c>
      <c r="BD311" s="4089"/>
      <c r="BE311" s="4089"/>
      <c r="BF311" s="4089" t="s">
        <v>89</v>
      </c>
      <c r="BG311" s="4089"/>
      <c r="BH311" s="4089">
        <f t="shared" si="128"/>
        <v>250</v>
      </c>
      <c r="BI311" s="4089">
        <f t="shared" si="129"/>
        <v>250</v>
      </c>
      <c r="BJ311" s="4089">
        <f t="shared" si="130"/>
        <v>250</v>
      </c>
      <c r="BK311" s="4403">
        <f t="shared" si="131"/>
        <v>250</v>
      </c>
      <c r="BL311" s="4385">
        <f t="shared" si="132"/>
        <v>250</v>
      </c>
      <c r="BM311" s="4403">
        <f t="shared" si="133"/>
        <v>200</v>
      </c>
      <c r="BN311" s="4089">
        <f t="shared" si="134"/>
        <v>50</v>
      </c>
      <c r="BO311" s="4456"/>
      <c r="BP311" s="4456"/>
      <c r="BQ311" s="4456"/>
      <c r="BR311" s="4456"/>
      <c r="BS311" s="4456"/>
      <c r="BT311" s="4456"/>
      <c r="BU311" s="4456"/>
      <c r="BV311" s="4385">
        <f t="shared" si="141"/>
        <v>1500</v>
      </c>
      <c r="BW311" s="4386">
        <f t="shared" si="115"/>
        <v>0</v>
      </c>
      <c r="BX311" s="4387"/>
      <c r="BY311" s="4387"/>
      <c r="BZ311" s="4387"/>
      <c r="CA311" s="4391" t="str">
        <f>VLOOKUP(D311&amp;G311&amp;H311&amp;I311,'9298 版本变更明细'!C:AJ,34,FALSE)</f>
        <v>B版本膜+A版本指南+口水胶+C版本配件包（香味贴纸/指定配件）</v>
      </c>
      <c r="CC311" s="4392"/>
      <c r="CD311" s="4391"/>
    </row>
    <row r="312" s="4025" customFormat="1" ht="50" customHeight="1" spans="1:82">
      <c r="A312" s="3688">
        <v>45763</v>
      </c>
      <c r="B312" s="3689" t="s">
        <v>3811</v>
      </c>
      <c r="C312" s="3664" t="s">
        <v>3812</v>
      </c>
      <c r="D312" s="3690">
        <v>4500163691</v>
      </c>
      <c r="E312" s="3664" t="s">
        <v>3813</v>
      </c>
      <c r="F312" s="3690" t="s">
        <v>3814</v>
      </c>
      <c r="G312" s="3664" t="s">
        <v>2577</v>
      </c>
      <c r="H312" s="3691" t="s">
        <v>2591</v>
      </c>
      <c r="I312" s="3691">
        <v>3000</v>
      </c>
      <c r="J312" s="3691">
        <v>0</v>
      </c>
      <c r="K312" s="3691">
        <v>12</v>
      </c>
      <c r="L312" s="3691">
        <f t="shared" si="140"/>
        <v>250</v>
      </c>
      <c r="M312" s="3659">
        <v>45818</v>
      </c>
      <c r="N312" s="3659">
        <v>45834</v>
      </c>
      <c r="O312" s="4457"/>
      <c r="P312" s="3682" t="s">
        <v>82</v>
      </c>
      <c r="Q312" s="3682"/>
      <c r="R312" s="4083"/>
      <c r="S312" s="4083"/>
      <c r="T312" s="4083"/>
      <c r="U312" s="3645" t="s">
        <v>200</v>
      </c>
      <c r="V312" s="3649" t="s">
        <v>3815</v>
      </c>
      <c r="W312" s="3657"/>
      <c r="X312" s="3657" t="s">
        <v>3816</v>
      </c>
      <c r="Y312" s="3657"/>
      <c r="Z312" s="3661"/>
      <c r="AA312" s="3620" t="s">
        <v>3817</v>
      </c>
      <c r="AB312" s="3691" t="s">
        <v>459</v>
      </c>
      <c r="AC312" s="4087">
        <v>2.1358</v>
      </c>
      <c r="AD312" s="3691">
        <f>AC312*I312</f>
        <v>6407.4</v>
      </c>
      <c r="AE312" s="3645" t="s">
        <v>3818</v>
      </c>
      <c r="AF312" s="4395" t="s">
        <v>2604</v>
      </c>
      <c r="AG312" s="3645" t="s">
        <v>416</v>
      </c>
      <c r="AH312" s="4349"/>
      <c r="AI312" s="4089"/>
      <c r="AJ312" s="4089"/>
      <c r="AK312" s="878"/>
      <c r="AL312" s="4089">
        <f>I312</f>
        <v>3000</v>
      </c>
      <c r="AM312" s="4089"/>
      <c r="AN312" s="4089"/>
      <c r="AO312" s="4089">
        <f t="shared" si="139"/>
        <v>3000</v>
      </c>
      <c r="AP312" s="4089"/>
      <c r="AQ312" s="4089"/>
      <c r="AR312" s="878"/>
      <c r="AS312" s="4089">
        <f t="shared" si="138"/>
        <v>3000</v>
      </c>
      <c r="AT312" s="878"/>
      <c r="AU312" s="4089"/>
      <c r="AV312" s="4089">
        <f>I312/6</f>
        <v>500</v>
      </c>
      <c r="AW312" s="4089"/>
      <c r="AX312" s="4089"/>
      <c r="AY312" s="4089"/>
      <c r="AZ312" s="4089"/>
      <c r="BA312" s="4089"/>
      <c r="BB312" s="4385"/>
      <c r="BC312" s="4403"/>
      <c r="BD312" s="4089"/>
      <c r="BE312" s="4385"/>
      <c r="BF312" s="4089" t="s">
        <v>89</v>
      </c>
      <c r="BG312" s="4089"/>
      <c r="BH312" s="4089">
        <f t="shared" si="128"/>
        <v>500</v>
      </c>
      <c r="BI312" s="4089">
        <f t="shared" si="129"/>
        <v>500</v>
      </c>
      <c r="BJ312" s="4089">
        <f t="shared" si="130"/>
        <v>500</v>
      </c>
      <c r="BK312" s="4089">
        <f t="shared" si="131"/>
        <v>500</v>
      </c>
      <c r="BL312" s="4089">
        <f t="shared" si="132"/>
        <v>500</v>
      </c>
      <c r="BM312" s="4089">
        <f t="shared" si="133"/>
        <v>400</v>
      </c>
      <c r="BN312" s="4089">
        <f t="shared" si="134"/>
        <v>100</v>
      </c>
      <c r="BO312" s="4333"/>
      <c r="BP312" s="4333"/>
      <c r="BQ312" s="4333"/>
      <c r="BR312" s="4333"/>
      <c r="BS312" s="4333"/>
      <c r="BT312" s="4333"/>
      <c r="BU312" s="4333"/>
      <c r="BV312" s="4385">
        <f t="shared" si="141"/>
        <v>3000</v>
      </c>
      <c r="BW312" s="4386">
        <f t="shared" si="115"/>
        <v>0</v>
      </c>
      <c r="BX312" s="4387"/>
      <c r="BY312" s="4387"/>
      <c r="BZ312" s="4387"/>
      <c r="CA312" s="4391" t="str">
        <f>VLOOKUP(D312&amp;G312&amp;H312&amp;I312,'9298 版本变更明细'!C:AJ,34,FALSE)</f>
        <v>B版本膜+A版本指南+口水胶+C版本配件包（香味贴纸/指定配件）</v>
      </c>
      <c r="CC312" s="4392"/>
      <c r="CD312" s="4391"/>
    </row>
    <row r="313" s="4025" customFormat="1" ht="50" customHeight="1" spans="1:82">
      <c r="A313" s="3688">
        <v>45786</v>
      </c>
      <c r="B313" s="3664" t="s">
        <v>1270</v>
      </c>
      <c r="C313" s="3664" t="s">
        <v>91</v>
      </c>
      <c r="D313" s="3691">
        <v>4500165903</v>
      </c>
      <c r="E313" s="3664" t="s">
        <v>1271</v>
      </c>
      <c r="F313" s="3664" t="s">
        <v>3819</v>
      </c>
      <c r="G313" s="3664" t="s">
        <v>2577</v>
      </c>
      <c r="H313" s="3664" t="s">
        <v>2578</v>
      </c>
      <c r="I313" s="3691">
        <v>2400</v>
      </c>
      <c r="J313" s="3691">
        <v>0</v>
      </c>
      <c r="K313" s="3691">
        <v>12</v>
      </c>
      <c r="L313" s="3691">
        <f t="shared" si="140"/>
        <v>200</v>
      </c>
      <c r="M313" s="3659">
        <v>45819</v>
      </c>
      <c r="N313" s="3659">
        <v>45815</v>
      </c>
      <c r="O313" s="3645" t="s">
        <v>191</v>
      </c>
      <c r="P313" s="3682" t="s">
        <v>82</v>
      </c>
      <c r="Q313" s="3682"/>
      <c r="R313" s="4083"/>
      <c r="S313" s="4083"/>
      <c r="T313" s="4083"/>
      <c r="U313" s="3645" t="s">
        <v>191</v>
      </c>
      <c r="V313" s="3657" t="s">
        <v>1273</v>
      </c>
      <c r="W313" s="3657"/>
      <c r="X313" s="3657" t="s">
        <v>98</v>
      </c>
      <c r="Y313" s="3657"/>
      <c r="Z313" s="3661"/>
      <c r="AA313" s="3620" t="s">
        <v>1274</v>
      </c>
      <c r="AB313" s="3657" t="s">
        <v>1275</v>
      </c>
      <c r="AC313" s="3691">
        <v>1.2532</v>
      </c>
      <c r="AD313" s="3691">
        <f>AC313*I313</f>
        <v>3007.68</v>
      </c>
      <c r="AE313" s="3645" t="s">
        <v>1276</v>
      </c>
      <c r="AF313" s="3664" t="s">
        <v>2577</v>
      </c>
      <c r="AG313" s="3645" t="s">
        <v>416</v>
      </c>
      <c r="AH313" s="4448"/>
      <c r="AI313" s="3691">
        <f>I313</f>
        <v>2400</v>
      </c>
      <c r="AJ313" s="3691"/>
      <c r="AK313" s="4448"/>
      <c r="AL313" s="3664"/>
      <c r="AM313" s="3664"/>
      <c r="AN313" s="3691"/>
      <c r="AO313" s="3691">
        <f t="shared" si="139"/>
        <v>2400</v>
      </c>
      <c r="AP313" s="3691"/>
      <c r="AQ313" s="4089"/>
      <c r="AR313" s="4411"/>
      <c r="AS313" s="4089">
        <f t="shared" si="138"/>
        <v>2400</v>
      </c>
      <c r="AT313" s="4411"/>
      <c r="AU313" s="4089"/>
      <c r="AV313" s="4089">
        <f>I313/6</f>
        <v>400</v>
      </c>
      <c r="AW313" s="4089"/>
      <c r="AX313" s="4089"/>
      <c r="AY313" s="4089"/>
      <c r="AZ313" s="4089"/>
      <c r="BA313" s="4089"/>
      <c r="BB313" s="4089"/>
      <c r="BC313" s="4089"/>
      <c r="BD313" s="4089"/>
      <c r="BE313" s="4089"/>
      <c r="BF313" s="4089" t="s">
        <v>89</v>
      </c>
      <c r="BG313" s="4089"/>
      <c r="BH313" s="4089">
        <f t="shared" si="128"/>
        <v>400</v>
      </c>
      <c r="BI313" s="4089">
        <f t="shared" si="129"/>
        <v>400</v>
      </c>
      <c r="BJ313" s="4089">
        <f t="shared" si="130"/>
        <v>400</v>
      </c>
      <c r="BK313" s="4089">
        <f t="shared" si="131"/>
        <v>400</v>
      </c>
      <c r="BL313" s="4089">
        <f t="shared" si="132"/>
        <v>400</v>
      </c>
      <c r="BM313" s="4089">
        <f t="shared" si="133"/>
        <v>320</v>
      </c>
      <c r="BN313" s="4089">
        <f t="shared" si="134"/>
        <v>80</v>
      </c>
      <c r="BO313" s="4458"/>
      <c r="BP313" s="4458"/>
      <c r="BQ313" s="4458"/>
      <c r="BR313" s="4458"/>
      <c r="BS313" s="4458"/>
      <c r="BT313" s="4458"/>
      <c r="BU313" s="4458"/>
      <c r="BV313" s="4385">
        <f t="shared" si="141"/>
        <v>2400</v>
      </c>
      <c r="BW313" s="4386">
        <f t="shared" si="115"/>
        <v>0</v>
      </c>
      <c r="BX313" s="4387"/>
      <c r="BY313" s="4387"/>
      <c r="BZ313" s="4387"/>
      <c r="CA313" s="4391"/>
      <c r="CC313" s="4392"/>
      <c r="CD313" s="4391"/>
    </row>
    <row r="314" s="4025" customFormat="1" ht="50" customHeight="1" spans="1:82">
      <c r="A314" s="3688">
        <v>45786</v>
      </c>
      <c r="B314" s="3664" t="s">
        <v>1270</v>
      </c>
      <c r="C314" s="3664" t="s">
        <v>91</v>
      </c>
      <c r="D314" s="3691">
        <v>4500165903</v>
      </c>
      <c r="E314" s="3664" t="s">
        <v>1271</v>
      </c>
      <c r="F314" s="3664" t="s">
        <v>3820</v>
      </c>
      <c r="G314" s="3664" t="s">
        <v>2577</v>
      </c>
      <c r="H314" s="3664" t="s">
        <v>2578</v>
      </c>
      <c r="I314" s="3691">
        <v>120</v>
      </c>
      <c r="J314" s="3691">
        <v>0</v>
      </c>
      <c r="K314" s="3691">
        <v>12</v>
      </c>
      <c r="L314" s="3691">
        <f t="shared" si="140"/>
        <v>10</v>
      </c>
      <c r="M314" s="3659">
        <v>45819</v>
      </c>
      <c r="N314" s="3659">
        <v>45815</v>
      </c>
      <c r="O314" s="3645" t="s">
        <v>191</v>
      </c>
      <c r="P314" s="3682" t="s">
        <v>82</v>
      </c>
      <c r="Q314" s="3682"/>
      <c r="R314" s="4083"/>
      <c r="S314" s="4083"/>
      <c r="T314" s="4083"/>
      <c r="U314" s="3645" t="s">
        <v>191</v>
      </c>
      <c r="V314" s="3649" t="s">
        <v>1273</v>
      </c>
      <c r="W314" s="3657"/>
      <c r="X314" s="3657" t="s">
        <v>98</v>
      </c>
      <c r="Y314" s="3657"/>
      <c r="Z314" s="3661"/>
      <c r="AA314" s="3620" t="s">
        <v>1274</v>
      </c>
      <c r="AB314" s="3657" t="s">
        <v>1275</v>
      </c>
      <c r="AC314" s="4087">
        <v>1.256</v>
      </c>
      <c r="AD314" s="3691">
        <f>AC314*I314</f>
        <v>150.72</v>
      </c>
      <c r="AE314" s="3645" t="s">
        <v>1276</v>
      </c>
      <c r="AF314" s="3664" t="s">
        <v>2577</v>
      </c>
      <c r="AG314" s="3645" t="s">
        <v>416</v>
      </c>
      <c r="AH314" s="4448"/>
      <c r="AI314" s="3691">
        <f>I314</f>
        <v>120</v>
      </c>
      <c r="AJ314" s="3691"/>
      <c r="AK314" s="4448"/>
      <c r="AL314" s="3664"/>
      <c r="AM314" s="3664"/>
      <c r="AN314" s="3691"/>
      <c r="AO314" s="3691">
        <f t="shared" si="139"/>
        <v>120</v>
      </c>
      <c r="AP314" s="3691"/>
      <c r="AQ314" s="4089"/>
      <c r="AR314" s="4411"/>
      <c r="AS314" s="4089">
        <f t="shared" si="138"/>
        <v>120</v>
      </c>
      <c r="AT314" s="4411"/>
      <c r="AU314" s="4089"/>
      <c r="AV314" s="4089">
        <f>I314/6</f>
        <v>20</v>
      </c>
      <c r="AW314" s="4089"/>
      <c r="AX314" s="4089"/>
      <c r="AY314" s="4089"/>
      <c r="AZ314" s="4089"/>
      <c r="BA314" s="4089"/>
      <c r="BB314" s="4089"/>
      <c r="BC314" s="4089"/>
      <c r="BD314" s="4089"/>
      <c r="BE314" s="4089"/>
      <c r="BF314" s="4089" t="s">
        <v>89</v>
      </c>
      <c r="BG314" s="4089"/>
      <c r="BH314" s="4089">
        <f t="shared" si="128"/>
        <v>20</v>
      </c>
      <c r="BI314" s="4089">
        <f t="shared" si="129"/>
        <v>20</v>
      </c>
      <c r="BJ314" s="4089">
        <f t="shared" si="130"/>
        <v>20</v>
      </c>
      <c r="BK314" s="4089">
        <f t="shared" si="131"/>
        <v>20</v>
      </c>
      <c r="BL314" s="4089">
        <f t="shared" si="132"/>
        <v>20</v>
      </c>
      <c r="BM314" s="4089">
        <f t="shared" si="133"/>
        <v>16</v>
      </c>
      <c r="BN314" s="4089">
        <f t="shared" si="134"/>
        <v>4</v>
      </c>
      <c r="BO314" s="4458"/>
      <c r="BP314" s="4458"/>
      <c r="BQ314" s="4458"/>
      <c r="BR314" s="4458"/>
      <c r="BS314" s="4458"/>
      <c r="BT314" s="4458"/>
      <c r="BU314" s="4458"/>
      <c r="BV314" s="4385">
        <f t="shared" si="141"/>
        <v>120</v>
      </c>
      <c r="BW314" s="4386">
        <f t="shared" si="115"/>
        <v>0</v>
      </c>
      <c r="BX314" s="4387"/>
      <c r="BY314" s="4387"/>
      <c r="BZ314" s="4387"/>
      <c r="CA314" s="4391"/>
      <c r="CC314" s="4392"/>
      <c r="CD314" s="4391"/>
    </row>
    <row r="315" s="4025" customFormat="1" ht="50" customHeight="1" spans="1:82">
      <c r="A315" s="3688">
        <v>45750</v>
      </c>
      <c r="B315" s="3689" t="s">
        <v>1315</v>
      </c>
      <c r="C315" s="3664" t="s">
        <v>1316</v>
      </c>
      <c r="D315" s="3690">
        <v>4500166280</v>
      </c>
      <c r="E315" s="3664" t="s">
        <v>1317</v>
      </c>
      <c r="F315" s="3690" t="s">
        <v>1318</v>
      </c>
      <c r="G315" s="3664" t="s">
        <v>3821</v>
      </c>
      <c r="H315" s="3664" t="s">
        <v>1320</v>
      </c>
      <c r="I315" s="3691">
        <v>3800</v>
      </c>
      <c r="J315" s="3691">
        <v>0</v>
      </c>
      <c r="K315" s="3691">
        <v>4</v>
      </c>
      <c r="L315" s="3691">
        <f t="shared" si="140"/>
        <v>950</v>
      </c>
      <c r="M315" s="3659">
        <v>45822</v>
      </c>
      <c r="N315" s="3659">
        <v>45819</v>
      </c>
      <c r="O315" s="3691" t="s">
        <v>1321</v>
      </c>
      <c r="P315" s="3682" t="s">
        <v>82</v>
      </c>
      <c r="Q315" s="3682"/>
      <c r="R315" s="4083"/>
      <c r="S315" s="4083"/>
      <c r="T315" s="4083"/>
      <c r="U315" s="3691" t="s">
        <v>401</v>
      </c>
      <c r="V315" s="3649" t="s">
        <v>1322</v>
      </c>
      <c r="W315" s="3657"/>
      <c r="X315" s="3657" t="s">
        <v>1876</v>
      </c>
      <c r="Y315" s="3657"/>
      <c r="Z315" s="3691" t="s">
        <v>1324</v>
      </c>
      <c r="AA315" s="3620" t="s">
        <v>1325</v>
      </c>
      <c r="AB315" s="3691" t="s">
        <v>1326</v>
      </c>
      <c r="AC315" s="3618">
        <v>16.8314</v>
      </c>
      <c r="AD315" s="3618">
        <f>AC315*L315</f>
        <v>15989.83</v>
      </c>
      <c r="AE315" s="3645"/>
      <c r="AF315" s="3664" t="s">
        <v>3822</v>
      </c>
      <c r="AG315" s="3645" t="s">
        <v>416</v>
      </c>
      <c r="AH315" s="3708"/>
      <c r="AI315" s="3691"/>
      <c r="AJ315" s="3691"/>
      <c r="AK315" s="3708"/>
      <c r="AL315" s="3664"/>
      <c r="AM315" s="3664"/>
      <c r="AN315" s="3691">
        <f>I315</f>
        <v>3800</v>
      </c>
      <c r="AO315" s="3691"/>
      <c r="AP315" s="3691"/>
      <c r="AQ315" s="4089">
        <f>I315</f>
        <v>3800</v>
      </c>
      <c r="AR315" s="1048"/>
      <c r="AS315" s="4089">
        <f t="shared" si="138"/>
        <v>3800</v>
      </c>
      <c r="AT315" s="1048"/>
      <c r="AU315" s="4089"/>
      <c r="AV315" s="4089"/>
      <c r="AW315" s="4089"/>
      <c r="AX315" s="4089"/>
      <c r="AY315" s="4089"/>
      <c r="AZ315" s="4089"/>
      <c r="BA315" s="4089"/>
      <c r="BB315" s="4089"/>
      <c r="BC315" s="4089">
        <f>I315/4</f>
        <v>950</v>
      </c>
      <c r="BD315" s="4089"/>
      <c r="BE315" s="4089"/>
      <c r="BF315" s="4089" t="s">
        <v>1327</v>
      </c>
      <c r="BG315" s="4089"/>
      <c r="BH315" s="4089">
        <f t="shared" si="128"/>
        <v>633.333333333333</v>
      </c>
      <c r="BI315" s="4089">
        <f t="shared" si="129"/>
        <v>633.333333333333</v>
      </c>
      <c r="BJ315" s="4089">
        <f t="shared" si="130"/>
        <v>633.333333333333</v>
      </c>
      <c r="BK315" s="4089">
        <f t="shared" si="131"/>
        <v>633.333333333333</v>
      </c>
      <c r="BL315" s="4089">
        <f t="shared" si="132"/>
        <v>633.333333333333</v>
      </c>
      <c r="BM315" s="4089">
        <f t="shared" si="133"/>
        <v>506.666666666667</v>
      </c>
      <c r="BN315" s="4089">
        <f t="shared" si="134"/>
        <v>126.666666666667</v>
      </c>
      <c r="BO315" s="4413"/>
      <c r="BP315" s="4413"/>
      <c r="BQ315" s="4413"/>
      <c r="BR315" s="4413"/>
      <c r="BS315" s="4413"/>
      <c r="BT315" s="4431"/>
      <c r="BU315" s="4432"/>
      <c r="BV315" s="4385">
        <f t="shared" si="141"/>
        <v>3800</v>
      </c>
      <c r="BW315" s="4386">
        <f t="shared" si="115"/>
        <v>0</v>
      </c>
      <c r="BX315" s="4387"/>
      <c r="BY315" s="4387"/>
      <c r="BZ315" s="4387"/>
      <c r="CA315" s="4391"/>
      <c r="CC315" s="4392"/>
      <c r="CD315" s="4391"/>
    </row>
    <row r="316" s="4025" customFormat="1" ht="50" customHeight="1" spans="1:82">
      <c r="A316" s="3688">
        <v>45750</v>
      </c>
      <c r="B316" s="3689" t="s">
        <v>1315</v>
      </c>
      <c r="C316" s="3664" t="s">
        <v>1316</v>
      </c>
      <c r="D316" s="3690">
        <v>4500166280</v>
      </c>
      <c r="E316" s="3664" t="s">
        <v>1372</v>
      </c>
      <c r="F316" s="3690" t="s">
        <v>1373</v>
      </c>
      <c r="G316" s="3664" t="s">
        <v>3821</v>
      </c>
      <c r="H316" s="3664" t="s">
        <v>1320</v>
      </c>
      <c r="I316" s="3691">
        <v>6000</v>
      </c>
      <c r="J316" s="3691">
        <v>0</v>
      </c>
      <c r="K316" s="3691">
        <v>4</v>
      </c>
      <c r="L316" s="3691">
        <f t="shared" si="140"/>
        <v>1500</v>
      </c>
      <c r="M316" s="3659">
        <v>45822</v>
      </c>
      <c r="N316" s="3659">
        <v>45819</v>
      </c>
      <c r="O316" s="3645" t="s">
        <v>1374</v>
      </c>
      <c r="P316" s="3682" t="s">
        <v>82</v>
      </c>
      <c r="Q316" s="3682"/>
      <c r="R316" s="4083"/>
      <c r="S316" s="4083"/>
      <c r="T316" s="4083"/>
      <c r="U316" s="3691" t="s">
        <v>401</v>
      </c>
      <c r="V316" s="3649" t="s">
        <v>1322</v>
      </c>
      <c r="W316" s="3657"/>
      <c r="X316" s="3657" t="s">
        <v>1876</v>
      </c>
      <c r="Y316" s="3657"/>
      <c r="Z316" s="3691" t="s">
        <v>1375</v>
      </c>
      <c r="AA316" s="3620" t="s">
        <v>1376</v>
      </c>
      <c r="AB316" s="3691" t="s">
        <v>1326</v>
      </c>
      <c r="AC316" s="3691">
        <v>16.7342</v>
      </c>
      <c r="AD316" s="3691">
        <f>AC316*L316</f>
        <v>25101.3</v>
      </c>
      <c r="AE316" s="3645"/>
      <c r="AF316" s="3664" t="s">
        <v>3822</v>
      </c>
      <c r="AG316" s="3645" t="s">
        <v>416</v>
      </c>
      <c r="AH316" s="3664"/>
      <c r="AI316" s="3691"/>
      <c r="AJ316" s="3691"/>
      <c r="AK316" s="3664"/>
      <c r="AL316" s="3664"/>
      <c r="AM316" s="3664"/>
      <c r="AN316" s="3691">
        <f>I316</f>
        <v>6000</v>
      </c>
      <c r="AO316" s="3691"/>
      <c r="AP316" s="3691"/>
      <c r="AQ316" s="4089">
        <f>I316</f>
        <v>6000</v>
      </c>
      <c r="AR316" s="4089"/>
      <c r="AS316" s="4089">
        <f t="shared" si="138"/>
        <v>6000</v>
      </c>
      <c r="AT316" s="4089"/>
      <c r="AU316" s="4089"/>
      <c r="AV316" s="4089"/>
      <c r="AW316" s="4089"/>
      <c r="AX316" s="4089"/>
      <c r="AY316" s="4089"/>
      <c r="AZ316" s="4089"/>
      <c r="BA316" s="4089"/>
      <c r="BB316" s="4089"/>
      <c r="BC316" s="4089">
        <f>I316/4</f>
        <v>1500</v>
      </c>
      <c r="BD316" s="4089"/>
      <c r="BE316" s="4089"/>
      <c r="BF316" s="4089" t="s">
        <v>1327</v>
      </c>
      <c r="BG316" s="4089"/>
      <c r="BH316" s="4089">
        <f t="shared" si="128"/>
        <v>1000</v>
      </c>
      <c r="BI316" s="4089">
        <f t="shared" si="129"/>
        <v>1000</v>
      </c>
      <c r="BJ316" s="4089">
        <f t="shared" si="130"/>
        <v>1000</v>
      </c>
      <c r="BK316" s="4089">
        <f t="shared" si="131"/>
        <v>1000</v>
      </c>
      <c r="BL316" s="4089">
        <f t="shared" si="132"/>
        <v>1000</v>
      </c>
      <c r="BM316" s="4089">
        <f t="shared" si="133"/>
        <v>800</v>
      </c>
      <c r="BN316" s="4089">
        <f t="shared" si="134"/>
        <v>200</v>
      </c>
      <c r="BO316" s="4089"/>
      <c r="BP316" s="4089"/>
      <c r="BQ316" s="4089"/>
      <c r="BR316" s="4089"/>
      <c r="BS316" s="4089"/>
      <c r="BT316" s="4404"/>
      <c r="BU316" s="4403"/>
      <c r="BV316" s="4385">
        <f t="shared" si="141"/>
        <v>6000</v>
      </c>
      <c r="BW316" s="4386">
        <f t="shared" si="115"/>
        <v>0</v>
      </c>
      <c r="BX316" s="4387"/>
      <c r="BY316" s="4387"/>
      <c r="BZ316" s="4387"/>
      <c r="CA316" s="4391" t="str">
        <f>VLOOKUP(D316&amp;G316&amp;H316&amp;I316,'9298 版本变更明细'!C:AJ,34,FALSE)</f>
        <v>A版本口水胶+C版本配件包（香味贴纸/指定配件）</v>
      </c>
      <c r="CC316" s="4392"/>
      <c r="CD316" s="4391"/>
    </row>
    <row r="317" s="4025" customFormat="1" ht="50" customHeight="1" spans="1:82">
      <c r="A317" s="3688">
        <v>45749</v>
      </c>
      <c r="B317" s="3689" t="s">
        <v>3823</v>
      </c>
      <c r="C317" s="3664" t="s">
        <v>471</v>
      </c>
      <c r="D317" s="3690">
        <v>4500161503</v>
      </c>
      <c r="E317" s="3664">
        <v>4503533774</v>
      </c>
      <c r="F317" s="3690" t="s">
        <v>3824</v>
      </c>
      <c r="G317" s="3664" t="s">
        <v>2654</v>
      </c>
      <c r="H317" s="3664" t="s">
        <v>2591</v>
      </c>
      <c r="I317" s="3691">
        <v>1326</v>
      </c>
      <c r="J317" s="3691">
        <v>0</v>
      </c>
      <c r="K317" s="3691">
        <v>6</v>
      </c>
      <c r="L317" s="3691">
        <f t="shared" si="140"/>
        <v>221</v>
      </c>
      <c r="M317" s="3659">
        <v>45824</v>
      </c>
      <c r="N317" s="3659">
        <v>45820</v>
      </c>
      <c r="O317" s="3664"/>
      <c r="P317" s="3682" t="s">
        <v>82</v>
      </c>
      <c r="Q317" s="3682"/>
      <c r="R317" s="4083"/>
      <c r="S317" s="4083"/>
      <c r="T317" s="4083"/>
      <c r="U317" s="3645" t="s">
        <v>3825</v>
      </c>
      <c r="V317" s="3649" t="s">
        <v>3575</v>
      </c>
      <c r="W317" s="3657"/>
      <c r="X317" s="3657" t="s">
        <v>98</v>
      </c>
      <c r="Y317" s="3657"/>
      <c r="Z317" s="3661"/>
      <c r="AA317" s="3620" t="s">
        <v>3826</v>
      </c>
      <c r="AB317" s="4446" t="s">
        <v>2624</v>
      </c>
      <c r="AC317" s="3691">
        <v>2.2192</v>
      </c>
      <c r="AD317" s="3691">
        <f>AC317*I317</f>
        <v>2942.6592</v>
      </c>
      <c r="AE317" s="3645"/>
      <c r="AF317" s="3664" t="s">
        <v>2652</v>
      </c>
      <c r="AG317" s="3645" t="s">
        <v>416</v>
      </c>
      <c r="AH317" s="905"/>
      <c r="AI317" s="3691"/>
      <c r="AJ317" s="3691"/>
      <c r="AK317" s="905"/>
      <c r="AL317" s="3664">
        <f>I317</f>
        <v>1326</v>
      </c>
      <c r="AM317" s="3664"/>
      <c r="AN317" s="3691"/>
      <c r="AO317" s="3691">
        <f>I317</f>
        <v>1326</v>
      </c>
      <c r="AP317" s="3691"/>
      <c r="AQ317" s="4089"/>
      <c r="AR317" s="4382"/>
      <c r="AS317" s="4089"/>
      <c r="AT317" s="4382"/>
      <c r="AU317" s="4089">
        <f>I317</f>
        <v>1326</v>
      </c>
      <c r="AV317" s="4089">
        <f>I317/6</f>
        <v>221</v>
      </c>
      <c r="AW317" s="4089"/>
      <c r="AX317" s="4089"/>
      <c r="AY317" s="4089"/>
      <c r="AZ317" s="4089"/>
      <c r="BA317" s="4089"/>
      <c r="BB317" s="4089"/>
      <c r="BC317" s="4089"/>
      <c r="BD317" s="4089"/>
      <c r="BE317" s="4089"/>
      <c r="BF317" s="4089" t="s">
        <v>89</v>
      </c>
      <c r="BG317" s="4089"/>
      <c r="BH317" s="4089">
        <f t="shared" si="128"/>
        <v>221</v>
      </c>
      <c r="BI317" s="4089">
        <f t="shared" si="129"/>
        <v>221</v>
      </c>
      <c r="BJ317" s="4089">
        <f t="shared" si="130"/>
        <v>221</v>
      </c>
      <c r="BK317" s="4089">
        <f t="shared" si="131"/>
        <v>221</v>
      </c>
      <c r="BL317" s="4089">
        <f t="shared" si="132"/>
        <v>221</v>
      </c>
      <c r="BM317" s="4089">
        <f t="shared" si="133"/>
        <v>176.8</v>
      </c>
      <c r="BN317" s="4089">
        <f t="shared" si="134"/>
        <v>44.2</v>
      </c>
      <c r="BO317" s="4437"/>
      <c r="BP317" s="4437"/>
      <c r="BQ317" s="4437"/>
      <c r="BR317" s="4437"/>
      <c r="BS317" s="4437"/>
      <c r="BT317" s="4438"/>
      <c r="BU317" s="4439"/>
      <c r="BV317" s="4385">
        <f t="shared" si="141"/>
        <v>1326</v>
      </c>
      <c r="BW317" s="4386">
        <f t="shared" si="115"/>
        <v>0</v>
      </c>
      <c r="BX317" s="4387"/>
      <c r="BY317" s="4387"/>
      <c r="BZ317" s="4387"/>
      <c r="CA317" s="4391"/>
      <c r="CC317" s="4392"/>
      <c r="CD317" s="4391"/>
    </row>
    <row r="318" s="4025" customFormat="1" ht="50" customHeight="1" spans="1:82">
      <c r="A318" s="3688">
        <v>45786</v>
      </c>
      <c r="B318" s="3689" t="s">
        <v>3827</v>
      </c>
      <c r="C318" s="3664" t="s">
        <v>3828</v>
      </c>
      <c r="D318" s="3690">
        <v>4500165723</v>
      </c>
      <c r="E318" s="3664" t="s">
        <v>3829</v>
      </c>
      <c r="F318" s="3690" t="s">
        <v>3830</v>
      </c>
      <c r="G318" s="3664" t="s">
        <v>2577</v>
      </c>
      <c r="H318" s="3664" t="s">
        <v>2578</v>
      </c>
      <c r="I318" s="3691">
        <v>552</v>
      </c>
      <c r="J318" s="3691">
        <v>0</v>
      </c>
      <c r="K318" s="3691">
        <v>12</v>
      </c>
      <c r="L318" s="3691">
        <f t="shared" si="140"/>
        <v>46</v>
      </c>
      <c r="M318" s="3659">
        <v>45824</v>
      </c>
      <c r="N318" s="3659">
        <f>M318-4</f>
        <v>45820</v>
      </c>
      <c r="O318" s="3664"/>
      <c r="P318" s="3682" t="s">
        <v>82</v>
      </c>
      <c r="Q318" s="3682"/>
      <c r="R318" s="4083"/>
      <c r="S318" s="4083"/>
      <c r="T318" s="4083"/>
      <c r="U318" s="3645" t="s">
        <v>3825</v>
      </c>
      <c r="V318" s="3649" t="s">
        <v>1273</v>
      </c>
      <c r="W318" s="3657"/>
      <c r="X318" s="3657" t="s">
        <v>98</v>
      </c>
      <c r="Y318" s="3657"/>
      <c r="Z318" s="3661"/>
      <c r="AA318" s="3620" t="s">
        <v>3831</v>
      </c>
      <c r="AB318" s="4446" t="s">
        <v>3832</v>
      </c>
      <c r="AC318" s="3691">
        <v>2.1438</v>
      </c>
      <c r="AD318" s="3691">
        <f>AC318*I318</f>
        <v>1183.3776</v>
      </c>
      <c r="AE318" s="3645"/>
      <c r="AF318" s="3664" t="s">
        <v>2604</v>
      </c>
      <c r="AG318" s="3645" t="s">
        <v>416</v>
      </c>
      <c r="AH318" s="905"/>
      <c r="AI318" s="3691"/>
      <c r="AJ318" s="3691"/>
      <c r="AK318" s="905"/>
      <c r="AL318" s="3664">
        <f>I318</f>
        <v>552</v>
      </c>
      <c r="AM318" s="3664"/>
      <c r="AN318" s="3691"/>
      <c r="AO318" s="3691">
        <f>I318</f>
        <v>552</v>
      </c>
      <c r="AP318" s="3691"/>
      <c r="AQ318" s="4089"/>
      <c r="AR318" s="4382"/>
      <c r="AS318" s="4089">
        <f>I318</f>
        <v>552</v>
      </c>
      <c r="AT318" s="4382"/>
      <c r="AU318" s="4089"/>
      <c r="AV318" s="4089">
        <f>I318/6</f>
        <v>92</v>
      </c>
      <c r="AW318" s="4089"/>
      <c r="AX318" s="4089"/>
      <c r="AY318" s="4089"/>
      <c r="AZ318" s="4089"/>
      <c r="BA318" s="4089"/>
      <c r="BB318" s="4089"/>
      <c r="BC318" s="4089"/>
      <c r="BD318" s="4089"/>
      <c r="BE318" s="4089"/>
      <c r="BF318" s="4089" t="s">
        <v>89</v>
      </c>
      <c r="BG318" s="4089"/>
      <c r="BH318" s="4089">
        <f t="shared" si="128"/>
        <v>92</v>
      </c>
      <c r="BI318" s="4089">
        <f t="shared" si="129"/>
        <v>92</v>
      </c>
      <c r="BJ318" s="4089">
        <f t="shared" si="130"/>
        <v>92</v>
      </c>
      <c r="BK318" s="4089">
        <f t="shared" si="131"/>
        <v>92</v>
      </c>
      <c r="BL318" s="4089">
        <f t="shared" si="132"/>
        <v>92</v>
      </c>
      <c r="BM318" s="4089">
        <f t="shared" si="133"/>
        <v>73.6</v>
      </c>
      <c r="BN318" s="4089">
        <f t="shared" si="134"/>
        <v>18.4</v>
      </c>
      <c r="BO318" s="4440"/>
      <c r="BP318" s="4440"/>
      <c r="BQ318" s="4440"/>
      <c r="BR318" s="4440"/>
      <c r="BS318" s="4440"/>
      <c r="BT318" s="4441"/>
      <c r="BU318" s="4442"/>
      <c r="BV318" s="4385">
        <f t="shared" si="141"/>
        <v>552</v>
      </c>
      <c r="BW318" s="4386">
        <f t="shared" si="115"/>
        <v>0</v>
      </c>
      <c r="BX318" s="4387"/>
      <c r="BY318" s="4387"/>
      <c r="BZ318" s="4387"/>
      <c r="CA318" s="4391"/>
      <c r="CC318" s="4392"/>
      <c r="CD318" s="4391"/>
    </row>
    <row r="319" s="4025" customFormat="1" ht="50" customHeight="1" spans="1:82">
      <c r="A319" s="3688">
        <v>45786</v>
      </c>
      <c r="B319" s="3689" t="s">
        <v>672</v>
      </c>
      <c r="C319" s="3664" t="s">
        <v>673</v>
      </c>
      <c r="D319" s="3690">
        <v>4500165914</v>
      </c>
      <c r="E319" s="3664">
        <v>5000001883</v>
      </c>
      <c r="F319" s="3690" t="s">
        <v>3833</v>
      </c>
      <c r="G319" s="3664" t="s">
        <v>2590</v>
      </c>
      <c r="H319" s="3664" t="s">
        <v>2591</v>
      </c>
      <c r="I319" s="3691">
        <v>2400</v>
      </c>
      <c r="J319" s="3691">
        <v>0</v>
      </c>
      <c r="K319" s="3691">
        <v>6</v>
      </c>
      <c r="L319" s="3691">
        <f t="shared" si="140"/>
        <v>400</v>
      </c>
      <c r="M319" s="3659">
        <v>45824</v>
      </c>
      <c r="N319" s="3659">
        <f>M319-4</f>
        <v>45820</v>
      </c>
      <c r="O319" s="3664"/>
      <c r="P319" s="3682" t="s">
        <v>82</v>
      </c>
      <c r="Q319" s="3682"/>
      <c r="R319" s="4083"/>
      <c r="S319" s="4083"/>
      <c r="T319" s="4083"/>
      <c r="U319" s="3645" t="s">
        <v>194</v>
      </c>
      <c r="V319" s="3649" t="s">
        <v>3725</v>
      </c>
      <c r="W319" s="3657"/>
      <c r="X319" s="3657" t="s">
        <v>3834</v>
      </c>
      <c r="Y319" s="3657"/>
      <c r="Z319" s="3661"/>
      <c r="AA319" s="3620" t="s">
        <v>3835</v>
      </c>
      <c r="AB319" s="4446" t="s">
        <v>3836</v>
      </c>
      <c r="AC319" s="3691">
        <v>2.1007</v>
      </c>
      <c r="AD319" s="3691">
        <f>AC319*I319</f>
        <v>5041.68</v>
      </c>
      <c r="AE319" s="3645"/>
      <c r="AF319" s="3664" t="s">
        <v>2663</v>
      </c>
      <c r="AG319" s="3645" t="s">
        <v>416</v>
      </c>
      <c r="AH319" s="3708"/>
      <c r="AI319" s="4082">
        <f>I319</f>
        <v>2400</v>
      </c>
      <c r="AJ319" s="4082"/>
      <c r="AK319" s="3708"/>
      <c r="AL319" s="3664"/>
      <c r="AM319" s="3664"/>
      <c r="AN319" s="3691"/>
      <c r="AO319" s="3691"/>
      <c r="AP319" s="3691"/>
      <c r="AQ319" s="4089">
        <f>I319</f>
        <v>2400</v>
      </c>
      <c r="AR319" s="1048"/>
      <c r="AS319" s="4089">
        <f>I319</f>
        <v>2400</v>
      </c>
      <c r="AT319" s="1048"/>
      <c r="AU319" s="4089"/>
      <c r="AV319" s="4089">
        <f>I319/6</f>
        <v>400</v>
      </c>
      <c r="AW319" s="4089"/>
      <c r="AX319" s="4089"/>
      <c r="AY319" s="4089"/>
      <c r="AZ319" s="4089"/>
      <c r="BA319" s="4089"/>
      <c r="BB319" s="4089"/>
      <c r="BC319" s="4089"/>
      <c r="BD319" s="4089"/>
      <c r="BE319" s="4089"/>
      <c r="BF319" s="4089" t="s">
        <v>89</v>
      </c>
      <c r="BG319" s="4089"/>
      <c r="BH319" s="4089">
        <f t="shared" si="128"/>
        <v>400</v>
      </c>
      <c r="BI319" s="4089">
        <f t="shared" si="129"/>
        <v>400</v>
      </c>
      <c r="BJ319" s="4089">
        <f t="shared" si="130"/>
        <v>400</v>
      </c>
      <c r="BK319" s="4403">
        <f t="shared" si="131"/>
        <v>400</v>
      </c>
      <c r="BL319" s="4385">
        <f t="shared" si="132"/>
        <v>400</v>
      </c>
      <c r="BM319" s="4403">
        <f t="shared" si="133"/>
        <v>320</v>
      </c>
      <c r="BN319" s="4089">
        <f t="shared" si="134"/>
        <v>80</v>
      </c>
      <c r="BO319" s="4434"/>
      <c r="BP319" s="4434"/>
      <c r="BQ319" s="4434"/>
      <c r="BR319" s="4434"/>
      <c r="BS319" s="4434"/>
      <c r="BT319" s="4435"/>
      <c r="BU319" s="4436"/>
      <c r="BV319" s="4385">
        <f t="shared" si="141"/>
        <v>2400</v>
      </c>
      <c r="BW319" s="4386">
        <f t="shared" si="115"/>
        <v>0</v>
      </c>
      <c r="BX319" s="4387"/>
      <c r="BY319" s="4387"/>
      <c r="BZ319" s="4387"/>
      <c r="CA319" s="4391" t="str">
        <f>VLOOKUP(D319&amp;G319&amp;H319&amp;I319,'9298 版本变更明细'!C:AJ,34,FALSE)</f>
        <v>B版本膜+A版本口水胶+C版本配件包（香味贴纸/指定配件）</v>
      </c>
      <c r="CC319" s="4392"/>
      <c r="CD319" s="4391"/>
    </row>
    <row r="320" s="4025" customFormat="1" ht="50" customHeight="1" spans="1:82">
      <c r="A320" s="3688">
        <v>45737</v>
      </c>
      <c r="B320" s="3689" t="s">
        <v>3156</v>
      </c>
      <c r="C320" s="3664" t="s">
        <v>471</v>
      </c>
      <c r="D320" s="3690">
        <v>4500160859</v>
      </c>
      <c r="E320" s="3664">
        <v>5200006422</v>
      </c>
      <c r="F320" s="3690" t="s">
        <v>3837</v>
      </c>
      <c r="G320" s="3664" t="s">
        <v>3838</v>
      </c>
      <c r="H320" s="3664" t="s">
        <v>3353</v>
      </c>
      <c r="I320" s="3691">
        <v>7800</v>
      </c>
      <c r="J320" s="3691">
        <v>0</v>
      </c>
      <c r="K320" s="3691">
        <v>6</v>
      </c>
      <c r="L320" s="3691">
        <f t="shared" si="140"/>
        <v>1300</v>
      </c>
      <c r="M320" s="3659">
        <v>45824</v>
      </c>
      <c r="N320" s="3659">
        <v>45820</v>
      </c>
      <c r="O320" s="3664"/>
      <c r="P320" s="3682" t="s">
        <v>82</v>
      </c>
      <c r="Q320" s="3682"/>
      <c r="R320" s="4083"/>
      <c r="S320" s="4083"/>
      <c r="T320" s="4083"/>
      <c r="U320" s="3645" t="s">
        <v>3839</v>
      </c>
      <c r="V320" s="3649" t="s">
        <v>3840</v>
      </c>
      <c r="W320" s="3657"/>
      <c r="X320" s="3657" t="s">
        <v>98</v>
      </c>
      <c r="Y320" s="3657"/>
      <c r="Z320" s="3661"/>
      <c r="AA320" s="3620" t="s">
        <v>3841</v>
      </c>
      <c r="AB320" s="4446" t="s">
        <v>3593</v>
      </c>
      <c r="AC320" s="4087">
        <v>26.065</v>
      </c>
      <c r="AD320" s="3691">
        <f>L320*AC320</f>
        <v>33884.5</v>
      </c>
      <c r="AE320" s="3645"/>
      <c r="AF320" s="3664" t="s">
        <v>3842</v>
      </c>
      <c r="AG320" s="3645" t="s">
        <v>416</v>
      </c>
      <c r="AH320" s="3664"/>
      <c r="AI320" s="3691"/>
      <c r="AJ320" s="3691"/>
      <c r="AK320" s="3664"/>
      <c r="AL320" s="3664">
        <f>I320</f>
        <v>7800</v>
      </c>
      <c r="AM320" s="3664"/>
      <c r="AN320" s="3691"/>
      <c r="AO320" s="3691">
        <f>I320</f>
        <v>7800</v>
      </c>
      <c r="AP320" s="3691"/>
      <c r="AQ320" s="4089"/>
      <c r="AR320" s="4089"/>
      <c r="AS320" s="4089"/>
      <c r="AT320" s="4089"/>
      <c r="AU320" s="4089">
        <f>I320</f>
        <v>7800</v>
      </c>
      <c r="AV320" s="4089"/>
      <c r="AW320" s="4089"/>
      <c r="AX320" s="4089"/>
      <c r="AY320" s="4089"/>
      <c r="AZ320" s="4089"/>
      <c r="BA320" s="4089"/>
      <c r="BB320" s="4089"/>
      <c r="BC320" s="4089">
        <f>I320*2/12</f>
        <v>1300</v>
      </c>
      <c r="BD320" s="4089"/>
      <c r="BE320" s="4089"/>
      <c r="BF320" s="4089" t="s">
        <v>89</v>
      </c>
      <c r="BG320" s="4089"/>
      <c r="BH320" s="4089">
        <f t="shared" si="128"/>
        <v>1300</v>
      </c>
      <c r="BI320" s="4089">
        <f t="shared" si="129"/>
        <v>1300</v>
      </c>
      <c r="BJ320" s="4089">
        <f t="shared" si="130"/>
        <v>1300</v>
      </c>
      <c r="BK320" s="4089">
        <f t="shared" si="131"/>
        <v>1300</v>
      </c>
      <c r="BL320" s="4089">
        <f t="shared" si="132"/>
        <v>1300</v>
      </c>
      <c r="BM320" s="4089">
        <f t="shared" si="133"/>
        <v>1040</v>
      </c>
      <c r="BN320" s="4089">
        <f t="shared" si="134"/>
        <v>260</v>
      </c>
      <c r="BO320" s="4449"/>
      <c r="BP320" s="4449"/>
      <c r="BQ320" s="4449"/>
      <c r="BR320" s="4449"/>
      <c r="BS320" s="4449"/>
      <c r="BT320" s="4450"/>
      <c r="BU320" s="4451"/>
      <c r="BV320" s="4385">
        <f t="shared" si="141"/>
        <v>7800</v>
      </c>
      <c r="BW320" s="4386">
        <f t="shared" si="115"/>
        <v>0</v>
      </c>
      <c r="BX320" s="4387"/>
      <c r="BY320" s="4387"/>
      <c r="BZ320" s="4387"/>
      <c r="CA320" s="4391" t="str">
        <f>VLOOKUP(D320&amp;G320&amp;H320&amp;I320,'9298 版本变更明细'!C:AJ,34,FALSE)</f>
        <v>B版本膜+A版本指南+口水胶+C版本配件包（香味贴纸/指定配件）</v>
      </c>
      <c r="CC320" s="4392"/>
      <c r="CD320" s="4391"/>
    </row>
    <row r="321" s="4025" customFormat="1" ht="50" customHeight="1" spans="1:82">
      <c r="A321" s="3688">
        <v>45750</v>
      </c>
      <c r="B321" s="3689" t="s">
        <v>1315</v>
      </c>
      <c r="C321" s="3664" t="s">
        <v>1316</v>
      </c>
      <c r="D321" s="3690">
        <v>4500162573</v>
      </c>
      <c r="E321" s="3664" t="s">
        <v>1377</v>
      </c>
      <c r="F321" s="3690" t="s">
        <v>1378</v>
      </c>
      <c r="G321" s="3664" t="s">
        <v>3821</v>
      </c>
      <c r="H321" s="3664" t="s">
        <v>1320</v>
      </c>
      <c r="I321" s="3691">
        <v>3600</v>
      </c>
      <c r="J321" s="3691">
        <v>0</v>
      </c>
      <c r="K321" s="3691">
        <v>4</v>
      </c>
      <c r="L321" s="3691">
        <f t="shared" si="140"/>
        <v>900</v>
      </c>
      <c r="M321" s="3659">
        <v>45824</v>
      </c>
      <c r="N321" s="3659">
        <f>M321-4</f>
        <v>45820</v>
      </c>
      <c r="O321" s="3645"/>
      <c r="P321" s="3682" t="s">
        <v>82</v>
      </c>
      <c r="Q321" s="3682"/>
      <c r="R321" s="4083"/>
      <c r="S321" s="4083"/>
      <c r="T321" s="4083"/>
      <c r="U321" s="3645"/>
      <c r="V321" s="3649" t="s">
        <v>1322</v>
      </c>
      <c r="W321" s="3657"/>
      <c r="X321" s="3657" t="s">
        <v>1907</v>
      </c>
      <c r="Y321" s="3657"/>
      <c r="Z321" s="3691" t="s">
        <v>1380</v>
      </c>
      <c r="AA321" s="3620" t="s">
        <v>1376</v>
      </c>
      <c r="AB321" s="4446" t="s">
        <v>1326</v>
      </c>
      <c r="AC321" s="3691">
        <v>16.8314</v>
      </c>
      <c r="AD321" s="3691">
        <f>AC321*L321</f>
        <v>15148.26</v>
      </c>
      <c r="AE321" s="3645"/>
      <c r="AF321" s="3664" t="s">
        <v>3822</v>
      </c>
      <c r="AG321" s="3645" t="s">
        <v>416</v>
      </c>
      <c r="AH321" s="3664"/>
      <c r="AI321" s="3691"/>
      <c r="AJ321" s="3691"/>
      <c r="AK321" s="3664"/>
      <c r="AL321" s="3664"/>
      <c r="AM321" s="3664"/>
      <c r="AN321" s="3691">
        <f>I321</f>
        <v>3600</v>
      </c>
      <c r="AO321" s="3691"/>
      <c r="AP321" s="3691"/>
      <c r="AQ321" s="4089">
        <f>I321</f>
        <v>3600</v>
      </c>
      <c r="AR321" s="4089"/>
      <c r="AS321" s="4089">
        <f t="shared" ref="AS321:AS330" si="142">I321</f>
        <v>3600</v>
      </c>
      <c r="AT321" s="4089"/>
      <c r="AU321" s="4089"/>
      <c r="AV321" s="4089"/>
      <c r="AW321" s="4089"/>
      <c r="AX321" s="4089"/>
      <c r="AY321" s="4089"/>
      <c r="AZ321" s="4089"/>
      <c r="BA321" s="4089"/>
      <c r="BB321" s="4089"/>
      <c r="BC321" s="4089">
        <f>I321/4</f>
        <v>900</v>
      </c>
      <c r="BD321" s="4089"/>
      <c r="BE321" s="4089"/>
      <c r="BF321" s="4089" t="s">
        <v>1327</v>
      </c>
      <c r="BG321" s="4089"/>
      <c r="BH321" s="4089">
        <f t="shared" si="128"/>
        <v>600</v>
      </c>
      <c r="BI321" s="4089">
        <f t="shared" si="129"/>
        <v>600</v>
      </c>
      <c r="BJ321" s="4089">
        <f t="shared" si="130"/>
        <v>600</v>
      </c>
      <c r="BK321" s="4089">
        <f t="shared" si="131"/>
        <v>600</v>
      </c>
      <c r="BL321" s="4089">
        <f t="shared" si="132"/>
        <v>600</v>
      </c>
      <c r="BM321" s="4089">
        <f t="shared" si="133"/>
        <v>480</v>
      </c>
      <c r="BN321" s="4089">
        <f t="shared" si="134"/>
        <v>120</v>
      </c>
      <c r="BO321" s="4459"/>
      <c r="BP321" s="4459"/>
      <c r="BQ321" s="4459"/>
      <c r="BR321" s="4459"/>
      <c r="BS321" s="4459"/>
      <c r="BT321" s="4460"/>
      <c r="BU321" s="4461"/>
      <c r="BV321" s="4385">
        <f t="shared" si="141"/>
        <v>3600</v>
      </c>
      <c r="BW321" s="4386">
        <f t="shared" si="115"/>
        <v>0</v>
      </c>
      <c r="BX321" s="4387"/>
      <c r="BY321" s="4387"/>
      <c r="BZ321" s="4387"/>
      <c r="CA321" s="4391" t="str">
        <f>VLOOKUP(D321&amp;G321&amp;H321&amp;I321,'9298 版本变更明细'!C:AJ,34,FALSE)</f>
        <v>A版本口水胶+C版本配件包（香味贴纸/指定配件）</v>
      </c>
      <c r="CC321" s="4392"/>
      <c r="CD321" s="4391"/>
    </row>
    <row r="322" s="4025" customFormat="1" ht="50" customHeight="1" spans="1:82">
      <c r="A322" s="3688">
        <v>45750</v>
      </c>
      <c r="B322" s="3689" t="s">
        <v>1315</v>
      </c>
      <c r="C322" s="3664" t="s">
        <v>1316</v>
      </c>
      <c r="D322" s="3690">
        <v>4500162573</v>
      </c>
      <c r="E322" s="3664" t="s">
        <v>1381</v>
      </c>
      <c r="F322" s="3690" t="s">
        <v>1382</v>
      </c>
      <c r="G322" s="3664" t="s">
        <v>3821</v>
      </c>
      <c r="H322" s="3664" t="s">
        <v>1320</v>
      </c>
      <c r="I322" s="3691">
        <v>5400</v>
      </c>
      <c r="J322" s="3691">
        <v>0</v>
      </c>
      <c r="K322" s="3691">
        <v>4</v>
      </c>
      <c r="L322" s="3691">
        <f t="shared" si="140"/>
        <v>1350</v>
      </c>
      <c r="M322" s="3659">
        <v>45824</v>
      </c>
      <c r="N322" s="3659">
        <f>M322-4</f>
        <v>45820</v>
      </c>
      <c r="O322" s="3645"/>
      <c r="P322" s="3682" t="s">
        <v>82</v>
      </c>
      <c r="Q322" s="3682"/>
      <c r="R322" s="4083"/>
      <c r="S322" s="4083"/>
      <c r="T322" s="4083"/>
      <c r="U322" s="3645"/>
      <c r="V322" s="3657" t="s">
        <v>1322</v>
      </c>
      <c r="W322" s="3657"/>
      <c r="X322" s="3657" t="s">
        <v>1907</v>
      </c>
      <c r="Y322" s="3657"/>
      <c r="Z322" s="3691" t="s">
        <v>1383</v>
      </c>
      <c r="AA322" s="3620" t="s">
        <v>1376</v>
      </c>
      <c r="AB322" s="3691" t="s">
        <v>1326</v>
      </c>
      <c r="AC322" s="3691">
        <v>16.7342</v>
      </c>
      <c r="AD322" s="3691">
        <f>AC322*L322</f>
        <v>22591.17</v>
      </c>
      <c r="AE322" s="3645"/>
      <c r="AF322" s="3664" t="s">
        <v>3822</v>
      </c>
      <c r="AG322" s="3645" t="s">
        <v>416</v>
      </c>
      <c r="AH322" s="3664"/>
      <c r="AI322" s="3691"/>
      <c r="AJ322" s="3691"/>
      <c r="AK322" s="3664"/>
      <c r="AL322" s="3664"/>
      <c r="AM322" s="3664"/>
      <c r="AN322" s="3691">
        <f>I322</f>
        <v>5400</v>
      </c>
      <c r="AO322" s="3691"/>
      <c r="AP322" s="3691"/>
      <c r="AQ322" s="4089">
        <f>I322</f>
        <v>5400</v>
      </c>
      <c r="AR322" s="4089"/>
      <c r="AS322" s="4089">
        <f t="shared" si="142"/>
        <v>5400</v>
      </c>
      <c r="AT322" s="4089"/>
      <c r="AU322" s="4089"/>
      <c r="AV322" s="4089"/>
      <c r="AW322" s="4089"/>
      <c r="AX322" s="4089"/>
      <c r="AY322" s="4089"/>
      <c r="AZ322" s="4089"/>
      <c r="BA322" s="4089"/>
      <c r="BB322" s="4089"/>
      <c r="BC322" s="4089">
        <f>I322/4</f>
        <v>1350</v>
      </c>
      <c r="BD322" s="4089"/>
      <c r="BE322" s="4089"/>
      <c r="BF322" s="4089" t="s">
        <v>1327</v>
      </c>
      <c r="BG322" s="4089"/>
      <c r="BH322" s="4089">
        <f t="shared" si="128"/>
        <v>900</v>
      </c>
      <c r="BI322" s="4089">
        <f t="shared" si="129"/>
        <v>900</v>
      </c>
      <c r="BJ322" s="4089">
        <f t="shared" si="130"/>
        <v>900</v>
      </c>
      <c r="BK322" s="4089">
        <f t="shared" si="131"/>
        <v>900</v>
      </c>
      <c r="BL322" s="4089">
        <f t="shared" si="132"/>
        <v>900</v>
      </c>
      <c r="BM322" s="4089">
        <f t="shared" si="133"/>
        <v>720</v>
      </c>
      <c r="BN322" s="4089">
        <f t="shared" si="134"/>
        <v>180</v>
      </c>
      <c r="BO322" s="4089"/>
      <c r="BP322" s="4089"/>
      <c r="BQ322" s="4089"/>
      <c r="BR322" s="4089"/>
      <c r="BS322" s="4089"/>
      <c r="BT322" s="4404"/>
      <c r="BU322" s="4403"/>
      <c r="BV322" s="4385">
        <f t="shared" si="141"/>
        <v>5400</v>
      </c>
      <c r="BW322" s="4386">
        <f t="shared" si="115"/>
        <v>0</v>
      </c>
      <c r="BX322" s="4387"/>
      <c r="BY322" s="4387"/>
      <c r="BZ322" s="4387"/>
      <c r="CA322" s="4391" t="str">
        <f>VLOOKUP(D322&amp;G322&amp;H322&amp;I322,'9298 版本变更明细'!C:AJ,34,FALSE)</f>
        <v>A版本口水胶+C版本配件包（香味贴纸/指定配件）</v>
      </c>
      <c r="CC322" s="4392"/>
      <c r="CD322" s="4391"/>
    </row>
    <row r="323" s="4025" customFormat="1" ht="50" customHeight="1" spans="1:82">
      <c r="A323" s="3688">
        <v>45770</v>
      </c>
      <c r="B323" s="3689" t="s">
        <v>3843</v>
      </c>
      <c r="C323" s="3664" t="s">
        <v>341</v>
      </c>
      <c r="D323" s="3690">
        <v>4500164628</v>
      </c>
      <c r="E323" s="3664" t="s">
        <v>3844</v>
      </c>
      <c r="F323" s="3690" t="s">
        <v>3845</v>
      </c>
      <c r="G323" s="3664" t="s">
        <v>2577</v>
      </c>
      <c r="H323" s="3664" t="s">
        <v>2578</v>
      </c>
      <c r="I323" s="3691">
        <v>540</v>
      </c>
      <c r="J323" s="3691">
        <v>0</v>
      </c>
      <c r="K323" s="3691">
        <v>12</v>
      </c>
      <c r="L323" s="3691">
        <f t="shared" si="140"/>
        <v>45</v>
      </c>
      <c r="M323" s="3659">
        <v>45826</v>
      </c>
      <c r="N323" s="3659">
        <v>45822</v>
      </c>
      <c r="O323" s="3664"/>
      <c r="P323" s="3682" t="s">
        <v>82</v>
      </c>
      <c r="Q323" s="3682"/>
      <c r="R323" s="4083"/>
      <c r="S323" s="4083"/>
      <c r="T323" s="4083"/>
      <c r="U323" s="3645" t="s">
        <v>3839</v>
      </c>
      <c r="V323" s="3649" t="s">
        <v>1209</v>
      </c>
      <c r="W323" s="3657"/>
      <c r="X323" s="3657" t="s">
        <v>98</v>
      </c>
      <c r="Y323" s="3657"/>
      <c r="Z323" s="3661"/>
      <c r="AA323" s="3620" t="s">
        <v>3846</v>
      </c>
      <c r="AB323" s="3691" t="s">
        <v>3847</v>
      </c>
      <c r="AC323" s="3691">
        <v>2.0933</v>
      </c>
      <c r="AD323" s="3691">
        <f>AC323*I323</f>
        <v>1130.382</v>
      </c>
      <c r="AE323" s="3645"/>
      <c r="AF323" s="3664" t="s">
        <v>2577</v>
      </c>
      <c r="AG323" s="3645" t="s">
        <v>416</v>
      </c>
      <c r="AH323" s="905"/>
      <c r="AI323" s="3691">
        <f>I323</f>
        <v>540</v>
      </c>
      <c r="AJ323" s="3691"/>
      <c r="AK323" s="905"/>
      <c r="AL323" s="3664"/>
      <c r="AM323" s="3664"/>
      <c r="AN323" s="3691"/>
      <c r="AO323" s="3691">
        <f t="shared" ref="AO323:AO339" si="143">I323</f>
        <v>540</v>
      </c>
      <c r="AP323" s="3691"/>
      <c r="AQ323" s="4089"/>
      <c r="AR323" s="4382"/>
      <c r="AS323" s="4089">
        <f t="shared" si="142"/>
        <v>540</v>
      </c>
      <c r="AT323" s="4382"/>
      <c r="AU323" s="4089"/>
      <c r="AV323" s="4089">
        <f>I323/6</f>
        <v>90</v>
      </c>
      <c r="AW323" s="4089"/>
      <c r="AX323" s="4089"/>
      <c r="AY323" s="4089"/>
      <c r="AZ323" s="4089"/>
      <c r="BA323" s="4089"/>
      <c r="BB323" s="4089"/>
      <c r="BC323" s="4089"/>
      <c r="BD323" s="4089"/>
      <c r="BE323" s="4089"/>
      <c r="BF323" s="4089" t="s">
        <v>89</v>
      </c>
      <c r="BG323" s="4089"/>
      <c r="BH323" s="4089">
        <f t="shared" si="128"/>
        <v>90</v>
      </c>
      <c r="BI323" s="4089">
        <f t="shared" si="129"/>
        <v>90</v>
      </c>
      <c r="BJ323" s="4089">
        <f t="shared" si="130"/>
        <v>90</v>
      </c>
      <c r="BK323" s="4089">
        <f t="shared" si="131"/>
        <v>90</v>
      </c>
      <c r="BL323" s="4089">
        <f t="shared" si="132"/>
        <v>90</v>
      </c>
      <c r="BM323" s="4089">
        <f t="shared" si="133"/>
        <v>72</v>
      </c>
      <c r="BN323" s="4089">
        <f t="shared" si="134"/>
        <v>18</v>
      </c>
      <c r="BO323" s="4382"/>
      <c r="BP323" s="4382"/>
      <c r="BQ323" s="4382"/>
      <c r="BR323" s="4382"/>
      <c r="BS323" s="4382"/>
      <c r="BT323" s="4383"/>
      <c r="BU323" s="4384"/>
      <c r="BV323" s="4385">
        <f t="shared" si="141"/>
        <v>540</v>
      </c>
      <c r="BW323" s="4386">
        <f t="shared" si="115"/>
        <v>0</v>
      </c>
      <c r="BX323" s="4387"/>
      <c r="BY323" s="4387"/>
      <c r="BZ323" s="4387"/>
      <c r="CA323" s="4391"/>
      <c r="CC323" s="4392"/>
      <c r="CD323" s="4391"/>
    </row>
    <row r="324" s="4025" customFormat="1" ht="50" customHeight="1" spans="1:82">
      <c r="A324" s="3688">
        <v>45789</v>
      </c>
      <c r="B324" s="3689" t="s">
        <v>3848</v>
      </c>
      <c r="C324" s="3664" t="s">
        <v>341</v>
      </c>
      <c r="D324" s="3690">
        <v>4500166127</v>
      </c>
      <c r="E324" s="3664" t="s">
        <v>3849</v>
      </c>
      <c r="F324" s="3690" t="s">
        <v>3850</v>
      </c>
      <c r="G324" s="3664" t="s">
        <v>2964</v>
      </c>
      <c r="H324" s="3664" t="s">
        <v>2965</v>
      </c>
      <c r="I324" s="3691">
        <v>720</v>
      </c>
      <c r="J324" s="3691">
        <v>6</v>
      </c>
      <c r="K324" s="3691">
        <v>12</v>
      </c>
      <c r="L324" s="3691">
        <f t="shared" si="140"/>
        <v>60</v>
      </c>
      <c r="M324" s="3659">
        <v>45826</v>
      </c>
      <c r="N324" s="3659">
        <v>45822</v>
      </c>
      <c r="O324" s="3645"/>
      <c r="P324" s="3682" t="s">
        <v>82</v>
      </c>
      <c r="Q324" s="3682"/>
      <c r="R324" s="4083"/>
      <c r="S324" s="4083"/>
      <c r="T324" s="4083"/>
      <c r="U324" s="3645" t="s">
        <v>3839</v>
      </c>
      <c r="V324" s="3649" t="s">
        <v>1336</v>
      </c>
      <c r="W324" s="3657"/>
      <c r="X324" s="3657" t="s">
        <v>98</v>
      </c>
      <c r="Y324" s="3657"/>
      <c r="Z324" s="3661"/>
      <c r="AA324" s="3620" t="s">
        <v>3851</v>
      </c>
      <c r="AB324" s="3691" t="s">
        <v>3852</v>
      </c>
      <c r="AC324" s="3691">
        <v>2.243</v>
      </c>
      <c r="AD324" s="3691">
        <f>AC324*I324</f>
        <v>1614.96</v>
      </c>
      <c r="AE324" s="3645"/>
      <c r="AF324" s="3664" t="s">
        <v>2964</v>
      </c>
      <c r="AG324" s="3645" t="s">
        <v>416</v>
      </c>
      <c r="AH324" s="3664"/>
      <c r="AI324" s="3691">
        <f>I324</f>
        <v>720</v>
      </c>
      <c r="AJ324" s="3691"/>
      <c r="AK324" s="3664"/>
      <c r="AL324" s="3664"/>
      <c r="AM324" s="3664"/>
      <c r="AN324" s="3691"/>
      <c r="AO324" s="3691">
        <f t="shared" si="143"/>
        <v>720</v>
      </c>
      <c r="AP324" s="3691"/>
      <c r="AQ324" s="4089"/>
      <c r="AR324" s="4089"/>
      <c r="AS324" s="4089">
        <f t="shared" si="142"/>
        <v>720</v>
      </c>
      <c r="AT324" s="4089"/>
      <c r="AU324" s="4089"/>
      <c r="AV324" s="4089">
        <f>I324/6</f>
        <v>120</v>
      </c>
      <c r="AW324" s="4089"/>
      <c r="AX324" s="4089"/>
      <c r="AY324" s="4089"/>
      <c r="AZ324" s="4089"/>
      <c r="BA324" s="4089"/>
      <c r="BB324" s="4089"/>
      <c r="BC324" s="4089"/>
      <c r="BD324" s="4089"/>
      <c r="BE324" s="4089"/>
      <c r="BF324" s="4089" t="s">
        <v>89</v>
      </c>
      <c r="BG324" s="4089"/>
      <c r="BH324" s="4089">
        <f t="shared" si="128"/>
        <v>120</v>
      </c>
      <c r="BI324" s="4089">
        <f t="shared" si="129"/>
        <v>120</v>
      </c>
      <c r="BJ324" s="4089">
        <f t="shared" si="130"/>
        <v>120</v>
      </c>
      <c r="BK324" s="4089">
        <f t="shared" si="131"/>
        <v>120</v>
      </c>
      <c r="BL324" s="4089">
        <f t="shared" si="132"/>
        <v>120</v>
      </c>
      <c r="BM324" s="4089">
        <f t="shared" si="133"/>
        <v>96</v>
      </c>
      <c r="BN324" s="4089">
        <f t="shared" si="134"/>
        <v>24</v>
      </c>
      <c r="BO324" s="4411"/>
      <c r="BP324" s="4411"/>
      <c r="BQ324" s="4411"/>
      <c r="BR324" s="4411"/>
      <c r="BS324" s="4411"/>
      <c r="BT324" s="4453"/>
      <c r="BU324" s="4454"/>
      <c r="BV324" s="4385">
        <f t="shared" si="141"/>
        <v>720</v>
      </c>
      <c r="BW324" s="4386">
        <f t="shared" si="115"/>
        <v>0</v>
      </c>
      <c r="BX324" s="4387"/>
      <c r="BY324" s="4387"/>
      <c r="BZ324" s="4387"/>
      <c r="CA324" s="4391" t="str">
        <f>VLOOKUP(D324&amp;G324&amp;H324&amp;I324,'9298 版本变更明细'!C:AJ,34,FALSE)</f>
        <v>B版本膜+A版本指南+口水胶+C版本配件包（香味贴纸/指定配件）</v>
      </c>
      <c r="CC324" s="4392"/>
      <c r="CD324" s="4391"/>
    </row>
    <row r="325" s="4025" customFormat="1" ht="50" customHeight="1" spans="1:82">
      <c r="A325" s="3688">
        <v>45786</v>
      </c>
      <c r="B325" s="3689" t="s">
        <v>3853</v>
      </c>
      <c r="C325" s="3664" t="s">
        <v>516</v>
      </c>
      <c r="D325" s="3690">
        <v>4500165899</v>
      </c>
      <c r="E325" s="3664"/>
      <c r="F325" s="3690" t="s">
        <v>3854</v>
      </c>
      <c r="G325" s="3664" t="s">
        <v>2577</v>
      </c>
      <c r="H325" s="3664" t="s">
        <v>2578</v>
      </c>
      <c r="I325" s="3691">
        <v>10008</v>
      </c>
      <c r="J325" s="3691">
        <v>0</v>
      </c>
      <c r="K325" s="3691">
        <v>12</v>
      </c>
      <c r="L325" s="3691">
        <f t="shared" si="140"/>
        <v>834</v>
      </c>
      <c r="M325" s="3659">
        <v>45827</v>
      </c>
      <c r="N325" s="3659">
        <v>45857</v>
      </c>
      <c r="O325" s="4085"/>
      <c r="P325" s="3682" t="s">
        <v>82</v>
      </c>
      <c r="Q325" s="3682"/>
      <c r="R325" s="4083"/>
      <c r="S325" s="4083"/>
      <c r="T325" s="4083"/>
      <c r="U325" s="3645" t="s">
        <v>208</v>
      </c>
      <c r="V325" s="3649" t="s">
        <v>1336</v>
      </c>
      <c r="W325" s="3657"/>
      <c r="X325" s="3657" t="s">
        <v>3855</v>
      </c>
      <c r="Y325" s="3657"/>
      <c r="Z325" s="3661"/>
      <c r="AA325" s="3620" t="s">
        <v>3856</v>
      </c>
      <c r="AB325" s="3691" t="s">
        <v>3805</v>
      </c>
      <c r="AC325" s="3691">
        <v>2.0954</v>
      </c>
      <c r="AD325" s="3691">
        <f>AC325*I325</f>
        <v>20970.7632</v>
      </c>
      <c r="AE325" s="3645"/>
      <c r="AF325" s="3664" t="s">
        <v>2604</v>
      </c>
      <c r="AG325" s="3645" t="s">
        <v>416</v>
      </c>
      <c r="AH325" s="905"/>
      <c r="AI325" s="3691"/>
      <c r="AJ325" s="3691"/>
      <c r="AK325" s="905"/>
      <c r="AL325" s="3664"/>
      <c r="AM325" s="3664">
        <f>I325</f>
        <v>10008</v>
      </c>
      <c r="AN325" s="3691"/>
      <c r="AO325" s="3691">
        <f t="shared" si="143"/>
        <v>10008</v>
      </c>
      <c r="AP325" s="3691"/>
      <c r="AQ325" s="4089"/>
      <c r="AR325" s="4382"/>
      <c r="AS325" s="4089">
        <f t="shared" si="142"/>
        <v>10008</v>
      </c>
      <c r="AT325" s="4382"/>
      <c r="AU325" s="4089"/>
      <c r="AV325" s="4089">
        <f>I325/6</f>
        <v>1668</v>
      </c>
      <c r="AW325" s="4089"/>
      <c r="AX325" s="4089"/>
      <c r="AY325" s="4089"/>
      <c r="AZ325" s="4089"/>
      <c r="BA325" s="4089"/>
      <c r="BB325" s="4089"/>
      <c r="BC325" s="4089"/>
      <c r="BD325" s="4089"/>
      <c r="BE325" s="4089"/>
      <c r="BF325" s="4089" t="s">
        <v>89</v>
      </c>
      <c r="BG325" s="4089"/>
      <c r="BH325" s="4089">
        <f t="shared" si="128"/>
        <v>1668</v>
      </c>
      <c r="BI325" s="4089">
        <f t="shared" si="129"/>
        <v>1668</v>
      </c>
      <c r="BJ325" s="4089">
        <f t="shared" si="130"/>
        <v>1668</v>
      </c>
      <c r="BK325" s="4089">
        <f t="shared" si="131"/>
        <v>1668</v>
      </c>
      <c r="BL325" s="4089">
        <f t="shared" si="132"/>
        <v>1668</v>
      </c>
      <c r="BM325" s="4089">
        <f t="shared" si="133"/>
        <v>1334.4</v>
      </c>
      <c r="BN325" s="4089">
        <f t="shared" si="134"/>
        <v>333.6</v>
      </c>
      <c r="BO325" s="907"/>
      <c r="BP325" s="907"/>
      <c r="BQ325" s="907"/>
      <c r="BR325" s="907"/>
      <c r="BS325" s="907"/>
      <c r="BT325" s="910"/>
      <c r="BU325" s="911"/>
      <c r="BV325" s="4385">
        <f t="shared" si="141"/>
        <v>10008</v>
      </c>
      <c r="BW325" s="4386">
        <f t="shared" ref="BW325:BW388" si="144">I325-BV325</f>
        <v>0</v>
      </c>
      <c r="BX325" s="4387"/>
      <c r="BY325" s="4387"/>
      <c r="BZ325" s="4387"/>
      <c r="CA325" s="4391" t="str">
        <f>VLOOKUP(D325&amp;G325&amp;H325&amp;I325,'9298 版本变更明细'!C:AJ,34,FALSE)</f>
        <v>C版本收缩膜+A版本指南+口水胶+C版本配件包（香味贴纸/指定配件）</v>
      </c>
      <c r="CC325" s="4392" t="s">
        <v>3857</v>
      </c>
      <c r="CD325" s="4391" t="s">
        <v>3858</v>
      </c>
    </row>
    <row r="326" s="4025" customFormat="1" ht="50" customHeight="1" spans="1:82">
      <c r="A326" s="3688">
        <v>45799</v>
      </c>
      <c r="B326" s="3689" t="s">
        <v>3495</v>
      </c>
      <c r="C326" s="3664" t="s">
        <v>91</v>
      </c>
      <c r="D326" s="3690">
        <v>4500167498</v>
      </c>
      <c r="E326" s="5456" t="s">
        <v>3859</v>
      </c>
      <c r="F326" s="3690" t="s">
        <v>3860</v>
      </c>
      <c r="G326" s="3664" t="s">
        <v>3068</v>
      </c>
      <c r="H326" s="3664" t="s">
        <v>3069</v>
      </c>
      <c r="I326" s="3691">
        <v>768</v>
      </c>
      <c r="J326" s="3691">
        <v>2</v>
      </c>
      <c r="K326" s="3691">
        <v>384</v>
      </c>
      <c r="L326" s="3691">
        <f t="shared" si="140"/>
        <v>2</v>
      </c>
      <c r="M326" s="3659">
        <v>45828</v>
      </c>
      <c r="N326" s="3659">
        <v>45824</v>
      </c>
      <c r="O326" s="4097" t="s">
        <v>3861</v>
      </c>
      <c r="P326" s="3682" t="s">
        <v>82</v>
      </c>
      <c r="Q326" s="3682"/>
      <c r="R326" s="4083"/>
      <c r="S326" s="4083"/>
      <c r="T326" s="4083"/>
      <c r="U326" s="3645" t="s">
        <v>203</v>
      </c>
      <c r="V326" s="3649" t="s">
        <v>3703</v>
      </c>
      <c r="W326" s="3657"/>
      <c r="X326" s="3657" t="s">
        <v>3073</v>
      </c>
      <c r="Y326" s="3657" t="s">
        <v>3862</v>
      </c>
      <c r="Z326" s="3691"/>
      <c r="AA326" s="3620" t="s">
        <v>3863</v>
      </c>
      <c r="AB326" s="3618" t="s">
        <v>3706</v>
      </c>
      <c r="AC326" s="4087">
        <v>532.85</v>
      </c>
      <c r="AD326" s="3691">
        <f t="shared" ref="AD326:AD334" si="145">AC326*L326</f>
        <v>1065.7</v>
      </c>
      <c r="AE326" s="3645" t="s">
        <v>3864</v>
      </c>
      <c r="AF326" s="3664" t="s">
        <v>3078</v>
      </c>
      <c r="AG326" s="3645" t="s">
        <v>416</v>
      </c>
      <c r="AH326" s="905"/>
      <c r="AI326" s="3691">
        <f>I326</f>
        <v>768</v>
      </c>
      <c r="AJ326" s="3691"/>
      <c r="AK326" s="905"/>
      <c r="AL326" s="3664"/>
      <c r="AM326" s="3664"/>
      <c r="AN326" s="3691"/>
      <c r="AO326" s="3691">
        <f t="shared" si="143"/>
        <v>768</v>
      </c>
      <c r="AP326" s="3691"/>
      <c r="AQ326" s="4089"/>
      <c r="AR326" s="4382"/>
      <c r="AS326" s="4089">
        <f t="shared" si="142"/>
        <v>768</v>
      </c>
      <c r="AT326" s="4382"/>
      <c r="AU326" s="4089"/>
      <c r="AV326" s="4089"/>
      <c r="AW326" s="4089"/>
      <c r="AX326" s="4089"/>
      <c r="AY326" s="4089"/>
      <c r="AZ326" s="4089"/>
      <c r="BA326" s="4089"/>
      <c r="BB326" s="4089">
        <f>I326/2</f>
        <v>384</v>
      </c>
      <c r="BC326" s="4089"/>
      <c r="BD326" s="4089"/>
      <c r="BE326" s="4089"/>
      <c r="BF326" s="4089" t="s">
        <v>682</v>
      </c>
      <c r="BG326" s="4089"/>
      <c r="BH326" s="4089">
        <f t="shared" si="128"/>
        <v>128</v>
      </c>
      <c r="BI326" s="4089">
        <f t="shared" si="129"/>
        <v>128</v>
      </c>
      <c r="BJ326" s="4089">
        <f t="shared" si="130"/>
        <v>128</v>
      </c>
      <c r="BK326" s="4089">
        <f t="shared" si="131"/>
        <v>128</v>
      </c>
      <c r="BL326" s="4089">
        <f t="shared" si="132"/>
        <v>128</v>
      </c>
      <c r="BM326" s="4089">
        <f t="shared" si="133"/>
        <v>102.4</v>
      </c>
      <c r="BN326" s="4089">
        <f t="shared" si="134"/>
        <v>25.6</v>
      </c>
      <c r="BO326" s="4462"/>
      <c r="BP326" s="4462"/>
      <c r="BQ326" s="4462"/>
      <c r="BR326" s="4462"/>
      <c r="BS326" s="4462"/>
      <c r="BT326" s="4462"/>
      <c r="BU326" s="4462"/>
      <c r="BV326" s="4385">
        <f t="shared" si="141"/>
        <v>768</v>
      </c>
      <c r="BW326" s="4386">
        <f t="shared" si="144"/>
        <v>0</v>
      </c>
      <c r="BX326" s="4387"/>
      <c r="BY326" s="4387"/>
      <c r="BZ326" s="4387"/>
      <c r="CA326" s="4391" t="str">
        <f>VLOOKUP(D326&amp;G326&amp;H326&amp;I326,'9298 版本变更明细'!C:AJ,34,FALSE)</f>
        <v>B版本膜+A版本指南+口水胶+C版本配件包（香味贴纸/指定配件）</v>
      </c>
      <c r="CC326" s="4392"/>
      <c r="CD326" s="4391"/>
    </row>
    <row r="327" s="4025" customFormat="1" ht="50" customHeight="1" spans="1:82">
      <c r="A327" s="3688">
        <v>45799</v>
      </c>
      <c r="B327" s="4080" t="s">
        <v>3495</v>
      </c>
      <c r="C327" s="3663" t="s">
        <v>91</v>
      </c>
      <c r="D327" s="3690">
        <v>4500167498</v>
      </c>
      <c r="E327" s="5456" t="s">
        <v>3865</v>
      </c>
      <c r="F327" s="3690" t="s">
        <v>3866</v>
      </c>
      <c r="G327" s="3664" t="s">
        <v>3068</v>
      </c>
      <c r="H327" s="3664" t="s">
        <v>3069</v>
      </c>
      <c r="I327" s="3691">
        <v>768</v>
      </c>
      <c r="J327" s="3691">
        <v>2</v>
      </c>
      <c r="K327" s="3691">
        <v>384</v>
      </c>
      <c r="L327" s="3691">
        <f t="shared" si="140"/>
        <v>2</v>
      </c>
      <c r="M327" s="3659">
        <v>45828</v>
      </c>
      <c r="N327" s="3659">
        <v>45824</v>
      </c>
      <c r="O327" s="4097" t="s">
        <v>3861</v>
      </c>
      <c r="P327" s="3682" t="s">
        <v>82</v>
      </c>
      <c r="Q327" s="3682"/>
      <c r="R327" s="4083"/>
      <c r="S327" s="4083"/>
      <c r="T327" s="4083"/>
      <c r="U327" s="3645" t="s">
        <v>1405</v>
      </c>
      <c r="V327" s="3649" t="s">
        <v>3703</v>
      </c>
      <c r="W327" s="3657"/>
      <c r="X327" s="3657" t="s">
        <v>3073</v>
      </c>
      <c r="Y327" s="3657" t="s">
        <v>3862</v>
      </c>
      <c r="Z327" s="3691"/>
      <c r="AA327" s="3620" t="s">
        <v>3863</v>
      </c>
      <c r="AB327" s="3618" t="s">
        <v>3706</v>
      </c>
      <c r="AC327" s="4087">
        <v>532.85</v>
      </c>
      <c r="AD327" s="3691">
        <f t="shared" si="145"/>
        <v>1065.7</v>
      </c>
      <c r="AE327" s="3645" t="s">
        <v>3867</v>
      </c>
      <c r="AF327" s="3664" t="s">
        <v>3078</v>
      </c>
      <c r="AG327" s="3645" t="s">
        <v>416</v>
      </c>
      <c r="AH327" s="905"/>
      <c r="AI327" s="3691">
        <f>I327</f>
        <v>768</v>
      </c>
      <c r="AJ327" s="3691"/>
      <c r="AK327" s="905"/>
      <c r="AL327" s="3664"/>
      <c r="AM327" s="3664"/>
      <c r="AN327" s="3691"/>
      <c r="AO327" s="3691">
        <f t="shared" si="143"/>
        <v>768</v>
      </c>
      <c r="AP327" s="3691"/>
      <c r="AQ327" s="4089"/>
      <c r="AR327" s="4382"/>
      <c r="AS327" s="4089">
        <f t="shared" si="142"/>
        <v>768</v>
      </c>
      <c r="AT327" s="4382"/>
      <c r="AU327" s="4089"/>
      <c r="AV327" s="4089"/>
      <c r="AW327" s="4089"/>
      <c r="AX327" s="4089"/>
      <c r="AY327" s="4089"/>
      <c r="AZ327" s="4089"/>
      <c r="BA327" s="4089"/>
      <c r="BB327" s="4089">
        <f>I327/2</f>
        <v>384</v>
      </c>
      <c r="BC327" s="4089"/>
      <c r="BD327" s="4089"/>
      <c r="BE327" s="4089"/>
      <c r="BF327" s="4089" t="s">
        <v>682</v>
      </c>
      <c r="BG327" s="4089"/>
      <c r="BH327" s="4089">
        <f t="shared" si="128"/>
        <v>128</v>
      </c>
      <c r="BI327" s="4089">
        <f t="shared" si="129"/>
        <v>128</v>
      </c>
      <c r="BJ327" s="4089">
        <f t="shared" si="130"/>
        <v>128</v>
      </c>
      <c r="BK327" s="4089">
        <f t="shared" si="131"/>
        <v>128</v>
      </c>
      <c r="BL327" s="4089">
        <f t="shared" si="132"/>
        <v>128</v>
      </c>
      <c r="BM327" s="4089">
        <f t="shared" si="133"/>
        <v>102.4</v>
      </c>
      <c r="BN327" s="4089">
        <f t="shared" si="134"/>
        <v>25.6</v>
      </c>
      <c r="BO327" s="4462"/>
      <c r="BP327" s="4462"/>
      <c r="BQ327" s="4462"/>
      <c r="BR327" s="4462"/>
      <c r="BS327" s="4462"/>
      <c r="BT327" s="4462"/>
      <c r="BU327" s="4462"/>
      <c r="BV327" s="4385">
        <f t="shared" si="141"/>
        <v>768</v>
      </c>
      <c r="BW327" s="4386">
        <f t="shared" si="144"/>
        <v>0</v>
      </c>
      <c r="BX327" s="4387"/>
      <c r="BY327" s="4387"/>
      <c r="BZ327" s="4387"/>
      <c r="CA327" s="4391" t="str">
        <f>VLOOKUP(D327&amp;G327&amp;H327&amp;I327,'9298 版本变更明细'!C:AJ,34,FALSE)</f>
        <v>B版本膜+A版本指南+口水胶+C版本配件包（香味贴纸/指定配件）</v>
      </c>
      <c r="CC327" s="4392"/>
      <c r="CD327" s="4391"/>
    </row>
    <row r="328" s="4025" customFormat="1" ht="50" customHeight="1" spans="1:82">
      <c r="A328" s="3688">
        <v>45799</v>
      </c>
      <c r="B328" s="4080" t="s">
        <v>3495</v>
      </c>
      <c r="C328" s="3663" t="s">
        <v>91</v>
      </c>
      <c r="D328" s="3690">
        <v>4500167498</v>
      </c>
      <c r="E328" s="5456" t="s">
        <v>3868</v>
      </c>
      <c r="F328" s="3690" t="s">
        <v>3869</v>
      </c>
      <c r="G328" s="3664" t="s">
        <v>3068</v>
      </c>
      <c r="H328" s="3664" t="s">
        <v>3069</v>
      </c>
      <c r="I328" s="3691">
        <v>768</v>
      </c>
      <c r="J328" s="3691">
        <v>2</v>
      </c>
      <c r="K328" s="3691">
        <v>384</v>
      </c>
      <c r="L328" s="3691">
        <f t="shared" si="140"/>
        <v>2</v>
      </c>
      <c r="M328" s="3659">
        <v>45828</v>
      </c>
      <c r="N328" s="3659">
        <v>45824</v>
      </c>
      <c r="O328" s="4097" t="s">
        <v>3861</v>
      </c>
      <c r="P328" s="3682" t="s">
        <v>82</v>
      </c>
      <c r="Q328" s="3682"/>
      <c r="R328" s="4083"/>
      <c r="S328" s="4083"/>
      <c r="T328" s="4083"/>
      <c r="U328" s="3645" t="s">
        <v>3870</v>
      </c>
      <c r="V328" s="3649" t="s">
        <v>3703</v>
      </c>
      <c r="W328" s="3657"/>
      <c r="X328" s="3657" t="s">
        <v>3073</v>
      </c>
      <c r="Y328" s="3657" t="s">
        <v>3862</v>
      </c>
      <c r="Z328" s="3691"/>
      <c r="AA328" s="3620" t="s">
        <v>3863</v>
      </c>
      <c r="AB328" s="3618" t="s">
        <v>3706</v>
      </c>
      <c r="AC328" s="4087">
        <v>532.85</v>
      </c>
      <c r="AD328" s="3691">
        <f t="shared" si="145"/>
        <v>1065.7</v>
      </c>
      <c r="AE328" s="3645" t="s">
        <v>3871</v>
      </c>
      <c r="AF328" s="3664" t="s">
        <v>3078</v>
      </c>
      <c r="AG328" s="3645" t="s">
        <v>416</v>
      </c>
      <c r="AH328" s="905"/>
      <c r="AI328" s="3691">
        <f>I328</f>
        <v>768</v>
      </c>
      <c r="AJ328" s="3691"/>
      <c r="AK328" s="905"/>
      <c r="AL328" s="3664"/>
      <c r="AM328" s="3664"/>
      <c r="AN328" s="3691"/>
      <c r="AO328" s="3691">
        <f t="shared" si="143"/>
        <v>768</v>
      </c>
      <c r="AP328" s="3691"/>
      <c r="AQ328" s="4089"/>
      <c r="AR328" s="4382"/>
      <c r="AS328" s="4089">
        <f t="shared" si="142"/>
        <v>768</v>
      </c>
      <c r="AT328" s="4382"/>
      <c r="AU328" s="4089"/>
      <c r="AV328" s="4089"/>
      <c r="AW328" s="4089"/>
      <c r="AX328" s="4089"/>
      <c r="AY328" s="4089"/>
      <c r="AZ328" s="4089"/>
      <c r="BA328" s="4089"/>
      <c r="BB328" s="4089">
        <f>I328/2</f>
        <v>384</v>
      </c>
      <c r="BC328" s="4089"/>
      <c r="BD328" s="4089"/>
      <c r="BE328" s="4089"/>
      <c r="BF328" s="4089" t="s">
        <v>682</v>
      </c>
      <c r="BG328" s="4089"/>
      <c r="BH328" s="4089">
        <f t="shared" si="128"/>
        <v>128</v>
      </c>
      <c r="BI328" s="4089">
        <f t="shared" si="129"/>
        <v>128</v>
      </c>
      <c r="BJ328" s="4089">
        <f t="shared" si="130"/>
        <v>128</v>
      </c>
      <c r="BK328" s="4089">
        <f t="shared" si="131"/>
        <v>128</v>
      </c>
      <c r="BL328" s="4089">
        <f t="shared" si="132"/>
        <v>128</v>
      </c>
      <c r="BM328" s="4089">
        <f t="shared" si="133"/>
        <v>102.4</v>
      </c>
      <c r="BN328" s="4089">
        <f t="shared" si="134"/>
        <v>25.6</v>
      </c>
      <c r="BO328" s="4462"/>
      <c r="BP328" s="4462"/>
      <c r="BQ328" s="4462"/>
      <c r="BR328" s="4462"/>
      <c r="BS328" s="4462"/>
      <c r="BT328" s="4462"/>
      <c r="BU328" s="4462"/>
      <c r="BV328" s="4385">
        <f t="shared" si="141"/>
        <v>768</v>
      </c>
      <c r="BW328" s="4386">
        <f t="shared" si="144"/>
        <v>0</v>
      </c>
      <c r="BX328" s="4387"/>
      <c r="BY328" s="4387"/>
      <c r="BZ328" s="4387"/>
      <c r="CA328" s="4391" t="str">
        <f>VLOOKUP(D328&amp;G328&amp;H328&amp;I328,'9298 版本变更明细'!C:AJ,34,FALSE)</f>
        <v>B版本膜+A版本指南+口水胶+C版本配件包（香味贴纸/指定配件）</v>
      </c>
      <c r="CC328" s="4392"/>
      <c r="CD328" s="4391"/>
    </row>
    <row r="329" s="4025" customFormat="1" ht="50" customHeight="1" spans="1:82">
      <c r="A329" s="3688">
        <v>45799</v>
      </c>
      <c r="B329" s="3689" t="s">
        <v>3495</v>
      </c>
      <c r="C329" s="3664" t="s">
        <v>91</v>
      </c>
      <c r="D329" s="3690">
        <v>4500167498</v>
      </c>
      <c r="E329" s="5456" t="s">
        <v>3872</v>
      </c>
      <c r="F329" s="3690" t="s">
        <v>3873</v>
      </c>
      <c r="G329" s="3664" t="s">
        <v>3068</v>
      </c>
      <c r="H329" s="3664" t="s">
        <v>3069</v>
      </c>
      <c r="I329" s="3691">
        <v>1152</v>
      </c>
      <c r="J329" s="3691">
        <v>2</v>
      </c>
      <c r="K329" s="3691">
        <v>384</v>
      </c>
      <c r="L329" s="3691">
        <f t="shared" si="140"/>
        <v>3</v>
      </c>
      <c r="M329" s="3659">
        <v>45828</v>
      </c>
      <c r="N329" s="3659">
        <v>45824</v>
      </c>
      <c r="O329" s="4097" t="s">
        <v>3861</v>
      </c>
      <c r="P329" s="3682" t="s">
        <v>82</v>
      </c>
      <c r="Q329" s="3682"/>
      <c r="R329" s="4083"/>
      <c r="S329" s="4083"/>
      <c r="T329" s="4083"/>
      <c r="U329" s="3645" t="s">
        <v>3801</v>
      </c>
      <c r="V329" s="3649" t="s">
        <v>3703</v>
      </c>
      <c r="W329" s="3657"/>
      <c r="X329" s="3657" t="s">
        <v>3073</v>
      </c>
      <c r="Y329" s="3657" t="s">
        <v>3862</v>
      </c>
      <c r="Z329" s="3691"/>
      <c r="AA329" s="3620" t="s">
        <v>3863</v>
      </c>
      <c r="AB329" s="3618" t="s">
        <v>3706</v>
      </c>
      <c r="AC329" s="4087">
        <v>531.79</v>
      </c>
      <c r="AD329" s="3691">
        <f t="shared" si="145"/>
        <v>1595.37</v>
      </c>
      <c r="AE329" s="3645" t="s">
        <v>3874</v>
      </c>
      <c r="AF329" s="3664" t="s">
        <v>3078</v>
      </c>
      <c r="AG329" s="3645" t="s">
        <v>416</v>
      </c>
      <c r="AH329" s="905"/>
      <c r="AI329" s="3691">
        <f>I329</f>
        <v>1152</v>
      </c>
      <c r="AJ329" s="3691"/>
      <c r="AK329" s="905"/>
      <c r="AL329" s="3664"/>
      <c r="AM329" s="3664"/>
      <c r="AN329" s="3691"/>
      <c r="AO329" s="3691">
        <f t="shared" si="143"/>
        <v>1152</v>
      </c>
      <c r="AP329" s="3691"/>
      <c r="AQ329" s="4089"/>
      <c r="AR329" s="4382"/>
      <c r="AS329" s="4089">
        <f t="shared" si="142"/>
        <v>1152</v>
      </c>
      <c r="AT329" s="4382"/>
      <c r="AU329" s="4089"/>
      <c r="AV329" s="4089"/>
      <c r="AW329" s="4089"/>
      <c r="AX329" s="4089"/>
      <c r="AY329" s="4089"/>
      <c r="AZ329" s="4089"/>
      <c r="BA329" s="4089"/>
      <c r="BB329" s="4089">
        <f>I329/2</f>
        <v>576</v>
      </c>
      <c r="BC329" s="4089"/>
      <c r="BD329" s="4089"/>
      <c r="BE329" s="4089"/>
      <c r="BF329" s="4089" t="s">
        <v>682</v>
      </c>
      <c r="BG329" s="4089"/>
      <c r="BH329" s="4089">
        <f t="shared" si="128"/>
        <v>192</v>
      </c>
      <c r="BI329" s="4089">
        <f t="shared" si="129"/>
        <v>192</v>
      </c>
      <c r="BJ329" s="4089">
        <f t="shared" si="130"/>
        <v>192</v>
      </c>
      <c r="BK329" s="4089">
        <f t="shared" si="131"/>
        <v>192</v>
      </c>
      <c r="BL329" s="4089">
        <f t="shared" si="132"/>
        <v>192</v>
      </c>
      <c r="BM329" s="4089">
        <f t="shared" si="133"/>
        <v>153.6</v>
      </c>
      <c r="BN329" s="4089">
        <f t="shared" si="134"/>
        <v>38.4</v>
      </c>
      <c r="BO329" s="4462"/>
      <c r="BP329" s="4462"/>
      <c r="BQ329" s="4462"/>
      <c r="BR329" s="4462"/>
      <c r="BS329" s="4462"/>
      <c r="BT329" s="4462"/>
      <c r="BU329" s="4462"/>
      <c r="BV329" s="4385">
        <f t="shared" si="141"/>
        <v>1152</v>
      </c>
      <c r="BW329" s="4386">
        <f t="shared" si="144"/>
        <v>0</v>
      </c>
      <c r="BX329" s="4387"/>
      <c r="BY329" s="4387"/>
      <c r="BZ329" s="4387"/>
      <c r="CA329" s="4391" t="str">
        <f>VLOOKUP(D329&amp;G329&amp;H329&amp;I329,'9298 版本变更明细'!C:AJ,34,FALSE)</f>
        <v>B版本膜+A版本指南+口水胶+C版本配件包（香味贴纸/指定配件）</v>
      </c>
      <c r="CC329" s="4392"/>
      <c r="CD329" s="4391"/>
    </row>
    <row r="330" s="4025" customFormat="1" ht="50" customHeight="1" spans="1:82">
      <c r="A330" s="3688">
        <v>45799</v>
      </c>
      <c r="B330" s="3689" t="s">
        <v>3495</v>
      </c>
      <c r="C330" s="3664" t="s">
        <v>91</v>
      </c>
      <c r="D330" s="3690">
        <v>4500167498</v>
      </c>
      <c r="E330" s="5456" t="s">
        <v>3875</v>
      </c>
      <c r="F330" s="3690" t="s">
        <v>3876</v>
      </c>
      <c r="G330" s="3664" t="s">
        <v>3068</v>
      </c>
      <c r="H330" s="3664" t="s">
        <v>3069</v>
      </c>
      <c r="I330" s="3691">
        <v>1152</v>
      </c>
      <c r="J330" s="3691">
        <v>2</v>
      </c>
      <c r="K330" s="3691">
        <v>384</v>
      </c>
      <c r="L330" s="3691">
        <f t="shared" si="140"/>
        <v>3</v>
      </c>
      <c r="M330" s="3659">
        <v>45828</v>
      </c>
      <c r="N330" s="3659">
        <v>45824</v>
      </c>
      <c r="O330" s="4097" t="s">
        <v>3861</v>
      </c>
      <c r="P330" s="3682" t="s">
        <v>82</v>
      </c>
      <c r="Q330" s="3682"/>
      <c r="R330" s="4083"/>
      <c r="S330" s="4083"/>
      <c r="T330" s="4083"/>
      <c r="U330" s="3645" t="s">
        <v>1405</v>
      </c>
      <c r="V330" s="3657" t="s">
        <v>3703</v>
      </c>
      <c r="W330" s="3657"/>
      <c r="X330" s="3657" t="s">
        <v>3073</v>
      </c>
      <c r="Y330" s="3657" t="s">
        <v>3862</v>
      </c>
      <c r="Z330" s="3691"/>
      <c r="AA330" s="3620" t="s">
        <v>3863</v>
      </c>
      <c r="AB330" s="3618" t="s">
        <v>3706</v>
      </c>
      <c r="AC330" s="4087">
        <v>531.79</v>
      </c>
      <c r="AD330" s="3691">
        <f t="shared" si="145"/>
        <v>1595.37</v>
      </c>
      <c r="AE330" s="3645" t="s">
        <v>3877</v>
      </c>
      <c r="AF330" s="3664" t="s">
        <v>3078</v>
      </c>
      <c r="AG330" s="3645" t="s">
        <v>416</v>
      </c>
      <c r="AH330" s="905"/>
      <c r="AI330" s="3691">
        <f>I330</f>
        <v>1152</v>
      </c>
      <c r="AJ330" s="3691"/>
      <c r="AK330" s="905"/>
      <c r="AL330" s="3664"/>
      <c r="AM330" s="3664"/>
      <c r="AN330" s="3691"/>
      <c r="AO330" s="3691">
        <f t="shared" si="143"/>
        <v>1152</v>
      </c>
      <c r="AP330" s="3691"/>
      <c r="AQ330" s="4089"/>
      <c r="AR330" s="4382"/>
      <c r="AS330" s="4089">
        <f t="shared" si="142"/>
        <v>1152</v>
      </c>
      <c r="AT330" s="4382"/>
      <c r="AU330" s="4089"/>
      <c r="AV330" s="4089"/>
      <c r="AW330" s="4089"/>
      <c r="AX330" s="4089"/>
      <c r="AY330" s="4089"/>
      <c r="AZ330" s="4089"/>
      <c r="BA330" s="4089"/>
      <c r="BB330" s="4089">
        <f>I330/2</f>
        <v>576</v>
      </c>
      <c r="BC330" s="4089"/>
      <c r="BD330" s="4089"/>
      <c r="BE330" s="4089"/>
      <c r="BF330" s="4089" t="s">
        <v>682</v>
      </c>
      <c r="BG330" s="4089"/>
      <c r="BH330" s="4089">
        <f t="shared" si="128"/>
        <v>192</v>
      </c>
      <c r="BI330" s="4089">
        <f t="shared" si="129"/>
        <v>192</v>
      </c>
      <c r="BJ330" s="4089">
        <f t="shared" si="130"/>
        <v>192</v>
      </c>
      <c r="BK330" s="4089">
        <f t="shared" si="131"/>
        <v>192</v>
      </c>
      <c r="BL330" s="4089">
        <f t="shared" si="132"/>
        <v>192</v>
      </c>
      <c r="BM330" s="4089">
        <f t="shared" si="133"/>
        <v>153.6</v>
      </c>
      <c r="BN330" s="4089">
        <f t="shared" si="134"/>
        <v>38.4</v>
      </c>
      <c r="BO330" s="4462"/>
      <c r="BP330" s="4462"/>
      <c r="BQ330" s="4462"/>
      <c r="BR330" s="4462"/>
      <c r="BS330" s="4462"/>
      <c r="BT330" s="4462"/>
      <c r="BU330" s="4462"/>
      <c r="BV330" s="4385">
        <f t="shared" si="141"/>
        <v>1152</v>
      </c>
      <c r="BW330" s="4386">
        <f t="shared" si="144"/>
        <v>0</v>
      </c>
      <c r="BX330" s="4387"/>
      <c r="BY330" s="4387"/>
      <c r="BZ330" s="4387"/>
      <c r="CA330" s="4391" t="str">
        <f>VLOOKUP(D330&amp;G330&amp;H330&amp;I330,'9298 版本变更明细'!C:AJ,34,FALSE)</f>
        <v>B版本膜+A版本指南+口水胶+C版本配件包（香味贴纸/指定配件）</v>
      </c>
      <c r="CC330" s="4392"/>
      <c r="CD330" s="4391"/>
    </row>
    <row r="331" s="4025" customFormat="1" ht="50" customHeight="1" spans="1:82">
      <c r="A331" s="3688">
        <v>45796</v>
      </c>
      <c r="B331" s="3689" t="s">
        <v>3878</v>
      </c>
      <c r="C331" s="3664" t="s">
        <v>471</v>
      </c>
      <c r="D331" s="3690">
        <v>4500166501</v>
      </c>
      <c r="E331" s="3664" t="s">
        <v>3879</v>
      </c>
      <c r="F331" s="3690" t="s">
        <v>3880</v>
      </c>
      <c r="G331" s="3664" t="s">
        <v>3881</v>
      </c>
      <c r="H331" s="3664" t="s">
        <v>3882</v>
      </c>
      <c r="I331" s="3691">
        <v>8100</v>
      </c>
      <c r="J331" s="3691">
        <v>0</v>
      </c>
      <c r="K331" s="3691">
        <v>3</v>
      </c>
      <c r="L331" s="3691">
        <f t="shared" si="140"/>
        <v>2700</v>
      </c>
      <c r="M331" s="3659">
        <v>45828</v>
      </c>
      <c r="N331" s="3659">
        <v>45824</v>
      </c>
      <c r="O331" s="3664"/>
      <c r="P331" s="3682" t="s">
        <v>82</v>
      </c>
      <c r="Q331" s="3682"/>
      <c r="R331" s="4083"/>
      <c r="S331" s="4083"/>
      <c r="T331" s="4083"/>
      <c r="U331" s="3645" t="s">
        <v>3759</v>
      </c>
      <c r="V331" s="3649" t="s">
        <v>229</v>
      </c>
      <c r="W331" s="3657"/>
      <c r="X331" s="3657" t="s">
        <v>3883</v>
      </c>
      <c r="Y331" s="3657"/>
      <c r="Z331" s="3691"/>
      <c r="AA331" s="3620" t="s">
        <v>3884</v>
      </c>
      <c r="AB331" s="3691" t="s">
        <v>2624</v>
      </c>
      <c r="AC331" s="3691">
        <v>12.7776</v>
      </c>
      <c r="AD331" s="3691">
        <f t="shared" si="145"/>
        <v>34499.52</v>
      </c>
      <c r="AE331" s="3645"/>
      <c r="AF331" s="3664" t="s">
        <v>3885</v>
      </c>
      <c r="AG331" s="3645" t="s">
        <v>416</v>
      </c>
      <c r="AH331" s="3664"/>
      <c r="AI331" s="3691"/>
      <c r="AJ331" s="3691"/>
      <c r="AK331" s="3664"/>
      <c r="AL331" s="3664">
        <f>I331</f>
        <v>8100</v>
      </c>
      <c r="AM331" s="3664"/>
      <c r="AN331" s="3691"/>
      <c r="AO331" s="3691">
        <f t="shared" si="143"/>
        <v>8100</v>
      </c>
      <c r="AP331" s="3691"/>
      <c r="AQ331" s="4089"/>
      <c r="AR331" s="4089"/>
      <c r="AS331" s="4089"/>
      <c r="AT331" s="4089"/>
      <c r="AU331" s="4089">
        <f>I331</f>
        <v>8100</v>
      </c>
      <c r="AV331" s="4089"/>
      <c r="AW331" s="4089"/>
      <c r="AX331" s="4089"/>
      <c r="AY331" s="4089"/>
      <c r="AZ331" s="4089"/>
      <c r="BA331" s="4089"/>
      <c r="BB331" s="4089"/>
      <c r="BC331" s="4089"/>
      <c r="BD331" s="4089"/>
      <c r="BE331" s="4089"/>
      <c r="BF331" s="4089" t="s">
        <v>89</v>
      </c>
      <c r="BG331" s="4089"/>
      <c r="BH331" s="4089">
        <f t="shared" si="128"/>
        <v>1350</v>
      </c>
      <c r="BI331" s="4089">
        <f t="shared" si="129"/>
        <v>1350</v>
      </c>
      <c r="BJ331" s="4089">
        <f t="shared" si="130"/>
        <v>1350</v>
      </c>
      <c r="BK331" s="4089">
        <f t="shared" si="131"/>
        <v>1350</v>
      </c>
      <c r="BL331" s="4089">
        <f t="shared" si="132"/>
        <v>1350</v>
      </c>
      <c r="BM331" s="4089">
        <f t="shared" si="133"/>
        <v>1080</v>
      </c>
      <c r="BN331" s="4089">
        <f t="shared" si="134"/>
        <v>270</v>
      </c>
      <c r="BO331" s="4463"/>
      <c r="BP331" s="4463"/>
      <c r="BQ331" s="4463"/>
      <c r="BR331" s="4463"/>
      <c r="BS331" s="4463"/>
      <c r="BT331" s="4464"/>
      <c r="BU331" s="4465"/>
      <c r="BV331" s="4385">
        <f t="shared" si="141"/>
        <v>8100</v>
      </c>
      <c r="BW331" s="4386">
        <f t="shared" si="144"/>
        <v>0</v>
      </c>
      <c r="BX331" s="4387"/>
      <c r="BY331" s="4387"/>
      <c r="BZ331" s="4387"/>
      <c r="CA331" s="4391" t="str">
        <f>VLOOKUP(D331&amp;G331&amp;H331&amp;I331,'9298 版本变更明细'!C:AJ,34,FALSE)</f>
        <v>B版本膜+A版本指南+口水胶+C版本配件包（香味贴纸/指定配件）</v>
      </c>
      <c r="CC331" s="4392"/>
      <c r="CD331" s="4391"/>
    </row>
    <row r="332" s="4025" customFormat="1" ht="50" customHeight="1" spans="1:82">
      <c r="A332" s="3688">
        <v>45796</v>
      </c>
      <c r="B332" s="4080" t="s">
        <v>3878</v>
      </c>
      <c r="C332" s="3663" t="s">
        <v>471</v>
      </c>
      <c r="D332" s="3690">
        <v>4500166501</v>
      </c>
      <c r="E332" s="3664" t="s">
        <v>3886</v>
      </c>
      <c r="F332" s="3690" t="s">
        <v>3887</v>
      </c>
      <c r="G332" s="3664" t="s">
        <v>3881</v>
      </c>
      <c r="H332" s="3664" t="s">
        <v>3882</v>
      </c>
      <c r="I332" s="3691">
        <v>150</v>
      </c>
      <c r="J332" s="3691">
        <v>0</v>
      </c>
      <c r="K332" s="3691">
        <v>3</v>
      </c>
      <c r="L332" s="3691">
        <f t="shared" si="140"/>
        <v>50</v>
      </c>
      <c r="M332" s="3659">
        <v>45828</v>
      </c>
      <c r="N332" s="3659">
        <v>45824</v>
      </c>
      <c r="O332" s="3664"/>
      <c r="P332" s="3682" t="s">
        <v>82</v>
      </c>
      <c r="Q332" s="3682"/>
      <c r="R332" s="4083"/>
      <c r="S332" s="4083"/>
      <c r="T332" s="4083"/>
      <c r="U332" s="3645" t="s">
        <v>3759</v>
      </c>
      <c r="V332" s="3649" t="s">
        <v>229</v>
      </c>
      <c r="W332" s="3657"/>
      <c r="X332" s="3657" t="s">
        <v>3883</v>
      </c>
      <c r="Y332" s="3657"/>
      <c r="Z332" s="3691"/>
      <c r="AA332" s="3620" t="s">
        <v>3884</v>
      </c>
      <c r="AB332" s="3691" t="s">
        <v>2624</v>
      </c>
      <c r="AC332" s="3691">
        <v>12.7776</v>
      </c>
      <c r="AD332" s="3691">
        <f t="shared" si="145"/>
        <v>638.88</v>
      </c>
      <c r="AE332" s="3645"/>
      <c r="AF332" s="3664" t="s">
        <v>3885</v>
      </c>
      <c r="AG332" s="3645" t="s">
        <v>416</v>
      </c>
      <c r="AH332" s="3664"/>
      <c r="AI332" s="3691"/>
      <c r="AJ332" s="3691"/>
      <c r="AK332" s="3664"/>
      <c r="AL332" s="3664">
        <f>I332</f>
        <v>150</v>
      </c>
      <c r="AM332" s="3664"/>
      <c r="AN332" s="3691"/>
      <c r="AO332" s="3691">
        <f t="shared" si="143"/>
        <v>150</v>
      </c>
      <c r="AP332" s="3691"/>
      <c r="AQ332" s="4089"/>
      <c r="AR332" s="4089"/>
      <c r="AS332" s="4089"/>
      <c r="AT332" s="4089"/>
      <c r="AU332" s="4089">
        <f>I332</f>
        <v>150</v>
      </c>
      <c r="AV332" s="4089"/>
      <c r="AW332" s="4089"/>
      <c r="AX332" s="4089"/>
      <c r="AY332" s="4089"/>
      <c r="AZ332" s="4089"/>
      <c r="BA332" s="4089"/>
      <c r="BB332" s="4089"/>
      <c r="BC332" s="4089"/>
      <c r="BD332" s="4089"/>
      <c r="BE332" s="4089"/>
      <c r="BF332" s="4089" t="s">
        <v>89</v>
      </c>
      <c r="BG332" s="4089"/>
      <c r="BH332" s="4089">
        <f t="shared" si="128"/>
        <v>25</v>
      </c>
      <c r="BI332" s="4089">
        <f t="shared" si="129"/>
        <v>25</v>
      </c>
      <c r="BJ332" s="4089">
        <f t="shared" si="130"/>
        <v>25</v>
      </c>
      <c r="BK332" s="4089">
        <f t="shared" si="131"/>
        <v>25</v>
      </c>
      <c r="BL332" s="4089">
        <f t="shared" si="132"/>
        <v>25</v>
      </c>
      <c r="BM332" s="4089">
        <f t="shared" si="133"/>
        <v>20</v>
      </c>
      <c r="BN332" s="4089">
        <f t="shared" si="134"/>
        <v>5</v>
      </c>
      <c r="BO332" s="4463"/>
      <c r="BP332" s="4463"/>
      <c r="BQ332" s="4463"/>
      <c r="BR332" s="4463"/>
      <c r="BS332" s="4463"/>
      <c r="BT332" s="4464"/>
      <c r="BU332" s="4465"/>
      <c r="BV332" s="4385">
        <f t="shared" si="141"/>
        <v>150</v>
      </c>
      <c r="BW332" s="4386">
        <f t="shared" si="144"/>
        <v>0</v>
      </c>
      <c r="BX332" s="4387"/>
      <c r="BY332" s="4387"/>
      <c r="BZ332" s="4387"/>
      <c r="CA332" s="4391" t="str">
        <f>VLOOKUP(D332&amp;G332&amp;H332&amp;I332,'9298 版本变更明细'!C:AJ,34,FALSE)</f>
        <v>B版本膜+A版本指南+口水胶+C版本配件包（香味贴纸/指定配件）</v>
      </c>
      <c r="CC332" s="4392"/>
      <c r="CD332" s="4391"/>
    </row>
    <row r="333" s="4025" customFormat="1" ht="50" customHeight="1" spans="1:82">
      <c r="A333" s="3688">
        <v>45796</v>
      </c>
      <c r="B333" s="4080" t="s">
        <v>3878</v>
      </c>
      <c r="C333" s="3663" t="s">
        <v>471</v>
      </c>
      <c r="D333" s="3690">
        <v>4500166501</v>
      </c>
      <c r="E333" s="3664" t="s">
        <v>3886</v>
      </c>
      <c r="F333" s="3690" t="s">
        <v>3888</v>
      </c>
      <c r="G333" s="3664" t="s">
        <v>3881</v>
      </c>
      <c r="H333" s="3664" t="s">
        <v>3882</v>
      </c>
      <c r="I333" s="3691">
        <v>3915</v>
      </c>
      <c r="J333" s="3691">
        <v>0</v>
      </c>
      <c r="K333" s="3691">
        <v>3</v>
      </c>
      <c r="L333" s="3691">
        <f t="shared" si="140"/>
        <v>1305</v>
      </c>
      <c r="M333" s="3659">
        <v>45828</v>
      </c>
      <c r="N333" s="3659">
        <v>45824</v>
      </c>
      <c r="O333" s="3664"/>
      <c r="P333" s="3682" t="s">
        <v>82</v>
      </c>
      <c r="Q333" s="3682"/>
      <c r="R333" s="4083"/>
      <c r="S333" s="4083"/>
      <c r="T333" s="4083"/>
      <c r="U333" s="3645" t="s">
        <v>3759</v>
      </c>
      <c r="V333" s="3649" t="s">
        <v>229</v>
      </c>
      <c r="W333" s="3657"/>
      <c r="X333" s="3657" t="s">
        <v>3883</v>
      </c>
      <c r="Y333" s="3657"/>
      <c r="Z333" s="3691"/>
      <c r="AA333" s="3620" t="s">
        <v>3884</v>
      </c>
      <c r="AB333" s="3691" t="s">
        <v>2624</v>
      </c>
      <c r="AC333" s="3691">
        <v>12.9004</v>
      </c>
      <c r="AD333" s="3691">
        <f t="shared" si="145"/>
        <v>16835.022</v>
      </c>
      <c r="AE333" s="3645"/>
      <c r="AF333" s="3664" t="s">
        <v>3885</v>
      </c>
      <c r="AG333" s="3645" t="s">
        <v>416</v>
      </c>
      <c r="AH333" s="3664"/>
      <c r="AI333" s="3691"/>
      <c r="AJ333" s="3691"/>
      <c r="AK333" s="3664"/>
      <c r="AL333" s="3664">
        <f>I333</f>
        <v>3915</v>
      </c>
      <c r="AM333" s="3664"/>
      <c r="AN333" s="3691"/>
      <c r="AO333" s="3691">
        <f t="shared" si="143"/>
        <v>3915</v>
      </c>
      <c r="AP333" s="3691"/>
      <c r="AQ333" s="4089"/>
      <c r="AR333" s="4089"/>
      <c r="AS333" s="4089"/>
      <c r="AT333" s="4089"/>
      <c r="AU333" s="4089">
        <f>I333</f>
        <v>3915</v>
      </c>
      <c r="AV333" s="4089"/>
      <c r="AW333" s="4089"/>
      <c r="AX333" s="4089"/>
      <c r="AY333" s="4089"/>
      <c r="AZ333" s="4089"/>
      <c r="BA333" s="4089"/>
      <c r="BB333" s="4089"/>
      <c r="BC333" s="4089"/>
      <c r="BD333" s="4089"/>
      <c r="BE333" s="4089"/>
      <c r="BF333" s="4089" t="s">
        <v>89</v>
      </c>
      <c r="BG333" s="4089"/>
      <c r="BH333" s="4089">
        <f t="shared" si="128"/>
        <v>652.5</v>
      </c>
      <c r="BI333" s="4089">
        <f t="shared" si="129"/>
        <v>652.5</v>
      </c>
      <c r="BJ333" s="4089">
        <f t="shared" si="130"/>
        <v>652.5</v>
      </c>
      <c r="BK333" s="4089">
        <f t="shared" si="131"/>
        <v>652.5</v>
      </c>
      <c r="BL333" s="4089">
        <f t="shared" si="132"/>
        <v>652.5</v>
      </c>
      <c r="BM333" s="4089">
        <f t="shared" si="133"/>
        <v>522</v>
      </c>
      <c r="BN333" s="4089">
        <f t="shared" si="134"/>
        <v>130.5</v>
      </c>
      <c r="BO333" s="4463"/>
      <c r="BP333" s="4463"/>
      <c r="BQ333" s="4463"/>
      <c r="BR333" s="4463"/>
      <c r="BS333" s="4463"/>
      <c r="BT333" s="4464"/>
      <c r="BU333" s="4465"/>
      <c r="BV333" s="4385">
        <f t="shared" si="141"/>
        <v>3915</v>
      </c>
      <c r="BW333" s="4386">
        <f t="shared" si="144"/>
        <v>0</v>
      </c>
      <c r="BX333" s="4387"/>
      <c r="BY333" s="4387"/>
      <c r="BZ333" s="4387"/>
      <c r="CA333" s="4391" t="str">
        <f>VLOOKUP(D333&amp;G333&amp;H333&amp;I333,'9298 版本变更明细'!C:AJ,34,FALSE)</f>
        <v>B版本膜+A版本指南+口水胶+C版本配件包（香味贴纸/指定配件）</v>
      </c>
      <c r="CC333" s="4392"/>
      <c r="CD333" s="4391"/>
    </row>
    <row r="334" s="4025" customFormat="1" ht="50" customHeight="1" spans="1:82">
      <c r="A334" s="3688">
        <v>45796</v>
      </c>
      <c r="B334" s="3689" t="s">
        <v>3878</v>
      </c>
      <c r="C334" s="3664" t="s">
        <v>471</v>
      </c>
      <c r="D334" s="3690">
        <v>4500166501</v>
      </c>
      <c r="E334" s="3664" t="s">
        <v>3889</v>
      </c>
      <c r="F334" s="3690" t="s">
        <v>3890</v>
      </c>
      <c r="G334" s="3664" t="s">
        <v>3881</v>
      </c>
      <c r="H334" s="3664" t="s">
        <v>3882</v>
      </c>
      <c r="I334" s="3691">
        <v>1485</v>
      </c>
      <c r="J334" s="3691">
        <v>0</v>
      </c>
      <c r="K334" s="3691">
        <v>3</v>
      </c>
      <c r="L334" s="3691">
        <f t="shared" si="140"/>
        <v>495</v>
      </c>
      <c r="M334" s="3659">
        <v>45828</v>
      </c>
      <c r="N334" s="3659">
        <v>45824</v>
      </c>
      <c r="O334" s="3664"/>
      <c r="P334" s="3682" t="s">
        <v>82</v>
      </c>
      <c r="Q334" s="3682"/>
      <c r="R334" s="4083"/>
      <c r="S334" s="4083"/>
      <c r="T334" s="4083"/>
      <c r="U334" s="3645" t="s">
        <v>200</v>
      </c>
      <c r="V334" s="3649" t="s">
        <v>229</v>
      </c>
      <c r="W334" s="3657"/>
      <c r="X334" s="3657" t="s">
        <v>3883</v>
      </c>
      <c r="Y334" s="3657"/>
      <c r="Z334" s="3691"/>
      <c r="AA334" s="3620" t="s">
        <v>3884</v>
      </c>
      <c r="AB334" s="3691" t="s">
        <v>2624</v>
      </c>
      <c r="AC334" s="3691">
        <v>13.4765</v>
      </c>
      <c r="AD334" s="3691">
        <f t="shared" si="145"/>
        <v>6670.8675</v>
      </c>
      <c r="AE334" s="3645"/>
      <c r="AF334" s="3664" t="s">
        <v>3885</v>
      </c>
      <c r="AG334" s="3645" t="s">
        <v>416</v>
      </c>
      <c r="AH334" s="3664"/>
      <c r="AI334" s="3691"/>
      <c r="AJ334" s="3691"/>
      <c r="AK334" s="3664"/>
      <c r="AL334" s="3664">
        <f>I334</f>
        <v>1485</v>
      </c>
      <c r="AM334" s="3664"/>
      <c r="AN334" s="3691"/>
      <c r="AO334" s="3691">
        <f t="shared" si="143"/>
        <v>1485</v>
      </c>
      <c r="AP334" s="3691"/>
      <c r="AQ334" s="4089"/>
      <c r="AR334" s="4089"/>
      <c r="AS334" s="4089"/>
      <c r="AT334" s="4089"/>
      <c r="AU334" s="4089">
        <f>I334</f>
        <v>1485</v>
      </c>
      <c r="AV334" s="4089"/>
      <c r="AW334" s="4089"/>
      <c r="AX334" s="4089"/>
      <c r="AY334" s="4089"/>
      <c r="AZ334" s="4089"/>
      <c r="BA334" s="4089"/>
      <c r="BB334" s="4089"/>
      <c r="BC334" s="4089"/>
      <c r="BD334" s="4089"/>
      <c r="BE334" s="4089"/>
      <c r="BF334" s="4089" t="s">
        <v>89</v>
      </c>
      <c r="BG334" s="4089"/>
      <c r="BH334" s="4089">
        <f t="shared" si="128"/>
        <v>247.5</v>
      </c>
      <c r="BI334" s="4089">
        <f t="shared" si="129"/>
        <v>247.5</v>
      </c>
      <c r="BJ334" s="4089">
        <f t="shared" si="130"/>
        <v>247.5</v>
      </c>
      <c r="BK334" s="4089">
        <f t="shared" si="131"/>
        <v>247.5</v>
      </c>
      <c r="BL334" s="4089">
        <f t="shared" si="132"/>
        <v>247.5</v>
      </c>
      <c r="BM334" s="4089">
        <f t="shared" si="133"/>
        <v>198</v>
      </c>
      <c r="BN334" s="4089">
        <f t="shared" si="134"/>
        <v>49.5</v>
      </c>
      <c r="BO334" s="4463"/>
      <c r="BP334" s="4463"/>
      <c r="BQ334" s="4463"/>
      <c r="BR334" s="4463"/>
      <c r="BS334" s="4463"/>
      <c r="BT334" s="4464"/>
      <c r="BU334" s="4465"/>
      <c r="BV334" s="4385">
        <f t="shared" si="141"/>
        <v>1485</v>
      </c>
      <c r="BW334" s="4386">
        <f t="shared" si="144"/>
        <v>0</v>
      </c>
      <c r="BX334" s="4387"/>
      <c r="BY334" s="4387"/>
      <c r="BZ334" s="4387"/>
      <c r="CA334" s="4391" t="str">
        <f>VLOOKUP(D334&amp;G334&amp;H334&amp;I334,'9298 版本变更明细'!C:AJ,34,FALSE)</f>
        <v>B版本膜+A版本指南+口水胶+C版本配件包（香味贴纸/指定配件）</v>
      </c>
      <c r="CC334" s="4392"/>
      <c r="CD334" s="4391"/>
    </row>
    <row r="335" s="4025" customFormat="1" ht="50" customHeight="1" spans="1:82">
      <c r="A335" s="3675">
        <v>45790</v>
      </c>
      <c r="B335" s="3862" t="s">
        <v>3891</v>
      </c>
      <c r="C335" s="3863" t="s">
        <v>341</v>
      </c>
      <c r="D335" s="3864">
        <v>4500161780</v>
      </c>
      <c r="E335" s="959" t="s">
        <v>3892</v>
      </c>
      <c r="F335" s="3676" t="s">
        <v>3893</v>
      </c>
      <c r="G335" s="3677" t="s">
        <v>2917</v>
      </c>
      <c r="H335" s="3691" t="s">
        <v>2591</v>
      </c>
      <c r="I335" s="3691">
        <v>2720</v>
      </c>
      <c r="J335" s="3691">
        <v>0</v>
      </c>
      <c r="K335" s="3691">
        <v>16</v>
      </c>
      <c r="L335" s="3691">
        <f t="shared" si="140"/>
        <v>170</v>
      </c>
      <c r="M335" s="3619">
        <v>45828</v>
      </c>
      <c r="N335" s="3619">
        <v>45824</v>
      </c>
      <c r="O335" s="3664"/>
      <c r="P335" s="3682" t="s">
        <v>82</v>
      </c>
      <c r="Q335" s="3682"/>
      <c r="R335" s="4083"/>
      <c r="S335" s="4083"/>
      <c r="T335" s="4083"/>
      <c r="U335" s="3645" t="s">
        <v>3759</v>
      </c>
      <c r="V335" s="3649" t="s">
        <v>3802</v>
      </c>
      <c r="W335" s="3657"/>
      <c r="X335" s="3657" t="s">
        <v>3894</v>
      </c>
      <c r="Y335" s="3657"/>
      <c r="Z335" s="3691"/>
      <c r="AA335" s="3620" t="s">
        <v>3895</v>
      </c>
      <c r="AB335" s="3678" t="s">
        <v>3896</v>
      </c>
      <c r="AC335" s="4087">
        <v>2.155</v>
      </c>
      <c r="AD335" s="4402">
        <f>AC335*I335</f>
        <v>5861.6</v>
      </c>
      <c r="AE335" s="3645"/>
      <c r="AF335" s="3664" t="s">
        <v>2917</v>
      </c>
      <c r="AG335" s="3645" t="s">
        <v>416</v>
      </c>
      <c r="AH335" s="3664"/>
      <c r="AI335" s="3691">
        <f>I335</f>
        <v>2720</v>
      </c>
      <c r="AJ335" s="3691"/>
      <c r="AK335" s="3664"/>
      <c r="AL335" s="3664"/>
      <c r="AM335" s="3664"/>
      <c r="AN335" s="3691"/>
      <c r="AO335" s="3691">
        <f t="shared" si="143"/>
        <v>2720</v>
      </c>
      <c r="AP335" s="3691"/>
      <c r="AQ335" s="4089"/>
      <c r="AR335" s="4089"/>
      <c r="AS335" s="4089">
        <f t="shared" ref="AS335:AS345" si="146">I335</f>
        <v>2720</v>
      </c>
      <c r="AT335" s="4089"/>
      <c r="AU335" s="4089"/>
      <c r="AV335" s="4089"/>
      <c r="AW335" s="4089"/>
      <c r="AX335" s="4089"/>
      <c r="AY335" s="4089"/>
      <c r="AZ335" s="4089"/>
      <c r="BA335" s="4089">
        <f>I335/4</f>
        <v>680</v>
      </c>
      <c r="BB335" s="4089"/>
      <c r="BC335" s="4089"/>
      <c r="BD335" s="4089"/>
      <c r="BE335" s="4089"/>
      <c r="BF335" s="4089" t="s">
        <v>89</v>
      </c>
      <c r="BG335" s="4089"/>
      <c r="BH335" s="4089">
        <f t="shared" si="128"/>
        <v>453.333333333333</v>
      </c>
      <c r="BI335" s="4089">
        <f t="shared" si="129"/>
        <v>453.333333333333</v>
      </c>
      <c r="BJ335" s="4089">
        <f t="shared" si="130"/>
        <v>453.333333333333</v>
      </c>
      <c r="BK335" s="4089">
        <f t="shared" si="131"/>
        <v>453.333333333333</v>
      </c>
      <c r="BL335" s="4089">
        <f t="shared" si="132"/>
        <v>453.333333333333</v>
      </c>
      <c r="BM335" s="4089">
        <f t="shared" si="133"/>
        <v>362.666666666667</v>
      </c>
      <c r="BN335" s="4089">
        <f t="shared" si="134"/>
        <v>90.6666666666667</v>
      </c>
      <c r="BO335" s="4411"/>
      <c r="BP335" s="4411"/>
      <c r="BQ335" s="4411"/>
      <c r="BR335" s="4411"/>
      <c r="BS335" s="4411"/>
      <c r="BT335" s="4453"/>
      <c r="BU335" s="4454"/>
      <c r="BV335" s="4385">
        <f t="shared" si="141"/>
        <v>2720</v>
      </c>
      <c r="BW335" s="4386">
        <f t="shared" si="144"/>
        <v>0</v>
      </c>
      <c r="BX335" s="4387"/>
      <c r="BY335" s="4387"/>
      <c r="BZ335" s="4387"/>
      <c r="CA335" s="4391" t="str">
        <f>VLOOKUP(D335&amp;G335&amp;H335&amp;I335,'9298 版本变更明细'!C:AJ,34,FALSE)</f>
        <v>B版本膜+A版本指南+口水胶+C版本配件包（香味贴纸/指定配件）</v>
      </c>
      <c r="CC335" s="4392"/>
      <c r="CD335" s="4391"/>
    </row>
    <row r="336" s="4025" customFormat="1" ht="50" customHeight="1" spans="1:82">
      <c r="A336" s="3675">
        <v>45790</v>
      </c>
      <c r="B336" s="3862" t="s">
        <v>3891</v>
      </c>
      <c r="C336" s="3863" t="s">
        <v>341</v>
      </c>
      <c r="D336" s="3864">
        <v>4500159668</v>
      </c>
      <c r="E336" s="959" t="s">
        <v>3897</v>
      </c>
      <c r="F336" s="3676" t="s">
        <v>3898</v>
      </c>
      <c r="G336" s="3677" t="s">
        <v>2917</v>
      </c>
      <c r="H336" s="3691" t="s">
        <v>2591</v>
      </c>
      <c r="I336" s="3691">
        <v>5088</v>
      </c>
      <c r="J336" s="3691">
        <v>0</v>
      </c>
      <c r="K336" s="3691">
        <v>16</v>
      </c>
      <c r="L336" s="3691">
        <f t="shared" si="140"/>
        <v>318</v>
      </c>
      <c r="M336" s="3619">
        <v>45828</v>
      </c>
      <c r="N336" s="3619">
        <v>45824</v>
      </c>
      <c r="O336" s="3664"/>
      <c r="P336" s="3682" t="s">
        <v>82</v>
      </c>
      <c r="Q336" s="3682"/>
      <c r="R336" s="4083"/>
      <c r="S336" s="4083"/>
      <c r="T336" s="4083"/>
      <c r="U336" s="3645" t="s">
        <v>3759</v>
      </c>
      <c r="V336" s="3649" t="s">
        <v>3802</v>
      </c>
      <c r="W336" s="3657"/>
      <c r="X336" s="3657" t="s">
        <v>3899</v>
      </c>
      <c r="Y336" s="3657"/>
      <c r="Z336" s="3691"/>
      <c r="AA336" s="3620" t="s">
        <v>3900</v>
      </c>
      <c r="AB336" s="3678" t="s">
        <v>3896</v>
      </c>
      <c r="AC336" s="4087">
        <v>2.1547</v>
      </c>
      <c r="AD336" s="4402">
        <f>AC336*I336</f>
        <v>10963.1136</v>
      </c>
      <c r="AE336" s="3645"/>
      <c r="AF336" s="3664" t="s">
        <v>2917</v>
      </c>
      <c r="AG336" s="3645" t="s">
        <v>416</v>
      </c>
      <c r="AH336" s="3664"/>
      <c r="AI336" s="3691">
        <f>I336</f>
        <v>5088</v>
      </c>
      <c r="AJ336" s="3691"/>
      <c r="AK336" s="3664"/>
      <c r="AL336" s="3664"/>
      <c r="AM336" s="3664"/>
      <c r="AN336" s="3691"/>
      <c r="AO336" s="3691">
        <f t="shared" si="143"/>
        <v>5088</v>
      </c>
      <c r="AP336" s="3691"/>
      <c r="AQ336" s="4089"/>
      <c r="AR336" s="4089"/>
      <c r="AS336" s="4089">
        <f t="shared" si="146"/>
        <v>5088</v>
      </c>
      <c r="AT336" s="4089"/>
      <c r="AU336" s="4089"/>
      <c r="AV336" s="4089"/>
      <c r="AW336" s="4089"/>
      <c r="AX336" s="4089"/>
      <c r="AY336" s="4089"/>
      <c r="AZ336" s="4089"/>
      <c r="BA336" s="4089">
        <f>I336/4</f>
        <v>1272</v>
      </c>
      <c r="BB336" s="4089"/>
      <c r="BC336" s="4089"/>
      <c r="BD336" s="4089"/>
      <c r="BE336" s="4089"/>
      <c r="BF336" s="4089" t="s">
        <v>89</v>
      </c>
      <c r="BG336" s="4089"/>
      <c r="BH336" s="4089">
        <f t="shared" si="128"/>
        <v>848</v>
      </c>
      <c r="BI336" s="4089">
        <f t="shared" si="129"/>
        <v>848</v>
      </c>
      <c r="BJ336" s="4089">
        <f t="shared" si="130"/>
        <v>848</v>
      </c>
      <c r="BK336" s="4089">
        <f t="shared" si="131"/>
        <v>848</v>
      </c>
      <c r="BL336" s="4089">
        <f t="shared" si="132"/>
        <v>848</v>
      </c>
      <c r="BM336" s="4089">
        <f t="shared" si="133"/>
        <v>678.4</v>
      </c>
      <c r="BN336" s="4089">
        <f t="shared" si="134"/>
        <v>169.6</v>
      </c>
      <c r="BO336" s="4411"/>
      <c r="BP336" s="4411"/>
      <c r="BQ336" s="4411"/>
      <c r="BR336" s="4411"/>
      <c r="BS336" s="4411"/>
      <c r="BT336" s="4453"/>
      <c r="BU336" s="4454"/>
      <c r="BV336" s="4385">
        <f t="shared" si="141"/>
        <v>5088</v>
      </c>
      <c r="BW336" s="4386">
        <f t="shared" si="144"/>
        <v>0</v>
      </c>
      <c r="BX336" s="4387"/>
      <c r="BY336" s="4387"/>
      <c r="BZ336" s="4387"/>
      <c r="CA336" s="4391" t="str">
        <f>VLOOKUP(D336&amp;G336&amp;H336&amp;I336,'9298 版本变更明细'!C:AJ,34,FALSE)</f>
        <v>B版本膜+A版本指南+口水胶+C版本配件包（香味贴纸/指定配件）</v>
      </c>
      <c r="CC336" s="4392"/>
      <c r="CD336" s="4391"/>
    </row>
    <row r="337" s="4025" customFormat="1" ht="50" customHeight="1" spans="1:82">
      <c r="A337" s="3688">
        <v>45793</v>
      </c>
      <c r="B337" s="4080" t="s">
        <v>3901</v>
      </c>
      <c r="C337" s="3664" t="s">
        <v>1316</v>
      </c>
      <c r="D337" s="3690">
        <v>4500166776</v>
      </c>
      <c r="E337" s="3664"/>
      <c r="F337" s="3690" t="s">
        <v>3902</v>
      </c>
      <c r="G337" s="3664" t="s">
        <v>2627</v>
      </c>
      <c r="H337" s="3664" t="s">
        <v>2591</v>
      </c>
      <c r="I337" s="3691">
        <v>7752</v>
      </c>
      <c r="J337" s="3691">
        <v>0</v>
      </c>
      <c r="K337" s="3691">
        <v>24</v>
      </c>
      <c r="L337" s="3691">
        <f t="shared" si="140"/>
        <v>323</v>
      </c>
      <c r="M337" s="3659">
        <v>45828</v>
      </c>
      <c r="N337" s="3659">
        <v>45824</v>
      </c>
      <c r="O337" s="4085"/>
      <c r="P337" s="3682" t="s">
        <v>82</v>
      </c>
      <c r="Q337" s="3682"/>
      <c r="R337" s="4083"/>
      <c r="S337" s="4083"/>
      <c r="T337" s="4083"/>
      <c r="U337" s="3645" t="s">
        <v>3759</v>
      </c>
      <c r="V337" s="3649" t="s">
        <v>1273</v>
      </c>
      <c r="W337" s="3657"/>
      <c r="X337" s="3657" t="s">
        <v>3903</v>
      </c>
      <c r="Y337" s="3657"/>
      <c r="Z337" s="3691"/>
      <c r="AA337" s="3620" t="s">
        <v>3904</v>
      </c>
      <c r="AB337" s="3691" t="s">
        <v>1326</v>
      </c>
      <c r="AC337" s="3691">
        <v>2.0668</v>
      </c>
      <c r="AD337" s="3691">
        <f>AC337*I337</f>
        <v>16021.8336</v>
      </c>
      <c r="AE337" s="3645"/>
      <c r="AF337" s="3664" t="s">
        <v>2627</v>
      </c>
      <c r="AG337" s="3645" t="s">
        <v>416</v>
      </c>
      <c r="AH337" s="3664"/>
      <c r="AI337" s="3691"/>
      <c r="AJ337" s="3691"/>
      <c r="AK337" s="3664"/>
      <c r="AL337" s="3664">
        <f>I337</f>
        <v>7752</v>
      </c>
      <c r="AM337" s="3664"/>
      <c r="AN337" s="3691"/>
      <c r="AO337" s="3691">
        <f t="shared" si="143"/>
        <v>7752</v>
      </c>
      <c r="AP337" s="3691"/>
      <c r="AQ337" s="4089"/>
      <c r="AR337" s="4089"/>
      <c r="AS337" s="4089">
        <f t="shared" si="146"/>
        <v>7752</v>
      </c>
      <c r="AT337" s="4089"/>
      <c r="AU337" s="4089"/>
      <c r="AV337" s="4089"/>
      <c r="AW337" s="4089"/>
      <c r="AX337" s="4089"/>
      <c r="AY337" s="4089"/>
      <c r="AZ337" s="4089"/>
      <c r="BA337" s="4089"/>
      <c r="BB337" s="4089"/>
      <c r="BC337" s="4089"/>
      <c r="BD337" s="4089"/>
      <c r="BE337" s="4089"/>
      <c r="BF337" s="4089" t="s">
        <v>89</v>
      </c>
      <c r="BG337" s="4089"/>
      <c r="BH337" s="4089">
        <f t="shared" si="128"/>
        <v>1292</v>
      </c>
      <c r="BI337" s="4089">
        <f t="shared" si="129"/>
        <v>1292</v>
      </c>
      <c r="BJ337" s="4089">
        <f t="shared" si="130"/>
        <v>1292</v>
      </c>
      <c r="BK337" s="4089">
        <f t="shared" si="131"/>
        <v>1292</v>
      </c>
      <c r="BL337" s="4089">
        <f t="shared" si="132"/>
        <v>1292</v>
      </c>
      <c r="BM337" s="4089">
        <f t="shared" si="133"/>
        <v>1033.6</v>
      </c>
      <c r="BN337" s="4089">
        <f t="shared" si="134"/>
        <v>258.4</v>
      </c>
      <c r="BO337" s="4463"/>
      <c r="BP337" s="4463"/>
      <c r="BQ337" s="4463"/>
      <c r="BR337" s="4463"/>
      <c r="BS337" s="4463"/>
      <c r="BT337" s="4464"/>
      <c r="BU337" s="4465"/>
      <c r="BV337" s="4385">
        <f t="shared" si="141"/>
        <v>7752</v>
      </c>
      <c r="BW337" s="4386">
        <f t="shared" si="144"/>
        <v>0</v>
      </c>
      <c r="BX337" s="4387"/>
      <c r="BY337" s="4387"/>
      <c r="BZ337" s="4387"/>
      <c r="CA337" s="4391" t="str">
        <f>VLOOKUP(D337&amp;G337&amp;H337&amp;I337,'9298 版本变更明细'!C:AJ,34,FALSE)</f>
        <v>B版本膜+A版本指南+口水胶+C版本配件包（香味贴纸/指定配件）</v>
      </c>
      <c r="CC337" s="4392"/>
      <c r="CD337" s="4391"/>
    </row>
    <row r="338" s="4025" customFormat="1" ht="50" customHeight="1" spans="1:82">
      <c r="A338" s="3616">
        <v>45789</v>
      </c>
      <c r="B338" s="3630" t="s">
        <v>3905</v>
      </c>
      <c r="C338" s="3628" t="s">
        <v>1385</v>
      </c>
      <c r="D338" s="3629">
        <v>4500165851</v>
      </c>
      <c r="E338" s="959" t="s">
        <v>3906</v>
      </c>
      <c r="F338" s="3679" t="s">
        <v>3907</v>
      </c>
      <c r="G338" s="3677" t="s">
        <v>2806</v>
      </c>
      <c r="H338" s="3664" t="s">
        <v>2591</v>
      </c>
      <c r="I338" s="3691">
        <v>468</v>
      </c>
      <c r="J338" s="3691">
        <v>0</v>
      </c>
      <c r="K338" s="3691">
        <v>12</v>
      </c>
      <c r="L338" s="3691">
        <f t="shared" si="140"/>
        <v>39</v>
      </c>
      <c r="M338" s="3619">
        <v>45828</v>
      </c>
      <c r="N338" s="3619">
        <v>45824</v>
      </c>
      <c r="O338" s="4085"/>
      <c r="P338" s="3682" t="s">
        <v>82</v>
      </c>
      <c r="Q338" s="3682"/>
      <c r="R338" s="4083"/>
      <c r="S338" s="4083"/>
      <c r="T338" s="4083"/>
      <c r="U338" s="3645" t="s">
        <v>3908</v>
      </c>
      <c r="V338" s="3649" t="s">
        <v>3909</v>
      </c>
      <c r="W338" s="3657"/>
      <c r="X338" s="3657" t="s">
        <v>3910</v>
      </c>
      <c r="Y338" s="3657"/>
      <c r="Z338" s="3691"/>
      <c r="AA338" s="3620" t="s">
        <v>3911</v>
      </c>
      <c r="AB338" s="4092" t="s">
        <v>1389</v>
      </c>
      <c r="AC338" s="4087">
        <v>2.1439</v>
      </c>
      <c r="AD338" s="3691">
        <f>AC338*I338</f>
        <v>1003.3452</v>
      </c>
      <c r="AE338" s="3645"/>
      <c r="AF338" s="3664" t="s">
        <v>2806</v>
      </c>
      <c r="AG338" s="3645" t="s">
        <v>416</v>
      </c>
      <c r="AH338" s="3664"/>
      <c r="AI338" s="3664">
        <f>I338</f>
        <v>468</v>
      </c>
      <c r="AJ338" s="3664"/>
      <c r="AK338" s="3664"/>
      <c r="AL338" s="3664"/>
      <c r="AM338" s="3664"/>
      <c r="AN338" s="3691"/>
      <c r="AO338" s="3691">
        <f t="shared" si="143"/>
        <v>468</v>
      </c>
      <c r="AP338" s="3691"/>
      <c r="AQ338" s="4089"/>
      <c r="AR338" s="4089"/>
      <c r="AS338" s="4089">
        <f t="shared" si="146"/>
        <v>468</v>
      </c>
      <c r="AT338" s="4089"/>
      <c r="AU338" s="4089"/>
      <c r="AV338" s="4089"/>
      <c r="AW338" s="4089"/>
      <c r="AX338" s="4089">
        <f>I338/6</f>
        <v>78</v>
      </c>
      <c r="AY338" s="4089"/>
      <c r="AZ338" s="4089"/>
      <c r="BA338" s="4089"/>
      <c r="BB338" s="4089"/>
      <c r="BC338" s="4089"/>
      <c r="BD338" s="4089"/>
      <c r="BE338" s="4089"/>
      <c r="BF338" s="4089" t="s">
        <v>89</v>
      </c>
      <c r="BG338" s="4089"/>
      <c r="BH338" s="4089">
        <f t="shared" si="128"/>
        <v>78</v>
      </c>
      <c r="BI338" s="4089">
        <f t="shared" si="129"/>
        <v>78</v>
      </c>
      <c r="BJ338" s="4089">
        <f t="shared" si="130"/>
        <v>78</v>
      </c>
      <c r="BK338" s="4089">
        <f t="shared" si="131"/>
        <v>78</v>
      </c>
      <c r="BL338" s="4089">
        <f t="shared" si="132"/>
        <v>78</v>
      </c>
      <c r="BM338" s="4089">
        <f t="shared" si="133"/>
        <v>62.4</v>
      </c>
      <c r="BN338" s="4089">
        <f t="shared" si="134"/>
        <v>15.6</v>
      </c>
      <c r="BO338" s="4466"/>
      <c r="BP338" s="4466"/>
      <c r="BQ338" s="4466"/>
      <c r="BR338" s="4466"/>
      <c r="BS338" s="4466"/>
      <c r="BT338" s="4467"/>
      <c r="BU338" s="4468"/>
      <c r="BV338" s="4385">
        <f t="shared" si="141"/>
        <v>468</v>
      </c>
      <c r="BW338" s="4386">
        <f t="shared" si="144"/>
        <v>0</v>
      </c>
      <c r="BX338" s="4387"/>
      <c r="BY338" s="4387"/>
      <c r="BZ338" s="4387"/>
      <c r="CA338" s="4391" t="str">
        <f>VLOOKUP(D338&amp;G338&amp;H338&amp;I338,'9298 版本变更明细'!C:AJ,34,FALSE)</f>
        <v>B版本膜+A版本指南+口水胶+C版本配件包（香味贴纸/指定配件）</v>
      </c>
      <c r="CC338" s="4392"/>
      <c r="CD338" s="4391"/>
    </row>
    <row r="339" s="4025" customFormat="1" ht="50" customHeight="1" spans="1:82">
      <c r="A339" s="3675">
        <v>45792</v>
      </c>
      <c r="B339" s="3862" t="s">
        <v>3912</v>
      </c>
      <c r="C339" s="3863" t="s">
        <v>3913</v>
      </c>
      <c r="D339" s="3864">
        <v>4500166599</v>
      </c>
      <c r="E339" s="959" t="s">
        <v>3914</v>
      </c>
      <c r="F339" s="3676" t="s">
        <v>3915</v>
      </c>
      <c r="G339" s="3677" t="s">
        <v>2627</v>
      </c>
      <c r="H339" s="3691" t="s">
        <v>2591</v>
      </c>
      <c r="I339" s="3691">
        <v>720</v>
      </c>
      <c r="J339" s="3691">
        <v>0</v>
      </c>
      <c r="K339" s="3691">
        <v>24</v>
      </c>
      <c r="L339" s="3691">
        <f t="shared" si="140"/>
        <v>30</v>
      </c>
      <c r="M339" s="3619">
        <v>45828</v>
      </c>
      <c r="N339" s="3619">
        <v>45824</v>
      </c>
      <c r="O339" s="4085"/>
      <c r="P339" s="3682" t="s">
        <v>82</v>
      </c>
      <c r="Q339" s="3682"/>
      <c r="R339" s="4083"/>
      <c r="S339" s="4083"/>
      <c r="T339" s="4083"/>
      <c r="U339" s="3645" t="s">
        <v>3916</v>
      </c>
      <c r="V339" s="3649" t="s">
        <v>3917</v>
      </c>
      <c r="W339" s="3657"/>
      <c r="X339" s="3657" t="s">
        <v>3918</v>
      </c>
      <c r="Y339" s="3657"/>
      <c r="Z339" s="3691"/>
      <c r="AA339" s="3620" t="s">
        <v>3919</v>
      </c>
      <c r="AB339" s="3678" t="s">
        <v>3728</v>
      </c>
      <c r="AC339" s="3691">
        <v>2.0408</v>
      </c>
      <c r="AD339" s="3691">
        <f>AC339*I339</f>
        <v>1469.376</v>
      </c>
      <c r="AE339" s="3645"/>
      <c r="AF339" s="3664" t="s">
        <v>2627</v>
      </c>
      <c r="AG339" s="3645" t="s">
        <v>416</v>
      </c>
      <c r="AH339" s="3664"/>
      <c r="AI339" s="3691">
        <f>I339</f>
        <v>720</v>
      </c>
      <c r="AJ339" s="3691"/>
      <c r="AK339" s="3664"/>
      <c r="AL339" s="3664"/>
      <c r="AM339" s="3664"/>
      <c r="AN339" s="3691"/>
      <c r="AO339" s="3691">
        <f t="shared" si="143"/>
        <v>720</v>
      </c>
      <c r="AP339" s="3691"/>
      <c r="AQ339" s="4089"/>
      <c r="AR339" s="4089"/>
      <c r="AS339" s="4089">
        <f t="shared" si="146"/>
        <v>720</v>
      </c>
      <c r="AT339" s="4089"/>
      <c r="AU339" s="4089"/>
      <c r="AV339" s="4089"/>
      <c r="AW339" s="4089"/>
      <c r="AX339" s="4089"/>
      <c r="AY339" s="4089"/>
      <c r="AZ339" s="4089"/>
      <c r="BA339" s="4089"/>
      <c r="BB339" s="4089"/>
      <c r="BC339" s="4089"/>
      <c r="BD339" s="4089"/>
      <c r="BE339" s="4089"/>
      <c r="BF339" s="4089" t="s">
        <v>89</v>
      </c>
      <c r="BG339" s="4089"/>
      <c r="BH339" s="4089">
        <f t="shared" si="128"/>
        <v>120</v>
      </c>
      <c r="BI339" s="4089">
        <f t="shared" si="129"/>
        <v>120</v>
      </c>
      <c r="BJ339" s="4089">
        <f t="shared" si="130"/>
        <v>120</v>
      </c>
      <c r="BK339" s="4089">
        <f t="shared" si="131"/>
        <v>120</v>
      </c>
      <c r="BL339" s="4089">
        <f t="shared" si="132"/>
        <v>120</v>
      </c>
      <c r="BM339" s="4089">
        <f t="shared" si="133"/>
        <v>96</v>
      </c>
      <c r="BN339" s="4089">
        <f t="shared" si="134"/>
        <v>24</v>
      </c>
      <c r="BO339" s="4411"/>
      <c r="BP339" s="4411"/>
      <c r="BQ339" s="4411"/>
      <c r="BR339" s="4411"/>
      <c r="BS339" s="4411"/>
      <c r="BT339" s="4453"/>
      <c r="BU339" s="4454"/>
      <c r="BV339" s="4385">
        <f t="shared" si="141"/>
        <v>720</v>
      </c>
      <c r="BW339" s="4386">
        <f t="shared" si="144"/>
        <v>0</v>
      </c>
      <c r="BX339" s="4387"/>
      <c r="BY339" s="4387"/>
      <c r="BZ339" s="4387"/>
      <c r="CA339" s="4391" t="str">
        <f>VLOOKUP(D339&amp;G339&amp;H339&amp;I339,'9298 版本变更明细'!C:AJ,34,FALSE)</f>
        <v>B版本膜+A版本指南+口水胶+C版本配件包（香味贴纸/指定配件）</v>
      </c>
      <c r="CC339" s="4392"/>
      <c r="CD339" s="4391"/>
    </row>
    <row r="340" s="4025" customFormat="1" ht="50" customHeight="1" spans="1:82">
      <c r="A340" s="3688">
        <v>45750</v>
      </c>
      <c r="B340" s="3689" t="s">
        <v>1315</v>
      </c>
      <c r="C340" s="3664" t="s">
        <v>1316</v>
      </c>
      <c r="D340" s="3690">
        <v>4500166280</v>
      </c>
      <c r="E340" s="3664" t="s">
        <v>1328</v>
      </c>
      <c r="F340" s="3690" t="s">
        <v>1329</v>
      </c>
      <c r="G340" s="3664" t="s">
        <v>3821</v>
      </c>
      <c r="H340" s="3664" t="s">
        <v>1320</v>
      </c>
      <c r="I340" s="3691">
        <v>3800</v>
      </c>
      <c r="J340" s="3691">
        <v>0</v>
      </c>
      <c r="K340" s="3691">
        <v>4</v>
      </c>
      <c r="L340" s="3691">
        <f t="shared" si="140"/>
        <v>950</v>
      </c>
      <c r="M340" s="3659">
        <v>45829</v>
      </c>
      <c r="N340" s="3659">
        <f>M340-4</f>
        <v>45825</v>
      </c>
      <c r="O340" s="3664" t="s">
        <v>1321</v>
      </c>
      <c r="P340" s="3682" t="s">
        <v>82</v>
      </c>
      <c r="Q340" s="3682"/>
      <c r="R340" s="4083"/>
      <c r="S340" s="4083"/>
      <c r="T340" s="4083"/>
      <c r="U340" s="3691" t="s">
        <v>401</v>
      </c>
      <c r="V340" s="3657" t="s">
        <v>1322</v>
      </c>
      <c r="W340" s="3657"/>
      <c r="X340" s="3657" t="s">
        <v>1876</v>
      </c>
      <c r="Y340" s="3657"/>
      <c r="Z340" s="3691" t="s">
        <v>1330</v>
      </c>
      <c r="AA340" s="3620" t="s">
        <v>1325</v>
      </c>
      <c r="AB340" s="3691" t="s">
        <v>1326</v>
      </c>
      <c r="AC340" s="3618">
        <v>16.8314</v>
      </c>
      <c r="AD340" s="3618">
        <f>AC340*L340</f>
        <v>15989.83</v>
      </c>
      <c r="AE340" s="3645"/>
      <c r="AF340" s="3664" t="s">
        <v>3822</v>
      </c>
      <c r="AG340" s="3645" t="s">
        <v>416</v>
      </c>
      <c r="AH340" s="3708"/>
      <c r="AI340" s="3691"/>
      <c r="AJ340" s="3691"/>
      <c r="AK340" s="3708"/>
      <c r="AL340" s="3664"/>
      <c r="AM340" s="3664"/>
      <c r="AN340" s="3691">
        <f>I340</f>
        <v>3800</v>
      </c>
      <c r="AO340" s="3691"/>
      <c r="AP340" s="3691"/>
      <c r="AQ340" s="4089">
        <f>I340</f>
        <v>3800</v>
      </c>
      <c r="AR340" s="1048"/>
      <c r="AS340" s="4089">
        <f t="shared" si="146"/>
        <v>3800</v>
      </c>
      <c r="AT340" s="1048"/>
      <c r="AU340" s="4089"/>
      <c r="AV340" s="4089"/>
      <c r="AW340" s="4089"/>
      <c r="AX340" s="4089"/>
      <c r="AY340" s="4089"/>
      <c r="AZ340" s="4089"/>
      <c r="BA340" s="4089"/>
      <c r="BB340" s="4089"/>
      <c r="BC340" s="4089">
        <f>I340/4</f>
        <v>950</v>
      </c>
      <c r="BD340" s="4089"/>
      <c r="BE340" s="4089"/>
      <c r="BF340" s="4089" t="s">
        <v>1327</v>
      </c>
      <c r="BG340" s="4089"/>
      <c r="BH340" s="4089">
        <f t="shared" si="128"/>
        <v>633.333333333333</v>
      </c>
      <c r="BI340" s="4089">
        <f t="shared" si="129"/>
        <v>633.333333333333</v>
      </c>
      <c r="BJ340" s="4089">
        <f t="shared" si="130"/>
        <v>633.333333333333</v>
      </c>
      <c r="BK340" s="4089">
        <f t="shared" si="131"/>
        <v>633.333333333333</v>
      </c>
      <c r="BL340" s="4089">
        <f t="shared" si="132"/>
        <v>633.333333333333</v>
      </c>
      <c r="BM340" s="4089">
        <f t="shared" si="133"/>
        <v>506.666666666667</v>
      </c>
      <c r="BN340" s="4089">
        <f t="shared" si="134"/>
        <v>126.666666666667</v>
      </c>
      <c r="BO340" s="4413"/>
      <c r="BP340" s="4413"/>
      <c r="BQ340" s="4413"/>
      <c r="BR340" s="4413"/>
      <c r="BS340" s="4413"/>
      <c r="BT340" s="4431"/>
      <c r="BU340" s="4432"/>
      <c r="BV340" s="4385">
        <f t="shared" si="141"/>
        <v>3800</v>
      </c>
      <c r="BW340" s="4386">
        <f t="shared" si="144"/>
        <v>0</v>
      </c>
      <c r="BX340" s="4387"/>
      <c r="BY340" s="4387"/>
      <c r="BZ340" s="4387"/>
      <c r="CA340" s="4391"/>
      <c r="CC340" s="4392"/>
      <c r="CD340" s="4391"/>
    </row>
    <row r="341" s="4025" customFormat="1" ht="50" customHeight="1" spans="1:82">
      <c r="A341" s="3688">
        <v>45750</v>
      </c>
      <c r="B341" s="3689" t="s">
        <v>1315</v>
      </c>
      <c r="C341" s="3664" t="s">
        <v>1316</v>
      </c>
      <c r="D341" s="3690">
        <v>4500162573</v>
      </c>
      <c r="E341" s="3664" t="s">
        <v>1400</v>
      </c>
      <c r="F341" s="3690" t="s">
        <v>1401</v>
      </c>
      <c r="G341" s="3664" t="s">
        <v>3821</v>
      </c>
      <c r="H341" s="3664" t="s">
        <v>1320</v>
      </c>
      <c r="I341" s="3691">
        <v>1200</v>
      </c>
      <c r="J341" s="3691">
        <v>0</v>
      </c>
      <c r="K341" s="3691">
        <v>4</v>
      </c>
      <c r="L341" s="3691">
        <f t="shared" si="140"/>
        <v>300</v>
      </c>
      <c r="M341" s="3659">
        <v>45829</v>
      </c>
      <c r="N341" s="3659">
        <f>M341-4</f>
        <v>45825</v>
      </c>
      <c r="O341" s="4457"/>
      <c r="P341" s="3682" t="s">
        <v>82</v>
      </c>
      <c r="Q341" s="3682"/>
      <c r="R341" s="4083"/>
      <c r="S341" s="4083"/>
      <c r="T341" s="4083"/>
      <c r="U341" s="3645"/>
      <c r="V341" s="3649" t="s">
        <v>1322</v>
      </c>
      <c r="W341" s="3657"/>
      <c r="X341" s="3657" t="s">
        <v>1907</v>
      </c>
      <c r="Y341" s="3657"/>
      <c r="Z341" s="3691" t="s">
        <v>1402</v>
      </c>
      <c r="AA341" s="3620" t="s">
        <v>1376</v>
      </c>
      <c r="AB341" s="3691" t="s">
        <v>1326</v>
      </c>
      <c r="AC341" s="3691">
        <v>16.8855</v>
      </c>
      <c r="AD341" s="3691">
        <f>AC341*L341</f>
        <v>5065.65</v>
      </c>
      <c r="AE341" s="3645"/>
      <c r="AF341" s="3664" t="s">
        <v>3822</v>
      </c>
      <c r="AG341" s="3645" t="s">
        <v>416</v>
      </c>
      <c r="AH341" s="875"/>
      <c r="AI341" s="3691"/>
      <c r="AJ341" s="3691"/>
      <c r="AK341" s="875"/>
      <c r="AL341" s="3664"/>
      <c r="AM341" s="3664"/>
      <c r="AN341" s="3691">
        <f>I341</f>
        <v>1200</v>
      </c>
      <c r="AO341" s="3691"/>
      <c r="AP341" s="3691"/>
      <c r="AQ341" s="4089">
        <f>I341</f>
        <v>1200</v>
      </c>
      <c r="AR341" s="878"/>
      <c r="AS341" s="4089">
        <f t="shared" si="146"/>
        <v>1200</v>
      </c>
      <c r="AT341" s="878"/>
      <c r="AU341" s="4089"/>
      <c r="AV341" s="4089"/>
      <c r="AW341" s="4089"/>
      <c r="AX341" s="4089"/>
      <c r="AY341" s="4089"/>
      <c r="AZ341" s="4089"/>
      <c r="BA341" s="4089"/>
      <c r="BB341" s="4089"/>
      <c r="BC341" s="4089">
        <f>I341/4</f>
        <v>300</v>
      </c>
      <c r="BD341" s="4089"/>
      <c r="BE341" s="4089"/>
      <c r="BF341" s="4089" t="s">
        <v>1327</v>
      </c>
      <c r="BG341" s="4089"/>
      <c r="BH341" s="4089">
        <f t="shared" si="128"/>
        <v>200</v>
      </c>
      <c r="BI341" s="4089">
        <f t="shared" si="129"/>
        <v>200</v>
      </c>
      <c r="BJ341" s="4089">
        <f t="shared" si="130"/>
        <v>200</v>
      </c>
      <c r="BK341" s="4089">
        <f t="shared" si="131"/>
        <v>200</v>
      </c>
      <c r="BL341" s="4089">
        <f t="shared" si="132"/>
        <v>200</v>
      </c>
      <c r="BM341" s="4089">
        <f t="shared" si="133"/>
        <v>160</v>
      </c>
      <c r="BN341" s="4089">
        <f t="shared" si="134"/>
        <v>40</v>
      </c>
      <c r="BO341" s="4469"/>
      <c r="BP341" s="4469"/>
      <c r="BQ341" s="4469"/>
      <c r="BR341" s="4469"/>
      <c r="BS341" s="4469"/>
      <c r="BT341" s="4470"/>
      <c r="BU341" s="4439"/>
      <c r="BV341" s="4385">
        <f t="shared" si="141"/>
        <v>1200</v>
      </c>
      <c r="BW341" s="4386">
        <f t="shared" si="144"/>
        <v>0</v>
      </c>
      <c r="BX341" s="4387"/>
      <c r="BY341" s="4387"/>
      <c r="BZ341" s="4387"/>
      <c r="CA341" s="4391" t="str">
        <f>VLOOKUP(D341&amp;G341&amp;H341&amp;I341,'9298 版本变更明细'!C:AJ,34,FALSE)</f>
        <v>A版本口水胶+C版本配件包（香味贴纸/指定配件）</v>
      </c>
      <c r="CC341" s="4392"/>
      <c r="CD341" s="4391"/>
    </row>
    <row r="342" s="4025" customFormat="1" ht="50" customHeight="1" spans="1:82">
      <c r="A342" s="3688">
        <v>45797</v>
      </c>
      <c r="B342" s="3689" t="s">
        <v>1331</v>
      </c>
      <c r="C342" s="3664" t="s">
        <v>1332</v>
      </c>
      <c r="D342" s="3690">
        <v>4500167152</v>
      </c>
      <c r="E342" s="3664" t="s">
        <v>1333</v>
      </c>
      <c r="F342" s="3690" t="s">
        <v>3920</v>
      </c>
      <c r="G342" s="3664" t="s">
        <v>2577</v>
      </c>
      <c r="H342" s="3664" t="s">
        <v>2578</v>
      </c>
      <c r="I342" s="3691">
        <v>360</v>
      </c>
      <c r="J342" s="3691">
        <v>0</v>
      </c>
      <c r="K342" s="3691">
        <v>12</v>
      </c>
      <c r="L342" s="3691">
        <f t="shared" si="140"/>
        <v>30</v>
      </c>
      <c r="M342" s="3659">
        <v>45831</v>
      </c>
      <c r="N342" s="3659">
        <v>45827</v>
      </c>
      <c r="O342" s="4085"/>
      <c r="P342" s="3691" t="s">
        <v>82</v>
      </c>
      <c r="Q342" s="3691"/>
      <c r="R342" s="4094"/>
      <c r="S342" s="4094"/>
      <c r="T342" s="4094"/>
      <c r="U342" s="3620" t="s">
        <v>1335</v>
      </c>
      <c r="V342" s="3649" t="s">
        <v>1336</v>
      </c>
      <c r="W342" s="3657"/>
      <c r="X342" s="3657" t="s">
        <v>1337</v>
      </c>
      <c r="Y342" s="3657"/>
      <c r="Z342" s="3691"/>
      <c r="AA342" s="3620" t="s">
        <v>3921</v>
      </c>
      <c r="AB342" s="3691" t="s">
        <v>459</v>
      </c>
      <c r="AC342" s="3691">
        <v>2.1438</v>
      </c>
      <c r="AD342" s="3691">
        <f t="shared" ref="AD342:AD362" si="147">AC342*I342</f>
        <v>771.768</v>
      </c>
      <c r="AE342" s="3645"/>
      <c r="AF342" s="3664" t="s">
        <v>2604</v>
      </c>
      <c r="AG342" s="3645" t="s">
        <v>416</v>
      </c>
      <c r="AH342" s="3664"/>
      <c r="AI342" s="3691"/>
      <c r="AJ342" s="3691"/>
      <c r="AK342" s="3664"/>
      <c r="AL342" s="3664">
        <f>I342</f>
        <v>360</v>
      </c>
      <c r="AM342" s="3664"/>
      <c r="AN342" s="3691"/>
      <c r="AO342" s="3691">
        <f t="shared" ref="AO342:AO353" si="148">I342</f>
        <v>360</v>
      </c>
      <c r="AP342" s="3691"/>
      <c r="AQ342" s="4089"/>
      <c r="AR342" s="4089"/>
      <c r="AS342" s="4089">
        <f t="shared" si="146"/>
        <v>360</v>
      </c>
      <c r="AT342" s="4089"/>
      <c r="AU342" s="4089"/>
      <c r="AV342" s="4089">
        <f>I342/6</f>
        <v>60</v>
      </c>
      <c r="AW342" s="4089"/>
      <c r="AX342" s="4089"/>
      <c r="AY342" s="4089"/>
      <c r="AZ342" s="4089"/>
      <c r="BA342" s="4089"/>
      <c r="BB342" s="4089"/>
      <c r="BC342" s="4089"/>
      <c r="BD342" s="4089"/>
      <c r="BE342" s="4089"/>
      <c r="BF342" s="4089" t="s">
        <v>89</v>
      </c>
      <c r="BG342" s="4089"/>
      <c r="BH342" s="4089">
        <f t="shared" si="128"/>
        <v>60</v>
      </c>
      <c r="BI342" s="4089">
        <f t="shared" si="129"/>
        <v>60</v>
      </c>
      <c r="BJ342" s="4089">
        <f t="shared" si="130"/>
        <v>60</v>
      </c>
      <c r="BK342" s="4089">
        <f t="shared" si="131"/>
        <v>60</v>
      </c>
      <c r="BL342" s="4089">
        <f t="shared" si="132"/>
        <v>60</v>
      </c>
      <c r="BM342" s="4089">
        <f t="shared" si="133"/>
        <v>48</v>
      </c>
      <c r="BN342" s="4089">
        <f t="shared" si="134"/>
        <v>12</v>
      </c>
      <c r="BO342" s="4411"/>
      <c r="BP342" s="4411"/>
      <c r="BQ342" s="4411"/>
      <c r="BR342" s="4411"/>
      <c r="BS342" s="4411"/>
      <c r="BT342" s="4453"/>
      <c r="BU342" s="4454"/>
      <c r="BV342" s="4385">
        <f t="shared" si="141"/>
        <v>360</v>
      </c>
      <c r="BW342" s="4386">
        <f t="shared" si="144"/>
        <v>0</v>
      </c>
      <c r="BX342" s="4387"/>
      <c r="BY342" s="4387"/>
      <c r="BZ342" s="4387"/>
      <c r="CA342" s="4391" t="str">
        <f>VLOOKUP(D342&amp;G342&amp;H342&amp;I342,'9298 版本变更明细'!C:AJ,34,FALSE)</f>
        <v>B版本膜+A版本指南+口水胶+C版本配件包（香味贴纸/指定配件）</v>
      </c>
      <c r="CC342" s="4392"/>
      <c r="CD342" s="4391"/>
    </row>
    <row r="343" s="4025" customFormat="1" ht="50" customHeight="1" spans="1:82">
      <c r="A343" s="3688">
        <v>45786</v>
      </c>
      <c r="B343" s="3689" t="s">
        <v>3922</v>
      </c>
      <c r="C343" s="3664" t="s">
        <v>506</v>
      </c>
      <c r="D343" s="3690">
        <v>4500165860</v>
      </c>
      <c r="E343" s="3664">
        <v>20825697</v>
      </c>
      <c r="F343" s="3690" t="s">
        <v>3923</v>
      </c>
      <c r="G343" s="3664" t="s">
        <v>2577</v>
      </c>
      <c r="H343" s="3664" t="s">
        <v>2578</v>
      </c>
      <c r="I343" s="3691">
        <v>1500</v>
      </c>
      <c r="J343" s="3691">
        <v>0</v>
      </c>
      <c r="K343" s="3691">
        <v>12</v>
      </c>
      <c r="L343" s="3691">
        <f t="shared" si="140"/>
        <v>125</v>
      </c>
      <c r="M343" s="3659">
        <v>45831</v>
      </c>
      <c r="N343" s="3659">
        <v>45827</v>
      </c>
      <c r="O343" s="4085"/>
      <c r="P343" s="3691" t="s">
        <v>82</v>
      </c>
      <c r="Q343" s="3691"/>
      <c r="R343" s="4094"/>
      <c r="S343" s="4094"/>
      <c r="T343" s="4094"/>
      <c r="U343" s="3645" t="s">
        <v>3924</v>
      </c>
      <c r="V343" s="3649" t="s">
        <v>3925</v>
      </c>
      <c r="W343" s="3657"/>
      <c r="X343" s="3657" t="s">
        <v>3926</v>
      </c>
      <c r="Y343" s="3657"/>
      <c r="Z343" s="3691"/>
      <c r="AA343" s="3620" t="s">
        <v>3927</v>
      </c>
      <c r="AB343" s="3691" t="s">
        <v>3928</v>
      </c>
      <c r="AC343" s="3691">
        <v>2.2463</v>
      </c>
      <c r="AD343" s="3691">
        <f t="shared" si="147"/>
        <v>3369.45</v>
      </c>
      <c r="AE343" s="3645"/>
      <c r="AF343" s="3664" t="s">
        <v>2577</v>
      </c>
      <c r="AG343" s="3645" t="s">
        <v>416</v>
      </c>
      <c r="AH343" s="3664"/>
      <c r="AI343" s="3691">
        <f>I343</f>
        <v>1500</v>
      </c>
      <c r="AJ343" s="3691"/>
      <c r="AK343" s="3664"/>
      <c r="AL343" s="3664"/>
      <c r="AM343" s="3664"/>
      <c r="AN343" s="3691"/>
      <c r="AO343" s="3691">
        <f t="shared" si="148"/>
        <v>1500</v>
      </c>
      <c r="AP343" s="3691"/>
      <c r="AQ343" s="4089"/>
      <c r="AR343" s="4089"/>
      <c r="AS343" s="4089">
        <f t="shared" si="146"/>
        <v>1500</v>
      </c>
      <c r="AT343" s="4089"/>
      <c r="AU343" s="4089"/>
      <c r="AV343" s="4089">
        <f>I343/6</f>
        <v>250</v>
      </c>
      <c r="AW343" s="4089"/>
      <c r="AX343" s="4089"/>
      <c r="AY343" s="4089"/>
      <c r="AZ343" s="4089"/>
      <c r="BA343" s="4089"/>
      <c r="BB343" s="4089"/>
      <c r="BC343" s="4089"/>
      <c r="BD343" s="4089"/>
      <c r="BE343" s="4089"/>
      <c r="BF343" s="4089" t="s">
        <v>89</v>
      </c>
      <c r="BG343" s="4089"/>
      <c r="BH343" s="4089">
        <f t="shared" si="128"/>
        <v>250</v>
      </c>
      <c r="BI343" s="4089">
        <f t="shared" si="129"/>
        <v>250</v>
      </c>
      <c r="BJ343" s="4089">
        <f t="shared" si="130"/>
        <v>250</v>
      </c>
      <c r="BK343" s="4089">
        <f t="shared" si="131"/>
        <v>250</v>
      </c>
      <c r="BL343" s="4089">
        <f t="shared" si="132"/>
        <v>250</v>
      </c>
      <c r="BM343" s="4089">
        <f t="shared" si="133"/>
        <v>200</v>
      </c>
      <c r="BN343" s="4089">
        <f t="shared" si="134"/>
        <v>50</v>
      </c>
      <c r="BO343" s="4411"/>
      <c r="BP343" s="4411"/>
      <c r="BQ343" s="4411"/>
      <c r="BR343" s="4411"/>
      <c r="BS343" s="4411"/>
      <c r="BT343" s="4453"/>
      <c r="BU343" s="4454"/>
      <c r="BV343" s="4385">
        <f t="shared" si="141"/>
        <v>1500</v>
      </c>
      <c r="BW343" s="4386">
        <f t="shared" si="144"/>
        <v>0</v>
      </c>
      <c r="BX343" s="4387"/>
      <c r="BY343" s="4387"/>
      <c r="BZ343" s="4387"/>
      <c r="CA343" s="4391" t="str">
        <f>VLOOKUP(D343&amp;G343&amp;H343&amp;I343,'9298 版本变更明细'!C:AJ,34,FALSE)</f>
        <v>B版本膜+A版本指南+口水胶+C版本配件包（香味贴纸/指定配件）</v>
      </c>
      <c r="CC343" s="4392"/>
      <c r="CD343" s="4391"/>
    </row>
    <row r="344" s="4025" customFormat="1" ht="50" customHeight="1" spans="1:82">
      <c r="A344" s="3688">
        <v>45789</v>
      </c>
      <c r="B344" s="3689" t="s">
        <v>3929</v>
      </c>
      <c r="C344" s="3664" t="s">
        <v>91</v>
      </c>
      <c r="D344" s="3690">
        <v>4500168889</v>
      </c>
      <c r="E344" s="3664">
        <v>217111784</v>
      </c>
      <c r="F344" s="3690" t="s">
        <v>3930</v>
      </c>
      <c r="G344" s="3664" t="s">
        <v>2590</v>
      </c>
      <c r="H344" s="3664" t="s">
        <v>2591</v>
      </c>
      <c r="I344" s="3691">
        <v>2088</v>
      </c>
      <c r="J344" s="3691">
        <v>0</v>
      </c>
      <c r="K344" s="3691">
        <v>6</v>
      </c>
      <c r="L344" s="3691">
        <f t="shared" si="140"/>
        <v>348</v>
      </c>
      <c r="M344" s="3659">
        <v>45832</v>
      </c>
      <c r="N344" s="3659">
        <v>45828</v>
      </c>
      <c r="O344" s="3682" t="s">
        <v>3931</v>
      </c>
      <c r="P344" s="3691" t="s">
        <v>82</v>
      </c>
      <c r="Q344" s="3691"/>
      <c r="R344" s="4094"/>
      <c r="S344" s="4094"/>
      <c r="T344" s="4094"/>
      <c r="U344" s="3645"/>
      <c r="V344" s="3649" t="s">
        <v>1273</v>
      </c>
      <c r="W344" s="3657"/>
      <c r="X344" s="3657" t="s">
        <v>98</v>
      </c>
      <c r="Y344" s="3657"/>
      <c r="Z344" s="3691"/>
      <c r="AA344" s="3620" t="s">
        <v>3932</v>
      </c>
      <c r="AB344" s="3691" t="s">
        <v>3933</v>
      </c>
      <c r="AC344" s="3691">
        <v>1.3595</v>
      </c>
      <c r="AD344" s="3691">
        <f t="shared" si="147"/>
        <v>2838.636</v>
      </c>
      <c r="AE344" s="3645" t="s">
        <v>3934</v>
      </c>
      <c r="AF344" s="3664" t="s">
        <v>2590</v>
      </c>
      <c r="AG344" s="3645" t="s">
        <v>416</v>
      </c>
      <c r="AH344" s="3664"/>
      <c r="AI344" s="3664">
        <f>I344</f>
        <v>2088</v>
      </c>
      <c r="AJ344" s="3664"/>
      <c r="AK344" s="3664"/>
      <c r="AL344" s="3664"/>
      <c r="AM344" s="3664"/>
      <c r="AN344" s="3691"/>
      <c r="AO344" s="3691">
        <f t="shared" si="148"/>
        <v>2088</v>
      </c>
      <c r="AP344" s="3691"/>
      <c r="AQ344" s="4089"/>
      <c r="AR344" s="4089"/>
      <c r="AS344" s="4089">
        <f t="shared" si="146"/>
        <v>2088</v>
      </c>
      <c r="AT344" s="4089"/>
      <c r="AU344" s="4089"/>
      <c r="AV344" s="4089">
        <f>I344/6</f>
        <v>348</v>
      </c>
      <c r="AW344" s="4089"/>
      <c r="AX344" s="4089"/>
      <c r="AY344" s="4089"/>
      <c r="AZ344" s="4089"/>
      <c r="BA344" s="4089"/>
      <c r="BB344" s="4089"/>
      <c r="BC344" s="4089"/>
      <c r="BD344" s="4089"/>
      <c r="BE344" s="4089"/>
      <c r="BF344" s="4089" t="s">
        <v>89</v>
      </c>
      <c r="BG344" s="4089"/>
      <c r="BH344" s="4089">
        <f t="shared" si="128"/>
        <v>348</v>
      </c>
      <c r="BI344" s="4089">
        <f t="shared" si="129"/>
        <v>348</v>
      </c>
      <c r="BJ344" s="4089">
        <f t="shared" si="130"/>
        <v>348</v>
      </c>
      <c r="BK344" s="4403">
        <f t="shared" si="131"/>
        <v>348</v>
      </c>
      <c r="BL344" s="4385">
        <f t="shared" si="132"/>
        <v>348</v>
      </c>
      <c r="BM344" s="4403">
        <f t="shared" si="133"/>
        <v>278.4</v>
      </c>
      <c r="BN344" s="4089">
        <f t="shared" si="134"/>
        <v>69.6</v>
      </c>
      <c r="BO344" s="4089"/>
      <c r="BP344" s="4089"/>
      <c r="BQ344" s="4089"/>
      <c r="BR344" s="4089"/>
      <c r="BS344" s="4089"/>
      <c r="BT344" s="4404"/>
      <c r="BU344" s="4403"/>
      <c r="BV344" s="4385">
        <f t="shared" si="141"/>
        <v>2088</v>
      </c>
      <c r="BW344" s="4386">
        <f t="shared" si="144"/>
        <v>0</v>
      </c>
      <c r="BX344" s="4387"/>
      <c r="BY344" s="4387"/>
      <c r="BZ344" s="4387"/>
      <c r="CA344" s="4391" t="str">
        <f>VLOOKUP(D344&amp;G344&amp;H344&amp;I344,'9298 版本变更明细'!C:AJ,34,FALSE)</f>
        <v>B版本膜+A版本指南+口水胶+C版本配件包（香味贴纸/指定配件）</v>
      </c>
      <c r="CC344" s="4392"/>
      <c r="CD344" s="4391"/>
    </row>
    <row r="345" s="4025" customFormat="1" ht="50" customHeight="1" spans="1:82">
      <c r="A345" s="3688">
        <v>45789</v>
      </c>
      <c r="B345" s="3689" t="s">
        <v>3929</v>
      </c>
      <c r="C345" s="3664" t="s">
        <v>91</v>
      </c>
      <c r="D345" s="3690">
        <v>4500168832</v>
      </c>
      <c r="E345" s="3664">
        <v>217111822</v>
      </c>
      <c r="F345" s="3690" t="s">
        <v>3935</v>
      </c>
      <c r="G345" s="3664" t="s">
        <v>2590</v>
      </c>
      <c r="H345" s="3664" t="s">
        <v>2591</v>
      </c>
      <c r="I345" s="3691">
        <v>1128</v>
      </c>
      <c r="J345" s="3691">
        <v>0</v>
      </c>
      <c r="K345" s="3691">
        <v>6</v>
      </c>
      <c r="L345" s="3691">
        <f t="shared" si="140"/>
        <v>188</v>
      </c>
      <c r="M345" s="3659">
        <v>45832</v>
      </c>
      <c r="N345" s="3659">
        <v>45828</v>
      </c>
      <c r="O345" s="3682" t="s">
        <v>3936</v>
      </c>
      <c r="P345" s="3691" t="s">
        <v>82</v>
      </c>
      <c r="Q345" s="3691"/>
      <c r="R345" s="4094"/>
      <c r="S345" s="4094"/>
      <c r="T345" s="4094"/>
      <c r="U345" s="3645" t="s">
        <v>3801</v>
      </c>
      <c r="V345" s="3649" t="s">
        <v>1273</v>
      </c>
      <c r="W345" s="3657"/>
      <c r="X345" s="3657" t="s">
        <v>98</v>
      </c>
      <c r="Y345" s="3657"/>
      <c r="Z345" s="3691"/>
      <c r="AA345" s="3620" t="s">
        <v>3932</v>
      </c>
      <c r="AB345" s="3691" t="s">
        <v>3933</v>
      </c>
      <c r="AC345" s="3691">
        <v>1.3595</v>
      </c>
      <c r="AD345" s="3691">
        <f t="shared" si="147"/>
        <v>1533.516</v>
      </c>
      <c r="AE345" s="3645" t="s">
        <v>3937</v>
      </c>
      <c r="AF345" s="3664" t="s">
        <v>2590</v>
      </c>
      <c r="AG345" s="3645" t="s">
        <v>416</v>
      </c>
      <c r="AH345" s="3664"/>
      <c r="AI345" s="3664">
        <f>I345</f>
        <v>1128</v>
      </c>
      <c r="AJ345" s="3664"/>
      <c r="AK345" s="3664"/>
      <c r="AL345" s="3664"/>
      <c r="AM345" s="3664"/>
      <c r="AN345" s="3691"/>
      <c r="AO345" s="3691">
        <f t="shared" si="148"/>
        <v>1128</v>
      </c>
      <c r="AP345" s="3691"/>
      <c r="AQ345" s="4089"/>
      <c r="AR345" s="4089"/>
      <c r="AS345" s="4089">
        <f t="shared" si="146"/>
        <v>1128</v>
      </c>
      <c r="AT345" s="4089"/>
      <c r="AU345" s="4089"/>
      <c r="AV345" s="4089">
        <f>I345/6</f>
        <v>188</v>
      </c>
      <c r="AW345" s="4089"/>
      <c r="AX345" s="4089"/>
      <c r="AY345" s="4089"/>
      <c r="AZ345" s="4089"/>
      <c r="BA345" s="4089"/>
      <c r="BB345" s="4089"/>
      <c r="BC345" s="4089"/>
      <c r="BD345" s="4089"/>
      <c r="BE345" s="4089"/>
      <c r="BF345" s="4089" t="s">
        <v>89</v>
      </c>
      <c r="BG345" s="4089"/>
      <c r="BH345" s="4089">
        <f>I345/60*10</f>
        <v>188</v>
      </c>
      <c r="BI345" s="4089">
        <f>I345/60*10</f>
        <v>188</v>
      </c>
      <c r="BJ345" s="4089">
        <f>I345/60*10</f>
        <v>188</v>
      </c>
      <c r="BK345" s="4403">
        <f>I345/60*10</f>
        <v>188</v>
      </c>
      <c r="BL345" s="4385">
        <f>I345/60*10</f>
        <v>188</v>
      </c>
      <c r="BM345" s="4403">
        <f>I345/60*8</f>
        <v>150.4</v>
      </c>
      <c r="BN345" s="4089">
        <f>I345/60*2</f>
        <v>37.6</v>
      </c>
      <c r="BO345" s="4089"/>
      <c r="BP345" s="4089"/>
      <c r="BQ345" s="4089"/>
      <c r="BR345" s="4089"/>
      <c r="BS345" s="4089"/>
      <c r="BT345" s="4404"/>
      <c r="BU345" s="4403"/>
      <c r="BV345" s="4385">
        <f t="shared" si="141"/>
        <v>1128</v>
      </c>
      <c r="BW345" s="4386">
        <f t="shared" si="144"/>
        <v>0</v>
      </c>
      <c r="BX345" s="4387"/>
      <c r="BY345" s="4387"/>
      <c r="BZ345" s="4387"/>
      <c r="CA345" s="4391" t="str">
        <f>VLOOKUP(D345&amp;G345&amp;H345&amp;I345,'9298 版本变更明细'!C:AJ,34,FALSE)</f>
        <v>B版本膜+A版本指南+口水胶+C版本配件包（香味贴纸/指定配件）</v>
      </c>
      <c r="CC345" s="4392"/>
      <c r="CD345" s="4391"/>
    </row>
    <row r="346" s="4025" customFormat="1" ht="50" customHeight="1" spans="1:82">
      <c r="A346" s="3688">
        <v>45796</v>
      </c>
      <c r="B346" s="3689" t="s">
        <v>3542</v>
      </c>
      <c r="C346" s="3664" t="s">
        <v>471</v>
      </c>
      <c r="D346" s="3690">
        <v>4500166868</v>
      </c>
      <c r="E346" s="3664" t="s">
        <v>3938</v>
      </c>
      <c r="F346" s="3690" t="s">
        <v>3939</v>
      </c>
      <c r="G346" s="3664" t="s">
        <v>3545</v>
      </c>
      <c r="H346" s="3664" t="s">
        <v>2620</v>
      </c>
      <c r="I346" s="3691">
        <v>504</v>
      </c>
      <c r="J346" s="3691">
        <v>0</v>
      </c>
      <c r="K346" s="3691">
        <v>12</v>
      </c>
      <c r="L346" s="3691">
        <f t="shared" si="140"/>
        <v>42</v>
      </c>
      <c r="M346" s="3659">
        <v>45834</v>
      </c>
      <c r="N346" s="3659">
        <v>45831</v>
      </c>
      <c r="O346" s="3682"/>
      <c r="P346" s="3691" t="s">
        <v>82</v>
      </c>
      <c r="Q346" s="3691"/>
      <c r="R346" s="4094"/>
      <c r="S346" s="4094"/>
      <c r="T346" s="4094"/>
      <c r="U346" s="4395" t="s">
        <v>3940</v>
      </c>
      <c r="V346" s="3649" t="s">
        <v>1349</v>
      </c>
      <c r="W346" s="3657"/>
      <c r="X346" s="3657" t="s">
        <v>3941</v>
      </c>
      <c r="Y346" s="3657" t="s">
        <v>3942</v>
      </c>
      <c r="Z346" s="3691"/>
      <c r="AA346" s="3620" t="s">
        <v>3943</v>
      </c>
      <c r="AB346" s="3691" t="s">
        <v>2878</v>
      </c>
      <c r="AC346" s="3691">
        <v>2.1892</v>
      </c>
      <c r="AD346" s="3691">
        <f t="shared" si="147"/>
        <v>1103.3568</v>
      </c>
      <c r="AE346" s="4471" t="s">
        <v>3944</v>
      </c>
      <c r="AF346" s="3664" t="s">
        <v>3549</v>
      </c>
      <c r="AG346" s="3645" t="s">
        <v>416</v>
      </c>
      <c r="AH346" s="3664"/>
      <c r="AI346" s="3691"/>
      <c r="AJ346" s="3691"/>
      <c r="AK346" s="3664"/>
      <c r="AL346" s="3664">
        <f t="shared" ref="AL346:AL353" si="149">I346</f>
        <v>504</v>
      </c>
      <c r="AM346" s="3664"/>
      <c r="AN346" s="3691"/>
      <c r="AO346" s="3691">
        <f t="shared" si="148"/>
        <v>504</v>
      </c>
      <c r="AP346" s="3691"/>
      <c r="AQ346" s="4089"/>
      <c r="AR346" s="4089"/>
      <c r="AS346" s="4089"/>
      <c r="AT346" s="4089"/>
      <c r="AU346" s="4089">
        <f t="shared" ref="AU346:AU353" si="150">I346</f>
        <v>504</v>
      </c>
      <c r="AV346" s="4089"/>
      <c r="AW346" s="4089"/>
      <c r="AX346" s="4089">
        <f>I346/6</f>
        <v>84</v>
      </c>
      <c r="AY346" s="4089"/>
      <c r="AZ346" s="4089"/>
      <c r="BA346" s="4089"/>
      <c r="BB346" s="4089"/>
      <c r="BC346" s="4089"/>
      <c r="BD346" s="4089"/>
      <c r="BE346" s="4089"/>
      <c r="BF346" s="4089" t="s">
        <v>89</v>
      </c>
      <c r="BG346" s="4089"/>
      <c r="BH346" s="4089">
        <f>I346/60*10</f>
        <v>84</v>
      </c>
      <c r="BI346" s="4089">
        <f>I346/60*10</f>
        <v>84</v>
      </c>
      <c r="BJ346" s="4089">
        <f>I346/60*10</f>
        <v>84</v>
      </c>
      <c r="BK346" s="4089">
        <f>I346/60*10</f>
        <v>84</v>
      </c>
      <c r="BL346" s="4089">
        <f>I346/60*10</f>
        <v>84</v>
      </c>
      <c r="BM346" s="4089">
        <f>I346/60*8</f>
        <v>67.2</v>
      </c>
      <c r="BN346" s="4089">
        <f>I346/60*2</f>
        <v>16.8</v>
      </c>
      <c r="BO346" s="4463"/>
      <c r="BP346" s="4463"/>
      <c r="BQ346" s="4463"/>
      <c r="BR346" s="4463"/>
      <c r="BS346" s="4463"/>
      <c r="BT346" s="4464"/>
      <c r="BU346" s="4465"/>
      <c r="BV346" s="4385">
        <f t="shared" si="141"/>
        <v>504</v>
      </c>
      <c r="BW346" s="4386">
        <f t="shared" si="144"/>
        <v>0</v>
      </c>
      <c r="BX346" s="4387"/>
      <c r="BY346" s="4387"/>
      <c r="BZ346" s="4387"/>
      <c r="CA346" s="4391" t="str">
        <f>VLOOKUP(D346&amp;G346&amp;H346&amp;I346,'9298 版本变更明细'!C:AJ,34,FALSE)</f>
        <v>B版本膜+A版本指南+口水胶+C版本配件包（香味贴纸/指定配件）</v>
      </c>
      <c r="CC346" s="4392"/>
      <c r="CD346" s="4391"/>
    </row>
    <row r="347" s="4025" customFormat="1" ht="50" customHeight="1" spans="1:82">
      <c r="A347" s="3688">
        <v>45798</v>
      </c>
      <c r="B347" s="4080" t="s">
        <v>1016</v>
      </c>
      <c r="C347" s="3664" t="s">
        <v>396</v>
      </c>
      <c r="D347" s="3690">
        <v>4500167361</v>
      </c>
      <c r="E347" s="3664" t="s">
        <v>3945</v>
      </c>
      <c r="F347" s="3690" t="s">
        <v>3946</v>
      </c>
      <c r="G347" s="3664" t="s">
        <v>2666</v>
      </c>
      <c r="H347" s="3664" t="s">
        <v>2667</v>
      </c>
      <c r="I347" s="3691">
        <v>36</v>
      </c>
      <c r="J347" s="3691">
        <v>0</v>
      </c>
      <c r="K347" s="3691">
        <v>12</v>
      </c>
      <c r="L347" s="3691">
        <f t="shared" si="140"/>
        <v>3</v>
      </c>
      <c r="M347" s="3659">
        <v>45834</v>
      </c>
      <c r="N347" s="3659">
        <v>45831</v>
      </c>
      <c r="O347" s="4457"/>
      <c r="P347" s="3682" t="s">
        <v>82</v>
      </c>
      <c r="Q347" s="3682"/>
      <c r="R347" s="4083"/>
      <c r="S347" s="4083"/>
      <c r="T347" s="4083"/>
      <c r="U347" s="4395" t="s">
        <v>3947</v>
      </c>
      <c r="V347" s="3649" t="s">
        <v>1349</v>
      </c>
      <c r="W347" s="3657"/>
      <c r="X347" s="3657" t="s">
        <v>3948</v>
      </c>
      <c r="Y347" s="3657"/>
      <c r="Z347" s="3691"/>
      <c r="AA347" s="3620" t="s">
        <v>3949</v>
      </c>
      <c r="AB347" s="3691" t="s">
        <v>369</v>
      </c>
      <c r="AC347" s="3691">
        <v>2.0433</v>
      </c>
      <c r="AD347" s="3691">
        <f t="shared" si="147"/>
        <v>73.5588</v>
      </c>
      <c r="AE347" s="3645"/>
      <c r="AF347" s="3664" t="s">
        <v>2666</v>
      </c>
      <c r="AG347" s="3645" t="s">
        <v>416</v>
      </c>
      <c r="AH347" s="875"/>
      <c r="AI347" s="3691"/>
      <c r="AJ347" s="3691"/>
      <c r="AK347" s="875"/>
      <c r="AL347" s="3664">
        <f t="shared" si="149"/>
        <v>36</v>
      </c>
      <c r="AM347" s="3664"/>
      <c r="AN347" s="3691"/>
      <c r="AO347" s="3691">
        <f t="shared" si="148"/>
        <v>36</v>
      </c>
      <c r="AP347" s="3691"/>
      <c r="AQ347" s="4089"/>
      <c r="AR347" s="878"/>
      <c r="AS347" s="4089"/>
      <c r="AT347" s="878"/>
      <c r="AU347" s="4089">
        <f t="shared" si="150"/>
        <v>36</v>
      </c>
      <c r="AV347" s="4089"/>
      <c r="AW347" s="4089"/>
      <c r="AX347" s="4089"/>
      <c r="AY347" s="4089"/>
      <c r="AZ347" s="4089"/>
      <c r="BA347" s="4089"/>
      <c r="BB347" s="4089"/>
      <c r="BC347" s="4089"/>
      <c r="BD347" s="4089"/>
      <c r="BE347" s="4089"/>
      <c r="BF347" s="4089" t="s">
        <v>89</v>
      </c>
      <c r="BG347" s="4089"/>
      <c r="BH347" s="4089"/>
      <c r="BI347" s="4089"/>
      <c r="BJ347" s="4089"/>
      <c r="BK347" s="4089"/>
      <c r="BL347" s="4089"/>
      <c r="BM347" s="4089">
        <f>I347-BN347</f>
        <v>35.4</v>
      </c>
      <c r="BN347" s="4089">
        <f t="shared" ref="BN347:BN353" si="151">I347/60*1</f>
        <v>0.6</v>
      </c>
      <c r="BO347" s="877"/>
      <c r="BP347" s="877"/>
      <c r="BQ347" s="877"/>
      <c r="BR347" s="877"/>
      <c r="BS347" s="877"/>
      <c r="BT347" s="991"/>
      <c r="BU347" s="911"/>
      <c r="BV347" s="4385">
        <f t="shared" si="141"/>
        <v>36</v>
      </c>
      <c r="BW347" s="4386">
        <f t="shared" si="144"/>
        <v>0</v>
      </c>
      <c r="BX347" s="4387"/>
      <c r="BY347" s="4387"/>
      <c r="BZ347" s="4387"/>
      <c r="CA347" s="4391" t="str">
        <f>VLOOKUP(D347&amp;G347&amp;H347&amp;I347,'9298 版本变更明细'!C:AJ,34,FALSE)</f>
        <v>B版本膜+A版本指南+口水胶+C版本配件包（香味贴纸/指定配件）</v>
      </c>
      <c r="CB347" s="4025" t="s">
        <v>3950</v>
      </c>
      <c r="CC347" s="4392"/>
      <c r="CD347" s="4391"/>
    </row>
    <row r="348" s="4025" customFormat="1" ht="50" customHeight="1" spans="1:82">
      <c r="A348" s="3688">
        <v>45798</v>
      </c>
      <c r="B348" s="3689" t="s">
        <v>1016</v>
      </c>
      <c r="C348" s="3664" t="s">
        <v>396</v>
      </c>
      <c r="D348" s="3690">
        <v>4500167361</v>
      </c>
      <c r="E348" s="3664" t="s">
        <v>3951</v>
      </c>
      <c r="F348" s="3690" t="s">
        <v>3952</v>
      </c>
      <c r="G348" s="3664" t="s">
        <v>2666</v>
      </c>
      <c r="H348" s="3664" t="s">
        <v>2667</v>
      </c>
      <c r="I348" s="3691">
        <v>36</v>
      </c>
      <c r="J348" s="3691">
        <v>0</v>
      </c>
      <c r="K348" s="3691">
        <v>12</v>
      </c>
      <c r="L348" s="3691">
        <f t="shared" si="140"/>
        <v>3</v>
      </c>
      <c r="M348" s="3659">
        <v>45834</v>
      </c>
      <c r="N348" s="3659">
        <v>45831</v>
      </c>
      <c r="O348" s="4457"/>
      <c r="P348" s="3682" t="s">
        <v>82</v>
      </c>
      <c r="Q348" s="3682"/>
      <c r="R348" s="4083"/>
      <c r="S348" s="4083"/>
      <c r="T348" s="4083"/>
      <c r="U348" s="4395" t="s">
        <v>3947</v>
      </c>
      <c r="V348" s="3649" t="s">
        <v>1349</v>
      </c>
      <c r="W348" s="3657"/>
      <c r="X348" s="3657" t="s">
        <v>3948</v>
      </c>
      <c r="Y348" s="3657"/>
      <c r="Z348" s="3691"/>
      <c r="AA348" s="3620" t="s">
        <v>3949</v>
      </c>
      <c r="AB348" s="3691" t="s">
        <v>369</v>
      </c>
      <c r="AC348" s="3691">
        <v>2.0433</v>
      </c>
      <c r="AD348" s="3691">
        <f t="shared" si="147"/>
        <v>73.5588</v>
      </c>
      <c r="AE348" s="3645"/>
      <c r="AF348" s="3664" t="s">
        <v>2666</v>
      </c>
      <c r="AG348" s="3645" t="s">
        <v>416</v>
      </c>
      <c r="AH348" s="875"/>
      <c r="AI348" s="3691"/>
      <c r="AJ348" s="3691"/>
      <c r="AK348" s="875"/>
      <c r="AL348" s="3664">
        <f t="shared" si="149"/>
        <v>36</v>
      </c>
      <c r="AM348" s="3664"/>
      <c r="AN348" s="3691"/>
      <c r="AO348" s="3691">
        <f t="shared" si="148"/>
        <v>36</v>
      </c>
      <c r="AP348" s="3691"/>
      <c r="AQ348" s="4089"/>
      <c r="AR348" s="878"/>
      <c r="AS348" s="4089"/>
      <c r="AT348" s="878"/>
      <c r="AU348" s="4089">
        <f t="shared" si="150"/>
        <v>36</v>
      </c>
      <c r="AV348" s="4089"/>
      <c r="AW348" s="4089"/>
      <c r="AX348" s="4089"/>
      <c r="AY348" s="4089"/>
      <c r="AZ348" s="4089"/>
      <c r="BA348" s="4089"/>
      <c r="BB348" s="4089"/>
      <c r="BC348" s="4089"/>
      <c r="BD348" s="4089"/>
      <c r="BE348" s="4089"/>
      <c r="BF348" s="4089" t="s">
        <v>89</v>
      </c>
      <c r="BG348" s="4089"/>
      <c r="BH348" s="4089"/>
      <c r="BI348" s="4089"/>
      <c r="BJ348" s="4089"/>
      <c r="BK348" s="4089"/>
      <c r="BL348" s="4089"/>
      <c r="BM348" s="4089">
        <f>I348-BN348</f>
        <v>35.4</v>
      </c>
      <c r="BN348" s="4089">
        <f t="shared" si="151"/>
        <v>0.6</v>
      </c>
      <c r="BO348" s="877"/>
      <c r="BP348" s="877"/>
      <c r="BQ348" s="877"/>
      <c r="BR348" s="877"/>
      <c r="BS348" s="877"/>
      <c r="BT348" s="991"/>
      <c r="BU348" s="911"/>
      <c r="BV348" s="4385">
        <f t="shared" si="141"/>
        <v>36</v>
      </c>
      <c r="BW348" s="4386">
        <f t="shared" si="144"/>
        <v>0</v>
      </c>
      <c r="BX348" s="4387"/>
      <c r="BY348" s="4387"/>
      <c r="BZ348" s="4387"/>
      <c r="CA348" s="4391" t="str">
        <f>VLOOKUP(D348&amp;G348&amp;H348&amp;I348,'9298 版本变更明细'!C:AJ,34,FALSE)</f>
        <v>B版本膜+A版本指南+口水胶+C版本配件包（香味贴纸/指定配件）</v>
      </c>
      <c r="CB348" s="4025" t="s">
        <v>3950</v>
      </c>
      <c r="CC348" s="4392"/>
      <c r="CD348" s="4391"/>
    </row>
    <row r="349" s="4025" customFormat="1" ht="50" customHeight="1" spans="1:82">
      <c r="A349" s="3688">
        <v>45798</v>
      </c>
      <c r="B349" s="3689" t="s">
        <v>1016</v>
      </c>
      <c r="C349" s="3664" t="s">
        <v>396</v>
      </c>
      <c r="D349" s="3690">
        <v>4500167361</v>
      </c>
      <c r="E349" s="3664" t="s">
        <v>3953</v>
      </c>
      <c r="F349" s="3690" t="s">
        <v>3954</v>
      </c>
      <c r="G349" s="3664" t="s">
        <v>2680</v>
      </c>
      <c r="H349" s="3664" t="s">
        <v>2632</v>
      </c>
      <c r="I349" s="3691">
        <v>12</v>
      </c>
      <c r="J349" s="3691">
        <v>0</v>
      </c>
      <c r="K349" s="3691">
        <v>12</v>
      </c>
      <c r="L349" s="3691">
        <f t="shared" si="140"/>
        <v>1</v>
      </c>
      <c r="M349" s="3659">
        <v>45834</v>
      </c>
      <c r="N349" s="3659">
        <v>45831</v>
      </c>
      <c r="O349" s="4457"/>
      <c r="P349" s="3682" t="s">
        <v>82</v>
      </c>
      <c r="Q349" s="3682"/>
      <c r="R349" s="4083"/>
      <c r="S349" s="4083"/>
      <c r="T349" s="4083"/>
      <c r="U349" s="4395" t="s">
        <v>3947</v>
      </c>
      <c r="V349" s="3649" t="s">
        <v>1349</v>
      </c>
      <c r="W349" s="3657"/>
      <c r="X349" s="3657" t="s">
        <v>3948</v>
      </c>
      <c r="Y349" s="3657"/>
      <c r="Z349" s="3691"/>
      <c r="AA349" s="3620" t="s">
        <v>3949</v>
      </c>
      <c r="AB349" s="3691" t="s">
        <v>369</v>
      </c>
      <c r="AC349" s="4087">
        <v>2.0408</v>
      </c>
      <c r="AD349" s="3691">
        <f t="shared" si="147"/>
        <v>24.4896</v>
      </c>
      <c r="AE349" s="3645"/>
      <c r="AF349" s="3664" t="s">
        <v>2680</v>
      </c>
      <c r="AG349" s="3645" t="s">
        <v>416</v>
      </c>
      <c r="AH349" s="875"/>
      <c r="AI349" s="3691"/>
      <c r="AJ349" s="3691"/>
      <c r="AK349" s="875"/>
      <c r="AL349" s="3664">
        <f t="shared" si="149"/>
        <v>12</v>
      </c>
      <c r="AM349" s="3664"/>
      <c r="AN349" s="3691"/>
      <c r="AO349" s="3691">
        <f t="shared" si="148"/>
        <v>12</v>
      </c>
      <c r="AP349" s="3691"/>
      <c r="AQ349" s="4089"/>
      <c r="AR349" s="878"/>
      <c r="AS349" s="4089"/>
      <c r="AT349" s="878"/>
      <c r="AU349" s="4089">
        <f t="shared" si="150"/>
        <v>12</v>
      </c>
      <c r="AV349" s="4089"/>
      <c r="AW349" s="4089"/>
      <c r="AX349" s="4089"/>
      <c r="AY349" s="4089"/>
      <c r="AZ349" s="4089"/>
      <c r="BA349" s="4089"/>
      <c r="BB349" s="4089"/>
      <c r="BC349" s="4089"/>
      <c r="BD349" s="4089"/>
      <c r="BE349" s="4089"/>
      <c r="BF349" s="4089" t="s">
        <v>89</v>
      </c>
      <c r="BG349" s="4089"/>
      <c r="BH349" s="4089"/>
      <c r="BI349" s="4089"/>
      <c r="BJ349" s="4089">
        <f>I349-BN349</f>
        <v>11.8</v>
      </c>
      <c r="BK349" s="4089"/>
      <c r="BL349" s="4089"/>
      <c r="BM349" s="4089"/>
      <c r="BN349" s="4089">
        <f t="shared" si="151"/>
        <v>0.2</v>
      </c>
      <c r="BO349" s="877"/>
      <c r="BP349" s="877"/>
      <c r="BQ349" s="877"/>
      <c r="BR349" s="877"/>
      <c r="BS349" s="877"/>
      <c r="BT349" s="991"/>
      <c r="BU349" s="911"/>
      <c r="BV349" s="4385">
        <f t="shared" si="141"/>
        <v>12</v>
      </c>
      <c r="BW349" s="4386">
        <f t="shared" si="144"/>
        <v>0</v>
      </c>
      <c r="BX349" s="4387"/>
      <c r="BY349" s="4387"/>
      <c r="BZ349" s="4387"/>
      <c r="CA349" s="4391" t="str">
        <f>VLOOKUP(D349&amp;G349&amp;H349&amp;I349,'9298 版本变更明细'!C:AJ,34,FALSE)</f>
        <v>B版本膜+A版本指南+口水胶+C版本配件包（香味贴纸/指定配件）</v>
      </c>
      <c r="CB349" s="4025" t="s">
        <v>3950</v>
      </c>
      <c r="CC349" s="4392"/>
      <c r="CD349" s="4391"/>
    </row>
    <row r="350" s="4025" customFormat="1" ht="50" customHeight="1" spans="1:82">
      <c r="A350" s="3688">
        <v>45798</v>
      </c>
      <c r="B350" s="3689" t="s">
        <v>1016</v>
      </c>
      <c r="C350" s="3664" t="s">
        <v>396</v>
      </c>
      <c r="D350" s="3690">
        <v>4500167361</v>
      </c>
      <c r="E350" s="3664" t="s">
        <v>3955</v>
      </c>
      <c r="F350" s="3690" t="s">
        <v>3956</v>
      </c>
      <c r="G350" s="3664" t="s">
        <v>2680</v>
      </c>
      <c r="H350" s="3664" t="s">
        <v>2632</v>
      </c>
      <c r="I350" s="3691">
        <v>12</v>
      </c>
      <c r="J350" s="3691">
        <v>0</v>
      </c>
      <c r="K350" s="3691">
        <v>12</v>
      </c>
      <c r="L350" s="3691">
        <f t="shared" si="140"/>
        <v>1</v>
      </c>
      <c r="M350" s="3659">
        <v>45834</v>
      </c>
      <c r="N350" s="3659">
        <v>45831</v>
      </c>
      <c r="O350" s="4457"/>
      <c r="P350" s="3682" t="s">
        <v>82</v>
      </c>
      <c r="Q350" s="3682"/>
      <c r="R350" s="4083"/>
      <c r="S350" s="4083"/>
      <c r="T350" s="4083"/>
      <c r="U350" s="4395" t="s">
        <v>3947</v>
      </c>
      <c r="V350" s="3649" t="s">
        <v>1349</v>
      </c>
      <c r="W350" s="3657"/>
      <c r="X350" s="3657" t="s">
        <v>3948</v>
      </c>
      <c r="Y350" s="3657"/>
      <c r="Z350" s="3691"/>
      <c r="AA350" s="3620" t="s">
        <v>3949</v>
      </c>
      <c r="AB350" s="3691" t="s">
        <v>369</v>
      </c>
      <c r="AC350" s="4087">
        <v>2.0408</v>
      </c>
      <c r="AD350" s="3691">
        <f t="shared" si="147"/>
        <v>24.4896</v>
      </c>
      <c r="AE350" s="3645"/>
      <c r="AF350" s="3664" t="s">
        <v>2680</v>
      </c>
      <c r="AG350" s="3645" t="s">
        <v>416</v>
      </c>
      <c r="AH350" s="875"/>
      <c r="AI350" s="3691"/>
      <c r="AJ350" s="3691"/>
      <c r="AK350" s="875"/>
      <c r="AL350" s="3664">
        <f t="shared" si="149"/>
        <v>12</v>
      </c>
      <c r="AM350" s="3664"/>
      <c r="AN350" s="3691"/>
      <c r="AO350" s="3691">
        <f t="shared" si="148"/>
        <v>12</v>
      </c>
      <c r="AP350" s="3691"/>
      <c r="AQ350" s="4089"/>
      <c r="AR350" s="878"/>
      <c r="AS350" s="4089"/>
      <c r="AT350" s="878"/>
      <c r="AU350" s="4089">
        <f t="shared" si="150"/>
        <v>12</v>
      </c>
      <c r="AV350" s="4089"/>
      <c r="AW350" s="4089"/>
      <c r="AX350" s="4089"/>
      <c r="AY350" s="4089"/>
      <c r="AZ350" s="4089"/>
      <c r="BA350" s="4089"/>
      <c r="BB350" s="4089"/>
      <c r="BC350" s="4089"/>
      <c r="BD350" s="4089"/>
      <c r="BE350" s="4089"/>
      <c r="BF350" s="4089" t="s">
        <v>89</v>
      </c>
      <c r="BG350" s="4089"/>
      <c r="BH350" s="4089"/>
      <c r="BI350" s="4089"/>
      <c r="BJ350" s="4089">
        <f>I350-BN350</f>
        <v>11.8</v>
      </c>
      <c r="BK350" s="4089"/>
      <c r="BL350" s="4089"/>
      <c r="BM350" s="4089"/>
      <c r="BN350" s="4089">
        <f t="shared" si="151"/>
        <v>0.2</v>
      </c>
      <c r="BO350" s="877"/>
      <c r="BP350" s="877"/>
      <c r="BQ350" s="877"/>
      <c r="BR350" s="877"/>
      <c r="BS350" s="877"/>
      <c r="BT350" s="991"/>
      <c r="BU350" s="911"/>
      <c r="BV350" s="4385">
        <f t="shared" si="141"/>
        <v>12</v>
      </c>
      <c r="BW350" s="4386">
        <f t="shared" si="144"/>
        <v>0</v>
      </c>
      <c r="BX350" s="4387"/>
      <c r="BY350" s="4387"/>
      <c r="BZ350" s="4387"/>
      <c r="CA350" s="4391" t="str">
        <f>VLOOKUP(D350&amp;G350&amp;H350&amp;I350,'9298 版本变更明细'!C:AJ,34,FALSE)</f>
        <v>B版本膜+A版本指南+口水胶+C版本配件包（香味贴纸/指定配件）</v>
      </c>
      <c r="CB350" s="4319" t="s">
        <v>3950</v>
      </c>
      <c r="CC350" s="4392"/>
      <c r="CD350" s="4391"/>
    </row>
    <row r="351" s="4025" customFormat="1" ht="50" customHeight="1" spans="1:82">
      <c r="A351" s="3688">
        <v>45798</v>
      </c>
      <c r="B351" s="3689" t="s">
        <v>1016</v>
      </c>
      <c r="C351" s="3664" t="s">
        <v>396</v>
      </c>
      <c r="D351" s="3690">
        <v>4500167361</v>
      </c>
      <c r="E351" s="3664" t="s">
        <v>3957</v>
      </c>
      <c r="F351" s="3690" t="s">
        <v>3958</v>
      </c>
      <c r="G351" s="3664" t="s">
        <v>2680</v>
      </c>
      <c r="H351" s="3664" t="s">
        <v>2632</v>
      </c>
      <c r="I351" s="3691">
        <v>12</v>
      </c>
      <c r="J351" s="3691">
        <v>0</v>
      </c>
      <c r="K351" s="3691">
        <v>12</v>
      </c>
      <c r="L351" s="3691">
        <f t="shared" si="140"/>
        <v>1</v>
      </c>
      <c r="M351" s="3659">
        <v>45834</v>
      </c>
      <c r="N351" s="3659">
        <v>45831</v>
      </c>
      <c r="O351" s="4457"/>
      <c r="P351" s="3682" t="s">
        <v>82</v>
      </c>
      <c r="Q351" s="3682"/>
      <c r="R351" s="4083"/>
      <c r="S351" s="4083"/>
      <c r="T351" s="4083"/>
      <c r="U351" s="4395" t="s">
        <v>3947</v>
      </c>
      <c r="V351" s="3649" t="s">
        <v>1349</v>
      </c>
      <c r="W351" s="3657"/>
      <c r="X351" s="3657" t="s">
        <v>3948</v>
      </c>
      <c r="Y351" s="3657"/>
      <c r="Z351" s="3691"/>
      <c r="AA351" s="3620" t="s">
        <v>3949</v>
      </c>
      <c r="AB351" s="3691" t="s">
        <v>369</v>
      </c>
      <c r="AC351" s="4087">
        <v>2.0891</v>
      </c>
      <c r="AD351" s="3691">
        <f t="shared" si="147"/>
        <v>25.0692</v>
      </c>
      <c r="AE351" s="3645"/>
      <c r="AF351" s="3664" t="s">
        <v>2680</v>
      </c>
      <c r="AG351" s="3645" t="s">
        <v>416</v>
      </c>
      <c r="AH351" s="875"/>
      <c r="AI351" s="3691"/>
      <c r="AJ351" s="3691"/>
      <c r="AK351" s="875"/>
      <c r="AL351" s="3664">
        <f t="shared" si="149"/>
        <v>12</v>
      </c>
      <c r="AM351" s="3664"/>
      <c r="AN351" s="3691"/>
      <c r="AO351" s="3691">
        <f t="shared" si="148"/>
        <v>12</v>
      </c>
      <c r="AP351" s="3691"/>
      <c r="AQ351" s="4089"/>
      <c r="AR351" s="878"/>
      <c r="AS351" s="4089"/>
      <c r="AT351" s="878"/>
      <c r="AU351" s="4089">
        <f t="shared" si="150"/>
        <v>12</v>
      </c>
      <c r="AV351" s="4089"/>
      <c r="AW351" s="4089"/>
      <c r="AX351" s="4089"/>
      <c r="AY351" s="4089"/>
      <c r="AZ351" s="4089"/>
      <c r="BA351" s="4089"/>
      <c r="BB351" s="4089"/>
      <c r="BC351" s="4089"/>
      <c r="BD351" s="4089"/>
      <c r="BE351" s="4089"/>
      <c r="BF351" s="4089" t="s">
        <v>89</v>
      </c>
      <c r="BG351" s="4089"/>
      <c r="BH351" s="4089"/>
      <c r="BI351" s="4089"/>
      <c r="BJ351" s="4089">
        <f>I351-BN351</f>
        <v>11.8</v>
      </c>
      <c r="BK351" s="4089"/>
      <c r="BL351" s="4089"/>
      <c r="BM351" s="4089"/>
      <c r="BN351" s="4089">
        <f t="shared" si="151"/>
        <v>0.2</v>
      </c>
      <c r="BO351" s="877"/>
      <c r="BP351" s="877"/>
      <c r="BQ351" s="877"/>
      <c r="BR351" s="877"/>
      <c r="BS351" s="877"/>
      <c r="BT351" s="991"/>
      <c r="BU351" s="911"/>
      <c r="BV351" s="4385">
        <f t="shared" si="141"/>
        <v>12</v>
      </c>
      <c r="BW351" s="4386">
        <f t="shared" si="144"/>
        <v>0</v>
      </c>
      <c r="BX351" s="4387"/>
      <c r="BY351" s="4387"/>
      <c r="BZ351" s="4387"/>
      <c r="CA351" s="4391" t="str">
        <f>VLOOKUP(D351&amp;G351&amp;H351&amp;I351,'9298 版本变更明细'!C:AJ,34,FALSE)</f>
        <v>B版本膜+A版本指南+口水胶+C版本配件包（香味贴纸/指定配件）</v>
      </c>
      <c r="CB351" s="4319" t="s">
        <v>3950</v>
      </c>
      <c r="CC351" s="4392"/>
      <c r="CD351" s="4391"/>
    </row>
    <row r="352" s="4025" customFormat="1" ht="50" customHeight="1" spans="1:82">
      <c r="A352" s="3688">
        <v>45798</v>
      </c>
      <c r="B352" s="3689" t="s">
        <v>1016</v>
      </c>
      <c r="C352" s="3664" t="s">
        <v>396</v>
      </c>
      <c r="D352" s="3690">
        <v>4500167361</v>
      </c>
      <c r="E352" s="3664" t="s">
        <v>3959</v>
      </c>
      <c r="F352" s="3690" t="s">
        <v>3960</v>
      </c>
      <c r="G352" s="3664" t="s">
        <v>3021</v>
      </c>
      <c r="H352" s="3664" t="s">
        <v>2984</v>
      </c>
      <c r="I352" s="3691">
        <v>24</v>
      </c>
      <c r="J352" s="3691">
        <v>0</v>
      </c>
      <c r="K352" s="3691">
        <v>12</v>
      </c>
      <c r="L352" s="3691">
        <f t="shared" si="140"/>
        <v>2</v>
      </c>
      <c r="M352" s="3659">
        <v>45834</v>
      </c>
      <c r="N352" s="3659">
        <v>45831</v>
      </c>
      <c r="O352" s="4457"/>
      <c r="P352" s="3682" t="s">
        <v>82</v>
      </c>
      <c r="Q352" s="3682"/>
      <c r="R352" s="4083"/>
      <c r="S352" s="4083"/>
      <c r="T352" s="4083"/>
      <c r="U352" s="4395" t="s">
        <v>3947</v>
      </c>
      <c r="V352" s="3649" t="s">
        <v>1349</v>
      </c>
      <c r="W352" s="3657"/>
      <c r="X352" s="3657" t="s">
        <v>3948</v>
      </c>
      <c r="Y352" s="3657"/>
      <c r="Z352" s="3691"/>
      <c r="AA352" s="3620" t="s">
        <v>3949</v>
      </c>
      <c r="AB352" s="3691" t="s">
        <v>369</v>
      </c>
      <c r="AC352" s="3691">
        <v>2.0915</v>
      </c>
      <c r="AD352" s="3691">
        <f t="shared" si="147"/>
        <v>50.196</v>
      </c>
      <c r="AE352" s="3645"/>
      <c r="AF352" s="959" t="s">
        <v>3021</v>
      </c>
      <c r="AG352" s="3645" t="s">
        <v>416</v>
      </c>
      <c r="AH352" s="875"/>
      <c r="AI352" s="3691"/>
      <c r="AJ352" s="3691"/>
      <c r="AK352" s="875"/>
      <c r="AL352" s="3664">
        <f t="shared" si="149"/>
        <v>24</v>
      </c>
      <c r="AM352" s="3664"/>
      <c r="AN352" s="3691"/>
      <c r="AO352" s="3691">
        <f t="shared" si="148"/>
        <v>24</v>
      </c>
      <c r="AP352" s="3691"/>
      <c r="AQ352" s="4089"/>
      <c r="AR352" s="878"/>
      <c r="AS352" s="4089"/>
      <c r="AT352" s="878"/>
      <c r="AU352" s="4089">
        <f t="shared" si="150"/>
        <v>24</v>
      </c>
      <c r="AV352" s="4089"/>
      <c r="AW352" s="4089"/>
      <c r="AX352" s="4089"/>
      <c r="AY352" s="4089"/>
      <c r="AZ352" s="4089"/>
      <c r="BA352" s="4089"/>
      <c r="BB352" s="4089"/>
      <c r="BC352" s="4089"/>
      <c r="BD352" s="4089"/>
      <c r="BE352" s="4089"/>
      <c r="BF352" s="4089" t="s">
        <v>89</v>
      </c>
      <c r="BG352" s="4089"/>
      <c r="BH352" s="4089"/>
      <c r="BI352" s="4089"/>
      <c r="BJ352" s="4089"/>
      <c r="BK352" s="4089"/>
      <c r="BL352" s="4089">
        <f>I352-BN352</f>
        <v>23.6</v>
      </c>
      <c r="BM352" s="4089"/>
      <c r="BN352" s="4089">
        <f t="shared" si="151"/>
        <v>0.4</v>
      </c>
      <c r="BO352" s="877"/>
      <c r="BP352" s="877"/>
      <c r="BQ352" s="877"/>
      <c r="BR352" s="877"/>
      <c r="BS352" s="877"/>
      <c r="BT352" s="991"/>
      <c r="BU352" s="911"/>
      <c r="BV352" s="4385">
        <f t="shared" si="141"/>
        <v>24</v>
      </c>
      <c r="BW352" s="4386">
        <f t="shared" si="144"/>
        <v>0</v>
      </c>
      <c r="BX352" s="4387"/>
      <c r="BY352" s="4387"/>
      <c r="BZ352" s="4387"/>
      <c r="CA352" s="4391" t="str">
        <f>VLOOKUP(D352&amp;G352&amp;H352&amp;I352,'9298 版本变更明细'!C:AJ,34,FALSE)</f>
        <v>B版本膜+A版本指南+口水胶+C版本配件包（香味贴纸/指定配件）</v>
      </c>
      <c r="CB352" s="4319" t="s">
        <v>3950</v>
      </c>
      <c r="CC352" s="4392"/>
      <c r="CD352" s="4391"/>
    </row>
    <row r="353" s="4025" customFormat="1" ht="50" customHeight="1" spans="1:82">
      <c r="A353" s="3688">
        <v>45798</v>
      </c>
      <c r="B353" s="3689" t="s">
        <v>1016</v>
      </c>
      <c r="C353" s="3664" t="s">
        <v>396</v>
      </c>
      <c r="D353" s="3690">
        <v>4500167361</v>
      </c>
      <c r="E353" s="3664" t="s">
        <v>3961</v>
      </c>
      <c r="F353" s="3690" t="s">
        <v>3962</v>
      </c>
      <c r="G353" s="3664" t="s">
        <v>2676</v>
      </c>
      <c r="H353" s="3664" t="s">
        <v>2677</v>
      </c>
      <c r="I353" s="3691">
        <v>12</v>
      </c>
      <c r="J353" s="3691">
        <v>0</v>
      </c>
      <c r="K353" s="3691">
        <v>12</v>
      </c>
      <c r="L353" s="3691">
        <f t="shared" si="140"/>
        <v>1</v>
      </c>
      <c r="M353" s="3659">
        <v>45834</v>
      </c>
      <c r="N353" s="3659">
        <v>45831</v>
      </c>
      <c r="O353" s="4457"/>
      <c r="P353" s="3682" t="s">
        <v>82</v>
      </c>
      <c r="Q353" s="3682"/>
      <c r="R353" s="4083"/>
      <c r="S353" s="4083"/>
      <c r="T353" s="4083"/>
      <c r="U353" s="4395" t="s">
        <v>3947</v>
      </c>
      <c r="V353" s="3649" t="s">
        <v>1349</v>
      </c>
      <c r="W353" s="3657"/>
      <c r="X353" s="3657" t="s">
        <v>3948</v>
      </c>
      <c r="Y353" s="3657"/>
      <c r="Z353" s="3691"/>
      <c r="AA353" s="3620" t="s">
        <v>3949</v>
      </c>
      <c r="AB353" s="3691" t="s">
        <v>369</v>
      </c>
      <c r="AC353" s="3691">
        <v>2.0915</v>
      </c>
      <c r="AD353" s="3691">
        <f t="shared" si="147"/>
        <v>25.098</v>
      </c>
      <c r="AE353" s="3645"/>
      <c r="AF353" s="3664" t="s">
        <v>2676</v>
      </c>
      <c r="AG353" s="3645" t="s">
        <v>416</v>
      </c>
      <c r="AH353" s="875"/>
      <c r="AI353" s="3691"/>
      <c r="AJ353" s="3691"/>
      <c r="AK353" s="875"/>
      <c r="AL353" s="3664">
        <f t="shared" si="149"/>
        <v>12</v>
      </c>
      <c r="AM353" s="3664"/>
      <c r="AN353" s="3691"/>
      <c r="AO353" s="3691">
        <f t="shared" si="148"/>
        <v>12</v>
      </c>
      <c r="AP353" s="3691"/>
      <c r="AQ353" s="4089"/>
      <c r="AR353" s="878"/>
      <c r="AS353" s="4089"/>
      <c r="AT353" s="878"/>
      <c r="AU353" s="4089">
        <f t="shared" si="150"/>
        <v>12</v>
      </c>
      <c r="AV353" s="4089"/>
      <c r="AW353" s="4089"/>
      <c r="AX353" s="4089"/>
      <c r="AY353" s="4089"/>
      <c r="AZ353" s="4089"/>
      <c r="BA353" s="4089"/>
      <c r="BB353" s="4089"/>
      <c r="BC353" s="4089"/>
      <c r="BD353" s="4089"/>
      <c r="BE353" s="4089"/>
      <c r="BF353" s="4089" t="s">
        <v>89</v>
      </c>
      <c r="BG353" s="4089"/>
      <c r="BH353" s="4089"/>
      <c r="BI353" s="4089">
        <f>I353-BN353</f>
        <v>11.8</v>
      </c>
      <c r="BJ353" s="4089"/>
      <c r="BK353" s="4089"/>
      <c r="BL353" s="4089"/>
      <c r="BM353" s="4089"/>
      <c r="BN353" s="4089">
        <f t="shared" si="151"/>
        <v>0.2</v>
      </c>
      <c r="BO353" s="877"/>
      <c r="BP353" s="877"/>
      <c r="BQ353" s="877"/>
      <c r="BR353" s="877"/>
      <c r="BS353" s="877"/>
      <c r="BT353" s="991"/>
      <c r="BU353" s="911"/>
      <c r="BV353" s="4385">
        <f t="shared" si="141"/>
        <v>12</v>
      </c>
      <c r="BW353" s="4386">
        <f t="shared" si="144"/>
        <v>0</v>
      </c>
      <c r="BX353" s="4387"/>
      <c r="BY353" s="4387"/>
      <c r="BZ353" s="4387"/>
      <c r="CA353" s="4391" t="str">
        <f>VLOOKUP(D353&amp;G353&amp;H353&amp;I353,'9298 版本变更明细'!C:AJ,34,FALSE)</f>
        <v>B版本膜+A版本指南+口水胶+C版本配件包（香味贴纸/指定配件）</v>
      </c>
      <c r="CB353" s="4319" t="s">
        <v>3950</v>
      </c>
      <c r="CC353" s="4392"/>
      <c r="CD353" s="4391"/>
    </row>
    <row r="354" s="4025" customFormat="1" ht="50" customHeight="1" spans="1:82">
      <c r="A354" s="3688">
        <v>45804</v>
      </c>
      <c r="B354" s="3689" t="s">
        <v>2628</v>
      </c>
      <c r="C354" s="3664" t="s">
        <v>738</v>
      </c>
      <c r="D354" s="3690">
        <v>4500168127</v>
      </c>
      <c r="E354" s="3664" t="s">
        <v>3963</v>
      </c>
      <c r="F354" s="3690" t="s">
        <v>3964</v>
      </c>
      <c r="G354" s="3664" t="s">
        <v>2983</v>
      </c>
      <c r="H354" s="3664" t="s">
        <v>2984</v>
      </c>
      <c r="I354" s="3691">
        <v>108</v>
      </c>
      <c r="J354" s="3691">
        <v>0</v>
      </c>
      <c r="K354" s="3691">
        <v>12</v>
      </c>
      <c r="L354" s="3691">
        <f t="shared" si="140"/>
        <v>9</v>
      </c>
      <c r="M354" s="3659">
        <v>45834</v>
      </c>
      <c r="N354" s="3659">
        <v>45839</v>
      </c>
      <c r="O354" s="3682"/>
      <c r="P354" s="3682" t="s">
        <v>82</v>
      </c>
      <c r="Q354" s="3682"/>
      <c r="R354" s="4083"/>
      <c r="S354" s="4083"/>
      <c r="T354" s="4083"/>
      <c r="U354" s="3645" t="s">
        <v>1387</v>
      </c>
      <c r="V354" s="3649" t="s">
        <v>3965</v>
      </c>
      <c r="W354" s="3657"/>
      <c r="X354" s="3657" t="s">
        <v>3966</v>
      </c>
      <c r="Y354" s="3657" t="s">
        <v>3967</v>
      </c>
      <c r="Z354" s="3691"/>
      <c r="AA354" s="3620" t="s">
        <v>3968</v>
      </c>
      <c r="AB354" s="3691" t="s">
        <v>1257</v>
      </c>
      <c r="AC354" s="4087">
        <v>2.0433</v>
      </c>
      <c r="AD354" s="3691">
        <f t="shared" si="147"/>
        <v>220.6764</v>
      </c>
      <c r="AE354" s="3645" t="s">
        <v>3969</v>
      </c>
      <c r="AF354" s="959" t="s">
        <v>3018</v>
      </c>
      <c r="AG354" s="3645" t="s">
        <v>416</v>
      </c>
      <c r="AH354" s="875"/>
      <c r="AI354" s="3691"/>
      <c r="AJ354" s="3691"/>
      <c r="AK354" s="875"/>
      <c r="AL354" s="3664"/>
      <c r="AM354" s="3664">
        <f>I354</f>
        <v>108</v>
      </c>
      <c r="AN354" s="3691"/>
      <c r="AO354" s="3691"/>
      <c r="AP354" s="3691">
        <f>I354</f>
        <v>108</v>
      </c>
      <c r="AQ354" s="4089"/>
      <c r="AR354" s="878"/>
      <c r="AS354" s="4089">
        <f t="shared" ref="AS354:AS389" si="152">I354</f>
        <v>108</v>
      </c>
      <c r="AT354" s="878"/>
      <c r="AU354" s="4089"/>
      <c r="AV354" s="4089"/>
      <c r="AW354" s="4089"/>
      <c r="AX354" s="4089"/>
      <c r="AY354" s="4089"/>
      <c r="AZ354" s="4089"/>
      <c r="BA354" s="4089"/>
      <c r="BB354" s="4089"/>
      <c r="BC354" s="4089"/>
      <c r="BD354" s="4089"/>
      <c r="BE354" s="4089"/>
      <c r="BF354" s="4089" t="s">
        <v>89</v>
      </c>
      <c r="BG354" s="4089"/>
      <c r="BH354" s="4089"/>
      <c r="BI354" s="4089"/>
      <c r="BJ354" s="4089"/>
      <c r="BK354" s="4089"/>
      <c r="BL354" s="4089">
        <f>I354</f>
        <v>108</v>
      </c>
      <c r="BM354" s="4089"/>
      <c r="BN354" s="4089"/>
      <c r="BO354" s="877"/>
      <c r="BP354" s="877"/>
      <c r="BQ354" s="877"/>
      <c r="BR354" s="877"/>
      <c r="BS354" s="877"/>
      <c r="BT354" s="991"/>
      <c r="BU354" s="911"/>
      <c r="BV354" s="4385">
        <f t="shared" si="141"/>
        <v>108</v>
      </c>
      <c r="BW354" s="4386">
        <f t="shared" si="144"/>
        <v>0</v>
      </c>
      <c r="BX354" s="4387"/>
      <c r="BY354" s="4387"/>
      <c r="BZ354" s="4387"/>
      <c r="CA354" s="4391" t="str">
        <f>VLOOKUP(D354&amp;G354&amp;H354&amp;I354,'9298 版本变更明细'!C:AJ,34,FALSE)</f>
        <v>C版本收缩膜+指南+A版本口水胶+C版本配件包（香味贴纸/指定配件）</v>
      </c>
      <c r="CB354" s="4312"/>
      <c r="CC354" s="4392"/>
      <c r="CD354" s="4391"/>
    </row>
    <row r="355" s="4025" customFormat="1" ht="50" customHeight="1" spans="1:82">
      <c r="A355" s="3688">
        <v>45804</v>
      </c>
      <c r="B355" s="3689" t="s">
        <v>2628</v>
      </c>
      <c r="C355" s="3664" t="s">
        <v>738</v>
      </c>
      <c r="D355" s="3690">
        <v>4500168127</v>
      </c>
      <c r="E355" s="3664" t="s">
        <v>3963</v>
      </c>
      <c r="F355" s="3690" t="s">
        <v>3970</v>
      </c>
      <c r="G355" s="3664" t="s">
        <v>3174</v>
      </c>
      <c r="H355" s="3664" t="s">
        <v>2677</v>
      </c>
      <c r="I355" s="3691">
        <v>24</v>
      </c>
      <c r="J355" s="3691">
        <v>0</v>
      </c>
      <c r="K355" s="3691">
        <v>12</v>
      </c>
      <c r="L355" s="3691">
        <f t="shared" si="140"/>
        <v>2</v>
      </c>
      <c r="M355" s="3659">
        <v>45834</v>
      </c>
      <c r="N355" s="3659">
        <v>45839</v>
      </c>
      <c r="O355" s="3682"/>
      <c r="P355" s="3682" t="s">
        <v>82</v>
      </c>
      <c r="Q355" s="3682"/>
      <c r="R355" s="4083"/>
      <c r="S355" s="4083"/>
      <c r="T355" s="4083"/>
      <c r="U355" s="3645" t="s">
        <v>1387</v>
      </c>
      <c r="V355" s="3649" t="s">
        <v>3965</v>
      </c>
      <c r="W355" s="3657"/>
      <c r="X355" s="3657" t="s">
        <v>3966</v>
      </c>
      <c r="Y355" s="3657" t="s">
        <v>3967</v>
      </c>
      <c r="Z355" s="3691"/>
      <c r="AA355" s="3620" t="s">
        <v>3968</v>
      </c>
      <c r="AB355" s="3691" t="s">
        <v>1257</v>
      </c>
      <c r="AC355" s="4087">
        <v>2.0915</v>
      </c>
      <c r="AD355" s="3691">
        <f t="shared" si="147"/>
        <v>50.196</v>
      </c>
      <c r="AE355" s="3645" t="s">
        <v>3969</v>
      </c>
      <c r="AF355" s="959" t="s">
        <v>3179</v>
      </c>
      <c r="AG355" s="3645" t="s">
        <v>416</v>
      </c>
      <c r="AH355" s="875"/>
      <c r="AI355" s="3691"/>
      <c r="AJ355" s="3691"/>
      <c r="AK355" s="875"/>
      <c r="AL355" s="3664"/>
      <c r="AM355" s="3664">
        <f>I355</f>
        <v>24</v>
      </c>
      <c r="AN355" s="3691"/>
      <c r="AO355" s="3691"/>
      <c r="AP355" s="3691">
        <f>I355</f>
        <v>24</v>
      </c>
      <c r="AQ355" s="4089"/>
      <c r="AR355" s="878"/>
      <c r="AS355" s="4089">
        <f t="shared" si="152"/>
        <v>24</v>
      </c>
      <c r="AT355" s="878"/>
      <c r="AU355" s="4089"/>
      <c r="AV355" s="4089"/>
      <c r="AW355" s="4089"/>
      <c r="AX355" s="4089"/>
      <c r="AY355" s="4089"/>
      <c r="AZ355" s="4089"/>
      <c r="BA355" s="4089"/>
      <c r="BB355" s="4089"/>
      <c r="BC355" s="4089"/>
      <c r="BD355" s="4089"/>
      <c r="BE355" s="4089"/>
      <c r="BF355" s="4089" t="s">
        <v>89</v>
      </c>
      <c r="BG355" s="4089"/>
      <c r="BH355" s="4089"/>
      <c r="BI355" s="4089">
        <f>I355</f>
        <v>24</v>
      </c>
      <c r="BJ355" s="4089"/>
      <c r="BK355" s="4089"/>
      <c r="BL355" s="4089"/>
      <c r="BM355" s="4089"/>
      <c r="BN355" s="4089"/>
      <c r="BO355" s="877"/>
      <c r="BP355" s="877"/>
      <c r="BQ355" s="877"/>
      <c r="BR355" s="877"/>
      <c r="BS355" s="877"/>
      <c r="BT355" s="991"/>
      <c r="BU355" s="911"/>
      <c r="BV355" s="4385">
        <f t="shared" si="141"/>
        <v>24</v>
      </c>
      <c r="BW355" s="4386">
        <f t="shared" si="144"/>
        <v>0</v>
      </c>
      <c r="BX355" s="4387"/>
      <c r="BY355" s="4387"/>
      <c r="BZ355" s="4387"/>
      <c r="CA355" s="4391" t="str">
        <f>VLOOKUP(D355&amp;G355&amp;H355&amp;I355,'9298 版本变更明细'!C:AJ,34,FALSE)</f>
        <v>C版本收缩膜+指南+A版本口水胶+C版本配件包（香味贴纸/指定配件）</v>
      </c>
      <c r="CB355" s="4312"/>
      <c r="CC355" s="4392"/>
      <c r="CD355" s="4391"/>
    </row>
    <row r="356" s="4025" customFormat="1" ht="50" customHeight="1" spans="1:82">
      <c r="A356" s="3688">
        <v>45804</v>
      </c>
      <c r="B356" s="3689" t="s">
        <v>2628</v>
      </c>
      <c r="C356" s="3664" t="s">
        <v>738</v>
      </c>
      <c r="D356" s="3690">
        <v>4500168127</v>
      </c>
      <c r="E356" s="3664" t="s">
        <v>3963</v>
      </c>
      <c r="F356" s="3690" t="s">
        <v>3971</v>
      </c>
      <c r="G356" s="3664" t="s">
        <v>2640</v>
      </c>
      <c r="H356" s="3664" t="s">
        <v>2641</v>
      </c>
      <c r="I356" s="3691">
        <v>48</v>
      </c>
      <c r="J356" s="3691">
        <v>0</v>
      </c>
      <c r="K356" s="3691">
        <v>12</v>
      </c>
      <c r="L356" s="3691">
        <f t="shared" si="140"/>
        <v>4</v>
      </c>
      <c r="M356" s="3659">
        <v>45834</v>
      </c>
      <c r="N356" s="3659">
        <v>45839</v>
      </c>
      <c r="O356" s="3682"/>
      <c r="P356" s="3682" t="s">
        <v>82</v>
      </c>
      <c r="Q356" s="3682"/>
      <c r="R356" s="4083"/>
      <c r="S356" s="4083"/>
      <c r="T356" s="4083"/>
      <c r="U356" s="3645" t="s">
        <v>1387</v>
      </c>
      <c r="V356" s="3649" t="s">
        <v>3965</v>
      </c>
      <c r="W356" s="3657"/>
      <c r="X356" s="3657" t="s">
        <v>3966</v>
      </c>
      <c r="Y356" s="3657" t="s">
        <v>3967</v>
      </c>
      <c r="Z356" s="3691"/>
      <c r="AA356" s="3620" t="s">
        <v>3968</v>
      </c>
      <c r="AB356" s="3691" t="s">
        <v>1257</v>
      </c>
      <c r="AC356" s="4087">
        <v>2.0915</v>
      </c>
      <c r="AD356" s="3691">
        <f t="shared" si="147"/>
        <v>100.392</v>
      </c>
      <c r="AE356" s="3645" t="s">
        <v>3969</v>
      </c>
      <c r="AF356" s="3664" t="s">
        <v>2644</v>
      </c>
      <c r="AG356" s="3645" t="s">
        <v>416</v>
      </c>
      <c r="AH356" s="875"/>
      <c r="AI356" s="3691"/>
      <c r="AJ356" s="3691"/>
      <c r="AK356" s="875"/>
      <c r="AL356" s="3664"/>
      <c r="AM356" s="3664">
        <f>I356</f>
        <v>48</v>
      </c>
      <c r="AN356" s="3691"/>
      <c r="AO356" s="3691"/>
      <c r="AP356" s="3691">
        <f>I356</f>
        <v>48</v>
      </c>
      <c r="AQ356" s="4089"/>
      <c r="AR356" s="878"/>
      <c r="AS356" s="4089">
        <f t="shared" si="152"/>
        <v>48</v>
      </c>
      <c r="AT356" s="878"/>
      <c r="AU356" s="4089"/>
      <c r="AV356" s="4089"/>
      <c r="AW356" s="4089"/>
      <c r="AX356" s="4089"/>
      <c r="AY356" s="4089"/>
      <c r="AZ356" s="4089"/>
      <c r="BA356" s="4089"/>
      <c r="BB356" s="4089"/>
      <c r="BC356" s="4089"/>
      <c r="BD356" s="4089"/>
      <c r="BE356" s="4089"/>
      <c r="BF356" s="4089" t="s">
        <v>89</v>
      </c>
      <c r="BG356" s="4089"/>
      <c r="BH356" s="4089">
        <f>I356-BU356</f>
        <v>48</v>
      </c>
      <c r="BI356" s="4089"/>
      <c r="BJ356" s="4089"/>
      <c r="BK356" s="4089"/>
      <c r="BL356" s="4089"/>
      <c r="BM356" s="4089"/>
      <c r="BN356" s="4089"/>
      <c r="BO356" s="877"/>
      <c r="BP356" s="877"/>
      <c r="BQ356" s="877"/>
      <c r="BR356" s="877"/>
      <c r="BS356" s="877"/>
      <c r="BT356" s="991"/>
      <c r="BU356" s="911"/>
      <c r="BV356" s="4385">
        <f t="shared" si="141"/>
        <v>48</v>
      </c>
      <c r="BW356" s="4386">
        <f t="shared" si="144"/>
        <v>0</v>
      </c>
      <c r="BX356" s="4387"/>
      <c r="BY356" s="4387"/>
      <c r="BZ356" s="4387"/>
      <c r="CA356" s="4391" t="str">
        <f>VLOOKUP(D356&amp;G356&amp;H356&amp;I356,'9298 版本变更明细'!C:AJ,34,FALSE)</f>
        <v>C版本收缩膜+指南+A版本口水胶+C版本配件包（香味贴纸/指定配件）</v>
      </c>
      <c r="CB356" s="4312"/>
      <c r="CC356" s="4392"/>
      <c r="CD356" s="4391"/>
    </row>
    <row r="357" s="4025" customFormat="1" ht="50" customHeight="1" spans="1:82">
      <c r="A357" s="3688">
        <v>45804</v>
      </c>
      <c r="B357" s="3689" t="s">
        <v>2628</v>
      </c>
      <c r="C357" s="3664" t="s">
        <v>738</v>
      </c>
      <c r="D357" s="3690">
        <v>4500168127</v>
      </c>
      <c r="E357" s="3664" t="s">
        <v>3972</v>
      </c>
      <c r="F357" s="3690" t="s">
        <v>3973</v>
      </c>
      <c r="G357" s="3664" t="s">
        <v>2983</v>
      </c>
      <c r="H357" s="3664" t="s">
        <v>2984</v>
      </c>
      <c r="I357" s="3691">
        <v>12</v>
      </c>
      <c r="J357" s="3691">
        <v>0</v>
      </c>
      <c r="K357" s="3691">
        <v>12</v>
      </c>
      <c r="L357" s="3691">
        <f t="shared" si="140"/>
        <v>1</v>
      </c>
      <c r="M357" s="3659">
        <v>45834</v>
      </c>
      <c r="N357" s="3659">
        <v>45839</v>
      </c>
      <c r="O357" s="3682"/>
      <c r="P357" s="3682" t="s">
        <v>82</v>
      </c>
      <c r="Q357" s="3682"/>
      <c r="R357" s="4083"/>
      <c r="S357" s="4083"/>
      <c r="T357" s="4083"/>
      <c r="U357" s="3645" t="s">
        <v>1387</v>
      </c>
      <c r="V357" s="3649" t="s">
        <v>3965</v>
      </c>
      <c r="W357" s="3657"/>
      <c r="X357" s="3657" t="s">
        <v>3966</v>
      </c>
      <c r="Y357" s="3657" t="s">
        <v>3967</v>
      </c>
      <c r="Z357" s="3691"/>
      <c r="AA357" s="3620" t="s">
        <v>3968</v>
      </c>
      <c r="AB357" s="3691" t="s">
        <v>1257</v>
      </c>
      <c r="AC357" s="4087">
        <v>2.0915</v>
      </c>
      <c r="AD357" s="3691">
        <f t="shared" si="147"/>
        <v>25.098</v>
      </c>
      <c r="AE357" s="3645" t="s">
        <v>3969</v>
      </c>
      <c r="AF357" s="959" t="s">
        <v>3018</v>
      </c>
      <c r="AG357" s="3645" t="s">
        <v>416</v>
      </c>
      <c r="AH357" s="875"/>
      <c r="AI357" s="3691"/>
      <c r="AJ357" s="3691"/>
      <c r="AK357" s="875"/>
      <c r="AL357" s="3664"/>
      <c r="AM357" s="3664">
        <f>I357</f>
        <v>12</v>
      </c>
      <c r="AN357" s="3691"/>
      <c r="AO357" s="3691"/>
      <c r="AP357" s="3691">
        <f>I357</f>
        <v>12</v>
      </c>
      <c r="AQ357" s="4089"/>
      <c r="AR357" s="878"/>
      <c r="AS357" s="4089">
        <f t="shared" si="152"/>
        <v>12</v>
      </c>
      <c r="AT357" s="878"/>
      <c r="AU357" s="4089"/>
      <c r="AV357" s="4089"/>
      <c r="AW357" s="4089"/>
      <c r="AX357" s="4089"/>
      <c r="AY357" s="4089"/>
      <c r="AZ357" s="4089"/>
      <c r="BA357" s="4089"/>
      <c r="BB357" s="4089"/>
      <c r="BC357" s="4089"/>
      <c r="BD357" s="4089"/>
      <c r="BE357" s="4089"/>
      <c r="BF357" s="4089" t="s">
        <v>89</v>
      </c>
      <c r="BG357" s="4089"/>
      <c r="BH357" s="4089"/>
      <c r="BI357" s="4089"/>
      <c r="BJ357" s="4089"/>
      <c r="BK357" s="4089"/>
      <c r="BL357" s="4089">
        <f>I357</f>
        <v>12</v>
      </c>
      <c r="BM357" s="4089"/>
      <c r="BN357" s="4089"/>
      <c r="BO357" s="877"/>
      <c r="BP357" s="877"/>
      <c r="BQ357" s="877"/>
      <c r="BR357" s="877"/>
      <c r="BS357" s="877"/>
      <c r="BT357" s="991"/>
      <c r="BU357" s="911"/>
      <c r="BV357" s="4385">
        <f t="shared" si="141"/>
        <v>12</v>
      </c>
      <c r="BW357" s="4386">
        <f t="shared" si="144"/>
        <v>0</v>
      </c>
      <c r="BX357" s="4387"/>
      <c r="BY357" s="4387"/>
      <c r="BZ357" s="4387"/>
      <c r="CA357" s="4391" t="str">
        <f>VLOOKUP(D357&amp;G357&amp;H357&amp;I357,'9298 版本变更明细'!C:AJ,34,FALSE)</f>
        <v>C版本收缩膜+指南+A版本口水胶+C版本配件包（香味贴纸/指定配件）</v>
      </c>
      <c r="CC357" s="4392"/>
      <c r="CD357" s="4391"/>
    </row>
    <row r="358" s="4025" customFormat="1" ht="50" customHeight="1" spans="1:82">
      <c r="A358" s="3688">
        <v>45804</v>
      </c>
      <c r="B358" s="3689" t="s">
        <v>2628</v>
      </c>
      <c r="C358" s="3664" t="s">
        <v>738</v>
      </c>
      <c r="D358" s="3690">
        <v>4500168127</v>
      </c>
      <c r="E358" s="3664" t="s">
        <v>3974</v>
      </c>
      <c r="F358" s="3690" t="s">
        <v>3975</v>
      </c>
      <c r="G358" s="3664" t="s">
        <v>3186</v>
      </c>
      <c r="H358" s="3664" t="s">
        <v>3187</v>
      </c>
      <c r="I358" s="3691">
        <v>36</v>
      </c>
      <c r="J358" s="3691">
        <v>0</v>
      </c>
      <c r="K358" s="3691">
        <v>12</v>
      </c>
      <c r="L358" s="3691">
        <f t="shared" si="140"/>
        <v>3</v>
      </c>
      <c r="M358" s="3659">
        <v>45834</v>
      </c>
      <c r="N358" s="3659">
        <v>45839</v>
      </c>
      <c r="O358" s="3682"/>
      <c r="P358" s="3682" t="s">
        <v>82</v>
      </c>
      <c r="Q358" s="3682"/>
      <c r="R358" s="4083"/>
      <c r="S358" s="4083"/>
      <c r="T358" s="4083"/>
      <c r="U358" s="3645" t="s">
        <v>1387</v>
      </c>
      <c r="V358" s="3649" t="s">
        <v>3965</v>
      </c>
      <c r="W358" s="3657"/>
      <c r="X358" s="3657" t="s">
        <v>3966</v>
      </c>
      <c r="Y358" s="3657" t="s">
        <v>3967</v>
      </c>
      <c r="Z358" s="3691"/>
      <c r="AA358" s="3620" t="s">
        <v>3968</v>
      </c>
      <c r="AB358" s="3691" t="s">
        <v>1257</v>
      </c>
      <c r="AC358" s="4087">
        <v>2.0433</v>
      </c>
      <c r="AD358" s="3691">
        <f t="shared" si="147"/>
        <v>73.5588</v>
      </c>
      <c r="AE358" s="3645" t="s">
        <v>3969</v>
      </c>
      <c r="AF358" s="959" t="s">
        <v>3189</v>
      </c>
      <c r="AG358" s="3645" t="s">
        <v>416</v>
      </c>
      <c r="AH358" s="875"/>
      <c r="AI358" s="3691"/>
      <c r="AJ358" s="3691"/>
      <c r="AK358" s="875"/>
      <c r="AL358" s="3664"/>
      <c r="AM358" s="3664">
        <f>I358</f>
        <v>36</v>
      </c>
      <c r="AN358" s="3691"/>
      <c r="AO358" s="3691"/>
      <c r="AP358" s="3691">
        <f>I358</f>
        <v>36</v>
      </c>
      <c r="AQ358" s="4089"/>
      <c r="AR358" s="878"/>
      <c r="AS358" s="4089">
        <f t="shared" si="152"/>
        <v>36</v>
      </c>
      <c r="AT358" s="878"/>
      <c r="AU358" s="4089"/>
      <c r="AV358" s="4089"/>
      <c r="AW358" s="4089"/>
      <c r="AX358" s="4089"/>
      <c r="AY358" s="4089"/>
      <c r="AZ358" s="4089"/>
      <c r="BA358" s="4089"/>
      <c r="BB358" s="4089"/>
      <c r="BC358" s="4089"/>
      <c r="BD358" s="4089"/>
      <c r="BE358" s="4089"/>
      <c r="BF358" s="4089" t="s">
        <v>89</v>
      </c>
      <c r="BG358" s="4089"/>
      <c r="BH358" s="4089"/>
      <c r="BI358" s="4089"/>
      <c r="BJ358" s="4089"/>
      <c r="BK358" s="4089">
        <f>I358-BU358</f>
        <v>36</v>
      </c>
      <c r="BL358" s="4089"/>
      <c r="BM358" s="4089"/>
      <c r="BN358" s="4089"/>
      <c r="BO358" s="877"/>
      <c r="BP358" s="877"/>
      <c r="BQ358" s="877"/>
      <c r="BR358" s="877"/>
      <c r="BS358" s="877"/>
      <c r="BT358" s="991"/>
      <c r="BU358" s="911"/>
      <c r="BV358" s="4385">
        <f t="shared" si="141"/>
        <v>36</v>
      </c>
      <c r="BW358" s="4386">
        <f t="shared" si="144"/>
        <v>0</v>
      </c>
      <c r="BX358" s="4387"/>
      <c r="BY358" s="4387"/>
      <c r="BZ358" s="4387"/>
      <c r="CA358" s="4391" t="e">
        <f>VLOOKUP(D358&amp;G358&amp;H358&amp;I358,'9298 版本变更明细'!C:AJ,34,FALSE)</f>
        <v>#N/A</v>
      </c>
      <c r="CC358" s="4392"/>
      <c r="CD358" s="4391"/>
    </row>
    <row r="359" s="4025" customFormat="1" ht="50" customHeight="1" spans="1:82">
      <c r="A359" s="3688">
        <v>45791</v>
      </c>
      <c r="B359" s="4080" t="s">
        <v>3891</v>
      </c>
      <c r="C359" s="3664" t="s">
        <v>341</v>
      </c>
      <c r="D359" s="3690">
        <v>4500166375</v>
      </c>
      <c r="E359" s="3664" t="s">
        <v>3976</v>
      </c>
      <c r="F359" s="3690" t="s">
        <v>3977</v>
      </c>
      <c r="G359" s="3664" t="s">
        <v>2917</v>
      </c>
      <c r="H359" s="3691" t="s">
        <v>2591</v>
      </c>
      <c r="I359" s="3691">
        <v>2000</v>
      </c>
      <c r="J359" s="3691">
        <v>0</v>
      </c>
      <c r="K359" s="3691">
        <v>16</v>
      </c>
      <c r="L359" s="3691">
        <f t="shared" si="140"/>
        <v>125</v>
      </c>
      <c r="M359" s="3659">
        <v>45835</v>
      </c>
      <c r="N359" s="3659">
        <v>45831</v>
      </c>
      <c r="O359" s="3645"/>
      <c r="P359" s="3682" t="s">
        <v>82</v>
      </c>
      <c r="Q359" s="3682"/>
      <c r="R359" s="4083"/>
      <c r="S359" s="4083"/>
      <c r="T359" s="4083"/>
      <c r="U359" s="3645"/>
      <c r="V359" s="3649" t="s">
        <v>3978</v>
      </c>
      <c r="W359" s="3657"/>
      <c r="X359" s="3657" t="s">
        <v>3979</v>
      </c>
      <c r="Y359" s="3657"/>
      <c r="Z359" s="3691"/>
      <c r="AA359" s="3620" t="s">
        <v>3980</v>
      </c>
      <c r="AB359" s="3691" t="s">
        <v>3896</v>
      </c>
      <c r="AC359" s="4087">
        <v>2.2049</v>
      </c>
      <c r="AD359" s="4402">
        <f t="shared" si="147"/>
        <v>4409.8</v>
      </c>
      <c r="AE359" s="3645" t="s">
        <v>3981</v>
      </c>
      <c r="AF359" s="3664" t="s">
        <v>2917</v>
      </c>
      <c r="AG359" s="3645" t="s">
        <v>416</v>
      </c>
      <c r="AH359" s="905"/>
      <c r="AI359" s="3691">
        <f>I359</f>
        <v>2000</v>
      </c>
      <c r="AJ359" s="3691"/>
      <c r="AK359" s="905"/>
      <c r="AL359" s="3664"/>
      <c r="AM359" s="3664"/>
      <c r="AN359" s="3691"/>
      <c r="AO359" s="3691">
        <f>I359</f>
        <v>2000</v>
      </c>
      <c r="AP359" s="3691"/>
      <c r="AQ359" s="4089"/>
      <c r="AR359" s="4382"/>
      <c r="AS359" s="4089">
        <f t="shared" si="152"/>
        <v>2000</v>
      </c>
      <c r="AT359" s="4382"/>
      <c r="AU359" s="4089"/>
      <c r="AV359" s="4089"/>
      <c r="AW359" s="4089"/>
      <c r="AX359" s="4089"/>
      <c r="AY359" s="4089"/>
      <c r="AZ359" s="4089"/>
      <c r="BA359" s="4089">
        <f>I359/4</f>
        <v>500</v>
      </c>
      <c r="BB359" s="4089"/>
      <c r="BC359" s="4089"/>
      <c r="BD359" s="4089"/>
      <c r="BE359" s="4089"/>
      <c r="BF359" s="4089" t="s">
        <v>89</v>
      </c>
      <c r="BG359" s="4089"/>
      <c r="BH359" s="4089">
        <f t="shared" ref="BH359:BH377" si="153">I359/60*10</f>
        <v>333.333333333333</v>
      </c>
      <c r="BI359" s="4089">
        <f t="shared" ref="BI359:BI377" si="154">I359/60*10</f>
        <v>333.333333333333</v>
      </c>
      <c r="BJ359" s="4089">
        <f t="shared" ref="BJ359:BJ377" si="155">I359/60*10</f>
        <v>333.333333333333</v>
      </c>
      <c r="BK359" s="4089">
        <f t="shared" ref="BK359:BK377" si="156">I359/60*10</f>
        <v>333.333333333333</v>
      </c>
      <c r="BL359" s="4089">
        <f t="shared" ref="BL359:BL377" si="157">I359/60*10</f>
        <v>333.333333333333</v>
      </c>
      <c r="BM359" s="4089">
        <f t="shared" ref="BM359:BM377" si="158">I359/60*8</f>
        <v>266.666666666667</v>
      </c>
      <c r="BN359" s="4089">
        <f t="shared" ref="BN359:BN416" si="159">I359/60*2</f>
        <v>66.6666666666667</v>
      </c>
      <c r="BO359" s="907"/>
      <c r="BP359" s="907"/>
      <c r="BQ359" s="907"/>
      <c r="BR359" s="907"/>
      <c r="BS359" s="907"/>
      <c r="BT359" s="910"/>
      <c r="BU359" s="911"/>
      <c r="BV359" s="4385">
        <f t="shared" si="141"/>
        <v>2000</v>
      </c>
      <c r="BW359" s="4386">
        <f t="shared" si="144"/>
        <v>0</v>
      </c>
      <c r="BX359" s="4387"/>
      <c r="BY359" s="4387"/>
      <c r="BZ359" s="4387"/>
      <c r="CA359" s="4391" t="str">
        <f>VLOOKUP(D359&amp;G359&amp;H359&amp;I359,'9298 版本变更明细'!C:AJ,34,FALSE)</f>
        <v>B版本膜+A版本指南+口水胶+C版本配件包（香味贴纸/指定配件）</v>
      </c>
      <c r="CC359" s="4392"/>
      <c r="CD359" s="4391"/>
    </row>
    <row r="360" s="4025" customFormat="1" ht="50" customHeight="1" spans="1:82">
      <c r="A360" s="3688">
        <v>45793</v>
      </c>
      <c r="B360" s="4080" t="s">
        <v>3982</v>
      </c>
      <c r="C360" s="3664" t="s">
        <v>738</v>
      </c>
      <c r="D360" s="3690">
        <v>4500165746</v>
      </c>
      <c r="E360" s="3664"/>
      <c r="F360" s="3690" t="s">
        <v>3983</v>
      </c>
      <c r="G360" s="3664" t="s">
        <v>2577</v>
      </c>
      <c r="H360" s="3664" t="s">
        <v>2578</v>
      </c>
      <c r="I360" s="3691">
        <v>552</v>
      </c>
      <c r="J360" s="3691">
        <v>0</v>
      </c>
      <c r="K360" s="3691">
        <v>12</v>
      </c>
      <c r="L360" s="3691">
        <f t="shared" si="140"/>
        <v>46</v>
      </c>
      <c r="M360" s="3659">
        <v>45835</v>
      </c>
      <c r="N360" s="3659">
        <v>45842</v>
      </c>
      <c r="O360" s="3664"/>
      <c r="P360" s="3682"/>
      <c r="Q360" s="3682"/>
      <c r="R360" s="4083"/>
      <c r="S360" s="4083"/>
      <c r="T360" s="4083"/>
      <c r="U360" s="3620" t="s">
        <v>1387</v>
      </c>
      <c r="V360" s="3649">
        <v>45806</v>
      </c>
      <c r="W360" s="3657"/>
      <c r="X360" s="3657" t="s">
        <v>3984</v>
      </c>
      <c r="Y360" s="3657"/>
      <c r="Z360" s="3691"/>
      <c r="AA360" s="3620" t="s">
        <v>3985</v>
      </c>
      <c r="AB360" s="3691" t="s">
        <v>1257</v>
      </c>
      <c r="AC360" s="3691">
        <v>2.0933</v>
      </c>
      <c r="AD360" s="3691">
        <f t="shared" si="147"/>
        <v>1155.5016</v>
      </c>
      <c r="AE360" s="3633" t="s">
        <v>3986</v>
      </c>
      <c r="AF360" s="3664" t="s">
        <v>2604</v>
      </c>
      <c r="AG360" s="3645" t="s">
        <v>416</v>
      </c>
      <c r="AH360" s="905"/>
      <c r="AI360" s="3691"/>
      <c r="AJ360" s="3691"/>
      <c r="AK360" s="905"/>
      <c r="AL360" s="3664">
        <f>I360</f>
        <v>552</v>
      </c>
      <c r="AM360" s="3664"/>
      <c r="AN360" s="3691"/>
      <c r="AO360" s="3691">
        <f>I360</f>
        <v>552</v>
      </c>
      <c r="AP360" s="3691"/>
      <c r="AQ360" s="4089"/>
      <c r="AR360" s="4382"/>
      <c r="AS360" s="4089">
        <f t="shared" si="152"/>
        <v>552</v>
      </c>
      <c r="AT360" s="4382"/>
      <c r="AU360" s="4089"/>
      <c r="AV360" s="4089">
        <f>I360/6</f>
        <v>92</v>
      </c>
      <c r="AW360" s="4089"/>
      <c r="AX360" s="4089"/>
      <c r="AY360" s="4089"/>
      <c r="AZ360" s="4089"/>
      <c r="BA360" s="4089"/>
      <c r="BB360" s="4089"/>
      <c r="BC360" s="4089"/>
      <c r="BD360" s="4089"/>
      <c r="BE360" s="4089"/>
      <c r="BF360" s="4089" t="s">
        <v>89</v>
      </c>
      <c r="BG360" s="4089"/>
      <c r="BH360" s="4089">
        <f t="shared" si="153"/>
        <v>92</v>
      </c>
      <c r="BI360" s="4089">
        <f t="shared" si="154"/>
        <v>92</v>
      </c>
      <c r="BJ360" s="4089">
        <f t="shared" si="155"/>
        <v>92</v>
      </c>
      <c r="BK360" s="4089">
        <f t="shared" si="156"/>
        <v>92</v>
      </c>
      <c r="BL360" s="4089">
        <f t="shared" si="157"/>
        <v>92</v>
      </c>
      <c r="BM360" s="4089">
        <f t="shared" si="158"/>
        <v>73.6</v>
      </c>
      <c r="BN360" s="4089">
        <f t="shared" si="159"/>
        <v>18.4</v>
      </c>
      <c r="BO360" s="4417"/>
      <c r="BP360" s="4417"/>
      <c r="BQ360" s="4417"/>
      <c r="BR360" s="4417"/>
      <c r="BS360" s="4417"/>
      <c r="BT360" s="4472"/>
      <c r="BU360" s="4418"/>
      <c r="BV360" s="4385">
        <f t="shared" si="141"/>
        <v>552</v>
      </c>
      <c r="BW360" s="4386">
        <f t="shared" si="144"/>
        <v>0</v>
      </c>
      <c r="BX360" s="4387"/>
      <c r="BY360" s="4387"/>
      <c r="BZ360" s="4387"/>
      <c r="CA360" s="4391" t="str">
        <f>VLOOKUP(D360&amp;G360&amp;H360&amp;I360,'9298 版本变更明细'!C:AJ,34,FALSE)</f>
        <v>B版本膜+A版本指南+口水胶+C版本配件包（香味贴纸/指定配件）</v>
      </c>
      <c r="CC360" s="4392"/>
      <c r="CD360" s="4391"/>
    </row>
    <row r="361" s="4025" customFormat="1" ht="50" customHeight="1" spans="1:82">
      <c r="A361" s="4428">
        <v>45790</v>
      </c>
      <c r="B361" s="3617" t="s">
        <v>340</v>
      </c>
      <c r="C361" s="959" t="s">
        <v>341</v>
      </c>
      <c r="D361" s="3618">
        <v>4500164499</v>
      </c>
      <c r="E361" s="959" t="s">
        <v>3987</v>
      </c>
      <c r="F361" s="959" t="s">
        <v>3988</v>
      </c>
      <c r="G361" s="959" t="s">
        <v>3343</v>
      </c>
      <c r="H361" s="3664" t="s">
        <v>3344</v>
      </c>
      <c r="I361" s="3618">
        <v>2000</v>
      </c>
      <c r="J361" s="3618">
        <v>0</v>
      </c>
      <c r="K361" s="3618">
        <v>1</v>
      </c>
      <c r="L361" s="3618">
        <f t="shared" si="140"/>
        <v>2000</v>
      </c>
      <c r="M361" s="3619">
        <v>45835</v>
      </c>
      <c r="N361" s="3619">
        <v>45831</v>
      </c>
      <c r="O361" s="4085"/>
      <c r="P361" s="3682" t="s">
        <v>82</v>
      </c>
      <c r="Q361" s="3682"/>
      <c r="R361" s="4083"/>
      <c r="S361" s="4083"/>
      <c r="T361" s="4083"/>
      <c r="U361" s="3620" t="s">
        <v>203</v>
      </c>
      <c r="V361" s="3649" t="s">
        <v>3802</v>
      </c>
      <c r="W361" s="3657"/>
      <c r="X361" s="3657" t="s">
        <v>1099</v>
      </c>
      <c r="Y361" s="3657"/>
      <c r="Z361" s="3691"/>
      <c r="AA361" s="3620" t="s">
        <v>3989</v>
      </c>
      <c r="AB361" s="3618" t="s">
        <v>3990</v>
      </c>
      <c r="AC361" s="4058">
        <v>8.8357</v>
      </c>
      <c r="AD361" s="3618">
        <f t="shared" si="147"/>
        <v>17671.4</v>
      </c>
      <c r="AE361" s="3645"/>
      <c r="AF361" s="3664" t="s">
        <v>3349</v>
      </c>
      <c r="AG361" s="3645" t="s">
        <v>416</v>
      </c>
      <c r="AH361" s="3708"/>
      <c r="AI361" s="3691">
        <f>I361</f>
        <v>2000</v>
      </c>
      <c r="AJ361" s="3691"/>
      <c r="AK361" s="3708"/>
      <c r="AL361" s="3664"/>
      <c r="AM361" s="3664"/>
      <c r="AN361" s="3691"/>
      <c r="AO361" s="3691">
        <f>I361</f>
        <v>2000</v>
      </c>
      <c r="AP361" s="3691"/>
      <c r="AQ361" s="4089"/>
      <c r="AR361" s="1048"/>
      <c r="AS361" s="4089">
        <f t="shared" si="152"/>
        <v>2000</v>
      </c>
      <c r="AT361" s="1048"/>
      <c r="AU361" s="4089"/>
      <c r="AV361" s="4089"/>
      <c r="AW361" s="4089"/>
      <c r="AX361" s="4089"/>
      <c r="AY361" s="4089"/>
      <c r="AZ361" s="4089"/>
      <c r="BA361" s="4089"/>
      <c r="BB361" s="4089"/>
      <c r="BC361" s="4089">
        <f>I361</f>
        <v>2000</v>
      </c>
      <c r="BD361" s="4089"/>
      <c r="BE361" s="4089"/>
      <c r="BF361" s="4089" t="s">
        <v>89</v>
      </c>
      <c r="BG361" s="4089"/>
      <c r="BH361" s="4089">
        <f t="shared" si="153"/>
        <v>333.333333333333</v>
      </c>
      <c r="BI361" s="4089">
        <f t="shared" si="154"/>
        <v>333.333333333333</v>
      </c>
      <c r="BJ361" s="4089">
        <f t="shared" si="155"/>
        <v>333.333333333333</v>
      </c>
      <c r="BK361" s="4089">
        <f t="shared" si="156"/>
        <v>333.333333333333</v>
      </c>
      <c r="BL361" s="4089">
        <f t="shared" si="157"/>
        <v>333.333333333333</v>
      </c>
      <c r="BM361" s="4089">
        <f t="shared" si="158"/>
        <v>266.666666666667</v>
      </c>
      <c r="BN361" s="4089">
        <f t="shared" si="159"/>
        <v>66.6666666666667</v>
      </c>
      <c r="BO361" s="4413"/>
      <c r="BP361" s="4413"/>
      <c r="BQ361" s="4413"/>
      <c r="BR361" s="4413"/>
      <c r="BS361" s="4413"/>
      <c r="BT361" s="4431"/>
      <c r="BU361" s="4432"/>
      <c r="BV361" s="4385">
        <f t="shared" si="141"/>
        <v>2000</v>
      </c>
      <c r="BW361" s="4386">
        <f t="shared" si="144"/>
        <v>0</v>
      </c>
      <c r="BX361" s="4387"/>
      <c r="BY361" s="4387"/>
      <c r="BZ361" s="4387"/>
      <c r="CA361" s="4391" t="str">
        <f>VLOOKUP(D361&amp;G361&amp;H361&amp;I361,'9298 版本变更明细'!C:AJ,34,FALSE)</f>
        <v>B版本膜+A版本指南+口水胶+C版本配件包（香味贴纸/指定配件）</v>
      </c>
      <c r="CC361" s="4392"/>
      <c r="CD361" s="4391"/>
    </row>
    <row r="362" s="4025" customFormat="1" ht="50" customHeight="1" spans="1:82">
      <c r="A362" s="3688">
        <v>45803</v>
      </c>
      <c r="B362" s="4080" t="s">
        <v>3608</v>
      </c>
      <c r="C362" s="3664" t="s">
        <v>738</v>
      </c>
      <c r="D362" s="3690">
        <v>4500167897</v>
      </c>
      <c r="E362" s="3664">
        <v>5251217150</v>
      </c>
      <c r="F362" s="3690" t="s">
        <v>3991</v>
      </c>
      <c r="G362" s="3664" t="s">
        <v>2627</v>
      </c>
      <c r="H362" s="3664" t="s">
        <v>2591</v>
      </c>
      <c r="I362" s="3691">
        <v>96</v>
      </c>
      <c r="J362" s="3691">
        <v>0</v>
      </c>
      <c r="K362" s="3691">
        <v>24</v>
      </c>
      <c r="L362" s="3691">
        <f t="shared" si="140"/>
        <v>4</v>
      </c>
      <c r="M362" s="3659">
        <v>45836</v>
      </c>
      <c r="N362" s="3659">
        <v>45832</v>
      </c>
      <c r="O362" s="3645"/>
      <c r="P362" s="3682" t="s">
        <v>82</v>
      </c>
      <c r="Q362" s="3682"/>
      <c r="R362" s="4083"/>
      <c r="S362" s="4083"/>
      <c r="T362" s="4083"/>
      <c r="U362" s="3620" t="s">
        <v>200</v>
      </c>
      <c r="V362" s="3649" t="s">
        <v>3992</v>
      </c>
      <c r="W362" s="3657"/>
      <c r="X362" s="3657" t="s">
        <v>3993</v>
      </c>
      <c r="Y362" s="3657"/>
      <c r="Z362" s="3691"/>
      <c r="AA362" s="3620" t="s">
        <v>3994</v>
      </c>
      <c r="AB362" s="3691" t="s">
        <v>1257</v>
      </c>
      <c r="AC362" s="3691">
        <v>2.0891</v>
      </c>
      <c r="AD362" s="3691">
        <f t="shared" si="147"/>
        <v>200.5536</v>
      </c>
      <c r="AE362" s="3645" t="s">
        <v>3995</v>
      </c>
      <c r="AF362" s="3664" t="s">
        <v>2890</v>
      </c>
      <c r="AG362" s="3645" t="s">
        <v>416</v>
      </c>
      <c r="AH362" s="905"/>
      <c r="AI362" s="3691"/>
      <c r="AJ362" s="3691"/>
      <c r="AK362" s="905"/>
      <c r="AL362" s="3664"/>
      <c r="AM362" s="3664">
        <f>I362</f>
        <v>96</v>
      </c>
      <c r="AN362" s="3691"/>
      <c r="AO362" s="3691"/>
      <c r="AP362" s="3691">
        <f>I362</f>
        <v>96</v>
      </c>
      <c r="AQ362" s="4089"/>
      <c r="AR362" s="4382"/>
      <c r="AS362" s="4089">
        <f t="shared" si="152"/>
        <v>96</v>
      </c>
      <c r="AT362" s="4382"/>
      <c r="AU362" s="4089"/>
      <c r="AV362" s="4089"/>
      <c r="AW362" s="4089"/>
      <c r="AX362" s="4089"/>
      <c r="AY362" s="4089"/>
      <c r="AZ362" s="4089"/>
      <c r="BA362" s="4089"/>
      <c r="BB362" s="4089"/>
      <c r="BC362" s="4089"/>
      <c r="BD362" s="4089"/>
      <c r="BE362" s="4089"/>
      <c r="BF362" s="4089" t="s">
        <v>89</v>
      </c>
      <c r="BG362" s="4089"/>
      <c r="BH362" s="4089">
        <f t="shared" si="153"/>
        <v>16</v>
      </c>
      <c r="BI362" s="4089">
        <f t="shared" si="154"/>
        <v>16</v>
      </c>
      <c r="BJ362" s="4089">
        <f t="shared" si="155"/>
        <v>16</v>
      </c>
      <c r="BK362" s="4089">
        <f t="shared" si="156"/>
        <v>16</v>
      </c>
      <c r="BL362" s="4089">
        <f t="shared" si="157"/>
        <v>16</v>
      </c>
      <c r="BM362" s="4089">
        <f t="shared" si="158"/>
        <v>12.8</v>
      </c>
      <c r="BN362" s="4089">
        <f t="shared" si="159"/>
        <v>3.2</v>
      </c>
      <c r="BO362" s="907"/>
      <c r="BP362" s="907"/>
      <c r="BQ362" s="907"/>
      <c r="BR362" s="907"/>
      <c r="BS362" s="907"/>
      <c r="BT362" s="910"/>
      <c r="BU362" s="911"/>
      <c r="BV362" s="4385">
        <f t="shared" si="141"/>
        <v>96</v>
      </c>
      <c r="BW362" s="4386">
        <f t="shared" si="144"/>
        <v>0</v>
      </c>
      <c r="BX362" s="4387"/>
      <c r="BY362" s="4387"/>
      <c r="BZ362" s="4387"/>
      <c r="CA362" s="4391" t="str">
        <f>VLOOKUP(D362&amp;G362&amp;H362&amp;I362,'9298 版本变更明细'!C:AJ,34,FALSE)</f>
        <v>C版本收缩膜+指南+A版本口水胶+C版本配件包（香味贴纸/指定配件）</v>
      </c>
      <c r="CC362" s="4392"/>
      <c r="CD362" s="4391"/>
    </row>
    <row r="363" s="4025" customFormat="1" ht="50" customHeight="1" spans="1:82">
      <c r="A363" s="3688">
        <v>45750</v>
      </c>
      <c r="B363" s="4080" t="s">
        <v>1315</v>
      </c>
      <c r="C363" s="3664" t="s">
        <v>1316</v>
      </c>
      <c r="D363" s="3690">
        <v>4500166280</v>
      </c>
      <c r="E363" s="3664" t="s">
        <v>1436</v>
      </c>
      <c r="F363" s="3690" t="s">
        <v>1437</v>
      </c>
      <c r="G363" s="3664" t="s">
        <v>3821</v>
      </c>
      <c r="H363" s="3664" t="s">
        <v>1320</v>
      </c>
      <c r="I363" s="3691">
        <v>2852</v>
      </c>
      <c r="J363" s="3691">
        <v>0</v>
      </c>
      <c r="K363" s="3691">
        <v>4</v>
      </c>
      <c r="L363" s="3691">
        <f t="shared" si="140"/>
        <v>713</v>
      </c>
      <c r="M363" s="3659">
        <v>45836</v>
      </c>
      <c r="N363" s="3659">
        <f>M363-4</f>
        <v>45832</v>
      </c>
      <c r="O363" s="3664" t="s">
        <v>1374</v>
      </c>
      <c r="P363" s="3682" t="s">
        <v>82</v>
      </c>
      <c r="Q363" s="3682"/>
      <c r="R363" s="4083"/>
      <c r="S363" s="4083"/>
      <c r="T363" s="4083"/>
      <c r="U363" s="3691" t="s">
        <v>401</v>
      </c>
      <c r="V363" s="3649" t="s">
        <v>1322</v>
      </c>
      <c r="W363" s="3657"/>
      <c r="X363" s="3657" t="s">
        <v>1876</v>
      </c>
      <c r="Y363" s="3657"/>
      <c r="Z363" s="3691" t="s">
        <v>1438</v>
      </c>
      <c r="AA363" s="3620" t="s">
        <v>1376</v>
      </c>
      <c r="AB363" s="3691" t="s">
        <v>1326</v>
      </c>
      <c r="AC363" s="3691">
        <v>16.8855</v>
      </c>
      <c r="AD363" s="3691">
        <f>AC363*L363</f>
        <v>12039.3615</v>
      </c>
      <c r="AE363" s="3645"/>
      <c r="AF363" s="3664" t="s">
        <v>3822</v>
      </c>
      <c r="AG363" s="3645" t="s">
        <v>416</v>
      </c>
      <c r="AH363" s="3708"/>
      <c r="AI363" s="3691"/>
      <c r="AJ363" s="3691"/>
      <c r="AK363" s="3708"/>
      <c r="AL363" s="3664"/>
      <c r="AM363" s="3664"/>
      <c r="AN363" s="3691">
        <f>I363</f>
        <v>2852</v>
      </c>
      <c r="AO363" s="3691"/>
      <c r="AP363" s="3691"/>
      <c r="AQ363" s="4089">
        <f>I363</f>
        <v>2852</v>
      </c>
      <c r="AR363" s="1048"/>
      <c r="AS363" s="4089">
        <f t="shared" si="152"/>
        <v>2852</v>
      </c>
      <c r="AT363" s="1048"/>
      <c r="AU363" s="4089"/>
      <c r="AV363" s="4089"/>
      <c r="AW363" s="4089"/>
      <c r="AX363" s="4089"/>
      <c r="AY363" s="4089"/>
      <c r="AZ363" s="4089"/>
      <c r="BA363" s="4089"/>
      <c r="BB363" s="4089"/>
      <c r="BC363" s="4089">
        <f>I363/4</f>
        <v>713</v>
      </c>
      <c r="BD363" s="4089"/>
      <c r="BE363" s="4089"/>
      <c r="BF363" s="4089" t="s">
        <v>1327</v>
      </c>
      <c r="BG363" s="4089"/>
      <c r="BH363" s="4089">
        <f t="shared" si="153"/>
        <v>475.333333333333</v>
      </c>
      <c r="BI363" s="4089">
        <f t="shared" si="154"/>
        <v>475.333333333333</v>
      </c>
      <c r="BJ363" s="4089">
        <f t="shared" si="155"/>
        <v>475.333333333333</v>
      </c>
      <c r="BK363" s="4089">
        <f t="shared" si="156"/>
        <v>475.333333333333</v>
      </c>
      <c r="BL363" s="4089">
        <f t="shared" si="157"/>
        <v>475.333333333333</v>
      </c>
      <c r="BM363" s="4089">
        <f t="shared" si="158"/>
        <v>380.266666666667</v>
      </c>
      <c r="BN363" s="4089">
        <f t="shared" si="159"/>
        <v>95.0666666666667</v>
      </c>
      <c r="BO363" s="1048"/>
      <c r="BP363" s="1048"/>
      <c r="BQ363" s="1048"/>
      <c r="BR363" s="1048"/>
      <c r="BS363" s="1048"/>
      <c r="BT363" s="4414"/>
      <c r="BU363" s="4415"/>
      <c r="BV363" s="4385">
        <f t="shared" si="141"/>
        <v>2852</v>
      </c>
      <c r="BW363" s="4386">
        <f t="shared" si="144"/>
        <v>0</v>
      </c>
      <c r="BX363" s="4387"/>
      <c r="BY363" s="4387"/>
      <c r="BZ363" s="4387"/>
      <c r="CA363" s="4391" t="str">
        <f>VLOOKUP(D363&amp;G363&amp;H363&amp;I363,'9298 版本变更明细'!C:AJ,34,FALSE)</f>
        <v>A版本口水胶+C版本配件包（香味贴纸/指定配件）</v>
      </c>
      <c r="CC363" s="4392"/>
      <c r="CD363" s="4391"/>
    </row>
    <row r="364" s="4025" customFormat="1" ht="50" customHeight="1" spans="1:82">
      <c r="A364" s="3688">
        <v>45750</v>
      </c>
      <c r="B364" s="3689" t="s">
        <v>1315</v>
      </c>
      <c r="C364" s="3664" t="s">
        <v>1316</v>
      </c>
      <c r="D364" s="3690">
        <v>4500166280</v>
      </c>
      <c r="E364" s="3664" t="s">
        <v>1439</v>
      </c>
      <c r="F364" s="3690" t="s">
        <v>1440</v>
      </c>
      <c r="G364" s="3664" t="s">
        <v>3821</v>
      </c>
      <c r="H364" s="3664" t="s">
        <v>1320</v>
      </c>
      <c r="I364" s="3691">
        <v>5660</v>
      </c>
      <c r="J364" s="3691">
        <v>0</v>
      </c>
      <c r="K364" s="3691">
        <v>4</v>
      </c>
      <c r="L364" s="3691">
        <f t="shared" si="140"/>
        <v>1415</v>
      </c>
      <c r="M364" s="3659">
        <v>45836</v>
      </c>
      <c r="N364" s="3659">
        <v>45833</v>
      </c>
      <c r="O364" s="3664" t="s">
        <v>1374</v>
      </c>
      <c r="P364" s="3682" t="s">
        <v>82</v>
      </c>
      <c r="Q364" s="3682"/>
      <c r="R364" s="4083"/>
      <c r="S364" s="4083"/>
      <c r="T364" s="4083"/>
      <c r="U364" s="3691" t="s">
        <v>401</v>
      </c>
      <c r="V364" s="3649" t="s">
        <v>1322</v>
      </c>
      <c r="W364" s="3657"/>
      <c r="X364" s="3657" t="s">
        <v>1876</v>
      </c>
      <c r="Y364" s="3657"/>
      <c r="Z364" s="3691" t="s">
        <v>1441</v>
      </c>
      <c r="AA364" s="3620" t="s">
        <v>1376</v>
      </c>
      <c r="AB364" s="3691" t="s">
        <v>1326</v>
      </c>
      <c r="AC364" s="3691">
        <v>16.7342</v>
      </c>
      <c r="AD364" s="3691">
        <f>AC364*L364</f>
        <v>23678.893</v>
      </c>
      <c r="AE364" s="3645"/>
      <c r="AF364" s="3664" t="s">
        <v>3822</v>
      </c>
      <c r="AG364" s="3645" t="s">
        <v>416</v>
      </c>
      <c r="AH364" s="3708"/>
      <c r="AI364" s="3691"/>
      <c r="AJ364" s="3691"/>
      <c r="AK364" s="3708"/>
      <c r="AL364" s="3664"/>
      <c r="AM364" s="3664"/>
      <c r="AN364" s="3691">
        <f>I364</f>
        <v>5660</v>
      </c>
      <c r="AO364" s="3691"/>
      <c r="AP364" s="3691"/>
      <c r="AQ364" s="4089">
        <f>I364</f>
        <v>5660</v>
      </c>
      <c r="AR364" s="1048"/>
      <c r="AS364" s="4089">
        <f t="shared" si="152"/>
        <v>5660</v>
      </c>
      <c r="AT364" s="1048"/>
      <c r="AU364" s="4089"/>
      <c r="AV364" s="4089"/>
      <c r="AW364" s="4089"/>
      <c r="AX364" s="4089"/>
      <c r="AY364" s="4089"/>
      <c r="AZ364" s="4089"/>
      <c r="BA364" s="4089"/>
      <c r="BB364" s="4089"/>
      <c r="BC364" s="4089">
        <f>I364/4</f>
        <v>1415</v>
      </c>
      <c r="BD364" s="4089"/>
      <c r="BE364" s="4089"/>
      <c r="BF364" s="4089" t="s">
        <v>1327</v>
      </c>
      <c r="BG364" s="4089"/>
      <c r="BH364" s="4089">
        <f t="shared" si="153"/>
        <v>943.333333333333</v>
      </c>
      <c r="BI364" s="4089">
        <f t="shared" si="154"/>
        <v>943.333333333333</v>
      </c>
      <c r="BJ364" s="4089">
        <f t="shared" si="155"/>
        <v>943.333333333333</v>
      </c>
      <c r="BK364" s="4089">
        <f t="shared" si="156"/>
        <v>943.333333333333</v>
      </c>
      <c r="BL364" s="4089">
        <f t="shared" si="157"/>
        <v>943.333333333333</v>
      </c>
      <c r="BM364" s="4089">
        <f t="shared" si="158"/>
        <v>754.666666666667</v>
      </c>
      <c r="BN364" s="4089">
        <f t="shared" si="159"/>
        <v>188.666666666667</v>
      </c>
      <c r="BO364" s="1048"/>
      <c r="BP364" s="1048"/>
      <c r="BQ364" s="1048"/>
      <c r="BR364" s="1048"/>
      <c r="BS364" s="1048"/>
      <c r="BT364" s="4414"/>
      <c r="BU364" s="4415"/>
      <c r="BV364" s="4385">
        <f t="shared" si="141"/>
        <v>5660</v>
      </c>
      <c r="BW364" s="4386">
        <f t="shared" si="144"/>
        <v>0</v>
      </c>
      <c r="BX364" s="4387"/>
      <c r="BY364" s="4387"/>
      <c r="BZ364" s="4387"/>
      <c r="CA364" s="4391" t="str">
        <f>VLOOKUP(D364&amp;G364&amp;H364&amp;I364,'9298 版本变更明细'!C:AJ,34,FALSE)</f>
        <v>A版本口水胶+C版本配件包（香味贴纸/指定配件）</v>
      </c>
      <c r="CC364" s="4392"/>
      <c r="CD364" s="4391"/>
    </row>
    <row r="365" s="4025" customFormat="1" ht="50" customHeight="1" spans="1:82">
      <c r="A365" s="3688">
        <v>45792</v>
      </c>
      <c r="B365" s="3689" t="s">
        <v>1384</v>
      </c>
      <c r="C365" s="3664" t="s">
        <v>1385</v>
      </c>
      <c r="D365" s="3690">
        <v>4500166516</v>
      </c>
      <c r="E365" s="3664"/>
      <c r="F365" s="4086" t="s">
        <v>3996</v>
      </c>
      <c r="G365" s="3664" t="s">
        <v>2806</v>
      </c>
      <c r="H365" s="3664" t="s">
        <v>2591</v>
      </c>
      <c r="I365" s="3691">
        <v>480</v>
      </c>
      <c r="J365" s="3691">
        <v>0</v>
      </c>
      <c r="K365" s="3691">
        <v>12</v>
      </c>
      <c r="L365" s="3691">
        <f t="shared" si="140"/>
        <v>40</v>
      </c>
      <c r="M365" s="3659">
        <v>45838</v>
      </c>
      <c r="N365" s="3659">
        <f>M365-4</f>
        <v>45834</v>
      </c>
      <c r="O365" s="3645"/>
      <c r="P365" s="3682" t="s">
        <v>82</v>
      </c>
      <c r="Q365" s="3682"/>
      <c r="R365" s="4083"/>
      <c r="S365" s="4083"/>
      <c r="T365" s="4083"/>
      <c r="U365" s="3645" t="s">
        <v>1387</v>
      </c>
      <c r="V365" s="3649" t="s">
        <v>3997</v>
      </c>
      <c r="W365" s="3657"/>
      <c r="X365" s="3657" t="s">
        <v>98</v>
      </c>
      <c r="Y365" s="3657"/>
      <c r="Z365" s="3691"/>
      <c r="AA365" s="3620" t="s">
        <v>1388</v>
      </c>
      <c r="AB365" s="3691" t="s">
        <v>1389</v>
      </c>
      <c r="AC365" s="4087">
        <v>2.1439</v>
      </c>
      <c r="AD365" s="3691">
        <f>AC365*I365</f>
        <v>1029.072</v>
      </c>
      <c r="AE365" s="3645" t="s">
        <v>1390</v>
      </c>
      <c r="AF365" s="3664" t="s">
        <v>2806</v>
      </c>
      <c r="AG365" s="3645" t="s">
        <v>416</v>
      </c>
      <c r="AH365" s="905"/>
      <c r="AI365" s="3691">
        <f>I365</f>
        <v>480</v>
      </c>
      <c r="AJ365" s="3691"/>
      <c r="AK365" s="905"/>
      <c r="AL365" s="3664"/>
      <c r="AM365" s="3664"/>
      <c r="AN365" s="3691"/>
      <c r="AO365" s="3691">
        <f>I365</f>
        <v>480</v>
      </c>
      <c r="AP365" s="3691"/>
      <c r="AQ365" s="4089"/>
      <c r="AR365" s="4382"/>
      <c r="AS365" s="4089">
        <f t="shared" si="152"/>
        <v>480</v>
      </c>
      <c r="AT365" s="4382"/>
      <c r="AU365" s="4089"/>
      <c r="AV365" s="4089"/>
      <c r="AW365" s="4089"/>
      <c r="AX365" s="4089">
        <f>I365/6</f>
        <v>80</v>
      </c>
      <c r="AY365" s="4089"/>
      <c r="AZ365" s="4089"/>
      <c r="BA365" s="4089"/>
      <c r="BB365" s="4089"/>
      <c r="BC365" s="4089"/>
      <c r="BD365" s="4089"/>
      <c r="BE365" s="4089"/>
      <c r="BF365" s="4089" t="s">
        <v>89</v>
      </c>
      <c r="BG365" s="4089"/>
      <c r="BH365" s="4089">
        <f t="shared" si="153"/>
        <v>80</v>
      </c>
      <c r="BI365" s="4089">
        <f t="shared" si="154"/>
        <v>80</v>
      </c>
      <c r="BJ365" s="4089">
        <f t="shared" si="155"/>
        <v>80</v>
      </c>
      <c r="BK365" s="4089">
        <f t="shared" si="156"/>
        <v>80</v>
      </c>
      <c r="BL365" s="4089">
        <f t="shared" si="157"/>
        <v>80</v>
      </c>
      <c r="BM365" s="4089">
        <f t="shared" si="158"/>
        <v>64</v>
      </c>
      <c r="BN365" s="4089">
        <f t="shared" si="159"/>
        <v>16</v>
      </c>
      <c r="BO365" s="4440"/>
      <c r="BP365" s="4440"/>
      <c r="BQ365" s="4440"/>
      <c r="BR365" s="4440"/>
      <c r="BS365" s="4440"/>
      <c r="BT365" s="4441"/>
      <c r="BU365" s="4442"/>
      <c r="BV365" s="4385">
        <f t="shared" si="141"/>
        <v>480</v>
      </c>
      <c r="BW365" s="4386">
        <f t="shared" si="144"/>
        <v>0</v>
      </c>
      <c r="BX365" s="4387"/>
      <c r="BY365" s="4387"/>
      <c r="BZ365" s="4387"/>
      <c r="CA365" s="4391" t="str">
        <f>VLOOKUP(D365&amp;G365&amp;H365&amp;I365,'9298 版本变更明细'!C:AJ,34,FALSE)</f>
        <v>B版本膜+A版本指南+口水胶+C版本配件包（香味贴纸/指定配件）</v>
      </c>
      <c r="CC365" s="4392"/>
      <c r="CD365" s="4391"/>
    </row>
    <row r="366" s="4025" customFormat="1" ht="50" customHeight="1" spans="1:82">
      <c r="A366" s="3688">
        <v>45797</v>
      </c>
      <c r="B366" s="3689" t="s">
        <v>505</v>
      </c>
      <c r="C366" s="3664" t="s">
        <v>506</v>
      </c>
      <c r="D366" s="3690">
        <v>4500166286</v>
      </c>
      <c r="E366" s="3664">
        <v>20846869</v>
      </c>
      <c r="F366" s="4086" t="s">
        <v>3998</v>
      </c>
      <c r="G366" s="3664" t="s">
        <v>2577</v>
      </c>
      <c r="H366" s="3664" t="s">
        <v>2578</v>
      </c>
      <c r="I366" s="3691">
        <v>876</v>
      </c>
      <c r="J366" s="3691">
        <v>0</v>
      </c>
      <c r="K366" s="3691">
        <v>12</v>
      </c>
      <c r="L366" s="3691">
        <f t="shared" si="140"/>
        <v>73</v>
      </c>
      <c r="M366" s="3659">
        <v>45838</v>
      </c>
      <c r="N366" s="3659">
        <f>M366-4</f>
        <v>45834</v>
      </c>
      <c r="O366" s="3645"/>
      <c r="P366" s="3682" t="s">
        <v>82</v>
      </c>
      <c r="Q366" s="3682"/>
      <c r="R366" s="4083"/>
      <c r="S366" s="4083"/>
      <c r="T366" s="4083"/>
      <c r="U366" s="3645" t="s">
        <v>3999</v>
      </c>
      <c r="V366" s="3649" t="s">
        <v>3802</v>
      </c>
      <c r="W366" s="3657"/>
      <c r="X366" s="3657" t="s">
        <v>1534</v>
      </c>
      <c r="Y366" s="3657" t="s">
        <v>4000</v>
      </c>
      <c r="Z366" s="3691"/>
      <c r="AA366" s="3620" t="s">
        <v>4001</v>
      </c>
      <c r="AB366" s="3691" t="s">
        <v>513</v>
      </c>
      <c r="AC366" s="3691">
        <v>2.2463</v>
      </c>
      <c r="AD366" s="3691">
        <f>AC366*I366</f>
        <v>1967.7588</v>
      </c>
      <c r="AE366" s="3645" t="s">
        <v>4002</v>
      </c>
      <c r="AF366" s="3664" t="s">
        <v>2577</v>
      </c>
      <c r="AG366" s="3645" t="s">
        <v>416</v>
      </c>
      <c r="AH366" s="905"/>
      <c r="AI366" s="3691">
        <f>I366</f>
        <v>876</v>
      </c>
      <c r="AJ366" s="3691"/>
      <c r="AK366" s="905"/>
      <c r="AL366" s="3664"/>
      <c r="AM366" s="3664"/>
      <c r="AN366" s="3691"/>
      <c r="AO366" s="3691">
        <f>I366</f>
        <v>876</v>
      </c>
      <c r="AP366" s="3691"/>
      <c r="AQ366" s="4089"/>
      <c r="AR366" s="4382"/>
      <c r="AS366" s="4089">
        <f t="shared" si="152"/>
        <v>876</v>
      </c>
      <c r="AT366" s="4382"/>
      <c r="AU366" s="4089"/>
      <c r="AV366" s="4089">
        <f>I366/6</f>
        <v>146</v>
      </c>
      <c r="AW366" s="4089"/>
      <c r="AX366" s="4089"/>
      <c r="AY366" s="4089"/>
      <c r="AZ366" s="4089"/>
      <c r="BA366" s="4089"/>
      <c r="BB366" s="4089"/>
      <c r="BC366" s="4089"/>
      <c r="BD366" s="4089"/>
      <c r="BE366" s="4089"/>
      <c r="BF366" s="4089" t="s">
        <v>89</v>
      </c>
      <c r="BG366" s="4089"/>
      <c r="BH366" s="4089">
        <f t="shared" si="153"/>
        <v>146</v>
      </c>
      <c r="BI366" s="4089">
        <f t="shared" si="154"/>
        <v>146</v>
      </c>
      <c r="BJ366" s="4089">
        <f t="shared" si="155"/>
        <v>146</v>
      </c>
      <c r="BK366" s="4089">
        <f t="shared" si="156"/>
        <v>146</v>
      </c>
      <c r="BL366" s="4089">
        <f t="shared" si="157"/>
        <v>146</v>
      </c>
      <c r="BM366" s="4089">
        <f t="shared" si="158"/>
        <v>116.8</v>
      </c>
      <c r="BN366" s="4089">
        <f t="shared" si="159"/>
        <v>29.2</v>
      </c>
      <c r="BO366" s="907"/>
      <c r="BP366" s="907"/>
      <c r="BQ366" s="907"/>
      <c r="BR366" s="907"/>
      <c r="BS366" s="907"/>
      <c r="BT366" s="910"/>
      <c r="BU366" s="911"/>
      <c r="BV366" s="4385">
        <f t="shared" si="141"/>
        <v>876</v>
      </c>
      <c r="BW366" s="4386">
        <f t="shared" si="144"/>
        <v>0</v>
      </c>
      <c r="BX366" s="4387"/>
      <c r="BY366" s="4387"/>
      <c r="BZ366" s="4387"/>
      <c r="CA366" s="4391" t="s">
        <v>4003</v>
      </c>
      <c r="CC366" s="4392"/>
      <c r="CD366" s="4391"/>
    </row>
    <row r="367" s="4025" customFormat="1" ht="50" customHeight="1" spans="1:82">
      <c r="A367" s="3688">
        <v>45826</v>
      </c>
      <c r="B367" s="3689" t="s">
        <v>505</v>
      </c>
      <c r="C367" s="3664" t="s">
        <v>506</v>
      </c>
      <c r="D367" s="3690">
        <v>4500166286</v>
      </c>
      <c r="E367" s="3664">
        <v>20846869</v>
      </c>
      <c r="F367" s="4086" t="s">
        <v>4004</v>
      </c>
      <c r="G367" s="3664" t="s">
        <v>2577</v>
      </c>
      <c r="H367" s="3664" t="s">
        <v>2578</v>
      </c>
      <c r="I367" s="3691">
        <v>624</v>
      </c>
      <c r="J367" s="3691">
        <v>0</v>
      </c>
      <c r="K367" s="3691">
        <v>12</v>
      </c>
      <c r="L367" s="3691">
        <f t="shared" si="140"/>
        <v>52</v>
      </c>
      <c r="M367" s="3659">
        <v>45838</v>
      </c>
      <c r="N367" s="3659">
        <f>M367-4</f>
        <v>45834</v>
      </c>
      <c r="O367" s="3645"/>
      <c r="P367" s="3682" t="s">
        <v>82</v>
      </c>
      <c r="Q367" s="3682"/>
      <c r="R367" s="4083"/>
      <c r="S367" s="4083"/>
      <c r="T367" s="4083"/>
      <c r="U367" s="3645" t="s">
        <v>3999</v>
      </c>
      <c r="V367" s="3649" t="s">
        <v>3992</v>
      </c>
      <c r="W367" s="3657"/>
      <c r="X367" s="3657" t="s">
        <v>1534</v>
      </c>
      <c r="Y367" s="3657" t="s">
        <v>4000</v>
      </c>
      <c r="Z367" s="3691"/>
      <c r="AA367" s="3620" t="s">
        <v>4001</v>
      </c>
      <c r="AB367" s="3691" t="s">
        <v>513</v>
      </c>
      <c r="AC367" s="3691">
        <v>2.2463</v>
      </c>
      <c r="AD367" s="3691">
        <f>AC367*I367</f>
        <v>1401.6912</v>
      </c>
      <c r="AE367" s="3645" t="s">
        <v>4005</v>
      </c>
      <c r="AF367" s="3664" t="s">
        <v>2577</v>
      </c>
      <c r="AG367" s="3645" t="s">
        <v>416</v>
      </c>
      <c r="AH367" s="905"/>
      <c r="AI367" s="3691">
        <f>I367</f>
        <v>624</v>
      </c>
      <c r="AJ367" s="3691"/>
      <c r="AK367" s="905"/>
      <c r="AL367" s="3664"/>
      <c r="AM367" s="3664"/>
      <c r="AN367" s="3691"/>
      <c r="AO367" s="3691">
        <f>I367</f>
        <v>624</v>
      </c>
      <c r="AP367" s="3691"/>
      <c r="AQ367" s="4089"/>
      <c r="AR367" s="4382">
        <f>I367</f>
        <v>624</v>
      </c>
      <c r="AS367" s="4089">
        <f t="shared" si="152"/>
        <v>624</v>
      </c>
      <c r="AT367" s="4382"/>
      <c r="AU367" s="4089"/>
      <c r="AV367" s="4089">
        <f>I367/6</f>
        <v>104</v>
      </c>
      <c r="AW367" s="4089"/>
      <c r="AX367" s="4089"/>
      <c r="AY367" s="4089"/>
      <c r="AZ367" s="4089"/>
      <c r="BA367" s="4089"/>
      <c r="BB367" s="4089"/>
      <c r="BC367" s="4089"/>
      <c r="BD367" s="4089"/>
      <c r="BE367" s="4089"/>
      <c r="BF367" s="4089" t="s">
        <v>89</v>
      </c>
      <c r="BG367" s="4089"/>
      <c r="BH367" s="4089">
        <f t="shared" si="153"/>
        <v>104</v>
      </c>
      <c r="BI367" s="4089">
        <f t="shared" si="154"/>
        <v>104</v>
      </c>
      <c r="BJ367" s="4089">
        <f t="shared" si="155"/>
        <v>104</v>
      </c>
      <c r="BK367" s="4089">
        <f t="shared" si="156"/>
        <v>104</v>
      </c>
      <c r="BL367" s="4089">
        <f t="shared" si="157"/>
        <v>104</v>
      </c>
      <c r="BM367" s="4089">
        <f t="shared" si="158"/>
        <v>83.2</v>
      </c>
      <c r="BN367" s="4089">
        <f t="shared" si="159"/>
        <v>20.8</v>
      </c>
      <c r="BO367" s="907"/>
      <c r="BP367" s="907"/>
      <c r="BQ367" s="907"/>
      <c r="BR367" s="907"/>
      <c r="BS367" s="907"/>
      <c r="BT367" s="910"/>
      <c r="BU367" s="911"/>
      <c r="BV367" s="4385">
        <f t="shared" si="141"/>
        <v>624</v>
      </c>
      <c r="BW367" s="4386">
        <f t="shared" si="144"/>
        <v>0</v>
      </c>
      <c r="BX367" s="4387"/>
      <c r="BY367" s="4387"/>
      <c r="BZ367" s="4387"/>
      <c r="CA367" s="4391" t="s">
        <v>4003</v>
      </c>
      <c r="CC367" s="4392"/>
      <c r="CD367" s="4391"/>
    </row>
    <row r="368" s="4025" customFormat="1" ht="50" customHeight="1" spans="1:82">
      <c r="A368" s="4429">
        <v>45750</v>
      </c>
      <c r="B368" s="4080" t="s">
        <v>1315</v>
      </c>
      <c r="C368" s="3663" t="s">
        <v>1316</v>
      </c>
      <c r="D368" s="4077">
        <v>4500162577</v>
      </c>
      <c r="E368" s="3664" t="s">
        <v>1442</v>
      </c>
      <c r="F368" s="4077" t="s">
        <v>1443</v>
      </c>
      <c r="G368" s="3664" t="s">
        <v>3821</v>
      </c>
      <c r="H368" s="3664" t="s">
        <v>1320</v>
      </c>
      <c r="I368" s="3691">
        <v>3600</v>
      </c>
      <c r="J368" s="3691">
        <v>0</v>
      </c>
      <c r="K368" s="3691">
        <v>4</v>
      </c>
      <c r="L368" s="3691">
        <f t="shared" si="140"/>
        <v>900</v>
      </c>
      <c r="M368" s="3659">
        <v>45838</v>
      </c>
      <c r="N368" s="3659">
        <f>M368-4</f>
        <v>45834</v>
      </c>
      <c r="O368" s="4085"/>
      <c r="P368" s="3682" t="s">
        <v>82</v>
      </c>
      <c r="Q368" s="3682"/>
      <c r="R368" s="4083"/>
      <c r="S368" s="4083"/>
      <c r="T368" s="4083"/>
      <c r="U368" s="3645" t="s">
        <v>401</v>
      </c>
      <c r="V368" s="3649" t="s">
        <v>1322</v>
      </c>
      <c r="W368" s="3657"/>
      <c r="X368" s="3657" t="s">
        <v>1907</v>
      </c>
      <c r="Y368" s="3657"/>
      <c r="Z368" s="3691" t="s">
        <v>1444</v>
      </c>
      <c r="AA368" s="3620" t="s">
        <v>1376</v>
      </c>
      <c r="AB368" s="4084" t="s">
        <v>1326</v>
      </c>
      <c r="AC368" s="3691">
        <v>16.8314</v>
      </c>
      <c r="AD368" s="3691">
        <f>AC368*L368</f>
        <v>15148.26</v>
      </c>
      <c r="AE368" s="3645"/>
      <c r="AF368" s="3664" t="s">
        <v>3822</v>
      </c>
      <c r="AG368" s="3645" t="s">
        <v>416</v>
      </c>
      <c r="AH368" s="3708"/>
      <c r="AI368" s="3691"/>
      <c r="AJ368" s="3691"/>
      <c r="AK368" s="3708"/>
      <c r="AL368" s="3664"/>
      <c r="AM368" s="3664"/>
      <c r="AN368" s="3691">
        <f>I368</f>
        <v>3600</v>
      </c>
      <c r="AO368" s="3691"/>
      <c r="AP368" s="3691"/>
      <c r="AQ368" s="4089">
        <f>I368</f>
        <v>3600</v>
      </c>
      <c r="AR368" s="1048"/>
      <c r="AS368" s="4089">
        <f t="shared" si="152"/>
        <v>3600</v>
      </c>
      <c r="AT368" s="1048"/>
      <c r="AU368" s="4089"/>
      <c r="AV368" s="4089"/>
      <c r="AW368" s="4089"/>
      <c r="AX368" s="4089"/>
      <c r="AY368" s="4089"/>
      <c r="AZ368" s="4089"/>
      <c r="BA368" s="4089"/>
      <c r="BB368" s="4089"/>
      <c r="BC368" s="4089">
        <f>I368/4</f>
        <v>900</v>
      </c>
      <c r="BD368" s="4089"/>
      <c r="BE368" s="4089"/>
      <c r="BF368" s="4089" t="s">
        <v>1327</v>
      </c>
      <c r="BG368" s="4089"/>
      <c r="BH368" s="4089">
        <f t="shared" si="153"/>
        <v>600</v>
      </c>
      <c r="BI368" s="4089">
        <f t="shared" si="154"/>
        <v>600</v>
      </c>
      <c r="BJ368" s="4089">
        <f t="shared" si="155"/>
        <v>600</v>
      </c>
      <c r="BK368" s="4089">
        <f t="shared" si="156"/>
        <v>600</v>
      </c>
      <c r="BL368" s="4089">
        <f t="shared" si="157"/>
        <v>600</v>
      </c>
      <c r="BM368" s="4089">
        <f t="shared" si="158"/>
        <v>480</v>
      </c>
      <c r="BN368" s="4089">
        <f t="shared" si="159"/>
        <v>120</v>
      </c>
      <c r="BO368" s="1048"/>
      <c r="BP368" s="1048"/>
      <c r="BQ368" s="1048"/>
      <c r="BR368" s="1048"/>
      <c r="BS368" s="1048"/>
      <c r="BT368" s="4414"/>
      <c r="BU368" s="4415"/>
      <c r="BV368" s="4385">
        <f t="shared" si="141"/>
        <v>3600</v>
      </c>
      <c r="BW368" s="4386">
        <f t="shared" si="144"/>
        <v>0</v>
      </c>
      <c r="BX368" s="4387"/>
      <c r="BY368" s="4387"/>
      <c r="BZ368" s="4387"/>
      <c r="CA368" s="4391" t="str">
        <f>VLOOKUP(D368&amp;G368&amp;H368&amp;I368,'9298 版本变更明细'!C:AJ,34,FALSE)</f>
        <v>A版本口水胶+C版本配件包（香味贴纸/指定配件）</v>
      </c>
      <c r="CC368" s="4392"/>
      <c r="CD368" s="4391"/>
    </row>
    <row r="369" s="4025" customFormat="1" ht="50" customHeight="1" spans="1:82">
      <c r="A369" s="3688">
        <v>45750</v>
      </c>
      <c r="B369" s="3689" t="s">
        <v>1315</v>
      </c>
      <c r="C369" s="3664" t="s">
        <v>1316</v>
      </c>
      <c r="D369" s="3690">
        <v>4500162577</v>
      </c>
      <c r="E369" s="3664" t="s">
        <v>1445</v>
      </c>
      <c r="F369" s="3690" t="s">
        <v>1446</v>
      </c>
      <c r="G369" s="3664" t="s">
        <v>3821</v>
      </c>
      <c r="H369" s="3664" t="s">
        <v>1320</v>
      </c>
      <c r="I369" s="3691">
        <v>5092</v>
      </c>
      <c r="J369" s="3691">
        <v>0</v>
      </c>
      <c r="K369" s="3691">
        <v>4</v>
      </c>
      <c r="L369" s="3691">
        <f t="shared" si="140"/>
        <v>1273</v>
      </c>
      <c r="M369" s="3659">
        <v>45838</v>
      </c>
      <c r="N369" s="3659">
        <f>M369-4</f>
        <v>45834</v>
      </c>
      <c r="O369" s="4085"/>
      <c r="P369" s="3682" t="s">
        <v>82</v>
      </c>
      <c r="Q369" s="3682"/>
      <c r="R369" s="4083"/>
      <c r="S369" s="4083"/>
      <c r="T369" s="4083"/>
      <c r="U369" s="3645" t="s">
        <v>401</v>
      </c>
      <c r="V369" s="3649" t="s">
        <v>1322</v>
      </c>
      <c r="W369" s="3657"/>
      <c r="X369" s="3657" t="s">
        <v>1907</v>
      </c>
      <c r="Y369" s="3657"/>
      <c r="Z369" s="3691" t="s">
        <v>1448</v>
      </c>
      <c r="AA369" s="3620" t="s">
        <v>1376</v>
      </c>
      <c r="AB369" s="3691" t="s">
        <v>1326</v>
      </c>
      <c r="AC369" s="3691">
        <v>16.7342</v>
      </c>
      <c r="AD369" s="3691">
        <f>AC369*L369</f>
        <v>21302.6366</v>
      </c>
      <c r="AE369" s="3645"/>
      <c r="AF369" s="3664" t="s">
        <v>3822</v>
      </c>
      <c r="AG369" s="3645" t="s">
        <v>416</v>
      </c>
      <c r="AH369" s="3708"/>
      <c r="AI369" s="3691"/>
      <c r="AJ369" s="3691"/>
      <c r="AK369" s="3708"/>
      <c r="AL369" s="3664"/>
      <c r="AM369" s="3664"/>
      <c r="AN369" s="3691">
        <f>I369</f>
        <v>5092</v>
      </c>
      <c r="AO369" s="3691"/>
      <c r="AP369" s="3691"/>
      <c r="AQ369" s="4089">
        <f>I369</f>
        <v>5092</v>
      </c>
      <c r="AR369" s="1048"/>
      <c r="AS369" s="4089">
        <f t="shared" si="152"/>
        <v>5092</v>
      </c>
      <c r="AT369" s="1048"/>
      <c r="AU369" s="4089"/>
      <c r="AV369" s="4089"/>
      <c r="AW369" s="4089"/>
      <c r="AX369" s="4089"/>
      <c r="AY369" s="4089"/>
      <c r="AZ369" s="4089"/>
      <c r="BA369" s="4089"/>
      <c r="BB369" s="4089"/>
      <c r="BC369" s="4089">
        <f>I369/4</f>
        <v>1273</v>
      </c>
      <c r="BD369" s="4089"/>
      <c r="BE369" s="4089"/>
      <c r="BF369" s="4089" t="s">
        <v>1327</v>
      </c>
      <c r="BG369" s="4089"/>
      <c r="BH369" s="4089">
        <f t="shared" si="153"/>
        <v>848.666666666667</v>
      </c>
      <c r="BI369" s="4089">
        <f t="shared" si="154"/>
        <v>848.666666666667</v>
      </c>
      <c r="BJ369" s="4089">
        <f t="shared" si="155"/>
        <v>848.666666666667</v>
      </c>
      <c r="BK369" s="4089">
        <f t="shared" si="156"/>
        <v>848.666666666667</v>
      </c>
      <c r="BL369" s="4089">
        <f t="shared" si="157"/>
        <v>848.666666666667</v>
      </c>
      <c r="BM369" s="4089">
        <f t="shared" si="158"/>
        <v>678.933333333333</v>
      </c>
      <c r="BN369" s="4089">
        <f t="shared" si="159"/>
        <v>169.733333333333</v>
      </c>
      <c r="BO369" s="1048"/>
      <c r="BP369" s="1048"/>
      <c r="BQ369" s="1048"/>
      <c r="BR369" s="1048"/>
      <c r="BS369" s="1048"/>
      <c r="BT369" s="4414"/>
      <c r="BU369" s="4415"/>
      <c r="BV369" s="4385">
        <f t="shared" si="141"/>
        <v>5092</v>
      </c>
      <c r="BW369" s="4386">
        <f t="shared" si="144"/>
        <v>0</v>
      </c>
      <c r="BX369" s="4387"/>
      <c r="BY369" s="4387"/>
      <c r="BZ369" s="4387"/>
      <c r="CA369" s="4391" t="str">
        <f>VLOOKUP(D369&amp;G369&amp;H369&amp;I369,'9298 版本变更明细'!C:AJ,34,FALSE)</f>
        <v>A版本口水胶+C版本配件包（香味贴纸/指定配件）</v>
      </c>
      <c r="CC369" s="4392"/>
      <c r="CD369" s="4391"/>
    </row>
    <row r="370" s="4025" customFormat="1" ht="50" customHeight="1" spans="1:82">
      <c r="A370" s="3688">
        <v>45804</v>
      </c>
      <c r="B370" s="3689" t="s">
        <v>1429</v>
      </c>
      <c r="C370" s="3664" t="s">
        <v>1430</v>
      </c>
      <c r="D370" s="3690">
        <v>4500168055</v>
      </c>
      <c r="E370" s="3664"/>
      <c r="F370" s="3690" t="s">
        <v>4006</v>
      </c>
      <c r="G370" s="3664" t="s">
        <v>2577</v>
      </c>
      <c r="H370" s="3664" t="s">
        <v>2578</v>
      </c>
      <c r="I370" s="3691">
        <v>192</v>
      </c>
      <c r="J370" s="3691">
        <v>0</v>
      </c>
      <c r="K370" s="3691">
        <v>12</v>
      </c>
      <c r="L370" s="3691">
        <f t="shared" ref="L370:L433" si="160">I370/K370</f>
        <v>16</v>
      </c>
      <c r="M370" s="3659">
        <v>45838</v>
      </c>
      <c r="N370" s="3659">
        <v>45834</v>
      </c>
      <c r="O370" s="4085"/>
      <c r="P370" s="3682" t="s">
        <v>82</v>
      </c>
      <c r="Q370" s="3682"/>
      <c r="R370" s="4083"/>
      <c r="S370" s="4083"/>
      <c r="T370" s="4083"/>
      <c r="U370" s="3645" t="s">
        <v>1813</v>
      </c>
      <c r="V370" s="3649" t="s">
        <v>1425</v>
      </c>
      <c r="W370" s="3657"/>
      <c r="X370" s="3657" t="s">
        <v>1432</v>
      </c>
      <c r="Y370" s="3657"/>
      <c r="Z370" s="3691"/>
      <c r="AA370" s="3620" t="s">
        <v>4007</v>
      </c>
      <c r="AB370" s="3691" t="s">
        <v>459</v>
      </c>
      <c r="AC370" s="3691">
        <v>2.1438</v>
      </c>
      <c r="AD370" s="3691">
        <f t="shared" ref="AD370:AD393" si="161">AC370*I370</f>
        <v>411.6096</v>
      </c>
      <c r="AE370" s="3645"/>
      <c r="AF370" s="3664" t="s">
        <v>2604</v>
      </c>
      <c r="AG370" s="3645" t="s">
        <v>416</v>
      </c>
      <c r="AH370" s="3708"/>
      <c r="AI370" s="3691"/>
      <c r="AJ370" s="3691"/>
      <c r="AK370" s="3708"/>
      <c r="AL370" s="4089">
        <f>I370</f>
        <v>192</v>
      </c>
      <c r="AM370" s="3664"/>
      <c r="AN370" s="3691"/>
      <c r="AO370" s="4089">
        <f>I370</f>
        <v>192</v>
      </c>
      <c r="AP370" s="3691"/>
      <c r="AQ370" s="4089"/>
      <c r="AR370" s="1048"/>
      <c r="AS370" s="4089">
        <f t="shared" si="152"/>
        <v>192</v>
      </c>
      <c r="AT370" s="1048"/>
      <c r="AU370" s="4089"/>
      <c r="AV370" s="4089">
        <f>I370/6</f>
        <v>32</v>
      </c>
      <c r="AW370" s="4089"/>
      <c r="AX370" s="4089"/>
      <c r="AY370" s="4089"/>
      <c r="AZ370" s="4089"/>
      <c r="BA370" s="4089"/>
      <c r="BB370" s="4089"/>
      <c r="BC370" s="4089"/>
      <c r="BD370" s="4089"/>
      <c r="BE370" s="4089"/>
      <c r="BF370" s="4089" t="s">
        <v>89</v>
      </c>
      <c r="BG370" s="4089"/>
      <c r="BH370" s="4089">
        <f t="shared" si="153"/>
        <v>32</v>
      </c>
      <c r="BI370" s="4089">
        <f t="shared" si="154"/>
        <v>32</v>
      </c>
      <c r="BJ370" s="4089">
        <f t="shared" si="155"/>
        <v>32</v>
      </c>
      <c r="BK370" s="4089">
        <f t="shared" si="156"/>
        <v>32</v>
      </c>
      <c r="BL370" s="4089">
        <f t="shared" si="157"/>
        <v>32</v>
      </c>
      <c r="BM370" s="4089">
        <f t="shared" si="158"/>
        <v>25.6</v>
      </c>
      <c r="BN370" s="4089">
        <f t="shared" si="159"/>
        <v>6.4</v>
      </c>
      <c r="BO370" s="4413"/>
      <c r="BP370" s="4413"/>
      <c r="BQ370" s="4413"/>
      <c r="BR370" s="4413"/>
      <c r="BS370" s="4413"/>
      <c r="BT370" s="4431"/>
      <c r="BU370" s="4432"/>
      <c r="BV370" s="4385">
        <f t="shared" ref="BV370:BV433" si="162">SUM(BH370:BU370)</f>
        <v>192</v>
      </c>
      <c r="BW370" s="4386">
        <f t="shared" si="144"/>
        <v>0</v>
      </c>
      <c r="BX370" s="4387"/>
      <c r="BY370" s="4387"/>
      <c r="BZ370" s="4387"/>
      <c r="CA370" s="4391" t="str">
        <f>VLOOKUP(D370&amp;G370&amp;H370&amp;I370,'9298 版本变更明细'!C:AJ,34,FALSE)</f>
        <v>B版本膜+A版本口水胶+指南+C版本配件包（香味贴纸/指定配件）</v>
      </c>
      <c r="CC370" s="4392"/>
      <c r="CD370" s="4391"/>
    </row>
    <row r="371" s="4025" customFormat="1" ht="50" customHeight="1" spans="1:82">
      <c r="A371" s="3688">
        <v>45798</v>
      </c>
      <c r="B371" s="3689" t="s">
        <v>1391</v>
      </c>
      <c r="C371" s="3664" t="s">
        <v>91</v>
      </c>
      <c r="D371" s="3690">
        <v>4500167294</v>
      </c>
      <c r="E371" s="3664" t="s">
        <v>1392</v>
      </c>
      <c r="F371" s="3690" t="s">
        <v>4008</v>
      </c>
      <c r="G371" s="3664" t="s">
        <v>2577</v>
      </c>
      <c r="H371" s="3664" t="s">
        <v>2578</v>
      </c>
      <c r="I371" s="3691">
        <v>1608</v>
      </c>
      <c r="J371" s="3691">
        <v>0</v>
      </c>
      <c r="K371" s="3691">
        <v>12</v>
      </c>
      <c r="L371" s="3691">
        <f t="shared" si="160"/>
        <v>134</v>
      </c>
      <c r="M371" s="3659">
        <v>45839</v>
      </c>
      <c r="N371" s="3659">
        <f t="shared" ref="N371:N377" si="163">M371-4</f>
        <v>45835</v>
      </c>
      <c r="O371" s="3664"/>
      <c r="P371" s="3682" t="s">
        <v>82</v>
      </c>
      <c r="Q371" s="3682"/>
      <c r="R371" s="4083"/>
      <c r="S371" s="4083"/>
      <c r="T371" s="4083"/>
      <c r="U371" s="3645" t="s">
        <v>1394</v>
      </c>
      <c r="V371" s="3649" t="s">
        <v>1349</v>
      </c>
      <c r="W371" s="3657"/>
      <c r="X371" s="3657" t="s">
        <v>98</v>
      </c>
      <c r="Y371" s="3657"/>
      <c r="Z371" s="3691"/>
      <c r="AA371" s="3620" t="s">
        <v>1395</v>
      </c>
      <c r="AB371" s="3691" t="s">
        <v>500</v>
      </c>
      <c r="AC371" s="3691">
        <v>1.2835</v>
      </c>
      <c r="AD371" s="3691">
        <f t="shared" si="161"/>
        <v>2063.868</v>
      </c>
      <c r="AE371" s="3645" t="s">
        <v>4009</v>
      </c>
      <c r="AF371" s="3664" t="s">
        <v>2577</v>
      </c>
      <c r="AG371" s="3645" t="s">
        <v>416</v>
      </c>
      <c r="AH371" s="905"/>
      <c r="AI371" s="3691">
        <f>I371</f>
        <v>1608</v>
      </c>
      <c r="AJ371" s="3691"/>
      <c r="AK371" s="905"/>
      <c r="AL371" s="3664"/>
      <c r="AM371" s="3664"/>
      <c r="AN371" s="3691"/>
      <c r="AO371" s="3691">
        <f>I371</f>
        <v>1608</v>
      </c>
      <c r="AP371" s="3691"/>
      <c r="AQ371" s="4089"/>
      <c r="AR371" s="4382"/>
      <c r="AS371" s="4089">
        <f t="shared" si="152"/>
        <v>1608</v>
      </c>
      <c r="AT371" s="4382"/>
      <c r="AU371" s="4089"/>
      <c r="AV371" s="4089">
        <f>I371/6</f>
        <v>268</v>
      </c>
      <c r="AW371" s="4089"/>
      <c r="AX371" s="4089"/>
      <c r="AY371" s="4089"/>
      <c r="AZ371" s="4089"/>
      <c r="BA371" s="4089"/>
      <c r="BB371" s="4089"/>
      <c r="BC371" s="4089"/>
      <c r="BD371" s="4089"/>
      <c r="BE371" s="4089"/>
      <c r="BF371" s="4089" t="s">
        <v>89</v>
      </c>
      <c r="BG371" s="4089"/>
      <c r="BH371" s="4089">
        <f t="shared" si="153"/>
        <v>268</v>
      </c>
      <c r="BI371" s="4089">
        <f t="shared" si="154"/>
        <v>268</v>
      </c>
      <c r="BJ371" s="4089">
        <f t="shared" si="155"/>
        <v>268</v>
      </c>
      <c r="BK371" s="4089">
        <f t="shared" si="156"/>
        <v>268</v>
      </c>
      <c r="BL371" s="4089">
        <f t="shared" si="157"/>
        <v>268</v>
      </c>
      <c r="BM371" s="4089">
        <f t="shared" si="158"/>
        <v>214.4</v>
      </c>
      <c r="BN371" s="4089">
        <f t="shared" si="159"/>
        <v>53.6</v>
      </c>
      <c r="BO371" s="907"/>
      <c r="BP371" s="907"/>
      <c r="BQ371" s="907"/>
      <c r="BR371" s="907"/>
      <c r="BS371" s="907"/>
      <c r="BT371" s="910"/>
      <c r="BU371" s="911"/>
      <c r="BV371" s="4385">
        <f t="shared" si="162"/>
        <v>1608</v>
      </c>
      <c r="BW371" s="4386">
        <f t="shared" si="144"/>
        <v>0</v>
      </c>
      <c r="BX371" s="4387"/>
      <c r="BY371" s="4387"/>
      <c r="BZ371" s="4387"/>
      <c r="CA371" s="4391" t="str">
        <f>VLOOKUP(D371&amp;G371&amp;H371&amp;I371,'9298 版本变更明细'!C:AJ,34,FALSE)</f>
        <v>B版本膜+A版本指南+口水胶+C版本配件包（香味贴纸/指定配件）</v>
      </c>
      <c r="CC371" s="4392"/>
      <c r="CD371" s="4391"/>
    </row>
    <row r="372" s="4025" customFormat="1" ht="50" customHeight="1" spans="1:82">
      <c r="A372" s="3688">
        <v>45798</v>
      </c>
      <c r="B372" s="3689" t="s">
        <v>1391</v>
      </c>
      <c r="C372" s="3664" t="s">
        <v>91</v>
      </c>
      <c r="D372" s="3690">
        <v>4500167294</v>
      </c>
      <c r="E372" s="3664" t="s">
        <v>1397</v>
      </c>
      <c r="F372" s="3690" t="s">
        <v>4010</v>
      </c>
      <c r="G372" s="3664" t="s">
        <v>2577</v>
      </c>
      <c r="H372" s="3664" t="s">
        <v>2578</v>
      </c>
      <c r="I372" s="3691">
        <v>120</v>
      </c>
      <c r="J372" s="3691">
        <v>0</v>
      </c>
      <c r="K372" s="3691">
        <v>12</v>
      </c>
      <c r="L372" s="3691">
        <f t="shared" si="160"/>
        <v>10</v>
      </c>
      <c r="M372" s="3659">
        <v>45839</v>
      </c>
      <c r="N372" s="3659">
        <f t="shared" si="163"/>
        <v>45835</v>
      </c>
      <c r="O372" s="3664"/>
      <c r="P372" s="3682" t="s">
        <v>82</v>
      </c>
      <c r="Q372" s="3682"/>
      <c r="R372" s="4083"/>
      <c r="S372" s="4083"/>
      <c r="T372" s="4083"/>
      <c r="U372" s="3645" t="s">
        <v>1394</v>
      </c>
      <c r="V372" s="3649" t="s">
        <v>1349</v>
      </c>
      <c r="W372" s="3657"/>
      <c r="X372" s="3657" t="s">
        <v>98</v>
      </c>
      <c r="Y372" s="3657"/>
      <c r="Z372" s="3691"/>
      <c r="AA372" s="3620" t="s">
        <v>1395</v>
      </c>
      <c r="AB372" s="3691" t="s">
        <v>500</v>
      </c>
      <c r="AC372" s="4087">
        <v>1.256</v>
      </c>
      <c r="AD372" s="3691">
        <f t="shared" si="161"/>
        <v>150.72</v>
      </c>
      <c r="AE372" s="3645" t="s">
        <v>1399</v>
      </c>
      <c r="AF372" s="3664" t="s">
        <v>2577</v>
      </c>
      <c r="AG372" s="3645" t="s">
        <v>416</v>
      </c>
      <c r="AH372" s="905"/>
      <c r="AI372" s="3691">
        <f>I372</f>
        <v>120</v>
      </c>
      <c r="AJ372" s="3691"/>
      <c r="AK372" s="905"/>
      <c r="AL372" s="3664"/>
      <c r="AM372" s="3664"/>
      <c r="AN372" s="3691"/>
      <c r="AO372" s="3691">
        <f>I372</f>
        <v>120</v>
      </c>
      <c r="AP372" s="3691"/>
      <c r="AQ372" s="4089"/>
      <c r="AR372" s="4382"/>
      <c r="AS372" s="4089">
        <f t="shared" si="152"/>
        <v>120</v>
      </c>
      <c r="AT372" s="4382"/>
      <c r="AU372" s="4089"/>
      <c r="AV372" s="4089">
        <f>I372/6</f>
        <v>20</v>
      </c>
      <c r="AW372" s="4089"/>
      <c r="AX372" s="4089"/>
      <c r="AY372" s="4089"/>
      <c r="AZ372" s="4089"/>
      <c r="BA372" s="4089"/>
      <c r="BB372" s="4089"/>
      <c r="BC372" s="4089"/>
      <c r="BD372" s="4089"/>
      <c r="BE372" s="4089"/>
      <c r="BF372" s="4089" t="s">
        <v>89</v>
      </c>
      <c r="BG372" s="4089"/>
      <c r="BH372" s="4089">
        <f t="shared" si="153"/>
        <v>20</v>
      </c>
      <c r="BI372" s="4089">
        <f t="shared" si="154"/>
        <v>20</v>
      </c>
      <c r="BJ372" s="4089">
        <f t="shared" si="155"/>
        <v>20</v>
      </c>
      <c r="BK372" s="4089">
        <f t="shared" si="156"/>
        <v>20</v>
      </c>
      <c r="BL372" s="4089">
        <f t="shared" si="157"/>
        <v>20</v>
      </c>
      <c r="BM372" s="4089">
        <f t="shared" si="158"/>
        <v>16</v>
      </c>
      <c r="BN372" s="4089">
        <f t="shared" si="159"/>
        <v>4</v>
      </c>
      <c r="BO372" s="907"/>
      <c r="BP372" s="907"/>
      <c r="BQ372" s="907"/>
      <c r="BR372" s="907"/>
      <c r="BS372" s="907"/>
      <c r="BT372" s="910"/>
      <c r="BU372" s="911"/>
      <c r="BV372" s="4385">
        <f t="shared" si="162"/>
        <v>120</v>
      </c>
      <c r="BW372" s="4386">
        <f t="shared" si="144"/>
        <v>0</v>
      </c>
      <c r="BX372" s="4387"/>
      <c r="BY372" s="4387"/>
      <c r="BZ372" s="4387"/>
      <c r="CA372" s="4391" t="str">
        <f>VLOOKUP(D372&amp;G372&amp;H372&amp;I372,'9298 版本变更明细'!C:AJ,34,FALSE)</f>
        <v>B版本膜+A版本指南+口水胶+C版本配件包（香味贴纸/指定配件）</v>
      </c>
      <c r="CC372" s="4392"/>
      <c r="CD372" s="4391"/>
    </row>
    <row r="373" s="4025" customFormat="1" ht="50" customHeight="1" spans="1:82">
      <c r="A373" s="3688">
        <v>45803</v>
      </c>
      <c r="B373" s="3689" t="s">
        <v>1409</v>
      </c>
      <c r="C373" s="3664" t="s">
        <v>1410</v>
      </c>
      <c r="D373" s="3690">
        <v>4500167894</v>
      </c>
      <c r="E373" s="3664">
        <v>25000160</v>
      </c>
      <c r="F373" s="3690" t="s">
        <v>4011</v>
      </c>
      <c r="G373" s="3664" t="s">
        <v>2627</v>
      </c>
      <c r="H373" s="3664" t="s">
        <v>2591</v>
      </c>
      <c r="I373" s="3691">
        <v>720</v>
      </c>
      <c r="J373" s="3691">
        <v>0</v>
      </c>
      <c r="K373" s="3691">
        <v>24</v>
      </c>
      <c r="L373" s="3691">
        <f t="shared" si="160"/>
        <v>30</v>
      </c>
      <c r="M373" s="3659">
        <v>45839</v>
      </c>
      <c r="N373" s="3659">
        <f t="shared" si="163"/>
        <v>45835</v>
      </c>
      <c r="O373" s="4085"/>
      <c r="P373" s="3682" t="s">
        <v>82</v>
      </c>
      <c r="Q373" s="3682"/>
      <c r="R373" s="4083"/>
      <c r="S373" s="4083"/>
      <c r="T373" s="4083"/>
      <c r="U373" s="3645" t="s">
        <v>203</v>
      </c>
      <c r="V373" s="3649" t="s">
        <v>1412</v>
      </c>
      <c r="W373" s="3657"/>
      <c r="X373" s="3657" t="s">
        <v>98</v>
      </c>
      <c r="Y373" s="3657"/>
      <c r="Z373" s="3691"/>
      <c r="AA373" s="3620" t="s">
        <v>4012</v>
      </c>
      <c r="AB373" s="3691" t="s">
        <v>892</v>
      </c>
      <c r="AC373" s="3691">
        <v>2.0408</v>
      </c>
      <c r="AD373" s="3691">
        <f t="shared" si="161"/>
        <v>1469.376</v>
      </c>
      <c r="AE373" s="3645" t="s">
        <v>1414</v>
      </c>
      <c r="AF373" s="3664" t="s">
        <v>2627</v>
      </c>
      <c r="AG373" s="3645" t="s">
        <v>416</v>
      </c>
      <c r="AH373" s="3708"/>
      <c r="AI373" s="3691">
        <f>I373</f>
        <v>720</v>
      </c>
      <c r="AJ373" s="3691"/>
      <c r="AK373" s="3708"/>
      <c r="AL373" s="3664"/>
      <c r="AM373" s="3664"/>
      <c r="AN373" s="3691"/>
      <c r="AO373" s="3691">
        <f>I373</f>
        <v>720</v>
      </c>
      <c r="AP373" s="3691"/>
      <c r="AQ373" s="4089"/>
      <c r="AR373" s="1048"/>
      <c r="AS373" s="4089">
        <f t="shared" si="152"/>
        <v>720</v>
      </c>
      <c r="AT373" s="1048"/>
      <c r="AU373" s="4089"/>
      <c r="AV373" s="4089"/>
      <c r="AW373" s="4089"/>
      <c r="AX373" s="4089"/>
      <c r="AY373" s="4089"/>
      <c r="AZ373" s="4089"/>
      <c r="BA373" s="4089"/>
      <c r="BB373" s="4089"/>
      <c r="BC373" s="4089"/>
      <c r="BD373" s="4089"/>
      <c r="BE373" s="4089"/>
      <c r="BF373" s="4089" t="s">
        <v>89</v>
      </c>
      <c r="BG373" s="4089"/>
      <c r="BH373" s="4089">
        <f t="shared" si="153"/>
        <v>120</v>
      </c>
      <c r="BI373" s="4089">
        <f t="shared" si="154"/>
        <v>120</v>
      </c>
      <c r="BJ373" s="4089">
        <f t="shared" si="155"/>
        <v>120</v>
      </c>
      <c r="BK373" s="4089">
        <f t="shared" si="156"/>
        <v>120</v>
      </c>
      <c r="BL373" s="4089">
        <f t="shared" si="157"/>
        <v>120</v>
      </c>
      <c r="BM373" s="4089">
        <f t="shared" si="158"/>
        <v>96</v>
      </c>
      <c r="BN373" s="4089">
        <f t="shared" si="159"/>
        <v>24</v>
      </c>
      <c r="BO373" s="4413"/>
      <c r="BP373" s="4413"/>
      <c r="BQ373" s="4413"/>
      <c r="BR373" s="4413"/>
      <c r="BS373" s="4413"/>
      <c r="BT373" s="4431"/>
      <c r="BU373" s="4432"/>
      <c r="BV373" s="4385">
        <f t="shared" si="162"/>
        <v>720</v>
      </c>
      <c r="BW373" s="4386">
        <f t="shared" si="144"/>
        <v>0</v>
      </c>
      <c r="BX373" s="4387"/>
      <c r="BY373" s="4387"/>
      <c r="BZ373" s="4387"/>
      <c r="CA373" s="4388" t="str">
        <f>VLOOKUP(D373&amp;G373&amp;H373&amp;I373,'9298 版本变更明细'!C:AJ,34,FALSE)</f>
        <v>B版本膜+A版本指南+口水胶+C版本配件包（香味贴纸/指定配件）</v>
      </c>
      <c r="CC373" s="4389"/>
      <c r="CD373" s="4388"/>
    </row>
    <row r="374" s="4025" customFormat="1" ht="50" customHeight="1" spans="1:82">
      <c r="A374" s="3688">
        <v>45786</v>
      </c>
      <c r="B374" s="3689" t="s">
        <v>2908</v>
      </c>
      <c r="C374" s="3664" t="s">
        <v>341</v>
      </c>
      <c r="D374" s="3690">
        <v>4500164068</v>
      </c>
      <c r="E374" s="3664" t="s">
        <v>4013</v>
      </c>
      <c r="F374" s="3690" t="s">
        <v>4014</v>
      </c>
      <c r="G374" s="3664" t="s">
        <v>3343</v>
      </c>
      <c r="H374" s="3664" t="s">
        <v>3344</v>
      </c>
      <c r="I374" s="3691">
        <v>22764</v>
      </c>
      <c r="J374" s="3691">
        <v>0</v>
      </c>
      <c r="K374" s="3691">
        <v>1</v>
      </c>
      <c r="L374" s="3691">
        <f t="shared" si="160"/>
        <v>22764</v>
      </c>
      <c r="M374" s="3659">
        <v>45839</v>
      </c>
      <c r="N374" s="3659">
        <f t="shared" si="163"/>
        <v>45835</v>
      </c>
      <c r="O374" s="3682"/>
      <c r="P374" s="3682" t="s">
        <v>82</v>
      </c>
      <c r="Q374" s="3682"/>
      <c r="R374" s="4083"/>
      <c r="S374" s="4083"/>
      <c r="T374" s="4083"/>
      <c r="U374" s="3645" t="s">
        <v>1447</v>
      </c>
      <c r="V374" s="3649" t="s">
        <v>3725</v>
      </c>
      <c r="W374" s="3657"/>
      <c r="X374" s="3657" t="s">
        <v>1099</v>
      </c>
      <c r="Y374" s="3657"/>
      <c r="Z374" s="3691"/>
      <c r="AA374" s="3620" t="s">
        <v>4015</v>
      </c>
      <c r="AB374" s="3691" t="s">
        <v>1245</v>
      </c>
      <c r="AC374" s="3691">
        <v>8.7564</v>
      </c>
      <c r="AD374" s="3691">
        <f t="shared" si="161"/>
        <v>199330.6896</v>
      </c>
      <c r="AE374" s="3645"/>
      <c r="AF374" s="3664" t="s">
        <v>3349</v>
      </c>
      <c r="AG374" s="3645" t="s">
        <v>416</v>
      </c>
      <c r="AH374" s="905"/>
      <c r="AI374" s="3664">
        <f>I374</f>
        <v>22764</v>
      </c>
      <c r="AJ374" s="3664"/>
      <c r="AK374" s="905"/>
      <c r="AL374" s="3664"/>
      <c r="AM374" s="3664"/>
      <c r="AN374" s="3691"/>
      <c r="AO374" s="4089">
        <f>I374</f>
        <v>22764</v>
      </c>
      <c r="AP374" s="4089"/>
      <c r="AQ374" s="4089"/>
      <c r="AR374" s="4382"/>
      <c r="AS374" s="4089">
        <f t="shared" si="152"/>
        <v>22764</v>
      </c>
      <c r="AT374" s="4382"/>
      <c r="AU374" s="4089"/>
      <c r="AV374" s="4089"/>
      <c r="AW374" s="4089"/>
      <c r="AX374" s="4089"/>
      <c r="AY374" s="4089"/>
      <c r="AZ374" s="4089"/>
      <c r="BA374" s="4089"/>
      <c r="BB374" s="4089"/>
      <c r="BC374" s="4089">
        <f>I374</f>
        <v>22764</v>
      </c>
      <c r="BD374" s="4089"/>
      <c r="BE374" s="4089"/>
      <c r="BF374" s="4089" t="s">
        <v>89</v>
      </c>
      <c r="BG374" s="4089"/>
      <c r="BH374" s="4089">
        <f t="shared" si="153"/>
        <v>3794</v>
      </c>
      <c r="BI374" s="4089">
        <f t="shared" si="154"/>
        <v>3794</v>
      </c>
      <c r="BJ374" s="4089">
        <f t="shared" si="155"/>
        <v>3794</v>
      </c>
      <c r="BK374" s="4089">
        <f t="shared" si="156"/>
        <v>3794</v>
      </c>
      <c r="BL374" s="4089">
        <f t="shared" si="157"/>
        <v>3794</v>
      </c>
      <c r="BM374" s="4089">
        <f t="shared" si="158"/>
        <v>3035.2</v>
      </c>
      <c r="BN374" s="4089">
        <f t="shared" si="159"/>
        <v>758.8</v>
      </c>
      <c r="BO374" s="907"/>
      <c r="BP374" s="907"/>
      <c r="BQ374" s="907"/>
      <c r="BR374" s="907"/>
      <c r="BS374" s="907"/>
      <c r="BT374" s="910"/>
      <c r="BU374" s="911"/>
      <c r="BV374" s="4385">
        <f t="shared" si="162"/>
        <v>22764</v>
      </c>
      <c r="BW374" s="4386">
        <f t="shared" si="144"/>
        <v>0</v>
      </c>
      <c r="BX374" s="4387"/>
      <c r="BY374" s="4387"/>
      <c r="BZ374" s="4387"/>
      <c r="CA374" s="4391" t="str">
        <f>VLOOKUP(D374&amp;G374&amp;H374&amp;I374,'9298 版本变更明细'!C:AJ,34,FALSE)</f>
        <v>B版本膜+A版本指南+口水胶+C版本配件包（香味贴纸/指定配件）</v>
      </c>
      <c r="CC374" s="4392" t="e">
        <v>#N/A</v>
      </c>
      <c r="CD374" s="4391" t="e">
        <v>#N/A</v>
      </c>
    </row>
    <row r="375" s="4025" customFormat="1" ht="50" customHeight="1" spans="1:82">
      <c r="A375" s="3688">
        <v>45806</v>
      </c>
      <c r="B375" s="3689" t="s">
        <v>1429</v>
      </c>
      <c r="C375" s="3664" t="s">
        <v>1430</v>
      </c>
      <c r="D375" s="3690">
        <v>4500168463</v>
      </c>
      <c r="E375" s="3664"/>
      <c r="F375" s="3690" t="s">
        <v>4016</v>
      </c>
      <c r="G375" s="3664" t="s">
        <v>2577</v>
      </c>
      <c r="H375" s="3664" t="s">
        <v>2578</v>
      </c>
      <c r="I375" s="3691">
        <v>240</v>
      </c>
      <c r="J375" s="3691">
        <v>0</v>
      </c>
      <c r="K375" s="3691">
        <v>12</v>
      </c>
      <c r="L375" s="3691">
        <f t="shared" si="160"/>
        <v>20</v>
      </c>
      <c r="M375" s="3659">
        <v>45840</v>
      </c>
      <c r="N375" s="3659">
        <f t="shared" si="163"/>
        <v>45836</v>
      </c>
      <c r="O375" s="4085"/>
      <c r="P375" s="3682" t="s">
        <v>82</v>
      </c>
      <c r="Q375" s="3682"/>
      <c r="R375" s="4083"/>
      <c r="S375" s="4083"/>
      <c r="T375" s="4083"/>
      <c r="U375" s="3645" t="s">
        <v>203</v>
      </c>
      <c r="V375" s="3649" t="s">
        <v>1425</v>
      </c>
      <c r="W375" s="3657"/>
      <c r="X375" s="3657" t="s">
        <v>1432</v>
      </c>
      <c r="Y375" s="3657"/>
      <c r="Z375" s="3691"/>
      <c r="AA375" s="3620" t="s">
        <v>4017</v>
      </c>
      <c r="AB375" s="3691" t="s">
        <v>1434</v>
      </c>
      <c r="AC375" s="4087">
        <v>2.1438</v>
      </c>
      <c r="AD375" s="3691">
        <f t="shared" si="161"/>
        <v>514.512</v>
      </c>
      <c r="AE375" s="3645" t="s">
        <v>1435</v>
      </c>
      <c r="AF375" s="3664" t="s">
        <v>2604</v>
      </c>
      <c r="AG375" s="3645" t="s">
        <v>416</v>
      </c>
      <c r="AH375" s="3708"/>
      <c r="AI375" s="3691"/>
      <c r="AJ375" s="3691"/>
      <c r="AK375" s="3708"/>
      <c r="AL375" s="3664"/>
      <c r="AM375" s="3664">
        <f>I375</f>
        <v>240</v>
      </c>
      <c r="AN375" s="3691"/>
      <c r="AO375" s="3691"/>
      <c r="AP375" s="3691">
        <f>I375</f>
        <v>240</v>
      </c>
      <c r="AQ375" s="4089"/>
      <c r="AR375" s="1048"/>
      <c r="AS375" s="4089">
        <f t="shared" si="152"/>
        <v>240</v>
      </c>
      <c r="AT375" s="1048"/>
      <c r="AU375" s="4089"/>
      <c r="AV375" s="4089"/>
      <c r="AW375" s="4089">
        <f>I375/6</f>
        <v>40</v>
      </c>
      <c r="AX375" s="4089"/>
      <c r="AY375" s="4089"/>
      <c r="AZ375" s="4089"/>
      <c r="BA375" s="4089"/>
      <c r="BB375" s="4089"/>
      <c r="BC375" s="4089"/>
      <c r="BD375" s="4089"/>
      <c r="BE375" s="4089"/>
      <c r="BF375" s="4089" t="s">
        <v>89</v>
      </c>
      <c r="BG375" s="4089"/>
      <c r="BH375" s="4089">
        <f t="shared" si="153"/>
        <v>40</v>
      </c>
      <c r="BI375" s="4089">
        <f t="shared" si="154"/>
        <v>40</v>
      </c>
      <c r="BJ375" s="4089">
        <f t="shared" si="155"/>
        <v>40</v>
      </c>
      <c r="BK375" s="4089">
        <f t="shared" si="156"/>
        <v>40</v>
      </c>
      <c r="BL375" s="4089">
        <f t="shared" si="157"/>
        <v>40</v>
      </c>
      <c r="BM375" s="4089">
        <f t="shared" si="158"/>
        <v>32</v>
      </c>
      <c r="BN375" s="4089">
        <f t="shared" si="159"/>
        <v>8</v>
      </c>
      <c r="BO375" s="4413"/>
      <c r="BP375" s="4413"/>
      <c r="BQ375" s="4413"/>
      <c r="BR375" s="4413"/>
      <c r="BS375" s="4413"/>
      <c r="BT375" s="4431"/>
      <c r="BU375" s="4432"/>
      <c r="BV375" s="4385">
        <f t="shared" si="162"/>
        <v>240</v>
      </c>
      <c r="BW375" s="4386">
        <f t="shared" si="144"/>
        <v>0</v>
      </c>
      <c r="BX375" s="4387"/>
      <c r="BY375" s="4387"/>
      <c r="BZ375" s="4387"/>
      <c r="CA375" s="4391" t="str">
        <f>VLOOKUP(D375&amp;G375&amp;H375&amp;I375,'9298 版本变更明细'!C:AJ,34,FALSE)</f>
        <v>C版本收缩膜+指南+A版本口水胶+C版本配件包（香味贴纸/指定配件）</v>
      </c>
      <c r="CC375" s="4392"/>
      <c r="CD375" s="4391"/>
    </row>
    <row r="376" s="4025" customFormat="1" ht="50" customHeight="1" spans="1:82">
      <c r="A376" s="3688">
        <v>45808</v>
      </c>
      <c r="B376" s="3689" t="s">
        <v>1429</v>
      </c>
      <c r="C376" s="3664" t="s">
        <v>1430</v>
      </c>
      <c r="D376" s="3690">
        <v>4500168594</v>
      </c>
      <c r="E376" s="3664"/>
      <c r="F376" s="3690" t="s">
        <v>4018</v>
      </c>
      <c r="G376" s="3664" t="s">
        <v>2577</v>
      </c>
      <c r="H376" s="3664" t="s">
        <v>2578</v>
      </c>
      <c r="I376" s="3691">
        <v>120</v>
      </c>
      <c r="J376" s="3691">
        <v>0</v>
      </c>
      <c r="K376" s="3691">
        <v>12</v>
      </c>
      <c r="L376" s="3691">
        <f t="shared" si="160"/>
        <v>10</v>
      </c>
      <c r="M376" s="3659">
        <v>45840</v>
      </c>
      <c r="N376" s="3659">
        <f t="shared" si="163"/>
        <v>45836</v>
      </c>
      <c r="O376" s="4085"/>
      <c r="P376" s="3682" t="s">
        <v>82</v>
      </c>
      <c r="Q376" s="3682"/>
      <c r="R376" s="4083"/>
      <c r="S376" s="4083"/>
      <c r="T376" s="4083"/>
      <c r="U376" s="3645" t="s">
        <v>208</v>
      </c>
      <c r="V376" s="3649" t="s">
        <v>1425</v>
      </c>
      <c r="W376" s="3657"/>
      <c r="X376" s="3657" t="s">
        <v>1432</v>
      </c>
      <c r="Y376" s="3657"/>
      <c r="Z376" s="3691"/>
      <c r="AA376" s="3620" t="s">
        <v>4017</v>
      </c>
      <c r="AB376" s="3691" t="s">
        <v>1434</v>
      </c>
      <c r="AC376" s="4087">
        <v>2.1438</v>
      </c>
      <c r="AD376" s="3691">
        <f t="shared" si="161"/>
        <v>257.256</v>
      </c>
      <c r="AE376" s="3645" t="s">
        <v>4019</v>
      </c>
      <c r="AF376" s="4395" t="s">
        <v>2604</v>
      </c>
      <c r="AG376" s="3645" t="s">
        <v>416</v>
      </c>
      <c r="AH376" s="3708"/>
      <c r="AI376" s="3691"/>
      <c r="AJ376" s="3691"/>
      <c r="AK376" s="3708"/>
      <c r="AL376" s="3664">
        <f>I376</f>
        <v>120</v>
      </c>
      <c r="AM376" s="3664"/>
      <c r="AN376" s="3691"/>
      <c r="AO376" s="3691">
        <f t="shared" ref="AO376:AO393" si="164">I376</f>
        <v>120</v>
      </c>
      <c r="AP376" s="3691"/>
      <c r="AQ376" s="4089"/>
      <c r="AR376" s="1048"/>
      <c r="AS376" s="4089">
        <f t="shared" si="152"/>
        <v>120</v>
      </c>
      <c r="AT376" s="1048"/>
      <c r="AU376" s="4089"/>
      <c r="AV376" s="4089">
        <f>I376/6</f>
        <v>20</v>
      </c>
      <c r="AW376" s="4089"/>
      <c r="AX376" s="4089"/>
      <c r="AY376" s="4089"/>
      <c r="AZ376" s="4089"/>
      <c r="BA376" s="4089"/>
      <c r="BB376" s="4089"/>
      <c r="BC376" s="4089"/>
      <c r="BD376" s="4089"/>
      <c r="BE376" s="4089"/>
      <c r="BF376" s="4089" t="s">
        <v>89</v>
      </c>
      <c r="BG376" s="4089"/>
      <c r="BH376" s="4089">
        <f t="shared" si="153"/>
        <v>20</v>
      </c>
      <c r="BI376" s="4089">
        <f t="shared" si="154"/>
        <v>20</v>
      </c>
      <c r="BJ376" s="4089">
        <f t="shared" si="155"/>
        <v>20</v>
      </c>
      <c r="BK376" s="4089">
        <f t="shared" si="156"/>
        <v>20</v>
      </c>
      <c r="BL376" s="4089">
        <f t="shared" si="157"/>
        <v>20</v>
      </c>
      <c r="BM376" s="4089">
        <f t="shared" si="158"/>
        <v>16</v>
      </c>
      <c r="BN376" s="4089">
        <f t="shared" si="159"/>
        <v>4</v>
      </c>
      <c r="BO376" s="4413"/>
      <c r="BP376" s="4413"/>
      <c r="BQ376" s="4413"/>
      <c r="BR376" s="4413"/>
      <c r="BS376" s="4413"/>
      <c r="BT376" s="4431"/>
      <c r="BU376" s="4432"/>
      <c r="BV376" s="4385">
        <f t="shared" si="162"/>
        <v>120</v>
      </c>
      <c r="BW376" s="4386">
        <f t="shared" si="144"/>
        <v>0</v>
      </c>
      <c r="BX376" s="4387"/>
      <c r="BY376" s="4387"/>
      <c r="BZ376" s="4387"/>
      <c r="CA376" s="4391" t="str">
        <f>VLOOKUP(D376&amp;G376&amp;H376&amp;I376,'9298 版本变更明细'!C:AJ,34,FALSE)</f>
        <v>B版本膜+A版本指南+口水胶+C版本配件包（香味贴纸/指定配件）</v>
      </c>
      <c r="CC376" s="4392"/>
      <c r="CD376" s="4391"/>
    </row>
    <row r="377" s="4025" customFormat="1" ht="50" customHeight="1" spans="1:82">
      <c r="A377" s="3688">
        <v>45811</v>
      </c>
      <c r="B377" s="3689" t="s">
        <v>1429</v>
      </c>
      <c r="C377" s="3664" t="s">
        <v>1430</v>
      </c>
      <c r="D377" s="3690">
        <v>4500168705</v>
      </c>
      <c r="E377" s="3664"/>
      <c r="F377" s="3690" t="s">
        <v>4020</v>
      </c>
      <c r="G377" s="3664" t="s">
        <v>2577</v>
      </c>
      <c r="H377" s="3664" t="s">
        <v>2578</v>
      </c>
      <c r="I377" s="3691">
        <v>264</v>
      </c>
      <c r="J377" s="3691">
        <v>0</v>
      </c>
      <c r="K377" s="3691">
        <v>12</v>
      </c>
      <c r="L377" s="3691">
        <f t="shared" si="160"/>
        <v>22</v>
      </c>
      <c r="M377" s="3659">
        <v>45840</v>
      </c>
      <c r="N377" s="3659">
        <f t="shared" si="163"/>
        <v>45836</v>
      </c>
      <c r="O377" s="4085"/>
      <c r="P377" s="3682" t="s">
        <v>82</v>
      </c>
      <c r="Q377" s="3682"/>
      <c r="R377" s="4083"/>
      <c r="S377" s="4083"/>
      <c r="T377" s="4083"/>
      <c r="U377" s="3645" t="s">
        <v>4021</v>
      </c>
      <c r="V377" s="3649" t="s">
        <v>1425</v>
      </c>
      <c r="W377" s="3657"/>
      <c r="X377" s="3657" t="s">
        <v>1432</v>
      </c>
      <c r="Y377" s="3657"/>
      <c r="Z377" s="3691"/>
      <c r="AA377" s="3620" t="s">
        <v>4017</v>
      </c>
      <c r="AB377" s="3691" t="s">
        <v>1434</v>
      </c>
      <c r="AC377" s="4087">
        <v>2.1438</v>
      </c>
      <c r="AD377" s="3691">
        <f t="shared" si="161"/>
        <v>565.9632</v>
      </c>
      <c r="AE377" s="3645" t="s">
        <v>4022</v>
      </c>
      <c r="AF377" s="4395" t="s">
        <v>2604</v>
      </c>
      <c r="AG377" s="3645" t="s">
        <v>416</v>
      </c>
      <c r="AH377" s="3708"/>
      <c r="AI377" s="3691"/>
      <c r="AJ377" s="3691"/>
      <c r="AK377" s="3708"/>
      <c r="AL377" s="3664">
        <f>I377</f>
        <v>264</v>
      </c>
      <c r="AM377" s="3664"/>
      <c r="AN377" s="3691"/>
      <c r="AO377" s="3691">
        <f t="shared" si="164"/>
        <v>264</v>
      </c>
      <c r="AP377" s="3691"/>
      <c r="AQ377" s="4089"/>
      <c r="AR377" s="1048"/>
      <c r="AS377" s="4089">
        <f t="shared" si="152"/>
        <v>264</v>
      </c>
      <c r="AT377" s="1048"/>
      <c r="AU377" s="4089"/>
      <c r="AV377" s="4089">
        <f>I377/6</f>
        <v>44</v>
      </c>
      <c r="AW377" s="4089"/>
      <c r="AX377" s="4089"/>
      <c r="AY377" s="4089"/>
      <c r="AZ377" s="4089"/>
      <c r="BA377" s="4089"/>
      <c r="BB377" s="4089"/>
      <c r="BC377" s="4089"/>
      <c r="BD377" s="4089"/>
      <c r="BE377" s="4089"/>
      <c r="BF377" s="4089" t="s">
        <v>89</v>
      </c>
      <c r="BG377" s="4089"/>
      <c r="BH377" s="4089">
        <f t="shared" si="153"/>
        <v>44</v>
      </c>
      <c r="BI377" s="4089">
        <f t="shared" si="154"/>
        <v>44</v>
      </c>
      <c r="BJ377" s="4089">
        <f t="shared" si="155"/>
        <v>44</v>
      </c>
      <c r="BK377" s="4089">
        <f t="shared" si="156"/>
        <v>44</v>
      </c>
      <c r="BL377" s="4089">
        <f t="shared" si="157"/>
        <v>44</v>
      </c>
      <c r="BM377" s="4089">
        <f t="shared" si="158"/>
        <v>35.2</v>
      </c>
      <c r="BN377" s="4089">
        <f t="shared" si="159"/>
        <v>8.8</v>
      </c>
      <c r="BO377" s="4413"/>
      <c r="BP377" s="4413"/>
      <c r="BQ377" s="4413"/>
      <c r="BR377" s="4413"/>
      <c r="BS377" s="4413"/>
      <c r="BT377" s="4431"/>
      <c r="BU377" s="4432"/>
      <c r="BV377" s="4385">
        <f t="shared" si="162"/>
        <v>264</v>
      </c>
      <c r="BW377" s="4386">
        <f t="shared" si="144"/>
        <v>0</v>
      </c>
      <c r="BX377" s="4387"/>
      <c r="BY377" s="4387"/>
      <c r="BZ377" s="4387"/>
      <c r="CA377" s="4391" t="str">
        <f>VLOOKUP(D377&amp;G377&amp;H377&amp;I377,'9298 版本变更明细'!C:AJ,34,FALSE)</f>
        <v>B版本膜+A版本指南+口水胶+C版本配件包（香味贴纸/指定配件）</v>
      </c>
      <c r="CC377" s="4392"/>
      <c r="CD377" s="4391"/>
    </row>
    <row r="378" s="4025" customFormat="1" ht="50" customHeight="1" spans="1:82">
      <c r="A378" s="3688">
        <v>45812</v>
      </c>
      <c r="B378" s="3689" t="s">
        <v>2628</v>
      </c>
      <c r="C378" s="3664" t="s">
        <v>738</v>
      </c>
      <c r="D378" s="3690">
        <v>4500168901</v>
      </c>
      <c r="E378" s="3664" t="s">
        <v>4023</v>
      </c>
      <c r="F378" s="3690" t="s">
        <v>4024</v>
      </c>
      <c r="G378" s="3664" t="s">
        <v>3186</v>
      </c>
      <c r="H378" s="3664" t="s">
        <v>3187</v>
      </c>
      <c r="I378" s="3691">
        <v>12</v>
      </c>
      <c r="J378" s="3691">
        <v>0</v>
      </c>
      <c r="K378" s="3691">
        <v>12</v>
      </c>
      <c r="L378" s="3691">
        <f t="shared" si="160"/>
        <v>1</v>
      </c>
      <c r="M378" s="3659">
        <v>45840</v>
      </c>
      <c r="N378" s="3659">
        <v>45836</v>
      </c>
      <c r="O378" s="4085"/>
      <c r="P378" s="3682" t="s">
        <v>82</v>
      </c>
      <c r="Q378" s="3682"/>
      <c r="R378" s="4083"/>
      <c r="S378" s="4083"/>
      <c r="T378" s="4083"/>
      <c r="U378" s="3620" t="s">
        <v>4025</v>
      </c>
      <c r="V378" s="3649" t="s">
        <v>3965</v>
      </c>
      <c r="W378" s="3657"/>
      <c r="X378" s="3657" t="s">
        <v>4026</v>
      </c>
      <c r="Y378" s="3657" t="s">
        <v>3967</v>
      </c>
      <c r="Z378" s="3691"/>
      <c r="AA378" s="3620" t="s">
        <v>4027</v>
      </c>
      <c r="AB378" s="3691" t="s">
        <v>1257</v>
      </c>
      <c r="AC378" s="4087">
        <v>2.0915</v>
      </c>
      <c r="AD378" s="3691">
        <f t="shared" si="161"/>
        <v>25.098</v>
      </c>
      <c r="AE378" s="3645" t="s">
        <v>4028</v>
      </c>
      <c r="AF378" s="959" t="s">
        <v>3189</v>
      </c>
      <c r="AG378" s="3645" t="s">
        <v>416</v>
      </c>
      <c r="AH378" s="905"/>
      <c r="AI378" s="3691"/>
      <c r="AJ378" s="3691"/>
      <c r="AK378" s="905"/>
      <c r="AL378" s="3664"/>
      <c r="AM378" s="3664">
        <f>I378</f>
        <v>12</v>
      </c>
      <c r="AN378" s="3691"/>
      <c r="AO378" s="3691">
        <f t="shared" si="164"/>
        <v>12</v>
      </c>
      <c r="AP378" s="3691"/>
      <c r="AQ378" s="4089"/>
      <c r="AR378" s="4382"/>
      <c r="AS378" s="4089">
        <f t="shared" si="152"/>
        <v>12</v>
      </c>
      <c r="AT378" s="4382"/>
      <c r="AU378" s="4089"/>
      <c r="AV378" s="4089"/>
      <c r="AW378" s="4089"/>
      <c r="AX378" s="4089"/>
      <c r="AY378" s="4089"/>
      <c r="AZ378" s="4089"/>
      <c r="BA378" s="4089"/>
      <c r="BB378" s="4089"/>
      <c r="BC378" s="4089"/>
      <c r="BD378" s="4089"/>
      <c r="BE378" s="4089"/>
      <c r="BF378" s="4089" t="s">
        <v>89</v>
      </c>
      <c r="BG378" s="4089"/>
      <c r="BH378" s="4089"/>
      <c r="BI378" s="4089"/>
      <c r="BJ378" s="4089"/>
      <c r="BK378" s="4089">
        <f>I378-BN378</f>
        <v>11.6</v>
      </c>
      <c r="BL378" s="4089"/>
      <c r="BM378" s="4089"/>
      <c r="BN378" s="4089">
        <f t="shared" si="159"/>
        <v>0.4</v>
      </c>
      <c r="BO378" s="907"/>
      <c r="BP378" s="907"/>
      <c r="BQ378" s="907"/>
      <c r="BR378" s="907"/>
      <c r="BS378" s="907"/>
      <c r="BT378" s="910"/>
      <c r="BU378" s="911"/>
      <c r="BV378" s="4385">
        <f t="shared" si="162"/>
        <v>12</v>
      </c>
      <c r="BW378" s="4386">
        <f t="shared" si="144"/>
        <v>0</v>
      </c>
      <c r="BX378" s="4387"/>
      <c r="BY378" s="4387"/>
      <c r="BZ378" s="4387"/>
      <c r="CA378" s="4391" t="e">
        <f>VLOOKUP(D378&amp;G378&amp;H378&amp;I378,'9298 版本变更明细'!C:AJ,34,FALSE)</f>
        <v>#N/A</v>
      </c>
      <c r="CC378" s="4392" t="s">
        <v>4029</v>
      </c>
      <c r="CD378" s="4391" t="s">
        <v>4030</v>
      </c>
    </row>
    <row r="379" s="4025" customFormat="1" ht="50" customHeight="1" spans="1:82">
      <c r="A379" s="3688">
        <v>45812</v>
      </c>
      <c r="B379" s="3689" t="s">
        <v>2628</v>
      </c>
      <c r="C379" s="3664" t="s">
        <v>738</v>
      </c>
      <c r="D379" s="3690">
        <v>4500168901</v>
      </c>
      <c r="E379" s="3664" t="s">
        <v>4023</v>
      </c>
      <c r="F379" s="3690" t="s">
        <v>4031</v>
      </c>
      <c r="G379" s="3664" t="s">
        <v>3174</v>
      </c>
      <c r="H379" s="3664" t="s">
        <v>2677</v>
      </c>
      <c r="I379" s="3691">
        <v>12</v>
      </c>
      <c r="J379" s="3691">
        <v>0</v>
      </c>
      <c r="K379" s="3691">
        <v>12</v>
      </c>
      <c r="L379" s="3691">
        <f t="shared" si="160"/>
        <v>1</v>
      </c>
      <c r="M379" s="3659">
        <v>45840</v>
      </c>
      <c r="N379" s="3659">
        <v>45836</v>
      </c>
      <c r="O379" s="4085"/>
      <c r="P379" s="3682" t="s">
        <v>82</v>
      </c>
      <c r="Q379" s="3682"/>
      <c r="R379" s="4083"/>
      <c r="S379" s="4083"/>
      <c r="T379" s="4083"/>
      <c r="U379" s="3620" t="s">
        <v>4025</v>
      </c>
      <c r="V379" s="3649" t="s">
        <v>3965</v>
      </c>
      <c r="W379" s="3657"/>
      <c r="X379" s="3657" t="s">
        <v>4026</v>
      </c>
      <c r="Y379" s="3657" t="s">
        <v>3967</v>
      </c>
      <c r="Z379" s="3691"/>
      <c r="AA379" s="3620" t="s">
        <v>4027</v>
      </c>
      <c r="AB379" s="3691" t="s">
        <v>1257</v>
      </c>
      <c r="AC379" s="4087">
        <v>2.0915</v>
      </c>
      <c r="AD379" s="3691">
        <f t="shared" si="161"/>
        <v>25.098</v>
      </c>
      <c r="AE379" s="3645" t="s">
        <v>4028</v>
      </c>
      <c r="AF379" s="959" t="s">
        <v>3179</v>
      </c>
      <c r="AG379" s="3645" t="s">
        <v>416</v>
      </c>
      <c r="AH379" s="905"/>
      <c r="AI379" s="3691"/>
      <c r="AJ379" s="3691"/>
      <c r="AK379" s="905"/>
      <c r="AL379" s="3664"/>
      <c r="AM379" s="3664">
        <f>I379</f>
        <v>12</v>
      </c>
      <c r="AN379" s="3691"/>
      <c r="AO379" s="3691">
        <f t="shared" si="164"/>
        <v>12</v>
      </c>
      <c r="AP379" s="3691"/>
      <c r="AQ379" s="4089"/>
      <c r="AR379" s="4382"/>
      <c r="AS379" s="4089">
        <f t="shared" si="152"/>
        <v>12</v>
      </c>
      <c r="AT379" s="4382"/>
      <c r="AU379" s="4089"/>
      <c r="AV379" s="4089"/>
      <c r="AW379" s="4089"/>
      <c r="AX379" s="4089"/>
      <c r="AY379" s="4089"/>
      <c r="AZ379" s="4089"/>
      <c r="BA379" s="4089"/>
      <c r="BB379" s="4089"/>
      <c r="BC379" s="4089"/>
      <c r="BD379" s="4089"/>
      <c r="BE379" s="4089"/>
      <c r="BF379" s="4089" t="s">
        <v>89</v>
      </c>
      <c r="BG379" s="4089"/>
      <c r="BH379" s="4089"/>
      <c r="BI379" s="4089">
        <f>I379-BN379</f>
        <v>11.6</v>
      </c>
      <c r="BJ379" s="4089"/>
      <c r="BK379" s="4089"/>
      <c r="BL379" s="4089"/>
      <c r="BM379" s="4089"/>
      <c r="BN379" s="4089">
        <f t="shared" si="159"/>
        <v>0.4</v>
      </c>
      <c r="BO379" s="907"/>
      <c r="BP379" s="907"/>
      <c r="BQ379" s="907"/>
      <c r="BR379" s="907"/>
      <c r="BS379" s="907"/>
      <c r="BT379" s="910"/>
      <c r="BU379" s="911"/>
      <c r="BV379" s="4385">
        <f t="shared" si="162"/>
        <v>12</v>
      </c>
      <c r="BW379" s="4386">
        <f t="shared" si="144"/>
        <v>0</v>
      </c>
      <c r="BX379" s="4387"/>
      <c r="BY379" s="4387"/>
      <c r="BZ379" s="4387"/>
      <c r="CA379" s="4391" t="str">
        <f>VLOOKUP(D379&amp;G379&amp;H379&amp;I379,'9298 版本变更明细'!C:AJ,34,FALSE)</f>
        <v>C版本收缩膜+A版本指南+口水胶+C版本配件包（香味贴纸/指定配件）</v>
      </c>
      <c r="CC379" s="4392" t="s">
        <v>4029</v>
      </c>
      <c r="CD379" s="4391" t="s">
        <v>4030</v>
      </c>
    </row>
    <row r="380" s="4025" customFormat="1" ht="50" customHeight="1" spans="1:82">
      <c r="A380" s="3688">
        <v>45798</v>
      </c>
      <c r="B380" s="3689" t="s">
        <v>3256</v>
      </c>
      <c r="C380" s="3664" t="s">
        <v>91</v>
      </c>
      <c r="D380" s="3690">
        <v>4500167316</v>
      </c>
      <c r="E380" s="3664">
        <v>4554409617</v>
      </c>
      <c r="F380" s="3690" t="s">
        <v>4032</v>
      </c>
      <c r="G380" s="3664" t="s">
        <v>2719</v>
      </c>
      <c r="H380" s="3691" t="s">
        <v>2591</v>
      </c>
      <c r="I380" s="3691">
        <v>582</v>
      </c>
      <c r="J380" s="3691">
        <v>0</v>
      </c>
      <c r="K380" s="3691">
        <v>6</v>
      </c>
      <c r="L380" s="3691">
        <f t="shared" si="160"/>
        <v>97</v>
      </c>
      <c r="M380" s="3659">
        <v>45840</v>
      </c>
      <c r="N380" s="3659">
        <f t="shared" ref="N380:N388" si="165">M380-4</f>
        <v>45836</v>
      </c>
      <c r="O380" s="4085"/>
      <c r="P380" s="3682" t="s">
        <v>82</v>
      </c>
      <c r="Q380" s="3682"/>
      <c r="R380" s="4083"/>
      <c r="S380" s="4083"/>
      <c r="T380" s="4083"/>
      <c r="U380" s="3645" t="s">
        <v>3870</v>
      </c>
      <c r="V380" s="3649" t="s">
        <v>1349</v>
      </c>
      <c r="W380" s="3657"/>
      <c r="X380" s="3657" t="s">
        <v>4033</v>
      </c>
      <c r="Y380" s="3657"/>
      <c r="Z380" s="3691"/>
      <c r="AA380" s="3620" t="s">
        <v>4034</v>
      </c>
      <c r="AB380" s="3691" t="s">
        <v>3262</v>
      </c>
      <c r="AC380" s="4087">
        <v>1.3268</v>
      </c>
      <c r="AD380" s="3691">
        <f t="shared" si="161"/>
        <v>772.1976</v>
      </c>
      <c r="AE380" s="3645" t="s">
        <v>4035</v>
      </c>
      <c r="AF380" s="3664" t="s">
        <v>2719</v>
      </c>
      <c r="AG380" s="3645" t="s">
        <v>416</v>
      </c>
      <c r="AH380" s="905"/>
      <c r="AI380" s="3691">
        <f t="shared" ref="AI380:AI389" si="166">I380</f>
        <v>582</v>
      </c>
      <c r="AJ380" s="3691"/>
      <c r="AK380" s="905"/>
      <c r="AL380" s="3664"/>
      <c r="AM380" s="3664"/>
      <c r="AN380" s="3691"/>
      <c r="AO380" s="3691">
        <f t="shared" si="164"/>
        <v>582</v>
      </c>
      <c r="AP380" s="3691"/>
      <c r="AQ380" s="4089"/>
      <c r="AR380" s="4382"/>
      <c r="AS380" s="4089">
        <f t="shared" si="152"/>
        <v>582</v>
      </c>
      <c r="AT380" s="4382"/>
      <c r="AU380" s="4089"/>
      <c r="AV380" s="4089"/>
      <c r="AW380" s="4089"/>
      <c r="AX380" s="4089"/>
      <c r="AY380" s="4089"/>
      <c r="AZ380" s="4089"/>
      <c r="BA380" s="4089"/>
      <c r="BB380" s="4089"/>
      <c r="BC380" s="4089"/>
      <c r="BD380" s="4089"/>
      <c r="BE380" s="4089"/>
      <c r="BF380" s="4089" t="s">
        <v>89</v>
      </c>
      <c r="BG380" s="4089"/>
      <c r="BH380" s="4089">
        <f t="shared" ref="BH380:BH403" si="167">I380/60*10</f>
        <v>97</v>
      </c>
      <c r="BI380" s="4089">
        <f t="shared" ref="BI380:BI403" si="168">I380/60*10</f>
        <v>97</v>
      </c>
      <c r="BJ380" s="4089">
        <f t="shared" ref="BJ380:BJ403" si="169">I380/60*10</f>
        <v>97</v>
      </c>
      <c r="BK380" s="4089">
        <f t="shared" ref="BK380:BK403" si="170">I380/60*10</f>
        <v>97</v>
      </c>
      <c r="BL380" s="4089">
        <f t="shared" ref="BL380:BL403" si="171">I380/60*10</f>
        <v>97</v>
      </c>
      <c r="BM380" s="4089">
        <f t="shared" ref="BM380:BM403" si="172">I380/60*8</f>
        <v>77.6</v>
      </c>
      <c r="BN380" s="4089">
        <f t="shared" si="159"/>
        <v>19.4</v>
      </c>
      <c r="BO380" s="907"/>
      <c r="BP380" s="907"/>
      <c r="BQ380" s="907"/>
      <c r="BR380" s="907"/>
      <c r="BS380" s="907"/>
      <c r="BT380" s="910"/>
      <c r="BU380" s="911"/>
      <c r="BV380" s="4385">
        <f t="shared" si="162"/>
        <v>582</v>
      </c>
      <c r="BW380" s="4386">
        <f t="shared" si="144"/>
        <v>0</v>
      </c>
      <c r="BX380" s="4387"/>
      <c r="BY380" s="4387"/>
      <c r="BZ380" s="4387"/>
      <c r="CA380" s="4391" t="str">
        <f>VLOOKUP(D380&amp;G380&amp;H380&amp;I380,'9298 版本变更明细'!C:AJ,34,FALSE)</f>
        <v>B版本膜+A版本指南+口水胶+C版本配件包（香味贴纸/指定配件）</v>
      </c>
      <c r="CC380" s="4392" t="s">
        <v>4036</v>
      </c>
      <c r="CD380" s="4391" t="s">
        <v>4030</v>
      </c>
    </row>
    <row r="381" s="4025" customFormat="1" ht="50" customHeight="1" spans="1:82">
      <c r="A381" s="3688">
        <v>45798</v>
      </c>
      <c r="B381" s="3689" t="s">
        <v>3256</v>
      </c>
      <c r="C381" s="3664" t="s">
        <v>91</v>
      </c>
      <c r="D381" s="3690">
        <v>4500167316</v>
      </c>
      <c r="E381" s="3664">
        <v>4554409430</v>
      </c>
      <c r="F381" s="3690" t="s">
        <v>4037</v>
      </c>
      <c r="G381" s="3664" t="s">
        <v>2719</v>
      </c>
      <c r="H381" s="3691" t="s">
        <v>2591</v>
      </c>
      <c r="I381" s="3691">
        <v>606</v>
      </c>
      <c r="J381" s="3691">
        <v>0</v>
      </c>
      <c r="K381" s="3691">
        <v>6</v>
      </c>
      <c r="L381" s="3691">
        <f t="shared" si="160"/>
        <v>101</v>
      </c>
      <c r="M381" s="3659">
        <v>45840</v>
      </c>
      <c r="N381" s="3659">
        <f t="shared" si="165"/>
        <v>45836</v>
      </c>
      <c r="O381" s="4085"/>
      <c r="P381" s="3682" t="s">
        <v>82</v>
      </c>
      <c r="Q381" s="3682"/>
      <c r="R381" s="4083"/>
      <c r="S381" s="4083"/>
      <c r="T381" s="4083"/>
      <c r="U381" s="3645" t="s">
        <v>3870</v>
      </c>
      <c r="V381" s="3649" t="s">
        <v>1349</v>
      </c>
      <c r="W381" s="3657"/>
      <c r="X381" s="3657" t="s">
        <v>4033</v>
      </c>
      <c r="Y381" s="3657"/>
      <c r="Z381" s="3691"/>
      <c r="AA381" s="3620" t="s">
        <v>4034</v>
      </c>
      <c r="AB381" s="3691" t="s">
        <v>3262</v>
      </c>
      <c r="AC381" s="4087">
        <v>1.3268</v>
      </c>
      <c r="AD381" s="3691">
        <f t="shared" si="161"/>
        <v>804.0408</v>
      </c>
      <c r="AE381" s="3645" t="s">
        <v>4038</v>
      </c>
      <c r="AF381" s="3664" t="s">
        <v>2719</v>
      </c>
      <c r="AG381" s="3645" t="s">
        <v>416</v>
      </c>
      <c r="AH381" s="905"/>
      <c r="AI381" s="3691">
        <f t="shared" si="166"/>
        <v>606</v>
      </c>
      <c r="AJ381" s="3691"/>
      <c r="AK381" s="905"/>
      <c r="AL381" s="3664"/>
      <c r="AM381" s="3664"/>
      <c r="AN381" s="3691"/>
      <c r="AO381" s="3691">
        <f t="shared" si="164"/>
        <v>606</v>
      </c>
      <c r="AP381" s="3691"/>
      <c r="AQ381" s="4089"/>
      <c r="AR381" s="4382"/>
      <c r="AS381" s="4089">
        <f t="shared" si="152"/>
        <v>606</v>
      </c>
      <c r="AT381" s="4382"/>
      <c r="AU381" s="4089"/>
      <c r="AV381" s="4089"/>
      <c r="AW381" s="4089"/>
      <c r="AX381" s="4089"/>
      <c r="AY381" s="4089"/>
      <c r="AZ381" s="4089"/>
      <c r="BA381" s="4089"/>
      <c r="BB381" s="4089"/>
      <c r="BC381" s="4089"/>
      <c r="BD381" s="4089"/>
      <c r="BE381" s="4089"/>
      <c r="BF381" s="4089" t="s">
        <v>89</v>
      </c>
      <c r="BG381" s="4089"/>
      <c r="BH381" s="4089">
        <f t="shared" si="167"/>
        <v>101</v>
      </c>
      <c r="BI381" s="4089">
        <f t="shared" si="168"/>
        <v>101</v>
      </c>
      <c r="BJ381" s="4089">
        <f t="shared" si="169"/>
        <v>101</v>
      </c>
      <c r="BK381" s="4089">
        <f t="shared" si="170"/>
        <v>101</v>
      </c>
      <c r="BL381" s="4089">
        <f t="shared" si="171"/>
        <v>101</v>
      </c>
      <c r="BM381" s="4089">
        <f t="shared" si="172"/>
        <v>80.8</v>
      </c>
      <c r="BN381" s="4089">
        <f t="shared" si="159"/>
        <v>20.2</v>
      </c>
      <c r="BO381" s="907"/>
      <c r="BP381" s="907"/>
      <c r="BQ381" s="907"/>
      <c r="BR381" s="907"/>
      <c r="BS381" s="907"/>
      <c r="BT381" s="910"/>
      <c r="BU381" s="911"/>
      <c r="BV381" s="4385">
        <f t="shared" si="162"/>
        <v>606</v>
      </c>
      <c r="BW381" s="4386">
        <f t="shared" si="144"/>
        <v>0</v>
      </c>
      <c r="BX381" s="4387"/>
      <c r="BY381" s="4387"/>
      <c r="BZ381" s="4387"/>
      <c r="CA381" s="4391" t="str">
        <f>VLOOKUP(D381&amp;G381&amp;H381&amp;I381,'9298 版本变更明细'!C:AJ,34,FALSE)</f>
        <v>B版本膜+A版本指南+口水胶+C版本配件包（香味贴纸/指定配件）</v>
      </c>
      <c r="CC381" s="4392" t="s">
        <v>4036</v>
      </c>
      <c r="CD381" s="4391" t="s">
        <v>4030</v>
      </c>
    </row>
    <row r="382" s="4025" customFormat="1" ht="50" customHeight="1" spans="1:82">
      <c r="A382" s="3688">
        <v>45798</v>
      </c>
      <c r="B382" s="3689" t="s">
        <v>3256</v>
      </c>
      <c r="C382" s="3664" t="s">
        <v>91</v>
      </c>
      <c r="D382" s="3690">
        <v>4500167316</v>
      </c>
      <c r="E382" s="3664">
        <v>4554409658</v>
      </c>
      <c r="F382" s="3690" t="s">
        <v>4039</v>
      </c>
      <c r="G382" s="3664" t="s">
        <v>2719</v>
      </c>
      <c r="H382" s="3691" t="s">
        <v>2591</v>
      </c>
      <c r="I382" s="3691">
        <v>720</v>
      </c>
      <c r="J382" s="3691">
        <v>0</v>
      </c>
      <c r="K382" s="3691">
        <v>6</v>
      </c>
      <c r="L382" s="3691">
        <f t="shared" si="160"/>
        <v>120</v>
      </c>
      <c r="M382" s="3659">
        <v>45840</v>
      </c>
      <c r="N382" s="3659">
        <f t="shared" si="165"/>
        <v>45836</v>
      </c>
      <c r="O382" s="4085"/>
      <c r="P382" s="3682" t="s">
        <v>82</v>
      </c>
      <c r="Q382" s="3682"/>
      <c r="R382" s="4083"/>
      <c r="S382" s="4083"/>
      <c r="T382" s="4083"/>
      <c r="U382" s="3645" t="s">
        <v>3870</v>
      </c>
      <c r="V382" s="3649" t="s">
        <v>1349</v>
      </c>
      <c r="W382" s="3657"/>
      <c r="X382" s="3657" t="s">
        <v>4033</v>
      </c>
      <c r="Y382" s="3657"/>
      <c r="Z382" s="3691"/>
      <c r="AA382" s="3620" t="s">
        <v>4034</v>
      </c>
      <c r="AB382" s="3691" t="s">
        <v>3262</v>
      </c>
      <c r="AC382" s="4087">
        <v>1.3268</v>
      </c>
      <c r="AD382" s="3691">
        <f t="shared" si="161"/>
        <v>955.296</v>
      </c>
      <c r="AE382" s="3645" t="s">
        <v>4040</v>
      </c>
      <c r="AF382" s="3664" t="s">
        <v>2719</v>
      </c>
      <c r="AG382" s="3645" t="s">
        <v>416</v>
      </c>
      <c r="AH382" s="905"/>
      <c r="AI382" s="3691">
        <f t="shared" si="166"/>
        <v>720</v>
      </c>
      <c r="AJ382" s="3691"/>
      <c r="AK382" s="905"/>
      <c r="AL382" s="3664"/>
      <c r="AM382" s="3664"/>
      <c r="AN382" s="3691"/>
      <c r="AO382" s="3691">
        <f t="shared" si="164"/>
        <v>720</v>
      </c>
      <c r="AP382" s="3691"/>
      <c r="AQ382" s="4089"/>
      <c r="AR382" s="4382"/>
      <c r="AS382" s="4089">
        <f t="shared" si="152"/>
        <v>720</v>
      </c>
      <c r="AT382" s="4382"/>
      <c r="AU382" s="4089"/>
      <c r="AV382" s="4089"/>
      <c r="AW382" s="4089"/>
      <c r="AX382" s="4089"/>
      <c r="AY382" s="4089"/>
      <c r="AZ382" s="4089"/>
      <c r="BA382" s="4089"/>
      <c r="BB382" s="4089"/>
      <c r="BC382" s="4089"/>
      <c r="BD382" s="4089"/>
      <c r="BE382" s="4089"/>
      <c r="BF382" s="4089" t="s">
        <v>89</v>
      </c>
      <c r="BG382" s="4089"/>
      <c r="BH382" s="4089">
        <f t="shared" si="167"/>
        <v>120</v>
      </c>
      <c r="BI382" s="4089">
        <f t="shared" si="168"/>
        <v>120</v>
      </c>
      <c r="BJ382" s="4089">
        <f t="shared" si="169"/>
        <v>120</v>
      </c>
      <c r="BK382" s="4089">
        <f t="shared" si="170"/>
        <v>120</v>
      </c>
      <c r="BL382" s="4089">
        <f t="shared" si="171"/>
        <v>120</v>
      </c>
      <c r="BM382" s="4089">
        <f t="shared" si="172"/>
        <v>96</v>
      </c>
      <c r="BN382" s="4089">
        <f t="shared" si="159"/>
        <v>24</v>
      </c>
      <c r="BO382" s="907"/>
      <c r="BP382" s="907"/>
      <c r="BQ382" s="907"/>
      <c r="BR382" s="907"/>
      <c r="BS382" s="907"/>
      <c r="BT382" s="910"/>
      <c r="BU382" s="911"/>
      <c r="BV382" s="4385">
        <f t="shared" si="162"/>
        <v>720</v>
      </c>
      <c r="BW382" s="4386">
        <f t="shared" si="144"/>
        <v>0</v>
      </c>
      <c r="BX382" s="4387"/>
      <c r="BY382" s="4387"/>
      <c r="BZ382" s="4387"/>
      <c r="CA382" s="4391" t="str">
        <f>VLOOKUP(D382&amp;G382&amp;H382&amp;I382,'9298 版本变更明细'!C:AJ,34,FALSE)</f>
        <v>B版本膜+A版本指南+口水胶+C版本配件包（香味贴纸/指定配件）</v>
      </c>
      <c r="CC382" s="4392" t="s">
        <v>4036</v>
      </c>
      <c r="CD382" s="4391" t="s">
        <v>4030</v>
      </c>
    </row>
    <row r="383" s="4025" customFormat="1" ht="50" customHeight="1" spans="1:82">
      <c r="A383" s="3688">
        <v>45798</v>
      </c>
      <c r="B383" s="3689" t="s">
        <v>3256</v>
      </c>
      <c r="C383" s="3664" t="s">
        <v>91</v>
      </c>
      <c r="D383" s="3690">
        <v>4500167316</v>
      </c>
      <c r="E383" s="3664">
        <v>4554409712</v>
      </c>
      <c r="F383" s="3690" t="s">
        <v>4041</v>
      </c>
      <c r="G383" s="3664" t="s">
        <v>2719</v>
      </c>
      <c r="H383" s="3691" t="s">
        <v>2591</v>
      </c>
      <c r="I383" s="3691">
        <v>3702</v>
      </c>
      <c r="J383" s="3691">
        <v>0</v>
      </c>
      <c r="K383" s="3691">
        <v>6</v>
      </c>
      <c r="L383" s="3691">
        <f t="shared" si="160"/>
        <v>617</v>
      </c>
      <c r="M383" s="3659">
        <v>45840</v>
      </c>
      <c r="N383" s="3659">
        <f t="shared" si="165"/>
        <v>45836</v>
      </c>
      <c r="O383" s="4085"/>
      <c r="P383" s="3682" t="s">
        <v>82</v>
      </c>
      <c r="Q383" s="3682"/>
      <c r="R383" s="4083"/>
      <c r="S383" s="4083"/>
      <c r="T383" s="4083"/>
      <c r="U383" s="3645" t="s">
        <v>4042</v>
      </c>
      <c r="V383" s="3649" t="s">
        <v>1349</v>
      </c>
      <c r="W383" s="3657"/>
      <c r="X383" s="3657" t="s">
        <v>4033</v>
      </c>
      <c r="Y383" s="3657"/>
      <c r="Z383" s="3691"/>
      <c r="AA383" s="3620" t="s">
        <v>4034</v>
      </c>
      <c r="AB383" s="3691" t="s">
        <v>3262</v>
      </c>
      <c r="AC383" s="4087">
        <v>1.322</v>
      </c>
      <c r="AD383" s="3691">
        <f t="shared" si="161"/>
        <v>4894.044</v>
      </c>
      <c r="AE383" s="3645" t="s">
        <v>4043</v>
      </c>
      <c r="AF383" s="3664" t="s">
        <v>2719</v>
      </c>
      <c r="AG383" s="3645" t="s">
        <v>416</v>
      </c>
      <c r="AH383" s="905"/>
      <c r="AI383" s="3691">
        <f t="shared" si="166"/>
        <v>3702</v>
      </c>
      <c r="AJ383" s="3691"/>
      <c r="AK383" s="905"/>
      <c r="AL383" s="3664"/>
      <c r="AM383" s="3664"/>
      <c r="AN383" s="3691"/>
      <c r="AO383" s="3691">
        <f t="shared" si="164"/>
        <v>3702</v>
      </c>
      <c r="AP383" s="3691"/>
      <c r="AQ383" s="4089"/>
      <c r="AR383" s="4382"/>
      <c r="AS383" s="4089">
        <f t="shared" si="152"/>
        <v>3702</v>
      </c>
      <c r="AT383" s="4382"/>
      <c r="AU383" s="4089"/>
      <c r="AV383" s="4089"/>
      <c r="AW383" s="4089"/>
      <c r="AX383" s="4089"/>
      <c r="AY383" s="4089"/>
      <c r="AZ383" s="4089"/>
      <c r="BA383" s="4089"/>
      <c r="BB383" s="4089"/>
      <c r="BC383" s="4089"/>
      <c r="BD383" s="4089"/>
      <c r="BE383" s="4089"/>
      <c r="BF383" s="4089" t="s">
        <v>89</v>
      </c>
      <c r="BG383" s="4089"/>
      <c r="BH383" s="4089">
        <f t="shared" si="167"/>
        <v>617</v>
      </c>
      <c r="BI383" s="4089">
        <f t="shared" si="168"/>
        <v>617</v>
      </c>
      <c r="BJ383" s="4089">
        <f t="shared" si="169"/>
        <v>617</v>
      </c>
      <c r="BK383" s="4089">
        <f t="shared" si="170"/>
        <v>617</v>
      </c>
      <c r="BL383" s="4089">
        <f t="shared" si="171"/>
        <v>617</v>
      </c>
      <c r="BM383" s="4089">
        <f t="shared" si="172"/>
        <v>493.6</v>
      </c>
      <c r="BN383" s="4089">
        <f t="shared" si="159"/>
        <v>123.4</v>
      </c>
      <c r="BO383" s="907"/>
      <c r="BP383" s="907"/>
      <c r="BQ383" s="907"/>
      <c r="BR383" s="907"/>
      <c r="BS383" s="907"/>
      <c r="BT383" s="910"/>
      <c r="BU383" s="911"/>
      <c r="BV383" s="4385">
        <f t="shared" si="162"/>
        <v>3702</v>
      </c>
      <c r="BW383" s="4386">
        <f t="shared" si="144"/>
        <v>0</v>
      </c>
      <c r="BX383" s="4387"/>
      <c r="BY383" s="4387"/>
      <c r="BZ383" s="4387"/>
      <c r="CA383" s="4391" t="str">
        <f>VLOOKUP(D383&amp;G383&amp;H383&amp;I383,'9298 版本变更明细'!C:AJ,34,FALSE)</f>
        <v>B版本膜+A版本指南+口水胶+C版本配件包（香味贴纸/指定配件）</v>
      </c>
      <c r="CC383" s="4392" t="s">
        <v>4036</v>
      </c>
      <c r="CD383" s="4391" t="s">
        <v>4030</v>
      </c>
    </row>
    <row r="384" s="4025" customFormat="1" ht="50" customHeight="1" spans="1:82">
      <c r="A384" s="3688">
        <v>45798</v>
      </c>
      <c r="B384" s="3689" t="s">
        <v>3256</v>
      </c>
      <c r="C384" s="3664" t="s">
        <v>91</v>
      </c>
      <c r="D384" s="3690">
        <v>4500167316</v>
      </c>
      <c r="E384" s="3664">
        <v>4554409635</v>
      </c>
      <c r="F384" s="3690" t="s">
        <v>4044</v>
      </c>
      <c r="G384" s="3664" t="s">
        <v>2719</v>
      </c>
      <c r="H384" s="3691" t="s">
        <v>2591</v>
      </c>
      <c r="I384" s="3691">
        <v>978</v>
      </c>
      <c r="J384" s="3691">
        <v>0</v>
      </c>
      <c r="K384" s="3691">
        <v>6</v>
      </c>
      <c r="L384" s="3691">
        <f t="shared" si="160"/>
        <v>163</v>
      </c>
      <c r="M384" s="3659">
        <v>45840</v>
      </c>
      <c r="N384" s="3659">
        <f t="shared" si="165"/>
        <v>45836</v>
      </c>
      <c r="O384" s="4085"/>
      <c r="P384" s="3682" t="s">
        <v>82</v>
      </c>
      <c r="Q384" s="3682"/>
      <c r="R384" s="4083"/>
      <c r="S384" s="4083"/>
      <c r="T384" s="4083"/>
      <c r="U384" s="3645" t="s">
        <v>1418</v>
      </c>
      <c r="V384" s="3649" t="s">
        <v>1349</v>
      </c>
      <c r="W384" s="3657"/>
      <c r="X384" s="3657" t="s">
        <v>4033</v>
      </c>
      <c r="Y384" s="3657"/>
      <c r="Z384" s="3691"/>
      <c r="AA384" s="3620" t="s">
        <v>4034</v>
      </c>
      <c r="AB384" s="3691" t="s">
        <v>3262</v>
      </c>
      <c r="AC384" s="4087">
        <v>1.3268</v>
      </c>
      <c r="AD384" s="3691">
        <f t="shared" si="161"/>
        <v>1297.6104</v>
      </c>
      <c r="AE384" s="3645" t="s">
        <v>4045</v>
      </c>
      <c r="AF384" s="3664" t="s">
        <v>2719</v>
      </c>
      <c r="AG384" s="3645" t="s">
        <v>416</v>
      </c>
      <c r="AH384" s="905"/>
      <c r="AI384" s="3691">
        <f t="shared" si="166"/>
        <v>978</v>
      </c>
      <c r="AJ384" s="3691"/>
      <c r="AK384" s="905"/>
      <c r="AL384" s="3664"/>
      <c r="AM384" s="3664"/>
      <c r="AN384" s="3691"/>
      <c r="AO384" s="3691">
        <f t="shared" si="164"/>
        <v>978</v>
      </c>
      <c r="AP384" s="3691"/>
      <c r="AQ384" s="4089"/>
      <c r="AR384" s="4382"/>
      <c r="AS384" s="4089">
        <f t="shared" si="152"/>
        <v>978</v>
      </c>
      <c r="AT384" s="4382"/>
      <c r="AU384" s="4089"/>
      <c r="AV384" s="4089"/>
      <c r="AW384" s="4089"/>
      <c r="AX384" s="4089"/>
      <c r="AY384" s="4089"/>
      <c r="AZ384" s="4089"/>
      <c r="BA384" s="4089"/>
      <c r="BB384" s="4089"/>
      <c r="BC384" s="4089"/>
      <c r="BD384" s="4089"/>
      <c r="BE384" s="4089"/>
      <c r="BF384" s="4089" t="s">
        <v>89</v>
      </c>
      <c r="BG384" s="4089"/>
      <c r="BH384" s="4089">
        <f t="shared" si="167"/>
        <v>163</v>
      </c>
      <c r="BI384" s="4089">
        <f t="shared" si="168"/>
        <v>163</v>
      </c>
      <c r="BJ384" s="4089">
        <f t="shared" si="169"/>
        <v>163</v>
      </c>
      <c r="BK384" s="4089">
        <f t="shared" si="170"/>
        <v>163</v>
      </c>
      <c r="BL384" s="4089">
        <f t="shared" si="171"/>
        <v>163</v>
      </c>
      <c r="BM384" s="4089">
        <f t="shared" si="172"/>
        <v>130.4</v>
      </c>
      <c r="BN384" s="4089">
        <f t="shared" si="159"/>
        <v>32.6</v>
      </c>
      <c r="BO384" s="907"/>
      <c r="BP384" s="907"/>
      <c r="BQ384" s="907"/>
      <c r="BR384" s="907"/>
      <c r="BS384" s="907"/>
      <c r="BT384" s="910"/>
      <c r="BU384" s="911"/>
      <c r="BV384" s="4385">
        <f t="shared" si="162"/>
        <v>978</v>
      </c>
      <c r="BW384" s="4386">
        <f t="shared" si="144"/>
        <v>0</v>
      </c>
      <c r="BX384" s="4387"/>
      <c r="BY384" s="4387"/>
      <c r="BZ384" s="4387"/>
      <c r="CA384" s="4391" t="str">
        <f>VLOOKUP(D384&amp;G384&amp;H384&amp;I384,'9298 版本变更明细'!C:AJ,34,FALSE)</f>
        <v>B版本膜+A版本指南+口水胶+C版本配件包（香味贴纸/指定配件）</v>
      </c>
      <c r="CC384" s="4392" t="s">
        <v>4036</v>
      </c>
      <c r="CD384" s="4391" t="s">
        <v>4030</v>
      </c>
    </row>
    <row r="385" s="4025" customFormat="1" ht="50" customHeight="1" spans="1:82">
      <c r="A385" s="3688">
        <v>45798</v>
      </c>
      <c r="B385" s="3689" t="s">
        <v>3256</v>
      </c>
      <c r="C385" s="3664" t="s">
        <v>91</v>
      </c>
      <c r="D385" s="3690">
        <v>4500167316</v>
      </c>
      <c r="E385" s="3664">
        <v>4554409693</v>
      </c>
      <c r="F385" s="3690" t="s">
        <v>4046</v>
      </c>
      <c r="G385" s="3664" t="s">
        <v>2719</v>
      </c>
      <c r="H385" s="3691" t="s">
        <v>2591</v>
      </c>
      <c r="I385" s="3691">
        <v>936</v>
      </c>
      <c r="J385" s="3691">
        <v>0</v>
      </c>
      <c r="K385" s="3691">
        <v>6</v>
      </c>
      <c r="L385" s="3691">
        <f t="shared" si="160"/>
        <v>156</v>
      </c>
      <c r="M385" s="3659">
        <v>45840</v>
      </c>
      <c r="N385" s="3659">
        <f t="shared" si="165"/>
        <v>45836</v>
      </c>
      <c r="O385" s="4085"/>
      <c r="P385" s="3682" t="s">
        <v>82</v>
      </c>
      <c r="Q385" s="3682"/>
      <c r="R385" s="4083"/>
      <c r="S385" s="4083"/>
      <c r="T385" s="4083"/>
      <c r="U385" s="3645" t="s">
        <v>4047</v>
      </c>
      <c r="V385" s="3649" t="s">
        <v>1349</v>
      </c>
      <c r="W385" s="3657"/>
      <c r="X385" s="3657" t="s">
        <v>4033</v>
      </c>
      <c r="Y385" s="3657"/>
      <c r="Z385" s="3691"/>
      <c r="AA385" s="3620" t="s">
        <v>4034</v>
      </c>
      <c r="AB385" s="3691" t="s">
        <v>3262</v>
      </c>
      <c r="AC385" s="4087">
        <v>1.3268</v>
      </c>
      <c r="AD385" s="3691">
        <f t="shared" si="161"/>
        <v>1241.8848</v>
      </c>
      <c r="AE385" s="3645" t="s">
        <v>4048</v>
      </c>
      <c r="AF385" s="3664" t="s">
        <v>2719</v>
      </c>
      <c r="AG385" s="3645" t="s">
        <v>416</v>
      </c>
      <c r="AH385" s="905"/>
      <c r="AI385" s="3691">
        <f t="shared" si="166"/>
        <v>936</v>
      </c>
      <c r="AJ385" s="3691"/>
      <c r="AK385" s="905"/>
      <c r="AL385" s="3664"/>
      <c r="AM385" s="3664"/>
      <c r="AN385" s="3691"/>
      <c r="AO385" s="3691">
        <f t="shared" si="164"/>
        <v>936</v>
      </c>
      <c r="AP385" s="3691"/>
      <c r="AQ385" s="4089"/>
      <c r="AR385" s="4382"/>
      <c r="AS385" s="4089">
        <f t="shared" si="152"/>
        <v>936</v>
      </c>
      <c r="AT385" s="4382"/>
      <c r="AU385" s="4089"/>
      <c r="AV385" s="4089"/>
      <c r="AW385" s="4089"/>
      <c r="AX385" s="4089"/>
      <c r="AY385" s="4089"/>
      <c r="AZ385" s="4089"/>
      <c r="BA385" s="4089"/>
      <c r="BB385" s="4089"/>
      <c r="BC385" s="4089"/>
      <c r="BD385" s="4089"/>
      <c r="BE385" s="4089"/>
      <c r="BF385" s="4089" t="s">
        <v>89</v>
      </c>
      <c r="BG385" s="4089"/>
      <c r="BH385" s="4089">
        <f t="shared" si="167"/>
        <v>156</v>
      </c>
      <c r="BI385" s="4089">
        <f t="shared" si="168"/>
        <v>156</v>
      </c>
      <c r="BJ385" s="4089">
        <f t="shared" si="169"/>
        <v>156</v>
      </c>
      <c r="BK385" s="4089">
        <f t="shared" si="170"/>
        <v>156</v>
      </c>
      <c r="BL385" s="4089">
        <f t="shared" si="171"/>
        <v>156</v>
      </c>
      <c r="BM385" s="4089">
        <f t="shared" si="172"/>
        <v>124.8</v>
      </c>
      <c r="BN385" s="4089">
        <f t="shared" si="159"/>
        <v>31.2</v>
      </c>
      <c r="BO385" s="907"/>
      <c r="BP385" s="907"/>
      <c r="BQ385" s="907"/>
      <c r="BR385" s="907"/>
      <c r="BS385" s="907"/>
      <c r="BT385" s="910"/>
      <c r="BU385" s="911"/>
      <c r="BV385" s="4385">
        <f t="shared" si="162"/>
        <v>936</v>
      </c>
      <c r="BW385" s="4386">
        <f t="shared" si="144"/>
        <v>0</v>
      </c>
      <c r="BX385" s="4387"/>
      <c r="BY385" s="4387"/>
      <c r="BZ385" s="4387"/>
      <c r="CA385" s="4391" t="str">
        <f>VLOOKUP(D385&amp;G385&amp;H385&amp;I385,'9298 版本变更明细'!C:AJ,34,FALSE)</f>
        <v>B版本膜+A版本指南+口水胶+C版本配件包（香味贴纸/指定配件）</v>
      </c>
      <c r="CC385" s="4392" t="s">
        <v>4036</v>
      </c>
      <c r="CD385" s="4391" t="s">
        <v>4030</v>
      </c>
    </row>
    <row r="386" s="4025" customFormat="1" ht="50" customHeight="1" spans="1:82">
      <c r="A386" s="3688">
        <v>45798</v>
      </c>
      <c r="B386" s="3689" t="s">
        <v>3256</v>
      </c>
      <c r="C386" s="3664" t="s">
        <v>91</v>
      </c>
      <c r="D386" s="3690">
        <v>4500167316</v>
      </c>
      <c r="E386" s="3664">
        <v>4554409379</v>
      </c>
      <c r="F386" s="3690" t="s">
        <v>4049</v>
      </c>
      <c r="G386" s="3664" t="s">
        <v>2719</v>
      </c>
      <c r="H386" s="3691" t="s">
        <v>2591</v>
      </c>
      <c r="I386" s="3691">
        <v>480</v>
      </c>
      <c r="J386" s="3691">
        <v>0</v>
      </c>
      <c r="K386" s="3691">
        <v>6</v>
      </c>
      <c r="L386" s="3691">
        <f t="shared" si="160"/>
        <v>80</v>
      </c>
      <c r="M386" s="3659">
        <v>45840</v>
      </c>
      <c r="N386" s="3659">
        <f t="shared" si="165"/>
        <v>45836</v>
      </c>
      <c r="O386" s="4085"/>
      <c r="P386" s="3682" t="s">
        <v>82</v>
      </c>
      <c r="Q386" s="3682"/>
      <c r="R386" s="4083"/>
      <c r="S386" s="4083"/>
      <c r="T386" s="4083"/>
      <c r="U386" s="3645" t="s">
        <v>4042</v>
      </c>
      <c r="V386" s="3649" t="s">
        <v>1349</v>
      </c>
      <c r="W386" s="3657"/>
      <c r="X386" s="3657" t="s">
        <v>4033</v>
      </c>
      <c r="Y386" s="3657"/>
      <c r="Z386" s="3691"/>
      <c r="AA386" s="3620" t="s">
        <v>4034</v>
      </c>
      <c r="AB386" s="3691" t="s">
        <v>3262</v>
      </c>
      <c r="AC386" s="4087">
        <v>1.3268</v>
      </c>
      <c r="AD386" s="3691">
        <f t="shared" si="161"/>
        <v>636.864</v>
      </c>
      <c r="AE386" s="3645" t="s">
        <v>4050</v>
      </c>
      <c r="AF386" s="3664" t="s">
        <v>2719</v>
      </c>
      <c r="AG386" s="3645" t="s">
        <v>416</v>
      </c>
      <c r="AH386" s="905"/>
      <c r="AI386" s="3691">
        <f t="shared" si="166"/>
        <v>480</v>
      </c>
      <c r="AJ386" s="3691"/>
      <c r="AK386" s="905"/>
      <c r="AL386" s="3664"/>
      <c r="AM386" s="3664"/>
      <c r="AN386" s="3691"/>
      <c r="AO386" s="3691">
        <f t="shared" si="164"/>
        <v>480</v>
      </c>
      <c r="AP386" s="3691"/>
      <c r="AQ386" s="4089"/>
      <c r="AR386" s="4382"/>
      <c r="AS386" s="4089">
        <f t="shared" si="152"/>
        <v>480</v>
      </c>
      <c r="AT386" s="4382"/>
      <c r="AU386" s="4089"/>
      <c r="AV386" s="4089"/>
      <c r="AW386" s="4089"/>
      <c r="AX386" s="4089"/>
      <c r="AY386" s="4089"/>
      <c r="AZ386" s="4089"/>
      <c r="BA386" s="4089"/>
      <c r="BB386" s="4089"/>
      <c r="BC386" s="4089"/>
      <c r="BD386" s="4089"/>
      <c r="BE386" s="4089"/>
      <c r="BF386" s="4089" t="s">
        <v>89</v>
      </c>
      <c r="BG386" s="4089"/>
      <c r="BH386" s="4089">
        <f t="shared" si="167"/>
        <v>80</v>
      </c>
      <c r="BI386" s="4089">
        <f t="shared" si="168"/>
        <v>80</v>
      </c>
      <c r="BJ386" s="4089">
        <f t="shared" si="169"/>
        <v>80</v>
      </c>
      <c r="BK386" s="4089">
        <f t="shared" si="170"/>
        <v>80</v>
      </c>
      <c r="BL386" s="4089">
        <f t="shared" si="171"/>
        <v>80</v>
      </c>
      <c r="BM386" s="4089">
        <f t="shared" si="172"/>
        <v>64</v>
      </c>
      <c r="BN386" s="4089">
        <f t="shared" si="159"/>
        <v>16</v>
      </c>
      <c r="BO386" s="907"/>
      <c r="BP386" s="907"/>
      <c r="BQ386" s="907"/>
      <c r="BR386" s="907"/>
      <c r="BS386" s="907"/>
      <c r="BT386" s="910"/>
      <c r="BU386" s="911"/>
      <c r="BV386" s="4385">
        <f t="shared" si="162"/>
        <v>480</v>
      </c>
      <c r="BW386" s="4386">
        <f t="shared" si="144"/>
        <v>0</v>
      </c>
      <c r="BX386" s="4387"/>
      <c r="BY386" s="4387"/>
      <c r="BZ386" s="4387"/>
      <c r="CA386" s="4391" t="str">
        <f>VLOOKUP(D386&amp;G386&amp;H386&amp;I386,'9298 版本变更明细'!C:AJ,34,FALSE)</f>
        <v>B版本膜+A版本指南+口水胶+C版本配件包（香味贴纸/指定配件）</v>
      </c>
      <c r="CC386" s="4392" t="s">
        <v>4036</v>
      </c>
      <c r="CD386" s="4391" t="s">
        <v>4030</v>
      </c>
    </row>
    <row r="387" s="4025" customFormat="1" ht="50" customHeight="1" spans="1:82">
      <c r="A387" s="3688">
        <v>45798</v>
      </c>
      <c r="B387" s="3689" t="s">
        <v>3256</v>
      </c>
      <c r="C387" s="3664" t="s">
        <v>91</v>
      </c>
      <c r="D387" s="3690">
        <v>4500167316</v>
      </c>
      <c r="E387" s="3664">
        <v>4554409632</v>
      </c>
      <c r="F387" s="3690" t="s">
        <v>4051</v>
      </c>
      <c r="G387" s="3664" t="s">
        <v>2719</v>
      </c>
      <c r="H387" s="3691" t="s">
        <v>2591</v>
      </c>
      <c r="I387" s="3691">
        <v>1296</v>
      </c>
      <c r="J387" s="3691">
        <v>0</v>
      </c>
      <c r="K387" s="3691">
        <v>6</v>
      </c>
      <c r="L387" s="3691">
        <f t="shared" si="160"/>
        <v>216</v>
      </c>
      <c r="M387" s="3659">
        <v>45840</v>
      </c>
      <c r="N387" s="3659">
        <f t="shared" si="165"/>
        <v>45836</v>
      </c>
      <c r="O387" s="4085"/>
      <c r="P387" s="3682" t="s">
        <v>82</v>
      </c>
      <c r="Q387" s="3682"/>
      <c r="R387" s="4083"/>
      <c r="S387" s="4083"/>
      <c r="T387" s="4083"/>
      <c r="U387" s="3645" t="s">
        <v>3870</v>
      </c>
      <c r="V387" s="3649" t="s">
        <v>1349</v>
      </c>
      <c r="W387" s="3657"/>
      <c r="X387" s="3657" t="s">
        <v>4033</v>
      </c>
      <c r="Y387" s="3657"/>
      <c r="Z387" s="3691"/>
      <c r="AA387" s="3620" t="s">
        <v>4034</v>
      </c>
      <c r="AB387" s="3691" t="s">
        <v>3262</v>
      </c>
      <c r="AC387" s="4087">
        <v>1.324</v>
      </c>
      <c r="AD387" s="3691">
        <f t="shared" si="161"/>
        <v>1715.904</v>
      </c>
      <c r="AE387" s="3645" t="s">
        <v>4052</v>
      </c>
      <c r="AF387" s="3664" t="s">
        <v>2719</v>
      </c>
      <c r="AG387" s="3645" t="s">
        <v>416</v>
      </c>
      <c r="AH387" s="905"/>
      <c r="AI387" s="3691">
        <f t="shared" si="166"/>
        <v>1296</v>
      </c>
      <c r="AJ387" s="3691"/>
      <c r="AK387" s="905"/>
      <c r="AL387" s="3664"/>
      <c r="AM387" s="3664"/>
      <c r="AN387" s="3691"/>
      <c r="AO387" s="3691">
        <f t="shared" si="164"/>
        <v>1296</v>
      </c>
      <c r="AP387" s="3691"/>
      <c r="AQ387" s="4089"/>
      <c r="AR387" s="4382"/>
      <c r="AS387" s="4089">
        <f t="shared" si="152"/>
        <v>1296</v>
      </c>
      <c r="AT387" s="4382"/>
      <c r="AU387" s="4089"/>
      <c r="AV387" s="4089"/>
      <c r="AW387" s="4089"/>
      <c r="AX387" s="4089"/>
      <c r="AY387" s="4089"/>
      <c r="AZ387" s="4089"/>
      <c r="BA387" s="4089"/>
      <c r="BB387" s="4089"/>
      <c r="BC387" s="4089"/>
      <c r="BD387" s="4089"/>
      <c r="BE387" s="4089"/>
      <c r="BF387" s="4089" t="s">
        <v>89</v>
      </c>
      <c r="BG387" s="4089"/>
      <c r="BH387" s="4089">
        <f t="shared" si="167"/>
        <v>216</v>
      </c>
      <c r="BI387" s="4089">
        <f t="shared" si="168"/>
        <v>216</v>
      </c>
      <c r="BJ387" s="4089">
        <f t="shared" si="169"/>
        <v>216</v>
      </c>
      <c r="BK387" s="4089">
        <f t="shared" si="170"/>
        <v>216</v>
      </c>
      <c r="BL387" s="4089">
        <f t="shared" si="171"/>
        <v>216</v>
      </c>
      <c r="BM387" s="4089">
        <f t="shared" si="172"/>
        <v>172.8</v>
      </c>
      <c r="BN387" s="4089">
        <f t="shared" si="159"/>
        <v>43.2</v>
      </c>
      <c r="BO387" s="907"/>
      <c r="BP387" s="907"/>
      <c r="BQ387" s="907"/>
      <c r="BR387" s="907"/>
      <c r="BS387" s="907"/>
      <c r="BT387" s="910"/>
      <c r="BU387" s="911"/>
      <c r="BV387" s="4385">
        <f t="shared" si="162"/>
        <v>1296</v>
      </c>
      <c r="BW387" s="4386">
        <f t="shared" si="144"/>
        <v>0</v>
      </c>
      <c r="BX387" s="4387"/>
      <c r="BY387" s="4387"/>
      <c r="BZ387" s="4387"/>
      <c r="CA387" s="4391" t="str">
        <f>VLOOKUP(D387&amp;G387&amp;H387&amp;I387,'9298 版本变更明细'!C:AJ,34,FALSE)</f>
        <v>B版本膜+A版本指南+口水胶+C版本配件包（香味贴纸/指定配件）</v>
      </c>
      <c r="CC387" s="4392" t="s">
        <v>4036</v>
      </c>
      <c r="CD387" s="4391" t="s">
        <v>4030</v>
      </c>
    </row>
    <row r="388" s="4025" customFormat="1" ht="50" customHeight="1" spans="1:82">
      <c r="A388" s="3688">
        <v>45798</v>
      </c>
      <c r="B388" s="3689" t="s">
        <v>3256</v>
      </c>
      <c r="C388" s="3664" t="s">
        <v>91</v>
      </c>
      <c r="D388" s="3690">
        <v>4500167316</v>
      </c>
      <c r="E388" s="3664">
        <v>4554409429</v>
      </c>
      <c r="F388" s="3690" t="s">
        <v>4053</v>
      </c>
      <c r="G388" s="3664" t="s">
        <v>2719</v>
      </c>
      <c r="H388" s="3691" t="s">
        <v>2591</v>
      </c>
      <c r="I388" s="3691">
        <v>840</v>
      </c>
      <c r="J388" s="3691">
        <v>0</v>
      </c>
      <c r="K388" s="3691">
        <v>6</v>
      </c>
      <c r="L388" s="3691">
        <f t="shared" si="160"/>
        <v>140</v>
      </c>
      <c r="M388" s="3659">
        <v>45840</v>
      </c>
      <c r="N388" s="3659">
        <f t="shared" si="165"/>
        <v>45836</v>
      </c>
      <c r="O388" s="4085"/>
      <c r="P388" s="3682" t="s">
        <v>82</v>
      </c>
      <c r="Q388" s="3682"/>
      <c r="R388" s="4083"/>
      <c r="S388" s="4083"/>
      <c r="T388" s="4083"/>
      <c r="U388" s="3645" t="s">
        <v>3870</v>
      </c>
      <c r="V388" s="3649" t="s">
        <v>1349</v>
      </c>
      <c r="W388" s="3657"/>
      <c r="X388" s="3657" t="s">
        <v>4033</v>
      </c>
      <c r="Y388" s="3657"/>
      <c r="Z388" s="3691"/>
      <c r="AA388" s="3620" t="s">
        <v>4034</v>
      </c>
      <c r="AB388" s="3691" t="s">
        <v>3262</v>
      </c>
      <c r="AC388" s="4087">
        <v>1.3268</v>
      </c>
      <c r="AD388" s="3691">
        <f t="shared" si="161"/>
        <v>1114.512</v>
      </c>
      <c r="AE388" s="3645" t="s">
        <v>4054</v>
      </c>
      <c r="AF388" s="3664" t="s">
        <v>2719</v>
      </c>
      <c r="AG388" s="3645" t="s">
        <v>416</v>
      </c>
      <c r="AH388" s="905"/>
      <c r="AI388" s="3691">
        <f t="shared" si="166"/>
        <v>840</v>
      </c>
      <c r="AJ388" s="3691"/>
      <c r="AK388" s="905"/>
      <c r="AL388" s="3664"/>
      <c r="AM388" s="3664"/>
      <c r="AN388" s="3691"/>
      <c r="AO388" s="3691">
        <f t="shared" si="164"/>
        <v>840</v>
      </c>
      <c r="AP388" s="3691"/>
      <c r="AQ388" s="4089"/>
      <c r="AR388" s="4382"/>
      <c r="AS388" s="4089">
        <f t="shared" si="152"/>
        <v>840</v>
      </c>
      <c r="AT388" s="4382"/>
      <c r="AU388" s="4089"/>
      <c r="AV388" s="4089"/>
      <c r="AW388" s="4089"/>
      <c r="AX388" s="4089"/>
      <c r="AY388" s="4089"/>
      <c r="AZ388" s="4089"/>
      <c r="BA388" s="4089"/>
      <c r="BB388" s="4089"/>
      <c r="BC388" s="4089"/>
      <c r="BD388" s="4089"/>
      <c r="BE388" s="4089"/>
      <c r="BF388" s="4089" t="s">
        <v>89</v>
      </c>
      <c r="BG388" s="4089"/>
      <c r="BH388" s="4089">
        <f t="shared" si="167"/>
        <v>140</v>
      </c>
      <c r="BI388" s="4089">
        <f t="shared" si="168"/>
        <v>140</v>
      </c>
      <c r="BJ388" s="4089">
        <f t="shared" si="169"/>
        <v>140</v>
      </c>
      <c r="BK388" s="4089">
        <f t="shared" si="170"/>
        <v>140</v>
      </c>
      <c r="BL388" s="4089">
        <f t="shared" si="171"/>
        <v>140</v>
      </c>
      <c r="BM388" s="4089">
        <f t="shared" si="172"/>
        <v>112</v>
      </c>
      <c r="BN388" s="4089">
        <f t="shared" si="159"/>
        <v>28</v>
      </c>
      <c r="BO388" s="907"/>
      <c r="BP388" s="907"/>
      <c r="BQ388" s="907"/>
      <c r="BR388" s="907"/>
      <c r="BS388" s="907"/>
      <c r="BT388" s="910"/>
      <c r="BU388" s="911"/>
      <c r="BV388" s="4385">
        <f t="shared" si="162"/>
        <v>840</v>
      </c>
      <c r="BW388" s="4386">
        <f t="shared" si="144"/>
        <v>0</v>
      </c>
      <c r="BX388" s="4387"/>
      <c r="BY388" s="4387"/>
      <c r="BZ388" s="4387"/>
      <c r="CA388" s="4391" t="str">
        <f>VLOOKUP(D388&amp;G388&amp;H388&amp;I388,'9298 版本变更明细'!C:AJ,34,FALSE)</f>
        <v>B版本膜+A版本指南+口水胶+C版本配件包（香味贴纸/指定配件）</v>
      </c>
      <c r="CC388" s="4392" t="s">
        <v>4036</v>
      </c>
      <c r="CD388" s="4391" t="s">
        <v>4030</v>
      </c>
    </row>
    <row r="389" s="4025" customFormat="1" ht="50" customHeight="1" spans="1:82">
      <c r="A389" s="3688">
        <v>45615</v>
      </c>
      <c r="B389" s="3689" t="s">
        <v>387</v>
      </c>
      <c r="C389" s="3664" t="s">
        <v>91</v>
      </c>
      <c r="D389" s="3690">
        <v>4500151563</v>
      </c>
      <c r="E389" s="3664">
        <v>70054078</v>
      </c>
      <c r="F389" s="3690" t="s">
        <v>4055</v>
      </c>
      <c r="G389" s="3664" t="s">
        <v>2627</v>
      </c>
      <c r="H389" s="3691" t="s">
        <v>2591</v>
      </c>
      <c r="I389" s="3691">
        <v>600</v>
      </c>
      <c r="J389" s="3691">
        <v>0</v>
      </c>
      <c r="K389" s="3691">
        <v>24</v>
      </c>
      <c r="L389" s="3691">
        <f t="shared" si="160"/>
        <v>25</v>
      </c>
      <c r="M389" s="3659">
        <v>45841</v>
      </c>
      <c r="N389" s="3659">
        <f>M389-3</f>
        <v>45838</v>
      </c>
      <c r="O389" s="3664" t="s">
        <v>3551</v>
      </c>
      <c r="P389" s="3682" t="s">
        <v>82</v>
      </c>
      <c r="Q389" s="3682"/>
      <c r="R389" s="4083"/>
      <c r="S389" s="4083"/>
      <c r="T389" s="4083"/>
      <c r="U389" s="3645" t="s">
        <v>1418</v>
      </c>
      <c r="V389" s="3649" t="s">
        <v>390</v>
      </c>
      <c r="W389" s="3657"/>
      <c r="X389" s="3657" t="s">
        <v>98</v>
      </c>
      <c r="Y389" s="3657"/>
      <c r="Z389" s="3661"/>
      <c r="AA389" s="3620" t="s">
        <v>1531</v>
      </c>
      <c r="AB389" s="3691" t="s">
        <v>393</v>
      </c>
      <c r="AC389" s="3691">
        <v>2.084</v>
      </c>
      <c r="AD389" s="3691">
        <f t="shared" si="161"/>
        <v>1250.4</v>
      </c>
      <c r="AE389" s="3645"/>
      <c r="AF389" s="3664" t="s">
        <v>2627</v>
      </c>
      <c r="AG389" s="3645" t="s">
        <v>416</v>
      </c>
      <c r="AH389" s="905"/>
      <c r="AI389" s="3691">
        <f t="shared" si="166"/>
        <v>600</v>
      </c>
      <c r="AJ389" s="3691"/>
      <c r="AK389" s="905"/>
      <c r="AL389" s="3664"/>
      <c r="AM389" s="3664"/>
      <c r="AN389" s="3691"/>
      <c r="AO389" s="3691">
        <f t="shared" si="164"/>
        <v>600</v>
      </c>
      <c r="AP389" s="3691"/>
      <c r="AQ389" s="4089"/>
      <c r="AR389" s="4382"/>
      <c r="AS389" s="4089">
        <f t="shared" si="152"/>
        <v>600</v>
      </c>
      <c r="AT389" s="4382"/>
      <c r="AU389" s="4089"/>
      <c r="AV389" s="4089"/>
      <c r="AW389" s="4089"/>
      <c r="AX389" s="4089"/>
      <c r="AY389" s="4089"/>
      <c r="AZ389" s="4089"/>
      <c r="BA389" s="4089"/>
      <c r="BB389" s="4089"/>
      <c r="BC389" s="4089"/>
      <c r="BD389" s="4089"/>
      <c r="BE389" s="4089"/>
      <c r="BF389" s="4089" t="s">
        <v>89</v>
      </c>
      <c r="BG389" s="4089"/>
      <c r="BH389" s="4089">
        <f t="shared" si="167"/>
        <v>100</v>
      </c>
      <c r="BI389" s="4089">
        <f t="shared" si="168"/>
        <v>100</v>
      </c>
      <c r="BJ389" s="4089">
        <f t="shared" si="169"/>
        <v>100</v>
      </c>
      <c r="BK389" s="4089">
        <f t="shared" si="170"/>
        <v>100</v>
      </c>
      <c r="BL389" s="4089">
        <f t="shared" si="171"/>
        <v>100</v>
      </c>
      <c r="BM389" s="4089">
        <f t="shared" si="172"/>
        <v>80</v>
      </c>
      <c r="BN389" s="4089">
        <f t="shared" si="159"/>
        <v>20</v>
      </c>
      <c r="BO389" s="4382"/>
      <c r="BP389" s="4382"/>
      <c r="BQ389" s="4382"/>
      <c r="BR389" s="4382"/>
      <c r="BS389" s="4382"/>
      <c r="BT389" s="4383"/>
      <c r="BU389" s="4384"/>
      <c r="BV389" s="4385">
        <f t="shared" si="162"/>
        <v>600</v>
      </c>
      <c r="BW389" s="4386">
        <f t="shared" ref="BW389:BW452" si="173">I389-BV389</f>
        <v>0</v>
      </c>
      <c r="BX389" s="4387"/>
      <c r="BY389" s="4387"/>
      <c r="BZ389" s="4387"/>
      <c r="CA389" s="4391"/>
      <c r="CC389" s="4392"/>
      <c r="CD389" s="4391"/>
    </row>
    <row r="390" s="4025" customFormat="1" ht="50" customHeight="1" spans="1:82">
      <c r="A390" s="3688">
        <v>45776</v>
      </c>
      <c r="B390" s="3689" t="s">
        <v>3156</v>
      </c>
      <c r="C390" s="3664" t="s">
        <v>471</v>
      </c>
      <c r="D390" s="3690">
        <v>4500165120</v>
      </c>
      <c r="E390" s="3664">
        <v>5200006697</v>
      </c>
      <c r="F390" s="3690" t="s">
        <v>4056</v>
      </c>
      <c r="G390" s="3664" t="s">
        <v>2647</v>
      </c>
      <c r="H390" s="3664" t="s">
        <v>2648</v>
      </c>
      <c r="I390" s="3691">
        <v>1200</v>
      </c>
      <c r="J390" s="3691">
        <v>0</v>
      </c>
      <c r="K390" s="3691">
        <v>6</v>
      </c>
      <c r="L390" s="3691">
        <f t="shared" si="160"/>
        <v>200</v>
      </c>
      <c r="M390" s="3659">
        <v>45842</v>
      </c>
      <c r="N390" s="3659">
        <f>M390-4</f>
        <v>45838</v>
      </c>
      <c r="O390" s="3664"/>
      <c r="P390" s="3682"/>
      <c r="Q390" s="3682"/>
      <c r="R390" s="4083"/>
      <c r="S390" s="4083"/>
      <c r="T390" s="4083"/>
      <c r="U390" s="3645" t="s">
        <v>1447</v>
      </c>
      <c r="V390" s="3649" t="s">
        <v>1267</v>
      </c>
      <c r="W390" s="3657"/>
      <c r="X390" s="3657" t="s">
        <v>4057</v>
      </c>
      <c r="Y390" s="3657"/>
      <c r="Z390" s="3661"/>
      <c r="AA390" s="3620" t="s">
        <v>4058</v>
      </c>
      <c r="AB390" s="3691" t="s">
        <v>4059</v>
      </c>
      <c r="AC390" s="3691">
        <v>2.1536</v>
      </c>
      <c r="AD390" s="3691">
        <f t="shared" si="161"/>
        <v>2584.32</v>
      </c>
      <c r="AE390" s="3645" t="s">
        <v>4060</v>
      </c>
      <c r="AF390" s="959" t="s">
        <v>2652</v>
      </c>
      <c r="AG390" s="3645" t="s">
        <v>416</v>
      </c>
      <c r="AH390" s="905"/>
      <c r="AI390" s="3691"/>
      <c r="AJ390" s="3691"/>
      <c r="AK390" s="905"/>
      <c r="AL390" s="3664"/>
      <c r="AM390" s="3664">
        <f>I390</f>
        <v>1200</v>
      </c>
      <c r="AN390" s="3691"/>
      <c r="AO390" s="3691">
        <f t="shared" si="164"/>
        <v>1200</v>
      </c>
      <c r="AP390" s="3691"/>
      <c r="AQ390" s="4089"/>
      <c r="AR390" s="4382"/>
      <c r="AS390" s="4089"/>
      <c r="AT390" s="4382"/>
      <c r="AU390" s="4089">
        <f>I390</f>
        <v>1200</v>
      </c>
      <c r="AV390" s="4089">
        <f>I390/6</f>
        <v>200</v>
      </c>
      <c r="AW390" s="4089"/>
      <c r="AX390" s="4089"/>
      <c r="AY390" s="4089"/>
      <c r="AZ390" s="4089"/>
      <c r="BA390" s="4089"/>
      <c r="BB390" s="4089"/>
      <c r="BC390" s="4089"/>
      <c r="BD390" s="4089"/>
      <c r="BE390" s="4089"/>
      <c r="BF390" s="4089" t="s">
        <v>89</v>
      </c>
      <c r="BG390" s="4089"/>
      <c r="BH390" s="4089">
        <f t="shared" si="167"/>
        <v>200</v>
      </c>
      <c r="BI390" s="4089">
        <f t="shared" si="168"/>
        <v>200</v>
      </c>
      <c r="BJ390" s="4089">
        <f t="shared" si="169"/>
        <v>200</v>
      </c>
      <c r="BK390" s="4089">
        <f t="shared" si="170"/>
        <v>200</v>
      </c>
      <c r="BL390" s="4089">
        <f t="shared" si="171"/>
        <v>200</v>
      </c>
      <c r="BM390" s="4089">
        <f t="shared" si="172"/>
        <v>160</v>
      </c>
      <c r="BN390" s="4089">
        <f t="shared" si="159"/>
        <v>40</v>
      </c>
      <c r="BO390" s="907"/>
      <c r="BP390" s="907"/>
      <c r="BQ390" s="907"/>
      <c r="BR390" s="907"/>
      <c r="BS390" s="907"/>
      <c r="BT390" s="910"/>
      <c r="BU390" s="911"/>
      <c r="BV390" s="4385">
        <f t="shared" si="162"/>
        <v>1200</v>
      </c>
      <c r="BW390" s="4386">
        <f t="shared" si="173"/>
        <v>0</v>
      </c>
      <c r="BX390" s="4387"/>
      <c r="BY390" s="4387"/>
      <c r="BZ390" s="4387"/>
      <c r="CA390" s="4391" t="str">
        <f>VLOOKUP(D390&amp;G390&amp;H390&amp;I390,'9298 版本变更明细'!C:AJ,34,FALSE)</f>
        <v>C版本收缩膜+A版本指南+口水胶+C版本配件包（香味贴纸/指定配件）</v>
      </c>
      <c r="CC390" s="4392"/>
      <c r="CD390" s="4391"/>
    </row>
    <row r="391" s="4025" customFormat="1" ht="50" customHeight="1" spans="1:82">
      <c r="A391" s="3688">
        <v>45797</v>
      </c>
      <c r="B391" s="3689" t="s">
        <v>4061</v>
      </c>
      <c r="C391" s="3664" t="s">
        <v>840</v>
      </c>
      <c r="D391" s="3690">
        <v>4500167054</v>
      </c>
      <c r="E391" s="3664">
        <v>3007</v>
      </c>
      <c r="F391" s="3690" t="s">
        <v>4062</v>
      </c>
      <c r="G391" s="3664" t="s">
        <v>2590</v>
      </c>
      <c r="H391" s="3664" t="s">
        <v>2591</v>
      </c>
      <c r="I391" s="3691">
        <v>360</v>
      </c>
      <c r="J391" s="3691">
        <v>0</v>
      </c>
      <c r="K391" s="3691">
        <v>6</v>
      </c>
      <c r="L391" s="3691">
        <f t="shared" si="160"/>
        <v>60</v>
      </c>
      <c r="M391" s="3659">
        <v>45842</v>
      </c>
      <c r="N391" s="3659">
        <f>M391-4</f>
        <v>45838</v>
      </c>
      <c r="O391" s="4085"/>
      <c r="P391" s="3682" t="s">
        <v>82</v>
      </c>
      <c r="Q391" s="3682"/>
      <c r="R391" s="4083"/>
      <c r="S391" s="4083"/>
      <c r="T391" s="4083"/>
      <c r="U391" s="3645" t="s">
        <v>3739</v>
      </c>
      <c r="V391" s="3649" t="s">
        <v>1336</v>
      </c>
      <c r="W391" s="3657"/>
      <c r="X391" s="3657" t="s">
        <v>98</v>
      </c>
      <c r="Y391" s="3657"/>
      <c r="Z391" s="3691"/>
      <c r="AA391" s="3620" t="s">
        <v>4063</v>
      </c>
      <c r="AB391" s="3691" t="s">
        <v>2735</v>
      </c>
      <c r="AC391" s="3691">
        <v>2.1582</v>
      </c>
      <c r="AD391" s="3691">
        <f t="shared" si="161"/>
        <v>776.952</v>
      </c>
      <c r="AE391" s="3645" t="s">
        <v>4064</v>
      </c>
      <c r="AF391" s="3664" t="s">
        <v>2590</v>
      </c>
      <c r="AG391" s="3645" t="s">
        <v>416</v>
      </c>
      <c r="AH391" s="905"/>
      <c r="AI391" s="3664">
        <f>I391</f>
        <v>360</v>
      </c>
      <c r="AJ391" s="3664"/>
      <c r="AK391" s="905"/>
      <c r="AL391" s="3664"/>
      <c r="AM391" s="3664"/>
      <c r="AN391" s="3691"/>
      <c r="AO391" s="3691">
        <f t="shared" si="164"/>
        <v>360</v>
      </c>
      <c r="AP391" s="3691"/>
      <c r="AQ391" s="4089"/>
      <c r="AR391" s="4382"/>
      <c r="AS391" s="4089">
        <f>I391</f>
        <v>360</v>
      </c>
      <c r="AT391" s="4382"/>
      <c r="AU391" s="4089"/>
      <c r="AV391" s="4089">
        <f>I391/6</f>
        <v>60</v>
      </c>
      <c r="AW391" s="4089"/>
      <c r="AX391" s="4089"/>
      <c r="AY391" s="4089"/>
      <c r="AZ391" s="4089"/>
      <c r="BA391" s="4089"/>
      <c r="BB391" s="4089"/>
      <c r="BC391" s="4089"/>
      <c r="BD391" s="4089"/>
      <c r="BE391" s="4089"/>
      <c r="BF391" s="4089" t="s">
        <v>89</v>
      </c>
      <c r="BG391" s="4089"/>
      <c r="BH391" s="4089">
        <f t="shared" si="167"/>
        <v>60</v>
      </c>
      <c r="BI391" s="4089">
        <f t="shared" si="168"/>
        <v>60</v>
      </c>
      <c r="BJ391" s="4089">
        <f t="shared" si="169"/>
        <v>60</v>
      </c>
      <c r="BK391" s="4403">
        <f t="shared" si="170"/>
        <v>60</v>
      </c>
      <c r="BL391" s="4385">
        <f t="shared" si="171"/>
        <v>60</v>
      </c>
      <c r="BM391" s="4403">
        <f t="shared" si="172"/>
        <v>48</v>
      </c>
      <c r="BN391" s="4089">
        <f t="shared" si="159"/>
        <v>12</v>
      </c>
      <c r="BO391" s="907"/>
      <c r="BP391" s="907"/>
      <c r="BQ391" s="907"/>
      <c r="BR391" s="907"/>
      <c r="BS391" s="907"/>
      <c r="BT391" s="910"/>
      <c r="BU391" s="911"/>
      <c r="BV391" s="4385">
        <f t="shared" si="162"/>
        <v>360</v>
      </c>
      <c r="BW391" s="4386">
        <f t="shared" si="173"/>
        <v>0</v>
      </c>
      <c r="BX391" s="4387"/>
      <c r="BY391" s="4387"/>
      <c r="BZ391" s="4387"/>
      <c r="CA391" s="4391" t="str">
        <f>VLOOKUP(D391&amp;G391&amp;H391&amp;I391,'9298 版本变更明细'!C:AJ,34,FALSE)</f>
        <v>B版本膜+A版本指南+口水胶+C版本配件包（香味贴纸/指定配件）</v>
      </c>
      <c r="CC391" s="4392">
        <v>0</v>
      </c>
      <c r="CD391" s="4391" t="s">
        <v>4065</v>
      </c>
    </row>
    <row r="392" s="4025" customFormat="1" ht="50" customHeight="1" spans="1:82">
      <c r="A392" s="3688">
        <v>45806</v>
      </c>
      <c r="B392" s="3689" t="s">
        <v>2616</v>
      </c>
      <c r="C392" s="3664" t="s">
        <v>471</v>
      </c>
      <c r="D392" s="3690">
        <v>4500168067</v>
      </c>
      <c r="E392" s="3664" t="s">
        <v>4066</v>
      </c>
      <c r="F392" s="3690" t="s">
        <v>4067</v>
      </c>
      <c r="G392" s="3664" t="s">
        <v>4068</v>
      </c>
      <c r="H392" s="3664" t="s">
        <v>4069</v>
      </c>
      <c r="I392" s="3691">
        <v>6504</v>
      </c>
      <c r="J392" s="3691">
        <v>0</v>
      </c>
      <c r="K392" s="3691">
        <v>24</v>
      </c>
      <c r="L392" s="3691">
        <f t="shared" si="160"/>
        <v>271</v>
      </c>
      <c r="M392" s="3659">
        <v>45842</v>
      </c>
      <c r="N392" s="3659">
        <v>45846</v>
      </c>
      <c r="O392" s="3682" t="s">
        <v>1454</v>
      </c>
      <c r="P392" s="3682" t="s">
        <v>82</v>
      </c>
      <c r="Q392" s="3682"/>
      <c r="R392" s="4083"/>
      <c r="S392" s="4083"/>
      <c r="T392" s="4083"/>
      <c r="U392" s="3645" t="s">
        <v>206</v>
      </c>
      <c r="V392" s="3649" t="s">
        <v>4070</v>
      </c>
      <c r="W392" s="3657"/>
      <c r="X392" s="3657" t="s">
        <v>4071</v>
      </c>
      <c r="Y392" s="3657"/>
      <c r="Z392" s="3691"/>
      <c r="AA392" s="3620" t="s">
        <v>4072</v>
      </c>
      <c r="AB392" s="3691" t="s">
        <v>2624</v>
      </c>
      <c r="AC392" s="3691">
        <v>2.0668</v>
      </c>
      <c r="AD392" s="3691">
        <f t="shared" si="161"/>
        <v>13442.4672</v>
      </c>
      <c r="AE392" s="3645"/>
      <c r="AF392" s="3664" t="s">
        <v>4073</v>
      </c>
      <c r="AG392" s="3645" t="s">
        <v>416</v>
      </c>
      <c r="AH392" s="3708"/>
      <c r="AI392" s="3664"/>
      <c r="AJ392" s="3664">
        <f>I392</f>
        <v>6504</v>
      </c>
      <c r="AK392" s="3708"/>
      <c r="AL392" s="3664"/>
      <c r="AM392" s="3664"/>
      <c r="AN392" s="3691"/>
      <c r="AO392" s="3691">
        <f t="shared" si="164"/>
        <v>6504</v>
      </c>
      <c r="AP392" s="3691"/>
      <c r="AQ392" s="4089"/>
      <c r="AR392" s="1048"/>
      <c r="AS392" s="4089"/>
      <c r="AT392" s="1048"/>
      <c r="AU392" s="4089">
        <f>I392</f>
        <v>6504</v>
      </c>
      <c r="AV392" s="4089"/>
      <c r="AW392" s="4089"/>
      <c r="AX392" s="4089"/>
      <c r="AY392" s="4089"/>
      <c r="AZ392" s="4089"/>
      <c r="BA392" s="4089"/>
      <c r="BB392" s="4089"/>
      <c r="BC392" s="4089"/>
      <c r="BD392" s="4089"/>
      <c r="BE392" s="4089"/>
      <c r="BF392" s="4089" t="s">
        <v>89</v>
      </c>
      <c r="BG392" s="4089"/>
      <c r="BH392" s="4089">
        <f t="shared" si="167"/>
        <v>1084</v>
      </c>
      <c r="BI392" s="4089">
        <f t="shared" si="168"/>
        <v>1084</v>
      </c>
      <c r="BJ392" s="4089">
        <f t="shared" si="169"/>
        <v>1084</v>
      </c>
      <c r="BK392" s="4403">
        <f t="shared" si="170"/>
        <v>1084</v>
      </c>
      <c r="BL392" s="4385">
        <f t="shared" si="171"/>
        <v>1084</v>
      </c>
      <c r="BM392" s="4403">
        <f t="shared" si="172"/>
        <v>867.2</v>
      </c>
      <c r="BN392" s="4089">
        <f t="shared" si="159"/>
        <v>216.8</v>
      </c>
      <c r="BO392" s="4413"/>
      <c r="BP392" s="4413"/>
      <c r="BQ392" s="4413"/>
      <c r="BR392" s="4413"/>
      <c r="BS392" s="4413"/>
      <c r="BT392" s="4431"/>
      <c r="BU392" s="4432"/>
      <c r="BV392" s="4385">
        <f t="shared" si="162"/>
        <v>6504</v>
      </c>
      <c r="BW392" s="4386">
        <f t="shared" si="173"/>
        <v>0</v>
      </c>
      <c r="BX392" s="4387"/>
      <c r="BY392" s="4387"/>
      <c r="BZ392" s="4387"/>
      <c r="CA392" s="4391" t="str">
        <f>VLOOKUP(D392&amp;G392&amp;H392&amp;I392,'9298 版本变更明细'!C:AJ,34,FALSE)</f>
        <v>C版本收缩膜+A版本指南+口水胶+C版本配件包（香味贴纸/指定配件）</v>
      </c>
      <c r="CC392" s="4392">
        <v>45846</v>
      </c>
      <c r="CD392" s="4391" t="s">
        <v>4065</v>
      </c>
    </row>
    <row r="393" s="4025" customFormat="1" ht="50" customHeight="1" spans="1:82">
      <c r="A393" s="3688">
        <v>45797</v>
      </c>
      <c r="B393" s="3689" t="s">
        <v>3685</v>
      </c>
      <c r="C393" s="3664" t="s">
        <v>351</v>
      </c>
      <c r="D393" s="3690">
        <v>4500166910</v>
      </c>
      <c r="E393" s="3664" t="s">
        <v>4074</v>
      </c>
      <c r="F393" s="3690" t="s">
        <v>4075</v>
      </c>
      <c r="G393" s="3664" t="s">
        <v>2590</v>
      </c>
      <c r="H393" s="3664" t="s">
        <v>2591</v>
      </c>
      <c r="I393" s="3691">
        <v>222</v>
      </c>
      <c r="J393" s="3691">
        <v>0</v>
      </c>
      <c r="K393" s="3691">
        <v>6</v>
      </c>
      <c r="L393" s="3691">
        <f t="shared" si="160"/>
        <v>37</v>
      </c>
      <c r="M393" s="3659">
        <v>45842</v>
      </c>
      <c r="N393" s="3659">
        <v>45848</v>
      </c>
      <c r="O393" s="4085"/>
      <c r="P393" s="3682" t="s">
        <v>82</v>
      </c>
      <c r="Q393" s="3682"/>
      <c r="R393" s="4083"/>
      <c r="S393" s="4083"/>
      <c r="T393" s="4083"/>
      <c r="U393" s="3645" t="s">
        <v>206</v>
      </c>
      <c r="V393" s="3649" t="s">
        <v>1336</v>
      </c>
      <c r="W393" s="3657"/>
      <c r="X393" s="3657" t="s">
        <v>4076</v>
      </c>
      <c r="Y393" s="3657"/>
      <c r="Z393" s="3691"/>
      <c r="AA393" s="3620" t="s">
        <v>4077</v>
      </c>
      <c r="AB393" s="3691" t="s">
        <v>1131</v>
      </c>
      <c r="AC393" s="3691">
        <v>2.1582</v>
      </c>
      <c r="AD393" s="3691">
        <f t="shared" si="161"/>
        <v>479.1204</v>
      </c>
      <c r="AE393" s="3645" t="s">
        <v>4078</v>
      </c>
      <c r="AF393" s="3664" t="s">
        <v>2590</v>
      </c>
      <c r="AG393" s="3645" t="s">
        <v>416</v>
      </c>
      <c r="AH393" s="905"/>
      <c r="AI393" s="3691">
        <f>I393</f>
        <v>222</v>
      </c>
      <c r="AJ393" s="3691"/>
      <c r="AK393" s="905"/>
      <c r="AL393" s="3664"/>
      <c r="AM393" s="3664"/>
      <c r="AN393" s="3691"/>
      <c r="AO393" s="3691">
        <f t="shared" si="164"/>
        <v>222</v>
      </c>
      <c r="AP393" s="3691"/>
      <c r="AQ393" s="4089"/>
      <c r="AR393" s="4382"/>
      <c r="AS393" s="4089">
        <f>I393</f>
        <v>222</v>
      </c>
      <c r="AT393" s="4382"/>
      <c r="AU393" s="4089"/>
      <c r="AV393" s="4089">
        <f>I393/6</f>
        <v>37</v>
      </c>
      <c r="AW393" s="4089"/>
      <c r="AX393" s="4089"/>
      <c r="AY393" s="4089"/>
      <c r="AZ393" s="4089"/>
      <c r="BA393" s="4089"/>
      <c r="BB393" s="4089"/>
      <c r="BC393" s="4089"/>
      <c r="BD393" s="4089"/>
      <c r="BE393" s="4089"/>
      <c r="BF393" s="4089" t="s">
        <v>89</v>
      </c>
      <c r="BG393" s="4089"/>
      <c r="BH393" s="4089">
        <f t="shared" si="167"/>
        <v>37</v>
      </c>
      <c r="BI393" s="4089">
        <f t="shared" si="168"/>
        <v>37</v>
      </c>
      <c r="BJ393" s="4089">
        <f t="shared" si="169"/>
        <v>37</v>
      </c>
      <c r="BK393" s="4403">
        <f t="shared" si="170"/>
        <v>37</v>
      </c>
      <c r="BL393" s="4385">
        <f t="shared" si="171"/>
        <v>37</v>
      </c>
      <c r="BM393" s="4403">
        <f t="shared" si="172"/>
        <v>29.6</v>
      </c>
      <c r="BN393" s="4089">
        <f t="shared" si="159"/>
        <v>7.4</v>
      </c>
      <c r="BO393" s="4382"/>
      <c r="BP393" s="4382"/>
      <c r="BQ393" s="4382"/>
      <c r="BR393" s="4382"/>
      <c r="BS393" s="4382"/>
      <c r="BT393" s="4383"/>
      <c r="BU393" s="4384"/>
      <c r="BV393" s="4385">
        <f t="shared" si="162"/>
        <v>222</v>
      </c>
      <c r="BW393" s="4386">
        <f t="shared" si="173"/>
        <v>0</v>
      </c>
      <c r="BX393" s="4387"/>
      <c r="BY393" s="4387"/>
      <c r="BZ393" s="4387"/>
      <c r="CA393" s="4391" t="str">
        <f>VLOOKUP(D393&amp;G393&amp;H393&amp;I393,'9298 版本变更明细'!C:AJ,34,FALSE)</f>
        <v>B版本膜+A版本指南+口水胶+C版本配件包（香味贴纸/指定配件）</v>
      </c>
      <c r="CC393" s="4392">
        <v>45848</v>
      </c>
      <c r="CD393" s="4391" t="s">
        <v>4065</v>
      </c>
    </row>
    <row r="394" s="4025" customFormat="1" ht="50" customHeight="1" spans="1:82">
      <c r="A394" s="3688">
        <v>45750</v>
      </c>
      <c r="B394" s="3689" t="s">
        <v>1315</v>
      </c>
      <c r="C394" s="3664" t="s">
        <v>1316</v>
      </c>
      <c r="D394" s="3690">
        <v>4500166280</v>
      </c>
      <c r="E394" s="3664" t="s">
        <v>1470</v>
      </c>
      <c r="F394" s="3690" t="s">
        <v>1471</v>
      </c>
      <c r="G394" s="3664" t="s">
        <v>3821</v>
      </c>
      <c r="H394" s="3664" t="s">
        <v>1320</v>
      </c>
      <c r="I394" s="3691">
        <v>4244</v>
      </c>
      <c r="J394" s="3691">
        <v>0</v>
      </c>
      <c r="K394" s="3691">
        <v>4</v>
      </c>
      <c r="L394" s="3691">
        <f t="shared" si="160"/>
        <v>1061</v>
      </c>
      <c r="M394" s="3659">
        <v>45843</v>
      </c>
      <c r="N394" s="3659">
        <v>45848</v>
      </c>
      <c r="O394" s="3664" t="s">
        <v>1472</v>
      </c>
      <c r="P394" s="3682" t="s">
        <v>82</v>
      </c>
      <c r="Q394" s="3682"/>
      <c r="R394" s="4083"/>
      <c r="S394" s="4083"/>
      <c r="T394" s="4083"/>
      <c r="U394" s="3664" t="s">
        <v>401</v>
      </c>
      <c r="V394" s="3649" t="s">
        <v>1322</v>
      </c>
      <c r="W394" s="3657"/>
      <c r="X394" s="3657" t="s">
        <v>1876</v>
      </c>
      <c r="Y394" s="3657"/>
      <c r="Z394" s="4421" t="s">
        <v>1473</v>
      </c>
      <c r="AA394" s="3620" t="s">
        <v>1376</v>
      </c>
      <c r="AB394" s="3691" t="s">
        <v>1326</v>
      </c>
      <c r="AC394" s="3691">
        <v>16.8314</v>
      </c>
      <c r="AD394" s="3691">
        <f>AC394*L394</f>
        <v>17858.1154</v>
      </c>
      <c r="AE394" s="3645"/>
      <c r="AF394" s="3664" t="s">
        <v>3822</v>
      </c>
      <c r="AG394" s="3645" t="s">
        <v>416</v>
      </c>
      <c r="AH394" s="875"/>
      <c r="AI394" s="3691"/>
      <c r="AJ394" s="3691"/>
      <c r="AK394" s="875"/>
      <c r="AL394" s="3664"/>
      <c r="AM394" s="3664"/>
      <c r="AN394" s="3691">
        <f>I394</f>
        <v>4244</v>
      </c>
      <c r="AO394" s="3691"/>
      <c r="AP394" s="3691"/>
      <c r="AQ394" s="4089">
        <f>I394</f>
        <v>4244</v>
      </c>
      <c r="AR394" s="878"/>
      <c r="AS394" s="4089">
        <f>I394</f>
        <v>4244</v>
      </c>
      <c r="AT394" s="878"/>
      <c r="AU394" s="4089"/>
      <c r="AV394" s="4089"/>
      <c r="AW394" s="4089"/>
      <c r="AX394" s="4089"/>
      <c r="AY394" s="4089"/>
      <c r="AZ394" s="4089"/>
      <c r="BA394" s="4089"/>
      <c r="BB394" s="4089"/>
      <c r="BC394" s="4089">
        <f>I394/4</f>
        <v>1061</v>
      </c>
      <c r="BD394" s="4089"/>
      <c r="BE394" s="4089"/>
      <c r="BF394" s="4089" t="s">
        <v>1327</v>
      </c>
      <c r="BG394" s="4089"/>
      <c r="BH394" s="4089">
        <f t="shared" si="167"/>
        <v>707.333333333333</v>
      </c>
      <c r="BI394" s="4089">
        <f t="shared" si="168"/>
        <v>707.333333333333</v>
      </c>
      <c r="BJ394" s="4089">
        <f t="shared" si="169"/>
        <v>707.333333333333</v>
      </c>
      <c r="BK394" s="4089">
        <f t="shared" si="170"/>
        <v>707.333333333333</v>
      </c>
      <c r="BL394" s="4089">
        <f t="shared" si="171"/>
        <v>707.333333333333</v>
      </c>
      <c r="BM394" s="4089">
        <f t="shared" si="172"/>
        <v>565.866666666667</v>
      </c>
      <c r="BN394" s="4089">
        <f t="shared" si="159"/>
        <v>141.466666666667</v>
      </c>
      <c r="BO394" s="878"/>
      <c r="BP394" s="878"/>
      <c r="BQ394" s="878"/>
      <c r="BR394" s="878"/>
      <c r="BS394" s="878"/>
      <c r="BT394" s="879"/>
      <c r="BU394" s="4384"/>
      <c r="BV394" s="4385">
        <f t="shared" si="162"/>
        <v>4244</v>
      </c>
      <c r="BW394" s="4386">
        <f t="shared" si="173"/>
        <v>0</v>
      </c>
      <c r="BX394" s="4387"/>
      <c r="BY394" s="4387"/>
      <c r="BZ394" s="4387"/>
      <c r="CA394" s="4391" t="str">
        <f>VLOOKUP(D394&amp;G394&amp;H394&amp;I394,'9298 版本变更明细'!C:AJ,34,FALSE)</f>
        <v>A版本口水胶+C版本配件包（香味贴纸/指定配件）</v>
      </c>
      <c r="CC394" s="4392">
        <v>45848</v>
      </c>
      <c r="CD394" s="4391" t="s">
        <v>4079</v>
      </c>
    </row>
    <row r="395" s="4025" customFormat="1" ht="50" customHeight="1" spans="1:82">
      <c r="A395" s="3688">
        <v>45750</v>
      </c>
      <c r="B395" s="3689" t="s">
        <v>1315</v>
      </c>
      <c r="C395" s="3664" t="s">
        <v>1316</v>
      </c>
      <c r="D395" s="3690">
        <v>4500162577</v>
      </c>
      <c r="E395" s="3664" t="s">
        <v>1487</v>
      </c>
      <c r="F395" s="3690" t="s">
        <v>1488</v>
      </c>
      <c r="G395" s="3664" t="s">
        <v>3821</v>
      </c>
      <c r="H395" s="3664" t="s">
        <v>1320</v>
      </c>
      <c r="I395" s="3691">
        <v>1200</v>
      </c>
      <c r="J395" s="3691">
        <v>0</v>
      </c>
      <c r="K395" s="3691">
        <v>4</v>
      </c>
      <c r="L395" s="3691">
        <f t="shared" si="160"/>
        <v>300</v>
      </c>
      <c r="M395" s="3659">
        <v>45843</v>
      </c>
      <c r="N395" s="3659">
        <v>45848</v>
      </c>
      <c r="O395" s="4085"/>
      <c r="P395" s="3682" t="s">
        <v>82</v>
      </c>
      <c r="Q395" s="3682"/>
      <c r="R395" s="4083"/>
      <c r="S395" s="4083"/>
      <c r="T395" s="4083"/>
      <c r="U395" s="3645" t="s">
        <v>401</v>
      </c>
      <c r="V395" s="3649" t="s">
        <v>1322</v>
      </c>
      <c r="W395" s="3657"/>
      <c r="X395" s="3657" t="s">
        <v>1907</v>
      </c>
      <c r="Y395" s="3657"/>
      <c r="Z395" s="3691" t="s">
        <v>1489</v>
      </c>
      <c r="AA395" s="3620" t="s">
        <v>1376</v>
      </c>
      <c r="AB395" s="3691" t="s">
        <v>1326</v>
      </c>
      <c r="AC395" s="3691">
        <v>16.8855</v>
      </c>
      <c r="AD395" s="3691">
        <f>AC395*L395</f>
        <v>5065.65</v>
      </c>
      <c r="AE395" s="3645"/>
      <c r="AF395" s="3664" t="s">
        <v>3822</v>
      </c>
      <c r="AG395" s="3645" t="s">
        <v>416</v>
      </c>
      <c r="AH395" s="3664"/>
      <c r="AI395" s="3691"/>
      <c r="AJ395" s="3691"/>
      <c r="AK395" s="3664"/>
      <c r="AL395" s="3664"/>
      <c r="AM395" s="3664"/>
      <c r="AN395" s="3691">
        <f>I395</f>
        <v>1200</v>
      </c>
      <c r="AO395" s="3691"/>
      <c r="AP395" s="3691"/>
      <c r="AQ395" s="4089">
        <f>I395</f>
        <v>1200</v>
      </c>
      <c r="AR395" s="4089"/>
      <c r="AS395" s="4089">
        <f>I395</f>
        <v>1200</v>
      </c>
      <c r="AT395" s="4089"/>
      <c r="AU395" s="4089"/>
      <c r="AV395" s="4089"/>
      <c r="AW395" s="4089"/>
      <c r="AX395" s="4089"/>
      <c r="AY395" s="4089"/>
      <c r="AZ395" s="4089"/>
      <c r="BA395" s="4089"/>
      <c r="BB395" s="4089"/>
      <c r="BC395" s="4089">
        <f>I395/4</f>
        <v>300</v>
      </c>
      <c r="BD395" s="4089"/>
      <c r="BE395" s="4089"/>
      <c r="BF395" s="4089" t="s">
        <v>1327</v>
      </c>
      <c r="BG395" s="4089"/>
      <c r="BH395" s="4089">
        <f t="shared" si="167"/>
        <v>200</v>
      </c>
      <c r="BI395" s="4089">
        <f t="shared" si="168"/>
        <v>200</v>
      </c>
      <c r="BJ395" s="4089">
        <f t="shared" si="169"/>
        <v>200</v>
      </c>
      <c r="BK395" s="4089">
        <f t="shared" si="170"/>
        <v>200</v>
      </c>
      <c r="BL395" s="4089">
        <f t="shared" si="171"/>
        <v>200</v>
      </c>
      <c r="BM395" s="4089">
        <f t="shared" si="172"/>
        <v>160</v>
      </c>
      <c r="BN395" s="4089">
        <f t="shared" si="159"/>
        <v>40</v>
      </c>
      <c r="BO395" s="4089"/>
      <c r="BP395" s="4089"/>
      <c r="BQ395" s="4089"/>
      <c r="BR395" s="4089"/>
      <c r="BS395" s="4089"/>
      <c r="BT395" s="4404"/>
      <c r="BU395" s="4403"/>
      <c r="BV395" s="4385">
        <f t="shared" si="162"/>
        <v>1200</v>
      </c>
      <c r="BW395" s="4386">
        <f t="shared" si="173"/>
        <v>0</v>
      </c>
      <c r="BX395" s="4387"/>
      <c r="BY395" s="4387"/>
      <c r="BZ395" s="4387"/>
      <c r="CA395" s="4391" t="str">
        <f>VLOOKUP(D395&amp;G395&amp;H395&amp;I395,'9298 版本变更明细'!C:AJ,34,FALSE)</f>
        <v>A版本口水胶+C版本配件包（香味贴纸/指定配件）</v>
      </c>
      <c r="CC395" s="4392">
        <v>45848</v>
      </c>
      <c r="CD395" s="4391" t="s">
        <v>4079</v>
      </c>
    </row>
    <row r="396" s="4025" customFormat="1" ht="50" customHeight="1" spans="1:82">
      <c r="A396" s="3688">
        <v>45807</v>
      </c>
      <c r="B396" s="3664" t="s">
        <v>4080</v>
      </c>
      <c r="C396" s="3664" t="s">
        <v>1279</v>
      </c>
      <c r="D396" s="3690">
        <v>4500170289</v>
      </c>
      <c r="E396" s="3664">
        <v>5200007051</v>
      </c>
      <c r="F396" s="3690" t="s">
        <v>4081</v>
      </c>
      <c r="G396" s="3664" t="s">
        <v>2647</v>
      </c>
      <c r="H396" s="3664" t="s">
        <v>2648</v>
      </c>
      <c r="I396" s="3691">
        <v>1200</v>
      </c>
      <c r="J396" s="3691">
        <v>0</v>
      </c>
      <c r="K396" s="3691">
        <v>6</v>
      </c>
      <c r="L396" s="3691">
        <f t="shared" si="160"/>
        <v>200</v>
      </c>
      <c r="M396" s="3659">
        <v>45844</v>
      </c>
      <c r="N396" s="3659">
        <v>45840</v>
      </c>
      <c r="O396" s="3664" t="s">
        <v>4082</v>
      </c>
      <c r="P396" s="3682" t="s">
        <v>82</v>
      </c>
      <c r="Q396" s="3682"/>
      <c r="R396" s="4083"/>
      <c r="S396" s="4083"/>
      <c r="T396" s="4083"/>
      <c r="U396" s="3645" t="s">
        <v>4083</v>
      </c>
      <c r="V396" s="3649" t="s">
        <v>4084</v>
      </c>
      <c r="W396" s="3657"/>
      <c r="X396" s="3657" t="s">
        <v>4085</v>
      </c>
      <c r="Y396" s="3657"/>
      <c r="Z396" s="3691"/>
      <c r="AA396" s="3620" t="s">
        <v>4086</v>
      </c>
      <c r="AB396" s="3691" t="s">
        <v>3107</v>
      </c>
      <c r="AC396" s="3691">
        <v>2.1536</v>
      </c>
      <c r="AD396" s="3691">
        <f>AC396*I396</f>
        <v>2584.32</v>
      </c>
      <c r="AE396" s="3645" t="s">
        <v>4087</v>
      </c>
      <c r="AF396" s="959" t="s">
        <v>2652</v>
      </c>
      <c r="AG396" s="3645" t="s">
        <v>416</v>
      </c>
      <c r="AH396" s="3708"/>
      <c r="AI396" s="3691"/>
      <c r="AJ396" s="3691"/>
      <c r="AK396" s="3708"/>
      <c r="AL396" s="3664"/>
      <c r="AM396" s="3664">
        <f>I396</f>
        <v>1200</v>
      </c>
      <c r="AN396" s="3691"/>
      <c r="AO396" s="3691">
        <f>I396</f>
        <v>1200</v>
      </c>
      <c r="AP396" s="3691"/>
      <c r="AQ396" s="4089"/>
      <c r="AR396" s="1048"/>
      <c r="AS396" s="4089"/>
      <c r="AT396" s="1048"/>
      <c r="AU396" s="4089">
        <f>I396</f>
        <v>1200</v>
      </c>
      <c r="AV396" s="4089">
        <f>I396/6</f>
        <v>200</v>
      </c>
      <c r="AW396" s="4089"/>
      <c r="AX396" s="4089"/>
      <c r="AY396" s="4089"/>
      <c r="AZ396" s="4089"/>
      <c r="BA396" s="4089"/>
      <c r="BB396" s="4089"/>
      <c r="BC396" s="4089"/>
      <c r="BD396" s="4089"/>
      <c r="BE396" s="4089"/>
      <c r="BF396" s="4089" t="s">
        <v>89</v>
      </c>
      <c r="BG396" s="4089"/>
      <c r="BH396" s="4089">
        <f t="shared" si="167"/>
        <v>200</v>
      </c>
      <c r="BI396" s="4089">
        <f t="shared" si="168"/>
        <v>200</v>
      </c>
      <c r="BJ396" s="4089">
        <f t="shared" si="169"/>
        <v>200</v>
      </c>
      <c r="BK396" s="4089">
        <f t="shared" si="170"/>
        <v>200</v>
      </c>
      <c r="BL396" s="4089">
        <f t="shared" si="171"/>
        <v>200</v>
      </c>
      <c r="BM396" s="4089">
        <f t="shared" si="172"/>
        <v>160</v>
      </c>
      <c r="BN396" s="4089">
        <f t="shared" si="159"/>
        <v>40</v>
      </c>
      <c r="BO396" s="4413"/>
      <c r="BP396" s="4413"/>
      <c r="BQ396" s="4413"/>
      <c r="BR396" s="4413"/>
      <c r="BS396" s="4413"/>
      <c r="BT396" s="4431"/>
      <c r="BU396" s="4432"/>
      <c r="BV396" s="4385">
        <f t="shared" si="162"/>
        <v>1200</v>
      </c>
      <c r="BW396" s="4386">
        <f t="shared" si="173"/>
        <v>0</v>
      </c>
      <c r="BX396" s="4387"/>
      <c r="BY396" s="4387"/>
      <c r="BZ396" s="4387"/>
      <c r="CA396" s="4391" t="e">
        <f>VLOOKUP(D396&amp;G396&amp;H396&amp;I396,'9298 版本变更明细'!C:AJ,34,FALSE)</f>
        <v>#N/A</v>
      </c>
      <c r="CC396" s="4392" t="s">
        <v>4036</v>
      </c>
      <c r="CD396" s="4391" t="s">
        <v>4079</v>
      </c>
    </row>
    <row r="397" s="4025" customFormat="1" ht="50" customHeight="1" spans="1:82">
      <c r="A397" s="3688">
        <v>45803</v>
      </c>
      <c r="B397" s="3689" t="s">
        <v>839</v>
      </c>
      <c r="C397" s="3664" t="s">
        <v>840</v>
      </c>
      <c r="D397" s="3690">
        <v>4500166290</v>
      </c>
      <c r="E397" s="3664">
        <v>20858536</v>
      </c>
      <c r="F397" s="3690" t="s">
        <v>4088</v>
      </c>
      <c r="G397" s="3664" t="s">
        <v>2577</v>
      </c>
      <c r="H397" s="3664" t="s">
        <v>2578</v>
      </c>
      <c r="I397" s="3691">
        <v>36</v>
      </c>
      <c r="J397" s="3691">
        <v>0</v>
      </c>
      <c r="K397" s="3691">
        <v>12</v>
      </c>
      <c r="L397" s="3691">
        <f t="shared" si="160"/>
        <v>3</v>
      </c>
      <c r="M397" s="3659">
        <v>45845</v>
      </c>
      <c r="N397" s="3659">
        <v>45841</v>
      </c>
      <c r="O397" s="4085"/>
      <c r="P397" s="3682" t="s">
        <v>82</v>
      </c>
      <c r="Q397" s="3682"/>
      <c r="R397" s="4083"/>
      <c r="S397" s="4083"/>
      <c r="T397" s="4083"/>
      <c r="U397" s="3645" t="s">
        <v>4089</v>
      </c>
      <c r="V397" s="3649" t="s">
        <v>1412</v>
      </c>
      <c r="W397" s="3657"/>
      <c r="X397" s="3657" t="s">
        <v>4090</v>
      </c>
      <c r="Y397" s="3657" t="s">
        <v>1535</v>
      </c>
      <c r="Z397" s="3691"/>
      <c r="AA397" s="3620" t="s">
        <v>3698</v>
      </c>
      <c r="AB397" s="3691" t="s">
        <v>513</v>
      </c>
      <c r="AC397" s="4087">
        <v>2.2509</v>
      </c>
      <c r="AD397" s="3691">
        <f>AC397*I397</f>
        <v>81.0324</v>
      </c>
      <c r="AE397" s="3645" t="s">
        <v>4091</v>
      </c>
      <c r="AF397" s="3664" t="s">
        <v>2577</v>
      </c>
      <c r="AG397" s="3645" t="s">
        <v>416</v>
      </c>
      <c r="AH397" s="905"/>
      <c r="AI397" s="3691"/>
      <c r="AJ397" s="3691">
        <f>I397</f>
        <v>36</v>
      </c>
      <c r="AK397" s="905"/>
      <c r="AL397" s="3664"/>
      <c r="AM397" s="3664"/>
      <c r="AN397" s="3691"/>
      <c r="AO397" s="3691">
        <f>I397</f>
        <v>36</v>
      </c>
      <c r="AP397" s="3691"/>
      <c r="AQ397" s="4089"/>
      <c r="AR397" s="4382"/>
      <c r="AS397" s="4089">
        <f t="shared" ref="AS397:AS416" si="174">I397</f>
        <v>36</v>
      </c>
      <c r="AT397" s="4382"/>
      <c r="AU397" s="4089"/>
      <c r="AV397" s="4089"/>
      <c r="AW397" s="4089">
        <f>I397/6</f>
        <v>6</v>
      </c>
      <c r="AX397" s="4089"/>
      <c r="AY397" s="4089"/>
      <c r="AZ397" s="4089"/>
      <c r="BA397" s="4089"/>
      <c r="BB397" s="4089"/>
      <c r="BC397" s="4089"/>
      <c r="BD397" s="4089"/>
      <c r="BE397" s="4089"/>
      <c r="BF397" s="4089" t="s">
        <v>89</v>
      </c>
      <c r="BG397" s="4089"/>
      <c r="BH397" s="4089">
        <f t="shared" si="167"/>
        <v>6</v>
      </c>
      <c r="BI397" s="4089">
        <f t="shared" si="168"/>
        <v>6</v>
      </c>
      <c r="BJ397" s="4089">
        <f t="shared" si="169"/>
        <v>6</v>
      </c>
      <c r="BK397" s="4089">
        <f t="shared" si="170"/>
        <v>6</v>
      </c>
      <c r="BL397" s="4089">
        <f t="shared" si="171"/>
        <v>6</v>
      </c>
      <c r="BM397" s="4089">
        <f t="shared" si="172"/>
        <v>4.8</v>
      </c>
      <c r="BN397" s="4089">
        <f t="shared" si="159"/>
        <v>1.2</v>
      </c>
      <c r="BO397" s="907"/>
      <c r="BP397" s="907"/>
      <c r="BQ397" s="907"/>
      <c r="BR397" s="907"/>
      <c r="BS397" s="907"/>
      <c r="BT397" s="910"/>
      <c r="BU397" s="911"/>
      <c r="BV397" s="4385">
        <f t="shared" si="162"/>
        <v>36</v>
      </c>
      <c r="BW397" s="4386">
        <f t="shared" si="173"/>
        <v>0</v>
      </c>
      <c r="BX397" s="4387"/>
      <c r="BY397" s="4387"/>
      <c r="BZ397" s="4387"/>
      <c r="CA397" s="4391" t="str">
        <f>VLOOKUP(D397&amp;G397&amp;H397&amp;I397,'9298 版本变更明细'!C:AJ,34,FALSE)</f>
        <v>C版本收缩膜+A版本指南+口水胶+C版本配件包（香味贴纸/指定配件）</v>
      </c>
      <c r="CC397" s="4392">
        <v>0</v>
      </c>
      <c r="CD397" s="4391" t="s">
        <v>4092</v>
      </c>
    </row>
    <row r="398" s="4025" customFormat="1" ht="50" customHeight="1" spans="1:82">
      <c r="A398" s="3688">
        <v>45803</v>
      </c>
      <c r="B398" s="3689" t="s">
        <v>505</v>
      </c>
      <c r="C398" s="3664" t="s">
        <v>506</v>
      </c>
      <c r="D398" s="3690">
        <v>4500166289</v>
      </c>
      <c r="E398" s="3664">
        <v>20858535</v>
      </c>
      <c r="F398" s="3690" t="s">
        <v>4093</v>
      </c>
      <c r="G398" s="3664" t="s">
        <v>2577</v>
      </c>
      <c r="H398" s="3664" t="s">
        <v>2578</v>
      </c>
      <c r="I398" s="3691">
        <v>1824</v>
      </c>
      <c r="J398" s="3691">
        <v>0</v>
      </c>
      <c r="K398" s="3691">
        <v>12</v>
      </c>
      <c r="L398" s="3691">
        <f t="shared" si="160"/>
        <v>152</v>
      </c>
      <c r="M398" s="3659">
        <v>45845</v>
      </c>
      <c r="N398" s="3659">
        <v>45841</v>
      </c>
      <c r="O398" s="4085"/>
      <c r="P398" s="3682" t="s">
        <v>82</v>
      </c>
      <c r="Q398" s="3682"/>
      <c r="R398" s="4083"/>
      <c r="S398" s="4083"/>
      <c r="T398" s="4083"/>
      <c r="U398" s="3645" t="s">
        <v>4089</v>
      </c>
      <c r="V398" s="3649" t="s">
        <v>1412</v>
      </c>
      <c r="W398" s="3657"/>
      <c r="X398" s="3657" t="s">
        <v>4094</v>
      </c>
      <c r="Y398" s="3657"/>
      <c r="Z398" s="3691"/>
      <c r="AA398" s="3620" t="s">
        <v>3598</v>
      </c>
      <c r="AB398" s="3691" t="s">
        <v>513</v>
      </c>
      <c r="AC398" s="4087">
        <v>2.2463</v>
      </c>
      <c r="AD398" s="3691">
        <f>AC398*I398</f>
        <v>4097.2512</v>
      </c>
      <c r="AE398" s="3645" t="s">
        <v>4095</v>
      </c>
      <c r="AF398" s="3664" t="s">
        <v>2577</v>
      </c>
      <c r="AG398" s="3645" t="s">
        <v>416</v>
      </c>
      <c r="AH398" s="905"/>
      <c r="AI398" s="3691"/>
      <c r="AJ398" s="3691">
        <f>I398</f>
        <v>1824</v>
      </c>
      <c r="AK398" s="905"/>
      <c r="AL398" s="3664"/>
      <c r="AM398" s="3664"/>
      <c r="AN398" s="3691"/>
      <c r="AO398" s="3691">
        <f>I398</f>
        <v>1824</v>
      </c>
      <c r="AP398" s="3691"/>
      <c r="AQ398" s="4089"/>
      <c r="AR398" s="4382"/>
      <c r="AS398" s="4089">
        <f t="shared" si="174"/>
        <v>1824</v>
      </c>
      <c r="AT398" s="4382"/>
      <c r="AU398" s="4089"/>
      <c r="AV398" s="4089"/>
      <c r="AW398" s="4089">
        <f>I398/6</f>
        <v>304</v>
      </c>
      <c r="AX398" s="4089"/>
      <c r="AY398" s="4089"/>
      <c r="AZ398" s="4089"/>
      <c r="BA398" s="4089"/>
      <c r="BB398" s="4089"/>
      <c r="BC398" s="4089"/>
      <c r="BD398" s="4089"/>
      <c r="BE398" s="4089"/>
      <c r="BF398" s="4089" t="s">
        <v>89</v>
      </c>
      <c r="BG398" s="4089"/>
      <c r="BH398" s="4089">
        <f t="shared" si="167"/>
        <v>304</v>
      </c>
      <c r="BI398" s="4089">
        <f t="shared" si="168"/>
        <v>304</v>
      </c>
      <c r="BJ398" s="4089">
        <f t="shared" si="169"/>
        <v>304</v>
      </c>
      <c r="BK398" s="4089">
        <f t="shared" si="170"/>
        <v>304</v>
      </c>
      <c r="BL398" s="4089">
        <f t="shared" si="171"/>
        <v>304</v>
      </c>
      <c r="BM398" s="4089">
        <f t="shared" si="172"/>
        <v>243.2</v>
      </c>
      <c r="BN398" s="4089">
        <f t="shared" si="159"/>
        <v>60.8</v>
      </c>
      <c r="BO398" s="907"/>
      <c r="BP398" s="907"/>
      <c r="BQ398" s="907"/>
      <c r="BR398" s="907"/>
      <c r="BS398" s="907"/>
      <c r="BT398" s="910"/>
      <c r="BU398" s="911"/>
      <c r="BV398" s="4385">
        <f t="shared" si="162"/>
        <v>1824</v>
      </c>
      <c r="BW398" s="4386">
        <f t="shared" si="173"/>
        <v>0</v>
      </c>
      <c r="BX398" s="4387"/>
      <c r="BY398" s="4387"/>
      <c r="BZ398" s="4387"/>
      <c r="CA398" s="4391" t="str">
        <f>VLOOKUP(D398&amp;G398&amp;H398&amp;I398,'9298 版本变更明细'!C:AJ,34,FALSE)</f>
        <v>C版本收缩膜+A版本指南+口水胶+C版本配件包（香味贴纸/指定配件）</v>
      </c>
      <c r="CC398" s="4392">
        <v>0</v>
      </c>
      <c r="CD398" s="4391" t="s">
        <v>4092</v>
      </c>
    </row>
    <row r="399" s="4025" customFormat="1" ht="50" customHeight="1" spans="1:82">
      <c r="A399" s="3688">
        <v>45750</v>
      </c>
      <c r="B399" s="3689" t="s">
        <v>1315</v>
      </c>
      <c r="C399" s="3664" t="s">
        <v>1316</v>
      </c>
      <c r="D399" s="3690">
        <v>4500162577</v>
      </c>
      <c r="E399" s="3664" t="s">
        <v>1496</v>
      </c>
      <c r="F399" s="3690" t="s">
        <v>1497</v>
      </c>
      <c r="G399" s="3664" t="s">
        <v>3821</v>
      </c>
      <c r="H399" s="3664" t="s">
        <v>1320</v>
      </c>
      <c r="I399" s="3691">
        <v>2700</v>
      </c>
      <c r="J399" s="3691">
        <v>0</v>
      </c>
      <c r="K399" s="3691">
        <v>4</v>
      </c>
      <c r="L399" s="3691">
        <f t="shared" si="160"/>
        <v>675</v>
      </c>
      <c r="M399" s="3659">
        <v>45845</v>
      </c>
      <c r="N399" s="3659">
        <v>45848</v>
      </c>
      <c r="O399" s="4085"/>
      <c r="P399" s="3682" t="s">
        <v>82</v>
      </c>
      <c r="Q399" s="3682"/>
      <c r="R399" s="4083"/>
      <c r="S399" s="4083"/>
      <c r="T399" s="4083"/>
      <c r="U399" s="3645" t="s">
        <v>401</v>
      </c>
      <c r="V399" s="3649" t="s">
        <v>1322</v>
      </c>
      <c r="W399" s="3657"/>
      <c r="X399" s="3657" t="s">
        <v>1907</v>
      </c>
      <c r="Y399" s="3657"/>
      <c r="Z399" s="4421" t="s">
        <v>1498</v>
      </c>
      <c r="AA399" s="3620" t="s">
        <v>1376</v>
      </c>
      <c r="AB399" s="3691" t="s">
        <v>1326</v>
      </c>
      <c r="AC399" s="3691">
        <v>16.8855</v>
      </c>
      <c r="AD399" s="3691">
        <f>AC399*L399</f>
        <v>11397.7125</v>
      </c>
      <c r="AE399" s="3645"/>
      <c r="AF399" s="3664" t="s">
        <v>3822</v>
      </c>
      <c r="AG399" s="3645" t="s">
        <v>416</v>
      </c>
      <c r="AH399" s="905"/>
      <c r="AI399" s="3691"/>
      <c r="AJ399" s="3691"/>
      <c r="AK399" s="905"/>
      <c r="AL399" s="3664"/>
      <c r="AM399" s="3664"/>
      <c r="AN399" s="3691">
        <f>I399</f>
        <v>2700</v>
      </c>
      <c r="AO399" s="3691"/>
      <c r="AP399" s="3691"/>
      <c r="AQ399" s="4089">
        <f>I399</f>
        <v>2700</v>
      </c>
      <c r="AR399" s="4382"/>
      <c r="AS399" s="4089">
        <f t="shared" si="174"/>
        <v>2700</v>
      </c>
      <c r="AT399" s="4382"/>
      <c r="AU399" s="4089"/>
      <c r="AV399" s="4089"/>
      <c r="AW399" s="4089"/>
      <c r="AX399" s="4089"/>
      <c r="AY399" s="4089"/>
      <c r="AZ399" s="4089"/>
      <c r="BA399" s="4089"/>
      <c r="BB399" s="4089"/>
      <c r="BC399" s="4089">
        <f>I399/4</f>
        <v>675</v>
      </c>
      <c r="BD399" s="4089"/>
      <c r="BE399" s="4089"/>
      <c r="BF399" s="4089" t="s">
        <v>1327</v>
      </c>
      <c r="BG399" s="4089"/>
      <c r="BH399" s="4089">
        <f t="shared" si="167"/>
        <v>450</v>
      </c>
      <c r="BI399" s="4089">
        <f t="shared" si="168"/>
        <v>450</v>
      </c>
      <c r="BJ399" s="4089">
        <f t="shared" si="169"/>
        <v>450</v>
      </c>
      <c r="BK399" s="4089">
        <f t="shared" si="170"/>
        <v>450</v>
      </c>
      <c r="BL399" s="4089">
        <f t="shared" si="171"/>
        <v>450</v>
      </c>
      <c r="BM399" s="4089">
        <f t="shared" si="172"/>
        <v>360</v>
      </c>
      <c r="BN399" s="4089">
        <f t="shared" si="159"/>
        <v>90</v>
      </c>
      <c r="BO399" s="4382"/>
      <c r="BP399" s="4382"/>
      <c r="BQ399" s="4382"/>
      <c r="BR399" s="4382"/>
      <c r="BS399" s="4382"/>
      <c r="BT399" s="4383"/>
      <c r="BU399" s="4384"/>
      <c r="BV399" s="4385">
        <f t="shared" si="162"/>
        <v>2700</v>
      </c>
      <c r="BW399" s="4386">
        <f t="shared" si="173"/>
        <v>0</v>
      </c>
      <c r="BX399" s="4387"/>
      <c r="BY399" s="4387"/>
      <c r="BZ399" s="4387"/>
      <c r="CA399" s="4391" t="str">
        <f>VLOOKUP(D399&amp;G399&amp;H399&amp;I399,'9298 版本变更明细'!C:AJ,34,FALSE)</f>
        <v>A版本口水胶+C版本配件包（香味贴纸/指定配件）</v>
      </c>
      <c r="CC399" s="4392">
        <v>45848</v>
      </c>
      <c r="CD399" s="4391" t="s">
        <v>4079</v>
      </c>
    </row>
    <row r="400" s="4025" customFormat="1" ht="50" customHeight="1" spans="1:82">
      <c r="A400" s="3688">
        <v>45750</v>
      </c>
      <c r="B400" s="3689" t="s">
        <v>1315</v>
      </c>
      <c r="C400" s="3664" t="s">
        <v>1316</v>
      </c>
      <c r="D400" s="3690">
        <v>4500162577</v>
      </c>
      <c r="E400" s="3664" t="s">
        <v>1499</v>
      </c>
      <c r="F400" s="3690" t="s">
        <v>1500</v>
      </c>
      <c r="G400" s="3664" t="s">
        <v>3821</v>
      </c>
      <c r="H400" s="3664" t="s">
        <v>1320</v>
      </c>
      <c r="I400" s="3691">
        <v>3824</v>
      </c>
      <c r="J400" s="3691">
        <v>0</v>
      </c>
      <c r="K400" s="3691">
        <v>4</v>
      </c>
      <c r="L400" s="3691">
        <f t="shared" si="160"/>
        <v>956</v>
      </c>
      <c r="M400" s="3659">
        <v>45845</v>
      </c>
      <c r="N400" s="3659">
        <v>45848</v>
      </c>
      <c r="O400" s="4085"/>
      <c r="P400" s="3682" t="s">
        <v>82</v>
      </c>
      <c r="Q400" s="3682"/>
      <c r="R400" s="4083"/>
      <c r="S400" s="4083"/>
      <c r="T400" s="4083"/>
      <c r="U400" s="3645" t="s">
        <v>401</v>
      </c>
      <c r="V400" s="3649" t="s">
        <v>1322</v>
      </c>
      <c r="W400" s="3657"/>
      <c r="X400" s="3657" t="s">
        <v>1907</v>
      </c>
      <c r="Y400" s="3657"/>
      <c r="Z400" s="3691" t="s">
        <v>1501</v>
      </c>
      <c r="AA400" s="3620" t="s">
        <v>1376</v>
      </c>
      <c r="AB400" s="3691" t="s">
        <v>1326</v>
      </c>
      <c r="AC400" s="3691">
        <v>16.8314</v>
      </c>
      <c r="AD400" s="3691">
        <f>AC400*L400</f>
        <v>16090.8184</v>
      </c>
      <c r="AE400" s="3645"/>
      <c r="AF400" s="3664" t="s">
        <v>3822</v>
      </c>
      <c r="AG400" s="3645" t="s">
        <v>416</v>
      </c>
      <c r="AH400" s="905"/>
      <c r="AI400" s="3691"/>
      <c r="AJ400" s="3691"/>
      <c r="AK400" s="905"/>
      <c r="AL400" s="3664"/>
      <c r="AM400" s="3664"/>
      <c r="AN400" s="3691">
        <f>I400</f>
        <v>3824</v>
      </c>
      <c r="AO400" s="3691"/>
      <c r="AP400" s="3691"/>
      <c r="AQ400" s="4089">
        <f>I400</f>
        <v>3824</v>
      </c>
      <c r="AR400" s="4382"/>
      <c r="AS400" s="4089">
        <f t="shared" si="174"/>
        <v>3824</v>
      </c>
      <c r="AT400" s="4382"/>
      <c r="AU400" s="4089"/>
      <c r="AV400" s="4089"/>
      <c r="AW400" s="4089"/>
      <c r="AX400" s="4089"/>
      <c r="AY400" s="4089"/>
      <c r="AZ400" s="4089"/>
      <c r="BA400" s="4089"/>
      <c r="BB400" s="4089"/>
      <c r="BC400" s="4089">
        <f>I400/4</f>
        <v>956</v>
      </c>
      <c r="BD400" s="4089"/>
      <c r="BE400" s="4089"/>
      <c r="BF400" s="4089" t="s">
        <v>1327</v>
      </c>
      <c r="BG400" s="4089"/>
      <c r="BH400" s="4089">
        <f t="shared" si="167"/>
        <v>637.333333333333</v>
      </c>
      <c r="BI400" s="4089">
        <f t="shared" si="168"/>
        <v>637.333333333333</v>
      </c>
      <c r="BJ400" s="4089">
        <f t="shared" si="169"/>
        <v>637.333333333333</v>
      </c>
      <c r="BK400" s="4089">
        <f t="shared" si="170"/>
        <v>637.333333333333</v>
      </c>
      <c r="BL400" s="4089">
        <f t="shared" si="171"/>
        <v>637.333333333333</v>
      </c>
      <c r="BM400" s="4089">
        <f t="shared" si="172"/>
        <v>509.866666666667</v>
      </c>
      <c r="BN400" s="4089">
        <f t="shared" si="159"/>
        <v>127.466666666667</v>
      </c>
      <c r="BO400" s="4382"/>
      <c r="BP400" s="4382"/>
      <c r="BQ400" s="4382"/>
      <c r="BR400" s="4382"/>
      <c r="BS400" s="4382"/>
      <c r="BT400" s="4383"/>
      <c r="BU400" s="4384"/>
      <c r="BV400" s="4385">
        <f t="shared" si="162"/>
        <v>3824</v>
      </c>
      <c r="BW400" s="4386">
        <f t="shared" si="173"/>
        <v>0</v>
      </c>
      <c r="BX400" s="4387"/>
      <c r="BY400" s="4387"/>
      <c r="BZ400" s="4387"/>
      <c r="CA400" s="4391" t="str">
        <f>VLOOKUP(D400&amp;G400&amp;H400&amp;I400,'9298 版本变更明细'!C:AJ,34,FALSE)</f>
        <v>A版本口水胶+C版本配件包（香味贴纸/指定配件）</v>
      </c>
      <c r="CC400" s="4392">
        <v>45848</v>
      </c>
      <c r="CD400" s="4391" t="s">
        <v>4079</v>
      </c>
    </row>
    <row r="401" s="4025" customFormat="1" ht="50" customHeight="1" spans="1:82">
      <c r="A401" s="3688">
        <v>45811</v>
      </c>
      <c r="B401" s="3689" t="s">
        <v>872</v>
      </c>
      <c r="C401" s="3664" t="s">
        <v>873</v>
      </c>
      <c r="D401" s="3690">
        <v>4500168730</v>
      </c>
      <c r="E401" s="3664"/>
      <c r="F401" s="3690" t="s">
        <v>4096</v>
      </c>
      <c r="G401" s="3664" t="s">
        <v>2627</v>
      </c>
      <c r="H401" s="3664" t="s">
        <v>2591</v>
      </c>
      <c r="I401" s="3691">
        <v>2136</v>
      </c>
      <c r="J401" s="3691">
        <v>0</v>
      </c>
      <c r="K401" s="3691">
        <v>24</v>
      </c>
      <c r="L401" s="3691">
        <f t="shared" si="160"/>
        <v>89</v>
      </c>
      <c r="M401" s="3659">
        <v>45848</v>
      </c>
      <c r="N401" s="3659">
        <v>45849</v>
      </c>
      <c r="O401" s="4085"/>
      <c r="P401" s="3682" t="s">
        <v>82</v>
      </c>
      <c r="Q401" s="3682"/>
      <c r="R401" s="4083"/>
      <c r="S401" s="4083"/>
      <c r="T401" s="4083"/>
      <c r="U401" s="3645" t="s">
        <v>1424</v>
      </c>
      <c r="V401" s="3649" t="s">
        <v>1425</v>
      </c>
      <c r="W401" s="3657"/>
      <c r="X401" s="3657" t="s">
        <v>1426</v>
      </c>
      <c r="Y401" s="3657"/>
      <c r="Z401" s="4395"/>
      <c r="AA401" s="3620" t="s">
        <v>4097</v>
      </c>
      <c r="AB401" s="3691" t="s">
        <v>1131</v>
      </c>
      <c r="AC401" s="3691">
        <v>2.0845</v>
      </c>
      <c r="AD401" s="3691">
        <f>AC401*I401</f>
        <v>4452.492</v>
      </c>
      <c r="AE401" s="3645" t="s">
        <v>4098</v>
      </c>
      <c r="AF401" s="3664" t="s">
        <v>2627</v>
      </c>
      <c r="AG401" s="3645" t="s">
        <v>416</v>
      </c>
      <c r="AH401" s="3664"/>
      <c r="AI401" s="3691">
        <f>I401</f>
        <v>2136</v>
      </c>
      <c r="AJ401" s="3691"/>
      <c r="AK401" s="3664"/>
      <c r="AL401" s="3664"/>
      <c r="AM401" s="3664"/>
      <c r="AN401" s="3691"/>
      <c r="AO401" s="3691">
        <f t="shared" ref="AO401:AO411" si="175">I401</f>
        <v>2136</v>
      </c>
      <c r="AP401" s="3691"/>
      <c r="AQ401" s="4089"/>
      <c r="AR401" s="4089"/>
      <c r="AS401" s="4089">
        <f t="shared" si="174"/>
        <v>2136</v>
      </c>
      <c r="AT401" s="4089"/>
      <c r="AU401" s="4089"/>
      <c r="AV401" s="4089"/>
      <c r="AW401" s="4089"/>
      <c r="AX401" s="4089"/>
      <c r="AY401" s="4089"/>
      <c r="AZ401" s="4089"/>
      <c r="BA401" s="4089"/>
      <c r="BB401" s="4089"/>
      <c r="BC401" s="4089"/>
      <c r="BD401" s="4089"/>
      <c r="BE401" s="4089"/>
      <c r="BF401" s="4089" t="s">
        <v>89</v>
      </c>
      <c r="BG401" s="4089"/>
      <c r="BH401" s="4089">
        <f t="shared" si="167"/>
        <v>356</v>
      </c>
      <c r="BI401" s="4089">
        <f t="shared" si="168"/>
        <v>356</v>
      </c>
      <c r="BJ401" s="4089">
        <f t="shared" si="169"/>
        <v>356</v>
      </c>
      <c r="BK401" s="4089">
        <f t="shared" si="170"/>
        <v>356</v>
      </c>
      <c r="BL401" s="4089">
        <f t="shared" si="171"/>
        <v>356</v>
      </c>
      <c r="BM401" s="4089">
        <f t="shared" si="172"/>
        <v>284.8</v>
      </c>
      <c r="BN401" s="4089">
        <f t="shared" si="159"/>
        <v>71.2</v>
      </c>
      <c r="BO401" s="4411"/>
      <c r="BP401" s="4411"/>
      <c r="BQ401" s="4411"/>
      <c r="BR401" s="4411"/>
      <c r="BS401" s="4411"/>
      <c r="BT401" s="4453"/>
      <c r="BU401" s="4454"/>
      <c r="BV401" s="4385">
        <f t="shared" si="162"/>
        <v>2136</v>
      </c>
      <c r="BW401" s="4386">
        <f t="shared" si="173"/>
        <v>0</v>
      </c>
      <c r="BX401" s="4387"/>
      <c r="BY401" s="4387"/>
      <c r="BZ401" s="4387"/>
      <c r="CA401" s="4391" t="str">
        <f>VLOOKUP(D401&amp;G401&amp;H401&amp;I401,'9298 版本变更明细'!C:AJ,34,FALSE)</f>
        <v>B版本膜+A版本指南+口水胶+C版本配件包（香味贴纸/指定配件）</v>
      </c>
      <c r="CC401" s="4392">
        <v>45849</v>
      </c>
      <c r="CD401" s="4391" t="s">
        <v>4099</v>
      </c>
    </row>
    <row r="402" s="4025" customFormat="1" ht="50" customHeight="1" spans="1:82">
      <c r="A402" s="3688">
        <v>45812</v>
      </c>
      <c r="B402" s="3689" t="s">
        <v>872</v>
      </c>
      <c r="C402" s="3664" t="s">
        <v>873</v>
      </c>
      <c r="D402" s="3690">
        <v>4500168727</v>
      </c>
      <c r="E402" s="3664"/>
      <c r="F402" s="3690" t="s">
        <v>4100</v>
      </c>
      <c r="G402" s="3664" t="s">
        <v>2861</v>
      </c>
      <c r="H402" s="3664" t="s">
        <v>2862</v>
      </c>
      <c r="I402" s="4401">
        <v>840</v>
      </c>
      <c r="J402" s="3691">
        <v>0</v>
      </c>
      <c r="K402" s="3691">
        <v>40</v>
      </c>
      <c r="L402" s="3691">
        <f t="shared" si="160"/>
        <v>21</v>
      </c>
      <c r="M402" s="3659">
        <v>45848</v>
      </c>
      <c r="N402" s="3659">
        <v>45849</v>
      </c>
      <c r="O402" s="4085"/>
      <c r="P402" s="3682" t="s">
        <v>82</v>
      </c>
      <c r="Q402" s="3682"/>
      <c r="R402" s="4083"/>
      <c r="S402" s="4083"/>
      <c r="T402" s="4083"/>
      <c r="U402" s="3645" t="s">
        <v>1504</v>
      </c>
      <c r="V402" s="3649" t="s">
        <v>1425</v>
      </c>
      <c r="W402" s="3657"/>
      <c r="X402" s="3657" t="s">
        <v>1426</v>
      </c>
      <c r="Y402" s="3657"/>
      <c r="Z402" s="4395"/>
      <c r="AA402" s="3620" t="s">
        <v>4101</v>
      </c>
      <c r="AB402" s="3691" t="s">
        <v>1131</v>
      </c>
      <c r="AC402" s="4087">
        <v>105.856</v>
      </c>
      <c r="AD402" s="3691">
        <f>AC402*L402</f>
        <v>2222.976</v>
      </c>
      <c r="AE402" s="3645" t="s">
        <v>1428</v>
      </c>
      <c r="AF402" s="3664" t="s">
        <v>2861</v>
      </c>
      <c r="AG402" s="3645" t="s">
        <v>416</v>
      </c>
      <c r="AH402" s="905"/>
      <c r="AI402" s="3691"/>
      <c r="AJ402" s="3691">
        <f t="shared" ref="AJ402:AJ409" si="176">I402</f>
        <v>840</v>
      </c>
      <c r="AK402" s="905"/>
      <c r="AL402" s="3664"/>
      <c r="AM402" s="3664"/>
      <c r="AN402" s="3691"/>
      <c r="AO402" s="3691">
        <f t="shared" si="175"/>
        <v>840</v>
      </c>
      <c r="AP402" s="3691"/>
      <c r="AQ402" s="4089"/>
      <c r="AR402" s="4382"/>
      <c r="AS402" s="4089">
        <f t="shared" si="174"/>
        <v>840</v>
      </c>
      <c r="AT402" s="4382"/>
      <c r="AU402" s="4089"/>
      <c r="AV402" s="4089"/>
      <c r="AW402" s="4089"/>
      <c r="AX402" s="4089"/>
      <c r="AY402" s="4089"/>
      <c r="AZ402" s="4089"/>
      <c r="BA402" s="4089"/>
      <c r="BB402" s="4089"/>
      <c r="BC402" s="4089"/>
      <c r="BD402" s="4089"/>
      <c r="BE402" s="4089">
        <f>I402/40</f>
        <v>21</v>
      </c>
      <c r="BF402" s="4089" t="s">
        <v>89</v>
      </c>
      <c r="BG402" s="4089"/>
      <c r="BH402" s="4089">
        <f t="shared" si="167"/>
        <v>140</v>
      </c>
      <c r="BI402" s="4089">
        <f t="shared" si="168"/>
        <v>140</v>
      </c>
      <c r="BJ402" s="4089">
        <f t="shared" si="169"/>
        <v>140</v>
      </c>
      <c r="BK402" s="4089">
        <f t="shared" si="170"/>
        <v>140</v>
      </c>
      <c r="BL402" s="4089">
        <f t="shared" si="171"/>
        <v>140</v>
      </c>
      <c r="BM402" s="4089">
        <f t="shared" si="172"/>
        <v>112</v>
      </c>
      <c r="BN402" s="4089">
        <f t="shared" si="159"/>
        <v>28</v>
      </c>
      <c r="BO402" s="907"/>
      <c r="BP402" s="907"/>
      <c r="BQ402" s="907"/>
      <c r="BR402" s="907"/>
      <c r="BS402" s="907"/>
      <c r="BT402" s="910"/>
      <c r="BU402" s="911"/>
      <c r="BV402" s="4385">
        <f t="shared" si="162"/>
        <v>840</v>
      </c>
      <c r="BW402" s="4386">
        <f t="shared" si="173"/>
        <v>0</v>
      </c>
      <c r="BX402" s="4387"/>
      <c r="BY402" s="4387"/>
      <c r="BZ402" s="4387"/>
      <c r="CA402" s="4391" t="str">
        <f>VLOOKUP(D402&amp;G402&amp;H402&amp;I402,'9298 版本变更明细'!C:AJ,34,FALSE)</f>
        <v>C版本收缩膜+A版本指南+口水胶+C版本配件包（香味贴纸/指定配件）</v>
      </c>
      <c r="CC402" s="4392">
        <v>45849</v>
      </c>
      <c r="CD402" s="4391" t="s">
        <v>4092</v>
      </c>
    </row>
    <row r="403" s="4025" customFormat="1" ht="50" customHeight="1" spans="1:82">
      <c r="A403" s="4429">
        <v>45807</v>
      </c>
      <c r="B403" s="4080" t="s">
        <v>331</v>
      </c>
      <c r="C403" s="3663" t="s">
        <v>4102</v>
      </c>
      <c r="D403" s="3690">
        <v>4500168661</v>
      </c>
      <c r="E403" s="3664" t="s">
        <v>4103</v>
      </c>
      <c r="F403" s="3690" t="s">
        <v>4104</v>
      </c>
      <c r="G403" s="3664" t="s">
        <v>4105</v>
      </c>
      <c r="H403" s="3664" t="s">
        <v>3353</v>
      </c>
      <c r="I403" s="3691">
        <v>2004</v>
      </c>
      <c r="J403" s="3691">
        <v>0</v>
      </c>
      <c r="K403" s="3691">
        <v>6</v>
      </c>
      <c r="L403" s="3691">
        <f t="shared" si="160"/>
        <v>334</v>
      </c>
      <c r="M403" s="3619">
        <v>45848</v>
      </c>
      <c r="N403" s="3619">
        <v>45848</v>
      </c>
      <c r="O403" s="4098" t="s">
        <v>4106</v>
      </c>
      <c r="P403" s="3682" t="s">
        <v>82</v>
      </c>
      <c r="Q403" s="3682"/>
      <c r="R403" s="4083"/>
      <c r="S403" s="4083"/>
      <c r="T403" s="4083"/>
      <c r="U403" s="3620" t="s">
        <v>4042</v>
      </c>
      <c r="V403" s="3649" t="s">
        <v>1479</v>
      </c>
      <c r="W403" s="3657"/>
      <c r="X403" s="3657" t="s">
        <v>4107</v>
      </c>
      <c r="Y403" s="3657"/>
      <c r="Z403" s="3691"/>
      <c r="AA403" s="3620" t="s">
        <v>4108</v>
      </c>
      <c r="AB403" s="4084" t="s">
        <v>2382</v>
      </c>
      <c r="AC403" s="3691">
        <v>4.5796</v>
      </c>
      <c r="AD403" s="3691">
        <f>AC403*I403</f>
        <v>9177.5184</v>
      </c>
      <c r="AE403" s="3645" t="s">
        <v>4109</v>
      </c>
      <c r="AF403" s="3664" t="s">
        <v>4110</v>
      </c>
      <c r="AG403" s="3645" t="s">
        <v>416</v>
      </c>
      <c r="AH403" s="3708"/>
      <c r="AI403" s="3691"/>
      <c r="AJ403" s="3691">
        <f t="shared" si="176"/>
        <v>2004</v>
      </c>
      <c r="AK403" s="3708"/>
      <c r="AL403" s="3664"/>
      <c r="AM403" s="3664"/>
      <c r="AN403" s="3691"/>
      <c r="AO403" s="3691">
        <f t="shared" si="175"/>
        <v>2004</v>
      </c>
      <c r="AP403" s="3691"/>
      <c r="AQ403" s="4089"/>
      <c r="AR403" s="1048"/>
      <c r="AS403" s="4089">
        <f t="shared" si="174"/>
        <v>2004</v>
      </c>
      <c r="AT403" s="1048"/>
      <c r="AU403" s="4089"/>
      <c r="AV403" s="4089"/>
      <c r="AW403" s="4089"/>
      <c r="AX403" s="4089"/>
      <c r="AY403" s="4089"/>
      <c r="AZ403" s="4089"/>
      <c r="BA403" s="4089"/>
      <c r="BB403" s="4089"/>
      <c r="BC403" s="4089">
        <f>I403</f>
        <v>2004</v>
      </c>
      <c r="BD403" s="4089"/>
      <c r="BE403" s="4089"/>
      <c r="BF403" s="4089" t="s">
        <v>89</v>
      </c>
      <c r="BG403" s="4089"/>
      <c r="BH403" s="4089">
        <f t="shared" si="167"/>
        <v>334</v>
      </c>
      <c r="BI403" s="4089">
        <f t="shared" si="168"/>
        <v>334</v>
      </c>
      <c r="BJ403" s="4089">
        <f t="shared" si="169"/>
        <v>334</v>
      </c>
      <c r="BK403" s="4403">
        <f t="shared" si="170"/>
        <v>334</v>
      </c>
      <c r="BL403" s="4385">
        <f t="shared" si="171"/>
        <v>334</v>
      </c>
      <c r="BM403" s="4403">
        <f t="shared" si="172"/>
        <v>267.2</v>
      </c>
      <c r="BN403" s="4089">
        <f t="shared" si="159"/>
        <v>66.8</v>
      </c>
      <c r="BO403" s="4413"/>
      <c r="BP403" s="4413"/>
      <c r="BQ403" s="4413"/>
      <c r="BR403" s="4413"/>
      <c r="BS403" s="4413"/>
      <c r="BT403" s="4431"/>
      <c r="BU403" s="4432"/>
      <c r="BV403" s="4385">
        <f t="shared" si="162"/>
        <v>2004</v>
      </c>
      <c r="BW403" s="4386">
        <f t="shared" si="173"/>
        <v>0</v>
      </c>
      <c r="BX403" s="4387"/>
      <c r="BY403" s="4387"/>
      <c r="BZ403" s="4387"/>
      <c r="CA403" s="4391" t="e">
        <f>VLOOKUP(D403&amp;G403&amp;H403&amp;I403,'9298 版本变更明细'!C:AJ,34,FALSE)</f>
        <v>#N/A</v>
      </c>
      <c r="CC403" s="4392" t="s">
        <v>4036</v>
      </c>
      <c r="CD403" s="4391" t="s">
        <v>4092</v>
      </c>
    </row>
    <row r="404" s="4025" customFormat="1" ht="50" customHeight="1" spans="1:82">
      <c r="A404" s="4429">
        <v>45818</v>
      </c>
      <c r="B404" s="4080" t="s">
        <v>4111</v>
      </c>
      <c r="C404" s="3663" t="s">
        <v>91</v>
      </c>
      <c r="D404" s="3690">
        <v>4500169465</v>
      </c>
      <c r="E404" s="3664" t="s">
        <v>4112</v>
      </c>
      <c r="F404" s="3690" t="s">
        <v>4113</v>
      </c>
      <c r="G404" s="3664" t="s">
        <v>4114</v>
      </c>
      <c r="H404" s="3664" t="s">
        <v>3187</v>
      </c>
      <c r="I404" s="3691">
        <v>84</v>
      </c>
      <c r="J404" s="3691">
        <v>0</v>
      </c>
      <c r="K404" s="3691">
        <v>12</v>
      </c>
      <c r="L404" s="3691">
        <f t="shared" si="160"/>
        <v>7</v>
      </c>
      <c r="M404" s="3659">
        <v>45849</v>
      </c>
      <c r="N404" s="3659">
        <v>45860</v>
      </c>
      <c r="O404" s="3664" t="s">
        <v>4115</v>
      </c>
      <c r="P404" s="3682" t="s">
        <v>82</v>
      </c>
      <c r="Q404" s="3682"/>
      <c r="R404" s="4083"/>
      <c r="S404" s="4083"/>
      <c r="T404" s="4083"/>
      <c r="U404" s="3645" t="s">
        <v>4116</v>
      </c>
      <c r="V404" s="3649" t="s">
        <v>1484</v>
      </c>
      <c r="W404" s="3657"/>
      <c r="X404" s="3657" t="s">
        <v>4117</v>
      </c>
      <c r="Y404" s="3657"/>
      <c r="Z404" s="4421"/>
      <c r="AA404" s="3620" t="s">
        <v>4118</v>
      </c>
      <c r="AB404" s="4084" t="s">
        <v>1024</v>
      </c>
      <c r="AC404" s="3691">
        <v>1.2549</v>
      </c>
      <c r="AD404" s="3691">
        <f>AC404*I404</f>
        <v>105.4116</v>
      </c>
      <c r="AE404" s="3645" t="s">
        <v>4119</v>
      </c>
      <c r="AF404" s="3664" t="s">
        <v>3186</v>
      </c>
      <c r="AG404" s="3645" t="s">
        <v>416</v>
      </c>
      <c r="AH404" s="905"/>
      <c r="AI404" s="3691"/>
      <c r="AJ404" s="3691">
        <f t="shared" si="176"/>
        <v>84</v>
      </c>
      <c r="AK404" s="905"/>
      <c r="AL404" s="3664"/>
      <c r="AM404" s="3664"/>
      <c r="AN404" s="3691"/>
      <c r="AO404" s="3691">
        <f t="shared" si="175"/>
        <v>84</v>
      </c>
      <c r="AP404" s="3691"/>
      <c r="AQ404" s="4089"/>
      <c r="AR404" s="4382"/>
      <c r="AS404" s="4089">
        <f t="shared" si="174"/>
        <v>84</v>
      </c>
      <c r="AT404" s="4382"/>
      <c r="AU404" s="4089"/>
      <c r="AV404" s="4089"/>
      <c r="AW404" s="4089"/>
      <c r="AX404" s="4089"/>
      <c r="AY404" s="4089"/>
      <c r="AZ404" s="4089"/>
      <c r="BA404" s="4089"/>
      <c r="BB404" s="4089"/>
      <c r="BC404" s="4089"/>
      <c r="BD404" s="4089"/>
      <c r="BE404" s="4089"/>
      <c r="BF404" s="4089" t="s">
        <v>89</v>
      </c>
      <c r="BG404" s="4089"/>
      <c r="BH404" s="4089"/>
      <c r="BI404" s="4089"/>
      <c r="BJ404" s="4089"/>
      <c r="BK404" s="4089">
        <f>I404-BN404</f>
        <v>81.2</v>
      </c>
      <c r="BL404" s="4089"/>
      <c r="BM404" s="4089"/>
      <c r="BN404" s="4089">
        <f t="shared" si="159"/>
        <v>2.8</v>
      </c>
      <c r="BO404" s="907"/>
      <c r="BP404" s="907"/>
      <c r="BQ404" s="907"/>
      <c r="BR404" s="907"/>
      <c r="BS404" s="907"/>
      <c r="BT404" s="910"/>
      <c r="BU404" s="911"/>
      <c r="BV404" s="4385">
        <f t="shared" si="162"/>
        <v>84</v>
      </c>
      <c r="BW404" s="4386">
        <f t="shared" si="173"/>
        <v>0</v>
      </c>
      <c r="BX404" s="4387"/>
      <c r="BY404" s="4387"/>
      <c r="BZ404" s="4387"/>
      <c r="CA404" s="4391" t="e">
        <f>VLOOKUP(D404&amp;G404&amp;H404&amp;I404,'9298 版本变更明细'!C:AJ,34,FALSE)</f>
        <v>#N/A</v>
      </c>
      <c r="CC404" s="4392">
        <v>45860</v>
      </c>
      <c r="CD404" s="4391" t="s">
        <v>4099</v>
      </c>
    </row>
    <row r="405" s="4025" customFormat="1" ht="50" customHeight="1" spans="1:82">
      <c r="A405" s="3688">
        <v>45817</v>
      </c>
      <c r="B405" s="3689" t="s">
        <v>3495</v>
      </c>
      <c r="C405" s="3664" t="s">
        <v>91</v>
      </c>
      <c r="D405" s="3690">
        <v>4500169373</v>
      </c>
      <c r="E405" s="5456" t="s">
        <v>4120</v>
      </c>
      <c r="F405" s="3690" t="s">
        <v>4121</v>
      </c>
      <c r="G405" s="3664" t="s">
        <v>3068</v>
      </c>
      <c r="H405" s="3664" t="s">
        <v>3069</v>
      </c>
      <c r="I405" s="3691">
        <v>1536</v>
      </c>
      <c r="J405" s="3691">
        <v>2</v>
      </c>
      <c r="K405" s="3691">
        <v>384</v>
      </c>
      <c r="L405" s="3691">
        <f t="shared" si="160"/>
        <v>4</v>
      </c>
      <c r="M405" s="3659">
        <v>45849</v>
      </c>
      <c r="N405" s="3659">
        <v>45849</v>
      </c>
      <c r="O405" s="3664" t="s">
        <v>4122</v>
      </c>
      <c r="P405" s="3682" t="s">
        <v>82</v>
      </c>
      <c r="Q405" s="3682"/>
      <c r="R405" s="4083"/>
      <c r="S405" s="4083"/>
      <c r="T405" s="4083"/>
      <c r="U405" s="3645" t="s">
        <v>4123</v>
      </c>
      <c r="V405" s="3649" t="s">
        <v>3703</v>
      </c>
      <c r="W405" s="3657"/>
      <c r="X405" s="3657" t="s">
        <v>4124</v>
      </c>
      <c r="Y405" s="3657" t="s">
        <v>4125</v>
      </c>
      <c r="Z405" s="4421"/>
      <c r="AA405" s="3620" t="s">
        <v>3863</v>
      </c>
      <c r="AB405" s="3691" t="s">
        <v>3076</v>
      </c>
      <c r="AC405" s="4087">
        <v>531.79</v>
      </c>
      <c r="AD405" s="3691">
        <f>AC405*L405</f>
        <v>2127.16</v>
      </c>
      <c r="AE405" s="3645" t="s">
        <v>4126</v>
      </c>
      <c r="AF405" s="3664" t="s">
        <v>3078</v>
      </c>
      <c r="AG405" s="3645" t="s">
        <v>416</v>
      </c>
      <c r="AH405" s="905"/>
      <c r="AI405" s="3691"/>
      <c r="AJ405" s="3691">
        <f t="shared" si="176"/>
        <v>1536</v>
      </c>
      <c r="AK405" s="905"/>
      <c r="AL405" s="3664"/>
      <c r="AM405" s="3664"/>
      <c r="AN405" s="3691"/>
      <c r="AO405" s="3691">
        <f t="shared" si="175"/>
        <v>1536</v>
      </c>
      <c r="AP405" s="3691"/>
      <c r="AQ405" s="4089"/>
      <c r="AR405" s="4382"/>
      <c r="AS405" s="4089">
        <f t="shared" si="174"/>
        <v>1536</v>
      </c>
      <c r="AT405" s="4382"/>
      <c r="AU405" s="4089"/>
      <c r="AV405" s="4089"/>
      <c r="AW405" s="4089"/>
      <c r="AX405" s="4089"/>
      <c r="AY405" s="4089"/>
      <c r="AZ405" s="4089"/>
      <c r="BA405" s="4089"/>
      <c r="BB405" s="4089">
        <f>I405/2</f>
        <v>768</v>
      </c>
      <c r="BC405" s="4089"/>
      <c r="BD405" s="4089"/>
      <c r="BE405" s="4089"/>
      <c r="BF405" s="4089" t="s">
        <v>682</v>
      </c>
      <c r="BG405" s="4089"/>
      <c r="BH405" s="4089">
        <f t="shared" ref="BH405:BH416" si="177">I405/60*10</f>
        <v>256</v>
      </c>
      <c r="BI405" s="4089">
        <f t="shared" ref="BI405:BI416" si="178">I405/60*10</f>
        <v>256</v>
      </c>
      <c r="BJ405" s="4089">
        <f t="shared" ref="BJ405:BJ416" si="179">I405/60*10</f>
        <v>256</v>
      </c>
      <c r="BK405" s="4089">
        <f t="shared" ref="BK405:BK416" si="180">I405/60*10</f>
        <v>256</v>
      </c>
      <c r="BL405" s="4089">
        <f t="shared" ref="BL405:BL416" si="181">I405/60*10</f>
        <v>256</v>
      </c>
      <c r="BM405" s="4089">
        <f t="shared" ref="BM405:BM416" si="182">I405/60*8</f>
        <v>204.8</v>
      </c>
      <c r="BN405" s="4089">
        <f t="shared" si="159"/>
        <v>51.2</v>
      </c>
      <c r="BO405" s="907"/>
      <c r="BP405" s="907"/>
      <c r="BQ405" s="907"/>
      <c r="BR405" s="907"/>
      <c r="BS405" s="907"/>
      <c r="BT405" s="910"/>
      <c r="BU405" s="911"/>
      <c r="BV405" s="4385">
        <f t="shared" si="162"/>
        <v>1536</v>
      </c>
      <c r="BW405" s="4386">
        <f t="shared" si="173"/>
        <v>0</v>
      </c>
      <c r="BX405" s="4387"/>
      <c r="BY405" s="4387"/>
      <c r="BZ405" s="4387"/>
      <c r="CA405" s="4391" t="str">
        <f>VLOOKUP(D405&amp;G405&amp;H405&amp;I405,'9298 版本变更明细'!C:AJ,34,FALSE)</f>
        <v>C版本收缩膜+A版本指南+口水胶+C版本配件包（香味贴纸/指定配件）</v>
      </c>
      <c r="CC405" s="4392">
        <v>45849</v>
      </c>
      <c r="CD405" s="4391" t="s">
        <v>4099</v>
      </c>
    </row>
    <row r="406" s="4025" customFormat="1" ht="50" customHeight="1" spans="1:82">
      <c r="A406" s="4429">
        <v>45817</v>
      </c>
      <c r="B406" s="4080" t="s">
        <v>3495</v>
      </c>
      <c r="C406" s="3663" t="s">
        <v>91</v>
      </c>
      <c r="D406" s="3690">
        <v>4500169373</v>
      </c>
      <c r="E406" s="5456" t="s">
        <v>4127</v>
      </c>
      <c r="F406" s="3690" t="s">
        <v>4128</v>
      </c>
      <c r="G406" s="3664" t="s">
        <v>3068</v>
      </c>
      <c r="H406" s="3664" t="s">
        <v>3069</v>
      </c>
      <c r="I406" s="3691">
        <v>768</v>
      </c>
      <c r="J406" s="3691">
        <v>2</v>
      </c>
      <c r="K406" s="3691">
        <v>384</v>
      </c>
      <c r="L406" s="3691">
        <f t="shared" si="160"/>
        <v>2</v>
      </c>
      <c r="M406" s="3659">
        <v>45849</v>
      </c>
      <c r="N406" s="3659">
        <v>45849</v>
      </c>
      <c r="O406" s="3664" t="s">
        <v>4122</v>
      </c>
      <c r="P406" s="3682" t="s">
        <v>82</v>
      </c>
      <c r="Q406" s="3682"/>
      <c r="R406" s="4083"/>
      <c r="S406" s="4083"/>
      <c r="T406" s="4083"/>
      <c r="U406" s="3645" t="s">
        <v>4123</v>
      </c>
      <c r="V406" s="3649" t="s">
        <v>3703</v>
      </c>
      <c r="W406" s="3657"/>
      <c r="X406" s="3657" t="s">
        <v>4124</v>
      </c>
      <c r="Y406" s="3657" t="s">
        <v>4125</v>
      </c>
      <c r="Z406" s="4421"/>
      <c r="AA406" s="3620" t="s">
        <v>3863</v>
      </c>
      <c r="AB406" s="4084" t="s">
        <v>3076</v>
      </c>
      <c r="AC406" s="4087">
        <v>531.79</v>
      </c>
      <c r="AD406" s="3691">
        <f>AC406*L406</f>
        <v>1063.58</v>
      </c>
      <c r="AE406" s="3645" t="s">
        <v>4129</v>
      </c>
      <c r="AF406" s="3664" t="s">
        <v>3078</v>
      </c>
      <c r="AG406" s="3645" t="s">
        <v>416</v>
      </c>
      <c r="AH406" s="905"/>
      <c r="AI406" s="3691"/>
      <c r="AJ406" s="3691">
        <f t="shared" si="176"/>
        <v>768</v>
      </c>
      <c r="AK406" s="905"/>
      <c r="AL406" s="3664"/>
      <c r="AM406" s="3664"/>
      <c r="AN406" s="3691"/>
      <c r="AO406" s="3691">
        <f t="shared" si="175"/>
        <v>768</v>
      </c>
      <c r="AP406" s="3691"/>
      <c r="AQ406" s="4089"/>
      <c r="AR406" s="4382"/>
      <c r="AS406" s="4089">
        <f t="shared" si="174"/>
        <v>768</v>
      </c>
      <c r="AT406" s="4382"/>
      <c r="AU406" s="4089"/>
      <c r="AV406" s="4089"/>
      <c r="AW406" s="4089"/>
      <c r="AX406" s="4089"/>
      <c r="AY406" s="4089"/>
      <c r="AZ406" s="4089"/>
      <c r="BA406" s="4089"/>
      <c r="BB406" s="4089">
        <f>I406/2</f>
        <v>384</v>
      </c>
      <c r="BC406" s="4089"/>
      <c r="BD406" s="4089"/>
      <c r="BE406" s="4089"/>
      <c r="BF406" s="4089" t="s">
        <v>682</v>
      </c>
      <c r="BG406" s="4089"/>
      <c r="BH406" s="4089">
        <f t="shared" si="177"/>
        <v>128</v>
      </c>
      <c r="BI406" s="4089">
        <f t="shared" si="178"/>
        <v>128</v>
      </c>
      <c r="BJ406" s="4089">
        <f t="shared" si="179"/>
        <v>128</v>
      </c>
      <c r="BK406" s="4089">
        <f t="shared" si="180"/>
        <v>128</v>
      </c>
      <c r="BL406" s="4089">
        <f t="shared" si="181"/>
        <v>128</v>
      </c>
      <c r="BM406" s="4089">
        <f t="shared" si="182"/>
        <v>102.4</v>
      </c>
      <c r="BN406" s="4089">
        <f t="shared" si="159"/>
        <v>25.6</v>
      </c>
      <c r="BO406" s="907"/>
      <c r="BP406" s="907"/>
      <c r="BQ406" s="907"/>
      <c r="BR406" s="907"/>
      <c r="BS406" s="907"/>
      <c r="BT406" s="910"/>
      <c r="BU406" s="911"/>
      <c r="BV406" s="4385">
        <f t="shared" si="162"/>
        <v>768</v>
      </c>
      <c r="BW406" s="4386">
        <f t="shared" si="173"/>
        <v>0</v>
      </c>
      <c r="BX406" s="4387"/>
      <c r="BY406" s="4387"/>
      <c r="BZ406" s="4387"/>
      <c r="CA406" s="4391" t="str">
        <f>VLOOKUP(D406&amp;G406&amp;H406&amp;I406,'9298 版本变更明细'!C:AJ,34,FALSE)</f>
        <v>C版本收缩膜+A版本指南+口水胶+C版本配件包（香味贴纸/指定配件）</v>
      </c>
      <c r="CC406" s="4392">
        <v>45849</v>
      </c>
      <c r="CD406" s="4391" t="s">
        <v>4099</v>
      </c>
    </row>
    <row r="407" s="4025" customFormat="1" ht="50" customHeight="1" spans="1:82">
      <c r="A407" s="3688">
        <v>45817</v>
      </c>
      <c r="B407" s="3689" t="s">
        <v>3495</v>
      </c>
      <c r="C407" s="3664" t="s">
        <v>91</v>
      </c>
      <c r="D407" s="3690">
        <v>4500169373</v>
      </c>
      <c r="E407" s="5456" t="s">
        <v>4130</v>
      </c>
      <c r="F407" s="3690" t="s">
        <v>4131</v>
      </c>
      <c r="G407" s="3664" t="s">
        <v>3068</v>
      </c>
      <c r="H407" s="3664" t="s">
        <v>3069</v>
      </c>
      <c r="I407" s="3691">
        <v>768</v>
      </c>
      <c r="J407" s="3691">
        <v>2</v>
      </c>
      <c r="K407" s="3691">
        <v>384</v>
      </c>
      <c r="L407" s="3691">
        <f t="shared" si="160"/>
        <v>2</v>
      </c>
      <c r="M407" s="3659">
        <v>45849</v>
      </c>
      <c r="N407" s="3659">
        <v>45849</v>
      </c>
      <c r="O407" s="3664" t="s">
        <v>4122</v>
      </c>
      <c r="P407" s="3682" t="s">
        <v>82</v>
      </c>
      <c r="Q407" s="3682"/>
      <c r="R407" s="4083"/>
      <c r="S407" s="4083"/>
      <c r="T407" s="4083"/>
      <c r="U407" s="3645" t="s">
        <v>1504</v>
      </c>
      <c r="V407" s="3649" t="s">
        <v>3703</v>
      </c>
      <c r="W407" s="3657"/>
      <c r="X407" s="3657" t="s">
        <v>4124</v>
      </c>
      <c r="Y407" s="3657" t="s">
        <v>4125</v>
      </c>
      <c r="Z407" s="4421"/>
      <c r="AA407" s="3620" t="s">
        <v>3863</v>
      </c>
      <c r="AB407" s="3691" t="s">
        <v>3076</v>
      </c>
      <c r="AC407" s="4087">
        <v>531.79</v>
      </c>
      <c r="AD407" s="3691">
        <f>AC407*L407</f>
        <v>1063.58</v>
      </c>
      <c r="AE407" s="3645" t="s">
        <v>4132</v>
      </c>
      <c r="AF407" s="3664" t="s">
        <v>3078</v>
      </c>
      <c r="AG407" s="3645" t="s">
        <v>416</v>
      </c>
      <c r="AH407" s="905"/>
      <c r="AI407" s="3691"/>
      <c r="AJ407" s="3691">
        <f t="shared" si="176"/>
        <v>768</v>
      </c>
      <c r="AK407" s="905"/>
      <c r="AL407" s="3664"/>
      <c r="AM407" s="3664"/>
      <c r="AN407" s="3691"/>
      <c r="AO407" s="3691">
        <f t="shared" si="175"/>
        <v>768</v>
      </c>
      <c r="AP407" s="3691"/>
      <c r="AQ407" s="4089"/>
      <c r="AR407" s="4382"/>
      <c r="AS407" s="4089">
        <f t="shared" si="174"/>
        <v>768</v>
      </c>
      <c r="AT407" s="4382"/>
      <c r="AU407" s="4089"/>
      <c r="AV407" s="4089"/>
      <c r="AW407" s="4089"/>
      <c r="AX407" s="4089"/>
      <c r="AY407" s="4089"/>
      <c r="AZ407" s="4089"/>
      <c r="BA407" s="4089"/>
      <c r="BB407" s="4089">
        <f>I407/2</f>
        <v>384</v>
      </c>
      <c r="BC407" s="4089"/>
      <c r="BD407" s="4089"/>
      <c r="BE407" s="4089"/>
      <c r="BF407" s="4089" t="s">
        <v>682</v>
      </c>
      <c r="BG407" s="4089"/>
      <c r="BH407" s="4089">
        <f t="shared" si="177"/>
        <v>128</v>
      </c>
      <c r="BI407" s="4089">
        <f t="shared" si="178"/>
        <v>128</v>
      </c>
      <c r="BJ407" s="4089">
        <f t="shared" si="179"/>
        <v>128</v>
      </c>
      <c r="BK407" s="4089">
        <f t="shared" si="180"/>
        <v>128</v>
      </c>
      <c r="BL407" s="4089">
        <f t="shared" si="181"/>
        <v>128</v>
      </c>
      <c r="BM407" s="4089">
        <f t="shared" si="182"/>
        <v>102.4</v>
      </c>
      <c r="BN407" s="4089">
        <f t="shared" si="159"/>
        <v>25.6</v>
      </c>
      <c r="BO407" s="907"/>
      <c r="BP407" s="907"/>
      <c r="BQ407" s="907"/>
      <c r="BR407" s="907"/>
      <c r="BS407" s="907"/>
      <c r="BT407" s="910"/>
      <c r="BU407" s="911"/>
      <c r="BV407" s="4385">
        <f t="shared" si="162"/>
        <v>768</v>
      </c>
      <c r="BW407" s="4386">
        <f t="shared" si="173"/>
        <v>0</v>
      </c>
      <c r="BX407" s="4387"/>
      <c r="BY407" s="4387"/>
      <c r="BZ407" s="4387"/>
      <c r="CA407" s="4391" t="str">
        <f>VLOOKUP(D407&amp;G407&amp;H407&amp;I407,'9298 版本变更明细'!C:AJ,34,FALSE)</f>
        <v>C版本收缩膜+A版本指南+口水胶+C版本配件包（香味贴纸/指定配件）</v>
      </c>
      <c r="CC407" s="4392">
        <v>45849</v>
      </c>
      <c r="CD407" s="4391" t="s">
        <v>4099</v>
      </c>
    </row>
    <row r="408" s="4025" customFormat="1" ht="50" customHeight="1" spans="1:82">
      <c r="A408" s="3688">
        <v>45817</v>
      </c>
      <c r="B408" s="3689" t="s">
        <v>3495</v>
      </c>
      <c r="C408" s="3664" t="s">
        <v>91</v>
      </c>
      <c r="D408" s="3690">
        <v>4500169373</v>
      </c>
      <c r="E408" s="5456" t="s">
        <v>4133</v>
      </c>
      <c r="F408" s="3690" t="s">
        <v>4134</v>
      </c>
      <c r="G408" s="3664" t="s">
        <v>3068</v>
      </c>
      <c r="H408" s="3664" t="s">
        <v>3069</v>
      </c>
      <c r="I408" s="3691">
        <v>1152</v>
      </c>
      <c r="J408" s="3691">
        <v>2</v>
      </c>
      <c r="K408" s="3691">
        <v>384</v>
      </c>
      <c r="L408" s="3691">
        <f t="shared" si="160"/>
        <v>3</v>
      </c>
      <c r="M408" s="3659">
        <v>45849</v>
      </c>
      <c r="N408" s="3659">
        <v>45849</v>
      </c>
      <c r="O408" s="3664" t="s">
        <v>4122</v>
      </c>
      <c r="P408" s="3682" t="s">
        <v>82</v>
      </c>
      <c r="Q408" s="3682"/>
      <c r="R408" s="4083"/>
      <c r="S408" s="4083"/>
      <c r="T408" s="4083"/>
      <c r="U408" s="3645" t="s">
        <v>4135</v>
      </c>
      <c r="V408" s="3649" t="s">
        <v>3703</v>
      </c>
      <c r="W408" s="3657"/>
      <c r="X408" s="3657" t="s">
        <v>4124</v>
      </c>
      <c r="Y408" s="3657" t="s">
        <v>4125</v>
      </c>
      <c r="Z408" s="4421"/>
      <c r="AA408" s="3620" t="s">
        <v>3863</v>
      </c>
      <c r="AB408" s="3691" t="s">
        <v>3076</v>
      </c>
      <c r="AC408" s="4087">
        <v>531.79</v>
      </c>
      <c r="AD408" s="3691">
        <f>AC408*L408</f>
        <v>1595.37</v>
      </c>
      <c r="AE408" s="3645"/>
      <c r="AF408" s="3664" t="s">
        <v>3078</v>
      </c>
      <c r="AG408" s="3645" t="s">
        <v>416</v>
      </c>
      <c r="AH408" s="905"/>
      <c r="AI408" s="3691"/>
      <c r="AJ408" s="3691">
        <f t="shared" si="176"/>
        <v>1152</v>
      </c>
      <c r="AK408" s="905"/>
      <c r="AL408" s="3664"/>
      <c r="AM408" s="3664"/>
      <c r="AN408" s="3691"/>
      <c r="AO408" s="3691">
        <f t="shared" si="175"/>
        <v>1152</v>
      </c>
      <c r="AP408" s="3691"/>
      <c r="AQ408" s="4089"/>
      <c r="AR408" s="4382"/>
      <c r="AS408" s="4089">
        <f t="shared" si="174"/>
        <v>1152</v>
      </c>
      <c r="AT408" s="4382"/>
      <c r="AU408" s="4089"/>
      <c r="AV408" s="4089"/>
      <c r="AW408" s="4089"/>
      <c r="AX408" s="4089"/>
      <c r="AY408" s="4089"/>
      <c r="AZ408" s="4089"/>
      <c r="BA408" s="4089"/>
      <c r="BB408" s="4089">
        <f>I408/2</f>
        <v>576</v>
      </c>
      <c r="BC408" s="4089"/>
      <c r="BD408" s="4089"/>
      <c r="BE408" s="4089"/>
      <c r="BF408" s="4089" t="s">
        <v>682</v>
      </c>
      <c r="BG408" s="4089"/>
      <c r="BH408" s="4089">
        <f t="shared" si="177"/>
        <v>192</v>
      </c>
      <c r="BI408" s="4089">
        <f t="shared" si="178"/>
        <v>192</v>
      </c>
      <c r="BJ408" s="4089">
        <f t="shared" si="179"/>
        <v>192</v>
      </c>
      <c r="BK408" s="4089">
        <f t="shared" si="180"/>
        <v>192</v>
      </c>
      <c r="BL408" s="4089">
        <f t="shared" si="181"/>
        <v>192</v>
      </c>
      <c r="BM408" s="4089">
        <f t="shared" si="182"/>
        <v>153.6</v>
      </c>
      <c r="BN408" s="4089">
        <f t="shared" si="159"/>
        <v>38.4</v>
      </c>
      <c r="BO408" s="907"/>
      <c r="BP408" s="907"/>
      <c r="BQ408" s="907"/>
      <c r="BR408" s="907"/>
      <c r="BS408" s="907"/>
      <c r="BT408" s="910"/>
      <c r="BU408" s="911"/>
      <c r="BV408" s="4385">
        <f t="shared" si="162"/>
        <v>1152</v>
      </c>
      <c r="BW408" s="4386">
        <f t="shared" si="173"/>
        <v>0</v>
      </c>
      <c r="BX408" s="4387"/>
      <c r="BY408" s="4387"/>
      <c r="BZ408" s="4387"/>
      <c r="CA408" s="4391" t="str">
        <f>VLOOKUP(D408&amp;G408&amp;H408&amp;I408,'9298 版本变更明细'!C:AJ,34,FALSE)</f>
        <v>C版本收缩膜+A版本指南+口水胶+C版本配件包（香味贴纸/指定配件）</v>
      </c>
      <c r="CC408" s="4392">
        <v>45849</v>
      </c>
      <c r="CD408" s="4391" t="s">
        <v>4099</v>
      </c>
    </row>
    <row r="409" s="4025" customFormat="1" ht="50" customHeight="1" spans="1:82">
      <c r="A409" s="3688">
        <v>45817</v>
      </c>
      <c r="B409" s="3689" t="s">
        <v>3495</v>
      </c>
      <c r="C409" s="3664" t="s">
        <v>91</v>
      </c>
      <c r="D409" s="3690">
        <v>4500169373</v>
      </c>
      <c r="E409" s="5456" t="s">
        <v>4136</v>
      </c>
      <c r="F409" s="3690" t="s">
        <v>4137</v>
      </c>
      <c r="G409" s="3664" t="s">
        <v>3068</v>
      </c>
      <c r="H409" s="3664" t="s">
        <v>3069</v>
      </c>
      <c r="I409" s="3691">
        <v>1536</v>
      </c>
      <c r="J409" s="3691">
        <v>2</v>
      </c>
      <c r="K409" s="3691">
        <v>384</v>
      </c>
      <c r="L409" s="3691">
        <f t="shared" si="160"/>
        <v>4</v>
      </c>
      <c r="M409" s="3659">
        <v>45849</v>
      </c>
      <c r="N409" s="3659">
        <v>45849</v>
      </c>
      <c r="O409" s="3664" t="s">
        <v>4122</v>
      </c>
      <c r="P409" s="3682" t="s">
        <v>82</v>
      </c>
      <c r="Q409" s="3682"/>
      <c r="R409" s="4083"/>
      <c r="S409" s="4083"/>
      <c r="T409" s="4083"/>
      <c r="U409" s="3645" t="s">
        <v>4123</v>
      </c>
      <c r="V409" s="3649" t="s">
        <v>3703</v>
      </c>
      <c r="W409" s="3657"/>
      <c r="X409" s="3657" t="s">
        <v>4124</v>
      </c>
      <c r="Y409" s="3657" t="s">
        <v>4125</v>
      </c>
      <c r="Z409" s="4421"/>
      <c r="AA409" s="3620" t="s">
        <v>3863</v>
      </c>
      <c r="AB409" s="3691" t="s">
        <v>3076</v>
      </c>
      <c r="AC409" s="4087">
        <v>531.79</v>
      </c>
      <c r="AD409" s="3691">
        <f>AC409*L409</f>
        <v>2127.16</v>
      </c>
      <c r="AE409" s="3645" t="s">
        <v>4138</v>
      </c>
      <c r="AF409" s="3664" t="s">
        <v>3078</v>
      </c>
      <c r="AG409" s="3645" t="s">
        <v>416</v>
      </c>
      <c r="AH409" s="905"/>
      <c r="AI409" s="3691"/>
      <c r="AJ409" s="3691">
        <f t="shared" si="176"/>
        <v>1536</v>
      </c>
      <c r="AK409" s="905"/>
      <c r="AL409" s="3664"/>
      <c r="AM409" s="3664"/>
      <c r="AN409" s="3691"/>
      <c r="AO409" s="3691">
        <f t="shared" si="175"/>
        <v>1536</v>
      </c>
      <c r="AP409" s="3691"/>
      <c r="AQ409" s="4089"/>
      <c r="AR409" s="4382"/>
      <c r="AS409" s="4089">
        <f t="shared" si="174"/>
        <v>1536</v>
      </c>
      <c r="AT409" s="4382"/>
      <c r="AU409" s="4089"/>
      <c r="AV409" s="4089"/>
      <c r="AW409" s="4089"/>
      <c r="AX409" s="4089"/>
      <c r="AY409" s="4089"/>
      <c r="AZ409" s="4089"/>
      <c r="BA409" s="4089"/>
      <c r="BB409" s="4089">
        <f>I409/2</f>
        <v>768</v>
      </c>
      <c r="BC409" s="4089"/>
      <c r="BD409" s="4089"/>
      <c r="BE409" s="4089"/>
      <c r="BF409" s="4089" t="s">
        <v>682</v>
      </c>
      <c r="BG409" s="4089"/>
      <c r="BH409" s="4089">
        <f t="shared" si="177"/>
        <v>256</v>
      </c>
      <c r="BI409" s="4089">
        <f t="shared" si="178"/>
        <v>256</v>
      </c>
      <c r="BJ409" s="4089">
        <f t="shared" si="179"/>
        <v>256</v>
      </c>
      <c r="BK409" s="4089">
        <f t="shared" si="180"/>
        <v>256</v>
      </c>
      <c r="BL409" s="4089">
        <f t="shared" si="181"/>
        <v>256</v>
      </c>
      <c r="BM409" s="4089">
        <f t="shared" si="182"/>
        <v>204.8</v>
      </c>
      <c r="BN409" s="4089">
        <f t="shared" si="159"/>
        <v>51.2</v>
      </c>
      <c r="BO409" s="907"/>
      <c r="BP409" s="907"/>
      <c r="BQ409" s="907"/>
      <c r="BR409" s="907"/>
      <c r="BS409" s="907"/>
      <c r="BT409" s="910"/>
      <c r="BU409" s="911"/>
      <c r="BV409" s="4385">
        <f t="shared" si="162"/>
        <v>1536</v>
      </c>
      <c r="BW409" s="4386">
        <f t="shared" si="173"/>
        <v>0</v>
      </c>
      <c r="BX409" s="4387"/>
      <c r="BY409" s="4387"/>
      <c r="BZ409" s="4387"/>
      <c r="CA409" s="4391" t="str">
        <f>VLOOKUP(D409&amp;G409&amp;H409&amp;I409,'9298 版本变更明细'!C:AJ,34,FALSE)</f>
        <v>C版本收缩膜+A版本指南+口水胶+C版本配件包（香味贴纸/指定配件）</v>
      </c>
      <c r="CC409" s="4392">
        <v>45849</v>
      </c>
      <c r="CD409" s="4391" t="s">
        <v>4099</v>
      </c>
    </row>
    <row r="410" s="4025" customFormat="1" ht="50" customHeight="1" spans="1:82">
      <c r="A410" s="3688">
        <v>45808</v>
      </c>
      <c r="B410" s="3689" t="s">
        <v>2732</v>
      </c>
      <c r="C410" s="3664" t="s">
        <v>840</v>
      </c>
      <c r="D410" s="3690">
        <v>4500168659</v>
      </c>
      <c r="E410" s="3664">
        <v>29145155</v>
      </c>
      <c r="F410" s="3690" t="s">
        <v>4139</v>
      </c>
      <c r="G410" s="3664" t="s">
        <v>2577</v>
      </c>
      <c r="H410" s="3664" t="s">
        <v>2578</v>
      </c>
      <c r="I410" s="3691">
        <v>1560</v>
      </c>
      <c r="J410" s="3691">
        <v>0</v>
      </c>
      <c r="K410" s="3691">
        <v>12</v>
      </c>
      <c r="L410" s="3691">
        <f t="shared" si="160"/>
        <v>130</v>
      </c>
      <c r="M410" s="3659">
        <v>45850</v>
      </c>
      <c r="N410" s="3659">
        <v>45850</v>
      </c>
      <c r="O410" s="4085"/>
      <c r="P410" s="3682" t="s">
        <v>82</v>
      </c>
      <c r="Q410" s="3682"/>
      <c r="R410" s="4083"/>
      <c r="S410" s="4083"/>
      <c r="T410" s="4083"/>
      <c r="U410" s="3645" t="s">
        <v>4042</v>
      </c>
      <c r="V410" s="3649" t="s">
        <v>3992</v>
      </c>
      <c r="W410" s="3657"/>
      <c r="X410" s="3657" t="s">
        <v>98</v>
      </c>
      <c r="Y410" s="3657"/>
      <c r="Z410" s="4395"/>
      <c r="AA410" s="3620" t="s">
        <v>4140</v>
      </c>
      <c r="AB410" s="3691" t="s">
        <v>4141</v>
      </c>
      <c r="AC410" s="3691">
        <v>2.1392</v>
      </c>
      <c r="AD410" s="3691">
        <f>AC410*I410</f>
        <v>3337.152</v>
      </c>
      <c r="AE410" s="3645" t="s">
        <v>4142</v>
      </c>
      <c r="AF410" s="3664" t="s">
        <v>2577</v>
      </c>
      <c r="AG410" s="3645" t="s">
        <v>416</v>
      </c>
      <c r="AH410" s="3708"/>
      <c r="AI410" s="3691">
        <f>I410</f>
        <v>1560</v>
      </c>
      <c r="AJ410" s="3691"/>
      <c r="AK410" s="3708"/>
      <c r="AL410" s="3664"/>
      <c r="AM410" s="3664"/>
      <c r="AN410" s="3691"/>
      <c r="AO410" s="3691">
        <f t="shared" si="175"/>
        <v>1560</v>
      </c>
      <c r="AP410" s="3691"/>
      <c r="AQ410" s="4089"/>
      <c r="AR410" s="1048"/>
      <c r="AS410" s="4089">
        <f t="shared" si="174"/>
        <v>1560</v>
      </c>
      <c r="AT410" s="1048"/>
      <c r="AU410" s="4089"/>
      <c r="AV410" s="4089">
        <f>I410/6</f>
        <v>260</v>
      </c>
      <c r="AW410" s="4089"/>
      <c r="AX410" s="4089"/>
      <c r="AY410" s="4089"/>
      <c r="AZ410" s="4089"/>
      <c r="BA410" s="4089"/>
      <c r="BB410" s="4089"/>
      <c r="BC410" s="4089"/>
      <c r="BD410" s="4089"/>
      <c r="BE410" s="4089"/>
      <c r="BF410" s="4089" t="s">
        <v>89</v>
      </c>
      <c r="BG410" s="4089"/>
      <c r="BH410" s="4089">
        <f t="shared" si="177"/>
        <v>260</v>
      </c>
      <c r="BI410" s="4089">
        <f t="shared" si="178"/>
        <v>260</v>
      </c>
      <c r="BJ410" s="4089">
        <f t="shared" si="179"/>
        <v>260</v>
      </c>
      <c r="BK410" s="4089">
        <f t="shared" si="180"/>
        <v>260</v>
      </c>
      <c r="BL410" s="4089">
        <f t="shared" si="181"/>
        <v>260</v>
      </c>
      <c r="BM410" s="4089">
        <f t="shared" si="182"/>
        <v>208</v>
      </c>
      <c r="BN410" s="4089">
        <f t="shared" si="159"/>
        <v>52</v>
      </c>
      <c r="BO410" s="4413"/>
      <c r="BP410" s="4413"/>
      <c r="BQ410" s="4413"/>
      <c r="BR410" s="4413"/>
      <c r="BS410" s="4413"/>
      <c r="BT410" s="4431"/>
      <c r="BU410" s="4432"/>
      <c r="BV410" s="4385">
        <f t="shared" si="162"/>
        <v>1560</v>
      </c>
      <c r="BW410" s="4386">
        <f t="shared" si="173"/>
        <v>0</v>
      </c>
      <c r="BX410" s="4387"/>
      <c r="BY410" s="4387"/>
      <c r="BZ410" s="4387"/>
      <c r="CA410" s="4391" t="str">
        <f>VLOOKUP(D410&amp;G410&amp;H410&amp;I410,'9298 版本变更明细'!C:AJ,34,FALSE)</f>
        <v>B版本膜+A版本指南+口水胶+C版本配件包（香味贴纸/指定配件）</v>
      </c>
      <c r="CC410" s="4392" t="s">
        <v>4036</v>
      </c>
      <c r="CD410" s="4391" t="s">
        <v>4143</v>
      </c>
    </row>
    <row r="411" s="4025" customFormat="1" ht="50" customHeight="1" spans="1:82">
      <c r="A411" s="4429">
        <v>45810</v>
      </c>
      <c r="B411" s="4080" t="s">
        <v>2732</v>
      </c>
      <c r="C411" s="3663" t="s">
        <v>840</v>
      </c>
      <c r="D411" s="3690">
        <v>4500168620</v>
      </c>
      <c r="E411" s="3664">
        <v>29145148</v>
      </c>
      <c r="F411" s="3690" t="s">
        <v>4144</v>
      </c>
      <c r="G411" s="3664" t="s">
        <v>2577</v>
      </c>
      <c r="H411" s="3664" t="s">
        <v>2578</v>
      </c>
      <c r="I411" s="3691">
        <v>840</v>
      </c>
      <c r="J411" s="3691">
        <v>0</v>
      </c>
      <c r="K411" s="3691">
        <v>12</v>
      </c>
      <c r="L411" s="3691">
        <f t="shared" si="160"/>
        <v>70</v>
      </c>
      <c r="M411" s="3659">
        <v>45850</v>
      </c>
      <c r="N411" s="3659">
        <v>45850</v>
      </c>
      <c r="O411" s="4085"/>
      <c r="P411" s="3682" t="s">
        <v>82</v>
      </c>
      <c r="Q411" s="3682"/>
      <c r="R411" s="4083"/>
      <c r="S411" s="4083"/>
      <c r="T411" s="4083"/>
      <c r="U411" s="3645" t="s">
        <v>4123</v>
      </c>
      <c r="V411" s="3649" t="s">
        <v>3992</v>
      </c>
      <c r="W411" s="3657"/>
      <c r="X411" s="3657" t="s">
        <v>98</v>
      </c>
      <c r="Y411" s="3657"/>
      <c r="Z411" s="4395"/>
      <c r="AA411" s="3620" t="s">
        <v>4145</v>
      </c>
      <c r="AB411" s="4084" t="s">
        <v>4141</v>
      </c>
      <c r="AC411" s="3691">
        <v>2.1438</v>
      </c>
      <c r="AD411" s="3691">
        <f>AC411*I411</f>
        <v>1800.792</v>
      </c>
      <c r="AE411" s="3645" t="s">
        <v>4146</v>
      </c>
      <c r="AF411" s="3664" t="s">
        <v>2577</v>
      </c>
      <c r="AG411" s="3645" t="s">
        <v>416</v>
      </c>
      <c r="AH411" s="3664"/>
      <c r="AI411" s="3691">
        <f>I411</f>
        <v>840</v>
      </c>
      <c r="AJ411" s="3691"/>
      <c r="AK411" s="3664"/>
      <c r="AL411" s="3664"/>
      <c r="AM411" s="3664"/>
      <c r="AN411" s="3691"/>
      <c r="AO411" s="3691">
        <f t="shared" si="175"/>
        <v>840</v>
      </c>
      <c r="AP411" s="3691"/>
      <c r="AQ411" s="4089"/>
      <c r="AR411" s="4089"/>
      <c r="AS411" s="4089">
        <f t="shared" si="174"/>
        <v>840</v>
      </c>
      <c r="AT411" s="4089"/>
      <c r="AU411" s="4089"/>
      <c r="AV411" s="4089">
        <f>I411/6</f>
        <v>140</v>
      </c>
      <c r="AW411" s="4089"/>
      <c r="AX411" s="4089"/>
      <c r="AY411" s="4089"/>
      <c r="AZ411" s="4089"/>
      <c r="BA411" s="4089"/>
      <c r="BB411" s="4089"/>
      <c r="BC411" s="4089"/>
      <c r="BD411" s="4089"/>
      <c r="BE411" s="4089"/>
      <c r="BF411" s="4089" t="s">
        <v>89</v>
      </c>
      <c r="BG411" s="4089"/>
      <c r="BH411" s="4089">
        <f t="shared" si="177"/>
        <v>140</v>
      </c>
      <c r="BI411" s="4089">
        <f t="shared" si="178"/>
        <v>140</v>
      </c>
      <c r="BJ411" s="4089">
        <f t="shared" si="179"/>
        <v>140</v>
      </c>
      <c r="BK411" s="4089">
        <f t="shared" si="180"/>
        <v>140</v>
      </c>
      <c r="BL411" s="4089">
        <f t="shared" si="181"/>
        <v>140</v>
      </c>
      <c r="BM411" s="4089">
        <f t="shared" si="182"/>
        <v>112</v>
      </c>
      <c r="BN411" s="4089">
        <f t="shared" si="159"/>
        <v>28</v>
      </c>
      <c r="BO411" s="4089"/>
      <c r="BP411" s="4089"/>
      <c r="BQ411" s="4089"/>
      <c r="BR411" s="4089"/>
      <c r="BS411" s="4089"/>
      <c r="BT411" s="4404"/>
      <c r="BU411" s="4403"/>
      <c r="BV411" s="4385">
        <f t="shared" si="162"/>
        <v>840</v>
      </c>
      <c r="BW411" s="4386">
        <f t="shared" si="173"/>
        <v>0</v>
      </c>
      <c r="BX411" s="4387"/>
      <c r="BY411" s="4387"/>
      <c r="BZ411" s="4387"/>
      <c r="CA411" s="4391" t="str">
        <f>VLOOKUP(D411&amp;G411&amp;H411&amp;I411,'9298 版本变更明细'!C:AJ,34,FALSE)</f>
        <v>B版本膜+A版本指南+口水胶+C版本配件包（香味贴纸/指定配件）</v>
      </c>
      <c r="CC411" s="4392" t="s">
        <v>4036</v>
      </c>
      <c r="CD411" s="4391" t="s">
        <v>4143</v>
      </c>
    </row>
    <row r="412" s="4025" customFormat="1" ht="50" customHeight="1" spans="1:82">
      <c r="A412" s="4429">
        <v>45750</v>
      </c>
      <c r="B412" s="4080" t="s">
        <v>1315</v>
      </c>
      <c r="C412" s="3663" t="s">
        <v>1316</v>
      </c>
      <c r="D412" s="3690">
        <v>4500166280</v>
      </c>
      <c r="E412" s="3664" t="s">
        <v>1490</v>
      </c>
      <c r="F412" s="3690" t="s">
        <v>1491</v>
      </c>
      <c r="G412" s="3664" t="s">
        <v>3821</v>
      </c>
      <c r="H412" s="3664" t="s">
        <v>1320</v>
      </c>
      <c r="I412" s="3691">
        <v>2852</v>
      </c>
      <c r="J412" s="3691">
        <v>0</v>
      </c>
      <c r="K412" s="3691">
        <v>4</v>
      </c>
      <c r="L412" s="3691">
        <f t="shared" si="160"/>
        <v>713</v>
      </c>
      <c r="M412" s="3659">
        <v>45850</v>
      </c>
      <c r="N412" s="3659">
        <v>45853</v>
      </c>
      <c r="O412" s="3664" t="s">
        <v>1472</v>
      </c>
      <c r="P412" s="3682" t="s">
        <v>82</v>
      </c>
      <c r="Q412" s="3682"/>
      <c r="R412" s="4083"/>
      <c r="S412" s="4083"/>
      <c r="T412" s="4083"/>
      <c r="U412" s="3645"/>
      <c r="V412" s="3649" t="s">
        <v>1322</v>
      </c>
      <c r="W412" s="3657"/>
      <c r="X412" s="3657" t="s">
        <v>1876</v>
      </c>
      <c r="Y412" s="3657"/>
      <c r="Z412" s="4421" t="s">
        <v>1492</v>
      </c>
      <c r="AA412" s="3620" t="s">
        <v>1376</v>
      </c>
      <c r="AB412" s="4084" t="s">
        <v>1326</v>
      </c>
      <c r="AC412" s="3691">
        <v>16.8855</v>
      </c>
      <c r="AD412" s="3691">
        <f>AC412*L412</f>
        <v>12039.3615</v>
      </c>
      <c r="AE412" s="3645"/>
      <c r="AF412" s="3664" t="s">
        <v>3822</v>
      </c>
      <c r="AG412" s="3645" t="s">
        <v>416</v>
      </c>
      <c r="AH412" s="3664"/>
      <c r="AI412" s="3691"/>
      <c r="AJ412" s="3691"/>
      <c r="AK412" s="3664"/>
      <c r="AL412" s="3664"/>
      <c r="AM412" s="3664"/>
      <c r="AN412" s="3691">
        <f>I412</f>
        <v>2852</v>
      </c>
      <c r="AO412" s="3691"/>
      <c r="AP412" s="3691"/>
      <c r="AQ412" s="4089">
        <f>I412</f>
        <v>2852</v>
      </c>
      <c r="AR412" s="4089"/>
      <c r="AS412" s="4089">
        <f t="shared" si="174"/>
        <v>2852</v>
      </c>
      <c r="AT412" s="4089"/>
      <c r="AU412" s="4089"/>
      <c r="AV412" s="4089"/>
      <c r="AW412" s="4089"/>
      <c r="AX412" s="4089"/>
      <c r="AY412" s="4089"/>
      <c r="AZ412" s="4089"/>
      <c r="BA412" s="4089"/>
      <c r="BB412" s="4089"/>
      <c r="BC412" s="4089">
        <f>I412/4</f>
        <v>713</v>
      </c>
      <c r="BD412" s="4089"/>
      <c r="BE412" s="4089"/>
      <c r="BF412" s="4089" t="s">
        <v>1327</v>
      </c>
      <c r="BG412" s="4089"/>
      <c r="BH412" s="4089">
        <f t="shared" si="177"/>
        <v>475.333333333333</v>
      </c>
      <c r="BI412" s="4089">
        <f t="shared" si="178"/>
        <v>475.333333333333</v>
      </c>
      <c r="BJ412" s="4089">
        <f t="shared" si="179"/>
        <v>475.333333333333</v>
      </c>
      <c r="BK412" s="4089">
        <f t="shared" si="180"/>
        <v>475.333333333333</v>
      </c>
      <c r="BL412" s="4089">
        <f t="shared" si="181"/>
        <v>475.333333333333</v>
      </c>
      <c r="BM412" s="4089">
        <f t="shared" si="182"/>
        <v>380.266666666667</v>
      </c>
      <c r="BN412" s="4089">
        <f t="shared" si="159"/>
        <v>95.0666666666667</v>
      </c>
      <c r="BO412" s="4089"/>
      <c r="BP412" s="4089"/>
      <c r="BQ412" s="4089"/>
      <c r="BR412" s="4089"/>
      <c r="BS412" s="4089"/>
      <c r="BT412" s="4404"/>
      <c r="BU412" s="4403"/>
      <c r="BV412" s="4385">
        <f t="shared" si="162"/>
        <v>2852</v>
      </c>
      <c r="BW412" s="4386">
        <f t="shared" si="173"/>
        <v>0</v>
      </c>
      <c r="BX412" s="4387"/>
      <c r="BY412" s="4387"/>
      <c r="BZ412" s="4387"/>
      <c r="CA412" s="4391" t="str">
        <f>VLOOKUP(D412&amp;G412&amp;H412&amp;I412,'9298 版本变更明细'!C:AJ,34,FALSE)</f>
        <v>A版本口水胶+C版本配件包（香味贴纸/指定配件）</v>
      </c>
      <c r="CC412" s="4392">
        <v>45853</v>
      </c>
      <c r="CD412" s="4391" t="s">
        <v>4143</v>
      </c>
    </row>
    <row r="413" s="4025" customFormat="1" ht="50" customHeight="1" spans="1:82">
      <c r="A413" s="4429">
        <v>45750</v>
      </c>
      <c r="B413" s="4080" t="s">
        <v>1315</v>
      </c>
      <c r="C413" s="3663" t="s">
        <v>1316</v>
      </c>
      <c r="D413" s="3690">
        <v>4500162577</v>
      </c>
      <c r="E413" s="3664" t="s">
        <v>1493</v>
      </c>
      <c r="F413" s="3690" t="s">
        <v>1494</v>
      </c>
      <c r="G413" s="3664" t="s">
        <v>3821</v>
      </c>
      <c r="H413" s="3664" t="s">
        <v>1320</v>
      </c>
      <c r="I413" s="3691">
        <v>900</v>
      </c>
      <c r="J413" s="3691">
        <v>0</v>
      </c>
      <c r="K413" s="3691">
        <v>4</v>
      </c>
      <c r="L413" s="3691">
        <f t="shared" si="160"/>
        <v>225</v>
      </c>
      <c r="M413" s="3659">
        <v>45850</v>
      </c>
      <c r="N413" s="3659">
        <v>45853</v>
      </c>
      <c r="O413" s="4085"/>
      <c r="P413" s="3682" t="s">
        <v>82</v>
      </c>
      <c r="Q413" s="3682"/>
      <c r="R413" s="4083"/>
      <c r="S413" s="4083"/>
      <c r="T413" s="4083"/>
      <c r="U413" s="3645" t="s">
        <v>401</v>
      </c>
      <c r="V413" s="3649" t="s">
        <v>1322</v>
      </c>
      <c r="W413" s="3657"/>
      <c r="X413" s="3657" t="s">
        <v>1907</v>
      </c>
      <c r="Y413" s="3657"/>
      <c r="Z413" s="4421" t="s">
        <v>1495</v>
      </c>
      <c r="AA413" s="3620" t="s">
        <v>1376</v>
      </c>
      <c r="AB413" s="4084" t="s">
        <v>1326</v>
      </c>
      <c r="AC413" s="3691">
        <v>16.9223</v>
      </c>
      <c r="AD413" s="3691">
        <f>AC413*L413</f>
        <v>3807.5175</v>
      </c>
      <c r="AE413" s="3645"/>
      <c r="AF413" s="3664" t="s">
        <v>3822</v>
      </c>
      <c r="AG413" s="3645" t="s">
        <v>416</v>
      </c>
      <c r="AH413" s="3664"/>
      <c r="AI413" s="3691"/>
      <c r="AJ413" s="3691"/>
      <c r="AK413" s="3664"/>
      <c r="AL413" s="3664"/>
      <c r="AM413" s="3664"/>
      <c r="AN413" s="3691">
        <f>I413</f>
        <v>900</v>
      </c>
      <c r="AO413" s="3691"/>
      <c r="AP413" s="3691"/>
      <c r="AQ413" s="4089">
        <f>I413</f>
        <v>900</v>
      </c>
      <c r="AR413" s="4089"/>
      <c r="AS413" s="4089">
        <f t="shared" si="174"/>
        <v>900</v>
      </c>
      <c r="AT413" s="4089"/>
      <c r="AU413" s="4089"/>
      <c r="AV413" s="4089"/>
      <c r="AW413" s="4089"/>
      <c r="AX413" s="4089"/>
      <c r="AY413" s="4089"/>
      <c r="AZ413" s="4089"/>
      <c r="BA413" s="4089"/>
      <c r="BB413" s="4089"/>
      <c r="BC413" s="4089">
        <f>I413/4</f>
        <v>225</v>
      </c>
      <c r="BD413" s="4089"/>
      <c r="BE413" s="4089"/>
      <c r="BF413" s="4089" t="s">
        <v>1327</v>
      </c>
      <c r="BG413" s="4089"/>
      <c r="BH413" s="4089">
        <f t="shared" si="177"/>
        <v>150</v>
      </c>
      <c r="BI413" s="4089">
        <f t="shared" si="178"/>
        <v>150</v>
      </c>
      <c r="BJ413" s="4089">
        <f t="shared" si="179"/>
        <v>150</v>
      </c>
      <c r="BK413" s="4089">
        <f t="shared" si="180"/>
        <v>150</v>
      </c>
      <c r="BL413" s="4089">
        <f t="shared" si="181"/>
        <v>150</v>
      </c>
      <c r="BM413" s="4089">
        <f t="shared" si="182"/>
        <v>120</v>
      </c>
      <c r="BN413" s="4089">
        <f t="shared" si="159"/>
        <v>30</v>
      </c>
      <c r="BO413" s="4089"/>
      <c r="BP413" s="4089"/>
      <c r="BQ413" s="4089"/>
      <c r="BR413" s="4089"/>
      <c r="BS413" s="4089"/>
      <c r="BT413" s="4404"/>
      <c r="BU413" s="4403"/>
      <c r="BV413" s="4385">
        <f t="shared" si="162"/>
        <v>900</v>
      </c>
      <c r="BW413" s="4386">
        <f t="shared" si="173"/>
        <v>0</v>
      </c>
      <c r="BX413" s="4387"/>
      <c r="BY413" s="4387"/>
      <c r="BZ413" s="4387"/>
      <c r="CA413" s="4391" t="str">
        <f>VLOOKUP(D413&amp;G413&amp;H413&amp;I413,'9298 版本变更明细'!C:AJ,34,FALSE)</f>
        <v>A版本口水胶+C版本配件包（香味贴纸/指定配件）</v>
      </c>
      <c r="CC413" s="4392">
        <v>45853</v>
      </c>
      <c r="CD413" s="4391" t="s">
        <v>4143</v>
      </c>
    </row>
    <row r="414" s="4025" customFormat="1" ht="50" customHeight="1" spans="1:82">
      <c r="A414" s="3688">
        <v>45812</v>
      </c>
      <c r="B414" s="3689" t="s">
        <v>2732</v>
      </c>
      <c r="C414" s="3664" t="s">
        <v>840</v>
      </c>
      <c r="D414" s="3690">
        <v>4500168930</v>
      </c>
      <c r="E414" s="3664" t="s">
        <v>4147</v>
      </c>
      <c r="F414" s="3690" t="s">
        <v>4148</v>
      </c>
      <c r="G414" s="3664" t="s">
        <v>3352</v>
      </c>
      <c r="H414" s="3664" t="s">
        <v>3353</v>
      </c>
      <c r="I414" s="3691">
        <v>2604</v>
      </c>
      <c r="J414" s="3691">
        <v>0</v>
      </c>
      <c r="K414" s="3691">
        <v>12</v>
      </c>
      <c r="L414" s="3691">
        <f t="shared" si="160"/>
        <v>217</v>
      </c>
      <c r="M414" s="3659">
        <v>45852</v>
      </c>
      <c r="N414" s="3659">
        <v>45852</v>
      </c>
      <c r="O414" s="4098" t="s">
        <v>4106</v>
      </c>
      <c r="P414" s="3682" t="s">
        <v>82</v>
      </c>
      <c r="Q414" s="3682"/>
      <c r="R414" s="4083"/>
      <c r="S414" s="4083"/>
      <c r="T414" s="4083"/>
      <c r="U414" s="3645" t="s">
        <v>4123</v>
      </c>
      <c r="V414" s="3649" t="s">
        <v>4149</v>
      </c>
      <c r="W414" s="3657"/>
      <c r="X414" s="3657" t="s">
        <v>98</v>
      </c>
      <c r="Y414" s="3657"/>
      <c r="Z414" s="4395"/>
      <c r="AA414" s="3620" t="s">
        <v>4150</v>
      </c>
      <c r="AB414" s="3691" t="s">
        <v>4141</v>
      </c>
      <c r="AC414" s="3691">
        <v>4.7601</v>
      </c>
      <c r="AD414" s="3691">
        <f t="shared" ref="AD414:AD454" si="183">AC414*I414</f>
        <v>12395.3004</v>
      </c>
      <c r="AE414" s="3645"/>
      <c r="AF414" s="3664" t="s">
        <v>3356</v>
      </c>
      <c r="AG414" s="3645" t="s">
        <v>416</v>
      </c>
      <c r="AH414" s="905"/>
      <c r="AI414" s="3691"/>
      <c r="AJ414" s="3691">
        <f>I414</f>
        <v>2604</v>
      </c>
      <c r="AK414" s="905"/>
      <c r="AL414" s="3664"/>
      <c r="AM414" s="3664"/>
      <c r="AN414" s="3691"/>
      <c r="AO414" s="3691">
        <f>I414</f>
        <v>2604</v>
      </c>
      <c r="AP414" s="3691"/>
      <c r="AQ414" s="4089"/>
      <c r="AR414" s="4382"/>
      <c r="AS414" s="4089">
        <f t="shared" si="174"/>
        <v>2604</v>
      </c>
      <c r="AT414" s="4382"/>
      <c r="AU414" s="4089"/>
      <c r="AV414" s="4089"/>
      <c r="AW414" s="4089"/>
      <c r="AX414" s="4089"/>
      <c r="AY414" s="4089"/>
      <c r="AZ414" s="4089"/>
      <c r="BA414" s="4089"/>
      <c r="BB414" s="4089"/>
      <c r="BC414" s="4089">
        <f>I414</f>
        <v>2604</v>
      </c>
      <c r="BD414" s="4089"/>
      <c r="BE414" s="4089"/>
      <c r="BF414" s="4089" t="s">
        <v>89</v>
      </c>
      <c r="BG414" s="4089"/>
      <c r="BH414" s="4089">
        <f t="shared" si="177"/>
        <v>434</v>
      </c>
      <c r="BI414" s="4089">
        <f t="shared" si="178"/>
        <v>434</v>
      </c>
      <c r="BJ414" s="4089">
        <f t="shared" si="179"/>
        <v>434</v>
      </c>
      <c r="BK414" s="4403">
        <f t="shared" si="180"/>
        <v>434</v>
      </c>
      <c r="BL414" s="4385">
        <f t="shared" si="181"/>
        <v>434</v>
      </c>
      <c r="BM414" s="4403">
        <f t="shared" si="182"/>
        <v>347.2</v>
      </c>
      <c r="BN414" s="4089">
        <f t="shared" si="159"/>
        <v>86.8</v>
      </c>
      <c r="BO414" s="907"/>
      <c r="BP414" s="907"/>
      <c r="BQ414" s="907"/>
      <c r="BR414" s="907"/>
      <c r="BS414" s="907"/>
      <c r="BT414" s="910"/>
      <c r="BU414" s="911"/>
      <c r="BV414" s="4385">
        <f t="shared" si="162"/>
        <v>2604</v>
      </c>
      <c r="BW414" s="4386">
        <f t="shared" si="173"/>
        <v>0</v>
      </c>
      <c r="BX414" s="4387"/>
      <c r="BY414" s="4387"/>
      <c r="BZ414" s="4387"/>
      <c r="CA414" s="4391" t="str">
        <f>VLOOKUP(D414&amp;G414&amp;H414&amp;I414,'9298 版本变更明细'!C:AJ,34,FALSE)</f>
        <v>C版本收缩膜+A版本指南+口水胶+C版本配件包（香味贴纸/指定配件）</v>
      </c>
      <c r="CC414" s="4392" t="s">
        <v>4036</v>
      </c>
      <c r="CD414" s="4391" t="s">
        <v>4143</v>
      </c>
    </row>
    <row r="415" s="4312" customFormat="1" ht="50" customHeight="1" spans="1:82">
      <c r="A415" s="3688">
        <v>45812</v>
      </c>
      <c r="B415" s="3689" t="s">
        <v>2732</v>
      </c>
      <c r="C415" s="3664" t="s">
        <v>840</v>
      </c>
      <c r="D415" s="3690">
        <v>4500168934</v>
      </c>
      <c r="E415" s="3664">
        <v>29083575</v>
      </c>
      <c r="F415" s="3690" t="s">
        <v>4151</v>
      </c>
      <c r="G415" s="3664" t="s">
        <v>3352</v>
      </c>
      <c r="H415" s="3664" t="s">
        <v>3353</v>
      </c>
      <c r="I415" s="3691">
        <v>1404</v>
      </c>
      <c r="J415" s="3691">
        <v>0</v>
      </c>
      <c r="K415" s="3691">
        <v>12</v>
      </c>
      <c r="L415" s="3691">
        <f t="shared" si="160"/>
        <v>117</v>
      </c>
      <c r="M415" s="3659">
        <v>45852</v>
      </c>
      <c r="N415" s="3659">
        <v>45852</v>
      </c>
      <c r="O415" s="4098" t="s">
        <v>4106</v>
      </c>
      <c r="P415" s="3682" t="s">
        <v>82</v>
      </c>
      <c r="Q415" s="3682"/>
      <c r="R415" s="4083"/>
      <c r="S415" s="4083"/>
      <c r="T415" s="4083"/>
      <c r="U415" s="3645" t="s">
        <v>1504</v>
      </c>
      <c r="V415" s="3649" t="s">
        <v>4149</v>
      </c>
      <c r="W415" s="3657"/>
      <c r="X415" s="3657" t="s">
        <v>98</v>
      </c>
      <c r="Y415" s="3657"/>
      <c r="Z415" s="4395"/>
      <c r="AA415" s="3620" t="s">
        <v>4150</v>
      </c>
      <c r="AB415" s="3691" t="s">
        <v>4141</v>
      </c>
      <c r="AC415" s="3691">
        <v>4.7923</v>
      </c>
      <c r="AD415" s="3691">
        <f t="shared" si="183"/>
        <v>6728.3892</v>
      </c>
      <c r="AE415" s="3645" t="s">
        <v>4152</v>
      </c>
      <c r="AF415" s="3664" t="s">
        <v>3356</v>
      </c>
      <c r="AG415" s="3645" t="s">
        <v>416</v>
      </c>
      <c r="AH415" s="905"/>
      <c r="AI415" s="3691"/>
      <c r="AJ415" s="3691">
        <f>I415</f>
        <v>1404</v>
      </c>
      <c r="AK415" s="905"/>
      <c r="AL415" s="3664"/>
      <c r="AM415" s="3664"/>
      <c r="AN415" s="3691"/>
      <c r="AO415" s="3691">
        <f>I415</f>
        <v>1404</v>
      </c>
      <c r="AP415" s="3691"/>
      <c r="AQ415" s="4089"/>
      <c r="AR415" s="4382"/>
      <c r="AS415" s="4089">
        <f t="shared" si="174"/>
        <v>1404</v>
      </c>
      <c r="AT415" s="4382"/>
      <c r="AU415" s="4089"/>
      <c r="AV415" s="4089"/>
      <c r="AW415" s="4089"/>
      <c r="AX415" s="4089"/>
      <c r="AY415" s="4089"/>
      <c r="AZ415" s="4089"/>
      <c r="BA415" s="4089"/>
      <c r="BB415" s="4089"/>
      <c r="BC415" s="4089">
        <f>I415</f>
        <v>1404</v>
      </c>
      <c r="BD415" s="4089"/>
      <c r="BE415" s="4089"/>
      <c r="BF415" s="4089" t="s">
        <v>89</v>
      </c>
      <c r="BG415" s="4089"/>
      <c r="BH415" s="4089">
        <f t="shared" si="177"/>
        <v>234</v>
      </c>
      <c r="BI415" s="4089">
        <f t="shared" si="178"/>
        <v>234</v>
      </c>
      <c r="BJ415" s="4089">
        <f t="shared" si="179"/>
        <v>234</v>
      </c>
      <c r="BK415" s="4403">
        <f t="shared" si="180"/>
        <v>234</v>
      </c>
      <c r="BL415" s="4385">
        <f t="shared" si="181"/>
        <v>234</v>
      </c>
      <c r="BM415" s="4403">
        <f t="shared" si="182"/>
        <v>187.2</v>
      </c>
      <c r="BN415" s="4089">
        <f t="shared" si="159"/>
        <v>46.8</v>
      </c>
      <c r="BO415" s="907"/>
      <c r="BP415" s="907"/>
      <c r="BQ415" s="907"/>
      <c r="BR415" s="907"/>
      <c r="BS415" s="907"/>
      <c r="BT415" s="910"/>
      <c r="BU415" s="911"/>
      <c r="BV415" s="4385">
        <f t="shared" si="162"/>
        <v>1404</v>
      </c>
      <c r="BW415" s="4386">
        <f t="shared" si="173"/>
        <v>0</v>
      </c>
      <c r="BX415" s="4387"/>
      <c r="BY415" s="4387"/>
      <c r="BZ415" s="4387"/>
      <c r="CA415" s="4391" t="str">
        <f>VLOOKUP(D415&amp;G415&amp;H415&amp;I415,'9298 版本变更明细'!C:AJ,34,FALSE)</f>
        <v>C版本收缩膜+A版本指南+口水胶+C版本配件包（香味贴纸/指定配件）</v>
      </c>
      <c r="CC415" s="4392" t="s">
        <v>4036</v>
      </c>
      <c r="CD415" s="4391" t="s">
        <v>4143</v>
      </c>
    </row>
    <row r="416" s="4025" customFormat="1" ht="50" customHeight="1" spans="1:82">
      <c r="A416" s="3688">
        <v>45789</v>
      </c>
      <c r="B416" s="3689" t="s">
        <v>3744</v>
      </c>
      <c r="C416" s="3664" t="s">
        <v>91</v>
      </c>
      <c r="D416" s="3690">
        <v>4500163953</v>
      </c>
      <c r="E416" s="3664" t="s">
        <v>4153</v>
      </c>
      <c r="F416" s="3690" t="s">
        <v>1554</v>
      </c>
      <c r="G416" s="3664" t="s">
        <v>2608</v>
      </c>
      <c r="H416" s="3664" t="s">
        <v>2609</v>
      </c>
      <c r="I416" s="3691">
        <v>33684</v>
      </c>
      <c r="J416" s="3691">
        <v>0</v>
      </c>
      <c r="K416" s="3691">
        <v>6</v>
      </c>
      <c r="L416" s="3691">
        <f t="shared" si="160"/>
        <v>5614</v>
      </c>
      <c r="M416" s="3659">
        <v>45852</v>
      </c>
      <c r="N416" s="3659">
        <v>45862</v>
      </c>
      <c r="O416" s="4085"/>
      <c r="P416" s="3645" t="s">
        <v>82</v>
      </c>
      <c r="Q416" s="3645"/>
      <c r="R416" s="4424"/>
      <c r="S416" s="4424"/>
      <c r="T416" s="4424"/>
      <c r="U416" s="3645" t="s">
        <v>208</v>
      </c>
      <c r="V416" s="3649" t="s">
        <v>4154</v>
      </c>
      <c r="W416" s="3657"/>
      <c r="X416" s="3657" t="s">
        <v>98</v>
      </c>
      <c r="Y416" s="3657" t="s">
        <v>4155</v>
      </c>
      <c r="Z416" s="4395" t="s">
        <v>4156</v>
      </c>
      <c r="AA416" s="3620" t="s">
        <v>4157</v>
      </c>
      <c r="AB416" s="3691" t="s">
        <v>4158</v>
      </c>
      <c r="AC416" s="4087">
        <v>1.2484</v>
      </c>
      <c r="AD416" s="3691">
        <f t="shared" si="183"/>
        <v>42051.1056</v>
      </c>
      <c r="AE416" s="3645"/>
      <c r="AF416" s="3664" t="s">
        <v>2608</v>
      </c>
      <c r="AG416" s="3645" t="s">
        <v>416</v>
      </c>
      <c r="AH416" s="4430"/>
      <c r="AI416" s="3691"/>
      <c r="AJ416" s="3691"/>
      <c r="AK416" s="3708"/>
      <c r="AL416" s="3664"/>
      <c r="AM416" s="3664"/>
      <c r="AN416" s="3691">
        <f>I416</f>
        <v>33684</v>
      </c>
      <c r="AO416" s="3691"/>
      <c r="AP416" s="3691">
        <f t="shared" ref="AP416:AP430" si="184">I416</f>
        <v>33684</v>
      </c>
      <c r="AQ416" s="4089"/>
      <c r="AR416" s="1048"/>
      <c r="AS416" s="4089">
        <f t="shared" si="174"/>
        <v>33684</v>
      </c>
      <c r="AT416" s="1048"/>
      <c r="AU416" s="4089"/>
      <c r="AV416" s="4089"/>
      <c r="AW416" s="4089"/>
      <c r="AX416" s="4089"/>
      <c r="AY416" s="4089"/>
      <c r="AZ416" s="4089"/>
      <c r="BA416" s="4089"/>
      <c r="BB416" s="4089"/>
      <c r="BC416" s="4089"/>
      <c r="BD416" s="4089"/>
      <c r="BE416" s="4089"/>
      <c r="BF416" s="4089" t="s">
        <v>89</v>
      </c>
      <c r="BG416" s="4089"/>
      <c r="BH416" s="4089">
        <f t="shared" si="177"/>
        <v>5614</v>
      </c>
      <c r="BI416" s="4089">
        <f t="shared" si="178"/>
        <v>5614</v>
      </c>
      <c r="BJ416" s="4089">
        <f t="shared" si="179"/>
        <v>5614</v>
      </c>
      <c r="BK416" s="4403">
        <f t="shared" si="180"/>
        <v>5614</v>
      </c>
      <c r="BL416" s="4385">
        <f t="shared" si="181"/>
        <v>5614</v>
      </c>
      <c r="BM416" s="4403">
        <f t="shared" si="182"/>
        <v>4491.2</v>
      </c>
      <c r="BN416" s="4089">
        <f t="shared" si="159"/>
        <v>1122.8</v>
      </c>
      <c r="BO416" s="4413"/>
      <c r="BP416" s="4413"/>
      <c r="BQ416" s="4413"/>
      <c r="BR416" s="4413"/>
      <c r="BS416" s="4413"/>
      <c r="BT416" s="4431"/>
      <c r="BU416" s="4432"/>
      <c r="BV416" s="4385">
        <f t="shared" si="162"/>
        <v>33684</v>
      </c>
      <c r="BW416" s="4386">
        <f t="shared" si="173"/>
        <v>0</v>
      </c>
      <c r="BX416" s="4387"/>
      <c r="BY416" s="4387"/>
      <c r="BZ416" s="4387"/>
      <c r="CA416" s="4391" t="str">
        <f>VLOOKUP(D416&amp;G416&amp;H416&amp;I416,'9298 版本变更明细'!C:AJ,34,FALSE)</f>
        <v>A版本口水胶+B版本指南+C版本配件包（香味贴纸/指定配件）</v>
      </c>
      <c r="CB416" s="4388" t="str">
        <f>CA397</f>
        <v>C版本收缩膜+A版本指南+口水胶+C版本配件包（香味贴纸/指定配件）</v>
      </c>
      <c r="CC416" s="4392">
        <v>45856</v>
      </c>
      <c r="CD416" s="4391" t="s">
        <v>4159</v>
      </c>
    </row>
    <row r="417" s="4025" customFormat="1" ht="50" customHeight="1" spans="1:94">
      <c r="A417" s="3688">
        <v>45819</v>
      </c>
      <c r="B417" s="3689" t="s">
        <v>1016</v>
      </c>
      <c r="C417" s="3664" t="s">
        <v>396</v>
      </c>
      <c r="D417" s="3690">
        <v>4500169708</v>
      </c>
      <c r="E417" s="3664" t="s">
        <v>4160</v>
      </c>
      <c r="F417" s="3690" t="s">
        <v>4161</v>
      </c>
      <c r="G417" s="3664" t="s">
        <v>2676</v>
      </c>
      <c r="H417" s="3664" t="s">
        <v>2677</v>
      </c>
      <c r="I417" s="3691">
        <v>12</v>
      </c>
      <c r="J417" s="3691">
        <v>0</v>
      </c>
      <c r="K417" s="3691">
        <v>12</v>
      </c>
      <c r="L417" s="3691">
        <f t="shared" si="160"/>
        <v>1</v>
      </c>
      <c r="M417" s="3659">
        <v>45855</v>
      </c>
      <c r="N417" s="3659">
        <v>45860</v>
      </c>
      <c r="O417" s="3664" t="s">
        <v>4162</v>
      </c>
      <c r="P417" s="3682" t="s">
        <v>82</v>
      </c>
      <c r="Q417" s="3682"/>
      <c r="R417" s="4083"/>
      <c r="S417" s="4083"/>
      <c r="T417" s="4083"/>
      <c r="U417" s="3645" t="s">
        <v>1504</v>
      </c>
      <c r="V417" s="3649" t="s">
        <v>1479</v>
      </c>
      <c r="W417" s="3657"/>
      <c r="X417" s="3657" t="s">
        <v>4163</v>
      </c>
      <c r="Y417" s="3657" t="s">
        <v>1506</v>
      </c>
      <c r="Z417" s="3661"/>
      <c r="AA417" s="3620" t="s">
        <v>4164</v>
      </c>
      <c r="AB417" s="3691" t="s">
        <v>369</v>
      </c>
      <c r="AC417" s="3691">
        <v>2.0915</v>
      </c>
      <c r="AD417" s="3691">
        <f t="shared" si="183"/>
        <v>25.098</v>
      </c>
      <c r="AE417" s="3645"/>
      <c r="AF417" s="3664" t="s">
        <v>2676</v>
      </c>
      <c r="AG417" s="3645" t="s">
        <v>416</v>
      </c>
      <c r="AH417" s="4405"/>
      <c r="AI417" s="3691"/>
      <c r="AJ417" s="3691"/>
      <c r="AK417" s="4405"/>
      <c r="AL417" s="3664"/>
      <c r="AM417" s="3664">
        <f t="shared" ref="AM417:AM429" si="185">I417</f>
        <v>12</v>
      </c>
      <c r="AN417" s="3691"/>
      <c r="AO417" s="3691"/>
      <c r="AP417" s="3691">
        <f t="shared" si="184"/>
        <v>12</v>
      </c>
      <c r="AQ417" s="4089"/>
      <c r="AR417" s="4417"/>
      <c r="AS417" s="4089"/>
      <c r="AT417" s="4417"/>
      <c r="AU417" s="4089">
        <f t="shared" ref="AU417:AU429" si="186">I417</f>
        <v>12</v>
      </c>
      <c r="AV417" s="4089"/>
      <c r="AW417" s="4089"/>
      <c r="AX417" s="4089"/>
      <c r="AY417" s="4089"/>
      <c r="AZ417" s="4089"/>
      <c r="BA417" s="4089"/>
      <c r="BB417" s="4089"/>
      <c r="BC417" s="4089"/>
      <c r="BD417" s="4089"/>
      <c r="BE417" s="4089"/>
      <c r="BF417" s="4089" t="s">
        <v>89</v>
      </c>
      <c r="BG417" s="4089"/>
      <c r="BH417" s="4089"/>
      <c r="BI417" s="4089">
        <f>I417-BN417</f>
        <v>11.5862068965517</v>
      </c>
      <c r="BJ417" s="4089"/>
      <c r="BK417" s="4089"/>
      <c r="BL417" s="4089"/>
      <c r="BM417" s="4089"/>
      <c r="BN417" s="4089">
        <f t="shared" ref="BN417:BN429" si="187">I417/58*2</f>
        <v>0.413793103448276</v>
      </c>
      <c r="BO417" s="907"/>
      <c r="BP417" s="907"/>
      <c r="BQ417" s="907"/>
      <c r="BR417" s="907"/>
      <c r="BS417" s="907"/>
      <c r="BT417" s="910"/>
      <c r="BU417" s="911"/>
      <c r="BV417" s="4385">
        <f t="shared" si="162"/>
        <v>12</v>
      </c>
      <c r="BW417" s="4386">
        <f t="shared" si="173"/>
        <v>0</v>
      </c>
      <c r="BX417" s="4387"/>
      <c r="BY417" s="4387"/>
      <c r="BZ417" s="4387"/>
      <c r="CA417" s="4391"/>
      <c r="CC417" s="4392">
        <v>45860</v>
      </c>
      <c r="CD417" s="4391" t="s">
        <v>4165</v>
      </c>
    </row>
    <row r="418" s="4025" customFormat="1" ht="50" customHeight="1" spans="1:94">
      <c r="A418" s="3688">
        <v>45819</v>
      </c>
      <c r="B418" s="3689" t="s">
        <v>1016</v>
      </c>
      <c r="C418" s="3664" t="s">
        <v>396</v>
      </c>
      <c r="D418" s="3690">
        <v>4500169708</v>
      </c>
      <c r="E418" s="3664" t="s">
        <v>4166</v>
      </c>
      <c r="F418" s="3690" t="s">
        <v>4167</v>
      </c>
      <c r="G418" s="3664" t="s">
        <v>2680</v>
      </c>
      <c r="H418" s="3664" t="s">
        <v>2632</v>
      </c>
      <c r="I418" s="3691">
        <v>12</v>
      </c>
      <c r="J418" s="3691">
        <v>0</v>
      </c>
      <c r="K418" s="3691">
        <v>12</v>
      </c>
      <c r="L418" s="3691">
        <f t="shared" si="160"/>
        <v>1</v>
      </c>
      <c r="M418" s="3659">
        <v>45855</v>
      </c>
      <c r="N418" s="3659">
        <v>45860</v>
      </c>
      <c r="O418" s="4085"/>
      <c r="P418" s="3682" t="s">
        <v>82</v>
      </c>
      <c r="Q418" s="3682"/>
      <c r="R418" s="4083"/>
      <c r="S418" s="4083"/>
      <c r="T418" s="4083"/>
      <c r="U418" s="3645" t="s">
        <v>1504</v>
      </c>
      <c r="V418" s="3649" t="s">
        <v>1479</v>
      </c>
      <c r="W418" s="3657"/>
      <c r="X418" s="3657" t="s">
        <v>4163</v>
      </c>
      <c r="Y418" s="3657" t="s">
        <v>1506</v>
      </c>
      <c r="Z418" s="3661"/>
      <c r="AA418" s="3620" t="s">
        <v>4164</v>
      </c>
      <c r="AB418" s="3691" t="s">
        <v>369</v>
      </c>
      <c r="AC418" s="3691">
        <v>2.0915</v>
      </c>
      <c r="AD418" s="3691">
        <f t="shared" si="183"/>
        <v>25.098</v>
      </c>
      <c r="AE418" s="3645"/>
      <c r="AF418" s="3664" t="s">
        <v>2680</v>
      </c>
      <c r="AG418" s="3645" t="s">
        <v>416</v>
      </c>
      <c r="AH418" s="4405"/>
      <c r="AI418" s="3691"/>
      <c r="AJ418" s="3691"/>
      <c r="AK418" s="4405"/>
      <c r="AL418" s="3664"/>
      <c r="AM418" s="3664">
        <f t="shared" si="185"/>
        <v>12</v>
      </c>
      <c r="AN418" s="3691"/>
      <c r="AO418" s="3691"/>
      <c r="AP418" s="3691">
        <f t="shared" si="184"/>
        <v>12</v>
      </c>
      <c r="AQ418" s="4089"/>
      <c r="AR418" s="4417"/>
      <c r="AS418" s="4089"/>
      <c r="AT418" s="4417"/>
      <c r="AU418" s="4089">
        <f t="shared" si="186"/>
        <v>12</v>
      </c>
      <c r="AV418" s="4089"/>
      <c r="AW418" s="4089"/>
      <c r="AX418" s="4089"/>
      <c r="AY418" s="4089"/>
      <c r="AZ418" s="4089"/>
      <c r="BA418" s="4089"/>
      <c r="BB418" s="4089"/>
      <c r="BC418" s="4089"/>
      <c r="BD418" s="4089"/>
      <c r="BE418" s="4089"/>
      <c r="BF418" s="4089" t="s">
        <v>89</v>
      </c>
      <c r="BG418" s="4089"/>
      <c r="BH418" s="4089"/>
      <c r="BI418" s="4089"/>
      <c r="BJ418" s="4089">
        <f>I418-BN418</f>
        <v>11.5862068965517</v>
      </c>
      <c r="BK418" s="4089"/>
      <c r="BL418" s="4089"/>
      <c r="BM418" s="4089"/>
      <c r="BN418" s="4089">
        <f t="shared" si="187"/>
        <v>0.413793103448276</v>
      </c>
      <c r="BO418" s="907"/>
      <c r="BP418" s="907"/>
      <c r="BQ418" s="907"/>
      <c r="BR418" s="907"/>
      <c r="BS418" s="907"/>
      <c r="BT418" s="910"/>
      <c r="BU418" s="911"/>
      <c r="BV418" s="4385">
        <f t="shared" si="162"/>
        <v>12</v>
      </c>
      <c r="BW418" s="4386">
        <f t="shared" si="173"/>
        <v>0</v>
      </c>
      <c r="BX418" s="4387"/>
      <c r="BY418" s="4387"/>
      <c r="BZ418" s="4387"/>
      <c r="CA418" s="4391"/>
      <c r="CC418" s="4392">
        <v>45860</v>
      </c>
      <c r="CD418" s="4391" t="s">
        <v>4165</v>
      </c>
    </row>
    <row r="419" s="4025" customFormat="1" ht="50" customHeight="1" spans="1:94">
      <c r="A419" s="4429">
        <v>45819</v>
      </c>
      <c r="B419" s="4080" t="s">
        <v>1016</v>
      </c>
      <c r="C419" s="3663" t="s">
        <v>396</v>
      </c>
      <c r="D419" s="3690">
        <v>4500169708</v>
      </c>
      <c r="E419" s="3664" t="s">
        <v>4168</v>
      </c>
      <c r="F419" s="3690" t="s">
        <v>4169</v>
      </c>
      <c r="G419" s="3664" t="s">
        <v>2680</v>
      </c>
      <c r="H419" s="3664" t="s">
        <v>2632</v>
      </c>
      <c r="I419" s="3691">
        <v>12</v>
      </c>
      <c r="J419" s="3691">
        <v>0</v>
      </c>
      <c r="K419" s="3691">
        <v>12</v>
      </c>
      <c r="L419" s="3691">
        <f t="shared" si="160"/>
        <v>1</v>
      </c>
      <c r="M419" s="3659">
        <v>45855</v>
      </c>
      <c r="N419" s="3659">
        <v>45860</v>
      </c>
      <c r="O419" s="4085"/>
      <c r="P419" s="3682" t="s">
        <v>82</v>
      </c>
      <c r="Q419" s="3682"/>
      <c r="R419" s="4083"/>
      <c r="S419" s="4083"/>
      <c r="T419" s="4083"/>
      <c r="U419" s="3645" t="s">
        <v>1504</v>
      </c>
      <c r="V419" s="3649" t="s">
        <v>1479</v>
      </c>
      <c r="W419" s="3649"/>
      <c r="X419" s="3657" t="s">
        <v>4163</v>
      </c>
      <c r="Y419" s="3657" t="s">
        <v>1506</v>
      </c>
      <c r="Z419" s="3661"/>
      <c r="AA419" s="3620" t="s">
        <v>4164</v>
      </c>
      <c r="AB419" s="4084" t="s">
        <v>369</v>
      </c>
      <c r="AC419" s="3691">
        <v>2.0915</v>
      </c>
      <c r="AD419" s="3691">
        <f t="shared" si="183"/>
        <v>25.098</v>
      </c>
      <c r="AE419" s="3645"/>
      <c r="AF419" s="3664" t="s">
        <v>2680</v>
      </c>
      <c r="AG419" s="3645" t="s">
        <v>416</v>
      </c>
      <c r="AH419" s="4405"/>
      <c r="AI419" s="3691"/>
      <c r="AJ419" s="3691"/>
      <c r="AK419" s="4405"/>
      <c r="AL419" s="3664"/>
      <c r="AM419" s="3664">
        <f t="shared" si="185"/>
        <v>12</v>
      </c>
      <c r="AN419" s="3691"/>
      <c r="AO419" s="3691"/>
      <c r="AP419" s="3691">
        <f t="shared" si="184"/>
        <v>12</v>
      </c>
      <c r="AQ419" s="4089"/>
      <c r="AR419" s="4417"/>
      <c r="AS419" s="4089"/>
      <c r="AT419" s="4417"/>
      <c r="AU419" s="4089">
        <f t="shared" si="186"/>
        <v>12</v>
      </c>
      <c r="AV419" s="4089"/>
      <c r="AW419" s="4089"/>
      <c r="AX419" s="4089"/>
      <c r="AY419" s="4089"/>
      <c r="AZ419" s="4089"/>
      <c r="BA419" s="4089"/>
      <c r="BB419" s="4089"/>
      <c r="BC419" s="4089"/>
      <c r="BD419" s="4089"/>
      <c r="BE419" s="4089"/>
      <c r="BF419" s="4089" t="s">
        <v>89</v>
      </c>
      <c r="BG419" s="4089"/>
      <c r="BH419" s="4089"/>
      <c r="BI419" s="4089"/>
      <c r="BJ419" s="4089">
        <f>I419-BN419</f>
        <v>11.5862068965517</v>
      </c>
      <c r="BK419" s="4089"/>
      <c r="BL419" s="4089"/>
      <c r="BM419" s="4089"/>
      <c r="BN419" s="4089">
        <f t="shared" si="187"/>
        <v>0.413793103448276</v>
      </c>
      <c r="BO419" s="907"/>
      <c r="BP419" s="907"/>
      <c r="BQ419" s="907"/>
      <c r="BR419" s="907"/>
      <c r="BS419" s="907"/>
      <c r="BT419" s="910"/>
      <c r="BU419" s="911"/>
      <c r="BV419" s="4385">
        <f t="shared" si="162"/>
        <v>12</v>
      </c>
      <c r="BW419" s="4386">
        <f t="shared" si="173"/>
        <v>0</v>
      </c>
      <c r="BX419" s="4387"/>
      <c r="BY419" s="4387"/>
      <c r="BZ419" s="4387"/>
      <c r="CA419" s="4391"/>
      <c r="CC419" s="4392">
        <v>45860</v>
      </c>
      <c r="CD419" s="4391" t="s">
        <v>4165</v>
      </c>
    </row>
    <row r="420" s="4025" customFormat="1" ht="50" customHeight="1" spans="1:94">
      <c r="A420" s="4429">
        <v>45819</v>
      </c>
      <c r="B420" s="4080" t="s">
        <v>1016</v>
      </c>
      <c r="C420" s="3663" t="s">
        <v>396</v>
      </c>
      <c r="D420" s="3690">
        <v>4500169708</v>
      </c>
      <c r="E420" s="3664" t="s">
        <v>4170</v>
      </c>
      <c r="F420" s="3690" t="s">
        <v>4171</v>
      </c>
      <c r="G420" s="3664" t="s">
        <v>2680</v>
      </c>
      <c r="H420" s="3664" t="s">
        <v>2632</v>
      </c>
      <c r="I420" s="3691">
        <v>12</v>
      </c>
      <c r="J420" s="3691">
        <v>0</v>
      </c>
      <c r="K420" s="3691">
        <v>12</v>
      </c>
      <c r="L420" s="3691">
        <f t="shared" si="160"/>
        <v>1</v>
      </c>
      <c r="M420" s="3659">
        <v>45855</v>
      </c>
      <c r="N420" s="3659">
        <v>45860</v>
      </c>
      <c r="O420" s="4085"/>
      <c r="P420" s="3682" t="s">
        <v>82</v>
      </c>
      <c r="Q420" s="3682"/>
      <c r="R420" s="4083"/>
      <c r="S420" s="4083"/>
      <c r="T420" s="4083"/>
      <c r="U420" s="3645" t="s">
        <v>1504</v>
      </c>
      <c r="V420" s="3649" t="s">
        <v>1479</v>
      </c>
      <c r="W420" s="3649"/>
      <c r="X420" s="3657" t="s">
        <v>4163</v>
      </c>
      <c r="Y420" s="3657" t="s">
        <v>1506</v>
      </c>
      <c r="Z420" s="3661"/>
      <c r="AA420" s="3620" t="s">
        <v>4164</v>
      </c>
      <c r="AB420" s="4084" t="s">
        <v>369</v>
      </c>
      <c r="AC420" s="3691">
        <v>2.0915</v>
      </c>
      <c r="AD420" s="3691">
        <f t="shared" si="183"/>
        <v>25.098</v>
      </c>
      <c r="AE420" s="3645"/>
      <c r="AF420" s="3664" t="s">
        <v>2680</v>
      </c>
      <c r="AG420" s="3645" t="s">
        <v>416</v>
      </c>
      <c r="AH420" s="4405"/>
      <c r="AI420" s="3691"/>
      <c r="AJ420" s="3691"/>
      <c r="AK420" s="4405"/>
      <c r="AL420" s="3664"/>
      <c r="AM420" s="3664">
        <f t="shared" si="185"/>
        <v>12</v>
      </c>
      <c r="AN420" s="3691"/>
      <c r="AO420" s="3691"/>
      <c r="AP420" s="3691">
        <f t="shared" si="184"/>
        <v>12</v>
      </c>
      <c r="AQ420" s="4089"/>
      <c r="AR420" s="4417"/>
      <c r="AS420" s="4089"/>
      <c r="AT420" s="4417"/>
      <c r="AU420" s="4089">
        <f t="shared" si="186"/>
        <v>12</v>
      </c>
      <c r="AV420" s="4089"/>
      <c r="AW420" s="4089"/>
      <c r="AX420" s="4089"/>
      <c r="AY420" s="4089"/>
      <c r="AZ420" s="4089"/>
      <c r="BA420" s="4089"/>
      <c r="BB420" s="4089"/>
      <c r="BC420" s="4089"/>
      <c r="BD420" s="4089"/>
      <c r="BE420" s="4089"/>
      <c r="BF420" s="4089" t="s">
        <v>89</v>
      </c>
      <c r="BG420" s="4089"/>
      <c r="BH420" s="4089"/>
      <c r="BI420" s="4089"/>
      <c r="BJ420" s="4089">
        <f>I420-BN420</f>
        <v>11.5862068965517</v>
      </c>
      <c r="BK420" s="4089"/>
      <c r="BL420" s="4089"/>
      <c r="BM420" s="4089"/>
      <c r="BN420" s="4089">
        <f t="shared" si="187"/>
        <v>0.413793103448276</v>
      </c>
      <c r="BO420" s="907"/>
      <c r="BP420" s="907"/>
      <c r="BQ420" s="907"/>
      <c r="BR420" s="907"/>
      <c r="BS420" s="907"/>
      <c r="BT420" s="910"/>
      <c r="BU420" s="911"/>
      <c r="BV420" s="4385">
        <f t="shared" si="162"/>
        <v>12</v>
      </c>
      <c r="BW420" s="4386">
        <f t="shared" si="173"/>
        <v>0</v>
      </c>
      <c r="BX420" s="4387"/>
      <c r="BY420" s="4387"/>
      <c r="BZ420" s="4387"/>
      <c r="CA420" s="4391"/>
      <c r="CC420" s="4392">
        <v>45860</v>
      </c>
      <c r="CD420" s="4391" t="s">
        <v>4165</v>
      </c>
    </row>
    <row r="421" s="4025" customFormat="1" ht="50" customHeight="1" spans="1:94">
      <c r="A421" s="3688">
        <v>45819</v>
      </c>
      <c r="B421" s="3689" t="s">
        <v>1016</v>
      </c>
      <c r="C421" s="3664" t="s">
        <v>396</v>
      </c>
      <c r="D421" s="3690">
        <v>4500169708</v>
      </c>
      <c r="E421" s="3664" t="s">
        <v>4172</v>
      </c>
      <c r="F421" s="3690" t="s">
        <v>4173</v>
      </c>
      <c r="G421" s="3664" t="s">
        <v>2680</v>
      </c>
      <c r="H421" s="3664" t="s">
        <v>2632</v>
      </c>
      <c r="I421" s="3691">
        <v>12</v>
      </c>
      <c r="J421" s="3691">
        <v>0</v>
      </c>
      <c r="K421" s="3691">
        <v>12</v>
      </c>
      <c r="L421" s="3691">
        <f t="shared" si="160"/>
        <v>1</v>
      </c>
      <c r="M421" s="3659">
        <v>45855</v>
      </c>
      <c r="N421" s="3659">
        <v>45860</v>
      </c>
      <c r="O421" s="4085"/>
      <c r="P421" s="3682" t="s">
        <v>82</v>
      </c>
      <c r="Q421" s="3682"/>
      <c r="R421" s="4083"/>
      <c r="S421" s="4083"/>
      <c r="T421" s="4083"/>
      <c r="U421" s="3645" t="s">
        <v>1504</v>
      </c>
      <c r="V421" s="3657" t="s">
        <v>1479</v>
      </c>
      <c r="W421" s="3657"/>
      <c r="X421" s="3657" t="s">
        <v>4163</v>
      </c>
      <c r="Y421" s="3657" t="s">
        <v>1506</v>
      </c>
      <c r="Z421" s="3661"/>
      <c r="AA421" s="3620" t="s">
        <v>4164</v>
      </c>
      <c r="AB421" s="3691" t="s">
        <v>369</v>
      </c>
      <c r="AC421" s="3691">
        <v>2.0915</v>
      </c>
      <c r="AD421" s="3691">
        <f t="shared" si="183"/>
        <v>25.098</v>
      </c>
      <c r="AE421" s="3645"/>
      <c r="AF421" s="3664" t="s">
        <v>2680</v>
      </c>
      <c r="AG421" s="3645" t="s">
        <v>416</v>
      </c>
      <c r="AH421" s="4405"/>
      <c r="AI421" s="3691"/>
      <c r="AJ421" s="3691"/>
      <c r="AK421" s="4405"/>
      <c r="AL421" s="3664"/>
      <c r="AM421" s="3664">
        <f t="shared" si="185"/>
        <v>12</v>
      </c>
      <c r="AN421" s="3691"/>
      <c r="AO421" s="3691"/>
      <c r="AP421" s="3691">
        <f t="shared" si="184"/>
        <v>12</v>
      </c>
      <c r="AQ421" s="4089"/>
      <c r="AR421" s="4417"/>
      <c r="AS421" s="4089"/>
      <c r="AT421" s="4417"/>
      <c r="AU421" s="4089">
        <f t="shared" si="186"/>
        <v>12</v>
      </c>
      <c r="AV421" s="4089"/>
      <c r="AW421" s="4089"/>
      <c r="AX421" s="4089"/>
      <c r="AY421" s="4089"/>
      <c r="AZ421" s="4089"/>
      <c r="BA421" s="4089"/>
      <c r="BB421" s="4089"/>
      <c r="BC421" s="4089"/>
      <c r="BD421" s="4089"/>
      <c r="BE421" s="4089"/>
      <c r="BF421" s="4089" t="s">
        <v>89</v>
      </c>
      <c r="BG421" s="4089"/>
      <c r="BH421" s="4089"/>
      <c r="BI421" s="4089"/>
      <c r="BJ421" s="4089">
        <f>I421-BN421</f>
        <v>11.5862068965517</v>
      </c>
      <c r="BK421" s="4089"/>
      <c r="BL421" s="4089"/>
      <c r="BM421" s="4089"/>
      <c r="BN421" s="4089">
        <f t="shared" si="187"/>
        <v>0.413793103448276</v>
      </c>
      <c r="BO421" s="907"/>
      <c r="BP421" s="907"/>
      <c r="BQ421" s="907"/>
      <c r="BR421" s="907"/>
      <c r="BS421" s="907"/>
      <c r="BT421" s="910"/>
      <c r="BU421" s="911"/>
      <c r="BV421" s="4385">
        <f t="shared" si="162"/>
        <v>12</v>
      </c>
      <c r="BW421" s="4386">
        <f t="shared" si="173"/>
        <v>0</v>
      </c>
      <c r="BX421" s="4387"/>
      <c r="BY421" s="4387"/>
      <c r="BZ421" s="4387"/>
      <c r="CA421" s="4391"/>
      <c r="CC421" s="4392">
        <v>45860</v>
      </c>
      <c r="CD421" s="4391" t="s">
        <v>4165</v>
      </c>
    </row>
    <row r="422" s="4025" customFormat="1" ht="50" customHeight="1" spans="1:94">
      <c r="A422" s="3688">
        <v>45819</v>
      </c>
      <c r="B422" s="3689" t="s">
        <v>1016</v>
      </c>
      <c r="C422" s="3664" t="s">
        <v>396</v>
      </c>
      <c r="D422" s="3690">
        <v>4500169708</v>
      </c>
      <c r="E422" s="3664" t="s">
        <v>4174</v>
      </c>
      <c r="F422" s="3690" t="s">
        <v>4175</v>
      </c>
      <c r="G422" s="3664" t="s">
        <v>2680</v>
      </c>
      <c r="H422" s="3664" t="s">
        <v>2632</v>
      </c>
      <c r="I422" s="3691">
        <v>12</v>
      </c>
      <c r="J422" s="3691">
        <v>0</v>
      </c>
      <c r="K422" s="3691">
        <v>12</v>
      </c>
      <c r="L422" s="3691">
        <f t="shared" si="160"/>
        <v>1</v>
      </c>
      <c r="M422" s="3659">
        <v>45855</v>
      </c>
      <c r="N422" s="3659">
        <v>45860</v>
      </c>
      <c r="O422" s="4085"/>
      <c r="P422" s="3682" t="s">
        <v>82</v>
      </c>
      <c r="Q422" s="3682"/>
      <c r="R422" s="4083"/>
      <c r="S422" s="4083"/>
      <c r="T422" s="4083"/>
      <c r="U422" s="3645" t="s">
        <v>1504</v>
      </c>
      <c r="V422" s="3657" t="s">
        <v>1479</v>
      </c>
      <c r="W422" s="3657"/>
      <c r="X422" s="3657" t="s">
        <v>4163</v>
      </c>
      <c r="Y422" s="3657" t="s">
        <v>1506</v>
      </c>
      <c r="Z422" s="3661"/>
      <c r="AA422" s="3620" t="s">
        <v>4164</v>
      </c>
      <c r="AB422" s="3691" t="s">
        <v>369</v>
      </c>
      <c r="AC422" s="3691">
        <v>2.0915</v>
      </c>
      <c r="AD422" s="3691">
        <f t="shared" si="183"/>
        <v>25.098</v>
      </c>
      <c r="AE422" s="3645"/>
      <c r="AF422" s="3664" t="s">
        <v>2680</v>
      </c>
      <c r="AG422" s="3645" t="s">
        <v>416</v>
      </c>
      <c r="AH422" s="4405"/>
      <c r="AI422" s="3691"/>
      <c r="AJ422" s="3691"/>
      <c r="AK422" s="4405"/>
      <c r="AL422" s="3664"/>
      <c r="AM422" s="3664">
        <f t="shared" si="185"/>
        <v>12</v>
      </c>
      <c r="AN422" s="3691"/>
      <c r="AO422" s="3691"/>
      <c r="AP422" s="3691">
        <f t="shared" si="184"/>
        <v>12</v>
      </c>
      <c r="AQ422" s="4089"/>
      <c r="AR422" s="4417"/>
      <c r="AS422" s="4089"/>
      <c r="AT422" s="4417"/>
      <c r="AU422" s="4089">
        <f t="shared" si="186"/>
        <v>12</v>
      </c>
      <c r="AV422" s="4089"/>
      <c r="AW422" s="4089"/>
      <c r="AX422" s="4089"/>
      <c r="AY422" s="4089"/>
      <c r="AZ422" s="4089"/>
      <c r="BA422" s="4089"/>
      <c r="BB422" s="4089"/>
      <c r="BC422" s="4089"/>
      <c r="BD422" s="4089"/>
      <c r="BE422" s="4089"/>
      <c r="BF422" s="4089" t="s">
        <v>89</v>
      </c>
      <c r="BG422" s="4089"/>
      <c r="BH422" s="4089"/>
      <c r="BI422" s="4089"/>
      <c r="BJ422" s="4089">
        <f>I422-BN422</f>
        <v>11.5862068965517</v>
      </c>
      <c r="BK422" s="4089"/>
      <c r="BL422" s="4089"/>
      <c r="BM422" s="4089"/>
      <c r="BN422" s="4089">
        <f t="shared" si="187"/>
        <v>0.413793103448276</v>
      </c>
      <c r="BO422" s="907"/>
      <c r="BP422" s="907"/>
      <c r="BQ422" s="907"/>
      <c r="BR422" s="907"/>
      <c r="BS422" s="907"/>
      <c r="BT422" s="910"/>
      <c r="BU422" s="911"/>
      <c r="BV422" s="4385">
        <f t="shared" si="162"/>
        <v>12</v>
      </c>
      <c r="BW422" s="4385">
        <f t="shared" si="173"/>
        <v>0</v>
      </c>
      <c r="BX422" s="4387"/>
      <c r="BY422" s="4387"/>
      <c r="BZ422" s="4387"/>
      <c r="CA422" s="4391"/>
      <c r="CC422" s="4392">
        <v>45860</v>
      </c>
      <c r="CD422" s="4391" t="s">
        <v>4165</v>
      </c>
    </row>
    <row r="423" s="4025" customFormat="1" ht="50" customHeight="1" spans="1:94">
      <c r="A423" s="3688">
        <v>45819</v>
      </c>
      <c r="B423" s="3689" t="s">
        <v>1016</v>
      </c>
      <c r="C423" s="3664" t="s">
        <v>396</v>
      </c>
      <c r="D423" s="3690">
        <v>4500169708</v>
      </c>
      <c r="E423" s="3664" t="s">
        <v>4176</v>
      </c>
      <c r="F423" s="3690" t="s">
        <v>4177</v>
      </c>
      <c r="G423" s="3664" t="s">
        <v>2676</v>
      </c>
      <c r="H423" s="3664" t="s">
        <v>2677</v>
      </c>
      <c r="I423" s="3691">
        <v>12</v>
      </c>
      <c r="J423" s="3691">
        <v>0</v>
      </c>
      <c r="K423" s="3691">
        <v>12</v>
      </c>
      <c r="L423" s="3691">
        <f t="shared" si="160"/>
        <v>1</v>
      </c>
      <c r="M423" s="3659">
        <v>45855</v>
      </c>
      <c r="N423" s="3659">
        <v>45860</v>
      </c>
      <c r="O423" s="3664" t="s">
        <v>4162</v>
      </c>
      <c r="P423" s="3682" t="s">
        <v>82</v>
      </c>
      <c r="Q423" s="3682"/>
      <c r="R423" s="4083"/>
      <c r="S423" s="4083"/>
      <c r="T423" s="4083"/>
      <c r="U423" s="3645" t="s">
        <v>1504</v>
      </c>
      <c r="V423" s="3657" t="s">
        <v>1479</v>
      </c>
      <c r="W423" s="3657"/>
      <c r="X423" s="3657" t="s">
        <v>4163</v>
      </c>
      <c r="Y423" s="3657" t="s">
        <v>1506</v>
      </c>
      <c r="Z423" s="3661"/>
      <c r="AA423" s="3620" t="s">
        <v>4164</v>
      </c>
      <c r="AB423" s="3691" t="s">
        <v>369</v>
      </c>
      <c r="AC423" s="3691">
        <v>2.0915</v>
      </c>
      <c r="AD423" s="3691">
        <f t="shared" si="183"/>
        <v>25.098</v>
      </c>
      <c r="AE423" s="3645"/>
      <c r="AF423" s="3664" t="s">
        <v>2676</v>
      </c>
      <c r="AG423" s="3645" t="s">
        <v>416</v>
      </c>
      <c r="AH423" s="4405"/>
      <c r="AI423" s="3691"/>
      <c r="AJ423" s="3691"/>
      <c r="AK423" s="4405"/>
      <c r="AL423" s="3664"/>
      <c r="AM423" s="3664">
        <f t="shared" si="185"/>
        <v>12</v>
      </c>
      <c r="AN423" s="3691"/>
      <c r="AO423" s="3691"/>
      <c r="AP423" s="3691">
        <f t="shared" si="184"/>
        <v>12</v>
      </c>
      <c r="AQ423" s="4089"/>
      <c r="AR423" s="4417"/>
      <c r="AS423" s="4089"/>
      <c r="AT423" s="4417"/>
      <c r="AU423" s="4089">
        <f t="shared" si="186"/>
        <v>12</v>
      </c>
      <c r="AV423" s="4089"/>
      <c r="AW423" s="4089"/>
      <c r="AX423" s="4089"/>
      <c r="AY423" s="4089"/>
      <c r="AZ423" s="4089"/>
      <c r="BA423" s="4089"/>
      <c r="BB423" s="4089"/>
      <c r="BC423" s="4089"/>
      <c r="BD423" s="4089"/>
      <c r="BE423" s="4089"/>
      <c r="BF423" s="4089" t="s">
        <v>89</v>
      </c>
      <c r="BG423" s="4089"/>
      <c r="BH423" s="4089"/>
      <c r="BI423" s="4089">
        <f t="shared" ref="BI423:BI428" si="188">I423-BN423</f>
        <v>11.5862068965517</v>
      </c>
      <c r="BJ423" s="4089"/>
      <c r="BK423" s="4089"/>
      <c r="BL423" s="4089"/>
      <c r="BM423" s="4089"/>
      <c r="BN423" s="4089">
        <f t="shared" si="187"/>
        <v>0.413793103448276</v>
      </c>
      <c r="BO423" s="907"/>
      <c r="BP423" s="907"/>
      <c r="BQ423" s="907"/>
      <c r="BR423" s="907"/>
      <c r="BS423" s="907"/>
      <c r="BT423" s="910"/>
      <c r="BU423" s="911"/>
      <c r="BV423" s="4385">
        <f t="shared" si="162"/>
        <v>12</v>
      </c>
      <c r="BW423" s="4385">
        <f t="shared" si="173"/>
        <v>0</v>
      </c>
      <c r="BX423" s="4387"/>
      <c r="BY423" s="4387"/>
      <c r="BZ423" s="4387"/>
      <c r="CA423" s="4391"/>
      <c r="CC423" s="4392">
        <v>45860</v>
      </c>
      <c r="CD423" s="4391" t="s">
        <v>4165</v>
      </c>
    </row>
    <row r="424" s="4025" customFormat="1" ht="50" customHeight="1" spans="1:94">
      <c r="A424" s="3688">
        <v>45819</v>
      </c>
      <c r="B424" s="3689" t="s">
        <v>1016</v>
      </c>
      <c r="C424" s="3664" t="s">
        <v>396</v>
      </c>
      <c r="D424" s="3690">
        <v>4500169708</v>
      </c>
      <c r="E424" s="3664" t="s">
        <v>4178</v>
      </c>
      <c r="F424" s="3690" t="s">
        <v>4179</v>
      </c>
      <c r="G424" s="3664" t="s">
        <v>2676</v>
      </c>
      <c r="H424" s="3664" t="s">
        <v>2677</v>
      </c>
      <c r="I424" s="3691">
        <v>12</v>
      </c>
      <c r="J424" s="3691">
        <v>0</v>
      </c>
      <c r="K424" s="3691">
        <v>12</v>
      </c>
      <c r="L424" s="3691">
        <f t="shared" si="160"/>
        <v>1</v>
      </c>
      <c r="M424" s="3659">
        <v>45855</v>
      </c>
      <c r="N424" s="3659">
        <v>45860</v>
      </c>
      <c r="O424" s="3664" t="s">
        <v>4162</v>
      </c>
      <c r="P424" s="3682" t="s">
        <v>82</v>
      </c>
      <c r="Q424" s="3682"/>
      <c r="R424" s="4083"/>
      <c r="S424" s="4083"/>
      <c r="T424" s="4083"/>
      <c r="U424" s="3645" t="s">
        <v>1504</v>
      </c>
      <c r="V424" s="3657" t="s">
        <v>1479</v>
      </c>
      <c r="W424" s="3657"/>
      <c r="X424" s="3657" t="s">
        <v>4163</v>
      </c>
      <c r="Y424" s="3657" t="s">
        <v>1506</v>
      </c>
      <c r="Z424" s="3661"/>
      <c r="AA424" s="3620" t="s">
        <v>4164</v>
      </c>
      <c r="AB424" s="3691" t="s">
        <v>369</v>
      </c>
      <c r="AC424" s="3691">
        <v>2.0915</v>
      </c>
      <c r="AD424" s="3691">
        <f t="shared" si="183"/>
        <v>25.098</v>
      </c>
      <c r="AE424" s="3645"/>
      <c r="AF424" s="3664" t="s">
        <v>2676</v>
      </c>
      <c r="AG424" s="3645" t="s">
        <v>416</v>
      </c>
      <c r="AH424" s="4405"/>
      <c r="AI424" s="3691"/>
      <c r="AJ424" s="3691"/>
      <c r="AK424" s="4405"/>
      <c r="AL424" s="3664"/>
      <c r="AM424" s="3664">
        <f t="shared" si="185"/>
        <v>12</v>
      </c>
      <c r="AN424" s="3691"/>
      <c r="AO424" s="3691"/>
      <c r="AP424" s="3691">
        <f t="shared" si="184"/>
        <v>12</v>
      </c>
      <c r="AQ424" s="4089"/>
      <c r="AR424" s="4417"/>
      <c r="AS424" s="4089"/>
      <c r="AT424" s="4417"/>
      <c r="AU424" s="4089">
        <f t="shared" si="186"/>
        <v>12</v>
      </c>
      <c r="AV424" s="4089"/>
      <c r="AW424" s="4089"/>
      <c r="AX424" s="4089"/>
      <c r="AY424" s="4089"/>
      <c r="AZ424" s="4089"/>
      <c r="BA424" s="4089"/>
      <c r="BB424" s="4089"/>
      <c r="BC424" s="4089"/>
      <c r="BD424" s="4089"/>
      <c r="BE424" s="4089"/>
      <c r="BF424" s="4089" t="s">
        <v>89</v>
      </c>
      <c r="BG424" s="4089"/>
      <c r="BH424" s="4089"/>
      <c r="BI424" s="4089">
        <f t="shared" si="188"/>
        <v>11.5862068965517</v>
      </c>
      <c r="BJ424" s="4089"/>
      <c r="BK424" s="4089"/>
      <c r="BL424" s="4089"/>
      <c r="BM424" s="4089"/>
      <c r="BN424" s="4089">
        <f t="shared" si="187"/>
        <v>0.413793103448276</v>
      </c>
      <c r="BO424" s="907"/>
      <c r="BP424" s="907"/>
      <c r="BQ424" s="907"/>
      <c r="BR424" s="907"/>
      <c r="BS424" s="907"/>
      <c r="BT424" s="910"/>
      <c r="BU424" s="911"/>
      <c r="BV424" s="4385">
        <f t="shared" si="162"/>
        <v>12</v>
      </c>
      <c r="BW424" s="4385">
        <f t="shared" si="173"/>
        <v>0</v>
      </c>
      <c r="BX424" s="4387"/>
      <c r="BY424" s="4387"/>
      <c r="BZ424" s="4387"/>
      <c r="CA424" s="4391"/>
      <c r="CC424" s="4392">
        <v>45860</v>
      </c>
      <c r="CD424" s="4391" t="s">
        <v>4165</v>
      </c>
    </row>
    <row r="425" s="4025" customFormat="1" ht="50" customHeight="1" spans="1:94">
      <c r="A425" s="3688">
        <v>45819</v>
      </c>
      <c r="B425" s="3689" t="s">
        <v>1016</v>
      </c>
      <c r="C425" s="3664" t="s">
        <v>396</v>
      </c>
      <c r="D425" s="3690">
        <v>4500169708</v>
      </c>
      <c r="E425" s="3664" t="s">
        <v>4180</v>
      </c>
      <c r="F425" s="3690" t="s">
        <v>4181</v>
      </c>
      <c r="G425" s="3664" t="s">
        <v>2676</v>
      </c>
      <c r="H425" s="3664" t="s">
        <v>2677</v>
      </c>
      <c r="I425" s="3691">
        <v>12</v>
      </c>
      <c r="J425" s="3691">
        <v>0</v>
      </c>
      <c r="K425" s="3691">
        <v>12</v>
      </c>
      <c r="L425" s="3691">
        <f t="shared" si="160"/>
        <v>1</v>
      </c>
      <c r="M425" s="3659">
        <v>45855</v>
      </c>
      <c r="N425" s="3659">
        <v>45860</v>
      </c>
      <c r="O425" s="3664" t="s">
        <v>4162</v>
      </c>
      <c r="P425" s="3682" t="s">
        <v>82</v>
      </c>
      <c r="Q425" s="3682"/>
      <c r="R425" s="4083"/>
      <c r="S425" s="4083"/>
      <c r="T425" s="4083"/>
      <c r="U425" s="3645" t="s">
        <v>1504</v>
      </c>
      <c r="V425" s="3657" t="s">
        <v>1479</v>
      </c>
      <c r="W425" s="3657"/>
      <c r="X425" s="3657" t="s">
        <v>4163</v>
      </c>
      <c r="Y425" s="3657" t="s">
        <v>1506</v>
      </c>
      <c r="Z425" s="3661"/>
      <c r="AA425" s="3620" t="s">
        <v>4164</v>
      </c>
      <c r="AB425" s="3691" t="s">
        <v>369</v>
      </c>
      <c r="AC425" s="3691">
        <v>2.0915</v>
      </c>
      <c r="AD425" s="3691">
        <f t="shared" si="183"/>
        <v>25.098</v>
      </c>
      <c r="AE425" s="3645"/>
      <c r="AF425" s="3664" t="s">
        <v>2676</v>
      </c>
      <c r="AG425" s="3645" t="s">
        <v>416</v>
      </c>
      <c r="AH425" s="4405"/>
      <c r="AI425" s="3691"/>
      <c r="AJ425" s="3691"/>
      <c r="AK425" s="4405"/>
      <c r="AL425" s="3664"/>
      <c r="AM425" s="3664">
        <f t="shared" si="185"/>
        <v>12</v>
      </c>
      <c r="AN425" s="3691"/>
      <c r="AO425" s="3691"/>
      <c r="AP425" s="3691">
        <f t="shared" si="184"/>
        <v>12</v>
      </c>
      <c r="AQ425" s="4089"/>
      <c r="AR425" s="4417"/>
      <c r="AS425" s="4089"/>
      <c r="AT425" s="4417"/>
      <c r="AU425" s="4089">
        <f t="shared" si="186"/>
        <v>12</v>
      </c>
      <c r="AV425" s="4089"/>
      <c r="AW425" s="4089"/>
      <c r="AX425" s="4089"/>
      <c r="AY425" s="4089"/>
      <c r="AZ425" s="4089"/>
      <c r="BA425" s="4089"/>
      <c r="BB425" s="4089"/>
      <c r="BC425" s="4089"/>
      <c r="BD425" s="4089"/>
      <c r="BE425" s="4089"/>
      <c r="BF425" s="4089" t="s">
        <v>89</v>
      </c>
      <c r="BG425" s="4089"/>
      <c r="BH425" s="4089"/>
      <c r="BI425" s="4089">
        <f t="shared" si="188"/>
        <v>11.5862068965517</v>
      </c>
      <c r="BJ425" s="4089"/>
      <c r="BK425" s="4089"/>
      <c r="BL425" s="4089"/>
      <c r="BM425" s="4089"/>
      <c r="BN425" s="4089">
        <f t="shared" si="187"/>
        <v>0.413793103448276</v>
      </c>
      <c r="BO425" s="907"/>
      <c r="BP425" s="907"/>
      <c r="BQ425" s="907"/>
      <c r="BR425" s="907"/>
      <c r="BS425" s="907"/>
      <c r="BT425" s="910"/>
      <c r="BU425" s="911"/>
      <c r="BV425" s="4385">
        <f t="shared" si="162"/>
        <v>12</v>
      </c>
      <c r="BW425" s="4385">
        <f t="shared" si="173"/>
        <v>0</v>
      </c>
      <c r="BX425" s="4387"/>
      <c r="BY425" s="4387"/>
      <c r="BZ425" s="4387"/>
      <c r="CA425" s="4391"/>
      <c r="CC425" s="4392">
        <v>45860</v>
      </c>
      <c r="CD425" s="4391" t="s">
        <v>4165</v>
      </c>
    </row>
    <row r="426" s="4025" customFormat="1" ht="50" customHeight="1" spans="1:94">
      <c r="A426" s="3688">
        <v>45819</v>
      </c>
      <c r="B426" s="3689" t="s">
        <v>1016</v>
      </c>
      <c r="C426" s="3664" t="s">
        <v>396</v>
      </c>
      <c r="D426" s="3690">
        <v>4500169708</v>
      </c>
      <c r="E426" s="3664" t="s">
        <v>4182</v>
      </c>
      <c r="F426" s="3690" t="s">
        <v>4183</v>
      </c>
      <c r="G426" s="3664" t="s">
        <v>2676</v>
      </c>
      <c r="H426" s="3664" t="s">
        <v>2677</v>
      </c>
      <c r="I426" s="3691">
        <v>12</v>
      </c>
      <c r="J426" s="3691">
        <v>0</v>
      </c>
      <c r="K426" s="3691">
        <v>12</v>
      </c>
      <c r="L426" s="3691">
        <f t="shared" si="160"/>
        <v>1</v>
      </c>
      <c r="M426" s="3659">
        <v>45855</v>
      </c>
      <c r="N426" s="3659">
        <v>45860</v>
      </c>
      <c r="O426" s="3664" t="s">
        <v>4162</v>
      </c>
      <c r="P426" s="3682" t="s">
        <v>82</v>
      </c>
      <c r="Q426" s="3682"/>
      <c r="R426" s="4083"/>
      <c r="S426" s="4083"/>
      <c r="T426" s="4083"/>
      <c r="U426" s="3645" t="s">
        <v>1504</v>
      </c>
      <c r="V426" s="3657" t="s">
        <v>1479</v>
      </c>
      <c r="W426" s="3657"/>
      <c r="X426" s="3657" t="s">
        <v>4163</v>
      </c>
      <c r="Y426" s="3657" t="s">
        <v>1506</v>
      </c>
      <c r="Z426" s="3661"/>
      <c r="AA426" s="3620" t="s">
        <v>4164</v>
      </c>
      <c r="AB426" s="3691" t="s">
        <v>369</v>
      </c>
      <c r="AC426" s="3691">
        <v>2.0915</v>
      </c>
      <c r="AD426" s="3691">
        <f t="shared" si="183"/>
        <v>25.098</v>
      </c>
      <c r="AE426" s="3645"/>
      <c r="AF426" s="3664" t="s">
        <v>2676</v>
      </c>
      <c r="AG426" s="3645" t="s">
        <v>416</v>
      </c>
      <c r="AH426" s="4405"/>
      <c r="AI426" s="3691"/>
      <c r="AJ426" s="3691"/>
      <c r="AK426" s="4405"/>
      <c r="AL426" s="3664"/>
      <c r="AM426" s="3664">
        <f t="shared" si="185"/>
        <v>12</v>
      </c>
      <c r="AN426" s="3691"/>
      <c r="AO426" s="3691"/>
      <c r="AP426" s="3691">
        <f t="shared" si="184"/>
        <v>12</v>
      </c>
      <c r="AQ426" s="4089"/>
      <c r="AR426" s="4417"/>
      <c r="AS426" s="4089"/>
      <c r="AT426" s="4417"/>
      <c r="AU426" s="4089">
        <f t="shared" si="186"/>
        <v>12</v>
      </c>
      <c r="AV426" s="4089"/>
      <c r="AW426" s="4089"/>
      <c r="AX426" s="4089"/>
      <c r="AY426" s="4089"/>
      <c r="AZ426" s="4089"/>
      <c r="BA426" s="4089"/>
      <c r="BB426" s="4089"/>
      <c r="BC426" s="4089"/>
      <c r="BD426" s="4089"/>
      <c r="BE426" s="4089"/>
      <c r="BF426" s="4089" t="s">
        <v>89</v>
      </c>
      <c r="BG426" s="4089"/>
      <c r="BH426" s="4089"/>
      <c r="BI426" s="4089">
        <f t="shared" si="188"/>
        <v>11.5862068965517</v>
      </c>
      <c r="BJ426" s="4089"/>
      <c r="BK426" s="4089"/>
      <c r="BL426" s="4089"/>
      <c r="BM426" s="4089"/>
      <c r="BN426" s="4089">
        <f t="shared" si="187"/>
        <v>0.413793103448276</v>
      </c>
      <c r="BO426" s="907"/>
      <c r="BP426" s="907"/>
      <c r="BQ426" s="907"/>
      <c r="BR426" s="907"/>
      <c r="BS426" s="907"/>
      <c r="BT426" s="910"/>
      <c r="BU426" s="911"/>
      <c r="BV426" s="4385">
        <f t="shared" si="162"/>
        <v>12</v>
      </c>
      <c r="BW426" s="4385">
        <f t="shared" si="173"/>
        <v>0</v>
      </c>
      <c r="BX426" s="4387"/>
      <c r="BY426" s="4387"/>
      <c r="BZ426" s="4387"/>
      <c r="CA426" s="4391"/>
      <c r="CC426" s="4392">
        <v>45860</v>
      </c>
      <c r="CD426" s="4391" t="s">
        <v>4165</v>
      </c>
      <c r="CE426" s="2834"/>
      <c r="CF426" s="2834"/>
      <c r="CG426" s="4473"/>
      <c r="CH426" s="4474"/>
      <c r="CI426" s="2834"/>
      <c r="CJ426" s="2834"/>
      <c r="CK426" s="2834"/>
      <c r="CL426" s="2834"/>
      <c r="CM426" s="2834"/>
      <c r="CN426" s="2834"/>
      <c r="CO426" s="2834"/>
      <c r="CP426" s="4475"/>
    </row>
    <row r="427" s="4313" customFormat="1" ht="50" customHeight="1" spans="1:94">
      <c r="A427" s="3688">
        <v>45819</v>
      </c>
      <c r="B427" s="3689" t="s">
        <v>1016</v>
      </c>
      <c r="C427" s="3664" t="s">
        <v>396</v>
      </c>
      <c r="D427" s="3690">
        <v>4500169708</v>
      </c>
      <c r="E427" s="3664" t="s">
        <v>4184</v>
      </c>
      <c r="F427" s="3690" t="s">
        <v>4185</v>
      </c>
      <c r="G427" s="3664" t="s">
        <v>2676</v>
      </c>
      <c r="H427" s="3664" t="s">
        <v>2677</v>
      </c>
      <c r="I427" s="3691">
        <v>12</v>
      </c>
      <c r="J427" s="3691">
        <v>0</v>
      </c>
      <c r="K427" s="3691">
        <v>12</v>
      </c>
      <c r="L427" s="3691">
        <f t="shared" si="160"/>
        <v>1</v>
      </c>
      <c r="M427" s="3659">
        <v>45855</v>
      </c>
      <c r="N427" s="3659">
        <v>45860</v>
      </c>
      <c r="O427" s="3664" t="s">
        <v>4162</v>
      </c>
      <c r="P427" s="3682" t="s">
        <v>82</v>
      </c>
      <c r="Q427" s="3682"/>
      <c r="R427" s="4083"/>
      <c r="S427" s="4083"/>
      <c r="T427" s="4083"/>
      <c r="U427" s="3645" t="s">
        <v>1504</v>
      </c>
      <c r="V427" s="3657" t="s">
        <v>1479</v>
      </c>
      <c r="W427" s="3657"/>
      <c r="X427" s="3657" t="s">
        <v>4163</v>
      </c>
      <c r="Y427" s="3657" t="s">
        <v>1506</v>
      </c>
      <c r="Z427" s="3661"/>
      <c r="AA427" s="3620" t="s">
        <v>4164</v>
      </c>
      <c r="AB427" s="3691" t="s">
        <v>369</v>
      </c>
      <c r="AC427" s="3691">
        <v>2.0915</v>
      </c>
      <c r="AD427" s="3691">
        <f t="shared" si="183"/>
        <v>25.098</v>
      </c>
      <c r="AE427" s="3645"/>
      <c r="AF427" s="3664" t="s">
        <v>2676</v>
      </c>
      <c r="AG427" s="3645" t="s">
        <v>416</v>
      </c>
      <c r="AH427" s="4405"/>
      <c r="AI427" s="3691"/>
      <c r="AJ427" s="3691"/>
      <c r="AK427" s="4405"/>
      <c r="AL427" s="3664"/>
      <c r="AM427" s="3664">
        <f t="shared" si="185"/>
        <v>12</v>
      </c>
      <c r="AN427" s="3691"/>
      <c r="AO427" s="3691"/>
      <c r="AP427" s="3691">
        <f t="shared" si="184"/>
        <v>12</v>
      </c>
      <c r="AQ427" s="4089"/>
      <c r="AR427" s="4417"/>
      <c r="AS427" s="4089"/>
      <c r="AT427" s="4417"/>
      <c r="AU427" s="4089">
        <f t="shared" si="186"/>
        <v>12</v>
      </c>
      <c r="AV427" s="4089"/>
      <c r="AW427" s="4089"/>
      <c r="AX427" s="4089"/>
      <c r="AY427" s="4089"/>
      <c r="AZ427" s="4089"/>
      <c r="BA427" s="4089"/>
      <c r="BB427" s="4089"/>
      <c r="BC427" s="4089"/>
      <c r="BD427" s="4089"/>
      <c r="BE427" s="4089"/>
      <c r="BF427" s="4089" t="s">
        <v>89</v>
      </c>
      <c r="BG427" s="4089"/>
      <c r="BH427" s="4089"/>
      <c r="BI427" s="4089">
        <f t="shared" si="188"/>
        <v>11.5862068965517</v>
      </c>
      <c r="BJ427" s="4089"/>
      <c r="BK427" s="4089"/>
      <c r="BL427" s="4089"/>
      <c r="BM427" s="4089"/>
      <c r="BN427" s="4089">
        <f t="shared" si="187"/>
        <v>0.413793103448276</v>
      </c>
      <c r="BO427" s="907"/>
      <c r="BP427" s="907"/>
      <c r="BQ427" s="907"/>
      <c r="BR427" s="907"/>
      <c r="BS427" s="907"/>
      <c r="BT427" s="910"/>
      <c r="BU427" s="911"/>
      <c r="BV427" s="4385">
        <f t="shared" si="162"/>
        <v>12</v>
      </c>
      <c r="BW427" s="4385">
        <f t="shared" si="173"/>
        <v>0</v>
      </c>
      <c r="BX427" s="4387"/>
      <c r="BY427" s="4387"/>
      <c r="BZ427" s="4387"/>
      <c r="CA427" s="4391"/>
      <c r="CB427" s="4319"/>
      <c r="CC427" s="4392">
        <v>45860</v>
      </c>
      <c r="CD427" s="4391" t="s">
        <v>4165</v>
      </c>
      <c r="CE427" s="4387"/>
      <c r="CF427" s="4387"/>
      <c r="CG427" s="4476"/>
      <c r="CH427" s="4477"/>
      <c r="CI427" s="4387"/>
      <c r="CJ427" s="4387"/>
      <c r="CK427" s="4387"/>
      <c r="CL427" s="4387"/>
      <c r="CM427" s="4387"/>
      <c r="CN427" s="4387"/>
      <c r="CO427" s="4387"/>
      <c r="CP427" s="4478"/>
    </row>
    <row r="428" s="4313" customFormat="1" ht="50" customHeight="1" spans="1:94">
      <c r="A428" s="3688">
        <v>45819</v>
      </c>
      <c r="B428" s="3689" t="s">
        <v>1016</v>
      </c>
      <c r="C428" s="3664" t="s">
        <v>396</v>
      </c>
      <c r="D428" s="3690">
        <v>4500169708</v>
      </c>
      <c r="E428" s="3664" t="s">
        <v>4186</v>
      </c>
      <c r="F428" s="3690" t="s">
        <v>4187</v>
      </c>
      <c r="G428" s="3664" t="s">
        <v>2676</v>
      </c>
      <c r="H428" s="3664" t="s">
        <v>2677</v>
      </c>
      <c r="I428" s="3691">
        <v>12</v>
      </c>
      <c r="J428" s="3691">
        <v>0</v>
      </c>
      <c r="K428" s="3691">
        <v>12</v>
      </c>
      <c r="L428" s="3691">
        <f t="shared" si="160"/>
        <v>1</v>
      </c>
      <c r="M428" s="3659">
        <v>45855</v>
      </c>
      <c r="N428" s="3659">
        <v>45860</v>
      </c>
      <c r="O428" s="3664" t="s">
        <v>4162</v>
      </c>
      <c r="P428" s="3682" t="s">
        <v>82</v>
      </c>
      <c r="Q428" s="3682"/>
      <c r="R428" s="4083"/>
      <c r="S428" s="4083"/>
      <c r="T428" s="4083"/>
      <c r="U428" s="3645" t="s">
        <v>1504</v>
      </c>
      <c r="V428" s="3657" t="s">
        <v>1479</v>
      </c>
      <c r="W428" s="3657"/>
      <c r="X428" s="3657" t="s">
        <v>4163</v>
      </c>
      <c r="Y428" s="3657" t="s">
        <v>1506</v>
      </c>
      <c r="Z428" s="3661"/>
      <c r="AA428" s="3620" t="s">
        <v>4164</v>
      </c>
      <c r="AB428" s="3691" t="s">
        <v>369</v>
      </c>
      <c r="AC428" s="3691">
        <v>2.0915</v>
      </c>
      <c r="AD428" s="3691">
        <f t="shared" si="183"/>
        <v>25.098</v>
      </c>
      <c r="AE428" s="3645"/>
      <c r="AF428" s="3664" t="s">
        <v>2676</v>
      </c>
      <c r="AG428" s="3645" t="s">
        <v>416</v>
      </c>
      <c r="AH428" s="4405"/>
      <c r="AI428" s="3691"/>
      <c r="AJ428" s="3691"/>
      <c r="AK428" s="4405"/>
      <c r="AL428" s="3664"/>
      <c r="AM428" s="3664">
        <f t="shared" si="185"/>
        <v>12</v>
      </c>
      <c r="AN428" s="3691"/>
      <c r="AO428" s="3691"/>
      <c r="AP428" s="3691">
        <f t="shared" si="184"/>
        <v>12</v>
      </c>
      <c r="AQ428" s="4089"/>
      <c r="AR428" s="4417"/>
      <c r="AS428" s="4089"/>
      <c r="AT428" s="4417"/>
      <c r="AU428" s="4089">
        <f t="shared" si="186"/>
        <v>12</v>
      </c>
      <c r="AV428" s="4089"/>
      <c r="AW428" s="4089"/>
      <c r="AX428" s="4089"/>
      <c r="AY428" s="4089"/>
      <c r="AZ428" s="4089"/>
      <c r="BA428" s="4089"/>
      <c r="BB428" s="4089"/>
      <c r="BC428" s="4089"/>
      <c r="BD428" s="4089"/>
      <c r="BE428" s="4089"/>
      <c r="BF428" s="4089" t="s">
        <v>89</v>
      </c>
      <c r="BG428" s="4089"/>
      <c r="BH428" s="4089"/>
      <c r="BI428" s="4089">
        <f t="shared" si="188"/>
        <v>11.5862068965517</v>
      </c>
      <c r="BJ428" s="4089"/>
      <c r="BK428" s="4089"/>
      <c r="BL428" s="4089"/>
      <c r="BM428" s="4089"/>
      <c r="BN428" s="4089">
        <f t="shared" si="187"/>
        <v>0.413793103448276</v>
      </c>
      <c r="BO428" s="907"/>
      <c r="BP428" s="907"/>
      <c r="BQ428" s="907"/>
      <c r="BR428" s="907"/>
      <c r="BS428" s="907"/>
      <c r="BT428" s="910"/>
      <c r="BU428" s="911"/>
      <c r="BV428" s="4385">
        <f t="shared" si="162"/>
        <v>12</v>
      </c>
      <c r="BW428" s="4385">
        <f t="shared" si="173"/>
        <v>0</v>
      </c>
      <c r="BX428" s="4387"/>
      <c r="BY428" s="4387"/>
      <c r="BZ428" s="4387"/>
      <c r="CA428" s="4391"/>
      <c r="CB428" s="4319"/>
      <c r="CC428" s="4392">
        <v>45860</v>
      </c>
      <c r="CD428" s="4391" t="s">
        <v>4165</v>
      </c>
      <c r="CE428" s="4387"/>
      <c r="CF428" s="4387"/>
      <c r="CG428" s="4476"/>
      <c r="CH428" s="4477"/>
      <c r="CI428" s="4387"/>
      <c r="CJ428" s="4387"/>
      <c r="CK428" s="4387"/>
      <c r="CL428" s="4387"/>
      <c r="CM428" s="4387"/>
      <c r="CN428" s="4387"/>
      <c r="CO428" s="4387"/>
      <c r="CP428" s="4478"/>
    </row>
    <row r="429" s="4313" customFormat="1" ht="50" customHeight="1" spans="1:94">
      <c r="A429" s="3688">
        <v>45819</v>
      </c>
      <c r="B429" s="3689" t="s">
        <v>1016</v>
      </c>
      <c r="C429" s="3664" t="s">
        <v>396</v>
      </c>
      <c r="D429" s="3690">
        <v>4500169708</v>
      </c>
      <c r="E429" s="3664" t="s">
        <v>4188</v>
      </c>
      <c r="F429" s="3690" t="s">
        <v>4189</v>
      </c>
      <c r="G429" s="3664" t="s">
        <v>2827</v>
      </c>
      <c r="H429" s="3664" t="s">
        <v>2641</v>
      </c>
      <c r="I429" s="3691">
        <v>24</v>
      </c>
      <c r="J429" s="3691">
        <v>0</v>
      </c>
      <c r="K429" s="3691">
        <v>12</v>
      </c>
      <c r="L429" s="3691">
        <f t="shared" si="160"/>
        <v>2</v>
      </c>
      <c r="M429" s="3659">
        <v>45855</v>
      </c>
      <c r="N429" s="3659">
        <v>45860</v>
      </c>
      <c r="O429" s="4085"/>
      <c r="P429" s="3682" t="s">
        <v>82</v>
      </c>
      <c r="Q429" s="3682"/>
      <c r="R429" s="4083"/>
      <c r="S429" s="4083"/>
      <c r="T429" s="4083"/>
      <c r="U429" s="3645" t="s">
        <v>1504</v>
      </c>
      <c r="V429" s="3657" t="s">
        <v>1479</v>
      </c>
      <c r="W429" s="3657"/>
      <c r="X429" s="3657" t="s">
        <v>4163</v>
      </c>
      <c r="Y429" s="3657" t="s">
        <v>1506</v>
      </c>
      <c r="Z429" s="3661"/>
      <c r="AA429" s="3620" t="s">
        <v>4164</v>
      </c>
      <c r="AB429" s="3691" t="s">
        <v>369</v>
      </c>
      <c r="AC429" s="3691">
        <v>2.0865</v>
      </c>
      <c r="AD429" s="3691">
        <f t="shared" si="183"/>
        <v>50.076</v>
      </c>
      <c r="AE429" s="3645"/>
      <c r="AF429" s="3664" t="s">
        <v>2827</v>
      </c>
      <c r="AG429" s="3645" t="s">
        <v>416</v>
      </c>
      <c r="AH429" s="4405"/>
      <c r="AI429" s="3691"/>
      <c r="AJ429" s="3691"/>
      <c r="AK429" s="4405"/>
      <c r="AL429" s="3664"/>
      <c r="AM429" s="3664">
        <f t="shared" si="185"/>
        <v>24</v>
      </c>
      <c r="AN429" s="3691"/>
      <c r="AO429" s="3691"/>
      <c r="AP429" s="3691">
        <f t="shared" si="184"/>
        <v>24</v>
      </c>
      <c r="AQ429" s="4089"/>
      <c r="AR429" s="4417"/>
      <c r="AS429" s="4089"/>
      <c r="AT429" s="4417"/>
      <c r="AU429" s="4089">
        <f t="shared" si="186"/>
        <v>24</v>
      </c>
      <c r="AV429" s="4089"/>
      <c r="AW429" s="4089"/>
      <c r="AX429" s="4089"/>
      <c r="AY429" s="4089"/>
      <c r="AZ429" s="4089"/>
      <c r="BA429" s="4089"/>
      <c r="BB429" s="4089"/>
      <c r="BC429" s="4089"/>
      <c r="BD429" s="4089"/>
      <c r="BE429" s="4089"/>
      <c r="BF429" s="4089" t="s">
        <v>89</v>
      </c>
      <c r="BG429" s="4089"/>
      <c r="BH429" s="4089">
        <f>I429-BN429</f>
        <v>23.1724137931034</v>
      </c>
      <c r="BI429" s="4089"/>
      <c r="BJ429" s="4089"/>
      <c r="BK429" s="4089"/>
      <c r="BL429" s="4089"/>
      <c r="BM429" s="4089"/>
      <c r="BN429" s="4089">
        <f t="shared" si="187"/>
        <v>0.827586206896552</v>
      </c>
      <c r="BO429" s="907"/>
      <c r="BP429" s="907"/>
      <c r="BQ429" s="907"/>
      <c r="BR429" s="907"/>
      <c r="BS429" s="907"/>
      <c r="BT429" s="910"/>
      <c r="BU429" s="911"/>
      <c r="BV429" s="4385">
        <f t="shared" si="162"/>
        <v>24</v>
      </c>
      <c r="BW429" s="4385">
        <f t="shared" si="173"/>
        <v>0</v>
      </c>
      <c r="BX429" s="4387"/>
      <c r="BY429" s="4387"/>
      <c r="BZ429" s="4387"/>
      <c r="CA429" s="4391"/>
      <c r="CB429" s="4319"/>
      <c r="CC429" s="4392">
        <v>45860</v>
      </c>
      <c r="CD429" s="4391" t="s">
        <v>4165</v>
      </c>
      <c r="CE429" s="4387"/>
      <c r="CF429" s="4387"/>
      <c r="CG429" s="4476"/>
      <c r="CH429" s="4477"/>
      <c r="CI429" s="4387"/>
      <c r="CJ429" s="4387"/>
      <c r="CK429" s="4387"/>
      <c r="CL429" s="4387"/>
      <c r="CM429" s="4387"/>
      <c r="CN429" s="4387"/>
      <c r="CO429" s="4387"/>
      <c r="CP429" s="4478"/>
    </row>
    <row r="430" s="4025" customFormat="1" ht="50" customHeight="1" spans="1:94">
      <c r="A430" s="4429">
        <v>45800</v>
      </c>
      <c r="B430" s="3617" t="s">
        <v>3744</v>
      </c>
      <c r="C430" s="3617" t="s">
        <v>91</v>
      </c>
      <c r="D430" s="3618">
        <v>4500167752</v>
      </c>
      <c r="E430" s="959" t="s">
        <v>4190</v>
      </c>
      <c r="F430" s="3618" t="s">
        <v>4191</v>
      </c>
      <c r="G430" s="3664" t="s">
        <v>2608</v>
      </c>
      <c r="H430" s="3664" t="s">
        <v>2609</v>
      </c>
      <c r="I430" s="3691">
        <v>33684</v>
      </c>
      <c r="J430" s="3691">
        <v>0</v>
      </c>
      <c r="K430" s="3691">
        <v>6</v>
      </c>
      <c r="L430" s="3691">
        <f t="shared" si="160"/>
        <v>5614</v>
      </c>
      <c r="M430" s="3619">
        <v>45855</v>
      </c>
      <c r="N430" s="3619">
        <v>45859</v>
      </c>
      <c r="O430" s="4085"/>
      <c r="P430" s="3682" t="s">
        <v>82</v>
      </c>
      <c r="Q430" s="3682"/>
      <c r="R430" s="4083"/>
      <c r="S430" s="4083"/>
      <c r="T430" s="4083"/>
      <c r="U430" s="3645" t="s">
        <v>1341</v>
      </c>
      <c r="V430" s="3649" t="s">
        <v>4192</v>
      </c>
      <c r="W430" s="3649"/>
      <c r="X430" s="3657" t="s">
        <v>98</v>
      </c>
      <c r="Y430" s="3657"/>
      <c r="Z430" s="3645" t="s">
        <v>4193</v>
      </c>
      <c r="AA430" s="3620" t="s">
        <v>4194</v>
      </c>
      <c r="AB430" s="4084" t="s">
        <v>4158</v>
      </c>
      <c r="AC430" s="4087">
        <v>1.2484</v>
      </c>
      <c r="AD430" s="3691">
        <f t="shared" si="183"/>
        <v>42051.1056</v>
      </c>
      <c r="AE430" s="3645" t="s">
        <v>4195</v>
      </c>
      <c r="AF430" s="3664" t="s">
        <v>2608</v>
      </c>
      <c r="AG430" s="3645" t="s">
        <v>416</v>
      </c>
      <c r="AH430" s="4448"/>
      <c r="AI430" s="3691"/>
      <c r="AJ430" s="3691"/>
      <c r="AK430" s="3664"/>
      <c r="AL430" s="3664"/>
      <c r="AM430" s="3664"/>
      <c r="AN430" s="3691">
        <f>I430</f>
        <v>33684</v>
      </c>
      <c r="AO430" s="3691"/>
      <c r="AP430" s="3691">
        <f t="shared" si="184"/>
        <v>33684</v>
      </c>
      <c r="AQ430" s="4089"/>
      <c r="AR430" s="4089"/>
      <c r="AS430" s="4089">
        <f>I430</f>
        <v>33684</v>
      </c>
      <c r="AT430" s="4089"/>
      <c r="AU430" s="4089"/>
      <c r="AV430" s="4089"/>
      <c r="AW430" s="4089"/>
      <c r="AX430" s="4089"/>
      <c r="AY430" s="4089"/>
      <c r="AZ430" s="4089"/>
      <c r="BA430" s="4089"/>
      <c r="BB430" s="4089"/>
      <c r="BC430" s="4089"/>
      <c r="BD430" s="4089"/>
      <c r="BE430" s="4089"/>
      <c r="BF430" s="4089" t="s">
        <v>89</v>
      </c>
      <c r="BG430" s="4089"/>
      <c r="BH430" s="4089">
        <f>I430/60*10</f>
        <v>5614</v>
      </c>
      <c r="BI430" s="4089">
        <f>I430/60*10</f>
        <v>5614</v>
      </c>
      <c r="BJ430" s="4089">
        <f>I430/60*10</f>
        <v>5614</v>
      </c>
      <c r="BK430" s="4403">
        <f>I430/60*10</f>
        <v>5614</v>
      </c>
      <c r="BL430" s="4385">
        <f>I430/60*10</f>
        <v>5614</v>
      </c>
      <c r="BM430" s="4403">
        <f>I430/60*8</f>
        <v>4491.2</v>
      </c>
      <c r="BN430" s="4089">
        <f>I430/60*2</f>
        <v>1122.8</v>
      </c>
      <c r="BO430" s="4411"/>
      <c r="BP430" s="4411"/>
      <c r="BQ430" s="4411"/>
      <c r="BR430" s="4411"/>
      <c r="BS430" s="4411"/>
      <c r="BT430" s="4453"/>
      <c r="BU430" s="4454"/>
      <c r="BV430" s="4385">
        <f t="shared" si="162"/>
        <v>33684</v>
      </c>
      <c r="BW430" s="4386">
        <f t="shared" si="173"/>
        <v>0</v>
      </c>
      <c r="BX430" s="4387"/>
      <c r="BY430" s="4387"/>
      <c r="BZ430" s="4387"/>
      <c r="CA430" s="4391" t="str">
        <f>VLOOKUP(D430&amp;G430&amp;H430&amp;I430,'9298 版本变更明细'!C:AJ,34,FALSE)</f>
        <v>全套新包装</v>
      </c>
      <c r="CB430" s="4388" t="s">
        <v>4196</v>
      </c>
      <c r="CC430" s="4392">
        <v>45856</v>
      </c>
      <c r="CD430" s="4391" t="s">
        <v>4197</v>
      </c>
    </row>
    <row r="431" s="4025" customFormat="1" ht="50" customHeight="1" spans="1:94">
      <c r="A431" s="4429">
        <v>45786</v>
      </c>
      <c r="B431" s="3617" t="s">
        <v>4198</v>
      </c>
      <c r="C431" s="3617" t="s">
        <v>341</v>
      </c>
      <c r="D431" s="3618">
        <v>4500163516</v>
      </c>
      <c r="E431" s="959" t="s">
        <v>4199</v>
      </c>
      <c r="F431" s="3690">
        <v>4500166280</v>
      </c>
      <c r="G431" s="959" t="s">
        <v>2911</v>
      </c>
      <c r="H431" s="3664" t="s">
        <v>2620</v>
      </c>
      <c r="I431" s="3691">
        <v>4000</v>
      </c>
      <c r="J431" s="3691">
        <v>0</v>
      </c>
      <c r="K431" s="3691">
        <v>4</v>
      </c>
      <c r="L431" s="3691">
        <f t="shared" si="160"/>
        <v>1000</v>
      </c>
      <c r="M431" s="3619">
        <v>45855</v>
      </c>
      <c r="N431" s="3619">
        <v>45860</v>
      </c>
      <c r="O431" s="4085"/>
      <c r="P431" s="3682" t="s">
        <v>82</v>
      </c>
      <c r="Q431" s="3682"/>
      <c r="R431" s="4083"/>
      <c r="S431" s="4083"/>
      <c r="T431" s="4083"/>
      <c r="U431" s="3645" t="s">
        <v>1504</v>
      </c>
      <c r="V431" s="3649" t="s">
        <v>3725</v>
      </c>
      <c r="W431" s="3649"/>
      <c r="X431" s="3657" t="s">
        <v>98</v>
      </c>
      <c r="Y431" s="3657"/>
      <c r="Z431" s="4421"/>
      <c r="AA431" s="3620" t="s">
        <v>4200</v>
      </c>
      <c r="AB431" s="3624" t="s">
        <v>1245</v>
      </c>
      <c r="AC431" s="3691">
        <v>2.1678</v>
      </c>
      <c r="AD431" s="3691">
        <f t="shared" si="183"/>
        <v>8671.2</v>
      </c>
      <c r="AE431" s="3645" t="s">
        <v>4201</v>
      </c>
      <c r="AF431" s="3664" t="s">
        <v>2911</v>
      </c>
      <c r="AG431" s="3645" t="s">
        <v>416</v>
      </c>
      <c r="AH431" s="4448"/>
      <c r="AI431" s="3691">
        <f>I431</f>
        <v>4000</v>
      </c>
      <c r="AJ431" s="3691"/>
      <c r="AK431" s="3664"/>
      <c r="AL431" s="3664"/>
      <c r="AM431" s="3664"/>
      <c r="AN431" s="3691"/>
      <c r="AO431" s="3691">
        <f>I431</f>
        <v>4000</v>
      </c>
      <c r="AP431" s="3691"/>
      <c r="AQ431" s="4089"/>
      <c r="AR431" s="4089"/>
      <c r="AS431" s="4089">
        <f>I431</f>
        <v>4000</v>
      </c>
      <c r="AT431" s="4089"/>
      <c r="AU431" s="4089"/>
      <c r="AV431" s="4089"/>
      <c r="AW431" s="4089"/>
      <c r="AX431" s="4089"/>
      <c r="AY431" s="4089"/>
      <c r="AZ431" s="4089"/>
      <c r="BA431" s="4089">
        <f>I431/4</f>
        <v>1000</v>
      </c>
      <c r="BB431" s="4089"/>
      <c r="BC431" s="4089"/>
      <c r="BD431" s="4089"/>
      <c r="BE431" s="4089"/>
      <c r="BF431" s="4089" t="s">
        <v>89</v>
      </c>
      <c r="BG431" s="4089"/>
      <c r="BH431" s="4089">
        <f>I431/60*10</f>
        <v>666.666666666667</v>
      </c>
      <c r="BI431" s="4089">
        <f>I431/60*10</f>
        <v>666.666666666667</v>
      </c>
      <c r="BJ431" s="4089">
        <f>I431/60*10</f>
        <v>666.666666666667</v>
      </c>
      <c r="BK431" s="4089">
        <f>I431/60*10</f>
        <v>666.666666666667</v>
      </c>
      <c r="BL431" s="4089">
        <f>I431/60*10</f>
        <v>666.666666666667</v>
      </c>
      <c r="BM431" s="4089">
        <f>I431/60*8</f>
        <v>533.333333333333</v>
      </c>
      <c r="BN431" s="4089">
        <f>I431/60*2</f>
        <v>133.333333333333</v>
      </c>
      <c r="BO431" s="4089"/>
      <c r="BP431" s="4089"/>
      <c r="BQ431" s="4089"/>
      <c r="BR431" s="4089"/>
      <c r="BS431" s="4089"/>
      <c r="BT431" s="4404"/>
      <c r="BU431" s="4403"/>
      <c r="BV431" s="4385">
        <f t="shared" si="162"/>
        <v>4000</v>
      </c>
      <c r="BW431" s="4386">
        <f t="shared" si="173"/>
        <v>0</v>
      </c>
      <c r="BX431" s="4387"/>
      <c r="BY431" s="4387"/>
      <c r="BZ431" s="4387"/>
      <c r="CA431" s="4391" t="str">
        <f>VLOOKUP(D431&amp;G431&amp;H431&amp;I431,'9298 版本变更明细'!C:AJ,34,FALSE)</f>
        <v>B版本膜+A版本指南+口水胶+C版本配件包（香味贴纸/指定配件）</v>
      </c>
      <c r="CC431" s="4392">
        <v>45860</v>
      </c>
      <c r="CD431" s="4391" t="s">
        <v>4202</v>
      </c>
    </row>
    <row r="432" s="4025" customFormat="1" ht="50" customHeight="1" spans="1:94">
      <c r="A432" s="4429">
        <v>45807</v>
      </c>
      <c r="B432" s="4080" t="s">
        <v>2616</v>
      </c>
      <c r="C432" s="3663" t="s">
        <v>471</v>
      </c>
      <c r="D432" s="3690">
        <v>4500168346</v>
      </c>
      <c r="E432" s="3664" t="s">
        <v>4203</v>
      </c>
      <c r="F432" s="3690" t="s">
        <v>4204</v>
      </c>
      <c r="G432" s="3664" t="s">
        <v>4068</v>
      </c>
      <c r="H432" s="3664" t="s">
        <v>4069</v>
      </c>
      <c r="I432" s="3691">
        <v>5520</v>
      </c>
      <c r="J432" s="3691">
        <v>0</v>
      </c>
      <c r="K432" s="3691">
        <v>24</v>
      </c>
      <c r="L432" s="3691">
        <f t="shared" si="160"/>
        <v>230</v>
      </c>
      <c r="M432" s="3659">
        <v>45855</v>
      </c>
      <c r="N432" s="3619">
        <v>45860</v>
      </c>
      <c r="O432" s="3664" t="s">
        <v>4205</v>
      </c>
      <c r="P432" s="3682" t="s">
        <v>82</v>
      </c>
      <c r="Q432" s="3682"/>
      <c r="R432" s="4083"/>
      <c r="S432" s="4083"/>
      <c r="T432" s="4083"/>
      <c r="U432" s="3645" t="s">
        <v>401</v>
      </c>
      <c r="V432" s="3649" t="s">
        <v>4206</v>
      </c>
      <c r="W432" s="3649"/>
      <c r="X432" s="3657" t="s">
        <v>4207</v>
      </c>
      <c r="Y432" s="3657"/>
      <c r="Z432" s="3661"/>
      <c r="AA432" s="3620" t="s">
        <v>4208</v>
      </c>
      <c r="AB432" s="4084" t="s">
        <v>2624</v>
      </c>
      <c r="AC432" s="4087">
        <v>2.0668</v>
      </c>
      <c r="AD432" s="3691">
        <f t="shared" si="183"/>
        <v>11408.736</v>
      </c>
      <c r="AE432" s="3645"/>
      <c r="AF432" s="3664" t="s">
        <v>4073</v>
      </c>
      <c r="AG432" s="3645" t="s">
        <v>416</v>
      </c>
      <c r="AH432" s="4430"/>
      <c r="AI432" s="3691">
        <f>I432</f>
        <v>5520</v>
      </c>
      <c r="AJ432" s="3691"/>
      <c r="AK432" s="3708"/>
      <c r="AL432" s="3664"/>
      <c r="AM432" s="3664"/>
      <c r="AN432" s="3691"/>
      <c r="AO432" s="3691">
        <f>I432</f>
        <v>5520</v>
      </c>
      <c r="AP432" s="3691"/>
      <c r="AQ432" s="4089"/>
      <c r="AR432" s="1048"/>
      <c r="AS432" s="4089"/>
      <c r="AT432" s="1048"/>
      <c r="AU432" s="4089">
        <f>I432</f>
        <v>5520</v>
      </c>
      <c r="AV432" s="4089"/>
      <c r="AW432" s="4089"/>
      <c r="AX432" s="4089"/>
      <c r="AY432" s="4089"/>
      <c r="AZ432" s="4089"/>
      <c r="BA432" s="4089"/>
      <c r="BB432" s="4089"/>
      <c r="BC432" s="4089"/>
      <c r="BD432" s="4089"/>
      <c r="BE432" s="4089"/>
      <c r="BF432" s="4089" t="s">
        <v>89</v>
      </c>
      <c r="BG432" s="4089"/>
      <c r="BH432" s="4089">
        <f>I432/60*10</f>
        <v>920</v>
      </c>
      <c r="BI432" s="4089">
        <f>I432/60*10</f>
        <v>920</v>
      </c>
      <c r="BJ432" s="4089">
        <f>I432/60*10</f>
        <v>920</v>
      </c>
      <c r="BK432" s="4089">
        <f>I432/60*10</f>
        <v>920</v>
      </c>
      <c r="BL432" s="4089">
        <f>I432/60*10</f>
        <v>920</v>
      </c>
      <c r="BM432" s="4089">
        <f>I432/60*8</f>
        <v>736</v>
      </c>
      <c r="BN432" s="4089">
        <f>I432/60*2</f>
        <v>184</v>
      </c>
      <c r="BO432" s="4413"/>
      <c r="BP432" s="4413"/>
      <c r="BQ432" s="4413"/>
      <c r="BR432" s="4413"/>
      <c r="BS432" s="4413"/>
      <c r="BT432" s="4431"/>
      <c r="BU432" s="4432"/>
      <c r="BV432" s="4385">
        <f t="shared" si="162"/>
        <v>5520</v>
      </c>
      <c r="BW432" s="4386">
        <f t="shared" si="173"/>
        <v>0</v>
      </c>
      <c r="BX432" s="4387"/>
      <c r="BY432" s="4387"/>
      <c r="BZ432" s="4387"/>
      <c r="CA432" s="4391" t="e">
        <f>VLOOKUP(D432&amp;G432&amp;H432&amp;I432,'9298 版本变更明细'!C:AJ,34,FALSE)</f>
        <v>#N/A</v>
      </c>
      <c r="CC432" s="4392">
        <v>45860</v>
      </c>
      <c r="CD432" s="4391" t="s">
        <v>4202</v>
      </c>
    </row>
    <row r="433" s="4025" customFormat="1" ht="50" customHeight="1" spans="1:82">
      <c r="A433" s="4429">
        <v>45741</v>
      </c>
      <c r="B433" s="4080" t="s">
        <v>3536</v>
      </c>
      <c r="C433" s="3663" t="s">
        <v>1546</v>
      </c>
      <c r="D433" s="3690">
        <v>4500160544</v>
      </c>
      <c r="E433" s="3664"/>
      <c r="F433" s="3690">
        <v>4500166280</v>
      </c>
      <c r="G433" s="3664" t="s">
        <v>2577</v>
      </c>
      <c r="H433" s="3664" t="s">
        <v>2578</v>
      </c>
      <c r="I433" s="3691">
        <v>60</v>
      </c>
      <c r="J433" s="3691">
        <v>0</v>
      </c>
      <c r="K433" s="3691">
        <v>12</v>
      </c>
      <c r="L433" s="3691">
        <f t="shared" si="160"/>
        <v>5</v>
      </c>
      <c r="M433" s="3659">
        <v>45856</v>
      </c>
      <c r="N433" s="3659">
        <v>45859</v>
      </c>
      <c r="O433" s="4085"/>
      <c r="P433" s="3682" t="s">
        <v>82</v>
      </c>
      <c r="Q433" s="3682"/>
      <c r="R433" s="4083"/>
      <c r="S433" s="4083"/>
      <c r="T433" s="4083"/>
      <c r="U433" s="3645" t="s">
        <v>4209</v>
      </c>
      <c r="V433" s="3649" t="s">
        <v>4210</v>
      </c>
      <c r="W433" s="3649"/>
      <c r="X433" s="3657" t="s">
        <v>4211</v>
      </c>
      <c r="Y433" s="3657"/>
      <c r="Z433" s="3661"/>
      <c r="AA433" s="3620" t="s">
        <v>4212</v>
      </c>
      <c r="AB433" s="4084" t="s">
        <v>459</v>
      </c>
      <c r="AC433" s="3691">
        <v>2.1438</v>
      </c>
      <c r="AD433" s="3691">
        <f t="shared" si="183"/>
        <v>128.628</v>
      </c>
      <c r="AE433" s="3633" t="s">
        <v>4213</v>
      </c>
      <c r="AF433" s="3664" t="s">
        <v>2604</v>
      </c>
      <c r="AG433" s="3645" t="s">
        <v>416</v>
      </c>
      <c r="AH433" s="3664"/>
      <c r="AI433" s="3691"/>
      <c r="AJ433" s="3691"/>
      <c r="AK433" s="3664"/>
      <c r="AL433" s="3664"/>
      <c r="AM433" s="3664">
        <f t="shared" ref="AM433:AM452" si="189">I433</f>
        <v>60</v>
      </c>
      <c r="AN433" s="3691"/>
      <c r="AO433" s="3691"/>
      <c r="AP433" s="3691">
        <f t="shared" ref="AP433:AP454" si="190">I433</f>
        <v>60</v>
      </c>
      <c r="AQ433" s="4089"/>
      <c r="AR433" s="4089"/>
      <c r="AS433" s="4089">
        <f>I433</f>
        <v>60</v>
      </c>
      <c r="AT433" s="4089"/>
      <c r="AU433" s="4089"/>
      <c r="AV433" s="4089">
        <f>I433/6</f>
        <v>10</v>
      </c>
      <c r="AW433" s="4089"/>
      <c r="AX433" s="4089"/>
      <c r="AY433" s="4089"/>
      <c r="AZ433" s="4089"/>
      <c r="BA433" s="4089"/>
      <c r="BB433" s="4089"/>
      <c r="BC433" s="4089"/>
      <c r="BD433" s="4089"/>
      <c r="BE433" s="4089"/>
      <c r="BF433" s="4089" t="s">
        <v>89</v>
      </c>
      <c r="BG433" s="4089"/>
      <c r="BH433" s="4089">
        <f>I433/60*10</f>
        <v>10</v>
      </c>
      <c r="BI433" s="4089">
        <f>I433/60*10</f>
        <v>10</v>
      </c>
      <c r="BJ433" s="4089">
        <f>I433/60*10</f>
        <v>10</v>
      </c>
      <c r="BK433" s="4089">
        <f>I433/60*10</f>
        <v>10</v>
      </c>
      <c r="BL433" s="4089">
        <f>I433/60*10</f>
        <v>10</v>
      </c>
      <c r="BM433" s="4089">
        <f>I433/60*8</f>
        <v>8</v>
      </c>
      <c r="BN433" s="4089">
        <f>I433/60*2</f>
        <v>2</v>
      </c>
      <c r="BO433" s="4089"/>
      <c r="BP433" s="4089"/>
      <c r="BQ433" s="4089"/>
      <c r="BR433" s="4089"/>
      <c r="BS433" s="4089"/>
      <c r="BT433" s="4404"/>
      <c r="BU433" s="4403"/>
      <c r="BV433" s="4385">
        <f t="shared" si="162"/>
        <v>60</v>
      </c>
      <c r="BW433" s="4386">
        <f t="shared" si="173"/>
        <v>0</v>
      </c>
      <c r="BX433" s="4387"/>
      <c r="BY433" s="4387"/>
      <c r="BZ433" s="4387"/>
      <c r="CA433" s="4391" t="str">
        <f>VLOOKUP(D433&amp;G433&amp;H433&amp;I433,'9298 版本变更明细'!C:AJ,34,FALSE)</f>
        <v>C版本收缩膜+指南+A版本口水胶+C版本配件包（香味贴纸/指定配件）</v>
      </c>
      <c r="CC433" s="4392" t="s">
        <v>4214</v>
      </c>
      <c r="CD433" s="4391" t="s">
        <v>4165</v>
      </c>
    </row>
    <row r="434" s="4025" customFormat="1" ht="50" customHeight="1" spans="1:82">
      <c r="A434" s="4429">
        <v>45821</v>
      </c>
      <c r="B434" s="4080" t="s">
        <v>3156</v>
      </c>
      <c r="C434" s="3663" t="s">
        <v>471</v>
      </c>
      <c r="D434" s="3690">
        <v>4500169909</v>
      </c>
      <c r="E434" s="3664">
        <v>5200006976</v>
      </c>
      <c r="F434" s="3690" t="s">
        <v>4215</v>
      </c>
      <c r="G434" s="3664" t="s">
        <v>2647</v>
      </c>
      <c r="H434" s="3664" t="s">
        <v>2648</v>
      </c>
      <c r="I434" s="3691">
        <v>15000</v>
      </c>
      <c r="J434" s="3691">
        <v>0</v>
      </c>
      <c r="K434" s="3691">
        <v>6</v>
      </c>
      <c r="L434" s="3691">
        <f t="shared" ref="L434:L472" si="191">I434/K434</f>
        <v>2500</v>
      </c>
      <c r="M434" s="3659">
        <v>45856</v>
      </c>
      <c r="N434" s="3659">
        <v>45857</v>
      </c>
      <c r="O434" s="4085"/>
      <c r="P434" s="3682" t="s">
        <v>82</v>
      </c>
      <c r="Q434" s="3682"/>
      <c r="R434" s="4083"/>
      <c r="S434" s="4083"/>
      <c r="T434" s="4083"/>
      <c r="U434" s="3645" t="s">
        <v>1341</v>
      </c>
      <c r="V434" s="3649" t="s">
        <v>1479</v>
      </c>
      <c r="W434" s="3649"/>
      <c r="X434" s="3657" t="s">
        <v>4216</v>
      </c>
      <c r="Y434" s="3657"/>
      <c r="Z434" s="3661"/>
      <c r="AA434" s="3620" t="s">
        <v>4217</v>
      </c>
      <c r="AB434" s="4084" t="s">
        <v>4059</v>
      </c>
      <c r="AC434" s="3691">
        <v>2.1098</v>
      </c>
      <c r="AD434" s="3691">
        <f t="shared" si="183"/>
        <v>31647</v>
      </c>
      <c r="AE434" s="3645" t="s">
        <v>4218</v>
      </c>
      <c r="AF434" s="959" t="s">
        <v>2652</v>
      </c>
      <c r="AG434" s="3645" t="s">
        <v>416</v>
      </c>
      <c r="AH434" s="3708"/>
      <c r="AI434" s="3691"/>
      <c r="AJ434" s="3691"/>
      <c r="AK434" s="3708"/>
      <c r="AL434" s="3664"/>
      <c r="AM434" s="3664">
        <f t="shared" si="189"/>
        <v>15000</v>
      </c>
      <c r="AN434" s="3691"/>
      <c r="AO434" s="3691"/>
      <c r="AP434" s="3691">
        <f t="shared" si="190"/>
        <v>15000</v>
      </c>
      <c r="AQ434" s="4089"/>
      <c r="AR434" s="1048"/>
      <c r="AS434" s="4089"/>
      <c r="AT434" s="1048"/>
      <c r="AU434" s="4089">
        <f t="shared" ref="AU434:AU452" si="192">I434</f>
        <v>15000</v>
      </c>
      <c r="AV434" s="4089">
        <f>I434/6</f>
        <v>2500</v>
      </c>
      <c r="AW434" s="4089"/>
      <c r="AX434" s="4089"/>
      <c r="AY434" s="4089"/>
      <c r="AZ434" s="4089"/>
      <c r="BA434" s="4089"/>
      <c r="BB434" s="4089"/>
      <c r="BC434" s="4089"/>
      <c r="BD434" s="4089"/>
      <c r="BE434" s="4089"/>
      <c r="BF434" s="4089" t="s">
        <v>89</v>
      </c>
      <c r="BG434" s="4089"/>
      <c r="BH434" s="4089">
        <f>I434/60*10</f>
        <v>2500</v>
      </c>
      <c r="BI434" s="4089">
        <f>I434/60*10</f>
        <v>2500</v>
      </c>
      <c r="BJ434" s="4089">
        <f>I434/60*10</f>
        <v>2500</v>
      </c>
      <c r="BK434" s="4089">
        <f>I434/60*10</f>
        <v>2500</v>
      </c>
      <c r="BL434" s="4089">
        <f>I434/60*10</f>
        <v>2500</v>
      </c>
      <c r="BM434" s="4089">
        <f>I434/60*8</f>
        <v>2000</v>
      </c>
      <c r="BN434" s="4089">
        <f>I434/60*2</f>
        <v>500</v>
      </c>
      <c r="BO434" s="4413"/>
      <c r="BP434" s="4413"/>
      <c r="BQ434" s="4413"/>
      <c r="BR434" s="4413"/>
      <c r="BS434" s="4413"/>
      <c r="BT434" s="4431"/>
      <c r="BU434" s="4432"/>
      <c r="BV434" s="4385">
        <f t="shared" ref="BV434:BV497" si="193">SUM(BH434:BU434)</f>
        <v>15000</v>
      </c>
      <c r="BW434" s="4386">
        <f t="shared" si="173"/>
        <v>0</v>
      </c>
      <c r="BX434" s="4387"/>
      <c r="BY434" s="4387"/>
      <c r="BZ434" s="4387"/>
      <c r="CA434" s="4391" t="str">
        <f>VLOOKUP(D434&amp;G434&amp;H434&amp;I434,'9298 版本变更明细'!C:AJ,34,FALSE)</f>
        <v>C版本收缩膜+指南+A版本口水胶+C版本配件包（香味贴纸/指定配件）</v>
      </c>
      <c r="CC434" s="4392" t="s">
        <v>4219</v>
      </c>
      <c r="CD434" s="4391" t="s">
        <v>4165</v>
      </c>
    </row>
    <row r="435" s="4025" customFormat="1" ht="50" customHeight="1" spans="1:82">
      <c r="A435" s="4429">
        <v>45821</v>
      </c>
      <c r="B435" s="4080" t="s">
        <v>1641</v>
      </c>
      <c r="C435" s="3663" t="s">
        <v>396</v>
      </c>
      <c r="D435" s="3690">
        <v>4500169979</v>
      </c>
      <c r="E435" s="3664" t="s">
        <v>4220</v>
      </c>
      <c r="F435" s="3690" t="s">
        <v>4221</v>
      </c>
      <c r="G435" s="3664" t="s">
        <v>4222</v>
      </c>
      <c r="H435" s="3664" t="s">
        <v>3187</v>
      </c>
      <c r="I435" s="3691">
        <v>12</v>
      </c>
      <c r="J435" s="3691">
        <v>0</v>
      </c>
      <c r="K435" s="3691">
        <v>12</v>
      </c>
      <c r="L435" s="3691">
        <f t="shared" si="191"/>
        <v>1</v>
      </c>
      <c r="M435" s="3659">
        <v>45856</v>
      </c>
      <c r="N435" s="3659">
        <v>45860</v>
      </c>
      <c r="O435" s="4085"/>
      <c r="P435" s="3682" t="s">
        <v>82</v>
      </c>
      <c r="Q435" s="3682"/>
      <c r="R435" s="4083"/>
      <c r="S435" s="4083"/>
      <c r="T435" s="4083"/>
      <c r="U435" s="3645" t="s">
        <v>1504</v>
      </c>
      <c r="V435" s="3649" t="s">
        <v>1479</v>
      </c>
      <c r="W435" s="3649"/>
      <c r="X435" s="3657" t="s">
        <v>4163</v>
      </c>
      <c r="Y435" s="3657" t="s">
        <v>4223</v>
      </c>
      <c r="Z435" s="3661"/>
      <c r="AA435" s="3620" t="s">
        <v>4224</v>
      </c>
      <c r="AB435" s="4084" t="s">
        <v>369</v>
      </c>
      <c r="AC435" s="3691">
        <v>2.1098</v>
      </c>
      <c r="AD435" s="3691">
        <f t="shared" si="183"/>
        <v>25.3176</v>
      </c>
      <c r="AE435" s="3645"/>
      <c r="AF435" s="3664" t="s">
        <v>4222</v>
      </c>
      <c r="AG435" s="3645" t="s">
        <v>416</v>
      </c>
      <c r="AH435" s="4405"/>
      <c r="AI435" s="3691"/>
      <c r="AJ435" s="3691"/>
      <c r="AK435" s="4405"/>
      <c r="AL435" s="3664"/>
      <c r="AM435" s="3664">
        <f t="shared" si="189"/>
        <v>12</v>
      </c>
      <c r="AN435" s="3691"/>
      <c r="AO435" s="3691"/>
      <c r="AP435" s="3691">
        <f t="shared" si="190"/>
        <v>12</v>
      </c>
      <c r="AQ435" s="4089"/>
      <c r="AR435" s="4417"/>
      <c r="AS435" s="4089"/>
      <c r="AT435" s="4417"/>
      <c r="AU435" s="4089">
        <f t="shared" si="192"/>
        <v>12</v>
      </c>
      <c r="AV435" s="4089"/>
      <c r="AW435" s="4089"/>
      <c r="AX435" s="4089"/>
      <c r="AY435" s="4089"/>
      <c r="AZ435" s="4089"/>
      <c r="BA435" s="4089"/>
      <c r="BB435" s="4089"/>
      <c r="BC435" s="4089"/>
      <c r="BD435" s="4089"/>
      <c r="BE435" s="4089"/>
      <c r="BF435" s="4089" t="s">
        <v>89</v>
      </c>
      <c r="BG435" s="4089"/>
      <c r="BH435" s="4089"/>
      <c r="BI435" s="4089"/>
      <c r="BJ435" s="4089"/>
      <c r="BK435" s="4089">
        <f>I435</f>
        <v>12</v>
      </c>
      <c r="BL435" s="4089"/>
      <c r="BM435" s="4089"/>
      <c r="BN435" s="4089">
        <f t="shared" ref="BN435:BN448" si="194">I435/60*1</f>
        <v>0.2</v>
      </c>
      <c r="BO435" s="907"/>
      <c r="BP435" s="907"/>
      <c r="BQ435" s="907"/>
      <c r="BR435" s="907"/>
      <c r="BS435" s="907"/>
      <c r="BT435" s="910"/>
      <c r="BU435" s="911"/>
      <c r="BV435" s="4385">
        <f t="shared" si="193"/>
        <v>12.2</v>
      </c>
      <c r="BW435" s="4386">
        <f t="shared" si="173"/>
        <v>-0.199999999999999</v>
      </c>
      <c r="BX435" s="4387"/>
      <c r="BY435" s="4387"/>
      <c r="BZ435" s="4387"/>
      <c r="CA435" s="4391"/>
      <c r="CC435" s="4392">
        <v>45860</v>
      </c>
      <c r="CD435" s="4391" t="s">
        <v>4165</v>
      </c>
    </row>
    <row r="436" s="4025" customFormat="1" ht="50" customHeight="1" spans="1:82">
      <c r="A436" s="4429">
        <v>45821</v>
      </c>
      <c r="B436" s="4080" t="s">
        <v>1641</v>
      </c>
      <c r="C436" s="3663" t="s">
        <v>396</v>
      </c>
      <c r="D436" s="3690">
        <v>4500169979</v>
      </c>
      <c r="E436" s="3664" t="s">
        <v>4225</v>
      </c>
      <c r="F436" s="3690" t="s">
        <v>4226</v>
      </c>
      <c r="G436" s="3664" t="s">
        <v>2680</v>
      </c>
      <c r="H436" s="3664" t="s">
        <v>2632</v>
      </c>
      <c r="I436" s="3691">
        <v>12</v>
      </c>
      <c r="J436" s="3691">
        <v>0</v>
      </c>
      <c r="K436" s="3691">
        <v>12</v>
      </c>
      <c r="L436" s="3691">
        <f t="shared" si="191"/>
        <v>1</v>
      </c>
      <c r="M436" s="3659">
        <v>45856</v>
      </c>
      <c r="N436" s="3659">
        <v>45860</v>
      </c>
      <c r="O436" s="4085"/>
      <c r="P436" s="3682" t="s">
        <v>82</v>
      </c>
      <c r="Q436" s="3682"/>
      <c r="R436" s="4083"/>
      <c r="S436" s="4083"/>
      <c r="T436" s="4083"/>
      <c r="U436" s="3645" t="s">
        <v>1504</v>
      </c>
      <c r="V436" s="3649" t="s">
        <v>1479</v>
      </c>
      <c r="W436" s="3649"/>
      <c r="X436" s="3657" t="s">
        <v>4163</v>
      </c>
      <c r="Y436" s="3657" t="s">
        <v>4223</v>
      </c>
      <c r="Z436" s="3661"/>
      <c r="AA436" s="3620" t="s">
        <v>4224</v>
      </c>
      <c r="AB436" s="4084" t="s">
        <v>369</v>
      </c>
      <c r="AC436" s="3691">
        <v>2.1098</v>
      </c>
      <c r="AD436" s="3691">
        <f t="shared" si="183"/>
        <v>25.3176</v>
      </c>
      <c r="AE436" s="3645"/>
      <c r="AF436" s="3664" t="s">
        <v>2680</v>
      </c>
      <c r="AG436" s="3645" t="s">
        <v>416</v>
      </c>
      <c r="AH436" s="4405"/>
      <c r="AI436" s="3691"/>
      <c r="AJ436" s="3691"/>
      <c r="AK436" s="4405"/>
      <c r="AL436" s="3664"/>
      <c r="AM436" s="3664">
        <f t="shared" si="189"/>
        <v>12</v>
      </c>
      <c r="AN436" s="3691"/>
      <c r="AO436" s="3691"/>
      <c r="AP436" s="3691">
        <f t="shared" si="190"/>
        <v>12</v>
      </c>
      <c r="AQ436" s="4089"/>
      <c r="AR436" s="4417"/>
      <c r="AS436" s="4089"/>
      <c r="AT436" s="4417"/>
      <c r="AU436" s="4089">
        <f t="shared" si="192"/>
        <v>12</v>
      </c>
      <c r="AV436" s="4089"/>
      <c r="AW436" s="4089"/>
      <c r="AX436" s="4089"/>
      <c r="AY436" s="4089"/>
      <c r="AZ436" s="4089"/>
      <c r="BA436" s="4089"/>
      <c r="BB436" s="4089"/>
      <c r="BC436" s="4089"/>
      <c r="BD436" s="4089"/>
      <c r="BE436" s="4089"/>
      <c r="BF436" s="4089" t="s">
        <v>89</v>
      </c>
      <c r="BG436" s="4089"/>
      <c r="BH436" s="4089"/>
      <c r="BI436" s="4089"/>
      <c r="BJ436" s="4089">
        <f>I436-BN436</f>
        <v>11.8</v>
      </c>
      <c r="BK436" s="4089"/>
      <c r="BL436" s="4089"/>
      <c r="BM436" s="4089"/>
      <c r="BN436" s="4089">
        <f t="shared" si="194"/>
        <v>0.2</v>
      </c>
      <c r="BO436" s="907"/>
      <c r="BP436" s="907"/>
      <c r="BQ436" s="907"/>
      <c r="BR436" s="907"/>
      <c r="BS436" s="907"/>
      <c r="BT436" s="910"/>
      <c r="BU436" s="911"/>
      <c r="BV436" s="4385">
        <f t="shared" si="193"/>
        <v>12</v>
      </c>
      <c r="BW436" s="4386">
        <f t="shared" si="173"/>
        <v>0</v>
      </c>
      <c r="BX436" s="4387"/>
      <c r="BY436" s="4387"/>
      <c r="BZ436" s="4387"/>
      <c r="CA436" s="4391"/>
      <c r="CC436" s="4392">
        <v>45860</v>
      </c>
      <c r="CD436" s="4391" t="s">
        <v>4165</v>
      </c>
    </row>
    <row r="437" s="4025" customFormat="1" ht="50" customHeight="1" spans="1:82">
      <c r="A437" s="4429">
        <v>45821</v>
      </c>
      <c r="B437" s="4080" t="s">
        <v>1641</v>
      </c>
      <c r="C437" s="3663" t="s">
        <v>396</v>
      </c>
      <c r="D437" s="3690">
        <v>4500169979</v>
      </c>
      <c r="E437" s="3664" t="s">
        <v>4227</v>
      </c>
      <c r="F437" s="3690" t="s">
        <v>4228</v>
      </c>
      <c r="G437" s="3664" t="s">
        <v>2680</v>
      </c>
      <c r="H437" s="3664" t="s">
        <v>2632</v>
      </c>
      <c r="I437" s="3691">
        <v>12</v>
      </c>
      <c r="J437" s="3691">
        <v>0</v>
      </c>
      <c r="K437" s="3691">
        <v>12</v>
      </c>
      <c r="L437" s="3691">
        <f t="shared" si="191"/>
        <v>1</v>
      </c>
      <c r="M437" s="3659">
        <v>45856</v>
      </c>
      <c r="N437" s="3659">
        <v>45860</v>
      </c>
      <c r="O437" s="4085"/>
      <c r="P437" s="3682" t="s">
        <v>82</v>
      </c>
      <c r="Q437" s="3682"/>
      <c r="R437" s="4083"/>
      <c r="S437" s="4083"/>
      <c r="T437" s="4083"/>
      <c r="U437" s="3645" t="s">
        <v>1504</v>
      </c>
      <c r="V437" s="3649" t="s">
        <v>1479</v>
      </c>
      <c r="W437" s="3649"/>
      <c r="X437" s="3657" t="s">
        <v>4163</v>
      </c>
      <c r="Y437" s="3657" t="s">
        <v>4223</v>
      </c>
      <c r="Z437" s="3661"/>
      <c r="AA437" s="3620" t="s">
        <v>4224</v>
      </c>
      <c r="AB437" s="4084" t="s">
        <v>369</v>
      </c>
      <c r="AC437" s="3691">
        <v>2.1098</v>
      </c>
      <c r="AD437" s="3691">
        <f t="shared" si="183"/>
        <v>25.3176</v>
      </c>
      <c r="AE437" s="3645"/>
      <c r="AF437" s="3664" t="s">
        <v>2680</v>
      </c>
      <c r="AG437" s="3645" t="s">
        <v>416</v>
      </c>
      <c r="AH437" s="4405"/>
      <c r="AI437" s="3691"/>
      <c r="AJ437" s="3691"/>
      <c r="AK437" s="4405"/>
      <c r="AL437" s="3664"/>
      <c r="AM437" s="3664">
        <f t="shared" si="189"/>
        <v>12</v>
      </c>
      <c r="AN437" s="3691"/>
      <c r="AO437" s="3691"/>
      <c r="AP437" s="3691">
        <f t="shared" si="190"/>
        <v>12</v>
      </c>
      <c r="AQ437" s="4089"/>
      <c r="AR437" s="4417"/>
      <c r="AS437" s="4089"/>
      <c r="AT437" s="4417"/>
      <c r="AU437" s="4089">
        <f t="shared" si="192"/>
        <v>12</v>
      </c>
      <c r="AV437" s="4089"/>
      <c r="AW437" s="4089"/>
      <c r="AX437" s="4089"/>
      <c r="AY437" s="4089"/>
      <c r="AZ437" s="4089"/>
      <c r="BA437" s="4089"/>
      <c r="BB437" s="4089"/>
      <c r="BC437" s="4089"/>
      <c r="BD437" s="4089"/>
      <c r="BE437" s="4089"/>
      <c r="BF437" s="4089" t="s">
        <v>89</v>
      </c>
      <c r="BG437" s="4089"/>
      <c r="BH437" s="4089"/>
      <c r="BI437" s="4089"/>
      <c r="BJ437" s="4089">
        <f>I437-BN437</f>
        <v>11.8</v>
      </c>
      <c r="BK437" s="4089"/>
      <c r="BL437" s="4089"/>
      <c r="BM437" s="4089"/>
      <c r="BN437" s="4089">
        <f t="shared" si="194"/>
        <v>0.2</v>
      </c>
      <c r="BO437" s="907"/>
      <c r="BP437" s="907"/>
      <c r="BQ437" s="907"/>
      <c r="BR437" s="907"/>
      <c r="BS437" s="907"/>
      <c r="BT437" s="910"/>
      <c r="BU437" s="911"/>
      <c r="BV437" s="4385">
        <f t="shared" si="193"/>
        <v>12</v>
      </c>
      <c r="BW437" s="4386">
        <f t="shared" si="173"/>
        <v>0</v>
      </c>
      <c r="BX437" s="4387"/>
      <c r="BY437" s="4387"/>
      <c r="BZ437" s="4387"/>
      <c r="CA437" s="4391"/>
      <c r="CC437" s="4392">
        <v>45860</v>
      </c>
      <c r="CD437" s="4391" t="s">
        <v>4165</v>
      </c>
    </row>
    <row r="438" s="4025" customFormat="1" ht="50" customHeight="1" spans="1:82">
      <c r="A438" s="4429">
        <v>45821</v>
      </c>
      <c r="B438" s="4080" t="s">
        <v>1641</v>
      </c>
      <c r="C438" s="3663" t="s">
        <v>396</v>
      </c>
      <c r="D438" s="3690">
        <v>4500169979</v>
      </c>
      <c r="E438" s="3664" t="s">
        <v>4229</v>
      </c>
      <c r="F438" s="3690" t="s">
        <v>4230</v>
      </c>
      <c r="G438" s="3664" t="s">
        <v>2680</v>
      </c>
      <c r="H438" s="3664" t="s">
        <v>2632</v>
      </c>
      <c r="I438" s="3691">
        <v>12</v>
      </c>
      <c r="J438" s="3691">
        <v>0</v>
      </c>
      <c r="K438" s="3691">
        <v>12</v>
      </c>
      <c r="L438" s="3691">
        <f t="shared" si="191"/>
        <v>1</v>
      </c>
      <c r="M438" s="3659">
        <v>45856</v>
      </c>
      <c r="N438" s="3659">
        <v>45860</v>
      </c>
      <c r="O438" s="4085"/>
      <c r="P438" s="3682" t="s">
        <v>82</v>
      </c>
      <c r="Q438" s="3682"/>
      <c r="R438" s="4083"/>
      <c r="S438" s="4083"/>
      <c r="T438" s="4083"/>
      <c r="U438" s="3645" t="s">
        <v>1504</v>
      </c>
      <c r="V438" s="3649" t="s">
        <v>1479</v>
      </c>
      <c r="W438" s="3649"/>
      <c r="X438" s="3657" t="s">
        <v>4163</v>
      </c>
      <c r="Y438" s="3657" t="s">
        <v>4223</v>
      </c>
      <c r="Z438" s="3661"/>
      <c r="AA438" s="3620" t="s">
        <v>4224</v>
      </c>
      <c r="AB438" s="4084" t="s">
        <v>369</v>
      </c>
      <c r="AC438" s="3691">
        <v>2.1098</v>
      </c>
      <c r="AD438" s="3691">
        <f t="shared" si="183"/>
        <v>25.3176</v>
      </c>
      <c r="AE438" s="3645"/>
      <c r="AF438" s="3664" t="s">
        <v>2680</v>
      </c>
      <c r="AG438" s="3645" t="s">
        <v>416</v>
      </c>
      <c r="AH438" s="4405"/>
      <c r="AI438" s="3691"/>
      <c r="AJ438" s="3691"/>
      <c r="AK438" s="4405"/>
      <c r="AL438" s="3664"/>
      <c r="AM438" s="3664">
        <f t="shared" si="189"/>
        <v>12</v>
      </c>
      <c r="AN438" s="3691"/>
      <c r="AO438" s="3691"/>
      <c r="AP438" s="3691">
        <f t="shared" si="190"/>
        <v>12</v>
      </c>
      <c r="AQ438" s="4089"/>
      <c r="AR438" s="4417"/>
      <c r="AS438" s="4089"/>
      <c r="AT438" s="4417"/>
      <c r="AU438" s="4089">
        <f t="shared" si="192"/>
        <v>12</v>
      </c>
      <c r="AV438" s="4089"/>
      <c r="AW438" s="4089"/>
      <c r="AX438" s="4089"/>
      <c r="AY438" s="4089"/>
      <c r="AZ438" s="4089"/>
      <c r="BA438" s="4089"/>
      <c r="BB438" s="4089"/>
      <c r="BC438" s="4089"/>
      <c r="BD438" s="4089"/>
      <c r="BE438" s="4089"/>
      <c r="BF438" s="4089" t="s">
        <v>89</v>
      </c>
      <c r="BG438" s="4089"/>
      <c r="BH438" s="4089"/>
      <c r="BI438" s="4089"/>
      <c r="BJ438" s="4089">
        <f>I438-BN438</f>
        <v>11.8</v>
      </c>
      <c r="BK438" s="4089"/>
      <c r="BL438" s="4089"/>
      <c r="BM438" s="4089"/>
      <c r="BN438" s="4089">
        <f t="shared" si="194"/>
        <v>0.2</v>
      </c>
      <c r="BO438" s="907"/>
      <c r="BP438" s="907"/>
      <c r="BQ438" s="907"/>
      <c r="BR438" s="907"/>
      <c r="BS438" s="907"/>
      <c r="BT438" s="910"/>
      <c r="BU438" s="911"/>
      <c r="BV438" s="4385">
        <f t="shared" si="193"/>
        <v>12</v>
      </c>
      <c r="BW438" s="4386">
        <f t="shared" si="173"/>
        <v>0</v>
      </c>
      <c r="BX438" s="4387"/>
      <c r="BY438" s="4387"/>
      <c r="BZ438" s="4387"/>
      <c r="CA438" s="4391"/>
      <c r="CC438" s="4392">
        <v>45860</v>
      </c>
      <c r="CD438" s="4391" t="s">
        <v>4165</v>
      </c>
    </row>
    <row r="439" s="4025" customFormat="1" ht="50" customHeight="1" spans="1:82">
      <c r="A439" s="4429">
        <v>45821</v>
      </c>
      <c r="B439" s="4080" t="s">
        <v>1641</v>
      </c>
      <c r="C439" s="3663" t="s">
        <v>396</v>
      </c>
      <c r="D439" s="3690">
        <v>4500169979</v>
      </c>
      <c r="E439" s="3664" t="s">
        <v>4231</v>
      </c>
      <c r="F439" s="3690" t="s">
        <v>4232</v>
      </c>
      <c r="G439" s="3664" t="s">
        <v>2680</v>
      </c>
      <c r="H439" s="3664" t="s">
        <v>2632</v>
      </c>
      <c r="I439" s="3691">
        <v>12</v>
      </c>
      <c r="J439" s="3691">
        <v>0</v>
      </c>
      <c r="K439" s="3691">
        <v>12</v>
      </c>
      <c r="L439" s="3691">
        <f t="shared" si="191"/>
        <v>1</v>
      </c>
      <c r="M439" s="3659">
        <v>45856</v>
      </c>
      <c r="N439" s="3659">
        <v>45860</v>
      </c>
      <c r="O439" s="4085"/>
      <c r="P439" s="3682" t="s">
        <v>82</v>
      </c>
      <c r="Q439" s="3682"/>
      <c r="R439" s="4083"/>
      <c r="S439" s="4083"/>
      <c r="T439" s="4083"/>
      <c r="U439" s="3645" t="s">
        <v>1504</v>
      </c>
      <c r="V439" s="3649" t="s">
        <v>1479</v>
      </c>
      <c r="W439" s="3649"/>
      <c r="X439" s="3657" t="s">
        <v>4163</v>
      </c>
      <c r="Y439" s="3657" t="s">
        <v>4223</v>
      </c>
      <c r="Z439" s="3661"/>
      <c r="AA439" s="3620" t="s">
        <v>4224</v>
      </c>
      <c r="AB439" s="4084" t="s">
        <v>369</v>
      </c>
      <c r="AC439" s="3691">
        <v>2.1098</v>
      </c>
      <c r="AD439" s="3691">
        <f t="shared" si="183"/>
        <v>25.3176</v>
      </c>
      <c r="AE439" s="3645"/>
      <c r="AF439" s="3664" t="s">
        <v>2680</v>
      </c>
      <c r="AG439" s="3645" t="s">
        <v>416</v>
      </c>
      <c r="AH439" s="4405"/>
      <c r="AI439" s="3691"/>
      <c r="AJ439" s="3691"/>
      <c r="AK439" s="4405"/>
      <c r="AL439" s="3664"/>
      <c r="AM439" s="3664">
        <f t="shared" si="189"/>
        <v>12</v>
      </c>
      <c r="AN439" s="3691"/>
      <c r="AO439" s="3691"/>
      <c r="AP439" s="3691">
        <f t="shared" si="190"/>
        <v>12</v>
      </c>
      <c r="AQ439" s="4089"/>
      <c r="AR439" s="4417"/>
      <c r="AS439" s="4089"/>
      <c r="AT439" s="4417"/>
      <c r="AU439" s="4089">
        <f t="shared" si="192"/>
        <v>12</v>
      </c>
      <c r="AV439" s="4089"/>
      <c r="AW439" s="4089"/>
      <c r="AX439" s="4089"/>
      <c r="AY439" s="4089"/>
      <c r="AZ439" s="4089"/>
      <c r="BA439" s="4089"/>
      <c r="BB439" s="4089"/>
      <c r="BC439" s="4089"/>
      <c r="BD439" s="4089"/>
      <c r="BE439" s="4089"/>
      <c r="BF439" s="4089" t="s">
        <v>89</v>
      </c>
      <c r="BG439" s="4089"/>
      <c r="BH439" s="4089"/>
      <c r="BI439" s="4089"/>
      <c r="BJ439" s="4089">
        <f>I439-BN439</f>
        <v>11.8</v>
      </c>
      <c r="BK439" s="4089"/>
      <c r="BL439" s="4089"/>
      <c r="BM439" s="4089"/>
      <c r="BN439" s="4089">
        <f t="shared" si="194"/>
        <v>0.2</v>
      </c>
      <c r="BO439" s="907"/>
      <c r="BP439" s="907"/>
      <c r="BQ439" s="907"/>
      <c r="BR439" s="907"/>
      <c r="BS439" s="907"/>
      <c r="BT439" s="910"/>
      <c r="BU439" s="911"/>
      <c r="BV439" s="4385">
        <f t="shared" si="193"/>
        <v>12</v>
      </c>
      <c r="BW439" s="4386">
        <f t="shared" si="173"/>
        <v>0</v>
      </c>
      <c r="BX439" s="4387"/>
      <c r="BY439" s="4387"/>
      <c r="BZ439" s="4387"/>
      <c r="CA439" s="4391"/>
      <c r="CC439" s="4392">
        <v>45860</v>
      </c>
      <c r="CD439" s="4391" t="s">
        <v>4165</v>
      </c>
    </row>
    <row r="440" s="4025" customFormat="1" ht="50" customHeight="1" spans="1:82">
      <c r="A440" s="3688">
        <v>45821</v>
      </c>
      <c r="B440" s="3689" t="s">
        <v>1641</v>
      </c>
      <c r="C440" s="3664" t="s">
        <v>396</v>
      </c>
      <c r="D440" s="3690">
        <v>4500169979</v>
      </c>
      <c r="E440" s="3664" t="s">
        <v>4233</v>
      </c>
      <c r="F440" s="3690" t="s">
        <v>4234</v>
      </c>
      <c r="G440" s="3664" t="s">
        <v>2680</v>
      </c>
      <c r="H440" s="3664" t="s">
        <v>2632</v>
      </c>
      <c r="I440" s="3691">
        <v>12</v>
      </c>
      <c r="J440" s="3691">
        <v>0</v>
      </c>
      <c r="K440" s="3691">
        <v>12</v>
      </c>
      <c r="L440" s="3691">
        <f t="shared" si="191"/>
        <v>1</v>
      </c>
      <c r="M440" s="3659">
        <v>45856</v>
      </c>
      <c r="N440" s="3659">
        <v>45860</v>
      </c>
      <c r="O440" s="4085"/>
      <c r="P440" s="3682" t="s">
        <v>82</v>
      </c>
      <c r="Q440" s="3682"/>
      <c r="R440" s="4083"/>
      <c r="S440" s="4083"/>
      <c r="T440" s="4083"/>
      <c r="U440" s="3645" t="s">
        <v>1504</v>
      </c>
      <c r="V440" s="3649" t="s">
        <v>1479</v>
      </c>
      <c r="W440" s="3657"/>
      <c r="X440" s="3657" t="s">
        <v>4163</v>
      </c>
      <c r="Y440" s="3649" t="s">
        <v>4223</v>
      </c>
      <c r="Z440" s="3661"/>
      <c r="AA440" s="3620" t="s">
        <v>4224</v>
      </c>
      <c r="AB440" s="3691" t="s">
        <v>369</v>
      </c>
      <c r="AC440" s="3691">
        <v>2.1098</v>
      </c>
      <c r="AD440" s="3691">
        <f t="shared" si="183"/>
        <v>25.3176</v>
      </c>
      <c r="AE440" s="3645"/>
      <c r="AF440" s="3664" t="s">
        <v>2680</v>
      </c>
      <c r="AG440" s="3645" t="s">
        <v>416</v>
      </c>
      <c r="AH440" s="4405"/>
      <c r="AI440" s="3691"/>
      <c r="AJ440" s="3691"/>
      <c r="AK440" s="4405"/>
      <c r="AL440" s="3664"/>
      <c r="AM440" s="3664">
        <f t="shared" si="189"/>
        <v>12</v>
      </c>
      <c r="AN440" s="3691"/>
      <c r="AO440" s="3691"/>
      <c r="AP440" s="3691">
        <f t="shared" si="190"/>
        <v>12</v>
      </c>
      <c r="AQ440" s="4089"/>
      <c r="AR440" s="4417"/>
      <c r="AS440" s="4089"/>
      <c r="AT440" s="4417"/>
      <c r="AU440" s="4089">
        <f t="shared" si="192"/>
        <v>12</v>
      </c>
      <c r="AV440" s="4089"/>
      <c r="AW440" s="4089"/>
      <c r="AX440" s="4089"/>
      <c r="AY440" s="4089"/>
      <c r="AZ440" s="4089"/>
      <c r="BA440" s="4089"/>
      <c r="BB440" s="4089"/>
      <c r="BC440" s="4089"/>
      <c r="BD440" s="4089"/>
      <c r="BE440" s="4089"/>
      <c r="BF440" s="4089" t="s">
        <v>89</v>
      </c>
      <c r="BG440" s="4089"/>
      <c r="BH440" s="4089"/>
      <c r="BI440" s="4089"/>
      <c r="BJ440" s="4089">
        <f>I440-BN440</f>
        <v>11.8</v>
      </c>
      <c r="BK440" s="4089"/>
      <c r="BL440" s="4089"/>
      <c r="BM440" s="4089"/>
      <c r="BN440" s="4089">
        <f t="shared" si="194"/>
        <v>0.2</v>
      </c>
      <c r="BO440" s="907"/>
      <c r="BP440" s="907"/>
      <c r="BQ440" s="907"/>
      <c r="BR440" s="907"/>
      <c r="BS440" s="907"/>
      <c r="BT440" s="910"/>
      <c r="BU440" s="911"/>
      <c r="BV440" s="4385">
        <f t="shared" si="193"/>
        <v>12</v>
      </c>
      <c r="BW440" s="4386">
        <f t="shared" si="173"/>
        <v>0</v>
      </c>
      <c r="BX440" s="4387"/>
      <c r="BY440" s="4387"/>
      <c r="BZ440" s="4387"/>
      <c r="CA440" s="4391"/>
      <c r="CC440" s="4392">
        <v>45860</v>
      </c>
      <c r="CD440" s="4391" t="s">
        <v>4165</v>
      </c>
    </row>
    <row r="441" s="4025" customFormat="1" ht="50" customHeight="1" spans="1:82">
      <c r="A441" s="3688">
        <v>45821</v>
      </c>
      <c r="B441" s="3689" t="s">
        <v>1641</v>
      </c>
      <c r="C441" s="3664" t="s">
        <v>396</v>
      </c>
      <c r="D441" s="3690">
        <v>4500169979</v>
      </c>
      <c r="E441" s="3664" t="s">
        <v>4235</v>
      </c>
      <c r="F441" s="3690" t="s">
        <v>4236</v>
      </c>
      <c r="G441" s="3664" t="s">
        <v>3021</v>
      </c>
      <c r="H441" s="3664" t="s">
        <v>2984</v>
      </c>
      <c r="I441" s="3691">
        <v>24</v>
      </c>
      <c r="J441" s="3691">
        <v>0</v>
      </c>
      <c r="K441" s="3691">
        <v>12</v>
      </c>
      <c r="L441" s="3691">
        <f t="shared" si="191"/>
        <v>2</v>
      </c>
      <c r="M441" s="3659">
        <v>45856</v>
      </c>
      <c r="N441" s="3659">
        <v>45860</v>
      </c>
      <c r="O441" s="4085"/>
      <c r="P441" s="3682" t="s">
        <v>82</v>
      </c>
      <c r="Q441" s="3682"/>
      <c r="R441" s="4083"/>
      <c r="S441" s="4083"/>
      <c r="T441" s="4083"/>
      <c r="U441" s="3645" t="s">
        <v>1504</v>
      </c>
      <c r="V441" s="3649" t="s">
        <v>1479</v>
      </c>
      <c r="W441" s="3657"/>
      <c r="X441" s="3657" t="s">
        <v>4163</v>
      </c>
      <c r="Y441" s="3649" t="s">
        <v>4223</v>
      </c>
      <c r="Z441" s="3661"/>
      <c r="AA441" s="3620" t="s">
        <v>4224</v>
      </c>
      <c r="AB441" s="3691" t="s">
        <v>369</v>
      </c>
      <c r="AC441" s="3691">
        <v>2.1098</v>
      </c>
      <c r="AD441" s="3691">
        <f t="shared" si="183"/>
        <v>50.6352</v>
      </c>
      <c r="AE441" s="3645"/>
      <c r="AF441" s="3664" t="s">
        <v>3021</v>
      </c>
      <c r="AG441" s="3645" t="s">
        <v>416</v>
      </c>
      <c r="AH441" s="4405"/>
      <c r="AI441" s="3691"/>
      <c r="AJ441" s="3691"/>
      <c r="AK441" s="4405"/>
      <c r="AL441" s="3664"/>
      <c r="AM441" s="3664">
        <f t="shared" si="189"/>
        <v>24</v>
      </c>
      <c r="AN441" s="3691"/>
      <c r="AO441" s="3691"/>
      <c r="AP441" s="3691">
        <f t="shared" si="190"/>
        <v>24</v>
      </c>
      <c r="AQ441" s="4089"/>
      <c r="AR441" s="4417"/>
      <c r="AS441" s="4089"/>
      <c r="AT441" s="4417"/>
      <c r="AU441" s="4089">
        <f t="shared" si="192"/>
        <v>24</v>
      </c>
      <c r="AV441" s="4089"/>
      <c r="AW441" s="4089"/>
      <c r="AX441" s="4089"/>
      <c r="AY441" s="4089"/>
      <c r="AZ441" s="4089"/>
      <c r="BA441" s="4089"/>
      <c r="BB441" s="4089"/>
      <c r="BC441" s="4089"/>
      <c r="BD441" s="4089"/>
      <c r="BE441" s="4089"/>
      <c r="BF441" s="4089" t="s">
        <v>89</v>
      </c>
      <c r="BG441" s="4089"/>
      <c r="BH441" s="4089"/>
      <c r="BI441" s="4089"/>
      <c r="BJ441" s="4089"/>
      <c r="BK441" s="4089"/>
      <c r="BL441" s="4089">
        <f>I441-BN441</f>
        <v>23.6</v>
      </c>
      <c r="BM441" s="4089"/>
      <c r="BN441" s="4089">
        <f t="shared" si="194"/>
        <v>0.4</v>
      </c>
      <c r="BO441" s="907"/>
      <c r="BP441" s="907"/>
      <c r="BQ441" s="907"/>
      <c r="BR441" s="907"/>
      <c r="BS441" s="907"/>
      <c r="BT441" s="910"/>
      <c r="BU441" s="911"/>
      <c r="BV441" s="4385">
        <f t="shared" si="193"/>
        <v>24</v>
      </c>
      <c r="BW441" s="4386">
        <f t="shared" si="173"/>
        <v>0</v>
      </c>
      <c r="BX441" s="4387"/>
      <c r="BY441" s="4387"/>
      <c r="BZ441" s="4387"/>
      <c r="CA441" s="4391"/>
      <c r="CC441" s="4392">
        <v>45860</v>
      </c>
      <c r="CD441" s="4391" t="s">
        <v>4165</v>
      </c>
    </row>
    <row r="442" s="4025" customFormat="1" ht="50" customHeight="1" spans="1:82">
      <c r="A442" s="3688">
        <v>45821</v>
      </c>
      <c r="B442" s="3689" t="s">
        <v>1641</v>
      </c>
      <c r="C442" s="3664" t="s">
        <v>396</v>
      </c>
      <c r="D442" s="3690">
        <v>4500169979</v>
      </c>
      <c r="E442" s="3664" t="s">
        <v>4237</v>
      </c>
      <c r="F442" s="3690" t="s">
        <v>4238</v>
      </c>
      <c r="G442" s="3664" t="s">
        <v>3021</v>
      </c>
      <c r="H442" s="3664" t="s">
        <v>2984</v>
      </c>
      <c r="I442" s="3691">
        <v>24</v>
      </c>
      <c r="J442" s="3691">
        <v>0</v>
      </c>
      <c r="K442" s="3691">
        <v>12</v>
      </c>
      <c r="L442" s="3691">
        <f t="shared" si="191"/>
        <v>2</v>
      </c>
      <c r="M442" s="3659">
        <v>45856</v>
      </c>
      <c r="N442" s="3659">
        <v>45860</v>
      </c>
      <c r="O442" s="4085"/>
      <c r="P442" s="3682" t="s">
        <v>82</v>
      </c>
      <c r="Q442" s="3682"/>
      <c r="R442" s="4083"/>
      <c r="S442" s="4083"/>
      <c r="T442" s="4083"/>
      <c r="U442" s="3645" t="s">
        <v>1504</v>
      </c>
      <c r="V442" s="3649" t="s">
        <v>1479</v>
      </c>
      <c r="W442" s="3657"/>
      <c r="X442" s="3657" t="s">
        <v>4163</v>
      </c>
      <c r="Y442" s="3649" t="s">
        <v>4223</v>
      </c>
      <c r="Z442" s="3661"/>
      <c r="AA442" s="3620" t="s">
        <v>4224</v>
      </c>
      <c r="AB442" s="3691" t="s">
        <v>369</v>
      </c>
      <c r="AC442" s="3691">
        <v>2.1098</v>
      </c>
      <c r="AD442" s="3691">
        <f t="shared" si="183"/>
        <v>50.6352</v>
      </c>
      <c r="AE442" s="3645"/>
      <c r="AF442" s="3664" t="s">
        <v>3021</v>
      </c>
      <c r="AG442" s="3645" t="s">
        <v>416</v>
      </c>
      <c r="AH442" s="4405"/>
      <c r="AI442" s="3691"/>
      <c r="AJ442" s="3691"/>
      <c r="AK442" s="4405"/>
      <c r="AL442" s="3664"/>
      <c r="AM442" s="3664">
        <f t="shared" si="189"/>
        <v>24</v>
      </c>
      <c r="AN442" s="3691"/>
      <c r="AO442" s="3691"/>
      <c r="AP442" s="3691">
        <f t="shared" si="190"/>
        <v>24</v>
      </c>
      <c r="AQ442" s="4089"/>
      <c r="AR442" s="4417"/>
      <c r="AS442" s="4089"/>
      <c r="AT442" s="4417"/>
      <c r="AU442" s="4089">
        <f t="shared" si="192"/>
        <v>24</v>
      </c>
      <c r="AV442" s="4089"/>
      <c r="AW442" s="4089"/>
      <c r="AX442" s="4089"/>
      <c r="AY442" s="4089"/>
      <c r="AZ442" s="4089"/>
      <c r="BA442" s="4089"/>
      <c r="BB442" s="4089"/>
      <c r="BC442" s="4089"/>
      <c r="BD442" s="4089"/>
      <c r="BE442" s="4089"/>
      <c r="BF442" s="4089" t="s">
        <v>89</v>
      </c>
      <c r="BG442" s="4089"/>
      <c r="BH442" s="4089"/>
      <c r="BI442" s="4089"/>
      <c r="BJ442" s="4089"/>
      <c r="BK442" s="4089"/>
      <c r="BL442" s="4089">
        <f>I442-BN442</f>
        <v>23.6</v>
      </c>
      <c r="BM442" s="4089"/>
      <c r="BN442" s="4089">
        <f t="shared" si="194"/>
        <v>0.4</v>
      </c>
      <c r="BO442" s="907"/>
      <c r="BP442" s="907"/>
      <c r="BQ442" s="907"/>
      <c r="BR442" s="907"/>
      <c r="BS442" s="907"/>
      <c r="BT442" s="910"/>
      <c r="BU442" s="911"/>
      <c r="BV442" s="4385">
        <f t="shared" si="193"/>
        <v>24</v>
      </c>
      <c r="BW442" s="4386">
        <f t="shared" si="173"/>
        <v>0</v>
      </c>
      <c r="BX442" s="4387"/>
      <c r="BY442" s="4387"/>
      <c r="BZ442" s="4387"/>
      <c r="CA442" s="4391"/>
      <c r="CC442" s="4392">
        <v>45860</v>
      </c>
      <c r="CD442" s="4391" t="s">
        <v>4165</v>
      </c>
    </row>
    <row r="443" s="4025" customFormat="1" ht="50" customHeight="1" spans="1:82">
      <c r="A443" s="3688">
        <v>45821</v>
      </c>
      <c r="B443" s="3689" t="s">
        <v>1641</v>
      </c>
      <c r="C443" s="3664" t="s">
        <v>396</v>
      </c>
      <c r="D443" s="3690">
        <v>4500169979</v>
      </c>
      <c r="E443" s="3664" t="s">
        <v>4239</v>
      </c>
      <c r="F443" s="3690" t="s">
        <v>4240</v>
      </c>
      <c r="G443" s="3664" t="s">
        <v>3021</v>
      </c>
      <c r="H443" s="3664" t="s">
        <v>2984</v>
      </c>
      <c r="I443" s="3691">
        <v>24</v>
      </c>
      <c r="J443" s="3691">
        <v>0</v>
      </c>
      <c r="K443" s="3691">
        <v>12</v>
      </c>
      <c r="L443" s="3691">
        <f t="shared" si="191"/>
        <v>2</v>
      </c>
      <c r="M443" s="3659">
        <v>45856</v>
      </c>
      <c r="N443" s="3659">
        <v>45860</v>
      </c>
      <c r="O443" s="4085"/>
      <c r="P443" s="3682" t="s">
        <v>82</v>
      </c>
      <c r="Q443" s="3682"/>
      <c r="R443" s="4083"/>
      <c r="S443" s="4083"/>
      <c r="T443" s="4083"/>
      <c r="U443" s="3645" t="s">
        <v>1504</v>
      </c>
      <c r="V443" s="3649" t="s">
        <v>1479</v>
      </c>
      <c r="W443" s="3657"/>
      <c r="X443" s="3657" t="s">
        <v>4163</v>
      </c>
      <c r="Y443" s="3649" t="s">
        <v>4223</v>
      </c>
      <c r="Z443" s="3661"/>
      <c r="AA443" s="3620" t="s">
        <v>4224</v>
      </c>
      <c r="AB443" s="3691" t="s">
        <v>369</v>
      </c>
      <c r="AC443" s="3691">
        <v>2.1098</v>
      </c>
      <c r="AD443" s="3691">
        <f t="shared" si="183"/>
        <v>50.6352</v>
      </c>
      <c r="AE443" s="3645"/>
      <c r="AF443" s="3664" t="s">
        <v>3021</v>
      </c>
      <c r="AG443" s="3645" t="s">
        <v>416</v>
      </c>
      <c r="AH443" s="4405"/>
      <c r="AI443" s="3691"/>
      <c r="AJ443" s="3691"/>
      <c r="AK443" s="4405"/>
      <c r="AL443" s="3664"/>
      <c r="AM443" s="3664">
        <f t="shared" si="189"/>
        <v>24</v>
      </c>
      <c r="AN443" s="3691"/>
      <c r="AO443" s="3691"/>
      <c r="AP443" s="3691">
        <f t="shared" si="190"/>
        <v>24</v>
      </c>
      <c r="AQ443" s="4089"/>
      <c r="AR443" s="4417"/>
      <c r="AS443" s="4089"/>
      <c r="AT443" s="4417"/>
      <c r="AU443" s="4089">
        <f t="shared" si="192"/>
        <v>24</v>
      </c>
      <c r="AV443" s="4089"/>
      <c r="AW443" s="4089"/>
      <c r="AX443" s="4089"/>
      <c r="AY443" s="4089"/>
      <c r="AZ443" s="4089"/>
      <c r="BA443" s="4089"/>
      <c r="BB443" s="4089"/>
      <c r="BC443" s="4089"/>
      <c r="BD443" s="4089"/>
      <c r="BE443" s="4089"/>
      <c r="BF443" s="4089" t="s">
        <v>89</v>
      </c>
      <c r="BG443" s="4089"/>
      <c r="BH443" s="4089"/>
      <c r="BI443" s="4089"/>
      <c r="BJ443" s="4089"/>
      <c r="BK443" s="4089"/>
      <c r="BL443" s="4089">
        <f>I443-BN443</f>
        <v>23.6</v>
      </c>
      <c r="BM443" s="4089"/>
      <c r="BN443" s="4089">
        <f t="shared" si="194"/>
        <v>0.4</v>
      </c>
      <c r="BO443" s="907"/>
      <c r="BP443" s="907"/>
      <c r="BQ443" s="907"/>
      <c r="BR443" s="907"/>
      <c r="BS443" s="907"/>
      <c r="BT443" s="910"/>
      <c r="BU443" s="911"/>
      <c r="BV443" s="4385">
        <f t="shared" si="193"/>
        <v>24</v>
      </c>
      <c r="BW443" s="4386">
        <f t="shared" si="173"/>
        <v>0</v>
      </c>
      <c r="BX443" s="4387"/>
      <c r="BY443" s="4387"/>
      <c r="BZ443" s="4387"/>
      <c r="CA443" s="4391"/>
      <c r="CC443" s="4392">
        <v>45860</v>
      </c>
      <c r="CD443" s="4391" t="s">
        <v>4165</v>
      </c>
    </row>
    <row r="444" s="4025" customFormat="1" ht="50" customHeight="1" spans="1:82">
      <c r="A444" s="3688">
        <v>45821</v>
      </c>
      <c r="B444" s="3689" t="s">
        <v>1641</v>
      </c>
      <c r="C444" s="3664" t="s">
        <v>396</v>
      </c>
      <c r="D444" s="3690">
        <v>4500169979</v>
      </c>
      <c r="E444" s="3664" t="s">
        <v>4241</v>
      </c>
      <c r="F444" s="3690" t="s">
        <v>4242</v>
      </c>
      <c r="G444" s="3664" t="s">
        <v>3021</v>
      </c>
      <c r="H444" s="3664" t="s">
        <v>2984</v>
      </c>
      <c r="I444" s="3691">
        <v>24</v>
      </c>
      <c r="J444" s="3691">
        <v>0</v>
      </c>
      <c r="K444" s="3691">
        <v>12</v>
      </c>
      <c r="L444" s="3691">
        <f t="shared" si="191"/>
        <v>2</v>
      </c>
      <c r="M444" s="3659">
        <v>45856</v>
      </c>
      <c r="N444" s="3659">
        <v>45860</v>
      </c>
      <c r="O444" s="4085"/>
      <c r="P444" s="3682" t="s">
        <v>82</v>
      </c>
      <c r="Q444" s="3682"/>
      <c r="R444" s="4083"/>
      <c r="S444" s="4083"/>
      <c r="T444" s="4083"/>
      <c r="U444" s="3645" t="s">
        <v>1504</v>
      </c>
      <c r="V444" s="3649" t="s">
        <v>1479</v>
      </c>
      <c r="W444" s="3657"/>
      <c r="X444" s="3657" t="s">
        <v>4163</v>
      </c>
      <c r="Y444" s="3649" t="s">
        <v>4223</v>
      </c>
      <c r="Z444" s="3661"/>
      <c r="AA444" s="3620" t="s">
        <v>4224</v>
      </c>
      <c r="AB444" s="3691" t="s">
        <v>369</v>
      </c>
      <c r="AC444" s="3691">
        <v>2.1098</v>
      </c>
      <c r="AD444" s="3691">
        <f t="shared" si="183"/>
        <v>50.6352</v>
      </c>
      <c r="AE444" s="3645"/>
      <c r="AF444" s="3664" t="s">
        <v>3021</v>
      </c>
      <c r="AG444" s="3645" t="s">
        <v>416</v>
      </c>
      <c r="AH444" s="4405"/>
      <c r="AI444" s="3691"/>
      <c r="AJ444" s="3691"/>
      <c r="AK444" s="4405"/>
      <c r="AL444" s="3664"/>
      <c r="AM444" s="3664">
        <f t="shared" si="189"/>
        <v>24</v>
      </c>
      <c r="AN444" s="3691"/>
      <c r="AO444" s="3691"/>
      <c r="AP444" s="3691">
        <f t="shared" si="190"/>
        <v>24</v>
      </c>
      <c r="AQ444" s="4089"/>
      <c r="AR444" s="4417"/>
      <c r="AS444" s="4089"/>
      <c r="AT444" s="4417"/>
      <c r="AU444" s="4089">
        <f t="shared" si="192"/>
        <v>24</v>
      </c>
      <c r="AV444" s="4089"/>
      <c r="AW444" s="4089"/>
      <c r="AX444" s="4089"/>
      <c r="AY444" s="4089"/>
      <c r="AZ444" s="4089"/>
      <c r="BA444" s="4089"/>
      <c r="BB444" s="4089"/>
      <c r="BC444" s="4089"/>
      <c r="BD444" s="4089"/>
      <c r="BE444" s="4089"/>
      <c r="BF444" s="4089" t="s">
        <v>89</v>
      </c>
      <c r="BG444" s="4089"/>
      <c r="BH444" s="4089"/>
      <c r="BI444" s="4089"/>
      <c r="BJ444" s="4089"/>
      <c r="BK444" s="4089"/>
      <c r="BL444" s="4089">
        <f>I444-BN444</f>
        <v>23.6</v>
      </c>
      <c r="BM444" s="4089"/>
      <c r="BN444" s="4089">
        <f t="shared" si="194"/>
        <v>0.4</v>
      </c>
      <c r="BO444" s="907"/>
      <c r="BP444" s="907"/>
      <c r="BQ444" s="907"/>
      <c r="BR444" s="907"/>
      <c r="BS444" s="907"/>
      <c r="BT444" s="910"/>
      <c r="BU444" s="911"/>
      <c r="BV444" s="4385">
        <f t="shared" si="193"/>
        <v>24</v>
      </c>
      <c r="BW444" s="4386">
        <f t="shared" si="173"/>
        <v>0</v>
      </c>
      <c r="BX444" s="4387"/>
      <c r="BY444" s="4387"/>
      <c r="BZ444" s="4387"/>
      <c r="CA444" s="4391"/>
      <c r="CC444" s="4392">
        <v>45860</v>
      </c>
      <c r="CD444" s="4391" t="s">
        <v>4165</v>
      </c>
    </row>
    <row r="445" s="4025" customFormat="1" ht="50" customHeight="1" spans="1:82">
      <c r="A445" s="3688">
        <v>45821</v>
      </c>
      <c r="B445" s="3689" t="s">
        <v>1641</v>
      </c>
      <c r="C445" s="3664" t="s">
        <v>396</v>
      </c>
      <c r="D445" s="3690">
        <v>4500169979</v>
      </c>
      <c r="E445" s="3664" t="s">
        <v>4243</v>
      </c>
      <c r="F445" s="3690" t="s">
        <v>4244</v>
      </c>
      <c r="G445" s="3664" t="s">
        <v>2676</v>
      </c>
      <c r="H445" s="3664" t="s">
        <v>2677</v>
      </c>
      <c r="I445" s="3691">
        <v>12</v>
      </c>
      <c r="J445" s="3691">
        <v>0</v>
      </c>
      <c r="K445" s="3691">
        <v>12</v>
      </c>
      <c r="L445" s="3691">
        <f t="shared" si="191"/>
        <v>1</v>
      </c>
      <c r="M445" s="3659">
        <v>45856</v>
      </c>
      <c r="N445" s="3659">
        <v>45860</v>
      </c>
      <c r="O445" s="3664" t="s">
        <v>4162</v>
      </c>
      <c r="P445" s="3682" t="s">
        <v>82</v>
      </c>
      <c r="Q445" s="3682"/>
      <c r="R445" s="4083"/>
      <c r="S445" s="4083"/>
      <c r="T445" s="4083"/>
      <c r="U445" s="3645" t="s">
        <v>1504</v>
      </c>
      <c r="V445" s="3649" t="s">
        <v>1479</v>
      </c>
      <c r="W445" s="3657"/>
      <c r="X445" s="3657" t="s">
        <v>4163</v>
      </c>
      <c r="Y445" s="3649" t="s">
        <v>4223</v>
      </c>
      <c r="Z445" s="3661"/>
      <c r="AA445" s="3620" t="s">
        <v>4224</v>
      </c>
      <c r="AB445" s="3691" t="s">
        <v>369</v>
      </c>
      <c r="AC445" s="3691">
        <v>2.1098</v>
      </c>
      <c r="AD445" s="3691">
        <f t="shared" si="183"/>
        <v>25.3176</v>
      </c>
      <c r="AE445" s="3645"/>
      <c r="AF445" s="3664" t="s">
        <v>2676</v>
      </c>
      <c r="AG445" s="3645" t="s">
        <v>416</v>
      </c>
      <c r="AH445" s="4405"/>
      <c r="AI445" s="3691"/>
      <c r="AJ445" s="3691"/>
      <c r="AK445" s="4405"/>
      <c r="AL445" s="3664"/>
      <c r="AM445" s="3664">
        <f t="shared" si="189"/>
        <v>12</v>
      </c>
      <c r="AN445" s="3691"/>
      <c r="AO445" s="3691"/>
      <c r="AP445" s="3691">
        <f t="shared" si="190"/>
        <v>12</v>
      </c>
      <c r="AQ445" s="4089"/>
      <c r="AR445" s="4417"/>
      <c r="AS445" s="4089"/>
      <c r="AT445" s="4417"/>
      <c r="AU445" s="4089">
        <f t="shared" si="192"/>
        <v>12</v>
      </c>
      <c r="AV445" s="4089"/>
      <c r="AW445" s="4089"/>
      <c r="AX445" s="4089"/>
      <c r="AY445" s="4089"/>
      <c r="AZ445" s="4089"/>
      <c r="BA445" s="4089"/>
      <c r="BB445" s="4089"/>
      <c r="BC445" s="4089"/>
      <c r="BD445" s="4089"/>
      <c r="BE445" s="4089"/>
      <c r="BF445" s="4089" t="s">
        <v>89</v>
      </c>
      <c r="BG445" s="4089"/>
      <c r="BH445" s="4089"/>
      <c r="BI445" s="4089">
        <f>I445-BN445</f>
        <v>11.8</v>
      </c>
      <c r="BJ445" s="4089"/>
      <c r="BK445" s="4089"/>
      <c r="BL445" s="4089"/>
      <c r="BM445" s="4089"/>
      <c r="BN445" s="4089">
        <f t="shared" si="194"/>
        <v>0.2</v>
      </c>
      <c r="BO445" s="907"/>
      <c r="BP445" s="907"/>
      <c r="BQ445" s="907"/>
      <c r="BR445" s="907"/>
      <c r="BS445" s="907"/>
      <c r="BT445" s="910"/>
      <c r="BU445" s="911"/>
      <c r="BV445" s="4385">
        <f t="shared" si="193"/>
        <v>12</v>
      </c>
      <c r="BW445" s="4386">
        <f t="shared" si="173"/>
        <v>0</v>
      </c>
      <c r="BX445" s="4387"/>
      <c r="BY445" s="4387"/>
      <c r="BZ445" s="4387"/>
      <c r="CA445" s="4391"/>
      <c r="CC445" s="4392">
        <v>45860</v>
      </c>
      <c r="CD445" s="4391" t="s">
        <v>4165</v>
      </c>
    </row>
    <row r="446" s="4025" customFormat="1" ht="50" customHeight="1" spans="1:82">
      <c r="A446" s="3688">
        <v>45821</v>
      </c>
      <c r="B446" s="3689" t="s">
        <v>1641</v>
      </c>
      <c r="C446" s="3664" t="s">
        <v>396</v>
      </c>
      <c r="D446" s="3690">
        <v>4500169979</v>
      </c>
      <c r="E446" s="3664" t="s">
        <v>4245</v>
      </c>
      <c r="F446" s="3690" t="s">
        <v>4246</v>
      </c>
      <c r="G446" s="3664" t="s">
        <v>2676</v>
      </c>
      <c r="H446" s="3664" t="s">
        <v>2677</v>
      </c>
      <c r="I446" s="3691">
        <v>12</v>
      </c>
      <c r="J446" s="3691">
        <v>0</v>
      </c>
      <c r="K446" s="3691">
        <v>12</v>
      </c>
      <c r="L446" s="3691">
        <f t="shared" si="191"/>
        <v>1</v>
      </c>
      <c r="M446" s="3659">
        <v>45856</v>
      </c>
      <c r="N446" s="3659">
        <v>45860</v>
      </c>
      <c r="O446" s="3664" t="s">
        <v>4162</v>
      </c>
      <c r="P446" s="3682" t="s">
        <v>82</v>
      </c>
      <c r="Q446" s="3682"/>
      <c r="R446" s="4083"/>
      <c r="S446" s="4083"/>
      <c r="T446" s="4083"/>
      <c r="U446" s="3645" t="s">
        <v>1504</v>
      </c>
      <c r="V446" s="3649" t="s">
        <v>1479</v>
      </c>
      <c r="W446" s="3657"/>
      <c r="X446" s="3657" t="s">
        <v>4163</v>
      </c>
      <c r="Y446" s="3649" t="s">
        <v>4223</v>
      </c>
      <c r="Z446" s="3661"/>
      <c r="AA446" s="3620" t="s">
        <v>4224</v>
      </c>
      <c r="AB446" s="3691" t="s">
        <v>369</v>
      </c>
      <c r="AC446" s="3691">
        <v>2.1098</v>
      </c>
      <c r="AD446" s="3691">
        <f t="shared" si="183"/>
        <v>25.3176</v>
      </c>
      <c r="AE446" s="3645"/>
      <c r="AF446" s="3664" t="s">
        <v>2676</v>
      </c>
      <c r="AG446" s="3645" t="s">
        <v>416</v>
      </c>
      <c r="AH446" s="4405"/>
      <c r="AI446" s="3691"/>
      <c r="AJ446" s="3691"/>
      <c r="AK446" s="4405"/>
      <c r="AL446" s="3664"/>
      <c r="AM446" s="3664">
        <f t="shared" si="189"/>
        <v>12</v>
      </c>
      <c r="AN446" s="3691"/>
      <c r="AO446" s="3691"/>
      <c r="AP446" s="3691">
        <f t="shared" si="190"/>
        <v>12</v>
      </c>
      <c r="AQ446" s="4089"/>
      <c r="AR446" s="4417"/>
      <c r="AS446" s="4089"/>
      <c r="AT446" s="4417"/>
      <c r="AU446" s="4089">
        <f t="shared" si="192"/>
        <v>12</v>
      </c>
      <c r="AV446" s="4089"/>
      <c r="AW446" s="4089"/>
      <c r="AX446" s="4089"/>
      <c r="AY446" s="4089"/>
      <c r="AZ446" s="4089"/>
      <c r="BA446" s="4089"/>
      <c r="BB446" s="4089"/>
      <c r="BC446" s="4089"/>
      <c r="BD446" s="4089"/>
      <c r="BE446" s="4089"/>
      <c r="BF446" s="4089" t="s">
        <v>89</v>
      </c>
      <c r="BG446" s="4089"/>
      <c r="BH446" s="4089"/>
      <c r="BI446" s="4089">
        <f>I446-BN446</f>
        <v>11.8</v>
      </c>
      <c r="BJ446" s="4089"/>
      <c r="BK446" s="4089"/>
      <c r="BL446" s="4089"/>
      <c r="BM446" s="4089"/>
      <c r="BN446" s="4089">
        <f t="shared" si="194"/>
        <v>0.2</v>
      </c>
      <c r="BO446" s="907"/>
      <c r="BP446" s="907"/>
      <c r="BQ446" s="907"/>
      <c r="BR446" s="907"/>
      <c r="BS446" s="907"/>
      <c r="BT446" s="910"/>
      <c r="BU446" s="911"/>
      <c r="BV446" s="4385">
        <f t="shared" si="193"/>
        <v>12</v>
      </c>
      <c r="BW446" s="4386">
        <f t="shared" si="173"/>
        <v>0</v>
      </c>
      <c r="BX446" s="4387"/>
      <c r="BY446" s="4387"/>
      <c r="BZ446" s="4387"/>
      <c r="CA446" s="4391"/>
      <c r="CC446" s="4392">
        <v>45860</v>
      </c>
      <c r="CD446" s="4391" t="s">
        <v>4165</v>
      </c>
    </row>
    <row r="447" s="4025" customFormat="1" ht="50" customHeight="1" spans="1:82">
      <c r="A447" s="3688">
        <v>45821</v>
      </c>
      <c r="B447" s="3689" t="s">
        <v>1641</v>
      </c>
      <c r="C447" s="3664" t="s">
        <v>396</v>
      </c>
      <c r="D447" s="3690">
        <v>4500169979</v>
      </c>
      <c r="E447" s="3664" t="s">
        <v>4247</v>
      </c>
      <c r="F447" s="3690" t="s">
        <v>4248</v>
      </c>
      <c r="G447" s="3664" t="s">
        <v>2676</v>
      </c>
      <c r="H447" s="3664" t="s">
        <v>2677</v>
      </c>
      <c r="I447" s="3691">
        <v>12</v>
      </c>
      <c r="J447" s="3691">
        <v>0</v>
      </c>
      <c r="K447" s="3691">
        <v>12</v>
      </c>
      <c r="L447" s="3691">
        <f t="shared" si="191"/>
        <v>1</v>
      </c>
      <c r="M447" s="3659">
        <v>45856</v>
      </c>
      <c r="N447" s="3659">
        <v>45860</v>
      </c>
      <c r="O447" s="3664" t="s">
        <v>4162</v>
      </c>
      <c r="P447" s="3682" t="s">
        <v>82</v>
      </c>
      <c r="Q447" s="3682"/>
      <c r="R447" s="4083"/>
      <c r="S447" s="4083"/>
      <c r="T447" s="4083"/>
      <c r="U447" s="3645" t="s">
        <v>1504</v>
      </c>
      <c r="V447" s="3649" t="s">
        <v>1479</v>
      </c>
      <c r="W447" s="3657"/>
      <c r="X447" s="3657" t="s">
        <v>4163</v>
      </c>
      <c r="Y447" s="3649" t="s">
        <v>4223</v>
      </c>
      <c r="Z447" s="3661"/>
      <c r="AA447" s="3620" t="s">
        <v>4224</v>
      </c>
      <c r="AB447" s="3691" t="s">
        <v>369</v>
      </c>
      <c r="AC447" s="3691">
        <v>2.1098</v>
      </c>
      <c r="AD447" s="3691">
        <f t="shared" si="183"/>
        <v>25.3176</v>
      </c>
      <c r="AE447" s="3645"/>
      <c r="AF447" s="3664" t="s">
        <v>2676</v>
      </c>
      <c r="AG447" s="3645" t="s">
        <v>416</v>
      </c>
      <c r="AH447" s="4405"/>
      <c r="AI447" s="3691"/>
      <c r="AJ447" s="3691"/>
      <c r="AK447" s="4405"/>
      <c r="AL447" s="3664"/>
      <c r="AM447" s="3664">
        <f t="shared" si="189"/>
        <v>12</v>
      </c>
      <c r="AN447" s="3691"/>
      <c r="AO447" s="3691"/>
      <c r="AP447" s="3691">
        <f t="shared" si="190"/>
        <v>12</v>
      </c>
      <c r="AQ447" s="4089"/>
      <c r="AR447" s="4417"/>
      <c r="AS447" s="4089"/>
      <c r="AT447" s="4417"/>
      <c r="AU447" s="4089">
        <f t="shared" si="192"/>
        <v>12</v>
      </c>
      <c r="AV447" s="4089"/>
      <c r="AW447" s="4089"/>
      <c r="AX447" s="4089"/>
      <c r="AY447" s="4089"/>
      <c r="AZ447" s="4089"/>
      <c r="BA447" s="4089"/>
      <c r="BB447" s="4089"/>
      <c r="BC447" s="4089"/>
      <c r="BD447" s="4089"/>
      <c r="BE447" s="4089"/>
      <c r="BF447" s="4089" t="s">
        <v>89</v>
      </c>
      <c r="BG447" s="4089"/>
      <c r="BH447" s="4089"/>
      <c r="BI447" s="4089">
        <f>I447-BN447</f>
        <v>11.8</v>
      </c>
      <c r="BJ447" s="4089"/>
      <c r="BK447" s="4089"/>
      <c r="BL447" s="4089"/>
      <c r="BM447" s="4089"/>
      <c r="BN447" s="4089">
        <f t="shared" si="194"/>
        <v>0.2</v>
      </c>
      <c r="BO447" s="907"/>
      <c r="BP447" s="907"/>
      <c r="BQ447" s="907"/>
      <c r="BR447" s="907"/>
      <c r="BS447" s="907"/>
      <c r="BT447" s="910"/>
      <c r="BU447" s="911"/>
      <c r="BV447" s="4385">
        <f t="shared" si="193"/>
        <v>12</v>
      </c>
      <c r="BW447" s="4386">
        <f t="shared" si="173"/>
        <v>0</v>
      </c>
      <c r="BX447" s="4387"/>
      <c r="BY447" s="4387"/>
      <c r="BZ447" s="4387"/>
      <c r="CA447" s="4391"/>
      <c r="CC447" s="4392">
        <v>45860</v>
      </c>
      <c r="CD447" s="4391" t="s">
        <v>4165</v>
      </c>
    </row>
    <row r="448" s="4025" customFormat="1" ht="50" customHeight="1" spans="1:82">
      <c r="A448" s="3688">
        <v>45821</v>
      </c>
      <c r="B448" s="3689" t="s">
        <v>1641</v>
      </c>
      <c r="C448" s="3664" t="s">
        <v>396</v>
      </c>
      <c r="D448" s="3690">
        <v>4500169979</v>
      </c>
      <c r="E448" s="3664" t="s">
        <v>4249</v>
      </c>
      <c r="F448" s="3690" t="s">
        <v>4250</v>
      </c>
      <c r="G448" s="3664" t="s">
        <v>2676</v>
      </c>
      <c r="H448" s="3664" t="s">
        <v>2677</v>
      </c>
      <c r="I448" s="3691">
        <v>12</v>
      </c>
      <c r="J448" s="3691">
        <v>0</v>
      </c>
      <c r="K448" s="3691">
        <v>12</v>
      </c>
      <c r="L448" s="3691">
        <f t="shared" si="191"/>
        <v>1</v>
      </c>
      <c r="M448" s="3659">
        <v>45856</v>
      </c>
      <c r="N448" s="3659">
        <v>45860</v>
      </c>
      <c r="O448" s="4085"/>
      <c r="P448" s="3682" t="s">
        <v>82</v>
      </c>
      <c r="Q448" s="3682"/>
      <c r="R448" s="4083"/>
      <c r="S448" s="4083"/>
      <c r="T448" s="4083"/>
      <c r="U448" s="3645" t="s">
        <v>1504</v>
      </c>
      <c r="V448" s="3649" t="s">
        <v>1479</v>
      </c>
      <c r="W448" s="3657"/>
      <c r="X448" s="3657" t="s">
        <v>4163</v>
      </c>
      <c r="Y448" s="3649" t="s">
        <v>4223</v>
      </c>
      <c r="Z448" s="3661"/>
      <c r="AA448" s="3620" t="s">
        <v>4224</v>
      </c>
      <c r="AB448" s="3691" t="s">
        <v>369</v>
      </c>
      <c r="AC448" s="3691">
        <v>2.1098</v>
      </c>
      <c r="AD448" s="3691">
        <f t="shared" si="183"/>
        <v>25.3176</v>
      </c>
      <c r="AE448" s="3645"/>
      <c r="AF448" s="3664" t="s">
        <v>2676</v>
      </c>
      <c r="AG448" s="3645" t="s">
        <v>416</v>
      </c>
      <c r="AH448" s="4405"/>
      <c r="AI448" s="3691"/>
      <c r="AJ448" s="3691"/>
      <c r="AK448" s="4405"/>
      <c r="AL448" s="3664"/>
      <c r="AM448" s="3664">
        <f t="shared" si="189"/>
        <v>12</v>
      </c>
      <c r="AN448" s="3691"/>
      <c r="AO448" s="3691"/>
      <c r="AP448" s="3691">
        <f t="shared" si="190"/>
        <v>12</v>
      </c>
      <c r="AQ448" s="4089"/>
      <c r="AR448" s="4417"/>
      <c r="AS448" s="4089"/>
      <c r="AT448" s="4417"/>
      <c r="AU448" s="4089">
        <f t="shared" si="192"/>
        <v>12</v>
      </c>
      <c r="AV448" s="4089"/>
      <c r="AW448" s="4089"/>
      <c r="AX448" s="4089"/>
      <c r="AY448" s="4089"/>
      <c r="AZ448" s="4089"/>
      <c r="BA448" s="4089"/>
      <c r="BB448" s="4089"/>
      <c r="BC448" s="4089"/>
      <c r="BD448" s="4089"/>
      <c r="BE448" s="4089"/>
      <c r="BF448" s="4089" t="s">
        <v>89</v>
      </c>
      <c r="BG448" s="4089"/>
      <c r="BH448" s="4089"/>
      <c r="BI448" s="4089">
        <f>I448-BN448</f>
        <v>11.8</v>
      </c>
      <c r="BJ448" s="4089"/>
      <c r="BK448" s="4089"/>
      <c r="BL448" s="4089"/>
      <c r="BM448" s="4089"/>
      <c r="BN448" s="4089">
        <f t="shared" si="194"/>
        <v>0.2</v>
      </c>
      <c r="BO448" s="907"/>
      <c r="BP448" s="907"/>
      <c r="BQ448" s="907"/>
      <c r="BR448" s="907"/>
      <c r="BS448" s="907"/>
      <c r="BT448" s="910"/>
      <c r="BU448" s="911"/>
      <c r="BV448" s="4385">
        <f t="shared" si="193"/>
        <v>12</v>
      </c>
      <c r="BW448" s="4386">
        <f t="shared" si="173"/>
        <v>0</v>
      </c>
      <c r="BX448" s="4387"/>
      <c r="BY448" s="4387"/>
      <c r="BZ448" s="4387"/>
      <c r="CA448" s="4391"/>
      <c r="CC448" s="4392">
        <v>45860</v>
      </c>
      <c r="CD448" s="4391" t="s">
        <v>4165</v>
      </c>
    </row>
    <row r="449" s="4025" customFormat="1" ht="50" customHeight="1" spans="1:82">
      <c r="A449" s="3688">
        <v>45821</v>
      </c>
      <c r="B449" s="3689" t="s">
        <v>1641</v>
      </c>
      <c r="C449" s="3664" t="s">
        <v>396</v>
      </c>
      <c r="D449" s="3690">
        <v>4500169979</v>
      </c>
      <c r="E449" s="3664" t="s">
        <v>4251</v>
      </c>
      <c r="F449" s="3690" t="s">
        <v>4252</v>
      </c>
      <c r="G449" s="3664" t="s">
        <v>2827</v>
      </c>
      <c r="H449" s="3664" t="s">
        <v>2641</v>
      </c>
      <c r="I449" s="3691">
        <v>12</v>
      </c>
      <c r="J449" s="3691">
        <v>0</v>
      </c>
      <c r="K449" s="3691">
        <v>12</v>
      </c>
      <c r="L449" s="3691">
        <f t="shared" si="191"/>
        <v>1</v>
      </c>
      <c r="M449" s="3659">
        <v>45856</v>
      </c>
      <c r="N449" s="3659">
        <v>45860</v>
      </c>
      <c r="O449" s="4085"/>
      <c r="P449" s="3682" t="s">
        <v>82</v>
      </c>
      <c r="Q449" s="3682"/>
      <c r="R449" s="4083"/>
      <c r="S449" s="4083"/>
      <c r="T449" s="4083"/>
      <c r="U449" s="3645" t="s">
        <v>1504</v>
      </c>
      <c r="V449" s="3649" t="s">
        <v>1479</v>
      </c>
      <c r="W449" s="3657"/>
      <c r="X449" s="3657" t="s">
        <v>4163</v>
      </c>
      <c r="Y449" s="3649" t="s">
        <v>4223</v>
      </c>
      <c r="Z449" s="3661"/>
      <c r="AA449" s="3620" t="s">
        <v>4224</v>
      </c>
      <c r="AB449" s="3691" t="s">
        <v>369</v>
      </c>
      <c r="AC449" s="3691">
        <v>2.1098</v>
      </c>
      <c r="AD449" s="3691">
        <f t="shared" si="183"/>
        <v>25.3176</v>
      </c>
      <c r="AE449" s="3645"/>
      <c r="AF449" s="3664" t="s">
        <v>2827</v>
      </c>
      <c r="AG449" s="3645" t="s">
        <v>416</v>
      </c>
      <c r="AH449" s="4405"/>
      <c r="AI449" s="3691"/>
      <c r="AJ449" s="3691"/>
      <c r="AK449" s="4405"/>
      <c r="AL449" s="3664"/>
      <c r="AM449" s="3664">
        <f t="shared" si="189"/>
        <v>12</v>
      </c>
      <c r="AN449" s="3691"/>
      <c r="AO449" s="3691"/>
      <c r="AP449" s="3691">
        <f t="shared" si="190"/>
        <v>12</v>
      </c>
      <c r="AQ449" s="4089"/>
      <c r="AR449" s="4417"/>
      <c r="AS449" s="4089"/>
      <c r="AT449" s="4417"/>
      <c r="AU449" s="4089">
        <f t="shared" si="192"/>
        <v>12</v>
      </c>
      <c r="AV449" s="4089"/>
      <c r="AW449" s="4089"/>
      <c r="AX449" s="4089"/>
      <c r="AY449" s="4089"/>
      <c r="AZ449" s="4089"/>
      <c r="BA449" s="4089"/>
      <c r="BB449" s="4089"/>
      <c r="BC449" s="4089"/>
      <c r="BD449" s="4089"/>
      <c r="BE449" s="4089"/>
      <c r="BF449" s="4089" t="s">
        <v>89</v>
      </c>
      <c r="BG449" s="4089"/>
      <c r="BH449" s="4089">
        <f>I449-BN449</f>
        <v>11.6</v>
      </c>
      <c r="BI449" s="4089"/>
      <c r="BJ449" s="4089"/>
      <c r="BK449" s="4089"/>
      <c r="BL449" s="4089"/>
      <c r="BM449" s="4089"/>
      <c r="BN449" s="4089">
        <f t="shared" ref="BN449:BN459" si="195">I449/60*2</f>
        <v>0.4</v>
      </c>
      <c r="BO449" s="907"/>
      <c r="BP449" s="907"/>
      <c r="BQ449" s="907"/>
      <c r="BR449" s="907"/>
      <c r="BS449" s="907"/>
      <c r="BT449" s="910"/>
      <c r="BU449" s="911"/>
      <c r="BV449" s="4385">
        <f t="shared" si="193"/>
        <v>12</v>
      </c>
      <c r="BW449" s="4386">
        <f t="shared" si="173"/>
        <v>0</v>
      </c>
      <c r="BX449" s="4387"/>
      <c r="BY449" s="4387"/>
      <c r="BZ449" s="4387"/>
      <c r="CA449" s="4391"/>
      <c r="CC449" s="4392">
        <v>45860</v>
      </c>
      <c r="CD449" s="4391" t="s">
        <v>4165</v>
      </c>
    </row>
    <row r="450" s="4312" customFormat="1" ht="50" customHeight="1" spans="1:82">
      <c r="A450" s="3688">
        <v>45821</v>
      </c>
      <c r="B450" s="3689" t="s">
        <v>1641</v>
      </c>
      <c r="C450" s="3664" t="s">
        <v>396</v>
      </c>
      <c r="D450" s="3690">
        <v>4500169979</v>
      </c>
      <c r="E450" s="3664" t="s">
        <v>4253</v>
      </c>
      <c r="F450" s="3690" t="s">
        <v>4254</v>
      </c>
      <c r="G450" s="3664" t="s">
        <v>2827</v>
      </c>
      <c r="H450" s="3664" t="s">
        <v>2641</v>
      </c>
      <c r="I450" s="3691">
        <v>36</v>
      </c>
      <c r="J450" s="3691">
        <v>0</v>
      </c>
      <c r="K450" s="3691">
        <v>12</v>
      </c>
      <c r="L450" s="3691">
        <f t="shared" si="191"/>
        <v>3</v>
      </c>
      <c r="M450" s="3659">
        <v>45856</v>
      </c>
      <c r="N450" s="3659">
        <v>45860</v>
      </c>
      <c r="O450" s="4085"/>
      <c r="P450" s="3682" t="s">
        <v>82</v>
      </c>
      <c r="Q450" s="3682"/>
      <c r="R450" s="4083"/>
      <c r="S450" s="4083"/>
      <c r="T450" s="4083"/>
      <c r="U450" s="3645" t="s">
        <v>1504</v>
      </c>
      <c r="V450" s="3649" t="s">
        <v>1479</v>
      </c>
      <c r="W450" s="3657"/>
      <c r="X450" s="3657" t="s">
        <v>4163</v>
      </c>
      <c r="Y450" s="3649" t="s">
        <v>4223</v>
      </c>
      <c r="Z450" s="3661"/>
      <c r="AA450" s="3620" t="s">
        <v>4224</v>
      </c>
      <c r="AB450" s="3691" t="s">
        <v>369</v>
      </c>
      <c r="AC450" s="3691">
        <v>2.1098</v>
      </c>
      <c r="AD450" s="3691">
        <f t="shared" si="183"/>
        <v>75.9528</v>
      </c>
      <c r="AE450" s="3645"/>
      <c r="AF450" s="3664" t="s">
        <v>2827</v>
      </c>
      <c r="AG450" s="3645" t="s">
        <v>416</v>
      </c>
      <c r="AH450" s="4405"/>
      <c r="AI450" s="3691"/>
      <c r="AJ450" s="3691"/>
      <c r="AK450" s="4405"/>
      <c r="AL450" s="3664"/>
      <c r="AM450" s="3664">
        <f t="shared" si="189"/>
        <v>36</v>
      </c>
      <c r="AN450" s="3691"/>
      <c r="AO450" s="3691"/>
      <c r="AP450" s="3691">
        <f t="shared" si="190"/>
        <v>36</v>
      </c>
      <c r="AQ450" s="4089"/>
      <c r="AR450" s="4417"/>
      <c r="AS450" s="4089"/>
      <c r="AT450" s="4417"/>
      <c r="AU450" s="4089">
        <f t="shared" si="192"/>
        <v>36</v>
      </c>
      <c r="AV450" s="4089"/>
      <c r="AW450" s="4089"/>
      <c r="AX450" s="4089"/>
      <c r="AY450" s="4089"/>
      <c r="AZ450" s="4089"/>
      <c r="BA450" s="4089"/>
      <c r="BB450" s="4089"/>
      <c r="BC450" s="4089"/>
      <c r="BD450" s="4089"/>
      <c r="BE450" s="4089"/>
      <c r="BF450" s="4089" t="s">
        <v>89</v>
      </c>
      <c r="BG450" s="4089"/>
      <c r="BH450" s="4089">
        <f>I450-BN450</f>
        <v>34.8</v>
      </c>
      <c r="BI450" s="4089"/>
      <c r="BJ450" s="4089"/>
      <c r="BK450" s="4089"/>
      <c r="BL450" s="4089"/>
      <c r="BM450" s="4089"/>
      <c r="BN450" s="4089">
        <f t="shared" si="195"/>
        <v>1.2</v>
      </c>
      <c r="BO450" s="907"/>
      <c r="BP450" s="907"/>
      <c r="BQ450" s="907"/>
      <c r="BR450" s="907"/>
      <c r="BS450" s="907"/>
      <c r="BT450" s="910"/>
      <c r="BU450" s="911"/>
      <c r="BV450" s="4385">
        <f t="shared" si="193"/>
        <v>36</v>
      </c>
      <c r="BW450" s="4386">
        <f t="shared" si="173"/>
        <v>0</v>
      </c>
      <c r="BX450" s="4387"/>
      <c r="BY450" s="4387"/>
      <c r="BZ450" s="4387"/>
      <c r="CA450" s="4391"/>
      <c r="CC450" s="4392">
        <v>45860</v>
      </c>
      <c r="CD450" s="4391" t="s">
        <v>4165</v>
      </c>
    </row>
    <row r="451" s="4312" customFormat="1" ht="50" customHeight="1" spans="1:82">
      <c r="A451" s="3688">
        <v>45821</v>
      </c>
      <c r="B451" s="3689" t="s">
        <v>1641</v>
      </c>
      <c r="C451" s="3664" t="s">
        <v>396</v>
      </c>
      <c r="D451" s="3690">
        <v>4500169979</v>
      </c>
      <c r="E451" s="3664" t="s">
        <v>4255</v>
      </c>
      <c r="F451" s="3690" t="s">
        <v>4256</v>
      </c>
      <c r="G451" s="3664" t="s">
        <v>2827</v>
      </c>
      <c r="H451" s="3664" t="s">
        <v>2641</v>
      </c>
      <c r="I451" s="3691">
        <v>12</v>
      </c>
      <c r="J451" s="3691">
        <v>0</v>
      </c>
      <c r="K451" s="3691">
        <v>12</v>
      </c>
      <c r="L451" s="3691">
        <f t="shared" si="191"/>
        <v>1</v>
      </c>
      <c r="M451" s="3659">
        <v>45856</v>
      </c>
      <c r="N451" s="3659">
        <v>45860</v>
      </c>
      <c r="O451" s="4085"/>
      <c r="P451" s="3682" t="s">
        <v>82</v>
      </c>
      <c r="Q451" s="3682"/>
      <c r="R451" s="4083"/>
      <c r="S451" s="4083"/>
      <c r="T451" s="4083"/>
      <c r="U451" s="3645" t="s">
        <v>1504</v>
      </c>
      <c r="V451" s="3649" t="s">
        <v>1479</v>
      </c>
      <c r="W451" s="3657"/>
      <c r="X451" s="3657" t="s">
        <v>4163</v>
      </c>
      <c r="Y451" s="3649" t="s">
        <v>4223</v>
      </c>
      <c r="Z451" s="3661"/>
      <c r="AA451" s="3620" t="s">
        <v>4224</v>
      </c>
      <c r="AB451" s="3691" t="s">
        <v>369</v>
      </c>
      <c r="AC451" s="3691">
        <v>2.1098</v>
      </c>
      <c r="AD451" s="3691">
        <f t="shared" si="183"/>
        <v>25.3176</v>
      </c>
      <c r="AE451" s="3645"/>
      <c r="AF451" s="3664" t="s">
        <v>2827</v>
      </c>
      <c r="AG451" s="3645" t="s">
        <v>416</v>
      </c>
      <c r="AH451" s="4405"/>
      <c r="AI451" s="3691"/>
      <c r="AJ451" s="3691"/>
      <c r="AK451" s="4405"/>
      <c r="AL451" s="3664"/>
      <c r="AM451" s="3664">
        <f t="shared" si="189"/>
        <v>12</v>
      </c>
      <c r="AN451" s="3691"/>
      <c r="AO451" s="3691"/>
      <c r="AP451" s="3691">
        <f t="shared" si="190"/>
        <v>12</v>
      </c>
      <c r="AQ451" s="4089"/>
      <c r="AR451" s="4417"/>
      <c r="AS451" s="4089"/>
      <c r="AT451" s="4417"/>
      <c r="AU451" s="4089">
        <f t="shared" si="192"/>
        <v>12</v>
      </c>
      <c r="AV451" s="4089"/>
      <c r="AW451" s="4089"/>
      <c r="AX451" s="4089"/>
      <c r="AY451" s="4089"/>
      <c r="AZ451" s="4089"/>
      <c r="BA451" s="4089"/>
      <c r="BB451" s="4089"/>
      <c r="BC451" s="4089"/>
      <c r="BD451" s="4089"/>
      <c r="BE451" s="4089"/>
      <c r="BF451" s="4089" t="s">
        <v>89</v>
      </c>
      <c r="BG451" s="4089"/>
      <c r="BH451" s="4089">
        <f>I451-BN451</f>
        <v>11.6</v>
      </c>
      <c r="BI451" s="4089"/>
      <c r="BJ451" s="4089"/>
      <c r="BK451" s="4089"/>
      <c r="BL451" s="4089"/>
      <c r="BM451" s="4089"/>
      <c r="BN451" s="4089">
        <f t="shared" si="195"/>
        <v>0.4</v>
      </c>
      <c r="BO451" s="907"/>
      <c r="BP451" s="907"/>
      <c r="BQ451" s="907"/>
      <c r="BR451" s="907"/>
      <c r="BS451" s="907"/>
      <c r="BT451" s="910"/>
      <c r="BU451" s="911"/>
      <c r="BV451" s="4385">
        <f t="shared" si="193"/>
        <v>12</v>
      </c>
      <c r="BW451" s="4386">
        <f t="shared" si="173"/>
        <v>0</v>
      </c>
      <c r="BX451" s="4387"/>
      <c r="BY451" s="4387"/>
      <c r="BZ451" s="4387"/>
      <c r="CA451" s="4391"/>
      <c r="CC451" s="4392">
        <v>45860</v>
      </c>
      <c r="CD451" s="4391" t="s">
        <v>4165</v>
      </c>
    </row>
    <row r="452" s="4312" customFormat="1" ht="50" customHeight="1" spans="1:82">
      <c r="A452" s="3688">
        <v>45821</v>
      </c>
      <c r="B452" s="3689" t="s">
        <v>1641</v>
      </c>
      <c r="C452" s="3664" t="s">
        <v>396</v>
      </c>
      <c r="D452" s="3690">
        <v>4500169979</v>
      </c>
      <c r="E452" s="3664" t="s">
        <v>4257</v>
      </c>
      <c r="F452" s="3690" t="s">
        <v>4258</v>
      </c>
      <c r="G452" s="3664" t="s">
        <v>2827</v>
      </c>
      <c r="H452" s="3664" t="s">
        <v>2641</v>
      </c>
      <c r="I452" s="3691">
        <v>24</v>
      </c>
      <c r="J452" s="3691">
        <v>0</v>
      </c>
      <c r="K452" s="3691">
        <v>12</v>
      </c>
      <c r="L452" s="3691">
        <f t="shared" si="191"/>
        <v>2</v>
      </c>
      <c r="M452" s="3659">
        <v>45856</v>
      </c>
      <c r="N452" s="3659">
        <v>45860</v>
      </c>
      <c r="O452" s="4085"/>
      <c r="P452" s="3682" t="s">
        <v>82</v>
      </c>
      <c r="Q452" s="3682"/>
      <c r="R452" s="4083"/>
      <c r="S452" s="4083"/>
      <c r="T452" s="4083"/>
      <c r="U452" s="3645" t="s">
        <v>1504</v>
      </c>
      <c r="V452" s="3649" t="s">
        <v>1479</v>
      </c>
      <c r="W452" s="3657"/>
      <c r="X452" s="3657" t="s">
        <v>4163</v>
      </c>
      <c r="Y452" s="3649" t="s">
        <v>4223</v>
      </c>
      <c r="Z452" s="3661"/>
      <c r="AA452" s="3620" t="s">
        <v>4224</v>
      </c>
      <c r="AB452" s="3691" t="s">
        <v>369</v>
      </c>
      <c r="AC452" s="3691">
        <v>2.1098</v>
      </c>
      <c r="AD452" s="3691">
        <f t="shared" si="183"/>
        <v>50.6352</v>
      </c>
      <c r="AE452" s="3645"/>
      <c r="AF452" s="3664" t="s">
        <v>2827</v>
      </c>
      <c r="AG452" s="3645" t="s">
        <v>416</v>
      </c>
      <c r="AH452" s="4405"/>
      <c r="AI452" s="3691"/>
      <c r="AJ452" s="3691"/>
      <c r="AK452" s="905"/>
      <c r="AL452" s="3664"/>
      <c r="AM452" s="3664">
        <f t="shared" si="189"/>
        <v>24</v>
      </c>
      <c r="AN452" s="3691"/>
      <c r="AO452" s="3691"/>
      <c r="AP452" s="3691">
        <f t="shared" si="190"/>
        <v>24</v>
      </c>
      <c r="AQ452" s="4089"/>
      <c r="AR452" s="4382"/>
      <c r="AS452" s="4089"/>
      <c r="AT452" s="4382"/>
      <c r="AU452" s="4089">
        <f t="shared" si="192"/>
        <v>24</v>
      </c>
      <c r="AV452" s="4089"/>
      <c r="AW452" s="4089"/>
      <c r="AX452" s="4089"/>
      <c r="AY452" s="4089"/>
      <c r="AZ452" s="4089"/>
      <c r="BA452" s="4089"/>
      <c r="BB452" s="4089"/>
      <c r="BC452" s="4089"/>
      <c r="BD452" s="4089"/>
      <c r="BE452" s="4089"/>
      <c r="BF452" s="4089" t="s">
        <v>89</v>
      </c>
      <c r="BG452" s="4089"/>
      <c r="BH452" s="4089">
        <f>I452-BN452</f>
        <v>23.2</v>
      </c>
      <c r="BI452" s="4089"/>
      <c r="BJ452" s="4089"/>
      <c r="BK452" s="4089"/>
      <c r="BL452" s="4089"/>
      <c r="BM452" s="4089"/>
      <c r="BN452" s="4089">
        <f t="shared" si="195"/>
        <v>0.8</v>
      </c>
      <c r="BO452" s="907"/>
      <c r="BP452" s="907"/>
      <c r="BQ452" s="907"/>
      <c r="BR452" s="907"/>
      <c r="BS452" s="907"/>
      <c r="BT452" s="910"/>
      <c r="BU452" s="911"/>
      <c r="BV452" s="4385">
        <f t="shared" si="193"/>
        <v>24</v>
      </c>
      <c r="BW452" s="4386">
        <f t="shared" si="173"/>
        <v>0</v>
      </c>
      <c r="BX452" s="4387"/>
      <c r="BY452" s="4387"/>
      <c r="BZ452" s="4387"/>
      <c r="CA452" s="4391"/>
      <c r="CC452" s="4392">
        <v>45860</v>
      </c>
      <c r="CD452" s="4391" t="s">
        <v>4165</v>
      </c>
    </row>
    <row r="453" s="4025" customFormat="1" ht="50" customHeight="1" spans="1:82">
      <c r="A453" s="3688">
        <v>45657</v>
      </c>
      <c r="B453" s="3689" t="s">
        <v>387</v>
      </c>
      <c r="C453" s="3664" t="s">
        <v>91</v>
      </c>
      <c r="D453" s="3690">
        <v>4500155024</v>
      </c>
      <c r="E453" s="3664">
        <v>70054083</v>
      </c>
      <c r="F453" s="3690" t="s">
        <v>4259</v>
      </c>
      <c r="G453" s="3664" t="s">
        <v>2627</v>
      </c>
      <c r="H453" s="3691" t="s">
        <v>2591</v>
      </c>
      <c r="I453" s="3691">
        <v>600</v>
      </c>
      <c r="J453" s="3691">
        <v>0</v>
      </c>
      <c r="K453" s="3691">
        <v>24</v>
      </c>
      <c r="L453" s="3691">
        <f t="shared" si="191"/>
        <v>25</v>
      </c>
      <c r="M453" s="3659">
        <v>45856</v>
      </c>
      <c r="N453" s="3659">
        <v>45861</v>
      </c>
      <c r="O453" s="4085"/>
      <c r="P453" s="3682" t="s">
        <v>82</v>
      </c>
      <c r="Q453" s="3682"/>
      <c r="R453" s="4083"/>
      <c r="S453" s="4083"/>
      <c r="T453" s="4083"/>
      <c r="U453" s="3645" t="s">
        <v>213</v>
      </c>
      <c r="V453" s="3649" t="s">
        <v>824</v>
      </c>
      <c r="W453" s="3657"/>
      <c r="X453" s="3657" t="s">
        <v>98</v>
      </c>
      <c r="Y453" s="3657"/>
      <c r="Z453" s="3661"/>
      <c r="AA453" s="3620" t="s">
        <v>4260</v>
      </c>
      <c r="AB453" s="3691" t="s">
        <v>393</v>
      </c>
      <c r="AC453" s="3691">
        <v>2.084</v>
      </c>
      <c r="AD453" s="3691">
        <f t="shared" si="183"/>
        <v>1250.4</v>
      </c>
      <c r="AE453" s="3645" t="s">
        <v>4261</v>
      </c>
      <c r="AF453" s="3664" t="s">
        <v>2627</v>
      </c>
      <c r="AG453" s="3645" t="s">
        <v>416</v>
      </c>
      <c r="AH453" s="3708"/>
      <c r="AI453" s="3664">
        <f>I453</f>
        <v>600</v>
      </c>
      <c r="AJ453" s="3664"/>
      <c r="AK453" s="3708"/>
      <c r="AL453" s="3664"/>
      <c r="AM453" s="3664"/>
      <c r="AN453" s="3691"/>
      <c r="AO453" s="3691"/>
      <c r="AP453" s="3691">
        <f t="shared" si="190"/>
        <v>600</v>
      </c>
      <c r="AQ453" s="4089"/>
      <c r="AR453" s="1048"/>
      <c r="AS453" s="4089">
        <f t="shared" ref="AS453:AS459" si="196">I453</f>
        <v>600</v>
      </c>
      <c r="AT453" s="1048"/>
      <c r="AU453" s="4089"/>
      <c r="AV453" s="4089"/>
      <c r="AW453" s="4089"/>
      <c r="AX453" s="4089"/>
      <c r="AY453" s="4089"/>
      <c r="AZ453" s="4089"/>
      <c r="BA453" s="4089"/>
      <c r="BB453" s="4089"/>
      <c r="BC453" s="4089"/>
      <c r="BD453" s="4089"/>
      <c r="BE453" s="4089"/>
      <c r="BF453" s="4089" t="s">
        <v>89</v>
      </c>
      <c r="BG453" s="4089"/>
      <c r="BH453" s="4089">
        <f t="shared" ref="BH453:BH459" si="197">I453/60*10</f>
        <v>100</v>
      </c>
      <c r="BI453" s="4089">
        <f t="shared" ref="BI453:BI459" si="198">I453/60*10</f>
        <v>100</v>
      </c>
      <c r="BJ453" s="4089">
        <f t="shared" ref="BJ453:BJ459" si="199">I453/60*10</f>
        <v>100</v>
      </c>
      <c r="BK453" s="4089">
        <f t="shared" ref="BK453:BK459" si="200">I453/60*10</f>
        <v>100</v>
      </c>
      <c r="BL453" s="4089">
        <f t="shared" ref="BL453:BL459" si="201">I453/60*10</f>
        <v>100</v>
      </c>
      <c r="BM453" s="4089">
        <f t="shared" ref="BM453:BM459" si="202">I453/60*8</f>
        <v>80</v>
      </c>
      <c r="BN453" s="4089">
        <f t="shared" si="195"/>
        <v>20</v>
      </c>
      <c r="BO453" s="1048"/>
      <c r="BP453" s="1048"/>
      <c r="BQ453" s="1048"/>
      <c r="BR453" s="1048"/>
      <c r="BS453" s="1048"/>
      <c r="BT453" s="4414"/>
      <c r="BU453" s="4415"/>
      <c r="BV453" s="4385">
        <f t="shared" si="193"/>
        <v>600</v>
      </c>
      <c r="BW453" s="4386">
        <f t="shared" ref="BW453:BW516" si="203">I453-BV453</f>
        <v>0</v>
      </c>
      <c r="BX453" s="4387"/>
      <c r="BY453" s="4387"/>
      <c r="BZ453" s="4387"/>
      <c r="CA453" s="4391" t="str">
        <f>VLOOKUP(D453&amp;G453&amp;H453&amp;I453,'9298 版本变更明细'!C:AJ,34,FALSE)</f>
        <v>B版本膜+A版本口水胶+指南+C版本配件包（香味贴纸/指定配件）</v>
      </c>
      <c r="CC453" s="4392">
        <v>45861</v>
      </c>
      <c r="CD453" s="4391" t="s">
        <v>4165</v>
      </c>
    </row>
    <row r="454" s="4025" customFormat="1" ht="50" customHeight="1" spans="1:82">
      <c r="A454" s="3688">
        <v>45798</v>
      </c>
      <c r="B454" s="3689" t="s">
        <v>1331</v>
      </c>
      <c r="C454" s="3664" t="s">
        <v>1332</v>
      </c>
      <c r="D454" s="3690">
        <v>4500167463</v>
      </c>
      <c r="E454" s="3664" t="s">
        <v>4262</v>
      </c>
      <c r="F454" s="3690" t="s">
        <v>4263</v>
      </c>
      <c r="G454" s="3664" t="s">
        <v>2577</v>
      </c>
      <c r="H454" s="3664" t="s">
        <v>2578</v>
      </c>
      <c r="I454" s="3691">
        <v>360</v>
      </c>
      <c r="J454" s="3691">
        <v>0</v>
      </c>
      <c r="K454" s="3691">
        <v>12</v>
      </c>
      <c r="L454" s="3691">
        <f t="shared" si="191"/>
        <v>30</v>
      </c>
      <c r="M454" s="3659">
        <v>45856</v>
      </c>
      <c r="N454" s="3659">
        <v>45861</v>
      </c>
      <c r="O454" s="4085"/>
      <c r="P454" s="3682" t="s">
        <v>82</v>
      </c>
      <c r="Q454" s="3682"/>
      <c r="R454" s="4083"/>
      <c r="S454" s="4083"/>
      <c r="T454" s="4083"/>
      <c r="U454" s="3645" t="s">
        <v>4264</v>
      </c>
      <c r="V454" s="3649" t="s">
        <v>4084</v>
      </c>
      <c r="W454" s="3657"/>
      <c r="X454" s="3657" t="s">
        <v>4265</v>
      </c>
      <c r="Y454" s="3657"/>
      <c r="Z454" s="3661"/>
      <c r="AA454" s="3620" t="s">
        <v>4266</v>
      </c>
      <c r="AB454" s="3691" t="s">
        <v>459</v>
      </c>
      <c r="AC454" s="3691">
        <v>2.1438</v>
      </c>
      <c r="AD454" s="3691">
        <f t="shared" si="183"/>
        <v>771.768</v>
      </c>
      <c r="AE454" s="3645"/>
      <c r="AF454" s="3664" t="s">
        <v>2604</v>
      </c>
      <c r="AG454" s="3645" t="s">
        <v>416</v>
      </c>
      <c r="AH454" s="4430"/>
      <c r="AI454" s="3691"/>
      <c r="AJ454" s="3691"/>
      <c r="AK454" s="3708"/>
      <c r="AL454" s="3664"/>
      <c r="AM454" s="3664">
        <f>I454</f>
        <v>360</v>
      </c>
      <c r="AN454" s="3691"/>
      <c r="AO454" s="3691"/>
      <c r="AP454" s="3691">
        <f t="shared" si="190"/>
        <v>360</v>
      </c>
      <c r="AQ454" s="4089"/>
      <c r="AR454" s="1048"/>
      <c r="AS454" s="4089">
        <f t="shared" si="196"/>
        <v>360</v>
      </c>
      <c r="AT454" s="1048"/>
      <c r="AU454" s="4089"/>
      <c r="AV454" s="4089">
        <f>I454/6</f>
        <v>60</v>
      </c>
      <c r="AW454" s="4089"/>
      <c r="AX454" s="4089"/>
      <c r="AY454" s="4089"/>
      <c r="AZ454" s="4089"/>
      <c r="BA454" s="4089"/>
      <c r="BB454" s="4089"/>
      <c r="BC454" s="4089"/>
      <c r="BD454" s="4089"/>
      <c r="BE454" s="4089"/>
      <c r="BF454" s="4089" t="s">
        <v>89</v>
      </c>
      <c r="BG454" s="4089"/>
      <c r="BH454" s="4089">
        <f t="shared" si="197"/>
        <v>60</v>
      </c>
      <c r="BI454" s="4089">
        <f t="shared" si="198"/>
        <v>60</v>
      </c>
      <c r="BJ454" s="4089">
        <f t="shared" si="199"/>
        <v>60</v>
      </c>
      <c r="BK454" s="4089">
        <f t="shared" si="200"/>
        <v>60</v>
      </c>
      <c r="BL454" s="4089">
        <f t="shared" si="201"/>
        <v>60</v>
      </c>
      <c r="BM454" s="4089">
        <f t="shared" si="202"/>
        <v>48</v>
      </c>
      <c r="BN454" s="4089">
        <f t="shared" si="195"/>
        <v>12</v>
      </c>
      <c r="BO454" s="4413"/>
      <c r="BP454" s="4413"/>
      <c r="BQ454" s="4413"/>
      <c r="BR454" s="4413"/>
      <c r="BS454" s="4413"/>
      <c r="BT454" s="4431"/>
      <c r="BU454" s="4432"/>
      <c r="BV454" s="4385">
        <f t="shared" si="193"/>
        <v>360</v>
      </c>
      <c r="BW454" s="4386">
        <f t="shared" si="203"/>
        <v>0</v>
      </c>
      <c r="BX454" s="4387"/>
      <c r="BY454" s="4387"/>
      <c r="BZ454" s="4387"/>
      <c r="CA454" s="4391" t="str">
        <f>VLOOKUP(D454&amp;G454&amp;H454&amp;I454,'9298 版本变更明细'!C:AJ,34,FALSE)</f>
        <v>C版本收缩膜+指南+A版本口水胶+C版本配件包（香味贴纸/指定配件）</v>
      </c>
      <c r="CC454" s="4392">
        <v>45861</v>
      </c>
      <c r="CD454" s="4391" t="s">
        <v>4165</v>
      </c>
    </row>
    <row r="455" s="4025" customFormat="1" ht="50" customHeight="1" spans="1:82">
      <c r="A455" s="3688">
        <v>45750</v>
      </c>
      <c r="B455" s="3689" t="s">
        <v>1315</v>
      </c>
      <c r="C455" s="3664" t="s">
        <v>1316</v>
      </c>
      <c r="D455" s="3690">
        <v>4500166280</v>
      </c>
      <c r="E455" s="3664" t="s">
        <v>1499</v>
      </c>
      <c r="F455" s="3690" t="s">
        <v>1554</v>
      </c>
      <c r="G455" s="3664" t="s">
        <v>3821</v>
      </c>
      <c r="H455" s="3664" t="s">
        <v>1320</v>
      </c>
      <c r="I455" s="3691">
        <v>1424</v>
      </c>
      <c r="J455" s="3691">
        <v>0</v>
      </c>
      <c r="K455" s="3691">
        <v>4</v>
      </c>
      <c r="L455" s="3691">
        <f t="shared" si="191"/>
        <v>356</v>
      </c>
      <c r="M455" s="3659">
        <v>45857</v>
      </c>
      <c r="N455" s="3659">
        <v>45864</v>
      </c>
      <c r="O455" s="3664" t="s">
        <v>1472</v>
      </c>
      <c r="P455" s="3682" t="s">
        <v>82</v>
      </c>
      <c r="Q455" s="3682"/>
      <c r="R455" s="4083"/>
      <c r="S455" s="4083"/>
      <c r="T455" s="4083"/>
      <c r="U455" s="3645" t="s">
        <v>1483</v>
      </c>
      <c r="V455" s="3649" t="s">
        <v>1322</v>
      </c>
      <c r="W455" s="3657"/>
      <c r="X455" s="3657" t="s">
        <v>1876</v>
      </c>
      <c r="Y455" s="3657"/>
      <c r="Z455" s="3691" t="s">
        <v>1555</v>
      </c>
      <c r="AA455" s="3620" t="s">
        <v>1376</v>
      </c>
      <c r="AB455" s="3691" t="s">
        <v>1326</v>
      </c>
      <c r="AC455" s="3691">
        <v>16.8855</v>
      </c>
      <c r="AD455" s="3691">
        <f>AC455*L455</f>
        <v>6011.238</v>
      </c>
      <c r="AE455" s="3645"/>
      <c r="AF455" s="3664" t="s">
        <v>3822</v>
      </c>
      <c r="AG455" s="3645" t="s">
        <v>416</v>
      </c>
      <c r="AH455" s="4430"/>
      <c r="AI455" s="3691"/>
      <c r="AJ455" s="3691"/>
      <c r="AK455" s="3708"/>
      <c r="AL455" s="3664"/>
      <c r="AM455" s="3664"/>
      <c r="AN455" s="3691">
        <f>I455</f>
        <v>1424</v>
      </c>
      <c r="AO455" s="3691"/>
      <c r="AP455" s="3691"/>
      <c r="AQ455" s="4089">
        <f>I455</f>
        <v>1424</v>
      </c>
      <c r="AR455" s="1048"/>
      <c r="AS455" s="4089">
        <f t="shared" si="196"/>
        <v>1424</v>
      </c>
      <c r="AT455" s="1048"/>
      <c r="AU455" s="4089"/>
      <c r="AV455" s="4089"/>
      <c r="AW455" s="4089"/>
      <c r="AX455" s="4089"/>
      <c r="AY455" s="4089"/>
      <c r="AZ455" s="4089"/>
      <c r="BA455" s="4089"/>
      <c r="BB455" s="4089"/>
      <c r="BC455" s="4089">
        <f>I455/4</f>
        <v>356</v>
      </c>
      <c r="BD455" s="4089"/>
      <c r="BE455" s="4089"/>
      <c r="BF455" s="4089" t="s">
        <v>1327</v>
      </c>
      <c r="BG455" s="4089"/>
      <c r="BH455" s="4089">
        <f t="shared" si="197"/>
        <v>237.333333333333</v>
      </c>
      <c r="BI455" s="4089">
        <f t="shared" si="198"/>
        <v>237.333333333333</v>
      </c>
      <c r="BJ455" s="4089">
        <f t="shared" si="199"/>
        <v>237.333333333333</v>
      </c>
      <c r="BK455" s="4089">
        <f t="shared" si="200"/>
        <v>237.333333333333</v>
      </c>
      <c r="BL455" s="4089">
        <f t="shared" si="201"/>
        <v>237.333333333333</v>
      </c>
      <c r="BM455" s="4089">
        <f t="shared" si="202"/>
        <v>189.866666666667</v>
      </c>
      <c r="BN455" s="4089">
        <f t="shared" si="195"/>
        <v>47.4666666666667</v>
      </c>
      <c r="BO455" s="1048"/>
      <c r="BP455" s="1048"/>
      <c r="BQ455" s="1048"/>
      <c r="BR455" s="1048"/>
      <c r="BS455" s="1048"/>
      <c r="BT455" s="4414"/>
      <c r="BU455" s="4415"/>
      <c r="BV455" s="4385">
        <f t="shared" si="193"/>
        <v>1424</v>
      </c>
      <c r="BW455" s="4386">
        <f t="shared" si="203"/>
        <v>0</v>
      </c>
      <c r="BX455" s="4387"/>
      <c r="BY455" s="4387"/>
      <c r="BZ455" s="4387"/>
      <c r="CA455" s="4391" t="e">
        <f>VLOOKUP(D455&amp;G455&amp;H455&amp;I455,'9298 版本变更明细'!C:AJ,34,FALSE)</f>
        <v>#N/A</v>
      </c>
      <c r="CC455" s="4392">
        <v>45864</v>
      </c>
      <c r="CD455" s="4391" t="s">
        <v>4267</v>
      </c>
    </row>
    <row r="456" s="4025" customFormat="1" ht="50" customHeight="1" spans="1:82">
      <c r="A456" s="3688">
        <v>45750</v>
      </c>
      <c r="B456" s="3689" t="s">
        <v>1315</v>
      </c>
      <c r="C456" s="3664" t="s">
        <v>1316</v>
      </c>
      <c r="D456" s="3690">
        <v>4500166280</v>
      </c>
      <c r="E456" s="3664" t="s">
        <v>1556</v>
      </c>
      <c r="F456" s="3690" t="s">
        <v>1557</v>
      </c>
      <c r="G456" s="3664" t="s">
        <v>3821</v>
      </c>
      <c r="H456" s="3664" t="s">
        <v>1320</v>
      </c>
      <c r="I456" s="3691">
        <v>4244</v>
      </c>
      <c r="J456" s="3691">
        <v>0</v>
      </c>
      <c r="K456" s="3691">
        <v>4</v>
      </c>
      <c r="L456" s="3691">
        <f t="shared" si="191"/>
        <v>1061</v>
      </c>
      <c r="M456" s="3659">
        <v>45857</v>
      </c>
      <c r="N456" s="3659">
        <v>45864</v>
      </c>
      <c r="O456" s="3664" t="s">
        <v>1558</v>
      </c>
      <c r="P456" s="3682" t="s">
        <v>82</v>
      </c>
      <c r="Q456" s="3682"/>
      <c r="R456" s="4083"/>
      <c r="S456" s="4083"/>
      <c r="T456" s="4083"/>
      <c r="U456" s="3645" t="s">
        <v>1483</v>
      </c>
      <c r="V456" s="3649" t="s">
        <v>1322</v>
      </c>
      <c r="W456" s="3657"/>
      <c r="X456" s="3657" t="s">
        <v>1876</v>
      </c>
      <c r="Y456" s="3657"/>
      <c r="Z456" s="3691" t="s">
        <v>1559</v>
      </c>
      <c r="AA456" s="3620" t="s">
        <v>1376</v>
      </c>
      <c r="AB456" s="3691" t="s">
        <v>1326</v>
      </c>
      <c r="AC456" s="3691">
        <v>16.8314</v>
      </c>
      <c r="AD456" s="3691">
        <f>AC456*L456</f>
        <v>17858.1154</v>
      </c>
      <c r="AE456" s="3645"/>
      <c r="AF456" s="3664" t="s">
        <v>3822</v>
      </c>
      <c r="AG456" s="3645" t="s">
        <v>416</v>
      </c>
      <c r="AH456" s="4430"/>
      <c r="AI456" s="3691"/>
      <c r="AJ456" s="3691"/>
      <c r="AK456" s="3708"/>
      <c r="AL456" s="3664"/>
      <c r="AM456" s="3664"/>
      <c r="AN456" s="3691">
        <f>I456</f>
        <v>4244</v>
      </c>
      <c r="AO456" s="3691"/>
      <c r="AP456" s="3691"/>
      <c r="AQ456" s="4089">
        <f>I456</f>
        <v>4244</v>
      </c>
      <c r="AR456" s="1048"/>
      <c r="AS456" s="4089">
        <f t="shared" si="196"/>
        <v>4244</v>
      </c>
      <c r="AT456" s="1048"/>
      <c r="AU456" s="4089"/>
      <c r="AV456" s="4089"/>
      <c r="AW456" s="4089"/>
      <c r="AX456" s="4089"/>
      <c r="AY456" s="4089"/>
      <c r="AZ456" s="4089"/>
      <c r="BA456" s="4089"/>
      <c r="BB456" s="4089"/>
      <c r="BC456" s="4089">
        <f>I456/4</f>
        <v>1061</v>
      </c>
      <c r="BD456" s="4089"/>
      <c r="BE456" s="4089"/>
      <c r="BF456" s="4089" t="s">
        <v>1327</v>
      </c>
      <c r="BG456" s="4089"/>
      <c r="BH456" s="4089">
        <f t="shared" si="197"/>
        <v>707.333333333333</v>
      </c>
      <c r="BI456" s="4089">
        <f t="shared" si="198"/>
        <v>707.333333333333</v>
      </c>
      <c r="BJ456" s="4089">
        <f t="shared" si="199"/>
        <v>707.333333333333</v>
      </c>
      <c r="BK456" s="4089">
        <f t="shared" si="200"/>
        <v>707.333333333333</v>
      </c>
      <c r="BL456" s="4089">
        <f t="shared" si="201"/>
        <v>707.333333333333</v>
      </c>
      <c r="BM456" s="4089">
        <f t="shared" si="202"/>
        <v>565.866666666667</v>
      </c>
      <c r="BN456" s="4089">
        <f t="shared" si="195"/>
        <v>141.466666666667</v>
      </c>
      <c r="BO456" s="4413"/>
      <c r="BP456" s="4413"/>
      <c r="BQ456" s="4413"/>
      <c r="BR456" s="4413"/>
      <c r="BS456" s="4413"/>
      <c r="BT456" s="4431"/>
      <c r="BU456" s="4432"/>
      <c r="BV456" s="4385">
        <f t="shared" si="193"/>
        <v>4244</v>
      </c>
      <c r="BW456" s="4386">
        <f t="shared" si="203"/>
        <v>0</v>
      </c>
      <c r="BX456" s="4387"/>
      <c r="BY456" s="4387"/>
      <c r="BZ456" s="4387"/>
      <c r="CA456" s="4391" t="str">
        <f>VLOOKUP(D456&amp;G456&amp;H456&amp;I456,'9298 版本变更明细'!C:AJ,34,FALSE)</f>
        <v>A版本口水胶+C版本配件包（香味贴纸/指定配件）</v>
      </c>
      <c r="CC456" s="4392">
        <v>45864</v>
      </c>
      <c r="CD456" s="4391" t="s">
        <v>4267</v>
      </c>
    </row>
    <row r="457" s="4025" customFormat="1" ht="50" customHeight="1" spans="1:82">
      <c r="A457" s="3688">
        <v>45750</v>
      </c>
      <c r="B457" s="3689" t="s">
        <v>1315</v>
      </c>
      <c r="C457" s="3664" t="s">
        <v>1316</v>
      </c>
      <c r="D457" s="3690">
        <v>4500166280</v>
      </c>
      <c r="E457" s="3664" t="s">
        <v>1560</v>
      </c>
      <c r="F457" s="3690" t="s">
        <v>1561</v>
      </c>
      <c r="G457" s="3664" t="s">
        <v>3821</v>
      </c>
      <c r="H457" s="3664" t="s">
        <v>1320</v>
      </c>
      <c r="I457" s="3691">
        <v>2120</v>
      </c>
      <c r="J457" s="3691">
        <v>0</v>
      </c>
      <c r="K457" s="3691">
        <v>4</v>
      </c>
      <c r="L457" s="3691">
        <f t="shared" si="191"/>
        <v>530</v>
      </c>
      <c r="M457" s="3659">
        <v>45857</v>
      </c>
      <c r="N457" s="3659">
        <v>45866</v>
      </c>
      <c r="O457" s="3664" t="s">
        <v>1558</v>
      </c>
      <c r="P457" s="3682" t="s">
        <v>82</v>
      </c>
      <c r="Q457" s="3682"/>
      <c r="R457" s="4083"/>
      <c r="S457" s="4083"/>
      <c r="T457" s="4083"/>
      <c r="U457" s="3645" t="s">
        <v>1483</v>
      </c>
      <c r="V457" s="3649" t="s">
        <v>1322</v>
      </c>
      <c r="W457" s="3657"/>
      <c r="X457" s="3657" t="s">
        <v>1876</v>
      </c>
      <c r="Y457" s="3657"/>
      <c r="Z457" s="3691" t="s">
        <v>1562</v>
      </c>
      <c r="AA457" s="3620" t="s">
        <v>1376</v>
      </c>
      <c r="AB457" s="3691" t="s">
        <v>1326</v>
      </c>
      <c r="AC457" s="3691">
        <v>16.8314</v>
      </c>
      <c r="AD457" s="3691">
        <f>AC457*L457</f>
        <v>8920.642</v>
      </c>
      <c r="AE457" s="3645"/>
      <c r="AF457" s="3664" t="s">
        <v>3822</v>
      </c>
      <c r="AG457" s="3645" t="s">
        <v>416</v>
      </c>
      <c r="AH457" s="4430"/>
      <c r="AI457" s="3691"/>
      <c r="AJ457" s="3691"/>
      <c r="AK457" s="3708"/>
      <c r="AL457" s="3664"/>
      <c r="AM457" s="3664"/>
      <c r="AN457" s="3691">
        <f>I457</f>
        <v>2120</v>
      </c>
      <c r="AO457" s="3691"/>
      <c r="AP457" s="3691"/>
      <c r="AQ457" s="4089">
        <f>I457</f>
        <v>2120</v>
      </c>
      <c r="AR457" s="1048"/>
      <c r="AS457" s="4089">
        <f t="shared" si="196"/>
        <v>2120</v>
      </c>
      <c r="AT457" s="1048"/>
      <c r="AU457" s="4089"/>
      <c r="AV457" s="4089"/>
      <c r="AW457" s="4089"/>
      <c r="AX457" s="4089"/>
      <c r="AY457" s="4089"/>
      <c r="AZ457" s="4089"/>
      <c r="BA457" s="4089"/>
      <c r="BB457" s="4089"/>
      <c r="BC457" s="4089">
        <f>I457/4</f>
        <v>530</v>
      </c>
      <c r="BD457" s="4089"/>
      <c r="BE457" s="4089"/>
      <c r="BF457" s="4089" t="s">
        <v>1327</v>
      </c>
      <c r="BG457" s="4089"/>
      <c r="BH457" s="4089">
        <f t="shared" si="197"/>
        <v>353.333333333333</v>
      </c>
      <c r="BI457" s="4089">
        <f t="shared" si="198"/>
        <v>353.333333333333</v>
      </c>
      <c r="BJ457" s="4089">
        <f t="shared" si="199"/>
        <v>353.333333333333</v>
      </c>
      <c r="BK457" s="4089">
        <f t="shared" si="200"/>
        <v>353.333333333333</v>
      </c>
      <c r="BL457" s="4089">
        <f t="shared" si="201"/>
        <v>353.333333333333</v>
      </c>
      <c r="BM457" s="4089">
        <f t="shared" si="202"/>
        <v>282.666666666667</v>
      </c>
      <c r="BN457" s="4089">
        <f t="shared" si="195"/>
        <v>70.6666666666667</v>
      </c>
      <c r="BO457" s="4413"/>
      <c r="BP457" s="4413"/>
      <c r="BQ457" s="4413"/>
      <c r="BR457" s="4413"/>
      <c r="BS457" s="4413"/>
      <c r="BT457" s="4431"/>
      <c r="BU457" s="4432"/>
      <c r="BV457" s="4385">
        <f t="shared" si="193"/>
        <v>2120</v>
      </c>
      <c r="BW457" s="4386">
        <f t="shared" si="203"/>
        <v>0</v>
      </c>
      <c r="BX457" s="4387"/>
      <c r="BY457" s="4387"/>
      <c r="BZ457" s="4387"/>
      <c r="CA457" s="4391" t="e">
        <f>VLOOKUP(D457&amp;G457&amp;H457&amp;I457,'9298 版本变更明细'!C:AJ,34,FALSE)</f>
        <v>#N/A</v>
      </c>
      <c r="CC457" s="4392">
        <v>45865</v>
      </c>
      <c r="CD457" s="4391" t="s">
        <v>4267</v>
      </c>
    </row>
    <row r="458" s="4025" customFormat="1" ht="50" customHeight="1" spans="1:82">
      <c r="A458" s="4428">
        <v>45814</v>
      </c>
      <c r="B458" s="959" t="s">
        <v>839</v>
      </c>
      <c r="C458" s="959" t="s">
        <v>840</v>
      </c>
      <c r="D458" s="3618">
        <v>4500169287</v>
      </c>
      <c r="E458" s="959">
        <v>20905006</v>
      </c>
      <c r="F458" s="959" t="s">
        <v>4268</v>
      </c>
      <c r="G458" s="959" t="s">
        <v>2577</v>
      </c>
      <c r="H458" s="3664" t="s">
        <v>2578</v>
      </c>
      <c r="I458" s="3691">
        <v>48</v>
      </c>
      <c r="J458" s="3691">
        <v>0</v>
      </c>
      <c r="K458" s="3691">
        <v>12</v>
      </c>
      <c r="L458" s="3691">
        <f t="shared" si="191"/>
        <v>4</v>
      </c>
      <c r="M458" s="3619">
        <v>45859</v>
      </c>
      <c r="N458" s="3619">
        <v>45859</v>
      </c>
      <c r="O458" s="4085"/>
      <c r="P458" s="3682" t="s">
        <v>82</v>
      </c>
      <c r="Q458" s="3682"/>
      <c r="R458" s="4083"/>
      <c r="S458" s="4083"/>
      <c r="T458" s="4083"/>
      <c r="U458" s="3645" t="s">
        <v>1533</v>
      </c>
      <c r="V458" s="3649" t="s">
        <v>1425</v>
      </c>
      <c r="W458" s="3657"/>
      <c r="X458" s="3657" t="s">
        <v>4269</v>
      </c>
      <c r="Y458" s="3657" t="s">
        <v>1535</v>
      </c>
      <c r="Z458" s="3664"/>
      <c r="AA458" s="3620" t="s">
        <v>2708</v>
      </c>
      <c r="AB458" s="3618" t="s">
        <v>513</v>
      </c>
      <c r="AC458" s="3691">
        <v>2.2509</v>
      </c>
      <c r="AD458" s="3691">
        <f t="shared" ref="AD458:AD480" si="204">AC458*I458</f>
        <v>108.0432</v>
      </c>
      <c r="AE458" s="3645" t="s">
        <v>4270</v>
      </c>
      <c r="AF458" s="3664" t="s">
        <v>2577</v>
      </c>
      <c r="AG458" s="3645" t="s">
        <v>416</v>
      </c>
      <c r="AH458" s="905"/>
      <c r="AI458" s="3691"/>
      <c r="AJ458" s="3691">
        <f>I458</f>
        <v>48</v>
      </c>
      <c r="AK458" s="905"/>
      <c r="AL458" s="3664"/>
      <c r="AM458" s="3664"/>
      <c r="AN458" s="3691"/>
      <c r="AO458" s="3691"/>
      <c r="AP458" s="3691">
        <f t="shared" ref="AP458:AP480" si="205">I458</f>
        <v>48</v>
      </c>
      <c r="AQ458" s="4089"/>
      <c r="AR458" s="4382"/>
      <c r="AS458" s="4089">
        <f t="shared" si="196"/>
        <v>48</v>
      </c>
      <c r="AT458" s="4382"/>
      <c r="AU458" s="4089"/>
      <c r="AV458" s="4089">
        <f>I458/6</f>
        <v>8</v>
      </c>
      <c r="AW458" s="4089"/>
      <c r="AX458" s="4089"/>
      <c r="AY458" s="4089"/>
      <c r="AZ458" s="4089"/>
      <c r="BA458" s="4089"/>
      <c r="BB458" s="4089"/>
      <c r="BC458" s="4089"/>
      <c r="BD458" s="4089"/>
      <c r="BE458" s="4089"/>
      <c r="BF458" s="4089" t="s">
        <v>89</v>
      </c>
      <c r="BG458" s="4089"/>
      <c r="BH458" s="4089">
        <f t="shared" si="197"/>
        <v>8</v>
      </c>
      <c r="BI458" s="4089">
        <f t="shared" si="198"/>
        <v>8</v>
      </c>
      <c r="BJ458" s="4089">
        <f t="shared" si="199"/>
        <v>8</v>
      </c>
      <c r="BK458" s="4089">
        <f t="shared" si="200"/>
        <v>8</v>
      </c>
      <c r="BL458" s="4089">
        <f t="shared" si="201"/>
        <v>8</v>
      </c>
      <c r="BM458" s="4089">
        <f t="shared" si="202"/>
        <v>6.4</v>
      </c>
      <c r="BN458" s="4089">
        <f t="shared" si="195"/>
        <v>1.6</v>
      </c>
      <c r="BO458" s="907"/>
      <c r="BP458" s="907"/>
      <c r="BQ458" s="907"/>
      <c r="BR458" s="907"/>
      <c r="BS458" s="907"/>
      <c r="BT458" s="910"/>
      <c r="BU458" s="911"/>
      <c r="BV458" s="4385">
        <f t="shared" si="193"/>
        <v>48</v>
      </c>
      <c r="BW458" s="4386">
        <f t="shared" si="203"/>
        <v>0</v>
      </c>
      <c r="BX458" s="4387"/>
      <c r="BY458" s="4387"/>
      <c r="BZ458" s="4387"/>
      <c r="CA458" s="4391" t="str">
        <f>VLOOKUP(D458&amp;G458&amp;H458&amp;I458,'9298 版本变更明细'!C:AJ,34,FALSE)</f>
        <v>全套新包装-除PDQ</v>
      </c>
      <c r="CC458" s="4392" t="s">
        <v>4036</v>
      </c>
      <c r="CD458" s="4391" t="s">
        <v>4271</v>
      </c>
    </row>
    <row r="459" s="4025" customFormat="1" ht="50" customHeight="1" spans="1:82">
      <c r="A459" s="4428">
        <v>45821</v>
      </c>
      <c r="B459" s="959" t="s">
        <v>505</v>
      </c>
      <c r="C459" s="959" t="s">
        <v>506</v>
      </c>
      <c r="D459" s="3618">
        <v>4500169286</v>
      </c>
      <c r="E459" s="959">
        <v>20905005</v>
      </c>
      <c r="F459" s="959" t="s">
        <v>4272</v>
      </c>
      <c r="G459" s="959" t="s">
        <v>2577</v>
      </c>
      <c r="H459" s="3664" t="s">
        <v>2578</v>
      </c>
      <c r="I459" s="3691">
        <v>1452</v>
      </c>
      <c r="J459" s="3691">
        <v>0</v>
      </c>
      <c r="K459" s="3691">
        <v>12</v>
      </c>
      <c r="L459" s="3691">
        <f t="shared" si="191"/>
        <v>121</v>
      </c>
      <c r="M459" s="3619">
        <v>45859</v>
      </c>
      <c r="N459" s="3619">
        <v>45859</v>
      </c>
      <c r="O459" s="4098"/>
      <c r="P459" s="3682" t="s">
        <v>82</v>
      </c>
      <c r="Q459" s="3682"/>
      <c r="R459" s="4083"/>
      <c r="S459" s="4083"/>
      <c r="T459" s="4083"/>
      <c r="U459" s="3645" t="s">
        <v>1533</v>
      </c>
      <c r="V459" s="3649" t="s">
        <v>1425</v>
      </c>
      <c r="W459" s="3657"/>
      <c r="X459" s="3657" t="s">
        <v>4273</v>
      </c>
      <c r="Y459" s="3657" t="s">
        <v>1535</v>
      </c>
      <c r="Z459" s="3664"/>
      <c r="AA459" s="3620" t="s">
        <v>2711</v>
      </c>
      <c r="AB459" s="3618" t="s">
        <v>513</v>
      </c>
      <c r="AC459" s="3691">
        <v>2.2463</v>
      </c>
      <c r="AD459" s="3691">
        <f t="shared" si="204"/>
        <v>3261.6276</v>
      </c>
      <c r="AE459" s="3645" t="s">
        <v>1537</v>
      </c>
      <c r="AF459" s="3664" t="s">
        <v>2577</v>
      </c>
      <c r="AG459" s="3645" t="s">
        <v>416</v>
      </c>
      <c r="AH459" s="905"/>
      <c r="AI459" s="3691"/>
      <c r="AJ459" s="3691">
        <f>I459</f>
        <v>1452</v>
      </c>
      <c r="AK459" s="905"/>
      <c r="AL459" s="3664"/>
      <c r="AM459" s="3664"/>
      <c r="AN459" s="3691"/>
      <c r="AO459" s="3691"/>
      <c r="AP459" s="3691">
        <f t="shared" si="205"/>
        <v>1452</v>
      </c>
      <c r="AQ459" s="4089"/>
      <c r="AR459" s="4382"/>
      <c r="AS459" s="4089">
        <f t="shared" si="196"/>
        <v>1452</v>
      </c>
      <c r="AT459" s="4382"/>
      <c r="AU459" s="4089"/>
      <c r="AV459" s="4089">
        <f>I459/6</f>
        <v>242</v>
      </c>
      <c r="AW459" s="4089"/>
      <c r="AX459" s="4089"/>
      <c r="AY459" s="4089"/>
      <c r="AZ459" s="4089"/>
      <c r="BA459" s="4089"/>
      <c r="BB459" s="4089"/>
      <c r="BC459" s="4089"/>
      <c r="BD459" s="4089"/>
      <c r="BE459" s="4089"/>
      <c r="BF459" s="4089" t="s">
        <v>89</v>
      </c>
      <c r="BG459" s="4089"/>
      <c r="BH459" s="4089">
        <f t="shared" si="197"/>
        <v>242</v>
      </c>
      <c r="BI459" s="4089">
        <f t="shared" si="198"/>
        <v>242</v>
      </c>
      <c r="BJ459" s="4089">
        <f t="shared" si="199"/>
        <v>242</v>
      </c>
      <c r="BK459" s="4089">
        <f t="shared" si="200"/>
        <v>242</v>
      </c>
      <c r="BL459" s="4089">
        <f t="shared" si="201"/>
        <v>242</v>
      </c>
      <c r="BM459" s="4089">
        <f t="shared" si="202"/>
        <v>193.6</v>
      </c>
      <c r="BN459" s="4089">
        <f t="shared" si="195"/>
        <v>48.4</v>
      </c>
      <c r="BO459" s="907"/>
      <c r="BP459" s="907"/>
      <c r="BQ459" s="907"/>
      <c r="BR459" s="907"/>
      <c r="BS459" s="907"/>
      <c r="BT459" s="910"/>
      <c r="BU459" s="911"/>
      <c r="BV459" s="4385">
        <f t="shared" si="193"/>
        <v>1452</v>
      </c>
      <c r="BW459" s="4386">
        <f t="shared" si="203"/>
        <v>0</v>
      </c>
      <c r="BX459" s="4387"/>
      <c r="BY459" s="4387"/>
      <c r="BZ459" s="4387"/>
      <c r="CA459" s="4391" t="str">
        <f>VLOOKUP(D459&amp;G459&amp;H459&amp;I459,'9298 版本变更明细'!C:AJ,34,FALSE)</f>
        <v>全套新包装-除PDQ</v>
      </c>
      <c r="CC459" s="4392" t="s">
        <v>4036</v>
      </c>
      <c r="CD459" s="4391" t="s">
        <v>4271</v>
      </c>
    </row>
    <row r="460" s="4025" customFormat="1" ht="50" customHeight="1" spans="1:82">
      <c r="A460" s="3688">
        <v>45824</v>
      </c>
      <c r="B460" s="3689" t="s">
        <v>1641</v>
      </c>
      <c r="C460" s="3664" t="s">
        <v>396</v>
      </c>
      <c r="D460" s="3690">
        <v>4500170137</v>
      </c>
      <c r="E460" s="3664" t="s">
        <v>4274</v>
      </c>
      <c r="F460" s="3690" t="s">
        <v>4275</v>
      </c>
      <c r="G460" s="3664" t="s">
        <v>4222</v>
      </c>
      <c r="H460" s="3664" t="s">
        <v>3187</v>
      </c>
      <c r="I460" s="3691">
        <v>12</v>
      </c>
      <c r="J460" s="3691">
        <v>0</v>
      </c>
      <c r="K460" s="3691">
        <v>12</v>
      </c>
      <c r="L460" s="3691">
        <f t="shared" ref="L460:L467" si="206">I460/K460</f>
        <v>1</v>
      </c>
      <c r="M460" s="3659">
        <v>45859</v>
      </c>
      <c r="N460" s="3659">
        <v>45860</v>
      </c>
      <c r="O460" s="4085"/>
      <c r="P460" s="3682" t="s">
        <v>82</v>
      </c>
      <c r="Q460" s="3682"/>
      <c r="R460" s="4083"/>
      <c r="S460" s="4083"/>
      <c r="T460" s="4083"/>
      <c r="U460" s="3645" t="s">
        <v>1504</v>
      </c>
      <c r="V460" s="3649" t="s">
        <v>4276</v>
      </c>
      <c r="W460" s="3657"/>
      <c r="X460" s="3657" t="s">
        <v>4163</v>
      </c>
      <c r="Y460" s="3657"/>
      <c r="Z460" s="3661"/>
      <c r="AA460" s="3620" t="s">
        <v>4277</v>
      </c>
      <c r="AB460" s="3691" t="s">
        <v>369</v>
      </c>
      <c r="AC460" s="3691">
        <v>2.0915</v>
      </c>
      <c r="AD460" s="3691">
        <f t="shared" si="204"/>
        <v>25.098</v>
      </c>
      <c r="AE460" s="3645"/>
      <c r="AF460" s="3664" t="s">
        <v>4222</v>
      </c>
      <c r="AG460" s="3645" t="s">
        <v>416</v>
      </c>
      <c r="AH460" s="905"/>
      <c r="AI460" s="3691"/>
      <c r="AJ460" s="3691"/>
      <c r="AK460" s="905"/>
      <c r="AL460" s="3664"/>
      <c r="AM460" s="3664">
        <f t="shared" ref="AM460:AM478" si="207">I460</f>
        <v>12</v>
      </c>
      <c r="AN460" s="3691"/>
      <c r="AO460" s="3691"/>
      <c r="AP460" s="3691">
        <f t="shared" si="205"/>
        <v>12</v>
      </c>
      <c r="AQ460" s="4089"/>
      <c r="AR460" s="4382"/>
      <c r="AS460" s="4089"/>
      <c r="AT460" s="4382"/>
      <c r="AU460" s="4089">
        <f t="shared" ref="AU460:AU478" si="208">I460</f>
        <v>12</v>
      </c>
      <c r="AV460" s="4089"/>
      <c r="AW460" s="4089"/>
      <c r="AX460" s="4089"/>
      <c r="AY460" s="4089"/>
      <c r="AZ460" s="4089"/>
      <c r="BA460" s="4089"/>
      <c r="BB460" s="4089"/>
      <c r="BC460" s="4089"/>
      <c r="BD460" s="4089"/>
      <c r="BE460" s="4089"/>
      <c r="BF460" s="4089" t="s">
        <v>89</v>
      </c>
      <c r="BG460" s="4089"/>
      <c r="BH460" s="4089"/>
      <c r="BI460" s="4089"/>
      <c r="BJ460" s="4089"/>
      <c r="BK460" s="4089">
        <f>I460</f>
        <v>12</v>
      </c>
      <c r="BL460" s="4089"/>
      <c r="BM460" s="4089"/>
      <c r="BN460" s="4089">
        <f t="shared" ref="BN460:BN475" si="209">I460/60*1</f>
        <v>0.2</v>
      </c>
      <c r="BO460" s="4382"/>
      <c r="BP460" s="4382"/>
      <c r="BQ460" s="4382"/>
      <c r="BR460" s="4382"/>
      <c r="BS460" s="4382"/>
      <c r="BT460" s="4383"/>
      <c r="BU460" s="4384"/>
      <c r="BV460" s="4385">
        <f t="shared" si="193"/>
        <v>12.2</v>
      </c>
      <c r="BW460" s="4386">
        <f t="shared" si="203"/>
        <v>-0.199999999999999</v>
      </c>
      <c r="BX460" s="4387"/>
      <c r="BY460" s="4387"/>
      <c r="BZ460" s="4387"/>
      <c r="CA460" s="4391"/>
      <c r="CC460" s="4392">
        <v>45860</v>
      </c>
      <c r="CD460" s="4391" t="s">
        <v>4271</v>
      </c>
    </row>
    <row r="461" s="4025" customFormat="1" ht="50" customHeight="1" spans="1:82">
      <c r="A461" s="3688">
        <v>45824</v>
      </c>
      <c r="B461" s="3689" t="s">
        <v>1641</v>
      </c>
      <c r="C461" s="3664" t="s">
        <v>396</v>
      </c>
      <c r="D461" s="3690">
        <v>4500170137</v>
      </c>
      <c r="E461" s="3664" t="s">
        <v>4278</v>
      </c>
      <c r="F461" s="3690" t="s">
        <v>4279</v>
      </c>
      <c r="G461" s="3664" t="s">
        <v>2680</v>
      </c>
      <c r="H461" s="3664" t="s">
        <v>2632</v>
      </c>
      <c r="I461" s="3691">
        <v>12</v>
      </c>
      <c r="J461" s="3691">
        <v>0</v>
      </c>
      <c r="K461" s="3691">
        <v>12</v>
      </c>
      <c r="L461" s="3691">
        <f t="shared" si="206"/>
        <v>1</v>
      </c>
      <c r="M461" s="3659">
        <v>45859</v>
      </c>
      <c r="N461" s="3659">
        <v>45860</v>
      </c>
      <c r="O461" s="4085"/>
      <c r="P461" s="3682" t="s">
        <v>82</v>
      </c>
      <c r="Q461" s="3682"/>
      <c r="R461" s="4083"/>
      <c r="S461" s="4083"/>
      <c r="T461" s="4083"/>
      <c r="U461" s="3645" t="s">
        <v>1504</v>
      </c>
      <c r="V461" s="3649" t="s">
        <v>4276</v>
      </c>
      <c r="W461" s="3657"/>
      <c r="X461" s="3657" t="s">
        <v>4163</v>
      </c>
      <c r="Y461" s="3657"/>
      <c r="Z461" s="3661"/>
      <c r="AA461" s="3620" t="s">
        <v>4277</v>
      </c>
      <c r="AB461" s="3691" t="s">
        <v>369</v>
      </c>
      <c r="AC461" s="3691">
        <v>2.0891</v>
      </c>
      <c r="AD461" s="3691">
        <f t="shared" si="204"/>
        <v>25.0692</v>
      </c>
      <c r="AE461" s="3645"/>
      <c r="AF461" s="3664" t="s">
        <v>2680</v>
      </c>
      <c r="AG461" s="3645" t="s">
        <v>416</v>
      </c>
      <c r="AH461" s="4405"/>
      <c r="AI461" s="3691"/>
      <c r="AJ461" s="3691"/>
      <c r="AK461" s="4405"/>
      <c r="AL461" s="3664"/>
      <c r="AM461" s="3664">
        <f t="shared" si="207"/>
        <v>12</v>
      </c>
      <c r="AN461" s="3691"/>
      <c r="AO461" s="3691"/>
      <c r="AP461" s="3691">
        <f t="shared" si="205"/>
        <v>12</v>
      </c>
      <c r="AQ461" s="4089"/>
      <c r="AR461" s="4417"/>
      <c r="AS461" s="4089"/>
      <c r="AT461" s="4417"/>
      <c r="AU461" s="4089">
        <f t="shared" si="208"/>
        <v>12</v>
      </c>
      <c r="AV461" s="4089"/>
      <c r="AW461" s="4089"/>
      <c r="AX461" s="4089"/>
      <c r="AY461" s="4089"/>
      <c r="AZ461" s="4089"/>
      <c r="BA461" s="4089"/>
      <c r="BB461" s="4089"/>
      <c r="BC461" s="4089"/>
      <c r="BD461" s="4089"/>
      <c r="BE461" s="4089"/>
      <c r="BF461" s="4089" t="s">
        <v>89</v>
      </c>
      <c r="BG461" s="4089"/>
      <c r="BH461" s="4089"/>
      <c r="BI461" s="4089"/>
      <c r="BJ461" s="4089">
        <f>I461-BN461</f>
        <v>11.8</v>
      </c>
      <c r="BK461" s="4089"/>
      <c r="BL461" s="4089"/>
      <c r="BM461" s="4089"/>
      <c r="BN461" s="4089">
        <f t="shared" si="209"/>
        <v>0.2</v>
      </c>
      <c r="BO461" s="4382"/>
      <c r="BP461" s="4382"/>
      <c r="BQ461" s="4382"/>
      <c r="BR461" s="4382"/>
      <c r="BS461" s="4382"/>
      <c r="BT461" s="4383"/>
      <c r="BU461" s="4384"/>
      <c r="BV461" s="4385">
        <f t="shared" si="193"/>
        <v>12</v>
      </c>
      <c r="BW461" s="4386">
        <f t="shared" si="203"/>
        <v>0</v>
      </c>
      <c r="BX461" s="4387"/>
      <c r="BY461" s="4387"/>
      <c r="BZ461" s="4387"/>
      <c r="CA461" s="4391"/>
      <c r="CC461" s="4392">
        <v>45860</v>
      </c>
      <c r="CD461" s="4391" t="s">
        <v>4271</v>
      </c>
    </row>
    <row r="462" s="4025" customFormat="1" ht="50" customHeight="1" spans="1:82">
      <c r="A462" s="3688">
        <v>45824</v>
      </c>
      <c r="B462" s="3689" t="s">
        <v>1641</v>
      </c>
      <c r="C462" s="3664" t="s">
        <v>396</v>
      </c>
      <c r="D462" s="3690">
        <v>4500170137</v>
      </c>
      <c r="E462" s="3664" t="s">
        <v>4280</v>
      </c>
      <c r="F462" s="3690" t="s">
        <v>4281</v>
      </c>
      <c r="G462" s="3664" t="s">
        <v>2680</v>
      </c>
      <c r="H462" s="3664" t="s">
        <v>2632</v>
      </c>
      <c r="I462" s="3691">
        <v>12</v>
      </c>
      <c r="J462" s="3691">
        <v>0</v>
      </c>
      <c r="K462" s="3691">
        <v>12</v>
      </c>
      <c r="L462" s="3691">
        <f t="shared" si="206"/>
        <v>1</v>
      </c>
      <c r="M462" s="3659">
        <v>45859</v>
      </c>
      <c r="N462" s="3659">
        <v>45860</v>
      </c>
      <c r="O462" s="4085"/>
      <c r="P462" s="3682" t="s">
        <v>82</v>
      </c>
      <c r="Q462" s="3682"/>
      <c r="R462" s="4083"/>
      <c r="S462" s="4083"/>
      <c r="T462" s="4083"/>
      <c r="U462" s="3645" t="s">
        <v>1504</v>
      </c>
      <c r="V462" s="3649" t="s">
        <v>4276</v>
      </c>
      <c r="W462" s="3657"/>
      <c r="X462" s="3657" t="s">
        <v>4163</v>
      </c>
      <c r="Y462" s="3657"/>
      <c r="Z462" s="3661"/>
      <c r="AA462" s="3620" t="s">
        <v>4277</v>
      </c>
      <c r="AB462" s="3691" t="s">
        <v>369</v>
      </c>
      <c r="AC462" s="3691">
        <v>2.0891</v>
      </c>
      <c r="AD462" s="3691">
        <f t="shared" si="204"/>
        <v>25.0692</v>
      </c>
      <c r="AE462" s="3645"/>
      <c r="AF462" s="3664" t="s">
        <v>2680</v>
      </c>
      <c r="AG462" s="3645" t="s">
        <v>416</v>
      </c>
      <c r="AH462" s="4405"/>
      <c r="AI462" s="3691"/>
      <c r="AJ462" s="3691"/>
      <c r="AK462" s="4405"/>
      <c r="AL462" s="3664"/>
      <c r="AM462" s="3664">
        <f t="shared" si="207"/>
        <v>12</v>
      </c>
      <c r="AN462" s="3691"/>
      <c r="AO462" s="3691"/>
      <c r="AP462" s="3691">
        <f t="shared" si="205"/>
        <v>12</v>
      </c>
      <c r="AQ462" s="4089"/>
      <c r="AR462" s="4417"/>
      <c r="AS462" s="4089"/>
      <c r="AT462" s="4417"/>
      <c r="AU462" s="4089">
        <f t="shared" si="208"/>
        <v>12</v>
      </c>
      <c r="AV462" s="4089"/>
      <c r="AW462" s="4089"/>
      <c r="AX462" s="4089"/>
      <c r="AY462" s="4089"/>
      <c r="AZ462" s="4089"/>
      <c r="BA462" s="4089"/>
      <c r="BB462" s="4089"/>
      <c r="BC462" s="4089"/>
      <c r="BD462" s="4089"/>
      <c r="BE462" s="4089"/>
      <c r="BF462" s="4089" t="s">
        <v>89</v>
      </c>
      <c r="BG462" s="4089"/>
      <c r="BH462" s="4089"/>
      <c r="BI462" s="4089"/>
      <c r="BJ462" s="4089">
        <f>I462-BN462</f>
        <v>11.8</v>
      </c>
      <c r="BK462" s="4089"/>
      <c r="BL462" s="4089"/>
      <c r="BM462" s="4089"/>
      <c r="BN462" s="4089">
        <f t="shared" si="209"/>
        <v>0.2</v>
      </c>
      <c r="BO462" s="4382"/>
      <c r="BP462" s="4382"/>
      <c r="BQ462" s="4382"/>
      <c r="BR462" s="4382"/>
      <c r="BS462" s="4382"/>
      <c r="BT462" s="4383"/>
      <c r="BU462" s="4384"/>
      <c r="BV462" s="4385">
        <f t="shared" si="193"/>
        <v>12</v>
      </c>
      <c r="BW462" s="4386">
        <f t="shared" si="203"/>
        <v>0</v>
      </c>
      <c r="BX462" s="4387"/>
      <c r="BY462" s="4387"/>
      <c r="BZ462" s="4387"/>
      <c r="CA462" s="4391"/>
      <c r="CC462" s="4392">
        <v>45860</v>
      </c>
      <c r="CD462" s="4391" t="s">
        <v>4271</v>
      </c>
    </row>
    <row r="463" s="4025" customFormat="1" ht="50" customHeight="1" spans="1:82">
      <c r="A463" s="3688">
        <v>45824</v>
      </c>
      <c r="B463" s="3689" t="s">
        <v>1641</v>
      </c>
      <c r="C463" s="3664" t="s">
        <v>396</v>
      </c>
      <c r="D463" s="3690">
        <v>4500170137</v>
      </c>
      <c r="E463" s="3664" t="s">
        <v>4282</v>
      </c>
      <c r="F463" s="3690" t="s">
        <v>4283</v>
      </c>
      <c r="G463" s="3664" t="s">
        <v>2680</v>
      </c>
      <c r="H463" s="3664" t="s">
        <v>2632</v>
      </c>
      <c r="I463" s="3691">
        <v>12</v>
      </c>
      <c r="J463" s="3691">
        <v>0</v>
      </c>
      <c r="K463" s="3691">
        <v>12</v>
      </c>
      <c r="L463" s="3691">
        <f t="shared" si="206"/>
        <v>1</v>
      </c>
      <c r="M463" s="3659">
        <v>45859</v>
      </c>
      <c r="N463" s="3659">
        <v>45860</v>
      </c>
      <c r="O463" s="4085"/>
      <c r="P463" s="3682" t="s">
        <v>82</v>
      </c>
      <c r="Q463" s="3682"/>
      <c r="R463" s="4083"/>
      <c r="S463" s="4083"/>
      <c r="T463" s="4083"/>
      <c r="U463" s="3645" t="s">
        <v>1504</v>
      </c>
      <c r="V463" s="3649" t="s">
        <v>4276</v>
      </c>
      <c r="W463" s="3657"/>
      <c r="X463" s="3657" t="s">
        <v>4163</v>
      </c>
      <c r="Y463" s="3657"/>
      <c r="Z463" s="3661"/>
      <c r="AA463" s="3620" t="s">
        <v>4277</v>
      </c>
      <c r="AB463" s="3691" t="s">
        <v>369</v>
      </c>
      <c r="AC463" s="3691">
        <v>2.0891</v>
      </c>
      <c r="AD463" s="3691">
        <f t="shared" si="204"/>
        <v>25.0692</v>
      </c>
      <c r="AE463" s="3645"/>
      <c r="AF463" s="3664" t="s">
        <v>2680</v>
      </c>
      <c r="AG463" s="3645" t="s">
        <v>416</v>
      </c>
      <c r="AH463" s="4405"/>
      <c r="AI463" s="3691"/>
      <c r="AJ463" s="3691"/>
      <c r="AK463" s="4405"/>
      <c r="AL463" s="3664"/>
      <c r="AM463" s="3664">
        <f t="shared" si="207"/>
        <v>12</v>
      </c>
      <c r="AN463" s="3691"/>
      <c r="AO463" s="3691"/>
      <c r="AP463" s="3691">
        <f t="shared" si="205"/>
        <v>12</v>
      </c>
      <c r="AQ463" s="4089"/>
      <c r="AR463" s="4417"/>
      <c r="AS463" s="4089"/>
      <c r="AT463" s="4417"/>
      <c r="AU463" s="4089">
        <f t="shared" si="208"/>
        <v>12</v>
      </c>
      <c r="AV463" s="4089"/>
      <c r="AW463" s="4089"/>
      <c r="AX463" s="4089"/>
      <c r="AY463" s="4089"/>
      <c r="AZ463" s="4089"/>
      <c r="BA463" s="4089"/>
      <c r="BB463" s="4089"/>
      <c r="BC463" s="4089"/>
      <c r="BD463" s="4089"/>
      <c r="BE463" s="4089"/>
      <c r="BF463" s="4089" t="s">
        <v>89</v>
      </c>
      <c r="BG463" s="4089"/>
      <c r="BH463" s="4089"/>
      <c r="BI463" s="4089"/>
      <c r="BJ463" s="4089">
        <f>I463-BN463</f>
        <v>11.8</v>
      </c>
      <c r="BK463" s="4089"/>
      <c r="BL463" s="4089"/>
      <c r="BM463" s="4089"/>
      <c r="BN463" s="4089">
        <f t="shared" si="209"/>
        <v>0.2</v>
      </c>
      <c r="BO463" s="4382"/>
      <c r="BP463" s="4382"/>
      <c r="BQ463" s="4382"/>
      <c r="BR463" s="4382"/>
      <c r="BS463" s="4382"/>
      <c r="BT463" s="4383"/>
      <c r="BU463" s="4384"/>
      <c r="BV463" s="4385">
        <f t="shared" si="193"/>
        <v>12</v>
      </c>
      <c r="BW463" s="4386">
        <f t="shared" si="203"/>
        <v>0</v>
      </c>
      <c r="BX463" s="4387"/>
      <c r="BY463" s="4387"/>
      <c r="BZ463" s="4387"/>
      <c r="CA463" s="4391"/>
      <c r="CC463" s="4392">
        <v>45860</v>
      </c>
      <c r="CD463" s="4391" t="s">
        <v>4271</v>
      </c>
    </row>
    <row r="464" s="4025" customFormat="1" ht="50" customHeight="1" spans="1:82">
      <c r="A464" s="3688">
        <v>45824</v>
      </c>
      <c r="B464" s="3689" t="s">
        <v>1641</v>
      </c>
      <c r="C464" s="3664" t="s">
        <v>396</v>
      </c>
      <c r="D464" s="3690">
        <v>4500170137</v>
      </c>
      <c r="E464" s="3664" t="s">
        <v>4284</v>
      </c>
      <c r="F464" s="3690" t="s">
        <v>4285</v>
      </c>
      <c r="G464" s="3664" t="s">
        <v>2680</v>
      </c>
      <c r="H464" s="3664" t="s">
        <v>2632</v>
      </c>
      <c r="I464" s="3691">
        <v>12</v>
      </c>
      <c r="J464" s="3691">
        <v>0</v>
      </c>
      <c r="K464" s="3691">
        <v>12</v>
      </c>
      <c r="L464" s="3691">
        <f t="shared" si="206"/>
        <v>1</v>
      </c>
      <c r="M464" s="3659">
        <v>45859</v>
      </c>
      <c r="N464" s="3659">
        <v>45860</v>
      </c>
      <c r="O464" s="4085"/>
      <c r="P464" s="3682" t="s">
        <v>82</v>
      </c>
      <c r="Q464" s="3682"/>
      <c r="R464" s="4083"/>
      <c r="S464" s="4083"/>
      <c r="T464" s="4083"/>
      <c r="U464" s="3645" t="s">
        <v>1504</v>
      </c>
      <c r="V464" s="3649" t="s">
        <v>4276</v>
      </c>
      <c r="W464" s="3657"/>
      <c r="X464" s="3657" t="s">
        <v>4163</v>
      </c>
      <c r="Y464" s="3657"/>
      <c r="Z464" s="3661"/>
      <c r="AA464" s="3620" t="s">
        <v>4277</v>
      </c>
      <c r="AB464" s="3691" t="s">
        <v>369</v>
      </c>
      <c r="AC464" s="3691">
        <v>2.0891</v>
      </c>
      <c r="AD464" s="3691">
        <f t="shared" si="204"/>
        <v>25.0692</v>
      </c>
      <c r="AE464" s="3645"/>
      <c r="AF464" s="3664" t="s">
        <v>2680</v>
      </c>
      <c r="AG464" s="3645" t="s">
        <v>416</v>
      </c>
      <c r="AH464" s="4405"/>
      <c r="AI464" s="3691"/>
      <c r="AJ464" s="3691"/>
      <c r="AK464" s="4405"/>
      <c r="AL464" s="3664"/>
      <c r="AM464" s="3664">
        <f t="shared" si="207"/>
        <v>12</v>
      </c>
      <c r="AN464" s="3691"/>
      <c r="AO464" s="3691"/>
      <c r="AP464" s="3691">
        <f t="shared" si="205"/>
        <v>12</v>
      </c>
      <c r="AQ464" s="4089"/>
      <c r="AR464" s="4417"/>
      <c r="AS464" s="4089"/>
      <c r="AT464" s="4417"/>
      <c r="AU464" s="4089">
        <f t="shared" si="208"/>
        <v>12</v>
      </c>
      <c r="AV464" s="4089"/>
      <c r="AW464" s="4089"/>
      <c r="AX464" s="4089"/>
      <c r="AY464" s="4089"/>
      <c r="AZ464" s="4089"/>
      <c r="BA464" s="4089"/>
      <c r="BB464" s="4089"/>
      <c r="BC464" s="4089"/>
      <c r="BD464" s="4089"/>
      <c r="BE464" s="4089"/>
      <c r="BF464" s="4089" t="s">
        <v>89</v>
      </c>
      <c r="BG464" s="4089"/>
      <c r="BH464" s="4089"/>
      <c r="BI464" s="4089"/>
      <c r="BJ464" s="4089">
        <f>I464-BN464</f>
        <v>11.8</v>
      </c>
      <c r="BK464" s="4089"/>
      <c r="BL464" s="4089"/>
      <c r="BM464" s="4089"/>
      <c r="BN464" s="4089">
        <f t="shared" si="209"/>
        <v>0.2</v>
      </c>
      <c r="BO464" s="4382"/>
      <c r="BP464" s="4382"/>
      <c r="BQ464" s="4382"/>
      <c r="BR464" s="4382"/>
      <c r="BS464" s="4382"/>
      <c r="BT464" s="4383"/>
      <c r="BU464" s="4384"/>
      <c r="BV464" s="4385">
        <f t="shared" si="193"/>
        <v>12</v>
      </c>
      <c r="BW464" s="4386">
        <f t="shared" si="203"/>
        <v>0</v>
      </c>
      <c r="BX464" s="4387"/>
      <c r="BY464" s="4387"/>
      <c r="BZ464" s="4387"/>
      <c r="CA464" s="4391"/>
      <c r="CC464" s="4392">
        <v>45860</v>
      </c>
      <c r="CD464" s="4391" t="s">
        <v>4271</v>
      </c>
    </row>
    <row r="465" s="4025" customFormat="1" ht="50" customHeight="1" spans="1:82">
      <c r="A465" s="3688">
        <v>45824</v>
      </c>
      <c r="B465" s="3689" t="s">
        <v>1641</v>
      </c>
      <c r="C465" s="3664" t="s">
        <v>396</v>
      </c>
      <c r="D465" s="3690">
        <v>4500170137</v>
      </c>
      <c r="E465" s="3664" t="s">
        <v>4286</v>
      </c>
      <c r="F465" s="3690" t="s">
        <v>4287</v>
      </c>
      <c r="G465" s="3664" t="s">
        <v>2680</v>
      </c>
      <c r="H465" s="3664" t="s">
        <v>2632</v>
      </c>
      <c r="I465" s="3691">
        <v>12</v>
      </c>
      <c r="J465" s="3691">
        <v>0</v>
      </c>
      <c r="K465" s="3691">
        <v>12</v>
      </c>
      <c r="L465" s="3691">
        <f t="shared" si="206"/>
        <v>1</v>
      </c>
      <c r="M465" s="3659">
        <v>45859</v>
      </c>
      <c r="N465" s="3659">
        <v>45860</v>
      </c>
      <c r="O465" s="4085"/>
      <c r="P465" s="3682" t="s">
        <v>82</v>
      </c>
      <c r="Q465" s="3682"/>
      <c r="R465" s="4083"/>
      <c r="S465" s="4083"/>
      <c r="T465" s="4083"/>
      <c r="U465" s="3645" t="s">
        <v>1504</v>
      </c>
      <c r="V465" s="3649" t="s">
        <v>4276</v>
      </c>
      <c r="W465" s="3657"/>
      <c r="X465" s="3657" t="s">
        <v>4163</v>
      </c>
      <c r="Y465" s="3657"/>
      <c r="Z465" s="3661"/>
      <c r="AA465" s="3620" t="s">
        <v>4277</v>
      </c>
      <c r="AB465" s="3691" t="s">
        <v>369</v>
      </c>
      <c r="AC465" s="3691">
        <v>2.0891</v>
      </c>
      <c r="AD465" s="3691">
        <f t="shared" si="204"/>
        <v>25.0692</v>
      </c>
      <c r="AE465" s="3645"/>
      <c r="AF465" s="3664" t="s">
        <v>2680</v>
      </c>
      <c r="AG465" s="3645" t="s">
        <v>416</v>
      </c>
      <c r="AH465" s="4405"/>
      <c r="AI465" s="3691"/>
      <c r="AJ465" s="3691"/>
      <c r="AK465" s="4405"/>
      <c r="AL465" s="3664"/>
      <c r="AM465" s="3664">
        <f t="shared" si="207"/>
        <v>12</v>
      </c>
      <c r="AN465" s="3691"/>
      <c r="AO465" s="3691"/>
      <c r="AP465" s="3691">
        <f t="shared" si="205"/>
        <v>12</v>
      </c>
      <c r="AQ465" s="4089"/>
      <c r="AR465" s="4417"/>
      <c r="AS465" s="4089"/>
      <c r="AT465" s="4417"/>
      <c r="AU465" s="4089">
        <f t="shared" si="208"/>
        <v>12</v>
      </c>
      <c r="AV465" s="4089"/>
      <c r="AW465" s="4089"/>
      <c r="AX465" s="4089"/>
      <c r="AY465" s="4089"/>
      <c r="AZ465" s="4089"/>
      <c r="BA465" s="4089"/>
      <c r="BB465" s="4089"/>
      <c r="BC465" s="4089"/>
      <c r="BD465" s="4089"/>
      <c r="BE465" s="4089"/>
      <c r="BF465" s="4089" t="s">
        <v>89</v>
      </c>
      <c r="BG465" s="4089"/>
      <c r="BH465" s="4089"/>
      <c r="BI465" s="4089"/>
      <c r="BJ465" s="4089">
        <f>I465-BN465</f>
        <v>11.8</v>
      </c>
      <c r="BK465" s="4089"/>
      <c r="BL465" s="4089"/>
      <c r="BM465" s="4089"/>
      <c r="BN465" s="4089">
        <f t="shared" si="209"/>
        <v>0.2</v>
      </c>
      <c r="BO465" s="4382"/>
      <c r="BP465" s="4382"/>
      <c r="BQ465" s="4382"/>
      <c r="BR465" s="4382"/>
      <c r="BS465" s="4382"/>
      <c r="BT465" s="4383"/>
      <c r="BU465" s="4384"/>
      <c r="BV465" s="4385">
        <f t="shared" si="193"/>
        <v>12</v>
      </c>
      <c r="BW465" s="4386">
        <f t="shared" si="203"/>
        <v>0</v>
      </c>
      <c r="BX465" s="4387"/>
      <c r="BY465" s="4387"/>
      <c r="BZ465" s="4387"/>
      <c r="CA465" s="4391"/>
      <c r="CC465" s="4392">
        <v>45860</v>
      </c>
      <c r="CD465" s="4391" t="s">
        <v>4271</v>
      </c>
    </row>
    <row r="466" s="4025" customFormat="1" ht="50" customHeight="1" spans="1:82">
      <c r="A466" s="3688">
        <v>45824</v>
      </c>
      <c r="B466" s="3689" t="s">
        <v>1641</v>
      </c>
      <c r="C466" s="3664" t="s">
        <v>396</v>
      </c>
      <c r="D466" s="3690">
        <v>4500170137</v>
      </c>
      <c r="E466" s="3664" t="s">
        <v>4288</v>
      </c>
      <c r="F466" s="3690" t="s">
        <v>4289</v>
      </c>
      <c r="G466" s="3664" t="s">
        <v>3021</v>
      </c>
      <c r="H466" s="3664" t="s">
        <v>2984</v>
      </c>
      <c r="I466" s="3691">
        <v>24</v>
      </c>
      <c r="J466" s="3691">
        <v>0</v>
      </c>
      <c r="K466" s="3691">
        <v>12</v>
      </c>
      <c r="L466" s="3691">
        <f t="shared" si="206"/>
        <v>2</v>
      </c>
      <c r="M466" s="3659">
        <v>45859</v>
      </c>
      <c r="N466" s="3659">
        <v>45860</v>
      </c>
      <c r="O466" s="4085"/>
      <c r="P466" s="3682" t="s">
        <v>82</v>
      </c>
      <c r="Q466" s="3682"/>
      <c r="R466" s="4083"/>
      <c r="S466" s="4083"/>
      <c r="T466" s="4083"/>
      <c r="U466" s="3645"/>
      <c r="V466" s="3649" t="s">
        <v>4276</v>
      </c>
      <c r="W466" s="3657"/>
      <c r="X466" s="3657" t="s">
        <v>4163</v>
      </c>
      <c r="Y466" s="3657"/>
      <c r="Z466" s="3661"/>
      <c r="AA466" s="3620" t="s">
        <v>4277</v>
      </c>
      <c r="AB466" s="3691" t="s">
        <v>369</v>
      </c>
      <c r="AC466" s="3691">
        <v>2.0915</v>
      </c>
      <c r="AD466" s="3691">
        <f t="shared" si="204"/>
        <v>50.196</v>
      </c>
      <c r="AE466" s="3645"/>
      <c r="AF466" s="3664" t="s">
        <v>3021</v>
      </c>
      <c r="AG466" s="3645" t="s">
        <v>416</v>
      </c>
      <c r="AH466" s="979"/>
      <c r="AI466" s="3691"/>
      <c r="AJ466" s="3691"/>
      <c r="AK466" s="979"/>
      <c r="AL466" s="3664"/>
      <c r="AM466" s="3664">
        <f t="shared" si="207"/>
        <v>24</v>
      </c>
      <c r="AN466" s="3691"/>
      <c r="AO466" s="3691"/>
      <c r="AP466" s="3691">
        <f t="shared" si="205"/>
        <v>24</v>
      </c>
      <c r="AQ466" s="4089"/>
      <c r="AR466" s="980"/>
      <c r="AS466" s="4089"/>
      <c r="AT466" s="980"/>
      <c r="AU466" s="4089">
        <f t="shared" si="208"/>
        <v>24</v>
      </c>
      <c r="AV466" s="4089"/>
      <c r="AW466" s="4089"/>
      <c r="AX466" s="4089"/>
      <c r="AY466" s="4089"/>
      <c r="AZ466" s="4089"/>
      <c r="BA466" s="4089"/>
      <c r="BB466" s="4089"/>
      <c r="BC466" s="4089"/>
      <c r="BD466" s="4089"/>
      <c r="BE466" s="4089"/>
      <c r="BF466" s="4089" t="s">
        <v>89</v>
      </c>
      <c r="BG466" s="4089"/>
      <c r="BH466" s="4089"/>
      <c r="BI466" s="4089"/>
      <c r="BJ466" s="4089"/>
      <c r="BK466" s="4089"/>
      <c r="BL466" s="4089">
        <f>I466-BN466</f>
        <v>23.6</v>
      </c>
      <c r="BM466" s="4089"/>
      <c r="BN466" s="4089">
        <f t="shared" si="209"/>
        <v>0.4</v>
      </c>
      <c r="BO466" s="878"/>
      <c r="BP466" s="878"/>
      <c r="BQ466" s="878"/>
      <c r="BR466" s="878"/>
      <c r="BS466" s="878"/>
      <c r="BT466" s="879"/>
      <c r="BU466" s="880"/>
      <c r="BV466" s="4385">
        <f t="shared" si="193"/>
        <v>24</v>
      </c>
      <c r="BW466" s="4386">
        <f t="shared" si="203"/>
        <v>0</v>
      </c>
      <c r="BX466" s="4387"/>
      <c r="BY466" s="4387"/>
      <c r="BZ466" s="4387"/>
      <c r="CA466" s="4391"/>
      <c r="CC466" s="4392">
        <v>45860</v>
      </c>
      <c r="CD466" s="4391" t="s">
        <v>4271</v>
      </c>
    </row>
    <row r="467" s="4025" customFormat="1" ht="50" customHeight="1" spans="1:82">
      <c r="A467" s="3688">
        <v>45824</v>
      </c>
      <c r="B467" s="3689" t="s">
        <v>1641</v>
      </c>
      <c r="C467" s="3664" t="s">
        <v>396</v>
      </c>
      <c r="D467" s="3690">
        <v>4500170137</v>
      </c>
      <c r="E467" s="3664" t="s">
        <v>4290</v>
      </c>
      <c r="F467" s="3690" t="s">
        <v>4291</v>
      </c>
      <c r="G467" s="3664" t="s">
        <v>3021</v>
      </c>
      <c r="H467" s="3664" t="s">
        <v>2984</v>
      </c>
      <c r="I467" s="3691">
        <v>24</v>
      </c>
      <c r="J467" s="3691">
        <v>0</v>
      </c>
      <c r="K467" s="3691">
        <v>12</v>
      </c>
      <c r="L467" s="3691">
        <f t="shared" si="206"/>
        <v>2</v>
      </c>
      <c r="M467" s="3659">
        <v>45859</v>
      </c>
      <c r="N467" s="3659">
        <v>45860</v>
      </c>
      <c r="O467" s="4085"/>
      <c r="P467" s="3682" t="s">
        <v>82</v>
      </c>
      <c r="Q467" s="3682"/>
      <c r="R467" s="4083"/>
      <c r="S467" s="4083"/>
      <c r="T467" s="4083"/>
      <c r="U467" s="3645"/>
      <c r="V467" s="3649" t="s">
        <v>4276</v>
      </c>
      <c r="W467" s="3657"/>
      <c r="X467" s="3657" t="s">
        <v>4163</v>
      </c>
      <c r="Y467" s="3657"/>
      <c r="Z467" s="3661"/>
      <c r="AA467" s="3620" t="s">
        <v>4277</v>
      </c>
      <c r="AB467" s="3691" t="s">
        <v>369</v>
      </c>
      <c r="AC467" s="3691">
        <v>2.0915</v>
      </c>
      <c r="AD467" s="3691">
        <f t="shared" si="204"/>
        <v>50.196</v>
      </c>
      <c r="AE467" s="3645"/>
      <c r="AF467" s="3664" t="s">
        <v>3021</v>
      </c>
      <c r="AG467" s="3645" t="s">
        <v>416</v>
      </c>
      <c r="AH467" s="979"/>
      <c r="AI467" s="3691"/>
      <c r="AJ467" s="3691"/>
      <c r="AK467" s="979"/>
      <c r="AL467" s="3664"/>
      <c r="AM467" s="3664">
        <f t="shared" si="207"/>
        <v>24</v>
      </c>
      <c r="AN467" s="3691"/>
      <c r="AO467" s="3691"/>
      <c r="AP467" s="3691">
        <f t="shared" si="205"/>
        <v>24</v>
      </c>
      <c r="AQ467" s="4089"/>
      <c r="AR467" s="980"/>
      <c r="AS467" s="4089"/>
      <c r="AT467" s="980"/>
      <c r="AU467" s="4089">
        <f t="shared" si="208"/>
        <v>24</v>
      </c>
      <c r="AV467" s="4089"/>
      <c r="AW467" s="4089"/>
      <c r="AX467" s="4089"/>
      <c r="AY467" s="4089"/>
      <c r="AZ467" s="4089"/>
      <c r="BA467" s="4089"/>
      <c r="BB467" s="4089"/>
      <c r="BC467" s="4089"/>
      <c r="BD467" s="4089"/>
      <c r="BE467" s="4089"/>
      <c r="BF467" s="4089" t="s">
        <v>89</v>
      </c>
      <c r="BG467" s="4089"/>
      <c r="BH467" s="4089"/>
      <c r="BI467" s="4089"/>
      <c r="BJ467" s="4089"/>
      <c r="BK467" s="4089"/>
      <c r="BL467" s="4089">
        <f>I467-BN467</f>
        <v>23.6</v>
      </c>
      <c r="BM467" s="4089"/>
      <c r="BN467" s="4089">
        <f t="shared" si="209"/>
        <v>0.4</v>
      </c>
      <c r="BO467" s="878"/>
      <c r="BP467" s="878"/>
      <c r="BQ467" s="878"/>
      <c r="BR467" s="878"/>
      <c r="BS467" s="878"/>
      <c r="BT467" s="879"/>
      <c r="BU467" s="880"/>
      <c r="BV467" s="4385">
        <f t="shared" si="193"/>
        <v>24</v>
      </c>
      <c r="BW467" s="4386">
        <f t="shared" si="203"/>
        <v>0</v>
      </c>
      <c r="BX467" s="4387"/>
      <c r="BY467" s="4387"/>
      <c r="BZ467" s="4387"/>
      <c r="CA467" s="4391"/>
      <c r="CC467" s="4392">
        <v>45860</v>
      </c>
      <c r="CD467" s="4391" t="s">
        <v>4271</v>
      </c>
    </row>
    <row r="468" s="4025" customFormat="1" ht="50" customHeight="1" spans="1:82">
      <c r="A468" s="3688">
        <v>45824</v>
      </c>
      <c r="B468" s="3689" t="s">
        <v>1641</v>
      </c>
      <c r="C468" s="3664" t="s">
        <v>396</v>
      </c>
      <c r="D468" s="3690">
        <v>4500170137</v>
      </c>
      <c r="E468" s="3664" t="s">
        <v>4292</v>
      </c>
      <c r="F468" s="3690" t="s">
        <v>4293</v>
      </c>
      <c r="G468" s="3664" t="s">
        <v>3021</v>
      </c>
      <c r="H468" s="3664" t="s">
        <v>2984</v>
      </c>
      <c r="I468" s="3691">
        <v>24</v>
      </c>
      <c r="J468" s="3691">
        <v>0</v>
      </c>
      <c r="K468" s="3691">
        <v>12</v>
      </c>
      <c r="L468" s="3691">
        <f t="shared" si="191"/>
        <v>2</v>
      </c>
      <c r="M468" s="3659">
        <v>45859</v>
      </c>
      <c r="N468" s="3659">
        <v>45860</v>
      </c>
      <c r="O468" s="4085"/>
      <c r="P468" s="3682" t="s">
        <v>82</v>
      </c>
      <c r="Q468" s="3682"/>
      <c r="R468" s="4083"/>
      <c r="S468" s="4083"/>
      <c r="T468" s="4083"/>
      <c r="U468" s="3645"/>
      <c r="V468" s="3649" t="s">
        <v>4276</v>
      </c>
      <c r="W468" s="3657"/>
      <c r="X468" s="3657" t="s">
        <v>4163</v>
      </c>
      <c r="Y468" s="3657"/>
      <c r="Z468" s="3661"/>
      <c r="AA468" s="3620" t="s">
        <v>4277</v>
      </c>
      <c r="AB468" s="3691" t="s">
        <v>369</v>
      </c>
      <c r="AC468" s="3691">
        <v>2.0915</v>
      </c>
      <c r="AD468" s="3691">
        <f t="shared" si="204"/>
        <v>50.196</v>
      </c>
      <c r="AE468" s="3645"/>
      <c r="AF468" s="3664" t="s">
        <v>3021</v>
      </c>
      <c r="AG468" s="3645" t="s">
        <v>416</v>
      </c>
      <c r="AH468" s="979"/>
      <c r="AI468" s="3691"/>
      <c r="AJ468" s="3691"/>
      <c r="AK468" s="979"/>
      <c r="AL468" s="3664"/>
      <c r="AM468" s="3664">
        <f t="shared" si="207"/>
        <v>24</v>
      </c>
      <c r="AN468" s="3691"/>
      <c r="AO468" s="3691"/>
      <c r="AP468" s="3691">
        <f t="shared" si="205"/>
        <v>24</v>
      </c>
      <c r="AQ468" s="4089"/>
      <c r="AR468" s="980"/>
      <c r="AS468" s="4089"/>
      <c r="AT468" s="980"/>
      <c r="AU468" s="4089">
        <f t="shared" si="208"/>
        <v>24</v>
      </c>
      <c r="AV468" s="4089"/>
      <c r="AW468" s="4089"/>
      <c r="AX468" s="4089"/>
      <c r="AY468" s="4089"/>
      <c r="AZ468" s="4089"/>
      <c r="BA468" s="4089"/>
      <c r="BB468" s="4089"/>
      <c r="BC468" s="4089"/>
      <c r="BD468" s="4089"/>
      <c r="BE468" s="4089"/>
      <c r="BF468" s="4089" t="s">
        <v>89</v>
      </c>
      <c r="BG468" s="4089"/>
      <c r="BH468" s="4089"/>
      <c r="BI468" s="4089"/>
      <c r="BJ468" s="4089"/>
      <c r="BK468" s="4089"/>
      <c r="BL468" s="4089">
        <f>I468-BN468</f>
        <v>23.6</v>
      </c>
      <c r="BM468" s="4089"/>
      <c r="BN468" s="4089">
        <f t="shared" si="209"/>
        <v>0.4</v>
      </c>
      <c r="BO468" s="878"/>
      <c r="BP468" s="878"/>
      <c r="BQ468" s="878"/>
      <c r="BR468" s="878"/>
      <c r="BS468" s="878"/>
      <c r="BT468" s="879"/>
      <c r="BU468" s="880"/>
      <c r="BV468" s="4385">
        <f t="shared" si="193"/>
        <v>24</v>
      </c>
      <c r="BW468" s="4386">
        <f t="shared" si="203"/>
        <v>0</v>
      </c>
      <c r="BX468" s="4387"/>
      <c r="BY468" s="4387"/>
      <c r="BZ468" s="4387"/>
      <c r="CA468" s="4391"/>
      <c r="CC468" s="4392">
        <v>45860</v>
      </c>
      <c r="CD468" s="4391" t="s">
        <v>4271</v>
      </c>
    </row>
    <row r="469" s="4025" customFormat="1" ht="50" customHeight="1" spans="1:82">
      <c r="A469" s="4428">
        <v>45824</v>
      </c>
      <c r="B469" s="959" t="s">
        <v>1641</v>
      </c>
      <c r="C469" s="959" t="s">
        <v>396</v>
      </c>
      <c r="D469" s="3618">
        <v>4500170146</v>
      </c>
      <c r="E469" s="959" t="s">
        <v>4294</v>
      </c>
      <c r="F469" s="959" t="s">
        <v>4295</v>
      </c>
      <c r="G469" s="959" t="s">
        <v>2676</v>
      </c>
      <c r="H469" s="3664" t="s">
        <v>2677</v>
      </c>
      <c r="I469" s="3691">
        <v>12</v>
      </c>
      <c r="J469" s="3691">
        <v>0</v>
      </c>
      <c r="K469" s="3691">
        <v>12</v>
      </c>
      <c r="L469" s="3691">
        <f t="shared" si="191"/>
        <v>1</v>
      </c>
      <c r="M469" s="3619">
        <v>45859</v>
      </c>
      <c r="N469" s="3619">
        <v>45860</v>
      </c>
      <c r="O469" s="4098"/>
      <c r="P469" s="3682" t="s">
        <v>82</v>
      </c>
      <c r="Q469" s="3682"/>
      <c r="R469" s="4083"/>
      <c r="S469" s="4083"/>
      <c r="T469" s="4083"/>
      <c r="U469" s="3645" t="s">
        <v>1504</v>
      </c>
      <c r="V469" s="3649" t="s">
        <v>4276</v>
      </c>
      <c r="W469" s="3657"/>
      <c r="X469" s="3657" t="s">
        <v>2670</v>
      </c>
      <c r="Y469" s="3657" t="s">
        <v>4223</v>
      </c>
      <c r="Z469" s="3664"/>
      <c r="AA469" s="3620" t="s">
        <v>4224</v>
      </c>
      <c r="AB469" s="3618" t="s">
        <v>369</v>
      </c>
      <c r="AC469" s="3691">
        <v>2.0915</v>
      </c>
      <c r="AD469" s="3691">
        <f t="shared" si="204"/>
        <v>25.098</v>
      </c>
      <c r="AE469" s="3645"/>
      <c r="AF469" s="3664" t="s">
        <v>2676</v>
      </c>
      <c r="AG469" s="3645" t="s">
        <v>416</v>
      </c>
      <c r="AH469" s="4405"/>
      <c r="AI469" s="3691"/>
      <c r="AJ469" s="3691"/>
      <c r="AK469" s="4405"/>
      <c r="AL469" s="3664"/>
      <c r="AM469" s="3664">
        <f t="shared" si="207"/>
        <v>12</v>
      </c>
      <c r="AN469" s="3691"/>
      <c r="AO469" s="3691"/>
      <c r="AP469" s="3691">
        <f t="shared" si="205"/>
        <v>12</v>
      </c>
      <c r="AQ469" s="4089"/>
      <c r="AR469" s="4417"/>
      <c r="AS469" s="4089"/>
      <c r="AT469" s="4417"/>
      <c r="AU469" s="4089">
        <f t="shared" si="208"/>
        <v>12</v>
      </c>
      <c r="AV469" s="4089"/>
      <c r="AW469" s="4089"/>
      <c r="AX469" s="4089"/>
      <c r="AY469" s="4089"/>
      <c r="AZ469" s="4089"/>
      <c r="BA469" s="4089"/>
      <c r="BB469" s="4089"/>
      <c r="BC469" s="4089"/>
      <c r="BD469" s="4089"/>
      <c r="BE469" s="4089"/>
      <c r="BF469" s="4089" t="s">
        <v>89</v>
      </c>
      <c r="BG469" s="4089"/>
      <c r="BH469" s="4089"/>
      <c r="BI469" s="4089">
        <f t="shared" ref="BI469:BI475" si="210">I469-BN469</f>
        <v>11.8</v>
      </c>
      <c r="BJ469" s="4089"/>
      <c r="BK469" s="4089"/>
      <c r="BL469" s="4089"/>
      <c r="BM469" s="4089"/>
      <c r="BN469" s="4089">
        <f t="shared" si="209"/>
        <v>0.2</v>
      </c>
      <c r="BO469" s="907"/>
      <c r="BP469" s="907"/>
      <c r="BQ469" s="907"/>
      <c r="BR469" s="907"/>
      <c r="BS469" s="907"/>
      <c r="BT469" s="910"/>
      <c r="BU469" s="911"/>
      <c r="BV469" s="4385">
        <f t="shared" si="193"/>
        <v>12</v>
      </c>
      <c r="BW469" s="4386">
        <f t="shared" si="203"/>
        <v>0</v>
      </c>
      <c r="BX469" s="4387"/>
      <c r="BY469" s="4387"/>
      <c r="BZ469" s="4387"/>
      <c r="CA469" s="4391"/>
      <c r="CC469" s="4392">
        <v>45860</v>
      </c>
      <c r="CD469" s="4391" t="s">
        <v>4271</v>
      </c>
    </row>
    <row r="470" s="4025" customFormat="1" ht="50" customHeight="1" spans="1:82">
      <c r="A470" s="4428">
        <v>45824</v>
      </c>
      <c r="B470" s="959" t="s">
        <v>1641</v>
      </c>
      <c r="C470" s="959" t="s">
        <v>396</v>
      </c>
      <c r="D470" s="3618">
        <v>4500170146</v>
      </c>
      <c r="E470" s="959" t="s">
        <v>4296</v>
      </c>
      <c r="F470" s="959" t="s">
        <v>4297</v>
      </c>
      <c r="G470" s="959" t="s">
        <v>2676</v>
      </c>
      <c r="H470" s="3664" t="s">
        <v>2677</v>
      </c>
      <c r="I470" s="3691">
        <v>12</v>
      </c>
      <c r="J470" s="3691">
        <v>0</v>
      </c>
      <c r="K470" s="3691">
        <v>12</v>
      </c>
      <c r="L470" s="3691">
        <f t="shared" si="191"/>
        <v>1</v>
      </c>
      <c r="M470" s="3619">
        <v>45859</v>
      </c>
      <c r="N470" s="3619">
        <v>45860</v>
      </c>
      <c r="O470" s="4098"/>
      <c r="P470" s="3682" t="s">
        <v>82</v>
      </c>
      <c r="Q470" s="3682"/>
      <c r="R470" s="4083"/>
      <c r="S470" s="4083"/>
      <c r="T470" s="4083"/>
      <c r="U470" s="3645" t="s">
        <v>1504</v>
      </c>
      <c r="V470" s="3649" t="s">
        <v>4276</v>
      </c>
      <c r="W470" s="3657"/>
      <c r="X470" s="3657" t="s">
        <v>2670</v>
      </c>
      <c r="Y470" s="3657" t="s">
        <v>4223</v>
      </c>
      <c r="Z470" s="3664"/>
      <c r="AA470" s="3620" t="s">
        <v>4224</v>
      </c>
      <c r="AB470" s="3618" t="s">
        <v>369</v>
      </c>
      <c r="AC470" s="3691">
        <v>2.0915</v>
      </c>
      <c r="AD470" s="3691">
        <f t="shared" si="204"/>
        <v>25.098</v>
      </c>
      <c r="AE470" s="3645"/>
      <c r="AF470" s="3664" t="s">
        <v>2676</v>
      </c>
      <c r="AG470" s="3645" t="s">
        <v>416</v>
      </c>
      <c r="AH470" s="4405"/>
      <c r="AI470" s="3691"/>
      <c r="AJ470" s="3691"/>
      <c r="AK470" s="4405"/>
      <c r="AL470" s="3664"/>
      <c r="AM470" s="3664">
        <f t="shared" si="207"/>
        <v>12</v>
      </c>
      <c r="AN470" s="3691"/>
      <c r="AO470" s="3691"/>
      <c r="AP470" s="3691">
        <f t="shared" si="205"/>
        <v>12</v>
      </c>
      <c r="AQ470" s="4089"/>
      <c r="AR470" s="4417"/>
      <c r="AS470" s="4089"/>
      <c r="AT470" s="4417"/>
      <c r="AU470" s="4089">
        <f t="shared" si="208"/>
        <v>12</v>
      </c>
      <c r="AV470" s="4089"/>
      <c r="AW470" s="4089"/>
      <c r="AX470" s="4089"/>
      <c r="AY470" s="4089"/>
      <c r="AZ470" s="4089"/>
      <c r="BA470" s="4089"/>
      <c r="BB470" s="4089"/>
      <c r="BC470" s="4089"/>
      <c r="BD470" s="4089"/>
      <c r="BE470" s="4089"/>
      <c r="BF470" s="4089" t="s">
        <v>89</v>
      </c>
      <c r="BG470" s="4089"/>
      <c r="BH470" s="4089"/>
      <c r="BI470" s="4089">
        <f t="shared" si="210"/>
        <v>11.8</v>
      </c>
      <c r="BJ470" s="4089"/>
      <c r="BK470" s="4089"/>
      <c r="BL470" s="4089"/>
      <c r="BM470" s="4089"/>
      <c r="BN470" s="4089">
        <f t="shared" si="209"/>
        <v>0.2</v>
      </c>
      <c r="BO470" s="907"/>
      <c r="BP470" s="907"/>
      <c r="BQ470" s="907"/>
      <c r="BR470" s="907"/>
      <c r="BS470" s="907"/>
      <c r="BT470" s="910"/>
      <c r="BU470" s="911"/>
      <c r="BV470" s="4385">
        <f t="shared" si="193"/>
        <v>12</v>
      </c>
      <c r="BW470" s="4386">
        <f t="shared" si="203"/>
        <v>0</v>
      </c>
      <c r="BX470" s="4387"/>
      <c r="BY470" s="4387"/>
      <c r="BZ470" s="4387"/>
      <c r="CA470" s="4391"/>
      <c r="CC470" s="4392">
        <v>45860</v>
      </c>
      <c r="CD470" s="4391" t="s">
        <v>4271</v>
      </c>
    </row>
    <row r="471" s="4025" customFormat="1" ht="50" customHeight="1" spans="1:82">
      <c r="A471" s="4428">
        <v>45824</v>
      </c>
      <c r="B471" s="959" t="s">
        <v>1641</v>
      </c>
      <c r="C471" s="959" t="s">
        <v>396</v>
      </c>
      <c r="D471" s="3618">
        <v>4500170146</v>
      </c>
      <c r="E471" s="959" t="s">
        <v>4298</v>
      </c>
      <c r="F471" s="959" t="s">
        <v>4299</v>
      </c>
      <c r="G471" s="959" t="s">
        <v>2676</v>
      </c>
      <c r="H471" s="3664" t="s">
        <v>2677</v>
      </c>
      <c r="I471" s="3691">
        <v>12</v>
      </c>
      <c r="J471" s="3691">
        <v>0</v>
      </c>
      <c r="K471" s="3691">
        <v>12</v>
      </c>
      <c r="L471" s="3691">
        <f t="shared" si="191"/>
        <v>1</v>
      </c>
      <c r="M471" s="3619">
        <v>45859</v>
      </c>
      <c r="N471" s="3619">
        <v>45860</v>
      </c>
      <c r="O471" s="4098"/>
      <c r="P471" s="3682" t="s">
        <v>82</v>
      </c>
      <c r="Q471" s="3682"/>
      <c r="R471" s="4083"/>
      <c r="S471" s="4083"/>
      <c r="T471" s="4083"/>
      <c r="U471" s="3645" t="s">
        <v>1504</v>
      </c>
      <c r="V471" s="3649" t="s">
        <v>4276</v>
      </c>
      <c r="W471" s="3657"/>
      <c r="X471" s="3657" t="s">
        <v>2670</v>
      </c>
      <c r="Y471" s="3657" t="s">
        <v>4223</v>
      </c>
      <c r="Z471" s="3664"/>
      <c r="AA471" s="3620" t="s">
        <v>4224</v>
      </c>
      <c r="AB471" s="3618" t="s">
        <v>369</v>
      </c>
      <c r="AC471" s="3691">
        <v>2.0915</v>
      </c>
      <c r="AD471" s="3691">
        <f t="shared" si="204"/>
        <v>25.098</v>
      </c>
      <c r="AE471" s="3645"/>
      <c r="AF471" s="3664" t="s">
        <v>2676</v>
      </c>
      <c r="AG471" s="3645" t="s">
        <v>416</v>
      </c>
      <c r="AH471" s="4405"/>
      <c r="AI471" s="3691"/>
      <c r="AJ471" s="3691"/>
      <c r="AK471" s="4405"/>
      <c r="AL471" s="3664"/>
      <c r="AM471" s="3664">
        <f t="shared" si="207"/>
        <v>12</v>
      </c>
      <c r="AN471" s="3691"/>
      <c r="AO471" s="3691"/>
      <c r="AP471" s="3691">
        <f t="shared" si="205"/>
        <v>12</v>
      </c>
      <c r="AQ471" s="4089"/>
      <c r="AR471" s="4417"/>
      <c r="AS471" s="4089"/>
      <c r="AT471" s="4417"/>
      <c r="AU471" s="4089">
        <f t="shared" si="208"/>
        <v>12</v>
      </c>
      <c r="AV471" s="4089"/>
      <c r="AW471" s="4089"/>
      <c r="AX471" s="4089"/>
      <c r="AY471" s="4089"/>
      <c r="AZ471" s="4089"/>
      <c r="BA471" s="4089"/>
      <c r="BB471" s="4089"/>
      <c r="BC471" s="4089"/>
      <c r="BD471" s="4089"/>
      <c r="BE471" s="4089"/>
      <c r="BF471" s="4089" t="s">
        <v>89</v>
      </c>
      <c r="BG471" s="4089"/>
      <c r="BH471" s="4089"/>
      <c r="BI471" s="4089">
        <f t="shared" si="210"/>
        <v>11.8</v>
      </c>
      <c r="BJ471" s="4089"/>
      <c r="BK471" s="4089"/>
      <c r="BL471" s="4089"/>
      <c r="BM471" s="4089"/>
      <c r="BN471" s="4089">
        <f t="shared" si="209"/>
        <v>0.2</v>
      </c>
      <c r="BO471" s="907"/>
      <c r="BP471" s="907"/>
      <c r="BQ471" s="907"/>
      <c r="BR471" s="907"/>
      <c r="BS471" s="907"/>
      <c r="BT471" s="910"/>
      <c r="BU471" s="911"/>
      <c r="BV471" s="4385">
        <f t="shared" si="193"/>
        <v>12</v>
      </c>
      <c r="BW471" s="4386">
        <f t="shared" si="203"/>
        <v>0</v>
      </c>
      <c r="BX471" s="4387"/>
      <c r="BY471" s="4387"/>
      <c r="BZ471" s="4387"/>
      <c r="CA471" s="4391"/>
      <c r="CC471" s="4392">
        <v>45860</v>
      </c>
      <c r="CD471" s="4391" t="s">
        <v>4271</v>
      </c>
    </row>
    <row r="472" s="4025" customFormat="1" ht="50" customHeight="1" spans="1:82">
      <c r="A472" s="4428">
        <v>45824</v>
      </c>
      <c r="B472" s="959" t="s">
        <v>1641</v>
      </c>
      <c r="C472" s="959" t="s">
        <v>396</v>
      </c>
      <c r="D472" s="3618">
        <v>4500170146</v>
      </c>
      <c r="E472" s="959" t="s">
        <v>4300</v>
      </c>
      <c r="F472" s="959" t="s">
        <v>4301</v>
      </c>
      <c r="G472" s="959" t="s">
        <v>2676</v>
      </c>
      <c r="H472" s="3664" t="s">
        <v>2677</v>
      </c>
      <c r="I472" s="3691">
        <v>12</v>
      </c>
      <c r="J472" s="3691">
        <v>0</v>
      </c>
      <c r="K472" s="3691">
        <v>12</v>
      </c>
      <c r="L472" s="3691">
        <f t="shared" si="191"/>
        <v>1</v>
      </c>
      <c r="M472" s="3619">
        <v>45859</v>
      </c>
      <c r="N472" s="3619">
        <v>45860</v>
      </c>
      <c r="O472" s="4098"/>
      <c r="P472" s="3682" t="s">
        <v>82</v>
      </c>
      <c r="Q472" s="3682"/>
      <c r="R472" s="4083"/>
      <c r="S472" s="4083"/>
      <c r="T472" s="4083"/>
      <c r="U472" s="3645" t="s">
        <v>1504</v>
      </c>
      <c r="V472" s="3657" t="s">
        <v>4276</v>
      </c>
      <c r="W472" s="3657"/>
      <c r="X472" s="3657" t="s">
        <v>2670</v>
      </c>
      <c r="Y472" s="3657" t="s">
        <v>4223</v>
      </c>
      <c r="Z472" s="3664"/>
      <c r="AA472" s="3620" t="s">
        <v>4224</v>
      </c>
      <c r="AB472" s="3618" t="s">
        <v>369</v>
      </c>
      <c r="AC472" s="3691">
        <v>2.0915</v>
      </c>
      <c r="AD472" s="3691">
        <f t="shared" si="204"/>
        <v>25.098</v>
      </c>
      <c r="AE472" s="3645"/>
      <c r="AF472" s="3664" t="s">
        <v>2676</v>
      </c>
      <c r="AG472" s="3645" t="s">
        <v>416</v>
      </c>
      <c r="AH472" s="4405"/>
      <c r="AI472" s="3691"/>
      <c r="AJ472" s="3691"/>
      <c r="AK472" s="4405"/>
      <c r="AL472" s="3664"/>
      <c r="AM472" s="3664">
        <f t="shared" si="207"/>
        <v>12</v>
      </c>
      <c r="AN472" s="3691"/>
      <c r="AO472" s="3691"/>
      <c r="AP472" s="3691">
        <f t="shared" si="205"/>
        <v>12</v>
      </c>
      <c r="AQ472" s="4089"/>
      <c r="AR472" s="4417"/>
      <c r="AS472" s="4089"/>
      <c r="AT472" s="4417"/>
      <c r="AU472" s="4089">
        <f t="shared" si="208"/>
        <v>12</v>
      </c>
      <c r="AV472" s="4089"/>
      <c r="AW472" s="4089"/>
      <c r="AX472" s="4089"/>
      <c r="AY472" s="4089"/>
      <c r="AZ472" s="4089"/>
      <c r="BA472" s="4089"/>
      <c r="BB472" s="4089"/>
      <c r="BC472" s="4089"/>
      <c r="BD472" s="4089"/>
      <c r="BE472" s="4089"/>
      <c r="BF472" s="4089" t="s">
        <v>89</v>
      </c>
      <c r="BG472" s="4089"/>
      <c r="BH472" s="4089"/>
      <c r="BI472" s="4089">
        <f t="shared" si="210"/>
        <v>11.8</v>
      </c>
      <c r="BJ472" s="4089"/>
      <c r="BK472" s="4089"/>
      <c r="BL472" s="4089"/>
      <c r="BM472" s="4089"/>
      <c r="BN472" s="4089">
        <f t="shared" si="209"/>
        <v>0.2</v>
      </c>
      <c r="BO472" s="907"/>
      <c r="BP472" s="907"/>
      <c r="BQ472" s="907"/>
      <c r="BR472" s="907"/>
      <c r="BS472" s="907"/>
      <c r="BT472" s="910"/>
      <c r="BU472" s="911"/>
      <c r="BV472" s="4385">
        <f t="shared" si="193"/>
        <v>12</v>
      </c>
      <c r="BW472" s="4386">
        <f t="shared" si="203"/>
        <v>0</v>
      </c>
      <c r="BX472" s="4387"/>
      <c r="BY472" s="4387"/>
      <c r="BZ472" s="4387"/>
      <c r="CA472" s="4391"/>
      <c r="CC472" s="4392">
        <v>45860</v>
      </c>
      <c r="CD472" s="4391" t="s">
        <v>4271</v>
      </c>
    </row>
    <row r="473" s="4025" customFormat="1" ht="50" customHeight="1" spans="1:82">
      <c r="A473" s="4428">
        <v>45824</v>
      </c>
      <c r="B473" s="959" t="s">
        <v>1641</v>
      </c>
      <c r="C473" s="959" t="s">
        <v>396</v>
      </c>
      <c r="D473" s="3618">
        <v>4500170146</v>
      </c>
      <c r="E473" s="959" t="s">
        <v>4302</v>
      </c>
      <c r="F473" s="959" t="s">
        <v>4303</v>
      </c>
      <c r="G473" s="959" t="s">
        <v>2676</v>
      </c>
      <c r="H473" s="3664" t="s">
        <v>2677</v>
      </c>
      <c r="I473" s="3691">
        <v>12</v>
      </c>
      <c r="J473" s="3691">
        <v>0</v>
      </c>
      <c r="K473" s="3691">
        <v>12</v>
      </c>
      <c r="L473" s="3691">
        <f t="shared" ref="L473:L478" si="211">I473/K473</f>
        <v>1</v>
      </c>
      <c r="M473" s="3619">
        <v>45859</v>
      </c>
      <c r="N473" s="3619">
        <v>45860</v>
      </c>
      <c r="O473" s="4098"/>
      <c r="P473" s="3682" t="s">
        <v>82</v>
      </c>
      <c r="Q473" s="3682"/>
      <c r="R473" s="4083"/>
      <c r="S473" s="4083"/>
      <c r="T473" s="4083"/>
      <c r="U473" s="3645" t="s">
        <v>1504</v>
      </c>
      <c r="V473" s="3649" t="s">
        <v>4276</v>
      </c>
      <c r="W473" s="3657"/>
      <c r="X473" s="3657" t="s">
        <v>2670</v>
      </c>
      <c r="Y473" s="3657" t="s">
        <v>4223</v>
      </c>
      <c r="Z473" s="3664"/>
      <c r="AA473" s="3620" t="s">
        <v>4224</v>
      </c>
      <c r="AB473" s="3618" t="s">
        <v>369</v>
      </c>
      <c r="AC473" s="3691">
        <v>2.0915</v>
      </c>
      <c r="AD473" s="3691">
        <f t="shared" si="204"/>
        <v>25.098</v>
      </c>
      <c r="AE473" s="3645"/>
      <c r="AF473" s="3664" t="s">
        <v>2676</v>
      </c>
      <c r="AG473" s="3645" t="s">
        <v>416</v>
      </c>
      <c r="AH473" s="4405"/>
      <c r="AI473" s="3691"/>
      <c r="AJ473" s="3691"/>
      <c r="AK473" s="4405"/>
      <c r="AL473" s="3664"/>
      <c r="AM473" s="3664">
        <f t="shared" si="207"/>
        <v>12</v>
      </c>
      <c r="AN473" s="3691"/>
      <c r="AO473" s="3691"/>
      <c r="AP473" s="3691">
        <f t="shared" si="205"/>
        <v>12</v>
      </c>
      <c r="AQ473" s="4089"/>
      <c r="AR473" s="4417"/>
      <c r="AS473" s="4089"/>
      <c r="AT473" s="4417"/>
      <c r="AU473" s="4089">
        <f t="shared" si="208"/>
        <v>12</v>
      </c>
      <c r="AV473" s="4089"/>
      <c r="AW473" s="4089"/>
      <c r="AX473" s="4089"/>
      <c r="AY473" s="4089"/>
      <c r="AZ473" s="4089"/>
      <c r="BA473" s="4089"/>
      <c r="BB473" s="4089"/>
      <c r="BC473" s="4089"/>
      <c r="BD473" s="4089"/>
      <c r="BE473" s="4089"/>
      <c r="BF473" s="4089" t="s">
        <v>89</v>
      </c>
      <c r="BG473" s="4089"/>
      <c r="BH473" s="4089"/>
      <c r="BI473" s="4089">
        <f t="shared" si="210"/>
        <v>11.8</v>
      </c>
      <c r="BJ473" s="4089"/>
      <c r="BK473" s="4089"/>
      <c r="BL473" s="4089"/>
      <c r="BM473" s="4089"/>
      <c r="BN473" s="4089">
        <f t="shared" si="209"/>
        <v>0.2</v>
      </c>
      <c r="BO473" s="907"/>
      <c r="BP473" s="907"/>
      <c r="BQ473" s="907"/>
      <c r="BR473" s="907"/>
      <c r="BS473" s="907"/>
      <c r="BT473" s="910"/>
      <c r="BU473" s="911"/>
      <c r="BV473" s="4385">
        <f t="shared" si="193"/>
        <v>12</v>
      </c>
      <c r="BW473" s="4386">
        <f t="shared" si="203"/>
        <v>0</v>
      </c>
      <c r="BX473" s="4387"/>
      <c r="BY473" s="4387"/>
      <c r="BZ473" s="4387"/>
      <c r="CA473" s="4391"/>
      <c r="CC473" s="4392">
        <v>45860</v>
      </c>
      <c r="CD473" s="4391" t="s">
        <v>4271</v>
      </c>
    </row>
    <row r="474" s="4025" customFormat="1" ht="50" customHeight="1" spans="1:82">
      <c r="A474" s="4428">
        <v>45824</v>
      </c>
      <c r="B474" s="959" t="s">
        <v>1641</v>
      </c>
      <c r="C474" s="959" t="s">
        <v>396</v>
      </c>
      <c r="D474" s="3618">
        <v>4500170146</v>
      </c>
      <c r="E474" s="959" t="s">
        <v>4304</v>
      </c>
      <c r="F474" s="959" t="s">
        <v>4305</v>
      </c>
      <c r="G474" s="959" t="s">
        <v>2676</v>
      </c>
      <c r="H474" s="3664" t="s">
        <v>2677</v>
      </c>
      <c r="I474" s="3691">
        <v>12</v>
      </c>
      <c r="J474" s="3691">
        <v>0</v>
      </c>
      <c r="K474" s="3691">
        <v>12</v>
      </c>
      <c r="L474" s="3691">
        <f t="shared" si="211"/>
        <v>1</v>
      </c>
      <c r="M474" s="3619">
        <v>45859</v>
      </c>
      <c r="N474" s="3619">
        <v>45860</v>
      </c>
      <c r="O474" s="4098"/>
      <c r="P474" s="3682" t="s">
        <v>82</v>
      </c>
      <c r="Q474" s="3682"/>
      <c r="R474" s="4083"/>
      <c r="S474" s="4083"/>
      <c r="T474" s="4083"/>
      <c r="U474" s="3645" t="s">
        <v>1504</v>
      </c>
      <c r="V474" s="3649" t="s">
        <v>4276</v>
      </c>
      <c r="W474" s="3657"/>
      <c r="X474" s="3657" t="s">
        <v>2670</v>
      </c>
      <c r="Y474" s="3657" t="s">
        <v>4223</v>
      </c>
      <c r="Z474" s="3664"/>
      <c r="AA474" s="3620" t="s">
        <v>4224</v>
      </c>
      <c r="AB474" s="3618" t="s">
        <v>369</v>
      </c>
      <c r="AC474" s="3691">
        <v>2.0915</v>
      </c>
      <c r="AD474" s="3691">
        <f t="shared" si="204"/>
        <v>25.098</v>
      </c>
      <c r="AE474" s="3645"/>
      <c r="AF474" s="3664" t="s">
        <v>2676</v>
      </c>
      <c r="AG474" s="3645" t="s">
        <v>416</v>
      </c>
      <c r="AH474" s="4405"/>
      <c r="AI474" s="3691"/>
      <c r="AJ474" s="3691"/>
      <c r="AK474" s="4405"/>
      <c r="AL474" s="3664"/>
      <c r="AM474" s="3664">
        <f t="shared" si="207"/>
        <v>12</v>
      </c>
      <c r="AN474" s="3691"/>
      <c r="AO474" s="3691"/>
      <c r="AP474" s="3691">
        <f t="shared" si="205"/>
        <v>12</v>
      </c>
      <c r="AQ474" s="4089"/>
      <c r="AR474" s="4417"/>
      <c r="AS474" s="4089"/>
      <c r="AT474" s="4417"/>
      <c r="AU474" s="4089">
        <f t="shared" si="208"/>
        <v>12</v>
      </c>
      <c r="AV474" s="4089"/>
      <c r="AW474" s="4089"/>
      <c r="AX474" s="4089"/>
      <c r="AY474" s="4089"/>
      <c r="AZ474" s="4089"/>
      <c r="BA474" s="4089"/>
      <c r="BB474" s="4089"/>
      <c r="BC474" s="4089"/>
      <c r="BD474" s="4089"/>
      <c r="BE474" s="4089"/>
      <c r="BF474" s="4089" t="s">
        <v>89</v>
      </c>
      <c r="BG474" s="4089"/>
      <c r="BH474" s="4089"/>
      <c r="BI474" s="4089">
        <f t="shared" si="210"/>
        <v>11.8</v>
      </c>
      <c r="BJ474" s="4089"/>
      <c r="BK474" s="4089"/>
      <c r="BL474" s="4089"/>
      <c r="BM474" s="4089"/>
      <c r="BN474" s="4089">
        <f t="shared" si="209"/>
        <v>0.2</v>
      </c>
      <c r="BO474" s="907"/>
      <c r="BP474" s="907"/>
      <c r="BQ474" s="907"/>
      <c r="BR474" s="907"/>
      <c r="BS474" s="907"/>
      <c r="BT474" s="910"/>
      <c r="BU474" s="911"/>
      <c r="BV474" s="4385">
        <f t="shared" si="193"/>
        <v>12</v>
      </c>
      <c r="BW474" s="4386">
        <f t="shared" si="203"/>
        <v>0</v>
      </c>
      <c r="BX474" s="4387"/>
      <c r="BY474" s="4387"/>
      <c r="BZ474" s="4387"/>
      <c r="CA474" s="4391"/>
      <c r="CC474" s="4392">
        <v>45860</v>
      </c>
      <c r="CD474" s="4391" t="s">
        <v>4271</v>
      </c>
    </row>
    <row r="475" s="4025" customFormat="1" ht="50" customHeight="1" spans="1:82">
      <c r="A475" s="4428">
        <v>45824</v>
      </c>
      <c r="B475" s="3617" t="s">
        <v>1641</v>
      </c>
      <c r="C475" s="3617" t="s">
        <v>396</v>
      </c>
      <c r="D475" s="3618">
        <v>4500170146</v>
      </c>
      <c r="E475" s="959" t="s">
        <v>4306</v>
      </c>
      <c r="F475" s="959" t="s">
        <v>4307</v>
      </c>
      <c r="G475" s="959" t="s">
        <v>2676</v>
      </c>
      <c r="H475" s="3664" t="s">
        <v>2677</v>
      </c>
      <c r="I475" s="3691">
        <v>12</v>
      </c>
      <c r="J475" s="3691">
        <v>0</v>
      </c>
      <c r="K475" s="3691">
        <v>12</v>
      </c>
      <c r="L475" s="3691">
        <f t="shared" si="211"/>
        <v>1</v>
      </c>
      <c r="M475" s="3619">
        <v>45859</v>
      </c>
      <c r="N475" s="3619">
        <v>45860</v>
      </c>
      <c r="O475" s="4098"/>
      <c r="P475" s="3682" t="s">
        <v>82</v>
      </c>
      <c r="Q475" s="3682"/>
      <c r="R475" s="4083"/>
      <c r="S475" s="4083"/>
      <c r="T475" s="4083"/>
      <c r="U475" s="3645" t="s">
        <v>1504</v>
      </c>
      <c r="V475" s="3649" t="s">
        <v>4276</v>
      </c>
      <c r="W475" s="3657"/>
      <c r="X475" s="3657" t="s">
        <v>2670</v>
      </c>
      <c r="Y475" s="3657" t="s">
        <v>4223</v>
      </c>
      <c r="Z475" s="3664"/>
      <c r="AA475" s="3620" t="s">
        <v>4224</v>
      </c>
      <c r="AB475" s="3624" t="s">
        <v>369</v>
      </c>
      <c r="AC475" s="3691">
        <v>2.0915</v>
      </c>
      <c r="AD475" s="3691">
        <f t="shared" si="204"/>
        <v>25.098</v>
      </c>
      <c r="AE475" s="3645"/>
      <c r="AF475" s="3664" t="s">
        <v>2676</v>
      </c>
      <c r="AG475" s="3645" t="s">
        <v>416</v>
      </c>
      <c r="AH475" s="4405"/>
      <c r="AI475" s="3691"/>
      <c r="AJ475" s="3691"/>
      <c r="AK475" s="4405"/>
      <c r="AL475" s="3664"/>
      <c r="AM475" s="3664">
        <f t="shared" si="207"/>
        <v>12</v>
      </c>
      <c r="AN475" s="3691"/>
      <c r="AO475" s="3691"/>
      <c r="AP475" s="3691">
        <f t="shared" si="205"/>
        <v>12</v>
      </c>
      <c r="AQ475" s="4089"/>
      <c r="AR475" s="4417"/>
      <c r="AS475" s="4089"/>
      <c r="AT475" s="4417"/>
      <c r="AU475" s="4089">
        <f t="shared" si="208"/>
        <v>12</v>
      </c>
      <c r="AV475" s="4089"/>
      <c r="AW475" s="4089"/>
      <c r="AX475" s="4089"/>
      <c r="AY475" s="4089"/>
      <c r="AZ475" s="4089"/>
      <c r="BA475" s="4089"/>
      <c r="BB475" s="4089"/>
      <c r="BC475" s="4089"/>
      <c r="BD475" s="4089"/>
      <c r="BE475" s="4089"/>
      <c r="BF475" s="4089" t="s">
        <v>89</v>
      </c>
      <c r="BG475" s="4089"/>
      <c r="BH475" s="4089"/>
      <c r="BI475" s="4089">
        <f t="shared" si="210"/>
        <v>11.8</v>
      </c>
      <c r="BJ475" s="4089"/>
      <c r="BK475" s="4089"/>
      <c r="BL475" s="4089"/>
      <c r="BM475" s="4089"/>
      <c r="BN475" s="4089">
        <f t="shared" si="209"/>
        <v>0.2</v>
      </c>
      <c r="BO475" s="907"/>
      <c r="BP475" s="907"/>
      <c r="BQ475" s="907"/>
      <c r="BR475" s="907"/>
      <c r="BS475" s="907"/>
      <c r="BT475" s="910"/>
      <c r="BU475" s="911"/>
      <c r="BV475" s="4385">
        <f t="shared" si="193"/>
        <v>12</v>
      </c>
      <c r="BW475" s="4386">
        <f t="shared" si="203"/>
        <v>0</v>
      </c>
      <c r="BX475" s="4387"/>
      <c r="BY475" s="4387"/>
      <c r="BZ475" s="4387"/>
      <c r="CA475" s="4391"/>
      <c r="CB475" s="4312"/>
      <c r="CC475" s="4392">
        <v>45860</v>
      </c>
      <c r="CD475" s="4391" t="s">
        <v>4271</v>
      </c>
    </row>
    <row r="476" s="4025" customFormat="1" ht="50" customHeight="1" spans="1:82">
      <c r="A476" s="4428">
        <v>45824</v>
      </c>
      <c r="B476" s="3617" t="s">
        <v>1641</v>
      </c>
      <c r="C476" s="3617" t="s">
        <v>396</v>
      </c>
      <c r="D476" s="3618">
        <v>4500170146</v>
      </c>
      <c r="E476" s="959" t="s">
        <v>4308</v>
      </c>
      <c r="F476" s="959" t="s">
        <v>4309</v>
      </c>
      <c r="G476" s="959" t="s">
        <v>2827</v>
      </c>
      <c r="H476" s="3664" t="s">
        <v>2641</v>
      </c>
      <c r="I476" s="3691">
        <v>36</v>
      </c>
      <c r="J476" s="3691">
        <v>0</v>
      </c>
      <c r="K476" s="3691">
        <v>12</v>
      </c>
      <c r="L476" s="3691">
        <f t="shared" si="211"/>
        <v>3</v>
      </c>
      <c r="M476" s="3619">
        <v>45859</v>
      </c>
      <c r="N476" s="3619">
        <v>45860</v>
      </c>
      <c r="O476" s="4098"/>
      <c r="P476" s="3682" t="s">
        <v>82</v>
      </c>
      <c r="Q476" s="3682"/>
      <c r="R476" s="4083"/>
      <c r="S476" s="4083"/>
      <c r="T476" s="4083"/>
      <c r="U476" s="3645" t="s">
        <v>1504</v>
      </c>
      <c r="V476" s="3649" t="s">
        <v>4276</v>
      </c>
      <c r="W476" s="3657"/>
      <c r="X476" s="3657" t="s">
        <v>2670</v>
      </c>
      <c r="Y476" s="3657" t="s">
        <v>4223</v>
      </c>
      <c r="Z476" s="3664"/>
      <c r="AA476" s="3620" t="s">
        <v>4224</v>
      </c>
      <c r="AB476" s="3624" t="s">
        <v>369</v>
      </c>
      <c r="AC476" s="3691">
        <v>2.0891</v>
      </c>
      <c r="AD476" s="3691">
        <f t="shared" si="204"/>
        <v>75.2076</v>
      </c>
      <c r="AE476" s="3645"/>
      <c r="AF476" s="3664" t="s">
        <v>2827</v>
      </c>
      <c r="AG476" s="3645" t="s">
        <v>416</v>
      </c>
      <c r="AH476" s="4405"/>
      <c r="AI476" s="3691"/>
      <c r="AJ476" s="3691"/>
      <c r="AK476" s="4405"/>
      <c r="AL476" s="3664"/>
      <c r="AM476" s="3664">
        <f t="shared" si="207"/>
        <v>36</v>
      </c>
      <c r="AN476" s="3691"/>
      <c r="AO476" s="3691"/>
      <c r="AP476" s="3691">
        <f t="shared" si="205"/>
        <v>36</v>
      </c>
      <c r="AQ476" s="4089"/>
      <c r="AR476" s="4417"/>
      <c r="AS476" s="4089"/>
      <c r="AT476" s="4417"/>
      <c r="AU476" s="4089">
        <f t="shared" si="208"/>
        <v>36</v>
      </c>
      <c r="AV476" s="4089"/>
      <c r="AW476" s="4089"/>
      <c r="AX476" s="4089"/>
      <c r="AY476" s="4089"/>
      <c r="AZ476" s="4089"/>
      <c r="BA476" s="4089"/>
      <c r="BB476" s="4089"/>
      <c r="BC476" s="4089"/>
      <c r="BD476" s="4089"/>
      <c r="BE476" s="4089"/>
      <c r="BF476" s="4089" t="s">
        <v>89</v>
      </c>
      <c r="BG476" s="4089"/>
      <c r="BH476" s="4089">
        <f>I476-BN476</f>
        <v>34.8</v>
      </c>
      <c r="BI476" s="4089"/>
      <c r="BJ476" s="4089"/>
      <c r="BK476" s="4089"/>
      <c r="BL476" s="4089"/>
      <c r="BM476" s="4089"/>
      <c r="BN476" s="4089">
        <f t="shared" ref="BN476:BN538" si="212">I476/60*2</f>
        <v>1.2</v>
      </c>
      <c r="BO476" s="907"/>
      <c r="BP476" s="907"/>
      <c r="BQ476" s="907"/>
      <c r="BR476" s="907"/>
      <c r="BS476" s="907"/>
      <c r="BT476" s="910"/>
      <c r="BU476" s="911"/>
      <c r="BV476" s="4385">
        <f t="shared" si="193"/>
        <v>36</v>
      </c>
      <c r="BW476" s="4386">
        <f t="shared" si="203"/>
        <v>0</v>
      </c>
      <c r="BX476" s="4387"/>
      <c r="BY476" s="4387"/>
      <c r="BZ476" s="4387"/>
      <c r="CA476" s="4391"/>
      <c r="CC476" s="4392">
        <v>45860</v>
      </c>
      <c r="CD476" s="4391" t="s">
        <v>4271</v>
      </c>
    </row>
    <row r="477" s="4025" customFormat="1" ht="50" customHeight="1" spans="1:82">
      <c r="A477" s="4428">
        <v>45824</v>
      </c>
      <c r="B477" s="3617" t="s">
        <v>1641</v>
      </c>
      <c r="C477" s="3617" t="s">
        <v>396</v>
      </c>
      <c r="D477" s="3618">
        <v>4500170146</v>
      </c>
      <c r="E477" s="959" t="s">
        <v>4310</v>
      </c>
      <c r="F477" s="959" t="s">
        <v>4311</v>
      </c>
      <c r="G477" s="959" t="s">
        <v>2827</v>
      </c>
      <c r="H477" s="3664" t="s">
        <v>2641</v>
      </c>
      <c r="I477" s="3691">
        <v>24</v>
      </c>
      <c r="J477" s="3691">
        <v>0</v>
      </c>
      <c r="K477" s="3691">
        <v>12</v>
      </c>
      <c r="L477" s="3691">
        <f t="shared" si="211"/>
        <v>2</v>
      </c>
      <c r="M477" s="3619">
        <v>45859</v>
      </c>
      <c r="N477" s="3619">
        <v>45860</v>
      </c>
      <c r="O477" s="4098"/>
      <c r="P477" s="3682" t="s">
        <v>82</v>
      </c>
      <c r="Q477" s="3682"/>
      <c r="R477" s="4083"/>
      <c r="S477" s="4083"/>
      <c r="T477" s="4083"/>
      <c r="U477" s="3645" t="s">
        <v>1504</v>
      </c>
      <c r="V477" s="3649" t="s">
        <v>4276</v>
      </c>
      <c r="W477" s="3649"/>
      <c r="X477" s="3657" t="s">
        <v>2670</v>
      </c>
      <c r="Y477" s="3649" t="s">
        <v>4223</v>
      </c>
      <c r="Z477" s="3664"/>
      <c r="AA477" s="3620" t="s">
        <v>4224</v>
      </c>
      <c r="AB477" s="3624" t="s">
        <v>369</v>
      </c>
      <c r="AC477" s="3691">
        <v>2.0891</v>
      </c>
      <c r="AD477" s="3691">
        <f t="shared" si="204"/>
        <v>50.1384</v>
      </c>
      <c r="AE477" s="3645"/>
      <c r="AF477" s="3664" t="s">
        <v>2827</v>
      </c>
      <c r="AG477" s="3645" t="s">
        <v>416</v>
      </c>
      <c r="AH477" s="4405"/>
      <c r="AI477" s="3691"/>
      <c r="AJ477" s="3691"/>
      <c r="AK477" s="4405"/>
      <c r="AL477" s="3664"/>
      <c r="AM477" s="3664">
        <f t="shared" si="207"/>
        <v>24</v>
      </c>
      <c r="AN477" s="3691"/>
      <c r="AO477" s="3691"/>
      <c r="AP477" s="3691">
        <f t="shared" si="205"/>
        <v>24</v>
      </c>
      <c r="AQ477" s="4089"/>
      <c r="AR477" s="4417"/>
      <c r="AS477" s="4089"/>
      <c r="AT477" s="4417"/>
      <c r="AU477" s="4089">
        <f t="shared" si="208"/>
        <v>24</v>
      </c>
      <c r="AV477" s="4089"/>
      <c r="AW477" s="4089"/>
      <c r="AX477" s="4089"/>
      <c r="AY477" s="4089"/>
      <c r="AZ477" s="4089"/>
      <c r="BA477" s="4089"/>
      <c r="BB477" s="4089"/>
      <c r="BC477" s="4089"/>
      <c r="BD477" s="4089"/>
      <c r="BE477" s="4089"/>
      <c r="BF477" s="4089" t="s">
        <v>89</v>
      </c>
      <c r="BG477" s="4089"/>
      <c r="BH477" s="4089">
        <f>I477-BN477</f>
        <v>23.2</v>
      </c>
      <c r="BI477" s="4089"/>
      <c r="BJ477" s="4089"/>
      <c r="BK477" s="4089"/>
      <c r="BL477" s="4089"/>
      <c r="BM477" s="4089"/>
      <c r="BN477" s="4089">
        <f t="shared" si="212"/>
        <v>0.8</v>
      </c>
      <c r="BO477" s="907"/>
      <c r="BP477" s="907"/>
      <c r="BQ477" s="907"/>
      <c r="BR477" s="907"/>
      <c r="BS477" s="907"/>
      <c r="BT477" s="910"/>
      <c r="BU477" s="911"/>
      <c r="BV477" s="4385">
        <f t="shared" si="193"/>
        <v>24</v>
      </c>
      <c r="BW477" s="4386">
        <f t="shared" si="203"/>
        <v>0</v>
      </c>
      <c r="BX477" s="4387"/>
      <c r="BY477" s="4387"/>
      <c r="BZ477" s="4387"/>
      <c r="CA477" s="4391"/>
      <c r="CC477" s="4392">
        <v>45860</v>
      </c>
      <c r="CD477" s="4391" t="s">
        <v>4271</v>
      </c>
    </row>
    <row r="478" s="4025" customFormat="1" ht="50" customHeight="1" spans="1:82">
      <c r="A478" s="4428">
        <v>45824</v>
      </c>
      <c r="B478" s="959" t="s">
        <v>1641</v>
      </c>
      <c r="C478" s="959" t="s">
        <v>396</v>
      </c>
      <c r="D478" s="3618">
        <v>4500170146</v>
      </c>
      <c r="E478" s="959" t="s">
        <v>4312</v>
      </c>
      <c r="F478" s="959" t="s">
        <v>4313</v>
      </c>
      <c r="G478" s="959" t="s">
        <v>2827</v>
      </c>
      <c r="H478" s="3664" t="s">
        <v>2641</v>
      </c>
      <c r="I478" s="3691">
        <v>24</v>
      </c>
      <c r="J478" s="3691">
        <v>0</v>
      </c>
      <c r="K478" s="3691">
        <v>12</v>
      </c>
      <c r="L478" s="3691">
        <f t="shared" si="211"/>
        <v>2</v>
      </c>
      <c r="M478" s="3619">
        <v>45859</v>
      </c>
      <c r="N478" s="3619">
        <v>45860</v>
      </c>
      <c r="O478" s="4098"/>
      <c r="P478" s="3682" t="s">
        <v>82</v>
      </c>
      <c r="Q478" s="3682"/>
      <c r="R478" s="4083"/>
      <c r="S478" s="4083"/>
      <c r="T478" s="4083"/>
      <c r="U478" s="3645" t="s">
        <v>1504</v>
      </c>
      <c r="V478" s="3649" t="s">
        <v>4276</v>
      </c>
      <c r="W478" s="3649"/>
      <c r="X478" s="3657" t="s">
        <v>2670</v>
      </c>
      <c r="Y478" s="3657" t="s">
        <v>4223</v>
      </c>
      <c r="Z478" s="3664"/>
      <c r="AA478" s="3620" t="s">
        <v>4224</v>
      </c>
      <c r="AB478" s="3618" t="s">
        <v>369</v>
      </c>
      <c r="AC478" s="3691">
        <v>2.0891</v>
      </c>
      <c r="AD478" s="3691">
        <f t="shared" si="204"/>
        <v>50.1384</v>
      </c>
      <c r="AE478" s="3645"/>
      <c r="AF478" s="3664" t="s">
        <v>2827</v>
      </c>
      <c r="AG478" s="3645" t="s">
        <v>416</v>
      </c>
      <c r="AH478" s="4405"/>
      <c r="AI478" s="3691"/>
      <c r="AJ478" s="3691"/>
      <c r="AK478" s="4405"/>
      <c r="AL478" s="3664"/>
      <c r="AM478" s="3664">
        <f t="shared" si="207"/>
        <v>24</v>
      </c>
      <c r="AN478" s="3691"/>
      <c r="AO478" s="3691"/>
      <c r="AP478" s="3691">
        <f t="shared" si="205"/>
        <v>24</v>
      </c>
      <c r="AQ478" s="4089"/>
      <c r="AR478" s="4417"/>
      <c r="AS478" s="4089"/>
      <c r="AT478" s="4417"/>
      <c r="AU478" s="4089">
        <f t="shared" si="208"/>
        <v>24</v>
      </c>
      <c r="AV478" s="4089"/>
      <c r="AW478" s="4089"/>
      <c r="AX478" s="4089"/>
      <c r="AY478" s="4089"/>
      <c r="AZ478" s="4089"/>
      <c r="BA478" s="4089"/>
      <c r="BB478" s="4089"/>
      <c r="BC478" s="4089"/>
      <c r="BD478" s="4089"/>
      <c r="BE478" s="4089"/>
      <c r="BF478" s="4089" t="s">
        <v>89</v>
      </c>
      <c r="BG478" s="4089"/>
      <c r="BH478" s="4089">
        <f>I478-BN478</f>
        <v>23.2</v>
      </c>
      <c r="BI478" s="4089"/>
      <c r="BJ478" s="4089"/>
      <c r="BK478" s="4089"/>
      <c r="BL478" s="4089"/>
      <c r="BM478" s="4089"/>
      <c r="BN478" s="4089">
        <f t="shared" si="212"/>
        <v>0.8</v>
      </c>
      <c r="BO478" s="907"/>
      <c r="BP478" s="907"/>
      <c r="BQ478" s="907"/>
      <c r="BR478" s="907"/>
      <c r="BS478" s="907"/>
      <c r="BT478" s="910"/>
      <c r="BU478" s="911"/>
      <c r="BV478" s="4385">
        <f t="shared" si="193"/>
        <v>24</v>
      </c>
      <c r="BW478" s="4386">
        <f t="shared" si="203"/>
        <v>0</v>
      </c>
      <c r="BX478" s="4387"/>
      <c r="BY478" s="4387"/>
      <c r="BZ478" s="4387"/>
      <c r="CA478" s="4391"/>
      <c r="CC478" s="4392">
        <v>45860</v>
      </c>
      <c r="CD478" s="4391" t="s">
        <v>4271</v>
      </c>
    </row>
    <row r="479" s="4025" customFormat="1" ht="50" customHeight="1" spans="1:82">
      <c r="A479" s="4429">
        <v>45817</v>
      </c>
      <c r="B479" s="4080" t="s">
        <v>3905</v>
      </c>
      <c r="C479" s="3663" t="s">
        <v>1385</v>
      </c>
      <c r="D479" s="3690">
        <v>4500169407</v>
      </c>
      <c r="E479" s="3664" t="s">
        <v>4314</v>
      </c>
      <c r="F479" s="3690" t="s">
        <v>4315</v>
      </c>
      <c r="G479" s="3664" t="s">
        <v>2806</v>
      </c>
      <c r="H479" s="3664" t="s">
        <v>2591</v>
      </c>
      <c r="I479" s="3691">
        <v>1920</v>
      </c>
      <c r="J479" s="3691">
        <v>0</v>
      </c>
      <c r="K479" s="3691">
        <v>12</v>
      </c>
      <c r="L479" s="3691">
        <f t="shared" ref="L479:L538" si="213">I479/K479</f>
        <v>160</v>
      </c>
      <c r="M479" s="3659">
        <v>45859</v>
      </c>
      <c r="N479" s="3659">
        <v>45863</v>
      </c>
      <c r="O479" s="4085"/>
      <c r="P479" s="3682" t="s">
        <v>82</v>
      </c>
      <c r="Q479" s="3682"/>
      <c r="R479" s="4083"/>
      <c r="S479" s="4083"/>
      <c r="T479" s="4083"/>
      <c r="U479" s="3645" t="s">
        <v>1341</v>
      </c>
      <c r="V479" s="3649" t="s">
        <v>2441</v>
      </c>
      <c r="W479" s="3649"/>
      <c r="X479" s="3657" t="s">
        <v>4316</v>
      </c>
      <c r="Y479" s="3657"/>
      <c r="Z479" s="3664"/>
      <c r="AA479" s="3620" t="s">
        <v>4317</v>
      </c>
      <c r="AB479" s="4084" t="s">
        <v>448</v>
      </c>
      <c r="AC479" s="4087">
        <v>2.0875</v>
      </c>
      <c r="AD479" s="3691">
        <f t="shared" si="204"/>
        <v>4008</v>
      </c>
      <c r="AE479" s="3683" t="s">
        <v>4318</v>
      </c>
      <c r="AF479" s="3664" t="s">
        <v>2806</v>
      </c>
      <c r="AG479" s="3645" t="s">
        <v>416</v>
      </c>
      <c r="AH479" s="4430"/>
      <c r="AI479" s="3691"/>
      <c r="AJ479" s="3691">
        <f>I479</f>
        <v>1920</v>
      </c>
      <c r="AK479" s="3708"/>
      <c r="AL479" s="3664"/>
      <c r="AM479" s="3664"/>
      <c r="AN479" s="3691"/>
      <c r="AO479" s="3691"/>
      <c r="AP479" s="3691">
        <f t="shared" si="205"/>
        <v>1920</v>
      </c>
      <c r="AQ479" s="4089"/>
      <c r="AR479" s="1048"/>
      <c r="AS479" s="4089">
        <f>I479</f>
        <v>1920</v>
      </c>
      <c r="AT479" s="1048"/>
      <c r="AU479" s="4089"/>
      <c r="AV479" s="4089"/>
      <c r="AW479" s="4089"/>
      <c r="AX479" s="4089">
        <f>I479/6</f>
        <v>320</v>
      </c>
      <c r="AY479" s="4089"/>
      <c r="AZ479" s="4089"/>
      <c r="BA479" s="4089"/>
      <c r="BB479" s="4089"/>
      <c r="BC479" s="4089"/>
      <c r="BD479" s="4089"/>
      <c r="BE479" s="4089"/>
      <c r="BF479" s="4089" t="s">
        <v>89</v>
      </c>
      <c r="BG479" s="4089"/>
      <c r="BH479" s="4089">
        <f t="shared" ref="BH479:BH538" si="214">I479/60*10</f>
        <v>320</v>
      </c>
      <c r="BI479" s="4089">
        <f t="shared" ref="BI479:BI538" si="215">I479/60*10</f>
        <v>320</v>
      </c>
      <c r="BJ479" s="4089">
        <f t="shared" ref="BJ479:BJ538" si="216">I479/60*10</f>
        <v>320</v>
      </c>
      <c r="BK479" s="4089">
        <f t="shared" ref="BK479:BK538" si="217">I479/60*10</f>
        <v>320</v>
      </c>
      <c r="BL479" s="4089">
        <f t="shared" ref="BL479:BL538" si="218">I479/60*10</f>
        <v>320</v>
      </c>
      <c r="BM479" s="4089">
        <f t="shared" ref="BM479:BM538" si="219">I479/60*8</f>
        <v>256</v>
      </c>
      <c r="BN479" s="4089">
        <f t="shared" si="212"/>
        <v>64</v>
      </c>
      <c r="BO479" s="4413"/>
      <c r="BP479" s="4413"/>
      <c r="BQ479" s="4413"/>
      <c r="BR479" s="4413"/>
      <c r="BS479" s="4413"/>
      <c r="BT479" s="4431"/>
      <c r="BU479" s="4432"/>
      <c r="BV479" s="4385">
        <f t="shared" si="193"/>
        <v>1920</v>
      </c>
      <c r="BW479" s="4386">
        <f t="shared" si="203"/>
        <v>0</v>
      </c>
      <c r="BX479" s="4387"/>
      <c r="BY479" s="4387"/>
      <c r="BZ479" s="4387"/>
      <c r="CA479" s="4391" t="str">
        <f>VLOOKUP(D479&amp;G479&amp;H479&amp;I479,'9298 版本变更明细'!C:AJ,34,FALSE)</f>
        <v>全套新包装-除PDQ</v>
      </c>
      <c r="CC479" s="4392">
        <v>45863</v>
      </c>
      <c r="CD479" s="4391" t="s">
        <v>4271</v>
      </c>
    </row>
    <row r="480" s="4025" customFormat="1" ht="50" customHeight="1" spans="1:82">
      <c r="A480" s="3635">
        <v>45817</v>
      </c>
      <c r="B480" s="3617" t="s">
        <v>3905</v>
      </c>
      <c r="C480" s="3617" t="s">
        <v>1385</v>
      </c>
      <c r="D480" s="3618">
        <v>4500169407</v>
      </c>
      <c r="E480" s="959" t="s">
        <v>4314</v>
      </c>
      <c r="F480" s="959" t="s">
        <v>4319</v>
      </c>
      <c r="G480" s="959" t="s">
        <v>3343</v>
      </c>
      <c r="H480" s="3664" t="s">
        <v>3344</v>
      </c>
      <c r="I480" s="3618">
        <v>1400</v>
      </c>
      <c r="J480" s="3618">
        <v>0</v>
      </c>
      <c r="K480" s="3618">
        <v>1</v>
      </c>
      <c r="L480" s="3618">
        <f t="shared" si="213"/>
        <v>1400</v>
      </c>
      <c r="M480" s="3619">
        <v>45859</v>
      </c>
      <c r="N480" s="3659">
        <v>45863</v>
      </c>
      <c r="O480" s="3664" t="s">
        <v>4320</v>
      </c>
      <c r="P480" s="4097" t="s">
        <v>82</v>
      </c>
      <c r="Q480" s="4097"/>
      <c r="R480" s="4226"/>
      <c r="S480" s="4226"/>
      <c r="T480" s="4226"/>
      <c r="U480" s="3645" t="s">
        <v>1341</v>
      </c>
      <c r="V480" s="3649" t="s">
        <v>2441</v>
      </c>
      <c r="W480" s="3649"/>
      <c r="X480" s="3657" t="s">
        <v>4321</v>
      </c>
      <c r="Y480" s="3657"/>
      <c r="Z480" s="3664"/>
      <c r="AA480" s="3620" t="s">
        <v>4322</v>
      </c>
      <c r="AB480" s="3624" t="s">
        <v>448</v>
      </c>
      <c r="AC480" s="4058">
        <v>8.6706</v>
      </c>
      <c r="AD480" s="3618">
        <f t="shared" si="204"/>
        <v>12138.84</v>
      </c>
      <c r="AE480" s="3645"/>
      <c r="AF480" s="3664" t="s">
        <v>3349</v>
      </c>
      <c r="AG480" s="3645" t="s">
        <v>416</v>
      </c>
      <c r="AH480" s="4430"/>
      <c r="AI480" s="3691"/>
      <c r="AJ480" s="3691">
        <f>I480</f>
        <v>1400</v>
      </c>
      <c r="AK480" s="3708"/>
      <c r="AL480" s="3664"/>
      <c r="AM480" s="3664"/>
      <c r="AN480" s="3691"/>
      <c r="AO480" s="3691"/>
      <c r="AP480" s="3691">
        <f t="shared" si="205"/>
        <v>1400</v>
      </c>
      <c r="AQ480" s="4089"/>
      <c r="AR480" s="1048"/>
      <c r="AS480" s="4089">
        <f>I480</f>
        <v>1400</v>
      </c>
      <c r="AT480" s="1048"/>
      <c r="AU480" s="4089"/>
      <c r="AV480" s="4089"/>
      <c r="AW480" s="4089"/>
      <c r="AX480" s="4089"/>
      <c r="AY480" s="4089"/>
      <c r="AZ480" s="4089"/>
      <c r="BA480" s="4089"/>
      <c r="BB480" s="4089"/>
      <c r="BC480" s="4089">
        <f>I480</f>
        <v>1400</v>
      </c>
      <c r="BD480" s="4089"/>
      <c r="BE480" s="4089"/>
      <c r="BF480" s="4089" t="s">
        <v>89</v>
      </c>
      <c r="BG480" s="4089"/>
      <c r="BH480" s="4089">
        <f t="shared" si="214"/>
        <v>233.333333333333</v>
      </c>
      <c r="BI480" s="4089">
        <f t="shared" si="215"/>
        <v>233.333333333333</v>
      </c>
      <c r="BJ480" s="4089">
        <f t="shared" si="216"/>
        <v>233.333333333333</v>
      </c>
      <c r="BK480" s="4089">
        <f t="shared" si="217"/>
        <v>233.333333333333</v>
      </c>
      <c r="BL480" s="4089">
        <f t="shared" si="218"/>
        <v>233.333333333333</v>
      </c>
      <c r="BM480" s="4089">
        <f t="shared" si="219"/>
        <v>186.666666666667</v>
      </c>
      <c r="BN480" s="4089">
        <f t="shared" si="212"/>
        <v>46.6666666666667</v>
      </c>
      <c r="BO480" s="4413"/>
      <c r="BP480" s="4413"/>
      <c r="BQ480" s="4413"/>
      <c r="BR480" s="4413"/>
      <c r="BS480" s="4413"/>
      <c r="BT480" s="4431"/>
      <c r="BU480" s="4432"/>
      <c r="BV480" s="4385">
        <f t="shared" si="193"/>
        <v>1400</v>
      </c>
      <c r="BW480" s="4386">
        <f t="shared" si="203"/>
        <v>0</v>
      </c>
      <c r="BX480" s="4387"/>
      <c r="BY480" s="4387"/>
      <c r="BZ480" s="4387"/>
      <c r="CA480" s="4388" t="str">
        <f>VLOOKUP(D480&amp;G480&amp;H480&amp;I480,'9298 版本变更明细'!C:AJ,34,FALSE)</f>
        <v>全套新包装</v>
      </c>
      <c r="CC480" s="4389">
        <v>45863</v>
      </c>
      <c r="CD480" s="4388" t="s">
        <v>4271</v>
      </c>
    </row>
    <row r="481" s="4025" customFormat="1" ht="50" customHeight="1" spans="1:82">
      <c r="A481" s="3688">
        <v>45828</v>
      </c>
      <c r="B481" s="3689" t="s">
        <v>3495</v>
      </c>
      <c r="C481" s="3664" t="s">
        <v>91</v>
      </c>
      <c r="D481" s="3690">
        <v>4500170802</v>
      </c>
      <c r="E481" s="5456" t="s">
        <v>4323</v>
      </c>
      <c r="F481" s="3690" t="s">
        <v>4324</v>
      </c>
      <c r="G481" s="3664" t="s">
        <v>3068</v>
      </c>
      <c r="H481" s="3664" t="s">
        <v>3069</v>
      </c>
      <c r="I481" s="3691">
        <v>1536</v>
      </c>
      <c r="J481" s="3691">
        <v>2</v>
      </c>
      <c r="K481" s="3691">
        <v>384</v>
      </c>
      <c r="L481" s="3691">
        <f t="shared" si="213"/>
        <v>4</v>
      </c>
      <c r="M481" s="3659">
        <v>45859</v>
      </c>
      <c r="N481" s="3659">
        <v>45859</v>
      </c>
      <c r="O481" s="4085" t="s">
        <v>4325</v>
      </c>
      <c r="P481" s="3682" t="s">
        <v>82</v>
      </c>
      <c r="Q481" s="3682"/>
      <c r="R481" s="4083"/>
      <c r="S481" s="4083"/>
      <c r="T481" s="4083"/>
      <c r="U481" s="3645" t="s">
        <v>4326</v>
      </c>
      <c r="V481" s="3649" t="s">
        <v>3703</v>
      </c>
      <c r="W481" s="3657"/>
      <c r="X481" s="3657" t="s">
        <v>4124</v>
      </c>
      <c r="Y481" s="3657" t="s">
        <v>4327</v>
      </c>
      <c r="Z481" s="3691"/>
      <c r="AA481" s="3620" t="s">
        <v>4328</v>
      </c>
      <c r="AB481" s="3691" t="s">
        <v>3076</v>
      </c>
      <c r="AC481" s="4087">
        <v>531.79</v>
      </c>
      <c r="AD481" s="3691">
        <f>AC481*L481</f>
        <v>2127.16</v>
      </c>
      <c r="AE481" s="3645" t="s">
        <v>4329</v>
      </c>
      <c r="AF481" s="3664" t="s">
        <v>3078</v>
      </c>
      <c r="AG481" s="3645" t="s">
        <v>416</v>
      </c>
      <c r="AH481" s="984"/>
      <c r="AI481" s="3691"/>
      <c r="AJ481" s="3691">
        <f>I481</f>
        <v>1536</v>
      </c>
      <c r="AK481" s="875"/>
      <c r="AL481" s="3664"/>
      <c r="AM481" s="3664"/>
      <c r="AN481" s="3691"/>
      <c r="AO481" s="3691">
        <f>I481</f>
        <v>1536</v>
      </c>
      <c r="AP481" s="3691"/>
      <c r="AQ481" s="4089"/>
      <c r="AR481" s="878"/>
      <c r="AS481" s="4089">
        <f>I481</f>
        <v>1536</v>
      </c>
      <c r="AT481" s="878"/>
      <c r="AU481" s="4089"/>
      <c r="AV481" s="4089"/>
      <c r="AW481" s="4089"/>
      <c r="AX481" s="4089"/>
      <c r="AY481" s="4089"/>
      <c r="AZ481" s="4089"/>
      <c r="BA481" s="4089"/>
      <c r="BB481" s="4089">
        <f>I481/2</f>
        <v>768</v>
      </c>
      <c r="BC481" s="4089"/>
      <c r="BD481" s="4089"/>
      <c r="BE481" s="4089"/>
      <c r="BF481" s="4089" t="s">
        <v>682</v>
      </c>
      <c r="BG481" s="4089"/>
      <c r="BH481" s="4089">
        <f t="shared" si="214"/>
        <v>256</v>
      </c>
      <c r="BI481" s="4089">
        <f t="shared" si="215"/>
        <v>256</v>
      </c>
      <c r="BJ481" s="4089">
        <f t="shared" si="216"/>
        <v>256</v>
      </c>
      <c r="BK481" s="4089">
        <f t="shared" si="217"/>
        <v>256</v>
      </c>
      <c r="BL481" s="4089">
        <f t="shared" si="218"/>
        <v>256</v>
      </c>
      <c r="BM481" s="4089">
        <f t="shared" si="219"/>
        <v>204.8</v>
      </c>
      <c r="BN481" s="4089">
        <f t="shared" si="212"/>
        <v>51.2</v>
      </c>
      <c r="BO481" s="877"/>
      <c r="BP481" s="877"/>
      <c r="BQ481" s="877"/>
      <c r="BR481" s="877"/>
      <c r="BS481" s="877"/>
      <c r="BT481" s="991"/>
      <c r="BU481" s="992"/>
      <c r="BV481" s="4385">
        <f t="shared" si="193"/>
        <v>1536</v>
      </c>
      <c r="BW481" s="4386">
        <f t="shared" si="203"/>
        <v>0</v>
      </c>
      <c r="BX481" s="4387"/>
      <c r="BY481" s="4387"/>
      <c r="BZ481" s="4387"/>
      <c r="CA481" s="4391"/>
      <c r="CC481" s="4392">
        <v>45859</v>
      </c>
      <c r="CD481" s="4391" t="s">
        <v>4271</v>
      </c>
    </row>
    <row r="482" s="4025" customFormat="1" ht="50" customHeight="1" spans="1:82">
      <c r="A482" s="4428">
        <v>45817</v>
      </c>
      <c r="B482" s="959" t="s">
        <v>568</v>
      </c>
      <c r="C482" s="959" t="s">
        <v>569</v>
      </c>
      <c r="D482" s="3618">
        <v>4500169300</v>
      </c>
      <c r="E482" s="959">
        <v>2000007049</v>
      </c>
      <c r="F482" s="959" t="s">
        <v>4330</v>
      </c>
      <c r="G482" s="959" t="s">
        <v>3352</v>
      </c>
      <c r="H482" s="3664" t="s">
        <v>3353</v>
      </c>
      <c r="I482" s="3691">
        <v>1200</v>
      </c>
      <c r="J482" s="3691">
        <v>0</v>
      </c>
      <c r="K482" s="3691">
        <v>12</v>
      </c>
      <c r="L482" s="3691">
        <f t="shared" si="213"/>
        <v>100</v>
      </c>
      <c r="M482" s="3619">
        <v>45859</v>
      </c>
      <c r="N482" s="3659">
        <v>45863</v>
      </c>
      <c r="O482" s="4098" t="s">
        <v>4106</v>
      </c>
      <c r="P482" s="4390" t="s">
        <v>82</v>
      </c>
      <c r="Q482" s="4390"/>
      <c r="R482" s="4479"/>
      <c r="S482" s="4479"/>
      <c r="T482" s="4479"/>
      <c r="U482" s="4097" t="s">
        <v>4205</v>
      </c>
      <c r="V482" s="3649" t="s">
        <v>4331</v>
      </c>
      <c r="W482" s="3657"/>
      <c r="X482" s="3657" t="s">
        <v>4332</v>
      </c>
      <c r="Y482" s="3657"/>
      <c r="Z482" s="3664" t="s">
        <v>4333</v>
      </c>
      <c r="AA482" s="3620" t="s">
        <v>4334</v>
      </c>
      <c r="AB482" s="3618" t="s">
        <v>578</v>
      </c>
      <c r="AC482" s="3691">
        <v>4.9215</v>
      </c>
      <c r="AD482" s="3691">
        <f>AC482*I482</f>
        <v>5905.8</v>
      </c>
      <c r="AE482" s="3645"/>
      <c r="AF482" s="4480" t="s">
        <v>3605</v>
      </c>
      <c r="AG482" s="3645" t="s">
        <v>416</v>
      </c>
      <c r="AH482" s="4430"/>
      <c r="AI482" s="3691"/>
      <c r="AJ482" s="3691"/>
      <c r="AK482" s="3708"/>
      <c r="AL482" s="3664"/>
      <c r="AM482" s="3664">
        <f>I482</f>
        <v>1200</v>
      </c>
      <c r="AN482" s="3691"/>
      <c r="AO482" s="3691"/>
      <c r="AP482" s="3691">
        <f>I482</f>
        <v>1200</v>
      </c>
      <c r="AQ482" s="4089"/>
      <c r="AR482" s="1048"/>
      <c r="AS482" s="4089"/>
      <c r="AT482" s="1048"/>
      <c r="AU482" s="4089">
        <f>I482</f>
        <v>1200</v>
      </c>
      <c r="AV482" s="4089"/>
      <c r="AW482" s="4089"/>
      <c r="AX482" s="4089"/>
      <c r="AY482" s="4089"/>
      <c r="AZ482" s="4089"/>
      <c r="BA482" s="4089"/>
      <c r="BB482" s="4089"/>
      <c r="BC482" s="4089">
        <f>I482</f>
        <v>1200</v>
      </c>
      <c r="BD482" s="4089"/>
      <c r="BE482" s="4089"/>
      <c r="BF482" s="4089" t="s">
        <v>89</v>
      </c>
      <c r="BG482" s="4089"/>
      <c r="BH482" s="4089">
        <f t="shared" si="214"/>
        <v>200</v>
      </c>
      <c r="BI482" s="4089">
        <f t="shared" si="215"/>
        <v>200</v>
      </c>
      <c r="BJ482" s="4089">
        <f t="shared" si="216"/>
        <v>200</v>
      </c>
      <c r="BK482" s="4403">
        <f t="shared" si="217"/>
        <v>200</v>
      </c>
      <c r="BL482" s="4385">
        <f t="shared" si="218"/>
        <v>200</v>
      </c>
      <c r="BM482" s="4403">
        <f t="shared" si="219"/>
        <v>160</v>
      </c>
      <c r="BN482" s="4089">
        <f t="shared" si="212"/>
        <v>40</v>
      </c>
      <c r="BO482" s="4413"/>
      <c r="BP482" s="4413"/>
      <c r="BQ482" s="4413"/>
      <c r="BR482" s="4413"/>
      <c r="BS482" s="4413"/>
      <c r="BT482" s="4431"/>
      <c r="BU482" s="4432"/>
      <c r="BV482" s="4385">
        <f t="shared" si="193"/>
        <v>1200</v>
      </c>
      <c r="BW482" s="4386">
        <f t="shared" si="203"/>
        <v>0</v>
      </c>
      <c r="BX482" s="4387"/>
      <c r="BY482" s="4387"/>
      <c r="BZ482" s="4387"/>
      <c r="CA482" s="4391" t="str">
        <f>VLOOKUP(D482&amp;G482&amp;H482&amp;I482,'9298 版本变更明细'!C:AJ,34,FALSE)</f>
        <v>全套新包装</v>
      </c>
      <c r="CC482" s="4392">
        <v>45863</v>
      </c>
      <c r="CD482" s="4391" t="s">
        <v>4271</v>
      </c>
    </row>
    <row r="483" s="4025" customFormat="1" ht="50" customHeight="1" spans="1:82">
      <c r="A483" s="3688">
        <v>45763</v>
      </c>
      <c r="B483" s="3689" t="s">
        <v>3657</v>
      </c>
      <c r="C483" s="3664" t="s">
        <v>341</v>
      </c>
      <c r="D483" s="3690">
        <v>4500163961</v>
      </c>
      <c r="E483" s="3664" t="s">
        <v>4335</v>
      </c>
      <c r="F483" s="3690" t="s">
        <v>4336</v>
      </c>
      <c r="G483" s="3664" t="s">
        <v>3356</v>
      </c>
      <c r="H483" s="3664" t="s">
        <v>3353</v>
      </c>
      <c r="I483" s="3618">
        <v>8316</v>
      </c>
      <c r="J483" s="3618">
        <v>0</v>
      </c>
      <c r="K483" s="3618">
        <v>12</v>
      </c>
      <c r="L483" s="3618">
        <f t="shared" si="213"/>
        <v>693</v>
      </c>
      <c r="M483" s="3659">
        <v>45859</v>
      </c>
      <c r="N483" s="3659">
        <v>45866</v>
      </c>
      <c r="O483" s="4085"/>
      <c r="P483" s="3682" t="s">
        <v>82</v>
      </c>
      <c r="Q483" s="3682"/>
      <c r="R483" s="4083"/>
      <c r="S483" s="4083"/>
      <c r="T483" s="4083"/>
      <c r="U483" s="3645" t="s">
        <v>208</v>
      </c>
      <c r="V483" s="3649" t="s">
        <v>1196</v>
      </c>
      <c r="W483" s="3657"/>
      <c r="X483" s="3657" t="s">
        <v>3661</v>
      </c>
      <c r="Y483" s="3657"/>
      <c r="Z483" s="3661" t="s">
        <v>3662</v>
      </c>
      <c r="AA483" s="3620" t="s">
        <v>3663</v>
      </c>
      <c r="AB483" s="3691" t="s">
        <v>1131</v>
      </c>
      <c r="AC483" s="3618">
        <v>4.4796</v>
      </c>
      <c r="AD483" s="3618">
        <f>AC483*I483</f>
        <v>37252.3536</v>
      </c>
      <c r="AE483" s="3645" t="s">
        <v>4337</v>
      </c>
      <c r="AF483" s="3664" t="s">
        <v>3664</v>
      </c>
      <c r="AG483" s="3645" t="s">
        <v>416</v>
      </c>
      <c r="AH483" s="4430"/>
      <c r="AI483" s="3691"/>
      <c r="AJ483" s="3691"/>
      <c r="AK483" s="3708"/>
      <c r="AL483" s="3664"/>
      <c r="AM483" s="3664"/>
      <c r="AN483" s="3691">
        <f>I483</f>
        <v>8316</v>
      </c>
      <c r="AO483" s="3691"/>
      <c r="AP483" s="3691">
        <f>I483</f>
        <v>8316</v>
      </c>
      <c r="AQ483" s="4089"/>
      <c r="AR483" s="1048"/>
      <c r="AS483" s="4089">
        <f>I483</f>
        <v>8316</v>
      </c>
      <c r="AT483" s="1048"/>
      <c r="AU483" s="4089"/>
      <c r="AV483" s="4089"/>
      <c r="AW483" s="4089"/>
      <c r="AX483" s="4089"/>
      <c r="AY483" s="4089"/>
      <c r="AZ483" s="4089"/>
      <c r="BA483" s="4089"/>
      <c r="BB483" s="4089"/>
      <c r="BC483" s="4089">
        <f>I483</f>
        <v>8316</v>
      </c>
      <c r="BD483" s="4089"/>
      <c r="BE483" s="4089"/>
      <c r="BF483" s="4089" t="s">
        <v>89</v>
      </c>
      <c r="BG483" s="4089"/>
      <c r="BH483" s="4089">
        <f t="shared" si="214"/>
        <v>1386</v>
      </c>
      <c r="BI483" s="4089">
        <f t="shared" si="215"/>
        <v>1386</v>
      </c>
      <c r="BJ483" s="4089">
        <f t="shared" si="216"/>
        <v>1386</v>
      </c>
      <c r="BK483" s="4403">
        <f t="shared" si="217"/>
        <v>1386</v>
      </c>
      <c r="BL483" s="4385">
        <f t="shared" si="218"/>
        <v>1386</v>
      </c>
      <c r="BM483" s="4403">
        <f t="shared" si="219"/>
        <v>1108.8</v>
      </c>
      <c r="BN483" s="4089">
        <f t="shared" si="212"/>
        <v>277.2</v>
      </c>
      <c r="BO483" s="4413"/>
      <c r="BP483" s="4413"/>
      <c r="BQ483" s="4413"/>
      <c r="BR483" s="4413"/>
      <c r="BS483" s="4413"/>
      <c r="BT483" s="4431"/>
      <c r="BU483" s="4432"/>
      <c r="BV483" s="4385">
        <f t="shared" si="193"/>
        <v>8316</v>
      </c>
      <c r="BW483" s="4386">
        <f t="shared" si="203"/>
        <v>0</v>
      </c>
      <c r="BX483" s="4387"/>
      <c r="BY483" s="4387"/>
      <c r="BZ483" s="4387"/>
      <c r="CA483" s="4391" t="str">
        <f>VLOOKUP(D483&amp;G483&amp;H483&amp;I483,'9298 版本变更明细'!C:AJ,34,FALSE)</f>
        <v>全套新包装</v>
      </c>
      <c r="CC483" s="4392">
        <v>45866</v>
      </c>
      <c r="CD483" s="4391" t="s">
        <v>4338</v>
      </c>
    </row>
    <row r="484" s="4025" customFormat="1" ht="50" customHeight="1" spans="1:82">
      <c r="A484" s="3688">
        <v>45763</v>
      </c>
      <c r="B484" s="3689" t="s">
        <v>3657</v>
      </c>
      <c r="C484" s="3664" t="s">
        <v>341</v>
      </c>
      <c r="D484" s="3690">
        <v>4500163961</v>
      </c>
      <c r="E484" s="3664" t="s">
        <v>4339</v>
      </c>
      <c r="F484" s="3690" t="s">
        <v>4340</v>
      </c>
      <c r="G484" s="3664" t="s">
        <v>3356</v>
      </c>
      <c r="H484" s="3664" t="s">
        <v>3353</v>
      </c>
      <c r="I484" s="3618">
        <v>8316</v>
      </c>
      <c r="J484" s="3618">
        <v>0</v>
      </c>
      <c r="K484" s="3618">
        <v>12</v>
      </c>
      <c r="L484" s="3618">
        <f t="shared" si="213"/>
        <v>693</v>
      </c>
      <c r="M484" s="3659">
        <v>45859</v>
      </c>
      <c r="N484" s="3659">
        <v>45866</v>
      </c>
      <c r="O484" s="4085"/>
      <c r="P484" s="3682" t="s">
        <v>82</v>
      </c>
      <c r="Q484" s="3682"/>
      <c r="R484" s="4083"/>
      <c r="S484" s="4083"/>
      <c r="T484" s="4083"/>
      <c r="U484" s="3645" t="s">
        <v>208</v>
      </c>
      <c r="V484" s="3649" t="s">
        <v>1196</v>
      </c>
      <c r="W484" s="3657"/>
      <c r="X484" s="3657" t="s">
        <v>3661</v>
      </c>
      <c r="Y484" s="3657"/>
      <c r="Z484" s="3661" t="s">
        <v>3662</v>
      </c>
      <c r="AA484" s="3620" t="s">
        <v>3663</v>
      </c>
      <c r="AB484" s="3691" t="s">
        <v>1131</v>
      </c>
      <c r="AC484" s="3618">
        <v>4.4796</v>
      </c>
      <c r="AD484" s="3618">
        <f>AC484*I484</f>
        <v>37252.3536</v>
      </c>
      <c r="AE484" s="3645" t="s">
        <v>4341</v>
      </c>
      <c r="AF484" s="3664" t="s">
        <v>3664</v>
      </c>
      <c r="AG484" s="3645" t="s">
        <v>416</v>
      </c>
      <c r="AH484" s="4430"/>
      <c r="AI484" s="3691"/>
      <c r="AJ484" s="3691"/>
      <c r="AK484" s="3708"/>
      <c r="AL484" s="3664"/>
      <c r="AM484" s="3664"/>
      <c r="AN484" s="3691">
        <f>I484</f>
        <v>8316</v>
      </c>
      <c r="AO484" s="3691"/>
      <c r="AP484" s="3691">
        <f>I484</f>
        <v>8316</v>
      </c>
      <c r="AQ484" s="4089"/>
      <c r="AR484" s="1048"/>
      <c r="AS484" s="4089">
        <f>I484</f>
        <v>8316</v>
      </c>
      <c r="AT484" s="1048"/>
      <c r="AU484" s="4089"/>
      <c r="AV484" s="4089"/>
      <c r="AW484" s="4089"/>
      <c r="AX484" s="4089"/>
      <c r="AY484" s="4089"/>
      <c r="AZ484" s="4089"/>
      <c r="BA484" s="4089"/>
      <c r="BB484" s="4089"/>
      <c r="BC484" s="4089">
        <f>I484</f>
        <v>8316</v>
      </c>
      <c r="BD484" s="4089"/>
      <c r="BE484" s="4089"/>
      <c r="BF484" s="4089" t="s">
        <v>89</v>
      </c>
      <c r="BG484" s="4089"/>
      <c r="BH484" s="4089">
        <f t="shared" si="214"/>
        <v>1386</v>
      </c>
      <c r="BI484" s="4089">
        <f t="shared" si="215"/>
        <v>1386</v>
      </c>
      <c r="BJ484" s="4089">
        <f t="shared" si="216"/>
        <v>1386</v>
      </c>
      <c r="BK484" s="4403">
        <f t="shared" si="217"/>
        <v>1386</v>
      </c>
      <c r="BL484" s="4385">
        <f t="shared" si="218"/>
        <v>1386</v>
      </c>
      <c r="BM484" s="4403">
        <f t="shared" si="219"/>
        <v>1108.8</v>
      </c>
      <c r="BN484" s="4089">
        <f t="shared" si="212"/>
        <v>277.2</v>
      </c>
      <c r="BO484" s="4413"/>
      <c r="BP484" s="4413"/>
      <c r="BQ484" s="4413"/>
      <c r="BR484" s="4413"/>
      <c r="BS484" s="4413"/>
      <c r="BT484" s="4431"/>
      <c r="BU484" s="4432"/>
      <c r="BV484" s="4385">
        <f t="shared" si="193"/>
        <v>8316</v>
      </c>
      <c r="BW484" s="4386">
        <f t="shared" si="203"/>
        <v>0</v>
      </c>
      <c r="BX484" s="4387"/>
      <c r="BY484" s="4387"/>
      <c r="BZ484" s="4387"/>
      <c r="CA484" s="4391" t="str">
        <f>VLOOKUP(D484&amp;G484&amp;H484&amp;I484,'9298 版本变更明细'!C:AJ,34,FALSE)</f>
        <v>全套新包装</v>
      </c>
      <c r="CC484" s="4392">
        <v>45866</v>
      </c>
      <c r="CD484" s="4391" t="s">
        <v>4338</v>
      </c>
    </row>
    <row r="485" s="4025" customFormat="1" ht="50" customHeight="1" spans="1:82">
      <c r="A485" s="3635">
        <v>45814</v>
      </c>
      <c r="B485" s="3617" t="s">
        <v>3599</v>
      </c>
      <c r="C485" s="3617" t="s">
        <v>2058</v>
      </c>
      <c r="D485" s="3618">
        <v>4500169285</v>
      </c>
      <c r="E485" s="959">
        <v>2000007035</v>
      </c>
      <c r="F485" s="959" t="s">
        <v>4342</v>
      </c>
      <c r="G485" s="959" t="s">
        <v>3352</v>
      </c>
      <c r="H485" s="3664" t="s">
        <v>3353</v>
      </c>
      <c r="I485" s="3691">
        <v>2508</v>
      </c>
      <c r="J485" s="3691">
        <v>0</v>
      </c>
      <c r="K485" s="3691">
        <v>12</v>
      </c>
      <c r="L485" s="3691">
        <f t="shared" si="213"/>
        <v>209</v>
      </c>
      <c r="M485" s="3619">
        <v>45859</v>
      </c>
      <c r="N485" s="3659">
        <v>45863</v>
      </c>
      <c r="O485" s="4098" t="s">
        <v>4106</v>
      </c>
      <c r="P485" s="4390" t="s">
        <v>82</v>
      </c>
      <c r="Q485" s="4390"/>
      <c r="R485" s="4479"/>
      <c r="S485" s="4479"/>
      <c r="T485" s="4479"/>
      <c r="U485" s="4097" t="s">
        <v>220</v>
      </c>
      <c r="V485" s="3649" t="s">
        <v>4331</v>
      </c>
      <c r="W485" s="3649"/>
      <c r="X485" s="3657" t="s">
        <v>4343</v>
      </c>
      <c r="Y485" s="3657"/>
      <c r="Z485" s="3664" t="s">
        <v>4333</v>
      </c>
      <c r="AA485" s="3620" t="s">
        <v>4344</v>
      </c>
      <c r="AB485" s="3624" t="s">
        <v>578</v>
      </c>
      <c r="AC485" s="3691">
        <v>4.8893</v>
      </c>
      <c r="AD485" s="3691">
        <f>AC485*I485</f>
        <v>12262.3644</v>
      </c>
      <c r="AE485" s="3645"/>
      <c r="AF485" s="4480" t="s">
        <v>3605</v>
      </c>
      <c r="AG485" s="3645" t="s">
        <v>416</v>
      </c>
      <c r="AH485" s="4430"/>
      <c r="AI485" s="3691"/>
      <c r="AJ485" s="3691"/>
      <c r="AK485" s="3708"/>
      <c r="AL485" s="3664"/>
      <c r="AM485" s="3664">
        <f>I485</f>
        <v>2508</v>
      </c>
      <c r="AN485" s="3691"/>
      <c r="AO485" s="3691"/>
      <c r="AP485" s="3691">
        <f>I485</f>
        <v>2508</v>
      </c>
      <c r="AQ485" s="4089"/>
      <c r="AR485" s="1048"/>
      <c r="AS485" s="4089"/>
      <c r="AT485" s="1048"/>
      <c r="AU485" s="4089">
        <f>I485</f>
        <v>2508</v>
      </c>
      <c r="AV485" s="4089"/>
      <c r="AW485" s="4089"/>
      <c r="AX485" s="4089"/>
      <c r="AY485" s="4089"/>
      <c r="AZ485" s="4089"/>
      <c r="BA485" s="4089"/>
      <c r="BB485" s="4089"/>
      <c r="BC485" s="4089">
        <f>I485</f>
        <v>2508</v>
      </c>
      <c r="BD485" s="4089"/>
      <c r="BE485" s="4089"/>
      <c r="BF485" s="4089" t="s">
        <v>89</v>
      </c>
      <c r="BG485" s="4089"/>
      <c r="BH485" s="4089">
        <f t="shared" si="214"/>
        <v>418</v>
      </c>
      <c r="BI485" s="4089">
        <f t="shared" si="215"/>
        <v>418</v>
      </c>
      <c r="BJ485" s="4089">
        <f t="shared" si="216"/>
        <v>418</v>
      </c>
      <c r="BK485" s="4403">
        <f t="shared" si="217"/>
        <v>418</v>
      </c>
      <c r="BL485" s="4385">
        <f t="shared" si="218"/>
        <v>418</v>
      </c>
      <c r="BM485" s="4403">
        <f t="shared" si="219"/>
        <v>334.4</v>
      </c>
      <c r="BN485" s="4089">
        <f t="shared" si="212"/>
        <v>83.6</v>
      </c>
      <c r="BO485" s="4413"/>
      <c r="BP485" s="4413"/>
      <c r="BQ485" s="4413"/>
      <c r="BR485" s="4413"/>
      <c r="BS485" s="4413"/>
      <c r="BT485" s="4431"/>
      <c r="BU485" s="4432"/>
      <c r="BV485" s="4385">
        <f t="shared" si="193"/>
        <v>2508</v>
      </c>
      <c r="BW485" s="4386">
        <f t="shared" si="203"/>
        <v>0</v>
      </c>
      <c r="BX485" s="4387"/>
      <c r="BY485" s="4387"/>
      <c r="BZ485" s="4387"/>
      <c r="CA485" s="4391" t="str">
        <f>VLOOKUP(D485&amp;G485&amp;H485&amp;I485,'9298 版本变更明细'!C:AJ,34,FALSE)</f>
        <v>全套新包装</v>
      </c>
      <c r="CC485" s="4392">
        <v>45863</v>
      </c>
      <c r="CD485" s="4391" t="s">
        <v>4271</v>
      </c>
    </row>
    <row r="486" s="4025" customFormat="1" ht="50" customHeight="1" spans="1:82">
      <c r="A486" s="3688">
        <v>45771</v>
      </c>
      <c r="B486" s="3689" t="s">
        <v>1545</v>
      </c>
      <c r="C486" s="3664" t="s">
        <v>1546</v>
      </c>
      <c r="D486" s="3690">
        <v>4500164774</v>
      </c>
      <c r="E486" s="3664" t="s">
        <v>1547</v>
      </c>
      <c r="F486" s="3690" t="s">
        <v>4345</v>
      </c>
      <c r="G486" s="3664" t="s">
        <v>2577</v>
      </c>
      <c r="H486" s="3664" t="s">
        <v>2578</v>
      </c>
      <c r="I486" s="3691">
        <v>144</v>
      </c>
      <c r="J486" s="3691">
        <v>0</v>
      </c>
      <c r="K486" s="3691">
        <v>12</v>
      </c>
      <c r="L486" s="3691">
        <f t="shared" si="213"/>
        <v>12</v>
      </c>
      <c r="M486" s="3659">
        <v>45859</v>
      </c>
      <c r="N486" s="3659">
        <v>45874</v>
      </c>
      <c r="O486" s="4085"/>
      <c r="P486" s="3682" t="s">
        <v>82</v>
      </c>
      <c r="Q486" s="3682"/>
      <c r="R486" s="4083"/>
      <c r="S486" s="4083"/>
      <c r="T486" s="4083"/>
      <c r="U486" s="3645" t="s">
        <v>211</v>
      </c>
      <c r="V486" s="3649" t="s">
        <v>1479</v>
      </c>
      <c r="W486" s="3649"/>
      <c r="X486" s="3657" t="s">
        <v>4346</v>
      </c>
      <c r="Y486" s="3657"/>
      <c r="Z486" s="3664" t="s">
        <v>1543</v>
      </c>
      <c r="AA486" s="3620" t="s">
        <v>4347</v>
      </c>
      <c r="AB486" s="3691" t="s">
        <v>459</v>
      </c>
      <c r="AC486" s="3691">
        <v>2.1438</v>
      </c>
      <c r="AD486" s="3691">
        <f>AC486*I486</f>
        <v>308.7072</v>
      </c>
      <c r="AE486" s="3645"/>
      <c r="AF486" s="3664" t="s">
        <v>2604</v>
      </c>
      <c r="AG486" s="3645" t="s">
        <v>416</v>
      </c>
      <c r="AH486" s="4448"/>
      <c r="AI486" s="3691"/>
      <c r="AJ486" s="3691"/>
      <c r="AK486" s="3664"/>
      <c r="AL486" s="3664"/>
      <c r="AM486" s="3664">
        <f>I486</f>
        <v>144</v>
      </c>
      <c r="AN486" s="3691"/>
      <c r="AO486" s="3691"/>
      <c r="AP486" s="3691">
        <f>I486</f>
        <v>144</v>
      </c>
      <c r="AQ486" s="4089"/>
      <c r="AR486" s="4089"/>
      <c r="AS486" s="4089">
        <f t="shared" ref="AS486:AS510" si="220">I486</f>
        <v>144</v>
      </c>
      <c r="AT486" s="4089"/>
      <c r="AU486" s="4089"/>
      <c r="AV486" s="4089">
        <f>I486/6</f>
        <v>24</v>
      </c>
      <c r="AW486" s="4089"/>
      <c r="AX486" s="4089"/>
      <c r="AY486" s="4089"/>
      <c r="AZ486" s="4089"/>
      <c r="BA486" s="4089"/>
      <c r="BB486" s="4089"/>
      <c r="BC486" s="4089"/>
      <c r="BD486" s="4089"/>
      <c r="BE486" s="4089"/>
      <c r="BF486" s="4089" t="s">
        <v>89</v>
      </c>
      <c r="BG486" s="4089"/>
      <c r="BH486" s="4089">
        <f t="shared" si="214"/>
        <v>24</v>
      </c>
      <c r="BI486" s="4089">
        <f t="shared" si="215"/>
        <v>24</v>
      </c>
      <c r="BJ486" s="4089">
        <f t="shared" si="216"/>
        <v>24</v>
      </c>
      <c r="BK486" s="4089">
        <f t="shared" si="217"/>
        <v>24</v>
      </c>
      <c r="BL486" s="4089">
        <f t="shared" si="218"/>
        <v>24</v>
      </c>
      <c r="BM486" s="4089">
        <f t="shared" si="219"/>
        <v>19.2</v>
      </c>
      <c r="BN486" s="4089">
        <f t="shared" si="212"/>
        <v>4.8</v>
      </c>
      <c r="BO486" s="4089"/>
      <c r="BP486" s="4089"/>
      <c r="BQ486" s="4089"/>
      <c r="BR486" s="4089"/>
      <c r="BS486" s="4089"/>
      <c r="BT486" s="4404"/>
      <c r="BU486" s="4403"/>
      <c r="BV486" s="4385">
        <f t="shared" si="193"/>
        <v>144</v>
      </c>
      <c r="BW486" s="4386">
        <f t="shared" si="203"/>
        <v>0</v>
      </c>
      <c r="BX486" s="4387"/>
      <c r="BY486" s="4387"/>
      <c r="BZ486" s="4387"/>
      <c r="CA486" s="4391" t="str">
        <f>VLOOKUP(D486&amp;G486&amp;H486&amp;I486,'9298 版本变更明细'!C:AJ,34,FALSE)</f>
        <v>全套新包装-除PDQ</v>
      </c>
      <c r="CC486" s="4392">
        <v>45874</v>
      </c>
      <c r="CD486" s="4391" t="s">
        <v>4271</v>
      </c>
    </row>
    <row r="487" s="4025" customFormat="1" ht="50" customHeight="1" spans="1:82">
      <c r="A487" s="3688">
        <v>45750</v>
      </c>
      <c r="B487" s="3689" t="s">
        <v>1315</v>
      </c>
      <c r="C487" s="3664" t="s">
        <v>1316</v>
      </c>
      <c r="D487" s="3690">
        <v>4500162579</v>
      </c>
      <c r="E487" s="3664" t="s">
        <v>1590</v>
      </c>
      <c r="F487" s="3690">
        <v>4500166280</v>
      </c>
      <c r="G487" s="3664" t="s">
        <v>3821</v>
      </c>
      <c r="H487" s="3664" t="s">
        <v>1320</v>
      </c>
      <c r="I487" s="3691">
        <v>2700</v>
      </c>
      <c r="J487" s="3691">
        <v>0</v>
      </c>
      <c r="K487" s="3691">
        <v>4</v>
      </c>
      <c r="L487" s="3691">
        <f t="shared" si="213"/>
        <v>675</v>
      </c>
      <c r="M487" s="3659">
        <v>45859</v>
      </c>
      <c r="N487" s="3659">
        <v>45866</v>
      </c>
      <c r="O487" s="4085"/>
      <c r="P487" s="3682" t="s">
        <v>82</v>
      </c>
      <c r="Q487" s="3682"/>
      <c r="R487" s="4083"/>
      <c r="S487" s="4083"/>
      <c r="T487" s="4083"/>
      <c r="U487" s="3645"/>
      <c r="V487" s="3649" t="s">
        <v>1322</v>
      </c>
      <c r="W487" s="3649"/>
      <c r="X487" s="3657" t="s">
        <v>1907</v>
      </c>
      <c r="Y487" s="3657"/>
      <c r="Z487" s="3691" t="s">
        <v>1592</v>
      </c>
      <c r="AA487" s="3620" t="s">
        <v>1376</v>
      </c>
      <c r="AB487" s="3691" t="s">
        <v>1326</v>
      </c>
      <c r="AC487" s="3691">
        <v>16.8855</v>
      </c>
      <c r="AD487" s="3691">
        <f>AC487*L487</f>
        <v>11397.7125</v>
      </c>
      <c r="AE487" s="3645"/>
      <c r="AF487" s="3664" t="s">
        <v>3822</v>
      </c>
      <c r="AG487" s="3645" t="s">
        <v>416</v>
      </c>
      <c r="AH487" s="4448"/>
      <c r="AI487" s="3691"/>
      <c r="AJ487" s="3691"/>
      <c r="AK487" s="3664"/>
      <c r="AL487" s="3664"/>
      <c r="AM487" s="3664"/>
      <c r="AN487" s="3691">
        <f>I487</f>
        <v>2700</v>
      </c>
      <c r="AO487" s="3691"/>
      <c r="AP487" s="3691"/>
      <c r="AQ487" s="4089">
        <f>I487</f>
        <v>2700</v>
      </c>
      <c r="AR487" s="4089"/>
      <c r="AS487" s="4089">
        <f t="shared" si="220"/>
        <v>2700</v>
      </c>
      <c r="AT487" s="4089"/>
      <c r="AU487" s="4089"/>
      <c r="AV487" s="4089"/>
      <c r="AW487" s="4089"/>
      <c r="AX487" s="4089"/>
      <c r="AY487" s="4089"/>
      <c r="AZ487" s="4089"/>
      <c r="BA487" s="4089"/>
      <c r="BB487" s="4089"/>
      <c r="BC487" s="4089">
        <f>I487/4</f>
        <v>675</v>
      </c>
      <c r="BD487" s="4089"/>
      <c r="BE487" s="4089"/>
      <c r="BF487" s="4089" t="s">
        <v>1327</v>
      </c>
      <c r="BG487" s="4089"/>
      <c r="BH487" s="4089">
        <f t="shared" si="214"/>
        <v>450</v>
      </c>
      <c r="BI487" s="4089">
        <f t="shared" si="215"/>
        <v>450</v>
      </c>
      <c r="BJ487" s="4089">
        <f t="shared" si="216"/>
        <v>450</v>
      </c>
      <c r="BK487" s="4089">
        <f t="shared" si="217"/>
        <v>450</v>
      </c>
      <c r="BL487" s="4089">
        <f t="shared" si="218"/>
        <v>450</v>
      </c>
      <c r="BM487" s="4089">
        <f t="shared" si="219"/>
        <v>360</v>
      </c>
      <c r="BN487" s="4089">
        <f t="shared" si="212"/>
        <v>90</v>
      </c>
      <c r="BO487" s="4411"/>
      <c r="BP487" s="4411"/>
      <c r="BQ487" s="4411"/>
      <c r="BR487" s="4411"/>
      <c r="BS487" s="4411"/>
      <c r="BT487" s="4453"/>
      <c r="BU487" s="4454"/>
      <c r="BV487" s="4385">
        <f t="shared" si="193"/>
        <v>2700</v>
      </c>
      <c r="BW487" s="4386">
        <f t="shared" si="203"/>
        <v>0</v>
      </c>
      <c r="BX487" s="4387"/>
      <c r="BY487" s="4387"/>
      <c r="BZ487" s="4387"/>
      <c r="CA487" s="4391" t="str">
        <f>VLOOKUP(D487&amp;G487&amp;H487&amp;I487,'9298 版本变更明细'!C:AJ,34,FALSE)</f>
        <v>B版本口水胶+C版本配件包（香味贴纸/指定配件）</v>
      </c>
      <c r="CC487" s="4392">
        <v>45866</v>
      </c>
      <c r="CD487" s="4391" t="e">
        <v>#N/A</v>
      </c>
    </row>
    <row r="488" s="4025" customFormat="1" ht="50" customHeight="1" spans="1:82">
      <c r="A488" s="3688">
        <v>45750</v>
      </c>
      <c r="B488" s="3689" t="s">
        <v>1315</v>
      </c>
      <c r="C488" s="3664" t="s">
        <v>1316</v>
      </c>
      <c r="D488" s="3690">
        <v>4500162579</v>
      </c>
      <c r="E488" s="3664" t="s">
        <v>1593</v>
      </c>
      <c r="F488" s="3690" t="s">
        <v>1594</v>
      </c>
      <c r="G488" s="3664" t="s">
        <v>3821</v>
      </c>
      <c r="H488" s="3664" t="s">
        <v>1320</v>
      </c>
      <c r="I488" s="3691">
        <v>3824</v>
      </c>
      <c r="J488" s="3691">
        <v>0</v>
      </c>
      <c r="K488" s="3691">
        <v>4</v>
      </c>
      <c r="L488" s="3691">
        <f t="shared" si="213"/>
        <v>956</v>
      </c>
      <c r="M488" s="3659">
        <v>45859</v>
      </c>
      <c r="N488" s="3659">
        <v>45866</v>
      </c>
      <c r="O488" s="4085"/>
      <c r="P488" s="3682" t="s">
        <v>82</v>
      </c>
      <c r="Q488" s="3682"/>
      <c r="R488" s="4083"/>
      <c r="S488" s="4083"/>
      <c r="T488" s="4083"/>
      <c r="U488" s="3645" t="s">
        <v>1483</v>
      </c>
      <c r="V488" s="3649" t="s">
        <v>1322</v>
      </c>
      <c r="W488" s="3649"/>
      <c r="X488" s="3657" t="s">
        <v>1907</v>
      </c>
      <c r="Y488" s="3657"/>
      <c r="Z488" s="3691" t="s">
        <v>1595</v>
      </c>
      <c r="AA488" s="3620" t="s">
        <v>1376</v>
      </c>
      <c r="AB488" s="3691" t="s">
        <v>1326</v>
      </c>
      <c r="AC488" s="3691">
        <v>16.8314</v>
      </c>
      <c r="AD488" s="3691">
        <f>AC488*L488</f>
        <v>16090.8184</v>
      </c>
      <c r="AE488" s="3645"/>
      <c r="AF488" s="3664" t="s">
        <v>3822</v>
      </c>
      <c r="AG488" s="3645" t="s">
        <v>416</v>
      </c>
      <c r="AH488" s="4448"/>
      <c r="AI488" s="3691"/>
      <c r="AJ488" s="3691"/>
      <c r="AK488" s="3664"/>
      <c r="AL488" s="3664"/>
      <c r="AM488" s="3664"/>
      <c r="AN488" s="3691">
        <f>I488</f>
        <v>3824</v>
      </c>
      <c r="AO488" s="3691"/>
      <c r="AP488" s="3691"/>
      <c r="AQ488" s="4089">
        <f>I488</f>
        <v>3824</v>
      </c>
      <c r="AR488" s="4089"/>
      <c r="AS488" s="4089">
        <f t="shared" si="220"/>
        <v>3824</v>
      </c>
      <c r="AT488" s="4089"/>
      <c r="AU488" s="4089"/>
      <c r="AV488" s="4089"/>
      <c r="AW488" s="4089"/>
      <c r="AX488" s="4089"/>
      <c r="AY488" s="4089"/>
      <c r="AZ488" s="4089"/>
      <c r="BA488" s="4089"/>
      <c r="BB488" s="4089"/>
      <c r="BC488" s="4089">
        <f>I488/4</f>
        <v>956</v>
      </c>
      <c r="BD488" s="4089"/>
      <c r="BE488" s="4089"/>
      <c r="BF488" s="4089" t="s">
        <v>1327</v>
      </c>
      <c r="BG488" s="4089"/>
      <c r="BH488" s="4089">
        <f t="shared" si="214"/>
        <v>637.333333333333</v>
      </c>
      <c r="BI488" s="4089">
        <f t="shared" si="215"/>
        <v>637.333333333333</v>
      </c>
      <c r="BJ488" s="4089">
        <f t="shared" si="216"/>
        <v>637.333333333333</v>
      </c>
      <c r="BK488" s="4089">
        <f t="shared" si="217"/>
        <v>637.333333333333</v>
      </c>
      <c r="BL488" s="4089">
        <f t="shared" si="218"/>
        <v>637.333333333333</v>
      </c>
      <c r="BM488" s="4089">
        <f t="shared" si="219"/>
        <v>509.866666666667</v>
      </c>
      <c r="BN488" s="4089">
        <f t="shared" si="212"/>
        <v>127.466666666667</v>
      </c>
      <c r="BO488" s="4411"/>
      <c r="BP488" s="4411"/>
      <c r="BQ488" s="4411"/>
      <c r="BR488" s="4411"/>
      <c r="BS488" s="4411"/>
      <c r="BT488" s="4453"/>
      <c r="BU488" s="4454"/>
      <c r="BV488" s="4385">
        <f t="shared" si="193"/>
        <v>3824</v>
      </c>
      <c r="BW488" s="4386">
        <f t="shared" si="203"/>
        <v>0</v>
      </c>
      <c r="BX488" s="4387"/>
      <c r="BY488" s="4387"/>
      <c r="BZ488" s="4387"/>
      <c r="CA488" s="4391" t="str">
        <f>VLOOKUP(D488&amp;G488&amp;H488&amp;I488,'9298 版本变更明细'!C:AJ,34,FALSE)</f>
        <v>B版本口水胶+C版本配件包（香味贴纸/指定配件）</v>
      </c>
      <c r="CC488" s="4392">
        <v>45866</v>
      </c>
      <c r="CD488" s="4391" t="s">
        <v>4338</v>
      </c>
    </row>
    <row r="489" s="4025" customFormat="1" ht="50" customHeight="1" spans="1:82">
      <c r="A489" s="3688">
        <v>45771</v>
      </c>
      <c r="B489" s="3689" t="s">
        <v>1538</v>
      </c>
      <c r="C489" s="3664" t="s">
        <v>1142</v>
      </c>
      <c r="D489" s="3690">
        <v>4500159848</v>
      </c>
      <c r="E489" s="3664" t="s">
        <v>1539</v>
      </c>
      <c r="F489" s="3690" t="s">
        <v>4348</v>
      </c>
      <c r="G489" s="3664" t="s">
        <v>2577</v>
      </c>
      <c r="H489" s="3664" t="s">
        <v>2578</v>
      </c>
      <c r="I489" s="3691">
        <v>96</v>
      </c>
      <c r="J489" s="3691">
        <v>0</v>
      </c>
      <c r="K489" s="3691">
        <v>12</v>
      </c>
      <c r="L489" s="3691">
        <f t="shared" si="213"/>
        <v>8</v>
      </c>
      <c r="M489" s="3659">
        <v>45859</v>
      </c>
      <c r="N489" s="3659">
        <v>45874</v>
      </c>
      <c r="O489" s="4085"/>
      <c r="P489" s="3682" t="s">
        <v>82</v>
      </c>
      <c r="Q489" s="3682"/>
      <c r="R489" s="4083"/>
      <c r="S489" s="4083"/>
      <c r="T489" s="4083"/>
      <c r="U489" s="3645" t="s">
        <v>1541</v>
      </c>
      <c r="V489" s="3649" t="s">
        <v>1479</v>
      </c>
      <c r="W489" s="3649"/>
      <c r="X489" s="3657" t="s">
        <v>4346</v>
      </c>
      <c r="Y489" s="3657"/>
      <c r="Z489" s="3664" t="s">
        <v>1543</v>
      </c>
      <c r="AA489" s="3620" t="s">
        <v>4347</v>
      </c>
      <c r="AB489" s="3691" t="s">
        <v>459</v>
      </c>
      <c r="AC489" s="3691">
        <v>2.1438</v>
      </c>
      <c r="AD489" s="3691">
        <f>AC489*I489</f>
        <v>205.8048</v>
      </c>
      <c r="AE489" s="3645"/>
      <c r="AF489" s="3664" t="s">
        <v>2604</v>
      </c>
      <c r="AG489" s="3645" t="s">
        <v>416</v>
      </c>
      <c r="AH489" s="3664"/>
      <c r="AI489" s="3691"/>
      <c r="AJ489" s="3691"/>
      <c r="AK489" s="3664"/>
      <c r="AL489" s="3664"/>
      <c r="AM489" s="3664">
        <f>I489</f>
        <v>96</v>
      </c>
      <c r="AN489" s="3691"/>
      <c r="AO489" s="3691"/>
      <c r="AP489" s="3691">
        <f>I489</f>
        <v>96</v>
      </c>
      <c r="AQ489" s="4089"/>
      <c r="AR489" s="4089"/>
      <c r="AS489" s="4089">
        <f t="shared" si="220"/>
        <v>96</v>
      </c>
      <c r="AT489" s="4089"/>
      <c r="AU489" s="4089"/>
      <c r="AV489" s="4089">
        <f>I489/6</f>
        <v>16</v>
      </c>
      <c r="AW489" s="4089"/>
      <c r="AX489" s="4089"/>
      <c r="AY489" s="4089"/>
      <c r="AZ489" s="4089"/>
      <c r="BA489" s="4089"/>
      <c r="BB489" s="4089"/>
      <c r="BC489" s="4089"/>
      <c r="BD489" s="4089"/>
      <c r="BE489" s="4089"/>
      <c r="BF489" s="4089" t="s">
        <v>89</v>
      </c>
      <c r="BG489" s="4089"/>
      <c r="BH489" s="4089">
        <f t="shared" si="214"/>
        <v>16</v>
      </c>
      <c r="BI489" s="4089">
        <f t="shared" si="215"/>
        <v>16</v>
      </c>
      <c r="BJ489" s="4089">
        <f t="shared" si="216"/>
        <v>16</v>
      </c>
      <c r="BK489" s="4089">
        <f t="shared" si="217"/>
        <v>16</v>
      </c>
      <c r="BL489" s="4089">
        <f t="shared" si="218"/>
        <v>16</v>
      </c>
      <c r="BM489" s="4089">
        <f t="shared" si="219"/>
        <v>12.8</v>
      </c>
      <c r="BN489" s="4089">
        <f t="shared" si="212"/>
        <v>3.2</v>
      </c>
      <c r="BO489" s="4089"/>
      <c r="BP489" s="4089"/>
      <c r="BQ489" s="4089"/>
      <c r="BR489" s="4089"/>
      <c r="BS489" s="4089"/>
      <c r="BT489" s="4404"/>
      <c r="BU489" s="4403"/>
      <c r="BV489" s="4385">
        <f t="shared" si="193"/>
        <v>96</v>
      </c>
      <c r="BW489" s="4386">
        <f t="shared" si="203"/>
        <v>0</v>
      </c>
      <c r="BX489" s="4387"/>
      <c r="BY489" s="4387"/>
      <c r="BZ489" s="4387"/>
      <c r="CA489" s="4391" t="str">
        <f>VLOOKUP(D489&amp;G489&amp;H489&amp;I489,'9298 版本变更明细'!C:AJ,34,FALSE)</f>
        <v>全套新包装-除PDQ</v>
      </c>
      <c r="CC489" s="4392">
        <v>45874</v>
      </c>
      <c r="CD489" s="4391" t="s">
        <v>4271</v>
      </c>
    </row>
    <row r="490" s="4025" customFormat="1" ht="50" customHeight="1" spans="1:82">
      <c r="A490" s="4428">
        <v>45827</v>
      </c>
      <c r="B490" s="959" t="s">
        <v>1569</v>
      </c>
      <c r="C490" s="959" t="s">
        <v>581</v>
      </c>
      <c r="D490" s="3618">
        <v>4500170116</v>
      </c>
      <c r="E490" s="959"/>
      <c r="F490" s="959" t="s">
        <v>4349</v>
      </c>
      <c r="G490" s="959" t="s">
        <v>2577</v>
      </c>
      <c r="H490" s="3664" t="s">
        <v>2578</v>
      </c>
      <c r="I490" s="3691">
        <v>3000</v>
      </c>
      <c r="J490" s="3691">
        <v>0</v>
      </c>
      <c r="K490" s="3691">
        <v>12</v>
      </c>
      <c r="L490" s="3691">
        <f t="shared" si="213"/>
        <v>250</v>
      </c>
      <c r="M490" s="3619">
        <v>45860</v>
      </c>
      <c r="N490" s="3619">
        <v>45863</v>
      </c>
      <c r="O490" s="4098"/>
      <c r="P490" s="3682" t="s">
        <v>82</v>
      </c>
      <c r="Q490" s="3682"/>
      <c r="R490" s="4083"/>
      <c r="S490" s="4083"/>
      <c r="T490" s="4083"/>
      <c r="U490" s="3645" t="s">
        <v>208</v>
      </c>
      <c r="V490" s="3649" t="s">
        <v>1571</v>
      </c>
      <c r="W490" s="3649"/>
      <c r="X490" s="3657" t="s">
        <v>1567</v>
      </c>
      <c r="Y490" s="3657"/>
      <c r="Z490" s="3664"/>
      <c r="AA490" s="3620" t="s">
        <v>4350</v>
      </c>
      <c r="AB490" s="3618" t="s">
        <v>459</v>
      </c>
      <c r="AC490" s="3691">
        <v>2.1358</v>
      </c>
      <c r="AD490" s="3691">
        <f>AC490*I490</f>
        <v>6407.4</v>
      </c>
      <c r="AE490" s="3645" t="s">
        <v>1574</v>
      </c>
      <c r="AF490" s="3664" t="s">
        <v>2577</v>
      </c>
      <c r="AG490" s="3645" t="s">
        <v>416</v>
      </c>
      <c r="AH490" s="4412"/>
      <c r="AI490" s="3691"/>
      <c r="AJ490" s="3691">
        <f>I490</f>
        <v>3000</v>
      </c>
      <c r="AK490" s="3708"/>
      <c r="AL490" s="3664"/>
      <c r="AM490" s="3664"/>
      <c r="AN490" s="3691"/>
      <c r="AO490" s="3691"/>
      <c r="AP490" s="3691">
        <f>I490</f>
        <v>3000</v>
      </c>
      <c r="AQ490" s="4089"/>
      <c r="AR490" s="1048">
        <f>I490</f>
        <v>3000</v>
      </c>
      <c r="AS490" s="4089">
        <f t="shared" si="220"/>
        <v>3000</v>
      </c>
      <c r="AT490" s="1048"/>
      <c r="AU490" s="4089"/>
      <c r="AV490" s="4089"/>
      <c r="AW490" s="4089">
        <f>I490/6</f>
        <v>500</v>
      </c>
      <c r="AX490" s="4089"/>
      <c r="AY490" s="4089"/>
      <c r="AZ490" s="4089"/>
      <c r="BA490" s="4089"/>
      <c r="BB490" s="4089"/>
      <c r="BC490" s="4089"/>
      <c r="BD490" s="4089"/>
      <c r="BE490" s="4089"/>
      <c r="BF490" s="4089" t="s">
        <v>89</v>
      </c>
      <c r="BG490" s="4089"/>
      <c r="BH490" s="4089">
        <f t="shared" si="214"/>
        <v>500</v>
      </c>
      <c r="BI490" s="4089">
        <f t="shared" si="215"/>
        <v>500</v>
      </c>
      <c r="BJ490" s="4089">
        <f t="shared" si="216"/>
        <v>500</v>
      </c>
      <c r="BK490" s="4089">
        <f t="shared" si="217"/>
        <v>500</v>
      </c>
      <c r="BL490" s="4089">
        <f t="shared" si="218"/>
        <v>500</v>
      </c>
      <c r="BM490" s="4089">
        <f t="shared" si="219"/>
        <v>400</v>
      </c>
      <c r="BN490" s="4089">
        <f t="shared" si="212"/>
        <v>100</v>
      </c>
      <c r="BO490" s="4413"/>
      <c r="BP490" s="4413"/>
      <c r="BQ490" s="4413"/>
      <c r="BR490" s="4413"/>
      <c r="BS490" s="4413"/>
      <c r="BT490" s="4431"/>
      <c r="BU490" s="4432"/>
      <c r="BV490" s="4385">
        <f t="shared" si="193"/>
        <v>3000</v>
      </c>
      <c r="BW490" s="4386">
        <f t="shared" si="203"/>
        <v>0</v>
      </c>
      <c r="BX490" s="4387"/>
      <c r="BY490" s="4387"/>
      <c r="BZ490" s="4387"/>
      <c r="CA490" s="4391"/>
      <c r="CC490" s="4392">
        <v>45863</v>
      </c>
      <c r="CD490" s="4391" t="s">
        <v>4351</v>
      </c>
    </row>
    <row r="491" s="4025" customFormat="1" ht="50" customHeight="1" spans="1:82">
      <c r="A491" s="4428">
        <v>45826</v>
      </c>
      <c r="B491" s="959" t="s">
        <v>3118</v>
      </c>
      <c r="C491" s="959" t="s">
        <v>506</v>
      </c>
      <c r="D491" s="3618">
        <v>4500170480</v>
      </c>
      <c r="E491" s="959">
        <v>84438</v>
      </c>
      <c r="F491" s="959" t="s">
        <v>4352</v>
      </c>
      <c r="G491" s="959" t="s">
        <v>2590</v>
      </c>
      <c r="H491" s="3664" t="s">
        <v>2591</v>
      </c>
      <c r="I491" s="3691">
        <v>504</v>
      </c>
      <c r="J491" s="3691">
        <v>0</v>
      </c>
      <c r="K491" s="3691">
        <v>6</v>
      </c>
      <c r="L491" s="3691">
        <f t="shared" si="213"/>
        <v>84</v>
      </c>
      <c r="M491" s="3619">
        <v>45862</v>
      </c>
      <c r="N491" s="3619">
        <v>45866</v>
      </c>
      <c r="O491" s="4098"/>
      <c r="P491" s="3682" t="s">
        <v>82</v>
      </c>
      <c r="Q491" s="3682"/>
      <c r="R491" s="4083"/>
      <c r="S491" s="4083"/>
      <c r="T491" s="4083"/>
      <c r="U491" s="3645" t="s">
        <v>1341</v>
      </c>
      <c r="V491" s="3649" t="s">
        <v>1566</v>
      </c>
      <c r="W491" s="3649"/>
      <c r="X491" s="3657" t="s">
        <v>4353</v>
      </c>
      <c r="Y491" s="3657"/>
      <c r="Z491" s="3664"/>
      <c r="AA491" s="3620" t="s">
        <v>4354</v>
      </c>
      <c r="AB491" s="3618" t="s">
        <v>448</v>
      </c>
      <c r="AC491" s="3691">
        <v>2.1582</v>
      </c>
      <c r="AD491" s="3691">
        <f>AC491*I491</f>
        <v>1087.7328</v>
      </c>
      <c r="AE491" s="3645" t="s">
        <v>4355</v>
      </c>
      <c r="AF491" s="3664" t="s">
        <v>2590</v>
      </c>
      <c r="AG491" s="3645" t="s">
        <v>416</v>
      </c>
      <c r="AH491" s="4412"/>
      <c r="AI491" s="3691"/>
      <c r="AJ491" s="3691">
        <f>I491</f>
        <v>504</v>
      </c>
      <c r="AK491" s="3708"/>
      <c r="AL491" s="3664"/>
      <c r="AM491" s="3664"/>
      <c r="AN491" s="3691"/>
      <c r="AO491" s="3691"/>
      <c r="AP491" s="3691">
        <f>I491</f>
        <v>504</v>
      </c>
      <c r="AQ491" s="4089"/>
      <c r="AR491" s="1048">
        <f>I491</f>
        <v>504</v>
      </c>
      <c r="AS491" s="4089">
        <f t="shared" si="220"/>
        <v>504</v>
      </c>
      <c r="AT491" s="1048"/>
      <c r="AU491" s="4089"/>
      <c r="AV491" s="4089"/>
      <c r="AW491" s="4089">
        <f>I491/6</f>
        <v>84</v>
      </c>
      <c r="AX491" s="4089"/>
      <c r="AY491" s="4089"/>
      <c r="AZ491" s="4089"/>
      <c r="BA491" s="4089"/>
      <c r="BB491" s="4089"/>
      <c r="BC491" s="4089"/>
      <c r="BD491" s="4089"/>
      <c r="BE491" s="4089"/>
      <c r="BF491" s="4089" t="s">
        <v>89</v>
      </c>
      <c r="BG491" s="4089"/>
      <c r="BH491" s="4089">
        <f t="shared" si="214"/>
        <v>84</v>
      </c>
      <c r="BI491" s="4089">
        <f t="shared" si="215"/>
        <v>84</v>
      </c>
      <c r="BJ491" s="4089">
        <f t="shared" si="216"/>
        <v>84</v>
      </c>
      <c r="BK491" s="4403">
        <f t="shared" si="217"/>
        <v>84</v>
      </c>
      <c r="BL491" s="4385">
        <f t="shared" si="218"/>
        <v>84</v>
      </c>
      <c r="BM491" s="4403">
        <f t="shared" si="219"/>
        <v>67.2</v>
      </c>
      <c r="BN491" s="4089">
        <f t="shared" si="212"/>
        <v>16.8</v>
      </c>
      <c r="BO491" s="4413"/>
      <c r="BP491" s="4413"/>
      <c r="BQ491" s="4413"/>
      <c r="BR491" s="4413"/>
      <c r="BS491" s="4413"/>
      <c r="BT491" s="4431"/>
      <c r="BU491" s="4432"/>
      <c r="BV491" s="4385">
        <f t="shared" si="193"/>
        <v>504</v>
      </c>
      <c r="BW491" s="4386">
        <f t="shared" si="203"/>
        <v>0</v>
      </c>
      <c r="BX491" s="4387"/>
      <c r="BY491" s="4387"/>
      <c r="BZ491" s="4387"/>
      <c r="CA491" s="4391"/>
      <c r="CC491" s="4392">
        <v>45866</v>
      </c>
      <c r="CD491" s="4391" t="s">
        <v>4356</v>
      </c>
    </row>
    <row r="492" s="4025" customFormat="1" ht="50" customHeight="1" spans="1:82">
      <c r="A492" s="3688">
        <v>45775</v>
      </c>
      <c r="B492" s="3689" t="s">
        <v>737</v>
      </c>
      <c r="C492" s="3664" t="s">
        <v>738</v>
      </c>
      <c r="D492" s="3690">
        <v>4500164920</v>
      </c>
      <c r="E492" s="3664">
        <v>61963726</v>
      </c>
      <c r="F492" s="3690" t="s">
        <v>4357</v>
      </c>
      <c r="G492" s="3664" t="s">
        <v>2577</v>
      </c>
      <c r="H492" s="3664" t="s">
        <v>2578</v>
      </c>
      <c r="I492" s="3691">
        <v>240</v>
      </c>
      <c r="J492" s="3691">
        <v>0</v>
      </c>
      <c r="K492" s="3691">
        <v>12</v>
      </c>
      <c r="L492" s="3691">
        <f t="shared" si="213"/>
        <v>20</v>
      </c>
      <c r="M492" s="3619">
        <v>45863</v>
      </c>
      <c r="N492" s="3619">
        <v>45859</v>
      </c>
      <c r="O492" s="3682"/>
      <c r="P492" s="3682" t="s">
        <v>82</v>
      </c>
      <c r="Q492" s="3682"/>
      <c r="R492" s="4083"/>
      <c r="S492" s="4083"/>
      <c r="T492" s="4083"/>
      <c r="U492" s="3645" t="s">
        <v>4358</v>
      </c>
      <c r="V492" s="3649" t="s">
        <v>4149</v>
      </c>
      <c r="W492" s="3657"/>
      <c r="X492" s="3657" t="s">
        <v>4359</v>
      </c>
      <c r="Y492" s="3657"/>
      <c r="Z492" s="3691"/>
      <c r="AA492" s="3620" t="s">
        <v>4360</v>
      </c>
      <c r="AB492" s="3691" t="s">
        <v>459</v>
      </c>
      <c r="AC492" s="3691">
        <v>2.1438</v>
      </c>
      <c r="AD492" s="3691">
        <f>AC492*I492</f>
        <v>514.512</v>
      </c>
      <c r="AE492" s="3645"/>
      <c r="AF492" s="3664" t="s">
        <v>2604</v>
      </c>
      <c r="AG492" s="3645" t="s">
        <v>416</v>
      </c>
      <c r="AH492" s="4422"/>
      <c r="AI492" s="3691"/>
      <c r="AJ492" s="3691"/>
      <c r="AK492" s="905"/>
      <c r="AL492" s="3664"/>
      <c r="AM492" s="3664">
        <f>I492</f>
        <v>240</v>
      </c>
      <c r="AN492" s="3691"/>
      <c r="AO492" s="3691">
        <f>I492</f>
        <v>240</v>
      </c>
      <c r="AP492" s="3691"/>
      <c r="AQ492" s="4089"/>
      <c r="AR492" s="4382"/>
      <c r="AS492" s="4089">
        <f t="shared" si="220"/>
        <v>240</v>
      </c>
      <c r="AT492" s="4382"/>
      <c r="AU492" s="4089"/>
      <c r="AV492" s="4089">
        <f>I492/6</f>
        <v>40</v>
      </c>
      <c r="AW492" s="4089"/>
      <c r="AX492" s="4089"/>
      <c r="AY492" s="4089"/>
      <c r="AZ492" s="4089"/>
      <c r="BA492" s="4089"/>
      <c r="BB492" s="4089"/>
      <c r="BC492" s="4089"/>
      <c r="BD492" s="4089"/>
      <c r="BE492" s="4089"/>
      <c r="BF492" s="4089" t="s">
        <v>89</v>
      </c>
      <c r="BG492" s="4089"/>
      <c r="BH492" s="4089">
        <f t="shared" si="214"/>
        <v>40</v>
      </c>
      <c r="BI492" s="4089">
        <f t="shared" si="215"/>
        <v>40</v>
      </c>
      <c r="BJ492" s="4089">
        <f t="shared" si="216"/>
        <v>40</v>
      </c>
      <c r="BK492" s="4089">
        <f t="shared" si="217"/>
        <v>40</v>
      </c>
      <c r="BL492" s="4089">
        <f t="shared" si="218"/>
        <v>40</v>
      </c>
      <c r="BM492" s="4089">
        <f t="shared" si="219"/>
        <v>32</v>
      </c>
      <c r="BN492" s="4089">
        <f t="shared" si="212"/>
        <v>8</v>
      </c>
      <c r="BO492" s="4382"/>
      <c r="BP492" s="4382"/>
      <c r="BQ492" s="4382"/>
      <c r="BR492" s="4382"/>
      <c r="BS492" s="4382"/>
      <c r="BT492" s="4383"/>
      <c r="BU492" s="4384"/>
      <c r="BV492" s="4385">
        <f t="shared" si="193"/>
        <v>240</v>
      </c>
      <c r="BW492" s="4386">
        <f t="shared" si="203"/>
        <v>0</v>
      </c>
      <c r="BX492" s="4387"/>
      <c r="BY492" s="4387"/>
      <c r="BZ492" s="4387"/>
      <c r="CA492" s="4391" t="str">
        <f>VLOOKUP(D492&amp;G492&amp;H492&amp;I492,'9298 版本变更明细'!C:AJ,34,FALSE)</f>
        <v>C版本收缩膜+A版本指南+口水胶+C版本配件包（香味贴纸/指定配件）</v>
      </c>
      <c r="CC492" s="4392" t="s">
        <v>4361</v>
      </c>
      <c r="CD492" s="4391" t="s">
        <v>4338</v>
      </c>
    </row>
    <row r="493" s="4025" customFormat="1" ht="50" customHeight="1" spans="1:82">
      <c r="A493" s="3688">
        <v>45820</v>
      </c>
      <c r="B493" s="3617" t="s">
        <v>523</v>
      </c>
      <c r="C493" s="3617" t="s">
        <v>524</v>
      </c>
      <c r="D493" s="3618">
        <v>4500169751</v>
      </c>
      <c r="E493" s="959"/>
      <c r="F493" s="959" t="s">
        <v>4362</v>
      </c>
      <c r="G493" s="959" t="s">
        <v>2577</v>
      </c>
      <c r="H493" s="3664" t="s">
        <v>2578</v>
      </c>
      <c r="I493" s="3691">
        <v>180</v>
      </c>
      <c r="J493" s="3691">
        <v>0</v>
      </c>
      <c r="K493" s="3691">
        <v>12</v>
      </c>
      <c r="L493" s="3691">
        <f t="shared" si="213"/>
        <v>15</v>
      </c>
      <c r="M493" s="3619">
        <v>45863</v>
      </c>
      <c r="N493" s="3619">
        <v>45863</v>
      </c>
      <c r="O493" s="4098"/>
      <c r="P493" s="3682" t="s">
        <v>82</v>
      </c>
      <c r="Q493" s="3682"/>
      <c r="R493" s="4083"/>
      <c r="S493" s="4083"/>
      <c r="T493" s="4083"/>
      <c r="U493" s="3645" t="s">
        <v>220</v>
      </c>
      <c r="V493" s="3649" t="s">
        <v>1550</v>
      </c>
      <c r="W493" s="3657"/>
      <c r="X493" s="3657" t="s">
        <v>1551</v>
      </c>
      <c r="Y493" s="3657" t="s">
        <v>1552</v>
      </c>
      <c r="Z493" s="3664"/>
      <c r="AA493" s="3620" t="s">
        <v>4363</v>
      </c>
      <c r="AB493" s="3618" t="s">
        <v>459</v>
      </c>
      <c r="AC493" s="3691">
        <v>2.1438</v>
      </c>
      <c r="AD493" s="3691">
        <f>AC493*I493</f>
        <v>385.884</v>
      </c>
      <c r="AE493" s="3645"/>
      <c r="AF493" s="3664" t="s">
        <v>2604</v>
      </c>
      <c r="AG493" s="3645" t="s">
        <v>416</v>
      </c>
      <c r="AH493" s="4430"/>
      <c r="AI493" s="3691"/>
      <c r="AJ493" s="3691"/>
      <c r="AK493" s="3708"/>
      <c r="AL493" s="3664"/>
      <c r="AM493" s="3664">
        <f>I493</f>
        <v>180</v>
      </c>
      <c r="AN493" s="3691"/>
      <c r="AO493" s="3691"/>
      <c r="AP493" s="3691">
        <f>I493</f>
        <v>180</v>
      </c>
      <c r="AQ493" s="4089"/>
      <c r="AR493" s="1048"/>
      <c r="AS493" s="4089">
        <f t="shared" si="220"/>
        <v>180</v>
      </c>
      <c r="AT493" s="1048"/>
      <c r="AU493" s="4089"/>
      <c r="AV493" s="4089">
        <f>I493/6</f>
        <v>30</v>
      </c>
      <c r="AW493" s="4089"/>
      <c r="AX493" s="4089"/>
      <c r="AY493" s="4089"/>
      <c r="AZ493" s="4089"/>
      <c r="BA493" s="4089"/>
      <c r="BB493" s="4089"/>
      <c r="BC493" s="4089"/>
      <c r="BD493" s="4089"/>
      <c r="BE493" s="4089"/>
      <c r="BF493" s="4089" t="s">
        <v>89</v>
      </c>
      <c r="BG493" s="4089"/>
      <c r="BH493" s="4089">
        <f t="shared" si="214"/>
        <v>30</v>
      </c>
      <c r="BI493" s="4089">
        <f t="shared" si="215"/>
        <v>30</v>
      </c>
      <c r="BJ493" s="4089">
        <f t="shared" si="216"/>
        <v>30</v>
      </c>
      <c r="BK493" s="4089">
        <f t="shared" si="217"/>
        <v>30</v>
      </c>
      <c r="BL493" s="4089">
        <f t="shared" si="218"/>
        <v>30</v>
      </c>
      <c r="BM493" s="4089">
        <f t="shared" si="219"/>
        <v>24</v>
      </c>
      <c r="BN493" s="4089">
        <f t="shared" si="212"/>
        <v>6</v>
      </c>
      <c r="BO493" s="4413"/>
      <c r="BP493" s="4413"/>
      <c r="BQ493" s="4413"/>
      <c r="BR493" s="4413"/>
      <c r="BS493" s="4413"/>
      <c r="BT493" s="4431"/>
      <c r="BU493" s="4432"/>
      <c r="BV493" s="4385">
        <f t="shared" si="193"/>
        <v>180</v>
      </c>
      <c r="BW493" s="4386">
        <f t="shared" si="203"/>
        <v>0</v>
      </c>
      <c r="BX493" s="4387"/>
      <c r="BY493" s="4387"/>
      <c r="BZ493" s="4387"/>
      <c r="CA493" s="4391" t="str">
        <f>VLOOKUP(D493&amp;G493&amp;H493&amp;I493,'9298 版本变更明细'!C:AJ,34,FALSE)</f>
        <v>全套新包装-除PDQ</v>
      </c>
      <c r="CC493" s="4392">
        <v>45861</v>
      </c>
      <c r="CD493" s="4391" t="s">
        <v>4364</v>
      </c>
    </row>
    <row r="494" s="4025" customFormat="1" ht="50" customHeight="1" spans="1:82">
      <c r="A494" s="4429">
        <v>45828</v>
      </c>
      <c r="B494" s="4080" t="s">
        <v>3495</v>
      </c>
      <c r="C494" s="3663" t="s">
        <v>91</v>
      </c>
      <c r="D494" s="3690">
        <v>4500170802</v>
      </c>
      <c r="E494" s="5456" t="s">
        <v>4365</v>
      </c>
      <c r="F494" s="3690" t="s">
        <v>4366</v>
      </c>
      <c r="G494" s="3664" t="s">
        <v>3068</v>
      </c>
      <c r="H494" s="3664" t="s">
        <v>3069</v>
      </c>
      <c r="I494" s="3691">
        <v>1536</v>
      </c>
      <c r="J494" s="3691">
        <v>2</v>
      </c>
      <c r="K494" s="3691">
        <v>384</v>
      </c>
      <c r="L494" s="3691">
        <f t="shared" si="213"/>
        <v>4</v>
      </c>
      <c r="M494" s="3659">
        <v>45863</v>
      </c>
      <c r="N494" s="3659">
        <v>45863</v>
      </c>
      <c r="O494" s="4085" t="s">
        <v>4367</v>
      </c>
      <c r="P494" s="3682" t="s">
        <v>82</v>
      </c>
      <c r="Q494" s="3682"/>
      <c r="R494" s="4083"/>
      <c r="S494" s="4083"/>
      <c r="T494" s="4083"/>
      <c r="U494" s="3645"/>
      <c r="V494" s="3649" t="s">
        <v>3703</v>
      </c>
      <c r="W494" s="3657"/>
      <c r="X494" s="3657" t="s">
        <v>4124</v>
      </c>
      <c r="Y494" s="3657" t="s">
        <v>4327</v>
      </c>
      <c r="Z494" s="3664"/>
      <c r="AA494" s="3620" t="s">
        <v>4328</v>
      </c>
      <c r="AB494" s="4084" t="s">
        <v>3076</v>
      </c>
      <c r="AC494" s="4087">
        <v>531.79</v>
      </c>
      <c r="AD494" s="3691">
        <f t="shared" ref="AD494:AD499" si="221">AC494*L494</f>
        <v>2127.16</v>
      </c>
      <c r="AE494" s="3645" t="s">
        <v>4368</v>
      </c>
      <c r="AF494" s="3664" t="s">
        <v>3078</v>
      </c>
      <c r="AG494" s="3645" t="s">
        <v>416</v>
      </c>
      <c r="AH494" s="984"/>
      <c r="AI494" s="3691"/>
      <c r="AJ494" s="3691">
        <f t="shared" ref="AJ494:AJ499" si="222">I494</f>
        <v>1536</v>
      </c>
      <c r="AK494" s="875"/>
      <c r="AL494" s="3664"/>
      <c r="AM494" s="3664"/>
      <c r="AN494" s="3691"/>
      <c r="AO494" s="3691">
        <f t="shared" ref="AO494:AO499" si="223">I494</f>
        <v>1536</v>
      </c>
      <c r="AP494" s="3691"/>
      <c r="AQ494" s="4089"/>
      <c r="AR494" s="878"/>
      <c r="AS494" s="4089">
        <f t="shared" si="220"/>
        <v>1536</v>
      </c>
      <c r="AT494" s="878"/>
      <c r="AU494" s="4089"/>
      <c r="AV494" s="4089"/>
      <c r="AW494" s="4089"/>
      <c r="AX494" s="4089"/>
      <c r="AY494" s="4089"/>
      <c r="AZ494" s="4089"/>
      <c r="BA494" s="4089"/>
      <c r="BB494" s="4089">
        <f t="shared" ref="BB494:BB499" si="224">I494/2</f>
        <v>768</v>
      </c>
      <c r="BC494" s="4089"/>
      <c r="BD494" s="4089"/>
      <c r="BE494" s="4089"/>
      <c r="BF494" s="4089" t="s">
        <v>682</v>
      </c>
      <c r="BG494" s="4089"/>
      <c r="BH494" s="4089">
        <f t="shared" si="214"/>
        <v>256</v>
      </c>
      <c r="BI494" s="4089">
        <f t="shared" si="215"/>
        <v>256</v>
      </c>
      <c r="BJ494" s="4089">
        <f t="shared" si="216"/>
        <v>256</v>
      </c>
      <c r="BK494" s="4089">
        <f t="shared" si="217"/>
        <v>256</v>
      </c>
      <c r="BL494" s="4089">
        <f t="shared" si="218"/>
        <v>256</v>
      </c>
      <c r="BM494" s="4089">
        <f t="shared" si="219"/>
        <v>204.8</v>
      </c>
      <c r="BN494" s="4089">
        <f t="shared" si="212"/>
        <v>51.2</v>
      </c>
      <c r="BO494" s="877"/>
      <c r="BP494" s="877"/>
      <c r="BQ494" s="877"/>
      <c r="BR494" s="877"/>
      <c r="BS494" s="877"/>
      <c r="BT494" s="991"/>
      <c r="BU494" s="992"/>
      <c r="BV494" s="4385">
        <f t="shared" si="193"/>
        <v>1536</v>
      </c>
      <c r="BW494" s="4386">
        <f t="shared" si="203"/>
        <v>0</v>
      </c>
      <c r="BX494" s="4387"/>
      <c r="BY494" s="4387"/>
      <c r="BZ494" s="4387"/>
      <c r="CA494" s="4391"/>
      <c r="CB494" s="4312"/>
      <c r="CC494" s="4392">
        <v>45859</v>
      </c>
      <c r="CD494" s="4391" t="s">
        <v>4364</v>
      </c>
    </row>
    <row r="495" s="4025" customFormat="1" ht="50" customHeight="1" spans="1:82">
      <c r="A495" s="3688">
        <v>45828</v>
      </c>
      <c r="B495" s="3689" t="s">
        <v>3495</v>
      </c>
      <c r="C495" s="3664" t="s">
        <v>91</v>
      </c>
      <c r="D495" s="3690">
        <v>4500170802</v>
      </c>
      <c r="E495" s="5456" t="s">
        <v>4369</v>
      </c>
      <c r="F495" s="3690" t="s">
        <v>4370</v>
      </c>
      <c r="G495" s="3664" t="s">
        <v>3068</v>
      </c>
      <c r="H495" s="3664" t="s">
        <v>3069</v>
      </c>
      <c r="I495" s="3691">
        <v>768</v>
      </c>
      <c r="J495" s="3691">
        <v>2</v>
      </c>
      <c r="K495" s="3691">
        <v>384</v>
      </c>
      <c r="L495" s="3691">
        <f t="shared" si="213"/>
        <v>2</v>
      </c>
      <c r="M495" s="3659">
        <v>45863</v>
      </c>
      <c r="N495" s="3659">
        <v>45863</v>
      </c>
      <c r="O495" s="4085" t="s">
        <v>4367</v>
      </c>
      <c r="P495" s="3682" t="s">
        <v>82</v>
      </c>
      <c r="Q495" s="3682"/>
      <c r="R495" s="4083"/>
      <c r="S495" s="4083"/>
      <c r="T495" s="4083"/>
      <c r="U495" s="3645"/>
      <c r="V495" s="3649" t="s">
        <v>3703</v>
      </c>
      <c r="W495" s="3657"/>
      <c r="X495" s="3657" t="s">
        <v>4124</v>
      </c>
      <c r="Y495" s="3657" t="s">
        <v>4327</v>
      </c>
      <c r="Z495" s="3664"/>
      <c r="AA495" s="3620" t="s">
        <v>4328</v>
      </c>
      <c r="AB495" s="3691" t="s">
        <v>3076</v>
      </c>
      <c r="AC495" s="4087">
        <v>532.85</v>
      </c>
      <c r="AD495" s="3691">
        <f t="shared" si="221"/>
        <v>1065.7</v>
      </c>
      <c r="AE495" s="3645" t="s">
        <v>4371</v>
      </c>
      <c r="AF495" s="3664" t="s">
        <v>3078</v>
      </c>
      <c r="AG495" s="3645" t="s">
        <v>416</v>
      </c>
      <c r="AH495" s="984"/>
      <c r="AI495" s="3691"/>
      <c r="AJ495" s="3691">
        <f t="shared" si="222"/>
        <v>768</v>
      </c>
      <c r="AK495" s="875"/>
      <c r="AL495" s="3664"/>
      <c r="AM495" s="3664"/>
      <c r="AN495" s="3691"/>
      <c r="AO495" s="3691">
        <f t="shared" si="223"/>
        <v>768</v>
      </c>
      <c r="AP495" s="3691"/>
      <c r="AQ495" s="4089"/>
      <c r="AR495" s="878"/>
      <c r="AS495" s="4089">
        <f t="shared" si="220"/>
        <v>768</v>
      </c>
      <c r="AT495" s="878"/>
      <c r="AU495" s="4089"/>
      <c r="AV495" s="4089"/>
      <c r="AW495" s="4089"/>
      <c r="AX495" s="4089"/>
      <c r="AY495" s="4089"/>
      <c r="AZ495" s="4089"/>
      <c r="BA495" s="4089"/>
      <c r="BB495" s="4089">
        <f t="shared" si="224"/>
        <v>384</v>
      </c>
      <c r="BC495" s="4089"/>
      <c r="BD495" s="4089"/>
      <c r="BE495" s="4089"/>
      <c r="BF495" s="4089" t="s">
        <v>682</v>
      </c>
      <c r="BG495" s="4089"/>
      <c r="BH495" s="4089">
        <f t="shared" si="214"/>
        <v>128</v>
      </c>
      <c r="BI495" s="4089">
        <f t="shared" si="215"/>
        <v>128</v>
      </c>
      <c r="BJ495" s="4089">
        <f t="shared" si="216"/>
        <v>128</v>
      </c>
      <c r="BK495" s="4089">
        <f t="shared" si="217"/>
        <v>128</v>
      </c>
      <c r="BL495" s="4089">
        <f t="shared" si="218"/>
        <v>128</v>
      </c>
      <c r="BM495" s="4089">
        <f t="shared" si="219"/>
        <v>102.4</v>
      </c>
      <c r="BN495" s="4089">
        <f t="shared" si="212"/>
        <v>25.6</v>
      </c>
      <c r="BO495" s="877"/>
      <c r="BP495" s="877"/>
      <c r="BQ495" s="877"/>
      <c r="BR495" s="877"/>
      <c r="BS495" s="877"/>
      <c r="BT495" s="991"/>
      <c r="BU495" s="992"/>
      <c r="BV495" s="4385">
        <f t="shared" si="193"/>
        <v>768</v>
      </c>
      <c r="BW495" s="4386">
        <f t="shared" si="203"/>
        <v>0</v>
      </c>
      <c r="BX495" s="4387"/>
      <c r="BY495" s="4387"/>
      <c r="BZ495" s="4387"/>
      <c r="CA495" s="4391"/>
      <c r="CC495" s="4392">
        <v>45859</v>
      </c>
      <c r="CD495" s="4391" t="s">
        <v>4364</v>
      </c>
    </row>
    <row r="496" s="4025" customFormat="1" ht="50" customHeight="1" spans="1:82">
      <c r="A496" s="3688">
        <v>45828</v>
      </c>
      <c r="B496" s="3689" t="s">
        <v>3495</v>
      </c>
      <c r="C496" s="3664" t="s">
        <v>91</v>
      </c>
      <c r="D496" s="3690">
        <v>4500170802</v>
      </c>
      <c r="E496" s="5456" t="s">
        <v>4372</v>
      </c>
      <c r="F496" s="3690" t="s">
        <v>4373</v>
      </c>
      <c r="G496" s="3664" t="s">
        <v>3068</v>
      </c>
      <c r="H496" s="3664" t="s">
        <v>3069</v>
      </c>
      <c r="I496" s="3691">
        <v>1152</v>
      </c>
      <c r="J496" s="3691">
        <v>2</v>
      </c>
      <c r="K496" s="3691">
        <v>384</v>
      </c>
      <c r="L496" s="3691">
        <f t="shared" si="213"/>
        <v>3</v>
      </c>
      <c r="M496" s="3659">
        <v>45863</v>
      </c>
      <c r="N496" s="3659">
        <v>45863</v>
      </c>
      <c r="O496" s="4085" t="s">
        <v>4367</v>
      </c>
      <c r="P496" s="3682" t="s">
        <v>82</v>
      </c>
      <c r="Q496" s="3682"/>
      <c r="R496" s="4083"/>
      <c r="S496" s="4083"/>
      <c r="T496" s="4083"/>
      <c r="U496" s="3645" t="s">
        <v>208</v>
      </c>
      <c r="V496" s="3649" t="s">
        <v>3703</v>
      </c>
      <c r="W496" s="3657"/>
      <c r="X496" s="3657" t="s">
        <v>4124</v>
      </c>
      <c r="Y496" s="3657" t="s">
        <v>4327</v>
      </c>
      <c r="Z496" s="3664"/>
      <c r="AA496" s="3620" t="s">
        <v>4328</v>
      </c>
      <c r="AB496" s="3691" t="s">
        <v>3076</v>
      </c>
      <c r="AC496" s="4087">
        <v>519.7267</v>
      </c>
      <c r="AD496" s="3691">
        <f t="shared" si="221"/>
        <v>1559.1801</v>
      </c>
      <c r="AE496" s="3645" t="s">
        <v>4374</v>
      </c>
      <c r="AF496" s="3664" t="s">
        <v>3078</v>
      </c>
      <c r="AG496" s="3645" t="s">
        <v>416</v>
      </c>
      <c r="AH496" s="984"/>
      <c r="AI496" s="3691"/>
      <c r="AJ496" s="3691">
        <f t="shared" si="222"/>
        <v>1152</v>
      </c>
      <c r="AK496" s="875"/>
      <c r="AL496" s="3664"/>
      <c r="AM496" s="3664"/>
      <c r="AN496" s="3691"/>
      <c r="AO496" s="3691">
        <f t="shared" si="223"/>
        <v>1152</v>
      </c>
      <c r="AP496" s="3691"/>
      <c r="AQ496" s="4089"/>
      <c r="AR496" s="878"/>
      <c r="AS496" s="4089">
        <f t="shared" si="220"/>
        <v>1152</v>
      </c>
      <c r="AT496" s="878"/>
      <c r="AU496" s="4089"/>
      <c r="AV496" s="4089"/>
      <c r="AW496" s="4089"/>
      <c r="AX496" s="4089"/>
      <c r="AY496" s="4089"/>
      <c r="AZ496" s="4089"/>
      <c r="BA496" s="4089"/>
      <c r="BB496" s="4089">
        <f t="shared" si="224"/>
        <v>576</v>
      </c>
      <c r="BC496" s="4089"/>
      <c r="BD496" s="4089"/>
      <c r="BE496" s="4089"/>
      <c r="BF496" s="4089" t="s">
        <v>682</v>
      </c>
      <c r="BG496" s="4089"/>
      <c r="BH496" s="4089">
        <f t="shared" si="214"/>
        <v>192</v>
      </c>
      <c r="BI496" s="4089">
        <f t="shared" si="215"/>
        <v>192</v>
      </c>
      <c r="BJ496" s="4089">
        <f t="shared" si="216"/>
        <v>192</v>
      </c>
      <c r="BK496" s="4089">
        <f t="shared" si="217"/>
        <v>192</v>
      </c>
      <c r="BL496" s="4089">
        <f t="shared" si="218"/>
        <v>192</v>
      </c>
      <c r="BM496" s="4089">
        <f t="shared" si="219"/>
        <v>153.6</v>
      </c>
      <c r="BN496" s="4089">
        <f t="shared" si="212"/>
        <v>38.4</v>
      </c>
      <c r="BO496" s="877"/>
      <c r="BP496" s="877"/>
      <c r="BQ496" s="877"/>
      <c r="BR496" s="877"/>
      <c r="BS496" s="877"/>
      <c r="BT496" s="991"/>
      <c r="BU496" s="992"/>
      <c r="BV496" s="4385">
        <f t="shared" si="193"/>
        <v>1152</v>
      </c>
      <c r="BW496" s="4386">
        <f t="shared" si="203"/>
        <v>0</v>
      </c>
      <c r="BX496" s="4387"/>
      <c r="BY496" s="4387"/>
      <c r="BZ496" s="4387"/>
      <c r="CA496" s="4391"/>
      <c r="CC496" s="4392">
        <v>45859</v>
      </c>
      <c r="CD496" s="4391" t="s">
        <v>4364</v>
      </c>
    </row>
    <row r="497" s="4025" customFormat="1" ht="50" customHeight="1" spans="1:82">
      <c r="A497" s="4429">
        <v>45828</v>
      </c>
      <c r="B497" s="4080" t="s">
        <v>3495</v>
      </c>
      <c r="C497" s="3663" t="s">
        <v>91</v>
      </c>
      <c r="D497" s="3690">
        <v>4500170802</v>
      </c>
      <c r="E497" s="5456" t="s">
        <v>4375</v>
      </c>
      <c r="F497" s="3690" t="s">
        <v>4376</v>
      </c>
      <c r="G497" s="3664" t="s">
        <v>3068</v>
      </c>
      <c r="H497" s="3664" t="s">
        <v>3069</v>
      </c>
      <c r="I497" s="3691">
        <v>768</v>
      </c>
      <c r="J497" s="3691">
        <v>2</v>
      </c>
      <c r="K497" s="3691">
        <v>384</v>
      </c>
      <c r="L497" s="3691">
        <f t="shared" si="213"/>
        <v>2</v>
      </c>
      <c r="M497" s="3659">
        <v>45863</v>
      </c>
      <c r="N497" s="3659">
        <v>45863</v>
      </c>
      <c r="O497" s="4085" t="s">
        <v>4367</v>
      </c>
      <c r="P497" s="4481" t="s">
        <v>82</v>
      </c>
      <c r="Q497" s="4481"/>
      <c r="R497" s="4482"/>
      <c r="S497" s="4482"/>
      <c r="T497" s="4482"/>
      <c r="U497" s="3645" t="s">
        <v>4264</v>
      </c>
      <c r="V497" s="3649" t="s">
        <v>3703</v>
      </c>
      <c r="W497" s="3649"/>
      <c r="X497" s="3657" t="s">
        <v>4124</v>
      </c>
      <c r="Y497" s="3657" t="s">
        <v>4327</v>
      </c>
      <c r="Z497" s="3664"/>
      <c r="AA497" s="3620" t="s">
        <v>4328</v>
      </c>
      <c r="AB497" s="4084" t="s">
        <v>3076</v>
      </c>
      <c r="AC497" s="4087">
        <v>520.79</v>
      </c>
      <c r="AD497" s="3691">
        <f t="shared" si="221"/>
        <v>1041.58</v>
      </c>
      <c r="AE497" s="3645"/>
      <c r="AF497" s="4483" t="s">
        <v>3078</v>
      </c>
      <c r="AG497" s="3645" t="s">
        <v>416</v>
      </c>
      <c r="AH497" s="984"/>
      <c r="AI497" s="3691"/>
      <c r="AJ497" s="3691">
        <f t="shared" si="222"/>
        <v>768</v>
      </c>
      <c r="AK497" s="875"/>
      <c r="AL497" s="3664"/>
      <c r="AM497" s="3664"/>
      <c r="AN497" s="3691"/>
      <c r="AO497" s="3691">
        <f t="shared" si="223"/>
        <v>768</v>
      </c>
      <c r="AP497" s="3691"/>
      <c r="AQ497" s="4089"/>
      <c r="AR497" s="878"/>
      <c r="AS497" s="4089">
        <f t="shared" si="220"/>
        <v>768</v>
      </c>
      <c r="AT497" s="878"/>
      <c r="AU497" s="4089"/>
      <c r="AV497" s="4089"/>
      <c r="AW497" s="4089"/>
      <c r="AX497" s="4089"/>
      <c r="AY497" s="4089"/>
      <c r="AZ497" s="4089"/>
      <c r="BA497" s="4089"/>
      <c r="BB497" s="4089">
        <f t="shared" si="224"/>
        <v>384</v>
      </c>
      <c r="BC497" s="4089"/>
      <c r="BD497" s="4089"/>
      <c r="BE497" s="4089"/>
      <c r="BF497" s="4089" t="s">
        <v>682</v>
      </c>
      <c r="BG497" s="4089"/>
      <c r="BH497" s="4089">
        <f t="shared" si="214"/>
        <v>128</v>
      </c>
      <c r="BI497" s="4089">
        <f t="shared" si="215"/>
        <v>128</v>
      </c>
      <c r="BJ497" s="4089">
        <f t="shared" si="216"/>
        <v>128</v>
      </c>
      <c r="BK497" s="4089">
        <f t="shared" si="217"/>
        <v>128</v>
      </c>
      <c r="BL497" s="4089">
        <f t="shared" si="218"/>
        <v>128</v>
      </c>
      <c r="BM497" s="4089">
        <f t="shared" si="219"/>
        <v>102.4</v>
      </c>
      <c r="BN497" s="4089">
        <f t="shared" si="212"/>
        <v>25.6</v>
      </c>
      <c r="BO497" s="877"/>
      <c r="BP497" s="877"/>
      <c r="BQ497" s="877"/>
      <c r="BR497" s="877"/>
      <c r="BS497" s="877"/>
      <c r="BT497" s="991"/>
      <c r="BU497" s="992"/>
      <c r="BV497" s="4385">
        <f t="shared" si="193"/>
        <v>768</v>
      </c>
      <c r="BW497" s="4386">
        <f t="shared" si="203"/>
        <v>0</v>
      </c>
      <c r="BX497" s="4387"/>
      <c r="BY497" s="4387"/>
      <c r="BZ497" s="4387"/>
      <c r="CA497" s="4391"/>
      <c r="CC497" s="4392">
        <v>45859</v>
      </c>
      <c r="CD497" s="4391" t="s">
        <v>4364</v>
      </c>
    </row>
    <row r="498" s="4025" customFormat="1" ht="50" customHeight="1" spans="1:82">
      <c r="A498" s="3688">
        <v>45828</v>
      </c>
      <c r="B498" s="4080" t="s">
        <v>3495</v>
      </c>
      <c r="C498" s="3663" t="s">
        <v>91</v>
      </c>
      <c r="D498" s="3690">
        <v>4500170802</v>
      </c>
      <c r="E498" s="5456" t="s">
        <v>4377</v>
      </c>
      <c r="F498" s="3690" t="s">
        <v>4378</v>
      </c>
      <c r="G498" s="3664" t="s">
        <v>3068</v>
      </c>
      <c r="H498" s="3664" t="s">
        <v>3069</v>
      </c>
      <c r="I498" s="3691">
        <v>768</v>
      </c>
      <c r="J498" s="3691">
        <v>2</v>
      </c>
      <c r="K498" s="3691">
        <v>384</v>
      </c>
      <c r="L498" s="3691">
        <f t="shared" si="213"/>
        <v>2</v>
      </c>
      <c r="M498" s="3659">
        <v>45863</v>
      </c>
      <c r="N498" s="3659">
        <v>45863</v>
      </c>
      <c r="O498" s="4085" t="s">
        <v>4367</v>
      </c>
      <c r="P498" s="3682" t="s">
        <v>82</v>
      </c>
      <c r="Q498" s="3682"/>
      <c r="R498" s="4083"/>
      <c r="S498" s="4083"/>
      <c r="T498" s="4083"/>
      <c r="U498" s="3645"/>
      <c r="V498" s="3649" t="s">
        <v>3703</v>
      </c>
      <c r="W498" s="3649"/>
      <c r="X498" s="3657" t="s">
        <v>4124</v>
      </c>
      <c r="Y498" s="3657" t="s">
        <v>4327</v>
      </c>
      <c r="Z498" s="3664"/>
      <c r="AA498" s="3620" t="s">
        <v>4328</v>
      </c>
      <c r="AB498" s="4084" t="s">
        <v>3076</v>
      </c>
      <c r="AC498" s="4087">
        <v>520.79</v>
      </c>
      <c r="AD498" s="3691">
        <f t="shared" si="221"/>
        <v>1041.58</v>
      </c>
      <c r="AE498" s="3645" t="s">
        <v>4379</v>
      </c>
      <c r="AF498" s="3664" t="s">
        <v>3078</v>
      </c>
      <c r="AG498" s="3645" t="s">
        <v>416</v>
      </c>
      <c r="AH498" s="984"/>
      <c r="AI498" s="3691"/>
      <c r="AJ498" s="3691">
        <f t="shared" si="222"/>
        <v>768</v>
      </c>
      <c r="AK498" s="875"/>
      <c r="AL498" s="3664"/>
      <c r="AM498" s="3664"/>
      <c r="AN498" s="3691"/>
      <c r="AO498" s="3691">
        <f t="shared" si="223"/>
        <v>768</v>
      </c>
      <c r="AP498" s="3691"/>
      <c r="AQ498" s="4089"/>
      <c r="AR498" s="878"/>
      <c r="AS498" s="4089">
        <f t="shared" si="220"/>
        <v>768</v>
      </c>
      <c r="AT498" s="878"/>
      <c r="AU498" s="4089"/>
      <c r="AV498" s="4089"/>
      <c r="AW498" s="4089"/>
      <c r="AX498" s="4089"/>
      <c r="AY498" s="4089"/>
      <c r="AZ498" s="4089"/>
      <c r="BA498" s="4089"/>
      <c r="BB498" s="4089">
        <f t="shared" si="224"/>
        <v>384</v>
      </c>
      <c r="BC498" s="4089"/>
      <c r="BD498" s="4089"/>
      <c r="BE498" s="4089"/>
      <c r="BF498" s="4089" t="s">
        <v>682</v>
      </c>
      <c r="BG498" s="4089"/>
      <c r="BH498" s="4089">
        <f t="shared" si="214"/>
        <v>128</v>
      </c>
      <c r="BI498" s="4089">
        <f t="shared" si="215"/>
        <v>128</v>
      </c>
      <c r="BJ498" s="4089">
        <f t="shared" si="216"/>
        <v>128</v>
      </c>
      <c r="BK498" s="4089">
        <f t="shared" si="217"/>
        <v>128</v>
      </c>
      <c r="BL498" s="4089">
        <f t="shared" si="218"/>
        <v>128</v>
      </c>
      <c r="BM498" s="4089">
        <f t="shared" si="219"/>
        <v>102.4</v>
      </c>
      <c r="BN498" s="4089">
        <f t="shared" si="212"/>
        <v>25.6</v>
      </c>
      <c r="BO498" s="877"/>
      <c r="BP498" s="877"/>
      <c r="BQ498" s="877"/>
      <c r="BR498" s="877"/>
      <c r="BS498" s="877"/>
      <c r="BT498" s="991"/>
      <c r="BU498" s="992"/>
      <c r="BV498" s="4385">
        <f t="shared" ref="BV498:BV561" si="225">SUM(BH498:BU498)</f>
        <v>768</v>
      </c>
      <c r="BW498" s="4386">
        <f t="shared" si="203"/>
        <v>0</v>
      </c>
      <c r="BX498" s="4387"/>
      <c r="BY498" s="4387"/>
      <c r="BZ498" s="4387"/>
      <c r="CA498" s="4391"/>
      <c r="CC498" s="4392">
        <v>45859</v>
      </c>
      <c r="CD498" s="4391" t="s">
        <v>4364</v>
      </c>
    </row>
    <row r="499" s="4025" customFormat="1" ht="50" customHeight="1" spans="1:82">
      <c r="A499" s="3688">
        <v>45828</v>
      </c>
      <c r="B499" s="4080" t="s">
        <v>3495</v>
      </c>
      <c r="C499" s="3663" t="s">
        <v>91</v>
      </c>
      <c r="D499" s="3690">
        <v>4500170802</v>
      </c>
      <c r="E499" s="5456" t="s">
        <v>4380</v>
      </c>
      <c r="F499" s="3690" t="s">
        <v>4381</v>
      </c>
      <c r="G499" s="3664" t="s">
        <v>3068</v>
      </c>
      <c r="H499" s="3664" t="s">
        <v>3069</v>
      </c>
      <c r="I499" s="3691">
        <v>1920</v>
      </c>
      <c r="J499" s="3691">
        <v>2</v>
      </c>
      <c r="K499" s="3691">
        <v>384</v>
      </c>
      <c r="L499" s="3691">
        <f t="shared" si="213"/>
        <v>5</v>
      </c>
      <c r="M499" s="3659">
        <v>45863</v>
      </c>
      <c r="N499" s="3659">
        <v>45863</v>
      </c>
      <c r="O499" s="4085" t="s">
        <v>4367</v>
      </c>
      <c r="P499" s="3682" t="s">
        <v>82</v>
      </c>
      <c r="Q499" s="3682"/>
      <c r="R499" s="4083"/>
      <c r="S499" s="4083"/>
      <c r="T499" s="4083"/>
      <c r="U499" s="3645"/>
      <c r="V499" s="3649" t="s">
        <v>3703</v>
      </c>
      <c r="W499" s="3649"/>
      <c r="X499" s="3657" t="s">
        <v>4124</v>
      </c>
      <c r="Y499" s="3657" t="s">
        <v>4327</v>
      </c>
      <c r="Z499" s="3664"/>
      <c r="AA499" s="3620" t="s">
        <v>4328</v>
      </c>
      <c r="AB499" s="4084" t="s">
        <v>3076</v>
      </c>
      <c r="AC499" s="4087">
        <v>531.79</v>
      </c>
      <c r="AD499" s="3691">
        <f t="shared" si="221"/>
        <v>2658.95</v>
      </c>
      <c r="AE499" s="3645" t="s">
        <v>4382</v>
      </c>
      <c r="AF499" s="3664" t="s">
        <v>3078</v>
      </c>
      <c r="AG499" s="3645" t="s">
        <v>416</v>
      </c>
      <c r="AH499" s="984"/>
      <c r="AI499" s="3691"/>
      <c r="AJ499" s="3691">
        <f t="shared" si="222"/>
        <v>1920</v>
      </c>
      <c r="AK499" s="875"/>
      <c r="AL499" s="3664"/>
      <c r="AM499" s="3664"/>
      <c r="AN499" s="3691"/>
      <c r="AO499" s="3691">
        <f t="shared" si="223"/>
        <v>1920</v>
      </c>
      <c r="AP499" s="3691"/>
      <c r="AQ499" s="4089"/>
      <c r="AR499" s="878"/>
      <c r="AS499" s="4089">
        <f t="shared" si="220"/>
        <v>1920</v>
      </c>
      <c r="AT499" s="878"/>
      <c r="AU499" s="4089"/>
      <c r="AV499" s="4089"/>
      <c r="AW499" s="4089"/>
      <c r="AX499" s="4089"/>
      <c r="AY499" s="4089"/>
      <c r="AZ499" s="4089"/>
      <c r="BA499" s="4089"/>
      <c r="BB499" s="4089">
        <f t="shared" si="224"/>
        <v>960</v>
      </c>
      <c r="BC499" s="4089"/>
      <c r="BD499" s="4089"/>
      <c r="BE499" s="4089"/>
      <c r="BF499" s="4089" t="s">
        <v>682</v>
      </c>
      <c r="BG499" s="4089"/>
      <c r="BH499" s="4089">
        <f t="shared" si="214"/>
        <v>320</v>
      </c>
      <c r="BI499" s="4089">
        <f t="shared" si="215"/>
        <v>320</v>
      </c>
      <c r="BJ499" s="4089">
        <f t="shared" si="216"/>
        <v>320</v>
      </c>
      <c r="BK499" s="4089">
        <f t="shared" si="217"/>
        <v>320</v>
      </c>
      <c r="BL499" s="4089">
        <f t="shared" si="218"/>
        <v>320</v>
      </c>
      <c r="BM499" s="4089">
        <f t="shared" si="219"/>
        <v>256</v>
      </c>
      <c r="BN499" s="4089">
        <f t="shared" si="212"/>
        <v>64</v>
      </c>
      <c r="BO499" s="877"/>
      <c r="BP499" s="877"/>
      <c r="BQ499" s="877"/>
      <c r="BR499" s="877"/>
      <c r="BS499" s="877"/>
      <c r="BT499" s="991"/>
      <c r="BU499" s="992"/>
      <c r="BV499" s="4385">
        <f t="shared" si="225"/>
        <v>1920</v>
      </c>
      <c r="BW499" s="4386">
        <f t="shared" si="203"/>
        <v>0</v>
      </c>
      <c r="BX499" s="4387"/>
      <c r="BY499" s="4387"/>
      <c r="BZ499" s="4387"/>
      <c r="CA499" s="4391"/>
      <c r="CC499" s="4392">
        <v>45859</v>
      </c>
      <c r="CD499" s="4391" t="s">
        <v>4364</v>
      </c>
    </row>
    <row r="500" s="4025" customFormat="1" ht="50" customHeight="1" spans="1:82">
      <c r="A500" s="3675">
        <v>45789</v>
      </c>
      <c r="B500" s="3862" t="s">
        <v>737</v>
      </c>
      <c r="C500" s="3863" t="s">
        <v>738</v>
      </c>
      <c r="D500" s="3864">
        <v>4500165982</v>
      </c>
      <c r="E500" s="959">
        <v>61971743</v>
      </c>
      <c r="F500" s="3676" t="s">
        <v>4383</v>
      </c>
      <c r="G500" s="3677" t="s">
        <v>2577</v>
      </c>
      <c r="H500" s="3691" t="s">
        <v>2578</v>
      </c>
      <c r="I500" s="3691">
        <v>708</v>
      </c>
      <c r="J500" s="3691">
        <v>0</v>
      </c>
      <c r="K500" s="3691">
        <v>12</v>
      </c>
      <c r="L500" s="3691">
        <f t="shared" si="213"/>
        <v>59</v>
      </c>
      <c r="M500" s="3619">
        <v>45863</v>
      </c>
      <c r="N500" s="3659">
        <v>45863</v>
      </c>
      <c r="O500" s="4085"/>
      <c r="P500" s="3682" t="s">
        <v>82</v>
      </c>
      <c r="Q500" s="3682"/>
      <c r="R500" s="4083"/>
      <c r="S500" s="4083"/>
      <c r="T500" s="4083"/>
      <c r="U500" s="3645" t="s">
        <v>4358</v>
      </c>
      <c r="V500" s="3649" t="s">
        <v>1628</v>
      </c>
      <c r="W500" s="3649"/>
      <c r="X500" s="3657" t="s">
        <v>4359</v>
      </c>
      <c r="Y500" s="3657"/>
      <c r="Z500" s="3691"/>
      <c r="AA500" s="3620" t="s">
        <v>4384</v>
      </c>
      <c r="AB500" s="3678" t="s">
        <v>3805</v>
      </c>
      <c r="AC500" s="4087">
        <v>2.1438</v>
      </c>
      <c r="AD500" s="4402">
        <f>AC500*I500</f>
        <v>1517.8104</v>
      </c>
      <c r="AE500" s="3645"/>
      <c r="AF500" s="3664" t="s">
        <v>2604</v>
      </c>
      <c r="AG500" s="3645" t="s">
        <v>416</v>
      </c>
      <c r="AH500" s="4448"/>
      <c r="AI500" s="3691"/>
      <c r="AJ500" s="3691"/>
      <c r="AK500" s="3664"/>
      <c r="AL500" s="3664"/>
      <c r="AM500" s="3664">
        <f>I500</f>
        <v>708</v>
      </c>
      <c r="AN500" s="3691"/>
      <c r="AO500" s="3691"/>
      <c r="AP500" s="3691">
        <f>I500</f>
        <v>708</v>
      </c>
      <c r="AQ500" s="4089"/>
      <c r="AR500" s="4089"/>
      <c r="AS500" s="4089">
        <f t="shared" si="220"/>
        <v>708</v>
      </c>
      <c r="AT500" s="4089"/>
      <c r="AU500" s="4089"/>
      <c r="AV500" s="4089">
        <f>I500/6</f>
        <v>118</v>
      </c>
      <c r="AW500" s="4089"/>
      <c r="AX500" s="4089"/>
      <c r="AY500" s="4089"/>
      <c r="AZ500" s="4089"/>
      <c r="BA500" s="4089"/>
      <c r="BB500" s="4089"/>
      <c r="BC500" s="4089"/>
      <c r="BD500" s="4089"/>
      <c r="BE500" s="4089"/>
      <c r="BF500" s="4089" t="s">
        <v>89</v>
      </c>
      <c r="BG500" s="4089"/>
      <c r="BH500" s="4089">
        <f t="shared" si="214"/>
        <v>118</v>
      </c>
      <c r="BI500" s="4089">
        <f t="shared" si="215"/>
        <v>118</v>
      </c>
      <c r="BJ500" s="4089">
        <f t="shared" si="216"/>
        <v>118</v>
      </c>
      <c r="BK500" s="4089">
        <f t="shared" si="217"/>
        <v>118</v>
      </c>
      <c r="BL500" s="4089">
        <f t="shared" si="218"/>
        <v>118</v>
      </c>
      <c r="BM500" s="4089">
        <f t="shared" si="219"/>
        <v>94.4</v>
      </c>
      <c r="BN500" s="4089">
        <f t="shared" si="212"/>
        <v>23.6</v>
      </c>
      <c r="BO500" s="4411"/>
      <c r="BP500" s="4411"/>
      <c r="BQ500" s="4411"/>
      <c r="BR500" s="4411"/>
      <c r="BS500" s="4411"/>
      <c r="BT500" s="4453"/>
      <c r="BU500" s="4454"/>
      <c r="BV500" s="4385">
        <f t="shared" si="225"/>
        <v>708</v>
      </c>
      <c r="BW500" s="4386">
        <f t="shared" si="203"/>
        <v>0</v>
      </c>
      <c r="BX500" s="4387"/>
      <c r="BY500" s="4387"/>
      <c r="BZ500" s="4387"/>
      <c r="CA500" s="4391" t="str">
        <f>VLOOKUP(D500&amp;G500&amp;H500&amp;I500,'9298 版本变更明细'!C:AJ,34,FALSE)</f>
        <v>C版本收缩膜+指南+A版本口水胶+C版本配件包（香味贴纸/指定配件）</v>
      </c>
      <c r="CC500" s="4392" t="s">
        <v>4385</v>
      </c>
      <c r="CD500" s="4391" t="s">
        <v>4386</v>
      </c>
    </row>
    <row r="501" s="4025" customFormat="1" ht="50" customHeight="1" spans="1:82">
      <c r="A501" s="3688">
        <v>45808</v>
      </c>
      <c r="B501" s="959" t="s">
        <v>340</v>
      </c>
      <c r="C501" s="959" t="s">
        <v>341</v>
      </c>
      <c r="D501" s="3618">
        <v>4500164564</v>
      </c>
      <c r="E501" s="959" t="s">
        <v>4387</v>
      </c>
      <c r="F501" s="3618" t="s">
        <v>4388</v>
      </c>
      <c r="G501" s="959" t="s">
        <v>3343</v>
      </c>
      <c r="H501" s="3664" t="s">
        <v>3344</v>
      </c>
      <c r="I501" s="3618">
        <v>2701</v>
      </c>
      <c r="J501" s="3618">
        <v>0</v>
      </c>
      <c r="K501" s="3618">
        <v>1</v>
      </c>
      <c r="L501" s="3618">
        <f t="shared" si="213"/>
        <v>2701</v>
      </c>
      <c r="M501" s="3619">
        <v>45863</v>
      </c>
      <c r="N501" s="3619">
        <v>45863</v>
      </c>
      <c r="O501" s="4085"/>
      <c r="P501" s="3682" t="s">
        <v>82</v>
      </c>
      <c r="Q501" s="3682"/>
      <c r="R501" s="4083"/>
      <c r="S501" s="4083"/>
      <c r="T501" s="4083"/>
      <c r="U501" s="3620" t="s">
        <v>220</v>
      </c>
      <c r="V501" s="3649" t="s">
        <v>4389</v>
      </c>
      <c r="W501" s="3649"/>
      <c r="X501" s="3657" t="s">
        <v>4390</v>
      </c>
      <c r="Y501" s="3657"/>
      <c r="Z501" s="3664"/>
      <c r="AA501" s="3620" t="s">
        <v>4391</v>
      </c>
      <c r="AB501" s="3618" t="s">
        <v>4392</v>
      </c>
      <c r="AC501" s="4058">
        <v>8.8357</v>
      </c>
      <c r="AD501" s="3618">
        <f>AC501*I501</f>
        <v>23865.2257</v>
      </c>
      <c r="AE501" s="3645"/>
      <c r="AF501" s="3664" t="s">
        <v>3349</v>
      </c>
      <c r="AG501" s="3645" t="s">
        <v>416</v>
      </c>
      <c r="AH501" s="4430"/>
      <c r="AI501" s="3691"/>
      <c r="AJ501" s="3691">
        <f>I501</f>
        <v>2701</v>
      </c>
      <c r="AK501" s="3708"/>
      <c r="AL501" s="3664"/>
      <c r="AM501" s="3664"/>
      <c r="AN501" s="3691"/>
      <c r="AO501" s="3691"/>
      <c r="AP501" s="3691">
        <f>I501</f>
        <v>2701</v>
      </c>
      <c r="AQ501" s="4089"/>
      <c r="AR501" s="1048"/>
      <c r="AS501" s="4089">
        <f t="shared" si="220"/>
        <v>2701</v>
      </c>
      <c r="AT501" s="1048"/>
      <c r="AU501" s="4089"/>
      <c r="AV501" s="4089"/>
      <c r="AW501" s="4089"/>
      <c r="AX501" s="4089"/>
      <c r="AY501" s="4089"/>
      <c r="AZ501" s="4089"/>
      <c r="BA501" s="4089"/>
      <c r="BB501" s="4089"/>
      <c r="BC501" s="4089">
        <f>I501</f>
        <v>2701</v>
      </c>
      <c r="BD501" s="4089"/>
      <c r="BE501" s="4089"/>
      <c r="BF501" s="4089" t="s">
        <v>89</v>
      </c>
      <c r="BG501" s="4089"/>
      <c r="BH501" s="4089">
        <f t="shared" si="214"/>
        <v>450.166666666667</v>
      </c>
      <c r="BI501" s="4089">
        <f t="shared" si="215"/>
        <v>450.166666666667</v>
      </c>
      <c r="BJ501" s="4089">
        <f t="shared" si="216"/>
        <v>450.166666666667</v>
      </c>
      <c r="BK501" s="4089">
        <f t="shared" si="217"/>
        <v>450.166666666667</v>
      </c>
      <c r="BL501" s="4089">
        <f t="shared" si="218"/>
        <v>450.166666666667</v>
      </c>
      <c r="BM501" s="4089">
        <f t="shared" si="219"/>
        <v>360.133333333333</v>
      </c>
      <c r="BN501" s="4089">
        <f t="shared" si="212"/>
        <v>90.0333333333333</v>
      </c>
      <c r="BO501" s="4413"/>
      <c r="BP501" s="4413"/>
      <c r="BQ501" s="4413"/>
      <c r="BR501" s="4413"/>
      <c r="BS501" s="4413"/>
      <c r="BT501" s="4431"/>
      <c r="BU501" s="4432"/>
      <c r="BV501" s="4385">
        <f t="shared" si="225"/>
        <v>2701</v>
      </c>
      <c r="BW501" s="4386">
        <f t="shared" si="203"/>
        <v>0</v>
      </c>
      <c r="BX501" s="4387"/>
      <c r="BY501" s="4387"/>
      <c r="BZ501" s="4387"/>
      <c r="CA501" s="4391" t="str">
        <f>VLOOKUP(D501&amp;G501&amp;H501&amp;I501,'9298 版本变更明细'!C:AJ,34,FALSE)</f>
        <v>全套新包装</v>
      </c>
      <c r="CC501" s="4392" t="s">
        <v>4036</v>
      </c>
      <c r="CD501" s="4391" t="s">
        <v>4364</v>
      </c>
    </row>
    <row r="502" s="4025" customFormat="1" ht="50" customHeight="1" spans="1:82">
      <c r="A502" s="4429">
        <v>45808</v>
      </c>
      <c r="B502" s="3617" t="s">
        <v>340</v>
      </c>
      <c r="C502" s="3617" t="s">
        <v>341</v>
      </c>
      <c r="D502" s="3618">
        <v>4500164564</v>
      </c>
      <c r="E502" s="959" t="s">
        <v>4393</v>
      </c>
      <c r="F502" s="3618" t="s">
        <v>4394</v>
      </c>
      <c r="G502" s="959" t="s">
        <v>3343</v>
      </c>
      <c r="H502" s="3664" t="s">
        <v>3344</v>
      </c>
      <c r="I502" s="3618">
        <v>1299</v>
      </c>
      <c r="J502" s="3618">
        <v>0</v>
      </c>
      <c r="K502" s="3618">
        <v>1</v>
      </c>
      <c r="L502" s="3618">
        <f t="shared" si="213"/>
        <v>1299</v>
      </c>
      <c r="M502" s="3619">
        <v>45863</v>
      </c>
      <c r="N502" s="3619">
        <v>45863</v>
      </c>
      <c r="O502" s="4085"/>
      <c r="P502" s="4481" t="s">
        <v>82</v>
      </c>
      <c r="Q502" s="4481"/>
      <c r="R502" s="4482"/>
      <c r="S502" s="4482"/>
      <c r="T502" s="4482"/>
      <c r="U502" s="3620" t="s">
        <v>220</v>
      </c>
      <c r="V502" s="3649" t="s">
        <v>4389</v>
      </c>
      <c r="W502" s="3649"/>
      <c r="X502" s="3657" t="s">
        <v>4390</v>
      </c>
      <c r="Y502" s="3657"/>
      <c r="Z502" s="3664"/>
      <c r="AA502" s="3620" t="s">
        <v>4391</v>
      </c>
      <c r="AB502" s="3624" t="s">
        <v>4392</v>
      </c>
      <c r="AC502" s="4058">
        <v>8.9518</v>
      </c>
      <c r="AD502" s="3618">
        <f>AC502*I502</f>
        <v>11628.3882</v>
      </c>
      <c r="AE502" s="3645"/>
      <c r="AF502" s="4483" t="s">
        <v>3349</v>
      </c>
      <c r="AG502" s="3645" t="s">
        <v>416</v>
      </c>
      <c r="AH502" s="4430"/>
      <c r="AI502" s="3691"/>
      <c r="AJ502" s="3691">
        <f>I502</f>
        <v>1299</v>
      </c>
      <c r="AK502" s="3708"/>
      <c r="AL502" s="3664"/>
      <c r="AM502" s="3664"/>
      <c r="AN502" s="3691"/>
      <c r="AO502" s="3691"/>
      <c r="AP502" s="3691">
        <f>I502</f>
        <v>1299</v>
      </c>
      <c r="AQ502" s="4089"/>
      <c r="AR502" s="1048"/>
      <c r="AS502" s="4089">
        <f t="shared" si="220"/>
        <v>1299</v>
      </c>
      <c r="AT502" s="1048"/>
      <c r="AU502" s="4089"/>
      <c r="AV502" s="4089"/>
      <c r="AW502" s="4089"/>
      <c r="AX502" s="4089"/>
      <c r="AY502" s="4089"/>
      <c r="AZ502" s="4089"/>
      <c r="BA502" s="4089"/>
      <c r="BB502" s="4089"/>
      <c r="BC502" s="4089">
        <f>I502</f>
        <v>1299</v>
      </c>
      <c r="BD502" s="4089"/>
      <c r="BE502" s="4089"/>
      <c r="BF502" s="4089" t="s">
        <v>89</v>
      </c>
      <c r="BG502" s="4089"/>
      <c r="BH502" s="4089">
        <f t="shared" si="214"/>
        <v>216.5</v>
      </c>
      <c r="BI502" s="4089">
        <f t="shared" si="215"/>
        <v>216.5</v>
      </c>
      <c r="BJ502" s="4089">
        <f t="shared" si="216"/>
        <v>216.5</v>
      </c>
      <c r="BK502" s="4089">
        <f t="shared" si="217"/>
        <v>216.5</v>
      </c>
      <c r="BL502" s="4089">
        <f t="shared" si="218"/>
        <v>216.5</v>
      </c>
      <c r="BM502" s="4089">
        <f t="shared" si="219"/>
        <v>173.2</v>
      </c>
      <c r="BN502" s="4089">
        <f t="shared" si="212"/>
        <v>43.3</v>
      </c>
      <c r="BO502" s="4413"/>
      <c r="BP502" s="4413"/>
      <c r="BQ502" s="4413"/>
      <c r="BR502" s="4413"/>
      <c r="BS502" s="4413"/>
      <c r="BT502" s="4431"/>
      <c r="BU502" s="4432"/>
      <c r="BV502" s="4385">
        <f t="shared" si="225"/>
        <v>1299</v>
      </c>
      <c r="BW502" s="4386">
        <f t="shared" si="203"/>
        <v>0</v>
      </c>
      <c r="BX502" s="4387"/>
      <c r="BY502" s="4387"/>
      <c r="BZ502" s="4387"/>
      <c r="CA502" s="4391" t="str">
        <f>VLOOKUP(D502&amp;G502&amp;H502&amp;I502,'9298 版本变更明细'!C:AJ,34,FALSE)</f>
        <v>全套新包装</v>
      </c>
      <c r="CC502" s="4392" t="s">
        <v>4036</v>
      </c>
      <c r="CD502" s="4391" t="s">
        <v>4364</v>
      </c>
    </row>
    <row r="503" s="4025" customFormat="1" ht="50" customHeight="1" spans="1:82">
      <c r="A503" s="4428">
        <v>45818</v>
      </c>
      <c r="B503" s="959" t="s">
        <v>4395</v>
      </c>
      <c r="C503" s="959" t="s">
        <v>524</v>
      </c>
      <c r="D503" s="3618">
        <v>4500169604</v>
      </c>
      <c r="E503" s="959"/>
      <c r="F503" s="3618" t="s">
        <v>4396</v>
      </c>
      <c r="G503" s="959" t="s">
        <v>2577</v>
      </c>
      <c r="H503" s="3664" t="s">
        <v>2578</v>
      </c>
      <c r="I503" s="3691">
        <v>600</v>
      </c>
      <c r="J503" s="3691">
        <v>0</v>
      </c>
      <c r="K503" s="3691">
        <v>12</v>
      </c>
      <c r="L503" s="3691">
        <f t="shared" si="213"/>
        <v>50</v>
      </c>
      <c r="M503" s="3619">
        <v>45863</v>
      </c>
      <c r="N503" s="3619">
        <v>45870</v>
      </c>
      <c r="O503" s="4085"/>
      <c r="P503" s="3682" t="s">
        <v>82</v>
      </c>
      <c r="Q503" s="3682"/>
      <c r="R503" s="4083"/>
      <c r="S503" s="4083"/>
      <c r="T503" s="4083"/>
      <c r="U503" s="3645" t="s">
        <v>211</v>
      </c>
      <c r="V503" s="3649" t="s">
        <v>4397</v>
      </c>
      <c r="W503" s="3657"/>
      <c r="X503" s="3657" t="s">
        <v>98</v>
      </c>
      <c r="Y503" s="3657"/>
      <c r="Z503" s="3664"/>
      <c r="AA503" s="3620" t="s">
        <v>4398</v>
      </c>
      <c r="AB503" s="3618" t="s">
        <v>459</v>
      </c>
      <c r="AC503" s="3691">
        <v>2.0933</v>
      </c>
      <c r="AD503" s="3691">
        <f>AC503*I503</f>
        <v>1255.98</v>
      </c>
      <c r="AE503" s="3645"/>
      <c r="AF503" s="3664" t="s">
        <v>2604</v>
      </c>
      <c r="AG503" s="3645" t="s">
        <v>416</v>
      </c>
      <c r="AH503" s="4448"/>
      <c r="AI503" s="3691"/>
      <c r="AJ503" s="3691"/>
      <c r="AK503" s="3664"/>
      <c r="AL503" s="3664"/>
      <c r="AM503" s="3664">
        <f>I503</f>
        <v>600</v>
      </c>
      <c r="AN503" s="3691"/>
      <c r="AO503" s="3691"/>
      <c r="AP503" s="3691">
        <f>I503</f>
        <v>600</v>
      </c>
      <c r="AQ503" s="4089"/>
      <c r="AR503" s="4089"/>
      <c r="AS503" s="4089">
        <f t="shared" si="220"/>
        <v>600</v>
      </c>
      <c r="AT503" s="4089"/>
      <c r="AU503" s="4089"/>
      <c r="AV503" s="4089">
        <f>I503/6</f>
        <v>100</v>
      </c>
      <c r="AW503" s="4089"/>
      <c r="AX503" s="4089"/>
      <c r="AY503" s="4089"/>
      <c r="AZ503" s="4089"/>
      <c r="BA503" s="4089"/>
      <c r="BB503" s="4089"/>
      <c r="BC503" s="4089"/>
      <c r="BD503" s="4089"/>
      <c r="BE503" s="4089"/>
      <c r="BF503" s="4089" t="s">
        <v>89</v>
      </c>
      <c r="BG503" s="4089"/>
      <c r="BH503" s="4089">
        <f t="shared" si="214"/>
        <v>100</v>
      </c>
      <c r="BI503" s="4089">
        <f t="shared" si="215"/>
        <v>100</v>
      </c>
      <c r="BJ503" s="4089">
        <f t="shared" si="216"/>
        <v>100</v>
      </c>
      <c r="BK503" s="4089">
        <f t="shared" si="217"/>
        <v>100</v>
      </c>
      <c r="BL503" s="4089">
        <f t="shared" si="218"/>
        <v>100</v>
      </c>
      <c r="BM503" s="4089">
        <f t="shared" si="219"/>
        <v>80</v>
      </c>
      <c r="BN503" s="4089">
        <f t="shared" si="212"/>
        <v>20</v>
      </c>
      <c r="BO503" s="4411"/>
      <c r="BP503" s="4411"/>
      <c r="BQ503" s="4411"/>
      <c r="BR503" s="4411"/>
      <c r="BS503" s="4411"/>
      <c r="BT503" s="4453"/>
      <c r="BU503" s="4454"/>
      <c r="BV503" s="4385">
        <f t="shared" si="225"/>
        <v>600</v>
      </c>
      <c r="BW503" s="4386">
        <f t="shared" si="203"/>
        <v>0</v>
      </c>
      <c r="BX503" s="4387"/>
      <c r="BY503" s="4387"/>
      <c r="BZ503" s="4387"/>
      <c r="CA503" s="4391" t="str">
        <f>VLOOKUP(D503&amp;G503&amp;H503&amp;I503,'9298 版本变更明细'!C:AJ,34,FALSE)</f>
        <v>全套新包装-除PDQ</v>
      </c>
      <c r="CB503" s="4312"/>
      <c r="CC503" s="4392">
        <v>45870</v>
      </c>
      <c r="CD503" s="4391" t="s">
        <v>4364</v>
      </c>
    </row>
    <row r="504" s="4025" customFormat="1" ht="50" customHeight="1" spans="1:82">
      <c r="A504" s="3688">
        <v>45750</v>
      </c>
      <c r="B504" s="3689" t="s">
        <v>1315</v>
      </c>
      <c r="C504" s="3664" t="s">
        <v>1316</v>
      </c>
      <c r="D504" s="3690">
        <v>4500162579</v>
      </c>
      <c r="E504" s="3664" t="s">
        <v>1632</v>
      </c>
      <c r="F504" s="3690" t="s">
        <v>1633</v>
      </c>
      <c r="G504" s="3664" t="s">
        <v>3821</v>
      </c>
      <c r="H504" s="3664" t="s">
        <v>1320</v>
      </c>
      <c r="I504" s="3691">
        <v>900</v>
      </c>
      <c r="J504" s="3691">
        <v>0</v>
      </c>
      <c r="K504" s="3691">
        <v>4</v>
      </c>
      <c r="L504" s="3691">
        <f t="shared" si="213"/>
        <v>225</v>
      </c>
      <c r="M504" s="3659">
        <v>45864</v>
      </c>
      <c r="N504" s="3659">
        <v>45872</v>
      </c>
      <c r="O504" s="4085"/>
      <c r="P504" s="3682" t="s">
        <v>82</v>
      </c>
      <c r="Q504" s="3682"/>
      <c r="R504" s="4083"/>
      <c r="S504" s="4083"/>
      <c r="T504" s="4083"/>
      <c r="U504" s="3645" t="s">
        <v>1483</v>
      </c>
      <c r="V504" s="3649" t="s">
        <v>1322</v>
      </c>
      <c r="W504" s="3657"/>
      <c r="X504" s="3657" t="s">
        <v>1907</v>
      </c>
      <c r="Y504" s="3657"/>
      <c r="Z504" s="3691" t="s">
        <v>1634</v>
      </c>
      <c r="AA504" s="3620" t="s">
        <v>1376</v>
      </c>
      <c r="AB504" s="3691" t="s">
        <v>1326</v>
      </c>
      <c r="AC504" s="3691">
        <v>16.9223</v>
      </c>
      <c r="AD504" s="3691">
        <f>AC504*L504</f>
        <v>3807.5175</v>
      </c>
      <c r="AE504" s="3645"/>
      <c r="AF504" s="3664" t="s">
        <v>3822</v>
      </c>
      <c r="AG504" s="3645" t="s">
        <v>416</v>
      </c>
      <c r="AH504" s="4430"/>
      <c r="AI504" s="3691"/>
      <c r="AJ504" s="3691"/>
      <c r="AK504" s="4430"/>
      <c r="AL504" s="3664"/>
      <c r="AM504" s="3664"/>
      <c r="AN504" s="3691">
        <f>I504</f>
        <v>900</v>
      </c>
      <c r="AO504" s="3691"/>
      <c r="AP504" s="3691"/>
      <c r="AQ504" s="4089">
        <f>I504</f>
        <v>900</v>
      </c>
      <c r="AR504" s="4413"/>
      <c r="AS504" s="4089">
        <f t="shared" si="220"/>
        <v>900</v>
      </c>
      <c r="AT504" s="4413"/>
      <c r="AU504" s="4089"/>
      <c r="AV504" s="4089"/>
      <c r="AW504" s="4089"/>
      <c r="AX504" s="4089"/>
      <c r="AY504" s="4089"/>
      <c r="AZ504" s="4089"/>
      <c r="BA504" s="4089"/>
      <c r="BB504" s="4089"/>
      <c r="BC504" s="4089">
        <f>I504/4</f>
        <v>225</v>
      </c>
      <c r="BD504" s="4089"/>
      <c r="BE504" s="4089"/>
      <c r="BF504" s="4089" t="s">
        <v>1327</v>
      </c>
      <c r="BG504" s="4089"/>
      <c r="BH504" s="4089">
        <f t="shared" si="214"/>
        <v>150</v>
      </c>
      <c r="BI504" s="4089">
        <f t="shared" si="215"/>
        <v>150</v>
      </c>
      <c r="BJ504" s="4089">
        <f t="shared" si="216"/>
        <v>150</v>
      </c>
      <c r="BK504" s="4089">
        <f t="shared" si="217"/>
        <v>150</v>
      </c>
      <c r="BL504" s="4089">
        <f t="shared" si="218"/>
        <v>150</v>
      </c>
      <c r="BM504" s="4089">
        <f t="shared" si="219"/>
        <v>120</v>
      </c>
      <c r="BN504" s="4089">
        <f t="shared" si="212"/>
        <v>30</v>
      </c>
      <c r="BO504" s="4413"/>
      <c r="BP504" s="4413"/>
      <c r="BQ504" s="4413"/>
      <c r="BR504" s="4413"/>
      <c r="BS504" s="4413"/>
      <c r="BT504" s="4431"/>
      <c r="BU504" s="4432"/>
      <c r="BV504" s="4385">
        <f t="shared" si="225"/>
        <v>900</v>
      </c>
      <c r="BW504" s="4386">
        <f t="shared" si="203"/>
        <v>0</v>
      </c>
      <c r="BX504" s="4387"/>
      <c r="BY504" s="4387"/>
      <c r="BZ504" s="4387"/>
      <c r="CA504" s="4391" t="str">
        <f>VLOOKUP(D504&amp;G504&amp;H504&amp;I504,'9298 版本变更明细'!C:AJ,34,FALSE)</f>
        <v>B版本口水胶+C版本配件包（香味贴纸/指定配件）</v>
      </c>
      <c r="CC504" s="4392">
        <v>45872</v>
      </c>
      <c r="CD504" s="4391" t="s">
        <v>4399</v>
      </c>
    </row>
    <row r="505" s="4025" customFormat="1" ht="50" customHeight="1" spans="1:82">
      <c r="A505" s="3688">
        <v>45817</v>
      </c>
      <c r="B505" s="3689" t="s">
        <v>980</v>
      </c>
      <c r="C505" s="3664" t="s">
        <v>351</v>
      </c>
      <c r="D505" s="3690">
        <v>4500169355</v>
      </c>
      <c r="E505" s="5456" t="s">
        <v>1563</v>
      </c>
      <c r="F505" s="3690" t="s">
        <v>4400</v>
      </c>
      <c r="G505" s="3664" t="s">
        <v>2627</v>
      </c>
      <c r="H505" s="3691" t="s">
        <v>2591</v>
      </c>
      <c r="I505" s="3691">
        <v>1776</v>
      </c>
      <c r="J505" s="3691">
        <v>0</v>
      </c>
      <c r="K505" s="3691">
        <v>24</v>
      </c>
      <c r="L505" s="3691">
        <f t="shared" si="213"/>
        <v>74</v>
      </c>
      <c r="M505" s="3659">
        <v>45866</v>
      </c>
      <c r="N505" s="3659">
        <v>45862</v>
      </c>
      <c r="O505" s="3682"/>
      <c r="P505" s="3682" t="s">
        <v>82</v>
      </c>
      <c r="Q505" s="3682"/>
      <c r="R505" s="4083"/>
      <c r="S505" s="4083"/>
      <c r="T505" s="4083"/>
      <c r="U505" s="3645" t="s">
        <v>1565</v>
      </c>
      <c r="V505" s="3649" t="s">
        <v>1566</v>
      </c>
      <c r="W505" s="3657"/>
      <c r="X505" s="3657" t="s">
        <v>1567</v>
      </c>
      <c r="Y505" s="3657"/>
      <c r="Z505" s="3661"/>
      <c r="AA505" s="3620" t="s">
        <v>4401</v>
      </c>
      <c r="AB505" s="3691" t="s">
        <v>1199</v>
      </c>
      <c r="AC505" s="3691">
        <v>2.084</v>
      </c>
      <c r="AD505" s="3691">
        <f>AC505*I505</f>
        <v>3701.184</v>
      </c>
      <c r="AE505" s="3645"/>
      <c r="AF505" s="3664" t="s">
        <v>2627</v>
      </c>
      <c r="AG505" s="3645" t="s">
        <v>416</v>
      </c>
      <c r="AH505" s="4448"/>
      <c r="AI505" s="3691"/>
      <c r="AJ505" s="3691">
        <f>I505</f>
        <v>1776</v>
      </c>
      <c r="AK505" s="3664"/>
      <c r="AL505" s="3664"/>
      <c r="AM505" s="3664"/>
      <c r="AN505" s="3691"/>
      <c r="AO505" s="3691"/>
      <c r="AP505" s="3691">
        <f>I505</f>
        <v>1776</v>
      </c>
      <c r="AQ505" s="4089"/>
      <c r="AR505" s="4089"/>
      <c r="AS505" s="4089">
        <f t="shared" si="220"/>
        <v>1776</v>
      </c>
      <c r="AT505" s="4089"/>
      <c r="AU505" s="4089"/>
      <c r="AV505" s="4089"/>
      <c r="AW505" s="4089"/>
      <c r="AX505" s="4089"/>
      <c r="AY505" s="4089"/>
      <c r="AZ505" s="4089"/>
      <c r="BA505" s="4089"/>
      <c r="BB505" s="4089"/>
      <c r="BC505" s="4089"/>
      <c r="BD505" s="4089"/>
      <c r="BE505" s="4089"/>
      <c r="BF505" s="4089" t="s">
        <v>89</v>
      </c>
      <c r="BG505" s="4089"/>
      <c r="BH505" s="4089">
        <f t="shared" si="214"/>
        <v>296</v>
      </c>
      <c r="BI505" s="4089">
        <f t="shared" si="215"/>
        <v>296</v>
      </c>
      <c r="BJ505" s="4089">
        <f t="shared" si="216"/>
        <v>296</v>
      </c>
      <c r="BK505" s="4089">
        <f t="shared" si="217"/>
        <v>296</v>
      </c>
      <c r="BL505" s="4089">
        <f t="shared" si="218"/>
        <v>296</v>
      </c>
      <c r="BM505" s="4089">
        <f t="shared" si="219"/>
        <v>236.8</v>
      </c>
      <c r="BN505" s="4089">
        <f t="shared" si="212"/>
        <v>59.2</v>
      </c>
      <c r="BO505" s="4411"/>
      <c r="BP505" s="4411"/>
      <c r="BQ505" s="4411"/>
      <c r="BR505" s="4411"/>
      <c r="BS505" s="4411"/>
      <c r="BT505" s="4453"/>
      <c r="BU505" s="4454"/>
      <c r="BV505" s="4385">
        <f t="shared" si="225"/>
        <v>1776</v>
      </c>
      <c r="BW505" s="4386">
        <f t="shared" si="203"/>
        <v>0</v>
      </c>
      <c r="BX505" s="4387"/>
      <c r="BY505" s="4387"/>
      <c r="BZ505" s="4387"/>
      <c r="CA505" s="4391" t="str">
        <f>VLOOKUP(D505&amp;G505&amp;H505&amp;I505,'9298 版本变更明细'!C:AJ,34,FALSE)</f>
        <v>C版本收缩膜+B版本指南+A版本口水胶+C版本配件包（香味贴纸/指定配件）</v>
      </c>
      <c r="CC505" s="4392">
        <v>45868</v>
      </c>
      <c r="CD505" s="4391" t="s">
        <v>4165</v>
      </c>
    </row>
    <row r="506" s="4025" customFormat="1" ht="50" customHeight="1" spans="1:82">
      <c r="A506" s="3688">
        <v>45821</v>
      </c>
      <c r="B506" s="3689" t="s">
        <v>839</v>
      </c>
      <c r="C506" s="3664" t="s">
        <v>840</v>
      </c>
      <c r="D506" s="3690">
        <v>4500169879</v>
      </c>
      <c r="E506" s="3664">
        <v>20922493</v>
      </c>
      <c r="F506" s="3690" t="s">
        <v>4402</v>
      </c>
      <c r="G506" s="3664" t="s">
        <v>2577</v>
      </c>
      <c r="H506" s="3664" t="s">
        <v>2578</v>
      </c>
      <c r="I506" s="3691">
        <v>72</v>
      </c>
      <c r="J506" s="3691">
        <v>0</v>
      </c>
      <c r="K506" s="3691">
        <v>12</v>
      </c>
      <c r="L506" s="3691">
        <f t="shared" si="213"/>
        <v>6</v>
      </c>
      <c r="M506" s="3659">
        <v>45866</v>
      </c>
      <c r="N506" s="3659">
        <v>45866</v>
      </c>
      <c r="O506" s="3664"/>
      <c r="P506" s="3682" t="s">
        <v>82</v>
      </c>
      <c r="Q506" s="3682"/>
      <c r="R506" s="4083"/>
      <c r="S506" s="4083"/>
      <c r="T506" s="4083"/>
      <c r="U506" s="3645" t="s">
        <v>4326</v>
      </c>
      <c r="V506" s="3649" t="s">
        <v>1479</v>
      </c>
      <c r="W506" s="3657"/>
      <c r="X506" s="3657" t="s">
        <v>4269</v>
      </c>
      <c r="Y506" s="3657" t="s">
        <v>1535</v>
      </c>
      <c r="Z506" s="4085"/>
      <c r="AA506" s="3620" t="s">
        <v>4403</v>
      </c>
      <c r="AB506" s="3691" t="s">
        <v>513</v>
      </c>
      <c r="AC506" s="3691">
        <v>2.2509</v>
      </c>
      <c r="AD506" s="3691">
        <f>AC506*I506</f>
        <v>162.0648</v>
      </c>
      <c r="AE506" s="3645"/>
      <c r="AF506" s="3664" t="s">
        <v>2577</v>
      </c>
      <c r="AG506" s="3645" t="s">
        <v>416</v>
      </c>
      <c r="AH506" s="4430"/>
      <c r="AI506" s="3691"/>
      <c r="AJ506" s="3691">
        <f>I506</f>
        <v>72</v>
      </c>
      <c r="AK506" s="3708"/>
      <c r="AL506" s="3664"/>
      <c r="AM506" s="3664"/>
      <c r="AN506" s="3691"/>
      <c r="AO506" s="3691"/>
      <c r="AP506" s="3691">
        <f>I506</f>
        <v>72</v>
      </c>
      <c r="AQ506" s="4089"/>
      <c r="AR506" s="1048"/>
      <c r="AS506" s="4089">
        <f t="shared" si="220"/>
        <v>72</v>
      </c>
      <c r="AT506" s="1048"/>
      <c r="AU506" s="4089"/>
      <c r="AV506" s="4089">
        <f>I506/6</f>
        <v>12</v>
      </c>
      <c r="AW506" s="4089"/>
      <c r="AX506" s="4089"/>
      <c r="AY506" s="4089"/>
      <c r="AZ506" s="4089"/>
      <c r="BA506" s="4089"/>
      <c r="BB506" s="4089"/>
      <c r="BC506" s="4089"/>
      <c r="BD506" s="4089"/>
      <c r="BE506" s="4089"/>
      <c r="BF506" s="4089" t="s">
        <v>89</v>
      </c>
      <c r="BG506" s="4089"/>
      <c r="BH506" s="4089">
        <f t="shared" si="214"/>
        <v>12</v>
      </c>
      <c r="BI506" s="4089">
        <f t="shared" si="215"/>
        <v>12</v>
      </c>
      <c r="BJ506" s="4089">
        <f t="shared" si="216"/>
        <v>12</v>
      </c>
      <c r="BK506" s="4089">
        <f t="shared" si="217"/>
        <v>12</v>
      </c>
      <c r="BL506" s="4089">
        <f t="shared" si="218"/>
        <v>12</v>
      </c>
      <c r="BM506" s="4089">
        <f t="shared" si="219"/>
        <v>9.6</v>
      </c>
      <c r="BN506" s="4089">
        <f t="shared" si="212"/>
        <v>2.4</v>
      </c>
      <c r="BO506" s="4413"/>
      <c r="BP506" s="4413"/>
      <c r="BQ506" s="4413"/>
      <c r="BR506" s="4413"/>
      <c r="BS506" s="4413"/>
      <c r="BT506" s="4431"/>
      <c r="BU506" s="4432"/>
      <c r="BV506" s="4385">
        <f t="shared" si="225"/>
        <v>72</v>
      </c>
      <c r="BW506" s="4386">
        <f t="shared" si="203"/>
        <v>0</v>
      </c>
      <c r="BX506" s="4387"/>
      <c r="BY506" s="4387"/>
      <c r="BZ506" s="4387"/>
      <c r="CA506" s="4391" t="str">
        <f>VLOOKUP(D506&amp;G506&amp;H506&amp;I506,'9298 版本变更明细'!C:AJ,34,FALSE)</f>
        <v>全套新包装-除PDQ</v>
      </c>
      <c r="CC506" s="4392" t="s">
        <v>4036</v>
      </c>
      <c r="CD506" s="4391" t="s">
        <v>4386</v>
      </c>
    </row>
    <row r="507" s="4025" customFormat="1" ht="50" customHeight="1" spans="1:82">
      <c r="A507" s="3688">
        <v>45821</v>
      </c>
      <c r="B507" s="3689" t="s">
        <v>505</v>
      </c>
      <c r="C507" s="3664" t="s">
        <v>506</v>
      </c>
      <c r="D507" s="3690">
        <v>4500169878</v>
      </c>
      <c r="E507" s="3664">
        <v>20922492</v>
      </c>
      <c r="F507" s="3690" t="s">
        <v>4404</v>
      </c>
      <c r="G507" s="3664" t="s">
        <v>2577</v>
      </c>
      <c r="H507" s="3664" t="s">
        <v>2578</v>
      </c>
      <c r="I507" s="3691">
        <v>1428</v>
      </c>
      <c r="J507" s="3691">
        <v>0</v>
      </c>
      <c r="K507" s="3691">
        <v>12</v>
      </c>
      <c r="L507" s="3691">
        <f t="shared" si="213"/>
        <v>119</v>
      </c>
      <c r="M507" s="3659">
        <v>45866</v>
      </c>
      <c r="N507" s="3659">
        <v>45866</v>
      </c>
      <c r="O507" s="3664"/>
      <c r="P507" s="3682" t="s">
        <v>82</v>
      </c>
      <c r="Q507" s="3682"/>
      <c r="R507" s="4083"/>
      <c r="S507" s="4083"/>
      <c r="T507" s="4083"/>
      <c r="U507" s="3645" t="s">
        <v>4326</v>
      </c>
      <c r="V507" s="3649" t="s">
        <v>1479</v>
      </c>
      <c r="W507" s="3657"/>
      <c r="X507" s="3657" t="s">
        <v>4273</v>
      </c>
      <c r="Y507" s="3657" t="s">
        <v>1535</v>
      </c>
      <c r="Z507" s="4085"/>
      <c r="AA507" s="3620" t="s">
        <v>4405</v>
      </c>
      <c r="AB507" s="3691" t="s">
        <v>513</v>
      </c>
      <c r="AC507" s="3691">
        <v>2.2463</v>
      </c>
      <c r="AD507" s="3691">
        <f>AC507*I507</f>
        <v>3207.7164</v>
      </c>
      <c r="AE507" s="3645"/>
      <c r="AF507" s="3664" t="s">
        <v>2577</v>
      </c>
      <c r="AG507" s="3645" t="s">
        <v>416</v>
      </c>
      <c r="AH507" s="4430"/>
      <c r="AI507" s="3691"/>
      <c r="AJ507" s="3691">
        <f>I507</f>
        <v>1428</v>
      </c>
      <c r="AK507" s="3708"/>
      <c r="AL507" s="3664"/>
      <c r="AM507" s="3664"/>
      <c r="AN507" s="3691"/>
      <c r="AO507" s="3691"/>
      <c r="AP507" s="3691">
        <f>I507</f>
        <v>1428</v>
      </c>
      <c r="AQ507" s="4089"/>
      <c r="AR507" s="1048"/>
      <c r="AS507" s="4089">
        <f t="shared" si="220"/>
        <v>1428</v>
      </c>
      <c r="AT507" s="1048"/>
      <c r="AU507" s="4089"/>
      <c r="AV507" s="4089">
        <f>I507/6</f>
        <v>238</v>
      </c>
      <c r="AW507" s="4089"/>
      <c r="AX507" s="4089"/>
      <c r="AY507" s="4089"/>
      <c r="AZ507" s="4089"/>
      <c r="BA507" s="4089"/>
      <c r="BB507" s="4089"/>
      <c r="BC507" s="4089"/>
      <c r="BD507" s="4089"/>
      <c r="BE507" s="4089"/>
      <c r="BF507" s="4089" t="s">
        <v>89</v>
      </c>
      <c r="BG507" s="4089"/>
      <c r="BH507" s="4089">
        <f t="shared" si="214"/>
        <v>238</v>
      </c>
      <c r="BI507" s="4089">
        <f t="shared" si="215"/>
        <v>238</v>
      </c>
      <c r="BJ507" s="4089">
        <f t="shared" si="216"/>
        <v>238</v>
      </c>
      <c r="BK507" s="4089">
        <f t="shared" si="217"/>
        <v>238</v>
      </c>
      <c r="BL507" s="4089">
        <f t="shared" si="218"/>
        <v>238</v>
      </c>
      <c r="BM507" s="4089">
        <f t="shared" si="219"/>
        <v>190.4</v>
      </c>
      <c r="BN507" s="4089">
        <f t="shared" si="212"/>
        <v>47.6</v>
      </c>
      <c r="BO507" s="4413"/>
      <c r="BP507" s="4413"/>
      <c r="BQ507" s="4413"/>
      <c r="BR507" s="4413"/>
      <c r="BS507" s="4413"/>
      <c r="BT507" s="4431"/>
      <c r="BU507" s="4432"/>
      <c r="BV507" s="4385">
        <f t="shared" si="225"/>
        <v>1428</v>
      </c>
      <c r="BW507" s="4386">
        <f t="shared" si="203"/>
        <v>0</v>
      </c>
      <c r="BX507" s="4387"/>
      <c r="BY507" s="4387"/>
      <c r="BZ507" s="4387"/>
      <c r="CA507" s="4391" t="str">
        <f>VLOOKUP(D507&amp;G507&amp;H507&amp;I507,'9298 版本变更明细'!C:AJ,34,FALSE)</f>
        <v>全套新包装-除PDQ</v>
      </c>
      <c r="CC507" s="4392" t="s">
        <v>4036</v>
      </c>
      <c r="CD507" s="4391" t="s">
        <v>4386</v>
      </c>
    </row>
    <row r="508" s="4025" customFormat="1" ht="50" customHeight="1" spans="1:82">
      <c r="A508" s="3688">
        <v>45789</v>
      </c>
      <c r="B508" s="3689" t="s">
        <v>3744</v>
      </c>
      <c r="C508" s="3664" t="s">
        <v>91</v>
      </c>
      <c r="D508" s="3690">
        <v>4500164072</v>
      </c>
      <c r="E508" s="3664" t="s">
        <v>4406</v>
      </c>
      <c r="F508" s="3690" t="s">
        <v>4407</v>
      </c>
      <c r="G508" s="3664" t="s">
        <v>2608</v>
      </c>
      <c r="H508" s="3664" t="s">
        <v>2609</v>
      </c>
      <c r="I508" s="3691">
        <v>33684</v>
      </c>
      <c r="J508" s="3691">
        <v>0</v>
      </c>
      <c r="K508" s="3691">
        <v>6</v>
      </c>
      <c r="L508" s="3691">
        <f t="shared" si="213"/>
        <v>5614</v>
      </c>
      <c r="M508" s="3659">
        <v>45866</v>
      </c>
      <c r="N508" s="3659">
        <v>45870</v>
      </c>
      <c r="O508" s="3664" t="s">
        <v>4408</v>
      </c>
      <c r="P508" s="4097" t="s">
        <v>82</v>
      </c>
      <c r="Q508" s="4097"/>
      <c r="R508" s="4226"/>
      <c r="S508" s="4226"/>
      <c r="T508" s="4226"/>
      <c r="U508" s="3645" t="s">
        <v>1675</v>
      </c>
      <c r="V508" s="3649" t="s">
        <v>4154</v>
      </c>
      <c r="W508" s="3657"/>
      <c r="X508" s="3657" t="s">
        <v>98</v>
      </c>
      <c r="Y508" s="3657"/>
      <c r="Z508" s="4085" t="s">
        <v>4156</v>
      </c>
      <c r="AA508" s="3620" t="s">
        <v>4409</v>
      </c>
      <c r="AB508" s="3691" t="s">
        <v>4158</v>
      </c>
      <c r="AC508" s="4087">
        <v>2.0308</v>
      </c>
      <c r="AD508" s="3691">
        <f>AC508*I508</f>
        <v>68405.4672</v>
      </c>
      <c r="AE508" s="3645" t="s">
        <v>4410</v>
      </c>
      <c r="AF508" s="3664" t="s">
        <v>2608</v>
      </c>
      <c r="AG508" s="3645" t="s">
        <v>416</v>
      </c>
      <c r="AH508" s="4430"/>
      <c r="AI508" s="3691"/>
      <c r="AJ508" s="3691"/>
      <c r="AK508" s="3708"/>
      <c r="AL508" s="3664"/>
      <c r="AM508" s="3664"/>
      <c r="AN508" s="3691">
        <f>I508</f>
        <v>33684</v>
      </c>
      <c r="AO508" s="3691">
        <f>I508</f>
        <v>33684</v>
      </c>
      <c r="AP508" s="3691"/>
      <c r="AQ508" s="4089"/>
      <c r="AR508" s="1048"/>
      <c r="AS508" s="4089">
        <f t="shared" si="220"/>
        <v>33684</v>
      </c>
      <c r="AT508" s="1048"/>
      <c r="AU508" s="4089"/>
      <c r="AV508" s="4089"/>
      <c r="AW508" s="4089"/>
      <c r="AX508" s="4089"/>
      <c r="AY508" s="4089"/>
      <c r="AZ508" s="4089"/>
      <c r="BA508" s="4089"/>
      <c r="BB508" s="4089"/>
      <c r="BC508" s="4089"/>
      <c r="BD508" s="4089"/>
      <c r="BE508" s="4089"/>
      <c r="BF508" s="4089" t="s">
        <v>89</v>
      </c>
      <c r="BG508" s="4089"/>
      <c r="BH508" s="4089">
        <f t="shared" si="214"/>
        <v>5614</v>
      </c>
      <c r="BI508" s="4089">
        <f t="shared" si="215"/>
        <v>5614</v>
      </c>
      <c r="BJ508" s="4089">
        <f t="shared" si="216"/>
        <v>5614</v>
      </c>
      <c r="BK508" s="4403">
        <f t="shared" si="217"/>
        <v>5614</v>
      </c>
      <c r="BL508" s="4385">
        <f t="shared" si="218"/>
        <v>5614</v>
      </c>
      <c r="BM508" s="4403">
        <f t="shared" si="219"/>
        <v>4491.2</v>
      </c>
      <c r="BN508" s="4089">
        <f t="shared" si="212"/>
        <v>1122.8</v>
      </c>
      <c r="BO508" s="4413"/>
      <c r="BP508" s="4413"/>
      <c r="BQ508" s="4413"/>
      <c r="BR508" s="4413"/>
      <c r="BS508" s="4413"/>
      <c r="BT508" s="4431"/>
      <c r="BU508" s="4432"/>
      <c r="BV508" s="4385">
        <f t="shared" si="225"/>
        <v>33684</v>
      </c>
      <c r="BW508" s="4386">
        <f t="shared" si="203"/>
        <v>0</v>
      </c>
      <c r="BX508" s="4387"/>
      <c r="BY508" s="4387"/>
      <c r="BZ508" s="4387"/>
      <c r="CA508" s="4391" t="str">
        <f>VLOOKUP(D508&amp;G508&amp;H508&amp;I508,'9298 版本变更明细'!C:AJ,34,FALSE)</f>
        <v>全套新包装</v>
      </c>
      <c r="CB508" s="4388" t="s">
        <v>4411</v>
      </c>
      <c r="CC508" s="4392">
        <v>45866</v>
      </c>
      <c r="CD508" s="4391" t="s">
        <v>4386</v>
      </c>
    </row>
    <row r="509" s="4025" customFormat="1" ht="50" customHeight="1" spans="1:82">
      <c r="A509" s="3688">
        <v>45750</v>
      </c>
      <c r="B509" s="3689" t="s">
        <v>1315</v>
      </c>
      <c r="C509" s="3664" t="s">
        <v>1316</v>
      </c>
      <c r="D509" s="3690">
        <v>4500162586</v>
      </c>
      <c r="E509" s="3664" t="s">
        <v>1635</v>
      </c>
      <c r="F509" s="3690" t="s">
        <v>1636</v>
      </c>
      <c r="G509" s="3664" t="s">
        <v>3821</v>
      </c>
      <c r="H509" s="3664" t="s">
        <v>1320</v>
      </c>
      <c r="I509" s="3691">
        <v>1348</v>
      </c>
      <c r="J509" s="3691">
        <v>0</v>
      </c>
      <c r="K509" s="3691">
        <v>4</v>
      </c>
      <c r="L509" s="3691">
        <f t="shared" si="213"/>
        <v>337</v>
      </c>
      <c r="M509" s="3659">
        <v>45866</v>
      </c>
      <c r="N509" s="3659">
        <v>45873</v>
      </c>
      <c r="O509" s="4085"/>
      <c r="P509" s="3645" t="s">
        <v>82</v>
      </c>
      <c r="Q509" s="3645"/>
      <c r="R509" s="4424"/>
      <c r="S509" s="4424"/>
      <c r="T509" s="4424"/>
      <c r="U509" s="3645" t="s">
        <v>1483</v>
      </c>
      <c r="V509" s="3649" t="s">
        <v>1322</v>
      </c>
      <c r="W509" s="3657"/>
      <c r="X509" s="3657" t="s">
        <v>1907</v>
      </c>
      <c r="Y509" s="3657"/>
      <c r="Z509" s="3691" t="s">
        <v>1637</v>
      </c>
      <c r="AA509" s="3620" t="s">
        <v>1376</v>
      </c>
      <c r="AB509" s="3691" t="s">
        <v>1326</v>
      </c>
      <c r="AC509" s="3691">
        <v>16.8855</v>
      </c>
      <c r="AD509" s="3691">
        <f>AC509*L509</f>
        <v>5690.4135</v>
      </c>
      <c r="AE509" s="3645"/>
      <c r="AF509" s="3664" t="s">
        <v>3822</v>
      </c>
      <c r="AG509" s="3645" t="s">
        <v>416</v>
      </c>
      <c r="AH509" s="4430"/>
      <c r="AI509" s="3691"/>
      <c r="AJ509" s="3691"/>
      <c r="AK509" s="4430"/>
      <c r="AL509" s="3664"/>
      <c r="AM509" s="3664"/>
      <c r="AN509" s="3691">
        <f>I509</f>
        <v>1348</v>
      </c>
      <c r="AO509" s="3691"/>
      <c r="AP509" s="3691"/>
      <c r="AQ509" s="4089">
        <f>I509</f>
        <v>1348</v>
      </c>
      <c r="AR509" s="4413"/>
      <c r="AS509" s="4089">
        <f t="shared" si="220"/>
        <v>1348</v>
      </c>
      <c r="AT509" s="4413"/>
      <c r="AU509" s="4089"/>
      <c r="AV509" s="4089"/>
      <c r="AW509" s="4089"/>
      <c r="AX509" s="4089"/>
      <c r="AY509" s="4089"/>
      <c r="AZ509" s="4089"/>
      <c r="BA509" s="4089"/>
      <c r="BB509" s="4089"/>
      <c r="BC509" s="4089">
        <f>I509/4</f>
        <v>337</v>
      </c>
      <c r="BD509" s="4089"/>
      <c r="BE509" s="4089"/>
      <c r="BF509" s="4089" t="s">
        <v>1327</v>
      </c>
      <c r="BG509" s="4089"/>
      <c r="BH509" s="4089">
        <f t="shared" si="214"/>
        <v>224.666666666667</v>
      </c>
      <c r="BI509" s="4089">
        <f t="shared" si="215"/>
        <v>224.666666666667</v>
      </c>
      <c r="BJ509" s="4089">
        <f t="shared" si="216"/>
        <v>224.666666666667</v>
      </c>
      <c r="BK509" s="4089">
        <f t="shared" si="217"/>
        <v>224.666666666667</v>
      </c>
      <c r="BL509" s="4089">
        <f t="shared" si="218"/>
        <v>224.666666666667</v>
      </c>
      <c r="BM509" s="4089">
        <f t="shared" si="219"/>
        <v>179.733333333333</v>
      </c>
      <c r="BN509" s="4089">
        <f t="shared" si="212"/>
        <v>44.9333333333333</v>
      </c>
      <c r="BO509" s="4413"/>
      <c r="BP509" s="4413"/>
      <c r="BQ509" s="4413"/>
      <c r="BR509" s="4413"/>
      <c r="BS509" s="4413"/>
      <c r="BT509" s="4431"/>
      <c r="BU509" s="4432"/>
      <c r="BV509" s="4385">
        <f t="shared" si="225"/>
        <v>1348</v>
      </c>
      <c r="BW509" s="4386">
        <f t="shared" si="203"/>
        <v>0</v>
      </c>
      <c r="BX509" s="4387"/>
      <c r="BY509" s="4387"/>
      <c r="BZ509" s="4387"/>
      <c r="CA509" s="4391" t="e">
        <f>VLOOKUP(D509&amp;G509&amp;H509&amp;I509,'9298 版本变更明细'!C:AJ,34,FALSE)</f>
        <v>#N/A</v>
      </c>
      <c r="CC509" s="4392">
        <v>45873</v>
      </c>
      <c r="CD509" s="4391" t="s">
        <v>4386</v>
      </c>
    </row>
    <row r="510" s="4025" customFormat="1" ht="50" customHeight="1" spans="1:82">
      <c r="A510" s="3688">
        <v>45750</v>
      </c>
      <c r="B510" s="3689" t="s">
        <v>1315</v>
      </c>
      <c r="C510" s="3664" t="s">
        <v>1316</v>
      </c>
      <c r="D510" s="3690">
        <v>4500162586</v>
      </c>
      <c r="E510" s="3664" t="s">
        <v>1638</v>
      </c>
      <c r="F510" s="3690" t="s">
        <v>1639</v>
      </c>
      <c r="G510" s="3664" t="s">
        <v>3821</v>
      </c>
      <c r="H510" s="3664" t="s">
        <v>1320</v>
      </c>
      <c r="I510" s="3691">
        <v>1912</v>
      </c>
      <c r="J510" s="3691">
        <v>0</v>
      </c>
      <c r="K510" s="3691">
        <v>4</v>
      </c>
      <c r="L510" s="3691">
        <f t="shared" si="213"/>
        <v>478</v>
      </c>
      <c r="M510" s="3659">
        <v>45866</v>
      </c>
      <c r="N510" s="3659">
        <v>45873</v>
      </c>
      <c r="O510" s="4085"/>
      <c r="P510" s="3645" t="s">
        <v>82</v>
      </c>
      <c r="Q510" s="3645"/>
      <c r="R510" s="4424"/>
      <c r="S510" s="4424"/>
      <c r="T510" s="4424"/>
      <c r="U510" s="3645" t="s">
        <v>1483</v>
      </c>
      <c r="V510" s="3649" t="s">
        <v>1322</v>
      </c>
      <c r="W510" s="3657"/>
      <c r="X510" s="3657" t="s">
        <v>1907</v>
      </c>
      <c r="Y510" s="3657"/>
      <c r="Z510" s="3691" t="s">
        <v>1640</v>
      </c>
      <c r="AA510" s="3620" t="s">
        <v>1376</v>
      </c>
      <c r="AB510" s="3691" t="s">
        <v>1326</v>
      </c>
      <c r="AC510" s="3691">
        <v>16.8314</v>
      </c>
      <c r="AD510" s="3691">
        <f>AC510*L510</f>
        <v>8045.4092</v>
      </c>
      <c r="AE510" s="3645"/>
      <c r="AF510" s="3664" t="s">
        <v>3822</v>
      </c>
      <c r="AG510" s="3645" t="s">
        <v>416</v>
      </c>
      <c r="AH510" s="4430"/>
      <c r="AI510" s="3691"/>
      <c r="AJ510" s="3691"/>
      <c r="AK510" s="4430"/>
      <c r="AL510" s="3664"/>
      <c r="AM510" s="3664"/>
      <c r="AN510" s="3691">
        <f>I510</f>
        <v>1912</v>
      </c>
      <c r="AO510" s="3691"/>
      <c r="AP510" s="3691"/>
      <c r="AQ510" s="4089">
        <f>I510</f>
        <v>1912</v>
      </c>
      <c r="AR510" s="4413"/>
      <c r="AS510" s="4089">
        <f t="shared" si="220"/>
        <v>1912</v>
      </c>
      <c r="AT510" s="4413"/>
      <c r="AU510" s="4089"/>
      <c r="AV510" s="4089"/>
      <c r="AW510" s="4089"/>
      <c r="AX510" s="4089"/>
      <c r="AY510" s="4089"/>
      <c r="AZ510" s="4089"/>
      <c r="BA510" s="4089"/>
      <c r="BB510" s="4089"/>
      <c r="BC510" s="4089">
        <f>I510/4</f>
        <v>478</v>
      </c>
      <c r="BD510" s="4089"/>
      <c r="BE510" s="4089"/>
      <c r="BF510" s="4089" t="s">
        <v>1327</v>
      </c>
      <c r="BG510" s="4089"/>
      <c r="BH510" s="4089">
        <f t="shared" si="214"/>
        <v>318.666666666667</v>
      </c>
      <c r="BI510" s="4089">
        <f t="shared" si="215"/>
        <v>318.666666666667</v>
      </c>
      <c r="BJ510" s="4089">
        <f t="shared" si="216"/>
        <v>318.666666666667</v>
      </c>
      <c r="BK510" s="4089">
        <f t="shared" si="217"/>
        <v>318.666666666667</v>
      </c>
      <c r="BL510" s="4089">
        <f t="shared" si="218"/>
        <v>318.666666666667</v>
      </c>
      <c r="BM510" s="4089">
        <f t="shared" si="219"/>
        <v>254.933333333333</v>
      </c>
      <c r="BN510" s="4089">
        <f t="shared" si="212"/>
        <v>63.7333333333333</v>
      </c>
      <c r="BO510" s="4413"/>
      <c r="BP510" s="4413"/>
      <c r="BQ510" s="4413"/>
      <c r="BR510" s="4413"/>
      <c r="BS510" s="4413"/>
      <c r="BT510" s="4431"/>
      <c r="BU510" s="4432"/>
      <c r="BV510" s="4385">
        <f t="shared" si="225"/>
        <v>1912</v>
      </c>
      <c r="BW510" s="4386">
        <f t="shared" si="203"/>
        <v>0</v>
      </c>
      <c r="BX510" s="4387"/>
      <c r="BY510" s="4387"/>
      <c r="BZ510" s="4387"/>
      <c r="CA510" s="4391" t="e">
        <f>VLOOKUP(D510&amp;G510&amp;H510&amp;I510,'9298 版本变更明细'!C:AJ,34,FALSE)</f>
        <v>#N/A</v>
      </c>
      <c r="CC510" s="4392">
        <v>45873</v>
      </c>
      <c r="CD510" s="4391" t="s">
        <v>4386</v>
      </c>
    </row>
    <row r="511" s="4025" customFormat="1" ht="50" customHeight="1" spans="1:82">
      <c r="A511" s="3688">
        <v>45834</v>
      </c>
      <c r="B511" s="3689" t="s">
        <v>1057</v>
      </c>
      <c r="C511" s="3664" t="s">
        <v>396</v>
      </c>
      <c r="D511" s="3690">
        <v>4500171335</v>
      </c>
      <c r="E511" s="3664" t="s">
        <v>1575</v>
      </c>
      <c r="F511" s="3690" t="s">
        <v>4412</v>
      </c>
      <c r="G511" s="3664" t="s">
        <v>2619</v>
      </c>
      <c r="H511" s="3664" t="s">
        <v>2620</v>
      </c>
      <c r="I511" s="3691">
        <v>1152</v>
      </c>
      <c r="J511" s="3691">
        <v>0</v>
      </c>
      <c r="K511" s="3691">
        <v>24</v>
      </c>
      <c r="L511" s="3691">
        <f t="shared" si="213"/>
        <v>48</v>
      </c>
      <c r="M511" s="3659">
        <v>45870</v>
      </c>
      <c r="N511" s="3659">
        <v>45871</v>
      </c>
      <c r="O511" s="3664"/>
      <c r="P511" s="3682" t="s">
        <v>82</v>
      </c>
      <c r="Q511" s="3682"/>
      <c r="R511" s="4083"/>
      <c r="S511" s="4083"/>
      <c r="T511" s="4083"/>
      <c r="U511" s="3645" t="s">
        <v>211</v>
      </c>
      <c r="V511" s="3649" t="s">
        <v>1577</v>
      </c>
      <c r="W511" s="3657"/>
      <c r="X511" s="3657" t="s">
        <v>4413</v>
      </c>
      <c r="Y511" s="3657" t="s">
        <v>1578</v>
      </c>
      <c r="Z511" s="3691"/>
      <c r="AA511" s="3620" t="s">
        <v>4414</v>
      </c>
      <c r="AB511" s="3691" t="s">
        <v>405</v>
      </c>
      <c r="AC511" s="3691">
        <v>2.0845</v>
      </c>
      <c r="AD511" s="3691">
        <f t="shared" ref="AD511:AD519" si="226">AC511*I511</f>
        <v>2401.344</v>
      </c>
      <c r="AE511" s="3645"/>
      <c r="AF511" s="3664" t="s">
        <v>3444</v>
      </c>
      <c r="AG511" s="3645" t="s">
        <v>416</v>
      </c>
      <c r="AH511" s="4430"/>
      <c r="AI511" s="3691"/>
      <c r="AJ511" s="3691"/>
      <c r="AK511" s="3708"/>
      <c r="AL511" s="3664"/>
      <c r="AM511" s="3664">
        <f t="shared" ref="AM511:AM519" si="227">I511</f>
        <v>1152</v>
      </c>
      <c r="AN511" s="3691"/>
      <c r="AO511" s="3691"/>
      <c r="AP511" s="3691">
        <f t="shared" ref="AP511:AP528" si="228">I511</f>
        <v>1152</v>
      </c>
      <c r="AQ511" s="4089"/>
      <c r="AR511" s="1048"/>
      <c r="AS511" s="4089"/>
      <c r="AT511" s="1048"/>
      <c r="AU511" s="4089">
        <f t="shared" ref="AU511:AU519" si="229">I511</f>
        <v>1152</v>
      </c>
      <c r="AV511" s="4089"/>
      <c r="AW511" s="4089"/>
      <c r="AX511" s="4089"/>
      <c r="AY511" s="4089"/>
      <c r="AZ511" s="4089"/>
      <c r="BA511" s="4089"/>
      <c r="BB511" s="4089"/>
      <c r="BC511" s="4089"/>
      <c r="BD511" s="4089"/>
      <c r="BE511" s="4089"/>
      <c r="BF511" s="4089" t="s">
        <v>89</v>
      </c>
      <c r="BG511" s="4089"/>
      <c r="BH511" s="4089">
        <f t="shared" si="214"/>
        <v>192</v>
      </c>
      <c r="BI511" s="4089">
        <f t="shared" si="215"/>
        <v>192</v>
      </c>
      <c r="BJ511" s="4089">
        <f t="shared" si="216"/>
        <v>192</v>
      </c>
      <c r="BK511" s="4089">
        <f t="shared" si="217"/>
        <v>192</v>
      </c>
      <c r="BL511" s="4089">
        <f t="shared" si="218"/>
        <v>192</v>
      </c>
      <c r="BM511" s="4089">
        <f t="shared" si="219"/>
        <v>153.6</v>
      </c>
      <c r="BN511" s="4089">
        <f t="shared" si="212"/>
        <v>38.4</v>
      </c>
      <c r="BO511" s="4413"/>
      <c r="BP511" s="4413"/>
      <c r="BQ511" s="4413"/>
      <c r="BR511" s="4413"/>
      <c r="BS511" s="4413"/>
      <c r="BT511" s="4431"/>
      <c r="BU511" s="4432"/>
      <c r="BV511" s="4385">
        <f t="shared" si="225"/>
        <v>1152</v>
      </c>
      <c r="BW511" s="4386">
        <f t="shared" si="203"/>
        <v>0</v>
      </c>
      <c r="BX511" s="4387"/>
      <c r="BY511" s="4387"/>
      <c r="BZ511" s="4387"/>
      <c r="CA511" s="4391"/>
      <c r="CC511" s="4392">
        <v>45871</v>
      </c>
      <c r="CD511" s="4391" t="s">
        <v>4415</v>
      </c>
    </row>
    <row r="512" s="4025" customFormat="1" ht="50" customHeight="1" spans="1:82">
      <c r="A512" s="3688">
        <v>45834</v>
      </c>
      <c r="B512" s="3689" t="s">
        <v>1057</v>
      </c>
      <c r="C512" s="3664" t="s">
        <v>396</v>
      </c>
      <c r="D512" s="3690">
        <v>4500171335</v>
      </c>
      <c r="E512" s="3664" t="s">
        <v>1575</v>
      </c>
      <c r="F512" s="3690" t="s">
        <v>4416</v>
      </c>
      <c r="G512" s="3664" t="s">
        <v>2619</v>
      </c>
      <c r="H512" s="3664" t="s">
        <v>2620</v>
      </c>
      <c r="I512" s="3691">
        <v>264</v>
      </c>
      <c r="J512" s="3691">
        <v>0</v>
      </c>
      <c r="K512" s="3691">
        <v>24</v>
      </c>
      <c r="L512" s="3691">
        <f t="shared" si="213"/>
        <v>11</v>
      </c>
      <c r="M512" s="3659">
        <v>45870</v>
      </c>
      <c r="N512" s="3659">
        <v>45871</v>
      </c>
      <c r="O512" s="3664"/>
      <c r="P512" s="3682" t="s">
        <v>82</v>
      </c>
      <c r="Q512" s="3682"/>
      <c r="R512" s="4083"/>
      <c r="S512" s="4083"/>
      <c r="T512" s="4083"/>
      <c r="U512" s="3645" t="s">
        <v>211</v>
      </c>
      <c r="V512" s="3649" t="s">
        <v>1577</v>
      </c>
      <c r="W512" s="3657"/>
      <c r="X512" s="3657" t="s">
        <v>4413</v>
      </c>
      <c r="Y512" s="3657" t="s">
        <v>1578</v>
      </c>
      <c r="Z512" s="3691"/>
      <c r="AA512" s="3620" t="s">
        <v>4414</v>
      </c>
      <c r="AB512" s="3691" t="s">
        <v>405</v>
      </c>
      <c r="AC512" s="3691">
        <v>2.0845</v>
      </c>
      <c r="AD512" s="3691">
        <f t="shared" si="226"/>
        <v>550.308</v>
      </c>
      <c r="AE512" s="3645"/>
      <c r="AF512" s="3664" t="s">
        <v>3444</v>
      </c>
      <c r="AG512" s="3645" t="s">
        <v>416</v>
      </c>
      <c r="AH512" s="4430"/>
      <c r="AI512" s="3691"/>
      <c r="AJ512" s="3691"/>
      <c r="AK512" s="3708"/>
      <c r="AL512" s="3664"/>
      <c r="AM512" s="3664">
        <f t="shared" si="227"/>
        <v>264</v>
      </c>
      <c r="AN512" s="3691"/>
      <c r="AO512" s="3691"/>
      <c r="AP512" s="3691">
        <f t="shared" si="228"/>
        <v>264</v>
      </c>
      <c r="AQ512" s="4089"/>
      <c r="AR512" s="1048"/>
      <c r="AS512" s="4089"/>
      <c r="AT512" s="1048"/>
      <c r="AU512" s="4089">
        <f t="shared" si="229"/>
        <v>264</v>
      </c>
      <c r="AV512" s="4089"/>
      <c r="AW512" s="4089"/>
      <c r="AX512" s="4089"/>
      <c r="AY512" s="4089"/>
      <c r="AZ512" s="4089"/>
      <c r="BA512" s="4089"/>
      <c r="BB512" s="4089"/>
      <c r="BC512" s="4089"/>
      <c r="BD512" s="4089"/>
      <c r="BE512" s="4089"/>
      <c r="BF512" s="4089" t="s">
        <v>89</v>
      </c>
      <c r="BG512" s="4089"/>
      <c r="BH512" s="4089">
        <f t="shared" si="214"/>
        <v>44</v>
      </c>
      <c r="BI512" s="4089">
        <f t="shared" si="215"/>
        <v>44</v>
      </c>
      <c r="BJ512" s="4089">
        <f t="shared" si="216"/>
        <v>44</v>
      </c>
      <c r="BK512" s="4089">
        <f t="shared" si="217"/>
        <v>44</v>
      </c>
      <c r="BL512" s="4089">
        <f t="shared" si="218"/>
        <v>44</v>
      </c>
      <c r="BM512" s="4089">
        <f t="shared" si="219"/>
        <v>35.2</v>
      </c>
      <c r="BN512" s="4089">
        <f t="shared" si="212"/>
        <v>8.8</v>
      </c>
      <c r="BO512" s="4413"/>
      <c r="BP512" s="4413"/>
      <c r="BQ512" s="4413"/>
      <c r="BR512" s="4413"/>
      <c r="BS512" s="4413"/>
      <c r="BT512" s="4431"/>
      <c r="BU512" s="4432"/>
      <c r="BV512" s="4385">
        <f t="shared" si="225"/>
        <v>264</v>
      </c>
      <c r="BW512" s="4386">
        <f t="shared" si="203"/>
        <v>0</v>
      </c>
      <c r="BX512" s="4387"/>
      <c r="BY512" s="4387"/>
      <c r="BZ512" s="4387"/>
      <c r="CA512" s="4391"/>
      <c r="CC512" s="4392">
        <v>45871</v>
      </c>
      <c r="CD512" s="4391" t="s">
        <v>4415</v>
      </c>
    </row>
    <row r="513" s="4025" customFormat="1" ht="50" customHeight="1" spans="1:82">
      <c r="A513" s="3688">
        <v>45834</v>
      </c>
      <c r="B513" s="3689" t="s">
        <v>1057</v>
      </c>
      <c r="C513" s="3664" t="s">
        <v>396</v>
      </c>
      <c r="D513" s="3690">
        <v>4500171335</v>
      </c>
      <c r="E513" s="3664" t="s">
        <v>1575</v>
      </c>
      <c r="F513" s="3690" t="s">
        <v>4417</v>
      </c>
      <c r="G513" s="3664" t="s">
        <v>2619</v>
      </c>
      <c r="H513" s="3664" t="s">
        <v>2620</v>
      </c>
      <c r="I513" s="3691">
        <v>1200</v>
      </c>
      <c r="J513" s="3691">
        <v>0</v>
      </c>
      <c r="K513" s="3691">
        <v>24</v>
      </c>
      <c r="L513" s="3691">
        <f t="shared" si="213"/>
        <v>50</v>
      </c>
      <c r="M513" s="3659">
        <v>45870</v>
      </c>
      <c r="N513" s="3659">
        <v>45871</v>
      </c>
      <c r="O513" s="3664"/>
      <c r="P513" s="3682" t="s">
        <v>82</v>
      </c>
      <c r="Q513" s="3682"/>
      <c r="R513" s="4083"/>
      <c r="S513" s="4083"/>
      <c r="T513" s="4083"/>
      <c r="U513" s="3645" t="s">
        <v>211</v>
      </c>
      <c r="V513" s="3649" t="s">
        <v>1577</v>
      </c>
      <c r="W513" s="3649"/>
      <c r="X513" s="3657" t="s">
        <v>4413</v>
      </c>
      <c r="Y513" s="3657" t="s">
        <v>1578</v>
      </c>
      <c r="Z513" s="3691"/>
      <c r="AA513" s="3620" t="s">
        <v>4414</v>
      </c>
      <c r="AB513" s="3691" t="s">
        <v>405</v>
      </c>
      <c r="AC513" s="3691">
        <v>2.0362</v>
      </c>
      <c r="AD513" s="3691">
        <f t="shared" si="226"/>
        <v>2443.44</v>
      </c>
      <c r="AE513" s="3645"/>
      <c r="AF513" s="3664" t="s">
        <v>3444</v>
      </c>
      <c r="AG513" s="3645" t="s">
        <v>416</v>
      </c>
      <c r="AH513" s="4430"/>
      <c r="AI513" s="3691"/>
      <c r="AJ513" s="3691"/>
      <c r="AK513" s="3708"/>
      <c r="AL513" s="3664"/>
      <c r="AM513" s="3664">
        <f t="shared" si="227"/>
        <v>1200</v>
      </c>
      <c r="AN513" s="3691"/>
      <c r="AO513" s="3691"/>
      <c r="AP513" s="3691">
        <f t="shared" si="228"/>
        <v>1200</v>
      </c>
      <c r="AQ513" s="4089"/>
      <c r="AR513" s="1048"/>
      <c r="AS513" s="4089"/>
      <c r="AT513" s="1048"/>
      <c r="AU513" s="4089">
        <f t="shared" si="229"/>
        <v>1200</v>
      </c>
      <c r="AV513" s="4089"/>
      <c r="AW513" s="4089"/>
      <c r="AX513" s="4089"/>
      <c r="AY513" s="4089"/>
      <c r="AZ513" s="4089"/>
      <c r="BA513" s="4089"/>
      <c r="BB513" s="4089"/>
      <c r="BC513" s="4089"/>
      <c r="BD513" s="4089"/>
      <c r="BE513" s="4089"/>
      <c r="BF513" s="4089" t="s">
        <v>89</v>
      </c>
      <c r="BG513" s="4089"/>
      <c r="BH513" s="4089">
        <f t="shared" si="214"/>
        <v>200</v>
      </c>
      <c r="BI513" s="4089">
        <f t="shared" si="215"/>
        <v>200</v>
      </c>
      <c r="BJ513" s="4089">
        <f t="shared" si="216"/>
        <v>200</v>
      </c>
      <c r="BK513" s="4089">
        <f t="shared" si="217"/>
        <v>200</v>
      </c>
      <c r="BL513" s="4089">
        <f t="shared" si="218"/>
        <v>200</v>
      </c>
      <c r="BM513" s="4089">
        <f t="shared" si="219"/>
        <v>160</v>
      </c>
      <c r="BN513" s="4089">
        <f t="shared" si="212"/>
        <v>40</v>
      </c>
      <c r="BO513" s="4413"/>
      <c r="BP513" s="4413"/>
      <c r="BQ513" s="4413"/>
      <c r="BR513" s="4413"/>
      <c r="BS513" s="4413"/>
      <c r="BT513" s="4431"/>
      <c r="BU513" s="4432"/>
      <c r="BV513" s="4385">
        <f t="shared" si="225"/>
        <v>1200</v>
      </c>
      <c r="BW513" s="4386">
        <f t="shared" si="203"/>
        <v>0</v>
      </c>
      <c r="BX513" s="4387"/>
      <c r="BY513" s="4387"/>
      <c r="BZ513" s="4387"/>
      <c r="CA513" s="4391"/>
      <c r="CC513" s="4392">
        <v>45871</v>
      </c>
      <c r="CD513" s="4391" t="s">
        <v>4415</v>
      </c>
    </row>
    <row r="514" s="4025" customFormat="1" ht="50" customHeight="1" spans="1:82">
      <c r="A514" s="3688">
        <v>45834</v>
      </c>
      <c r="B514" s="3689" t="s">
        <v>1057</v>
      </c>
      <c r="C514" s="3664" t="s">
        <v>396</v>
      </c>
      <c r="D514" s="3690">
        <v>4500171335</v>
      </c>
      <c r="E514" s="3664" t="s">
        <v>1575</v>
      </c>
      <c r="F514" s="3690" t="s">
        <v>4418</v>
      </c>
      <c r="G514" s="3664" t="s">
        <v>2619</v>
      </c>
      <c r="H514" s="3664" t="s">
        <v>2620</v>
      </c>
      <c r="I514" s="3691">
        <v>288</v>
      </c>
      <c r="J514" s="3691">
        <v>0</v>
      </c>
      <c r="K514" s="3691">
        <v>24</v>
      </c>
      <c r="L514" s="3691">
        <f t="shared" si="213"/>
        <v>12</v>
      </c>
      <c r="M514" s="3659">
        <v>45870</v>
      </c>
      <c r="N514" s="3659">
        <v>45871</v>
      </c>
      <c r="O514" s="3664"/>
      <c r="P514" s="3682" t="s">
        <v>82</v>
      </c>
      <c r="Q514" s="3682"/>
      <c r="R514" s="4083"/>
      <c r="S514" s="4083"/>
      <c r="T514" s="4083"/>
      <c r="U514" s="3645" t="s">
        <v>211</v>
      </c>
      <c r="V514" s="3649" t="s">
        <v>1577</v>
      </c>
      <c r="W514" s="3657"/>
      <c r="X514" s="3657" t="s">
        <v>4413</v>
      </c>
      <c r="Y514" s="3657" t="s">
        <v>1578</v>
      </c>
      <c r="Z514" s="3691"/>
      <c r="AA514" s="3620" t="s">
        <v>4414</v>
      </c>
      <c r="AB514" s="3691" t="s">
        <v>405</v>
      </c>
      <c r="AC514" s="3691">
        <v>2.0845</v>
      </c>
      <c r="AD514" s="3691">
        <f t="shared" si="226"/>
        <v>600.336</v>
      </c>
      <c r="AE514" s="3645"/>
      <c r="AF514" s="3664" t="s">
        <v>3444</v>
      </c>
      <c r="AG514" s="3645" t="s">
        <v>416</v>
      </c>
      <c r="AH514" s="4430"/>
      <c r="AI514" s="3691"/>
      <c r="AJ514" s="3691"/>
      <c r="AK514" s="3708"/>
      <c r="AL514" s="3664"/>
      <c r="AM514" s="3664">
        <f t="shared" si="227"/>
        <v>288</v>
      </c>
      <c r="AN514" s="3691"/>
      <c r="AO514" s="3691"/>
      <c r="AP514" s="3691">
        <f t="shared" si="228"/>
        <v>288</v>
      </c>
      <c r="AQ514" s="4089"/>
      <c r="AR514" s="1048"/>
      <c r="AS514" s="4089"/>
      <c r="AT514" s="1048"/>
      <c r="AU514" s="4089">
        <f t="shared" si="229"/>
        <v>288</v>
      </c>
      <c r="AV514" s="4089"/>
      <c r="AW514" s="4089"/>
      <c r="AX514" s="4089"/>
      <c r="AY514" s="4089"/>
      <c r="AZ514" s="4089"/>
      <c r="BA514" s="4089"/>
      <c r="BB514" s="4089"/>
      <c r="BC514" s="4089"/>
      <c r="BD514" s="4089"/>
      <c r="BE514" s="4089"/>
      <c r="BF514" s="4089" t="s">
        <v>89</v>
      </c>
      <c r="BG514" s="4089"/>
      <c r="BH514" s="4089">
        <f t="shared" si="214"/>
        <v>48</v>
      </c>
      <c r="BI514" s="4089">
        <f t="shared" si="215"/>
        <v>48</v>
      </c>
      <c r="BJ514" s="4089">
        <f t="shared" si="216"/>
        <v>48</v>
      </c>
      <c r="BK514" s="4089">
        <f t="shared" si="217"/>
        <v>48</v>
      </c>
      <c r="BL514" s="4089">
        <f t="shared" si="218"/>
        <v>48</v>
      </c>
      <c r="BM514" s="4089">
        <f t="shared" si="219"/>
        <v>38.4</v>
      </c>
      <c r="BN514" s="4089">
        <f t="shared" si="212"/>
        <v>9.6</v>
      </c>
      <c r="BO514" s="4413"/>
      <c r="BP514" s="4413"/>
      <c r="BQ514" s="4413"/>
      <c r="BR514" s="4413"/>
      <c r="BS514" s="4413"/>
      <c r="BT514" s="4431"/>
      <c r="BU514" s="4432"/>
      <c r="BV514" s="4385">
        <f t="shared" si="225"/>
        <v>288</v>
      </c>
      <c r="BW514" s="4386">
        <f t="shared" si="203"/>
        <v>0</v>
      </c>
      <c r="BX514" s="4387"/>
      <c r="BY514" s="4387"/>
      <c r="BZ514" s="4387"/>
      <c r="CA514" s="4391"/>
      <c r="CC514" s="4392">
        <v>45871</v>
      </c>
      <c r="CD514" s="4391" t="s">
        <v>4415</v>
      </c>
    </row>
    <row r="515" s="4025" customFormat="1" ht="50" customHeight="1" spans="1:82">
      <c r="A515" s="3688">
        <v>45834</v>
      </c>
      <c r="B515" s="3689" t="s">
        <v>1057</v>
      </c>
      <c r="C515" s="3664" t="s">
        <v>396</v>
      </c>
      <c r="D515" s="3690">
        <v>4500171335</v>
      </c>
      <c r="E515" s="3664" t="s">
        <v>1575</v>
      </c>
      <c r="F515" s="3690" t="s">
        <v>4419</v>
      </c>
      <c r="G515" s="3664" t="s">
        <v>2619</v>
      </c>
      <c r="H515" s="3664" t="s">
        <v>2620</v>
      </c>
      <c r="I515" s="3691">
        <v>480</v>
      </c>
      <c r="J515" s="3691">
        <v>0</v>
      </c>
      <c r="K515" s="3691">
        <v>24</v>
      </c>
      <c r="L515" s="3691">
        <f t="shared" si="213"/>
        <v>20</v>
      </c>
      <c r="M515" s="3659">
        <v>45870</v>
      </c>
      <c r="N515" s="3659">
        <v>45871</v>
      </c>
      <c r="O515" s="3664"/>
      <c r="P515" s="3682" t="s">
        <v>82</v>
      </c>
      <c r="Q515" s="3682"/>
      <c r="R515" s="4083"/>
      <c r="S515" s="4083"/>
      <c r="T515" s="4083"/>
      <c r="U515" s="3645" t="s">
        <v>211</v>
      </c>
      <c r="V515" s="3649" t="s">
        <v>1577</v>
      </c>
      <c r="W515" s="3657"/>
      <c r="X515" s="3657" t="s">
        <v>4413</v>
      </c>
      <c r="Y515" s="3657" t="s">
        <v>1578</v>
      </c>
      <c r="Z515" s="3691"/>
      <c r="AA515" s="3620" t="s">
        <v>4414</v>
      </c>
      <c r="AB515" s="3691" t="s">
        <v>405</v>
      </c>
      <c r="AC515" s="3691">
        <v>2.0845</v>
      </c>
      <c r="AD515" s="3691">
        <f t="shared" si="226"/>
        <v>1000.56</v>
      </c>
      <c r="AE515" s="3645"/>
      <c r="AF515" s="3664" t="s">
        <v>3444</v>
      </c>
      <c r="AG515" s="3645" t="s">
        <v>416</v>
      </c>
      <c r="AH515" s="4430"/>
      <c r="AI515" s="3691"/>
      <c r="AJ515" s="3691"/>
      <c r="AK515" s="3708"/>
      <c r="AL515" s="3664"/>
      <c r="AM515" s="3664">
        <f t="shared" si="227"/>
        <v>480</v>
      </c>
      <c r="AN515" s="3691"/>
      <c r="AO515" s="3691"/>
      <c r="AP515" s="3691">
        <f t="shared" si="228"/>
        <v>480</v>
      </c>
      <c r="AQ515" s="4089"/>
      <c r="AR515" s="1048"/>
      <c r="AS515" s="4089"/>
      <c r="AT515" s="1048"/>
      <c r="AU515" s="4089">
        <f t="shared" si="229"/>
        <v>480</v>
      </c>
      <c r="AV515" s="4089"/>
      <c r="AW515" s="4089"/>
      <c r="AX515" s="4089"/>
      <c r="AY515" s="4089"/>
      <c r="AZ515" s="4089"/>
      <c r="BA515" s="4089"/>
      <c r="BB515" s="4089"/>
      <c r="BC515" s="4089"/>
      <c r="BD515" s="4089"/>
      <c r="BE515" s="4089"/>
      <c r="BF515" s="4089" t="s">
        <v>89</v>
      </c>
      <c r="BG515" s="4089"/>
      <c r="BH515" s="4089">
        <f t="shared" si="214"/>
        <v>80</v>
      </c>
      <c r="BI515" s="4089">
        <f t="shared" si="215"/>
        <v>80</v>
      </c>
      <c r="BJ515" s="4089">
        <f t="shared" si="216"/>
        <v>80</v>
      </c>
      <c r="BK515" s="4089">
        <f t="shared" si="217"/>
        <v>80</v>
      </c>
      <c r="BL515" s="4089">
        <f t="shared" si="218"/>
        <v>80</v>
      </c>
      <c r="BM515" s="4089">
        <f t="shared" si="219"/>
        <v>64</v>
      </c>
      <c r="BN515" s="4089">
        <f t="shared" si="212"/>
        <v>16</v>
      </c>
      <c r="BO515" s="4413"/>
      <c r="BP515" s="4413"/>
      <c r="BQ515" s="4413"/>
      <c r="BR515" s="4413"/>
      <c r="BS515" s="4413"/>
      <c r="BT515" s="4431"/>
      <c r="BU515" s="4432"/>
      <c r="BV515" s="4385">
        <f t="shared" si="225"/>
        <v>480</v>
      </c>
      <c r="BW515" s="4386">
        <f t="shared" si="203"/>
        <v>0</v>
      </c>
      <c r="BX515" s="4387"/>
      <c r="BY515" s="4387"/>
      <c r="BZ515" s="4387"/>
      <c r="CA515" s="4391"/>
      <c r="CC515" s="4392">
        <v>45871</v>
      </c>
      <c r="CD515" s="4391" t="s">
        <v>4415</v>
      </c>
    </row>
    <row r="516" s="4025" customFormat="1" ht="50" customHeight="1" spans="1:82">
      <c r="A516" s="4429">
        <v>45834</v>
      </c>
      <c r="B516" s="4080" t="s">
        <v>1057</v>
      </c>
      <c r="C516" s="3663" t="s">
        <v>396</v>
      </c>
      <c r="D516" s="3690">
        <v>4500171342</v>
      </c>
      <c r="E516" s="3664" t="s">
        <v>1584</v>
      </c>
      <c r="F516" s="3690" t="s">
        <v>4420</v>
      </c>
      <c r="G516" s="3664" t="s">
        <v>2619</v>
      </c>
      <c r="H516" s="3664" t="s">
        <v>2620</v>
      </c>
      <c r="I516" s="3691">
        <v>216</v>
      </c>
      <c r="J516" s="3691">
        <v>0</v>
      </c>
      <c r="K516" s="3691">
        <v>24</v>
      </c>
      <c r="L516" s="3691">
        <f t="shared" si="213"/>
        <v>9</v>
      </c>
      <c r="M516" s="3659">
        <v>45870</v>
      </c>
      <c r="N516" s="3659">
        <v>45871</v>
      </c>
      <c r="O516" s="3664"/>
      <c r="P516" s="3682" t="s">
        <v>82</v>
      </c>
      <c r="Q516" s="3682"/>
      <c r="R516" s="4083"/>
      <c r="S516" s="4083"/>
      <c r="T516" s="4083"/>
      <c r="U516" s="3645" t="s">
        <v>1483</v>
      </c>
      <c r="V516" s="3649" t="s">
        <v>1577</v>
      </c>
      <c r="W516" s="3649"/>
      <c r="X516" s="3657" t="s">
        <v>4413</v>
      </c>
      <c r="Y516" s="3657" t="s">
        <v>1578</v>
      </c>
      <c r="Z516" s="3691"/>
      <c r="AA516" s="3620" t="s">
        <v>4421</v>
      </c>
      <c r="AB516" s="4084" t="s">
        <v>405</v>
      </c>
      <c r="AC516" s="3691">
        <v>2.0845</v>
      </c>
      <c r="AD516" s="3691">
        <f t="shared" si="226"/>
        <v>450.252</v>
      </c>
      <c r="AE516" s="3645"/>
      <c r="AF516" s="3664" t="s">
        <v>3444</v>
      </c>
      <c r="AG516" s="3645" t="s">
        <v>416</v>
      </c>
      <c r="AH516" s="4448"/>
      <c r="AI516" s="3691"/>
      <c r="AJ516" s="3691"/>
      <c r="AK516" s="3664"/>
      <c r="AL516" s="3664"/>
      <c r="AM516" s="3664">
        <f t="shared" si="227"/>
        <v>216</v>
      </c>
      <c r="AN516" s="3691"/>
      <c r="AO516" s="3691"/>
      <c r="AP516" s="3691">
        <f t="shared" si="228"/>
        <v>216</v>
      </c>
      <c r="AQ516" s="4089"/>
      <c r="AR516" s="4089"/>
      <c r="AS516" s="4089"/>
      <c r="AT516" s="4089"/>
      <c r="AU516" s="4089">
        <f t="shared" si="229"/>
        <v>216</v>
      </c>
      <c r="AV516" s="4089"/>
      <c r="AW516" s="4089"/>
      <c r="AX516" s="4089"/>
      <c r="AY516" s="4089"/>
      <c r="AZ516" s="4089"/>
      <c r="BA516" s="4089"/>
      <c r="BB516" s="4089"/>
      <c r="BC516" s="4089"/>
      <c r="BD516" s="4089"/>
      <c r="BE516" s="4089"/>
      <c r="BF516" s="4089" t="s">
        <v>89</v>
      </c>
      <c r="BG516" s="4089"/>
      <c r="BH516" s="4089">
        <f t="shared" si="214"/>
        <v>36</v>
      </c>
      <c r="BI516" s="4089">
        <f t="shared" si="215"/>
        <v>36</v>
      </c>
      <c r="BJ516" s="4089">
        <f t="shared" si="216"/>
        <v>36</v>
      </c>
      <c r="BK516" s="4089">
        <f t="shared" si="217"/>
        <v>36</v>
      </c>
      <c r="BL516" s="4089">
        <f t="shared" si="218"/>
        <v>36</v>
      </c>
      <c r="BM516" s="4089">
        <f t="shared" si="219"/>
        <v>28.8</v>
      </c>
      <c r="BN516" s="4089">
        <f t="shared" si="212"/>
        <v>7.2</v>
      </c>
      <c r="BO516" s="4411"/>
      <c r="BP516" s="4411"/>
      <c r="BQ516" s="4411"/>
      <c r="BR516" s="4411"/>
      <c r="BS516" s="4411"/>
      <c r="BT516" s="4453"/>
      <c r="BU516" s="4454"/>
      <c r="BV516" s="4385">
        <f t="shared" si="225"/>
        <v>216</v>
      </c>
      <c r="BW516" s="4386">
        <f t="shared" si="203"/>
        <v>0</v>
      </c>
      <c r="BX516" s="4387"/>
      <c r="BY516" s="4387"/>
      <c r="BZ516" s="4387"/>
      <c r="CA516" s="4391"/>
      <c r="CC516" s="4392">
        <v>45871</v>
      </c>
      <c r="CD516" s="4391" t="s">
        <v>4415</v>
      </c>
    </row>
    <row r="517" s="4025" customFormat="1" ht="50" customHeight="1" spans="1:82">
      <c r="A517" s="3688">
        <v>45834</v>
      </c>
      <c r="B517" s="3689" t="s">
        <v>1057</v>
      </c>
      <c r="C517" s="3664" t="s">
        <v>396</v>
      </c>
      <c r="D517" s="3690">
        <v>4500171342</v>
      </c>
      <c r="E517" s="3664" t="s">
        <v>1584</v>
      </c>
      <c r="F517" s="3690" t="s">
        <v>4422</v>
      </c>
      <c r="G517" s="3664" t="s">
        <v>2619</v>
      </c>
      <c r="H517" s="3664" t="s">
        <v>2620</v>
      </c>
      <c r="I517" s="3691">
        <v>120</v>
      </c>
      <c r="J517" s="3691">
        <v>0</v>
      </c>
      <c r="K517" s="3691">
        <v>24</v>
      </c>
      <c r="L517" s="3691">
        <f t="shared" si="213"/>
        <v>5</v>
      </c>
      <c r="M517" s="3659">
        <v>45870</v>
      </c>
      <c r="N517" s="3659">
        <v>45871</v>
      </c>
      <c r="O517" s="3664"/>
      <c r="P517" s="3682" t="s">
        <v>82</v>
      </c>
      <c r="Q517" s="3682"/>
      <c r="R517" s="4083"/>
      <c r="S517" s="4083"/>
      <c r="T517" s="4083"/>
      <c r="U517" s="3645" t="s">
        <v>1483</v>
      </c>
      <c r="V517" s="3649" t="s">
        <v>1577</v>
      </c>
      <c r="W517" s="3649"/>
      <c r="X517" s="3657" t="s">
        <v>4413</v>
      </c>
      <c r="Y517" s="3649" t="s">
        <v>1578</v>
      </c>
      <c r="Z517" s="3691"/>
      <c r="AA517" s="3620" t="s">
        <v>4421</v>
      </c>
      <c r="AB517" s="3691" t="s">
        <v>405</v>
      </c>
      <c r="AC517" s="3691">
        <v>2.0845</v>
      </c>
      <c r="AD517" s="3691">
        <f t="shared" si="226"/>
        <v>250.14</v>
      </c>
      <c r="AE517" s="3645"/>
      <c r="AF517" s="3664" t="s">
        <v>3444</v>
      </c>
      <c r="AG517" s="3645" t="s">
        <v>416</v>
      </c>
      <c r="AH517" s="4448"/>
      <c r="AI517" s="3691"/>
      <c r="AJ517" s="3691"/>
      <c r="AK517" s="3664"/>
      <c r="AL517" s="3664"/>
      <c r="AM517" s="3664">
        <f t="shared" si="227"/>
        <v>120</v>
      </c>
      <c r="AN517" s="3691"/>
      <c r="AO517" s="3691"/>
      <c r="AP517" s="3691">
        <f t="shared" si="228"/>
        <v>120</v>
      </c>
      <c r="AQ517" s="4089"/>
      <c r="AR517" s="4089"/>
      <c r="AS517" s="4089"/>
      <c r="AT517" s="4089"/>
      <c r="AU517" s="4089">
        <f t="shared" si="229"/>
        <v>120</v>
      </c>
      <c r="AV517" s="4089"/>
      <c r="AW517" s="4089"/>
      <c r="AX517" s="4089"/>
      <c r="AY517" s="4089"/>
      <c r="AZ517" s="4089"/>
      <c r="BA517" s="4089"/>
      <c r="BB517" s="4089"/>
      <c r="BC517" s="4089"/>
      <c r="BD517" s="4089"/>
      <c r="BE517" s="4089"/>
      <c r="BF517" s="4089" t="s">
        <v>89</v>
      </c>
      <c r="BG517" s="4089"/>
      <c r="BH517" s="4089">
        <f t="shared" si="214"/>
        <v>20</v>
      </c>
      <c r="BI517" s="4089">
        <f t="shared" si="215"/>
        <v>20</v>
      </c>
      <c r="BJ517" s="4089">
        <f t="shared" si="216"/>
        <v>20</v>
      </c>
      <c r="BK517" s="4089">
        <f t="shared" si="217"/>
        <v>20</v>
      </c>
      <c r="BL517" s="4089">
        <f t="shared" si="218"/>
        <v>20</v>
      </c>
      <c r="BM517" s="4089">
        <f t="shared" si="219"/>
        <v>16</v>
      </c>
      <c r="BN517" s="4089">
        <f t="shared" si="212"/>
        <v>4</v>
      </c>
      <c r="BO517" s="4411"/>
      <c r="BP517" s="4411"/>
      <c r="BQ517" s="4411"/>
      <c r="BR517" s="4411"/>
      <c r="BS517" s="4411"/>
      <c r="BT517" s="4453"/>
      <c r="BU517" s="4454"/>
      <c r="BV517" s="4385">
        <f t="shared" si="225"/>
        <v>120</v>
      </c>
      <c r="BW517" s="4386">
        <f t="shared" ref="BW517:BW580" si="230">I517-BV517</f>
        <v>0</v>
      </c>
      <c r="BX517" s="4387"/>
      <c r="BY517" s="4387"/>
      <c r="BZ517" s="4387"/>
      <c r="CA517" s="4391"/>
      <c r="CC517" s="4392">
        <v>45871</v>
      </c>
      <c r="CD517" s="4391" t="s">
        <v>4415</v>
      </c>
    </row>
    <row r="518" s="4025" customFormat="1" ht="50" customHeight="1" spans="1:82">
      <c r="A518" s="3688">
        <v>45834</v>
      </c>
      <c r="B518" s="3689" t="s">
        <v>1057</v>
      </c>
      <c r="C518" s="3664" t="s">
        <v>396</v>
      </c>
      <c r="D518" s="3690">
        <v>4500171342</v>
      </c>
      <c r="E518" s="3664" t="s">
        <v>1584</v>
      </c>
      <c r="F518" s="3690" t="s">
        <v>4423</v>
      </c>
      <c r="G518" s="3664" t="s">
        <v>2619</v>
      </c>
      <c r="H518" s="3664" t="s">
        <v>2620</v>
      </c>
      <c r="I518" s="3691">
        <v>120</v>
      </c>
      <c r="J518" s="3691">
        <v>0</v>
      </c>
      <c r="K518" s="3691">
        <v>24</v>
      </c>
      <c r="L518" s="3691">
        <f t="shared" si="213"/>
        <v>5</v>
      </c>
      <c r="M518" s="3659">
        <v>45870</v>
      </c>
      <c r="N518" s="3659">
        <v>45871</v>
      </c>
      <c r="O518" s="3664"/>
      <c r="P518" s="3682" t="s">
        <v>82</v>
      </c>
      <c r="Q518" s="3682"/>
      <c r="R518" s="4083"/>
      <c r="S518" s="4083"/>
      <c r="T518" s="4083"/>
      <c r="U518" s="3645" t="s">
        <v>1483</v>
      </c>
      <c r="V518" s="3649" t="s">
        <v>1577</v>
      </c>
      <c r="W518" s="3657"/>
      <c r="X518" s="3657" t="s">
        <v>4413</v>
      </c>
      <c r="Y518" s="3657" t="s">
        <v>1578</v>
      </c>
      <c r="Z518" s="3691"/>
      <c r="AA518" s="3620" t="s">
        <v>4421</v>
      </c>
      <c r="AB518" s="3691" t="s">
        <v>405</v>
      </c>
      <c r="AC518" s="3691">
        <v>2.0845</v>
      </c>
      <c r="AD518" s="3691">
        <f t="shared" si="226"/>
        <v>250.14</v>
      </c>
      <c r="AE518" s="3645"/>
      <c r="AF518" s="3664" t="s">
        <v>3444</v>
      </c>
      <c r="AG518" s="3645" t="s">
        <v>416</v>
      </c>
      <c r="AH518" s="4448"/>
      <c r="AI518" s="3691"/>
      <c r="AJ518" s="3691"/>
      <c r="AK518" s="3664"/>
      <c r="AL518" s="3664"/>
      <c r="AM518" s="3664">
        <f t="shared" si="227"/>
        <v>120</v>
      </c>
      <c r="AN518" s="3691"/>
      <c r="AO518" s="3691"/>
      <c r="AP518" s="3691">
        <f t="shared" si="228"/>
        <v>120</v>
      </c>
      <c r="AQ518" s="4089"/>
      <c r="AR518" s="4089"/>
      <c r="AS518" s="4089"/>
      <c r="AT518" s="4089"/>
      <c r="AU518" s="4089">
        <f t="shared" si="229"/>
        <v>120</v>
      </c>
      <c r="AV518" s="4089"/>
      <c r="AW518" s="4089"/>
      <c r="AX518" s="4089"/>
      <c r="AY518" s="4089"/>
      <c r="AZ518" s="4089"/>
      <c r="BA518" s="4089"/>
      <c r="BB518" s="4089"/>
      <c r="BC518" s="4089"/>
      <c r="BD518" s="4089"/>
      <c r="BE518" s="4089"/>
      <c r="BF518" s="4089" t="s">
        <v>89</v>
      </c>
      <c r="BG518" s="4089"/>
      <c r="BH518" s="4089">
        <f t="shared" si="214"/>
        <v>20</v>
      </c>
      <c r="BI518" s="4089">
        <f t="shared" si="215"/>
        <v>20</v>
      </c>
      <c r="BJ518" s="4089">
        <f t="shared" si="216"/>
        <v>20</v>
      </c>
      <c r="BK518" s="4089">
        <f t="shared" si="217"/>
        <v>20</v>
      </c>
      <c r="BL518" s="4089">
        <f t="shared" si="218"/>
        <v>20</v>
      </c>
      <c r="BM518" s="4089">
        <f t="shared" si="219"/>
        <v>16</v>
      </c>
      <c r="BN518" s="4089">
        <f t="shared" si="212"/>
        <v>4</v>
      </c>
      <c r="BO518" s="4411"/>
      <c r="BP518" s="4411"/>
      <c r="BQ518" s="4411"/>
      <c r="BR518" s="4411"/>
      <c r="BS518" s="4411"/>
      <c r="BT518" s="4453"/>
      <c r="BU518" s="4454"/>
      <c r="BV518" s="4385">
        <f t="shared" si="225"/>
        <v>120</v>
      </c>
      <c r="BW518" s="4386">
        <f t="shared" si="230"/>
        <v>0</v>
      </c>
      <c r="BX518" s="4387"/>
      <c r="BY518" s="4387"/>
      <c r="BZ518" s="4387"/>
      <c r="CA518" s="4391"/>
      <c r="CC518" s="4392">
        <v>45871</v>
      </c>
      <c r="CD518" s="4391" t="s">
        <v>4415</v>
      </c>
    </row>
    <row r="519" s="4025" customFormat="1" ht="50" customHeight="1" spans="1:82">
      <c r="A519" s="3688">
        <v>45834</v>
      </c>
      <c r="B519" s="3689" t="s">
        <v>1057</v>
      </c>
      <c r="C519" s="3664" t="s">
        <v>396</v>
      </c>
      <c r="D519" s="3690">
        <v>4500171342</v>
      </c>
      <c r="E519" s="3664" t="s">
        <v>1584</v>
      </c>
      <c r="F519" s="3690" t="s">
        <v>4424</v>
      </c>
      <c r="G519" s="3664" t="s">
        <v>2619</v>
      </c>
      <c r="H519" s="3664" t="s">
        <v>2620</v>
      </c>
      <c r="I519" s="3691">
        <v>120</v>
      </c>
      <c r="J519" s="3691">
        <v>0</v>
      </c>
      <c r="K519" s="3691">
        <v>24</v>
      </c>
      <c r="L519" s="3691">
        <f t="shared" si="213"/>
        <v>5</v>
      </c>
      <c r="M519" s="3659">
        <v>45870</v>
      </c>
      <c r="N519" s="3659">
        <v>45871</v>
      </c>
      <c r="O519" s="3664"/>
      <c r="P519" s="3682" t="s">
        <v>82</v>
      </c>
      <c r="Q519" s="3682"/>
      <c r="R519" s="4083"/>
      <c r="S519" s="4083"/>
      <c r="T519" s="4083"/>
      <c r="U519" s="3645" t="s">
        <v>1483</v>
      </c>
      <c r="V519" s="3649" t="s">
        <v>1577</v>
      </c>
      <c r="W519" s="3657"/>
      <c r="X519" s="3657" t="s">
        <v>4413</v>
      </c>
      <c r="Y519" s="3657" t="s">
        <v>1578</v>
      </c>
      <c r="Z519" s="3691"/>
      <c r="AA519" s="3620" t="s">
        <v>4421</v>
      </c>
      <c r="AB519" s="3691" t="s">
        <v>405</v>
      </c>
      <c r="AC519" s="3691">
        <v>2.0845</v>
      </c>
      <c r="AD519" s="3691">
        <f t="shared" si="226"/>
        <v>250.14</v>
      </c>
      <c r="AE519" s="3645"/>
      <c r="AF519" s="3664" t="s">
        <v>3444</v>
      </c>
      <c r="AG519" s="3645" t="s">
        <v>416</v>
      </c>
      <c r="AH519" s="4448"/>
      <c r="AI519" s="3691"/>
      <c r="AJ519" s="3691"/>
      <c r="AK519" s="3664"/>
      <c r="AL519" s="3664"/>
      <c r="AM519" s="3664">
        <f t="shared" si="227"/>
        <v>120</v>
      </c>
      <c r="AN519" s="3691"/>
      <c r="AO519" s="3691"/>
      <c r="AP519" s="3691">
        <f t="shared" si="228"/>
        <v>120</v>
      </c>
      <c r="AQ519" s="4089"/>
      <c r="AR519" s="4089"/>
      <c r="AS519" s="4089"/>
      <c r="AT519" s="4089"/>
      <c r="AU519" s="4089">
        <f t="shared" si="229"/>
        <v>120</v>
      </c>
      <c r="AV519" s="4089"/>
      <c r="AW519" s="4089"/>
      <c r="AX519" s="4089"/>
      <c r="AY519" s="4089"/>
      <c r="AZ519" s="4089"/>
      <c r="BA519" s="4089"/>
      <c r="BB519" s="4089"/>
      <c r="BC519" s="4089"/>
      <c r="BD519" s="4089"/>
      <c r="BE519" s="4089"/>
      <c r="BF519" s="4089" t="s">
        <v>89</v>
      </c>
      <c r="BG519" s="4089"/>
      <c r="BH519" s="4089">
        <f t="shared" si="214"/>
        <v>20</v>
      </c>
      <c r="BI519" s="4089">
        <f t="shared" si="215"/>
        <v>20</v>
      </c>
      <c r="BJ519" s="4089">
        <f t="shared" si="216"/>
        <v>20</v>
      </c>
      <c r="BK519" s="4089">
        <f t="shared" si="217"/>
        <v>20</v>
      </c>
      <c r="BL519" s="4089">
        <f t="shared" si="218"/>
        <v>20</v>
      </c>
      <c r="BM519" s="4089">
        <f t="shared" si="219"/>
        <v>16</v>
      </c>
      <c r="BN519" s="4089">
        <f t="shared" si="212"/>
        <v>4</v>
      </c>
      <c r="BO519" s="4411"/>
      <c r="BP519" s="4411"/>
      <c r="BQ519" s="4411"/>
      <c r="BR519" s="4411"/>
      <c r="BS519" s="4411"/>
      <c r="BT519" s="4453"/>
      <c r="BU519" s="4454"/>
      <c r="BV519" s="4385">
        <f t="shared" si="225"/>
        <v>120</v>
      </c>
      <c r="BW519" s="4386">
        <f t="shared" si="230"/>
        <v>0</v>
      </c>
      <c r="BX519" s="4387"/>
      <c r="BY519" s="4387"/>
      <c r="BZ519" s="4387"/>
      <c r="CA519" s="4391"/>
      <c r="CC519" s="4392">
        <v>45871</v>
      </c>
      <c r="CD519" s="4391" t="s">
        <v>4415</v>
      </c>
    </row>
    <row r="520" s="4025" customFormat="1" ht="50" customHeight="1" spans="1:82">
      <c r="A520" s="3688">
        <v>45840</v>
      </c>
      <c r="B520" s="3689" t="s">
        <v>3495</v>
      </c>
      <c r="C520" s="3664" t="s">
        <v>91</v>
      </c>
      <c r="D520" s="3690">
        <v>4500172341</v>
      </c>
      <c r="E520" s="5456" t="s">
        <v>4425</v>
      </c>
      <c r="F520" s="3690" t="s">
        <v>4426</v>
      </c>
      <c r="G520" s="3664" t="s">
        <v>3068</v>
      </c>
      <c r="H520" s="3664" t="s">
        <v>3069</v>
      </c>
      <c r="I520" s="3691">
        <v>1536</v>
      </c>
      <c r="J520" s="3691">
        <v>2</v>
      </c>
      <c r="K520" s="3691">
        <v>384</v>
      </c>
      <c r="L520" s="3691">
        <f t="shared" si="213"/>
        <v>4</v>
      </c>
      <c r="M520" s="3659">
        <v>45870</v>
      </c>
      <c r="N520" s="3659">
        <v>45873</v>
      </c>
      <c r="O520" s="3691" t="s">
        <v>4427</v>
      </c>
      <c r="P520" s="3682" t="s">
        <v>82</v>
      </c>
      <c r="Q520" s="3682"/>
      <c r="R520" s="4083"/>
      <c r="S520" s="4083"/>
      <c r="T520" s="4083"/>
      <c r="U520" s="3645" t="s">
        <v>1767</v>
      </c>
      <c r="V520" s="3649" t="s">
        <v>3703</v>
      </c>
      <c r="W520" s="3657"/>
      <c r="X520" s="3657" t="s">
        <v>4124</v>
      </c>
      <c r="Y520" s="3657" t="s">
        <v>4327</v>
      </c>
      <c r="Z520" s="3691"/>
      <c r="AA520" s="3620" t="s">
        <v>4428</v>
      </c>
      <c r="AB520" s="3691" t="s">
        <v>3076</v>
      </c>
      <c r="AC520" s="3691">
        <v>531.79</v>
      </c>
      <c r="AD520" s="3691">
        <f t="shared" ref="AD520:AD526" si="231">AC520*L520</f>
        <v>2127.16</v>
      </c>
      <c r="AE520" s="3645" t="s">
        <v>4429</v>
      </c>
      <c r="AF520" s="3664" t="s">
        <v>3078</v>
      </c>
      <c r="AG520" s="3645" t="s">
        <v>416</v>
      </c>
      <c r="AH520" s="4430"/>
      <c r="AI520" s="3691"/>
      <c r="AJ520" s="3691">
        <f t="shared" ref="AJ520:AJ526" si="232">I520</f>
        <v>1536</v>
      </c>
      <c r="AK520" s="4430"/>
      <c r="AL520" s="3664"/>
      <c r="AM520" s="3664"/>
      <c r="AN520" s="3691"/>
      <c r="AO520" s="3691"/>
      <c r="AP520" s="3691">
        <f t="shared" si="228"/>
        <v>1536</v>
      </c>
      <c r="AQ520" s="4089"/>
      <c r="AR520" s="4413"/>
      <c r="AS520" s="4089">
        <f t="shared" ref="AS520:AS538" si="233">I520</f>
        <v>1536</v>
      </c>
      <c r="AT520" s="4413"/>
      <c r="AU520" s="4089"/>
      <c r="AV520" s="4089"/>
      <c r="AW520" s="4089"/>
      <c r="AX520" s="4089"/>
      <c r="AY520" s="4089"/>
      <c r="AZ520" s="4089"/>
      <c r="BA520" s="4089"/>
      <c r="BB520" s="4089">
        <f t="shared" ref="BB520:BB526" si="234">I520/2</f>
        <v>768</v>
      </c>
      <c r="BC520" s="4089"/>
      <c r="BD520" s="4089"/>
      <c r="BE520" s="4089"/>
      <c r="BF520" s="4089" t="s">
        <v>89</v>
      </c>
      <c r="BG520" s="4089"/>
      <c r="BH520" s="4089">
        <f t="shared" si="214"/>
        <v>256</v>
      </c>
      <c r="BI520" s="4089">
        <f t="shared" si="215"/>
        <v>256</v>
      </c>
      <c r="BJ520" s="4089">
        <f t="shared" si="216"/>
        <v>256</v>
      </c>
      <c r="BK520" s="4089">
        <f t="shared" si="217"/>
        <v>256</v>
      </c>
      <c r="BL520" s="4089">
        <f t="shared" si="218"/>
        <v>256</v>
      </c>
      <c r="BM520" s="4089">
        <f t="shared" si="219"/>
        <v>204.8</v>
      </c>
      <c r="BN520" s="4089">
        <f t="shared" si="212"/>
        <v>51.2</v>
      </c>
      <c r="BO520" s="4413"/>
      <c r="BP520" s="4413"/>
      <c r="BQ520" s="4413"/>
      <c r="BR520" s="4413"/>
      <c r="BS520" s="4413"/>
      <c r="BT520" s="4431"/>
      <c r="BU520" s="4432"/>
      <c r="BV520" s="4385">
        <f t="shared" si="225"/>
        <v>1536</v>
      </c>
      <c r="BW520" s="4386">
        <f t="shared" si="230"/>
        <v>0</v>
      </c>
      <c r="BX520" s="4387"/>
      <c r="BY520" s="4387"/>
      <c r="BZ520" s="4387"/>
      <c r="CA520" s="4391"/>
      <c r="CC520" s="4392">
        <v>45873</v>
      </c>
      <c r="CD520" s="4391" t="s">
        <v>4415</v>
      </c>
    </row>
    <row r="521" s="4025" customFormat="1" ht="50" customHeight="1" spans="1:82">
      <c r="A521" s="3688">
        <v>45840</v>
      </c>
      <c r="B521" s="3689" t="s">
        <v>3495</v>
      </c>
      <c r="C521" s="3664" t="s">
        <v>91</v>
      </c>
      <c r="D521" s="3690">
        <v>4500172341</v>
      </c>
      <c r="E521" s="5456" t="s">
        <v>4430</v>
      </c>
      <c r="F521" s="3690" t="s">
        <v>4431</v>
      </c>
      <c r="G521" s="3664" t="s">
        <v>3068</v>
      </c>
      <c r="H521" s="3664" t="s">
        <v>3069</v>
      </c>
      <c r="I521" s="3691">
        <v>1152</v>
      </c>
      <c r="J521" s="3691">
        <v>2</v>
      </c>
      <c r="K521" s="3691">
        <v>384</v>
      </c>
      <c r="L521" s="3691">
        <f t="shared" si="213"/>
        <v>3</v>
      </c>
      <c r="M521" s="3659">
        <v>45870</v>
      </c>
      <c r="N521" s="3659">
        <v>45873</v>
      </c>
      <c r="O521" s="3691" t="s">
        <v>4427</v>
      </c>
      <c r="P521" s="3682" t="s">
        <v>82</v>
      </c>
      <c r="Q521" s="3682"/>
      <c r="R521" s="4083"/>
      <c r="S521" s="4083"/>
      <c r="T521" s="4083"/>
      <c r="U521" s="3645" t="s">
        <v>218</v>
      </c>
      <c r="V521" s="3649" t="s">
        <v>3703</v>
      </c>
      <c r="W521" s="3657"/>
      <c r="X521" s="3657" t="s">
        <v>4124</v>
      </c>
      <c r="Y521" s="3657" t="s">
        <v>4327</v>
      </c>
      <c r="Z521" s="3691"/>
      <c r="AA521" s="3620" t="s">
        <v>4428</v>
      </c>
      <c r="AB521" s="3691" t="s">
        <v>3076</v>
      </c>
      <c r="AC521" s="3691">
        <v>531.79</v>
      </c>
      <c r="AD521" s="3691">
        <f t="shared" si="231"/>
        <v>1595.37</v>
      </c>
      <c r="AE521" s="3645" t="s">
        <v>4432</v>
      </c>
      <c r="AF521" s="3664" t="s">
        <v>3078</v>
      </c>
      <c r="AG521" s="3645" t="s">
        <v>416</v>
      </c>
      <c r="AH521" s="4430"/>
      <c r="AI521" s="3691"/>
      <c r="AJ521" s="3691">
        <f t="shared" si="232"/>
        <v>1152</v>
      </c>
      <c r="AK521" s="4430"/>
      <c r="AL521" s="3664"/>
      <c r="AM521" s="3664"/>
      <c r="AN521" s="3691"/>
      <c r="AO521" s="3691"/>
      <c r="AP521" s="3691">
        <f t="shared" si="228"/>
        <v>1152</v>
      </c>
      <c r="AQ521" s="4089"/>
      <c r="AR521" s="4413"/>
      <c r="AS521" s="4089">
        <f t="shared" si="233"/>
        <v>1152</v>
      </c>
      <c r="AT521" s="4413"/>
      <c r="AU521" s="4089"/>
      <c r="AV521" s="4089"/>
      <c r="AW521" s="4089"/>
      <c r="AX521" s="4089"/>
      <c r="AY521" s="4089"/>
      <c r="AZ521" s="4089"/>
      <c r="BA521" s="4089"/>
      <c r="BB521" s="4089">
        <f t="shared" si="234"/>
        <v>576</v>
      </c>
      <c r="BC521" s="4089"/>
      <c r="BD521" s="4089"/>
      <c r="BE521" s="4089"/>
      <c r="BF521" s="4089" t="s">
        <v>89</v>
      </c>
      <c r="BG521" s="4089"/>
      <c r="BH521" s="4089">
        <f t="shared" si="214"/>
        <v>192</v>
      </c>
      <c r="BI521" s="4089">
        <f t="shared" si="215"/>
        <v>192</v>
      </c>
      <c r="BJ521" s="4089">
        <f t="shared" si="216"/>
        <v>192</v>
      </c>
      <c r="BK521" s="4089">
        <f t="shared" si="217"/>
        <v>192</v>
      </c>
      <c r="BL521" s="4089">
        <f t="shared" si="218"/>
        <v>192</v>
      </c>
      <c r="BM521" s="4089">
        <f t="shared" si="219"/>
        <v>153.6</v>
      </c>
      <c r="BN521" s="4089">
        <f t="shared" si="212"/>
        <v>38.4</v>
      </c>
      <c r="BO521" s="4413"/>
      <c r="BP521" s="4413"/>
      <c r="BQ521" s="4413"/>
      <c r="BR521" s="4413"/>
      <c r="BS521" s="4413"/>
      <c r="BT521" s="4431"/>
      <c r="BU521" s="4432"/>
      <c r="BV521" s="4385">
        <f t="shared" si="225"/>
        <v>1152</v>
      </c>
      <c r="BW521" s="4385">
        <f t="shared" si="230"/>
        <v>0</v>
      </c>
      <c r="BX521" s="4387"/>
      <c r="BY521" s="4387"/>
      <c r="BZ521" s="4387"/>
      <c r="CA521" s="4391"/>
      <c r="CC521" s="4392">
        <v>45873</v>
      </c>
      <c r="CD521" s="4391" t="s">
        <v>4415</v>
      </c>
    </row>
    <row r="522" s="4025" customFormat="1" ht="50" customHeight="1" spans="1:82">
      <c r="A522" s="3688">
        <v>45840</v>
      </c>
      <c r="B522" s="3689" t="s">
        <v>3495</v>
      </c>
      <c r="C522" s="3664" t="s">
        <v>91</v>
      </c>
      <c r="D522" s="3690">
        <v>4500172341</v>
      </c>
      <c r="E522" s="5456" t="s">
        <v>4433</v>
      </c>
      <c r="F522" s="3690" t="s">
        <v>4434</v>
      </c>
      <c r="G522" s="3664" t="s">
        <v>3068</v>
      </c>
      <c r="H522" s="3664" t="s">
        <v>3069</v>
      </c>
      <c r="I522" s="3691">
        <v>768</v>
      </c>
      <c r="J522" s="3691">
        <v>2</v>
      </c>
      <c r="K522" s="3691">
        <v>384</v>
      </c>
      <c r="L522" s="3691">
        <f t="shared" si="213"/>
        <v>2</v>
      </c>
      <c r="M522" s="3659">
        <v>45870</v>
      </c>
      <c r="N522" s="3659">
        <v>45873</v>
      </c>
      <c r="O522" s="3691" t="s">
        <v>4427</v>
      </c>
      <c r="P522" s="3682" t="s">
        <v>82</v>
      </c>
      <c r="Q522" s="3682"/>
      <c r="R522" s="4083"/>
      <c r="S522" s="4083"/>
      <c r="T522" s="4083"/>
      <c r="U522" s="3645" t="s">
        <v>4435</v>
      </c>
      <c r="V522" s="3649" t="s">
        <v>3703</v>
      </c>
      <c r="W522" s="3657"/>
      <c r="X522" s="3657" t="s">
        <v>4124</v>
      </c>
      <c r="Y522" s="3657" t="s">
        <v>4327</v>
      </c>
      <c r="Z522" s="3691"/>
      <c r="AA522" s="3620" t="s">
        <v>4428</v>
      </c>
      <c r="AB522" s="3691" t="s">
        <v>3076</v>
      </c>
      <c r="AC522" s="3691">
        <v>532.85</v>
      </c>
      <c r="AD522" s="3691">
        <f t="shared" si="231"/>
        <v>1065.7</v>
      </c>
      <c r="AE522" s="3645" t="s">
        <v>4436</v>
      </c>
      <c r="AF522" s="3664" t="s">
        <v>3078</v>
      </c>
      <c r="AG522" s="3645" t="s">
        <v>416</v>
      </c>
      <c r="AH522" s="4430"/>
      <c r="AI522" s="3691"/>
      <c r="AJ522" s="3691">
        <f t="shared" si="232"/>
        <v>768</v>
      </c>
      <c r="AK522" s="4430"/>
      <c r="AL522" s="3664"/>
      <c r="AM522" s="3664"/>
      <c r="AN522" s="3691"/>
      <c r="AO522" s="3691"/>
      <c r="AP522" s="3691">
        <f t="shared" si="228"/>
        <v>768</v>
      </c>
      <c r="AQ522" s="4089"/>
      <c r="AR522" s="4413"/>
      <c r="AS522" s="4089">
        <f t="shared" si="233"/>
        <v>768</v>
      </c>
      <c r="AT522" s="4413"/>
      <c r="AU522" s="4089"/>
      <c r="AV522" s="4089"/>
      <c r="AW522" s="4089"/>
      <c r="AX522" s="4089"/>
      <c r="AY522" s="4089"/>
      <c r="AZ522" s="4089"/>
      <c r="BA522" s="4089"/>
      <c r="BB522" s="4089">
        <f t="shared" si="234"/>
        <v>384</v>
      </c>
      <c r="BC522" s="4089"/>
      <c r="BD522" s="4089"/>
      <c r="BE522" s="4089"/>
      <c r="BF522" s="4089" t="s">
        <v>89</v>
      </c>
      <c r="BG522" s="4089"/>
      <c r="BH522" s="4089">
        <f t="shared" si="214"/>
        <v>128</v>
      </c>
      <c r="BI522" s="4089">
        <f t="shared" si="215"/>
        <v>128</v>
      </c>
      <c r="BJ522" s="4089">
        <f t="shared" si="216"/>
        <v>128</v>
      </c>
      <c r="BK522" s="4089">
        <f t="shared" si="217"/>
        <v>128</v>
      </c>
      <c r="BL522" s="4089">
        <f t="shared" si="218"/>
        <v>128</v>
      </c>
      <c r="BM522" s="4089">
        <f t="shared" si="219"/>
        <v>102.4</v>
      </c>
      <c r="BN522" s="4089">
        <f t="shared" si="212"/>
        <v>25.6</v>
      </c>
      <c r="BO522" s="4413"/>
      <c r="BP522" s="4413"/>
      <c r="BQ522" s="4413"/>
      <c r="BR522" s="4413"/>
      <c r="BS522" s="4413"/>
      <c r="BT522" s="4431"/>
      <c r="BU522" s="4432"/>
      <c r="BV522" s="4385">
        <f t="shared" si="225"/>
        <v>768</v>
      </c>
      <c r="BW522" s="4386">
        <f t="shared" si="230"/>
        <v>0</v>
      </c>
      <c r="BX522" s="4387"/>
      <c r="BY522" s="4387"/>
      <c r="BZ522" s="4387"/>
      <c r="CA522" s="4391"/>
      <c r="CC522" s="4392">
        <v>45873</v>
      </c>
      <c r="CD522" s="4391" t="s">
        <v>4415</v>
      </c>
    </row>
    <row r="523" s="4025" customFormat="1" ht="50" customHeight="1" spans="1:82">
      <c r="A523" s="3688">
        <v>45840</v>
      </c>
      <c r="B523" s="3689" t="s">
        <v>3495</v>
      </c>
      <c r="C523" s="3664" t="s">
        <v>91</v>
      </c>
      <c r="D523" s="3690">
        <v>4500172341</v>
      </c>
      <c r="E523" s="5456" t="s">
        <v>4437</v>
      </c>
      <c r="F523" s="3690" t="s">
        <v>4438</v>
      </c>
      <c r="G523" s="3664" t="s">
        <v>3068</v>
      </c>
      <c r="H523" s="3664" t="s">
        <v>3069</v>
      </c>
      <c r="I523" s="3691">
        <v>768</v>
      </c>
      <c r="J523" s="3691">
        <v>2</v>
      </c>
      <c r="K523" s="3691">
        <v>384</v>
      </c>
      <c r="L523" s="3691">
        <f t="shared" si="213"/>
        <v>2</v>
      </c>
      <c r="M523" s="3659">
        <v>45870</v>
      </c>
      <c r="N523" s="3659">
        <v>45873</v>
      </c>
      <c r="O523" s="3691" t="s">
        <v>4427</v>
      </c>
      <c r="P523" s="3682" t="s">
        <v>82</v>
      </c>
      <c r="Q523" s="3682"/>
      <c r="R523" s="4083"/>
      <c r="S523" s="4083"/>
      <c r="T523" s="4083"/>
      <c r="U523" s="3645" t="s">
        <v>4435</v>
      </c>
      <c r="V523" s="3649" t="s">
        <v>3703</v>
      </c>
      <c r="W523" s="3657"/>
      <c r="X523" s="3657" t="s">
        <v>4124</v>
      </c>
      <c r="Y523" s="3657" t="s">
        <v>4327</v>
      </c>
      <c r="Z523" s="3691"/>
      <c r="AA523" s="3620" t="s">
        <v>4428</v>
      </c>
      <c r="AB523" s="3691" t="s">
        <v>3076</v>
      </c>
      <c r="AC523" s="3691">
        <v>532.85</v>
      </c>
      <c r="AD523" s="3691">
        <f t="shared" si="231"/>
        <v>1065.7</v>
      </c>
      <c r="AE523" s="3645" t="s">
        <v>4439</v>
      </c>
      <c r="AF523" s="3664" t="s">
        <v>3078</v>
      </c>
      <c r="AG523" s="3645" t="s">
        <v>416</v>
      </c>
      <c r="AH523" s="4430"/>
      <c r="AI523" s="3691"/>
      <c r="AJ523" s="3691">
        <f t="shared" si="232"/>
        <v>768</v>
      </c>
      <c r="AK523" s="4430"/>
      <c r="AL523" s="3664"/>
      <c r="AM523" s="3664"/>
      <c r="AN523" s="3691"/>
      <c r="AO523" s="3691"/>
      <c r="AP523" s="3691">
        <f t="shared" si="228"/>
        <v>768</v>
      </c>
      <c r="AQ523" s="4089"/>
      <c r="AR523" s="4413"/>
      <c r="AS523" s="4089">
        <f t="shared" si="233"/>
        <v>768</v>
      </c>
      <c r="AT523" s="4413"/>
      <c r="AU523" s="4089"/>
      <c r="AV523" s="4089"/>
      <c r="AW523" s="4089"/>
      <c r="AX523" s="4089"/>
      <c r="AY523" s="4089"/>
      <c r="AZ523" s="4089"/>
      <c r="BA523" s="4089"/>
      <c r="BB523" s="4089">
        <f t="shared" si="234"/>
        <v>384</v>
      </c>
      <c r="BC523" s="4089"/>
      <c r="BD523" s="4089"/>
      <c r="BE523" s="4089"/>
      <c r="BF523" s="4089" t="s">
        <v>89</v>
      </c>
      <c r="BG523" s="4089"/>
      <c r="BH523" s="4089">
        <f t="shared" si="214"/>
        <v>128</v>
      </c>
      <c r="BI523" s="4089">
        <f t="shared" si="215"/>
        <v>128</v>
      </c>
      <c r="BJ523" s="4089">
        <f t="shared" si="216"/>
        <v>128</v>
      </c>
      <c r="BK523" s="4089">
        <f t="shared" si="217"/>
        <v>128</v>
      </c>
      <c r="BL523" s="4089">
        <f t="shared" si="218"/>
        <v>128</v>
      </c>
      <c r="BM523" s="4089">
        <f t="shared" si="219"/>
        <v>102.4</v>
      </c>
      <c r="BN523" s="4089">
        <f t="shared" si="212"/>
        <v>25.6</v>
      </c>
      <c r="BO523" s="4413"/>
      <c r="BP523" s="4413"/>
      <c r="BQ523" s="4413"/>
      <c r="BR523" s="4413"/>
      <c r="BS523" s="4413"/>
      <c r="BT523" s="4431"/>
      <c r="BU523" s="4432"/>
      <c r="BV523" s="4385">
        <f t="shared" si="225"/>
        <v>768</v>
      </c>
      <c r="BW523" s="4386">
        <f t="shared" si="230"/>
        <v>0</v>
      </c>
      <c r="BX523" s="4387"/>
      <c r="BY523" s="4387"/>
      <c r="BZ523" s="4387"/>
      <c r="CA523" s="4391"/>
      <c r="CC523" s="4392">
        <v>45873</v>
      </c>
      <c r="CD523" s="4391" t="s">
        <v>4415</v>
      </c>
    </row>
    <row r="524" s="4025" customFormat="1" ht="50" customHeight="1" spans="1:82">
      <c r="A524" s="3688">
        <v>45840</v>
      </c>
      <c r="B524" s="3689" t="s">
        <v>3495</v>
      </c>
      <c r="C524" s="3664" t="s">
        <v>91</v>
      </c>
      <c r="D524" s="3690">
        <v>4500172341</v>
      </c>
      <c r="E524" s="5456" t="s">
        <v>4440</v>
      </c>
      <c r="F524" s="3690" t="s">
        <v>4441</v>
      </c>
      <c r="G524" s="3664" t="s">
        <v>3068</v>
      </c>
      <c r="H524" s="3664" t="s">
        <v>3069</v>
      </c>
      <c r="I524" s="3691">
        <v>1536</v>
      </c>
      <c r="J524" s="3691">
        <v>2</v>
      </c>
      <c r="K524" s="3691">
        <v>384</v>
      </c>
      <c r="L524" s="3691">
        <f t="shared" si="213"/>
        <v>4</v>
      </c>
      <c r="M524" s="3659">
        <v>45870</v>
      </c>
      <c r="N524" s="3659">
        <v>45873</v>
      </c>
      <c r="O524" s="3691" t="s">
        <v>4427</v>
      </c>
      <c r="P524" s="3682" t="s">
        <v>82</v>
      </c>
      <c r="Q524" s="3682"/>
      <c r="R524" s="4083"/>
      <c r="S524" s="4083"/>
      <c r="T524" s="4083"/>
      <c r="U524" s="3645" t="s">
        <v>224</v>
      </c>
      <c r="V524" s="3649" t="s">
        <v>3703</v>
      </c>
      <c r="W524" s="3657"/>
      <c r="X524" s="3657" t="s">
        <v>4124</v>
      </c>
      <c r="Y524" s="3657" t="s">
        <v>4327</v>
      </c>
      <c r="Z524" s="3691"/>
      <c r="AA524" s="3620" t="s">
        <v>4428</v>
      </c>
      <c r="AB524" s="3691" t="s">
        <v>3076</v>
      </c>
      <c r="AC524" s="3691">
        <v>531.79</v>
      </c>
      <c r="AD524" s="3691">
        <f t="shared" si="231"/>
        <v>2127.16</v>
      </c>
      <c r="AE524" s="3645" t="s">
        <v>4442</v>
      </c>
      <c r="AF524" s="3664" t="s">
        <v>3078</v>
      </c>
      <c r="AG524" s="3645" t="s">
        <v>416</v>
      </c>
      <c r="AH524" s="4430"/>
      <c r="AI524" s="3691"/>
      <c r="AJ524" s="3691">
        <f t="shared" si="232"/>
        <v>1536</v>
      </c>
      <c r="AK524" s="4430"/>
      <c r="AL524" s="3664"/>
      <c r="AM524" s="3664"/>
      <c r="AN524" s="3691"/>
      <c r="AO524" s="3691"/>
      <c r="AP524" s="3691">
        <f t="shared" si="228"/>
        <v>1536</v>
      </c>
      <c r="AQ524" s="4089"/>
      <c r="AR524" s="4413"/>
      <c r="AS524" s="4089">
        <f t="shared" si="233"/>
        <v>1536</v>
      </c>
      <c r="AT524" s="4413"/>
      <c r="AU524" s="4089"/>
      <c r="AV524" s="4089"/>
      <c r="AW524" s="4089"/>
      <c r="AX524" s="4089"/>
      <c r="AY524" s="4089"/>
      <c r="AZ524" s="4089"/>
      <c r="BA524" s="4089"/>
      <c r="BB524" s="4089">
        <f t="shared" si="234"/>
        <v>768</v>
      </c>
      <c r="BC524" s="4089"/>
      <c r="BD524" s="4089"/>
      <c r="BE524" s="4089"/>
      <c r="BF524" s="4089" t="s">
        <v>89</v>
      </c>
      <c r="BG524" s="4089"/>
      <c r="BH524" s="4089">
        <f t="shared" si="214"/>
        <v>256</v>
      </c>
      <c r="BI524" s="4089">
        <f t="shared" si="215"/>
        <v>256</v>
      </c>
      <c r="BJ524" s="4089">
        <f t="shared" si="216"/>
        <v>256</v>
      </c>
      <c r="BK524" s="4089">
        <f t="shared" si="217"/>
        <v>256</v>
      </c>
      <c r="BL524" s="4089">
        <f t="shared" si="218"/>
        <v>256</v>
      </c>
      <c r="BM524" s="4089">
        <f t="shared" si="219"/>
        <v>204.8</v>
      </c>
      <c r="BN524" s="4089">
        <f t="shared" si="212"/>
        <v>51.2</v>
      </c>
      <c r="BO524" s="4413"/>
      <c r="BP524" s="4413"/>
      <c r="BQ524" s="4413"/>
      <c r="BR524" s="4413"/>
      <c r="BS524" s="4413"/>
      <c r="BT524" s="4431"/>
      <c r="BU524" s="4432"/>
      <c r="BV524" s="4385">
        <f t="shared" si="225"/>
        <v>1536</v>
      </c>
      <c r="BW524" s="4386">
        <f t="shared" si="230"/>
        <v>0</v>
      </c>
      <c r="BX524" s="4387"/>
      <c r="BY524" s="4387"/>
      <c r="BZ524" s="4387"/>
      <c r="CA524" s="4391"/>
      <c r="CC524" s="4392">
        <v>45873</v>
      </c>
      <c r="CD524" s="4391" t="s">
        <v>4415</v>
      </c>
    </row>
    <row r="525" s="4025" customFormat="1" ht="50" customHeight="1" spans="1:82">
      <c r="A525" s="3688">
        <v>45840</v>
      </c>
      <c r="B525" s="3689" t="s">
        <v>3495</v>
      </c>
      <c r="C525" s="3664" t="s">
        <v>91</v>
      </c>
      <c r="D525" s="3690">
        <v>4500172341</v>
      </c>
      <c r="E525" s="5456" t="s">
        <v>4443</v>
      </c>
      <c r="F525" s="3690" t="s">
        <v>4444</v>
      </c>
      <c r="G525" s="3664" t="s">
        <v>3068</v>
      </c>
      <c r="H525" s="3664" t="s">
        <v>3069</v>
      </c>
      <c r="I525" s="3691">
        <v>768</v>
      </c>
      <c r="J525" s="3691">
        <v>2</v>
      </c>
      <c r="K525" s="3691">
        <v>384</v>
      </c>
      <c r="L525" s="3691">
        <f t="shared" si="213"/>
        <v>2</v>
      </c>
      <c r="M525" s="3659">
        <v>45870</v>
      </c>
      <c r="N525" s="3659">
        <v>45873</v>
      </c>
      <c r="O525" s="3691" t="s">
        <v>4427</v>
      </c>
      <c r="P525" s="3682" t="s">
        <v>82</v>
      </c>
      <c r="Q525" s="3682"/>
      <c r="R525" s="4083"/>
      <c r="S525" s="4083"/>
      <c r="T525" s="4083"/>
      <c r="U525" s="3645" t="s">
        <v>4445</v>
      </c>
      <c r="V525" s="3649" t="s">
        <v>3703</v>
      </c>
      <c r="W525" s="3657"/>
      <c r="X525" s="3657" t="s">
        <v>4124</v>
      </c>
      <c r="Y525" s="3657" t="s">
        <v>4327</v>
      </c>
      <c r="Z525" s="3691"/>
      <c r="AA525" s="3620" t="s">
        <v>4428</v>
      </c>
      <c r="AB525" s="3691" t="s">
        <v>3076</v>
      </c>
      <c r="AC525" s="3691">
        <v>532.85</v>
      </c>
      <c r="AD525" s="3691">
        <f t="shared" si="231"/>
        <v>1065.7</v>
      </c>
      <c r="AE525" s="3645" t="s">
        <v>4446</v>
      </c>
      <c r="AF525" s="3664" t="s">
        <v>3078</v>
      </c>
      <c r="AG525" s="3645" t="s">
        <v>416</v>
      </c>
      <c r="AH525" s="4430"/>
      <c r="AI525" s="3691"/>
      <c r="AJ525" s="3691">
        <f t="shared" si="232"/>
        <v>768</v>
      </c>
      <c r="AK525" s="4430"/>
      <c r="AL525" s="3664"/>
      <c r="AM525" s="3664"/>
      <c r="AN525" s="3691"/>
      <c r="AO525" s="3691"/>
      <c r="AP525" s="3691">
        <f t="shared" si="228"/>
        <v>768</v>
      </c>
      <c r="AQ525" s="4089"/>
      <c r="AR525" s="4413"/>
      <c r="AS525" s="4089">
        <f t="shared" si="233"/>
        <v>768</v>
      </c>
      <c r="AT525" s="4413"/>
      <c r="AU525" s="4089"/>
      <c r="AV525" s="4089"/>
      <c r="AW525" s="4089"/>
      <c r="AX525" s="4089"/>
      <c r="AY525" s="4089"/>
      <c r="AZ525" s="4089"/>
      <c r="BA525" s="4089"/>
      <c r="BB525" s="4089">
        <f t="shared" si="234"/>
        <v>384</v>
      </c>
      <c r="BC525" s="4089"/>
      <c r="BD525" s="4089"/>
      <c r="BE525" s="4089"/>
      <c r="BF525" s="4089" t="s">
        <v>89</v>
      </c>
      <c r="BG525" s="4089"/>
      <c r="BH525" s="4089">
        <f t="shared" si="214"/>
        <v>128</v>
      </c>
      <c r="BI525" s="4089">
        <f t="shared" si="215"/>
        <v>128</v>
      </c>
      <c r="BJ525" s="4089">
        <f t="shared" si="216"/>
        <v>128</v>
      </c>
      <c r="BK525" s="4089">
        <f t="shared" si="217"/>
        <v>128</v>
      </c>
      <c r="BL525" s="4089">
        <f t="shared" si="218"/>
        <v>128</v>
      </c>
      <c r="BM525" s="4089">
        <f t="shared" si="219"/>
        <v>102.4</v>
      </c>
      <c r="BN525" s="4089">
        <f t="shared" si="212"/>
        <v>25.6</v>
      </c>
      <c r="BO525" s="4413"/>
      <c r="BP525" s="4413"/>
      <c r="BQ525" s="4413"/>
      <c r="BR525" s="4413"/>
      <c r="BS525" s="4413"/>
      <c r="BT525" s="4431"/>
      <c r="BU525" s="4432"/>
      <c r="BV525" s="4385">
        <f t="shared" si="225"/>
        <v>768</v>
      </c>
      <c r="BW525" s="4386">
        <f t="shared" si="230"/>
        <v>0</v>
      </c>
      <c r="BX525" s="4387"/>
      <c r="BY525" s="4387"/>
      <c r="BZ525" s="4387"/>
      <c r="CA525" s="4391"/>
      <c r="CC525" s="4392">
        <v>45873</v>
      </c>
      <c r="CD525" s="4391" t="s">
        <v>4415</v>
      </c>
    </row>
    <row r="526" s="4025" customFormat="1" ht="50" customHeight="1" spans="1:82">
      <c r="A526" s="3688">
        <v>45840</v>
      </c>
      <c r="B526" s="3689" t="s">
        <v>3495</v>
      </c>
      <c r="C526" s="3664" t="s">
        <v>91</v>
      </c>
      <c r="D526" s="3690">
        <v>4500172341</v>
      </c>
      <c r="E526" s="5456" t="s">
        <v>4447</v>
      </c>
      <c r="F526" s="3690" t="s">
        <v>4448</v>
      </c>
      <c r="G526" s="3664" t="s">
        <v>3068</v>
      </c>
      <c r="H526" s="3664" t="s">
        <v>3069</v>
      </c>
      <c r="I526" s="3691">
        <v>768</v>
      </c>
      <c r="J526" s="3691">
        <v>2</v>
      </c>
      <c r="K526" s="3691">
        <v>384</v>
      </c>
      <c r="L526" s="3691">
        <f t="shared" si="213"/>
        <v>2</v>
      </c>
      <c r="M526" s="3659">
        <v>45870</v>
      </c>
      <c r="N526" s="3659">
        <v>45873</v>
      </c>
      <c r="O526" s="3691" t="s">
        <v>4427</v>
      </c>
      <c r="P526" s="3682" t="s">
        <v>82</v>
      </c>
      <c r="Q526" s="3682"/>
      <c r="R526" s="4083"/>
      <c r="S526" s="4083"/>
      <c r="T526" s="4083"/>
      <c r="U526" s="3645" t="s">
        <v>224</v>
      </c>
      <c r="V526" s="3649" t="s">
        <v>3703</v>
      </c>
      <c r="W526" s="3657"/>
      <c r="X526" s="3657" t="s">
        <v>4124</v>
      </c>
      <c r="Y526" s="3657" t="s">
        <v>4327</v>
      </c>
      <c r="Z526" s="3691"/>
      <c r="AA526" s="3620" t="s">
        <v>4428</v>
      </c>
      <c r="AB526" s="3691" t="s">
        <v>3076</v>
      </c>
      <c r="AC526" s="3691">
        <v>532.85</v>
      </c>
      <c r="AD526" s="3691">
        <f t="shared" si="231"/>
        <v>1065.7</v>
      </c>
      <c r="AE526" s="3645" t="s">
        <v>4449</v>
      </c>
      <c r="AF526" s="3664" t="s">
        <v>3078</v>
      </c>
      <c r="AG526" s="3645" t="s">
        <v>416</v>
      </c>
      <c r="AH526" s="4430"/>
      <c r="AI526" s="3691"/>
      <c r="AJ526" s="3691">
        <f t="shared" si="232"/>
        <v>768</v>
      </c>
      <c r="AK526" s="4430"/>
      <c r="AL526" s="3664"/>
      <c r="AM526" s="3664"/>
      <c r="AN526" s="3691"/>
      <c r="AO526" s="3691"/>
      <c r="AP526" s="3691">
        <f t="shared" si="228"/>
        <v>768</v>
      </c>
      <c r="AQ526" s="4089"/>
      <c r="AR526" s="4413"/>
      <c r="AS526" s="4089">
        <f t="shared" si="233"/>
        <v>768</v>
      </c>
      <c r="AT526" s="4413"/>
      <c r="AU526" s="4089"/>
      <c r="AV526" s="4089"/>
      <c r="AW526" s="4089"/>
      <c r="AX526" s="4089"/>
      <c r="AY526" s="4089"/>
      <c r="AZ526" s="4089"/>
      <c r="BA526" s="4089"/>
      <c r="BB526" s="4089">
        <f t="shared" si="234"/>
        <v>384</v>
      </c>
      <c r="BC526" s="4089"/>
      <c r="BD526" s="4089"/>
      <c r="BE526" s="4089"/>
      <c r="BF526" s="4089" t="s">
        <v>89</v>
      </c>
      <c r="BG526" s="4089"/>
      <c r="BH526" s="4089">
        <f t="shared" si="214"/>
        <v>128</v>
      </c>
      <c r="BI526" s="4089">
        <f t="shared" si="215"/>
        <v>128</v>
      </c>
      <c r="BJ526" s="4089">
        <f t="shared" si="216"/>
        <v>128</v>
      </c>
      <c r="BK526" s="4089">
        <f t="shared" si="217"/>
        <v>128</v>
      </c>
      <c r="BL526" s="4089">
        <f t="shared" si="218"/>
        <v>128</v>
      </c>
      <c r="BM526" s="4089">
        <f t="shared" si="219"/>
        <v>102.4</v>
      </c>
      <c r="BN526" s="4089">
        <f t="shared" si="212"/>
        <v>25.6</v>
      </c>
      <c r="BO526" s="4413"/>
      <c r="BP526" s="4413"/>
      <c r="BQ526" s="4413"/>
      <c r="BR526" s="4413"/>
      <c r="BS526" s="4413"/>
      <c r="BT526" s="4431"/>
      <c r="BU526" s="4432"/>
      <c r="BV526" s="4385">
        <f t="shared" si="225"/>
        <v>768</v>
      </c>
      <c r="BW526" s="4386">
        <f t="shared" si="230"/>
        <v>0</v>
      </c>
      <c r="BX526" s="4387"/>
      <c r="BY526" s="4387"/>
      <c r="BZ526" s="4387"/>
      <c r="CA526" s="4391"/>
      <c r="CC526" s="4392">
        <v>45873</v>
      </c>
      <c r="CD526" s="4391" t="s">
        <v>4415</v>
      </c>
    </row>
    <row r="527" s="4025" customFormat="1" ht="50" customHeight="1" spans="1:82">
      <c r="A527" s="3688">
        <v>45834</v>
      </c>
      <c r="B527" s="3689" t="s">
        <v>1596</v>
      </c>
      <c r="C527" s="3664" t="s">
        <v>1430</v>
      </c>
      <c r="D527" s="3690">
        <v>4500171272</v>
      </c>
      <c r="E527" s="3664"/>
      <c r="F527" s="3690" t="s">
        <v>4450</v>
      </c>
      <c r="G527" s="3664" t="s">
        <v>2577</v>
      </c>
      <c r="H527" s="3664" t="s">
        <v>2578</v>
      </c>
      <c r="I527" s="3691">
        <v>732</v>
      </c>
      <c r="J527" s="3691">
        <v>0</v>
      </c>
      <c r="K527" s="3691">
        <v>12</v>
      </c>
      <c r="L527" s="3691">
        <f t="shared" si="213"/>
        <v>61</v>
      </c>
      <c r="M527" s="3659">
        <v>45870</v>
      </c>
      <c r="N527" s="3659">
        <v>45875</v>
      </c>
      <c r="O527" s="3664"/>
      <c r="P527" s="3645" t="s">
        <v>82</v>
      </c>
      <c r="Q527" s="3645"/>
      <c r="R527" s="4424"/>
      <c r="S527" s="4424"/>
      <c r="T527" s="4424"/>
      <c r="U527" s="3645" t="s">
        <v>224</v>
      </c>
      <c r="V527" s="3649" t="s">
        <v>1598</v>
      </c>
      <c r="W527" s="3657"/>
      <c r="X527" s="3657" t="s">
        <v>4451</v>
      </c>
      <c r="Y527" s="3657"/>
      <c r="Z527" s="3691"/>
      <c r="AA527" s="3620" t="s">
        <v>4452</v>
      </c>
      <c r="AB527" s="3691" t="s">
        <v>1434</v>
      </c>
      <c r="AC527" s="3691">
        <v>2.1438</v>
      </c>
      <c r="AD527" s="3691">
        <f>AC527*I527</f>
        <v>1569.2616</v>
      </c>
      <c r="AE527" s="3645"/>
      <c r="AF527" s="3664" t="s">
        <v>2604</v>
      </c>
      <c r="AG527" s="3645" t="s">
        <v>416</v>
      </c>
      <c r="AH527" s="4448"/>
      <c r="AI527" s="3691"/>
      <c r="AJ527" s="3691"/>
      <c r="AK527" s="4448"/>
      <c r="AL527" s="3664"/>
      <c r="AM527" s="3664">
        <f>I527</f>
        <v>732</v>
      </c>
      <c r="AN527" s="3691"/>
      <c r="AO527" s="3691"/>
      <c r="AP527" s="3691">
        <f t="shared" si="228"/>
        <v>732</v>
      </c>
      <c r="AQ527" s="4089"/>
      <c r="AR527" s="4411"/>
      <c r="AS527" s="4089">
        <f t="shared" si="233"/>
        <v>732</v>
      </c>
      <c r="AT527" s="4411"/>
      <c r="AU527" s="4089"/>
      <c r="AV527" s="4089">
        <f>I527/6</f>
        <v>122</v>
      </c>
      <c r="AW527" s="4089"/>
      <c r="AX527" s="4089"/>
      <c r="AY527" s="4089"/>
      <c r="AZ527" s="4089"/>
      <c r="BA527" s="4089"/>
      <c r="BB527" s="4089"/>
      <c r="BC527" s="4089"/>
      <c r="BD527" s="4089"/>
      <c r="BE527" s="4089"/>
      <c r="BF527" s="4089" t="s">
        <v>89</v>
      </c>
      <c r="BG527" s="4089"/>
      <c r="BH527" s="4089">
        <f t="shared" si="214"/>
        <v>122</v>
      </c>
      <c r="BI527" s="4089">
        <f t="shared" si="215"/>
        <v>122</v>
      </c>
      <c r="BJ527" s="4089">
        <f t="shared" si="216"/>
        <v>122</v>
      </c>
      <c r="BK527" s="4089">
        <f t="shared" si="217"/>
        <v>122</v>
      </c>
      <c r="BL527" s="4089">
        <f t="shared" si="218"/>
        <v>122</v>
      </c>
      <c r="BM527" s="4089">
        <f t="shared" si="219"/>
        <v>97.6</v>
      </c>
      <c r="BN527" s="4089">
        <f t="shared" si="212"/>
        <v>24.4</v>
      </c>
      <c r="BO527" s="4411"/>
      <c r="BP527" s="4411"/>
      <c r="BQ527" s="4411"/>
      <c r="BR527" s="4411"/>
      <c r="BS527" s="4411"/>
      <c r="BT527" s="4453"/>
      <c r="BU527" s="4454"/>
      <c r="BV527" s="4385">
        <f t="shared" si="225"/>
        <v>732</v>
      </c>
      <c r="BW527" s="4386">
        <f t="shared" si="230"/>
        <v>0</v>
      </c>
      <c r="BX527" s="4387"/>
      <c r="BY527" s="4387"/>
      <c r="BZ527" s="4387"/>
      <c r="CA527" s="4391"/>
      <c r="CC527" s="4392" t="s">
        <v>4453</v>
      </c>
      <c r="CD527" s="4391" t="s">
        <v>4415</v>
      </c>
    </row>
    <row r="528" s="4025" customFormat="1" ht="50" customHeight="1" spans="1:82">
      <c r="A528" s="3688">
        <v>45839</v>
      </c>
      <c r="B528" s="3689" t="s">
        <v>407</v>
      </c>
      <c r="C528" s="3664" t="s">
        <v>91</v>
      </c>
      <c r="D528" s="3690">
        <v>4500172203</v>
      </c>
      <c r="E528" s="3664">
        <v>60235975</v>
      </c>
      <c r="F528" s="3690" t="s">
        <v>4454</v>
      </c>
      <c r="G528" s="3664" t="s">
        <v>2627</v>
      </c>
      <c r="H528" s="3691" t="s">
        <v>2591</v>
      </c>
      <c r="I528" s="3691">
        <v>2400</v>
      </c>
      <c r="J528" s="3691">
        <v>0</v>
      </c>
      <c r="K528" s="3691">
        <v>24</v>
      </c>
      <c r="L528" s="3691">
        <f t="shared" si="213"/>
        <v>100</v>
      </c>
      <c r="M528" s="3659">
        <v>45870</v>
      </c>
      <c r="N528" s="3659">
        <v>45875</v>
      </c>
      <c r="O528" s="3664"/>
      <c r="P528" s="3645" t="s">
        <v>82</v>
      </c>
      <c r="Q528" s="3645"/>
      <c r="R528" s="4424"/>
      <c r="S528" s="4424"/>
      <c r="T528" s="4424"/>
      <c r="U528" s="3645" t="s">
        <v>1394</v>
      </c>
      <c r="V528" s="3649" t="s">
        <v>1619</v>
      </c>
      <c r="W528" s="3657"/>
      <c r="X528" s="3657" t="s">
        <v>98</v>
      </c>
      <c r="Y528" s="3657" t="s">
        <v>1620</v>
      </c>
      <c r="Z528" s="3691"/>
      <c r="AA528" s="3620" t="s">
        <v>1621</v>
      </c>
      <c r="AB528" s="3691" t="s">
        <v>393</v>
      </c>
      <c r="AC528" s="3691">
        <v>1.2217</v>
      </c>
      <c r="AD528" s="3691">
        <f>I528*AC528</f>
        <v>2932.08</v>
      </c>
      <c r="AE528" s="3645" t="s">
        <v>1725</v>
      </c>
      <c r="AF528" s="3664" t="s">
        <v>2627</v>
      </c>
      <c r="AG528" s="3645" t="s">
        <v>416</v>
      </c>
      <c r="AH528" s="4448"/>
      <c r="AI528" s="3691"/>
      <c r="AJ528" s="3691">
        <f>I528</f>
        <v>2400</v>
      </c>
      <c r="AK528" s="4448"/>
      <c r="AL528" s="3664"/>
      <c r="AM528" s="3664"/>
      <c r="AN528" s="3691"/>
      <c r="AO528" s="3691"/>
      <c r="AP528" s="3691">
        <f t="shared" si="228"/>
        <v>2400</v>
      </c>
      <c r="AQ528" s="4089"/>
      <c r="AR528" s="4411"/>
      <c r="AS528" s="4089">
        <f t="shared" si="233"/>
        <v>2400</v>
      </c>
      <c r="AT528" s="4411"/>
      <c r="AU528" s="4089"/>
      <c r="AV528" s="4089"/>
      <c r="AW528" s="4089"/>
      <c r="AX528" s="4089"/>
      <c r="AY528" s="4089"/>
      <c r="AZ528" s="4089"/>
      <c r="BA528" s="4089"/>
      <c r="BB528" s="4089"/>
      <c r="BC528" s="4089"/>
      <c r="BD528" s="4089"/>
      <c r="BE528" s="4089"/>
      <c r="BF528" s="4089" t="s">
        <v>89</v>
      </c>
      <c r="BG528" s="4089"/>
      <c r="BH528" s="4089">
        <f t="shared" si="214"/>
        <v>400</v>
      </c>
      <c r="BI528" s="4089">
        <f t="shared" si="215"/>
        <v>400</v>
      </c>
      <c r="BJ528" s="4089">
        <f t="shared" si="216"/>
        <v>400</v>
      </c>
      <c r="BK528" s="4089">
        <f t="shared" si="217"/>
        <v>400</v>
      </c>
      <c r="BL528" s="4089">
        <f t="shared" si="218"/>
        <v>400</v>
      </c>
      <c r="BM528" s="4089">
        <f t="shared" si="219"/>
        <v>320</v>
      </c>
      <c r="BN528" s="4089">
        <f t="shared" si="212"/>
        <v>80</v>
      </c>
      <c r="BO528" s="4411"/>
      <c r="BP528" s="4411"/>
      <c r="BQ528" s="4411"/>
      <c r="BR528" s="4411"/>
      <c r="BS528" s="4411"/>
      <c r="BT528" s="4453"/>
      <c r="BU528" s="4454"/>
      <c r="BV528" s="4385">
        <f t="shared" si="225"/>
        <v>2400</v>
      </c>
      <c r="BW528" s="4386">
        <f t="shared" si="230"/>
        <v>0</v>
      </c>
      <c r="BX528" s="4387"/>
      <c r="BY528" s="4387"/>
      <c r="BZ528" s="4387"/>
      <c r="CA528" s="4391"/>
      <c r="CC528" s="4392">
        <v>45875</v>
      </c>
      <c r="CD528" s="4391" t="s">
        <v>4415</v>
      </c>
    </row>
    <row r="529" s="4025" customFormat="1" ht="50" customHeight="1" spans="1:82">
      <c r="A529" s="3688">
        <v>45750</v>
      </c>
      <c r="B529" s="3689" t="s">
        <v>1315</v>
      </c>
      <c r="C529" s="3664" t="s">
        <v>1316</v>
      </c>
      <c r="D529" s="3690">
        <v>4500166280</v>
      </c>
      <c r="E529" s="3664" t="s">
        <v>1726</v>
      </c>
      <c r="F529" s="3690" t="s">
        <v>1727</v>
      </c>
      <c r="G529" s="3664" t="s">
        <v>3821</v>
      </c>
      <c r="H529" s="3664" t="s">
        <v>1320</v>
      </c>
      <c r="I529" s="3691">
        <v>3040</v>
      </c>
      <c r="J529" s="3691">
        <v>0</v>
      </c>
      <c r="K529" s="3691">
        <v>4</v>
      </c>
      <c r="L529" s="3691">
        <f t="shared" si="213"/>
        <v>760</v>
      </c>
      <c r="M529" s="3659">
        <v>45871</v>
      </c>
      <c r="N529" s="3659">
        <v>45878</v>
      </c>
      <c r="O529" s="3664" t="s">
        <v>1558</v>
      </c>
      <c r="P529" s="3682" t="s">
        <v>82</v>
      </c>
      <c r="Q529" s="3682"/>
      <c r="R529" s="4083"/>
      <c r="S529" s="4083"/>
      <c r="T529" s="4083"/>
      <c r="U529" s="3645"/>
      <c r="V529" s="3649" t="s">
        <v>1322</v>
      </c>
      <c r="W529" s="3657"/>
      <c r="X529" s="3657" t="s">
        <v>1876</v>
      </c>
      <c r="Y529" s="3657"/>
      <c r="Z529" s="3691" t="s">
        <v>1728</v>
      </c>
      <c r="AA529" s="3620" t="s">
        <v>1376</v>
      </c>
      <c r="AB529" s="3691" t="s">
        <v>1326</v>
      </c>
      <c r="AC529" s="3691">
        <v>16.8583</v>
      </c>
      <c r="AD529" s="3691">
        <f>AC529*L529</f>
        <v>12812.308</v>
      </c>
      <c r="AE529" s="3645"/>
      <c r="AF529" s="3664" t="s">
        <v>3822</v>
      </c>
      <c r="AG529" s="3645" t="s">
        <v>416</v>
      </c>
      <c r="AH529" s="4430"/>
      <c r="AI529" s="3691"/>
      <c r="AJ529" s="3691"/>
      <c r="AK529" s="4430"/>
      <c r="AL529" s="3664"/>
      <c r="AM529" s="3664"/>
      <c r="AN529" s="3691">
        <f>I529</f>
        <v>3040</v>
      </c>
      <c r="AO529" s="3691"/>
      <c r="AP529" s="3691"/>
      <c r="AQ529" s="4089">
        <f>I529</f>
        <v>3040</v>
      </c>
      <c r="AR529" s="4413"/>
      <c r="AS529" s="4089">
        <f t="shared" si="233"/>
        <v>3040</v>
      </c>
      <c r="AT529" s="4413"/>
      <c r="AU529" s="4089"/>
      <c r="AV529" s="4089"/>
      <c r="AW529" s="4089"/>
      <c r="AX529" s="4089"/>
      <c r="AY529" s="4089"/>
      <c r="AZ529" s="4089"/>
      <c r="BA529" s="4089"/>
      <c r="BB529" s="4089"/>
      <c r="BC529" s="4089">
        <f>I529/4</f>
        <v>760</v>
      </c>
      <c r="BD529" s="4089"/>
      <c r="BE529" s="4089"/>
      <c r="BF529" s="4089" t="s">
        <v>1327</v>
      </c>
      <c r="BG529" s="4089"/>
      <c r="BH529" s="4089">
        <f t="shared" si="214"/>
        <v>506.666666666667</v>
      </c>
      <c r="BI529" s="4089">
        <f t="shared" si="215"/>
        <v>506.666666666667</v>
      </c>
      <c r="BJ529" s="4089">
        <f t="shared" si="216"/>
        <v>506.666666666667</v>
      </c>
      <c r="BK529" s="4089">
        <f t="shared" si="217"/>
        <v>506.666666666667</v>
      </c>
      <c r="BL529" s="4089">
        <f t="shared" si="218"/>
        <v>506.666666666667</v>
      </c>
      <c r="BM529" s="4089">
        <f t="shared" si="219"/>
        <v>405.333333333333</v>
      </c>
      <c r="BN529" s="4089">
        <f t="shared" si="212"/>
        <v>101.333333333333</v>
      </c>
      <c r="BO529" s="4413"/>
      <c r="BP529" s="4413"/>
      <c r="BQ529" s="4413"/>
      <c r="BR529" s="4413"/>
      <c r="BS529" s="4413"/>
      <c r="BT529" s="4431"/>
      <c r="BU529" s="4432"/>
      <c r="BV529" s="4385">
        <f t="shared" si="225"/>
        <v>3040</v>
      </c>
      <c r="BW529" s="4386">
        <f t="shared" si="230"/>
        <v>0</v>
      </c>
      <c r="BX529" s="4387"/>
      <c r="BY529" s="4387"/>
      <c r="BZ529" s="4387"/>
      <c r="CA529" s="4391" t="str">
        <f>VLOOKUP(D529&amp;G529&amp;H529&amp;I529,'9298 版本变更明细'!C:AJ,34,FALSE)</f>
        <v>B版本口水胶+C版本配件包（香味贴纸/指定配件）</v>
      </c>
      <c r="CC529" s="4392">
        <v>45878</v>
      </c>
      <c r="CD529" s="4391" t="s">
        <v>4455</v>
      </c>
    </row>
    <row r="530" s="4025" customFormat="1" ht="50" customHeight="1" spans="1:82">
      <c r="A530" s="3688">
        <v>45750</v>
      </c>
      <c r="B530" s="3689" t="s">
        <v>1315</v>
      </c>
      <c r="C530" s="3664" t="s">
        <v>1316</v>
      </c>
      <c r="D530" s="3690">
        <v>4500162586</v>
      </c>
      <c r="E530" s="3664" t="s">
        <v>1729</v>
      </c>
      <c r="F530" s="3690" t="s">
        <v>1730</v>
      </c>
      <c r="G530" s="3664" t="s">
        <v>3821</v>
      </c>
      <c r="H530" s="3664" t="s">
        <v>1320</v>
      </c>
      <c r="I530" s="3691">
        <v>448</v>
      </c>
      <c r="J530" s="3691">
        <v>0</v>
      </c>
      <c r="K530" s="3691">
        <v>4</v>
      </c>
      <c r="L530" s="3691">
        <f t="shared" si="213"/>
        <v>112</v>
      </c>
      <c r="M530" s="3659">
        <v>45871</v>
      </c>
      <c r="N530" s="3659">
        <v>45879</v>
      </c>
      <c r="O530" s="4085"/>
      <c r="P530" s="3682" t="s">
        <v>82</v>
      </c>
      <c r="Q530" s="3682"/>
      <c r="R530" s="4083"/>
      <c r="S530" s="4083"/>
      <c r="T530" s="4083"/>
      <c r="U530" s="3645" t="s">
        <v>401</v>
      </c>
      <c r="V530" s="3649" t="s">
        <v>1322</v>
      </c>
      <c r="W530" s="3657"/>
      <c r="X530" s="3657" t="s">
        <v>1907</v>
      </c>
      <c r="Y530" s="3657"/>
      <c r="Z530" s="3691" t="s">
        <v>1731</v>
      </c>
      <c r="AA530" s="3620" t="s">
        <v>1376</v>
      </c>
      <c r="AB530" s="3691" t="s">
        <v>1326</v>
      </c>
      <c r="AC530" s="3691">
        <v>16.9223</v>
      </c>
      <c r="AD530" s="3691">
        <f>AC530*L530</f>
        <v>1895.2976</v>
      </c>
      <c r="AE530" s="3645"/>
      <c r="AF530" s="3664" t="s">
        <v>3822</v>
      </c>
      <c r="AG530" s="3645" t="s">
        <v>416</v>
      </c>
      <c r="AH530" s="4430"/>
      <c r="AI530" s="3691"/>
      <c r="AJ530" s="3691"/>
      <c r="AK530" s="4430"/>
      <c r="AL530" s="3664"/>
      <c r="AM530" s="3664"/>
      <c r="AN530" s="3691">
        <f>I530</f>
        <v>448</v>
      </c>
      <c r="AO530" s="3691"/>
      <c r="AP530" s="3691"/>
      <c r="AQ530" s="4089">
        <f>I530</f>
        <v>448</v>
      </c>
      <c r="AR530" s="4413"/>
      <c r="AS530" s="4089">
        <f t="shared" si="233"/>
        <v>448</v>
      </c>
      <c r="AT530" s="4413"/>
      <c r="AU530" s="4089"/>
      <c r="AV530" s="4089"/>
      <c r="AW530" s="4089"/>
      <c r="AX530" s="4089"/>
      <c r="AY530" s="4089"/>
      <c r="AZ530" s="4089"/>
      <c r="BA530" s="4089"/>
      <c r="BB530" s="4089"/>
      <c r="BC530" s="4089">
        <f>I530/4</f>
        <v>112</v>
      </c>
      <c r="BD530" s="4089"/>
      <c r="BE530" s="4089"/>
      <c r="BF530" s="4089" t="s">
        <v>1327</v>
      </c>
      <c r="BG530" s="4089"/>
      <c r="BH530" s="4089">
        <f t="shared" si="214"/>
        <v>74.6666666666667</v>
      </c>
      <c r="BI530" s="4089">
        <f t="shared" si="215"/>
        <v>74.6666666666667</v>
      </c>
      <c r="BJ530" s="4089">
        <f t="shared" si="216"/>
        <v>74.6666666666667</v>
      </c>
      <c r="BK530" s="4089">
        <f t="shared" si="217"/>
        <v>74.6666666666667</v>
      </c>
      <c r="BL530" s="4089">
        <f t="shared" si="218"/>
        <v>74.6666666666667</v>
      </c>
      <c r="BM530" s="4089">
        <f t="shared" si="219"/>
        <v>59.7333333333333</v>
      </c>
      <c r="BN530" s="4089">
        <f t="shared" si="212"/>
        <v>14.9333333333333</v>
      </c>
      <c r="BO530" s="4413"/>
      <c r="BP530" s="4413"/>
      <c r="BQ530" s="4413"/>
      <c r="BR530" s="4413"/>
      <c r="BS530" s="4413"/>
      <c r="BT530" s="4431"/>
      <c r="BU530" s="4432"/>
      <c r="BV530" s="4385">
        <f t="shared" si="225"/>
        <v>448</v>
      </c>
      <c r="BW530" s="4386">
        <f t="shared" si="230"/>
        <v>0</v>
      </c>
      <c r="BX530" s="4387"/>
      <c r="BY530" s="4387"/>
      <c r="BZ530" s="4387"/>
      <c r="CA530" s="4391" t="e">
        <f>VLOOKUP(D530&amp;G530&amp;H530&amp;I530,'9298 版本变更明细'!C:AJ,34,FALSE)</f>
        <v>#N/A</v>
      </c>
      <c r="CC530" s="4392">
        <v>45879</v>
      </c>
      <c r="CD530" s="4391" t="s">
        <v>4455</v>
      </c>
    </row>
    <row r="531" s="4025" customFormat="1" ht="50" customHeight="1" spans="1:82">
      <c r="A531" s="3688">
        <v>45769</v>
      </c>
      <c r="B531" s="3689" t="s">
        <v>2285</v>
      </c>
      <c r="C531" s="3664" t="s">
        <v>351</v>
      </c>
      <c r="D531" s="3690">
        <v>4500164451</v>
      </c>
      <c r="E531" s="3664" t="s">
        <v>3330</v>
      </c>
      <c r="F531" s="3690" t="s">
        <v>4456</v>
      </c>
      <c r="G531" s="3664" t="s">
        <v>2577</v>
      </c>
      <c r="H531" s="3664" t="s">
        <v>2578</v>
      </c>
      <c r="I531" s="3691">
        <v>7044</v>
      </c>
      <c r="J531" s="3691">
        <v>0</v>
      </c>
      <c r="K531" s="3691">
        <v>12</v>
      </c>
      <c r="L531" s="3691">
        <f t="shared" si="213"/>
        <v>587</v>
      </c>
      <c r="M531" s="3659">
        <v>45873</v>
      </c>
      <c r="N531" s="3659">
        <v>45874</v>
      </c>
      <c r="O531" s="4085"/>
      <c r="P531" s="3682" t="s">
        <v>82</v>
      </c>
      <c r="Q531" s="3682"/>
      <c r="R531" s="4083"/>
      <c r="S531" s="4083"/>
      <c r="T531" s="4083"/>
      <c r="U531" s="3645" t="s">
        <v>2461</v>
      </c>
      <c r="V531" s="3649" t="s">
        <v>1419</v>
      </c>
      <c r="W531" s="3657"/>
      <c r="X531" s="3657" t="s">
        <v>98</v>
      </c>
      <c r="Y531" s="3657"/>
      <c r="Z531" s="3661" t="s">
        <v>4457</v>
      </c>
      <c r="AA531" s="3620" t="s">
        <v>4458</v>
      </c>
      <c r="AB531" s="3691" t="s">
        <v>1199</v>
      </c>
      <c r="AC531" s="3691">
        <v>2.1159</v>
      </c>
      <c r="AD531" s="3691">
        <f>AC531*I531</f>
        <v>14904.3996</v>
      </c>
      <c r="AE531" s="3645"/>
      <c r="AF531" s="3664" t="s">
        <v>4459</v>
      </c>
      <c r="AG531" s="3645" t="s">
        <v>416</v>
      </c>
      <c r="AH531" s="4430"/>
      <c r="AI531" s="3691"/>
      <c r="AJ531" s="3691"/>
      <c r="AK531" s="4430"/>
      <c r="AL531" s="3664"/>
      <c r="AM531" s="3664"/>
      <c r="AN531" s="3691">
        <f>I531</f>
        <v>7044</v>
      </c>
      <c r="AO531" s="3691">
        <f>I531</f>
        <v>7044</v>
      </c>
      <c r="AP531" s="3691"/>
      <c r="AQ531" s="4089"/>
      <c r="AR531" s="4413"/>
      <c r="AS531" s="4089">
        <f t="shared" si="233"/>
        <v>7044</v>
      </c>
      <c r="AT531" s="4413"/>
      <c r="AU531" s="4089"/>
      <c r="AV531" s="4089">
        <f>I531/6</f>
        <v>1174</v>
      </c>
      <c r="AW531" s="4089"/>
      <c r="AX531" s="4089"/>
      <c r="AY531" s="4089"/>
      <c r="AZ531" s="4089"/>
      <c r="BA531" s="4089"/>
      <c r="BB531" s="4089"/>
      <c r="BC531" s="4089"/>
      <c r="BD531" s="4089"/>
      <c r="BE531" s="4089"/>
      <c r="BF531" s="4089" t="s">
        <v>89</v>
      </c>
      <c r="BG531" s="4089"/>
      <c r="BH531" s="4089">
        <f t="shared" si="214"/>
        <v>1174</v>
      </c>
      <c r="BI531" s="4089">
        <f t="shared" si="215"/>
        <v>1174</v>
      </c>
      <c r="BJ531" s="4089">
        <f t="shared" si="216"/>
        <v>1174</v>
      </c>
      <c r="BK531" s="4089">
        <f t="shared" si="217"/>
        <v>1174</v>
      </c>
      <c r="BL531" s="4089">
        <f t="shared" si="218"/>
        <v>1174</v>
      </c>
      <c r="BM531" s="4089">
        <f t="shared" si="219"/>
        <v>939.2</v>
      </c>
      <c r="BN531" s="4089">
        <f t="shared" si="212"/>
        <v>234.8</v>
      </c>
      <c r="BO531" s="1048"/>
      <c r="BP531" s="1048"/>
      <c r="BQ531" s="1048"/>
      <c r="BR531" s="1048"/>
      <c r="BS531" s="1048"/>
      <c r="BT531" s="4414"/>
      <c r="BU531" s="4415"/>
      <c r="BV531" s="4385">
        <f t="shared" si="225"/>
        <v>7044</v>
      </c>
      <c r="BW531" s="4386">
        <f t="shared" si="230"/>
        <v>0</v>
      </c>
      <c r="BX531" s="4387"/>
      <c r="BY531" s="4387"/>
      <c r="BZ531" s="4387"/>
      <c r="CA531" s="4391" t="str">
        <f>VLOOKUP(D531&amp;G531&amp;H531&amp;I531,'9298 版本变更明细'!C:AJ,34,FALSE)</f>
        <v>版本待定</v>
      </c>
      <c r="CC531" s="4392">
        <v>45874</v>
      </c>
      <c r="CD531" s="4391" t="s">
        <v>4460</v>
      </c>
    </row>
    <row r="532" s="4025" customFormat="1" ht="50" customHeight="1" spans="1:82">
      <c r="A532" s="3688">
        <v>45769</v>
      </c>
      <c r="B532" s="3689" t="s">
        <v>2285</v>
      </c>
      <c r="C532" s="3664" t="s">
        <v>351</v>
      </c>
      <c r="D532" s="3690">
        <v>4500164451</v>
      </c>
      <c r="E532" s="3664" t="s">
        <v>3336</v>
      </c>
      <c r="F532" s="3690" t="s">
        <v>4461</v>
      </c>
      <c r="G532" s="3664" t="s">
        <v>2577</v>
      </c>
      <c r="H532" s="3664" t="s">
        <v>2578</v>
      </c>
      <c r="I532" s="3691">
        <v>2736</v>
      </c>
      <c r="J532" s="3691">
        <v>0</v>
      </c>
      <c r="K532" s="3691">
        <v>12</v>
      </c>
      <c r="L532" s="3691">
        <f t="shared" si="213"/>
        <v>228</v>
      </c>
      <c r="M532" s="3659">
        <v>45873</v>
      </c>
      <c r="N532" s="3659">
        <v>45874</v>
      </c>
      <c r="O532" s="4085"/>
      <c r="P532" s="3682" t="s">
        <v>82</v>
      </c>
      <c r="Q532" s="3682"/>
      <c r="R532" s="4083"/>
      <c r="S532" s="4083"/>
      <c r="T532" s="4083"/>
      <c r="U532" s="3645" t="s">
        <v>4462</v>
      </c>
      <c r="V532" s="3649" t="s">
        <v>1419</v>
      </c>
      <c r="W532" s="3657"/>
      <c r="X532" s="3657" t="s">
        <v>98</v>
      </c>
      <c r="Y532" s="3657"/>
      <c r="Z532" s="3661" t="s">
        <v>4457</v>
      </c>
      <c r="AA532" s="3620" t="s">
        <v>4458</v>
      </c>
      <c r="AB532" s="3691" t="s">
        <v>1199</v>
      </c>
      <c r="AC532" s="3691">
        <v>2.1159</v>
      </c>
      <c r="AD532" s="3691">
        <f>AC532*I532</f>
        <v>5789.1024</v>
      </c>
      <c r="AE532" s="3645"/>
      <c r="AF532" s="3664" t="s">
        <v>4459</v>
      </c>
      <c r="AG532" s="3645" t="s">
        <v>416</v>
      </c>
      <c r="AH532" s="4430"/>
      <c r="AI532" s="3691"/>
      <c r="AJ532" s="3691"/>
      <c r="AK532" s="4430"/>
      <c r="AL532" s="3664"/>
      <c r="AM532" s="3664"/>
      <c r="AN532" s="3691">
        <f>I532</f>
        <v>2736</v>
      </c>
      <c r="AO532" s="3691">
        <f>I532</f>
        <v>2736</v>
      </c>
      <c r="AP532" s="3691"/>
      <c r="AQ532" s="4089"/>
      <c r="AR532" s="4413"/>
      <c r="AS532" s="4089">
        <f t="shared" si="233"/>
        <v>2736</v>
      </c>
      <c r="AT532" s="4413"/>
      <c r="AU532" s="4089"/>
      <c r="AV532" s="4089">
        <f>I532/6</f>
        <v>456</v>
      </c>
      <c r="AW532" s="4089"/>
      <c r="AX532" s="4089"/>
      <c r="AY532" s="4089"/>
      <c r="AZ532" s="4089"/>
      <c r="BA532" s="4089"/>
      <c r="BB532" s="4089"/>
      <c r="BC532" s="4089"/>
      <c r="BD532" s="4089"/>
      <c r="BE532" s="4089"/>
      <c r="BF532" s="4089" t="s">
        <v>89</v>
      </c>
      <c r="BG532" s="4089"/>
      <c r="BH532" s="4089">
        <f t="shared" si="214"/>
        <v>456</v>
      </c>
      <c r="BI532" s="4089">
        <f t="shared" si="215"/>
        <v>456</v>
      </c>
      <c r="BJ532" s="4089">
        <f t="shared" si="216"/>
        <v>456</v>
      </c>
      <c r="BK532" s="4089">
        <f t="shared" si="217"/>
        <v>456</v>
      </c>
      <c r="BL532" s="4089">
        <f t="shared" si="218"/>
        <v>456</v>
      </c>
      <c r="BM532" s="4089">
        <f t="shared" si="219"/>
        <v>364.8</v>
      </c>
      <c r="BN532" s="4089">
        <f t="shared" si="212"/>
        <v>91.2</v>
      </c>
      <c r="BO532" s="1048"/>
      <c r="BP532" s="1048"/>
      <c r="BQ532" s="1048"/>
      <c r="BR532" s="1048"/>
      <c r="BS532" s="1048"/>
      <c r="BT532" s="4414"/>
      <c r="BU532" s="4415"/>
      <c r="BV532" s="4385">
        <f t="shared" si="225"/>
        <v>2736</v>
      </c>
      <c r="BW532" s="4386">
        <f t="shared" si="230"/>
        <v>0</v>
      </c>
      <c r="BX532" s="4387"/>
      <c r="BY532" s="4387"/>
      <c r="BZ532" s="4387"/>
      <c r="CA532" s="4391" t="str">
        <f>VLOOKUP(D532&amp;G532&amp;H532&amp;I532,'9298 版本变更明细'!C:AJ,34,FALSE)</f>
        <v>版本待定</v>
      </c>
      <c r="CC532" s="4392">
        <v>45874</v>
      </c>
      <c r="CD532" s="4391" t="s">
        <v>4460</v>
      </c>
    </row>
    <row r="533" s="4025" customFormat="1" ht="50" customHeight="1" spans="1:82">
      <c r="A533" s="3688">
        <v>45839</v>
      </c>
      <c r="B533" s="3689" t="s">
        <v>2775</v>
      </c>
      <c r="C533" s="3664" t="s">
        <v>2776</v>
      </c>
      <c r="D533" s="3690">
        <v>4500171253</v>
      </c>
      <c r="E533" s="3664"/>
      <c r="F533" s="3690" t="s">
        <v>4463</v>
      </c>
      <c r="G533" s="3664" t="s">
        <v>2577</v>
      </c>
      <c r="H533" s="3664" t="s">
        <v>2578</v>
      </c>
      <c r="I533" s="3691">
        <v>1500</v>
      </c>
      <c r="J533" s="3691">
        <v>0</v>
      </c>
      <c r="K533" s="3691">
        <v>12</v>
      </c>
      <c r="L533" s="3691">
        <f t="shared" si="213"/>
        <v>125</v>
      </c>
      <c r="M533" s="3659">
        <v>45874</v>
      </c>
      <c r="N533" s="3659">
        <v>45870</v>
      </c>
      <c r="O533" s="3664"/>
      <c r="P533" s="3682" t="s">
        <v>82</v>
      </c>
      <c r="Q533" s="3682"/>
      <c r="R533" s="4083"/>
      <c r="S533" s="4083"/>
      <c r="T533" s="4083"/>
      <c r="U533" s="3645" t="s">
        <v>224</v>
      </c>
      <c r="V533" s="3649" t="s">
        <v>4464</v>
      </c>
      <c r="W533" s="3657"/>
      <c r="X533" s="3657" t="s">
        <v>4465</v>
      </c>
      <c r="Y533" s="3657"/>
      <c r="Z533" s="3691"/>
      <c r="AA533" s="3620" t="s">
        <v>4466</v>
      </c>
      <c r="AB533" s="3691" t="s">
        <v>459</v>
      </c>
      <c r="AC533" s="3691">
        <v>2.1392</v>
      </c>
      <c r="AD533" s="3691">
        <f>AC533*I533</f>
        <v>3208.8</v>
      </c>
      <c r="AE533" s="3645"/>
      <c r="AF533" s="3664" t="s">
        <v>2604</v>
      </c>
      <c r="AG533" s="3645" t="s">
        <v>416</v>
      </c>
      <c r="AH533" s="4430"/>
      <c r="AI533" s="3691"/>
      <c r="AJ533" s="3691"/>
      <c r="AK533" s="4430"/>
      <c r="AL533" s="3664"/>
      <c r="AM533" s="3664">
        <f>I533</f>
        <v>1500</v>
      </c>
      <c r="AN533" s="3691"/>
      <c r="AO533" s="3691"/>
      <c r="AP533" s="3691">
        <f t="shared" ref="AP533:AP564" si="235">I533</f>
        <v>1500</v>
      </c>
      <c r="AQ533" s="4089"/>
      <c r="AR533" s="4413"/>
      <c r="AS533" s="4089">
        <f t="shared" si="233"/>
        <v>1500</v>
      </c>
      <c r="AT533" s="4413"/>
      <c r="AU533" s="4089"/>
      <c r="AV533" s="4089"/>
      <c r="AW533" s="4089">
        <f>I533/6</f>
        <v>250</v>
      </c>
      <c r="AX533" s="4089"/>
      <c r="AY533" s="4089"/>
      <c r="AZ533" s="4089"/>
      <c r="BA533" s="4089"/>
      <c r="BB533" s="4089"/>
      <c r="BC533" s="4089"/>
      <c r="BD533" s="4089"/>
      <c r="BE533" s="4089"/>
      <c r="BF533" s="4089" t="s">
        <v>89</v>
      </c>
      <c r="BG533" s="4089"/>
      <c r="BH533" s="4089">
        <f t="shared" si="214"/>
        <v>250</v>
      </c>
      <c r="BI533" s="4089">
        <f t="shared" si="215"/>
        <v>250</v>
      </c>
      <c r="BJ533" s="4089">
        <f t="shared" si="216"/>
        <v>250</v>
      </c>
      <c r="BK533" s="4089">
        <f t="shared" si="217"/>
        <v>250</v>
      </c>
      <c r="BL533" s="4089">
        <f t="shared" si="218"/>
        <v>250</v>
      </c>
      <c r="BM533" s="4089">
        <f t="shared" si="219"/>
        <v>200</v>
      </c>
      <c r="BN533" s="4089">
        <f t="shared" si="212"/>
        <v>50</v>
      </c>
      <c r="BO533" s="4413"/>
      <c r="BP533" s="4413"/>
      <c r="BQ533" s="4413"/>
      <c r="BR533" s="4413"/>
      <c r="BS533" s="4413"/>
      <c r="BT533" s="4431"/>
      <c r="BU533" s="4432"/>
      <c r="BV533" s="4385">
        <f t="shared" si="225"/>
        <v>1500</v>
      </c>
      <c r="BW533" s="4386">
        <f t="shared" si="230"/>
        <v>0</v>
      </c>
      <c r="BX533" s="4387"/>
      <c r="BY533" s="4387"/>
      <c r="BZ533" s="4387"/>
      <c r="CA533" s="4391"/>
      <c r="CC533" s="4392" t="s">
        <v>4467</v>
      </c>
      <c r="CD533" s="4391" t="e">
        <v>#N/A</v>
      </c>
    </row>
    <row r="534" s="4025" customFormat="1" ht="50" customHeight="1" spans="1:82">
      <c r="A534" s="3688">
        <v>45838</v>
      </c>
      <c r="B534" s="3689" t="s">
        <v>1596</v>
      </c>
      <c r="C534" s="3664" t="s">
        <v>1430</v>
      </c>
      <c r="D534" s="3690">
        <v>4500172103</v>
      </c>
      <c r="E534" s="3664"/>
      <c r="F534" s="3690" t="s">
        <v>4468</v>
      </c>
      <c r="G534" s="3664" t="s">
        <v>2577</v>
      </c>
      <c r="H534" s="3664" t="s">
        <v>2578</v>
      </c>
      <c r="I534" s="3691">
        <v>1200</v>
      </c>
      <c r="J534" s="3691">
        <v>0</v>
      </c>
      <c r="K534" s="3691">
        <v>12</v>
      </c>
      <c r="L534" s="3691">
        <f t="shared" si="213"/>
        <v>100</v>
      </c>
      <c r="M534" s="3659">
        <v>45874</v>
      </c>
      <c r="N534" s="3659">
        <v>45875</v>
      </c>
      <c r="O534" s="3664"/>
      <c r="P534" s="3682" t="s">
        <v>82</v>
      </c>
      <c r="Q534" s="3682"/>
      <c r="R534" s="4083"/>
      <c r="S534" s="4083"/>
      <c r="T534" s="4083"/>
      <c r="U534" s="3645" t="s">
        <v>224</v>
      </c>
      <c r="V534" s="3649" t="s">
        <v>1598</v>
      </c>
      <c r="W534" s="3657"/>
      <c r="X534" s="3657" t="s">
        <v>98</v>
      </c>
      <c r="Y534" s="3657"/>
      <c r="Z534" s="3661"/>
      <c r="AA534" s="3620" t="s">
        <v>4469</v>
      </c>
      <c r="AB534" s="3691" t="s">
        <v>1434</v>
      </c>
      <c r="AC534" s="3691">
        <v>2.0887</v>
      </c>
      <c r="AD534" s="3691">
        <f>I534*AC534</f>
        <v>2506.44</v>
      </c>
      <c r="AE534" s="3645"/>
      <c r="AF534" s="3664" t="s">
        <v>2604</v>
      </c>
      <c r="AG534" s="3645" t="s">
        <v>416</v>
      </c>
      <c r="AH534" s="4430"/>
      <c r="AI534" s="3691"/>
      <c r="AJ534" s="3691"/>
      <c r="AK534" s="4430"/>
      <c r="AL534" s="3664"/>
      <c r="AM534" s="3664">
        <f>I534</f>
        <v>1200</v>
      </c>
      <c r="AN534" s="3691"/>
      <c r="AO534" s="3691"/>
      <c r="AP534" s="3691">
        <f t="shared" si="235"/>
        <v>1200</v>
      </c>
      <c r="AQ534" s="4089"/>
      <c r="AR534" s="4413"/>
      <c r="AS534" s="4089">
        <f t="shared" si="233"/>
        <v>1200</v>
      </c>
      <c r="AT534" s="4413"/>
      <c r="AU534" s="4089"/>
      <c r="AV534" s="4089"/>
      <c r="AW534" s="4089">
        <f>I534/6</f>
        <v>200</v>
      </c>
      <c r="AX534" s="4089"/>
      <c r="AY534" s="4089"/>
      <c r="AZ534" s="4089"/>
      <c r="BA534" s="4089"/>
      <c r="BB534" s="4089"/>
      <c r="BC534" s="4089"/>
      <c r="BD534" s="4089"/>
      <c r="BE534" s="4089"/>
      <c r="BF534" s="4089" t="s">
        <v>89</v>
      </c>
      <c r="BG534" s="4089"/>
      <c r="BH534" s="4089">
        <f t="shared" si="214"/>
        <v>200</v>
      </c>
      <c r="BI534" s="4089">
        <f t="shared" si="215"/>
        <v>200</v>
      </c>
      <c r="BJ534" s="4089">
        <f t="shared" si="216"/>
        <v>200</v>
      </c>
      <c r="BK534" s="4089">
        <f t="shared" si="217"/>
        <v>200</v>
      </c>
      <c r="BL534" s="4089">
        <f t="shared" si="218"/>
        <v>200</v>
      </c>
      <c r="BM534" s="4089">
        <f t="shared" si="219"/>
        <v>160</v>
      </c>
      <c r="BN534" s="4089">
        <f t="shared" si="212"/>
        <v>40</v>
      </c>
      <c r="BO534" s="4413"/>
      <c r="BP534" s="4413"/>
      <c r="BQ534" s="4413"/>
      <c r="BR534" s="4413"/>
      <c r="BS534" s="4413"/>
      <c r="BT534" s="4431"/>
      <c r="BU534" s="4432"/>
      <c r="BV534" s="4385">
        <f t="shared" si="225"/>
        <v>1200</v>
      </c>
      <c r="BW534" s="4386">
        <f t="shared" si="230"/>
        <v>0</v>
      </c>
      <c r="BX534" s="4387"/>
      <c r="BY534" s="4387"/>
      <c r="BZ534" s="4387"/>
      <c r="CA534" s="4391"/>
      <c r="CC534" s="4392" t="s">
        <v>4453</v>
      </c>
      <c r="CD534" s="4391" t="s">
        <v>4470</v>
      </c>
    </row>
    <row r="535" s="4025" customFormat="1" ht="50" customHeight="1" spans="1:82">
      <c r="A535" s="3688">
        <v>45836</v>
      </c>
      <c r="B535" s="3689" t="s">
        <v>1617</v>
      </c>
      <c r="C535" s="3664" t="s">
        <v>91</v>
      </c>
      <c r="D535" s="3690">
        <v>4500171778</v>
      </c>
      <c r="E535" s="3664">
        <v>70072654</v>
      </c>
      <c r="F535" s="3690" t="s">
        <v>4471</v>
      </c>
      <c r="G535" s="3664" t="s">
        <v>2627</v>
      </c>
      <c r="H535" s="3691" t="s">
        <v>2591</v>
      </c>
      <c r="I535" s="3691">
        <v>1200</v>
      </c>
      <c r="J535" s="3691">
        <v>0</v>
      </c>
      <c r="K535" s="3691">
        <v>24</v>
      </c>
      <c r="L535" s="3691">
        <f t="shared" si="213"/>
        <v>50</v>
      </c>
      <c r="M535" s="3659">
        <v>45874</v>
      </c>
      <c r="N535" s="3659">
        <v>45880</v>
      </c>
      <c r="O535" s="3664"/>
      <c r="P535" s="3682" t="s">
        <v>82</v>
      </c>
      <c r="Q535" s="3682"/>
      <c r="R535" s="4083"/>
      <c r="S535" s="4083"/>
      <c r="T535" s="4083"/>
      <c r="U535" s="3645" t="s">
        <v>224</v>
      </c>
      <c r="V535" s="3649" t="s">
        <v>1619</v>
      </c>
      <c r="W535" s="3657"/>
      <c r="X535" s="3657" t="s">
        <v>98</v>
      </c>
      <c r="Y535" s="3657" t="s">
        <v>1620</v>
      </c>
      <c r="Z535" s="3661"/>
      <c r="AA535" s="3620" t="s">
        <v>1621</v>
      </c>
      <c r="AB535" s="3691" t="s">
        <v>393</v>
      </c>
      <c r="AC535" s="3691">
        <v>1.2217</v>
      </c>
      <c r="AD535" s="3691">
        <f t="shared" ref="AD535:AD570" si="236">AC535*I535</f>
        <v>1466.04</v>
      </c>
      <c r="AE535" s="3645" t="s">
        <v>1622</v>
      </c>
      <c r="AF535" s="3664" t="s">
        <v>2627</v>
      </c>
      <c r="AG535" s="3645" t="s">
        <v>416</v>
      </c>
      <c r="AH535" s="4430"/>
      <c r="AI535" s="3691"/>
      <c r="AJ535" s="3691">
        <f>I535</f>
        <v>1200</v>
      </c>
      <c r="AK535" s="4430"/>
      <c r="AL535" s="3664"/>
      <c r="AM535" s="3664"/>
      <c r="AN535" s="3691"/>
      <c r="AO535" s="3691"/>
      <c r="AP535" s="3691">
        <f t="shared" si="235"/>
        <v>1200</v>
      </c>
      <c r="AQ535" s="4089"/>
      <c r="AR535" s="4413"/>
      <c r="AS535" s="4089">
        <f t="shared" si="233"/>
        <v>1200</v>
      </c>
      <c r="AT535" s="4413"/>
      <c r="AU535" s="4089"/>
      <c r="AV535" s="4089"/>
      <c r="AW535" s="4089"/>
      <c r="AX535" s="4089"/>
      <c r="AY535" s="4089"/>
      <c r="AZ535" s="4089"/>
      <c r="BA535" s="4089"/>
      <c r="BB535" s="4089"/>
      <c r="BC535" s="4089"/>
      <c r="BD535" s="4089"/>
      <c r="BE535" s="4089"/>
      <c r="BF535" s="4089" t="s">
        <v>89</v>
      </c>
      <c r="BG535" s="4089"/>
      <c r="BH535" s="4089">
        <f t="shared" si="214"/>
        <v>200</v>
      </c>
      <c r="BI535" s="4089">
        <f t="shared" si="215"/>
        <v>200</v>
      </c>
      <c r="BJ535" s="4089">
        <f t="shared" si="216"/>
        <v>200</v>
      </c>
      <c r="BK535" s="4089">
        <f t="shared" si="217"/>
        <v>200</v>
      </c>
      <c r="BL535" s="4089">
        <f t="shared" si="218"/>
        <v>200</v>
      </c>
      <c r="BM535" s="4089">
        <f t="shared" si="219"/>
        <v>160</v>
      </c>
      <c r="BN535" s="4089">
        <f t="shared" si="212"/>
        <v>40</v>
      </c>
      <c r="BO535" s="4413"/>
      <c r="BP535" s="4413"/>
      <c r="BQ535" s="4413"/>
      <c r="BR535" s="4413"/>
      <c r="BS535" s="4413"/>
      <c r="BT535" s="4431"/>
      <c r="BU535" s="4432"/>
      <c r="BV535" s="4385">
        <f t="shared" si="225"/>
        <v>1200</v>
      </c>
      <c r="BW535" s="4386">
        <f t="shared" si="230"/>
        <v>0</v>
      </c>
      <c r="BX535" s="4387"/>
      <c r="BY535" s="4387"/>
      <c r="BZ535" s="4387"/>
      <c r="CA535" s="4391"/>
      <c r="CC535" s="4392">
        <v>45880</v>
      </c>
      <c r="CD535" s="4391" t="s">
        <v>4470</v>
      </c>
    </row>
    <row r="536" s="4025" customFormat="1" ht="50" customHeight="1" spans="1:82">
      <c r="A536" s="4428">
        <v>45840</v>
      </c>
      <c r="B536" s="959" t="s">
        <v>90</v>
      </c>
      <c r="C536" s="959" t="s">
        <v>91</v>
      </c>
      <c r="D536" s="3618">
        <v>4500172365</v>
      </c>
      <c r="E536" s="3664" t="s">
        <v>4472</v>
      </c>
      <c r="F536" s="3618" t="s">
        <v>4473</v>
      </c>
      <c r="G536" s="3664" t="s">
        <v>2719</v>
      </c>
      <c r="H536" s="3691" t="s">
        <v>2591</v>
      </c>
      <c r="I536" s="3691">
        <v>2202</v>
      </c>
      <c r="J536" s="3691">
        <v>0</v>
      </c>
      <c r="K536" s="3691">
        <v>6</v>
      </c>
      <c r="L536" s="3691">
        <f t="shared" si="213"/>
        <v>367</v>
      </c>
      <c r="M536" s="3659">
        <v>45876</v>
      </c>
      <c r="N536" s="3659">
        <v>45876</v>
      </c>
      <c r="O536" s="3664"/>
      <c r="P536" s="3682" t="s">
        <v>82</v>
      </c>
      <c r="Q536" s="3682"/>
      <c r="R536" s="4083"/>
      <c r="S536" s="4083"/>
      <c r="T536" s="4083"/>
      <c r="U536" s="3645" t="s">
        <v>1675</v>
      </c>
      <c r="V536" s="3649" t="s">
        <v>1676</v>
      </c>
      <c r="W536" s="3657"/>
      <c r="X536" s="3657" t="s">
        <v>98</v>
      </c>
      <c r="Y536" s="3657" t="s">
        <v>1620</v>
      </c>
      <c r="Z536" s="3661"/>
      <c r="AA536" s="3620" t="s">
        <v>1677</v>
      </c>
      <c r="AB536" s="3691" t="s">
        <v>101</v>
      </c>
      <c r="AC536" s="4087">
        <v>1.2596</v>
      </c>
      <c r="AD536" s="3691">
        <f t="shared" si="236"/>
        <v>2773.6392</v>
      </c>
      <c r="AE536" s="3645" t="s">
        <v>1678</v>
      </c>
      <c r="AF536" s="3664" t="s">
        <v>2719</v>
      </c>
      <c r="AG536" s="3645" t="s">
        <v>416</v>
      </c>
      <c r="AH536" s="4430"/>
      <c r="AI536" s="3691"/>
      <c r="AJ536" s="3691">
        <f>I536</f>
        <v>2202</v>
      </c>
      <c r="AK536" s="4430"/>
      <c r="AL536" s="3664"/>
      <c r="AM536" s="3664"/>
      <c r="AN536" s="3691"/>
      <c r="AO536" s="3691"/>
      <c r="AP536" s="3691">
        <f t="shared" si="235"/>
        <v>2202</v>
      </c>
      <c r="AQ536" s="4089"/>
      <c r="AR536" s="4413"/>
      <c r="AS536" s="4089">
        <f t="shared" si="233"/>
        <v>2202</v>
      </c>
      <c r="AT536" s="4413"/>
      <c r="AU536" s="4089"/>
      <c r="AV536" s="4089"/>
      <c r="AW536" s="4089"/>
      <c r="AX536" s="4089"/>
      <c r="AY536" s="4089"/>
      <c r="AZ536" s="4089"/>
      <c r="BA536" s="4089"/>
      <c r="BB536" s="4089"/>
      <c r="BC536" s="4089"/>
      <c r="BD536" s="4089"/>
      <c r="BE536" s="4089"/>
      <c r="BF536" s="4089" t="s">
        <v>89</v>
      </c>
      <c r="BG536" s="4089"/>
      <c r="BH536" s="4089">
        <f t="shared" si="214"/>
        <v>367</v>
      </c>
      <c r="BI536" s="4089">
        <f t="shared" si="215"/>
        <v>367</v>
      </c>
      <c r="BJ536" s="4089">
        <f t="shared" si="216"/>
        <v>367</v>
      </c>
      <c r="BK536" s="4089">
        <f t="shared" si="217"/>
        <v>367</v>
      </c>
      <c r="BL536" s="4089">
        <f t="shared" si="218"/>
        <v>367</v>
      </c>
      <c r="BM536" s="4089">
        <f t="shared" si="219"/>
        <v>293.6</v>
      </c>
      <c r="BN536" s="4089">
        <f t="shared" si="212"/>
        <v>73.4</v>
      </c>
      <c r="BO536" s="4413"/>
      <c r="BP536" s="4413"/>
      <c r="BQ536" s="4413"/>
      <c r="BR536" s="4413"/>
      <c r="BS536" s="4413"/>
      <c r="BT536" s="4431"/>
      <c r="BU536" s="4432"/>
      <c r="BV536" s="4385">
        <f t="shared" si="225"/>
        <v>2202</v>
      </c>
      <c r="BW536" s="4386">
        <f t="shared" si="230"/>
        <v>0</v>
      </c>
      <c r="BX536" s="4387"/>
      <c r="BY536" s="4387"/>
      <c r="BZ536" s="4387"/>
      <c r="CA536" s="4391"/>
      <c r="CC536" s="4392">
        <v>45876</v>
      </c>
      <c r="CD536" s="4391" t="s">
        <v>4474</v>
      </c>
    </row>
    <row r="537" s="4025" customFormat="1" ht="50" customHeight="1" spans="1:82">
      <c r="A537" s="4428">
        <v>45840</v>
      </c>
      <c r="B537" s="959" t="s">
        <v>90</v>
      </c>
      <c r="C537" s="959" t="s">
        <v>91</v>
      </c>
      <c r="D537" s="3618">
        <v>4500172370</v>
      </c>
      <c r="E537" s="3664" t="s">
        <v>4475</v>
      </c>
      <c r="F537" s="3618" t="s">
        <v>4476</v>
      </c>
      <c r="G537" s="3664" t="s">
        <v>2719</v>
      </c>
      <c r="H537" s="3691" t="s">
        <v>2591</v>
      </c>
      <c r="I537" s="3691">
        <v>2400</v>
      </c>
      <c r="J537" s="3691">
        <v>0</v>
      </c>
      <c r="K537" s="3691">
        <v>6</v>
      </c>
      <c r="L537" s="3691">
        <f t="shared" si="213"/>
        <v>400</v>
      </c>
      <c r="M537" s="3659">
        <v>45876</v>
      </c>
      <c r="N537" s="3659">
        <v>45876</v>
      </c>
      <c r="O537" s="3664"/>
      <c r="P537" s="3682" t="s">
        <v>82</v>
      </c>
      <c r="Q537" s="3682"/>
      <c r="R537" s="4083"/>
      <c r="S537" s="4083"/>
      <c r="T537" s="4083"/>
      <c r="U537" s="3645" t="s">
        <v>218</v>
      </c>
      <c r="V537" s="3649" t="s">
        <v>1676</v>
      </c>
      <c r="W537" s="3657"/>
      <c r="X537" s="3657" t="s">
        <v>98</v>
      </c>
      <c r="Y537" s="3649" t="s">
        <v>1620</v>
      </c>
      <c r="Z537" s="3661"/>
      <c r="AA537" s="3620" t="s">
        <v>1677</v>
      </c>
      <c r="AB537" s="3691" t="s">
        <v>101</v>
      </c>
      <c r="AC537" s="4087">
        <v>1.2596</v>
      </c>
      <c r="AD537" s="3691">
        <f t="shared" si="236"/>
        <v>3023.04</v>
      </c>
      <c r="AE537" s="4419" t="s">
        <v>1681</v>
      </c>
      <c r="AF537" s="3664" t="s">
        <v>2719</v>
      </c>
      <c r="AG537" s="3645" t="s">
        <v>416</v>
      </c>
      <c r="AH537" s="4430"/>
      <c r="AI537" s="3691"/>
      <c r="AJ537" s="3691">
        <f>I537</f>
        <v>2400</v>
      </c>
      <c r="AK537" s="4430"/>
      <c r="AL537" s="3664"/>
      <c r="AM537" s="3664"/>
      <c r="AN537" s="3691"/>
      <c r="AO537" s="3691"/>
      <c r="AP537" s="3691">
        <f t="shared" si="235"/>
        <v>2400</v>
      </c>
      <c r="AQ537" s="4089"/>
      <c r="AR537" s="4413"/>
      <c r="AS537" s="4089">
        <f t="shared" si="233"/>
        <v>2400</v>
      </c>
      <c r="AT537" s="4413"/>
      <c r="AU537" s="4089"/>
      <c r="AV537" s="4089"/>
      <c r="AW537" s="4089"/>
      <c r="AX537" s="4089"/>
      <c r="AY537" s="4089"/>
      <c r="AZ537" s="4089"/>
      <c r="BA537" s="4089"/>
      <c r="BB537" s="4089"/>
      <c r="BC537" s="4089"/>
      <c r="BD537" s="4089"/>
      <c r="BE537" s="4089"/>
      <c r="BF537" s="4089" t="s">
        <v>89</v>
      </c>
      <c r="BG537" s="4089"/>
      <c r="BH537" s="4089">
        <f t="shared" si="214"/>
        <v>400</v>
      </c>
      <c r="BI537" s="4089">
        <f t="shared" si="215"/>
        <v>400</v>
      </c>
      <c r="BJ537" s="4089">
        <f t="shared" si="216"/>
        <v>400</v>
      </c>
      <c r="BK537" s="4089">
        <f t="shared" si="217"/>
        <v>400</v>
      </c>
      <c r="BL537" s="4089">
        <f t="shared" si="218"/>
        <v>400</v>
      </c>
      <c r="BM537" s="4089">
        <f t="shared" si="219"/>
        <v>320</v>
      </c>
      <c r="BN537" s="4089">
        <f t="shared" si="212"/>
        <v>80</v>
      </c>
      <c r="BO537" s="4413"/>
      <c r="BP537" s="4413"/>
      <c r="BQ537" s="4413"/>
      <c r="BR537" s="4413"/>
      <c r="BS537" s="4413"/>
      <c r="BT537" s="4431"/>
      <c r="BU537" s="4432"/>
      <c r="BV537" s="4385">
        <f t="shared" si="225"/>
        <v>2400</v>
      </c>
      <c r="BW537" s="4386">
        <f t="shared" si="230"/>
        <v>0</v>
      </c>
      <c r="BX537" s="4387"/>
      <c r="BY537" s="4387"/>
      <c r="BZ537" s="4387"/>
      <c r="CA537" s="4391"/>
      <c r="CC537" s="4392">
        <v>45876</v>
      </c>
      <c r="CD537" s="4391" t="s">
        <v>4474</v>
      </c>
    </row>
    <row r="538" s="4025" customFormat="1" ht="50" customHeight="1" spans="1:82">
      <c r="A538" s="4428">
        <v>45834</v>
      </c>
      <c r="B538" s="959" t="s">
        <v>4477</v>
      </c>
      <c r="C538" s="959" t="s">
        <v>2813</v>
      </c>
      <c r="D538" s="3618">
        <v>4500171332</v>
      </c>
      <c r="E538" s="3664"/>
      <c r="F538" s="3618" t="s">
        <v>4478</v>
      </c>
      <c r="G538" s="3664" t="s">
        <v>2577</v>
      </c>
      <c r="H538" s="3664" t="s">
        <v>2578</v>
      </c>
      <c r="I538" s="3691">
        <v>1440</v>
      </c>
      <c r="J538" s="3691">
        <v>0</v>
      </c>
      <c r="K538" s="3691">
        <v>12</v>
      </c>
      <c r="L538" s="3691">
        <f t="shared" si="213"/>
        <v>120</v>
      </c>
      <c r="M538" s="3659">
        <v>45876</v>
      </c>
      <c r="N538" s="3659">
        <v>45880</v>
      </c>
      <c r="O538" s="3664"/>
      <c r="P538" s="3682" t="s">
        <v>82</v>
      </c>
      <c r="Q538" s="3682"/>
      <c r="R538" s="4083"/>
      <c r="S538" s="4083"/>
      <c r="T538" s="4083"/>
      <c r="U538" s="3645" t="s">
        <v>1754</v>
      </c>
      <c r="V538" s="3649" t="s">
        <v>1571</v>
      </c>
      <c r="W538" s="3657"/>
      <c r="X538" s="3657" t="s">
        <v>4479</v>
      </c>
      <c r="Y538" s="3649"/>
      <c r="Z538" s="3661"/>
      <c r="AA538" s="3620" t="s">
        <v>4480</v>
      </c>
      <c r="AB538" s="3691" t="s">
        <v>4481</v>
      </c>
      <c r="AC538" s="3691">
        <v>2.1392</v>
      </c>
      <c r="AD538" s="3691">
        <f t="shared" si="236"/>
        <v>3080.448</v>
      </c>
      <c r="AE538" s="3645"/>
      <c r="AF538" s="3664" t="s">
        <v>2604</v>
      </c>
      <c r="AG538" s="3645" t="s">
        <v>416</v>
      </c>
      <c r="AH538" s="4430"/>
      <c r="AI538" s="3691"/>
      <c r="AJ538" s="3691"/>
      <c r="AK538" s="4430"/>
      <c r="AL538" s="3664"/>
      <c r="AM538" s="3664">
        <f t="shared" ref="AM538:AM564" si="237">I538</f>
        <v>1440</v>
      </c>
      <c r="AN538" s="3691"/>
      <c r="AO538" s="3691"/>
      <c r="AP538" s="3691">
        <f t="shared" si="235"/>
        <v>1440</v>
      </c>
      <c r="AQ538" s="4089"/>
      <c r="AR538" s="4413"/>
      <c r="AS538" s="4089">
        <f t="shared" si="233"/>
        <v>1440</v>
      </c>
      <c r="AT538" s="4413"/>
      <c r="AU538" s="4089"/>
      <c r="AV538" s="4089">
        <f>I538/6</f>
        <v>240</v>
      </c>
      <c r="AW538" s="4089"/>
      <c r="AX538" s="4089"/>
      <c r="AY538" s="4089"/>
      <c r="AZ538" s="4089"/>
      <c r="BA538" s="4089"/>
      <c r="BB538" s="4089"/>
      <c r="BC538" s="4089"/>
      <c r="BD538" s="4089"/>
      <c r="BE538" s="4089"/>
      <c r="BF538" s="4089" t="s">
        <v>89</v>
      </c>
      <c r="BG538" s="4089"/>
      <c r="BH538" s="4089">
        <f t="shared" si="214"/>
        <v>240</v>
      </c>
      <c r="BI538" s="4089">
        <f t="shared" si="215"/>
        <v>240</v>
      </c>
      <c r="BJ538" s="4089">
        <f t="shared" si="216"/>
        <v>240</v>
      </c>
      <c r="BK538" s="4089">
        <f t="shared" si="217"/>
        <v>240</v>
      </c>
      <c r="BL538" s="4089">
        <f t="shared" si="218"/>
        <v>240</v>
      </c>
      <c r="BM538" s="4089">
        <f t="shared" si="219"/>
        <v>192</v>
      </c>
      <c r="BN538" s="4089">
        <f t="shared" si="212"/>
        <v>48</v>
      </c>
      <c r="BO538" s="1048"/>
      <c r="BP538" s="1048"/>
      <c r="BQ538" s="1048"/>
      <c r="BR538" s="1048"/>
      <c r="BS538" s="1048"/>
      <c r="BT538" s="4414"/>
      <c r="BU538" s="4415"/>
      <c r="BV538" s="4385">
        <f t="shared" si="225"/>
        <v>1440</v>
      </c>
      <c r="BW538" s="4386">
        <f t="shared" si="230"/>
        <v>0</v>
      </c>
      <c r="BX538" s="4387"/>
      <c r="BY538" s="4387"/>
      <c r="BZ538" s="4387"/>
      <c r="CA538" s="4391"/>
      <c r="CC538" s="4392">
        <v>45880</v>
      </c>
      <c r="CD538" s="4391" t="s">
        <v>4474</v>
      </c>
    </row>
    <row r="539" s="4025" customFormat="1" ht="50" customHeight="1" spans="1:82">
      <c r="A539" s="3688">
        <v>45841</v>
      </c>
      <c r="B539" s="3689" t="s">
        <v>1641</v>
      </c>
      <c r="C539" s="3664" t="s">
        <v>396</v>
      </c>
      <c r="D539" s="3690">
        <v>4500172612</v>
      </c>
      <c r="E539" s="3664" t="s">
        <v>4482</v>
      </c>
      <c r="F539" s="3690" t="s">
        <v>4483</v>
      </c>
      <c r="G539" s="3664" t="s">
        <v>3021</v>
      </c>
      <c r="H539" s="3664" t="s">
        <v>2984</v>
      </c>
      <c r="I539" s="3618">
        <v>24</v>
      </c>
      <c r="J539" s="3618">
        <v>0</v>
      </c>
      <c r="K539" s="3618">
        <v>12</v>
      </c>
      <c r="L539" s="3691">
        <f t="shared" ref="L539:L552" si="238">I539/K539</f>
        <v>2</v>
      </c>
      <c r="M539" s="3659">
        <v>45877</v>
      </c>
      <c r="N539" s="3659">
        <v>45877</v>
      </c>
      <c r="O539" s="3664"/>
      <c r="P539" s="3682" t="s">
        <v>82</v>
      </c>
      <c r="Q539" s="3682"/>
      <c r="R539" s="4083"/>
      <c r="S539" s="4083"/>
      <c r="T539" s="4083"/>
      <c r="U539" s="3645" t="s">
        <v>1541</v>
      </c>
      <c r="V539" s="3649" t="s">
        <v>1644</v>
      </c>
      <c r="W539" s="3657"/>
      <c r="X539" s="3657" t="s">
        <v>2670</v>
      </c>
      <c r="Y539" s="3649" t="s">
        <v>4484</v>
      </c>
      <c r="Z539" s="3661"/>
      <c r="AA539" s="3620" t="s">
        <v>3949</v>
      </c>
      <c r="AB539" s="3691" t="s">
        <v>369</v>
      </c>
      <c r="AC539" s="4058">
        <v>2.194</v>
      </c>
      <c r="AD539" s="3618">
        <f t="shared" si="236"/>
        <v>52.656</v>
      </c>
      <c r="AE539" s="3645"/>
      <c r="AF539" s="3664" t="s">
        <v>3021</v>
      </c>
      <c r="AG539" s="3645" t="s">
        <v>416</v>
      </c>
      <c r="AH539" s="4430"/>
      <c r="AI539" s="3691"/>
      <c r="AJ539" s="3691"/>
      <c r="AK539" s="4430"/>
      <c r="AL539" s="3664"/>
      <c r="AM539" s="3664">
        <f t="shared" si="237"/>
        <v>24</v>
      </c>
      <c r="AN539" s="3691"/>
      <c r="AO539" s="3691"/>
      <c r="AP539" s="3691">
        <f t="shared" si="235"/>
        <v>24</v>
      </c>
      <c r="AQ539" s="4089"/>
      <c r="AR539" s="4413"/>
      <c r="AS539" s="4089"/>
      <c r="AT539" s="4413"/>
      <c r="AU539" s="4089">
        <f t="shared" ref="AU539:AU563" si="239">I539</f>
        <v>24</v>
      </c>
      <c r="AV539" s="4089"/>
      <c r="AW539" s="4089"/>
      <c r="AX539" s="4089"/>
      <c r="AY539" s="4089"/>
      <c r="AZ539" s="4089"/>
      <c r="BA539" s="4089"/>
      <c r="BB539" s="4089"/>
      <c r="BC539" s="4089"/>
      <c r="BD539" s="4089"/>
      <c r="BE539" s="4089"/>
      <c r="BF539" s="4089" t="s">
        <v>89</v>
      </c>
      <c r="BG539" s="4089"/>
      <c r="BH539" s="4089"/>
      <c r="BI539" s="4089"/>
      <c r="BJ539" s="4089"/>
      <c r="BK539" s="4089"/>
      <c r="BL539" s="4089">
        <f>I539-BN539</f>
        <v>23.6</v>
      </c>
      <c r="BM539" s="4089"/>
      <c r="BN539" s="4089">
        <f t="shared" ref="BN539:BN554" si="240">I539/60*1</f>
        <v>0.4</v>
      </c>
      <c r="BO539" s="4413"/>
      <c r="BP539" s="4413"/>
      <c r="BQ539" s="4413"/>
      <c r="BR539" s="4413"/>
      <c r="BS539" s="4413"/>
      <c r="BT539" s="4431"/>
      <c r="BU539" s="4432"/>
      <c r="BV539" s="4385">
        <f t="shared" si="225"/>
        <v>24</v>
      </c>
      <c r="BW539" s="4386">
        <f t="shared" si="230"/>
        <v>0</v>
      </c>
      <c r="BX539" s="4387"/>
      <c r="BY539" s="4387"/>
      <c r="BZ539" s="4387"/>
      <c r="CA539" s="4391"/>
      <c r="CC539" s="4392" t="s">
        <v>4467</v>
      </c>
      <c r="CD539" s="4391" t="e">
        <v>#N/A</v>
      </c>
    </row>
    <row r="540" s="4025" customFormat="1" ht="50" customHeight="1" spans="1:82">
      <c r="A540" s="3688">
        <v>45841</v>
      </c>
      <c r="B540" s="3689" t="s">
        <v>1641</v>
      </c>
      <c r="C540" s="3664" t="s">
        <v>396</v>
      </c>
      <c r="D540" s="3690">
        <v>4500172612</v>
      </c>
      <c r="E540" s="3664" t="s">
        <v>4485</v>
      </c>
      <c r="F540" s="3690" t="s">
        <v>4486</v>
      </c>
      <c r="G540" s="3664" t="s">
        <v>2676</v>
      </c>
      <c r="H540" s="3664" t="s">
        <v>2677</v>
      </c>
      <c r="I540" s="3618">
        <v>12</v>
      </c>
      <c r="J540" s="3618">
        <v>0</v>
      </c>
      <c r="K540" s="3618">
        <v>12</v>
      </c>
      <c r="L540" s="3691">
        <f t="shared" si="238"/>
        <v>1</v>
      </c>
      <c r="M540" s="3659">
        <v>45877</v>
      </c>
      <c r="N540" s="3659">
        <v>45877</v>
      </c>
      <c r="O540" s="3664"/>
      <c r="P540" s="3682" t="s">
        <v>82</v>
      </c>
      <c r="Q540" s="3682"/>
      <c r="R540" s="4083"/>
      <c r="S540" s="4083"/>
      <c r="T540" s="4083"/>
      <c r="U540" s="3645" t="s">
        <v>1541</v>
      </c>
      <c r="V540" s="3649" t="s">
        <v>1644</v>
      </c>
      <c r="W540" s="3657"/>
      <c r="X540" s="3657" t="s">
        <v>2670</v>
      </c>
      <c r="Y540" s="3649" t="s">
        <v>4484</v>
      </c>
      <c r="Z540" s="3661"/>
      <c r="AA540" s="3620" t="s">
        <v>3949</v>
      </c>
      <c r="AB540" s="3691" t="s">
        <v>369</v>
      </c>
      <c r="AC540" s="4058">
        <v>2.194</v>
      </c>
      <c r="AD540" s="3618">
        <f t="shared" si="236"/>
        <v>26.328</v>
      </c>
      <c r="AE540" s="3645"/>
      <c r="AF540" s="3664" t="s">
        <v>2676</v>
      </c>
      <c r="AG540" s="3645" t="s">
        <v>416</v>
      </c>
      <c r="AH540" s="4430"/>
      <c r="AI540" s="3691"/>
      <c r="AJ540" s="3691"/>
      <c r="AK540" s="4430"/>
      <c r="AL540" s="3664"/>
      <c r="AM540" s="3664">
        <f t="shared" si="237"/>
        <v>12</v>
      </c>
      <c r="AN540" s="3691"/>
      <c r="AO540" s="3691"/>
      <c r="AP540" s="3691">
        <f t="shared" si="235"/>
        <v>12</v>
      </c>
      <c r="AQ540" s="4089"/>
      <c r="AR540" s="4413"/>
      <c r="AS540" s="4089"/>
      <c r="AT540" s="4413"/>
      <c r="AU540" s="4089">
        <f t="shared" si="239"/>
        <v>12</v>
      </c>
      <c r="AV540" s="4089"/>
      <c r="AW540" s="4089"/>
      <c r="AX540" s="4089"/>
      <c r="AY540" s="4089"/>
      <c r="AZ540" s="4089"/>
      <c r="BA540" s="4089"/>
      <c r="BB540" s="4089"/>
      <c r="BC540" s="4089"/>
      <c r="BD540" s="4089"/>
      <c r="BE540" s="4089"/>
      <c r="BF540" s="4089" t="s">
        <v>89</v>
      </c>
      <c r="BG540" s="4089"/>
      <c r="BH540" s="4089"/>
      <c r="BI540" s="4089">
        <f t="shared" ref="BI540:BI547" si="241">I540-BN540</f>
        <v>11.8</v>
      </c>
      <c r="BJ540" s="4089"/>
      <c r="BK540" s="4089"/>
      <c r="BL540" s="4089"/>
      <c r="BM540" s="4089"/>
      <c r="BN540" s="4089">
        <f t="shared" si="240"/>
        <v>0.2</v>
      </c>
      <c r="BO540" s="4413"/>
      <c r="BP540" s="4413"/>
      <c r="BQ540" s="4413"/>
      <c r="BR540" s="4413"/>
      <c r="BS540" s="4413"/>
      <c r="BT540" s="4431"/>
      <c r="BU540" s="4432"/>
      <c r="BV540" s="4385">
        <f t="shared" si="225"/>
        <v>12</v>
      </c>
      <c r="BW540" s="4386">
        <f t="shared" si="230"/>
        <v>0</v>
      </c>
      <c r="BX540" s="4387"/>
      <c r="BY540" s="4387"/>
      <c r="BZ540" s="4387"/>
      <c r="CA540" s="4391"/>
      <c r="CC540" s="4392" t="s">
        <v>4467</v>
      </c>
      <c r="CD540" s="4391" t="e">
        <v>#N/A</v>
      </c>
    </row>
    <row r="541" s="4025" customFormat="1" ht="50" customHeight="1" spans="1:82">
      <c r="A541" s="3688">
        <v>45841</v>
      </c>
      <c r="B541" s="3689" t="s">
        <v>1641</v>
      </c>
      <c r="C541" s="3664" t="s">
        <v>396</v>
      </c>
      <c r="D541" s="3690">
        <v>4500172612</v>
      </c>
      <c r="E541" s="3664" t="s">
        <v>4487</v>
      </c>
      <c r="F541" s="3690" t="s">
        <v>4488</v>
      </c>
      <c r="G541" s="3664" t="s">
        <v>2676</v>
      </c>
      <c r="H541" s="3664" t="s">
        <v>2677</v>
      </c>
      <c r="I541" s="3618">
        <v>36</v>
      </c>
      <c r="J541" s="3618">
        <v>0</v>
      </c>
      <c r="K541" s="3618">
        <v>12</v>
      </c>
      <c r="L541" s="3691">
        <f t="shared" si="238"/>
        <v>3</v>
      </c>
      <c r="M541" s="3659">
        <v>45877</v>
      </c>
      <c r="N541" s="3659">
        <v>45877</v>
      </c>
      <c r="O541" s="3664"/>
      <c r="P541" s="3682" t="s">
        <v>82</v>
      </c>
      <c r="Q541" s="3682"/>
      <c r="R541" s="4083"/>
      <c r="S541" s="4083"/>
      <c r="T541" s="4083"/>
      <c r="U541" s="3645" t="s">
        <v>1541</v>
      </c>
      <c r="V541" s="3649" t="s">
        <v>1644</v>
      </c>
      <c r="W541" s="3657"/>
      <c r="X541" s="3657" t="s">
        <v>2670</v>
      </c>
      <c r="Y541" s="3649" t="s">
        <v>4484</v>
      </c>
      <c r="Z541" s="3661"/>
      <c r="AA541" s="3620" t="s">
        <v>3949</v>
      </c>
      <c r="AB541" s="3691" t="s">
        <v>369</v>
      </c>
      <c r="AC541" s="4058">
        <v>2.194</v>
      </c>
      <c r="AD541" s="3618">
        <f t="shared" si="236"/>
        <v>78.984</v>
      </c>
      <c r="AE541" s="3645"/>
      <c r="AF541" s="3664" t="s">
        <v>2676</v>
      </c>
      <c r="AG541" s="3645" t="s">
        <v>416</v>
      </c>
      <c r="AH541" s="4430"/>
      <c r="AI541" s="3691"/>
      <c r="AJ541" s="3691"/>
      <c r="AK541" s="4430"/>
      <c r="AL541" s="3664"/>
      <c r="AM541" s="3664">
        <f t="shared" si="237"/>
        <v>36</v>
      </c>
      <c r="AN541" s="3691"/>
      <c r="AO541" s="3691"/>
      <c r="AP541" s="3691">
        <f t="shared" si="235"/>
        <v>36</v>
      </c>
      <c r="AQ541" s="4089"/>
      <c r="AR541" s="4413"/>
      <c r="AS541" s="4089"/>
      <c r="AT541" s="4413"/>
      <c r="AU541" s="4089">
        <f t="shared" si="239"/>
        <v>36</v>
      </c>
      <c r="AV541" s="4089"/>
      <c r="AW541" s="4089"/>
      <c r="AX541" s="4089"/>
      <c r="AY541" s="4089"/>
      <c r="AZ541" s="4089"/>
      <c r="BA541" s="4089"/>
      <c r="BB541" s="4089"/>
      <c r="BC541" s="4089"/>
      <c r="BD541" s="4089"/>
      <c r="BE541" s="4089"/>
      <c r="BF541" s="4089" t="s">
        <v>89</v>
      </c>
      <c r="BG541" s="4089"/>
      <c r="BH541" s="4089"/>
      <c r="BI541" s="4089">
        <f t="shared" si="241"/>
        <v>35.4</v>
      </c>
      <c r="BJ541" s="4089"/>
      <c r="BK541" s="4089"/>
      <c r="BL541" s="4089"/>
      <c r="BM541" s="4089"/>
      <c r="BN541" s="4089">
        <f t="shared" si="240"/>
        <v>0.6</v>
      </c>
      <c r="BO541" s="4413"/>
      <c r="BP541" s="4413"/>
      <c r="BQ541" s="4413"/>
      <c r="BR541" s="4413"/>
      <c r="BS541" s="4413"/>
      <c r="BT541" s="4431"/>
      <c r="BU541" s="4432"/>
      <c r="BV541" s="4385">
        <f t="shared" si="225"/>
        <v>36</v>
      </c>
      <c r="BW541" s="4386">
        <f t="shared" si="230"/>
        <v>0</v>
      </c>
      <c r="BX541" s="4387"/>
      <c r="BY541" s="4387"/>
      <c r="BZ541" s="4387"/>
      <c r="CA541" s="4391"/>
      <c r="CC541" s="4392" t="s">
        <v>4467</v>
      </c>
      <c r="CD541" s="4391" t="e">
        <v>#N/A</v>
      </c>
    </row>
    <row r="542" s="4025" customFormat="1" ht="50" customHeight="1" spans="1:82">
      <c r="A542" s="3688">
        <v>45841</v>
      </c>
      <c r="B542" s="3689" t="s">
        <v>1641</v>
      </c>
      <c r="C542" s="3664" t="s">
        <v>396</v>
      </c>
      <c r="D542" s="3690">
        <v>4500172612</v>
      </c>
      <c r="E542" s="3664" t="s">
        <v>4489</v>
      </c>
      <c r="F542" s="3690" t="s">
        <v>4490</v>
      </c>
      <c r="G542" s="3664" t="s">
        <v>2676</v>
      </c>
      <c r="H542" s="3664" t="s">
        <v>2677</v>
      </c>
      <c r="I542" s="3618">
        <v>12</v>
      </c>
      <c r="J542" s="3618">
        <v>0</v>
      </c>
      <c r="K542" s="3618">
        <v>12</v>
      </c>
      <c r="L542" s="3691">
        <f t="shared" si="238"/>
        <v>1</v>
      </c>
      <c r="M542" s="3659">
        <v>45877</v>
      </c>
      <c r="N542" s="3659">
        <v>45877</v>
      </c>
      <c r="O542" s="3664"/>
      <c r="P542" s="3682" t="s">
        <v>82</v>
      </c>
      <c r="Q542" s="3682"/>
      <c r="R542" s="4083"/>
      <c r="S542" s="4083"/>
      <c r="T542" s="4083"/>
      <c r="U542" s="3645" t="s">
        <v>1541</v>
      </c>
      <c r="V542" s="3649" t="s">
        <v>1644</v>
      </c>
      <c r="W542" s="3657"/>
      <c r="X542" s="3657" t="s">
        <v>2670</v>
      </c>
      <c r="Y542" s="3649" t="s">
        <v>4484</v>
      </c>
      <c r="Z542" s="3661"/>
      <c r="AA542" s="3620" t="s">
        <v>3949</v>
      </c>
      <c r="AB542" s="3691" t="s">
        <v>369</v>
      </c>
      <c r="AC542" s="4058">
        <v>2.194</v>
      </c>
      <c r="AD542" s="3618">
        <f t="shared" si="236"/>
        <v>26.328</v>
      </c>
      <c r="AE542" s="3645"/>
      <c r="AF542" s="3664" t="s">
        <v>2676</v>
      </c>
      <c r="AG542" s="3645" t="s">
        <v>416</v>
      </c>
      <c r="AH542" s="4430"/>
      <c r="AI542" s="3691"/>
      <c r="AJ542" s="3691"/>
      <c r="AK542" s="4430"/>
      <c r="AL542" s="3664"/>
      <c r="AM542" s="3664">
        <f t="shared" si="237"/>
        <v>12</v>
      </c>
      <c r="AN542" s="3691"/>
      <c r="AO542" s="3691"/>
      <c r="AP542" s="3691">
        <f t="shared" si="235"/>
        <v>12</v>
      </c>
      <c r="AQ542" s="4089"/>
      <c r="AR542" s="4413"/>
      <c r="AS542" s="4089"/>
      <c r="AT542" s="4413"/>
      <c r="AU542" s="4089">
        <f t="shared" si="239"/>
        <v>12</v>
      </c>
      <c r="AV542" s="4089"/>
      <c r="AW542" s="4089"/>
      <c r="AX542" s="4089"/>
      <c r="AY542" s="4089"/>
      <c r="AZ542" s="4089"/>
      <c r="BA542" s="4089"/>
      <c r="BB542" s="4089"/>
      <c r="BC542" s="4089"/>
      <c r="BD542" s="4089"/>
      <c r="BE542" s="4089"/>
      <c r="BF542" s="4089" t="s">
        <v>89</v>
      </c>
      <c r="BG542" s="4089"/>
      <c r="BH542" s="4089"/>
      <c r="BI542" s="4089">
        <f t="shared" si="241"/>
        <v>11.8</v>
      </c>
      <c r="BJ542" s="4089"/>
      <c r="BK542" s="4089"/>
      <c r="BL542" s="4089"/>
      <c r="BM542" s="4089"/>
      <c r="BN542" s="4089">
        <f t="shared" si="240"/>
        <v>0.2</v>
      </c>
      <c r="BO542" s="4413"/>
      <c r="BP542" s="4413"/>
      <c r="BQ542" s="4413"/>
      <c r="BR542" s="4413"/>
      <c r="BS542" s="4413"/>
      <c r="BT542" s="4431"/>
      <c r="BU542" s="4432"/>
      <c r="BV542" s="4385">
        <f t="shared" si="225"/>
        <v>12</v>
      </c>
      <c r="BW542" s="4386">
        <f t="shared" si="230"/>
        <v>0</v>
      </c>
      <c r="BX542" s="4387"/>
      <c r="BY542" s="4387"/>
      <c r="BZ542" s="4387"/>
      <c r="CA542" s="4391"/>
      <c r="CC542" s="4392" t="s">
        <v>4467</v>
      </c>
      <c r="CD542" s="4391" t="e">
        <v>#N/A</v>
      </c>
    </row>
    <row r="543" s="4025" customFormat="1" ht="50" customHeight="1" spans="1:82">
      <c r="A543" s="3688">
        <v>45841</v>
      </c>
      <c r="B543" s="3689" t="s">
        <v>1641</v>
      </c>
      <c r="C543" s="3664" t="s">
        <v>396</v>
      </c>
      <c r="D543" s="3690">
        <v>4500172612</v>
      </c>
      <c r="E543" s="3664" t="s">
        <v>4491</v>
      </c>
      <c r="F543" s="3690" t="s">
        <v>4492</v>
      </c>
      <c r="G543" s="3664" t="s">
        <v>2676</v>
      </c>
      <c r="H543" s="3664" t="s">
        <v>2677</v>
      </c>
      <c r="I543" s="3618">
        <v>12</v>
      </c>
      <c r="J543" s="3618">
        <v>0</v>
      </c>
      <c r="K543" s="3618">
        <v>12</v>
      </c>
      <c r="L543" s="3691">
        <f t="shared" si="238"/>
        <v>1</v>
      </c>
      <c r="M543" s="3659">
        <v>45877</v>
      </c>
      <c r="N543" s="3659">
        <v>45877</v>
      </c>
      <c r="O543" s="3664"/>
      <c r="P543" s="3682" t="s">
        <v>82</v>
      </c>
      <c r="Q543" s="3682"/>
      <c r="R543" s="4083"/>
      <c r="S543" s="4083"/>
      <c r="T543" s="4083"/>
      <c r="U543" s="3645" t="s">
        <v>1541</v>
      </c>
      <c r="V543" s="3649" t="s">
        <v>1644</v>
      </c>
      <c r="W543" s="3657"/>
      <c r="X543" s="3657" t="s">
        <v>2670</v>
      </c>
      <c r="Y543" s="3649" t="s">
        <v>4484</v>
      </c>
      <c r="Z543" s="3661"/>
      <c r="AA543" s="3620" t="s">
        <v>3949</v>
      </c>
      <c r="AB543" s="3691" t="s">
        <v>369</v>
      </c>
      <c r="AC543" s="4058">
        <v>2.194</v>
      </c>
      <c r="AD543" s="3618">
        <f t="shared" si="236"/>
        <v>26.328</v>
      </c>
      <c r="AE543" s="3645"/>
      <c r="AF543" s="3664" t="s">
        <v>2676</v>
      </c>
      <c r="AG543" s="3645" t="s">
        <v>416</v>
      </c>
      <c r="AH543" s="4430"/>
      <c r="AI543" s="3691"/>
      <c r="AJ543" s="3691"/>
      <c r="AK543" s="4430"/>
      <c r="AL543" s="3664"/>
      <c r="AM543" s="3664">
        <f t="shared" si="237"/>
        <v>12</v>
      </c>
      <c r="AN543" s="3691"/>
      <c r="AO543" s="3691"/>
      <c r="AP543" s="3691">
        <f t="shared" si="235"/>
        <v>12</v>
      </c>
      <c r="AQ543" s="4089"/>
      <c r="AR543" s="4413"/>
      <c r="AS543" s="4089"/>
      <c r="AT543" s="4413"/>
      <c r="AU543" s="4089">
        <f t="shared" si="239"/>
        <v>12</v>
      </c>
      <c r="AV543" s="4089"/>
      <c r="AW543" s="4089"/>
      <c r="AX543" s="4089"/>
      <c r="AY543" s="4089"/>
      <c r="AZ543" s="4089"/>
      <c r="BA543" s="4089"/>
      <c r="BB543" s="4089"/>
      <c r="BC543" s="4089"/>
      <c r="BD543" s="4089"/>
      <c r="BE543" s="4089"/>
      <c r="BF543" s="4089" t="s">
        <v>89</v>
      </c>
      <c r="BG543" s="4089"/>
      <c r="BH543" s="4089"/>
      <c r="BI543" s="4089">
        <f t="shared" si="241"/>
        <v>11.8</v>
      </c>
      <c r="BJ543" s="4089"/>
      <c r="BK543" s="4089"/>
      <c r="BL543" s="4089"/>
      <c r="BM543" s="4089"/>
      <c r="BN543" s="4089">
        <f t="shared" si="240"/>
        <v>0.2</v>
      </c>
      <c r="BO543" s="4413"/>
      <c r="BP543" s="4413"/>
      <c r="BQ543" s="4413"/>
      <c r="BR543" s="4413"/>
      <c r="BS543" s="4413"/>
      <c r="BT543" s="4431"/>
      <c r="BU543" s="4432"/>
      <c r="BV543" s="4385">
        <f t="shared" si="225"/>
        <v>12</v>
      </c>
      <c r="BW543" s="4386">
        <f t="shared" si="230"/>
        <v>0</v>
      </c>
      <c r="BX543" s="4387"/>
      <c r="BY543" s="4387"/>
      <c r="BZ543" s="4387"/>
      <c r="CA543" s="4391"/>
      <c r="CC543" s="4392" t="s">
        <v>4467</v>
      </c>
      <c r="CD543" s="4391" t="e">
        <v>#N/A</v>
      </c>
    </row>
    <row r="544" s="4025" customFormat="1" ht="50" customHeight="1" spans="1:82">
      <c r="A544" s="3688">
        <v>45841</v>
      </c>
      <c r="B544" s="3689" t="s">
        <v>1641</v>
      </c>
      <c r="C544" s="3664" t="s">
        <v>396</v>
      </c>
      <c r="D544" s="3690">
        <v>4500172612</v>
      </c>
      <c r="E544" s="3664" t="s">
        <v>4493</v>
      </c>
      <c r="F544" s="3690" t="s">
        <v>4494</v>
      </c>
      <c r="G544" s="3664" t="s">
        <v>2676</v>
      </c>
      <c r="H544" s="3664" t="s">
        <v>2677</v>
      </c>
      <c r="I544" s="3618">
        <v>48</v>
      </c>
      <c r="J544" s="3618">
        <v>0</v>
      </c>
      <c r="K544" s="3618">
        <v>12</v>
      </c>
      <c r="L544" s="3691">
        <f t="shared" si="238"/>
        <v>4</v>
      </c>
      <c r="M544" s="3659">
        <v>45877</v>
      </c>
      <c r="N544" s="3659">
        <v>45877</v>
      </c>
      <c r="O544" s="3664"/>
      <c r="P544" s="3682" t="s">
        <v>82</v>
      </c>
      <c r="Q544" s="3682"/>
      <c r="R544" s="4083"/>
      <c r="S544" s="4083"/>
      <c r="T544" s="4083"/>
      <c r="U544" s="3645" t="s">
        <v>1541</v>
      </c>
      <c r="V544" s="3649" t="s">
        <v>1644</v>
      </c>
      <c r="W544" s="3657"/>
      <c r="X544" s="3657" t="s">
        <v>2670</v>
      </c>
      <c r="Y544" s="3649" t="s">
        <v>4484</v>
      </c>
      <c r="Z544" s="3661"/>
      <c r="AA544" s="3620" t="s">
        <v>3949</v>
      </c>
      <c r="AB544" s="3691" t="s">
        <v>369</v>
      </c>
      <c r="AC544" s="4058">
        <v>2.194</v>
      </c>
      <c r="AD544" s="3618">
        <f t="shared" si="236"/>
        <v>105.312</v>
      </c>
      <c r="AE544" s="3645"/>
      <c r="AF544" s="3664" t="s">
        <v>2676</v>
      </c>
      <c r="AG544" s="3645" t="s">
        <v>416</v>
      </c>
      <c r="AH544" s="4430"/>
      <c r="AI544" s="3691"/>
      <c r="AJ544" s="3691"/>
      <c r="AK544" s="4430"/>
      <c r="AL544" s="3664"/>
      <c r="AM544" s="3664">
        <f t="shared" si="237"/>
        <v>48</v>
      </c>
      <c r="AN544" s="3691"/>
      <c r="AO544" s="3691"/>
      <c r="AP544" s="3691">
        <f t="shared" si="235"/>
        <v>48</v>
      </c>
      <c r="AQ544" s="4089"/>
      <c r="AR544" s="4413"/>
      <c r="AS544" s="4089"/>
      <c r="AT544" s="4413"/>
      <c r="AU544" s="4089">
        <f t="shared" si="239"/>
        <v>48</v>
      </c>
      <c r="AV544" s="4089"/>
      <c r="AW544" s="4089"/>
      <c r="AX544" s="4089"/>
      <c r="AY544" s="4089"/>
      <c r="AZ544" s="4089"/>
      <c r="BA544" s="4089"/>
      <c r="BB544" s="4089"/>
      <c r="BC544" s="4089"/>
      <c r="BD544" s="4089"/>
      <c r="BE544" s="4089"/>
      <c r="BF544" s="4089" t="s">
        <v>89</v>
      </c>
      <c r="BG544" s="4089"/>
      <c r="BH544" s="4089"/>
      <c r="BI544" s="4089">
        <f t="shared" si="241"/>
        <v>47.2</v>
      </c>
      <c r="BJ544" s="4089"/>
      <c r="BK544" s="4089"/>
      <c r="BL544" s="4089"/>
      <c r="BM544" s="4089"/>
      <c r="BN544" s="4089">
        <f t="shared" si="240"/>
        <v>0.8</v>
      </c>
      <c r="BO544" s="4413"/>
      <c r="BP544" s="4413"/>
      <c r="BQ544" s="4413"/>
      <c r="BR544" s="4413"/>
      <c r="BS544" s="4413"/>
      <c r="BT544" s="4431"/>
      <c r="BU544" s="4432"/>
      <c r="BV544" s="4385">
        <f t="shared" si="225"/>
        <v>48</v>
      </c>
      <c r="BW544" s="4386">
        <f t="shared" si="230"/>
        <v>0</v>
      </c>
      <c r="BX544" s="4387"/>
      <c r="BY544" s="4387"/>
      <c r="BZ544" s="4387"/>
      <c r="CA544" s="4391"/>
      <c r="CC544" s="4392" t="s">
        <v>4467</v>
      </c>
      <c r="CD544" s="4391" t="e">
        <v>#N/A</v>
      </c>
    </row>
    <row r="545" s="4025" customFormat="1" ht="50" customHeight="1" spans="1:82">
      <c r="A545" s="3688">
        <v>45841</v>
      </c>
      <c r="B545" s="3689" t="s">
        <v>1641</v>
      </c>
      <c r="C545" s="3664" t="s">
        <v>396</v>
      </c>
      <c r="D545" s="3690">
        <v>4500172612</v>
      </c>
      <c r="E545" s="3664" t="s">
        <v>4495</v>
      </c>
      <c r="F545" s="3690" t="s">
        <v>4496</v>
      </c>
      <c r="G545" s="3664" t="s">
        <v>2676</v>
      </c>
      <c r="H545" s="3664" t="s">
        <v>2677</v>
      </c>
      <c r="I545" s="3618">
        <v>12</v>
      </c>
      <c r="J545" s="3618">
        <v>0</v>
      </c>
      <c r="K545" s="3618">
        <v>12</v>
      </c>
      <c r="L545" s="3691">
        <f t="shared" si="238"/>
        <v>1</v>
      </c>
      <c r="M545" s="3659">
        <v>45877</v>
      </c>
      <c r="N545" s="3659">
        <v>45877</v>
      </c>
      <c r="O545" s="3664"/>
      <c r="P545" s="3682" t="s">
        <v>82</v>
      </c>
      <c r="Q545" s="3682"/>
      <c r="R545" s="4083"/>
      <c r="S545" s="4083"/>
      <c r="T545" s="4083"/>
      <c r="U545" s="3645" t="s">
        <v>1541</v>
      </c>
      <c r="V545" s="3649" t="s">
        <v>1644</v>
      </c>
      <c r="W545" s="3657"/>
      <c r="X545" s="3657" t="s">
        <v>2670</v>
      </c>
      <c r="Y545" s="3649" t="s">
        <v>4484</v>
      </c>
      <c r="Z545" s="3661"/>
      <c r="AA545" s="3620" t="s">
        <v>3949</v>
      </c>
      <c r="AB545" s="3691" t="s">
        <v>369</v>
      </c>
      <c r="AC545" s="4058">
        <v>2.194</v>
      </c>
      <c r="AD545" s="3618">
        <f t="shared" si="236"/>
        <v>26.328</v>
      </c>
      <c r="AE545" s="3645"/>
      <c r="AF545" s="3664" t="s">
        <v>2676</v>
      </c>
      <c r="AG545" s="3645" t="s">
        <v>416</v>
      </c>
      <c r="AH545" s="4430"/>
      <c r="AI545" s="3691"/>
      <c r="AJ545" s="3691"/>
      <c r="AK545" s="4430"/>
      <c r="AL545" s="3664"/>
      <c r="AM545" s="3664">
        <f t="shared" si="237"/>
        <v>12</v>
      </c>
      <c r="AN545" s="3691"/>
      <c r="AO545" s="3691"/>
      <c r="AP545" s="3691">
        <f t="shared" si="235"/>
        <v>12</v>
      </c>
      <c r="AQ545" s="4089"/>
      <c r="AR545" s="4413"/>
      <c r="AS545" s="4089"/>
      <c r="AT545" s="4413"/>
      <c r="AU545" s="4089">
        <f t="shared" si="239"/>
        <v>12</v>
      </c>
      <c r="AV545" s="4089"/>
      <c r="AW545" s="4089"/>
      <c r="AX545" s="4089"/>
      <c r="AY545" s="4089"/>
      <c r="AZ545" s="4089"/>
      <c r="BA545" s="4089"/>
      <c r="BB545" s="4089"/>
      <c r="BC545" s="4089"/>
      <c r="BD545" s="4089"/>
      <c r="BE545" s="4089"/>
      <c r="BF545" s="4089" t="s">
        <v>89</v>
      </c>
      <c r="BG545" s="4089"/>
      <c r="BH545" s="4089"/>
      <c r="BI545" s="4089">
        <f t="shared" si="241"/>
        <v>11.8</v>
      </c>
      <c r="BJ545" s="4089"/>
      <c r="BK545" s="4089"/>
      <c r="BL545" s="4089"/>
      <c r="BM545" s="4089"/>
      <c r="BN545" s="4089">
        <f t="shared" si="240"/>
        <v>0.2</v>
      </c>
      <c r="BO545" s="4413"/>
      <c r="BP545" s="4413"/>
      <c r="BQ545" s="4413"/>
      <c r="BR545" s="4413"/>
      <c r="BS545" s="4413"/>
      <c r="BT545" s="4431"/>
      <c r="BU545" s="4432"/>
      <c r="BV545" s="4385">
        <f t="shared" si="225"/>
        <v>12</v>
      </c>
      <c r="BW545" s="4385">
        <f t="shared" si="230"/>
        <v>0</v>
      </c>
      <c r="BX545" s="4387"/>
      <c r="BY545" s="4387"/>
      <c r="BZ545" s="4387"/>
      <c r="CA545" s="4391"/>
      <c r="CC545" s="4392" t="s">
        <v>4467</v>
      </c>
      <c r="CD545" s="4391" t="e">
        <v>#N/A</v>
      </c>
    </row>
    <row r="546" s="4025" customFormat="1" ht="50" customHeight="1" spans="1:82">
      <c r="A546" s="3688">
        <v>45841</v>
      </c>
      <c r="B546" s="3689" t="s">
        <v>1641</v>
      </c>
      <c r="C546" s="3664" t="s">
        <v>396</v>
      </c>
      <c r="D546" s="3690">
        <v>4500172612</v>
      </c>
      <c r="E546" s="3664" t="s">
        <v>4497</v>
      </c>
      <c r="F546" s="3690" t="s">
        <v>4498</v>
      </c>
      <c r="G546" s="3664" t="s">
        <v>2676</v>
      </c>
      <c r="H546" s="3664" t="s">
        <v>2677</v>
      </c>
      <c r="I546" s="3618">
        <v>12</v>
      </c>
      <c r="J546" s="3618">
        <v>0</v>
      </c>
      <c r="K546" s="3618">
        <v>12</v>
      </c>
      <c r="L546" s="3691">
        <f t="shared" si="238"/>
        <v>1</v>
      </c>
      <c r="M546" s="3659">
        <v>45877</v>
      </c>
      <c r="N546" s="3659">
        <v>45877</v>
      </c>
      <c r="O546" s="3664"/>
      <c r="P546" s="3682" t="s">
        <v>82</v>
      </c>
      <c r="Q546" s="3682"/>
      <c r="R546" s="4083"/>
      <c r="S546" s="4083"/>
      <c r="T546" s="4083"/>
      <c r="U546" s="3645" t="s">
        <v>1541</v>
      </c>
      <c r="V546" s="3649" t="s">
        <v>1644</v>
      </c>
      <c r="W546" s="3657"/>
      <c r="X546" s="3657" t="s">
        <v>2670</v>
      </c>
      <c r="Y546" s="3657" t="s">
        <v>4484</v>
      </c>
      <c r="Z546" s="3661"/>
      <c r="AA546" s="3620" t="s">
        <v>3949</v>
      </c>
      <c r="AB546" s="3691" t="s">
        <v>369</v>
      </c>
      <c r="AC546" s="4058">
        <v>2.194</v>
      </c>
      <c r="AD546" s="3618">
        <f t="shared" si="236"/>
        <v>26.328</v>
      </c>
      <c r="AE546" s="3645"/>
      <c r="AF546" s="3664" t="s">
        <v>2676</v>
      </c>
      <c r="AG546" s="3645" t="s">
        <v>416</v>
      </c>
      <c r="AH546" s="4430"/>
      <c r="AI546" s="3691"/>
      <c r="AJ546" s="3691"/>
      <c r="AK546" s="4430"/>
      <c r="AL546" s="3664"/>
      <c r="AM546" s="3664">
        <f t="shared" si="237"/>
        <v>12</v>
      </c>
      <c r="AN546" s="3691"/>
      <c r="AO546" s="3691"/>
      <c r="AP546" s="3691">
        <f t="shared" si="235"/>
        <v>12</v>
      </c>
      <c r="AQ546" s="4089"/>
      <c r="AR546" s="4413"/>
      <c r="AS546" s="4089"/>
      <c r="AT546" s="4413"/>
      <c r="AU546" s="4089">
        <f t="shared" si="239"/>
        <v>12</v>
      </c>
      <c r="AV546" s="4089"/>
      <c r="AW546" s="4089"/>
      <c r="AX546" s="4089"/>
      <c r="AY546" s="4089"/>
      <c r="AZ546" s="4089"/>
      <c r="BA546" s="4089"/>
      <c r="BB546" s="4089"/>
      <c r="BC546" s="4089"/>
      <c r="BD546" s="4089"/>
      <c r="BE546" s="4089"/>
      <c r="BF546" s="4089" t="s">
        <v>89</v>
      </c>
      <c r="BG546" s="4089"/>
      <c r="BH546" s="4089"/>
      <c r="BI546" s="4089">
        <f t="shared" si="241"/>
        <v>11.8</v>
      </c>
      <c r="BJ546" s="4089"/>
      <c r="BK546" s="4089"/>
      <c r="BL546" s="4089"/>
      <c r="BM546" s="4089"/>
      <c r="BN546" s="4089">
        <f t="shared" si="240"/>
        <v>0.2</v>
      </c>
      <c r="BO546" s="4413"/>
      <c r="BP546" s="4413"/>
      <c r="BQ546" s="4413"/>
      <c r="BR546" s="4413"/>
      <c r="BS546" s="4413"/>
      <c r="BT546" s="4431"/>
      <c r="BU546" s="4432"/>
      <c r="BV546" s="4385">
        <f t="shared" si="225"/>
        <v>12</v>
      </c>
      <c r="BW546" s="4386">
        <f t="shared" si="230"/>
        <v>0</v>
      </c>
      <c r="BX546" s="4387"/>
      <c r="BY546" s="4387"/>
      <c r="BZ546" s="4387"/>
      <c r="CA546" s="4391"/>
      <c r="CC546" s="4392" t="s">
        <v>4467</v>
      </c>
      <c r="CD546" s="4391" t="e">
        <v>#N/A</v>
      </c>
    </row>
    <row r="547" s="4025" customFormat="1" ht="50" customHeight="1" spans="1:82">
      <c r="A547" s="3688">
        <v>45841</v>
      </c>
      <c r="B547" s="3689" t="s">
        <v>1641</v>
      </c>
      <c r="C547" s="3664" t="s">
        <v>396</v>
      </c>
      <c r="D547" s="3690">
        <v>4500172612</v>
      </c>
      <c r="E547" s="3664" t="s">
        <v>4499</v>
      </c>
      <c r="F547" s="3690" t="s">
        <v>4500</v>
      </c>
      <c r="G547" s="3664" t="s">
        <v>2676</v>
      </c>
      <c r="H547" s="3664" t="s">
        <v>2677</v>
      </c>
      <c r="I547" s="3618">
        <v>24</v>
      </c>
      <c r="J547" s="3618">
        <v>0</v>
      </c>
      <c r="K547" s="3618">
        <v>12</v>
      </c>
      <c r="L547" s="3691">
        <f t="shared" si="238"/>
        <v>2</v>
      </c>
      <c r="M547" s="3659">
        <v>45877</v>
      </c>
      <c r="N547" s="3659">
        <v>45877</v>
      </c>
      <c r="O547" s="3664"/>
      <c r="P547" s="3682" t="s">
        <v>82</v>
      </c>
      <c r="Q547" s="3682"/>
      <c r="R547" s="4083"/>
      <c r="S547" s="4083"/>
      <c r="T547" s="4083"/>
      <c r="U547" s="3645" t="s">
        <v>1541</v>
      </c>
      <c r="V547" s="3649" t="s">
        <v>1644</v>
      </c>
      <c r="W547" s="3657"/>
      <c r="X547" s="3657" t="s">
        <v>2670</v>
      </c>
      <c r="Y547" s="3657" t="s">
        <v>4484</v>
      </c>
      <c r="Z547" s="3661"/>
      <c r="AA547" s="3620" t="s">
        <v>3949</v>
      </c>
      <c r="AB547" s="3691" t="s">
        <v>369</v>
      </c>
      <c r="AC547" s="4058">
        <v>2.194</v>
      </c>
      <c r="AD547" s="3618">
        <f t="shared" si="236"/>
        <v>52.656</v>
      </c>
      <c r="AE547" s="3645"/>
      <c r="AF547" s="3664" t="s">
        <v>2676</v>
      </c>
      <c r="AG547" s="3645" t="s">
        <v>416</v>
      </c>
      <c r="AH547" s="4430"/>
      <c r="AI547" s="3691"/>
      <c r="AJ547" s="3691"/>
      <c r="AK547" s="4430"/>
      <c r="AL547" s="3664"/>
      <c r="AM547" s="3664">
        <f t="shared" si="237"/>
        <v>24</v>
      </c>
      <c r="AN547" s="3691"/>
      <c r="AO547" s="3691"/>
      <c r="AP547" s="3691">
        <f t="shared" si="235"/>
        <v>24</v>
      </c>
      <c r="AQ547" s="4089"/>
      <c r="AR547" s="4413"/>
      <c r="AS547" s="4089"/>
      <c r="AT547" s="4413"/>
      <c r="AU547" s="4089">
        <f t="shared" si="239"/>
        <v>24</v>
      </c>
      <c r="AV547" s="4089"/>
      <c r="AW547" s="4089"/>
      <c r="AX547" s="4089"/>
      <c r="AY547" s="4089"/>
      <c r="AZ547" s="4089"/>
      <c r="BA547" s="4089"/>
      <c r="BB547" s="4089"/>
      <c r="BC547" s="4089"/>
      <c r="BD547" s="4089"/>
      <c r="BE547" s="4089"/>
      <c r="BF547" s="4089" t="s">
        <v>89</v>
      </c>
      <c r="BG547" s="4089"/>
      <c r="BH547" s="4089"/>
      <c r="BI547" s="4089">
        <f t="shared" si="241"/>
        <v>23.6</v>
      </c>
      <c r="BJ547" s="4089"/>
      <c r="BK547" s="4089"/>
      <c r="BL547" s="4089"/>
      <c r="BM547" s="4089"/>
      <c r="BN547" s="4089">
        <f t="shared" si="240"/>
        <v>0.4</v>
      </c>
      <c r="BO547" s="4413"/>
      <c r="BP547" s="4413"/>
      <c r="BQ547" s="4413"/>
      <c r="BR547" s="4413"/>
      <c r="BS547" s="4413"/>
      <c r="BT547" s="4431"/>
      <c r="BU547" s="4432"/>
      <c r="BV547" s="4385">
        <f t="shared" si="225"/>
        <v>24</v>
      </c>
      <c r="BW547" s="4386">
        <f t="shared" si="230"/>
        <v>0</v>
      </c>
      <c r="BX547" s="4387"/>
      <c r="BY547" s="4387"/>
      <c r="BZ547" s="4387"/>
      <c r="CA547" s="4391"/>
      <c r="CC547" s="4392" t="s">
        <v>4467</v>
      </c>
      <c r="CD547" s="4391" t="e">
        <v>#N/A</v>
      </c>
    </row>
    <row r="548" s="4025" customFormat="1" ht="50" customHeight="1" spans="1:82">
      <c r="A548" s="3688">
        <v>45841</v>
      </c>
      <c r="B548" s="3689" t="s">
        <v>1641</v>
      </c>
      <c r="C548" s="3664" t="s">
        <v>396</v>
      </c>
      <c r="D548" s="3690">
        <v>4500172612</v>
      </c>
      <c r="E548" s="3664" t="s">
        <v>4501</v>
      </c>
      <c r="F548" s="3690" t="s">
        <v>4502</v>
      </c>
      <c r="G548" s="3664" t="s">
        <v>2827</v>
      </c>
      <c r="H548" s="3664" t="s">
        <v>2641</v>
      </c>
      <c r="I548" s="3618">
        <v>24</v>
      </c>
      <c r="J548" s="3618">
        <v>0</v>
      </c>
      <c r="K548" s="3618">
        <v>12</v>
      </c>
      <c r="L548" s="3691">
        <f t="shared" si="238"/>
        <v>2</v>
      </c>
      <c r="M548" s="3659">
        <v>45877</v>
      </c>
      <c r="N548" s="3659">
        <v>45877</v>
      </c>
      <c r="O548" s="3664"/>
      <c r="P548" s="3682" t="s">
        <v>82</v>
      </c>
      <c r="Q548" s="3682"/>
      <c r="R548" s="4083"/>
      <c r="S548" s="4083"/>
      <c r="T548" s="4083"/>
      <c r="U548" s="3645" t="s">
        <v>1541</v>
      </c>
      <c r="V548" s="3649" t="s">
        <v>1644</v>
      </c>
      <c r="W548" s="3657"/>
      <c r="X548" s="3657" t="s">
        <v>2670</v>
      </c>
      <c r="Y548" s="3657" t="s">
        <v>4484</v>
      </c>
      <c r="Z548" s="3661"/>
      <c r="AA548" s="3620" t="s">
        <v>3949</v>
      </c>
      <c r="AB548" s="3691" t="s">
        <v>369</v>
      </c>
      <c r="AC548" s="4058">
        <v>2.194</v>
      </c>
      <c r="AD548" s="3618">
        <f t="shared" si="236"/>
        <v>52.656</v>
      </c>
      <c r="AE548" s="3645"/>
      <c r="AF548" s="3664" t="s">
        <v>2827</v>
      </c>
      <c r="AG548" s="3645" t="s">
        <v>416</v>
      </c>
      <c r="AH548" s="4430"/>
      <c r="AI548" s="3691"/>
      <c r="AJ548" s="3691"/>
      <c r="AK548" s="4430"/>
      <c r="AL548" s="3664"/>
      <c r="AM548" s="3664">
        <f t="shared" si="237"/>
        <v>24</v>
      </c>
      <c r="AN548" s="3691"/>
      <c r="AO548" s="3691"/>
      <c r="AP548" s="3691">
        <f t="shared" si="235"/>
        <v>24</v>
      </c>
      <c r="AQ548" s="4089"/>
      <c r="AR548" s="4413"/>
      <c r="AS548" s="4089"/>
      <c r="AT548" s="4413"/>
      <c r="AU548" s="4089">
        <f t="shared" si="239"/>
        <v>24</v>
      </c>
      <c r="AV548" s="4089"/>
      <c r="AW548" s="4089"/>
      <c r="AX548" s="4089"/>
      <c r="AY548" s="4089"/>
      <c r="AZ548" s="4089"/>
      <c r="BA548" s="4089"/>
      <c r="BB548" s="4089"/>
      <c r="BC548" s="4089"/>
      <c r="BD548" s="4089"/>
      <c r="BE548" s="4089"/>
      <c r="BF548" s="4089" t="s">
        <v>89</v>
      </c>
      <c r="BG548" s="4089"/>
      <c r="BH548" s="4089">
        <f t="shared" ref="BH548:BH554" si="242">I548-BN548</f>
        <v>23.6</v>
      </c>
      <c r="BI548" s="4089"/>
      <c r="BJ548" s="4089"/>
      <c r="BK548" s="4089"/>
      <c r="BL548" s="4089"/>
      <c r="BM548" s="4089"/>
      <c r="BN548" s="4089">
        <f t="shared" si="240"/>
        <v>0.4</v>
      </c>
      <c r="BO548" s="4413"/>
      <c r="BP548" s="4413"/>
      <c r="BQ548" s="4413"/>
      <c r="BR548" s="4413"/>
      <c r="BS548" s="4413"/>
      <c r="BT548" s="4431"/>
      <c r="BU548" s="4432"/>
      <c r="BV548" s="4385">
        <f t="shared" si="225"/>
        <v>24</v>
      </c>
      <c r="BW548" s="4386">
        <f t="shared" si="230"/>
        <v>0</v>
      </c>
      <c r="BX548" s="4387"/>
      <c r="BY548" s="4387"/>
      <c r="BZ548" s="4387"/>
      <c r="CA548" s="4391"/>
      <c r="CC548" s="4392" t="s">
        <v>4467</v>
      </c>
      <c r="CD548" s="4391" t="e">
        <v>#N/A</v>
      </c>
    </row>
    <row r="549" s="4025" customFormat="1" ht="50" customHeight="1" spans="1:82">
      <c r="A549" s="3688">
        <v>45841</v>
      </c>
      <c r="B549" s="3689" t="s">
        <v>1641</v>
      </c>
      <c r="C549" s="3664" t="s">
        <v>396</v>
      </c>
      <c r="D549" s="3690">
        <v>4500172612</v>
      </c>
      <c r="E549" s="3664" t="s">
        <v>4503</v>
      </c>
      <c r="F549" s="3690" t="s">
        <v>4504</v>
      </c>
      <c r="G549" s="3664" t="s">
        <v>2827</v>
      </c>
      <c r="H549" s="3664" t="s">
        <v>2641</v>
      </c>
      <c r="I549" s="3618">
        <v>12</v>
      </c>
      <c r="J549" s="3618">
        <v>0</v>
      </c>
      <c r="K549" s="3618">
        <v>12</v>
      </c>
      <c r="L549" s="3691">
        <f t="shared" si="238"/>
        <v>1</v>
      </c>
      <c r="M549" s="3659">
        <v>45877</v>
      </c>
      <c r="N549" s="3659">
        <v>45877</v>
      </c>
      <c r="O549" s="3664"/>
      <c r="P549" s="3682" t="s">
        <v>82</v>
      </c>
      <c r="Q549" s="3682"/>
      <c r="R549" s="4083"/>
      <c r="S549" s="4083"/>
      <c r="T549" s="4083"/>
      <c r="U549" s="3645" t="s">
        <v>1541</v>
      </c>
      <c r="V549" s="3649" t="s">
        <v>1644</v>
      </c>
      <c r="W549" s="3657"/>
      <c r="X549" s="3657" t="s">
        <v>2670</v>
      </c>
      <c r="Y549" s="3657" t="s">
        <v>4484</v>
      </c>
      <c r="Z549" s="3661"/>
      <c r="AA549" s="3620" t="s">
        <v>3949</v>
      </c>
      <c r="AB549" s="3691" t="s">
        <v>369</v>
      </c>
      <c r="AC549" s="4058">
        <v>2.194</v>
      </c>
      <c r="AD549" s="3618">
        <f t="shared" si="236"/>
        <v>26.328</v>
      </c>
      <c r="AE549" s="3645"/>
      <c r="AF549" s="3664" t="s">
        <v>2827</v>
      </c>
      <c r="AG549" s="3645" t="s">
        <v>416</v>
      </c>
      <c r="AH549" s="4430"/>
      <c r="AI549" s="3691"/>
      <c r="AJ549" s="3691"/>
      <c r="AK549" s="4430"/>
      <c r="AL549" s="3664"/>
      <c r="AM549" s="3664">
        <f t="shared" si="237"/>
        <v>12</v>
      </c>
      <c r="AN549" s="3691"/>
      <c r="AO549" s="3691"/>
      <c r="AP549" s="3691">
        <f t="shared" si="235"/>
        <v>12</v>
      </c>
      <c r="AQ549" s="4089"/>
      <c r="AR549" s="4413"/>
      <c r="AS549" s="4089"/>
      <c r="AT549" s="4413"/>
      <c r="AU549" s="4089">
        <f t="shared" si="239"/>
        <v>12</v>
      </c>
      <c r="AV549" s="4089"/>
      <c r="AW549" s="4089"/>
      <c r="AX549" s="4089"/>
      <c r="AY549" s="4089"/>
      <c r="AZ549" s="4089"/>
      <c r="BA549" s="4089"/>
      <c r="BB549" s="4089"/>
      <c r="BC549" s="4089"/>
      <c r="BD549" s="4089"/>
      <c r="BE549" s="4089"/>
      <c r="BF549" s="4089" t="s">
        <v>89</v>
      </c>
      <c r="BG549" s="4089"/>
      <c r="BH549" s="4089">
        <f t="shared" si="242"/>
        <v>11.8</v>
      </c>
      <c r="BI549" s="4089"/>
      <c r="BJ549" s="4089"/>
      <c r="BK549" s="4089"/>
      <c r="BL549" s="4089"/>
      <c r="BM549" s="4089"/>
      <c r="BN549" s="4089">
        <f t="shared" si="240"/>
        <v>0.2</v>
      </c>
      <c r="BO549" s="4413"/>
      <c r="BP549" s="4413"/>
      <c r="BQ549" s="4413"/>
      <c r="BR549" s="4413"/>
      <c r="BS549" s="4413"/>
      <c r="BT549" s="4431"/>
      <c r="BU549" s="4432"/>
      <c r="BV549" s="4385">
        <f t="shared" si="225"/>
        <v>12</v>
      </c>
      <c r="BW549" s="4386">
        <f t="shared" si="230"/>
        <v>0</v>
      </c>
      <c r="BX549" s="4387"/>
      <c r="BY549" s="4387"/>
      <c r="BZ549" s="4387"/>
      <c r="CA549" s="4391"/>
      <c r="CC549" s="4392" t="s">
        <v>4467</v>
      </c>
      <c r="CD549" s="4391" t="e">
        <v>#N/A</v>
      </c>
    </row>
    <row r="550" s="4025" customFormat="1" ht="50" customHeight="1" spans="1:82">
      <c r="A550" s="3688">
        <v>45841</v>
      </c>
      <c r="B550" s="3689" t="s">
        <v>1641</v>
      </c>
      <c r="C550" s="3664" t="s">
        <v>396</v>
      </c>
      <c r="D550" s="3690">
        <v>4500172612</v>
      </c>
      <c r="E550" s="3664" t="s">
        <v>4505</v>
      </c>
      <c r="F550" s="3690" t="s">
        <v>4506</v>
      </c>
      <c r="G550" s="3664" t="s">
        <v>2827</v>
      </c>
      <c r="H550" s="3664" t="s">
        <v>2641</v>
      </c>
      <c r="I550" s="3618">
        <v>12</v>
      </c>
      <c r="J550" s="3618">
        <v>0</v>
      </c>
      <c r="K550" s="3618">
        <v>12</v>
      </c>
      <c r="L550" s="3691">
        <f t="shared" si="238"/>
        <v>1</v>
      </c>
      <c r="M550" s="3659">
        <v>45877</v>
      </c>
      <c r="N550" s="3659">
        <v>45877</v>
      </c>
      <c r="O550" s="3664"/>
      <c r="P550" s="3682" t="s">
        <v>82</v>
      </c>
      <c r="Q550" s="3682"/>
      <c r="R550" s="4083"/>
      <c r="S550" s="4083"/>
      <c r="T550" s="4083"/>
      <c r="U550" s="3645" t="s">
        <v>1541</v>
      </c>
      <c r="V550" s="3649" t="s">
        <v>1644</v>
      </c>
      <c r="W550" s="3657"/>
      <c r="X550" s="3657" t="s">
        <v>2670</v>
      </c>
      <c r="Y550" s="3657" t="s">
        <v>4484</v>
      </c>
      <c r="Z550" s="3661"/>
      <c r="AA550" s="3620" t="s">
        <v>3949</v>
      </c>
      <c r="AB550" s="3691" t="s">
        <v>369</v>
      </c>
      <c r="AC550" s="4058">
        <v>2.194</v>
      </c>
      <c r="AD550" s="3618">
        <f t="shared" si="236"/>
        <v>26.328</v>
      </c>
      <c r="AE550" s="3645"/>
      <c r="AF550" s="3664" t="s">
        <v>2827</v>
      </c>
      <c r="AG550" s="3645" t="s">
        <v>416</v>
      </c>
      <c r="AH550" s="4430"/>
      <c r="AI550" s="3691"/>
      <c r="AJ550" s="3691"/>
      <c r="AK550" s="4430"/>
      <c r="AL550" s="3664"/>
      <c r="AM550" s="3664">
        <f t="shared" si="237"/>
        <v>12</v>
      </c>
      <c r="AN550" s="3691"/>
      <c r="AO550" s="3691"/>
      <c r="AP550" s="3691">
        <f t="shared" si="235"/>
        <v>12</v>
      </c>
      <c r="AQ550" s="4089"/>
      <c r="AR550" s="4413"/>
      <c r="AS550" s="4089"/>
      <c r="AT550" s="4413"/>
      <c r="AU550" s="4089">
        <f t="shared" si="239"/>
        <v>12</v>
      </c>
      <c r="AV550" s="4089"/>
      <c r="AW550" s="4089"/>
      <c r="AX550" s="4089"/>
      <c r="AY550" s="4089"/>
      <c r="AZ550" s="4089"/>
      <c r="BA550" s="4089"/>
      <c r="BB550" s="4089"/>
      <c r="BC550" s="4089"/>
      <c r="BD550" s="4089"/>
      <c r="BE550" s="4089"/>
      <c r="BF550" s="4089" t="s">
        <v>89</v>
      </c>
      <c r="BG550" s="4089"/>
      <c r="BH550" s="4089">
        <f t="shared" si="242"/>
        <v>11.8</v>
      </c>
      <c r="BI550" s="4089"/>
      <c r="BJ550" s="4089"/>
      <c r="BK550" s="4089"/>
      <c r="BL550" s="4089"/>
      <c r="BM550" s="4089"/>
      <c r="BN550" s="4089">
        <f t="shared" si="240"/>
        <v>0.2</v>
      </c>
      <c r="BO550" s="4413"/>
      <c r="BP550" s="4413"/>
      <c r="BQ550" s="4413"/>
      <c r="BR550" s="4413"/>
      <c r="BS550" s="4413"/>
      <c r="BT550" s="4431"/>
      <c r="BU550" s="4432"/>
      <c r="BV550" s="4385">
        <f t="shared" si="225"/>
        <v>12</v>
      </c>
      <c r="BW550" s="4386">
        <f t="shared" si="230"/>
        <v>0</v>
      </c>
      <c r="BX550" s="4387"/>
      <c r="BY550" s="4387"/>
      <c r="BZ550" s="4387"/>
      <c r="CA550" s="4391"/>
      <c r="CC550" s="4392" t="s">
        <v>4467</v>
      </c>
      <c r="CD550" s="4391" t="e">
        <v>#N/A</v>
      </c>
    </row>
    <row r="551" s="4025" customFormat="1" ht="50" customHeight="1" spans="1:82">
      <c r="A551" s="3688">
        <v>45841</v>
      </c>
      <c r="B551" s="3689" t="s">
        <v>1641</v>
      </c>
      <c r="C551" s="3664" t="s">
        <v>396</v>
      </c>
      <c r="D551" s="3690">
        <v>4500172612</v>
      </c>
      <c r="E551" s="3664" t="s">
        <v>4507</v>
      </c>
      <c r="F551" s="3690" t="s">
        <v>4508</v>
      </c>
      <c r="G551" s="3664" t="s">
        <v>2827</v>
      </c>
      <c r="H551" s="3664" t="s">
        <v>2641</v>
      </c>
      <c r="I551" s="3618">
        <v>12</v>
      </c>
      <c r="J551" s="3618">
        <v>0</v>
      </c>
      <c r="K551" s="3618">
        <v>12</v>
      </c>
      <c r="L551" s="3691">
        <f t="shared" si="238"/>
        <v>1</v>
      </c>
      <c r="M551" s="3659">
        <v>45877</v>
      </c>
      <c r="N551" s="3659">
        <v>45877</v>
      </c>
      <c r="O551" s="3664"/>
      <c r="P551" s="3682" t="s">
        <v>82</v>
      </c>
      <c r="Q551" s="3682"/>
      <c r="R551" s="4083"/>
      <c r="S551" s="4083"/>
      <c r="T551" s="4083"/>
      <c r="U551" s="3645" t="s">
        <v>1541</v>
      </c>
      <c r="V551" s="3649" t="s">
        <v>1644</v>
      </c>
      <c r="W551" s="3657"/>
      <c r="X551" s="3657" t="s">
        <v>2670</v>
      </c>
      <c r="Y551" s="3657" t="s">
        <v>4484</v>
      </c>
      <c r="Z551" s="3661"/>
      <c r="AA551" s="3620" t="s">
        <v>3949</v>
      </c>
      <c r="AB551" s="3691" t="s">
        <v>369</v>
      </c>
      <c r="AC551" s="4058">
        <v>2.194</v>
      </c>
      <c r="AD551" s="3618">
        <f t="shared" si="236"/>
        <v>26.328</v>
      </c>
      <c r="AE551" s="3645"/>
      <c r="AF551" s="3664" t="s">
        <v>2827</v>
      </c>
      <c r="AG551" s="3645" t="s">
        <v>416</v>
      </c>
      <c r="AH551" s="4430"/>
      <c r="AI551" s="3691"/>
      <c r="AJ551" s="3691"/>
      <c r="AK551" s="4430"/>
      <c r="AL551" s="3664"/>
      <c r="AM551" s="3664">
        <f t="shared" si="237"/>
        <v>12</v>
      </c>
      <c r="AN551" s="3691"/>
      <c r="AO551" s="3691"/>
      <c r="AP551" s="3691">
        <f t="shared" si="235"/>
        <v>12</v>
      </c>
      <c r="AQ551" s="4089"/>
      <c r="AR551" s="4413"/>
      <c r="AS551" s="4089"/>
      <c r="AT551" s="4413"/>
      <c r="AU551" s="4089">
        <f t="shared" si="239"/>
        <v>12</v>
      </c>
      <c r="AV551" s="4089"/>
      <c r="AW551" s="4089"/>
      <c r="AX551" s="4089"/>
      <c r="AY551" s="4089"/>
      <c r="AZ551" s="4089"/>
      <c r="BA551" s="4089"/>
      <c r="BB551" s="4089"/>
      <c r="BC551" s="4089"/>
      <c r="BD551" s="4089"/>
      <c r="BE551" s="4089"/>
      <c r="BF551" s="4089" t="s">
        <v>89</v>
      </c>
      <c r="BG551" s="4089"/>
      <c r="BH551" s="4089">
        <f t="shared" si="242"/>
        <v>11.8</v>
      </c>
      <c r="BI551" s="4089"/>
      <c r="BJ551" s="4089"/>
      <c r="BK551" s="4089"/>
      <c r="BL551" s="4089"/>
      <c r="BM551" s="4089"/>
      <c r="BN551" s="4089">
        <f t="shared" si="240"/>
        <v>0.2</v>
      </c>
      <c r="BO551" s="4413"/>
      <c r="BP551" s="4413"/>
      <c r="BQ551" s="4413"/>
      <c r="BR551" s="4413"/>
      <c r="BS551" s="4413"/>
      <c r="BT551" s="4431"/>
      <c r="BU551" s="4432"/>
      <c r="BV551" s="4385">
        <f t="shared" si="225"/>
        <v>12</v>
      </c>
      <c r="BW551" s="4386">
        <f t="shared" si="230"/>
        <v>0</v>
      </c>
      <c r="BX551" s="4387"/>
      <c r="BY551" s="4387"/>
      <c r="BZ551" s="4387"/>
      <c r="CA551" s="4391"/>
      <c r="CC551" s="4392" t="s">
        <v>4467</v>
      </c>
      <c r="CD551" s="4391" t="e">
        <v>#N/A</v>
      </c>
    </row>
    <row r="552" s="4025" customFormat="1" ht="50" customHeight="1" spans="1:82">
      <c r="A552" s="3688">
        <v>45841</v>
      </c>
      <c r="B552" s="3689" t="s">
        <v>1641</v>
      </c>
      <c r="C552" s="3664" t="s">
        <v>396</v>
      </c>
      <c r="D552" s="3690">
        <v>4500172612</v>
      </c>
      <c r="E552" s="3664" t="s">
        <v>4509</v>
      </c>
      <c r="F552" s="3690" t="s">
        <v>4510</v>
      </c>
      <c r="G552" s="3664" t="s">
        <v>2827</v>
      </c>
      <c r="H552" s="3664" t="s">
        <v>2641</v>
      </c>
      <c r="I552" s="3618">
        <v>12</v>
      </c>
      <c r="J552" s="3618">
        <v>0</v>
      </c>
      <c r="K552" s="3618">
        <v>12</v>
      </c>
      <c r="L552" s="3691">
        <f t="shared" si="238"/>
        <v>1</v>
      </c>
      <c r="M552" s="3659">
        <v>45877</v>
      </c>
      <c r="N552" s="3659">
        <v>45877</v>
      </c>
      <c r="O552" s="3664"/>
      <c r="P552" s="3682" t="s">
        <v>82</v>
      </c>
      <c r="Q552" s="3682"/>
      <c r="R552" s="4083"/>
      <c r="S552" s="4083"/>
      <c r="T552" s="4083"/>
      <c r="U552" s="3645" t="s">
        <v>1541</v>
      </c>
      <c r="V552" s="3649" t="s">
        <v>1644</v>
      </c>
      <c r="W552" s="3657"/>
      <c r="X552" s="3657" t="s">
        <v>2670</v>
      </c>
      <c r="Y552" s="3657" t="s">
        <v>4484</v>
      </c>
      <c r="Z552" s="3661"/>
      <c r="AA552" s="3620" t="s">
        <v>3949</v>
      </c>
      <c r="AB552" s="3691" t="s">
        <v>369</v>
      </c>
      <c r="AC552" s="4058">
        <v>2.194</v>
      </c>
      <c r="AD552" s="3618">
        <f t="shared" si="236"/>
        <v>26.328</v>
      </c>
      <c r="AE552" s="3645"/>
      <c r="AF552" s="3664" t="s">
        <v>2827</v>
      </c>
      <c r="AG552" s="3645" t="s">
        <v>416</v>
      </c>
      <c r="AH552" s="4430"/>
      <c r="AI552" s="3691"/>
      <c r="AJ552" s="3691"/>
      <c r="AK552" s="4430"/>
      <c r="AL552" s="3664"/>
      <c r="AM552" s="3664">
        <f t="shared" si="237"/>
        <v>12</v>
      </c>
      <c r="AN552" s="3691"/>
      <c r="AO552" s="3691"/>
      <c r="AP552" s="3691">
        <f t="shared" si="235"/>
        <v>12</v>
      </c>
      <c r="AQ552" s="4089"/>
      <c r="AR552" s="4413"/>
      <c r="AS552" s="4089"/>
      <c r="AT552" s="4413"/>
      <c r="AU552" s="4089">
        <f t="shared" si="239"/>
        <v>12</v>
      </c>
      <c r="AV552" s="4089"/>
      <c r="AW552" s="4089"/>
      <c r="AX552" s="4089"/>
      <c r="AY552" s="4089"/>
      <c r="AZ552" s="4089"/>
      <c r="BA552" s="4089"/>
      <c r="BB552" s="4089"/>
      <c r="BC552" s="4089"/>
      <c r="BD552" s="4089"/>
      <c r="BE552" s="4089"/>
      <c r="BF552" s="4089" t="s">
        <v>89</v>
      </c>
      <c r="BG552" s="4089"/>
      <c r="BH552" s="4089">
        <f t="shared" si="242"/>
        <v>11.8</v>
      </c>
      <c r="BI552" s="4089"/>
      <c r="BJ552" s="4089"/>
      <c r="BK552" s="4089"/>
      <c r="BL552" s="4089"/>
      <c r="BM552" s="4089"/>
      <c r="BN552" s="4089">
        <f t="shared" si="240"/>
        <v>0.2</v>
      </c>
      <c r="BO552" s="4413"/>
      <c r="BP552" s="4413"/>
      <c r="BQ552" s="4413"/>
      <c r="BR552" s="4413"/>
      <c r="BS552" s="4413"/>
      <c r="BT552" s="4431"/>
      <c r="BU552" s="4432"/>
      <c r="BV552" s="4385">
        <f t="shared" si="225"/>
        <v>12</v>
      </c>
      <c r="BW552" s="4386">
        <f t="shared" si="230"/>
        <v>0</v>
      </c>
      <c r="BX552" s="4387"/>
      <c r="BY552" s="4387"/>
      <c r="BZ552" s="4387"/>
      <c r="CA552" s="4391"/>
      <c r="CC552" s="4392" t="s">
        <v>4467</v>
      </c>
      <c r="CD552" s="4391" t="e">
        <v>#N/A</v>
      </c>
    </row>
    <row r="553" s="4025" customFormat="1" ht="50" customHeight="1" spans="1:82">
      <c r="A553" s="3688">
        <v>45841</v>
      </c>
      <c r="B553" s="3689" t="s">
        <v>1641</v>
      </c>
      <c r="C553" s="3664" t="s">
        <v>396</v>
      </c>
      <c r="D553" s="3690">
        <v>4500172612</v>
      </c>
      <c r="E553" s="3664" t="s">
        <v>4511</v>
      </c>
      <c r="F553" s="3690" t="s">
        <v>4512</v>
      </c>
      <c r="G553" s="3664" t="s">
        <v>2827</v>
      </c>
      <c r="H553" s="3664" t="s">
        <v>2641</v>
      </c>
      <c r="I553" s="3618">
        <v>12</v>
      </c>
      <c r="J553" s="3618">
        <v>0</v>
      </c>
      <c r="K553" s="3618">
        <v>12</v>
      </c>
      <c r="L553" s="3691">
        <f t="shared" ref="L553:L559" si="243">I553/K553</f>
        <v>1</v>
      </c>
      <c r="M553" s="3659">
        <v>45877</v>
      </c>
      <c r="N553" s="3659">
        <v>45877</v>
      </c>
      <c r="O553" s="3664"/>
      <c r="P553" s="3682" t="s">
        <v>82</v>
      </c>
      <c r="Q553" s="3682"/>
      <c r="R553" s="4083"/>
      <c r="S553" s="4083"/>
      <c r="T553" s="4083"/>
      <c r="U553" s="3645" t="s">
        <v>1541</v>
      </c>
      <c r="V553" s="3649" t="s">
        <v>1644</v>
      </c>
      <c r="W553" s="3657"/>
      <c r="X553" s="3657" t="s">
        <v>2670</v>
      </c>
      <c r="Y553" s="3657" t="s">
        <v>4484</v>
      </c>
      <c r="Z553" s="3661"/>
      <c r="AA553" s="3620" t="s">
        <v>3949</v>
      </c>
      <c r="AB553" s="3691" t="s">
        <v>369</v>
      </c>
      <c r="AC553" s="4058">
        <v>2.194</v>
      </c>
      <c r="AD553" s="3618">
        <f t="shared" si="236"/>
        <v>26.328</v>
      </c>
      <c r="AE553" s="3645"/>
      <c r="AF553" s="3664" t="s">
        <v>2827</v>
      </c>
      <c r="AG553" s="3645" t="s">
        <v>416</v>
      </c>
      <c r="AH553" s="4430"/>
      <c r="AI553" s="3691"/>
      <c r="AJ553" s="3691"/>
      <c r="AK553" s="4430"/>
      <c r="AL553" s="3664"/>
      <c r="AM553" s="3664">
        <f t="shared" si="237"/>
        <v>12</v>
      </c>
      <c r="AN553" s="3691"/>
      <c r="AO553" s="3691"/>
      <c r="AP553" s="3691">
        <f t="shared" si="235"/>
        <v>12</v>
      </c>
      <c r="AQ553" s="4089"/>
      <c r="AR553" s="4413"/>
      <c r="AS553" s="4089"/>
      <c r="AT553" s="4413"/>
      <c r="AU553" s="4089">
        <f t="shared" si="239"/>
        <v>12</v>
      </c>
      <c r="AV553" s="4089"/>
      <c r="AW553" s="4089"/>
      <c r="AX553" s="4089"/>
      <c r="AY553" s="4089"/>
      <c r="AZ553" s="4089"/>
      <c r="BA553" s="4089"/>
      <c r="BB553" s="4089"/>
      <c r="BC553" s="4089"/>
      <c r="BD553" s="4089"/>
      <c r="BE553" s="4089"/>
      <c r="BF553" s="4089" t="s">
        <v>89</v>
      </c>
      <c r="BG553" s="4089"/>
      <c r="BH553" s="4089">
        <f t="shared" si="242"/>
        <v>11.8</v>
      </c>
      <c r="BI553" s="4089"/>
      <c r="BJ553" s="4089"/>
      <c r="BK553" s="4089"/>
      <c r="BL553" s="4089"/>
      <c r="BM553" s="4089"/>
      <c r="BN553" s="4089">
        <f t="shared" si="240"/>
        <v>0.2</v>
      </c>
      <c r="BO553" s="4413"/>
      <c r="BP553" s="4413"/>
      <c r="BQ553" s="4413"/>
      <c r="BR553" s="4413"/>
      <c r="BS553" s="4413"/>
      <c r="BT553" s="4431"/>
      <c r="BU553" s="4432"/>
      <c r="BV553" s="4385">
        <f t="shared" si="225"/>
        <v>12</v>
      </c>
      <c r="BW553" s="4386">
        <f t="shared" si="230"/>
        <v>0</v>
      </c>
      <c r="BX553" s="4387"/>
      <c r="BY553" s="4387"/>
      <c r="BZ553" s="4387"/>
      <c r="CA553" s="4391"/>
      <c r="CC553" s="4392" t="s">
        <v>4467</v>
      </c>
      <c r="CD553" s="4391" t="e">
        <v>#N/A</v>
      </c>
    </row>
    <row r="554" s="4025" customFormat="1" ht="50" customHeight="1" spans="1:82">
      <c r="A554" s="3688">
        <v>45841</v>
      </c>
      <c r="B554" s="3689" t="s">
        <v>1641</v>
      </c>
      <c r="C554" s="3664" t="s">
        <v>396</v>
      </c>
      <c r="D554" s="3690">
        <v>4500172612</v>
      </c>
      <c r="E554" s="3664" t="s">
        <v>4513</v>
      </c>
      <c r="F554" s="3690" t="s">
        <v>4514</v>
      </c>
      <c r="G554" s="3664" t="s">
        <v>2827</v>
      </c>
      <c r="H554" s="3664" t="s">
        <v>2641</v>
      </c>
      <c r="I554" s="3618">
        <v>12</v>
      </c>
      <c r="J554" s="3618">
        <v>0</v>
      </c>
      <c r="K554" s="3618">
        <v>12</v>
      </c>
      <c r="L554" s="3691">
        <f t="shared" si="243"/>
        <v>1</v>
      </c>
      <c r="M554" s="3659">
        <v>45877</v>
      </c>
      <c r="N554" s="3659">
        <v>45877</v>
      </c>
      <c r="O554" s="3664"/>
      <c r="P554" s="3682" t="s">
        <v>82</v>
      </c>
      <c r="Q554" s="3682"/>
      <c r="R554" s="4083"/>
      <c r="S554" s="4083"/>
      <c r="T554" s="4083"/>
      <c r="U554" s="3645" t="s">
        <v>1541</v>
      </c>
      <c r="V554" s="3649" t="s">
        <v>1644</v>
      </c>
      <c r="W554" s="3657"/>
      <c r="X554" s="3657" t="s">
        <v>2670</v>
      </c>
      <c r="Y554" s="3657" t="s">
        <v>4484</v>
      </c>
      <c r="Z554" s="3661"/>
      <c r="AA554" s="3620" t="s">
        <v>3949</v>
      </c>
      <c r="AB554" s="3691" t="s">
        <v>369</v>
      </c>
      <c r="AC554" s="4058">
        <v>2.194</v>
      </c>
      <c r="AD554" s="3618">
        <f t="shared" si="236"/>
        <v>26.328</v>
      </c>
      <c r="AE554" s="3645"/>
      <c r="AF554" s="3664" t="s">
        <v>2827</v>
      </c>
      <c r="AG554" s="3645" t="s">
        <v>416</v>
      </c>
      <c r="AH554" s="4430"/>
      <c r="AI554" s="3691"/>
      <c r="AJ554" s="3691"/>
      <c r="AK554" s="4430"/>
      <c r="AL554" s="3664"/>
      <c r="AM554" s="3664">
        <f t="shared" si="237"/>
        <v>12</v>
      </c>
      <c r="AN554" s="3691"/>
      <c r="AO554" s="3691"/>
      <c r="AP554" s="3691">
        <f t="shared" si="235"/>
        <v>12</v>
      </c>
      <c r="AQ554" s="4089"/>
      <c r="AR554" s="4413"/>
      <c r="AS554" s="4089"/>
      <c r="AT554" s="4413"/>
      <c r="AU554" s="4089">
        <f t="shared" si="239"/>
        <v>12</v>
      </c>
      <c r="AV554" s="4089"/>
      <c r="AW554" s="4089"/>
      <c r="AX554" s="4089"/>
      <c r="AY554" s="4089"/>
      <c r="AZ554" s="4089"/>
      <c r="BA554" s="4089"/>
      <c r="BB554" s="4089"/>
      <c r="BC554" s="4089"/>
      <c r="BD554" s="4089"/>
      <c r="BE554" s="4089"/>
      <c r="BF554" s="4089" t="s">
        <v>89</v>
      </c>
      <c r="BG554" s="4089"/>
      <c r="BH554" s="4089">
        <f t="shared" si="242"/>
        <v>11.8</v>
      </c>
      <c r="BI554" s="4089"/>
      <c r="BJ554" s="4089"/>
      <c r="BK554" s="4089"/>
      <c r="BL554" s="4089"/>
      <c r="BM554" s="4089"/>
      <c r="BN554" s="4089">
        <f t="shared" si="240"/>
        <v>0.2</v>
      </c>
      <c r="BO554" s="4413"/>
      <c r="BP554" s="4413"/>
      <c r="BQ554" s="4413"/>
      <c r="BR554" s="4413"/>
      <c r="BS554" s="4413"/>
      <c r="BT554" s="4431"/>
      <c r="BU554" s="4432"/>
      <c r="BV554" s="4385">
        <f t="shared" si="225"/>
        <v>12</v>
      </c>
      <c r="BW554" s="4386">
        <f t="shared" si="230"/>
        <v>0</v>
      </c>
      <c r="BX554" s="4387"/>
      <c r="BY554" s="4387"/>
      <c r="BZ554" s="4387"/>
      <c r="CA554" s="4391"/>
      <c r="CC554" s="4392" t="s">
        <v>4467</v>
      </c>
      <c r="CD554" s="4391" t="e">
        <v>#N/A</v>
      </c>
    </row>
    <row r="555" s="4025" customFormat="1" ht="50" customHeight="1" spans="1:82">
      <c r="A555" s="4429">
        <v>45841</v>
      </c>
      <c r="B555" s="4080" t="s">
        <v>1641</v>
      </c>
      <c r="C555" s="3663" t="s">
        <v>396</v>
      </c>
      <c r="D555" s="3690">
        <v>4500172604</v>
      </c>
      <c r="E555" s="3664" t="s">
        <v>4515</v>
      </c>
      <c r="F555" s="3690" t="s">
        <v>4516</v>
      </c>
      <c r="G555" s="3664" t="s">
        <v>2666</v>
      </c>
      <c r="H555" s="3664" t="s">
        <v>2667</v>
      </c>
      <c r="I555" s="3618">
        <v>36</v>
      </c>
      <c r="J555" s="3618">
        <v>0</v>
      </c>
      <c r="K555" s="3618">
        <v>12</v>
      </c>
      <c r="L555" s="3691">
        <f t="shared" si="243"/>
        <v>3</v>
      </c>
      <c r="M555" s="3659">
        <v>45877</v>
      </c>
      <c r="N555" s="3659">
        <v>45877</v>
      </c>
      <c r="O555" s="3664"/>
      <c r="P555" s="3682" t="s">
        <v>82</v>
      </c>
      <c r="Q555" s="3682"/>
      <c r="R555" s="4083"/>
      <c r="S555" s="4083"/>
      <c r="T555" s="4083"/>
      <c r="U555" s="3645" t="s">
        <v>1541</v>
      </c>
      <c r="V555" s="3649" t="s">
        <v>1644</v>
      </c>
      <c r="W555" s="3649"/>
      <c r="X555" s="3657" t="s">
        <v>2670</v>
      </c>
      <c r="Y555" s="3649" t="s">
        <v>1645</v>
      </c>
      <c r="Z555" s="3661"/>
      <c r="AA555" s="3620" t="s">
        <v>3949</v>
      </c>
      <c r="AB555" s="3691" t="s">
        <v>369</v>
      </c>
      <c r="AC555" s="4058">
        <v>2.194</v>
      </c>
      <c r="AD555" s="3618">
        <f t="shared" si="236"/>
        <v>78.984</v>
      </c>
      <c r="AE555" s="3645"/>
      <c r="AF555" s="3664" t="s">
        <v>2666</v>
      </c>
      <c r="AG555" s="3645" t="s">
        <v>416</v>
      </c>
      <c r="AH555" s="4430"/>
      <c r="AI555" s="3691"/>
      <c r="AJ555" s="3691"/>
      <c r="AK555" s="4430"/>
      <c r="AL555" s="3664"/>
      <c r="AM555" s="3664">
        <f t="shared" si="237"/>
        <v>36</v>
      </c>
      <c r="AN555" s="3691"/>
      <c r="AO555" s="3691"/>
      <c r="AP555" s="3691">
        <f t="shared" si="235"/>
        <v>36</v>
      </c>
      <c r="AQ555" s="4089"/>
      <c r="AR555" s="4413"/>
      <c r="AS555" s="4089"/>
      <c r="AT555" s="4413"/>
      <c r="AU555" s="4089">
        <f t="shared" si="239"/>
        <v>36</v>
      </c>
      <c r="AV555" s="4089"/>
      <c r="AW555" s="4089"/>
      <c r="AX555" s="4089"/>
      <c r="AY555" s="4089"/>
      <c r="AZ555" s="4089"/>
      <c r="BA555" s="4089"/>
      <c r="BB555" s="4089"/>
      <c r="BC555" s="4089"/>
      <c r="BD555" s="4089"/>
      <c r="BE555" s="4089"/>
      <c r="BF555" s="4089" t="s">
        <v>89</v>
      </c>
      <c r="BG555" s="4089"/>
      <c r="BH555" s="4089"/>
      <c r="BI555" s="4089"/>
      <c r="BJ555" s="4089"/>
      <c r="BK555" s="4089"/>
      <c r="BL555" s="4089"/>
      <c r="BM555" s="4089">
        <f>I555-BN555</f>
        <v>34.8</v>
      </c>
      <c r="BN555" s="4089">
        <f t="shared" ref="BN555:BN618" si="244">I555/60*2</f>
        <v>1.2</v>
      </c>
      <c r="BO555" s="4413"/>
      <c r="BP555" s="4413"/>
      <c r="BQ555" s="4413"/>
      <c r="BR555" s="4413"/>
      <c r="BS555" s="4413"/>
      <c r="BT555" s="4431"/>
      <c r="BU555" s="4432"/>
      <c r="BV555" s="4385">
        <f t="shared" si="225"/>
        <v>36</v>
      </c>
      <c r="BW555" s="4386">
        <f t="shared" si="230"/>
        <v>0</v>
      </c>
      <c r="BX555" s="4387"/>
      <c r="BY555" s="4387"/>
      <c r="BZ555" s="4387"/>
      <c r="CA555" s="4391"/>
      <c r="CC555" s="4392" t="s">
        <v>4467</v>
      </c>
      <c r="CD555" s="4391" t="e">
        <v>#N/A</v>
      </c>
    </row>
    <row r="556" s="4025" customFormat="1" ht="50" customHeight="1" spans="1:82">
      <c r="A556" s="4429">
        <v>45841</v>
      </c>
      <c r="B556" s="4080" t="s">
        <v>1641</v>
      </c>
      <c r="C556" s="3663" t="s">
        <v>396</v>
      </c>
      <c r="D556" s="3690">
        <v>4500172604</v>
      </c>
      <c r="E556" s="3664" t="s">
        <v>4517</v>
      </c>
      <c r="F556" s="3690" t="s">
        <v>4518</v>
      </c>
      <c r="G556" s="3664" t="s">
        <v>2666</v>
      </c>
      <c r="H556" s="3664" t="s">
        <v>2667</v>
      </c>
      <c r="I556" s="3618">
        <v>36</v>
      </c>
      <c r="J556" s="3618">
        <v>0</v>
      </c>
      <c r="K556" s="3618">
        <v>12</v>
      </c>
      <c r="L556" s="3691">
        <f t="shared" si="243"/>
        <v>3</v>
      </c>
      <c r="M556" s="3659">
        <v>45877</v>
      </c>
      <c r="N556" s="3659">
        <v>45877</v>
      </c>
      <c r="O556" s="3664"/>
      <c r="P556" s="3682" t="s">
        <v>82</v>
      </c>
      <c r="Q556" s="3682"/>
      <c r="R556" s="4083"/>
      <c r="S556" s="4083"/>
      <c r="T556" s="4083"/>
      <c r="U556" s="3645" t="s">
        <v>1541</v>
      </c>
      <c r="V556" s="3649" t="s">
        <v>1644</v>
      </c>
      <c r="W556" s="3649"/>
      <c r="X556" s="3657" t="s">
        <v>2670</v>
      </c>
      <c r="Y556" s="3649" t="s">
        <v>1645</v>
      </c>
      <c r="Z556" s="3661"/>
      <c r="AA556" s="3620" t="s">
        <v>3949</v>
      </c>
      <c r="AB556" s="3691" t="s">
        <v>369</v>
      </c>
      <c r="AC556" s="4058">
        <v>2.194</v>
      </c>
      <c r="AD556" s="3618">
        <f t="shared" si="236"/>
        <v>78.984</v>
      </c>
      <c r="AE556" s="3645"/>
      <c r="AF556" s="3664" t="s">
        <v>2666</v>
      </c>
      <c r="AG556" s="3645" t="s">
        <v>416</v>
      </c>
      <c r="AH556" s="4430"/>
      <c r="AI556" s="3691"/>
      <c r="AJ556" s="3691"/>
      <c r="AK556" s="4430"/>
      <c r="AL556" s="3664"/>
      <c r="AM556" s="3664">
        <f t="shared" si="237"/>
        <v>36</v>
      </c>
      <c r="AN556" s="3691"/>
      <c r="AO556" s="3691"/>
      <c r="AP556" s="3691">
        <f t="shared" si="235"/>
        <v>36</v>
      </c>
      <c r="AQ556" s="4089"/>
      <c r="AR556" s="4413"/>
      <c r="AS556" s="4089"/>
      <c r="AT556" s="4413"/>
      <c r="AU556" s="4089">
        <f t="shared" si="239"/>
        <v>36</v>
      </c>
      <c r="AV556" s="4089"/>
      <c r="AW556" s="4089"/>
      <c r="AX556" s="4089"/>
      <c r="AY556" s="4089"/>
      <c r="AZ556" s="4089"/>
      <c r="BA556" s="4089"/>
      <c r="BB556" s="4089"/>
      <c r="BC556" s="4089"/>
      <c r="BD556" s="4089"/>
      <c r="BE556" s="4089"/>
      <c r="BF556" s="4089" t="s">
        <v>89</v>
      </c>
      <c r="BG556" s="4089"/>
      <c r="BH556" s="4089"/>
      <c r="BI556" s="4089"/>
      <c r="BJ556" s="4089"/>
      <c r="BK556" s="4089"/>
      <c r="BL556" s="4089"/>
      <c r="BM556" s="4089">
        <f>I556-BN556</f>
        <v>34.8</v>
      </c>
      <c r="BN556" s="4089">
        <f t="shared" si="244"/>
        <v>1.2</v>
      </c>
      <c r="BO556" s="4413"/>
      <c r="BP556" s="4413"/>
      <c r="BQ556" s="4413"/>
      <c r="BR556" s="4413"/>
      <c r="BS556" s="4413"/>
      <c r="BT556" s="4431"/>
      <c r="BU556" s="4432"/>
      <c r="BV556" s="4385">
        <f t="shared" si="225"/>
        <v>36</v>
      </c>
      <c r="BW556" s="4386">
        <f t="shared" si="230"/>
        <v>0</v>
      </c>
      <c r="BX556" s="4387"/>
      <c r="BY556" s="4387"/>
      <c r="BZ556" s="4387"/>
      <c r="CA556" s="4391"/>
      <c r="CC556" s="4392" t="s">
        <v>4467</v>
      </c>
      <c r="CD556" s="4391" t="e">
        <v>#N/A</v>
      </c>
    </row>
    <row r="557" s="4025" customFormat="1" ht="50" customHeight="1" spans="1:82">
      <c r="A557" s="3688">
        <v>45841</v>
      </c>
      <c r="B557" s="3689" t="s">
        <v>1641</v>
      </c>
      <c r="C557" s="3664" t="s">
        <v>396</v>
      </c>
      <c r="D557" s="3690">
        <v>4500172604</v>
      </c>
      <c r="E557" s="3664" t="s">
        <v>4519</v>
      </c>
      <c r="F557" s="3690" t="s">
        <v>4520</v>
      </c>
      <c r="G557" s="3664" t="s">
        <v>2666</v>
      </c>
      <c r="H557" s="3664" t="s">
        <v>2667</v>
      </c>
      <c r="I557" s="3618">
        <v>36</v>
      </c>
      <c r="J557" s="3618">
        <v>0</v>
      </c>
      <c r="K557" s="3618">
        <v>12</v>
      </c>
      <c r="L557" s="3691">
        <f t="shared" si="243"/>
        <v>3</v>
      </c>
      <c r="M557" s="3659">
        <v>45877</v>
      </c>
      <c r="N557" s="3659">
        <v>45877</v>
      </c>
      <c r="O557" s="3664"/>
      <c r="P557" s="3682" t="s">
        <v>82</v>
      </c>
      <c r="Q557" s="3682"/>
      <c r="R557" s="4083"/>
      <c r="S557" s="4083"/>
      <c r="T557" s="4083"/>
      <c r="U557" s="3645" t="s">
        <v>1541</v>
      </c>
      <c r="V557" s="3649" t="s">
        <v>1644</v>
      </c>
      <c r="W557" s="3657"/>
      <c r="X557" s="3657" t="s">
        <v>2670</v>
      </c>
      <c r="Y557" s="3657" t="s">
        <v>1645</v>
      </c>
      <c r="Z557" s="3661"/>
      <c r="AA557" s="3620" t="s">
        <v>3949</v>
      </c>
      <c r="AB557" s="3691" t="s">
        <v>369</v>
      </c>
      <c r="AC557" s="4058">
        <v>2.194</v>
      </c>
      <c r="AD557" s="3618">
        <f t="shared" si="236"/>
        <v>78.984</v>
      </c>
      <c r="AE557" s="3645"/>
      <c r="AF557" s="3664" t="s">
        <v>2666</v>
      </c>
      <c r="AG557" s="3645" t="s">
        <v>416</v>
      </c>
      <c r="AH557" s="4430"/>
      <c r="AI557" s="3691"/>
      <c r="AJ557" s="3691"/>
      <c r="AK557" s="4430"/>
      <c r="AL557" s="3664"/>
      <c r="AM557" s="3664">
        <f t="shared" si="237"/>
        <v>36</v>
      </c>
      <c r="AN557" s="3691"/>
      <c r="AO557" s="3691"/>
      <c r="AP557" s="3691">
        <f t="shared" si="235"/>
        <v>36</v>
      </c>
      <c r="AQ557" s="4089"/>
      <c r="AR557" s="4413"/>
      <c r="AS557" s="4089"/>
      <c r="AT557" s="4413"/>
      <c r="AU557" s="4089">
        <f t="shared" si="239"/>
        <v>36</v>
      </c>
      <c r="AV557" s="4089"/>
      <c r="AW557" s="4089"/>
      <c r="AX557" s="4089"/>
      <c r="AY557" s="4089"/>
      <c r="AZ557" s="4089"/>
      <c r="BA557" s="4089"/>
      <c r="BB557" s="4089"/>
      <c r="BC557" s="4089"/>
      <c r="BD557" s="4089"/>
      <c r="BE557" s="4089"/>
      <c r="BF557" s="4089" t="s">
        <v>89</v>
      </c>
      <c r="BG557" s="4089"/>
      <c r="BH557" s="4089"/>
      <c r="BI557" s="4089"/>
      <c r="BJ557" s="4089"/>
      <c r="BK557" s="4089"/>
      <c r="BL557" s="4089"/>
      <c r="BM557" s="4089">
        <f>I557-BN557</f>
        <v>34.8</v>
      </c>
      <c r="BN557" s="4089">
        <f t="shared" si="244"/>
        <v>1.2</v>
      </c>
      <c r="BO557" s="4413"/>
      <c r="BP557" s="4413"/>
      <c r="BQ557" s="4413"/>
      <c r="BR557" s="4413"/>
      <c r="BS557" s="4413"/>
      <c r="BT557" s="4431"/>
      <c r="BU557" s="4432"/>
      <c r="BV557" s="4385">
        <f t="shared" si="225"/>
        <v>36</v>
      </c>
      <c r="BW557" s="4386">
        <f t="shared" si="230"/>
        <v>0</v>
      </c>
      <c r="BX557" s="4387"/>
      <c r="BY557" s="4387"/>
      <c r="BZ557" s="4387"/>
      <c r="CA557" s="4391"/>
      <c r="CC557" s="4392" t="s">
        <v>4467</v>
      </c>
      <c r="CD557" s="4391" t="e">
        <v>#N/A</v>
      </c>
    </row>
    <row r="558" s="4025" customFormat="1" ht="50" customHeight="1" spans="1:82">
      <c r="A558" s="3688">
        <v>45841</v>
      </c>
      <c r="B558" s="3689" t="s">
        <v>1641</v>
      </c>
      <c r="C558" s="3664" t="s">
        <v>396</v>
      </c>
      <c r="D558" s="3690">
        <v>4500172604</v>
      </c>
      <c r="E558" s="3664" t="s">
        <v>4521</v>
      </c>
      <c r="F558" s="3690" t="s">
        <v>4522</v>
      </c>
      <c r="G558" s="3664" t="s">
        <v>2666</v>
      </c>
      <c r="H558" s="3664" t="s">
        <v>2667</v>
      </c>
      <c r="I558" s="3618">
        <v>36</v>
      </c>
      <c r="J558" s="3618">
        <v>0</v>
      </c>
      <c r="K558" s="3618">
        <v>12</v>
      </c>
      <c r="L558" s="3691">
        <f t="shared" si="243"/>
        <v>3</v>
      </c>
      <c r="M558" s="3659">
        <v>45877</v>
      </c>
      <c r="N558" s="3659">
        <v>45877</v>
      </c>
      <c r="O558" s="3664"/>
      <c r="P558" s="3682" t="s">
        <v>82</v>
      </c>
      <c r="Q558" s="3682"/>
      <c r="R558" s="4083"/>
      <c r="S558" s="4083"/>
      <c r="T558" s="4083"/>
      <c r="U558" s="3645" t="s">
        <v>1541</v>
      </c>
      <c r="V558" s="3649" t="s">
        <v>1644</v>
      </c>
      <c r="W558" s="3657"/>
      <c r="X558" s="3657" t="s">
        <v>2670</v>
      </c>
      <c r="Y558" s="3657" t="s">
        <v>1645</v>
      </c>
      <c r="Z558" s="3661"/>
      <c r="AA558" s="3620" t="s">
        <v>3949</v>
      </c>
      <c r="AB558" s="3691" t="s">
        <v>369</v>
      </c>
      <c r="AC558" s="4058">
        <v>2.194</v>
      </c>
      <c r="AD558" s="3618">
        <f t="shared" si="236"/>
        <v>78.984</v>
      </c>
      <c r="AE558" s="3645"/>
      <c r="AF558" s="3664" t="s">
        <v>2666</v>
      </c>
      <c r="AG558" s="3645" t="s">
        <v>416</v>
      </c>
      <c r="AH558" s="4430"/>
      <c r="AI558" s="3691"/>
      <c r="AJ558" s="3691"/>
      <c r="AK558" s="4430"/>
      <c r="AL558" s="3664"/>
      <c r="AM558" s="3664">
        <f t="shared" si="237"/>
        <v>36</v>
      </c>
      <c r="AN558" s="3691"/>
      <c r="AO558" s="3691"/>
      <c r="AP558" s="3691">
        <f t="shared" si="235"/>
        <v>36</v>
      </c>
      <c r="AQ558" s="4089"/>
      <c r="AR558" s="4413"/>
      <c r="AS558" s="4089"/>
      <c r="AT558" s="4413"/>
      <c r="AU558" s="4089">
        <f t="shared" si="239"/>
        <v>36</v>
      </c>
      <c r="AV558" s="4089"/>
      <c r="AW558" s="4089"/>
      <c r="AX558" s="4089"/>
      <c r="AY558" s="4089"/>
      <c r="AZ558" s="4089"/>
      <c r="BA558" s="4089"/>
      <c r="BB558" s="4089"/>
      <c r="BC558" s="4089"/>
      <c r="BD558" s="4089"/>
      <c r="BE558" s="4089"/>
      <c r="BF558" s="4089" t="s">
        <v>89</v>
      </c>
      <c r="BG558" s="4089"/>
      <c r="BH558" s="4089"/>
      <c r="BI558" s="4089"/>
      <c r="BJ558" s="4089"/>
      <c r="BK558" s="4089"/>
      <c r="BL558" s="4089"/>
      <c r="BM558" s="4089">
        <f>I558-BN558</f>
        <v>34.8</v>
      </c>
      <c r="BN558" s="4089">
        <f t="shared" si="244"/>
        <v>1.2</v>
      </c>
      <c r="BO558" s="4413"/>
      <c r="BP558" s="4413"/>
      <c r="BQ558" s="4413"/>
      <c r="BR558" s="4413"/>
      <c r="BS558" s="4413"/>
      <c r="BT558" s="4431"/>
      <c r="BU558" s="4432"/>
      <c r="BV558" s="4385">
        <f t="shared" si="225"/>
        <v>36</v>
      </c>
      <c r="BW558" s="4386">
        <f t="shared" si="230"/>
        <v>0</v>
      </c>
      <c r="BX558" s="4387"/>
      <c r="BY558" s="4387"/>
      <c r="BZ558" s="4387"/>
      <c r="CA558" s="4391"/>
      <c r="CC558" s="4392" t="s">
        <v>4467</v>
      </c>
      <c r="CD558" s="4391" t="e">
        <v>#N/A</v>
      </c>
    </row>
    <row r="559" s="4025" customFormat="1" ht="50" customHeight="1" spans="1:82">
      <c r="A559" s="3688">
        <v>45841</v>
      </c>
      <c r="B559" s="3689" t="s">
        <v>1641</v>
      </c>
      <c r="C559" s="3664" t="s">
        <v>396</v>
      </c>
      <c r="D559" s="3690">
        <v>4500172604</v>
      </c>
      <c r="E559" s="3664" t="s">
        <v>4523</v>
      </c>
      <c r="F559" s="3690" t="s">
        <v>4524</v>
      </c>
      <c r="G559" s="3664" t="s">
        <v>2680</v>
      </c>
      <c r="H559" s="3664" t="s">
        <v>2632</v>
      </c>
      <c r="I559" s="3618">
        <v>12</v>
      </c>
      <c r="J559" s="3618">
        <v>0</v>
      </c>
      <c r="K559" s="3618">
        <v>12</v>
      </c>
      <c r="L559" s="3691">
        <f t="shared" si="243"/>
        <v>1</v>
      </c>
      <c r="M559" s="3659">
        <v>45877</v>
      </c>
      <c r="N559" s="3659">
        <v>45877</v>
      </c>
      <c r="O559" s="3664"/>
      <c r="P559" s="3682" t="s">
        <v>82</v>
      </c>
      <c r="Q559" s="3682"/>
      <c r="R559" s="4083"/>
      <c r="S559" s="4083"/>
      <c r="T559" s="4083"/>
      <c r="U559" s="3645" t="s">
        <v>1541</v>
      </c>
      <c r="V559" s="3649" t="s">
        <v>1644</v>
      </c>
      <c r="W559" s="3657"/>
      <c r="X559" s="3657" t="s">
        <v>2670</v>
      </c>
      <c r="Y559" s="3657" t="s">
        <v>1645</v>
      </c>
      <c r="Z559" s="3661"/>
      <c r="AA559" s="3620" t="s">
        <v>3949</v>
      </c>
      <c r="AB559" s="3691" t="s">
        <v>369</v>
      </c>
      <c r="AC559" s="4058">
        <v>2.194</v>
      </c>
      <c r="AD559" s="3618">
        <f t="shared" si="236"/>
        <v>26.328</v>
      </c>
      <c r="AE559" s="3645"/>
      <c r="AF559" s="3664" t="s">
        <v>2680</v>
      </c>
      <c r="AG559" s="3645" t="s">
        <v>416</v>
      </c>
      <c r="AH559" s="4430"/>
      <c r="AI559" s="3691"/>
      <c r="AJ559" s="3691"/>
      <c r="AK559" s="4430"/>
      <c r="AL559" s="3664"/>
      <c r="AM559" s="3664">
        <f t="shared" si="237"/>
        <v>12</v>
      </c>
      <c r="AN559" s="3691"/>
      <c r="AO559" s="3691"/>
      <c r="AP559" s="3691">
        <f t="shared" si="235"/>
        <v>12</v>
      </c>
      <c r="AQ559" s="4089"/>
      <c r="AR559" s="4413"/>
      <c r="AS559" s="4089"/>
      <c r="AT559" s="4413"/>
      <c r="AU559" s="4089">
        <f t="shared" si="239"/>
        <v>12</v>
      </c>
      <c r="AV559" s="4089"/>
      <c r="AW559" s="4089"/>
      <c r="AX559" s="4089"/>
      <c r="AY559" s="4089"/>
      <c r="AZ559" s="4089"/>
      <c r="BA559" s="4089"/>
      <c r="BB559" s="4089"/>
      <c r="BC559" s="4089"/>
      <c r="BD559" s="4089"/>
      <c r="BE559" s="4089"/>
      <c r="BF559" s="4089" t="s">
        <v>89</v>
      </c>
      <c r="BG559" s="4089"/>
      <c r="BH559" s="4089"/>
      <c r="BI559" s="4089"/>
      <c r="BJ559" s="4089">
        <f>I559-BN559</f>
        <v>11.6</v>
      </c>
      <c r="BK559" s="4089"/>
      <c r="BL559" s="4089"/>
      <c r="BM559" s="4089"/>
      <c r="BN559" s="4089">
        <f t="shared" si="244"/>
        <v>0.4</v>
      </c>
      <c r="BO559" s="4413"/>
      <c r="BP559" s="4413"/>
      <c r="BQ559" s="4413"/>
      <c r="BR559" s="4413"/>
      <c r="BS559" s="4413"/>
      <c r="BT559" s="4431"/>
      <c r="BU559" s="4432"/>
      <c r="BV559" s="4385">
        <f t="shared" si="225"/>
        <v>12</v>
      </c>
      <c r="BW559" s="4386">
        <f t="shared" si="230"/>
        <v>0</v>
      </c>
      <c r="BX559" s="4387"/>
      <c r="BY559" s="4387"/>
      <c r="BZ559" s="4387"/>
      <c r="CA559" s="4391"/>
      <c r="CC559" s="4392" t="s">
        <v>4467</v>
      </c>
      <c r="CD559" s="4391" t="e">
        <v>#N/A</v>
      </c>
    </row>
    <row r="560" s="4025" customFormat="1" ht="50" customHeight="1" spans="1:82">
      <c r="A560" s="3688">
        <v>45841</v>
      </c>
      <c r="B560" s="3689" t="s">
        <v>1641</v>
      </c>
      <c r="C560" s="3664" t="s">
        <v>396</v>
      </c>
      <c r="D560" s="3690">
        <v>4500172604</v>
      </c>
      <c r="E560" s="3664" t="s">
        <v>4525</v>
      </c>
      <c r="F560" s="3690" t="s">
        <v>4526</v>
      </c>
      <c r="G560" s="3664" t="s">
        <v>2680</v>
      </c>
      <c r="H560" s="3664" t="s">
        <v>2632</v>
      </c>
      <c r="I560" s="3618">
        <v>24</v>
      </c>
      <c r="J560" s="3618">
        <v>0</v>
      </c>
      <c r="K560" s="3618">
        <v>12</v>
      </c>
      <c r="L560" s="3691">
        <f t="shared" ref="L560:L566" si="245">I560/K560</f>
        <v>2</v>
      </c>
      <c r="M560" s="3659">
        <v>45877</v>
      </c>
      <c r="N560" s="3659">
        <v>45877</v>
      </c>
      <c r="O560" s="3664"/>
      <c r="P560" s="3682" t="s">
        <v>82</v>
      </c>
      <c r="Q560" s="3682"/>
      <c r="R560" s="4083"/>
      <c r="S560" s="4083"/>
      <c r="T560" s="4083"/>
      <c r="U560" s="3645" t="s">
        <v>1541</v>
      </c>
      <c r="V560" s="3649" t="s">
        <v>1644</v>
      </c>
      <c r="W560" s="3657"/>
      <c r="X560" s="3657" t="s">
        <v>2670</v>
      </c>
      <c r="Y560" s="3657" t="s">
        <v>1645</v>
      </c>
      <c r="Z560" s="3661"/>
      <c r="AA560" s="3620" t="s">
        <v>3949</v>
      </c>
      <c r="AB560" s="3691" t="s">
        <v>369</v>
      </c>
      <c r="AC560" s="4058">
        <v>2.194</v>
      </c>
      <c r="AD560" s="3618">
        <f t="shared" si="236"/>
        <v>52.656</v>
      </c>
      <c r="AE560" s="3645"/>
      <c r="AF560" s="3664" t="s">
        <v>2680</v>
      </c>
      <c r="AG560" s="3645" t="s">
        <v>416</v>
      </c>
      <c r="AH560" s="4430"/>
      <c r="AI560" s="3691"/>
      <c r="AJ560" s="3691"/>
      <c r="AK560" s="4430"/>
      <c r="AL560" s="3664"/>
      <c r="AM560" s="3664">
        <f t="shared" si="237"/>
        <v>24</v>
      </c>
      <c r="AN560" s="3691"/>
      <c r="AO560" s="3691"/>
      <c r="AP560" s="3691">
        <f t="shared" si="235"/>
        <v>24</v>
      </c>
      <c r="AQ560" s="4089"/>
      <c r="AR560" s="4413"/>
      <c r="AS560" s="4089"/>
      <c r="AT560" s="4413"/>
      <c r="AU560" s="4089">
        <f t="shared" si="239"/>
        <v>24</v>
      </c>
      <c r="AV560" s="4089"/>
      <c r="AW560" s="4089"/>
      <c r="AX560" s="4089"/>
      <c r="AY560" s="4089"/>
      <c r="AZ560" s="4089"/>
      <c r="BA560" s="4089"/>
      <c r="BB560" s="4089"/>
      <c r="BC560" s="4089"/>
      <c r="BD560" s="4089"/>
      <c r="BE560" s="4089"/>
      <c r="BF560" s="4089" t="s">
        <v>89</v>
      </c>
      <c r="BG560" s="4089"/>
      <c r="BH560" s="4089"/>
      <c r="BI560" s="4089"/>
      <c r="BJ560" s="4089">
        <f>I560-BN560</f>
        <v>23.2</v>
      </c>
      <c r="BK560" s="4089"/>
      <c r="BL560" s="4089"/>
      <c r="BM560" s="4089"/>
      <c r="BN560" s="4089">
        <f t="shared" si="244"/>
        <v>0.8</v>
      </c>
      <c r="BO560" s="4413"/>
      <c r="BP560" s="4413"/>
      <c r="BQ560" s="4413"/>
      <c r="BR560" s="4413"/>
      <c r="BS560" s="4413"/>
      <c r="BT560" s="4431"/>
      <c r="BU560" s="4432"/>
      <c r="BV560" s="4385">
        <f t="shared" si="225"/>
        <v>24</v>
      </c>
      <c r="BW560" s="4386">
        <f t="shared" si="230"/>
        <v>0</v>
      </c>
      <c r="BX560" s="4387"/>
      <c r="BY560" s="4387"/>
      <c r="BZ560" s="4387"/>
      <c r="CA560" s="4391"/>
      <c r="CC560" s="4392" t="s">
        <v>4467</v>
      </c>
      <c r="CD560" s="4391" t="e">
        <v>#N/A</v>
      </c>
    </row>
    <row r="561" s="4025" customFormat="1" ht="50" customHeight="1" spans="1:82">
      <c r="A561" s="3688">
        <v>45841</v>
      </c>
      <c r="B561" s="3689" t="s">
        <v>1641</v>
      </c>
      <c r="C561" s="3664" t="s">
        <v>396</v>
      </c>
      <c r="D561" s="3690">
        <v>4500172604</v>
      </c>
      <c r="E561" s="3664" t="s">
        <v>4527</v>
      </c>
      <c r="F561" s="3690" t="s">
        <v>4528</v>
      </c>
      <c r="G561" s="3664" t="s">
        <v>2680</v>
      </c>
      <c r="H561" s="3664" t="s">
        <v>2632</v>
      </c>
      <c r="I561" s="3618">
        <v>12</v>
      </c>
      <c r="J561" s="3618">
        <v>0</v>
      </c>
      <c r="K561" s="3618">
        <v>12</v>
      </c>
      <c r="L561" s="3691">
        <f t="shared" si="245"/>
        <v>1</v>
      </c>
      <c r="M561" s="3659">
        <v>45877</v>
      </c>
      <c r="N561" s="3659">
        <v>45877</v>
      </c>
      <c r="O561" s="3664"/>
      <c r="P561" s="3682" t="s">
        <v>82</v>
      </c>
      <c r="Q561" s="3682"/>
      <c r="R561" s="4083"/>
      <c r="S561" s="4083"/>
      <c r="T561" s="4083"/>
      <c r="U561" s="3645" t="s">
        <v>1541</v>
      </c>
      <c r="V561" s="3649" t="s">
        <v>1644</v>
      </c>
      <c r="W561" s="3657"/>
      <c r="X561" s="3657" t="s">
        <v>2670</v>
      </c>
      <c r="Y561" s="3657" t="s">
        <v>1645</v>
      </c>
      <c r="Z561" s="3661"/>
      <c r="AA561" s="3620" t="s">
        <v>3949</v>
      </c>
      <c r="AB561" s="3691" t="s">
        <v>369</v>
      </c>
      <c r="AC561" s="4058">
        <v>2.194</v>
      </c>
      <c r="AD561" s="3618">
        <f t="shared" si="236"/>
        <v>26.328</v>
      </c>
      <c r="AE561" s="3645"/>
      <c r="AF561" s="3664" t="s">
        <v>2680</v>
      </c>
      <c r="AG561" s="3645" t="s">
        <v>416</v>
      </c>
      <c r="AH561" s="4430"/>
      <c r="AI561" s="3691"/>
      <c r="AJ561" s="3691"/>
      <c r="AK561" s="4430"/>
      <c r="AL561" s="3664"/>
      <c r="AM561" s="3664">
        <f t="shared" si="237"/>
        <v>12</v>
      </c>
      <c r="AN561" s="3691"/>
      <c r="AO561" s="3691"/>
      <c r="AP561" s="3691">
        <f t="shared" si="235"/>
        <v>12</v>
      </c>
      <c r="AQ561" s="4089"/>
      <c r="AR561" s="4413"/>
      <c r="AS561" s="4089"/>
      <c r="AT561" s="4413"/>
      <c r="AU561" s="4089">
        <f t="shared" si="239"/>
        <v>12</v>
      </c>
      <c r="AV561" s="4089"/>
      <c r="AW561" s="4089"/>
      <c r="AX561" s="4089"/>
      <c r="AY561" s="4089"/>
      <c r="AZ561" s="4089"/>
      <c r="BA561" s="4089"/>
      <c r="BB561" s="4089"/>
      <c r="BC561" s="4089"/>
      <c r="BD561" s="4089"/>
      <c r="BE561" s="4089"/>
      <c r="BF561" s="4089" t="s">
        <v>89</v>
      </c>
      <c r="BG561" s="4089"/>
      <c r="BH561" s="4089"/>
      <c r="BI561" s="4089"/>
      <c r="BJ561" s="4089">
        <f>I561-BN561</f>
        <v>11.6</v>
      </c>
      <c r="BK561" s="4089"/>
      <c r="BL561" s="4089"/>
      <c r="BM561" s="4089"/>
      <c r="BN561" s="4089">
        <f t="shared" si="244"/>
        <v>0.4</v>
      </c>
      <c r="BO561" s="4413"/>
      <c r="BP561" s="4413"/>
      <c r="BQ561" s="4413"/>
      <c r="BR561" s="4413"/>
      <c r="BS561" s="4413"/>
      <c r="BT561" s="4431"/>
      <c r="BU561" s="4432"/>
      <c r="BV561" s="4385">
        <f t="shared" si="225"/>
        <v>12</v>
      </c>
      <c r="BW561" s="4386">
        <f t="shared" si="230"/>
        <v>0</v>
      </c>
      <c r="BX561" s="4387"/>
      <c r="BY561" s="4387"/>
      <c r="BZ561" s="4387"/>
      <c r="CA561" s="4391"/>
      <c r="CC561" s="4392" t="s">
        <v>4467</v>
      </c>
      <c r="CD561" s="4391" t="e">
        <v>#N/A</v>
      </c>
    </row>
    <row r="562" s="4025" customFormat="1" ht="50" customHeight="1" spans="1:82">
      <c r="A562" s="3688">
        <v>45841</v>
      </c>
      <c r="B562" s="3689" t="s">
        <v>1641</v>
      </c>
      <c r="C562" s="3664" t="s">
        <v>396</v>
      </c>
      <c r="D562" s="3690">
        <v>4500172604</v>
      </c>
      <c r="E562" s="3664" t="s">
        <v>4529</v>
      </c>
      <c r="F562" s="3690" t="s">
        <v>4530</v>
      </c>
      <c r="G562" s="3664" t="s">
        <v>2680</v>
      </c>
      <c r="H562" s="3664" t="s">
        <v>2632</v>
      </c>
      <c r="I562" s="3618">
        <v>12</v>
      </c>
      <c r="J562" s="3618">
        <v>0</v>
      </c>
      <c r="K562" s="3618">
        <v>12</v>
      </c>
      <c r="L562" s="3691">
        <f t="shared" si="245"/>
        <v>1</v>
      </c>
      <c r="M562" s="3659">
        <v>45877</v>
      </c>
      <c r="N562" s="3659">
        <v>45877</v>
      </c>
      <c r="O562" s="3664"/>
      <c r="P562" s="3682" t="s">
        <v>82</v>
      </c>
      <c r="Q562" s="3682"/>
      <c r="R562" s="4083"/>
      <c r="S562" s="4083"/>
      <c r="T562" s="4083"/>
      <c r="U562" s="3645" t="s">
        <v>1541</v>
      </c>
      <c r="V562" s="3649" t="s">
        <v>1644</v>
      </c>
      <c r="W562" s="3649"/>
      <c r="X562" s="3657" t="s">
        <v>2670</v>
      </c>
      <c r="Y562" s="3649" t="s">
        <v>1645</v>
      </c>
      <c r="Z562" s="3661"/>
      <c r="AA562" s="3620" t="s">
        <v>3949</v>
      </c>
      <c r="AB562" s="3691" t="s">
        <v>369</v>
      </c>
      <c r="AC562" s="4058">
        <v>2.194</v>
      </c>
      <c r="AD562" s="3618">
        <f t="shared" si="236"/>
        <v>26.328</v>
      </c>
      <c r="AE562" s="3645"/>
      <c r="AF562" s="3664" t="s">
        <v>2680</v>
      </c>
      <c r="AG562" s="3645" t="s">
        <v>416</v>
      </c>
      <c r="AH562" s="4430"/>
      <c r="AI562" s="3691"/>
      <c r="AJ562" s="3691"/>
      <c r="AK562" s="4430"/>
      <c r="AL562" s="3664"/>
      <c r="AM562" s="3664">
        <f t="shared" si="237"/>
        <v>12</v>
      </c>
      <c r="AN562" s="3691"/>
      <c r="AO562" s="3691"/>
      <c r="AP562" s="3691">
        <f t="shared" si="235"/>
        <v>12</v>
      </c>
      <c r="AQ562" s="4089"/>
      <c r="AR562" s="4413"/>
      <c r="AS562" s="4089"/>
      <c r="AT562" s="4413"/>
      <c r="AU562" s="4089">
        <f t="shared" si="239"/>
        <v>12</v>
      </c>
      <c r="AV562" s="4089"/>
      <c r="AW562" s="4089"/>
      <c r="AX562" s="4089"/>
      <c r="AY562" s="4089"/>
      <c r="AZ562" s="4089"/>
      <c r="BA562" s="4089"/>
      <c r="BB562" s="4089"/>
      <c r="BC562" s="4089"/>
      <c r="BD562" s="4089"/>
      <c r="BE562" s="4089"/>
      <c r="BF562" s="4089" t="s">
        <v>89</v>
      </c>
      <c r="BG562" s="4089"/>
      <c r="BH562" s="4089"/>
      <c r="BI562" s="4089"/>
      <c r="BJ562" s="4089">
        <f>I562-BN562</f>
        <v>11.6</v>
      </c>
      <c r="BK562" s="4089"/>
      <c r="BL562" s="4089"/>
      <c r="BM562" s="4089"/>
      <c r="BN562" s="4089">
        <f t="shared" si="244"/>
        <v>0.4</v>
      </c>
      <c r="BO562" s="4413"/>
      <c r="BP562" s="4413"/>
      <c r="BQ562" s="4413"/>
      <c r="BR562" s="4413"/>
      <c r="BS562" s="4413"/>
      <c r="BT562" s="4431"/>
      <c r="BU562" s="4432"/>
      <c r="BV562" s="4385">
        <f t="shared" ref="BV562:BV625" si="246">SUM(BH562:BU562)</f>
        <v>12</v>
      </c>
      <c r="BW562" s="4386">
        <f t="shared" si="230"/>
        <v>0</v>
      </c>
      <c r="BX562" s="4387"/>
      <c r="BY562" s="4387"/>
      <c r="BZ562" s="4387"/>
      <c r="CA562" s="4391"/>
      <c r="CC562" s="4392" t="s">
        <v>4467</v>
      </c>
      <c r="CD562" s="4391" t="e">
        <v>#N/A</v>
      </c>
    </row>
    <row r="563" s="4025" customFormat="1" ht="50" customHeight="1" spans="1:82">
      <c r="A563" s="3688">
        <v>45841</v>
      </c>
      <c r="B563" s="3689" t="s">
        <v>1641</v>
      </c>
      <c r="C563" s="3664" t="s">
        <v>396</v>
      </c>
      <c r="D563" s="3690">
        <v>4500172604</v>
      </c>
      <c r="E563" s="3664" t="s">
        <v>4531</v>
      </c>
      <c r="F563" s="3690" t="s">
        <v>4532</v>
      </c>
      <c r="G563" s="3664" t="s">
        <v>2680</v>
      </c>
      <c r="H563" s="3664" t="s">
        <v>2632</v>
      </c>
      <c r="I563" s="3618">
        <v>12</v>
      </c>
      <c r="J563" s="3618">
        <v>0</v>
      </c>
      <c r="K563" s="3618">
        <v>12</v>
      </c>
      <c r="L563" s="3691">
        <f t="shared" si="245"/>
        <v>1</v>
      </c>
      <c r="M563" s="3659">
        <v>45877</v>
      </c>
      <c r="N563" s="3659">
        <v>45877</v>
      </c>
      <c r="O563" s="3664"/>
      <c r="P563" s="3682" t="s">
        <v>82</v>
      </c>
      <c r="Q563" s="3682"/>
      <c r="R563" s="4083"/>
      <c r="S563" s="4083"/>
      <c r="T563" s="4083"/>
      <c r="U563" s="3645" t="s">
        <v>1541</v>
      </c>
      <c r="V563" s="3649" t="s">
        <v>1644</v>
      </c>
      <c r="W563" s="3657"/>
      <c r="X563" s="3657" t="s">
        <v>2670</v>
      </c>
      <c r="Y563" s="3657" t="s">
        <v>1645</v>
      </c>
      <c r="Z563" s="3661"/>
      <c r="AA563" s="3620" t="s">
        <v>3949</v>
      </c>
      <c r="AB563" s="3691" t="s">
        <v>369</v>
      </c>
      <c r="AC563" s="4058">
        <v>2.194</v>
      </c>
      <c r="AD563" s="3618">
        <f t="shared" si="236"/>
        <v>26.328</v>
      </c>
      <c r="AE563" s="3645"/>
      <c r="AF563" s="3664" t="s">
        <v>2680</v>
      </c>
      <c r="AG563" s="3645" t="s">
        <v>416</v>
      </c>
      <c r="AH563" s="4430"/>
      <c r="AI563" s="3691"/>
      <c r="AJ563" s="3691"/>
      <c r="AK563" s="4430"/>
      <c r="AL563" s="3664"/>
      <c r="AM563" s="3664">
        <f t="shared" si="237"/>
        <v>12</v>
      </c>
      <c r="AN563" s="3691"/>
      <c r="AO563" s="3691"/>
      <c r="AP563" s="3691">
        <f t="shared" si="235"/>
        <v>12</v>
      </c>
      <c r="AQ563" s="4089"/>
      <c r="AR563" s="4413"/>
      <c r="AS563" s="4089"/>
      <c r="AT563" s="4413"/>
      <c r="AU563" s="4089">
        <f t="shared" si="239"/>
        <v>12</v>
      </c>
      <c r="AV563" s="4089"/>
      <c r="AW563" s="4089"/>
      <c r="AX563" s="4089"/>
      <c r="AY563" s="4089"/>
      <c r="AZ563" s="4089"/>
      <c r="BA563" s="4089"/>
      <c r="BB563" s="4089"/>
      <c r="BC563" s="4089"/>
      <c r="BD563" s="4089"/>
      <c r="BE563" s="4089"/>
      <c r="BF563" s="4089" t="s">
        <v>89</v>
      </c>
      <c r="BG563" s="4089"/>
      <c r="BH563" s="4089"/>
      <c r="BI563" s="4089"/>
      <c r="BJ563" s="4089">
        <f>I563-BN563</f>
        <v>11.6</v>
      </c>
      <c r="BK563" s="4089"/>
      <c r="BL563" s="4089"/>
      <c r="BM563" s="4089"/>
      <c r="BN563" s="4089">
        <f t="shared" si="244"/>
        <v>0.4</v>
      </c>
      <c r="BO563" s="4413"/>
      <c r="BP563" s="4413"/>
      <c r="BQ563" s="4413"/>
      <c r="BR563" s="4413"/>
      <c r="BS563" s="4413"/>
      <c r="BT563" s="4431"/>
      <c r="BU563" s="4432"/>
      <c r="BV563" s="4385">
        <f t="shared" si="246"/>
        <v>12</v>
      </c>
      <c r="BW563" s="4386">
        <f t="shared" si="230"/>
        <v>0</v>
      </c>
      <c r="BX563" s="4387"/>
      <c r="BY563" s="4387"/>
      <c r="BZ563" s="4387"/>
      <c r="CA563" s="4391"/>
      <c r="CC563" s="4392" t="s">
        <v>4467</v>
      </c>
      <c r="CD563" s="4391" t="e">
        <v>#N/A</v>
      </c>
    </row>
    <row r="564" s="4025" customFormat="1" ht="50" customHeight="1" spans="1:82">
      <c r="A564" s="3688">
        <v>45828</v>
      </c>
      <c r="B564" s="3689" t="s">
        <v>4533</v>
      </c>
      <c r="C564" s="3664" t="s">
        <v>738</v>
      </c>
      <c r="D564" s="3690">
        <v>4500170750</v>
      </c>
      <c r="E564" s="3664"/>
      <c r="F564" s="3690" t="s">
        <v>4534</v>
      </c>
      <c r="G564" s="3664" t="s">
        <v>2577</v>
      </c>
      <c r="H564" s="3664" t="s">
        <v>2578</v>
      </c>
      <c r="I564" s="3691">
        <v>600</v>
      </c>
      <c r="J564" s="3691">
        <v>0</v>
      </c>
      <c r="K564" s="3691">
        <v>12</v>
      </c>
      <c r="L564" s="3691">
        <f t="shared" si="245"/>
        <v>50</v>
      </c>
      <c r="M564" s="3659">
        <v>45877</v>
      </c>
      <c r="N564" s="3659">
        <v>45878</v>
      </c>
      <c r="O564" s="3664"/>
      <c r="P564" s="3682" t="s">
        <v>82</v>
      </c>
      <c r="Q564" s="3682"/>
      <c r="R564" s="4083"/>
      <c r="S564" s="4083"/>
      <c r="T564" s="4083"/>
      <c r="U564" s="3645" t="s">
        <v>1675</v>
      </c>
      <c r="V564" s="3649" t="s">
        <v>1644</v>
      </c>
      <c r="W564" s="3657"/>
      <c r="X564" s="3657" t="s">
        <v>4535</v>
      </c>
      <c r="Y564" s="3657"/>
      <c r="Z564" s="3661"/>
      <c r="AA564" s="3620" t="s">
        <v>4536</v>
      </c>
      <c r="AB564" s="3691" t="s">
        <v>1257</v>
      </c>
      <c r="AC564" s="3691">
        <v>2.1438</v>
      </c>
      <c r="AD564" s="3691">
        <f t="shared" si="236"/>
        <v>1286.28</v>
      </c>
      <c r="AE564" s="3645"/>
      <c r="AF564" s="3664" t="s">
        <v>2604</v>
      </c>
      <c r="AG564" s="3645" t="s">
        <v>416</v>
      </c>
      <c r="AH564" s="4448"/>
      <c r="AI564" s="3691"/>
      <c r="AJ564" s="3691"/>
      <c r="AK564" s="4448"/>
      <c r="AL564" s="3664"/>
      <c r="AM564" s="3664">
        <f t="shared" si="237"/>
        <v>600</v>
      </c>
      <c r="AN564" s="3691"/>
      <c r="AO564" s="3691"/>
      <c r="AP564" s="3691">
        <f t="shared" si="235"/>
        <v>600</v>
      </c>
      <c r="AQ564" s="4089"/>
      <c r="AR564" s="4411"/>
      <c r="AS564" s="4089">
        <f t="shared" ref="AS564:AS579" si="247">I564</f>
        <v>600</v>
      </c>
      <c r="AT564" s="4411"/>
      <c r="AU564" s="4089"/>
      <c r="AV564" s="4089">
        <f>I564/6</f>
        <v>100</v>
      </c>
      <c r="AW564" s="4089"/>
      <c r="AX564" s="4089"/>
      <c r="AY564" s="4089"/>
      <c r="AZ564" s="4089"/>
      <c r="BA564" s="4089"/>
      <c r="BB564" s="4089"/>
      <c r="BC564" s="4089"/>
      <c r="BD564" s="4089"/>
      <c r="BE564" s="4089"/>
      <c r="BF564" s="4089" t="s">
        <v>89</v>
      </c>
      <c r="BG564" s="4089"/>
      <c r="BH564" s="4089">
        <f t="shared" ref="BH564:BH620" si="248">I564/60*10</f>
        <v>100</v>
      </c>
      <c r="BI564" s="4089">
        <f t="shared" ref="BI564:BI620" si="249">I564/60*10</f>
        <v>100</v>
      </c>
      <c r="BJ564" s="4089">
        <f t="shared" ref="BJ564:BJ620" si="250">I564/60*10</f>
        <v>100</v>
      </c>
      <c r="BK564" s="4089">
        <f t="shared" ref="BK564:BK620" si="251">I564/60*10</f>
        <v>100</v>
      </c>
      <c r="BL564" s="4089">
        <f t="shared" ref="BL564:BL620" si="252">I564/60*10</f>
        <v>100</v>
      </c>
      <c r="BM564" s="4089">
        <f t="shared" ref="BM564:BM620" si="253">I564/60*8</f>
        <v>80</v>
      </c>
      <c r="BN564" s="4089">
        <f t="shared" si="244"/>
        <v>20</v>
      </c>
      <c r="BO564" s="4411"/>
      <c r="BP564" s="4411"/>
      <c r="BQ564" s="4411"/>
      <c r="BR564" s="4411"/>
      <c r="BS564" s="4411"/>
      <c r="BT564" s="4453"/>
      <c r="BU564" s="4454"/>
      <c r="BV564" s="4385">
        <f t="shared" si="246"/>
        <v>600</v>
      </c>
      <c r="BW564" s="4386">
        <f t="shared" si="230"/>
        <v>0</v>
      </c>
      <c r="BX564" s="4387"/>
      <c r="BY564" s="4387"/>
      <c r="BZ564" s="4387"/>
      <c r="CA564" s="4391"/>
      <c r="CC564" s="4392">
        <v>45878</v>
      </c>
      <c r="CD564" s="4391" t="s">
        <v>4474</v>
      </c>
    </row>
    <row r="565" s="4025" customFormat="1" ht="50" customHeight="1" spans="1:82">
      <c r="A565" s="3688">
        <v>45769</v>
      </c>
      <c r="B565" s="3689" t="s">
        <v>2285</v>
      </c>
      <c r="C565" s="3664" t="s">
        <v>351</v>
      </c>
      <c r="D565" s="3690">
        <v>4500164457</v>
      </c>
      <c r="E565" s="3664" t="s">
        <v>3330</v>
      </c>
      <c r="F565" s="3690" t="s">
        <v>4537</v>
      </c>
      <c r="G565" s="3664" t="s">
        <v>2577</v>
      </c>
      <c r="H565" s="3664" t="s">
        <v>2578</v>
      </c>
      <c r="I565" s="3691">
        <v>4716</v>
      </c>
      <c r="J565" s="3691">
        <v>0</v>
      </c>
      <c r="K565" s="3691">
        <v>12</v>
      </c>
      <c r="L565" s="3691">
        <f t="shared" si="245"/>
        <v>393</v>
      </c>
      <c r="M565" s="3659">
        <v>45877</v>
      </c>
      <c r="N565" s="3659">
        <v>45880</v>
      </c>
      <c r="O565" s="3682"/>
      <c r="P565" s="3682" t="s">
        <v>82</v>
      </c>
      <c r="Q565" s="3682"/>
      <c r="R565" s="4083"/>
      <c r="S565" s="4083"/>
      <c r="T565" s="4083"/>
      <c r="U565" s="3645" t="s">
        <v>220</v>
      </c>
      <c r="V565" s="3649" t="s">
        <v>1419</v>
      </c>
      <c r="W565" s="3649"/>
      <c r="X565" s="3657" t="s">
        <v>98</v>
      </c>
      <c r="Y565" s="3649"/>
      <c r="Z565" s="3661" t="s">
        <v>4457</v>
      </c>
      <c r="AA565" s="3620" t="s">
        <v>4538</v>
      </c>
      <c r="AB565" s="3691" t="s">
        <v>1199</v>
      </c>
      <c r="AC565" s="3691">
        <v>2.0654</v>
      </c>
      <c r="AD565" s="3691">
        <f t="shared" si="236"/>
        <v>9740.4264</v>
      </c>
      <c r="AE565" s="3645"/>
      <c r="AF565" s="3664" t="s">
        <v>4459</v>
      </c>
      <c r="AG565" s="3645" t="s">
        <v>416</v>
      </c>
      <c r="AH565" s="4422"/>
      <c r="AI565" s="3691"/>
      <c r="AJ565" s="3691"/>
      <c r="AK565" s="4422"/>
      <c r="AL565" s="3664"/>
      <c r="AM565" s="3664"/>
      <c r="AN565" s="3691">
        <f>I565</f>
        <v>4716</v>
      </c>
      <c r="AO565" s="3691">
        <f>I565</f>
        <v>4716</v>
      </c>
      <c r="AP565" s="3691"/>
      <c r="AQ565" s="4089"/>
      <c r="AR565" s="907"/>
      <c r="AS565" s="4089">
        <f t="shared" si="247"/>
        <v>4716</v>
      </c>
      <c r="AT565" s="907"/>
      <c r="AU565" s="4089"/>
      <c r="AV565" s="4089">
        <f>I565/6</f>
        <v>786</v>
      </c>
      <c r="AW565" s="4089"/>
      <c r="AX565" s="4089"/>
      <c r="AY565" s="4089"/>
      <c r="AZ565" s="4089"/>
      <c r="BA565" s="4089"/>
      <c r="BB565" s="4089"/>
      <c r="BC565" s="4089"/>
      <c r="BD565" s="4089"/>
      <c r="BE565" s="4089"/>
      <c r="BF565" s="4089" t="s">
        <v>89</v>
      </c>
      <c r="BG565" s="4089"/>
      <c r="BH565" s="4089">
        <f t="shared" si="248"/>
        <v>786</v>
      </c>
      <c r="BI565" s="4089">
        <f t="shared" si="249"/>
        <v>786</v>
      </c>
      <c r="BJ565" s="4089">
        <f t="shared" si="250"/>
        <v>786</v>
      </c>
      <c r="BK565" s="4089">
        <f t="shared" si="251"/>
        <v>786</v>
      </c>
      <c r="BL565" s="4089">
        <f t="shared" si="252"/>
        <v>786</v>
      </c>
      <c r="BM565" s="4089">
        <f t="shared" si="253"/>
        <v>628.8</v>
      </c>
      <c r="BN565" s="4089">
        <f t="shared" si="244"/>
        <v>157.2</v>
      </c>
      <c r="BO565" s="4382"/>
      <c r="BP565" s="4382"/>
      <c r="BQ565" s="4382"/>
      <c r="BR565" s="4382"/>
      <c r="BS565" s="4382"/>
      <c r="BT565" s="4383"/>
      <c r="BU565" s="4384"/>
      <c r="BV565" s="4385">
        <f t="shared" si="246"/>
        <v>4716</v>
      </c>
      <c r="BW565" s="4386">
        <f t="shared" si="230"/>
        <v>0</v>
      </c>
      <c r="BX565" s="4387"/>
      <c r="BY565" s="4387"/>
      <c r="BZ565" s="4387"/>
      <c r="CA565" s="4391" t="str">
        <f>VLOOKUP(D565&amp;G565&amp;H565&amp;I565,'9298 版本变更明细'!C:AJ,34,FALSE)</f>
        <v>版本待定</v>
      </c>
      <c r="CC565" s="4392">
        <v>45880</v>
      </c>
      <c r="CD565" s="4391" t="s">
        <v>4474</v>
      </c>
    </row>
    <row r="566" s="4025" customFormat="1" ht="50" customHeight="1" spans="1:82">
      <c r="A566" s="3688">
        <v>45769</v>
      </c>
      <c r="B566" s="3689" t="s">
        <v>2285</v>
      </c>
      <c r="C566" s="3664" t="s">
        <v>351</v>
      </c>
      <c r="D566" s="3690">
        <v>4500164457</v>
      </c>
      <c r="E566" s="3664" t="s">
        <v>3336</v>
      </c>
      <c r="F566" s="3690" t="s">
        <v>4539</v>
      </c>
      <c r="G566" s="3664" t="s">
        <v>2577</v>
      </c>
      <c r="H566" s="3664" t="s">
        <v>2578</v>
      </c>
      <c r="I566" s="3691">
        <v>1836</v>
      </c>
      <c r="J566" s="3691">
        <v>0</v>
      </c>
      <c r="K566" s="3691">
        <v>12</v>
      </c>
      <c r="L566" s="3691">
        <f t="shared" si="245"/>
        <v>153</v>
      </c>
      <c r="M566" s="3659">
        <v>45877</v>
      </c>
      <c r="N566" s="3659">
        <v>45880</v>
      </c>
      <c r="O566" s="3682"/>
      <c r="P566" s="3682" t="s">
        <v>82</v>
      </c>
      <c r="Q566" s="3682"/>
      <c r="R566" s="4083"/>
      <c r="S566" s="4083"/>
      <c r="T566" s="4083"/>
      <c r="U566" s="3645" t="s">
        <v>220</v>
      </c>
      <c r="V566" s="3649" t="s">
        <v>1419</v>
      </c>
      <c r="W566" s="3657"/>
      <c r="X566" s="3657" t="s">
        <v>98</v>
      </c>
      <c r="Y566" s="3657"/>
      <c r="Z566" s="3661" t="s">
        <v>4457</v>
      </c>
      <c r="AA566" s="3620" t="s">
        <v>4538</v>
      </c>
      <c r="AB566" s="3691" t="s">
        <v>1199</v>
      </c>
      <c r="AC566" s="3691">
        <v>2.1159</v>
      </c>
      <c r="AD566" s="3691">
        <f t="shared" si="236"/>
        <v>3884.7924</v>
      </c>
      <c r="AE566" s="3645"/>
      <c r="AF566" s="3664" t="s">
        <v>4459</v>
      </c>
      <c r="AG566" s="3645" t="s">
        <v>416</v>
      </c>
      <c r="AH566" s="4422"/>
      <c r="AI566" s="3691"/>
      <c r="AJ566" s="3691"/>
      <c r="AK566" s="4422"/>
      <c r="AL566" s="3664"/>
      <c r="AM566" s="3664"/>
      <c r="AN566" s="3691">
        <f>I566</f>
        <v>1836</v>
      </c>
      <c r="AO566" s="3691">
        <f>I566</f>
        <v>1836</v>
      </c>
      <c r="AP566" s="3691"/>
      <c r="AQ566" s="4089"/>
      <c r="AR566" s="907"/>
      <c r="AS566" s="4089">
        <f t="shared" si="247"/>
        <v>1836</v>
      </c>
      <c r="AT566" s="907"/>
      <c r="AU566" s="4089"/>
      <c r="AV566" s="4089">
        <f>I566/6</f>
        <v>306</v>
      </c>
      <c r="AW566" s="4089"/>
      <c r="AX566" s="4089"/>
      <c r="AY566" s="4089"/>
      <c r="AZ566" s="4089"/>
      <c r="BA566" s="4089"/>
      <c r="BB566" s="4089"/>
      <c r="BC566" s="4089"/>
      <c r="BD566" s="4089"/>
      <c r="BE566" s="4089"/>
      <c r="BF566" s="4089" t="s">
        <v>89</v>
      </c>
      <c r="BG566" s="4089"/>
      <c r="BH566" s="4089">
        <f t="shared" si="248"/>
        <v>306</v>
      </c>
      <c r="BI566" s="4089">
        <f t="shared" si="249"/>
        <v>306</v>
      </c>
      <c r="BJ566" s="4089">
        <f t="shared" si="250"/>
        <v>306</v>
      </c>
      <c r="BK566" s="4089">
        <f t="shared" si="251"/>
        <v>306</v>
      </c>
      <c r="BL566" s="4089">
        <f t="shared" si="252"/>
        <v>306</v>
      </c>
      <c r="BM566" s="4089">
        <f t="shared" si="253"/>
        <v>244.8</v>
      </c>
      <c r="BN566" s="4089">
        <f t="shared" si="244"/>
        <v>61.2</v>
      </c>
      <c r="BO566" s="4382"/>
      <c r="BP566" s="4382"/>
      <c r="BQ566" s="4382"/>
      <c r="BR566" s="4382"/>
      <c r="BS566" s="4382"/>
      <c r="BT566" s="4383"/>
      <c r="BU566" s="4384"/>
      <c r="BV566" s="4385">
        <f t="shared" si="246"/>
        <v>1836</v>
      </c>
      <c r="BW566" s="4386">
        <f t="shared" si="230"/>
        <v>0</v>
      </c>
      <c r="BX566" s="4387"/>
      <c r="BY566" s="4387"/>
      <c r="BZ566" s="4387"/>
      <c r="CA566" s="4391" t="str">
        <f>VLOOKUP(D566&amp;G566&amp;H566&amp;I566,'9298 版本变更明细'!C:AJ,34,FALSE)</f>
        <v>版本待定</v>
      </c>
      <c r="CC566" s="4392">
        <v>45880</v>
      </c>
      <c r="CD566" s="4391" t="s">
        <v>4474</v>
      </c>
    </row>
    <row r="567" s="4025" customFormat="1" ht="50" customHeight="1" spans="1:82">
      <c r="A567" s="3688">
        <v>45838</v>
      </c>
      <c r="B567" s="3689" t="s">
        <v>340</v>
      </c>
      <c r="C567" s="3664" t="s">
        <v>341</v>
      </c>
      <c r="D567" s="3690">
        <v>4500171941</v>
      </c>
      <c r="E567" s="3664" t="s">
        <v>4540</v>
      </c>
      <c r="F567" s="3690" t="s">
        <v>4541</v>
      </c>
      <c r="G567" s="3664" t="s">
        <v>3343</v>
      </c>
      <c r="H567" s="3664" t="s">
        <v>3344</v>
      </c>
      <c r="I567" s="3618">
        <v>1299</v>
      </c>
      <c r="J567" s="3618">
        <v>0</v>
      </c>
      <c r="K567" s="3618">
        <v>1</v>
      </c>
      <c r="L567" s="3618">
        <f t="shared" ref="L564:L627" si="254">I567/K567</f>
        <v>1299</v>
      </c>
      <c r="M567" s="3659">
        <v>45877</v>
      </c>
      <c r="N567" s="3659">
        <v>45877</v>
      </c>
      <c r="O567" s="3664"/>
      <c r="P567" s="3682" t="s">
        <v>82</v>
      </c>
      <c r="Q567" s="3682"/>
      <c r="R567" s="4083"/>
      <c r="S567" s="4083"/>
      <c r="T567" s="4083"/>
      <c r="U567" s="3645" t="s">
        <v>4542</v>
      </c>
      <c r="V567" s="3649" t="s">
        <v>4543</v>
      </c>
      <c r="W567" s="3657"/>
      <c r="X567" s="3657" t="s">
        <v>4544</v>
      </c>
      <c r="Y567" s="3657"/>
      <c r="Z567" s="3661"/>
      <c r="AA567" s="3620" t="s">
        <v>4545</v>
      </c>
      <c r="AB567" s="3691" t="s">
        <v>1459</v>
      </c>
      <c r="AC567" s="4058">
        <v>8.9518</v>
      </c>
      <c r="AD567" s="3618">
        <f t="shared" si="236"/>
        <v>11628.3882</v>
      </c>
      <c r="AE567" s="3645"/>
      <c r="AF567" s="3664" t="s">
        <v>3349</v>
      </c>
      <c r="AG567" s="3645" t="s">
        <v>416</v>
      </c>
      <c r="AH567" s="4430"/>
      <c r="AI567" s="3691"/>
      <c r="AJ567" s="3691">
        <f>I567</f>
        <v>1299</v>
      </c>
      <c r="AK567" s="4430"/>
      <c r="AL567" s="3664"/>
      <c r="AM567" s="3664"/>
      <c r="AN567" s="3691"/>
      <c r="AO567" s="3691"/>
      <c r="AP567" s="3691">
        <f>I567</f>
        <v>1299</v>
      </c>
      <c r="AQ567" s="4089"/>
      <c r="AR567" s="4413"/>
      <c r="AS567" s="4089">
        <f t="shared" si="247"/>
        <v>1299</v>
      </c>
      <c r="AT567" s="4413"/>
      <c r="AU567" s="4089"/>
      <c r="AV567" s="4089"/>
      <c r="AW567" s="4089"/>
      <c r="AX567" s="4089"/>
      <c r="AY567" s="4089"/>
      <c r="AZ567" s="4089"/>
      <c r="BA567" s="4089"/>
      <c r="BB567" s="4089"/>
      <c r="BC567" s="4089">
        <f>I567</f>
        <v>1299</v>
      </c>
      <c r="BD567" s="4089"/>
      <c r="BE567" s="4089"/>
      <c r="BF567" s="4089" t="s">
        <v>89</v>
      </c>
      <c r="BG567" s="4089"/>
      <c r="BH567" s="4089">
        <f t="shared" si="248"/>
        <v>216.5</v>
      </c>
      <c r="BI567" s="4089">
        <f t="shared" si="249"/>
        <v>216.5</v>
      </c>
      <c r="BJ567" s="4089">
        <f t="shared" si="250"/>
        <v>216.5</v>
      </c>
      <c r="BK567" s="4089">
        <f t="shared" si="251"/>
        <v>216.5</v>
      </c>
      <c r="BL567" s="4089">
        <f t="shared" si="252"/>
        <v>216.5</v>
      </c>
      <c r="BM567" s="4089">
        <f t="shared" si="253"/>
        <v>173.2</v>
      </c>
      <c r="BN567" s="4089">
        <f t="shared" si="244"/>
        <v>43.3</v>
      </c>
      <c r="BO567" s="4413"/>
      <c r="BP567" s="4413"/>
      <c r="BQ567" s="4413"/>
      <c r="BR567" s="4413"/>
      <c r="BS567" s="4413"/>
      <c r="BT567" s="4431"/>
      <c r="BU567" s="4432"/>
      <c r="BV567" s="4385">
        <f t="shared" si="246"/>
        <v>1299</v>
      </c>
      <c r="BW567" s="4386">
        <f t="shared" si="230"/>
        <v>0</v>
      </c>
      <c r="BX567" s="4387"/>
      <c r="BY567" s="4387"/>
      <c r="BZ567" s="4387"/>
      <c r="CA567" s="4391"/>
      <c r="CC567" s="4392" t="s">
        <v>4036</v>
      </c>
      <c r="CD567" s="4391" t="s">
        <v>4474</v>
      </c>
    </row>
    <row r="568" s="4025" customFormat="1" ht="50" customHeight="1" spans="1:82">
      <c r="A568" s="3688">
        <v>45838</v>
      </c>
      <c r="B568" s="3689" t="s">
        <v>340</v>
      </c>
      <c r="C568" s="3664" t="s">
        <v>341</v>
      </c>
      <c r="D568" s="3690">
        <v>4500171941</v>
      </c>
      <c r="E568" s="3664" t="s">
        <v>4546</v>
      </c>
      <c r="F568" s="3690" t="s">
        <v>4547</v>
      </c>
      <c r="G568" s="3664" t="s">
        <v>3343</v>
      </c>
      <c r="H568" s="3664" t="s">
        <v>3344</v>
      </c>
      <c r="I568" s="3618">
        <v>2701</v>
      </c>
      <c r="J568" s="3618">
        <v>0</v>
      </c>
      <c r="K568" s="3618">
        <v>1</v>
      </c>
      <c r="L568" s="3618">
        <f t="shared" si="254"/>
        <v>2701</v>
      </c>
      <c r="M568" s="3659">
        <v>45877</v>
      </c>
      <c r="N568" s="3659">
        <v>45877</v>
      </c>
      <c r="O568" s="3664"/>
      <c r="P568" s="3682" t="s">
        <v>82</v>
      </c>
      <c r="Q568" s="3682"/>
      <c r="R568" s="4083"/>
      <c r="S568" s="4083"/>
      <c r="T568" s="4083"/>
      <c r="U568" s="3645" t="s">
        <v>220</v>
      </c>
      <c r="V568" s="3649" t="s">
        <v>4543</v>
      </c>
      <c r="W568" s="3649"/>
      <c r="X568" s="3657" t="s">
        <v>4544</v>
      </c>
      <c r="Y568" s="3649"/>
      <c r="Z568" s="3661"/>
      <c r="AA568" s="3620" t="s">
        <v>4545</v>
      </c>
      <c r="AB568" s="3691" t="s">
        <v>1459</v>
      </c>
      <c r="AC568" s="4058">
        <v>8.9518</v>
      </c>
      <c r="AD568" s="3618">
        <f t="shared" si="236"/>
        <v>24178.8118</v>
      </c>
      <c r="AE568" s="3645"/>
      <c r="AF568" s="3664" t="s">
        <v>3349</v>
      </c>
      <c r="AG568" s="3645" t="s">
        <v>416</v>
      </c>
      <c r="AH568" s="4430"/>
      <c r="AI568" s="3691"/>
      <c r="AJ568" s="3691">
        <f>I568</f>
        <v>2701</v>
      </c>
      <c r="AK568" s="4430"/>
      <c r="AL568" s="3664"/>
      <c r="AM568" s="3664"/>
      <c r="AN568" s="3691"/>
      <c r="AO568" s="3691"/>
      <c r="AP568" s="3691">
        <f>I568</f>
        <v>2701</v>
      </c>
      <c r="AQ568" s="4089"/>
      <c r="AR568" s="4413"/>
      <c r="AS568" s="4089">
        <f t="shared" si="247"/>
        <v>2701</v>
      </c>
      <c r="AT568" s="4413"/>
      <c r="AU568" s="4089"/>
      <c r="AV568" s="4089"/>
      <c r="AW568" s="4089"/>
      <c r="AX568" s="4089"/>
      <c r="AY568" s="4089"/>
      <c r="AZ568" s="4089"/>
      <c r="BA568" s="4089"/>
      <c r="BB568" s="4089"/>
      <c r="BC568" s="4089">
        <f>I568</f>
        <v>2701</v>
      </c>
      <c r="BD568" s="4089"/>
      <c r="BE568" s="4089"/>
      <c r="BF568" s="4089" t="s">
        <v>89</v>
      </c>
      <c r="BG568" s="4089"/>
      <c r="BH568" s="4089">
        <f t="shared" si="248"/>
        <v>450.166666666667</v>
      </c>
      <c r="BI568" s="4089">
        <f t="shared" si="249"/>
        <v>450.166666666667</v>
      </c>
      <c r="BJ568" s="4089">
        <f t="shared" si="250"/>
        <v>450.166666666667</v>
      </c>
      <c r="BK568" s="4089">
        <f t="shared" si="251"/>
        <v>450.166666666667</v>
      </c>
      <c r="BL568" s="4089">
        <f t="shared" si="252"/>
        <v>450.166666666667</v>
      </c>
      <c r="BM568" s="4089">
        <f t="shared" si="253"/>
        <v>360.133333333333</v>
      </c>
      <c r="BN568" s="4089">
        <f t="shared" si="244"/>
        <v>90.0333333333333</v>
      </c>
      <c r="BO568" s="4413"/>
      <c r="BP568" s="4413"/>
      <c r="BQ568" s="4413"/>
      <c r="BR568" s="4413"/>
      <c r="BS568" s="4413"/>
      <c r="BT568" s="4431"/>
      <c r="BU568" s="4432"/>
      <c r="BV568" s="4385">
        <f t="shared" si="246"/>
        <v>2701</v>
      </c>
      <c r="BW568" s="4386">
        <f t="shared" si="230"/>
        <v>0</v>
      </c>
      <c r="BX568" s="4387"/>
      <c r="BY568" s="4387"/>
      <c r="BZ568" s="4387"/>
      <c r="CA568" s="4391"/>
      <c r="CC568" s="4392" t="s">
        <v>4036</v>
      </c>
      <c r="CD568" s="4391" t="s">
        <v>4474</v>
      </c>
    </row>
    <row r="569" s="4025" customFormat="1" ht="50" customHeight="1" spans="1:82">
      <c r="A569" s="3688">
        <v>45824</v>
      </c>
      <c r="B569" s="3689" t="s">
        <v>3578</v>
      </c>
      <c r="C569" s="3664" t="s">
        <v>4548</v>
      </c>
      <c r="D569" s="3690">
        <v>4500170119</v>
      </c>
      <c r="E569" s="3664">
        <v>217405827</v>
      </c>
      <c r="F569" s="3690" t="s">
        <v>4549</v>
      </c>
      <c r="G569" s="3664" t="s">
        <v>2590</v>
      </c>
      <c r="H569" s="3664" t="s">
        <v>2591</v>
      </c>
      <c r="I569" s="3691">
        <v>1824</v>
      </c>
      <c r="J569" s="3691">
        <v>0</v>
      </c>
      <c r="K569" s="3691">
        <v>6</v>
      </c>
      <c r="L569" s="3691">
        <f t="shared" si="254"/>
        <v>304</v>
      </c>
      <c r="M569" s="3659">
        <v>45878</v>
      </c>
      <c r="N569" s="3659">
        <v>45874</v>
      </c>
      <c r="O569" s="4085"/>
      <c r="P569" s="3682" t="s">
        <v>82</v>
      </c>
      <c r="Q569" s="3682"/>
      <c r="R569" s="4083"/>
      <c r="S569" s="4083"/>
      <c r="T569" s="4083"/>
      <c r="U569" s="3645" t="s">
        <v>4550</v>
      </c>
      <c r="V569" s="3649" t="s">
        <v>1628</v>
      </c>
      <c r="W569" s="3649"/>
      <c r="X569" s="3657" t="s">
        <v>98</v>
      </c>
      <c r="Y569" s="3649"/>
      <c r="Z569" s="3691"/>
      <c r="AA569" s="3620" t="s">
        <v>3580</v>
      </c>
      <c r="AB569" s="3691" t="s">
        <v>3581</v>
      </c>
      <c r="AC569" s="3691">
        <v>1.2604</v>
      </c>
      <c r="AD569" s="3691">
        <f t="shared" si="236"/>
        <v>2298.9696</v>
      </c>
      <c r="AE569" s="3645" t="s">
        <v>4551</v>
      </c>
      <c r="AF569" s="3664" t="s">
        <v>2590</v>
      </c>
      <c r="AG569" s="3645" t="s">
        <v>416</v>
      </c>
      <c r="AH569" s="4484"/>
      <c r="AI569" s="3691"/>
      <c r="AJ569" s="3691">
        <f>I569</f>
        <v>1824</v>
      </c>
      <c r="AK569" s="4484"/>
      <c r="AL569" s="3664"/>
      <c r="AM569" s="3664"/>
      <c r="AN569" s="3691"/>
      <c r="AO569" s="3691"/>
      <c r="AP569" s="3691">
        <f>I569</f>
        <v>1824</v>
      </c>
      <c r="AQ569" s="4089"/>
      <c r="AR569" s="4463">
        <f>I569</f>
        <v>1824</v>
      </c>
      <c r="AS569" s="4089">
        <f t="shared" si="247"/>
        <v>1824</v>
      </c>
      <c r="AT569" s="4463"/>
      <c r="AU569" s="4089"/>
      <c r="AV569" s="4089"/>
      <c r="AW569" s="4089">
        <f>I569/6</f>
        <v>304</v>
      </c>
      <c r="AX569" s="4089"/>
      <c r="AY569" s="4089"/>
      <c r="AZ569" s="4089"/>
      <c r="BA569" s="4089"/>
      <c r="BB569" s="4089"/>
      <c r="BC569" s="4089"/>
      <c r="BD569" s="4089"/>
      <c r="BE569" s="4089"/>
      <c r="BF569" s="4089" t="s">
        <v>89</v>
      </c>
      <c r="BG569" s="4089"/>
      <c r="BH569" s="4089">
        <f t="shared" si="248"/>
        <v>304</v>
      </c>
      <c r="BI569" s="4089">
        <f t="shared" si="249"/>
        <v>304</v>
      </c>
      <c r="BJ569" s="4089">
        <f t="shared" si="250"/>
        <v>304</v>
      </c>
      <c r="BK569" s="4403">
        <f t="shared" si="251"/>
        <v>304</v>
      </c>
      <c r="BL569" s="4385">
        <f t="shared" si="252"/>
        <v>304</v>
      </c>
      <c r="BM569" s="4403">
        <f t="shared" si="253"/>
        <v>243.2</v>
      </c>
      <c r="BN569" s="4089">
        <f t="shared" si="244"/>
        <v>60.8</v>
      </c>
      <c r="BO569" s="4411"/>
      <c r="BP569" s="4411"/>
      <c r="BQ569" s="4411"/>
      <c r="BR569" s="4411"/>
      <c r="BS569" s="4411"/>
      <c r="BT569" s="4453"/>
      <c r="BU569" s="4454"/>
      <c r="BV569" s="4385">
        <f t="shared" si="246"/>
        <v>1824</v>
      </c>
      <c r="BW569" s="4386">
        <f t="shared" si="230"/>
        <v>0</v>
      </c>
      <c r="BX569" s="4387"/>
      <c r="BY569" s="4387"/>
      <c r="BZ569" s="4387"/>
      <c r="CA569" s="4391"/>
      <c r="CC569" s="4392">
        <v>45878</v>
      </c>
      <c r="CD569" s="4391" t="s">
        <v>4455</v>
      </c>
    </row>
    <row r="570" s="4025" customFormat="1" ht="50" customHeight="1" spans="1:82">
      <c r="A570" s="4429">
        <v>45824</v>
      </c>
      <c r="B570" s="4080" t="s">
        <v>3578</v>
      </c>
      <c r="C570" s="3663" t="s">
        <v>4548</v>
      </c>
      <c r="D570" s="3690">
        <v>4500170092</v>
      </c>
      <c r="E570" s="3664">
        <v>217405708</v>
      </c>
      <c r="F570" s="3690" t="s">
        <v>4552</v>
      </c>
      <c r="G570" s="3664" t="s">
        <v>2590</v>
      </c>
      <c r="H570" s="3664" t="s">
        <v>2591</v>
      </c>
      <c r="I570" s="3691">
        <v>1824</v>
      </c>
      <c r="J570" s="3691">
        <v>0</v>
      </c>
      <c r="K570" s="3691">
        <v>6</v>
      </c>
      <c r="L570" s="3691">
        <f t="shared" si="254"/>
        <v>304</v>
      </c>
      <c r="M570" s="3659">
        <v>45878</v>
      </c>
      <c r="N570" s="3659">
        <v>45874</v>
      </c>
      <c r="O570" s="4085"/>
      <c r="P570" s="3682" t="s">
        <v>82</v>
      </c>
      <c r="Q570" s="3682"/>
      <c r="R570" s="4083"/>
      <c r="S570" s="4083"/>
      <c r="T570" s="4083"/>
      <c r="U570" s="3645"/>
      <c r="V570" s="3649" t="s">
        <v>1628</v>
      </c>
      <c r="W570" s="3657"/>
      <c r="X570" s="3657" t="s">
        <v>98</v>
      </c>
      <c r="Y570" s="3657"/>
      <c r="Z570" s="3691"/>
      <c r="AA570" s="3620" t="s">
        <v>3580</v>
      </c>
      <c r="AB570" s="3691" t="s">
        <v>3581</v>
      </c>
      <c r="AC570" s="3691">
        <v>1.3595</v>
      </c>
      <c r="AD570" s="3691">
        <f t="shared" si="236"/>
        <v>2479.728</v>
      </c>
      <c r="AE570" s="3645" t="s">
        <v>4553</v>
      </c>
      <c r="AF570" s="3664" t="s">
        <v>2590</v>
      </c>
      <c r="AG570" s="3645" t="s">
        <v>416</v>
      </c>
      <c r="AH570" s="4484"/>
      <c r="AI570" s="3691"/>
      <c r="AJ570" s="3691">
        <f>I570</f>
        <v>1824</v>
      </c>
      <c r="AK570" s="4484"/>
      <c r="AL570" s="3664"/>
      <c r="AM570" s="3664"/>
      <c r="AN570" s="3691"/>
      <c r="AO570" s="3691"/>
      <c r="AP570" s="3691">
        <f>I570</f>
        <v>1824</v>
      </c>
      <c r="AQ570" s="4089"/>
      <c r="AR570" s="4463">
        <f>I570</f>
        <v>1824</v>
      </c>
      <c r="AS570" s="4089">
        <f t="shared" si="247"/>
        <v>1824</v>
      </c>
      <c r="AT570" s="4463"/>
      <c r="AU570" s="4089"/>
      <c r="AV570" s="4089"/>
      <c r="AW570" s="4089">
        <f>I570/6</f>
        <v>304</v>
      </c>
      <c r="AX570" s="4089"/>
      <c r="AY570" s="4089"/>
      <c r="AZ570" s="4089"/>
      <c r="BA570" s="4089"/>
      <c r="BB570" s="4089"/>
      <c r="BC570" s="4089"/>
      <c r="BD570" s="4089"/>
      <c r="BE570" s="4089"/>
      <c r="BF570" s="4089" t="s">
        <v>89</v>
      </c>
      <c r="BG570" s="4089"/>
      <c r="BH570" s="4089">
        <f t="shared" si="248"/>
        <v>304</v>
      </c>
      <c r="BI570" s="4089">
        <f t="shared" si="249"/>
        <v>304</v>
      </c>
      <c r="BJ570" s="4089">
        <f t="shared" si="250"/>
        <v>304</v>
      </c>
      <c r="BK570" s="4403">
        <f t="shared" si="251"/>
        <v>304</v>
      </c>
      <c r="BL570" s="4385">
        <f t="shared" si="252"/>
        <v>304</v>
      </c>
      <c r="BM570" s="4403">
        <f t="shared" si="253"/>
        <v>243.2</v>
      </c>
      <c r="BN570" s="4089">
        <f t="shared" si="244"/>
        <v>60.8</v>
      </c>
      <c r="BO570" s="4411"/>
      <c r="BP570" s="4411"/>
      <c r="BQ570" s="4411"/>
      <c r="BR570" s="4411"/>
      <c r="BS570" s="4411"/>
      <c r="BT570" s="4453"/>
      <c r="BU570" s="4454"/>
      <c r="BV570" s="4385">
        <f t="shared" si="246"/>
        <v>1824</v>
      </c>
      <c r="BW570" s="4386">
        <f t="shared" si="230"/>
        <v>0</v>
      </c>
      <c r="BX570" s="4387"/>
      <c r="BY570" s="4387"/>
      <c r="BZ570" s="4387"/>
      <c r="CA570" s="4391"/>
      <c r="CC570" s="4392">
        <v>45878</v>
      </c>
      <c r="CD570" s="4391" t="s">
        <v>4455</v>
      </c>
    </row>
    <row r="571" s="4025" customFormat="1" ht="50" customHeight="1" spans="1:82">
      <c r="A571" s="3688">
        <v>45750</v>
      </c>
      <c r="B571" s="3689" t="s">
        <v>1315</v>
      </c>
      <c r="C571" s="3664" t="s">
        <v>1316</v>
      </c>
      <c r="D571" s="3690">
        <v>4500166280</v>
      </c>
      <c r="E571" s="3664" t="s">
        <v>1743</v>
      </c>
      <c r="F571" s="3690" t="s">
        <v>1744</v>
      </c>
      <c r="G571" s="3664" t="s">
        <v>3821</v>
      </c>
      <c r="H571" s="3664" t="s">
        <v>1320</v>
      </c>
      <c r="I571" s="3691">
        <v>3800</v>
      </c>
      <c r="J571" s="3691">
        <v>0</v>
      </c>
      <c r="K571" s="3691">
        <v>4</v>
      </c>
      <c r="L571" s="3691">
        <f t="shared" si="254"/>
        <v>950</v>
      </c>
      <c r="M571" s="3659">
        <v>45878</v>
      </c>
      <c r="N571" s="3659">
        <v>45885</v>
      </c>
      <c r="O571" s="3664" t="s">
        <v>1745</v>
      </c>
      <c r="P571" s="3682" t="s">
        <v>82</v>
      </c>
      <c r="Q571" s="3682"/>
      <c r="R571" s="4083"/>
      <c r="S571" s="4083"/>
      <c r="T571" s="4083"/>
      <c r="U571" s="3645"/>
      <c r="V571" s="3649" t="s">
        <v>1322</v>
      </c>
      <c r="W571" s="3649"/>
      <c r="X571" s="3657" t="s">
        <v>1876</v>
      </c>
      <c r="Y571" s="3649"/>
      <c r="Z571" s="3691" t="s">
        <v>1747</v>
      </c>
      <c r="AA571" s="3620" t="s">
        <v>1376</v>
      </c>
      <c r="AB571" s="3691" t="s">
        <v>1326</v>
      </c>
      <c r="AC571" s="3691">
        <v>16.8314</v>
      </c>
      <c r="AD571" s="3691">
        <f>AC571*L571</f>
        <v>15989.83</v>
      </c>
      <c r="AE571" s="3645"/>
      <c r="AF571" s="3664" t="s">
        <v>3822</v>
      </c>
      <c r="AG571" s="3645" t="s">
        <v>416</v>
      </c>
      <c r="AH571" s="4448"/>
      <c r="AI571" s="3691"/>
      <c r="AJ571" s="3691"/>
      <c r="AK571" s="4448"/>
      <c r="AL571" s="3664"/>
      <c r="AM571" s="3664"/>
      <c r="AN571" s="3691">
        <f>I571</f>
        <v>3800</v>
      </c>
      <c r="AO571" s="3691"/>
      <c r="AP571" s="3691"/>
      <c r="AQ571" s="4089">
        <f>I571</f>
        <v>3800</v>
      </c>
      <c r="AR571" s="4411"/>
      <c r="AS571" s="4089">
        <f t="shared" si="247"/>
        <v>3800</v>
      </c>
      <c r="AT571" s="4411"/>
      <c r="AU571" s="4089"/>
      <c r="AV571" s="4089"/>
      <c r="AW571" s="4089"/>
      <c r="AX571" s="4089"/>
      <c r="AY571" s="4089"/>
      <c r="AZ571" s="4089"/>
      <c r="BA571" s="4089"/>
      <c r="BB571" s="4089"/>
      <c r="BC571" s="4089">
        <f>I571/4</f>
        <v>950</v>
      </c>
      <c r="BD571" s="4089"/>
      <c r="BE571" s="4089"/>
      <c r="BF571" s="4089" t="s">
        <v>1327</v>
      </c>
      <c r="BG571" s="4089"/>
      <c r="BH571" s="4089">
        <f t="shared" si="248"/>
        <v>633.333333333333</v>
      </c>
      <c r="BI571" s="4089">
        <f t="shared" si="249"/>
        <v>633.333333333333</v>
      </c>
      <c r="BJ571" s="4089">
        <f t="shared" si="250"/>
        <v>633.333333333333</v>
      </c>
      <c r="BK571" s="4089">
        <f t="shared" si="251"/>
        <v>633.333333333333</v>
      </c>
      <c r="BL571" s="4089">
        <f t="shared" si="252"/>
        <v>633.333333333333</v>
      </c>
      <c r="BM571" s="4089">
        <f t="shared" si="253"/>
        <v>506.666666666667</v>
      </c>
      <c r="BN571" s="4089">
        <f t="shared" si="244"/>
        <v>126.666666666667</v>
      </c>
      <c r="BO571" s="4411"/>
      <c r="BP571" s="4411"/>
      <c r="BQ571" s="4411"/>
      <c r="BR571" s="4411"/>
      <c r="BS571" s="4411"/>
      <c r="BT571" s="4453"/>
      <c r="BU571" s="4454"/>
      <c r="BV571" s="4385">
        <f t="shared" si="246"/>
        <v>3800</v>
      </c>
      <c r="BW571" s="4386">
        <f t="shared" si="230"/>
        <v>0</v>
      </c>
      <c r="BX571" s="4387"/>
      <c r="BY571" s="4387"/>
      <c r="BZ571" s="4387"/>
      <c r="CA571" s="4391" t="str">
        <f>VLOOKUP(D571&amp;G571&amp;H571&amp;I571,'9298 版本变更明细'!C:AJ,34,FALSE)</f>
        <v>B版本口水胶+C版本配件包（香味贴纸/指定配件）</v>
      </c>
      <c r="CC571" s="4392">
        <v>45885</v>
      </c>
      <c r="CD571" s="4391" t="s">
        <v>4474</v>
      </c>
    </row>
    <row r="572" s="4025" customFormat="1" ht="50" customHeight="1" spans="1:82">
      <c r="A572" s="3688">
        <v>45750</v>
      </c>
      <c r="B572" s="3689" t="s">
        <v>1315</v>
      </c>
      <c r="C572" s="3664" t="s">
        <v>1316</v>
      </c>
      <c r="D572" s="3690">
        <v>4500166280</v>
      </c>
      <c r="E572" s="3664" t="s">
        <v>1749</v>
      </c>
      <c r="F572" s="3690" t="s">
        <v>1750</v>
      </c>
      <c r="G572" s="3664" t="s">
        <v>3821</v>
      </c>
      <c r="H572" s="3664" t="s">
        <v>1320</v>
      </c>
      <c r="I572" s="3691">
        <v>4528</v>
      </c>
      <c r="J572" s="3691">
        <v>0</v>
      </c>
      <c r="K572" s="3691">
        <v>4</v>
      </c>
      <c r="L572" s="3691">
        <f t="shared" si="254"/>
        <v>1132</v>
      </c>
      <c r="M572" s="3659">
        <v>45878</v>
      </c>
      <c r="N572" s="3659">
        <v>45886</v>
      </c>
      <c r="O572" s="3664" t="s">
        <v>1745</v>
      </c>
      <c r="P572" s="3682" t="s">
        <v>82</v>
      </c>
      <c r="Q572" s="3682"/>
      <c r="R572" s="4083"/>
      <c r="S572" s="4083"/>
      <c r="T572" s="4083"/>
      <c r="U572" s="3645" t="s">
        <v>1746</v>
      </c>
      <c r="V572" s="3649" t="s">
        <v>1322</v>
      </c>
      <c r="W572" s="3657"/>
      <c r="X572" s="3657" t="s">
        <v>1876</v>
      </c>
      <c r="Y572" s="3657"/>
      <c r="Z572" s="3691" t="s">
        <v>1751</v>
      </c>
      <c r="AA572" s="3620" t="s">
        <v>1376</v>
      </c>
      <c r="AB572" s="3691" t="s">
        <v>1326</v>
      </c>
      <c r="AC572" s="3691">
        <v>16.8314</v>
      </c>
      <c r="AD572" s="3691">
        <f>AC572*L572</f>
        <v>19053.1448</v>
      </c>
      <c r="AE572" s="3645"/>
      <c r="AF572" s="3664" t="s">
        <v>3822</v>
      </c>
      <c r="AG572" s="3645" t="s">
        <v>416</v>
      </c>
      <c r="AH572" s="4422"/>
      <c r="AI572" s="3691"/>
      <c r="AJ572" s="3691"/>
      <c r="AK572" s="4422"/>
      <c r="AL572" s="3664"/>
      <c r="AM572" s="3664"/>
      <c r="AN572" s="3691">
        <f>I572</f>
        <v>4528</v>
      </c>
      <c r="AO572" s="3691"/>
      <c r="AP572" s="3691"/>
      <c r="AQ572" s="4089">
        <f>I572</f>
        <v>4528</v>
      </c>
      <c r="AR572" s="907"/>
      <c r="AS572" s="4089">
        <f t="shared" si="247"/>
        <v>4528</v>
      </c>
      <c r="AT572" s="907"/>
      <c r="AU572" s="4089"/>
      <c r="AV572" s="4089"/>
      <c r="AW572" s="4089"/>
      <c r="AX572" s="4089"/>
      <c r="AY572" s="4089"/>
      <c r="AZ572" s="4089"/>
      <c r="BA572" s="4089"/>
      <c r="BB572" s="4089"/>
      <c r="BC572" s="4089">
        <f>I572/4</f>
        <v>1132</v>
      </c>
      <c r="BD572" s="4089"/>
      <c r="BE572" s="4089"/>
      <c r="BF572" s="4089" t="s">
        <v>1327</v>
      </c>
      <c r="BG572" s="4089"/>
      <c r="BH572" s="4089">
        <f t="shared" si="248"/>
        <v>754.666666666667</v>
      </c>
      <c r="BI572" s="4089">
        <f t="shared" si="249"/>
        <v>754.666666666667</v>
      </c>
      <c r="BJ572" s="4089">
        <f t="shared" si="250"/>
        <v>754.666666666667</v>
      </c>
      <c r="BK572" s="4089">
        <f t="shared" si="251"/>
        <v>754.666666666667</v>
      </c>
      <c r="BL572" s="4089">
        <f t="shared" si="252"/>
        <v>754.666666666667</v>
      </c>
      <c r="BM572" s="4089">
        <f t="shared" si="253"/>
        <v>603.733333333333</v>
      </c>
      <c r="BN572" s="4089">
        <f t="shared" si="244"/>
        <v>150.933333333333</v>
      </c>
      <c r="BO572" s="907"/>
      <c r="BP572" s="907"/>
      <c r="BQ572" s="907"/>
      <c r="BR572" s="907"/>
      <c r="BS572" s="907"/>
      <c r="BT572" s="910"/>
      <c r="BU572" s="911"/>
      <c r="BV572" s="4385">
        <f t="shared" si="246"/>
        <v>4528</v>
      </c>
      <c r="BW572" s="4386">
        <f t="shared" si="230"/>
        <v>0</v>
      </c>
      <c r="BX572" s="4387"/>
      <c r="BY572" s="4387"/>
      <c r="BZ572" s="4387"/>
      <c r="CA572" s="4391" t="str">
        <f>VLOOKUP(D572&amp;G572&amp;H572&amp;I572,'9298 版本变更明细'!C:AJ,34,FALSE)</f>
        <v>B版本口水胶+C版本配件包（香味贴纸/指定配件）</v>
      </c>
      <c r="CC572" s="4392">
        <v>45886</v>
      </c>
      <c r="CD572" s="4391" t="s">
        <v>4554</v>
      </c>
    </row>
    <row r="573" s="4025" customFormat="1" ht="50" customHeight="1" spans="1:82">
      <c r="A573" s="3688">
        <v>45840</v>
      </c>
      <c r="B573" s="3689" t="s">
        <v>461</v>
      </c>
      <c r="C573" s="3664" t="s">
        <v>341</v>
      </c>
      <c r="D573" s="3690">
        <v>4500172515</v>
      </c>
      <c r="E573" s="3664" t="s">
        <v>1665</v>
      </c>
      <c r="F573" s="3690" t="s">
        <v>4555</v>
      </c>
      <c r="G573" s="3664" t="s">
        <v>2627</v>
      </c>
      <c r="H573" s="3691" t="s">
        <v>2591</v>
      </c>
      <c r="I573" s="3691">
        <v>1512</v>
      </c>
      <c r="J573" s="3691">
        <v>0</v>
      </c>
      <c r="K573" s="3691">
        <v>24</v>
      </c>
      <c r="L573" s="3691">
        <f t="shared" si="254"/>
        <v>63</v>
      </c>
      <c r="M573" s="3659">
        <v>45880</v>
      </c>
      <c r="N573" s="3659">
        <v>45880</v>
      </c>
      <c r="O573" s="4085"/>
      <c r="P573" s="3682" t="s">
        <v>82</v>
      </c>
      <c r="Q573" s="3682"/>
      <c r="R573" s="4083"/>
      <c r="S573" s="4083"/>
      <c r="T573" s="4083"/>
      <c r="U573" s="3645" t="s">
        <v>1667</v>
      </c>
      <c r="V573" s="3649" t="s">
        <v>1628</v>
      </c>
      <c r="W573" s="3649"/>
      <c r="X573" s="3657" t="s">
        <v>98</v>
      </c>
      <c r="Y573" s="3649" t="s">
        <v>1668</v>
      </c>
      <c r="Z573" s="3691"/>
      <c r="AA573" s="3620" t="s">
        <v>4556</v>
      </c>
      <c r="AB573" s="3691" t="s">
        <v>87</v>
      </c>
      <c r="AC573" s="3691">
        <v>2.0845</v>
      </c>
      <c r="AD573" s="3691">
        <f>AC573*I573</f>
        <v>3151.764</v>
      </c>
      <c r="AE573" s="3645"/>
      <c r="AF573" s="3664" t="s">
        <v>2890</v>
      </c>
      <c r="AG573" s="3645" t="s">
        <v>416</v>
      </c>
      <c r="AH573" s="4430"/>
      <c r="AI573" s="3691"/>
      <c r="AJ573" s="3691"/>
      <c r="AK573" s="4430"/>
      <c r="AL573" s="3664"/>
      <c r="AM573" s="3664">
        <f>I573</f>
        <v>1512</v>
      </c>
      <c r="AN573" s="3691"/>
      <c r="AO573" s="3691"/>
      <c r="AP573" s="3691">
        <f>I573</f>
        <v>1512</v>
      </c>
      <c r="AQ573" s="4089"/>
      <c r="AR573" s="4413"/>
      <c r="AS573" s="4089">
        <f t="shared" si="247"/>
        <v>1512</v>
      </c>
      <c r="AT573" s="4413"/>
      <c r="AU573" s="4089"/>
      <c r="AV573" s="4089"/>
      <c r="AW573" s="4089"/>
      <c r="AX573" s="4089"/>
      <c r="AY573" s="4089"/>
      <c r="AZ573" s="4089"/>
      <c r="BA573" s="4089"/>
      <c r="BB573" s="4089"/>
      <c r="BC573" s="4089"/>
      <c r="BD573" s="4089"/>
      <c r="BE573" s="4089"/>
      <c r="BF573" s="4089" t="s">
        <v>89</v>
      </c>
      <c r="BG573" s="4089"/>
      <c r="BH573" s="4089">
        <f t="shared" si="248"/>
        <v>252</v>
      </c>
      <c r="BI573" s="4089">
        <f t="shared" si="249"/>
        <v>252</v>
      </c>
      <c r="BJ573" s="4089">
        <f t="shared" si="250"/>
        <v>252</v>
      </c>
      <c r="BK573" s="4089">
        <f t="shared" si="251"/>
        <v>252</v>
      </c>
      <c r="BL573" s="4089">
        <f t="shared" si="252"/>
        <v>252</v>
      </c>
      <c r="BM573" s="4089">
        <f t="shared" si="253"/>
        <v>201.6</v>
      </c>
      <c r="BN573" s="4089">
        <f t="shared" si="244"/>
        <v>50.4</v>
      </c>
      <c r="BO573" s="4413"/>
      <c r="BP573" s="4413"/>
      <c r="BQ573" s="4413"/>
      <c r="BR573" s="4413"/>
      <c r="BS573" s="4413"/>
      <c r="BT573" s="4431"/>
      <c r="BU573" s="4432"/>
      <c r="BV573" s="4385">
        <f t="shared" si="246"/>
        <v>1512</v>
      </c>
      <c r="BW573" s="4386">
        <f t="shared" si="230"/>
        <v>0</v>
      </c>
      <c r="BX573" s="4387"/>
      <c r="BY573" s="4387"/>
      <c r="BZ573" s="4387"/>
      <c r="CA573" s="4391"/>
      <c r="CC573" s="4485" t="s">
        <v>4036</v>
      </c>
      <c r="CD573" s="4391">
        <v>45884</v>
      </c>
    </row>
    <row r="574" s="4025" customFormat="1" ht="50" customHeight="1" spans="1:82">
      <c r="A574" s="3688">
        <v>45750</v>
      </c>
      <c r="B574" s="3689" t="s">
        <v>1315</v>
      </c>
      <c r="C574" s="3664" t="s">
        <v>1316</v>
      </c>
      <c r="D574" s="3690">
        <v>4500162590</v>
      </c>
      <c r="E574" s="3664" t="s">
        <v>1758</v>
      </c>
      <c r="F574" s="3690" t="s">
        <v>1759</v>
      </c>
      <c r="G574" s="3664" t="s">
        <v>3821</v>
      </c>
      <c r="H574" s="3664" t="s">
        <v>1320</v>
      </c>
      <c r="I574" s="3691">
        <v>2880</v>
      </c>
      <c r="J574" s="3691">
        <v>0</v>
      </c>
      <c r="K574" s="3691">
        <v>4</v>
      </c>
      <c r="L574" s="3691">
        <f t="shared" si="254"/>
        <v>720</v>
      </c>
      <c r="M574" s="3659">
        <v>45880</v>
      </c>
      <c r="N574" s="3659">
        <v>45887</v>
      </c>
      <c r="O574" s="4085"/>
      <c r="P574" s="3682" t="s">
        <v>82</v>
      </c>
      <c r="Q574" s="3682"/>
      <c r="R574" s="4083"/>
      <c r="S574" s="4083"/>
      <c r="T574" s="4083"/>
      <c r="U574" s="3645" t="s">
        <v>1746</v>
      </c>
      <c r="V574" s="3649" t="s">
        <v>1322</v>
      </c>
      <c r="W574" s="3649"/>
      <c r="X574" s="3657" t="s">
        <v>1907</v>
      </c>
      <c r="Y574" s="3649"/>
      <c r="Z574" s="3691" t="s">
        <v>1760</v>
      </c>
      <c r="AA574" s="3620" t="s">
        <v>1376</v>
      </c>
      <c r="AB574" s="3691" t="s">
        <v>1326</v>
      </c>
      <c r="AC574" s="3691">
        <v>16.8855</v>
      </c>
      <c r="AD574" s="3691">
        <f>AC574*L574</f>
        <v>12157.56</v>
      </c>
      <c r="AE574" s="3645"/>
      <c r="AF574" s="3664" t="s">
        <v>3822</v>
      </c>
      <c r="AG574" s="3645" t="s">
        <v>416</v>
      </c>
      <c r="AH574" s="4430"/>
      <c r="AI574" s="3691"/>
      <c r="AJ574" s="3691"/>
      <c r="AK574" s="4430"/>
      <c r="AL574" s="3664"/>
      <c r="AM574" s="3664"/>
      <c r="AN574" s="3691">
        <f>I574</f>
        <v>2880</v>
      </c>
      <c r="AO574" s="3691"/>
      <c r="AP574" s="3691"/>
      <c r="AQ574" s="4089">
        <f>I574</f>
        <v>2880</v>
      </c>
      <c r="AR574" s="4413"/>
      <c r="AS574" s="4089">
        <f t="shared" si="247"/>
        <v>2880</v>
      </c>
      <c r="AT574" s="4413"/>
      <c r="AU574" s="4089"/>
      <c r="AV574" s="4089"/>
      <c r="AW574" s="4089"/>
      <c r="AX574" s="4089"/>
      <c r="AY574" s="4089"/>
      <c r="AZ574" s="4089"/>
      <c r="BA574" s="4089"/>
      <c r="BB574" s="4089"/>
      <c r="BC574" s="4089">
        <f>I574/4</f>
        <v>720</v>
      </c>
      <c r="BD574" s="4089"/>
      <c r="BE574" s="4089"/>
      <c r="BF574" s="4089" t="s">
        <v>1327</v>
      </c>
      <c r="BG574" s="4089"/>
      <c r="BH574" s="4089">
        <f t="shared" si="248"/>
        <v>480</v>
      </c>
      <c r="BI574" s="4089">
        <f t="shared" si="249"/>
        <v>480</v>
      </c>
      <c r="BJ574" s="4089">
        <f t="shared" si="250"/>
        <v>480</v>
      </c>
      <c r="BK574" s="4089">
        <f t="shared" si="251"/>
        <v>480</v>
      </c>
      <c r="BL574" s="4089">
        <f t="shared" si="252"/>
        <v>480</v>
      </c>
      <c r="BM574" s="4089">
        <f t="shared" si="253"/>
        <v>384</v>
      </c>
      <c r="BN574" s="4089">
        <f t="shared" si="244"/>
        <v>96</v>
      </c>
      <c r="BO574" s="4413"/>
      <c r="BP574" s="4413"/>
      <c r="BQ574" s="4413"/>
      <c r="BR574" s="4413"/>
      <c r="BS574" s="4413"/>
      <c r="BT574" s="4431"/>
      <c r="BU574" s="4432"/>
      <c r="BV574" s="4385">
        <f t="shared" si="246"/>
        <v>2880</v>
      </c>
      <c r="BW574" s="4386">
        <f t="shared" si="230"/>
        <v>0</v>
      </c>
      <c r="BX574" s="4387"/>
      <c r="BY574" s="4387"/>
      <c r="BZ574" s="4387"/>
      <c r="CA574" s="4391" t="str">
        <f>VLOOKUP(D574&amp;G574&amp;H574&amp;I574,'9298 版本变更明细'!C:AJ,34,FALSE)</f>
        <v>B版本口水胶+C版本配件包（香味贴纸/指定配件）</v>
      </c>
      <c r="CC574" s="4392">
        <v>45887</v>
      </c>
      <c r="CD574" s="4391" t="s">
        <v>4554</v>
      </c>
    </row>
    <row r="575" s="4025" customFormat="1" ht="50" customHeight="1" spans="1:82">
      <c r="A575" s="3688">
        <v>45750</v>
      </c>
      <c r="B575" s="3689" t="s">
        <v>1315</v>
      </c>
      <c r="C575" s="3664" t="s">
        <v>1316</v>
      </c>
      <c r="D575" s="3690">
        <v>4500162590</v>
      </c>
      <c r="E575" s="3664" t="s">
        <v>1761</v>
      </c>
      <c r="F575" s="3690" t="s">
        <v>1762</v>
      </c>
      <c r="G575" s="3664" t="s">
        <v>3821</v>
      </c>
      <c r="H575" s="3664" t="s">
        <v>1320</v>
      </c>
      <c r="I575" s="3691">
        <v>4076</v>
      </c>
      <c r="J575" s="3691">
        <v>0</v>
      </c>
      <c r="K575" s="3691">
        <v>4</v>
      </c>
      <c r="L575" s="3691">
        <f t="shared" si="254"/>
        <v>1019</v>
      </c>
      <c r="M575" s="3659">
        <v>45880</v>
      </c>
      <c r="N575" s="3659">
        <v>45887</v>
      </c>
      <c r="O575" s="4085"/>
      <c r="P575" s="3682" t="s">
        <v>82</v>
      </c>
      <c r="Q575" s="3682"/>
      <c r="R575" s="4083"/>
      <c r="S575" s="4083"/>
      <c r="T575" s="4083"/>
      <c r="U575" s="3645" t="s">
        <v>1746</v>
      </c>
      <c r="V575" s="3649" t="s">
        <v>1322</v>
      </c>
      <c r="W575" s="3649"/>
      <c r="X575" s="3657" t="s">
        <v>1907</v>
      </c>
      <c r="Y575" s="3649"/>
      <c r="Z575" s="3691" t="s">
        <v>1763</v>
      </c>
      <c r="AA575" s="3620" t="s">
        <v>1376</v>
      </c>
      <c r="AB575" s="3691" t="s">
        <v>1326</v>
      </c>
      <c r="AC575" s="3691">
        <v>16.8314</v>
      </c>
      <c r="AD575" s="3691">
        <f>AC575*L575</f>
        <v>17151.1966</v>
      </c>
      <c r="AE575" s="3645"/>
      <c r="AF575" s="3664" t="s">
        <v>3822</v>
      </c>
      <c r="AG575" s="3645" t="s">
        <v>416</v>
      </c>
      <c r="AH575" s="4430"/>
      <c r="AI575" s="3691"/>
      <c r="AJ575" s="3691"/>
      <c r="AK575" s="4430"/>
      <c r="AL575" s="3664"/>
      <c r="AM575" s="3664"/>
      <c r="AN575" s="3691">
        <f>I575</f>
        <v>4076</v>
      </c>
      <c r="AO575" s="3691"/>
      <c r="AP575" s="3691"/>
      <c r="AQ575" s="4089">
        <f>I575</f>
        <v>4076</v>
      </c>
      <c r="AR575" s="4413"/>
      <c r="AS575" s="4089">
        <f t="shared" si="247"/>
        <v>4076</v>
      </c>
      <c r="AT575" s="4413"/>
      <c r="AU575" s="4089"/>
      <c r="AV575" s="4089"/>
      <c r="AW575" s="4089"/>
      <c r="AX575" s="4089"/>
      <c r="AY575" s="4089"/>
      <c r="AZ575" s="4089"/>
      <c r="BA575" s="4089"/>
      <c r="BB575" s="4089"/>
      <c r="BC575" s="4089">
        <f>I575/4</f>
        <v>1019</v>
      </c>
      <c r="BD575" s="4089"/>
      <c r="BE575" s="4089"/>
      <c r="BF575" s="4089" t="s">
        <v>1327</v>
      </c>
      <c r="BG575" s="4089"/>
      <c r="BH575" s="4089">
        <f t="shared" si="248"/>
        <v>679.333333333333</v>
      </c>
      <c r="BI575" s="4089">
        <f t="shared" si="249"/>
        <v>679.333333333333</v>
      </c>
      <c r="BJ575" s="4089">
        <f t="shared" si="250"/>
        <v>679.333333333333</v>
      </c>
      <c r="BK575" s="4089">
        <f t="shared" si="251"/>
        <v>679.333333333333</v>
      </c>
      <c r="BL575" s="4089">
        <f t="shared" si="252"/>
        <v>679.333333333333</v>
      </c>
      <c r="BM575" s="4089">
        <f t="shared" si="253"/>
        <v>543.466666666667</v>
      </c>
      <c r="BN575" s="4089">
        <f t="shared" si="244"/>
        <v>135.866666666667</v>
      </c>
      <c r="BO575" s="4413"/>
      <c r="BP575" s="4413"/>
      <c r="BQ575" s="4413"/>
      <c r="BR575" s="4413"/>
      <c r="BS575" s="4413"/>
      <c r="BT575" s="4431"/>
      <c r="BU575" s="4432"/>
      <c r="BV575" s="4385">
        <f t="shared" si="246"/>
        <v>4076</v>
      </c>
      <c r="BW575" s="4386">
        <f t="shared" si="230"/>
        <v>0</v>
      </c>
      <c r="BX575" s="4387"/>
      <c r="BY575" s="4387"/>
      <c r="BZ575" s="4387"/>
      <c r="CA575" s="4391" t="str">
        <f>VLOOKUP(D575&amp;G575&amp;H575&amp;I575,'9298 版本变更明细'!C:AJ,34,FALSE)</f>
        <v>B版本口水胶+C版本配件包（香味贴纸/指定配件）</v>
      </c>
      <c r="CC575" s="4392">
        <v>45887</v>
      </c>
      <c r="CD575" s="4391" t="s">
        <v>4557</v>
      </c>
    </row>
    <row r="576" s="4025" customFormat="1" ht="50" customHeight="1" spans="1:82">
      <c r="A576" s="3688">
        <v>45842</v>
      </c>
      <c r="B576" s="3689" t="s">
        <v>1682</v>
      </c>
      <c r="C576" s="3664" t="s">
        <v>91</v>
      </c>
      <c r="D576" s="3690">
        <v>4500172745</v>
      </c>
      <c r="E576" s="3664">
        <v>383736801</v>
      </c>
      <c r="F576" s="3690" t="s">
        <v>4558</v>
      </c>
      <c r="G576" s="3664" t="s">
        <v>2627</v>
      </c>
      <c r="H576" s="3691" t="s">
        <v>2591</v>
      </c>
      <c r="I576" s="3691">
        <v>6000</v>
      </c>
      <c r="J576" s="3691">
        <v>0</v>
      </c>
      <c r="K576" s="3691">
        <v>24</v>
      </c>
      <c r="L576" s="3691">
        <f t="shared" si="254"/>
        <v>250</v>
      </c>
      <c r="M576" s="3659">
        <v>45881</v>
      </c>
      <c r="N576" s="3659">
        <v>45877</v>
      </c>
      <c r="O576" s="4085"/>
      <c r="P576" s="3682" t="s">
        <v>82</v>
      </c>
      <c r="Q576" s="3682"/>
      <c r="R576" s="4083"/>
      <c r="S576" s="4083"/>
      <c r="T576" s="4083"/>
      <c r="U576" s="3645" t="s">
        <v>1541</v>
      </c>
      <c r="V576" s="3649" t="s">
        <v>4559</v>
      </c>
      <c r="W576" s="3649"/>
      <c r="X576" s="3657" t="s">
        <v>4560</v>
      </c>
      <c r="Y576" s="3649"/>
      <c r="Z576" s="3691"/>
      <c r="AA576" s="3620" t="s">
        <v>4561</v>
      </c>
      <c r="AB576" s="3691" t="s">
        <v>500</v>
      </c>
      <c r="AC576" s="3691">
        <v>1.2401</v>
      </c>
      <c r="AD576" s="3691">
        <f t="shared" ref="AD576:AD584" si="255">AC576*I576</f>
        <v>7440.6</v>
      </c>
      <c r="AE576" s="3645" t="s">
        <v>4562</v>
      </c>
      <c r="AF576" s="3664" t="s">
        <v>2627</v>
      </c>
      <c r="AG576" s="3645" t="s">
        <v>416</v>
      </c>
      <c r="AH576" s="4448"/>
      <c r="AI576" s="3691"/>
      <c r="AJ576" s="3691">
        <f>I576</f>
        <v>6000</v>
      </c>
      <c r="AK576" s="4448"/>
      <c r="AL576" s="3664"/>
      <c r="AM576" s="3664"/>
      <c r="AN576" s="3691"/>
      <c r="AO576" s="3691"/>
      <c r="AP576" s="3691">
        <f t="shared" ref="AP576:AP587" si="256">I576</f>
        <v>6000</v>
      </c>
      <c r="AQ576" s="4089"/>
      <c r="AR576" s="4411"/>
      <c r="AS576" s="4089">
        <f t="shared" si="247"/>
        <v>6000</v>
      </c>
      <c r="AT576" s="4411"/>
      <c r="AU576" s="4089"/>
      <c r="AV576" s="4089"/>
      <c r="AW576" s="4089"/>
      <c r="AX576" s="4089"/>
      <c r="AY576" s="4089"/>
      <c r="AZ576" s="4089"/>
      <c r="BA576" s="4089"/>
      <c r="BB576" s="4089"/>
      <c r="BC576" s="4089"/>
      <c r="BD576" s="4089"/>
      <c r="BE576" s="4089"/>
      <c r="BF576" s="4089" t="s">
        <v>89</v>
      </c>
      <c r="BG576" s="4089"/>
      <c r="BH576" s="4089">
        <f t="shared" si="248"/>
        <v>1000</v>
      </c>
      <c r="BI576" s="4089">
        <f t="shared" si="249"/>
        <v>1000</v>
      </c>
      <c r="BJ576" s="4089">
        <f t="shared" si="250"/>
        <v>1000</v>
      </c>
      <c r="BK576" s="4089">
        <f t="shared" si="251"/>
        <v>1000</v>
      </c>
      <c r="BL576" s="4089">
        <f t="shared" si="252"/>
        <v>1000</v>
      </c>
      <c r="BM576" s="4089">
        <f t="shared" si="253"/>
        <v>800</v>
      </c>
      <c r="BN576" s="4089">
        <f t="shared" si="244"/>
        <v>200</v>
      </c>
      <c r="BO576" s="4411"/>
      <c r="BP576" s="4411"/>
      <c r="BQ576" s="4411"/>
      <c r="BR576" s="4411"/>
      <c r="BS576" s="4411"/>
      <c r="BT576" s="4453"/>
      <c r="BU576" s="4454"/>
      <c r="BV576" s="4385">
        <f t="shared" si="246"/>
        <v>6000</v>
      </c>
      <c r="BW576" s="4386">
        <f t="shared" si="230"/>
        <v>0</v>
      </c>
      <c r="BX576" s="4387"/>
      <c r="BY576" s="4387"/>
      <c r="BZ576" s="4387"/>
      <c r="CA576" s="4391"/>
      <c r="CC576" s="4392"/>
      <c r="CD576" s="4391"/>
    </row>
    <row r="577" s="4025" customFormat="1" ht="50" customHeight="1" spans="1:82">
      <c r="A577" s="3688">
        <v>45842</v>
      </c>
      <c r="B577" s="3689" t="s">
        <v>1682</v>
      </c>
      <c r="C577" s="3664" t="s">
        <v>91</v>
      </c>
      <c r="D577" s="3690">
        <v>4500172745</v>
      </c>
      <c r="E577" s="3664">
        <v>383751801</v>
      </c>
      <c r="F577" s="3690" t="s">
        <v>4563</v>
      </c>
      <c r="G577" s="3664" t="s">
        <v>2627</v>
      </c>
      <c r="H577" s="3691" t="s">
        <v>2591</v>
      </c>
      <c r="I577" s="3691">
        <v>8400</v>
      </c>
      <c r="J577" s="3691">
        <v>0</v>
      </c>
      <c r="K577" s="3691">
        <v>24</v>
      </c>
      <c r="L577" s="3691">
        <f t="shared" si="254"/>
        <v>350</v>
      </c>
      <c r="M577" s="3659">
        <v>45881</v>
      </c>
      <c r="N577" s="3659">
        <v>45877</v>
      </c>
      <c r="O577" s="4085"/>
      <c r="P577" s="3682" t="s">
        <v>82</v>
      </c>
      <c r="Q577" s="3682"/>
      <c r="R577" s="4083"/>
      <c r="S577" s="4083"/>
      <c r="T577" s="4083"/>
      <c r="U577" s="3645" t="s">
        <v>1541</v>
      </c>
      <c r="V577" s="3649" t="s">
        <v>4559</v>
      </c>
      <c r="W577" s="3649"/>
      <c r="X577" s="3657" t="s">
        <v>4560</v>
      </c>
      <c r="Y577" s="3649"/>
      <c r="Z577" s="3691"/>
      <c r="AA577" s="3620" t="s">
        <v>4561</v>
      </c>
      <c r="AB577" s="3691" t="s">
        <v>500</v>
      </c>
      <c r="AC577" s="3691">
        <v>1.2401</v>
      </c>
      <c r="AD577" s="3691">
        <f t="shared" si="255"/>
        <v>10416.84</v>
      </c>
      <c r="AE577" s="3645"/>
      <c r="AF577" s="3664" t="s">
        <v>2627</v>
      </c>
      <c r="AG577" s="3645" t="s">
        <v>416</v>
      </c>
      <c r="AH577" s="4448"/>
      <c r="AI577" s="3691"/>
      <c r="AJ577" s="3691">
        <f>I577</f>
        <v>8400</v>
      </c>
      <c r="AK577" s="4448"/>
      <c r="AL577" s="3664"/>
      <c r="AM577" s="3664"/>
      <c r="AN577" s="3691"/>
      <c r="AO577" s="3691"/>
      <c r="AP577" s="3691">
        <f t="shared" si="256"/>
        <v>8400</v>
      </c>
      <c r="AQ577" s="4089"/>
      <c r="AR577" s="4411"/>
      <c r="AS577" s="4089">
        <f t="shared" si="247"/>
        <v>8400</v>
      </c>
      <c r="AT577" s="4411"/>
      <c r="AU577" s="4089"/>
      <c r="AV577" s="4089"/>
      <c r="AW577" s="4089"/>
      <c r="AX577" s="4089"/>
      <c r="AY577" s="4089"/>
      <c r="AZ577" s="4089"/>
      <c r="BA577" s="4089"/>
      <c r="BB577" s="4089"/>
      <c r="BC577" s="4089"/>
      <c r="BD577" s="4089"/>
      <c r="BE577" s="4089"/>
      <c r="BF577" s="4089" t="s">
        <v>89</v>
      </c>
      <c r="BG577" s="4089"/>
      <c r="BH577" s="4089">
        <f t="shared" si="248"/>
        <v>1400</v>
      </c>
      <c r="BI577" s="4089">
        <f t="shared" si="249"/>
        <v>1400</v>
      </c>
      <c r="BJ577" s="4089">
        <f t="shared" si="250"/>
        <v>1400</v>
      </c>
      <c r="BK577" s="4089">
        <f t="shared" si="251"/>
        <v>1400</v>
      </c>
      <c r="BL577" s="4089">
        <f t="shared" si="252"/>
        <v>1400</v>
      </c>
      <c r="BM577" s="4089">
        <f t="shared" si="253"/>
        <v>1120</v>
      </c>
      <c r="BN577" s="4089">
        <f t="shared" si="244"/>
        <v>280</v>
      </c>
      <c r="BO577" s="4411"/>
      <c r="BP577" s="4411"/>
      <c r="BQ577" s="4411"/>
      <c r="BR577" s="4411"/>
      <c r="BS577" s="4411"/>
      <c r="BT577" s="4453"/>
      <c r="BU577" s="4454"/>
      <c r="BV577" s="4385">
        <f t="shared" si="246"/>
        <v>8400</v>
      </c>
      <c r="BW577" s="4386">
        <f t="shared" si="230"/>
        <v>0</v>
      </c>
      <c r="BX577" s="4387"/>
      <c r="BY577" s="4387"/>
      <c r="BZ577" s="4387"/>
      <c r="CA577" s="4391"/>
      <c r="CC577" s="4392"/>
      <c r="CD577" s="4391"/>
    </row>
    <row r="578" s="4025" customFormat="1" ht="50" customHeight="1" spans="1:82">
      <c r="A578" s="3688">
        <v>45841</v>
      </c>
      <c r="B578" s="3689" t="s">
        <v>1670</v>
      </c>
      <c r="C578" s="3664" t="s">
        <v>471</v>
      </c>
      <c r="D578" s="3690">
        <v>4500172629</v>
      </c>
      <c r="E578" s="3664" t="s">
        <v>1671</v>
      </c>
      <c r="F578" s="3690" t="s">
        <v>1672</v>
      </c>
      <c r="G578" s="3664" t="s">
        <v>2627</v>
      </c>
      <c r="H578" s="3691" t="s">
        <v>2591</v>
      </c>
      <c r="I578" s="3691">
        <v>1512</v>
      </c>
      <c r="J578" s="3691">
        <v>0</v>
      </c>
      <c r="K578" s="3691">
        <v>24</v>
      </c>
      <c r="L578" s="3691">
        <f t="shared" si="254"/>
        <v>63</v>
      </c>
      <c r="M578" s="3659">
        <v>45881</v>
      </c>
      <c r="N578" s="3659">
        <v>45881</v>
      </c>
      <c r="O578" s="4085"/>
      <c r="P578" s="3682" t="s">
        <v>82</v>
      </c>
      <c r="Q578" s="3682"/>
      <c r="R578" s="4083"/>
      <c r="S578" s="4083"/>
      <c r="T578" s="4083"/>
      <c r="U578" s="3645" t="s">
        <v>222</v>
      </c>
      <c r="V578" s="3649" t="s">
        <v>1644</v>
      </c>
      <c r="W578" s="3649"/>
      <c r="X578" s="3657" t="s">
        <v>98</v>
      </c>
      <c r="Y578" s="3649" t="s">
        <v>1668</v>
      </c>
      <c r="Z578" s="3691"/>
      <c r="AA578" s="3620" t="s">
        <v>4564</v>
      </c>
      <c r="AB578" s="3691" t="s">
        <v>87</v>
      </c>
      <c r="AC578" s="3691">
        <v>2.0845</v>
      </c>
      <c r="AD578" s="3691">
        <f t="shared" si="255"/>
        <v>3151.764</v>
      </c>
      <c r="AE578" s="3645"/>
      <c r="AF578" s="3664" t="s">
        <v>2890</v>
      </c>
      <c r="AG578" s="3645" t="s">
        <v>416</v>
      </c>
      <c r="AH578" s="4430"/>
      <c r="AI578" s="3691"/>
      <c r="AJ578" s="3691"/>
      <c r="AK578" s="4430"/>
      <c r="AL578" s="3664"/>
      <c r="AM578" s="3664">
        <f>I578</f>
        <v>1512</v>
      </c>
      <c r="AN578" s="3691"/>
      <c r="AO578" s="3691"/>
      <c r="AP578" s="3691">
        <f t="shared" si="256"/>
        <v>1512</v>
      </c>
      <c r="AQ578" s="4089"/>
      <c r="AR578" s="4413"/>
      <c r="AS578" s="4089">
        <f t="shared" si="247"/>
        <v>1512</v>
      </c>
      <c r="AT578" s="4413"/>
      <c r="AU578" s="4089"/>
      <c r="AV578" s="4089"/>
      <c r="AW578" s="4089"/>
      <c r="AX578" s="4089"/>
      <c r="AY578" s="4089"/>
      <c r="AZ578" s="4089"/>
      <c r="BA578" s="4089"/>
      <c r="BB578" s="4089"/>
      <c r="BC578" s="4089"/>
      <c r="BD578" s="4089"/>
      <c r="BE578" s="4089"/>
      <c r="BF578" s="4089" t="s">
        <v>89</v>
      </c>
      <c r="BG578" s="4089"/>
      <c r="BH578" s="4089">
        <f t="shared" si="248"/>
        <v>252</v>
      </c>
      <c r="BI578" s="4089">
        <f t="shared" si="249"/>
        <v>252</v>
      </c>
      <c r="BJ578" s="4089">
        <f t="shared" si="250"/>
        <v>252</v>
      </c>
      <c r="BK578" s="4089">
        <f t="shared" si="251"/>
        <v>252</v>
      </c>
      <c r="BL578" s="4089">
        <f t="shared" si="252"/>
        <v>252</v>
      </c>
      <c r="BM578" s="4089">
        <f t="shared" si="253"/>
        <v>201.6</v>
      </c>
      <c r="BN578" s="4089">
        <f t="shared" si="244"/>
        <v>50.4</v>
      </c>
      <c r="BO578" s="4413"/>
      <c r="BP578" s="4413"/>
      <c r="BQ578" s="4413"/>
      <c r="BR578" s="4413"/>
      <c r="BS578" s="4413"/>
      <c r="BT578" s="4431"/>
      <c r="BU578" s="4432"/>
      <c r="BV578" s="4385">
        <f t="shared" si="246"/>
        <v>1512</v>
      </c>
      <c r="BW578" s="4386">
        <f t="shared" si="230"/>
        <v>0</v>
      </c>
      <c r="BX578" s="4387"/>
      <c r="BY578" s="4387"/>
      <c r="BZ578" s="4387"/>
      <c r="CA578" s="4391"/>
      <c r="CC578" s="4392" t="s">
        <v>4467</v>
      </c>
      <c r="CD578" s="4391" t="e">
        <v>#N/A</v>
      </c>
    </row>
    <row r="579" s="4025" customFormat="1" ht="50" customHeight="1" spans="1:82">
      <c r="A579" s="3688">
        <v>45836</v>
      </c>
      <c r="B579" s="3689" t="s">
        <v>1617</v>
      </c>
      <c r="C579" s="3664" t="s">
        <v>91</v>
      </c>
      <c r="D579" s="3690">
        <v>4500171781</v>
      </c>
      <c r="E579" s="3664" t="s">
        <v>4565</v>
      </c>
      <c r="F579" s="3690" t="s">
        <v>4566</v>
      </c>
      <c r="G579" s="3664" t="s">
        <v>2627</v>
      </c>
      <c r="H579" s="3691" t="s">
        <v>2591</v>
      </c>
      <c r="I579" s="3691">
        <v>1200</v>
      </c>
      <c r="J579" s="3691">
        <v>0</v>
      </c>
      <c r="K579" s="3691">
        <v>24</v>
      </c>
      <c r="L579" s="3691">
        <f t="shared" si="254"/>
        <v>50</v>
      </c>
      <c r="M579" s="3659">
        <v>45882</v>
      </c>
      <c r="N579" s="3659">
        <v>45884</v>
      </c>
      <c r="O579" s="4085"/>
      <c r="P579" s="3682" t="s">
        <v>82</v>
      </c>
      <c r="Q579" s="3682"/>
      <c r="R579" s="4083"/>
      <c r="S579" s="4083"/>
      <c r="T579" s="4083"/>
      <c r="U579" s="3645" t="s">
        <v>4567</v>
      </c>
      <c r="V579" s="3649" t="s">
        <v>1936</v>
      </c>
      <c r="W579" s="3622"/>
      <c r="X579" s="3657" t="s">
        <v>98</v>
      </c>
      <c r="Y579" s="3657" t="s">
        <v>4568</v>
      </c>
      <c r="Z579" s="3691"/>
      <c r="AA579" s="3620" t="s">
        <v>1621</v>
      </c>
      <c r="AB579" s="3691" t="s">
        <v>393</v>
      </c>
      <c r="AC579" s="3691">
        <v>1.2217</v>
      </c>
      <c r="AD579" s="3691">
        <f t="shared" si="255"/>
        <v>1466.04</v>
      </c>
      <c r="AE579" s="3645"/>
      <c r="AF579" s="3664" t="s">
        <v>2627</v>
      </c>
      <c r="AG579" s="3645" t="s">
        <v>416</v>
      </c>
      <c r="AH579" s="4430"/>
      <c r="AI579" s="3691"/>
      <c r="AJ579" s="3691">
        <f>I579</f>
        <v>1200</v>
      </c>
      <c r="AK579" s="4430"/>
      <c r="AL579" s="3664"/>
      <c r="AM579" s="3664"/>
      <c r="AN579" s="3691"/>
      <c r="AO579" s="3691"/>
      <c r="AP579" s="3691">
        <f t="shared" si="256"/>
        <v>1200</v>
      </c>
      <c r="AQ579" s="4089"/>
      <c r="AR579" s="4413"/>
      <c r="AS579" s="4089">
        <f t="shared" si="247"/>
        <v>1200</v>
      </c>
      <c r="AT579" s="4413"/>
      <c r="AU579" s="4089"/>
      <c r="AV579" s="4089"/>
      <c r="AW579" s="4089"/>
      <c r="AX579" s="4089"/>
      <c r="AY579" s="4089"/>
      <c r="AZ579" s="4089"/>
      <c r="BA579" s="4089"/>
      <c r="BB579" s="4089"/>
      <c r="BC579" s="4089"/>
      <c r="BD579" s="4089"/>
      <c r="BE579" s="4089"/>
      <c r="BF579" s="4089" t="s">
        <v>89</v>
      </c>
      <c r="BG579" s="4089"/>
      <c r="BH579" s="4089">
        <f t="shared" si="248"/>
        <v>200</v>
      </c>
      <c r="BI579" s="4089">
        <f t="shared" si="249"/>
        <v>200</v>
      </c>
      <c r="BJ579" s="4089">
        <f t="shared" si="250"/>
        <v>200</v>
      </c>
      <c r="BK579" s="4089">
        <f t="shared" si="251"/>
        <v>200</v>
      </c>
      <c r="BL579" s="4089">
        <f t="shared" si="252"/>
        <v>200</v>
      </c>
      <c r="BM579" s="4089">
        <f t="shared" si="253"/>
        <v>160</v>
      </c>
      <c r="BN579" s="4089">
        <f t="shared" si="244"/>
        <v>40</v>
      </c>
      <c r="BO579" s="4413"/>
      <c r="BP579" s="4413"/>
      <c r="BQ579" s="4413"/>
      <c r="BR579" s="4413"/>
      <c r="BS579" s="4413"/>
      <c r="BT579" s="4431"/>
      <c r="BU579" s="4432"/>
      <c r="BV579" s="4385">
        <f t="shared" si="246"/>
        <v>1200</v>
      </c>
      <c r="BW579" s="4386">
        <f t="shared" si="230"/>
        <v>0</v>
      </c>
      <c r="BX579" s="4387"/>
      <c r="BY579" s="4387"/>
      <c r="BZ579" s="4387"/>
      <c r="CA579" s="4391"/>
      <c r="CC579" s="4392" t="s">
        <v>4569</v>
      </c>
      <c r="CD579" s="4391" t="s">
        <v>4554</v>
      </c>
    </row>
    <row r="580" s="4025" customFormat="1" ht="48" customHeight="1" spans="1:82">
      <c r="A580" s="3688">
        <v>45841</v>
      </c>
      <c r="B580" s="3689" t="s">
        <v>2872</v>
      </c>
      <c r="C580" s="3664" t="s">
        <v>471</v>
      </c>
      <c r="D580" s="3690">
        <v>4500172499</v>
      </c>
      <c r="E580" s="3664"/>
      <c r="F580" s="3690" t="s">
        <v>4570</v>
      </c>
      <c r="G580" s="3664" t="s">
        <v>3545</v>
      </c>
      <c r="H580" s="3664" t="s">
        <v>2620</v>
      </c>
      <c r="I580" s="3691">
        <v>768</v>
      </c>
      <c r="J580" s="3691">
        <v>0</v>
      </c>
      <c r="K580" s="3691">
        <v>12</v>
      </c>
      <c r="L580" s="3691">
        <f t="shared" si="254"/>
        <v>64</v>
      </c>
      <c r="M580" s="3659">
        <v>45883</v>
      </c>
      <c r="N580" s="3659">
        <v>45883</v>
      </c>
      <c r="O580" s="4085"/>
      <c r="P580" s="3682" t="s">
        <v>82</v>
      </c>
      <c r="Q580" s="3682"/>
      <c r="R580" s="4083"/>
      <c r="S580" s="4083"/>
      <c r="T580" s="4083"/>
      <c r="U580" s="3645" t="s">
        <v>1767</v>
      </c>
      <c r="V580" s="3649" t="s">
        <v>4571</v>
      </c>
      <c r="W580" s="3657"/>
      <c r="X580" s="3657" t="s">
        <v>98</v>
      </c>
      <c r="Y580" s="3657"/>
      <c r="Z580" s="3691"/>
      <c r="AA580" s="3620" t="s">
        <v>4572</v>
      </c>
      <c r="AB580" s="3691" t="s">
        <v>4573</v>
      </c>
      <c r="AC580" s="3691">
        <v>2.1439</v>
      </c>
      <c r="AD580" s="3691">
        <f t="shared" si="255"/>
        <v>1646.5152</v>
      </c>
      <c r="AE580" s="3645"/>
      <c r="AF580" s="3664" t="s">
        <v>3549</v>
      </c>
      <c r="AG580" s="3645" t="s">
        <v>416</v>
      </c>
      <c r="AH580" s="4430"/>
      <c r="AI580" s="3691"/>
      <c r="AJ580" s="3691"/>
      <c r="AK580" s="4430"/>
      <c r="AL580" s="3664"/>
      <c r="AM580" s="3664">
        <f>I580</f>
        <v>768</v>
      </c>
      <c r="AN580" s="3691"/>
      <c r="AO580" s="3691"/>
      <c r="AP580" s="3691">
        <f t="shared" si="256"/>
        <v>768</v>
      </c>
      <c r="AQ580" s="4089"/>
      <c r="AR580" s="4413"/>
      <c r="AS580" s="4089"/>
      <c r="AT580" s="4413"/>
      <c r="AU580" s="4089">
        <f>I580</f>
        <v>768</v>
      </c>
      <c r="AV580" s="4089"/>
      <c r="AW580" s="4089"/>
      <c r="AX580" s="4089"/>
      <c r="AY580" s="4089">
        <f>I580/6</f>
        <v>128</v>
      </c>
      <c r="AZ580" s="4089"/>
      <c r="BA580" s="4089"/>
      <c r="BB580" s="4089"/>
      <c r="BC580" s="4089"/>
      <c r="BD580" s="4089"/>
      <c r="BE580" s="4089"/>
      <c r="BF580" s="4089" t="s">
        <v>89</v>
      </c>
      <c r="BG580" s="4089"/>
      <c r="BH580" s="4089">
        <f t="shared" si="248"/>
        <v>128</v>
      </c>
      <c r="BI580" s="4089">
        <f t="shared" si="249"/>
        <v>128</v>
      </c>
      <c r="BJ580" s="4089">
        <f t="shared" si="250"/>
        <v>128</v>
      </c>
      <c r="BK580" s="4089">
        <f t="shared" si="251"/>
        <v>128</v>
      </c>
      <c r="BL580" s="4089">
        <f t="shared" si="252"/>
        <v>128</v>
      </c>
      <c r="BM580" s="4089">
        <f t="shared" si="253"/>
        <v>102.4</v>
      </c>
      <c r="BN580" s="4089">
        <f t="shared" si="244"/>
        <v>25.6</v>
      </c>
      <c r="BO580" s="4413"/>
      <c r="BP580" s="4413"/>
      <c r="BQ580" s="4413"/>
      <c r="BR580" s="4413"/>
      <c r="BS580" s="4413"/>
      <c r="BT580" s="4431"/>
      <c r="BU580" s="4432"/>
      <c r="BV580" s="4385">
        <f t="shared" si="246"/>
        <v>768</v>
      </c>
      <c r="BW580" s="4386">
        <f t="shared" si="230"/>
        <v>0</v>
      </c>
      <c r="BX580" s="4387"/>
      <c r="BY580" s="4387"/>
      <c r="BZ580" s="4387"/>
      <c r="CA580" s="4391"/>
      <c r="CC580" s="4392" t="s">
        <v>4467</v>
      </c>
      <c r="CD580" s="4391" t="e">
        <v>#N/A</v>
      </c>
    </row>
    <row r="581" s="4025" customFormat="1" ht="50" customHeight="1" spans="1:82">
      <c r="A581" s="3688">
        <v>45797</v>
      </c>
      <c r="B581" s="3689" t="s">
        <v>3685</v>
      </c>
      <c r="C581" s="3664" t="s">
        <v>351</v>
      </c>
      <c r="D581" s="3690">
        <v>4500166910</v>
      </c>
      <c r="E581" s="3664" t="s">
        <v>4574</v>
      </c>
      <c r="F581" s="3690" t="s">
        <v>4575</v>
      </c>
      <c r="G581" s="3664" t="s">
        <v>2590</v>
      </c>
      <c r="H581" s="3664" t="s">
        <v>2591</v>
      </c>
      <c r="I581" s="3691">
        <v>408</v>
      </c>
      <c r="J581" s="3691">
        <v>0</v>
      </c>
      <c r="K581" s="3691">
        <v>6</v>
      </c>
      <c r="L581" s="3691">
        <f t="shared" si="254"/>
        <v>68</v>
      </c>
      <c r="M581" s="3659">
        <v>45883</v>
      </c>
      <c r="N581" s="3659">
        <v>45885</v>
      </c>
      <c r="O581" s="4085"/>
      <c r="P581" s="3682" t="s">
        <v>82</v>
      </c>
      <c r="Q581" s="3682"/>
      <c r="R581" s="4083"/>
      <c r="S581" s="4083"/>
      <c r="T581" s="4083"/>
      <c r="U581" s="3645" t="s">
        <v>1813</v>
      </c>
      <c r="V581" s="3649" t="s">
        <v>1336</v>
      </c>
      <c r="W581" s="3657"/>
      <c r="X581" s="3657" t="s">
        <v>4076</v>
      </c>
      <c r="Y581" s="3657"/>
      <c r="Z581" s="3691"/>
      <c r="AA581" s="3620" t="s">
        <v>4077</v>
      </c>
      <c r="AB581" s="3691" t="s">
        <v>1131</v>
      </c>
      <c r="AC581" s="3691">
        <v>2.1582</v>
      </c>
      <c r="AD581" s="3691">
        <f t="shared" si="255"/>
        <v>880.5456</v>
      </c>
      <c r="AE581" s="3645"/>
      <c r="AF581" s="3664" t="s">
        <v>2590</v>
      </c>
      <c r="AG581" s="3645" t="s">
        <v>416</v>
      </c>
      <c r="AH581" s="4422"/>
      <c r="AI581" s="3691"/>
      <c r="AJ581" s="3691">
        <f>I581</f>
        <v>408</v>
      </c>
      <c r="AK581" s="4422"/>
      <c r="AL581" s="3664"/>
      <c r="AM581" s="3664"/>
      <c r="AN581" s="3691"/>
      <c r="AO581" s="3691"/>
      <c r="AP581" s="3691">
        <f t="shared" si="256"/>
        <v>408</v>
      </c>
      <c r="AQ581" s="4089"/>
      <c r="AR581" s="907"/>
      <c r="AS581" s="4089">
        <f>I581</f>
        <v>408</v>
      </c>
      <c r="AT581" s="907"/>
      <c r="AU581" s="4089"/>
      <c r="AV581" s="4089"/>
      <c r="AW581" s="4089">
        <f>I581/6</f>
        <v>68</v>
      </c>
      <c r="AX581" s="4089"/>
      <c r="AY581" s="4089"/>
      <c r="AZ581" s="4089"/>
      <c r="BA581" s="4089"/>
      <c r="BB581" s="4089"/>
      <c r="BC581" s="4089"/>
      <c r="BD581" s="4089"/>
      <c r="BE581" s="4089"/>
      <c r="BF581" s="4089" t="s">
        <v>89</v>
      </c>
      <c r="BG581" s="4089"/>
      <c r="BH581" s="4089">
        <f t="shared" si="248"/>
        <v>68</v>
      </c>
      <c r="BI581" s="4089">
        <f t="shared" si="249"/>
        <v>68</v>
      </c>
      <c r="BJ581" s="4089">
        <f t="shared" si="250"/>
        <v>68</v>
      </c>
      <c r="BK581" s="4403">
        <f t="shared" si="251"/>
        <v>68</v>
      </c>
      <c r="BL581" s="4385">
        <f t="shared" si="252"/>
        <v>68</v>
      </c>
      <c r="BM581" s="4403">
        <f t="shared" si="253"/>
        <v>54.4</v>
      </c>
      <c r="BN581" s="4089">
        <f t="shared" si="244"/>
        <v>13.6</v>
      </c>
      <c r="BO581" s="907"/>
      <c r="BP581" s="907"/>
      <c r="BQ581" s="907"/>
      <c r="BR581" s="907"/>
      <c r="BS581" s="907"/>
      <c r="BT581" s="910"/>
      <c r="BU581" s="911"/>
      <c r="BV581" s="4385">
        <f t="shared" si="246"/>
        <v>408</v>
      </c>
      <c r="BW581" s="4386">
        <f t="shared" ref="BW581:BW644" si="257">I581-BV581</f>
        <v>0</v>
      </c>
      <c r="BX581" s="4387"/>
      <c r="BY581" s="4387"/>
      <c r="BZ581" s="4387"/>
      <c r="CA581" s="4391" t="str">
        <f>VLOOKUP(D581&amp;G581&amp;H581&amp;I581,'9298 版本变更明细'!C:AJ,34,FALSE)</f>
        <v>全套新包装</v>
      </c>
      <c r="CC581" s="4392">
        <v>45885</v>
      </c>
      <c r="CD581" s="4391" t="s">
        <v>4557</v>
      </c>
    </row>
    <row r="582" s="4025" customFormat="1" ht="50" customHeight="1" spans="1:82">
      <c r="A582" s="3688">
        <v>45762</v>
      </c>
      <c r="B582" s="3689" t="s">
        <v>4576</v>
      </c>
      <c r="C582" s="3664" t="s">
        <v>569</v>
      </c>
      <c r="D582" s="3690">
        <v>4500163718</v>
      </c>
      <c r="E582" s="3664"/>
      <c r="F582" s="3690" t="s">
        <v>4577</v>
      </c>
      <c r="G582" s="3664" t="s">
        <v>2700</v>
      </c>
      <c r="H582" s="3664" t="s">
        <v>2591</v>
      </c>
      <c r="I582" s="3691">
        <v>240</v>
      </c>
      <c r="J582" s="3691">
        <v>0</v>
      </c>
      <c r="K582" s="3691">
        <v>12</v>
      </c>
      <c r="L582" s="3691">
        <f t="shared" si="254"/>
        <v>20</v>
      </c>
      <c r="M582" s="3659">
        <v>45884</v>
      </c>
      <c r="N582" s="3659">
        <v>45880</v>
      </c>
      <c r="O582" s="3682"/>
      <c r="P582" s="3682" t="s">
        <v>82</v>
      </c>
      <c r="Q582" s="3682"/>
      <c r="R582" s="4083"/>
      <c r="S582" s="4083"/>
      <c r="T582" s="4083"/>
      <c r="U582" s="3645" t="s">
        <v>1541</v>
      </c>
      <c r="V582" s="3649" t="s">
        <v>4578</v>
      </c>
      <c r="W582" s="3657"/>
      <c r="X582" s="3657" t="s">
        <v>4579</v>
      </c>
      <c r="Y582" s="3657"/>
      <c r="Z582" s="3645" t="s">
        <v>4580</v>
      </c>
      <c r="AA582" s="3620" t="s">
        <v>4581</v>
      </c>
      <c r="AB582" s="3691" t="s">
        <v>4582</v>
      </c>
      <c r="AC582" s="3691">
        <v>2.1376</v>
      </c>
      <c r="AD582" s="3691">
        <f t="shared" si="255"/>
        <v>513.024</v>
      </c>
      <c r="AE582" s="3645"/>
      <c r="AF582" s="3664" t="s">
        <v>2871</v>
      </c>
      <c r="AG582" s="3645" t="s">
        <v>416</v>
      </c>
      <c r="AH582" s="4430"/>
      <c r="AI582" s="3691"/>
      <c r="AJ582" s="3691"/>
      <c r="AK582" s="4430"/>
      <c r="AL582" s="3664"/>
      <c r="AM582" s="3664">
        <f t="shared" ref="AM582:AM587" si="258">I582</f>
        <v>240</v>
      </c>
      <c r="AN582" s="3691"/>
      <c r="AO582" s="3691"/>
      <c r="AP582" s="3691">
        <f t="shared" si="256"/>
        <v>240</v>
      </c>
      <c r="AQ582" s="4089"/>
      <c r="AR582" s="4413"/>
      <c r="AS582" s="4089"/>
      <c r="AT582" s="4413"/>
      <c r="AU582" s="4486">
        <f t="shared" ref="AU582:AU587" si="259">I582</f>
        <v>240</v>
      </c>
      <c r="AV582" s="4486">
        <f>I582/6</f>
        <v>40</v>
      </c>
      <c r="AW582" s="4089"/>
      <c r="AX582" s="4089"/>
      <c r="AY582" s="4089"/>
      <c r="AZ582" s="4089"/>
      <c r="BA582" s="4089"/>
      <c r="BB582" s="4089"/>
      <c r="BC582" s="4089"/>
      <c r="BD582" s="4089"/>
      <c r="BE582" s="4089"/>
      <c r="BF582" s="4089" t="s">
        <v>89</v>
      </c>
      <c r="BG582" s="4089"/>
      <c r="BH582" s="4089">
        <f t="shared" si="248"/>
        <v>40</v>
      </c>
      <c r="BI582" s="4089">
        <f t="shared" si="249"/>
        <v>40</v>
      </c>
      <c r="BJ582" s="4089">
        <f t="shared" si="250"/>
        <v>40</v>
      </c>
      <c r="BK582" s="4089">
        <f t="shared" si="251"/>
        <v>40</v>
      </c>
      <c r="BL582" s="4089">
        <f t="shared" si="252"/>
        <v>40</v>
      </c>
      <c r="BM582" s="4089">
        <f t="shared" si="253"/>
        <v>32</v>
      </c>
      <c r="BN582" s="4089">
        <f t="shared" si="244"/>
        <v>8</v>
      </c>
      <c r="BO582" s="4413"/>
      <c r="BP582" s="4413"/>
      <c r="BQ582" s="4413"/>
      <c r="BR582" s="4413"/>
      <c r="BS582" s="4413"/>
      <c r="BT582" s="4431"/>
      <c r="BU582" s="4432"/>
      <c r="BV582" s="4385">
        <f t="shared" si="246"/>
        <v>240</v>
      </c>
      <c r="BW582" s="4386">
        <f t="shared" si="257"/>
        <v>0</v>
      </c>
      <c r="BX582" s="4387"/>
      <c r="BY582" s="4387"/>
      <c r="BZ582" s="4387"/>
      <c r="CA582" s="4391" t="str">
        <f>VLOOKUP(D582&amp;G582&amp;H582&amp;I582,'9298 版本变更明细'!C:AJ,34,FALSE)</f>
        <v>C版本收缩膜+指南+A版本口水胶+C版本配件包（香味贴纸/指定配件）</v>
      </c>
      <c r="CC582" s="4392" t="s">
        <v>2297</v>
      </c>
      <c r="CD582" s="4391" t="s">
        <v>4267</v>
      </c>
    </row>
    <row r="583" s="4025" customFormat="1" ht="50" customHeight="1" spans="1:82">
      <c r="A583" s="3688">
        <v>45762</v>
      </c>
      <c r="B583" s="3689" t="s">
        <v>4576</v>
      </c>
      <c r="C583" s="3664" t="s">
        <v>569</v>
      </c>
      <c r="D583" s="3690">
        <v>4500163648</v>
      </c>
      <c r="E583" s="3664"/>
      <c r="F583" s="3690" t="s">
        <v>4583</v>
      </c>
      <c r="G583" s="3664" t="s">
        <v>2700</v>
      </c>
      <c r="H583" s="3664" t="s">
        <v>2591</v>
      </c>
      <c r="I583" s="3691">
        <v>1200</v>
      </c>
      <c r="J583" s="3691">
        <v>0</v>
      </c>
      <c r="K583" s="3691">
        <v>12</v>
      </c>
      <c r="L583" s="3691">
        <f t="shared" si="254"/>
        <v>100</v>
      </c>
      <c r="M583" s="3659">
        <v>45884</v>
      </c>
      <c r="N583" s="3659">
        <v>45880</v>
      </c>
      <c r="O583" s="3682"/>
      <c r="P583" s="3682" t="s">
        <v>82</v>
      </c>
      <c r="Q583" s="3682"/>
      <c r="R583" s="4083"/>
      <c r="S583" s="4083"/>
      <c r="T583" s="4083"/>
      <c r="U583" s="3645" t="s">
        <v>1541</v>
      </c>
      <c r="V583" s="3649" t="s">
        <v>4578</v>
      </c>
      <c r="W583" s="3649"/>
      <c r="X583" s="3657" t="s">
        <v>4584</v>
      </c>
      <c r="Y583" s="3649"/>
      <c r="Z583" s="3645" t="s">
        <v>4585</v>
      </c>
      <c r="AA583" s="3620" t="s">
        <v>4586</v>
      </c>
      <c r="AB583" s="3691" t="s">
        <v>4582</v>
      </c>
      <c r="AC583" s="3691">
        <v>2.1329</v>
      </c>
      <c r="AD583" s="3691">
        <f t="shared" si="255"/>
        <v>2559.48</v>
      </c>
      <c r="AE583" s="3645"/>
      <c r="AF583" s="3664" t="s">
        <v>2871</v>
      </c>
      <c r="AG583" s="3645" t="s">
        <v>416</v>
      </c>
      <c r="AH583" s="4430"/>
      <c r="AI583" s="3691"/>
      <c r="AJ583" s="3691"/>
      <c r="AK583" s="4430"/>
      <c r="AL583" s="3664"/>
      <c r="AM583" s="3664">
        <f t="shared" si="258"/>
        <v>1200</v>
      </c>
      <c r="AN583" s="4089"/>
      <c r="AO583" s="3691"/>
      <c r="AP583" s="3691">
        <f t="shared" si="256"/>
        <v>1200</v>
      </c>
      <c r="AQ583" s="4089"/>
      <c r="AR583" s="4413"/>
      <c r="AS583" s="4089"/>
      <c r="AT583" s="4413"/>
      <c r="AU583" s="4486">
        <f t="shared" si="259"/>
        <v>1200</v>
      </c>
      <c r="AV583" s="4486">
        <f>I583/6</f>
        <v>200</v>
      </c>
      <c r="AW583" s="4089"/>
      <c r="AX583" s="4089"/>
      <c r="AY583" s="4089"/>
      <c r="AZ583" s="4089"/>
      <c r="BA583" s="4089"/>
      <c r="BB583" s="4089"/>
      <c r="BC583" s="4089"/>
      <c r="BD583" s="4089"/>
      <c r="BE583" s="4089"/>
      <c r="BF583" s="4089" t="s">
        <v>89</v>
      </c>
      <c r="BG583" s="4089"/>
      <c r="BH583" s="4089">
        <f t="shared" si="248"/>
        <v>200</v>
      </c>
      <c r="BI583" s="4089">
        <f t="shared" si="249"/>
        <v>200</v>
      </c>
      <c r="BJ583" s="4089">
        <f t="shared" si="250"/>
        <v>200</v>
      </c>
      <c r="BK583" s="4089">
        <f t="shared" si="251"/>
        <v>200</v>
      </c>
      <c r="BL583" s="4089">
        <f t="shared" si="252"/>
        <v>200</v>
      </c>
      <c r="BM583" s="4089">
        <f t="shared" si="253"/>
        <v>160</v>
      </c>
      <c r="BN583" s="4089">
        <f t="shared" si="244"/>
        <v>40</v>
      </c>
      <c r="BO583" s="4447"/>
      <c r="BP583" s="4447"/>
      <c r="BQ583" s="4447"/>
      <c r="BR583" s="4447"/>
      <c r="BS583" s="4447"/>
      <c r="BT583" s="4447"/>
      <c r="BU583" s="4447"/>
      <c r="BV583" s="4385">
        <f t="shared" si="246"/>
        <v>1200</v>
      </c>
      <c r="BW583" s="4386">
        <f t="shared" si="257"/>
        <v>0</v>
      </c>
      <c r="BX583" s="4387"/>
      <c r="BY583" s="4387"/>
      <c r="BZ583" s="4387"/>
      <c r="CA583" s="4391" t="str">
        <f>VLOOKUP(D583&amp;G583&amp;H583&amp;I583,'9298 版本变更明细'!C:AJ,34,FALSE)</f>
        <v>C版本收缩膜+指南+A版本口水胶+C版本配件包（香味贴纸/指定配件）</v>
      </c>
      <c r="CC583" s="4392" t="s">
        <v>2297</v>
      </c>
      <c r="CD583" s="4391" t="s">
        <v>4267</v>
      </c>
    </row>
    <row r="584" s="4025" customFormat="1" ht="50" customHeight="1" spans="1:82">
      <c r="A584" s="3688">
        <v>45762</v>
      </c>
      <c r="B584" s="3689" t="s">
        <v>4576</v>
      </c>
      <c r="C584" s="3664" t="s">
        <v>569</v>
      </c>
      <c r="D584" s="3690">
        <v>4500163683</v>
      </c>
      <c r="E584" s="3664"/>
      <c r="F584" s="3690" t="s">
        <v>4587</v>
      </c>
      <c r="G584" s="3664" t="s">
        <v>2700</v>
      </c>
      <c r="H584" s="3664" t="s">
        <v>2591</v>
      </c>
      <c r="I584" s="3691">
        <v>180</v>
      </c>
      <c r="J584" s="3691">
        <v>0</v>
      </c>
      <c r="K584" s="3691">
        <v>12</v>
      </c>
      <c r="L584" s="3691">
        <f t="shared" si="254"/>
        <v>15</v>
      </c>
      <c r="M584" s="3659">
        <v>45884</v>
      </c>
      <c r="N584" s="3659">
        <v>45880</v>
      </c>
      <c r="O584" s="3682"/>
      <c r="P584" s="3682" t="s">
        <v>82</v>
      </c>
      <c r="Q584" s="3682"/>
      <c r="R584" s="4083"/>
      <c r="S584" s="4083"/>
      <c r="T584" s="4083"/>
      <c r="U584" s="3645" t="s">
        <v>1541</v>
      </c>
      <c r="V584" s="3649" t="s">
        <v>4578</v>
      </c>
      <c r="W584" s="3649"/>
      <c r="X584" s="3657" t="s">
        <v>4579</v>
      </c>
      <c r="Y584" s="3649"/>
      <c r="Z584" s="3645" t="s">
        <v>4588</v>
      </c>
      <c r="AA584" s="3620" t="s">
        <v>4589</v>
      </c>
      <c r="AB584" s="3691" t="s">
        <v>4582</v>
      </c>
      <c r="AC584" s="3691">
        <v>2.1376</v>
      </c>
      <c r="AD584" s="3691">
        <f t="shared" si="255"/>
        <v>384.768</v>
      </c>
      <c r="AE584" s="3645"/>
      <c r="AF584" s="3664" t="s">
        <v>2871</v>
      </c>
      <c r="AG584" s="3645" t="s">
        <v>416</v>
      </c>
      <c r="AH584" s="4430"/>
      <c r="AI584" s="3691"/>
      <c r="AJ584" s="3691"/>
      <c r="AK584" s="4430"/>
      <c r="AL584" s="3664"/>
      <c r="AM584" s="3664">
        <f t="shared" si="258"/>
        <v>180</v>
      </c>
      <c r="AN584" s="4089"/>
      <c r="AO584" s="3691"/>
      <c r="AP584" s="3691">
        <f t="shared" si="256"/>
        <v>180</v>
      </c>
      <c r="AQ584" s="4089"/>
      <c r="AR584" s="4413"/>
      <c r="AS584" s="4089"/>
      <c r="AT584" s="4413"/>
      <c r="AU584" s="4486">
        <f t="shared" si="259"/>
        <v>180</v>
      </c>
      <c r="AV584" s="4486">
        <f>I584/6</f>
        <v>30</v>
      </c>
      <c r="AW584" s="4089"/>
      <c r="AX584" s="4089"/>
      <c r="AY584" s="4089"/>
      <c r="AZ584" s="4089"/>
      <c r="BA584" s="4089"/>
      <c r="BB584" s="4089"/>
      <c r="BC584" s="4089"/>
      <c r="BD584" s="4089"/>
      <c r="BE584" s="4089"/>
      <c r="BF584" s="4089" t="s">
        <v>89</v>
      </c>
      <c r="BG584" s="4089"/>
      <c r="BH584" s="4089">
        <f t="shared" si="248"/>
        <v>30</v>
      </c>
      <c r="BI584" s="4089">
        <f t="shared" si="249"/>
        <v>30</v>
      </c>
      <c r="BJ584" s="4089">
        <f t="shared" si="250"/>
        <v>30</v>
      </c>
      <c r="BK584" s="4089">
        <f t="shared" si="251"/>
        <v>30</v>
      </c>
      <c r="BL584" s="4089">
        <f t="shared" si="252"/>
        <v>30</v>
      </c>
      <c r="BM584" s="4089">
        <f t="shared" si="253"/>
        <v>24</v>
      </c>
      <c r="BN584" s="4089">
        <f t="shared" si="244"/>
        <v>6</v>
      </c>
      <c r="BO584" s="4447"/>
      <c r="BP584" s="4447"/>
      <c r="BQ584" s="4447"/>
      <c r="BR584" s="4447"/>
      <c r="BS584" s="4447"/>
      <c r="BT584" s="4447"/>
      <c r="BU584" s="4447"/>
      <c r="BV584" s="4385">
        <f t="shared" si="246"/>
        <v>180</v>
      </c>
      <c r="BW584" s="4386">
        <f t="shared" si="257"/>
        <v>0</v>
      </c>
      <c r="BX584" s="4387"/>
      <c r="BY584" s="4387"/>
      <c r="BZ584" s="4387"/>
      <c r="CA584" s="4391" t="str">
        <f>VLOOKUP(D584&amp;G584&amp;H584&amp;I584,'9298 版本变更明细'!C:AJ,34,FALSE)</f>
        <v>C版本收缩膜+指南+A版本口水胶+C版本配件包（香味贴纸/指定配件）</v>
      </c>
      <c r="CC584" s="4392" t="s">
        <v>2297</v>
      </c>
      <c r="CD584" s="4391" t="s">
        <v>4267</v>
      </c>
    </row>
    <row r="585" s="4025" customFormat="1" ht="50" customHeight="1" spans="1:82">
      <c r="A585" s="3688">
        <v>45762</v>
      </c>
      <c r="B585" s="3689" t="s">
        <v>4576</v>
      </c>
      <c r="C585" s="3664" t="s">
        <v>569</v>
      </c>
      <c r="D585" s="3690">
        <v>4500163718</v>
      </c>
      <c r="E585" s="3664"/>
      <c r="F585" s="3690" t="s">
        <v>4590</v>
      </c>
      <c r="G585" s="3664" t="s">
        <v>2861</v>
      </c>
      <c r="H585" s="3664" t="s">
        <v>2862</v>
      </c>
      <c r="I585" s="4401">
        <v>320</v>
      </c>
      <c r="J585" s="3691">
        <v>0</v>
      </c>
      <c r="K585" s="3691">
        <v>40</v>
      </c>
      <c r="L585" s="3691">
        <f t="shared" si="254"/>
        <v>8</v>
      </c>
      <c r="M585" s="3659">
        <v>45884</v>
      </c>
      <c r="N585" s="3659">
        <v>45880</v>
      </c>
      <c r="O585" s="3682"/>
      <c r="P585" s="3682" t="s">
        <v>82</v>
      </c>
      <c r="Q585" s="3682"/>
      <c r="R585" s="4083"/>
      <c r="S585" s="4083"/>
      <c r="T585" s="4083"/>
      <c r="U585" s="3645" t="s">
        <v>1541</v>
      </c>
      <c r="V585" s="3649" t="s">
        <v>4578</v>
      </c>
      <c r="W585" s="3657"/>
      <c r="X585" s="3657" t="s">
        <v>4579</v>
      </c>
      <c r="Y585" s="3657"/>
      <c r="Z585" s="3645" t="s">
        <v>4580</v>
      </c>
      <c r="AA585" s="3620" t="s">
        <v>4591</v>
      </c>
      <c r="AB585" s="3691" t="s">
        <v>4582</v>
      </c>
      <c r="AC585" s="4087">
        <v>103.1462</v>
      </c>
      <c r="AD585" s="3691">
        <f>AC585*L585</f>
        <v>825.1696</v>
      </c>
      <c r="AE585" s="3645"/>
      <c r="AF585" s="959" t="s">
        <v>2865</v>
      </c>
      <c r="AG585" s="3645" t="s">
        <v>416</v>
      </c>
      <c r="AH585" s="4430"/>
      <c r="AI585" s="3691"/>
      <c r="AJ585" s="3691"/>
      <c r="AK585" s="4430"/>
      <c r="AL585" s="3664"/>
      <c r="AM585" s="3664">
        <f t="shared" si="258"/>
        <v>320</v>
      </c>
      <c r="AN585" s="3691"/>
      <c r="AO585" s="3691"/>
      <c r="AP585" s="3691">
        <f t="shared" si="256"/>
        <v>320</v>
      </c>
      <c r="AQ585" s="4089"/>
      <c r="AR585" s="4413"/>
      <c r="AS585" s="4089"/>
      <c r="AT585" s="4413"/>
      <c r="AU585" s="4486">
        <f t="shared" si="259"/>
        <v>320</v>
      </c>
      <c r="AV585" s="4089"/>
      <c r="AW585" s="4089"/>
      <c r="AX585" s="4089"/>
      <c r="AY585" s="4089"/>
      <c r="AZ585" s="4089"/>
      <c r="BA585" s="4089"/>
      <c r="BB585" s="4089"/>
      <c r="BC585" s="4089"/>
      <c r="BD585" s="4089"/>
      <c r="BE585" s="4089">
        <f>I585/40</f>
        <v>8</v>
      </c>
      <c r="BF585" s="4089" t="s">
        <v>89</v>
      </c>
      <c r="BG585" s="4089"/>
      <c r="BH585" s="4089">
        <f t="shared" si="248"/>
        <v>53.3333333333333</v>
      </c>
      <c r="BI585" s="4089">
        <f t="shared" si="249"/>
        <v>53.3333333333333</v>
      </c>
      <c r="BJ585" s="4089">
        <f t="shared" si="250"/>
        <v>53.3333333333333</v>
      </c>
      <c r="BK585" s="4089">
        <f t="shared" si="251"/>
        <v>53.3333333333333</v>
      </c>
      <c r="BL585" s="4089">
        <f t="shared" si="252"/>
        <v>53.3333333333333</v>
      </c>
      <c r="BM585" s="4089">
        <f t="shared" si="253"/>
        <v>42.6666666666667</v>
      </c>
      <c r="BN585" s="4089">
        <f t="shared" si="244"/>
        <v>10.6666666666667</v>
      </c>
      <c r="BO585" s="4413"/>
      <c r="BP585" s="4413"/>
      <c r="BQ585" s="4413"/>
      <c r="BR585" s="4413"/>
      <c r="BS585" s="4413"/>
      <c r="BT585" s="4431"/>
      <c r="BU585" s="4432"/>
      <c r="BV585" s="4385">
        <f t="shared" si="246"/>
        <v>320</v>
      </c>
      <c r="BW585" s="4386">
        <f t="shared" si="257"/>
        <v>0</v>
      </c>
      <c r="BX585" s="4387"/>
      <c r="BY585" s="4387"/>
      <c r="BZ585" s="4387"/>
      <c r="CA585" s="4391" t="str">
        <f>VLOOKUP(D585&amp;G585&amp;H585&amp;I585,'9298 版本变更明细'!C:AJ,34,FALSE)</f>
        <v>C版本收缩膜+指南+A版本口水胶+C版本配件包（香味贴纸/指定配件）</v>
      </c>
      <c r="CC585" s="4392" t="s">
        <v>2297</v>
      </c>
      <c r="CD585" s="4391" t="s">
        <v>4267</v>
      </c>
    </row>
    <row r="586" s="4025" customFormat="1" ht="50" customHeight="1" spans="1:82">
      <c r="A586" s="3688">
        <v>45762</v>
      </c>
      <c r="B586" s="3689" t="s">
        <v>4576</v>
      </c>
      <c r="C586" s="3664" t="s">
        <v>569</v>
      </c>
      <c r="D586" s="3690">
        <v>4500163648</v>
      </c>
      <c r="E586" s="3664"/>
      <c r="F586" s="3690" t="s">
        <v>4592</v>
      </c>
      <c r="G586" s="3664" t="s">
        <v>2861</v>
      </c>
      <c r="H586" s="3664" t="s">
        <v>2862</v>
      </c>
      <c r="I586" s="4401">
        <v>1200</v>
      </c>
      <c r="J586" s="3691">
        <v>0</v>
      </c>
      <c r="K586" s="3691">
        <v>40</v>
      </c>
      <c r="L586" s="3691">
        <f t="shared" si="254"/>
        <v>30</v>
      </c>
      <c r="M586" s="3659">
        <v>45884</v>
      </c>
      <c r="N586" s="3659">
        <v>45880</v>
      </c>
      <c r="O586" s="3682"/>
      <c r="P586" s="3682" t="s">
        <v>82</v>
      </c>
      <c r="Q586" s="3682"/>
      <c r="R586" s="4083"/>
      <c r="S586" s="4083"/>
      <c r="T586" s="4083"/>
      <c r="U586" s="3645" t="s">
        <v>1541</v>
      </c>
      <c r="V586" s="3649" t="s">
        <v>4578</v>
      </c>
      <c r="W586" s="3657"/>
      <c r="X586" s="3657" t="s">
        <v>4584</v>
      </c>
      <c r="Y586" s="3657"/>
      <c r="Z586" s="3645" t="s">
        <v>4585</v>
      </c>
      <c r="AA586" s="3620" t="s">
        <v>4586</v>
      </c>
      <c r="AB586" s="3691" t="s">
        <v>4582</v>
      </c>
      <c r="AC586" s="4087">
        <v>102.9622</v>
      </c>
      <c r="AD586" s="3691">
        <f>AC586*L586</f>
        <v>3088.866</v>
      </c>
      <c r="AE586" s="3645"/>
      <c r="AF586" s="959" t="s">
        <v>2865</v>
      </c>
      <c r="AG586" s="3645" t="s">
        <v>416</v>
      </c>
      <c r="AH586" s="4430"/>
      <c r="AI586" s="3691"/>
      <c r="AJ586" s="3691"/>
      <c r="AK586" s="4430"/>
      <c r="AL586" s="3664"/>
      <c r="AM586" s="3664">
        <f t="shared" si="258"/>
        <v>1200</v>
      </c>
      <c r="AN586" s="4089"/>
      <c r="AO586" s="3691"/>
      <c r="AP586" s="3691">
        <f t="shared" si="256"/>
        <v>1200</v>
      </c>
      <c r="AQ586" s="4089"/>
      <c r="AR586" s="4413"/>
      <c r="AS586" s="4089"/>
      <c r="AT586" s="4413"/>
      <c r="AU586" s="4486">
        <f t="shared" si="259"/>
        <v>1200</v>
      </c>
      <c r="AV586" s="4089"/>
      <c r="AW586" s="4089"/>
      <c r="AX586" s="4089"/>
      <c r="AY586" s="4089"/>
      <c r="AZ586" s="4089"/>
      <c r="BA586" s="4089"/>
      <c r="BB586" s="4089"/>
      <c r="BC586" s="4089"/>
      <c r="BD586" s="4089"/>
      <c r="BE586" s="4089">
        <f>I586/40</f>
        <v>30</v>
      </c>
      <c r="BF586" s="4089" t="s">
        <v>89</v>
      </c>
      <c r="BG586" s="4089"/>
      <c r="BH586" s="4089">
        <f t="shared" si="248"/>
        <v>200</v>
      </c>
      <c r="BI586" s="4089">
        <f t="shared" si="249"/>
        <v>200</v>
      </c>
      <c r="BJ586" s="4089">
        <f t="shared" si="250"/>
        <v>200</v>
      </c>
      <c r="BK586" s="4089">
        <f t="shared" si="251"/>
        <v>200</v>
      </c>
      <c r="BL586" s="4089">
        <f t="shared" si="252"/>
        <v>200</v>
      </c>
      <c r="BM586" s="4089">
        <f t="shared" si="253"/>
        <v>160</v>
      </c>
      <c r="BN586" s="4089">
        <f t="shared" si="244"/>
        <v>40</v>
      </c>
      <c r="BO586" s="4447"/>
      <c r="BP586" s="4447"/>
      <c r="BQ586" s="4447"/>
      <c r="BR586" s="4447"/>
      <c r="BS586" s="4447"/>
      <c r="BT586" s="4447"/>
      <c r="BU586" s="4447"/>
      <c r="BV586" s="4385">
        <f t="shared" si="246"/>
        <v>1200</v>
      </c>
      <c r="BW586" s="4386">
        <f t="shared" si="257"/>
        <v>0</v>
      </c>
      <c r="BX586" s="4387"/>
      <c r="BY586" s="4387"/>
      <c r="BZ586" s="4387"/>
      <c r="CA586" s="4391" t="str">
        <f>VLOOKUP(D586&amp;G586&amp;H586&amp;I586,'9298 版本变更明细'!C:AJ,34,FALSE)</f>
        <v>C版本收缩膜+指南+A版本口水胶+C版本配件包（香味贴纸/指定配件）</v>
      </c>
      <c r="CC586" s="4392" t="s">
        <v>2297</v>
      </c>
      <c r="CD586" s="4391" t="s">
        <v>4267</v>
      </c>
    </row>
    <row r="587" s="4025" customFormat="1" ht="50" customHeight="1" spans="1:82">
      <c r="A587" s="3688">
        <v>45762</v>
      </c>
      <c r="B587" s="3689" t="s">
        <v>4576</v>
      </c>
      <c r="C587" s="3664" t="s">
        <v>569</v>
      </c>
      <c r="D587" s="3690">
        <v>4500163683</v>
      </c>
      <c r="E587" s="3664"/>
      <c r="F587" s="3690" t="s">
        <v>4593</v>
      </c>
      <c r="G587" s="3664" t="s">
        <v>2861</v>
      </c>
      <c r="H587" s="3664" t="s">
        <v>2862</v>
      </c>
      <c r="I587" s="4401">
        <v>240</v>
      </c>
      <c r="J587" s="3691">
        <v>0</v>
      </c>
      <c r="K587" s="3691">
        <v>40</v>
      </c>
      <c r="L587" s="3691">
        <f t="shared" si="254"/>
        <v>6</v>
      </c>
      <c r="M587" s="3659">
        <v>45884</v>
      </c>
      <c r="N587" s="3659">
        <v>45880</v>
      </c>
      <c r="O587" s="3682"/>
      <c r="P587" s="3682" t="s">
        <v>82</v>
      </c>
      <c r="Q587" s="3682"/>
      <c r="R587" s="4083"/>
      <c r="S587" s="4083"/>
      <c r="T587" s="4083"/>
      <c r="U587" s="3645" t="s">
        <v>1541</v>
      </c>
      <c r="V587" s="3657" t="s">
        <v>4578</v>
      </c>
      <c r="W587" s="3657"/>
      <c r="X587" s="3657" t="s">
        <v>4579</v>
      </c>
      <c r="Y587" s="3657"/>
      <c r="Z587" s="3645" t="s">
        <v>4588</v>
      </c>
      <c r="AA587" s="3620" t="s">
        <v>4594</v>
      </c>
      <c r="AB587" s="3691" t="s">
        <v>4582</v>
      </c>
      <c r="AC587" s="4087">
        <v>103.1462</v>
      </c>
      <c r="AD587" s="3691">
        <f>AC587*L587</f>
        <v>618.8772</v>
      </c>
      <c r="AE587" s="3645"/>
      <c r="AF587" s="959" t="s">
        <v>2865</v>
      </c>
      <c r="AG587" s="3645" t="s">
        <v>416</v>
      </c>
      <c r="AH587" s="4430"/>
      <c r="AI587" s="3691"/>
      <c r="AJ587" s="3691"/>
      <c r="AK587" s="4430"/>
      <c r="AL587" s="3664"/>
      <c r="AM587" s="3664">
        <f t="shared" si="258"/>
        <v>240</v>
      </c>
      <c r="AN587" s="4089"/>
      <c r="AO587" s="3691"/>
      <c r="AP587" s="3691">
        <f t="shared" si="256"/>
        <v>240</v>
      </c>
      <c r="AQ587" s="4089"/>
      <c r="AR587" s="4413"/>
      <c r="AS587" s="4089"/>
      <c r="AT587" s="4413"/>
      <c r="AU587" s="4486">
        <f t="shared" si="259"/>
        <v>240</v>
      </c>
      <c r="AV587" s="4089"/>
      <c r="AW587" s="4089"/>
      <c r="AX587" s="4089"/>
      <c r="AY587" s="4089"/>
      <c r="AZ587" s="4089"/>
      <c r="BA587" s="4089"/>
      <c r="BB587" s="4089"/>
      <c r="BC587" s="4089"/>
      <c r="BD587" s="4089"/>
      <c r="BE587" s="4089">
        <f>I587/40</f>
        <v>6</v>
      </c>
      <c r="BF587" s="4089" t="s">
        <v>89</v>
      </c>
      <c r="BG587" s="4089"/>
      <c r="BH587" s="4089">
        <f t="shared" si="248"/>
        <v>40</v>
      </c>
      <c r="BI587" s="4089">
        <f t="shared" si="249"/>
        <v>40</v>
      </c>
      <c r="BJ587" s="4089">
        <f t="shared" si="250"/>
        <v>40</v>
      </c>
      <c r="BK587" s="4089">
        <f t="shared" si="251"/>
        <v>40</v>
      </c>
      <c r="BL587" s="4089">
        <f t="shared" si="252"/>
        <v>40</v>
      </c>
      <c r="BM587" s="4089">
        <f t="shared" si="253"/>
        <v>32</v>
      </c>
      <c r="BN587" s="4089">
        <f t="shared" si="244"/>
        <v>8</v>
      </c>
      <c r="BO587" s="4455"/>
      <c r="BP587" s="4455"/>
      <c r="BQ587" s="4455"/>
      <c r="BR587" s="4455"/>
      <c r="BS587" s="4455"/>
      <c r="BT587" s="4455"/>
      <c r="BU587" s="4455"/>
      <c r="BV587" s="4385">
        <f t="shared" si="246"/>
        <v>240</v>
      </c>
      <c r="BW587" s="4386">
        <f t="shared" si="257"/>
        <v>0</v>
      </c>
      <c r="BX587" s="4387"/>
      <c r="BY587" s="4387"/>
      <c r="BZ587" s="4387"/>
      <c r="CA587" s="4391" t="str">
        <f>VLOOKUP(D587&amp;G587&amp;H587&amp;I587,'9298 版本变更明细'!C:AJ,34,FALSE)</f>
        <v>C版本收缩膜+指南+A版本口水胶+C版本配件包（香味贴纸/指定配件）</v>
      </c>
      <c r="CC587" s="4392" t="s">
        <v>2297</v>
      </c>
      <c r="CD587" s="4391" t="s">
        <v>4267</v>
      </c>
    </row>
    <row r="588" s="4025" customFormat="1" ht="50" customHeight="1" spans="1:82">
      <c r="A588" s="3688">
        <v>45750</v>
      </c>
      <c r="B588" s="3689" t="s">
        <v>1315</v>
      </c>
      <c r="C588" s="3664" t="s">
        <v>1316</v>
      </c>
      <c r="D588" s="3690">
        <v>4500162590</v>
      </c>
      <c r="E588" s="3664" t="s">
        <v>1772</v>
      </c>
      <c r="F588" s="3690" t="s">
        <v>1773</v>
      </c>
      <c r="G588" s="3664" t="s">
        <v>3821</v>
      </c>
      <c r="H588" s="3664" t="s">
        <v>1320</v>
      </c>
      <c r="I588" s="3691">
        <v>960</v>
      </c>
      <c r="J588" s="3691">
        <v>0</v>
      </c>
      <c r="K588" s="3691">
        <v>4</v>
      </c>
      <c r="L588" s="3691">
        <f t="shared" si="254"/>
        <v>240</v>
      </c>
      <c r="M588" s="3659">
        <v>45885</v>
      </c>
      <c r="N588" s="3659">
        <v>45893</v>
      </c>
      <c r="O588" s="4085"/>
      <c r="P588" s="3682" t="s">
        <v>82</v>
      </c>
      <c r="Q588" s="3682"/>
      <c r="R588" s="4083"/>
      <c r="S588" s="4083"/>
      <c r="T588" s="4083"/>
      <c r="U588" s="3645" t="s">
        <v>1774</v>
      </c>
      <c r="V588" s="3657" t="s">
        <v>1322</v>
      </c>
      <c r="W588" s="3657"/>
      <c r="X588" s="3657" t="s">
        <v>1907</v>
      </c>
      <c r="Y588" s="3657"/>
      <c r="Z588" s="3691" t="s">
        <v>1775</v>
      </c>
      <c r="AA588" s="3620" t="s">
        <v>1376</v>
      </c>
      <c r="AB588" s="3691" t="s">
        <v>1326</v>
      </c>
      <c r="AC588" s="3691">
        <v>16.9223</v>
      </c>
      <c r="AD588" s="3691">
        <f>AC588*L588</f>
        <v>4061.352</v>
      </c>
      <c r="AE588" s="3645"/>
      <c r="AF588" s="3664" t="s">
        <v>3822</v>
      </c>
      <c r="AG588" s="3645" t="s">
        <v>416</v>
      </c>
      <c r="AH588" s="4422"/>
      <c r="AI588" s="3691"/>
      <c r="AJ588" s="3691"/>
      <c r="AK588" s="4422"/>
      <c r="AL588" s="3664"/>
      <c r="AM588" s="3664"/>
      <c r="AN588" s="3691">
        <f>I588</f>
        <v>960</v>
      </c>
      <c r="AO588" s="3691"/>
      <c r="AP588" s="3691"/>
      <c r="AQ588" s="4089">
        <f>I588</f>
        <v>960</v>
      </c>
      <c r="AR588" s="907"/>
      <c r="AS588" s="4089">
        <f t="shared" ref="AS588:AS611" si="260">I588</f>
        <v>960</v>
      </c>
      <c r="AT588" s="907"/>
      <c r="AU588" s="4089"/>
      <c r="AV588" s="4089"/>
      <c r="AW588" s="4089"/>
      <c r="AX588" s="4089"/>
      <c r="AY588" s="4089"/>
      <c r="AZ588" s="4089"/>
      <c r="BA588" s="4089"/>
      <c r="BB588" s="4089"/>
      <c r="BC588" s="4089">
        <f>I588/4</f>
        <v>240</v>
      </c>
      <c r="BD588" s="4089"/>
      <c r="BE588" s="4089"/>
      <c r="BF588" s="4089" t="s">
        <v>1327</v>
      </c>
      <c r="BG588" s="4089"/>
      <c r="BH588" s="4089">
        <f t="shared" si="248"/>
        <v>160</v>
      </c>
      <c r="BI588" s="4089">
        <f t="shared" si="249"/>
        <v>160</v>
      </c>
      <c r="BJ588" s="4089">
        <f t="shared" si="250"/>
        <v>160</v>
      </c>
      <c r="BK588" s="4089">
        <f t="shared" si="251"/>
        <v>160</v>
      </c>
      <c r="BL588" s="4089">
        <f t="shared" si="252"/>
        <v>160</v>
      </c>
      <c r="BM588" s="4089">
        <f t="shared" si="253"/>
        <v>128</v>
      </c>
      <c r="BN588" s="4089">
        <f t="shared" si="244"/>
        <v>32</v>
      </c>
      <c r="BO588" s="4440"/>
      <c r="BP588" s="4440"/>
      <c r="BQ588" s="4440"/>
      <c r="BR588" s="4440"/>
      <c r="BS588" s="4440"/>
      <c r="BT588" s="4441"/>
      <c r="BU588" s="4442"/>
      <c r="BV588" s="4385">
        <f t="shared" si="246"/>
        <v>960</v>
      </c>
      <c r="BW588" s="4386">
        <f t="shared" si="257"/>
        <v>0</v>
      </c>
      <c r="BX588" s="4387"/>
      <c r="BY588" s="4387"/>
      <c r="BZ588" s="4387"/>
      <c r="CA588" s="4391" t="str">
        <f>VLOOKUP(D588&amp;G588&amp;H588&amp;I588,'9298 版本变更明细'!C:AJ,34,FALSE)</f>
        <v>B版本口水胶+C版本配件包（香味贴纸/指定配件）</v>
      </c>
      <c r="CC588" s="4392">
        <v>45893</v>
      </c>
      <c r="CD588" s="4391" t="s">
        <v>4557</v>
      </c>
    </row>
    <row r="589" s="4025" customFormat="1" ht="50" customHeight="1" spans="1:82">
      <c r="A589" s="3688">
        <v>45750</v>
      </c>
      <c r="B589" s="3689" t="s">
        <v>1315</v>
      </c>
      <c r="C589" s="3664" t="s">
        <v>1316</v>
      </c>
      <c r="D589" s="3690">
        <v>4500166280</v>
      </c>
      <c r="E589" s="3664" t="s">
        <v>1800</v>
      </c>
      <c r="F589" s="3690" t="s">
        <v>1801</v>
      </c>
      <c r="G589" s="3664" t="s">
        <v>3821</v>
      </c>
      <c r="H589" s="3664" t="s">
        <v>1320</v>
      </c>
      <c r="I589" s="3691">
        <v>5660</v>
      </c>
      <c r="J589" s="3691">
        <v>0</v>
      </c>
      <c r="K589" s="3691">
        <v>4</v>
      </c>
      <c r="L589" s="3691">
        <f t="shared" si="254"/>
        <v>1415</v>
      </c>
      <c r="M589" s="3659">
        <v>45885</v>
      </c>
      <c r="N589" s="3659">
        <v>45886</v>
      </c>
      <c r="O589" s="3664" t="s">
        <v>1802</v>
      </c>
      <c r="P589" s="3682" t="s">
        <v>82</v>
      </c>
      <c r="Q589" s="3682"/>
      <c r="R589" s="4083"/>
      <c r="S589" s="4083"/>
      <c r="T589" s="4083"/>
      <c r="U589" s="3645" t="s">
        <v>1667</v>
      </c>
      <c r="V589" s="3657" t="s">
        <v>1322</v>
      </c>
      <c r="W589" s="3657"/>
      <c r="X589" s="3657" t="s">
        <v>1876</v>
      </c>
      <c r="Y589" s="3657"/>
      <c r="Z589" s="3691" t="s">
        <v>1803</v>
      </c>
      <c r="AA589" s="3620" t="s">
        <v>1376</v>
      </c>
      <c r="AB589" s="3691" t="s">
        <v>1326</v>
      </c>
      <c r="AC589" s="3691">
        <v>16.7342</v>
      </c>
      <c r="AD589" s="3691">
        <f>AC589*L589</f>
        <v>23678.893</v>
      </c>
      <c r="AE589" s="3645"/>
      <c r="AF589" s="3664" t="s">
        <v>3822</v>
      </c>
      <c r="AG589" s="3645" t="s">
        <v>416</v>
      </c>
      <c r="AH589" s="4422"/>
      <c r="AI589" s="3691"/>
      <c r="AJ589" s="3691"/>
      <c r="AK589" s="4422"/>
      <c r="AL589" s="3664"/>
      <c r="AM589" s="3664"/>
      <c r="AN589" s="3691">
        <f>I589</f>
        <v>5660</v>
      </c>
      <c r="AO589" s="3691"/>
      <c r="AP589" s="3691"/>
      <c r="AQ589" s="4089">
        <f>I589</f>
        <v>5660</v>
      </c>
      <c r="AR589" s="907"/>
      <c r="AS589" s="4089">
        <f t="shared" si="260"/>
        <v>5660</v>
      </c>
      <c r="AT589" s="907"/>
      <c r="AU589" s="4089"/>
      <c r="AV589" s="4089"/>
      <c r="AW589" s="4089"/>
      <c r="AX589" s="4089"/>
      <c r="AY589" s="4089"/>
      <c r="AZ589" s="4089"/>
      <c r="BA589" s="4089"/>
      <c r="BB589" s="4089"/>
      <c r="BC589" s="4089">
        <f>I589/4</f>
        <v>1415</v>
      </c>
      <c r="BD589" s="4089"/>
      <c r="BE589" s="4089"/>
      <c r="BF589" s="4089" t="s">
        <v>1327</v>
      </c>
      <c r="BG589" s="4089"/>
      <c r="BH589" s="4089">
        <f t="shared" si="248"/>
        <v>943.333333333333</v>
      </c>
      <c r="BI589" s="4089">
        <f t="shared" si="249"/>
        <v>943.333333333333</v>
      </c>
      <c r="BJ589" s="4089">
        <f t="shared" si="250"/>
        <v>943.333333333333</v>
      </c>
      <c r="BK589" s="4089">
        <f t="shared" si="251"/>
        <v>943.333333333333</v>
      </c>
      <c r="BL589" s="4089">
        <f t="shared" si="252"/>
        <v>943.333333333333</v>
      </c>
      <c r="BM589" s="4089">
        <f t="shared" si="253"/>
        <v>754.666666666667</v>
      </c>
      <c r="BN589" s="4089">
        <f t="shared" si="244"/>
        <v>188.666666666667</v>
      </c>
      <c r="BO589" s="4440"/>
      <c r="BP589" s="4440"/>
      <c r="BQ589" s="4440"/>
      <c r="BR589" s="4440"/>
      <c r="BS589" s="4440"/>
      <c r="BT589" s="4441"/>
      <c r="BU589" s="4442"/>
      <c r="BV589" s="4385">
        <f t="shared" si="246"/>
        <v>5660</v>
      </c>
      <c r="BW589" s="4386">
        <f t="shared" si="257"/>
        <v>0</v>
      </c>
      <c r="BX589" s="4387"/>
      <c r="BY589" s="4387"/>
      <c r="BZ589" s="4387"/>
      <c r="CA589" s="4391" t="str">
        <f>VLOOKUP(D589&amp;G589&amp;H589&amp;I589,'9298 版本变更明细'!C:AJ,34,FALSE)</f>
        <v>A版本口水胶+C版本配件包（香味贴纸/指定配件）</v>
      </c>
      <c r="CC589" s="4392">
        <v>45886</v>
      </c>
      <c r="CD589" s="4391" t="s">
        <v>4557</v>
      </c>
    </row>
    <row r="590" s="4025" customFormat="1" ht="50" customHeight="1" spans="1:82">
      <c r="A590" s="3688">
        <v>45846</v>
      </c>
      <c r="B590" s="3689" t="s">
        <v>4595</v>
      </c>
      <c r="C590" s="3664" t="s">
        <v>506</v>
      </c>
      <c r="D590" s="3690">
        <v>4500173120</v>
      </c>
      <c r="E590" s="3664" t="s">
        <v>4596</v>
      </c>
      <c r="F590" s="3690" t="s">
        <v>4597</v>
      </c>
      <c r="G590" s="3664" t="s">
        <v>2577</v>
      </c>
      <c r="H590" s="3664" t="s">
        <v>2578</v>
      </c>
      <c r="I590" s="3691">
        <v>96</v>
      </c>
      <c r="J590" s="3691">
        <v>0</v>
      </c>
      <c r="K590" s="3691">
        <v>12</v>
      </c>
      <c r="L590" s="3691">
        <f t="shared" si="254"/>
        <v>8</v>
      </c>
      <c r="M590" s="3659">
        <v>45887</v>
      </c>
      <c r="N590" s="3659">
        <v>45883</v>
      </c>
      <c r="O590" s="4085"/>
      <c r="P590" s="3682" t="s">
        <v>82</v>
      </c>
      <c r="Q590" s="3682"/>
      <c r="R590" s="4083"/>
      <c r="S590" s="4083"/>
      <c r="T590" s="4083"/>
      <c r="U590" s="3645" t="s">
        <v>1767</v>
      </c>
      <c r="V590" s="3657" t="s">
        <v>1619</v>
      </c>
      <c r="W590" s="3622"/>
      <c r="X590" s="3657" t="s">
        <v>1572</v>
      </c>
      <c r="Y590" s="3657"/>
      <c r="Z590" s="3691"/>
      <c r="AA590" s="3620" t="s">
        <v>4598</v>
      </c>
      <c r="AB590" s="3691" t="s">
        <v>3202</v>
      </c>
      <c r="AC590" s="3691">
        <v>2.0933</v>
      </c>
      <c r="AD590" s="3691">
        <f t="shared" ref="AD590:AD595" si="261">AC590*I590</f>
        <v>200.9568</v>
      </c>
      <c r="AE590" s="3645"/>
      <c r="AF590" s="3664" t="s">
        <v>2577</v>
      </c>
      <c r="AG590" s="3645" t="s">
        <v>416</v>
      </c>
      <c r="AH590" s="4430"/>
      <c r="AI590" s="3691"/>
      <c r="AJ590" s="3691">
        <f t="shared" ref="AJ590:AJ595" si="262">I590</f>
        <v>96</v>
      </c>
      <c r="AK590" s="4430"/>
      <c r="AL590" s="3664"/>
      <c r="AM590" s="3664"/>
      <c r="AN590" s="3691"/>
      <c r="AO590" s="3691"/>
      <c r="AP590" s="3691">
        <f t="shared" ref="AP590:AP595" si="263">I590</f>
        <v>96</v>
      </c>
      <c r="AQ590" s="4089"/>
      <c r="AR590" s="4413"/>
      <c r="AS590" s="4089">
        <f t="shared" si="260"/>
        <v>96</v>
      </c>
      <c r="AT590" s="4413"/>
      <c r="AU590" s="4089"/>
      <c r="AV590" s="4089"/>
      <c r="AW590" s="4089">
        <f t="shared" ref="AW590:AW595" si="264">I590/6</f>
        <v>16</v>
      </c>
      <c r="AX590" s="4089"/>
      <c r="AY590" s="4089"/>
      <c r="AZ590" s="4089"/>
      <c r="BA590" s="4089"/>
      <c r="BB590" s="4089"/>
      <c r="BC590" s="4089"/>
      <c r="BD590" s="4089"/>
      <c r="BE590" s="4089"/>
      <c r="BF590" s="4089" t="s">
        <v>89</v>
      </c>
      <c r="BG590" s="4089"/>
      <c r="BH590" s="4089">
        <f t="shared" si="248"/>
        <v>16</v>
      </c>
      <c r="BI590" s="4089">
        <f t="shared" si="249"/>
        <v>16</v>
      </c>
      <c r="BJ590" s="4089">
        <f t="shared" si="250"/>
        <v>16</v>
      </c>
      <c r="BK590" s="4089">
        <f t="shared" si="251"/>
        <v>16</v>
      </c>
      <c r="BL590" s="4089">
        <f t="shared" si="252"/>
        <v>16</v>
      </c>
      <c r="BM590" s="4089">
        <f t="shared" si="253"/>
        <v>12.8</v>
      </c>
      <c r="BN590" s="4089">
        <f t="shared" si="244"/>
        <v>3.2</v>
      </c>
      <c r="BO590" s="4434"/>
      <c r="BP590" s="4434"/>
      <c r="BQ590" s="4434"/>
      <c r="BR590" s="4434"/>
      <c r="BS590" s="4434"/>
      <c r="BT590" s="4435"/>
      <c r="BU590" s="4436"/>
      <c r="BV590" s="4385">
        <f t="shared" si="246"/>
        <v>96</v>
      </c>
      <c r="BW590" s="4386">
        <f t="shared" si="257"/>
        <v>0</v>
      </c>
      <c r="BX590" s="4387"/>
      <c r="BY590" s="4387"/>
      <c r="BZ590" s="4387"/>
      <c r="CA590" s="4391"/>
      <c r="CC590" s="4392"/>
      <c r="CD590" s="4391"/>
    </row>
    <row r="591" s="4025" customFormat="1" ht="50" customHeight="1" spans="1:82">
      <c r="A591" s="3688">
        <v>45846</v>
      </c>
      <c r="B591" s="3689" t="s">
        <v>4595</v>
      </c>
      <c r="C591" s="3664" t="s">
        <v>506</v>
      </c>
      <c r="D591" s="3690">
        <v>4500173107</v>
      </c>
      <c r="E591" s="3664" t="s">
        <v>4599</v>
      </c>
      <c r="F591" s="3690" t="s">
        <v>4600</v>
      </c>
      <c r="G591" s="3664" t="s">
        <v>2577</v>
      </c>
      <c r="H591" s="3664" t="s">
        <v>2578</v>
      </c>
      <c r="I591" s="3691">
        <v>120</v>
      </c>
      <c r="J591" s="3691">
        <v>0</v>
      </c>
      <c r="K591" s="3691">
        <v>12</v>
      </c>
      <c r="L591" s="3691">
        <f t="shared" si="254"/>
        <v>10</v>
      </c>
      <c r="M591" s="3659">
        <v>45887</v>
      </c>
      <c r="N591" s="3659">
        <v>45883</v>
      </c>
      <c r="O591" s="4085"/>
      <c r="P591" s="3682" t="s">
        <v>82</v>
      </c>
      <c r="Q591" s="3682"/>
      <c r="R591" s="4083"/>
      <c r="S591" s="4083"/>
      <c r="T591" s="4083"/>
      <c r="U591" s="3645" t="s">
        <v>1767</v>
      </c>
      <c r="V591" s="3657" t="s">
        <v>1619</v>
      </c>
      <c r="W591" s="3622"/>
      <c r="X591" s="3657" t="s">
        <v>1572</v>
      </c>
      <c r="Y591" s="3657"/>
      <c r="Z591" s="3691"/>
      <c r="AA591" s="3620" t="s">
        <v>4601</v>
      </c>
      <c r="AB591" s="3691" t="s">
        <v>3202</v>
      </c>
      <c r="AC591" s="3691">
        <v>2.0933</v>
      </c>
      <c r="AD591" s="3691">
        <f t="shared" si="261"/>
        <v>251.196</v>
      </c>
      <c r="AE591" s="3645"/>
      <c r="AF591" s="3664" t="s">
        <v>2577</v>
      </c>
      <c r="AG591" s="3645" t="s">
        <v>416</v>
      </c>
      <c r="AH591" s="4430"/>
      <c r="AI591" s="3691"/>
      <c r="AJ591" s="3691">
        <f t="shared" si="262"/>
        <v>120</v>
      </c>
      <c r="AK591" s="4430"/>
      <c r="AL591" s="3664"/>
      <c r="AM591" s="3664"/>
      <c r="AN591" s="3691"/>
      <c r="AO591" s="3691"/>
      <c r="AP591" s="3691">
        <f t="shared" si="263"/>
        <v>120</v>
      </c>
      <c r="AQ591" s="4089"/>
      <c r="AR591" s="4413"/>
      <c r="AS591" s="4089">
        <f t="shared" si="260"/>
        <v>120</v>
      </c>
      <c r="AT591" s="4413"/>
      <c r="AU591" s="4089"/>
      <c r="AV591" s="4089"/>
      <c r="AW591" s="4089">
        <f t="shared" si="264"/>
        <v>20</v>
      </c>
      <c r="AX591" s="4089"/>
      <c r="AY591" s="4089"/>
      <c r="AZ591" s="4089"/>
      <c r="BA591" s="4089"/>
      <c r="BB591" s="4089"/>
      <c r="BC591" s="4089"/>
      <c r="BD591" s="4089"/>
      <c r="BE591" s="4089"/>
      <c r="BF591" s="4089" t="s">
        <v>89</v>
      </c>
      <c r="BG591" s="4089"/>
      <c r="BH591" s="4089">
        <f t="shared" si="248"/>
        <v>20</v>
      </c>
      <c r="BI591" s="4089">
        <f t="shared" si="249"/>
        <v>20</v>
      </c>
      <c r="BJ591" s="4089">
        <f t="shared" si="250"/>
        <v>20</v>
      </c>
      <c r="BK591" s="4089">
        <f t="shared" si="251"/>
        <v>20</v>
      </c>
      <c r="BL591" s="4089">
        <f t="shared" si="252"/>
        <v>20</v>
      </c>
      <c r="BM591" s="4089">
        <f t="shared" si="253"/>
        <v>16</v>
      </c>
      <c r="BN591" s="4089">
        <f t="shared" si="244"/>
        <v>4</v>
      </c>
      <c r="BO591" s="4434"/>
      <c r="BP591" s="4434"/>
      <c r="BQ591" s="4434"/>
      <c r="BR591" s="4434"/>
      <c r="BS591" s="4434"/>
      <c r="BT591" s="4435"/>
      <c r="BU591" s="4436"/>
      <c r="BV591" s="4385">
        <f t="shared" si="246"/>
        <v>120</v>
      </c>
      <c r="BW591" s="4386">
        <f t="shared" si="257"/>
        <v>0</v>
      </c>
      <c r="BX591" s="4387"/>
      <c r="BY591" s="4387"/>
      <c r="BZ591" s="4387"/>
      <c r="CA591" s="4391"/>
      <c r="CC591" s="4392"/>
      <c r="CD591" s="4391"/>
    </row>
    <row r="592" s="4025" customFormat="1" ht="50" customHeight="1" spans="1:82">
      <c r="A592" s="3688">
        <v>45846</v>
      </c>
      <c r="B592" s="3689" t="s">
        <v>4595</v>
      </c>
      <c r="C592" s="3664" t="s">
        <v>506</v>
      </c>
      <c r="D592" s="3690">
        <v>4500173092</v>
      </c>
      <c r="E592" s="3664" t="s">
        <v>4602</v>
      </c>
      <c r="F592" s="3690" t="s">
        <v>4603</v>
      </c>
      <c r="G592" s="3664" t="s">
        <v>2577</v>
      </c>
      <c r="H592" s="3664" t="s">
        <v>2578</v>
      </c>
      <c r="I592" s="3691">
        <v>120</v>
      </c>
      <c r="J592" s="3691">
        <v>0</v>
      </c>
      <c r="K592" s="3691">
        <v>12</v>
      </c>
      <c r="L592" s="3691">
        <f t="shared" si="254"/>
        <v>10</v>
      </c>
      <c r="M592" s="3659">
        <v>45887</v>
      </c>
      <c r="N592" s="3659">
        <v>45883</v>
      </c>
      <c r="O592" s="4085"/>
      <c r="P592" s="3682" t="s">
        <v>82</v>
      </c>
      <c r="Q592" s="3682"/>
      <c r="R592" s="4083"/>
      <c r="S592" s="4083"/>
      <c r="T592" s="4083"/>
      <c r="U592" s="3645"/>
      <c r="V592" s="3657" t="s">
        <v>1619</v>
      </c>
      <c r="W592" s="3622"/>
      <c r="X592" s="3657" t="s">
        <v>1572</v>
      </c>
      <c r="Y592" s="3657"/>
      <c r="Z592" s="3691"/>
      <c r="AA592" s="3620" t="s">
        <v>4604</v>
      </c>
      <c r="AB592" s="3691" t="s">
        <v>3202</v>
      </c>
      <c r="AC592" s="3691">
        <v>2.1438</v>
      </c>
      <c r="AD592" s="3691">
        <f t="shared" si="261"/>
        <v>257.256</v>
      </c>
      <c r="AE592" s="3645"/>
      <c r="AF592" s="3664" t="s">
        <v>2577</v>
      </c>
      <c r="AG592" s="3645" t="s">
        <v>416</v>
      </c>
      <c r="AH592" s="4430"/>
      <c r="AI592" s="3691"/>
      <c r="AJ592" s="3691">
        <f t="shared" si="262"/>
        <v>120</v>
      </c>
      <c r="AK592" s="4430"/>
      <c r="AL592" s="3664"/>
      <c r="AM592" s="3664"/>
      <c r="AN592" s="3691"/>
      <c r="AO592" s="3691"/>
      <c r="AP592" s="3691">
        <f t="shared" si="263"/>
        <v>120</v>
      </c>
      <c r="AQ592" s="4089"/>
      <c r="AR592" s="4413"/>
      <c r="AS592" s="4089">
        <f t="shared" si="260"/>
        <v>120</v>
      </c>
      <c r="AT592" s="4413"/>
      <c r="AU592" s="4089"/>
      <c r="AV592" s="4089"/>
      <c r="AW592" s="4089">
        <f t="shared" si="264"/>
        <v>20</v>
      </c>
      <c r="AX592" s="4089"/>
      <c r="AY592" s="4089"/>
      <c r="AZ592" s="4089"/>
      <c r="BA592" s="4089"/>
      <c r="BB592" s="4089"/>
      <c r="BC592" s="4089"/>
      <c r="BD592" s="4089"/>
      <c r="BE592" s="4089"/>
      <c r="BF592" s="4089" t="s">
        <v>89</v>
      </c>
      <c r="BG592" s="4089"/>
      <c r="BH592" s="4089">
        <f t="shared" si="248"/>
        <v>20</v>
      </c>
      <c r="BI592" s="4089">
        <f t="shared" si="249"/>
        <v>20</v>
      </c>
      <c r="BJ592" s="4089">
        <f t="shared" si="250"/>
        <v>20</v>
      </c>
      <c r="BK592" s="4089">
        <f t="shared" si="251"/>
        <v>20</v>
      </c>
      <c r="BL592" s="4089">
        <f t="shared" si="252"/>
        <v>20</v>
      </c>
      <c r="BM592" s="4089">
        <f t="shared" si="253"/>
        <v>16</v>
      </c>
      <c r="BN592" s="4089">
        <f t="shared" si="244"/>
        <v>4</v>
      </c>
      <c r="BO592" s="4434"/>
      <c r="BP592" s="4434"/>
      <c r="BQ592" s="4434"/>
      <c r="BR592" s="4434"/>
      <c r="BS592" s="4434"/>
      <c r="BT592" s="4435"/>
      <c r="BU592" s="4436"/>
      <c r="BV592" s="4385">
        <f t="shared" si="246"/>
        <v>120</v>
      </c>
      <c r="BW592" s="4386">
        <f t="shared" si="257"/>
        <v>0</v>
      </c>
      <c r="BX592" s="4387"/>
      <c r="BY592" s="4387"/>
      <c r="BZ592" s="4387"/>
      <c r="CA592" s="4391"/>
      <c r="CC592" s="4392"/>
      <c r="CD592" s="4391"/>
    </row>
    <row r="593" s="4025" customFormat="1" ht="50" customHeight="1" spans="1:82">
      <c r="A593" s="3688">
        <v>45846</v>
      </c>
      <c r="B593" s="3689" t="s">
        <v>4595</v>
      </c>
      <c r="C593" s="3664" t="s">
        <v>506</v>
      </c>
      <c r="D593" s="3690">
        <v>4500173094</v>
      </c>
      <c r="E593" s="3664" t="s">
        <v>4605</v>
      </c>
      <c r="F593" s="3690" t="s">
        <v>4606</v>
      </c>
      <c r="G593" s="3664" t="s">
        <v>2577</v>
      </c>
      <c r="H593" s="3664" t="s">
        <v>2578</v>
      </c>
      <c r="I593" s="3691">
        <v>48</v>
      </c>
      <c r="J593" s="3691">
        <v>0</v>
      </c>
      <c r="K593" s="3691">
        <v>12</v>
      </c>
      <c r="L593" s="3691">
        <f t="shared" si="254"/>
        <v>4</v>
      </c>
      <c r="M593" s="3659">
        <v>45887</v>
      </c>
      <c r="N593" s="3659">
        <v>45883</v>
      </c>
      <c r="O593" s="4085"/>
      <c r="P593" s="3682" t="s">
        <v>82</v>
      </c>
      <c r="Q593" s="3682"/>
      <c r="R593" s="4083"/>
      <c r="S593" s="4083"/>
      <c r="T593" s="4083"/>
      <c r="U593" s="3645" t="s">
        <v>1767</v>
      </c>
      <c r="V593" s="3649" t="s">
        <v>1619</v>
      </c>
      <c r="W593" s="3622"/>
      <c r="X593" s="3657" t="s">
        <v>1572</v>
      </c>
      <c r="Y593" s="3657"/>
      <c r="Z593" s="3691"/>
      <c r="AA593" s="3620" t="s">
        <v>4607</v>
      </c>
      <c r="AB593" s="3691" t="s">
        <v>3202</v>
      </c>
      <c r="AC593" s="3691">
        <v>2.1438</v>
      </c>
      <c r="AD593" s="3691">
        <f t="shared" si="261"/>
        <v>102.9024</v>
      </c>
      <c r="AE593" s="3645"/>
      <c r="AF593" s="3664" t="s">
        <v>2577</v>
      </c>
      <c r="AG593" s="3645" t="s">
        <v>416</v>
      </c>
      <c r="AH593" s="4430"/>
      <c r="AI593" s="3691"/>
      <c r="AJ593" s="3691">
        <f t="shared" si="262"/>
        <v>48</v>
      </c>
      <c r="AK593" s="4430"/>
      <c r="AL593" s="3664"/>
      <c r="AM593" s="3664"/>
      <c r="AN593" s="3691"/>
      <c r="AO593" s="3691"/>
      <c r="AP593" s="3691">
        <f t="shared" si="263"/>
        <v>48</v>
      </c>
      <c r="AQ593" s="4089"/>
      <c r="AR593" s="4413"/>
      <c r="AS593" s="4089">
        <f t="shared" si="260"/>
        <v>48</v>
      </c>
      <c r="AT593" s="4413"/>
      <c r="AU593" s="4089"/>
      <c r="AV593" s="4089"/>
      <c r="AW593" s="4089">
        <f t="shared" si="264"/>
        <v>8</v>
      </c>
      <c r="AX593" s="4089"/>
      <c r="AY593" s="4089"/>
      <c r="AZ593" s="4089"/>
      <c r="BA593" s="4089"/>
      <c r="BB593" s="4089"/>
      <c r="BC593" s="4089"/>
      <c r="BD593" s="4089"/>
      <c r="BE593" s="4089"/>
      <c r="BF593" s="4089" t="s">
        <v>89</v>
      </c>
      <c r="BG593" s="4089"/>
      <c r="BH593" s="4089">
        <f t="shared" si="248"/>
        <v>8</v>
      </c>
      <c r="BI593" s="4089">
        <f t="shared" si="249"/>
        <v>8</v>
      </c>
      <c r="BJ593" s="4089">
        <f t="shared" si="250"/>
        <v>8</v>
      </c>
      <c r="BK593" s="4089">
        <f t="shared" si="251"/>
        <v>8</v>
      </c>
      <c r="BL593" s="4089">
        <f t="shared" si="252"/>
        <v>8</v>
      </c>
      <c r="BM593" s="4089">
        <f t="shared" si="253"/>
        <v>6.4</v>
      </c>
      <c r="BN593" s="4089">
        <f t="shared" si="244"/>
        <v>1.6</v>
      </c>
      <c r="BO593" s="4413"/>
      <c r="BP593" s="4413"/>
      <c r="BQ593" s="4413"/>
      <c r="BR593" s="4413"/>
      <c r="BS593" s="4413"/>
      <c r="BT593" s="4431"/>
      <c r="BU593" s="4432"/>
      <c r="BV593" s="4385">
        <f t="shared" si="246"/>
        <v>48</v>
      </c>
      <c r="BW593" s="4386">
        <f t="shared" si="257"/>
        <v>0</v>
      </c>
      <c r="BX593" s="4387"/>
      <c r="BY593" s="4387"/>
      <c r="BZ593" s="4387"/>
      <c r="CA593" s="4391"/>
      <c r="CC593" s="4392"/>
      <c r="CD593" s="4391"/>
    </row>
    <row r="594" s="4025" customFormat="1" ht="50" customHeight="1" spans="1:82">
      <c r="A594" s="3688">
        <v>45846</v>
      </c>
      <c r="B594" s="3689" t="s">
        <v>4595</v>
      </c>
      <c r="C594" s="3664" t="s">
        <v>506</v>
      </c>
      <c r="D594" s="3690">
        <v>4500173087</v>
      </c>
      <c r="E594" s="3664" t="s">
        <v>4608</v>
      </c>
      <c r="F594" s="3690" t="s">
        <v>4609</v>
      </c>
      <c r="G594" s="3664" t="s">
        <v>2577</v>
      </c>
      <c r="H594" s="3664" t="s">
        <v>2578</v>
      </c>
      <c r="I594" s="3691">
        <v>240</v>
      </c>
      <c r="J594" s="3691">
        <v>0</v>
      </c>
      <c r="K594" s="3691">
        <v>12</v>
      </c>
      <c r="L594" s="3691">
        <f t="shared" si="254"/>
        <v>20</v>
      </c>
      <c r="M594" s="3659">
        <v>45887</v>
      </c>
      <c r="N594" s="3659">
        <v>45883</v>
      </c>
      <c r="O594" s="4085"/>
      <c r="P594" s="3682" t="s">
        <v>82</v>
      </c>
      <c r="Q594" s="3682"/>
      <c r="R594" s="4083"/>
      <c r="S594" s="4083"/>
      <c r="T594" s="4083"/>
      <c r="U594" s="3645" t="s">
        <v>1767</v>
      </c>
      <c r="V594" s="3649" t="s">
        <v>1619</v>
      </c>
      <c r="W594" s="3622"/>
      <c r="X594" s="3657" t="s">
        <v>1572</v>
      </c>
      <c r="Y594" s="3657"/>
      <c r="Z594" s="3691"/>
      <c r="AA594" s="3620" t="s">
        <v>4601</v>
      </c>
      <c r="AB594" s="3691" t="s">
        <v>3202</v>
      </c>
      <c r="AC594" s="3691">
        <v>2.0933</v>
      </c>
      <c r="AD594" s="3691">
        <f t="shared" si="261"/>
        <v>502.392</v>
      </c>
      <c r="AE594" s="3645"/>
      <c r="AF594" s="3664" t="s">
        <v>2577</v>
      </c>
      <c r="AG594" s="3645" t="s">
        <v>416</v>
      </c>
      <c r="AH594" s="4430"/>
      <c r="AI594" s="3691"/>
      <c r="AJ594" s="3691">
        <f t="shared" si="262"/>
        <v>240</v>
      </c>
      <c r="AK594" s="4430"/>
      <c r="AL594" s="3664"/>
      <c r="AM594" s="3664"/>
      <c r="AN594" s="3691"/>
      <c r="AO594" s="3691"/>
      <c r="AP594" s="3691">
        <f t="shared" si="263"/>
        <v>240</v>
      </c>
      <c r="AQ594" s="4089"/>
      <c r="AR594" s="4413"/>
      <c r="AS594" s="4089">
        <f t="shared" si="260"/>
        <v>240</v>
      </c>
      <c r="AT594" s="4413"/>
      <c r="AU594" s="4089"/>
      <c r="AV594" s="4089"/>
      <c r="AW594" s="4089">
        <f t="shared" si="264"/>
        <v>40</v>
      </c>
      <c r="AX594" s="4089"/>
      <c r="AY594" s="4089"/>
      <c r="AZ594" s="4089"/>
      <c r="BA594" s="4089"/>
      <c r="BB594" s="4089"/>
      <c r="BC594" s="4089"/>
      <c r="BD594" s="4089"/>
      <c r="BE594" s="4089"/>
      <c r="BF594" s="4089" t="s">
        <v>89</v>
      </c>
      <c r="BG594" s="4089"/>
      <c r="BH594" s="4089">
        <f t="shared" si="248"/>
        <v>40</v>
      </c>
      <c r="BI594" s="4089">
        <f t="shared" si="249"/>
        <v>40</v>
      </c>
      <c r="BJ594" s="4089">
        <f t="shared" si="250"/>
        <v>40</v>
      </c>
      <c r="BK594" s="4089">
        <f t="shared" si="251"/>
        <v>40</v>
      </c>
      <c r="BL594" s="4089">
        <f t="shared" si="252"/>
        <v>40</v>
      </c>
      <c r="BM594" s="4089">
        <f t="shared" si="253"/>
        <v>32</v>
      </c>
      <c r="BN594" s="4089">
        <f t="shared" si="244"/>
        <v>8</v>
      </c>
      <c r="BO594" s="4413"/>
      <c r="BP594" s="4413"/>
      <c r="BQ594" s="4413"/>
      <c r="BR594" s="4413"/>
      <c r="BS594" s="4413"/>
      <c r="BT594" s="4431"/>
      <c r="BU594" s="4432"/>
      <c r="BV594" s="4385">
        <f t="shared" si="246"/>
        <v>240</v>
      </c>
      <c r="BW594" s="4386">
        <f t="shared" si="257"/>
        <v>0</v>
      </c>
      <c r="BX594" s="4387"/>
      <c r="BY594" s="4387"/>
      <c r="BZ594" s="4387"/>
      <c r="CA594" s="4391"/>
      <c r="CC594" s="4392"/>
      <c r="CD594" s="4391"/>
    </row>
    <row r="595" s="4025" customFormat="1" ht="50" customHeight="1" spans="1:82">
      <c r="A595" s="3688">
        <v>45846</v>
      </c>
      <c r="B595" s="3689" t="s">
        <v>4595</v>
      </c>
      <c r="C595" s="3664" t="s">
        <v>506</v>
      </c>
      <c r="D595" s="3690">
        <v>4500173090</v>
      </c>
      <c r="E595" s="3664" t="s">
        <v>4610</v>
      </c>
      <c r="F595" s="3690" t="s">
        <v>4611</v>
      </c>
      <c r="G595" s="3664" t="s">
        <v>2577</v>
      </c>
      <c r="H595" s="3664" t="s">
        <v>2578</v>
      </c>
      <c r="I595" s="3691">
        <v>48</v>
      </c>
      <c r="J595" s="3691">
        <v>0</v>
      </c>
      <c r="K595" s="3691">
        <v>12</v>
      </c>
      <c r="L595" s="3691">
        <f t="shared" si="254"/>
        <v>4</v>
      </c>
      <c r="M595" s="3659">
        <v>45887</v>
      </c>
      <c r="N595" s="3659">
        <v>45883</v>
      </c>
      <c r="O595" s="4085"/>
      <c r="P595" s="3682" t="s">
        <v>82</v>
      </c>
      <c r="Q595" s="3682"/>
      <c r="R595" s="4083"/>
      <c r="S595" s="4083"/>
      <c r="T595" s="4083"/>
      <c r="U595" s="3645"/>
      <c r="V595" s="3649" t="s">
        <v>1619</v>
      </c>
      <c r="W595" s="3622"/>
      <c r="X595" s="3649" t="s">
        <v>1572</v>
      </c>
      <c r="Y595" s="3657"/>
      <c r="Z595" s="3691"/>
      <c r="AA595" s="3620" t="s">
        <v>4607</v>
      </c>
      <c r="AB595" s="3691" t="s">
        <v>3202</v>
      </c>
      <c r="AC595" s="3691">
        <v>2.1438</v>
      </c>
      <c r="AD595" s="3691">
        <f t="shared" si="261"/>
        <v>102.9024</v>
      </c>
      <c r="AE595" s="3645"/>
      <c r="AF595" s="3664" t="s">
        <v>2577</v>
      </c>
      <c r="AG595" s="3645" t="s">
        <v>416</v>
      </c>
      <c r="AH595" s="4430"/>
      <c r="AI595" s="3691"/>
      <c r="AJ595" s="3691">
        <f t="shared" si="262"/>
        <v>48</v>
      </c>
      <c r="AK595" s="4430"/>
      <c r="AL595" s="3664"/>
      <c r="AM595" s="3664"/>
      <c r="AN595" s="3691"/>
      <c r="AO595" s="3691"/>
      <c r="AP595" s="3691">
        <f t="shared" si="263"/>
        <v>48</v>
      </c>
      <c r="AQ595" s="4089"/>
      <c r="AR595" s="4413"/>
      <c r="AS595" s="4089">
        <f t="shared" si="260"/>
        <v>48</v>
      </c>
      <c r="AT595" s="4413"/>
      <c r="AU595" s="4089"/>
      <c r="AV595" s="4089"/>
      <c r="AW595" s="4089">
        <f t="shared" si="264"/>
        <v>8</v>
      </c>
      <c r="AX595" s="4089"/>
      <c r="AY595" s="4089"/>
      <c r="AZ595" s="4089"/>
      <c r="BA595" s="4089"/>
      <c r="BB595" s="4089"/>
      <c r="BC595" s="4089"/>
      <c r="BD595" s="4089"/>
      <c r="BE595" s="4089"/>
      <c r="BF595" s="4089" t="s">
        <v>89</v>
      </c>
      <c r="BG595" s="4089"/>
      <c r="BH595" s="4089">
        <f t="shared" si="248"/>
        <v>8</v>
      </c>
      <c r="BI595" s="4089">
        <f t="shared" si="249"/>
        <v>8</v>
      </c>
      <c r="BJ595" s="4089">
        <f t="shared" si="250"/>
        <v>8</v>
      </c>
      <c r="BK595" s="4089">
        <f t="shared" si="251"/>
        <v>8</v>
      </c>
      <c r="BL595" s="4089">
        <f t="shared" si="252"/>
        <v>8</v>
      </c>
      <c r="BM595" s="4089">
        <f t="shared" si="253"/>
        <v>6.4</v>
      </c>
      <c r="BN595" s="4089">
        <f t="shared" si="244"/>
        <v>1.6</v>
      </c>
      <c r="BO595" s="4413"/>
      <c r="BP595" s="4413"/>
      <c r="BQ595" s="4413"/>
      <c r="BR595" s="4413"/>
      <c r="BS595" s="4413"/>
      <c r="BT595" s="4431"/>
      <c r="BU595" s="4432"/>
      <c r="BV595" s="4385">
        <f t="shared" si="246"/>
        <v>48</v>
      </c>
      <c r="BW595" s="4386">
        <f t="shared" si="257"/>
        <v>0</v>
      </c>
      <c r="BX595" s="4387"/>
      <c r="BY595" s="4387"/>
      <c r="BZ595" s="4387"/>
      <c r="CA595" s="4391"/>
      <c r="CC595" s="4392"/>
      <c r="CD595" s="4391"/>
    </row>
    <row r="596" s="4025" customFormat="1" ht="50" customHeight="1" spans="1:82">
      <c r="A596" s="3688">
        <v>45750</v>
      </c>
      <c r="B596" s="3689" t="s">
        <v>1315</v>
      </c>
      <c r="C596" s="3664" t="s">
        <v>1316</v>
      </c>
      <c r="D596" s="3690">
        <v>4500162590</v>
      </c>
      <c r="E596" s="3664" t="s">
        <v>1804</v>
      </c>
      <c r="F596" s="3690" t="s">
        <v>1805</v>
      </c>
      <c r="G596" s="3664" t="s">
        <v>3821</v>
      </c>
      <c r="H596" s="3664" t="s">
        <v>1320</v>
      </c>
      <c r="I596" s="3691">
        <v>3600</v>
      </c>
      <c r="J596" s="3691">
        <v>0</v>
      </c>
      <c r="K596" s="3691">
        <v>4</v>
      </c>
      <c r="L596" s="3691">
        <f t="shared" si="254"/>
        <v>900</v>
      </c>
      <c r="M596" s="3659">
        <v>45887</v>
      </c>
      <c r="N596" s="3659">
        <v>45887</v>
      </c>
      <c r="O596" s="4085"/>
      <c r="P596" s="3682" t="s">
        <v>82</v>
      </c>
      <c r="Q596" s="3682"/>
      <c r="R596" s="4083"/>
      <c r="S596" s="4083"/>
      <c r="T596" s="4083"/>
      <c r="U596" s="3645" t="s">
        <v>1806</v>
      </c>
      <c r="V596" s="3649" t="s">
        <v>1322</v>
      </c>
      <c r="W596" s="3649"/>
      <c r="X596" s="3657" t="s">
        <v>1907</v>
      </c>
      <c r="Y596" s="3649"/>
      <c r="Z596" s="3691" t="s">
        <v>1807</v>
      </c>
      <c r="AA596" s="3620" t="s">
        <v>1376</v>
      </c>
      <c r="AB596" s="3691" t="s">
        <v>1326</v>
      </c>
      <c r="AC596" s="3691">
        <v>16.8314</v>
      </c>
      <c r="AD596" s="3691">
        <f>AC596*L596</f>
        <v>15148.26</v>
      </c>
      <c r="AE596" s="3645"/>
      <c r="AF596" s="3664" t="s">
        <v>3822</v>
      </c>
      <c r="AG596" s="3645" t="s">
        <v>416</v>
      </c>
      <c r="AH596" s="4422"/>
      <c r="AI596" s="3691"/>
      <c r="AJ596" s="3691"/>
      <c r="AK596" s="4422"/>
      <c r="AL596" s="3664"/>
      <c r="AM596" s="3664"/>
      <c r="AN596" s="3691">
        <f>I596</f>
        <v>3600</v>
      </c>
      <c r="AO596" s="3691"/>
      <c r="AP596" s="3691"/>
      <c r="AQ596" s="4089">
        <f>I596</f>
        <v>3600</v>
      </c>
      <c r="AR596" s="907"/>
      <c r="AS596" s="4089">
        <f t="shared" si="260"/>
        <v>3600</v>
      </c>
      <c r="AT596" s="907"/>
      <c r="AU596" s="4089"/>
      <c r="AV596" s="4089"/>
      <c r="AW596" s="4089"/>
      <c r="AX596" s="4089"/>
      <c r="AY596" s="4089"/>
      <c r="AZ596" s="4089"/>
      <c r="BA596" s="4089"/>
      <c r="BB596" s="4089"/>
      <c r="BC596" s="4089">
        <f>I596/4</f>
        <v>900</v>
      </c>
      <c r="BD596" s="4089"/>
      <c r="BE596" s="4089"/>
      <c r="BF596" s="4089" t="s">
        <v>1327</v>
      </c>
      <c r="BG596" s="4089"/>
      <c r="BH596" s="4089">
        <f t="shared" si="248"/>
        <v>600</v>
      </c>
      <c r="BI596" s="4089">
        <f t="shared" si="249"/>
        <v>600</v>
      </c>
      <c r="BJ596" s="4089">
        <f t="shared" si="250"/>
        <v>600</v>
      </c>
      <c r="BK596" s="4089">
        <f t="shared" si="251"/>
        <v>600</v>
      </c>
      <c r="BL596" s="4089">
        <f t="shared" si="252"/>
        <v>600</v>
      </c>
      <c r="BM596" s="4089">
        <f t="shared" si="253"/>
        <v>480</v>
      </c>
      <c r="BN596" s="4089">
        <f t="shared" si="244"/>
        <v>120</v>
      </c>
      <c r="BO596" s="907"/>
      <c r="BP596" s="907"/>
      <c r="BQ596" s="907"/>
      <c r="BR596" s="907"/>
      <c r="BS596" s="907"/>
      <c r="BT596" s="910"/>
      <c r="BU596" s="911"/>
      <c r="BV596" s="4385">
        <f t="shared" si="246"/>
        <v>3600</v>
      </c>
      <c r="BW596" s="4386">
        <f t="shared" si="257"/>
        <v>0</v>
      </c>
      <c r="BX596" s="4387"/>
      <c r="BY596" s="4387"/>
      <c r="BZ596" s="4387"/>
      <c r="CA596" s="4391"/>
      <c r="CC596" s="4392" t="s">
        <v>4612</v>
      </c>
      <c r="CD596" s="4391" t="e">
        <v>#N/A</v>
      </c>
    </row>
    <row r="597" s="4025" customFormat="1" ht="50" customHeight="1" spans="1:82">
      <c r="A597" s="3688">
        <v>45750</v>
      </c>
      <c r="B597" s="3689" t="s">
        <v>1315</v>
      </c>
      <c r="C597" s="3664" t="s">
        <v>1316</v>
      </c>
      <c r="D597" s="3690">
        <v>4500162590</v>
      </c>
      <c r="E597" s="3664" t="s">
        <v>1808</v>
      </c>
      <c r="F597" s="3690" t="s">
        <v>1809</v>
      </c>
      <c r="G597" s="3664" t="s">
        <v>3821</v>
      </c>
      <c r="H597" s="3664" t="s">
        <v>1320</v>
      </c>
      <c r="I597" s="3691">
        <v>5092</v>
      </c>
      <c r="J597" s="3691">
        <v>0</v>
      </c>
      <c r="K597" s="3691">
        <v>4</v>
      </c>
      <c r="L597" s="3691">
        <f t="shared" si="254"/>
        <v>1273</v>
      </c>
      <c r="M597" s="3659">
        <v>45887</v>
      </c>
      <c r="N597" s="3659">
        <v>45887</v>
      </c>
      <c r="O597" s="4085"/>
      <c r="P597" s="3682" t="s">
        <v>82</v>
      </c>
      <c r="Q597" s="3682"/>
      <c r="R597" s="4083"/>
      <c r="S597" s="4083"/>
      <c r="T597" s="4083"/>
      <c r="U597" s="3645" t="s">
        <v>228</v>
      </c>
      <c r="V597" s="3649" t="s">
        <v>1322</v>
      </c>
      <c r="W597" s="3657"/>
      <c r="X597" s="3657" t="s">
        <v>1907</v>
      </c>
      <c r="Y597" s="3657"/>
      <c r="Z597" s="3691" t="s">
        <v>1810</v>
      </c>
      <c r="AA597" s="3620" t="s">
        <v>1376</v>
      </c>
      <c r="AB597" s="3691" t="s">
        <v>1326</v>
      </c>
      <c r="AC597" s="3691">
        <v>16.7342</v>
      </c>
      <c r="AD597" s="3691">
        <f>AC597*L597</f>
        <v>21302.6366</v>
      </c>
      <c r="AE597" s="3645"/>
      <c r="AF597" s="3664" t="s">
        <v>3822</v>
      </c>
      <c r="AG597" s="3645" t="s">
        <v>416</v>
      </c>
      <c r="AH597" s="4422"/>
      <c r="AI597" s="3691"/>
      <c r="AJ597" s="3691"/>
      <c r="AK597" s="4422"/>
      <c r="AL597" s="3664"/>
      <c r="AM597" s="3664"/>
      <c r="AN597" s="3691">
        <f>I597</f>
        <v>5092</v>
      </c>
      <c r="AO597" s="3691"/>
      <c r="AP597" s="3691"/>
      <c r="AQ597" s="4089">
        <f>I597</f>
        <v>5092</v>
      </c>
      <c r="AR597" s="907"/>
      <c r="AS597" s="4089">
        <f t="shared" si="260"/>
        <v>5092</v>
      </c>
      <c r="AT597" s="907"/>
      <c r="AU597" s="4089"/>
      <c r="AV597" s="4089"/>
      <c r="AW597" s="4089"/>
      <c r="AX597" s="4089"/>
      <c r="AY597" s="4089"/>
      <c r="AZ597" s="4089"/>
      <c r="BA597" s="4089"/>
      <c r="BB597" s="4089"/>
      <c r="BC597" s="4089">
        <f>I597/4</f>
        <v>1273</v>
      </c>
      <c r="BD597" s="4089"/>
      <c r="BE597" s="4089"/>
      <c r="BF597" s="4089" t="s">
        <v>1327</v>
      </c>
      <c r="BG597" s="4089"/>
      <c r="BH597" s="4089">
        <f t="shared" si="248"/>
        <v>848.666666666667</v>
      </c>
      <c r="BI597" s="4089">
        <f t="shared" si="249"/>
        <v>848.666666666667</v>
      </c>
      <c r="BJ597" s="4089">
        <f t="shared" si="250"/>
        <v>848.666666666667</v>
      </c>
      <c r="BK597" s="4089">
        <f t="shared" si="251"/>
        <v>848.666666666667</v>
      </c>
      <c r="BL597" s="4089">
        <f t="shared" si="252"/>
        <v>848.666666666667</v>
      </c>
      <c r="BM597" s="4089">
        <f t="shared" si="253"/>
        <v>678.933333333333</v>
      </c>
      <c r="BN597" s="4089">
        <f t="shared" si="244"/>
        <v>169.733333333333</v>
      </c>
      <c r="BO597" s="907"/>
      <c r="BP597" s="907"/>
      <c r="BQ597" s="907"/>
      <c r="BR597" s="907"/>
      <c r="BS597" s="907"/>
      <c r="BT597" s="910"/>
      <c r="BU597" s="911"/>
      <c r="BV597" s="4385">
        <f t="shared" si="246"/>
        <v>5092</v>
      </c>
      <c r="BW597" s="4386">
        <f t="shared" si="257"/>
        <v>0</v>
      </c>
      <c r="BX597" s="4387"/>
      <c r="BY597" s="4387"/>
      <c r="BZ597" s="4387"/>
      <c r="CA597" s="4391"/>
      <c r="CC597" s="4392" t="s">
        <v>4612</v>
      </c>
      <c r="CD597" s="4391" t="e">
        <v>#N/A</v>
      </c>
    </row>
    <row r="598" s="4025" customFormat="1" ht="50" customHeight="1" spans="1:82">
      <c r="A598" s="3688">
        <v>45836</v>
      </c>
      <c r="B598" s="3689" t="s">
        <v>1617</v>
      </c>
      <c r="C598" s="3664" t="s">
        <v>91</v>
      </c>
      <c r="D598" s="3690">
        <v>4500171783</v>
      </c>
      <c r="E598" s="3664" t="s">
        <v>4613</v>
      </c>
      <c r="F598" s="3690" t="s">
        <v>4614</v>
      </c>
      <c r="G598" s="3664" t="s">
        <v>2627</v>
      </c>
      <c r="H598" s="3691" t="s">
        <v>2591</v>
      </c>
      <c r="I598" s="3691">
        <v>1200</v>
      </c>
      <c r="J598" s="3691">
        <v>0</v>
      </c>
      <c r="K598" s="3691">
        <v>24</v>
      </c>
      <c r="L598" s="3691">
        <f t="shared" si="254"/>
        <v>50</v>
      </c>
      <c r="M598" s="3659">
        <v>45889</v>
      </c>
      <c r="N598" s="3659">
        <v>45885</v>
      </c>
      <c r="O598" s="4085"/>
      <c r="P598" s="3682" t="s">
        <v>82</v>
      </c>
      <c r="Q598" s="3682"/>
      <c r="R598" s="4083"/>
      <c r="S598" s="4083"/>
      <c r="T598" s="4083"/>
      <c r="U598" s="3645" t="s">
        <v>4615</v>
      </c>
      <c r="V598" s="3649" t="s">
        <v>1895</v>
      </c>
      <c r="W598" s="3695"/>
      <c r="X598" s="3657" t="s">
        <v>98</v>
      </c>
      <c r="Y598" s="3649" t="s">
        <v>4616</v>
      </c>
      <c r="Z598" s="3691"/>
      <c r="AA598" s="3620" t="s">
        <v>1621</v>
      </c>
      <c r="AB598" s="3691" t="s">
        <v>393</v>
      </c>
      <c r="AC598" s="3691">
        <v>1.2507</v>
      </c>
      <c r="AD598" s="3691">
        <f>AC598*I598</f>
        <v>1500.84</v>
      </c>
      <c r="AE598" s="3645"/>
      <c r="AF598" s="3664" t="s">
        <v>2627</v>
      </c>
      <c r="AG598" s="3645" t="s">
        <v>416</v>
      </c>
      <c r="AH598" s="4430"/>
      <c r="AI598" s="3691"/>
      <c r="AJ598" s="3691">
        <f t="shared" ref="AJ598:AJ605" si="265">I598</f>
        <v>1200</v>
      </c>
      <c r="AK598" s="4430"/>
      <c r="AL598" s="3664"/>
      <c r="AM598" s="3664"/>
      <c r="AN598" s="3691"/>
      <c r="AO598" s="3691"/>
      <c r="AP598" s="3691">
        <f t="shared" ref="AP598:AP605" si="266">I598</f>
        <v>1200</v>
      </c>
      <c r="AQ598" s="4089"/>
      <c r="AR598" s="4413"/>
      <c r="AS598" s="4089">
        <f t="shared" si="260"/>
        <v>1200</v>
      </c>
      <c r="AT598" s="4413"/>
      <c r="AU598" s="4089"/>
      <c r="AV598" s="4089"/>
      <c r="AW598" s="4089"/>
      <c r="AX598" s="4089"/>
      <c r="AY598" s="4089"/>
      <c r="AZ598" s="4089"/>
      <c r="BA598" s="4089"/>
      <c r="BB598" s="4089"/>
      <c r="BC598" s="4089"/>
      <c r="BD598" s="4089"/>
      <c r="BE598" s="4089"/>
      <c r="BF598" s="4089" t="s">
        <v>89</v>
      </c>
      <c r="BG598" s="4089"/>
      <c r="BH598" s="4089">
        <f t="shared" si="248"/>
        <v>200</v>
      </c>
      <c r="BI598" s="4089">
        <f t="shared" si="249"/>
        <v>200</v>
      </c>
      <c r="BJ598" s="4089">
        <f t="shared" si="250"/>
        <v>200</v>
      </c>
      <c r="BK598" s="4089">
        <f t="shared" si="251"/>
        <v>200</v>
      </c>
      <c r="BL598" s="4089">
        <f t="shared" si="252"/>
        <v>200</v>
      </c>
      <c r="BM598" s="4089">
        <f t="shared" si="253"/>
        <v>160</v>
      </c>
      <c r="BN598" s="4089">
        <f t="shared" si="244"/>
        <v>40</v>
      </c>
      <c r="BO598" s="4413"/>
      <c r="BP598" s="4413"/>
      <c r="BQ598" s="4413"/>
      <c r="BR598" s="4413"/>
      <c r="BS598" s="4413"/>
      <c r="BT598" s="4431"/>
      <c r="BU598" s="4432"/>
      <c r="BV598" s="4385">
        <f t="shared" si="246"/>
        <v>1200</v>
      </c>
      <c r="BW598" s="4386">
        <f t="shared" si="257"/>
        <v>0</v>
      </c>
      <c r="BX598" s="4387"/>
      <c r="BY598" s="4387"/>
      <c r="BZ598" s="4387"/>
      <c r="CA598" s="4391"/>
      <c r="CC598" s="4392" t="s">
        <v>4612</v>
      </c>
      <c r="CD598" s="4391" t="e">
        <v>#N/A</v>
      </c>
    </row>
    <row r="599" s="4025" customFormat="1" ht="50" customHeight="1" spans="1:82">
      <c r="A599" s="3688">
        <v>45853</v>
      </c>
      <c r="B599" s="3689" t="s">
        <v>3495</v>
      </c>
      <c r="C599" s="3664" t="s">
        <v>91</v>
      </c>
      <c r="D599" s="3690">
        <v>4500173940</v>
      </c>
      <c r="E599" s="5456" t="s">
        <v>4617</v>
      </c>
      <c r="F599" s="3690" t="s">
        <v>4618</v>
      </c>
      <c r="G599" s="3664" t="s">
        <v>3068</v>
      </c>
      <c r="H599" s="3664" t="s">
        <v>3069</v>
      </c>
      <c r="I599" s="3691">
        <v>3840</v>
      </c>
      <c r="J599" s="3691">
        <v>0</v>
      </c>
      <c r="K599" s="3691">
        <v>384</v>
      </c>
      <c r="L599" s="3691">
        <f t="shared" si="254"/>
        <v>10</v>
      </c>
      <c r="M599" s="3659">
        <v>45889</v>
      </c>
      <c r="N599" s="3659">
        <v>45885</v>
      </c>
      <c r="O599" s="3664" t="s">
        <v>4619</v>
      </c>
      <c r="P599" s="3682" t="s">
        <v>82</v>
      </c>
      <c r="Q599" s="3682"/>
      <c r="R599" s="4083"/>
      <c r="S599" s="4083"/>
      <c r="T599" s="4083"/>
      <c r="U599" s="3645" t="s">
        <v>228</v>
      </c>
      <c r="V599" s="3649" t="s">
        <v>4620</v>
      </c>
      <c r="W599" s="3695"/>
      <c r="X599" s="3657" t="s">
        <v>4621</v>
      </c>
      <c r="Y599" s="3649" t="s">
        <v>4622</v>
      </c>
      <c r="Z599" s="3664" t="s">
        <v>4623</v>
      </c>
      <c r="AA599" s="3620" t="s">
        <v>3863</v>
      </c>
      <c r="AB599" s="3691" t="s">
        <v>3076</v>
      </c>
      <c r="AC599" s="3691">
        <v>500.161</v>
      </c>
      <c r="AD599" s="3691">
        <f t="shared" ref="AD599:AD605" si="267">AC599*L599</f>
        <v>5001.61</v>
      </c>
      <c r="AE599" s="3645"/>
      <c r="AF599" s="3664" t="s">
        <v>3078</v>
      </c>
      <c r="AG599" s="3645" t="s">
        <v>416</v>
      </c>
      <c r="AH599" s="4422"/>
      <c r="AI599" s="3691"/>
      <c r="AJ599" s="3691">
        <f t="shared" si="265"/>
        <v>3840</v>
      </c>
      <c r="AK599" s="4422"/>
      <c r="AL599" s="3664"/>
      <c r="AM599" s="3664"/>
      <c r="AN599" s="3691"/>
      <c r="AO599" s="3691"/>
      <c r="AP599" s="3691">
        <f t="shared" si="266"/>
        <v>3840</v>
      </c>
      <c r="AQ599" s="4089"/>
      <c r="AR599" s="907"/>
      <c r="AS599" s="4089">
        <f t="shared" si="260"/>
        <v>3840</v>
      </c>
      <c r="AT599" s="907"/>
      <c r="AU599" s="4089"/>
      <c r="AV599" s="4089"/>
      <c r="AW599" s="4089"/>
      <c r="AX599" s="4089"/>
      <c r="AY599" s="4089"/>
      <c r="AZ599" s="4089"/>
      <c r="BA599" s="4089"/>
      <c r="BB599" s="4089">
        <f t="shared" ref="BB599:BB605" si="268">I599/2</f>
        <v>1920</v>
      </c>
      <c r="BC599" s="4089"/>
      <c r="BD599" s="4089"/>
      <c r="BE599" s="4089"/>
      <c r="BF599" s="4089" t="s">
        <v>682</v>
      </c>
      <c r="BG599" s="4089"/>
      <c r="BH599" s="4089">
        <f t="shared" si="248"/>
        <v>640</v>
      </c>
      <c r="BI599" s="4089">
        <f t="shared" si="249"/>
        <v>640</v>
      </c>
      <c r="BJ599" s="4089">
        <f t="shared" si="250"/>
        <v>640</v>
      </c>
      <c r="BK599" s="4089">
        <f t="shared" si="251"/>
        <v>640</v>
      </c>
      <c r="BL599" s="4089">
        <f t="shared" si="252"/>
        <v>640</v>
      </c>
      <c r="BM599" s="4089">
        <f t="shared" si="253"/>
        <v>512</v>
      </c>
      <c r="BN599" s="4089">
        <f t="shared" si="244"/>
        <v>128</v>
      </c>
      <c r="BO599" s="907"/>
      <c r="BP599" s="907"/>
      <c r="BQ599" s="907"/>
      <c r="BR599" s="907"/>
      <c r="BS599" s="907"/>
      <c r="BT599" s="910"/>
      <c r="BU599" s="911"/>
      <c r="BV599" s="4385">
        <f t="shared" si="246"/>
        <v>3840</v>
      </c>
      <c r="BW599" s="4386">
        <f t="shared" si="257"/>
        <v>0</v>
      </c>
      <c r="BX599" s="4387"/>
      <c r="BY599" s="4387"/>
      <c r="BZ599" s="4387"/>
      <c r="CA599" s="4391"/>
      <c r="CC599" s="4392"/>
      <c r="CD599" s="4391"/>
    </row>
    <row r="600" s="4025" customFormat="1" ht="50" customHeight="1" spans="1:82">
      <c r="A600" s="3688">
        <v>45853</v>
      </c>
      <c r="B600" s="3689" t="s">
        <v>3495</v>
      </c>
      <c r="C600" s="3664" t="s">
        <v>91</v>
      </c>
      <c r="D600" s="3690">
        <v>4500173940</v>
      </c>
      <c r="E600" s="5456" t="s">
        <v>4624</v>
      </c>
      <c r="F600" s="3690" t="s">
        <v>4625</v>
      </c>
      <c r="G600" s="3664" t="s">
        <v>3068</v>
      </c>
      <c r="H600" s="3664" t="s">
        <v>3069</v>
      </c>
      <c r="I600" s="3691">
        <v>1536</v>
      </c>
      <c r="J600" s="3691">
        <v>0</v>
      </c>
      <c r="K600" s="3691">
        <v>384</v>
      </c>
      <c r="L600" s="3691">
        <f t="shared" si="254"/>
        <v>4</v>
      </c>
      <c r="M600" s="3659">
        <v>45889</v>
      </c>
      <c r="N600" s="3659">
        <v>45885</v>
      </c>
      <c r="O600" s="3664" t="s">
        <v>4619</v>
      </c>
      <c r="P600" s="3682" t="s">
        <v>82</v>
      </c>
      <c r="Q600" s="3682"/>
      <c r="R600" s="4083"/>
      <c r="S600" s="4083"/>
      <c r="T600" s="4083"/>
      <c r="U600" s="3645" t="s">
        <v>401</v>
      </c>
      <c r="V600" s="3649" t="s">
        <v>4620</v>
      </c>
      <c r="W600" s="3622"/>
      <c r="X600" s="3657" t="s">
        <v>4621</v>
      </c>
      <c r="Y600" s="3657" t="s">
        <v>4622</v>
      </c>
      <c r="Z600" s="3664" t="s">
        <v>4623</v>
      </c>
      <c r="AA600" s="3620" t="s">
        <v>3863</v>
      </c>
      <c r="AB600" s="3691" t="s">
        <v>3076</v>
      </c>
      <c r="AC600" s="3691">
        <v>519.73</v>
      </c>
      <c r="AD600" s="3691">
        <f t="shared" si="267"/>
        <v>2078.92</v>
      </c>
      <c r="AE600" s="3645"/>
      <c r="AF600" s="3664" t="s">
        <v>3078</v>
      </c>
      <c r="AG600" s="3645" t="s">
        <v>416</v>
      </c>
      <c r="AH600" s="4422"/>
      <c r="AI600" s="3691"/>
      <c r="AJ600" s="3691">
        <f t="shared" si="265"/>
        <v>1536</v>
      </c>
      <c r="AK600" s="4422"/>
      <c r="AL600" s="3664"/>
      <c r="AM600" s="3664"/>
      <c r="AN600" s="3691"/>
      <c r="AO600" s="3691"/>
      <c r="AP600" s="3691">
        <f t="shared" si="266"/>
        <v>1536</v>
      </c>
      <c r="AQ600" s="4089"/>
      <c r="AR600" s="907"/>
      <c r="AS600" s="4089">
        <f t="shared" si="260"/>
        <v>1536</v>
      </c>
      <c r="AT600" s="907"/>
      <c r="AU600" s="4089"/>
      <c r="AV600" s="4089"/>
      <c r="AW600" s="4089"/>
      <c r="AX600" s="4089"/>
      <c r="AY600" s="4089"/>
      <c r="AZ600" s="4089"/>
      <c r="BA600" s="4089"/>
      <c r="BB600" s="4089">
        <f t="shared" si="268"/>
        <v>768</v>
      </c>
      <c r="BC600" s="4089"/>
      <c r="BD600" s="4089"/>
      <c r="BE600" s="4089"/>
      <c r="BF600" s="4089" t="s">
        <v>682</v>
      </c>
      <c r="BG600" s="4089"/>
      <c r="BH600" s="4089">
        <f t="shared" si="248"/>
        <v>256</v>
      </c>
      <c r="BI600" s="4089">
        <f t="shared" si="249"/>
        <v>256</v>
      </c>
      <c r="BJ600" s="4089">
        <f t="shared" si="250"/>
        <v>256</v>
      </c>
      <c r="BK600" s="4089">
        <f t="shared" si="251"/>
        <v>256</v>
      </c>
      <c r="BL600" s="4089">
        <f t="shared" si="252"/>
        <v>256</v>
      </c>
      <c r="BM600" s="4089">
        <f t="shared" si="253"/>
        <v>204.8</v>
      </c>
      <c r="BN600" s="4089">
        <f t="shared" si="244"/>
        <v>51.2</v>
      </c>
      <c r="BO600" s="907"/>
      <c r="BP600" s="907"/>
      <c r="BQ600" s="907"/>
      <c r="BR600" s="907"/>
      <c r="BS600" s="907"/>
      <c r="BT600" s="910"/>
      <c r="BU600" s="911"/>
      <c r="BV600" s="4385">
        <f t="shared" si="246"/>
        <v>1536</v>
      </c>
      <c r="BW600" s="4386">
        <f t="shared" si="257"/>
        <v>0</v>
      </c>
      <c r="BX600" s="4387"/>
      <c r="BY600" s="4387"/>
      <c r="BZ600" s="4387"/>
      <c r="CA600" s="4391"/>
      <c r="CC600" s="4392"/>
      <c r="CD600" s="4391"/>
    </row>
    <row r="601" s="4025" customFormat="1" ht="50" customHeight="1" spans="1:82">
      <c r="A601" s="3688">
        <v>45853</v>
      </c>
      <c r="B601" s="3689" t="s">
        <v>3495</v>
      </c>
      <c r="C601" s="3664" t="s">
        <v>91</v>
      </c>
      <c r="D601" s="3690">
        <v>4500173940</v>
      </c>
      <c r="E601" s="5456" t="s">
        <v>4626</v>
      </c>
      <c r="F601" s="3690" t="s">
        <v>4627</v>
      </c>
      <c r="G601" s="3664" t="s">
        <v>3068</v>
      </c>
      <c r="H601" s="3664" t="s">
        <v>3069</v>
      </c>
      <c r="I601" s="3691">
        <v>2688</v>
      </c>
      <c r="J601" s="3691">
        <v>0</v>
      </c>
      <c r="K601" s="3691">
        <v>384</v>
      </c>
      <c r="L601" s="3691">
        <f t="shared" si="254"/>
        <v>7</v>
      </c>
      <c r="M601" s="3659">
        <v>45889</v>
      </c>
      <c r="N601" s="3659">
        <v>45885</v>
      </c>
      <c r="O601" s="3664" t="s">
        <v>4619</v>
      </c>
      <c r="P601" s="3682" t="s">
        <v>82</v>
      </c>
      <c r="Q601" s="3682"/>
      <c r="R601" s="4083"/>
      <c r="S601" s="4083"/>
      <c r="T601" s="4083"/>
      <c r="U601" s="3645" t="s">
        <v>1875</v>
      </c>
      <c r="V601" s="3649" t="s">
        <v>4620</v>
      </c>
      <c r="W601" s="3622"/>
      <c r="X601" s="3657" t="s">
        <v>4621</v>
      </c>
      <c r="Y601" s="3657" t="s">
        <v>4622</v>
      </c>
      <c r="Z601" s="3664" t="s">
        <v>4623</v>
      </c>
      <c r="AA601" s="3620" t="s">
        <v>3863</v>
      </c>
      <c r="AB601" s="3691" t="s">
        <v>3076</v>
      </c>
      <c r="AC601" s="3691">
        <v>519.7286</v>
      </c>
      <c r="AD601" s="3691">
        <f t="shared" si="267"/>
        <v>3638.1002</v>
      </c>
      <c r="AE601" s="3645" t="s">
        <v>4628</v>
      </c>
      <c r="AF601" s="3664" t="s">
        <v>3078</v>
      </c>
      <c r="AG601" s="3645" t="s">
        <v>416</v>
      </c>
      <c r="AH601" s="4422"/>
      <c r="AI601" s="3691"/>
      <c r="AJ601" s="3691">
        <f t="shared" si="265"/>
        <v>2688</v>
      </c>
      <c r="AK601" s="4422"/>
      <c r="AL601" s="3664"/>
      <c r="AM601" s="3664"/>
      <c r="AN601" s="3691"/>
      <c r="AO601" s="3691"/>
      <c r="AP601" s="3691">
        <f t="shared" si="266"/>
        <v>2688</v>
      </c>
      <c r="AQ601" s="4089"/>
      <c r="AR601" s="907"/>
      <c r="AS601" s="4089">
        <f t="shared" si="260"/>
        <v>2688</v>
      </c>
      <c r="AT601" s="907"/>
      <c r="AU601" s="4089"/>
      <c r="AV601" s="4089"/>
      <c r="AW601" s="4089"/>
      <c r="AX601" s="4089"/>
      <c r="AY601" s="4089"/>
      <c r="AZ601" s="4089"/>
      <c r="BA601" s="4089"/>
      <c r="BB601" s="4089">
        <f t="shared" si="268"/>
        <v>1344</v>
      </c>
      <c r="BC601" s="4089"/>
      <c r="BD601" s="4089"/>
      <c r="BE601" s="4089"/>
      <c r="BF601" s="4089" t="s">
        <v>682</v>
      </c>
      <c r="BG601" s="4089"/>
      <c r="BH601" s="4089">
        <f t="shared" si="248"/>
        <v>448</v>
      </c>
      <c r="BI601" s="4089">
        <f t="shared" si="249"/>
        <v>448</v>
      </c>
      <c r="BJ601" s="4089">
        <f t="shared" si="250"/>
        <v>448</v>
      </c>
      <c r="BK601" s="4089">
        <f t="shared" si="251"/>
        <v>448</v>
      </c>
      <c r="BL601" s="4089">
        <f t="shared" si="252"/>
        <v>448</v>
      </c>
      <c r="BM601" s="4089">
        <f t="shared" si="253"/>
        <v>358.4</v>
      </c>
      <c r="BN601" s="4089">
        <f t="shared" si="244"/>
        <v>89.6</v>
      </c>
      <c r="BO601" s="907"/>
      <c r="BP601" s="907"/>
      <c r="BQ601" s="907"/>
      <c r="BR601" s="907"/>
      <c r="BS601" s="907"/>
      <c r="BT601" s="910"/>
      <c r="BU601" s="911"/>
      <c r="BV601" s="4385">
        <f t="shared" si="246"/>
        <v>2688</v>
      </c>
      <c r="BW601" s="4386">
        <f t="shared" si="257"/>
        <v>0</v>
      </c>
      <c r="BX601" s="4387"/>
      <c r="BY601" s="4387"/>
      <c r="BZ601" s="4387"/>
      <c r="CA601" s="4391"/>
      <c r="CC601" s="4392"/>
      <c r="CD601" s="4391"/>
    </row>
    <row r="602" s="4025" customFormat="1" ht="50" customHeight="1" spans="1:82">
      <c r="A602" s="3688">
        <v>45853</v>
      </c>
      <c r="B602" s="3689" t="s">
        <v>3495</v>
      </c>
      <c r="C602" s="3664" t="s">
        <v>91</v>
      </c>
      <c r="D602" s="3690">
        <v>4500173940</v>
      </c>
      <c r="E602" s="5456" t="s">
        <v>4629</v>
      </c>
      <c r="F602" s="3690" t="s">
        <v>4630</v>
      </c>
      <c r="G602" s="3664" t="s">
        <v>3068</v>
      </c>
      <c r="H602" s="3664" t="s">
        <v>3069</v>
      </c>
      <c r="I602" s="3691">
        <v>4608</v>
      </c>
      <c r="J602" s="3691">
        <v>0</v>
      </c>
      <c r="K602" s="3691">
        <v>384</v>
      </c>
      <c r="L602" s="3691">
        <f t="shared" si="254"/>
        <v>12</v>
      </c>
      <c r="M602" s="3659">
        <v>45889</v>
      </c>
      <c r="N602" s="3659">
        <v>45885</v>
      </c>
      <c r="O602" s="3664" t="s">
        <v>4619</v>
      </c>
      <c r="P602" s="3682" t="s">
        <v>82</v>
      </c>
      <c r="Q602" s="3682"/>
      <c r="R602" s="4083"/>
      <c r="S602" s="4083"/>
      <c r="T602" s="4083"/>
      <c r="U602" s="3645" t="s">
        <v>4615</v>
      </c>
      <c r="V602" s="3649" t="s">
        <v>4620</v>
      </c>
      <c r="W602" s="3622"/>
      <c r="X602" s="3657" t="s">
        <v>4621</v>
      </c>
      <c r="Y602" s="3657" t="s">
        <v>4622</v>
      </c>
      <c r="Z602" s="3664" t="s">
        <v>4623</v>
      </c>
      <c r="AA602" s="3620" t="s">
        <v>3863</v>
      </c>
      <c r="AB602" s="3691" t="s">
        <v>3076</v>
      </c>
      <c r="AC602" s="3691">
        <v>500.1608</v>
      </c>
      <c r="AD602" s="3691">
        <f t="shared" si="267"/>
        <v>6001.9296</v>
      </c>
      <c r="AE602" s="3645"/>
      <c r="AF602" s="3664" t="s">
        <v>3078</v>
      </c>
      <c r="AG602" s="3645" t="s">
        <v>416</v>
      </c>
      <c r="AH602" s="4422"/>
      <c r="AI602" s="3691"/>
      <c r="AJ602" s="3691">
        <f t="shared" si="265"/>
        <v>4608</v>
      </c>
      <c r="AK602" s="4422"/>
      <c r="AL602" s="3664"/>
      <c r="AM602" s="3664"/>
      <c r="AN602" s="3691"/>
      <c r="AO602" s="3691"/>
      <c r="AP602" s="3691">
        <f t="shared" si="266"/>
        <v>4608</v>
      </c>
      <c r="AQ602" s="4089"/>
      <c r="AR602" s="907"/>
      <c r="AS602" s="4089">
        <f t="shared" si="260"/>
        <v>4608</v>
      </c>
      <c r="AT602" s="907"/>
      <c r="AU602" s="4089"/>
      <c r="AV602" s="4089"/>
      <c r="AW602" s="4089"/>
      <c r="AX602" s="4089"/>
      <c r="AY602" s="4089"/>
      <c r="AZ602" s="4089"/>
      <c r="BA602" s="4089"/>
      <c r="BB602" s="4089">
        <f t="shared" si="268"/>
        <v>2304</v>
      </c>
      <c r="BC602" s="4089"/>
      <c r="BD602" s="4089"/>
      <c r="BE602" s="4089"/>
      <c r="BF602" s="4089" t="s">
        <v>682</v>
      </c>
      <c r="BG602" s="4089"/>
      <c r="BH602" s="4089">
        <f t="shared" si="248"/>
        <v>768</v>
      </c>
      <c r="BI602" s="4089">
        <f t="shared" si="249"/>
        <v>768</v>
      </c>
      <c r="BJ602" s="4089">
        <f t="shared" si="250"/>
        <v>768</v>
      </c>
      <c r="BK602" s="4089">
        <f t="shared" si="251"/>
        <v>768</v>
      </c>
      <c r="BL602" s="4089">
        <f t="shared" si="252"/>
        <v>768</v>
      </c>
      <c r="BM602" s="4089">
        <f t="shared" si="253"/>
        <v>614.4</v>
      </c>
      <c r="BN602" s="4089">
        <f t="shared" si="244"/>
        <v>153.6</v>
      </c>
      <c r="BO602" s="907"/>
      <c r="BP602" s="907"/>
      <c r="BQ602" s="907"/>
      <c r="BR602" s="907"/>
      <c r="BS602" s="907"/>
      <c r="BT602" s="910"/>
      <c r="BU602" s="911"/>
      <c r="BV602" s="4385">
        <f t="shared" si="246"/>
        <v>4608</v>
      </c>
      <c r="BW602" s="4386">
        <f t="shared" si="257"/>
        <v>0</v>
      </c>
      <c r="BX602" s="4387"/>
      <c r="BY602" s="4387"/>
      <c r="BZ602" s="4387"/>
      <c r="CA602" s="4391"/>
      <c r="CC602" s="4392"/>
      <c r="CD602" s="4391"/>
    </row>
    <row r="603" s="4025" customFormat="1" ht="50" customHeight="1" spans="1:82">
      <c r="A603" s="3688">
        <v>45853</v>
      </c>
      <c r="B603" s="3689" t="s">
        <v>3495</v>
      </c>
      <c r="C603" s="3664" t="s">
        <v>91</v>
      </c>
      <c r="D603" s="3690">
        <v>4500173940</v>
      </c>
      <c r="E603" s="5456" t="s">
        <v>4631</v>
      </c>
      <c r="F603" s="3690" t="s">
        <v>4632</v>
      </c>
      <c r="G603" s="3664" t="s">
        <v>3068</v>
      </c>
      <c r="H603" s="3664" t="s">
        <v>3069</v>
      </c>
      <c r="I603" s="3691">
        <v>2688</v>
      </c>
      <c r="J603" s="3691">
        <v>0</v>
      </c>
      <c r="K603" s="3691">
        <v>384</v>
      </c>
      <c r="L603" s="3691">
        <f t="shared" si="254"/>
        <v>7</v>
      </c>
      <c r="M603" s="3659">
        <v>45889</v>
      </c>
      <c r="N603" s="3659">
        <v>45885</v>
      </c>
      <c r="O603" s="3664" t="s">
        <v>4619</v>
      </c>
      <c r="P603" s="3682" t="s">
        <v>82</v>
      </c>
      <c r="Q603" s="3682"/>
      <c r="R603" s="4083"/>
      <c r="S603" s="4083"/>
      <c r="T603" s="4083"/>
      <c r="U603" s="3645" t="s">
        <v>401</v>
      </c>
      <c r="V603" s="3649" t="s">
        <v>4620</v>
      </c>
      <c r="W603" s="3622"/>
      <c r="X603" s="3657" t="s">
        <v>4621</v>
      </c>
      <c r="Y603" s="3657" t="s">
        <v>4622</v>
      </c>
      <c r="Z603" s="3664" t="s">
        <v>4623</v>
      </c>
      <c r="AA603" s="3620" t="s">
        <v>3863</v>
      </c>
      <c r="AB603" s="3691" t="s">
        <v>3076</v>
      </c>
      <c r="AC603" s="3691">
        <v>531.79</v>
      </c>
      <c r="AD603" s="3691">
        <f t="shared" si="267"/>
        <v>3722.53</v>
      </c>
      <c r="AE603" s="3645"/>
      <c r="AF603" s="3664" t="s">
        <v>3078</v>
      </c>
      <c r="AG603" s="3645" t="s">
        <v>416</v>
      </c>
      <c r="AH603" s="4422"/>
      <c r="AI603" s="3691"/>
      <c r="AJ603" s="3691">
        <f t="shared" si="265"/>
        <v>2688</v>
      </c>
      <c r="AK603" s="4422"/>
      <c r="AL603" s="3664"/>
      <c r="AM603" s="3664"/>
      <c r="AN603" s="3691"/>
      <c r="AO603" s="3691"/>
      <c r="AP603" s="3691">
        <f t="shared" si="266"/>
        <v>2688</v>
      </c>
      <c r="AQ603" s="4089"/>
      <c r="AR603" s="907"/>
      <c r="AS603" s="4089">
        <f t="shared" si="260"/>
        <v>2688</v>
      </c>
      <c r="AT603" s="907"/>
      <c r="AU603" s="4089"/>
      <c r="AV603" s="4089"/>
      <c r="AW603" s="4089"/>
      <c r="AX603" s="4089"/>
      <c r="AY603" s="4089"/>
      <c r="AZ603" s="4089"/>
      <c r="BA603" s="4089"/>
      <c r="BB603" s="4089">
        <f t="shared" si="268"/>
        <v>1344</v>
      </c>
      <c r="BC603" s="4089"/>
      <c r="BD603" s="4089"/>
      <c r="BE603" s="4089"/>
      <c r="BF603" s="4089" t="s">
        <v>682</v>
      </c>
      <c r="BG603" s="4089"/>
      <c r="BH603" s="4089">
        <f t="shared" si="248"/>
        <v>448</v>
      </c>
      <c r="BI603" s="4089">
        <f t="shared" si="249"/>
        <v>448</v>
      </c>
      <c r="BJ603" s="4089">
        <f t="shared" si="250"/>
        <v>448</v>
      </c>
      <c r="BK603" s="4089">
        <f t="shared" si="251"/>
        <v>448</v>
      </c>
      <c r="BL603" s="4089">
        <f t="shared" si="252"/>
        <v>448</v>
      </c>
      <c r="BM603" s="4089">
        <f t="shared" si="253"/>
        <v>358.4</v>
      </c>
      <c r="BN603" s="4089">
        <f t="shared" si="244"/>
        <v>89.6</v>
      </c>
      <c r="BO603" s="907"/>
      <c r="BP603" s="907"/>
      <c r="BQ603" s="907"/>
      <c r="BR603" s="907"/>
      <c r="BS603" s="907"/>
      <c r="BT603" s="910"/>
      <c r="BU603" s="911"/>
      <c r="BV603" s="4385">
        <f t="shared" si="246"/>
        <v>2688</v>
      </c>
      <c r="BW603" s="4386">
        <f t="shared" si="257"/>
        <v>0</v>
      </c>
      <c r="BX603" s="4387"/>
      <c r="BY603" s="4387"/>
      <c r="BZ603" s="4387"/>
      <c r="CA603" s="4391"/>
      <c r="CC603" s="4392"/>
      <c r="CD603" s="4391"/>
    </row>
    <row r="604" s="4025" customFormat="1" ht="50" customHeight="1" spans="1:82">
      <c r="A604" s="3688">
        <v>45853</v>
      </c>
      <c r="B604" s="3689" t="s">
        <v>3495</v>
      </c>
      <c r="C604" s="3664" t="s">
        <v>91</v>
      </c>
      <c r="D604" s="3690">
        <v>4500173940</v>
      </c>
      <c r="E604" s="5456" t="s">
        <v>4633</v>
      </c>
      <c r="F604" s="3690" t="s">
        <v>4634</v>
      </c>
      <c r="G604" s="3664" t="s">
        <v>3068</v>
      </c>
      <c r="H604" s="3664" t="s">
        <v>3069</v>
      </c>
      <c r="I604" s="3691">
        <v>3456</v>
      </c>
      <c r="J604" s="3691">
        <v>0</v>
      </c>
      <c r="K604" s="3691">
        <v>384</v>
      </c>
      <c r="L604" s="3691">
        <f t="shared" si="254"/>
        <v>9</v>
      </c>
      <c r="M604" s="3659">
        <v>45889</v>
      </c>
      <c r="N604" s="3659">
        <v>45885</v>
      </c>
      <c r="O604" s="3664" t="s">
        <v>4619</v>
      </c>
      <c r="P604" s="3682" t="s">
        <v>82</v>
      </c>
      <c r="Q604" s="3682"/>
      <c r="R604" s="4083"/>
      <c r="S604" s="4083"/>
      <c r="T604" s="4083"/>
      <c r="U604" s="3645" t="s">
        <v>1813</v>
      </c>
      <c r="V604" s="3649" t="s">
        <v>4620</v>
      </c>
      <c r="W604" s="3695"/>
      <c r="X604" s="3657" t="s">
        <v>4621</v>
      </c>
      <c r="Y604" s="3649" t="s">
        <v>4622</v>
      </c>
      <c r="Z604" s="3664" t="s">
        <v>4623</v>
      </c>
      <c r="AA604" s="3620" t="s">
        <v>3863</v>
      </c>
      <c r="AB604" s="3691" t="s">
        <v>3076</v>
      </c>
      <c r="AC604" s="3691">
        <v>531.0078</v>
      </c>
      <c r="AD604" s="3691">
        <f t="shared" si="267"/>
        <v>4779.0702</v>
      </c>
      <c r="AE604" s="3645" t="s">
        <v>4635</v>
      </c>
      <c r="AF604" s="3664" t="s">
        <v>3078</v>
      </c>
      <c r="AG604" s="3645" t="s">
        <v>416</v>
      </c>
      <c r="AH604" s="4422"/>
      <c r="AI604" s="3691"/>
      <c r="AJ604" s="3691">
        <f t="shared" si="265"/>
        <v>3456</v>
      </c>
      <c r="AK604" s="4422"/>
      <c r="AL604" s="3664"/>
      <c r="AM604" s="3664"/>
      <c r="AN604" s="3691"/>
      <c r="AO604" s="3691"/>
      <c r="AP604" s="3691">
        <f t="shared" si="266"/>
        <v>3456</v>
      </c>
      <c r="AQ604" s="4089"/>
      <c r="AR604" s="907"/>
      <c r="AS604" s="4089">
        <f t="shared" si="260"/>
        <v>3456</v>
      </c>
      <c r="AT604" s="907"/>
      <c r="AU604" s="4089"/>
      <c r="AV604" s="4089"/>
      <c r="AW604" s="4089"/>
      <c r="AX604" s="4089"/>
      <c r="AY604" s="4089"/>
      <c r="AZ604" s="4089"/>
      <c r="BA604" s="4089"/>
      <c r="BB604" s="4089">
        <f t="shared" si="268"/>
        <v>1728</v>
      </c>
      <c r="BC604" s="4089"/>
      <c r="BD604" s="4089"/>
      <c r="BE604" s="4089"/>
      <c r="BF604" s="4089" t="s">
        <v>682</v>
      </c>
      <c r="BG604" s="4089"/>
      <c r="BH604" s="4089">
        <f t="shared" si="248"/>
        <v>576</v>
      </c>
      <c r="BI604" s="4089">
        <f t="shared" si="249"/>
        <v>576</v>
      </c>
      <c r="BJ604" s="4089">
        <f t="shared" si="250"/>
        <v>576</v>
      </c>
      <c r="BK604" s="4089">
        <f t="shared" si="251"/>
        <v>576</v>
      </c>
      <c r="BL604" s="4089">
        <f t="shared" si="252"/>
        <v>576</v>
      </c>
      <c r="BM604" s="4089">
        <f t="shared" si="253"/>
        <v>460.8</v>
      </c>
      <c r="BN604" s="4089">
        <f t="shared" si="244"/>
        <v>115.2</v>
      </c>
      <c r="BO604" s="907"/>
      <c r="BP604" s="907"/>
      <c r="BQ604" s="907"/>
      <c r="BR604" s="907"/>
      <c r="BS604" s="907"/>
      <c r="BT604" s="910"/>
      <c r="BU604" s="911"/>
      <c r="BV604" s="4385">
        <f t="shared" si="246"/>
        <v>3456</v>
      </c>
      <c r="BW604" s="4386">
        <f t="shared" si="257"/>
        <v>0</v>
      </c>
      <c r="BX604" s="4387"/>
      <c r="BY604" s="4387"/>
      <c r="BZ604" s="4387"/>
      <c r="CA604" s="4391"/>
      <c r="CC604" s="4392"/>
      <c r="CD604" s="4391"/>
    </row>
    <row r="605" s="4025" customFormat="1" ht="50" customHeight="1" spans="1:82">
      <c r="A605" s="3688">
        <v>45853</v>
      </c>
      <c r="B605" s="3689" t="s">
        <v>3495</v>
      </c>
      <c r="C605" s="3664" t="s">
        <v>91</v>
      </c>
      <c r="D605" s="3690">
        <v>4500173940</v>
      </c>
      <c r="E605" s="5456" t="s">
        <v>4636</v>
      </c>
      <c r="F605" s="3690" t="s">
        <v>4637</v>
      </c>
      <c r="G605" s="3664" t="s">
        <v>3068</v>
      </c>
      <c r="H605" s="3664" t="s">
        <v>3069</v>
      </c>
      <c r="I605" s="3691">
        <v>4224</v>
      </c>
      <c r="J605" s="3691">
        <v>0</v>
      </c>
      <c r="K605" s="3691">
        <v>384</v>
      </c>
      <c r="L605" s="3691">
        <f t="shared" si="254"/>
        <v>11</v>
      </c>
      <c r="M605" s="3659">
        <v>45889</v>
      </c>
      <c r="N605" s="3659">
        <v>45885</v>
      </c>
      <c r="O605" s="3664" t="s">
        <v>4619</v>
      </c>
      <c r="P605" s="3682" t="s">
        <v>82</v>
      </c>
      <c r="Q605" s="3682"/>
      <c r="R605" s="4083"/>
      <c r="S605" s="4083"/>
      <c r="T605" s="4083"/>
      <c r="U605" s="3645" t="s">
        <v>228</v>
      </c>
      <c r="V605" s="3649" t="s">
        <v>4620</v>
      </c>
      <c r="W605" s="3695"/>
      <c r="X605" s="3657" t="s">
        <v>4621</v>
      </c>
      <c r="Y605" s="3649" t="s">
        <v>4622</v>
      </c>
      <c r="Z605" s="3664" t="s">
        <v>4623</v>
      </c>
      <c r="AA605" s="3620" t="s">
        <v>3863</v>
      </c>
      <c r="AB605" s="3691" t="s">
        <v>3076</v>
      </c>
      <c r="AC605" s="3691">
        <v>512.2218</v>
      </c>
      <c r="AD605" s="3691">
        <f t="shared" si="267"/>
        <v>5634.4398</v>
      </c>
      <c r="AE605" s="3645"/>
      <c r="AF605" s="3664" t="s">
        <v>3078</v>
      </c>
      <c r="AG605" s="3645" t="s">
        <v>416</v>
      </c>
      <c r="AH605" s="4422"/>
      <c r="AI605" s="3691"/>
      <c r="AJ605" s="3691">
        <f t="shared" si="265"/>
        <v>4224</v>
      </c>
      <c r="AK605" s="4422"/>
      <c r="AL605" s="3664"/>
      <c r="AM605" s="3664"/>
      <c r="AN605" s="3691"/>
      <c r="AO605" s="3691"/>
      <c r="AP605" s="3691">
        <f t="shared" si="266"/>
        <v>4224</v>
      </c>
      <c r="AQ605" s="4089"/>
      <c r="AR605" s="907"/>
      <c r="AS605" s="4089">
        <f t="shared" si="260"/>
        <v>4224</v>
      </c>
      <c r="AT605" s="907"/>
      <c r="AU605" s="4089"/>
      <c r="AV605" s="4089"/>
      <c r="AW605" s="4089"/>
      <c r="AX605" s="4089"/>
      <c r="AY605" s="4089"/>
      <c r="AZ605" s="4089"/>
      <c r="BA605" s="4089"/>
      <c r="BB605" s="4089">
        <f t="shared" si="268"/>
        <v>2112</v>
      </c>
      <c r="BC605" s="4089"/>
      <c r="BD605" s="4089"/>
      <c r="BE605" s="4089"/>
      <c r="BF605" s="4089" t="s">
        <v>682</v>
      </c>
      <c r="BG605" s="4089"/>
      <c r="BH605" s="4089">
        <f t="shared" si="248"/>
        <v>704</v>
      </c>
      <c r="BI605" s="4089">
        <f t="shared" si="249"/>
        <v>704</v>
      </c>
      <c r="BJ605" s="4089">
        <f t="shared" si="250"/>
        <v>704</v>
      </c>
      <c r="BK605" s="4089">
        <f t="shared" si="251"/>
        <v>704</v>
      </c>
      <c r="BL605" s="4089">
        <f t="shared" si="252"/>
        <v>704</v>
      </c>
      <c r="BM605" s="4089">
        <f t="shared" si="253"/>
        <v>563.2</v>
      </c>
      <c r="BN605" s="4089">
        <f t="shared" si="244"/>
        <v>140.8</v>
      </c>
      <c r="BO605" s="907"/>
      <c r="BP605" s="907"/>
      <c r="BQ605" s="907"/>
      <c r="BR605" s="907"/>
      <c r="BS605" s="907"/>
      <c r="BT605" s="910"/>
      <c r="BU605" s="911"/>
      <c r="BV605" s="4385">
        <f t="shared" si="246"/>
        <v>4224</v>
      </c>
      <c r="BW605" s="4386">
        <f t="shared" si="257"/>
        <v>0</v>
      </c>
      <c r="BX605" s="4387"/>
      <c r="BY605" s="4387"/>
      <c r="BZ605" s="4387"/>
      <c r="CA605" s="4391"/>
      <c r="CC605" s="4392"/>
      <c r="CD605" s="4391"/>
    </row>
    <row r="606" s="4025" customFormat="1" ht="50" customHeight="1" spans="1:82">
      <c r="A606" s="3688">
        <v>45883</v>
      </c>
      <c r="B606" s="3689" t="s">
        <v>2285</v>
      </c>
      <c r="C606" s="3664" t="s">
        <v>351</v>
      </c>
      <c r="D606" s="3690">
        <v>4500176865</v>
      </c>
      <c r="E606" s="3664" t="s">
        <v>4638</v>
      </c>
      <c r="F606" s="3690" t="s">
        <v>4639</v>
      </c>
      <c r="G606" s="3664" t="s">
        <v>3343</v>
      </c>
      <c r="H606" s="3664" t="s">
        <v>3344</v>
      </c>
      <c r="I606" s="3691">
        <v>2121</v>
      </c>
      <c r="J606" s="3691">
        <v>0</v>
      </c>
      <c r="K606" s="3691">
        <v>1</v>
      </c>
      <c r="L606" s="3691">
        <f t="shared" si="254"/>
        <v>2121</v>
      </c>
      <c r="M606" s="3659">
        <v>45889</v>
      </c>
      <c r="N606" s="3659">
        <v>45885</v>
      </c>
      <c r="O606" s="3664" t="s">
        <v>4640</v>
      </c>
      <c r="P606" s="3682" t="s">
        <v>82</v>
      </c>
      <c r="Q606" s="3682"/>
      <c r="R606" s="4083"/>
      <c r="S606" s="4083"/>
      <c r="T606" s="4083"/>
      <c r="U606" s="3645" t="s">
        <v>401</v>
      </c>
      <c r="V606" s="3649" t="s">
        <v>4641</v>
      </c>
      <c r="W606" s="3695"/>
      <c r="X606" s="3657" t="s">
        <v>4642</v>
      </c>
      <c r="Y606" s="3649"/>
      <c r="Z606" s="3664"/>
      <c r="AA606" s="3620" t="s">
        <v>4643</v>
      </c>
      <c r="AB606" s="3691" t="s">
        <v>1199</v>
      </c>
      <c r="AC606" s="3691">
        <v>8.9545</v>
      </c>
      <c r="AD606" s="3691">
        <f t="shared" ref="AD606:AD614" si="269">AC606*I606</f>
        <v>18992.4945</v>
      </c>
      <c r="AE606" s="3645"/>
      <c r="AF606" s="3664" t="s">
        <v>3349</v>
      </c>
      <c r="AG606" s="3645" t="s">
        <v>416</v>
      </c>
      <c r="AH606" s="4430"/>
      <c r="AI606" s="3691">
        <f>I606</f>
        <v>2121</v>
      </c>
      <c r="AJ606" s="3691"/>
      <c r="AK606" s="4430"/>
      <c r="AL606" s="3664"/>
      <c r="AM606" s="3664"/>
      <c r="AN606" s="3691"/>
      <c r="AO606" s="3691">
        <f>I606</f>
        <v>2121</v>
      </c>
      <c r="AP606" s="3691"/>
      <c r="AQ606" s="4089"/>
      <c r="AR606" s="4413"/>
      <c r="AS606" s="4089">
        <f t="shared" si="260"/>
        <v>2121</v>
      </c>
      <c r="AT606" s="4413"/>
      <c r="AU606" s="4089"/>
      <c r="AV606" s="4089"/>
      <c r="AW606" s="4089"/>
      <c r="AX606" s="4089"/>
      <c r="AY606" s="4089"/>
      <c r="AZ606" s="4089"/>
      <c r="BA606" s="4089"/>
      <c r="BB606" s="4089"/>
      <c r="BC606" s="4089">
        <f>I606</f>
        <v>2121</v>
      </c>
      <c r="BD606" s="4089"/>
      <c r="BE606" s="4089"/>
      <c r="BF606" s="4089" t="s">
        <v>89</v>
      </c>
      <c r="BG606" s="4089"/>
      <c r="BH606" s="4089">
        <f t="shared" si="248"/>
        <v>353.5</v>
      </c>
      <c r="BI606" s="4089">
        <f t="shared" si="249"/>
        <v>353.5</v>
      </c>
      <c r="BJ606" s="4089">
        <f t="shared" si="250"/>
        <v>353.5</v>
      </c>
      <c r="BK606" s="4089">
        <f t="shared" si="251"/>
        <v>353.5</v>
      </c>
      <c r="BL606" s="4089">
        <f t="shared" si="252"/>
        <v>353.5</v>
      </c>
      <c r="BM606" s="4089">
        <f t="shared" si="253"/>
        <v>282.8</v>
      </c>
      <c r="BN606" s="4089">
        <f t="shared" si="244"/>
        <v>70.7</v>
      </c>
      <c r="BO606" s="4413"/>
      <c r="BP606" s="4413"/>
      <c r="BQ606" s="4413"/>
      <c r="BR606" s="4413"/>
      <c r="BS606" s="4413"/>
      <c r="BT606" s="4431"/>
      <c r="BU606" s="4432"/>
      <c r="BV606" s="4385">
        <f t="shared" si="246"/>
        <v>2121</v>
      </c>
      <c r="BW606" s="4386">
        <f t="shared" si="257"/>
        <v>0</v>
      </c>
      <c r="BX606" s="4387"/>
      <c r="BY606" s="4387"/>
      <c r="BZ606" s="4387"/>
      <c r="CA606" s="4391"/>
      <c r="CC606" s="4392"/>
      <c r="CD606" s="4391"/>
    </row>
    <row r="607" s="4025" customFormat="1" ht="50" customHeight="1" spans="1:82">
      <c r="A607" s="3688">
        <v>45883</v>
      </c>
      <c r="B607" s="3689" t="s">
        <v>2285</v>
      </c>
      <c r="C607" s="3664" t="s">
        <v>351</v>
      </c>
      <c r="D607" s="3690">
        <v>4500176865</v>
      </c>
      <c r="E607" s="3664" t="s">
        <v>4638</v>
      </c>
      <c r="F607" s="3690" t="s">
        <v>4644</v>
      </c>
      <c r="G607" s="3664" t="s">
        <v>3352</v>
      </c>
      <c r="H607" s="3664" t="s">
        <v>3353</v>
      </c>
      <c r="I607" s="3691">
        <v>4872</v>
      </c>
      <c r="J607" s="3691">
        <v>0</v>
      </c>
      <c r="K607" s="3691">
        <v>12</v>
      </c>
      <c r="L607" s="3691">
        <f t="shared" si="254"/>
        <v>406</v>
      </c>
      <c r="M607" s="3659">
        <v>45889</v>
      </c>
      <c r="N607" s="3659">
        <v>45885</v>
      </c>
      <c r="O607" s="3664" t="s">
        <v>4645</v>
      </c>
      <c r="P607" s="3682" t="s">
        <v>82</v>
      </c>
      <c r="Q607" s="3682"/>
      <c r="R607" s="4083"/>
      <c r="S607" s="4083"/>
      <c r="T607" s="4083"/>
      <c r="U607" s="3645" t="s">
        <v>401</v>
      </c>
      <c r="V607" s="3649" t="s">
        <v>4641</v>
      </c>
      <c r="W607" s="3695"/>
      <c r="X607" s="3657" t="s">
        <v>4642</v>
      </c>
      <c r="Y607" s="3649"/>
      <c r="Z607" s="3664"/>
      <c r="AA607" s="3620" t="s">
        <v>4646</v>
      </c>
      <c r="AB607" s="3691" t="s">
        <v>1199</v>
      </c>
      <c r="AC607" s="3691">
        <v>4.8333</v>
      </c>
      <c r="AD607" s="3691">
        <f t="shared" si="269"/>
        <v>23547.8376</v>
      </c>
      <c r="AE607" s="3645"/>
      <c r="AF607" s="3664" t="s">
        <v>3356</v>
      </c>
      <c r="AG607" s="3645" t="s">
        <v>416</v>
      </c>
      <c r="AH607" s="4430"/>
      <c r="AI607" s="3691">
        <f>I607</f>
        <v>4872</v>
      </c>
      <c r="AJ607" s="3691"/>
      <c r="AK607" s="4430"/>
      <c r="AL607" s="3664"/>
      <c r="AM607" s="3664"/>
      <c r="AN607" s="3691"/>
      <c r="AO607" s="3691">
        <f>I607</f>
        <v>4872</v>
      </c>
      <c r="AP607" s="3691"/>
      <c r="AQ607" s="4089"/>
      <c r="AR607" s="4413"/>
      <c r="AS607" s="4089">
        <f t="shared" si="260"/>
        <v>4872</v>
      </c>
      <c r="AT607" s="4413"/>
      <c r="AU607" s="4089"/>
      <c r="AV607" s="4089"/>
      <c r="AW607" s="4089"/>
      <c r="AX607" s="4089"/>
      <c r="AY607" s="4089"/>
      <c r="AZ607" s="4089"/>
      <c r="BA607" s="4089"/>
      <c r="BB607" s="4089"/>
      <c r="BC607" s="4089">
        <f>I607</f>
        <v>4872</v>
      </c>
      <c r="BD607" s="4089"/>
      <c r="BE607" s="4089"/>
      <c r="BF607" s="4089" t="s">
        <v>89</v>
      </c>
      <c r="BG607" s="4089"/>
      <c r="BH607" s="4089">
        <f t="shared" si="248"/>
        <v>812</v>
      </c>
      <c r="BI607" s="4089">
        <f t="shared" si="249"/>
        <v>812</v>
      </c>
      <c r="BJ607" s="4089">
        <f t="shared" si="250"/>
        <v>812</v>
      </c>
      <c r="BK607" s="4403">
        <f t="shared" si="251"/>
        <v>812</v>
      </c>
      <c r="BL607" s="4385">
        <f t="shared" si="252"/>
        <v>812</v>
      </c>
      <c r="BM607" s="4403">
        <f t="shared" si="253"/>
        <v>649.6</v>
      </c>
      <c r="BN607" s="4089">
        <f t="shared" si="244"/>
        <v>162.4</v>
      </c>
      <c r="BO607" s="4413"/>
      <c r="BP607" s="4413"/>
      <c r="BQ607" s="4413"/>
      <c r="BR607" s="4413"/>
      <c r="BS607" s="4413"/>
      <c r="BT607" s="4431"/>
      <c r="BU607" s="4432"/>
      <c r="BV607" s="4385">
        <f t="shared" si="246"/>
        <v>4872</v>
      </c>
      <c r="BW607" s="4386">
        <f t="shared" si="257"/>
        <v>0</v>
      </c>
      <c r="BX607" s="4387"/>
      <c r="BY607" s="4387"/>
      <c r="BZ607" s="4387"/>
      <c r="CA607" s="4391"/>
      <c r="CC607" s="4392"/>
      <c r="CD607" s="4391"/>
    </row>
    <row r="608" s="4025" customFormat="1" ht="50" customHeight="1" spans="1:82">
      <c r="A608" s="3688">
        <v>45883</v>
      </c>
      <c r="B608" s="3689" t="s">
        <v>2285</v>
      </c>
      <c r="C608" s="3664" t="s">
        <v>351</v>
      </c>
      <c r="D608" s="3690">
        <v>4500176865</v>
      </c>
      <c r="E608" s="3664" t="s">
        <v>3336</v>
      </c>
      <c r="F608" s="3690" t="s">
        <v>4647</v>
      </c>
      <c r="G608" s="3664" t="s">
        <v>3343</v>
      </c>
      <c r="H608" s="3664" t="s">
        <v>3344</v>
      </c>
      <c r="I608" s="3691">
        <v>759</v>
      </c>
      <c r="J608" s="3691">
        <v>0</v>
      </c>
      <c r="K608" s="3691">
        <v>1</v>
      </c>
      <c r="L608" s="3691">
        <f t="shared" si="254"/>
        <v>759</v>
      </c>
      <c r="M608" s="3659">
        <v>45889</v>
      </c>
      <c r="N608" s="3659">
        <v>45885</v>
      </c>
      <c r="O608" s="3664" t="s">
        <v>4648</v>
      </c>
      <c r="P608" s="3682" t="s">
        <v>82</v>
      </c>
      <c r="Q608" s="3682"/>
      <c r="R608" s="4083"/>
      <c r="S608" s="4083"/>
      <c r="T608" s="4083"/>
      <c r="U608" s="3645" t="s">
        <v>228</v>
      </c>
      <c r="V608" s="3649" t="s">
        <v>4641</v>
      </c>
      <c r="W608" s="3695"/>
      <c r="X608" s="3657" t="s">
        <v>4642</v>
      </c>
      <c r="Y608" s="3649"/>
      <c r="Z608" s="3664"/>
      <c r="AA608" s="3620" t="s">
        <v>4643</v>
      </c>
      <c r="AB608" s="3691" t="s">
        <v>1199</v>
      </c>
      <c r="AC608" s="3691">
        <v>8.9545</v>
      </c>
      <c r="AD608" s="3691">
        <f t="shared" si="269"/>
        <v>6796.4655</v>
      </c>
      <c r="AE608" s="3645"/>
      <c r="AF608" s="3664" t="s">
        <v>3349</v>
      </c>
      <c r="AG608" s="3645" t="s">
        <v>416</v>
      </c>
      <c r="AH608" s="4430"/>
      <c r="AI608" s="3691">
        <f>I608</f>
        <v>759</v>
      </c>
      <c r="AJ608" s="3691"/>
      <c r="AK608" s="4430"/>
      <c r="AL608" s="3664"/>
      <c r="AM608" s="3664"/>
      <c r="AN608" s="3691"/>
      <c r="AO608" s="3691">
        <f>I608</f>
        <v>759</v>
      </c>
      <c r="AP608" s="3691"/>
      <c r="AQ608" s="4089"/>
      <c r="AR608" s="4413"/>
      <c r="AS608" s="4089">
        <f t="shared" si="260"/>
        <v>759</v>
      </c>
      <c r="AT608" s="4413"/>
      <c r="AU608" s="4089"/>
      <c r="AV608" s="4089"/>
      <c r="AW608" s="4089"/>
      <c r="AX608" s="4089"/>
      <c r="AY608" s="4089"/>
      <c r="AZ608" s="4089"/>
      <c r="BA608" s="4089"/>
      <c r="BB608" s="4089"/>
      <c r="BC608" s="4089">
        <f>I608</f>
        <v>759</v>
      </c>
      <c r="BD608" s="4089"/>
      <c r="BE608" s="4089"/>
      <c r="BF608" s="4089" t="s">
        <v>89</v>
      </c>
      <c r="BG608" s="4089"/>
      <c r="BH608" s="4089">
        <f t="shared" si="248"/>
        <v>126.5</v>
      </c>
      <c r="BI608" s="4089">
        <f t="shared" si="249"/>
        <v>126.5</v>
      </c>
      <c r="BJ608" s="4089">
        <f t="shared" si="250"/>
        <v>126.5</v>
      </c>
      <c r="BK608" s="4089">
        <f t="shared" si="251"/>
        <v>126.5</v>
      </c>
      <c r="BL608" s="4089">
        <f t="shared" si="252"/>
        <v>126.5</v>
      </c>
      <c r="BM608" s="4089">
        <f t="shared" si="253"/>
        <v>101.2</v>
      </c>
      <c r="BN608" s="4089">
        <f t="shared" si="244"/>
        <v>25.3</v>
      </c>
      <c r="BO608" s="4413"/>
      <c r="BP608" s="4413"/>
      <c r="BQ608" s="4413"/>
      <c r="BR608" s="4413"/>
      <c r="BS608" s="4413"/>
      <c r="BT608" s="4431"/>
      <c r="BU608" s="4432"/>
      <c r="BV608" s="4385">
        <f t="shared" si="246"/>
        <v>759</v>
      </c>
      <c r="BW608" s="4386">
        <f t="shared" si="257"/>
        <v>0</v>
      </c>
      <c r="BX608" s="4387"/>
      <c r="BY608" s="4387"/>
      <c r="BZ608" s="4387"/>
      <c r="CA608" s="4391"/>
      <c r="CC608" s="4392"/>
      <c r="CD608" s="4391"/>
    </row>
    <row r="609" s="4025" customFormat="1" ht="50" customHeight="1" spans="1:82">
      <c r="A609" s="3688">
        <v>45883</v>
      </c>
      <c r="B609" s="3689" t="s">
        <v>2285</v>
      </c>
      <c r="C609" s="3664" t="s">
        <v>351</v>
      </c>
      <c r="D609" s="3690">
        <v>4500176865</v>
      </c>
      <c r="E609" s="3664" t="s">
        <v>3336</v>
      </c>
      <c r="F609" s="3690" t="s">
        <v>4649</v>
      </c>
      <c r="G609" s="3664" t="s">
        <v>3352</v>
      </c>
      <c r="H609" s="3664" t="s">
        <v>3353</v>
      </c>
      <c r="I609" s="3691">
        <v>1272</v>
      </c>
      <c r="J609" s="3691">
        <v>0</v>
      </c>
      <c r="K609" s="3691">
        <v>12</v>
      </c>
      <c r="L609" s="3691">
        <f t="shared" si="254"/>
        <v>106</v>
      </c>
      <c r="M609" s="3659">
        <v>45889</v>
      </c>
      <c r="N609" s="3659">
        <v>45885</v>
      </c>
      <c r="O609" s="3664" t="s">
        <v>4650</v>
      </c>
      <c r="P609" s="3682" t="s">
        <v>82</v>
      </c>
      <c r="Q609" s="3682"/>
      <c r="R609" s="4083"/>
      <c r="S609" s="4083"/>
      <c r="T609" s="4083"/>
      <c r="U609" s="3645" t="s">
        <v>228</v>
      </c>
      <c r="V609" s="3649" t="s">
        <v>4641</v>
      </c>
      <c r="W609" s="3695"/>
      <c r="X609" s="3657" t="s">
        <v>4642</v>
      </c>
      <c r="Y609" s="3649"/>
      <c r="Z609" s="3664"/>
      <c r="AA609" s="3620" t="s">
        <v>4646</v>
      </c>
      <c r="AB609" s="3691" t="s">
        <v>1199</v>
      </c>
      <c r="AC609" s="3691">
        <v>4.8333</v>
      </c>
      <c r="AD609" s="3691">
        <f t="shared" si="269"/>
        <v>6147.9576</v>
      </c>
      <c r="AE609" s="3645"/>
      <c r="AF609" s="3664" t="s">
        <v>3356</v>
      </c>
      <c r="AG609" s="3645" t="s">
        <v>416</v>
      </c>
      <c r="AH609" s="4430"/>
      <c r="AI609" s="3691">
        <f>I609</f>
        <v>1272</v>
      </c>
      <c r="AJ609" s="3691"/>
      <c r="AK609" s="4430"/>
      <c r="AL609" s="3664"/>
      <c r="AM609" s="3664"/>
      <c r="AN609" s="3691"/>
      <c r="AO609" s="3691">
        <f>I609</f>
        <v>1272</v>
      </c>
      <c r="AP609" s="3691"/>
      <c r="AQ609" s="4089"/>
      <c r="AR609" s="4413"/>
      <c r="AS609" s="4089">
        <f t="shared" si="260"/>
        <v>1272</v>
      </c>
      <c r="AT609" s="4413"/>
      <c r="AU609" s="4089"/>
      <c r="AV609" s="4089"/>
      <c r="AW609" s="4089"/>
      <c r="AX609" s="4089"/>
      <c r="AY609" s="4089"/>
      <c r="AZ609" s="4089"/>
      <c r="BA609" s="4089"/>
      <c r="BB609" s="4089"/>
      <c r="BC609" s="4089">
        <f>I609</f>
        <v>1272</v>
      </c>
      <c r="BD609" s="4089"/>
      <c r="BE609" s="4089"/>
      <c r="BF609" s="4089" t="s">
        <v>89</v>
      </c>
      <c r="BG609" s="4089"/>
      <c r="BH609" s="4089">
        <f t="shared" si="248"/>
        <v>212</v>
      </c>
      <c r="BI609" s="4089">
        <f t="shared" si="249"/>
        <v>212</v>
      </c>
      <c r="BJ609" s="4089">
        <f t="shared" si="250"/>
        <v>212</v>
      </c>
      <c r="BK609" s="4403">
        <f t="shared" si="251"/>
        <v>212</v>
      </c>
      <c r="BL609" s="4385">
        <f t="shared" si="252"/>
        <v>212</v>
      </c>
      <c r="BM609" s="4403">
        <f t="shared" si="253"/>
        <v>169.6</v>
      </c>
      <c r="BN609" s="4089">
        <f t="shared" si="244"/>
        <v>42.4</v>
      </c>
      <c r="BO609" s="4413"/>
      <c r="BP609" s="4413"/>
      <c r="BQ609" s="4413"/>
      <c r="BR609" s="4413"/>
      <c r="BS609" s="4413"/>
      <c r="BT609" s="4431"/>
      <c r="BU609" s="4432"/>
      <c r="BV609" s="4385">
        <f t="shared" si="246"/>
        <v>1272</v>
      </c>
      <c r="BW609" s="4386">
        <f t="shared" si="257"/>
        <v>0</v>
      </c>
      <c r="BX609" s="4387"/>
      <c r="BY609" s="4387"/>
      <c r="BZ609" s="4387"/>
      <c r="CA609" s="4391"/>
      <c r="CC609" s="4392"/>
      <c r="CD609" s="4391"/>
    </row>
    <row r="610" s="4025" customFormat="1" ht="50" customHeight="1" spans="1:82">
      <c r="A610" s="3688">
        <v>45841</v>
      </c>
      <c r="B610" s="3689" t="s">
        <v>3118</v>
      </c>
      <c r="C610" s="3664" t="s">
        <v>506</v>
      </c>
      <c r="D610" s="3690">
        <v>4500172669</v>
      </c>
      <c r="E610" s="3664">
        <v>84443</v>
      </c>
      <c r="F610" s="3690" t="s">
        <v>4651</v>
      </c>
      <c r="G610" s="3664" t="s">
        <v>2590</v>
      </c>
      <c r="H610" s="3664" t="s">
        <v>2591</v>
      </c>
      <c r="I610" s="3691">
        <v>504</v>
      </c>
      <c r="J610" s="3691">
        <v>0</v>
      </c>
      <c r="K610" s="3691">
        <v>6</v>
      </c>
      <c r="L610" s="3691">
        <f t="shared" si="254"/>
        <v>84</v>
      </c>
      <c r="M610" s="3659">
        <v>45890</v>
      </c>
      <c r="N610" s="3659">
        <v>45887</v>
      </c>
      <c r="O610" s="4085"/>
      <c r="P610" s="3682" t="s">
        <v>82</v>
      </c>
      <c r="Q610" s="3682"/>
      <c r="R610" s="4083"/>
      <c r="S610" s="4083"/>
      <c r="T610" s="4083"/>
      <c r="U610" s="3645" t="s">
        <v>1806</v>
      </c>
      <c r="V610" s="3649" t="s">
        <v>4559</v>
      </c>
      <c r="W610" s="3649"/>
      <c r="X610" s="3647" t="s">
        <v>4652</v>
      </c>
      <c r="Y610" s="3649"/>
      <c r="Z610" s="3691"/>
      <c r="AA610" s="3620" t="s">
        <v>4354</v>
      </c>
      <c r="AB610" s="3691" t="s">
        <v>448</v>
      </c>
      <c r="AC610" s="3691">
        <v>2.1582</v>
      </c>
      <c r="AD610" s="3691">
        <f t="shared" si="269"/>
        <v>1087.7328</v>
      </c>
      <c r="AE610" s="3645"/>
      <c r="AF610" s="3664" t="s">
        <v>2590</v>
      </c>
      <c r="AG610" s="3645" t="s">
        <v>416</v>
      </c>
      <c r="AH610" s="4422"/>
      <c r="AI610" s="3691"/>
      <c r="AJ610" s="3691">
        <f>I610</f>
        <v>504</v>
      </c>
      <c r="AK610" s="4422"/>
      <c r="AL610" s="3664"/>
      <c r="AM610" s="3664"/>
      <c r="AN610" s="3691"/>
      <c r="AO610" s="3691"/>
      <c r="AP610" s="3691">
        <f>I610</f>
        <v>504</v>
      </c>
      <c r="AQ610" s="4089"/>
      <c r="AR610" s="907"/>
      <c r="AS610" s="4089">
        <f t="shared" si="260"/>
        <v>504</v>
      </c>
      <c r="AT610" s="907"/>
      <c r="AU610" s="4089"/>
      <c r="AV610" s="4089"/>
      <c r="AW610" s="4089">
        <f>I610/6</f>
        <v>84</v>
      </c>
      <c r="AX610" s="4089"/>
      <c r="AY610" s="4089"/>
      <c r="AZ610" s="4089"/>
      <c r="BA610" s="4089"/>
      <c r="BB610" s="4089"/>
      <c r="BC610" s="4089"/>
      <c r="BD610" s="4089"/>
      <c r="BE610" s="4089"/>
      <c r="BF610" s="4089" t="s">
        <v>89</v>
      </c>
      <c r="BG610" s="4089"/>
      <c r="BH610" s="4089">
        <f t="shared" si="248"/>
        <v>84</v>
      </c>
      <c r="BI610" s="4089">
        <f t="shared" si="249"/>
        <v>84</v>
      </c>
      <c r="BJ610" s="4089">
        <f t="shared" si="250"/>
        <v>84</v>
      </c>
      <c r="BK610" s="4089">
        <f t="shared" si="251"/>
        <v>84</v>
      </c>
      <c r="BL610" s="4089">
        <f t="shared" si="252"/>
        <v>84</v>
      </c>
      <c r="BM610" s="4089">
        <f t="shared" si="253"/>
        <v>67.2</v>
      </c>
      <c r="BN610" s="4089">
        <f t="shared" si="244"/>
        <v>16.8</v>
      </c>
      <c r="BO610" s="907"/>
      <c r="BP610" s="907"/>
      <c r="BQ610" s="907"/>
      <c r="BR610" s="907"/>
      <c r="BS610" s="907"/>
      <c r="BT610" s="910"/>
      <c r="BU610" s="911"/>
      <c r="BV610" s="4385">
        <f t="shared" si="246"/>
        <v>504</v>
      </c>
      <c r="BW610" s="4386">
        <f t="shared" si="257"/>
        <v>0</v>
      </c>
      <c r="BX610" s="4387"/>
      <c r="BY610" s="4387"/>
      <c r="BZ610" s="4387"/>
      <c r="CA610" s="4391"/>
      <c r="CC610" s="4392" t="s">
        <v>4612</v>
      </c>
      <c r="CD610" s="4391" t="e">
        <v>#N/A</v>
      </c>
    </row>
    <row r="611" s="4025" customFormat="1" ht="50" customHeight="1" spans="1:82">
      <c r="A611" s="3688">
        <v>45786</v>
      </c>
      <c r="B611" s="3689" t="s">
        <v>4198</v>
      </c>
      <c r="C611" s="3664" t="s">
        <v>341</v>
      </c>
      <c r="D611" s="3690">
        <v>4500164512</v>
      </c>
      <c r="E611" s="3664" t="s">
        <v>4653</v>
      </c>
      <c r="F611" s="3690" t="s">
        <v>4654</v>
      </c>
      <c r="G611" s="3664" t="s">
        <v>2911</v>
      </c>
      <c r="H611" s="3664" t="s">
        <v>2620</v>
      </c>
      <c r="I611" s="3691">
        <v>4000</v>
      </c>
      <c r="J611" s="3691">
        <v>0</v>
      </c>
      <c r="K611" s="3691">
        <v>4</v>
      </c>
      <c r="L611" s="3691">
        <f t="shared" si="254"/>
        <v>1000</v>
      </c>
      <c r="M611" s="3659">
        <v>45890</v>
      </c>
      <c r="N611" s="3659">
        <v>45887</v>
      </c>
      <c r="O611" s="4085"/>
      <c r="P611" s="3682" t="s">
        <v>82</v>
      </c>
      <c r="Q611" s="3682"/>
      <c r="R611" s="4083"/>
      <c r="S611" s="4083"/>
      <c r="T611" s="4083"/>
      <c r="U611" s="3645" t="s">
        <v>401</v>
      </c>
      <c r="V611" s="3649" t="s">
        <v>3725</v>
      </c>
      <c r="W611" s="3649"/>
      <c r="X611" s="3657" t="s">
        <v>98</v>
      </c>
      <c r="Y611" s="3649"/>
      <c r="Z611" s="3691"/>
      <c r="AA611" s="3620" t="s">
        <v>4655</v>
      </c>
      <c r="AB611" s="3691" t="s">
        <v>1245</v>
      </c>
      <c r="AC611" s="3691">
        <v>2.2246</v>
      </c>
      <c r="AD611" s="3691">
        <f t="shared" si="269"/>
        <v>8898.4</v>
      </c>
      <c r="AE611" s="3645"/>
      <c r="AF611" s="3664" t="s">
        <v>2911</v>
      </c>
      <c r="AG611" s="3645" t="s">
        <v>416</v>
      </c>
      <c r="AH611" s="4422"/>
      <c r="AI611" s="3691"/>
      <c r="AJ611" s="3691">
        <f>I611</f>
        <v>4000</v>
      </c>
      <c r="AK611" s="4422"/>
      <c r="AL611" s="3664"/>
      <c r="AM611" s="3664"/>
      <c r="AN611" s="3691"/>
      <c r="AO611" s="3691"/>
      <c r="AP611" s="3691">
        <f>I611</f>
        <v>4000</v>
      </c>
      <c r="AQ611" s="4089"/>
      <c r="AR611" s="907"/>
      <c r="AS611" s="4089">
        <f t="shared" si="260"/>
        <v>4000</v>
      </c>
      <c r="AT611" s="907"/>
      <c r="AU611" s="4089"/>
      <c r="AV611" s="4089"/>
      <c r="AW611" s="4089"/>
      <c r="AX611" s="4089"/>
      <c r="AY611" s="4089"/>
      <c r="AZ611" s="4089"/>
      <c r="BA611" s="4089">
        <f>I611/4</f>
        <v>1000</v>
      </c>
      <c r="BB611" s="4089"/>
      <c r="BC611" s="4089"/>
      <c r="BD611" s="4089"/>
      <c r="BE611" s="4089"/>
      <c r="BF611" s="4089" t="s">
        <v>89</v>
      </c>
      <c r="BG611" s="4089"/>
      <c r="BH611" s="4089">
        <f t="shared" si="248"/>
        <v>666.666666666667</v>
      </c>
      <c r="BI611" s="4089">
        <f t="shared" si="249"/>
        <v>666.666666666667</v>
      </c>
      <c r="BJ611" s="4089">
        <f t="shared" si="250"/>
        <v>666.666666666667</v>
      </c>
      <c r="BK611" s="4089">
        <f t="shared" si="251"/>
        <v>666.666666666667</v>
      </c>
      <c r="BL611" s="4089">
        <f t="shared" si="252"/>
        <v>666.666666666667</v>
      </c>
      <c r="BM611" s="4089">
        <f t="shared" si="253"/>
        <v>533.333333333333</v>
      </c>
      <c r="BN611" s="4089">
        <f t="shared" si="244"/>
        <v>133.333333333333</v>
      </c>
      <c r="BO611" s="907"/>
      <c r="BP611" s="907"/>
      <c r="BQ611" s="907"/>
      <c r="BR611" s="907"/>
      <c r="BS611" s="907"/>
      <c r="BT611" s="910"/>
      <c r="BU611" s="911"/>
      <c r="BV611" s="4385">
        <f t="shared" si="246"/>
        <v>4000</v>
      </c>
      <c r="BW611" s="4386">
        <f t="shared" si="257"/>
        <v>0</v>
      </c>
      <c r="BX611" s="4387"/>
      <c r="BY611" s="4387"/>
      <c r="BZ611" s="4387"/>
      <c r="CA611" s="4391" t="str">
        <f>VLOOKUP(D611&amp;G611&amp;H611&amp;I611,'9298 版本变更明细'!C:AJ,34,FALSE)</f>
        <v>全套新包装</v>
      </c>
      <c r="CC611" s="4392" t="s">
        <v>4612</v>
      </c>
      <c r="CD611" s="4391" t="e">
        <v>#N/A</v>
      </c>
    </row>
    <row r="612" s="4025" customFormat="1" ht="50" customHeight="1" spans="1:82">
      <c r="A612" s="3688">
        <v>45849</v>
      </c>
      <c r="B612" s="3689" t="s">
        <v>4656</v>
      </c>
      <c r="C612" s="3664" t="s">
        <v>1279</v>
      </c>
      <c r="D612" s="3690">
        <v>4500173486</v>
      </c>
      <c r="E612" s="3664" t="s">
        <v>4657</v>
      </c>
      <c r="F612" s="3690" t="s">
        <v>4658</v>
      </c>
      <c r="G612" s="3664" t="s">
        <v>2647</v>
      </c>
      <c r="H612" s="3664" t="s">
        <v>2648</v>
      </c>
      <c r="I612" s="3691">
        <v>402</v>
      </c>
      <c r="J612" s="3691">
        <v>0</v>
      </c>
      <c r="K612" s="3691">
        <v>6</v>
      </c>
      <c r="L612" s="3691">
        <f t="shared" si="254"/>
        <v>67</v>
      </c>
      <c r="M612" s="3659">
        <v>45891</v>
      </c>
      <c r="N612" s="3659">
        <f>M612-4</f>
        <v>45887</v>
      </c>
      <c r="O612" s="4085"/>
      <c r="P612" s="3682" t="s">
        <v>82</v>
      </c>
      <c r="Q612" s="3682"/>
      <c r="R612" s="4083"/>
      <c r="S612" s="4083"/>
      <c r="T612" s="4083"/>
      <c r="U612" s="3645" t="s">
        <v>1813</v>
      </c>
      <c r="V612" s="3649" t="s">
        <v>4659</v>
      </c>
      <c r="W612" s="3622"/>
      <c r="X612" s="3657" t="s">
        <v>4660</v>
      </c>
      <c r="Y612" s="3657"/>
      <c r="Z612" s="3691"/>
      <c r="AA612" s="3620" t="s">
        <v>4661</v>
      </c>
      <c r="AB612" s="3691" t="s">
        <v>3107</v>
      </c>
      <c r="AC612" s="3691">
        <v>2.1582</v>
      </c>
      <c r="AD612" s="3691">
        <f t="shared" si="269"/>
        <v>867.5964</v>
      </c>
      <c r="AE612" s="3645"/>
      <c r="AF612" s="959" t="s">
        <v>2652</v>
      </c>
      <c r="AG612" s="3645" t="s">
        <v>416</v>
      </c>
      <c r="AH612" s="4422"/>
      <c r="AI612" s="3691"/>
      <c r="AJ612" s="3691"/>
      <c r="AK612" s="4422"/>
      <c r="AL612" s="3664"/>
      <c r="AM612" s="3664">
        <f>I612</f>
        <v>402</v>
      </c>
      <c r="AN612" s="3691"/>
      <c r="AO612" s="3691"/>
      <c r="AP612" s="3691">
        <f>I612</f>
        <v>402</v>
      </c>
      <c r="AQ612" s="4089"/>
      <c r="AR612" s="907"/>
      <c r="AS612" s="4089"/>
      <c r="AT612" s="907"/>
      <c r="AU612" s="4089">
        <f>I612</f>
        <v>402</v>
      </c>
      <c r="AV612" s="4089"/>
      <c r="AW612" s="4089">
        <f>I612/6</f>
        <v>67</v>
      </c>
      <c r="AX612" s="4089"/>
      <c r="AY612" s="4089"/>
      <c r="AZ612" s="4089"/>
      <c r="BA612" s="4089"/>
      <c r="BB612" s="4089"/>
      <c r="BC612" s="4089"/>
      <c r="BD612" s="4089"/>
      <c r="BE612" s="4089"/>
      <c r="BF612" s="4089" t="s">
        <v>89</v>
      </c>
      <c r="BG612" s="4089"/>
      <c r="BH612" s="4089">
        <f t="shared" si="248"/>
        <v>67</v>
      </c>
      <c r="BI612" s="4089">
        <f t="shared" si="249"/>
        <v>67</v>
      </c>
      <c r="BJ612" s="4089">
        <f t="shared" si="250"/>
        <v>67</v>
      </c>
      <c r="BK612" s="4089">
        <f t="shared" si="251"/>
        <v>67</v>
      </c>
      <c r="BL612" s="4089">
        <f t="shared" si="252"/>
        <v>67</v>
      </c>
      <c r="BM612" s="4089">
        <f t="shared" si="253"/>
        <v>53.6</v>
      </c>
      <c r="BN612" s="4089">
        <f t="shared" si="244"/>
        <v>13.4</v>
      </c>
      <c r="BO612" s="907"/>
      <c r="BP612" s="907"/>
      <c r="BQ612" s="907"/>
      <c r="BR612" s="907"/>
      <c r="BS612" s="907"/>
      <c r="BT612" s="910"/>
      <c r="BU612" s="911"/>
      <c r="BV612" s="4385">
        <f t="shared" si="246"/>
        <v>402</v>
      </c>
      <c r="BW612" s="4386">
        <f t="shared" si="257"/>
        <v>0</v>
      </c>
      <c r="BX612" s="4387"/>
      <c r="BY612" s="4387"/>
      <c r="BZ612" s="4387"/>
      <c r="CA612" s="4391"/>
      <c r="CC612" s="4392"/>
      <c r="CD612" s="4391"/>
    </row>
    <row r="613" s="4025" customFormat="1" ht="50" customHeight="1" spans="1:82">
      <c r="A613" s="4429">
        <v>45852</v>
      </c>
      <c r="B613" s="4080" t="s">
        <v>2908</v>
      </c>
      <c r="C613" s="3663" t="s">
        <v>341</v>
      </c>
      <c r="D613" s="3690">
        <v>4500173473</v>
      </c>
      <c r="E613" s="3664">
        <v>2753063</v>
      </c>
      <c r="F613" s="3690" t="s">
        <v>4662</v>
      </c>
      <c r="G613" s="3664" t="s">
        <v>2911</v>
      </c>
      <c r="H613" s="3664" t="s">
        <v>2620</v>
      </c>
      <c r="I613" s="3691">
        <v>6000</v>
      </c>
      <c r="J613" s="3691">
        <v>0</v>
      </c>
      <c r="K613" s="3691">
        <v>4</v>
      </c>
      <c r="L613" s="3691">
        <f t="shared" si="254"/>
        <v>1500</v>
      </c>
      <c r="M613" s="3659">
        <v>45891</v>
      </c>
      <c r="N613" s="3659">
        <f>M613-4</f>
        <v>45887</v>
      </c>
      <c r="O613" s="3664" t="s">
        <v>4663</v>
      </c>
      <c r="P613" s="3682" t="s">
        <v>82</v>
      </c>
      <c r="Q613" s="3682"/>
      <c r="R613" s="4083"/>
      <c r="S613" s="4083"/>
      <c r="T613" s="4083"/>
      <c r="U613" s="3645" t="s">
        <v>401</v>
      </c>
      <c r="V613" s="3649" t="s">
        <v>4659</v>
      </c>
      <c r="W613" s="3695"/>
      <c r="X613" s="3657" t="s">
        <v>98</v>
      </c>
      <c r="Y613" s="3649"/>
      <c r="Z613" s="3691"/>
      <c r="AA613" s="3620" t="s">
        <v>4664</v>
      </c>
      <c r="AB613" s="4084" t="s">
        <v>4665</v>
      </c>
      <c r="AC613" s="3691">
        <v>2.1102</v>
      </c>
      <c r="AD613" s="3691">
        <f t="shared" si="269"/>
        <v>12661.2</v>
      </c>
      <c r="AE613" s="3645" t="s">
        <v>4666</v>
      </c>
      <c r="AF613" s="3664" t="s">
        <v>2911</v>
      </c>
      <c r="AG613" s="3645" t="s">
        <v>416</v>
      </c>
      <c r="AH613" s="4422"/>
      <c r="AI613" s="3691"/>
      <c r="AJ613" s="3691">
        <f>I613</f>
        <v>6000</v>
      </c>
      <c r="AK613" s="4422"/>
      <c r="AL613" s="3664"/>
      <c r="AM613" s="3664"/>
      <c r="AN613" s="3691"/>
      <c r="AO613" s="3691"/>
      <c r="AP613" s="3691">
        <f>I613</f>
        <v>6000</v>
      </c>
      <c r="AQ613" s="4089"/>
      <c r="AR613" s="907"/>
      <c r="AS613" s="4089">
        <f t="shared" ref="AS613:AS635" si="270">I613</f>
        <v>6000</v>
      </c>
      <c r="AT613" s="907"/>
      <c r="AU613" s="4089"/>
      <c r="AV613" s="4089"/>
      <c r="AW613" s="4089"/>
      <c r="AX613" s="4089"/>
      <c r="AY613" s="4089"/>
      <c r="AZ613" s="4089"/>
      <c r="BA613" s="4089">
        <f>I613/4</f>
        <v>1500</v>
      </c>
      <c r="BB613" s="4089"/>
      <c r="BC613" s="4089"/>
      <c r="BD613" s="4089"/>
      <c r="BE613" s="4089"/>
      <c r="BF613" s="4089" t="s">
        <v>89</v>
      </c>
      <c r="BG613" s="4089"/>
      <c r="BH613" s="4089">
        <f t="shared" si="248"/>
        <v>1000</v>
      </c>
      <c r="BI613" s="4089">
        <f t="shared" si="249"/>
        <v>1000</v>
      </c>
      <c r="BJ613" s="4089">
        <f t="shared" si="250"/>
        <v>1000</v>
      </c>
      <c r="BK613" s="4089">
        <f t="shared" si="251"/>
        <v>1000</v>
      </c>
      <c r="BL613" s="4089">
        <f t="shared" si="252"/>
        <v>1000</v>
      </c>
      <c r="BM613" s="4089">
        <f t="shared" si="253"/>
        <v>800</v>
      </c>
      <c r="BN613" s="4089">
        <f t="shared" si="244"/>
        <v>200</v>
      </c>
      <c r="BO613" s="907"/>
      <c r="BP613" s="907"/>
      <c r="BQ613" s="907"/>
      <c r="BR613" s="907"/>
      <c r="BS613" s="907"/>
      <c r="BT613" s="910"/>
      <c r="BU613" s="911"/>
      <c r="BV613" s="4385">
        <f t="shared" si="246"/>
        <v>6000</v>
      </c>
      <c r="BW613" s="4386">
        <f t="shared" si="257"/>
        <v>0</v>
      </c>
      <c r="BX613" s="4387"/>
      <c r="BY613" s="4387"/>
      <c r="BZ613" s="4387"/>
      <c r="CA613" s="4391"/>
      <c r="CC613" s="4392"/>
      <c r="CD613" s="4391"/>
    </row>
    <row r="614" s="4025" customFormat="1" ht="50" customHeight="1" spans="1:82">
      <c r="A614" s="3688">
        <v>45855</v>
      </c>
      <c r="B614" s="3689" t="s">
        <v>1764</v>
      </c>
      <c r="C614" s="3664" t="s">
        <v>78</v>
      </c>
      <c r="D614" s="3690">
        <v>4500174183</v>
      </c>
      <c r="E614" s="3664" t="s">
        <v>1765</v>
      </c>
      <c r="F614" s="3690" t="s">
        <v>4667</v>
      </c>
      <c r="G614" s="3664" t="s">
        <v>2577</v>
      </c>
      <c r="H614" s="3664" t="s">
        <v>2578</v>
      </c>
      <c r="I614" s="3691">
        <v>3600</v>
      </c>
      <c r="J614" s="3691">
        <v>0</v>
      </c>
      <c r="K614" s="3691">
        <v>12</v>
      </c>
      <c r="L614" s="3691">
        <f t="shared" si="254"/>
        <v>300</v>
      </c>
      <c r="M614" s="3659">
        <v>45891</v>
      </c>
      <c r="N614" s="3659">
        <v>45887</v>
      </c>
      <c r="O614" s="4085"/>
      <c r="P614" s="3682" t="s">
        <v>82</v>
      </c>
      <c r="Q614" s="3682"/>
      <c r="R614" s="4083"/>
      <c r="S614" s="4083"/>
      <c r="T614" s="4083"/>
      <c r="U614" s="3645" t="s">
        <v>1767</v>
      </c>
      <c r="V614" s="3649" t="s">
        <v>1768</v>
      </c>
      <c r="W614" s="3622"/>
      <c r="X614" s="3657" t="s">
        <v>4668</v>
      </c>
      <c r="Y614" s="3657"/>
      <c r="Z614" s="3691"/>
      <c r="AA614" s="3620" t="s">
        <v>4669</v>
      </c>
      <c r="AB614" s="3691" t="s">
        <v>1771</v>
      </c>
      <c r="AC614" s="3691">
        <v>2.1358</v>
      </c>
      <c r="AD614" s="3691">
        <f t="shared" si="269"/>
        <v>7688.88</v>
      </c>
      <c r="AE614" s="3645"/>
      <c r="AF614" s="3664" t="s">
        <v>2604</v>
      </c>
      <c r="AG614" s="3645" t="s">
        <v>416</v>
      </c>
      <c r="AH614" s="4422"/>
      <c r="AI614" s="3691"/>
      <c r="AJ614" s="3691"/>
      <c r="AK614" s="4422"/>
      <c r="AL614" s="3664"/>
      <c r="AM614" s="3664">
        <f>I614</f>
        <v>3600</v>
      </c>
      <c r="AN614" s="3691"/>
      <c r="AO614" s="3691"/>
      <c r="AP614" s="3691">
        <f>I614</f>
        <v>3600</v>
      </c>
      <c r="AQ614" s="4089"/>
      <c r="AR614" s="907"/>
      <c r="AS614" s="4089">
        <f t="shared" si="270"/>
        <v>3600</v>
      </c>
      <c r="AT614" s="907"/>
      <c r="AU614" s="4089"/>
      <c r="AV614" s="4089"/>
      <c r="AW614" s="4089">
        <f>I614/6</f>
        <v>600</v>
      </c>
      <c r="AX614" s="4089"/>
      <c r="AY614" s="4089"/>
      <c r="AZ614" s="4089"/>
      <c r="BA614" s="4089"/>
      <c r="BB614" s="4089"/>
      <c r="BC614" s="4089"/>
      <c r="BD614" s="4089"/>
      <c r="BE614" s="4089"/>
      <c r="BF614" s="4089" t="s">
        <v>89</v>
      </c>
      <c r="BG614" s="4089"/>
      <c r="BH614" s="4089">
        <f t="shared" si="248"/>
        <v>600</v>
      </c>
      <c r="BI614" s="4089">
        <f t="shared" si="249"/>
        <v>600</v>
      </c>
      <c r="BJ614" s="4089">
        <f t="shared" si="250"/>
        <v>600</v>
      </c>
      <c r="BK614" s="4089">
        <f t="shared" si="251"/>
        <v>600</v>
      </c>
      <c r="BL614" s="4089">
        <f t="shared" si="252"/>
        <v>600</v>
      </c>
      <c r="BM614" s="4089">
        <f t="shared" si="253"/>
        <v>480</v>
      </c>
      <c r="BN614" s="4089">
        <f t="shared" si="244"/>
        <v>120</v>
      </c>
      <c r="BO614" s="907"/>
      <c r="BP614" s="907"/>
      <c r="BQ614" s="907"/>
      <c r="BR614" s="907"/>
      <c r="BS614" s="907"/>
      <c r="BT614" s="910"/>
      <c r="BU614" s="911"/>
      <c r="BV614" s="4385">
        <f t="shared" si="246"/>
        <v>3600</v>
      </c>
      <c r="BW614" s="4386">
        <f t="shared" si="257"/>
        <v>0</v>
      </c>
      <c r="BX614" s="4387"/>
      <c r="BY614" s="4387"/>
      <c r="BZ614" s="4387"/>
      <c r="CA614" s="4391"/>
      <c r="CC614" s="4392"/>
      <c r="CD614" s="4391"/>
    </row>
    <row r="615" s="4025" customFormat="1" ht="50" customHeight="1" spans="1:82">
      <c r="A615" s="3688">
        <v>45750</v>
      </c>
      <c r="B615" s="3689" t="s">
        <v>1315</v>
      </c>
      <c r="C615" s="3664" t="s">
        <v>1316</v>
      </c>
      <c r="D615" s="3690">
        <v>4500162590</v>
      </c>
      <c r="E615" s="3664" t="s">
        <v>1811</v>
      </c>
      <c r="F615" s="3690" t="s">
        <v>1812</v>
      </c>
      <c r="G615" s="3664" t="s">
        <v>3821</v>
      </c>
      <c r="H615" s="3664" t="s">
        <v>1320</v>
      </c>
      <c r="I615" s="3691">
        <v>1200</v>
      </c>
      <c r="J615" s="3691">
        <v>0</v>
      </c>
      <c r="K615" s="3691">
        <v>4</v>
      </c>
      <c r="L615" s="3691">
        <f t="shared" si="254"/>
        <v>300</v>
      </c>
      <c r="M615" s="3659">
        <v>45892</v>
      </c>
      <c r="N615" s="3659">
        <f>M615-4</f>
        <v>45888</v>
      </c>
      <c r="O615" s="4085"/>
      <c r="P615" s="3682" t="s">
        <v>82</v>
      </c>
      <c r="Q615" s="3682"/>
      <c r="R615" s="4083"/>
      <c r="S615" s="4083"/>
      <c r="T615" s="4083"/>
      <c r="U615" s="3645"/>
      <c r="V615" s="3649" t="s">
        <v>1322</v>
      </c>
      <c r="W615" s="3657"/>
      <c r="X615" s="3657" t="s">
        <v>1907</v>
      </c>
      <c r="Y615" s="3657"/>
      <c r="Z615" s="3691" t="s">
        <v>1814</v>
      </c>
      <c r="AA615" s="3620" t="s">
        <v>1376</v>
      </c>
      <c r="AB615" s="3691" t="s">
        <v>1326</v>
      </c>
      <c r="AC615" s="3691">
        <v>16.8855</v>
      </c>
      <c r="AD615" s="3691">
        <f>AC615*L615</f>
        <v>5065.65</v>
      </c>
      <c r="AE615" s="3645"/>
      <c r="AF615" s="3664" t="s">
        <v>3822</v>
      </c>
      <c r="AG615" s="3645" t="s">
        <v>416</v>
      </c>
      <c r="AH615" s="4430"/>
      <c r="AI615" s="3691"/>
      <c r="AJ615" s="3691"/>
      <c r="AK615" s="4430"/>
      <c r="AL615" s="3664"/>
      <c r="AM615" s="3664"/>
      <c r="AN615" s="3691">
        <f>I615</f>
        <v>1200</v>
      </c>
      <c r="AO615" s="3691"/>
      <c r="AP615" s="3691"/>
      <c r="AQ615" s="4089">
        <f>I615</f>
        <v>1200</v>
      </c>
      <c r="AR615" s="4413"/>
      <c r="AS615" s="4089">
        <f t="shared" si="270"/>
        <v>1200</v>
      </c>
      <c r="AT615" s="4413"/>
      <c r="AU615" s="4089"/>
      <c r="AV615" s="4089"/>
      <c r="AW615" s="4089"/>
      <c r="AX615" s="4089"/>
      <c r="AY615" s="4089"/>
      <c r="AZ615" s="4089"/>
      <c r="BA615" s="4089"/>
      <c r="BB615" s="4089"/>
      <c r="BC615" s="4089">
        <f>I615/4</f>
        <v>300</v>
      </c>
      <c r="BD615" s="4089"/>
      <c r="BE615" s="4089"/>
      <c r="BF615" s="4089" t="s">
        <v>1327</v>
      </c>
      <c r="BG615" s="4089"/>
      <c r="BH615" s="4089">
        <f t="shared" si="248"/>
        <v>200</v>
      </c>
      <c r="BI615" s="4089">
        <f t="shared" si="249"/>
        <v>200</v>
      </c>
      <c r="BJ615" s="4089">
        <f t="shared" si="250"/>
        <v>200</v>
      </c>
      <c r="BK615" s="4089">
        <f t="shared" si="251"/>
        <v>200</v>
      </c>
      <c r="BL615" s="4089">
        <f t="shared" si="252"/>
        <v>200</v>
      </c>
      <c r="BM615" s="4089">
        <f t="shared" si="253"/>
        <v>160</v>
      </c>
      <c r="BN615" s="4089">
        <f t="shared" si="244"/>
        <v>40</v>
      </c>
      <c r="BO615" s="4413"/>
      <c r="BP615" s="4413"/>
      <c r="BQ615" s="4413"/>
      <c r="BR615" s="4413"/>
      <c r="BS615" s="4413"/>
      <c r="BT615" s="4431"/>
      <c r="BU615" s="4432"/>
      <c r="BV615" s="4385">
        <f t="shared" si="246"/>
        <v>1200</v>
      </c>
      <c r="BW615" s="4386">
        <f t="shared" si="257"/>
        <v>0</v>
      </c>
      <c r="BX615" s="4387"/>
      <c r="BY615" s="4387"/>
      <c r="BZ615" s="4387"/>
      <c r="CA615" s="4391"/>
      <c r="CC615" s="4392" t="s">
        <v>4612</v>
      </c>
      <c r="CD615" s="4391" t="e">
        <v>#N/A</v>
      </c>
    </row>
    <row r="616" s="4025" customFormat="1" ht="50" customHeight="1" spans="1:82">
      <c r="A616" s="3688">
        <v>45849</v>
      </c>
      <c r="B616" s="3689" t="s">
        <v>4670</v>
      </c>
      <c r="C616" s="3664" t="s">
        <v>341</v>
      </c>
      <c r="D616" s="3690">
        <v>4500173548</v>
      </c>
      <c r="E616" s="3664" t="s">
        <v>4671</v>
      </c>
      <c r="F616" s="3690" t="s">
        <v>4672</v>
      </c>
      <c r="G616" s="3664" t="s">
        <v>2964</v>
      </c>
      <c r="H616" s="3664" t="s">
        <v>2965</v>
      </c>
      <c r="I616" s="3691">
        <v>504</v>
      </c>
      <c r="J616" s="3691">
        <v>6</v>
      </c>
      <c r="K616" s="3691">
        <v>12</v>
      </c>
      <c r="L616" s="3691">
        <f t="shared" si="254"/>
        <v>42</v>
      </c>
      <c r="M616" s="3659">
        <v>45894</v>
      </c>
      <c r="N616" s="3659">
        <v>45890</v>
      </c>
      <c r="O616" s="4085"/>
      <c r="P616" s="3682" t="s">
        <v>82</v>
      </c>
      <c r="Q616" s="3682"/>
      <c r="R616" s="4083"/>
      <c r="S616" s="4083"/>
      <c r="T616" s="4083"/>
      <c r="U616" s="3645" t="s">
        <v>228</v>
      </c>
      <c r="V616" s="3649" t="s">
        <v>1768</v>
      </c>
      <c r="W616" s="3657"/>
      <c r="X616" s="3657" t="s">
        <v>98</v>
      </c>
      <c r="Y616" s="3657"/>
      <c r="Z616" s="3691"/>
      <c r="AA616" s="3620" t="s">
        <v>4673</v>
      </c>
      <c r="AB616" s="3691" t="s">
        <v>1459</v>
      </c>
      <c r="AC616" s="3691">
        <v>2.1966</v>
      </c>
      <c r="AD616" s="3691">
        <f>AC616*I616</f>
        <v>1107.0864</v>
      </c>
      <c r="AE616" s="3645"/>
      <c r="AF616" s="3664" t="s">
        <v>2964</v>
      </c>
      <c r="AG616" s="3645" t="s">
        <v>416</v>
      </c>
      <c r="AH616" s="4422"/>
      <c r="AI616" s="3691"/>
      <c r="AJ616" s="3691">
        <f>I616</f>
        <v>504</v>
      </c>
      <c r="AK616" s="4422"/>
      <c r="AL616" s="3664"/>
      <c r="AM616" s="3664"/>
      <c r="AN616" s="3691"/>
      <c r="AO616" s="3691"/>
      <c r="AP616" s="3691">
        <f>I616</f>
        <v>504</v>
      </c>
      <c r="AQ616" s="4089"/>
      <c r="AR616" s="907"/>
      <c r="AS616" s="4089">
        <f t="shared" si="270"/>
        <v>504</v>
      </c>
      <c r="AT616" s="907"/>
      <c r="AU616" s="4089"/>
      <c r="AV616" s="4089"/>
      <c r="AW616" s="4089">
        <f>I616/6</f>
        <v>84</v>
      </c>
      <c r="AX616" s="4089"/>
      <c r="AY616" s="4089"/>
      <c r="AZ616" s="4089"/>
      <c r="BA616" s="4089"/>
      <c r="BB616" s="4089"/>
      <c r="BC616" s="4089"/>
      <c r="BD616" s="4089"/>
      <c r="BE616" s="4089"/>
      <c r="BF616" s="4089" t="s">
        <v>89</v>
      </c>
      <c r="BG616" s="4089"/>
      <c r="BH616" s="4089">
        <f t="shared" si="248"/>
        <v>84</v>
      </c>
      <c r="BI616" s="4089">
        <f t="shared" si="249"/>
        <v>84</v>
      </c>
      <c r="BJ616" s="4089">
        <f t="shared" si="250"/>
        <v>84</v>
      </c>
      <c r="BK616" s="4089">
        <f t="shared" si="251"/>
        <v>84</v>
      </c>
      <c r="BL616" s="4089">
        <f t="shared" si="252"/>
        <v>84</v>
      </c>
      <c r="BM616" s="4089">
        <f t="shared" si="253"/>
        <v>67.2</v>
      </c>
      <c r="BN616" s="4089">
        <f t="shared" si="244"/>
        <v>16.8</v>
      </c>
      <c r="BO616" s="907"/>
      <c r="BP616" s="907"/>
      <c r="BQ616" s="907"/>
      <c r="BR616" s="907"/>
      <c r="BS616" s="907"/>
      <c r="BT616" s="910"/>
      <c r="BU616" s="911"/>
      <c r="BV616" s="4385">
        <f t="shared" si="246"/>
        <v>504</v>
      </c>
      <c r="BW616" s="4386">
        <f t="shared" si="257"/>
        <v>0</v>
      </c>
      <c r="BX616" s="4387"/>
      <c r="BY616" s="4387"/>
      <c r="BZ616" s="4387"/>
      <c r="CA616" s="4391"/>
      <c r="CC616" s="4392"/>
      <c r="CD616" s="4391"/>
    </row>
    <row r="617" s="4025" customFormat="1" ht="50" customHeight="1" spans="1:82">
      <c r="A617" s="3688">
        <v>45853</v>
      </c>
      <c r="B617" s="3689" t="s">
        <v>4674</v>
      </c>
      <c r="C617" s="3664" t="s">
        <v>1385</v>
      </c>
      <c r="D617" s="3690">
        <v>4500173241</v>
      </c>
      <c r="E617" s="3664" t="s">
        <v>4675</v>
      </c>
      <c r="F617" s="3690" t="s">
        <v>4676</v>
      </c>
      <c r="G617" s="3664" t="s">
        <v>2577</v>
      </c>
      <c r="H617" s="3664" t="s">
        <v>2578</v>
      </c>
      <c r="I617" s="3691">
        <v>108</v>
      </c>
      <c r="J617" s="3691">
        <v>0</v>
      </c>
      <c r="K617" s="3691">
        <v>12</v>
      </c>
      <c r="L617" s="3691">
        <f t="shared" si="254"/>
        <v>9</v>
      </c>
      <c r="M617" s="3659">
        <v>45894</v>
      </c>
      <c r="N617" s="3659">
        <v>45890</v>
      </c>
      <c r="O617" s="4085"/>
      <c r="P617" s="3682" t="s">
        <v>82</v>
      </c>
      <c r="Q617" s="3682"/>
      <c r="R617" s="4083"/>
      <c r="S617" s="4083"/>
      <c r="T617" s="4083"/>
      <c r="U617" s="3645" t="s">
        <v>1806</v>
      </c>
      <c r="V617" s="3649" t="s">
        <v>1936</v>
      </c>
      <c r="W617" s="3622"/>
      <c r="X617" s="3657" t="s">
        <v>4677</v>
      </c>
      <c r="Y617" s="3657"/>
      <c r="Z617" s="3691"/>
      <c r="AA617" s="3620" t="s">
        <v>2140</v>
      </c>
      <c r="AB617" s="3691" t="s">
        <v>1434</v>
      </c>
      <c r="AC617" s="3691">
        <v>2.1438</v>
      </c>
      <c r="AD617" s="3691">
        <f>AC617*I617</f>
        <v>231.5304</v>
      </c>
      <c r="AE617" s="3645"/>
      <c r="AF617" s="3664" t="s">
        <v>2577</v>
      </c>
      <c r="AG617" s="3645" t="s">
        <v>416</v>
      </c>
      <c r="AH617" s="4422"/>
      <c r="AI617" s="3691"/>
      <c r="AJ617" s="3691">
        <f>I617</f>
        <v>108</v>
      </c>
      <c r="AK617" s="4422"/>
      <c r="AL617" s="3664"/>
      <c r="AM617" s="3664"/>
      <c r="AN617" s="3691"/>
      <c r="AO617" s="3691"/>
      <c r="AP617" s="3691">
        <f>I617</f>
        <v>108</v>
      </c>
      <c r="AQ617" s="4089"/>
      <c r="AR617" s="907"/>
      <c r="AS617" s="4089">
        <f t="shared" si="270"/>
        <v>108</v>
      </c>
      <c r="AT617" s="907"/>
      <c r="AU617" s="4089"/>
      <c r="AV617" s="4089"/>
      <c r="AW617" s="4089">
        <f>I617/6</f>
        <v>18</v>
      </c>
      <c r="AX617" s="4089"/>
      <c r="AY617" s="4089"/>
      <c r="AZ617" s="4089"/>
      <c r="BA617" s="4089"/>
      <c r="BB617" s="4089"/>
      <c r="BC617" s="4089"/>
      <c r="BD617" s="4089"/>
      <c r="BE617" s="4089"/>
      <c r="BF617" s="4089" t="s">
        <v>89</v>
      </c>
      <c r="BG617" s="4089"/>
      <c r="BH617" s="4089">
        <f t="shared" si="248"/>
        <v>18</v>
      </c>
      <c r="BI617" s="4089">
        <f t="shared" si="249"/>
        <v>18</v>
      </c>
      <c r="BJ617" s="4089">
        <f t="shared" si="250"/>
        <v>18</v>
      </c>
      <c r="BK617" s="4089">
        <f t="shared" si="251"/>
        <v>18</v>
      </c>
      <c r="BL617" s="4089">
        <f t="shared" si="252"/>
        <v>18</v>
      </c>
      <c r="BM617" s="4089">
        <f t="shared" si="253"/>
        <v>14.4</v>
      </c>
      <c r="BN617" s="4089">
        <f t="shared" si="244"/>
        <v>3.6</v>
      </c>
      <c r="BO617" s="907"/>
      <c r="BP617" s="907"/>
      <c r="BQ617" s="907"/>
      <c r="BR617" s="907"/>
      <c r="BS617" s="907"/>
      <c r="BT617" s="910"/>
      <c r="BU617" s="911"/>
      <c r="BV617" s="4385">
        <f t="shared" si="246"/>
        <v>108</v>
      </c>
      <c r="BW617" s="4386">
        <f t="shared" si="257"/>
        <v>0</v>
      </c>
      <c r="BX617" s="4387"/>
      <c r="BY617" s="4387"/>
      <c r="BZ617" s="4387"/>
      <c r="CA617" s="4391"/>
      <c r="CC617" s="4392"/>
      <c r="CD617" s="4391"/>
    </row>
    <row r="618" s="4025" customFormat="1" ht="50" customHeight="1" spans="1:82">
      <c r="A618" s="4428">
        <v>45853</v>
      </c>
      <c r="B618" s="959" t="s">
        <v>4674</v>
      </c>
      <c r="C618" s="959" t="s">
        <v>1385</v>
      </c>
      <c r="D618" s="3618">
        <v>4500173241</v>
      </c>
      <c r="E618" s="959" t="s">
        <v>4675</v>
      </c>
      <c r="F618" s="959" t="s">
        <v>4678</v>
      </c>
      <c r="G618" s="959" t="s">
        <v>3352</v>
      </c>
      <c r="H618" s="3664" t="s">
        <v>3353</v>
      </c>
      <c r="I618" s="3618">
        <v>324</v>
      </c>
      <c r="J618" s="3618">
        <v>0</v>
      </c>
      <c r="K618" s="3618">
        <v>12</v>
      </c>
      <c r="L618" s="3618">
        <f t="shared" si="254"/>
        <v>27</v>
      </c>
      <c r="M618" s="3619">
        <v>45894</v>
      </c>
      <c r="N618" s="3619">
        <v>45890</v>
      </c>
      <c r="O618" s="3664" t="s">
        <v>4679</v>
      </c>
      <c r="P618" s="3682" t="s">
        <v>82</v>
      </c>
      <c r="Q618" s="3682"/>
      <c r="R618" s="4083"/>
      <c r="S618" s="4083"/>
      <c r="T618" s="4083"/>
      <c r="U618" s="3645" t="s">
        <v>1806</v>
      </c>
      <c r="V618" s="3649" t="s">
        <v>1936</v>
      </c>
      <c r="W618" s="3695"/>
      <c r="X618" s="3657" t="s">
        <v>4677</v>
      </c>
      <c r="Y618" s="4091"/>
      <c r="Z618" s="3661"/>
      <c r="AA618" s="3620" t="s">
        <v>4680</v>
      </c>
      <c r="AB618" s="3618" t="s">
        <v>1434</v>
      </c>
      <c r="AC618" s="3618">
        <v>4.3796</v>
      </c>
      <c r="AD618" s="3618">
        <f>AC618*I618</f>
        <v>1418.9904</v>
      </c>
      <c r="AE618" s="3633"/>
      <c r="AF618" s="959" t="s">
        <v>3356</v>
      </c>
      <c r="AG618" s="3620" t="s">
        <v>416</v>
      </c>
      <c r="AH618" s="3620"/>
      <c r="AI618" s="3620"/>
      <c r="AJ618" s="3627">
        <f>I618</f>
        <v>324</v>
      </c>
      <c r="AK618" s="959"/>
      <c r="AL618" s="959"/>
      <c r="AM618" s="959"/>
      <c r="AN618" s="3618"/>
      <c r="AO618" s="3626"/>
      <c r="AP618" s="3626">
        <f>I618</f>
        <v>324</v>
      </c>
      <c r="AQ618" s="3626"/>
      <c r="AR618" s="3626"/>
      <c r="AS618" s="3626">
        <f t="shared" si="270"/>
        <v>324</v>
      </c>
      <c r="AT618" s="3626"/>
      <c r="AU618" s="3626"/>
      <c r="AV618" s="3626"/>
      <c r="AW618" s="3626"/>
      <c r="AX618" s="3626"/>
      <c r="AY618" s="3626"/>
      <c r="AZ618" s="4487"/>
      <c r="BA618" s="4487"/>
      <c r="BB618" s="4487"/>
      <c r="BC618" s="4089">
        <f>I618</f>
        <v>324</v>
      </c>
      <c r="BD618" s="4487"/>
      <c r="BE618" s="4487"/>
      <c r="BF618" s="4089" t="s">
        <v>89</v>
      </c>
      <c r="BG618" s="4487"/>
      <c r="BH618" s="4089">
        <f t="shared" si="248"/>
        <v>54</v>
      </c>
      <c r="BI618" s="4089">
        <f t="shared" si="249"/>
        <v>54</v>
      </c>
      <c r="BJ618" s="4089">
        <f t="shared" si="250"/>
        <v>54</v>
      </c>
      <c r="BK618" s="4403">
        <f t="shared" si="251"/>
        <v>54</v>
      </c>
      <c r="BL618" s="4385">
        <f t="shared" si="252"/>
        <v>54</v>
      </c>
      <c r="BM618" s="4403">
        <f t="shared" si="253"/>
        <v>43.2</v>
      </c>
      <c r="BN618" s="4089">
        <f t="shared" si="244"/>
        <v>10.8</v>
      </c>
      <c r="BO618" s="4411"/>
      <c r="BP618" s="4411"/>
      <c r="BQ618" s="4411"/>
      <c r="BR618" s="4411"/>
      <c r="BS618" s="4411"/>
      <c r="BT618" s="4453"/>
      <c r="BU618" s="4454"/>
      <c r="BV618" s="4385">
        <f t="shared" si="246"/>
        <v>324</v>
      </c>
      <c r="BW618" s="4386">
        <f t="shared" si="257"/>
        <v>0</v>
      </c>
      <c r="BX618" s="4387"/>
      <c r="BY618" s="4387"/>
      <c r="BZ618" s="4387"/>
      <c r="CA618" s="4391"/>
      <c r="CC618" s="4392"/>
      <c r="CD618" s="4391"/>
    </row>
    <row r="619" s="4025" customFormat="1" ht="50" customHeight="1" spans="1:82">
      <c r="A619" s="3688">
        <v>45769</v>
      </c>
      <c r="B619" s="3689" t="s">
        <v>2285</v>
      </c>
      <c r="C619" s="3664" t="s">
        <v>351</v>
      </c>
      <c r="D619" s="3690">
        <v>4500164464</v>
      </c>
      <c r="E619" s="3664" t="s">
        <v>3330</v>
      </c>
      <c r="F619" s="3690" t="s">
        <v>4681</v>
      </c>
      <c r="G619" s="3664" t="s">
        <v>2577</v>
      </c>
      <c r="H619" s="3664" t="s">
        <v>2578</v>
      </c>
      <c r="I619" s="3691">
        <v>4092</v>
      </c>
      <c r="J619" s="3691">
        <v>0</v>
      </c>
      <c r="K619" s="3691">
        <v>12</v>
      </c>
      <c r="L619" s="3691">
        <f t="shared" si="254"/>
        <v>341</v>
      </c>
      <c r="M619" s="3659">
        <v>45896</v>
      </c>
      <c r="N619" s="3659">
        <v>45892</v>
      </c>
      <c r="O619" s="4085"/>
      <c r="P619" s="3682" t="s">
        <v>82</v>
      </c>
      <c r="Q619" s="3682"/>
      <c r="R619" s="4083"/>
      <c r="S619" s="4083"/>
      <c r="T619" s="4083"/>
      <c r="U619" s="3645"/>
      <c r="V619" s="3649" t="s">
        <v>1419</v>
      </c>
      <c r="W619" s="3649"/>
      <c r="X619" s="3657" t="s">
        <v>98</v>
      </c>
      <c r="Y619" s="3649"/>
      <c r="Z619" s="3661" t="s">
        <v>4457</v>
      </c>
      <c r="AA619" s="3620" t="s">
        <v>4538</v>
      </c>
      <c r="AB619" s="3691" t="s">
        <v>1199</v>
      </c>
      <c r="AC619" s="3691">
        <v>2.1159</v>
      </c>
      <c r="AD619" s="3691">
        <f>AC619*I619</f>
        <v>8658.2628</v>
      </c>
      <c r="AE619" s="3645"/>
      <c r="AF619" s="3664" t="s">
        <v>4459</v>
      </c>
      <c r="AG619" s="3645" t="s">
        <v>416</v>
      </c>
      <c r="AH619" s="4448"/>
      <c r="AI619" s="3691"/>
      <c r="AJ619" s="3691"/>
      <c r="AK619" s="4448"/>
      <c r="AL619" s="3664"/>
      <c r="AM619" s="3664"/>
      <c r="AN619" s="3691">
        <f>I619</f>
        <v>4092</v>
      </c>
      <c r="AO619" s="3691">
        <f>I619</f>
        <v>4092</v>
      </c>
      <c r="AP619" s="3691"/>
      <c r="AQ619" s="4089"/>
      <c r="AR619" s="4411"/>
      <c r="AS619" s="4089">
        <f t="shared" si="270"/>
        <v>4092</v>
      </c>
      <c r="AT619" s="4411"/>
      <c r="AU619" s="4089"/>
      <c r="AV619" s="4089">
        <f>I619/6</f>
        <v>682</v>
      </c>
      <c r="AW619" s="4089"/>
      <c r="AX619" s="4089"/>
      <c r="AY619" s="4089"/>
      <c r="AZ619" s="4089"/>
      <c r="BA619" s="4089"/>
      <c r="BB619" s="4089"/>
      <c r="BC619" s="4089"/>
      <c r="BD619" s="4089"/>
      <c r="BE619" s="4089"/>
      <c r="BF619" s="4089" t="s">
        <v>89</v>
      </c>
      <c r="BG619" s="4089"/>
      <c r="BH619" s="4089">
        <f t="shared" si="248"/>
        <v>682</v>
      </c>
      <c r="BI619" s="4089">
        <f t="shared" si="249"/>
        <v>682</v>
      </c>
      <c r="BJ619" s="4089">
        <f t="shared" si="250"/>
        <v>682</v>
      </c>
      <c r="BK619" s="4089">
        <f t="shared" si="251"/>
        <v>682</v>
      </c>
      <c r="BL619" s="4089">
        <f t="shared" si="252"/>
        <v>682</v>
      </c>
      <c r="BM619" s="4089">
        <f t="shared" si="253"/>
        <v>545.6</v>
      </c>
      <c r="BN619" s="4089">
        <f>I619/60*2</f>
        <v>136.4</v>
      </c>
      <c r="BO619" s="4089"/>
      <c r="BP619" s="4089"/>
      <c r="BQ619" s="4089"/>
      <c r="BR619" s="4089"/>
      <c r="BS619" s="4089"/>
      <c r="BT619" s="4404"/>
      <c r="BU619" s="4403"/>
      <c r="BV619" s="4385">
        <f t="shared" si="246"/>
        <v>4092</v>
      </c>
      <c r="BW619" s="4386">
        <f t="shared" si="257"/>
        <v>0</v>
      </c>
      <c r="BX619" s="4387"/>
      <c r="BY619" s="4387"/>
      <c r="BZ619" s="4387"/>
      <c r="CA619" s="4391"/>
      <c r="CC619" s="4392" t="s">
        <v>4612</v>
      </c>
      <c r="CD619" s="4391" t="e">
        <v>#N/A</v>
      </c>
    </row>
    <row r="620" s="4025" customFormat="1" ht="50" customHeight="1" spans="1:82">
      <c r="A620" s="3688">
        <v>45769</v>
      </c>
      <c r="B620" s="3689" t="s">
        <v>2285</v>
      </c>
      <c r="C620" s="3664" t="s">
        <v>351</v>
      </c>
      <c r="D620" s="3690">
        <v>4500164464</v>
      </c>
      <c r="E620" s="3664" t="s">
        <v>3336</v>
      </c>
      <c r="F620" s="3690" t="s">
        <v>4682</v>
      </c>
      <c r="G620" s="3664" t="s">
        <v>2577</v>
      </c>
      <c r="H620" s="3664" t="s">
        <v>2578</v>
      </c>
      <c r="I620" s="3691">
        <v>1584</v>
      </c>
      <c r="J620" s="3691">
        <v>0</v>
      </c>
      <c r="K620" s="3691">
        <v>12</v>
      </c>
      <c r="L620" s="3691">
        <f t="shared" si="254"/>
        <v>132</v>
      </c>
      <c r="M620" s="3659">
        <v>45896</v>
      </c>
      <c r="N620" s="3659">
        <v>45892</v>
      </c>
      <c r="O620" s="4085"/>
      <c r="P620" s="3682" t="s">
        <v>82</v>
      </c>
      <c r="Q620" s="4488"/>
      <c r="R620" s="4489"/>
      <c r="S620" s="4489"/>
      <c r="T620" s="4489"/>
      <c r="U620" s="3701" t="s">
        <v>228</v>
      </c>
      <c r="V620" s="3649" t="s">
        <v>1419</v>
      </c>
      <c r="W620" s="3649"/>
      <c r="X620" s="3657" t="s">
        <v>98</v>
      </c>
      <c r="Y620" s="3657"/>
      <c r="Z620" s="3661" t="s">
        <v>4457</v>
      </c>
      <c r="AA620" s="3620" t="s">
        <v>4538</v>
      </c>
      <c r="AB620" s="3691" t="s">
        <v>1199</v>
      </c>
      <c r="AC620" s="3691">
        <v>2.1159</v>
      </c>
      <c r="AD620" s="3691">
        <f>AC620*I620</f>
        <v>3351.5856</v>
      </c>
      <c r="AE620" s="3645"/>
      <c r="AF620" s="3664" t="s">
        <v>4459</v>
      </c>
      <c r="AG620" s="3645" t="s">
        <v>416</v>
      </c>
      <c r="AH620" s="4448"/>
      <c r="AI620" s="3691"/>
      <c r="AJ620" s="3691"/>
      <c r="AK620" s="4448"/>
      <c r="AL620" s="3664"/>
      <c r="AM620" s="3664"/>
      <c r="AN620" s="3691">
        <f>I620</f>
        <v>1584</v>
      </c>
      <c r="AO620" s="3691">
        <f>I620</f>
        <v>1584</v>
      </c>
      <c r="AP620" s="3691"/>
      <c r="AQ620" s="4089"/>
      <c r="AR620" s="4411"/>
      <c r="AS620" s="4089">
        <f t="shared" si="270"/>
        <v>1584</v>
      </c>
      <c r="AT620" s="4411"/>
      <c r="AU620" s="4089"/>
      <c r="AV620" s="4089">
        <f>I620/6</f>
        <v>264</v>
      </c>
      <c r="AW620" s="4089"/>
      <c r="AX620" s="4089"/>
      <c r="AY620" s="4089"/>
      <c r="AZ620" s="4089"/>
      <c r="BA620" s="4089"/>
      <c r="BB620" s="4089"/>
      <c r="BC620" s="4089"/>
      <c r="BD620" s="4089"/>
      <c r="BE620" s="4089"/>
      <c r="BF620" s="4089" t="s">
        <v>89</v>
      </c>
      <c r="BG620" s="4089"/>
      <c r="BH620" s="4089">
        <f t="shared" si="248"/>
        <v>264</v>
      </c>
      <c r="BI620" s="4089">
        <f t="shared" si="249"/>
        <v>264</v>
      </c>
      <c r="BJ620" s="4089">
        <f t="shared" si="250"/>
        <v>264</v>
      </c>
      <c r="BK620" s="4089">
        <f t="shared" si="251"/>
        <v>264</v>
      </c>
      <c r="BL620" s="4089">
        <f t="shared" si="252"/>
        <v>264</v>
      </c>
      <c r="BM620" s="4089">
        <f t="shared" si="253"/>
        <v>211.2</v>
      </c>
      <c r="BN620" s="4089">
        <f>I620/60*2</f>
        <v>52.8</v>
      </c>
      <c r="BO620" s="4089"/>
      <c r="BP620" s="4089"/>
      <c r="BQ620" s="4089"/>
      <c r="BR620" s="4089"/>
      <c r="BS620" s="4089"/>
      <c r="BT620" s="4404"/>
      <c r="BU620" s="4403"/>
      <c r="BV620" s="4385">
        <f t="shared" si="246"/>
        <v>1584</v>
      </c>
      <c r="BW620" s="4386">
        <f t="shared" si="257"/>
        <v>0</v>
      </c>
      <c r="BX620" s="4387"/>
      <c r="BY620" s="4387"/>
      <c r="BZ620" s="4387"/>
      <c r="CA620" s="4391"/>
      <c r="CC620" s="4392" t="s">
        <v>4612</v>
      </c>
      <c r="CD620" s="4391" t="e">
        <v>#N/A</v>
      </c>
    </row>
    <row r="621" s="4025" customFormat="1" ht="50" customHeight="1" spans="1:82">
      <c r="A621" s="3688">
        <v>45863</v>
      </c>
      <c r="B621" s="3689" t="s">
        <v>4683</v>
      </c>
      <c r="C621" s="3664" t="s">
        <v>738</v>
      </c>
      <c r="D621" s="3690" t="s">
        <v>4684</v>
      </c>
      <c r="E621" s="3664" t="s">
        <v>1683</v>
      </c>
      <c r="F621" s="3690"/>
      <c r="G621" s="3664" t="s">
        <v>2640</v>
      </c>
      <c r="H621" s="3664" t="s">
        <v>2641</v>
      </c>
      <c r="I621" s="3691">
        <v>24</v>
      </c>
      <c r="J621" s="3691">
        <v>0</v>
      </c>
      <c r="K621" s="3691">
        <v>12</v>
      </c>
      <c r="L621" s="3691">
        <f t="shared" si="254"/>
        <v>2</v>
      </c>
      <c r="M621" s="3659">
        <v>45897</v>
      </c>
      <c r="N621" s="3659">
        <v>45894</v>
      </c>
      <c r="O621" s="4085"/>
      <c r="P621" s="3682" t="s">
        <v>82</v>
      </c>
      <c r="Q621" s="3682"/>
      <c r="R621" s="4083"/>
      <c r="S621" s="4083"/>
      <c r="T621" s="4083"/>
      <c r="U621" s="3645"/>
      <c r="V621" s="3649" t="s">
        <v>4685</v>
      </c>
      <c r="W621" s="3695"/>
      <c r="X621" s="3657" t="s">
        <v>4686</v>
      </c>
      <c r="Y621" s="3657" t="s">
        <v>4687</v>
      </c>
      <c r="Z621" s="3691"/>
      <c r="AA621" s="3620" t="s">
        <v>4688</v>
      </c>
      <c r="AB621" s="3691" t="s">
        <v>4689</v>
      </c>
      <c r="AC621" s="3691"/>
      <c r="AD621" s="3691"/>
      <c r="AE621" s="3645"/>
      <c r="AF621" s="3664" t="s">
        <v>2644</v>
      </c>
      <c r="AG621" s="3645" t="s">
        <v>416</v>
      </c>
      <c r="AH621" s="4448"/>
      <c r="AI621" s="3691"/>
      <c r="AJ621" s="3691"/>
      <c r="AK621" s="4448"/>
      <c r="AL621" s="3664"/>
      <c r="AM621" s="3664">
        <f>I621</f>
        <v>24</v>
      </c>
      <c r="AN621" s="3691"/>
      <c r="AO621" s="3691"/>
      <c r="AP621" s="3691">
        <f t="shared" ref="AP621:AP626" si="271">I621</f>
        <v>24</v>
      </c>
      <c r="AQ621" s="4089"/>
      <c r="AR621" s="4411"/>
      <c r="AS621" s="4089">
        <f t="shared" si="270"/>
        <v>24</v>
      </c>
      <c r="AT621" s="4411"/>
      <c r="AU621" s="4089"/>
      <c r="AV621" s="4089"/>
      <c r="AW621" s="4089"/>
      <c r="AX621" s="4089"/>
      <c r="AY621" s="4089"/>
      <c r="AZ621" s="4089"/>
      <c r="BA621" s="4089"/>
      <c r="BB621" s="4089"/>
      <c r="BC621" s="4089"/>
      <c r="BD621" s="4089"/>
      <c r="BE621" s="4089"/>
      <c r="BF621" s="4089" t="s">
        <v>89</v>
      </c>
      <c r="BG621" s="4089"/>
      <c r="BH621" s="4089">
        <f>I621-BU621</f>
        <v>24</v>
      </c>
      <c r="BI621" s="4089"/>
      <c r="BJ621" s="4089"/>
      <c r="BK621" s="4089"/>
      <c r="BL621" s="4089"/>
      <c r="BM621" s="4089"/>
      <c r="BN621" s="4089"/>
      <c r="BO621" s="4411"/>
      <c r="BP621" s="4411"/>
      <c r="BQ621" s="4411"/>
      <c r="BR621" s="4411"/>
      <c r="BS621" s="4411"/>
      <c r="BT621" s="4453"/>
      <c r="BU621" s="4454"/>
      <c r="BV621" s="4385">
        <f t="shared" si="246"/>
        <v>24</v>
      </c>
      <c r="BW621" s="4386">
        <f t="shared" si="257"/>
        <v>0</v>
      </c>
      <c r="BX621" s="4387"/>
      <c r="BY621" s="4387"/>
      <c r="BZ621" s="4387"/>
      <c r="CA621" s="4391"/>
      <c r="CC621" s="4392"/>
      <c r="CD621" s="4391"/>
    </row>
    <row r="622" s="4025" customFormat="1" ht="50" customHeight="1" spans="1:82">
      <c r="A622" s="3688">
        <v>45855</v>
      </c>
      <c r="B622" s="3689" t="s">
        <v>461</v>
      </c>
      <c r="C622" s="3664" t="s">
        <v>341</v>
      </c>
      <c r="D622" s="3690">
        <v>4500174240</v>
      </c>
      <c r="E622" s="3664">
        <v>50687483</v>
      </c>
      <c r="F622" s="3690" t="s">
        <v>4690</v>
      </c>
      <c r="G622" s="3664" t="s">
        <v>2627</v>
      </c>
      <c r="H622" s="3664" t="s">
        <v>2591</v>
      </c>
      <c r="I622" s="3691">
        <v>2520</v>
      </c>
      <c r="J622" s="3691">
        <v>0</v>
      </c>
      <c r="K622" s="3691">
        <v>24</v>
      </c>
      <c r="L622" s="3691">
        <f t="shared" si="254"/>
        <v>105</v>
      </c>
      <c r="M622" s="3659">
        <v>45898</v>
      </c>
      <c r="N622" s="3659">
        <f>M622-4</f>
        <v>45894</v>
      </c>
      <c r="O622" s="4085"/>
      <c r="P622" s="3682" t="s">
        <v>82</v>
      </c>
      <c r="Q622" s="3682"/>
      <c r="R622" s="4083"/>
      <c r="S622" s="4083"/>
      <c r="T622" s="4083"/>
      <c r="U622" s="3645"/>
      <c r="V622" s="3649" t="s">
        <v>1768</v>
      </c>
      <c r="W622" s="3695"/>
      <c r="X622" s="3657" t="s">
        <v>98</v>
      </c>
      <c r="Y622" s="3657" t="s">
        <v>1784</v>
      </c>
      <c r="Z622" s="3691"/>
      <c r="AA622" s="3620" t="s">
        <v>4691</v>
      </c>
      <c r="AB622" s="3691" t="s">
        <v>87</v>
      </c>
      <c r="AC622" s="3691">
        <v>2.0845</v>
      </c>
      <c r="AD622" s="3691">
        <f>AC622*I622</f>
        <v>5252.94</v>
      </c>
      <c r="AE622" s="3645" t="s">
        <v>1786</v>
      </c>
      <c r="AF622" s="3664" t="s">
        <v>2890</v>
      </c>
      <c r="AG622" s="3645" t="s">
        <v>416</v>
      </c>
      <c r="AH622" s="4430"/>
      <c r="AI622" s="3691"/>
      <c r="AJ622" s="3691"/>
      <c r="AK622" s="4430"/>
      <c r="AL622" s="3664"/>
      <c r="AM622" s="3664">
        <f>I622</f>
        <v>2520</v>
      </c>
      <c r="AN622" s="3691"/>
      <c r="AO622" s="3691"/>
      <c r="AP622" s="3691">
        <f t="shared" si="271"/>
        <v>2520</v>
      </c>
      <c r="AQ622" s="4089"/>
      <c r="AR622" s="4413"/>
      <c r="AS622" s="4089">
        <f t="shared" si="270"/>
        <v>2520</v>
      </c>
      <c r="AT622" s="4413"/>
      <c r="AU622" s="4089"/>
      <c r="AV622" s="4089"/>
      <c r="AW622" s="4089"/>
      <c r="AX622" s="4089"/>
      <c r="AY622" s="4089"/>
      <c r="AZ622" s="4089"/>
      <c r="BA622" s="4089"/>
      <c r="BB622" s="4089"/>
      <c r="BC622" s="4089"/>
      <c r="BD622" s="4089"/>
      <c r="BE622" s="4089"/>
      <c r="BF622" s="4089" t="s">
        <v>89</v>
      </c>
      <c r="BG622" s="4089"/>
      <c r="BH622" s="4089">
        <f t="shared" ref="BH622:BH635" si="272">I622/60*10</f>
        <v>420</v>
      </c>
      <c r="BI622" s="4089">
        <f t="shared" ref="BI622:BI635" si="273">I622/60*10</f>
        <v>420</v>
      </c>
      <c r="BJ622" s="4089">
        <f t="shared" ref="BJ622:BJ635" si="274">I622/60*10</f>
        <v>420</v>
      </c>
      <c r="BK622" s="4089">
        <f t="shared" ref="BK622:BK635" si="275">I622/60*10</f>
        <v>420</v>
      </c>
      <c r="BL622" s="4089">
        <f t="shared" ref="BL622:BL635" si="276">I622/60*10</f>
        <v>420</v>
      </c>
      <c r="BM622" s="4089">
        <f t="shared" ref="BM622:BM635" si="277">I622/60*8</f>
        <v>336</v>
      </c>
      <c r="BN622" s="4089">
        <f t="shared" ref="BN622:BN635" si="278">I622/60*2</f>
        <v>84</v>
      </c>
      <c r="BO622" s="4413"/>
      <c r="BP622" s="4413"/>
      <c r="BQ622" s="4413"/>
      <c r="BR622" s="4413"/>
      <c r="BS622" s="4413"/>
      <c r="BT622" s="4431"/>
      <c r="BU622" s="4432"/>
      <c r="BV622" s="4385">
        <f t="shared" si="246"/>
        <v>2520</v>
      </c>
      <c r="BW622" s="4386">
        <f t="shared" si="257"/>
        <v>0</v>
      </c>
      <c r="BX622" s="4387"/>
      <c r="BY622" s="4387"/>
      <c r="BZ622" s="4387"/>
      <c r="CA622" s="4391"/>
      <c r="CC622" s="4392"/>
      <c r="CD622" s="4391"/>
    </row>
    <row r="623" s="4025" customFormat="1" ht="50" customHeight="1" spans="1:82">
      <c r="A623" s="3688">
        <v>45856</v>
      </c>
      <c r="B623" s="3689" t="s">
        <v>1670</v>
      </c>
      <c r="C623" s="3664" t="s">
        <v>471</v>
      </c>
      <c r="D623" s="3690">
        <v>4500174323</v>
      </c>
      <c r="E623" s="3664">
        <v>55699634</v>
      </c>
      <c r="F623" s="3690" t="s">
        <v>4692</v>
      </c>
      <c r="G623" s="3664" t="s">
        <v>2627</v>
      </c>
      <c r="H623" s="3691" t="s">
        <v>2591</v>
      </c>
      <c r="I623" s="3691">
        <v>2520</v>
      </c>
      <c r="J623" s="3691">
        <v>0</v>
      </c>
      <c r="K623" s="3691">
        <v>24</v>
      </c>
      <c r="L623" s="3691">
        <f t="shared" si="254"/>
        <v>105</v>
      </c>
      <c r="M623" s="3659">
        <v>45898</v>
      </c>
      <c r="N623" s="3659">
        <v>45894</v>
      </c>
      <c r="O623" s="4085"/>
      <c r="P623" s="3682" t="s">
        <v>82</v>
      </c>
      <c r="Q623" s="3682"/>
      <c r="R623" s="4083"/>
      <c r="S623" s="4083"/>
      <c r="T623" s="4083"/>
      <c r="U623" s="3645" t="s">
        <v>236</v>
      </c>
      <c r="V623" s="3649" t="s">
        <v>1768</v>
      </c>
      <c r="W623" s="3695"/>
      <c r="X623" s="3657" t="s">
        <v>98</v>
      </c>
      <c r="Y623" s="3649" t="s">
        <v>1784</v>
      </c>
      <c r="Z623" s="3691"/>
      <c r="AA623" s="3620" t="s">
        <v>4693</v>
      </c>
      <c r="AB623" s="3691" t="s">
        <v>87</v>
      </c>
      <c r="AC623" s="3691">
        <v>2.0362</v>
      </c>
      <c r="AD623" s="3691">
        <f>AC623*I623</f>
        <v>5131.224</v>
      </c>
      <c r="AE623" s="3645"/>
      <c r="AF623" s="3664" t="s">
        <v>2890</v>
      </c>
      <c r="AG623" s="3645" t="s">
        <v>416</v>
      </c>
      <c r="AH623" s="4430"/>
      <c r="AI623" s="3691"/>
      <c r="AJ623" s="3691"/>
      <c r="AK623" s="4430"/>
      <c r="AL623" s="3664"/>
      <c r="AM623" s="3664">
        <f>I623</f>
        <v>2520</v>
      </c>
      <c r="AN623" s="3691"/>
      <c r="AO623" s="3691"/>
      <c r="AP623" s="3691">
        <f t="shared" si="271"/>
        <v>2520</v>
      </c>
      <c r="AQ623" s="4089"/>
      <c r="AR623" s="4413"/>
      <c r="AS623" s="4089">
        <f t="shared" si="270"/>
        <v>2520</v>
      </c>
      <c r="AT623" s="4413"/>
      <c r="AU623" s="4089"/>
      <c r="AV623" s="4089"/>
      <c r="AW623" s="4089"/>
      <c r="AX623" s="4089"/>
      <c r="AY623" s="4089"/>
      <c r="AZ623" s="4089"/>
      <c r="BA623" s="4089"/>
      <c r="BB623" s="4089"/>
      <c r="BC623" s="4089"/>
      <c r="BD623" s="4089"/>
      <c r="BE623" s="4089"/>
      <c r="BF623" s="4089" t="s">
        <v>89</v>
      </c>
      <c r="BG623" s="4089"/>
      <c r="BH623" s="4089">
        <f t="shared" si="272"/>
        <v>420</v>
      </c>
      <c r="BI623" s="4089">
        <f t="shared" si="273"/>
        <v>420</v>
      </c>
      <c r="BJ623" s="4089">
        <f t="shared" si="274"/>
        <v>420</v>
      </c>
      <c r="BK623" s="4089">
        <f t="shared" si="275"/>
        <v>420</v>
      </c>
      <c r="BL623" s="4089">
        <f t="shared" si="276"/>
        <v>420</v>
      </c>
      <c r="BM623" s="4089">
        <f t="shared" si="277"/>
        <v>336</v>
      </c>
      <c r="BN623" s="4089">
        <f t="shared" si="278"/>
        <v>84</v>
      </c>
      <c r="BO623" s="4413"/>
      <c r="BP623" s="4413"/>
      <c r="BQ623" s="4413"/>
      <c r="BR623" s="4413"/>
      <c r="BS623" s="4413"/>
      <c r="BT623" s="4431"/>
      <c r="BU623" s="4432"/>
      <c r="BV623" s="4385">
        <f t="shared" si="246"/>
        <v>2520</v>
      </c>
      <c r="BW623" s="4386">
        <f t="shared" si="257"/>
        <v>0</v>
      </c>
      <c r="BX623" s="4387"/>
      <c r="BY623" s="4387"/>
      <c r="BZ623" s="4387"/>
      <c r="CA623" s="4391"/>
      <c r="CC623" s="4392"/>
      <c r="CD623" s="4391"/>
    </row>
    <row r="624" s="4025" customFormat="1" ht="50" customHeight="1" spans="1:82">
      <c r="A624" s="3688">
        <v>45860</v>
      </c>
      <c r="B624" s="3689" t="s">
        <v>4694</v>
      </c>
      <c r="C624" s="3664" t="s">
        <v>506</v>
      </c>
      <c r="D624" s="3690">
        <v>4500174515</v>
      </c>
      <c r="E624" s="3664">
        <v>955161</v>
      </c>
      <c r="F624" s="3690" t="s">
        <v>4695</v>
      </c>
      <c r="G624" s="3664" t="s">
        <v>2577</v>
      </c>
      <c r="H624" s="3664" t="s">
        <v>2578</v>
      </c>
      <c r="I624" s="3691">
        <v>660</v>
      </c>
      <c r="J624" s="3691">
        <v>0</v>
      </c>
      <c r="K624" s="3691">
        <v>12</v>
      </c>
      <c r="L624" s="3691">
        <f t="shared" si="254"/>
        <v>55</v>
      </c>
      <c r="M624" s="3659">
        <v>45898</v>
      </c>
      <c r="N624" s="3659">
        <v>45894</v>
      </c>
      <c r="O624" s="4085"/>
      <c r="P624" s="3682" t="s">
        <v>82</v>
      </c>
      <c r="Q624" s="3682"/>
      <c r="R624" s="4083"/>
      <c r="S624" s="4083"/>
      <c r="T624" s="4083"/>
      <c r="U624" s="3645" t="s">
        <v>1883</v>
      </c>
      <c r="V624" s="3649" t="s">
        <v>1895</v>
      </c>
      <c r="W624" s="3695"/>
      <c r="X624" s="3657" t="s">
        <v>98</v>
      </c>
      <c r="Y624" s="3649" t="s">
        <v>4616</v>
      </c>
      <c r="Z624" s="3691"/>
      <c r="AA624" s="3620" t="s">
        <v>4696</v>
      </c>
      <c r="AB624" s="3691" t="s">
        <v>3202</v>
      </c>
      <c r="AC624" s="3691">
        <v>2.1392</v>
      </c>
      <c r="AD624" s="3691">
        <f>AC624*I624</f>
        <v>1411.872</v>
      </c>
      <c r="AE624" s="3645"/>
      <c r="AF624" s="3664" t="s">
        <v>2577</v>
      </c>
      <c r="AG624" s="3645" t="s">
        <v>416</v>
      </c>
      <c r="AH624" s="4430"/>
      <c r="AI624" s="3691"/>
      <c r="AJ624" s="3691">
        <f>I624</f>
        <v>660</v>
      </c>
      <c r="AK624" s="4430"/>
      <c r="AL624" s="3664"/>
      <c r="AM624" s="3664"/>
      <c r="AN624" s="3691"/>
      <c r="AO624" s="3691"/>
      <c r="AP624" s="3691">
        <f t="shared" si="271"/>
        <v>660</v>
      </c>
      <c r="AQ624" s="4089"/>
      <c r="AR624" s="4413"/>
      <c r="AS624" s="4089">
        <f t="shared" si="270"/>
        <v>660</v>
      </c>
      <c r="AT624" s="4413"/>
      <c r="AU624" s="4089"/>
      <c r="AV624" s="4089"/>
      <c r="AW624" s="4089">
        <f>I624/6</f>
        <v>110</v>
      </c>
      <c r="AX624" s="4089"/>
      <c r="AY624" s="4089"/>
      <c r="AZ624" s="4089"/>
      <c r="BA624" s="4089"/>
      <c r="BB624" s="4089"/>
      <c r="BC624" s="4089"/>
      <c r="BD624" s="4089"/>
      <c r="BE624" s="4089"/>
      <c r="BF624" s="4089" t="s">
        <v>89</v>
      </c>
      <c r="BG624" s="4089"/>
      <c r="BH624" s="4089">
        <f t="shared" si="272"/>
        <v>110</v>
      </c>
      <c r="BI624" s="4089">
        <f t="shared" si="273"/>
        <v>110</v>
      </c>
      <c r="BJ624" s="4089">
        <f t="shared" si="274"/>
        <v>110</v>
      </c>
      <c r="BK624" s="4089">
        <f t="shared" si="275"/>
        <v>110</v>
      </c>
      <c r="BL624" s="4089">
        <f t="shared" si="276"/>
        <v>110</v>
      </c>
      <c r="BM624" s="4089">
        <f t="shared" si="277"/>
        <v>88</v>
      </c>
      <c r="BN624" s="4089">
        <f t="shared" si="278"/>
        <v>22</v>
      </c>
      <c r="BO624" s="4413"/>
      <c r="BP624" s="4413"/>
      <c r="BQ624" s="4413"/>
      <c r="BR624" s="4413"/>
      <c r="BS624" s="4413"/>
      <c r="BT624" s="4431"/>
      <c r="BU624" s="4432"/>
      <c r="BV624" s="4385">
        <f t="shared" si="246"/>
        <v>660</v>
      </c>
      <c r="BW624" s="4386">
        <f t="shared" si="257"/>
        <v>0</v>
      </c>
      <c r="BX624" s="4387"/>
      <c r="BY624" s="4387"/>
      <c r="BZ624" s="4387"/>
      <c r="CA624" s="4391"/>
      <c r="CC624" s="4392"/>
      <c r="CD624" s="4391"/>
    </row>
    <row r="625" s="4025" customFormat="1" ht="50" customHeight="1" spans="1:82">
      <c r="A625" s="3688">
        <v>45860</v>
      </c>
      <c r="B625" s="3689" t="s">
        <v>4694</v>
      </c>
      <c r="C625" s="3664" t="s">
        <v>506</v>
      </c>
      <c r="D625" s="3690">
        <v>4500174515</v>
      </c>
      <c r="E625" s="3664">
        <v>955171</v>
      </c>
      <c r="F625" s="3690" t="s">
        <v>4697</v>
      </c>
      <c r="G625" s="3664" t="s">
        <v>2577</v>
      </c>
      <c r="H625" s="3664" t="s">
        <v>2578</v>
      </c>
      <c r="I625" s="3691">
        <v>660</v>
      </c>
      <c r="J625" s="3691">
        <v>0</v>
      </c>
      <c r="K625" s="3691">
        <v>12</v>
      </c>
      <c r="L625" s="3691">
        <f t="shared" si="254"/>
        <v>55</v>
      </c>
      <c r="M625" s="3659">
        <v>45898</v>
      </c>
      <c r="N625" s="3659">
        <v>45894</v>
      </c>
      <c r="O625" s="4085"/>
      <c r="P625" s="3682" t="s">
        <v>82</v>
      </c>
      <c r="Q625" s="3682"/>
      <c r="R625" s="4083"/>
      <c r="S625" s="4083"/>
      <c r="T625" s="4083"/>
      <c r="U625" s="3645" t="s">
        <v>1883</v>
      </c>
      <c r="V625" s="3649" t="s">
        <v>1895</v>
      </c>
      <c r="W625" s="3695"/>
      <c r="X625" s="3657" t="s">
        <v>98</v>
      </c>
      <c r="Y625" s="3649" t="s">
        <v>4616</v>
      </c>
      <c r="Z625" s="3691"/>
      <c r="AA625" s="3620" t="s">
        <v>4696</v>
      </c>
      <c r="AB625" s="3691" t="s">
        <v>3202</v>
      </c>
      <c r="AC625" s="3691">
        <v>2.1392</v>
      </c>
      <c r="AD625" s="3691">
        <f>AC625*I625</f>
        <v>1411.872</v>
      </c>
      <c r="AE625" s="3645"/>
      <c r="AF625" s="3664" t="s">
        <v>2577</v>
      </c>
      <c r="AG625" s="3645" t="s">
        <v>416</v>
      </c>
      <c r="AH625" s="4430"/>
      <c r="AI625" s="3691"/>
      <c r="AJ625" s="3691">
        <f>I625</f>
        <v>660</v>
      </c>
      <c r="AK625" s="4430"/>
      <c r="AL625" s="3664"/>
      <c r="AM625" s="3664"/>
      <c r="AN625" s="3691"/>
      <c r="AO625" s="3691"/>
      <c r="AP625" s="3691">
        <f t="shared" si="271"/>
        <v>660</v>
      </c>
      <c r="AQ625" s="4089"/>
      <c r="AR625" s="4413"/>
      <c r="AS625" s="4089">
        <f t="shared" si="270"/>
        <v>660</v>
      </c>
      <c r="AT625" s="4413"/>
      <c r="AU625" s="4089"/>
      <c r="AV625" s="4089"/>
      <c r="AW625" s="4089">
        <f>I625/6</f>
        <v>110</v>
      </c>
      <c r="AX625" s="4089"/>
      <c r="AY625" s="4089"/>
      <c r="AZ625" s="4089"/>
      <c r="BA625" s="4089"/>
      <c r="BB625" s="4089"/>
      <c r="BC625" s="4089"/>
      <c r="BD625" s="4089"/>
      <c r="BE625" s="4089"/>
      <c r="BF625" s="4089" t="s">
        <v>89</v>
      </c>
      <c r="BG625" s="4089"/>
      <c r="BH625" s="4089">
        <f t="shared" si="272"/>
        <v>110</v>
      </c>
      <c r="BI625" s="4089">
        <f t="shared" si="273"/>
        <v>110</v>
      </c>
      <c r="BJ625" s="4089">
        <f t="shared" si="274"/>
        <v>110</v>
      </c>
      <c r="BK625" s="4089">
        <f t="shared" si="275"/>
        <v>110</v>
      </c>
      <c r="BL625" s="4089">
        <f t="shared" si="276"/>
        <v>110</v>
      </c>
      <c r="BM625" s="4089">
        <f t="shared" si="277"/>
        <v>88</v>
      </c>
      <c r="BN625" s="4089">
        <f t="shared" si="278"/>
        <v>22</v>
      </c>
      <c r="BO625" s="4413"/>
      <c r="BP625" s="4413"/>
      <c r="BQ625" s="4413"/>
      <c r="BR625" s="4413"/>
      <c r="BS625" s="4413"/>
      <c r="BT625" s="4431"/>
      <c r="BU625" s="4432"/>
      <c r="BV625" s="4385">
        <f t="shared" si="246"/>
        <v>660</v>
      </c>
      <c r="BW625" s="4386">
        <f t="shared" si="257"/>
        <v>0</v>
      </c>
      <c r="BX625" s="4387"/>
      <c r="BY625" s="4387"/>
      <c r="BZ625" s="4387"/>
      <c r="CA625" s="4391"/>
      <c r="CC625" s="4392"/>
      <c r="CD625" s="4391"/>
    </row>
    <row r="626" s="4025" customFormat="1" ht="50" customHeight="1" spans="1:82">
      <c r="A626" s="3688">
        <v>45860</v>
      </c>
      <c r="B626" s="3689" t="s">
        <v>4694</v>
      </c>
      <c r="C626" s="3664" t="s">
        <v>506</v>
      </c>
      <c r="D626" s="3690">
        <v>4500174515</v>
      </c>
      <c r="E626" s="3664">
        <v>955180</v>
      </c>
      <c r="F626" s="3690" t="s">
        <v>4698</v>
      </c>
      <c r="G626" s="3664" t="s">
        <v>2577</v>
      </c>
      <c r="H626" s="3664" t="s">
        <v>2578</v>
      </c>
      <c r="I626" s="3691">
        <v>660</v>
      </c>
      <c r="J626" s="3691">
        <v>0</v>
      </c>
      <c r="K626" s="3691">
        <v>12</v>
      </c>
      <c r="L626" s="3691">
        <f t="shared" si="254"/>
        <v>55</v>
      </c>
      <c r="M626" s="3659">
        <v>45898</v>
      </c>
      <c r="N626" s="3659">
        <v>45894</v>
      </c>
      <c r="O626" s="4085"/>
      <c r="P626" s="3682" t="s">
        <v>82</v>
      </c>
      <c r="Q626" s="3682"/>
      <c r="R626" s="4083"/>
      <c r="S626" s="4083"/>
      <c r="T626" s="4083"/>
      <c r="U626" s="3645" t="s">
        <v>1883</v>
      </c>
      <c r="V626" s="3649" t="s">
        <v>1895</v>
      </c>
      <c r="W626" s="3695"/>
      <c r="X626" s="3657" t="s">
        <v>98</v>
      </c>
      <c r="Y626" s="3649" t="s">
        <v>4616</v>
      </c>
      <c r="Z626" s="3691"/>
      <c r="AA626" s="3620" t="s">
        <v>4696</v>
      </c>
      <c r="AB626" s="3691" t="s">
        <v>3202</v>
      </c>
      <c r="AC626" s="3691">
        <v>2.1392</v>
      </c>
      <c r="AD626" s="3691">
        <f>AC626*I626</f>
        <v>1411.872</v>
      </c>
      <c r="AE626" s="3645"/>
      <c r="AF626" s="3664" t="s">
        <v>2577</v>
      </c>
      <c r="AG626" s="3645" t="s">
        <v>416</v>
      </c>
      <c r="AH626" s="4430"/>
      <c r="AI626" s="3691"/>
      <c r="AJ626" s="3691">
        <f>I626</f>
        <v>660</v>
      </c>
      <c r="AK626" s="4430"/>
      <c r="AL626" s="3664"/>
      <c r="AM626" s="3664"/>
      <c r="AN626" s="3691"/>
      <c r="AO626" s="3691"/>
      <c r="AP626" s="3691">
        <f t="shared" si="271"/>
        <v>660</v>
      </c>
      <c r="AQ626" s="4089"/>
      <c r="AR626" s="4413"/>
      <c r="AS626" s="4089">
        <f t="shared" si="270"/>
        <v>660</v>
      </c>
      <c r="AT626" s="4413"/>
      <c r="AU626" s="4089"/>
      <c r="AV626" s="4089"/>
      <c r="AW626" s="4089">
        <f>I626/6</f>
        <v>110</v>
      </c>
      <c r="AX626" s="4089"/>
      <c r="AY626" s="4089"/>
      <c r="AZ626" s="4089"/>
      <c r="BA626" s="4089"/>
      <c r="BB626" s="4089"/>
      <c r="BC626" s="4089"/>
      <c r="BD626" s="4089"/>
      <c r="BE626" s="4089"/>
      <c r="BF626" s="4089" t="s">
        <v>89</v>
      </c>
      <c r="BG626" s="4089"/>
      <c r="BH626" s="4089">
        <f t="shared" si="272"/>
        <v>110</v>
      </c>
      <c r="BI626" s="4089">
        <f t="shared" si="273"/>
        <v>110</v>
      </c>
      <c r="BJ626" s="4089">
        <f t="shared" si="274"/>
        <v>110</v>
      </c>
      <c r="BK626" s="4089">
        <f t="shared" si="275"/>
        <v>110</v>
      </c>
      <c r="BL626" s="4089">
        <f t="shared" si="276"/>
        <v>110</v>
      </c>
      <c r="BM626" s="4089">
        <f t="shared" si="277"/>
        <v>88</v>
      </c>
      <c r="BN626" s="4089">
        <f t="shared" si="278"/>
        <v>22</v>
      </c>
      <c r="BO626" s="4413"/>
      <c r="BP626" s="4413"/>
      <c r="BQ626" s="4413"/>
      <c r="BR626" s="4413"/>
      <c r="BS626" s="4413"/>
      <c r="BT626" s="4431"/>
      <c r="BU626" s="4432"/>
      <c r="BV626" s="4385">
        <f t="shared" ref="BV626:BV689" si="279">SUM(BH626:BU626)</f>
        <v>660</v>
      </c>
      <c r="BW626" s="4386">
        <f t="shared" si="257"/>
        <v>0</v>
      </c>
      <c r="BX626" s="4387"/>
      <c r="BY626" s="4387"/>
      <c r="BZ626" s="4387"/>
      <c r="CA626" s="4391"/>
      <c r="CC626" s="4392"/>
      <c r="CD626" s="4391"/>
    </row>
    <row r="627" s="4025" customFormat="1" ht="50" customHeight="1" spans="1:82">
      <c r="A627" s="3688">
        <v>45834</v>
      </c>
      <c r="B627" s="3689" t="s">
        <v>1315</v>
      </c>
      <c r="C627" s="3664" t="s">
        <v>1316</v>
      </c>
      <c r="D627" s="3690">
        <v>4500166280</v>
      </c>
      <c r="E627" s="3664" t="s">
        <v>1873</v>
      </c>
      <c r="F627" s="3690" t="s">
        <v>1874</v>
      </c>
      <c r="G627" s="3664" t="s">
        <v>3821</v>
      </c>
      <c r="H627" s="3664" t="s">
        <v>1320</v>
      </c>
      <c r="I627" s="3691">
        <v>1428</v>
      </c>
      <c r="J627" s="3691">
        <v>0</v>
      </c>
      <c r="K627" s="3691">
        <v>4</v>
      </c>
      <c r="L627" s="3691">
        <f t="shared" si="254"/>
        <v>357</v>
      </c>
      <c r="M627" s="3659">
        <v>45899</v>
      </c>
      <c r="N627" s="3659">
        <f t="shared" ref="N627:N634" si="280">M627-4</f>
        <v>45895</v>
      </c>
      <c r="O627" s="3664"/>
      <c r="P627" s="3682" t="s">
        <v>82</v>
      </c>
      <c r="Q627" s="3682"/>
      <c r="R627" s="4083"/>
      <c r="S627" s="4083"/>
      <c r="T627" s="4083"/>
      <c r="U627" s="3645" t="s">
        <v>1875</v>
      </c>
      <c r="V627" s="3649" t="s">
        <v>1571</v>
      </c>
      <c r="W627" s="3649"/>
      <c r="X627" s="3657" t="s">
        <v>1876</v>
      </c>
      <c r="Y627" s="3649"/>
      <c r="Z627" s="3691" t="s">
        <v>1877</v>
      </c>
      <c r="AA627" s="3620" t="s">
        <v>1376</v>
      </c>
      <c r="AB627" s="3691" t="s">
        <v>1326</v>
      </c>
      <c r="AC627" s="3691">
        <v>16.9368</v>
      </c>
      <c r="AD627" s="3691">
        <f>AC627*L627</f>
        <v>6046.4376</v>
      </c>
      <c r="AE627" s="3645"/>
      <c r="AF627" s="3664" t="s">
        <v>3822</v>
      </c>
      <c r="AG627" s="3645" t="s">
        <v>416</v>
      </c>
      <c r="AH627" s="4422"/>
      <c r="AI627" s="3691"/>
      <c r="AJ627" s="3691"/>
      <c r="AK627" s="4422"/>
      <c r="AL627" s="3664"/>
      <c r="AM627" s="3664"/>
      <c r="AN627" s="3691">
        <f>I627</f>
        <v>1428</v>
      </c>
      <c r="AO627" s="3691"/>
      <c r="AP627" s="3691"/>
      <c r="AQ627" s="4089">
        <f>I627</f>
        <v>1428</v>
      </c>
      <c r="AR627" s="907"/>
      <c r="AS627" s="4089">
        <f t="shared" si="270"/>
        <v>1428</v>
      </c>
      <c r="AT627" s="907"/>
      <c r="AU627" s="4089"/>
      <c r="AV627" s="4089"/>
      <c r="AW627" s="4089"/>
      <c r="AX627" s="4089"/>
      <c r="AY627" s="4089"/>
      <c r="AZ627" s="4089"/>
      <c r="BA627" s="4089"/>
      <c r="BB627" s="4089"/>
      <c r="BC627" s="4089">
        <f>I627/4</f>
        <v>357</v>
      </c>
      <c r="BD627" s="4089"/>
      <c r="BE627" s="4089"/>
      <c r="BF627" s="4089" t="s">
        <v>1327</v>
      </c>
      <c r="BG627" s="4089"/>
      <c r="BH627" s="4089">
        <f t="shared" si="272"/>
        <v>238</v>
      </c>
      <c r="BI627" s="4089">
        <f t="shared" si="273"/>
        <v>238</v>
      </c>
      <c r="BJ627" s="4089">
        <f t="shared" si="274"/>
        <v>238</v>
      </c>
      <c r="BK627" s="4089">
        <f t="shared" si="275"/>
        <v>238</v>
      </c>
      <c r="BL627" s="4089">
        <f t="shared" si="276"/>
        <v>238</v>
      </c>
      <c r="BM627" s="4089">
        <f t="shared" si="277"/>
        <v>190.4</v>
      </c>
      <c r="BN627" s="4089">
        <f t="shared" si="278"/>
        <v>47.6</v>
      </c>
      <c r="BO627" s="907"/>
      <c r="BP627" s="907"/>
      <c r="BQ627" s="907"/>
      <c r="BR627" s="907"/>
      <c r="BS627" s="907"/>
      <c r="BT627" s="910"/>
      <c r="BU627" s="911"/>
      <c r="BV627" s="4385">
        <f t="shared" si="279"/>
        <v>1428</v>
      </c>
      <c r="BW627" s="4386">
        <f t="shared" si="257"/>
        <v>0</v>
      </c>
      <c r="BX627" s="4387"/>
      <c r="BY627" s="4387"/>
      <c r="BZ627" s="4387"/>
      <c r="CA627" s="4391"/>
      <c r="CC627" s="4392" t="s">
        <v>4612</v>
      </c>
      <c r="CD627" s="4391" t="e">
        <v>#N/A</v>
      </c>
    </row>
    <row r="628" s="4025" customFormat="1" ht="50" customHeight="1" spans="1:82">
      <c r="A628" s="3688">
        <v>45845</v>
      </c>
      <c r="B628" s="3689" t="s">
        <v>523</v>
      </c>
      <c r="C628" s="3664" t="s">
        <v>524</v>
      </c>
      <c r="D628" s="3690">
        <v>4500172982</v>
      </c>
      <c r="E628" s="3664"/>
      <c r="F628" s="3690" t="s">
        <v>4699</v>
      </c>
      <c r="G628" s="3664" t="s">
        <v>2577</v>
      </c>
      <c r="H628" s="3664" t="s">
        <v>2578</v>
      </c>
      <c r="I628" s="3691">
        <v>420</v>
      </c>
      <c r="J628" s="3691">
        <v>0</v>
      </c>
      <c r="K628" s="3691">
        <v>12</v>
      </c>
      <c r="L628" s="3691">
        <f t="shared" ref="L628:L638" si="281">I628/K628</f>
        <v>35</v>
      </c>
      <c r="M628" s="3659">
        <v>45901</v>
      </c>
      <c r="N628" s="3659">
        <f t="shared" si="280"/>
        <v>45897</v>
      </c>
      <c r="O628" s="4085"/>
      <c r="P628" s="4097" t="s">
        <v>82</v>
      </c>
      <c r="Q628" s="4097"/>
      <c r="R628" s="4226"/>
      <c r="S628" s="4226"/>
      <c r="T628" s="4226"/>
      <c r="U628" s="3645" t="s">
        <v>1832</v>
      </c>
      <c r="V628" s="3649" t="s">
        <v>1833</v>
      </c>
      <c r="W628" s="3649"/>
      <c r="X628" s="3657" t="s">
        <v>1834</v>
      </c>
      <c r="Y628" s="3649"/>
      <c r="Z628" s="3691"/>
      <c r="AA628" s="3620" t="s">
        <v>4700</v>
      </c>
      <c r="AB628" s="3691" t="s">
        <v>459</v>
      </c>
      <c r="AC628" s="3691">
        <v>2.1438</v>
      </c>
      <c r="AD628" s="3691">
        <f>AC628*I628</f>
        <v>900.396</v>
      </c>
      <c r="AE628" s="3645"/>
      <c r="AF628" s="3664" t="s">
        <v>2604</v>
      </c>
      <c r="AG628" s="3645" t="s">
        <v>416</v>
      </c>
      <c r="AH628" s="4430"/>
      <c r="AI628" s="3691"/>
      <c r="AJ628" s="3691"/>
      <c r="AK628" s="4430"/>
      <c r="AL628" s="3664"/>
      <c r="AM628" s="3664">
        <f>I628</f>
        <v>420</v>
      </c>
      <c r="AN628" s="3691"/>
      <c r="AO628" s="3691"/>
      <c r="AP628" s="3691">
        <f t="shared" ref="AP628:AP642" si="282">I628</f>
        <v>420</v>
      </c>
      <c r="AQ628" s="4089"/>
      <c r="AR628" s="4413"/>
      <c r="AS628" s="4089">
        <f t="shared" si="270"/>
        <v>420</v>
      </c>
      <c r="AT628" s="4413"/>
      <c r="AU628" s="4089"/>
      <c r="AV628" s="4089"/>
      <c r="AW628" s="4089">
        <f>I628/6</f>
        <v>70</v>
      </c>
      <c r="AX628" s="4089"/>
      <c r="AY628" s="4089"/>
      <c r="AZ628" s="4089"/>
      <c r="BA628" s="4089"/>
      <c r="BB628" s="4089"/>
      <c r="BC628" s="4089"/>
      <c r="BD628" s="4089"/>
      <c r="BE628" s="4089"/>
      <c r="BF628" s="4089" t="s">
        <v>89</v>
      </c>
      <c r="BG628" s="4089"/>
      <c r="BH628" s="4089">
        <f t="shared" si="272"/>
        <v>70</v>
      </c>
      <c r="BI628" s="4089">
        <f t="shared" si="273"/>
        <v>70</v>
      </c>
      <c r="BJ628" s="4089">
        <f t="shared" si="274"/>
        <v>70</v>
      </c>
      <c r="BK628" s="4089">
        <f t="shared" si="275"/>
        <v>70</v>
      </c>
      <c r="BL628" s="4089">
        <f t="shared" si="276"/>
        <v>70</v>
      </c>
      <c r="BM628" s="4089">
        <f t="shared" si="277"/>
        <v>56</v>
      </c>
      <c r="BN628" s="4089">
        <f t="shared" si="278"/>
        <v>14</v>
      </c>
      <c r="BO628" s="4413"/>
      <c r="BP628" s="4413"/>
      <c r="BQ628" s="4413"/>
      <c r="BR628" s="4413"/>
      <c r="BS628" s="4413"/>
      <c r="BT628" s="4431"/>
      <c r="BU628" s="4432"/>
      <c r="BV628" s="4385">
        <f t="shared" si="279"/>
        <v>420</v>
      </c>
      <c r="BW628" s="4386">
        <f t="shared" si="257"/>
        <v>0</v>
      </c>
      <c r="BX628" s="4387"/>
      <c r="BY628" s="4387"/>
      <c r="BZ628" s="4387"/>
      <c r="CA628" s="4391"/>
      <c r="CC628" s="4392"/>
      <c r="CD628" s="4391"/>
    </row>
    <row r="629" s="4025" customFormat="1" ht="50" customHeight="1" spans="1:82">
      <c r="A629" s="3688">
        <v>45862</v>
      </c>
      <c r="B629" s="3689" t="s">
        <v>505</v>
      </c>
      <c r="C629" s="3664" t="s">
        <v>506</v>
      </c>
      <c r="D629" s="3690">
        <v>4500172403</v>
      </c>
      <c r="E629" s="3664">
        <v>21012339</v>
      </c>
      <c r="F629" s="3690" t="s">
        <v>4701</v>
      </c>
      <c r="G629" s="3664" t="s">
        <v>2577</v>
      </c>
      <c r="H629" s="3664" t="s">
        <v>2578</v>
      </c>
      <c r="I629" s="3691">
        <v>1080</v>
      </c>
      <c r="J629" s="3691">
        <v>0</v>
      </c>
      <c r="K629" s="3691">
        <v>12</v>
      </c>
      <c r="L629" s="3691">
        <f t="shared" si="281"/>
        <v>90</v>
      </c>
      <c r="M629" s="3659">
        <v>45901</v>
      </c>
      <c r="N629" s="3659">
        <f t="shared" si="280"/>
        <v>45897</v>
      </c>
      <c r="O629" s="4085"/>
      <c r="P629" s="4097" t="s">
        <v>82</v>
      </c>
      <c r="Q629" s="4097"/>
      <c r="R629" s="4226"/>
      <c r="S629" s="4226"/>
      <c r="T629" s="4226"/>
      <c r="U629" s="3645" t="s">
        <v>4702</v>
      </c>
      <c r="V629" s="3649" t="s">
        <v>1884</v>
      </c>
      <c r="W629" s="3649"/>
      <c r="X629" s="3657" t="s">
        <v>4703</v>
      </c>
      <c r="Y629" s="3649"/>
      <c r="Z629" s="3691"/>
      <c r="AA629" s="3620" t="s">
        <v>4704</v>
      </c>
      <c r="AB629" s="3691" t="s">
        <v>513</v>
      </c>
      <c r="AC629" s="3691">
        <v>2.2463</v>
      </c>
      <c r="AD629" s="3691">
        <f>AC629*I629</f>
        <v>2426.004</v>
      </c>
      <c r="AE629" s="3645"/>
      <c r="AF629" s="3664" t="s">
        <v>2577</v>
      </c>
      <c r="AG629" s="3645" t="s">
        <v>416</v>
      </c>
      <c r="AH629" s="4430"/>
      <c r="AI629" s="3691"/>
      <c r="AJ629" s="3691">
        <f t="shared" ref="AJ629:AJ635" si="283">I629</f>
        <v>1080</v>
      </c>
      <c r="AK629" s="4430"/>
      <c r="AL629" s="3664"/>
      <c r="AM629" s="3664"/>
      <c r="AN629" s="3691"/>
      <c r="AO629" s="3691"/>
      <c r="AP629" s="3691">
        <f t="shared" si="282"/>
        <v>1080</v>
      </c>
      <c r="AQ629" s="4089"/>
      <c r="AR629" s="4413"/>
      <c r="AS629" s="4089">
        <f t="shared" si="270"/>
        <v>1080</v>
      </c>
      <c r="AT629" s="4413"/>
      <c r="AU629" s="4089"/>
      <c r="AV629" s="4089"/>
      <c r="AW629" s="4089">
        <f>I629/6</f>
        <v>180</v>
      </c>
      <c r="AX629" s="4089"/>
      <c r="AY629" s="4089"/>
      <c r="AZ629" s="4089"/>
      <c r="BA629" s="4089"/>
      <c r="BB629" s="4089"/>
      <c r="BC629" s="4089"/>
      <c r="BD629" s="4089"/>
      <c r="BE629" s="4089"/>
      <c r="BF629" s="4089" t="s">
        <v>89</v>
      </c>
      <c r="BG629" s="4089"/>
      <c r="BH629" s="4089">
        <f t="shared" si="272"/>
        <v>180</v>
      </c>
      <c r="BI629" s="4089">
        <f t="shared" si="273"/>
        <v>180</v>
      </c>
      <c r="BJ629" s="4089">
        <f t="shared" si="274"/>
        <v>180</v>
      </c>
      <c r="BK629" s="4089">
        <f t="shared" si="275"/>
        <v>180</v>
      </c>
      <c r="BL629" s="4089">
        <f t="shared" si="276"/>
        <v>180</v>
      </c>
      <c r="BM629" s="4089">
        <f t="shared" si="277"/>
        <v>144</v>
      </c>
      <c r="BN629" s="4089">
        <f t="shared" si="278"/>
        <v>36</v>
      </c>
      <c r="BO629" s="4413"/>
      <c r="BP629" s="4413"/>
      <c r="BQ629" s="4413"/>
      <c r="BR629" s="4413"/>
      <c r="BS629" s="4413"/>
      <c r="BT629" s="4431"/>
      <c r="BU629" s="4432"/>
      <c r="BV629" s="4385">
        <f t="shared" si="279"/>
        <v>1080</v>
      </c>
      <c r="BW629" s="4386">
        <f t="shared" si="257"/>
        <v>0</v>
      </c>
      <c r="BX629" s="4387"/>
      <c r="BY629" s="4387"/>
      <c r="BZ629" s="4387"/>
      <c r="CA629" s="4391"/>
      <c r="CC629" s="4392"/>
      <c r="CD629" s="4391"/>
    </row>
    <row r="630" s="4025" customFormat="1" ht="50" customHeight="1" spans="1:82">
      <c r="A630" s="3688">
        <v>45862</v>
      </c>
      <c r="B630" s="3689" t="s">
        <v>839</v>
      </c>
      <c r="C630" s="3664" t="s">
        <v>840</v>
      </c>
      <c r="D630" s="3690">
        <v>4500172405</v>
      </c>
      <c r="E630" s="3664">
        <v>21012340</v>
      </c>
      <c r="F630" s="3690" t="s">
        <v>4705</v>
      </c>
      <c r="G630" s="3664" t="s">
        <v>2577</v>
      </c>
      <c r="H630" s="3664" t="s">
        <v>2578</v>
      </c>
      <c r="I630" s="3691">
        <v>420</v>
      </c>
      <c r="J630" s="3691">
        <v>0</v>
      </c>
      <c r="K630" s="3691">
        <v>12</v>
      </c>
      <c r="L630" s="3691">
        <f t="shared" si="281"/>
        <v>35</v>
      </c>
      <c r="M630" s="3659">
        <v>45901</v>
      </c>
      <c r="N630" s="3659">
        <f t="shared" si="280"/>
        <v>45897</v>
      </c>
      <c r="O630" s="4085"/>
      <c r="P630" s="4097" t="s">
        <v>82</v>
      </c>
      <c r="Q630" s="4097"/>
      <c r="R630" s="4226"/>
      <c r="S630" s="4226"/>
      <c r="T630" s="4226"/>
      <c r="U630" s="3645" t="s">
        <v>4702</v>
      </c>
      <c r="V630" s="3649" t="s">
        <v>1884</v>
      </c>
      <c r="W630" s="3657"/>
      <c r="X630" s="3657" t="s">
        <v>4703</v>
      </c>
      <c r="Y630" s="3657"/>
      <c r="Z630" s="3691"/>
      <c r="AA630" s="3620" t="s">
        <v>4706</v>
      </c>
      <c r="AB630" s="3691" t="s">
        <v>513</v>
      </c>
      <c r="AC630" s="3691">
        <v>2.2509</v>
      </c>
      <c r="AD630" s="3691">
        <f>AC630*I630</f>
        <v>945.378</v>
      </c>
      <c r="AE630" s="3645"/>
      <c r="AF630" s="3664" t="s">
        <v>2577</v>
      </c>
      <c r="AG630" s="3645" t="s">
        <v>416</v>
      </c>
      <c r="AH630" s="4430"/>
      <c r="AI630" s="3691"/>
      <c r="AJ630" s="3691">
        <f t="shared" si="283"/>
        <v>420</v>
      </c>
      <c r="AK630" s="4430"/>
      <c r="AL630" s="3664"/>
      <c r="AM630" s="3664"/>
      <c r="AN630" s="3691"/>
      <c r="AO630" s="3691"/>
      <c r="AP630" s="3691">
        <f t="shared" si="282"/>
        <v>420</v>
      </c>
      <c r="AQ630" s="4089"/>
      <c r="AR630" s="4413"/>
      <c r="AS630" s="4089">
        <f t="shared" si="270"/>
        <v>420</v>
      </c>
      <c r="AT630" s="4413"/>
      <c r="AU630" s="4089"/>
      <c r="AV630" s="4089"/>
      <c r="AW630" s="4089">
        <f>I630/6</f>
        <v>70</v>
      </c>
      <c r="AX630" s="4089"/>
      <c r="AY630" s="4089"/>
      <c r="AZ630" s="4089"/>
      <c r="BA630" s="4089"/>
      <c r="BB630" s="4089"/>
      <c r="BC630" s="4089"/>
      <c r="BD630" s="4089"/>
      <c r="BE630" s="4089"/>
      <c r="BF630" s="4089" t="s">
        <v>89</v>
      </c>
      <c r="BG630" s="4089"/>
      <c r="BH630" s="4089">
        <f t="shared" si="272"/>
        <v>70</v>
      </c>
      <c r="BI630" s="4089">
        <f t="shared" si="273"/>
        <v>70</v>
      </c>
      <c r="BJ630" s="4089">
        <f t="shared" si="274"/>
        <v>70</v>
      </c>
      <c r="BK630" s="4089">
        <f t="shared" si="275"/>
        <v>70</v>
      </c>
      <c r="BL630" s="4089">
        <f t="shared" si="276"/>
        <v>70</v>
      </c>
      <c r="BM630" s="4089">
        <f t="shared" si="277"/>
        <v>56</v>
      </c>
      <c r="BN630" s="4089">
        <f t="shared" si="278"/>
        <v>14</v>
      </c>
      <c r="BO630" s="4413"/>
      <c r="BP630" s="4413"/>
      <c r="BQ630" s="4413"/>
      <c r="BR630" s="4413"/>
      <c r="BS630" s="4413"/>
      <c r="BT630" s="4431"/>
      <c r="BU630" s="4432"/>
      <c r="BV630" s="4385">
        <f t="shared" si="279"/>
        <v>420</v>
      </c>
      <c r="BW630" s="4386">
        <f t="shared" si="257"/>
        <v>0</v>
      </c>
      <c r="BX630" s="4387"/>
      <c r="BY630" s="4387"/>
      <c r="BZ630" s="4387"/>
      <c r="CA630" s="4391"/>
      <c r="CC630" s="4392"/>
      <c r="CD630" s="4391"/>
    </row>
    <row r="631" s="4025" customFormat="1" ht="50" customHeight="1" spans="1:82">
      <c r="A631" s="3688">
        <v>45874</v>
      </c>
      <c r="B631" s="3689" t="s">
        <v>3495</v>
      </c>
      <c r="C631" s="3664" t="s">
        <v>91</v>
      </c>
      <c r="D631" s="3690">
        <v>4500175947</v>
      </c>
      <c r="E631" s="5456" t="s">
        <v>4707</v>
      </c>
      <c r="F631" s="3690" t="s">
        <v>4708</v>
      </c>
      <c r="G631" s="3664" t="s">
        <v>3068</v>
      </c>
      <c r="H631" s="3664" t="s">
        <v>3069</v>
      </c>
      <c r="I631" s="3691">
        <v>1152</v>
      </c>
      <c r="J631" s="3691">
        <v>0</v>
      </c>
      <c r="K631" s="3691">
        <v>384</v>
      </c>
      <c r="L631" s="3691">
        <f t="shared" si="281"/>
        <v>3</v>
      </c>
      <c r="M631" s="3659">
        <v>45902</v>
      </c>
      <c r="N631" s="3659">
        <f t="shared" si="280"/>
        <v>45898</v>
      </c>
      <c r="O631" s="3664" t="s">
        <v>4709</v>
      </c>
      <c r="P631" s="3682" t="s">
        <v>82</v>
      </c>
      <c r="Q631" s="3682"/>
      <c r="R631" s="4083"/>
      <c r="S631" s="4083"/>
      <c r="T631" s="4083"/>
      <c r="U631" s="3645"/>
      <c r="V631" s="3649" t="s">
        <v>4620</v>
      </c>
      <c r="W631" s="3657"/>
      <c r="X631" s="3657" t="s">
        <v>4710</v>
      </c>
      <c r="Y631" s="3649" t="s">
        <v>4711</v>
      </c>
      <c r="Z631" s="3691"/>
      <c r="AA631" s="3620" t="s">
        <v>4712</v>
      </c>
      <c r="AB631" s="3691" t="s">
        <v>3076</v>
      </c>
      <c r="AC631" s="3691">
        <v>531.79</v>
      </c>
      <c r="AD631" s="3691">
        <f>AC631*L631</f>
        <v>1595.37</v>
      </c>
      <c r="AE631" s="3645" t="s">
        <v>4713</v>
      </c>
      <c r="AF631" s="3664" t="s">
        <v>3078</v>
      </c>
      <c r="AG631" s="3645" t="s">
        <v>416</v>
      </c>
      <c r="AH631" s="4448"/>
      <c r="AI631" s="3691"/>
      <c r="AJ631" s="3691">
        <f t="shared" si="283"/>
        <v>1152</v>
      </c>
      <c r="AK631" s="4448"/>
      <c r="AL631" s="3664"/>
      <c r="AM631" s="3664"/>
      <c r="AN631" s="3691"/>
      <c r="AO631" s="3691"/>
      <c r="AP631" s="3691">
        <f t="shared" si="282"/>
        <v>1152</v>
      </c>
      <c r="AQ631" s="4089"/>
      <c r="AR631" s="4411"/>
      <c r="AS631" s="4089">
        <f t="shared" si="270"/>
        <v>1152</v>
      </c>
      <c r="AT631" s="4411"/>
      <c r="AU631" s="4089"/>
      <c r="AV631" s="4089"/>
      <c r="AW631" s="4089"/>
      <c r="AX631" s="4089"/>
      <c r="AY631" s="4089"/>
      <c r="AZ631" s="4089"/>
      <c r="BA631" s="4089"/>
      <c r="BB631" s="4089">
        <f>I631/2</f>
        <v>576</v>
      </c>
      <c r="BC631" s="4089"/>
      <c r="BD631" s="4089"/>
      <c r="BE631" s="4089"/>
      <c r="BF631" s="4089" t="s">
        <v>682</v>
      </c>
      <c r="BG631" s="4089"/>
      <c r="BH631" s="4089">
        <f t="shared" si="272"/>
        <v>192</v>
      </c>
      <c r="BI631" s="4089">
        <f t="shared" si="273"/>
        <v>192</v>
      </c>
      <c r="BJ631" s="4089">
        <f t="shared" si="274"/>
        <v>192</v>
      </c>
      <c r="BK631" s="4089">
        <f t="shared" si="275"/>
        <v>192</v>
      </c>
      <c r="BL631" s="4089">
        <f t="shared" si="276"/>
        <v>192</v>
      </c>
      <c r="BM631" s="4089">
        <f t="shared" si="277"/>
        <v>153.6</v>
      </c>
      <c r="BN631" s="4089">
        <f t="shared" si="278"/>
        <v>38.4</v>
      </c>
      <c r="BO631" s="4411"/>
      <c r="BP631" s="4411"/>
      <c r="BQ631" s="4411"/>
      <c r="BR631" s="4411"/>
      <c r="BS631" s="4411"/>
      <c r="BT631" s="4453"/>
      <c r="BU631" s="4454"/>
      <c r="BV631" s="4385">
        <f t="shared" si="279"/>
        <v>1152</v>
      </c>
      <c r="BW631" s="4386">
        <f t="shared" si="257"/>
        <v>0</v>
      </c>
      <c r="BX631" s="4387"/>
      <c r="BY631" s="4387"/>
      <c r="BZ631" s="4387"/>
      <c r="CA631" s="4391"/>
      <c r="CC631" s="4392"/>
      <c r="CD631" s="4391"/>
    </row>
    <row r="632" s="4025" customFormat="1" ht="50" customHeight="1" spans="1:82">
      <c r="A632" s="3688">
        <v>45875</v>
      </c>
      <c r="B632" s="3689" t="s">
        <v>3495</v>
      </c>
      <c r="C632" s="3664" t="s">
        <v>91</v>
      </c>
      <c r="D632" s="3690">
        <v>4500175910</v>
      </c>
      <c r="E632" s="5456" t="s">
        <v>4714</v>
      </c>
      <c r="F632" s="3690" t="s">
        <v>4715</v>
      </c>
      <c r="G632" s="3664" t="s">
        <v>3068</v>
      </c>
      <c r="H632" s="3664" t="s">
        <v>3069</v>
      </c>
      <c r="I632" s="3691">
        <v>768</v>
      </c>
      <c r="J632" s="3691">
        <v>0</v>
      </c>
      <c r="K632" s="3691">
        <v>384</v>
      </c>
      <c r="L632" s="3691">
        <f t="shared" si="281"/>
        <v>2</v>
      </c>
      <c r="M632" s="3659">
        <v>45902</v>
      </c>
      <c r="N632" s="3659">
        <f t="shared" si="280"/>
        <v>45898</v>
      </c>
      <c r="O632" s="3664" t="s">
        <v>4709</v>
      </c>
      <c r="P632" s="3682" t="s">
        <v>82</v>
      </c>
      <c r="Q632" s="3682"/>
      <c r="R632" s="4083"/>
      <c r="S632" s="4083"/>
      <c r="T632" s="4083"/>
      <c r="U632" s="3645" t="s">
        <v>401</v>
      </c>
      <c r="V632" s="3649" t="s">
        <v>4620</v>
      </c>
      <c r="W632" s="3657"/>
      <c r="X632" s="3657" t="s">
        <v>4710</v>
      </c>
      <c r="Y632" s="3649" t="s">
        <v>4711</v>
      </c>
      <c r="Z632" s="3691"/>
      <c r="AA632" s="3620" t="s">
        <v>4716</v>
      </c>
      <c r="AB632" s="3691" t="s">
        <v>4717</v>
      </c>
      <c r="AC632" s="3691">
        <v>532.85</v>
      </c>
      <c r="AD632" s="3691">
        <f>AC632*L632</f>
        <v>1065.7</v>
      </c>
      <c r="AE632" s="3645" t="s">
        <v>4718</v>
      </c>
      <c r="AF632" s="3664" t="s">
        <v>3078</v>
      </c>
      <c r="AG632" s="3645" t="s">
        <v>416</v>
      </c>
      <c r="AH632" s="4448"/>
      <c r="AI632" s="3691"/>
      <c r="AJ632" s="3691">
        <f t="shared" si="283"/>
        <v>768</v>
      </c>
      <c r="AK632" s="4448"/>
      <c r="AL632" s="3664"/>
      <c r="AM632" s="3664"/>
      <c r="AN632" s="3691"/>
      <c r="AO632" s="3691"/>
      <c r="AP632" s="3691">
        <f t="shared" si="282"/>
        <v>768</v>
      </c>
      <c r="AQ632" s="4089"/>
      <c r="AR632" s="4411"/>
      <c r="AS632" s="4089">
        <f t="shared" si="270"/>
        <v>768</v>
      </c>
      <c r="AT632" s="4411"/>
      <c r="AU632" s="4089"/>
      <c r="AV632" s="4089"/>
      <c r="AW632" s="4089"/>
      <c r="AX632" s="4089"/>
      <c r="AY632" s="4089"/>
      <c r="AZ632" s="4089"/>
      <c r="BA632" s="4089"/>
      <c r="BB632" s="4089">
        <f>I632/2</f>
        <v>384</v>
      </c>
      <c r="BC632" s="4089"/>
      <c r="BD632" s="4089"/>
      <c r="BE632" s="4089"/>
      <c r="BF632" s="4089" t="s">
        <v>682</v>
      </c>
      <c r="BG632" s="4089"/>
      <c r="BH632" s="4089">
        <f t="shared" si="272"/>
        <v>128</v>
      </c>
      <c r="BI632" s="4089">
        <f t="shared" si="273"/>
        <v>128</v>
      </c>
      <c r="BJ632" s="4089">
        <f t="shared" si="274"/>
        <v>128</v>
      </c>
      <c r="BK632" s="4089">
        <f t="shared" si="275"/>
        <v>128</v>
      </c>
      <c r="BL632" s="4089">
        <f t="shared" si="276"/>
        <v>128</v>
      </c>
      <c r="BM632" s="4089">
        <f t="shared" si="277"/>
        <v>102.4</v>
      </c>
      <c r="BN632" s="4089">
        <f t="shared" si="278"/>
        <v>25.6</v>
      </c>
      <c r="BO632" s="4411"/>
      <c r="BP632" s="4411"/>
      <c r="BQ632" s="4411"/>
      <c r="BR632" s="4411"/>
      <c r="BS632" s="4411"/>
      <c r="BT632" s="4453"/>
      <c r="BU632" s="4454"/>
      <c r="BV632" s="4385">
        <f t="shared" si="279"/>
        <v>768</v>
      </c>
      <c r="BW632" s="4386">
        <f t="shared" si="257"/>
        <v>0</v>
      </c>
      <c r="BX632" s="4387"/>
      <c r="BY632" s="4387"/>
      <c r="BZ632" s="4387"/>
      <c r="CA632" s="4391"/>
      <c r="CC632" s="4392"/>
      <c r="CD632" s="4391"/>
    </row>
    <row r="633" s="4025" customFormat="1" ht="50" customHeight="1" spans="1:82">
      <c r="A633" s="3688">
        <v>45860</v>
      </c>
      <c r="B633" s="3689" t="s">
        <v>1602</v>
      </c>
      <c r="C633" s="3664" t="s">
        <v>91</v>
      </c>
      <c r="D633" s="3690">
        <v>4500174574</v>
      </c>
      <c r="E633" s="3664">
        <v>1617104</v>
      </c>
      <c r="F633" s="3690" t="s">
        <v>4719</v>
      </c>
      <c r="G633" s="3664" t="s">
        <v>2627</v>
      </c>
      <c r="H633" s="3691" t="s">
        <v>2591</v>
      </c>
      <c r="I633" s="3691">
        <v>816</v>
      </c>
      <c r="J633" s="3691">
        <v>0</v>
      </c>
      <c r="K633" s="3691">
        <v>24</v>
      </c>
      <c r="L633" s="3691">
        <f t="shared" si="281"/>
        <v>34</v>
      </c>
      <c r="M633" s="3659">
        <v>45903</v>
      </c>
      <c r="N633" s="4111">
        <f t="shared" si="280"/>
        <v>45899</v>
      </c>
      <c r="O633" s="4085"/>
      <c r="P633" s="3682" t="s">
        <v>82</v>
      </c>
      <c r="Q633" s="3682"/>
      <c r="R633" s="4083"/>
      <c r="S633" s="4083"/>
      <c r="T633" s="4083"/>
      <c r="U633" s="3645" t="s">
        <v>1883</v>
      </c>
      <c r="V633" s="3649" t="s">
        <v>1884</v>
      </c>
      <c r="W633" s="3657"/>
      <c r="X633" s="3657" t="s">
        <v>98</v>
      </c>
      <c r="Y633" s="3649" t="s">
        <v>1885</v>
      </c>
      <c r="Z633" s="3691"/>
      <c r="AA633" s="3620" t="s">
        <v>1886</v>
      </c>
      <c r="AB633" s="3691" t="s">
        <v>1607</v>
      </c>
      <c r="AC633" s="3691">
        <v>1.253</v>
      </c>
      <c r="AD633" s="3691">
        <f t="shared" ref="AD633:AD642" si="284">AC633*I633</f>
        <v>1022.448</v>
      </c>
      <c r="AE633" s="3645" t="s">
        <v>4720</v>
      </c>
      <c r="AF633" s="3664" t="s">
        <v>2627</v>
      </c>
      <c r="AG633" s="3645" t="s">
        <v>416</v>
      </c>
      <c r="AH633" s="4448"/>
      <c r="AI633" s="3691"/>
      <c r="AJ633" s="3691">
        <f t="shared" si="283"/>
        <v>816</v>
      </c>
      <c r="AK633" s="4448"/>
      <c r="AL633" s="3664"/>
      <c r="AM633" s="3664"/>
      <c r="AN633" s="3691"/>
      <c r="AO633" s="3691"/>
      <c r="AP633" s="3691">
        <f t="shared" si="282"/>
        <v>816</v>
      </c>
      <c r="AQ633" s="4089"/>
      <c r="AR633" s="4411"/>
      <c r="AS633" s="4089">
        <f t="shared" si="270"/>
        <v>816</v>
      </c>
      <c r="AT633" s="4411"/>
      <c r="AU633" s="4089"/>
      <c r="AV633" s="4089"/>
      <c r="AW633" s="4089"/>
      <c r="AX633" s="4089"/>
      <c r="AY633" s="4089"/>
      <c r="AZ633" s="4089"/>
      <c r="BA633" s="4089"/>
      <c r="BB633" s="4089"/>
      <c r="BC633" s="4089"/>
      <c r="BD633" s="4089"/>
      <c r="BE633" s="4089"/>
      <c r="BF633" s="4089" t="s">
        <v>89</v>
      </c>
      <c r="BG633" s="4089"/>
      <c r="BH633" s="4089">
        <f t="shared" si="272"/>
        <v>136</v>
      </c>
      <c r="BI633" s="4089">
        <f t="shared" si="273"/>
        <v>136</v>
      </c>
      <c r="BJ633" s="4089">
        <f t="shared" si="274"/>
        <v>136</v>
      </c>
      <c r="BK633" s="4089">
        <f t="shared" si="275"/>
        <v>136</v>
      </c>
      <c r="BL633" s="4089">
        <f t="shared" si="276"/>
        <v>136</v>
      </c>
      <c r="BM633" s="4089">
        <f t="shared" si="277"/>
        <v>108.8</v>
      </c>
      <c r="BN633" s="4089">
        <f t="shared" si="278"/>
        <v>27.2</v>
      </c>
      <c r="BO633" s="4411"/>
      <c r="BP633" s="4411"/>
      <c r="BQ633" s="4411"/>
      <c r="BR633" s="4411"/>
      <c r="BS633" s="4411"/>
      <c r="BT633" s="4453"/>
      <c r="BU633" s="4454"/>
      <c r="BV633" s="4385">
        <f t="shared" si="279"/>
        <v>816</v>
      </c>
      <c r="BW633" s="4386">
        <f t="shared" si="257"/>
        <v>0</v>
      </c>
      <c r="BX633" s="4387"/>
      <c r="BY633" s="4387"/>
      <c r="BZ633" s="4387"/>
      <c r="CA633" s="4391"/>
      <c r="CC633" s="4392"/>
      <c r="CD633" s="4391"/>
    </row>
    <row r="634" s="4025" customFormat="1" ht="50" customHeight="1" spans="1:82">
      <c r="A634" s="3688">
        <v>45860</v>
      </c>
      <c r="B634" s="3689" t="s">
        <v>1602</v>
      </c>
      <c r="C634" s="3664" t="s">
        <v>91</v>
      </c>
      <c r="D634" s="3690">
        <v>4500174543</v>
      </c>
      <c r="E634" s="3664">
        <v>1617106</v>
      </c>
      <c r="F634" s="3690" t="s">
        <v>4721</v>
      </c>
      <c r="G634" s="3664" t="s">
        <v>2627</v>
      </c>
      <c r="H634" s="3691" t="s">
        <v>2591</v>
      </c>
      <c r="I634" s="3691">
        <v>384</v>
      </c>
      <c r="J634" s="3691">
        <v>0</v>
      </c>
      <c r="K634" s="3691">
        <v>24</v>
      </c>
      <c r="L634" s="3691">
        <f t="shared" si="281"/>
        <v>16</v>
      </c>
      <c r="M634" s="3659">
        <v>45903</v>
      </c>
      <c r="N634" s="4111">
        <f t="shared" si="280"/>
        <v>45899</v>
      </c>
      <c r="O634" s="4085"/>
      <c r="P634" s="3682" t="s">
        <v>82</v>
      </c>
      <c r="Q634" s="3682"/>
      <c r="R634" s="4083"/>
      <c r="S634" s="4083"/>
      <c r="T634" s="4083"/>
      <c r="U634" s="3645" t="s">
        <v>1883</v>
      </c>
      <c r="V634" s="3649" t="s">
        <v>1884</v>
      </c>
      <c r="W634" s="3649"/>
      <c r="X634" s="3657" t="s">
        <v>98</v>
      </c>
      <c r="Y634" s="3657" t="s">
        <v>1885</v>
      </c>
      <c r="Z634" s="3691"/>
      <c r="AA634" s="3620" t="s">
        <v>1886</v>
      </c>
      <c r="AB634" s="3691" t="s">
        <v>1607</v>
      </c>
      <c r="AC634" s="3691">
        <v>1.2245</v>
      </c>
      <c r="AD634" s="3691">
        <f t="shared" si="284"/>
        <v>470.208</v>
      </c>
      <c r="AE634" s="3645" t="s">
        <v>4722</v>
      </c>
      <c r="AF634" s="3664" t="s">
        <v>2627</v>
      </c>
      <c r="AG634" s="3645" t="s">
        <v>416</v>
      </c>
      <c r="AH634" s="4448"/>
      <c r="AI634" s="3691"/>
      <c r="AJ634" s="3691">
        <f t="shared" si="283"/>
        <v>384</v>
      </c>
      <c r="AK634" s="4448"/>
      <c r="AL634" s="3664"/>
      <c r="AM634" s="3664"/>
      <c r="AN634" s="3691"/>
      <c r="AO634" s="3691"/>
      <c r="AP634" s="3691">
        <f t="shared" si="282"/>
        <v>384</v>
      </c>
      <c r="AQ634" s="4089"/>
      <c r="AR634" s="4411"/>
      <c r="AS634" s="4089">
        <f t="shared" si="270"/>
        <v>384</v>
      </c>
      <c r="AT634" s="4411"/>
      <c r="AU634" s="4089"/>
      <c r="AV634" s="4089"/>
      <c r="AW634" s="4089"/>
      <c r="AX634" s="4089"/>
      <c r="AY634" s="4089"/>
      <c r="AZ634" s="4089"/>
      <c r="BA634" s="4089"/>
      <c r="BB634" s="4089"/>
      <c r="BC634" s="4089"/>
      <c r="BD634" s="4089"/>
      <c r="BE634" s="4089"/>
      <c r="BF634" s="4089" t="s">
        <v>89</v>
      </c>
      <c r="BG634" s="4089"/>
      <c r="BH634" s="4089">
        <f t="shared" si="272"/>
        <v>64</v>
      </c>
      <c r="BI634" s="4089">
        <f t="shared" si="273"/>
        <v>64</v>
      </c>
      <c r="BJ634" s="4089">
        <f t="shared" si="274"/>
        <v>64</v>
      </c>
      <c r="BK634" s="4089">
        <f t="shared" si="275"/>
        <v>64</v>
      </c>
      <c r="BL634" s="4089">
        <f t="shared" si="276"/>
        <v>64</v>
      </c>
      <c r="BM634" s="4089">
        <f t="shared" si="277"/>
        <v>51.2</v>
      </c>
      <c r="BN634" s="4089">
        <f t="shared" si="278"/>
        <v>12.8</v>
      </c>
      <c r="BO634" s="4411"/>
      <c r="BP634" s="4411"/>
      <c r="BQ634" s="4411"/>
      <c r="BR634" s="4411"/>
      <c r="BS634" s="4411"/>
      <c r="BT634" s="4453"/>
      <c r="BU634" s="4454"/>
      <c r="BV634" s="4385">
        <f t="shared" si="279"/>
        <v>384</v>
      </c>
      <c r="BW634" s="4386">
        <f t="shared" si="257"/>
        <v>0</v>
      </c>
      <c r="BX634" s="4387"/>
      <c r="BY634" s="4387"/>
      <c r="BZ634" s="4387"/>
      <c r="CA634" s="4391"/>
      <c r="CC634" s="4392"/>
      <c r="CD634" s="4391"/>
    </row>
    <row r="635" s="4025" customFormat="1" ht="50" customHeight="1" spans="1:82">
      <c r="A635" s="3688">
        <v>45859</v>
      </c>
      <c r="B635" s="3689" t="s">
        <v>1617</v>
      </c>
      <c r="C635" s="3664" t="s">
        <v>91</v>
      </c>
      <c r="D635" s="3690">
        <v>4500174443</v>
      </c>
      <c r="E635" s="3664">
        <v>70072684</v>
      </c>
      <c r="F635" s="3690" t="s">
        <v>4723</v>
      </c>
      <c r="G635" s="3664" t="s">
        <v>2627</v>
      </c>
      <c r="H635" s="3691" t="s">
        <v>2591</v>
      </c>
      <c r="I635" s="3691">
        <v>1200</v>
      </c>
      <c r="J635" s="3691">
        <v>0</v>
      </c>
      <c r="K635" s="3691">
        <v>24</v>
      </c>
      <c r="L635" s="3691">
        <f t="shared" si="281"/>
        <v>50</v>
      </c>
      <c r="M635" s="3659">
        <v>45904</v>
      </c>
      <c r="N635" s="4111">
        <v>45901</v>
      </c>
      <c r="O635" s="4085"/>
      <c r="P635" s="3682" t="s">
        <v>82</v>
      </c>
      <c r="Q635" s="3682"/>
      <c r="R635" s="4083"/>
      <c r="S635" s="4083"/>
      <c r="T635" s="4083"/>
      <c r="U635" s="3645" t="s">
        <v>1853</v>
      </c>
      <c r="V635" s="3649" t="s">
        <v>390</v>
      </c>
      <c r="W635" s="3649"/>
      <c r="X635" s="3657" t="s">
        <v>98</v>
      </c>
      <c r="Y635" s="3657" t="s">
        <v>1818</v>
      </c>
      <c r="Z635" s="3691"/>
      <c r="AA635" s="3620" t="s">
        <v>1621</v>
      </c>
      <c r="AB635" s="3691" t="s">
        <v>1880</v>
      </c>
      <c r="AC635" s="3691">
        <v>1.2217</v>
      </c>
      <c r="AD635" s="3691">
        <f t="shared" si="284"/>
        <v>1466.04</v>
      </c>
      <c r="AE635" s="3645" t="s">
        <v>1881</v>
      </c>
      <c r="AF635" s="3664" t="s">
        <v>2627</v>
      </c>
      <c r="AG635" s="3645" t="s">
        <v>416</v>
      </c>
      <c r="AH635" s="4448"/>
      <c r="AI635" s="3691"/>
      <c r="AJ635" s="3691">
        <f t="shared" si="283"/>
        <v>1200</v>
      </c>
      <c r="AK635" s="4448"/>
      <c r="AL635" s="3664"/>
      <c r="AM635" s="3664"/>
      <c r="AN635" s="3691"/>
      <c r="AO635" s="3691"/>
      <c r="AP635" s="3691">
        <f t="shared" si="282"/>
        <v>1200</v>
      </c>
      <c r="AQ635" s="4089"/>
      <c r="AR635" s="4411"/>
      <c r="AS635" s="4089">
        <f t="shared" si="270"/>
        <v>1200</v>
      </c>
      <c r="AT635" s="4411"/>
      <c r="AU635" s="4089"/>
      <c r="AV635" s="4089"/>
      <c r="AW635" s="4089"/>
      <c r="AX635" s="4089"/>
      <c r="AY635" s="4089"/>
      <c r="AZ635" s="4089"/>
      <c r="BA635" s="4089"/>
      <c r="BB635" s="4089"/>
      <c r="BC635" s="4089"/>
      <c r="BD635" s="4089"/>
      <c r="BE635" s="4089"/>
      <c r="BF635" s="4089" t="s">
        <v>89</v>
      </c>
      <c r="BG635" s="4089"/>
      <c r="BH635" s="4089">
        <f t="shared" si="272"/>
        <v>200</v>
      </c>
      <c r="BI635" s="4089">
        <f t="shared" si="273"/>
        <v>200</v>
      </c>
      <c r="BJ635" s="4089">
        <f t="shared" si="274"/>
        <v>200</v>
      </c>
      <c r="BK635" s="4089">
        <f t="shared" si="275"/>
        <v>200</v>
      </c>
      <c r="BL635" s="4089">
        <f t="shared" si="276"/>
        <v>200</v>
      </c>
      <c r="BM635" s="4089">
        <f t="shared" si="277"/>
        <v>160</v>
      </c>
      <c r="BN635" s="4089">
        <f t="shared" si="278"/>
        <v>40</v>
      </c>
      <c r="BO635" s="4411"/>
      <c r="BP635" s="4411"/>
      <c r="BQ635" s="4411"/>
      <c r="BR635" s="4411"/>
      <c r="BS635" s="4411"/>
      <c r="BT635" s="4453"/>
      <c r="BU635" s="4454"/>
      <c r="BV635" s="4385">
        <f t="shared" si="279"/>
        <v>1200</v>
      </c>
      <c r="BW635" s="4386">
        <f t="shared" si="257"/>
        <v>0</v>
      </c>
      <c r="BX635" s="4387"/>
      <c r="BY635" s="4387"/>
      <c r="BZ635" s="4387"/>
      <c r="CA635" s="4391"/>
      <c r="CC635" s="4392"/>
      <c r="CD635" s="4391"/>
    </row>
    <row r="636" s="4025" customFormat="1" ht="50" customHeight="1" spans="1:82">
      <c r="A636" s="3688">
        <v>45863</v>
      </c>
      <c r="B636" s="3689" t="s">
        <v>1641</v>
      </c>
      <c r="C636" s="3664" t="s">
        <v>396</v>
      </c>
      <c r="D636" s="3690">
        <v>4500175043</v>
      </c>
      <c r="E636" s="3664" t="s">
        <v>4724</v>
      </c>
      <c r="F636" s="3690" t="s">
        <v>4725</v>
      </c>
      <c r="G636" s="3664" t="s">
        <v>2827</v>
      </c>
      <c r="H636" s="3664" t="s">
        <v>2641</v>
      </c>
      <c r="I636" s="3618">
        <v>12</v>
      </c>
      <c r="J636" s="3618">
        <v>0</v>
      </c>
      <c r="K636" s="3618">
        <v>12</v>
      </c>
      <c r="L636" s="3691">
        <f t="shared" si="281"/>
        <v>1</v>
      </c>
      <c r="M636" s="3659">
        <v>45905</v>
      </c>
      <c r="N636" s="4111">
        <v>45901</v>
      </c>
      <c r="O636" s="4085"/>
      <c r="P636" s="3682" t="s">
        <v>82</v>
      </c>
      <c r="Q636" s="3682"/>
      <c r="R636" s="4083"/>
      <c r="S636" s="4083"/>
      <c r="T636" s="4083"/>
      <c r="U636" s="3645" t="s">
        <v>1858</v>
      </c>
      <c r="V636" s="3649" t="s">
        <v>1859</v>
      </c>
      <c r="W636" s="3649"/>
      <c r="X636" s="3657" t="s">
        <v>4726</v>
      </c>
      <c r="Y636" s="3636" t="s">
        <v>4727</v>
      </c>
      <c r="Z636" s="3691"/>
      <c r="AA636" s="3620" t="s">
        <v>4728</v>
      </c>
      <c r="AB636" s="3691" t="s">
        <v>369</v>
      </c>
      <c r="AC636" s="4058">
        <v>2.0891</v>
      </c>
      <c r="AD636" s="3618">
        <f t="shared" si="284"/>
        <v>25.0692</v>
      </c>
      <c r="AE636" s="3645"/>
      <c r="AF636" s="3664" t="s">
        <v>2827</v>
      </c>
      <c r="AG636" s="3645" t="s">
        <v>416</v>
      </c>
      <c r="AH636" s="4448"/>
      <c r="AI636" s="3691"/>
      <c r="AJ636" s="3691"/>
      <c r="AK636" s="4448"/>
      <c r="AL636" s="3664"/>
      <c r="AM636" s="3664">
        <f>I636</f>
        <v>12</v>
      </c>
      <c r="AN636" s="3691"/>
      <c r="AO636" s="3691"/>
      <c r="AP636" s="3691">
        <f t="shared" si="282"/>
        <v>12</v>
      </c>
      <c r="AQ636" s="4089"/>
      <c r="AR636" s="4411"/>
      <c r="AS636" s="4089"/>
      <c r="AT636" s="4411"/>
      <c r="AU636" s="4089">
        <f>I636</f>
        <v>12</v>
      </c>
      <c r="AV636" s="4089"/>
      <c r="AW636" s="4089"/>
      <c r="AX636" s="4089"/>
      <c r="AY636" s="4089"/>
      <c r="AZ636" s="4089"/>
      <c r="BA636" s="4089"/>
      <c r="BB636" s="4089"/>
      <c r="BC636" s="4089"/>
      <c r="BD636" s="4089"/>
      <c r="BE636" s="4089"/>
      <c r="BF636" s="4089" t="s">
        <v>89</v>
      </c>
      <c r="BG636" s="4089"/>
      <c r="BH636" s="4089">
        <f>I636-BN636</f>
        <v>11.8</v>
      </c>
      <c r="BI636" s="4089"/>
      <c r="BJ636" s="4089"/>
      <c r="BK636" s="4089"/>
      <c r="BL636" s="4089"/>
      <c r="BM636" s="4089"/>
      <c r="BN636" s="4089">
        <f>I636/60*1</f>
        <v>0.2</v>
      </c>
      <c r="BO636" s="4411"/>
      <c r="BP636" s="4411"/>
      <c r="BQ636" s="4411"/>
      <c r="BR636" s="4411"/>
      <c r="BS636" s="4411"/>
      <c r="BT636" s="4453"/>
      <c r="BU636" s="4454"/>
      <c r="BV636" s="4385">
        <f t="shared" si="279"/>
        <v>12</v>
      </c>
      <c r="BW636" s="4386">
        <f t="shared" si="257"/>
        <v>0</v>
      </c>
      <c r="BX636" s="4387"/>
      <c r="BY636" s="4387"/>
      <c r="BZ636" s="4387"/>
      <c r="CA636" s="4391"/>
      <c r="CC636" s="4392"/>
      <c r="CD636" s="4391"/>
    </row>
    <row r="637" s="4025" customFormat="1" ht="50" customHeight="1" spans="1:82">
      <c r="A637" s="3688">
        <v>45863</v>
      </c>
      <c r="B637" s="3689" t="s">
        <v>1641</v>
      </c>
      <c r="C637" s="3664" t="s">
        <v>396</v>
      </c>
      <c r="D637" s="3690">
        <v>4500175043</v>
      </c>
      <c r="E637" s="3664" t="s">
        <v>4729</v>
      </c>
      <c r="F637" s="3690" t="s">
        <v>4725</v>
      </c>
      <c r="G637" s="3664" t="s">
        <v>2827</v>
      </c>
      <c r="H637" s="3664" t="s">
        <v>2641</v>
      </c>
      <c r="I637" s="3618">
        <v>12</v>
      </c>
      <c r="J637" s="3618">
        <v>0</v>
      </c>
      <c r="K637" s="3618">
        <v>12</v>
      </c>
      <c r="L637" s="3691">
        <f t="shared" si="281"/>
        <v>1</v>
      </c>
      <c r="M637" s="3659">
        <v>45905</v>
      </c>
      <c r="N637" s="4111">
        <v>45901</v>
      </c>
      <c r="O637" s="4085"/>
      <c r="P637" s="3682" t="s">
        <v>82</v>
      </c>
      <c r="Q637" s="3682"/>
      <c r="R637" s="4083"/>
      <c r="S637" s="4083"/>
      <c r="T637" s="4083"/>
      <c r="U637" s="3645" t="s">
        <v>1858</v>
      </c>
      <c r="V637" s="3649" t="s">
        <v>1859</v>
      </c>
      <c r="W637" s="3649"/>
      <c r="X637" s="3657" t="s">
        <v>4726</v>
      </c>
      <c r="Y637" s="959" t="s">
        <v>4727</v>
      </c>
      <c r="Z637" s="3691"/>
      <c r="AA637" s="3620" t="s">
        <v>4728</v>
      </c>
      <c r="AB637" s="3691" t="s">
        <v>369</v>
      </c>
      <c r="AC637" s="4058">
        <v>2.0891</v>
      </c>
      <c r="AD637" s="3618">
        <f t="shared" si="284"/>
        <v>25.0692</v>
      </c>
      <c r="AE637" s="3645"/>
      <c r="AF637" s="3664" t="s">
        <v>2827</v>
      </c>
      <c r="AG637" s="3645" t="s">
        <v>416</v>
      </c>
      <c r="AH637" s="4448"/>
      <c r="AI637" s="3691"/>
      <c r="AJ637" s="3691"/>
      <c r="AK637" s="4448"/>
      <c r="AL637" s="3664"/>
      <c r="AM637" s="3664">
        <f>I637</f>
        <v>12</v>
      </c>
      <c r="AN637" s="3691"/>
      <c r="AO637" s="3691"/>
      <c r="AP637" s="3691">
        <f t="shared" si="282"/>
        <v>12</v>
      </c>
      <c r="AQ637" s="4089"/>
      <c r="AR637" s="4411"/>
      <c r="AS637" s="4089"/>
      <c r="AT637" s="4411"/>
      <c r="AU637" s="4089">
        <f>I637</f>
        <v>12</v>
      </c>
      <c r="AV637" s="4089"/>
      <c r="AW637" s="4089"/>
      <c r="AX637" s="4089"/>
      <c r="AY637" s="4089"/>
      <c r="AZ637" s="4089"/>
      <c r="BA637" s="4089"/>
      <c r="BB637" s="4089"/>
      <c r="BC637" s="4089"/>
      <c r="BD637" s="4089"/>
      <c r="BE637" s="4089"/>
      <c r="BF637" s="4089" t="s">
        <v>89</v>
      </c>
      <c r="BG637" s="4089"/>
      <c r="BH637" s="4089">
        <f>I637-BN637</f>
        <v>11.8</v>
      </c>
      <c r="BI637" s="4089"/>
      <c r="BJ637" s="4089"/>
      <c r="BK637" s="4089"/>
      <c r="BL637" s="4089"/>
      <c r="BM637" s="4089"/>
      <c r="BN637" s="4089">
        <f>I637/60*1</f>
        <v>0.2</v>
      </c>
      <c r="BO637" s="4411"/>
      <c r="BP637" s="4411"/>
      <c r="BQ637" s="4411"/>
      <c r="BR637" s="4411"/>
      <c r="BS637" s="4411"/>
      <c r="BT637" s="4453"/>
      <c r="BU637" s="4454"/>
      <c r="BV637" s="4385">
        <f t="shared" si="279"/>
        <v>12</v>
      </c>
      <c r="BW637" s="4386">
        <f t="shared" si="257"/>
        <v>0</v>
      </c>
      <c r="BX637" s="4387"/>
      <c r="BY637" s="4387"/>
      <c r="BZ637" s="4387"/>
      <c r="CA637" s="4391"/>
      <c r="CC637" s="4392"/>
      <c r="CD637" s="4391"/>
    </row>
    <row r="638" s="4025" customFormat="1" ht="50" customHeight="1" spans="1:82">
      <c r="A638" s="3688">
        <v>45881</v>
      </c>
      <c r="B638" s="3689" t="s">
        <v>4730</v>
      </c>
      <c r="C638" s="3664" t="s">
        <v>738</v>
      </c>
      <c r="D638" s="3690">
        <v>4500176644</v>
      </c>
      <c r="E638" s="3664" t="s">
        <v>4684</v>
      </c>
      <c r="F638" s="3690" t="s">
        <v>4731</v>
      </c>
      <c r="G638" s="3664" t="s">
        <v>2640</v>
      </c>
      <c r="H638" s="3664" t="s">
        <v>2641</v>
      </c>
      <c r="I638" s="3691">
        <v>24</v>
      </c>
      <c r="J638" s="3691">
        <v>0</v>
      </c>
      <c r="K638" s="3691">
        <v>12</v>
      </c>
      <c r="L638" s="3691">
        <f t="shared" si="281"/>
        <v>2</v>
      </c>
      <c r="M638" s="3659">
        <v>45907</v>
      </c>
      <c r="N638" s="3659">
        <v>45903</v>
      </c>
      <c r="O638" s="4085"/>
      <c r="P638" s="3682" t="s">
        <v>82</v>
      </c>
      <c r="Q638" s="3682"/>
      <c r="R638" s="4083"/>
      <c r="S638" s="4083"/>
      <c r="T638" s="4083"/>
      <c r="U638" s="3645" t="s">
        <v>4732</v>
      </c>
      <c r="V638" s="3649" t="s">
        <v>4733</v>
      </c>
      <c r="W638" s="3649"/>
      <c r="X638" s="3657" t="s">
        <v>4734</v>
      </c>
      <c r="Y638" s="3618"/>
      <c r="Z638" s="3691"/>
      <c r="AA638" s="3620" t="s">
        <v>4735</v>
      </c>
      <c r="AB638" s="3691" t="s">
        <v>1257</v>
      </c>
      <c r="AC638" s="4087">
        <v>2.194</v>
      </c>
      <c r="AD638" s="3691">
        <f t="shared" si="284"/>
        <v>52.656</v>
      </c>
      <c r="AE638" s="3645"/>
      <c r="AF638" s="3664" t="s">
        <v>2644</v>
      </c>
      <c r="AG638" s="3645" t="s">
        <v>416</v>
      </c>
      <c r="AH638" s="4448"/>
      <c r="AI638" s="3691"/>
      <c r="AJ638" s="3691"/>
      <c r="AK638" s="4448"/>
      <c r="AL638" s="3664"/>
      <c r="AM638" s="3664">
        <f>I638</f>
        <v>24</v>
      </c>
      <c r="AN638" s="3691"/>
      <c r="AO638" s="3691"/>
      <c r="AP638" s="3691">
        <f t="shared" si="282"/>
        <v>24</v>
      </c>
      <c r="AQ638" s="4089"/>
      <c r="AR638" s="4411"/>
      <c r="AS638" s="4089">
        <f t="shared" ref="AS638:AS652" si="285">I638</f>
        <v>24</v>
      </c>
      <c r="AT638" s="4411"/>
      <c r="AU638" s="4089"/>
      <c r="AV638" s="4089"/>
      <c r="AW638" s="4089"/>
      <c r="AX638" s="4089"/>
      <c r="AY638" s="4089"/>
      <c r="AZ638" s="4089"/>
      <c r="BA638" s="4089"/>
      <c r="BB638" s="4089"/>
      <c r="BC638" s="4089"/>
      <c r="BD638" s="4089"/>
      <c r="BE638" s="4089"/>
      <c r="BF638" s="4089" t="s">
        <v>89</v>
      </c>
      <c r="BG638" s="4089"/>
      <c r="BH638" s="4089">
        <f>I638-BU638</f>
        <v>24</v>
      </c>
      <c r="BI638" s="4089"/>
      <c r="BJ638" s="4089"/>
      <c r="BK638" s="4089"/>
      <c r="BL638" s="4089"/>
      <c r="BM638" s="4089"/>
      <c r="BN638" s="4089"/>
      <c r="BO638" s="4411"/>
      <c r="BP638" s="4411"/>
      <c r="BQ638" s="4411"/>
      <c r="BR638" s="4411"/>
      <c r="BS638" s="4411"/>
      <c r="BT638" s="4453"/>
      <c r="BU638" s="4454"/>
      <c r="BV638" s="4385">
        <f t="shared" si="279"/>
        <v>24</v>
      </c>
      <c r="BW638" s="4386">
        <f t="shared" si="257"/>
        <v>0</v>
      </c>
      <c r="BX638" s="4387"/>
      <c r="BY638" s="4387"/>
      <c r="BZ638" s="4387"/>
      <c r="CA638" s="4391"/>
      <c r="CC638" s="4392"/>
      <c r="CD638" s="4391"/>
    </row>
    <row r="639" s="4025" customFormat="1" ht="50" customHeight="1" spans="1:82">
      <c r="A639" s="3688">
        <v>45848</v>
      </c>
      <c r="B639" s="3689" t="s">
        <v>3905</v>
      </c>
      <c r="C639" s="3664" t="s">
        <v>1385</v>
      </c>
      <c r="D639" s="3690">
        <v>4500173266</v>
      </c>
      <c r="E639" s="3664" t="s">
        <v>4736</v>
      </c>
      <c r="F639" s="3690" t="s">
        <v>4737</v>
      </c>
      <c r="G639" s="3664" t="s">
        <v>2806</v>
      </c>
      <c r="H639" s="3664" t="s">
        <v>2591</v>
      </c>
      <c r="I639" s="3691">
        <v>1440</v>
      </c>
      <c r="J639" s="3691">
        <v>0</v>
      </c>
      <c r="K639" s="3691">
        <v>12</v>
      </c>
      <c r="L639" s="3691">
        <f t="shared" ref="L638:L701" si="286">I639/K639</f>
        <v>120</v>
      </c>
      <c r="M639" s="3659">
        <v>45908</v>
      </c>
      <c r="N639" s="3659">
        <v>45904</v>
      </c>
      <c r="O639" s="4085"/>
      <c r="P639" s="4097" t="s">
        <v>82</v>
      </c>
      <c r="Q639" s="4490"/>
      <c r="R639" s="4491"/>
      <c r="S639" s="4491"/>
      <c r="T639" s="4491"/>
      <c r="U639" s="3701" t="s">
        <v>1832</v>
      </c>
      <c r="V639" s="3649" t="s">
        <v>4738</v>
      </c>
      <c r="W639" s="3657"/>
      <c r="X639" s="4492"/>
      <c r="Y639" s="3657"/>
      <c r="Z639" s="3691"/>
      <c r="AA639" s="3620" t="s">
        <v>4739</v>
      </c>
      <c r="AB639" s="3691" t="s">
        <v>448</v>
      </c>
      <c r="AC639" s="4087">
        <v>2.0875</v>
      </c>
      <c r="AD639" s="3691">
        <f t="shared" si="284"/>
        <v>3006</v>
      </c>
      <c r="AE639" s="3645"/>
      <c r="AF639" s="3664" t="s">
        <v>2806</v>
      </c>
      <c r="AG639" s="3645" t="s">
        <v>416</v>
      </c>
      <c r="AH639" s="4422"/>
      <c r="AI639" s="3691"/>
      <c r="AJ639" s="3691">
        <f>I639</f>
        <v>1440</v>
      </c>
      <c r="AK639" s="4422"/>
      <c r="AL639" s="3664"/>
      <c r="AM639" s="3664"/>
      <c r="AN639" s="3691"/>
      <c r="AO639" s="3691"/>
      <c r="AP639" s="3691">
        <f t="shared" si="282"/>
        <v>1440</v>
      </c>
      <c r="AQ639" s="4089"/>
      <c r="AR639" s="907"/>
      <c r="AS639" s="4089">
        <f t="shared" si="285"/>
        <v>1440</v>
      </c>
      <c r="AT639" s="907"/>
      <c r="AU639" s="4089"/>
      <c r="AV639" s="4089"/>
      <c r="AW639" s="4089"/>
      <c r="AX639" s="4089"/>
      <c r="AY639" s="4089">
        <f>I639/6</f>
        <v>240</v>
      </c>
      <c r="AZ639" s="4089"/>
      <c r="BA639" s="4089"/>
      <c r="BB639" s="4089"/>
      <c r="BC639" s="4089"/>
      <c r="BD639" s="4089"/>
      <c r="BE639" s="4089"/>
      <c r="BF639" s="4089" t="s">
        <v>89</v>
      </c>
      <c r="BG639" s="4089"/>
      <c r="BH639" s="4089">
        <f t="shared" ref="BH639:BH699" si="287">I639/60*10</f>
        <v>240</v>
      </c>
      <c r="BI639" s="4089">
        <f t="shared" ref="BI639:BI699" si="288">I639/60*10</f>
        <v>240</v>
      </c>
      <c r="BJ639" s="4089">
        <f t="shared" ref="BJ639:BJ699" si="289">I639/60*10</f>
        <v>240</v>
      </c>
      <c r="BK639" s="4089">
        <f t="shared" ref="BK639:BK699" si="290">I639/60*10</f>
        <v>240</v>
      </c>
      <c r="BL639" s="4089">
        <f t="shared" ref="BL639:BL699" si="291">I639/60*10</f>
        <v>240</v>
      </c>
      <c r="BM639" s="4089">
        <f t="shared" ref="BM639:BM699" si="292">I639/60*8</f>
        <v>192</v>
      </c>
      <c r="BN639" s="4089">
        <f t="shared" ref="BN639:BN699" si="293">I639/60*2</f>
        <v>48</v>
      </c>
      <c r="BO639" s="907"/>
      <c r="BP639" s="907"/>
      <c r="BQ639" s="907"/>
      <c r="BR639" s="907"/>
      <c r="BS639" s="907"/>
      <c r="BT639" s="910"/>
      <c r="BU639" s="911"/>
      <c r="BV639" s="4385">
        <f t="shared" si="279"/>
        <v>1440</v>
      </c>
      <c r="BW639" s="4386">
        <f t="shared" si="257"/>
        <v>0</v>
      </c>
      <c r="BX639" s="4387"/>
      <c r="BY639" s="4387"/>
      <c r="BZ639" s="4387"/>
      <c r="CA639" s="4391"/>
      <c r="CC639" s="4392"/>
      <c r="CD639" s="4391"/>
    </row>
    <row r="640" s="4025" customFormat="1" ht="50" customHeight="1" spans="1:82">
      <c r="A640" s="3688">
        <v>45866</v>
      </c>
      <c r="B640" s="3689" t="s">
        <v>505</v>
      </c>
      <c r="C640" s="3664" t="s">
        <v>506</v>
      </c>
      <c r="D640" s="3690">
        <v>4500175177</v>
      </c>
      <c r="E640" s="3664">
        <v>21012337</v>
      </c>
      <c r="F640" s="3690" t="s">
        <v>4740</v>
      </c>
      <c r="G640" s="3664" t="s">
        <v>2577</v>
      </c>
      <c r="H640" s="3664" t="s">
        <v>2578</v>
      </c>
      <c r="I640" s="3691">
        <v>1464</v>
      </c>
      <c r="J640" s="3691">
        <v>0</v>
      </c>
      <c r="K640" s="3691">
        <v>12</v>
      </c>
      <c r="L640" s="3691">
        <f t="shared" si="286"/>
        <v>122</v>
      </c>
      <c r="M640" s="3659">
        <v>45908</v>
      </c>
      <c r="N640" s="3659">
        <v>45904</v>
      </c>
      <c r="O640" s="4085"/>
      <c r="P640" s="4097" t="s">
        <v>82</v>
      </c>
      <c r="Q640" s="4097"/>
      <c r="R640" s="4226"/>
      <c r="S640" s="4226"/>
      <c r="T640" s="4226"/>
      <c r="U640" s="3645"/>
      <c r="V640" s="3649" t="s">
        <v>1947</v>
      </c>
      <c r="W640" s="3657"/>
      <c r="X640" s="4493" t="s">
        <v>1948</v>
      </c>
      <c r="Y640" s="3649"/>
      <c r="Z640" s="3691"/>
      <c r="AA640" s="3620" t="s">
        <v>4741</v>
      </c>
      <c r="AB640" s="3691" t="s">
        <v>513</v>
      </c>
      <c r="AC640" s="3691">
        <v>2.2463</v>
      </c>
      <c r="AD640" s="3691">
        <f t="shared" si="284"/>
        <v>3288.5832</v>
      </c>
      <c r="AE640" s="3645"/>
      <c r="AF640" s="3664" t="s">
        <v>2577</v>
      </c>
      <c r="AG640" s="3645" t="s">
        <v>416</v>
      </c>
      <c r="AH640" s="4448"/>
      <c r="AI640" s="3691"/>
      <c r="AJ640" s="3691">
        <f>I640</f>
        <v>1464</v>
      </c>
      <c r="AK640" s="4448"/>
      <c r="AL640" s="3664"/>
      <c r="AM640" s="3664"/>
      <c r="AN640" s="3691"/>
      <c r="AO640" s="3691"/>
      <c r="AP640" s="3691">
        <f t="shared" si="282"/>
        <v>1464</v>
      </c>
      <c r="AQ640" s="4089"/>
      <c r="AR640" s="4411"/>
      <c r="AS640" s="4089">
        <f t="shared" si="285"/>
        <v>1464</v>
      </c>
      <c r="AT640" s="4411"/>
      <c r="AU640" s="4089"/>
      <c r="AV640" s="4089"/>
      <c r="AW640" s="4089">
        <f>I640/6</f>
        <v>244</v>
      </c>
      <c r="AX640" s="4089"/>
      <c r="AY640" s="4089"/>
      <c r="AZ640" s="4089"/>
      <c r="BA640" s="4089"/>
      <c r="BB640" s="4089"/>
      <c r="BC640" s="4089"/>
      <c r="BD640" s="4089"/>
      <c r="BE640" s="4089"/>
      <c r="BF640" s="4089" t="s">
        <v>89</v>
      </c>
      <c r="BG640" s="4089"/>
      <c r="BH640" s="4089">
        <f t="shared" si="287"/>
        <v>244</v>
      </c>
      <c r="BI640" s="4089">
        <f t="shared" si="288"/>
        <v>244</v>
      </c>
      <c r="BJ640" s="4089">
        <f t="shared" si="289"/>
        <v>244</v>
      </c>
      <c r="BK640" s="4089">
        <f t="shared" si="290"/>
        <v>244</v>
      </c>
      <c r="BL640" s="4089">
        <f t="shared" si="291"/>
        <v>244</v>
      </c>
      <c r="BM640" s="4089">
        <f t="shared" si="292"/>
        <v>195.2</v>
      </c>
      <c r="BN640" s="4089">
        <f t="shared" si="293"/>
        <v>48.8</v>
      </c>
      <c r="BO640" s="4411"/>
      <c r="BP640" s="4411"/>
      <c r="BQ640" s="4411"/>
      <c r="BR640" s="4411"/>
      <c r="BS640" s="4411"/>
      <c r="BT640" s="4453"/>
      <c r="BU640" s="4454"/>
      <c r="BV640" s="4385">
        <f t="shared" si="279"/>
        <v>1464</v>
      </c>
      <c r="BW640" s="4386">
        <f t="shared" si="257"/>
        <v>0</v>
      </c>
      <c r="BX640" s="4387"/>
      <c r="BY640" s="4387"/>
      <c r="BZ640" s="4387"/>
      <c r="CA640" s="4391"/>
      <c r="CC640" s="4392"/>
      <c r="CD640" s="4391"/>
    </row>
    <row r="641" s="4025" customFormat="1" ht="50" customHeight="1" spans="1:82">
      <c r="A641" s="3688">
        <v>45866</v>
      </c>
      <c r="B641" s="3689" t="s">
        <v>505</v>
      </c>
      <c r="C641" s="3664" t="s">
        <v>506</v>
      </c>
      <c r="D641" s="3690">
        <v>4500175177</v>
      </c>
      <c r="E641" s="3664">
        <v>21038311</v>
      </c>
      <c r="F641" s="3690" t="s">
        <v>4742</v>
      </c>
      <c r="G641" s="3664" t="s">
        <v>2577</v>
      </c>
      <c r="H641" s="3664" t="s">
        <v>2578</v>
      </c>
      <c r="I641" s="3691">
        <v>4500</v>
      </c>
      <c r="J641" s="3691">
        <v>0</v>
      </c>
      <c r="K641" s="3691">
        <v>12</v>
      </c>
      <c r="L641" s="3691">
        <f t="shared" si="286"/>
        <v>375</v>
      </c>
      <c r="M641" s="3659">
        <v>45908</v>
      </c>
      <c r="N641" s="3659">
        <v>45904</v>
      </c>
      <c r="O641" s="4085"/>
      <c r="P641" s="4097" t="s">
        <v>82</v>
      </c>
      <c r="Q641" s="4097"/>
      <c r="R641" s="4226"/>
      <c r="S641" s="4226"/>
      <c r="T641" s="4226"/>
      <c r="U641" s="3645"/>
      <c r="V641" s="3649" t="s">
        <v>1947</v>
      </c>
      <c r="W641" s="3657"/>
      <c r="X641" s="3657" t="s">
        <v>1948</v>
      </c>
      <c r="Y641" s="3649"/>
      <c r="Z641" s="3691"/>
      <c r="AA641" s="3620" t="s">
        <v>4743</v>
      </c>
      <c r="AB641" s="3691" t="s">
        <v>513</v>
      </c>
      <c r="AC641" s="3691">
        <v>2.2429</v>
      </c>
      <c r="AD641" s="3691">
        <f t="shared" si="284"/>
        <v>10093.05</v>
      </c>
      <c r="AE641" s="3645"/>
      <c r="AF641" s="3664" t="s">
        <v>2577</v>
      </c>
      <c r="AG641" s="3645" t="s">
        <v>416</v>
      </c>
      <c r="AH641" s="4448"/>
      <c r="AI641" s="3691"/>
      <c r="AJ641" s="3691">
        <f>I641</f>
        <v>4500</v>
      </c>
      <c r="AK641" s="4448"/>
      <c r="AL641" s="3664"/>
      <c r="AM641" s="3664"/>
      <c r="AN641" s="3691"/>
      <c r="AO641" s="3691"/>
      <c r="AP641" s="3691">
        <f t="shared" si="282"/>
        <v>4500</v>
      </c>
      <c r="AQ641" s="4089"/>
      <c r="AR641" s="4411"/>
      <c r="AS641" s="4089">
        <f t="shared" si="285"/>
        <v>4500</v>
      </c>
      <c r="AT641" s="4411"/>
      <c r="AU641" s="4089"/>
      <c r="AV641" s="4089"/>
      <c r="AW641" s="4089">
        <f>I641/6</f>
        <v>750</v>
      </c>
      <c r="AX641" s="4089"/>
      <c r="AY641" s="4089"/>
      <c r="AZ641" s="4089"/>
      <c r="BA641" s="4089"/>
      <c r="BB641" s="4089"/>
      <c r="BC641" s="4089"/>
      <c r="BD641" s="4089"/>
      <c r="BE641" s="4089"/>
      <c r="BF641" s="4089" t="s">
        <v>89</v>
      </c>
      <c r="BG641" s="4089"/>
      <c r="BH641" s="4089">
        <f t="shared" si="287"/>
        <v>750</v>
      </c>
      <c r="BI641" s="4089">
        <f t="shared" si="288"/>
        <v>750</v>
      </c>
      <c r="BJ641" s="4089">
        <f t="shared" si="289"/>
        <v>750</v>
      </c>
      <c r="BK641" s="4089">
        <f t="shared" si="290"/>
        <v>750</v>
      </c>
      <c r="BL641" s="4089">
        <f t="shared" si="291"/>
        <v>750</v>
      </c>
      <c r="BM641" s="4089">
        <f t="shared" si="292"/>
        <v>600</v>
      </c>
      <c r="BN641" s="4089">
        <f t="shared" si="293"/>
        <v>150</v>
      </c>
      <c r="BO641" s="4411"/>
      <c r="BP641" s="4411"/>
      <c r="BQ641" s="4411"/>
      <c r="BR641" s="4411"/>
      <c r="BS641" s="4411"/>
      <c r="BT641" s="4453"/>
      <c r="BU641" s="4454"/>
      <c r="BV641" s="4385">
        <f t="shared" si="279"/>
        <v>4500</v>
      </c>
      <c r="BW641" s="4386">
        <f t="shared" si="257"/>
        <v>0</v>
      </c>
      <c r="BX641" s="4387"/>
      <c r="BY641" s="4387"/>
      <c r="BZ641" s="4387"/>
      <c r="CA641" s="4391"/>
      <c r="CC641" s="4392"/>
      <c r="CD641" s="4391"/>
    </row>
    <row r="642" s="4025" customFormat="1" ht="50" customHeight="1" spans="1:82">
      <c r="A642" s="3688">
        <v>45866</v>
      </c>
      <c r="B642" s="3689" t="s">
        <v>839</v>
      </c>
      <c r="C642" s="3664" t="s">
        <v>840</v>
      </c>
      <c r="D642" s="3690">
        <v>4500175179</v>
      </c>
      <c r="E642" s="3664">
        <v>21012338</v>
      </c>
      <c r="F642" s="3690" t="s">
        <v>4744</v>
      </c>
      <c r="G642" s="3664" t="s">
        <v>2577</v>
      </c>
      <c r="H642" s="3664" t="s">
        <v>2578</v>
      </c>
      <c r="I642" s="3691">
        <v>36</v>
      </c>
      <c r="J642" s="3691">
        <v>0</v>
      </c>
      <c r="K642" s="3691">
        <v>12</v>
      </c>
      <c r="L642" s="3691">
        <f t="shared" si="286"/>
        <v>3</v>
      </c>
      <c r="M642" s="3659">
        <v>45908</v>
      </c>
      <c r="N642" s="3659">
        <v>45904</v>
      </c>
      <c r="O642" s="4085"/>
      <c r="P642" s="4097" t="s">
        <v>82</v>
      </c>
      <c r="Q642" s="4097"/>
      <c r="R642" s="4226"/>
      <c r="S642" s="4226"/>
      <c r="T642" s="4226"/>
      <c r="U642" s="3645"/>
      <c r="V642" s="3649" t="s">
        <v>1947</v>
      </c>
      <c r="W642" s="3657"/>
      <c r="X642" s="3657" t="s">
        <v>4745</v>
      </c>
      <c r="Y642" s="3649"/>
      <c r="Z642" s="3691"/>
      <c r="AA642" s="3620" t="s">
        <v>4746</v>
      </c>
      <c r="AB642" s="3691" t="s">
        <v>513</v>
      </c>
      <c r="AC642" s="3691">
        <v>2.2509</v>
      </c>
      <c r="AD642" s="3691">
        <f t="shared" si="284"/>
        <v>81.0324</v>
      </c>
      <c r="AE642" s="3645"/>
      <c r="AF642" s="3664" t="s">
        <v>2577</v>
      </c>
      <c r="AG642" s="3645" t="s">
        <v>416</v>
      </c>
      <c r="AH642" s="4448"/>
      <c r="AI642" s="3691"/>
      <c r="AJ642" s="3691">
        <f>I642</f>
        <v>36</v>
      </c>
      <c r="AK642" s="4448"/>
      <c r="AL642" s="3664"/>
      <c r="AM642" s="3664"/>
      <c r="AN642" s="3691"/>
      <c r="AO642" s="3691"/>
      <c r="AP642" s="3691">
        <f t="shared" si="282"/>
        <v>36</v>
      </c>
      <c r="AQ642" s="4089"/>
      <c r="AR642" s="4411"/>
      <c r="AS642" s="4089">
        <f t="shared" si="285"/>
        <v>36</v>
      </c>
      <c r="AT642" s="4411"/>
      <c r="AU642" s="4089"/>
      <c r="AV642" s="4089"/>
      <c r="AW642" s="4089">
        <f>I642/6</f>
        <v>6</v>
      </c>
      <c r="AX642" s="4089"/>
      <c r="AY642" s="4089"/>
      <c r="AZ642" s="4089"/>
      <c r="BA642" s="4089"/>
      <c r="BB642" s="4089"/>
      <c r="BC642" s="4089"/>
      <c r="BD642" s="4089"/>
      <c r="BE642" s="4089"/>
      <c r="BF642" s="4089" t="s">
        <v>89</v>
      </c>
      <c r="BG642" s="4089"/>
      <c r="BH642" s="4089">
        <f t="shared" si="287"/>
        <v>6</v>
      </c>
      <c r="BI642" s="4089">
        <f t="shared" si="288"/>
        <v>6</v>
      </c>
      <c r="BJ642" s="4089">
        <f t="shared" si="289"/>
        <v>6</v>
      </c>
      <c r="BK642" s="4089">
        <f t="shared" si="290"/>
        <v>6</v>
      </c>
      <c r="BL642" s="4089">
        <f t="shared" si="291"/>
        <v>6</v>
      </c>
      <c r="BM642" s="4089">
        <f t="shared" si="292"/>
        <v>4.8</v>
      </c>
      <c r="BN642" s="4089">
        <f t="shared" si="293"/>
        <v>1.2</v>
      </c>
      <c r="BO642" s="4411"/>
      <c r="BP642" s="4411"/>
      <c r="BQ642" s="4411"/>
      <c r="BR642" s="4411"/>
      <c r="BS642" s="4411"/>
      <c r="BT642" s="4453"/>
      <c r="BU642" s="4454"/>
      <c r="BV642" s="4385">
        <f t="shared" si="279"/>
        <v>36</v>
      </c>
      <c r="BW642" s="4386">
        <f t="shared" si="257"/>
        <v>0</v>
      </c>
      <c r="BX642" s="4387"/>
      <c r="BY642" s="4387"/>
      <c r="BZ642" s="4387"/>
      <c r="CA642" s="4391"/>
      <c r="CC642" s="4392"/>
      <c r="CD642" s="4391"/>
    </row>
    <row r="643" s="4025" customFormat="1" ht="50" customHeight="1" spans="1:82">
      <c r="A643" s="3688">
        <v>45834</v>
      </c>
      <c r="B643" s="3689" t="s">
        <v>1315</v>
      </c>
      <c r="C643" s="3664" t="s">
        <v>1316</v>
      </c>
      <c r="D643" s="3690">
        <v>4500166280</v>
      </c>
      <c r="E643" s="3664" t="s">
        <v>1899</v>
      </c>
      <c r="F643" s="3690" t="s">
        <v>1900</v>
      </c>
      <c r="G643" s="3664" t="s">
        <v>3821</v>
      </c>
      <c r="H643" s="3664" t="s">
        <v>1320</v>
      </c>
      <c r="I643" s="3691">
        <v>2124</v>
      </c>
      <c r="J643" s="3691">
        <v>0</v>
      </c>
      <c r="K643" s="3691">
        <v>4</v>
      </c>
      <c r="L643" s="4082">
        <f t="shared" si="286"/>
        <v>531</v>
      </c>
      <c r="M643" s="3659">
        <v>45908</v>
      </c>
      <c r="N643" s="4111">
        <f t="shared" ref="N643:N652" si="294">M643-4</f>
        <v>45904</v>
      </c>
      <c r="O643" s="3664"/>
      <c r="P643" s="4097" t="s">
        <v>82</v>
      </c>
      <c r="Q643" s="4097"/>
      <c r="R643" s="4226"/>
      <c r="S643" s="4226"/>
      <c r="T643" s="4226"/>
      <c r="U643" s="3645" t="s">
        <v>1832</v>
      </c>
      <c r="V643" s="3649" t="s">
        <v>1571</v>
      </c>
      <c r="W643" s="3657"/>
      <c r="X643" s="3657" t="s">
        <v>1876</v>
      </c>
      <c r="Y643" s="3649"/>
      <c r="Z643" s="3691" t="s">
        <v>1901</v>
      </c>
      <c r="AA643" s="3620" t="s">
        <v>1376</v>
      </c>
      <c r="AB643" s="3691" t="s">
        <v>1326</v>
      </c>
      <c r="AC643" s="3691">
        <v>16.9368</v>
      </c>
      <c r="AD643" s="3691">
        <f>AC643*L643</f>
        <v>8993.4408</v>
      </c>
      <c r="AE643" s="3645"/>
      <c r="AF643" s="3664" t="s">
        <v>3822</v>
      </c>
      <c r="AG643" s="3645" t="s">
        <v>416</v>
      </c>
      <c r="AH643" s="4448"/>
      <c r="AI643" s="3691"/>
      <c r="AJ643" s="3691"/>
      <c r="AK643" s="4448"/>
      <c r="AL643" s="3664"/>
      <c r="AM643" s="3664"/>
      <c r="AN643" s="3691">
        <f>I643</f>
        <v>2124</v>
      </c>
      <c r="AO643" s="3691"/>
      <c r="AP643" s="3691"/>
      <c r="AQ643" s="4089">
        <f>I643</f>
        <v>2124</v>
      </c>
      <c r="AR643" s="4411"/>
      <c r="AS643" s="4089">
        <f t="shared" si="285"/>
        <v>2124</v>
      </c>
      <c r="AT643" s="4411"/>
      <c r="AU643" s="4089"/>
      <c r="AV643" s="4089"/>
      <c r="AW643" s="4089"/>
      <c r="AX643" s="4089"/>
      <c r="AY643" s="4089"/>
      <c r="AZ643" s="4089"/>
      <c r="BA643" s="4089"/>
      <c r="BB643" s="4089"/>
      <c r="BC643" s="4089">
        <f>I643/4</f>
        <v>531</v>
      </c>
      <c r="BD643" s="4089"/>
      <c r="BE643" s="4089"/>
      <c r="BF643" s="4089" t="s">
        <v>1327</v>
      </c>
      <c r="BG643" s="4089"/>
      <c r="BH643" s="4089">
        <f t="shared" si="287"/>
        <v>354</v>
      </c>
      <c r="BI643" s="4089">
        <f t="shared" si="288"/>
        <v>354</v>
      </c>
      <c r="BJ643" s="4089">
        <f t="shared" si="289"/>
        <v>354</v>
      </c>
      <c r="BK643" s="4089">
        <f t="shared" si="290"/>
        <v>354</v>
      </c>
      <c r="BL643" s="4089">
        <f t="shared" si="291"/>
        <v>354</v>
      </c>
      <c r="BM643" s="4089">
        <f t="shared" si="292"/>
        <v>283.2</v>
      </c>
      <c r="BN643" s="4089">
        <f t="shared" si="293"/>
        <v>70.8</v>
      </c>
      <c r="BO643" s="4411"/>
      <c r="BP643" s="4411"/>
      <c r="BQ643" s="4411"/>
      <c r="BR643" s="4411"/>
      <c r="BS643" s="4411"/>
      <c r="BT643" s="4453"/>
      <c r="BU643" s="4454"/>
      <c r="BV643" s="4385">
        <f t="shared" si="279"/>
        <v>2124</v>
      </c>
      <c r="BW643" s="4386">
        <f t="shared" si="257"/>
        <v>0</v>
      </c>
      <c r="BX643" s="4387"/>
      <c r="BY643" s="4387"/>
      <c r="BZ643" s="4387"/>
      <c r="CA643" s="4391"/>
      <c r="CC643" s="4392" t="s">
        <v>4612</v>
      </c>
      <c r="CD643" s="4391" t="e">
        <v>#N/A</v>
      </c>
    </row>
    <row r="644" s="4314" customFormat="1" ht="50" customHeight="1" spans="1:82">
      <c r="A644" s="3688">
        <v>45834</v>
      </c>
      <c r="B644" s="3689" t="s">
        <v>1315</v>
      </c>
      <c r="C644" s="3664" t="s">
        <v>1316</v>
      </c>
      <c r="D644" s="3690">
        <v>4500162586</v>
      </c>
      <c r="E644" s="3664" t="s">
        <v>1905</v>
      </c>
      <c r="F644" s="3690" t="s">
        <v>1906</v>
      </c>
      <c r="G644" s="3664" t="s">
        <v>3821</v>
      </c>
      <c r="H644" s="3664" t="s">
        <v>1320</v>
      </c>
      <c r="I644" s="3691">
        <v>1352</v>
      </c>
      <c r="J644" s="3691">
        <v>0</v>
      </c>
      <c r="K644" s="3691">
        <v>4</v>
      </c>
      <c r="L644" s="4082">
        <f t="shared" si="286"/>
        <v>338</v>
      </c>
      <c r="M644" s="3659">
        <v>45908</v>
      </c>
      <c r="N644" s="4111">
        <f t="shared" si="294"/>
        <v>45904</v>
      </c>
      <c r="O644" s="4085"/>
      <c r="P644" s="4097" t="s">
        <v>82</v>
      </c>
      <c r="Q644" s="4097"/>
      <c r="R644" s="4226"/>
      <c r="S644" s="4226"/>
      <c r="T644" s="4226"/>
      <c r="U644" s="3645" t="s">
        <v>248</v>
      </c>
      <c r="V644" s="3649" t="s">
        <v>1571</v>
      </c>
      <c r="W644" s="3657"/>
      <c r="X644" s="3657" t="s">
        <v>1907</v>
      </c>
      <c r="Y644" s="3649"/>
      <c r="Z644" s="3691" t="s">
        <v>1908</v>
      </c>
      <c r="AA644" s="3620" t="s">
        <v>1376</v>
      </c>
      <c r="AB644" s="3691" t="s">
        <v>1326</v>
      </c>
      <c r="AC644" s="3691">
        <v>16.8314</v>
      </c>
      <c r="AD644" s="3691">
        <f>AC644*L644</f>
        <v>5689.0132</v>
      </c>
      <c r="AE644" s="3645"/>
      <c r="AF644" s="3664" t="s">
        <v>3822</v>
      </c>
      <c r="AG644" s="3645" t="s">
        <v>416</v>
      </c>
      <c r="AH644" s="4430"/>
      <c r="AI644" s="3691"/>
      <c r="AJ644" s="3691"/>
      <c r="AK644" s="4430"/>
      <c r="AL644" s="3664"/>
      <c r="AM644" s="3664"/>
      <c r="AN644" s="3691">
        <f>I644</f>
        <v>1352</v>
      </c>
      <c r="AO644" s="3691"/>
      <c r="AP644" s="3691"/>
      <c r="AQ644" s="4089">
        <f>I644</f>
        <v>1352</v>
      </c>
      <c r="AR644" s="4413"/>
      <c r="AS644" s="4089">
        <f t="shared" si="285"/>
        <v>1352</v>
      </c>
      <c r="AT644" s="4413"/>
      <c r="AU644" s="4089"/>
      <c r="AV644" s="4089"/>
      <c r="AW644" s="4089"/>
      <c r="AX644" s="4089"/>
      <c r="AY644" s="4089"/>
      <c r="AZ644" s="4089"/>
      <c r="BA644" s="4089"/>
      <c r="BB644" s="4089"/>
      <c r="BC644" s="4089">
        <f>I644/4</f>
        <v>338</v>
      </c>
      <c r="BD644" s="4089"/>
      <c r="BE644" s="4089"/>
      <c r="BF644" s="4089" t="s">
        <v>1327</v>
      </c>
      <c r="BG644" s="4089"/>
      <c r="BH644" s="4089">
        <f t="shared" si="287"/>
        <v>225.333333333333</v>
      </c>
      <c r="BI644" s="4089">
        <f t="shared" si="288"/>
        <v>225.333333333333</v>
      </c>
      <c r="BJ644" s="4089">
        <f t="shared" si="289"/>
        <v>225.333333333333</v>
      </c>
      <c r="BK644" s="4089">
        <f t="shared" si="290"/>
        <v>225.333333333333</v>
      </c>
      <c r="BL644" s="4089">
        <f t="shared" si="291"/>
        <v>225.333333333333</v>
      </c>
      <c r="BM644" s="4089">
        <f t="shared" si="292"/>
        <v>180.266666666667</v>
      </c>
      <c r="BN644" s="4089">
        <f t="shared" si="293"/>
        <v>45.0666666666667</v>
      </c>
      <c r="BO644" s="4413"/>
      <c r="BP644" s="4413"/>
      <c r="BQ644" s="4413"/>
      <c r="BR644" s="4413"/>
      <c r="BS644" s="4413"/>
      <c r="BT644" s="4431"/>
      <c r="BU644" s="4432"/>
      <c r="BV644" s="4385">
        <f t="shared" si="279"/>
        <v>1352</v>
      </c>
      <c r="BW644" s="4386">
        <f t="shared" si="257"/>
        <v>0</v>
      </c>
      <c r="BX644" s="4387"/>
      <c r="BY644" s="4387"/>
      <c r="BZ644" s="4387"/>
      <c r="CA644" s="4391"/>
      <c r="CC644" s="4392" t="s">
        <v>4612</v>
      </c>
      <c r="CD644" s="4391" t="e">
        <v>#N/A</v>
      </c>
    </row>
    <row r="645" s="4314" customFormat="1" ht="50" customHeight="1" spans="1:82">
      <c r="A645" s="3688">
        <v>45873</v>
      </c>
      <c r="B645" s="3689" t="s">
        <v>4747</v>
      </c>
      <c r="C645" s="3664" t="s">
        <v>91</v>
      </c>
      <c r="D645" s="3690">
        <v>4500175905</v>
      </c>
      <c r="E645" s="3664">
        <v>4557424748</v>
      </c>
      <c r="F645" s="3690" t="s">
        <v>4748</v>
      </c>
      <c r="G645" s="3664" t="s">
        <v>2719</v>
      </c>
      <c r="H645" s="3691" t="s">
        <v>2591</v>
      </c>
      <c r="I645" s="3691">
        <v>1248</v>
      </c>
      <c r="J645" s="3691">
        <v>0</v>
      </c>
      <c r="K645" s="3691">
        <v>6</v>
      </c>
      <c r="L645" s="4082">
        <f t="shared" si="286"/>
        <v>208</v>
      </c>
      <c r="M645" s="3659">
        <v>45908</v>
      </c>
      <c r="N645" s="4111">
        <f t="shared" si="294"/>
        <v>45904</v>
      </c>
      <c r="O645" s="3664"/>
      <c r="P645" s="4097" t="s">
        <v>82</v>
      </c>
      <c r="Q645" s="4097"/>
      <c r="R645" s="4226"/>
      <c r="S645" s="4226"/>
      <c r="T645" s="4226"/>
      <c r="U645" s="3645" t="s">
        <v>1838</v>
      </c>
      <c r="V645" s="3649" t="s">
        <v>4749</v>
      </c>
      <c r="W645" s="3657"/>
      <c r="X645" s="3657" t="s">
        <v>4750</v>
      </c>
      <c r="Y645" s="3657"/>
      <c r="Z645" s="3691" t="s">
        <v>4751</v>
      </c>
      <c r="AA645" s="3620" t="s">
        <v>4752</v>
      </c>
      <c r="AB645" s="3691" t="s">
        <v>3262</v>
      </c>
      <c r="AC645" s="4087">
        <v>1.2293</v>
      </c>
      <c r="AD645" s="3691">
        <f t="shared" ref="AD645:AD651" si="295">AC645*I645</f>
        <v>1534.1664</v>
      </c>
      <c r="AE645" s="3645" t="s">
        <v>4753</v>
      </c>
      <c r="AF645" s="3664" t="s">
        <v>2719</v>
      </c>
      <c r="AG645" s="3645" t="s">
        <v>416</v>
      </c>
      <c r="AH645" s="4430"/>
      <c r="AI645" s="3691"/>
      <c r="AJ645" s="3691">
        <f t="shared" ref="AJ645:AJ651" si="296">I645</f>
        <v>1248</v>
      </c>
      <c r="AK645" s="4430"/>
      <c r="AL645" s="3664"/>
      <c r="AM645" s="3664"/>
      <c r="AN645" s="3691"/>
      <c r="AO645" s="3691"/>
      <c r="AP645" s="3691">
        <f t="shared" ref="AP645:AP651" si="297">I645</f>
        <v>1248</v>
      </c>
      <c r="AQ645" s="4089"/>
      <c r="AR645" s="4413"/>
      <c r="AS645" s="4089">
        <f t="shared" si="285"/>
        <v>1248</v>
      </c>
      <c r="AT645" s="4413"/>
      <c r="AU645" s="4089"/>
      <c r="AV645" s="4089"/>
      <c r="AW645" s="4089"/>
      <c r="AX645" s="4089"/>
      <c r="AY645" s="4089"/>
      <c r="AZ645" s="4089"/>
      <c r="BA645" s="4089"/>
      <c r="BB645" s="4089"/>
      <c r="BC645" s="4089"/>
      <c r="BD645" s="4089"/>
      <c r="BE645" s="4089"/>
      <c r="BF645" s="4089" t="s">
        <v>89</v>
      </c>
      <c r="BG645" s="4089"/>
      <c r="BH645" s="4089">
        <f t="shared" si="287"/>
        <v>208</v>
      </c>
      <c r="BI645" s="4089">
        <f t="shared" si="288"/>
        <v>208</v>
      </c>
      <c r="BJ645" s="4089">
        <f t="shared" si="289"/>
        <v>208</v>
      </c>
      <c r="BK645" s="4089">
        <f t="shared" si="290"/>
        <v>208</v>
      </c>
      <c r="BL645" s="4089">
        <f t="shared" si="291"/>
        <v>208</v>
      </c>
      <c r="BM645" s="4089">
        <f t="shared" si="292"/>
        <v>166.4</v>
      </c>
      <c r="BN645" s="4089">
        <f t="shared" si="293"/>
        <v>41.6</v>
      </c>
      <c r="BO645" s="4413"/>
      <c r="BP645" s="4413"/>
      <c r="BQ645" s="4413"/>
      <c r="BR645" s="4413"/>
      <c r="BS645" s="4413"/>
      <c r="BT645" s="4431"/>
      <c r="BU645" s="4432"/>
      <c r="BV645" s="4385">
        <f t="shared" si="279"/>
        <v>1248</v>
      </c>
      <c r="BW645" s="4386">
        <f t="shared" ref="BW645:BW708" si="298">I645-BV645</f>
        <v>0</v>
      </c>
      <c r="BX645" s="4387"/>
      <c r="BY645" s="4387"/>
      <c r="BZ645" s="4387"/>
      <c r="CA645" s="4391"/>
      <c r="CC645" s="4392"/>
      <c r="CD645" s="4391"/>
    </row>
    <row r="646" s="4315" customFormat="1" ht="50" customHeight="1" spans="1:82">
      <c r="A646" s="3688">
        <v>45873</v>
      </c>
      <c r="B646" s="3689" t="s">
        <v>4747</v>
      </c>
      <c r="C646" s="3664" t="s">
        <v>91</v>
      </c>
      <c r="D646" s="3690">
        <v>4500175905</v>
      </c>
      <c r="E646" s="3664">
        <v>4557424620</v>
      </c>
      <c r="F646" s="3690" t="s">
        <v>4754</v>
      </c>
      <c r="G646" s="3664" t="s">
        <v>2719</v>
      </c>
      <c r="H646" s="3691" t="s">
        <v>2591</v>
      </c>
      <c r="I646" s="3691">
        <v>2430</v>
      </c>
      <c r="J646" s="3691">
        <v>0</v>
      </c>
      <c r="K646" s="3691">
        <v>6</v>
      </c>
      <c r="L646" s="4082">
        <f t="shared" si="286"/>
        <v>405</v>
      </c>
      <c r="M646" s="3659">
        <v>45908</v>
      </c>
      <c r="N646" s="4111">
        <f t="shared" si="294"/>
        <v>45904</v>
      </c>
      <c r="O646" s="3664"/>
      <c r="P646" s="4097" t="s">
        <v>82</v>
      </c>
      <c r="Q646" s="4490"/>
      <c r="R646" s="4491"/>
      <c r="S646" s="4491"/>
      <c r="T646" s="4491"/>
      <c r="U646" s="3701" t="s">
        <v>1838</v>
      </c>
      <c r="V646" s="3649" t="s">
        <v>4749</v>
      </c>
      <c r="W646" s="3657"/>
      <c r="X646" s="3657" t="s">
        <v>4750</v>
      </c>
      <c r="Y646" s="3657"/>
      <c r="Z646" s="3691" t="s">
        <v>4751</v>
      </c>
      <c r="AA646" s="3620" t="s">
        <v>4752</v>
      </c>
      <c r="AB646" s="3691" t="s">
        <v>3262</v>
      </c>
      <c r="AC646" s="4087">
        <v>1.2293</v>
      </c>
      <c r="AD646" s="3691">
        <f t="shared" si="295"/>
        <v>2987.199</v>
      </c>
      <c r="AE646" s="3645" t="s">
        <v>4755</v>
      </c>
      <c r="AF646" s="3664" t="s">
        <v>2719</v>
      </c>
      <c r="AG646" s="3645" t="s">
        <v>416</v>
      </c>
      <c r="AH646" s="4430"/>
      <c r="AI646" s="3691"/>
      <c r="AJ646" s="3691">
        <f t="shared" si="296"/>
        <v>2430</v>
      </c>
      <c r="AK646" s="4430"/>
      <c r="AL646" s="3664"/>
      <c r="AM646" s="3664"/>
      <c r="AN646" s="3691"/>
      <c r="AO646" s="3691"/>
      <c r="AP646" s="3691">
        <f t="shared" si="297"/>
        <v>2430</v>
      </c>
      <c r="AQ646" s="4089"/>
      <c r="AR646" s="4413"/>
      <c r="AS646" s="4089">
        <f t="shared" si="285"/>
        <v>2430</v>
      </c>
      <c r="AT646" s="4413"/>
      <c r="AU646" s="4089"/>
      <c r="AV646" s="4089"/>
      <c r="AW646" s="4089"/>
      <c r="AX646" s="4089"/>
      <c r="AY646" s="4089"/>
      <c r="AZ646" s="4089"/>
      <c r="BA646" s="4089"/>
      <c r="BB646" s="4089"/>
      <c r="BC646" s="4089"/>
      <c r="BD646" s="4089"/>
      <c r="BE646" s="4089"/>
      <c r="BF646" s="4089" t="s">
        <v>89</v>
      </c>
      <c r="BG646" s="4089"/>
      <c r="BH646" s="4089">
        <f t="shared" si="287"/>
        <v>405</v>
      </c>
      <c r="BI646" s="4089">
        <f t="shared" si="288"/>
        <v>405</v>
      </c>
      <c r="BJ646" s="4089">
        <f t="shared" si="289"/>
        <v>405</v>
      </c>
      <c r="BK646" s="4089">
        <f t="shared" si="290"/>
        <v>405</v>
      </c>
      <c r="BL646" s="4089">
        <f t="shared" si="291"/>
        <v>405</v>
      </c>
      <c r="BM646" s="4089">
        <f t="shared" si="292"/>
        <v>324</v>
      </c>
      <c r="BN646" s="4089">
        <f t="shared" si="293"/>
        <v>81</v>
      </c>
      <c r="BO646" s="4413"/>
      <c r="BP646" s="4413"/>
      <c r="BQ646" s="4413"/>
      <c r="BR646" s="4413"/>
      <c r="BS646" s="4413"/>
      <c r="BT646" s="4431"/>
      <c r="BU646" s="4432"/>
      <c r="BV646" s="4385">
        <f t="shared" si="279"/>
        <v>2430</v>
      </c>
      <c r="BW646" s="4386">
        <f t="shared" si="298"/>
        <v>0</v>
      </c>
      <c r="BX646" s="4387"/>
      <c r="BY646" s="4387"/>
      <c r="BZ646" s="4387"/>
      <c r="CA646" s="4391"/>
      <c r="CC646" s="4392"/>
      <c r="CD646" s="4391"/>
    </row>
    <row r="647" s="4312" customFormat="1" ht="50" customHeight="1" spans="1:82">
      <c r="A647" s="3688">
        <v>45873</v>
      </c>
      <c r="B647" s="3689" t="s">
        <v>4747</v>
      </c>
      <c r="C647" s="3664" t="s">
        <v>91</v>
      </c>
      <c r="D647" s="3690">
        <v>4500175905</v>
      </c>
      <c r="E647" s="3664">
        <v>4557424786</v>
      </c>
      <c r="F647" s="3690" t="s">
        <v>4756</v>
      </c>
      <c r="G647" s="3664" t="s">
        <v>2719</v>
      </c>
      <c r="H647" s="3691" t="s">
        <v>2591</v>
      </c>
      <c r="I647" s="3691">
        <v>612</v>
      </c>
      <c r="J647" s="3691">
        <v>0</v>
      </c>
      <c r="K647" s="3691">
        <v>6</v>
      </c>
      <c r="L647" s="4082">
        <f t="shared" si="286"/>
        <v>102</v>
      </c>
      <c r="M647" s="3659">
        <v>45908</v>
      </c>
      <c r="N647" s="4111">
        <f t="shared" si="294"/>
        <v>45904</v>
      </c>
      <c r="O647" s="3664"/>
      <c r="P647" s="4097" t="s">
        <v>82</v>
      </c>
      <c r="Q647" s="4097"/>
      <c r="R647" s="4226"/>
      <c r="S647" s="4226"/>
      <c r="T647" s="4226"/>
      <c r="U647" s="3645" t="s">
        <v>1838</v>
      </c>
      <c r="V647" s="3649" t="s">
        <v>4749</v>
      </c>
      <c r="W647" s="3657"/>
      <c r="X647" s="3657" t="s">
        <v>4750</v>
      </c>
      <c r="Y647" s="3657"/>
      <c r="Z647" s="3691" t="s">
        <v>4751</v>
      </c>
      <c r="AA647" s="3620" t="s">
        <v>4752</v>
      </c>
      <c r="AB647" s="3691" t="s">
        <v>3262</v>
      </c>
      <c r="AC647" s="4087">
        <v>1.2321</v>
      </c>
      <c r="AD647" s="3691">
        <f t="shared" si="295"/>
        <v>754.0452</v>
      </c>
      <c r="AE647" s="3645" t="s">
        <v>4757</v>
      </c>
      <c r="AF647" s="3664" t="s">
        <v>2719</v>
      </c>
      <c r="AG647" s="3645" t="s">
        <v>416</v>
      </c>
      <c r="AH647" s="4430"/>
      <c r="AI647" s="3691"/>
      <c r="AJ647" s="3691">
        <f t="shared" si="296"/>
        <v>612</v>
      </c>
      <c r="AK647" s="4430"/>
      <c r="AL647" s="3664"/>
      <c r="AM647" s="3664"/>
      <c r="AN647" s="3691"/>
      <c r="AO647" s="3691"/>
      <c r="AP647" s="3691">
        <f t="shared" si="297"/>
        <v>612</v>
      </c>
      <c r="AQ647" s="4089"/>
      <c r="AR647" s="4413"/>
      <c r="AS647" s="4089">
        <f t="shared" si="285"/>
        <v>612</v>
      </c>
      <c r="AT647" s="4413"/>
      <c r="AU647" s="4089"/>
      <c r="AV647" s="4089"/>
      <c r="AW647" s="4089"/>
      <c r="AX647" s="4089"/>
      <c r="AY647" s="4089"/>
      <c r="AZ647" s="4089"/>
      <c r="BA647" s="4089"/>
      <c r="BB647" s="4089"/>
      <c r="BC647" s="4089"/>
      <c r="BD647" s="4089"/>
      <c r="BE647" s="4089"/>
      <c r="BF647" s="4089" t="s">
        <v>89</v>
      </c>
      <c r="BG647" s="4089"/>
      <c r="BH647" s="4089">
        <f t="shared" si="287"/>
        <v>102</v>
      </c>
      <c r="BI647" s="4089">
        <f t="shared" si="288"/>
        <v>102</v>
      </c>
      <c r="BJ647" s="4089">
        <f t="shared" si="289"/>
        <v>102</v>
      </c>
      <c r="BK647" s="4089">
        <f t="shared" si="290"/>
        <v>102</v>
      </c>
      <c r="BL647" s="4089">
        <f t="shared" si="291"/>
        <v>102</v>
      </c>
      <c r="BM647" s="4089">
        <f t="shared" si="292"/>
        <v>81.6</v>
      </c>
      <c r="BN647" s="4089">
        <f t="shared" si="293"/>
        <v>20.4</v>
      </c>
      <c r="BO647" s="4413"/>
      <c r="BP647" s="4413"/>
      <c r="BQ647" s="4413"/>
      <c r="BR647" s="4413"/>
      <c r="BS647" s="4413"/>
      <c r="BT647" s="4431"/>
      <c r="BU647" s="4432"/>
      <c r="BV647" s="4385">
        <f t="shared" si="279"/>
        <v>612</v>
      </c>
      <c r="BW647" s="4386">
        <f t="shared" si="298"/>
        <v>0</v>
      </c>
      <c r="BX647" s="4387"/>
      <c r="BY647" s="4387"/>
      <c r="BZ647" s="4387"/>
      <c r="CA647" s="4391"/>
      <c r="CC647" s="4392"/>
      <c r="CD647" s="4391"/>
    </row>
    <row r="648" s="4312" customFormat="1" ht="50" customHeight="1" spans="1:82">
      <c r="A648" s="3688">
        <v>45873</v>
      </c>
      <c r="B648" s="3689" t="s">
        <v>4747</v>
      </c>
      <c r="C648" s="3664" t="s">
        <v>91</v>
      </c>
      <c r="D648" s="3690">
        <v>4500175905</v>
      </c>
      <c r="E648" s="3664">
        <v>4557424815</v>
      </c>
      <c r="F648" s="3690" t="s">
        <v>4758</v>
      </c>
      <c r="G648" s="3664" t="s">
        <v>2719</v>
      </c>
      <c r="H648" s="3691" t="s">
        <v>2591</v>
      </c>
      <c r="I648" s="3691">
        <v>1704</v>
      </c>
      <c r="J648" s="3691">
        <v>0</v>
      </c>
      <c r="K648" s="3691">
        <v>6</v>
      </c>
      <c r="L648" s="4082">
        <f t="shared" si="286"/>
        <v>284</v>
      </c>
      <c r="M648" s="3659">
        <v>45908</v>
      </c>
      <c r="N648" s="4111">
        <f t="shared" si="294"/>
        <v>45904</v>
      </c>
      <c r="O648" s="3664"/>
      <c r="P648" s="4097" t="s">
        <v>82</v>
      </c>
      <c r="Q648" s="4097"/>
      <c r="R648" s="4226"/>
      <c r="S648" s="4226"/>
      <c r="T648" s="4226"/>
      <c r="U648" s="3645" t="s">
        <v>1838</v>
      </c>
      <c r="V648" s="3649" t="s">
        <v>4749</v>
      </c>
      <c r="W648" s="3657"/>
      <c r="X648" s="3657" t="s">
        <v>4750</v>
      </c>
      <c r="Y648" s="3657"/>
      <c r="Z648" s="3691" t="s">
        <v>4751</v>
      </c>
      <c r="AA648" s="3620" t="s">
        <v>4752</v>
      </c>
      <c r="AB648" s="3691" t="s">
        <v>3262</v>
      </c>
      <c r="AC648" s="4087">
        <v>1.2293</v>
      </c>
      <c r="AD648" s="3691">
        <f t="shared" si="295"/>
        <v>2094.7272</v>
      </c>
      <c r="AE648" s="3645" t="s">
        <v>4759</v>
      </c>
      <c r="AF648" s="3664" t="s">
        <v>2719</v>
      </c>
      <c r="AG648" s="3645" t="s">
        <v>416</v>
      </c>
      <c r="AH648" s="4430"/>
      <c r="AI648" s="3691"/>
      <c r="AJ648" s="3691">
        <f t="shared" si="296"/>
        <v>1704</v>
      </c>
      <c r="AK648" s="4430"/>
      <c r="AL648" s="3664"/>
      <c r="AM648" s="3664"/>
      <c r="AN648" s="3691"/>
      <c r="AO648" s="3691"/>
      <c r="AP648" s="3691">
        <f t="shared" si="297"/>
        <v>1704</v>
      </c>
      <c r="AQ648" s="4089"/>
      <c r="AR648" s="4413"/>
      <c r="AS648" s="4089">
        <f t="shared" si="285"/>
        <v>1704</v>
      </c>
      <c r="AT648" s="4413"/>
      <c r="AU648" s="4089"/>
      <c r="AV648" s="4089"/>
      <c r="AW648" s="4089"/>
      <c r="AX648" s="4089"/>
      <c r="AY648" s="4089"/>
      <c r="AZ648" s="4089"/>
      <c r="BA648" s="4089"/>
      <c r="BB648" s="4089"/>
      <c r="BC648" s="4089"/>
      <c r="BD648" s="4089"/>
      <c r="BE648" s="4089"/>
      <c r="BF648" s="4089" t="s">
        <v>89</v>
      </c>
      <c r="BG648" s="4089"/>
      <c r="BH648" s="4089">
        <f t="shared" si="287"/>
        <v>284</v>
      </c>
      <c r="BI648" s="4089">
        <f t="shared" si="288"/>
        <v>284</v>
      </c>
      <c r="BJ648" s="4089">
        <f t="shared" si="289"/>
        <v>284</v>
      </c>
      <c r="BK648" s="4089">
        <f t="shared" si="290"/>
        <v>284</v>
      </c>
      <c r="BL648" s="4089">
        <f t="shared" si="291"/>
        <v>284</v>
      </c>
      <c r="BM648" s="4089">
        <f t="shared" si="292"/>
        <v>227.2</v>
      </c>
      <c r="BN648" s="4089">
        <f t="shared" si="293"/>
        <v>56.8</v>
      </c>
      <c r="BO648" s="4413"/>
      <c r="BP648" s="4413"/>
      <c r="BQ648" s="4413"/>
      <c r="BR648" s="4413"/>
      <c r="BS648" s="4413"/>
      <c r="BT648" s="4431"/>
      <c r="BU648" s="4432"/>
      <c r="BV648" s="4385">
        <f t="shared" si="279"/>
        <v>1704</v>
      </c>
      <c r="BW648" s="4386">
        <f t="shared" si="298"/>
        <v>0</v>
      </c>
      <c r="BX648" s="4387"/>
      <c r="BY648" s="4387"/>
      <c r="BZ648" s="4387"/>
      <c r="CA648" s="4391"/>
      <c r="CC648" s="4392"/>
      <c r="CD648" s="4391"/>
    </row>
    <row r="649" s="4312" customFormat="1" ht="50" customHeight="1" spans="1:82">
      <c r="A649" s="3688">
        <v>45873</v>
      </c>
      <c r="B649" s="3689" t="s">
        <v>4747</v>
      </c>
      <c r="C649" s="3664" t="s">
        <v>91</v>
      </c>
      <c r="D649" s="3690">
        <v>4500175905</v>
      </c>
      <c r="E649" s="3664">
        <v>4557424787</v>
      </c>
      <c r="F649" s="3690" t="s">
        <v>4760</v>
      </c>
      <c r="G649" s="3664" t="s">
        <v>2719</v>
      </c>
      <c r="H649" s="3691" t="s">
        <v>2591</v>
      </c>
      <c r="I649" s="3691">
        <v>1368</v>
      </c>
      <c r="J649" s="3691">
        <v>0</v>
      </c>
      <c r="K649" s="3691">
        <v>6</v>
      </c>
      <c r="L649" s="4082">
        <f t="shared" si="286"/>
        <v>228</v>
      </c>
      <c r="M649" s="3659">
        <v>45908</v>
      </c>
      <c r="N649" s="4111">
        <f t="shared" si="294"/>
        <v>45904</v>
      </c>
      <c r="O649" s="3664"/>
      <c r="P649" s="4097" t="s">
        <v>82</v>
      </c>
      <c r="Q649" s="4097"/>
      <c r="R649" s="4226"/>
      <c r="S649" s="4226"/>
      <c r="T649" s="4226"/>
      <c r="U649" s="3645" t="s">
        <v>1838</v>
      </c>
      <c r="V649" s="3649" t="s">
        <v>4749</v>
      </c>
      <c r="W649" s="3657"/>
      <c r="X649" s="3657" t="s">
        <v>4750</v>
      </c>
      <c r="Y649" s="3657"/>
      <c r="Z649" s="3691" t="s">
        <v>4751</v>
      </c>
      <c r="AA649" s="3620" t="s">
        <v>4752</v>
      </c>
      <c r="AB649" s="3691" t="s">
        <v>3262</v>
      </c>
      <c r="AC649" s="4087">
        <v>1.2596</v>
      </c>
      <c r="AD649" s="3691">
        <f t="shared" si="295"/>
        <v>1723.1328</v>
      </c>
      <c r="AE649" s="3645" t="s">
        <v>4761</v>
      </c>
      <c r="AF649" s="3664" t="s">
        <v>2719</v>
      </c>
      <c r="AG649" s="3645" t="s">
        <v>416</v>
      </c>
      <c r="AH649" s="4430"/>
      <c r="AI649" s="3691"/>
      <c r="AJ649" s="3691">
        <f t="shared" si="296"/>
        <v>1368</v>
      </c>
      <c r="AK649" s="4430"/>
      <c r="AL649" s="3664"/>
      <c r="AM649" s="3664"/>
      <c r="AN649" s="3691"/>
      <c r="AO649" s="3691"/>
      <c r="AP649" s="3691">
        <f t="shared" si="297"/>
        <v>1368</v>
      </c>
      <c r="AQ649" s="4089"/>
      <c r="AR649" s="4413"/>
      <c r="AS649" s="4089">
        <f t="shared" si="285"/>
        <v>1368</v>
      </c>
      <c r="AT649" s="4413"/>
      <c r="AU649" s="4089"/>
      <c r="AV649" s="4089"/>
      <c r="AW649" s="4089"/>
      <c r="AX649" s="4089"/>
      <c r="AY649" s="4089"/>
      <c r="AZ649" s="4089"/>
      <c r="BA649" s="4089"/>
      <c r="BB649" s="4089"/>
      <c r="BC649" s="4089"/>
      <c r="BD649" s="4089"/>
      <c r="BE649" s="4089"/>
      <c r="BF649" s="4089" t="s">
        <v>89</v>
      </c>
      <c r="BG649" s="4089"/>
      <c r="BH649" s="4089">
        <f t="shared" si="287"/>
        <v>228</v>
      </c>
      <c r="BI649" s="4089">
        <f t="shared" si="288"/>
        <v>228</v>
      </c>
      <c r="BJ649" s="4089">
        <f t="shared" si="289"/>
        <v>228</v>
      </c>
      <c r="BK649" s="4089">
        <f t="shared" si="290"/>
        <v>228</v>
      </c>
      <c r="BL649" s="4089">
        <f t="shared" si="291"/>
        <v>228</v>
      </c>
      <c r="BM649" s="4089">
        <f t="shared" si="292"/>
        <v>182.4</v>
      </c>
      <c r="BN649" s="4089">
        <f t="shared" si="293"/>
        <v>45.6</v>
      </c>
      <c r="BO649" s="4413"/>
      <c r="BP649" s="4413"/>
      <c r="BQ649" s="4413"/>
      <c r="BR649" s="4413"/>
      <c r="BS649" s="4413"/>
      <c r="BT649" s="4431"/>
      <c r="BU649" s="4432"/>
      <c r="BV649" s="4385">
        <f t="shared" si="279"/>
        <v>1368</v>
      </c>
      <c r="BW649" s="4386">
        <f t="shared" si="298"/>
        <v>0</v>
      </c>
      <c r="BX649" s="4387"/>
      <c r="BY649" s="4387"/>
      <c r="BZ649" s="4387"/>
      <c r="CA649" s="4391"/>
      <c r="CC649" s="4392"/>
      <c r="CD649" s="4391"/>
    </row>
    <row r="650" s="4315" customFormat="1" ht="50" customHeight="1" spans="1:82">
      <c r="A650" s="3688">
        <v>45873</v>
      </c>
      <c r="B650" s="3689" t="s">
        <v>4747</v>
      </c>
      <c r="C650" s="3664" t="s">
        <v>91</v>
      </c>
      <c r="D650" s="3690">
        <v>4500175905</v>
      </c>
      <c r="E650" s="3664">
        <v>4557424814</v>
      </c>
      <c r="F650" s="3690" t="s">
        <v>4762</v>
      </c>
      <c r="G650" s="3664" t="s">
        <v>2719</v>
      </c>
      <c r="H650" s="3691" t="s">
        <v>2591</v>
      </c>
      <c r="I650" s="3691">
        <v>2520</v>
      </c>
      <c r="J650" s="3691">
        <v>0</v>
      </c>
      <c r="K650" s="3691">
        <v>6</v>
      </c>
      <c r="L650" s="4082">
        <f t="shared" si="286"/>
        <v>420</v>
      </c>
      <c r="M650" s="3659">
        <v>45908</v>
      </c>
      <c r="N650" s="4111">
        <f t="shared" si="294"/>
        <v>45904</v>
      </c>
      <c r="O650" s="3664"/>
      <c r="P650" s="4097" t="s">
        <v>82</v>
      </c>
      <c r="Q650" s="4097"/>
      <c r="R650" s="4226"/>
      <c r="S650" s="4226"/>
      <c r="T650" s="4226"/>
      <c r="U650" s="3645" t="s">
        <v>1838</v>
      </c>
      <c r="V650" s="3649" t="s">
        <v>4749</v>
      </c>
      <c r="W650" s="3657"/>
      <c r="X650" s="3657" t="s">
        <v>4750</v>
      </c>
      <c r="Y650" s="3657"/>
      <c r="Z650" s="3691" t="s">
        <v>4751</v>
      </c>
      <c r="AA650" s="3620" t="s">
        <v>4752</v>
      </c>
      <c r="AB650" s="3691" t="s">
        <v>3262</v>
      </c>
      <c r="AC650" s="4087">
        <v>1.2293</v>
      </c>
      <c r="AD650" s="3691">
        <f t="shared" si="295"/>
        <v>3097.836</v>
      </c>
      <c r="AE650" s="3645" t="s">
        <v>4763</v>
      </c>
      <c r="AF650" s="3664" t="s">
        <v>2719</v>
      </c>
      <c r="AG650" s="3645" t="s">
        <v>416</v>
      </c>
      <c r="AH650" s="4430"/>
      <c r="AI650" s="3691"/>
      <c r="AJ650" s="3691">
        <f t="shared" si="296"/>
        <v>2520</v>
      </c>
      <c r="AK650" s="4430"/>
      <c r="AL650" s="3664"/>
      <c r="AM650" s="3664"/>
      <c r="AN650" s="3691"/>
      <c r="AO650" s="3691"/>
      <c r="AP650" s="3691">
        <f t="shared" si="297"/>
        <v>2520</v>
      </c>
      <c r="AQ650" s="4089"/>
      <c r="AR650" s="4413"/>
      <c r="AS650" s="4089">
        <f t="shared" si="285"/>
        <v>2520</v>
      </c>
      <c r="AT650" s="4413"/>
      <c r="AU650" s="4089"/>
      <c r="AV650" s="4089"/>
      <c r="AW650" s="4089"/>
      <c r="AX650" s="4089"/>
      <c r="AY650" s="4089"/>
      <c r="AZ650" s="4089"/>
      <c r="BA650" s="4089"/>
      <c r="BB650" s="4089"/>
      <c r="BC650" s="4089"/>
      <c r="BD650" s="4089"/>
      <c r="BE650" s="4089"/>
      <c r="BF650" s="4089" t="s">
        <v>89</v>
      </c>
      <c r="BG650" s="4089"/>
      <c r="BH650" s="4089">
        <f t="shared" si="287"/>
        <v>420</v>
      </c>
      <c r="BI650" s="4089">
        <f t="shared" si="288"/>
        <v>420</v>
      </c>
      <c r="BJ650" s="4089">
        <f t="shared" si="289"/>
        <v>420</v>
      </c>
      <c r="BK650" s="4089">
        <f t="shared" si="290"/>
        <v>420</v>
      </c>
      <c r="BL650" s="4089">
        <f t="shared" si="291"/>
        <v>420</v>
      </c>
      <c r="BM650" s="4089">
        <f t="shared" si="292"/>
        <v>336</v>
      </c>
      <c r="BN650" s="4089">
        <f t="shared" si="293"/>
        <v>84</v>
      </c>
      <c r="BO650" s="4413"/>
      <c r="BP650" s="4413"/>
      <c r="BQ650" s="4413"/>
      <c r="BR650" s="4413"/>
      <c r="BS650" s="4413"/>
      <c r="BT650" s="4431"/>
      <c r="BU650" s="4432"/>
      <c r="BV650" s="4385">
        <f t="shared" si="279"/>
        <v>2520</v>
      </c>
      <c r="BW650" s="4386">
        <f t="shared" si="298"/>
        <v>0</v>
      </c>
      <c r="BX650" s="4387"/>
      <c r="BY650" s="4387"/>
      <c r="BZ650" s="4387"/>
      <c r="CA650" s="4391"/>
      <c r="CC650" s="4392"/>
      <c r="CD650" s="4391"/>
    </row>
    <row r="651" s="4315" customFormat="1" ht="50" customHeight="1" spans="1:82">
      <c r="A651" s="3688">
        <v>45873</v>
      </c>
      <c r="B651" s="3689" t="s">
        <v>4747</v>
      </c>
      <c r="C651" s="3664" t="s">
        <v>91</v>
      </c>
      <c r="D651" s="3690">
        <v>4500175905</v>
      </c>
      <c r="E651" s="3664">
        <v>4557424816</v>
      </c>
      <c r="F651" s="3690" t="s">
        <v>4764</v>
      </c>
      <c r="G651" s="3664" t="s">
        <v>2719</v>
      </c>
      <c r="H651" s="3691" t="s">
        <v>2591</v>
      </c>
      <c r="I651" s="3691">
        <v>180</v>
      </c>
      <c r="J651" s="3691">
        <v>0</v>
      </c>
      <c r="K651" s="3691">
        <v>6</v>
      </c>
      <c r="L651" s="4082">
        <f t="shared" si="286"/>
        <v>30</v>
      </c>
      <c r="M651" s="3659">
        <v>45908</v>
      </c>
      <c r="N651" s="4111">
        <f t="shared" si="294"/>
        <v>45904</v>
      </c>
      <c r="O651" s="3664"/>
      <c r="P651" s="4097" t="s">
        <v>82</v>
      </c>
      <c r="Q651" s="4097"/>
      <c r="R651" s="4226"/>
      <c r="S651" s="4226"/>
      <c r="T651" s="4226"/>
      <c r="U651" s="3645" t="s">
        <v>1838</v>
      </c>
      <c r="V651" s="3649" t="s">
        <v>4749</v>
      </c>
      <c r="W651" s="3657"/>
      <c r="X651" s="3657" t="s">
        <v>4750</v>
      </c>
      <c r="Y651" s="3657"/>
      <c r="Z651" s="3691" t="s">
        <v>4751</v>
      </c>
      <c r="AA651" s="3620" t="s">
        <v>4752</v>
      </c>
      <c r="AB651" s="3691" t="s">
        <v>3262</v>
      </c>
      <c r="AC651" s="4087">
        <v>1.2321</v>
      </c>
      <c r="AD651" s="3691">
        <f t="shared" si="295"/>
        <v>221.778</v>
      </c>
      <c r="AE651" s="3645" t="s">
        <v>4765</v>
      </c>
      <c r="AF651" s="3664" t="s">
        <v>2719</v>
      </c>
      <c r="AG651" s="3645" t="s">
        <v>416</v>
      </c>
      <c r="AH651" s="4430"/>
      <c r="AI651" s="3691"/>
      <c r="AJ651" s="3691">
        <f t="shared" si="296"/>
        <v>180</v>
      </c>
      <c r="AK651" s="4430"/>
      <c r="AL651" s="3664"/>
      <c r="AM651" s="3664"/>
      <c r="AN651" s="3691"/>
      <c r="AO651" s="3691"/>
      <c r="AP651" s="3691">
        <f t="shared" si="297"/>
        <v>180</v>
      </c>
      <c r="AQ651" s="4089"/>
      <c r="AR651" s="4413"/>
      <c r="AS651" s="4089">
        <f t="shared" si="285"/>
        <v>180</v>
      </c>
      <c r="AT651" s="4413"/>
      <c r="AU651" s="4089"/>
      <c r="AV651" s="4089"/>
      <c r="AW651" s="4089"/>
      <c r="AX651" s="4089"/>
      <c r="AY651" s="4089"/>
      <c r="AZ651" s="4089"/>
      <c r="BA651" s="4089"/>
      <c r="BB651" s="4089"/>
      <c r="BC651" s="4089"/>
      <c r="BD651" s="4089"/>
      <c r="BE651" s="4089"/>
      <c r="BF651" s="4089" t="s">
        <v>89</v>
      </c>
      <c r="BG651" s="4089"/>
      <c r="BH651" s="4089">
        <f t="shared" si="287"/>
        <v>30</v>
      </c>
      <c r="BI651" s="4089">
        <f t="shared" si="288"/>
        <v>30</v>
      </c>
      <c r="BJ651" s="4089">
        <f t="shared" si="289"/>
        <v>30</v>
      </c>
      <c r="BK651" s="4089">
        <f t="shared" si="290"/>
        <v>30</v>
      </c>
      <c r="BL651" s="4089">
        <f t="shared" si="291"/>
        <v>30</v>
      </c>
      <c r="BM651" s="4089">
        <f t="shared" si="292"/>
        <v>24</v>
      </c>
      <c r="BN651" s="4089">
        <f t="shared" si="293"/>
        <v>6</v>
      </c>
      <c r="BO651" s="4413"/>
      <c r="BP651" s="4413"/>
      <c r="BQ651" s="4413"/>
      <c r="BR651" s="4413"/>
      <c r="BS651" s="4413"/>
      <c r="BT651" s="4431"/>
      <c r="BU651" s="4432"/>
      <c r="BV651" s="4385">
        <f t="shared" si="279"/>
        <v>180</v>
      </c>
      <c r="BW651" s="4386">
        <f t="shared" si="298"/>
        <v>0</v>
      </c>
      <c r="BX651" s="4387"/>
      <c r="BY651" s="4387"/>
      <c r="BZ651" s="4387"/>
      <c r="CA651" s="4391"/>
      <c r="CC651" s="4392"/>
      <c r="CD651" s="4391"/>
    </row>
    <row r="652" s="4315" customFormat="1" ht="50" customHeight="1" spans="1:82">
      <c r="A652" s="3688">
        <v>45834</v>
      </c>
      <c r="B652" s="3689" t="s">
        <v>1315</v>
      </c>
      <c r="C652" s="3664" t="s">
        <v>1316</v>
      </c>
      <c r="D652" s="3690">
        <v>4500162586</v>
      </c>
      <c r="E652" s="3664" t="s">
        <v>1942</v>
      </c>
      <c r="F652" s="3690" t="s">
        <v>1943</v>
      </c>
      <c r="G652" s="3664" t="s">
        <v>3821</v>
      </c>
      <c r="H652" s="3664" t="s">
        <v>1320</v>
      </c>
      <c r="I652" s="3691">
        <v>1912</v>
      </c>
      <c r="J652" s="3691">
        <v>0</v>
      </c>
      <c r="K652" s="3691">
        <v>4</v>
      </c>
      <c r="L652" s="4082">
        <f t="shared" si="286"/>
        <v>478</v>
      </c>
      <c r="M652" s="3659">
        <v>45908</v>
      </c>
      <c r="N652" s="4111">
        <f t="shared" si="294"/>
        <v>45904</v>
      </c>
      <c r="O652" s="4085"/>
      <c r="P652" s="3682" t="s">
        <v>82</v>
      </c>
      <c r="Q652" s="3682"/>
      <c r="R652" s="4083"/>
      <c r="S652" s="4083"/>
      <c r="T652" s="4083"/>
      <c r="U652" s="3645" t="s">
        <v>1911</v>
      </c>
      <c r="V652" s="3649" t="s">
        <v>1571</v>
      </c>
      <c r="W652" s="3657"/>
      <c r="X652" s="3657" t="s">
        <v>1907</v>
      </c>
      <c r="Y652" s="3657"/>
      <c r="Z652" s="3691" t="s">
        <v>1944</v>
      </c>
      <c r="AA652" s="3620" t="s">
        <v>1376</v>
      </c>
      <c r="AB652" s="3691" t="s">
        <v>1326</v>
      </c>
      <c r="AC652" s="3691">
        <v>16.8314</v>
      </c>
      <c r="AD652" s="3691">
        <f>AC652*L652</f>
        <v>8045.4092</v>
      </c>
      <c r="AE652" s="3645"/>
      <c r="AF652" s="3664" t="s">
        <v>3822</v>
      </c>
      <c r="AG652" s="3645" t="s">
        <v>416</v>
      </c>
      <c r="AH652" s="4430"/>
      <c r="AI652" s="3691"/>
      <c r="AJ652" s="3691"/>
      <c r="AK652" s="4430"/>
      <c r="AL652" s="3664"/>
      <c r="AM652" s="3664"/>
      <c r="AN652" s="3691">
        <f>I652</f>
        <v>1912</v>
      </c>
      <c r="AO652" s="3691"/>
      <c r="AP652" s="3691"/>
      <c r="AQ652" s="4089">
        <f>I652</f>
        <v>1912</v>
      </c>
      <c r="AR652" s="4413"/>
      <c r="AS652" s="4089">
        <f t="shared" si="285"/>
        <v>1912</v>
      </c>
      <c r="AT652" s="4413"/>
      <c r="AU652" s="4089"/>
      <c r="AV652" s="4089"/>
      <c r="AW652" s="4089"/>
      <c r="AX652" s="4089"/>
      <c r="AY652" s="4089"/>
      <c r="AZ652" s="4089"/>
      <c r="BA652" s="4089"/>
      <c r="BB652" s="4089"/>
      <c r="BC652" s="4089">
        <f>I652/4</f>
        <v>478</v>
      </c>
      <c r="BD652" s="4089"/>
      <c r="BE652" s="4089"/>
      <c r="BF652" s="4089" t="s">
        <v>1327</v>
      </c>
      <c r="BG652" s="4089"/>
      <c r="BH652" s="4089">
        <f t="shared" si="287"/>
        <v>318.666666666667</v>
      </c>
      <c r="BI652" s="4089">
        <f t="shared" si="288"/>
        <v>318.666666666667</v>
      </c>
      <c r="BJ652" s="4089">
        <f t="shared" si="289"/>
        <v>318.666666666667</v>
      </c>
      <c r="BK652" s="4089">
        <f t="shared" si="290"/>
        <v>318.666666666667</v>
      </c>
      <c r="BL652" s="4089">
        <f t="shared" si="291"/>
        <v>318.666666666667</v>
      </c>
      <c r="BM652" s="4089">
        <f t="shared" si="292"/>
        <v>254.933333333333</v>
      </c>
      <c r="BN652" s="4089">
        <f t="shared" si="293"/>
        <v>63.7333333333333</v>
      </c>
      <c r="BO652" s="4413"/>
      <c r="BP652" s="4413"/>
      <c r="BQ652" s="4413"/>
      <c r="BR652" s="4413"/>
      <c r="BS652" s="4413"/>
      <c r="BT652" s="4431"/>
      <c r="BU652" s="4432"/>
      <c r="BV652" s="4385">
        <f t="shared" si="279"/>
        <v>1912</v>
      </c>
      <c r="BW652" s="4386">
        <f t="shared" si="298"/>
        <v>0</v>
      </c>
      <c r="BX652" s="4387"/>
      <c r="BY652" s="4387"/>
      <c r="BZ652" s="4387"/>
      <c r="CA652" s="4391"/>
      <c r="CC652" s="4392" t="s">
        <v>4612</v>
      </c>
      <c r="CD652" s="4391" t="e">
        <v>#N/A</v>
      </c>
    </row>
    <row r="653" s="4025" customFormat="1" ht="50" customHeight="1" spans="1:82">
      <c r="A653" s="3688">
        <v>45877</v>
      </c>
      <c r="B653" s="3689" t="s">
        <v>4766</v>
      </c>
      <c r="C653" s="3664" t="s">
        <v>471</v>
      </c>
      <c r="D653" s="3690">
        <v>4500176255</v>
      </c>
      <c r="E653" s="3664">
        <v>5200007399</v>
      </c>
      <c r="F653" s="3690" t="s">
        <v>4767</v>
      </c>
      <c r="G653" s="3664" t="s">
        <v>3158</v>
      </c>
      <c r="H653" s="3664" t="s">
        <v>2591</v>
      </c>
      <c r="I653" s="3691">
        <v>2400</v>
      </c>
      <c r="J653" s="3691">
        <v>0</v>
      </c>
      <c r="K653" s="3691">
        <v>6</v>
      </c>
      <c r="L653" s="3691">
        <f t="shared" si="286"/>
        <v>400</v>
      </c>
      <c r="M653" s="3659">
        <v>45910</v>
      </c>
      <c r="N653" s="3659">
        <v>45906</v>
      </c>
      <c r="O653" s="4085"/>
      <c r="P653" s="4097" t="s">
        <v>82</v>
      </c>
      <c r="Q653" s="4097"/>
      <c r="R653" s="4226"/>
      <c r="S653" s="4226"/>
      <c r="T653" s="4226"/>
      <c r="U653" s="3645" t="s">
        <v>4768</v>
      </c>
      <c r="V653" s="3649" t="s">
        <v>4769</v>
      </c>
      <c r="W653" s="3657"/>
      <c r="X653" s="3657" t="s">
        <v>4770</v>
      </c>
      <c r="Y653" s="3657"/>
      <c r="Z653" s="3691"/>
      <c r="AA653" s="3620" t="s">
        <v>4771</v>
      </c>
      <c r="AB653" s="3691" t="s">
        <v>596</v>
      </c>
      <c r="AC653" s="3691">
        <v>2.131</v>
      </c>
      <c r="AD653" s="3691">
        <f>AC653*I653</f>
        <v>5114.4</v>
      </c>
      <c r="AE653" s="3645"/>
      <c r="AF653" s="3664" t="s">
        <v>4772</v>
      </c>
      <c r="AG653" s="3645" t="s">
        <v>416</v>
      </c>
      <c r="AH653" s="4484"/>
      <c r="AI653" s="3691"/>
      <c r="AJ653" s="3691"/>
      <c r="AK653" s="4484"/>
      <c r="AL653" s="3664"/>
      <c r="AM653" s="3664">
        <f>I653</f>
        <v>2400</v>
      </c>
      <c r="AN653" s="3691"/>
      <c r="AO653" s="3691"/>
      <c r="AP653" s="3691">
        <f>I653</f>
        <v>2400</v>
      </c>
      <c r="AQ653" s="4089"/>
      <c r="AR653" s="4463"/>
      <c r="AS653" s="4089"/>
      <c r="AT653" s="4463"/>
      <c r="AU653" s="4089">
        <f>I653</f>
        <v>2400</v>
      </c>
      <c r="AV653" s="4089"/>
      <c r="AW653" s="4089"/>
      <c r="AX653" s="4089"/>
      <c r="AY653" s="4089"/>
      <c r="AZ653" s="4089"/>
      <c r="BA653" s="4089"/>
      <c r="BB653" s="4089"/>
      <c r="BC653" s="4089"/>
      <c r="BD653" s="4089"/>
      <c r="BE653" s="4089"/>
      <c r="BF653" s="4089" t="s">
        <v>89</v>
      </c>
      <c r="BG653" s="4089"/>
      <c r="BH653" s="4089">
        <f t="shared" si="287"/>
        <v>400</v>
      </c>
      <c r="BI653" s="4089">
        <f t="shared" si="288"/>
        <v>400</v>
      </c>
      <c r="BJ653" s="4089">
        <f t="shared" si="289"/>
        <v>400</v>
      </c>
      <c r="BK653" s="4089">
        <f t="shared" si="290"/>
        <v>400</v>
      </c>
      <c r="BL653" s="4089">
        <f t="shared" si="291"/>
        <v>400</v>
      </c>
      <c r="BM653" s="4089">
        <f t="shared" si="292"/>
        <v>320</v>
      </c>
      <c r="BN653" s="4089">
        <f t="shared" si="293"/>
        <v>80</v>
      </c>
      <c r="BO653" s="4463"/>
      <c r="BP653" s="4463"/>
      <c r="BQ653" s="4463"/>
      <c r="BR653" s="4463"/>
      <c r="BS653" s="4463"/>
      <c r="BT653" s="4464"/>
      <c r="BU653" s="4465"/>
      <c r="BV653" s="4385">
        <f t="shared" si="279"/>
        <v>2400</v>
      </c>
      <c r="BW653" s="4386">
        <f t="shared" si="298"/>
        <v>0</v>
      </c>
      <c r="BX653" s="4387"/>
      <c r="BY653" s="4387"/>
      <c r="BZ653" s="4387"/>
      <c r="CA653" s="4391"/>
      <c r="CC653" s="4392"/>
      <c r="CD653" s="4391"/>
    </row>
    <row r="654" s="4025" customFormat="1" ht="50" customHeight="1" spans="1:82">
      <c r="A654" s="3688">
        <v>45862</v>
      </c>
      <c r="B654" s="3689" t="s">
        <v>1617</v>
      </c>
      <c r="C654" s="3664" t="s">
        <v>91</v>
      </c>
      <c r="D654" s="3690">
        <v>4500174767</v>
      </c>
      <c r="E654" s="3664">
        <v>70072688</v>
      </c>
      <c r="F654" s="3690" t="s">
        <v>4773</v>
      </c>
      <c r="G654" s="3664" t="s">
        <v>2627</v>
      </c>
      <c r="H654" s="3691" t="s">
        <v>2591</v>
      </c>
      <c r="I654" s="3691">
        <v>600</v>
      </c>
      <c r="J654" s="3691">
        <v>0</v>
      </c>
      <c r="K654" s="3691">
        <v>24</v>
      </c>
      <c r="L654" s="3691">
        <f t="shared" si="286"/>
        <v>25</v>
      </c>
      <c r="M654" s="3659">
        <v>45910</v>
      </c>
      <c r="N654" s="3659">
        <v>45906</v>
      </c>
      <c r="O654" s="4085"/>
      <c r="P654" s="4097" t="s">
        <v>82</v>
      </c>
      <c r="Q654" s="4097"/>
      <c r="R654" s="4226"/>
      <c r="S654" s="4226"/>
      <c r="T654" s="4226"/>
      <c r="U654" s="3645" t="s">
        <v>4768</v>
      </c>
      <c r="V654" s="3649" t="s">
        <v>390</v>
      </c>
      <c r="W654" s="3657"/>
      <c r="X654" s="3657" t="s">
        <v>98</v>
      </c>
      <c r="Y654" s="3657" t="s">
        <v>1885</v>
      </c>
      <c r="Z654" s="3691"/>
      <c r="AA654" s="3620" t="s">
        <v>1621</v>
      </c>
      <c r="AB654" s="3691" t="s">
        <v>1880</v>
      </c>
      <c r="AC654" s="3691">
        <v>1.2245</v>
      </c>
      <c r="AD654" s="3691">
        <f>AC654*I654</f>
        <v>734.7</v>
      </c>
      <c r="AE654" s="3645" t="s">
        <v>4774</v>
      </c>
      <c r="AF654" s="3664" t="s">
        <v>2627</v>
      </c>
      <c r="AG654" s="3645" t="s">
        <v>416</v>
      </c>
      <c r="AH654" s="4448"/>
      <c r="AI654" s="3691"/>
      <c r="AJ654" s="3691">
        <f>I654</f>
        <v>600</v>
      </c>
      <c r="AK654" s="4448"/>
      <c r="AL654" s="3664"/>
      <c r="AM654" s="3664"/>
      <c r="AN654" s="3691"/>
      <c r="AO654" s="3691"/>
      <c r="AP654" s="3691">
        <f>I654</f>
        <v>600</v>
      </c>
      <c r="AQ654" s="4089"/>
      <c r="AR654" s="4411"/>
      <c r="AS654" s="4089">
        <f t="shared" ref="AS654:AS684" si="299">I654</f>
        <v>600</v>
      </c>
      <c r="AT654" s="4411"/>
      <c r="AU654" s="4089"/>
      <c r="AV654" s="4089"/>
      <c r="AW654" s="4089"/>
      <c r="AX654" s="4089"/>
      <c r="AY654" s="4089"/>
      <c r="AZ654" s="4089"/>
      <c r="BA654" s="4089"/>
      <c r="BB654" s="4089"/>
      <c r="BC654" s="4089"/>
      <c r="BD654" s="4089"/>
      <c r="BE654" s="4089"/>
      <c r="BF654" s="4089" t="s">
        <v>89</v>
      </c>
      <c r="BG654" s="4089"/>
      <c r="BH654" s="4089">
        <f t="shared" si="287"/>
        <v>100</v>
      </c>
      <c r="BI654" s="4089">
        <f t="shared" si="288"/>
        <v>100</v>
      </c>
      <c r="BJ654" s="4089">
        <f t="shared" si="289"/>
        <v>100</v>
      </c>
      <c r="BK654" s="4089">
        <f t="shared" si="290"/>
        <v>100</v>
      </c>
      <c r="BL654" s="4089">
        <f t="shared" si="291"/>
        <v>100</v>
      </c>
      <c r="BM654" s="4089">
        <f t="shared" si="292"/>
        <v>80</v>
      </c>
      <c r="BN654" s="4089">
        <f t="shared" si="293"/>
        <v>20</v>
      </c>
      <c r="BO654" s="4411"/>
      <c r="BP654" s="4411"/>
      <c r="BQ654" s="4411"/>
      <c r="BR654" s="4411"/>
      <c r="BS654" s="4411"/>
      <c r="BT654" s="4453"/>
      <c r="BU654" s="4454"/>
      <c r="BV654" s="4385">
        <f t="shared" si="279"/>
        <v>600</v>
      </c>
      <c r="BW654" s="4386">
        <f t="shared" si="298"/>
        <v>0</v>
      </c>
      <c r="BX654" s="4387"/>
      <c r="BY654" s="4387"/>
      <c r="BZ654" s="4387"/>
      <c r="CA654" s="4391"/>
      <c r="CC654" s="4392"/>
      <c r="CD654" s="4391"/>
    </row>
    <row r="655" s="4025" customFormat="1" ht="50" customHeight="1" spans="1:82">
      <c r="A655" s="3688">
        <v>45834</v>
      </c>
      <c r="B655" s="3689" t="s">
        <v>1315</v>
      </c>
      <c r="C655" s="3664" t="s">
        <v>1316</v>
      </c>
      <c r="D655" s="3690">
        <v>4500162586</v>
      </c>
      <c r="E655" s="3664" t="s">
        <v>1953</v>
      </c>
      <c r="F655" s="3690" t="s">
        <v>1954</v>
      </c>
      <c r="G655" s="3664" t="s">
        <v>3821</v>
      </c>
      <c r="H655" s="3664" t="s">
        <v>1320</v>
      </c>
      <c r="I655" s="3691">
        <v>452</v>
      </c>
      <c r="J655" s="3691">
        <v>0</v>
      </c>
      <c r="K655" s="3691">
        <v>4</v>
      </c>
      <c r="L655" s="3691">
        <f t="shared" si="286"/>
        <v>113</v>
      </c>
      <c r="M655" s="3659">
        <v>45914</v>
      </c>
      <c r="N655" s="4111">
        <f>M655-4</f>
        <v>45910</v>
      </c>
      <c r="O655" s="4085"/>
      <c r="P655" s="3682" t="s">
        <v>82</v>
      </c>
      <c r="Q655" s="3682"/>
      <c r="R655" s="4083"/>
      <c r="S655" s="4083"/>
      <c r="T655" s="4083"/>
      <c r="U655" s="3645" t="s">
        <v>1911</v>
      </c>
      <c r="V655" s="3649" t="s">
        <v>1571</v>
      </c>
      <c r="W655" s="3657"/>
      <c r="X655" s="3657" t="s">
        <v>1907</v>
      </c>
      <c r="Y655" s="3657"/>
      <c r="Z655" s="3691" t="s">
        <v>1955</v>
      </c>
      <c r="AA655" s="3620" t="s">
        <v>1376</v>
      </c>
      <c r="AB655" s="3691" t="s">
        <v>1326</v>
      </c>
      <c r="AC655" s="3691">
        <v>16.8314</v>
      </c>
      <c r="AD655" s="3691">
        <f>AC655*L655</f>
        <v>1901.9482</v>
      </c>
      <c r="AE655" s="3645"/>
      <c r="AF655" s="3664" t="s">
        <v>3822</v>
      </c>
      <c r="AG655" s="3645" t="s">
        <v>416</v>
      </c>
      <c r="AH655" s="4448"/>
      <c r="AI655" s="3691"/>
      <c r="AJ655" s="3691"/>
      <c r="AK655" s="4448"/>
      <c r="AL655" s="3664"/>
      <c r="AM655" s="3664"/>
      <c r="AN655" s="3691">
        <f>I655</f>
        <v>452</v>
      </c>
      <c r="AO655" s="3691"/>
      <c r="AP655" s="3691"/>
      <c r="AQ655" s="4089">
        <f>I655</f>
        <v>452</v>
      </c>
      <c r="AR655" s="4411"/>
      <c r="AS655" s="4089">
        <f t="shared" si="299"/>
        <v>452</v>
      </c>
      <c r="AT655" s="4411"/>
      <c r="AU655" s="4089"/>
      <c r="AV655" s="4089"/>
      <c r="AW655" s="4089"/>
      <c r="AX655" s="4089"/>
      <c r="AY655" s="4089"/>
      <c r="AZ655" s="4089"/>
      <c r="BA655" s="4089"/>
      <c r="BB655" s="4089"/>
      <c r="BC655" s="4089">
        <f>I655/4</f>
        <v>113</v>
      </c>
      <c r="BD655" s="4089"/>
      <c r="BE655" s="4089"/>
      <c r="BF655" s="4089" t="s">
        <v>1327</v>
      </c>
      <c r="BG655" s="4089"/>
      <c r="BH655" s="4089">
        <f t="shared" si="287"/>
        <v>75.3333333333333</v>
      </c>
      <c r="BI655" s="4089">
        <f t="shared" si="288"/>
        <v>75.3333333333333</v>
      </c>
      <c r="BJ655" s="4089">
        <f t="shared" si="289"/>
        <v>75.3333333333333</v>
      </c>
      <c r="BK655" s="4089">
        <f t="shared" si="290"/>
        <v>75.3333333333333</v>
      </c>
      <c r="BL655" s="4089">
        <f t="shared" si="291"/>
        <v>75.3333333333333</v>
      </c>
      <c r="BM655" s="4089">
        <f t="shared" si="292"/>
        <v>60.2666666666667</v>
      </c>
      <c r="BN655" s="4089">
        <f t="shared" si="293"/>
        <v>15.0666666666667</v>
      </c>
      <c r="BO655" s="4411"/>
      <c r="BP655" s="4411"/>
      <c r="BQ655" s="4411"/>
      <c r="BR655" s="4411"/>
      <c r="BS655" s="4411"/>
      <c r="BT655" s="4453"/>
      <c r="BU655" s="4454"/>
      <c r="BV655" s="4385">
        <f t="shared" si="279"/>
        <v>452</v>
      </c>
      <c r="BW655" s="4386">
        <f t="shared" si="298"/>
        <v>0</v>
      </c>
      <c r="BX655" s="4387"/>
      <c r="BY655" s="4387"/>
      <c r="BZ655" s="4387"/>
      <c r="CA655" s="4391"/>
      <c r="CC655" s="4392" t="s">
        <v>4612</v>
      </c>
      <c r="CD655" s="4391" t="e">
        <v>#N/A</v>
      </c>
    </row>
    <row r="656" s="4312" customFormat="1" ht="50" customHeight="1" spans="1:82">
      <c r="A656" s="3688">
        <v>45873</v>
      </c>
      <c r="B656" s="3689" t="s">
        <v>839</v>
      </c>
      <c r="C656" s="3664" t="s">
        <v>840</v>
      </c>
      <c r="D656" s="3690">
        <v>4500175925</v>
      </c>
      <c r="E656" s="3664">
        <v>21012343</v>
      </c>
      <c r="F656" s="3690" t="s">
        <v>4775</v>
      </c>
      <c r="G656" s="3664" t="s">
        <v>2577</v>
      </c>
      <c r="H656" s="3664" t="s">
        <v>2578</v>
      </c>
      <c r="I656" s="3691">
        <v>48</v>
      </c>
      <c r="J656" s="3691">
        <v>0</v>
      </c>
      <c r="K656" s="3691">
        <v>12</v>
      </c>
      <c r="L656" s="3691">
        <f t="shared" si="286"/>
        <v>4</v>
      </c>
      <c r="M656" s="3659">
        <v>45915</v>
      </c>
      <c r="N656" s="3659">
        <v>45911</v>
      </c>
      <c r="O656" s="4085"/>
      <c r="P656" s="4097" t="s">
        <v>82</v>
      </c>
      <c r="Q656" s="4097"/>
      <c r="R656" s="4226"/>
      <c r="S656" s="4226"/>
      <c r="T656" s="4226"/>
      <c r="U656" s="3645"/>
      <c r="V656" s="3649" t="s">
        <v>1926</v>
      </c>
      <c r="W656" s="3657"/>
      <c r="X656" s="3657" t="s">
        <v>4776</v>
      </c>
      <c r="Y656" s="3657"/>
      <c r="Z656" s="3691"/>
      <c r="AA656" s="3620" t="s">
        <v>4777</v>
      </c>
      <c r="AB656" s="3691" t="s">
        <v>1928</v>
      </c>
      <c r="AC656" s="3691">
        <v>2.2509</v>
      </c>
      <c r="AD656" s="3691">
        <f t="shared" ref="AD656:AD661" si="300">AC656*I656</f>
        <v>108.0432</v>
      </c>
      <c r="AE656" s="3645"/>
      <c r="AF656" s="3664" t="s">
        <v>2577</v>
      </c>
      <c r="AG656" s="3645" t="s">
        <v>416</v>
      </c>
      <c r="AH656" s="4422"/>
      <c r="AI656" s="3691"/>
      <c r="AJ656" s="3691">
        <f t="shared" ref="AJ656:AJ662" si="301">I656</f>
        <v>48</v>
      </c>
      <c r="AK656" s="4422"/>
      <c r="AL656" s="3664"/>
      <c r="AM656" s="3664"/>
      <c r="AN656" s="3691"/>
      <c r="AO656" s="3691"/>
      <c r="AP656" s="3691">
        <f>I656</f>
        <v>48</v>
      </c>
      <c r="AQ656" s="4089"/>
      <c r="AR656" s="907"/>
      <c r="AS656" s="4089">
        <f t="shared" si="299"/>
        <v>48</v>
      </c>
      <c r="AT656" s="907"/>
      <c r="AU656" s="4089"/>
      <c r="AV656" s="4089"/>
      <c r="AW656" s="4089">
        <f>I656/6</f>
        <v>8</v>
      </c>
      <c r="AX656" s="4089"/>
      <c r="AY656" s="4089"/>
      <c r="AZ656" s="4089"/>
      <c r="BA656" s="4089"/>
      <c r="BB656" s="4089"/>
      <c r="BC656" s="4089"/>
      <c r="BD656" s="4089"/>
      <c r="BE656" s="4089"/>
      <c r="BF656" s="4089" t="s">
        <v>89</v>
      </c>
      <c r="BG656" s="4089"/>
      <c r="BH656" s="4089">
        <f t="shared" si="287"/>
        <v>8</v>
      </c>
      <c r="BI656" s="4089">
        <f t="shared" si="288"/>
        <v>8</v>
      </c>
      <c r="BJ656" s="4089">
        <f t="shared" si="289"/>
        <v>8</v>
      </c>
      <c r="BK656" s="4089">
        <f t="shared" si="290"/>
        <v>8</v>
      </c>
      <c r="BL656" s="4089">
        <f t="shared" si="291"/>
        <v>8</v>
      </c>
      <c r="BM656" s="4089">
        <f t="shared" si="292"/>
        <v>6.4</v>
      </c>
      <c r="BN656" s="4089">
        <f t="shared" si="293"/>
        <v>1.6</v>
      </c>
      <c r="BO656" s="907"/>
      <c r="BP656" s="907"/>
      <c r="BQ656" s="907"/>
      <c r="BR656" s="907"/>
      <c r="BS656" s="907"/>
      <c r="BT656" s="910"/>
      <c r="BU656" s="911"/>
      <c r="BV656" s="4385">
        <f t="shared" si="279"/>
        <v>48</v>
      </c>
      <c r="BW656" s="4386">
        <f t="shared" si="298"/>
        <v>0</v>
      </c>
      <c r="BX656" s="4387"/>
      <c r="BY656" s="4387"/>
      <c r="BZ656" s="4387"/>
      <c r="CA656" s="4391"/>
      <c r="CC656" s="4392"/>
      <c r="CD656" s="4391"/>
    </row>
    <row r="657" s="4315" customFormat="1" ht="50" customHeight="1" spans="1:82">
      <c r="A657" s="3688">
        <v>45873</v>
      </c>
      <c r="B657" s="3689" t="s">
        <v>505</v>
      </c>
      <c r="C657" s="3664" t="s">
        <v>506</v>
      </c>
      <c r="D657" s="3690">
        <v>4500175924</v>
      </c>
      <c r="E657" s="3664">
        <v>21012342</v>
      </c>
      <c r="F657" s="3690" t="s">
        <v>4778</v>
      </c>
      <c r="G657" s="3664" t="s">
        <v>2577</v>
      </c>
      <c r="H657" s="3664" t="s">
        <v>2578</v>
      </c>
      <c r="I657" s="3691">
        <v>1452</v>
      </c>
      <c r="J657" s="3691">
        <v>0</v>
      </c>
      <c r="K657" s="3691">
        <v>12</v>
      </c>
      <c r="L657" s="3691">
        <f t="shared" si="286"/>
        <v>121</v>
      </c>
      <c r="M657" s="3659">
        <v>45915</v>
      </c>
      <c r="N657" s="3659">
        <v>45911</v>
      </c>
      <c r="O657" s="4085"/>
      <c r="P657" s="4097" t="s">
        <v>82</v>
      </c>
      <c r="Q657" s="4097"/>
      <c r="R657" s="4226"/>
      <c r="S657" s="4226"/>
      <c r="T657" s="4226"/>
      <c r="U657" s="3645" t="s">
        <v>1922</v>
      </c>
      <c r="V657" s="3649" t="s">
        <v>1926</v>
      </c>
      <c r="W657" s="3649"/>
      <c r="X657" s="3657" t="s">
        <v>4776</v>
      </c>
      <c r="Y657" s="3649"/>
      <c r="Z657" s="3691"/>
      <c r="AA657" s="3620" t="s">
        <v>4779</v>
      </c>
      <c r="AB657" s="3691" t="s">
        <v>1928</v>
      </c>
      <c r="AC657" s="3691">
        <v>2.2463</v>
      </c>
      <c r="AD657" s="3691">
        <f t="shared" si="300"/>
        <v>3261.6276</v>
      </c>
      <c r="AE657" s="3645" t="s">
        <v>4780</v>
      </c>
      <c r="AF657" s="3664" t="s">
        <v>2577</v>
      </c>
      <c r="AG657" s="3645" t="s">
        <v>416</v>
      </c>
      <c r="AH657" s="4430"/>
      <c r="AI657" s="3691"/>
      <c r="AJ657" s="3691">
        <f t="shared" si="301"/>
        <v>1452</v>
      </c>
      <c r="AK657" s="4430"/>
      <c r="AL657" s="3664"/>
      <c r="AM657" s="3664"/>
      <c r="AN657" s="3691"/>
      <c r="AO657" s="3691"/>
      <c r="AP657" s="3691">
        <f>I657</f>
        <v>1452</v>
      </c>
      <c r="AQ657" s="4089"/>
      <c r="AR657" s="4413"/>
      <c r="AS657" s="4089">
        <f t="shared" si="299"/>
        <v>1452</v>
      </c>
      <c r="AT657" s="4413"/>
      <c r="AU657" s="4089"/>
      <c r="AV657" s="4089"/>
      <c r="AW657" s="4089">
        <f>I657/6</f>
        <v>242</v>
      </c>
      <c r="AX657" s="4089"/>
      <c r="AY657" s="4089"/>
      <c r="AZ657" s="4089"/>
      <c r="BA657" s="4089"/>
      <c r="BB657" s="4089"/>
      <c r="BC657" s="4089"/>
      <c r="BD657" s="4089"/>
      <c r="BE657" s="4089"/>
      <c r="BF657" s="4089" t="s">
        <v>89</v>
      </c>
      <c r="BG657" s="4089"/>
      <c r="BH657" s="4089">
        <f t="shared" si="287"/>
        <v>242</v>
      </c>
      <c r="BI657" s="4089">
        <f t="shared" si="288"/>
        <v>242</v>
      </c>
      <c r="BJ657" s="4089">
        <f t="shared" si="289"/>
        <v>242</v>
      </c>
      <c r="BK657" s="4089">
        <f t="shared" si="290"/>
        <v>242</v>
      </c>
      <c r="BL657" s="4089">
        <f t="shared" si="291"/>
        <v>242</v>
      </c>
      <c r="BM657" s="4089">
        <f t="shared" si="292"/>
        <v>193.6</v>
      </c>
      <c r="BN657" s="4089">
        <f t="shared" si="293"/>
        <v>48.4</v>
      </c>
      <c r="BO657" s="4413"/>
      <c r="BP657" s="4413"/>
      <c r="BQ657" s="4413"/>
      <c r="BR657" s="4413"/>
      <c r="BS657" s="4413"/>
      <c r="BT657" s="4431"/>
      <c r="BU657" s="4432"/>
      <c r="BV657" s="4385">
        <f t="shared" si="279"/>
        <v>1452</v>
      </c>
      <c r="BW657" s="4386">
        <f t="shared" si="298"/>
        <v>0</v>
      </c>
      <c r="BX657" s="4387"/>
      <c r="BY657" s="4387"/>
      <c r="BZ657" s="4387"/>
      <c r="CA657" s="4391"/>
      <c r="CC657" s="4392"/>
      <c r="CD657" s="4391"/>
    </row>
    <row r="658" s="4025" customFormat="1" ht="50" customHeight="1" spans="1:82">
      <c r="A658" s="3688">
        <v>45881</v>
      </c>
      <c r="B658" s="3689" t="s">
        <v>2005</v>
      </c>
      <c r="C658" s="3664" t="s">
        <v>673</v>
      </c>
      <c r="D658" s="3690">
        <v>4500176427</v>
      </c>
      <c r="E658" s="3664">
        <v>5000001954</v>
      </c>
      <c r="F658" s="3690" t="s">
        <v>4781</v>
      </c>
      <c r="G658" s="3664" t="s">
        <v>2590</v>
      </c>
      <c r="H658" s="3664" t="s">
        <v>2591</v>
      </c>
      <c r="I658" s="3691">
        <v>1500</v>
      </c>
      <c r="J658" s="3691">
        <v>0</v>
      </c>
      <c r="K658" s="3691">
        <v>6</v>
      </c>
      <c r="L658" s="3691">
        <f t="shared" si="286"/>
        <v>250</v>
      </c>
      <c r="M658" s="3659">
        <v>45915</v>
      </c>
      <c r="N658" s="3659">
        <v>45911</v>
      </c>
      <c r="O658" s="4085"/>
      <c r="P658" s="3682" t="s">
        <v>82</v>
      </c>
      <c r="Q658" s="4488"/>
      <c r="R658" s="4489"/>
      <c r="S658" s="4489"/>
      <c r="T658" s="4489"/>
      <c r="U658" s="3701"/>
      <c r="V658" s="3649" t="s">
        <v>4782</v>
      </c>
      <c r="W658" s="3657"/>
      <c r="X658" s="3657" t="s">
        <v>4783</v>
      </c>
      <c r="Y658" s="3649"/>
      <c r="Z658" s="3691"/>
      <c r="AA658" s="3620" t="s">
        <v>4784</v>
      </c>
      <c r="AB658" s="3691" t="s">
        <v>993</v>
      </c>
      <c r="AC658" s="3691">
        <v>2.1007</v>
      </c>
      <c r="AD658" s="3691">
        <f t="shared" si="300"/>
        <v>3151.05</v>
      </c>
      <c r="AE658" s="3645"/>
      <c r="AF658" s="3664" t="s">
        <v>2663</v>
      </c>
      <c r="AG658" s="3645" t="s">
        <v>416</v>
      </c>
      <c r="AH658" s="4430"/>
      <c r="AI658" s="4082"/>
      <c r="AJ658" s="4082">
        <f t="shared" si="301"/>
        <v>1500</v>
      </c>
      <c r="AK658" s="4430"/>
      <c r="AL658" s="3664"/>
      <c r="AM658" s="3664"/>
      <c r="AN658" s="3691"/>
      <c r="AO658" s="3691"/>
      <c r="AP658" s="3691"/>
      <c r="AQ658" s="4089">
        <f>I658</f>
        <v>1500</v>
      </c>
      <c r="AR658" s="4413"/>
      <c r="AS658" s="4089">
        <f t="shared" si="299"/>
        <v>1500</v>
      </c>
      <c r="AT658" s="4413"/>
      <c r="AU658" s="4089"/>
      <c r="AV658" s="4089"/>
      <c r="AW658" s="4089">
        <f>I658/6</f>
        <v>250</v>
      </c>
      <c r="AX658" s="4089"/>
      <c r="AY658" s="4089"/>
      <c r="AZ658" s="4089"/>
      <c r="BA658" s="4089"/>
      <c r="BB658" s="4089"/>
      <c r="BC658" s="4089"/>
      <c r="BD658" s="4089"/>
      <c r="BE658" s="4089"/>
      <c r="BF658" s="4089" t="s">
        <v>682</v>
      </c>
      <c r="BG658" s="4089"/>
      <c r="BH658" s="4089">
        <f t="shared" si="287"/>
        <v>250</v>
      </c>
      <c r="BI658" s="4089">
        <f t="shared" si="288"/>
        <v>250</v>
      </c>
      <c r="BJ658" s="4089">
        <f t="shared" si="289"/>
        <v>250</v>
      </c>
      <c r="BK658" s="4089">
        <f t="shared" si="290"/>
        <v>250</v>
      </c>
      <c r="BL658" s="4089">
        <f t="shared" si="291"/>
        <v>250</v>
      </c>
      <c r="BM658" s="4089">
        <f t="shared" si="292"/>
        <v>200</v>
      </c>
      <c r="BN658" s="4089">
        <f t="shared" si="293"/>
        <v>50</v>
      </c>
      <c r="BO658" s="4413"/>
      <c r="BP658" s="4413"/>
      <c r="BQ658" s="4413"/>
      <c r="BR658" s="4413"/>
      <c r="BS658" s="4413"/>
      <c r="BT658" s="4431"/>
      <c r="BU658" s="4432"/>
      <c r="BV658" s="4385">
        <f t="shared" si="279"/>
        <v>1500</v>
      </c>
      <c r="BW658" s="4386">
        <f t="shared" si="298"/>
        <v>0</v>
      </c>
      <c r="BX658" s="4387"/>
      <c r="BY658" s="4387"/>
      <c r="BZ658" s="4387"/>
      <c r="CA658" s="4391"/>
      <c r="CC658" s="4392"/>
      <c r="CD658" s="4391"/>
    </row>
    <row r="659" s="4025" customFormat="1" ht="50" customHeight="1" spans="1:82">
      <c r="A659" s="3688">
        <v>45873</v>
      </c>
      <c r="B659" s="3689" t="s">
        <v>839</v>
      </c>
      <c r="C659" s="3664" t="s">
        <v>840</v>
      </c>
      <c r="D659" s="3690">
        <v>4500175925</v>
      </c>
      <c r="E659" s="3664">
        <v>20862090</v>
      </c>
      <c r="F659" s="3690" t="s">
        <v>4785</v>
      </c>
      <c r="G659" s="3664" t="s">
        <v>3343</v>
      </c>
      <c r="H659" s="3664" t="s">
        <v>3344</v>
      </c>
      <c r="I659" s="3618">
        <v>1174</v>
      </c>
      <c r="J659" s="3618">
        <v>0</v>
      </c>
      <c r="K659" s="3618">
        <v>1</v>
      </c>
      <c r="L659" s="3618">
        <f t="shared" si="286"/>
        <v>1174</v>
      </c>
      <c r="M659" s="3659">
        <v>45915</v>
      </c>
      <c r="N659" s="3659">
        <v>45911</v>
      </c>
      <c r="O659" s="3664" t="s">
        <v>4786</v>
      </c>
      <c r="P659" s="3682" t="s">
        <v>82</v>
      </c>
      <c r="Q659" s="3682"/>
      <c r="R659" s="4083"/>
      <c r="S659" s="4083"/>
      <c r="T659" s="4083"/>
      <c r="U659" s="3645" t="s">
        <v>1922</v>
      </c>
      <c r="V659" s="3649" t="s">
        <v>1926</v>
      </c>
      <c r="W659" s="3657"/>
      <c r="X659" s="3657" t="s">
        <v>4776</v>
      </c>
      <c r="Y659" s="3657"/>
      <c r="Z659" s="3691"/>
      <c r="AA659" s="3620" t="s">
        <v>4777</v>
      </c>
      <c r="AB659" s="3691" t="s">
        <v>1928</v>
      </c>
      <c r="AC659" s="4058">
        <v>8.7755</v>
      </c>
      <c r="AD659" s="3618">
        <f t="shared" si="300"/>
        <v>10302.437</v>
      </c>
      <c r="AE659" s="3645"/>
      <c r="AF659" s="3664" t="s">
        <v>3349</v>
      </c>
      <c r="AG659" s="3645" t="s">
        <v>416</v>
      </c>
      <c r="AH659" s="3664"/>
      <c r="AI659" s="3691"/>
      <c r="AJ659" s="3691">
        <f t="shared" si="301"/>
        <v>1174</v>
      </c>
      <c r="AK659" s="3664"/>
      <c r="AL659" s="3664"/>
      <c r="AM659" s="3664"/>
      <c r="AN659" s="3691"/>
      <c r="AO659" s="3691"/>
      <c r="AP659" s="3691">
        <f>I659</f>
        <v>1174</v>
      </c>
      <c r="AQ659" s="4089"/>
      <c r="AR659" s="4089"/>
      <c r="AS659" s="4089">
        <f t="shared" si="299"/>
        <v>1174</v>
      </c>
      <c r="AT659" s="4089"/>
      <c r="AU659" s="4089"/>
      <c r="AV659" s="4089"/>
      <c r="AW659" s="4089"/>
      <c r="AX659" s="4089"/>
      <c r="AY659" s="4089"/>
      <c r="AZ659" s="4089"/>
      <c r="BA659" s="4089"/>
      <c r="BB659" s="4089"/>
      <c r="BC659" s="4089">
        <f>I659</f>
        <v>1174</v>
      </c>
      <c r="BD659" s="4089"/>
      <c r="BE659" s="4089"/>
      <c r="BF659" s="4089" t="s">
        <v>89</v>
      </c>
      <c r="BG659" s="4089"/>
      <c r="BH659" s="4089">
        <f t="shared" si="287"/>
        <v>195.666666666667</v>
      </c>
      <c r="BI659" s="4089">
        <f t="shared" si="288"/>
        <v>195.666666666667</v>
      </c>
      <c r="BJ659" s="4089">
        <f t="shared" si="289"/>
        <v>195.666666666667</v>
      </c>
      <c r="BK659" s="4089">
        <f t="shared" si="290"/>
        <v>195.666666666667</v>
      </c>
      <c r="BL659" s="4089">
        <f t="shared" si="291"/>
        <v>195.666666666667</v>
      </c>
      <c r="BM659" s="4089">
        <f t="shared" si="292"/>
        <v>156.533333333333</v>
      </c>
      <c r="BN659" s="4089">
        <f t="shared" si="293"/>
        <v>39.1333333333333</v>
      </c>
      <c r="BO659" s="4089"/>
      <c r="BP659" s="4089"/>
      <c r="BQ659" s="4089"/>
      <c r="BR659" s="4089"/>
      <c r="BS659" s="4089"/>
      <c r="BT659" s="4404"/>
      <c r="BU659" s="4403"/>
      <c r="BV659" s="4385">
        <f t="shared" si="279"/>
        <v>1174</v>
      </c>
      <c r="BW659" s="4386">
        <f t="shared" si="298"/>
        <v>0</v>
      </c>
      <c r="BX659" s="4387"/>
      <c r="BY659" s="4387"/>
      <c r="BZ659" s="4387"/>
      <c r="CA659" s="4391"/>
      <c r="CC659" s="4392"/>
      <c r="CD659" s="4391"/>
    </row>
    <row r="660" s="4312" customFormat="1" ht="50" customHeight="1" spans="1:82">
      <c r="A660" s="4494">
        <v>45873</v>
      </c>
      <c r="B660" s="3689" t="s">
        <v>505</v>
      </c>
      <c r="C660" s="3664" t="s">
        <v>506</v>
      </c>
      <c r="D660" s="3690">
        <v>4500175924</v>
      </c>
      <c r="E660" s="3664">
        <v>20862073</v>
      </c>
      <c r="F660" s="3690" t="s">
        <v>4787</v>
      </c>
      <c r="G660" s="3664" t="s">
        <v>3343</v>
      </c>
      <c r="H660" s="3664" t="s">
        <v>3344</v>
      </c>
      <c r="I660" s="3618">
        <v>10566</v>
      </c>
      <c r="J660" s="3618">
        <v>0</v>
      </c>
      <c r="K660" s="3618">
        <v>1</v>
      </c>
      <c r="L660" s="3618">
        <f t="shared" si="286"/>
        <v>10566</v>
      </c>
      <c r="M660" s="3659">
        <v>45915</v>
      </c>
      <c r="N660" s="3659">
        <v>45911</v>
      </c>
      <c r="O660" s="3664" t="s">
        <v>4786</v>
      </c>
      <c r="P660" s="3682" t="s">
        <v>82</v>
      </c>
      <c r="Q660" s="3682"/>
      <c r="R660" s="4083"/>
      <c r="S660" s="4083"/>
      <c r="T660" s="4083"/>
      <c r="U660" s="3645" t="s">
        <v>1922</v>
      </c>
      <c r="V660" s="3649" t="s">
        <v>1926</v>
      </c>
      <c r="W660" s="3657"/>
      <c r="X660" s="3657" t="s">
        <v>4776</v>
      </c>
      <c r="Y660" s="3657"/>
      <c r="Z660" s="3691"/>
      <c r="AA660" s="3620" t="s">
        <v>4779</v>
      </c>
      <c r="AB660" s="3691" t="s">
        <v>1928</v>
      </c>
      <c r="AC660" s="4058">
        <v>8.4583</v>
      </c>
      <c r="AD660" s="3618">
        <f t="shared" si="300"/>
        <v>89370.3978</v>
      </c>
      <c r="AE660" s="3645"/>
      <c r="AF660" s="3664" t="s">
        <v>3349</v>
      </c>
      <c r="AG660" s="3645" t="s">
        <v>416</v>
      </c>
      <c r="AH660" s="4448"/>
      <c r="AI660" s="3691"/>
      <c r="AJ660" s="3691">
        <f t="shared" si="301"/>
        <v>10566</v>
      </c>
      <c r="AK660" s="4448"/>
      <c r="AL660" s="3664"/>
      <c r="AM660" s="3664"/>
      <c r="AN660" s="3691"/>
      <c r="AO660" s="3691"/>
      <c r="AP660" s="3691">
        <f>I660</f>
        <v>10566</v>
      </c>
      <c r="AQ660" s="4089"/>
      <c r="AR660" s="4411"/>
      <c r="AS660" s="4089">
        <f t="shared" si="299"/>
        <v>10566</v>
      </c>
      <c r="AT660" s="4411"/>
      <c r="AU660" s="4089"/>
      <c r="AV660" s="4089"/>
      <c r="AW660" s="4089"/>
      <c r="AX660" s="4089"/>
      <c r="AY660" s="4089"/>
      <c r="AZ660" s="4089"/>
      <c r="BA660" s="4089"/>
      <c r="BB660" s="4089"/>
      <c r="BC660" s="4089">
        <f>I660</f>
        <v>10566</v>
      </c>
      <c r="BD660" s="4089"/>
      <c r="BE660" s="4089"/>
      <c r="BF660" s="4089" t="s">
        <v>89</v>
      </c>
      <c r="BG660" s="4089"/>
      <c r="BH660" s="4089">
        <f t="shared" si="287"/>
        <v>1761</v>
      </c>
      <c r="BI660" s="4089">
        <f t="shared" si="288"/>
        <v>1761</v>
      </c>
      <c r="BJ660" s="4089">
        <f t="shared" si="289"/>
        <v>1761</v>
      </c>
      <c r="BK660" s="4089">
        <f t="shared" si="290"/>
        <v>1761</v>
      </c>
      <c r="BL660" s="4089">
        <f t="shared" si="291"/>
        <v>1761</v>
      </c>
      <c r="BM660" s="4089">
        <f t="shared" si="292"/>
        <v>1408.8</v>
      </c>
      <c r="BN660" s="4089">
        <f t="shared" si="293"/>
        <v>352.2</v>
      </c>
      <c r="BO660" s="4411"/>
      <c r="BP660" s="4411"/>
      <c r="BQ660" s="4411"/>
      <c r="BR660" s="4411"/>
      <c r="BS660" s="4411"/>
      <c r="BT660" s="4453"/>
      <c r="BU660" s="4454"/>
      <c r="BV660" s="4385">
        <f t="shared" si="279"/>
        <v>10566</v>
      </c>
      <c r="BW660" s="4386">
        <f t="shared" si="298"/>
        <v>0</v>
      </c>
      <c r="BX660" s="4387"/>
      <c r="BY660" s="4387"/>
      <c r="BZ660" s="4387"/>
      <c r="CA660" s="4391"/>
      <c r="CC660" s="4392"/>
      <c r="CD660" s="4391"/>
    </row>
    <row r="661" s="4315" customFormat="1" ht="50" customHeight="1" spans="1:82">
      <c r="A661" s="3688">
        <v>45862</v>
      </c>
      <c r="B661" s="3689" t="s">
        <v>1617</v>
      </c>
      <c r="C661" s="3664" t="s">
        <v>91</v>
      </c>
      <c r="D661" s="3690">
        <v>4500174768</v>
      </c>
      <c r="E661" s="3664">
        <v>70072691</v>
      </c>
      <c r="F661" s="3690" t="s">
        <v>4788</v>
      </c>
      <c r="G661" s="3664" t="s">
        <v>2627</v>
      </c>
      <c r="H661" s="3691" t="s">
        <v>2591</v>
      </c>
      <c r="I661" s="3691">
        <v>1200</v>
      </c>
      <c r="J661" s="3691">
        <v>0</v>
      </c>
      <c r="K661" s="3691">
        <v>24</v>
      </c>
      <c r="L661" s="3691">
        <f t="shared" si="286"/>
        <v>50</v>
      </c>
      <c r="M661" s="3659">
        <v>45918</v>
      </c>
      <c r="N661" s="3659">
        <v>45915</v>
      </c>
      <c r="O661" s="4085"/>
      <c r="P661" s="3682" t="s">
        <v>82</v>
      </c>
      <c r="Q661" s="4488"/>
      <c r="R661" s="4489"/>
      <c r="S661" s="4489"/>
      <c r="T661" s="4489"/>
      <c r="U661" s="3701" t="s">
        <v>1911</v>
      </c>
      <c r="V661" s="3649" t="s">
        <v>390</v>
      </c>
      <c r="W661" s="3657"/>
      <c r="X661" s="3657" t="s">
        <v>98</v>
      </c>
      <c r="Y661" s="3657" t="s">
        <v>1885</v>
      </c>
      <c r="Z661" s="3691"/>
      <c r="AA661" s="3620" t="s">
        <v>1621</v>
      </c>
      <c r="AB661" s="3691" t="s">
        <v>1880</v>
      </c>
      <c r="AC661" s="3691">
        <v>1.2507</v>
      </c>
      <c r="AD661" s="3691">
        <f t="shared" si="300"/>
        <v>1500.84</v>
      </c>
      <c r="AE661" s="3645" t="s">
        <v>1912</v>
      </c>
      <c r="AF661" s="3664" t="s">
        <v>2627</v>
      </c>
      <c r="AG661" s="3645" t="s">
        <v>416</v>
      </c>
      <c r="AH661" s="4430"/>
      <c r="AI661" s="3691"/>
      <c r="AJ661" s="3691">
        <f t="shared" si="301"/>
        <v>1200</v>
      </c>
      <c r="AK661" s="4430"/>
      <c r="AL661" s="3664"/>
      <c r="AM661" s="3664"/>
      <c r="AN661" s="3691"/>
      <c r="AO661" s="3691"/>
      <c r="AP661" s="3691">
        <f>I661</f>
        <v>1200</v>
      </c>
      <c r="AQ661" s="4089"/>
      <c r="AR661" s="4413"/>
      <c r="AS661" s="4089">
        <f t="shared" si="299"/>
        <v>1200</v>
      </c>
      <c r="AT661" s="4413"/>
      <c r="AU661" s="4089"/>
      <c r="AV661" s="4089"/>
      <c r="AW661" s="4089"/>
      <c r="AX661" s="4089"/>
      <c r="AY661" s="4089"/>
      <c r="AZ661" s="4089"/>
      <c r="BA661" s="4089"/>
      <c r="BB661" s="4089"/>
      <c r="BC661" s="4089"/>
      <c r="BD661" s="4089"/>
      <c r="BE661" s="4089"/>
      <c r="BF661" s="4089" t="s">
        <v>89</v>
      </c>
      <c r="BG661" s="4089"/>
      <c r="BH661" s="4089">
        <f t="shared" si="287"/>
        <v>200</v>
      </c>
      <c r="BI661" s="4089">
        <f t="shared" si="288"/>
        <v>200</v>
      </c>
      <c r="BJ661" s="4089">
        <f t="shared" si="289"/>
        <v>200</v>
      </c>
      <c r="BK661" s="4089">
        <f t="shared" si="290"/>
        <v>200</v>
      </c>
      <c r="BL661" s="4089">
        <f t="shared" si="291"/>
        <v>200</v>
      </c>
      <c r="BM661" s="4089">
        <f t="shared" si="292"/>
        <v>160</v>
      </c>
      <c r="BN661" s="4089">
        <f t="shared" si="293"/>
        <v>40</v>
      </c>
      <c r="BO661" s="4413"/>
      <c r="BP661" s="4413"/>
      <c r="BQ661" s="4413"/>
      <c r="BR661" s="4413"/>
      <c r="BS661" s="4413"/>
      <c r="BT661" s="4431"/>
      <c r="BU661" s="4432"/>
      <c r="BV661" s="4385">
        <f t="shared" si="279"/>
        <v>1200</v>
      </c>
      <c r="BW661" s="4386">
        <f t="shared" si="298"/>
        <v>0</v>
      </c>
      <c r="BX661" s="4387"/>
      <c r="BY661" s="4387"/>
      <c r="BZ661" s="4387"/>
      <c r="CA661" s="4391"/>
      <c r="CC661" s="4392"/>
      <c r="CD661" s="4391"/>
    </row>
    <row r="662" s="4025" customFormat="1" ht="50" customHeight="1" spans="1:82">
      <c r="A662" s="3688">
        <v>45887</v>
      </c>
      <c r="B662" s="3689" t="s">
        <v>3495</v>
      </c>
      <c r="C662" s="3664" t="s">
        <v>91</v>
      </c>
      <c r="D662" s="3690">
        <v>4500177190</v>
      </c>
      <c r="E662" s="5456" t="s">
        <v>4789</v>
      </c>
      <c r="F662" s="3690" t="s">
        <v>4790</v>
      </c>
      <c r="G662" s="3664" t="s">
        <v>3068</v>
      </c>
      <c r="H662" s="3664" t="s">
        <v>3069</v>
      </c>
      <c r="I662" s="3691">
        <v>768</v>
      </c>
      <c r="J662" s="3691">
        <v>0</v>
      </c>
      <c r="K662" s="3691">
        <v>384</v>
      </c>
      <c r="L662" s="3691">
        <f t="shared" si="286"/>
        <v>2</v>
      </c>
      <c r="M662" s="3659">
        <v>45918</v>
      </c>
      <c r="N662" s="3659">
        <v>45915</v>
      </c>
      <c r="O662" s="3664" t="s">
        <v>4791</v>
      </c>
      <c r="P662" s="3682" t="s">
        <v>82</v>
      </c>
      <c r="Q662" s="3682"/>
      <c r="R662" s="4083"/>
      <c r="S662" s="4083"/>
      <c r="T662" s="4083"/>
      <c r="U662" s="3645"/>
      <c r="V662" s="3649" t="s">
        <v>4620</v>
      </c>
      <c r="W662" s="3657"/>
      <c r="X662" s="3657" t="s">
        <v>4710</v>
      </c>
      <c r="Y662" s="3657" t="s">
        <v>4792</v>
      </c>
      <c r="Z662" s="3691"/>
      <c r="AA662" s="3620" t="s">
        <v>4793</v>
      </c>
      <c r="AB662" s="3691" t="s">
        <v>3076</v>
      </c>
      <c r="AC662" s="3691">
        <v>501.865</v>
      </c>
      <c r="AD662" s="3691">
        <f t="shared" ref="AD662:AD669" si="302">AC662*L662</f>
        <v>1003.73</v>
      </c>
      <c r="AE662" s="3645" t="s">
        <v>4794</v>
      </c>
      <c r="AF662" s="3664" t="s">
        <v>3078</v>
      </c>
      <c r="AG662" s="3645" t="s">
        <v>416</v>
      </c>
      <c r="AH662" s="4448"/>
      <c r="AI662" s="3691"/>
      <c r="AJ662" s="4082">
        <f t="shared" si="301"/>
        <v>768</v>
      </c>
      <c r="AK662" s="4448"/>
      <c r="AL662" s="3664"/>
      <c r="AM662" s="3664"/>
      <c r="AN662" s="3691"/>
      <c r="AO662" s="3691"/>
      <c r="AP662" s="4082">
        <f t="shared" ref="AP662:AP668" si="303">I662</f>
        <v>768</v>
      </c>
      <c r="AQ662" s="4089"/>
      <c r="AR662" s="4411"/>
      <c r="AS662" s="4495">
        <f t="shared" si="299"/>
        <v>768</v>
      </c>
      <c r="AT662" s="4411"/>
      <c r="AU662" s="4089"/>
      <c r="AV662" s="4089"/>
      <c r="AW662" s="4089"/>
      <c r="AX662" s="4089"/>
      <c r="AY662" s="4089"/>
      <c r="AZ662" s="4089"/>
      <c r="BA662" s="4089"/>
      <c r="BB662" s="4495">
        <f>I662/2</f>
        <v>384</v>
      </c>
      <c r="BC662" s="4089"/>
      <c r="BD662" s="4089"/>
      <c r="BE662" s="4089"/>
      <c r="BF662" s="4089" t="s">
        <v>682</v>
      </c>
      <c r="BG662" s="4089"/>
      <c r="BH662" s="4495">
        <f t="shared" si="287"/>
        <v>128</v>
      </c>
      <c r="BI662" s="4495">
        <f t="shared" si="288"/>
        <v>128</v>
      </c>
      <c r="BJ662" s="4495">
        <f t="shared" si="289"/>
        <v>128</v>
      </c>
      <c r="BK662" s="4495">
        <f t="shared" si="290"/>
        <v>128</v>
      </c>
      <c r="BL662" s="4495">
        <f t="shared" si="291"/>
        <v>128</v>
      </c>
      <c r="BM662" s="4495">
        <f t="shared" si="292"/>
        <v>102.4</v>
      </c>
      <c r="BN662" s="4495">
        <f t="shared" si="293"/>
        <v>25.6</v>
      </c>
      <c r="BO662" s="4411"/>
      <c r="BP662" s="4411"/>
      <c r="BQ662" s="4411"/>
      <c r="BR662" s="4411"/>
      <c r="BS662" s="4411"/>
      <c r="BT662" s="4453"/>
      <c r="BU662" s="4454"/>
      <c r="BV662" s="4496">
        <f t="shared" si="279"/>
        <v>768</v>
      </c>
      <c r="BW662" s="4497">
        <f t="shared" si="298"/>
        <v>0</v>
      </c>
      <c r="BX662" s="4387"/>
      <c r="BY662" s="4387"/>
      <c r="BZ662" s="4387"/>
      <c r="CA662" s="4388"/>
      <c r="CC662" s="4389"/>
      <c r="CD662" s="4388"/>
    </row>
    <row r="663" s="4025" customFormat="1" ht="50" customHeight="1" spans="1:82">
      <c r="A663" s="3688">
        <v>45887</v>
      </c>
      <c r="B663" s="3689" t="s">
        <v>3495</v>
      </c>
      <c r="C663" s="3664" t="s">
        <v>91</v>
      </c>
      <c r="D663" s="3690">
        <v>4500177190</v>
      </c>
      <c r="E663" s="5456" t="s">
        <v>4795</v>
      </c>
      <c r="F663" s="3690" t="s">
        <v>4796</v>
      </c>
      <c r="G663" s="3664" t="s">
        <v>3068</v>
      </c>
      <c r="H663" s="3664" t="s">
        <v>3069</v>
      </c>
      <c r="I663" s="3691">
        <v>768</v>
      </c>
      <c r="J663" s="3691">
        <v>0</v>
      </c>
      <c r="K663" s="3691">
        <v>384</v>
      </c>
      <c r="L663" s="3691">
        <f t="shared" si="286"/>
        <v>2</v>
      </c>
      <c r="M663" s="3659">
        <v>45918</v>
      </c>
      <c r="N663" s="3659">
        <v>45915</v>
      </c>
      <c r="O663" s="3664" t="s">
        <v>4791</v>
      </c>
      <c r="P663" s="3682" t="s">
        <v>82</v>
      </c>
      <c r="Q663" s="3682"/>
      <c r="R663" s="4083"/>
      <c r="S663" s="4083"/>
      <c r="T663" s="4083"/>
      <c r="U663" s="3645" t="s">
        <v>254</v>
      </c>
      <c r="V663" s="3649" t="s">
        <v>4620</v>
      </c>
      <c r="W663" s="3657"/>
      <c r="X663" s="3657" t="s">
        <v>4710</v>
      </c>
      <c r="Y663" s="3657" t="s">
        <v>4792</v>
      </c>
      <c r="Z663" s="3691"/>
      <c r="AA663" s="3620" t="s">
        <v>4793</v>
      </c>
      <c r="AB663" s="3691" t="s">
        <v>3076</v>
      </c>
      <c r="AC663" s="3691">
        <v>501.865</v>
      </c>
      <c r="AD663" s="3691">
        <f t="shared" si="302"/>
        <v>1003.73</v>
      </c>
      <c r="AE663" s="3645" t="s">
        <v>4797</v>
      </c>
      <c r="AF663" s="3664" t="s">
        <v>3078</v>
      </c>
      <c r="AG663" s="3645" t="s">
        <v>416</v>
      </c>
      <c r="AH663" s="4448"/>
      <c r="AI663" s="3691"/>
      <c r="AJ663" s="4082">
        <f t="shared" ref="AJ663:AJ668" si="304">I663</f>
        <v>768</v>
      </c>
      <c r="AK663" s="4448"/>
      <c r="AL663" s="3664"/>
      <c r="AM663" s="3664"/>
      <c r="AN663" s="3691"/>
      <c r="AO663" s="3691"/>
      <c r="AP663" s="4082">
        <f t="shared" si="303"/>
        <v>768</v>
      </c>
      <c r="AQ663" s="4089"/>
      <c r="AR663" s="4411"/>
      <c r="AS663" s="4495">
        <f t="shared" si="299"/>
        <v>768</v>
      </c>
      <c r="AT663" s="4411"/>
      <c r="AU663" s="4089"/>
      <c r="AV663" s="4089"/>
      <c r="AW663" s="4089"/>
      <c r="AX663" s="4089"/>
      <c r="AY663" s="4089"/>
      <c r="AZ663" s="4089"/>
      <c r="BA663" s="4089"/>
      <c r="BB663" s="4495">
        <f t="shared" ref="BB663:BB668" si="305">I663/2</f>
        <v>384</v>
      </c>
      <c r="BC663" s="4089"/>
      <c r="BD663" s="4089"/>
      <c r="BE663" s="4089"/>
      <c r="BF663" s="4089" t="s">
        <v>682</v>
      </c>
      <c r="BG663" s="4089"/>
      <c r="BH663" s="4495">
        <f t="shared" si="287"/>
        <v>128</v>
      </c>
      <c r="BI663" s="4495">
        <f t="shared" si="288"/>
        <v>128</v>
      </c>
      <c r="BJ663" s="4495">
        <f t="shared" si="289"/>
        <v>128</v>
      </c>
      <c r="BK663" s="4495">
        <f t="shared" si="290"/>
        <v>128</v>
      </c>
      <c r="BL663" s="4495">
        <f t="shared" si="291"/>
        <v>128</v>
      </c>
      <c r="BM663" s="4495">
        <f t="shared" si="292"/>
        <v>102.4</v>
      </c>
      <c r="BN663" s="4495">
        <f t="shared" si="293"/>
        <v>25.6</v>
      </c>
      <c r="BO663" s="4411"/>
      <c r="BP663" s="4411"/>
      <c r="BQ663" s="4411"/>
      <c r="BR663" s="4411"/>
      <c r="BS663" s="4411"/>
      <c r="BT663" s="4453"/>
      <c r="BU663" s="4454"/>
      <c r="BV663" s="4496">
        <f t="shared" si="279"/>
        <v>768</v>
      </c>
      <c r="BW663" s="4497">
        <f t="shared" si="298"/>
        <v>0</v>
      </c>
      <c r="BX663" s="4387"/>
      <c r="BY663" s="4387"/>
      <c r="BZ663" s="4387"/>
      <c r="CA663" s="4388"/>
      <c r="CC663" s="4389"/>
      <c r="CD663" s="4388"/>
    </row>
    <row r="664" s="4025" customFormat="1" ht="50" customHeight="1" spans="1:82">
      <c r="A664" s="3688">
        <v>45887</v>
      </c>
      <c r="B664" s="3689" t="s">
        <v>3495</v>
      </c>
      <c r="C664" s="3664" t="s">
        <v>91</v>
      </c>
      <c r="D664" s="3690">
        <v>4500177190</v>
      </c>
      <c r="E664" s="5456" t="s">
        <v>4798</v>
      </c>
      <c r="F664" s="3690" t="s">
        <v>4799</v>
      </c>
      <c r="G664" s="3664" t="s">
        <v>3068</v>
      </c>
      <c r="H664" s="3664" t="s">
        <v>3069</v>
      </c>
      <c r="I664" s="3691">
        <v>1536</v>
      </c>
      <c r="J664" s="3691">
        <v>0</v>
      </c>
      <c r="K664" s="3691">
        <v>384</v>
      </c>
      <c r="L664" s="3691">
        <f t="shared" si="286"/>
        <v>4</v>
      </c>
      <c r="M664" s="3659">
        <v>45918</v>
      </c>
      <c r="N664" s="3659">
        <v>45915</v>
      </c>
      <c r="O664" s="3664" t="s">
        <v>4791</v>
      </c>
      <c r="P664" s="3682" t="s">
        <v>82</v>
      </c>
      <c r="Q664" s="3682"/>
      <c r="R664" s="4083"/>
      <c r="S664" s="4083"/>
      <c r="T664" s="4083"/>
      <c r="U664" s="3645" t="s">
        <v>4800</v>
      </c>
      <c r="V664" s="3649" t="s">
        <v>4620</v>
      </c>
      <c r="W664" s="3657"/>
      <c r="X664" s="3657" t="s">
        <v>4710</v>
      </c>
      <c r="Y664" s="3657" t="s">
        <v>4792</v>
      </c>
      <c r="Z664" s="3691"/>
      <c r="AA664" s="3620" t="s">
        <v>4793</v>
      </c>
      <c r="AB664" s="3691" t="s">
        <v>3076</v>
      </c>
      <c r="AC664" s="3691">
        <v>501.8675</v>
      </c>
      <c r="AD664" s="3691">
        <f t="shared" si="302"/>
        <v>2007.47</v>
      </c>
      <c r="AE664" s="3645" t="s">
        <v>4801</v>
      </c>
      <c r="AF664" s="3664" t="s">
        <v>3078</v>
      </c>
      <c r="AG664" s="3645" t="s">
        <v>416</v>
      </c>
      <c r="AH664" s="4448"/>
      <c r="AI664" s="3691"/>
      <c r="AJ664" s="4082">
        <f t="shared" si="304"/>
        <v>1536</v>
      </c>
      <c r="AK664" s="4448"/>
      <c r="AL664" s="3664"/>
      <c r="AM664" s="3664"/>
      <c r="AN664" s="3691"/>
      <c r="AO664" s="3691"/>
      <c r="AP664" s="4082">
        <f t="shared" si="303"/>
        <v>1536</v>
      </c>
      <c r="AQ664" s="4089"/>
      <c r="AR664" s="4411"/>
      <c r="AS664" s="4495">
        <f t="shared" si="299"/>
        <v>1536</v>
      </c>
      <c r="AT664" s="4411"/>
      <c r="AU664" s="4089"/>
      <c r="AV664" s="4089"/>
      <c r="AW664" s="4089"/>
      <c r="AX664" s="4089"/>
      <c r="AY664" s="4089"/>
      <c r="AZ664" s="4089"/>
      <c r="BA664" s="4089"/>
      <c r="BB664" s="4495">
        <f t="shared" si="305"/>
        <v>768</v>
      </c>
      <c r="BC664" s="4089"/>
      <c r="BD664" s="4089"/>
      <c r="BE664" s="4089"/>
      <c r="BF664" s="4089" t="s">
        <v>682</v>
      </c>
      <c r="BG664" s="4089"/>
      <c r="BH664" s="4495">
        <f t="shared" si="287"/>
        <v>256</v>
      </c>
      <c r="BI664" s="4495">
        <f t="shared" si="288"/>
        <v>256</v>
      </c>
      <c r="BJ664" s="4495">
        <f t="shared" si="289"/>
        <v>256</v>
      </c>
      <c r="BK664" s="4495">
        <f t="shared" si="290"/>
        <v>256</v>
      </c>
      <c r="BL664" s="4495">
        <f t="shared" si="291"/>
        <v>256</v>
      </c>
      <c r="BM664" s="4495">
        <f t="shared" si="292"/>
        <v>204.8</v>
      </c>
      <c r="BN664" s="4495">
        <f t="shared" si="293"/>
        <v>51.2</v>
      </c>
      <c r="BO664" s="4411"/>
      <c r="BP664" s="4411"/>
      <c r="BQ664" s="4411"/>
      <c r="BR664" s="4411"/>
      <c r="BS664" s="4411"/>
      <c r="BT664" s="4453"/>
      <c r="BU664" s="4454"/>
      <c r="BV664" s="4496">
        <f t="shared" si="279"/>
        <v>1536</v>
      </c>
      <c r="BW664" s="4497">
        <f t="shared" si="298"/>
        <v>0</v>
      </c>
      <c r="BX664" s="4387"/>
      <c r="BY664" s="4387"/>
      <c r="BZ664" s="4387"/>
      <c r="CA664" s="4388"/>
      <c r="CC664" s="4389"/>
      <c r="CD664" s="4388"/>
    </row>
    <row r="665" s="4025" customFormat="1" ht="50" customHeight="1" spans="1:82">
      <c r="A665" s="3688">
        <v>45887</v>
      </c>
      <c r="B665" s="3689" t="s">
        <v>3495</v>
      </c>
      <c r="C665" s="3664" t="s">
        <v>91</v>
      </c>
      <c r="D665" s="3690">
        <v>4500177190</v>
      </c>
      <c r="E665" s="5456" t="s">
        <v>4802</v>
      </c>
      <c r="F665" s="3690" t="s">
        <v>4803</v>
      </c>
      <c r="G665" s="3664" t="s">
        <v>3068</v>
      </c>
      <c r="H665" s="3664" t="s">
        <v>3069</v>
      </c>
      <c r="I665" s="3691">
        <v>2688</v>
      </c>
      <c r="J665" s="3691">
        <v>0</v>
      </c>
      <c r="K665" s="3691">
        <v>384</v>
      </c>
      <c r="L665" s="3691">
        <f t="shared" si="286"/>
        <v>7</v>
      </c>
      <c r="M665" s="3659">
        <v>45918</v>
      </c>
      <c r="N665" s="3659">
        <v>45915</v>
      </c>
      <c r="O665" s="3664" t="s">
        <v>4791</v>
      </c>
      <c r="P665" s="3682" t="s">
        <v>82</v>
      </c>
      <c r="Q665" s="3682"/>
      <c r="R665" s="4083"/>
      <c r="S665" s="4083"/>
      <c r="T665" s="4083"/>
      <c r="U665" s="3645" t="s">
        <v>254</v>
      </c>
      <c r="V665" s="3649" t="s">
        <v>4620</v>
      </c>
      <c r="W665" s="3657"/>
      <c r="X665" s="3657" t="s">
        <v>4710</v>
      </c>
      <c r="Y665" s="3657" t="s">
        <v>4792</v>
      </c>
      <c r="Z665" s="3691"/>
      <c r="AA665" s="3620" t="s">
        <v>4793</v>
      </c>
      <c r="AB665" s="3691" t="s">
        <v>3076</v>
      </c>
      <c r="AC665" s="3691">
        <v>501.8674</v>
      </c>
      <c r="AD665" s="3691">
        <f t="shared" si="302"/>
        <v>3513.0718</v>
      </c>
      <c r="AE665" s="3645" t="s">
        <v>4804</v>
      </c>
      <c r="AF665" s="3664" t="s">
        <v>3078</v>
      </c>
      <c r="AG665" s="3645" t="s">
        <v>416</v>
      </c>
      <c r="AH665" s="4448"/>
      <c r="AI665" s="3691"/>
      <c r="AJ665" s="4082">
        <f t="shared" si="304"/>
        <v>2688</v>
      </c>
      <c r="AK665" s="4448"/>
      <c r="AL665" s="3664"/>
      <c r="AM665" s="3664"/>
      <c r="AN665" s="3691"/>
      <c r="AO665" s="3691"/>
      <c r="AP665" s="4082">
        <f t="shared" si="303"/>
        <v>2688</v>
      </c>
      <c r="AQ665" s="4089"/>
      <c r="AR665" s="4411"/>
      <c r="AS665" s="4495">
        <f t="shared" si="299"/>
        <v>2688</v>
      </c>
      <c r="AT665" s="4411"/>
      <c r="AU665" s="4089"/>
      <c r="AV665" s="4089"/>
      <c r="AW665" s="4089"/>
      <c r="AX665" s="4089"/>
      <c r="AY665" s="4089"/>
      <c r="AZ665" s="4089"/>
      <c r="BA665" s="4089"/>
      <c r="BB665" s="4495">
        <f t="shared" si="305"/>
        <v>1344</v>
      </c>
      <c r="BC665" s="4089"/>
      <c r="BD665" s="4089"/>
      <c r="BE665" s="4089"/>
      <c r="BF665" s="4089" t="s">
        <v>682</v>
      </c>
      <c r="BG665" s="4089"/>
      <c r="BH665" s="4495">
        <f t="shared" si="287"/>
        <v>448</v>
      </c>
      <c r="BI665" s="4495">
        <f t="shared" si="288"/>
        <v>448</v>
      </c>
      <c r="BJ665" s="4495">
        <f t="shared" si="289"/>
        <v>448</v>
      </c>
      <c r="BK665" s="4495">
        <f t="shared" si="290"/>
        <v>448</v>
      </c>
      <c r="BL665" s="4495">
        <f t="shared" si="291"/>
        <v>448</v>
      </c>
      <c r="BM665" s="4495">
        <f t="shared" si="292"/>
        <v>358.4</v>
      </c>
      <c r="BN665" s="4495">
        <f t="shared" si="293"/>
        <v>89.6</v>
      </c>
      <c r="BO665" s="4411"/>
      <c r="BP665" s="4411"/>
      <c r="BQ665" s="4411"/>
      <c r="BR665" s="4411"/>
      <c r="BS665" s="4411"/>
      <c r="BT665" s="4453"/>
      <c r="BU665" s="4454"/>
      <c r="BV665" s="4496">
        <f t="shared" si="279"/>
        <v>2688</v>
      </c>
      <c r="BW665" s="4497">
        <f t="shared" si="298"/>
        <v>0</v>
      </c>
      <c r="BX665" s="4387"/>
      <c r="BY665" s="4387"/>
      <c r="BZ665" s="4387"/>
      <c r="CA665" s="4388"/>
      <c r="CC665" s="4389"/>
      <c r="CD665" s="4388"/>
    </row>
    <row r="666" s="4025" customFormat="1" ht="50" customHeight="1" spans="1:82">
      <c r="A666" s="3688">
        <v>45887</v>
      </c>
      <c r="B666" s="3689" t="s">
        <v>3495</v>
      </c>
      <c r="C666" s="3664" t="s">
        <v>91</v>
      </c>
      <c r="D666" s="3690">
        <v>4500177190</v>
      </c>
      <c r="E666" s="5456" t="s">
        <v>4805</v>
      </c>
      <c r="F666" s="3690" t="s">
        <v>4806</v>
      </c>
      <c r="G666" s="3664" t="s">
        <v>3068</v>
      </c>
      <c r="H666" s="3664" t="s">
        <v>3069</v>
      </c>
      <c r="I666" s="3691">
        <v>1536</v>
      </c>
      <c r="J666" s="3691">
        <v>0</v>
      </c>
      <c r="K666" s="3691">
        <v>384</v>
      </c>
      <c r="L666" s="3691">
        <f t="shared" si="286"/>
        <v>4</v>
      </c>
      <c r="M666" s="3659">
        <v>45918</v>
      </c>
      <c r="N666" s="3659">
        <v>45915</v>
      </c>
      <c r="O666" s="3664" t="s">
        <v>4791</v>
      </c>
      <c r="P666" s="3682" t="s">
        <v>82</v>
      </c>
      <c r="Q666" s="3682"/>
      <c r="R666" s="4083"/>
      <c r="S666" s="4083"/>
      <c r="T666" s="4083"/>
      <c r="U666" s="3645" t="s">
        <v>4807</v>
      </c>
      <c r="V666" s="3649" t="s">
        <v>4620</v>
      </c>
      <c r="W666" s="3657"/>
      <c r="X666" s="3657" t="s">
        <v>4710</v>
      </c>
      <c r="Y666" s="3657" t="s">
        <v>4792</v>
      </c>
      <c r="Z666" s="3691"/>
      <c r="AA666" s="3620" t="s">
        <v>4793</v>
      </c>
      <c r="AB666" s="3691" t="s">
        <v>3076</v>
      </c>
      <c r="AC666" s="3691">
        <v>501.8675</v>
      </c>
      <c r="AD666" s="3691">
        <f t="shared" si="302"/>
        <v>2007.47</v>
      </c>
      <c r="AE666" s="3645" t="s">
        <v>4808</v>
      </c>
      <c r="AF666" s="3664" t="s">
        <v>3078</v>
      </c>
      <c r="AG666" s="3645" t="s">
        <v>416</v>
      </c>
      <c r="AH666" s="4448"/>
      <c r="AI666" s="3691"/>
      <c r="AJ666" s="4082">
        <f t="shared" si="304"/>
        <v>1536</v>
      </c>
      <c r="AK666" s="4448"/>
      <c r="AL666" s="3664"/>
      <c r="AM666" s="3664"/>
      <c r="AN666" s="3691"/>
      <c r="AO666" s="3691"/>
      <c r="AP666" s="4082">
        <f t="shared" si="303"/>
        <v>1536</v>
      </c>
      <c r="AQ666" s="4089"/>
      <c r="AR666" s="4411"/>
      <c r="AS666" s="4495">
        <f t="shared" si="299"/>
        <v>1536</v>
      </c>
      <c r="AT666" s="4411"/>
      <c r="AU666" s="4089"/>
      <c r="AV666" s="4089"/>
      <c r="AW666" s="4089"/>
      <c r="AX666" s="4089"/>
      <c r="AY666" s="4089"/>
      <c r="AZ666" s="4089"/>
      <c r="BA666" s="4089"/>
      <c r="BB666" s="4495">
        <f t="shared" si="305"/>
        <v>768</v>
      </c>
      <c r="BC666" s="4089"/>
      <c r="BD666" s="4089"/>
      <c r="BE666" s="4089"/>
      <c r="BF666" s="4089" t="s">
        <v>682</v>
      </c>
      <c r="BG666" s="4089"/>
      <c r="BH666" s="4495">
        <f t="shared" si="287"/>
        <v>256</v>
      </c>
      <c r="BI666" s="4495">
        <f t="shared" si="288"/>
        <v>256</v>
      </c>
      <c r="BJ666" s="4495">
        <f t="shared" si="289"/>
        <v>256</v>
      </c>
      <c r="BK666" s="4495">
        <f t="shared" si="290"/>
        <v>256</v>
      </c>
      <c r="BL666" s="4495">
        <f t="shared" si="291"/>
        <v>256</v>
      </c>
      <c r="BM666" s="4495">
        <f t="shared" si="292"/>
        <v>204.8</v>
      </c>
      <c r="BN666" s="4495">
        <f t="shared" si="293"/>
        <v>51.2</v>
      </c>
      <c r="BO666" s="4411"/>
      <c r="BP666" s="4411"/>
      <c r="BQ666" s="4411"/>
      <c r="BR666" s="4411"/>
      <c r="BS666" s="4411"/>
      <c r="BT666" s="4453"/>
      <c r="BU666" s="4454"/>
      <c r="BV666" s="4496">
        <f t="shared" si="279"/>
        <v>1536</v>
      </c>
      <c r="BW666" s="4497">
        <f t="shared" si="298"/>
        <v>0</v>
      </c>
      <c r="BX666" s="4387"/>
      <c r="BY666" s="4387"/>
      <c r="BZ666" s="4387"/>
      <c r="CA666" s="4388"/>
      <c r="CC666" s="4389"/>
      <c r="CD666" s="4388"/>
    </row>
    <row r="667" s="4025" customFormat="1" ht="50" customHeight="1" spans="1:82">
      <c r="A667" s="3688">
        <v>45887</v>
      </c>
      <c r="B667" s="3689" t="s">
        <v>3495</v>
      </c>
      <c r="C667" s="3664" t="s">
        <v>91</v>
      </c>
      <c r="D667" s="3690">
        <v>4500177190</v>
      </c>
      <c r="E667" s="5456" t="s">
        <v>4809</v>
      </c>
      <c r="F667" s="3690" t="s">
        <v>4810</v>
      </c>
      <c r="G667" s="3664" t="s">
        <v>3068</v>
      </c>
      <c r="H667" s="3664" t="s">
        <v>3069</v>
      </c>
      <c r="I667" s="3691">
        <v>1152</v>
      </c>
      <c r="J667" s="3691">
        <v>0</v>
      </c>
      <c r="K667" s="3691">
        <v>384</v>
      </c>
      <c r="L667" s="3691">
        <f t="shared" si="286"/>
        <v>3</v>
      </c>
      <c r="M667" s="3659">
        <v>45918</v>
      </c>
      <c r="N667" s="3659">
        <v>45915</v>
      </c>
      <c r="O667" s="3664" t="s">
        <v>4791</v>
      </c>
      <c r="P667" s="3682" t="s">
        <v>82</v>
      </c>
      <c r="Q667" s="3682"/>
      <c r="R667" s="4083"/>
      <c r="S667" s="4083"/>
      <c r="T667" s="4083"/>
      <c r="U667" s="3645" t="s">
        <v>254</v>
      </c>
      <c r="V667" s="3649" t="s">
        <v>4620</v>
      </c>
      <c r="W667" s="3657"/>
      <c r="X667" s="3657" t="s">
        <v>4710</v>
      </c>
      <c r="Y667" s="3657" t="s">
        <v>4792</v>
      </c>
      <c r="Z667" s="3691"/>
      <c r="AA667" s="3620" t="s">
        <v>4793</v>
      </c>
      <c r="AB667" s="3691" t="s">
        <v>3076</v>
      </c>
      <c r="AC667" s="3691">
        <v>501.8667</v>
      </c>
      <c r="AD667" s="3691">
        <f t="shared" si="302"/>
        <v>1505.6001</v>
      </c>
      <c r="AE667" s="3645" t="s">
        <v>4811</v>
      </c>
      <c r="AF667" s="3664" t="s">
        <v>3078</v>
      </c>
      <c r="AG667" s="3645" t="s">
        <v>416</v>
      </c>
      <c r="AH667" s="4448"/>
      <c r="AI667" s="3691"/>
      <c r="AJ667" s="4082">
        <f t="shared" si="304"/>
        <v>1152</v>
      </c>
      <c r="AK667" s="4448"/>
      <c r="AL667" s="3664"/>
      <c r="AM667" s="3664"/>
      <c r="AN667" s="3691"/>
      <c r="AO667" s="3691"/>
      <c r="AP667" s="4082">
        <f t="shared" si="303"/>
        <v>1152</v>
      </c>
      <c r="AQ667" s="4089"/>
      <c r="AR667" s="4411"/>
      <c r="AS667" s="4495">
        <f t="shared" si="299"/>
        <v>1152</v>
      </c>
      <c r="AT667" s="4411"/>
      <c r="AU667" s="4089"/>
      <c r="AV667" s="4089"/>
      <c r="AW667" s="4089"/>
      <c r="AX667" s="4089"/>
      <c r="AY667" s="4089"/>
      <c r="AZ667" s="4089"/>
      <c r="BA667" s="4089"/>
      <c r="BB667" s="4495">
        <f t="shared" si="305"/>
        <v>576</v>
      </c>
      <c r="BC667" s="4089"/>
      <c r="BD667" s="4089"/>
      <c r="BE667" s="4089"/>
      <c r="BF667" s="4089" t="s">
        <v>682</v>
      </c>
      <c r="BG667" s="4089"/>
      <c r="BH667" s="4495">
        <f t="shared" si="287"/>
        <v>192</v>
      </c>
      <c r="BI667" s="4495">
        <f t="shared" si="288"/>
        <v>192</v>
      </c>
      <c r="BJ667" s="4495">
        <f t="shared" si="289"/>
        <v>192</v>
      </c>
      <c r="BK667" s="4495">
        <f t="shared" si="290"/>
        <v>192</v>
      </c>
      <c r="BL667" s="4495">
        <f t="shared" si="291"/>
        <v>192</v>
      </c>
      <c r="BM667" s="4495">
        <f t="shared" si="292"/>
        <v>153.6</v>
      </c>
      <c r="BN667" s="4495">
        <f t="shared" si="293"/>
        <v>38.4</v>
      </c>
      <c r="BO667" s="4411"/>
      <c r="BP667" s="4411"/>
      <c r="BQ667" s="4411"/>
      <c r="BR667" s="4411"/>
      <c r="BS667" s="4411"/>
      <c r="BT667" s="4453"/>
      <c r="BU667" s="4454"/>
      <c r="BV667" s="4496">
        <f t="shared" si="279"/>
        <v>1152</v>
      </c>
      <c r="BW667" s="4497">
        <f t="shared" si="298"/>
        <v>0</v>
      </c>
      <c r="BX667" s="4387"/>
      <c r="BY667" s="4387"/>
      <c r="BZ667" s="4387"/>
      <c r="CA667" s="4388"/>
      <c r="CC667" s="4389"/>
      <c r="CD667" s="4388"/>
    </row>
    <row r="668" s="4025" customFormat="1" ht="50" customHeight="1" spans="1:82">
      <c r="A668" s="3688">
        <v>45887</v>
      </c>
      <c r="B668" s="3689" t="s">
        <v>3495</v>
      </c>
      <c r="C668" s="3664" t="s">
        <v>91</v>
      </c>
      <c r="D668" s="3690">
        <v>4500177190</v>
      </c>
      <c r="E668" s="5456" t="s">
        <v>4812</v>
      </c>
      <c r="F668" s="3690" t="s">
        <v>4813</v>
      </c>
      <c r="G668" s="3664" t="s">
        <v>3068</v>
      </c>
      <c r="H668" s="3664" t="s">
        <v>3069</v>
      </c>
      <c r="I668" s="3691">
        <v>1920</v>
      </c>
      <c r="J668" s="3691">
        <v>0</v>
      </c>
      <c r="K668" s="3691">
        <v>384</v>
      </c>
      <c r="L668" s="3691">
        <f t="shared" si="286"/>
        <v>5</v>
      </c>
      <c r="M668" s="3659">
        <v>45918</v>
      </c>
      <c r="N668" s="3659">
        <v>45915</v>
      </c>
      <c r="O668" s="3664" t="s">
        <v>4791</v>
      </c>
      <c r="P668" s="3682" t="s">
        <v>82</v>
      </c>
      <c r="Q668" s="3682"/>
      <c r="R668" s="4083"/>
      <c r="S668" s="4083"/>
      <c r="T668" s="4083"/>
      <c r="U668" s="3645" t="s">
        <v>254</v>
      </c>
      <c r="V668" s="3657" t="s">
        <v>4620</v>
      </c>
      <c r="W668" s="3657"/>
      <c r="X668" s="3657" t="s">
        <v>4710</v>
      </c>
      <c r="Y668" s="3657" t="s">
        <v>4792</v>
      </c>
      <c r="Z668" s="3691"/>
      <c r="AA668" s="3620" t="s">
        <v>4793</v>
      </c>
      <c r="AB668" s="3691" t="s">
        <v>3076</v>
      </c>
      <c r="AC668" s="4087">
        <v>501.868</v>
      </c>
      <c r="AD668" s="3691">
        <f t="shared" si="302"/>
        <v>2509.34</v>
      </c>
      <c r="AE668" s="3645" t="s">
        <v>4814</v>
      </c>
      <c r="AF668" s="3664" t="s">
        <v>3078</v>
      </c>
      <c r="AG668" s="3645" t="s">
        <v>416</v>
      </c>
      <c r="AH668" s="4448"/>
      <c r="AI668" s="3691"/>
      <c r="AJ668" s="4082">
        <f t="shared" si="304"/>
        <v>1920</v>
      </c>
      <c r="AK668" s="4448"/>
      <c r="AL668" s="3664"/>
      <c r="AM668" s="3664"/>
      <c r="AN668" s="3691"/>
      <c r="AO668" s="3691"/>
      <c r="AP668" s="4082">
        <f t="shared" si="303"/>
        <v>1920</v>
      </c>
      <c r="AQ668" s="4089"/>
      <c r="AR668" s="4411"/>
      <c r="AS668" s="4495">
        <f t="shared" si="299"/>
        <v>1920</v>
      </c>
      <c r="AT668" s="4411"/>
      <c r="AU668" s="4089"/>
      <c r="AV668" s="4089"/>
      <c r="AW668" s="4089"/>
      <c r="AX668" s="4089"/>
      <c r="AY668" s="4089"/>
      <c r="AZ668" s="4089"/>
      <c r="BA668" s="4089"/>
      <c r="BB668" s="4495">
        <f t="shared" si="305"/>
        <v>960</v>
      </c>
      <c r="BC668" s="4089"/>
      <c r="BD668" s="4089"/>
      <c r="BE668" s="4089"/>
      <c r="BF668" s="4089" t="s">
        <v>682</v>
      </c>
      <c r="BG668" s="4089"/>
      <c r="BH668" s="4495">
        <f t="shared" si="287"/>
        <v>320</v>
      </c>
      <c r="BI668" s="4495">
        <f t="shared" si="288"/>
        <v>320</v>
      </c>
      <c r="BJ668" s="4495">
        <f t="shared" si="289"/>
        <v>320</v>
      </c>
      <c r="BK668" s="4495">
        <f t="shared" si="290"/>
        <v>320</v>
      </c>
      <c r="BL668" s="4495">
        <f t="shared" si="291"/>
        <v>320</v>
      </c>
      <c r="BM668" s="4495">
        <f t="shared" si="292"/>
        <v>256</v>
      </c>
      <c r="BN668" s="4495">
        <f t="shared" si="293"/>
        <v>64</v>
      </c>
      <c r="BO668" s="4411"/>
      <c r="BP668" s="4411"/>
      <c r="BQ668" s="4411"/>
      <c r="BR668" s="4411"/>
      <c r="BS668" s="4411"/>
      <c r="BT668" s="4453"/>
      <c r="BU668" s="4454"/>
      <c r="BV668" s="4496">
        <f t="shared" si="279"/>
        <v>1920</v>
      </c>
      <c r="BW668" s="4497">
        <f t="shared" si="298"/>
        <v>0</v>
      </c>
      <c r="BX668" s="4387"/>
      <c r="BY668" s="4387"/>
      <c r="BZ668" s="4387"/>
      <c r="CA668" s="4388"/>
      <c r="CC668" s="4389"/>
      <c r="CD668" s="4388"/>
    </row>
    <row r="669" s="4312" customFormat="1" ht="50" customHeight="1" spans="1:82">
      <c r="A669" s="3688">
        <v>45789</v>
      </c>
      <c r="B669" s="3689" t="s">
        <v>4815</v>
      </c>
      <c r="C669" s="3664" t="s">
        <v>91</v>
      </c>
      <c r="D669" s="3690">
        <v>4500164352</v>
      </c>
      <c r="E669" s="3664" t="s">
        <v>4816</v>
      </c>
      <c r="F669" s="3690" t="s">
        <v>4817</v>
      </c>
      <c r="G669" s="3664" t="s">
        <v>2608</v>
      </c>
      <c r="H669" s="3664" t="s">
        <v>2609</v>
      </c>
      <c r="I669" s="3691">
        <v>33684</v>
      </c>
      <c r="J669" s="3691">
        <v>0</v>
      </c>
      <c r="K669" s="3691">
        <v>6</v>
      </c>
      <c r="L669" s="3691">
        <f t="shared" si="286"/>
        <v>5614</v>
      </c>
      <c r="M669" s="3659">
        <v>45918</v>
      </c>
      <c r="N669" s="3659">
        <v>45915</v>
      </c>
      <c r="O669" s="3664" t="s">
        <v>4791</v>
      </c>
      <c r="P669" s="3682" t="s">
        <v>82</v>
      </c>
      <c r="Q669" s="4488"/>
      <c r="R669" s="4489"/>
      <c r="S669" s="4489"/>
      <c r="T669" s="4489"/>
      <c r="U669" s="3701" t="s">
        <v>256</v>
      </c>
      <c r="V669" s="3649" t="s">
        <v>4154</v>
      </c>
      <c r="W669" s="3657"/>
      <c r="X669" s="3657" t="s">
        <v>98</v>
      </c>
      <c r="Y669" s="3657" t="s">
        <v>4818</v>
      </c>
      <c r="Z669" s="3661" t="s">
        <v>4819</v>
      </c>
      <c r="AA669" s="3620" t="s">
        <v>4820</v>
      </c>
      <c r="AB669" s="3691" t="s">
        <v>4158</v>
      </c>
      <c r="AC669" s="4087">
        <v>2.0308</v>
      </c>
      <c r="AD669" s="3691">
        <f t="shared" ref="AD669:AD689" si="306">AC669*I669</f>
        <v>68405.4672</v>
      </c>
      <c r="AE669" s="4498" t="s">
        <v>4821</v>
      </c>
      <c r="AF669" s="3664" t="s">
        <v>2608</v>
      </c>
      <c r="AG669" s="3645" t="s">
        <v>416</v>
      </c>
      <c r="AH669" s="4430"/>
      <c r="AI669" s="3691"/>
      <c r="AJ669" s="3691"/>
      <c r="AK669" s="4430"/>
      <c r="AL669" s="3664"/>
      <c r="AM669" s="3664"/>
      <c r="AN669" s="3691">
        <f>I669</f>
        <v>33684</v>
      </c>
      <c r="AO669" s="4499">
        <f>I669</f>
        <v>33684</v>
      </c>
      <c r="AP669" s="3691"/>
      <c r="AQ669" s="4089"/>
      <c r="AR669" s="4413"/>
      <c r="AS669" s="4486">
        <f t="shared" si="299"/>
        <v>33684</v>
      </c>
      <c r="AT669" s="4413"/>
      <c r="AU669" s="4089"/>
      <c r="AV669" s="4089"/>
      <c r="AW669" s="4089"/>
      <c r="AX669" s="4089"/>
      <c r="AY669" s="4089"/>
      <c r="AZ669" s="4089"/>
      <c r="BA669" s="4089"/>
      <c r="BB669" s="4089"/>
      <c r="BC669" s="4089"/>
      <c r="BD669" s="4089"/>
      <c r="BE669" s="4089"/>
      <c r="BF669" s="4089" t="s">
        <v>89</v>
      </c>
      <c r="BG669" s="4089"/>
      <c r="BH669" s="4089">
        <f t="shared" si="287"/>
        <v>5614</v>
      </c>
      <c r="BI669" s="4089">
        <f t="shared" si="288"/>
        <v>5614</v>
      </c>
      <c r="BJ669" s="4089">
        <f t="shared" si="289"/>
        <v>5614</v>
      </c>
      <c r="BK669" s="4403">
        <f t="shared" si="290"/>
        <v>5614</v>
      </c>
      <c r="BL669" s="4385">
        <f t="shared" si="291"/>
        <v>5614</v>
      </c>
      <c r="BM669" s="4403">
        <f t="shared" si="292"/>
        <v>4491.2</v>
      </c>
      <c r="BN669" s="4089">
        <f t="shared" si="293"/>
        <v>1122.8</v>
      </c>
      <c r="BO669" s="4413"/>
      <c r="BP669" s="4413"/>
      <c r="BQ669" s="4413"/>
      <c r="BR669" s="4413"/>
      <c r="BS669" s="4413"/>
      <c r="BT669" s="4431"/>
      <c r="BU669" s="4432"/>
      <c r="BV669" s="4385">
        <f t="shared" si="279"/>
        <v>33684</v>
      </c>
      <c r="BW669" s="4386">
        <f t="shared" si="298"/>
        <v>0</v>
      </c>
      <c r="BX669" s="4387"/>
      <c r="BY669" s="4387"/>
      <c r="BZ669" s="4387"/>
      <c r="CA669" s="4391" t="str">
        <f>VLOOKUP(D669&amp;G669&amp;H669&amp;I669,'9298 版本变更明细'!C:AJ,34,FALSE)</f>
        <v>全套新包装</v>
      </c>
      <c r="CB669" s="4391" t="s">
        <v>4411</v>
      </c>
      <c r="CC669" s="4392" t="s">
        <v>4612</v>
      </c>
      <c r="CD669" s="4391" t="e">
        <v>#N/A</v>
      </c>
    </row>
    <row r="670" s="4025" customFormat="1" ht="50" customHeight="1" spans="1:82">
      <c r="A670" s="3688">
        <v>45839</v>
      </c>
      <c r="B670" s="3689" t="s">
        <v>407</v>
      </c>
      <c r="C670" s="3664" t="s">
        <v>91</v>
      </c>
      <c r="D670" s="3690">
        <v>4500172208</v>
      </c>
      <c r="E670" s="3664" t="s">
        <v>4822</v>
      </c>
      <c r="F670" s="3690" t="s">
        <v>4823</v>
      </c>
      <c r="G670" s="3664" t="s">
        <v>2627</v>
      </c>
      <c r="H670" s="3691" t="s">
        <v>2591</v>
      </c>
      <c r="I670" s="3691">
        <v>4608</v>
      </c>
      <c r="J670" s="3691">
        <v>0</v>
      </c>
      <c r="K670" s="3691">
        <v>24</v>
      </c>
      <c r="L670" s="3691">
        <f t="shared" si="286"/>
        <v>192</v>
      </c>
      <c r="M670" s="3659">
        <v>45919</v>
      </c>
      <c r="N670" s="3659">
        <v>45915</v>
      </c>
      <c r="O670" s="4085"/>
      <c r="P670" s="3682" t="s">
        <v>82</v>
      </c>
      <c r="Q670" s="3682"/>
      <c r="R670" s="4083"/>
      <c r="S670" s="4083"/>
      <c r="T670" s="4083"/>
      <c r="U670" s="3645" t="s">
        <v>1965</v>
      </c>
      <c r="V670" s="3649" t="s">
        <v>1895</v>
      </c>
      <c r="W670" s="3622"/>
      <c r="X670" s="3657" t="s">
        <v>98</v>
      </c>
      <c r="Y670" s="3657" t="s">
        <v>1885</v>
      </c>
      <c r="Z670" s="3691"/>
      <c r="AA670" s="3620" t="s">
        <v>1621</v>
      </c>
      <c r="AB670" s="3691" t="s">
        <v>393</v>
      </c>
      <c r="AC670" s="3691">
        <v>1.2197</v>
      </c>
      <c r="AD670" s="3691">
        <f t="shared" si="306"/>
        <v>5620.3776</v>
      </c>
      <c r="AE670" s="3645" t="s">
        <v>4824</v>
      </c>
      <c r="AF670" s="3664" t="s">
        <v>2627</v>
      </c>
      <c r="AG670" s="3645" t="s">
        <v>416</v>
      </c>
      <c r="AH670" s="4448"/>
      <c r="AI670" s="3691"/>
      <c r="AJ670" s="3691">
        <f>I670</f>
        <v>4608</v>
      </c>
      <c r="AK670" s="4448"/>
      <c r="AL670" s="3664"/>
      <c r="AM670" s="3664"/>
      <c r="AN670" s="3691"/>
      <c r="AO670" s="3691"/>
      <c r="AP670" s="3691">
        <f t="shared" ref="AP670:AP713" si="307">I670</f>
        <v>4608</v>
      </c>
      <c r="AQ670" s="4089"/>
      <c r="AR670" s="4411"/>
      <c r="AS670" s="4089">
        <f t="shared" si="299"/>
        <v>4608</v>
      </c>
      <c r="AT670" s="4411"/>
      <c r="AU670" s="4089"/>
      <c r="AV670" s="4089"/>
      <c r="AW670" s="4089"/>
      <c r="AX670" s="4089"/>
      <c r="AY670" s="4089"/>
      <c r="AZ670" s="4089"/>
      <c r="BA670" s="4089"/>
      <c r="BB670" s="4089"/>
      <c r="BC670" s="4089"/>
      <c r="BD670" s="4089"/>
      <c r="BE670" s="4089"/>
      <c r="BF670" s="4089" t="s">
        <v>89</v>
      </c>
      <c r="BG670" s="4089"/>
      <c r="BH670" s="4089">
        <f t="shared" si="287"/>
        <v>768</v>
      </c>
      <c r="BI670" s="4089">
        <f t="shared" si="288"/>
        <v>768</v>
      </c>
      <c r="BJ670" s="4089">
        <f t="shared" si="289"/>
        <v>768</v>
      </c>
      <c r="BK670" s="4089">
        <f t="shared" si="290"/>
        <v>768</v>
      </c>
      <c r="BL670" s="4089">
        <f t="shared" si="291"/>
        <v>768</v>
      </c>
      <c r="BM670" s="4089">
        <f t="shared" si="292"/>
        <v>614.4</v>
      </c>
      <c r="BN670" s="4089">
        <f t="shared" si="293"/>
        <v>153.6</v>
      </c>
      <c r="BO670" s="4411"/>
      <c r="BP670" s="4411"/>
      <c r="BQ670" s="4411"/>
      <c r="BR670" s="4411"/>
      <c r="BS670" s="4411"/>
      <c r="BT670" s="4453"/>
      <c r="BU670" s="4454"/>
      <c r="BV670" s="4385">
        <f t="shared" si="279"/>
        <v>4608</v>
      </c>
      <c r="BW670" s="4386">
        <f t="shared" si="298"/>
        <v>0</v>
      </c>
      <c r="BX670" s="4387"/>
      <c r="BY670" s="4387"/>
      <c r="BZ670" s="4387"/>
      <c r="CA670" s="4391"/>
      <c r="CC670" s="4392" t="s">
        <v>4612</v>
      </c>
      <c r="CD670" s="4391" t="e">
        <v>#N/A</v>
      </c>
    </row>
    <row r="671" s="4025" customFormat="1" ht="50" customHeight="1" spans="1:82">
      <c r="A671" s="3688">
        <v>45883</v>
      </c>
      <c r="B671" s="3689" t="s">
        <v>3715</v>
      </c>
      <c r="C671" s="3664" t="s">
        <v>1279</v>
      </c>
      <c r="D671" s="3690">
        <v>4500176886</v>
      </c>
      <c r="E671" s="3664"/>
      <c r="F671" s="3690" t="s">
        <v>4825</v>
      </c>
      <c r="G671" s="3664" t="s">
        <v>3614</v>
      </c>
      <c r="H671" s="3664" t="s">
        <v>2591</v>
      </c>
      <c r="I671" s="3691">
        <v>480</v>
      </c>
      <c r="J671" s="3691">
        <v>0</v>
      </c>
      <c r="K671" s="3691">
        <v>6</v>
      </c>
      <c r="L671" s="3691">
        <f t="shared" si="286"/>
        <v>80</v>
      </c>
      <c r="M671" s="3659">
        <v>45919</v>
      </c>
      <c r="N671" s="3659">
        <v>45915</v>
      </c>
      <c r="O671" s="4085"/>
      <c r="P671" s="3682" t="s">
        <v>82</v>
      </c>
      <c r="Q671" s="3682"/>
      <c r="R671" s="4083"/>
      <c r="S671" s="4083"/>
      <c r="T671" s="4083"/>
      <c r="U671" s="3645" t="s">
        <v>250</v>
      </c>
      <c r="V671" s="3649" t="s">
        <v>1985</v>
      </c>
      <c r="W671" s="3657"/>
      <c r="X671" s="3657" t="s">
        <v>4826</v>
      </c>
      <c r="Y671" s="3657"/>
      <c r="Z671" s="3691"/>
      <c r="AA671" s="3620" t="s">
        <v>4827</v>
      </c>
      <c r="AB671" s="3691" t="s">
        <v>3720</v>
      </c>
      <c r="AC671" s="3691">
        <v>2.1582</v>
      </c>
      <c r="AD671" s="3691">
        <f t="shared" si="306"/>
        <v>1035.936</v>
      </c>
      <c r="AE671" s="3645"/>
      <c r="AF671" s="3664" t="s">
        <v>3614</v>
      </c>
      <c r="AG671" s="3645" t="s">
        <v>416</v>
      </c>
      <c r="AH671" s="4430"/>
      <c r="AI671" s="3691"/>
      <c r="AJ671" s="3691"/>
      <c r="AK671" s="4430"/>
      <c r="AL671" s="3664"/>
      <c r="AM671" s="3664">
        <f>I671</f>
        <v>480</v>
      </c>
      <c r="AN671" s="3691"/>
      <c r="AO671" s="3691"/>
      <c r="AP671" s="3691">
        <f t="shared" si="307"/>
        <v>480</v>
      </c>
      <c r="AQ671" s="4089"/>
      <c r="AR671" s="4413"/>
      <c r="AS671" s="4089">
        <f t="shared" si="299"/>
        <v>480</v>
      </c>
      <c r="AT671" s="4413"/>
      <c r="AU671" s="4089"/>
      <c r="AV671" s="4089"/>
      <c r="AW671" s="4089">
        <f>I671/6</f>
        <v>80</v>
      </c>
      <c r="AX671" s="4089"/>
      <c r="AY671" s="4089"/>
      <c r="AZ671" s="4089"/>
      <c r="BA671" s="4089"/>
      <c r="BB671" s="4089"/>
      <c r="BC671" s="4089"/>
      <c r="BD671" s="4089"/>
      <c r="BE671" s="4089"/>
      <c r="BF671" s="4089" t="s">
        <v>89</v>
      </c>
      <c r="BG671" s="4089"/>
      <c r="BH671" s="4089">
        <f t="shared" si="287"/>
        <v>80</v>
      </c>
      <c r="BI671" s="4089">
        <f t="shared" si="288"/>
        <v>80</v>
      </c>
      <c r="BJ671" s="4089">
        <f t="shared" si="289"/>
        <v>80</v>
      </c>
      <c r="BK671" s="4089">
        <f t="shared" si="290"/>
        <v>80</v>
      </c>
      <c r="BL671" s="4089">
        <f t="shared" si="291"/>
        <v>80</v>
      </c>
      <c r="BM671" s="4089">
        <f t="shared" si="292"/>
        <v>64</v>
      </c>
      <c r="BN671" s="4089">
        <f t="shared" si="293"/>
        <v>16</v>
      </c>
      <c r="BO671" s="4413"/>
      <c r="BP671" s="4413"/>
      <c r="BQ671" s="4413"/>
      <c r="BR671" s="4413"/>
      <c r="BS671" s="4413"/>
      <c r="BT671" s="4431"/>
      <c r="BU671" s="4432"/>
      <c r="BV671" s="4385">
        <f t="shared" si="279"/>
        <v>480</v>
      </c>
      <c r="BW671" s="4386">
        <f t="shared" si="298"/>
        <v>0</v>
      </c>
      <c r="BX671" s="4387"/>
      <c r="BY671" s="4387"/>
      <c r="BZ671" s="4387"/>
      <c r="CA671" s="4391"/>
      <c r="CC671" s="4392"/>
      <c r="CD671" s="4391"/>
    </row>
    <row r="672" s="4025" customFormat="1" ht="50" customHeight="1" spans="1:82">
      <c r="A672" s="3688">
        <v>45883</v>
      </c>
      <c r="B672" s="3689" t="s">
        <v>1172</v>
      </c>
      <c r="C672" s="3664" t="s">
        <v>91</v>
      </c>
      <c r="D672" s="3690">
        <v>4500176907</v>
      </c>
      <c r="E672" s="3664" t="s">
        <v>1913</v>
      </c>
      <c r="F672" s="3690" t="s">
        <v>4828</v>
      </c>
      <c r="G672" s="3664" t="s">
        <v>2577</v>
      </c>
      <c r="H672" s="3664" t="s">
        <v>2578</v>
      </c>
      <c r="I672" s="3691">
        <v>720</v>
      </c>
      <c r="J672" s="3691">
        <v>0</v>
      </c>
      <c r="K672" s="3691">
        <v>12</v>
      </c>
      <c r="L672" s="3691">
        <f t="shared" si="286"/>
        <v>60</v>
      </c>
      <c r="M672" s="3659">
        <v>45919</v>
      </c>
      <c r="N672" s="3659">
        <v>45915</v>
      </c>
      <c r="O672" s="4085"/>
      <c r="P672" s="3682" t="s">
        <v>82</v>
      </c>
      <c r="Q672" s="3682"/>
      <c r="R672" s="4083"/>
      <c r="S672" s="4083"/>
      <c r="T672" s="4083"/>
      <c r="U672" s="3645" t="s">
        <v>250</v>
      </c>
      <c r="V672" s="3649" t="s">
        <v>1915</v>
      </c>
      <c r="W672" s="3657"/>
      <c r="X672" s="3657" t="s">
        <v>98</v>
      </c>
      <c r="Y672" s="3657"/>
      <c r="Z672" s="3691"/>
      <c r="AA672" s="3620" t="s">
        <v>1916</v>
      </c>
      <c r="AB672" s="3691" t="s">
        <v>1917</v>
      </c>
      <c r="AC672" s="3691">
        <v>1.2863</v>
      </c>
      <c r="AD672" s="3691">
        <f t="shared" si="306"/>
        <v>926.136</v>
      </c>
      <c r="AE672" s="3645" t="s">
        <v>1918</v>
      </c>
      <c r="AF672" s="3664" t="s">
        <v>2577</v>
      </c>
      <c r="AG672" s="3645" t="s">
        <v>416</v>
      </c>
      <c r="AH672" s="4430"/>
      <c r="AI672" s="3691"/>
      <c r="AJ672" s="3691">
        <f t="shared" ref="AJ672:AJ684" si="308">I672</f>
        <v>720</v>
      </c>
      <c r="AK672" s="4430"/>
      <c r="AL672" s="3664"/>
      <c r="AM672" s="3664"/>
      <c r="AN672" s="3691"/>
      <c r="AO672" s="3691"/>
      <c r="AP672" s="3691">
        <f t="shared" si="307"/>
        <v>720</v>
      </c>
      <c r="AQ672" s="4089"/>
      <c r="AR672" s="4413"/>
      <c r="AS672" s="4089">
        <f t="shared" si="299"/>
        <v>720</v>
      </c>
      <c r="AT672" s="4413"/>
      <c r="AU672" s="4089"/>
      <c r="AV672" s="4089"/>
      <c r="AW672" s="4089">
        <f>I672/6</f>
        <v>120</v>
      </c>
      <c r="AX672" s="4089"/>
      <c r="AY672" s="4089"/>
      <c r="AZ672" s="4089"/>
      <c r="BA672" s="4089"/>
      <c r="BB672" s="4089"/>
      <c r="BC672" s="4089"/>
      <c r="BD672" s="4089"/>
      <c r="BE672" s="4089"/>
      <c r="BF672" s="4089" t="s">
        <v>89</v>
      </c>
      <c r="BG672" s="4089"/>
      <c r="BH672" s="4089">
        <f t="shared" si="287"/>
        <v>120</v>
      </c>
      <c r="BI672" s="4089">
        <f t="shared" si="288"/>
        <v>120</v>
      </c>
      <c r="BJ672" s="4089">
        <f t="shared" si="289"/>
        <v>120</v>
      </c>
      <c r="BK672" s="4089">
        <f t="shared" si="290"/>
        <v>120</v>
      </c>
      <c r="BL672" s="4089">
        <f t="shared" si="291"/>
        <v>120</v>
      </c>
      <c r="BM672" s="4089">
        <f t="shared" si="292"/>
        <v>96</v>
      </c>
      <c r="BN672" s="4089">
        <f t="shared" si="293"/>
        <v>24</v>
      </c>
      <c r="BO672" s="4413"/>
      <c r="BP672" s="4413"/>
      <c r="BQ672" s="4413"/>
      <c r="BR672" s="4413"/>
      <c r="BS672" s="4413"/>
      <c r="BT672" s="4431"/>
      <c r="BU672" s="4432"/>
      <c r="BV672" s="4385">
        <f t="shared" si="279"/>
        <v>720</v>
      </c>
      <c r="BW672" s="4386">
        <f t="shared" si="298"/>
        <v>0</v>
      </c>
      <c r="BX672" s="4387"/>
      <c r="BY672" s="4387"/>
      <c r="BZ672" s="4387"/>
      <c r="CA672" s="4391"/>
      <c r="CB672" s="4312"/>
      <c r="CC672" s="4392"/>
      <c r="CD672" s="4391"/>
    </row>
    <row r="673" s="4025" customFormat="1" ht="50" customHeight="1" spans="1:82">
      <c r="A673" s="3688">
        <v>45882</v>
      </c>
      <c r="B673" s="3689" t="s">
        <v>2732</v>
      </c>
      <c r="C673" s="3664" t="s">
        <v>840</v>
      </c>
      <c r="D673" s="3690">
        <v>4500176837</v>
      </c>
      <c r="E673" s="3664">
        <v>29145156</v>
      </c>
      <c r="F673" s="3690" t="s">
        <v>4829</v>
      </c>
      <c r="G673" s="3664" t="s">
        <v>2577</v>
      </c>
      <c r="H673" s="3664" t="s">
        <v>2578</v>
      </c>
      <c r="I673" s="3691">
        <v>1560</v>
      </c>
      <c r="J673" s="3691">
        <v>0</v>
      </c>
      <c r="K673" s="3691">
        <v>12</v>
      </c>
      <c r="L673" s="3691">
        <f t="shared" si="286"/>
        <v>130</v>
      </c>
      <c r="M673" s="3659">
        <v>45921</v>
      </c>
      <c r="N673" s="3659">
        <v>45917</v>
      </c>
      <c r="O673" s="3664"/>
      <c r="P673" s="3682" t="s">
        <v>82</v>
      </c>
      <c r="Q673" s="4488"/>
      <c r="R673" s="4489"/>
      <c r="S673" s="4489"/>
      <c r="T673" s="4489"/>
      <c r="U673" s="3701" t="s">
        <v>4830</v>
      </c>
      <c r="V673" s="3649" t="s">
        <v>1915</v>
      </c>
      <c r="W673" s="3657"/>
      <c r="X673" s="3657" t="s">
        <v>98</v>
      </c>
      <c r="Y673" s="3657"/>
      <c r="Z673" s="3661"/>
      <c r="AA673" s="3620" t="s">
        <v>4831</v>
      </c>
      <c r="AB673" s="3691" t="s">
        <v>4141</v>
      </c>
      <c r="AC673" s="3691">
        <v>2.1392</v>
      </c>
      <c r="AD673" s="3691">
        <f t="shared" si="306"/>
        <v>3337.152</v>
      </c>
      <c r="AE673" s="3645" t="s">
        <v>4832</v>
      </c>
      <c r="AF673" s="3664" t="s">
        <v>2577</v>
      </c>
      <c r="AG673" s="3645" t="s">
        <v>416</v>
      </c>
      <c r="AH673" s="4422"/>
      <c r="AI673" s="3691"/>
      <c r="AJ673" s="3691">
        <f t="shared" si="308"/>
        <v>1560</v>
      </c>
      <c r="AK673" s="4422"/>
      <c r="AL673" s="3664"/>
      <c r="AM673" s="3664"/>
      <c r="AN673" s="3691"/>
      <c r="AO673" s="3691"/>
      <c r="AP673" s="3691">
        <f t="shared" si="307"/>
        <v>1560</v>
      </c>
      <c r="AQ673" s="4089"/>
      <c r="AR673" s="907"/>
      <c r="AS673" s="4089">
        <f t="shared" si="299"/>
        <v>1560</v>
      </c>
      <c r="AT673" s="907"/>
      <c r="AU673" s="4089"/>
      <c r="AV673" s="4089"/>
      <c r="AW673" s="4089">
        <f>I673/6</f>
        <v>260</v>
      </c>
      <c r="AX673" s="4089"/>
      <c r="AY673" s="4089"/>
      <c r="AZ673" s="4089"/>
      <c r="BA673" s="4089"/>
      <c r="BB673" s="4089"/>
      <c r="BC673" s="4089"/>
      <c r="BD673" s="4089"/>
      <c r="BE673" s="4089"/>
      <c r="BF673" s="4089" t="s">
        <v>89</v>
      </c>
      <c r="BG673" s="4089"/>
      <c r="BH673" s="4089">
        <f t="shared" si="287"/>
        <v>260</v>
      </c>
      <c r="BI673" s="4089">
        <f t="shared" si="288"/>
        <v>260</v>
      </c>
      <c r="BJ673" s="4089">
        <f t="shared" si="289"/>
        <v>260</v>
      </c>
      <c r="BK673" s="4089">
        <f t="shared" si="290"/>
        <v>260</v>
      </c>
      <c r="BL673" s="4089">
        <f t="shared" si="291"/>
        <v>260</v>
      </c>
      <c r="BM673" s="4089">
        <f t="shared" si="292"/>
        <v>208</v>
      </c>
      <c r="BN673" s="4089">
        <f t="shared" si="293"/>
        <v>52</v>
      </c>
      <c r="BO673" s="907"/>
      <c r="BP673" s="907"/>
      <c r="BQ673" s="907"/>
      <c r="BR673" s="907"/>
      <c r="BS673" s="907"/>
      <c r="BT673" s="910"/>
      <c r="BU673" s="911"/>
      <c r="BV673" s="4385">
        <f t="shared" si="279"/>
        <v>1560</v>
      </c>
      <c r="BW673" s="4386">
        <f t="shared" si="298"/>
        <v>0</v>
      </c>
      <c r="BX673" s="4387"/>
      <c r="BY673" s="4387"/>
      <c r="BZ673" s="4387"/>
      <c r="CA673" s="4391"/>
      <c r="CB673" s="4388"/>
      <c r="CC673" s="4392"/>
      <c r="CD673" s="4391"/>
    </row>
    <row r="674" s="4025" customFormat="1" ht="50" customHeight="1" spans="1:82">
      <c r="A674" s="3688">
        <v>45882</v>
      </c>
      <c r="B674" s="3689" t="s">
        <v>2732</v>
      </c>
      <c r="C674" s="3664" t="s">
        <v>840</v>
      </c>
      <c r="D674" s="3690">
        <v>4500176837</v>
      </c>
      <c r="E674" s="3664" t="s">
        <v>4833</v>
      </c>
      <c r="F674" s="3690" t="s">
        <v>4834</v>
      </c>
      <c r="G674" s="3664" t="s">
        <v>2577</v>
      </c>
      <c r="H674" s="3664" t="s">
        <v>2578</v>
      </c>
      <c r="I674" s="3691">
        <v>840</v>
      </c>
      <c r="J674" s="3691">
        <v>0</v>
      </c>
      <c r="K674" s="3691">
        <v>12</v>
      </c>
      <c r="L674" s="3691">
        <f t="shared" si="286"/>
        <v>70</v>
      </c>
      <c r="M674" s="3659">
        <v>45921</v>
      </c>
      <c r="N674" s="3659">
        <v>45917</v>
      </c>
      <c r="O674" s="4085"/>
      <c r="P674" s="3682" t="s">
        <v>82</v>
      </c>
      <c r="Q674" s="3682"/>
      <c r="R674" s="4083"/>
      <c r="S674" s="4083"/>
      <c r="T674" s="4083"/>
      <c r="U674" s="3645"/>
      <c r="V674" s="3649" t="s">
        <v>1915</v>
      </c>
      <c r="W674" s="3657"/>
      <c r="X674" s="3657" t="s">
        <v>98</v>
      </c>
      <c r="Y674" s="3657"/>
      <c r="Z674" s="3691"/>
      <c r="AA674" s="3620" t="s">
        <v>4831</v>
      </c>
      <c r="AB674" s="3691" t="s">
        <v>4141</v>
      </c>
      <c r="AC674" s="3691">
        <v>1.1438</v>
      </c>
      <c r="AD674" s="3691">
        <f t="shared" si="306"/>
        <v>960.792</v>
      </c>
      <c r="AE674" s="3645" t="s">
        <v>4832</v>
      </c>
      <c r="AF674" s="3664" t="s">
        <v>2577</v>
      </c>
      <c r="AG674" s="3645" t="s">
        <v>416</v>
      </c>
      <c r="AH674" s="4422"/>
      <c r="AI674" s="3691"/>
      <c r="AJ674" s="3691">
        <f t="shared" si="308"/>
        <v>840</v>
      </c>
      <c r="AK674" s="4422"/>
      <c r="AL674" s="3664"/>
      <c r="AM674" s="3664"/>
      <c r="AN674" s="3691"/>
      <c r="AO674" s="3691"/>
      <c r="AP674" s="3691">
        <f t="shared" si="307"/>
        <v>840</v>
      </c>
      <c r="AQ674" s="4089"/>
      <c r="AR674" s="907"/>
      <c r="AS674" s="4089">
        <f t="shared" si="299"/>
        <v>840</v>
      </c>
      <c r="AT674" s="907"/>
      <c r="AU674" s="4089"/>
      <c r="AV674" s="4089"/>
      <c r="AW674" s="4089">
        <f>I674/6</f>
        <v>140</v>
      </c>
      <c r="AX674" s="4089"/>
      <c r="AY674" s="4089"/>
      <c r="AZ674" s="4089"/>
      <c r="BA674" s="4089"/>
      <c r="BB674" s="4089"/>
      <c r="BC674" s="4089"/>
      <c r="BD674" s="4089"/>
      <c r="BE674" s="4089"/>
      <c r="BF674" s="4089" t="s">
        <v>89</v>
      </c>
      <c r="BG674" s="4089"/>
      <c r="BH674" s="4089">
        <f t="shared" si="287"/>
        <v>140</v>
      </c>
      <c r="BI674" s="4089">
        <f t="shared" si="288"/>
        <v>140</v>
      </c>
      <c r="BJ674" s="4089">
        <f t="shared" si="289"/>
        <v>140</v>
      </c>
      <c r="BK674" s="4089">
        <f t="shared" si="290"/>
        <v>140</v>
      </c>
      <c r="BL674" s="4089">
        <f t="shared" si="291"/>
        <v>140</v>
      </c>
      <c r="BM674" s="4089">
        <f t="shared" si="292"/>
        <v>112</v>
      </c>
      <c r="BN674" s="4089">
        <f t="shared" si="293"/>
        <v>28</v>
      </c>
      <c r="BO674" s="907"/>
      <c r="BP674" s="907"/>
      <c r="BQ674" s="907"/>
      <c r="BR674" s="907"/>
      <c r="BS674" s="907"/>
      <c r="BT674" s="910"/>
      <c r="BU674" s="911"/>
      <c r="BV674" s="4385">
        <f t="shared" si="279"/>
        <v>840</v>
      </c>
      <c r="BW674" s="4386">
        <f t="shared" si="298"/>
        <v>0</v>
      </c>
      <c r="BX674" s="4387"/>
      <c r="BY674" s="4387"/>
      <c r="BZ674" s="4387"/>
      <c r="CA674" s="4391"/>
      <c r="CB674" s="4312"/>
      <c r="CC674" s="4392"/>
      <c r="CD674" s="4391"/>
    </row>
    <row r="675" s="4025" customFormat="1" ht="50" customHeight="1" spans="1:82">
      <c r="A675" s="3688">
        <v>45888</v>
      </c>
      <c r="B675" s="3689" t="s">
        <v>3721</v>
      </c>
      <c r="C675" s="3664" t="s">
        <v>3722</v>
      </c>
      <c r="D675" s="3690">
        <v>4500177281</v>
      </c>
      <c r="E675" s="3664" t="s">
        <v>4835</v>
      </c>
      <c r="F675" s="3690" t="s">
        <v>4836</v>
      </c>
      <c r="G675" s="3664" t="s">
        <v>2806</v>
      </c>
      <c r="H675" s="3664" t="s">
        <v>2591</v>
      </c>
      <c r="I675" s="3691">
        <v>360</v>
      </c>
      <c r="J675" s="3691">
        <v>0</v>
      </c>
      <c r="K675" s="3691">
        <v>12</v>
      </c>
      <c r="L675" s="3691">
        <f t="shared" si="286"/>
        <v>30</v>
      </c>
      <c r="M675" s="3659">
        <v>45923</v>
      </c>
      <c r="N675" s="3659">
        <v>45919</v>
      </c>
      <c r="O675" s="4085"/>
      <c r="P675" s="3682" t="s">
        <v>82</v>
      </c>
      <c r="Q675" s="3682"/>
      <c r="R675" s="4083"/>
      <c r="S675" s="4083"/>
      <c r="T675" s="4083"/>
      <c r="U675" s="3645" t="s">
        <v>2001</v>
      </c>
      <c r="V675" s="3649" t="s">
        <v>2022</v>
      </c>
      <c r="W675" s="3657"/>
      <c r="X675" s="3657" t="s">
        <v>4837</v>
      </c>
      <c r="Y675" s="3657"/>
      <c r="Z675" s="3691"/>
      <c r="AA675" s="3620" t="s">
        <v>4838</v>
      </c>
      <c r="AB675" s="3691" t="s">
        <v>892</v>
      </c>
      <c r="AC675" s="4087">
        <v>2.1439</v>
      </c>
      <c r="AD675" s="3691">
        <f t="shared" si="306"/>
        <v>771.804</v>
      </c>
      <c r="AE675" s="3645" t="s">
        <v>4839</v>
      </c>
      <c r="AF675" s="3664" t="s">
        <v>2806</v>
      </c>
      <c r="AG675" s="3645" t="s">
        <v>416</v>
      </c>
      <c r="AH675" s="4430"/>
      <c r="AI675" s="3691"/>
      <c r="AJ675" s="4082">
        <f t="shared" si="308"/>
        <v>360</v>
      </c>
      <c r="AK675" s="4430"/>
      <c r="AL675" s="3664"/>
      <c r="AM675" s="3664"/>
      <c r="AN675" s="3691"/>
      <c r="AO675" s="3691"/>
      <c r="AP675" s="4082">
        <f t="shared" si="307"/>
        <v>360</v>
      </c>
      <c r="AQ675" s="4089"/>
      <c r="AR675" s="4413"/>
      <c r="AS675" s="4495">
        <f t="shared" si="299"/>
        <v>360</v>
      </c>
      <c r="AT675" s="4413"/>
      <c r="AU675" s="4089"/>
      <c r="AV675" s="4089"/>
      <c r="AW675" s="4089"/>
      <c r="AX675" s="4089"/>
      <c r="AY675" s="4495">
        <f>I675/6</f>
        <v>60</v>
      </c>
      <c r="AZ675" s="4089"/>
      <c r="BA675" s="4089"/>
      <c r="BB675" s="4089"/>
      <c r="BC675" s="4089"/>
      <c r="BD675" s="4089"/>
      <c r="BE675" s="4089"/>
      <c r="BF675" s="4089" t="s">
        <v>89</v>
      </c>
      <c r="BG675" s="4089"/>
      <c r="BH675" s="4495">
        <f t="shared" si="287"/>
        <v>60</v>
      </c>
      <c r="BI675" s="4495">
        <f t="shared" si="288"/>
        <v>60</v>
      </c>
      <c r="BJ675" s="4495">
        <f t="shared" si="289"/>
        <v>60</v>
      </c>
      <c r="BK675" s="4495">
        <f t="shared" si="290"/>
        <v>60</v>
      </c>
      <c r="BL675" s="4495">
        <f t="shared" si="291"/>
        <v>60</v>
      </c>
      <c r="BM675" s="4495">
        <f t="shared" si="292"/>
        <v>48</v>
      </c>
      <c r="BN675" s="4495">
        <f t="shared" si="293"/>
        <v>12</v>
      </c>
      <c r="BO675" s="4413"/>
      <c r="BP675" s="4413"/>
      <c r="BQ675" s="4413"/>
      <c r="BR675" s="4413"/>
      <c r="BS675" s="4413"/>
      <c r="BT675" s="4431"/>
      <c r="BU675" s="4432"/>
      <c r="BV675" s="4496">
        <f t="shared" si="279"/>
        <v>360</v>
      </c>
      <c r="BW675" s="4497">
        <f t="shared" si="298"/>
        <v>0</v>
      </c>
      <c r="BX675" s="4387"/>
      <c r="BY675" s="4387"/>
      <c r="BZ675" s="4387"/>
      <c r="CA675" s="4391"/>
      <c r="CC675" s="4392"/>
      <c r="CD675" s="4391"/>
    </row>
    <row r="676" s="4025" customFormat="1" ht="50" customHeight="1" spans="1:82">
      <c r="A676" s="3688">
        <v>45887</v>
      </c>
      <c r="B676" s="3689" t="s">
        <v>4747</v>
      </c>
      <c r="C676" s="3664" t="s">
        <v>91</v>
      </c>
      <c r="D676" s="3690">
        <v>4500177233</v>
      </c>
      <c r="E676" s="3664">
        <v>4558402398</v>
      </c>
      <c r="F676" s="3690" t="s">
        <v>4840</v>
      </c>
      <c r="G676" s="3664" t="s">
        <v>2719</v>
      </c>
      <c r="H676" s="3691" t="s">
        <v>2591</v>
      </c>
      <c r="I676" s="3691">
        <v>1296</v>
      </c>
      <c r="J676" s="3691">
        <v>0</v>
      </c>
      <c r="K676" s="3691">
        <v>6</v>
      </c>
      <c r="L676" s="3691">
        <f t="shared" si="286"/>
        <v>216</v>
      </c>
      <c r="M676" s="3659">
        <v>45923</v>
      </c>
      <c r="N676" s="3659">
        <v>45919</v>
      </c>
      <c r="O676" s="4085"/>
      <c r="P676" s="3682" t="s">
        <v>82</v>
      </c>
      <c r="Q676" s="3682"/>
      <c r="R676" s="4083"/>
      <c r="S676" s="4083"/>
      <c r="T676" s="4083"/>
      <c r="U676" s="3645" t="s">
        <v>265</v>
      </c>
      <c r="V676" s="3657" t="s">
        <v>4841</v>
      </c>
      <c r="W676" s="3657"/>
      <c r="X676" s="3657" t="s">
        <v>4750</v>
      </c>
      <c r="Y676" s="3657"/>
      <c r="Z676" s="3691" t="s">
        <v>4842</v>
      </c>
      <c r="AA676" s="3620" t="s">
        <v>4843</v>
      </c>
      <c r="AB676" s="3691" t="s">
        <v>3262</v>
      </c>
      <c r="AC676" s="4087">
        <v>1.2293</v>
      </c>
      <c r="AD676" s="3691">
        <f t="shared" si="306"/>
        <v>1593.1728</v>
      </c>
      <c r="AE676" s="3645" t="s">
        <v>4844</v>
      </c>
      <c r="AF676" s="3664" t="s">
        <v>2719</v>
      </c>
      <c r="AG676" s="3645" t="s">
        <v>416</v>
      </c>
      <c r="AH676" s="4430"/>
      <c r="AI676" s="3691"/>
      <c r="AJ676" s="4082">
        <f t="shared" si="308"/>
        <v>1296</v>
      </c>
      <c r="AK676" s="4430"/>
      <c r="AL676" s="3664"/>
      <c r="AM676" s="3664"/>
      <c r="AN676" s="3691"/>
      <c r="AO676" s="3691"/>
      <c r="AP676" s="4082">
        <f t="shared" si="307"/>
        <v>1296</v>
      </c>
      <c r="AQ676" s="4089"/>
      <c r="AR676" s="4413"/>
      <c r="AS676" s="4495">
        <f t="shared" si="299"/>
        <v>1296</v>
      </c>
      <c r="AT676" s="4413"/>
      <c r="AU676" s="4089"/>
      <c r="AV676" s="4089"/>
      <c r="AW676" s="4089"/>
      <c r="AX676" s="4089"/>
      <c r="AY676" s="4089"/>
      <c r="AZ676" s="4089"/>
      <c r="BA676" s="4089"/>
      <c r="BB676" s="4089"/>
      <c r="BC676" s="4089"/>
      <c r="BD676" s="4089"/>
      <c r="BE676" s="4089"/>
      <c r="BF676" s="4089" t="s">
        <v>89</v>
      </c>
      <c r="BG676" s="4089"/>
      <c r="BH676" s="4495">
        <f t="shared" si="287"/>
        <v>216</v>
      </c>
      <c r="BI676" s="4495">
        <f t="shared" si="288"/>
        <v>216</v>
      </c>
      <c r="BJ676" s="4495">
        <f t="shared" si="289"/>
        <v>216</v>
      </c>
      <c r="BK676" s="4495">
        <f t="shared" si="290"/>
        <v>216</v>
      </c>
      <c r="BL676" s="4495">
        <f t="shared" si="291"/>
        <v>216</v>
      </c>
      <c r="BM676" s="4495">
        <f t="shared" si="292"/>
        <v>172.8</v>
      </c>
      <c r="BN676" s="4495">
        <f t="shared" si="293"/>
        <v>43.2</v>
      </c>
      <c r="BO676" s="4413"/>
      <c r="BP676" s="4413"/>
      <c r="BQ676" s="4413"/>
      <c r="BR676" s="4413"/>
      <c r="BS676" s="4413"/>
      <c r="BT676" s="4431"/>
      <c r="BU676" s="4432"/>
      <c r="BV676" s="4496">
        <f t="shared" si="279"/>
        <v>1296</v>
      </c>
      <c r="BW676" s="4497">
        <f t="shared" si="298"/>
        <v>0</v>
      </c>
      <c r="BX676" s="4387"/>
      <c r="BY676" s="4387"/>
      <c r="BZ676" s="4387"/>
      <c r="CA676" s="4391"/>
      <c r="CC676" s="4392"/>
      <c r="CD676" s="4391"/>
    </row>
    <row r="677" s="4025" customFormat="1" ht="50" customHeight="1" spans="1:82">
      <c r="A677" s="3688">
        <v>45887</v>
      </c>
      <c r="B677" s="3689" t="s">
        <v>4747</v>
      </c>
      <c r="C677" s="3664" t="s">
        <v>91</v>
      </c>
      <c r="D677" s="3690">
        <v>4500177233</v>
      </c>
      <c r="E677" s="3664">
        <v>4558402210</v>
      </c>
      <c r="F677" s="3690" t="s">
        <v>4845</v>
      </c>
      <c r="G677" s="3664" t="s">
        <v>2719</v>
      </c>
      <c r="H677" s="3691" t="s">
        <v>2591</v>
      </c>
      <c r="I677" s="3691">
        <v>1152</v>
      </c>
      <c r="J677" s="3691">
        <v>0</v>
      </c>
      <c r="K677" s="3691">
        <v>6</v>
      </c>
      <c r="L677" s="3691">
        <f t="shared" si="286"/>
        <v>192</v>
      </c>
      <c r="M677" s="3659">
        <v>45923</v>
      </c>
      <c r="N677" s="3659">
        <v>45919</v>
      </c>
      <c r="O677" s="4085"/>
      <c r="P677" s="3682" t="s">
        <v>82</v>
      </c>
      <c r="Q677" s="3682"/>
      <c r="R677" s="4083"/>
      <c r="S677" s="4083"/>
      <c r="T677" s="4083"/>
      <c r="U677" s="3645" t="s">
        <v>265</v>
      </c>
      <c r="V677" s="3649" t="s">
        <v>4841</v>
      </c>
      <c r="W677" s="3657"/>
      <c r="X677" s="3657" t="s">
        <v>4750</v>
      </c>
      <c r="Y677" s="3657"/>
      <c r="Z677" s="3691" t="s">
        <v>4842</v>
      </c>
      <c r="AA677" s="3620" t="s">
        <v>4843</v>
      </c>
      <c r="AB677" s="3691" t="s">
        <v>3262</v>
      </c>
      <c r="AC677" s="4087">
        <v>1.2293</v>
      </c>
      <c r="AD677" s="3691">
        <f t="shared" si="306"/>
        <v>1416.1536</v>
      </c>
      <c r="AE677" s="3645" t="s">
        <v>4846</v>
      </c>
      <c r="AF677" s="3664" t="s">
        <v>2719</v>
      </c>
      <c r="AG677" s="3645" t="s">
        <v>416</v>
      </c>
      <c r="AH677" s="4430"/>
      <c r="AI677" s="3691"/>
      <c r="AJ677" s="4082">
        <f t="shared" si="308"/>
        <v>1152</v>
      </c>
      <c r="AK677" s="4430"/>
      <c r="AL677" s="3664"/>
      <c r="AM677" s="3664"/>
      <c r="AN677" s="3691"/>
      <c r="AO677" s="3691"/>
      <c r="AP677" s="4082">
        <f t="shared" si="307"/>
        <v>1152</v>
      </c>
      <c r="AQ677" s="4089"/>
      <c r="AR677" s="4413"/>
      <c r="AS677" s="4495">
        <f t="shared" si="299"/>
        <v>1152</v>
      </c>
      <c r="AT677" s="4413"/>
      <c r="AU677" s="4089"/>
      <c r="AV677" s="4089"/>
      <c r="AW677" s="4089"/>
      <c r="AX677" s="4089"/>
      <c r="AY677" s="4089"/>
      <c r="AZ677" s="4089"/>
      <c r="BA677" s="4089"/>
      <c r="BB677" s="4089"/>
      <c r="BC677" s="4089"/>
      <c r="BD677" s="4089"/>
      <c r="BE677" s="4089"/>
      <c r="BF677" s="4089" t="s">
        <v>89</v>
      </c>
      <c r="BG677" s="4089"/>
      <c r="BH677" s="4495">
        <f t="shared" si="287"/>
        <v>192</v>
      </c>
      <c r="BI677" s="4495">
        <f t="shared" si="288"/>
        <v>192</v>
      </c>
      <c r="BJ677" s="4495">
        <f t="shared" si="289"/>
        <v>192</v>
      </c>
      <c r="BK677" s="4495">
        <f t="shared" si="290"/>
        <v>192</v>
      </c>
      <c r="BL677" s="4495">
        <f t="shared" si="291"/>
        <v>192</v>
      </c>
      <c r="BM677" s="4495">
        <f t="shared" si="292"/>
        <v>153.6</v>
      </c>
      <c r="BN677" s="4495">
        <f t="shared" si="293"/>
        <v>38.4</v>
      </c>
      <c r="BO677" s="4413"/>
      <c r="BP677" s="4413"/>
      <c r="BQ677" s="4413"/>
      <c r="BR677" s="4413"/>
      <c r="BS677" s="4413"/>
      <c r="BT677" s="4431"/>
      <c r="BU677" s="4432"/>
      <c r="BV677" s="4496">
        <f t="shared" si="279"/>
        <v>1152</v>
      </c>
      <c r="BW677" s="4497">
        <f t="shared" si="298"/>
        <v>0</v>
      </c>
      <c r="BX677" s="4387"/>
      <c r="BY677" s="4387"/>
      <c r="BZ677" s="4387"/>
      <c r="CA677" s="4391"/>
      <c r="CB677" s="4312"/>
      <c r="CC677" s="4392"/>
      <c r="CD677" s="4391"/>
    </row>
    <row r="678" s="4025" customFormat="1" ht="50" customHeight="1" spans="1:82">
      <c r="A678" s="3688">
        <v>45887</v>
      </c>
      <c r="B678" s="3689" t="s">
        <v>4747</v>
      </c>
      <c r="C678" s="3664" t="s">
        <v>91</v>
      </c>
      <c r="D678" s="3690">
        <v>4500177233</v>
      </c>
      <c r="E678" s="3664">
        <v>4558402542</v>
      </c>
      <c r="F678" s="3690" t="s">
        <v>4847</v>
      </c>
      <c r="G678" s="3664" t="s">
        <v>2719</v>
      </c>
      <c r="H678" s="3691" t="s">
        <v>2591</v>
      </c>
      <c r="I678" s="3691">
        <v>1212</v>
      </c>
      <c r="J678" s="3691">
        <v>0</v>
      </c>
      <c r="K678" s="3691">
        <v>6</v>
      </c>
      <c r="L678" s="3691">
        <f t="shared" si="286"/>
        <v>202</v>
      </c>
      <c r="M678" s="3659">
        <v>45923</v>
      </c>
      <c r="N678" s="3659">
        <v>45919</v>
      </c>
      <c r="O678" s="3664" t="s">
        <v>4848</v>
      </c>
      <c r="P678" s="3682" t="s">
        <v>82</v>
      </c>
      <c r="Q678" s="3682"/>
      <c r="R678" s="4083"/>
      <c r="S678" s="4083"/>
      <c r="T678" s="4083"/>
      <c r="U678" s="3645" t="s">
        <v>265</v>
      </c>
      <c r="V678" s="3657" t="s">
        <v>4841</v>
      </c>
      <c r="W678" s="3657"/>
      <c r="X678" s="3657" t="s">
        <v>4750</v>
      </c>
      <c r="Y678" s="3657"/>
      <c r="Z678" s="3691" t="s">
        <v>4842</v>
      </c>
      <c r="AA678" s="3620" t="s">
        <v>4843</v>
      </c>
      <c r="AB678" s="3691" t="s">
        <v>3262</v>
      </c>
      <c r="AC678" s="4087">
        <v>1.2293</v>
      </c>
      <c r="AD678" s="3691">
        <f t="shared" si="306"/>
        <v>1489.9116</v>
      </c>
      <c r="AE678" s="3645" t="s">
        <v>4849</v>
      </c>
      <c r="AF678" s="3664" t="s">
        <v>2719</v>
      </c>
      <c r="AG678" s="3645" t="s">
        <v>416</v>
      </c>
      <c r="AH678" s="4430"/>
      <c r="AI678" s="3691"/>
      <c r="AJ678" s="4082">
        <f t="shared" si="308"/>
        <v>1212</v>
      </c>
      <c r="AK678" s="4430"/>
      <c r="AL678" s="3664"/>
      <c r="AM678" s="3664"/>
      <c r="AN678" s="3691"/>
      <c r="AO678" s="3691"/>
      <c r="AP678" s="4082">
        <f t="shared" si="307"/>
        <v>1212</v>
      </c>
      <c r="AQ678" s="4089"/>
      <c r="AR678" s="4413"/>
      <c r="AS678" s="4495">
        <f t="shared" si="299"/>
        <v>1212</v>
      </c>
      <c r="AT678" s="4413"/>
      <c r="AU678" s="4089"/>
      <c r="AV678" s="4089"/>
      <c r="AW678" s="4089"/>
      <c r="AX678" s="4089"/>
      <c r="AY678" s="4089"/>
      <c r="AZ678" s="4089"/>
      <c r="BA678" s="4089"/>
      <c r="BB678" s="4089"/>
      <c r="BC678" s="4089"/>
      <c r="BD678" s="4089"/>
      <c r="BE678" s="4089"/>
      <c r="BF678" s="4089" t="s">
        <v>89</v>
      </c>
      <c r="BG678" s="4089"/>
      <c r="BH678" s="4495">
        <f t="shared" si="287"/>
        <v>202</v>
      </c>
      <c r="BI678" s="4495">
        <f t="shared" si="288"/>
        <v>202</v>
      </c>
      <c r="BJ678" s="4495">
        <f t="shared" si="289"/>
        <v>202</v>
      </c>
      <c r="BK678" s="4495">
        <f t="shared" si="290"/>
        <v>202</v>
      </c>
      <c r="BL678" s="4495">
        <f t="shared" si="291"/>
        <v>202</v>
      </c>
      <c r="BM678" s="4495">
        <f t="shared" si="292"/>
        <v>161.6</v>
      </c>
      <c r="BN678" s="4495">
        <f t="shared" si="293"/>
        <v>40.4</v>
      </c>
      <c r="BO678" s="4413"/>
      <c r="BP678" s="4413"/>
      <c r="BQ678" s="4413"/>
      <c r="BR678" s="4413"/>
      <c r="BS678" s="4413"/>
      <c r="BT678" s="4431"/>
      <c r="BU678" s="4432"/>
      <c r="BV678" s="4496">
        <f t="shared" si="279"/>
        <v>1212</v>
      </c>
      <c r="BW678" s="4497">
        <f t="shared" si="298"/>
        <v>0</v>
      </c>
      <c r="BX678" s="4387"/>
      <c r="BY678" s="4387"/>
      <c r="BZ678" s="4387"/>
      <c r="CA678" s="4391"/>
      <c r="CC678" s="4392"/>
      <c r="CD678" s="4391"/>
    </row>
    <row r="679" s="4025" customFormat="1" ht="50" customHeight="1" spans="1:82">
      <c r="A679" s="3688">
        <v>45887</v>
      </c>
      <c r="B679" s="3689" t="s">
        <v>4747</v>
      </c>
      <c r="C679" s="3664" t="s">
        <v>91</v>
      </c>
      <c r="D679" s="3690">
        <v>4500177233</v>
      </c>
      <c r="E679" s="3664">
        <v>4558402478</v>
      </c>
      <c r="F679" s="3690" t="s">
        <v>4850</v>
      </c>
      <c r="G679" s="3664" t="s">
        <v>2719</v>
      </c>
      <c r="H679" s="3691" t="s">
        <v>2591</v>
      </c>
      <c r="I679" s="3691">
        <v>1410</v>
      </c>
      <c r="J679" s="3691">
        <v>0</v>
      </c>
      <c r="K679" s="3691">
        <v>6</v>
      </c>
      <c r="L679" s="3691">
        <f t="shared" si="286"/>
        <v>235</v>
      </c>
      <c r="M679" s="3659">
        <v>45923</v>
      </c>
      <c r="N679" s="3659">
        <v>45919</v>
      </c>
      <c r="O679" s="3664" t="s">
        <v>4848</v>
      </c>
      <c r="P679" s="3682" t="s">
        <v>82</v>
      </c>
      <c r="Q679" s="3682"/>
      <c r="R679" s="4083"/>
      <c r="S679" s="4083"/>
      <c r="T679" s="4083"/>
      <c r="U679" s="3645" t="s">
        <v>265</v>
      </c>
      <c r="V679" s="3657" t="s">
        <v>4841</v>
      </c>
      <c r="W679" s="3657"/>
      <c r="X679" s="3657" t="s">
        <v>4750</v>
      </c>
      <c r="Y679" s="3657"/>
      <c r="Z679" s="3691" t="s">
        <v>4842</v>
      </c>
      <c r="AA679" s="3620" t="s">
        <v>4843</v>
      </c>
      <c r="AB679" s="3691" t="s">
        <v>3262</v>
      </c>
      <c r="AC679" s="4087">
        <v>1.2293</v>
      </c>
      <c r="AD679" s="3691">
        <f t="shared" si="306"/>
        <v>1733.313</v>
      </c>
      <c r="AE679" s="3645" t="s">
        <v>4851</v>
      </c>
      <c r="AF679" s="3664" t="s">
        <v>2719</v>
      </c>
      <c r="AG679" s="3645" t="s">
        <v>416</v>
      </c>
      <c r="AH679" s="4430"/>
      <c r="AI679" s="3691"/>
      <c r="AJ679" s="4082">
        <f t="shared" si="308"/>
        <v>1410</v>
      </c>
      <c r="AK679" s="4430"/>
      <c r="AL679" s="3664"/>
      <c r="AM679" s="3664"/>
      <c r="AN679" s="3691"/>
      <c r="AO679" s="3691"/>
      <c r="AP679" s="4082">
        <f t="shared" si="307"/>
        <v>1410</v>
      </c>
      <c r="AQ679" s="4089"/>
      <c r="AR679" s="4413"/>
      <c r="AS679" s="4495">
        <f t="shared" si="299"/>
        <v>1410</v>
      </c>
      <c r="AT679" s="4413"/>
      <c r="AU679" s="4089"/>
      <c r="AV679" s="4089"/>
      <c r="AW679" s="4089"/>
      <c r="AX679" s="4089"/>
      <c r="AY679" s="4089"/>
      <c r="AZ679" s="4089"/>
      <c r="BA679" s="4089"/>
      <c r="BB679" s="4089"/>
      <c r="BC679" s="4089"/>
      <c r="BD679" s="4089"/>
      <c r="BE679" s="4089"/>
      <c r="BF679" s="4089" t="s">
        <v>89</v>
      </c>
      <c r="BG679" s="4089"/>
      <c r="BH679" s="4495">
        <f t="shared" si="287"/>
        <v>235</v>
      </c>
      <c r="BI679" s="4495">
        <f t="shared" si="288"/>
        <v>235</v>
      </c>
      <c r="BJ679" s="4495">
        <f t="shared" si="289"/>
        <v>235</v>
      </c>
      <c r="BK679" s="4495">
        <f t="shared" si="290"/>
        <v>235</v>
      </c>
      <c r="BL679" s="4495">
        <f t="shared" si="291"/>
        <v>235</v>
      </c>
      <c r="BM679" s="4495">
        <f t="shared" si="292"/>
        <v>188</v>
      </c>
      <c r="BN679" s="4495">
        <f t="shared" si="293"/>
        <v>47</v>
      </c>
      <c r="BO679" s="4413"/>
      <c r="BP679" s="4413"/>
      <c r="BQ679" s="4413"/>
      <c r="BR679" s="4413"/>
      <c r="BS679" s="4413"/>
      <c r="BT679" s="4431"/>
      <c r="BU679" s="4432"/>
      <c r="BV679" s="4496">
        <f t="shared" si="279"/>
        <v>1410</v>
      </c>
      <c r="BW679" s="4497">
        <f t="shared" si="298"/>
        <v>0</v>
      </c>
      <c r="BX679" s="4387"/>
      <c r="BY679" s="4387"/>
      <c r="BZ679" s="4387"/>
      <c r="CA679" s="4391"/>
      <c r="CC679" s="4392"/>
      <c r="CD679" s="4391"/>
    </row>
    <row r="680" s="4025" customFormat="1" ht="50" customHeight="1" spans="1:82">
      <c r="A680" s="3688">
        <v>45887</v>
      </c>
      <c r="B680" s="3689" t="s">
        <v>4747</v>
      </c>
      <c r="C680" s="3664" t="s">
        <v>91</v>
      </c>
      <c r="D680" s="3690">
        <v>4500177233</v>
      </c>
      <c r="E680" s="3664">
        <v>4558402399</v>
      </c>
      <c r="F680" s="3690" t="s">
        <v>4852</v>
      </c>
      <c r="G680" s="3664" t="s">
        <v>2719</v>
      </c>
      <c r="H680" s="3691" t="s">
        <v>2591</v>
      </c>
      <c r="I680" s="3691">
        <v>1434</v>
      </c>
      <c r="J680" s="3691">
        <v>0</v>
      </c>
      <c r="K680" s="3691">
        <v>6</v>
      </c>
      <c r="L680" s="3691">
        <f t="shared" si="286"/>
        <v>239</v>
      </c>
      <c r="M680" s="3659">
        <v>45923</v>
      </c>
      <c r="N680" s="3659">
        <v>45919</v>
      </c>
      <c r="O680" s="3664" t="s">
        <v>4848</v>
      </c>
      <c r="P680" s="3682" t="s">
        <v>82</v>
      </c>
      <c r="Q680" s="3682"/>
      <c r="R680" s="4083"/>
      <c r="S680" s="4083"/>
      <c r="T680" s="4083"/>
      <c r="U680" s="3645" t="s">
        <v>265</v>
      </c>
      <c r="V680" s="3657" t="s">
        <v>4841</v>
      </c>
      <c r="W680" s="3657"/>
      <c r="X680" s="3657" t="s">
        <v>4750</v>
      </c>
      <c r="Y680" s="3657"/>
      <c r="Z680" s="3691" t="s">
        <v>4842</v>
      </c>
      <c r="AA680" s="3620" t="s">
        <v>4843</v>
      </c>
      <c r="AB680" s="3691" t="s">
        <v>3262</v>
      </c>
      <c r="AC680" s="4087">
        <v>1.2293</v>
      </c>
      <c r="AD680" s="3691">
        <f t="shared" si="306"/>
        <v>1762.8162</v>
      </c>
      <c r="AE680" s="3645" t="s">
        <v>4853</v>
      </c>
      <c r="AF680" s="3664" t="s">
        <v>2719</v>
      </c>
      <c r="AG680" s="3645" t="s">
        <v>416</v>
      </c>
      <c r="AH680" s="4430"/>
      <c r="AI680" s="3691"/>
      <c r="AJ680" s="4082">
        <f t="shared" si="308"/>
        <v>1434</v>
      </c>
      <c r="AK680" s="4430"/>
      <c r="AL680" s="3664"/>
      <c r="AM680" s="3664"/>
      <c r="AN680" s="3691"/>
      <c r="AO680" s="3691"/>
      <c r="AP680" s="4082">
        <f t="shared" si="307"/>
        <v>1434</v>
      </c>
      <c r="AQ680" s="4089"/>
      <c r="AR680" s="4413"/>
      <c r="AS680" s="4495">
        <f t="shared" si="299"/>
        <v>1434</v>
      </c>
      <c r="AT680" s="4413"/>
      <c r="AU680" s="4089"/>
      <c r="AV680" s="4089"/>
      <c r="AW680" s="4089"/>
      <c r="AX680" s="4089"/>
      <c r="AY680" s="4089"/>
      <c r="AZ680" s="4089"/>
      <c r="BA680" s="4089"/>
      <c r="BB680" s="4089"/>
      <c r="BC680" s="4089"/>
      <c r="BD680" s="4089"/>
      <c r="BE680" s="4089"/>
      <c r="BF680" s="4089" t="s">
        <v>89</v>
      </c>
      <c r="BG680" s="4089"/>
      <c r="BH680" s="4495">
        <f t="shared" si="287"/>
        <v>239</v>
      </c>
      <c r="BI680" s="4495">
        <f t="shared" si="288"/>
        <v>239</v>
      </c>
      <c r="BJ680" s="4495">
        <f t="shared" si="289"/>
        <v>239</v>
      </c>
      <c r="BK680" s="4495">
        <f t="shared" si="290"/>
        <v>239</v>
      </c>
      <c r="BL680" s="4495">
        <f t="shared" si="291"/>
        <v>239</v>
      </c>
      <c r="BM680" s="4495">
        <f t="shared" si="292"/>
        <v>191.2</v>
      </c>
      <c r="BN680" s="4495">
        <f t="shared" si="293"/>
        <v>47.8</v>
      </c>
      <c r="BO680" s="4413"/>
      <c r="BP680" s="4413"/>
      <c r="BQ680" s="4413"/>
      <c r="BR680" s="4413"/>
      <c r="BS680" s="4413"/>
      <c r="BT680" s="4431"/>
      <c r="BU680" s="4432"/>
      <c r="BV680" s="4496">
        <f t="shared" si="279"/>
        <v>1434</v>
      </c>
      <c r="BW680" s="4497">
        <f t="shared" si="298"/>
        <v>0</v>
      </c>
      <c r="BX680" s="4387"/>
      <c r="BY680" s="4387"/>
      <c r="BZ680" s="4387"/>
      <c r="CA680" s="4391"/>
      <c r="CC680" s="4392"/>
      <c r="CD680" s="4391"/>
    </row>
    <row r="681" s="4025" customFormat="1" ht="50" customHeight="1" spans="1:82">
      <c r="A681" s="3688">
        <v>45887</v>
      </c>
      <c r="B681" s="3689" t="s">
        <v>4747</v>
      </c>
      <c r="C681" s="3664" t="s">
        <v>91</v>
      </c>
      <c r="D681" s="3690">
        <v>4500177233</v>
      </c>
      <c r="E681" s="3664">
        <v>4558402543</v>
      </c>
      <c r="F681" s="3690" t="s">
        <v>4854</v>
      </c>
      <c r="G681" s="3664" t="s">
        <v>2719</v>
      </c>
      <c r="H681" s="3691" t="s">
        <v>2591</v>
      </c>
      <c r="I681" s="3691">
        <v>2010</v>
      </c>
      <c r="J681" s="3691">
        <v>0</v>
      </c>
      <c r="K681" s="3691">
        <v>6</v>
      </c>
      <c r="L681" s="3691">
        <f t="shared" si="286"/>
        <v>335</v>
      </c>
      <c r="M681" s="3659">
        <v>45923</v>
      </c>
      <c r="N681" s="3659">
        <v>45919</v>
      </c>
      <c r="O681" s="3664" t="s">
        <v>4848</v>
      </c>
      <c r="P681" s="3682" t="s">
        <v>82</v>
      </c>
      <c r="Q681" s="3682"/>
      <c r="R681" s="4083"/>
      <c r="S681" s="4083"/>
      <c r="T681" s="4083"/>
      <c r="U681" s="3645" t="s">
        <v>265</v>
      </c>
      <c r="V681" s="3657" t="s">
        <v>4841</v>
      </c>
      <c r="W681" s="3657"/>
      <c r="X681" s="3657" t="s">
        <v>4750</v>
      </c>
      <c r="Y681" s="3657"/>
      <c r="Z681" s="3691" t="s">
        <v>4842</v>
      </c>
      <c r="AA681" s="3620" t="s">
        <v>4843</v>
      </c>
      <c r="AB681" s="3691" t="s">
        <v>3262</v>
      </c>
      <c r="AC681" s="4087">
        <v>1.2293</v>
      </c>
      <c r="AD681" s="3691">
        <f t="shared" si="306"/>
        <v>2470.893</v>
      </c>
      <c r="AE681" s="3645" t="s">
        <v>4855</v>
      </c>
      <c r="AF681" s="3664" t="s">
        <v>2719</v>
      </c>
      <c r="AG681" s="3645" t="s">
        <v>416</v>
      </c>
      <c r="AH681" s="4430"/>
      <c r="AI681" s="3691"/>
      <c r="AJ681" s="4082">
        <f t="shared" si="308"/>
        <v>2010</v>
      </c>
      <c r="AK681" s="4430"/>
      <c r="AL681" s="3664"/>
      <c r="AM681" s="3664"/>
      <c r="AN681" s="3691"/>
      <c r="AO681" s="3691"/>
      <c r="AP681" s="4082">
        <f t="shared" si="307"/>
        <v>2010</v>
      </c>
      <c r="AQ681" s="4089"/>
      <c r="AR681" s="4413"/>
      <c r="AS681" s="4495">
        <f t="shared" si="299"/>
        <v>2010</v>
      </c>
      <c r="AT681" s="4413"/>
      <c r="AU681" s="4089"/>
      <c r="AV681" s="4089"/>
      <c r="AW681" s="4089"/>
      <c r="AX681" s="4089"/>
      <c r="AY681" s="4089"/>
      <c r="AZ681" s="4089"/>
      <c r="BA681" s="4089"/>
      <c r="BB681" s="4089"/>
      <c r="BC681" s="4089"/>
      <c r="BD681" s="4089"/>
      <c r="BE681" s="4089"/>
      <c r="BF681" s="4089" t="s">
        <v>89</v>
      </c>
      <c r="BG681" s="4089"/>
      <c r="BH681" s="4495">
        <f t="shared" si="287"/>
        <v>335</v>
      </c>
      <c r="BI681" s="4495">
        <f t="shared" si="288"/>
        <v>335</v>
      </c>
      <c r="BJ681" s="4495">
        <f t="shared" si="289"/>
        <v>335</v>
      </c>
      <c r="BK681" s="4495">
        <f t="shared" si="290"/>
        <v>335</v>
      </c>
      <c r="BL681" s="4495">
        <f t="shared" si="291"/>
        <v>335</v>
      </c>
      <c r="BM681" s="4495">
        <f t="shared" si="292"/>
        <v>268</v>
      </c>
      <c r="BN681" s="4495">
        <f t="shared" si="293"/>
        <v>67</v>
      </c>
      <c r="BO681" s="4413"/>
      <c r="BP681" s="4413"/>
      <c r="BQ681" s="4413"/>
      <c r="BR681" s="4413"/>
      <c r="BS681" s="4413"/>
      <c r="BT681" s="4431"/>
      <c r="BU681" s="4432"/>
      <c r="BV681" s="4496">
        <f t="shared" si="279"/>
        <v>2010</v>
      </c>
      <c r="BW681" s="4497">
        <f t="shared" si="298"/>
        <v>0</v>
      </c>
      <c r="BX681" s="4387"/>
      <c r="BY681" s="4387"/>
      <c r="BZ681" s="4387"/>
      <c r="CA681" s="4391"/>
      <c r="CC681" s="4392"/>
      <c r="CD681" s="4391"/>
    </row>
    <row r="682" s="4025" customFormat="1" ht="50" customHeight="1" spans="1:82">
      <c r="A682" s="3688">
        <v>45887</v>
      </c>
      <c r="B682" s="3689" t="s">
        <v>4747</v>
      </c>
      <c r="C682" s="3664" t="s">
        <v>91</v>
      </c>
      <c r="D682" s="3690">
        <v>4500177233</v>
      </c>
      <c r="E682" s="3664">
        <v>4558402446</v>
      </c>
      <c r="F682" s="3690" t="s">
        <v>4856</v>
      </c>
      <c r="G682" s="3664" t="s">
        <v>2719</v>
      </c>
      <c r="H682" s="3691" t="s">
        <v>2591</v>
      </c>
      <c r="I682" s="3691">
        <v>1638</v>
      </c>
      <c r="J682" s="3691">
        <v>0</v>
      </c>
      <c r="K682" s="3691">
        <v>6</v>
      </c>
      <c r="L682" s="3691">
        <f t="shared" si="286"/>
        <v>273</v>
      </c>
      <c r="M682" s="3659">
        <v>45923</v>
      </c>
      <c r="N682" s="3659">
        <v>45919</v>
      </c>
      <c r="O682" s="3664" t="s">
        <v>4848</v>
      </c>
      <c r="P682" s="3682" t="s">
        <v>82</v>
      </c>
      <c r="Q682" s="3682"/>
      <c r="R682" s="4083"/>
      <c r="S682" s="4083"/>
      <c r="T682" s="4083"/>
      <c r="U682" s="3645" t="s">
        <v>265</v>
      </c>
      <c r="V682" s="3657" t="s">
        <v>4841</v>
      </c>
      <c r="W682" s="3657"/>
      <c r="X682" s="3657" t="s">
        <v>4750</v>
      </c>
      <c r="Y682" s="3657"/>
      <c r="Z682" s="3691" t="s">
        <v>4842</v>
      </c>
      <c r="AA682" s="3620" t="s">
        <v>4843</v>
      </c>
      <c r="AB682" s="3691" t="s">
        <v>3262</v>
      </c>
      <c r="AC682" s="4087">
        <v>1.2293</v>
      </c>
      <c r="AD682" s="3691">
        <f t="shared" si="306"/>
        <v>2013.5934</v>
      </c>
      <c r="AE682" s="3645" t="s">
        <v>4857</v>
      </c>
      <c r="AF682" s="3664" t="s">
        <v>2719</v>
      </c>
      <c r="AG682" s="3645" t="s">
        <v>416</v>
      </c>
      <c r="AH682" s="4430"/>
      <c r="AI682" s="3691"/>
      <c r="AJ682" s="4082">
        <f t="shared" si="308"/>
        <v>1638</v>
      </c>
      <c r="AK682" s="4430"/>
      <c r="AL682" s="3664"/>
      <c r="AM682" s="3664"/>
      <c r="AN682" s="3691"/>
      <c r="AO682" s="3691"/>
      <c r="AP682" s="4082">
        <f t="shared" si="307"/>
        <v>1638</v>
      </c>
      <c r="AQ682" s="4089"/>
      <c r="AR682" s="4413"/>
      <c r="AS682" s="4495">
        <f t="shared" si="299"/>
        <v>1638</v>
      </c>
      <c r="AT682" s="4413"/>
      <c r="AU682" s="4089"/>
      <c r="AV682" s="4089"/>
      <c r="AW682" s="4089"/>
      <c r="AX682" s="4089"/>
      <c r="AY682" s="4089"/>
      <c r="AZ682" s="4089"/>
      <c r="BA682" s="4089"/>
      <c r="BB682" s="4089"/>
      <c r="BC682" s="4089"/>
      <c r="BD682" s="4089"/>
      <c r="BE682" s="4089"/>
      <c r="BF682" s="4089" t="s">
        <v>89</v>
      </c>
      <c r="BG682" s="4089"/>
      <c r="BH682" s="4495">
        <f t="shared" si="287"/>
        <v>273</v>
      </c>
      <c r="BI682" s="4495">
        <f t="shared" si="288"/>
        <v>273</v>
      </c>
      <c r="BJ682" s="4495">
        <f t="shared" si="289"/>
        <v>273</v>
      </c>
      <c r="BK682" s="4495">
        <f t="shared" si="290"/>
        <v>273</v>
      </c>
      <c r="BL682" s="4495">
        <f t="shared" si="291"/>
        <v>273</v>
      </c>
      <c r="BM682" s="4495">
        <f t="shared" si="292"/>
        <v>218.4</v>
      </c>
      <c r="BN682" s="4495">
        <f t="shared" si="293"/>
        <v>54.6</v>
      </c>
      <c r="BO682" s="4413"/>
      <c r="BP682" s="4413"/>
      <c r="BQ682" s="4413"/>
      <c r="BR682" s="4413"/>
      <c r="BS682" s="4413"/>
      <c r="BT682" s="4431"/>
      <c r="BU682" s="4432"/>
      <c r="BV682" s="4496">
        <f t="shared" si="279"/>
        <v>1638</v>
      </c>
      <c r="BW682" s="4497">
        <f t="shared" si="298"/>
        <v>0</v>
      </c>
      <c r="BX682" s="4387"/>
      <c r="BY682" s="4387"/>
      <c r="BZ682" s="4387"/>
      <c r="CA682" s="4391"/>
      <c r="CC682" s="4392"/>
      <c r="CD682" s="4391"/>
    </row>
    <row r="683" s="4025" customFormat="1" ht="50" customHeight="1" spans="1:82">
      <c r="A683" s="3688">
        <v>45877</v>
      </c>
      <c r="B683" s="3689" t="s">
        <v>1978</v>
      </c>
      <c r="C683" s="3664" t="s">
        <v>873</v>
      </c>
      <c r="D683" s="3690">
        <v>4500176381</v>
      </c>
      <c r="E683" s="3664"/>
      <c r="F683" s="3690" t="s">
        <v>4858</v>
      </c>
      <c r="G683" s="3664" t="s">
        <v>2627</v>
      </c>
      <c r="H683" s="3691" t="s">
        <v>2591</v>
      </c>
      <c r="I683" s="3691">
        <v>720</v>
      </c>
      <c r="J683" s="3691">
        <v>0</v>
      </c>
      <c r="K683" s="3691">
        <v>24</v>
      </c>
      <c r="L683" s="3691">
        <f t="shared" si="286"/>
        <v>30</v>
      </c>
      <c r="M683" s="3659">
        <v>45925</v>
      </c>
      <c r="N683" s="3659">
        <v>45922</v>
      </c>
      <c r="O683" s="3664"/>
      <c r="P683" s="3682" t="s">
        <v>82</v>
      </c>
      <c r="Q683" s="3682"/>
      <c r="R683" s="4083"/>
      <c r="S683" s="4083"/>
      <c r="T683" s="4083"/>
      <c r="U683" s="3645"/>
      <c r="V683" s="3657" t="s">
        <v>1947</v>
      </c>
      <c r="W683" s="3657"/>
      <c r="X683" s="3657" t="s">
        <v>1980</v>
      </c>
      <c r="Y683" s="3657"/>
      <c r="Z683" s="3661"/>
      <c r="AA683" s="3620" t="s">
        <v>1981</v>
      </c>
      <c r="AB683" s="3691" t="s">
        <v>1982</v>
      </c>
      <c r="AC683" s="3691">
        <v>2.0891</v>
      </c>
      <c r="AD683" s="3691">
        <f t="shared" si="306"/>
        <v>1504.152</v>
      </c>
      <c r="AE683" s="3645" t="s">
        <v>4859</v>
      </c>
      <c r="AF683" s="3664" t="s">
        <v>2627</v>
      </c>
      <c r="AG683" s="3645" t="s">
        <v>416</v>
      </c>
      <c r="AH683" s="4430"/>
      <c r="AI683" s="3691"/>
      <c r="AJ683" s="3691">
        <f t="shared" si="308"/>
        <v>720</v>
      </c>
      <c r="AK683" s="4430"/>
      <c r="AL683" s="3664"/>
      <c r="AM683" s="3664"/>
      <c r="AN683" s="3691"/>
      <c r="AO683" s="3691"/>
      <c r="AP683" s="3691">
        <f t="shared" si="307"/>
        <v>720</v>
      </c>
      <c r="AQ683" s="4089"/>
      <c r="AR683" s="4413"/>
      <c r="AS683" s="4089">
        <f t="shared" si="299"/>
        <v>720</v>
      </c>
      <c r="AT683" s="4413"/>
      <c r="AU683" s="4089"/>
      <c r="AV683" s="4089"/>
      <c r="AW683" s="4089"/>
      <c r="AX683" s="4089"/>
      <c r="AY683" s="4089"/>
      <c r="AZ683" s="4089"/>
      <c r="BA683" s="4089"/>
      <c r="BB683" s="4089"/>
      <c r="BC683" s="4089"/>
      <c r="BD683" s="4089"/>
      <c r="BE683" s="4089"/>
      <c r="BF683" s="4089" t="s">
        <v>89</v>
      </c>
      <c r="BG683" s="4089"/>
      <c r="BH683" s="4089">
        <f t="shared" si="287"/>
        <v>120</v>
      </c>
      <c r="BI683" s="4089">
        <f t="shared" si="288"/>
        <v>120</v>
      </c>
      <c r="BJ683" s="4089">
        <f t="shared" si="289"/>
        <v>120</v>
      </c>
      <c r="BK683" s="4089">
        <f t="shared" si="290"/>
        <v>120</v>
      </c>
      <c r="BL683" s="4089">
        <f t="shared" si="291"/>
        <v>120</v>
      </c>
      <c r="BM683" s="4089">
        <f t="shared" si="292"/>
        <v>96</v>
      </c>
      <c r="BN683" s="4089">
        <f t="shared" si="293"/>
        <v>24</v>
      </c>
      <c r="BO683" s="4413"/>
      <c r="BP683" s="4413"/>
      <c r="BQ683" s="4413"/>
      <c r="BR683" s="4413"/>
      <c r="BS683" s="4413"/>
      <c r="BT683" s="4431"/>
      <c r="BU683" s="4432"/>
      <c r="BV683" s="4385">
        <f t="shared" si="279"/>
        <v>720</v>
      </c>
      <c r="BW683" s="4386">
        <f t="shared" si="298"/>
        <v>0</v>
      </c>
      <c r="BX683" s="4387"/>
      <c r="BY683" s="4387"/>
      <c r="BZ683" s="4387"/>
      <c r="CA683" s="4391"/>
      <c r="CB683" s="4388"/>
      <c r="CC683" s="4392"/>
      <c r="CD683" s="4391"/>
    </row>
    <row r="684" s="4025" customFormat="1" ht="50" customHeight="1" spans="1:82">
      <c r="A684" s="3688">
        <v>45862</v>
      </c>
      <c r="B684" s="3689" t="s">
        <v>407</v>
      </c>
      <c r="C684" s="3664" t="s">
        <v>91</v>
      </c>
      <c r="D684" s="3690">
        <v>4500173508</v>
      </c>
      <c r="E684" s="3664">
        <v>60235931</v>
      </c>
      <c r="F684" s="3690" t="s">
        <v>4860</v>
      </c>
      <c r="G684" s="3664" t="s">
        <v>2627</v>
      </c>
      <c r="H684" s="3691" t="s">
        <v>2591</v>
      </c>
      <c r="I684" s="3691">
        <v>4008</v>
      </c>
      <c r="J684" s="3691">
        <v>0</v>
      </c>
      <c r="K684" s="3691">
        <v>24</v>
      </c>
      <c r="L684" s="3691">
        <f t="shared" si="286"/>
        <v>167</v>
      </c>
      <c r="M684" s="3659">
        <v>45925</v>
      </c>
      <c r="N684" s="3659">
        <v>45922</v>
      </c>
      <c r="O684" s="3664"/>
      <c r="P684" s="3682" t="s">
        <v>82</v>
      </c>
      <c r="Q684" s="3682"/>
      <c r="R684" s="4083"/>
      <c r="S684" s="4083"/>
      <c r="T684" s="4083"/>
      <c r="U684" s="3645" t="s">
        <v>1990</v>
      </c>
      <c r="V684" s="3657" t="s">
        <v>390</v>
      </c>
      <c r="W684" s="3657"/>
      <c r="X684" s="3657" t="s">
        <v>98</v>
      </c>
      <c r="Y684" s="3657" t="s">
        <v>1991</v>
      </c>
      <c r="Z684" s="3661"/>
      <c r="AA684" s="3620" t="s">
        <v>1621</v>
      </c>
      <c r="AB684" s="3691" t="s">
        <v>1880</v>
      </c>
      <c r="AC684" s="3691">
        <v>1.2197</v>
      </c>
      <c r="AD684" s="3691">
        <f t="shared" si="306"/>
        <v>4888.5576</v>
      </c>
      <c r="AE684" s="3645" t="s">
        <v>4861</v>
      </c>
      <c r="AF684" s="3664" t="s">
        <v>2627</v>
      </c>
      <c r="AG684" s="3645" t="s">
        <v>416</v>
      </c>
      <c r="AH684" s="4430"/>
      <c r="AI684" s="3691"/>
      <c r="AJ684" s="3691">
        <f t="shared" si="308"/>
        <v>4008</v>
      </c>
      <c r="AK684" s="4430"/>
      <c r="AL684" s="3664"/>
      <c r="AM684" s="3664"/>
      <c r="AN684" s="3691"/>
      <c r="AO684" s="3691"/>
      <c r="AP684" s="3691">
        <f t="shared" si="307"/>
        <v>4008</v>
      </c>
      <c r="AQ684" s="4089"/>
      <c r="AR684" s="4413"/>
      <c r="AS684" s="4089">
        <f t="shared" si="299"/>
        <v>4008</v>
      </c>
      <c r="AT684" s="4413"/>
      <c r="AU684" s="4089"/>
      <c r="AV684" s="4089"/>
      <c r="AW684" s="4089"/>
      <c r="AX684" s="4089"/>
      <c r="AY684" s="4089"/>
      <c r="AZ684" s="4089"/>
      <c r="BA684" s="4089"/>
      <c r="BB684" s="4089"/>
      <c r="BC684" s="4089"/>
      <c r="BD684" s="4089"/>
      <c r="BE684" s="4089"/>
      <c r="BF684" s="4089" t="s">
        <v>89</v>
      </c>
      <c r="BG684" s="4089"/>
      <c r="BH684" s="4089">
        <f t="shared" si="287"/>
        <v>668</v>
      </c>
      <c r="BI684" s="4089">
        <f t="shared" si="288"/>
        <v>668</v>
      </c>
      <c r="BJ684" s="4089">
        <f t="shared" si="289"/>
        <v>668</v>
      </c>
      <c r="BK684" s="4089">
        <f t="shared" si="290"/>
        <v>668</v>
      </c>
      <c r="BL684" s="4089">
        <f t="shared" si="291"/>
        <v>668</v>
      </c>
      <c r="BM684" s="4089">
        <f t="shared" si="292"/>
        <v>534.4</v>
      </c>
      <c r="BN684" s="4089">
        <f t="shared" si="293"/>
        <v>133.6</v>
      </c>
      <c r="BO684" s="4413"/>
      <c r="BP684" s="4413"/>
      <c r="BQ684" s="4413"/>
      <c r="BR684" s="4413"/>
      <c r="BS684" s="4413"/>
      <c r="BT684" s="4431"/>
      <c r="BU684" s="4432"/>
      <c r="BV684" s="4385">
        <f t="shared" si="279"/>
        <v>4008</v>
      </c>
      <c r="BW684" s="4386">
        <f t="shared" si="298"/>
        <v>0</v>
      </c>
      <c r="BX684" s="4387"/>
      <c r="BY684" s="4387"/>
      <c r="BZ684" s="4387"/>
      <c r="CA684" s="4391"/>
      <c r="CB684" s="4388"/>
      <c r="CC684" s="4392"/>
      <c r="CD684" s="4391"/>
    </row>
    <row r="685" s="4025" customFormat="1" ht="50" customHeight="1" spans="1:82">
      <c r="A685" s="3688">
        <v>45890</v>
      </c>
      <c r="B685" s="3689" t="s">
        <v>395</v>
      </c>
      <c r="C685" s="3664" t="s">
        <v>396</v>
      </c>
      <c r="D685" s="3690">
        <v>4500177527</v>
      </c>
      <c r="E685" s="3664" t="s">
        <v>4862</v>
      </c>
      <c r="F685" s="3690" t="s">
        <v>4863</v>
      </c>
      <c r="G685" s="3664" t="s">
        <v>2619</v>
      </c>
      <c r="H685" s="3664" t="s">
        <v>2620</v>
      </c>
      <c r="I685" s="3691">
        <v>432</v>
      </c>
      <c r="J685" s="3691">
        <v>0</v>
      </c>
      <c r="K685" s="3691">
        <v>24</v>
      </c>
      <c r="L685" s="3691">
        <f t="shared" si="286"/>
        <v>18</v>
      </c>
      <c r="M685" s="3659">
        <v>45926</v>
      </c>
      <c r="N685" s="3659">
        <v>45922</v>
      </c>
      <c r="O685" s="3664"/>
      <c r="P685" s="3682" t="s">
        <v>82</v>
      </c>
      <c r="Q685" s="4488"/>
      <c r="R685" s="4489"/>
      <c r="S685" s="4489"/>
      <c r="T685" s="4489"/>
      <c r="U685" s="3701"/>
      <c r="V685" s="3649" t="s">
        <v>2022</v>
      </c>
      <c r="W685" s="3657"/>
      <c r="X685" s="3657" t="s">
        <v>4864</v>
      </c>
      <c r="Y685" s="3649"/>
      <c r="Z685" s="3661"/>
      <c r="AA685" s="3620" t="s">
        <v>4865</v>
      </c>
      <c r="AB685" s="3691" t="s">
        <v>4866</v>
      </c>
      <c r="AC685" s="3691">
        <v>2.0891</v>
      </c>
      <c r="AD685" s="3691">
        <f t="shared" si="306"/>
        <v>902.4912</v>
      </c>
      <c r="AE685" s="3645" t="s">
        <v>4867</v>
      </c>
      <c r="AF685" s="3664" t="s">
        <v>3444</v>
      </c>
      <c r="AG685" s="3645" t="s">
        <v>416</v>
      </c>
      <c r="AH685" s="4430"/>
      <c r="AI685" s="3691"/>
      <c r="AJ685" s="3691"/>
      <c r="AK685" s="4430"/>
      <c r="AL685" s="3664"/>
      <c r="AM685" s="4393">
        <f>I685</f>
        <v>432</v>
      </c>
      <c r="AN685" s="3691"/>
      <c r="AO685" s="3691"/>
      <c r="AP685" s="4082">
        <f t="shared" si="307"/>
        <v>432</v>
      </c>
      <c r="AQ685" s="4089"/>
      <c r="AR685" s="4413"/>
      <c r="AS685" s="4089"/>
      <c r="AT685" s="4413"/>
      <c r="AU685" s="4495">
        <f>I685</f>
        <v>432</v>
      </c>
      <c r="AV685" s="4089"/>
      <c r="AW685" s="4089"/>
      <c r="AX685" s="4089"/>
      <c r="AY685" s="4089"/>
      <c r="AZ685" s="4089"/>
      <c r="BA685" s="4089"/>
      <c r="BB685" s="4089"/>
      <c r="BC685" s="4089"/>
      <c r="BD685" s="4089"/>
      <c r="BE685" s="4089"/>
      <c r="BF685" s="4089" t="s">
        <v>89</v>
      </c>
      <c r="BG685" s="4089"/>
      <c r="BH685" s="4495">
        <f t="shared" si="287"/>
        <v>72</v>
      </c>
      <c r="BI685" s="4495">
        <f t="shared" si="288"/>
        <v>72</v>
      </c>
      <c r="BJ685" s="4495">
        <f t="shared" si="289"/>
        <v>72</v>
      </c>
      <c r="BK685" s="4495">
        <f t="shared" si="290"/>
        <v>72</v>
      </c>
      <c r="BL685" s="4495">
        <f t="shared" si="291"/>
        <v>72</v>
      </c>
      <c r="BM685" s="4495">
        <f t="shared" si="292"/>
        <v>57.6</v>
      </c>
      <c r="BN685" s="4495">
        <f t="shared" si="293"/>
        <v>14.4</v>
      </c>
      <c r="BO685" s="4413"/>
      <c r="BP685" s="4413"/>
      <c r="BQ685" s="4413"/>
      <c r="BR685" s="4413"/>
      <c r="BS685" s="4413"/>
      <c r="BT685" s="4431"/>
      <c r="BU685" s="4432"/>
      <c r="BV685" s="4496">
        <f t="shared" si="279"/>
        <v>432</v>
      </c>
      <c r="BW685" s="4497">
        <f t="shared" si="298"/>
        <v>0</v>
      </c>
      <c r="BX685" s="4387"/>
      <c r="BY685" s="4387"/>
      <c r="BZ685" s="4387"/>
      <c r="CA685" s="4391"/>
      <c r="CB685" s="4391"/>
      <c r="CC685" s="4392"/>
      <c r="CD685" s="4391"/>
    </row>
    <row r="686" s="4025" customFormat="1" ht="50" customHeight="1" spans="1:82">
      <c r="A686" s="3688">
        <v>45862</v>
      </c>
      <c r="B686" s="3689" t="s">
        <v>1617</v>
      </c>
      <c r="C686" s="3664" t="s">
        <v>91</v>
      </c>
      <c r="D686" s="3690">
        <v>4500174771</v>
      </c>
      <c r="E686" s="3664">
        <v>70072697</v>
      </c>
      <c r="F686" s="3690" t="s">
        <v>4868</v>
      </c>
      <c r="G686" s="3664" t="s">
        <v>2627</v>
      </c>
      <c r="H686" s="3691" t="s">
        <v>2591</v>
      </c>
      <c r="I686" s="3691">
        <v>600</v>
      </c>
      <c r="J686" s="3691">
        <v>0</v>
      </c>
      <c r="K686" s="3691">
        <v>24</v>
      </c>
      <c r="L686" s="3691">
        <f t="shared" si="286"/>
        <v>25</v>
      </c>
      <c r="M686" s="3659">
        <v>45928</v>
      </c>
      <c r="N686" s="3659">
        <v>45924</v>
      </c>
      <c r="O686" s="3664"/>
      <c r="P686" s="3682" t="s">
        <v>82</v>
      </c>
      <c r="Q686" s="3682"/>
      <c r="R686" s="4083"/>
      <c r="S686" s="4083"/>
      <c r="T686" s="4083"/>
      <c r="U686" s="3645" t="s">
        <v>1990</v>
      </c>
      <c r="V686" s="3657" t="s">
        <v>390</v>
      </c>
      <c r="W686" s="3657"/>
      <c r="X686" s="3657" t="s">
        <v>98</v>
      </c>
      <c r="Y686" s="3657" t="s">
        <v>1991</v>
      </c>
      <c r="Z686" s="3661"/>
      <c r="AA686" s="3620" t="s">
        <v>1621</v>
      </c>
      <c r="AB686" s="3691" t="s">
        <v>393</v>
      </c>
      <c r="AC686" s="3691">
        <v>1.2535</v>
      </c>
      <c r="AD686" s="3691">
        <f t="shared" si="306"/>
        <v>752.1</v>
      </c>
      <c r="AE686" s="3645" t="s">
        <v>1992</v>
      </c>
      <c r="AF686" s="3664" t="s">
        <v>2627</v>
      </c>
      <c r="AG686" s="3645" t="s">
        <v>416</v>
      </c>
      <c r="AH686" s="4430"/>
      <c r="AI686" s="3691"/>
      <c r="AJ686" s="3691">
        <f t="shared" ref="AJ686:AJ698" si="309">I686</f>
        <v>600</v>
      </c>
      <c r="AK686" s="4430"/>
      <c r="AL686" s="3664"/>
      <c r="AM686" s="3664"/>
      <c r="AN686" s="3691"/>
      <c r="AO686" s="3691"/>
      <c r="AP686" s="3691">
        <f t="shared" si="307"/>
        <v>600</v>
      </c>
      <c r="AQ686" s="4089"/>
      <c r="AR686" s="4413"/>
      <c r="AS686" s="4089">
        <f t="shared" ref="AS686:AS713" si="310">I686</f>
        <v>600</v>
      </c>
      <c r="AT686" s="4413"/>
      <c r="AU686" s="4089"/>
      <c r="AV686" s="4089"/>
      <c r="AW686" s="4089"/>
      <c r="AX686" s="4089"/>
      <c r="AY686" s="4089"/>
      <c r="AZ686" s="4089"/>
      <c r="BA686" s="4089"/>
      <c r="BB686" s="4089"/>
      <c r="BC686" s="4089"/>
      <c r="BD686" s="4089"/>
      <c r="BE686" s="4089"/>
      <c r="BF686" s="4089" t="s">
        <v>89</v>
      </c>
      <c r="BG686" s="4089"/>
      <c r="BH686" s="4089">
        <f t="shared" si="287"/>
        <v>100</v>
      </c>
      <c r="BI686" s="4089">
        <f t="shared" si="288"/>
        <v>100</v>
      </c>
      <c r="BJ686" s="4089">
        <f t="shared" si="289"/>
        <v>100</v>
      </c>
      <c r="BK686" s="4089">
        <f t="shared" si="290"/>
        <v>100</v>
      </c>
      <c r="BL686" s="4089">
        <f t="shared" si="291"/>
        <v>100</v>
      </c>
      <c r="BM686" s="4089">
        <f t="shared" si="292"/>
        <v>80</v>
      </c>
      <c r="BN686" s="4089">
        <f t="shared" si="293"/>
        <v>20</v>
      </c>
      <c r="BO686" s="4413"/>
      <c r="BP686" s="4413"/>
      <c r="BQ686" s="4413"/>
      <c r="BR686" s="4413"/>
      <c r="BS686" s="4413"/>
      <c r="BT686" s="4431"/>
      <c r="BU686" s="4432"/>
      <c r="BV686" s="4385">
        <f t="shared" si="279"/>
        <v>600</v>
      </c>
      <c r="BW686" s="4386">
        <f t="shared" si="298"/>
        <v>0</v>
      </c>
      <c r="BX686" s="4387"/>
      <c r="BY686" s="4387"/>
      <c r="BZ686" s="4387"/>
      <c r="CA686" s="4391"/>
      <c r="CB686" s="4391"/>
      <c r="CC686" s="4392"/>
      <c r="CD686" s="4391"/>
    </row>
    <row r="687" s="4025" customFormat="1" ht="50" customHeight="1" spans="1:82">
      <c r="A687" s="3688">
        <v>45883</v>
      </c>
      <c r="B687" s="3689" t="s">
        <v>2285</v>
      </c>
      <c r="C687" s="3664" t="s">
        <v>351</v>
      </c>
      <c r="D687" s="3690">
        <v>4500176870</v>
      </c>
      <c r="E687" s="3664" t="s">
        <v>4869</v>
      </c>
      <c r="F687" s="3690" t="s">
        <v>4870</v>
      </c>
      <c r="G687" s="3664" t="s">
        <v>3343</v>
      </c>
      <c r="H687" s="3664" t="s">
        <v>3344</v>
      </c>
      <c r="I687" s="4052">
        <f>3132</f>
        <v>3132</v>
      </c>
      <c r="J687" s="3618">
        <v>0</v>
      </c>
      <c r="K687" s="3618">
        <v>1</v>
      </c>
      <c r="L687" s="3618">
        <f t="shared" si="286"/>
        <v>3132</v>
      </c>
      <c r="M687" s="3659">
        <v>45929</v>
      </c>
      <c r="N687" s="4111">
        <v>45925</v>
      </c>
      <c r="O687" s="3664" t="s">
        <v>4871</v>
      </c>
      <c r="P687" s="3682" t="s">
        <v>82</v>
      </c>
      <c r="Q687" s="3682"/>
      <c r="R687" s="4083"/>
      <c r="S687" s="4083"/>
      <c r="T687" s="4083"/>
      <c r="U687" s="3645" t="s">
        <v>4800</v>
      </c>
      <c r="V687" s="3649" t="s">
        <v>4641</v>
      </c>
      <c r="W687" s="3657"/>
      <c r="X687" s="3657" t="s">
        <v>4677</v>
      </c>
      <c r="Y687" s="3649"/>
      <c r="Z687" s="3691"/>
      <c r="AA687" s="3620" t="s">
        <v>4872</v>
      </c>
      <c r="AB687" s="3691" t="s">
        <v>1199</v>
      </c>
      <c r="AC687" s="4058">
        <v>8.9518</v>
      </c>
      <c r="AD687" s="3618">
        <f t="shared" si="306"/>
        <v>28037.0376</v>
      </c>
      <c r="AE687" s="3645"/>
      <c r="AF687" s="3664" t="s">
        <v>3349</v>
      </c>
      <c r="AG687" s="3645" t="s">
        <v>416</v>
      </c>
      <c r="AH687" s="4430"/>
      <c r="AI687" s="4082"/>
      <c r="AJ687" s="3691">
        <f t="shared" si="309"/>
        <v>3132</v>
      </c>
      <c r="AK687" s="4430"/>
      <c r="AL687" s="3664"/>
      <c r="AM687" s="3664"/>
      <c r="AN687" s="3691"/>
      <c r="AO687" s="4082"/>
      <c r="AP687" s="3691">
        <f t="shared" si="307"/>
        <v>3132</v>
      </c>
      <c r="AQ687" s="4089"/>
      <c r="AR687" s="4413"/>
      <c r="AS687" s="4089">
        <f t="shared" si="310"/>
        <v>3132</v>
      </c>
      <c r="AT687" s="4413"/>
      <c r="AU687" s="4089"/>
      <c r="AV687" s="4089"/>
      <c r="AW687" s="4089"/>
      <c r="AX687" s="4089"/>
      <c r="AY687" s="4089"/>
      <c r="AZ687" s="4089"/>
      <c r="BA687" s="4089"/>
      <c r="BB687" s="4089"/>
      <c r="BC687" s="4089">
        <f>I687</f>
        <v>3132</v>
      </c>
      <c r="BD687" s="4089"/>
      <c r="BE687" s="4089"/>
      <c r="BF687" s="4089" t="s">
        <v>89</v>
      </c>
      <c r="BG687" s="4089"/>
      <c r="BH687" s="4089">
        <f t="shared" si="287"/>
        <v>522</v>
      </c>
      <c r="BI687" s="4089">
        <f t="shared" si="288"/>
        <v>522</v>
      </c>
      <c r="BJ687" s="4089">
        <f t="shared" si="289"/>
        <v>522</v>
      </c>
      <c r="BK687" s="4089">
        <f t="shared" si="290"/>
        <v>522</v>
      </c>
      <c r="BL687" s="4089">
        <f t="shared" si="291"/>
        <v>522</v>
      </c>
      <c r="BM687" s="4089">
        <f t="shared" si="292"/>
        <v>417.6</v>
      </c>
      <c r="BN687" s="4089">
        <f t="shared" si="293"/>
        <v>104.4</v>
      </c>
      <c r="BO687" s="4413"/>
      <c r="BP687" s="4413"/>
      <c r="BQ687" s="4413"/>
      <c r="BR687" s="4413"/>
      <c r="BS687" s="4413"/>
      <c r="BT687" s="4431"/>
      <c r="BU687" s="4432"/>
      <c r="BV687" s="4385">
        <f t="shared" si="279"/>
        <v>3132</v>
      </c>
      <c r="BW687" s="4386">
        <f t="shared" si="298"/>
        <v>0</v>
      </c>
      <c r="BX687" s="4387"/>
      <c r="BY687" s="4387"/>
      <c r="BZ687" s="4387"/>
      <c r="CA687" s="4391"/>
      <c r="CB687" s="4312"/>
      <c r="CC687" s="4392"/>
      <c r="CD687" s="4391"/>
    </row>
    <row r="688" s="4025" customFormat="1" ht="50" customHeight="1" spans="1:82">
      <c r="A688" s="3688">
        <v>45883</v>
      </c>
      <c r="B688" s="3689" t="s">
        <v>2285</v>
      </c>
      <c r="C688" s="3664" t="s">
        <v>351</v>
      </c>
      <c r="D688" s="3690">
        <v>4500176870</v>
      </c>
      <c r="E688" s="3664" t="s">
        <v>4869</v>
      </c>
      <c r="F688" s="3690" t="s">
        <v>4873</v>
      </c>
      <c r="G688" s="3664" t="s">
        <v>3343</v>
      </c>
      <c r="H688" s="3664" t="s">
        <v>3344</v>
      </c>
      <c r="I688" s="4052">
        <f>1120</f>
        <v>1120</v>
      </c>
      <c r="J688" s="3618">
        <v>0</v>
      </c>
      <c r="K688" s="3618">
        <v>1</v>
      </c>
      <c r="L688" s="3618">
        <f t="shared" si="286"/>
        <v>1120</v>
      </c>
      <c r="M688" s="3659">
        <v>45929</v>
      </c>
      <c r="N688" s="4111">
        <v>45925</v>
      </c>
      <c r="O688" s="3664" t="s">
        <v>4874</v>
      </c>
      <c r="P688" s="3682" t="s">
        <v>82</v>
      </c>
      <c r="Q688" s="3682"/>
      <c r="R688" s="4083"/>
      <c r="S688" s="4083"/>
      <c r="T688" s="4083"/>
      <c r="U688" s="3645" t="s">
        <v>4800</v>
      </c>
      <c r="V688" s="3649" t="s">
        <v>1926</v>
      </c>
      <c r="W688" s="3657"/>
      <c r="X688" s="3657" t="s">
        <v>4677</v>
      </c>
      <c r="Y688" s="3657"/>
      <c r="Z688" s="3691"/>
      <c r="AA688" s="3620" t="s">
        <v>4872</v>
      </c>
      <c r="AB688" s="3691" t="s">
        <v>1199</v>
      </c>
      <c r="AC688" s="4058">
        <v>8.9518</v>
      </c>
      <c r="AD688" s="3618">
        <f t="shared" si="306"/>
        <v>10026.016</v>
      </c>
      <c r="AE688" s="3645"/>
      <c r="AF688" s="3664" t="s">
        <v>3349</v>
      </c>
      <c r="AG688" s="3645" t="s">
        <v>416</v>
      </c>
      <c r="AH688" s="4430"/>
      <c r="AI688" s="3691"/>
      <c r="AJ688" s="4082">
        <f t="shared" si="309"/>
        <v>1120</v>
      </c>
      <c r="AK688" s="4430"/>
      <c r="AL688" s="3664"/>
      <c r="AM688" s="3664"/>
      <c r="AN688" s="3691"/>
      <c r="AO688" s="3691"/>
      <c r="AP688" s="4082">
        <f t="shared" si="307"/>
        <v>1120</v>
      </c>
      <c r="AQ688" s="4089"/>
      <c r="AR688" s="4413"/>
      <c r="AS688" s="4089">
        <f t="shared" si="310"/>
        <v>1120</v>
      </c>
      <c r="AT688" s="4413"/>
      <c r="AU688" s="4089"/>
      <c r="AV688" s="4089"/>
      <c r="AW688" s="4089"/>
      <c r="AX688" s="4089"/>
      <c r="AY688" s="4089"/>
      <c r="AZ688" s="4089"/>
      <c r="BA688" s="4089"/>
      <c r="BB688" s="4089"/>
      <c r="BC688" s="4089">
        <f>I688</f>
        <v>1120</v>
      </c>
      <c r="BD688" s="4089"/>
      <c r="BE688" s="4089"/>
      <c r="BF688" s="4089" t="s">
        <v>89</v>
      </c>
      <c r="BG688" s="4089"/>
      <c r="BH688" s="4089">
        <f t="shared" si="287"/>
        <v>186.666666666667</v>
      </c>
      <c r="BI688" s="4089">
        <f t="shared" si="288"/>
        <v>186.666666666667</v>
      </c>
      <c r="BJ688" s="4089">
        <f t="shared" si="289"/>
        <v>186.666666666667</v>
      </c>
      <c r="BK688" s="4089">
        <f t="shared" si="290"/>
        <v>186.666666666667</v>
      </c>
      <c r="BL688" s="4089">
        <f t="shared" si="291"/>
        <v>186.666666666667</v>
      </c>
      <c r="BM688" s="4089">
        <f t="shared" si="292"/>
        <v>149.333333333333</v>
      </c>
      <c r="BN688" s="4089">
        <f t="shared" si="293"/>
        <v>37.3333333333333</v>
      </c>
      <c r="BO688" s="4413"/>
      <c r="BP688" s="4413"/>
      <c r="BQ688" s="4413"/>
      <c r="BR688" s="4413"/>
      <c r="BS688" s="4413"/>
      <c r="BT688" s="4431"/>
      <c r="BU688" s="4432"/>
      <c r="BV688" s="4385">
        <f t="shared" si="279"/>
        <v>1120</v>
      </c>
      <c r="BW688" s="4386">
        <f t="shared" si="298"/>
        <v>0</v>
      </c>
      <c r="BX688" s="4387"/>
      <c r="BY688" s="4387"/>
      <c r="BZ688" s="4387"/>
      <c r="CA688" s="4391"/>
      <c r="CC688" s="4392"/>
      <c r="CD688" s="4391"/>
    </row>
    <row r="689" s="4025" customFormat="1" ht="50" customHeight="1" spans="1:82">
      <c r="A689" s="3688">
        <v>45883</v>
      </c>
      <c r="B689" s="3689" t="s">
        <v>2285</v>
      </c>
      <c r="C689" s="3664" t="s">
        <v>351</v>
      </c>
      <c r="D689" s="3690">
        <v>4500176870</v>
      </c>
      <c r="E689" s="3664" t="s">
        <v>4869</v>
      </c>
      <c r="F689" s="3690" t="s">
        <v>4875</v>
      </c>
      <c r="G689" s="3664" t="s">
        <v>3352</v>
      </c>
      <c r="H689" s="3664" t="s">
        <v>3353</v>
      </c>
      <c r="I689" s="4052">
        <f>4512</f>
        <v>4512</v>
      </c>
      <c r="J689" s="3618">
        <v>0</v>
      </c>
      <c r="K689" s="3618">
        <v>12</v>
      </c>
      <c r="L689" s="3618">
        <f t="shared" si="286"/>
        <v>376</v>
      </c>
      <c r="M689" s="3659">
        <v>45929</v>
      </c>
      <c r="N689" s="4111">
        <v>45925</v>
      </c>
      <c r="O689" s="3664" t="s">
        <v>4874</v>
      </c>
      <c r="P689" s="3682" t="s">
        <v>82</v>
      </c>
      <c r="Q689" s="3682"/>
      <c r="R689" s="4083"/>
      <c r="S689" s="4083"/>
      <c r="T689" s="4083"/>
      <c r="U689" s="3645" t="s">
        <v>4800</v>
      </c>
      <c r="V689" s="3649" t="s">
        <v>1926</v>
      </c>
      <c r="W689" s="3657"/>
      <c r="X689" s="3657" t="s">
        <v>4677</v>
      </c>
      <c r="Y689" s="3657"/>
      <c r="Z689" s="3691"/>
      <c r="AA689" s="3620" t="s">
        <v>4876</v>
      </c>
      <c r="AB689" s="3691" t="s">
        <v>1199</v>
      </c>
      <c r="AC689" s="3618">
        <v>4.8085</v>
      </c>
      <c r="AD689" s="3618">
        <f t="shared" si="306"/>
        <v>21695.952</v>
      </c>
      <c r="AE689" s="3645"/>
      <c r="AF689" s="3664" t="s">
        <v>3356</v>
      </c>
      <c r="AG689" s="3645" t="s">
        <v>416</v>
      </c>
      <c r="AH689" s="4430"/>
      <c r="AI689" s="3691"/>
      <c r="AJ689" s="4082">
        <f t="shared" si="309"/>
        <v>4512</v>
      </c>
      <c r="AK689" s="4430"/>
      <c r="AL689" s="3664"/>
      <c r="AM689" s="3664"/>
      <c r="AN689" s="3691"/>
      <c r="AO689" s="3691"/>
      <c r="AP689" s="4082">
        <f t="shared" si="307"/>
        <v>4512</v>
      </c>
      <c r="AQ689" s="4089"/>
      <c r="AR689" s="4413"/>
      <c r="AS689" s="4089">
        <f t="shared" si="310"/>
        <v>4512</v>
      </c>
      <c r="AT689" s="4413"/>
      <c r="AU689" s="4089"/>
      <c r="AV689" s="4089"/>
      <c r="AW689" s="4089"/>
      <c r="AX689" s="4089"/>
      <c r="AY689" s="4089"/>
      <c r="AZ689" s="4089"/>
      <c r="BA689" s="4089"/>
      <c r="BB689" s="4089"/>
      <c r="BC689" s="4089">
        <f>I689</f>
        <v>4512</v>
      </c>
      <c r="BD689" s="4089"/>
      <c r="BE689" s="4089"/>
      <c r="BF689" s="4089" t="s">
        <v>89</v>
      </c>
      <c r="BG689" s="4089"/>
      <c r="BH689" s="4089">
        <f t="shared" si="287"/>
        <v>752</v>
      </c>
      <c r="BI689" s="4089">
        <f t="shared" si="288"/>
        <v>752</v>
      </c>
      <c r="BJ689" s="4089">
        <f t="shared" si="289"/>
        <v>752</v>
      </c>
      <c r="BK689" s="4403">
        <f t="shared" si="290"/>
        <v>752</v>
      </c>
      <c r="BL689" s="4385">
        <f t="shared" si="291"/>
        <v>752</v>
      </c>
      <c r="BM689" s="4403">
        <f t="shared" si="292"/>
        <v>601.6</v>
      </c>
      <c r="BN689" s="4089">
        <f t="shared" si="293"/>
        <v>150.4</v>
      </c>
      <c r="BO689" s="4413"/>
      <c r="BP689" s="4413"/>
      <c r="BQ689" s="4413"/>
      <c r="BR689" s="4413"/>
      <c r="BS689" s="4413"/>
      <c r="BT689" s="4431"/>
      <c r="BU689" s="4432"/>
      <c r="BV689" s="4385">
        <f t="shared" si="279"/>
        <v>4512</v>
      </c>
      <c r="BW689" s="4386">
        <f t="shared" si="298"/>
        <v>0</v>
      </c>
      <c r="BX689" s="4387"/>
      <c r="BY689" s="4387"/>
      <c r="BZ689" s="4387"/>
      <c r="CA689" s="4391"/>
      <c r="CC689" s="4392"/>
      <c r="CD689" s="4391"/>
    </row>
    <row r="690" s="4025" customFormat="1" ht="50" customHeight="1" spans="1:82">
      <c r="A690" s="3688">
        <v>45898</v>
      </c>
      <c r="B690" s="3689" t="s">
        <v>3495</v>
      </c>
      <c r="C690" s="3664" t="s">
        <v>91</v>
      </c>
      <c r="D690" s="3690">
        <v>4500178282</v>
      </c>
      <c r="E690" s="5456" t="s">
        <v>4877</v>
      </c>
      <c r="F690" s="3690" t="s">
        <v>4878</v>
      </c>
      <c r="G690" s="3664" t="s">
        <v>3068</v>
      </c>
      <c r="H690" s="3664" t="s">
        <v>3069</v>
      </c>
      <c r="I690" s="3691">
        <v>1536</v>
      </c>
      <c r="J690" s="3691">
        <v>0</v>
      </c>
      <c r="K690" s="3691">
        <v>384</v>
      </c>
      <c r="L690" s="3691">
        <f t="shared" si="286"/>
        <v>4</v>
      </c>
      <c r="M690" s="3659">
        <v>45929</v>
      </c>
      <c r="N690" s="3659">
        <v>45925</v>
      </c>
      <c r="O690" s="3664" t="s">
        <v>4879</v>
      </c>
      <c r="P690" s="3682" t="s">
        <v>82</v>
      </c>
      <c r="Q690" s="3682"/>
      <c r="R690" s="4083"/>
      <c r="S690" s="4083"/>
      <c r="T690" s="4083"/>
      <c r="U690" s="3645" t="s">
        <v>262</v>
      </c>
      <c r="V690" s="3649" t="s">
        <v>4880</v>
      </c>
      <c r="W690" s="3657"/>
      <c r="X690" s="3657" t="s">
        <v>4710</v>
      </c>
      <c r="Y690" s="3657" t="s">
        <v>4881</v>
      </c>
      <c r="Z690" s="3661"/>
      <c r="AA690" s="3620" t="s">
        <v>4882</v>
      </c>
      <c r="AB690" s="3691" t="s">
        <v>3076</v>
      </c>
      <c r="AC690" s="4087">
        <v>519.73</v>
      </c>
      <c r="AD690" s="3691">
        <f t="shared" ref="AD690:AD696" si="311">AC690*L690</f>
        <v>2078.92</v>
      </c>
      <c r="AE690" s="3645" t="s">
        <v>4883</v>
      </c>
      <c r="AF690" s="3664" t="s">
        <v>3078</v>
      </c>
      <c r="AG690" s="3645" t="s">
        <v>416</v>
      </c>
      <c r="AH690" s="905"/>
      <c r="AI690" s="3691"/>
      <c r="AJ690" s="4082">
        <f t="shared" si="309"/>
        <v>1536</v>
      </c>
      <c r="AK690" s="905"/>
      <c r="AL690" s="3664"/>
      <c r="AM690" s="3664"/>
      <c r="AN690" s="3691"/>
      <c r="AO690" s="3691"/>
      <c r="AP690" s="4082">
        <f t="shared" si="307"/>
        <v>1536</v>
      </c>
      <c r="AQ690" s="4089"/>
      <c r="AR690" s="4382"/>
      <c r="AS690" s="4495">
        <f t="shared" si="310"/>
        <v>1536</v>
      </c>
      <c r="AT690" s="4382"/>
      <c r="AU690" s="4089"/>
      <c r="AV690" s="4089"/>
      <c r="AW690" s="4089"/>
      <c r="AX690" s="4089"/>
      <c r="AY690" s="4089"/>
      <c r="AZ690" s="4089"/>
      <c r="BA690" s="4089"/>
      <c r="BB690" s="4495">
        <f t="shared" ref="BB690:BB696" si="312">I690/2</f>
        <v>768</v>
      </c>
      <c r="BC690" s="4089"/>
      <c r="BD690" s="4089"/>
      <c r="BE690" s="4089"/>
      <c r="BF690" s="4089" t="s">
        <v>89</v>
      </c>
      <c r="BG690" s="4089"/>
      <c r="BH690" s="4495">
        <f t="shared" si="287"/>
        <v>256</v>
      </c>
      <c r="BI690" s="4495">
        <f t="shared" si="288"/>
        <v>256</v>
      </c>
      <c r="BJ690" s="4495">
        <f t="shared" si="289"/>
        <v>256</v>
      </c>
      <c r="BK690" s="4495">
        <f t="shared" si="290"/>
        <v>256</v>
      </c>
      <c r="BL690" s="4495">
        <f t="shared" si="291"/>
        <v>256</v>
      </c>
      <c r="BM690" s="4495">
        <f t="shared" si="292"/>
        <v>204.8</v>
      </c>
      <c r="BN690" s="4495">
        <f t="shared" si="293"/>
        <v>51.2</v>
      </c>
      <c r="BO690" s="4382"/>
      <c r="BP690" s="4382"/>
      <c r="BQ690" s="4382"/>
      <c r="BR690" s="4382"/>
      <c r="BS690" s="4382"/>
      <c r="BT690" s="4383"/>
      <c r="BU690" s="4384"/>
      <c r="BV690" s="4496">
        <f t="shared" ref="BV690:BV753" si="313">SUM(BH690:BU690)</f>
        <v>1536</v>
      </c>
      <c r="BW690" s="4497">
        <f t="shared" si="298"/>
        <v>0</v>
      </c>
      <c r="BX690" s="4387"/>
      <c r="BY690" s="4387"/>
      <c r="BZ690" s="4387"/>
      <c r="CA690" s="4391"/>
      <c r="CB690" s="4388"/>
      <c r="CC690" s="4392"/>
      <c r="CD690" s="4391"/>
    </row>
    <row r="691" s="4025" customFormat="1" ht="50" customHeight="1" spans="1:82">
      <c r="A691" s="3688">
        <v>45898</v>
      </c>
      <c r="B691" s="3689" t="s">
        <v>3495</v>
      </c>
      <c r="C691" s="3664" t="s">
        <v>91</v>
      </c>
      <c r="D691" s="3690">
        <v>4500178282</v>
      </c>
      <c r="E691" s="5456" t="s">
        <v>4884</v>
      </c>
      <c r="F691" s="3690" t="s">
        <v>4885</v>
      </c>
      <c r="G691" s="3664" t="s">
        <v>3068</v>
      </c>
      <c r="H691" s="3664" t="s">
        <v>3069</v>
      </c>
      <c r="I691" s="3691">
        <v>1920</v>
      </c>
      <c r="J691" s="3691">
        <v>0</v>
      </c>
      <c r="K691" s="3691">
        <v>384</v>
      </c>
      <c r="L691" s="3691">
        <f t="shared" si="286"/>
        <v>5</v>
      </c>
      <c r="M691" s="3659">
        <v>45929</v>
      </c>
      <c r="N691" s="3659">
        <v>45925</v>
      </c>
      <c r="O691" s="3664" t="s">
        <v>4879</v>
      </c>
      <c r="P691" s="3682" t="s">
        <v>82</v>
      </c>
      <c r="Q691" s="4488"/>
      <c r="R691" s="4489"/>
      <c r="S691" s="4489"/>
      <c r="T691" s="4489"/>
      <c r="U691" s="3701" t="s">
        <v>2055</v>
      </c>
      <c r="V691" s="3649" t="s">
        <v>4880</v>
      </c>
      <c r="W691" s="3657"/>
      <c r="X691" s="3657" t="s">
        <v>4710</v>
      </c>
      <c r="Y691" s="3649" t="s">
        <v>4881</v>
      </c>
      <c r="Z691" s="3661"/>
      <c r="AA691" s="3620" t="s">
        <v>4882</v>
      </c>
      <c r="AB691" s="3691" t="s">
        <v>3076</v>
      </c>
      <c r="AC691" s="4087">
        <v>519.728</v>
      </c>
      <c r="AD691" s="3691">
        <f t="shared" si="311"/>
        <v>2598.64</v>
      </c>
      <c r="AE691" s="3645" t="s">
        <v>4886</v>
      </c>
      <c r="AF691" s="3664" t="s">
        <v>3078</v>
      </c>
      <c r="AG691" s="3645" t="s">
        <v>416</v>
      </c>
      <c r="AH691" s="905"/>
      <c r="AI691" s="3691"/>
      <c r="AJ691" s="4082">
        <f t="shared" si="309"/>
        <v>1920</v>
      </c>
      <c r="AK691" s="905"/>
      <c r="AL691" s="3664"/>
      <c r="AM691" s="3664"/>
      <c r="AN691" s="3691"/>
      <c r="AO691" s="3691"/>
      <c r="AP691" s="4082">
        <f t="shared" si="307"/>
        <v>1920</v>
      </c>
      <c r="AQ691" s="4089"/>
      <c r="AR691" s="4382"/>
      <c r="AS691" s="4495">
        <f t="shared" si="310"/>
        <v>1920</v>
      </c>
      <c r="AT691" s="4382"/>
      <c r="AU691" s="4089"/>
      <c r="AV691" s="4089"/>
      <c r="AW691" s="4089"/>
      <c r="AX691" s="4089"/>
      <c r="AY691" s="4089"/>
      <c r="AZ691" s="4089"/>
      <c r="BA691" s="4089"/>
      <c r="BB691" s="4495">
        <f t="shared" si="312"/>
        <v>960</v>
      </c>
      <c r="BC691" s="4089"/>
      <c r="BD691" s="4089"/>
      <c r="BE691" s="4089"/>
      <c r="BF691" s="4089" t="s">
        <v>89</v>
      </c>
      <c r="BG691" s="4089"/>
      <c r="BH691" s="4495">
        <f t="shared" si="287"/>
        <v>320</v>
      </c>
      <c r="BI691" s="4495">
        <f t="shared" si="288"/>
        <v>320</v>
      </c>
      <c r="BJ691" s="4495">
        <f t="shared" si="289"/>
        <v>320</v>
      </c>
      <c r="BK691" s="4495">
        <f t="shared" si="290"/>
        <v>320</v>
      </c>
      <c r="BL691" s="4495">
        <f t="shared" si="291"/>
        <v>320</v>
      </c>
      <c r="BM691" s="4495">
        <f t="shared" si="292"/>
        <v>256</v>
      </c>
      <c r="BN691" s="4495">
        <f t="shared" si="293"/>
        <v>64</v>
      </c>
      <c r="BO691" s="4382"/>
      <c r="BP691" s="4382"/>
      <c r="BQ691" s="4382"/>
      <c r="BR691" s="4382"/>
      <c r="BS691" s="4382"/>
      <c r="BT691" s="4383"/>
      <c r="BU691" s="4384"/>
      <c r="BV691" s="4496">
        <f t="shared" si="313"/>
        <v>1920</v>
      </c>
      <c r="BW691" s="4497">
        <f t="shared" si="298"/>
        <v>0</v>
      </c>
      <c r="BX691" s="4387"/>
      <c r="BY691" s="4387"/>
      <c r="BZ691" s="4387"/>
      <c r="CA691" s="4391"/>
      <c r="CB691" s="4388"/>
      <c r="CC691" s="4392"/>
      <c r="CD691" s="4391"/>
    </row>
    <row r="692" s="4025" customFormat="1" ht="50" customHeight="1" spans="1:82">
      <c r="A692" s="3688">
        <v>45898</v>
      </c>
      <c r="B692" s="3689" t="s">
        <v>3495</v>
      </c>
      <c r="C692" s="3664" t="s">
        <v>91</v>
      </c>
      <c r="D692" s="3690">
        <v>4500178282</v>
      </c>
      <c r="E692" s="5456" t="s">
        <v>4887</v>
      </c>
      <c r="F692" s="3690" t="s">
        <v>4888</v>
      </c>
      <c r="G692" s="3664" t="s">
        <v>3068</v>
      </c>
      <c r="H692" s="3664" t="s">
        <v>3069</v>
      </c>
      <c r="I692" s="3691">
        <v>3840</v>
      </c>
      <c r="J692" s="3691">
        <v>0</v>
      </c>
      <c r="K692" s="3691">
        <v>384</v>
      </c>
      <c r="L692" s="3691">
        <f t="shared" si="286"/>
        <v>10</v>
      </c>
      <c r="M692" s="3659">
        <v>45929</v>
      </c>
      <c r="N692" s="3659">
        <v>45925</v>
      </c>
      <c r="O692" s="3664" t="s">
        <v>4879</v>
      </c>
      <c r="P692" s="3682" t="s">
        <v>82</v>
      </c>
      <c r="Q692" s="3682"/>
      <c r="R692" s="4083"/>
      <c r="S692" s="4083"/>
      <c r="T692" s="4083"/>
      <c r="U692" s="3645" t="s">
        <v>2042</v>
      </c>
      <c r="V692" s="3649" t="s">
        <v>4880</v>
      </c>
      <c r="W692" s="3657"/>
      <c r="X692" s="3657" t="s">
        <v>4710</v>
      </c>
      <c r="Y692" s="3657" t="s">
        <v>4881</v>
      </c>
      <c r="Z692" s="3661"/>
      <c r="AA692" s="3620" t="s">
        <v>4882</v>
      </c>
      <c r="AB692" s="3691" t="s">
        <v>3076</v>
      </c>
      <c r="AC692" s="4087">
        <v>500.161</v>
      </c>
      <c r="AD692" s="3691">
        <f t="shared" si="311"/>
        <v>5001.61</v>
      </c>
      <c r="AE692" s="3645" t="s">
        <v>4889</v>
      </c>
      <c r="AF692" s="3664" t="s">
        <v>3078</v>
      </c>
      <c r="AG692" s="3645" t="s">
        <v>416</v>
      </c>
      <c r="AH692" s="905"/>
      <c r="AI692" s="3691"/>
      <c r="AJ692" s="4082">
        <f t="shared" si="309"/>
        <v>3840</v>
      </c>
      <c r="AK692" s="905"/>
      <c r="AL692" s="3664"/>
      <c r="AM692" s="3664"/>
      <c r="AN692" s="3691"/>
      <c r="AO692" s="3691"/>
      <c r="AP692" s="4082">
        <f t="shared" si="307"/>
        <v>3840</v>
      </c>
      <c r="AQ692" s="4089"/>
      <c r="AR692" s="4382"/>
      <c r="AS692" s="4495">
        <f t="shared" si="310"/>
        <v>3840</v>
      </c>
      <c r="AT692" s="4382"/>
      <c r="AU692" s="4089"/>
      <c r="AV692" s="4089"/>
      <c r="AW692" s="4089"/>
      <c r="AX692" s="4089"/>
      <c r="AY692" s="4089"/>
      <c r="AZ692" s="4089"/>
      <c r="BA692" s="4089"/>
      <c r="BB692" s="4495">
        <f t="shared" si="312"/>
        <v>1920</v>
      </c>
      <c r="BC692" s="4089"/>
      <c r="BD692" s="4089"/>
      <c r="BE692" s="4089"/>
      <c r="BF692" s="4089" t="s">
        <v>89</v>
      </c>
      <c r="BG692" s="4089"/>
      <c r="BH692" s="4495">
        <f t="shared" si="287"/>
        <v>640</v>
      </c>
      <c r="BI692" s="4495">
        <f t="shared" si="288"/>
        <v>640</v>
      </c>
      <c r="BJ692" s="4495">
        <f t="shared" si="289"/>
        <v>640</v>
      </c>
      <c r="BK692" s="4495">
        <f t="shared" si="290"/>
        <v>640</v>
      </c>
      <c r="BL692" s="4495">
        <f t="shared" si="291"/>
        <v>640</v>
      </c>
      <c r="BM692" s="4495">
        <f t="shared" si="292"/>
        <v>512</v>
      </c>
      <c r="BN692" s="4495">
        <f t="shared" si="293"/>
        <v>128</v>
      </c>
      <c r="BO692" s="4382"/>
      <c r="BP692" s="4382"/>
      <c r="BQ692" s="4382"/>
      <c r="BR692" s="4382"/>
      <c r="BS692" s="4382"/>
      <c r="BT692" s="4383"/>
      <c r="BU692" s="4384"/>
      <c r="BV692" s="4496">
        <f t="shared" si="313"/>
        <v>3840</v>
      </c>
      <c r="BW692" s="4497">
        <f t="shared" si="298"/>
        <v>0</v>
      </c>
      <c r="BX692" s="4387"/>
      <c r="BY692" s="4387"/>
      <c r="BZ692" s="4387"/>
      <c r="CA692" s="4391"/>
      <c r="CB692" s="4388"/>
      <c r="CC692" s="4392"/>
      <c r="CD692" s="4391"/>
    </row>
    <row r="693" s="4025" customFormat="1" ht="50" customHeight="1" spans="1:82">
      <c r="A693" s="3688">
        <v>45898</v>
      </c>
      <c r="B693" s="3689" t="s">
        <v>3495</v>
      </c>
      <c r="C693" s="3664" t="s">
        <v>91</v>
      </c>
      <c r="D693" s="3690">
        <v>4500178282</v>
      </c>
      <c r="E693" s="5456" t="s">
        <v>4890</v>
      </c>
      <c r="F693" s="3690" t="s">
        <v>4891</v>
      </c>
      <c r="G693" s="3664" t="s">
        <v>3068</v>
      </c>
      <c r="H693" s="3664" t="s">
        <v>3069</v>
      </c>
      <c r="I693" s="3691">
        <v>1536</v>
      </c>
      <c r="J693" s="3691">
        <v>0</v>
      </c>
      <c r="K693" s="3691">
        <v>384</v>
      </c>
      <c r="L693" s="3691">
        <f t="shared" si="286"/>
        <v>4</v>
      </c>
      <c r="M693" s="3659">
        <v>45929</v>
      </c>
      <c r="N693" s="3659">
        <v>45925</v>
      </c>
      <c r="O693" s="3664" t="s">
        <v>4879</v>
      </c>
      <c r="P693" s="3682" t="s">
        <v>82</v>
      </c>
      <c r="Q693" s="3682"/>
      <c r="R693" s="4083"/>
      <c r="S693" s="4083"/>
      <c r="T693" s="4083"/>
      <c r="U693" s="3645" t="s">
        <v>4892</v>
      </c>
      <c r="V693" s="3649" t="s">
        <v>4880</v>
      </c>
      <c r="W693" s="3657"/>
      <c r="X693" s="3657" t="s">
        <v>4710</v>
      </c>
      <c r="Y693" s="3657" t="s">
        <v>4881</v>
      </c>
      <c r="Z693" s="3661"/>
      <c r="AA693" s="3620" t="s">
        <v>4882</v>
      </c>
      <c r="AB693" s="3691" t="s">
        <v>3076</v>
      </c>
      <c r="AC693" s="4087">
        <v>531.79</v>
      </c>
      <c r="AD693" s="3691">
        <f t="shared" si="311"/>
        <v>2127.16</v>
      </c>
      <c r="AE693" s="3645" t="s">
        <v>4893</v>
      </c>
      <c r="AF693" s="3664" t="s">
        <v>3078</v>
      </c>
      <c r="AG693" s="3645" t="s">
        <v>416</v>
      </c>
      <c r="AH693" s="905"/>
      <c r="AI693" s="3691"/>
      <c r="AJ693" s="4082">
        <f t="shared" si="309"/>
        <v>1536</v>
      </c>
      <c r="AK693" s="905"/>
      <c r="AL693" s="3664"/>
      <c r="AM693" s="3664"/>
      <c r="AN693" s="3691"/>
      <c r="AO693" s="3691"/>
      <c r="AP693" s="4082">
        <f t="shared" si="307"/>
        <v>1536</v>
      </c>
      <c r="AQ693" s="4089"/>
      <c r="AR693" s="4382"/>
      <c r="AS693" s="4495">
        <f t="shared" si="310"/>
        <v>1536</v>
      </c>
      <c r="AT693" s="4382"/>
      <c r="AU693" s="4089"/>
      <c r="AV693" s="4089"/>
      <c r="AW693" s="4089"/>
      <c r="AX693" s="4089"/>
      <c r="AY693" s="4089"/>
      <c r="AZ693" s="4089"/>
      <c r="BA693" s="4089"/>
      <c r="BB693" s="4495">
        <f t="shared" si="312"/>
        <v>768</v>
      </c>
      <c r="BC693" s="4089"/>
      <c r="BD693" s="4089"/>
      <c r="BE693" s="4089"/>
      <c r="BF693" s="4089" t="s">
        <v>89</v>
      </c>
      <c r="BG693" s="4089"/>
      <c r="BH693" s="4495">
        <f t="shared" si="287"/>
        <v>256</v>
      </c>
      <c r="BI693" s="4495">
        <f t="shared" si="288"/>
        <v>256</v>
      </c>
      <c r="BJ693" s="4495">
        <f t="shared" si="289"/>
        <v>256</v>
      </c>
      <c r="BK693" s="4495">
        <f t="shared" si="290"/>
        <v>256</v>
      </c>
      <c r="BL693" s="4495">
        <f t="shared" si="291"/>
        <v>256</v>
      </c>
      <c r="BM693" s="4495">
        <f t="shared" si="292"/>
        <v>204.8</v>
      </c>
      <c r="BN693" s="4495">
        <f t="shared" si="293"/>
        <v>51.2</v>
      </c>
      <c r="BO693" s="4382"/>
      <c r="BP693" s="4382"/>
      <c r="BQ693" s="4382"/>
      <c r="BR693" s="4382"/>
      <c r="BS693" s="4382"/>
      <c r="BT693" s="4383"/>
      <c r="BU693" s="4384"/>
      <c r="BV693" s="4496">
        <f t="shared" si="313"/>
        <v>1536</v>
      </c>
      <c r="BW693" s="4497">
        <f t="shared" si="298"/>
        <v>0</v>
      </c>
      <c r="BX693" s="4387"/>
      <c r="BY693" s="4387"/>
      <c r="BZ693" s="4387"/>
      <c r="CA693" s="4391"/>
      <c r="CB693" s="4388"/>
      <c r="CC693" s="4392"/>
      <c r="CD693" s="4391"/>
    </row>
    <row r="694" s="4025" customFormat="1" ht="50" customHeight="1" spans="1:82">
      <c r="A694" s="3688">
        <v>45898</v>
      </c>
      <c r="B694" s="3689" t="s">
        <v>3495</v>
      </c>
      <c r="C694" s="3664" t="s">
        <v>91</v>
      </c>
      <c r="D694" s="3690">
        <v>4500178282</v>
      </c>
      <c r="E694" s="5456" t="s">
        <v>4894</v>
      </c>
      <c r="F694" s="3690" t="s">
        <v>4895</v>
      </c>
      <c r="G694" s="3664" t="s">
        <v>3068</v>
      </c>
      <c r="H694" s="3664" t="s">
        <v>3069</v>
      </c>
      <c r="I694" s="3691">
        <v>3456</v>
      </c>
      <c r="J694" s="3691">
        <v>0</v>
      </c>
      <c r="K694" s="3691">
        <v>384</v>
      </c>
      <c r="L694" s="3691">
        <f t="shared" si="286"/>
        <v>9</v>
      </c>
      <c r="M694" s="3659">
        <v>45929</v>
      </c>
      <c r="N694" s="3659">
        <v>45925</v>
      </c>
      <c r="O694" s="3664" t="s">
        <v>4879</v>
      </c>
      <c r="P694" s="3682" t="s">
        <v>82</v>
      </c>
      <c r="Q694" s="3682"/>
      <c r="R694" s="4083"/>
      <c r="S694" s="4083"/>
      <c r="T694" s="4083"/>
      <c r="U694" s="3645" t="s">
        <v>2001</v>
      </c>
      <c r="V694" s="3649" t="s">
        <v>4880</v>
      </c>
      <c r="W694" s="3657"/>
      <c r="X694" s="3657" t="s">
        <v>4710</v>
      </c>
      <c r="Y694" s="3657" t="s">
        <v>4881</v>
      </c>
      <c r="Z694" s="3661"/>
      <c r="AA694" s="3620" t="s">
        <v>4882</v>
      </c>
      <c r="AB694" s="3691" t="s">
        <v>3076</v>
      </c>
      <c r="AC694" s="3691">
        <v>531.0078</v>
      </c>
      <c r="AD694" s="3691">
        <f t="shared" si="311"/>
        <v>4779.0702</v>
      </c>
      <c r="AE694" s="3645" t="s">
        <v>4896</v>
      </c>
      <c r="AF694" s="3664" t="s">
        <v>3078</v>
      </c>
      <c r="AG694" s="3645" t="s">
        <v>416</v>
      </c>
      <c r="AH694" s="905"/>
      <c r="AI694" s="3691"/>
      <c r="AJ694" s="4082">
        <f t="shared" si="309"/>
        <v>3456</v>
      </c>
      <c r="AK694" s="905"/>
      <c r="AL694" s="3664"/>
      <c r="AM694" s="3664"/>
      <c r="AN694" s="3691"/>
      <c r="AO694" s="3691"/>
      <c r="AP694" s="4082">
        <f t="shared" si="307"/>
        <v>3456</v>
      </c>
      <c r="AQ694" s="4089"/>
      <c r="AR694" s="4382"/>
      <c r="AS694" s="4495">
        <f t="shared" si="310"/>
        <v>3456</v>
      </c>
      <c r="AT694" s="4382"/>
      <c r="AU694" s="4089"/>
      <c r="AV694" s="4089"/>
      <c r="AW694" s="4089"/>
      <c r="AX694" s="4089"/>
      <c r="AY694" s="4089"/>
      <c r="AZ694" s="4089"/>
      <c r="BA694" s="4089"/>
      <c r="BB694" s="4495">
        <f t="shared" si="312"/>
        <v>1728</v>
      </c>
      <c r="BC694" s="4089"/>
      <c r="BD694" s="4089"/>
      <c r="BE694" s="4089"/>
      <c r="BF694" s="4089" t="s">
        <v>89</v>
      </c>
      <c r="BG694" s="4089"/>
      <c r="BH694" s="4495">
        <f t="shared" si="287"/>
        <v>576</v>
      </c>
      <c r="BI694" s="4495">
        <f t="shared" si="288"/>
        <v>576</v>
      </c>
      <c r="BJ694" s="4495">
        <f t="shared" si="289"/>
        <v>576</v>
      </c>
      <c r="BK694" s="4495">
        <f t="shared" si="290"/>
        <v>576</v>
      </c>
      <c r="BL694" s="4495">
        <f t="shared" si="291"/>
        <v>576</v>
      </c>
      <c r="BM694" s="4495">
        <f t="shared" si="292"/>
        <v>460.8</v>
      </c>
      <c r="BN694" s="4495">
        <f t="shared" si="293"/>
        <v>115.2</v>
      </c>
      <c r="BO694" s="4382"/>
      <c r="BP694" s="4382"/>
      <c r="BQ694" s="4382"/>
      <c r="BR694" s="4382"/>
      <c r="BS694" s="4382"/>
      <c r="BT694" s="4383"/>
      <c r="BU694" s="4384"/>
      <c r="BV694" s="4496">
        <f t="shared" si="313"/>
        <v>3456</v>
      </c>
      <c r="BW694" s="4497">
        <f t="shared" si="298"/>
        <v>0</v>
      </c>
      <c r="BX694" s="4387"/>
      <c r="BY694" s="4387"/>
      <c r="BZ694" s="4387"/>
      <c r="CA694" s="4391"/>
      <c r="CB694" s="4388"/>
      <c r="CC694" s="4392"/>
      <c r="CD694" s="4391"/>
    </row>
    <row r="695" s="4025" customFormat="1" ht="50" customHeight="1" spans="1:82">
      <c r="A695" s="3688">
        <v>45898</v>
      </c>
      <c r="B695" s="3689" t="s">
        <v>3495</v>
      </c>
      <c r="C695" s="3664" t="s">
        <v>91</v>
      </c>
      <c r="D695" s="3690">
        <v>4500178282</v>
      </c>
      <c r="E695" s="5456" t="s">
        <v>4897</v>
      </c>
      <c r="F695" s="3690" t="s">
        <v>4898</v>
      </c>
      <c r="G695" s="3664" t="s">
        <v>3068</v>
      </c>
      <c r="H695" s="3664" t="s">
        <v>3069</v>
      </c>
      <c r="I695" s="3691">
        <v>2304</v>
      </c>
      <c r="J695" s="3691">
        <v>0</v>
      </c>
      <c r="K695" s="3691">
        <v>384</v>
      </c>
      <c r="L695" s="3691">
        <f t="shared" si="286"/>
        <v>6</v>
      </c>
      <c r="M695" s="3659">
        <v>45929</v>
      </c>
      <c r="N695" s="3659">
        <v>45925</v>
      </c>
      <c r="O695" s="3664" t="s">
        <v>4879</v>
      </c>
      <c r="P695" s="3682" t="s">
        <v>82</v>
      </c>
      <c r="Q695" s="4488"/>
      <c r="R695" s="4489"/>
      <c r="S695" s="4489"/>
      <c r="T695" s="4489"/>
      <c r="U695" s="3701" t="s">
        <v>2055</v>
      </c>
      <c r="V695" s="3649" t="s">
        <v>4880</v>
      </c>
      <c r="W695" s="3657"/>
      <c r="X695" s="3657" t="s">
        <v>4710</v>
      </c>
      <c r="Y695" s="3649" t="s">
        <v>4881</v>
      </c>
      <c r="Z695" s="3661"/>
      <c r="AA695" s="3620" t="s">
        <v>4882</v>
      </c>
      <c r="AB695" s="3691" t="s">
        <v>3076</v>
      </c>
      <c r="AC695" s="4087">
        <v>531.79</v>
      </c>
      <c r="AD695" s="3691">
        <f t="shared" si="311"/>
        <v>3190.74</v>
      </c>
      <c r="AE695" s="3645" t="s">
        <v>4899</v>
      </c>
      <c r="AF695" s="3664" t="s">
        <v>3078</v>
      </c>
      <c r="AG695" s="3645" t="s">
        <v>416</v>
      </c>
      <c r="AH695" s="905"/>
      <c r="AI695" s="3691"/>
      <c r="AJ695" s="4082">
        <f t="shared" si="309"/>
        <v>2304</v>
      </c>
      <c r="AK695" s="905"/>
      <c r="AL695" s="3664"/>
      <c r="AM695" s="3664"/>
      <c r="AN695" s="3691"/>
      <c r="AO695" s="3691"/>
      <c r="AP695" s="4082">
        <f t="shared" si="307"/>
        <v>2304</v>
      </c>
      <c r="AQ695" s="4089"/>
      <c r="AR695" s="4382"/>
      <c r="AS695" s="4495">
        <f t="shared" si="310"/>
        <v>2304</v>
      </c>
      <c r="AT695" s="4382"/>
      <c r="AU695" s="4089"/>
      <c r="AV695" s="4089"/>
      <c r="AW695" s="4089"/>
      <c r="AX695" s="4089"/>
      <c r="AY695" s="4089"/>
      <c r="AZ695" s="4089"/>
      <c r="BA695" s="4089"/>
      <c r="BB695" s="4495">
        <f t="shared" si="312"/>
        <v>1152</v>
      </c>
      <c r="BC695" s="4089"/>
      <c r="BD695" s="4089"/>
      <c r="BE695" s="4089"/>
      <c r="BF695" s="4089" t="s">
        <v>89</v>
      </c>
      <c r="BG695" s="4089"/>
      <c r="BH695" s="4495">
        <f t="shared" si="287"/>
        <v>384</v>
      </c>
      <c r="BI695" s="4495">
        <f t="shared" si="288"/>
        <v>384</v>
      </c>
      <c r="BJ695" s="4495">
        <f t="shared" si="289"/>
        <v>384</v>
      </c>
      <c r="BK695" s="4495">
        <f t="shared" si="290"/>
        <v>384</v>
      </c>
      <c r="BL695" s="4495">
        <f t="shared" si="291"/>
        <v>384</v>
      </c>
      <c r="BM695" s="4495">
        <f t="shared" si="292"/>
        <v>307.2</v>
      </c>
      <c r="BN695" s="4495">
        <f t="shared" si="293"/>
        <v>76.8</v>
      </c>
      <c r="BO695" s="4382"/>
      <c r="BP695" s="4382"/>
      <c r="BQ695" s="4382"/>
      <c r="BR695" s="4382"/>
      <c r="BS695" s="4382"/>
      <c r="BT695" s="4383"/>
      <c r="BU695" s="4384"/>
      <c r="BV695" s="4496">
        <f t="shared" si="313"/>
        <v>2304</v>
      </c>
      <c r="BW695" s="4497">
        <f t="shared" si="298"/>
        <v>0</v>
      </c>
      <c r="BX695" s="4387"/>
      <c r="BY695" s="4387"/>
      <c r="BZ695" s="4387"/>
      <c r="CA695" s="4391"/>
      <c r="CB695" s="4388"/>
      <c r="CC695" s="4392"/>
      <c r="CD695" s="4391"/>
    </row>
    <row r="696" s="4025" customFormat="1" ht="50" customHeight="1" spans="1:82">
      <c r="A696" s="3688">
        <v>45898</v>
      </c>
      <c r="B696" s="3689" t="s">
        <v>3495</v>
      </c>
      <c r="C696" s="3664" t="s">
        <v>91</v>
      </c>
      <c r="D696" s="3690">
        <v>4500178282</v>
      </c>
      <c r="E696" s="5456" t="s">
        <v>4900</v>
      </c>
      <c r="F696" s="3690" t="s">
        <v>4901</v>
      </c>
      <c r="G696" s="3664" t="s">
        <v>3068</v>
      </c>
      <c r="H696" s="3664" t="s">
        <v>3069</v>
      </c>
      <c r="I696" s="3691">
        <v>1536</v>
      </c>
      <c r="J696" s="3691">
        <v>0</v>
      </c>
      <c r="K696" s="3691">
        <v>384</v>
      </c>
      <c r="L696" s="3691">
        <f t="shared" si="286"/>
        <v>4</v>
      </c>
      <c r="M696" s="3659">
        <v>45929</v>
      </c>
      <c r="N696" s="3659">
        <v>45925</v>
      </c>
      <c r="O696" s="3664" t="s">
        <v>4879</v>
      </c>
      <c r="P696" s="3682" t="s">
        <v>82</v>
      </c>
      <c r="Q696" s="3682"/>
      <c r="R696" s="4083"/>
      <c r="S696" s="4083"/>
      <c r="T696" s="4083"/>
      <c r="U696" s="3645" t="s">
        <v>4902</v>
      </c>
      <c r="V696" s="3649" t="s">
        <v>4880</v>
      </c>
      <c r="W696" s="3657"/>
      <c r="X696" s="3657" t="s">
        <v>4710</v>
      </c>
      <c r="Y696" s="3657" t="s">
        <v>4881</v>
      </c>
      <c r="Z696" s="3661"/>
      <c r="AA696" s="3620" t="s">
        <v>4882</v>
      </c>
      <c r="AB696" s="3691" t="s">
        <v>3076</v>
      </c>
      <c r="AC696" s="4087">
        <v>531.79</v>
      </c>
      <c r="AD696" s="3691">
        <f t="shared" si="311"/>
        <v>2127.16</v>
      </c>
      <c r="AE696" s="3645" t="s">
        <v>4903</v>
      </c>
      <c r="AF696" s="3664" t="s">
        <v>3078</v>
      </c>
      <c r="AG696" s="3645" t="s">
        <v>416</v>
      </c>
      <c r="AH696" s="905"/>
      <c r="AI696" s="3691"/>
      <c r="AJ696" s="4082">
        <f t="shared" si="309"/>
        <v>1536</v>
      </c>
      <c r="AK696" s="905"/>
      <c r="AL696" s="3664"/>
      <c r="AM696" s="3664"/>
      <c r="AN696" s="3691"/>
      <c r="AO696" s="3691"/>
      <c r="AP696" s="4082">
        <f t="shared" si="307"/>
        <v>1536</v>
      </c>
      <c r="AQ696" s="4089"/>
      <c r="AR696" s="4382"/>
      <c r="AS696" s="4495">
        <f t="shared" si="310"/>
        <v>1536</v>
      </c>
      <c r="AT696" s="4382"/>
      <c r="AU696" s="4089"/>
      <c r="AV696" s="4089"/>
      <c r="AW696" s="4089"/>
      <c r="AX696" s="4089"/>
      <c r="AY696" s="4089"/>
      <c r="AZ696" s="4089"/>
      <c r="BA696" s="4089"/>
      <c r="BB696" s="4495">
        <f t="shared" si="312"/>
        <v>768</v>
      </c>
      <c r="BC696" s="4089"/>
      <c r="BD696" s="4089"/>
      <c r="BE696" s="4089"/>
      <c r="BF696" s="4089" t="s">
        <v>89</v>
      </c>
      <c r="BG696" s="4089"/>
      <c r="BH696" s="4495">
        <f t="shared" si="287"/>
        <v>256</v>
      </c>
      <c r="BI696" s="4495">
        <f t="shared" si="288"/>
        <v>256</v>
      </c>
      <c r="BJ696" s="4495">
        <f t="shared" si="289"/>
        <v>256</v>
      </c>
      <c r="BK696" s="4495">
        <f t="shared" si="290"/>
        <v>256</v>
      </c>
      <c r="BL696" s="4495">
        <f t="shared" si="291"/>
        <v>256</v>
      </c>
      <c r="BM696" s="4495">
        <f t="shared" si="292"/>
        <v>204.8</v>
      </c>
      <c r="BN696" s="4495">
        <f t="shared" si="293"/>
        <v>51.2</v>
      </c>
      <c r="BO696" s="4382"/>
      <c r="BP696" s="4382"/>
      <c r="BQ696" s="4382"/>
      <c r="BR696" s="4382"/>
      <c r="BS696" s="4382"/>
      <c r="BT696" s="4383"/>
      <c r="BU696" s="4384"/>
      <c r="BV696" s="4496">
        <f t="shared" si="313"/>
        <v>1536</v>
      </c>
      <c r="BW696" s="4497">
        <f t="shared" si="298"/>
        <v>0</v>
      </c>
      <c r="BX696" s="4387"/>
      <c r="BY696" s="4387"/>
      <c r="BZ696" s="4387"/>
      <c r="CA696" s="4391"/>
      <c r="CB696" s="4391"/>
      <c r="CC696" s="4392"/>
      <c r="CD696" s="4391"/>
    </row>
    <row r="697" s="4025" customFormat="1" ht="50" customHeight="1" spans="1:82">
      <c r="A697" s="3688">
        <v>45883</v>
      </c>
      <c r="B697" s="3689" t="s">
        <v>2285</v>
      </c>
      <c r="C697" s="3664" t="s">
        <v>351</v>
      </c>
      <c r="D697" s="3690">
        <v>4500176870</v>
      </c>
      <c r="E697" s="3664" t="s">
        <v>4869</v>
      </c>
      <c r="F697" s="3690" t="s">
        <v>4904</v>
      </c>
      <c r="G697" s="3664" t="s">
        <v>3352</v>
      </c>
      <c r="H697" s="3664" t="s">
        <v>3353</v>
      </c>
      <c r="I697" s="4052">
        <f>11316</f>
        <v>11316</v>
      </c>
      <c r="J697" s="3618">
        <v>0</v>
      </c>
      <c r="K697" s="3618">
        <v>12</v>
      </c>
      <c r="L697" s="3618">
        <f t="shared" si="286"/>
        <v>943</v>
      </c>
      <c r="M697" s="3659">
        <v>45929</v>
      </c>
      <c r="N697" s="4111">
        <v>45925</v>
      </c>
      <c r="O697" s="3664" t="s">
        <v>4905</v>
      </c>
      <c r="P697" s="3682" t="s">
        <v>82</v>
      </c>
      <c r="Q697" s="3682"/>
      <c r="R697" s="4083"/>
      <c r="S697" s="4083"/>
      <c r="T697" s="4083"/>
      <c r="U697" s="3645" t="s">
        <v>4800</v>
      </c>
      <c r="V697" s="3649" t="s">
        <v>4641</v>
      </c>
      <c r="W697" s="3657"/>
      <c r="X697" s="3657" t="s">
        <v>4677</v>
      </c>
      <c r="Y697" s="3657"/>
      <c r="Z697" s="3691"/>
      <c r="AA697" s="3620" t="s">
        <v>4876</v>
      </c>
      <c r="AB697" s="3691" t="s">
        <v>1199</v>
      </c>
      <c r="AC697" s="3618">
        <v>4.8085</v>
      </c>
      <c r="AD697" s="3618">
        <f t="shared" ref="AD697:AD705" si="314">AC697*I697</f>
        <v>54412.986</v>
      </c>
      <c r="AE697" s="3645"/>
      <c r="AF697" s="3664" t="s">
        <v>3356</v>
      </c>
      <c r="AG697" s="3645" t="s">
        <v>416</v>
      </c>
      <c r="AH697" s="4422"/>
      <c r="AI697" s="4082"/>
      <c r="AJ697" s="3691">
        <f t="shared" si="309"/>
        <v>11316</v>
      </c>
      <c r="AK697" s="4422"/>
      <c r="AL697" s="3664"/>
      <c r="AM697" s="3664"/>
      <c r="AN697" s="3691"/>
      <c r="AO697" s="4082"/>
      <c r="AP697" s="3691">
        <f t="shared" si="307"/>
        <v>11316</v>
      </c>
      <c r="AQ697" s="4089"/>
      <c r="AR697" s="907"/>
      <c r="AS697" s="4089">
        <f t="shared" si="310"/>
        <v>11316</v>
      </c>
      <c r="AT697" s="907"/>
      <c r="AU697" s="4089"/>
      <c r="AV697" s="4089"/>
      <c r="AW697" s="4089"/>
      <c r="AX697" s="4089"/>
      <c r="AY697" s="4089"/>
      <c r="AZ697" s="4089"/>
      <c r="BA697" s="4089"/>
      <c r="BB697" s="4089"/>
      <c r="BC697" s="4089">
        <f>I697</f>
        <v>11316</v>
      </c>
      <c r="BD697" s="4089"/>
      <c r="BE697" s="4089"/>
      <c r="BF697" s="4089" t="s">
        <v>89</v>
      </c>
      <c r="BG697" s="4089"/>
      <c r="BH697" s="4089">
        <f t="shared" si="287"/>
        <v>1886</v>
      </c>
      <c r="BI697" s="4089">
        <f t="shared" si="288"/>
        <v>1886</v>
      </c>
      <c r="BJ697" s="4089">
        <f t="shared" si="289"/>
        <v>1886</v>
      </c>
      <c r="BK697" s="4403">
        <f t="shared" si="290"/>
        <v>1886</v>
      </c>
      <c r="BL697" s="4385">
        <f t="shared" si="291"/>
        <v>1886</v>
      </c>
      <c r="BM697" s="4403">
        <f t="shared" si="292"/>
        <v>1508.8</v>
      </c>
      <c r="BN697" s="4089">
        <f t="shared" si="293"/>
        <v>377.2</v>
      </c>
      <c r="BO697" s="907"/>
      <c r="BP697" s="907"/>
      <c r="BQ697" s="907"/>
      <c r="BR697" s="907"/>
      <c r="BS697" s="907"/>
      <c r="BT697" s="910"/>
      <c r="BU697" s="911"/>
      <c r="BV697" s="4385">
        <f t="shared" si="313"/>
        <v>11316</v>
      </c>
      <c r="BW697" s="4386">
        <f t="shared" si="298"/>
        <v>0</v>
      </c>
      <c r="BX697" s="4387"/>
      <c r="BY697" s="4387"/>
      <c r="BZ697" s="4387"/>
      <c r="CA697" s="4391"/>
      <c r="CB697" s="4312"/>
      <c r="CC697" s="4392"/>
      <c r="CD697" s="4391"/>
    </row>
    <row r="698" s="4025" customFormat="1" ht="50" customHeight="1" spans="1:82">
      <c r="A698" s="3688">
        <v>45876</v>
      </c>
      <c r="B698" s="3689" t="s">
        <v>1617</v>
      </c>
      <c r="C698" s="3664" t="s">
        <v>91</v>
      </c>
      <c r="D698" s="3690">
        <v>4500176177</v>
      </c>
      <c r="E698" s="3664" t="s">
        <v>2010</v>
      </c>
      <c r="F698" s="3690" t="s">
        <v>4906</v>
      </c>
      <c r="G698" s="3664" t="s">
        <v>2627</v>
      </c>
      <c r="H698" s="3691" t="s">
        <v>2591</v>
      </c>
      <c r="I698" s="3691">
        <v>600</v>
      </c>
      <c r="J698" s="3691">
        <v>0</v>
      </c>
      <c r="K698" s="3691">
        <v>24</v>
      </c>
      <c r="L698" s="3691">
        <f t="shared" si="286"/>
        <v>25</v>
      </c>
      <c r="M698" s="3659">
        <v>45938</v>
      </c>
      <c r="N698" s="3659">
        <v>45934</v>
      </c>
      <c r="O698" s="4085"/>
      <c r="P698" s="3682" t="s">
        <v>82</v>
      </c>
      <c r="Q698" s="3682"/>
      <c r="R698" s="4083"/>
      <c r="S698" s="4083"/>
      <c r="T698" s="4083"/>
      <c r="U698" s="3645" t="s">
        <v>2012</v>
      </c>
      <c r="V698" s="3649" t="s">
        <v>2013</v>
      </c>
      <c r="W698" s="3657"/>
      <c r="X698" s="3657" t="s">
        <v>98</v>
      </c>
      <c r="Y698" s="3657" t="s">
        <v>1991</v>
      </c>
      <c r="Z698" s="3691"/>
      <c r="AA698" s="3620" t="s">
        <v>1621</v>
      </c>
      <c r="AB698" s="3691" t="s">
        <v>393</v>
      </c>
      <c r="AC698" s="3691">
        <v>1.2535</v>
      </c>
      <c r="AD698" s="3691">
        <f t="shared" si="314"/>
        <v>752.1</v>
      </c>
      <c r="AE698" s="3645" t="s">
        <v>2014</v>
      </c>
      <c r="AF698" s="3664" t="s">
        <v>2627</v>
      </c>
      <c r="AG698" s="3645" t="s">
        <v>416</v>
      </c>
      <c r="AH698" s="3708"/>
      <c r="AI698" s="3691"/>
      <c r="AJ698" s="3691">
        <f t="shared" si="309"/>
        <v>600</v>
      </c>
      <c r="AK698" s="3708"/>
      <c r="AL698" s="3664"/>
      <c r="AM698" s="3664"/>
      <c r="AN698" s="3691"/>
      <c r="AO698" s="3691"/>
      <c r="AP698" s="3691">
        <f t="shared" si="307"/>
        <v>600</v>
      </c>
      <c r="AQ698" s="4089"/>
      <c r="AR698" s="1048"/>
      <c r="AS698" s="4089">
        <f t="shared" si="310"/>
        <v>600</v>
      </c>
      <c r="AT698" s="1048"/>
      <c r="AU698" s="4089"/>
      <c r="AV698" s="4089"/>
      <c r="AW698" s="4089"/>
      <c r="AX698" s="4089"/>
      <c r="AY698" s="4089"/>
      <c r="AZ698" s="4089"/>
      <c r="BA698" s="4089"/>
      <c r="BB698" s="4089"/>
      <c r="BC698" s="4089"/>
      <c r="BD698" s="4089"/>
      <c r="BE698" s="4089"/>
      <c r="BF698" s="4089" t="s">
        <v>89</v>
      </c>
      <c r="BG698" s="4089"/>
      <c r="BH698" s="4089">
        <f t="shared" si="287"/>
        <v>100</v>
      </c>
      <c r="BI698" s="4089">
        <f t="shared" si="288"/>
        <v>100</v>
      </c>
      <c r="BJ698" s="4089">
        <f t="shared" si="289"/>
        <v>100</v>
      </c>
      <c r="BK698" s="4089">
        <f t="shared" si="290"/>
        <v>100</v>
      </c>
      <c r="BL698" s="4089">
        <f t="shared" si="291"/>
        <v>100</v>
      </c>
      <c r="BM698" s="4089">
        <f t="shared" si="292"/>
        <v>80</v>
      </c>
      <c r="BN698" s="4089">
        <f t="shared" si="293"/>
        <v>20</v>
      </c>
      <c r="BO698" s="1048"/>
      <c r="BP698" s="1048"/>
      <c r="BQ698" s="1048"/>
      <c r="BR698" s="1048"/>
      <c r="BS698" s="1048"/>
      <c r="BT698" s="4414"/>
      <c r="BU698" s="4415"/>
      <c r="BV698" s="4385">
        <f t="shared" si="313"/>
        <v>600</v>
      </c>
      <c r="BW698" s="4386">
        <f t="shared" si="298"/>
        <v>0</v>
      </c>
      <c r="BX698" s="4387"/>
      <c r="BY698" s="4387"/>
      <c r="BZ698" s="4387"/>
      <c r="CA698" s="4391"/>
      <c r="CB698" s="4312"/>
      <c r="CC698" s="4392"/>
      <c r="CD698" s="4391"/>
    </row>
    <row r="699" s="4316" customFormat="1" ht="50" customHeight="1" spans="1:82">
      <c r="A699" s="4500">
        <v>45883</v>
      </c>
      <c r="B699" s="4501" t="s">
        <v>3744</v>
      </c>
      <c r="C699" s="3708" t="s">
        <v>91</v>
      </c>
      <c r="D699" s="4502">
        <v>4500176962</v>
      </c>
      <c r="E699" s="3708" t="s">
        <v>4907</v>
      </c>
      <c r="F699" s="4502" t="s">
        <v>4908</v>
      </c>
      <c r="G699" s="3708" t="s">
        <v>2608</v>
      </c>
      <c r="H699" s="3708" t="s">
        <v>2609</v>
      </c>
      <c r="I699" s="4154">
        <v>33684</v>
      </c>
      <c r="J699" s="4154">
        <v>0</v>
      </c>
      <c r="K699" s="4154">
        <v>6</v>
      </c>
      <c r="L699" s="4154">
        <f t="shared" si="286"/>
        <v>5614</v>
      </c>
      <c r="M699" s="4503">
        <v>45938</v>
      </c>
      <c r="N699" s="4503">
        <v>45934</v>
      </c>
      <c r="O699" s="3708" t="s">
        <v>4909</v>
      </c>
      <c r="P699" s="3682" t="s">
        <v>82</v>
      </c>
      <c r="Q699" s="3682"/>
      <c r="R699" s="4083"/>
      <c r="S699" s="4083"/>
      <c r="T699" s="4083"/>
      <c r="U699" s="3726" t="s">
        <v>2042</v>
      </c>
      <c r="V699" s="3709" t="s">
        <v>4192</v>
      </c>
      <c r="W699" s="3711"/>
      <c r="X699" s="3711" t="s">
        <v>98</v>
      </c>
      <c r="Y699" s="3711"/>
      <c r="Z699" s="3708" t="s">
        <v>4910</v>
      </c>
      <c r="AA699" s="3680" t="s">
        <v>4911</v>
      </c>
      <c r="AB699" s="4154" t="s">
        <v>1607</v>
      </c>
      <c r="AC699" s="4504">
        <v>1.3121</v>
      </c>
      <c r="AD699" s="4154">
        <f t="shared" si="314"/>
        <v>44196.7764</v>
      </c>
      <c r="AE699" s="2935" t="s">
        <v>4912</v>
      </c>
      <c r="AF699" s="3708" t="s">
        <v>2608</v>
      </c>
      <c r="AG699" s="3726" t="s">
        <v>416</v>
      </c>
      <c r="AH699" s="3708"/>
      <c r="AI699" s="4154"/>
      <c r="AJ699" s="4154"/>
      <c r="AK699" s="3708"/>
      <c r="AL699" s="3708"/>
      <c r="AM699" s="3708"/>
      <c r="AN699" s="4154">
        <f>I699</f>
        <v>33684</v>
      </c>
      <c r="AO699" s="4154"/>
      <c r="AP699" s="4154">
        <f t="shared" si="307"/>
        <v>33684</v>
      </c>
      <c r="AQ699" s="1048"/>
      <c r="AR699" s="1048"/>
      <c r="AS699" s="1048">
        <f t="shared" si="310"/>
        <v>33684</v>
      </c>
      <c r="AT699" s="1048"/>
      <c r="AU699" s="1048"/>
      <c r="AV699" s="1048"/>
      <c r="AW699" s="1048"/>
      <c r="AX699" s="1048"/>
      <c r="AY699" s="1048"/>
      <c r="AZ699" s="1048"/>
      <c r="BA699" s="1048"/>
      <c r="BB699" s="1048"/>
      <c r="BC699" s="1048"/>
      <c r="BD699" s="1048"/>
      <c r="BE699" s="1048"/>
      <c r="BF699" s="1048" t="s">
        <v>89</v>
      </c>
      <c r="BG699" s="1048"/>
      <c r="BH699" s="1048">
        <f t="shared" si="287"/>
        <v>5614</v>
      </c>
      <c r="BI699" s="1048">
        <f t="shared" si="288"/>
        <v>5614</v>
      </c>
      <c r="BJ699" s="1048">
        <f t="shared" si="289"/>
        <v>5614</v>
      </c>
      <c r="BK699" s="4415">
        <f t="shared" si="290"/>
        <v>5614</v>
      </c>
      <c r="BL699" s="4505">
        <f t="shared" si="291"/>
        <v>5614</v>
      </c>
      <c r="BM699" s="4415">
        <f t="shared" si="292"/>
        <v>4491.2</v>
      </c>
      <c r="BN699" s="1048">
        <f t="shared" si="293"/>
        <v>1122.8</v>
      </c>
      <c r="BO699" s="1048"/>
      <c r="BP699" s="1048"/>
      <c r="BQ699" s="1048"/>
      <c r="BR699" s="1048"/>
      <c r="BS699" s="1048"/>
      <c r="BT699" s="4414"/>
      <c r="BU699" s="4415"/>
      <c r="BV699" s="4505">
        <f t="shared" si="313"/>
        <v>33684</v>
      </c>
      <c r="BW699" s="4506">
        <f t="shared" si="298"/>
        <v>0</v>
      </c>
      <c r="BX699" s="4323"/>
      <c r="BY699" s="4323"/>
      <c r="BZ699" s="4323"/>
      <c r="CA699" s="4507"/>
      <c r="CB699" s="4320"/>
      <c r="CC699" s="4508"/>
      <c r="CD699" s="4507"/>
    </row>
    <row r="700" s="4025" customFormat="1" ht="50" customHeight="1" spans="1:82">
      <c r="A700" s="3688">
        <v>45896</v>
      </c>
      <c r="B700" s="3689" t="s">
        <v>4913</v>
      </c>
      <c r="C700" s="3664" t="s">
        <v>91</v>
      </c>
      <c r="D700" s="3690">
        <v>4500177996</v>
      </c>
      <c r="E700" s="3664" t="s">
        <v>4914</v>
      </c>
      <c r="F700" s="3690" t="s">
        <v>4915</v>
      </c>
      <c r="G700" s="3664" t="s">
        <v>2640</v>
      </c>
      <c r="H700" s="3664" t="s">
        <v>2641</v>
      </c>
      <c r="I700" s="3691">
        <v>48</v>
      </c>
      <c r="J700" s="3691">
        <v>0</v>
      </c>
      <c r="K700" s="3691">
        <v>12</v>
      </c>
      <c r="L700" s="3691">
        <f t="shared" si="286"/>
        <v>4</v>
      </c>
      <c r="M700" s="3659">
        <v>45939</v>
      </c>
      <c r="N700" s="3659">
        <v>45936</v>
      </c>
      <c r="O700" s="4085"/>
      <c r="P700" s="3682" t="s">
        <v>82</v>
      </c>
      <c r="Q700" s="3682"/>
      <c r="R700" s="4083"/>
      <c r="S700" s="4083"/>
      <c r="T700" s="4083"/>
      <c r="U700" s="3645" t="s">
        <v>4916</v>
      </c>
      <c r="V700" s="3649" t="s">
        <v>4917</v>
      </c>
      <c r="W700" s="3657"/>
      <c r="X700" s="3657" t="s">
        <v>4918</v>
      </c>
      <c r="Y700" s="3657"/>
      <c r="Z700" s="3691"/>
      <c r="AA700" s="3620" t="s">
        <v>4919</v>
      </c>
      <c r="AB700" s="3691" t="s">
        <v>1024</v>
      </c>
      <c r="AC700" s="4087">
        <v>1.2548</v>
      </c>
      <c r="AD700" s="3691">
        <f t="shared" si="314"/>
        <v>60.2304</v>
      </c>
      <c r="AE700" s="3645" t="s">
        <v>4920</v>
      </c>
      <c r="AF700" s="3664" t="s">
        <v>2640</v>
      </c>
      <c r="AG700" s="3645" t="s">
        <v>416</v>
      </c>
      <c r="AH700" s="3708"/>
      <c r="AI700" s="3691"/>
      <c r="AJ700" s="3691">
        <f t="shared" ref="AJ700:AJ712" si="315">I700</f>
        <v>48</v>
      </c>
      <c r="AK700" s="3708"/>
      <c r="AL700" s="3664"/>
      <c r="AM700" s="3664"/>
      <c r="AN700" s="3691"/>
      <c r="AO700" s="3691"/>
      <c r="AP700" s="4082">
        <f t="shared" si="307"/>
        <v>48</v>
      </c>
      <c r="AQ700" s="4089"/>
      <c r="AR700" s="1048"/>
      <c r="AS700" s="4495">
        <f t="shared" si="310"/>
        <v>48</v>
      </c>
      <c r="AT700" s="1048"/>
      <c r="AU700" s="4089"/>
      <c r="AV700" s="4089"/>
      <c r="AW700" s="4089"/>
      <c r="AX700" s="4089"/>
      <c r="AY700" s="4089"/>
      <c r="AZ700" s="4089"/>
      <c r="BA700" s="4089"/>
      <c r="BB700" s="4089"/>
      <c r="BC700" s="4089"/>
      <c r="BD700" s="4089"/>
      <c r="BE700" s="4089"/>
      <c r="BF700" s="4089" t="s">
        <v>89</v>
      </c>
      <c r="BG700" s="4089"/>
      <c r="BH700" s="4089">
        <f>I700-BU700-2</f>
        <v>46</v>
      </c>
      <c r="BI700" s="4089"/>
      <c r="BJ700" s="4089"/>
      <c r="BK700" s="4089"/>
      <c r="BL700" s="4089"/>
      <c r="BM700" s="4089"/>
      <c r="BN700" s="4089">
        <f>I700/58*2</f>
        <v>1.6551724137931</v>
      </c>
      <c r="BO700" s="1048"/>
      <c r="BP700" s="1048"/>
      <c r="BQ700" s="1048"/>
      <c r="BR700" s="1048"/>
      <c r="BS700" s="1048"/>
      <c r="BT700" s="4414"/>
      <c r="BU700" s="4415"/>
      <c r="BV700" s="4385">
        <f t="shared" si="313"/>
        <v>47.6551724137931</v>
      </c>
      <c r="BW700" s="4386">
        <f t="shared" si="298"/>
        <v>0.344827586206897</v>
      </c>
      <c r="BX700" s="4387"/>
      <c r="BY700" s="4387"/>
      <c r="BZ700" s="4387"/>
      <c r="CA700" s="4391"/>
      <c r="CB700" s="4312"/>
      <c r="CC700" s="4392"/>
      <c r="CD700" s="4391"/>
    </row>
    <row r="701" s="4025" customFormat="1" ht="50" customHeight="1" spans="1:82">
      <c r="A701" s="3688">
        <v>45896</v>
      </c>
      <c r="B701" s="3689" t="s">
        <v>4913</v>
      </c>
      <c r="C701" s="3664" t="s">
        <v>91</v>
      </c>
      <c r="D701" s="3690">
        <v>4500178020</v>
      </c>
      <c r="E701" s="3664" t="s">
        <v>4921</v>
      </c>
      <c r="F701" s="3690" t="s">
        <v>4922</v>
      </c>
      <c r="G701" s="3664" t="s">
        <v>2640</v>
      </c>
      <c r="H701" s="3664" t="s">
        <v>2641</v>
      </c>
      <c r="I701" s="3691">
        <v>156</v>
      </c>
      <c r="J701" s="3691">
        <v>0</v>
      </c>
      <c r="K701" s="3691">
        <v>12</v>
      </c>
      <c r="L701" s="3691">
        <f t="shared" si="286"/>
        <v>13</v>
      </c>
      <c r="M701" s="3659">
        <v>45939</v>
      </c>
      <c r="N701" s="3659">
        <v>45936</v>
      </c>
      <c r="O701" s="4085"/>
      <c r="P701" s="3682" t="s">
        <v>82</v>
      </c>
      <c r="Q701" s="3682"/>
      <c r="R701" s="4083"/>
      <c r="S701" s="4083"/>
      <c r="T701" s="4083"/>
      <c r="U701" s="3645" t="s">
        <v>4916</v>
      </c>
      <c r="V701" s="3649" t="s">
        <v>4917</v>
      </c>
      <c r="W701" s="3657"/>
      <c r="X701" s="3657" t="s">
        <v>4918</v>
      </c>
      <c r="Y701" s="3657"/>
      <c r="Z701" s="3691"/>
      <c r="AA701" s="3620" t="s">
        <v>4919</v>
      </c>
      <c r="AB701" s="3691" t="s">
        <v>1024</v>
      </c>
      <c r="AC701" s="4087">
        <v>1.2549</v>
      </c>
      <c r="AD701" s="3691">
        <f t="shared" si="314"/>
        <v>195.7644</v>
      </c>
      <c r="AE701" s="3645" t="s">
        <v>4923</v>
      </c>
      <c r="AF701" s="3664" t="s">
        <v>2640</v>
      </c>
      <c r="AG701" s="3645" t="s">
        <v>416</v>
      </c>
      <c r="AH701" s="3708"/>
      <c r="AI701" s="3691"/>
      <c r="AJ701" s="3691">
        <f t="shared" si="315"/>
        <v>156</v>
      </c>
      <c r="AK701" s="3708"/>
      <c r="AL701" s="3664"/>
      <c r="AM701" s="3664"/>
      <c r="AN701" s="3691"/>
      <c r="AO701" s="3691"/>
      <c r="AP701" s="4082">
        <f t="shared" si="307"/>
        <v>156</v>
      </c>
      <c r="AQ701" s="4089"/>
      <c r="AR701" s="1048"/>
      <c r="AS701" s="4495">
        <f t="shared" si="310"/>
        <v>156</v>
      </c>
      <c r="AT701" s="1048"/>
      <c r="AU701" s="4089"/>
      <c r="AV701" s="4089"/>
      <c r="AW701" s="4089"/>
      <c r="AX701" s="4089"/>
      <c r="AY701" s="4089"/>
      <c r="AZ701" s="4089"/>
      <c r="BA701" s="4089"/>
      <c r="BB701" s="4089"/>
      <c r="BC701" s="4089"/>
      <c r="BD701" s="4089"/>
      <c r="BE701" s="4089"/>
      <c r="BF701" s="4089" t="s">
        <v>89</v>
      </c>
      <c r="BG701" s="4089"/>
      <c r="BH701" s="4089">
        <f>I701-BU701-5</f>
        <v>151</v>
      </c>
      <c r="BI701" s="4089"/>
      <c r="BJ701" s="4089"/>
      <c r="BK701" s="4089"/>
      <c r="BL701" s="4089"/>
      <c r="BM701" s="4089"/>
      <c r="BN701" s="4089">
        <f>I701/58*2</f>
        <v>5.37931034482759</v>
      </c>
      <c r="BO701" s="1048"/>
      <c r="BP701" s="1048"/>
      <c r="BQ701" s="1048"/>
      <c r="BR701" s="1048"/>
      <c r="BS701" s="1048"/>
      <c r="BT701" s="4414"/>
      <c r="BU701" s="4415"/>
      <c r="BV701" s="4385">
        <f t="shared" si="313"/>
        <v>156.379310344828</v>
      </c>
      <c r="BW701" s="4386">
        <f t="shared" si="298"/>
        <v>-0.379310344827587</v>
      </c>
      <c r="BX701" s="4387"/>
      <c r="BY701" s="4387"/>
      <c r="BZ701" s="4387"/>
      <c r="CA701" s="4391"/>
      <c r="CB701" s="4312"/>
      <c r="CC701" s="4392"/>
      <c r="CD701" s="4391"/>
    </row>
    <row r="702" s="4025" customFormat="1" ht="50" customHeight="1" spans="1:82">
      <c r="A702" s="3688">
        <v>45896</v>
      </c>
      <c r="B702" s="3689" t="s">
        <v>4913</v>
      </c>
      <c r="C702" s="3664" t="s">
        <v>91</v>
      </c>
      <c r="D702" s="3690">
        <v>4500178020</v>
      </c>
      <c r="E702" s="3664" t="s">
        <v>4924</v>
      </c>
      <c r="F702" s="3690" t="s">
        <v>4925</v>
      </c>
      <c r="G702" s="3664" t="s">
        <v>2640</v>
      </c>
      <c r="H702" s="3664" t="s">
        <v>2641</v>
      </c>
      <c r="I702" s="3691">
        <v>168</v>
      </c>
      <c r="J702" s="3691">
        <v>0</v>
      </c>
      <c r="K702" s="3691">
        <v>12</v>
      </c>
      <c r="L702" s="3691">
        <f t="shared" ref="L702:L761" si="316">I702/K702</f>
        <v>14</v>
      </c>
      <c r="M702" s="3659">
        <v>45939</v>
      </c>
      <c r="N702" s="3659">
        <v>45936</v>
      </c>
      <c r="O702" s="4085"/>
      <c r="P702" s="3682" t="s">
        <v>82</v>
      </c>
      <c r="Q702" s="3682"/>
      <c r="R702" s="4083"/>
      <c r="S702" s="4083"/>
      <c r="T702" s="4083"/>
      <c r="U702" s="3645" t="s">
        <v>4916</v>
      </c>
      <c r="V702" s="3657" t="s">
        <v>4917</v>
      </c>
      <c r="W702" s="3657"/>
      <c r="X702" s="3657" t="s">
        <v>4918</v>
      </c>
      <c r="Y702" s="3657"/>
      <c r="Z702" s="3691"/>
      <c r="AA702" s="3620" t="s">
        <v>4919</v>
      </c>
      <c r="AB702" s="3691" t="s">
        <v>1024</v>
      </c>
      <c r="AC702" s="4087">
        <v>1.2549</v>
      </c>
      <c r="AD702" s="3691">
        <f t="shared" si="314"/>
        <v>210.8232</v>
      </c>
      <c r="AE702" s="3645" t="s">
        <v>4923</v>
      </c>
      <c r="AF702" s="3664" t="s">
        <v>2640</v>
      </c>
      <c r="AG702" s="3645" t="s">
        <v>416</v>
      </c>
      <c r="AH702" s="3708"/>
      <c r="AI702" s="3691"/>
      <c r="AJ702" s="3691">
        <f t="shared" si="315"/>
        <v>168</v>
      </c>
      <c r="AK702" s="3708"/>
      <c r="AL702" s="3664"/>
      <c r="AM702" s="3664"/>
      <c r="AN702" s="3691"/>
      <c r="AO702" s="3691"/>
      <c r="AP702" s="4082">
        <f t="shared" si="307"/>
        <v>168</v>
      </c>
      <c r="AQ702" s="4089"/>
      <c r="AR702" s="1048"/>
      <c r="AS702" s="4495">
        <f t="shared" si="310"/>
        <v>168</v>
      </c>
      <c r="AT702" s="1048"/>
      <c r="AU702" s="4089"/>
      <c r="AV702" s="4089"/>
      <c r="AW702" s="4089"/>
      <c r="AX702" s="4089"/>
      <c r="AY702" s="4089"/>
      <c r="AZ702" s="4089"/>
      <c r="BA702" s="4089"/>
      <c r="BB702" s="4089"/>
      <c r="BC702" s="4089"/>
      <c r="BD702" s="4089"/>
      <c r="BE702" s="4089"/>
      <c r="BF702" s="4089" t="s">
        <v>89</v>
      </c>
      <c r="BG702" s="4089"/>
      <c r="BH702" s="4089">
        <f>I702-BU702-6</f>
        <v>162</v>
      </c>
      <c r="BI702" s="4089"/>
      <c r="BJ702" s="4089"/>
      <c r="BK702" s="4089"/>
      <c r="BL702" s="4089"/>
      <c r="BM702" s="4089"/>
      <c r="BN702" s="4089">
        <f>I702/58*2</f>
        <v>5.79310344827586</v>
      </c>
      <c r="BO702" s="1048"/>
      <c r="BP702" s="1048"/>
      <c r="BQ702" s="1048"/>
      <c r="BR702" s="1048"/>
      <c r="BS702" s="1048"/>
      <c r="BT702" s="4414"/>
      <c r="BU702" s="4415"/>
      <c r="BV702" s="4385">
        <f t="shared" si="313"/>
        <v>167.793103448276</v>
      </c>
      <c r="BW702" s="4386">
        <f t="shared" si="298"/>
        <v>0.206896551724128</v>
      </c>
      <c r="BX702" s="4387"/>
      <c r="BY702" s="4387"/>
      <c r="BZ702" s="4387"/>
      <c r="CA702" s="4391"/>
      <c r="CB702" s="4312"/>
      <c r="CC702" s="4392"/>
      <c r="CD702" s="4391"/>
    </row>
    <row r="703" s="4025" customFormat="1" ht="50" customHeight="1" spans="1:82">
      <c r="A703" s="3688">
        <v>45876</v>
      </c>
      <c r="B703" s="3689" t="s">
        <v>1617</v>
      </c>
      <c r="C703" s="3664" t="s">
        <v>91</v>
      </c>
      <c r="D703" s="3690">
        <v>4500176184</v>
      </c>
      <c r="E703" s="3664" t="s">
        <v>2036</v>
      </c>
      <c r="F703" s="3690" t="s">
        <v>4926</v>
      </c>
      <c r="G703" s="3664" t="s">
        <v>2627</v>
      </c>
      <c r="H703" s="3691" t="s">
        <v>2591</v>
      </c>
      <c r="I703" s="3691">
        <v>1008</v>
      </c>
      <c r="J703" s="3691">
        <v>0</v>
      </c>
      <c r="K703" s="3691">
        <v>24</v>
      </c>
      <c r="L703" s="3691">
        <f t="shared" si="316"/>
        <v>42</v>
      </c>
      <c r="M703" s="3659">
        <v>45943</v>
      </c>
      <c r="N703" s="3659">
        <v>45939</v>
      </c>
      <c r="O703" s="4085"/>
      <c r="P703" s="3682" t="s">
        <v>82</v>
      </c>
      <c r="Q703" s="3682"/>
      <c r="R703" s="4083"/>
      <c r="S703" s="4083"/>
      <c r="T703" s="4083"/>
      <c r="U703" s="3645" t="s">
        <v>2038</v>
      </c>
      <c r="V703" s="3649" t="s">
        <v>2013</v>
      </c>
      <c r="W703" s="3657"/>
      <c r="X703" s="3657" t="s">
        <v>98</v>
      </c>
      <c r="Y703" s="3657" t="s">
        <v>1991</v>
      </c>
      <c r="Z703" s="3691"/>
      <c r="AA703" s="3620" t="s">
        <v>2039</v>
      </c>
      <c r="AB703" s="3691" t="s">
        <v>393</v>
      </c>
      <c r="AC703" s="3691">
        <v>1.2507</v>
      </c>
      <c r="AD703" s="3691">
        <f t="shared" si="314"/>
        <v>1260.7056</v>
      </c>
      <c r="AE703" s="3645" t="s">
        <v>2040</v>
      </c>
      <c r="AF703" s="3664" t="s">
        <v>2627</v>
      </c>
      <c r="AG703" s="3645" t="s">
        <v>416</v>
      </c>
      <c r="AH703" s="3708"/>
      <c r="AI703" s="3691"/>
      <c r="AJ703" s="3691">
        <f t="shared" si="315"/>
        <v>1008</v>
      </c>
      <c r="AK703" s="3708"/>
      <c r="AL703" s="3664"/>
      <c r="AM703" s="3664"/>
      <c r="AN703" s="3691"/>
      <c r="AO703" s="3691"/>
      <c r="AP703" s="3691">
        <f t="shared" si="307"/>
        <v>1008</v>
      </c>
      <c r="AQ703" s="4089"/>
      <c r="AR703" s="1048"/>
      <c r="AS703" s="4089">
        <f t="shared" si="310"/>
        <v>1008</v>
      </c>
      <c r="AT703" s="1048"/>
      <c r="AU703" s="4089"/>
      <c r="AV703" s="4089"/>
      <c r="AW703" s="4089"/>
      <c r="AX703" s="4089"/>
      <c r="AY703" s="4089"/>
      <c r="AZ703" s="4089"/>
      <c r="BA703" s="4089"/>
      <c r="BB703" s="4089"/>
      <c r="BC703" s="4089"/>
      <c r="BD703" s="4089"/>
      <c r="BE703" s="4089"/>
      <c r="BF703" s="4089" t="s">
        <v>89</v>
      </c>
      <c r="BG703" s="4089"/>
      <c r="BH703" s="4089">
        <f t="shared" ref="BH703:BH714" si="317">I703/60*10</f>
        <v>168</v>
      </c>
      <c r="BI703" s="4089">
        <f t="shared" ref="BI703:BI714" si="318">I703/60*10</f>
        <v>168</v>
      </c>
      <c r="BJ703" s="4089">
        <f t="shared" ref="BJ703:BJ714" si="319">I703/60*10</f>
        <v>168</v>
      </c>
      <c r="BK703" s="4089">
        <f t="shared" ref="BK703:BK714" si="320">I703/60*10</f>
        <v>168</v>
      </c>
      <c r="BL703" s="4089">
        <f t="shared" ref="BL703:BL714" si="321">I703/60*10</f>
        <v>168</v>
      </c>
      <c r="BM703" s="4089">
        <f t="shared" ref="BM703:BM714" si="322">I703/60*8</f>
        <v>134.4</v>
      </c>
      <c r="BN703" s="4089">
        <f t="shared" ref="BN703:BN714" si="323">I703/60*2</f>
        <v>33.6</v>
      </c>
      <c r="BO703" s="1048"/>
      <c r="BP703" s="1048"/>
      <c r="BQ703" s="1048"/>
      <c r="BR703" s="1048"/>
      <c r="BS703" s="1048"/>
      <c r="BT703" s="4414"/>
      <c r="BU703" s="4415"/>
      <c r="BV703" s="4385">
        <f t="shared" si="313"/>
        <v>1008</v>
      </c>
      <c r="BW703" s="4386">
        <f t="shared" si="298"/>
        <v>0</v>
      </c>
      <c r="BX703" s="4387"/>
      <c r="BY703" s="4387"/>
      <c r="BZ703" s="4387"/>
      <c r="CA703" s="4391"/>
      <c r="CC703" s="4392"/>
      <c r="CD703" s="4391"/>
    </row>
    <row r="704" s="4316" customFormat="1" ht="50" customHeight="1" spans="1:82">
      <c r="A704" s="4500">
        <v>45896</v>
      </c>
      <c r="B704" s="4501" t="s">
        <v>839</v>
      </c>
      <c r="C704" s="3708" t="s">
        <v>840</v>
      </c>
      <c r="D704" s="4502">
        <v>4500177974</v>
      </c>
      <c r="E704" s="3708">
        <v>21105433</v>
      </c>
      <c r="F704" s="4502" t="s">
        <v>4927</v>
      </c>
      <c r="G704" s="3708" t="s">
        <v>2577</v>
      </c>
      <c r="H704" s="3708" t="s">
        <v>2578</v>
      </c>
      <c r="I704" s="4154">
        <v>132</v>
      </c>
      <c r="J704" s="4154">
        <v>0</v>
      </c>
      <c r="K704" s="4154">
        <v>12</v>
      </c>
      <c r="L704" s="4154">
        <f t="shared" si="316"/>
        <v>11</v>
      </c>
      <c r="M704" s="4503">
        <v>45943</v>
      </c>
      <c r="N704" s="4503">
        <v>45939</v>
      </c>
      <c r="O704" s="4117"/>
      <c r="P704" s="3682" t="s">
        <v>82</v>
      </c>
      <c r="Q704" s="4488"/>
      <c r="R704" s="4489"/>
      <c r="S704" s="4489"/>
      <c r="T704" s="4489"/>
      <c r="U704" s="3727" t="s">
        <v>2042</v>
      </c>
      <c r="V704" s="3709" t="s">
        <v>2043</v>
      </c>
      <c r="W704" s="3711"/>
      <c r="X704" s="3711" t="s">
        <v>2044</v>
      </c>
      <c r="Y704" s="3711"/>
      <c r="Z704" s="4154"/>
      <c r="AA704" s="3680" t="s">
        <v>4746</v>
      </c>
      <c r="AB704" s="4154" t="s">
        <v>513</v>
      </c>
      <c r="AC704" s="4154">
        <v>2.2509</v>
      </c>
      <c r="AD704" s="4154">
        <f t="shared" si="314"/>
        <v>297.1188</v>
      </c>
      <c r="AE704" s="3726" t="s">
        <v>2045</v>
      </c>
      <c r="AF704" s="3708" t="s">
        <v>2577</v>
      </c>
      <c r="AG704" s="3726" t="s">
        <v>416</v>
      </c>
      <c r="AH704" s="3708"/>
      <c r="AI704" s="4154"/>
      <c r="AJ704" s="4509">
        <f t="shared" si="315"/>
        <v>132</v>
      </c>
      <c r="AK704" s="3708"/>
      <c r="AL704" s="3708"/>
      <c r="AM704" s="3708"/>
      <c r="AN704" s="4154"/>
      <c r="AO704" s="4154"/>
      <c r="AP704" s="4509">
        <f t="shared" si="307"/>
        <v>132</v>
      </c>
      <c r="AQ704" s="1048"/>
      <c r="AR704" s="1048"/>
      <c r="AS704" s="4510">
        <f t="shared" si="310"/>
        <v>132</v>
      </c>
      <c r="AT704" s="1048"/>
      <c r="AU704" s="1048"/>
      <c r="AV704" s="1048"/>
      <c r="AW704" s="4510">
        <f>I704/6</f>
        <v>22</v>
      </c>
      <c r="AX704" s="1048"/>
      <c r="AY704" s="1048"/>
      <c r="AZ704" s="1048"/>
      <c r="BA704" s="1048"/>
      <c r="BB704" s="1048"/>
      <c r="BC704" s="1048"/>
      <c r="BD704" s="1048"/>
      <c r="BE704" s="1048"/>
      <c r="BF704" s="1048" t="s">
        <v>89</v>
      </c>
      <c r="BG704" s="1048"/>
      <c r="BH704" s="1048">
        <f t="shared" si="317"/>
        <v>22</v>
      </c>
      <c r="BI704" s="1048">
        <f t="shared" si="318"/>
        <v>22</v>
      </c>
      <c r="BJ704" s="1048">
        <f t="shared" si="319"/>
        <v>22</v>
      </c>
      <c r="BK704" s="1048">
        <f t="shared" si="320"/>
        <v>22</v>
      </c>
      <c r="BL704" s="1048">
        <f t="shared" si="321"/>
        <v>22</v>
      </c>
      <c r="BM704" s="1048">
        <f t="shared" si="322"/>
        <v>17.6</v>
      </c>
      <c r="BN704" s="1048">
        <f t="shared" si="323"/>
        <v>4.4</v>
      </c>
      <c r="BO704" s="1048"/>
      <c r="BP704" s="1048"/>
      <c r="BQ704" s="1048"/>
      <c r="BR704" s="1048"/>
      <c r="BS704" s="1048"/>
      <c r="BT704" s="4414"/>
      <c r="BU704" s="4415"/>
      <c r="BV704" s="4505">
        <f t="shared" si="313"/>
        <v>132</v>
      </c>
      <c r="BW704" s="4506">
        <f t="shared" si="298"/>
        <v>0</v>
      </c>
      <c r="BX704" s="4323"/>
      <c r="BY704" s="4323"/>
      <c r="BZ704" s="4323"/>
      <c r="CA704" s="4511"/>
      <c r="CC704" s="4512"/>
      <c r="CD704" s="4511"/>
    </row>
    <row r="705" s="4316" customFormat="1" ht="50" customHeight="1" spans="1:82">
      <c r="A705" s="4500">
        <v>45896</v>
      </c>
      <c r="B705" s="4501" t="s">
        <v>505</v>
      </c>
      <c r="C705" s="3708" t="s">
        <v>506</v>
      </c>
      <c r="D705" s="4502">
        <v>4500177972</v>
      </c>
      <c r="E705" s="3708">
        <v>21105431</v>
      </c>
      <c r="F705" s="4502" t="s">
        <v>4928</v>
      </c>
      <c r="G705" s="3708" t="s">
        <v>2577</v>
      </c>
      <c r="H705" s="3708" t="s">
        <v>2578</v>
      </c>
      <c r="I705" s="4154">
        <v>1368</v>
      </c>
      <c r="J705" s="4154">
        <v>0</v>
      </c>
      <c r="K705" s="4154">
        <v>12</v>
      </c>
      <c r="L705" s="4154">
        <f t="shared" si="316"/>
        <v>114</v>
      </c>
      <c r="M705" s="4503">
        <v>45943</v>
      </c>
      <c r="N705" s="4503">
        <v>45939</v>
      </c>
      <c r="O705" s="4117"/>
      <c r="P705" s="3682" t="s">
        <v>82</v>
      </c>
      <c r="Q705" s="3682"/>
      <c r="R705" s="4083"/>
      <c r="S705" s="4083"/>
      <c r="T705" s="4083"/>
      <c r="U705" s="3726" t="s">
        <v>2042</v>
      </c>
      <c r="V705" s="3709" t="s">
        <v>2043</v>
      </c>
      <c r="W705" s="3711"/>
      <c r="X705" s="3711" t="s">
        <v>2044</v>
      </c>
      <c r="Y705" s="3711"/>
      <c r="Z705" s="4154"/>
      <c r="AA705" s="3680" t="s">
        <v>4929</v>
      </c>
      <c r="AB705" s="4154" t="s">
        <v>513</v>
      </c>
      <c r="AC705" s="4154">
        <v>2.2463</v>
      </c>
      <c r="AD705" s="4154">
        <f t="shared" si="314"/>
        <v>3072.9384</v>
      </c>
      <c r="AE705" s="3726" t="s">
        <v>2047</v>
      </c>
      <c r="AF705" s="3708" t="s">
        <v>2577</v>
      </c>
      <c r="AG705" s="3726" t="s">
        <v>416</v>
      </c>
      <c r="AH705" s="3708"/>
      <c r="AI705" s="4154"/>
      <c r="AJ705" s="4509">
        <f t="shared" si="315"/>
        <v>1368</v>
      </c>
      <c r="AK705" s="3708"/>
      <c r="AL705" s="3708"/>
      <c r="AM705" s="3708"/>
      <c r="AN705" s="4154"/>
      <c r="AO705" s="4154"/>
      <c r="AP705" s="4509">
        <f t="shared" si="307"/>
        <v>1368</v>
      </c>
      <c r="AQ705" s="1048"/>
      <c r="AR705" s="1048"/>
      <c r="AS705" s="4510">
        <f t="shared" si="310"/>
        <v>1368</v>
      </c>
      <c r="AT705" s="1048"/>
      <c r="AU705" s="1048"/>
      <c r="AV705" s="1048"/>
      <c r="AW705" s="4510">
        <f>I705/6</f>
        <v>228</v>
      </c>
      <c r="AX705" s="1048"/>
      <c r="AY705" s="1048"/>
      <c r="AZ705" s="1048"/>
      <c r="BA705" s="1048"/>
      <c r="BB705" s="1048"/>
      <c r="BC705" s="1048"/>
      <c r="BD705" s="1048"/>
      <c r="BE705" s="1048"/>
      <c r="BF705" s="1048" t="s">
        <v>89</v>
      </c>
      <c r="BG705" s="1048"/>
      <c r="BH705" s="1048">
        <f t="shared" si="317"/>
        <v>228</v>
      </c>
      <c r="BI705" s="1048">
        <f t="shared" si="318"/>
        <v>228</v>
      </c>
      <c r="BJ705" s="1048">
        <f t="shared" si="319"/>
        <v>228</v>
      </c>
      <c r="BK705" s="1048">
        <f t="shared" si="320"/>
        <v>228</v>
      </c>
      <c r="BL705" s="1048">
        <f t="shared" si="321"/>
        <v>228</v>
      </c>
      <c r="BM705" s="1048">
        <f t="shared" si="322"/>
        <v>182.4</v>
      </c>
      <c r="BN705" s="1048">
        <f t="shared" si="323"/>
        <v>45.6</v>
      </c>
      <c r="BO705" s="1048"/>
      <c r="BP705" s="1048"/>
      <c r="BQ705" s="1048"/>
      <c r="BR705" s="1048"/>
      <c r="BS705" s="1048"/>
      <c r="BT705" s="4414"/>
      <c r="BU705" s="4415"/>
      <c r="BV705" s="4505">
        <f t="shared" si="313"/>
        <v>1368</v>
      </c>
      <c r="BW705" s="4506">
        <f t="shared" si="298"/>
        <v>0</v>
      </c>
      <c r="BX705" s="4323"/>
      <c r="BY705" s="4323"/>
      <c r="BZ705" s="4323"/>
      <c r="CA705" s="4511"/>
      <c r="CC705" s="4512"/>
      <c r="CD705" s="4511"/>
    </row>
    <row r="706" s="4317" customFormat="1" ht="50" customHeight="1" spans="1:82">
      <c r="A706" s="4513">
        <v>45912</v>
      </c>
      <c r="B706" s="4514" t="s">
        <v>4930</v>
      </c>
      <c r="C706" s="905" t="s">
        <v>91</v>
      </c>
      <c r="D706" s="4515">
        <v>4500179538</v>
      </c>
      <c r="E706" s="5459" t="s">
        <v>4931</v>
      </c>
      <c r="F706" s="4515" t="s">
        <v>4932</v>
      </c>
      <c r="G706" s="905" t="s">
        <v>3068</v>
      </c>
      <c r="H706" s="905" t="s">
        <v>3069</v>
      </c>
      <c r="I706" s="906">
        <v>1152</v>
      </c>
      <c r="J706" s="906">
        <v>0</v>
      </c>
      <c r="K706" s="906">
        <v>384</v>
      </c>
      <c r="L706" s="906">
        <f t="shared" si="316"/>
        <v>3</v>
      </c>
      <c r="M706" s="4516">
        <v>45945</v>
      </c>
      <c r="N706" s="4516">
        <v>45941</v>
      </c>
      <c r="O706" s="905" t="s">
        <v>4933</v>
      </c>
      <c r="P706" s="3682" t="s">
        <v>82</v>
      </c>
      <c r="Q706" s="3682"/>
      <c r="R706" s="4083"/>
      <c r="S706" s="4083"/>
      <c r="T706" s="4083"/>
      <c r="U706" s="4148" t="s">
        <v>2038</v>
      </c>
      <c r="V706" s="3739" t="s">
        <v>4934</v>
      </c>
      <c r="W706" s="3739"/>
      <c r="X706" s="3739" t="s">
        <v>4710</v>
      </c>
      <c r="Y706" s="3739" t="s">
        <v>4935</v>
      </c>
      <c r="Z706" s="906"/>
      <c r="AA706" s="3625" t="s">
        <v>4936</v>
      </c>
      <c r="AB706" s="906" t="s">
        <v>3076</v>
      </c>
      <c r="AC706" s="906">
        <v>70.7133</v>
      </c>
      <c r="AD706" s="906">
        <f t="shared" ref="AD706:AD712" si="324">AC706*L706</f>
        <v>212.1399</v>
      </c>
      <c r="AE706" s="4148" t="s">
        <v>4937</v>
      </c>
      <c r="AF706" s="905" t="s">
        <v>3078</v>
      </c>
      <c r="AG706" s="4148" t="s">
        <v>416</v>
      </c>
      <c r="AH706" s="979"/>
      <c r="AI706" s="906"/>
      <c r="AJ706" s="4517">
        <f t="shared" si="315"/>
        <v>1152</v>
      </c>
      <c r="AK706" s="979"/>
      <c r="AL706" s="905"/>
      <c r="AM706" s="905"/>
      <c r="AN706" s="906"/>
      <c r="AO706" s="906"/>
      <c r="AP706" s="4517">
        <f t="shared" si="307"/>
        <v>1152</v>
      </c>
      <c r="AQ706" s="4382"/>
      <c r="AR706" s="980"/>
      <c r="AS706" s="4518">
        <f t="shared" si="310"/>
        <v>1152</v>
      </c>
      <c r="AT706" s="980"/>
      <c r="AU706" s="4382"/>
      <c r="AV706" s="4382"/>
      <c r="AW706" s="4518"/>
      <c r="AX706" s="4382"/>
      <c r="AY706" s="4382"/>
      <c r="AZ706" s="4382"/>
      <c r="BA706" s="4382"/>
      <c r="BB706" s="4518">
        <f t="shared" ref="BB706:BB712" si="325">I706/2</f>
        <v>576</v>
      </c>
      <c r="BC706" s="4382"/>
      <c r="BD706" s="4382"/>
      <c r="BE706" s="4382"/>
      <c r="BF706" s="4382" t="s">
        <v>89</v>
      </c>
      <c r="BG706" s="4382"/>
      <c r="BH706" s="4518">
        <f t="shared" si="317"/>
        <v>192</v>
      </c>
      <c r="BI706" s="4518">
        <f t="shared" si="318"/>
        <v>192</v>
      </c>
      <c r="BJ706" s="4518">
        <f t="shared" si="319"/>
        <v>192</v>
      </c>
      <c r="BK706" s="4518">
        <f t="shared" si="320"/>
        <v>192</v>
      </c>
      <c r="BL706" s="4518">
        <f t="shared" si="321"/>
        <v>192</v>
      </c>
      <c r="BM706" s="4518">
        <f t="shared" si="322"/>
        <v>153.6</v>
      </c>
      <c r="BN706" s="4518">
        <f t="shared" si="323"/>
        <v>38.4</v>
      </c>
      <c r="BO706" s="980"/>
      <c r="BP706" s="980"/>
      <c r="BQ706" s="980"/>
      <c r="BR706" s="980"/>
      <c r="BS706" s="980"/>
      <c r="BT706" s="981"/>
      <c r="BU706" s="982"/>
      <c r="BV706" s="4519">
        <f t="shared" si="313"/>
        <v>1152</v>
      </c>
      <c r="BW706" s="4520">
        <f t="shared" si="298"/>
        <v>0</v>
      </c>
      <c r="BX706" s="4409"/>
      <c r="BY706" s="4409"/>
      <c r="BZ706" s="4409"/>
      <c r="CA706" s="4521"/>
      <c r="CB706" s="4521"/>
      <c r="CC706" s="4522"/>
      <c r="CD706" s="4521"/>
    </row>
    <row r="707" s="4312" customFormat="1" ht="50" customHeight="1" spans="1:82">
      <c r="A707" s="4513">
        <v>45912</v>
      </c>
      <c r="B707" s="4514" t="s">
        <v>4930</v>
      </c>
      <c r="C707" s="905" t="s">
        <v>91</v>
      </c>
      <c r="D707" s="4515">
        <v>4500179538</v>
      </c>
      <c r="E707" s="5459" t="s">
        <v>4938</v>
      </c>
      <c r="F707" s="4515" t="s">
        <v>4939</v>
      </c>
      <c r="G707" s="905" t="s">
        <v>3068</v>
      </c>
      <c r="H707" s="905" t="s">
        <v>3069</v>
      </c>
      <c r="I707" s="906">
        <v>1920</v>
      </c>
      <c r="J707" s="906">
        <v>0</v>
      </c>
      <c r="K707" s="906">
        <v>384</v>
      </c>
      <c r="L707" s="906">
        <f t="shared" si="316"/>
        <v>5</v>
      </c>
      <c r="M707" s="4516">
        <v>45945</v>
      </c>
      <c r="N707" s="4516">
        <v>45941</v>
      </c>
      <c r="O707" s="905" t="s">
        <v>4933</v>
      </c>
      <c r="P707" s="3682" t="s">
        <v>82</v>
      </c>
      <c r="Q707" s="3682"/>
      <c r="R707" s="4083"/>
      <c r="S707" s="4083"/>
      <c r="T707" s="4083"/>
      <c r="U707" s="4148" t="s">
        <v>4940</v>
      </c>
      <c r="V707" s="3738" t="s">
        <v>4934</v>
      </c>
      <c r="W707" s="3739"/>
      <c r="X707" s="3739" t="s">
        <v>4710</v>
      </c>
      <c r="Y707" s="3739" t="s">
        <v>4935</v>
      </c>
      <c r="Z707" s="906"/>
      <c r="AA707" s="3625" t="s">
        <v>4936</v>
      </c>
      <c r="AB707" s="906" t="s">
        <v>3076</v>
      </c>
      <c r="AC707" s="4523">
        <v>70.714</v>
      </c>
      <c r="AD707" s="906">
        <f t="shared" si="324"/>
        <v>353.57</v>
      </c>
      <c r="AE707" s="4148" t="s">
        <v>4941</v>
      </c>
      <c r="AF707" s="905" t="s">
        <v>3078</v>
      </c>
      <c r="AG707" s="4148" t="s">
        <v>416</v>
      </c>
      <c r="AH707" s="979"/>
      <c r="AI707" s="906"/>
      <c r="AJ707" s="4517">
        <f t="shared" si="315"/>
        <v>1920</v>
      </c>
      <c r="AK707" s="979"/>
      <c r="AL707" s="905"/>
      <c r="AM707" s="905"/>
      <c r="AN707" s="906"/>
      <c r="AO707" s="906"/>
      <c r="AP707" s="4517">
        <f t="shared" si="307"/>
        <v>1920</v>
      </c>
      <c r="AQ707" s="4382"/>
      <c r="AR707" s="980"/>
      <c r="AS707" s="4518">
        <f t="shared" si="310"/>
        <v>1920</v>
      </c>
      <c r="AT707" s="980"/>
      <c r="AU707" s="4382"/>
      <c r="AV707" s="4382"/>
      <c r="AW707" s="4518"/>
      <c r="AX707" s="4382"/>
      <c r="AY707" s="4382"/>
      <c r="AZ707" s="4382"/>
      <c r="BA707" s="4382"/>
      <c r="BB707" s="4518">
        <f t="shared" si="325"/>
        <v>960</v>
      </c>
      <c r="BC707" s="4382"/>
      <c r="BD707" s="4382"/>
      <c r="BE707" s="4382"/>
      <c r="BF707" s="4382" t="s">
        <v>89</v>
      </c>
      <c r="BG707" s="4382"/>
      <c r="BH707" s="4518">
        <f t="shared" si="317"/>
        <v>320</v>
      </c>
      <c r="BI707" s="4518">
        <f t="shared" si="318"/>
        <v>320</v>
      </c>
      <c r="BJ707" s="4518">
        <f t="shared" si="319"/>
        <v>320</v>
      </c>
      <c r="BK707" s="4518">
        <f t="shared" si="320"/>
        <v>320</v>
      </c>
      <c r="BL707" s="4518">
        <f t="shared" si="321"/>
        <v>320</v>
      </c>
      <c r="BM707" s="4518">
        <f t="shared" si="322"/>
        <v>256</v>
      </c>
      <c r="BN707" s="4518">
        <f t="shared" si="323"/>
        <v>64</v>
      </c>
      <c r="BO707" s="980"/>
      <c r="BP707" s="980"/>
      <c r="BQ707" s="980"/>
      <c r="BR707" s="980"/>
      <c r="BS707" s="980"/>
      <c r="BT707" s="981"/>
      <c r="BU707" s="982"/>
      <c r="BV707" s="4519">
        <f t="shared" si="313"/>
        <v>1920</v>
      </c>
      <c r="BW707" s="4520">
        <f t="shared" si="298"/>
        <v>0</v>
      </c>
      <c r="BX707" s="4409"/>
      <c r="BY707" s="4409"/>
      <c r="BZ707" s="4409"/>
      <c r="CA707" s="4521"/>
      <c r="CB707" s="4521"/>
      <c r="CC707" s="4522"/>
      <c r="CD707" s="4521"/>
    </row>
    <row r="708" s="4318" customFormat="1" ht="50" customHeight="1" spans="1:82">
      <c r="A708" s="4513">
        <v>45912</v>
      </c>
      <c r="B708" s="4514" t="s">
        <v>4930</v>
      </c>
      <c r="C708" s="905" t="s">
        <v>91</v>
      </c>
      <c r="D708" s="4515">
        <v>4500179538</v>
      </c>
      <c r="E708" s="5459" t="s">
        <v>4942</v>
      </c>
      <c r="F708" s="4515" t="s">
        <v>4943</v>
      </c>
      <c r="G708" s="905" t="s">
        <v>3068</v>
      </c>
      <c r="H708" s="905" t="s">
        <v>3069</v>
      </c>
      <c r="I708" s="906">
        <v>1536</v>
      </c>
      <c r="J708" s="906">
        <v>0</v>
      </c>
      <c r="K708" s="906">
        <v>384</v>
      </c>
      <c r="L708" s="906">
        <f t="shared" si="316"/>
        <v>4</v>
      </c>
      <c r="M708" s="4516">
        <v>45945</v>
      </c>
      <c r="N708" s="4516">
        <v>45941</v>
      </c>
      <c r="O708" s="905" t="s">
        <v>4933</v>
      </c>
      <c r="P708" s="3682" t="s">
        <v>82</v>
      </c>
      <c r="Q708" s="3682"/>
      <c r="R708" s="4083"/>
      <c r="S708" s="4083"/>
      <c r="T708" s="4083"/>
      <c r="U708" s="4148" t="s">
        <v>4940</v>
      </c>
      <c r="V708" s="3738" t="s">
        <v>4934</v>
      </c>
      <c r="W708" s="3739"/>
      <c r="X708" s="3739" t="s">
        <v>4710</v>
      </c>
      <c r="Y708" s="3739" t="s">
        <v>4935</v>
      </c>
      <c r="Z708" s="906"/>
      <c r="AA708" s="3625" t="s">
        <v>4936</v>
      </c>
      <c r="AB708" s="906" t="s">
        <v>3076</v>
      </c>
      <c r="AC708" s="4523">
        <v>70.715</v>
      </c>
      <c r="AD708" s="906">
        <f t="shared" si="324"/>
        <v>282.86</v>
      </c>
      <c r="AE708" s="4148" t="s">
        <v>4944</v>
      </c>
      <c r="AF708" s="905" t="s">
        <v>3078</v>
      </c>
      <c r="AG708" s="4148" t="s">
        <v>416</v>
      </c>
      <c r="AH708" s="979"/>
      <c r="AI708" s="906"/>
      <c r="AJ708" s="4517">
        <f t="shared" si="315"/>
        <v>1536</v>
      </c>
      <c r="AK708" s="979"/>
      <c r="AL708" s="905"/>
      <c r="AM708" s="905"/>
      <c r="AN708" s="906"/>
      <c r="AO708" s="906"/>
      <c r="AP708" s="4517">
        <f t="shared" si="307"/>
        <v>1536</v>
      </c>
      <c r="AQ708" s="4382"/>
      <c r="AR708" s="980"/>
      <c r="AS708" s="4518">
        <f t="shared" si="310"/>
        <v>1536</v>
      </c>
      <c r="AT708" s="980"/>
      <c r="AU708" s="4382"/>
      <c r="AV708" s="4382"/>
      <c r="AW708" s="4518"/>
      <c r="AX708" s="4382"/>
      <c r="AY708" s="4382"/>
      <c r="AZ708" s="4382"/>
      <c r="BA708" s="4382"/>
      <c r="BB708" s="4518">
        <f t="shared" si="325"/>
        <v>768</v>
      </c>
      <c r="BC708" s="4382"/>
      <c r="BD708" s="4382"/>
      <c r="BE708" s="4382"/>
      <c r="BF708" s="4382" t="s">
        <v>89</v>
      </c>
      <c r="BG708" s="4382"/>
      <c r="BH708" s="4518">
        <f t="shared" si="317"/>
        <v>256</v>
      </c>
      <c r="BI708" s="4518">
        <f t="shared" si="318"/>
        <v>256</v>
      </c>
      <c r="BJ708" s="4518">
        <f t="shared" si="319"/>
        <v>256</v>
      </c>
      <c r="BK708" s="4518">
        <f t="shared" si="320"/>
        <v>256</v>
      </c>
      <c r="BL708" s="4518">
        <f t="shared" si="321"/>
        <v>256</v>
      </c>
      <c r="BM708" s="4518">
        <f t="shared" si="322"/>
        <v>204.8</v>
      </c>
      <c r="BN708" s="4518">
        <f t="shared" si="323"/>
        <v>51.2</v>
      </c>
      <c r="BO708" s="980"/>
      <c r="BP708" s="980"/>
      <c r="BQ708" s="980"/>
      <c r="BR708" s="980"/>
      <c r="BS708" s="980"/>
      <c r="BT708" s="981"/>
      <c r="BU708" s="982"/>
      <c r="BV708" s="4519">
        <f t="shared" si="313"/>
        <v>1536</v>
      </c>
      <c r="BW708" s="4520">
        <f t="shared" si="298"/>
        <v>0</v>
      </c>
      <c r="BX708" s="4409"/>
      <c r="BY708" s="4409"/>
      <c r="BZ708" s="4409"/>
      <c r="CA708" s="4521"/>
      <c r="CB708" s="4521"/>
      <c r="CC708" s="4522"/>
      <c r="CD708" s="4521"/>
    </row>
    <row r="709" s="4318" customFormat="1" ht="50" customHeight="1" spans="1:82">
      <c r="A709" s="4513">
        <v>45912</v>
      </c>
      <c r="B709" s="4514" t="s">
        <v>4930</v>
      </c>
      <c r="C709" s="905" t="s">
        <v>91</v>
      </c>
      <c r="D709" s="4515">
        <v>4500179538</v>
      </c>
      <c r="E709" s="5459" t="s">
        <v>4945</v>
      </c>
      <c r="F709" s="4515" t="s">
        <v>4946</v>
      </c>
      <c r="G709" s="905" t="s">
        <v>3068</v>
      </c>
      <c r="H709" s="905" t="s">
        <v>3069</v>
      </c>
      <c r="I709" s="906">
        <v>2688</v>
      </c>
      <c r="J709" s="906">
        <v>0</v>
      </c>
      <c r="K709" s="906">
        <v>384</v>
      </c>
      <c r="L709" s="906">
        <f t="shared" si="316"/>
        <v>7</v>
      </c>
      <c r="M709" s="4516">
        <v>45945</v>
      </c>
      <c r="N709" s="4516">
        <v>45941</v>
      </c>
      <c r="O709" s="905" t="s">
        <v>4933</v>
      </c>
      <c r="P709" s="3682" t="s">
        <v>82</v>
      </c>
      <c r="Q709" s="3682"/>
      <c r="R709" s="4083"/>
      <c r="S709" s="4083"/>
      <c r="T709" s="4083"/>
      <c r="U709" s="4148" t="s">
        <v>4947</v>
      </c>
      <c r="V709" s="3738" t="s">
        <v>4934</v>
      </c>
      <c r="W709" s="3739"/>
      <c r="X709" s="3739" t="s">
        <v>4710</v>
      </c>
      <c r="Y709" s="3739" t="s">
        <v>4935</v>
      </c>
      <c r="Z709" s="906"/>
      <c r="AA709" s="3625" t="s">
        <v>4936</v>
      </c>
      <c r="AB709" s="906" t="s">
        <v>3076</v>
      </c>
      <c r="AC709" s="906">
        <v>70.7143</v>
      </c>
      <c r="AD709" s="906">
        <f t="shared" si="324"/>
        <v>495.0001</v>
      </c>
      <c r="AE709" s="4148" t="s">
        <v>4948</v>
      </c>
      <c r="AF709" s="905" t="s">
        <v>3078</v>
      </c>
      <c r="AG709" s="4148" t="s">
        <v>416</v>
      </c>
      <c r="AH709" s="979"/>
      <c r="AI709" s="906"/>
      <c r="AJ709" s="4517">
        <f t="shared" si="315"/>
        <v>2688</v>
      </c>
      <c r="AK709" s="979"/>
      <c r="AL709" s="905"/>
      <c r="AM709" s="905"/>
      <c r="AN709" s="906"/>
      <c r="AO709" s="906"/>
      <c r="AP709" s="4517">
        <f t="shared" si="307"/>
        <v>2688</v>
      </c>
      <c r="AQ709" s="4382"/>
      <c r="AR709" s="980"/>
      <c r="AS709" s="4518">
        <f t="shared" si="310"/>
        <v>2688</v>
      </c>
      <c r="AT709" s="980"/>
      <c r="AU709" s="4382"/>
      <c r="AV709" s="4382"/>
      <c r="AW709" s="4518"/>
      <c r="AX709" s="4382"/>
      <c r="AY709" s="4382"/>
      <c r="AZ709" s="4382"/>
      <c r="BA709" s="4382"/>
      <c r="BB709" s="4518">
        <f t="shared" si="325"/>
        <v>1344</v>
      </c>
      <c r="BC709" s="4382"/>
      <c r="BD709" s="4382"/>
      <c r="BE709" s="4382"/>
      <c r="BF709" s="4382" t="s">
        <v>89</v>
      </c>
      <c r="BG709" s="4382"/>
      <c r="BH709" s="4518">
        <f t="shared" si="317"/>
        <v>448</v>
      </c>
      <c r="BI709" s="4518">
        <f t="shared" si="318"/>
        <v>448</v>
      </c>
      <c r="BJ709" s="4518">
        <f t="shared" si="319"/>
        <v>448</v>
      </c>
      <c r="BK709" s="4518">
        <f t="shared" si="320"/>
        <v>448</v>
      </c>
      <c r="BL709" s="4518">
        <f t="shared" si="321"/>
        <v>448</v>
      </c>
      <c r="BM709" s="4518">
        <f t="shared" si="322"/>
        <v>358.4</v>
      </c>
      <c r="BN709" s="4518">
        <f t="shared" si="323"/>
        <v>89.6</v>
      </c>
      <c r="BO709" s="980"/>
      <c r="BP709" s="980"/>
      <c r="BQ709" s="980"/>
      <c r="BR709" s="980"/>
      <c r="BS709" s="980"/>
      <c r="BT709" s="981"/>
      <c r="BU709" s="982"/>
      <c r="BV709" s="4519">
        <f t="shared" si="313"/>
        <v>2688</v>
      </c>
      <c r="BW709" s="4520">
        <f t="shared" ref="BW709:BW772" si="326">I709-BV709</f>
        <v>0</v>
      </c>
      <c r="BX709" s="4409"/>
      <c r="BY709" s="4409"/>
      <c r="BZ709" s="4409"/>
      <c r="CA709" s="4521"/>
      <c r="CB709" s="4521"/>
      <c r="CC709" s="4522"/>
      <c r="CD709" s="4521"/>
    </row>
    <row r="710" s="4318" customFormat="1" ht="50" customHeight="1" spans="1:82">
      <c r="A710" s="4513">
        <v>45912</v>
      </c>
      <c r="B710" s="4514" t="s">
        <v>4930</v>
      </c>
      <c r="C710" s="905" t="s">
        <v>91</v>
      </c>
      <c r="D710" s="4515">
        <v>4500179538</v>
      </c>
      <c r="E710" s="5459" t="s">
        <v>4949</v>
      </c>
      <c r="F710" s="4515" t="s">
        <v>4950</v>
      </c>
      <c r="G710" s="905" t="s">
        <v>3068</v>
      </c>
      <c r="H710" s="905" t="s">
        <v>3069</v>
      </c>
      <c r="I710" s="906">
        <v>1536</v>
      </c>
      <c r="J710" s="906">
        <v>0</v>
      </c>
      <c r="K710" s="906">
        <v>384</v>
      </c>
      <c r="L710" s="906">
        <f t="shared" si="316"/>
        <v>4</v>
      </c>
      <c r="M710" s="4516">
        <v>45945</v>
      </c>
      <c r="N710" s="4516">
        <v>45941</v>
      </c>
      <c r="O710" s="905" t="s">
        <v>4933</v>
      </c>
      <c r="P710" s="3682" t="s">
        <v>82</v>
      </c>
      <c r="Q710" s="3682"/>
      <c r="R710" s="4083"/>
      <c r="S710" s="4083"/>
      <c r="T710" s="4083"/>
      <c r="U710" s="4148" t="s">
        <v>2038</v>
      </c>
      <c r="V710" s="3738" t="s">
        <v>4934</v>
      </c>
      <c r="W710" s="3739"/>
      <c r="X710" s="3739" t="s">
        <v>4710</v>
      </c>
      <c r="Y710" s="3739" t="s">
        <v>4935</v>
      </c>
      <c r="Z710" s="906"/>
      <c r="AA710" s="3625" t="s">
        <v>4936</v>
      </c>
      <c r="AB710" s="906" t="s">
        <v>3076</v>
      </c>
      <c r="AC710" s="4523">
        <v>70.715</v>
      </c>
      <c r="AD710" s="906">
        <f t="shared" si="324"/>
        <v>282.86</v>
      </c>
      <c r="AE710" s="4148" t="s">
        <v>4951</v>
      </c>
      <c r="AF710" s="905" t="s">
        <v>3078</v>
      </c>
      <c r="AG710" s="4148" t="s">
        <v>416</v>
      </c>
      <c r="AH710" s="979"/>
      <c r="AI710" s="906"/>
      <c r="AJ710" s="4517">
        <f t="shared" si="315"/>
        <v>1536</v>
      </c>
      <c r="AK710" s="979"/>
      <c r="AL710" s="905"/>
      <c r="AM710" s="905"/>
      <c r="AN710" s="906"/>
      <c r="AO710" s="906"/>
      <c r="AP710" s="4517">
        <f t="shared" si="307"/>
        <v>1536</v>
      </c>
      <c r="AQ710" s="4382"/>
      <c r="AR710" s="980"/>
      <c r="AS710" s="4518">
        <f t="shared" si="310"/>
        <v>1536</v>
      </c>
      <c r="AT710" s="980"/>
      <c r="AU710" s="4382"/>
      <c r="AV710" s="4382"/>
      <c r="AW710" s="4518"/>
      <c r="AX710" s="4382"/>
      <c r="AY710" s="4382"/>
      <c r="AZ710" s="4382"/>
      <c r="BA710" s="4382"/>
      <c r="BB710" s="4518">
        <f t="shared" si="325"/>
        <v>768</v>
      </c>
      <c r="BC710" s="4382"/>
      <c r="BD710" s="4382"/>
      <c r="BE710" s="4382"/>
      <c r="BF710" s="4382" t="s">
        <v>89</v>
      </c>
      <c r="BG710" s="4382"/>
      <c r="BH710" s="4518">
        <f t="shared" si="317"/>
        <v>256</v>
      </c>
      <c r="BI710" s="4518">
        <f t="shared" si="318"/>
        <v>256</v>
      </c>
      <c r="BJ710" s="4518">
        <f t="shared" si="319"/>
        <v>256</v>
      </c>
      <c r="BK710" s="4518">
        <f t="shared" si="320"/>
        <v>256</v>
      </c>
      <c r="BL710" s="4518">
        <f t="shared" si="321"/>
        <v>256</v>
      </c>
      <c r="BM710" s="4518">
        <f t="shared" si="322"/>
        <v>204.8</v>
      </c>
      <c r="BN710" s="4518">
        <f t="shared" si="323"/>
        <v>51.2</v>
      </c>
      <c r="BO710" s="980"/>
      <c r="BP710" s="980"/>
      <c r="BQ710" s="980"/>
      <c r="BR710" s="980"/>
      <c r="BS710" s="980"/>
      <c r="BT710" s="981"/>
      <c r="BU710" s="982"/>
      <c r="BV710" s="4519">
        <f t="shared" si="313"/>
        <v>1536</v>
      </c>
      <c r="BW710" s="4520">
        <f t="shared" si="326"/>
        <v>0</v>
      </c>
      <c r="BX710" s="4409"/>
      <c r="BY710" s="4409"/>
      <c r="BZ710" s="4409"/>
      <c r="CA710" s="4521"/>
      <c r="CB710" s="4521"/>
      <c r="CC710" s="4522"/>
      <c r="CD710" s="4521"/>
    </row>
    <row r="711" s="4316" customFormat="1" ht="50" customHeight="1" spans="1:82">
      <c r="A711" s="4500">
        <v>45912</v>
      </c>
      <c r="B711" s="4501" t="s">
        <v>4930</v>
      </c>
      <c r="C711" s="3708" t="s">
        <v>91</v>
      </c>
      <c r="D711" s="4502">
        <v>4500179538</v>
      </c>
      <c r="E711" s="5455" t="s">
        <v>4952</v>
      </c>
      <c r="F711" s="4502" t="s">
        <v>4953</v>
      </c>
      <c r="G711" s="3708" t="s">
        <v>3068</v>
      </c>
      <c r="H711" s="3708" t="s">
        <v>3069</v>
      </c>
      <c r="I711" s="4154">
        <v>3072</v>
      </c>
      <c r="J711" s="4154">
        <v>0</v>
      </c>
      <c r="K711" s="4154">
        <v>384</v>
      </c>
      <c r="L711" s="4154">
        <f t="shared" si="316"/>
        <v>8</v>
      </c>
      <c r="M711" s="4503">
        <v>45945</v>
      </c>
      <c r="N711" s="4503">
        <v>45941</v>
      </c>
      <c r="O711" s="3708" t="s">
        <v>4933</v>
      </c>
      <c r="P711" s="3682" t="s">
        <v>82</v>
      </c>
      <c r="Q711" s="3682"/>
      <c r="R711" s="4083"/>
      <c r="S711" s="4083"/>
      <c r="T711" s="4083"/>
      <c r="U711" s="3726" t="s">
        <v>4954</v>
      </c>
      <c r="V711" s="3709" t="s">
        <v>4934</v>
      </c>
      <c r="W711" s="3711"/>
      <c r="X711" s="3711" t="s">
        <v>4710</v>
      </c>
      <c r="Y711" s="3711" t="s">
        <v>4935</v>
      </c>
      <c r="Z711" s="4154"/>
      <c r="AA711" s="3680" t="s">
        <v>4936</v>
      </c>
      <c r="AB711" s="4154" t="s">
        <v>3076</v>
      </c>
      <c r="AC711" s="4154">
        <v>70.7138</v>
      </c>
      <c r="AD711" s="4154">
        <f t="shared" si="324"/>
        <v>565.7104</v>
      </c>
      <c r="AE711" s="3726" t="s">
        <v>4955</v>
      </c>
      <c r="AF711" s="3708" t="s">
        <v>3078</v>
      </c>
      <c r="AG711" s="3726" t="s">
        <v>416</v>
      </c>
      <c r="AH711" s="4412"/>
      <c r="AI711" s="4154"/>
      <c r="AJ711" s="4509">
        <f t="shared" si="315"/>
        <v>3072</v>
      </c>
      <c r="AK711" s="4412"/>
      <c r="AL711" s="3708"/>
      <c r="AM711" s="3708"/>
      <c r="AN711" s="4154"/>
      <c r="AO711" s="4154"/>
      <c r="AP711" s="4509">
        <f t="shared" si="307"/>
        <v>3072</v>
      </c>
      <c r="AQ711" s="1048"/>
      <c r="AR711" s="1040"/>
      <c r="AS711" s="4510">
        <f t="shared" si="310"/>
        <v>3072</v>
      </c>
      <c r="AT711" s="1040"/>
      <c r="AU711" s="1048"/>
      <c r="AV711" s="1048"/>
      <c r="AW711" s="4510"/>
      <c r="AX711" s="1048"/>
      <c r="AY711" s="1048"/>
      <c r="AZ711" s="1048"/>
      <c r="BA711" s="1048"/>
      <c r="BB711" s="4510">
        <f t="shared" si="325"/>
        <v>1536</v>
      </c>
      <c r="BC711" s="1048"/>
      <c r="BD711" s="1048"/>
      <c r="BE711" s="1048"/>
      <c r="BF711" s="1048" t="s">
        <v>89</v>
      </c>
      <c r="BG711" s="1048"/>
      <c r="BH711" s="4510">
        <f t="shared" si="317"/>
        <v>512</v>
      </c>
      <c r="BI711" s="4510">
        <f t="shared" si="318"/>
        <v>512</v>
      </c>
      <c r="BJ711" s="4510">
        <f t="shared" si="319"/>
        <v>512</v>
      </c>
      <c r="BK711" s="4510">
        <f t="shared" si="320"/>
        <v>512</v>
      </c>
      <c r="BL711" s="4510">
        <f t="shared" si="321"/>
        <v>512</v>
      </c>
      <c r="BM711" s="4510">
        <f t="shared" si="322"/>
        <v>409.6</v>
      </c>
      <c r="BN711" s="4510">
        <f t="shared" si="323"/>
        <v>102.4</v>
      </c>
      <c r="BO711" s="1040"/>
      <c r="BP711" s="1040"/>
      <c r="BQ711" s="1040"/>
      <c r="BR711" s="1040"/>
      <c r="BS711" s="1040"/>
      <c r="BT711" s="1041"/>
      <c r="BU711" s="4524"/>
      <c r="BV711" s="4525">
        <f t="shared" si="313"/>
        <v>3072</v>
      </c>
      <c r="BW711" s="4526">
        <f t="shared" si="326"/>
        <v>0</v>
      </c>
      <c r="BX711" s="4323"/>
      <c r="BY711" s="4323"/>
      <c r="BZ711" s="4323"/>
      <c r="CA711" s="4507"/>
      <c r="CB711" s="4507"/>
      <c r="CC711" s="4508"/>
      <c r="CD711" s="4507"/>
    </row>
    <row r="712" s="4312" customFormat="1" ht="50" customHeight="1" spans="1:82">
      <c r="A712" s="4500">
        <v>45912</v>
      </c>
      <c r="B712" s="4501" t="s">
        <v>4930</v>
      </c>
      <c r="C712" s="3708" t="s">
        <v>91</v>
      </c>
      <c r="D712" s="4502">
        <v>4500179538</v>
      </c>
      <c r="E712" s="5455" t="s">
        <v>4956</v>
      </c>
      <c r="F712" s="4502" t="s">
        <v>4957</v>
      </c>
      <c r="G712" s="3708" t="s">
        <v>3068</v>
      </c>
      <c r="H712" s="3708" t="s">
        <v>3069</v>
      </c>
      <c r="I712" s="4154">
        <v>2688</v>
      </c>
      <c r="J712" s="4154">
        <v>0</v>
      </c>
      <c r="K712" s="4154">
        <v>384</v>
      </c>
      <c r="L712" s="4154">
        <f t="shared" si="316"/>
        <v>7</v>
      </c>
      <c r="M712" s="4503">
        <v>45945</v>
      </c>
      <c r="N712" s="4503">
        <v>45941</v>
      </c>
      <c r="O712" s="3708" t="s">
        <v>4933</v>
      </c>
      <c r="P712" s="3682" t="s">
        <v>82</v>
      </c>
      <c r="Q712" s="3682"/>
      <c r="R712" s="4083"/>
      <c r="S712" s="4083"/>
      <c r="T712" s="4083"/>
      <c r="U712" s="3726" t="s">
        <v>265</v>
      </c>
      <c r="V712" s="3709" t="s">
        <v>4934</v>
      </c>
      <c r="W712" s="3711"/>
      <c r="X712" s="3711" t="s">
        <v>4710</v>
      </c>
      <c r="Y712" s="3711" t="s">
        <v>4935</v>
      </c>
      <c r="Z712" s="4154"/>
      <c r="AA712" s="3680" t="s">
        <v>4936</v>
      </c>
      <c r="AB712" s="4154" t="s">
        <v>3076</v>
      </c>
      <c r="AC712" s="4154">
        <v>70.7143</v>
      </c>
      <c r="AD712" s="4154">
        <f t="shared" si="324"/>
        <v>495.0001</v>
      </c>
      <c r="AE712" s="3726" t="s">
        <v>4958</v>
      </c>
      <c r="AF712" s="3708" t="s">
        <v>3078</v>
      </c>
      <c r="AG712" s="3726" t="s">
        <v>416</v>
      </c>
      <c r="AH712" s="4412"/>
      <c r="AI712" s="4154"/>
      <c r="AJ712" s="4509">
        <f t="shared" si="315"/>
        <v>2688</v>
      </c>
      <c r="AK712" s="4412"/>
      <c r="AL712" s="3708"/>
      <c r="AM712" s="3708"/>
      <c r="AN712" s="4154"/>
      <c r="AO712" s="4154"/>
      <c r="AP712" s="4509">
        <f t="shared" si="307"/>
        <v>2688</v>
      </c>
      <c r="AQ712" s="1048"/>
      <c r="AR712" s="1040"/>
      <c r="AS712" s="4510">
        <f t="shared" si="310"/>
        <v>2688</v>
      </c>
      <c r="AT712" s="1040"/>
      <c r="AU712" s="1048"/>
      <c r="AV712" s="1048"/>
      <c r="AW712" s="4510"/>
      <c r="AX712" s="1048"/>
      <c r="AY712" s="1048"/>
      <c r="AZ712" s="1048"/>
      <c r="BA712" s="1048"/>
      <c r="BB712" s="4510">
        <f t="shared" si="325"/>
        <v>1344</v>
      </c>
      <c r="BC712" s="1048"/>
      <c r="BD712" s="1048"/>
      <c r="BE712" s="1048"/>
      <c r="BF712" s="1048" t="s">
        <v>89</v>
      </c>
      <c r="BG712" s="1048"/>
      <c r="BH712" s="4510">
        <f t="shared" si="317"/>
        <v>448</v>
      </c>
      <c r="BI712" s="4510">
        <f t="shared" si="318"/>
        <v>448</v>
      </c>
      <c r="BJ712" s="4510">
        <f t="shared" si="319"/>
        <v>448</v>
      </c>
      <c r="BK712" s="4510">
        <f t="shared" si="320"/>
        <v>448</v>
      </c>
      <c r="BL712" s="4510">
        <f t="shared" si="321"/>
        <v>448</v>
      </c>
      <c r="BM712" s="4510">
        <f t="shared" si="322"/>
        <v>358.4</v>
      </c>
      <c r="BN712" s="4510">
        <f t="shared" si="323"/>
        <v>89.6</v>
      </c>
      <c r="BO712" s="1040"/>
      <c r="BP712" s="1040"/>
      <c r="BQ712" s="1040"/>
      <c r="BR712" s="1040"/>
      <c r="BS712" s="1040"/>
      <c r="BT712" s="1041"/>
      <c r="BU712" s="4524"/>
      <c r="BV712" s="4525">
        <f t="shared" si="313"/>
        <v>2688</v>
      </c>
      <c r="BW712" s="4526">
        <f t="shared" si="326"/>
        <v>0</v>
      </c>
      <c r="BX712" s="4323"/>
      <c r="BY712" s="4323"/>
      <c r="BZ712" s="4323"/>
      <c r="CA712" s="4507"/>
      <c r="CB712" s="4507"/>
      <c r="CC712" s="4508"/>
      <c r="CD712" s="4507"/>
    </row>
    <row r="713" s="4318" customFormat="1" ht="50" customHeight="1" spans="1:82">
      <c r="A713" s="4513">
        <v>45904</v>
      </c>
      <c r="B713" s="4514" t="s">
        <v>4959</v>
      </c>
      <c r="C713" s="905" t="s">
        <v>4960</v>
      </c>
      <c r="D713" s="4515">
        <v>4500178799</v>
      </c>
      <c r="E713" s="905"/>
      <c r="F713" s="4515" t="s">
        <v>4961</v>
      </c>
      <c r="G713" s="905" t="s">
        <v>2577</v>
      </c>
      <c r="H713" s="905" t="s">
        <v>2578</v>
      </c>
      <c r="I713" s="906">
        <v>1860</v>
      </c>
      <c r="J713" s="906">
        <v>0</v>
      </c>
      <c r="K713" s="906">
        <v>12</v>
      </c>
      <c r="L713" s="906">
        <f t="shared" si="316"/>
        <v>155</v>
      </c>
      <c r="M713" s="4516">
        <v>45947</v>
      </c>
      <c r="N713" s="4516">
        <v>45943</v>
      </c>
      <c r="O713" s="4129"/>
      <c r="P713" s="4527" t="s">
        <v>82</v>
      </c>
      <c r="Q713" s="4527"/>
      <c r="R713" s="4159"/>
      <c r="S713" s="4159"/>
      <c r="T713" s="4159"/>
      <c r="U713" s="4148" t="s">
        <v>2257</v>
      </c>
      <c r="V713" s="3738" t="s">
        <v>4962</v>
      </c>
      <c r="W713" s="3739"/>
      <c r="X713" s="3739" t="s">
        <v>4963</v>
      </c>
      <c r="Y713" s="3739"/>
      <c r="Z713" s="906"/>
      <c r="AA713" s="3625" t="s">
        <v>4964</v>
      </c>
      <c r="AB713" s="906" t="s">
        <v>4965</v>
      </c>
      <c r="AC713" s="906">
        <v>2.1392</v>
      </c>
      <c r="AD713" s="906">
        <f>AC713*I713</f>
        <v>3978.912</v>
      </c>
      <c r="AE713" s="3625" t="s">
        <v>4966</v>
      </c>
      <c r="AF713" s="905" t="s">
        <v>2604</v>
      </c>
      <c r="AG713" s="4148" t="s">
        <v>416</v>
      </c>
      <c r="AH713" s="905"/>
      <c r="AI713" s="906"/>
      <c r="AJ713" s="4517"/>
      <c r="AK713" s="905"/>
      <c r="AL713" s="905"/>
      <c r="AM713" s="4528">
        <f>I713</f>
        <v>1860</v>
      </c>
      <c r="AN713" s="906"/>
      <c r="AO713" s="906"/>
      <c r="AP713" s="4517">
        <f t="shared" si="307"/>
        <v>1860</v>
      </c>
      <c r="AQ713" s="4382"/>
      <c r="AR713" s="4382"/>
      <c r="AS713" s="4518">
        <f t="shared" si="310"/>
        <v>1860</v>
      </c>
      <c r="AT713" s="4382"/>
      <c r="AU713" s="4382"/>
      <c r="AV713" s="4382"/>
      <c r="AW713" s="4518">
        <f>I713/6</f>
        <v>310</v>
      </c>
      <c r="AX713" s="4382"/>
      <c r="AY713" s="4382"/>
      <c r="AZ713" s="4382"/>
      <c r="BA713" s="4382"/>
      <c r="BB713" s="4382"/>
      <c r="BC713" s="4382"/>
      <c r="BD713" s="4382"/>
      <c r="BE713" s="4382"/>
      <c r="BF713" s="4382" t="s">
        <v>89</v>
      </c>
      <c r="BG713" s="4382"/>
      <c r="BH713" s="4382">
        <f t="shared" si="317"/>
        <v>310</v>
      </c>
      <c r="BI713" s="4382">
        <f t="shared" si="318"/>
        <v>310</v>
      </c>
      <c r="BJ713" s="4382">
        <f t="shared" si="319"/>
        <v>310</v>
      </c>
      <c r="BK713" s="4382">
        <f t="shared" si="320"/>
        <v>310</v>
      </c>
      <c r="BL713" s="4382">
        <f t="shared" si="321"/>
        <v>310</v>
      </c>
      <c r="BM713" s="4382">
        <f t="shared" si="322"/>
        <v>248</v>
      </c>
      <c r="BN713" s="4382">
        <f t="shared" si="323"/>
        <v>62</v>
      </c>
      <c r="BO713" s="907"/>
      <c r="BP713" s="907"/>
      <c r="BQ713" s="907"/>
      <c r="BR713" s="907"/>
      <c r="BS713" s="907"/>
      <c r="BT713" s="910"/>
      <c r="BU713" s="911"/>
      <c r="BV713" s="4529">
        <f t="shared" si="313"/>
        <v>1860</v>
      </c>
      <c r="BW713" s="4530">
        <f t="shared" si="326"/>
        <v>0</v>
      </c>
      <c r="BX713" s="4409"/>
      <c r="BY713" s="4409"/>
      <c r="BZ713" s="4409"/>
      <c r="CA713" s="4521"/>
      <c r="CB713" s="4317"/>
      <c r="CC713" s="4522"/>
      <c r="CD713" s="4521"/>
    </row>
    <row r="714" s="4319" customFormat="1" ht="50" customHeight="1" spans="1:82">
      <c r="A714" s="3688">
        <v>45807</v>
      </c>
      <c r="B714" s="3689" t="s">
        <v>2697</v>
      </c>
      <c r="C714" s="3664" t="s">
        <v>2698</v>
      </c>
      <c r="D714" s="3690">
        <v>4500168517</v>
      </c>
      <c r="E714" s="5456" t="s">
        <v>4967</v>
      </c>
      <c r="F714" s="3690" t="s">
        <v>4968</v>
      </c>
      <c r="G714" s="3664" t="s">
        <v>2700</v>
      </c>
      <c r="H714" s="3664" t="s">
        <v>2591</v>
      </c>
      <c r="I714" s="3691">
        <v>5004</v>
      </c>
      <c r="J714" s="3691">
        <v>0</v>
      </c>
      <c r="K714" s="3691">
        <v>12</v>
      </c>
      <c r="L714" s="3691">
        <f t="shared" si="316"/>
        <v>417</v>
      </c>
      <c r="M714" s="3659">
        <v>45950</v>
      </c>
      <c r="N714" s="3659">
        <v>45946</v>
      </c>
      <c r="O714" s="4085"/>
      <c r="P714" s="3682" t="s">
        <v>82</v>
      </c>
      <c r="Q714" s="3682"/>
      <c r="R714" s="4083"/>
      <c r="S714" s="4083"/>
      <c r="T714" s="4083"/>
      <c r="U714" s="3645" t="s">
        <v>4954</v>
      </c>
      <c r="V714" s="3649" t="s">
        <v>1550</v>
      </c>
      <c r="W714" s="3657"/>
      <c r="X714" s="3657" t="s">
        <v>4969</v>
      </c>
      <c r="Y714" s="3657"/>
      <c r="Z714" s="3661"/>
      <c r="AA714" s="3620" t="s">
        <v>4970</v>
      </c>
      <c r="AB714" s="3691" t="s">
        <v>559</v>
      </c>
      <c r="AC714" s="3691">
        <v>2.1091</v>
      </c>
      <c r="AD714" s="3691">
        <f>AC714*I714</f>
        <v>10553.9364</v>
      </c>
      <c r="AE714" s="3645" t="s">
        <v>4971</v>
      </c>
      <c r="AF714" s="3664" t="s">
        <v>2700</v>
      </c>
      <c r="AG714" s="3645" t="s">
        <v>416</v>
      </c>
      <c r="AH714" s="3664"/>
      <c r="AI714" s="3691"/>
      <c r="AJ714" s="3691">
        <f>I714</f>
        <v>5004</v>
      </c>
      <c r="AK714" s="3664"/>
      <c r="AL714" s="3664"/>
      <c r="AM714" s="3664"/>
      <c r="AN714" s="3691"/>
      <c r="AO714" s="3691">
        <f>I714</f>
        <v>5004</v>
      </c>
      <c r="AP714" s="3691"/>
      <c r="AQ714" s="4089"/>
      <c r="AR714" s="4089"/>
      <c r="AS714" s="4089"/>
      <c r="AT714" s="4089"/>
      <c r="AU714" s="4089">
        <f>I714</f>
        <v>5004</v>
      </c>
      <c r="AV714" s="4089"/>
      <c r="AW714" s="4089">
        <f>I714/6</f>
        <v>834</v>
      </c>
      <c r="AX714" s="4089"/>
      <c r="AY714" s="4089"/>
      <c r="AZ714" s="4089"/>
      <c r="BA714" s="4089"/>
      <c r="BB714" s="4089"/>
      <c r="BC714" s="4089"/>
      <c r="BD714" s="4089"/>
      <c r="BE714" s="4089"/>
      <c r="BF714" s="4089" t="s">
        <v>89</v>
      </c>
      <c r="BG714" s="4089"/>
      <c r="BH714" s="4089">
        <f t="shared" si="317"/>
        <v>834</v>
      </c>
      <c r="BI714" s="4089">
        <f t="shared" si="318"/>
        <v>834</v>
      </c>
      <c r="BJ714" s="4089">
        <f t="shared" si="319"/>
        <v>834</v>
      </c>
      <c r="BK714" s="4089">
        <f t="shared" si="320"/>
        <v>834</v>
      </c>
      <c r="BL714" s="4089">
        <f t="shared" si="321"/>
        <v>834</v>
      </c>
      <c r="BM714" s="4089">
        <f t="shared" si="322"/>
        <v>667.2</v>
      </c>
      <c r="BN714" s="4089">
        <f t="shared" si="323"/>
        <v>166.8</v>
      </c>
      <c r="BO714" s="4411"/>
      <c r="BP714" s="4411"/>
      <c r="BQ714" s="4411"/>
      <c r="BR714" s="4411"/>
      <c r="BS714" s="4411"/>
      <c r="BT714" s="4453"/>
      <c r="BU714" s="4454"/>
      <c r="BV714" s="4385">
        <f t="shared" si="313"/>
        <v>5004</v>
      </c>
      <c r="BW714" s="4386">
        <f t="shared" si="326"/>
        <v>0</v>
      </c>
      <c r="BX714" s="4387"/>
      <c r="BY714" s="4387"/>
      <c r="BZ714" s="4387"/>
      <c r="CA714" s="4391" t="str">
        <f>VLOOKUP(D714&amp;G714&amp;H714&amp;I714,'9298 版本变更明细'!C:AJ,34,FALSE)</f>
        <v>C版本收缩膜+A版本指南+口水胶+C版本配件包（香味贴纸/指定配件）</v>
      </c>
      <c r="CC714" s="4392">
        <v>45856</v>
      </c>
      <c r="CD714" s="4391" t="s">
        <v>4165</v>
      </c>
    </row>
    <row r="715" s="4025" customFormat="1" ht="50" customHeight="1" spans="1:82">
      <c r="A715" s="3688">
        <v>45902</v>
      </c>
      <c r="B715" s="3689" t="s">
        <v>1641</v>
      </c>
      <c r="C715" s="3664" t="s">
        <v>396</v>
      </c>
      <c r="D715" s="3690">
        <v>4500178531</v>
      </c>
      <c r="E715" s="3664" t="s">
        <v>4972</v>
      </c>
      <c r="F715" s="3690" t="s">
        <v>4973</v>
      </c>
      <c r="G715" s="3664" t="s">
        <v>4222</v>
      </c>
      <c r="H715" s="3664" t="s">
        <v>3187</v>
      </c>
      <c r="I715" s="3691">
        <v>12</v>
      </c>
      <c r="J715" s="3691">
        <v>0</v>
      </c>
      <c r="K715" s="3691">
        <v>12</v>
      </c>
      <c r="L715" s="3691">
        <f t="shared" si="316"/>
        <v>1</v>
      </c>
      <c r="M715" s="3659">
        <v>45950</v>
      </c>
      <c r="N715" s="3659">
        <v>45946</v>
      </c>
      <c r="O715" s="4085"/>
      <c r="P715" s="4527" t="s">
        <v>82</v>
      </c>
      <c r="Q715" s="4531"/>
      <c r="R715" s="4532"/>
      <c r="S715" s="4532"/>
      <c r="T715" s="4532"/>
      <c r="U715" s="4140" t="s">
        <v>2067</v>
      </c>
      <c r="V715" s="3649" t="s">
        <v>2068</v>
      </c>
      <c r="W715" s="3657"/>
      <c r="X715" s="3657" t="s">
        <v>4163</v>
      </c>
      <c r="Y715" s="3657" t="s">
        <v>2069</v>
      </c>
      <c r="Z715" s="3691"/>
      <c r="AA715" s="3620" t="s">
        <v>4974</v>
      </c>
      <c r="AB715" s="3691" t="s">
        <v>369</v>
      </c>
      <c r="AC715" s="3691">
        <v>2.194</v>
      </c>
      <c r="AD715" s="3691">
        <f>AC715*I715</f>
        <v>26.328</v>
      </c>
      <c r="AE715" s="3645" t="s">
        <v>2070</v>
      </c>
      <c r="AF715" s="3664" t="s">
        <v>4222</v>
      </c>
      <c r="AG715" s="3645" t="s">
        <v>416</v>
      </c>
      <c r="AH715" s="3664"/>
      <c r="AI715" s="3691"/>
      <c r="AJ715" s="3691"/>
      <c r="AK715" s="3664"/>
      <c r="AL715" s="3664"/>
      <c r="AM715" s="4393">
        <f>I715</f>
        <v>12</v>
      </c>
      <c r="AN715" s="3691"/>
      <c r="AO715" s="3691"/>
      <c r="AP715" s="4082">
        <f t="shared" ref="AP715:AP732" si="327">I715</f>
        <v>12</v>
      </c>
      <c r="AQ715" s="4089"/>
      <c r="AR715" s="4089"/>
      <c r="AS715" s="4089"/>
      <c r="AT715" s="4089"/>
      <c r="AU715" s="4495">
        <f>I715</f>
        <v>12</v>
      </c>
      <c r="AV715" s="4089"/>
      <c r="AW715" s="4089"/>
      <c r="AX715" s="4089"/>
      <c r="AY715" s="4089"/>
      <c r="AZ715" s="4089"/>
      <c r="BA715" s="4089"/>
      <c r="BB715" s="4089"/>
      <c r="BC715" s="4089"/>
      <c r="BD715" s="4089"/>
      <c r="BE715" s="4089"/>
      <c r="BF715" s="4089" t="s">
        <v>89</v>
      </c>
      <c r="BG715" s="4089"/>
      <c r="BH715" s="4089"/>
      <c r="BI715" s="4089"/>
      <c r="BJ715" s="4089"/>
      <c r="BK715" s="4089">
        <f>I715</f>
        <v>12</v>
      </c>
      <c r="BL715" s="4089"/>
      <c r="BM715" s="4089"/>
      <c r="BN715" s="4089">
        <f>I715/60*1</f>
        <v>0.2</v>
      </c>
      <c r="BO715" s="4411"/>
      <c r="BP715" s="4411"/>
      <c r="BQ715" s="4411"/>
      <c r="BR715" s="4411"/>
      <c r="BS715" s="4411"/>
      <c r="BT715" s="4453"/>
      <c r="BU715" s="4454"/>
      <c r="BV715" s="4385">
        <f t="shared" si="313"/>
        <v>12.2</v>
      </c>
      <c r="BW715" s="4386">
        <f t="shared" si="326"/>
        <v>-0.199999999999999</v>
      </c>
      <c r="BX715" s="4387"/>
      <c r="BY715" s="4387"/>
      <c r="BZ715" s="4387"/>
      <c r="CA715" s="4388"/>
      <c r="CB715" s="4025"/>
      <c r="CC715" s="4389"/>
      <c r="CD715" s="4388"/>
    </row>
    <row r="716" s="4025" customFormat="1" ht="50" customHeight="1" spans="1:82">
      <c r="A716" s="3688">
        <v>45888</v>
      </c>
      <c r="B716" s="3689" t="s">
        <v>3721</v>
      </c>
      <c r="C716" s="3664" t="s">
        <v>3722</v>
      </c>
      <c r="D716" s="3690">
        <v>4500177281</v>
      </c>
      <c r="E716" s="3664" t="s">
        <v>4835</v>
      </c>
      <c r="F716" s="3690" t="s">
        <v>4975</v>
      </c>
      <c r="G716" s="3664" t="s">
        <v>2806</v>
      </c>
      <c r="H716" s="3664" t="s">
        <v>2591</v>
      </c>
      <c r="I716" s="3691">
        <v>240</v>
      </c>
      <c r="J716" s="3691">
        <v>0</v>
      </c>
      <c r="K716" s="3691">
        <v>12</v>
      </c>
      <c r="L716" s="3691">
        <f t="shared" si="316"/>
        <v>20</v>
      </c>
      <c r="M716" s="3659">
        <v>45952</v>
      </c>
      <c r="N716" s="3659">
        <v>45948</v>
      </c>
      <c r="O716" s="4085"/>
      <c r="P716" s="4527" t="s">
        <v>82</v>
      </c>
      <c r="Q716" s="4527"/>
      <c r="R716" s="4159"/>
      <c r="S716" s="4159"/>
      <c r="T716" s="4159"/>
      <c r="U716" s="3645" t="s">
        <v>4976</v>
      </c>
      <c r="V716" s="3657" t="s">
        <v>4977</v>
      </c>
      <c r="W716" s="3657"/>
      <c r="X716" s="3657" t="s">
        <v>4978</v>
      </c>
      <c r="Y716" s="3657"/>
      <c r="Z716" s="3691"/>
      <c r="AA716" s="3620" t="s">
        <v>4838</v>
      </c>
      <c r="AB716" s="3691" t="s">
        <v>892</v>
      </c>
      <c r="AC716" s="4087">
        <v>2.1439</v>
      </c>
      <c r="AD716" s="3691">
        <f>AC716*I716</f>
        <v>514.536</v>
      </c>
      <c r="AE716" s="3645" t="s">
        <v>4979</v>
      </c>
      <c r="AF716" s="3664" t="s">
        <v>2806</v>
      </c>
      <c r="AG716" s="3645" t="s">
        <v>416</v>
      </c>
      <c r="AH716" s="4484"/>
      <c r="AI716" s="3691"/>
      <c r="AJ716" s="4082">
        <f t="shared" ref="AJ716:AJ724" si="328">I716</f>
        <v>240</v>
      </c>
      <c r="AK716" s="4484"/>
      <c r="AL716" s="3664"/>
      <c r="AM716" s="3664"/>
      <c r="AN716" s="3691"/>
      <c r="AO716" s="3691"/>
      <c r="AP716" s="4082">
        <f t="shared" si="327"/>
        <v>240</v>
      </c>
      <c r="AQ716" s="4089"/>
      <c r="AR716" s="4463"/>
      <c r="AS716" s="4495">
        <f t="shared" ref="AS716:AS726" si="329">I716</f>
        <v>240</v>
      </c>
      <c r="AT716" s="4463"/>
      <c r="AU716" s="4089"/>
      <c r="AV716" s="4089"/>
      <c r="AW716" s="4495"/>
      <c r="AX716" s="4089"/>
      <c r="AY716" s="4495">
        <f>I716/6</f>
        <v>40</v>
      </c>
      <c r="AZ716" s="4089"/>
      <c r="BA716" s="4089"/>
      <c r="BB716" s="4089"/>
      <c r="BC716" s="4089"/>
      <c r="BD716" s="4089"/>
      <c r="BE716" s="4089"/>
      <c r="BF716" s="4089" t="s">
        <v>89</v>
      </c>
      <c r="BG716" s="4089"/>
      <c r="BH716" s="4495">
        <f t="shared" ref="BH716:BH760" si="330">I716/60*10</f>
        <v>40</v>
      </c>
      <c r="BI716" s="4495">
        <f t="shared" ref="BI716:BI760" si="331">I716/60*10</f>
        <v>40</v>
      </c>
      <c r="BJ716" s="4495">
        <f t="shared" ref="BJ716:BJ760" si="332">I716/60*10</f>
        <v>40</v>
      </c>
      <c r="BK716" s="4495">
        <f t="shared" ref="BK716:BK760" si="333">I716/60*10</f>
        <v>40</v>
      </c>
      <c r="BL716" s="4495">
        <f t="shared" ref="BL716:BL760" si="334">I716/60*10</f>
        <v>40</v>
      </c>
      <c r="BM716" s="4495">
        <f t="shared" ref="BM716:BM760" si="335">I716/60*8</f>
        <v>32</v>
      </c>
      <c r="BN716" s="4495">
        <f t="shared" ref="BN716:BN760" si="336">I716/60*2</f>
        <v>8</v>
      </c>
      <c r="BO716" s="4463"/>
      <c r="BP716" s="4463"/>
      <c r="BQ716" s="4463"/>
      <c r="BR716" s="4463"/>
      <c r="BS716" s="4463"/>
      <c r="BT716" s="4464"/>
      <c r="BU716" s="4465"/>
      <c r="BV716" s="4496">
        <f t="shared" si="313"/>
        <v>240</v>
      </c>
      <c r="BW716" s="4497">
        <f t="shared" si="326"/>
        <v>0</v>
      </c>
      <c r="BX716" s="4387"/>
      <c r="BY716" s="4387"/>
      <c r="BZ716" s="4387"/>
      <c r="CA716" s="4388"/>
      <c r="CC716" s="4389"/>
      <c r="CD716" s="4388"/>
    </row>
    <row r="717" s="4316" customFormat="1" ht="50" customHeight="1" spans="1:82">
      <c r="A717" s="4500">
        <v>45926</v>
      </c>
      <c r="B717" s="4501" t="s">
        <v>3495</v>
      </c>
      <c r="C717" s="3708" t="s">
        <v>91</v>
      </c>
      <c r="D717" s="4502">
        <v>4500180595</v>
      </c>
      <c r="E717" s="5455" t="s">
        <v>4980</v>
      </c>
      <c r="F717" s="4502" t="s">
        <v>4981</v>
      </c>
      <c r="G717" s="3708" t="s">
        <v>3068</v>
      </c>
      <c r="H717" s="3708" t="s">
        <v>3069</v>
      </c>
      <c r="I717" s="4154">
        <v>768</v>
      </c>
      <c r="J717" s="4154">
        <v>0</v>
      </c>
      <c r="K717" s="4154">
        <v>384</v>
      </c>
      <c r="L717" s="4154">
        <f t="shared" si="316"/>
        <v>2</v>
      </c>
      <c r="M717" s="4503">
        <v>45957</v>
      </c>
      <c r="N717" s="4503">
        <v>45953</v>
      </c>
      <c r="O717" s="4533" t="s">
        <v>4982</v>
      </c>
      <c r="P717" s="4527" t="s">
        <v>82</v>
      </c>
      <c r="Q717" s="4527"/>
      <c r="R717" s="4159"/>
      <c r="S717" s="4159"/>
      <c r="T717" s="4159"/>
      <c r="U717" s="3726" t="s">
        <v>4983</v>
      </c>
      <c r="V717" s="3711" t="s">
        <v>4620</v>
      </c>
      <c r="W717" s="3711"/>
      <c r="X717" s="3711" t="s">
        <v>4710</v>
      </c>
      <c r="Y717" s="3711" t="s">
        <v>4984</v>
      </c>
      <c r="Z717" s="4154"/>
      <c r="AA717" s="3680" t="s">
        <v>4936</v>
      </c>
      <c r="AB717" s="4154" t="s">
        <v>3076</v>
      </c>
      <c r="AC717" s="4504">
        <v>532.85</v>
      </c>
      <c r="AD717" s="4154">
        <f t="shared" ref="AD717:AD722" si="337">AC717*L717</f>
        <v>1065.7</v>
      </c>
      <c r="AE717" s="3726" t="s">
        <v>4985</v>
      </c>
      <c r="AF717" s="3708" t="s">
        <v>3078</v>
      </c>
      <c r="AG717" s="3726" t="s">
        <v>416</v>
      </c>
      <c r="AH717" s="4430"/>
      <c r="AI717" s="4154"/>
      <c r="AJ717" s="4509">
        <f t="shared" si="328"/>
        <v>768</v>
      </c>
      <c r="AK717" s="4430"/>
      <c r="AL717" s="3708"/>
      <c r="AM717" s="3708"/>
      <c r="AN717" s="4154"/>
      <c r="AO717" s="4154"/>
      <c r="AP717" s="4509">
        <f t="shared" si="327"/>
        <v>768</v>
      </c>
      <c r="AQ717" s="1048"/>
      <c r="AR717" s="4413"/>
      <c r="AS717" s="4510">
        <f t="shared" si="329"/>
        <v>768</v>
      </c>
      <c r="AT717" s="4413"/>
      <c r="AU717" s="1048"/>
      <c r="AV717" s="1048"/>
      <c r="AW717" s="1048"/>
      <c r="AX717" s="1048"/>
      <c r="AY717" s="1048"/>
      <c r="AZ717" s="1048"/>
      <c r="BA717" s="1048"/>
      <c r="BB717" s="4510">
        <f t="shared" ref="BB717:BB722" si="338">I717/2</f>
        <v>384</v>
      </c>
      <c r="BC717" s="1048"/>
      <c r="BD717" s="1048"/>
      <c r="BE717" s="1048"/>
      <c r="BF717" s="1048" t="s">
        <v>89</v>
      </c>
      <c r="BG717" s="1048"/>
      <c r="BH717" s="4510">
        <f t="shared" si="330"/>
        <v>128</v>
      </c>
      <c r="BI717" s="4510">
        <f t="shared" si="331"/>
        <v>128</v>
      </c>
      <c r="BJ717" s="4510">
        <f t="shared" si="332"/>
        <v>128</v>
      </c>
      <c r="BK717" s="4510">
        <f t="shared" si="333"/>
        <v>128</v>
      </c>
      <c r="BL717" s="4510">
        <f t="shared" si="334"/>
        <v>128</v>
      </c>
      <c r="BM717" s="4510">
        <f t="shared" si="335"/>
        <v>102.4</v>
      </c>
      <c r="BN717" s="4510">
        <f t="shared" si="336"/>
        <v>25.6</v>
      </c>
      <c r="BO717" s="4413"/>
      <c r="BP717" s="4413"/>
      <c r="BQ717" s="4413"/>
      <c r="BR717" s="4413"/>
      <c r="BS717" s="4413"/>
      <c r="BT717" s="4431"/>
      <c r="BU717" s="4432"/>
      <c r="BV717" s="4525">
        <f t="shared" si="313"/>
        <v>768</v>
      </c>
      <c r="BW717" s="4526">
        <f t="shared" si="326"/>
        <v>0</v>
      </c>
      <c r="BX717" s="4323"/>
      <c r="BY717" s="4323"/>
      <c r="BZ717" s="4323"/>
      <c r="CA717" s="4507"/>
      <c r="CC717" s="4508"/>
      <c r="CD717" s="4507"/>
    </row>
    <row r="718" s="4312" customFormat="1" ht="50" customHeight="1" spans="1:82">
      <c r="A718" s="4500">
        <v>45926</v>
      </c>
      <c r="B718" s="4501" t="s">
        <v>3495</v>
      </c>
      <c r="C718" s="3708" t="s">
        <v>91</v>
      </c>
      <c r="D718" s="4502">
        <v>4500180595</v>
      </c>
      <c r="E718" s="5455" t="s">
        <v>4986</v>
      </c>
      <c r="F718" s="4502" t="s">
        <v>4987</v>
      </c>
      <c r="G718" s="3708" t="s">
        <v>3068</v>
      </c>
      <c r="H718" s="3708" t="s">
        <v>3069</v>
      </c>
      <c r="I718" s="4154">
        <v>768</v>
      </c>
      <c r="J718" s="4154">
        <v>0</v>
      </c>
      <c r="K718" s="4154">
        <v>384</v>
      </c>
      <c r="L718" s="4154">
        <f t="shared" si="316"/>
        <v>2</v>
      </c>
      <c r="M718" s="4503">
        <v>45957</v>
      </c>
      <c r="N718" s="4503">
        <v>45953</v>
      </c>
      <c r="O718" s="4533" t="s">
        <v>4982</v>
      </c>
      <c r="P718" s="4527" t="s">
        <v>82</v>
      </c>
      <c r="Q718" s="4531"/>
      <c r="R718" s="4532"/>
      <c r="S718" s="4532"/>
      <c r="T718" s="4532"/>
      <c r="U718" s="3727" t="s">
        <v>267</v>
      </c>
      <c r="V718" s="3709" t="s">
        <v>4620</v>
      </c>
      <c r="W718" s="3711"/>
      <c r="X718" s="3711" t="s">
        <v>4710</v>
      </c>
      <c r="Y718" s="3711" t="s">
        <v>4984</v>
      </c>
      <c r="Z718" s="4154"/>
      <c r="AA718" s="3680" t="s">
        <v>4936</v>
      </c>
      <c r="AB718" s="4154" t="s">
        <v>3076</v>
      </c>
      <c r="AC718" s="4504">
        <v>532.85</v>
      </c>
      <c r="AD718" s="4154">
        <f t="shared" si="337"/>
        <v>1065.7</v>
      </c>
      <c r="AE718" s="3726" t="s">
        <v>4988</v>
      </c>
      <c r="AF718" s="3708" t="s">
        <v>3078</v>
      </c>
      <c r="AG718" s="3726" t="s">
        <v>416</v>
      </c>
      <c r="AH718" s="4430"/>
      <c r="AI718" s="4154"/>
      <c r="AJ718" s="4509">
        <f t="shared" si="328"/>
        <v>768</v>
      </c>
      <c r="AK718" s="4430"/>
      <c r="AL718" s="3708"/>
      <c r="AM718" s="3708"/>
      <c r="AN718" s="4154"/>
      <c r="AO718" s="4154"/>
      <c r="AP718" s="4509">
        <f t="shared" si="327"/>
        <v>768</v>
      </c>
      <c r="AQ718" s="1048"/>
      <c r="AR718" s="4413"/>
      <c r="AS718" s="4510">
        <f t="shared" si="329"/>
        <v>768</v>
      </c>
      <c r="AT718" s="4413"/>
      <c r="AU718" s="1048"/>
      <c r="AV718" s="1048"/>
      <c r="AW718" s="1048"/>
      <c r="AX718" s="1048"/>
      <c r="AY718" s="1048"/>
      <c r="AZ718" s="1048"/>
      <c r="BA718" s="1048"/>
      <c r="BB718" s="4510">
        <f t="shared" si="338"/>
        <v>384</v>
      </c>
      <c r="BC718" s="1048"/>
      <c r="BD718" s="1048"/>
      <c r="BE718" s="1048"/>
      <c r="BF718" s="1048" t="s">
        <v>89</v>
      </c>
      <c r="BG718" s="1048"/>
      <c r="BH718" s="4510">
        <f t="shared" si="330"/>
        <v>128</v>
      </c>
      <c r="BI718" s="4510">
        <f t="shared" si="331"/>
        <v>128</v>
      </c>
      <c r="BJ718" s="4510">
        <f t="shared" si="332"/>
        <v>128</v>
      </c>
      <c r="BK718" s="4510">
        <f t="shared" si="333"/>
        <v>128</v>
      </c>
      <c r="BL718" s="4510">
        <f t="shared" si="334"/>
        <v>128</v>
      </c>
      <c r="BM718" s="4510">
        <f t="shared" si="335"/>
        <v>102.4</v>
      </c>
      <c r="BN718" s="4510">
        <f t="shared" si="336"/>
        <v>25.6</v>
      </c>
      <c r="BO718" s="4413"/>
      <c r="BP718" s="4413"/>
      <c r="BQ718" s="4413"/>
      <c r="BR718" s="4413"/>
      <c r="BS718" s="4413"/>
      <c r="BT718" s="4431"/>
      <c r="BU718" s="4432"/>
      <c r="BV718" s="4525">
        <f t="shared" si="313"/>
        <v>768</v>
      </c>
      <c r="BW718" s="4526">
        <f t="shared" si="326"/>
        <v>0</v>
      </c>
      <c r="BX718" s="4323"/>
      <c r="BY718" s="4323"/>
      <c r="BZ718" s="4323"/>
      <c r="CA718" s="4507"/>
      <c r="CC718" s="4508"/>
      <c r="CD718" s="4507"/>
    </row>
    <row r="719" s="4312" customFormat="1" ht="50" customHeight="1" spans="1:82">
      <c r="A719" s="4500">
        <v>45926</v>
      </c>
      <c r="B719" s="4501" t="s">
        <v>3495</v>
      </c>
      <c r="C719" s="3708" t="s">
        <v>91</v>
      </c>
      <c r="D719" s="4502">
        <v>4500180595</v>
      </c>
      <c r="E719" s="5455" t="s">
        <v>4989</v>
      </c>
      <c r="F719" s="4502" t="s">
        <v>4990</v>
      </c>
      <c r="G719" s="3708" t="s">
        <v>3068</v>
      </c>
      <c r="H719" s="3708" t="s">
        <v>3069</v>
      </c>
      <c r="I719" s="4154">
        <v>768</v>
      </c>
      <c r="J719" s="4154">
        <v>0</v>
      </c>
      <c r="K719" s="4154">
        <v>384</v>
      </c>
      <c r="L719" s="4154">
        <f t="shared" si="316"/>
        <v>2</v>
      </c>
      <c r="M719" s="4503">
        <v>45957</v>
      </c>
      <c r="N719" s="4503">
        <v>45953</v>
      </c>
      <c r="O719" s="4533" t="s">
        <v>4982</v>
      </c>
      <c r="P719" s="4527" t="s">
        <v>82</v>
      </c>
      <c r="Q719" s="4527"/>
      <c r="R719" s="4159"/>
      <c r="S719" s="4159"/>
      <c r="T719" s="4159"/>
      <c r="U719" s="3726" t="s">
        <v>4991</v>
      </c>
      <c r="V719" s="3709" t="s">
        <v>4620</v>
      </c>
      <c r="W719" s="3711"/>
      <c r="X719" s="3711" t="s">
        <v>4710</v>
      </c>
      <c r="Y719" s="3711" t="s">
        <v>4984</v>
      </c>
      <c r="Z719" s="4154"/>
      <c r="AA719" s="3680" t="s">
        <v>4936</v>
      </c>
      <c r="AB719" s="4154" t="s">
        <v>3076</v>
      </c>
      <c r="AC719" s="4504">
        <v>532.85</v>
      </c>
      <c r="AD719" s="4154">
        <f t="shared" si="337"/>
        <v>1065.7</v>
      </c>
      <c r="AE719" s="3726" t="s">
        <v>4992</v>
      </c>
      <c r="AF719" s="3708" t="s">
        <v>3078</v>
      </c>
      <c r="AG719" s="3726" t="s">
        <v>416</v>
      </c>
      <c r="AH719" s="4430"/>
      <c r="AI719" s="4154"/>
      <c r="AJ719" s="4509">
        <f t="shared" si="328"/>
        <v>768</v>
      </c>
      <c r="AK719" s="4430"/>
      <c r="AL719" s="3708"/>
      <c r="AM719" s="3708"/>
      <c r="AN719" s="4154"/>
      <c r="AO719" s="4154"/>
      <c r="AP719" s="4509">
        <f t="shared" si="327"/>
        <v>768</v>
      </c>
      <c r="AQ719" s="1048"/>
      <c r="AR719" s="4413"/>
      <c r="AS719" s="4510">
        <f t="shared" si="329"/>
        <v>768</v>
      </c>
      <c r="AT719" s="4413"/>
      <c r="AU719" s="1048"/>
      <c r="AV719" s="1048"/>
      <c r="AW719" s="1048"/>
      <c r="AX719" s="1048"/>
      <c r="AY719" s="1048"/>
      <c r="AZ719" s="1048"/>
      <c r="BA719" s="1048"/>
      <c r="BB719" s="4510">
        <f t="shared" si="338"/>
        <v>384</v>
      </c>
      <c r="BC719" s="1048"/>
      <c r="BD719" s="1048"/>
      <c r="BE719" s="1048"/>
      <c r="BF719" s="1048" t="s">
        <v>89</v>
      </c>
      <c r="BG719" s="1048"/>
      <c r="BH719" s="4510">
        <f t="shared" si="330"/>
        <v>128</v>
      </c>
      <c r="BI719" s="4510">
        <f t="shared" si="331"/>
        <v>128</v>
      </c>
      <c r="BJ719" s="4510">
        <f t="shared" si="332"/>
        <v>128</v>
      </c>
      <c r="BK719" s="4510">
        <f t="shared" si="333"/>
        <v>128</v>
      </c>
      <c r="BL719" s="4510">
        <f t="shared" si="334"/>
        <v>128</v>
      </c>
      <c r="BM719" s="4510">
        <f t="shared" si="335"/>
        <v>102.4</v>
      </c>
      <c r="BN719" s="4510">
        <f t="shared" si="336"/>
        <v>25.6</v>
      </c>
      <c r="BO719" s="4413"/>
      <c r="BP719" s="4413"/>
      <c r="BQ719" s="4413"/>
      <c r="BR719" s="4413"/>
      <c r="BS719" s="4413"/>
      <c r="BT719" s="4431"/>
      <c r="BU719" s="4432"/>
      <c r="BV719" s="4525">
        <f t="shared" si="313"/>
        <v>768</v>
      </c>
      <c r="BW719" s="4526">
        <f t="shared" si="326"/>
        <v>0</v>
      </c>
      <c r="BX719" s="4323"/>
      <c r="BY719" s="4323"/>
      <c r="BZ719" s="4323"/>
      <c r="CA719" s="4507"/>
      <c r="CC719" s="4508"/>
      <c r="CD719" s="4507"/>
    </row>
    <row r="720" s="4316" customFormat="1" ht="50" customHeight="1" spans="1:82">
      <c r="A720" s="4500">
        <v>45926</v>
      </c>
      <c r="B720" s="4501" t="s">
        <v>3495</v>
      </c>
      <c r="C720" s="3708" t="s">
        <v>91</v>
      </c>
      <c r="D720" s="4502">
        <v>4500180595</v>
      </c>
      <c r="E720" s="5455" t="s">
        <v>4993</v>
      </c>
      <c r="F720" s="4502" t="s">
        <v>4994</v>
      </c>
      <c r="G720" s="3708" t="s">
        <v>3068</v>
      </c>
      <c r="H720" s="3708" t="s">
        <v>3069</v>
      </c>
      <c r="I720" s="4154">
        <v>768</v>
      </c>
      <c r="J720" s="4154">
        <v>0</v>
      </c>
      <c r="K720" s="4154">
        <v>384</v>
      </c>
      <c r="L720" s="4154">
        <f t="shared" si="316"/>
        <v>2</v>
      </c>
      <c r="M720" s="4503">
        <v>45957</v>
      </c>
      <c r="N720" s="4503">
        <v>45953</v>
      </c>
      <c r="O720" s="4533" t="s">
        <v>4982</v>
      </c>
      <c r="P720" s="4527" t="s">
        <v>82</v>
      </c>
      <c r="Q720" s="4527"/>
      <c r="R720" s="4159"/>
      <c r="S720" s="4159"/>
      <c r="T720" s="4159"/>
      <c r="U720" s="3726" t="s">
        <v>269</v>
      </c>
      <c r="V720" s="3709" t="s">
        <v>4620</v>
      </c>
      <c r="W720" s="3711"/>
      <c r="X720" s="3711" t="s">
        <v>4710</v>
      </c>
      <c r="Y720" s="3711" t="s">
        <v>4984</v>
      </c>
      <c r="Z720" s="4154"/>
      <c r="AA720" s="3680" t="s">
        <v>4936</v>
      </c>
      <c r="AB720" s="4154" t="s">
        <v>3076</v>
      </c>
      <c r="AC720" s="4504">
        <v>532.85</v>
      </c>
      <c r="AD720" s="4154">
        <f t="shared" si="337"/>
        <v>1065.7</v>
      </c>
      <c r="AE720" s="3726" t="s">
        <v>4995</v>
      </c>
      <c r="AF720" s="3708" t="s">
        <v>3078</v>
      </c>
      <c r="AG720" s="3726" t="s">
        <v>416</v>
      </c>
      <c r="AH720" s="4430"/>
      <c r="AI720" s="4154"/>
      <c r="AJ720" s="4509">
        <f t="shared" si="328"/>
        <v>768</v>
      </c>
      <c r="AK720" s="4430"/>
      <c r="AL720" s="3708"/>
      <c r="AM720" s="3708"/>
      <c r="AN720" s="4154"/>
      <c r="AO720" s="4154"/>
      <c r="AP720" s="4509">
        <f t="shared" si="327"/>
        <v>768</v>
      </c>
      <c r="AQ720" s="1048"/>
      <c r="AR720" s="4413"/>
      <c r="AS720" s="4510">
        <f t="shared" si="329"/>
        <v>768</v>
      </c>
      <c r="AT720" s="4413"/>
      <c r="AU720" s="1048"/>
      <c r="AV720" s="1048"/>
      <c r="AW720" s="1048"/>
      <c r="AX720" s="1048"/>
      <c r="AY720" s="1048"/>
      <c r="AZ720" s="1048"/>
      <c r="BA720" s="1048"/>
      <c r="BB720" s="4510">
        <f t="shared" si="338"/>
        <v>384</v>
      </c>
      <c r="BC720" s="1048"/>
      <c r="BD720" s="1048"/>
      <c r="BE720" s="1048"/>
      <c r="BF720" s="1048" t="s">
        <v>89</v>
      </c>
      <c r="BG720" s="1048"/>
      <c r="BH720" s="4510">
        <f t="shared" si="330"/>
        <v>128</v>
      </c>
      <c r="BI720" s="4510">
        <f t="shared" si="331"/>
        <v>128</v>
      </c>
      <c r="BJ720" s="4510">
        <f t="shared" si="332"/>
        <v>128</v>
      </c>
      <c r="BK720" s="4510">
        <f t="shared" si="333"/>
        <v>128</v>
      </c>
      <c r="BL720" s="4510">
        <f t="shared" si="334"/>
        <v>128</v>
      </c>
      <c r="BM720" s="4510">
        <f t="shared" si="335"/>
        <v>102.4</v>
      </c>
      <c r="BN720" s="4510">
        <f t="shared" si="336"/>
        <v>25.6</v>
      </c>
      <c r="BO720" s="4413"/>
      <c r="BP720" s="4413"/>
      <c r="BQ720" s="4413"/>
      <c r="BR720" s="4413"/>
      <c r="BS720" s="4413"/>
      <c r="BT720" s="4431"/>
      <c r="BU720" s="4432"/>
      <c r="BV720" s="4525">
        <f t="shared" si="313"/>
        <v>768</v>
      </c>
      <c r="BW720" s="4526">
        <f t="shared" si="326"/>
        <v>0</v>
      </c>
      <c r="BX720" s="4323"/>
      <c r="BY720" s="4323"/>
      <c r="BZ720" s="4323"/>
      <c r="CA720" s="4507"/>
      <c r="CC720" s="4508"/>
      <c r="CD720" s="4507"/>
    </row>
    <row r="721" s="4316" customFormat="1" ht="50" customHeight="1" spans="1:82">
      <c r="A721" s="4500">
        <v>45926</v>
      </c>
      <c r="B721" s="4501" t="s">
        <v>3495</v>
      </c>
      <c r="C721" s="3708" t="s">
        <v>91</v>
      </c>
      <c r="D721" s="4502">
        <v>4500180595</v>
      </c>
      <c r="E721" s="5455" t="s">
        <v>4996</v>
      </c>
      <c r="F721" s="4502" t="s">
        <v>4997</v>
      </c>
      <c r="G721" s="3708" t="s">
        <v>3068</v>
      </c>
      <c r="H721" s="3708" t="s">
        <v>3069</v>
      </c>
      <c r="I721" s="4154">
        <v>768</v>
      </c>
      <c r="J721" s="4154">
        <v>0</v>
      </c>
      <c r="K721" s="4154">
        <v>384</v>
      </c>
      <c r="L721" s="4154">
        <f t="shared" si="316"/>
        <v>2</v>
      </c>
      <c r="M721" s="4503">
        <v>45957</v>
      </c>
      <c r="N721" s="4503">
        <v>45953</v>
      </c>
      <c r="O721" s="4533" t="s">
        <v>4982</v>
      </c>
      <c r="P721" s="4527" t="s">
        <v>82</v>
      </c>
      <c r="Q721" s="4527"/>
      <c r="R721" s="4159"/>
      <c r="S721" s="4159"/>
      <c r="T721" s="4159"/>
      <c r="U721" s="3726" t="s">
        <v>4998</v>
      </c>
      <c r="V721" s="3709" t="s">
        <v>4620</v>
      </c>
      <c r="W721" s="3711"/>
      <c r="X721" s="3711" t="s">
        <v>4710</v>
      </c>
      <c r="Y721" s="3711" t="s">
        <v>4984</v>
      </c>
      <c r="Z721" s="4154"/>
      <c r="AA721" s="3680" t="s">
        <v>4936</v>
      </c>
      <c r="AB721" s="4154" t="s">
        <v>3076</v>
      </c>
      <c r="AC721" s="4504">
        <v>532.85</v>
      </c>
      <c r="AD721" s="4154">
        <f t="shared" si="337"/>
        <v>1065.7</v>
      </c>
      <c r="AE721" s="3726" t="s">
        <v>4999</v>
      </c>
      <c r="AF721" s="3708" t="s">
        <v>3078</v>
      </c>
      <c r="AG721" s="3726" t="s">
        <v>416</v>
      </c>
      <c r="AH721" s="4430"/>
      <c r="AI721" s="4154"/>
      <c r="AJ721" s="4509">
        <f t="shared" si="328"/>
        <v>768</v>
      </c>
      <c r="AK721" s="4430"/>
      <c r="AL721" s="3708"/>
      <c r="AM721" s="3708"/>
      <c r="AN721" s="4154"/>
      <c r="AO721" s="4154"/>
      <c r="AP721" s="4509">
        <f t="shared" si="327"/>
        <v>768</v>
      </c>
      <c r="AQ721" s="1048"/>
      <c r="AR721" s="4413"/>
      <c r="AS721" s="4510">
        <f t="shared" si="329"/>
        <v>768</v>
      </c>
      <c r="AT721" s="4413"/>
      <c r="AU721" s="1048"/>
      <c r="AV721" s="1048"/>
      <c r="AW721" s="1048"/>
      <c r="AX721" s="1048"/>
      <c r="AY721" s="1048"/>
      <c r="AZ721" s="1048"/>
      <c r="BA721" s="1048"/>
      <c r="BB721" s="4510">
        <f t="shared" si="338"/>
        <v>384</v>
      </c>
      <c r="BC721" s="1048"/>
      <c r="BD721" s="1048"/>
      <c r="BE721" s="1048"/>
      <c r="BF721" s="1048" t="s">
        <v>89</v>
      </c>
      <c r="BG721" s="1048"/>
      <c r="BH721" s="4510">
        <f t="shared" si="330"/>
        <v>128</v>
      </c>
      <c r="BI721" s="4510">
        <f t="shared" si="331"/>
        <v>128</v>
      </c>
      <c r="BJ721" s="4510">
        <f t="shared" si="332"/>
        <v>128</v>
      </c>
      <c r="BK721" s="4510">
        <f t="shared" si="333"/>
        <v>128</v>
      </c>
      <c r="BL721" s="4510">
        <f t="shared" si="334"/>
        <v>128</v>
      </c>
      <c r="BM721" s="4510">
        <f t="shared" si="335"/>
        <v>102.4</v>
      </c>
      <c r="BN721" s="4510">
        <f t="shared" si="336"/>
        <v>25.6</v>
      </c>
      <c r="BO721" s="4413"/>
      <c r="BP721" s="4413"/>
      <c r="BQ721" s="4413"/>
      <c r="BR721" s="4413"/>
      <c r="BS721" s="4413"/>
      <c r="BT721" s="4431"/>
      <c r="BU721" s="4432"/>
      <c r="BV721" s="4525">
        <f t="shared" si="313"/>
        <v>768</v>
      </c>
      <c r="BW721" s="4526">
        <f t="shared" si="326"/>
        <v>0</v>
      </c>
      <c r="BX721" s="4323"/>
      <c r="BY721" s="4323"/>
      <c r="BZ721" s="4323"/>
      <c r="CA721" s="4507"/>
      <c r="CC721" s="4508"/>
      <c r="CD721" s="4507"/>
    </row>
    <row r="722" s="4316" customFormat="1" ht="50" customHeight="1" spans="1:82">
      <c r="A722" s="4500">
        <v>45926</v>
      </c>
      <c r="B722" s="4501" t="s">
        <v>3495</v>
      </c>
      <c r="C722" s="3708" t="s">
        <v>91</v>
      </c>
      <c r="D722" s="4502">
        <v>4500180595</v>
      </c>
      <c r="E722" s="5455" t="s">
        <v>5000</v>
      </c>
      <c r="F722" s="4502" t="s">
        <v>5001</v>
      </c>
      <c r="G722" s="3708" t="s">
        <v>3068</v>
      </c>
      <c r="H722" s="3708" t="s">
        <v>3069</v>
      </c>
      <c r="I722" s="4154">
        <v>768</v>
      </c>
      <c r="J722" s="4154">
        <v>0</v>
      </c>
      <c r="K722" s="4154">
        <v>384</v>
      </c>
      <c r="L722" s="4154">
        <f t="shared" si="316"/>
        <v>2</v>
      </c>
      <c r="M722" s="4503">
        <v>45957</v>
      </c>
      <c r="N722" s="4503">
        <v>45953</v>
      </c>
      <c r="O722" s="4533" t="s">
        <v>4982</v>
      </c>
      <c r="P722" s="4527" t="s">
        <v>82</v>
      </c>
      <c r="Q722" s="4527"/>
      <c r="R722" s="4159"/>
      <c r="S722" s="4159"/>
      <c r="T722" s="4159"/>
      <c r="U722" s="3726"/>
      <c r="V722" s="3709" t="s">
        <v>4620</v>
      </c>
      <c r="W722" s="3711"/>
      <c r="X722" s="3711" t="s">
        <v>4710</v>
      </c>
      <c r="Y722" s="3711" t="s">
        <v>4984</v>
      </c>
      <c r="Z722" s="4154"/>
      <c r="AA722" s="3680" t="s">
        <v>4936</v>
      </c>
      <c r="AB722" s="4154" t="s">
        <v>3076</v>
      </c>
      <c r="AC722" s="4504">
        <v>532.85</v>
      </c>
      <c r="AD722" s="4154">
        <f t="shared" si="337"/>
        <v>1065.7</v>
      </c>
      <c r="AE722" s="3726" t="s">
        <v>5002</v>
      </c>
      <c r="AF722" s="3708" t="s">
        <v>3078</v>
      </c>
      <c r="AG722" s="3726" t="s">
        <v>416</v>
      </c>
      <c r="AH722" s="4430"/>
      <c r="AI722" s="4154"/>
      <c r="AJ722" s="4509">
        <f t="shared" si="328"/>
        <v>768</v>
      </c>
      <c r="AK722" s="4430"/>
      <c r="AL722" s="3708"/>
      <c r="AM722" s="3708"/>
      <c r="AN722" s="4154"/>
      <c r="AO722" s="4154"/>
      <c r="AP722" s="4509">
        <f t="shared" si="327"/>
        <v>768</v>
      </c>
      <c r="AQ722" s="1048"/>
      <c r="AR722" s="4413"/>
      <c r="AS722" s="4510">
        <f t="shared" si="329"/>
        <v>768</v>
      </c>
      <c r="AT722" s="4413"/>
      <c r="AU722" s="1048"/>
      <c r="AV722" s="1048"/>
      <c r="AW722" s="1048"/>
      <c r="AX722" s="1048"/>
      <c r="AY722" s="1048"/>
      <c r="AZ722" s="1048"/>
      <c r="BA722" s="1048"/>
      <c r="BB722" s="4510">
        <f t="shared" si="338"/>
        <v>384</v>
      </c>
      <c r="BC722" s="1048"/>
      <c r="BD722" s="1048"/>
      <c r="BE722" s="1048"/>
      <c r="BF722" s="1048" t="s">
        <v>89</v>
      </c>
      <c r="BG722" s="1048"/>
      <c r="BH722" s="4510">
        <f t="shared" si="330"/>
        <v>128</v>
      </c>
      <c r="BI722" s="4510">
        <f t="shared" si="331"/>
        <v>128</v>
      </c>
      <c r="BJ722" s="4510">
        <f t="shared" si="332"/>
        <v>128</v>
      </c>
      <c r="BK722" s="4510">
        <f t="shared" si="333"/>
        <v>128</v>
      </c>
      <c r="BL722" s="4510">
        <f t="shared" si="334"/>
        <v>128</v>
      </c>
      <c r="BM722" s="4510">
        <f t="shared" si="335"/>
        <v>102.4</v>
      </c>
      <c r="BN722" s="4510">
        <f t="shared" si="336"/>
        <v>25.6</v>
      </c>
      <c r="BO722" s="4413"/>
      <c r="BP722" s="4413"/>
      <c r="BQ722" s="4413"/>
      <c r="BR722" s="4413"/>
      <c r="BS722" s="4413"/>
      <c r="BT722" s="4431"/>
      <c r="BU722" s="4432"/>
      <c r="BV722" s="4525">
        <f t="shared" si="313"/>
        <v>768</v>
      </c>
      <c r="BW722" s="4526">
        <f t="shared" si="326"/>
        <v>0</v>
      </c>
      <c r="BX722" s="4323"/>
      <c r="BY722" s="4323"/>
      <c r="BZ722" s="4323"/>
      <c r="CA722" s="4507"/>
      <c r="CC722" s="4508"/>
      <c r="CD722" s="4507"/>
    </row>
    <row r="723" s="4318" customFormat="1" ht="50" customHeight="1" spans="1:82">
      <c r="A723" s="4513">
        <v>45912</v>
      </c>
      <c r="B723" s="4514" t="s">
        <v>839</v>
      </c>
      <c r="C723" s="905" t="s">
        <v>840</v>
      </c>
      <c r="D723" s="4515">
        <v>4500179341</v>
      </c>
      <c r="E723" s="905" t="s">
        <v>5003</v>
      </c>
      <c r="F723" s="4515" t="s">
        <v>5004</v>
      </c>
      <c r="G723" s="905" t="s">
        <v>2577</v>
      </c>
      <c r="H723" s="905" t="s">
        <v>2578</v>
      </c>
      <c r="I723" s="906">
        <v>132</v>
      </c>
      <c r="J723" s="906">
        <v>0</v>
      </c>
      <c r="K723" s="906">
        <v>12</v>
      </c>
      <c r="L723" s="906">
        <f t="shared" si="316"/>
        <v>11</v>
      </c>
      <c r="M723" s="4516">
        <v>45957</v>
      </c>
      <c r="N723" s="4516">
        <v>45953</v>
      </c>
      <c r="O723" s="4129"/>
      <c r="P723" s="4527" t="s">
        <v>82</v>
      </c>
      <c r="Q723" s="4527"/>
      <c r="R723" s="4159"/>
      <c r="S723" s="4159"/>
      <c r="T723" s="4159"/>
      <c r="U723" s="4148" t="s">
        <v>5005</v>
      </c>
      <c r="V723" s="3738" t="s">
        <v>5006</v>
      </c>
      <c r="W723" s="3739"/>
      <c r="X723" s="3739" t="s">
        <v>5007</v>
      </c>
      <c r="Y723" s="3739"/>
      <c r="Z723" s="906"/>
      <c r="AA723" s="3625" t="s">
        <v>4746</v>
      </c>
      <c r="AB723" s="906" t="s">
        <v>513</v>
      </c>
      <c r="AC723" s="906">
        <v>2.2509</v>
      </c>
      <c r="AD723" s="906">
        <f t="shared" ref="AD723:AD728" si="339">AC723*I723</f>
        <v>297.1188</v>
      </c>
      <c r="AE723" s="4148" t="s">
        <v>5008</v>
      </c>
      <c r="AF723" s="905" t="s">
        <v>2577</v>
      </c>
      <c r="AG723" s="4148" t="s">
        <v>416</v>
      </c>
      <c r="AH723" s="4405"/>
      <c r="AI723" s="906"/>
      <c r="AJ723" s="906">
        <f t="shared" si="328"/>
        <v>132</v>
      </c>
      <c r="AK723" s="4405"/>
      <c r="AL723" s="905"/>
      <c r="AM723" s="905"/>
      <c r="AN723" s="906"/>
      <c r="AO723" s="906"/>
      <c r="AP723" s="906">
        <f t="shared" si="327"/>
        <v>132</v>
      </c>
      <c r="AQ723" s="4382"/>
      <c r="AR723" s="4417"/>
      <c r="AS723" s="4382">
        <f t="shared" si="329"/>
        <v>132</v>
      </c>
      <c r="AT723" s="4417"/>
      <c r="AU723" s="4382"/>
      <c r="AV723" s="4382"/>
      <c r="AW723" s="4382">
        <f>I723/6</f>
        <v>22</v>
      </c>
      <c r="AX723" s="4382"/>
      <c r="AY723" s="4382"/>
      <c r="AZ723" s="4382"/>
      <c r="BA723" s="4382"/>
      <c r="BB723" s="4382"/>
      <c r="BC723" s="4382"/>
      <c r="BD723" s="4382"/>
      <c r="BE723" s="4382"/>
      <c r="BF723" s="4382" t="s">
        <v>89</v>
      </c>
      <c r="BG723" s="4382"/>
      <c r="BH723" s="4382">
        <f t="shared" si="330"/>
        <v>22</v>
      </c>
      <c r="BI723" s="4382">
        <f t="shared" si="331"/>
        <v>22</v>
      </c>
      <c r="BJ723" s="4382">
        <f t="shared" si="332"/>
        <v>22</v>
      </c>
      <c r="BK723" s="4382">
        <f t="shared" si="333"/>
        <v>22</v>
      </c>
      <c r="BL723" s="4382">
        <f t="shared" si="334"/>
        <v>22</v>
      </c>
      <c r="BM723" s="4382">
        <f t="shared" si="335"/>
        <v>17.6</v>
      </c>
      <c r="BN723" s="4382">
        <f t="shared" si="336"/>
        <v>4.4</v>
      </c>
      <c r="BO723" s="4417"/>
      <c r="BP723" s="4417"/>
      <c r="BQ723" s="4417"/>
      <c r="BR723" s="4417"/>
      <c r="BS723" s="4417"/>
      <c r="BT723" s="4472"/>
      <c r="BU723" s="4418"/>
      <c r="BV723" s="4529">
        <f t="shared" si="313"/>
        <v>132</v>
      </c>
      <c r="BW723" s="4530">
        <f t="shared" si="326"/>
        <v>0</v>
      </c>
      <c r="BX723" s="4409"/>
      <c r="BY723" s="4409"/>
      <c r="BZ723" s="4409"/>
      <c r="CA723" s="4521"/>
      <c r="CC723" s="4522"/>
      <c r="CD723" s="4521"/>
    </row>
    <row r="724" s="4318" customFormat="1" ht="50" customHeight="1" spans="1:82">
      <c r="A724" s="4513">
        <v>45912</v>
      </c>
      <c r="B724" s="4514" t="s">
        <v>505</v>
      </c>
      <c r="C724" s="905" t="s">
        <v>506</v>
      </c>
      <c r="D724" s="4515">
        <v>4500179340</v>
      </c>
      <c r="E724" s="905">
        <v>21105432</v>
      </c>
      <c r="F724" s="4515" t="s">
        <v>5009</v>
      </c>
      <c r="G724" s="905" t="s">
        <v>2577</v>
      </c>
      <c r="H724" s="905" t="s">
        <v>2578</v>
      </c>
      <c r="I724" s="906">
        <v>1368</v>
      </c>
      <c r="J724" s="906">
        <v>0</v>
      </c>
      <c r="K724" s="906">
        <v>12</v>
      </c>
      <c r="L724" s="906">
        <f t="shared" si="316"/>
        <v>114</v>
      </c>
      <c r="M724" s="4516">
        <v>45957</v>
      </c>
      <c r="N724" s="4516">
        <v>45953</v>
      </c>
      <c r="O724" s="4129"/>
      <c r="P724" s="4527" t="s">
        <v>82</v>
      </c>
      <c r="Q724" s="4527"/>
      <c r="R724" s="4159"/>
      <c r="S724" s="4159"/>
      <c r="T724" s="4159"/>
      <c r="U724" s="4148" t="s">
        <v>5005</v>
      </c>
      <c r="V724" s="3738" t="s">
        <v>5006</v>
      </c>
      <c r="W724" s="3739"/>
      <c r="X724" s="3739" t="s">
        <v>5010</v>
      </c>
      <c r="Y724" s="3739"/>
      <c r="Z724" s="906"/>
      <c r="AA724" s="3625" t="s">
        <v>5011</v>
      </c>
      <c r="AB724" s="906" t="s">
        <v>513</v>
      </c>
      <c r="AC724" s="906">
        <v>2.2463</v>
      </c>
      <c r="AD724" s="906">
        <f t="shared" si="339"/>
        <v>3072.9384</v>
      </c>
      <c r="AE724" s="4148" t="s">
        <v>5012</v>
      </c>
      <c r="AF724" s="905" t="s">
        <v>2577</v>
      </c>
      <c r="AG724" s="4148" t="s">
        <v>416</v>
      </c>
      <c r="AH724" s="4405"/>
      <c r="AI724" s="906"/>
      <c r="AJ724" s="906">
        <f t="shared" si="328"/>
        <v>1368</v>
      </c>
      <c r="AK724" s="4405"/>
      <c r="AL724" s="905"/>
      <c r="AM724" s="905"/>
      <c r="AN724" s="906"/>
      <c r="AO724" s="906"/>
      <c r="AP724" s="906">
        <f t="shared" si="327"/>
        <v>1368</v>
      </c>
      <c r="AQ724" s="4382"/>
      <c r="AR724" s="4417"/>
      <c r="AS724" s="4382">
        <f t="shared" si="329"/>
        <v>1368</v>
      </c>
      <c r="AT724" s="4417"/>
      <c r="AU724" s="4382"/>
      <c r="AV724" s="4382"/>
      <c r="AW724" s="4382">
        <f>I724/6</f>
        <v>228</v>
      </c>
      <c r="AX724" s="4382"/>
      <c r="AY724" s="4382"/>
      <c r="AZ724" s="4382"/>
      <c r="BA724" s="4382"/>
      <c r="BB724" s="4382"/>
      <c r="BC724" s="4382"/>
      <c r="BD724" s="4382"/>
      <c r="BE724" s="4382"/>
      <c r="BF724" s="4382" t="s">
        <v>89</v>
      </c>
      <c r="BG724" s="4382"/>
      <c r="BH724" s="4382">
        <f t="shared" si="330"/>
        <v>228</v>
      </c>
      <c r="BI724" s="4382">
        <f t="shared" si="331"/>
        <v>228</v>
      </c>
      <c r="BJ724" s="4382">
        <f t="shared" si="332"/>
        <v>228</v>
      </c>
      <c r="BK724" s="4382">
        <f t="shared" si="333"/>
        <v>228</v>
      </c>
      <c r="BL724" s="4382">
        <f t="shared" si="334"/>
        <v>228</v>
      </c>
      <c r="BM724" s="4382">
        <f t="shared" si="335"/>
        <v>182.4</v>
      </c>
      <c r="BN724" s="4382">
        <f t="shared" si="336"/>
        <v>45.6</v>
      </c>
      <c r="BO724" s="4417"/>
      <c r="BP724" s="4417"/>
      <c r="BQ724" s="4417"/>
      <c r="BR724" s="4417"/>
      <c r="BS724" s="4417"/>
      <c r="BT724" s="4472"/>
      <c r="BU724" s="4418"/>
      <c r="BV724" s="4529">
        <f t="shared" si="313"/>
        <v>1368</v>
      </c>
      <c r="BW724" s="4530">
        <f t="shared" si="326"/>
        <v>0</v>
      </c>
      <c r="BX724" s="4409"/>
      <c r="BY724" s="4409"/>
      <c r="BZ724" s="4409"/>
      <c r="CA724" s="4521"/>
      <c r="CC724" s="4522"/>
      <c r="CD724" s="4521"/>
    </row>
    <row r="725" s="4312" customFormat="1" ht="50" customHeight="1" spans="1:82">
      <c r="A725" s="4513">
        <v>45895</v>
      </c>
      <c r="B725" s="4514" t="s">
        <v>5013</v>
      </c>
      <c r="C725" s="905" t="s">
        <v>738</v>
      </c>
      <c r="D725" s="4515">
        <v>4500177865</v>
      </c>
      <c r="E725" s="905" t="s">
        <v>5014</v>
      </c>
      <c r="F725" s="4515" t="s">
        <v>5015</v>
      </c>
      <c r="G725" s="905" t="s">
        <v>2577</v>
      </c>
      <c r="H725" s="905" t="s">
        <v>2578</v>
      </c>
      <c r="I725" s="906">
        <v>1668</v>
      </c>
      <c r="J725" s="906">
        <v>0</v>
      </c>
      <c r="K725" s="906">
        <v>12</v>
      </c>
      <c r="L725" s="906">
        <f t="shared" si="316"/>
        <v>139</v>
      </c>
      <c r="M725" s="4516">
        <v>45958</v>
      </c>
      <c r="N725" s="4516">
        <v>45954</v>
      </c>
      <c r="O725" s="4129"/>
      <c r="P725" s="4527" t="s">
        <v>82</v>
      </c>
      <c r="Q725" s="4527"/>
      <c r="R725" s="4159"/>
      <c r="S725" s="4159"/>
      <c r="T725" s="4159"/>
      <c r="U725" s="4148" t="s">
        <v>4954</v>
      </c>
      <c r="V725" s="3738" t="s">
        <v>5016</v>
      </c>
      <c r="W725" s="3739"/>
      <c r="X725" s="3739" t="s">
        <v>2051</v>
      </c>
      <c r="Y725" s="3739"/>
      <c r="Z725" s="906"/>
      <c r="AA725" s="3625" t="s">
        <v>5017</v>
      </c>
      <c r="AB725" s="906" t="s">
        <v>1257</v>
      </c>
      <c r="AC725" s="906">
        <v>2.1392</v>
      </c>
      <c r="AD725" s="906">
        <f t="shared" si="339"/>
        <v>3568.1856</v>
      </c>
      <c r="AE725" s="4148" t="s">
        <v>5018</v>
      </c>
      <c r="AF725" s="905" t="s">
        <v>2604</v>
      </c>
      <c r="AG725" s="4148" t="s">
        <v>416</v>
      </c>
      <c r="AH725" s="905"/>
      <c r="AI725" s="906"/>
      <c r="AJ725" s="906"/>
      <c r="AK725" s="905"/>
      <c r="AL725" s="905"/>
      <c r="AM725" s="905">
        <f>I725</f>
        <v>1668</v>
      </c>
      <c r="AN725" s="906"/>
      <c r="AO725" s="906"/>
      <c r="AP725" s="4517">
        <f t="shared" si="327"/>
        <v>1668</v>
      </c>
      <c r="AQ725" s="4382"/>
      <c r="AR725" s="4382"/>
      <c r="AS725" s="4518">
        <f t="shared" si="329"/>
        <v>1668</v>
      </c>
      <c r="AT725" s="4382"/>
      <c r="AU725" s="4382"/>
      <c r="AV725" s="4382"/>
      <c r="AW725" s="4518">
        <f>I725/6</f>
        <v>278</v>
      </c>
      <c r="AX725" s="4382"/>
      <c r="AY725" s="4382"/>
      <c r="AZ725" s="4382"/>
      <c r="BA725" s="4382"/>
      <c r="BB725" s="4382"/>
      <c r="BC725" s="4382"/>
      <c r="BD725" s="4382"/>
      <c r="BE725" s="4382"/>
      <c r="BF725" s="4382" t="s">
        <v>89</v>
      </c>
      <c r="BG725" s="4382"/>
      <c r="BH725" s="4382">
        <f t="shared" si="330"/>
        <v>278</v>
      </c>
      <c r="BI725" s="4382">
        <f t="shared" si="331"/>
        <v>278</v>
      </c>
      <c r="BJ725" s="4382">
        <f t="shared" si="332"/>
        <v>278</v>
      </c>
      <c r="BK725" s="4382">
        <f t="shared" si="333"/>
        <v>278</v>
      </c>
      <c r="BL725" s="4382">
        <f t="shared" si="334"/>
        <v>278</v>
      </c>
      <c r="BM725" s="4382">
        <f t="shared" si="335"/>
        <v>222.4</v>
      </c>
      <c r="BN725" s="4382">
        <f t="shared" si="336"/>
        <v>55.6</v>
      </c>
      <c r="BO725" s="4382"/>
      <c r="BP725" s="4382"/>
      <c r="BQ725" s="4382"/>
      <c r="BR725" s="4382"/>
      <c r="BS725" s="4382"/>
      <c r="BT725" s="4383"/>
      <c r="BU725" s="4384"/>
      <c r="BV725" s="4529">
        <f t="shared" si="313"/>
        <v>1668</v>
      </c>
      <c r="BW725" s="4530">
        <f t="shared" si="326"/>
        <v>0</v>
      </c>
      <c r="BX725" s="4409"/>
      <c r="BY725" s="4409"/>
      <c r="BZ725" s="4409"/>
      <c r="CA725" s="4521"/>
      <c r="CC725" s="4522"/>
      <c r="CD725" s="4521"/>
    </row>
    <row r="726" s="4320" customFormat="1" ht="50" customHeight="1" spans="1:82">
      <c r="A726" s="4500">
        <v>45876</v>
      </c>
      <c r="B726" s="4501" t="s">
        <v>1617</v>
      </c>
      <c r="C726" s="3708" t="s">
        <v>91</v>
      </c>
      <c r="D726" s="4502">
        <v>4500176188</v>
      </c>
      <c r="E726" s="3708" t="s">
        <v>2101</v>
      </c>
      <c r="F726" s="4502" t="s">
        <v>5019</v>
      </c>
      <c r="G726" s="3708" t="s">
        <v>2627</v>
      </c>
      <c r="H726" s="4154" t="s">
        <v>2591</v>
      </c>
      <c r="I726" s="4154">
        <v>504</v>
      </c>
      <c r="J726" s="4154">
        <v>0</v>
      </c>
      <c r="K726" s="4154">
        <v>24</v>
      </c>
      <c r="L726" s="4154">
        <f t="shared" si="316"/>
        <v>21</v>
      </c>
      <c r="M726" s="4503">
        <v>45958</v>
      </c>
      <c r="N726" s="4503">
        <v>45954</v>
      </c>
      <c r="O726" s="4117"/>
      <c r="P726" s="4527" t="s">
        <v>82</v>
      </c>
      <c r="Q726" s="4527"/>
      <c r="R726" s="4159"/>
      <c r="S726" s="4159"/>
      <c r="T726" s="4159"/>
      <c r="U726" s="4148" t="s">
        <v>269</v>
      </c>
      <c r="V726" s="3709" t="s">
        <v>2013</v>
      </c>
      <c r="W726" s="3711"/>
      <c r="X726" s="3711" t="s">
        <v>98</v>
      </c>
      <c r="Y726" s="3711" t="s">
        <v>5020</v>
      </c>
      <c r="Z726" s="4154"/>
      <c r="AA726" s="3680" t="s">
        <v>1621</v>
      </c>
      <c r="AB726" s="4154" t="s">
        <v>393</v>
      </c>
      <c r="AC726" s="4154">
        <v>1.2535</v>
      </c>
      <c r="AD726" s="4154">
        <f t="shared" si="339"/>
        <v>631.764</v>
      </c>
      <c r="AE726" s="3726" t="s">
        <v>2104</v>
      </c>
      <c r="AF726" s="3708" t="s">
        <v>2627</v>
      </c>
      <c r="AG726" s="3726" t="s">
        <v>416</v>
      </c>
      <c r="AH726" s="3708"/>
      <c r="AI726" s="4154"/>
      <c r="AJ726" s="4154">
        <f>I726</f>
        <v>504</v>
      </c>
      <c r="AK726" s="3708"/>
      <c r="AL726" s="3708"/>
      <c r="AM726" s="3708"/>
      <c r="AN726" s="4154"/>
      <c r="AO726" s="4154"/>
      <c r="AP726" s="4154">
        <f t="shared" si="327"/>
        <v>504</v>
      </c>
      <c r="AQ726" s="1048"/>
      <c r="AR726" s="1048"/>
      <c r="AS726" s="1048">
        <f t="shared" si="329"/>
        <v>504</v>
      </c>
      <c r="AT726" s="1048"/>
      <c r="AU726" s="1048"/>
      <c r="AV726" s="1048"/>
      <c r="AW726" s="1048"/>
      <c r="AX726" s="1048"/>
      <c r="AY726" s="1048"/>
      <c r="AZ726" s="1048"/>
      <c r="BA726" s="1048"/>
      <c r="BB726" s="1048"/>
      <c r="BC726" s="1048"/>
      <c r="BD726" s="1048"/>
      <c r="BE726" s="1048"/>
      <c r="BF726" s="1048" t="s">
        <v>89</v>
      </c>
      <c r="BG726" s="1048"/>
      <c r="BH726" s="1048">
        <f t="shared" si="330"/>
        <v>84</v>
      </c>
      <c r="BI726" s="1048">
        <f t="shared" si="331"/>
        <v>84</v>
      </c>
      <c r="BJ726" s="1048">
        <f t="shared" si="332"/>
        <v>84</v>
      </c>
      <c r="BK726" s="1048">
        <f t="shared" si="333"/>
        <v>84</v>
      </c>
      <c r="BL726" s="1048">
        <f t="shared" si="334"/>
        <v>84</v>
      </c>
      <c r="BM726" s="1048">
        <f t="shared" si="335"/>
        <v>67.2</v>
      </c>
      <c r="BN726" s="1048">
        <f t="shared" si="336"/>
        <v>16.8</v>
      </c>
      <c r="BO726" s="1048"/>
      <c r="BP726" s="1048"/>
      <c r="BQ726" s="1048"/>
      <c r="BR726" s="1048"/>
      <c r="BS726" s="1048"/>
      <c r="BT726" s="4414"/>
      <c r="BU726" s="4415"/>
      <c r="BV726" s="4505">
        <f t="shared" si="313"/>
        <v>504</v>
      </c>
      <c r="BW726" s="4506">
        <f t="shared" si="326"/>
        <v>0</v>
      </c>
      <c r="BX726" s="4323"/>
      <c r="BY726" s="4323"/>
      <c r="BZ726" s="4323"/>
      <c r="CA726" s="4507"/>
      <c r="CC726" s="4508"/>
      <c r="CD726" s="4507"/>
    </row>
    <row r="727" s="4318" customFormat="1" ht="50" customHeight="1" spans="1:82">
      <c r="A727" s="4534">
        <v>45922</v>
      </c>
      <c r="B727" s="3735" t="s">
        <v>3138</v>
      </c>
      <c r="C727" s="3735" t="s">
        <v>396</v>
      </c>
      <c r="D727" s="3736">
        <v>4500180011</v>
      </c>
      <c r="E727" s="3735" t="s">
        <v>5021</v>
      </c>
      <c r="F727" s="3735" t="s">
        <v>5022</v>
      </c>
      <c r="G727" s="3735" t="s">
        <v>3141</v>
      </c>
      <c r="H727" s="3736" t="s">
        <v>2591</v>
      </c>
      <c r="I727" s="3736">
        <v>1440</v>
      </c>
      <c r="J727" s="3736">
        <v>0</v>
      </c>
      <c r="K727" s="3736">
        <v>6</v>
      </c>
      <c r="L727" s="4132">
        <f t="shared" si="316"/>
        <v>240</v>
      </c>
      <c r="M727" s="3737">
        <v>45962</v>
      </c>
      <c r="N727" s="3737">
        <f>M727-4</f>
        <v>45958</v>
      </c>
      <c r="O727" s="905"/>
      <c r="P727" s="4527" t="s">
        <v>82</v>
      </c>
      <c r="Q727" s="4527"/>
      <c r="R727" s="4159"/>
      <c r="S727" s="4159"/>
      <c r="T727" s="4159"/>
      <c r="U727" s="3735" t="s">
        <v>401</v>
      </c>
      <c r="V727" s="3824" t="s">
        <v>5023</v>
      </c>
      <c r="W727" s="3625"/>
      <c r="X727" s="3739" t="s">
        <v>5024</v>
      </c>
      <c r="Y727" s="3820"/>
      <c r="Z727" s="3739"/>
      <c r="AA727" s="3625" t="s">
        <v>5025</v>
      </c>
      <c r="AB727" s="3736" t="s">
        <v>405</v>
      </c>
      <c r="AC727" s="4130">
        <v>2.2627</v>
      </c>
      <c r="AD727" s="906">
        <f t="shared" si="339"/>
        <v>3258.288</v>
      </c>
      <c r="AE727" s="4130" t="s">
        <v>5026</v>
      </c>
      <c r="AF727" s="3735" t="s">
        <v>3145</v>
      </c>
      <c r="AG727" s="3736" t="s">
        <v>416</v>
      </c>
      <c r="AH727" s="4535"/>
      <c r="AI727" s="3625"/>
      <c r="AJ727" s="3625"/>
      <c r="AK727" s="4536"/>
      <c r="AL727" s="3625"/>
      <c r="AM727" s="3735">
        <f>I727</f>
        <v>1440</v>
      </c>
      <c r="AN727" s="4131"/>
      <c r="AO727" s="4131"/>
      <c r="AP727" s="4131">
        <f t="shared" si="327"/>
        <v>1440</v>
      </c>
      <c r="AQ727" s="3735"/>
      <c r="AR727" s="3743"/>
      <c r="AS727" s="4132"/>
      <c r="AT727" s="3812"/>
      <c r="AU727" s="3750">
        <f>I727</f>
        <v>1440</v>
      </c>
      <c r="AV727" s="4133"/>
      <c r="AW727" s="3750"/>
      <c r="AX727" s="4133"/>
      <c r="AY727" s="3750">
        <f>I727/6</f>
        <v>240</v>
      </c>
      <c r="AZ727" s="4133"/>
      <c r="BA727" s="3750"/>
      <c r="BB727" s="3750"/>
      <c r="BC727" s="3750"/>
      <c r="BD727" s="3750"/>
      <c r="BE727" s="3750"/>
      <c r="BF727" s="3750" t="s">
        <v>89</v>
      </c>
      <c r="BG727" s="3750"/>
      <c r="BH727" s="4382">
        <f t="shared" si="330"/>
        <v>240</v>
      </c>
      <c r="BI727" s="4382">
        <f t="shared" si="331"/>
        <v>240</v>
      </c>
      <c r="BJ727" s="4382">
        <f t="shared" si="332"/>
        <v>240</v>
      </c>
      <c r="BK727" s="4382">
        <f t="shared" si="333"/>
        <v>240</v>
      </c>
      <c r="BL727" s="4382">
        <f t="shared" si="334"/>
        <v>240</v>
      </c>
      <c r="BM727" s="4382">
        <f t="shared" si="335"/>
        <v>192</v>
      </c>
      <c r="BN727" s="4382">
        <f t="shared" si="336"/>
        <v>48</v>
      </c>
      <c r="BO727" s="4417"/>
      <c r="BP727" s="4417"/>
      <c r="BQ727" s="4417"/>
      <c r="BR727" s="4417"/>
      <c r="BS727" s="4417"/>
      <c r="BT727" s="4472"/>
      <c r="BU727" s="4418"/>
      <c r="BV727" s="4529">
        <f t="shared" si="313"/>
        <v>1440</v>
      </c>
      <c r="BW727" s="4530">
        <f t="shared" si="326"/>
        <v>0</v>
      </c>
      <c r="BX727" s="4409"/>
      <c r="BY727" s="4409"/>
      <c r="BZ727" s="4409"/>
      <c r="CA727" s="3815"/>
      <c r="CC727" s="3815"/>
      <c r="CD727" s="3815"/>
    </row>
    <row r="728" s="4318" customFormat="1" ht="50" customHeight="1" spans="1:82">
      <c r="A728" s="4513">
        <v>45919</v>
      </c>
      <c r="B728" s="4514" t="s">
        <v>505</v>
      </c>
      <c r="C728" s="905" t="s">
        <v>506</v>
      </c>
      <c r="D728" s="4515">
        <v>4500179977</v>
      </c>
      <c r="E728" s="905">
        <v>21169557</v>
      </c>
      <c r="F728" s="4515" t="s">
        <v>5027</v>
      </c>
      <c r="G728" s="905" t="s">
        <v>2577</v>
      </c>
      <c r="H728" s="905" t="s">
        <v>2578</v>
      </c>
      <c r="I728" s="906">
        <v>2772</v>
      </c>
      <c r="J728" s="906">
        <v>0</v>
      </c>
      <c r="K728" s="906">
        <v>12</v>
      </c>
      <c r="L728" s="906">
        <f t="shared" si="316"/>
        <v>231</v>
      </c>
      <c r="M728" s="4516">
        <v>45964</v>
      </c>
      <c r="N728" s="4516">
        <f>M728-4</f>
        <v>45960</v>
      </c>
      <c r="O728" s="4129"/>
      <c r="P728" s="4527" t="s">
        <v>82</v>
      </c>
      <c r="Q728" s="4527"/>
      <c r="R728" s="4159"/>
      <c r="S728" s="4159"/>
      <c r="T728" s="4159"/>
      <c r="U728" s="4148" t="s">
        <v>4998</v>
      </c>
      <c r="V728" s="3738" t="s">
        <v>5028</v>
      </c>
      <c r="W728" s="3739"/>
      <c r="X728" s="3739" t="s">
        <v>5007</v>
      </c>
      <c r="Y728" s="3739"/>
      <c r="Z728" s="906"/>
      <c r="AA728" s="3625" t="s">
        <v>4743</v>
      </c>
      <c r="AB728" s="906" t="s">
        <v>513</v>
      </c>
      <c r="AC728" s="906">
        <v>2.2463</v>
      </c>
      <c r="AD728" s="906">
        <f t="shared" si="339"/>
        <v>6226.7436</v>
      </c>
      <c r="AE728" s="4148" t="s">
        <v>5029</v>
      </c>
      <c r="AF728" s="905" t="s">
        <v>2577</v>
      </c>
      <c r="AG728" s="4148" t="s">
        <v>416</v>
      </c>
      <c r="AH728" s="4422"/>
      <c r="AI728" s="906"/>
      <c r="AJ728" s="906">
        <f>I728</f>
        <v>2772</v>
      </c>
      <c r="AK728" s="4422"/>
      <c r="AL728" s="905"/>
      <c r="AM728" s="905"/>
      <c r="AN728" s="906"/>
      <c r="AO728" s="906"/>
      <c r="AP728" s="4517">
        <f t="shared" si="327"/>
        <v>2772</v>
      </c>
      <c r="AQ728" s="4382"/>
      <c r="AR728" s="907"/>
      <c r="AS728" s="4518">
        <f>I728</f>
        <v>2772</v>
      </c>
      <c r="AT728" s="907"/>
      <c r="AU728" s="4382"/>
      <c r="AV728" s="4382"/>
      <c r="AW728" s="4518">
        <f>I728/6</f>
        <v>462</v>
      </c>
      <c r="AX728" s="4382"/>
      <c r="AY728" s="4382"/>
      <c r="AZ728" s="4382"/>
      <c r="BA728" s="4382"/>
      <c r="BB728" s="4382"/>
      <c r="BC728" s="4382"/>
      <c r="BD728" s="4382"/>
      <c r="BE728" s="4382"/>
      <c r="BF728" s="4382" t="s">
        <v>89</v>
      </c>
      <c r="BG728" s="4382"/>
      <c r="BH728" s="4382">
        <f t="shared" si="330"/>
        <v>462</v>
      </c>
      <c r="BI728" s="4382">
        <f t="shared" si="331"/>
        <v>462</v>
      </c>
      <c r="BJ728" s="4382">
        <f t="shared" si="332"/>
        <v>462</v>
      </c>
      <c r="BK728" s="4382">
        <f t="shared" si="333"/>
        <v>462</v>
      </c>
      <c r="BL728" s="4382">
        <f t="shared" si="334"/>
        <v>462</v>
      </c>
      <c r="BM728" s="4382">
        <f t="shared" si="335"/>
        <v>369.6</v>
      </c>
      <c r="BN728" s="4382">
        <f t="shared" si="336"/>
        <v>92.4</v>
      </c>
      <c r="BO728" s="907"/>
      <c r="BP728" s="907"/>
      <c r="BQ728" s="907"/>
      <c r="BR728" s="907"/>
      <c r="BS728" s="907"/>
      <c r="BT728" s="910"/>
      <c r="BU728" s="911"/>
      <c r="BV728" s="4529">
        <f t="shared" si="313"/>
        <v>2772</v>
      </c>
      <c r="BW728" s="4530">
        <f t="shared" si="326"/>
        <v>0</v>
      </c>
      <c r="BX728" s="4409"/>
      <c r="BY728" s="4409"/>
      <c r="BZ728" s="4409"/>
      <c r="CA728" s="4521"/>
      <c r="CC728" s="4522"/>
      <c r="CD728" s="4521"/>
    </row>
    <row r="729" s="4318" customFormat="1" ht="50" customHeight="1" spans="1:82">
      <c r="A729" s="4537">
        <v>45925</v>
      </c>
      <c r="B729" s="4538" t="s">
        <v>5030</v>
      </c>
      <c r="C729" s="4539" t="s">
        <v>341</v>
      </c>
      <c r="D729" s="4515">
        <v>4500180371</v>
      </c>
      <c r="E729" s="905" t="s">
        <v>5031</v>
      </c>
      <c r="F729" s="4515" t="s">
        <v>5032</v>
      </c>
      <c r="G729" s="905" t="s">
        <v>5033</v>
      </c>
      <c r="H729" s="905" t="s">
        <v>3069</v>
      </c>
      <c r="I729" s="906">
        <v>2304</v>
      </c>
      <c r="J729" s="906">
        <v>4</v>
      </c>
      <c r="K729" s="906">
        <v>288</v>
      </c>
      <c r="L729" s="906">
        <f t="shared" si="316"/>
        <v>8</v>
      </c>
      <c r="M729" s="4516">
        <v>45965</v>
      </c>
      <c r="N729" s="4516">
        <f>M729-4</f>
        <v>45961</v>
      </c>
      <c r="O729" s="4129"/>
      <c r="P729" s="4527" t="s">
        <v>82</v>
      </c>
      <c r="Q729" s="4527"/>
      <c r="R729" s="4159"/>
      <c r="S729" s="4159"/>
      <c r="T729" s="4159"/>
      <c r="U729" s="4148" t="s">
        <v>5034</v>
      </c>
      <c r="V729" s="3739" t="s">
        <v>5006</v>
      </c>
      <c r="W729" s="3739"/>
      <c r="X729" s="3739" t="s">
        <v>98</v>
      </c>
      <c r="Y729" s="3738"/>
      <c r="Z729" s="906"/>
      <c r="AA729" s="3625" t="s">
        <v>5035</v>
      </c>
      <c r="AB729" s="4540" t="s">
        <v>5036</v>
      </c>
      <c r="AC729" s="906">
        <v>638.1515</v>
      </c>
      <c r="AD729" s="906">
        <f>AC729*L729</f>
        <v>5105.212</v>
      </c>
      <c r="AE729" s="4148"/>
      <c r="AF729" s="905" t="s">
        <v>5037</v>
      </c>
      <c r="AG729" s="4148" t="s">
        <v>416</v>
      </c>
      <c r="AH729" s="4422"/>
      <c r="AI729" s="906"/>
      <c r="AJ729" s="906">
        <f>I729</f>
        <v>2304</v>
      </c>
      <c r="AK729" s="4422"/>
      <c r="AL729" s="905"/>
      <c r="AM729" s="905"/>
      <c r="AN729" s="906"/>
      <c r="AO729" s="906"/>
      <c r="AP729" s="4517">
        <f t="shared" si="327"/>
        <v>2304</v>
      </c>
      <c r="AQ729" s="4382"/>
      <c r="AR729" s="907"/>
      <c r="AS729" s="4518">
        <f>I729</f>
        <v>2304</v>
      </c>
      <c r="AT729" s="907"/>
      <c r="AU729" s="4382"/>
      <c r="AV729" s="4382"/>
      <c r="AW729" s="4518"/>
      <c r="AX729" s="4382"/>
      <c r="AY729" s="4382"/>
      <c r="AZ729" s="4382"/>
      <c r="BA729" s="4518">
        <f>I729/4</f>
        <v>576</v>
      </c>
      <c r="BB729" s="4382"/>
      <c r="BC729" s="4382"/>
      <c r="BD729" s="4382"/>
      <c r="BE729" s="4382"/>
      <c r="BF729" s="4382" t="s">
        <v>89</v>
      </c>
      <c r="BG729" s="4382"/>
      <c r="BH729" s="4382">
        <f t="shared" si="330"/>
        <v>384</v>
      </c>
      <c r="BI729" s="4382">
        <f t="shared" si="331"/>
        <v>384</v>
      </c>
      <c r="BJ729" s="4382">
        <f t="shared" si="332"/>
        <v>384</v>
      </c>
      <c r="BK729" s="4382">
        <f t="shared" si="333"/>
        <v>384</v>
      </c>
      <c r="BL729" s="4382">
        <f t="shared" si="334"/>
        <v>384</v>
      </c>
      <c r="BM729" s="4382">
        <f t="shared" si="335"/>
        <v>307.2</v>
      </c>
      <c r="BN729" s="4382">
        <f t="shared" si="336"/>
        <v>76.8</v>
      </c>
      <c r="BO729" s="907"/>
      <c r="BP729" s="907"/>
      <c r="BQ729" s="907"/>
      <c r="BR729" s="907"/>
      <c r="BS729" s="907"/>
      <c r="BT729" s="910"/>
      <c r="BU729" s="911"/>
      <c r="BV729" s="4529">
        <f t="shared" si="313"/>
        <v>2304</v>
      </c>
      <c r="BW729" s="4530">
        <f t="shared" si="326"/>
        <v>0</v>
      </c>
      <c r="BX729" s="4409"/>
      <c r="BY729" s="4409"/>
      <c r="BZ729" s="4409"/>
      <c r="CA729" s="4521"/>
      <c r="CC729" s="4522"/>
      <c r="CD729" s="4521"/>
    </row>
    <row r="730" s="4025" customFormat="1" ht="50" customHeight="1" spans="1:82">
      <c r="A730" s="3688">
        <v>45917</v>
      </c>
      <c r="B730" s="3689" t="s">
        <v>4766</v>
      </c>
      <c r="C730" s="3664" t="s">
        <v>471</v>
      </c>
      <c r="D730" s="3690">
        <v>4500179716</v>
      </c>
      <c r="E730" s="3664"/>
      <c r="F730" s="3690" t="s">
        <v>5038</v>
      </c>
      <c r="G730" s="3664" t="s">
        <v>5039</v>
      </c>
      <c r="H730" s="3618" t="s">
        <v>5040</v>
      </c>
      <c r="I730" s="3691">
        <v>10800</v>
      </c>
      <c r="J730" s="3691">
        <v>0</v>
      </c>
      <c r="K730" s="3691">
        <v>6</v>
      </c>
      <c r="L730" s="3691">
        <f t="shared" si="316"/>
        <v>1800</v>
      </c>
      <c r="M730" s="3659">
        <v>45966</v>
      </c>
      <c r="N730" s="3659">
        <v>45962</v>
      </c>
      <c r="O730" s="4085"/>
      <c r="P730" s="4527" t="s">
        <v>82</v>
      </c>
      <c r="Q730" s="4527"/>
      <c r="R730" s="4159"/>
      <c r="S730" s="4159"/>
      <c r="T730" s="4159"/>
      <c r="U730" s="3645" t="s">
        <v>269</v>
      </c>
      <c r="V730" s="3649" t="s">
        <v>5041</v>
      </c>
      <c r="W730" s="3657"/>
      <c r="X730" s="3657" t="s">
        <v>4216</v>
      </c>
      <c r="Y730" s="3657"/>
      <c r="Z730" s="3691"/>
      <c r="AA730" s="3620" t="s">
        <v>5042</v>
      </c>
      <c r="AB730" s="3691" t="s">
        <v>2149</v>
      </c>
      <c r="AC730" s="3691">
        <v>2.1392</v>
      </c>
      <c r="AD730" s="3691">
        <f t="shared" ref="AD730:AD735" si="340">AC730*I730</f>
        <v>23103.36</v>
      </c>
      <c r="AE730" s="3645" t="s">
        <v>5043</v>
      </c>
      <c r="AF730" s="3664" t="s">
        <v>5044</v>
      </c>
      <c r="AG730" s="3645" t="s">
        <v>416</v>
      </c>
      <c r="AH730" s="4484"/>
      <c r="AI730" s="3691"/>
      <c r="AJ730" s="3691"/>
      <c r="AK730" s="4484"/>
      <c r="AL730" s="3664"/>
      <c r="AM730" s="3664">
        <f>I730</f>
        <v>10800</v>
      </c>
      <c r="AN730" s="3691"/>
      <c r="AO730" s="3691"/>
      <c r="AP730" s="4082">
        <f t="shared" si="327"/>
        <v>10800</v>
      </c>
      <c r="AQ730" s="4089"/>
      <c r="AR730" s="4463"/>
      <c r="AS730" s="4495"/>
      <c r="AT730" s="4463"/>
      <c r="AU730" s="4495">
        <f>I730</f>
        <v>10800</v>
      </c>
      <c r="AV730" s="4089"/>
      <c r="AW730" s="4495"/>
      <c r="AX730" s="4089"/>
      <c r="AY730" s="4089"/>
      <c r="AZ730" s="4089"/>
      <c r="BA730" s="4089"/>
      <c r="BB730" s="4089"/>
      <c r="BC730" s="4495">
        <f>I730/6</f>
        <v>1800</v>
      </c>
      <c r="BD730" s="4089"/>
      <c r="BE730" s="4089"/>
      <c r="BF730" s="4089" t="s">
        <v>89</v>
      </c>
      <c r="BG730" s="4089"/>
      <c r="BH730" s="4089">
        <f t="shared" si="330"/>
        <v>1800</v>
      </c>
      <c r="BI730" s="4089">
        <f t="shared" si="331"/>
        <v>1800</v>
      </c>
      <c r="BJ730" s="4089">
        <f t="shared" si="332"/>
        <v>1800</v>
      </c>
      <c r="BK730" s="4089">
        <f t="shared" si="333"/>
        <v>1800</v>
      </c>
      <c r="BL730" s="4089">
        <f t="shared" si="334"/>
        <v>1800</v>
      </c>
      <c r="BM730" s="4089">
        <f t="shared" si="335"/>
        <v>1440</v>
      </c>
      <c r="BN730" s="4089">
        <f t="shared" si="336"/>
        <v>360</v>
      </c>
      <c r="BO730" s="4463"/>
      <c r="BP730" s="4463"/>
      <c r="BQ730" s="4463"/>
      <c r="BR730" s="4463"/>
      <c r="BS730" s="4463"/>
      <c r="BT730" s="4464"/>
      <c r="BU730" s="4465"/>
      <c r="BV730" s="4385">
        <f t="shared" si="313"/>
        <v>10800</v>
      </c>
      <c r="BW730" s="4386">
        <f t="shared" si="326"/>
        <v>0</v>
      </c>
      <c r="BX730" s="4387"/>
      <c r="BY730" s="4387"/>
      <c r="BZ730" s="4387"/>
      <c r="CA730" s="4391"/>
      <c r="CC730" s="4392"/>
      <c r="CD730" s="4391"/>
    </row>
    <row r="731" s="4318" customFormat="1" ht="50" customHeight="1" spans="1:82">
      <c r="A731" s="4513">
        <v>45925</v>
      </c>
      <c r="B731" s="4514" t="s">
        <v>4670</v>
      </c>
      <c r="C731" s="905" t="s">
        <v>341</v>
      </c>
      <c r="D731" s="4515">
        <v>4500180233</v>
      </c>
      <c r="E731" s="905" t="s">
        <v>5045</v>
      </c>
      <c r="F731" s="4515" t="s">
        <v>5046</v>
      </c>
      <c r="G731" s="905" t="s">
        <v>2964</v>
      </c>
      <c r="H731" s="905" t="s">
        <v>2965</v>
      </c>
      <c r="I731" s="906">
        <v>504</v>
      </c>
      <c r="J731" s="906">
        <v>6</v>
      </c>
      <c r="K731" s="906">
        <v>12</v>
      </c>
      <c r="L731" s="906">
        <f t="shared" si="316"/>
        <v>42</v>
      </c>
      <c r="M731" s="4516">
        <v>45967</v>
      </c>
      <c r="N731" s="4516">
        <v>45965</v>
      </c>
      <c r="O731" s="4129"/>
      <c r="P731" s="4527" t="s">
        <v>82</v>
      </c>
      <c r="Q731" s="4527"/>
      <c r="R731" s="4159"/>
      <c r="S731" s="4159"/>
      <c r="T731" s="4159"/>
      <c r="U731" s="4148" t="s">
        <v>5047</v>
      </c>
      <c r="V731" s="3738" t="s">
        <v>5006</v>
      </c>
      <c r="W731" s="3739"/>
      <c r="X731" s="3739" t="s">
        <v>98</v>
      </c>
      <c r="Y731" s="3739"/>
      <c r="Z731" s="906"/>
      <c r="AA731" s="3625" t="s">
        <v>5048</v>
      </c>
      <c r="AB731" s="906" t="s">
        <v>4665</v>
      </c>
      <c r="AC731" s="906">
        <v>2.1966</v>
      </c>
      <c r="AD731" s="906">
        <f t="shared" si="340"/>
        <v>1107.0864</v>
      </c>
      <c r="AE731" s="4147" t="s">
        <v>5049</v>
      </c>
      <c r="AF731" s="905" t="s">
        <v>2964</v>
      </c>
      <c r="AG731" s="4148" t="s">
        <v>416</v>
      </c>
      <c r="AH731" s="4422"/>
      <c r="AI731" s="906"/>
      <c r="AJ731" s="4517">
        <f t="shared" ref="AJ731:AJ738" si="341">I731</f>
        <v>504</v>
      </c>
      <c r="AK731" s="4422"/>
      <c r="AL731" s="905"/>
      <c r="AM731" s="905"/>
      <c r="AN731" s="906"/>
      <c r="AO731" s="906"/>
      <c r="AP731" s="4517">
        <f t="shared" si="327"/>
        <v>504</v>
      </c>
      <c r="AQ731" s="4382"/>
      <c r="AR731" s="907"/>
      <c r="AS731" s="4518">
        <f t="shared" ref="AS731:AS739" si="342">I731</f>
        <v>504</v>
      </c>
      <c r="AT731" s="907"/>
      <c r="AU731" s="4382"/>
      <c r="AV731" s="4382"/>
      <c r="AW731" s="4518">
        <f>I731/6</f>
        <v>84</v>
      </c>
      <c r="AX731" s="4382"/>
      <c r="AY731" s="4382"/>
      <c r="AZ731" s="4382"/>
      <c r="BA731" s="4382"/>
      <c r="BB731" s="4382"/>
      <c r="BC731" s="4382"/>
      <c r="BD731" s="4382"/>
      <c r="BE731" s="4382"/>
      <c r="BF731" s="4382" t="s">
        <v>89</v>
      </c>
      <c r="BG731" s="4382"/>
      <c r="BH731" s="4382">
        <f t="shared" si="330"/>
        <v>84</v>
      </c>
      <c r="BI731" s="4382">
        <f t="shared" si="331"/>
        <v>84</v>
      </c>
      <c r="BJ731" s="4382">
        <f t="shared" si="332"/>
        <v>84</v>
      </c>
      <c r="BK731" s="4382">
        <f t="shared" si="333"/>
        <v>84</v>
      </c>
      <c r="BL731" s="4382">
        <f t="shared" si="334"/>
        <v>84</v>
      </c>
      <c r="BM731" s="4382">
        <f t="shared" si="335"/>
        <v>67.2</v>
      </c>
      <c r="BN731" s="4382">
        <f t="shared" si="336"/>
        <v>16.8</v>
      </c>
      <c r="BO731" s="907"/>
      <c r="BP731" s="907"/>
      <c r="BQ731" s="907"/>
      <c r="BR731" s="907"/>
      <c r="BS731" s="907"/>
      <c r="BT731" s="910"/>
      <c r="BU731" s="911"/>
      <c r="BV731" s="4529">
        <f t="shared" si="313"/>
        <v>504</v>
      </c>
      <c r="BW731" s="4530">
        <f t="shared" si="326"/>
        <v>0</v>
      </c>
      <c r="BX731" s="4409"/>
      <c r="BY731" s="4409"/>
      <c r="BZ731" s="4409"/>
      <c r="CA731" s="4521"/>
      <c r="CC731" s="4522"/>
      <c r="CD731" s="4521"/>
    </row>
    <row r="732" s="4318" customFormat="1" ht="50" customHeight="1" spans="1:82">
      <c r="A732" s="4513">
        <v>45912</v>
      </c>
      <c r="B732" s="4514" t="s">
        <v>407</v>
      </c>
      <c r="C732" s="905" t="s">
        <v>91</v>
      </c>
      <c r="D732" s="4515">
        <v>4500179381</v>
      </c>
      <c r="E732" s="905">
        <v>60253166</v>
      </c>
      <c r="F732" s="4515" t="s">
        <v>5050</v>
      </c>
      <c r="G732" s="905" t="s">
        <v>2627</v>
      </c>
      <c r="H732" s="906" t="s">
        <v>2591</v>
      </c>
      <c r="I732" s="906">
        <v>3000</v>
      </c>
      <c r="J732" s="906">
        <v>0</v>
      </c>
      <c r="K732" s="906">
        <v>24</v>
      </c>
      <c r="L732" s="906">
        <f t="shared" si="316"/>
        <v>125</v>
      </c>
      <c r="M732" s="4516">
        <v>45968</v>
      </c>
      <c r="N732" s="4516">
        <v>45964</v>
      </c>
      <c r="O732" s="4129"/>
      <c r="P732" s="4527" t="s">
        <v>82</v>
      </c>
      <c r="Q732" s="4527"/>
      <c r="R732" s="4159"/>
      <c r="S732" s="4159"/>
      <c r="T732" s="4159"/>
      <c r="U732" s="3645" t="s">
        <v>2126</v>
      </c>
      <c r="V732" s="3738" t="s">
        <v>2050</v>
      </c>
      <c r="W732" s="3739"/>
      <c r="X732" s="3739" t="s">
        <v>98</v>
      </c>
      <c r="Y732" s="3739" t="s">
        <v>2127</v>
      </c>
      <c r="Z732" s="906"/>
      <c r="AA732" s="3625" t="s">
        <v>1621</v>
      </c>
      <c r="AB732" s="906" t="s">
        <v>393</v>
      </c>
      <c r="AC732" s="906">
        <v>1.2487</v>
      </c>
      <c r="AD732" s="906">
        <f t="shared" si="340"/>
        <v>3746.1</v>
      </c>
      <c r="AE732" s="4148" t="s">
        <v>5051</v>
      </c>
      <c r="AF732" s="905" t="s">
        <v>2627</v>
      </c>
      <c r="AG732" s="4148" t="s">
        <v>416</v>
      </c>
      <c r="AH732" s="4405"/>
      <c r="AI732" s="906"/>
      <c r="AJ732" s="906">
        <f t="shared" si="341"/>
        <v>3000</v>
      </c>
      <c r="AK732" s="4405"/>
      <c r="AL732" s="905"/>
      <c r="AM732" s="905"/>
      <c r="AN732" s="906"/>
      <c r="AO732" s="906"/>
      <c r="AP732" s="906">
        <f t="shared" si="327"/>
        <v>3000</v>
      </c>
      <c r="AQ732" s="4382"/>
      <c r="AR732" s="4417"/>
      <c r="AS732" s="4382">
        <f t="shared" si="342"/>
        <v>3000</v>
      </c>
      <c r="AT732" s="4417"/>
      <c r="AU732" s="4382"/>
      <c r="AV732" s="4382"/>
      <c r="AW732" s="4382"/>
      <c r="AX732" s="4382"/>
      <c r="AY732" s="4382"/>
      <c r="AZ732" s="4382"/>
      <c r="BA732" s="4382"/>
      <c r="BB732" s="4382"/>
      <c r="BC732" s="4382"/>
      <c r="BD732" s="4382"/>
      <c r="BE732" s="4382"/>
      <c r="BF732" s="4382" t="s">
        <v>89</v>
      </c>
      <c r="BG732" s="4382"/>
      <c r="BH732" s="4382">
        <f t="shared" si="330"/>
        <v>500</v>
      </c>
      <c r="BI732" s="4382">
        <f t="shared" si="331"/>
        <v>500</v>
      </c>
      <c r="BJ732" s="4382">
        <f t="shared" si="332"/>
        <v>500</v>
      </c>
      <c r="BK732" s="4382">
        <f t="shared" si="333"/>
        <v>500</v>
      </c>
      <c r="BL732" s="4382">
        <f t="shared" si="334"/>
        <v>500</v>
      </c>
      <c r="BM732" s="4382">
        <f t="shared" si="335"/>
        <v>400</v>
      </c>
      <c r="BN732" s="4382">
        <f t="shared" si="336"/>
        <v>100</v>
      </c>
      <c r="BO732" s="4417"/>
      <c r="BP732" s="4417"/>
      <c r="BQ732" s="4417"/>
      <c r="BR732" s="4417"/>
      <c r="BS732" s="4417"/>
      <c r="BT732" s="4472"/>
      <c r="BU732" s="4418"/>
      <c r="BV732" s="4529">
        <f t="shared" si="313"/>
        <v>3000</v>
      </c>
      <c r="BW732" s="4530">
        <f t="shared" si="326"/>
        <v>0</v>
      </c>
      <c r="BX732" s="4409"/>
      <c r="BY732" s="4409"/>
      <c r="BZ732" s="4409"/>
      <c r="CA732" s="4521"/>
      <c r="CC732" s="4522"/>
      <c r="CD732" s="4521"/>
    </row>
    <row r="733" s="4318" customFormat="1" ht="50" customHeight="1" spans="1:82">
      <c r="A733" s="4513">
        <v>45910</v>
      </c>
      <c r="B733" s="4514" t="s">
        <v>2005</v>
      </c>
      <c r="C733" s="905" t="s">
        <v>673</v>
      </c>
      <c r="D733" s="4515">
        <v>4500179209</v>
      </c>
      <c r="E733" s="905">
        <v>5000001996</v>
      </c>
      <c r="F733" s="4515" t="s">
        <v>5052</v>
      </c>
      <c r="G733" s="905" t="s">
        <v>2590</v>
      </c>
      <c r="H733" s="905" t="s">
        <v>2591</v>
      </c>
      <c r="I733" s="906">
        <v>18000</v>
      </c>
      <c r="J733" s="906">
        <v>0</v>
      </c>
      <c r="K733" s="906">
        <v>6</v>
      </c>
      <c r="L733" s="906">
        <f t="shared" si="316"/>
        <v>3000</v>
      </c>
      <c r="M733" s="4516">
        <v>45968</v>
      </c>
      <c r="N733" s="4516">
        <v>45964</v>
      </c>
      <c r="O733" s="4129"/>
      <c r="P733" s="4527" t="s">
        <v>82</v>
      </c>
      <c r="Q733" s="4527"/>
      <c r="R733" s="4159"/>
      <c r="S733" s="4159"/>
      <c r="T733" s="4159"/>
      <c r="U733" s="4148" t="s">
        <v>4991</v>
      </c>
      <c r="V733" s="3738" t="s">
        <v>5053</v>
      </c>
      <c r="W733" s="3739"/>
      <c r="X733" s="3739" t="s">
        <v>5054</v>
      </c>
      <c r="Y733" s="3739" t="s">
        <v>2123</v>
      </c>
      <c r="Z733" s="906"/>
      <c r="AA733" s="3625" t="s">
        <v>5055</v>
      </c>
      <c r="AB733" s="906" t="s">
        <v>993</v>
      </c>
      <c r="AC733" s="906">
        <v>2.0569</v>
      </c>
      <c r="AD733" s="906">
        <f t="shared" si="340"/>
        <v>37024.2</v>
      </c>
      <c r="AE733" s="4148" t="s">
        <v>5056</v>
      </c>
      <c r="AF733" s="905" t="s">
        <v>2663</v>
      </c>
      <c r="AG733" s="4148" t="s">
        <v>416</v>
      </c>
      <c r="AH733" s="4405"/>
      <c r="AI733" s="4517"/>
      <c r="AJ733" s="4517">
        <f t="shared" si="341"/>
        <v>18000</v>
      </c>
      <c r="AK733" s="4405"/>
      <c r="AL733" s="905"/>
      <c r="AM733" s="905"/>
      <c r="AN733" s="906"/>
      <c r="AO733" s="906"/>
      <c r="AP733" s="906"/>
      <c r="AQ733" s="4382">
        <f>I733</f>
        <v>18000</v>
      </c>
      <c r="AR733" s="4417"/>
      <c r="AS733" s="4382">
        <f t="shared" si="342"/>
        <v>18000</v>
      </c>
      <c r="AT733" s="4417"/>
      <c r="AU733" s="4382"/>
      <c r="AV733" s="4382"/>
      <c r="AW733" s="4382">
        <f>I733/6</f>
        <v>3000</v>
      </c>
      <c r="AX733" s="4382"/>
      <c r="AY733" s="4382"/>
      <c r="AZ733" s="4382"/>
      <c r="BA733" s="4382"/>
      <c r="BB733" s="4382"/>
      <c r="BC733" s="4382"/>
      <c r="BD733" s="4382"/>
      <c r="BE733" s="4382"/>
      <c r="BF733" s="4382" t="s">
        <v>89</v>
      </c>
      <c r="BG733" s="4382"/>
      <c r="BH733" s="4382">
        <f t="shared" si="330"/>
        <v>3000</v>
      </c>
      <c r="BI733" s="4382">
        <f t="shared" si="331"/>
        <v>3000</v>
      </c>
      <c r="BJ733" s="4382">
        <f t="shared" si="332"/>
        <v>3000</v>
      </c>
      <c r="BK733" s="4382">
        <f t="shared" si="333"/>
        <v>3000</v>
      </c>
      <c r="BL733" s="4382">
        <f t="shared" si="334"/>
        <v>3000</v>
      </c>
      <c r="BM733" s="4382">
        <f t="shared" si="335"/>
        <v>2400</v>
      </c>
      <c r="BN733" s="4382">
        <f t="shared" si="336"/>
        <v>600</v>
      </c>
      <c r="BO733" s="4417"/>
      <c r="BP733" s="4417"/>
      <c r="BQ733" s="4417"/>
      <c r="BR733" s="4417"/>
      <c r="BS733" s="4417"/>
      <c r="BT733" s="4472"/>
      <c r="BU733" s="4418"/>
      <c r="BV733" s="4529">
        <f t="shared" si="313"/>
        <v>18000</v>
      </c>
      <c r="BW733" s="4530">
        <f t="shared" si="326"/>
        <v>0</v>
      </c>
      <c r="BX733" s="4409"/>
      <c r="BY733" s="4409"/>
      <c r="BZ733" s="4409"/>
      <c r="CA733" s="4521"/>
      <c r="CC733" s="4522"/>
      <c r="CD733" s="4521"/>
    </row>
    <row r="734" s="4312" customFormat="1" ht="50" customHeight="1" spans="1:82">
      <c r="A734" s="4513">
        <v>45926</v>
      </c>
      <c r="B734" s="4514" t="s">
        <v>2005</v>
      </c>
      <c r="C734" s="905" t="s">
        <v>673</v>
      </c>
      <c r="D734" s="4515">
        <v>4500179209</v>
      </c>
      <c r="E734" s="905">
        <v>5000001996</v>
      </c>
      <c r="F734" s="4515" t="s">
        <v>5057</v>
      </c>
      <c r="G734" s="905" t="s">
        <v>2590</v>
      </c>
      <c r="H734" s="905" t="s">
        <v>2591</v>
      </c>
      <c r="I734" s="906">
        <v>240</v>
      </c>
      <c r="J734" s="906">
        <v>0</v>
      </c>
      <c r="K734" s="906">
        <v>6</v>
      </c>
      <c r="L734" s="906">
        <f t="shared" si="316"/>
        <v>40</v>
      </c>
      <c r="M734" s="4516">
        <v>45968</v>
      </c>
      <c r="N734" s="4516">
        <v>45964</v>
      </c>
      <c r="O734" s="4129"/>
      <c r="P734" s="4527" t="s">
        <v>82</v>
      </c>
      <c r="Q734" s="4527"/>
      <c r="R734" s="4159"/>
      <c r="S734" s="4159"/>
      <c r="T734" s="4159"/>
      <c r="U734" s="4148" t="s">
        <v>4991</v>
      </c>
      <c r="V734" s="3739" t="s">
        <v>5053</v>
      </c>
      <c r="W734" s="3739"/>
      <c r="X734" s="3739" t="s">
        <v>5058</v>
      </c>
      <c r="Y734" s="3739" t="s">
        <v>2123</v>
      </c>
      <c r="Z734" s="906"/>
      <c r="AA734" s="3625" t="s">
        <v>5055</v>
      </c>
      <c r="AB734" s="906" t="s">
        <v>993</v>
      </c>
      <c r="AC734" s="906">
        <v>2.0569</v>
      </c>
      <c r="AD734" s="906">
        <f t="shared" si="340"/>
        <v>493.656</v>
      </c>
      <c r="AE734" s="4148" t="s">
        <v>5056</v>
      </c>
      <c r="AF734" s="905" t="s">
        <v>2663</v>
      </c>
      <c r="AG734" s="4148" t="s">
        <v>416</v>
      </c>
      <c r="AH734" s="4422"/>
      <c r="AI734" s="4517"/>
      <c r="AJ734" s="4517">
        <f t="shared" si="341"/>
        <v>240</v>
      </c>
      <c r="AK734" s="4422"/>
      <c r="AL734" s="905"/>
      <c r="AM734" s="905"/>
      <c r="AN734" s="906"/>
      <c r="AO734" s="906"/>
      <c r="AP734" s="906"/>
      <c r="AQ734" s="4382">
        <f>I734</f>
        <v>240</v>
      </c>
      <c r="AR734" s="4417"/>
      <c r="AS734" s="4382">
        <f t="shared" si="342"/>
        <v>240</v>
      </c>
      <c r="AT734" s="907"/>
      <c r="AU734" s="4382"/>
      <c r="AV734" s="4382"/>
      <c r="AW734" s="4382">
        <f>I734/6</f>
        <v>40</v>
      </c>
      <c r="AX734" s="4382"/>
      <c r="AY734" s="4382"/>
      <c r="AZ734" s="4382"/>
      <c r="BA734" s="4382"/>
      <c r="BB734" s="4382"/>
      <c r="BC734" s="4382"/>
      <c r="BD734" s="4382"/>
      <c r="BE734" s="4382"/>
      <c r="BF734" s="4382" t="s">
        <v>682</v>
      </c>
      <c r="BG734" s="4382"/>
      <c r="BH734" s="4382">
        <f t="shared" si="330"/>
        <v>40</v>
      </c>
      <c r="BI734" s="4382">
        <f t="shared" si="331"/>
        <v>40</v>
      </c>
      <c r="BJ734" s="4382">
        <f t="shared" si="332"/>
        <v>40</v>
      </c>
      <c r="BK734" s="4382">
        <f t="shared" si="333"/>
        <v>40</v>
      </c>
      <c r="BL734" s="4382">
        <f t="shared" si="334"/>
        <v>40</v>
      </c>
      <c r="BM734" s="4382">
        <f t="shared" si="335"/>
        <v>32</v>
      </c>
      <c r="BN734" s="4382">
        <f t="shared" si="336"/>
        <v>8</v>
      </c>
      <c r="BO734" s="907"/>
      <c r="BP734" s="907"/>
      <c r="BQ734" s="907"/>
      <c r="BR734" s="907"/>
      <c r="BS734" s="907"/>
      <c r="BT734" s="910"/>
      <c r="BU734" s="911"/>
      <c r="BV734" s="4529">
        <f t="shared" si="313"/>
        <v>240</v>
      </c>
      <c r="BW734" s="4530">
        <f t="shared" si="326"/>
        <v>0</v>
      </c>
      <c r="BX734" s="4409"/>
      <c r="BY734" s="4409"/>
      <c r="BZ734" s="4409"/>
      <c r="CA734" s="4521"/>
      <c r="CC734" s="4522"/>
      <c r="CD734" s="4521"/>
    </row>
    <row r="735" s="4318" customFormat="1" ht="50" customHeight="1" spans="1:82">
      <c r="A735" s="4513">
        <v>45926</v>
      </c>
      <c r="B735" s="4514" t="s">
        <v>2005</v>
      </c>
      <c r="C735" s="905" t="s">
        <v>673</v>
      </c>
      <c r="D735" s="4515">
        <v>4500179209</v>
      </c>
      <c r="E735" s="905">
        <v>5000001996</v>
      </c>
      <c r="F735" s="4515" t="s">
        <v>5059</v>
      </c>
      <c r="G735" s="905" t="s">
        <v>2590</v>
      </c>
      <c r="H735" s="905" t="s">
        <v>2591</v>
      </c>
      <c r="I735" s="906">
        <v>1200</v>
      </c>
      <c r="J735" s="906">
        <v>0</v>
      </c>
      <c r="K735" s="906">
        <v>6</v>
      </c>
      <c r="L735" s="906">
        <f t="shared" si="316"/>
        <v>200</v>
      </c>
      <c r="M735" s="4516">
        <v>45968</v>
      </c>
      <c r="N735" s="4516">
        <v>45964</v>
      </c>
      <c r="O735" s="4129"/>
      <c r="P735" s="4527" t="s">
        <v>82</v>
      </c>
      <c r="Q735" s="4527"/>
      <c r="R735" s="4159"/>
      <c r="S735" s="4159"/>
      <c r="T735" s="4159"/>
      <c r="U735" s="4148" t="s">
        <v>4991</v>
      </c>
      <c r="V735" s="3738" t="s">
        <v>5053</v>
      </c>
      <c r="W735" s="3739"/>
      <c r="X735" s="3739" t="s">
        <v>5058</v>
      </c>
      <c r="Y735" s="3739" t="s">
        <v>2123</v>
      </c>
      <c r="Z735" s="906"/>
      <c r="AA735" s="3625" t="s">
        <v>5055</v>
      </c>
      <c r="AB735" s="906" t="s">
        <v>993</v>
      </c>
      <c r="AC735" s="906">
        <v>2.0569</v>
      </c>
      <c r="AD735" s="906">
        <f t="shared" si="340"/>
        <v>2468.28</v>
      </c>
      <c r="AE735" s="4148" t="s">
        <v>5056</v>
      </c>
      <c r="AF735" s="905" t="s">
        <v>2663</v>
      </c>
      <c r="AG735" s="4148" t="s">
        <v>416</v>
      </c>
      <c r="AH735" s="4422"/>
      <c r="AI735" s="4517"/>
      <c r="AJ735" s="4517">
        <f t="shared" si="341"/>
        <v>1200</v>
      </c>
      <c r="AK735" s="4422"/>
      <c r="AL735" s="905"/>
      <c r="AM735" s="905"/>
      <c r="AN735" s="906"/>
      <c r="AO735" s="906"/>
      <c r="AP735" s="906"/>
      <c r="AQ735" s="4382">
        <f>I735</f>
        <v>1200</v>
      </c>
      <c r="AR735" s="4417"/>
      <c r="AS735" s="4382">
        <f t="shared" si="342"/>
        <v>1200</v>
      </c>
      <c r="AT735" s="907"/>
      <c r="AU735" s="4382"/>
      <c r="AV735" s="4382"/>
      <c r="AW735" s="4382">
        <f>I735/6</f>
        <v>200</v>
      </c>
      <c r="AX735" s="4382"/>
      <c r="AY735" s="4382"/>
      <c r="AZ735" s="4382"/>
      <c r="BA735" s="4382"/>
      <c r="BB735" s="4382"/>
      <c r="BC735" s="4382"/>
      <c r="BD735" s="4382"/>
      <c r="BE735" s="4382"/>
      <c r="BF735" s="4382" t="s">
        <v>682</v>
      </c>
      <c r="BG735" s="4382"/>
      <c r="BH735" s="4382">
        <f t="shared" si="330"/>
        <v>200</v>
      </c>
      <c r="BI735" s="4382">
        <f t="shared" si="331"/>
        <v>200</v>
      </c>
      <c r="BJ735" s="4382">
        <f t="shared" si="332"/>
        <v>200</v>
      </c>
      <c r="BK735" s="4382">
        <f t="shared" si="333"/>
        <v>200</v>
      </c>
      <c r="BL735" s="4382">
        <f t="shared" si="334"/>
        <v>200</v>
      </c>
      <c r="BM735" s="4382">
        <f t="shared" si="335"/>
        <v>160</v>
      </c>
      <c r="BN735" s="4382">
        <f t="shared" si="336"/>
        <v>40</v>
      </c>
      <c r="BO735" s="907"/>
      <c r="BP735" s="907"/>
      <c r="BQ735" s="907"/>
      <c r="BR735" s="907"/>
      <c r="BS735" s="907"/>
      <c r="BT735" s="910"/>
      <c r="BU735" s="911"/>
      <c r="BV735" s="4529">
        <f t="shared" si="313"/>
        <v>1200</v>
      </c>
      <c r="BW735" s="4530">
        <f t="shared" si="326"/>
        <v>0</v>
      </c>
      <c r="BX735" s="4409"/>
      <c r="BY735" s="4409"/>
      <c r="BZ735" s="4409"/>
      <c r="CA735" s="4521"/>
      <c r="CC735" s="4522"/>
      <c r="CD735" s="4521"/>
    </row>
    <row r="736" s="4025" customFormat="1" ht="50" customHeight="1" spans="1:82">
      <c r="A736" s="3688">
        <v>45930</v>
      </c>
      <c r="B736" s="3689" t="s">
        <v>3495</v>
      </c>
      <c r="C736" s="3664" t="s">
        <v>91</v>
      </c>
      <c r="D736" s="3690">
        <v>4500181139</v>
      </c>
      <c r="E736" s="5456" t="s">
        <v>5060</v>
      </c>
      <c r="F736" s="3690" t="s">
        <v>5061</v>
      </c>
      <c r="G736" s="3664" t="s">
        <v>3068</v>
      </c>
      <c r="H736" s="3664" t="s">
        <v>3069</v>
      </c>
      <c r="I736" s="3691">
        <v>768</v>
      </c>
      <c r="J736" s="3691">
        <v>0</v>
      </c>
      <c r="K736" s="3691">
        <v>384</v>
      </c>
      <c r="L736" s="3691">
        <f t="shared" si="316"/>
        <v>2</v>
      </c>
      <c r="M736" s="3659">
        <v>45971</v>
      </c>
      <c r="N736" s="3659">
        <v>45967</v>
      </c>
      <c r="O736" s="3664" t="s">
        <v>5062</v>
      </c>
      <c r="P736" s="4527" t="s">
        <v>82</v>
      </c>
      <c r="Q736" s="4527"/>
      <c r="R736" s="4159"/>
      <c r="S736" s="4159"/>
      <c r="T736" s="4159"/>
      <c r="U736" s="3645" t="s">
        <v>5063</v>
      </c>
      <c r="V736" s="3649" t="s">
        <v>4934</v>
      </c>
      <c r="W736" s="3657"/>
      <c r="X736" s="3657" t="s">
        <v>4710</v>
      </c>
      <c r="Y736" s="3657" t="s">
        <v>5064</v>
      </c>
      <c r="Z736" s="3691"/>
      <c r="AA736" s="3620" t="s">
        <v>5065</v>
      </c>
      <c r="AB736" s="3691" t="s">
        <v>3076</v>
      </c>
      <c r="AC736" s="4087">
        <v>531.79</v>
      </c>
      <c r="AD736" s="3691">
        <f>AC736*L736</f>
        <v>1063.58</v>
      </c>
      <c r="AE736" s="3645" t="s">
        <v>5066</v>
      </c>
      <c r="AF736" s="3664" t="s">
        <v>3078</v>
      </c>
      <c r="AG736" s="3645" t="s">
        <v>416</v>
      </c>
      <c r="AH736" s="4448"/>
      <c r="AI736" s="4082"/>
      <c r="AJ736" s="4082">
        <f t="shared" si="341"/>
        <v>768</v>
      </c>
      <c r="AK736" s="4448"/>
      <c r="AL736" s="3664"/>
      <c r="AM736" s="3664"/>
      <c r="AN736" s="3691"/>
      <c r="AO736" s="3691"/>
      <c r="AP736" s="3691">
        <f t="shared" ref="AP736:AP761" si="343">I736</f>
        <v>768</v>
      </c>
      <c r="AQ736" s="4089"/>
      <c r="AR736" s="4411"/>
      <c r="AS736" s="4089">
        <f t="shared" si="342"/>
        <v>768</v>
      </c>
      <c r="AT736" s="4411"/>
      <c r="AU736" s="4089"/>
      <c r="AV736" s="4089"/>
      <c r="AW736" s="4089"/>
      <c r="AX736" s="4089"/>
      <c r="AY736" s="4089"/>
      <c r="AZ736" s="4089"/>
      <c r="BA736" s="4089"/>
      <c r="BB736" s="4089">
        <f>I736/2</f>
        <v>384</v>
      </c>
      <c r="BC736" s="4089"/>
      <c r="BD736" s="4089"/>
      <c r="BE736" s="4089"/>
      <c r="BF736" s="4089" t="s">
        <v>89</v>
      </c>
      <c r="BG736" s="4089"/>
      <c r="BH736" s="4495">
        <f t="shared" si="330"/>
        <v>128</v>
      </c>
      <c r="BI736" s="4495">
        <f t="shared" si="331"/>
        <v>128</v>
      </c>
      <c r="BJ736" s="4495">
        <f t="shared" si="332"/>
        <v>128</v>
      </c>
      <c r="BK736" s="4495">
        <f t="shared" si="333"/>
        <v>128</v>
      </c>
      <c r="BL736" s="4495">
        <f t="shared" si="334"/>
        <v>128</v>
      </c>
      <c r="BM736" s="4495">
        <f t="shared" si="335"/>
        <v>102.4</v>
      </c>
      <c r="BN736" s="4495">
        <f t="shared" si="336"/>
        <v>25.6</v>
      </c>
      <c r="BO736" s="4411"/>
      <c r="BP736" s="4411"/>
      <c r="BQ736" s="4411"/>
      <c r="BR736" s="4411"/>
      <c r="BS736" s="4411"/>
      <c r="BT736" s="4453"/>
      <c r="BU736" s="4454"/>
      <c r="BV736" s="4496">
        <f t="shared" si="313"/>
        <v>768</v>
      </c>
      <c r="BW736" s="4497">
        <f t="shared" si="326"/>
        <v>0</v>
      </c>
      <c r="BX736" s="4387"/>
      <c r="BY736" s="4387"/>
      <c r="BZ736" s="4387"/>
      <c r="CA736" s="4391"/>
      <c r="CC736" s="4392"/>
      <c r="CD736" s="4391"/>
    </row>
    <row r="737" s="4025" customFormat="1" ht="50" customHeight="1" spans="1:82">
      <c r="A737" s="3688">
        <v>45930</v>
      </c>
      <c r="B737" s="3689" t="s">
        <v>3495</v>
      </c>
      <c r="C737" s="3664" t="s">
        <v>91</v>
      </c>
      <c r="D737" s="3690">
        <v>4500181139</v>
      </c>
      <c r="E737" s="5456" t="s">
        <v>5067</v>
      </c>
      <c r="F737" s="3690" t="s">
        <v>5068</v>
      </c>
      <c r="G737" s="3664" t="s">
        <v>3068</v>
      </c>
      <c r="H737" s="3664" t="s">
        <v>3069</v>
      </c>
      <c r="I737" s="3691">
        <v>1152</v>
      </c>
      <c r="J737" s="3691">
        <v>0</v>
      </c>
      <c r="K737" s="3691">
        <v>384</v>
      </c>
      <c r="L737" s="3691">
        <f t="shared" si="316"/>
        <v>3</v>
      </c>
      <c r="M737" s="3659">
        <v>45971</v>
      </c>
      <c r="N737" s="3659">
        <v>45967</v>
      </c>
      <c r="O737" s="3664" t="s">
        <v>5062</v>
      </c>
      <c r="P737" s="4527" t="s">
        <v>82</v>
      </c>
      <c r="Q737" s="4527"/>
      <c r="R737" s="4159"/>
      <c r="S737" s="4159"/>
      <c r="T737" s="4159"/>
      <c r="U737" s="3645" t="s">
        <v>5069</v>
      </c>
      <c r="V737" s="3649" t="s">
        <v>4934</v>
      </c>
      <c r="W737" s="3657"/>
      <c r="X737" s="3657" t="s">
        <v>4710</v>
      </c>
      <c r="Y737" s="3657" t="s">
        <v>5064</v>
      </c>
      <c r="Z737" s="3691"/>
      <c r="AA737" s="3620" t="s">
        <v>5065</v>
      </c>
      <c r="AB737" s="3691" t="s">
        <v>3076</v>
      </c>
      <c r="AC737" s="4087">
        <v>531.79</v>
      </c>
      <c r="AD737" s="3691">
        <f>AC737*L737</f>
        <v>1595.37</v>
      </c>
      <c r="AE737" s="3645" t="s">
        <v>5070</v>
      </c>
      <c r="AF737" s="3664" t="s">
        <v>3078</v>
      </c>
      <c r="AG737" s="3645" t="s">
        <v>416</v>
      </c>
      <c r="AH737" s="4448"/>
      <c r="AI737" s="4082"/>
      <c r="AJ737" s="4082">
        <f t="shared" si="341"/>
        <v>1152</v>
      </c>
      <c r="AK737" s="4448"/>
      <c r="AL737" s="3664"/>
      <c r="AM737" s="3664"/>
      <c r="AN737" s="3691"/>
      <c r="AO737" s="3691"/>
      <c r="AP737" s="3691">
        <f t="shared" si="343"/>
        <v>1152</v>
      </c>
      <c r="AQ737" s="4089"/>
      <c r="AR737" s="4411"/>
      <c r="AS737" s="4089">
        <f t="shared" si="342"/>
        <v>1152</v>
      </c>
      <c r="AT737" s="4411"/>
      <c r="AU737" s="4089"/>
      <c r="AV737" s="4089"/>
      <c r="AW737" s="4089"/>
      <c r="AX737" s="4089"/>
      <c r="AY737" s="4089"/>
      <c r="AZ737" s="4089"/>
      <c r="BA737" s="4089"/>
      <c r="BB737" s="4089">
        <f>I737/2</f>
        <v>576</v>
      </c>
      <c r="BC737" s="4089"/>
      <c r="BD737" s="4089"/>
      <c r="BE737" s="4089"/>
      <c r="BF737" s="4089" t="s">
        <v>89</v>
      </c>
      <c r="BG737" s="4089"/>
      <c r="BH737" s="4495">
        <f t="shared" si="330"/>
        <v>192</v>
      </c>
      <c r="BI737" s="4495">
        <f t="shared" si="331"/>
        <v>192</v>
      </c>
      <c r="BJ737" s="4495">
        <f t="shared" si="332"/>
        <v>192</v>
      </c>
      <c r="BK737" s="4495">
        <f t="shared" si="333"/>
        <v>192</v>
      </c>
      <c r="BL737" s="4495">
        <f t="shared" si="334"/>
        <v>192</v>
      </c>
      <c r="BM737" s="4495">
        <f t="shared" si="335"/>
        <v>153.6</v>
      </c>
      <c r="BN737" s="4495">
        <f t="shared" si="336"/>
        <v>38.4</v>
      </c>
      <c r="BO737" s="4411"/>
      <c r="BP737" s="4411"/>
      <c r="BQ737" s="4411"/>
      <c r="BR737" s="4411"/>
      <c r="BS737" s="4411"/>
      <c r="BT737" s="4453"/>
      <c r="BU737" s="4454"/>
      <c r="BV737" s="4496">
        <f t="shared" si="313"/>
        <v>1152</v>
      </c>
      <c r="BW737" s="4497">
        <f t="shared" si="326"/>
        <v>0</v>
      </c>
      <c r="BX737" s="4387"/>
      <c r="BY737" s="4387"/>
      <c r="BZ737" s="4387"/>
      <c r="CA737" s="4391"/>
      <c r="CC737" s="4392"/>
      <c r="CD737" s="4391"/>
    </row>
    <row r="738" s="4312" customFormat="1" ht="50" customHeight="1" spans="1:82">
      <c r="A738" s="3688">
        <v>45930</v>
      </c>
      <c r="B738" s="3689" t="s">
        <v>3495</v>
      </c>
      <c r="C738" s="3664" t="s">
        <v>91</v>
      </c>
      <c r="D738" s="3690">
        <v>4500181139</v>
      </c>
      <c r="E738" s="5456" t="s">
        <v>5071</v>
      </c>
      <c r="F738" s="3690" t="s">
        <v>5072</v>
      </c>
      <c r="G738" s="3664" t="s">
        <v>3068</v>
      </c>
      <c r="H738" s="3664" t="s">
        <v>3069</v>
      </c>
      <c r="I738" s="3691">
        <v>1152</v>
      </c>
      <c r="J738" s="3691">
        <v>0</v>
      </c>
      <c r="K738" s="3691">
        <v>384</v>
      </c>
      <c r="L738" s="3691">
        <f t="shared" si="316"/>
        <v>3</v>
      </c>
      <c r="M738" s="3659">
        <v>45971</v>
      </c>
      <c r="N738" s="3659">
        <v>45967</v>
      </c>
      <c r="O738" s="3664" t="s">
        <v>5062</v>
      </c>
      <c r="P738" s="4527" t="s">
        <v>82</v>
      </c>
      <c r="Q738" s="4527"/>
      <c r="R738" s="4159"/>
      <c r="S738" s="4159"/>
      <c r="T738" s="4159"/>
      <c r="U738" s="3645" t="s">
        <v>2126</v>
      </c>
      <c r="V738" s="3649" t="s">
        <v>4934</v>
      </c>
      <c r="W738" s="3657"/>
      <c r="X738" s="3657" t="s">
        <v>4710</v>
      </c>
      <c r="Y738" s="3657" t="s">
        <v>5064</v>
      </c>
      <c r="Z738" s="3691"/>
      <c r="AA738" s="3620" t="s">
        <v>5065</v>
      </c>
      <c r="AB738" s="3691" t="s">
        <v>3076</v>
      </c>
      <c r="AC738" s="4087">
        <v>531.79</v>
      </c>
      <c r="AD738" s="3691">
        <f>AC738*L738</f>
        <v>1595.37</v>
      </c>
      <c r="AE738" s="3645" t="s">
        <v>5073</v>
      </c>
      <c r="AF738" s="3664" t="s">
        <v>3078</v>
      </c>
      <c r="AG738" s="3645" t="s">
        <v>416</v>
      </c>
      <c r="AH738" s="4448"/>
      <c r="AI738" s="4082"/>
      <c r="AJ738" s="4082">
        <f t="shared" si="341"/>
        <v>1152</v>
      </c>
      <c r="AK738" s="4448"/>
      <c r="AL738" s="3664"/>
      <c r="AM738" s="3664"/>
      <c r="AN738" s="3691"/>
      <c r="AO738" s="3691"/>
      <c r="AP738" s="3691">
        <f t="shared" si="343"/>
        <v>1152</v>
      </c>
      <c r="AQ738" s="4089"/>
      <c r="AR738" s="4411"/>
      <c r="AS738" s="4089">
        <f t="shared" si="342"/>
        <v>1152</v>
      </c>
      <c r="AT738" s="4411"/>
      <c r="AU738" s="4089"/>
      <c r="AV738" s="4089"/>
      <c r="AW738" s="4089"/>
      <c r="AX738" s="4089"/>
      <c r="AY738" s="4089"/>
      <c r="AZ738" s="4089"/>
      <c r="BA738" s="4089"/>
      <c r="BB738" s="4089">
        <f>I738/2</f>
        <v>576</v>
      </c>
      <c r="BC738" s="4089"/>
      <c r="BD738" s="4089"/>
      <c r="BE738" s="4089"/>
      <c r="BF738" s="4089" t="s">
        <v>89</v>
      </c>
      <c r="BG738" s="4089"/>
      <c r="BH738" s="4495">
        <f t="shared" si="330"/>
        <v>192</v>
      </c>
      <c r="BI738" s="4495">
        <f t="shared" si="331"/>
        <v>192</v>
      </c>
      <c r="BJ738" s="4495">
        <f t="shared" si="332"/>
        <v>192</v>
      </c>
      <c r="BK738" s="4495">
        <f t="shared" si="333"/>
        <v>192</v>
      </c>
      <c r="BL738" s="4495">
        <f t="shared" si="334"/>
        <v>192</v>
      </c>
      <c r="BM738" s="4495">
        <f t="shared" si="335"/>
        <v>153.6</v>
      </c>
      <c r="BN738" s="4495">
        <f t="shared" si="336"/>
        <v>38.4</v>
      </c>
      <c r="BO738" s="4411"/>
      <c r="BP738" s="4411"/>
      <c r="BQ738" s="4411"/>
      <c r="BR738" s="4411"/>
      <c r="BS738" s="4411"/>
      <c r="BT738" s="4453"/>
      <c r="BU738" s="4454"/>
      <c r="BV738" s="4496">
        <f t="shared" si="313"/>
        <v>1152</v>
      </c>
      <c r="BW738" s="4497">
        <f t="shared" si="326"/>
        <v>0</v>
      </c>
      <c r="BX738" s="4387"/>
      <c r="BY738" s="4387"/>
      <c r="BZ738" s="4387"/>
      <c r="CA738" s="4391"/>
      <c r="CC738" s="4392"/>
      <c r="CD738" s="4391"/>
    </row>
    <row r="739" s="4025" customFormat="1" ht="50" customHeight="1" spans="1:82">
      <c r="A739" s="3688">
        <v>45929</v>
      </c>
      <c r="B739" s="3689" t="s">
        <v>5074</v>
      </c>
      <c r="C739" s="3664" t="s">
        <v>471</v>
      </c>
      <c r="D739" s="3690">
        <v>4500180918</v>
      </c>
      <c r="E739" s="3664">
        <v>249727</v>
      </c>
      <c r="F739" s="3690" t="s">
        <v>5075</v>
      </c>
      <c r="G739" s="3664" t="s">
        <v>2700</v>
      </c>
      <c r="H739" s="3664" t="s">
        <v>2591</v>
      </c>
      <c r="I739" s="3691">
        <v>2400</v>
      </c>
      <c r="J739" s="3691">
        <v>0</v>
      </c>
      <c r="K739" s="3691">
        <v>12</v>
      </c>
      <c r="L739" s="3691">
        <f t="shared" si="316"/>
        <v>200</v>
      </c>
      <c r="M739" s="3659">
        <v>45979</v>
      </c>
      <c r="N739" s="3659">
        <v>45975</v>
      </c>
      <c r="O739" s="3664"/>
      <c r="P739" s="4527" t="s">
        <v>82</v>
      </c>
      <c r="Q739" s="4527"/>
      <c r="R739" s="4159"/>
      <c r="S739" s="4159"/>
      <c r="T739" s="4159" t="s">
        <v>321</v>
      </c>
      <c r="U739" s="3645" t="s">
        <v>5076</v>
      </c>
      <c r="V739" s="3649" t="s">
        <v>2253</v>
      </c>
      <c r="W739" s="3657"/>
      <c r="X739" s="3657" t="s">
        <v>5077</v>
      </c>
      <c r="Y739" s="3657" t="s">
        <v>5078</v>
      </c>
      <c r="Z739" s="3691"/>
      <c r="AA739" s="3620" t="s">
        <v>5079</v>
      </c>
      <c r="AB739" s="3691" t="s">
        <v>5080</v>
      </c>
      <c r="AC739" s="3691">
        <v>2.1844</v>
      </c>
      <c r="AD739" s="3691">
        <f>AC739*I739</f>
        <v>5242.56</v>
      </c>
      <c r="AE739" s="3645" t="s">
        <v>5081</v>
      </c>
      <c r="AF739" s="3664" t="s">
        <v>2871</v>
      </c>
      <c r="AG739" s="3645" t="s">
        <v>416</v>
      </c>
      <c r="AH739" s="4448"/>
      <c r="AI739" s="3691"/>
      <c r="AJ739" s="4082"/>
      <c r="AK739" s="4448"/>
      <c r="AL739" s="3664"/>
      <c r="AM739" s="4393">
        <f>I739</f>
        <v>2400</v>
      </c>
      <c r="AN739" s="3691"/>
      <c r="AO739" s="3691"/>
      <c r="AP739" s="4082">
        <f t="shared" si="343"/>
        <v>2400</v>
      </c>
      <c r="AQ739" s="4089"/>
      <c r="AR739" s="4411"/>
      <c r="AS739" s="4495"/>
      <c r="AT739" s="4411"/>
      <c r="AU739" s="4089">
        <f>I739</f>
        <v>2400</v>
      </c>
      <c r="AV739" s="4089"/>
      <c r="AW739" s="4495">
        <f>I739/6</f>
        <v>400</v>
      </c>
      <c r="AX739" s="4089"/>
      <c r="AY739" s="4089"/>
      <c r="AZ739" s="4089"/>
      <c r="BA739" s="4089"/>
      <c r="BB739" s="4089"/>
      <c r="BC739" s="4089"/>
      <c r="BD739" s="4089"/>
      <c r="BE739" s="4089"/>
      <c r="BF739" s="4089" t="s">
        <v>682</v>
      </c>
      <c r="BG739" s="4089"/>
      <c r="BH739" s="4089">
        <f t="shared" si="330"/>
        <v>400</v>
      </c>
      <c r="BI739" s="4089">
        <f t="shared" si="331"/>
        <v>400</v>
      </c>
      <c r="BJ739" s="4089">
        <f t="shared" si="332"/>
        <v>400</v>
      </c>
      <c r="BK739" s="4089">
        <f t="shared" si="333"/>
        <v>400</v>
      </c>
      <c r="BL739" s="4089">
        <f t="shared" si="334"/>
        <v>400</v>
      </c>
      <c r="BM739" s="4089">
        <f t="shared" si="335"/>
        <v>320</v>
      </c>
      <c r="BN739" s="4089">
        <f t="shared" si="336"/>
        <v>80</v>
      </c>
      <c r="BO739" s="4411"/>
      <c r="BP739" s="4411"/>
      <c r="BQ739" s="4411"/>
      <c r="BR739" s="4411"/>
      <c r="BS739" s="4411"/>
      <c r="BT739" s="4453"/>
      <c r="BU739" s="4454"/>
      <c r="BV739" s="4385">
        <f t="shared" si="313"/>
        <v>2400</v>
      </c>
      <c r="BW739" s="4386">
        <f t="shared" si="326"/>
        <v>0</v>
      </c>
      <c r="BX739" s="4387"/>
      <c r="BY739" s="4541"/>
      <c r="BZ739" s="4541"/>
      <c r="CA739" s="4391"/>
      <c r="CC739" s="4392"/>
      <c r="CD739" s="4391"/>
    </row>
    <row r="740" s="4318" customFormat="1" ht="50" customHeight="1" spans="1:82">
      <c r="A740" s="4513">
        <v>45912</v>
      </c>
      <c r="B740" s="4514" t="s">
        <v>980</v>
      </c>
      <c r="C740" s="905" t="s">
        <v>351</v>
      </c>
      <c r="D740" s="4515">
        <v>4500179226</v>
      </c>
      <c r="E740" s="5459" t="s">
        <v>5082</v>
      </c>
      <c r="F740" s="4515" t="s">
        <v>5083</v>
      </c>
      <c r="G740" s="905" t="s">
        <v>2627</v>
      </c>
      <c r="H740" s="906" t="s">
        <v>2591</v>
      </c>
      <c r="I740" s="906">
        <v>432</v>
      </c>
      <c r="J740" s="906">
        <v>0</v>
      </c>
      <c r="K740" s="906">
        <v>24</v>
      </c>
      <c r="L740" s="906">
        <f t="shared" si="316"/>
        <v>18</v>
      </c>
      <c r="M740" s="4516">
        <v>45979</v>
      </c>
      <c r="N740" s="4542">
        <v>45975</v>
      </c>
      <c r="O740" s="4129"/>
      <c r="P740" s="4527" t="s">
        <v>82</v>
      </c>
      <c r="Q740" s="4527"/>
      <c r="R740" s="4159"/>
      <c r="S740" s="4159"/>
      <c r="T740" s="4159"/>
      <c r="U740" s="4148" t="s">
        <v>5063</v>
      </c>
      <c r="V740" s="3738" t="s">
        <v>2050</v>
      </c>
      <c r="W740" s="3739"/>
      <c r="X740" s="3739" t="s">
        <v>5084</v>
      </c>
      <c r="Y740" s="3739"/>
      <c r="Z740" s="906"/>
      <c r="AA740" s="3667" t="s">
        <v>5085</v>
      </c>
      <c r="AB740" s="906" t="s">
        <v>357</v>
      </c>
      <c r="AC740" s="906">
        <v>2.0891</v>
      </c>
      <c r="AD740" s="906">
        <f>AC740*I740</f>
        <v>902.4912</v>
      </c>
      <c r="AE740" s="4148" t="s">
        <v>5086</v>
      </c>
      <c r="AF740" s="905" t="s">
        <v>2627</v>
      </c>
      <c r="AG740" s="4148" t="s">
        <v>416</v>
      </c>
      <c r="AH740" s="4422"/>
      <c r="AI740" s="906"/>
      <c r="AJ740" s="906">
        <f t="shared" ref="AJ740:AJ747" si="344">I740</f>
        <v>432</v>
      </c>
      <c r="AK740" s="4422"/>
      <c r="AL740" s="905"/>
      <c r="AM740" s="905"/>
      <c r="AN740" s="906"/>
      <c r="AO740" s="906"/>
      <c r="AP740" s="906">
        <f t="shared" si="343"/>
        <v>432</v>
      </c>
      <c r="AQ740" s="4382"/>
      <c r="AR740" s="907"/>
      <c r="AS740" s="4382">
        <f t="shared" ref="AS740:AS748" si="345">I740</f>
        <v>432</v>
      </c>
      <c r="AT740" s="907"/>
      <c r="AU740" s="4382"/>
      <c r="AV740" s="4382"/>
      <c r="AW740" s="4382"/>
      <c r="AX740" s="4382"/>
      <c r="AY740" s="4382"/>
      <c r="AZ740" s="4382"/>
      <c r="BA740" s="4382"/>
      <c r="BB740" s="4382"/>
      <c r="BC740" s="4382"/>
      <c r="BD740" s="4382"/>
      <c r="BE740" s="4382"/>
      <c r="BF740" s="4382" t="s">
        <v>89</v>
      </c>
      <c r="BG740" s="4382"/>
      <c r="BH740" s="4382">
        <f t="shared" si="330"/>
        <v>72</v>
      </c>
      <c r="BI740" s="4382">
        <f t="shared" si="331"/>
        <v>72</v>
      </c>
      <c r="BJ740" s="4382">
        <f t="shared" si="332"/>
        <v>72</v>
      </c>
      <c r="BK740" s="4382">
        <f t="shared" si="333"/>
        <v>72</v>
      </c>
      <c r="BL740" s="4382">
        <f t="shared" si="334"/>
        <v>72</v>
      </c>
      <c r="BM740" s="4382">
        <f t="shared" si="335"/>
        <v>57.6</v>
      </c>
      <c r="BN740" s="4382">
        <f t="shared" si="336"/>
        <v>14.4</v>
      </c>
      <c r="BO740" s="907"/>
      <c r="BP740" s="907"/>
      <c r="BQ740" s="907"/>
      <c r="BR740" s="907"/>
      <c r="BS740" s="907"/>
      <c r="BT740" s="910"/>
      <c r="BU740" s="911"/>
      <c r="BV740" s="4529">
        <f t="shared" si="313"/>
        <v>432</v>
      </c>
      <c r="BW740" s="4530">
        <f t="shared" si="326"/>
        <v>0</v>
      </c>
      <c r="BX740" s="4409"/>
      <c r="BY740" s="4409"/>
      <c r="BZ740" s="4409"/>
      <c r="CA740" s="4521"/>
      <c r="CC740" s="4522"/>
      <c r="CD740" s="4521"/>
    </row>
    <row r="741" s="4318" customFormat="1" ht="50" customHeight="1" spans="1:82">
      <c r="A741" s="4513">
        <v>45880</v>
      </c>
      <c r="B741" s="4514" t="s">
        <v>1617</v>
      </c>
      <c r="C741" s="905" t="s">
        <v>91</v>
      </c>
      <c r="D741" s="4515">
        <v>4500176585</v>
      </c>
      <c r="E741" s="905">
        <v>70072748</v>
      </c>
      <c r="F741" s="4515" t="s">
        <v>5087</v>
      </c>
      <c r="G741" s="905" t="s">
        <v>2627</v>
      </c>
      <c r="H741" s="906" t="s">
        <v>2591</v>
      </c>
      <c r="I741" s="906">
        <v>816</v>
      </c>
      <c r="J741" s="906">
        <v>0</v>
      </c>
      <c r="K741" s="906">
        <v>24</v>
      </c>
      <c r="L741" s="906">
        <f t="shared" si="316"/>
        <v>34</v>
      </c>
      <c r="M741" s="4516">
        <v>45981</v>
      </c>
      <c r="N741" s="4516">
        <v>45978</v>
      </c>
      <c r="O741" s="4129"/>
      <c r="P741" s="4527" t="s">
        <v>82</v>
      </c>
      <c r="Q741" s="4527"/>
      <c r="R741" s="4159"/>
      <c r="S741" s="4159"/>
      <c r="T741" s="4159"/>
      <c r="U741" s="4148" t="s">
        <v>5088</v>
      </c>
      <c r="V741" s="3738" t="s">
        <v>5089</v>
      </c>
      <c r="W741" s="3739"/>
      <c r="X741" s="3739" t="s">
        <v>98</v>
      </c>
      <c r="Y741" s="3738" t="s">
        <v>2127</v>
      </c>
      <c r="Z741" s="906"/>
      <c r="AA741" s="3625" t="s">
        <v>1621</v>
      </c>
      <c r="AB741" s="906" t="s">
        <v>393</v>
      </c>
      <c r="AC741" s="906">
        <v>1.2245</v>
      </c>
      <c r="AD741" s="906">
        <f>AC741*I741</f>
        <v>999.192</v>
      </c>
      <c r="AE741" s="4148" t="s">
        <v>5090</v>
      </c>
      <c r="AF741" s="905" t="s">
        <v>2627</v>
      </c>
      <c r="AG741" s="4148" t="s">
        <v>416</v>
      </c>
      <c r="AH741" s="4422"/>
      <c r="AI741" s="906"/>
      <c r="AJ741" s="906">
        <f t="shared" si="344"/>
        <v>816</v>
      </c>
      <c r="AK741" s="4422"/>
      <c r="AL741" s="905"/>
      <c r="AM741" s="905"/>
      <c r="AN741" s="906"/>
      <c r="AO741" s="906"/>
      <c r="AP741" s="906">
        <f t="shared" si="343"/>
        <v>816</v>
      </c>
      <c r="AQ741" s="4382"/>
      <c r="AR741" s="907"/>
      <c r="AS741" s="4382">
        <f t="shared" si="345"/>
        <v>816</v>
      </c>
      <c r="AT741" s="907"/>
      <c r="AU741" s="4382"/>
      <c r="AV741" s="4382"/>
      <c r="AW741" s="4382"/>
      <c r="AX741" s="4382"/>
      <c r="AY741" s="4382"/>
      <c r="AZ741" s="4382"/>
      <c r="BA741" s="4382"/>
      <c r="BB741" s="4382"/>
      <c r="BC741" s="4382"/>
      <c r="BD741" s="4382"/>
      <c r="BE741" s="4382"/>
      <c r="BF741" s="4382" t="s">
        <v>89</v>
      </c>
      <c r="BG741" s="4382"/>
      <c r="BH741" s="4382">
        <f t="shared" si="330"/>
        <v>136</v>
      </c>
      <c r="BI741" s="4382">
        <f t="shared" si="331"/>
        <v>136</v>
      </c>
      <c r="BJ741" s="4382">
        <f t="shared" si="332"/>
        <v>136</v>
      </c>
      <c r="BK741" s="4382">
        <f t="shared" si="333"/>
        <v>136</v>
      </c>
      <c r="BL741" s="4382">
        <f t="shared" si="334"/>
        <v>136</v>
      </c>
      <c r="BM741" s="4382">
        <f t="shared" si="335"/>
        <v>108.8</v>
      </c>
      <c r="BN741" s="4382">
        <f t="shared" si="336"/>
        <v>27.2</v>
      </c>
      <c r="BO741" s="907"/>
      <c r="BP741" s="907"/>
      <c r="BQ741" s="907"/>
      <c r="BR741" s="907"/>
      <c r="BS741" s="907"/>
      <c r="BT741" s="910"/>
      <c r="BU741" s="911"/>
      <c r="BV741" s="4529">
        <f t="shared" si="313"/>
        <v>816</v>
      </c>
      <c r="BW741" s="4530">
        <f t="shared" si="326"/>
        <v>0</v>
      </c>
      <c r="BX741" s="4409"/>
      <c r="BY741" s="4409"/>
      <c r="BZ741" s="4409"/>
      <c r="CA741" s="4521"/>
      <c r="CC741" s="4522"/>
      <c r="CD741" s="4521"/>
    </row>
    <row r="742" s="4318" customFormat="1" ht="50" customHeight="1" spans="1:82">
      <c r="A742" s="4513">
        <v>45876</v>
      </c>
      <c r="B742" s="4514" t="s">
        <v>407</v>
      </c>
      <c r="C742" s="905" t="s">
        <v>91</v>
      </c>
      <c r="D742" s="4515">
        <v>4500176156</v>
      </c>
      <c r="E742" s="905" t="s">
        <v>5091</v>
      </c>
      <c r="F742" s="4515" t="s">
        <v>5092</v>
      </c>
      <c r="G742" s="905" t="s">
        <v>2627</v>
      </c>
      <c r="H742" s="906" t="s">
        <v>2591</v>
      </c>
      <c r="I742" s="906">
        <v>1200</v>
      </c>
      <c r="J742" s="906">
        <v>0</v>
      </c>
      <c r="K742" s="906">
        <v>24</v>
      </c>
      <c r="L742" s="906">
        <f t="shared" si="316"/>
        <v>50</v>
      </c>
      <c r="M742" s="4516">
        <v>45981</v>
      </c>
      <c r="N742" s="4516">
        <v>45978</v>
      </c>
      <c r="O742" s="4129"/>
      <c r="P742" s="4527" t="s">
        <v>82</v>
      </c>
      <c r="Q742" s="4527"/>
      <c r="R742" s="4159"/>
      <c r="S742" s="4159"/>
      <c r="T742" s="4159"/>
      <c r="U742" s="4148" t="s">
        <v>5088</v>
      </c>
      <c r="V742" s="3738" t="s">
        <v>2013</v>
      </c>
      <c r="W742" s="3739"/>
      <c r="X742" s="3739" t="s">
        <v>98</v>
      </c>
      <c r="Y742" s="3739" t="s">
        <v>2127</v>
      </c>
      <c r="Z742" s="906"/>
      <c r="AA742" s="3625" t="s">
        <v>1621</v>
      </c>
      <c r="AB742" s="906" t="s">
        <v>1880</v>
      </c>
      <c r="AC742" s="906">
        <v>1.2217</v>
      </c>
      <c r="AD742" s="906">
        <f>AC742*I742</f>
        <v>1466.04</v>
      </c>
      <c r="AE742" s="4148" t="s">
        <v>5093</v>
      </c>
      <c r="AF742" s="905" t="s">
        <v>2627</v>
      </c>
      <c r="AG742" s="4148" t="s">
        <v>416</v>
      </c>
      <c r="AH742" s="4422"/>
      <c r="AI742" s="906"/>
      <c r="AJ742" s="906">
        <f t="shared" si="344"/>
        <v>1200</v>
      </c>
      <c r="AK742" s="4422"/>
      <c r="AL742" s="905"/>
      <c r="AM742" s="905"/>
      <c r="AN742" s="906"/>
      <c r="AO742" s="906"/>
      <c r="AP742" s="906">
        <f t="shared" si="343"/>
        <v>1200</v>
      </c>
      <c r="AQ742" s="4382"/>
      <c r="AR742" s="907"/>
      <c r="AS742" s="4382">
        <f t="shared" si="345"/>
        <v>1200</v>
      </c>
      <c r="AT742" s="907"/>
      <c r="AU742" s="4382"/>
      <c r="AV742" s="4382"/>
      <c r="AW742" s="4382"/>
      <c r="AX742" s="4382"/>
      <c r="AY742" s="4382"/>
      <c r="AZ742" s="4382"/>
      <c r="BA742" s="4382"/>
      <c r="BB742" s="4382"/>
      <c r="BC742" s="4382"/>
      <c r="BD742" s="4382"/>
      <c r="BE742" s="4382"/>
      <c r="BF742" s="4382" t="s">
        <v>89</v>
      </c>
      <c r="BG742" s="4382"/>
      <c r="BH742" s="4382">
        <f t="shared" si="330"/>
        <v>200</v>
      </c>
      <c r="BI742" s="4382">
        <f t="shared" si="331"/>
        <v>200</v>
      </c>
      <c r="BJ742" s="4382">
        <f t="shared" si="332"/>
        <v>200</v>
      </c>
      <c r="BK742" s="4382">
        <f t="shared" si="333"/>
        <v>200</v>
      </c>
      <c r="BL742" s="4382">
        <f t="shared" si="334"/>
        <v>200</v>
      </c>
      <c r="BM742" s="4382">
        <f t="shared" si="335"/>
        <v>160</v>
      </c>
      <c r="BN742" s="4382">
        <f t="shared" si="336"/>
        <v>40</v>
      </c>
      <c r="BO742" s="907"/>
      <c r="BP742" s="907"/>
      <c r="BQ742" s="907"/>
      <c r="BR742" s="907"/>
      <c r="BS742" s="907"/>
      <c r="BT742" s="910"/>
      <c r="BU742" s="911"/>
      <c r="BV742" s="4529">
        <f t="shared" si="313"/>
        <v>1200</v>
      </c>
      <c r="BW742" s="4530">
        <f t="shared" si="326"/>
        <v>0</v>
      </c>
      <c r="BX742" s="4409"/>
      <c r="BY742" s="4409"/>
      <c r="BZ742" s="4409"/>
      <c r="CA742" s="4521"/>
      <c r="CC742" s="4522"/>
      <c r="CD742" s="4521"/>
    </row>
    <row r="743" s="4317" customFormat="1" ht="50" customHeight="1" spans="1:82">
      <c r="A743" s="4513">
        <v>45954</v>
      </c>
      <c r="B743" s="4514" t="s">
        <v>340</v>
      </c>
      <c r="C743" s="905" t="s">
        <v>341</v>
      </c>
      <c r="D743" s="4515">
        <v>4500183152</v>
      </c>
      <c r="E743" s="905" t="s">
        <v>5094</v>
      </c>
      <c r="F743" s="4515" t="s">
        <v>5095</v>
      </c>
      <c r="G743" s="905" t="s">
        <v>2627</v>
      </c>
      <c r="H743" s="906" t="s">
        <v>2591</v>
      </c>
      <c r="I743" s="906">
        <v>1512</v>
      </c>
      <c r="J743" s="906">
        <v>0</v>
      </c>
      <c r="K743" s="906">
        <v>24</v>
      </c>
      <c r="L743" s="906">
        <f t="shared" si="316"/>
        <v>63</v>
      </c>
      <c r="M743" s="4516">
        <v>45989</v>
      </c>
      <c r="N743" s="4516">
        <v>45985</v>
      </c>
      <c r="O743" s="4129"/>
      <c r="P743" s="4527" t="s">
        <v>82</v>
      </c>
      <c r="Q743" s="4527"/>
      <c r="R743" s="4159"/>
      <c r="S743" s="4159"/>
      <c r="T743" s="4159"/>
      <c r="U743" s="4148" t="s">
        <v>5088</v>
      </c>
      <c r="V743" s="3738" t="s">
        <v>5096</v>
      </c>
      <c r="W743" s="3739"/>
      <c r="X743" s="3739" t="s">
        <v>5097</v>
      </c>
      <c r="Y743" s="3739"/>
      <c r="Z743" s="906"/>
      <c r="AA743" s="3625" t="s">
        <v>5098</v>
      </c>
      <c r="AB743" s="906" t="s">
        <v>559</v>
      </c>
      <c r="AC743" s="906">
        <v>2.0845</v>
      </c>
      <c r="AD743" s="906">
        <f>AC743*I743</f>
        <v>3151.764</v>
      </c>
      <c r="AE743" s="4148" t="s">
        <v>5099</v>
      </c>
      <c r="AF743" s="905" t="s">
        <v>2627</v>
      </c>
      <c r="AG743" s="4148" t="s">
        <v>416</v>
      </c>
      <c r="AH743" s="4422"/>
      <c r="AI743" s="906"/>
      <c r="AJ743" s="906">
        <f t="shared" si="344"/>
        <v>1512</v>
      </c>
      <c r="AK743" s="4422"/>
      <c r="AL743" s="905"/>
      <c r="AM743" s="4528"/>
      <c r="AN743" s="906"/>
      <c r="AO743" s="906"/>
      <c r="AP743" s="4517">
        <f t="shared" si="343"/>
        <v>1512</v>
      </c>
      <c r="AQ743" s="4382"/>
      <c r="AR743" s="907"/>
      <c r="AS743" s="4518">
        <f t="shared" si="345"/>
        <v>1512</v>
      </c>
      <c r="AT743" s="907"/>
      <c r="AU743" s="4382"/>
      <c r="AV743" s="4382"/>
      <c r="AW743" s="4382"/>
      <c r="AX743" s="4382"/>
      <c r="AY743" s="4382"/>
      <c r="AZ743" s="4382"/>
      <c r="BA743" s="4382"/>
      <c r="BB743" s="4382"/>
      <c r="BC743" s="4382"/>
      <c r="BD743" s="4382"/>
      <c r="BE743" s="4382"/>
      <c r="BF743" s="4382" t="s">
        <v>89</v>
      </c>
      <c r="BG743" s="4382"/>
      <c r="BH743" s="4518">
        <f t="shared" si="330"/>
        <v>252</v>
      </c>
      <c r="BI743" s="4518">
        <f t="shared" si="331"/>
        <v>252</v>
      </c>
      <c r="BJ743" s="4518">
        <f t="shared" si="332"/>
        <v>252</v>
      </c>
      <c r="BK743" s="4518">
        <f t="shared" si="333"/>
        <v>252</v>
      </c>
      <c r="BL743" s="4518">
        <f t="shared" si="334"/>
        <v>252</v>
      </c>
      <c r="BM743" s="4518">
        <f t="shared" si="335"/>
        <v>201.6</v>
      </c>
      <c r="BN743" s="4518">
        <f t="shared" si="336"/>
        <v>50.4</v>
      </c>
      <c r="BO743" s="907"/>
      <c r="BP743" s="907"/>
      <c r="BQ743" s="907"/>
      <c r="BR743" s="907"/>
      <c r="BS743" s="907"/>
      <c r="BT743" s="910"/>
      <c r="BU743" s="911"/>
      <c r="BV743" s="4519">
        <f t="shared" si="313"/>
        <v>1512</v>
      </c>
      <c r="BW743" s="4520">
        <f t="shared" si="326"/>
        <v>0</v>
      </c>
      <c r="BX743" s="4409"/>
      <c r="BY743" s="4409"/>
      <c r="BZ743" s="4409"/>
      <c r="CA743" s="4521"/>
      <c r="CC743" s="4522"/>
      <c r="CD743" s="4521"/>
    </row>
    <row r="744" s="4025" customFormat="1" ht="50" customHeight="1" spans="1:82">
      <c r="A744" s="3688">
        <v>45951</v>
      </c>
      <c r="B744" s="3689" t="s">
        <v>5030</v>
      </c>
      <c r="C744" s="3664" t="s">
        <v>341</v>
      </c>
      <c r="D744" s="3690">
        <v>4500182528</v>
      </c>
      <c r="E744" s="3664" t="s">
        <v>5100</v>
      </c>
      <c r="F744" s="3690" t="s">
        <v>5101</v>
      </c>
      <c r="G744" s="3664" t="s">
        <v>5033</v>
      </c>
      <c r="H744" s="3664" t="s">
        <v>3069</v>
      </c>
      <c r="I744" s="3691">
        <v>2304</v>
      </c>
      <c r="J744" s="3691">
        <v>4</v>
      </c>
      <c r="K744" s="3691">
        <v>288</v>
      </c>
      <c r="L744" s="3691">
        <f t="shared" si="316"/>
        <v>8</v>
      </c>
      <c r="M744" s="3659">
        <v>45985</v>
      </c>
      <c r="N744" s="3659">
        <v>45981</v>
      </c>
      <c r="O744" s="4085" t="s">
        <v>5102</v>
      </c>
      <c r="P744" s="4527" t="s">
        <v>82</v>
      </c>
      <c r="Q744" s="4527"/>
      <c r="R744" s="4159"/>
      <c r="S744" s="4159"/>
      <c r="T744" s="4159"/>
      <c r="U744" s="3645" t="s">
        <v>5103</v>
      </c>
      <c r="V744" s="3649" t="s">
        <v>5104</v>
      </c>
      <c r="W744" s="3657"/>
      <c r="X744" s="3657" t="s">
        <v>98</v>
      </c>
      <c r="Y744" s="3657"/>
      <c r="Z744" s="3691"/>
      <c r="AA744" s="3620" t="s">
        <v>5105</v>
      </c>
      <c r="AB744" s="3691" t="s">
        <v>5106</v>
      </c>
      <c r="AC744" s="3691">
        <v>638.1515</v>
      </c>
      <c r="AD744" s="3691">
        <f>AC744*L744</f>
        <v>5105.212</v>
      </c>
      <c r="AE744" s="3645"/>
      <c r="AF744" s="3664" t="s">
        <v>5037</v>
      </c>
      <c r="AG744" s="3645" t="s">
        <v>416</v>
      </c>
      <c r="AH744" s="4448"/>
      <c r="AI744" s="3691"/>
      <c r="AJ744" s="3691">
        <f t="shared" si="344"/>
        <v>2304</v>
      </c>
      <c r="AK744" s="4448"/>
      <c r="AL744" s="3664"/>
      <c r="AM744" s="4393"/>
      <c r="AN744" s="3691"/>
      <c r="AO744" s="3691"/>
      <c r="AP744" s="4082">
        <f t="shared" si="343"/>
        <v>2304</v>
      </c>
      <c r="AQ744" s="4089"/>
      <c r="AR744" s="4411"/>
      <c r="AS744" s="4495">
        <f t="shared" si="345"/>
        <v>2304</v>
      </c>
      <c r="AT744" s="4411"/>
      <c r="AU744" s="4089"/>
      <c r="AV744" s="4089"/>
      <c r="AW744" s="4089"/>
      <c r="AX744" s="4089"/>
      <c r="AY744" s="4089"/>
      <c r="AZ744" s="4089"/>
      <c r="BA744" s="4089">
        <f>I744/4</f>
        <v>576</v>
      </c>
      <c r="BB744" s="4089"/>
      <c r="BC744" s="4089"/>
      <c r="BD744" s="4089"/>
      <c r="BE744" s="4089"/>
      <c r="BF744" s="4089" t="s">
        <v>89</v>
      </c>
      <c r="BG744" s="4089"/>
      <c r="BH744" s="4089">
        <f t="shared" si="330"/>
        <v>384</v>
      </c>
      <c r="BI744" s="4089">
        <f t="shared" si="331"/>
        <v>384</v>
      </c>
      <c r="BJ744" s="4089">
        <f t="shared" si="332"/>
        <v>384</v>
      </c>
      <c r="BK744" s="4089">
        <f t="shared" si="333"/>
        <v>384</v>
      </c>
      <c r="BL744" s="4089">
        <f t="shared" si="334"/>
        <v>384</v>
      </c>
      <c r="BM744" s="4089">
        <f t="shared" si="335"/>
        <v>307.2</v>
      </c>
      <c r="BN744" s="4089">
        <f t="shared" si="336"/>
        <v>76.8</v>
      </c>
      <c r="BO744" s="4411"/>
      <c r="BP744" s="4411"/>
      <c r="BQ744" s="4411"/>
      <c r="BR744" s="4411"/>
      <c r="BS744" s="4411"/>
      <c r="BT744" s="4453"/>
      <c r="BU744" s="4454"/>
      <c r="BV744" s="4385">
        <f t="shared" si="313"/>
        <v>2304</v>
      </c>
      <c r="BW744" s="4386">
        <f t="shared" si="326"/>
        <v>0</v>
      </c>
      <c r="BX744" s="4387"/>
      <c r="BY744" s="4387"/>
      <c r="BZ744" s="4387"/>
      <c r="CA744" s="4391"/>
      <c r="CC744" s="4392"/>
      <c r="CD744" s="4391"/>
    </row>
    <row r="745" s="4321" customFormat="1" ht="50" customHeight="1" spans="1:82">
      <c r="A745" s="3688">
        <v>45952</v>
      </c>
      <c r="B745" s="3689" t="s">
        <v>1602</v>
      </c>
      <c r="C745" s="3664" t="s">
        <v>91</v>
      </c>
      <c r="D745" s="3690">
        <v>4500182703</v>
      </c>
      <c r="E745" s="3664">
        <v>1720003</v>
      </c>
      <c r="F745" s="3690" t="s">
        <v>5107</v>
      </c>
      <c r="G745" s="3664" t="s">
        <v>2627</v>
      </c>
      <c r="H745" s="3691" t="s">
        <v>2591</v>
      </c>
      <c r="I745" s="3691">
        <v>408</v>
      </c>
      <c r="J745" s="3691">
        <v>0</v>
      </c>
      <c r="K745" s="3691">
        <v>24</v>
      </c>
      <c r="L745" s="3691">
        <f t="shared" si="316"/>
        <v>17</v>
      </c>
      <c r="M745" s="3659">
        <v>45993</v>
      </c>
      <c r="N745" s="3659">
        <f>M745-4</f>
        <v>45989</v>
      </c>
      <c r="O745" s="4085"/>
      <c r="P745" s="4527" t="s">
        <v>82</v>
      </c>
      <c r="Q745" s="4527"/>
      <c r="R745" s="4159"/>
      <c r="S745" s="4159"/>
      <c r="T745" s="4159"/>
      <c r="U745" s="3645" t="s">
        <v>2592</v>
      </c>
      <c r="V745" s="3649" t="s">
        <v>5108</v>
      </c>
      <c r="W745" s="3657"/>
      <c r="X745" s="3657" t="s">
        <v>98</v>
      </c>
      <c r="Y745" s="3657" t="s">
        <v>5109</v>
      </c>
      <c r="Z745" s="3691"/>
      <c r="AA745" s="3620" t="s">
        <v>1606</v>
      </c>
      <c r="AB745" s="3691" t="s">
        <v>1607</v>
      </c>
      <c r="AC745" s="3691">
        <v>1.2245</v>
      </c>
      <c r="AD745" s="3691">
        <f>AC745*I745</f>
        <v>499.596</v>
      </c>
      <c r="AE745" s="3645"/>
      <c r="AF745" s="3664" t="s">
        <v>2627</v>
      </c>
      <c r="AG745" s="3645" t="s">
        <v>416</v>
      </c>
      <c r="AH745" s="4448"/>
      <c r="AI745" s="3691"/>
      <c r="AJ745" s="3691">
        <f t="shared" si="344"/>
        <v>408</v>
      </c>
      <c r="AK745" s="4448"/>
      <c r="AL745" s="3664"/>
      <c r="AM745" s="4393"/>
      <c r="AN745" s="3691"/>
      <c r="AO745" s="3691"/>
      <c r="AP745" s="4082">
        <f t="shared" si="343"/>
        <v>408</v>
      </c>
      <c r="AQ745" s="4089"/>
      <c r="AR745" s="4411"/>
      <c r="AS745" s="4495">
        <f t="shared" si="345"/>
        <v>408</v>
      </c>
      <c r="AT745" s="4411"/>
      <c r="AU745" s="4089"/>
      <c r="AV745" s="4089"/>
      <c r="AW745" s="4089"/>
      <c r="AX745" s="4089"/>
      <c r="AY745" s="4089"/>
      <c r="AZ745" s="4089"/>
      <c r="BA745" s="4089"/>
      <c r="BB745" s="4089"/>
      <c r="BC745" s="4089"/>
      <c r="BD745" s="4089"/>
      <c r="BE745" s="4089"/>
      <c r="BF745" s="4089" t="s">
        <v>89</v>
      </c>
      <c r="BG745" s="4089"/>
      <c r="BH745" s="4089">
        <f t="shared" si="330"/>
        <v>68</v>
      </c>
      <c r="BI745" s="4089">
        <f t="shared" si="331"/>
        <v>68</v>
      </c>
      <c r="BJ745" s="4089">
        <f t="shared" si="332"/>
        <v>68</v>
      </c>
      <c r="BK745" s="4089">
        <f t="shared" si="333"/>
        <v>68</v>
      </c>
      <c r="BL745" s="4089">
        <f t="shared" si="334"/>
        <v>68</v>
      </c>
      <c r="BM745" s="4089">
        <f t="shared" si="335"/>
        <v>54.4</v>
      </c>
      <c r="BN745" s="4089">
        <f t="shared" si="336"/>
        <v>13.6</v>
      </c>
      <c r="BO745" s="4411"/>
      <c r="BP745" s="4411"/>
      <c r="BQ745" s="4411"/>
      <c r="BR745" s="4411"/>
      <c r="BS745" s="4411"/>
      <c r="BT745" s="4453"/>
      <c r="BU745" s="4454"/>
      <c r="BV745" s="4385">
        <f t="shared" si="313"/>
        <v>408</v>
      </c>
      <c r="BW745" s="4386">
        <f t="shared" si="326"/>
        <v>0</v>
      </c>
      <c r="BX745" s="4387"/>
      <c r="BY745" s="4387"/>
      <c r="BZ745" s="4387"/>
      <c r="CA745" s="4391"/>
      <c r="CC745" s="4392"/>
      <c r="CD745" s="4391"/>
    </row>
    <row r="746" s="4319" customFormat="1" ht="50" customHeight="1" spans="1:82">
      <c r="A746" s="3688">
        <v>45952</v>
      </c>
      <c r="B746" s="3689" t="s">
        <v>1602</v>
      </c>
      <c r="C746" s="3664" t="s">
        <v>91</v>
      </c>
      <c r="D746" s="3690">
        <v>4500182703</v>
      </c>
      <c r="E746" s="3664">
        <v>1720005</v>
      </c>
      <c r="F746" s="3690" t="s">
        <v>5110</v>
      </c>
      <c r="G746" s="3664" t="s">
        <v>2627</v>
      </c>
      <c r="H746" s="3691" t="s">
        <v>2591</v>
      </c>
      <c r="I746" s="3691">
        <v>192</v>
      </c>
      <c r="J746" s="3691">
        <v>0</v>
      </c>
      <c r="K746" s="3691">
        <v>24</v>
      </c>
      <c r="L746" s="3691">
        <f t="shared" si="316"/>
        <v>8</v>
      </c>
      <c r="M746" s="3659">
        <v>45993</v>
      </c>
      <c r="N746" s="3659">
        <f>M746-4</f>
        <v>45989</v>
      </c>
      <c r="O746" s="4085"/>
      <c r="P746" s="4527" t="s">
        <v>82</v>
      </c>
      <c r="Q746" s="4527"/>
      <c r="R746" s="4159"/>
      <c r="S746" s="4159"/>
      <c r="T746" s="4159"/>
      <c r="U746" s="3645" t="s">
        <v>2592</v>
      </c>
      <c r="V746" s="3657" t="s">
        <v>5108</v>
      </c>
      <c r="W746" s="3657"/>
      <c r="X746" s="3657" t="s">
        <v>98</v>
      </c>
      <c r="Y746" s="3657" t="s">
        <v>5109</v>
      </c>
      <c r="Z746" s="3691"/>
      <c r="AA746" s="3620" t="s">
        <v>1606</v>
      </c>
      <c r="AB746" s="3691" t="s">
        <v>1607</v>
      </c>
      <c r="AC746" s="3691">
        <v>1.2245</v>
      </c>
      <c r="AD746" s="3691">
        <f>AC746*I746</f>
        <v>235.104</v>
      </c>
      <c r="AE746" s="3645"/>
      <c r="AF746" s="3664" t="s">
        <v>2627</v>
      </c>
      <c r="AG746" s="3645" t="s">
        <v>416</v>
      </c>
      <c r="AH746" s="4448"/>
      <c r="AI746" s="3691"/>
      <c r="AJ746" s="3691">
        <f t="shared" si="344"/>
        <v>192</v>
      </c>
      <c r="AK746" s="4448"/>
      <c r="AL746" s="3664"/>
      <c r="AM746" s="3664"/>
      <c r="AN746" s="3691"/>
      <c r="AO746" s="3691"/>
      <c r="AP746" s="4082">
        <f t="shared" si="343"/>
        <v>192</v>
      </c>
      <c r="AQ746" s="4089"/>
      <c r="AR746" s="4411"/>
      <c r="AS746" s="4495">
        <f t="shared" si="345"/>
        <v>192</v>
      </c>
      <c r="AT746" s="4411"/>
      <c r="AU746" s="4089"/>
      <c r="AV746" s="4089"/>
      <c r="AW746" s="4089"/>
      <c r="AX746" s="4089"/>
      <c r="AY746" s="4089"/>
      <c r="AZ746" s="4089"/>
      <c r="BA746" s="4089"/>
      <c r="BB746" s="4089"/>
      <c r="BC746" s="4089"/>
      <c r="BD746" s="4089"/>
      <c r="BE746" s="4089"/>
      <c r="BF746" s="4089" t="s">
        <v>89</v>
      </c>
      <c r="BG746" s="4089"/>
      <c r="BH746" s="4089">
        <f t="shared" si="330"/>
        <v>32</v>
      </c>
      <c r="BI746" s="4089">
        <f t="shared" si="331"/>
        <v>32</v>
      </c>
      <c r="BJ746" s="4089">
        <f t="shared" si="332"/>
        <v>32</v>
      </c>
      <c r="BK746" s="4089">
        <f t="shared" si="333"/>
        <v>32</v>
      </c>
      <c r="BL746" s="4089">
        <f t="shared" si="334"/>
        <v>32</v>
      </c>
      <c r="BM746" s="4089">
        <f t="shared" si="335"/>
        <v>25.6</v>
      </c>
      <c r="BN746" s="4089">
        <f t="shared" si="336"/>
        <v>6.4</v>
      </c>
      <c r="BO746" s="4411"/>
      <c r="BP746" s="4411"/>
      <c r="BQ746" s="4411"/>
      <c r="BR746" s="4411"/>
      <c r="BS746" s="4411"/>
      <c r="BT746" s="4453"/>
      <c r="BU746" s="4454"/>
      <c r="BV746" s="4385">
        <f t="shared" si="313"/>
        <v>192</v>
      </c>
      <c r="BW746" s="4386">
        <f t="shared" si="326"/>
        <v>0</v>
      </c>
      <c r="BX746" s="4387"/>
      <c r="BY746" s="4387"/>
      <c r="BZ746" s="4387"/>
      <c r="CA746" s="4391"/>
      <c r="CC746" s="4392"/>
      <c r="CD746" s="4391"/>
    </row>
    <row r="747" s="4317" customFormat="1" ht="50" customHeight="1" spans="1:82">
      <c r="A747" s="4513">
        <v>45924</v>
      </c>
      <c r="B747" s="4514" t="s">
        <v>1670</v>
      </c>
      <c r="C747" s="905" t="s">
        <v>471</v>
      </c>
      <c r="D747" s="4515">
        <v>4500180187</v>
      </c>
      <c r="E747" s="905" t="s">
        <v>5111</v>
      </c>
      <c r="F747" s="4515" t="s">
        <v>5112</v>
      </c>
      <c r="G747" s="905" t="s">
        <v>2627</v>
      </c>
      <c r="H747" s="906" t="s">
        <v>2591</v>
      </c>
      <c r="I747" s="906">
        <v>1200</v>
      </c>
      <c r="J747" s="906">
        <v>0</v>
      </c>
      <c r="K747" s="906">
        <v>24</v>
      </c>
      <c r="L747" s="906">
        <f t="shared" si="316"/>
        <v>50</v>
      </c>
      <c r="M747" s="4516">
        <v>45989</v>
      </c>
      <c r="N747" s="4516">
        <v>45985</v>
      </c>
      <c r="O747" s="4129"/>
      <c r="P747" s="4527" t="s">
        <v>82</v>
      </c>
      <c r="Q747" s="4527"/>
      <c r="R747" s="4159"/>
      <c r="S747" s="4159"/>
      <c r="T747" s="4159"/>
      <c r="U747" s="4148" t="s">
        <v>2205</v>
      </c>
      <c r="V747" s="3738" t="s">
        <v>5113</v>
      </c>
      <c r="W747" s="3739"/>
      <c r="X747" s="3739" t="s">
        <v>98</v>
      </c>
      <c r="Y747" s="3739" t="s">
        <v>5114</v>
      </c>
      <c r="Z747" s="906"/>
      <c r="AA747" s="3625" t="s">
        <v>5115</v>
      </c>
      <c r="AB747" s="906" t="s">
        <v>5116</v>
      </c>
      <c r="AC747" s="906">
        <v>2.0845</v>
      </c>
      <c r="AD747" s="906">
        <f>AC747*I747</f>
        <v>2501.4</v>
      </c>
      <c r="AE747" s="4148"/>
      <c r="AF747" s="905" t="s">
        <v>2890</v>
      </c>
      <c r="AG747" s="4148" t="s">
        <v>416</v>
      </c>
      <c r="AH747" s="4422"/>
      <c r="AI747" s="906"/>
      <c r="AJ747" s="906"/>
      <c r="AK747" s="4422"/>
      <c r="AL747" s="905"/>
      <c r="AM747" s="4528">
        <f>I747</f>
        <v>1200</v>
      </c>
      <c r="AN747" s="906"/>
      <c r="AO747" s="906"/>
      <c r="AP747" s="4517">
        <f t="shared" si="343"/>
        <v>1200</v>
      </c>
      <c r="AQ747" s="4382"/>
      <c r="AR747" s="907"/>
      <c r="AS747" s="4518">
        <f t="shared" si="345"/>
        <v>1200</v>
      </c>
      <c r="AT747" s="907"/>
      <c r="AU747" s="4382"/>
      <c r="AV747" s="4382"/>
      <c r="AW747" s="4382"/>
      <c r="AX747" s="4382"/>
      <c r="AY747" s="4382"/>
      <c r="AZ747" s="4382"/>
      <c r="BA747" s="4382"/>
      <c r="BB747" s="4382"/>
      <c r="BC747" s="4382"/>
      <c r="BD747" s="4382"/>
      <c r="BE747" s="4382"/>
      <c r="BF747" s="4382" t="s">
        <v>89</v>
      </c>
      <c r="BG747" s="4382"/>
      <c r="BH747" s="4518">
        <f t="shared" si="330"/>
        <v>200</v>
      </c>
      <c r="BI747" s="4518">
        <f t="shared" si="331"/>
        <v>200</v>
      </c>
      <c r="BJ747" s="4518">
        <f t="shared" si="332"/>
        <v>200</v>
      </c>
      <c r="BK747" s="4518">
        <f t="shared" si="333"/>
        <v>200</v>
      </c>
      <c r="BL747" s="4518">
        <f t="shared" si="334"/>
        <v>200</v>
      </c>
      <c r="BM747" s="4518">
        <f t="shared" si="335"/>
        <v>160</v>
      </c>
      <c r="BN747" s="4518">
        <f t="shared" si="336"/>
        <v>40</v>
      </c>
      <c r="BO747" s="907"/>
      <c r="BP747" s="907"/>
      <c r="BQ747" s="907"/>
      <c r="BR747" s="907"/>
      <c r="BS747" s="907"/>
      <c r="BT747" s="910"/>
      <c r="BU747" s="911"/>
      <c r="BV747" s="4519">
        <f t="shared" si="313"/>
        <v>1200</v>
      </c>
      <c r="BW747" s="4520">
        <f t="shared" si="326"/>
        <v>0</v>
      </c>
      <c r="BX747" s="4409"/>
      <c r="BY747" s="4409"/>
      <c r="BZ747" s="4409"/>
      <c r="CA747" s="4521"/>
      <c r="CC747" s="4522"/>
      <c r="CD747" s="4521"/>
    </row>
    <row r="748" s="4322" customFormat="1" ht="50" customHeight="1" spans="1:82">
      <c r="A748" s="4513">
        <v>45923</v>
      </c>
      <c r="B748" s="4514" t="s">
        <v>461</v>
      </c>
      <c r="C748" s="905" t="s">
        <v>341</v>
      </c>
      <c r="D748" s="4515">
        <v>4500180135</v>
      </c>
      <c r="E748" s="905" t="s">
        <v>5117</v>
      </c>
      <c r="F748" s="4515" t="s">
        <v>5118</v>
      </c>
      <c r="G748" s="905" t="s">
        <v>2627</v>
      </c>
      <c r="H748" s="906" t="s">
        <v>2591</v>
      </c>
      <c r="I748" s="906">
        <v>1200</v>
      </c>
      <c r="J748" s="906">
        <v>0</v>
      </c>
      <c r="K748" s="906">
        <v>24</v>
      </c>
      <c r="L748" s="906">
        <f t="shared" si="316"/>
        <v>50</v>
      </c>
      <c r="M748" s="4516">
        <v>45989</v>
      </c>
      <c r="N748" s="4516">
        <v>45985</v>
      </c>
      <c r="O748" s="4129"/>
      <c r="P748" s="4527" t="s">
        <v>82</v>
      </c>
      <c r="Q748" s="4527"/>
      <c r="R748" s="4159"/>
      <c r="S748" s="4159"/>
      <c r="T748" s="4159"/>
      <c r="U748" s="4148" t="s">
        <v>2186</v>
      </c>
      <c r="V748" s="3739" t="s">
        <v>5119</v>
      </c>
      <c r="W748" s="3739"/>
      <c r="X748" s="3739" t="s">
        <v>98</v>
      </c>
      <c r="Y748" s="3739" t="s">
        <v>5114</v>
      </c>
      <c r="Z748" s="906"/>
      <c r="AA748" s="3625" t="s">
        <v>5120</v>
      </c>
      <c r="AB748" s="906" t="s">
        <v>5116</v>
      </c>
      <c r="AC748" s="906">
        <v>2.0845</v>
      </c>
      <c r="AD748" s="906">
        <f>AC748*I748</f>
        <v>2501.4</v>
      </c>
      <c r="AE748" s="4148" t="s">
        <v>5121</v>
      </c>
      <c r="AF748" s="905" t="s">
        <v>2890</v>
      </c>
      <c r="AG748" s="4148" t="s">
        <v>416</v>
      </c>
      <c r="AH748" s="4422"/>
      <c r="AI748" s="906"/>
      <c r="AJ748" s="906"/>
      <c r="AK748" s="4422"/>
      <c r="AL748" s="905"/>
      <c r="AM748" s="4528">
        <f>I748</f>
        <v>1200</v>
      </c>
      <c r="AN748" s="906"/>
      <c r="AO748" s="906"/>
      <c r="AP748" s="4517">
        <f t="shared" si="343"/>
        <v>1200</v>
      </c>
      <c r="AQ748" s="4382"/>
      <c r="AR748" s="907"/>
      <c r="AS748" s="4518">
        <f t="shared" si="345"/>
        <v>1200</v>
      </c>
      <c r="AT748" s="907"/>
      <c r="AU748" s="4382"/>
      <c r="AV748" s="4382"/>
      <c r="AW748" s="4382"/>
      <c r="AX748" s="4382"/>
      <c r="AY748" s="4382"/>
      <c r="AZ748" s="4382"/>
      <c r="BA748" s="4382"/>
      <c r="BB748" s="4382"/>
      <c r="BC748" s="4382"/>
      <c r="BD748" s="4382"/>
      <c r="BE748" s="4382"/>
      <c r="BF748" s="4382" t="s">
        <v>89</v>
      </c>
      <c r="BG748" s="4382"/>
      <c r="BH748" s="4518">
        <f t="shared" si="330"/>
        <v>200</v>
      </c>
      <c r="BI748" s="4518">
        <f t="shared" si="331"/>
        <v>200</v>
      </c>
      <c r="BJ748" s="4518">
        <f t="shared" si="332"/>
        <v>200</v>
      </c>
      <c r="BK748" s="4518">
        <f t="shared" si="333"/>
        <v>200</v>
      </c>
      <c r="BL748" s="4518">
        <f t="shared" si="334"/>
        <v>200</v>
      </c>
      <c r="BM748" s="4518">
        <f t="shared" si="335"/>
        <v>160</v>
      </c>
      <c r="BN748" s="4518">
        <f t="shared" si="336"/>
        <v>40</v>
      </c>
      <c r="BO748" s="907"/>
      <c r="BP748" s="907"/>
      <c r="BQ748" s="907"/>
      <c r="BR748" s="907"/>
      <c r="BS748" s="907"/>
      <c r="BT748" s="910"/>
      <c r="BU748" s="911"/>
      <c r="BV748" s="4519">
        <f t="shared" si="313"/>
        <v>1200</v>
      </c>
      <c r="BW748" s="4520">
        <f t="shared" si="326"/>
        <v>0</v>
      </c>
      <c r="BX748" s="4409"/>
      <c r="BY748" s="4409"/>
      <c r="BZ748" s="4409"/>
      <c r="CA748" s="4521"/>
      <c r="CC748" s="4522"/>
      <c r="CD748" s="4521"/>
    </row>
    <row r="749" s="4318" customFormat="1" ht="50" customHeight="1" spans="1:82">
      <c r="A749" s="4513">
        <v>45957</v>
      </c>
      <c r="B749" s="4514" t="s">
        <v>5122</v>
      </c>
      <c r="C749" s="905" t="s">
        <v>471</v>
      </c>
      <c r="D749" s="4515">
        <v>4500183188</v>
      </c>
      <c r="E749" s="905" t="s">
        <v>5123</v>
      </c>
      <c r="F749" s="4515" t="s">
        <v>5124</v>
      </c>
      <c r="G749" s="905" t="s">
        <v>4068</v>
      </c>
      <c r="H749" s="905" t="s">
        <v>4069</v>
      </c>
      <c r="I749" s="906">
        <v>4512</v>
      </c>
      <c r="J749" s="906">
        <v>0</v>
      </c>
      <c r="K749" s="906">
        <v>24</v>
      </c>
      <c r="L749" s="906">
        <f t="shared" si="316"/>
        <v>188</v>
      </c>
      <c r="M749" s="4516">
        <v>45992</v>
      </c>
      <c r="N749" s="4516">
        <f>M749-4</f>
        <v>45988</v>
      </c>
      <c r="O749" s="905" t="s">
        <v>5125</v>
      </c>
      <c r="P749" s="4527" t="s">
        <v>82</v>
      </c>
      <c r="Q749" s="4527"/>
      <c r="R749" s="4159"/>
      <c r="S749" s="4159"/>
      <c r="T749" s="4159" t="s">
        <v>321</v>
      </c>
      <c r="U749" s="4148" t="s">
        <v>2186</v>
      </c>
      <c r="V749" s="3738" t="s">
        <v>2243</v>
      </c>
      <c r="W749" s="3739"/>
      <c r="X749" s="3739" t="s">
        <v>5126</v>
      </c>
      <c r="Y749" s="3739"/>
      <c r="Z749" s="906"/>
      <c r="AA749" s="3625" t="s">
        <v>5127</v>
      </c>
      <c r="AB749" s="906" t="s">
        <v>2624</v>
      </c>
      <c r="AC749" s="4523">
        <v>2.0841</v>
      </c>
      <c r="AD749" s="906">
        <f>AC749*I749</f>
        <v>9403.4592</v>
      </c>
      <c r="AE749" s="4148"/>
      <c r="AF749" s="905" t="s">
        <v>4073</v>
      </c>
      <c r="AG749" s="4148" t="s">
        <v>416</v>
      </c>
      <c r="AH749" s="4422"/>
      <c r="AI749" s="906"/>
      <c r="AJ749" s="906">
        <f>I749</f>
        <v>4512</v>
      </c>
      <c r="AK749" s="4422"/>
      <c r="AL749" s="905"/>
      <c r="AM749" s="4528"/>
      <c r="AN749" s="906"/>
      <c r="AO749" s="906"/>
      <c r="AP749" s="4517">
        <f t="shared" si="343"/>
        <v>4512</v>
      </c>
      <c r="AQ749" s="4382"/>
      <c r="AR749" s="907"/>
      <c r="AS749" s="4518"/>
      <c r="AT749" s="907"/>
      <c r="AU749" s="4382">
        <f>I749</f>
        <v>4512</v>
      </c>
      <c r="AV749" s="4382"/>
      <c r="AW749" s="4382"/>
      <c r="AX749" s="4382"/>
      <c r="AY749" s="4382"/>
      <c r="AZ749" s="4382"/>
      <c r="BA749" s="4382"/>
      <c r="BB749" s="4382"/>
      <c r="BC749" s="4382"/>
      <c r="BD749" s="4382"/>
      <c r="BE749" s="4382"/>
      <c r="BF749" s="4382" t="s">
        <v>89</v>
      </c>
      <c r="BG749" s="4382"/>
      <c r="BH749" s="4382">
        <f t="shared" si="330"/>
        <v>752</v>
      </c>
      <c r="BI749" s="4382">
        <f t="shared" si="331"/>
        <v>752</v>
      </c>
      <c r="BJ749" s="4382">
        <f t="shared" si="332"/>
        <v>752</v>
      </c>
      <c r="BK749" s="4382">
        <f t="shared" si="333"/>
        <v>752</v>
      </c>
      <c r="BL749" s="4382">
        <f t="shared" si="334"/>
        <v>752</v>
      </c>
      <c r="BM749" s="4382">
        <f t="shared" si="335"/>
        <v>601.6</v>
      </c>
      <c r="BN749" s="4382">
        <f t="shared" si="336"/>
        <v>150.4</v>
      </c>
      <c r="BO749" s="907"/>
      <c r="BP749" s="907"/>
      <c r="BQ749" s="907"/>
      <c r="BR749" s="907"/>
      <c r="BS749" s="907"/>
      <c r="BT749" s="910"/>
      <c r="BU749" s="911"/>
      <c r="BV749" s="4529">
        <f t="shared" si="313"/>
        <v>4512</v>
      </c>
      <c r="BW749" s="4530">
        <f t="shared" si="326"/>
        <v>0</v>
      </c>
      <c r="BX749" s="4409"/>
      <c r="BY749" s="4409"/>
      <c r="BZ749" s="4409"/>
      <c r="CA749" s="4521"/>
      <c r="CC749" s="4522"/>
      <c r="CD749" s="4521"/>
    </row>
    <row r="750" s="4318" customFormat="1" ht="50" customHeight="1" spans="1:82">
      <c r="A750" s="4513">
        <v>45911</v>
      </c>
      <c r="B750" s="4514" t="s">
        <v>5128</v>
      </c>
      <c r="C750" s="905" t="s">
        <v>471</v>
      </c>
      <c r="D750" s="4515">
        <v>4500179274</v>
      </c>
      <c r="E750" s="905">
        <v>212095075</v>
      </c>
      <c r="F750" s="4515" t="s">
        <v>5129</v>
      </c>
      <c r="G750" s="905" t="s">
        <v>5130</v>
      </c>
      <c r="H750" s="905" t="s">
        <v>5131</v>
      </c>
      <c r="I750" s="906">
        <v>15175</v>
      </c>
      <c r="J750" s="906">
        <v>0</v>
      </c>
      <c r="K750" s="906">
        <v>5</v>
      </c>
      <c r="L750" s="906">
        <f t="shared" si="316"/>
        <v>3035</v>
      </c>
      <c r="M750" s="4516">
        <v>45980</v>
      </c>
      <c r="N750" s="4516">
        <v>45976</v>
      </c>
      <c r="O750" s="905"/>
      <c r="P750" s="4527" t="s">
        <v>82</v>
      </c>
      <c r="Q750" s="4527"/>
      <c r="R750" s="4159"/>
      <c r="S750" s="4159"/>
      <c r="T750" s="4159"/>
      <c r="U750" s="4148" t="s">
        <v>5132</v>
      </c>
      <c r="V750" s="3738" t="s">
        <v>5133</v>
      </c>
      <c r="W750" s="3739"/>
      <c r="X750" s="3739" t="s">
        <v>98</v>
      </c>
      <c r="Y750" s="3738"/>
      <c r="Z750" s="906"/>
      <c r="AA750" s="3625" t="s">
        <v>5134</v>
      </c>
      <c r="AB750" s="906" t="s">
        <v>5135</v>
      </c>
      <c r="AC750" s="4523">
        <v>1.029</v>
      </c>
      <c r="AD750" s="906">
        <f>AC750*L750</f>
        <v>3123.015</v>
      </c>
      <c r="AE750" s="4148"/>
      <c r="AF750" s="905" t="s">
        <v>5136</v>
      </c>
      <c r="AG750" s="4148" t="s">
        <v>416</v>
      </c>
      <c r="AH750" s="4405"/>
      <c r="AI750" s="906"/>
      <c r="AJ750" s="4517">
        <f>I750</f>
        <v>15175</v>
      </c>
      <c r="AK750" s="4405"/>
      <c r="AL750" s="905"/>
      <c r="AM750" s="905"/>
      <c r="AN750" s="906"/>
      <c r="AO750" s="906"/>
      <c r="AP750" s="4517">
        <f t="shared" si="343"/>
        <v>15175</v>
      </c>
      <c r="AQ750" s="4382"/>
      <c r="AR750" s="4417"/>
      <c r="AS750" s="4518"/>
      <c r="AT750" s="4417"/>
      <c r="AU750" s="4382">
        <f>I750</f>
        <v>15175</v>
      </c>
      <c r="AV750" s="4382"/>
      <c r="AW750" s="4518"/>
      <c r="AX750" s="4382"/>
      <c r="AY750" s="4382"/>
      <c r="AZ750" s="4382"/>
      <c r="BA750" s="4382"/>
      <c r="BB750" s="4382"/>
      <c r="BC750" s="4382"/>
      <c r="BD750" s="4382"/>
      <c r="BE750" s="4382"/>
      <c r="BF750" s="4382" t="s">
        <v>89</v>
      </c>
      <c r="BG750" s="4382"/>
      <c r="BH750" s="4518">
        <f t="shared" si="330"/>
        <v>2529.16666666667</v>
      </c>
      <c r="BI750" s="4518">
        <f t="shared" si="331"/>
        <v>2529.16666666667</v>
      </c>
      <c r="BJ750" s="4518">
        <f t="shared" si="332"/>
        <v>2529.16666666667</v>
      </c>
      <c r="BK750" s="4518">
        <f t="shared" si="333"/>
        <v>2529.16666666667</v>
      </c>
      <c r="BL750" s="4518">
        <f t="shared" si="334"/>
        <v>2529.16666666667</v>
      </c>
      <c r="BM750" s="4518">
        <f t="shared" si="335"/>
        <v>2023.33333333333</v>
      </c>
      <c r="BN750" s="4518">
        <f t="shared" si="336"/>
        <v>505.833333333333</v>
      </c>
      <c r="BO750" s="4417"/>
      <c r="BP750" s="4417"/>
      <c r="BQ750" s="4417"/>
      <c r="BR750" s="4417"/>
      <c r="BS750" s="4417"/>
      <c r="BT750" s="4472"/>
      <c r="BU750" s="4418"/>
      <c r="BV750" s="4519">
        <f t="shared" si="313"/>
        <v>15175</v>
      </c>
      <c r="BW750" s="4520">
        <f t="shared" si="326"/>
        <v>0</v>
      </c>
      <c r="BX750" s="4543"/>
      <c r="BY750" s="4543"/>
      <c r="BZ750" s="4543"/>
      <c r="CA750" s="4521"/>
      <c r="CC750" s="4522"/>
      <c r="CD750" s="4521"/>
    </row>
    <row r="751" s="4317" customFormat="1" ht="50" customHeight="1" spans="1:82">
      <c r="A751" s="4513">
        <v>45953</v>
      </c>
      <c r="B751" s="4514" t="s">
        <v>1206</v>
      </c>
      <c r="C751" s="905" t="s">
        <v>351</v>
      </c>
      <c r="D751" s="4515">
        <v>4500181881</v>
      </c>
      <c r="E751" s="905"/>
      <c r="F751" s="4515" t="s">
        <v>5137</v>
      </c>
      <c r="G751" s="905" t="s">
        <v>2627</v>
      </c>
      <c r="H751" s="906" t="s">
        <v>2591</v>
      </c>
      <c r="I751" s="906">
        <v>552</v>
      </c>
      <c r="J751" s="906">
        <v>0</v>
      </c>
      <c r="K751" s="906">
        <v>24</v>
      </c>
      <c r="L751" s="906">
        <f t="shared" si="316"/>
        <v>23</v>
      </c>
      <c r="M751" s="4516">
        <v>45991</v>
      </c>
      <c r="N751" s="4516">
        <v>45987</v>
      </c>
      <c r="O751" s="4129"/>
      <c r="P751" s="4527" t="s">
        <v>82</v>
      </c>
      <c r="Q751" s="4527"/>
      <c r="R751" s="4159"/>
      <c r="S751" s="4159"/>
      <c r="T751" s="4159"/>
      <c r="U751" s="4148" t="s">
        <v>5138</v>
      </c>
      <c r="V751" s="3738" t="s">
        <v>5139</v>
      </c>
      <c r="W751" s="3739"/>
      <c r="X751" s="3739" t="s">
        <v>5140</v>
      </c>
      <c r="Y751" s="3739"/>
      <c r="Z751" s="906"/>
      <c r="AA751" s="3625" t="s">
        <v>5141</v>
      </c>
      <c r="AB751" s="906" t="s">
        <v>1199</v>
      </c>
      <c r="AC751" s="4523">
        <v>2.041</v>
      </c>
      <c r="AD751" s="906">
        <f t="shared" ref="AD751:AD760" si="346">AC751*I751</f>
        <v>1126.632</v>
      </c>
      <c r="AE751" s="4148" t="s">
        <v>5142</v>
      </c>
      <c r="AF751" s="905" t="s">
        <v>2627</v>
      </c>
      <c r="AG751" s="4148" t="s">
        <v>416</v>
      </c>
      <c r="AH751" s="4422"/>
      <c r="AI751" s="906"/>
      <c r="AJ751" s="906">
        <f>I751</f>
        <v>552</v>
      </c>
      <c r="AK751" s="4422"/>
      <c r="AL751" s="905"/>
      <c r="AM751" s="4528"/>
      <c r="AN751" s="906"/>
      <c r="AO751" s="906"/>
      <c r="AP751" s="4517">
        <f t="shared" si="343"/>
        <v>552</v>
      </c>
      <c r="AQ751" s="4382"/>
      <c r="AR751" s="907"/>
      <c r="AS751" s="4518">
        <f>I751</f>
        <v>552</v>
      </c>
      <c r="AT751" s="907"/>
      <c r="AU751" s="4382"/>
      <c r="AV751" s="4382"/>
      <c r="AW751" s="4382"/>
      <c r="AX751" s="4382"/>
      <c r="AY751" s="4382"/>
      <c r="AZ751" s="4382"/>
      <c r="BA751" s="4382"/>
      <c r="BB751" s="4382"/>
      <c r="BC751" s="4382"/>
      <c r="BD751" s="4382"/>
      <c r="BE751" s="4382"/>
      <c r="BF751" s="4382" t="s">
        <v>89</v>
      </c>
      <c r="BG751" s="4382"/>
      <c r="BH751" s="4518">
        <f t="shared" si="330"/>
        <v>92</v>
      </c>
      <c r="BI751" s="4518">
        <f t="shared" si="331"/>
        <v>92</v>
      </c>
      <c r="BJ751" s="4518">
        <f t="shared" si="332"/>
        <v>92</v>
      </c>
      <c r="BK751" s="4518">
        <f t="shared" si="333"/>
        <v>92</v>
      </c>
      <c r="BL751" s="4518">
        <f t="shared" si="334"/>
        <v>92</v>
      </c>
      <c r="BM751" s="4518">
        <f t="shared" si="335"/>
        <v>73.6</v>
      </c>
      <c r="BN751" s="4518">
        <f t="shared" si="336"/>
        <v>18.4</v>
      </c>
      <c r="BO751" s="907"/>
      <c r="BP751" s="907"/>
      <c r="BQ751" s="907"/>
      <c r="BR751" s="907"/>
      <c r="BS751" s="907"/>
      <c r="BT751" s="910"/>
      <c r="BU751" s="911"/>
      <c r="BV751" s="4519">
        <f t="shared" si="313"/>
        <v>552</v>
      </c>
      <c r="BW751" s="4520">
        <f t="shared" si="326"/>
        <v>0</v>
      </c>
      <c r="BX751" s="4409"/>
      <c r="BY751" s="4409"/>
      <c r="BZ751" s="4409"/>
      <c r="CA751" s="4521"/>
      <c r="CC751" s="4522"/>
      <c r="CD751" s="4521"/>
    </row>
    <row r="752" s="4317" customFormat="1" ht="50" customHeight="1" spans="1:82">
      <c r="A752" s="4513">
        <v>45957</v>
      </c>
      <c r="B752" s="4514" t="s">
        <v>1057</v>
      </c>
      <c r="C752" s="905" t="s">
        <v>396</v>
      </c>
      <c r="D752" s="4515">
        <v>4500183001</v>
      </c>
      <c r="E752" s="905" t="s">
        <v>5143</v>
      </c>
      <c r="F752" s="4515" t="s">
        <v>5144</v>
      </c>
      <c r="G752" s="905" t="s">
        <v>2619</v>
      </c>
      <c r="H752" s="905" t="s">
        <v>2620</v>
      </c>
      <c r="I752" s="906">
        <v>192</v>
      </c>
      <c r="J752" s="906">
        <v>0</v>
      </c>
      <c r="K752" s="906">
        <v>24</v>
      </c>
      <c r="L752" s="906">
        <f t="shared" si="316"/>
        <v>8</v>
      </c>
      <c r="M752" s="4516">
        <v>45994</v>
      </c>
      <c r="N752" s="4542">
        <v>45990</v>
      </c>
      <c r="O752" s="4129"/>
      <c r="P752" s="4527" t="s">
        <v>82</v>
      </c>
      <c r="Q752" s="4527"/>
      <c r="R752" s="4159"/>
      <c r="S752" s="4159"/>
      <c r="T752" s="4159"/>
      <c r="U752" s="4148" t="s">
        <v>5145</v>
      </c>
      <c r="V752" s="3739" t="s">
        <v>5146</v>
      </c>
      <c r="W752" s="3739"/>
      <c r="X752" s="3739" t="s">
        <v>5147</v>
      </c>
      <c r="Y752" s="3739"/>
      <c r="Z752" s="906"/>
      <c r="AA752" s="3625" t="s">
        <v>5148</v>
      </c>
      <c r="AB752" s="906" t="s">
        <v>405</v>
      </c>
      <c r="AC752" s="906">
        <v>2.0408</v>
      </c>
      <c r="AD752" s="906">
        <f t="shared" si="346"/>
        <v>391.8336</v>
      </c>
      <c r="AE752" s="4148"/>
      <c r="AF752" s="4544" t="s">
        <v>3444</v>
      </c>
      <c r="AG752" s="4148" t="s">
        <v>416</v>
      </c>
      <c r="AH752" s="4422"/>
      <c r="AI752" s="906"/>
      <c r="AJ752" s="906"/>
      <c r="AK752" s="4422"/>
      <c r="AL752" s="905"/>
      <c r="AM752" s="905">
        <f>I752</f>
        <v>192</v>
      </c>
      <c r="AN752" s="906"/>
      <c r="AO752" s="906"/>
      <c r="AP752" s="906">
        <f t="shared" si="343"/>
        <v>192</v>
      </c>
      <c r="AQ752" s="4382"/>
      <c r="AR752" s="907"/>
      <c r="AS752" s="4382"/>
      <c r="AT752" s="907"/>
      <c r="AU752" s="4382">
        <f>I752</f>
        <v>192</v>
      </c>
      <c r="AV752" s="4382"/>
      <c r="AW752" s="4382"/>
      <c r="AX752" s="4382"/>
      <c r="AY752" s="4382"/>
      <c r="AZ752" s="4382"/>
      <c r="BA752" s="4382"/>
      <c r="BB752" s="4382"/>
      <c r="BC752" s="4382"/>
      <c r="BD752" s="4382"/>
      <c r="BE752" s="4382"/>
      <c r="BF752" s="4382" t="s">
        <v>89</v>
      </c>
      <c r="BG752" s="4382"/>
      <c r="BH752" s="4518">
        <f t="shared" si="330"/>
        <v>32</v>
      </c>
      <c r="BI752" s="4518">
        <f t="shared" si="331"/>
        <v>32</v>
      </c>
      <c r="BJ752" s="4518">
        <f t="shared" si="332"/>
        <v>32</v>
      </c>
      <c r="BK752" s="4518">
        <f t="shared" si="333"/>
        <v>32</v>
      </c>
      <c r="BL752" s="4518">
        <f t="shared" si="334"/>
        <v>32</v>
      </c>
      <c r="BM752" s="4518">
        <f t="shared" si="335"/>
        <v>25.6</v>
      </c>
      <c r="BN752" s="4518">
        <f t="shared" si="336"/>
        <v>6.4</v>
      </c>
      <c r="BO752" s="907"/>
      <c r="BP752" s="907"/>
      <c r="BQ752" s="907"/>
      <c r="BR752" s="907"/>
      <c r="BS752" s="907"/>
      <c r="BT752" s="910"/>
      <c r="BU752" s="911"/>
      <c r="BV752" s="4519">
        <f t="shared" si="313"/>
        <v>192</v>
      </c>
      <c r="BW752" s="4520">
        <f t="shared" si="326"/>
        <v>0</v>
      </c>
      <c r="BX752" s="4543"/>
      <c r="BY752" s="4543"/>
      <c r="BZ752" s="4543"/>
      <c r="CA752" s="4521"/>
      <c r="CC752" s="4522"/>
      <c r="CD752" s="4521"/>
    </row>
    <row r="753" s="4317" customFormat="1" ht="50" customHeight="1" spans="1:82">
      <c r="A753" s="4513">
        <v>45957</v>
      </c>
      <c r="B753" s="4514" t="s">
        <v>1057</v>
      </c>
      <c r="C753" s="905" t="s">
        <v>396</v>
      </c>
      <c r="D753" s="4515">
        <v>4500183043</v>
      </c>
      <c r="E753" s="905" t="s">
        <v>5149</v>
      </c>
      <c r="F753" s="4515" t="s">
        <v>5150</v>
      </c>
      <c r="G753" s="905" t="s">
        <v>2619</v>
      </c>
      <c r="H753" s="905" t="s">
        <v>2620</v>
      </c>
      <c r="I753" s="906">
        <v>720</v>
      </c>
      <c r="J753" s="906">
        <v>0</v>
      </c>
      <c r="K753" s="906">
        <v>24</v>
      </c>
      <c r="L753" s="906">
        <f t="shared" si="316"/>
        <v>30</v>
      </c>
      <c r="M753" s="4516">
        <v>45994</v>
      </c>
      <c r="N753" s="4542">
        <v>45990</v>
      </c>
      <c r="O753" s="4129"/>
      <c r="P753" s="4527" t="s">
        <v>82</v>
      </c>
      <c r="Q753" s="4527"/>
      <c r="R753" s="4159"/>
      <c r="S753" s="4159"/>
      <c r="T753" s="4159"/>
      <c r="U753" s="4148" t="s">
        <v>5145</v>
      </c>
      <c r="V753" s="3739" t="s">
        <v>5146</v>
      </c>
      <c r="W753" s="3739"/>
      <c r="X753" s="3739" t="s">
        <v>5147</v>
      </c>
      <c r="Y753" s="3739"/>
      <c r="Z753" s="906"/>
      <c r="AA753" s="3625" t="s">
        <v>5148</v>
      </c>
      <c r="AB753" s="906" t="s">
        <v>405</v>
      </c>
      <c r="AC753" s="906">
        <v>2.0845</v>
      </c>
      <c r="AD753" s="906">
        <f t="shared" si="346"/>
        <v>1500.84</v>
      </c>
      <c r="AE753" s="4148"/>
      <c r="AF753" s="4544" t="s">
        <v>3444</v>
      </c>
      <c r="AG753" s="4148" t="s">
        <v>416</v>
      </c>
      <c r="AH753" s="4422"/>
      <c r="AI753" s="906"/>
      <c r="AJ753" s="906"/>
      <c r="AK753" s="4422"/>
      <c r="AL753" s="905"/>
      <c r="AM753" s="905">
        <f>I753</f>
        <v>720</v>
      </c>
      <c r="AN753" s="906"/>
      <c r="AO753" s="906"/>
      <c r="AP753" s="906">
        <f t="shared" si="343"/>
        <v>720</v>
      </c>
      <c r="AQ753" s="4382"/>
      <c r="AR753" s="907"/>
      <c r="AS753" s="4382"/>
      <c r="AT753" s="907"/>
      <c r="AU753" s="4382">
        <f>I753</f>
        <v>720</v>
      </c>
      <c r="AV753" s="4382"/>
      <c r="AW753" s="4382"/>
      <c r="AX753" s="4382"/>
      <c r="AY753" s="4382"/>
      <c r="AZ753" s="4382"/>
      <c r="BA753" s="4382"/>
      <c r="BB753" s="4382"/>
      <c r="BC753" s="4382"/>
      <c r="BD753" s="4382"/>
      <c r="BE753" s="4382"/>
      <c r="BF753" s="4382" t="s">
        <v>89</v>
      </c>
      <c r="BG753" s="4382"/>
      <c r="BH753" s="4518">
        <f t="shared" si="330"/>
        <v>120</v>
      </c>
      <c r="BI753" s="4518">
        <f t="shared" si="331"/>
        <v>120</v>
      </c>
      <c r="BJ753" s="4518">
        <f t="shared" si="332"/>
        <v>120</v>
      </c>
      <c r="BK753" s="4518">
        <f t="shared" si="333"/>
        <v>120</v>
      </c>
      <c r="BL753" s="4518">
        <f t="shared" si="334"/>
        <v>120</v>
      </c>
      <c r="BM753" s="4518">
        <f t="shared" si="335"/>
        <v>96</v>
      </c>
      <c r="BN753" s="4518">
        <f t="shared" si="336"/>
        <v>24</v>
      </c>
      <c r="BO753" s="907"/>
      <c r="BP753" s="907"/>
      <c r="BQ753" s="907"/>
      <c r="BR753" s="907"/>
      <c r="BS753" s="907"/>
      <c r="BT753" s="910"/>
      <c r="BU753" s="911"/>
      <c r="BV753" s="4519">
        <f t="shared" si="313"/>
        <v>720</v>
      </c>
      <c r="BW753" s="4520">
        <f t="shared" si="326"/>
        <v>0</v>
      </c>
      <c r="BX753" s="4543"/>
      <c r="BY753" s="4543"/>
      <c r="BZ753" s="4543"/>
      <c r="CA753" s="4521"/>
      <c r="CC753" s="4522"/>
      <c r="CD753" s="4521"/>
    </row>
    <row r="754" s="4317" customFormat="1" ht="50" customHeight="1" spans="1:82">
      <c r="A754" s="4513">
        <v>45957</v>
      </c>
      <c r="B754" s="4514" t="s">
        <v>1057</v>
      </c>
      <c r="C754" s="905" t="s">
        <v>396</v>
      </c>
      <c r="D754" s="4515">
        <v>4500183043</v>
      </c>
      <c r="E754" s="905" t="s">
        <v>5149</v>
      </c>
      <c r="F754" s="4515" t="s">
        <v>5151</v>
      </c>
      <c r="G754" s="905" t="s">
        <v>2619</v>
      </c>
      <c r="H754" s="905" t="s">
        <v>2620</v>
      </c>
      <c r="I754" s="906">
        <v>192</v>
      </c>
      <c r="J754" s="906">
        <v>0</v>
      </c>
      <c r="K754" s="906">
        <v>24</v>
      </c>
      <c r="L754" s="906">
        <f t="shared" si="316"/>
        <v>8</v>
      </c>
      <c r="M754" s="4516">
        <v>45994</v>
      </c>
      <c r="N754" s="4542">
        <v>45990</v>
      </c>
      <c r="O754" s="4129"/>
      <c r="P754" s="4527" t="s">
        <v>82</v>
      </c>
      <c r="Q754" s="4527"/>
      <c r="R754" s="4159"/>
      <c r="S754" s="4159"/>
      <c r="T754" s="4159"/>
      <c r="U754" s="4148" t="s">
        <v>5145</v>
      </c>
      <c r="V754" s="3739" t="s">
        <v>5146</v>
      </c>
      <c r="W754" s="3739"/>
      <c r="X754" s="3739" t="s">
        <v>5147</v>
      </c>
      <c r="Y754" s="3739"/>
      <c r="Z754" s="906"/>
      <c r="AA754" s="3625" t="s">
        <v>5148</v>
      </c>
      <c r="AB754" s="906" t="s">
        <v>405</v>
      </c>
      <c r="AC754" s="906">
        <v>2.0845</v>
      </c>
      <c r="AD754" s="906">
        <f t="shared" si="346"/>
        <v>400.224</v>
      </c>
      <c r="AE754" s="4148" t="s">
        <v>5152</v>
      </c>
      <c r="AF754" s="4544" t="s">
        <v>3444</v>
      </c>
      <c r="AG754" s="4148" t="s">
        <v>416</v>
      </c>
      <c r="AH754" s="4422"/>
      <c r="AI754" s="906"/>
      <c r="AJ754" s="906"/>
      <c r="AK754" s="4422"/>
      <c r="AL754" s="905"/>
      <c r="AM754" s="905">
        <f>I754</f>
        <v>192</v>
      </c>
      <c r="AN754" s="906"/>
      <c r="AO754" s="906"/>
      <c r="AP754" s="906">
        <f t="shared" si="343"/>
        <v>192</v>
      </c>
      <c r="AQ754" s="4382"/>
      <c r="AR754" s="907"/>
      <c r="AS754" s="4382"/>
      <c r="AT754" s="907"/>
      <c r="AU754" s="4382">
        <f>I754</f>
        <v>192</v>
      </c>
      <c r="AV754" s="4382"/>
      <c r="AW754" s="4382"/>
      <c r="AX754" s="4382"/>
      <c r="AY754" s="4382"/>
      <c r="AZ754" s="4382"/>
      <c r="BA754" s="4382"/>
      <c r="BB754" s="4382"/>
      <c r="BC754" s="4382"/>
      <c r="BD754" s="4382"/>
      <c r="BE754" s="4382"/>
      <c r="BF754" s="4382" t="s">
        <v>89</v>
      </c>
      <c r="BG754" s="4382"/>
      <c r="BH754" s="4518">
        <f t="shared" si="330"/>
        <v>32</v>
      </c>
      <c r="BI754" s="4518">
        <f t="shared" si="331"/>
        <v>32</v>
      </c>
      <c r="BJ754" s="4518">
        <f t="shared" si="332"/>
        <v>32</v>
      </c>
      <c r="BK754" s="4518">
        <f t="shared" si="333"/>
        <v>32</v>
      </c>
      <c r="BL754" s="4518">
        <f t="shared" si="334"/>
        <v>32</v>
      </c>
      <c r="BM754" s="4518">
        <f t="shared" si="335"/>
        <v>25.6</v>
      </c>
      <c r="BN754" s="4518">
        <f t="shared" si="336"/>
        <v>6.4</v>
      </c>
      <c r="BO754" s="907"/>
      <c r="BP754" s="907"/>
      <c r="BQ754" s="907"/>
      <c r="BR754" s="907"/>
      <c r="BS754" s="907"/>
      <c r="BT754" s="910"/>
      <c r="BU754" s="911"/>
      <c r="BV754" s="4519">
        <f t="shared" ref="BV754:BV760" si="347">SUM(BH754:BU754)</f>
        <v>192</v>
      </c>
      <c r="BW754" s="4520">
        <f t="shared" si="326"/>
        <v>0</v>
      </c>
      <c r="BX754" s="4543"/>
      <c r="BY754" s="4543"/>
      <c r="BZ754" s="4543"/>
      <c r="CA754" s="4521"/>
      <c r="CC754" s="4522"/>
      <c r="CD754" s="4521"/>
    </row>
    <row r="755" s="4317" customFormat="1" ht="50" customHeight="1" spans="1:82">
      <c r="A755" s="4513">
        <v>45957</v>
      </c>
      <c r="B755" s="4514" t="s">
        <v>1057</v>
      </c>
      <c r="C755" s="905" t="s">
        <v>396</v>
      </c>
      <c r="D755" s="4515">
        <v>4500183043</v>
      </c>
      <c r="E755" s="905" t="s">
        <v>5149</v>
      </c>
      <c r="F755" s="4515" t="s">
        <v>5153</v>
      </c>
      <c r="G755" s="905" t="s">
        <v>2619</v>
      </c>
      <c r="H755" s="905" t="s">
        <v>2620</v>
      </c>
      <c r="I755" s="906">
        <v>720</v>
      </c>
      <c r="J755" s="906">
        <v>0</v>
      </c>
      <c r="K755" s="906">
        <v>24</v>
      </c>
      <c r="L755" s="906">
        <f t="shared" si="316"/>
        <v>30</v>
      </c>
      <c r="M755" s="4516">
        <v>45994</v>
      </c>
      <c r="N755" s="4542">
        <v>45990</v>
      </c>
      <c r="O755" s="4129"/>
      <c r="P755" s="4527" t="s">
        <v>82</v>
      </c>
      <c r="Q755" s="4527"/>
      <c r="R755" s="4159"/>
      <c r="S755" s="4159"/>
      <c r="T755" s="4159"/>
      <c r="U755" s="4148" t="s">
        <v>5145</v>
      </c>
      <c r="V755" s="3739" t="s">
        <v>5146</v>
      </c>
      <c r="W755" s="3739"/>
      <c r="X755" s="3739" t="s">
        <v>5147</v>
      </c>
      <c r="Y755" s="3739"/>
      <c r="Z755" s="906"/>
      <c r="AA755" s="3625" t="s">
        <v>5148</v>
      </c>
      <c r="AB755" s="906" t="s">
        <v>405</v>
      </c>
      <c r="AC755" s="906">
        <v>2.0845</v>
      </c>
      <c r="AD755" s="906">
        <f t="shared" si="346"/>
        <v>1500.84</v>
      </c>
      <c r="AE755" s="4148" t="s">
        <v>5154</v>
      </c>
      <c r="AF755" s="4544" t="s">
        <v>3444</v>
      </c>
      <c r="AG755" s="4148" t="s">
        <v>416</v>
      </c>
      <c r="AH755" s="4422"/>
      <c r="AI755" s="906"/>
      <c r="AJ755" s="906"/>
      <c r="AK755" s="4422"/>
      <c r="AL755" s="905"/>
      <c r="AM755" s="905">
        <f>I755</f>
        <v>720</v>
      </c>
      <c r="AN755" s="906"/>
      <c r="AO755" s="906"/>
      <c r="AP755" s="906">
        <f t="shared" si="343"/>
        <v>720</v>
      </c>
      <c r="AQ755" s="4382"/>
      <c r="AR755" s="907"/>
      <c r="AS755" s="4382"/>
      <c r="AT755" s="907"/>
      <c r="AU755" s="4382">
        <f>I755</f>
        <v>720</v>
      </c>
      <c r="AV755" s="4382"/>
      <c r="AW755" s="4382"/>
      <c r="AX755" s="4382"/>
      <c r="AY755" s="4382"/>
      <c r="AZ755" s="4382"/>
      <c r="BA755" s="4382"/>
      <c r="BB755" s="4382"/>
      <c r="BC755" s="4382"/>
      <c r="BD755" s="4382"/>
      <c r="BE755" s="4382"/>
      <c r="BF755" s="4382" t="s">
        <v>89</v>
      </c>
      <c r="BG755" s="4382"/>
      <c r="BH755" s="4518">
        <f t="shared" si="330"/>
        <v>120</v>
      </c>
      <c r="BI755" s="4518">
        <f t="shared" si="331"/>
        <v>120</v>
      </c>
      <c r="BJ755" s="4518">
        <f t="shared" si="332"/>
        <v>120</v>
      </c>
      <c r="BK755" s="4518">
        <f t="shared" si="333"/>
        <v>120</v>
      </c>
      <c r="BL755" s="4518">
        <f t="shared" si="334"/>
        <v>120</v>
      </c>
      <c r="BM755" s="4518">
        <f t="shared" si="335"/>
        <v>96</v>
      </c>
      <c r="BN755" s="4518">
        <f t="shared" si="336"/>
        <v>24</v>
      </c>
      <c r="BO755" s="907"/>
      <c r="BP755" s="907"/>
      <c r="BQ755" s="907"/>
      <c r="BR755" s="907"/>
      <c r="BS755" s="907"/>
      <c r="BT755" s="910"/>
      <c r="BU755" s="911"/>
      <c r="BV755" s="4519">
        <f t="shared" si="347"/>
        <v>720</v>
      </c>
      <c r="BW755" s="4520">
        <f t="shared" si="326"/>
        <v>0</v>
      </c>
      <c r="BX755" s="4543"/>
      <c r="BY755" s="4543"/>
      <c r="BZ755" s="4543"/>
      <c r="CA755" s="4521"/>
      <c r="CC755" s="4522"/>
      <c r="CD755" s="4521"/>
    </row>
    <row r="756" s="4317" customFormat="1" ht="50" customHeight="1" spans="1:82">
      <c r="A756" s="4513">
        <v>45957</v>
      </c>
      <c r="B756" s="4514" t="s">
        <v>1057</v>
      </c>
      <c r="C756" s="905" t="s">
        <v>396</v>
      </c>
      <c r="D756" s="4515">
        <v>4500183043</v>
      </c>
      <c r="E756" s="905" t="s">
        <v>5149</v>
      </c>
      <c r="F756" s="4515" t="s">
        <v>5155</v>
      </c>
      <c r="G756" s="905" t="s">
        <v>2619</v>
      </c>
      <c r="H756" s="905" t="s">
        <v>2620</v>
      </c>
      <c r="I756" s="906">
        <v>192</v>
      </c>
      <c r="J756" s="906">
        <v>0</v>
      </c>
      <c r="K756" s="906">
        <v>24</v>
      </c>
      <c r="L756" s="906">
        <f t="shared" si="316"/>
        <v>8</v>
      </c>
      <c r="M756" s="4516">
        <v>45994</v>
      </c>
      <c r="N756" s="4542">
        <v>45990</v>
      </c>
      <c r="O756" s="4129"/>
      <c r="P756" s="4527" t="s">
        <v>82</v>
      </c>
      <c r="Q756" s="4527"/>
      <c r="R756" s="4159"/>
      <c r="S756" s="4159"/>
      <c r="T756" s="4159"/>
      <c r="U756" s="4148" t="s">
        <v>5145</v>
      </c>
      <c r="V756" s="3738" t="s">
        <v>5146</v>
      </c>
      <c r="W756" s="3739"/>
      <c r="X756" s="3739" t="s">
        <v>5147</v>
      </c>
      <c r="Y756" s="3739"/>
      <c r="Z756" s="906"/>
      <c r="AA756" s="3625" t="s">
        <v>5148</v>
      </c>
      <c r="AB756" s="906" t="s">
        <v>405</v>
      </c>
      <c r="AC756" s="906">
        <v>2.0845</v>
      </c>
      <c r="AD756" s="906">
        <f t="shared" si="346"/>
        <v>400.224</v>
      </c>
      <c r="AE756" s="4148" t="s">
        <v>5154</v>
      </c>
      <c r="AF756" s="4544" t="s">
        <v>3444</v>
      </c>
      <c r="AG756" s="4148" t="s">
        <v>416</v>
      </c>
      <c r="AH756" s="4422"/>
      <c r="AI756" s="906"/>
      <c r="AJ756" s="906"/>
      <c r="AK756" s="4422"/>
      <c r="AL756" s="905"/>
      <c r="AM756" s="905">
        <f>I756</f>
        <v>192</v>
      </c>
      <c r="AN756" s="906"/>
      <c r="AO756" s="906"/>
      <c r="AP756" s="906">
        <f t="shared" si="343"/>
        <v>192</v>
      </c>
      <c r="AQ756" s="4382"/>
      <c r="AR756" s="907"/>
      <c r="AS756" s="4382"/>
      <c r="AT756" s="907"/>
      <c r="AU756" s="4382">
        <f>I756</f>
        <v>192</v>
      </c>
      <c r="AV756" s="4382"/>
      <c r="AW756" s="4382"/>
      <c r="AX756" s="4382"/>
      <c r="AY756" s="4382"/>
      <c r="AZ756" s="4382"/>
      <c r="BA756" s="4382"/>
      <c r="BB756" s="4382"/>
      <c r="BC756" s="4382"/>
      <c r="BD756" s="4382"/>
      <c r="BE756" s="4382"/>
      <c r="BF756" s="4382" t="s">
        <v>89</v>
      </c>
      <c r="BG756" s="4382"/>
      <c r="BH756" s="4518">
        <f t="shared" si="330"/>
        <v>32</v>
      </c>
      <c r="BI756" s="4518">
        <f t="shared" si="331"/>
        <v>32</v>
      </c>
      <c r="BJ756" s="4518">
        <f t="shared" si="332"/>
        <v>32</v>
      </c>
      <c r="BK756" s="4518">
        <f t="shared" si="333"/>
        <v>32</v>
      </c>
      <c r="BL756" s="4518">
        <f t="shared" si="334"/>
        <v>32</v>
      </c>
      <c r="BM756" s="4518">
        <f t="shared" si="335"/>
        <v>25.6</v>
      </c>
      <c r="BN756" s="4518">
        <f t="shared" si="336"/>
        <v>6.4</v>
      </c>
      <c r="BO756" s="907"/>
      <c r="BP756" s="907"/>
      <c r="BQ756" s="907"/>
      <c r="BR756" s="907"/>
      <c r="BS756" s="907"/>
      <c r="BT756" s="910"/>
      <c r="BU756" s="911"/>
      <c r="BV756" s="4519">
        <f t="shared" si="347"/>
        <v>192</v>
      </c>
      <c r="BW756" s="4520">
        <f t="shared" si="326"/>
        <v>0</v>
      </c>
      <c r="BX756" s="4543"/>
      <c r="BY756" s="4543"/>
      <c r="BZ756" s="4543"/>
      <c r="CA756" s="4521"/>
      <c r="CC756" s="4522"/>
      <c r="CD756" s="4521"/>
    </row>
    <row r="757" s="4319" customFormat="1" ht="50" customHeight="1" spans="1:82">
      <c r="A757" s="3688">
        <v>45960</v>
      </c>
      <c r="B757" s="3689" t="s">
        <v>2189</v>
      </c>
      <c r="C757" s="3664" t="s">
        <v>91</v>
      </c>
      <c r="D757" s="3690">
        <v>4500183798</v>
      </c>
      <c r="E757" s="3664" t="s">
        <v>5156</v>
      </c>
      <c r="F757" s="3690" t="s">
        <v>5157</v>
      </c>
      <c r="G757" s="3664" t="s">
        <v>2719</v>
      </c>
      <c r="H757" s="3691" t="s">
        <v>2591</v>
      </c>
      <c r="I757" s="3691">
        <v>1800</v>
      </c>
      <c r="J757" s="3691">
        <v>0</v>
      </c>
      <c r="K757" s="3691">
        <v>6</v>
      </c>
      <c r="L757" s="3691">
        <f t="shared" si="316"/>
        <v>300</v>
      </c>
      <c r="M757" s="3659">
        <v>45996</v>
      </c>
      <c r="N757" s="4111">
        <v>45992</v>
      </c>
      <c r="O757" s="4085"/>
      <c r="P757" s="4527" t="s">
        <v>82</v>
      </c>
      <c r="Q757" s="4527"/>
      <c r="R757" s="4159"/>
      <c r="S757" s="4159"/>
      <c r="T757" s="4159"/>
      <c r="U757" s="3739" t="s">
        <v>2192</v>
      </c>
      <c r="V757" s="3691" t="s">
        <v>97</v>
      </c>
      <c r="W757" s="4545"/>
      <c r="X757" s="3657" t="s">
        <v>98</v>
      </c>
      <c r="Y757" s="3657" t="s">
        <v>2206</v>
      </c>
      <c r="Z757" s="3691"/>
      <c r="AA757" s="3620" t="s">
        <v>2188</v>
      </c>
      <c r="AB757" s="3691" t="s">
        <v>653</v>
      </c>
      <c r="AC757" s="4087">
        <v>1.2596</v>
      </c>
      <c r="AD757" s="3691">
        <f t="shared" si="346"/>
        <v>2267.28</v>
      </c>
      <c r="AE757" s="3645"/>
      <c r="AF757" s="3664" t="s">
        <v>2719</v>
      </c>
      <c r="AG757" s="3645" t="s">
        <v>416</v>
      </c>
      <c r="AH757" s="4546"/>
      <c r="AI757" s="3691"/>
      <c r="AJ757" s="3664">
        <f>I757</f>
        <v>1800</v>
      </c>
      <c r="AK757" s="4484"/>
      <c r="AL757" s="3691"/>
      <c r="AM757" s="3691"/>
      <c r="AN757" s="3691"/>
      <c r="AO757" s="4089"/>
      <c r="AP757" s="4089">
        <f t="shared" si="343"/>
        <v>1800</v>
      </c>
      <c r="AQ757" s="4089"/>
      <c r="AR757" s="4463"/>
      <c r="AS757" s="4089">
        <f>I757</f>
        <v>1800</v>
      </c>
      <c r="AT757" s="4463"/>
      <c r="AU757" s="4089"/>
      <c r="AV757" s="4089"/>
      <c r="AW757" s="4089"/>
      <c r="AX757" s="4089"/>
      <c r="AY757" s="4089"/>
      <c r="AZ757" s="4089"/>
      <c r="BA757" s="4089"/>
      <c r="BB757" s="4089"/>
      <c r="BC757" s="4089"/>
      <c r="BD757" s="4495"/>
      <c r="BE757" s="4495"/>
      <c r="BF757" s="4495" t="s">
        <v>89</v>
      </c>
      <c r="BG757" s="4495"/>
      <c r="BH757" s="4495">
        <f t="shared" si="330"/>
        <v>300</v>
      </c>
      <c r="BI757" s="4495">
        <f t="shared" si="331"/>
        <v>300</v>
      </c>
      <c r="BJ757" s="4495">
        <f t="shared" si="332"/>
        <v>300</v>
      </c>
      <c r="BK757" s="4496">
        <f t="shared" si="333"/>
        <v>300</v>
      </c>
      <c r="BL757" s="4496">
        <f t="shared" si="334"/>
        <v>300</v>
      </c>
      <c r="BM757" s="4541">
        <f t="shared" si="335"/>
        <v>240</v>
      </c>
      <c r="BN757" s="4541">
        <f t="shared" si="336"/>
        <v>60</v>
      </c>
      <c r="BO757" s="4547"/>
      <c r="BP757" s="4548"/>
      <c r="BQ757" s="4484"/>
      <c r="BR757" s="4549"/>
      <c r="BS757" s="4548"/>
      <c r="BT757" s="4463"/>
      <c r="BU757" s="4463"/>
      <c r="BV757" s="4387">
        <f t="shared" si="347"/>
        <v>1800</v>
      </c>
      <c r="BW757" s="4476">
        <f t="shared" si="326"/>
        <v>0</v>
      </c>
      <c r="BX757" s="4387"/>
      <c r="BY757" s="4387"/>
      <c r="BZ757" s="4387"/>
      <c r="CA757" s="4391"/>
      <c r="CC757" s="4392"/>
      <c r="CD757" s="4391"/>
    </row>
    <row r="758" s="4319" customFormat="1" ht="50" customHeight="1" spans="1:82">
      <c r="A758" s="3688">
        <v>45960</v>
      </c>
      <c r="B758" s="3689" t="s">
        <v>90</v>
      </c>
      <c r="C758" s="3664" t="s">
        <v>91</v>
      </c>
      <c r="D758" s="3690">
        <v>4500183797</v>
      </c>
      <c r="E758" s="3664" t="s">
        <v>5158</v>
      </c>
      <c r="F758" s="3690" t="s">
        <v>5159</v>
      </c>
      <c r="G758" s="3664" t="s">
        <v>2719</v>
      </c>
      <c r="H758" s="3691" t="s">
        <v>2591</v>
      </c>
      <c r="I758" s="3691">
        <v>1602</v>
      </c>
      <c r="J758" s="3691">
        <v>0</v>
      </c>
      <c r="K758" s="3691">
        <v>6</v>
      </c>
      <c r="L758" s="3691">
        <f t="shared" si="316"/>
        <v>267</v>
      </c>
      <c r="M758" s="3659">
        <v>45996</v>
      </c>
      <c r="N758" s="4111">
        <v>45992</v>
      </c>
      <c r="O758" s="4085"/>
      <c r="P758" s="4527" t="s">
        <v>82</v>
      </c>
      <c r="Q758" s="4527"/>
      <c r="R758" s="4159"/>
      <c r="S758" s="4159"/>
      <c r="T758" s="4159"/>
      <c r="U758" s="3739" t="s">
        <v>2186</v>
      </c>
      <c r="V758" s="3691" t="s">
        <v>97</v>
      </c>
      <c r="W758" s="4545"/>
      <c r="X758" s="3657" t="s">
        <v>98</v>
      </c>
      <c r="Y758" s="3657" t="s">
        <v>2206</v>
      </c>
      <c r="Z758" s="3691"/>
      <c r="AA758" s="3620" t="s">
        <v>2188</v>
      </c>
      <c r="AB758" s="3691" t="s">
        <v>653</v>
      </c>
      <c r="AC758" s="4087">
        <v>1.2293</v>
      </c>
      <c r="AD758" s="3691">
        <f t="shared" si="346"/>
        <v>1969.3386</v>
      </c>
      <c r="AE758" s="3645"/>
      <c r="AF758" s="3664" t="s">
        <v>2719</v>
      </c>
      <c r="AG758" s="3645" t="s">
        <v>416</v>
      </c>
      <c r="AH758" s="4484"/>
      <c r="AI758" s="3691"/>
      <c r="AJ758" s="3691">
        <f>I758</f>
        <v>1602</v>
      </c>
      <c r="AK758" s="4484"/>
      <c r="AL758" s="3664"/>
      <c r="AM758" s="3664"/>
      <c r="AN758" s="3691"/>
      <c r="AO758" s="3691"/>
      <c r="AP758" s="3691">
        <f t="shared" si="343"/>
        <v>1602</v>
      </c>
      <c r="AQ758" s="4089"/>
      <c r="AR758" s="4463"/>
      <c r="AS758" s="4089">
        <f>I758</f>
        <v>1602</v>
      </c>
      <c r="AT758" s="4463"/>
      <c r="AU758" s="4089"/>
      <c r="AV758" s="4089"/>
      <c r="AW758" s="4089"/>
      <c r="AX758" s="4089"/>
      <c r="AY758" s="4089"/>
      <c r="AZ758" s="4089"/>
      <c r="BA758" s="4089"/>
      <c r="BB758" s="4089"/>
      <c r="BC758" s="4089"/>
      <c r="BD758" s="4089"/>
      <c r="BE758" s="4089"/>
      <c r="BF758" s="4089" t="s">
        <v>89</v>
      </c>
      <c r="BG758" s="4089"/>
      <c r="BH758" s="4495">
        <f t="shared" si="330"/>
        <v>267</v>
      </c>
      <c r="BI758" s="4495">
        <f t="shared" si="331"/>
        <v>267</v>
      </c>
      <c r="BJ758" s="4495">
        <f t="shared" si="332"/>
        <v>267</v>
      </c>
      <c r="BK758" s="4495">
        <f t="shared" si="333"/>
        <v>267</v>
      </c>
      <c r="BL758" s="4495">
        <f t="shared" si="334"/>
        <v>267</v>
      </c>
      <c r="BM758" s="4495">
        <f t="shared" si="335"/>
        <v>213.6</v>
      </c>
      <c r="BN758" s="4495">
        <f t="shared" si="336"/>
        <v>53.4</v>
      </c>
      <c r="BO758" s="4463"/>
      <c r="BP758" s="4463"/>
      <c r="BQ758" s="4463"/>
      <c r="BR758" s="4463"/>
      <c r="BS758" s="4463"/>
      <c r="BT758" s="4464"/>
      <c r="BU758" s="4465"/>
      <c r="BV758" s="4496">
        <f t="shared" si="347"/>
        <v>1602</v>
      </c>
      <c r="BW758" s="4497">
        <f t="shared" si="326"/>
        <v>0</v>
      </c>
      <c r="BX758" s="4541"/>
      <c r="BY758" s="4541"/>
      <c r="BZ758" s="4541"/>
      <c r="CA758" s="4391"/>
      <c r="CC758" s="4392"/>
      <c r="CD758" s="4391"/>
    </row>
    <row r="759" s="4025" customFormat="1" ht="50" customHeight="1" spans="1:82">
      <c r="A759" s="3688">
        <v>45968</v>
      </c>
      <c r="B759" s="3689" t="s">
        <v>5160</v>
      </c>
      <c r="C759" s="3664" t="s">
        <v>3913</v>
      </c>
      <c r="D759" s="3690">
        <v>4500184755</v>
      </c>
      <c r="E759" s="3664" t="s">
        <v>5161</v>
      </c>
      <c r="F759" s="3690" t="s">
        <v>5162</v>
      </c>
      <c r="G759" s="3664" t="s">
        <v>2627</v>
      </c>
      <c r="H759" s="3691" t="s">
        <v>2591</v>
      </c>
      <c r="I759" s="3691">
        <v>720</v>
      </c>
      <c r="J759" s="3691">
        <v>0</v>
      </c>
      <c r="K759" s="3691">
        <v>24</v>
      </c>
      <c r="L759" s="3691">
        <f t="shared" si="316"/>
        <v>30</v>
      </c>
      <c r="M759" s="3659">
        <v>46003</v>
      </c>
      <c r="N759" s="4111">
        <v>45999</v>
      </c>
      <c r="O759" s="4085"/>
      <c r="P759" s="4527" t="s">
        <v>82</v>
      </c>
      <c r="Q759" s="4527"/>
      <c r="R759" s="4159"/>
      <c r="S759" s="4159"/>
      <c r="T759" s="4159"/>
      <c r="U759" s="3645" t="s">
        <v>344</v>
      </c>
      <c r="V759" s="3691" t="s">
        <v>2162</v>
      </c>
      <c r="W759" s="3657"/>
      <c r="X759" s="3657" t="s">
        <v>5163</v>
      </c>
      <c r="Y759" s="3657"/>
      <c r="Z759" s="3691"/>
      <c r="AA759" s="3620" t="s">
        <v>5164</v>
      </c>
      <c r="AB759" s="3691" t="s">
        <v>892</v>
      </c>
      <c r="AC759" s="4087">
        <v>2.107</v>
      </c>
      <c r="AD759" s="3691">
        <f t="shared" si="346"/>
        <v>1517.04</v>
      </c>
      <c r="AE759" s="3645"/>
      <c r="AF759" s="3664" t="s">
        <v>2627</v>
      </c>
      <c r="AG759" s="3645" t="s">
        <v>416</v>
      </c>
      <c r="AH759" s="4484"/>
      <c r="AI759" s="3691"/>
      <c r="AJ759" s="3691">
        <f>I759</f>
        <v>720</v>
      </c>
      <c r="AK759" s="4484"/>
      <c r="AL759" s="3664"/>
      <c r="AM759" s="3664"/>
      <c r="AN759" s="3691"/>
      <c r="AO759" s="3691"/>
      <c r="AP759" s="3691">
        <f t="shared" si="343"/>
        <v>720</v>
      </c>
      <c r="AQ759" s="4089"/>
      <c r="AR759" s="4463"/>
      <c r="AS759" s="4089">
        <f>I759</f>
        <v>720</v>
      </c>
      <c r="AT759" s="4463"/>
      <c r="AU759" s="4089"/>
      <c r="AV759" s="4089"/>
      <c r="AW759" s="4089"/>
      <c r="AX759" s="4089"/>
      <c r="AY759" s="4089"/>
      <c r="AZ759" s="4089"/>
      <c r="BA759" s="4089"/>
      <c r="BB759" s="4089"/>
      <c r="BC759" s="4089"/>
      <c r="BD759" s="4089"/>
      <c r="BE759" s="4089"/>
      <c r="BF759" s="4089" t="s">
        <v>89</v>
      </c>
      <c r="BG759" s="4089"/>
      <c r="BH759" s="4089">
        <f t="shared" si="330"/>
        <v>120</v>
      </c>
      <c r="BI759" s="4089">
        <f t="shared" si="331"/>
        <v>120</v>
      </c>
      <c r="BJ759" s="4089">
        <f t="shared" si="332"/>
        <v>120</v>
      </c>
      <c r="BK759" s="4089">
        <f t="shared" si="333"/>
        <v>120</v>
      </c>
      <c r="BL759" s="4089">
        <f t="shared" si="334"/>
        <v>120</v>
      </c>
      <c r="BM759" s="4089">
        <f t="shared" si="335"/>
        <v>96</v>
      </c>
      <c r="BN759" s="4089">
        <f t="shared" si="336"/>
        <v>24</v>
      </c>
      <c r="BO759" s="4463"/>
      <c r="BP759" s="4463"/>
      <c r="BQ759" s="4463"/>
      <c r="BR759" s="4463"/>
      <c r="BS759" s="4463"/>
      <c r="BT759" s="4464"/>
      <c r="BU759" s="4465"/>
      <c r="BV759" s="4385">
        <f t="shared" si="347"/>
        <v>720</v>
      </c>
      <c r="BW759" s="4386">
        <f t="shared" si="326"/>
        <v>0</v>
      </c>
      <c r="BX759" s="4541"/>
      <c r="BY759" s="4541"/>
      <c r="BZ759" s="4541"/>
      <c r="CA759" s="4388"/>
      <c r="CC759" s="4389"/>
      <c r="CD759" s="4388"/>
    </row>
    <row r="760" s="4318" customFormat="1" ht="50" customHeight="1" spans="1:82">
      <c r="A760" s="4513">
        <v>45960</v>
      </c>
      <c r="B760" s="4514" t="s">
        <v>3891</v>
      </c>
      <c r="C760" s="905" t="s">
        <v>341</v>
      </c>
      <c r="D760" s="4515">
        <v>4500183275</v>
      </c>
      <c r="E760" s="905" t="s">
        <v>5165</v>
      </c>
      <c r="F760" s="4515" t="s">
        <v>5166</v>
      </c>
      <c r="G760" s="905" t="s">
        <v>2917</v>
      </c>
      <c r="H760" s="906" t="s">
        <v>2620</v>
      </c>
      <c r="I760" s="906">
        <v>4800</v>
      </c>
      <c r="J760" s="906">
        <v>0</v>
      </c>
      <c r="K760" s="906">
        <v>16</v>
      </c>
      <c r="L760" s="906">
        <f t="shared" si="316"/>
        <v>300</v>
      </c>
      <c r="M760" s="4516">
        <v>45996</v>
      </c>
      <c r="N760" s="4542">
        <v>45992</v>
      </c>
      <c r="O760" s="4129"/>
      <c r="P760" s="4527" t="s">
        <v>82</v>
      </c>
      <c r="Q760" s="4527"/>
      <c r="R760" s="4159"/>
      <c r="S760" s="4159"/>
      <c r="T760" s="4159"/>
      <c r="U760" s="4148" t="s">
        <v>2186</v>
      </c>
      <c r="V760" s="3739" t="s">
        <v>5167</v>
      </c>
      <c r="W760" s="3739"/>
      <c r="X760" s="3739" t="s">
        <v>5168</v>
      </c>
      <c r="Y760" s="3739"/>
      <c r="Z760" s="906"/>
      <c r="AA760" s="3625" t="s">
        <v>5169</v>
      </c>
      <c r="AB760" s="906" t="s">
        <v>5170</v>
      </c>
      <c r="AC760" s="4523">
        <v>2.1434</v>
      </c>
      <c r="AD760" s="906">
        <f t="shared" si="346"/>
        <v>10288.32</v>
      </c>
      <c r="AE760" s="4148"/>
      <c r="AF760" s="905" t="s">
        <v>2917</v>
      </c>
      <c r="AG760" s="4148" t="s">
        <v>416</v>
      </c>
      <c r="AH760" s="4422"/>
      <c r="AI760" s="906"/>
      <c r="AJ760" s="906">
        <f>I760</f>
        <v>4800</v>
      </c>
      <c r="AK760" s="4422"/>
      <c r="AL760" s="905"/>
      <c r="AM760" s="905"/>
      <c r="AN760" s="906"/>
      <c r="AO760" s="906"/>
      <c r="AP760" s="906">
        <f t="shared" si="343"/>
        <v>4800</v>
      </c>
      <c r="AQ760" s="4382"/>
      <c r="AR760" s="907"/>
      <c r="AS760" s="4382">
        <f>I760</f>
        <v>4800</v>
      </c>
      <c r="AT760" s="907"/>
      <c r="AU760" s="4382"/>
      <c r="AV760" s="4382"/>
      <c r="AW760" s="4382"/>
      <c r="AX760" s="4382"/>
      <c r="AY760" s="4382"/>
      <c r="AZ760" s="4382"/>
      <c r="BA760" s="4382">
        <f>I760/4</f>
        <v>1200</v>
      </c>
      <c r="BB760" s="4382"/>
      <c r="BC760" s="4382"/>
      <c r="BD760" s="4382"/>
      <c r="BE760" s="4382"/>
      <c r="BF760" s="4382" t="s">
        <v>89</v>
      </c>
      <c r="BG760" s="4382"/>
      <c r="BH760" s="4518">
        <f t="shared" si="330"/>
        <v>800</v>
      </c>
      <c r="BI760" s="4518">
        <f t="shared" si="331"/>
        <v>800</v>
      </c>
      <c r="BJ760" s="4518">
        <f t="shared" si="332"/>
        <v>800</v>
      </c>
      <c r="BK760" s="4518">
        <f t="shared" si="333"/>
        <v>800</v>
      </c>
      <c r="BL760" s="4518">
        <f t="shared" si="334"/>
        <v>800</v>
      </c>
      <c r="BM760" s="4518">
        <f t="shared" si="335"/>
        <v>640</v>
      </c>
      <c r="BN760" s="4518">
        <f t="shared" si="336"/>
        <v>160</v>
      </c>
      <c r="BO760" s="4382"/>
      <c r="BP760" s="4382"/>
      <c r="BQ760" s="4382"/>
      <c r="BR760" s="4382"/>
      <c r="BS760" s="4382"/>
      <c r="BT760" s="4383"/>
      <c r="BU760" s="4384"/>
      <c r="BV760" s="4519">
        <f t="shared" si="347"/>
        <v>4800</v>
      </c>
      <c r="BW760" s="4520">
        <f t="shared" si="326"/>
        <v>0</v>
      </c>
      <c r="BX760" s="4543"/>
      <c r="BY760" s="4543"/>
      <c r="BZ760" s="4543"/>
      <c r="CA760" s="4521"/>
      <c r="CC760" s="4522"/>
      <c r="CD760" s="4521"/>
    </row>
    <row r="761" s="4318" customFormat="1" ht="50" customHeight="1" spans="1:82">
      <c r="A761" s="4513">
        <v>45988</v>
      </c>
      <c r="B761" s="4514" t="s">
        <v>3744</v>
      </c>
      <c r="C761" s="905" t="s">
        <v>91</v>
      </c>
      <c r="D761" s="4515">
        <v>4500187121</v>
      </c>
      <c r="E761" s="905" t="s">
        <v>5171</v>
      </c>
      <c r="F761" s="4515" t="s">
        <v>5172</v>
      </c>
      <c r="G761" s="905" t="s">
        <v>5173</v>
      </c>
      <c r="H761" s="905" t="s">
        <v>3069</v>
      </c>
      <c r="I761" s="906">
        <v>1200</v>
      </c>
      <c r="J761" s="906">
        <v>6</v>
      </c>
      <c r="K761" s="906">
        <v>300</v>
      </c>
      <c r="L761" s="906">
        <f t="shared" si="316"/>
        <v>4</v>
      </c>
      <c r="M761" s="4516">
        <v>45999</v>
      </c>
      <c r="N761" s="4542">
        <v>45995</v>
      </c>
      <c r="O761" s="4129" t="s">
        <v>5174</v>
      </c>
      <c r="P761" s="4527" t="s">
        <v>82</v>
      </c>
      <c r="Q761" s="4527"/>
      <c r="R761" s="4159"/>
      <c r="S761" s="4159"/>
      <c r="T761" s="4159"/>
      <c r="U761" s="4148" t="s">
        <v>2194</v>
      </c>
      <c r="V761" s="3739" t="s">
        <v>5175</v>
      </c>
      <c r="W761" s="3739"/>
      <c r="X761" s="3739" t="s">
        <v>98</v>
      </c>
      <c r="Y761" s="3739"/>
      <c r="Z761" s="906"/>
      <c r="AA761" s="3625" t="s">
        <v>5176</v>
      </c>
      <c r="AB761" s="906" t="s">
        <v>1607</v>
      </c>
      <c r="AC761" s="4523">
        <v>385.03</v>
      </c>
      <c r="AD761" s="906">
        <f>AC761*L761</f>
        <v>1540.12</v>
      </c>
      <c r="AE761" s="4148"/>
      <c r="AF761" s="4544" t="s">
        <v>5173</v>
      </c>
      <c r="AG761" s="4148" t="s">
        <v>416</v>
      </c>
      <c r="AH761" s="4422"/>
      <c r="AI761" s="906"/>
      <c r="AJ761" s="906"/>
      <c r="AK761" s="4422"/>
      <c r="AL761" s="905"/>
      <c r="AM761" s="905"/>
      <c r="AN761" s="4517">
        <f>I761</f>
        <v>1200</v>
      </c>
      <c r="AO761" s="906"/>
      <c r="AP761" s="4517">
        <f t="shared" si="343"/>
        <v>1200</v>
      </c>
      <c r="AQ761" s="4382"/>
      <c r="AR761" s="907"/>
      <c r="AS761" s="4518">
        <f>I761</f>
        <v>1200</v>
      </c>
      <c r="AT761" s="907"/>
      <c r="AU761" s="4382"/>
      <c r="AV761" s="4382"/>
      <c r="AW761" s="4382"/>
      <c r="AX761" s="4382"/>
      <c r="AY761" s="4382"/>
      <c r="AZ761" s="4382"/>
      <c r="BA761" s="4382"/>
      <c r="BB761" s="4382"/>
      <c r="BC761" s="4382"/>
      <c r="BD761" s="4382"/>
      <c r="BE761" s="4382"/>
      <c r="BF761" s="4382" t="s">
        <v>89</v>
      </c>
      <c r="BG761" s="4382"/>
      <c r="BH761" s="4518">
        <f t="shared" ref="BH761:BH824" si="348">I761/60*10</f>
        <v>200</v>
      </c>
      <c r="BI761" s="4518">
        <f t="shared" ref="BI761:BI824" si="349">I761/60*10</f>
        <v>200</v>
      </c>
      <c r="BJ761" s="4518">
        <f t="shared" ref="BJ761:BJ824" si="350">I761/60*10</f>
        <v>200</v>
      </c>
      <c r="BK761" s="4518">
        <f t="shared" ref="BK761:BK824" si="351">I761/60*10</f>
        <v>200</v>
      </c>
      <c r="BL761" s="4518">
        <f t="shared" ref="BL761:BL824" si="352">I761/60*10</f>
        <v>200</v>
      </c>
      <c r="BM761" s="4518">
        <f t="shared" ref="BM761:BM824" si="353">I761/60*8</f>
        <v>160</v>
      </c>
      <c r="BN761" s="4518">
        <f t="shared" ref="BN761:BN824" si="354">I761/60*2</f>
        <v>40</v>
      </c>
      <c r="BO761" s="4417"/>
      <c r="BP761" s="4417"/>
      <c r="BQ761" s="4417"/>
      <c r="BR761" s="4417"/>
      <c r="BS761" s="4417"/>
      <c r="BT761" s="4472"/>
      <c r="BU761" s="4418"/>
      <c r="BV761" s="4519">
        <f t="shared" ref="BV761:BV824" si="355">SUM(BH761:BU761)</f>
        <v>1200</v>
      </c>
      <c r="BW761" s="4520">
        <f t="shared" si="326"/>
        <v>0</v>
      </c>
      <c r="BX761" s="4543"/>
      <c r="BY761" s="4543"/>
      <c r="BZ761" s="4543"/>
      <c r="CA761" s="4550"/>
      <c r="CC761" s="4551"/>
      <c r="CD761" s="4550"/>
    </row>
    <row r="762" s="4318" customFormat="1" ht="50" customHeight="1" spans="1:82">
      <c r="A762" s="4513">
        <v>45988</v>
      </c>
      <c r="B762" s="4514" t="s">
        <v>3744</v>
      </c>
      <c r="C762" s="905" t="s">
        <v>91</v>
      </c>
      <c r="D762" s="4515">
        <v>4500187121</v>
      </c>
      <c r="E762" s="905" t="s">
        <v>5177</v>
      </c>
      <c r="F762" s="4515" t="s">
        <v>5178</v>
      </c>
      <c r="G762" s="905" t="s">
        <v>5173</v>
      </c>
      <c r="H762" s="905" t="s">
        <v>3069</v>
      </c>
      <c r="I762" s="906">
        <v>900</v>
      </c>
      <c r="J762" s="906">
        <v>6</v>
      </c>
      <c r="K762" s="906">
        <v>300</v>
      </c>
      <c r="L762" s="906">
        <f t="shared" ref="L762:L825" si="356">I762/K762</f>
        <v>3</v>
      </c>
      <c r="M762" s="4516">
        <v>45999</v>
      </c>
      <c r="N762" s="4542">
        <v>45995</v>
      </c>
      <c r="O762" s="4129" t="s">
        <v>5174</v>
      </c>
      <c r="P762" s="4527" t="s">
        <v>82</v>
      </c>
      <c r="Q762" s="4527"/>
      <c r="R762" s="4159"/>
      <c r="S762" s="4159"/>
      <c r="T762" s="4159"/>
      <c r="U762" s="4148" t="s">
        <v>2194</v>
      </c>
      <c r="V762" s="3739" t="s">
        <v>5175</v>
      </c>
      <c r="W762" s="3739"/>
      <c r="X762" s="3739" t="s">
        <v>98</v>
      </c>
      <c r="Y762" s="3739"/>
      <c r="Z762" s="906"/>
      <c r="AA762" s="3625" t="s">
        <v>5176</v>
      </c>
      <c r="AB762" s="906" t="s">
        <v>1607</v>
      </c>
      <c r="AC762" s="4523">
        <v>385.03</v>
      </c>
      <c r="AD762" s="906">
        <f t="shared" ref="AD762:AD781" si="357">AC762*L762</f>
        <v>1155.09</v>
      </c>
      <c r="AE762" s="4148"/>
      <c r="AF762" s="4544" t="s">
        <v>5173</v>
      </c>
      <c r="AG762" s="4148" t="s">
        <v>416</v>
      </c>
      <c r="AH762" s="4422"/>
      <c r="AI762" s="906"/>
      <c r="AJ762" s="906"/>
      <c r="AK762" s="4422"/>
      <c r="AL762" s="905"/>
      <c r="AM762" s="905"/>
      <c r="AN762" s="4517">
        <f t="shared" ref="AN762:AN781" si="358">I762</f>
        <v>900</v>
      </c>
      <c r="AO762" s="906"/>
      <c r="AP762" s="4517">
        <f t="shared" ref="AP762:AP819" si="359">I762</f>
        <v>900</v>
      </c>
      <c r="AQ762" s="4382"/>
      <c r="AR762" s="907"/>
      <c r="AS762" s="4518">
        <f t="shared" ref="AS762:AS803" si="360">I762</f>
        <v>900</v>
      </c>
      <c r="AT762" s="907"/>
      <c r="AU762" s="4382"/>
      <c r="AV762" s="4382"/>
      <c r="AW762" s="4382"/>
      <c r="AX762" s="4382"/>
      <c r="AY762" s="4382"/>
      <c r="AZ762" s="4382"/>
      <c r="BA762" s="4382"/>
      <c r="BB762" s="4382"/>
      <c r="BC762" s="4382"/>
      <c r="BD762" s="4382"/>
      <c r="BE762" s="4382"/>
      <c r="BF762" s="4382" t="s">
        <v>89</v>
      </c>
      <c r="BG762" s="4382"/>
      <c r="BH762" s="4518">
        <f t="shared" si="348"/>
        <v>150</v>
      </c>
      <c r="BI762" s="4518">
        <f t="shared" si="349"/>
        <v>150</v>
      </c>
      <c r="BJ762" s="4518">
        <f t="shared" si="350"/>
        <v>150</v>
      </c>
      <c r="BK762" s="4518">
        <f t="shared" si="351"/>
        <v>150</v>
      </c>
      <c r="BL762" s="4518">
        <f t="shared" si="352"/>
        <v>150</v>
      </c>
      <c r="BM762" s="4518">
        <f t="shared" si="353"/>
        <v>120</v>
      </c>
      <c r="BN762" s="4518">
        <f t="shared" si="354"/>
        <v>30</v>
      </c>
      <c r="BO762" s="4417"/>
      <c r="BP762" s="4417"/>
      <c r="BQ762" s="4417"/>
      <c r="BR762" s="4417"/>
      <c r="BS762" s="4417"/>
      <c r="BT762" s="4472"/>
      <c r="BU762" s="4418"/>
      <c r="BV762" s="4519">
        <f t="shared" si="355"/>
        <v>900</v>
      </c>
      <c r="BW762" s="4520">
        <f t="shared" si="326"/>
        <v>0</v>
      </c>
      <c r="BX762" s="4543"/>
      <c r="BY762" s="4543"/>
      <c r="BZ762" s="4543"/>
      <c r="CA762" s="4550"/>
      <c r="CC762" s="4551"/>
      <c r="CD762" s="4550"/>
    </row>
    <row r="763" s="4318" customFormat="1" ht="50" customHeight="1" spans="1:82">
      <c r="A763" s="4513">
        <v>45988</v>
      </c>
      <c r="B763" s="4514" t="s">
        <v>3744</v>
      </c>
      <c r="C763" s="905" t="s">
        <v>91</v>
      </c>
      <c r="D763" s="4515">
        <v>4500187121</v>
      </c>
      <c r="E763" s="905" t="s">
        <v>5179</v>
      </c>
      <c r="F763" s="4515" t="s">
        <v>5180</v>
      </c>
      <c r="G763" s="905" t="s">
        <v>5173</v>
      </c>
      <c r="H763" s="905" t="s">
        <v>3069</v>
      </c>
      <c r="I763" s="906">
        <v>2100</v>
      </c>
      <c r="J763" s="906">
        <v>6</v>
      </c>
      <c r="K763" s="906">
        <v>300</v>
      </c>
      <c r="L763" s="906">
        <f t="shared" si="356"/>
        <v>7</v>
      </c>
      <c r="M763" s="4516">
        <v>45999</v>
      </c>
      <c r="N763" s="4542">
        <v>45995</v>
      </c>
      <c r="O763" s="4129" t="s">
        <v>5174</v>
      </c>
      <c r="P763" s="4527" t="s">
        <v>82</v>
      </c>
      <c r="Q763" s="4527"/>
      <c r="R763" s="4159"/>
      <c r="S763" s="4159"/>
      <c r="T763" s="4159"/>
      <c r="U763" s="4148" t="s">
        <v>2194</v>
      </c>
      <c r="V763" s="3739" t="s">
        <v>5175</v>
      </c>
      <c r="W763" s="3739"/>
      <c r="X763" s="3739" t="s">
        <v>98</v>
      </c>
      <c r="Y763" s="3739"/>
      <c r="Z763" s="906"/>
      <c r="AA763" s="3625" t="s">
        <v>5176</v>
      </c>
      <c r="AB763" s="906" t="s">
        <v>1607</v>
      </c>
      <c r="AC763" s="4523">
        <v>385.03</v>
      </c>
      <c r="AD763" s="906">
        <f t="shared" si="357"/>
        <v>2695.21</v>
      </c>
      <c r="AE763" s="4148"/>
      <c r="AF763" s="4544" t="s">
        <v>5173</v>
      </c>
      <c r="AG763" s="4148" t="s">
        <v>416</v>
      </c>
      <c r="AH763" s="4422"/>
      <c r="AI763" s="906"/>
      <c r="AJ763" s="906"/>
      <c r="AK763" s="4422"/>
      <c r="AL763" s="905"/>
      <c r="AM763" s="905"/>
      <c r="AN763" s="4517">
        <f t="shared" si="358"/>
        <v>2100</v>
      </c>
      <c r="AO763" s="906"/>
      <c r="AP763" s="4517">
        <f t="shared" si="359"/>
        <v>2100</v>
      </c>
      <c r="AQ763" s="4382"/>
      <c r="AR763" s="907"/>
      <c r="AS763" s="4518">
        <f t="shared" si="360"/>
        <v>2100</v>
      </c>
      <c r="AT763" s="907"/>
      <c r="AU763" s="4382"/>
      <c r="AV763" s="4382"/>
      <c r="AW763" s="4382"/>
      <c r="AX763" s="4382"/>
      <c r="AY763" s="4382"/>
      <c r="AZ763" s="4382"/>
      <c r="BA763" s="4382"/>
      <c r="BB763" s="4382"/>
      <c r="BC763" s="4382"/>
      <c r="BD763" s="4382"/>
      <c r="BE763" s="4382"/>
      <c r="BF763" s="4382" t="s">
        <v>89</v>
      </c>
      <c r="BG763" s="4382"/>
      <c r="BH763" s="4518">
        <f t="shared" si="348"/>
        <v>350</v>
      </c>
      <c r="BI763" s="4518">
        <f t="shared" si="349"/>
        <v>350</v>
      </c>
      <c r="BJ763" s="4518">
        <f t="shared" si="350"/>
        <v>350</v>
      </c>
      <c r="BK763" s="4518">
        <f t="shared" si="351"/>
        <v>350</v>
      </c>
      <c r="BL763" s="4518">
        <f t="shared" si="352"/>
        <v>350</v>
      </c>
      <c r="BM763" s="4518">
        <f t="shared" si="353"/>
        <v>280</v>
      </c>
      <c r="BN763" s="4518">
        <f t="shared" si="354"/>
        <v>70</v>
      </c>
      <c r="BO763" s="4417"/>
      <c r="BP763" s="4417"/>
      <c r="BQ763" s="4417"/>
      <c r="BR763" s="4417"/>
      <c r="BS763" s="4417"/>
      <c r="BT763" s="4472"/>
      <c r="BU763" s="4418"/>
      <c r="BV763" s="4519">
        <f t="shared" si="355"/>
        <v>2100</v>
      </c>
      <c r="BW763" s="4520">
        <f t="shared" si="326"/>
        <v>0</v>
      </c>
      <c r="BX763" s="4543"/>
      <c r="BY763" s="4543"/>
      <c r="BZ763" s="4543"/>
      <c r="CA763" s="4550"/>
      <c r="CC763" s="4551"/>
      <c r="CD763" s="4550"/>
    </row>
    <row r="764" s="4318" customFormat="1" ht="50" customHeight="1" spans="1:82">
      <c r="A764" s="4513">
        <v>45988</v>
      </c>
      <c r="B764" s="4514" t="s">
        <v>3744</v>
      </c>
      <c r="C764" s="905" t="s">
        <v>91</v>
      </c>
      <c r="D764" s="4515">
        <v>4500187121</v>
      </c>
      <c r="E764" s="905" t="s">
        <v>5181</v>
      </c>
      <c r="F764" s="4515" t="s">
        <v>5182</v>
      </c>
      <c r="G764" s="905" t="s">
        <v>5173</v>
      </c>
      <c r="H764" s="905" t="s">
        <v>3069</v>
      </c>
      <c r="I764" s="906">
        <v>1500</v>
      </c>
      <c r="J764" s="906">
        <v>6</v>
      </c>
      <c r="K764" s="906">
        <v>300</v>
      </c>
      <c r="L764" s="906">
        <f t="shared" si="356"/>
        <v>5</v>
      </c>
      <c r="M764" s="4516">
        <v>45999</v>
      </c>
      <c r="N764" s="4542">
        <v>45995</v>
      </c>
      <c r="O764" s="4129" t="s">
        <v>5174</v>
      </c>
      <c r="P764" s="4527" t="s">
        <v>82</v>
      </c>
      <c r="Q764" s="4527"/>
      <c r="R764" s="4159"/>
      <c r="S764" s="4159"/>
      <c r="T764" s="4159"/>
      <c r="U764" s="4148" t="s">
        <v>2194</v>
      </c>
      <c r="V764" s="3739" t="s">
        <v>5175</v>
      </c>
      <c r="W764" s="3739"/>
      <c r="X764" s="3739" t="s">
        <v>98</v>
      </c>
      <c r="Y764" s="3739"/>
      <c r="Z764" s="906"/>
      <c r="AA764" s="3625" t="s">
        <v>5176</v>
      </c>
      <c r="AB764" s="906" t="s">
        <v>1607</v>
      </c>
      <c r="AC764" s="4523">
        <v>382.456</v>
      </c>
      <c r="AD764" s="906">
        <f t="shared" si="357"/>
        <v>1912.28</v>
      </c>
      <c r="AE764" s="4148"/>
      <c r="AF764" s="4544" t="s">
        <v>5173</v>
      </c>
      <c r="AG764" s="4148" t="s">
        <v>416</v>
      </c>
      <c r="AH764" s="4422"/>
      <c r="AI764" s="906"/>
      <c r="AJ764" s="906"/>
      <c r="AK764" s="4422"/>
      <c r="AL764" s="905"/>
      <c r="AM764" s="905"/>
      <c r="AN764" s="4517">
        <f t="shared" si="358"/>
        <v>1500</v>
      </c>
      <c r="AO764" s="906"/>
      <c r="AP764" s="4517">
        <f t="shared" si="359"/>
        <v>1500</v>
      </c>
      <c r="AQ764" s="4382"/>
      <c r="AR764" s="907"/>
      <c r="AS764" s="4518">
        <f t="shared" si="360"/>
        <v>1500</v>
      </c>
      <c r="AT764" s="907"/>
      <c r="AU764" s="4382"/>
      <c r="AV764" s="4382"/>
      <c r="AW764" s="4382"/>
      <c r="AX764" s="4382"/>
      <c r="AY764" s="4382"/>
      <c r="AZ764" s="4382"/>
      <c r="BA764" s="4382"/>
      <c r="BB764" s="4382"/>
      <c r="BC764" s="4382"/>
      <c r="BD764" s="4382"/>
      <c r="BE764" s="4382"/>
      <c r="BF764" s="4382" t="s">
        <v>89</v>
      </c>
      <c r="BG764" s="4382"/>
      <c r="BH764" s="4518">
        <f t="shared" si="348"/>
        <v>250</v>
      </c>
      <c r="BI764" s="4518">
        <f t="shared" si="349"/>
        <v>250</v>
      </c>
      <c r="BJ764" s="4518">
        <f t="shared" si="350"/>
        <v>250</v>
      </c>
      <c r="BK764" s="4518">
        <f t="shared" si="351"/>
        <v>250</v>
      </c>
      <c r="BL764" s="4518">
        <f t="shared" si="352"/>
        <v>250</v>
      </c>
      <c r="BM764" s="4518">
        <f t="shared" si="353"/>
        <v>200</v>
      </c>
      <c r="BN764" s="4518">
        <f t="shared" si="354"/>
        <v>50</v>
      </c>
      <c r="BO764" s="4417"/>
      <c r="BP764" s="4417"/>
      <c r="BQ764" s="4417"/>
      <c r="BR764" s="4417"/>
      <c r="BS764" s="4417"/>
      <c r="BT764" s="4472"/>
      <c r="BU764" s="4418"/>
      <c r="BV764" s="4519">
        <f t="shared" si="355"/>
        <v>1500</v>
      </c>
      <c r="BW764" s="4520">
        <f t="shared" si="326"/>
        <v>0</v>
      </c>
      <c r="BX764" s="4543"/>
      <c r="BY764" s="4543"/>
      <c r="BZ764" s="4543"/>
      <c r="CA764" s="4550"/>
      <c r="CC764" s="4551"/>
      <c r="CD764" s="4550"/>
    </row>
    <row r="765" s="4318" customFormat="1" ht="50" customHeight="1" spans="1:82">
      <c r="A765" s="4513">
        <v>45988</v>
      </c>
      <c r="B765" s="4514" t="s">
        <v>3744</v>
      </c>
      <c r="C765" s="905" t="s">
        <v>91</v>
      </c>
      <c r="D765" s="4515">
        <v>4500187121</v>
      </c>
      <c r="E765" s="905" t="s">
        <v>5183</v>
      </c>
      <c r="F765" s="4515" t="s">
        <v>5184</v>
      </c>
      <c r="G765" s="905" t="s">
        <v>5173</v>
      </c>
      <c r="H765" s="905" t="s">
        <v>3069</v>
      </c>
      <c r="I765" s="906">
        <v>2400</v>
      </c>
      <c r="J765" s="906">
        <v>6</v>
      </c>
      <c r="K765" s="906">
        <v>300</v>
      </c>
      <c r="L765" s="906">
        <f t="shared" si="356"/>
        <v>8</v>
      </c>
      <c r="M765" s="4516">
        <v>45999</v>
      </c>
      <c r="N765" s="4542">
        <v>45995</v>
      </c>
      <c r="O765" s="4129" t="s">
        <v>5174</v>
      </c>
      <c r="P765" s="4527" t="s">
        <v>82</v>
      </c>
      <c r="Q765" s="4527"/>
      <c r="R765" s="4159"/>
      <c r="S765" s="4159"/>
      <c r="T765" s="4159"/>
      <c r="U765" s="4148" t="s">
        <v>2194</v>
      </c>
      <c r="V765" s="3739" t="s">
        <v>5175</v>
      </c>
      <c r="W765" s="3739"/>
      <c r="X765" s="3739" t="s">
        <v>98</v>
      </c>
      <c r="Y765" s="3739"/>
      <c r="Z765" s="906"/>
      <c r="AA765" s="3625" t="s">
        <v>5176</v>
      </c>
      <c r="AB765" s="906" t="s">
        <v>1607</v>
      </c>
      <c r="AC765" s="4523">
        <v>382.455</v>
      </c>
      <c r="AD765" s="906">
        <f t="shared" si="357"/>
        <v>3059.64</v>
      </c>
      <c r="AE765" s="4148"/>
      <c r="AF765" s="4544" t="s">
        <v>5173</v>
      </c>
      <c r="AG765" s="4148" t="s">
        <v>416</v>
      </c>
      <c r="AH765" s="4422"/>
      <c r="AI765" s="906"/>
      <c r="AJ765" s="906"/>
      <c r="AK765" s="4422"/>
      <c r="AL765" s="905"/>
      <c r="AM765" s="905"/>
      <c r="AN765" s="4517">
        <f t="shared" si="358"/>
        <v>2400</v>
      </c>
      <c r="AO765" s="906"/>
      <c r="AP765" s="4517">
        <f t="shared" si="359"/>
        <v>2400</v>
      </c>
      <c r="AQ765" s="4382"/>
      <c r="AR765" s="907"/>
      <c r="AS765" s="4518">
        <f t="shared" si="360"/>
        <v>2400</v>
      </c>
      <c r="AT765" s="907"/>
      <c r="AU765" s="4382"/>
      <c r="AV765" s="4382"/>
      <c r="AW765" s="4382"/>
      <c r="AX765" s="4382"/>
      <c r="AY765" s="4382"/>
      <c r="AZ765" s="4382"/>
      <c r="BA765" s="4382"/>
      <c r="BB765" s="4382"/>
      <c r="BC765" s="4382"/>
      <c r="BD765" s="4382"/>
      <c r="BE765" s="4382"/>
      <c r="BF765" s="4382" t="s">
        <v>89</v>
      </c>
      <c r="BG765" s="4382"/>
      <c r="BH765" s="4518">
        <f t="shared" si="348"/>
        <v>400</v>
      </c>
      <c r="BI765" s="4518">
        <f t="shared" si="349"/>
        <v>400</v>
      </c>
      <c r="BJ765" s="4518">
        <f t="shared" si="350"/>
        <v>400</v>
      </c>
      <c r="BK765" s="4518">
        <f t="shared" si="351"/>
        <v>400</v>
      </c>
      <c r="BL765" s="4518">
        <f t="shared" si="352"/>
        <v>400</v>
      </c>
      <c r="BM765" s="4518">
        <f t="shared" si="353"/>
        <v>320</v>
      </c>
      <c r="BN765" s="4518">
        <f t="shared" si="354"/>
        <v>80</v>
      </c>
      <c r="BO765" s="4417"/>
      <c r="BP765" s="4417"/>
      <c r="BQ765" s="4417"/>
      <c r="BR765" s="4417"/>
      <c r="BS765" s="4417"/>
      <c r="BT765" s="4472"/>
      <c r="BU765" s="4418"/>
      <c r="BV765" s="4519">
        <f t="shared" si="355"/>
        <v>2400</v>
      </c>
      <c r="BW765" s="4520">
        <f t="shared" si="326"/>
        <v>0</v>
      </c>
      <c r="BX765" s="4543"/>
      <c r="BY765" s="4543"/>
      <c r="BZ765" s="4543"/>
      <c r="CA765" s="4550"/>
      <c r="CC765" s="4551"/>
      <c r="CD765" s="4550"/>
    </row>
    <row r="766" s="4318" customFormat="1" ht="50" customHeight="1" spans="1:82">
      <c r="A766" s="4513">
        <v>45988</v>
      </c>
      <c r="B766" s="4514" t="s">
        <v>3744</v>
      </c>
      <c r="C766" s="905" t="s">
        <v>91</v>
      </c>
      <c r="D766" s="4515">
        <v>4500187121</v>
      </c>
      <c r="E766" s="905" t="s">
        <v>5185</v>
      </c>
      <c r="F766" s="4515" t="s">
        <v>5186</v>
      </c>
      <c r="G766" s="905" t="s">
        <v>5173</v>
      </c>
      <c r="H766" s="905" t="s">
        <v>3069</v>
      </c>
      <c r="I766" s="906">
        <v>1500</v>
      </c>
      <c r="J766" s="906">
        <v>6</v>
      </c>
      <c r="K766" s="906">
        <v>300</v>
      </c>
      <c r="L766" s="906">
        <f t="shared" si="356"/>
        <v>5</v>
      </c>
      <c r="M766" s="4516">
        <v>45999</v>
      </c>
      <c r="N766" s="4542">
        <v>45995</v>
      </c>
      <c r="O766" s="4129" t="s">
        <v>5174</v>
      </c>
      <c r="P766" s="4527" t="s">
        <v>82</v>
      </c>
      <c r="Q766" s="4527"/>
      <c r="R766" s="4159"/>
      <c r="S766" s="4159"/>
      <c r="T766" s="4159"/>
      <c r="U766" s="4148" t="s">
        <v>2194</v>
      </c>
      <c r="V766" s="3739" t="s">
        <v>5175</v>
      </c>
      <c r="W766" s="3739"/>
      <c r="X766" s="3739" t="s">
        <v>98</v>
      </c>
      <c r="Y766" s="3739"/>
      <c r="Z766" s="906"/>
      <c r="AA766" s="3625" t="s">
        <v>5176</v>
      </c>
      <c r="AB766" s="906" t="s">
        <v>1607</v>
      </c>
      <c r="AC766" s="4523">
        <v>382.456</v>
      </c>
      <c r="AD766" s="906">
        <f t="shared" si="357"/>
        <v>1912.28</v>
      </c>
      <c r="AE766" s="4148"/>
      <c r="AF766" s="4544" t="s">
        <v>5173</v>
      </c>
      <c r="AG766" s="4148" t="s">
        <v>416</v>
      </c>
      <c r="AH766" s="4422"/>
      <c r="AI766" s="906"/>
      <c r="AJ766" s="906"/>
      <c r="AK766" s="4422"/>
      <c r="AL766" s="905"/>
      <c r="AM766" s="905"/>
      <c r="AN766" s="4517">
        <f t="shared" si="358"/>
        <v>1500</v>
      </c>
      <c r="AO766" s="906"/>
      <c r="AP766" s="4517">
        <f t="shared" si="359"/>
        <v>1500</v>
      </c>
      <c r="AQ766" s="4382"/>
      <c r="AR766" s="907"/>
      <c r="AS766" s="4518">
        <f t="shared" si="360"/>
        <v>1500</v>
      </c>
      <c r="AT766" s="907"/>
      <c r="AU766" s="4382"/>
      <c r="AV766" s="4382"/>
      <c r="AW766" s="4382"/>
      <c r="AX766" s="4382"/>
      <c r="AY766" s="4382"/>
      <c r="AZ766" s="4382"/>
      <c r="BA766" s="4382"/>
      <c r="BB766" s="4382"/>
      <c r="BC766" s="4382"/>
      <c r="BD766" s="4382"/>
      <c r="BE766" s="4382"/>
      <c r="BF766" s="4382" t="s">
        <v>89</v>
      </c>
      <c r="BG766" s="4382"/>
      <c r="BH766" s="4518">
        <f t="shared" si="348"/>
        <v>250</v>
      </c>
      <c r="BI766" s="4518">
        <f t="shared" si="349"/>
        <v>250</v>
      </c>
      <c r="BJ766" s="4518">
        <f t="shared" si="350"/>
        <v>250</v>
      </c>
      <c r="BK766" s="4518">
        <f t="shared" si="351"/>
        <v>250</v>
      </c>
      <c r="BL766" s="4518">
        <f t="shared" si="352"/>
        <v>250</v>
      </c>
      <c r="BM766" s="4518">
        <f t="shared" si="353"/>
        <v>200</v>
      </c>
      <c r="BN766" s="4518">
        <f t="shared" si="354"/>
        <v>50</v>
      </c>
      <c r="BO766" s="4417"/>
      <c r="BP766" s="4417"/>
      <c r="BQ766" s="4417"/>
      <c r="BR766" s="4417"/>
      <c r="BS766" s="4417"/>
      <c r="BT766" s="4472"/>
      <c r="BU766" s="4418"/>
      <c r="BV766" s="4519">
        <f t="shared" si="355"/>
        <v>1500</v>
      </c>
      <c r="BW766" s="4520">
        <f t="shared" si="326"/>
        <v>0</v>
      </c>
      <c r="BX766" s="4543"/>
      <c r="BY766" s="4543"/>
      <c r="BZ766" s="4543"/>
      <c r="CA766" s="4550"/>
      <c r="CC766" s="4551"/>
      <c r="CD766" s="4550"/>
    </row>
    <row r="767" s="4318" customFormat="1" ht="50" customHeight="1" spans="1:82">
      <c r="A767" s="4513">
        <v>45988</v>
      </c>
      <c r="B767" s="4514" t="s">
        <v>3744</v>
      </c>
      <c r="C767" s="905" t="s">
        <v>91</v>
      </c>
      <c r="D767" s="4515">
        <v>4500187121</v>
      </c>
      <c r="E767" s="905" t="s">
        <v>5187</v>
      </c>
      <c r="F767" s="4515" t="s">
        <v>5188</v>
      </c>
      <c r="G767" s="905" t="s">
        <v>5173</v>
      </c>
      <c r="H767" s="905" t="s">
        <v>3069</v>
      </c>
      <c r="I767" s="906">
        <v>2400</v>
      </c>
      <c r="J767" s="906">
        <v>6</v>
      </c>
      <c r="K767" s="906">
        <v>300</v>
      </c>
      <c r="L767" s="906">
        <f t="shared" si="356"/>
        <v>8</v>
      </c>
      <c r="M767" s="4516">
        <v>45999</v>
      </c>
      <c r="N767" s="4542">
        <v>45995</v>
      </c>
      <c r="O767" s="4129" t="s">
        <v>5174</v>
      </c>
      <c r="P767" s="4527" t="s">
        <v>82</v>
      </c>
      <c r="Q767" s="4527"/>
      <c r="R767" s="4159"/>
      <c r="S767" s="4159"/>
      <c r="T767" s="4159"/>
      <c r="U767" s="4148" t="s">
        <v>2194</v>
      </c>
      <c r="V767" s="3739" t="s">
        <v>5175</v>
      </c>
      <c r="W767" s="3739"/>
      <c r="X767" s="3739" t="s">
        <v>98</v>
      </c>
      <c r="Y767" s="3739"/>
      <c r="Z767" s="906"/>
      <c r="AA767" s="3625" t="s">
        <v>5176</v>
      </c>
      <c r="AB767" s="906" t="s">
        <v>1607</v>
      </c>
      <c r="AC767" s="4523">
        <v>382.455</v>
      </c>
      <c r="AD767" s="906">
        <f t="shared" si="357"/>
        <v>3059.64</v>
      </c>
      <c r="AE767" s="4148"/>
      <c r="AF767" s="4544" t="s">
        <v>5173</v>
      </c>
      <c r="AG767" s="4148" t="s">
        <v>416</v>
      </c>
      <c r="AH767" s="4422"/>
      <c r="AI767" s="906"/>
      <c r="AJ767" s="906"/>
      <c r="AK767" s="4422"/>
      <c r="AL767" s="905"/>
      <c r="AM767" s="905"/>
      <c r="AN767" s="4517">
        <f t="shared" si="358"/>
        <v>2400</v>
      </c>
      <c r="AO767" s="906"/>
      <c r="AP767" s="4517">
        <f t="shared" si="359"/>
        <v>2400</v>
      </c>
      <c r="AQ767" s="4382"/>
      <c r="AR767" s="907"/>
      <c r="AS767" s="4518">
        <f t="shared" si="360"/>
        <v>2400</v>
      </c>
      <c r="AT767" s="907"/>
      <c r="AU767" s="4382"/>
      <c r="AV767" s="4382"/>
      <c r="AW767" s="4382"/>
      <c r="AX767" s="4382"/>
      <c r="AY767" s="4382"/>
      <c r="AZ767" s="4382"/>
      <c r="BA767" s="4382"/>
      <c r="BB767" s="4382"/>
      <c r="BC767" s="4382"/>
      <c r="BD767" s="4382"/>
      <c r="BE767" s="4382"/>
      <c r="BF767" s="4382" t="s">
        <v>89</v>
      </c>
      <c r="BG767" s="4382"/>
      <c r="BH767" s="4518">
        <f t="shared" si="348"/>
        <v>400</v>
      </c>
      <c r="BI767" s="4518">
        <f t="shared" si="349"/>
        <v>400</v>
      </c>
      <c r="BJ767" s="4518">
        <f t="shared" si="350"/>
        <v>400</v>
      </c>
      <c r="BK767" s="4518">
        <f t="shared" si="351"/>
        <v>400</v>
      </c>
      <c r="BL767" s="4518">
        <f t="shared" si="352"/>
        <v>400</v>
      </c>
      <c r="BM767" s="4518">
        <f t="shared" si="353"/>
        <v>320</v>
      </c>
      <c r="BN767" s="4518">
        <f t="shared" si="354"/>
        <v>80</v>
      </c>
      <c r="BO767" s="4417"/>
      <c r="BP767" s="4417"/>
      <c r="BQ767" s="4417"/>
      <c r="BR767" s="4417"/>
      <c r="BS767" s="4417"/>
      <c r="BT767" s="4472"/>
      <c r="BU767" s="4418"/>
      <c r="BV767" s="4519">
        <f t="shared" si="355"/>
        <v>2400</v>
      </c>
      <c r="BW767" s="4520">
        <f t="shared" si="326"/>
        <v>0</v>
      </c>
      <c r="BX767" s="4543"/>
      <c r="BY767" s="4543"/>
      <c r="BZ767" s="4543"/>
      <c r="CA767" s="4550"/>
      <c r="CC767" s="4551"/>
      <c r="CD767" s="4550"/>
    </row>
    <row r="768" s="4318" customFormat="1" ht="50" customHeight="1" spans="1:82">
      <c r="A768" s="4513">
        <v>45988</v>
      </c>
      <c r="B768" s="4514" t="s">
        <v>3744</v>
      </c>
      <c r="C768" s="905" t="s">
        <v>91</v>
      </c>
      <c r="D768" s="4515">
        <v>4500187121</v>
      </c>
      <c r="E768" s="905" t="s">
        <v>5189</v>
      </c>
      <c r="F768" s="4515" t="s">
        <v>5190</v>
      </c>
      <c r="G768" s="905" t="s">
        <v>5173</v>
      </c>
      <c r="H768" s="905" t="s">
        <v>3069</v>
      </c>
      <c r="I768" s="906">
        <v>1500</v>
      </c>
      <c r="J768" s="906">
        <v>6</v>
      </c>
      <c r="K768" s="906">
        <v>300</v>
      </c>
      <c r="L768" s="906">
        <f t="shared" si="356"/>
        <v>5</v>
      </c>
      <c r="M768" s="4516">
        <v>45999</v>
      </c>
      <c r="N768" s="4542">
        <v>45995</v>
      </c>
      <c r="O768" s="4129" t="s">
        <v>5174</v>
      </c>
      <c r="P768" s="4527" t="s">
        <v>82</v>
      </c>
      <c r="Q768" s="4527"/>
      <c r="R768" s="4159"/>
      <c r="S768" s="4159"/>
      <c r="T768" s="4159"/>
      <c r="U768" s="4148" t="s">
        <v>2194</v>
      </c>
      <c r="V768" s="3739" t="s">
        <v>5175</v>
      </c>
      <c r="W768" s="3739"/>
      <c r="X768" s="3739" t="s">
        <v>98</v>
      </c>
      <c r="Y768" s="3739"/>
      <c r="Z768" s="906"/>
      <c r="AA768" s="3625" t="s">
        <v>5176</v>
      </c>
      <c r="AB768" s="906" t="s">
        <v>1607</v>
      </c>
      <c r="AC768" s="4523">
        <v>382.456</v>
      </c>
      <c r="AD768" s="906">
        <f t="shared" si="357"/>
        <v>1912.28</v>
      </c>
      <c r="AE768" s="4148"/>
      <c r="AF768" s="4544" t="s">
        <v>5173</v>
      </c>
      <c r="AG768" s="4148" t="s">
        <v>416</v>
      </c>
      <c r="AH768" s="4422"/>
      <c r="AI768" s="906"/>
      <c r="AJ768" s="906"/>
      <c r="AK768" s="4422"/>
      <c r="AL768" s="905"/>
      <c r="AM768" s="905"/>
      <c r="AN768" s="4517">
        <f t="shared" si="358"/>
        <v>1500</v>
      </c>
      <c r="AO768" s="906"/>
      <c r="AP768" s="4517">
        <f t="shared" si="359"/>
        <v>1500</v>
      </c>
      <c r="AQ768" s="4382"/>
      <c r="AR768" s="907"/>
      <c r="AS768" s="4518">
        <f t="shared" si="360"/>
        <v>1500</v>
      </c>
      <c r="AT768" s="907"/>
      <c r="AU768" s="4382"/>
      <c r="AV768" s="4382"/>
      <c r="AW768" s="4382"/>
      <c r="AX768" s="4382"/>
      <c r="AY768" s="4382"/>
      <c r="AZ768" s="4382"/>
      <c r="BA768" s="4382"/>
      <c r="BB768" s="4382"/>
      <c r="BC768" s="4382"/>
      <c r="BD768" s="4382"/>
      <c r="BE768" s="4382"/>
      <c r="BF768" s="4382" t="s">
        <v>89</v>
      </c>
      <c r="BG768" s="4382"/>
      <c r="BH768" s="4518">
        <f t="shared" si="348"/>
        <v>250</v>
      </c>
      <c r="BI768" s="4518">
        <f t="shared" si="349"/>
        <v>250</v>
      </c>
      <c r="BJ768" s="4518">
        <f t="shared" si="350"/>
        <v>250</v>
      </c>
      <c r="BK768" s="4518">
        <f t="shared" si="351"/>
        <v>250</v>
      </c>
      <c r="BL768" s="4518">
        <f t="shared" si="352"/>
        <v>250</v>
      </c>
      <c r="BM768" s="4518">
        <f t="shared" si="353"/>
        <v>200</v>
      </c>
      <c r="BN768" s="4518">
        <f t="shared" si="354"/>
        <v>50</v>
      </c>
      <c r="BO768" s="4417"/>
      <c r="BP768" s="4417"/>
      <c r="BQ768" s="4417"/>
      <c r="BR768" s="4417"/>
      <c r="BS768" s="4417"/>
      <c r="BT768" s="4472"/>
      <c r="BU768" s="4418"/>
      <c r="BV768" s="4519">
        <f t="shared" si="355"/>
        <v>1500</v>
      </c>
      <c r="BW768" s="4520">
        <f t="shared" si="326"/>
        <v>0</v>
      </c>
      <c r="BX768" s="4543"/>
      <c r="BY768" s="4543"/>
      <c r="BZ768" s="4543"/>
      <c r="CA768" s="4550"/>
      <c r="CC768" s="4551"/>
      <c r="CD768" s="4550"/>
    </row>
    <row r="769" s="4318" customFormat="1" ht="50" customHeight="1" spans="1:82">
      <c r="A769" s="4513">
        <v>45988</v>
      </c>
      <c r="B769" s="4514" t="s">
        <v>3744</v>
      </c>
      <c r="C769" s="905" t="s">
        <v>91</v>
      </c>
      <c r="D769" s="4515">
        <v>4500187121</v>
      </c>
      <c r="E769" s="905" t="s">
        <v>5191</v>
      </c>
      <c r="F769" s="4515" t="s">
        <v>5192</v>
      </c>
      <c r="G769" s="905" t="s">
        <v>5173</v>
      </c>
      <c r="H769" s="905" t="s">
        <v>3069</v>
      </c>
      <c r="I769" s="906">
        <v>1500</v>
      </c>
      <c r="J769" s="906">
        <v>6</v>
      </c>
      <c r="K769" s="906">
        <v>300</v>
      </c>
      <c r="L769" s="906">
        <f t="shared" si="356"/>
        <v>5</v>
      </c>
      <c r="M769" s="4516">
        <v>45999</v>
      </c>
      <c r="N769" s="4542">
        <v>45995</v>
      </c>
      <c r="O769" s="4129" t="s">
        <v>5174</v>
      </c>
      <c r="P769" s="4527" t="s">
        <v>82</v>
      </c>
      <c r="Q769" s="4527"/>
      <c r="R769" s="4159"/>
      <c r="S769" s="4159"/>
      <c r="T769" s="4159"/>
      <c r="U769" s="4148" t="s">
        <v>2194</v>
      </c>
      <c r="V769" s="3739" t="s">
        <v>5175</v>
      </c>
      <c r="W769" s="3739"/>
      <c r="X769" s="3739" t="s">
        <v>98</v>
      </c>
      <c r="Y769" s="3739"/>
      <c r="Z769" s="906"/>
      <c r="AA769" s="3625" t="s">
        <v>5176</v>
      </c>
      <c r="AB769" s="906" t="s">
        <v>1607</v>
      </c>
      <c r="AC769" s="4523">
        <v>382.456</v>
      </c>
      <c r="AD769" s="906">
        <f t="shared" si="357"/>
        <v>1912.28</v>
      </c>
      <c r="AE769" s="4148"/>
      <c r="AF769" s="4544" t="s">
        <v>5173</v>
      </c>
      <c r="AG769" s="4148" t="s">
        <v>416</v>
      </c>
      <c r="AH769" s="4422"/>
      <c r="AI769" s="906"/>
      <c r="AJ769" s="906"/>
      <c r="AK769" s="4422"/>
      <c r="AL769" s="905"/>
      <c r="AM769" s="905"/>
      <c r="AN769" s="4517">
        <f t="shared" si="358"/>
        <v>1500</v>
      </c>
      <c r="AO769" s="906"/>
      <c r="AP769" s="4517">
        <f t="shared" si="359"/>
        <v>1500</v>
      </c>
      <c r="AQ769" s="4382"/>
      <c r="AR769" s="907"/>
      <c r="AS769" s="4518">
        <f t="shared" si="360"/>
        <v>1500</v>
      </c>
      <c r="AT769" s="907"/>
      <c r="AU769" s="4382"/>
      <c r="AV769" s="4382"/>
      <c r="AW769" s="4382"/>
      <c r="AX769" s="4382"/>
      <c r="AY769" s="4382"/>
      <c r="AZ769" s="4382"/>
      <c r="BA769" s="4382"/>
      <c r="BB769" s="4382"/>
      <c r="BC769" s="4382"/>
      <c r="BD769" s="4382"/>
      <c r="BE769" s="4382"/>
      <c r="BF769" s="4382" t="s">
        <v>89</v>
      </c>
      <c r="BG769" s="4382"/>
      <c r="BH769" s="4518">
        <f t="shared" si="348"/>
        <v>250</v>
      </c>
      <c r="BI769" s="4518">
        <f t="shared" si="349"/>
        <v>250</v>
      </c>
      <c r="BJ769" s="4518">
        <f t="shared" si="350"/>
        <v>250</v>
      </c>
      <c r="BK769" s="4518">
        <f t="shared" si="351"/>
        <v>250</v>
      </c>
      <c r="BL769" s="4518">
        <f t="shared" si="352"/>
        <v>250</v>
      </c>
      <c r="BM769" s="4518">
        <f t="shared" si="353"/>
        <v>200</v>
      </c>
      <c r="BN769" s="4518">
        <f t="shared" si="354"/>
        <v>50</v>
      </c>
      <c r="BO769" s="4417"/>
      <c r="BP769" s="4417"/>
      <c r="BQ769" s="4417"/>
      <c r="BR769" s="4417"/>
      <c r="BS769" s="4417"/>
      <c r="BT769" s="4472"/>
      <c r="BU769" s="4418"/>
      <c r="BV769" s="4519">
        <f t="shared" si="355"/>
        <v>1500</v>
      </c>
      <c r="BW769" s="4520">
        <f t="shared" si="326"/>
        <v>0</v>
      </c>
      <c r="BX769" s="4543"/>
      <c r="BY769" s="4543"/>
      <c r="BZ769" s="4543"/>
      <c r="CA769" s="4550"/>
      <c r="CC769" s="4551"/>
      <c r="CD769" s="4550"/>
    </row>
    <row r="770" s="4318" customFormat="1" ht="50" customHeight="1" spans="1:82">
      <c r="A770" s="4513">
        <v>45988</v>
      </c>
      <c r="B770" s="4514" t="s">
        <v>3744</v>
      </c>
      <c r="C770" s="905" t="s">
        <v>91</v>
      </c>
      <c r="D770" s="4515">
        <v>4500187121</v>
      </c>
      <c r="E770" s="905" t="s">
        <v>5193</v>
      </c>
      <c r="F770" s="4515" t="s">
        <v>5194</v>
      </c>
      <c r="G770" s="905" t="s">
        <v>5173</v>
      </c>
      <c r="H770" s="905" t="s">
        <v>3069</v>
      </c>
      <c r="I770" s="906">
        <v>1200</v>
      </c>
      <c r="J770" s="906">
        <v>6</v>
      </c>
      <c r="K770" s="906">
        <v>300</v>
      </c>
      <c r="L770" s="906">
        <f t="shared" si="356"/>
        <v>4</v>
      </c>
      <c r="M770" s="4516">
        <v>45999</v>
      </c>
      <c r="N770" s="4542">
        <v>45995</v>
      </c>
      <c r="O770" s="4129" t="s">
        <v>5174</v>
      </c>
      <c r="P770" s="4527" t="s">
        <v>82</v>
      </c>
      <c r="Q770" s="4527"/>
      <c r="R770" s="4159"/>
      <c r="S770" s="4159"/>
      <c r="T770" s="4159"/>
      <c r="U770" s="4148" t="s">
        <v>2194</v>
      </c>
      <c r="V770" s="3739" t="s">
        <v>5175</v>
      </c>
      <c r="W770" s="3739"/>
      <c r="X770" s="3739" t="s">
        <v>98</v>
      </c>
      <c r="Y770" s="3739"/>
      <c r="Z770" s="906"/>
      <c r="AA770" s="3625" t="s">
        <v>5176</v>
      </c>
      <c r="AB770" s="906" t="s">
        <v>1607</v>
      </c>
      <c r="AC770" s="4523">
        <v>385.03</v>
      </c>
      <c r="AD770" s="906">
        <f t="shared" si="357"/>
        <v>1540.12</v>
      </c>
      <c r="AE770" s="4148"/>
      <c r="AF770" s="4544" t="s">
        <v>5173</v>
      </c>
      <c r="AG770" s="4148" t="s">
        <v>416</v>
      </c>
      <c r="AH770" s="4422"/>
      <c r="AI770" s="906"/>
      <c r="AJ770" s="906"/>
      <c r="AK770" s="4422"/>
      <c r="AL770" s="905"/>
      <c r="AM770" s="905"/>
      <c r="AN770" s="4517">
        <f t="shared" si="358"/>
        <v>1200</v>
      </c>
      <c r="AO770" s="906"/>
      <c r="AP770" s="4517">
        <f t="shared" si="359"/>
        <v>1200</v>
      </c>
      <c r="AQ770" s="4382"/>
      <c r="AR770" s="907"/>
      <c r="AS770" s="4518">
        <f t="shared" si="360"/>
        <v>1200</v>
      </c>
      <c r="AT770" s="907"/>
      <c r="AU770" s="4382"/>
      <c r="AV770" s="4382"/>
      <c r="AW770" s="4382"/>
      <c r="AX770" s="4382"/>
      <c r="AY770" s="4382"/>
      <c r="AZ770" s="4382"/>
      <c r="BA770" s="4382"/>
      <c r="BB770" s="4382"/>
      <c r="BC770" s="4382"/>
      <c r="BD770" s="4382"/>
      <c r="BE770" s="4382"/>
      <c r="BF770" s="4382" t="s">
        <v>89</v>
      </c>
      <c r="BG770" s="4382"/>
      <c r="BH770" s="4518">
        <f t="shared" si="348"/>
        <v>200</v>
      </c>
      <c r="BI770" s="4518">
        <f t="shared" si="349"/>
        <v>200</v>
      </c>
      <c r="BJ770" s="4518">
        <f t="shared" si="350"/>
        <v>200</v>
      </c>
      <c r="BK770" s="4518">
        <f t="shared" si="351"/>
        <v>200</v>
      </c>
      <c r="BL770" s="4518">
        <f t="shared" si="352"/>
        <v>200</v>
      </c>
      <c r="BM770" s="4518">
        <f t="shared" si="353"/>
        <v>160</v>
      </c>
      <c r="BN770" s="4518">
        <f t="shared" si="354"/>
        <v>40</v>
      </c>
      <c r="BO770" s="4417"/>
      <c r="BP770" s="4417"/>
      <c r="BQ770" s="4417"/>
      <c r="BR770" s="4417"/>
      <c r="BS770" s="4417"/>
      <c r="BT770" s="4472"/>
      <c r="BU770" s="4418"/>
      <c r="BV770" s="4519">
        <f t="shared" si="355"/>
        <v>1200</v>
      </c>
      <c r="BW770" s="4520">
        <f t="shared" si="326"/>
        <v>0</v>
      </c>
      <c r="BX770" s="4543"/>
      <c r="BY770" s="4543"/>
      <c r="BZ770" s="4543"/>
      <c r="CA770" s="4550"/>
      <c r="CC770" s="4551"/>
      <c r="CD770" s="4550"/>
    </row>
    <row r="771" s="4318" customFormat="1" ht="50" customHeight="1" spans="1:82">
      <c r="A771" s="4513">
        <v>45988</v>
      </c>
      <c r="B771" s="4514" t="s">
        <v>3744</v>
      </c>
      <c r="C771" s="905" t="s">
        <v>91</v>
      </c>
      <c r="D771" s="4515">
        <v>4500187121</v>
      </c>
      <c r="E771" s="905" t="s">
        <v>5195</v>
      </c>
      <c r="F771" s="4515" t="s">
        <v>5196</v>
      </c>
      <c r="G771" s="905" t="s">
        <v>5173</v>
      </c>
      <c r="H771" s="905" t="s">
        <v>3069</v>
      </c>
      <c r="I771" s="906">
        <v>1200</v>
      </c>
      <c r="J771" s="906">
        <v>6</v>
      </c>
      <c r="K771" s="906">
        <v>300</v>
      </c>
      <c r="L771" s="906">
        <f t="shared" si="356"/>
        <v>4</v>
      </c>
      <c r="M771" s="4516">
        <v>45999</v>
      </c>
      <c r="N771" s="4542">
        <v>45995</v>
      </c>
      <c r="O771" s="4129" t="s">
        <v>5174</v>
      </c>
      <c r="P771" s="4527" t="s">
        <v>82</v>
      </c>
      <c r="Q771" s="4527"/>
      <c r="R771" s="4159"/>
      <c r="S771" s="4159"/>
      <c r="T771" s="4159"/>
      <c r="U771" s="4148" t="s">
        <v>2194</v>
      </c>
      <c r="V771" s="3739" t="s">
        <v>5175</v>
      </c>
      <c r="W771" s="3739"/>
      <c r="X771" s="3739" t="s">
        <v>98</v>
      </c>
      <c r="Y771" s="3739"/>
      <c r="Z771" s="906"/>
      <c r="AA771" s="3625" t="s">
        <v>5176</v>
      </c>
      <c r="AB771" s="906" t="s">
        <v>1607</v>
      </c>
      <c r="AC771" s="4523">
        <v>385.03</v>
      </c>
      <c r="AD771" s="906">
        <f t="shared" si="357"/>
        <v>1540.12</v>
      </c>
      <c r="AE771" s="4148"/>
      <c r="AF771" s="4544" t="s">
        <v>5173</v>
      </c>
      <c r="AG771" s="4148" t="s">
        <v>416</v>
      </c>
      <c r="AH771" s="4422"/>
      <c r="AI771" s="906"/>
      <c r="AJ771" s="906"/>
      <c r="AK771" s="4422"/>
      <c r="AL771" s="905"/>
      <c r="AM771" s="905"/>
      <c r="AN771" s="4517">
        <f t="shared" si="358"/>
        <v>1200</v>
      </c>
      <c r="AO771" s="906"/>
      <c r="AP771" s="4517">
        <f t="shared" si="359"/>
        <v>1200</v>
      </c>
      <c r="AQ771" s="4382"/>
      <c r="AR771" s="907"/>
      <c r="AS771" s="4518">
        <f t="shared" si="360"/>
        <v>1200</v>
      </c>
      <c r="AT771" s="907"/>
      <c r="AU771" s="4382"/>
      <c r="AV771" s="4382"/>
      <c r="AW771" s="4382"/>
      <c r="AX771" s="4382"/>
      <c r="AY771" s="4382"/>
      <c r="AZ771" s="4382"/>
      <c r="BA771" s="4382"/>
      <c r="BB771" s="4382"/>
      <c r="BC771" s="4382"/>
      <c r="BD771" s="4382"/>
      <c r="BE771" s="4382"/>
      <c r="BF771" s="4382" t="s">
        <v>89</v>
      </c>
      <c r="BG771" s="4382"/>
      <c r="BH771" s="4518">
        <f t="shared" si="348"/>
        <v>200</v>
      </c>
      <c r="BI771" s="4518">
        <f t="shared" si="349"/>
        <v>200</v>
      </c>
      <c r="BJ771" s="4518">
        <f t="shared" si="350"/>
        <v>200</v>
      </c>
      <c r="BK771" s="4518">
        <f t="shared" si="351"/>
        <v>200</v>
      </c>
      <c r="BL771" s="4518">
        <f t="shared" si="352"/>
        <v>200</v>
      </c>
      <c r="BM771" s="4518">
        <f t="shared" si="353"/>
        <v>160</v>
      </c>
      <c r="BN771" s="4518">
        <f t="shared" si="354"/>
        <v>40</v>
      </c>
      <c r="BO771" s="4417"/>
      <c r="BP771" s="4417"/>
      <c r="BQ771" s="4417"/>
      <c r="BR771" s="4417"/>
      <c r="BS771" s="4417"/>
      <c r="BT771" s="4472"/>
      <c r="BU771" s="4418"/>
      <c r="BV771" s="4519">
        <f t="shared" si="355"/>
        <v>1200</v>
      </c>
      <c r="BW771" s="4520">
        <f t="shared" si="326"/>
        <v>0</v>
      </c>
      <c r="BX771" s="4543"/>
      <c r="BY771" s="4543"/>
      <c r="BZ771" s="4543"/>
      <c r="CA771" s="4550"/>
      <c r="CC771" s="4551"/>
      <c r="CD771" s="4550"/>
    </row>
    <row r="772" s="4318" customFormat="1" ht="50" customHeight="1" spans="1:82">
      <c r="A772" s="4513">
        <v>45988</v>
      </c>
      <c r="B772" s="4514" t="s">
        <v>3744</v>
      </c>
      <c r="C772" s="905" t="s">
        <v>91</v>
      </c>
      <c r="D772" s="4515">
        <v>4500187121</v>
      </c>
      <c r="E772" s="905" t="s">
        <v>5197</v>
      </c>
      <c r="F772" s="4515" t="s">
        <v>5198</v>
      </c>
      <c r="G772" s="905" t="s">
        <v>5173</v>
      </c>
      <c r="H772" s="905" t="s">
        <v>3069</v>
      </c>
      <c r="I772" s="906">
        <v>600</v>
      </c>
      <c r="J772" s="906">
        <v>6</v>
      </c>
      <c r="K772" s="906">
        <v>300</v>
      </c>
      <c r="L772" s="906">
        <f t="shared" si="356"/>
        <v>2</v>
      </c>
      <c r="M772" s="4516">
        <v>45999</v>
      </c>
      <c r="N772" s="4542">
        <v>45995</v>
      </c>
      <c r="O772" s="4129" t="s">
        <v>5174</v>
      </c>
      <c r="P772" s="4527" t="s">
        <v>82</v>
      </c>
      <c r="Q772" s="4527"/>
      <c r="R772" s="4159"/>
      <c r="S772" s="4159"/>
      <c r="T772" s="4159"/>
      <c r="U772" s="4148" t="s">
        <v>2194</v>
      </c>
      <c r="V772" s="3739" t="s">
        <v>5175</v>
      </c>
      <c r="W772" s="3739"/>
      <c r="X772" s="3739" t="s">
        <v>98</v>
      </c>
      <c r="Y772" s="3739"/>
      <c r="Z772" s="906"/>
      <c r="AA772" s="3625" t="s">
        <v>5176</v>
      </c>
      <c r="AB772" s="906" t="s">
        <v>1607</v>
      </c>
      <c r="AC772" s="4523">
        <v>385.03</v>
      </c>
      <c r="AD772" s="906">
        <f t="shared" si="357"/>
        <v>770.06</v>
      </c>
      <c r="AE772" s="4148"/>
      <c r="AF772" s="4544" t="s">
        <v>5173</v>
      </c>
      <c r="AG772" s="4148" t="s">
        <v>416</v>
      </c>
      <c r="AH772" s="4422"/>
      <c r="AI772" s="906"/>
      <c r="AJ772" s="906"/>
      <c r="AK772" s="4422"/>
      <c r="AL772" s="905"/>
      <c r="AM772" s="905"/>
      <c r="AN772" s="4517">
        <f t="shared" si="358"/>
        <v>600</v>
      </c>
      <c r="AO772" s="906"/>
      <c r="AP772" s="4517">
        <f t="shared" si="359"/>
        <v>600</v>
      </c>
      <c r="AQ772" s="4382"/>
      <c r="AR772" s="907"/>
      <c r="AS772" s="4518">
        <f t="shared" si="360"/>
        <v>600</v>
      </c>
      <c r="AT772" s="907"/>
      <c r="AU772" s="4382"/>
      <c r="AV772" s="4382"/>
      <c r="AW772" s="4382"/>
      <c r="AX772" s="4382"/>
      <c r="AY772" s="4382"/>
      <c r="AZ772" s="4382"/>
      <c r="BA772" s="4382"/>
      <c r="BB772" s="4382"/>
      <c r="BC772" s="4382"/>
      <c r="BD772" s="4382"/>
      <c r="BE772" s="4382"/>
      <c r="BF772" s="4382" t="s">
        <v>89</v>
      </c>
      <c r="BG772" s="4382"/>
      <c r="BH772" s="4518">
        <f t="shared" si="348"/>
        <v>100</v>
      </c>
      <c r="BI772" s="4518">
        <f t="shared" si="349"/>
        <v>100</v>
      </c>
      <c r="BJ772" s="4518">
        <f t="shared" si="350"/>
        <v>100</v>
      </c>
      <c r="BK772" s="4518">
        <f t="shared" si="351"/>
        <v>100</v>
      </c>
      <c r="BL772" s="4518">
        <f t="shared" si="352"/>
        <v>100</v>
      </c>
      <c r="BM772" s="4518">
        <f t="shared" si="353"/>
        <v>80</v>
      </c>
      <c r="BN772" s="4518">
        <f t="shared" si="354"/>
        <v>20</v>
      </c>
      <c r="BO772" s="4417"/>
      <c r="BP772" s="4417"/>
      <c r="BQ772" s="4417"/>
      <c r="BR772" s="4417"/>
      <c r="BS772" s="4417"/>
      <c r="BT772" s="4472"/>
      <c r="BU772" s="4418"/>
      <c r="BV772" s="4519">
        <f t="shared" si="355"/>
        <v>600</v>
      </c>
      <c r="BW772" s="4520">
        <f t="shared" si="326"/>
        <v>0</v>
      </c>
      <c r="BX772" s="4543"/>
      <c r="BY772" s="4543"/>
      <c r="BZ772" s="4543"/>
      <c r="CA772" s="4550"/>
      <c r="CC772" s="4551"/>
      <c r="CD772" s="4550"/>
    </row>
    <row r="773" s="4318" customFormat="1" ht="50" customHeight="1" spans="1:82">
      <c r="A773" s="4513">
        <v>45988</v>
      </c>
      <c r="B773" s="4514" t="s">
        <v>3744</v>
      </c>
      <c r="C773" s="905" t="s">
        <v>91</v>
      </c>
      <c r="D773" s="4515">
        <v>4500187121</v>
      </c>
      <c r="E773" s="905" t="s">
        <v>5199</v>
      </c>
      <c r="F773" s="4515" t="s">
        <v>5200</v>
      </c>
      <c r="G773" s="905" t="s">
        <v>5173</v>
      </c>
      <c r="H773" s="905" t="s">
        <v>3069</v>
      </c>
      <c r="I773" s="906">
        <v>2400</v>
      </c>
      <c r="J773" s="906">
        <v>6</v>
      </c>
      <c r="K773" s="906">
        <v>300</v>
      </c>
      <c r="L773" s="906">
        <f t="shared" si="356"/>
        <v>8</v>
      </c>
      <c r="M773" s="4516">
        <v>45999</v>
      </c>
      <c r="N773" s="4542">
        <v>45995</v>
      </c>
      <c r="O773" s="4129" t="s">
        <v>5174</v>
      </c>
      <c r="P773" s="4527" t="s">
        <v>82</v>
      </c>
      <c r="Q773" s="4527"/>
      <c r="R773" s="4159"/>
      <c r="S773" s="4159"/>
      <c r="T773" s="4159"/>
      <c r="U773" s="4148" t="s">
        <v>2194</v>
      </c>
      <c r="V773" s="3739" t="s">
        <v>5175</v>
      </c>
      <c r="W773" s="3739"/>
      <c r="X773" s="3739" t="s">
        <v>98</v>
      </c>
      <c r="Y773" s="3739"/>
      <c r="Z773" s="906"/>
      <c r="AA773" s="3625" t="s">
        <v>5176</v>
      </c>
      <c r="AB773" s="906" t="s">
        <v>1607</v>
      </c>
      <c r="AC773" s="4523">
        <v>382.455</v>
      </c>
      <c r="AD773" s="906">
        <f t="shared" si="357"/>
        <v>3059.64</v>
      </c>
      <c r="AE773" s="4148"/>
      <c r="AF773" s="4544" t="s">
        <v>5173</v>
      </c>
      <c r="AG773" s="4148" t="s">
        <v>416</v>
      </c>
      <c r="AH773" s="4422"/>
      <c r="AI773" s="906"/>
      <c r="AJ773" s="906"/>
      <c r="AK773" s="4422"/>
      <c r="AL773" s="905"/>
      <c r="AM773" s="905"/>
      <c r="AN773" s="4517">
        <f t="shared" si="358"/>
        <v>2400</v>
      </c>
      <c r="AO773" s="906"/>
      <c r="AP773" s="4517">
        <f t="shared" si="359"/>
        <v>2400</v>
      </c>
      <c r="AQ773" s="4382"/>
      <c r="AR773" s="907"/>
      <c r="AS773" s="4518">
        <f t="shared" si="360"/>
        <v>2400</v>
      </c>
      <c r="AT773" s="907"/>
      <c r="AU773" s="4382"/>
      <c r="AV773" s="4382"/>
      <c r="AW773" s="4382"/>
      <c r="AX773" s="4382"/>
      <c r="AY773" s="4382"/>
      <c r="AZ773" s="4382"/>
      <c r="BA773" s="4382"/>
      <c r="BB773" s="4382"/>
      <c r="BC773" s="4382"/>
      <c r="BD773" s="4382"/>
      <c r="BE773" s="4382"/>
      <c r="BF773" s="4382" t="s">
        <v>89</v>
      </c>
      <c r="BG773" s="4382"/>
      <c r="BH773" s="4518">
        <f t="shared" si="348"/>
        <v>400</v>
      </c>
      <c r="BI773" s="4518">
        <f t="shared" si="349"/>
        <v>400</v>
      </c>
      <c r="BJ773" s="4518">
        <f t="shared" si="350"/>
        <v>400</v>
      </c>
      <c r="BK773" s="4518">
        <f t="shared" si="351"/>
        <v>400</v>
      </c>
      <c r="BL773" s="4518">
        <f t="shared" si="352"/>
        <v>400</v>
      </c>
      <c r="BM773" s="4518">
        <f t="shared" si="353"/>
        <v>320</v>
      </c>
      <c r="BN773" s="4518">
        <f t="shared" si="354"/>
        <v>80</v>
      </c>
      <c r="BO773" s="4417"/>
      <c r="BP773" s="4417"/>
      <c r="BQ773" s="4417"/>
      <c r="BR773" s="4417"/>
      <c r="BS773" s="4417"/>
      <c r="BT773" s="4472"/>
      <c r="BU773" s="4418"/>
      <c r="BV773" s="4519">
        <f t="shared" si="355"/>
        <v>2400</v>
      </c>
      <c r="BW773" s="4520">
        <f t="shared" ref="BW773:BW836" si="361">I773-BV773</f>
        <v>0</v>
      </c>
      <c r="BX773" s="4543"/>
      <c r="BY773" s="4543"/>
      <c r="BZ773" s="4543"/>
      <c r="CA773" s="4550"/>
      <c r="CC773" s="4551"/>
      <c r="CD773" s="4550"/>
    </row>
    <row r="774" s="4318" customFormat="1" ht="50" customHeight="1" spans="1:82">
      <c r="A774" s="4513">
        <v>45988</v>
      </c>
      <c r="B774" s="4514" t="s">
        <v>3744</v>
      </c>
      <c r="C774" s="905" t="s">
        <v>91</v>
      </c>
      <c r="D774" s="4515">
        <v>4500187121</v>
      </c>
      <c r="E774" s="905" t="s">
        <v>5201</v>
      </c>
      <c r="F774" s="4515" t="s">
        <v>5202</v>
      </c>
      <c r="G774" s="905" t="s">
        <v>5173</v>
      </c>
      <c r="H774" s="905" t="s">
        <v>3069</v>
      </c>
      <c r="I774" s="906">
        <v>1500</v>
      </c>
      <c r="J774" s="906">
        <v>6</v>
      </c>
      <c r="K774" s="906">
        <v>300</v>
      </c>
      <c r="L774" s="906">
        <f t="shared" si="356"/>
        <v>5</v>
      </c>
      <c r="M774" s="4516">
        <v>45999</v>
      </c>
      <c r="N774" s="4542">
        <v>45995</v>
      </c>
      <c r="O774" s="4129" t="s">
        <v>5174</v>
      </c>
      <c r="P774" s="4527" t="s">
        <v>82</v>
      </c>
      <c r="Q774" s="4527"/>
      <c r="R774" s="4159"/>
      <c r="S774" s="4159"/>
      <c r="T774" s="4159"/>
      <c r="U774" s="4148" t="s">
        <v>2194</v>
      </c>
      <c r="V774" s="3739" t="s">
        <v>5175</v>
      </c>
      <c r="W774" s="3739"/>
      <c r="X774" s="3739" t="s">
        <v>98</v>
      </c>
      <c r="Y774" s="3739"/>
      <c r="Z774" s="906"/>
      <c r="AA774" s="3625" t="s">
        <v>5176</v>
      </c>
      <c r="AB774" s="906" t="s">
        <v>1607</v>
      </c>
      <c r="AC774" s="4523">
        <v>382.456</v>
      </c>
      <c r="AD774" s="906">
        <f t="shared" si="357"/>
        <v>1912.28</v>
      </c>
      <c r="AE774" s="4148"/>
      <c r="AF774" s="4544" t="s">
        <v>5173</v>
      </c>
      <c r="AG774" s="4148" t="s">
        <v>416</v>
      </c>
      <c r="AH774" s="4422"/>
      <c r="AI774" s="906"/>
      <c r="AJ774" s="906"/>
      <c r="AK774" s="4422"/>
      <c r="AL774" s="905"/>
      <c r="AM774" s="905"/>
      <c r="AN774" s="4517">
        <f t="shared" si="358"/>
        <v>1500</v>
      </c>
      <c r="AO774" s="906"/>
      <c r="AP774" s="4517">
        <f t="shared" si="359"/>
        <v>1500</v>
      </c>
      <c r="AQ774" s="4382"/>
      <c r="AR774" s="907"/>
      <c r="AS774" s="4518">
        <f t="shared" si="360"/>
        <v>1500</v>
      </c>
      <c r="AT774" s="907"/>
      <c r="AU774" s="4382"/>
      <c r="AV774" s="4382"/>
      <c r="AW774" s="4382"/>
      <c r="AX774" s="4382"/>
      <c r="AY774" s="4382"/>
      <c r="AZ774" s="4382"/>
      <c r="BA774" s="4382"/>
      <c r="BB774" s="4382"/>
      <c r="BC774" s="4382"/>
      <c r="BD774" s="4382"/>
      <c r="BE774" s="4382"/>
      <c r="BF774" s="4382" t="s">
        <v>89</v>
      </c>
      <c r="BG774" s="4382"/>
      <c r="BH774" s="4518">
        <f t="shared" si="348"/>
        <v>250</v>
      </c>
      <c r="BI774" s="4518">
        <f t="shared" si="349"/>
        <v>250</v>
      </c>
      <c r="BJ774" s="4518">
        <f t="shared" si="350"/>
        <v>250</v>
      </c>
      <c r="BK774" s="4518">
        <f t="shared" si="351"/>
        <v>250</v>
      </c>
      <c r="BL774" s="4518">
        <f t="shared" si="352"/>
        <v>250</v>
      </c>
      <c r="BM774" s="4518">
        <f t="shared" si="353"/>
        <v>200</v>
      </c>
      <c r="BN774" s="4518">
        <f t="shared" si="354"/>
        <v>50</v>
      </c>
      <c r="BO774" s="4417"/>
      <c r="BP774" s="4417"/>
      <c r="BQ774" s="4417"/>
      <c r="BR774" s="4417"/>
      <c r="BS774" s="4417"/>
      <c r="BT774" s="4472"/>
      <c r="BU774" s="4418"/>
      <c r="BV774" s="4519">
        <f t="shared" si="355"/>
        <v>1500</v>
      </c>
      <c r="BW774" s="4520">
        <f t="shared" si="361"/>
        <v>0</v>
      </c>
      <c r="BX774" s="4543"/>
      <c r="BY774" s="4543"/>
      <c r="BZ774" s="4543"/>
      <c r="CA774" s="4550"/>
      <c r="CC774" s="4551"/>
      <c r="CD774" s="4550"/>
    </row>
    <row r="775" s="4318" customFormat="1" ht="50" customHeight="1" spans="1:82">
      <c r="A775" s="4513">
        <v>45988</v>
      </c>
      <c r="B775" s="4514" t="s">
        <v>3744</v>
      </c>
      <c r="C775" s="905" t="s">
        <v>91</v>
      </c>
      <c r="D775" s="4515">
        <v>4500187121</v>
      </c>
      <c r="E775" s="905" t="s">
        <v>5203</v>
      </c>
      <c r="F775" s="4515" t="s">
        <v>5204</v>
      </c>
      <c r="G775" s="905" t="s">
        <v>5173</v>
      </c>
      <c r="H775" s="905" t="s">
        <v>3069</v>
      </c>
      <c r="I775" s="906">
        <v>1200</v>
      </c>
      <c r="J775" s="906">
        <v>6</v>
      </c>
      <c r="K775" s="906">
        <v>300</v>
      </c>
      <c r="L775" s="906">
        <f t="shared" si="356"/>
        <v>4</v>
      </c>
      <c r="M775" s="4516">
        <v>45999</v>
      </c>
      <c r="N775" s="4542">
        <v>45995</v>
      </c>
      <c r="O775" s="4129" t="s">
        <v>5174</v>
      </c>
      <c r="P775" s="4527" t="s">
        <v>82</v>
      </c>
      <c r="Q775" s="4527"/>
      <c r="R775" s="4159"/>
      <c r="S775" s="4159"/>
      <c r="T775" s="4159"/>
      <c r="U775" s="4148" t="s">
        <v>2194</v>
      </c>
      <c r="V775" s="3739" t="s">
        <v>5175</v>
      </c>
      <c r="W775" s="3739"/>
      <c r="X775" s="3739" t="s">
        <v>98</v>
      </c>
      <c r="Y775" s="3739"/>
      <c r="Z775" s="906"/>
      <c r="AA775" s="3625" t="s">
        <v>5176</v>
      </c>
      <c r="AB775" s="906" t="s">
        <v>1607</v>
      </c>
      <c r="AC775" s="4523">
        <v>382.455</v>
      </c>
      <c r="AD775" s="906">
        <f t="shared" si="357"/>
        <v>1529.82</v>
      </c>
      <c r="AE775" s="4148"/>
      <c r="AF775" s="4544" t="s">
        <v>5173</v>
      </c>
      <c r="AG775" s="4148" t="s">
        <v>416</v>
      </c>
      <c r="AH775" s="4422"/>
      <c r="AI775" s="906"/>
      <c r="AJ775" s="906"/>
      <c r="AK775" s="4422"/>
      <c r="AL775" s="905"/>
      <c r="AM775" s="905"/>
      <c r="AN775" s="4517">
        <f t="shared" si="358"/>
        <v>1200</v>
      </c>
      <c r="AO775" s="906"/>
      <c r="AP775" s="4517">
        <f t="shared" si="359"/>
        <v>1200</v>
      </c>
      <c r="AQ775" s="4382"/>
      <c r="AR775" s="907"/>
      <c r="AS775" s="4518">
        <f t="shared" si="360"/>
        <v>1200</v>
      </c>
      <c r="AT775" s="907"/>
      <c r="AU775" s="4382"/>
      <c r="AV775" s="4382"/>
      <c r="AW775" s="4382"/>
      <c r="AX775" s="4382"/>
      <c r="AY775" s="4382"/>
      <c r="AZ775" s="4382"/>
      <c r="BA775" s="4382"/>
      <c r="BB775" s="4382"/>
      <c r="BC775" s="4382"/>
      <c r="BD775" s="4382"/>
      <c r="BE775" s="4382"/>
      <c r="BF775" s="4382" t="s">
        <v>89</v>
      </c>
      <c r="BG775" s="4382"/>
      <c r="BH775" s="4518">
        <f t="shared" si="348"/>
        <v>200</v>
      </c>
      <c r="BI775" s="4518">
        <f t="shared" si="349"/>
        <v>200</v>
      </c>
      <c r="BJ775" s="4518">
        <f t="shared" si="350"/>
        <v>200</v>
      </c>
      <c r="BK775" s="4518">
        <f t="shared" si="351"/>
        <v>200</v>
      </c>
      <c r="BL775" s="4518">
        <f t="shared" si="352"/>
        <v>200</v>
      </c>
      <c r="BM775" s="4518">
        <f t="shared" si="353"/>
        <v>160</v>
      </c>
      <c r="BN775" s="4518">
        <f t="shared" si="354"/>
        <v>40</v>
      </c>
      <c r="BO775" s="4417"/>
      <c r="BP775" s="4417"/>
      <c r="BQ775" s="4417"/>
      <c r="BR775" s="4417"/>
      <c r="BS775" s="4417"/>
      <c r="BT775" s="4472"/>
      <c r="BU775" s="4418"/>
      <c r="BV775" s="4519">
        <f t="shared" si="355"/>
        <v>1200</v>
      </c>
      <c r="BW775" s="4520">
        <f t="shared" si="361"/>
        <v>0</v>
      </c>
      <c r="BX775" s="4543"/>
      <c r="BY775" s="4543"/>
      <c r="BZ775" s="4543"/>
      <c r="CA775" s="4550"/>
      <c r="CC775" s="4551"/>
      <c r="CD775" s="4550"/>
    </row>
    <row r="776" s="4318" customFormat="1" ht="50" customHeight="1" spans="1:82">
      <c r="A776" s="4513">
        <v>45988</v>
      </c>
      <c r="B776" s="4514" t="s">
        <v>3744</v>
      </c>
      <c r="C776" s="905" t="s">
        <v>91</v>
      </c>
      <c r="D776" s="4515">
        <v>4500187121</v>
      </c>
      <c r="E776" s="905" t="s">
        <v>5205</v>
      </c>
      <c r="F776" s="4515" t="s">
        <v>5206</v>
      </c>
      <c r="G776" s="905" t="s">
        <v>5173</v>
      </c>
      <c r="H776" s="905" t="s">
        <v>3069</v>
      </c>
      <c r="I776" s="906">
        <v>1500</v>
      </c>
      <c r="J776" s="906">
        <v>6</v>
      </c>
      <c r="K776" s="906">
        <v>300</v>
      </c>
      <c r="L776" s="906">
        <f t="shared" si="356"/>
        <v>5</v>
      </c>
      <c r="M776" s="4516">
        <v>45999</v>
      </c>
      <c r="N776" s="4542">
        <v>45995</v>
      </c>
      <c r="O776" s="4129" t="s">
        <v>5174</v>
      </c>
      <c r="P776" s="4527" t="s">
        <v>82</v>
      </c>
      <c r="Q776" s="4527"/>
      <c r="R776" s="4159"/>
      <c r="S776" s="4159"/>
      <c r="T776" s="4159"/>
      <c r="U776" s="4148" t="s">
        <v>2194</v>
      </c>
      <c r="V776" s="3739" t="s">
        <v>5175</v>
      </c>
      <c r="W776" s="3739"/>
      <c r="X776" s="3739" t="s">
        <v>98</v>
      </c>
      <c r="Y776" s="3739"/>
      <c r="Z776" s="906"/>
      <c r="AA776" s="3625" t="s">
        <v>5176</v>
      </c>
      <c r="AB776" s="906" t="s">
        <v>1607</v>
      </c>
      <c r="AC776" s="4523">
        <v>382.456</v>
      </c>
      <c r="AD776" s="906">
        <f t="shared" si="357"/>
        <v>1912.28</v>
      </c>
      <c r="AE776" s="4148"/>
      <c r="AF776" s="4544" t="s">
        <v>5173</v>
      </c>
      <c r="AG776" s="4148" t="s">
        <v>416</v>
      </c>
      <c r="AH776" s="4422"/>
      <c r="AI776" s="906"/>
      <c r="AJ776" s="906"/>
      <c r="AK776" s="4422"/>
      <c r="AL776" s="905"/>
      <c r="AM776" s="905"/>
      <c r="AN776" s="4517">
        <f t="shared" si="358"/>
        <v>1500</v>
      </c>
      <c r="AO776" s="906"/>
      <c r="AP776" s="4517">
        <f t="shared" si="359"/>
        <v>1500</v>
      </c>
      <c r="AQ776" s="4382"/>
      <c r="AR776" s="907"/>
      <c r="AS776" s="4518">
        <f t="shared" si="360"/>
        <v>1500</v>
      </c>
      <c r="AT776" s="907"/>
      <c r="AU776" s="4382"/>
      <c r="AV776" s="4382"/>
      <c r="AW776" s="4382"/>
      <c r="AX776" s="4382"/>
      <c r="AY776" s="4382"/>
      <c r="AZ776" s="4382"/>
      <c r="BA776" s="4382"/>
      <c r="BB776" s="4382"/>
      <c r="BC776" s="4382"/>
      <c r="BD776" s="4382"/>
      <c r="BE776" s="4382"/>
      <c r="BF776" s="4382" t="s">
        <v>89</v>
      </c>
      <c r="BG776" s="4382"/>
      <c r="BH776" s="4518">
        <f t="shared" si="348"/>
        <v>250</v>
      </c>
      <c r="BI776" s="4518">
        <f t="shared" si="349"/>
        <v>250</v>
      </c>
      <c r="BJ776" s="4518">
        <f t="shared" si="350"/>
        <v>250</v>
      </c>
      <c r="BK776" s="4518">
        <f t="shared" si="351"/>
        <v>250</v>
      </c>
      <c r="BL776" s="4518">
        <f t="shared" si="352"/>
        <v>250</v>
      </c>
      <c r="BM776" s="4518">
        <f t="shared" si="353"/>
        <v>200</v>
      </c>
      <c r="BN776" s="4518">
        <f t="shared" si="354"/>
        <v>50</v>
      </c>
      <c r="BO776" s="4417"/>
      <c r="BP776" s="4417"/>
      <c r="BQ776" s="4417"/>
      <c r="BR776" s="4417"/>
      <c r="BS776" s="4417"/>
      <c r="BT776" s="4472"/>
      <c r="BU776" s="4418"/>
      <c r="BV776" s="4519">
        <f t="shared" si="355"/>
        <v>1500</v>
      </c>
      <c r="BW776" s="4520">
        <f t="shared" si="361"/>
        <v>0</v>
      </c>
      <c r="BX776" s="4543"/>
      <c r="BY776" s="4543"/>
      <c r="BZ776" s="4543"/>
      <c r="CA776" s="4550"/>
      <c r="CC776" s="4551"/>
      <c r="CD776" s="4550"/>
    </row>
    <row r="777" s="4318" customFormat="1" ht="50" customHeight="1" spans="1:82">
      <c r="A777" s="4513">
        <v>45988</v>
      </c>
      <c r="B777" s="4514" t="s">
        <v>3744</v>
      </c>
      <c r="C777" s="905" t="s">
        <v>91</v>
      </c>
      <c r="D777" s="4515">
        <v>4500187121</v>
      </c>
      <c r="E777" s="905" t="s">
        <v>5207</v>
      </c>
      <c r="F777" s="4515" t="s">
        <v>5208</v>
      </c>
      <c r="G777" s="905" t="s">
        <v>5173</v>
      </c>
      <c r="H777" s="905" t="s">
        <v>3069</v>
      </c>
      <c r="I777" s="906">
        <v>1500</v>
      </c>
      <c r="J777" s="906">
        <v>6</v>
      </c>
      <c r="K777" s="906">
        <v>300</v>
      </c>
      <c r="L777" s="906">
        <f t="shared" si="356"/>
        <v>5</v>
      </c>
      <c r="M777" s="4516">
        <v>45999</v>
      </c>
      <c r="N777" s="4542">
        <v>45995</v>
      </c>
      <c r="O777" s="4129" t="s">
        <v>5174</v>
      </c>
      <c r="P777" s="4527" t="s">
        <v>82</v>
      </c>
      <c r="Q777" s="4527"/>
      <c r="R777" s="4159"/>
      <c r="S777" s="4159"/>
      <c r="T777" s="4159"/>
      <c r="U777" s="4148" t="s">
        <v>2194</v>
      </c>
      <c r="V777" s="3739" t="s">
        <v>5175</v>
      </c>
      <c r="W777" s="3739"/>
      <c r="X777" s="3739" t="s">
        <v>98</v>
      </c>
      <c r="Y777" s="3739"/>
      <c r="Z777" s="906"/>
      <c r="AA777" s="3625" t="s">
        <v>5176</v>
      </c>
      <c r="AB777" s="906" t="s">
        <v>1607</v>
      </c>
      <c r="AC777" s="4523">
        <v>382.456</v>
      </c>
      <c r="AD777" s="906">
        <f t="shared" si="357"/>
        <v>1912.28</v>
      </c>
      <c r="AE777" s="4148"/>
      <c r="AF777" s="4544" t="s">
        <v>5173</v>
      </c>
      <c r="AG777" s="4148" t="s">
        <v>416</v>
      </c>
      <c r="AH777" s="4422"/>
      <c r="AI777" s="906"/>
      <c r="AJ777" s="906"/>
      <c r="AK777" s="4422"/>
      <c r="AL777" s="905"/>
      <c r="AM777" s="905"/>
      <c r="AN777" s="4517">
        <f t="shared" si="358"/>
        <v>1500</v>
      </c>
      <c r="AO777" s="906"/>
      <c r="AP777" s="4517">
        <f t="shared" si="359"/>
        <v>1500</v>
      </c>
      <c r="AQ777" s="4382"/>
      <c r="AR777" s="907"/>
      <c r="AS777" s="4518">
        <f t="shared" si="360"/>
        <v>1500</v>
      </c>
      <c r="AT777" s="907"/>
      <c r="AU777" s="4382"/>
      <c r="AV777" s="4382"/>
      <c r="AW777" s="4382"/>
      <c r="AX777" s="4382"/>
      <c r="AY777" s="4382"/>
      <c r="AZ777" s="4382"/>
      <c r="BA777" s="4382"/>
      <c r="BB777" s="4382"/>
      <c r="BC777" s="4382"/>
      <c r="BD777" s="4382"/>
      <c r="BE777" s="4382"/>
      <c r="BF777" s="4382" t="s">
        <v>89</v>
      </c>
      <c r="BG777" s="4382"/>
      <c r="BH777" s="4518">
        <f t="shared" si="348"/>
        <v>250</v>
      </c>
      <c r="BI777" s="4518">
        <f t="shared" si="349"/>
        <v>250</v>
      </c>
      <c r="BJ777" s="4518">
        <f t="shared" si="350"/>
        <v>250</v>
      </c>
      <c r="BK777" s="4518">
        <f t="shared" si="351"/>
        <v>250</v>
      </c>
      <c r="BL777" s="4518">
        <f t="shared" si="352"/>
        <v>250</v>
      </c>
      <c r="BM777" s="4518">
        <f t="shared" si="353"/>
        <v>200</v>
      </c>
      <c r="BN777" s="4518">
        <f t="shared" si="354"/>
        <v>50</v>
      </c>
      <c r="BO777" s="4417"/>
      <c r="BP777" s="4417"/>
      <c r="BQ777" s="4417"/>
      <c r="BR777" s="4417"/>
      <c r="BS777" s="4417"/>
      <c r="BT777" s="4472"/>
      <c r="BU777" s="4418"/>
      <c r="BV777" s="4519">
        <f t="shared" si="355"/>
        <v>1500</v>
      </c>
      <c r="BW777" s="4520">
        <f t="shared" si="361"/>
        <v>0</v>
      </c>
      <c r="BX777" s="4543"/>
      <c r="BY777" s="4543"/>
      <c r="BZ777" s="4543"/>
      <c r="CA777" s="4550"/>
      <c r="CC777" s="4551"/>
      <c r="CD777" s="4550"/>
    </row>
    <row r="778" s="4318" customFormat="1" ht="50" customHeight="1" spans="1:82">
      <c r="A778" s="4513">
        <v>45988</v>
      </c>
      <c r="B778" s="4514" t="s">
        <v>3744</v>
      </c>
      <c r="C778" s="905" t="s">
        <v>91</v>
      </c>
      <c r="D778" s="4515">
        <v>4500187121</v>
      </c>
      <c r="E778" s="905" t="s">
        <v>5209</v>
      </c>
      <c r="F778" s="4515" t="s">
        <v>5210</v>
      </c>
      <c r="G778" s="905" t="s">
        <v>5173</v>
      </c>
      <c r="H778" s="905" t="s">
        <v>3069</v>
      </c>
      <c r="I778" s="906">
        <v>2100</v>
      </c>
      <c r="J778" s="906">
        <v>6</v>
      </c>
      <c r="K778" s="906">
        <v>300</v>
      </c>
      <c r="L778" s="906">
        <f t="shared" si="356"/>
        <v>7</v>
      </c>
      <c r="M778" s="4516">
        <v>45999</v>
      </c>
      <c r="N778" s="4542">
        <v>45995</v>
      </c>
      <c r="O778" s="4129" t="s">
        <v>5174</v>
      </c>
      <c r="P778" s="4527" t="s">
        <v>82</v>
      </c>
      <c r="Q778" s="4527"/>
      <c r="R778" s="4159"/>
      <c r="S778" s="4159"/>
      <c r="T778" s="4159"/>
      <c r="U778" s="4148" t="s">
        <v>2194</v>
      </c>
      <c r="V778" s="3739" t="s">
        <v>5175</v>
      </c>
      <c r="W778" s="3739"/>
      <c r="X778" s="3739" t="s">
        <v>98</v>
      </c>
      <c r="Y778" s="3739"/>
      <c r="Z778" s="906"/>
      <c r="AA778" s="3625" t="s">
        <v>5176</v>
      </c>
      <c r="AB778" s="906" t="s">
        <v>1607</v>
      </c>
      <c r="AC778" s="4523">
        <v>382.4557</v>
      </c>
      <c r="AD778" s="906">
        <f t="shared" si="357"/>
        <v>2677.1899</v>
      </c>
      <c r="AE778" s="4148"/>
      <c r="AF778" s="4544" t="s">
        <v>5173</v>
      </c>
      <c r="AG778" s="4148" t="s">
        <v>416</v>
      </c>
      <c r="AH778" s="4422"/>
      <c r="AI778" s="906"/>
      <c r="AJ778" s="906"/>
      <c r="AK778" s="4422"/>
      <c r="AL778" s="905"/>
      <c r="AM778" s="905"/>
      <c r="AN778" s="4517">
        <f t="shared" si="358"/>
        <v>2100</v>
      </c>
      <c r="AO778" s="906"/>
      <c r="AP778" s="4517">
        <f t="shared" si="359"/>
        <v>2100</v>
      </c>
      <c r="AQ778" s="4382"/>
      <c r="AR778" s="907"/>
      <c r="AS778" s="4518">
        <f t="shared" si="360"/>
        <v>2100</v>
      </c>
      <c r="AT778" s="907"/>
      <c r="AU778" s="4382"/>
      <c r="AV778" s="4382"/>
      <c r="AW778" s="4382"/>
      <c r="AX778" s="4382"/>
      <c r="AY778" s="4382"/>
      <c r="AZ778" s="4382"/>
      <c r="BA778" s="4382"/>
      <c r="BB778" s="4382"/>
      <c r="BC778" s="4382"/>
      <c r="BD778" s="4382"/>
      <c r="BE778" s="4382"/>
      <c r="BF778" s="4382" t="s">
        <v>89</v>
      </c>
      <c r="BG778" s="4382"/>
      <c r="BH778" s="4518">
        <f t="shared" si="348"/>
        <v>350</v>
      </c>
      <c r="BI778" s="4518">
        <f t="shared" si="349"/>
        <v>350</v>
      </c>
      <c r="BJ778" s="4518">
        <f t="shared" si="350"/>
        <v>350</v>
      </c>
      <c r="BK778" s="4518">
        <f t="shared" si="351"/>
        <v>350</v>
      </c>
      <c r="BL778" s="4518">
        <f t="shared" si="352"/>
        <v>350</v>
      </c>
      <c r="BM778" s="4518">
        <f t="shared" si="353"/>
        <v>280</v>
      </c>
      <c r="BN778" s="4518">
        <f t="shared" si="354"/>
        <v>70</v>
      </c>
      <c r="BO778" s="4417"/>
      <c r="BP778" s="4417"/>
      <c r="BQ778" s="4417"/>
      <c r="BR778" s="4417"/>
      <c r="BS778" s="4417"/>
      <c r="BT778" s="4472"/>
      <c r="BU778" s="4418"/>
      <c r="BV778" s="4519">
        <f t="shared" si="355"/>
        <v>2100</v>
      </c>
      <c r="BW778" s="4520">
        <f t="shared" si="361"/>
        <v>0</v>
      </c>
      <c r="BX778" s="4543"/>
      <c r="BY778" s="4543"/>
      <c r="BZ778" s="4543"/>
      <c r="CA778" s="4550"/>
      <c r="CC778" s="4551"/>
      <c r="CD778" s="4550"/>
    </row>
    <row r="779" s="4318" customFormat="1" ht="50" customHeight="1" spans="1:82">
      <c r="A779" s="4513">
        <v>45988</v>
      </c>
      <c r="B779" s="4514" t="s">
        <v>3744</v>
      </c>
      <c r="C779" s="905" t="s">
        <v>91</v>
      </c>
      <c r="D779" s="4515">
        <v>4500187121</v>
      </c>
      <c r="E779" s="905" t="s">
        <v>5211</v>
      </c>
      <c r="F779" s="4515" t="s">
        <v>5212</v>
      </c>
      <c r="G779" s="905" t="s">
        <v>5173</v>
      </c>
      <c r="H779" s="905" t="s">
        <v>3069</v>
      </c>
      <c r="I779" s="906">
        <v>1800</v>
      </c>
      <c r="J779" s="906">
        <v>6</v>
      </c>
      <c r="K779" s="906">
        <v>300</v>
      </c>
      <c r="L779" s="906">
        <f t="shared" si="356"/>
        <v>6</v>
      </c>
      <c r="M779" s="4516">
        <v>45999</v>
      </c>
      <c r="N779" s="4542">
        <v>45995</v>
      </c>
      <c r="O779" s="4129" t="s">
        <v>5174</v>
      </c>
      <c r="P779" s="4527" t="s">
        <v>82</v>
      </c>
      <c r="Q779" s="4527"/>
      <c r="R779" s="4159"/>
      <c r="S779" s="4159"/>
      <c r="T779" s="4159"/>
      <c r="U779" s="4148" t="s">
        <v>2194</v>
      </c>
      <c r="V779" s="3739" t="s">
        <v>5175</v>
      </c>
      <c r="W779" s="3739"/>
      <c r="X779" s="3739" t="s">
        <v>98</v>
      </c>
      <c r="Y779" s="3739"/>
      <c r="Z779" s="906"/>
      <c r="AA779" s="3625" t="s">
        <v>5176</v>
      </c>
      <c r="AB779" s="906" t="s">
        <v>1607</v>
      </c>
      <c r="AC779" s="4523">
        <v>382.455</v>
      </c>
      <c r="AD779" s="906">
        <f t="shared" si="357"/>
        <v>2294.73</v>
      </c>
      <c r="AE779" s="4148"/>
      <c r="AF779" s="4544" t="s">
        <v>5173</v>
      </c>
      <c r="AG779" s="4148" t="s">
        <v>416</v>
      </c>
      <c r="AH779" s="4422"/>
      <c r="AI779" s="906"/>
      <c r="AJ779" s="906"/>
      <c r="AK779" s="4422"/>
      <c r="AL779" s="905"/>
      <c r="AM779" s="905"/>
      <c r="AN779" s="4517">
        <f t="shared" si="358"/>
        <v>1800</v>
      </c>
      <c r="AO779" s="906"/>
      <c r="AP779" s="4517">
        <f t="shared" si="359"/>
        <v>1800</v>
      </c>
      <c r="AQ779" s="4382"/>
      <c r="AR779" s="907"/>
      <c r="AS779" s="4518">
        <f t="shared" si="360"/>
        <v>1800</v>
      </c>
      <c r="AT779" s="907"/>
      <c r="AU779" s="4382"/>
      <c r="AV779" s="4382"/>
      <c r="AW779" s="4382"/>
      <c r="AX779" s="4382"/>
      <c r="AY779" s="4382"/>
      <c r="AZ779" s="4382"/>
      <c r="BA779" s="4382"/>
      <c r="BB779" s="4382"/>
      <c r="BC779" s="4382"/>
      <c r="BD779" s="4382"/>
      <c r="BE779" s="4382"/>
      <c r="BF779" s="4382" t="s">
        <v>89</v>
      </c>
      <c r="BG779" s="4382"/>
      <c r="BH779" s="4518">
        <f t="shared" si="348"/>
        <v>300</v>
      </c>
      <c r="BI779" s="4518">
        <f t="shared" si="349"/>
        <v>300</v>
      </c>
      <c r="BJ779" s="4518">
        <f t="shared" si="350"/>
        <v>300</v>
      </c>
      <c r="BK779" s="4518">
        <f t="shared" si="351"/>
        <v>300</v>
      </c>
      <c r="BL779" s="4518">
        <f t="shared" si="352"/>
        <v>300</v>
      </c>
      <c r="BM779" s="4518">
        <f t="shared" si="353"/>
        <v>240</v>
      </c>
      <c r="BN779" s="4518">
        <f t="shared" si="354"/>
        <v>60</v>
      </c>
      <c r="BO779" s="4417"/>
      <c r="BP779" s="4417"/>
      <c r="BQ779" s="4417"/>
      <c r="BR779" s="4417"/>
      <c r="BS779" s="4417"/>
      <c r="BT779" s="4472"/>
      <c r="BU779" s="4418"/>
      <c r="BV779" s="4519">
        <f t="shared" si="355"/>
        <v>1800</v>
      </c>
      <c r="BW779" s="4520">
        <f t="shared" si="361"/>
        <v>0</v>
      </c>
      <c r="BX779" s="4543"/>
      <c r="BY779" s="4543"/>
      <c r="BZ779" s="4543"/>
      <c r="CA779" s="4550"/>
      <c r="CC779" s="4551"/>
      <c r="CD779" s="4550"/>
    </row>
    <row r="780" s="4318" customFormat="1" ht="50" customHeight="1" spans="1:82">
      <c r="A780" s="4513">
        <v>45988</v>
      </c>
      <c r="B780" s="4514" t="s">
        <v>3744</v>
      </c>
      <c r="C780" s="905" t="s">
        <v>91</v>
      </c>
      <c r="D780" s="4515">
        <v>4500187121</v>
      </c>
      <c r="E780" s="905" t="s">
        <v>5213</v>
      </c>
      <c r="F780" s="4515" t="s">
        <v>5214</v>
      </c>
      <c r="G780" s="905" t="s">
        <v>5173</v>
      </c>
      <c r="H780" s="905" t="s">
        <v>3069</v>
      </c>
      <c r="I780" s="906">
        <v>2700</v>
      </c>
      <c r="J780" s="906">
        <v>6</v>
      </c>
      <c r="K780" s="906">
        <v>300</v>
      </c>
      <c r="L780" s="906">
        <f t="shared" si="356"/>
        <v>9</v>
      </c>
      <c r="M780" s="4516">
        <v>45999</v>
      </c>
      <c r="N780" s="4542">
        <v>45995</v>
      </c>
      <c r="O780" s="4129" t="s">
        <v>5174</v>
      </c>
      <c r="P780" s="4527" t="s">
        <v>82</v>
      </c>
      <c r="Q780" s="4527"/>
      <c r="R780" s="4159"/>
      <c r="S780" s="4159"/>
      <c r="T780" s="4159"/>
      <c r="U780" s="4148" t="s">
        <v>2194</v>
      </c>
      <c r="V780" s="3739" t="s">
        <v>5175</v>
      </c>
      <c r="W780" s="3739"/>
      <c r="X780" s="3739" t="s">
        <v>98</v>
      </c>
      <c r="Y780" s="3739"/>
      <c r="Z780" s="906"/>
      <c r="AA780" s="3625" t="s">
        <v>5176</v>
      </c>
      <c r="AB780" s="906" t="s">
        <v>1607</v>
      </c>
      <c r="AC780" s="4523">
        <v>382.4556</v>
      </c>
      <c r="AD780" s="906">
        <f t="shared" si="357"/>
        <v>3442.1004</v>
      </c>
      <c r="AE780" s="4148"/>
      <c r="AF780" s="4544" t="s">
        <v>5173</v>
      </c>
      <c r="AG780" s="4148" t="s">
        <v>416</v>
      </c>
      <c r="AH780" s="4422"/>
      <c r="AI780" s="906"/>
      <c r="AJ780" s="906"/>
      <c r="AK780" s="4422"/>
      <c r="AL780" s="905"/>
      <c r="AM780" s="905"/>
      <c r="AN780" s="4517">
        <f t="shared" si="358"/>
        <v>2700</v>
      </c>
      <c r="AO780" s="906"/>
      <c r="AP780" s="4517">
        <f t="shared" si="359"/>
        <v>2700</v>
      </c>
      <c r="AQ780" s="4382"/>
      <c r="AR780" s="907"/>
      <c r="AS780" s="4518">
        <f t="shared" si="360"/>
        <v>2700</v>
      </c>
      <c r="AT780" s="907"/>
      <c r="AU780" s="4382"/>
      <c r="AV780" s="4382"/>
      <c r="AW780" s="4382"/>
      <c r="AX780" s="4382"/>
      <c r="AY780" s="4382"/>
      <c r="AZ780" s="4382"/>
      <c r="BA780" s="4382"/>
      <c r="BB780" s="4382"/>
      <c r="BC780" s="4382"/>
      <c r="BD780" s="4382"/>
      <c r="BE780" s="4382"/>
      <c r="BF780" s="4382" t="s">
        <v>89</v>
      </c>
      <c r="BG780" s="4382"/>
      <c r="BH780" s="4518">
        <f t="shared" si="348"/>
        <v>450</v>
      </c>
      <c r="BI780" s="4518">
        <f t="shared" si="349"/>
        <v>450</v>
      </c>
      <c r="BJ780" s="4518">
        <f t="shared" si="350"/>
        <v>450</v>
      </c>
      <c r="BK780" s="4518">
        <f t="shared" si="351"/>
        <v>450</v>
      </c>
      <c r="BL780" s="4518">
        <f t="shared" si="352"/>
        <v>450</v>
      </c>
      <c r="BM780" s="4518">
        <f t="shared" si="353"/>
        <v>360</v>
      </c>
      <c r="BN780" s="4518">
        <f t="shared" si="354"/>
        <v>90</v>
      </c>
      <c r="BO780" s="4417"/>
      <c r="BP780" s="4417"/>
      <c r="BQ780" s="4417"/>
      <c r="BR780" s="4417"/>
      <c r="BS780" s="4417"/>
      <c r="BT780" s="4472"/>
      <c r="BU780" s="4418"/>
      <c r="BV780" s="4519">
        <f t="shared" si="355"/>
        <v>2700</v>
      </c>
      <c r="BW780" s="4520">
        <f t="shared" si="361"/>
        <v>0</v>
      </c>
      <c r="BX780" s="4543"/>
      <c r="BY780" s="4543"/>
      <c r="BZ780" s="4543"/>
      <c r="CA780" s="4550"/>
      <c r="CC780" s="4551"/>
      <c r="CD780" s="4550"/>
    </row>
    <row r="781" s="4318" customFormat="1" ht="50" customHeight="1" spans="1:82">
      <c r="A781" s="4513">
        <v>45988</v>
      </c>
      <c r="B781" s="4514" t="s">
        <v>3744</v>
      </c>
      <c r="C781" s="905" t="s">
        <v>91</v>
      </c>
      <c r="D781" s="4515">
        <v>4500187121</v>
      </c>
      <c r="E781" s="905" t="s">
        <v>5215</v>
      </c>
      <c r="F781" s="4515" t="s">
        <v>5216</v>
      </c>
      <c r="G781" s="905" t="s">
        <v>5173</v>
      </c>
      <c r="H781" s="905" t="s">
        <v>3069</v>
      </c>
      <c r="I781" s="906">
        <v>900</v>
      </c>
      <c r="J781" s="906">
        <v>6</v>
      </c>
      <c r="K781" s="906">
        <v>300</v>
      </c>
      <c r="L781" s="906">
        <f t="shared" si="356"/>
        <v>3</v>
      </c>
      <c r="M781" s="4516">
        <v>45999</v>
      </c>
      <c r="N781" s="4542">
        <v>45995</v>
      </c>
      <c r="O781" s="4129" t="s">
        <v>5174</v>
      </c>
      <c r="P781" s="4527" t="s">
        <v>82</v>
      </c>
      <c r="Q781" s="4527"/>
      <c r="R781" s="4159"/>
      <c r="S781" s="4159"/>
      <c r="T781" s="4159"/>
      <c r="U781" s="4148" t="s">
        <v>2194</v>
      </c>
      <c r="V781" s="3739" t="s">
        <v>5175</v>
      </c>
      <c r="W781" s="3739"/>
      <c r="X781" s="3739" t="s">
        <v>98</v>
      </c>
      <c r="Y781" s="3739"/>
      <c r="Z781" s="906"/>
      <c r="AA781" s="3625" t="s">
        <v>5176</v>
      </c>
      <c r="AB781" s="906" t="s">
        <v>1607</v>
      </c>
      <c r="AC781" s="4523">
        <v>382.4567</v>
      </c>
      <c r="AD781" s="906">
        <f t="shared" si="357"/>
        <v>1147.3701</v>
      </c>
      <c r="AE781" s="4148"/>
      <c r="AF781" s="4544" t="s">
        <v>5173</v>
      </c>
      <c r="AG781" s="4148" t="s">
        <v>416</v>
      </c>
      <c r="AH781" s="4422"/>
      <c r="AI781" s="906"/>
      <c r="AJ781" s="906"/>
      <c r="AK781" s="4422"/>
      <c r="AL781" s="905"/>
      <c r="AM781" s="905"/>
      <c r="AN781" s="4517">
        <f t="shared" si="358"/>
        <v>900</v>
      </c>
      <c r="AO781" s="906"/>
      <c r="AP781" s="4517">
        <f t="shared" si="359"/>
        <v>900</v>
      </c>
      <c r="AQ781" s="4382"/>
      <c r="AR781" s="907"/>
      <c r="AS781" s="4518">
        <f t="shared" si="360"/>
        <v>900</v>
      </c>
      <c r="AT781" s="907"/>
      <c r="AU781" s="4382"/>
      <c r="AV781" s="4382"/>
      <c r="AW781" s="4382"/>
      <c r="AX781" s="4382"/>
      <c r="AY781" s="4382"/>
      <c r="AZ781" s="4382"/>
      <c r="BA781" s="4382"/>
      <c r="BB781" s="4382"/>
      <c r="BC781" s="4382"/>
      <c r="BD781" s="4382"/>
      <c r="BE781" s="4382"/>
      <c r="BF781" s="4382" t="s">
        <v>89</v>
      </c>
      <c r="BG781" s="4382"/>
      <c r="BH781" s="4518">
        <f t="shared" si="348"/>
        <v>150</v>
      </c>
      <c r="BI781" s="4518">
        <f t="shared" si="349"/>
        <v>150</v>
      </c>
      <c r="BJ781" s="4518">
        <f t="shared" si="350"/>
        <v>150</v>
      </c>
      <c r="BK781" s="4518">
        <f t="shared" si="351"/>
        <v>150</v>
      </c>
      <c r="BL781" s="4518">
        <f t="shared" si="352"/>
        <v>150</v>
      </c>
      <c r="BM781" s="4518">
        <f t="shared" si="353"/>
        <v>120</v>
      </c>
      <c r="BN781" s="4518">
        <f t="shared" si="354"/>
        <v>30</v>
      </c>
      <c r="BO781" s="4417"/>
      <c r="BP781" s="4417"/>
      <c r="BQ781" s="4417"/>
      <c r="BR781" s="4417"/>
      <c r="BS781" s="4417"/>
      <c r="BT781" s="4472"/>
      <c r="BU781" s="4418"/>
      <c r="BV781" s="4519">
        <f t="shared" si="355"/>
        <v>900</v>
      </c>
      <c r="BW781" s="4520">
        <f t="shared" si="361"/>
        <v>0</v>
      </c>
      <c r="BX781" s="4543"/>
      <c r="BY781" s="4543"/>
      <c r="BZ781" s="4543"/>
      <c r="CA781" s="4550"/>
      <c r="CC781" s="4551"/>
      <c r="CD781" s="4550"/>
    </row>
    <row r="782" s="4318" customFormat="1" ht="50" customHeight="1" spans="1:82">
      <c r="A782" s="4513">
        <v>45929</v>
      </c>
      <c r="B782" s="4514" t="s">
        <v>3608</v>
      </c>
      <c r="C782" s="905" t="s">
        <v>738</v>
      </c>
      <c r="D782" s="4515">
        <v>4500180866</v>
      </c>
      <c r="E782" s="905">
        <v>5251218455</v>
      </c>
      <c r="F782" s="4515" t="s">
        <v>5217</v>
      </c>
      <c r="G782" s="905" t="s">
        <v>2590</v>
      </c>
      <c r="H782" s="905" t="s">
        <v>5218</v>
      </c>
      <c r="I782" s="906">
        <v>3960</v>
      </c>
      <c r="J782" s="906">
        <v>0</v>
      </c>
      <c r="K782" s="906">
        <v>6</v>
      </c>
      <c r="L782" s="906">
        <f t="shared" si="356"/>
        <v>660</v>
      </c>
      <c r="M782" s="4516">
        <v>46006</v>
      </c>
      <c r="N782" s="4542">
        <v>46002</v>
      </c>
      <c r="O782" s="4129"/>
      <c r="P782" s="4527" t="s">
        <v>82</v>
      </c>
      <c r="Q782" s="4527"/>
      <c r="R782" s="4159"/>
      <c r="S782" s="4159"/>
      <c r="T782" s="4159"/>
      <c r="U782" s="4148" t="s">
        <v>344</v>
      </c>
      <c r="V782" s="3738" t="s">
        <v>5219</v>
      </c>
      <c r="W782" s="3739"/>
      <c r="X782" s="3739" t="s">
        <v>5220</v>
      </c>
      <c r="Y782" s="3739"/>
      <c r="Z782" s="906"/>
      <c r="AA782" s="3625" t="s">
        <v>5221</v>
      </c>
      <c r="AB782" s="906" t="s">
        <v>1257</v>
      </c>
      <c r="AC782" s="906">
        <v>2.1303</v>
      </c>
      <c r="AD782" s="906">
        <f t="shared" ref="AD782:AD819" si="362">AC782*I782</f>
        <v>8435.988</v>
      </c>
      <c r="AE782" s="3625" t="s">
        <v>5222</v>
      </c>
      <c r="AF782" s="905" t="s">
        <v>3614</v>
      </c>
      <c r="AG782" s="4148" t="s">
        <v>416</v>
      </c>
      <c r="AH782" s="4422"/>
      <c r="AI782" s="906"/>
      <c r="AJ782" s="906"/>
      <c r="AK782" s="4422"/>
      <c r="AL782" s="905"/>
      <c r="AM782" s="905">
        <f t="shared" ref="AM782:AM789" si="363">I782</f>
        <v>3960</v>
      </c>
      <c r="AN782" s="906"/>
      <c r="AO782" s="906"/>
      <c r="AP782" s="906">
        <f t="shared" si="359"/>
        <v>3960</v>
      </c>
      <c r="AQ782" s="4382"/>
      <c r="AR782" s="907"/>
      <c r="AS782" s="4382">
        <f t="shared" si="360"/>
        <v>3960</v>
      </c>
      <c r="AT782" s="907"/>
      <c r="AU782" s="4382"/>
      <c r="AV782" s="4382"/>
      <c r="AW782" s="4518">
        <f t="shared" ref="AW782:AW787" si="364">I782/6</f>
        <v>660</v>
      </c>
      <c r="AX782" s="4382"/>
      <c r="AY782" s="4382"/>
      <c r="AZ782" s="4382"/>
      <c r="BA782" s="4382"/>
      <c r="BB782" s="4382"/>
      <c r="BC782" s="4382"/>
      <c r="BD782" s="4382"/>
      <c r="BE782" s="4382"/>
      <c r="BF782" s="4382" t="s">
        <v>89</v>
      </c>
      <c r="BG782" s="4382"/>
      <c r="BH782" s="4518">
        <f t="shared" si="348"/>
        <v>660</v>
      </c>
      <c r="BI782" s="4518">
        <f t="shared" si="349"/>
        <v>660</v>
      </c>
      <c r="BJ782" s="4518">
        <f t="shared" si="350"/>
        <v>660</v>
      </c>
      <c r="BK782" s="4518">
        <f t="shared" si="351"/>
        <v>660</v>
      </c>
      <c r="BL782" s="4518">
        <f t="shared" si="352"/>
        <v>660</v>
      </c>
      <c r="BM782" s="4518">
        <f t="shared" si="353"/>
        <v>528</v>
      </c>
      <c r="BN782" s="4518">
        <f t="shared" si="354"/>
        <v>132</v>
      </c>
      <c r="BO782" s="907"/>
      <c r="BP782" s="907"/>
      <c r="BQ782" s="907"/>
      <c r="BR782" s="907"/>
      <c r="BS782" s="907"/>
      <c r="BT782" s="910"/>
      <c r="BU782" s="911"/>
      <c r="BV782" s="4519">
        <f t="shared" si="355"/>
        <v>3960</v>
      </c>
      <c r="BW782" s="4520">
        <f t="shared" si="361"/>
        <v>0</v>
      </c>
      <c r="BX782" s="4543"/>
      <c r="BY782" s="4543"/>
      <c r="BZ782" s="4543"/>
      <c r="CA782" s="4550"/>
      <c r="CC782" s="4551"/>
      <c r="CD782" s="4550"/>
    </row>
    <row r="783" s="4318" customFormat="1" ht="50" customHeight="1" spans="1:82">
      <c r="A783" s="4513">
        <v>45929</v>
      </c>
      <c r="B783" s="4514" t="s">
        <v>3608</v>
      </c>
      <c r="C783" s="905" t="s">
        <v>738</v>
      </c>
      <c r="D783" s="4515">
        <v>4500180866</v>
      </c>
      <c r="E783" s="905">
        <v>5251218456</v>
      </c>
      <c r="F783" s="4515" t="s">
        <v>5223</v>
      </c>
      <c r="G783" s="905" t="s">
        <v>2590</v>
      </c>
      <c r="H783" s="905" t="s">
        <v>5218</v>
      </c>
      <c r="I783" s="906">
        <v>3000</v>
      </c>
      <c r="J783" s="906">
        <v>0</v>
      </c>
      <c r="K783" s="906">
        <v>6</v>
      </c>
      <c r="L783" s="906">
        <f t="shared" si="356"/>
        <v>500</v>
      </c>
      <c r="M783" s="4516">
        <v>46006</v>
      </c>
      <c r="N783" s="4542">
        <v>46002</v>
      </c>
      <c r="O783" s="4129"/>
      <c r="P783" s="4527" t="s">
        <v>82</v>
      </c>
      <c r="Q783" s="4527"/>
      <c r="R783" s="4159"/>
      <c r="S783" s="4159"/>
      <c r="T783" s="4159"/>
      <c r="U783" s="4148" t="s">
        <v>344</v>
      </c>
      <c r="V783" s="3738" t="s">
        <v>5219</v>
      </c>
      <c r="W783" s="3739"/>
      <c r="X783" s="3739" t="s">
        <v>5220</v>
      </c>
      <c r="Y783" s="3739"/>
      <c r="Z783" s="906"/>
      <c r="AA783" s="3625" t="s">
        <v>5221</v>
      </c>
      <c r="AB783" s="906" t="s">
        <v>1257</v>
      </c>
      <c r="AC783" s="906">
        <v>2.1303</v>
      </c>
      <c r="AD783" s="906">
        <f t="shared" si="362"/>
        <v>6390.9</v>
      </c>
      <c r="AE783" s="3625" t="s">
        <v>5222</v>
      </c>
      <c r="AF783" s="905" t="s">
        <v>3614</v>
      </c>
      <c r="AG783" s="4148" t="s">
        <v>416</v>
      </c>
      <c r="AH783" s="4422"/>
      <c r="AI783" s="906"/>
      <c r="AJ783" s="906"/>
      <c r="AK783" s="4422"/>
      <c r="AL783" s="905"/>
      <c r="AM783" s="905">
        <f t="shared" si="363"/>
        <v>3000</v>
      </c>
      <c r="AN783" s="906"/>
      <c r="AO783" s="906"/>
      <c r="AP783" s="906">
        <f t="shared" si="359"/>
        <v>3000</v>
      </c>
      <c r="AQ783" s="4382"/>
      <c r="AR783" s="907"/>
      <c r="AS783" s="4382">
        <f t="shared" si="360"/>
        <v>3000</v>
      </c>
      <c r="AT783" s="907"/>
      <c r="AU783" s="4382"/>
      <c r="AV783" s="4382"/>
      <c r="AW783" s="4518">
        <f t="shared" si="364"/>
        <v>500</v>
      </c>
      <c r="AX783" s="4382"/>
      <c r="AY783" s="4382"/>
      <c r="AZ783" s="4382"/>
      <c r="BA783" s="4382"/>
      <c r="BB783" s="4382"/>
      <c r="BC783" s="4382"/>
      <c r="BD783" s="4382"/>
      <c r="BE783" s="4382"/>
      <c r="BF783" s="4382" t="s">
        <v>89</v>
      </c>
      <c r="BG783" s="4382"/>
      <c r="BH783" s="4518">
        <f t="shared" si="348"/>
        <v>500</v>
      </c>
      <c r="BI783" s="4518">
        <f t="shared" si="349"/>
        <v>500</v>
      </c>
      <c r="BJ783" s="4518">
        <f t="shared" si="350"/>
        <v>500</v>
      </c>
      <c r="BK783" s="4518">
        <f t="shared" si="351"/>
        <v>500</v>
      </c>
      <c r="BL783" s="4518">
        <f t="shared" si="352"/>
        <v>500</v>
      </c>
      <c r="BM783" s="4518">
        <f t="shared" si="353"/>
        <v>400</v>
      </c>
      <c r="BN783" s="4518">
        <f t="shared" si="354"/>
        <v>100</v>
      </c>
      <c r="BO783" s="907"/>
      <c r="BP783" s="907"/>
      <c r="BQ783" s="907"/>
      <c r="BR783" s="907"/>
      <c r="BS783" s="907"/>
      <c r="BT783" s="910"/>
      <c r="BU783" s="911"/>
      <c r="BV783" s="4519">
        <f t="shared" si="355"/>
        <v>3000</v>
      </c>
      <c r="BW783" s="4520">
        <f t="shared" si="361"/>
        <v>0</v>
      </c>
      <c r="BX783" s="4543"/>
      <c r="BY783" s="4543"/>
      <c r="BZ783" s="4543"/>
      <c r="CA783" s="4550"/>
      <c r="CC783" s="4551"/>
      <c r="CD783" s="4550"/>
    </row>
    <row r="784" s="4318" customFormat="1" ht="50" customHeight="1" spans="1:82">
      <c r="A784" s="4125">
        <v>45965</v>
      </c>
      <c r="B784" s="3821" t="s">
        <v>5224</v>
      </c>
      <c r="C784" s="3821" t="s">
        <v>3428</v>
      </c>
      <c r="D784" s="4515">
        <v>4500184422</v>
      </c>
      <c r="E784" s="905">
        <v>5907187951</v>
      </c>
      <c r="F784" s="4515" t="s">
        <v>5225</v>
      </c>
      <c r="G784" s="905" t="s">
        <v>2577</v>
      </c>
      <c r="H784" s="905" t="s">
        <v>2578</v>
      </c>
      <c r="I784" s="906">
        <v>252</v>
      </c>
      <c r="J784" s="906">
        <v>0</v>
      </c>
      <c r="K784" s="906">
        <v>12</v>
      </c>
      <c r="L784" s="906">
        <f t="shared" si="356"/>
        <v>21</v>
      </c>
      <c r="M784" s="3737">
        <v>46009</v>
      </c>
      <c r="N784" s="3737">
        <v>46006</v>
      </c>
      <c r="O784" s="4129"/>
      <c r="P784" s="4527" t="s">
        <v>82</v>
      </c>
      <c r="Q784" s="4527"/>
      <c r="R784" s="4159"/>
      <c r="S784" s="4159"/>
      <c r="T784" s="4159"/>
      <c r="U784" s="4148" t="s">
        <v>96</v>
      </c>
      <c r="V784" s="906" t="s">
        <v>5226</v>
      </c>
      <c r="W784" s="3739"/>
      <c r="X784" s="3739" t="s">
        <v>3618</v>
      </c>
      <c r="Y784" s="3739"/>
      <c r="Z784" s="906"/>
      <c r="AA784" s="3625" t="s">
        <v>5227</v>
      </c>
      <c r="AB784" s="3823" t="s">
        <v>1257</v>
      </c>
      <c r="AC784" s="906">
        <v>2.1438</v>
      </c>
      <c r="AD784" s="906">
        <f t="shared" si="362"/>
        <v>540.2376</v>
      </c>
      <c r="AE784" s="4148"/>
      <c r="AF784" s="905" t="s">
        <v>2604</v>
      </c>
      <c r="AG784" s="4148" t="s">
        <v>416</v>
      </c>
      <c r="AH784" s="4405"/>
      <c r="AI784" s="906"/>
      <c r="AJ784" s="906"/>
      <c r="AK784" s="4405"/>
      <c r="AL784" s="905"/>
      <c r="AM784" s="905">
        <f t="shared" si="363"/>
        <v>252</v>
      </c>
      <c r="AN784" s="906"/>
      <c r="AO784" s="906"/>
      <c r="AP784" s="906">
        <f t="shared" si="359"/>
        <v>252</v>
      </c>
      <c r="AQ784" s="4382"/>
      <c r="AR784" s="4417"/>
      <c r="AS784" s="4382">
        <f t="shared" si="360"/>
        <v>252</v>
      </c>
      <c r="AT784" s="4417"/>
      <c r="AU784" s="4382"/>
      <c r="AV784" s="4382"/>
      <c r="AW784" s="4382">
        <f t="shared" si="364"/>
        <v>42</v>
      </c>
      <c r="AX784" s="4382"/>
      <c r="AY784" s="4382"/>
      <c r="AZ784" s="4382"/>
      <c r="BA784" s="4382"/>
      <c r="BB784" s="4382"/>
      <c r="BC784" s="4382"/>
      <c r="BD784" s="4382"/>
      <c r="BE784" s="4382"/>
      <c r="BF784" s="4382" t="s">
        <v>89</v>
      </c>
      <c r="BG784" s="4382"/>
      <c r="BH784" s="4382">
        <f t="shared" si="348"/>
        <v>42</v>
      </c>
      <c r="BI784" s="4382">
        <f t="shared" si="349"/>
        <v>42</v>
      </c>
      <c r="BJ784" s="4382">
        <f t="shared" si="350"/>
        <v>42</v>
      </c>
      <c r="BK784" s="4382">
        <f t="shared" si="351"/>
        <v>42</v>
      </c>
      <c r="BL784" s="4382">
        <f t="shared" si="352"/>
        <v>42</v>
      </c>
      <c r="BM784" s="4382">
        <f t="shared" si="353"/>
        <v>33.6</v>
      </c>
      <c r="BN784" s="4382">
        <f t="shared" si="354"/>
        <v>8.4</v>
      </c>
      <c r="BO784" s="4417"/>
      <c r="BP784" s="4417"/>
      <c r="BQ784" s="4417"/>
      <c r="BR784" s="4417"/>
      <c r="BS784" s="4417"/>
      <c r="BT784" s="4472"/>
      <c r="BU784" s="4418"/>
      <c r="BV784" s="4529">
        <f t="shared" si="355"/>
        <v>252</v>
      </c>
      <c r="BW784" s="4530">
        <f t="shared" si="361"/>
        <v>0</v>
      </c>
      <c r="BX784" s="4543"/>
      <c r="BY784" s="4543"/>
      <c r="BZ784" s="4543"/>
      <c r="CA784" s="4550"/>
      <c r="CC784" s="4551"/>
      <c r="CD784" s="4550"/>
    </row>
    <row r="785" s="4318" customFormat="1" ht="50" customHeight="1" spans="1:82">
      <c r="A785" s="4125">
        <v>45965</v>
      </c>
      <c r="B785" s="3821" t="s">
        <v>5228</v>
      </c>
      <c r="C785" s="3821" t="s">
        <v>3417</v>
      </c>
      <c r="D785" s="4515">
        <v>4500184355</v>
      </c>
      <c r="E785" s="905">
        <v>4407187950</v>
      </c>
      <c r="F785" s="4515" t="s">
        <v>5229</v>
      </c>
      <c r="G785" s="905" t="s">
        <v>2577</v>
      </c>
      <c r="H785" s="905" t="s">
        <v>2578</v>
      </c>
      <c r="I785" s="906">
        <v>216</v>
      </c>
      <c r="J785" s="906">
        <v>0</v>
      </c>
      <c r="K785" s="906">
        <v>12</v>
      </c>
      <c r="L785" s="906">
        <f t="shared" si="356"/>
        <v>18</v>
      </c>
      <c r="M785" s="3737">
        <v>46009</v>
      </c>
      <c r="N785" s="3737">
        <v>46006</v>
      </c>
      <c r="O785" s="4129"/>
      <c r="P785" s="4527" t="s">
        <v>82</v>
      </c>
      <c r="Q785" s="4527"/>
      <c r="R785" s="4159"/>
      <c r="S785" s="4159"/>
      <c r="T785" s="4159"/>
      <c r="U785" s="4148" t="s">
        <v>2242</v>
      </c>
      <c r="V785" s="906" t="s">
        <v>5226</v>
      </c>
      <c r="W785" s="3739"/>
      <c r="X785" s="3739" t="s">
        <v>3618</v>
      </c>
      <c r="Y785" s="3739"/>
      <c r="Z785" s="906"/>
      <c r="AA785" s="3625" t="s">
        <v>5230</v>
      </c>
      <c r="AB785" s="3823" t="s">
        <v>1257</v>
      </c>
      <c r="AC785" s="906">
        <v>2.1438</v>
      </c>
      <c r="AD785" s="906">
        <f t="shared" si="362"/>
        <v>463.0608</v>
      </c>
      <c r="AE785" s="4148"/>
      <c r="AF785" s="905" t="s">
        <v>2604</v>
      </c>
      <c r="AG785" s="4148" t="s">
        <v>416</v>
      </c>
      <c r="AH785" s="4405"/>
      <c r="AI785" s="906"/>
      <c r="AJ785" s="906"/>
      <c r="AK785" s="4405"/>
      <c r="AL785" s="905"/>
      <c r="AM785" s="905">
        <f t="shared" si="363"/>
        <v>216</v>
      </c>
      <c r="AN785" s="906"/>
      <c r="AO785" s="906"/>
      <c r="AP785" s="906">
        <f t="shared" si="359"/>
        <v>216</v>
      </c>
      <c r="AQ785" s="4382"/>
      <c r="AR785" s="4417"/>
      <c r="AS785" s="4382">
        <f t="shared" si="360"/>
        <v>216</v>
      </c>
      <c r="AT785" s="4417"/>
      <c r="AU785" s="4382"/>
      <c r="AV785" s="4382"/>
      <c r="AW785" s="4382">
        <f t="shared" si="364"/>
        <v>36</v>
      </c>
      <c r="AX785" s="4382"/>
      <c r="AY785" s="4382"/>
      <c r="AZ785" s="4382"/>
      <c r="BA785" s="4382"/>
      <c r="BB785" s="4382"/>
      <c r="BC785" s="4382"/>
      <c r="BD785" s="4382"/>
      <c r="BE785" s="4382"/>
      <c r="BF785" s="4382" t="s">
        <v>89</v>
      </c>
      <c r="BG785" s="4382"/>
      <c r="BH785" s="4382">
        <f t="shared" si="348"/>
        <v>36</v>
      </c>
      <c r="BI785" s="4382">
        <f t="shared" si="349"/>
        <v>36</v>
      </c>
      <c r="BJ785" s="4382">
        <f t="shared" si="350"/>
        <v>36</v>
      </c>
      <c r="BK785" s="4382">
        <f t="shared" si="351"/>
        <v>36</v>
      </c>
      <c r="BL785" s="4382">
        <f t="shared" si="352"/>
        <v>36</v>
      </c>
      <c r="BM785" s="4382">
        <f t="shared" si="353"/>
        <v>28.8</v>
      </c>
      <c r="BN785" s="4382">
        <f t="shared" si="354"/>
        <v>7.2</v>
      </c>
      <c r="BO785" s="4417"/>
      <c r="BP785" s="4417"/>
      <c r="BQ785" s="4417"/>
      <c r="BR785" s="4417"/>
      <c r="BS785" s="4417"/>
      <c r="BT785" s="4472"/>
      <c r="BU785" s="4418"/>
      <c r="BV785" s="4529">
        <f t="shared" si="355"/>
        <v>216</v>
      </c>
      <c r="BW785" s="4530">
        <f t="shared" si="361"/>
        <v>0</v>
      </c>
      <c r="BX785" s="4543"/>
      <c r="BY785" s="4543"/>
      <c r="BZ785" s="4543"/>
      <c r="CA785" s="4550"/>
      <c r="CC785" s="4551"/>
      <c r="CD785" s="4550"/>
    </row>
    <row r="786" s="4318" customFormat="1" ht="50" customHeight="1" spans="1:82">
      <c r="A786" s="4125">
        <v>45965</v>
      </c>
      <c r="B786" s="3821" t="s">
        <v>5231</v>
      </c>
      <c r="C786" s="3821" t="s">
        <v>1332</v>
      </c>
      <c r="D786" s="4515">
        <v>4500184316</v>
      </c>
      <c r="E786" s="905">
        <v>8807187952</v>
      </c>
      <c r="F786" s="4515" t="s">
        <v>5232</v>
      </c>
      <c r="G786" s="905" t="s">
        <v>2577</v>
      </c>
      <c r="H786" s="905" t="s">
        <v>2578</v>
      </c>
      <c r="I786" s="906">
        <v>300</v>
      </c>
      <c r="J786" s="906">
        <v>0</v>
      </c>
      <c r="K786" s="906">
        <v>12</v>
      </c>
      <c r="L786" s="906">
        <f t="shared" si="356"/>
        <v>25</v>
      </c>
      <c r="M786" s="3737">
        <v>46009</v>
      </c>
      <c r="N786" s="3737">
        <v>46006</v>
      </c>
      <c r="O786" s="4129"/>
      <c r="P786" s="4527" t="s">
        <v>82</v>
      </c>
      <c r="Q786" s="4527"/>
      <c r="R786" s="4159"/>
      <c r="S786" s="4159"/>
      <c r="T786" s="4159"/>
      <c r="U786" s="4148" t="s">
        <v>5233</v>
      </c>
      <c r="V786" s="906" t="s">
        <v>5226</v>
      </c>
      <c r="W786" s="3739"/>
      <c r="X786" s="3739" t="s">
        <v>3618</v>
      </c>
      <c r="Y786" s="3739"/>
      <c r="Z786" s="906"/>
      <c r="AA786" s="3625" t="s">
        <v>5230</v>
      </c>
      <c r="AB786" s="3823" t="s">
        <v>1257</v>
      </c>
      <c r="AC786" s="906">
        <v>2.1438</v>
      </c>
      <c r="AD786" s="906">
        <f t="shared" si="362"/>
        <v>643.14</v>
      </c>
      <c r="AE786" s="4148"/>
      <c r="AF786" s="905" t="s">
        <v>2604</v>
      </c>
      <c r="AG786" s="4148" t="s">
        <v>416</v>
      </c>
      <c r="AH786" s="4405"/>
      <c r="AI786" s="906"/>
      <c r="AJ786" s="906"/>
      <c r="AK786" s="4405"/>
      <c r="AL786" s="905"/>
      <c r="AM786" s="905">
        <f t="shared" si="363"/>
        <v>300</v>
      </c>
      <c r="AN786" s="906"/>
      <c r="AO786" s="906"/>
      <c r="AP786" s="906">
        <f t="shared" si="359"/>
        <v>300</v>
      </c>
      <c r="AQ786" s="4382"/>
      <c r="AR786" s="4417"/>
      <c r="AS786" s="4382">
        <f t="shared" si="360"/>
        <v>300</v>
      </c>
      <c r="AT786" s="4417"/>
      <c r="AU786" s="4382"/>
      <c r="AV786" s="4382"/>
      <c r="AW786" s="4382">
        <f t="shared" si="364"/>
        <v>50</v>
      </c>
      <c r="AX786" s="4382"/>
      <c r="AY786" s="4382"/>
      <c r="AZ786" s="4382"/>
      <c r="BA786" s="4382"/>
      <c r="BB786" s="4382"/>
      <c r="BC786" s="4382"/>
      <c r="BD786" s="4382"/>
      <c r="BE786" s="4382"/>
      <c r="BF786" s="4382" t="s">
        <v>89</v>
      </c>
      <c r="BG786" s="4382"/>
      <c r="BH786" s="4382">
        <f t="shared" si="348"/>
        <v>50</v>
      </c>
      <c r="BI786" s="4382">
        <f t="shared" si="349"/>
        <v>50</v>
      </c>
      <c r="BJ786" s="4382">
        <f t="shared" si="350"/>
        <v>50</v>
      </c>
      <c r="BK786" s="4382">
        <f t="shared" si="351"/>
        <v>50</v>
      </c>
      <c r="BL786" s="4382">
        <f t="shared" si="352"/>
        <v>50</v>
      </c>
      <c r="BM786" s="4382">
        <f t="shared" si="353"/>
        <v>40</v>
      </c>
      <c r="BN786" s="4382">
        <f t="shared" si="354"/>
        <v>10</v>
      </c>
      <c r="BO786" s="4417"/>
      <c r="BP786" s="4417"/>
      <c r="BQ786" s="4417"/>
      <c r="BR786" s="4417"/>
      <c r="BS786" s="4417"/>
      <c r="BT786" s="4472"/>
      <c r="BU786" s="4418"/>
      <c r="BV786" s="4529">
        <f t="shared" si="355"/>
        <v>300</v>
      </c>
      <c r="BW786" s="4530">
        <f t="shared" si="361"/>
        <v>0</v>
      </c>
      <c r="BX786" s="4543"/>
      <c r="BY786" s="4543"/>
      <c r="BZ786" s="4543"/>
      <c r="CA786" s="4550"/>
      <c r="CC786" s="4551"/>
      <c r="CD786" s="4550"/>
    </row>
    <row r="787" s="4318" customFormat="1" ht="50" customHeight="1" spans="1:82">
      <c r="A787" s="4513">
        <v>45952</v>
      </c>
      <c r="B787" s="4514" t="s">
        <v>5234</v>
      </c>
      <c r="C787" s="905" t="s">
        <v>738</v>
      </c>
      <c r="D787" s="4515">
        <v>4500182578</v>
      </c>
      <c r="E787" s="905">
        <v>62050798</v>
      </c>
      <c r="F787" s="4515" t="s">
        <v>5235</v>
      </c>
      <c r="G787" s="905" t="s">
        <v>2577</v>
      </c>
      <c r="H787" s="905" t="s">
        <v>2578</v>
      </c>
      <c r="I787" s="906">
        <v>108</v>
      </c>
      <c r="J787" s="906">
        <v>0</v>
      </c>
      <c r="K787" s="906">
        <v>12</v>
      </c>
      <c r="L787" s="906">
        <f t="shared" si="356"/>
        <v>9</v>
      </c>
      <c r="M787" s="4516">
        <v>46006</v>
      </c>
      <c r="N787" s="4542">
        <v>46002</v>
      </c>
      <c r="O787" s="4129"/>
      <c r="P787" s="4527" t="s">
        <v>82</v>
      </c>
      <c r="Q787" s="4527"/>
      <c r="R787" s="4159"/>
      <c r="S787" s="4159"/>
      <c r="T787" s="4159"/>
      <c r="U787" s="4148" t="s">
        <v>344</v>
      </c>
      <c r="V787" s="3738" t="s">
        <v>2231</v>
      </c>
      <c r="W787" s="3739"/>
      <c r="X787" s="3739" t="s">
        <v>5236</v>
      </c>
      <c r="Y787" s="3739"/>
      <c r="Z787" s="906"/>
      <c r="AA787" s="3625" t="s">
        <v>5237</v>
      </c>
      <c r="AB787" s="906" t="s">
        <v>459</v>
      </c>
      <c r="AC787" s="906">
        <v>2.0933</v>
      </c>
      <c r="AD787" s="906">
        <f t="shared" si="362"/>
        <v>226.0764</v>
      </c>
      <c r="AE787" s="3742" t="s">
        <v>5238</v>
      </c>
      <c r="AF787" s="905" t="s">
        <v>2604</v>
      </c>
      <c r="AG787" s="4148" t="s">
        <v>416</v>
      </c>
      <c r="AH787" s="4422"/>
      <c r="AI787" s="906"/>
      <c r="AJ787" s="906"/>
      <c r="AK787" s="4422"/>
      <c r="AL787" s="905"/>
      <c r="AM787" s="905">
        <f t="shared" si="363"/>
        <v>108</v>
      </c>
      <c r="AN787" s="906"/>
      <c r="AO787" s="906"/>
      <c r="AP787" s="906">
        <f t="shared" si="359"/>
        <v>108</v>
      </c>
      <c r="AQ787" s="4382"/>
      <c r="AR787" s="907"/>
      <c r="AS787" s="4382">
        <f t="shared" si="360"/>
        <v>108</v>
      </c>
      <c r="AT787" s="907"/>
      <c r="AU787" s="4382"/>
      <c r="AV787" s="4382"/>
      <c r="AW787" s="4382">
        <f t="shared" si="364"/>
        <v>18</v>
      </c>
      <c r="AX787" s="4382"/>
      <c r="AY787" s="4382"/>
      <c r="AZ787" s="4382"/>
      <c r="BA787" s="4382"/>
      <c r="BB787" s="4382"/>
      <c r="BC787" s="4382"/>
      <c r="BD787" s="4382"/>
      <c r="BE787" s="4382"/>
      <c r="BF787" s="4382" t="s">
        <v>89</v>
      </c>
      <c r="BG787" s="4382"/>
      <c r="BH787" s="4382">
        <f t="shared" si="348"/>
        <v>18</v>
      </c>
      <c r="BI787" s="4382">
        <f t="shared" si="349"/>
        <v>18</v>
      </c>
      <c r="BJ787" s="4382">
        <f t="shared" si="350"/>
        <v>18</v>
      </c>
      <c r="BK787" s="4382">
        <f t="shared" si="351"/>
        <v>18</v>
      </c>
      <c r="BL787" s="4382">
        <f t="shared" si="352"/>
        <v>18</v>
      </c>
      <c r="BM787" s="4382">
        <f t="shared" si="353"/>
        <v>14.4</v>
      </c>
      <c r="BN787" s="4382">
        <f t="shared" si="354"/>
        <v>3.6</v>
      </c>
      <c r="BO787" s="907"/>
      <c r="BP787" s="907"/>
      <c r="BQ787" s="907"/>
      <c r="BR787" s="907"/>
      <c r="BS787" s="907"/>
      <c r="BT787" s="910"/>
      <c r="BU787" s="911"/>
      <c r="BV787" s="4529">
        <f t="shared" si="355"/>
        <v>108</v>
      </c>
      <c r="BW787" s="4530">
        <f t="shared" si="361"/>
        <v>0</v>
      </c>
      <c r="BX787" s="4543"/>
      <c r="BY787" s="4543"/>
      <c r="BZ787" s="4543"/>
      <c r="CA787" s="4550"/>
      <c r="CC787" s="4551"/>
      <c r="CD787" s="4550"/>
    </row>
    <row r="788" s="4318" customFormat="1" ht="50" customHeight="1" spans="1:82">
      <c r="A788" s="4513">
        <v>45960</v>
      </c>
      <c r="B788" s="4514" t="s">
        <v>90</v>
      </c>
      <c r="C788" s="905" t="s">
        <v>91</v>
      </c>
      <c r="D788" s="4515">
        <v>4500183799</v>
      </c>
      <c r="E788" s="905" t="s">
        <v>5239</v>
      </c>
      <c r="F788" s="4515" t="s">
        <v>5240</v>
      </c>
      <c r="G788" s="905" t="s">
        <v>2719</v>
      </c>
      <c r="H788" s="906" t="s">
        <v>2591</v>
      </c>
      <c r="I788" s="906">
        <v>1200</v>
      </c>
      <c r="J788" s="906">
        <v>0</v>
      </c>
      <c r="K788" s="906">
        <v>6</v>
      </c>
      <c r="L788" s="906">
        <f t="shared" si="356"/>
        <v>200</v>
      </c>
      <c r="M788" s="4516">
        <v>46001</v>
      </c>
      <c r="N788" s="4542">
        <v>46007</v>
      </c>
      <c r="O788" s="4129"/>
      <c r="P788" s="4527" t="s">
        <v>82</v>
      </c>
      <c r="Q788" s="4527"/>
      <c r="R788" s="4159"/>
      <c r="S788" s="4159"/>
      <c r="T788" s="4159"/>
      <c r="U788" s="3739" t="s">
        <v>2210</v>
      </c>
      <c r="V788" s="906" t="s">
        <v>97</v>
      </c>
      <c r="W788" s="3739"/>
      <c r="X788" s="3739" t="s">
        <v>98</v>
      </c>
      <c r="Y788" s="3739" t="s">
        <v>2206</v>
      </c>
      <c r="Z788" s="906"/>
      <c r="AA788" s="3625" t="s">
        <v>2207</v>
      </c>
      <c r="AB788" s="906" t="s">
        <v>2211</v>
      </c>
      <c r="AC788" s="4523">
        <v>1.2596</v>
      </c>
      <c r="AD788" s="906">
        <f t="shared" si="362"/>
        <v>1511.52</v>
      </c>
      <c r="AE788" s="4148"/>
      <c r="AF788" s="905" t="s">
        <v>2719</v>
      </c>
      <c r="AG788" s="4148" t="s">
        <v>416</v>
      </c>
      <c r="AH788" s="4405"/>
      <c r="AI788" s="906"/>
      <c r="AJ788" s="906">
        <f>I788</f>
        <v>1200</v>
      </c>
      <c r="AK788" s="4405"/>
      <c r="AL788" s="905"/>
      <c r="AM788" s="905"/>
      <c r="AN788" s="906"/>
      <c r="AO788" s="906"/>
      <c r="AP788" s="906">
        <f t="shared" si="359"/>
        <v>1200</v>
      </c>
      <c r="AQ788" s="4382"/>
      <c r="AR788" s="4417"/>
      <c r="AS788" s="4382">
        <f t="shared" si="360"/>
        <v>1200</v>
      </c>
      <c r="AT788" s="4417"/>
      <c r="AU788" s="4382"/>
      <c r="AV788" s="4382"/>
      <c r="AW788" s="4518"/>
      <c r="AX788" s="4382"/>
      <c r="AY788" s="4382"/>
      <c r="AZ788" s="4382"/>
      <c r="BA788" s="4382"/>
      <c r="BB788" s="4382"/>
      <c r="BC788" s="4382"/>
      <c r="BD788" s="4382"/>
      <c r="BE788" s="4382"/>
      <c r="BF788" s="4382" t="s">
        <v>89</v>
      </c>
      <c r="BG788" s="4382"/>
      <c r="BH788" s="4518">
        <f t="shared" si="348"/>
        <v>200</v>
      </c>
      <c r="BI788" s="4518">
        <f t="shared" si="349"/>
        <v>200</v>
      </c>
      <c r="BJ788" s="4518">
        <f t="shared" si="350"/>
        <v>200</v>
      </c>
      <c r="BK788" s="4518">
        <f t="shared" si="351"/>
        <v>200</v>
      </c>
      <c r="BL788" s="4518">
        <f t="shared" si="352"/>
        <v>200</v>
      </c>
      <c r="BM788" s="4518">
        <f t="shared" si="353"/>
        <v>160</v>
      </c>
      <c r="BN788" s="4518">
        <f t="shared" si="354"/>
        <v>40</v>
      </c>
      <c r="BO788" s="4417"/>
      <c r="BP788" s="4417"/>
      <c r="BQ788" s="4417"/>
      <c r="BR788" s="4417"/>
      <c r="BS788" s="4417"/>
      <c r="BT788" s="4472"/>
      <c r="BU788" s="4418"/>
      <c r="BV788" s="4519">
        <f t="shared" si="355"/>
        <v>1200</v>
      </c>
      <c r="BW788" s="4520">
        <f t="shared" si="361"/>
        <v>0</v>
      </c>
      <c r="BX788" s="4409"/>
      <c r="BY788" s="4409"/>
      <c r="BZ788" s="4543"/>
      <c r="CA788" s="4550"/>
      <c r="CC788" s="4551"/>
      <c r="CD788" s="4550"/>
    </row>
    <row r="789" s="4318" customFormat="1" ht="50" customHeight="1" spans="1:82">
      <c r="A789" s="4513">
        <v>45960</v>
      </c>
      <c r="B789" s="4514" t="s">
        <v>90</v>
      </c>
      <c r="C789" s="905" t="s">
        <v>91</v>
      </c>
      <c r="D789" s="4515">
        <v>4500183800</v>
      </c>
      <c r="E789" s="905" t="s">
        <v>5241</v>
      </c>
      <c r="F789" s="4515" t="s">
        <v>5242</v>
      </c>
      <c r="G789" s="905" t="s">
        <v>2719</v>
      </c>
      <c r="H789" s="906" t="s">
        <v>2591</v>
      </c>
      <c r="I789" s="906">
        <v>1800</v>
      </c>
      <c r="J789" s="906">
        <v>0</v>
      </c>
      <c r="K789" s="906">
        <v>6</v>
      </c>
      <c r="L789" s="906">
        <f t="shared" si="356"/>
        <v>300</v>
      </c>
      <c r="M789" s="4516">
        <v>46001</v>
      </c>
      <c r="N789" s="4542">
        <v>46007</v>
      </c>
      <c r="O789" s="4129"/>
      <c r="P789" s="4527" t="s">
        <v>82</v>
      </c>
      <c r="Q789" s="4527"/>
      <c r="R789" s="4159"/>
      <c r="S789" s="4159"/>
      <c r="T789" s="4159"/>
      <c r="U789" s="3739" t="s">
        <v>2205</v>
      </c>
      <c r="V789" s="906" t="s">
        <v>97</v>
      </c>
      <c r="W789" s="3739"/>
      <c r="X789" s="3739" t="s">
        <v>98</v>
      </c>
      <c r="Y789" s="3739" t="s">
        <v>2206</v>
      </c>
      <c r="Z789" s="906"/>
      <c r="AA789" s="3625" t="s">
        <v>2207</v>
      </c>
      <c r="AB789" s="906" t="s">
        <v>653</v>
      </c>
      <c r="AC789" s="4523">
        <v>1.2596</v>
      </c>
      <c r="AD789" s="906">
        <f t="shared" si="362"/>
        <v>2267.28</v>
      </c>
      <c r="AE789" s="4148"/>
      <c r="AF789" s="905" t="s">
        <v>2719</v>
      </c>
      <c r="AG789" s="4148" t="s">
        <v>416</v>
      </c>
      <c r="AH789" s="4405"/>
      <c r="AI789" s="906"/>
      <c r="AJ789" s="906">
        <f>I789</f>
        <v>1800</v>
      </c>
      <c r="AK789" s="4405"/>
      <c r="AL789" s="905"/>
      <c r="AM789" s="905"/>
      <c r="AN789" s="906"/>
      <c r="AO789" s="906"/>
      <c r="AP789" s="906">
        <f t="shared" si="359"/>
        <v>1800</v>
      </c>
      <c r="AQ789" s="4382"/>
      <c r="AR789" s="4417"/>
      <c r="AS789" s="4382">
        <f t="shared" si="360"/>
        <v>1800</v>
      </c>
      <c r="AT789" s="4417"/>
      <c r="AU789" s="4382"/>
      <c r="AV789" s="4382"/>
      <c r="AW789" s="4518"/>
      <c r="AX789" s="4382"/>
      <c r="AY789" s="4382"/>
      <c r="AZ789" s="4382"/>
      <c r="BA789" s="4382"/>
      <c r="BB789" s="4382"/>
      <c r="BC789" s="4382"/>
      <c r="BD789" s="4382"/>
      <c r="BE789" s="4382"/>
      <c r="BF789" s="4382" t="s">
        <v>89</v>
      </c>
      <c r="BG789" s="4382"/>
      <c r="BH789" s="4518">
        <f t="shared" si="348"/>
        <v>300</v>
      </c>
      <c r="BI789" s="4518">
        <f t="shared" si="349"/>
        <v>300</v>
      </c>
      <c r="BJ789" s="4518">
        <f t="shared" si="350"/>
        <v>300</v>
      </c>
      <c r="BK789" s="4518">
        <f t="shared" si="351"/>
        <v>300</v>
      </c>
      <c r="BL789" s="4518">
        <f t="shared" si="352"/>
        <v>300</v>
      </c>
      <c r="BM789" s="4518">
        <f t="shared" si="353"/>
        <v>240</v>
      </c>
      <c r="BN789" s="4518">
        <f t="shared" si="354"/>
        <v>60</v>
      </c>
      <c r="BO789" s="4417"/>
      <c r="BP789" s="4417"/>
      <c r="BQ789" s="4417"/>
      <c r="BR789" s="4417"/>
      <c r="BS789" s="4417"/>
      <c r="BT789" s="4472"/>
      <c r="BU789" s="4418"/>
      <c r="BV789" s="4519">
        <f t="shared" si="355"/>
        <v>1800</v>
      </c>
      <c r="BW789" s="4520">
        <f t="shared" si="361"/>
        <v>0</v>
      </c>
      <c r="BX789" s="4409"/>
      <c r="BY789" s="4409"/>
      <c r="BZ789" s="4543"/>
      <c r="CA789" s="4550"/>
      <c r="CC789" s="4551"/>
      <c r="CD789" s="4550"/>
    </row>
    <row r="790" s="4318" customFormat="1" ht="50" customHeight="1" spans="1:82">
      <c r="A790" s="4513">
        <v>45959</v>
      </c>
      <c r="B790" s="4514" t="s">
        <v>2914</v>
      </c>
      <c r="C790" s="905" t="s">
        <v>341</v>
      </c>
      <c r="D790" s="4515">
        <v>4500183596</v>
      </c>
      <c r="E790" s="905" t="s">
        <v>5243</v>
      </c>
      <c r="F790" s="4515" t="s">
        <v>5244</v>
      </c>
      <c r="G790" s="905" t="s">
        <v>2917</v>
      </c>
      <c r="H790" s="905" t="s">
        <v>2620</v>
      </c>
      <c r="I790" s="4132">
        <v>4000</v>
      </c>
      <c r="J790" s="3736">
        <v>0</v>
      </c>
      <c r="K790" s="3736">
        <v>16</v>
      </c>
      <c r="L790" s="3736">
        <f t="shared" si="356"/>
        <v>250</v>
      </c>
      <c r="M790" s="4516">
        <v>46007</v>
      </c>
      <c r="N790" s="4542">
        <v>46003</v>
      </c>
      <c r="O790" s="4129"/>
      <c r="P790" s="4527" t="s">
        <v>82</v>
      </c>
      <c r="Q790" s="4527"/>
      <c r="R790" s="4159"/>
      <c r="S790" s="4159"/>
      <c r="T790" s="4159"/>
      <c r="U790" s="4148"/>
      <c r="V790" s="3738" t="s">
        <v>5245</v>
      </c>
      <c r="W790" s="3739"/>
      <c r="X790" s="3739" t="s">
        <v>5168</v>
      </c>
      <c r="Y790" s="3739"/>
      <c r="Z790" s="906"/>
      <c r="AA790" s="3625" t="s">
        <v>5246</v>
      </c>
      <c r="AB790" s="906" t="s">
        <v>5170</v>
      </c>
      <c r="AC790" s="3736">
        <v>2.1434</v>
      </c>
      <c r="AD790" s="3736">
        <f t="shared" si="362"/>
        <v>8573.6</v>
      </c>
      <c r="AE790" s="4148"/>
      <c r="AF790" s="905" t="s">
        <v>2917</v>
      </c>
      <c r="AG790" s="4148" t="s">
        <v>416</v>
      </c>
      <c r="AH790" s="4422"/>
      <c r="AI790" s="906"/>
      <c r="AJ790" s="906">
        <f>I790</f>
        <v>4000</v>
      </c>
      <c r="AK790" s="4422"/>
      <c r="AL790" s="905"/>
      <c r="AM790" s="905"/>
      <c r="AN790" s="906"/>
      <c r="AO790" s="906"/>
      <c r="AP790" s="906">
        <f t="shared" si="359"/>
        <v>4000</v>
      </c>
      <c r="AQ790" s="4382"/>
      <c r="AR790" s="907"/>
      <c r="AS790" s="4382">
        <f t="shared" si="360"/>
        <v>4000</v>
      </c>
      <c r="AT790" s="907"/>
      <c r="AU790" s="4382"/>
      <c r="AV790" s="4382"/>
      <c r="AW790" s="4382"/>
      <c r="AX790" s="4382"/>
      <c r="AY790" s="4382"/>
      <c r="AZ790" s="4382"/>
      <c r="BA790" s="4382">
        <f>I790/4</f>
        <v>1000</v>
      </c>
      <c r="BB790" s="4382"/>
      <c r="BC790" s="4382"/>
      <c r="BD790" s="4382"/>
      <c r="BE790" s="4382"/>
      <c r="BF790" s="4382" t="s">
        <v>89</v>
      </c>
      <c r="BG790" s="4382"/>
      <c r="BH790" s="4382">
        <f t="shared" si="348"/>
        <v>666.666666666667</v>
      </c>
      <c r="BI790" s="4382">
        <f t="shared" si="349"/>
        <v>666.666666666667</v>
      </c>
      <c r="BJ790" s="4382">
        <f t="shared" si="350"/>
        <v>666.666666666667</v>
      </c>
      <c r="BK790" s="4384">
        <f t="shared" si="351"/>
        <v>666.666666666667</v>
      </c>
      <c r="BL790" s="4529">
        <f t="shared" si="352"/>
        <v>666.666666666667</v>
      </c>
      <c r="BM790" s="4384">
        <f t="shared" si="353"/>
        <v>533.333333333333</v>
      </c>
      <c r="BN790" s="4382">
        <f t="shared" si="354"/>
        <v>133.333333333333</v>
      </c>
      <c r="BO790" s="907"/>
      <c r="BP790" s="907"/>
      <c r="BQ790" s="907"/>
      <c r="BR790" s="907"/>
      <c r="BS790" s="907"/>
      <c r="BT790" s="910"/>
      <c r="BU790" s="911"/>
      <c r="BV790" s="4529">
        <f t="shared" si="355"/>
        <v>4000</v>
      </c>
      <c r="BW790" s="4530">
        <f t="shared" si="361"/>
        <v>0</v>
      </c>
      <c r="BX790" s="4543"/>
      <c r="BY790" s="4543"/>
      <c r="BZ790" s="4543"/>
      <c r="CA790" s="4550"/>
      <c r="CC790" s="4551"/>
      <c r="CD790" s="4550"/>
    </row>
    <row r="791" s="4025" customFormat="1" ht="50" customHeight="1" spans="1:82">
      <c r="A791" s="3688">
        <v>45968</v>
      </c>
      <c r="B791" s="3689" t="s">
        <v>839</v>
      </c>
      <c r="C791" s="3664" t="s">
        <v>840</v>
      </c>
      <c r="D791" s="3690">
        <v>4500184779</v>
      </c>
      <c r="E791" s="3664">
        <v>21297199</v>
      </c>
      <c r="F791" s="3690" t="s">
        <v>5247</v>
      </c>
      <c r="G791" s="3664" t="s">
        <v>2577</v>
      </c>
      <c r="H791" s="3664" t="s">
        <v>2578</v>
      </c>
      <c r="I791" s="3691">
        <v>408</v>
      </c>
      <c r="J791" s="3691">
        <v>0</v>
      </c>
      <c r="K791" s="3691">
        <v>12</v>
      </c>
      <c r="L791" s="3691">
        <f t="shared" si="356"/>
        <v>34</v>
      </c>
      <c r="M791" s="3659">
        <v>46013</v>
      </c>
      <c r="N791" s="4111">
        <v>46009</v>
      </c>
      <c r="O791" s="4085"/>
      <c r="P791" s="4527" t="s">
        <v>82</v>
      </c>
      <c r="Q791" s="4527"/>
      <c r="R791" s="4159"/>
      <c r="S791" s="4159"/>
      <c r="T791" s="4159"/>
      <c r="U791" s="3645" t="s">
        <v>5248</v>
      </c>
      <c r="V791" s="3691" t="s">
        <v>2299</v>
      </c>
      <c r="W791" s="3657"/>
      <c r="X791" s="3657" t="s">
        <v>2196</v>
      </c>
      <c r="Y791" s="3657"/>
      <c r="Z791" s="3691"/>
      <c r="AA791" s="3620" t="s">
        <v>5249</v>
      </c>
      <c r="AB791" s="3691" t="s">
        <v>513</v>
      </c>
      <c r="AC791" s="3691">
        <v>2.0933</v>
      </c>
      <c r="AD791" s="3691">
        <f t="shared" si="362"/>
        <v>854.0664</v>
      </c>
      <c r="AE791" s="3645"/>
      <c r="AF791" s="3664" t="s">
        <v>2577</v>
      </c>
      <c r="AG791" s="3645" t="s">
        <v>416</v>
      </c>
      <c r="AH791" s="4484"/>
      <c r="AI791" s="3691"/>
      <c r="AJ791" s="3691">
        <f>I791</f>
        <v>408</v>
      </c>
      <c r="AK791" s="4484"/>
      <c r="AL791" s="3664"/>
      <c r="AM791" s="3664"/>
      <c r="AN791" s="3691"/>
      <c r="AO791" s="3691"/>
      <c r="AP791" s="3691">
        <f t="shared" si="359"/>
        <v>408</v>
      </c>
      <c r="AQ791" s="4089"/>
      <c r="AR791" s="4463"/>
      <c r="AS791" s="4089">
        <f t="shared" si="360"/>
        <v>408</v>
      </c>
      <c r="AT791" s="4463"/>
      <c r="AU791" s="4089"/>
      <c r="AV791" s="4089"/>
      <c r="AW791" s="4089">
        <f>I791/6</f>
        <v>68</v>
      </c>
      <c r="AX791" s="4089"/>
      <c r="AY791" s="4089"/>
      <c r="AZ791" s="4089"/>
      <c r="BA791" s="4089"/>
      <c r="BB791" s="4089"/>
      <c r="BC791" s="4089"/>
      <c r="BD791" s="4089"/>
      <c r="BE791" s="4089"/>
      <c r="BF791" s="4089" t="s">
        <v>89</v>
      </c>
      <c r="BG791" s="4089"/>
      <c r="BH791" s="4089">
        <f t="shared" si="348"/>
        <v>68</v>
      </c>
      <c r="BI791" s="4089">
        <f t="shared" si="349"/>
        <v>68</v>
      </c>
      <c r="BJ791" s="4089">
        <f t="shared" si="350"/>
        <v>68</v>
      </c>
      <c r="BK791" s="4089">
        <f t="shared" si="351"/>
        <v>68</v>
      </c>
      <c r="BL791" s="4089">
        <f t="shared" si="352"/>
        <v>68</v>
      </c>
      <c r="BM791" s="4089">
        <f t="shared" si="353"/>
        <v>54.4</v>
      </c>
      <c r="BN791" s="4089">
        <f t="shared" si="354"/>
        <v>13.6</v>
      </c>
      <c r="BO791" s="4463"/>
      <c r="BP791" s="4463"/>
      <c r="BQ791" s="4463"/>
      <c r="BR791" s="4463"/>
      <c r="BS791" s="4463"/>
      <c r="BT791" s="4464"/>
      <c r="BU791" s="4465"/>
      <c r="BV791" s="4385">
        <f t="shared" si="355"/>
        <v>408</v>
      </c>
      <c r="BW791" s="4386">
        <f t="shared" si="361"/>
        <v>0</v>
      </c>
      <c r="BX791" s="4541"/>
      <c r="BY791" s="4541"/>
      <c r="BZ791" s="4541"/>
      <c r="CA791" s="4388"/>
      <c r="CC791" s="4389"/>
      <c r="CD791" s="4388"/>
    </row>
    <row r="792" s="4025" customFormat="1" ht="50" customHeight="1" spans="1:82">
      <c r="A792" s="3688">
        <v>45968</v>
      </c>
      <c r="B792" s="3689" t="s">
        <v>505</v>
      </c>
      <c r="C792" s="3664" t="s">
        <v>506</v>
      </c>
      <c r="D792" s="3690">
        <v>4500184776</v>
      </c>
      <c r="E792" s="3664">
        <v>21297198</v>
      </c>
      <c r="F792" s="3690" t="s">
        <v>5250</v>
      </c>
      <c r="G792" s="3664" t="s">
        <v>2577</v>
      </c>
      <c r="H792" s="3664" t="s">
        <v>2578</v>
      </c>
      <c r="I792" s="3691">
        <v>1092</v>
      </c>
      <c r="J792" s="3691">
        <v>0</v>
      </c>
      <c r="K792" s="3691">
        <v>12</v>
      </c>
      <c r="L792" s="3691">
        <f t="shared" si="356"/>
        <v>91</v>
      </c>
      <c r="M792" s="3659">
        <v>46013</v>
      </c>
      <c r="N792" s="4111">
        <v>46009</v>
      </c>
      <c r="O792" s="4085"/>
      <c r="P792" s="4527" t="s">
        <v>82</v>
      </c>
      <c r="Q792" s="4527"/>
      <c r="R792" s="4159"/>
      <c r="S792" s="4159"/>
      <c r="T792" s="4159"/>
      <c r="U792" s="3645" t="s">
        <v>5248</v>
      </c>
      <c r="V792" s="3691" t="s">
        <v>2299</v>
      </c>
      <c r="W792" s="3657"/>
      <c r="X792" s="3657" t="s">
        <v>2196</v>
      </c>
      <c r="Y792" s="3657"/>
      <c r="Z792" s="3691"/>
      <c r="AA792" s="3620" t="s">
        <v>5251</v>
      </c>
      <c r="AB792" s="3691" t="s">
        <v>513</v>
      </c>
      <c r="AC792" s="3691">
        <v>2.2463</v>
      </c>
      <c r="AD792" s="3691">
        <f t="shared" si="362"/>
        <v>2452.9596</v>
      </c>
      <c r="AE792" s="3645"/>
      <c r="AF792" s="3664" t="s">
        <v>2577</v>
      </c>
      <c r="AG792" s="3645" t="s">
        <v>416</v>
      </c>
      <c r="AH792" s="4484"/>
      <c r="AI792" s="3691"/>
      <c r="AJ792" s="3691">
        <f>I792</f>
        <v>1092</v>
      </c>
      <c r="AK792" s="4484"/>
      <c r="AL792" s="3664"/>
      <c r="AM792" s="3664"/>
      <c r="AN792" s="3691"/>
      <c r="AO792" s="3691"/>
      <c r="AP792" s="3691">
        <f t="shared" si="359"/>
        <v>1092</v>
      </c>
      <c r="AQ792" s="4089"/>
      <c r="AR792" s="4463"/>
      <c r="AS792" s="4089">
        <f t="shared" si="360"/>
        <v>1092</v>
      </c>
      <c r="AT792" s="4463"/>
      <c r="AU792" s="4089"/>
      <c r="AV792" s="4089"/>
      <c r="AW792" s="4089">
        <f>I792/6</f>
        <v>182</v>
      </c>
      <c r="AX792" s="4089"/>
      <c r="AY792" s="4089"/>
      <c r="AZ792" s="4089"/>
      <c r="BA792" s="4089"/>
      <c r="BB792" s="4089"/>
      <c r="BC792" s="4089"/>
      <c r="BD792" s="4089"/>
      <c r="BE792" s="4089"/>
      <c r="BF792" s="4089" t="s">
        <v>89</v>
      </c>
      <c r="BG792" s="4089"/>
      <c r="BH792" s="4089">
        <f t="shared" si="348"/>
        <v>182</v>
      </c>
      <c r="BI792" s="4089">
        <f t="shared" si="349"/>
        <v>182</v>
      </c>
      <c r="BJ792" s="4089">
        <f t="shared" si="350"/>
        <v>182</v>
      </c>
      <c r="BK792" s="4089">
        <f t="shared" si="351"/>
        <v>182</v>
      </c>
      <c r="BL792" s="4089">
        <f t="shared" si="352"/>
        <v>182</v>
      </c>
      <c r="BM792" s="4089">
        <f t="shared" si="353"/>
        <v>145.6</v>
      </c>
      <c r="BN792" s="4089">
        <f t="shared" si="354"/>
        <v>36.4</v>
      </c>
      <c r="BO792" s="4463"/>
      <c r="BP792" s="4463"/>
      <c r="BQ792" s="4463"/>
      <c r="BR792" s="4463"/>
      <c r="BS792" s="4463"/>
      <c r="BT792" s="4464"/>
      <c r="BU792" s="4465"/>
      <c r="BV792" s="4385">
        <f t="shared" si="355"/>
        <v>1092</v>
      </c>
      <c r="BW792" s="4386">
        <f t="shared" si="361"/>
        <v>0</v>
      </c>
      <c r="BX792" s="4541"/>
      <c r="BY792" s="4541"/>
      <c r="BZ792" s="4541"/>
      <c r="CA792" s="4388"/>
      <c r="CC792" s="4389"/>
      <c r="CD792" s="4388"/>
    </row>
    <row r="793" s="4025" customFormat="1" ht="50" customHeight="1" spans="1:82">
      <c r="A793" s="3635">
        <v>45960</v>
      </c>
      <c r="B793" s="3617" t="s">
        <v>5252</v>
      </c>
      <c r="C793" s="3617" t="s">
        <v>2058</v>
      </c>
      <c r="D793" s="3618">
        <v>4500183306</v>
      </c>
      <c r="E793" s="959">
        <v>2000008395</v>
      </c>
      <c r="F793" s="959" t="s">
        <v>5253</v>
      </c>
      <c r="G793" s="959" t="s">
        <v>3352</v>
      </c>
      <c r="H793" s="3664" t="s">
        <v>3353</v>
      </c>
      <c r="I793" s="3618">
        <v>1500</v>
      </c>
      <c r="J793" s="3618">
        <v>0</v>
      </c>
      <c r="K793" s="3618">
        <v>12</v>
      </c>
      <c r="L793" s="3618">
        <f t="shared" si="356"/>
        <v>125</v>
      </c>
      <c r="M793" s="3619">
        <v>46006</v>
      </c>
      <c r="N793" s="3619">
        <v>46002</v>
      </c>
      <c r="O793" s="4085" t="s">
        <v>5254</v>
      </c>
      <c r="P793" s="4527" t="s">
        <v>82</v>
      </c>
      <c r="Q793" s="4527"/>
      <c r="R793" s="4159"/>
      <c r="S793" s="4159"/>
      <c r="T793" s="4159"/>
      <c r="U793" s="3620" t="s">
        <v>389</v>
      </c>
      <c r="V793" s="3649" t="s">
        <v>5108</v>
      </c>
      <c r="W793" s="3657"/>
      <c r="X793" s="3657" t="s">
        <v>5255</v>
      </c>
      <c r="Y793" s="3657"/>
      <c r="Z793" s="3691"/>
      <c r="AA793" s="3620" t="s">
        <v>5256</v>
      </c>
      <c r="AB793" s="3624" t="s">
        <v>1298</v>
      </c>
      <c r="AC793" s="3618">
        <v>4.9215</v>
      </c>
      <c r="AD793" s="3691">
        <f t="shared" si="362"/>
        <v>7382.25</v>
      </c>
      <c r="AE793" s="3620" t="s">
        <v>5257</v>
      </c>
      <c r="AF793" s="959" t="s">
        <v>3605</v>
      </c>
      <c r="AG793" s="3645" t="s">
        <v>416</v>
      </c>
      <c r="AH793" s="4448"/>
      <c r="AI793" s="3691"/>
      <c r="AJ793" s="3691"/>
      <c r="AK793" s="4448"/>
      <c r="AL793" s="3664"/>
      <c r="AM793" s="3664">
        <f>I793</f>
        <v>1500</v>
      </c>
      <c r="AN793" s="3691"/>
      <c r="AO793" s="3691"/>
      <c r="AP793" s="3691">
        <f t="shared" si="359"/>
        <v>1500</v>
      </c>
      <c r="AQ793" s="4089"/>
      <c r="AR793" s="4411"/>
      <c r="AS793" s="4089">
        <f t="shared" si="360"/>
        <v>1500</v>
      </c>
      <c r="AT793" s="4411"/>
      <c r="AU793" s="4089"/>
      <c r="AV793" s="4089"/>
      <c r="AW793" s="4089"/>
      <c r="AX793" s="4089"/>
      <c r="AY793" s="4089"/>
      <c r="AZ793" s="4089"/>
      <c r="BA793" s="4089"/>
      <c r="BB793" s="4089"/>
      <c r="BC793" s="4089">
        <f>I793</f>
        <v>1500</v>
      </c>
      <c r="BD793" s="4089"/>
      <c r="BE793" s="4089"/>
      <c r="BF793" s="4089" t="s">
        <v>89</v>
      </c>
      <c r="BG793" s="4089"/>
      <c r="BH793" s="4089">
        <f t="shared" si="348"/>
        <v>250</v>
      </c>
      <c r="BI793" s="4089">
        <f t="shared" si="349"/>
        <v>250</v>
      </c>
      <c r="BJ793" s="4089">
        <f t="shared" si="350"/>
        <v>250</v>
      </c>
      <c r="BK793" s="4403">
        <f t="shared" si="351"/>
        <v>250</v>
      </c>
      <c r="BL793" s="4385">
        <f t="shared" si="352"/>
        <v>250</v>
      </c>
      <c r="BM793" s="4403">
        <f t="shared" si="353"/>
        <v>200</v>
      </c>
      <c r="BN793" s="4089">
        <f t="shared" si="354"/>
        <v>50</v>
      </c>
      <c r="BO793" s="4411"/>
      <c r="BP793" s="4411"/>
      <c r="BQ793" s="4411"/>
      <c r="BR793" s="4411"/>
      <c r="BS793" s="4411"/>
      <c r="BT793" s="4453"/>
      <c r="BU793" s="4454"/>
      <c r="BV793" s="4385">
        <f t="shared" si="355"/>
        <v>1500</v>
      </c>
      <c r="BW793" s="4386">
        <f t="shared" si="361"/>
        <v>0</v>
      </c>
      <c r="BX793" s="4541"/>
      <c r="BY793" s="4541"/>
      <c r="BZ793" s="4541"/>
      <c r="CA793" s="4388"/>
      <c r="CC793" s="4389"/>
      <c r="CD793" s="4388"/>
    </row>
    <row r="794" s="4025" customFormat="1" ht="50" customHeight="1" spans="1:82">
      <c r="A794" s="3688">
        <v>45959</v>
      </c>
      <c r="B794" s="3689" t="s">
        <v>5258</v>
      </c>
      <c r="C794" s="3664" t="s">
        <v>569</v>
      </c>
      <c r="D794" s="3690">
        <v>4500183322</v>
      </c>
      <c r="E794" s="3664">
        <v>2000008239</v>
      </c>
      <c r="F794" s="3690" t="s">
        <v>5259</v>
      </c>
      <c r="G794" s="3664" t="s">
        <v>3352</v>
      </c>
      <c r="H794" s="3664" t="s">
        <v>3353</v>
      </c>
      <c r="I794" s="4052">
        <v>1056</v>
      </c>
      <c r="J794" s="3618">
        <v>0</v>
      </c>
      <c r="K794" s="3618">
        <v>12</v>
      </c>
      <c r="L794" s="3618">
        <f t="shared" si="356"/>
        <v>88</v>
      </c>
      <c r="M794" s="3659">
        <v>46006</v>
      </c>
      <c r="N794" s="4111">
        <v>46002</v>
      </c>
      <c r="O794" s="4085" t="s">
        <v>5260</v>
      </c>
      <c r="P794" s="4527" t="s">
        <v>82</v>
      </c>
      <c r="Q794" s="4527"/>
      <c r="R794" s="4159"/>
      <c r="S794" s="4159"/>
      <c r="T794" s="4159"/>
      <c r="U794" s="3620" t="s">
        <v>2242</v>
      </c>
      <c r="V794" s="3649" t="s">
        <v>5245</v>
      </c>
      <c r="W794" s="3657"/>
      <c r="X794" s="3657" t="s">
        <v>5261</v>
      </c>
      <c r="Y794" s="3657"/>
      <c r="Z794" s="3691"/>
      <c r="AA794" s="3620" t="s">
        <v>5262</v>
      </c>
      <c r="AB794" s="3691" t="s">
        <v>1298</v>
      </c>
      <c r="AC794" s="3618">
        <v>4.9215</v>
      </c>
      <c r="AD794" s="3618">
        <f t="shared" si="362"/>
        <v>5197.104</v>
      </c>
      <c r="AE794" s="3645"/>
      <c r="AF794" s="959" t="s">
        <v>3605</v>
      </c>
      <c r="AG794" s="3645" t="s">
        <v>416</v>
      </c>
      <c r="AH794" s="4448"/>
      <c r="AI794" s="3691"/>
      <c r="AJ794" s="3691"/>
      <c r="AK794" s="4448"/>
      <c r="AL794" s="3664"/>
      <c r="AM794" s="3664">
        <f>I794</f>
        <v>1056</v>
      </c>
      <c r="AN794" s="3691"/>
      <c r="AO794" s="3691"/>
      <c r="AP794" s="3691">
        <f t="shared" si="359"/>
        <v>1056</v>
      </c>
      <c r="AQ794" s="4089"/>
      <c r="AR794" s="4411"/>
      <c r="AS794" s="4089"/>
      <c r="AT794" s="4411"/>
      <c r="AU794" s="4089">
        <f>I794</f>
        <v>1056</v>
      </c>
      <c r="AV794" s="4089"/>
      <c r="AW794" s="4089"/>
      <c r="AX794" s="4089"/>
      <c r="AY794" s="4089"/>
      <c r="AZ794" s="4089"/>
      <c r="BA794" s="4089"/>
      <c r="BB794" s="4089"/>
      <c r="BC794" s="4089">
        <f>I794</f>
        <v>1056</v>
      </c>
      <c r="BD794" s="4089"/>
      <c r="BE794" s="4089"/>
      <c r="BF794" s="4089" t="s">
        <v>89</v>
      </c>
      <c r="BG794" s="4089"/>
      <c r="BH794" s="4089">
        <f t="shared" si="348"/>
        <v>176</v>
      </c>
      <c r="BI794" s="4089">
        <f t="shared" si="349"/>
        <v>176</v>
      </c>
      <c r="BJ794" s="4089">
        <f t="shared" si="350"/>
        <v>176</v>
      </c>
      <c r="BK794" s="4403">
        <f t="shared" si="351"/>
        <v>176</v>
      </c>
      <c r="BL794" s="4385">
        <f t="shared" si="352"/>
        <v>176</v>
      </c>
      <c r="BM794" s="4403">
        <f t="shared" si="353"/>
        <v>140.8</v>
      </c>
      <c r="BN794" s="4089">
        <f t="shared" si="354"/>
        <v>35.2</v>
      </c>
      <c r="BO794" s="4411"/>
      <c r="BP794" s="4411"/>
      <c r="BQ794" s="4411"/>
      <c r="BR794" s="4411"/>
      <c r="BS794" s="4411"/>
      <c r="BT794" s="4453"/>
      <c r="BU794" s="4454"/>
      <c r="BV794" s="4385">
        <f t="shared" si="355"/>
        <v>1056</v>
      </c>
      <c r="BW794" s="4386">
        <f t="shared" si="361"/>
        <v>0</v>
      </c>
      <c r="BX794" s="4541"/>
      <c r="BY794" s="4541"/>
      <c r="BZ794" s="4541"/>
      <c r="CA794" s="4388"/>
      <c r="CC794" s="4389"/>
      <c r="CD794" s="4388"/>
    </row>
    <row r="795" s="4025" customFormat="1" ht="50" customHeight="1" spans="1:82">
      <c r="A795" s="3688">
        <v>45978</v>
      </c>
      <c r="B795" s="3689" t="s">
        <v>1172</v>
      </c>
      <c r="C795" s="3664" t="s">
        <v>91</v>
      </c>
      <c r="D795" s="3690">
        <v>4500185895</v>
      </c>
      <c r="E795" s="3664">
        <v>36012</v>
      </c>
      <c r="F795" s="3690" t="s">
        <v>5263</v>
      </c>
      <c r="G795" s="3664" t="s">
        <v>2577</v>
      </c>
      <c r="H795" s="3664" t="s">
        <v>2578</v>
      </c>
      <c r="I795" s="3691">
        <v>720</v>
      </c>
      <c r="J795" s="3691">
        <v>0</v>
      </c>
      <c r="K795" s="3691">
        <v>12</v>
      </c>
      <c r="L795" s="3691">
        <f t="shared" si="356"/>
        <v>60</v>
      </c>
      <c r="M795" s="3659">
        <v>46015</v>
      </c>
      <c r="N795" s="4111">
        <v>46011</v>
      </c>
      <c r="O795" s="4085"/>
      <c r="P795" s="4527" t="s">
        <v>82</v>
      </c>
      <c r="Q795" s="4527"/>
      <c r="R795" s="4159"/>
      <c r="S795" s="4159"/>
      <c r="T795" s="4159"/>
      <c r="U795" s="4148" t="s">
        <v>2235</v>
      </c>
      <c r="V795" s="3691" t="s">
        <v>2236</v>
      </c>
      <c r="W795" s="3657"/>
      <c r="X795" s="3657" t="s">
        <v>98</v>
      </c>
      <c r="Y795" s="3657"/>
      <c r="Z795" s="3691"/>
      <c r="AA795" s="3620" t="s">
        <v>1916</v>
      </c>
      <c r="AB795" s="3691" t="s">
        <v>1917</v>
      </c>
      <c r="AC795" s="3691">
        <v>1.2863</v>
      </c>
      <c r="AD795" s="3691">
        <f t="shared" si="362"/>
        <v>926.136</v>
      </c>
      <c r="AE795" s="3645"/>
      <c r="AF795" s="3664" t="s">
        <v>2577</v>
      </c>
      <c r="AG795" s="3645" t="s">
        <v>416</v>
      </c>
      <c r="AH795" s="4484"/>
      <c r="AI795" s="3691"/>
      <c r="AJ795" s="3691">
        <f>I795</f>
        <v>720</v>
      </c>
      <c r="AK795" s="4484"/>
      <c r="AL795" s="3664"/>
      <c r="AM795" s="3664"/>
      <c r="AN795" s="3691"/>
      <c r="AO795" s="3691"/>
      <c r="AP795" s="3691">
        <f t="shared" si="359"/>
        <v>720</v>
      </c>
      <c r="AQ795" s="4089"/>
      <c r="AR795" s="4463"/>
      <c r="AS795" s="4089">
        <f>I795</f>
        <v>720</v>
      </c>
      <c r="AT795" s="4463"/>
      <c r="AU795" s="4089"/>
      <c r="AV795" s="4089"/>
      <c r="AW795" s="4089">
        <f>I795/6</f>
        <v>120</v>
      </c>
      <c r="AX795" s="4089"/>
      <c r="AY795" s="4089"/>
      <c r="AZ795" s="4089"/>
      <c r="BA795" s="4089"/>
      <c r="BB795" s="4089"/>
      <c r="BC795" s="4089"/>
      <c r="BD795" s="4089"/>
      <c r="BE795" s="4089"/>
      <c r="BF795" s="4089" t="s">
        <v>89</v>
      </c>
      <c r="BG795" s="4089"/>
      <c r="BH795" s="4089">
        <f t="shared" si="348"/>
        <v>120</v>
      </c>
      <c r="BI795" s="4089">
        <f t="shared" si="349"/>
        <v>120</v>
      </c>
      <c r="BJ795" s="4089">
        <f t="shared" si="350"/>
        <v>120</v>
      </c>
      <c r="BK795" s="4089">
        <f t="shared" si="351"/>
        <v>120</v>
      </c>
      <c r="BL795" s="4089">
        <f t="shared" si="352"/>
        <v>120</v>
      </c>
      <c r="BM795" s="4089">
        <f t="shared" si="353"/>
        <v>96</v>
      </c>
      <c r="BN795" s="4089">
        <f t="shared" si="354"/>
        <v>24</v>
      </c>
      <c r="BO795" s="4463"/>
      <c r="BP795" s="4463"/>
      <c r="BQ795" s="4463"/>
      <c r="BR795" s="4463"/>
      <c r="BS795" s="4463"/>
      <c r="BT795" s="4464"/>
      <c r="BU795" s="4465"/>
      <c r="BV795" s="4385">
        <f t="shared" si="355"/>
        <v>720</v>
      </c>
      <c r="BW795" s="4386">
        <f t="shared" si="361"/>
        <v>0</v>
      </c>
      <c r="BX795" s="4541"/>
      <c r="BY795" s="4541"/>
      <c r="BZ795" s="4541"/>
      <c r="CA795" s="4388"/>
      <c r="CC795" s="4389"/>
      <c r="CD795" s="4388"/>
    </row>
    <row r="796" s="4318" customFormat="1" ht="50" customHeight="1" spans="1:82">
      <c r="A796" s="4513">
        <v>45976</v>
      </c>
      <c r="B796" s="4514" t="s">
        <v>3555</v>
      </c>
      <c r="C796" s="905" t="s">
        <v>1385</v>
      </c>
      <c r="D796" s="4515">
        <v>4500185825</v>
      </c>
      <c r="E796" s="905"/>
      <c r="F796" s="4515" t="s">
        <v>5264</v>
      </c>
      <c r="G796" s="905" t="s">
        <v>2806</v>
      </c>
      <c r="H796" s="905" t="s">
        <v>2591</v>
      </c>
      <c r="I796" s="906">
        <v>2400</v>
      </c>
      <c r="J796" s="906">
        <v>0</v>
      </c>
      <c r="K796" s="906">
        <v>12</v>
      </c>
      <c r="L796" s="906">
        <f t="shared" si="356"/>
        <v>200</v>
      </c>
      <c r="M796" s="4516">
        <v>46014</v>
      </c>
      <c r="N796" s="4542">
        <f>M796-4</f>
        <v>46010</v>
      </c>
      <c r="O796" s="905"/>
      <c r="P796" s="4527" t="s">
        <v>82</v>
      </c>
      <c r="Q796" s="4527"/>
      <c r="R796" s="4159"/>
      <c r="S796" s="4159"/>
      <c r="T796" s="4159"/>
      <c r="U796" s="4148" t="s">
        <v>2227</v>
      </c>
      <c r="V796" s="3739" t="s">
        <v>5265</v>
      </c>
      <c r="W796" s="3739"/>
      <c r="X796" s="3739" t="s">
        <v>98</v>
      </c>
      <c r="Y796" s="3739"/>
      <c r="Z796" s="906"/>
      <c r="AA796" s="3625" t="s">
        <v>5266</v>
      </c>
      <c r="AB796" s="906" t="s">
        <v>448</v>
      </c>
      <c r="AC796" s="4523">
        <v>2.1393</v>
      </c>
      <c r="AD796" s="906">
        <f t="shared" si="362"/>
        <v>5134.32</v>
      </c>
      <c r="AE796" s="4148"/>
      <c r="AF796" s="905" t="s">
        <v>2806</v>
      </c>
      <c r="AG796" s="4148" t="s">
        <v>416</v>
      </c>
      <c r="AH796" s="4422"/>
      <c r="AI796" s="906"/>
      <c r="AJ796" s="906">
        <f>I796</f>
        <v>2400</v>
      </c>
      <c r="AK796" s="4422"/>
      <c r="AL796" s="905"/>
      <c r="AM796" s="905"/>
      <c r="AN796" s="906"/>
      <c r="AO796" s="906"/>
      <c r="AP796" s="906">
        <f t="shared" si="359"/>
        <v>2400</v>
      </c>
      <c r="AQ796" s="4382"/>
      <c r="AR796" s="907"/>
      <c r="AS796" s="4382">
        <f>I796</f>
        <v>2400</v>
      </c>
      <c r="AT796" s="907"/>
      <c r="AU796" s="4382"/>
      <c r="AV796" s="4382"/>
      <c r="AW796" s="4382"/>
      <c r="AX796" s="4382"/>
      <c r="AY796" s="4382">
        <f>I796/6</f>
        <v>400</v>
      </c>
      <c r="AZ796" s="4382"/>
      <c r="BA796" s="4382"/>
      <c r="BB796" s="4382"/>
      <c r="BC796" s="4382"/>
      <c r="BD796" s="4382"/>
      <c r="BE796" s="4382"/>
      <c r="BF796" s="4382" t="s">
        <v>89</v>
      </c>
      <c r="BG796" s="4382"/>
      <c r="BH796" s="4518">
        <f t="shared" si="348"/>
        <v>400</v>
      </c>
      <c r="BI796" s="4518">
        <f t="shared" si="349"/>
        <v>400</v>
      </c>
      <c r="BJ796" s="4518">
        <f t="shared" si="350"/>
        <v>400</v>
      </c>
      <c r="BK796" s="4518">
        <f t="shared" si="351"/>
        <v>400</v>
      </c>
      <c r="BL796" s="4518">
        <f t="shared" si="352"/>
        <v>400</v>
      </c>
      <c r="BM796" s="4518">
        <f t="shared" si="353"/>
        <v>320</v>
      </c>
      <c r="BN796" s="4518">
        <f t="shared" si="354"/>
        <v>80</v>
      </c>
      <c r="BO796" s="907"/>
      <c r="BP796" s="907"/>
      <c r="BQ796" s="907"/>
      <c r="BR796" s="907"/>
      <c r="BS796" s="907"/>
      <c r="BT796" s="910"/>
      <c r="BU796" s="911"/>
      <c r="BV796" s="4519">
        <f t="shared" si="355"/>
        <v>2400</v>
      </c>
      <c r="BW796" s="4520">
        <f t="shared" si="361"/>
        <v>0</v>
      </c>
      <c r="BX796" s="4543"/>
      <c r="BY796" s="4543"/>
      <c r="BZ796" s="4543"/>
      <c r="CA796" s="4550"/>
      <c r="CC796" s="4551"/>
      <c r="CD796" s="4550"/>
    </row>
    <row r="797" s="4318" customFormat="1" ht="50" customHeight="1" spans="1:82">
      <c r="A797" s="4513">
        <v>45978</v>
      </c>
      <c r="B797" s="4514" t="s">
        <v>505</v>
      </c>
      <c r="C797" s="905" t="s">
        <v>506</v>
      </c>
      <c r="D797" s="4515">
        <v>4500185863</v>
      </c>
      <c r="E797" s="905">
        <v>21320114</v>
      </c>
      <c r="F797" s="4515" t="s">
        <v>5267</v>
      </c>
      <c r="G797" s="905" t="s">
        <v>2577</v>
      </c>
      <c r="H797" s="905" t="s">
        <v>2578</v>
      </c>
      <c r="I797" s="906">
        <v>1296</v>
      </c>
      <c r="J797" s="906">
        <v>0</v>
      </c>
      <c r="K797" s="906">
        <v>12</v>
      </c>
      <c r="L797" s="906">
        <f t="shared" si="356"/>
        <v>108</v>
      </c>
      <c r="M797" s="4516">
        <v>46014</v>
      </c>
      <c r="N797" s="4542">
        <v>46010</v>
      </c>
      <c r="O797" s="4129"/>
      <c r="P797" s="4527" t="s">
        <v>82</v>
      </c>
      <c r="Q797" s="4527"/>
      <c r="R797" s="4159"/>
      <c r="S797" s="4159"/>
      <c r="T797" s="4159"/>
      <c r="U797" s="4148" t="s">
        <v>2257</v>
      </c>
      <c r="V797" s="3739" t="s">
        <v>2694</v>
      </c>
      <c r="W797" s="3739"/>
      <c r="X797" s="3739" t="s">
        <v>5268</v>
      </c>
      <c r="Y797" s="3739"/>
      <c r="Z797" s="906"/>
      <c r="AA797" s="3625" t="s">
        <v>5269</v>
      </c>
      <c r="AB797" s="906" t="s">
        <v>513</v>
      </c>
      <c r="AC797" s="906">
        <v>2.2463</v>
      </c>
      <c r="AD797" s="906">
        <f t="shared" si="362"/>
        <v>2911.2048</v>
      </c>
      <c r="AE797" s="4148"/>
      <c r="AF797" s="905" t="s">
        <v>2577</v>
      </c>
      <c r="AG797" s="4148" t="s">
        <v>416</v>
      </c>
      <c r="AH797" s="4422"/>
      <c r="AI797" s="906"/>
      <c r="AJ797" s="906">
        <f>I797</f>
        <v>1296</v>
      </c>
      <c r="AK797" s="4422"/>
      <c r="AL797" s="905"/>
      <c r="AM797" s="905"/>
      <c r="AN797" s="906"/>
      <c r="AO797" s="906"/>
      <c r="AP797" s="906">
        <f t="shared" si="359"/>
        <v>1296</v>
      </c>
      <c r="AQ797" s="4382"/>
      <c r="AR797" s="907"/>
      <c r="AS797" s="4382">
        <f>I797</f>
        <v>1296</v>
      </c>
      <c r="AT797" s="907"/>
      <c r="AU797" s="4382"/>
      <c r="AV797" s="4382"/>
      <c r="AW797" s="4382">
        <f>I797/6</f>
        <v>216</v>
      </c>
      <c r="AX797" s="4382"/>
      <c r="AY797" s="4382"/>
      <c r="AZ797" s="4382"/>
      <c r="BA797" s="4382"/>
      <c r="BB797" s="4382"/>
      <c r="BC797" s="4382"/>
      <c r="BD797" s="4382"/>
      <c r="BE797" s="4382"/>
      <c r="BF797" s="4382" t="s">
        <v>89</v>
      </c>
      <c r="BG797" s="4382"/>
      <c r="BH797" s="4382">
        <f t="shared" si="348"/>
        <v>216</v>
      </c>
      <c r="BI797" s="4382">
        <f t="shared" si="349"/>
        <v>216</v>
      </c>
      <c r="BJ797" s="4382">
        <f t="shared" si="350"/>
        <v>216</v>
      </c>
      <c r="BK797" s="4382">
        <f t="shared" si="351"/>
        <v>216</v>
      </c>
      <c r="BL797" s="4382">
        <f t="shared" si="352"/>
        <v>216</v>
      </c>
      <c r="BM797" s="4382">
        <f t="shared" si="353"/>
        <v>172.8</v>
      </c>
      <c r="BN797" s="4382">
        <f t="shared" si="354"/>
        <v>43.2</v>
      </c>
      <c r="BO797" s="907"/>
      <c r="BP797" s="907"/>
      <c r="BQ797" s="907"/>
      <c r="BR797" s="907"/>
      <c r="BS797" s="907"/>
      <c r="BT797" s="910"/>
      <c r="BU797" s="911"/>
      <c r="BV797" s="4529">
        <f t="shared" si="355"/>
        <v>1296</v>
      </c>
      <c r="BW797" s="4530">
        <f t="shared" si="361"/>
        <v>0</v>
      </c>
      <c r="BX797" s="4543"/>
      <c r="BY797" s="4543"/>
      <c r="BZ797" s="4543"/>
      <c r="CA797" s="4550"/>
      <c r="CC797" s="4551"/>
      <c r="CD797" s="4550"/>
    </row>
    <row r="798" s="4318" customFormat="1" ht="50" customHeight="1" spans="1:82">
      <c r="A798" s="4513">
        <v>45978</v>
      </c>
      <c r="B798" s="4514" t="s">
        <v>839</v>
      </c>
      <c r="C798" s="905" t="s">
        <v>840</v>
      </c>
      <c r="D798" s="4515">
        <v>4500185865</v>
      </c>
      <c r="E798" s="905">
        <v>21320115</v>
      </c>
      <c r="F798" s="4515" t="s">
        <v>5270</v>
      </c>
      <c r="G798" s="905" t="s">
        <v>2577</v>
      </c>
      <c r="H798" s="905" t="s">
        <v>2578</v>
      </c>
      <c r="I798" s="906">
        <v>204</v>
      </c>
      <c r="J798" s="906">
        <v>0</v>
      </c>
      <c r="K798" s="906">
        <v>12</v>
      </c>
      <c r="L798" s="906">
        <f t="shared" si="356"/>
        <v>17</v>
      </c>
      <c r="M798" s="4516">
        <v>46014</v>
      </c>
      <c r="N798" s="4542">
        <v>46010</v>
      </c>
      <c r="O798" s="4129"/>
      <c r="P798" s="4527" t="s">
        <v>82</v>
      </c>
      <c r="Q798" s="4527"/>
      <c r="R798" s="4159"/>
      <c r="S798" s="4159"/>
      <c r="T798" s="4159"/>
      <c r="U798" s="4148" t="s">
        <v>2257</v>
      </c>
      <c r="V798" s="3739" t="s">
        <v>2694</v>
      </c>
      <c r="W798" s="3739"/>
      <c r="X798" s="3739" t="s">
        <v>5268</v>
      </c>
      <c r="Y798" s="3739"/>
      <c r="Z798" s="906"/>
      <c r="AA798" s="3625" t="s">
        <v>5271</v>
      </c>
      <c r="AB798" s="906" t="s">
        <v>513</v>
      </c>
      <c r="AC798" s="906">
        <v>2.2509</v>
      </c>
      <c r="AD798" s="906">
        <f t="shared" si="362"/>
        <v>459.1836</v>
      </c>
      <c r="AE798" s="4148"/>
      <c r="AF798" s="905" t="s">
        <v>2577</v>
      </c>
      <c r="AG798" s="4148" t="s">
        <v>416</v>
      </c>
      <c r="AH798" s="4422"/>
      <c r="AI798" s="906"/>
      <c r="AJ798" s="906">
        <f>I798</f>
        <v>204</v>
      </c>
      <c r="AK798" s="4422"/>
      <c r="AL798" s="905"/>
      <c r="AM798" s="905"/>
      <c r="AN798" s="906"/>
      <c r="AO798" s="906"/>
      <c r="AP798" s="906">
        <f t="shared" si="359"/>
        <v>204</v>
      </c>
      <c r="AQ798" s="4382"/>
      <c r="AR798" s="907"/>
      <c r="AS798" s="4382">
        <f>I798</f>
        <v>204</v>
      </c>
      <c r="AT798" s="907"/>
      <c r="AU798" s="4382"/>
      <c r="AV798" s="4382"/>
      <c r="AW798" s="4382">
        <f>I798/6</f>
        <v>34</v>
      </c>
      <c r="AX798" s="4382"/>
      <c r="AY798" s="4382"/>
      <c r="AZ798" s="4382"/>
      <c r="BA798" s="4382"/>
      <c r="BB798" s="4382"/>
      <c r="BC798" s="4382"/>
      <c r="BD798" s="4382"/>
      <c r="BE798" s="4382"/>
      <c r="BF798" s="4382" t="s">
        <v>89</v>
      </c>
      <c r="BG798" s="4382"/>
      <c r="BH798" s="4382">
        <f t="shared" si="348"/>
        <v>34</v>
      </c>
      <c r="BI798" s="4382">
        <f t="shared" si="349"/>
        <v>34</v>
      </c>
      <c r="BJ798" s="4382">
        <f t="shared" si="350"/>
        <v>34</v>
      </c>
      <c r="BK798" s="4382">
        <f t="shared" si="351"/>
        <v>34</v>
      </c>
      <c r="BL798" s="4382">
        <f t="shared" si="352"/>
        <v>34</v>
      </c>
      <c r="BM798" s="4382">
        <f t="shared" si="353"/>
        <v>27.2</v>
      </c>
      <c r="BN798" s="4382">
        <f t="shared" si="354"/>
        <v>6.8</v>
      </c>
      <c r="BO798" s="907"/>
      <c r="BP798" s="907"/>
      <c r="BQ798" s="907"/>
      <c r="BR798" s="907"/>
      <c r="BS798" s="907"/>
      <c r="BT798" s="910"/>
      <c r="BU798" s="911"/>
      <c r="BV798" s="4529">
        <f t="shared" si="355"/>
        <v>204</v>
      </c>
      <c r="BW798" s="4530">
        <f t="shared" si="361"/>
        <v>0</v>
      </c>
      <c r="BX798" s="4543"/>
      <c r="BY798" s="4543"/>
      <c r="BZ798" s="4543"/>
      <c r="CA798" s="4550"/>
      <c r="CC798" s="4551"/>
      <c r="CD798" s="4550"/>
    </row>
    <row r="799" s="4318" customFormat="1" ht="50" customHeight="1" spans="1:82">
      <c r="A799" s="4513">
        <v>45985</v>
      </c>
      <c r="B799" s="4514" t="s">
        <v>1409</v>
      </c>
      <c r="C799" s="905" t="s">
        <v>1410</v>
      </c>
      <c r="D799" s="4515">
        <v>4500186722</v>
      </c>
      <c r="E799" s="905" t="s">
        <v>2237</v>
      </c>
      <c r="F799" s="4515" t="s">
        <v>5272</v>
      </c>
      <c r="G799" s="905" t="s">
        <v>2627</v>
      </c>
      <c r="H799" s="906" t="s">
        <v>2591</v>
      </c>
      <c r="I799" s="906">
        <v>360</v>
      </c>
      <c r="J799" s="906">
        <v>0</v>
      </c>
      <c r="K799" s="906">
        <v>24</v>
      </c>
      <c r="L799" s="906">
        <f t="shared" si="356"/>
        <v>15</v>
      </c>
      <c r="M799" s="4516">
        <v>46018</v>
      </c>
      <c r="N799" s="4542">
        <v>46014</v>
      </c>
      <c r="O799" s="4129"/>
      <c r="P799" s="4527" t="s">
        <v>82</v>
      </c>
      <c r="Q799" s="4527"/>
      <c r="R799" s="4159"/>
      <c r="S799" s="4159"/>
      <c r="T799" s="4159"/>
      <c r="U799" s="4148" t="s">
        <v>104</v>
      </c>
      <c r="V799" s="906" t="s">
        <v>2236</v>
      </c>
      <c r="W799" s="3739"/>
      <c r="X799" s="3739" t="s">
        <v>98</v>
      </c>
      <c r="Y799" s="3739"/>
      <c r="Z799" s="906"/>
      <c r="AA799" s="3625" t="s">
        <v>5273</v>
      </c>
      <c r="AB799" s="906" t="s">
        <v>892</v>
      </c>
      <c r="AC799" s="4523">
        <v>2.0891</v>
      </c>
      <c r="AD799" s="906">
        <f t="shared" si="362"/>
        <v>752.076</v>
      </c>
      <c r="AE799" s="4148"/>
      <c r="AF799" s="905" t="s">
        <v>2627</v>
      </c>
      <c r="AG799" s="4148" t="s">
        <v>416</v>
      </c>
      <c r="AH799" s="4405"/>
      <c r="AI799" s="906"/>
      <c r="AJ799" s="906">
        <f>I799</f>
        <v>360</v>
      </c>
      <c r="AK799" s="4405"/>
      <c r="AL799" s="905"/>
      <c r="AM799" s="905"/>
      <c r="AN799" s="906"/>
      <c r="AO799" s="906"/>
      <c r="AP799" s="906">
        <f t="shared" si="359"/>
        <v>360</v>
      </c>
      <c r="AQ799" s="4382"/>
      <c r="AR799" s="4417"/>
      <c r="AS799" s="4382">
        <f>I799</f>
        <v>360</v>
      </c>
      <c r="AT799" s="4417"/>
      <c r="AU799" s="4382"/>
      <c r="AV799" s="4382"/>
      <c r="AW799" s="4382"/>
      <c r="AX799" s="4382"/>
      <c r="AY799" s="4382"/>
      <c r="AZ799" s="4382"/>
      <c r="BA799" s="4382"/>
      <c r="BB799" s="4382"/>
      <c r="BC799" s="4382"/>
      <c r="BD799" s="4382"/>
      <c r="BE799" s="4382"/>
      <c r="BF799" s="4382" t="s">
        <v>89</v>
      </c>
      <c r="BG799" s="4382"/>
      <c r="BH799" s="4382">
        <f t="shared" si="348"/>
        <v>60</v>
      </c>
      <c r="BI799" s="4382">
        <f t="shared" si="349"/>
        <v>60</v>
      </c>
      <c r="BJ799" s="4382">
        <f t="shared" si="350"/>
        <v>60</v>
      </c>
      <c r="BK799" s="4382">
        <f t="shared" si="351"/>
        <v>60</v>
      </c>
      <c r="BL799" s="4382">
        <f t="shared" si="352"/>
        <v>60</v>
      </c>
      <c r="BM799" s="4382">
        <f t="shared" si="353"/>
        <v>48</v>
      </c>
      <c r="BN799" s="4382">
        <f t="shared" si="354"/>
        <v>12</v>
      </c>
      <c r="BO799" s="4417"/>
      <c r="BP799" s="4417"/>
      <c r="BQ799" s="4417"/>
      <c r="BR799" s="4417"/>
      <c r="BS799" s="4417"/>
      <c r="BT799" s="4472"/>
      <c r="BU799" s="4418"/>
      <c r="BV799" s="4529">
        <f t="shared" si="355"/>
        <v>360</v>
      </c>
      <c r="BW799" s="4530">
        <f t="shared" si="361"/>
        <v>0</v>
      </c>
      <c r="BX799" s="4543"/>
      <c r="BY799" s="4543"/>
      <c r="BZ799" s="4543"/>
      <c r="CA799" s="4550"/>
      <c r="CC799" s="4551"/>
      <c r="CD799" s="4550"/>
    </row>
    <row r="800" s="4318" customFormat="1" ht="50" customHeight="1" spans="1:82">
      <c r="A800" s="4513">
        <v>45985</v>
      </c>
      <c r="B800" s="4514" t="s">
        <v>5274</v>
      </c>
      <c r="C800" s="905" t="s">
        <v>471</v>
      </c>
      <c r="D800" s="4515">
        <v>4500186835</v>
      </c>
      <c r="E800" s="905"/>
      <c r="F800" s="4515" t="s">
        <v>5275</v>
      </c>
      <c r="G800" s="905" t="s">
        <v>3545</v>
      </c>
      <c r="H800" s="905" t="s">
        <v>2620</v>
      </c>
      <c r="I800" s="906">
        <v>3540</v>
      </c>
      <c r="J800" s="906">
        <v>0</v>
      </c>
      <c r="K800" s="906">
        <v>12</v>
      </c>
      <c r="L800" s="906">
        <f t="shared" si="356"/>
        <v>295</v>
      </c>
      <c r="M800" s="4516">
        <v>46017</v>
      </c>
      <c r="N800" s="4542">
        <v>46013</v>
      </c>
      <c r="O800" s="4129"/>
      <c r="P800" s="4527" t="s">
        <v>82</v>
      </c>
      <c r="Q800" s="4527"/>
      <c r="R800" s="4159"/>
      <c r="S800" s="4159"/>
      <c r="T800" s="4159"/>
      <c r="U800" s="4148" t="s">
        <v>564</v>
      </c>
      <c r="V800" s="906" t="s">
        <v>353</v>
      </c>
      <c r="W800" s="3739"/>
      <c r="X800" s="3739" t="s">
        <v>5276</v>
      </c>
      <c r="Y800" s="3739"/>
      <c r="Z800" s="906"/>
      <c r="AA800" s="3625" t="s">
        <v>5277</v>
      </c>
      <c r="AB800" s="906" t="s">
        <v>2624</v>
      </c>
      <c r="AC800" s="906">
        <v>2.1359</v>
      </c>
      <c r="AD800" s="906">
        <f t="shared" si="362"/>
        <v>7561.086</v>
      </c>
      <c r="AE800" s="4552" t="s">
        <v>5278</v>
      </c>
      <c r="AF800" s="905" t="s">
        <v>3549</v>
      </c>
      <c r="AG800" s="4148" t="s">
        <v>416</v>
      </c>
      <c r="AH800" s="4422"/>
      <c r="AI800" s="906"/>
      <c r="AJ800" s="906"/>
      <c r="AK800" s="4422"/>
      <c r="AL800" s="905"/>
      <c r="AM800" s="905">
        <f>I800</f>
        <v>3540</v>
      </c>
      <c r="AN800" s="906"/>
      <c r="AO800" s="906"/>
      <c r="AP800" s="4517">
        <f t="shared" si="359"/>
        <v>3540</v>
      </c>
      <c r="AQ800" s="4382"/>
      <c r="AR800" s="907"/>
      <c r="AS800" s="4382"/>
      <c r="AT800" s="907"/>
      <c r="AU800" s="4382">
        <f>I800</f>
        <v>3540</v>
      </c>
      <c r="AV800" s="4382"/>
      <c r="AW800" s="4382"/>
      <c r="AX800" s="4382"/>
      <c r="AY800" s="4382">
        <f>I800/6</f>
        <v>590</v>
      </c>
      <c r="AZ800" s="4382"/>
      <c r="BA800" s="4382"/>
      <c r="BB800" s="4382"/>
      <c r="BC800" s="4382"/>
      <c r="BD800" s="4382"/>
      <c r="BE800" s="4382"/>
      <c r="BF800" s="4382" t="s">
        <v>89</v>
      </c>
      <c r="BG800" s="4382"/>
      <c r="BH800" s="4382">
        <f t="shared" si="348"/>
        <v>590</v>
      </c>
      <c r="BI800" s="4382">
        <f t="shared" si="349"/>
        <v>590</v>
      </c>
      <c r="BJ800" s="4382">
        <f t="shared" si="350"/>
        <v>590</v>
      </c>
      <c r="BK800" s="4382">
        <f t="shared" si="351"/>
        <v>590</v>
      </c>
      <c r="BL800" s="4382">
        <f t="shared" si="352"/>
        <v>590</v>
      </c>
      <c r="BM800" s="4382">
        <f t="shared" si="353"/>
        <v>472</v>
      </c>
      <c r="BN800" s="4382">
        <f t="shared" si="354"/>
        <v>118</v>
      </c>
      <c r="BO800" s="907"/>
      <c r="BP800" s="907"/>
      <c r="BQ800" s="907"/>
      <c r="BR800" s="907"/>
      <c r="BS800" s="907"/>
      <c r="BT800" s="910"/>
      <c r="BU800" s="911"/>
      <c r="BV800" s="4529">
        <f t="shared" si="355"/>
        <v>3540</v>
      </c>
      <c r="BW800" s="4530">
        <f t="shared" si="361"/>
        <v>0</v>
      </c>
      <c r="BX800" s="4543"/>
      <c r="BY800" s="4543"/>
      <c r="BZ800" s="4543"/>
      <c r="CA800" s="4550"/>
      <c r="CC800" s="4551"/>
      <c r="CD800" s="4550"/>
    </row>
    <row r="801" s="4318" customFormat="1" ht="50" customHeight="1" spans="1:82">
      <c r="A801" s="4513">
        <v>45961</v>
      </c>
      <c r="B801" s="4514" t="s">
        <v>857</v>
      </c>
      <c r="C801" s="905" t="s">
        <v>858</v>
      </c>
      <c r="D801" s="4515">
        <v>4500183545</v>
      </c>
      <c r="E801" s="905"/>
      <c r="F801" s="4515" t="s">
        <v>5279</v>
      </c>
      <c r="G801" s="905" t="s">
        <v>2627</v>
      </c>
      <c r="H801" s="906" t="s">
        <v>2591</v>
      </c>
      <c r="I801" s="906">
        <v>240</v>
      </c>
      <c r="J801" s="906">
        <v>0</v>
      </c>
      <c r="K801" s="906">
        <v>24</v>
      </c>
      <c r="L801" s="906">
        <f t="shared" si="356"/>
        <v>10</v>
      </c>
      <c r="M801" s="4516">
        <v>46020</v>
      </c>
      <c r="N801" s="4542">
        <v>46016</v>
      </c>
      <c r="O801" s="4129"/>
      <c r="P801" s="4527" t="s">
        <v>82</v>
      </c>
      <c r="Q801" s="4527"/>
      <c r="R801" s="4159"/>
      <c r="S801" s="4159"/>
      <c r="T801" s="4159"/>
      <c r="U801" s="4148">
        <v>46021</v>
      </c>
      <c r="V801" s="906" t="s">
        <v>2243</v>
      </c>
      <c r="W801" s="3739"/>
      <c r="X801" s="3739" t="s">
        <v>5280</v>
      </c>
      <c r="Y801" s="3739"/>
      <c r="Z801" s="906"/>
      <c r="AA801" s="3625" t="s">
        <v>5281</v>
      </c>
      <c r="AB801" s="906" t="s">
        <v>1199</v>
      </c>
      <c r="AC801" s="906">
        <v>2.0891</v>
      </c>
      <c r="AD801" s="906">
        <f t="shared" si="362"/>
        <v>501.384</v>
      </c>
      <c r="AE801" s="4148"/>
      <c r="AF801" s="905" t="s">
        <v>2627</v>
      </c>
      <c r="AG801" s="4148" t="s">
        <v>416</v>
      </c>
      <c r="AH801" s="4405"/>
      <c r="AI801" s="906"/>
      <c r="AJ801" s="906">
        <f t="shared" ref="AJ801:AJ807" si="365">I801</f>
        <v>240</v>
      </c>
      <c r="AK801" s="4405"/>
      <c r="AL801" s="905"/>
      <c r="AM801" s="905"/>
      <c r="AN801" s="906"/>
      <c r="AO801" s="906"/>
      <c r="AP801" s="906">
        <f t="shared" si="359"/>
        <v>240</v>
      </c>
      <c r="AQ801" s="4382"/>
      <c r="AR801" s="4417"/>
      <c r="AS801" s="4382">
        <f t="shared" ref="AS801:AS833" si="366">I801</f>
        <v>240</v>
      </c>
      <c r="AT801" s="4417"/>
      <c r="AU801" s="4382"/>
      <c r="AV801" s="4382"/>
      <c r="AW801" s="4382"/>
      <c r="AX801" s="4382"/>
      <c r="AY801" s="4382"/>
      <c r="AZ801" s="4382"/>
      <c r="BA801" s="4382"/>
      <c r="BB801" s="4382"/>
      <c r="BC801" s="4382"/>
      <c r="BD801" s="4382"/>
      <c r="BE801" s="4382"/>
      <c r="BF801" s="4382" t="s">
        <v>89</v>
      </c>
      <c r="BG801" s="4382"/>
      <c r="BH801" s="4382">
        <f t="shared" si="348"/>
        <v>40</v>
      </c>
      <c r="BI801" s="4382">
        <f t="shared" si="349"/>
        <v>40</v>
      </c>
      <c r="BJ801" s="4382">
        <f t="shared" si="350"/>
        <v>40</v>
      </c>
      <c r="BK801" s="4382">
        <f t="shared" si="351"/>
        <v>40</v>
      </c>
      <c r="BL801" s="4382">
        <f t="shared" si="352"/>
        <v>40</v>
      </c>
      <c r="BM801" s="4382">
        <f t="shared" si="353"/>
        <v>32</v>
      </c>
      <c r="BN801" s="4382">
        <f t="shared" si="354"/>
        <v>8</v>
      </c>
      <c r="BO801" s="4417"/>
      <c r="BP801" s="4417"/>
      <c r="BQ801" s="4417"/>
      <c r="BR801" s="4417"/>
      <c r="BS801" s="4417"/>
      <c r="BT801" s="4472"/>
      <c r="BU801" s="4418"/>
      <c r="BV801" s="4529">
        <f t="shared" si="355"/>
        <v>240</v>
      </c>
      <c r="BW801" s="4530">
        <f t="shared" si="361"/>
        <v>0</v>
      </c>
      <c r="BX801" s="4543"/>
      <c r="BY801" s="4543"/>
      <c r="BZ801" s="4543"/>
      <c r="CA801" s="4550"/>
      <c r="CC801" s="4551"/>
      <c r="CD801" s="4550"/>
    </row>
    <row r="802" s="4318" customFormat="1" ht="50" customHeight="1" spans="1:82">
      <c r="A802" s="4513">
        <v>45939</v>
      </c>
      <c r="B802" s="4514" t="s">
        <v>3657</v>
      </c>
      <c r="C802" s="905" t="s">
        <v>341</v>
      </c>
      <c r="D802" s="4515">
        <v>4500181202</v>
      </c>
      <c r="E802" s="905" t="s">
        <v>5282</v>
      </c>
      <c r="F802" s="4515" t="s">
        <v>5283</v>
      </c>
      <c r="G802" s="905" t="s">
        <v>3352</v>
      </c>
      <c r="H802" s="905" t="s">
        <v>3353</v>
      </c>
      <c r="I802" s="4132">
        <v>8316</v>
      </c>
      <c r="J802" s="3736">
        <v>0</v>
      </c>
      <c r="K802" s="3736">
        <v>12</v>
      </c>
      <c r="L802" s="3736">
        <f t="shared" si="356"/>
        <v>693</v>
      </c>
      <c r="M802" s="4516">
        <v>46010</v>
      </c>
      <c r="N802" s="4542">
        <v>46006</v>
      </c>
      <c r="O802" s="4129"/>
      <c r="P802" s="4527" t="s">
        <v>82</v>
      </c>
      <c r="Q802" s="4527"/>
      <c r="R802" s="4159"/>
      <c r="S802" s="4159"/>
      <c r="T802" s="4159"/>
      <c r="U802" s="4148" t="s">
        <v>5284</v>
      </c>
      <c r="V802" s="3738" t="s">
        <v>128</v>
      </c>
      <c r="W802" s="3739"/>
      <c r="X802" s="3739" t="s">
        <v>5285</v>
      </c>
      <c r="Y802" s="3739"/>
      <c r="Z802" s="906"/>
      <c r="AA802" s="3625" t="s">
        <v>5286</v>
      </c>
      <c r="AB802" s="906" t="s">
        <v>1131</v>
      </c>
      <c r="AC802" s="3736">
        <v>4.8333</v>
      </c>
      <c r="AD802" s="3736">
        <f t="shared" si="362"/>
        <v>40193.7228</v>
      </c>
      <c r="AE802" s="4148"/>
      <c r="AF802" s="905" t="s">
        <v>3356</v>
      </c>
      <c r="AG802" s="4148" t="s">
        <v>416</v>
      </c>
      <c r="AH802" s="4422"/>
      <c r="AI802" s="906"/>
      <c r="AJ802" s="906">
        <f t="shared" si="365"/>
        <v>8316</v>
      </c>
      <c r="AK802" s="4422"/>
      <c r="AL802" s="905"/>
      <c r="AM802" s="905"/>
      <c r="AN802" s="906"/>
      <c r="AO802" s="906"/>
      <c r="AP802" s="906">
        <f t="shared" si="359"/>
        <v>8316</v>
      </c>
      <c r="AQ802" s="4382"/>
      <c r="AR802" s="907"/>
      <c r="AS802" s="4382">
        <f t="shared" si="366"/>
        <v>8316</v>
      </c>
      <c r="AT802" s="907"/>
      <c r="AU802" s="4382"/>
      <c r="AV802" s="4382"/>
      <c r="AW802" s="4382"/>
      <c r="AX802" s="4382"/>
      <c r="AY802" s="4382"/>
      <c r="AZ802" s="4382"/>
      <c r="BA802" s="4382"/>
      <c r="BB802" s="4382"/>
      <c r="BC802" s="4382">
        <f>I802</f>
        <v>8316</v>
      </c>
      <c r="BD802" s="4382"/>
      <c r="BE802" s="4382"/>
      <c r="BF802" s="4382" t="s">
        <v>89</v>
      </c>
      <c r="BG802" s="4382"/>
      <c r="BH802" s="4382">
        <f t="shared" si="348"/>
        <v>1386</v>
      </c>
      <c r="BI802" s="4382">
        <f t="shared" si="349"/>
        <v>1386</v>
      </c>
      <c r="BJ802" s="4382">
        <f t="shared" si="350"/>
        <v>1386</v>
      </c>
      <c r="BK802" s="4384">
        <f t="shared" si="351"/>
        <v>1386</v>
      </c>
      <c r="BL802" s="4529">
        <f t="shared" si="352"/>
        <v>1386</v>
      </c>
      <c r="BM802" s="4384">
        <f t="shared" si="353"/>
        <v>1108.8</v>
      </c>
      <c r="BN802" s="4382">
        <f t="shared" si="354"/>
        <v>277.2</v>
      </c>
      <c r="BO802" s="907"/>
      <c r="BP802" s="907"/>
      <c r="BQ802" s="907"/>
      <c r="BR802" s="907"/>
      <c r="BS802" s="907"/>
      <c r="BT802" s="910"/>
      <c r="BU802" s="911"/>
      <c r="BV802" s="4529">
        <f t="shared" si="355"/>
        <v>8316</v>
      </c>
      <c r="BW802" s="4530">
        <f t="shared" si="361"/>
        <v>0</v>
      </c>
      <c r="BX802" s="4543"/>
      <c r="BY802" s="4543"/>
      <c r="BZ802" s="4543"/>
      <c r="CA802" s="4550"/>
      <c r="CC802" s="4551"/>
      <c r="CD802" s="4550"/>
    </row>
    <row r="803" s="4318" customFormat="1" ht="50" customHeight="1" spans="1:82">
      <c r="A803" s="4513">
        <v>45939</v>
      </c>
      <c r="B803" s="4514" t="s">
        <v>3657</v>
      </c>
      <c r="C803" s="905" t="s">
        <v>341</v>
      </c>
      <c r="D803" s="4515">
        <v>4500181202</v>
      </c>
      <c r="E803" s="905" t="s">
        <v>5287</v>
      </c>
      <c r="F803" s="4515" t="s">
        <v>5288</v>
      </c>
      <c r="G803" s="905" t="s">
        <v>3352</v>
      </c>
      <c r="H803" s="905" t="s">
        <v>3353</v>
      </c>
      <c r="I803" s="4132">
        <v>8316</v>
      </c>
      <c r="J803" s="3736">
        <v>0</v>
      </c>
      <c r="K803" s="3736">
        <v>12</v>
      </c>
      <c r="L803" s="3736">
        <f t="shared" si="356"/>
        <v>693</v>
      </c>
      <c r="M803" s="4516">
        <v>46010</v>
      </c>
      <c r="N803" s="4542">
        <v>46006</v>
      </c>
      <c r="O803" s="4129"/>
      <c r="P803" s="4527" t="s">
        <v>82</v>
      </c>
      <c r="Q803" s="4527"/>
      <c r="R803" s="4159"/>
      <c r="S803" s="4159"/>
      <c r="T803" s="4159"/>
      <c r="U803" s="4148" t="s">
        <v>5284</v>
      </c>
      <c r="V803" s="3739" t="s">
        <v>128</v>
      </c>
      <c r="W803" s="3739"/>
      <c r="X803" s="3739" t="s">
        <v>5285</v>
      </c>
      <c r="Y803" s="3739"/>
      <c r="Z803" s="906"/>
      <c r="AA803" s="3625" t="s">
        <v>5286</v>
      </c>
      <c r="AB803" s="906" t="s">
        <v>1131</v>
      </c>
      <c r="AC803" s="3736">
        <v>4.8333</v>
      </c>
      <c r="AD803" s="3736">
        <f t="shared" si="362"/>
        <v>40193.7228</v>
      </c>
      <c r="AE803" s="4148"/>
      <c r="AF803" s="905" t="s">
        <v>3356</v>
      </c>
      <c r="AG803" s="4148" t="s">
        <v>416</v>
      </c>
      <c r="AH803" s="4422"/>
      <c r="AI803" s="906"/>
      <c r="AJ803" s="906">
        <f t="shared" si="365"/>
        <v>8316</v>
      </c>
      <c r="AK803" s="4422"/>
      <c r="AL803" s="905"/>
      <c r="AM803" s="905"/>
      <c r="AN803" s="906"/>
      <c r="AO803" s="906"/>
      <c r="AP803" s="906">
        <f t="shared" si="359"/>
        <v>8316</v>
      </c>
      <c r="AQ803" s="4382"/>
      <c r="AR803" s="907"/>
      <c r="AS803" s="4382">
        <f t="shared" si="366"/>
        <v>8316</v>
      </c>
      <c r="AT803" s="907"/>
      <c r="AU803" s="4382"/>
      <c r="AV803" s="4382"/>
      <c r="AW803" s="4382"/>
      <c r="AX803" s="4382"/>
      <c r="AY803" s="4382"/>
      <c r="AZ803" s="4382"/>
      <c r="BA803" s="4382"/>
      <c r="BB803" s="4382"/>
      <c r="BC803" s="4382">
        <f>I803</f>
        <v>8316</v>
      </c>
      <c r="BD803" s="4382"/>
      <c r="BE803" s="4382"/>
      <c r="BF803" s="4382" t="s">
        <v>89</v>
      </c>
      <c r="BG803" s="4382"/>
      <c r="BH803" s="4382">
        <f t="shared" si="348"/>
        <v>1386</v>
      </c>
      <c r="BI803" s="4382">
        <f t="shared" si="349"/>
        <v>1386</v>
      </c>
      <c r="BJ803" s="4382">
        <f t="shared" si="350"/>
        <v>1386</v>
      </c>
      <c r="BK803" s="4384">
        <f t="shared" si="351"/>
        <v>1386</v>
      </c>
      <c r="BL803" s="4529">
        <f t="shared" si="352"/>
        <v>1386</v>
      </c>
      <c r="BM803" s="4384">
        <f t="shared" si="353"/>
        <v>1108.8</v>
      </c>
      <c r="BN803" s="4382">
        <f t="shared" si="354"/>
        <v>277.2</v>
      </c>
      <c r="BO803" s="907"/>
      <c r="BP803" s="907"/>
      <c r="BQ803" s="907"/>
      <c r="BR803" s="907"/>
      <c r="BS803" s="907"/>
      <c r="BT803" s="910"/>
      <c r="BU803" s="911"/>
      <c r="BV803" s="4529">
        <f t="shared" si="355"/>
        <v>8316</v>
      </c>
      <c r="BW803" s="4530">
        <f t="shared" si="361"/>
        <v>0</v>
      </c>
      <c r="BX803" s="4543"/>
      <c r="BY803" s="4543"/>
      <c r="BZ803" s="4543"/>
      <c r="CA803" s="4550"/>
      <c r="CC803" s="4551"/>
      <c r="CD803" s="4550"/>
    </row>
    <row r="804" s="4316" customFormat="1" ht="50" customHeight="1" spans="1:82">
      <c r="A804" s="4500">
        <v>45978</v>
      </c>
      <c r="B804" s="4501" t="s">
        <v>340</v>
      </c>
      <c r="C804" s="3708" t="s">
        <v>341</v>
      </c>
      <c r="D804" s="4502">
        <v>4500185851</v>
      </c>
      <c r="E804" s="3708">
        <v>196063</v>
      </c>
      <c r="F804" s="4502" t="s">
        <v>5289</v>
      </c>
      <c r="G804" s="3708" t="s">
        <v>2627</v>
      </c>
      <c r="H804" s="4154" t="s">
        <v>2591</v>
      </c>
      <c r="I804" s="4154">
        <v>1512</v>
      </c>
      <c r="J804" s="4154">
        <v>0</v>
      </c>
      <c r="K804" s="4154">
        <v>24</v>
      </c>
      <c r="L804" s="4154">
        <f t="shared" si="356"/>
        <v>63</v>
      </c>
      <c r="M804" s="4503">
        <v>46020</v>
      </c>
      <c r="N804" s="4553">
        <v>46016</v>
      </c>
      <c r="O804" s="4117"/>
      <c r="P804" s="4527" t="s">
        <v>82</v>
      </c>
      <c r="Q804" s="4527"/>
      <c r="R804" s="4159"/>
      <c r="S804" s="4159"/>
      <c r="T804" s="4159"/>
      <c r="U804" s="3726" t="s">
        <v>518</v>
      </c>
      <c r="V804" s="3708" t="s">
        <v>5290</v>
      </c>
      <c r="W804" s="3711"/>
      <c r="X804" s="3711" t="s">
        <v>5291</v>
      </c>
      <c r="Y804" s="3711"/>
      <c r="Z804" s="4154"/>
      <c r="AA804" s="3680" t="s">
        <v>5292</v>
      </c>
      <c r="AB804" s="4154" t="s">
        <v>559</v>
      </c>
      <c r="AC804" s="4154">
        <v>2.0845</v>
      </c>
      <c r="AD804" s="4154">
        <f t="shared" si="362"/>
        <v>3151.764</v>
      </c>
      <c r="AE804" s="3680" t="s">
        <v>5293</v>
      </c>
      <c r="AF804" s="3708" t="s">
        <v>2627</v>
      </c>
      <c r="AG804" s="3726" t="s">
        <v>416</v>
      </c>
      <c r="AH804" s="3708"/>
      <c r="AI804" s="4154"/>
      <c r="AJ804" s="4154">
        <f t="shared" si="365"/>
        <v>1512</v>
      </c>
      <c r="AK804" s="3708"/>
      <c r="AL804" s="3708"/>
      <c r="AM804" s="3708"/>
      <c r="AN804" s="4154"/>
      <c r="AO804" s="4154"/>
      <c r="AP804" s="4154">
        <f t="shared" si="359"/>
        <v>1512</v>
      </c>
      <c r="AQ804" s="1048"/>
      <c r="AR804" s="1048"/>
      <c r="AS804" s="1048">
        <f t="shared" si="366"/>
        <v>1512</v>
      </c>
      <c r="AT804" s="1048"/>
      <c r="AU804" s="1048"/>
      <c r="AV804" s="1048"/>
      <c r="AW804" s="1048"/>
      <c r="AX804" s="1048"/>
      <c r="AY804" s="1048"/>
      <c r="AZ804" s="1048"/>
      <c r="BA804" s="1048"/>
      <c r="BB804" s="1048"/>
      <c r="BC804" s="1048"/>
      <c r="BD804" s="1048"/>
      <c r="BE804" s="1048"/>
      <c r="BF804" s="1048" t="s">
        <v>89</v>
      </c>
      <c r="BG804" s="1048"/>
      <c r="BH804" s="1048">
        <f t="shared" si="348"/>
        <v>252</v>
      </c>
      <c r="BI804" s="1048">
        <f t="shared" si="349"/>
        <v>252</v>
      </c>
      <c r="BJ804" s="1048">
        <f t="shared" si="350"/>
        <v>252</v>
      </c>
      <c r="BK804" s="1048">
        <f t="shared" si="351"/>
        <v>252</v>
      </c>
      <c r="BL804" s="1048">
        <f t="shared" si="352"/>
        <v>252</v>
      </c>
      <c r="BM804" s="1048">
        <f t="shared" si="353"/>
        <v>201.6</v>
      </c>
      <c r="BN804" s="1048">
        <f t="shared" si="354"/>
        <v>50.4</v>
      </c>
      <c r="BO804" s="1048"/>
      <c r="BP804" s="1048"/>
      <c r="BQ804" s="1048"/>
      <c r="BR804" s="1048"/>
      <c r="BS804" s="1048"/>
      <c r="BT804" s="4414"/>
      <c r="BU804" s="4415"/>
      <c r="BV804" s="4505">
        <f t="shared" si="355"/>
        <v>1512</v>
      </c>
      <c r="BW804" s="4506">
        <f t="shared" si="361"/>
        <v>0</v>
      </c>
      <c r="BX804" s="4554"/>
      <c r="BY804" s="4554"/>
      <c r="BZ804" s="4554"/>
      <c r="CA804" s="4511"/>
      <c r="CC804" s="4512"/>
      <c r="CD804" s="4511"/>
    </row>
    <row r="805" s="4316" customFormat="1" ht="50" customHeight="1" spans="1:82">
      <c r="A805" s="4500">
        <v>45960</v>
      </c>
      <c r="B805" s="4501" t="s">
        <v>2189</v>
      </c>
      <c r="C805" s="3708" t="s">
        <v>91</v>
      </c>
      <c r="D805" s="4502">
        <v>4500183803</v>
      </c>
      <c r="E805" s="3708" t="s">
        <v>5294</v>
      </c>
      <c r="F805" s="4502" t="s">
        <v>5295</v>
      </c>
      <c r="G805" s="3708" t="s">
        <v>2719</v>
      </c>
      <c r="H805" s="4154" t="s">
        <v>2591</v>
      </c>
      <c r="I805" s="4154">
        <v>1002</v>
      </c>
      <c r="J805" s="4154">
        <v>0</v>
      </c>
      <c r="K805" s="4154">
        <v>6</v>
      </c>
      <c r="L805" s="4154">
        <f t="shared" si="356"/>
        <v>167</v>
      </c>
      <c r="M805" s="4503">
        <v>46016</v>
      </c>
      <c r="N805" s="4553">
        <v>46013</v>
      </c>
      <c r="O805" s="4117"/>
      <c r="P805" s="4527" t="s">
        <v>82</v>
      </c>
      <c r="Q805" s="4527"/>
      <c r="R805" s="4159"/>
      <c r="S805" s="4159"/>
      <c r="T805" s="4159"/>
      <c r="U805" s="3726" t="s">
        <v>2230</v>
      </c>
      <c r="V805" s="4154" t="s">
        <v>97</v>
      </c>
      <c r="W805" s="3711"/>
      <c r="X805" s="3711" t="s">
        <v>98</v>
      </c>
      <c r="Y805" s="3711" t="s">
        <v>2261</v>
      </c>
      <c r="Z805" s="4154"/>
      <c r="AA805" s="3680" t="s">
        <v>2207</v>
      </c>
      <c r="AB805" s="4154" t="s">
        <v>653</v>
      </c>
      <c r="AC805" s="4504">
        <v>1.2596</v>
      </c>
      <c r="AD805" s="4154">
        <f t="shared" si="362"/>
        <v>1262.1192</v>
      </c>
      <c r="AE805" s="3726"/>
      <c r="AF805" s="3708" t="s">
        <v>2719</v>
      </c>
      <c r="AG805" s="3726" t="s">
        <v>416</v>
      </c>
      <c r="AH805" s="4412"/>
      <c r="AI805" s="4154"/>
      <c r="AJ805" s="4154">
        <f t="shared" si="365"/>
        <v>1002</v>
      </c>
      <c r="AK805" s="4412"/>
      <c r="AL805" s="3708"/>
      <c r="AM805" s="3708"/>
      <c r="AN805" s="4154"/>
      <c r="AO805" s="4154"/>
      <c r="AP805" s="4154">
        <f t="shared" si="359"/>
        <v>1002</v>
      </c>
      <c r="AQ805" s="1048"/>
      <c r="AR805" s="1040"/>
      <c r="AS805" s="1048">
        <f t="shared" si="366"/>
        <v>1002</v>
      </c>
      <c r="AT805" s="1040"/>
      <c r="AU805" s="1048"/>
      <c r="AV805" s="1048"/>
      <c r="AW805" s="1048"/>
      <c r="AX805" s="1048"/>
      <c r="AY805" s="1048"/>
      <c r="AZ805" s="1048"/>
      <c r="BA805" s="1048"/>
      <c r="BB805" s="1048"/>
      <c r="BC805" s="1048"/>
      <c r="BD805" s="1048"/>
      <c r="BE805" s="1048"/>
      <c r="BF805" s="1048" t="s">
        <v>89</v>
      </c>
      <c r="BG805" s="1048"/>
      <c r="BH805" s="4510">
        <f t="shared" si="348"/>
        <v>167</v>
      </c>
      <c r="BI805" s="4510">
        <f t="shared" si="349"/>
        <v>167</v>
      </c>
      <c r="BJ805" s="4510">
        <f t="shared" si="350"/>
        <v>167</v>
      </c>
      <c r="BK805" s="4510">
        <f t="shared" si="351"/>
        <v>167</v>
      </c>
      <c r="BL805" s="4510">
        <f t="shared" si="352"/>
        <v>167</v>
      </c>
      <c r="BM805" s="4510">
        <f t="shared" si="353"/>
        <v>133.6</v>
      </c>
      <c r="BN805" s="4510">
        <f t="shared" si="354"/>
        <v>33.4</v>
      </c>
      <c r="BO805" s="1040"/>
      <c r="BP805" s="1040"/>
      <c r="BQ805" s="1040"/>
      <c r="BR805" s="1040"/>
      <c r="BS805" s="1040"/>
      <c r="BT805" s="1041"/>
      <c r="BU805" s="4524"/>
      <c r="BV805" s="4525">
        <f t="shared" si="355"/>
        <v>1002</v>
      </c>
      <c r="BW805" s="4526">
        <f t="shared" si="361"/>
        <v>0</v>
      </c>
      <c r="BX805" s="4554"/>
      <c r="BY805" s="4554"/>
      <c r="BZ805" s="4554"/>
      <c r="CA805" s="4511"/>
      <c r="CC805" s="4512"/>
      <c r="CD805" s="4511"/>
    </row>
    <row r="806" s="4316" customFormat="1" ht="50" customHeight="1" spans="1:82">
      <c r="A806" s="4500">
        <v>45960</v>
      </c>
      <c r="B806" s="4501" t="s">
        <v>2189</v>
      </c>
      <c r="C806" s="3708" t="s">
        <v>91</v>
      </c>
      <c r="D806" s="4502">
        <v>4500183804</v>
      </c>
      <c r="E806" s="3708" t="s">
        <v>5296</v>
      </c>
      <c r="F806" s="4502" t="s">
        <v>5297</v>
      </c>
      <c r="G806" s="3708" t="s">
        <v>2719</v>
      </c>
      <c r="H806" s="4154" t="s">
        <v>2591</v>
      </c>
      <c r="I806" s="4154">
        <v>1200</v>
      </c>
      <c r="J806" s="4154">
        <v>0</v>
      </c>
      <c r="K806" s="4154">
        <v>6</v>
      </c>
      <c r="L806" s="4154">
        <f t="shared" si="356"/>
        <v>200</v>
      </c>
      <c r="M806" s="4503">
        <v>46016</v>
      </c>
      <c r="N806" s="4553">
        <v>46013</v>
      </c>
      <c r="O806" s="4117"/>
      <c r="P806" s="4527" t="s">
        <v>82</v>
      </c>
      <c r="Q806" s="4527"/>
      <c r="R806" s="4159"/>
      <c r="S806" s="4159"/>
      <c r="T806" s="4159"/>
      <c r="U806" s="3726" t="s">
        <v>2230</v>
      </c>
      <c r="V806" s="4154" t="s">
        <v>97</v>
      </c>
      <c r="W806" s="3711"/>
      <c r="X806" s="3711" t="s">
        <v>98</v>
      </c>
      <c r="Y806" s="3711" t="s">
        <v>2261</v>
      </c>
      <c r="Z806" s="4154"/>
      <c r="AA806" s="3680" t="s">
        <v>2207</v>
      </c>
      <c r="AB806" s="4154" t="s">
        <v>2211</v>
      </c>
      <c r="AC806" s="4504">
        <v>1.2596</v>
      </c>
      <c r="AD806" s="4154">
        <f t="shared" si="362"/>
        <v>1511.52</v>
      </c>
      <c r="AE806" s="3726"/>
      <c r="AF806" s="3708" t="s">
        <v>2719</v>
      </c>
      <c r="AG806" s="3726" t="s">
        <v>416</v>
      </c>
      <c r="AH806" s="4412"/>
      <c r="AI806" s="4154"/>
      <c r="AJ806" s="4154">
        <f t="shared" si="365"/>
        <v>1200</v>
      </c>
      <c r="AK806" s="4412"/>
      <c r="AL806" s="3708"/>
      <c r="AM806" s="3708"/>
      <c r="AN806" s="4154"/>
      <c r="AO806" s="4154"/>
      <c r="AP806" s="4154">
        <f t="shared" si="359"/>
        <v>1200</v>
      </c>
      <c r="AQ806" s="1048"/>
      <c r="AR806" s="1040"/>
      <c r="AS806" s="1048">
        <f t="shared" si="366"/>
        <v>1200</v>
      </c>
      <c r="AT806" s="1040"/>
      <c r="AU806" s="1048"/>
      <c r="AV806" s="1048"/>
      <c r="AW806" s="1048"/>
      <c r="AX806" s="1048"/>
      <c r="AY806" s="1048"/>
      <c r="AZ806" s="1048"/>
      <c r="BA806" s="1048"/>
      <c r="BB806" s="1048"/>
      <c r="BC806" s="1048"/>
      <c r="BD806" s="1048"/>
      <c r="BE806" s="1048"/>
      <c r="BF806" s="1048" t="s">
        <v>89</v>
      </c>
      <c r="BG806" s="1048"/>
      <c r="BH806" s="4510">
        <f t="shared" si="348"/>
        <v>200</v>
      </c>
      <c r="BI806" s="4510">
        <f t="shared" si="349"/>
        <v>200</v>
      </c>
      <c r="BJ806" s="4510">
        <f t="shared" si="350"/>
        <v>200</v>
      </c>
      <c r="BK806" s="4510">
        <f t="shared" si="351"/>
        <v>200</v>
      </c>
      <c r="BL806" s="4510">
        <f t="shared" si="352"/>
        <v>200</v>
      </c>
      <c r="BM806" s="4510">
        <f t="shared" si="353"/>
        <v>160</v>
      </c>
      <c r="BN806" s="4510">
        <f t="shared" si="354"/>
        <v>40</v>
      </c>
      <c r="BO806" s="1040"/>
      <c r="BP806" s="1040"/>
      <c r="BQ806" s="1040"/>
      <c r="BR806" s="1040"/>
      <c r="BS806" s="1040"/>
      <c r="BT806" s="1041"/>
      <c r="BU806" s="4524"/>
      <c r="BV806" s="4525">
        <f t="shared" si="355"/>
        <v>1200</v>
      </c>
      <c r="BW806" s="4526">
        <f t="shared" si="361"/>
        <v>0</v>
      </c>
      <c r="BX806" s="4554"/>
      <c r="BY806" s="4554"/>
      <c r="BZ806" s="4554"/>
      <c r="CA806" s="4511"/>
      <c r="CC806" s="4512"/>
      <c r="CD806" s="4511"/>
    </row>
    <row r="807" s="4316" customFormat="1" ht="50" customHeight="1" spans="1:82">
      <c r="A807" s="4500">
        <v>45968</v>
      </c>
      <c r="B807" s="4501" t="s">
        <v>5298</v>
      </c>
      <c r="C807" s="3708" t="s">
        <v>341</v>
      </c>
      <c r="D807" s="4502">
        <v>4500184889</v>
      </c>
      <c r="E807" s="3708" t="s">
        <v>5299</v>
      </c>
      <c r="F807" s="4502" t="s">
        <v>5300</v>
      </c>
      <c r="G807" s="3708" t="s">
        <v>2577</v>
      </c>
      <c r="H807" s="3708" t="s">
        <v>2578</v>
      </c>
      <c r="I807" s="4154">
        <v>504</v>
      </c>
      <c r="J807" s="4154">
        <v>0</v>
      </c>
      <c r="K807" s="4154">
        <v>12</v>
      </c>
      <c r="L807" s="4154">
        <f t="shared" si="356"/>
        <v>42</v>
      </c>
      <c r="M807" s="4503">
        <v>46021</v>
      </c>
      <c r="N807" s="4553">
        <v>46017</v>
      </c>
      <c r="O807" s="4117"/>
      <c r="P807" s="4527" t="s">
        <v>82</v>
      </c>
      <c r="Q807" s="4527"/>
      <c r="R807" s="4159"/>
      <c r="S807" s="4159"/>
      <c r="T807" s="4159"/>
      <c r="U807" s="3726" t="s">
        <v>427</v>
      </c>
      <c r="V807" s="3711" t="s">
        <v>2694</v>
      </c>
      <c r="W807" s="3711"/>
      <c r="X807" s="3711" t="s">
        <v>98</v>
      </c>
      <c r="Y807" s="3711"/>
      <c r="Z807" s="4154"/>
      <c r="AA807" s="3680" t="s">
        <v>5301</v>
      </c>
      <c r="AB807" s="4154" t="s">
        <v>3847</v>
      </c>
      <c r="AC807" s="4154">
        <v>2.1438</v>
      </c>
      <c r="AD807" s="4154">
        <f t="shared" si="362"/>
        <v>1080.4752</v>
      </c>
      <c r="AE807" s="3680" t="s">
        <v>5302</v>
      </c>
      <c r="AF807" s="3708" t="s">
        <v>2577</v>
      </c>
      <c r="AG807" s="3726" t="s">
        <v>416</v>
      </c>
      <c r="AH807" s="4412"/>
      <c r="AI807" s="4154"/>
      <c r="AJ807" s="4154">
        <f t="shared" si="365"/>
        <v>504</v>
      </c>
      <c r="AK807" s="4412"/>
      <c r="AL807" s="3708"/>
      <c r="AM807" s="3708"/>
      <c r="AN807" s="4154"/>
      <c r="AO807" s="4154"/>
      <c r="AP807" s="4154">
        <f t="shared" si="359"/>
        <v>504</v>
      </c>
      <c r="AQ807" s="1048"/>
      <c r="AR807" s="1040"/>
      <c r="AS807" s="1048">
        <f t="shared" si="366"/>
        <v>504</v>
      </c>
      <c r="AT807" s="1040"/>
      <c r="AU807" s="1048"/>
      <c r="AV807" s="1048"/>
      <c r="AW807" s="1048">
        <f>I807/6</f>
        <v>84</v>
      </c>
      <c r="AX807" s="1048"/>
      <c r="AY807" s="1048"/>
      <c r="AZ807" s="1048"/>
      <c r="BA807" s="1048"/>
      <c r="BB807" s="1048"/>
      <c r="BC807" s="1048"/>
      <c r="BD807" s="1048"/>
      <c r="BE807" s="1048"/>
      <c r="BF807" s="1048" t="s">
        <v>89</v>
      </c>
      <c r="BG807" s="1048"/>
      <c r="BH807" s="1048">
        <f t="shared" si="348"/>
        <v>84</v>
      </c>
      <c r="BI807" s="1048">
        <f t="shared" si="349"/>
        <v>84</v>
      </c>
      <c r="BJ807" s="1048">
        <f t="shared" si="350"/>
        <v>84</v>
      </c>
      <c r="BK807" s="1048">
        <f t="shared" si="351"/>
        <v>84</v>
      </c>
      <c r="BL807" s="1048">
        <f t="shared" si="352"/>
        <v>84</v>
      </c>
      <c r="BM807" s="1048">
        <f t="shared" si="353"/>
        <v>67.2</v>
      </c>
      <c r="BN807" s="1048">
        <f t="shared" si="354"/>
        <v>16.8</v>
      </c>
      <c r="BO807" s="1040"/>
      <c r="BP807" s="1040"/>
      <c r="BQ807" s="1040"/>
      <c r="BR807" s="1040"/>
      <c r="BS807" s="1040"/>
      <c r="BT807" s="1041"/>
      <c r="BU807" s="4524"/>
      <c r="BV807" s="4505">
        <f t="shared" si="355"/>
        <v>504</v>
      </c>
      <c r="BW807" s="4506">
        <f t="shared" si="361"/>
        <v>0</v>
      </c>
      <c r="BX807" s="4554"/>
      <c r="BY807" s="4554"/>
      <c r="BZ807" s="4554"/>
      <c r="CA807" s="4511"/>
      <c r="CC807" s="4512"/>
      <c r="CD807" s="4511"/>
    </row>
    <row r="808" s="4316" customFormat="1" ht="50" customHeight="1" spans="1:82">
      <c r="A808" s="4500">
        <v>45964</v>
      </c>
      <c r="B808" s="4501" t="s">
        <v>5303</v>
      </c>
      <c r="C808" s="3708" t="s">
        <v>1279</v>
      </c>
      <c r="D808" s="4502">
        <v>4500183350</v>
      </c>
      <c r="E808" s="3708">
        <v>2000008516</v>
      </c>
      <c r="F808" s="4502" t="s">
        <v>5304</v>
      </c>
      <c r="G808" s="3708" t="s">
        <v>3352</v>
      </c>
      <c r="H808" s="3708" t="s">
        <v>3353</v>
      </c>
      <c r="I808" s="4113">
        <v>804</v>
      </c>
      <c r="J808" s="3699">
        <v>0</v>
      </c>
      <c r="K808" s="3699">
        <v>12</v>
      </c>
      <c r="L808" s="3699">
        <f t="shared" si="356"/>
        <v>67</v>
      </c>
      <c r="M808" s="4503">
        <v>46016</v>
      </c>
      <c r="N808" s="4553">
        <v>46013</v>
      </c>
      <c r="O808" s="4117" t="s">
        <v>5305</v>
      </c>
      <c r="P808" s="4527" t="s">
        <v>82</v>
      </c>
      <c r="Q808" s="4527"/>
      <c r="R808" s="4159"/>
      <c r="S808" s="4159"/>
      <c r="T808" s="4159"/>
      <c r="U808" s="3726" t="s">
        <v>138</v>
      </c>
      <c r="V808" s="4154" t="s">
        <v>497</v>
      </c>
      <c r="W808" s="3711"/>
      <c r="X808" s="3711" t="s">
        <v>5306</v>
      </c>
      <c r="Y808" s="3711"/>
      <c r="Z808" s="4154"/>
      <c r="AA808" s="3680" t="s">
        <v>5307</v>
      </c>
      <c r="AB808" s="4154" t="s">
        <v>1298</v>
      </c>
      <c r="AC808" s="3699">
        <v>4.9949</v>
      </c>
      <c r="AD808" s="3699">
        <f t="shared" si="362"/>
        <v>4015.8996</v>
      </c>
      <c r="AE808" s="3726"/>
      <c r="AF808" s="3708" t="s">
        <v>3605</v>
      </c>
      <c r="AG808" s="3726" t="s">
        <v>416</v>
      </c>
      <c r="AH808" s="4412"/>
      <c r="AI808" s="4154"/>
      <c r="AJ808" s="4154"/>
      <c r="AK808" s="4412"/>
      <c r="AL808" s="3708"/>
      <c r="AM808" s="3708">
        <f>I808</f>
        <v>804</v>
      </c>
      <c r="AN808" s="4154"/>
      <c r="AO808" s="4154"/>
      <c r="AP808" s="4154">
        <f t="shared" si="359"/>
        <v>804</v>
      </c>
      <c r="AQ808" s="1048"/>
      <c r="AR808" s="1040"/>
      <c r="AS808" s="1048">
        <f t="shared" si="366"/>
        <v>804</v>
      </c>
      <c r="AT808" s="1040"/>
      <c r="AU808" s="1048"/>
      <c r="AV808" s="1048"/>
      <c r="AW808" s="1048"/>
      <c r="AX808" s="1048"/>
      <c r="AY808" s="1048"/>
      <c r="AZ808" s="1048"/>
      <c r="BA808" s="1048"/>
      <c r="BB808" s="1048"/>
      <c r="BC808" s="1048">
        <f>I808</f>
        <v>804</v>
      </c>
      <c r="BD808" s="1048"/>
      <c r="BE808" s="1048"/>
      <c r="BF808" s="1048" t="s">
        <v>89</v>
      </c>
      <c r="BG808" s="1048"/>
      <c r="BH808" s="1048">
        <f t="shared" si="348"/>
        <v>134</v>
      </c>
      <c r="BI808" s="1048">
        <f t="shared" si="349"/>
        <v>134</v>
      </c>
      <c r="BJ808" s="1048">
        <f t="shared" si="350"/>
        <v>134</v>
      </c>
      <c r="BK808" s="4415">
        <f t="shared" si="351"/>
        <v>134</v>
      </c>
      <c r="BL808" s="4505">
        <f t="shared" si="352"/>
        <v>134</v>
      </c>
      <c r="BM808" s="4415">
        <f t="shared" si="353"/>
        <v>107.2</v>
      </c>
      <c r="BN808" s="1048">
        <f t="shared" si="354"/>
        <v>26.8</v>
      </c>
      <c r="BO808" s="1040"/>
      <c r="BP808" s="1040"/>
      <c r="BQ808" s="1040"/>
      <c r="BR808" s="1040"/>
      <c r="BS808" s="1040"/>
      <c r="BT808" s="1041"/>
      <c r="BU808" s="4524"/>
      <c r="BV808" s="4505">
        <f t="shared" si="355"/>
        <v>804</v>
      </c>
      <c r="BW808" s="4506">
        <f t="shared" si="361"/>
        <v>0</v>
      </c>
      <c r="BX808" s="4554"/>
      <c r="BY808" s="4554"/>
      <c r="BZ808" s="4554"/>
      <c r="CA808" s="4511"/>
      <c r="CC808" s="4512"/>
      <c r="CD808" s="4511"/>
    </row>
    <row r="809" s="4316" customFormat="1" ht="50" customHeight="1" spans="1:82">
      <c r="A809" s="4500">
        <v>45972</v>
      </c>
      <c r="B809" s="4501" t="s">
        <v>2775</v>
      </c>
      <c r="C809" s="3708" t="s">
        <v>2776</v>
      </c>
      <c r="D809" s="4502">
        <v>4500185070</v>
      </c>
      <c r="E809" s="3708"/>
      <c r="F809" s="4502" t="s">
        <v>5308</v>
      </c>
      <c r="G809" s="3708" t="s">
        <v>2577</v>
      </c>
      <c r="H809" s="3708" t="s">
        <v>2578</v>
      </c>
      <c r="I809" s="4154">
        <v>5040</v>
      </c>
      <c r="J809" s="4154">
        <v>0</v>
      </c>
      <c r="K809" s="4154">
        <v>12</v>
      </c>
      <c r="L809" s="4154">
        <f t="shared" si="356"/>
        <v>420</v>
      </c>
      <c r="M809" s="4503">
        <v>46021</v>
      </c>
      <c r="N809" s="4553">
        <v>46017</v>
      </c>
      <c r="O809" s="4117"/>
      <c r="P809" s="4527" t="s">
        <v>82</v>
      </c>
      <c r="Q809" s="4527"/>
      <c r="R809" s="4159"/>
      <c r="S809" s="4159"/>
      <c r="T809" s="4159"/>
      <c r="U809" s="3726" t="s">
        <v>110</v>
      </c>
      <c r="V809" s="4154" t="s">
        <v>384</v>
      </c>
      <c r="W809" s="3711"/>
      <c r="X809" s="3711" t="s">
        <v>5309</v>
      </c>
      <c r="Y809" s="3711"/>
      <c r="Z809" s="4154"/>
      <c r="AA809" s="3680" t="s">
        <v>5310</v>
      </c>
      <c r="AB809" s="4154" t="s">
        <v>1434</v>
      </c>
      <c r="AC809" s="4154">
        <v>2.1159</v>
      </c>
      <c r="AD809" s="4154">
        <f t="shared" si="362"/>
        <v>10664.136</v>
      </c>
      <c r="AE809" s="3726"/>
      <c r="AF809" s="3708" t="s">
        <v>2604</v>
      </c>
      <c r="AG809" s="3726" t="s">
        <v>416</v>
      </c>
      <c r="AH809" s="4412"/>
      <c r="AI809" s="4154"/>
      <c r="AJ809" s="4154"/>
      <c r="AK809" s="4412"/>
      <c r="AL809" s="3708"/>
      <c r="AM809" s="3708">
        <f>I809</f>
        <v>5040</v>
      </c>
      <c r="AN809" s="4154"/>
      <c r="AO809" s="4154"/>
      <c r="AP809" s="4154">
        <f t="shared" si="359"/>
        <v>5040</v>
      </c>
      <c r="AQ809" s="1048"/>
      <c r="AR809" s="1040"/>
      <c r="AS809" s="1048">
        <f t="shared" si="366"/>
        <v>5040</v>
      </c>
      <c r="AT809" s="1040"/>
      <c r="AU809" s="1048"/>
      <c r="AV809" s="1048"/>
      <c r="AW809" s="1048">
        <f>I809/6</f>
        <v>840</v>
      </c>
      <c r="AX809" s="1048"/>
      <c r="AY809" s="1048"/>
      <c r="AZ809" s="1048"/>
      <c r="BA809" s="1048"/>
      <c r="BB809" s="1048"/>
      <c r="BC809" s="1048"/>
      <c r="BD809" s="1048"/>
      <c r="BE809" s="1048"/>
      <c r="BF809" s="1048" t="s">
        <v>89</v>
      </c>
      <c r="BG809" s="1048"/>
      <c r="BH809" s="1048">
        <f t="shared" si="348"/>
        <v>840</v>
      </c>
      <c r="BI809" s="1048">
        <f t="shared" si="349"/>
        <v>840</v>
      </c>
      <c r="BJ809" s="1048">
        <f t="shared" si="350"/>
        <v>840</v>
      </c>
      <c r="BK809" s="1048">
        <f t="shared" si="351"/>
        <v>840</v>
      </c>
      <c r="BL809" s="1048">
        <f t="shared" si="352"/>
        <v>840</v>
      </c>
      <c r="BM809" s="1048">
        <f t="shared" si="353"/>
        <v>672</v>
      </c>
      <c r="BN809" s="1048">
        <f t="shared" si="354"/>
        <v>168</v>
      </c>
      <c r="BO809" s="1040"/>
      <c r="BP809" s="1040"/>
      <c r="BQ809" s="1040"/>
      <c r="BR809" s="1040"/>
      <c r="BS809" s="1040"/>
      <c r="BT809" s="1041"/>
      <c r="BU809" s="4524"/>
      <c r="BV809" s="4505">
        <f t="shared" si="355"/>
        <v>5040</v>
      </c>
      <c r="BW809" s="4506">
        <f t="shared" si="361"/>
        <v>0</v>
      </c>
      <c r="BX809" s="4554"/>
      <c r="BY809" s="4554"/>
      <c r="BZ809" s="4554"/>
      <c r="CA809" s="4511"/>
      <c r="CC809" s="4512"/>
      <c r="CD809" s="4511"/>
    </row>
    <row r="810" s="4316" customFormat="1" ht="50" customHeight="1" spans="1:82">
      <c r="A810" s="4500">
        <v>45982</v>
      </c>
      <c r="B810" s="4501" t="s">
        <v>1682</v>
      </c>
      <c r="C810" s="3708" t="s">
        <v>91</v>
      </c>
      <c r="D810" s="4502">
        <v>4500186619</v>
      </c>
      <c r="E810" s="3708">
        <v>384258403</v>
      </c>
      <c r="F810" s="4502" t="s">
        <v>5311</v>
      </c>
      <c r="G810" s="3708" t="s">
        <v>2719</v>
      </c>
      <c r="H810" s="4154" t="s">
        <v>2591</v>
      </c>
      <c r="I810" s="4154">
        <v>1800</v>
      </c>
      <c r="J810" s="4154">
        <v>0</v>
      </c>
      <c r="K810" s="4154">
        <v>6</v>
      </c>
      <c r="L810" s="4154">
        <f t="shared" si="356"/>
        <v>300</v>
      </c>
      <c r="M810" s="4503">
        <v>46020</v>
      </c>
      <c r="N810" s="4553">
        <v>46016</v>
      </c>
      <c r="O810" s="4117"/>
      <c r="P810" s="4527" t="s">
        <v>82</v>
      </c>
      <c r="Q810" s="4527"/>
      <c r="R810" s="4159"/>
      <c r="S810" s="4159"/>
      <c r="T810" s="4159"/>
      <c r="U810" s="3726" t="s">
        <v>518</v>
      </c>
      <c r="V810" s="3711" t="s">
        <v>384</v>
      </c>
      <c r="W810" s="3711"/>
      <c r="X810" s="3711" t="s">
        <v>5312</v>
      </c>
      <c r="Y810" s="3711"/>
      <c r="Z810" s="4154"/>
      <c r="AA810" s="3680" t="s">
        <v>5313</v>
      </c>
      <c r="AB810" s="4154" t="s">
        <v>500</v>
      </c>
      <c r="AC810" s="4504">
        <v>1.2596</v>
      </c>
      <c r="AD810" s="4154">
        <f t="shared" si="362"/>
        <v>2267.28</v>
      </c>
      <c r="AE810" s="3726"/>
      <c r="AF810" s="3708" t="s">
        <v>2719</v>
      </c>
      <c r="AG810" s="3726" t="s">
        <v>416</v>
      </c>
      <c r="AH810" s="4430"/>
      <c r="AI810" s="4154"/>
      <c r="AJ810" s="4154">
        <f>I810</f>
        <v>1800</v>
      </c>
      <c r="AK810" s="4430"/>
      <c r="AL810" s="3708"/>
      <c r="AM810" s="3708"/>
      <c r="AN810" s="4154"/>
      <c r="AO810" s="4154"/>
      <c r="AP810" s="4154">
        <f t="shared" si="359"/>
        <v>1800</v>
      </c>
      <c r="AQ810" s="1048"/>
      <c r="AR810" s="4413"/>
      <c r="AS810" s="1048">
        <f t="shared" si="366"/>
        <v>1800</v>
      </c>
      <c r="AT810" s="4413"/>
      <c r="AU810" s="1048"/>
      <c r="AV810" s="1048"/>
      <c r="AW810" s="1048"/>
      <c r="AX810" s="1048"/>
      <c r="AY810" s="1048"/>
      <c r="AZ810" s="1048"/>
      <c r="BA810" s="1048"/>
      <c r="BB810" s="1048"/>
      <c r="BC810" s="1048"/>
      <c r="BD810" s="1048"/>
      <c r="BE810" s="1048"/>
      <c r="BF810" s="1048" t="s">
        <v>89</v>
      </c>
      <c r="BG810" s="1048"/>
      <c r="BH810" s="4510">
        <f t="shared" si="348"/>
        <v>300</v>
      </c>
      <c r="BI810" s="4510">
        <f t="shared" si="349"/>
        <v>300</v>
      </c>
      <c r="BJ810" s="4510">
        <f t="shared" si="350"/>
        <v>300</v>
      </c>
      <c r="BK810" s="4510">
        <f t="shared" si="351"/>
        <v>300</v>
      </c>
      <c r="BL810" s="4510">
        <f t="shared" si="352"/>
        <v>300</v>
      </c>
      <c r="BM810" s="4510">
        <f t="shared" si="353"/>
        <v>240</v>
      </c>
      <c r="BN810" s="4510">
        <f t="shared" si="354"/>
        <v>60</v>
      </c>
      <c r="BO810" s="4413"/>
      <c r="BP810" s="4413"/>
      <c r="BQ810" s="4413"/>
      <c r="BR810" s="4413"/>
      <c r="BS810" s="4413"/>
      <c r="BT810" s="4431"/>
      <c r="BU810" s="4432"/>
      <c r="BV810" s="4525">
        <f t="shared" si="355"/>
        <v>1800</v>
      </c>
      <c r="BW810" s="4526">
        <f t="shared" si="361"/>
        <v>0</v>
      </c>
      <c r="BX810" s="4554"/>
      <c r="BY810" s="4554"/>
      <c r="BZ810" s="4554"/>
      <c r="CA810" s="4511"/>
      <c r="CC810" s="4512"/>
      <c r="CD810" s="4511"/>
    </row>
    <row r="811" s="4316" customFormat="1" ht="50" customHeight="1" spans="1:82">
      <c r="A811" s="4500">
        <v>45982</v>
      </c>
      <c r="B811" s="4501" t="s">
        <v>1682</v>
      </c>
      <c r="C811" s="3708" t="s">
        <v>91</v>
      </c>
      <c r="D811" s="4502">
        <v>4500186619</v>
      </c>
      <c r="E811" s="3708">
        <v>384258608</v>
      </c>
      <c r="F811" s="4502" t="s">
        <v>5314</v>
      </c>
      <c r="G811" s="3708" t="s">
        <v>2719</v>
      </c>
      <c r="H811" s="4154" t="s">
        <v>2591</v>
      </c>
      <c r="I811" s="4154">
        <v>1800</v>
      </c>
      <c r="J811" s="4154">
        <v>0</v>
      </c>
      <c r="K811" s="4154">
        <v>6</v>
      </c>
      <c r="L811" s="4154">
        <f t="shared" si="356"/>
        <v>300</v>
      </c>
      <c r="M811" s="4503">
        <v>46020</v>
      </c>
      <c r="N811" s="4553">
        <v>46016</v>
      </c>
      <c r="O811" s="4117"/>
      <c r="P811" s="4527" t="s">
        <v>82</v>
      </c>
      <c r="Q811" s="4527"/>
      <c r="R811" s="4159"/>
      <c r="S811" s="4159"/>
      <c r="T811" s="4159"/>
      <c r="U811" s="3726" t="s">
        <v>389</v>
      </c>
      <c r="V811" s="3711" t="s">
        <v>384</v>
      </c>
      <c r="W811" s="3711"/>
      <c r="X811" s="3711" t="s">
        <v>5312</v>
      </c>
      <c r="Y811" s="3711"/>
      <c r="Z811" s="4154"/>
      <c r="AA811" s="3680" t="s">
        <v>5313</v>
      </c>
      <c r="AB811" s="4154" t="s">
        <v>500</v>
      </c>
      <c r="AC811" s="4504">
        <v>1.2596</v>
      </c>
      <c r="AD811" s="4154">
        <f t="shared" si="362"/>
        <v>2267.28</v>
      </c>
      <c r="AE811" s="3726"/>
      <c r="AF811" s="3708" t="s">
        <v>2719</v>
      </c>
      <c r="AG811" s="3726" t="s">
        <v>416</v>
      </c>
      <c r="AH811" s="4430"/>
      <c r="AI811" s="4154"/>
      <c r="AJ811" s="4154">
        <f>I811</f>
        <v>1800</v>
      </c>
      <c r="AK811" s="4430"/>
      <c r="AL811" s="3708"/>
      <c r="AM811" s="3708"/>
      <c r="AN811" s="4154"/>
      <c r="AO811" s="4154"/>
      <c r="AP811" s="4154">
        <f t="shared" si="359"/>
        <v>1800</v>
      </c>
      <c r="AQ811" s="1048"/>
      <c r="AR811" s="4413"/>
      <c r="AS811" s="1048">
        <f t="shared" si="366"/>
        <v>1800</v>
      </c>
      <c r="AT811" s="4413"/>
      <c r="AU811" s="1048"/>
      <c r="AV811" s="1048"/>
      <c r="AW811" s="1048"/>
      <c r="AX811" s="1048"/>
      <c r="AY811" s="1048"/>
      <c r="AZ811" s="1048"/>
      <c r="BA811" s="1048"/>
      <c r="BB811" s="1048"/>
      <c r="BC811" s="1048"/>
      <c r="BD811" s="1048"/>
      <c r="BE811" s="1048"/>
      <c r="BF811" s="1048" t="s">
        <v>89</v>
      </c>
      <c r="BG811" s="1048"/>
      <c r="BH811" s="4510">
        <f t="shared" si="348"/>
        <v>300</v>
      </c>
      <c r="BI811" s="4510">
        <f t="shared" si="349"/>
        <v>300</v>
      </c>
      <c r="BJ811" s="4510">
        <f t="shared" si="350"/>
        <v>300</v>
      </c>
      <c r="BK811" s="4510">
        <f t="shared" si="351"/>
        <v>300</v>
      </c>
      <c r="BL811" s="4510">
        <f t="shared" si="352"/>
        <v>300</v>
      </c>
      <c r="BM811" s="4510">
        <f t="shared" si="353"/>
        <v>240</v>
      </c>
      <c r="BN811" s="4510">
        <f t="shared" si="354"/>
        <v>60</v>
      </c>
      <c r="BO811" s="4413"/>
      <c r="BP811" s="4413"/>
      <c r="BQ811" s="4413"/>
      <c r="BR811" s="4413"/>
      <c r="BS811" s="4413"/>
      <c r="BT811" s="4431"/>
      <c r="BU811" s="4432"/>
      <c r="BV811" s="4525">
        <f t="shared" si="355"/>
        <v>1800</v>
      </c>
      <c r="BW811" s="4526">
        <f t="shared" si="361"/>
        <v>0</v>
      </c>
      <c r="BX811" s="4554"/>
      <c r="BY811" s="4554"/>
      <c r="BZ811" s="4554"/>
      <c r="CA811" s="4511"/>
      <c r="CC811" s="4512"/>
      <c r="CD811" s="4511"/>
    </row>
    <row r="812" s="4316" customFormat="1" ht="50" customHeight="1" spans="1:82">
      <c r="A812" s="4500">
        <v>45982</v>
      </c>
      <c r="B812" s="4501" t="s">
        <v>1682</v>
      </c>
      <c r="C812" s="3708" t="s">
        <v>91</v>
      </c>
      <c r="D812" s="4502">
        <v>4500186619</v>
      </c>
      <c r="E812" s="3708">
        <v>384258802</v>
      </c>
      <c r="F812" s="4502" t="s">
        <v>5315</v>
      </c>
      <c r="G812" s="3708" t="s">
        <v>2719</v>
      </c>
      <c r="H812" s="4154" t="s">
        <v>2591</v>
      </c>
      <c r="I812" s="4154">
        <v>1800</v>
      </c>
      <c r="J812" s="4154">
        <v>0</v>
      </c>
      <c r="K812" s="4154">
        <v>6</v>
      </c>
      <c r="L812" s="4154">
        <f t="shared" si="356"/>
        <v>300</v>
      </c>
      <c r="M812" s="4503">
        <v>46020</v>
      </c>
      <c r="N812" s="4553">
        <v>46016</v>
      </c>
      <c r="O812" s="4117"/>
      <c r="P812" s="4527" t="s">
        <v>82</v>
      </c>
      <c r="Q812" s="4527"/>
      <c r="R812" s="4159"/>
      <c r="S812" s="4159"/>
      <c r="T812" s="4159"/>
      <c r="U812" s="3726" t="s">
        <v>389</v>
      </c>
      <c r="V812" s="3711" t="s">
        <v>384</v>
      </c>
      <c r="W812" s="3711"/>
      <c r="X812" s="3711" t="s">
        <v>5312</v>
      </c>
      <c r="Y812" s="3711"/>
      <c r="Z812" s="4154"/>
      <c r="AA812" s="3680" t="s">
        <v>5313</v>
      </c>
      <c r="AB812" s="4154" t="s">
        <v>500</v>
      </c>
      <c r="AC812" s="4504">
        <v>1.2596</v>
      </c>
      <c r="AD812" s="4154">
        <f t="shared" si="362"/>
        <v>2267.28</v>
      </c>
      <c r="AE812" s="3726"/>
      <c r="AF812" s="3708" t="s">
        <v>2719</v>
      </c>
      <c r="AG812" s="3726" t="s">
        <v>416</v>
      </c>
      <c r="AH812" s="4430"/>
      <c r="AI812" s="4154"/>
      <c r="AJ812" s="4154">
        <f>I812</f>
        <v>1800</v>
      </c>
      <c r="AK812" s="4430"/>
      <c r="AL812" s="3708"/>
      <c r="AM812" s="3708"/>
      <c r="AN812" s="4154"/>
      <c r="AO812" s="4154"/>
      <c r="AP812" s="4154">
        <f t="shared" si="359"/>
        <v>1800</v>
      </c>
      <c r="AQ812" s="1048"/>
      <c r="AR812" s="4413"/>
      <c r="AS812" s="1048">
        <f t="shared" si="366"/>
        <v>1800</v>
      </c>
      <c r="AT812" s="4413"/>
      <c r="AU812" s="1048"/>
      <c r="AV812" s="1048"/>
      <c r="AW812" s="1048"/>
      <c r="AX812" s="1048"/>
      <c r="AY812" s="1048"/>
      <c r="AZ812" s="1048"/>
      <c r="BA812" s="1048"/>
      <c r="BB812" s="1048"/>
      <c r="BC812" s="1048"/>
      <c r="BD812" s="1048"/>
      <c r="BE812" s="1048"/>
      <c r="BF812" s="1048" t="s">
        <v>89</v>
      </c>
      <c r="BG812" s="1048"/>
      <c r="BH812" s="4510">
        <f t="shared" si="348"/>
        <v>300</v>
      </c>
      <c r="BI812" s="4510">
        <f t="shared" si="349"/>
        <v>300</v>
      </c>
      <c r="BJ812" s="4510">
        <f t="shared" si="350"/>
        <v>300</v>
      </c>
      <c r="BK812" s="4510">
        <f t="shared" si="351"/>
        <v>300</v>
      </c>
      <c r="BL812" s="4510">
        <f t="shared" si="352"/>
        <v>300</v>
      </c>
      <c r="BM812" s="4510">
        <f t="shared" si="353"/>
        <v>240</v>
      </c>
      <c r="BN812" s="4510">
        <f t="shared" si="354"/>
        <v>60</v>
      </c>
      <c r="BO812" s="4413"/>
      <c r="BP812" s="4413"/>
      <c r="BQ812" s="4413"/>
      <c r="BR812" s="4413"/>
      <c r="BS812" s="4413"/>
      <c r="BT812" s="4431"/>
      <c r="BU812" s="4432"/>
      <c r="BV812" s="4525">
        <f t="shared" si="355"/>
        <v>1800</v>
      </c>
      <c r="BW812" s="4526">
        <f t="shared" si="361"/>
        <v>0</v>
      </c>
      <c r="BX812" s="4554"/>
      <c r="BY812" s="4554"/>
      <c r="BZ812" s="4554"/>
      <c r="CA812" s="4511"/>
      <c r="CC812" s="4512"/>
      <c r="CD812" s="4511"/>
    </row>
    <row r="813" s="4316" customFormat="1" ht="50" customHeight="1" spans="1:82">
      <c r="A813" s="4500">
        <v>45964</v>
      </c>
      <c r="B813" s="4501" t="s">
        <v>3715</v>
      </c>
      <c r="C813" s="3708" t="s">
        <v>1279</v>
      </c>
      <c r="D813" s="4502">
        <v>4500184256</v>
      </c>
      <c r="E813" s="3708"/>
      <c r="F813" s="4502" t="s">
        <v>5316</v>
      </c>
      <c r="G813" s="3708" t="s">
        <v>2590</v>
      </c>
      <c r="H813" s="3708" t="s">
        <v>2591</v>
      </c>
      <c r="I813" s="4154">
        <v>504</v>
      </c>
      <c r="J813" s="4154">
        <v>0</v>
      </c>
      <c r="K813" s="4154">
        <v>6</v>
      </c>
      <c r="L813" s="4154">
        <f t="shared" si="356"/>
        <v>84</v>
      </c>
      <c r="M813" s="4503">
        <v>46021</v>
      </c>
      <c r="N813" s="4553">
        <v>46017</v>
      </c>
      <c r="O813" s="4117"/>
      <c r="P813" s="4527" t="s">
        <v>82</v>
      </c>
      <c r="Q813" s="4527"/>
      <c r="R813" s="4159"/>
      <c r="S813" s="4159"/>
      <c r="T813" s="4159"/>
      <c r="U813" s="3726" t="s">
        <v>2599</v>
      </c>
      <c r="V813" s="4154" t="s">
        <v>5290</v>
      </c>
      <c r="W813" s="3711"/>
      <c r="X813" s="3711" t="s">
        <v>5317</v>
      </c>
      <c r="Y813" s="3711"/>
      <c r="Z813" s="4154"/>
      <c r="AA813" s="3680" t="s">
        <v>5318</v>
      </c>
      <c r="AB813" s="4154" t="s">
        <v>3720</v>
      </c>
      <c r="AC813" s="4154">
        <v>2.1582</v>
      </c>
      <c r="AD813" s="4154">
        <f t="shared" si="362"/>
        <v>1087.7328</v>
      </c>
      <c r="AE813" s="2970" t="s">
        <v>5238</v>
      </c>
      <c r="AF813" s="3708" t="s">
        <v>3614</v>
      </c>
      <c r="AG813" s="3726" t="s">
        <v>416</v>
      </c>
      <c r="AH813" s="4412"/>
      <c r="AI813" s="4154"/>
      <c r="AJ813" s="4154"/>
      <c r="AK813" s="4412"/>
      <c r="AL813" s="3708"/>
      <c r="AM813" s="3708">
        <f>I813</f>
        <v>504</v>
      </c>
      <c r="AN813" s="4154"/>
      <c r="AO813" s="4154"/>
      <c r="AP813" s="4154">
        <f t="shared" si="359"/>
        <v>504</v>
      </c>
      <c r="AQ813" s="1048"/>
      <c r="AR813" s="1040"/>
      <c r="AS813" s="1048">
        <f t="shared" si="366"/>
        <v>504</v>
      </c>
      <c r="AT813" s="1040"/>
      <c r="AU813" s="1048"/>
      <c r="AV813" s="1048"/>
      <c r="AW813" s="1048">
        <f>I813/6</f>
        <v>84</v>
      </c>
      <c r="AX813" s="1048"/>
      <c r="AY813" s="1048"/>
      <c r="AZ813" s="1048"/>
      <c r="BA813" s="1048"/>
      <c r="BB813" s="1048"/>
      <c r="BC813" s="1048"/>
      <c r="BD813" s="1048"/>
      <c r="BE813" s="1048"/>
      <c r="BF813" s="1048" t="s">
        <v>89</v>
      </c>
      <c r="BG813" s="1048"/>
      <c r="BH813" s="4510">
        <f t="shared" si="348"/>
        <v>84</v>
      </c>
      <c r="BI813" s="4510">
        <f t="shared" si="349"/>
        <v>84</v>
      </c>
      <c r="BJ813" s="4510">
        <f t="shared" si="350"/>
        <v>84</v>
      </c>
      <c r="BK813" s="4510">
        <f t="shared" si="351"/>
        <v>84</v>
      </c>
      <c r="BL813" s="4510">
        <f t="shared" si="352"/>
        <v>84</v>
      </c>
      <c r="BM813" s="4510">
        <f t="shared" si="353"/>
        <v>67.2</v>
      </c>
      <c r="BN813" s="4510">
        <f t="shared" si="354"/>
        <v>16.8</v>
      </c>
      <c r="BO813" s="1040"/>
      <c r="BP813" s="1040"/>
      <c r="BQ813" s="1040"/>
      <c r="BR813" s="1040"/>
      <c r="BS813" s="1040"/>
      <c r="BT813" s="1041"/>
      <c r="BU813" s="4524"/>
      <c r="BV813" s="4525">
        <f t="shared" si="355"/>
        <v>504</v>
      </c>
      <c r="BW813" s="4526">
        <f t="shared" si="361"/>
        <v>0</v>
      </c>
      <c r="BX813" s="4554"/>
      <c r="BY813" s="4554"/>
      <c r="BZ813" s="4554"/>
      <c r="CA813" s="4511"/>
      <c r="CC813" s="4512"/>
      <c r="CD813" s="4511"/>
    </row>
    <row r="814" s="4316" customFormat="1" ht="50" customHeight="1" spans="1:82">
      <c r="A814" s="4500">
        <v>45960</v>
      </c>
      <c r="B814" s="4501" t="s">
        <v>2189</v>
      </c>
      <c r="C814" s="3708" t="s">
        <v>91</v>
      </c>
      <c r="D814" s="4502">
        <v>4500183805</v>
      </c>
      <c r="E814" s="3708" t="s">
        <v>5319</v>
      </c>
      <c r="F814" s="4502" t="s">
        <v>5320</v>
      </c>
      <c r="G814" s="3708" t="s">
        <v>2719</v>
      </c>
      <c r="H814" s="4154" t="s">
        <v>2591</v>
      </c>
      <c r="I814" s="4154">
        <v>1002</v>
      </c>
      <c r="J814" s="4154">
        <v>0</v>
      </c>
      <c r="K814" s="4154">
        <v>6</v>
      </c>
      <c r="L814" s="4154">
        <f t="shared" si="356"/>
        <v>167</v>
      </c>
      <c r="M814" s="4503">
        <v>46022</v>
      </c>
      <c r="N814" s="4553">
        <v>46018</v>
      </c>
      <c r="O814" s="4117"/>
      <c r="P814" s="4527" t="s">
        <v>82</v>
      </c>
      <c r="Q814" s="4527"/>
      <c r="R814" s="4159"/>
      <c r="S814" s="4159"/>
      <c r="T814" s="4159"/>
      <c r="U814" s="3726" t="s">
        <v>110</v>
      </c>
      <c r="V814" s="4154" t="s">
        <v>97</v>
      </c>
      <c r="W814" s="3711"/>
      <c r="X814" s="3711" t="s">
        <v>98</v>
      </c>
      <c r="Y814" s="3711" t="s">
        <v>2261</v>
      </c>
      <c r="Z814" s="4154"/>
      <c r="AA814" s="3680" t="s">
        <v>2188</v>
      </c>
      <c r="AB814" s="4154" t="s">
        <v>653</v>
      </c>
      <c r="AC814" s="4504">
        <v>1.2293</v>
      </c>
      <c r="AD814" s="4154">
        <f t="shared" si="362"/>
        <v>1231.7586</v>
      </c>
      <c r="AE814" s="3726"/>
      <c r="AF814" s="3708" t="s">
        <v>2719</v>
      </c>
      <c r="AG814" s="3726" t="s">
        <v>416</v>
      </c>
      <c r="AH814" s="4412"/>
      <c r="AI814" s="4154"/>
      <c r="AJ814" s="4154">
        <f t="shared" ref="AJ814:AJ819" si="367">I814</f>
        <v>1002</v>
      </c>
      <c r="AK814" s="4412"/>
      <c r="AL814" s="3708"/>
      <c r="AM814" s="3708"/>
      <c r="AN814" s="4154"/>
      <c r="AO814" s="4154"/>
      <c r="AP814" s="4154">
        <f t="shared" si="359"/>
        <v>1002</v>
      </c>
      <c r="AQ814" s="1048"/>
      <c r="AR814" s="1040"/>
      <c r="AS814" s="1048">
        <f t="shared" si="366"/>
        <v>1002</v>
      </c>
      <c r="AT814" s="1040"/>
      <c r="AU814" s="1048"/>
      <c r="AV814" s="1048"/>
      <c r="AW814" s="1048"/>
      <c r="AX814" s="1048"/>
      <c r="AY814" s="1048"/>
      <c r="AZ814" s="1048"/>
      <c r="BA814" s="1048"/>
      <c r="BB814" s="1048"/>
      <c r="BC814" s="1048"/>
      <c r="BD814" s="1048"/>
      <c r="BE814" s="1048"/>
      <c r="BF814" s="1048" t="s">
        <v>89</v>
      </c>
      <c r="BG814" s="1048"/>
      <c r="BH814" s="4510">
        <f t="shared" si="348"/>
        <v>167</v>
      </c>
      <c r="BI814" s="4510">
        <f t="shared" si="349"/>
        <v>167</v>
      </c>
      <c r="BJ814" s="4510">
        <f t="shared" si="350"/>
        <v>167</v>
      </c>
      <c r="BK814" s="4510">
        <f t="shared" si="351"/>
        <v>167</v>
      </c>
      <c r="BL814" s="4510">
        <f t="shared" si="352"/>
        <v>167</v>
      </c>
      <c r="BM814" s="4510">
        <f t="shared" si="353"/>
        <v>133.6</v>
      </c>
      <c r="BN814" s="4510">
        <f t="shared" si="354"/>
        <v>33.4</v>
      </c>
      <c r="BO814" s="1040"/>
      <c r="BP814" s="1040"/>
      <c r="BQ814" s="1040"/>
      <c r="BR814" s="1040"/>
      <c r="BS814" s="1040"/>
      <c r="BT814" s="1041"/>
      <c r="BU814" s="4524"/>
      <c r="BV814" s="4525">
        <f t="shared" si="355"/>
        <v>1002</v>
      </c>
      <c r="BW814" s="4526">
        <f t="shared" si="361"/>
        <v>0</v>
      </c>
      <c r="BX814" s="4554"/>
      <c r="BY814" s="4554"/>
      <c r="BZ814" s="4554"/>
      <c r="CA814" s="4511"/>
      <c r="CC814" s="4512"/>
      <c r="CD814" s="4511"/>
    </row>
    <row r="815" s="4316" customFormat="1" ht="50" customHeight="1" spans="1:82">
      <c r="A815" s="4500">
        <v>45960</v>
      </c>
      <c r="B815" s="4501" t="s">
        <v>90</v>
      </c>
      <c r="C815" s="3708" t="s">
        <v>91</v>
      </c>
      <c r="D815" s="4502">
        <v>4500183808</v>
      </c>
      <c r="E815" s="3708" t="s">
        <v>5321</v>
      </c>
      <c r="F815" s="4502" t="s">
        <v>5322</v>
      </c>
      <c r="G815" s="3708" t="s">
        <v>2719</v>
      </c>
      <c r="H815" s="4154" t="s">
        <v>2591</v>
      </c>
      <c r="I815" s="4154">
        <v>1002</v>
      </c>
      <c r="J815" s="4154">
        <v>0</v>
      </c>
      <c r="K815" s="4154">
        <v>6</v>
      </c>
      <c r="L815" s="4154">
        <f t="shared" si="356"/>
        <v>167</v>
      </c>
      <c r="M815" s="4503">
        <v>46022</v>
      </c>
      <c r="N815" s="4553">
        <v>46018</v>
      </c>
      <c r="O815" s="4117"/>
      <c r="P815" s="4527" t="s">
        <v>82</v>
      </c>
      <c r="Q815" s="4527"/>
      <c r="R815" s="4159"/>
      <c r="S815" s="4159"/>
      <c r="T815" s="4159"/>
      <c r="U815" s="3726" t="s">
        <v>110</v>
      </c>
      <c r="V815" s="4154" t="s">
        <v>97</v>
      </c>
      <c r="W815" s="3711"/>
      <c r="X815" s="3711" t="s">
        <v>98</v>
      </c>
      <c r="Y815" s="3711" t="s">
        <v>2261</v>
      </c>
      <c r="Z815" s="4154"/>
      <c r="AA815" s="3680" t="s">
        <v>2271</v>
      </c>
      <c r="AB815" s="4154" t="s">
        <v>2211</v>
      </c>
      <c r="AC815" s="4504">
        <v>1.2596</v>
      </c>
      <c r="AD815" s="4154">
        <f t="shared" si="362"/>
        <v>1262.1192</v>
      </c>
      <c r="AE815" s="3726"/>
      <c r="AF815" s="3708" t="s">
        <v>2719</v>
      </c>
      <c r="AG815" s="3726" t="s">
        <v>416</v>
      </c>
      <c r="AH815" s="4412"/>
      <c r="AI815" s="4154"/>
      <c r="AJ815" s="4154">
        <f t="shared" si="367"/>
        <v>1002</v>
      </c>
      <c r="AK815" s="4412"/>
      <c r="AL815" s="3708"/>
      <c r="AM815" s="3708"/>
      <c r="AN815" s="4154"/>
      <c r="AO815" s="4154"/>
      <c r="AP815" s="4154">
        <f t="shared" si="359"/>
        <v>1002</v>
      </c>
      <c r="AQ815" s="1048"/>
      <c r="AR815" s="1040"/>
      <c r="AS815" s="1048">
        <f t="shared" si="366"/>
        <v>1002</v>
      </c>
      <c r="AT815" s="1040"/>
      <c r="AU815" s="1048"/>
      <c r="AV815" s="1048"/>
      <c r="AW815" s="1048"/>
      <c r="AX815" s="1048"/>
      <c r="AY815" s="1048"/>
      <c r="AZ815" s="1048"/>
      <c r="BA815" s="1048"/>
      <c r="BB815" s="1048"/>
      <c r="BC815" s="1048"/>
      <c r="BD815" s="1048"/>
      <c r="BE815" s="1048"/>
      <c r="BF815" s="1048" t="s">
        <v>89</v>
      </c>
      <c r="BG815" s="1048"/>
      <c r="BH815" s="4510">
        <f t="shared" si="348"/>
        <v>167</v>
      </c>
      <c r="BI815" s="4510">
        <f t="shared" si="349"/>
        <v>167</v>
      </c>
      <c r="BJ815" s="4510">
        <f t="shared" si="350"/>
        <v>167</v>
      </c>
      <c r="BK815" s="4510">
        <f t="shared" si="351"/>
        <v>167</v>
      </c>
      <c r="BL815" s="4510">
        <f t="shared" si="352"/>
        <v>167</v>
      </c>
      <c r="BM815" s="4510">
        <f t="shared" si="353"/>
        <v>133.6</v>
      </c>
      <c r="BN815" s="4510">
        <f t="shared" si="354"/>
        <v>33.4</v>
      </c>
      <c r="BO815" s="1040"/>
      <c r="BP815" s="1040"/>
      <c r="BQ815" s="1040"/>
      <c r="BR815" s="1040"/>
      <c r="BS815" s="1040"/>
      <c r="BT815" s="1041"/>
      <c r="BU815" s="4524"/>
      <c r="BV815" s="4525">
        <f t="shared" si="355"/>
        <v>1002</v>
      </c>
      <c r="BW815" s="4526">
        <f t="shared" si="361"/>
        <v>0</v>
      </c>
      <c r="BX815" s="4554"/>
      <c r="BY815" s="4554"/>
      <c r="BZ815" s="4554"/>
      <c r="CA815" s="4511"/>
      <c r="CC815" s="4512"/>
      <c r="CD815" s="4511"/>
    </row>
    <row r="816" s="4316" customFormat="1" ht="50" customHeight="1" spans="1:82">
      <c r="A816" s="4500">
        <v>45960</v>
      </c>
      <c r="B816" s="4501" t="s">
        <v>90</v>
      </c>
      <c r="C816" s="3708" t="s">
        <v>91</v>
      </c>
      <c r="D816" s="4502">
        <v>4500183810</v>
      </c>
      <c r="E816" s="3708" t="s">
        <v>5323</v>
      </c>
      <c r="F816" s="4502" t="s">
        <v>5324</v>
      </c>
      <c r="G816" s="3708" t="s">
        <v>2719</v>
      </c>
      <c r="H816" s="4154" t="s">
        <v>2591</v>
      </c>
      <c r="I816" s="4154">
        <v>1800</v>
      </c>
      <c r="J816" s="4154">
        <v>0</v>
      </c>
      <c r="K816" s="4154">
        <v>6</v>
      </c>
      <c r="L816" s="4154">
        <f t="shared" si="356"/>
        <v>300</v>
      </c>
      <c r="M816" s="4503">
        <v>46022</v>
      </c>
      <c r="N816" s="4553">
        <v>46018</v>
      </c>
      <c r="O816" s="4117"/>
      <c r="P816" s="4527" t="s">
        <v>82</v>
      </c>
      <c r="Q816" s="4527"/>
      <c r="R816" s="4159"/>
      <c r="S816" s="4159"/>
      <c r="T816" s="4159"/>
      <c r="U816" s="3726" t="s">
        <v>110</v>
      </c>
      <c r="V816" s="4154" t="s">
        <v>97</v>
      </c>
      <c r="W816" s="3711"/>
      <c r="X816" s="3711" t="s">
        <v>98</v>
      </c>
      <c r="Y816" s="3711" t="s">
        <v>2261</v>
      </c>
      <c r="Z816" s="4154"/>
      <c r="AA816" s="3680" t="s">
        <v>2274</v>
      </c>
      <c r="AB816" s="4154" t="s">
        <v>2211</v>
      </c>
      <c r="AC816" s="4504">
        <v>1.2293</v>
      </c>
      <c r="AD816" s="4154">
        <f t="shared" si="362"/>
        <v>2212.74</v>
      </c>
      <c r="AE816" s="3726"/>
      <c r="AF816" s="3708" t="s">
        <v>2719</v>
      </c>
      <c r="AG816" s="3726" t="s">
        <v>416</v>
      </c>
      <c r="AH816" s="4412"/>
      <c r="AI816" s="4154"/>
      <c r="AJ816" s="4154">
        <f t="shared" si="367"/>
        <v>1800</v>
      </c>
      <c r="AK816" s="4412"/>
      <c r="AL816" s="3708"/>
      <c r="AM816" s="3708"/>
      <c r="AN816" s="4154"/>
      <c r="AO816" s="4154"/>
      <c r="AP816" s="4154">
        <f t="shared" si="359"/>
        <v>1800</v>
      </c>
      <c r="AQ816" s="1048"/>
      <c r="AR816" s="1040"/>
      <c r="AS816" s="1048">
        <f t="shared" si="366"/>
        <v>1800</v>
      </c>
      <c r="AT816" s="1040"/>
      <c r="AU816" s="1048"/>
      <c r="AV816" s="1048"/>
      <c r="AW816" s="1048"/>
      <c r="AX816" s="1048"/>
      <c r="AY816" s="1048"/>
      <c r="AZ816" s="1048"/>
      <c r="BA816" s="1048"/>
      <c r="BB816" s="1048"/>
      <c r="BC816" s="1048"/>
      <c r="BD816" s="1048"/>
      <c r="BE816" s="1048"/>
      <c r="BF816" s="1048" t="s">
        <v>89</v>
      </c>
      <c r="BG816" s="1048"/>
      <c r="BH816" s="4510">
        <f t="shared" si="348"/>
        <v>300</v>
      </c>
      <c r="BI816" s="4510">
        <f t="shared" si="349"/>
        <v>300</v>
      </c>
      <c r="BJ816" s="4510">
        <f t="shared" si="350"/>
        <v>300</v>
      </c>
      <c r="BK816" s="4510">
        <f t="shared" si="351"/>
        <v>300</v>
      </c>
      <c r="BL816" s="4510">
        <f t="shared" si="352"/>
        <v>300</v>
      </c>
      <c r="BM816" s="4510">
        <f t="shared" si="353"/>
        <v>240</v>
      </c>
      <c r="BN816" s="4510">
        <f t="shared" si="354"/>
        <v>60</v>
      </c>
      <c r="BO816" s="1040"/>
      <c r="BP816" s="1040"/>
      <c r="BQ816" s="1040"/>
      <c r="BR816" s="1040"/>
      <c r="BS816" s="1040"/>
      <c r="BT816" s="1041"/>
      <c r="BU816" s="4524"/>
      <c r="BV816" s="4525">
        <f t="shared" si="355"/>
        <v>1800</v>
      </c>
      <c r="BW816" s="4526">
        <f t="shared" si="361"/>
        <v>0</v>
      </c>
      <c r="BX816" s="4554"/>
      <c r="BY816" s="4554"/>
      <c r="BZ816" s="4554"/>
      <c r="CA816" s="4511"/>
      <c r="CC816" s="4512"/>
      <c r="CD816" s="4511"/>
    </row>
    <row r="817" s="4316" customFormat="1" ht="50" customHeight="1" spans="1:85">
      <c r="A817" s="4500">
        <v>45960</v>
      </c>
      <c r="B817" s="4501" t="s">
        <v>90</v>
      </c>
      <c r="C817" s="3708" t="s">
        <v>91</v>
      </c>
      <c r="D817" s="4502">
        <v>4500183812</v>
      </c>
      <c r="E817" s="3708" t="s">
        <v>5325</v>
      </c>
      <c r="F817" s="4502" t="s">
        <v>5326</v>
      </c>
      <c r="G817" s="3708" t="s">
        <v>2719</v>
      </c>
      <c r="H817" s="4154" t="s">
        <v>2591</v>
      </c>
      <c r="I817" s="4154">
        <v>1200</v>
      </c>
      <c r="J817" s="4154">
        <v>0</v>
      </c>
      <c r="K817" s="4154">
        <v>6</v>
      </c>
      <c r="L817" s="4154">
        <f t="shared" si="356"/>
        <v>200</v>
      </c>
      <c r="M817" s="4503">
        <v>46022</v>
      </c>
      <c r="N817" s="4553">
        <v>46018</v>
      </c>
      <c r="O817" s="4117"/>
      <c r="P817" s="4527" t="s">
        <v>82</v>
      </c>
      <c r="Q817" s="4527"/>
      <c r="R817" s="4159"/>
      <c r="S817" s="4159"/>
      <c r="T817" s="4159"/>
      <c r="U817" s="3726" t="s">
        <v>110</v>
      </c>
      <c r="V817" s="4154" t="s">
        <v>97</v>
      </c>
      <c r="W817" s="3711"/>
      <c r="X817" s="3711" t="s">
        <v>98</v>
      </c>
      <c r="Y817" s="3711" t="s">
        <v>2261</v>
      </c>
      <c r="Z817" s="4154"/>
      <c r="AA817" s="3680" t="s">
        <v>2279</v>
      </c>
      <c r="AB817" s="4154" t="s">
        <v>2211</v>
      </c>
      <c r="AC817" s="4504">
        <v>1.2596</v>
      </c>
      <c r="AD817" s="4154">
        <f t="shared" si="362"/>
        <v>1511.52</v>
      </c>
      <c r="AE817" s="3726"/>
      <c r="AF817" s="3708" t="s">
        <v>2719</v>
      </c>
      <c r="AG817" s="3726" t="s">
        <v>416</v>
      </c>
      <c r="AH817" s="4412"/>
      <c r="AI817" s="4154"/>
      <c r="AJ817" s="4154">
        <f t="shared" si="367"/>
        <v>1200</v>
      </c>
      <c r="AK817" s="4412"/>
      <c r="AL817" s="3708"/>
      <c r="AM817" s="3708"/>
      <c r="AN817" s="4154"/>
      <c r="AO817" s="4154"/>
      <c r="AP817" s="4154">
        <f t="shared" si="359"/>
        <v>1200</v>
      </c>
      <c r="AQ817" s="1048"/>
      <c r="AR817" s="1040"/>
      <c r="AS817" s="1048">
        <f t="shared" si="366"/>
        <v>1200</v>
      </c>
      <c r="AT817" s="1040"/>
      <c r="AU817" s="1048"/>
      <c r="AV817" s="1048"/>
      <c r="AW817" s="1048"/>
      <c r="AX817" s="1048"/>
      <c r="AY817" s="1048"/>
      <c r="AZ817" s="1048"/>
      <c r="BA817" s="1048"/>
      <c r="BB817" s="1048"/>
      <c r="BC817" s="1048"/>
      <c r="BD817" s="1048"/>
      <c r="BE817" s="1048"/>
      <c r="BF817" s="1048" t="s">
        <v>89</v>
      </c>
      <c r="BG817" s="1048"/>
      <c r="BH817" s="4510">
        <f t="shared" si="348"/>
        <v>200</v>
      </c>
      <c r="BI817" s="4510">
        <f t="shared" si="349"/>
        <v>200</v>
      </c>
      <c r="BJ817" s="4510">
        <f t="shared" si="350"/>
        <v>200</v>
      </c>
      <c r="BK817" s="4510">
        <f t="shared" si="351"/>
        <v>200</v>
      </c>
      <c r="BL817" s="4510">
        <f t="shared" si="352"/>
        <v>200</v>
      </c>
      <c r="BM817" s="4510">
        <f t="shared" si="353"/>
        <v>160</v>
      </c>
      <c r="BN817" s="4510">
        <f t="shared" si="354"/>
        <v>40</v>
      </c>
      <c r="BO817" s="1040"/>
      <c r="BP817" s="1040"/>
      <c r="BQ817" s="1040"/>
      <c r="BR817" s="1040"/>
      <c r="BS817" s="1040"/>
      <c r="BT817" s="1041"/>
      <c r="BU817" s="4524"/>
      <c r="BV817" s="4525">
        <f t="shared" si="355"/>
        <v>1200</v>
      </c>
      <c r="BW817" s="4526">
        <f t="shared" si="361"/>
        <v>0</v>
      </c>
      <c r="BX817" s="4554"/>
      <c r="BY817" s="4554"/>
      <c r="BZ817" s="4554"/>
      <c r="CA817" s="4511"/>
      <c r="CC817" s="4512"/>
      <c r="CD817" s="4511"/>
    </row>
    <row r="818" s="4316" customFormat="1" ht="50" customHeight="1" spans="1:85">
      <c r="A818" s="4500">
        <v>45960</v>
      </c>
      <c r="B818" s="4501" t="s">
        <v>2189</v>
      </c>
      <c r="C818" s="3708" t="s">
        <v>91</v>
      </c>
      <c r="D818" s="4502">
        <v>4500183806</v>
      </c>
      <c r="E818" s="3708" t="s">
        <v>5327</v>
      </c>
      <c r="F818" s="4502" t="s">
        <v>5328</v>
      </c>
      <c r="G818" s="3708" t="s">
        <v>2719</v>
      </c>
      <c r="H818" s="4154" t="s">
        <v>2591</v>
      </c>
      <c r="I818" s="4154">
        <v>1200</v>
      </c>
      <c r="J818" s="4154">
        <v>0</v>
      </c>
      <c r="K818" s="4154">
        <v>6</v>
      </c>
      <c r="L818" s="4154">
        <f t="shared" si="356"/>
        <v>200</v>
      </c>
      <c r="M818" s="4503">
        <v>46022</v>
      </c>
      <c r="N818" s="4553">
        <v>46018</v>
      </c>
      <c r="O818" s="4117"/>
      <c r="P818" s="4527" t="s">
        <v>82</v>
      </c>
      <c r="Q818" s="4527"/>
      <c r="R818" s="4159"/>
      <c r="S818" s="4159"/>
      <c r="T818" s="4159"/>
      <c r="U818" s="3726" t="s">
        <v>110</v>
      </c>
      <c r="V818" s="4154" t="s">
        <v>97</v>
      </c>
      <c r="W818" s="3711"/>
      <c r="X818" s="3711" t="s">
        <v>98</v>
      </c>
      <c r="Y818" s="3711" t="s">
        <v>2261</v>
      </c>
      <c r="Z818" s="4154"/>
      <c r="AA818" s="3680" t="s">
        <v>2282</v>
      </c>
      <c r="AB818" s="4154" t="s">
        <v>2211</v>
      </c>
      <c r="AC818" s="4504">
        <v>1.2293</v>
      </c>
      <c r="AD818" s="4154">
        <f t="shared" si="362"/>
        <v>1475.16</v>
      </c>
      <c r="AE818" s="3726"/>
      <c r="AF818" s="3708" t="s">
        <v>2719</v>
      </c>
      <c r="AG818" s="3726" t="s">
        <v>416</v>
      </c>
      <c r="AH818" s="4412"/>
      <c r="AI818" s="4154"/>
      <c r="AJ818" s="4154">
        <f t="shared" si="367"/>
        <v>1200</v>
      </c>
      <c r="AK818" s="4412"/>
      <c r="AL818" s="3708"/>
      <c r="AM818" s="3708"/>
      <c r="AN818" s="4154"/>
      <c r="AO818" s="4154"/>
      <c r="AP818" s="4154">
        <f t="shared" si="359"/>
        <v>1200</v>
      </c>
      <c r="AQ818" s="1048"/>
      <c r="AR818" s="1040"/>
      <c r="AS818" s="1048">
        <f t="shared" si="366"/>
        <v>1200</v>
      </c>
      <c r="AT818" s="1040"/>
      <c r="AU818" s="1048"/>
      <c r="AV818" s="1048"/>
      <c r="AW818" s="1048"/>
      <c r="AX818" s="1048"/>
      <c r="AY818" s="1048"/>
      <c r="AZ818" s="1048"/>
      <c r="BA818" s="1048"/>
      <c r="BB818" s="1048"/>
      <c r="BC818" s="1048"/>
      <c r="BD818" s="1048"/>
      <c r="BE818" s="1048"/>
      <c r="BF818" s="1048" t="s">
        <v>89</v>
      </c>
      <c r="BG818" s="1048"/>
      <c r="BH818" s="4510">
        <f t="shared" si="348"/>
        <v>200</v>
      </c>
      <c r="BI818" s="4510">
        <f t="shared" si="349"/>
        <v>200</v>
      </c>
      <c r="BJ818" s="4510">
        <f t="shared" si="350"/>
        <v>200</v>
      </c>
      <c r="BK818" s="4510">
        <f t="shared" si="351"/>
        <v>200</v>
      </c>
      <c r="BL818" s="4510">
        <f t="shared" si="352"/>
        <v>200</v>
      </c>
      <c r="BM818" s="4510">
        <f t="shared" si="353"/>
        <v>160</v>
      </c>
      <c r="BN818" s="4510">
        <f t="shared" si="354"/>
        <v>40</v>
      </c>
      <c r="BO818" s="1040"/>
      <c r="BP818" s="1040"/>
      <c r="BQ818" s="1040"/>
      <c r="BR818" s="1040"/>
      <c r="BS818" s="1040"/>
      <c r="BT818" s="1041"/>
      <c r="BU818" s="4524"/>
      <c r="BV818" s="4525">
        <f t="shared" si="355"/>
        <v>1200</v>
      </c>
      <c r="BW818" s="4526">
        <f t="shared" si="361"/>
        <v>0</v>
      </c>
      <c r="BX818" s="4554"/>
      <c r="BY818" s="4554"/>
      <c r="BZ818" s="4554"/>
      <c r="CA818" s="4511"/>
      <c r="CC818" s="4512"/>
      <c r="CD818" s="4511"/>
    </row>
    <row r="819" s="4316" customFormat="1" ht="50" customHeight="1" spans="1:85">
      <c r="A819" s="4500">
        <v>45960</v>
      </c>
      <c r="B819" s="4501" t="s">
        <v>2189</v>
      </c>
      <c r="C819" s="3708" t="s">
        <v>91</v>
      </c>
      <c r="D819" s="4502">
        <v>4500183809</v>
      </c>
      <c r="E819" s="3708" t="s">
        <v>5329</v>
      </c>
      <c r="F819" s="4502" t="s">
        <v>5330</v>
      </c>
      <c r="G819" s="3708" t="s">
        <v>2719</v>
      </c>
      <c r="H819" s="4154" t="s">
        <v>2591</v>
      </c>
      <c r="I819" s="4154">
        <v>1200</v>
      </c>
      <c r="J819" s="4154">
        <v>0</v>
      </c>
      <c r="K819" s="4154">
        <v>6</v>
      </c>
      <c r="L819" s="4154">
        <f t="shared" si="356"/>
        <v>200</v>
      </c>
      <c r="M819" s="4503">
        <v>46022</v>
      </c>
      <c r="N819" s="4553">
        <v>46018</v>
      </c>
      <c r="O819" s="4117"/>
      <c r="P819" s="4527" t="s">
        <v>82</v>
      </c>
      <c r="Q819" s="4527"/>
      <c r="R819" s="4159"/>
      <c r="S819" s="4159"/>
      <c r="T819" s="4159"/>
      <c r="U819" s="3726" t="s">
        <v>110</v>
      </c>
      <c r="V819" s="4154" t="s">
        <v>97</v>
      </c>
      <c r="W819" s="3711"/>
      <c r="X819" s="3711" t="s">
        <v>98</v>
      </c>
      <c r="Y819" s="3711" t="s">
        <v>2261</v>
      </c>
      <c r="Z819" s="4154"/>
      <c r="AA819" s="3680" t="s">
        <v>2188</v>
      </c>
      <c r="AB819" s="4154" t="s">
        <v>653</v>
      </c>
      <c r="AC819" s="4504">
        <v>1.2293</v>
      </c>
      <c r="AD819" s="4154">
        <f t="shared" si="362"/>
        <v>1475.16</v>
      </c>
      <c r="AE819" s="3726"/>
      <c r="AF819" s="3708" t="s">
        <v>2719</v>
      </c>
      <c r="AG819" s="3726" t="s">
        <v>416</v>
      </c>
      <c r="AH819" s="4412"/>
      <c r="AI819" s="4154"/>
      <c r="AJ819" s="4154">
        <f t="shared" si="367"/>
        <v>1200</v>
      </c>
      <c r="AK819" s="4412"/>
      <c r="AL819" s="3708"/>
      <c r="AM819" s="3708"/>
      <c r="AN819" s="4154"/>
      <c r="AO819" s="4154"/>
      <c r="AP819" s="4154">
        <f t="shared" si="359"/>
        <v>1200</v>
      </c>
      <c r="AQ819" s="1048"/>
      <c r="AR819" s="1040"/>
      <c r="AS819" s="1048">
        <f t="shared" si="366"/>
        <v>1200</v>
      </c>
      <c r="AT819" s="1040"/>
      <c r="AU819" s="1048"/>
      <c r="AV819" s="1048"/>
      <c r="AW819" s="1048"/>
      <c r="AX819" s="1048"/>
      <c r="AY819" s="1048"/>
      <c r="AZ819" s="1048"/>
      <c r="BA819" s="1048"/>
      <c r="BB819" s="1048"/>
      <c r="BC819" s="1048"/>
      <c r="BD819" s="1048"/>
      <c r="BE819" s="1048"/>
      <c r="BF819" s="1048" t="s">
        <v>89</v>
      </c>
      <c r="BG819" s="1048"/>
      <c r="BH819" s="4510">
        <f t="shared" si="348"/>
        <v>200</v>
      </c>
      <c r="BI819" s="4510">
        <f t="shared" si="349"/>
        <v>200</v>
      </c>
      <c r="BJ819" s="4510">
        <f t="shared" si="350"/>
        <v>200</v>
      </c>
      <c r="BK819" s="4510">
        <f t="shared" si="351"/>
        <v>200</v>
      </c>
      <c r="BL819" s="4510">
        <f t="shared" si="352"/>
        <v>200</v>
      </c>
      <c r="BM819" s="4510">
        <f t="shared" si="353"/>
        <v>160</v>
      </c>
      <c r="BN819" s="4510">
        <f t="shared" si="354"/>
        <v>40</v>
      </c>
      <c r="BO819" s="1040"/>
      <c r="BP819" s="1040"/>
      <c r="BQ819" s="1040"/>
      <c r="BR819" s="1040"/>
      <c r="BS819" s="1040"/>
      <c r="BT819" s="1041"/>
      <c r="BU819" s="4524"/>
      <c r="BV819" s="4525">
        <f t="shared" si="355"/>
        <v>1200</v>
      </c>
      <c r="BW819" s="4526">
        <f t="shared" si="361"/>
        <v>0</v>
      </c>
      <c r="BX819" s="4554"/>
      <c r="BY819" s="4554"/>
      <c r="BZ819" s="4554"/>
      <c r="CA819" s="4511"/>
      <c r="CC819" s="4512"/>
      <c r="CD819" s="4511"/>
    </row>
    <row r="820" s="4316" customFormat="1" ht="50" customHeight="1" spans="1:85">
      <c r="A820" s="4500">
        <v>45995</v>
      </c>
      <c r="B820" s="4501" t="s">
        <v>3495</v>
      </c>
      <c r="C820" s="3708" t="s">
        <v>91</v>
      </c>
      <c r="D820" s="4502">
        <v>4500188064</v>
      </c>
      <c r="E820" s="3708">
        <v>963642018</v>
      </c>
      <c r="F820" s="4502" t="s">
        <v>5331</v>
      </c>
      <c r="G820" s="3708" t="s">
        <v>3068</v>
      </c>
      <c r="H820" s="3708" t="s">
        <v>3069</v>
      </c>
      <c r="I820" s="4154">
        <v>1152</v>
      </c>
      <c r="J820" s="4154">
        <v>0</v>
      </c>
      <c r="K820" s="4154">
        <v>384</v>
      </c>
      <c r="L820" s="4154">
        <f t="shared" si="356"/>
        <v>3</v>
      </c>
      <c r="M820" s="4503">
        <v>46022</v>
      </c>
      <c r="N820" s="4553">
        <v>46018</v>
      </c>
      <c r="O820" s="3708" t="s">
        <v>5332</v>
      </c>
      <c r="P820" s="4527" t="s">
        <v>82</v>
      </c>
      <c r="Q820" s="4527"/>
      <c r="R820" s="4159"/>
      <c r="S820" s="4159"/>
      <c r="T820" s="4159" t="s">
        <v>321</v>
      </c>
      <c r="U820" s="3726" t="s">
        <v>5333</v>
      </c>
      <c r="V820" s="3708" t="s">
        <v>5334</v>
      </c>
      <c r="W820" s="3711"/>
      <c r="X820" s="3711" t="s">
        <v>4710</v>
      </c>
      <c r="Y820" s="3711" t="s">
        <v>4935</v>
      </c>
      <c r="Z820" s="4154"/>
      <c r="AA820" s="3680" t="s">
        <v>5335</v>
      </c>
      <c r="AB820" s="4154" t="s">
        <v>3076</v>
      </c>
      <c r="AC820" s="4504">
        <v>531.79</v>
      </c>
      <c r="AD820" s="4154">
        <f t="shared" ref="AD820:AD826" si="368">AC820*L820</f>
        <v>1595.37</v>
      </c>
      <c r="AE820" s="3726"/>
      <c r="AF820" s="3708" t="s">
        <v>3078</v>
      </c>
      <c r="AG820" s="3726" t="s">
        <v>416</v>
      </c>
      <c r="AH820" s="4430"/>
      <c r="AI820" s="4154"/>
      <c r="AJ820" s="4509">
        <f t="shared" ref="AJ820:AJ831" si="369">I820</f>
        <v>1152</v>
      </c>
      <c r="AK820" s="4430"/>
      <c r="AL820" s="3708"/>
      <c r="AM820" s="3708"/>
      <c r="AN820" s="4154"/>
      <c r="AO820" s="4154"/>
      <c r="AP820" s="4154">
        <f t="shared" ref="AP820:AP840" si="370">I820</f>
        <v>1152</v>
      </c>
      <c r="AQ820" s="1048"/>
      <c r="AR820" s="4413"/>
      <c r="AS820" s="1048">
        <f t="shared" si="366"/>
        <v>1152</v>
      </c>
      <c r="AT820" s="4413"/>
      <c r="AU820" s="1048"/>
      <c r="AV820" s="1048"/>
      <c r="AW820" s="1048"/>
      <c r="AX820" s="1048"/>
      <c r="AY820" s="1048"/>
      <c r="AZ820" s="1048"/>
      <c r="BA820" s="1048"/>
      <c r="BB820" s="1048">
        <f>I820/2</f>
        <v>576</v>
      </c>
      <c r="BC820" s="1048"/>
      <c r="BD820" s="1048"/>
      <c r="BE820" s="1048"/>
      <c r="BF820" s="1048" t="s">
        <v>89</v>
      </c>
      <c r="BG820" s="1048"/>
      <c r="BH820" s="4510">
        <f t="shared" si="348"/>
        <v>192</v>
      </c>
      <c r="BI820" s="4510">
        <f t="shared" si="349"/>
        <v>192</v>
      </c>
      <c r="BJ820" s="4510">
        <f t="shared" si="350"/>
        <v>192</v>
      </c>
      <c r="BK820" s="4510">
        <f t="shared" si="351"/>
        <v>192</v>
      </c>
      <c r="BL820" s="4510">
        <f t="shared" si="352"/>
        <v>192</v>
      </c>
      <c r="BM820" s="4510">
        <f t="shared" si="353"/>
        <v>153.6</v>
      </c>
      <c r="BN820" s="4510">
        <f t="shared" si="354"/>
        <v>38.4</v>
      </c>
      <c r="BO820" s="4413"/>
      <c r="BP820" s="4413"/>
      <c r="BQ820" s="4413"/>
      <c r="BR820" s="4413"/>
      <c r="BS820" s="4413"/>
      <c r="BT820" s="4431"/>
      <c r="BU820" s="4432"/>
      <c r="BV820" s="4525">
        <f t="shared" si="355"/>
        <v>1152</v>
      </c>
      <c r="BW820" s="4526">
        <f t="shared" si="361"/>
        <v>0</v>
      </c>
      <c r="BX820" s="4554"/>
      <c r="BY820" s="4554"/>
      <c r="BZ820" s="4554"/>
      <c r="CA820" s="4511"/>
      <c r="CC820" s="4512"/>
      <c r="CD820" s="4511"/>
    </row>
    <row r="821" s="4316" customFormat="1" ht="50" customHeight="1" spans="1:85">
      <c r="A821" s="4500">
        <v>45995</v>
      </c>
      <c r="B821" s="4501" t="s">
        <v>3495</v>
      </c>
      <c r="C821" s="3708" t="s">
        <v>91</v>
      </c>
      <c r="D821" s="4502">
        <v>4500188064</v>
      </c>
      <c r="E821" s="3708">
        <v>963642019</v>
      </c>
      <c r="F821" s="4502" t="s">
        <v>5336</v>
      </c>
      <c r="G821" s="3708" t="s">
        <v>3068</v>
      </c>
      <c r="H821" s="3708" t="s">
        <v>3069</v>
      </c>
      <c r="I821" s="4154">
        <v>1152</v>
      </c>
      <c r="J821" s="4154">
        <v>0</v>
      </c>
      <c r="K821" s="4154">
        <v>384</v>
      </c>
      <c r="L821" s="4154">
        <f t="shared" si="356"/>
        <v>3</v>
      </c>
      <c r="M821" s="4503">
        <v>46022</v>
      </c>
      <c r="N821" s="4553">
        <v>46018</v>
      </c>
      <c r="O821" s="3708" t="s">
        <v>5332</v>
      </c>
      <c r="P821" s="4527" t="s">
        <v>82</v>
      </c>
      <c r="Q821" s="4527"/>
      <c r="R821" s="4159"/>
      <c r="S821" s="4159"/>
      <c r="T821" s="4159" t="s">
        <v>321</v>
      </c>
      <c r="U821" s="3726" t="s">
        <v>5337</v>
      </c>
      <c r="V821" s="3708" t="s">
        <v>5334</v>
      </c>
      <c r="W821" s="3711"/>
      <c r="X821" s="3711" t="s">
        <v>4710</v>
      </c>
      <c r="Y821" s="3711" t="s">
        <v>4935</v>
      </c>
      <c r="Z821" s="4154"/>
      <c r="AA821" s="3680" t="s">
        <v>5335</v>
      </c>
      <c r="AB821" s="4154" t="s">
        <v>3076</v>
      </c>
      <c r="AC821" s="4504">
        <v>531.79</v>
      </c>
      <c r="AD821" s="4154">
        <f t="shared" si="368"/>
        <v>1595.37</v>
      </c>
      <c r="AE821" s="3726"/>
      <c r="AF821" s="3708" t="s">
        <v>3078</v>
      </c>
      <c r="AG821" s="3726" t="s">
        <v>416</v>
      </c>
      <c r="AH821" s="4430"/>
      <c r="AI821" s="4154"/>
      <c r="AJ821" s="4509">
        <f t="shared" si="369"/>
        <v>1152</v>
      </c>
      <c r="AK821" s="4430"/>
      <c r="AL821" s="3708"/>
      <c r="AM821" s="3708"/>
      <c r="AN821" s="4154"/>
      <c r="AO821" s="4154"/>
      <c r="AP821" s="4154">
        <f t="shared" si="370"/>
        <v>1152</v>
      </c>
      <c r="AQ821" s="1048"/>
      <c r="AR821" s="4413"/>
      <c r="AS821" s="1048">
        <f t="shared" si="366"/>
        <v>1152</v>
      </c>
      <c r="AT821" s="4413"/>
      <c r="AU821" s="1048"/>
      <c r="AV821" s="1048"/>
      <c r="AW821" s="1048"/>
      <c r="AX821" s="1048"/>
      <c r="AY821" s="1048"/>
      <c r="AZ821" s="1048"/>
      <c r="BA821" s="1048"/>
      <c r="BB821" s="1048">
        <f t="shared" ref="BB821:BB826" si="371">I821/2</f>
        <v>576</v>
      </c>
      <c r="BC821" s="1048"/>
      <c r="BD821" s="1048"/>
      <c r="BE821" s="1048"/>
      <c r="BF821" s="1048" t="s">
        <v>89</v>
      </c>
      <c r="BG821" s="1048"/>
      <c r="BH821" s="4510">
        <f t="shared" si="348"/>
        <v>192</v>
      </c>
      <c r="BI821" s="4510">
        <f t="shared" si="349"/>
        <v>192</v>
      </c>
      <c r="BJ821" s="4510">
        <f t="shared" si="350"/>
        <v>192</v>
      </c>
      <c r="BK821" s="4510">
        <f t="shared" si="351"/>
        <v>192</v>
      </c>
      <c r="BL821" s="4510">
        <f t="shared" si="352"/>
        <v>192</v>
      </c>
      <c r="BM821" s="4510">
        <f t="shared" si="353"/>
        <v>153.6</v>
      </c>
      <c r="BN821" s="4510">
        <f t="shared" si="354"/>
        <v>38.4</v>
      </c>
      <c r="BO821" s="4413"/>
      <c r="BP821" s="4413"/>
      <c r="BQ821" s="4413"/>
      <c r="BR821" s="4413"/>
      <c r="BS821" s="4413"/>
      <c r="BT821" s="4431"/>
      <c r="BU821" s="4432"/>
      <c r="BV821" s="4525">
        <f t="shared" si="355"/>
        <v>1152</v>
      </c>
      <c r="BW821" s="4526">
        <f t="shared" si="361"/>
        <v>0</v>
      </c>
      <c r="BX821" s="4554"/>
      <c r="BY821" s="4554"/>
      <c r="BZ821" s="4554"/>
      <c r="CA821" s="4511"/>
      <c r="CC821" s="4512"/>
      <c r="CD821" s="4511"/>
    </row>
    <row r="822" s="4316" customFormat="1" ht="50" customHeight="1" spans="1:85">
      <c r="A822" s="4500">
        <v>45995</v>
      </c>
      <c r="B822" s="4501" t="s">
        <v>3495</v>
      </c>
      <c r="C822" s="3708" t="s">
        <v>91</v>
      </c>
      <c r="D822" s="4502">
        <v>4500188064</v>
      </c>
      <c r="E822" s="3708">
        <v>963642023</v>
      </c>
      <c r="F822" s="4502" t="s">
        <v>5338</v>
      </c>
      <c r="G822" s="3708" t="s">
        <v>3068</v>
      </c>
      <c r="H822" s="3708" t="s">
        <v>3069</v>
      </c>
      <c r="I822" s="4154">
        <v>768</v>
      </c>
      <c r="J822" s="4154">
        <v>0</v>
      </c>
      <c r="K822" s="4154">
        <v>384</v>
      </c>
      <c r="L822" s="4154">
        <f t="shared" si="356"/>
        <v>2</v>
      </c>
      <c r="M822" s="4503">
        <v>46022</v>
      </c>
      <c r="N822" s="4553">
        <v>46018</v>
      </c>
      <c r="O822" s="3708" t="s">
        <v>5332</v>
      </c>
      <c r="P822" s="4527" t="s">
        <v>82</v>
      </c>
      <c r="Q822" s="4527"/>
      <c r="R822" s="4159"/>
      <c r="S822" s="4159"/>
      <c r="T822" s="4159" t="s">
        <v>321</v>
      </c>
      <c r="U822" s="3726" t="s">
        <v>5339</v>
      </c>
      <c r="V822" s="3708" t="s">
        <v>5334</v>
      </c>
      <c r="W822" s="3711"/>
      <c r="X822" s="3711" t="s">
        <v>4710</v>
      </c>
      <c r="Y822" s="3711" t="s">
        <v>4935</v>
      </c>
      <c r="Z822" s="4154"/>
      <c r="AA822" s="3680" t="s">
        <v>5335</v>
      </c>
      <c r="AB822" s="4154" t="s">
        <v>3076</v>
      </c>
      <c r="AC822" s="4504">
        <v>532.85</v>
      </c>
      <c r="AD822" s="4154">
        <f t="shared" si="368"/>
        <v>1065.7</v>
      </c>
      <c r="AE822" s="3726"/>
      <c r="AF822" s="3708" t="s">
        <v>3078</v>
      </c>
      <c r="AG822" s="3726" t="s">
        <v>416</v>
      </c>
      <c r="AH822" s="4430"/>
      <c r="AI822" s="4154"/>
      <c r="AJ822" s="4509">
        <f t="shared" si="369"/>
        <v>768</v>
      </c>
      <c r="AK822" s="4430"/>
      <c r="AL822" s="3708"/>
      <c r="AM822" s="3708"/>
      <c r="AN822" s="4154"/>
      <c r="AO822" s="4154"/>
      <c r="AP822" s="4154">
        <f t="shared" si="370"/>
        <v>768</v>
      </c>
      <c r="AQ822" s="1048"/>
      <c r="AR822" s="4413"/>
      <c r="AS822" s="1048">
        <f t="shared" si="366"/>
        <v>768</v>
      </c>
      <c r="AT822" s="4413"/>
      <c r="AU822" s="1048"/>
      <c r="AV822" s="1048"/>
      <c r="AW822" s="1048"/>
      <c r="AX822" s="1048"/>
      <c r="AY822" s="1048"/>
      <c r="AZ822" s="1048"/>
      <c r="BA822" s="1048"/>
      <c r="BB822" s="1048">
        <f t="shared" si="371"/>
        <v>384</v>
      </c>
      <c r="BC822" s="1048"/>
      <c r="BD822" s="1048"/>
      <c r="BE822" s="1048"/>
      <c r="BF822" s="1048" t="s">
        <v>89</v>
      </c>
      <c r="BG822" s="1048"/>
      <c r="BH822" s="4510">
        <f t="shared" si="348"/>
        <v>128</v>
      </c>
      <c r="BI822" s="4510">
        <f t="shared" si="349"/>
        <v>128</v>
      </c>
      <c r="BJ822" s="4510">
        <f t="shared" si="350"/>
        <v>128</v>
      </c>
      <c r="BK822" s="4510">
        <f t="shared" si="351"/>
        <v>128</v>
      </c>
      <c r="BL822" s="4510">
        <f t="shared" si="352"/>
        <v>128</v>
      </c>
      <c r="BM822" s="4510">
        <f t="shared" si="353"/>
        <v>102.4</v>
      </c>
      <c r="BN822" s="4510">
        <f t="shared" si="354"/>
        <v>25.6</v>
      </c>
      <c r="BO822" s="4413"/>
      <c r="BP822" s="4413"/>
      <c r="BQ822" s="4413"/>
      <c r="BR822" s="4413"/>
      <c r="BS822" s="4413"/>
      <c r="BT822" s="4431"/>
      <c r="BU822" s="4432"/>
      <c r="BV822" s="4525">
        <f t="shared" si="355"/>
        <v>768</v>
      </c>
      <c r="BW822" s="4526">
        <f t="shared" si="361"/>
        <v>0</v>
      </c>
      <c r="BX822" s="4554"/>
      <c r="BY822" s="4554"/>
      <c r="BZ822" s="4554"/>
      <c r="CA822" s="4511"/>
      <c r="CC822" s="4512"/>
      <c r="CD822" s="4511"/>
    </row>
    <row r="823" s="4316" customFormat="1" ht="50" customHeight="1" spans="1:85">
      <c r="A823" s="4500">
        <v>45995</v>
      </c>
      <c r="B823" s="4501" t="s">
        <v>3495</v>
      </c>
      <c r="C823" s="3708" t="s">
        <v>91</v>
      </c>
      <c r="D823" s="4502">
        <v>4500188064</v>
      </c>
      <c r="E823" s="3708">
        <v>963642026</v>
      </c>
      <c r="F823" s="4502" t="s">
        <v>5340</v>
      </c>
      <c r="G823" s="3708" t="s">
        <v>3068</v>
      </c>
      <c r="H823" s="3708" t="s">
        <v>3069</v>
      </c>
      <c r="I823" s="4154">
        <v>1152</v>
      </c>
      <c r="J823" s="4154">
        <v>0</v>
      </c>
      <c r="K823" s="4154">
        <v>384</v>
      </c>
      <c r="L823" s="4154">
        <f t="shared" si="356"/>
        <v>3</v>
      </c>
      <c r="M823" s="4503">
        <v>46022</v>
      </c>
      <c r="N823" s="4553">
        <v>46018</v>
      </c>
      <c r="O823" s="3708" t="s">
        <v>5332</v>
      </c>
      <c r="P823" s="4527" t="s">
        <v>82</v>
      </c>
      <c r="Q823" s="4527"/>
      <c r="R823" s="4159"/>
      <c r="S823" s="4159"/>
      <c r="T823" s="4159" t="s">
        <v>321</v>
      </c>
      <c r="U823" s="3726" t="s">
        <v>5341</v>
      </c>
      <c r="V823" s="3708" t="s">
        <v>5334</v>
      </c>
      <c r="W823" s="3711"/>
      <c r="X823" s="3711" t="s">
        <v>4710</v>
      </c>
      <c r="Y823" s="3711" t="s">
        <v>4935</v>
      </c>
      <c r="Z823" s="4154"/>
      <c r="AA823" s="3680" t="s">
        <v>5335</v>
      </c>
      <c r="AB823" s="4154" t="s">
        <v>3076</v>
      </c>
      <c r="AC823" s="4504">
        <v>531.79</v>
      </c>
      <c r="AD823" s="4154">
        <f t="shared" si="368"/>
        <v>1595.37</v>
      </c>
      <c r="AE823" s="3726"/>
      <c r="AF823" s="3708" t="s">
        <v>3078</v>
      </c>
      <c r="AG823" s="3726" t="s">
        <v>416</v>
      </c>
      <c r="AH823" s="4430"/>
      <c r="AI823" s="4154"/>
      <c r="AJ823" s="4509">
        <f t="shared" si="369"/>
        <v>1152</v>
      </c>
      <c r="AK823" s="4430"/>
      <c r="AL823" s="3708"/>
      <c r="AM823" s="3708"/>
      <c r="AN823" s="4154"/>
      <c r="AO823" s="4154"/>
      <c r="AP823" s="4154">
        <f t="shared" si="370"/>
        <v>1152</v>
      </c>
      <c r="AQ823" s="1048"/>
      <c r="AR823" s="4413"/>
      <c r="AS823" s="1048">
        <f t="shared" si="366"/>
        <v>1152</v>
      </c>
      <c r="AT823" s="4413"/>
      <c r="AU823" s="1048"/>
      <c r="AV823" s="1048"/>
      <c r="AW823" s="1048"/>
      <c r="AX823" s="1048"/>
      <c r="AY823" s="1048"/>
      <c r="AZ823" s="1048"/>
      <c r="BA823" s="1048"/>
      <c r="BB823" s="1048">
        <f t="shared" si="371"/>
        <v>576</v>
      </c>
      <c r="BC823" s="1048"/>
      <c r="BD823" s="1048"/>
      <c r="BE823" s="1048"/>
      <c r="BF823" s="1048" t="s">
        <v>89</v>
      </c>
      <c r="BG823" s="1048"/>
      <c r="BH823" s="4510">
        <f t="shared" si="348"/>
        <v>192</v>
      </c>
      <c r="BI823" s="4510">
        <f t="shared" si="349"/>
        <v>192</v>
      </c>
      <c r="BJ823" s="4510">
        <f t="shared" si="350"/>
        <v>192</v>
      </c>
      <c r="BK823" s="4510">
        <f t="shared" si="351"/>
        <v>192</v>
      </c>
      <c r="BL823" s="4510">
        <f t="shared" si="352"/>
        <v>192</v>
      </c>
      <c r="BM823" s="4510">
        <f t="shared" si="353"/>
        <v>153.6</v>
      </c>
      <c r="BN823" s="4510">
        <f t="shared" si="354"/>
        <v>38.4</v>
      </c>
      <c r="BO823" s="4413"/>
      <c r="BP823" s="4413"/>
      <c r="BQ823" s="4413"/>
      <c r="BR823" s="4413"/>
      <c r="BS823" s="4413"/>
      <c r="BT823" s="4431"/>
      <c r="BU823" s="4432"/>
      <c r="BV823" s="4525">
        <f t="shared" si="355"/>
        <v>1152</v>
      </c>
      <c r="BW823" s="4526">
        <f t="shared" si="361"/>
        <v>0</v>
      </c>
      <c r="BX823" s="4554"/>
      <c r="BY823" s="4554"/>
      <c r="BZ823" s="4554"/>
      <c r="CA823" s="4511"/>
      <c r="CC823" s="4512"/>
      <c r="CD823" s="4511"/>
    </row>
    <row r="824" s="4316" customFormat="1" ht="50" customHeight="1" spans="1:85">
      <c r="A824" s="4500">
        <v>45995</v>
      </c>
      <c r="B824" s="4501" t="s">
        <v>3495</v>
      </c>
      <c r="C824" s="3708" t="s">
        <v>91</v>
      </c>
      <c r="D824" s="4502">
        <v>4500188064</v>
      </c>
      <c r="E824" s="3708">
        <v>963642036</v>
      </c>
      <c r="F824" s="4502" t="s">
        <v>5342</v>
      </c>
      <c r="G824" s="3708" t="s">
        <v>3068</v>
      </c>
      <c r="H824" s="3708" t="s">
        <v>3069</v>
      </c>
      <c r="I824" s="4154">
        <v>1536</v>
      </c>
      <c r="J824" s="4154">
        <v>0</v>
      </c>
      <c r="K824" s="4154">
        <v>384</v>
      </c>
      <c r="L824" s="4154">
        <f t="shared" si="356"/>
        <v>4</v>
      </c>
      <c r="M824" s="4503">
        <v>46022</v>
      </c>
      <c r="N824" s="4553">
        <v>46018</v>
      </c>
      <c r="O824" s="3708" t="s">
        <v>5332</v>
      </c>
      <c r="P824" s="4527" t="s">
        <v>82</v>
      </c>
      <c r="Q824" s="4527"/>
      <c r="R824" s="4159"/>
      <c r="S824" s="4159"/>
      <c r="T824" s="4159" t="s">
        <v>321</v>
      </c>
      <c r="U824" s="3726" t="s">
        <v>5343</v>
      </c>
      <c r="V824" s="3708" t="s">
        <v>5334</v>
      </c>
      <c r="W824" s="3711"/>
      <c r="X824" s="3711" t="s">
        <v>4710</v>
      </c>
      <c r="Y824" s="3711" t="s">
        <v>4935</v>
      </c>
      <c r="Z824" s="4154"/>
      <c r="AA824" s="3680" t="s">
        <v>5335</v>
      </c>
      <c r="AB824" s="4154" t="s">
        <v>3076</v>
      </c>
      <c r="AC824" s="4504">
        <v>531.79</v>
      </c>
      <c r="AD824" s="4154">
        <f t="shared" si="368"/>
        <v>2127.16</v>
      </c>
      <c r="AE824" s="3726"/>
      <c r="AF824" s="3708" t="s">
        <v>3078</v>
      </c>
      <c r="AG824" s="3726" t="s">
        <v>416</v>
      </c>
      <c r="AH824" s="4430"/>
      <c r="AI824" s="4154"/>
      <c r="AJ824" s="4509">
        <f t="shared" si="369"/>
        <v>1536</v>
      </c>
      <c r="AK824" s="4430"/>
      <c r="AL824" s="3708"/>
      <c r="AM824" s="3708"/>
      <c r="AN824" s="4154"/>
      <c r="AO824" s="4154"/>
      <c r="AP824" s="4154">
        <f t="shared" si="370"/>
        <v>1536</v>
      </c>
      <c r="AQ824" s="1048"/>
      <c r="AR824" s="4413"/>
      <c r="AS824" s="1048">
        <f t="shared" si="366"/>
        <v>1536</v>
      </c>
      <c r="AT824" s="4413"/>
      <c r="AU824" s="1048"/>
      <c r="AV824" s="1048"/>
      <c r="AW824" s="1048"/>
      <c r="AX824" s="1048"/>
      <c r="AY824" s="1048"/>
      <c r="AZ824" s="1048"/>
      <c r="BA824" s="1048"/>
      <c r="BB824" s="1048">
        <f t="shared" si="371"/>
        <v>768</v>
      </c>
      <c r="BC824" s="1048"/>
      <c r="BD824" s="1048"/>
      <c r="BE824" s="1048"/>
      <c r="BF824" s="1048" t="s">
        <v>89</v>
      </c>
      <c r="BG824" s="1048"/>
      <c r="BH824" s="4510">
        <f t="shared" si="348"/>
        <v>256</v>
      </c>
      <c r="BI824" s="4510">
        <f t="shared" si="349"/>
        <v>256</v>
      </c>
      <c r="BJ824" s="4510">
        <f t="shared" si="350"/>
        <v>256</v>
      </c>
      <c r="BK824" s="4510">
        <f t="shared" si="351"/>
        <v>256</v>
      </c>
      <c r="BL824" s="4510">
        <f t="shared" si="352"/>
        <v>256</v>
      </c>
      <c r="BM824" s="4510">
        <f t="shared" si="353"/>
        <v>204.8</v>
      </c>
      <c r="BN824" s="4510">
        <f t="shared" si="354"/>
        <v>51.2</v>
      </c>
      <c r="BO824" s="4413"/>
      <c r="BP824" s="4413"/>
      <c r="BQ824" s="4413"/>
      <c r="BR824" s="4413"/>
      <c r="BS824" s="4413"/>
      <c r="BT824" s="4431"/>
      <c r="BU824" s="4432"/>
      <c r="BV824" s="4525">
        <f t="shared" si="355"/>
        <v>1536</v>
      </c>
      <c r="BW824" s="4526">
        <f t="shared" si="361"/>
        <v>0</v>
      </c>
      <c r="BX824" s="4554"/>
      <c r="BY824" s="4554"/>
      <c r="BZ824" s="4554"/>
      <c r="CA824" s="4511"/>
      <c r="CC824" s="4512"/>
      <c r="CD824" s="4511"/>
    </row>
    <row r="825" s="4316" customFormat="1" ht="50" customHeight="1" spans="1:85">
      <c r="A825" s="4500">
        <v>45995</v>
      </c>
      <c r="B825" s="4501" t="s">
        <v>3495</v>
      </c>
      <c r="C825" s="3708" t="s">
        <v>91</v>
      </c>
      <c r="D825" s="4502">
        <v>4500188064</v>
      </c>
      <c r="E825" s="3708">
        <v>963642058</v>
      </c>
      <c r="F825" s="4502" t="s">
        <v>5344</v>
      </c>
      <c r="G825" s="3708" t="s">
        <v>3068</v>
      </c>
      <c r="H825" s="3708" t="s">
        <v>3069</v>
      </c>
      <c r="I825" s="4154">
        <v>768</v>
      </c>
      <c r="J825" s="4154">
        <v>0</v>
      </c>
      <c r="K825" s="4154">
        <v>384</v>
      </c>
      <c r="L825" s="4154">
        <f t="shared" si="356"/>
        <v>2</v>
      </c>
      <c r="M825" s="4503">
        <v>46022</v>
      </c>
      <c r="N825" s="4553">
        <v>46018</v>
      </c>
      <c r="O825" s="3708" t="s">
        <v>5332</v>
      </c>
      <c r="P825" s="4527" t="s">
        <v>82</v>
      </c>
      <c r="Q825" s="4527"/>
      <c r="R825" s="4159"/>
      <c r="S825" s="4159"/>
      <c r="T825" s="4159" t="s">
        <v>321</v>
      </c>
      <c r="U825" s="3726" t="s">
        <v>2345</v>
      </c>
      <c r="V825" s="3708" t="s">
        <v>5334</v>
      </c>
      <c r="W825" s="3711"/>
      <c r="X825" s="3711" t="s">
        <v>4710</v>
      </c>
      <c r="Y825" s="3711" t="s">
        <v>4935</v>
      </c>
      <c r="Z825" s="4154"/>
      <c r="AA825" s="3680" t="s">
        <v>5335</v>
      </c>
      <c r="AB825" s="4154" t="s">
        <v>3076</v>
      </c>
      <c r="AC825" s="4504">
        <v>532.85</v>
      </c>
      <c r="AD825" s="4154">
        <f t="shared" si="368"/>
        <v>1065.7</v>
      </c>
      <c r="AE825" s="3726"/>
      <c r="AF825" s="3708" t="s">
        <v>3078</v>
      </c>
      <c r="AG825" s="3726" t="s">
        <v>416</v>
      </c>
      <c r="AH825" s="4430"/>
      <c r="AI825" s="4154"/>
      <c r="AJ825" s="4509">
        <f t="shared" si="369"/>
        <v>768</v>
      </c>
      <c r="AK825" s="4430"/>
      <c r="AL825" s="3708"/>
      <c r="AM825" s="3708"/>
      <c r="AN825" s="4154"/>
      <c r="AO825" s="4154"/>
      <c r="AP825" s="4154">
        <f t="shared" si="370"/>
        <v>768</v>
      </c>
      <c r="AQ825" s="1048"/>
      <c r="AR825" s="4413"/>
      <c r="AS825" s="1048">
        <f t="shared" si="366"/>
        <v>768</v>
      </c>
      <c r="AT825" s="4413"/>
      <c r="AU825" s="1048"/>
      <c r="AV825" s="1048"/>
      <c r="AW825" s="1048"/>
      <c r="AX825" s="1048"/>
      <c r="AY825" s="1048"/>
      <c r="AZ825" s="1048"/>
      <c r="BA825" s="1048"/>
      <c r="BB825" s="1048">
        <f t="shared" si="371"/>
        <v>384</v>
      </c>
      <c r="BC825" s="1048"/>
      <c r="BD825" s="1048"/>
      <c r="BE825" s="1048"/>
      <c r="BF825" s="1048" t="s">
        <v>89</v>
      </c>
      <c r="BG825" s="1048"/>
      <c r="BH825" s="4510">
        <f t="shared" ref="BH825:BH851" si="372">I825/60*10</f>
        <v>128</v>
      </c>
      <c r="BI825" s="4510">
        <f t="shared" ref="BI825:BI851" si="373">I825/60*10</f>
        <v>128</v>
      </c>
      <c r="BJ825" s="4510">
        <f t="shared" ref="BJ825:BJ851" si="374">I825/60*10</f>
        <v>128</v>
      </c>
      <c r="BK825" s="4510">
        <f t="shared" ref="BK825:BK851" si="375">I825/60*10</f>
        <v>128</v>
      </c>
      <c r="BL825" s="4510">
        <f t="shared" ref="BL825:BL851" si="376">I825/60*10</f>
        <v>128</v>
      </c>
      <c r="BM825" s="4510">
        <f t="shared" ref="BM825:BM851" si="377">I825/60*8</f>
        <v>102.4</v>
      </c>
      <c r="BN825" s="4510">
        <f t="shared" ref="BN825:BN851" si="378">I825/60*2</f>
        <v>25.6</v>
      </c>
      <c r="BO825" s="4413"/>
      <c r="BP825" s="4413"/>
      <c r="BQ825" s="4413"/>
      <c r="BR825" s="4413"/>
      <c r="BS825" s="4413"/>
      <c r="BT825" s="4431"/>
      <c r="BU825" s="4432"/>
      <c r="BV825" s="4525">
        <f t="shared" ref="BV825:BV851" si="379">SUM(BH825:BU825)</f>
        <v>768</v>
      </c>
      <c r="BW825" s="4526">
        <f t="shared" si="361"/>
        <v>0</v>
      </c>
      <c r="BX825" s="4554"/>
      <c r="BY825" s="4554"/>
      <c r="BZ825" s="4554"/>
      <c r="CA825" s="4511"/>
      <c r="CC825" s="4512"/>
      <c r="CD825" s="4511"/>
    </row>
    <row r="826" s="4316" customFormat="1" ht="50" customHeight="1" spans="1:85">
      <c r="A826" s="4500">
        <v>45995</v>
      </c>
      <c r="B826" s="4501" t="s">
        <v>3495</v>
      </c>
      <c r="C826" s="3708" t="s">
        <v>91</v>
      </c>
      <c r="D826" s="4502">
        <v>4500188064</v>
      </c>
      <c r="E826" s="3708">
        <v>963642070</v>
      </c>
      <c r="F826" s="4502" t="s">
        <v>5345</v>
      </c>
      <c r="G826" s="3708" t="s">
        <v>3068</v>
      </c>
      <c r="H826" s="3708" t="s">
        <v>3069</v>
      </c>
      <c r="I826" s="4154">
        <v>1536</v>
      </c>
      <c r="J826" s="4154">
        <v>0</v>
      </c>
      <c r="K826" s="4154">
        <v>384</v>
      </c>
      <c r="L826" s="4154">
        <f t="shared" ref="L826:L851" si="380">I826/K826</f>
        <v>4</v>
      </c>
      <c r="M826" s="4503">
        <v>46022</v>
      </c>
      <c r="N826" s="4553">
        <v>46018</v>
      </c>
      <c r="O826" s="3708" t="s">
        <v>5332</v>
      </c>
      <c r="P826" s="4527" t="s">
        <v>82</v>
      </c>
      <c r="Q826" s="4527"/>
      <c r="R826" s="4159"/>
      <c r="S826" s="4159"/>
      <c r="T826" s="4159" t="s">
        <v>321</v>
      </c>
      <c r="U826" s="3726" t="s">
        <v>5346</v>
      </c>
      <c r="V826" s="3708" t="s">
        <v>5334</v>
      </c>
      <c r="W826" s="3711"/>
      <c r="X826" s="3711" t="s">
        <v>4710</v>
      </c>
      <c r="Y826" s="3711" t="s">
        <v>4935</v>
      </c>
      <c r="Z826" s="4154"/>
      <c r="AA826" s="3680" t="s">
        <v>5335</v>
      </c>
      <c r="AB826" s="4154" t="s">
        <v>3076</v>
      </c>
      <c r="AC826" s="4504">
        <v>531.79</v>
      </c>
      <c r="AD826" s="4154">
        <f t="shared" si="368"/>
        <v>2127.16</v>
      </c>
      <c r="AE826" s="3726"/>
      <c r="AF826" s="3708" t="s">
        <v>3078</v>
      </c>
      <c r="AG826" s="3726" t="s">
        <v>416</v>
      </c>
      <c r="AH826" s="4430"/>
      <c r="AI826" s="4154"/>
      <c r="AJ826" s="4509">
        <f t="shared" si="369"/>
        <v>1536</v>
      </c>
      <c r="AK826" s="4430"/>
      <c r="AL826" s="3708"/>
      <c r="AM826" s="3708"/>
      <c r="AN826" s="4154"/>
      <c r="AO826" s="4154"/>
      <c r="AP826" s="4154">
        <f t="shared" si="370"/>
        <v>1536</v>
      </c>
      <c r="AQ826" s="1048"/>
      <c r="AR826" s="4413"/>
      <c r="AS826" s="1048">
        <f t="shared" si="366"/>
        <v>1536</v>
      </c>
      <c r="AT826" s="4413"/>
      <c r="AU826" s="1048"/>
      <c r="AV826" s="1048"/>
      <c r="AW826" s="1048"/>
      <c r="AX826" s="1048"/>
      <c r="AY826" s="1048"/>
      <c r="AZ826" s="1048"/>
      <c r="BA826" s="1048"/>
      <c r="BB826" s="1048">
        <f t="shared" si="371"/>
        <v>768</v>
      </c>
      <c r="BC826" s="1048"/>
      <c r="BD826" s="1048"/>
      <c r="BE826" s="1048"/>
      <c r="BF826" s="1048" t="s">
        <v>89</v>
      </c>
      <c r="BG826" s="1048"/>
      <c r="BH826" s="4510">
        <f t="shared" si="372"/>
        <v>256</v>
      </c>
      <c r="BI826" s="4510">
        <f t="shared" si="373"/>
        <v>256</v>
      </c>
      <c r="BJ826" s="4510">
        <f t="shared" si="374"/>
        <v>256</v>
      </c>
      <c r="BK826" s="4510">
        <f t="shared" si="375"/>
        <v>256</v>
      </c>
      <c r="BL826" s="4510">
        <f t="shared" si="376"/>
        <v>256</v>
      </c>
      <c r="BM826" s="4510">
        <f t="shared" si="377"/>
        <v>204.8</v>
      </c>
      <c r="BN826" s="4510">
        <f t="shared" si="378"/>
        <v>51.2</v>
      </c>
      <c r="BO826" s="4413"/>
      <c r="BP826" s="4413"/>
      <c r="BQ826" s="4413"/>
      <c r="BR826" s="4413"/>
      <c r="BS826" s="4413"/>
      <c r="BT826" s="4431"/>
      <c r="BU826" s="4432"/>
      <c r="BV826" s="4525">
        <f t="shared" si="379"/>
        <v>1536</v>
      </c>
      <c r="BW826" s="4526">
        <f t="shared" si="361"/>
        <v>0</v>
      </c>
      <c r="BX826" s="4554"/>
      <c r="BY826" s="4554"/>
      <c r="BZ826" s="4554"/>
      <c r="CA826" s="4511"/>
      <c r="CC826" s="4512"/>
      <c r="CD826" s="4511"/>
    </row>
    <row r="827" s="4316" customFormat="1" ht="50" customHeight="1" spans="1:85">
      <c r="A827" s="4500">
        <v>45992</v>
      </c>
      <c r="B827" s="4501" t="s">
        <v>505</v>
      </c>
      <c r="C827" s="3708" t="s">
        <v>506</v>
      </c>
      <c r="D827" s="4502">
        <v>4500187539</v>
      </c>
      <c r="E827" s="3708">
        <v>21336509</v>
      </c>
      <c r="F827" s="4502" t="s">
        <v>5347</v>
      </c>
      <c r="G827" s="3708" t="s">
        <v>2577</v>
      </c>
      <c r="H827" s="3708" t="s">
        <v>2578</v>
      </c>
      <c r="I827" s="4154">
        <v>3120</v>
      </c>
      <c r="J827" s="4154">
        <v>0</v>
      </c>
      <c r="K827" s="4154">
        <v>12</v>
      </c>
      <c r="L827" s="4154">
        <f t="shared" si="380"/>
        <v>260</v>
      </c>
      <c r="M827" s="4503">
        <v>46027</v>
      </c>
      <c r="N827" s="4553">
        <v>46023</v>
      </c>
      <c r="O827" s="4503"/>
      <c r="P827" s="4527" t="s">
        <v>82</v>
      </c>
      <c r="Q827" s="4156">
        <v>3120</v>
      </c>
      <c r="R827" s="4157">
        <f>Q827-I827</f>
        <v>0</v>
      </c>
      <c r="S827" s="4157" t="s">
        <v>2297</v>
      </c>
      <c r="T827" s="4159" t="s">
        <v>321</v>
      </c>
      <c r="U827" s="3726" t="s">
        <v>116</v>
      </c>
      <c r="V827" s="3708" t="s">
        <v>465</v>
      </c>
      <c r="W827" s="3711"/>
      <c r="X827" s="3711" t="s">
        <v>2313</v>
      </c>
      <c r="Y827" s="3711"/>
      <c r="Z827" s="3708"/>
      <c r="AA827" s="3680" t="s">
        <v>5348</v>
      </c>
      <c r="AB827" s="4154" t="s">
        <v>513</v>
      </c>
      <c r="AC827" s="4154">
        <v>2.2429</v>
      </c>
      <c r="AD827" s="4154">
        <f t="shared" ref="AD827:AD848" si="381">AC827*I827</f>
        <v>6997.848</v>
      </c>
      <c r="AE827" s="3680" t="s">
        <v>2315</v>
      </c>
      <c r="AF827" s="3708" t="s">
        <v>2577</v>
      </c>
      <c r="AG827" s="3726" t="s">
        <v>416</v>
      </c>
      <c r="AH827" s="4412"/>
      <c r="AI827" s="4154"/>
      <c r="AJ827" s="4154">
        <f t="shared" si="369"/>
        <v>3120</v>
      </c>
      <c r="AK827" s="4412"/>
      <c r="AL827" s="3708"/>
      <c r="AM827" s="3708"/>
      <c r="AN827" s="4154"/>
      <c r="AO827" s="4154"/>
      <c r="AP827" s="4154">
        <f t="shared" si="370"/>
        <v>3120</v>
      </c>
      <c r="AQ827" s="1048"/>
      <c r="AR827" s="1040"/>
      <c r="AS827" s="1048">
        <f t="shared" si="366"/>
        <v>3120</v>
      </c>
      <c r="AT827" s="1040"/>
      <c r="AU827" s="1048"/>
      <c r="AV827" s="1048"/>
      <c r="AW827" s="1048">
        <f>I827/6</f>
        <v>520</v>
      </c>
      <c r="AX827" s="1048"/>
      <c r="AY827" s="1048"/>
      <c r="AZ827" s="1048"/>
      <c r="BA827" s="1048"/>
      <c r="BB827" s="1048"/>
      <c r="BC827" s="1048"/>
      <c r="BD827" s="1048"/>
      <c r="BE827" s="1048"/>
      <c r="BF827" s="1048" t="s">
        <v>89</v>
      </c>
      <c r="BG827" s="1048"/>
      <c r="BH827" s="1048">
        <f t="shared" si="372"/>
        <v>520</v>
      </c>
      <c r="BI827" s="1048">
        <f t="shared" si="373"/>
        <v>520</v>
      </c>
      <c r="BJ827" s="1048">
        <f t="shared" si="374"/>
        <v>520</v>
      </c>
      <c r="BK827" s="1048">
        <f t="shared" si="375"/>
        <v>520</v>
      </c>
      <c r="BL827" s="1048">
        <f t="shared" si="376"/>
        <v>520</v>
      </c>
      <c r="BM827" s="1048">
        <f t="shared" si="377"/>
        <v>416</v>
      </c>
      <c r="BN827" s="1048">
        <f t="shared" si="378"/>
        <v>104</v>
      </c>
      <c r="BO827" s="1040"/>
      <c r="BP827" s="1040"/>
      <c r="BQ827" s="1040"/>
      <c r="BR827" s="1040"/>
      <c r="BS827" s="1040"/>
      <c r="BT827" s="1041"/>
      <c r="BU827" s="4524"/>
      <c r="BV827" s="4505">
        <f t="shared" si="379"/>
        <v>3120</v>
      </c>
      <c r="BW827" s="4506">
        <f t="shared" si="361"/>
        <v>0</v>
      </c>
      <c r="BX827" s="4554"/>
      <c r="BY827" s="4554"/>
      <c r="BZ827" s="4554"/>
      <c r="CA827" s="4555"/>
      <c r="CC827" s="4555"/>
      <c r="CD827" s="4511"/>
    </row>
    <row r="828" s="4316" customFormat="1" ht="50" customHeight="1" spans="1:85">
      <c r="A828" s="4500">
        <v>45988</v>
      </c>
      <c r="B828" s="4501" t="s">
        <v>90</v>
      </c>
      <c r="C828" s="3708" t="s">
        <v>91</v>
      </c>
      <c r="D828" s="4502">
        <v>4500187234</v>
      </c>
      <c r="E828" s="3708">
        <v>770792</v>
      </c>
      <c r="F828" s="4502" t="s">
        <v>5349</v>
      </c>
      <c r="G828" s="3708" t="s">
        <v>2719</v>
      </c>
      <c r="H828" s="4154" t="s">
        <v>2591</v>
      </c>
      <c r="I828" s="4154">
        <v>1800</v>
      </c>
      <c r="J828" s="4154">
        <v>0</v>
      </c>
      <c r="K828" s="4154">
        <v>6</v>
      </c>
      <c r="L828" s="4154">
        <f t="shared" si="380"/>
        <v>300</v>
      </c>
      <c r="M828" s="4503">
        <v>46029</v>
      </c>
      <c r="N828" s="4553">
        <v>46025</v>
      </c>
      <c r="O828" s="4503"/>
      <c r="P828" s="4527" t="s">
        <v>82</v>
      </c>
      <c r="Q828" s="4156">
        <v>1800</v>
      </c>
      <c r="R828" s="4157">
        <f t="shared" ref="R828:R849" si="382">Q828-I828</f>
        <v>0</v>
      </c>
      <c r="S828" s="4159" t="s">
        <v>2297</v>
      </c>
      <c r="T828" s="4159" t="s">
        <v>321</v>
      </c>
      <c r="U828" s="3726" t="s">
        <v>116</v>
      </c>
      <c r="V828" s="3711" t="s">
        <v>384</v>
      </c>
      <c r="W828" s="3711"/>
      <c r="X828" s="3711" t="s">
        <v>5350</v>
      </c>
      <c r="Y828" s="3711"/>
      <c r="Z828" s="3708"/>
      <c r="AA828" s="3680" t="s">
        <v>5351</v>
      </c>
      <c r="AB828" s="4154" t="s">
        <v>101</v>
      </c>
      <c r="AC828" s="4504">
        <v>1.2596</v>
      </c>
      <c r="AD828" s="4154">
        <f t="shared" si="381"/>
        <v>2267.28</v>
      </c>
      <c r="AE828" s="3726"/>
      <c r="AF828" s="3708" t="s">
        <v>2719</v>
      </c>
      <c r="AG828" s="3726" t="s">
        <v>416</v>
      </c>
      <c r="AH828" s="4430"/>
      <c r="AI828" s="4154"/>
      <c r="AJ828" s="4154">
        <f t="shared" si="369"/>
        <v>1800</v>
      </c>
      <c r="AK828" s="4430"/>
      <c r="AL828" s="3708"/>
      <c r="AM828" s="3708"/>
      <c r="AN828" s="4154"/>
      <c r="AO828" s="4154"/>
      <c r="AP828" s="4154">
        <f t="shared" si="370"/>
        <v>1800</v>
      </c>
      <c r="AQ828" s="1048"/>
      <c r="AR828" s="4413"/>
      <c r="AS828" s="1048">
        <f t="shared" si="366"/>
        <v>1800</v>
      </c>
      <c r="AT828" s="4413"/>
      <c r="AU828" s="1048"/>
      <c r="AV828" s="1048"/>
      <c r="AW828" s="1048"/>
      <c r="AX828" s="1048"/>
      <c r="AY828" s="1048"/>
      <c r="AZ828" s="1048"/>
      <c r="BA828" s="1048"/>
      <c r="BB828" s="1048"/>
      <c r="BC828" s="1048"/>
      <c r="BD828" s="1048"/>
      <c r="BE828" s="1048"/>
      <c r="BF828" s="1048" t="s">
        <v>89</v>
      </c>
      <c r="BG828" s="1048"/>
      <c r="BH828" s="4510">
        <f t="shared" si="372"/>
        <v>300</v>
      </c>
      <c r="BI828" s="4510">
        <f t="shared" si="373"/>
        <v>300</v>
      </c>
      <c r="BJ828" s="4510">
        <f t="shared" si="374"/>
        <v>300</v>
      </c>
      <c r="BK828" s="4510">
        <f t="shared" si="375"/>
        <v>300</v>
      </c>
      <c r="BL828" s="4510">
        <f t="shared" si="376"/>
        <v>300</v>
      </c>
      <c r="BM828" s="4510">
        <f t="shared" si="377"/>
        <v>240</v>
      </c>
      <c r="BN828" s="4510">
        <f t="shared" si="378"/>
        <v>60</v>
      </c>
      <c r="BO828" s="4413"/>
      <c r="BP828" s="4413"/>
      <c r="BQ828" s="4413"/>
      <c r="BR828" s="4413"/>
      <c r="BS828" s="4413"/>
      <c r="BT828" s="4431"/>
      <c r="BU828" s="4432"/>
      <c r="BV828" s="4525">
        <f t="shared" si="379"/>
        <v>1800</v>
      </c>
      <c r="BW828" s="4526">
        <f t="shared" si="361"/>
        <v>0</v>
      </c>
      <c r="BX828" s="4554"/>
      <c r="BY828" s="4554"/>
      <c r="BZ828" s="4554"/>
      <c r="CA828" s="4555"/>
      <c r="CC828" s="4555"/>
      <c r="CD828" s="4511"/>
    </row>
    <row r="829" s="4316" customFormat="1" ht="50" customHeight="1" spans="1:85">
      <c r="A829" s="4500">
        <v>45988</v>
      </c>
      <c r="B829" s="4501" t="s">
        <v>90</v>
      </c>
      <c r="C829" s="3708" t="s">
        <v>91</v>
      </c>
      <c r="D829" s="4502">
        <v>4500187229</v>
      </c>
      <c r="E829" s="3708">
        <v>770790</v>
      </c>
      <c r="F829" s="4502" t="s">
        <v>5352</v>
      </c>
      <c r="G829" s="3708" t="s">
        <v>2719</v>
      </c>
      <c r="H829" s="4154" t="s">
        <v>2591</v>
      </c>
      <c r="I829" s="4154">
        <v>1200</v>
      </c>
      <c r="J829" s="4154">
        <v>0</v>
      </c>
      <c r="K829" s="4154">
        <v>6</v>
      </c>
      <c r="L829" s="4154">
        <f t="shared" si="380"/>
        <v>200</v>
      </c>
      <c r="M829" s="4503">
        <v>46029</v>
      </c>
      <c r="N829" s="4553">
        <v>46025</v>
      </c>
      <c r="O829" s="4503"/>
      <c r="P829" s="4527" t="s">
        <v>82</v>
      </c>
      <c r="Q829" s="4156">
        <v>1200</v>
      </c>
      <c r="R829" s="4157">
        <f t="shared" si="382"/>
        <v>0</v>
      </c>
      <c r="S829" s="4159" t="s">
        <v>2297</v>
      </c>
      <c r="T829" s="4159" t="s">
        <v>321</v>
      </c>
      <c r="U829" s="3726" t="s">
        <v>564</v>
      </c>
      <c r="V829" s="3711" t="s">
        <v>384</v>
      </c>
      <c r="W829" s="3711"/>
      <c r="X829" s="3711" t="s">
        <v>5350</v>
      </c>
      <c r="Y829" s="3711"/>
      <c r="Z829" s="3708"/>
      <c r="AA829" s="3680" t="s">
        <v>5353</v>
      </c>
      <c r="AB829" s="4154" t="s">
        <v>101</v>
      </c>
      <c r="AC829" s="4504">
        <v>1.2596</v>
      </c>
      <c r="AD829" s="4154">
        <f t="shared" si="381"/>
        <v>1511.52</v>
      </c>
      <c r="AE829" s="3726"/>
      <c r="AF829" s="3708" t="s">
        <v>2719</v>
      </c>
      <c r="AG829" s="3726" t="s">
        <v>416</v>
      </c>
      <c r="AH829" s="4430"/>
      <c r="AI829" s="4154"/>
      <c r="AJ829" s="4154">
        <f t="shared" si="369"/>
        <v>1200</v>
      </c>
      <c r="AK829" s="4430"/>
      <c r="AL829" s="3708"/>
      <c r="AM829" s="3708"/>
      <c r="AN829" s="4154"/>
      <c r="AO829" s="4154"/>
      <c r="AP829" s="4154">
        <f t="shared" si="370"/>
        <v>1200</v>
      </c>
      <c r="AQ829" s="1048"/>
      <c r="AR829" s="4413"/>
      <c r="AS829" s="1048">
        <f t="shared" si="366"/>
        <v>1200</v>
      </c>
      <c r="AT829" s="4413"/>
      <c r="AU829" s="1048"/>
      <c r="AV829" s="1048"/>
      <c r="AW829" s="1048"/>
      <c r="AX829" s="1048"/>
      <c r="AY829" s="1048"/>
      <c r="AZ829" s="1048"/>
      <c r="BA829" s="1048"/>
      <c r="BB829" s="1048"/>
      <c r="BC829" s="1048"/>
      <c r="BD829" s="1048"/>
      <c r="BE829" s="1048"/>
      <c r="BF829" s="1048" t="s">
        <v>89</v>
      </c>
      <c r="BG829" s="1048"/>
      <c r="BH829" s="4510">
        <f t="shared" si="372"/>
        <v>200</v>
      </c>
      <c r="BI829" s="4510">
        <f t="shared" si="373"/>
        <v>200</v>
      </c>
      <c r="BJ829" s="4510">
        <f t="shared" si="374"/>
        <v>200</v>
      </c>
      <c r="BK829" s="4510">
        <f t="shared" si="375"/>
        <v>200</v>
      </c>
      <c r="BL829" s="4510">
        <f t="shared" si="376"/>
        <v>200</v>
      </c>
      <c r="BM829" s="4510">
        <f t="shared" si="377"/>
        <v>160</v>
      </c>
      <c r="BN829" s="4510">
        <f t="shared" si="378"/>
        <v>40</v>
      </c>
      <c r="BO829" s="4413"/>
      <c r="BP829" s="4413"/>
      <c r="BQ829" s="4413"/>
      <c r="BR829" s="4413"/>
      <c r="BS829" s="4413"/>
      <c r="BT829" s="4431"/>
      <c r="BU829" s="4432"/>
      <c r="BV829" s="4525">
        <f t="shared" si="379"/>
        <v>1200</v>
      </c>
      <c r="BW829" s="4526">
        <f t="shared" si="361"/>
        <v>0</v>
      </c>
      <c r="BX829" s="4554"/>
      <c r="BY829" s="4554"/>
      <c r="BZ829" s="4554"/>
      <c r="CA829" s="4555"/>
      <c r="CC829" s="4555"/>
      <c r="CD829" s="4511"/>
    </row>
    <row r="830" s="4316" customFormat="1" ht="50" customHeight="1" spans="1:85">
      <c r="A830" s="4500">
        <v>45967</v>
      </c>
      <c r="B830" s="4501" t="s">
        <v>2285</v>
      </c>
      <c r="C830" s="3708" t="s">
        <v>351</v>
      </c>
      <c r="D830" s="4502">
        <v>4500184619</v>
      </c>
      <c r="E830" s="3708" t="s">
        <v>4638</v>
      </c>
      <c r="F830" s="4502" t="s">
        <v>5354</v>
      </c>
      <c r="G830" s="3708" t="s">
        <v>2577</v>
      </c>
      <c r="H830" s="3708" t="s">
        <v>2578</v>
      </c>
      <c r="I830" s="4154">
        <v>1428</v>
      </c>
      <c r="J830" s="4154">
        <v>0</v>
      </c>
      <c r="K830" s="4154">
        <v>12</v>
      </c>
      <c r="L830" s="4154">
        <f t="shared" si="380"/>
        <v>119</v>
      </c>
      <c r="M830" s="4503">
        <v>46020</v>
      </c>
      <c r="N830" s="4553">
        <v>46016</v>
      </c>
      <c r="O830" s="4117" t="s">
        <v>5355</v>
      </c>
      <c r="P830" s="4527" t="s">
        <v>82</v>
      </c>
      <c r="Q830" s="4156">
        <v>1428</v>
      </c>
      <c r="R830" s="4157">
        <f t="shared" si="382"/>
        <v>0</v>
      </c>
      <c r="S830" s="4556" t="s">
        <v>2297</v>
      </c>
      <c r="T830" s="4159"/>
      <c r="U830" s="3726" t="s">
        <v>518</v>
      </c>
      <c r="V830" s="3708" t="s">
        <v>5356</v>
      </c>
      <c r="W830" s="3711"/>
      <c r="X830" s="3711" t="s">
        <v>5357</v>
      </c>
      <c r="Y830" s="3711"/>
      <c r="Z830" s="4154"/>
      <c r="AA830" s="3680" t="s">
        <v>5358</v>
      </c>
      <c r="AB830" s="4154" t="s">
        <v>1199</v>
      </c>
      <c r="AC830" s="4154">
        <v>2.1392</v>
      </c>
      <c r="AD830" s="4154">
        <f t="shared" si="381"/>
        <v>3054.7776</v>
      </c>
      <c r="AE830" s="3726"/>
      <c r="AF830" s="3708" t="s">
        <v>2577</v>
      </c>
      <c r="AG830" s="3726" t="s">
        <v>416</v>
      </c>
      <c r="AH830" s="4412"/>
      <c r="AI830" s="4154"/>
      <c r="AJ830" s="4154">
        <f t="shared" si="369"/>
        <v>1428</v>
      </c>
      <c r="AK830" s="4412"/>
      <c r="AL830" s="3708"/>
      <c r="AM830" s="3708"/>
      <c r="AN830" s="4154"/>
      <c r="AO830" s="4154"/>
      <c r="AP830" s="4154">
        <f t="shared" si="370"/>
        <v>1428</v>
      </c>
      <c r="AQ830" s="1048"/>
      <c r="AR830" s="1040"/>
      <c r="AS830" s="1048">
        <f t="shared" si="366"/>
        <v>1428</v>
      </c>
      <c r="AT830" s="1040"/>
      <c r="AU830" s="1048"/>
      <c r="AV830" s="1048"/>
      <c r="AW830" s="1048">
        <f>I830/6</f>
        <v>238</v>
      </c>
      <c r="AX830" s="1048"/>
      <c r="AY830" s="1048"/>
      <c r="AZ830" s="1048"/>
      <c r="BA830" s="1048"/>
      <c r="BB830" s="1048"/>
      <c r="BC830" s="1048"/>
      <c r="BD830" s="1048"/>
      <c r="BE830" s="1048"/>
      <c r="BF830" s="1048" t="s">
        <v>89</v>
      </c>
      <c r="BG830" s="1048"/>
      <c r="BH830" s="1048">
        <f t="shared" si="372"/>
        <v>238</v>
      </c>
      <c r="BI830" s="1048">
        <f t="shared" si="373"/>
        <v>238</v>
      </c>
      <c r="BJ830" s="1048">
        <f t="shared" si="374"/>
        <v>238</v>
      </c>
      <c r="BK830" s="1048">
        <f t="shared" si="375"/>
        <v>238</v>
      </c>
      <c r="BL830" s="1048">
        <f t="shared" si="376"/>
        <v>238</v>
      </c>
      <c r="BM830" s="1048">
        <f t="shared" si="377"/>
        <v>190.4</v>
      </c>
      <c r="BN830" s="1048">
        <f t="shared" si="378"/>
        <v>47.6</v>
      </c>
      <c r="BO830" s="1040"/>
      <c r="BP830" s="1040"/>
      <c r="BQ830" s="1040"/>
      <c r="BR830" s="1040"/>
      <c r="BS830" s="1040"/>
      <c r="BT830" s="1041"/>
      <c r="BU830" s="4524"/>
      <c r="BV830" s="4505">
        <f t="shared" si="379"/>
        <v>1428</v>
      </c>
      <c r="BW830" s="4506">
        <f t="shared" si="361"/>
        <v>0</v>
      </c>
      <c r="BX830" s="4554"/>
      <c r="BY830" s="4554"/>
      <c r="BZ830" s="4554"/>
      <c r="CA830" s="4511"/>
      <c r="CC830" s="4512"/>
      <c r="CD830" s="4511"/>
    </row>
    <row r="831" s="4316" customFormat="1" ht="50" customHeight="1" spans="1:85">
      <c r="A831" s="4500">
        <v>45967</v>
      </c>
      <c r="B831" s="4501" t="s">
        <v>2285</v>
      </c>
      <c r="C831" s="3708" t="s">
        <v>351</v>
      </c>
      <c r="D831" s="4502">
        <v>4500184619</v>
      </c>
      <c r="E831" s="3708" t="s">
        <v>3336</v>
      </c>
      <c r="F831" s="4502" t="s">
        <v>5359</v>
      </c>
      <c r="G831" s="3708" t="s">
        <v>2577</v>
      </c>
      <c r="H831" s="3708" t="s">
        <v>2578</v>
      </c>
      <c r="I831" s="4154">
        <v>732</v>
      </c>
      <c r="J831" s="4154">
        <v>0</v>
      </c>
      <c r="K831" s="4154">
        <v>12</v>
      </c>
      <c r="L831" s="4154">
        <f t="shared" si="380"/>
        <v>61</v>
      </c>
      <c r="M831" s="4503">
        <v>46020</v>
      </c>
      <c r="N831" s="4553">
        <v>46016</v>
      </c>
      <c r="O831" s="4117" t="s">
        <v>5355</v>
      </c>
      <c r="P831" s="4527" t="s">
        <v>82</v>
      </c>
      <c r="Q831" s="4156">
        <v>732</v>
      </c>
      <c r="R831" s="4157">
        <f t="shared" si="382"/>
        <v>0</v>
      </c>
      <c r="S831" s="4557"/>
      <c r="T831" s="4159"/>
      <c r="U831" s="3726" t="s">
        <v>518</v>
      </c>
      <c r="V831" s="3708" t="s">
        <v>5356</v>
      </c>
      <c r="W831" s="3711"/>
      <c r="X831" s="3711" t="s">
        <v>5357</v>
      </c>
      <c r="Y831" s="3711"/>
      <c r="Z831" s="4154"/>
      <c r="AA831" s="3680" t="s">
        <v>5358</v>
      </c>
      <c r="AB831" s="4154" t="s">
        <v>1199</v>
      </c>
      <c r="AC831" s="4154">
        <v>2.1392</v>
      </c>
      <c r="AD831" s="4154">
        <f t="shared" si="381"/>
        <v>1565.8944</v>
      </c>
      <c r="AE831" s="3680" t="s">
        <v>5360</v>
      </c>
      <c r="AF831" s="3708" t="s">
        <v>2577</v>
      </c>
      <c r="AG831" s="3726" t="s">
        <v>416</v>
      </c>
      <c r="AH831" s="4412"/>
      <c r="AI831" s="4154"/>
      <c r="AJ831" s="4154">
        <f t="shared" si="369"/>
        <v>732</v>
      </c>
      <c r="AK831" s="4412"/>
      <c r="AL831" s="3708"/>
      <c r="AM831" s="3708"/>
      <c r="AN831" s="4154"/>
      <c r="AO831" s="4154"/>
      <c r="AP831" s="4154">
        <f t="shared" si="370"/>
        <v>732</v>
      </c>
      <c r="AQ831" s="1048"/>
      <c r="AR831" s="1040"/>
      <c r="AS831" s="1048">
        <f t="shared" si="366"/>
        <v>732</v>
      </c>
      <c r="AT831" s="1040"/>
      <c r="AU831" s="1048"/>
      <c r="AV831" s="1048"/>
      <c r="AW831" s="1048">
        <f>I831/6</f>
        <v>122</v>
      </c>
      <c r="AX831" s="1048"/>
      <c r="AY831" s="1048"/>
      <c r="AZ831" s="1048"/>
      <c r="BA831" s="1048"/>
      <c r="BB831" s="1048"/>
      <c r="BC831" s="1048"/>
      <c r="BD831" s="1048"/>
      <c r="BE831" s="1048"/>
      <c r="BF831" s="1048" t="s">
        <v>89</v>
      </c>
      <c r="BG831" s="1048"/>
      <c r="BH831" s="1048">
        <f t="shared" si="372"/>
        <v>122</v>
      </c>
      <c r="BI831" s="1048">
        <f t="shared" si="373"/>
        <v>122</v>
      </c>
      <c r="BJ831" s="1048">
        <f t="shared" si="374"/>
        <v>122</v>
      </c>
      <c r="BK831" s="1048">
        <f t="shared" si="375"/>
        <v>122</v>
      </c>
      <c r="BL831" s="1048">
        <f t="shared" si="376"/>
        <v>122</v>
      </c>
      <c r="BM831" s="1048">
        <f t="shared" si="377"/>
        <v>97.6</v>
      </c>
      <c r="BN831" s="1048">
        <f t="shared" si="378"/>
        <v>24.4</v>
      </c>
      <c r="BO831" s="1040"/>
      <c r="BP831" s="1040"/>
      <c r="BQ831" s="1040"/>
      <c r="BR831" s="1040"/>
      <c r="BS831" s="1040"/>
      <c r="BT831" s="1041"/>
      <c r="BU831" s="4524"/>
      <c r="BV831" s="4505">
        <f t="shared" si="379"/>
        <v>732</v>
      </c>
      <c r="BW831" s="4506">
        <f t="shared" si="361"/>
        <v>0</v>
      </c>
      <c r="BX831" s="4554"/>
      <c r="BY831" s="4554"/>
      <c r="BZ831" s="4554"/>
      <c r="CA831" s="4511"/>
      <c r="CC831" s="4512"/>
      <c r="CD831" s="4511"/>
    </row>
    <row r="832" s="4316" customFormat="1" ht="50" customHeight="1" spans="1:85">
      <c r="A832" s="4500">
        <v>45981</v>
      </c>
      <c r="B832" s="4501" t="s">
        <v>3744</v>
      </c>
      <c r="C832" s="3708" t="s">
        <v>91</v>
      </c>
      <c r="D832" s="4502">
        <v>4500186337</v>
      </c>
      <c r="E832" s="3708" t="s">
        <v>5361</v>
      </c>
      <c r="F832" s="4502" t="s">
        <v>5362</v>
      </c>
      <c r="G832" s="3708" t="s">
        <v>2608</v>
      </c>
      <c r="H832" s="3708" t="s">
        <v>2609</v>
      </c>
      <c r="I832" s="4154">
        <v>33684</v>
      </c>
      <c r="J832" s="4154">
        <v>0</v>
      </c>
      <c r="K832" s="4154">
        <v>6</v>
      </c>
      <c r="L832" s="4154">
        <f t="shared" si="380"/>
        <v>5614</v>
      </c>
      <c r="M832" s="4503">
        <v>46027</v>
      </c>
      <c r="N832" s="4553">
        <v>46023</v>
      </c>
      <c r="O832" s="4503" t="s">
        <v>5363</v>
      </c>
      <c r="P832" s="4527" t="s">
        <v>82</v>
      </c>
      <c r="Q832" s="4156">
        <v>33684</v>
      </c>
      <c r="R832" s="4157">
        <f t="shared" si="382"/>
        <v>0</v>
      </c>
      <c r="S832" s="4556" t="s">
        <v>98</v>
      </c>
      <c r="T832" s="4159"/>
      <c r="U832" s="3726" t="s">
        <v>2345</v>
      </c>
      <c r="V832" s="3708" t="s">
        <v>5364</v>
      </c>
      <c r="W832" s="3711"/>
      <c r="X832" s="3711" t="s">
        <v>98</v>
      </c>
      <c r="Y832" s="3711"/>
      <c r="Z832" s="3708" t="s">
        <v>5365</v>
      </c>
      <c r="AA832" s="3680" t="s">
        <v>5366</v>
      </c>
      <c r="AB832" s="4154" t="s">
        <v>1607</v>
      </c>
      <c r="AC832" s="4504">
        <v>1.3078</v>
      </c>
      <c r="AD832" s="4154">
        <f t="shared" si="381"/>
        <v>44051.9352</v>
      </c>
      <c r="AE832" s="3726"/>
      <c r="AF832" s="3708" t="s">
        <v>2608</v>
      </c>
      <c r="AG832" s="3726" t="s">
        <v>416</v>
      </c>
      <c r="AH832" s="4430"/>
      <c r="AI832" s="4154"/>
      <c r="AJ832" s="4154"/>
      <c r="AK832" s="4430"/>
      <c r="AL832" s="3708"/>
      <c r="AM832" s="3708"/>
      <c r="AN832" s="4154">
        <f>I832</f>
        <v>33684</v>
      </c>
      <c r="AO832" s="4154"/>
      <c r="AP832" s="4154">
        <f t="shared" si="370"/>
        <v>33684</v>
      </c>
      <c r="AQ832" s="1048"/>
      <c r="AR832" s="4413"/>
      <c r="AS832" s="1048">
        <f t="shared" si="366"/>
        <v>33684</v>
      </c>
      <c r="AT832" s="4413"/>
      <c r="AU832" s="1048"/>
      <c r="AV832" s="1048"/>
      <c r="AW832" s="1048"/>
      <c r="AX832" s="1048"/>
      <c r="AY832" s="1048"/>
      <c r="AZ832" s="1048"/>
      <c r="BA832" s="1048"/>
      <c r="BB832" s="1048"/>
      <c r="BC832" s="1048"/>
      <c r="BD832" s="1048"/>
      <c r="BE832" s="1048"/>
      <c r="BF832" s="1048" t="s">
        <v>89</v>
      </c>
      <c r="BG832" s="1048"/>
      <c r="BH832" s="4510">
        <f t="shared" si="372"/>
        <v>5614</v>
      </c>
      <c r="BI832" s="4510">
        <f t="shared" si="373"/>
        <v>5614</v>
      </c>
      <c r="BJ832" s="4510">
        <f t="shared" si="374"/>
        <v>5614</v>
      </c>
      <c r="BK832" s="4558">
        <f t="shared" si="375"/>
        <v>5614</v>
      </c>
      <c r="BL832" s="4525">
        <f t="shared" si="376"/>
        <v>5614</v>
      </c>
      <c r="BM832" s="4558">
        <f t="shared" si="377"/>
        <v>4491.2</v>
      </c>
      <c r="BN832" s="4510">
        <f t="shared" si="378"/>
        <v>1122.8</v>
      </c>
      <c r="BO832" s="4559"/>
      <c r="BP832" s="4559"/>
      <c r="BQ832" s="4559"/>
      <c r="BR832" s="4559"/>
      <c r="BS832" s="4559"/>
      <c r="BT832" s="4560"/>
      <c r="BU832" s="4561"/>
      <c r="BV832" s="4525">
        <f t="shared" si="379"/>
        <v>33684</v>
      </c>
      <c r="BW832" s="4505">
        <f t="shared" si="361"/>
        <v>0</v>
      </c>
      <c r="BX832" s="4562"/>
      <c r="BY832" s="4562"/>
      <c r="BZ832" s="4562"/>
      <c r="CA832" s="4555"/>
      <c r="CB832" s="4555"/>
      <c r="CC832" s="4555"/>
      <c r="CD832" s="4555"/>
      <c r="CE832" s="4555"/>
      <c r="CF832" s="4555"/>
      <c r="CG832" s="4555"/>
    </row>
    <row r="833" s="4316" customFormat="1" ht="50" customHeight="1" spans="1:85">
      <c r="A833" s="4500">
        <v>45981</v>
      </c>
      <c r="B833" s="4501" t="s">
        <v>3744</v>
      </c>
      <c r="C833" s="3708" t="s">
        <v>91</v>
      </c>
      <c r="D833" s="4502">
        <v>4500186337</v>
      </c>
      <c r="E833" s="3708" t="s">
        <v>5367</v>
      </c>
      <c r="F833" s="4502" t="s">
        <v>5368</v>
      </c>
      <c r="G833" s="3708" t="s">
        <v>2608</v>
      </c>
      <c r="H833" s="3708" t="s">
        <v>2609</v>
      </c>
      <c r="I833" s="4154">
        <v>33684</v>
      </c>
      <c r="J833" s="4154">
        <v>0</v>
      </c>
      <c r="K833" s="4154">
        <v>6</v>
      </c>
      <c r="L833" s="4154">
        <f t="shared" si="380"/>
        <v>5614</v>
      </c>
      <c r="M833" s="4503">
        <v>46027</v>
      </c>
      <c r="N833" s="4553">
        <v>46023</v>
      </c>
      <c r="O833" s="4503" t="s">
        <v>5363</v>
      </c>
      <c r="P833" s="4527" t="s">
        <v>82</v>
      </c>
      <c r="Q833" s="4156">
        <v>33684</v>
      </c>
      <c r="R833" s="4157">
        <f t="shared" si="382"/>
        <v>0</v>
      </c>
      <c r="S833" s="4557"/>
      <c r="T833" s="4159"/>
      <c r="U833" s="3726" t="s">
        <v>5369</v>
      </c>
      <c r="V833" s="3708" t="s">
        <v>5364</v>
      </c>
      <c r="W833" s="3711"/>
      <c r="X833" s="3711" t="s">
        <v>98</v>
      </c>
      <c r="Y833" s="3711"/>
      <c r="Z833" s="3708" t="s">
        <v>5365</v>
      </c>
      <c r="AA833" s="3680" t="s">
        <v>5366</v>
      </c>
      <c r="AB833" s="4154" t="s">
        <v>1607</v>
      </c>
      <c r="AC833" s="4504">
        <v>1.3078</v>
      </c>
      <c r="AD833" s="4154">
        <f t="shared" si="381"/>
        <v>44051.9352</v>
      </c>
      <c r="AE833" s="3726"/>
      <c r="AF833" s="3708" t="s">
        <v>2608</v>
      </c>
      <c r="AG833" s="3726" t="s">
        <v>416</v>
      </c>
      <c r="AH833" s="4430"/>
      <c r="AI833" s="4154"/>
      <c r="AJ833" s="4154"/>
      <c r="AK833" s="4430"/>
      <c r="AL833" s="3708"/>
      <c r="AM833" s="3708"/>
      <c r="AN833" s="4154">
        <f>I833</f>
        <v>33684</v>
      </c>
      <c r="AO833" s="4154"/>
      <c r="AP833" s="4154">
        <f t="shared" si="370"/>
        <v>33684</v>
      </c>
      <c r="AQ833" s="1048"/>
      <c r="AR833" s="4413"/>
      <c r="AS833" s="1048">
        <f t="shared" si="366"/>
        <v>33684</v>
      </c>
      <c r="AT833" s="4413"/>
      <c r="AU833" s="1048"/>
      <c r="AV833" s="1048"/>
      <c r="AW833" s="1048"/>
      <c r="AX833" s="1048"/>
      <c r="AY833" s="1048"/>
      <c r="AZ833" s="1048"/>
      <c r="BA833" s="1048"/>
      <c r="BB833" s="1048"/>
      <c r="BC833" s="1048"/>
      <c r="BD833" s="1048"/>
      <c r="BE833" s="1048"/>
      <c r="BF833" s="1048" t="s">
        <v>89</v>
      </c>
      <c r="BG833" s="1048"/>
      <c r="BH833" s="4510">
        <f t="shared" si="372"/>
        <v>5614</v>
      </c>
      <c r="BI833" s="4510">
        <f t="shared" si="373"/>
        <v>5614</v>
      </c>
      <c r="BJ833" s="4510">
        <f t="shared" si="374"/>
        <v>5614</v>
      </c>
      <c r="BK833" s="4558">
        <f t="shared" si="375"/>
        <v>5614</v>
      </c>
      <c r="BL833" s="4525">
        <f t="shared" si="376"/>
        <v>5614</v>
      </c>
      <c r="BM833" s="4558">
        <f t="shared" si="377"/>
        <v>4491.2</v>
      </c>
      <c r="BN833" s="4510">
        <f t="shared" si="378"/>
        <v>1122.8</v>
      </c>
      <c r="BO833" s="4559"/>
      <c r="BP833" s="4559"/>
      <c r="BQ833" s="4559"/>
      <c r="BR833" s="4559"/>
      <c r="BS833" s="4559"/>
      <c r="BT833" s="4560"/>
      <c r="BU833" s="4561"/>
      <c r="BV833" s="4525">
        <f t="shared" si="379"/>
        <v>33684</v>
      </c>
      <c r="BW833" s="4505">
        <f t="shared" si="361"/>
        <v>0</v>
      </c>
      <c r="BX833" s="4562"/>
      <c r="BY833" s="4562"/>
      <c r="BZ833" s="4562"/>
      <c r="CA833" s="4555"/>
      <c r="CC833" s="4555"/>
      <c r="CD833" s="4511"/>
    </row>
    <row r="834" s="4316" customFormat="1" ht="50" customHeight="1" spans="1:85">
      <c r="A834" s="4500">
        <v>45957</v>
      </c>
      <c r="B834" s="4501" t="s">
        <v>1057</v>
      </c>
      <c r="C834" s="3708" t="s">
        <v>396</v>
      </c>
      <c r="D834" s="4502">
        <v>4500183001</v>
      </c>
      <c r="E834" s="3708" t="s">
        <v>5143</v>
      </c>
      <c r="F834" s="4502" t="s">
        <v>5370</v>
      </c>
      <c r="G834" s="3708" t="s">
        <v>2619</v>
      </c>
      <c r="H834" s="3708" t="s">
        <v>2620</v>
      </c>
      <c r="I834" s="4154">
        <v>192</v>
      </c>
      <c r="J834" s="4154">
        <v>0</v>
      </c>
      <c r="K834" s="4154">
        <v>24</v>
      </c>
      <c r="L834" s="4154">
        <f t="shared" si="380"/>
        <v>8</v>
      </c>
      <c r="M834" s="4503">
        <v>46031</v>
      </c>
      <c r="N834" s="4553">
        <v>46027</v>
      </c>
      <c r="O834" s="4117"/>
      <c r="P834" s="4527" t="s">
        <v>82</v>
      </c>
      <c r="Q834" s="4156">
        <v>192</v>
      </c>
      <c r="R834" s="4157">
        <f t="shared" si="382"/>
        <v>0</v>
      </c>
      <c r="S834" s="4159" t="s">
        <v>2297</v>
      </c>
      <c r="T834" s="4159"/>
      <c r="U834" s="3726"/>
      <c r="V834" s="3711" t="s">
        <v>5146</v>
      </c>
      <c r="W834" s="3711"/>
      <c r="X834" s="3711" t="s">
        <v>5147</v>
      </c>
      <c r="Y834" s="3711"/>
      <c r="Z834" s="4154"/>
      <c r="AA834" s="3680" t="s">
        <v>5148</v>
      </c>
      <c r="AB834" s="4154" t="s">
        <v>405</v>
      </c>
      <c r="AC834" s="4154">
        <v>2.0891</v>
      </c>
      <c r="AD834" s="4154">
        <f t="shared" si="381"/>
        <v>401.1072</v>
      </c>
      <c r="AE834" s="3726" t="s">
        <v>5371</v>
      </c>
      <c r="AF834" s="4160" t="s">
        <v>3444</v>
      </c>
      <c r="AG834" s="3726" t="s">
        <v>416</v>
      </c>
      <c r="AH834" s="4430"/>
      <c r="AI834" s="4154"/>
      <c r="AJ834" s="4154"/>
      <c r="AK834" s="4430"/>
      <c r="AL834" s="3708"/>
      <c r="AM834" s="3708">
        <f t="shared" ref="AM834:AM840" si="383">I834</f>
        <v>192</v>
      </c>
      <c r="AN834" s="4154"/>
      <c r="AO834" s="4154"/>
      <c r="AP834" s="4154">
        <f t="shared" si="370"/>
        <v>192</v>
      </c>
      <c r="AQ834" s="1048"/>
      <c r="AR834" s="4413"/>
      <c r="AS834" s="1048"/>
      <c r="AT834" s="4413"/>
      <c r="AU834" s="1048">
        <f>I834</f>
        <v>192</v>
      </c>
      <c r="AV834" s="1048"/>
      <c r="AW834" s="1048"/>
      <c r="AX834" s="1048"/>
      <c r="AY834" s="1048"/>
      <c r="AZ834" s="1048"/>
      <c r="BA834" s="1048"/>
      <c r="BB834" s="1048"/>
      <c r="BC834" s="1048"/>
      <c r="BD834" s="1048"/>
      <c r="BE834" s="1048"/>
      <c r="BF834" s="1048" t="s">
        <v>89</v>
      </c>
      <c r="BG834" s="1048"/>
      <c r="BH834" s="4510">
        <f t="shared" si="372"/>
        <v>32</v>
      </c>
      <c r="BI834" s="4510">
        <f t="shared" si="373"/>
        <v>32</v>
      </c>
      <c r="BJ834" s="4510">
        <f t="shared" si="374"/>
        <v>32</v>
      </c>
      <c r="BK834" s="4510">
        <f t="shared" si="375"/>
        <v>32</v>
      </c>
      <c r="BL834" s="4510">
        <f t="shared" si="376"/>
        <v>32</v>
      </c>
      <c r="BM834" s="4510">
        <f t="shared" si="377"/>
        <v>25.6</v>
      </c>
      <c r="BN834" s="4510">
        <f t="shared" si="378"/>
        <v>6.4</v>
      </c>
      <c r="BO834" s="4413"/>
      <c r="BP834" s="4413"/>
      <c r="BQ834" s="4413"/>
      <c r="BR834" s="4413"/>
      <c r="BS834" s="4413"/>
      <c r="BT834" s="4431"/>
      <c r="BU834" s="4432"/>
      <c r="BV834" s="4525">
        <f t="shared" si="379"/>
        <v>192</v>
      </c>
      <c r="BW834" s="4526">
        <f t="shared" si="361"/>
        <v>0</v>
      </c>
      <c r="BX834" s="4554"/>
      <c r="BY834" s="4554"/>
      <c r="BZ834" s="4554"/>
      <c r="CA834" s="4555"/>
      <c r="CC834" s="4555"/>
      <c r="CD834" s="4511"/>
    </row>
    <row r="835" s="4316" customFormat="1" ht="50" customHeight="1" spans="1:85">
      <c r="A835" s="4500">
        <v>45957</v>
      </c>
      <c r="B835" s="4501" t="s">
        <v>1057</v>
      </c>
      <c r="C835" s="3708" t="s">
        <v>396</v>
      </c>
      <c r="D835" s="4502">
        <v>4500183051</v>
      </c>
      <c r="E835" s="3708" t="s">
        <v>5372</v>
      </c>
      <c r="F835" s="4502" t="s">
        <v>5373</v>
      </c>
      <c r="G835" s="3708" t="s">
        <v>2619</v>
      </c>
      <c r="H835" s="3708" t="s">
        <v>2620</v>
      </c>
      <c r="I835" s="4154">
        <v>192</v>
      </c>
      <c r="J835" s="4154">
        <v>0</v>
      </c>
      <c r="K835" s="4154">
        <v>24</v>
      </c>
      <c r="L835" s="4154">
        <f t="shared" si="380"/>
        <v>8</v>
      </c>
      <c r="M835" s="4503">
        <v>46031</v>
      </c>
      <c r="N835" s="4553">
        <v>46027</v>
      </c>
      <c r="O835" s="4117"/>
      <c r="P835" s="4527" t="s">
        <v>82</v>
      </c>
      <c r="Q835" s="4156">
        <v>192</v>
      </c>
      <c r="R835" s="4157">
        <f t="shared" si="382"/>
        <v>0</v>
      </c>
      <c r="S835" s="4159" t="s">
        <v>2297</v>
      </c>
      <c r="T835" s="4159"/>
      <c r="U835" s="3726" t="s">
        <v>151</v>
      </c>
      <c r="V835" s="3711" t="s">
        <v>5146</v>
      </c>
      <c r="W835" s="3711"/>
      <c r="X835" s="3711" t="s">
        <v>5147</v>
      </c>
      <c r="Y835" s="3711"/>
      <c r="Z835" s="4154"/>
      <c r="AA835" s="3680" t="s">
        <v>5374</v>
      </c>
      <c r="AB835" s="4154" t="s">
        <v>405</v>
      </c>
      <c r="AC835" s="4154">
        <v>2.0845</v>
      </c>
      <c r="AD835" s="4154">
        <f t="shared" si="381"/>
        <v>400.224</v>
      </c>
      <c r="AE835" s="3726"/>
      <c r="AF835" s="4160" t="s">
        <v>3444</v>
      </c>
      <c r="AG835" s="3726" t="s">
        <v>416</v>
      </c>
      <c r="AH835" s="4430"/>
      <c r="AI835" s="4154"/>
      <c r="AJ835" s="4154"/>
      <c r="AK835" s="4430"/>
      <c r="AL835" s="3708"/>
      <c r="AM835" s="3708">
        <f t="shared" si="383"/>
        <v>192</v>
      </c>
      <c r="AN835" s="4154"/>
      <c r="AO835" s="4154"/>
      <c r="AP835" s="4154">
        <f t="shared" si="370"/>
        <v>192</v>
      </c>
      <c r="AQ835" s="1048"/>
      <c r="AR835" s="4413"/>
      <c r="AS835" s="1048"/>
      <c r="AT835" s="4413"/>
      <c r="AU835" s="1048">
        <f>I835</f>
        <v>192</v>
      </c>
      <c r="AV835" s="1048"/>
      <c r="AW835" s="1048"/>
      <c r="AX835" s="1048"/>
      <c r="AY835" s="1048"/>
      <c r="AZ835" s="1048"/>
      <c r="BA835" s="1048"/>
      <c r="BB835" s="1048"/>
      <c r="BC835" s="1048"/>
      <c r="BD835" s="1048"/>
      <c r="BE835" s="1048"/>
      <c r="BF835" s="1048" t="s">
        <v>89</v>
      </c>
      <c r="BG835" s="1048"/>
      <c r="BH835" s="4510">
        <f t="shared" si="372"/>
        <v>32</v>
      </c>
      <c r="BI835" s="4510">
        <f t="shared" si="373"/>
        <v>32</v>
      </c>
      <c r="BJ835" s="4510">
        <f t="shared" si="374"/>
        <v>32</v>
      </c>
      <c r="BK835" s="4510">
        <f t="shared" si="375"/>
        <v>32</v>
      </c>
      <c r="BL835" s="4510">
        <f t="shared" si="376"/>
        <v>32</v>
      </c>
      <c r="BM835" s="4510">
        <f t="shared" si="377"/>
        <v>25.6</v>
      </c>
      <c r="BN835" s="4510">
        <f t="shared" si="378"/>
        <v>6.4</v>
      </c>
      <c r="BO835" s="4413"/>
      <c r="BP835" s="4413"/>
      <c r="BQ835" s="4413"/>
      <c r="BR835" s="4413"/>
      <c r="BS835" s="4413"/>
      <c r="BT835" s="4431"/>
      <c r="BU835" s="4432"/>
      <c r="BV835" s="4525">
        <f t="shared" si="379"/>
        <v>192</v>
      </c>
      <c r="BW835" s="4526">
        <f t="shared" si="361"/>
        <v>0</v>
      </c>
      <c r="BX835" s="4554"/>
      <c r="BY835" s="4554"/>
      <c r="BZ835" s="4554"/>
      <c r="CA835" s="4555"/>
      <c r="CC835" s="4555"/>
      <c r="CD835" s="4511"/>
    </row>
    <row r="836" s="4316" customFormat="1" ht="50" customHeight="1" spans="1:85">
      <c r="A836" s="4500">
        <v>45957</v>
      </c>
      <c r="B836" s="4501" t="s">
        <v>1057</v>
      </c>
      <c r="C836" s="3708" t="s">
        <v>396</v>
      </c>
      <c r="D836" s="4502">
        <v>4500183051</v>
      </c>
      <c r="E836" s="3708" t="s">
        <v>5372</v>
      </c>
      <c r="F836" s="4502" t="s">
        <v>5375</v>
      </c>
      <c r="G836" s="3708" t="s">
        <v>2619</v>
      </c>
      <c r="H836" s="3708" t="s">
        <v>2620</v>
      </c>
      <c r="I836" s="4154">
        <v>720</v>
      </c>
      <c r="J836" s="4154">
        <v>0</v>
      </c>
      <c r="K836" s="4154">
        <v>24</v>
      </c>
      <c r="L836" s="4154">
        <f t="shared" si="380"/>
        <v>30</v>
      </c>
      <c r="M836" s="4503">
        <v>46031</v>
      </c>
      <c r="N836" s="4553">
        <v>46027</v>
      </c>
      <c r="O836" s="4117"/>
      <c r="P836" s="4527" t="s">
        <v>82</v>
      </c>
      <c r="Q836" s="4156">
        <v>720</v>
      </c>
      <c r="R836" s="4157">
        <f t="shared" si="382"/>
        <v>0</v>
      </c>
      <c r="S836" s="4159" t="s">
        <v>2297</v>
      </c>
      <c r="T836" s="4159"/>
      <c r="U836" s="3726" t="s">
        <v>151</v>
      </c>
      <c r="V836" s="3711" t="s">
        <v>5146</v>
      </c>
      <c r="W836" s="3711"/>
      <c r="X836" s="3711" t="s">
        <v>5147</v>
      </c>
      <c r="Y836" s="3711"/>
      <c r="Z836" s="4154"/>
      <c r="AA836" s="3680" t="s">
        <v>5374</v>
      </c>
      <c r="AB836" s="4154" t="s">
        <v>405</v>
      </c>
      <c r="AC836" s="4154">
        <v>2.0845</v>
      </c>
      <c r="AD836" s="4154">
        <f t="shared" si="381"/>
        <v>1500.84</v>
      </c>
      <c r="AE836" s="3726"/>
      <c r="AF836" s="4160" t="s">
        <v>3444</v>
      </c>
      <c r="AG836" s="3726" t="s">
        <v>416</v>
      </c>
      <c r="AH836" s="4430"/>
      <c r="AI836" s="4154"/>
      <c r="AJ836" s="4154"/>
      <c r="AK836" s="4430"/>
      <c r="AL836" s="3708"/>
      <c r="AM836" s="3708">
        <f t="shared" si="383"/>
        <v>720</v>
      </c>
      <c r="AN836" s="4154"/>
      <c r="AO836" s="4154"/>
      <c r="AP836" s="4154">
        <f t="shared" si="370"/>
        <v>720</v>
      </c>
      <c r="AQ836" s="1048"/>
      <c r="AR836" s="4413"/>
      <c r="AS836" s="1048"/>
      <c r="AT836" s="4413"/>
      <c r="AU836" s="1048">
        <f>I836</f>
        <v>720</v>
      </c>
      <c r="AV836" s="1048"/>
      <c r="AW836" s="1048"/>
      <c r="AX836" s="1048"/>
      <c r="AY836" s="1048"/>
      <c r="AZ836" s="1048"/>
      <c r="BA836" s="1048"/>
      <c r="BB836" s="1048"/>
      <c r="BC836" s="1048"/>
      <c r="BD836" s="1048"/>
      <c r="BE836" s="1048"/>
      <c r="BF836" s="1048" t="s">
        <v>89</v>
      </c>
      <c r="BG836" s="1048"/>
      <c r="BH836" s="4510">
        <f t="shared" si="372"/>
        <v>120</v>
      </c>
      <c r="BI836" s="4510">
        <f t="shared" si="373"/>
        <v>120</v>
      </c>
      <c r="BJ836" s="4510">
        <f t="shared" si="374"/>
        <v>120</v>
      </c>
      <c r="BK836" s="4510">
        <f t="shared" si="375"/>
        <v>120</v>
      </c>
      <c r="BL836" s="4510">
        <f t="shared" si="376"/>
        <v>120</v>
      </c>
      <c r="BM836" s="4510">
        <f t="shared" si="377"/>
        <v>96</v>
      </c>
      <c r="BN836" s="4510">
        <f t="shared" si="378"/>
        <v>24</v>
      </c>
      <c r="BO836" s="4413"/>
      <c r="BP836" s="4413"/>
      <c r="BQ836" s="4413"/>
      <c r="BR836" s="4413"/>
      <c r="BS836" s="4413"/>
      <c r="BT836" s="4431"/>
      <c r="BU836" s="4432"/>
      <c r="BV836" s="4525">
        <f t="shared" si="379"/>
        <v>720</v>
      </c>
      <c r="BW836" s="4526">
        <f t="shared" si="361"/>
        <v>0</v>
      </c>
      <c r="BX836" s="4554"/>
      <c r="BY836" s="4554"/>
      <c r="BZ836" s="4554"/>
      <c r="CA836" s="4555"/>
      <c r="CC836" s="4555"/>
      <c r="CD836" s="4511"/>
    </row>
    <row r="837" s="4316" customFormat="1" ht="50" customHeight="1" spans="1:85">
      <c r="A837" s="4500">
        <v>45957</v>
      </c>
      <c r="B837" s="4501" t="s">
        <v>1057</v>
      </c>
      <c r="C837" s="3708" t="s">
        <v>396</v>
      </c>
      <c r="D837" s="4502">
        <v>4500183051</v>
      </c>
      <c r="E837" s="3708" t="s">
        <v>5372</v>
      </c>
      <c r="F837" s="4502" t="s">
        <v>5376</v>
      </c>
      <c r="G837" s="3708" t="s">
        <v>2619</v>
      </c>
      <c r="H837" s="3708" t="s">
        <v>2620</v>
      </c>
      <c r="I837" s="4154">
        <v>192</v>
      </c>
      <c r="J837" s="4154">
        <v>0</v>
      </c>
      <c r="K837" s="4154">
        <v>24</v>
      </c>
      <c r="L837" s="4154">
        <f t="shared" si="380"/>
        <v>8</v>
      </c>
      <c r="M837" s="4503">
        <v>46031</v>
      </c>
      <c r="N837" s="4553">
        <v>46027</v>
      </c>
      <c r="O837" s="4117"/>
      <c r="P837" s="4527" t="s">
        <v>82</v>
      </c>
      <c r="Q837" s="4156">
        <v>192</v>
      </c>
      <c r="R837" s="4157">
        <f t="shared" si="382"/>
        <v>0</v>
      </c>
      <c r="S837" s="4159" t="s">
        <v>2297</v>
      </c>
      <c r="T837" s="4159"/>
      <c r="U837" s="3726" t="s">
        <v>151</v>
      </c>
      <c r="V837" s="3711" t="s">
        <v>5146</v>
      </c>
      <c r="W837" s="3711"/>
      <c r="X837" s="3711" t="s">
        <v>5147</v>
      </c>
      <c r="Y837" s="3711"/>
      <c r="Z837" s="4154"/>
      <c r="AA837" s="3680" t="s">
        <v>5374</v>
      </c>
      <c r="AB837" s="4154" t="s">
        <v>405</v>
      </c>
      <c r="AC837" s="4154">
        <v>2.0845</v>
      </c>
      <c r="AD837" s="4154">
        <f t="shared" si="381"/>
        <v>400.224</v>
      </c>
      <c r="AE837" s="3726"/>
      <c r="AF837" s="4160" t="s">
        <v>3444</v>
      </c>
      <c r="AG837" s="3726" t="s">
        <v>416</v>
      </c>
      <c r="AH837" s="4430"/>
      <c r="AI837" s="4154"/>
      <c r="AJ837" s="4154"/>
      <c r="AK837" s="4430"/>
      <c r="AL837" s="3708"/>
      <c r="AM837" s="3708">
        <f t="shared" si="383"/>
        <v>192</v>
      </c>
      <c r="AN837" s="4154"/>
      <c r="AO837" s="4154"/>
      <c r="AP837" s="4154">
        <f t="shared" si="370"/>
        <v>192</v>
      </c>
      <c r="AQ837" s="1048"/>
      <c r="AR837" s="4413"/>
      <c r="AS837" s="1048"/>
      <c r="AT837" s="4413"/>
      <c r="AU837" s="1048">
        <f>I837</f>
        <v>192</v>
      </c>
      <c r="AV837" s="1048"/>
      <c r="AW837" s="1048"/>
      <c r="AX837" s="1048"/>
      <c r="AY837" s="1048"/>
      <c r="AZ837" s="1048"/>
      <c r="BA837" s="1048"/>
      <c r="BB837" s="1048"/>
      <c r="BC837" s="1048"/>
      <c r="BD837" s="1048"/>
      <c r="BE837" s="1048"/>
      <c r="BF837" s="1048" t="s">
        <v>89</v>
      </c>
      <c r="BG837" s="1048"/>
      <c r="BH837" s="4510">
        <f t="shared" si="372"/>
        <v>32</v>
      </c>
      <c r="BI837" s="4510">
        <f t="shared" si="373"/>
        <v>32</v>
      </c>
      <c r="BJ837" s="4510">
        <f t="shared" si="374"/>
        <v>32</v>
      </c>
      <c r="BK837" s="4510">
        <f t="shared" si="375"/>
        <v>32</v>
      </c>
      <c r="BL837" s="4510">
        <f t="shared" si="376"/>
        <v>32</v>
      </c>
      <c r="BM837" s="4510">
        <f t="shared" si="377"/>
        <v>25.6</v>
      </c>
      <c r="BN837" s="4510">
        <f t="shared" si="378"/>
        <v>6.4</v>
      </c>
      <c r="BO837" s="4413"/>
      <c r="BP837" s="4413"/>
      <c r="BQ837" s="4413"/>
      <c r="BR837" s="4413"/>
      <c r="BS837" s="4413"/>
      <c r="BT837" s="4431"/>
      <c r="BU837" s="4432"/>
      <c r="BV837" s="4525">
        <f t="shared" si="379"/>
        <v>192</v>
      </c>
      <c r="BW837" s="4526">
        <f t="shared" ref="BW837:BW851" si="384">I837-BV837</f>
        <v>0</v>
      </c>
      <c r="BX837" s="4554"/>
      <c r="BY837" s="4554"/>
      <c r="BZ837" s="4554"/>
      <c r="CA837" s="4555"/>
      <c r="CC837" s="4555"/>
      <c r="CD837" s="4511"/>
    </row>
    <row r="838" s="4316" customFormat="1" ht="50" customHeight="1" spans="1:85">
      <c r="A838" s="4500">
        <v>45957</v>
      </c>
      <c r="B838" s="4501" t="s">
        <v>1057</v>
      </c>
      <c r="C838" s="3708" t="s">
        <v>396</v>
      </c>
      <c r="D838" s="4502">
        <v>4500183043</v>
      </c>
      <c r="E838" s="3708" t="s">
        <v>5149</v>
      </c>
      <c r="F838" s="4502" t="s">
        <v>5377</v>
      </c>
      <c r="G838" s="3708" t="s">
        <v>2619</v>
      </c>
      <c r="H838" s="3708" t="s">
        <v>2620</v>
      </c>
      <c r="I838" s="4154">
        <v>720</v>
      </c>
      <c r="J838" s="4154">
        <v>0</v>
      </c>
      <c r="K838" s="4154">
        <v>24</v>
      </c>
      <c r="L838" s="4154">
        <f t="shared" si="380"/>
        <v>30</v>
      </c>
      <c r="M838" s="4503">
        <v>46031</v>
      </c>
      <c r="N838" s="4553">
        <v>46027</v>
      </c>
      <c r="O838" s="4117"/>
      <c r="P838" s="4527" t="s">
        <v>82</v>
      </c>
      <c r="Q838" s="4156">
        <v>720</v>
      </c>
      <c r="R838" s="4157">
        <f t="shared" si="382"/>
        <v>0</v>
      </c>
      <c r="S838" s="4159" t="s">
        <v>2297</v>
      </c>
      <c r="T838" s="4159"/>
      <c r="U838" s="3726" t="s">
        <v>151</v>
      </c>
      <c r="V838" s="3711" t="s">
        <v>5146</v>
      </c>
      <c r="W838" s="3711"/>
      <c r="X838" s="3711" t="s">
        <v>5147</v>
      </c>
      <c r="Y838" s="3711"/>
      <c r="Z838" s="4154"/>
      <c r="AA838" s="3680" t="s">
        <v>5148</v>
      </c>
      <c r="AB838" s="4154" t="s">
        <v>405</v>
      </c>
      <c r="AC838" s="4154">
        <v>2.0845</v>
      </c>
      <c r="AD838" s="4154">
        <f t="shared" si="381"/>
        <v>1500.84</v>
      </c>
      <c r="AE838" s="4148" t="s">
        <v>5154</v>
      </c>
      <c r="AF838" s="4160" t="s">
        <v>3444</v>
      </c>
      <c r="AG838" s="3726" t="s">
        <v>416</v>
      </c>
      <c r="AH838" s="4430"/>
      <c r="AI838" s="4154"/>
      <c r="AJ838" s="4154"/>
      <c r="AK838" s="4430"/>
      <c r="AL838" s="3708"/>
      <c r="AM838" s="3708">
        <f t="shared" si="383"/>
        <v>720</v>
      </c>
      <c r="AN838" s="4154"/>
      <c r="AO838" s="4154"/>
      <c r="AP838" s="4154">
        <f t="shared" si="370"/>
        <v>720</v>
      </c>
      <c r="AQ838" s="1048"/>
      <c r="AR838" s="4413"/>
      <c r="AS838" s="1048"/>
      <c r="AT838" s="4413"/>
      <c r="AU838" s="1048">
        <f>I838</f>
        <v>720</v>
      </c>
      <c r="AV838" s="1048"/>
      <c r="AW838" s="1048"/>
      <c r="AX838" s="1048"/>
      <c r="AY838" s="1048"/>
      <c r="AZ838" s="1048"/>
      <c r="BA838" s="1048"/>
      <c r="BB838" s="1048"/>
      <c r="BC838" s="1048"/>
      <c r="BD838" s="1048"/>
      <c r="BE838" s="1048"/>
      <c r="BF838" s="1048" t="s">
        <v>89</v>
      </c>
      <c r="BG838" s="1048"/>
      <c r="BH838" s="4510">
        <f t="shared" si="372"/>
        <v>120</v>
      </c>
      <c r="BI838" s="4510">
        <f t="shared" si="373"/>
        <v>120</v>
      </c>
      <c r="BJ838" s="4510">
        <f t="shared" si="374"/>
        <v>120</v>
      </c>
      <c r="BK838" s="4510">
        <f t="shared" si="375"/>
        <v>120</v>
      </c>
      <c r="BL838" s="4510">
        <f t="shared" si="376"/>
        <v>120</v>
      </c>
      <c r="BM838" s="4510">
        <f t="shared" si="377"/>
        <v>96</v>
      </c>
      <c r="BN838" s="4510">
        <f t="shared" si="378"/>
        <v>24</v>
      </c>
      <c r="BO838" s="4413"/>
      <c r="BP838" s="4413"/>
      <c r="BQ838" s="4413"/>
      <c r="BR838" s="4413"/>
      <c r="BS838" s="4413"/>
      <c r="BT838" s="4431"/>
      <c r="BU838" s="4432"/>
      <c r="BV838" s="4525">
        <f t="shared" si="379"/>
        <v>720</v>
      </c>
      <c r="BW838" s="4526">
        <f t="shared" si="384"/>
        <v>0</v>
      </c>
      <c r="BX838" s="4554"/>
      <c r="BY838" s="4554"/>
      <c r="BZ838" s="4554"/>
      <c r="CA838" s="4555"/>
      <c r="CC838" s="4555"/>
      <c r="CD838" s="4511"/>
    </row>
    <row r="839" s="4316" customFormat="1" ht="50" customHeight="1" spans="1:85">
      <c r="A839" s="4500">
        <v>45968</v>
      </c>
      <c r="B839" s="4501" t="s">
        <v>1331</v>
      </c>
      <c r="C839" s="3708" t="s">
        <v>1332</v>
      </c>
      <c r="D839" s="4502">
        <v>4500183616</v>
      </c>
      <c r="E839" s="3708" t="s">
        <v>5378</v>
      </c>
      <c r="F839" s="4502" t="s">
        <v>5379</v>
      </c>
      <c r="G839" s="3708" t="s">
        <v>2577</v>
      </c>
      <c r="H839" s="3708" t="s">
        <v>2578</v>
      </c>
      <c r="I839" s="4154">
        <v>960</v>
      </c>
      <c r="J839" s="4154">
        <v>0</v>
      </c>
      <c r="K839" s="4154">
        <v>12</v>
      </c>
      <c r="L839" s="4154">
        <f t="shared" si="380"/>
        <v>80</v>
      </c>
      <c r="M839" s="4503">
        <v>46031</v>
      </c>
      <c r="N839" s="4553">
        <v>46027</v>
      </c>
      <c r="O839" s="4117"/>
      <c r="P839" s="4527" t="s">
        <v>82</v>
      </c>
      <c r="Q839" s="4156">
        <v>960</v>
      </c>
      <c r="R839" s="4157">
        <f t="shared" si="382"/>
        <v>0</v>
      </c>
      <c r="S839" s="4159" t="s">
        <v>2297</v>
      </c>
      <c r="T839" s="4159"/>
      <c r="U839" s="3726" t="s">
        <v>427</v>
      </c>
      <c r="V839" s="3711" t="s">
        <v>2299</v>
      </c>
      <c r="W839" s="3711"/>
      <c r="X839" s="3711" t="s">
        <v>5380</v>
      </c>
      <c r="Y839" s="3711"/>
      <c r="Z839" s="4154"/>
      <c r="AA839" s="3680" t="s">
        <v>5381</v>
      </c>
      <c r="AB839" s="4154" t="s">
        <v>459</v>
      </c>
      <c r="AC839" s="4154">
        <v>2.1438</v>
      </c>
      <c r="AD839" s="4154">
        <f t="shared" si="381"/>
        <v>2058.048</v>
      </c>
      <c r="AE839" s="3699" t="s">
        <v>5382</v>
      </c>
      <c r="AF839" s="3708" t="s">
        <v>2604</v>
      </c>
      <c r="AG839" s="3726" t="s">
        <v>416</v>
      </c>
      <c r="AH839" s="4412"/>
      <c r="AI839" s="4154"/>
      <c r="AJ839" s="4154"/>
      <c r="AK839" s="4412"/>
      <c r="AL839" s="3708"/>
      <c r="AM839" s="3708">
        <f t="shared" si="383"/>
        <v>960</v>
      </c>
      <c r="AN839" s="4154"/>
      <c r="AO839" s="4154"/>
      <c r="AP839" s="4154">
        <f t="shared" si="370"/>
        <v>960</v>
      </c>
      <c r="AQ839" s="1048"/>
      <c r="AR839" s="1040"/>
      <c r="AS839" s="1048">
        <f t="shared" ref="AS839:AS851" si="385">I839</f>
        <v>960</v>
      </c>
      <c r="AT839" s="1040"/>
      <c r="AU839" s="1048"/>
      <c r="AV839" s="1048"/>
      <c r="AW839" s="1048">
        <f>I839/6</f>
        <v>160</v>
      </c>
      <c r="AX839" s="1048"/>
      <c r="AY839" s="1048"/>
      <c r="AZ839" s="1048"/>
      <c r="BA839" s="1048"/>
      <c r="BB839" s="1048"/>
      <c r="BC839" s="1048"/>
      <c r="BD839" s="1048"/>
      <c r="BE839" s="1048"/>
      <c r="BF839" s="1048" t="s">
        <v>89</v>
      </c>
      <c r="BG839" s="1048"/>
      <c r="BH839" s="1048">
        <f t="shared" si="372"/>
        <v>160</v>
      </c>
      <c r="BI839" s="1048">
        <f t="shared" si="373"/>
        <v>160</v>
      </c>
      <c r="BJ839" s="1048">
        <f t="shared" si="374"/>
        <v>160</v>
      </c>
      <c r="BK839" s="1048">
        <f t="shared" si="375"/>
        <v>160</v>
      </c>
      <c r="BL839" s="1048">
        <f t="shared" si="376"/>
        <v>160</v>
      </c>
      <c r="BM839" s="1048">
        <f t="shared" si="377"/>
        <v>128</v>
      </c>
      <c r="BN839" s="1048">
        <f t="shared" si="378"/>
        <v>32</v>
      </c>
      <c r="BO839" s="1040"/>
      <c r="BP839" s="1040"/>
      <c r="BQ839" s="1040"/>
      <c r="BR839" s="1040"/>
      <c r="BS839" s="1040"/>
      <c r="BT839" s="1041"/>
      <c r="BU839" s="4524"/>
      <c r="BV839" s="4505">
        <f t="shared" si="379"/>
        <v>960</v>
      </c>
      <c r="BW839" s="4506">
        <f t="shared" si="384"/>
        <v>0</v>
      </c>
      <c r="BX839" s="4554"/>
      <c r="BY839" s="4554"/>
      <c r="BZ839" s="4554"/>
      <c r="CA839" s="4555"/>
      <c r="CC839" s="4555"/>
      <c r="CD839" s="4511"/>
    </row>
    <row r="840" s="4316" customFormat="1" ht="50" customHeight="1" spans="1:85">
      <c r="A840" s="4500">
        <v>45994</v>
      </c>
      <c r="B840" s="4501" t="s">
        <v>2903</v>
      </c>
      <c r="C840" s="3708" t="s">
        <v>1279</v>
      </c>
      <c r="D840" s="4502">
        <v>4500187838</v>
      </c>
      <c r="E840" s="3708"/>
      <c r="F840" s="4502" t="s">
        <v>5383</v>
      </c>
      <c r="G840" s="3708" t="s">
        <v>2577</v>
      </c>
      <c r="H840" s="3708" t="s">
        <v>2578</v>
      </c>
      <c r="I840" s="4154">
        <v>240</v>
      </c>
      <c r="J840" s="4154">
        <v>0</v>
      </c>
      <c r="K840" s="4154">
        <v>12</v>
      </c>
      <c r="L840" s="4154">
        <f t="shared" si="380"/>
        <v>20</v>
      </c>
      <c r="M840" s="4503">
        <v>46031</v>
      </c>
      <c r="N840" s="4553">
        <v>46027</v>
      </c>
      <c r="O840" s="3708" t="s">
        <v>5384</v>
      </c>
      <c r="P840" s="4527" t="s">
        <v>82</v>
      </c>
      <c r="Q840" s="4156">
        <v>240</v>
      </c>
      <c r="R840" s="4157">
        <f t="shared" si="382"/>
        <v>0</v>
      </c>
      <c r="S840" s="4159" t="s">
        <v>2297</v>
      </c>
      <c r="T840" s="4159"/>
      <c r="U840" s="4160" t="s">
        <v>2599</v>
      </c>
      <c r="V840" s="3711" t="s">
        <v>510</v>
      </c>
      <c r="W840" s="3711"/>
      <c r="X840" s="3711" t="s">
        <v>5385</v>
      </c>
      <c r="Y840" s="3711"/>
      <c r="Z840" s="4154"/>
      <c r="AA840" s="3680" t="s">
        <v>5386</v>
      </c>
      <c r="AB840" s="4154" t="s">
        <v>3224</v>
      </c>
      <c r="AC840" s="4154">
        <v>2.1438</v>
      </c>
      <c r="AD840" s="4154">
        <f t="shared" si="381"/>
        <v>514.512</v>
      </c>
      <c r="AE840" s="4161" t="s">
        <v>5387</v>
      </c>
      <c r="AF840" s="3708" t="s">
        <v>2604</v>
      </c>
      <c r="AG840" s="3726" t="s">
        <v>416</v>
      </c>
      <c r="AH840" s="3708"/>
      <c r="AI840" s="4154"/>
      <c r="AJ840" s="4154"/>
      <c r="AK840" s="3708"/>
      <c r="AL840" s="3708"/>
      <c r="AM840" s="3708">
        <f t="shared" si="383"/>
        <v>240</v>
      </c>
      <c r="AN840" s="4154"/>
      <c r="AO840" s="4154"/>
      <c r="AP840" s="4154">
        <f t="shared" si="370"/>
        <v>240</v>
      </c>
      <c r="AQ840" s="1048"/>
      <c r="AR840" s="1048"/>
      <c r="AS840" s="1048">
        <f t="shared" si="385"/>
        <v>240</v>
      </c>
      <c r="AT840" s="1048"/>
      <c r="AU840" s="1048"/>
      <c r="AV840" s="1048"/>
      <c r="AW840" s="1048">
        <f>I840/6</f>
        <v>40</v>
      </c>
      <c r="AX840" s="1048"/>
      <c r="AY840" s="1048"/>
      <c r="AZ840" s="1048"/>
      <c r="BA840" s="1048"/>
      <c r="BB840" s="1048"/>
      <c r="BC840" s="1048"/>
      <c r="BD840" s="1048"/>
      <c r="BE840" s="1048"/>
      <c r="BF840" s="1048" t="s">
        <v>89</v>
      </c>
      <c r="BG840" s="1048"/>
      <c r="BH840" s="1048">
        <f t="shared" si="372"/>
        <v>40</v>
      </c>
      <c r="BI840" s="1048">
        <f t="shared" si="373"/>
        <v>40</v>
      </c>
      <c r="BJ840" s="1048">
        <f t="shared" si="374"/>
        <v>40</v>
      </c>
      <c r="BK840" s="1048">
        <f t="shared" si="375"/>
        <v>40</v>
      </c>
      <c r="BL840" s="1048">
        <f t="shared" si="376"/>
        <v>40</v>
      </c>
      <c r="BM840" s="1048">
        <f t="shared" si="377"/>
        <v>32</v>
      </c>
      <c r="BN840" s="1048">
        <f t="shared" si="378"/>
        <v>8</v>
      </c>
      <c r="BO840" s="1048"/>
      <c r="BP840" s="1048"/>
      <c r="BQ840" s="1048"/>
      <c r="BR840" s="1048"/>
      <c r="BS840" s="1048"/>
      <c r="BT840" s="4414"/>
      <c r="BU840" s="4415"/>
      <c r="BV840" s="4505">
        <f t="shared" si="379"/>
        <v>240</v>
      </c>
      <c r="BW840" s="4506">
        <f t="shared" si="384"/>
        <v>0</v>
      </c>
      <c r="BX840" s="4554"/>
      <c r="BY840" s="4554"/>
      <c r="BZ840" s="4554"/>
      <c r="CA840" s="4555"/>
      <c r="CC840" s="4555"/>
      <c r="CD840" s="4511"/>
    </row>
    <row r="841" s="4316" customFormat="1" ht="50" customHeight="1" spans="1:85">
      <c r="A841" s="4500">
        <v>45928</v>
      </c>
      <c r="B841" s="4501" t="s">
        <v>5388</v>
      </c>
      <c r="C841" s="3708" t="s">
        <v>3772</v>
      </c>
      <c r="D841" s="4502">
        <v>4500180717</v>
      </c>
      <c r="E841" s="3708" t="s">
        <v>5389</v>
      </c>
      <c r="F841" s="4502" t="s">
        <v>5390</v>
      </c>
      <c r="G841" s="3708" t="s">
        <v>2577</v>
      </c>
      <c r="H841" s="3708" t="s">
        <v>2578</v>
      </c>
      <c r="I841" s="4154">
        <v>4476</v>
      </c>
      <c r="J841" s="4154">
        <v>0</v>
      </c>
      <c r="K841" s="4154">
        <v>12</v>
      </c>
      <c r="L841" s="4154">
        <f t="shared" si="380"/>
        <v>373</v>
      </c>
      <c r="M841" s="4503">
        <v>46006</v>
      </c>
      <c r="N841" s="4553">
        <v>46028</v>
      </c>
      <c r="O841" s="3708"/>
      <c r="P841" s="4527" t="s">
        <v>82</v>
      </c>
      <c r="Q841" s="4156">
        <v>4476</v>
      </c>
      <c r="R841" s="4157">
        <f t="shared" si="382"/>
        <v>0</v>
      </c>
      <c r="S841" s="4162" t="s">
        <v>2297</v>
      </c>
      <c r="T841" s="4159"/>
      <c r="U841" s="3726" t="s">
        <v>110</v>
      </c>
      <c r="V841" s="3711" t="s">
        <v>2669</v>
      </c>
      <c r="W841" s="3711"/>
      <c r="X841" s="3711" t="s">
        <v>5391</v>
      </c>
      <c r="Y841" s="3711"/>
      <c r="Z841" s="4154"/>
      <c r="AA841" s="3680" t="s">
        <v>5392</v>
      </c>
      <c r="AB841" s="4154" t="s">
        <v>4965</v>
      </c>
      <c r="AC841" s="4154">
        <v>2.0853</v>
      </c>
      <c r="AD841" s="4154">
        <f t="shared" si="381"/>
        <v>9333.8028</v>
      </c>
      <c r="AE841" s="3726"/>
      <c r="AF841" s="3708" t="s">
        <v>5393</v>
      </c>
      <c r="AG841" s="3726" t="s">
        <v>416</v>
      </c>
      <c r="AH841" s="4430"/>
      <c r="AI841" s="4154"/>
      <c r="AJ841" s="4154"/>
      <c r="AK841" s="4430"/>
      <c r="AL841" s="3708"/>
      <c r="AM841" s="3708"/>
      <c r="AN841" s="4509">
        <f>I841</f>
        <v>4476</v>
      </c>
      <c r="AO841" s="4154"/>
      <c r="AP841" s="4154"/>
      <c r="AQ841" s="1048">
        <f>I841</f>
        <v>4476</v>
      </c>
      <c r="AR841" s="4413"/>
      <c r="AS841" s="1048">
        <f t="shared" si="385"/>
        <v>4476</v>
      </c>
      <c r="AT841" s="4413"/>
      <c r="AU841" s="1048"/>
      <c r="AV841" s="1048"/>
      <c r="AW841" s="4510"/>
      <c r="AX841" s="1048"/>
      <c r="AY841" s="1048"/>
      <c r="AZ841" s="1048"/>
      <c r="BA841" s="1048"/>
      <c r="BB841" s="1048"/>
      <c r="BC841" s="4510">
        <f>I841/6</f>
        <v>746</v>
      </c>
      <c r="BD841" s="1048"/>
      <c r="BE841" s="1048"/>
      <c r="BF841" s="1048" t="s">
        <v>89</v>
      </c>
      <c r="BG841" s="1048"/>
      <c r="BH841" s="1048">
        <f t="shared" si="372"/>
        <v>746</v>
      </c>
      <c r="BI841" s="1048">
        <f t="shared" si="373"/>
        <v>746</v>
      </c>
      <c r="BJ841" s="1048">
        <f t="shared" si="374"/>
        <v>746</v>
      </c>
      <c r="BK841" s="1048">
        <f t="shared" si="375"/>
        <v>746</v>
      </c>
      <c r="BL841" s="1048">
        <f t="shared" si="376"/>
        <v>746</v>
      </c>
      <c r="BM841" s="1048">
        <f t="shared" si="377"/>
        <v>596.8</v>
      </c>
      <c r="BN841" s="1048">
        <f t="shared" si="378"/>
        <v>149.2</v>
      </c>
      <c r="BO841" s="4413"/>
      <c r="BP841" s="4413"/>
      <c r="BQ841" s="4413"/>
      <c r="BR841" s="4413"/>
      <c r="BS841" s="4413"/>
      <c r="BT841" s="4431"/>
      <c r="BU841" s="4432"/>
      <c r="BV841" s="4505">
        <f t="shared" si="379"/>
        <v>4476</v>
      </c>
      <c r="BW841" s="4506">
        <f t="shared" si="384"/>
        <v>0</v>
      </c>
      <c r="BX841" s="4323"/>
      <c r="BY841" s="4323"/>
      <c r="BZ841" s="4554"/>
      <c r="CA841" s="4555"/>
      <c r="CC841" s="4555"/>
      <c r="CD841" s="4511"/>
    </row>
    <row r="842" s="4316" customFormat="1" ht="50" customHeight="1" spans="1:85">
      <c r="A842" s="4500">
        <v>46013</v>
      </c>
      <c r="B842" s="4501" t="s">
        <v>5394</v>
      </c>
      <c r="C842" s="3708" t="s">
        <v>5395</v>
      </c>
      <c r="D842" s="4502">
        <v>4500189510</v>
      </c>
      <c r="E842" s="3708"/>
      <c r="F842" s="4502" t="s">
        <v>5396</v>
      </c>
      <c r="G842" s="3708" t="s">
        <v>2577</v>
      </c>
      <c r="H842" s="3708" t="s">
        <v>2578</v>
      </c>
      <c r="I842" s="4154">
        <v>720</v>
      </c>
      <c r="J842" s="4154">
        <v>0</v>
      </c>
      <c r="K842" s="4154">
        <v>12</v>
      </c>
      <c r="L842" s="4154">
        <f t="shared" si="380"/>
        <v>60</v>
      </c>
      <c r="M842" s="4503">
        <v>46006</v>
      </c>
      <c r="N842" s="4553">
        <v>46028</v>
      </c>
      <c r="O842" s="4117" t="s">
        <v>5397</v>
      </c>
      <c r="P842" s="4527" t="s">
        <v>82</v>
      </c>
      <c r="Q842" s="4156">
        <v>720</v>
      </c>
      <c r="R842" s="4157">
        <f t="shared" si="382"/>
        <v>0</v>
      </c>
      <c r="S842" s="4162"/>
      <c r="T842" s="4159"/>
      <c r="U842" s="3726" t="s">
        <v>5398</v>
      </c>
      <c r="V842" s="3711" t="s">
        <v>5226</v>
      </c>
      <c r="W842" s="3710"/>
      <c r="X842" s="3711" t="s">
        <v>5391</v>
      </c>
      <c r="Y842" s="3711"/>
      <c r="Z842" s="4154"/>
      <c r="AA842" s="3680" t="s">
        <v>5399</v>
      </c>
      <c r="AB842" s="4154" t="s">
        <v>4965</v>
      </c>
      <c r="AC842" s="4154">
        <v>2.0933</v>
      </c>
      <c r="AD842" s="4154">
        <f t="shared" si="381"/>
        <v>1507.176</v>
      </c>
      <c r="AE842" s="3726"/>
      <c r="AF842" s="3708" t="s">
        <v>5393</v>
      </c>
      <c r="AG842" s="3726" t="s">
        <v>5400</v>
      </c>
      <c r="AH842" s="4430"/>
      <c r="AI842" s="4154"/>
      <c r="AJ842" s="4154"/>
      <c r="AK842" s="4430"/>
      <c r="AL842" s="3708"/>
      <c r="AM842" s="3708"/>
      <c r="AN842" s="4154">
        <f>I842</f>
        <v>720</v>
      </c>
      <c r="AO842" s="4154"/>
      <c r="AP842" s="4154"/>
      <c r="AQ842" s="1048">
        <f>I842</f>
        <v>720</v>
      </c>
      <c r="AR842" s="4413"/>
      <c r="AS842" s="1048">
        <f t="shared" si="385"/>
        <v>720</v>
      </c>
      <c r="AT842" s="4413"/>
      <c r="AU842" s="1048"/>
      <c r="AV842" s="1048"/>
      <c r="AW842" s="1048"/>
      <c r="AX842" s="1048"/>
      <c r="AY842" s="1048"/>
      <c r="AZ842" s="1048"/>
      <c r="BA842" s="1048"/>
      <c r="BB842" s="1048"/>
      <c r="BC842" s="1048">
        <f>I842/6</f>
        <v>120</v>
      </c>
      <c r="BD842" s="1048"/>
      <c r="BE842" s="1048"/>
      <c r="BF842" s="1048" t="s">
        <v>89</v>
      </c>
      <c r="BG842" s="1048"/>
      <c r="BH842" s="1048">
        <f t="shared" si="372"/>
        <v>120</v>
      </c>
      <c r="BI842" s="1048">
        <f t="shared" si="373"/>
        <v>120</v>
      </c>
      <c r="BJ842" s="1048">
        <f t="shared" si="374"/>
        <v>120</v>
      </c>
      <c r="BK842" s="1048">
        <f t="shared" si="375"/>
        <v>120</v>
      </c>
      <c r="BL842" s="1048">
        <f t="shared" si="376"/>
        <v>120</v>
      </c>
      <c r="BM842" s="1048">
        <f t="shared" si="377"/>
        <v>96</v>
      </c>
      <c r="BN842" s="1048">
        <f t="shared" si="378"/>
        <v>24</v>
      </c>
      <c r="BO842" s="4413"/>
      <c r="BP842" s="4413"/>
      <c r="BQ842" s="4413"/>
      <c r="BR842" s="4413"/>
      <c r="BS842" s="4413"/>
      <c r="BT842" s="4431"/>
      <c r="BU842" s="4432"/>
      <c r="BV842" s="4505">
        <f t="shared" si="379"/>
        <v>720</v>
      </c>
      <c r="BW842" s="4506">
        <f t="shared" si="384"/>
        <v>0</v>
      </c>
      <c r="BX842" s="4554"/>
      <c r="BY842" s="4554"/>
      <c r="BZ842" s="4554"/>
      <c r="CA842" s="4511"/>
      <c r="CC842" s="4512"/>
      <c r="CD842" s="4511"/>
    </row>
    <row r="843" s="4316" customFormat="1" ht="50" customHeight="1" spans="1:85">
      <c r="A843" s="4500">
        <v>45928</v>
      </c>
      <c r="B843" s="4501" t="s">
        <v>5401</v>
      </c>
      <c r="C843" s="3708" t="s">
        <v>5402</v>
      </c>
      <c r="D843" s="4502">
        <v>4500180735</v>
      </c>
      <c r="E843" s="3708" t="s">
        <v>5403</v>
      </c>
      <c r="F843" s="4502" t="s">
        <v>5404</v>
      </c>
      <c r="G843" s="3708" t="s">
        <v>2577</v>
      </c>
      <c r="H843" s="3708" t="s">
        <v>2578</v>
      </c>
      <c r="I843" s="4154">
        <v>2400</v>
      </c>
      <c r="J843" s="4154">
        <v>0</v>
      </c>
      <c r="K843" s="4154">
        <v>12</v>
      </c>
      <c r="L843" s="4154">
        <f t="shared" si="380"/>
        <v>200</v>
      </c>
      <c r="M843" s="4503">
        <v>46006</v>
      </c>
      <c r="N843" s="4553">
        <v>46028</v>
      </c>
      <c r="O843" s="3708"/>
      <c r="P843" s="4527" t="s">
        <v>82</v>
      </c>
      <c r="Q843" s="4156">
        <v>2400</v>
      </c>
      <c r="R843" s="4157">
        <f t="shared" si="382"/>
        <v>0</v>
      </c>
      <c r="S843" s="4162"/>
      <c r="T843" s="4159"/>
      <c r="U843" s="3726" t="s">
        <v>5405</v>
      </c>
      <c r="V843" s="3711" t="s">
        <v>2669</v>
      </c>
      <c r="W843" s="3711"/>
      <c r="X843" s="3711" t="s">
        <v>5391</v>
      </c>
      <c r="Y843" s="3711"/>
      <c r="Z843" s="4154"/>
      <c r="AA843" s="3680" t="s">
        <v>5406</v>
      </c>
      <c r="AB843" s="4154" t="s">
        <v>4965</v>
      </c>
      <c r="AC843" s="4154">
        <v>2.0887</v>
      </c>
      <c r="AD843" s="4154">
        <f t="shared" si="381"/>
        <v>5012.88</v>
      </c>
      <c r="AE843" s="4563" t="s">
        <v>5407</v>
      </c>
      <c r="AF843" s="3708" t="s">
        <v>5393</v>
      </c>
      <c r="AG843" s="3726" t="s">
        <v>416</v>
      </c>
      <c r="AH843" s="4430"/>
      <c r="AI843" s="4154"/>
      <c r="AJ843" s="4154"/>
      <c r="AK843" s="4430"/>
      <c r="AL843" s="3708"/>
      <c r="AM843" s="3708"/>
      <c r="AN843" s="4509">
        <f>I843</f>
        <v>2400</v>
      </c>
      <c r="AO843" s="4154"/>
      <c r="AP843" s="4154"/>
      <c r="AQ843" s="1048">
        <f>I843</f>
        <v>2400</v>
      </c>
      <c r="AR843" s="4413"/>
      <c r="AS843" s="1048">
        <f t="shared" si="385"/>
        <v>2400</v>
      </c>
      <c r="AT843" s="4413"/>
      <c r="AU843" s="1048"/>
      <c r="AV843" s="1048"/>
      <c r="AW843" s="4510"/>
      <c r="AX843" s="1048"/>
      <c r="AY843" s="1048"/>
      <c r="AZ843" s="1048"/>
      <c r="BA843" s="1048"/>
      <c r="BB843" s="1048"/>
      <c r="BC843" s="4510">
        <f>I843/6</f>
        <v>400</v>
      </c>
      <c r="BD843" s="1048"/>
      <c r="BE843" s="1048"/>
      <c r="BF843" s="1048" t="s">
        <v>89</v>
      </c>
      <c r="BG843" s="1048"/>
      <c r="BH843" s="1048">
        <f t="shared" si="372"/>
        <v>400</v>
      </c>
      <c r="BI843" s="1048">
        <f t="shared" si="373"/>
        <v>400</v>
      </c>
      <c r="BJ843" s="1048">
        <f t="shared" si="374"/>
        <v>400</v>
      </c>
      <c r="BK843" s="1048">
        <f t="shared" si="375"/>
        <v>400</v>
      </c>
      <c r="BL843" s="1048">
        <f t="shared" si="376"/>
        <v>400</v>
      </c>
      <c r="BM843" s="1048">
        <f t="shared" si="377"/>
        <v>320</v>
      </c>
      <c r="BN843" s="1048">
        <f t="shared" si="378"/>
        <v>80</v>
      </c>
      <c r="BO843" s="4413"/>
      <c r="BP843" s="4413"/>
      <c r="BQ843" s="4413"/>
      <c r="BR843" s="4413"/>
      <c r="BS843" s="4413"/>
      <c r="BT843" s="4431"/>
      <c r="BU843" s="4432"/>
      <c r="BV843" s="4505">
        <f t="shared" si="379"/>
        <v>2400</v>
      </c>
      <c r="BW843" s="4506">
        <f t="shared" si="384"/>
        <v>0</v>
      </c>
      <c r="BX843" s="4323"/>
      <c r="BY843" s="4323"/>
      <c r="BZ843" s="4554"/>
      <c r="CA843" s="4555"/>
      <c r="CC843" s="4555"/>
      <c r="CD843" s="4511"/>
    </row>
    <row r="844" s="4316" customFormat="1" ht="50" customHeight="1" spans="1:85">
      <c r="A844" s="4500">
        <v>45928</v>
      </c>
      <c r="B844" s="4501" t="s">
        <v>5401</v>
      </c>
      <c r="C844" s="3708" t="s">
        <v>5408</v>
      </c>
      <c r="D844" s="4502">
        <v>4500180758</v>
      </c>
      <c r="E844" s="3708" t="s">
        <v>5409</v>
      </c>
      <c r="F844" s="4502" t="s">
        <v>5410</v>
      </c>
      <c r="G844" s="3708" t="s">
        <v>2577</v>
      </c>
      <c r="H844" s="3708" t="s">
        <v>2578</v>
      </c>
      <c r="I844" s="4154">
        <v>2412</v>
      </c>
      <c r="J844" s="4154">
        <v>0</v>
      </c>
      <c r="K844" s="4154">
        <v>12</v>
      </c>
      <c r="L844" s="4154">
        <f t="shared" si="380"/>
        <v>201</v>
      </c>
      <c r="M844" s="4503">
        <v>46006</v>
      </c>
      <c r="N844" s="4553">
        <v>46028</v>
      </c>
      <c r="O844" s="3708"/>
      <c r="P844" s="4527" t="s">
        <v>82</v>
      </c>
      <c r="Q844" s="4156">
        <v>2412</v>
      </c>
      <c r="R844" s="4157">
        <f t="shared" si="382"/>
        <v>0</v>
      </c>
      <c r="S844" s="4162"/>
      <c r="T844" s="4159"/>
      <c r="U844" s="3726" t="s">
        <v>2333</v>
      </c>
      <c r="V844" s="3711" t="s">
        <v>2669</v>
      </c>
      <c r="W844" s="3711"/>
      <c r="X844" s="3711" t="s">
        <v>5391</v>
      </c>
      <c r="Y844" s="3711"/>
      <c r="Z844" s="4154"/>
      <c r="AA844" s="3680" t="s">
        <v>5399</v>
      </c>
      <c r="AB844" s="4154" t="s">
        <v>4965</v>
      </c>
      <c r="AC844" s="4154">
        <v>2.0887</v>
      </c>
      <c r="AD844" s="4154">
        <f t="shared" si="381"/>
        <v>5037.9444</v>
      </c>
      <c r="AE844" s="3726"/>
      <c r="AF844" s="3708" t="s">
        <v>5393</v>
      </c>
      <c r="AG844" s="3726" t="s">
        <v>416</v>
      </c>
      <c r="AH844" s="4430"/>
      <c r="AI844" s="4154"/>
      <c r="AJ844" s="4154"/>
      <c r="AK844" s="4430"/>
      <c r="AL844" s="3708"/>
      <c r="AM844" s="3708"/>
      <c r="AN844" s="4509">
        <f>I844</f>
        <v>2412</v>
      </c>
      <c r="AO844" s="4154"/>
      <c r="AP844" s="4154"/>
      <c r="AQ844" s="1048">
        <f>I844</f>
        <v>2412</v>
      </c>
      <c r="AR844" s="4413"/>
      <c r="AS844" s="1048">
        <f t="shared" si="385"/>
        <v>2412</v>
      </c>
      <c r="AT844" s="4413"/>
      <c r="AU844" s="1048"/>
      <c r="AV844" s="1048"/>
      <c r="AW844" s="4510"/>
      <c r="AX844" s="1048"/>
      <c r="AY844" s="1048"/>
      <c r="AZ844" s="1048"/>
      <c r="BA844" s="1048"/>
      <c r="BB844" s="1048"/>
      <c r="BC844" s="4510">
        <f>I844/6</f>
        <v>402</v>
      </c>
      <c r="BD844" s="1048"/>
      <c r="BE844" s="1048"/>
      <c r="BF844" s="1048" t="s">
        <v>89</v>
      </c>
      <c r="BG844" s="1048"/>
      <c r="BH844" s="1048">
        <f t="shared" si="372"/>
        <v>402</v>
      </c>
      <c r="BI844" s="1048">
        <f t="shared" si="373"/>
        <v>402</v>
      </c>
      <c r="BJ844" s="1048">
        <f t="shared" si="374"/>
        <v>402</v>
      </c>
      <c r="BK844" s="1048">
        <f t="shared" si="375"/>
        <v>402</v>
      </c>
      <c r="BL844" s="1048">
        <f t="shared" si="376"/>
        <v>402</v>
      </c>
      <c r="BM844" s="1048">
        <f t="shared" si="377"/>
        <v>321.6</v>
      </c>
      <c r="BN844" s="1048">
        <f t="shared" si="378"/>
        <v>80.4</v>
      </c>
      <c r="BO844" s="4413"/>
      <c r="BP844" s="4413"/>
      <c r="BQ844" s="4413"/>
      <c r="BR844" s="4413"/>
      <c r="BS844" s="4413"/>
      <c r="BT844" s="4431"/>
      <c r="BU844" s="4432"/>
      <c r="BV844" s="4505">
        <f t="shared" si="379"/>
        <v>2412</v>
      </c>
      <c r="BW844" s="4506">
        <f t="shared" si="384"/>
        <v>0</v>
      </c>
      <c r="BX844" s="4323"/>
      <c r="BY844" s="4323"/>
      <c r="BZ844" s="4554"/>
      <c r="CA844" s="4555"/>
      <c r="CC844" s="4555"/>
      <c r="CD844" s="4511"/>
    </row>
    <row r="845" s="4316" customFormat="1" ht="50" customHeight="1" spans="1:85">
      <c r="A845" s="4500">
        <v>45992</v>
      </c>
      <c r="B845" s="4501" t="s">
        <v>5030</v>
      </c>
      <c r="C845" s="3708" t="s">
        <v>341</v>
      </c>
      <c r="D845" s="4502">
        <v>4500187528</v>
      </c>
      <c r="E845" s="3708">
        <v>2950867454</v>
      </c>
      <c r="F845" s="4502" t="s">
        <v>5411</v>
      </c>
      <c r="G845" s="3708" t="s">
        <v>5033</v>
      </c>
      <c r="H845" s="3708" t="s">
        <v>3069</v>
      </c>
      <c r="I845" s="4154">
        <v>2304</v>
      </c>
      <c r="J845" s="4154">
        <v>4</v>
      </c>
      <c r="K845" s="4154">
        <v>288</v>
      </c>
      <c r="L845" s="4154">
        <f t="shared" si="380"/>
        <v>8</v>
      </c>
      <c r="M845" s="4503">
        <v>46034</v>
      </c>
      <c r="N845" s="4553">
        <v>46030</v>
      </c>
      <c r="O845" s="4117"/>
      <c r="P845" s="4527" t="s">
        <v>82</v>
      </c>
      <c r="Q845" s="4156">
        <v>2304</v>
      </c>
      <c r="R845" s="4157">
        <f t="shared" si="382"/>
        <v>0</v>
      </c>
      <c r="S845" s="4556" t="s">
        <v>98</v>
      </c>
      <c r="T845" s="4159"/>
      <c r="U845" s="3726" t="s">
        <v>138</v>
      </c>
      <c r="V845" s="3711" t="s">
        <v>5265</v>
      </c>
      <c r="W845" s="3711"/>
      <c r="X845" s="3711" t="s">
        <v>98</v>
      </c>
      <c r="Y845" s="3711"/>
      <c r="Z845" s="4154"/>
      <c r="AA845" s="3680" t="s">
        <v>5412</v>
      </c>
      <c r="AB845" s="4154" t="s">
        <v>5106</v>
      </c>
      <c r="AC845" s="4154">
        <v>61.8059</v>
      </c>
      <c r="AD845" s="4154">
        <f>AC845*L845</f>
        <v>494.4472</v>
      </c>
      <c r="AE845" s="3726"/>
      <c r="AF845" s="3708" t="s">
        <v>5037</v>
      </c>
      <c r="AG845" s="3726" t="s">
        <v>416</v>
      </c>
      <c r="AH845" s="4430"/>
      <c r="AI845" s="4154"/>
      <c r="AJ845" s="4509">
        <f t="shared" ref="AJ845:AJ850" si="386">I845</f>
        <v>2304</v>
      </c>
      <c r="AK845" s="4430"/>
      <c r="AL845" s="3708"/>
      <c r="AM845" s="3708"/>
      <c r="AN845" s="4154"/>
      <c r="AO845" s="4154"/>
      <c r="AP845" s="4154">
        <f t="shared" ref="AP845:AP851" si="387">I845</f>
        <v>2304</v>
      </c>
      <c r="AQ845" s="1048"/>
      <c r="AR845" s="4413"/>
      <c r="AS845" s="1048">
        <f t="shared" si="385"/>
        <v>2304</v>
      </c>
      <c r="AT845" s="4413"/>
      <c r="AU845" s="1048"/>
      <c r="AV845" s="1048"/>
      <c r="AW845" s="1048"/>
      <c r="AX845" s="1048"/>
      <c r="AY845" s="1048"/>
      <c r="AZ845" s="1048"/>
      <c r="BA845" s="1048">
        <f>I845/4</f>
        <v>576</v>
      </c>
      <c r="BB845" s="1048"/>
      <c r="BC845" s="1048"/>
      <c r="BD845" s="1048"/>
      <c r="BE845" s="1048"/>
      <c r="BF845" s="1048" t="s">
        <v>89</v>
      </c>
      <c r="BG845" s="1048"/>
      <c r="BH845" s="1048">
        <f t="shared" si="372"/>
        <v>384</v>
      </c>
      <c r="BI845" s="1048">
        <f t="shared" si="373"/>
        <v>384</v>
      </c>
      <c r="BJ845" s="1048">
        <f t="shared" si="374"/>
        <v>384</v>
      </c>
      <c r="BK845" s="1048">
        <f t="shared" si="375"/>
        <v>384</v>
      </c>
      <c r="BL845" s="1048">
        <f t="shared" si="376"/>
        <v>384</v>
      </c>
      <c r="BM845" s="1048">
        <f t="shared" si="377"/>
        <v>307.2</v>
      </c>
      <c r="BN845" s="1048">
        <f t="shared" si="378"/>
        <v>76.8</v>
      </c>
      <c r="BO845" s="4413"/>
      <c r="BP845" s="4413"/>
      <c r="BQ845" s="4413"/>
      <c r="BR845" s="4413"/>
      <c r="BS845" s="4413"/>
      <c r="BT845" s="4431"/>
      <c r="BU845" s="4432"/>
      <c r="BV845" s="4505">
        <f t="shared" si="379"/>
        <v>2304</v>
      </c>
      <c r="BW845" s="4506">
        <f t="shared" si="384"/>
        <v>0</v>
      </c>
      <c r="BX845" s="4554"/>
      <c r="BY845" s="4554"/>
      <c r="BZ845" s="4554"/>
      <c r="CA845" s="4555"/>
      <c r="CC845" s="4555"/>
      <c r="CD845" s="4511"/>
    </row>
    <row r="846" s="4316" customFormat="1" ht="50" customHeight="1" spans="1:85">
      <c r="A846" s="4500">
        <v>45999</v>
      </c>
      <c r="B846" s="4501" t="s">
        <v>4694</v>
      </c>
      <c r="C846" s="3708" t="s">
        <v>506</v>
      </c>
      <c r="D846" s="4502">
        <v>4500188305</v>
      </c>
      <c r="E846" s="3708">
        <v>1038614</v>
      </c>
      <c r="F846" s="4502" t="s">
        <v>5413</v>
      </c>
      <c r="G846" s="3708" t="s">
        <v>2577</v>
      </c>
      <c r="H846" s="3708" t="s">
        <v>2578</v>
      </c>
      <c r="I846" s="4154">
        <v>360</v>
      </c>
      <c r="J846" s="4154">
        <v>0</v>
      </c>
      <c r="K846" s="4154">
        <v>12</v>
      </c>
      <c r="L846" s="4154">
        <f t="shared" si="380"/>
        <v>30</v>
      </c>
      <c r="M846" s="4503">
        <v>46034</v>
      </c>
      <c r="N846" s="4553">
        <v>46030</v>
      </c>
      <c r="O846" s="4117"/>
      <c r="P846" s="4527" t="s">
        <v>82</v>
      </c>
      <c r="Q846" s="4156">
        <v>360</v>
      </c>
      <c r="R846" s="4157">
        <f t="shared" si="382"/>
        <v>0</v>
      </c>
      <c r="S846" s="4564"/>
      <c r="T846" s="4159"/>
      <c r="U846" s="3726" t="s">
        <v>573</v>
      </c>
      <c r="V846" s="3711" t="s">
        <v>2807</v>
      </c>
      <c r="W846" s="3711"/>
      <c r="X846" s="3711" t="s">
        <v>98</v>
      </c>
      <c r="Y846" s="3711"/>
      <c r="Z846" s="4154"/>
      <c r="AA846" s="3680" t="s">
        <v>5414</v>
      </c>
      <c r="AB846" s="4154" t="s">
        <v>3202</v>
      </c>
      <c r="AC846" s="4154">
        <v>2.1392</v>
      </c>
      <c r="AD846" s="4154">
        <f t="shared" ref="AD846:AD851" si="388">AC846*I846</f>
        <v>770.112</v>
      </c>
      <c r="AE846" s="3726"/>
      <c r="AF846" s="4160" t="s">
        <v>2577</v>
      </c>
      <c r="AG846" s="3726" t="s">
        <v>416</v>
      </c>
      <c r="AH846" s="4430"/>
      <c r="AI846" s="4154"/>
      <c r="AJ846" s="4154">
        <f t="shared" si="386"/>
        <v>360</v>
      </c>
      <c r="AK846" s="4430"/>
      <c r="AL846" s="3708"/>
      <c r="AM846" s="3708"/>
      <c r="AN846" s="4154"/>
      <c r="AO846" s="4154"/>
      <c r="AP846" s="4154">
        <f t="shared" si="387"/>
        <v>360</v>
      </c>
      <c r="AQ846" s="1048"/>
      <c r="AR846" s="4413"/>
      <c r="AS846" s="4510">
        <f t="shared" si="385"/>
        <v>360</v>
      </c>
      <c r="AT846" s="4413"/>
      <c r="AU846" s="1048"/>
      <c r="AV846" s="1048"/>
      <c r="AW846" s="4510">
        <f>I846/6</f>
        <v>60</v>
      </c>
      <c r="AX846" s="1048"/>
      <c r="AY846" s="1048"/>
      <c r="AZ846" s="1048"/>
      <c r="BA846" s="1048"/>
      <c r="BB846" s="1048"/>
      <c r="BC846" s="1048"/>
      <c r="BD846" s="1048"/>
      <c r="BE846" s="1048"/>
      <c r="BF846" s="4510" t="s">
        <v>89</v>
      </c>
      <c r="BG846" s="1048"/>
      <c r="BH846" s="1048">
        <f t="shared" si="372"/>
        <v>60</v>
      </c>
      <c r="BI846" s="1048">
        <f t="shared" si="373"/>
        <v>60</v>
      </c>
      <c r="BJ846" s="1048">
        <f t="shared" si="374"/>
        <v>60</v>
      </c>
      <c r="BK846" s="1048">
        <f t="shared" si="375"/>
        <v>60</v>
      </c>
      <c r="BL846" s="1048">
        <f t="shared" si="376"/>
        <v>60</v>
      </c>
      <c r="BM846" s="1048">
        <f t="shared" si="377"/>
        <v>48</v>
      </c>
      <c r="BN846" s="1048">
        <f t="shared" si="378"/>
        <v>12</v>
      </c>
      <c r="BO846" s="4413"/>
      <c r="BP846" s="4413"/>
      <c r="BQ846" s="4413"/>
      <c r="BR846" s="4413"/>
      <c r="BS846" s="4413"/>
      <c r="BT846" s="4431"/>
      <c r="BU846" s="4432"/>
      <c r="BV846" s="4505">
        <f t="shared" si="379"/>
        <v>360</v>
      </c>
      <c r="BW846" s="4506">
        <f t="shared" si="384"/>
        <v>0</v>
      </c>
      <c r="BX846" s="4554"/>
      <c r="BY846" s="4554"/>
      <c r="BZ846" s="4554"/>
      <c r="CA846" s="4555">
        <f t="shared" ref="CA846:CG846" si="389">CA859-BH846</f>
        <v>32637</v>
      </c>
      <c r="CB846" s="4555">
        <f t="shared" si="389"/>
        <v>21341</v>
      </c>
      <c r="CC846" s="4555">
        <f t="shared" si="389"/>
        <v>35064</v>
      </c>
      <c r="CD846" s="4555">
        <f t="shared" si="389"/>
        <v>28558</v>
      </c>
      <c r="CE846" s="4555">
        <f t="shared" si="389"/>
        <v>30128</v>
      </c>
      <c r="CF846" s="4555">
        <f t="shared" si="389"/>
        <v>25788</v>
      </c>
      <c r="CG846" s="4555">
        <f t="shared" si="389"/>
        <v>21859</v>
      </c>
    </row>
    <row r="847" s="4316" customFormat="1" ht="50" customHeight="1" spans="1:85">
      <c r="A847" s="4500">
        <v>45999</v>
      </c>
      <c r="B847" s="4501" t="s">
        <v>4694</v>
      </c>
      <c r="C847" s="3708" t="s">
        <v>506</v>
      </c>
      <c r="D847" s="4502">
        <v>4500188305</v>
      </c>
      <c r="E847" s="3708">
        <v>1038625</v>
      </c>
      <c r="F847" s="4502" t="s">
        <v>5415</v>
      </c>
      <c r="G847" s="3708" t="s">
        <v>2577</v>
      </c>
      <c r="H847" s="3708" t="s">
        <v>2578</v>
      </c>
      <c r="I847" s="4154">
        <v>360</v>
      </c>
      <c r="J847" s="4154">
        <v>0</v>
      </c>
      <c r="K847" s="4154">
        <v>12</v>
      </c>
      <c r="L847" s="4154">
        <f t="shared" si="380"/>
        <v>30</v>
      </c>
      <c r="M847" s="4503">
        <v>46034</v>
      </c>
      <c r="N847" s="4553">
        <v>46030</v>
      </c>
      <c r="O847" s="4117"/>
      <c r="P847" s="4527" t="s">
        <v>82</v>
      </c>
      <c r="Q847" s="4156">
        <v>360</v>
      </c>
      <c r="R847" s="4157">
        <f t="shared" si="382"/>
        <v>0</v>
      </c>
      <c r="S847" s="4564"/>
      <c r="T847" s="4159"/>
      <c r="U847" s="3726" t="s">
        <v>573</v>
      </c>
      <c r="V847" s="3711" t="s">
        <v>2807</v>
      </c>
      <c r="W847" s="3711"/>
      <c r="X847" s="3711" t="s">
        <v>98</v>
      </c>
      <c r="Y847" s="3711"/>
      <c r="Z847" s="4154"/>
      <c r="AA847" s="3680" t="s">
        <v>5414</v>
      </c>
      <c r="AB847" s="4154" t="s">
        <v>3202</v>
      </c>
      <c r="AC847" s="4154">
        <v>2.1392</v>
      </c>
      <c r="AD847" s="4154">
        <f t="shared" si="388"/>
        <v>770.112</v>
      </c>
      <c r="AE847" s="3726"/>
      <c r="AF847" s="4160" t="s">
        <v>2577</v>
      </c>
      <c r="AG847" s="3726" t="s">
        <v>416</v>
      </c>
      <c r="AH847" s="4430"/>
      <c r="AI847" s="4154"/>
      <c r="AJ847" s="4154">
        <f t="shared" si="386"/>
        <v>360</v>
      </c>
      <c r="AK847" s="4430"/>
      <c r="AL847" s="3708"/>
      <c r="AM847" s="3708"/>
      <c r="AN847" s="4154"/>
      <c r="AO847" s="4154"/>
      <c r="AP847" s="4154">
        <f t="shared" si="387"/>
        <v>360</v>
      </c>
      <c r="AQ847" s="1048"/>
      <c r="AR847" s="4413"/>
      <c r="AS847" s="4510">
        <f t="shared" si="385"/>
        <v>360</v>
      </c>
      <c r="AT847" s="4413"/>
      <c r="AU847" s="1048"/>
      <c r="AV847" s="1048"/>
      <c r="AW847" s="4510">
        <f>I847/6</f>
        <v>60</v>
      </c>
      <c r="AX847" s="1048"/>
      <c r="AY847" s="1048"/>
      <c r="AZ847" s="1048"/>
      <c r="BA847" s="1048"/>
      <c r="BB847" s="1048"/>
      <c r="BC847" s="1048"/>
      <c r="BD847" s="1048"/>
      <c r="BE847" s="1048"/>
      <c r="BF847" s="4510" t="s">
        <v>89</v>
      </c>
      <c r="BG847" s="1048"/>
      <c r="BH847" s="1048">
        <f t="shared" si="372"/>
        <v>60</v>
      </c>
      <c r="BI847" s="1048">
        <f t="shared" si="373"/>
        <v>60</v>
      </c>
      <c r="BJ847" s="1048">
        <f t="shared" si="374"/>
        <v>60</v>
      </c>
      <c r="BK847" s="1048">
        <f t="shared" si="375"/>
        <v>60</v>
      </c>
      <c r="BL847" s="1048">
        <f t="shared" si="376"/>
        <v>60</v>
      </c>
      <c r="BM847" s="1048">
        <f t="shared" si="377"/>
        <v>48</v>
      </c>
      <c r="BN847" s="1048">
        <f t="shared" si="378"/>
        <v>12</v>
      </c>
      <c r="BO847" s="4413"/>
      <c r="BP847" s="4413"/>
      <c r="BQ847" s="4413"/>
      <c r="BR847" s="4413"/>
      <c r="BS847" s="4413"/>
      <c r="BT847" s="4431"/>
      <c r="BU847" s="4432"/>
      <c r="BV847" s="4505">
        <f t="shared" si="379"/>
        <v>360</v>
      </c>
      <c r="BW847" s="4506">
        <f t="shared" si="384"/>
        <v>0</v>
      </c>
      <c r="BX847" s="4554"/>
      <c r="BY847" s="4554"/>
      <c r="BZ847" s="4554"/>
      <c r="CA847" s="4555">
        <f t="shared" ref="CA847:CG847" si="390">CA846-BH847</f>
        <v>32577</v>
      </c>
      <c r="CB847" s="4555">
        <f t="shared" si="390"/>
        <v>21281</v>
      </c>
      <c r="CC847" s="4555">
        <f t="shared" si="390"/>
        <v>35004</v>
      </c>
      <c r="CD847" s="4555">
        <f t="shared" si="390"/>
        <v>28498</v>
      </c>
      <c r="CE847" s="4555">
        <f t="shared" si="390"/>
        <v>30068</v>
      </c>
      <c r="CF847" s="4555">
        <f t="shared" si="390"/>
        <v>25740</v>
      </c>
      <c r="CG847" s="4555">
        <f t="shared" si="390"/>
        <v>21847</v>
      </c>
    </row>
    <row r="848" s="4316" customFormat="1" ht="50" customHeight="1" spans="1:85">
      <c r="A848" s="4500">
        <v>45999</v>
      </c>
      <c r="B848" s="4501" t="s">
        <v>4694</v>
      </c>
      <c r="C848" s="3708" t="s">
        <v>506</v>
      </c>
      <c r="D848" s="4502">
        <v>4500188305</v>
      </c>
      <c r="E848" s="3708">
        <v>1038629</v>
      </c>
      <c r="F848" s="4502" t="s">
        <v>5416</v>
      </c>
      <c r="G848" s="3708" t="s">
        <v>2577</v>
      </c>
      <c r="H848" s="3708" t="s">
        <v>2578</v>
      </c>
      <c r="I848" s="4154">
        <v>240</v>
      </c>
      <c r="J848" s="4154">
        <v>0</v>
      </c>
      <c r="K848" s="4154">
        <v>12</v>
      </c>
      <c r="L848" s="4154">
        <f t="shared" si="380"/>
        <v>20</v>
      </c>
      <c r="M848" s="4503">
        <v>46034</v>
      </c>
      <c r="N848" s="4553">
        <v>46030</v>
      </c>
      <c r="O848" s="4117"/>
      <c r="P848" s="4527" t="s">
        <v>82</v>
      </c>
      <c r="Q848" s="4156">
        <v>240</v>
      </c>
      <c r="R848" s="4157">
        <f t="shared" si="382"/>
        <v>0</v>
      </c>
      <c r="S848" s="4564"/>
      <c r="T848" s="4159"/>
      <c r="U848" s="3726" t="s">
        <v>573</v>
      </c>
      <c r="V848" s="3711" t="s">
        <v>2807</v>
      </c>
      <c r="W848" s="3711"/>
      <c r="X848" s="3711" t="s">
        <v>98</v>
      </c>
      <c r="Y848" s="3711"/>
      <c r="Z848" s="4154"/>
      <c r="AA848" s="3680" t="s">
        <v>5414</v>
      </c>
      <c r="AB848" s="4154" t="s">
        <v>3202</v>
      </c>
      <c r="AC848" s="4154">
        <v>2.1392</v>
      </c>
      <c r="AD848" s="4154">
        <f t="shared" si="388"/>
        <v>513.408</v>
      </c>
      <c r="AE848" s="3726"/>
      <c r="AF848" s="4160" t="s">
        <v>2577</v>
      </c>
      <c r="AG848" s="3726" t="s">
        <v>416</v>
      </c>
      <c r="AH848" s="4430"/>
      <c r="AI848" s="4154"/>
      <c r="AJ848" s="4154">
        <f t="shared" si="386"/>
        <v>240</v>
      </c>
      <c r="AK848" s="4430"/>
      <c r="AL848" s="3708"/>
      <c r="AM848" s="3708"/>
      <c r="AN848" s="4154"/>
      <c r="AO848" s="4154"/>
      <c r="AP848" s="4154">
        <f t="shared" si="387"/>
        <v>240</v>
      </c>
      <c r="AQ848" s="1048"/>
      <c r="AR848" s="4413"/>
      <c r="AS848" s="4510">
        <f t="shared" si="385"/>
        <v>240</v>
      </c>
      <c r="AT848" s="4413"/>
      <c r="AU848" s="1048"/>
      <c r="AV848" s="1048"/>
      <c r="AW848" s="4510">
        <f>I848/6</f>
        <v>40</v>
      </c>
      <c r="AX848" s="1048"/>
      <c r="AY848" s="1048"/>
      <c r="AZ848" s="1048"/>
      <c r="BA848" s="1048"/>
      <c r="BB848" s="1048"/>
      <c r="BC848" s="1048"/>
      <c r="BD848" s="1048"/>
      <c r="BE848" s="1048"/>
      <c r="BF848" s="4510" t="s">
        <v>89</v>
      </c>
      <c r="BG848" s="1048"/>
      <c r="BH848" s="1048">
        <f t="shared" si="372"/>
        <v>40</v>
      </c>
      <c r="BI848" s="1048">
        <f t="shared" si="373"/>
        <v>40</v>
      </c>
      <c r="BJ848" s="1048">
        <f t="shared" si="374"/>
        <v>40</v>
      </c>
      <c r="BK848" s="1048">
        <f t="shared" si="375"/>
        <v>40</v>
      </c>
      <c r="BL848" s="1048">
        <f t="shared" si="376"/>
        <v>40</v>
      </c>
      <c r="BM848" s="1048">
        <f t="shared" si="377"/>
        <v>32</v>
      </c>
      <c r="BN848" s="1048">
        <f t="shared" si="378"/>
        <v>8</v>
      </c>
      <c r="BO848" s="4413"/>
      <c r="BP848" s="4413"/>
      <c r="BQ848" s="4413"/>
      <c r="BR848" s="4413"/>
      <c r="BS848" s="4413"/>
      <c r="BT848" s="4431"/>
      <c r="BU848" s="4432"/>
      <c r="BV848" s="4505">
        <f t="shared" si="379"/>
        <v>240</v>
      </c>
      <c r="BW848" s="4506">
        <f t="shared" si="384"/>
        <v>0</v>
      </c>
      <c r="BX848" s="4554"/>
      <c r="BY848" s="4554"/>
      <c r="BZ848" s="4554"/>
      <c r="CA848" s="4555">
        <f t="shared" ref="CA848:CG848" si="391">CA847-BH848</f>
        <v>32537</v>
      </c>
      <c r="CB848" s="4555">
        <f t="shared" si="391"/>
        <v>21241</v>
      </c>
      <c r="CC848" s="4555">
        <f t="shared" si="391"/>
        <v>34964</v>
      </c>
      <c r="CD848" s="4555">
        <f t="shared" si="391"/>
        <v>28458</v>
      </c>
      <c r="CE848" s="4555">
        <f t="shared" si="391"/>
        <v>30028</v>
      </c>
      <c r="CF848" s="4555">
        <f t="shared" si="391"/>
        <v>25708</v>
      </c>
      <c r="CG848" s="4555">
        <f t="shared" si="391"/>
        <v>21839</v>
      </c>
    </row>
    <row r="849" s="4316" customFormat="1" ht="50" customHeight="1" spans="1:85">
      <c r="A849" s="4500">
        <v>45999</v>
      </c>
      <c r="B849" s="4501" t="s">
        <v>4694</v>
      </c>
      <c r="C849" s="3708" t="s">
        <v>506</v>
      </c>
      <c r="D849" s="4502">
        <v>4500188305</v>
      </c>
      <c r="E849" s="3708">
        <v>1038635</v>
      </c>
      <c r="F849" s="4502" t="s">
        <v>5417</v>
      </c>
      <c r="G849" s="3708" t="s">
        <v>2577</v>
      </c>
      <c r="H849" s="3708" t="s">
        <v>2578</v>
      </c>
      <c r="I849" s="4154">
        <v>360</v>
      </c>
      <c r="J849" s="4154">
        <v>0</v>
      </c>
      <c r="K849" s="4154">
        <v>12</v>
      </c>
      <c r="L849" s="4154">
        <f t="shared" si="380"/>
        <v>30</v>
      </c>
      <c r="M849" s="4503">
        <v>46034</v>
      </c>
      <c r="N849" s="4553">
        <v>46030</v>
      </c>
      <c r="O849" s="4117"/>
      <c r="P849" s="4527" t="s">
        <v>82</v>
      </c>
      <c r="Q849" s="4156">
        <v>360</v>
      </c>
      <c r="R849" s="4157">
        <f t="shared" si="382"/>
        <v>0</v>
      </c>
      <c r="S849" s="4557"/>
      <c r="T849" s="4159"/>
      <c r="U849" s="3726" t="s">
        <v>573</v>
      </c>
      <c r="V849" s="3711" t="s">
        <v>2807</v>
      </c>
      <c r="W849" s="3711"/>
      <c r="X849" s="3711" t="s">
        <v>98</v>
      </c>
      <c r="Y849" s="3711"/>
      <c r="Z849" s="4154"/>
      <c r="AA849" s="3680" t="s">
        <v>5414</v>
      </c>
      <c r="AB849" s="4154" t="s">
        <v>3202</v>
      </c>
      <c r="AC849" s="4154">
        <v>2.1392</v>
      </c>
      <c r="AD849" s="4154">
        <f t="shared" si="388"/>
        <v>770.112</v>
      </c>
      <c r="AE849" s="3726"/>
      <c r="AF849" s="4160" t="s">
        <v>2577</v>
      </c>
      <c r="AG849" s="3726" t="s">
        <v>416</v>
      </c>
      <c r="AH849" s="4430"/>
      <c r="AI849" s="4154"/>
      <c r="AJ849" s="4154">
        <f t="shared" si="386"/>
        <v>360</v>
      </c>
      <c r="AK849" s="4430"/>
      <c r="AL849" s="3708"/>
      <c r="AM849" s="3708"/>
      <c r="AN849" s="4154"/>
      <c r="AO849" s="4154"/>
      <c r="AP849" s="4154">
        <f t="shared" si="387"/>
        <v>360</v>
      </c>
      <c r="AQ849" s="1048"/>
      <c r="AR849" s="4413"/>
      <c r="AS849" s="4510">
        <f t="shared" si="385"/>
        <v>360</v>
      </c>
      <c r="AT849" s="4413"/>
      <c r="AU849" s="1048"/>
      <c r="AV849" s="1048"/>
      <c r="AW849" s="4510">
        <f>I849/6</f>
        <v>60</v>
      </c>
      <c r="AX849" s="1048"/>
      <c r="AY849" s="1048"/>
      <c r="AZ849" s="1048"/>
      <c r="BA849" s="1048"/>
      <c r="BB849" s="1048"/>
      <c r="BC849" s="1048"/>
      <c r="BD849" s="1048"/>
      <c r="BE849" s="1048"/>
      <c r="BF849" s="4510" t="s">
        <v>89</v>
      </c>
      <c r="BG849" s="1048"/>
      <c r="BH849" s="1048">
        <f t="shared" si="372"/>
        <v>60</v>
      </c>
      <c r="BI849" s="1048">
        <f t="shared" si="373"/>
        <v>60</v>
      </c>
      <c r="BJ849" s="1048">
        <f t="shared" si="374"/>
        <v>60</v>
      </c>
      <c r="BK849" s="1048">
        <f t="shared" si="375"/>
        <v>60</v>
      </c>
      <c r="BL849" s="1048">
        <f t="shared" si="376"/>
        <v>60</v>
      </c>
      <c r="BM849" s="1048">
        <f t="shared" si="377"/>
        <v>48</v>
      </c>
      <c r="BN849" s="1048">
        <f t="shared" si="378"/>
        <v>12</v>
      </c>
      <c r="BO849" s="4413"/>
      <c r="BP849" s="4413"/>
      <c r="BQ849" s="4413"/>
      <c r="BR849" s="4413"/>
      <c r="BS849" s="4413"/>
      <c r="BT849" s="4431"/>
      <c r="BU849" s="4432"/>
      <c r="BV849" s="4505">
        <f t="shared" si="379"/>
        <v>360</v>
      </c>
      <c r="BW849" s="4506">
        <f t="shared" si="384"/>
        <v>0</v>
      </c>
      <c r="BX849" s="4554"/>
      <c r="BY849" s="4554"/>
      <c r="BZ849" s="4554"/>
      <c r="CA849" s="4555">
        <f t="shared" ref="CA849:CG849" si="392">CA848-BH849</f>
        <v>32477</v>
      </c>
      <c r="CB849" s="4555">
        <f t="shared" si="392"/>
        <v>21181</v>
      </c>
      <c r="CC849" s="4555">
        <f t="shared" si="392"/>
        <v>34904</v>
      </c>
      <c r="CD849" s="4555">
        <f t="shared" si="392"/>
        <v>28398</v>
      </c>
      <c r="CE849" s="4555">
        <f t="shared" si="392"/>
        <v>29968</v>
      </c>
      <c r="CF849" s="4555">
        <f t="shared" si="392"/>
        <v>25660</v>
      </c>
      <c r="CG849" s="4555">
        <f t="shared" si="392"/>
        <v>21827</v>
      </c>
    </row>
    <row r="850" s="4316" customFormat="1" ht="50" customHeight="1" spans="1:85">
      <c r="A850" s="4500">
        <v>45994</v>
      </c>
      <c r="B850" s="4501" t="s">
        <v>5418</v>
      </c>
      <c r="C850" s="3708" t="s">
        <v>351</v>
      </c>
      <c r="D850" s="4502">
        <v>4500187841</v>
      </c>
      <c r="E850" s="3708"/>
      <c r="F850" s="4502" t="s">
        <v>5419</v>
      </c>
      <c r="G850" s="3708" t="s">
        <v>5420</v>
      </c>
      <c r="H850" s="3708" t="s">
        <v>2591</v>
      </c>
      <c r="I850" s="4154">
        <v>2574</v>
      </c>
      <c r="J850" s="4154">
        <v>0</v>
      </c>
      <c r="K850" s="4154">
        <v>3</v>
      </c>
      <c r="L850" s="4154">
        <f t="shared" si="380"/>
        <v>858</v>
      </c>
      <c r="M850" s="4503">
        <v>46032</v>
      </c>
      <c r="N850" s="4553">
        <v>46028</v>
      </c>
      <c r="O850" s="4117"/>
      <c r="P850" s="4527" t="s">
        <v>82</v>
      </c>
      <c r="Q850" s="4156">
        <v>2574</v>
      </c>
      <c r="R850" s="4157">
        <f t="shared" ref="R843:R869" si="393">Q850-I850</f>
        <v>0</v>
      </c>
      <c r="S850" s="4101" t="s">
        <v>2297</v>
      </c>
      <c r="T850" s="4159"/>
      <c r="U850" s="3726" t="s">
        <v>401</v>
      </c>
      <c r="V850" s="3711" t="s">
        <v>5421</v>
      </c>
      <c r="W850" s="3711"/>
      <c r="X850" s="3711" t="s">
        <v>5422</v>
      </c>
      <c r="Y850" s="3711"/>
      <c r="Z850" s="4154"/>
      <c r="AA850" s="3680" t="s">
        <v>5423</v>
      </c>
      <c r="AB850" s="4154" t="s">
        <v>357</v>
      </c>
      <c r="AC850" s="4154">
        <v>2.0845</v>
      </c>
      <c r="AD850" s="4154">
        <f t="shared" si="388"/>
        <v>5365.503</v>
      </c>
      <c r="AE850" s="3726"/>
      <c r="AF850" s="3708" t="s">
        <v>5420</v>
      </c>
      <c r="AG850" s="3726" t="s">
        <v>416</v>
      </c>
      <c r="AH850" s="4430"/>
      <c r="AI850" s="4154"/>
      <c r="AJ850" s="4154">
        <f t="shared" si="386"/>
        <v>2574</v>
      </c>
      <c r="AK850" s="4430"/>
      <c r="AL850" s="3708"/>
      <c r="AM850" s="3708"/>
      <c r="AN850" s="4154"/>
      <c r="AO850" s="4154"/>
      <c r="AP850" s="4154">
        <f t="shared" si="387"/>
        <v>2574</v>
      </c>
      <c r="AQ850" s="1048"/>
      <c r="AR850" s="4413"/>
      <c r="AS850" s="1048">
        <f t="shared" si="385"/>
        <v>2574</v>
      </c>
      <c r="AT850" s="4413"/>
      <c r="AU850" s="1048"/>
      <c r="AV850" s="1048"/>
      <c r="AW850" s="1048"/>
      <c r="AX850" s="1048"/>
      <c r="AY850" s="1048"/>
      <c r="AZ850" s="1048"/>
      <c r="BA850" s="1048"/>
      <c r="BB850" s="1048"/>
      <c r="BC850" s="1048"/>
      <c r="BD850" s="1048"/>
      <c r="BE850" s="1048"/>
      <c r="BF850" s="1048" t="s">
        <v>89</v>
      </c>
      <c r="BG850" s="1048"/>
      <c r="BH850" s="1048">
        <f t="shared" si="372"/>
        <v>429</v>
      </c>
      <c r="BI850" s="1048">
        <f t="shared" si="373"/>
        <v>429</v>
      </c>
      <c r="BJ850" s="1048">
        <f t="shared" si="374"/>
        <v>429</v>
      </c>
      <c r="BK850" s="1048">
        <f t="shared" si="375"/>
        <v>429</v>
      </c>
      <c r="BL850" s="1048">
        <f t="shared" si="376"/>
        <v>429</v>
      </c>
      <c r="BM850" s="1048">
        <f t="shared" si="377"/>
        <v>343.2</v>
      </c>
      <c r="BN850" s="1048">
        <f t="shared" si="378"/>
        <v>85.8</v>
      </c>
      <c r="BO850" s="4413"/>
      <c r="BP850" s="4413"/>
      <c r="BQ850" s="4413"/>
      <c r="BR850" s="4413"/>
      <c r="BS850" s="4413"/>
      <c r="BT850" s="4431"/>
      <c r="BU850" s="4432"/>
      <c r="BV850" s="4505">
        <f t="shared" si="379"/>
        <v>2574</v>
      </c>
      <c r="BW850" s="4506">
        <f t="shared" si="384"/>
        <v>0</v>
      </c>
      <c r="BX850" s="4554"/>
      <c r="BY850" s="4554"/>
      <c r="BZ850" s="4554"/>
      <c r="CA850" s="4555"/>
      <c r="CC850" s="4555"/>
      <c r="CD850" s="4511"/>
    </row>
    <row r="851" s="4316" customFormat="1" ht="50" customHeight="1" spans="1:85">
      <c r="A851" s="4500">
        <v>45961</v>
      </c>
      <c r="B851" s="4501" t="s">
        <v>5424</v>
      </c>
      <c r="C851" s="3708" t="s">
        <v>341</v>
      </c>
      <c r="D851" s="4502">
        <v>4500183206</v>
      </c>
      <c r="E851" s="3708" t="s">
        <v>5425</v>
      </c>
      <c r="F851" s="4502" t="s">
        <v>5426</v>
      </c>
      <c r="G851" s="3708" t="s">
        <v>2627</v>
      </c>
      <c r="H851" s="4154" t="s">
        <v>2591</v>
      </c>
      <c r="I851" s="4154">
        <v>720</v>
      </c>
      <c r="J851" s="4154">
        <v>0</v>
      </c>
      <c r="K851" s="4154">
        <v>24</v>
      </c>
      <c r="L851" s="4154">
        <f t="shared" si="380"/>
        <v>30</v>
      </c>
      <c r="M851" s="4503">
        <v>46034</v>
      </c>
      <c r="N851" s="4553">
        <v>46030</v>
      </c>
      <c r="O851" s="4117"/>
      <c r="P851" s="4527" t="s">
        <v>82</v>
      </c>
      <c r="Q851" s="4156">
        <v>720</v>
      </c>
      <c r="R851" s="4157">
        <f t="shared" si="393"/>
        <v>0</v>
      </c>
      <c r="S851" s="4159" t="s">
        <v>2297</v>
      </c>
      <c r="T851" s="4159"/>
      <c r="U851" s="3726" t="s">
        <v>138</v>
      </c>
      <c r="V851" s="3711" t="s">
        <v>2669</v>
      </c>
      <c r="W851" s="3711"/>
      <c r="X851" s="3711" t="s">
        <v>98</v>
      </c>
      <c r="Y851" s="3711" t="s">
        <v>2261</v>
      </c>
      <c r="Z851" s="4154"/>
      <c r="AA851" s="3680" t="s">
        <v>5427</v>
      </c>
      <c r="AB851" s="4154" t="s">
        <v>5428</v>
      </c>
      <c r="AC851" s="4154">
        <v>2.0891</v>
      </c>
      <c r="AD851" s="4154">
        <f t="shared" si="388"/>
        <v>1504.152</v>
      </c>
      <c r="AE851" s="3680" t="s">
        <v>5429</v>
      </c>
      <c r="AF851" s="4160" t="s">
        <v>2890</v>
      </c>
      <c r="AG851" s="3726" t="s">
        <v>416</v>
      </c>
      <c r="AH851" s="4430"/>
      <c r="AI851" s="4154"/>
      <c r="AJ851" s="4154"/>
      <c r="AK851" s="4430"/>
      <c r="AL851" s="3708"/>
      <c r="AM851" s="3708">
        <f>I851</f>
        <v>720</v>
      </c>
      <c r="AN851" s="4154"/>
      <c r="AO851" s="4154"/>
      <c r="AP851" s="4154">
        <f t="shared" si="387"/>
        <v>720</v>
      </c>
      <c r="AQ851" s="1048"/>
      <c r="AR851" s="4413"/>
      <c r="AS851" s="1048">
        <f t="shared" si="385"/>
        <v>720</v>
      </c>
      <c r="AT851" s="4413"/>
      <c r="AU851" s="1048"/>
      <c r="AV851" s="1048"/>
      <c r="AW851" s="1048"/>
      <c r="AX851" s="1048"/>
      <c r="AY851" s="1048"/>
      <c r="AZ851" s="1048"/>
      <c r="BA851" s="1048"/>
      <c r="BB851" s="1048"/>
      <c r="BC851" s="1048"/>
      <c r="BD851" s="1048"/>
      <c r="BE851" s="1048"/>
      <c r="BF851" s="1048" t="s">
        <v>89</v>
      </c>
      <c r="BG851" s="1048"/>
      <c r="BH851" s="1048">
        <f t="shared" si="372"/>
        <v>120</v>
      </c>
      <c r="BI851" s="1048">
        <f t="shared" si="373"/>
        <v>120</v>
      </c>
      <c r="BJ851" s="1048">
        <f t="shared" si="374"/>
        <v>120</v>
      </c>
      <c r="BK851" s="1048">
        <f t="shared" si="375"/>
        <v>120</v>
      </c>
      <c r="BL851" s="1048">
        <f t="shared" si="376"/>
        <v>120</v>
      </c>
      <c r="BM851" s="1048">
        <f t="shared" si="377"/>
        <v>96</v>
      </c>
      <c r="BN851" s="1048">
        <f t="shared" si="378"/>
        <v>24</v>
      </c>
      <c r="BO851" s="4413"/>
      <c r="BP851" s="4413"/>
      <c r="BQ851" s="4413"/>
      <c r="BR851" s="4413"/>
      <c r="BS851" s="4413"/>
      <c r="BT851" s="4431"/>
      <c r="BU851" s="4432"/>
      <c r="BV851" s="4505">
        <f t="shared" si="379"/>
        <v>720</v>
      </c>
      <c r="BW851" s="4506">
        <f t="shared" si="384"/>
        <v>0</v>
      </c>
      <c r="BX851" s="4554"/>
      <c r="BY851" s="4554"/>
      <c r="BZ851" s="4554"/>
      <c r="CA851" s="4555"/>
      <c r="CC851" s="4555"/>
      <c r="CD851" s="4511"/>
    </row>
    <row r="852" s="4316" customFormat="1" ht="50" customHeight="1" spans="1:85">
      <c r="A852" s="4500">
        <v>45995</v>
      </c>
      <c r="B852" s="4501" t="s">
        <v>505</v>
      </c>
      <c r="C852" s="3708" t="s">
        <v>506</v>
      </c>
      <c r="D852" s="4502">
        <v>4500188101</v>
      </c>
      <c r="E852" s="3708">
        <v>21336513</v>
      </c>
      <c r="F852" s="4502" t="s">
        <v>5430</v>
      </c>
      <c r="G852" s="3708" t="s">
        <v>2577</v>
      </c>
      <c r="H852" s="3708" t="s">
        <v>2578</v>
      </c>
      <c r="I852" s="4154">
        <v>1500</v>
      </c>
      <c r="J852" s="4154">
        <v>0</v>
      </c>
      <c r="K852" s="4154">
        <v>12</v>
      </c>
      <c r="L852" s="4154">
        <f t="shared" ref="L847:L897" si="394">I852/K852</f>
        <v>125</v>
      </c>
      <c r="M852" s="4503">
        <v>46034</v>
      </c>
      <c r="N852" s="4553">
        <v>46030</v>
      </c>
      <c r="O852" s="4117"/>
      <c r="P852" s="4527" t="s">
        <v>82</v>
      </c>
      <c r="Q852" s="4156">
        <v>1500</v>
      </c>
      <c r="R852" s="4157">
        <f t="shared" si="393"/>
        <v>0</v>
      </c>
      <c r="S852" s="4159" t="s">
        <v>2297</v>
      </c>
      <c r="T852" s="4159"/>
      <c r="U852" s="3726" t="s">
        <v>5431</v>
      </c>
      <c r="V852" s="3711" t="s">
        <v>2807</v>
      </c>
      <c r="W852" s="3711"/>
      <c r="X852" s="3711" t="s">
        <v>5432</v>
      </c>
      <c r="Y852" s="3711"/>
      <c r="Z852" s="4154"/>
      <c r="AA852" s="3680" t="s">
        <v>5433</v>
      </c>
      <c r="AB852" s="4154" t="s">
        <v>513</v>
      </c>
      <c r="AC852" s="4154">
        <v>2.2463</v>
      </c>
      <c r="AD852" s="4154">
        <f t="shared" ref="AD852:AD875" si="395">AC852*I852</f>
        <v>3369.45</v>
      </c>
      <c r="AE852" s="3680" t="s">
        <v>5434</v>
      </c>
      <c r="AF852" s="4160" t="s">
        <v>2577</v>
      </c>
      <c r="AG852" s="3726" t="s">
        <v>416</v>
      </c>
      <c r="AH852" s="4430"/>
      <c r="AI852" s="4154"/>
      <c r="AJ852" s="4154">
        <f>I852</f>
        <v>1500</v>
      </c>
      <c r="AK852" s="4430"/>
      <c r="AL852" s="3708"/>
      <c r="AM852" s="3708"/>
      <c r="AN852" s="4154"/>
      <c r="AO852" s="4154"/>
      <c r="AP852" s="4154">
        <f t="shared" ref="AP849:AP904" si="396">I852</f>
        <v>1500</v>
      </c>
      <c r="AQ852" s="1048"/>
      <c r="AR852" s="4413"/>
      <c r="AS852" s="1048">
        <f t="shared" ref="AS847:AS875" si="397">I852</f>
        <v>1500</v>
      </c>
      <c r="AT852" s="4413"/>
      <c r="AU852" s="1048"/>
      <c r="AV852" s="1048"/>
      <c r="AW852" s="1048">
        <f>I852/6</f>
        <v>250</v>
      </c>
      <c r="AX852" s="1048"/>
      <c r="AY852" s="1048"/>
      <c r="AZ852" s="1048"/>
      <c r="BA852" s="1048"/>
      <c r="BB852" s="1048"/>
      <c r="BC852" s="1048"/>
      <c r="BD852" s="1048"/>
      <c r="BE852" s="1048"/>
      <c r="BF852" s="1048" t="s">
        <v>89</v>
      </c>
      <c r="BG852" s="1048"/>
      <c r="BH852" s="1048">
        <f t="shared" ref="BH847:BH897" si="398">I852/60*10</f>
        <v>250</v>
      </c>
      <c r="BI852" s="1048">
        <f t="shared" ref="BI847:BI897" si="399">I852/60*10</f>
        <v>250</v>
      </c>
      <c r="BJ852" s="1048">
        <f t="shared" ref="BJ847:BJ897" si="400">I852/60*10</f>
        <v>250</v>
      </c>
      <c r="BK852" s="1048">
        <f t="shared" ref="BK847:BK897" si="401">I852/60*10</f>
        <v>250</v>
      </c>
      <c r="BL852" s="1048">
        <f t="shared" ref="BL847:BL897" si="402">I852/60*10</f>
        <v>250</v>
      </c>
      <c r="BM852" s="1048">
        <f t="shared" ref="BM847:BM897" si="403">I852/60*8</f>
        <v>200</v>
      </c>
      <c r="BN852" s="1048">
        <f t="shared" ref="BN847:BN897" si="404">I852/60*2</f>
        <v>50</v>
      </c>
      <c r="BO852" s="4413"/>
      <c r="BP852" s="4413"/>
      <c r="BQ852" s="4413"/>
      <c r="BR852" s="4413"/>
      <c r="BS852" s="4413"/>
      <c r="BT852" s="4431"/>
      <c r="BU852" s="4432"/>
      <c r="BV852" s="4505">
        <f t="shared" ref="BV847:BV897" si="405">SUM(BH852:BU852)</f>
        <v>1500</v>
      </c>
      <c r="BW852" s="4506">
        <f t="shared" ref="BW847:BW897" si="406">I852-BV852</f>
        <v>0</v>
      </c>
      <c r="BX852" s="4554"/>
      <c r="BY852" s="4554"/>
      <c r="BZ852" s="4554"/>
      <c r="CA852" s="4555"/>
      <c r="CC852" s="4555"/>
      <c r="CD852" s="4511"/>
    </row>
    <row r="853" s="4316" customFormat="1" ht="50" customHeight="1" spans="1:85">
      <c r="A853" s="4500">
        <v>45996</v>
      </c>
      <c r="B853" s="4501" t="s">
        <v>4747</v>
      </c>
      <c r="C853" s="3708" t="s">
        <v>91</v>
      </c>
      <c r="D853" s="4502">
        <v>4500188270</v>
      </c>
      <c r="E853" s="3708">
        <v>4560729704</v>
      </c>
      <c r="F853" s="4502" t="s">
        <v>5435</v>
      </c>
      <c r="G853" s="3708" t="s">
        <v>2719</v>
      </c>
      <c r="H853" s="4154" t="s">
        <v>2591</v>
      </c>
      <c r="I853" s="4154">
        <v>1812</v>
      </c>
      <c r="J853" s="4154">
        <v>0</v>
      </c>
      <c r="K853" s="4154">
        <v>6</v>
      </c>
      <c r="L853" s="4154">
        <f t="shared" si="394"/>
        <v>302</v>
      </c>
      <c r="M853" s="4503">
        <v>46034</v>
      </c>
      <c r="N853" s="4553">
        <v>46030</v>
      </c>
      <c r="O853" s="4117"/>
      <c r="P853" s="4527" t="s">
        <v>82</v>
      </c>
      <c r="Q853" s="4156">
        <v>1812</v>
      </c>
      <c r="R853" s="4157">
        <f t="shared" si="393"/>
        <v>0</v>
      </c>
      <c r="S853" s="4556" t="s">
        <v>2297</v>
      </c>
      <c r="T853" s="4159" t="s">
        <v>321</v>
      </c>
      <c r="U853" s="3726" t="s">
        <v>127</v>
      </c>
      <c r="V853" s="3711" t="s">
        <v>465</v>
      </c>
      <c r="W853" s="3711"/>
      <c r="X853" s="3711" t="s">
        <v>5436</v>
      </c>
      <c r="Y853" s="3711"/>
      <c r="Z853" s="4154"/>
      <c r="AA853" s="3680" t="s">
        <v>5437</v>
      </c>
      <c r="AB853" s="4154" t="s">
        <v>3262</v>
      </c>
      <c r="AC853" s="4154">
        <v>1.2596</v>
      </c>
      <c r="AD853" s="4154">
        <f t="shared" si="395"/>
        <v>2282.3952</v>
      </c>
      <c r="AE853" s="3726"/>
      <c r="AF853" s="3708" t="s">
        <v>2719</v>
      </c>
      <c r="AG853" s="3726" t="s">
        <v>416</v>
      </c>
      <c r="AH853" s="3708"/>
      <c r="AI853" s="4154"/>
      <c r="AJ853" s="4154">
        <f t="shared" ref="AJ853:AJ864" si="407">I853</f>
        <v>1812</v>
      </c>
      <c r="AK853" s="3708"/>
      <c r="AL853" s="3708"/>
      <c r="AM853" s="3708"/>
      <c r="AN853" s="4154"/>
      <c r="AO853" s="4154"/>
      <c r="AP853" s="4154">
        <f t="shared" si="396"/>
        <v>1812</v>
      </c>
      <c r="AQ853" s="1048"/>
      <c r="AR853" s="1048"/>
      <c r="AS853" s="4510">
        <f t="shared" si="397"/>
        <v>1812</v>
      </c>
      <c r="AT853" s="1048"/>
      <c r="AU853" s="1048"/>
      <c r="AV853" s="1048"/>
      <c r="AW853" s="1048"/>
      <c r="AX853" s="1048"/>
      <c r="AY853" s="1048"/>
      <c r="AZ853" s="1048"/>
      <c r="BA853" s="1048"/>
      <c r="BB853" s="1048"/>
      <c r="BC853" s="1048"/>
      <c r="BD853" s="1048"/>
      <c r="BE853" s="1048"/>
      <c r="BF853" s="4510" t="s">
        <v>89</v>
      </c>
      <c r="BG853" s="1048"/>
      <c r="BH853" s="4510">
        <f t="shared" si="398"/>
        <v>302</v>
      </c>
      <c r="BI853" s="4510">
        <f t="shared" si="399"/>
        <v>302</v>
      </c>
      <c r="BJ853" s="4510">
        <f t="shared" si="400"/>
        <v>302</v>
      </c>
      <c r="BK853" s="4510">
        <f t="shared" si="401"/>
        <v>302</v>
      </c>
      <c r="BL853" s="4510">
        <f t="shared" si="402"/>
        <v>302</v>
      </c>
      <c r="BM853" s="4510">
        <f t="shared" si="403"/>
        <v>241.6</v>
      </c>
      <c r="BN853" s="4510">
        <f t="shared" si="404"/>
        <v>60.4</v>
      </c>
      <c r="BO853" s="1048"/>
      <c r="BP853" s="1048"/>
      <c r="BQ853" s="1048"/>
      <c r="BR853" s="1048"/>
      <c r="BS853" s="1048"/>
      <c r="BT853" s="4414"/>
      <c r="BU853" s="4415"/>
      <c r="BV853" s="4525">
        <f t="shared" si="405"/>
        <v>1812</v>
      </c>
      <c r="BW853" s="4526">
        <f t="shared" si="406"/>
        <v>0</v>
      </c>
      <c r="BX853" s="4554"/>
      <c r="BY853" s="4554"/>
      <c r="BZ853" s="4554"/>
      <c r="CA853" s="4565">
        <f>CA3-BH853</f>
        <v>34070</v>
      </c>
      <c r="CB853" s="4565">
        <f t="shared" ref="CB853:CG853" si="408">CB3-BI853</f>
        <v>22774</v>
      </c>
      <c r="CC853" s="4565">
        <f t="shared" si="408"/>
        <v>36497</v>
      </c>
      <c r="CD853" s="4565">
        <f t="shared" si="408"/>
        <v>29991</v>
      </c>
      <c r="CE853" s="4565">
        <f t="shared" si="408"/>
        <v>31561</v>
      </c>
      <c r="CF853" s="4565">
        <f t="shared" si="408"/>
        <v>26934.4</v>
      </c>
      <c r="CG853" s="4565">
        <f t="shared" si="408"/>
        <v>22145.6</v>
      </c>
    </row>
    <row r="854" s="4316" customFormat="1" ht="50" customHeight="1" spans="1:85">
      <c r="A854" s="4500">
        <v>45996</v>
      </c>
      <c r="B854" s="4501" t="s">
        <v>4747</v>
      </c>
      <c r="C854" s="3708" t="s">
        <v>91</v>
      </c>
      <c r="D854" s="4502">
        <v>4500188270</v>
      </c>
      <c r="E854" s="3708">
        <v>4560729766</v>
      </c>
      <c r="F854" s="4502" t="s">
        <v>5438</v>
      </c>
      <c r="G854" s="3708" t="s">
        <v>2719</v>
      </c>
      <c r="H854" s="4154" t="s">
        <v>2591</v>
      </c>
      <c r="I854" s="4154">
        <v>768</v>
      </c>
      <c r="J854" s="4154">
        <v>0</v>
      </c>
      <c r="K854" s="4154">
        <v>6</v>
      </c>
      <c r="L854" s="4154">
        <f t="shared" si="394"/>
        <v>128</v>
      </c>
      <c r="M854" s="4503">
        <v>46034</v>
      </c>
      <c r="N854" s="4553">
        <v>46030</v>
      </c>
      <c r="O854" s="4117"/>
      <c r="P854" s="4527" t="s">
        <v>82</v>
      </c>
      <c r="Q854" s="4156">
        <v>768</v>
      </c>
      <c r="R854" s="4157">
        <f t="shared" si="393"/>
        <v>0</v>
      </c>
      <c r="S854" s="4564"/>
      <c r="T854" s="4159" t="s">
        <v>321</v>
      </c>
      <c r="U854" s="3726" t="s">
        <v>2725</v>
      </c>
      <c r="V854" s="3711" t="s">
        <v>465</v>
      </c>
      <c r="W854" s="3711"/>
      <c r="X854" s="3711" t="s">
        <v>5436</v>
      </c>
      <c r="Y854" s="3711"/>
      <c r="Z854" s="4154"/>
      <c r="AA854" s="3680" t="s">
        <v>5437</v>
      </c>
      <c r="AB854" s="4154" t="s">
        <v>3262</v>
      </c>
      <c r="AC854" s="4154">
        <v>1.2624</v>
      </c>
      <c r="AD854" s="4154">
        <f t="shared" si="395"/>
        <v>969.5232</v>
      </c>
      <c r="AE854" s="3726"/>
      <c r="AF854" s="3708" t="s">
        <v>2719</v>
      </c>
      <c r="AG854" s="3726" t="s">
        <v>416</v>
      </c>
      <c r="AH854" s="4430"/>
      <c r="AI854" s="4154"/>
      <c r="AJ854" s="4154">
        <f t="shared" si="407"/>
        <v>768</v>
      </c>
      <c r="AK854" s="4430"/>
      <c r="AL854" s="3708"/>
      <c r="AM854" s="3708"/>
      <c r="AN854" s="4154"/>
      <c r="AO854" s="4154"/>
      <c r="AP854" s="4154">
        <f t="shared" si="396"/>
        <v>768</v>
      </c>
      <c r="AQ854" s="1048"/>
      <c r="AR854" s="4413"/>
      <c r="AS854" s="4510">
        <f t="shared" si="397"/>
        <v>768</v>
      </c>
      <c r="AT854" s="4413"/>
      <c r="AU854" s="1048"/>
      <c r="AV854" s="1048"/>
      <c r="AW854" s="1048"/>
      <c r="AX854" s="1048"/>
      <c r="AY854" s="1048"/>
      <c r="AZ854" s="1048"/>
      <c r="BA854" s="1048"/>
      <c r="BB854" s="1048"/>
      <c r="BC854" s="1048"/>
      <c r="BD854" s="1048"/>
      <c r="BE854" s="1048"/>
      <c r="BF854" s="4510" t="s">
        <v>89</v>
      </c>
      <c r="BG854" s="1048"/>
      <c r="BH854" s="4510">
        <f t="shared" si="398"/>
        <v>128</v>
      </c>
      <c r="BI854" s="4510">
        <f t="shared" si="399"/>
        <v>128</v>
      </c>
      <c r="BJ854" s="4510">
        <f t="shared" si="400"/>
        <v>128</v>
      </c>
      <c r="BK854" s="4510">
        <f t="shared" si="401"/>
        <v>128</v>
      </c>
      <c r="BL854" s="4510">
        <f t="shared" si="402"/>
        <v>128</v>
      </c>
      <c r="BM854" s="4510">
        <f t="shared" si="403"/>
        <v>102.4</v>
      </c>
      <c r="BN854" s="4510">
        <f t="shared" si="404"/>
        <v>25.6</v>
      </c>
      <c r="BO854" s="4413"/>
      <c r="BP854" s="4413"/>
      <c r="BQ854" s="4413"/>
      <c r="BR854" s="4413"/>
      <c r="BS854" s="4413"/>
      <c r="BT854" s="4431"/>
      <c r="BU854" s="4432"/>
      <c r="BV854" s="4525">
        <f t="shared" si="405"/>
        <v>768</v>
      </c>
      <c r="BW854" s="4526">
        <f t="shared" si="406"/>
        <v>0</v>
      </c>
      <c r="BX854" s="4554"/>
      <c r="BY854" s="4554"/>
      <c r="BZ854" s="4554"/>
      <c r="CA854" s="4555">
        <f t="shared" ref="CA854:CA859" si="409">CA853-BH854</f>
        <v>33942</v>
      </c>
      <c r="CB854" s="4555">
        <f t="shared" ref="CB854:CG854" si="410">CB853-BI854</f>
        <v>22646</v>
      </c>
      <c r="CC854" s="4555">
        <f t="shared" si="410"/>
        <v>36369</v>
      </c>
      <c r="CD854" s="4555">
        <f t="shared" si="410"/>
        <v>29863</v>
      </c>
      <c r="CE854" s="4555">
        <f t="shared" si="410"/>
        <v>31433</v>
      </c>
      <c r="CF854" s="4555">
        <f t="shared" si="410"/>
        <v>26832</v>
      </c>
      <c r="CG854" s="4555">
        <f t="shared" si="410"/>
        <v>22120</v>
      </c>
    </row>
    <row r="855" s="4316" customFormat="1" ht="50" customHeight="1" spans="1:85">
      <c r="A855" s="4500">
        <v>45996</v>
      </c>
      <c r="B855" s="4501" t="s">
        <v>4747</v>
      </c>
      <c r="C855" s="3708" t="s">
        <v>91</v>
      </c>
      <c r="D855" s="4502">
        <v>4500188270</v>
      </c>
      <c r="E855" s="3708">
        <v>4560729765</v>
      </c>
      <c r="F855" s="4502" t="s">
        <v>5439</v>
      </c>
      <c r="G855" s="3708" t="s">
        <v>2719</v>
      </c>
      <c r="H855" s="4154" t="s">
        <v>2591</v>
      </c>
      <c r="I855" s="4154">
        <v>216</v>
      </c>
      <c r="J855" s="4154">
        <v>0</v>
      </c>
      <c r="K855" s="4154">
        <v>6</v>
      </c>
      <c r="L855" s="4154">
        <f t="shared" si="394"/>
        <v>36</v>
      </c>
      <c r="M855" s="4503">
        <v>46034</v>
      </c>
      <c r="N855" s="4553">
        <v>46030</v>
      </c>
      <c r="O855" s="4117"/>
      <c r="P855" s="4527" t="s">
        <v>82</v>
      </c>
      <c r="Q855" s="4156">
        <v>216</v>
      </c>
      <c r="R855" s="4157">
        <f t="shared" si="393"/>
        <v>0</v>
      </c>
      <c r="S855" s="4564"/>
      <c r="T855" s="4159" t="s">
        <v>321</v>
      </c>
      <c r="U855" s="3726" t="s">
        <v>2725</v>
      </c>
      <c r="V855" s="3711" t="s">
        <v>465</v>
      </c>
      <c r="W855" s="3711"/>
      <c r="X855" s="3711" t="s">
        <v>5436</v>
      </c>
      <c r="Y855" s="3711"/>
      <c r="Z855" s="4154"/>
      <c r="AA855" s="3680" t="s">
        <v>5437</v>
      </c>
      <c r="AB855" s="4154" t="s">
        <v>3262</v>
      </c>
      <c r="AC855" s="4154">
        <v>1.2624</v>
      </c>
      <c r="AD855" s="4154">
        <f t="shared" si="395"/>
        <v>272.6784</v>
      </c>
      <c r="AE855" s="3726"/>
      <c r="AF855" s="3708" t="s">
        <v>2719</v>
      </c>
      <c r="AG855" s="3726" t="s">
        <v>416</v>
      </c>
      <c r="AH855" s="4430"/>
      <c r="AI855" s="4154"/>
      <c r="AJ855" s="4154">
        <f t="shared" si="407"/>
        <v>216</v>
      </c>
      <c r="AK855" s="4430"/>
      <c r="AL855" s="3708"/>
      <c r="AM855" s="3708"/>
      <c r="AN855" s="4154"/>
      <c r="AO855" s="4154"/>
      <c r="AP855" s="4154">
        <f t="shared" si="396"/>
        <v>216</v>
      </c>
      <c r="AQ855" s="1048"/>
      <c r="AR855" s="4413"/>
      <c r="AS855" s="4510">
        <f t="shared" si="397"/>
        <v>216</v>
      </c>
      <c r="AT855" s="4413"/>
      <c r="AU855" s="1048"/>
      <c r="AV855" s="1048"/>
      <c r="AW855" s="1048"/>
      <c r="AX855" s="1048"/>
      <c r="AY855" s="1048"/>
      <c r="AZ855" s="1048"/>
      <c r="BA855" s="1048"/>
      <c r="BB855" s="1048"/>
      <c r="BC855" s="1048"/>
      <c r="BD855" s="1048"/>
      <c r="BE855" s="1048"/>
      <c r="BF855" s="4510" t="s">
        <v>89</v>
      </c>
      <c r="BG855" s="1048"/>
      <c r="BH855" s="4510">
        <f t="shared" si="398"/>
        <v>36</v>
      </c>
      <c r="BI855" s="4510">
        <f t="shared" si="399"/>
        <v>36</v>
      </c>
      <c r="BJ855" s="4510">
        <f t="shared" si="400"/>
        <v>36</v>
      </c>
      <c r="BK855" s="4510">
        <f t="shared" si="401"/>
        <v>36</v>
      </c>
      <c r="BL855" s="4510">
        <f t="shared" si="402"/>
        <v>36</v>
      </c>
      <c r="BM855" s="4510">
        <f t="shared" si="403"/>
        <v>28.8</v>
      </c>
      <c r="BN855" s="4510">
        <f t="shared" si="404"/>
        <v>7.2</v>
      </c>
      <c r="BO855" s="4413"/>
      <c r="BP855" s="4413"/>
      <c r="BQ855" s="4413"/>
      <c r="BR855" s="4413"/>
      <c r="BS855" s="4413"/>
      <c r="BT855" s="4431"/>
      <c r="BU855" s="4432"/>
      <c r="BV855" s="4525">
        <f t="shared" si="405"/>
        <v>216</v>
      </c>
      <c r="BW855" s="4526">
        <f t="shared" si="406"/>
        <v>0</v>
      </c>
      <c r="BX855" s="4554"/>
      <c r="BY855" s="4554"/>
      <c r="BZ855" s="4554"/>
      <c r="CA855" s="4555">
        <f t="shared" si="409"/>
        <v>33906</v>
      </c>
      <c r="CB855" s="4555">
        <f t="shared" ref="CB855:CG855" si="411">CB854-BI855</f>
        <v>22610</v>
      </c>
      <c r="CC855" s="4555">
        <f t="shared" si="411"/>
        <v>36333</v>
      </c>
      <c r="CD855" s="4555">
        <f t="shared" si="411"/>
        <v>29827</v>
      </c>
      <c r="CE855" s="4555">
        <f t="shared" si="411"/>
        <v>31397</v>
      </c>
      <c r="CF855" s="4555">
        <f t="shared" si="411"/>
        <v>26803.2</v>
      </c>
      <c r="CG855" s="4555">
        <f t="shared" si="411"/>
        <v>22112.8</v>
      </c>
    </row>
    <row r="856" s="4316" customFormat="1" ht="50" customHeight="1" spans="1:85">
      <c r="A856" s="4500">
        <v>45996</v>
      </c>
      <c r="B856" s="4501" t="s">
        <v>4747</v>
      </c>
      <c r="C856" s="3708" t="s">
        <v>91</v>
      </c>
      <c r="D856" s="4502">
        <v>4500188270</v>
      </c>
      <c r="E856" s="3708">
        <v>4560729728</v>
      </c>
      <c r="F856" s="4502" t="s">
        <v>5440</v>
      </c>
      <c r="G856" s="3708" t="s">
        <v>2719</v>
      </c>
      <c r="H856" s="4154" t="s">
        <v>2591</v>
      </c>
      <c r="I856" s="4154">
        <v>606</v>
      </c>
      <c r="J856" s="4154">
        <v>0</v>
      </c>
      <c r="K856" s="4154">
        <v>6</v>
      </c>
      <c r="L856" s="4154">
        <f t="shared" si="394"/>
        <v>101</v>
      </c>
      <c r="M856" s="4503">
        <v>46034</v>
      </c>
      <c r="N856" s="4553">
        <v>46030</v>
      </c>
      <c r="O856" s="4117"/>
      <c r="P856" s="4527" t="s">
        <v>82</v>
      </c>
      <c r="Q856" s="4156">
        <v>606</v>
      </c>
      <c r="R856" s="4157">
        <f t="shared" si="393"/>
        <v>0</v>
      </c>
      <c r="S856" s="4564"/>
      <c r="T856" s="4159" t="s">
        <v>321</v>
      </c>
      <c r="U856" s="3726" t="s">
        <v>2725</v>
      </c>
      <c r="V856" s="3711" t="s">
        <v>465</v>
      </c>
      <c r="W856" s="3711"/>
      <c r="X856" s="3711" t="s">
        <v>5436</v>
      </c>
      <c r="Y856" s="3711"/>
      <c r="Z856" s="4154"/>
      <c r="AA856" s="3680" t="s">
        <v>5437</v>
      </c>
      <c r="AB856" s="4154" t="s">
        <v>3262</v>
      </c>
      <c r="AC856" s="4154">
        <v>1.2624</v>
      </c>
      <c r="AD856" s="4154">
        <f t="shared" si="395"/>
        <v>765.0144</v>
      </c>
      <c r="AE856" s="3726"/>
      <c r="AF856" s="3708" t="s">
        <v>2719</v>
      </c>
      <c r="AG856" s="3726" t="s">
        <v>416</v>
      </c>
      <c r="AH856" s="4430"/>
      <c r="AI856" s="4154"/>
      <c r="AJ856" s="4154">
        <f t="shared" si="407"/>
        <v>606</v>
      </c>
      <c r="AK856" s="4430"/>
      <c r="AL856" s="3708"/>
      <c r="AM856" s="3708"/>
      <c r="AN856" s="4154"/>
      <c r="AO856" s="4154"/>
      <c r="AP856" s="4154">
        <f t="shared" si="396"/>
        <v>606</v>
      </c>
      <c r="AQ856" s="1048"/>
      <c r="AR856" s="4413"/>
      <c r="AS856" s="4510">
        <f t="shared" si="397"/>
        <v>606</v>
      </c>
      <c r="AT856" s="4413"/>
      <c r="AU856" s="1048"/>
      <c r="AV856" s="1048"/>
      <c r="AW856" s="1048"/>
      <c r="AX856" s="1048"/>
      <c r="AY856" s="1048"/>
      <c r="AZ856" s="1048"/>
      <c r="BA856" s="1048"/>
      <c r="BB856" s="1048"/>
      <c r="BC856" s="1048"/>
      <c r="BD856" s="1048"/>
      <c r="BE856" s="1048"/>
      <c r="BF856" s="4510" t="s">
        <v>89</v>
      </c>
      <c r="BG856" s="1048"/>
      <c r="BH856" s="4510">
        <f t="shared" si="398"/>
        <v>101</v>
      </c>
      <c r="BI856" s="4510">
        <f t="shared" si="399"/>
        <v>101</v>
      </c>
      <c r="BJ856" s="4510">
        <f t="shared" si="400"/>
        <v>101</v>
      </c>
      <c r="BK856" s="4510">
        <f t="shared" si="401"/>
        <v>101</v>
      </c>
      <c r="BL856" s="4510">
        <f t="shared" si="402"/>
        <v>101</v>
      </c>
      <c r="BM856" s="4510">
        <f t="shared" si="403"/>
        <v>80.8</v>
      </c>
      <c r="BN856" s="4510">
        <f t="shared" si="404"/>
        <v>20.2</v>
      </c>
      <c r="BO856" s="4413"/>
      <c r="BP856" s="4413"/>
      <c r="BQ856" s="4413"/>
      <c r="BR856" s="4413"/>
      <c r="BS856" s="4413"/>
      <c r="BT856" s="4431"/>
      <c r="BU856" s="4432"/>
      <c r="BV856" s="4525">
        <f t="shared" si="405"/>
        <v>606</v>
      </c>
      <c r="BW856" s="4526">
        <f t="shared" si="406"/>
        <v>0</v>
      </c>
      <c r="BX856" s="4554"/>
      <c r="BY856" s="4554"/>
      <c r="BZ856" s="4554"/>
      <c r="CA856" s="4555">
        <f t="shared" si="409"/>
        <v>33805</v>
      </c>
      <c r="CB856" s="4555">
        <f t="shared" ref="CB856:CG856" si="412">CB855-BI856</f>
        <v>22509</v>
      </c>
      <c r="CC856" s="4555">
        <f t="shared" si="412"/>
        <v>36232</v>
      </c>
      <c r="CD856" s="4555">
        <f t="shared" si="412"/>
        <v>29726</v>
      </c>
      <c r="CE856" s="4555">
        <f t="shared" si="412"/>
        <v>31296</v>
      </c>
      <c r="CF856" s="4555">
        <f t="shared" si="412"/>
        <v>26722.4</v>
      </c>
      <c r="CG856" s="4555">
        <f t="shared" si="412"/>
        <v>22092.6</v>
      </c>
    </row>
    <row r="857" s="4316" customFormat="1" ht="50" customHeight="1" spans="1:85">
      <c r="A857" s="4500">
        <v>45996</v>
      </c>
      <c r="B857" s="4501" t="s">
        <v>4747</v>
      </c>
      <c r="C857" s="3708" t="s">
        <v>91</v>
      </c>
      <c r="D857" s="4502">
        <v>4500188270</v>
      </c>
      <c r="E857" s="3708">
        <v>4560729545</v>
      </c>
      <c r="F857" s="4502" t="s">
        <v>5441</v>
      </c>
      <c r="G857" s="3708" t="s">
        <v>2719</v>
      </c>
      <c r="H857" s="4154" t="s">
        <v>2591</v>
      </c>
      <c r="I857" s="4154">
        <v>3402</v>
      </c>
      <c r="J857" s="4154">
        <v>0</v>
      </c>
      <c r="K857" s="4154">
        <v>6</v>
      </c>
      <c r="L857" s="4154">
        <f t="shared" si="394"/>
        <v>567</v>
      </c>
      <c r="M857" s="4503">
        <v>46034</v>
      </c>
      <c r="N857" s="4553">
        <v>46030</v>
      </c>
      <c r="O857" s="4117"/>
      <c r="P857" s="4527" t="s">
        <v>82</v>
      </c>
      <c r="Q857" s="4156">
        <v>3402</v>
      </c>
      <c r="R857" s="4157">
        <f t="shared" si="393"/>
        <v>0</v>
      </c>
      <c r="S857" s="4564"/>
      <c r="T857" s="4159" t="s">
        <v>321</v>
      </c>
      <c r="U857" s="3726" t="s">
        <v>2725</v>
      </c>
      <c r="V857" s="3711" t="s">
        <v>465</v>
      </c>
      <c r="W857" s="3711"/>
      <c r="X857" s="3711" t="s">
        <v>5436</v>
      </c>
      <c r="Y857" s="3711"/>
      <c r="Z857" s="4154"/>
      <c r="AA857" s="3680" t="s">
        <v>5437</v>
      </c>
      <c r="AB857" s="4154" t="s">
        <v>3262</v>
      </c>
      <c r="AC857" s="4154">
        <v>1.2576</v>
      </c>
      <c r="AD857" s="4154">
        <f t="shared" si="395"/>
        <v>4278.3552</v>
      </c>
      <c r="AE857" s="3726"/>
      <c r="AF857" s="3708" t="s">
        <v>2719</v>
      </c>
      <c r="AG857" s="3726" t="s">
        <v>416</v>
      </c>
      <c r="AH857" s="4430"/>
      <c r="AI857" s="4154"/>
      <c r="AJ857" s="4154">
        <f t="shared" si="407"/>
        <v>3402</v>
      </c>
      <c r="AK857" s="4430"/>
      <c r="AL857" s="3708"/>
      <c r="AM857" s="3708"/>
      <c r="AN857" s="4154"/>
      <c r="AO857" s="4154"/>
      <c r="AP857" s="4154">
        <f t="shared" si="396"/>
        <v>3402</v>
      </c>
      <c r="AQ857" s="1048"/>
      <c r="AR857" s="4413"/>
      <c r="AS857" s="4510">
        <f t="shared" si="397"/>
        <v>3402</v>
      </c>
      <c r="AT857" s="4413"/>
      <c r="AU857" s="1048"/>
      <c r="AV857" s="1048"/>
      <c r="AW857" s="1048"/>
      <c r="AX857" s="1048"/>
      <c r="AY857" s="1048"/>
      <c r="AZ857" s="1048"/>
      <c r="BA857" s="1048"/>
      <c r="BB857" s="1048"/>
      <c r="BC857" s="1048"/>
      <c r="BD857" s="1048"/>
      <c r="BE857" s="1048"/>
      <c r="BF857" s="4510" t="s">
        <v>89</v>
      </c>
      <c r="BG857" s="1048"/>
      <c r="BH857" s="4510">
        <f t="shared" si="398"/>
        <v>567</v>
      </c>
      <c r="BI857" s="4510">
        <f t="shared" si="399"/>
        <v>567</v>
      </c>
      <c r="BJ857" s="4510">
        <f t="shared" si="400"/>
        <v>567</v>
      </c>
      <c r="BK857" s="4510">
        <f t="shared" si="401"/>
        <v>567</v>
      </c>
      <c r="BL857" s="4510">
        <f t="shared" si="402"/>
        <v>567</v>
      </c>
      <c r="BM857" s="4510">
        <f t="shared" si="403"/>
        <v>453.6</v>
      </c>
      <c r="BN857" s="4510">
        <f t="shared" si="404"/>
        <v>113.4</v>
      </c>
      <c r="BO857" s="4413"/>
      <c r="BP857" s="4413"/>
      <c r="BQ857" s="4413"/>
      <c r="BR857" s="4413"/>
      <c r="BS857" s="4413"/>
      <c r="BT857" s="4431"/>
      <c r="BU857" s="4432"/>
      <c r="BV857" s="4525">
        <f t="shared" si="405"/>
        <v>3402</v>
      </c>
      <c r="BW857" s="4526">
        <f t="shared" si="406"/>
        <v>0</v>
      </c>
      <c r="BX857" s="4554"/>
      <c r="BY857" s="4554"/>
      <c r="BZ857" s="4554"/>
      <c r="CA857" s="4555">
        <f t="shared" si="409"/>
        <v>33238</v>
      </c>
      <c r="CB857" s="4555">
        <f t="shared" ref="CB857:CG857" si="413">CB856-BI857</f>
        <v>21942</v>
      </c>
      <c r="CC857" s="4555">
        <f t="shared" si="413"/>
        <v>35665</v>
      </c>
      <c r="CD857" s="4555">
        <f t="shared" si="413"/>
        <v>29159</v>
      </c>
      <c r="CE857" s="4555">
        <f t="shared" si="413"/>
        <v>30729</v>
      </c>
      <c r="CF857" s="4555">
        <f t="shared" si="413"/>
        <v>26268.8</v>
      </c>
      <c r="CG857" s="4555">
        <f t="shared" si="413"/>
        <v>21979.2</v>
      </c>
    </row>
    <row r="858" s="4316" customFormat="1" ht="50" customHeight="1" spans="1:85">
      <c r="A858" s="4500">
        <v>45996</v>
      </c>
      <c r="B858" s="4501" t="s">
        <v>4747</v>
      </c>
      <c r="C858" s="3708" t="s">
        <v>91</v>
      </c>
      <c r="D858" s="4502">
        <v>4500188270</v>
      </c>
      <c r="E858" s="3708">
        <v>4560729697</v>
      </c>
      <c r="F858" s="4502" t="s">
        <v>5442</v>
      </c>
      <c r="G858" s="3708" t="s">
        <v>2719</v>
      </c>
      <c r="H858" s="4154" t="s">
        <v>2591</v>
      </c>
      <c r="I858" s="4154">
        <v>456</v>
      </c>
      <c r="J858" s="4154">
        <v>0</v>
      </c>
      <c r="K858" s="4154">
        <v>6</v>
      </c>
      <c r="L858" s="4154">
        <f t="shared" si="394"/>
        <v>76</v>
      </c>
      <c r="M858" s="4503">
        <v>46034</v>
      </c>
      <c r="N858" s="4553">
        <v>46030</v>
      </c>
      <c r="O858" s="4117"/>
      <c r="P858" s="4527" t="s">
        <v>82</v>
      </c>
      <c r="Q858" s="4156">
        <v>456</v>
      </c>
      <c r="R858" s="4157">
        <f t="shared" si="393"/>
        <v>0</v>
      </c>
      <c r="S858" s="4564"/>
      <c r="T858" s="4159" t="s">
        <v>321</v>
      </c>
      <c r="U858" s="3726" t="s">
        <v>2725</v>
      </c>
      <c r="V858" s="3711" t="s">
        <v>465</v>
      </c>
      <c r="W858" s="3711"/>
      <c r="X858" s="3711" t="s">
        <v>5436</v>
      </c>
      <c r="Y858" s="3711"/>
      <c r="Z858" s="4154"/>
      <c r="AA858" s="3680" t="s">
        <v>5437</v>
      </c>
      <c r="AB858" s="4154" t="s">
        <v>3262</v>
      </c>
      <c r="AC858" s="4154">
        <v>1.2624</v>
      </c>
      <c r="AD858" s="4154">
        <f t="shared" si="395"/>
        <v>575.6544</v>
      </c>
      <c r="AE858" s="3726"/>
      <c r="AF858" s="3708" t="s">
        <v>2719</v>
      </c>
      <c r="AG858" s="3726" t="s">
        <v>416</v>
      </c>
      <c r="AH858" s="4430"/>
      <c r="AI858" s="4154"/>
      <c r="AJ858" s="4154">
        <f t="shared" si="407"/>
        <v>456</v>
      </c>
      <c r="AK858" s="4430"/>
      <c r="AL858" s="3708"/>
      <c r="AM858" s="3708"/>
      <c r="AN858" s="4154"/>
      <c r="AO858" s="4154"/>
      <c r="AP858" s="4154">
        <f t="shared" si="396"/>
        <v>456</v>
      </c>
      <c r="AQ858" s="1048"/>
      <c r="AR858" s="4413"/>
      <c r="AS858" s="4510">
        <f t="shared" si="397"/>
        <v>456</v>
      </c>
      <c r="AT858" s="4413"/>
      <c r="AU858" s="1048"/>
      <c r="AV858" s="1048"/>
      <c r="AW858" s="1048"/>
      <c r="AX858" s="1048"/>
      <c r="AY858" s="1048"/>
      <c r="AZ858" s="1048"/>
      <c r="BA858" s="1048"/>
      <c r="BB858" s="1048"/>
      <c r="BC858" s="1048"/>
      <c r="BD858" s="1048"/>
      <c r="BE858" s="1048"/>
      <c r="BF858" s="4510" t="s">
        <v>89</v>
      </c>
      <c r="BG858" s="1048"/>
      <c r="BH858" s="4510">
        <f t="shared" si="398"/>
        <v>76</v>
      </c>
      <c r="BI858" s="4510">
        <f t="shared" si="399"/>
        <v>76</v>
      </c>
      <c r="BJ858" s="4510">
        <f t="shared" si="400"/>
        <v>76</v>
      </c>
      <c r="BK858" s="4510">
        <f t="shared" si="401"/>
        <v>76</v>
      </c>
      <c r="BL858" s="4510">
        <f t="shared" si="402"/>
        <v>76</v>
      </c>
      <c r="BM858" s="4510">
        <f t="shared" si="403"/>
        <v>60.8</v>
      </c>
      <c r="BN858" s="4510">
        <f t="shared" si="404"/>
        <v>15.2</v>
      </c>
      <c r="BO858" s="4413"/>
      <c r="BP858" s="4413"/>
      <c r="BQ858" s="4413"/>
      <c r="BR858" s="4413"/>
      <c r="BS858" s="4413"/>
      <c r="BT858" s="4431"/>
      <c r="BU858" s="4432"/>
      <c r="BV858" s="4525">
        <f t="shared" si="405"/>
        <v>456</v>
      </c>
      <c r="BW858" s="4526">
        <f t="shared" si="406"/>
        <v>0</v>
      </c>
      <c r="BX858" s="4554"/>
      <c r="BY858" s="4554"/>
      <c r="BZ858" s="4554"/>
      <c r="CA858" s="4555">
        <f t="shared" si="409"/>
        <v>33162</v>
      </c>
      <c r="CB858" s="4555">
        <f t="shared" ref="CB858:CG858" si="414">CB857-BI858</f>
        <v>21866</v>
      </c>
      <c r="CC858" s="4555">
        <f t="shared" si="414"/>
        <v>35589</v>
      </c>
      <c r="CD858" s="4555">
        <f t="shared" si="414"/>
        <v>29083</v>
      </c>
      <c r="CE858" s="4555">
        <f t="shared" si="414"/>
        <v>30653</v>
      </c>
      <c r="CF858" s="4555">
        <f t="shared" si="414"/>
        <v>26208</v>
      </c>
      <c r="CG858" s="4555">
        <f t="shared" si="414"/>
        <v>21964</v>
      </c>
    </row>
    <row r="859" s="4316" customFormat="1" ht="50" customHeight="1" spans="1:85">
      <c r="A859" s="4500">
        <v>45996</v>
      </c>
      <c r="B859" s="4501" t="s">
        <v>4747</v>
      </c>
      <c r="C859" s="3708" t="s">
        <v>91</v>
      </c>
      <c r="D859" s="4502">
        <v>4500188270</v>
      </c>
      <c r="E859" s="3708">
        <v>4560729752</v>
      </c>
      <c r="F859" s="4502" t="s">
        <v>5443</v>
      </c>
      <c r="G859" s="3708" t="s">
        <v>2719</v>
      </c>
      <c r="H859" s="4154" t="s">
        <v>2591</v>
      </c>
      <c r="I859" s="4154">
        <v>2790</v>
      </c>
      <c r="J859" s="4154">
        <v>0</v>
      </c>
      <c r="K859" s="4154">
        <v>6</v>
      </c>
      <c r="L859" s="4154">
        <f t="shared" si="394"/>
        <v>465</v>
      </c>
      <c r="M859" s="4503">
        <v>46034</v>
      </c>
      <c r="N859" s="4553">
        <v>46030</v>
      </c>
      <c r="O859" s="4117"/>
      <c r="P859" s="4527" t="s">
        <v>82</v>
      </c>
      <c r="Q859" s="4156">
        <v>2790</v>
      </c>
      <c r="R859" s="4157">
        <f t="shared" si="393"/>
        <v>0</v>
      </c>
      <c r="S859" s="4557"/>
      <c r="T859" s="4159" t="s">
        <v>321</v>
      </c>
      <c r="U859" s="3726" t="s">
        <v>2725</v>
      </c>
      <c r="V859" s="3711" t="s">
        <v>465</v>
      </c>
      <c r="W859" s="3711"/>
      <c r="X859" s="3711" t="s">
        <v>5436</v>
      </c>
      <c r="Y859" s="3711"/>
      <c r="Z859" s="4154"/>
      <c r="AA859" s="3680" t="s">
        <v>5437</v>
      </c>
      <c r="AB859" s="4154" t="s">
        <v>3262</v>
      </c>
      <c r="AC859" s="4154">
        <v>1.2596</v>
      </c>
      <c r="AD859" s="4154">
        <f t="shared" si="395"/>
        <v>3514.284</v>
      </c>
      <c r="AE859" s="3726"/>
      <c r="AF859" s="3708" t="s">
        <v>2719</v>
      </c>
      <c r="AG859" s="3726" t="s">
        <v>416</v>
      </c>
      <c r="AH859" s="4430"/>
      <c r="AI859" s="4154"/>
      <c r="AJ859" s="4154">
        <f t="shared" si="407"/>
        <v>2790</v>
      </c>
      <c r="AK859" s="4430"/>
      <c r="AL859" s="3708"/>
      <c r="AM859" s="3708"/>
      <c r="AN859" s="4154"/>
      <c r="AO859" s="4154"/>
      <c r="AP859" s="4154">
        <f t="shared" si="396"/>
        <v>2790</v>
      </c>
      <c r="AQ859" s="1048"/>
      <c r="AR859" s="4413"/>
      <c r="AS859" s="4510">
        <f t="shared" si="397"/>
        <v>2790</v>
      </c>
      <c r="AT859" s="4413"/>
      <c r="AU859" s="1048"/>
      <c r="AV859" s="1048"/>
      <c r="AW859" s="1048"/>
      <c r="AX859" s="1048"/>
      <c r="AY859" s="1048"/>
      <c r="AZ859" s="1048"/>
      <c r="BA859" s="1048"/>
      <c r="BB859" s="1048"/>
      <c r="BC859" s="1048"/>
      <c r="BD859" s="1048"/>
      <c r="BE859" s="1048"/>
      <c r="BF859" s="4510" t="s">
        <v>89</v>
      </c>
      <c r="BG859" s="1048"/>
      <c r="BH859" s="4510">
        <f t="shared" si="398"/>
        <v>465</v>
      </c>
      <c r="BI859" s="4510">
        <f t="shared" si="399"/>
        <v>465</v>
      </c>
      <c r="BJ859" s="4510">
        <f t="shared" si="400"/>
        <v>465</v>
      </c>
      <c r="BK859" s="4510">
        <f t="shared" si="401"/>
        <v>465</v>
      </c>
      <c r="BL859" s="4510">
        <f t="shared" si="402"/>
        <v>465</v>
      </c>
      <c r="BM859" s="4510">
        <f t="shared" si="403"/>
        <v>372</v>
      </c>
      <c r="BN859" s="4510">
        <f t="shared" si="404"/>
        <v>93</v>
      </c>
      <c r="BO859" s="4413"/>
      <c r="BP859" s="4413"/>
      <c r="BQ859" s="4413"/>
      <c r="BR859" s="4413"/>
      <c r="BS859" s="4413"/>
      <c r="BT859" s="4431"/>
      <c r="BU859" s="4432"/>
      <c r="BV859" s="4525">
        <f t="shared" si="405"/>
        <v>2790</v>
      </c>
      <c r="BW859" s="4526">
        <f t="shared" si="406"/>
        <v>0</v>
      </c>
      <c r="BX859" s="4554"/>
      <c r="BY859" s="4554"/>
      <c r="BZ859" s="4554"/>
      <c r="CA859" s="4555">
        <f t="shared" si="409"/>
        <v>32697</v>
      </c>
      <c r="CB859" s="4555">
        <f t="shared" ref="CB859:CG859" si="415">CB858-BI859</f>
        <v>21401</v>
      </c>
      <c r="CC859" s="4555">
        <f t="shared" si="415"/>
        <v>35124</v>
      </c>
      <c r="CD859" s="4555">
        <f t="shared" si="415"/>
        <v>28618</v>
      </c>
      <c r="CE859" s="4555">
        <f t="shared" si="415"/>
        <v>30188</v>
      </c>
      <c r="CF859" s="4555">
        <f t="shared" si="415"/>
        <v>25836</v>
      </c>
      <c r="CG859" s="4555">
        <f t="shared" si="415"/>
        <v>21871</v>
      </c>
    </row>
    <row r="860" s="4316" customFormat="1" ht="50" customHeight="1" spans="1:85">
      <c r="A860" s="4500">
        <v>46003</v>
      </c>
      <c r="B860" s="4501" t="s">
        <v>4061</v>
      </c>
      <c r="C860" s="3708" t="s">
        <v>840</v>
      </c>
      <c r="D860" s="4502">
        <v>4500188835</v>
      </c>
      <c r="E860" s="3708">
        <v>3026</v>
      </c>
      <c r="F860" s="4502" t="s">
        <v>5444</v>
      </c>
      <c r="G860" s="3708" t="s">
        <v>2590</v>
      </c>
      <c r="H860" s="3708" t="s">
        <v>2591</v>
      </c>
      <c r="I860" s="4154">
        <v>480</v>
      </c>
      <c r="J860" s="4154">
        <v>0</v>
      </c>
      <c r="K860" s="4154">
        <v>6</v>
      </c>
      <c r="L860" s="4154">
        <f t="shared" si="394"/>
        <v>80</v>
      </c>
      <c r="M860" s="4503">
        <v>46041</v>
      </c>
      <c r="N860" s="4553">
        <f>M860-4</f>
        <v>46037</v>
      </c>
      <c r="O860" s="4117"/>
      <c r="P860" s="4527" t="s">
        <v>82</v>
      </c>
      <c r="Q860" s="4156">
        <v>480</v>
      </c>
      <c r="R860" s="4157">
        <f t="shared" si="393"/>
        <v>0</v>
      </c>
      <c r="S860" s="4159" t="s">
        <v>98</v>
      </c>
      <c r="T860" s="4159"/>
      <c r="U860" s="3726" t="s">
        <v>2362</v>
      </c>
      <c r="V860" s="4154" t="s">
        <v>2807</v>
      </c>
      <c r="W860" s="3711"/>
      <c r="X860" s="3711" t="s">
        <v>98</v>
      </c>
      <c r="Y860" s="3711"/>
      <c r="Z860" s="4154"/>
      <c r="AA860" s="3680" t="s">
        <v>5445</v>
      </c>
      <c r="AB860" s="4154" t="s">
        <v>4141</v>
      </c>
      <c r="AC860" s="4154">
        <v>2.1779</v>
      </c>
      <c r="AD860" s="4154">
        <f t="shared" si="395"/>
        <v>1045.392</v>
      </c>
      <c r="AE860" s="3726"/>
      <c r="AF860" s="3708" t="s">
        <v>2590</v>
      </c>
      <c r="AG860" s="3726" t="s">
        <v>416</v>
      </c>
      <c r="AH860" s="4154"/>
      <c r="AI860" s="4154"/>
      <c r="AJ860" s="3708">
        <f t="shared" si="407"/>
        <v>480</v>
      </c>
      <c r="AK860" s="3708"/>
      <c r="AL860" s="4154"/>
      <c r="AM860" s="4154"/>
      <c r="AN860" s="4154"/>
      <c r="AO860" s="1048"/>
      <c r="AP860" s="1048">
        <f t="shared" si="396"/>
        <v>480</v>
      </c>
      <c r="AQ860" s="1048"/>
      <c r="AR860" s="1048"/>
      <c r="AS860" s="4510">
        <f t="shared" si="397"/>
        <v>480</v>
      </c>
      <c r="AT860" s="1048"/>
      <c r="AU860" s="1048"/>
      <c r="AV860" s="1048"/>
      <c r="AW860" s="1048">
        <f>I860/6</f>
        <v>80</v>
      </c>
      <c r="AX860" s="1048"/>
      <c r="AY860" s="1048"/>
      <c r="AZ860" s="1048"/>
      <c r="BA860" s="1048"/>
      <c r="BB860" s="1048"/>
      <c r="BC860" s="1048"/>
      <c r="BD860" s="4510"/>
      <c r="BE860" s="4510"/>
      <c r="BF860" s="4510" t="s">
        <v>89</v>
      </c>
      <c r="BG860" s="4510"/>
      <c r="BH860" s="4510">
        <f t="shared" si="398"/>
        <v>80</v>
      </c>
      <c r="BI860" s="4510">
        <f t="shared" si="399"/>
        <v>80</v>
      </c>
      <c r="BJ860" s="4510">
        <f t="shared" si="400"/>
        <v>80</v>
      </c>
      <c r="BK860" s="4525">
        <f t="shared" si="401"/>
        <v>80</v>
      </c>
      <c r="BL860" s="4525">
        <f t="shared" si="402"/>
        <v>80</v>
      </c>
      <c r="BM860" s="4562">
        <f t="shared" si="403"/>
        <v>64</v>
      </c>
      <c r="BN860" s="4562">
        <f t="shared" si="404"/>
        <v>16</v>
      </c>
      <c r="BO860" s="4562"/>
      <c r="BP860" s="4160"/>
      <c r="BQ860" s="4160"/>
      <c r="BR860" s="4566"/>
      <c r="BS860" s="4160"/>
      <c r="BT860" s="4160"/>
      <c r="BU860" s="4160"/>
      <c r="BV860" s="4160">
        <f t="shared" si="405"/>
        <v>480</v>
      </c>
      <c r="BW860" s="4160">
        <f t="shared" si="406"/>
        <v>0</v>
      </c>
      <c r="BX860" s="4160"/>
      <c r="BY860" s="4160"/>
      <c r="BZ860" s="4160"/>
      <c r="CA860" s="4567"/>
      <c r="CB860" s="4567"/>
      <c r="CC860" s="4567"/>
      <c r="CD860" s="4567"/>
      <c r="CE860" s="4567"/>
      <c r="CF860" s="4567"/>
      <c r="CG860" s="4567"/>
    </row>
    <row r="861" s="4316" customFormat="1" ht="50" customHeight="1" spans="1:85">
      <c r="A861" s="4500">
        <v>45993</v>
      </c>
      <c r="B861" s="4501" t="s">
        <v>2914</v>
      </c>
      <c r="C861" s="3708" t="s">
        <v>341</v>
      </c>
      <c r="D861" s="4502">
        <v>4500187663</v>
      </c>
      <c r="E861" s="3708" t="s">
        <v>5446</v>
      </c>
      <c r="F861" s="4502" t="s">
        <v>5447</v>
      </c>
      <c r="G861" s="3708" t="s">
        <v>2917</v>
      </c>
      <c r="H861" s="3708" t="s">
        <v>2620</v>
      </c>
      <c r="I861" s="4113">
        <v>2000</v>
      </c>
      <c r="J861" s="3699">
        <v>0</v>
      </c>
      <c r="K861" s="3699">
        <v>16</v>
      </c>
      <c r="L861" s="3699">
        <f t="shared" si="394"/>
        <v>125</v>
      </c>
      <c r="M861" s="4503">
        <v>46038</v>
      </c>
      <c r="N861" s="4553">
        <v>46034</v>
      </c>
      <c r="O861" s="4117"/>
      <c r="P861" s="4527" t="s">
        <v>82</v>
      </c>
      <c r="Q861" s="4156">
        <v>2000</v>
      </c>
      <c r="R861" s="4157">
        <f t="shared" si="393"/>
        <v>0</v>
      </c>
      <c r="S861" s="4159" t="s">
        <v>2297</v>
      </c>
      <c r="T861" s="4159"/>
      <c r="U861" s="3726" t="s">
        <v>138</v>
      </c>
      <c r="V861" s="3711" t="s">
        <v>729</v>
      </c>
      <c r="W861" s="3711"/>
      <c r="X861" s="3711" t="s">
        <v>5448</v>
      </c>
      <c r="Y861" s="3711"/>
      <c r="Z861" s="4154"/>
      <c r="AA861" s="3680" t="s">
        <v>5449</v>
      </c>
      <c r="AB861" s="4154" t="s">
        <v>5106</v>
      </c>
      <c r="AC861" s="4154">
        <v>2.1593</v>
      </c>
      <c r="AD861" s="3699">
        <f t="shared" si="395"/>
        <v>4318.6</v>
      </c>
      <c r="AE861" s="3680" t="s">
        <v>5450</v>
      </c>
      <c r="AF861" s="4160" t="s">
        <v>2917</v>
      </c>
      <c r="AG861" s="3726" t="s">
        <v>416</v>
      </c>
      <c r="AH861" s="4430"/>
      <c r="AI861" s="4154"/>
      <c r="AJ861" s="4154">
        <f t="shared" si="407"/>
        <v>2000</v>
      </c>
      <c r="AK861" s="4430"/>
      <c r="AL861" s="3708"/>
      <c r="AM861" s="3708"/>
      <c r="AN861" s="4154"/>
      <c r="AO861" s="4154"/>
      <c r="AP861" s="4154">
        <f t="shared" si="396"/>
        <v>2000</v>
      </c>
      <c r="AQ861" s="1048"/>
      <c r="AR861" s="4413"/>
      <c r="AS861" s="1048">
        <f t="shared" si="397"/>
        <v>2000</v>
      </c>
      <c r="AT861" s="4413"/>
      <c r="AU861" s="1048"/>
      <c r="AV861" s="1048"/>
      <c r="AW861" s="1048"/>
      <c r="AX861" s="1048"/>
      <c r="AY861" s="1048"/>
      <c r="AZ861" s="1048"/>
      <c r="BA861" s="1048">
        <f>I861/4</f>
        <v>500</v>
      </c>
      <c r="BB861" s="1048"/>
      <c r="BC861" s="1048"/>
      <c r="BD861" s="1048"/>
      <c r="BE861" s="1048"/>
      <c r="BF861" s="1048" t="s">
        <v>89</v>
      </c>
      <c r="BG861" s="1048"/>
      <c r="BH861" s="1048">
        <f t="shared" si="398"/>
        <v>333.333333333333</v>
      </c>
      <c r="BI861" s="1048">
        <f t="shared" si="399"/>
        <v>333.333333333333</v>
      </c>
      <c r="BJ861" s="1048">
        <f t="shared" si="400"/>
        <v>333.333333333333</v>
      </c>
      <c r="BK861" s="4415">
        <f t="shared" si="401"/>
        <v>333.333333333333</v>
      </c>
      <c r="BL861" s="4505">
        <f t="shared" si="402"/>
        <v>333.333333333333</v>
      </c>
      <c r="BM861" s="4415">
        <f t="shared" si="403"/>
        <v>266.666666666667</v>
      </c>
      <c r="BN861" s="1048">
        <f t="shared" si="404"/>
        <v>66.6666666666667</v>
      </c>
      <c r="BO861" s="4413"/>
      <c r="BP861" s="4413"/>
      <c r="BQ861" s="4413"/>
      <c r="BR861" s="4413"/>
      <c r="BS861" s="4413"/>
      <c r="BT861" s="4431"/>
      <c r="BU861" s="4432"/>
      <c r="BV861" s="4505">
        <f t="shared" si="405"/>
        <v>2000</v>
      </c>
      <c r="BW861" s="4506">
        <f t="shared" si="406"/>
        <v>0</v>
      </c>
      <c r="BX861" s="4554"/>
      <c r="BY861" s="4554"/>
      <c r="BZ861" s="4554"/>
      <c r="CA861" s="4555">
        <f t="shared" ref="CA861:CG861" si="416">CA849-BH861</f>
        <v>32143.6666666667</v>
      </c>
      <c r="CB861" s="4555">
        <f t="shared" si="416"/>
        <v>20847.6666666667</v>
      </c>
      <c r="CC861" s="4555">
        <f t="shared" si="416"/>
        <v>34570.6666666667</v>
      </c>
      <c r="CD861" s="4555">
        <f t="shared" si="416"/>
        <v>28064.6666666667</v>
      </c>
      <c r="CE861" s="4555">
        <f t="shared" si="416"/>
        <v>29634.6666666667</v>
      </c>
      <c r="CF861" s="4555">
        <f t="shared" si="416"/>
        <v>25393.3333333333</v>
      </c>
      <c r="CG861" s="4555">
        <f t="shared" si="416"/>
        <v>21760.3333333333</v>
      </c>
    </row>
    <row r="862" s="4316" customFormat="1" ht="50" customHeight="1" spans="1:85">
      <c r="A862" s="4500">
        <v>46002</v>
      </c>
      <c r="B862" s="4501" t="s">
        <v>839</v>
      </c>
      <c r="C862" s="3708" t="s">
        <v>840</v>
      </c>
      <c r="D862" s="4502">
        <v>4500188651</v>
      </c>
      <c r="E862" s="3708">
        <v>21336512</v>
      </c>
      <c r="F862" s="4502" t="s">
        <v>5451</v>
      </c>
      <c r="G862" s="3708" t="s">
        <v>2577</v>
      </c>
      <c r="H862" s="3708" t="s">
        <v>2578</v>
      </c>
      <c r="I862" s="4154">
        <v>24</v>
      </c>
      <c r="J862" s="4154">
        <v>0</v>
      </c>
      <c r="K862" s="4154">
        <v>12</v>
      </c>
      <c r="L862" s="4154">
        <f t="shared" si="394"/>
        <v>2</v>
      </c>
      <c r="M862" s="4503">
        <v>46041</v>
      </c>
      <c r="N862" s="4553">
        <v>46037</v>
      </c>
      <c r="O862" s="4117"/>
      <c r="P862" s="4527" t="s">
        <v>82</v>
      </c>
      <c r="Q862" s="4156">
        <v>24</v>
      </c>
      <c r="R862" s="4157">
        <f t="shared" si="393"/>
        <v>0</v>
      </c>
      <c r="S862" s="4159" t="s">
        <v>2297</v>
      </c>
      <c r="T862" s="4159"/>
      <c r="U862" s="3726" t="s">
        <v>2338</v>
      </c>
      <c r="V862" s="3711" t="s">
        <v>2339</v>
      </c>
      <c r="W862" s="3711"/>
      <c r="X862" s="3711" t="s">
        <v>2340</v>
      </c>
      <c r="Y862" s="3711"/>
      <c r="Z862" s="4154"/>
      <c r="AA862" s="3680" t="s">
        <v>5452</v>
      </c>
      <c r="AB862" s="4154" t="s">
        <v>513</v>
      </c>
      <c r="AC862" s="4154">
        <v>2.2509</v>
      </c>
      <c r="AD862" s="4154">
        <f t="shared" si="395"/>
        <v>54.0216</v>
      </c>
      <c r="AE862" s="3726"/>
      <c r="AF862" s="4160" t="s">
        <v>2577</v>
      </c>
      <c r="AG862" s="3726" t="s">
        <v>416</v>
      </c>
      <c r="AH862" s="4430"/>
      <c r="AI862" s="4154"/>
      <c r="AJ862" s="4154">
        <f t="shared" si="407"/>
        <v>24</v>
      </c>
      <c r="AK862" s="4430"/>
      <c r="AL862" s="3708"/>
      <c r="AM862" s="3708"/>
      <c r="AN862" s="4154"/>
      <c r="AO862" s="4154"/>
      <c r="AP862" s="4154">
        <f t="shared" si="396"/>
        <v>24</v>
      </c>
      <c r="AQ862" s="1048"/>
      <c r="AR862" s="4413"/>
      <c r="AS862" s="1048">
        <f t="shared" si="397"/>
        <v>24</v>
      </c>
      <c r="AT862" s="4413"/>
      <c r="AU862" s="1048"/>
      <c r="AV862" s="1048"/>
      <c r="AW862" s="4510">
        <f>I862/6</f>
        <v>4</v>
      </c>
      <c r="AX862" s="1048"/>
      <c r="AY862" s="1048"/>
      <c r="AZ862" s="1048"/>
      <c r="BA862" s="1048"/>
      <c r="BB862" s="1048"/>
      <c r="BC862" s="1048"/>
      <c r="BD862" s="1048"/>
      <c r="BE862" s="1048"/>
      <c r="BF862" s="1048" t="s">
        <v>89</v>
      </c>
      <c r="BG862" s="1048"/>
      <c r="BH862" s="1048">
        <f t="shared" si="398"/>
        <v>4</v>
      </c>
      <c r="BI862" s="1048">
        <f t="shared" si="399"/>
        <v>4</v>
      </c>
      <c r="BJ862" s="1048">
        <f t="shared" si="400"/>
        <v>4</v>
      </c>
      <c r="BK862" s="1048">
        <f t="shared" si="401"/>
        <v>4</v>
      </c>
      <c r="BL862" s="1048">
        <f t="shared" si="402"/>
        <v>4</v>
      </c>
      <c r="BM862" s="1048">
        <f t="shared" si="403"/>
        <v>3.2</v>
      </c>
      <c r="BN862" s="1048">
        <f t="shared" si="404"/>
        <v>0.8</v>
      </c>
      <c r="BO862" s="4413"/>
      <c r="BP862" s="4413"/>
      <c r="BQ862" s="4413"/>
      <c r="BR862" s="4413"/>
      <c r="BS862" s="4413"/>
      <c r="BT862" s="4431"/>
      <c r="BU862" s="4432"/>
      <c r="BV862" s="4505">
        <f t="shared" si="405"/>
        <v>24</v>
      </c>
      <c r="BW862" s="4506">
        <f t="shared" si="406"/>
        <v>0</v>
      </c>
      <c r="BX862" s="4554"/>
      <c r="BY862" s="4554"/>
      <c r="BZ862" s="4554"/>
      <c r="CA862" s="4555">
        <f t="shared" ref="CA862:CG862" si="417">CA865-BH862</f>
        <v>31923.6666666667</v>
      </c>
      <c r="CB862" s="4555">
        <f t="shared" si="417"/>
        <v>20627.6666666667</v>
      </c>
      <c r="CC862" s="4555">
        <f t="shared" si="417"/>
        <v>34350.6666666667</v>
      </c>
      <c r="CD862" s="4555">
        <f t="shared" si="417"/>
        <v>27844.6666666667</v>
      </c>
      <c r="CE862" s="4555">
        <f t="shared" si="417"/>
        <v>29414.6666666667</v>
      </c>
      <c r="CF862" s="4555">
        <f t="shared" si="417"/>
        <v>25217.3333333333</v>
      </c>
      <c r="CG862" s="4555">
        <f t="shared" si="417"/>
        <v>21716.3333333333</v>
      </c>
    </row>
    <row r="863" s="4316" customFormat="1" ht="50" customHeight="1" spans="1:85">
      <c r="A863" s="4500">
        <v>46002</v>
      </c>
      <c r="B863" s="4501" t="s">
        <v>505</v>
      </c>
      <c r="C863" s="3708" t="s">
        <v>506</v>
      </c>
      <c r="D863" s="4502">
        <v>4500188650</v>
      </c>
      <c r="E863" s="3708">
        <v>21336511</v>
      </c>
      <c r="F863" s="4502" t="s">
        <v>5453</v>
      </c>
      <c r="G863" s="3708" t="s">
        <v>2577</v>
      </c>
      <c r="H863" s="3708" t="s">
        <v>2578</v>
      </c>
      <c r="I863" s="4154">
        <v>1668</v>
      </c>
      <c r="J863" s="4154">
        <v>0</v>
      </c>
      <c r="K863" s="4154">
        <v>12</v>
      </c>
      <c r="L863" s="4154">
        <f t="shared" si="394"/>
        <v>139</v>
      </c>
      <c r="M863" s="4503">
        <v>46041</v>
      </c>
      <c r="N863" s="4553">
        <v>46037</v>
      </c>
      <c r="O863" s="4117"/>
      <c r="P863" s="4527" t="s">
        <v>82</v>
      </c>
      <c r="Q863" s="4156">
        <v>1668</v>
      </c>
      <c r="R863" s="4157">
        <f t="shared" si="393"/>
        <v>0</v>
      </c>
      <c r="S863" s="4159" t="s">
        <v>2297</v>
      </c>
      <c r="T863" s="4159"/>
      <c r="U863" s="3726" t="s">
        <v>2338</v>
      </c>
      <c r="V863" s="3711" t="s">
        <v>2339</v>
      </c>
      <c r="W863" s="3711"/>
      <c r="X863" s="3711" t="s">
        <v>2340</v>
      </c>
      <c r="Y863" s="3711"/>
      <c r="Z863" s="4154"/>
      <c r="AA863" s="3680" t="s">
        <v>5454</v>
      </c>
      <c r="AB863" s="4154" t="s">
        <v>513</v>
      </c>
      <c r="AC863" s="4154">
        <v>2.2463</v>
      </c>
      <c r="AD863" s="4154">
        <f t="shared" si="395"/>
        <v>3746.8284</v>
      </c>
      <c r="AE863" s="3726"/>
      <c r="AF863" s="4160" t="s">
        <v>2577</v>
      </c>
      <c r="AG863" s="3726" t="s">
        <v>416</v>
      </c>
      <c r="AH863" s="4568"/>
      <c r="AI863" s="4154"/>
      <c r="AJ863" s="3708">
        <f t="shared" si="407"/>
        <v>1668</v>
      </c>
      <c r="AK863" s="4412"/>
      <c r="AL863" s="4154"/>
      <c r="AM863" s="4154"/>
      <c r="AN863" s="4154"/>
      <c r="AO863" s="1048"/>
      <c r="AP863" s="1048">
        <f t="shared" si="396"/>
        <v>1668</v>
      </c>
      <c r="AQ863" s="1048"/>
      <c r="AR863" s="1040"/>
      <c r="AS863" s="1048">
        <f t="shared" si="397"/>
        <v>1668</v>
      </c>
      <c r="AT863" s="1040"/>
      <c r="AU863" s="1048"/>
      <c r="AV863" s="1048"/>
      <c r="AW863" s="4510">
        <f>I863/6</f>
        <v>278</v>
      </c>
      <c r="AX863" s="1048"/>
      <c r="AY863" s="1048"/>
      <c r="AZ863" s="1048"/>
      <c r="BA863" s="1048"/>
      <c r="BB863" s="1048"/>
      <c r="BC863" s="1048"/>
      <c r="BD863" s="1048"/>
      <c r="BE863" s="1048"/>
      <c r="BF863" s="1048" t="s">
        <v>89</v>
      </c>
      <c r="BG863" s="1048"/>
      <c r="BH863" s="1048">
        <f t="shared" si="398"/>
        <v>278</v>
      </c>
      <c r="BI863" s="1048">
        <f t="shared" si="399"/>
        <v>278</v>
      </c>
      <c r="BJ863" s="1048">
        <f t="shared" si="400"/>
        <v>278</v>
      </c>
      <c r="BK863" s="4505">
        <f t="shared" si="401"/>
        <v>278</v>
      </c>
      <c r="BL863" s="4506">
        <f t="shared" si="402"/>
        <v>278</v>
      </c>
      <c r="BM863" s="4554">
        <f t="shared" si="403"/>
        <v>222.4</v>
      </c>
      <c r="BN863" s="4554">
        <f t="shared" si="404"/>
        <v>55.6</v>
      </c>
      <c r="BO863" s="4569"/>
      <c r="BP863" s="4570"/>
      <c r="BQ863" s="4571"/>
      <c r="BR863" s="4572"/>
      <c r="BS863" s="4570"/>
      <c r="BT863" s="4573"/>
      <c r="BU863" s="4573"/>
      <c r="BV863" s="4316">
        <f t="shared" si="405"/>
        <v>1668</v>
      </c>
      <c r="BW863" s="4316">
        <f t="shared" si="406"/>
        <v>0</v>
      </c>
      <c r="BX863" s="4323"/>
      <c r="BY863" s="4323"/>
      <c r="BZ863" s="4323"/>
      <c r="CA863" s="4555">
        <f t="shared" ref="CA863:CF863" si="418">CA862-BH863</f>
        <v>31645.6666666667</v>
      </c>
      <c r="CB863" s="4555">
        <f t="shared" si="418"/>
        <v>20349.6666666667</v>
      </c>
      <c r="CC863" s="4555">
        <f t="shared" si="418"/>
        <v>34072.6666666667</v>
      </c>
      <c r="CD863" s="4555">
        <f t="shared" si="418"/>
        <v>27566.6666666667</v>
      </c>
      <c r="CE863" s="4555">
        <f t="shared" si="418"/>
        <v>29136.6666666667</v>
      </c>
      <c r="CF863" s="4555">
        <f t="shared" si="418"/>
        <v>24994.9333333333</v>
      </c>
      <c r="CG863" s="4555">
        <f>CG865-BN863</f>
        <v>21661.5333333333</v>
      </c>
    </row>
    <row r="864" s="4316" customFormat="1" ht="50" customHeight="1" spans="1:85">
      <c r="A864" s="4112">
        <v>46008</v>
      </c>
      <c r="B864" s="3766" t="s">
        <v>2342</v>
      </c>
      <c r="C864" s="3766" t="s">
        <v>2343</v>
      </c>
      <c r="D864" s="3699">
        <v>4500189283</v>
      </c>
      <c r="E864" s="3708"/>
      <c r="F864" s="3699" t="s">
        <v>5455</v>
      </c>
      <c r="G864" s="3708" t="s">
        <v>2627</v>
      </c>
      <c r="H864" s="4154" t="s">
        <v>2591</v>
      </c>
      <c r="I864" s="4154">
        <v>504</v>
      </c>
      <c r="J864" s="4154">
        <v>0</v>
      </c>
      <c r="K864" s="4154">
        <v>24</v>
      </c>
      <c r="L864" s="4154">
        <f t="shared" si="394"/>
        <v>21</v>
      </c>
      <c r="M864" s="4503">
        <v>46043</v>
      </c>
      <c r="N864" s="4553">
        <v>46039</v>
      </c>
      <c r="O864" s="4117"/>
      <c r="P864" s="4527" t="s">
        <v>82</v>
      </c>
      <c r="Q864" s="4156">
        <v>504</v>
      </c>
      <c r="R864" s="4157">
        <f t="shared" si="393"/>
        <v>0</v>
      </c>
      <c r="S864" s="4159" t="s">
        <v>2297</v>
      </c>
      <c r="T864" s="4159" t="s">
        <v>321</v>
      </c>
      <c r="U864" s="3726" t="s">
        <v>2345</v>
      </c>
      <c r="V864" s="3711" t="s">
        <v>2346</v>
      </c>
      <c r="W864" s="3711"/>
      <c r="X864" s="3711" t="s">
        <v>2347</v>
      </c>
      <c r="Y864" s="3711"/>
      <c r="Z864" s="4154"/>
      <c r="AA864" s="3680" t="s">
        <v>5456</v>
      </c>
      <c r="AB864" s="4154" t="s">
        <v>892</v>
      </c>
      <c r="AC864" s="4504">
        <v>2.107</v>
      </c>
      <c r="AD864" s="4154">
        <f t="shared" si="395"/>
        <v>1061.928</v>
      </c>
      <c r="AE864" s="3726"/>
      <c r="AF864" s="3708" t="s">
        <v>3078</v>
      </c>
      <c r="AG864" s="3726" t="s">
        <v>416</v>
      </c>
      <c r="AH864" s="4574"/>
      <c r="AI864" s="4154"/>
      <c r="AJ864" s="4575">
        <f t="shared" si="407"/>
        <v>504</v>
      </c>
      <c r="AK864" s="4430"/>
      <c r="AL864" s="4154"/>
      <c r="AM864" s="4154"/>
      <c r="AN864" s="4154"/>
      <c r="AO864" s="1048"/>
      <c r="AP864" s="1048">
        <f t="shared" si="396"/>
        <v>504</v>
      </c>
      <c r="AQ864" s="1048"/>
      <c r="AR864" s="4413"/>
      <c r="AS864" s="1048">
        <f t="shared" si="397"/>
        <v>504</v>
      </c>
      <c r="AT864" s="4413"/>
      <c r="AU864" s="1048"/>
      <c r="AV864" s="1048"/>
      <c r="AW864" s="4510"/>
      <c r="AX864" s="1048"/>
      <c r="AY864" s="1048"/>
      <c r="AZ864" s="1048"/>
      <c r="BA864" s="1048"/>
      <c r="BB864" s="1048"/>
      <c r="BC864" s="1048"/>
      <c r="BD864" s="1048"/>
      <c r="BE864" s="1048"/>
      <c r="BF864" s="1048" t="s">
        <v>89</v>
      </c>
      <c r="BG864" s="1048"/>
      <c r="BH864" s="1048">
        <f t="shared" si="398"/>
        <v>84</v>
      </c>
      <c r="BI864" s="1048">
        <f t="shared" si="399"/>
        <v>84</v>
      </c>
      <c r="BJ864" s="1048">
        <f t="shared" si="400"/>
        <v>84</v>
      </c>
      <c r="BK864" s="1048">
        <f t="shared" si="401"/>
        <v>84</v>
      </c>
      <c r="BL864" s="1048">
        <f t="shared" si="402"/>
        <v>84</v>
      </c>
      <c r="BM864" s="1048">
        <f t="shared" si="403"/>
        <v>67.2</v>
      </c>
      <c r="BN864" s="1048">
        <f t="shared" si="404"/>
        <v>16.8</v>
      </c>
      <c r="BO864" s="4576"/>
      <c r="BP864" s="4577"/>
      <c r="BQ864" s="4578"/>
      <c r="BR864" s="4579"/>
      <c r="BS864" s="4577"/>
      <c r="BT864" s="4443"/>
      <c r="BU864" s="4443"/>
      <c r="BV864" s="4505">
        <f t="shared" si="405"/>
        <v>504</v>
      </c>
      <c r="BW864" s="4506">
        <f t="shared" si="406"/>
        <v>0</v>
      </c>
      <c r="BX864" s="4323"/>
      <c r="BY864" s="4323"/>
      <c r="BZ864" s="4323"/>
      <c r="CA864" s="4555">
        <f t="shared" ref="CA864:CF864" si="419">CA882-BH864</f>
        <v>30345.6666666667</v>
      </c>
      <c r="CB864" s="4555">
        <f t="shared" si="419"/>
        <v>19049.6666666667</v>
      </c>
      <c r="CC864" s="4555">
        <f t="shared" si="419"/>
        <v>32772.6666666667</v>
      </c>
      <c r="CD864" s="4555">
        <f t="shared" si="419"/>
        <v>26266.6666666667</v>
      </c>
      <c r="CE864" s="4555">
        <f t="shared" si="419"/>
        <v>27836.6666666667</v>
      </c>
      <c r="CF864" s="4555">
        <f t="shared" si="419"/>
        <v>23954.9333333333</v>
      </c>
      <c r="CG864" s="4555">
        <f>CG881-BN864</f>
        <v>21555.1333333333</v>
      </c>
    </row>
    <row r="865" s="4316" customFormat="1" ht="50" customHeight="1" spans="1:85">
      <c r="A865" s="4500">
        <v>45985</v>
      </c>
      <c r="B865" s="4501" t="s">
        <v>3599</v>
      </c>
      <c r="C865" s="3708" t="s">
        <v>2058</v>
      </c>
      <c r="D865" s="4502">
        <v>4500183456</v>
      </c>
      <c r="E865" s="3708">
        <v>2000008399</v>
      </c>
      <c r="F865" s="4502" t="s">
        <v>5457</v>
      </c>
      <c r="G865" s="3708" t="s">
        <v>3352</v>
      </c>
      <c r="H865" s="3708" t="s">
        <v>3353</v>
      </c>
      <c r="I865" s="4113">
        <v>1296</v>
      </c>
      <c r="J865" s="3699">
        <v>0</v>
      </c>
      <c r="K865" s="3699">
        <v>12</v>
      </c>
      <c r="L865" s="3699">
        <f t="shared" si="394"/>
        <v>108</v>
      </c>
      <c r="M865" s="4503">
        <v>46041</v>
      </c>
      <c r="N865" s="4553">
        <v>46037</v>
      </c>
      <c r="O865" s="4117" t="s">
        <v>5458</v>
      </c>
      <c r="P865" s="4527" t="s">
        <v>82</v>
      </c>
      <c r="Q865" s="4156">
        <v>1296</v>
      </c>
      <c r="R865" s="4157">
        <f t="shared" si="393"/>
        <v>0</v>
      </c>
      <c r="S865" s="4159" t="s">
        <v>2297</v>
      </c>
      <c r="T865" s="4159" t="s">
        <v>321</v>
      </c>
      <c r="U865" s="3726" t="s">
        <v>5337</v>
      </c>
      <c r="V865" s="3711" t="s">
        <v>353</v>
      </c>
      <c r="W865" s="3711"/>
      <c r="X865" s="3711" t="s">
        <v>5255</v>
      </c>
      <c r="Y865" s="3711"/>
      <c r="Z865" s="4154"/>
      <c r="AA865" s="3680" t="s">
        <v>5459</v>
      </c>
      <c r="AB865" s="4154" t="s">
        <v>1298</v>
      </c>
      <c r="AC865" s="3699">
        <v>4.9215</v>
      </c>
      <c r="AD865" s="3699">
        <f t="shared" si="395"/>
        <v>6378.264</v>
      </c>
      <c r="AE865" s="3726"/>
      <c r="AF865" s="4160" t="s">
        <v>3605</v>
      </c>
      <c r="AG865" s="3726" t="s">
        <v>416</v>
      </c>
      <c r="AH865" s="4430"/>
      <c r="AI865" s="4154"/>
      <c r="AJ865" s="4154"/>
      <c r="AK865" s="4430"/>
      <c r="AL865" s="3708"/>
      <c r="AM865" s="3708">
        <f>I865</f>
        <v>1296</v>
      </c>
      <c r="AN865" s="4154"/>
      <c r="AO865" s="4154"/>
      <c r="AP865" s="4154">
        <f t="shared" si="396"/>
        <v>1296</v>
      </c>
      <c r="AQ865" s="1048"/>
      <c r="AR865" s="4413"/>
      <c r="AS865" s="1048">
        <f t="shared" si="397"/>
        <v>1296</v>
      </c>
      <c r="AT865" s="4413"/>
      <c r="AU865" s="1048"/>
      <c r="AV865" s="1048"/>
      <c r="AW865" s="1048"/>
      <c r="AX865" s="1048"/>
      <c r="AY865" s="1048"/>
      <c r="AZ865" s="1048"/>
      <c r="BA865" s="1048"/>
      <c r="BB865" s="1048"/>
      <c r="BC865" s="1048">
        <f>I865</f>
        <v>1296</v>
      </c>
      <c r="BD865" s="1048"/>
      <c r="BE865" s="1048"/>
      <c r="BF865" s="1048" t="s">
        <v>89</v>
      </c>
      <c r="BG865" s="1048"/>
      <c r="BH865" s="1048">
        <f t="shared" si="398"/>
        <v>216</v>
      </c>
      <c r="BI865" s="1048">
        <f t="shared" si="399"/>
        <v>216</v>
      </c>
      <c r="BJ865" s="1048">
        <f t="shared" si="400"/>
        <v>216</v>
      </c>
      <c r="BK865" s="4415">
        <f t="shared" si="401"/>
        <v>216</v>
      </c>
      <c r="BL865" s="4505">
        <f t="shared" si="402"/>
        <v>216</v>
      </c>
      <c r="BM865" s="4415">
        <f t="shared" si="403"/>
        <v>172.8</v>
      </c>
      <c r="BN865" s="1048">
        <f t="shared" si="404"/>
        <v>43.2</v>
      </c>
      <c r="BO865" s="4413"/>
      <c r="BP865" s="4413"/>
      <c r="BQ865" s="4413"/>
      <c r="BR865" s="4413"/>
      <c r="BS865" s="4413"/>
      <c r="BT865" s="4431"/>
      <c r="BU865" s="4432"/>
      <c r="BV865" s="4505">
        <f t="shared" si="405"/>
        <v>1296</v>
      </c>
      <c r="BW865" s="4506">
        <f t="shared" si="406"/>
        <v>0</v>
      </c>
      <c r="BX865" s="4554"/>
      <c r="BY865" s="4554"/>
      <c r="BZ865" s="4554"/>
      <c r="CA865" s="4555">
        <f t="shared" ref="CA865:CG865" si="420">CA861-BH865</f>
        <v>31927.6666666667</v>
      </c>
      <c r="CB865" s="4555">
        <f t="shared" si="420"/>
        <v>20631.6666666667</v>
      </c>
      <c r="CC865" s="4555">
        <f t="shared" si="420"/>
        <v>34354.6666666667</v>
      </c>
      <c r="CD865" s="4555">
        <f t="shared" si="420"/>
        <v>27848.6666666667</v>
      </c>
      <c r="CE865" s="4555">
        <f t="shared" si="420"/>
        <v>29418.6666666667</v>
      </c>
      <c r="CF865" s="4555">
        <f t="shared" si="420"/>
        <v>25220.5333333333</v>
      </c>
      <c r="CG865" s="4555">
        <f t="shared" si="420"/>
        <v>21717.1333333333</v>
      </c>
    </row>
    <row r="866" s="4316" customFormat="1" ht="50" customHeight="1" spans="1:85">
      <c r="A866" s="4500">
        <v>45996</v>
      </c>
      <c r="B866" s="4501" t="s">
        <v>1596</v>
      </c>
      <c r="C866" s="3708" t="s">
        <v>1430</v>
      </c>
      <c r="D866" s="4502">
        <v>4500188302</v>
      </c>
      <c r="E866" s="3708"/>
      <c r="F866" s="4502" t="s">
        <v>5460</v>
      </c>
      <c r="G866" s="3708" t="s">
        <v>2577</v>
      </c>
      <c r="H866" s="3708" t="s">
        <v>2578</v>
      </c>
      <c r="I866" s="4154">
        <v>504</v>
      </c>
      <c r="J866" s="4154">
        <v>0</v>
      </c>
      <c r="K866" s="4154">
        <v>12</v>
      </c>
      <c r="L866" s="4154">
        <f t="shared" si="394"/>
        <v>42</v>
      </c>
      <c r="M866" s="4503">
        <v>46052</v>
      </c>
      <c r="N866" s="4553">
        <v>46048</v>
      </c>
      <c r="O866" s="4117"/>
      <c r="P866" s="4527" t="s">
        <v>82</v>
      </c>
      <c r="Q866" s="4156">
        <v>504</v>
      </c>
      <c r="R866" s="4157">
        <f t="shared" si="393"/>
        <v>0</v>
      </c>
      <c r="S866" s="4580" t="s">
        <v>2297</v>
      </c>
      <c r="T866" s="4159" t="s">
        <v>321</v>
      </c>
      <c r="U866" s="3726" t="s">
        <v>401</v>
      </c>
      <c r="V866" s="3711" t="s">
        <v>2350</v>
      </c>
      <c r="W866" s="3711"/>
      <c r="X866" s="3711" t="s">
        <v>5461</v>
      </c>
      <c r="Y866" s="3711"/>
      <c r="Z866" s="4154"/>
      <c r="AA866" s="3680" t="s">
        <v>5462</v>
      </c>
      <c r="AB866" s="4154" t="s">
        <v>1434</v>
      </c>
      <c r="AC866" s="4154">
        <v>2.1438</v>
      </c>
      <c r="AD866" s="4154">
        <f t="shared" si="395"/>
        <v>1080.4752</v>
      </c>
      <c r="AE866" s="3726"/>
      <c r="AF866" s="3708" t="s">
        <v>2604</v>
      </c>
      <c r="AG866" s="3726" t="s">
        <v>416</v>
      </c>
      <c r="AH866" s="4412"/>
      <c r="AI866" s="4154"/>
      <c r="AJ866" s="3708"/>
      <c r="AK866" s="4412"/>
      <c r="AL866" s="3708"/>
      <c r="AM866" s="3708">
        <f>I866</f>
        <v>504</v>
      </c>
      <c r="AN866" s="4154"/>
      <c r="AO866" s="4154"/>
      <c r="AP866" s="4154">
        <f t="shared" si="396"/>
        <v>504</v>
      </c>
      <c r="AQ866" s="1048"/>
      <c r="AR866" s="1040"/>
      <c r="AS866" s="1048">
        <f t="shared" si="397"/>
        <v>504</v>
      </c>
      <c r="AT866" s="1040"/>
      <c r="AU866" s="1048"/>
      <c r="AV866" s="1048"/>
      <c r="AW866" s="4510">
        <f t="shared" ref="AW866:AW875" si="421">I866/6</f>
        <v>84</v>
      </c>
      <c r="AX866" s="1048"/>
      <c r="AY866" s="1048"/>
      <c r="AZ866" s="1048"/>
      <c r="BA866" s="1048"/>
      <c r="BB866" s="1048"/>
      <c r="BC866" s="1048"/>
      <c r="BD866" s="1048"/>
      <c r="BE866" s="1048"/>
      <c r="BF866" s="1048" t="s">
        <v>89</v>
      </c>
      <c r="BG866" s="1048"/>
      <c r="BH866" s="1048">
        <f t="shared" si="398"/>
        <v>84</v>
      </c>
      <c r="BI866" s="1048">
        <f t="shared" si="399"/>
        <v>84</v>
      </c>
      <c r="BJ866" s="1048">
        <f t="shared" si="400"/>
        <v>84</v>
      </c>
      <c r="BK866" s="1048">
        <f t="shared" si="401"/>
        <v>84</v>
      </c>
      <c r="BL866" s="1048">
        <f t="shared" si="402"/>
        <v>84</v>
      </c>
      <c r="BM866" s="1048">
        <f t="shared" si="403"/>
        <v>67.2</v>
      </c>
      <c r="BN866" s="1048">
        <f t="shared" si="404"/>
        <v>16.8</v>
      </c>
      <c r="BO866" s="1040"/>
      <c r="BP866" s="1040"/>
      <c r="BQ866" s="1040"/>
      <c r="BR866" s="1040"/>
      <c r="BS866" s="1040"/>
      <c r="BT866" s="1041"/>
      <c r="BU866" s="4524"/>
      <c r="BV866" s="4505">
        <f t="shared" si="405"/>
        <v>504</v>
      </c>
      <c r="BW866" s="4506">
        <f t="shared" si="406"/>
        <v>0</v>
      </c>
      <c r="BX866" s="4554"/>
      <c r="BY866" s="4554"/>
      <c r="BZ866" s="4554"/>
      <c r="CA866" s="4555">
        <f t="shared" ref="CA866:CG866" si="422">CA864-BH866</f>
        <v>30261.6666666667</v>
      </c>
      <c r="CB866" s="4555">
        <f t="shared" si="422"/>
        <v>18965.6666666667</v>
      </c>
      <c r="CC866" s="4555">
        <f t="shared" si="422"/>
        <v>32688.6666666667</v>
      </c>
      <c r="CD866" s="4555">
        <f t="shared" si="422"/>
        <v>26182.6666666667</v>
      </c>
      <c r="CE866" s="4555">
        <f t="shared" si="422"/>
        <v>27752.6666666667</v>
      </c>
      <c r="CF866" s="4555">
        <f t="shared" si="422"/>
        <v>23887.7333333333</v>
      </c>
      <c r="CG866" s="4555">
        <f t="shared" si="422"/>
        <v>21538.3333333333</v>
      </c>
    </row>
    <row r="867" s="4316" customFormat="1" ht="50" customHeight="1" spans="1:85">
      <c r="A867" s="4500">
        <v>46014</v>
      </c>
      <c r="B867" s="4501" t="s">
        <v>1596</v>
      </c>
      <c r="C867" s="3708" t="s">
        <v>1430</v>
      </c>
      <c r="D867" s="4502">
        <v>4500189691</v>
      </c>
      <c r="E867" s="3708"/>
      <c r="F867" s="4502" t="s">
        <v>5463</v>
      </c>
      <c r="G867" s="3708" t="s">
        <v>2577</v>
      </c>
      <c r="H867" s="3708" t="s">
        <v>2578</v>
      </c>
      <c r="I867" s="4154">
        <v>240</v>
      </c>
      <c r="J867" s="4154">
        <v>0</v>
      </c>
      <c r="K867" s="4154">
        <v>12</v>
      </c>
      <c r="L867" s="4154">
        <f t="shared" si="394"/>
        <v>20</v>
      </c>
      <c r="M867" s="4503">
        <v>46052</v>
      </c>
      <c r="N867" s="4553">
        <v>46048</v>
      </c>
      <c r="O867" s="4117"/>
      <c r="P867" s="4527" t="s">
        <v>82</v>
      </c>
      <c r="Q867" s="4156">
        <v>240</v>
      </c>
      <c r="R867" s="4157">
        <f t="shared" si="393"/>
        <v>0</v>
      </c>
      <c r="S867" s="4581"/>
      <c r="T867" s="4173" t="s">
        <v>321</v>
      </c>
      <c r="U867" s="3726" t="s">
        <v>5343</v>
      </c>
      <c r="V867" s="3711" t="s">
        <v>2350</v>
      </c>
      <c r="W867" s="3711"/>
      <c r="X867" s="3711" t="s">
        <v>5461</v>
      </c>
      <c r="Y867" s="3711"/>
      <c r="Z867" s="4154"/>
      <c r="AA867" s="3680" t="s">
        <v>5464</v>
      </c>
      <c r="AB867" s="4154" t="s">
        <v>1434</v>
      </c>
      <c r="AC867" s="4154">
        <v>2.1438</v>
      </c>
      <c r="AD867" s="4154">
        <f t="shared" si="395"/>
        <v>514.512</v>
      </c>
      <c r="AE867" s="3726"/>
      <c r="AF867" s="3708" t="s">
        <v>2604</v>
      </c>
      <c r="AG867" s="3726" t="s">
        <v>416</v>
      </c>
      <c r="AH867" s="4154"/>
      <c r="AI867" s="3708"/>
      <c r="AJ867" s="3708"/>
      <c r="AK867" s="3708"/>
      <c r="AL867" s="4154"/>
      <c r="AM867" s="4154">
        <f>I867</f>
        <v>240</v>
      </c>
      <c r="AN867" s="4154"/>
      <c r="AO867" s="1048"/>
      <c r="AP867" s="1048">
        <f t="shared" si="396"/>
        <v>240</v>
      </c>
      <c r="AQ867" s="1048"/>
      <c r="AR867" s="1048"/>
      <c r="AS867" s="4510">
        <f t="shared" si="397"/>
        <v>240</v>
      </c>
      <c r="AT867" s="1048"/>
      <c r="AU867" s="1048"/>
      <c r="AV867" s="1048"/>
      <c r="AW867" s="1048">
        <f t="shared" si="421"/>
        <v>40</v>
      </c>
      <c r="AX867" s="1048"/>
      <c r="AY867" s="1048"/>
      <c r="AZ867" s="1048"/>
      <c r="BA867" s="1048"/>
      <c r="BB867" s="1048"/>
      <c r="BC867" s="1048"/>
      <c r="BD867" s="1048"/>
      <c r="BE867" s="1048"/>
      <c r="BF867" s="1048" t="s">
        <v>89</v>
      </c>
      <c r="BG867" s="1048"/>
      <c r="BH867" s="1048">
        <f t="shared" si="398"/>
        <v>40</v>
      </c>
      <c r="BI867" s="1048">
        <f t="shared" si="399"/>
        <v>40</v>
      </c>
      <c r="BJ867" s="1048">
        <f t="shared" si="400"/>
        <v>40</v>
      </c>
      <c r="BK867" s="4505">
        <f t="shared" si="401"/>
        <v>40</v>
      </c>
      <c r="BL867" s="4506">
        <f t="shared" si="402"/>
        <v>40</v>
      </c>
      <c r="BM867" s="4554">
        <f t="shared" si="403"/>
        <v>32</v>
      </c>
      <c r="BN867" s="4554">
        <f t="shared" si="404"/>
        <v>8</v>
      </c>
      <c r="BO867" s="4554"/>
      <c r="BP867" s="4555"/>
      <c r="BQ867" s="4555"/>
      <c r="BR867" s="4555"/>
      <c r="BS867" s="4555"/>
      <c r="BT867" s="4555"/>
      <c r="BU867" s="4555"/>
      <c r="BV867" s="4555">
        <f t="shared" si="405"/>
        <v>240</v>
      </c>
      <c r="BW867" s="4316">
        <f t="shared" si="406"/>
        <v>0</v>
      </c>
      <c r="BX867" s="4323"/>
      <c r="BY867" s="4323"/>
      <c r="BZ867" s="4323"/>
      <c r="CA867" s="4511"/>
      <c r="CC867" s="4512"/>
      <c r="CD867" s="4511"/>
    </row>
    <row r="868" s="4316" customFormat="1" ht="50" customHeight="1" spans="1:85">
      <c r="A868" s="4500">
        <v>46003</v>
      </c>
      <c r="B868" s="4501" t="s">
        <v>839</v>
      </c>
      <c r="C868" s="3708" t="s">
        <v>840</v>
      </c>
      <c r="D868" s="4502">
        <v>4500188875</v>
      </c>
      <c r="E868" s="3708">
        <v>21336515</v>
      </c>
      <c r="F868" s="4502" t="s">
        <v>5465</v>
      </c>
      <c r="G868" s="3708" t="s">
        <v>2577</v>
      </c>
      <c r="H868" s="3708" t="s">
        <v>2578</v>
      </c>
      <c r="I868" s="4154">
        <v>36</v>
      </c>
      <c r="J868" s="4154">
        <v>0</v>
      </c>
      <c r="K868" s="4154">
        <v>12</v>
      </c>
      <c r="L868" s="4154">
        <f t="shared" si="394"/>
        <v>3</v>
      </c>
      <c r="M868" s="4503">
        <v>46048</v>
      </c>
      <c r="N868" s="4553">
        <v>46044</v>
      </c>
      <c r="O868" s="4117"/>
      <c r="P868" s="4527" t="s">
        <v>82</v>
      </c>
      <c r="Q868" s="4156">
        <v>36</v>
      </c>
      <c r="R868" s="4157">
        <f t="shared" si="393"/>
        <v>0</v>
      </c>
      <c r="S868" s="4556" t="s">
        <v>2297</v>
      </c>
      <c r="T868" s="4159" t="s">
        <v>321</v>
      </c>
      <c r="U868" s="3726" t="s">
        <v>2353</v>
      </c>
      <c r="V868" s="3711" t="s">
        <v>2354</v>
      </c>
      <c r="W868" s="3711"/>
      <c r="X868" s="3711" t="s">
        <v>2355</v>
      </c>
      <c r="Y868" s="3711"/>
      <c r="Z868" s="4154"/>
      <c r="AA868" s="3680" t="s">
        <v>5466</v>
      </c>
      <c r="AB868" s="4154" t="s">
        <v>2357</v>
      </c>
      <c r="AC868" s="4154">
        <v>2.2509</v>
      </c>
      <c r="AD868" s="4154">
        <f t="shared" si="395"/>
        <v>81.0324</v>
      </c>
      <c r="AE868" s="3726"/>
      <c r="AF868" s="3708" t="s">
        <v>2577</v>
      </c>
      <c r="AG868" s="3726" t="s">
        <v>416</v>
      </c>
      <c r="AH868" s="4430"/>
      <c r="AI868" s="4154"/>
      <c r="AJ868" s="4575">
        <f t="shared" ref="AJ868:AJ875" si="423">I868</f>
        <v>36</v>
      </c>
      <c r="AK868" s="4430"/>
      <c r="AL868" s="3708"/>
      <c r="AM868" s="3708"/>
      <c r="AN868" s="4154"/>
      <c r="AO868" s="4154"/>
      <c r="AP868" s="4154">
        <f t="shared" si="396"/>
        <v>36</v>
      </c>
      <c r="AQ868" s="1048"/>
      <c r="AR868" s="4413"/>
      <c r="AS868" s="1048">
        <f t="shared" si="397"/>
        <v>36</v>
      </c>
      <c r="AT868" s="4413"/>
      <c r="AU868" s="1048"/>
      <c r="AV868" s="1048"/>
      <c r="AW868" s="4510">
        <f t="shared" si="421"/>
        <v>6</v>
      </c>
      <c r="AX868" s="1048"/>
      <c r="AY868" s="1048"/>
      <c r="AZ868" s="1048"/>
      <c r="BA868" s="1048"/>
      <c r="BB868" s="1048"/>
      <c r="BC868" s="1048"/>
      <c r="BD868" s="1048"/>
      <c r="BE868" s="1048"/>
      <c r="BF868" s="1048" t="s">
        <v>89</v>
      </c>
      <c r="BG868" s="1048"/>
      <c r="BH868" s="1048">
        <f t="shared" si="398"/>
        <v>6</v>
      </c>
      <c r="BI868" s="1048">
        <f t="shared" si="399"/>
        <v>6</v>
      </c>
      <c r="BJ868" s="1048">
        <f t="shared" si="400"/>
        <v>6</v>
      </c>
      <c r="BK868" s="1048">
        <f t="shared" si="401"/>
        <v>6</v>
      </c>
      <c r="BL868" s="1048">
        <f t="shared" si="402"/>
        <v>6</v>
      </c>
      <c r="BM868" s="1048">
        <f t="shared" si="403"/>
        <v>4.8</v>
      </c>
      <c r="BN868" s="1048">
        <f t="shared" si="404"/>
        <v>1.2</v>
      </c>
      <c r="BO868" s="4413"/>
      <c r="BP868" s="4413"/>
      <c r="BQ868" s="4413"/>
      <c r="BR868" s="4413"/>
      <c r="BS868" s="4413"/>
      <c r="BT868" s="4431"/>
      <c r="BU868" s="4432"/>
      <c r="BV868" s="4505">
        <f t="shared" si="405"/>
        <v>36</v>
      </c>
      <c r="BW868" s="4506">
        <f t="shared" si="406"/>
        <v>0</v>
      </c>
      <c r="BX868" s="4554"/>
      <c r="BY868" s="4554"/>
      <c r="BZ868" s="4554"/>
      <c r="CA868" s="4555">
        <f t="shared" ref="CA868:CF868" si="424">CA866-BH868</f>
        <v>30255.6666666667</v>
      </c>
      <c r="CB868" s="4555">
        <f t="shared" si="424"/>
        <v>18959.6666666667</v>
      </c>
      <c r="CC868" s="4555">
        <f t="shared" si="424"/>
        <v>32682.6666666667</v>
      </c>
      <c r="CD868" s="4555">
        <f t="shared" si="424"/>
        <v>26176.6666666667</v>
      </c>
      <c r="CE868" s="4555">
        <f t="shared" si="424"/>
        <v>27746.6666666667</v>
      </c>
      <c r="CF868" s="4555">
        <f t="shared" si="424"/>
        <v>23882.9333333333</v>
      </c>
      <c r="CG868" s="4555">
        <f>CG864-BN868</f>
        <v>21553.9333333333</v>
      </c>
    </row>
    <row r="869" s="4316" customFormat="1" ht="50" customHeight="1" spans="1:85">
      <c r="A869" s="4500">
        <v>46003</v>
      </c>
      <c r="B869" s="4501" t="s">
        <v>839</v>
      </c>
      <c r="C869" s="3708" t="s">
        <v>840</v>
      </c>
      <c r="D869" s="4502">
        <v>4500188875</v>
      </c>
      <c r="E869" s="3708">
        <v>21347327</v>
      </c>
      <c r="F869" s="4502" t="s">
        <v>5467</v>
      </c>
      <c r="G869" s="3708" t="s">
        <v>2577</v>
      </c>
      <c r="H869" s="3708" t="s">
        <v>2578</v>
      </c>
      <c r="I869" s="4154">
        <v>108</v>
      </c>
      <c r="J869" s="4154">
        <v>0</v>
      </c>
      <c r="K869" s="4154">
        <v>12</v>
      </c>
      <c r="L869" s="4154">
        <f t="shared" si="394"/>
        <v>9</v>
      </c>
      <c r="M869" s="4503">
        <v>46048</v>
      </c>
      <c r="N869" s="4553">
        <v>46044</v>
      </c>
      <c r="O869" s="4117"/>
      <c r="P869" s="4527" t="s">
        <v>82</v>
      </c>
      <c r="Q869" s="4156">
        <v>108</v>
      </c>
      <c r="R869" s="4157">
        <f t="shared" si="393"/>
        <v>0</v>
      </c>
      <c r="S869" s="4564"/>
      <c r="T869" s="4159" t="s">
        <v>321</v>
      </c>
      <c r="U869" s="3726" t="s">
        <v>2353</v>
      </c>
      <c r="V869" s="3711" t="s">
        <v>2354</v>
      </c>
      <c r="W869" s="3711"/>
      <c r="X869" s="3711" t="s">
        <v>2355</v>
      </c>
      <c r="Y869" s="3711"/>
      <c r="Z869" s="4154"/>
      <c r="AA869" s="3680" t="s">
        <v>5466</v>
      </c>
      <c r="AB869" s="4154" t="s">
        <v>2357</v>
      </c>
      <c r="AC869" s="4154">
        <v>2.1438</v>
      </c>
      <c r="AD869" s="4154">
        <f t="shared" si="395"/>
        <v>231.5304</v>
      </c>
      <c r="AE869" s="3726"/>
      <c r="AF869" s="3708" t="s">
        <v>2577</v>
      </c>
      <c r="AG869" s="3726" t="s">
        <v>416</v>
      </c>
      <c r="AH869" s="4430"/>
      <c r="AI869" s="4154"/>
      <c r="AJ869" s="4575">
        <f t="shared" si="423"/>
        <v>108</v>
      </c>
      <c r="AK869" s="4430"/>
      <c r="AL869" s="3708"/>
      <c r="AM869" s="3708"/>
      <c r="AN869" s="4154"/>
      <c r="AO869" s="4154"/>
      <c r="AP869" s="4154">
        <f t="shared" si="396"/>
        <v>108</v>
      </c>
      <c r="AQ869" s="1048"/>
      <c r="AR869" s="4413"/>
      <c r="AS869" s="1048">
        <f t="shared" si="397"/>
        <v>108</v>
      </c>
      <c r="AT869" s="4413"/>
      <c r="AU869" s="1048"/>
      <c r="AV869" s="1048"/>
      <c r="AW869" s="4510">
        <f t="shared" si="421"/>
        <v>18</v>
      </c>
      <c r="AX869" s="1048"/>
      <c r="AY869" s="1048"/>
      <c r="AZ869" s="1048"/>
      <c r="BA869" s="1048"/>
      <c r="BB869" s="1048"/>
      <c r="BC869" s="1048"/>
      <c r="BD869" s="1048"/>
      <c r="BE869" s="1048"/>
      <c r="BF869" s="1048" t="s">
        <v>89</v>
      </c>
      <c r="BG869" s="1048"/>
      <c r="BH869" s="1048">
        <f t="shared" si="398"/>
        <v>18</v>
      </c>
      <c r="BI869" s="1048">
        <f t="shared" si="399"/>
        <v>18</v>
      </c>
      <c r="BJ869" s="1048">
        <f t="shared" si="400"/>
        <v>18</v>
      </c>
      <c r="BK869" s="1048">
        <f t="shared" si="401"/>
        <v>18</v>
      </c>
      <c r="BL869" s="1048">
        <f t="shared" si="402"/>
        <v>18</v>
      </c>
      <c r="BM869" s="1048">
        <f t="shared" si="403"/>
        <v>14.4</v>
      </c>
      <c r="BN869" s="1048">
        <f t="shared" si="404"/>
        <v>3.6</v>
      </c>
      <c r="BO869" s="4413"/>
      <c r="BP869" s="4413"/>
      <c r="BQ869" s="4413"/>
      <c r="BR869" s="4413"/>
      <c r="BS869" s="4413"/>
      <c r="BT869" s="4431"/>
      <c r="BU869" s="4432"/>
      <c r="BV869" s="4505">
        <f t="shared" si="405"/>
        <v>108</v>
      </c>
      <c r="BW869" s="4506">
        <f t="shared" si="406"/>
        <v>0</v>
      </c>
      <c r="BX869" s="4554"/>
      <c r="BY869" s="4554"/>
      <c r="BZ869" s="4554"/>
      <c r="CA869" s="4555">
        <f t="shared" ref="CA869:CG869" si="425">CA868-BH869</f>
        <v>30237.6666666667</v>
      </c>
      <c r="CB869" s="4555">
        <f t="shared" si="425"/>
        <v>18941.6666666667</v>
      </c>
      <c r="CC869" s="4555">
        <f t="shared" si="425"/>
        <v>32664.6666666667</v>
      </c>
      <c r="CD869" s="4555">
        <f t="shared" si="425"/>
        <v>26158.6666666667</v>
      </c>
      <c r="CE869" s="4555">
        <f t="shared" si="425"/>
        <v>27728.6666666667</v>
      </c>
      <c r="CF869" s="4555">
        <f t="shared" si="425"/>
        <v>23868.5333333333</v>
      </c>
      <c r="CG869" s="4555">
        <f t="shared" si="425"/>
        <v>21550.3333333333</v>
      </c>
    </row>
    <row r="870" s="4316" customFormat="1" ht="50" customHeight="1" spans="1:85">
      <c r="A870" s="4500">
        <v>46003</v>
      </c>
      <c r="B870" s="4501" t="s">
        <v>839</v>
      </c>
      <c r="C870" s="3708" t="s">
        <v>840</v>
      </c>
      <c r="D870" s="4502">
        <v>4500188875</v>
      </c>
      <c r="E870" s="3708">
        <v>21359940</v>
      </c>
      <c r="F870" s="4502" t="s">
        <v>5468</v>
      </c>
      <c r="G870" s="3708" t="s">
        <v>2577</v>
      </c>
      <c r="H870" s="3708" t="s">
        <v>2578</v>
      </c>
      <c r="I870" s="4154">
        <v>36</v>
      </c>
      <c r="J870" s="4154">
        <v>0</v>
      </c>
      <c r="K870" s="4154">
        <v>12</v>
      </c>
      <c r="L870" s="4154">
        <f t="shared" si="394"/>
        <v>3</v>
      </c>
      <c r="M870" s="4503">
        <v>46048</v>
      </c>
      <c r="N870" s="4553">
        <v>46044</v>
      </c>
      <c r="O870" s="4117"/>
      <c r="P870" s="4527" t="s">
        <v>82</v>
      </c>
      <c r="Q870" s="4156">
        <v>36</v>
      </c>
      <c r="R870" s="4157">
        <f t="shared" ref="R870:R898" si="426">Q870-I870</f>
        <v>0</v>
      </c>
      <c r="S870" s="4557"/>
      <c r="T870" s="4159" t="s">
        <v>321</v>
      </c>
      <c r="U870" s="3726" t="s">
        <v>2353</v>
      </c>
      <c r="V870" s="3711" t="s">
        <v>2354</v>
      </c>
      <c r="W870" s="3711"/>
      <c r="X870" s="3711" t="s">
        <v>2355</v>
      </c>
      <c r="Y870" s="3711"/>
      <c r="Z870" s="4154"/>
      <c r="AA870" s="3680" t="s">
        <v>5466</v>
      </c>
      <c r="AB870" s="4154" t="s">
        <v>2357</v>
      </c>
      <c r="AC870" s="4154">
        <v>2.1438</v>
      </c>
      <c r="AD870" s="4154">
        <f t="shared" si="395"/>
        <v>77.1768</v>
      </c>
      <c r="AE870" s="3726"/>
      <c r="AF870" s="3708" t="s">
        <v>2577</v>
      </c>
      <c r="AG870" s="3726" t="s">
        <v>416</v>
      </c>
      <c r="AH870" s="4430"/>
      <c r="AI870" s="4154"/>
      <c r="AJ870" s="4575">
        <f t="shared" si="423"/>
        <v>36</v>
      </c>
      <c r="AK870" s="4430"/>
      <c r="AL870" s="3708"/>
      <c r="AM870" s="3708"/>
      <c r="AN870" s="4154"/>
      <c r="AO870" s="4154"/>
      <c r="AP870" s="4154">
        <f t="shared" si="396"/>
        <v>36</v>
      </c>
      <c r="AQ870" s="1048"/>
      <c r="AR870" s="4413"/>
      <c r="AS870" s="1048">
        <f t="shared" si="397"/>
        <v>36</v>
      </c>
      <c r="AT870" s="4413"/>
      <c r="AU870" s="1048"/>
      <c r="AV870" s="1048"/>
      <c r="AW870" s="4510">
        <f t="shared" si="421"/>
        <v>6</v>
      </c>
      <c r="AX870" s="1048"/>
      <c r="AY870" s="1048"/>
      <c r="AZ870" s="1048"/>
      <c r="BA870" s="1048"/>
      <c r="BB870" s="1048"/>
      <c r="BC870" s="1048"/>
      <c r="BD870" s="1048"/>
      <c r="BE870" s="1048"/>
      <c r="BF870" s="1048" t="s">
        <v>89</v>
      </c>
      <c r="BG870" s="1048"/>
      <c r="BH870" s="1048">
        <f t="shared" si="398"/>
        <v>6</v>
      </c>
      <c r="BI870" s="1048">
        <f t="shared" si="399"/>
        <v>6</v>
      </c>
      <c r="BJ870" s="1048">
        <f t="shared" si="400"/>
        <v>6</v>
      </c>
      <c r="BK870" s="1048">
        <f t="shared" si="401"/>
        <v>6</v>
      </c>
      <c r="BL870" s="1048">
        <f t="shared" si="402"/>
        <v>6</v>
      </c>
      <c r="BM870" s="1048">
        <f t="shared" si="403"/>
        <v>4.8</v>
      </c>
      <c r="BN870" s="1048">
        <f t="shared" si="404"/>
        <v>1.2</v>
      </c>
      <c r="BO870" s="4413"/>
      <c r="BP870" s="4413"/>
      <c r="BQ870" s="4413"/>
      <c r="BR870" s="4413"/>
      <c r="BS870" s="4413"/>
      <c r="BT870" s="4431"/>
      <c r="BU870" s="4432"/>
      <c r="BV870" s="4505">
        <f t="shared" si="405"/>
        <v>36</v>
      </c>
      <c r="BW870" s="4506">
        <f t="shared" si="406"/>
        <v>0</v>
      </c>
      <c r="BX870" s="4554"/>
      <c r="BY870" s="4554"/>
      <c r="BZ870" s="4554"/>
      <c r="CA870" s="4555">
        <f t="shared" ref="CA870:CF870" si="427">CA869-BH870</f>
        <v>30231.6666666667</v>
      </c>
      <c r="CB870" s="4555">
        <f t="shared" si="427"/>
        <v>18935.6666666667</v>
      </c>
      <c r="CC870" s="4555">
        <f t="shared" si="427"/>
        <v>32658.6666666667</v>
      </c>
      <c r="CD870" s="4555">
        <f t="shared" si="427"/>
        <v>26152.6666666667</v>
      </c>
      <c r="CE870" s="4555">
        <f t="shared" si="427"/>
        <v>27722.6666666667</v>
      </c>
      <c r="CF870" s="4555">
        <f t="shared" si="427"/>
        <v>23863.7333333333</v>
      </c>
      <c r="CG870" s="4555">
        <f>CG868-BN870</f>
        <v>21552.7333333333</v>
      </c>
    </row>
    <row r="871" s="4316" customFormat="1" ht="50" customHeight="1" spans="1:85">
      <c r="A871" s="4500">
        <v>46003</v>
      </c>
      <c r="B871" s="4501" t="s">
        <v>505</v>
      </c>
      <c r="C871" s="3708" t="s">
        <v>506</v>
      </c>
      <c r="D871" s="4502">
        <v>4500188871</v>
      </c>
      <c r="E871" s="3708">
        <v>21336514</v>
      </c>
      <c r="F871" s="4502" t="s">
        <v>5469</v>
      </c>
      <c r="G871" s="3708" t="s">
        <v>2577</v>
      </c>
      <c r="H871" s="3708" t="s">
        <v>2578</v>
      </c>
      <c r="I871" s="4154">
        <v>1464</v>
      </c>
      <c r="J871" s="4154">
        <v>0</v>
      </c>
      <c r="K871" s="4154">
        <v>12</v>
      </c>
      <c r="L871" s="4154">
        <f t="shared" si="394"/>
        <v>122</v>
      </c>
      <c r="M871" s="4503">
        <v>46048</v>
      </c>
      <c r="N871" s="4553">
        <v>46044</v>
      </c>
      <c r="O871" s="4117"/>
      <c r="P871" s="4527" t="s">
        <v>82</v>
      </c>
      <c r="Q871" s="4156">
        <v>1464</v>
      </c>
      <c r="R871" s="4157">
        <f t="shared" si="426"/>
        <v>0</v>
      </c>
      <c r="S871" s="4556" t="s">
        <v>2297</v>
      </c>
      <c r="T871" s="4159" t="s">
        <v>321</v>
      </c>
      <c r="U871" s="3726" t="s">
        <v>2353</v>
      </c>
      <c r="V871" s="3711" t="s">
        <v>2354</v>
      </c>
      <c r="W871" s="3711"/>
      <c r="X871" s="3711" t="s">
        <v>2355</v>
      </c>
      <c r="Y871" s="3711"/>
      <c r="Z871" s="4154"/>
      <c r="AA871" s="3680" t="s">
        <v>5470</v>
      </c>
      <c r="AB871" s="4154" t="s">
        <v>2357</v>
      </c>
      <c r="AC871" s="4154">
        <v>2.2463</v>
      </c>
      <c r="AD871" s="4154">
        <f t="shared" si="395"/>
        <v>3288.5832</v>
      </c>
      <c r="AE871" s="3726"/>
      <c r="AF871" s="3708" t="s">
        <v>2577</v>
      </c>
      <c r="AG871" s="3726" t="s">
        <v>416</v>
      </c>
      <c r="AH871" s="3708"/>
      <c r="AI871" s="4154"/>
      <c r="AJ871" s="4509">
        <f t="shared" si="423"/>
        <v>1464</v>
      </c>
      <c r="AK871" s="3708"/>
      <c r="AL871" s="3708"/>
      <c r="AM871" s="3708"/>
      <c r="AN871" s="4154"/>
      <c r="AO871" s="4154"/>
      <c r="AP871" s="4154">
        <f t="shared" si="396"/>
        <v>1464</v>
      </c>
      <c r="AQ871" s="1048"/>
      <c r="AR871" s="1048"/>
      <c r="AS871" s="4510">
        <f t="shared" si="397"/>
        <v>1464</v>
      </c>
      <c r="AT871" s="1048"/>
      <c r="AU871" s="1048"/>
      <c r="AV871" s="1048"/>
      <c r="AW871" s="4510">
        <f t="shared" si="421"/>
        <v>244</v>
      </c>
      <c r="AX871" s="1048"/>
      <c r="AY871" s="1048"/>
      <c r="AZ871" s="1048"/>
      <c r="BA871" s="1048"/>
      <c r="BB871" s="1048"/>
      <c r="BC871" s="1048"/>
      <c r="BD871" s="1048"/>
      <c r="BE871" s="1048"/>
      <c r="BF871" s="1048" t="s">
        <v>89</v>
      </c>
      <c r="BG871" s="1048"/>
      <c r="BH871" s="1048">
        <f t="shared" si="398"/>
        <v>244</v>
      </c>
      <c r="BI871" s="1048">
        <f t="shared" si="399"/>
        <v>244</v>
      </c>
      <c r="BJ871" s="1048">
        <f t="shared" si="400"/>
        <v>244</v>
      </c>
      <c r="BK871" s="1048">
        <f t="shared" si="401"/>
        <v>244</v>
      </c>
      <c r="BL871" s="1048">
        <f t="shared" si="402"/>
        <v>244</v>
      </c>
      <c r="BM871" s="1048">
        <f t="shared" si="403"/>
        <v>195.2</v>
      </c>
      <c r="BN871" s="1048">
        <f t="shared" si="404"/>
        <v>48.8</v>
      </c>
      <c r="BO871" s="1048"/>
      <c r="BP871" s="1048"/>
      <c r="BQ871" s="1048"/>
      <c r="BR871" s="1048"/>
      <c r="BS871" s="1048"/>
      <c r="BT871" s="4414"/>
      <c r="BU871" s="4415"/>
      <c r="BV871" s="4505">
        <f t="shared" si="405"/>
        <v>1464</v>
      </c>
      <c r="BW871" s="4506">
        <f t="shared" si="406"/>
        <v>0</v>
      </c>
      <c r="BX871" s="4554"/>
      <c r="BY871" s="4554"/>
      <c r="BZ871" s="4554"/>
      <c r="CA871" s="4555">
        <f t="shared" ref="CA871:CG871" si="428">CA870-BH871</f>
        <v>29987.6666666667</v>
      </c>
      <c r="CB871" s="4555">
        <f t="shared" si="428"/>
        <v>18691.6666666667</v>
      </c>
      <c r="CC871" s="4555">
        <f t="shared" si="428"/>
        <v>32414.6666666667</v>
      </c>
      <c r="CD871" s="4555">
        <f t="shared" si="428"/>
        <v>25908.6666666667</v>
      </c>
      <c r="CE871" s="4555">
        <f t="shared" si="428"/>
        <v>27478.6666666667</v>
      </c>
      <c r="CF871" s="4555">
        <f t="shared" si="428"/>
        <v>23668.5333333333</v>
      </c>
      <c r="CG871" s="4555">
        <f t="shared" si="428"/>
        <v>21503.9333333333</v>
      </c>
    </row>
    <row r="872" s="4316" customFormat="1" ht="50" customHeight="1" spans="1:85">
      <c r="A872" s="4500">
        <v>46003</v>
      </c>
      <c r="B872" s="4501" t="s">
        <v>505</v>
      </c>
      <c r="C872" s="3708" t="s">
        <v>506</v>
      </c>
      <c r="D872" s="4502">
        <v>4500188871</v>
      </c>
      <c r="E872" s="3708">
        <v>21347326</v>
      </c>
      <c r="F872" s="4502" t="s">
        <v>2352</v>
      </c>
      <c r="G872" s="3708" t="s">
        <v>2577</v>
      </c>
      <c r="H872" s="3708" t="s">
        <v>2578</v>
      </c>
      <c r="I872" s="4154">
        <v>1392</v>
      </c>
      <c r="J872" s="4154">
        <v>0</v>
      </c>
      <c r="K872" s="4154">
        <v>12</v>
      </c>
      <c r="L872" s="4154">
        <f t="shared" si="394"/>
        <v>116</v>
      </c>
      <c r="M872" s="4503">
        <v>46048</v>
      </c>
      <c r="N872" s="4553">
        <v>46044</v>
      </c>
      <c r="O872" s="4117"/>
      <c r="P872" s="4527" t="s">
        <v>82</v>
      </c>
      <c r="Q872" s="4156">
        <v>1392</v>
      </c>
      <c r="R872" s="4157">
        <f t="shared" si="426"/>
        <v>0</v>
      </c>
      <c r="S872" s="4564"/>
      <c r="T872" s="4159" t="s">
        <v>321</v>
      </c>
      <c r="U872" s="3726" t="s">
        <v>2353</v>
      </c>
      <c r="V872" s="3711" t="s">
        <v>2354</v>
      </c>
      <c r="W872" s="3711"/>
      <c r="X872" s="3711" t="s">
        <v>2355</v>
      </c>
      <c r="Y872" s="3711"/>
      <c r="Z872" s="4154"/>
      <c r="AA872" s="3680" t="s">
        <v>5470</v>
      </c>
      <c r="AB872" s="4154" t="s">
        <v>2357</v>
      </c>
      <c r="AC872" s="4154">
        <v>2.2463</v>
      </c>
      <c r="AD872" s="4154">
        <f t="shared" si="395"/>
        <v>3126.8496</v>
      </c>
      <c r="AE872" s="3726"/>
      <c r="AF872" s="3708" t="s">
        <v>2577</v>
      </c>
      <c r="AG872" s="3726" t="s">
        <v>416</v>
      </c>
      <c r="AH872" s="4430"/>
      <c r="AI872" s="4154"/>
      <c r="AJ872" s="4509">
        <f t="shared" si="423"/>
        <v>1392</v>
      </c>
      <c r="AK872" s="4430"/>
      <c r="AL872" s="3708"/>
      <c r="AM872" s="3708"/>
      <c r="AN872" s="4154"/>
      <c r="AO872" s="4154"/>
      <c r="AP872" s="4154">
        <f t="shared" si="396"/>
        <v>1392</v>
      </c>
      <c r="AQ872" s="1048"/>
      <c r="AR872" s="4413"/>
      <c r="AS872" s="4510">
        <f t="shared" si="397"/>
        <v>1392</v>
      </c>
      <c r="AT872" s="4413"/>
      <c r="AU872" s="1048"/>
      <c r="AV872" s="1048"/>
      <c r="AW872" s="4510">
        <f t="shared" si="421"/>
        <v>232</v>
      </c>
      <c r="AX872" s="1048"/>
      <c r="AY872" s="1048"/>
      <c r="AZ872" s="1048"/>
      <c r="BA872" s="1048"/>
      <c r="BB872" s="1048"/>
      <c r="BC872" s="1048"/>
      <c r="BD872" s="1048"/>
      <c r="BE872" s="1048"/>
      <c r="BF872" s="1048" t="s">
        <v>89</v>
      </c>
      <c r="BG872" s="1048"/>
      <c r="BH872" s="1048">
        <f t="shared" si="398"/>
        <v>232</v>
      </c>
      <c r="BI872" s="1048">
        <f t="shared" si="399"/>
        <v>232</v>
      </c>
      <c r="BJ872" s="1048">
        <f t="shared" si="400"/>
        <v>232</v>
      </c>
      <c r="BK872" s="1048">
        <f t="shared" si="401"/>
        <v>232</v>
      </c>
      <c r="BL872" s="1048">
        <f t="shared" si="402"/>
        <v>232</v>
      </c>
      <c r="BM872" s="1048">
        <f t="shared" si="403"/>
        <v>185.6</v>
      </c>
      <c r="BN872" s="1048">
        <f t="shared" si="404"/>
        <v>46.4</v>
      </c>
      <c r="BO872" s="4413"/>
      <c r="BP872" s="4413"/>
      <c r="BQ872" s="4413"/>
      <c r="BR872" s="4413"/>
      <c r="BS872" s="4413"/>
      <c r="BT872" s="4431"/>
      <c r="BU872" s="4432"/>
      <c r="BV872" s="4505">
        <f t="shared" si="405"/>
        <v>1392</v>
      </c>
      <c r="BW872" s="4506">
        <f t="shared" si="406"/>
        <v>0</v>
      </c>
      <c r="BX872" s="4554"/>
      <c r="BY872" s="4554"/>
      <c r="BZ872" s="4554"/>
      <c r="CA872" s="4555">
        <f t="shared" ref="CA872:CF872" si="429">CA871-BH872</f>
        <v>29755.6666666667</v>
      </c>
      <c r="CB872" s="4555">
        <f t="shared" si="429"/>
        <v>18459.6666666667</v>
      </c>
      <c r="CC872" s="4555">
        <f t="shared" si="429"/>
        <v>32182.6666666667</v>
      </c>
      <c r="CD872" s="4555">
        <f t="shared" si="429"/>
        <v>25676.6666666667</v>
      </c>
      <c r="CE872" s="4555">
        <f t="shared" si="429"/>
        <v>27246.6666666667</v>
      </c>
      <c r="CF872" s="4555">
        <f t="shared" si="429"/>
        <v>23482.9333333333</v>
      </c>
      <c r="CG872" s="4555">
        <f>CG870-BN872</f>
        <v>21506.3333333333</v>
      </c>
    </row>
    <row r="873" s="4316" customFormat="1" ht="50" customHeight="1" spans="1:85">
      <c r="A873" s="4500">
        <v>46003</v>
      </c>
      <c r="B873" s="4501" t="s">
        <v>505</v>
      </c>
      <c r="C873" s="3708" t="s">
        <v>506</v>
      </c>
      <c r="D873" s="4502">
        <v>4500188871</v>
      </c>
      <c r="E873" s="3708">
        <v>21359937</v>
      </c>
      <c r="F873" s="4502" t="s">
        <v>5471</v>
      </c>
      <c r="G873" s="3708" t="s">
        <v>2577</v>
      </c>
      <c r="H873" s="3708" t="s">
        <v>2578</v>
      </c>
      <c r="I873" s="4154">
        <v>1464</v>
      </c>
      <c r="J873" s="4154">
        <v>0</v>
      </c>
      <c r="K873" s="4154">
        <v>12</v>
      </c>
      <c r="L873" s="4154">
        <f t="shared" si="394"/>
        <v>122</v>
      </c>
      <c r="M873" s="4503">
        <v>46048</v>
      </c>
      <c r="N873" s="4553">
        <v>46044</v>
      </c>
      <c r="O873" s="4117"/>
      <c r="P873" s="4527" t="s">
        <v>82</v>
      </c>
      <c r="Q873" s="4156">
        <v>1464</v>
      </c>
      <c r="R873" s="4157">
        <f t="shared" si="426"/>
        <v>0</v>
      </c>
      <c r="S873" s="4557"/>
      <c r="T873" s="4159" t="s">
        <v>321</v>
      </c>
      <c r="U873" s="3726" t="s">
        <v>2353</v>
      </c>
      <c r="V873" s="3711" t="s">
        <v>2354</v>
      </c>
      <c r="W873" s="3711"/>
      <c r="X873" s="3711" t="s">
        <v>2355</v>
      </c>
      <c r="Y873" s="3711"/>
      <c r="Z873" s="4154"/>
      <c r="AA873" s="3680" t="s">
        <v>5470</v>
      </c>
      <c r="AB873" s="4154" t="s">
        <v>2357</v>
      </c>
      <c r="AC873" s="4154">
        <v>2.2463</v>
      </c>
      <c r="AD873" s="4154">
        <f t="shared" si="395"/>
        <v>3288.5832</v>
      </c>
      <c r="AE873" s="3726"/>
      <c r="AF873" s="3708" t="s">
        <v>2577</v>
      </c>
      <c r="AG873" s="3726" t="s">
        <v>416</v>
      </c>
      <c r="AH873" s="4430"/>
      <c r="AI873" s="4154"/>
      <c r="AJ873" s="4509">
        <f t="shared" si="423"/>
        <v>1464</v>
      </c>
      <c r="AK873" s="4430"/>
      <c r="AL873" s="3708"/>
      <c r="AM873" s="3708"/>
      <c r="AN873" s="4154"/>
      <c r="AO873" s="4154"/>
      <c r="AP873" s="4154">
        <f t="shared" si="396"/>
        <v>1464</v>
      </c>
      <c r="AQ873" s="1048"/>
      <c r="AR873" s="4413"/>
      <c r="AS873" s="4510">
        <f t="shared" si="397"/>
        <v>1464</v>
      </c>
      <c r="AT873" s="4413"/>
      <c r="AU873" s="1048"/>
      <c r="AV873" s="1048"/>
      <c r="AW873" s="4510">
        <f t="shared" si="421"/>
        <v>244</v>
      </c>
      <c r="AX873" s="1048"/>
      <c r="AY873" s="1048"/>
      <c r="AZ873" s="1048"/>
      <c r="BA873" s="1048"/>
      <c r="BB873" s="1048"/>
      <c r="BC873" s="1048"/>
      <c r="BD873" s="1048"/>
      <c r="BE873" s="1048"/>
      <c r="BF873" s="1048" t="s">
        <v>89</v>
      </c>
      <c r="BG873" s="1048"/>
      <c r="BH873" s="1048">
        <f t="shared" si="398"/>
        <v>244</v>
      </c>
      <c r="BI873" s="1048">
        <f t="shared" si="399"/>
        <v>244</v>
      </c>
      <c r="BJ873" s="1048">
        <f t="shared" si="400"/>
        <v>244</v>
      </c>
      <c r="BK873" s="1048">
        <f t="shared" si="401"/>
        <v>244</v>
      </c>
      <c r="BL873" s="1048">
        <f t="shared" si="402"/>
        <v>244</v>
      </c>
      <c r="BM873" s="1048">
        <f t="shared" si="403"/>
        <v>195.2</v>
      </c>
      <c r="BN873" s="1048">
        <f t="shared" si="404"/>
        <v>48.8</v>
      </c>
      <c r="BO873" s="4413"/>
      <c r="BP873" s="4413"/>
      <c r="BQ873" s="4413"/>
      <c r="BR873" s="4413"/>
      <c r="BS873" s="4413"/>
      <c r="BT873" s="4431"/>
      <c r="BU873" s="4432"/>
      <c r="BV873" s="4505">
        <f t="shared" si="405"/>
        <v>1464</v>
      </c>
      <c r="BW873" s="4506">
        <f t="shared" si="406"/>
        <v>0</v>
      </c>
      <c r="BX873" s="4554"/>
      <c r="BY873" s="4554"/>
      <c r="BZ873" s="4554"/>
      <c r="CA873" s="4555">
        <f t="shared" ref="CA873:CG873" si="430">CA872-BH873</f>
        <v>29511.6666666667</v>
      </c>
      <c r="CB873" s="4555">
        <f t="shared" si="430"/>
        <v>18215.6666666667</v>
      </c>
      <c r="CC873" s="4555">
        <f t="shared" si="430"/>
        <v>31938.6666666667</v>
      </c>
      <c r="CD873" s="4555">
        <f t="shared" si="430"/>
        <v>25432.6666666667</v>
      </c>
      <c r="CE873" s="4555">
        <f t="shared" si="430"/>
        <v>27002.6666666667</v>
      </c>
      <c r="CF873" s="4555">
        <f t="shared" si="430"/>
        <v>23287.7333333333</v>
      </c>
      <c r="CG873" s="4555">
        <f t="shared" si="430"/>
        <v>21457.5333333333</v>
      </c>
    </row>
    <row r="874" s="4316" customFormat="1" ht="50" customHeight="1" spans="1:85">
      <c r="A874" s="4500">
        <v>46010</v>
      </c>
      <c r="B874" s="4501" t="s">
        <v>505</v>
      </c>
      <c r="C874" s="3708" t="s">
        <v>506</v>
      </c>
      <c r="D874" s="4502">
        <v>4500187429</v>
      </c>
      <c r="E874" s="3708">
        <v>21359938</v>
      </c>
      <c r="F874" s="4502" t="s">
        <v>5472</v>
      </c>
      <c r="G874" s="3708" t="s">
        <v>2577</v>
      </c>
      <c r="H874" s="3708" t="s">
        <v>2578</v>
      </c>
      <c r="I874" s="4154">
        <v>1512</v>
      </c>
      <c r="J874" s="4154">
        <v>0</v>
      </c>
      <c r="K874" s="4154">
        <v>12</v>
      </c>
      <c r="L874" s="4154">
        <f t="shared" si="394"/>
        <v>126</v>
      </c>
      <c r="M874" s="4503">
        <v>46048</v>
      </c>
      <c r="N874" s="4553">
        <f>M874-4</f>
        <v>46044</v>
      </c>
      <c r="O874" s="4117"/>
      <c r="P874" s="4527" t="s">
        <v>82</v>
      </c>
      <c r="Q874" s="4156">
        <v>1612</v>
      </c>
      <c r="R874" s="4157">
        <f t="shared" si="426"/>
        <v>100</v>
      </c>
      <c r="S874" s="4159" t="s">
        <v>2297</v>
      </c>
      <c r="T874" s="4159" t="s">
        <v>321</v>
      </c>
      <c r="U874" s="3726" t="s">
        <v>2353</v>
      </c>
      <c r="V874" s="3711" t="s">
        <v>2354</v>
      </c>
      <c r="W874" s="3711"/>
      <c r="X874" s="3711" t="s">
        <v>5473</v>
      </c>
      <c r="Y874" s="3711"/>
      <c r="Z874" s="4154"/>
      <c r="AA874" s="3680" t="s">
        <v>5474</v>
      </c>
      <c r="AB874" s="4154" t="s">
        <v>513</v>
      </c>
      <c r="AC874" s="4154">
        <v>2.2463</v>
      </c>
      <c r="AD874" s="4154">
        <f t="shared" si="395"/>
        <v>3396.4056</v>
      </c>
      <c r="AE874" s="3726"/>
      <c r="AF874" s="4160" t="s">
        <v>2577</v>
      </c>
      <c r="AG874" s="3726" t="s">
        <v>416</v>
      </c>
      <c r="AH874" s="4154"/>
      <c r="AI874" s="4154"/>
      <c r="AJ874" s="4575">
        <f t="shared" si="423"/>
        <v>1512</v>
      </c>
      <c r="AK874" s="3708"/>
      <c r="AL874" s="4154"/>
      <c r="AM874" s="4154"/>
      <c r="AN874" s="4154"/>
      <c r="AO874" s="1048"/>
      <c r="AP874" s="4509">
        <f t="shared" si="396"/>
        <v>1512</v>
      </c>
      <c r="AQ874" s="1048"/>
      <c r="AR874" s="1048"/>
      <c r="AS874" s="4510">
        <f t="shared" si="397"/>
        <v>1512</v>
      </c>
      <c r="AT874" s="1048"/>
      <c r="AU874" s="1048"/>
      <c r="AV874" s="1048"/>
      <c r="AW874" s="4510">
        <f t="shared" si="421"/>
        <v>252</v>
      </c>
      <c r="AX874" s="1048"/>
      <c r="AY874" s="1048"/>
      <c r="AZ874" s="1048"/>
      <c r="BA874" s="1048"/>
      <c r="BB874" s="1048"/>
      <c r="BC874" s="1048"/>
      <c r="BD874" s="1048"/>
      <c r="BE874" s="1048"/>
      <c r="BF874" s="1048" t="s">
        <v>89</v>
      </c>
      <c r="BG874" s="1048"/>
      <c r="BH874" s="1048">
        <f t="shared" si="398"/>
        <v>252</v>
      </c>
      <c r="BI874" s="1048">
        <f t="shared" si="399"/>
        <v>252</v>
      </c>
      <c r="BJ874" s="1048">
        <f t="shared" si="400"/>
        <v>252</v>
      </c>
      <c r="BK874" s="4505">
        <f t="shared" si="401"/>
        <v>252</v>
      </c>
      <c r="BL874" s="4506">
        <f t="shared" si="402"/>
        <v>252</v>
      </c>
      <c r="BM874" s="4554">
        <f t="shared" si="403"/>
        <v>201.6</v>
      </c>
      <c r="BN874" s="4554">
        <f t="shared" si="404"/>
        <v>50.4</v>
      </c>
      <c r="BO874" s="4554"/>
      <c r="BP874" s="4555"/>
      <c r="BQ874" s="4555"/>
      <c r="BR874" s="4555"/>
      <c r="BS874" s="4555"/>
      <c r="BT874" s="4555"/>
      <c r="BU874" s="4555"/>
      <c r="BV874" s="4555">
        <f t="shared" si="405"/>
        <v>1512</v>
      </c>
      <c r="BW874" s="4316">
        <f t="shared" si="406"/>
        <v>0</v>
      </c>
    </row>
    <row r="875" s="4316" customFormat="1" ht="50" customHeight="1" spans="1:85">
      <c r="A875" s="4500">
        <v>46015</v>
      </c>
      <c r="B875" s="4501" t="s">
        <v>3542</v>
      </c>
      <c r="C875" s="3708" t="s">
        <v>471</v>
      </c>
      <c r="D875" s="4502">
        <v>4500189626</v>
      </c>
      <c r="E875" s="3708" t="s">
        <v>5475</v>
      </c>
      <c r="F875" s="4502" t="s">
        <v>5476</v>
      </c>
      <c r="G875" s="3708" t="s">
        <v>2700</v>
      </c>
      <c r="H875" s="3708" t="s">
        <v>2591</v>
      </c>
      <c r="I875" s="4154">
        <v>600</v>
      </c>
      <c r="J875" s="4154">
        <v>0</v>
      </c>
      <c r="K875" s="4154">
        <v>12</v>
      </c>
      <c r="L875" s="4154">
        <f t="shared" si="394"/>
        <v>50</v>
      </c>
      <c r="M875" s="4503">
        <v>46048</v>
      </c>
      <c r="N875" s="4553">
        <v>46044</v>
      </c>
      <c r="O875" s="4117"/>
      <c r="P875" s="4527" t="s">
        <v>82</v>
      </c>
      <c r="Q875" s="4156">
        <v>600</v>
      </c>
      <c r="R875" s="4157">
        <f t="shared" si="426"/>
        <v>0</v>
      </c>
      <c r="S875" s="4556" t="s">
        <v>2297</v>
      </c>
      <c r="T875" s="4159" t="s">
        <v>321</v>
      </c>
      <c r="U875" s="3726" t="s">
        <v>5341</v>
      </c>
      <c r="V875" s="3711" t="s">
        <v>619</v>
      </c>
      <c r="W875" s="3711"/>
      <c r="X875" s="3711" t="s">
        <v>98</v>
      </c>
      <c r="Y875" s="3711" t="s">
        <v>5477</v>
      </c>
      <c r="Z875" s="4154"/>
      <c r="AA875" s="3680" t="s">
        <v>5478</v>
      </c>
      <c r="AB875" s="4154" t="s">
        <v>4573</v>
      </c>
      <c r="AC875" s="3699">
        <v>2.1438</v>
      </c>
      <c r="AD875" s="4154">
        <f t="shared" si="395"/>
        <v>1286.28</v>
      </c>
      <c r="AE875" s="3726"/>
      <c r="AF875" s="4582" t="s">
        <v>2871</v>
      </c>
      <c r="AG875" s="3726" t="s">
        <v>416</v>
      </c>
      <c r="AH875" s="4154"/>
      <c r="AI875" s="4154"/>
      <c r="AJ875" s="3708"/>
      <c r="AK875" s="3708"/>
      <c r="AL875" s="4154"/>
      <c r="AM875" s="4575">
        <f>I875</f>
        <v>600</v>
      </c>
      <c r="AN875" s="4154"/>
      <c r="AO875" s="1048"/>
      <c r="AP875" s="4509">
        <f t="shared" si="396"/>
        <v>600</v>
      </c>
      <c r="AQ875" s="1048"/>
      <c r="AR875" s="1048"/>
      <c r="AS875" s="1048"/>
      <c r="AT875" s="1048"/>
      <c r="AU875" s="1048">
        <f>I875</f>
        <v>600</v>
      </c>
      <c r="AV875" s="1048"/>
      <c r="AW875" s="1048">
        <f t="shared" si="421"/>
        <v>100</v>
      </c>
      <c r="AX875" s="1048"/>
      <c r="AY875" s="1048"/>
      <c r="AZ875" s="1048"/>
      <c r="BA875" s="1048"/>
      <c r="BB875" s="1048"/>
      <c r="BC875" s="1048"/>
      <c r="BD875" s="1048"/>
      <c r="BE875" s="1048"/>
      <c r="BF875" s="1048" t="s">
        <v>89</v>
      </c>
      <c r="BG875" s="1048"/>
      <c r="BH875" s="1048">
        <f t="shared" si="398"/>
        <v>100</v>
      </c>
      <c r="BI875" s="1048">
        <f t="shared" si="399"/>
        <v>100</v>
      </c>
      <c r="BJ875" s="1048">
        <f t="shared" si="400"/>
        <v>100</v>
      </c>
      <c r="BK875" s="1048">
        <f t="shared" si="401"/>
        <v>100</v>
      </c>
      <c r="BL875" s="1048">
        <f t="shared" si="402"/>
        <v>100</v>
      </c>
      <c r="BM875" s="1048">
        <f t="shared" si="403"/>
        <v>80</v>
      </c>
      <c r="BN875" s="1048">
        <f t="shared" si="404"/>
        <v>20</v>
      </c>
      <c r="BO875" s="4554"/>
      <c r="BP875" s="4555"/>
      <c r="BQ875" s="4555"/>
      <c r="BR875" s="4555"/>
      <c r="BS875" s="4555"/>
      <c r="BT875" s="4555"/>
      <c r="BU875" s="4555"/>
      <c r="BV875" s="4505">
        <f t="shared" si="405"/>
        <v>600</v>
      </c>
      <c r="BW875" s="4506">
        <f t="shared" si="406"/>
        <v>0</v>
      </c>
      <c r="BX875" s="4323"/>
      <c r="BY875" s="4323"/>
      <c r="BZ875" s="4323"/>
      <c r="CA875" s="4511"/>
      <c r="CC875" s="4512"/>
      <c r="CD875" s="4511"/>
    </row>
    <row r="876" s="4316" customFormat="1" ht="50" customHeight="1" spans="1:85">
      <c r="A876" s="4583">
        <v>46010</v>
      </c>
      <c r="B876" s="4584" t="s">
        <v>3495</v>
      </c>
      <c r="C876" s="4585" t="s">
        <v>91</v>
      </c>
      <c r="D876" s="4502">
        <v>4500189467</v>
      </c>
      <c r="E876" s="5455" t="s">
        <v>5479</v>
      </c>
      <c r="F876" s="4502" t="s">
        <v>5480</v>
      </c>
      <c r="G876" s="3708" t="s">
        <v>3068</v>
      </c>
      <c r="H876" s="3708" t="s">
        <v>3069</v>
      </c>
      <c r="I876" s="4154">
        <v>1536</v>
      </c>
      <c r="J876" s="4154">
        <v>0</v>
      </c>
      <c r="K876" s="4154">
        <v>384</v>
      </c>
      <c r="L876" s="4154">
        <f t="shared" si="394"/>
        <v>4</v>
      </c>
      <c r="M876" s="4503">
        <v>46041</v>
      </c>
      <c r="N876" s="4553">
        <v>46037</v>
      </c>
      <c r="O876" s="3708" t="s">
        <v>5481</v>
      </c>
      <c r="P876" s="4527" t="s">
        <v>82</v>
      </c>
      <c r="Q876" s="4156">
        <v>1536</v>
      </c>
      <c r="R876" s="4157">
        <f t="shared" si="426"/>
        <v>0</v>
      </c>
      <c r="S876" s="4556" t="s">
        <v>2297</v>
      </c>
      <c r="T876" s="4159" t="s">
        <v>321</v>
      </c>
      <c r="U876" s="3726" t="s">
        <v>5333</v>
      </c>
      <c r="V876" s="3711" t="s">
        <v>4620</v>
      </c>
      <c r="W876" s="3711"/>
      <c r="X876" s="3711" t="s">
        <v>4710</v>
      </c>
      <c r="Y876" s="3711" t="s">
        <v>4935</v>
      </c>
      <c r="Z876" s="4154"/>
      <c r="AA876" s="3680" t="s">
        <v>4936</v>
      </c>
      <c r="AB876" s="4154" t="s">
        <v>3076</v>
      </c>
      <c r="AC876" s="4504">
        <v>51.9275</v>
      </c>
      <c r="AD876" s="4154">
        <f>AC876*L876</f>
        <v>207.71</v>
      </c>
      <c r="AE876" s="3726"/>
      <c r="AF876" s="3708" t="s">
        <v>3078</v>
      </c>
      <c r="AG876" s="3726" t="s">
        <v>416</v>
      </c>
      <c r="AH876" s="4568"/>
      <c r="AI876" s="4154"/>
      <c r="AJ876" s="3708">
        <f>I876</f>
        <v>1536</v>
      </c>
      <c r="AK876" s="4412"/>
      <c r="AL876" s="4154"/>
      <c r="AM876" s="4154"/>
      <c r="AN876" s="4154"/>
      <c r="AO876" s="1048"/>
      <c r="AP876" s="1048">
        <f t="shared" si="396"/>
        <v>1536</v>
      </c>
      <c r="AQ876" s="1048"/>
      <c r="AR876" s="1040"/>
      <c r="AS876" s="1048">
        <f>I876</f>
        <v>1536</v>
      </c>
      <c r="AT876" s="1040"/>
      <c r="AU876" s="1048"/>
      <c r="AV876" s="1048"/>
      <c r="AW876" s="4510"/>
      <c r="AX876" s="1048"/>
      <c r="AY876" s="1048"/>
      <c r="AZ876" s="1048"/>
      <c r="BA876" s="1048"/>
      <c r="BB876" s="1048">
        <f>I876/2</f>
        <v>768</v>
      </c>
      <c r="BC876" s="1048"/>
      <c r="BD876" s="1048"/>
      <c r="BE876" s="1048"/>
      <c r="BF876" s="1048" t="s">
        <v>89</v>
      </c>
      <c r="BG876" s="1048"/>
      <c r="BH876" s="4510">
        <f t="shared" si="398"/>
        <v>256</v>
      </c>
      <c r="BI876" s="4510">
        <f t="shared" si="399"/>
        <v>256</v>
      </c>
      <c r="BJ876" s="4510">
        <f t="shared" si="400"/>
        <v>256</v>
      </c>
      <c r="BK876" s="4510">
        <f t="shared" si="401"/>
        <v>256</v>
      </c>
      <c r="BL876" s="4510">
        <f t="shared" si="402"/>
        <v>256</v>
      </c>
      <c r="BM876" s="4510">
        <f t="shared" si="403"/>
        <v>204.8</v>
      </c>
      <c r="BN876" s="4510">
        <f t="shared" si="404"/>
        <v>51.2</v>
      </c>
      <c r="BO876" s="1040"/>
      <c r="BP876" s="1040"/>
      <c r="BQ876" s="1040"/>
      <c r="BR876" s="1040"/>
      <c r="BS876" s="1040"/>
      <c r="BT876" s="1041"/>
      <c r="BU876" s="4524"/>
      <c r="BV876" s="4525">
        <f t="shared" si="405"/>
        <v>1536</v>
      </c>
      <c r="BW876" s="4526">
        <f t="shared" si="406"/>
        <v>0</v>
      </c>
      <c r="BX876" s="4323"/>
      <c r="BY876" s="4323"/>
      <c r="BZ876" s="4323"/>
      <c r="CA876" s="4555">
        <f t="shared" ref="CA876:CG876" si="431">CA863-BH876</f>
        <v>31389.6666666667</v>
      </c>
      <c r="CB876" s="4555">
        <f t="shared" si="431"/>
        <v>20093.6666666667</v>
      </c>
      <c r="CC876" s="4555">
        <f t="shared" si="431"/>
        <v>33816.6666666667</v>
      </c>
      <c r="CD876" s="4555">
        <f t="shared" si="431"/>
        <v>27310.6666666667</v>
      </c>
      <c r="CE876" s="4555">
        <f t="shared" si="431"/>
        <v>28880.6666666667</v>
      </c>
      <c r="CF876" s="4555">
        <f t="shared" si="431"/>
        <v>24790.1333333333</v>
      </c>
      <c r="CG876" s="4555">
        <f t="shared" si="431"/>
        <v>21610.3333333333</v>
      </c>
    </row>
    <row r="877" s="4316" customFormat="1" ht="50" customHeight="1" spans="1:85">
      <c r="A877" s="4583">
        <v>46010</v>
      </c>
      <c r="B877" s="4584" t="s">
        <v>3495</v>
      </c>
      <c r="C877" s="4585" t="s">
        <v>91</v>
      </c>
      <c r="D877" s="4502">
        <v>4500189467</v>
      </c>
      <c r="E877" s="5455" t="s">
        <v>5482</v>
      </c>
      <c r="F877" s="4502" t="s">
        <v>5483</v>
      </c>
      <c r="G877" s="3708" t="s">
        <v>3068</v>
      </c>
      <c r="H877" s="3708" t="s">
        <v>3069</v>
      </c>
      <c r="I877" s="4154">
        <v>1152</v>
      </c>
      <c r="J877" s="4154">
        <v>0</v>
      </c>
      <c r="K877" s="4154">
        <v>384</v>
      </c>
      <c r="L877" s="4154">
        <f t="shared" si="394"/>
        <v>3</v>
      </c>
      <c r="M877" s="4503">
        <v>46041</v>
      </c>
      <c r="N877" s="4553">
        <v>46037</v>
      </c>
      <c r="O877" s="3708" t="s">
        <v>5481</v>
      </c>
      <c r="P877" s="4527" t="s">
        <v>82</v>
      </c>
      <c r="Q877" s="4156">
        <v>1152</v>
      </c>
      <c r="R877" s="4157">
        <f t="shared" si="426"/>
        <v>0</v>
      </c>
      <c r="S877" s="4564"/>
      <c r="T877" s="4159" t="s">
        <v>321</v>
      </c>
      <c r="U877" s="3726" t="s">
        <v>2333</v>
      </c>
      <c r="V877" s="3711" t="s">
        <v>4620</v>
      </c>
      <c r="W877" s="3711"/>
      <c r="X877" s="3711" t="s">
        <v>4710</v>
      </c>
      <c r="Y877" s="3711" t="s">
        <v>4935</v>
      </c>
      <c r="Z877" s="4154"/>
      <c r="AA877" s="3680" t="s">
        <v>4936</v>
      </c>
      <c r="AB877" s="4154" t="s">
        <v>3076</v>
      </c>
      <c r="AC877" s="4504">
        <v>51.9267</v>
      </c>
      <c r="AD877" s="4154">
        <f t="shared" ref="AD877:AD882" si="432">AC877*L877</f>
        <v>155.7801</v>
      </c>
      <c r="AE877" s="3726"/>
      <c r="AF877" s="3708" t="s">
        <v>3078</v>
      </c>
      <c r="AG877" s="3726" t="s">
        <v>416</v>
      </c>
      <c r="AH877" s="4568"/>
      <c r="AI877" s="4154"/>
      <c r="AJ877" s="3708">
        <f t="shared" ref="AJ877:AJ882" si="433">I877</f>
        <v>1152</v>
      </c>
      <c r="AK877" s="4412"/>
      <c r="AL877" s="4154"/>
      <c r="AM877" s="4154"/>
      <c r="AN877" s="4154"/>
      <c r="AO877" s="1048"/>
      <c r="AP877" s="1048">
        <f t="shared" si="396"/>
        <v>1152</v>
      </c>
      <c r="AQ877" s="1048"/>
      <c r="AR877" s="1040"/>
      <c r="AS877" s="1048">
        <f t="shared" ref="AS877:AS889" si="434">I877</f>
        <v>1152</v>
      </c>
      <c r="AT877" s="1040"/>
      <c r="AU877" s="1048"/>
      <c r="AV877" s="1048"/>
      <c r="AW877" s="4510"/>
      <c r="AX877" s="1048"/>
      <c r="AY877" s="1048"/>
      <c r="AZ877" s="1048"/>
      <c r="BA877" s="1048"/>
      <c r="BB877" s="1048">
        <f t="shared" ref="BB877:BB882" si="435">I877/2</f>
        <v>576</v>
      </c>
      <c r="BC877" s="1048"/>
      <c r="BD877" s="1048"/>
      <c r="BE877" s="1048"/>
      <c r="BF877" s="1048" t="s">
        <v>89</v>
      </c>
      <c r="BG877" s="1048"/>
      <c r="BH877" s="4510">
        <f t="shared" si="398"/>
        <v>192</v>
      </c>
      <c r="BI877" s="4510">
        <f t="shared" si="399"/>
        <v>192</v>
      </c>
      <c r="BJ877" s="4510">
        <f t="shared" si="400"/>
        <v>192</v>
      </c>
      <c r="BK877" s="4510">
        <f t="shared" si="401"/>
        <v>192</v>
      </c>
      <c r="BL877" s="4510">
        <f t="shared" si="402"/>
        <v>192</v>
      </c>
      <c r="BM877" s="4510">
        <f t="shared" si="403"/>
        <v>153.6</v>
      </c>
      <c r="BN877" s="4510">
        <f t="shared" si="404"/>
        <v>38.4</v>
      </c>
      <c r="BO877" s="1040"/>
      <c r="BP877" s="1040"/>
      <c r="BQ877" s="1040"/>
      <c r="BR877" s="1040"/>
      <c r="BS877" s="1040"/>
      <c r="BT877" s="1041"/>
      <c r="BU877" s="4524"/>
      <c r="BV877" s="4525">
        <f t="shared" si="405"/>
        <v>1152</v>
      </c>
      <c r="BW877" s="4526">
        <f t="shared" si="406"/>
        <v>0</v>
      </c>
      <c r="BX877" s="4323"/>
      <c r="BY877" s="4323"/>
      <c r="BZ877" s="4323"/>
      <c r="CA877" s="4555">
        <f t="shared" ref="CA877:CF877" si="436">CA876-BH877</f>
        <v>31197.6666666667</v>
      </c>
      <c r="CB877" s="4555">
        <f t="shared" si="436"/>
        <v>19901.6666666667</v>
      </c>
      <c r="CC877" s="4555">
        <f t="shared" si="436"/>
        <v>33624.6666666667</v>
      </c>
      <c r="CD877" s="4555">
        <f t="shared" si="436"/>
        <v>27118.6666666667</v>
      </c>
      <c r="CE877" s="4555">
        <f t="shared" si="436"/>
        <v>28688.6666666667</v>
      </c>
      <c r="CF877" s="4555">
        <f t="shared" si="436"/>
        <v>24636.5333333333</v>
      </c>
      <c r="CG877" s="4555">
        <f>CG863-BN877</f>
        <v>21623.1333333333</v>
      </c>
    </row>
    <row r="878" s="4316" customFormat="1" ht="50" customHeight="1" spans="1:85">
      <c r="A878" s="4583">
        <v>46010</v>
      </c>
      <c r="B878" s="4584" t="s">
        <v>3495</v>
      </c>
      <c r="C878" s="4585" t="s">
        <v>91</v>
      </c>
      <c r="D878" s="4502">
        <v>4500189467</v>
      </c>
      <c r="E878" s="5455" t="s">
        <v>5484</v>
      </c>
      <c r="F878" s="4502" t="s">
        <v>5485</v>
      </c>
      <c r="G878" s="3708" t="s">
        <v>3068</v>
      </c>
      <c r="H878" s="3708" t="s">
        <v>3069</v>
      </c>
      <c r="I878" s="4154">
        <v>1536</v>
      </c>
      <c r="J878" s="4154">
        <v>0</v>
      </c>
      <c r="K878" s="4154">
        <v>384</v>
      </c>
      <c r="L878" s="4154">
        <f t="shared" si="394"/>
        <v>4</v>
      </c>
      <c r="M878" s="4503">
        <v>46041</v>
      </c>
      <c r="N878" s="4553">
        <v>46037</v>
      </c>
      <c r="O878" s="3708" t="s">
        <v>5481</v>
      </c>
      <c r="P878" s="4527" t="s">
        <v>82</v>
      </c>
      <c r="Q878" s="4156">
        <v>1536</v>
      </c>
      <c r="R878" s="4157">
        <f t="shared" si="426"/>
        <v>0</v>
      </c>
      <c r="S878" s="4564"/>
      <c r="T878" s="4159" t="s">
        <v>321</v>
      </c>
      <c r="U878" s="3726" t="s">
        <v>5343</v>
      </c>
      <c r="V878" s="3711" t="s">
        <v>4620</v>
      </c>
      <c r="W878" s="3711"/>
      <c r="X878" s="3711" t="s">
        <v>4710</v>
      </c>
      <c r="Y878" s="3711" t="s">
        <v>4935</v>
      </c>
      <c r="Z878" s="4154"/>
      <c r="AA878" s="3680" t="s">
        <v>4936</v>
      </c>
      <c r="AB878" s="4154" t="s">
        <v>3076</v>
      </c>
      <c r="AC878" s="4504">
        <v>51.9275</v>
      </c>
      <c r="AD878" s="4154">
        <f t="shared" si="432"/>
        <v>207.71</v>
      </c>
      <c r="AE878" s="3726"/>
      <c r="AF878" s="3708" t="s">
        <v>3078</v>
      </c>
      <c r="AG878" s="3726" t="s">
        <v>416</v>
      </c>
      <c r="AH878" s="4568"/>
      <c r="AI878" s="4154"/>
      <c r="AJ878" s="3708">
        <f t="shared" si="433"/>
        <v>1536</v>
      </c>
      <c r="AK878" s="4412"/>
      <c r="AL878" s="4154"/>
      <c r="AM878" s="4154"/>
      <c r="AN878" s="4154"/>
      <c r="AO878" s="1048"/>
      <c r="AP878" s="1048">
        <f t="shared" si="396"/>
        <v>1536</v>
      </c>
      <c r="AQ878" s="1048"/>
      <c r="AR878" s="1040"/>
      <c r="AS878" s="1048">
        <f t="shared" si="434"/>
        <v>1536</v>
      </c>
      <c r="AT878" s="1040"/>
      <c r="AU878" s="1048"/>
      <c r="AV878" s="1048"/>
      <c r="AW878" s="4510"/>
      <c r="AX878" s="1048"/>
      <c r="AY878" s="1048"/>
      <c r="AZ878" s="1048"/>
      <c r="BA878" s="1048"/>
      <c r="BB878" s="1048">
        <f t="shared" si="435"/>
        <v>768</v>
      </c>
      <c r="BC878" s="1048"/>
      <c r="BD878" s="1048"/>
      <c r="BE878" s="1048"/>
      <c r="BF878" s="1048" t="s">
        <v>89</v>
      </c>
      <c r="BG878" s="1048"/>
      <c r="BH878" s="4510">
        <f t="shared" si="398"/>
        <v>256</v>
      </c>
      <c r="BI878" s="4510">
        <f t="shared" si="399"/>
        <v>256</v>
      </c>
      <c r="BJ878" s="4510">
        <f t="shared" si="400"/>
        <v>256</v>
      </c>
      <c r="BK878" s="4510">
        <f t="shared" si="401"/>
        <v>256</v>
      </c>
      <c r="BL878" s="4510">
        <f t="shared" si="402"/>
        <v>256</v>
      </c>
      <c r="BM878" s="4510">
        <f t="shared" si="403"/>
        <v>204.8</v>
      </c>
      <c r="BN878" s="4510">
        <f t="shared" si="404"/>
        <v>51.2</v>
      </c>
      <c r="BO878" s="1040"/>
      <c r="BP878" s="1040"/>
      <c r="BQ878" s="1040"/>
      <c r="BR878" s="1040"/>
      <c r="BS878" s="1040"/>
      <c r="BT878" s="1041"/>
      <c r="BU878" s="4524"/>
      <c r="BV878" s="4525">
        <f t="shared" si="405"/>
        <v>1536</v>
      </c>
      <c r="BW878" s="4526">
        <f t="shared" si="406"/>
        <v>0</v>
      </c>
      <c r="BX878" s="4323"/>
      <c r="BY878" s="4323"/>
      <c r="BZ878" s="4323"/>
      <c r="CA878" s="4555">
        <f t="shared" ref="CA878:CG878" si="437">CA877-BH878</f>
        <v>30941.6666666667</v>
      </c>
      <c r="CB878" s="4555">
        <f t="shared" si="437"/>
        <v>19645.6666666667</v>
      </c>
      <c r="CC878" s="4555">
        <f t="shared" si="437"/>
        <v>33368.6666666667</v>
      </c>
      <c r="CD878" s="4555">
        <f t="shared" si="437"/>
        <v>26862.6666666667</v>
      </c>
      <c r="CE878" s="4555">
        <f t="shared" si="437"/>
        <v>28432.6666666667</v>
      </c>
      <c r="CF878" s="4555">
        <f t="shared" si="437"/>
        <v>24431.7333333333</v>
      </c>
      <c r="CG878" s="4555">
        <f t="shared" si="437"/>
        <v>21571.9333333333</v>
      </c>
    </row>
    <row r="879" s="4316" customFormat="1" ht="50" customHeight="1" spans="1:85">
      <c r="A879" s="4583">
        <v>46010</v>
      </c>
      <c r="B879" s="4584" t="s">
        <v>3495</v>
      </c>
      <c r="C879" s="4585" t="s">
        <v>91</v>
      </c>
      <c r="D879" s="4502">
        <v>4500189467</v>
      </c>
      <c r="E879" s="5455" t="s">
        <v>5486</v>
      </c>
      <c r="F879" s="4502" t="s">
        <v>5487</v>
      </c>
      <c r="G879" s="3708" t="s">
        <v>3068</v>
      </c>
      <c r="H879" s="3708" t="s">
        <v>3069</v>
      </c>
      <c r="I879" s="4154">
        <v>768</v>
      </c>
      <c r="J879" s="4154">
        <v>0</v>
      </c>
      <c r="K879" s="4154">
        <v>384</v>
      </c>
      <c r="L879" s="4154">
        <f t="shared" si="394"/>
        <v>2</v>
      </c>
      <c r="M879" s="4503">
        <v>46041</v>
      </c>
      <c r="N879" s="4553">
        <v>46037</v>
      </c>
      <c r="O879" s="3708" t="s">
        <v>5481</v>
      </c>
      <c r="P879" s="4527" t="s">
        <v>82</v>
      </c>
      <c r="Q879" s="4156">
        <v>768</v>
      </c>
      <c r="R879" s="4157">
        <f t="shared" si="426"/>
        <v>0</v>
      </c>
      <c r="S879" s="4564"/>
      <c r="T879" s="4159" t="s">
        <v>321</v>
      </c>
      <c r="U879" s="3726" t="s">
        <v>5346</v>
      </c>
      <c r="V879" s="3711" t="s">
        <v>4620</v>
      </c>
      <c r="W879" s="3711"/>
      <c r="X879" s="3711" t="s">
        <v>4710</v>
      </c>
      <c r="Y879" s="3711" t="s">
        <v>4935</v>
      </c>
      <c r="Z879" s="4154"/>
      <c r="AA879" s="3680" t="s">
        <v>4936</v>
      </c>
      <c r="AB879" s="4154" t="s">
        <v>3076</v>
      </c>
      <c r="AC879" s="4504">
        <v>51.93</v>
      </c>
      <c r="AD879" s="4154">
        <f t="shared" si="432"/>
        <v>103.86</v>
      </c>
      <c r="AE879" s="3726"/>
      <c r="AF879" s="3708" t="s">
        <v>3078</v>
      </c>
      <c r="AG879" s="3726" t="s">
        <v>416</v>
      </c>
      <c r="AH879" s="4568"/>
      <c r="AI879" s="4154"/>
      <c r="AJ879" s="3708">
        <f t="shared" si="433"/>
        <v>768</v>
      </c>
      <c r="AK879" s="4412"/>
      <c r="AL879" s="4154"/>
      <c r="AM879" s="4154"/>
      <c r="AN879" s="4154"/>
      <c r="AO879" s="1048"/>
      <c r="AP879" s="1048">
        <f t="shared" si="396"/>
        <v>768</v>
      </c>
      <c r="AQ879" s="1048"/>
      <c r="AR879" s="1040"/>
      <c r="AS879" s="1048">
        <f t="shared" si="434"/>
        <v>768</v>
      </c>
      <c r="AT879" s="1040"/>
      <c r="AU879" s="1048"/>
      <c r="AV879" s="1048"/>
      <c r="AW879" s="4510"/>
      <c r="AX879" s="1048"/>
      <c r="AY879" s="1048"/>
      <c r="AZ879" s="1048"/>
      <c r="BA879" s="1048"/>
      <c r="BB879" s="1048">
        <f t="shared" si="435"/>
        <v>384</v>
      </c>
      <c r="BC879" s="1048"/>
      <c r="BD879" s="1048"/>
      <c r="BE879" s="1048"/>
      <c r="BF879" s="1048" t="s">
        <v>89</v>
      </c>
      <c r="BG879" s="1048"/>
      <c r="BH879" s="4510">
        <f t="shared" si="398"/>
        <v>128</v>
      </c>
      <c r="BI879" s="4510">
        <f t="shared" si="399"/>
        <v>128</v>
      </c>
      <c r="BJ879" s="4510">
        <f t="shared" si="400"/>
        <v>128</v>
      </c>
      <c r="BK879" s="4510">
        <f t="shared" si="401"/>
        <v>128</v>
      </c>
      <c r="BL879" s="4510">
        <f t="shared" si="402"/>
        <v>128</v>
      </c>
      <c r="BM879" s="4510">
        <f t="shared" si="403"/>
        <v>102.4</v>
      </c>
      <c r="BN879" s="4510">
        <f t="shared" si="404"/>
        <v>25.6</v>
      </c>
      <c r="BO879" s="1040"/>
      <c r="BP879" s="1040"/>
      <c r="BQ879" s="1040"/>
      <c r="BR879" s="1040"/>
      <c r="BS879" s="1040"/>
      <c r="BT879" s="1041"/>
      <c r="BU879" s="4524"/>
      <c r="BV879" s="4525">
        <f t="shared" si="405"/>
        <v>768</v>
      </c>
      <c r="BW879" s="4526">
        <f t="shared" si="406"/>
        <v>0</v>
      </c>
      <c r="BX879" s="4323"/>
      <c r="BY879" s="4323"/>
      <c r="BZ879" s="4323"/>
      <c r="CA879" s="4555">
        <f t="shared" ref="CA879:CF879" si="438">CA878-BH879</f>
        <v>30813.6666666667</v>
      </c>
      <c r="CB879" s="4555">
        <f t="shared" si="438"/>
        <v>19517.6666666667</v>
      </c>
      <c r="CC879" s="4555">
        <f t="shared" si="438"/>
        <v>33240.6666666667</v>
      </c>
      <c r="CD879" s="4555">
        <f t="shared" si="438"/>
        <v>26734.6666666667</v>
      </c>
      <c r="CE879" s="4555">
        <f t="shared" si="438"/>
        <v>28304.6666666667</v>
      </c>
      <c r="CF879" s="4555">
        <f t="shared" si="438"/>
        <v>24329.3333333333</v>
      </c>
      <c r="CG879" s="4555">
        <f>CG877-BN879</f>
        <v>21597.5333333333</v>
      </c>
    </row>
    <row r="880" s="4316" customFormat="1" ht="50" customHeight="1" spans="1:85">
      <c r="A880" s="4583">
        <v>46010</v>
      </c>
      <c r="B880" s="4584" t="s">
        <v>3495</v>
      </c>
      <c r="C880" s="4585" t="s">
        <v>91</v>
      </c>
      <c r="D880" s="4502">
        <v>4500189467</v>
      </c>
      <c r="E880" s="5455" t="s">
        <v>5488</v>
      </c>
      <c r="F880" s="4502" t="s">
        <v>5489</v>
      </c>
      <c r="G880" s="3708" t="s">
        <v>3068</v>
      </c>
      <c r="H880" s="3708" t="s">
        <v>3069</v>
      </c>
      <c r="I880" s="4154">
        <v>768</v>
      </c>
      <c r="J880" s="4154">
        <v>0</v>
      </c>
      <c r="K880" s="4154">
        <v>384</v>
      </c>
      <c r="L880" s="4154">
        <f t="shared" si="394"/>
        <v>2</v>
      </c>
      <c r="M880" s="4503">
        <v>46041</v>
      </c>
      <c r="N880" s="4553">
        <v>46037</v>
      </c>
      <c r="O880" s="3708" t="s">
        <v>5481</v>
      </c>
      <c r="P880" s="4527" t="s">
        <v>82</v>
      </c>
      <c r="Q880" s="4156">
        <v>768</v>
      </c>
      <c r="R880" s="4157">
        <f t="shared" si="426"/>
        <v>0</v>
      </c>
      <c r="S880" s="4564"/>
      <c r="T880" s="4159" t="s">
        <v>321</v>
      </c>
      <c r="U880" s="3726" t="s">
        <v>5369</v>
      </c>
      <c r="V880" s="3711" t="s">
        <v>4620</v>
      </c>
      <c r="W880" s="3711"/>
      <c r="X880" s="3711" t="s">
        <v>4710</v>
      </c>
      <c r="Y880" s="3711" t="s">
        <v>4935</v>
      </c>
      <c r="Z880" s="4154"/>
      <c r="AA880" s="3680" t="s">
        <v>4936</v>
      </c>
      <c r="AB880" s="4154" t="s">
        <v>3076</v>
      </c>
      <c r="AC880" s="4504">
        <v>51.93</v>
      </c>
      <c r="AD880" s="4154">
        <f t="shared" si="432"/>
        <v>103.86</v>
      </c>
      <c r="AE880" s="3726"/>
      <c r="AF880" s="3708" t="s">
        <v>3078</v>
      </c>
      <c r="AG880" s="3726" t="s">
        <v>416</v>
      </c>
      <c r="AH880" s="4568"/>
      <c r="AI880" s="4154"/>
      <c r="AJ880" s="3708">
        <f t="shared" si="433"/>
        <v>768</v>
      </c>
      <c r="AK880" s="4412"/>
      <c r="AL880" s="4154"/>
      <c r="AM880" s="4154"/>
      <c r="AN880" s="4154"/>
      <c r="AO880" s="1048"/>
      <c r="AP880" s="1048">
        <f t="shared" si="396"/>
        <v>768</v>
      </c>
      <c r="AQ880" s="1048"/>
      <c r="AR880" s="1040"/>
      <c r="AS880" s="1048">
        <f t="shared" si="434"/>
        <v>768</v>
      </c>
      <c r="AT880" s="1040"/>
      <c r="AU880" s="1048"/>
      <c r="AV880" s="1048"/>
      <c r="AW880" s="4510"/>
      <c r="AX880" s="1048"/>
      <c r="AY880" s="1048"/>
      <c r="AZ880" s="1048"/>
      <c r="BA880" s="1048"/>
      <c r="BB880" s="1048">
        <f t="shared" si="435"/>
        <v>384</v>
      </c>
      <c r="BC880" s="1048"/>
      <c r="BD880" s="1048"/>
      <c r="BE880" s="1048"/>
      <c r="BF880" s="1048" t="s">
        <v>89</v>
      </c>
      <c r="BG880" s="1048"/>
      <c r="BH880" s="4510">
        <f t="shared" si="398"/>
        <v>128</v>
      </c>
      <c r="BI880" s="4510">
        <f t="shared" si="399"/>
        <v>128</v>
      </c>
      <c r="BJ880" s="4510">
        <f t="shared" si="400"/>
        <v>128</v>
      </c>
      <c r="BK880" s="4510">
        <f t="shared" si="401"/>
        <v>128</v>
      </c>
      <c r="BL880" s="4510">
        <f t="shared" si="402"/>
        <v>128</v>
      </c>
      <c r="BM880" s="4510">
        <f t="shared" si="403"/>
        <v>102.4</v>
      </c>
      <c r="BN880" s="4510">
        <f t="shared" si="404"/>
        <v>25.6</v>
      </c>
      <c r="BO880" s="1040"/>
      <c r="BP880" s="1040"/>
      <c r="BQ880" s="1040"/>
      <c r="BR880" s="1040"/>
      <c r="BS880" s="1040"/>
      <c r="BT880" s="1041"/>
      <c r="BU880" s="4524"/>
      <c r="BV880" s="4525">
        <f t="shared" si="405"/>
        <v>768</v>
      </c>
      <c r="BW880" s="4526">
        <f t="shared" si="406"/>
        <v>0</v>
      </c>
      <c r="BX880" s="4323"/>
      <c r="BY880" s="4323"/>
      <c r="BZ880" s="4323"/>
      <c r="CA880" s="4555">
        <f t="shared" ref="CA880:CG880" si="439">CA879-BH880</f>
        <v>30685.6666666667</v>
      </c>
      <c r="CB880" s="4555">
        <f t="shared" si="439"/>
        <v>19389.6666666667</v>
      </c>
      <c r="CC880" s="4555">
        <f t="shared" si="439"/>
        <v>33112.6666666667</v>
      </c>
      <c r="CD880" s="4555">
        <f t="shared" si="439"/>
        <v>26606.6666666667</v>
      </c>
      <c r="CE880" s="4555">
        <f t="shared" si="439"/>
        <v>28176.6666666667</v>
      </c>
      <c r="CF880" s="4555">
        <f t="shared" si="439"/>
        <v>24226.9333333333</v>
      </c>
      <c r="CG880" s="4555">
        <f t="shared" si="439"/>
        <v>21571.9333333333</v>
      </c>
    </row>
    <row r="881" s="4316" customFormat="1" ht="50" customHeight="1" spans="1:85">
      <c r="A881" s="4583">
        <v>46010</v>
      </c>
      <c r="B881" s="4584" t="s">
        <v>3495</v>
      </c>
      <c r="C881" s="4585" t="s">
        <v>91</v>
      </c>
      <c r="D881" s="4502">
        <v>4500189467</v>
      </c>
      <c r="E881" s="5455" t="s">
        <v>5490</v>
      </c>
      <c r="F881" s="4502" t="s">
        <v>5491</v>
      </c>
      <c r="G881" s="3708" t="s">
        <v>3068</v>
      </c>
      <c r="H881" s="3708" t="s">
        <v>3069</v>
      </c>
      <c r="I881" s="4154">
        <v>768</v>
      </c>
      <c r="J881" s="4154">
        <v>0</v>
      </c>
      <c r="K881" s="4154">
        <v>384</v>
      </c>
      <c r="L881" s="4154">
        <f t="shared" si="394"/>
        <v>2</v>
      </c>
      <c r="M881" s="4503">
        <v>46041</v>
      </c>
      <c r="N881" s="4553">
        <v>46037</v>
      </c>
      <c r="O881" s="3708" t="s">
        <v>5481</v>
      </c>
      <c r="P881" s="4527" t="s">
        <v>82</v>
      </c>
      <c r="Q881" s="4156">
        <v>768</v>
      </c>
      <c r="R881" s="4157">
        <f t="shared" si="426"/>
        <v>0</v>
      </c>
      <c r="S881" s="4564"/>
      <c r="T881" s="4159" t="s">
        <v>321</v>
      </c>
      <c r="U881" s="3726" t="s">
        <v>5398</v>
      </c>
      <c r="V881" s="3711" t="s">
        <v>4620</v>
      </c>
      <c r="W881" s="3711"/>
      <c r="X881" s="3711" t="s">
        <v>4710</v>
      </c>
      <c r="Y881" s="3711" t="s">
        <v>4935</v>
      </c>
      <c r="Z881" s="4154"/>
      <c r="AA881" s="3680" t="s">
        <v>4936</v>
      </c>
      <c r="AB881" s="4154" t="s">
        <v>3076</v>
      </c>
      <c r="AC881" s="4504">
        <v>51.93</v>
      </c>
      <c r="AD881" s="4154">
        <f t="shared" si="432"/>
        <v>103.86</v>
      </c>
      <c r="AE881" s="3726"/>
      <c r="AF881" s="3708" t="s">
        <v>3078</v>
      </c>
      <c r="AG881" s="3726" t="s">
        <v>416</v>
      </c>
      <c r="AH881" s="4568"/>
      <c r="AI881" s="4154"/>
      <c r="AJ881" s="3708">
        <f t="shared" si="433"/>
        <v>768</v>
      </c>
      <c r="AK881" s="4412"/>
      <c r="AL881" s="4154"/>
      <c r="AM881" s="4154"/>
      <c r="AN881" s="4154"/>
      <c r="AO881" s="1048"/>
      <c r="AP881" s="1048">
        <f t="shared" si="396"/>
        <v>768</v>
      </c>
      <c r="AQ881" s="1048"/>
      <c r="AR881" s="1040"/>
      <c r="AS881" s="1048">
        <f t="shared" si="434"/>
        <v>768</v>
      </c>
      <c r="AT881" s="1040"/>
      <c r="AU881" s="1048"/>
      <c r="AV881" s="1048"/>
      <c r="AW881" s="4510"/>
      <c r="AX881" s="1048"/>
      <c r="AY881" s="1048"/>
      <c r="AZ881" s="1048"/>
      <c r="BA881" s="1048"/>
      <c r="BB881" s="1048">
        <f t="shared" si="435"/>
        <v>384</v>
      </c>
      <c r="BC881" s="1048"/>
      <c r="BD881" s="1048"/>
      <c r="BE881" s="1048"/>
      <c r="BF881" s="1048" t="s">
        <v>89</v>
      </c>
      <c r="BG881" s="1048"/>
      <c r="BH881" s="4510">
        <f t="shared" si="398"/>
        <v>128</v>
      </c>
      <c r="BI881" s="4510">
        <f t="shared" si="399"/>
        <v>128</v>
      </c>
      <c r="BJ881" s="4510">
        <f t="shared" si="400"/>
        <v>128</v>
      </c>
      <c r="BK881" s="4510">
        <f t="shared" si="401"/>
        <v>128</v>
      </c>
      <c r="BL881" s="4510">
        <f t="shared" si="402"/>
        <v>128</v>
      </c>
      <c r="BM881" s="4510">
        <f t="shared" si="403"/>
        <v>102.4</v>
      </c>
      <c r="BN881" s="4510">
        <f t="shared" si="404"/>
        <v>25.6</v>
      </c>
      <c r="BO881" s="1040"/>
      <c r="BP881" s="1040"/>
      <c r="BQ881" s="1040"/>
      <c r="BR881" s="1040"/>
      <c r="BS881" s="1040"/>
      <c r="BT881" s="1041"/>
      <c r="BU881" s="4524"/>
      <c r="BV881" s="4525">
        <f t="shared" si="405"/>
        <v>768</v>
      </c>
      <c r="BW881" s="4526">
        <f t="shared" si="406"/>
        <v>0</v>
      </c>
      <c r="BX881" s="4323"/>
      <c r="BY881" s="4323"/>
      <c r="BZ881" s="4323"/>
      <c r="CA881" s="4555">
        <f t="shared" ref="CA881:CF881" si="440">CA880-BH881</f>
        <v>30557.6666666667</v>
      </c>
      <c r="CB881" s="4555">
        <f t="shared" si="440"/>
        <v>19261.6666666667</v>
      </c>
      <c r="CC881" s="4555">
        <f t="shared" si="440"/>
        <v>32984.6666666667</v>
      </c>
      <c r="CD881" s="4555">
        <f t="shared" si="440"/>
        <v>26478.6666666667</v>
      </c>
      <c r="CE881" s="4555">
        <f t="shared" si="440"/>
        <v>28048.6666666667</v>
      </c>
      <c r="CF881" s="4555">
        <f t="shared" si="440"/>
        <v>24124.5333333333</v>
      </c>
      <c r="CG881" s="4555">
        <f>CG879-BN881</f>
        <v>21571.9333333333</v>
      </c>
    </row>
    <row r="882" s="4316" customFormat="1" ht="50" customHeight="1" spans="1:85">
      <c r="A882" s="4583">
        <v>46010</v>
      </c>
      <c r="B882" s="4584" t="s">
        <v>3495</v>
      </c>
      <c r="C882" s="4585" t="s">
        <v>91</v>
      </c>
      <c r="D882" s="4502">
        <v>4500189467</v>
      </c>
      <c r="E882" s="5455" t="s">
        <v>5492</v>
      </c>
      <c r="F882" s="4502" t="s">
        <v>5493</v>
      </c>
      <c r="G882" s="3708" t="s">
        <v>3068</v>
      </c>
      <c r="H882" s="3708" t="s">
        <v>3069</v>
      </c>
      <c r="I882" s="4154">
        <v>768</v>
      </c>
      <c r="J882" s="4154">
        <v>0</v>
      </c>
      <c r="K882" s="4154">
        <v>384</v>
      </c>
      <c r="L882" s="4154">
        <f t="shared" si="394"/>
        <v>2</v>
      </c>
      <c r="M882" s="4503">
        <v>46041</v>
      </c>
      <c r="N882" s="4553">
        <v>46037</v>
      </c>
      <c r="O882" s="3708" t="s">
        <v>5481</v>
      </c>
      <c r="P882" s="4527" t="s">
        <v>82</v>
      </c>
      <c r="Q882" s="4156">
        <v>768</v>
      </c>
      <c r="R882" s="4157">
        <f t="shared" si="426"/>
        <v>0</v>
      </c>
      <c r="S882" s="4557"/>
      <c r="T882" s="4159" t="s">
        <v>321</v>
      </c>
      <c r="U882" s="3726" t="s">
        <v>540</v>
      </c>
      <c r="V882" s="3711" t="s">
        <v>4620</v>
      </c>
      <c r="W882" s="3711"/>
      <c r="X882" s="3711" t="s">
        <v>4710</v>
      </c>
      <c r="Y882" s="3711" t="s">
        <v>4935</v>
      </c>
      <c r="Z882" s="4154"/>
      <c r="AA882" s="3680" t="s">
        <v>4936</v>
      </c>
      <c r="AB882" s="4154" t="s">
        <v>3076</v>
      </c>
      <c r="AC882" s="4504">
        <v>51.93</v>
      </c>
      <c r="AD882" s="4154">
        <f t="shared" si="432"/>
        <v>103.86</v>
      </c>
      <c r="AE882" s="3726"/>
      <c r="AF882" s="3708" t="s">
        <v>3078</v>
      </c>
      <c r="AG882" s="3726" t="s">
        <v>416</v>
      </c>
      <c r="AH882" s="4568"/>
      <c r="AI882" s="4154"/>
      <c r="AJ882" s="3708">
        <f t="shared" si="433"/>
        <v>768</v>
      </c>
      <c r="AK882" s="4412"/>
      <c r="AL882" s="4154"/>
      <c r="AM882" s="4154"/>
      <c r="AN882" s="4154"/>
      <c r="AO882" s="1048"/>
      <c r="AP882" s="1048">
        <f t="shared" si="396"/>
        <v>768</v>
      </c>
      <c r="AQ882" s="1048"/>
      <c r="AR882" s="1040"/>
      <c r="AS882" s="1048">
        <f t="shared" si="434"/>
        <v>768</v>
      </c>
      <c r="AT882" s="1040"/>
      <c r="AU882" s="1048"/>
      <c r="AV882" s="1048"/>
      <c r="AW882" s="4510"/>
      <c r="AX882" s="1048"/>
      <c r="AY882" s="1048"/>
      <c r="AZ882" s="1048"/>
      <c r="BA882" s="1048"/>
      <c r="BB882" s="1048">
        <f t="shared" si="435"/>
        <v>384</v>
      </c>
      <c r="BC882" s="1048"/>
      <c r="BD882" s="1048"/>
      <c r="BE882" s="1048"/>
      <c r="BF882" s="1048" t="s">
        <v>89</v>
      </c>
      <c r="BG882" s="1048"/>
      <c r="BH882" s="4510">
        <f t="shared" si="398"/>
        <v>128</v>
      </c>
      <c r="BI882" s="4510">
        <f t="shared" si="399"/>
        <v>128</v>
      </c>
      <c r="BJ882" s="4510">
        <f t="shared" si="400"/>
        <v>128</v>
      </c>
      <c r="BK882" s="4510">
        <f t="shared" si="401"/>
        <v>128</v>
      </c>
      <c r="BL882" s="4510">
        <f t="shared" si="402"/>
        <v>128</v>
      </c>
      <c r="BM882" s="4510">
        <f t="shared" si="403"/>
        <v>102.4</v>
      </c>
      <c r="BN882" s="4510">
        <f t="shared" si="404"/>
        <v>25.6</v>
      </c>
      <c r="BO882" s="1040"/>
      <c r="BP882" s="1040"/>
      <c r="BQ882" s="1040"/>
      <c r="BR882" s="1040"/>
      <c r="BS882" s="1040"/>
      <c r="BT882" s="1041"/>
      <c r="BU882" s="4524"/>
      <c r="BV882" s="4586">
        <f t="shared" si="405"/>
        <v>768</v>
      </c>
      <c r="BW882" s="4587">
        <f t="shared" si="406"/>
        <v>0</v>
      </c>
      <c r="BX882" s="4588"/>
      <c r="BY882" s="4588"/>
      <c r="BZ882" s="4588"/>
      <c r="CA882" s="4555">
        <f t="shared" ref="CA882:CG882" si="441">CA881-BH882</f>
        <v>30429.6666666667</v>
      </c>
      <c r="CB882" s="4555">
        <f t="shared" si="441"/>
        <v>19133.6666666667</v>
      </c>
      <c r="CC882" s="4555">
        <f t="shared" si="441"/>
        <v>32856.6666666667</v>
      </c>
      <c r="CD882" s="4555">
        <f t="shared" si="441"/>
        <v>26350.6666666667</v>
      </c>
      <c r="CE882" s="4555">
        <f t="shared" si="441"/>
        <v>27920.6666666667</v>
      </c>
      <c r="CF882" s="4555">
        <f t="shared" si="441"/>
        <v>24022.1333333333</v>
      </c>
      <c r="CG882" s="4555">
        <f t="shared" si="441"/>
        <v>21546.3333333333</v>
      </c>
    </row>
    <row r="883" s="4323" customFormat="1" ht="50" customHeight="1" spans="1:85">
      <c r="A883" s="4500">
        <v>46003</v>
      </c>
      <c r="B883" s="4501" t="s">
        <v>523</v>
      </c>
      <c r="C883" s="3708" t="s">
        <v>524</v>
      </c>
      <c r="D883" s="4502">
        <v>4500188881</v>
      </c>
      <c r="E883" s="3708"/>
      <c r="F883" s="4502" t="s">
        <v>5494</v>
      </c>
      <c r="G883" s="3708" t="s">
        <v>2577</v>
      </c>
      <c r="H883" s="3708" t="s">
        <v>2578</v>
      </c>
      <c r="I883" s="4154">
        <v>180</v>
      </c>
      <c r="J883" s="4154">
        <v>0</v>
      </c>
      <c r="K883" s="4154">
        <v>12</v>
      </c>
      <c r="L883" s="4154">
        <f t="shared" si="394"/>
        <v>15</v>
      </c>
      <c r="M883" s="4503">
        <v>46051</v>
      </c>
      <c r="N883" s="4553">
        <v>46047</v>
      </c>
      <c r="O883" s="4117"/>
      <c r="P883" s="4527" t="s">
        <v>82</v>
      </c>
      <c r="Q883" s="4157">
        <v>180</v>
      </c>
      <c r="R883" s="4157">
        <f t="shared" si="426"/>
        <v>0</v>
      </c>
      <c r="S883" s="4173" t="s">
        <v>2297</v>
      </c>
      <c r="T883" s="4173" t="s">
        <v>321</v>
      </c>
      <c r="U883" s="3726" t="s">
        <v>5341</v>
      </c>
      <c r="V883" s="3711" t="s">
        <v>824</v>
      </c>
      <c r="W883" s="3711"/>
      <c r="X883" s="3711" t="s">
        <v>5495</v>
      </c>
      <c r="Y883" s="3711"/>
      <c r="Z883" s="4154"/>
      <c r="AA883" s="3680" t="s">
        <v>5496</v>
      </c>
      <c r="AB883" s="4154" t="s">
        <v>459</v>
      </c>
      <c r="AC883" s="4154">
        <v>2.1438</v>
      </c>
      <c r="AD883" s="4154">
        <f t="shared" ref="AD883:AD898" si="442">AC883*I883</f>
        <v>385.884</v>
      </c>
      <c r="AE883" s="3726"/>
      <c r="AF883" s="4160" t="s">
        <v>2604</v>
      </c>
      <c r="AG883" s="3726" t="s">
        <v>416</v>
      </c>
      <c r="AH883" s="4430"/>
      <c r="AI883" s="4154"/>
      <c r="AJ883" s="4154"/>
      <c r="AK883" s="4430"/>
      <c r="AL883" s="3708"/>
      <c r="AM883" s="3708">
        <f>I883</f>
        <v>180</v>
      </c>
      <c r="AN883" s="4154"/>
      <c r="AO883" s="4154"/>
      <c r="AP883" s="4154">
        <f t="shared" si="396"/>
        <v>180</v>
      </c>
      <c r="AQ883" s="1048"/>
      <c r="AR883" s="4413"/>
      <c r="AS883" s="1048">
        <f t="shared" si="434"/>
        <v>180</v>
      </c>
      <c r="AT883" s="4413"/>
      <c r="AU883" s="1048"/>
      <c r="AV883" s="1048"/>
      <c r="AW883" s="4510">
        <f>I883/6</f>
        <v>30</v>
      </c>
      <c r="AX883" s="1048"/>
      <c r="AY883" s="1048"/>
      <c r="AZ883" s="1048"/>
      <c r="BA883" s="1048"/>
      <c r="BB883" s="1048"/>
      <c r="BC883" s="1048"/>
      <c r="BD883" s="1048"/>
      <c r="BE883" s="1048"/>
      <c r="BF883" s="1048" t="s">
        <v>89</v>
      </c>
      <c r="BG883" s="1048"/>
      <c r="BH883" s="1048">
        <f t="shared" si="398"/>
        <v>30</v>
      </c>
      <c r="BI883" s="1048">
        <f t="shared" si="399"/>
        <v>30</v>
      </c>
      <c r="BJ883" s="1048">
        <f t="shared" si="400"/>
        <v>30</v>
      </c>
      <c r="BK883" s="1048">
        <f t="shared" si="401"/>
        <v>30</v>
      </c>
      <c r="BL883" s="1048">
        <f t="shared" si="402"/>
        <v>30</v>
      </c>
      <c r="BM883" s="1048">
        <f t="shared" si="403"/>
        <v>24</v>
      </c>
      <c r="BN883" s="1048">
        <f t="shared" si="404"/>
        <v>6</v>
      </c>
      <c r="BO883" s="4413"/>
      <c r="BP883" s="4413"/>
      <c r="BQ883" s="4413"/>
      <c r="BR883" s="4413"/>
      <c r="BS883" s="4413"/>
      <c r="BT883" s="4431"/>
      <c r="BU883" s="4432"/>
      <c r="BV883" s="4505">
        <f t="shared" si="405"/>
        <v>180</v>
      </c>
      <c r="BW883" s="4505">
        <f t="shared" si="406"/>
        <v>0</v>
      </c>
      <c r="BX883" s="4554"/>
      <c r="BY883" s="4554"/>
      <c r="BZ883" s="4554"/>
      <c r="CA883" s="4589">
        <f t="shared" ref="CA883:CG883" si="443">CA905-BH883</f>
        <v>29345.6666666667</v>
      </c>
      <c r="CB883" s="4589">
        <f t="shared" si="443"/>
        <v>18049.6666666667</v>
      </c>
      <c r="CC883" s="4589">
        <f t="shared" si="443"/>
        <v>31772.6666666667</v>
      </c>
      <c r="CD883" s="4589">
        <f t="shared" si="443"/>
        <v>25266.6666666667</v>
      </c>
      <c r="CE883" s="4589">
        <f t="shared" si="443"/>
        <v>26836.6666666667</v>
      </c>
      <c r="CF883" s="4589">
        <f t="shared" si="443"/>
        <v>23154.9333333333</v>
      </c>
      <c r="CG883" s="4589">
        <f t="shared" si="443"/>
        <v>21473.1333333333</v>
      </c>
    </row>
    <row r="884" s="4323" customFormat="1" ht="50" customHeight="1" spans="1:85">
      <c r="A884" s="4500">
        <v>46006</v>
      </c>
      <c r="B884" s="4501" t="s">
        <v>1200</v>
      </c>
      <c r="C884" s="3708" t="s">
        <v>1142</v>
      </c>
      <c r="D884" s="4502">
        <v>4500188900</v>
      </c>
      <c r="E884" s="3708" t="s">
        <v>5497</v>
      </c>
      <c r="F884" s="4502" t="s">
        <v>5498</v>
      </c>
      <c r="G884" s="3708" t="s">
        <v>2577</v>
      </c>
      <c r="H884" s="3708" t="s">
        <v>2578</v>
      </c>
      <c r="I884" s="4154">
        <v>720</v>
      </c>
      <c r="J884" s="4154">
        <v>0</v>
      </c>
      <c r="K884" s="4154">
        <v>12</v>
      </c>
      <c r="L884" s="4154">
        <f t="shared" si="394"/>
        <v>60</v>
      </c>
      <c r="M884" s="3707">
        <v>46052</v>
      </c>
      <c r="N884" s="3707">
        <f>M884-4</f>
        <v>46048</v>
      </c>
      <c r="O884" s="3708"/>
      <c r="P884" s="4527" t="s">
        <v>82</v>
      </c>
      <c r="Q884" s="4157">
        <v>720</v>
      </c>
      <c r="R884" s="4157">
        <f t="shared" si="426"/>
        <v>0</v>
      </c>
      <c r="S884" s="4173" t="s">
        <v>2297</v>
      </c>
      <c r="T884" s="4173" t="s">
        <v>321</v>
      </c>
      <c r="U884" s="3726"/>
      <c r="V884" s="3711" t="s">
        <v>5499</v>
      </c>
      <c r="W884" s="3711"/>
      <c r="X884" s="3711" t="s">
        <v>5500</v>
      </c>
      <c r="Y884" s="3711"/>
      <c r="Z884" s="4154"/>
      <c r="AA884" s="3680" t="s">
        <v>5501</v>
      </c>
      <c r="AB884" s="4154" t="s">
        <v>1434</v>
      </c>
      <c r="AC884" s="4154">
        <v>2.0933</v>
      </c>
      <c r="AD884" s="4154">
        <f t="shared" si="442"/>
        <v>1507.176</v>
      </c>
      <c r="AE884" s="3726"/>
      <c r="AF884" s="4160" t="s">
        <v>2604</v>
      </c>
      <c r="AG884" s="3726" t="s">
        <v>416</v>
      </c>
      <c r="AH884" s="4574"/>
      <c r="AI884" s="4154"/>
      <c r="AJ884" s="3708"/>
      <c r="AK884" s="3708"/>
      <c r="AL884" s="4154"/>
      <c r="AM884" s="4154">
        <f>I884</f>
        <v>720</v>
      </c>
      <c r="AN884" s="4154"/>
      <c r="AO884" s="1048"/>
      <c r="AP884" s="1048">
        <f t="shared" si="396"/>
        <v>720</v>
      </c>
      <c r="AQ884" s="1048"/>
      <c r="AR884" s="4413"/>
      <c r="AS884" s="1048">
        <f t="shared" si="434"/>
        <v>720</v>
      </c>
      <c r="AT884" s="4413"/>
      <c r="AU884" s="1048"/>
      <c r="AV884" s="1048"/>
      <c r="AW884" s="4510">
        <f>I884/6</f>
        <v>120</v>
      </c>
      <c r="AX884" s="1048"/>
      <c r="AY884" s="1048"/>
      <c r="AZ884" s="1048"/>
      <c r="BA884" s="1048"/>
      <c r="BB884" s="1048"/>
      <c r="BC884" s="1048"/>
      <c r="BD884" s="1048"/>
      <c r="BE884" s="1048"/>
      <c r="BF884" s="1048" t="s">
        <v>89</v>
      </c>
      <c r="BG884" s="1048"/>
      <c r="BH884" s="1048">
        <f t="shared" si="398"/>
        <v>120</v>
      </c>
      <c r="BI884" s="1048">
        <f t="shared" si="399"/>
        <v>120</v>
      </c>
      <c r="BJ884" s="1048">
        <f t="shared" si="400"/>
        <v>120</v>
      </c>
      <c r="BK884" s="4505">
        <f t="shared" si="401"/>
        <v>120</v>
      </c>
      <c r="BL884" s="4505">
        <f t="shared" si="402"/>
        <v>120</v>
      </c>
      <c r="BM884" s="4562">
        <f t="shared" si="403"/>
        <v>96</v>
      </c>
      <c r="BN884" s="4562">
        <f t="shared" si="404"/>
        <v>24</v>
      </c>
      <c r="BO884" s="4590"/>
      <c r="BP884" s="4591"/>
      <c r="BQ884" s="4591"/>
      <c r="BR884" s="4592"/>
      <c r="BS884" s="4591"/>
      <c r="BT884" s="4591"/>
      <c r="BU884" s="4591"/>
      <c r="BV884" s="4160">
        <f t="shared" si="405"/>
        <v>720</v>
      </c>
      <c r="BW884" s="4160">
        <f t="shared" si="406"/>
        <v>0</v>
      </c>
      <c r="BX884" s="4160"/>
      <c r="BY884" s="4160"/>
      <c r="BZ884" s="4160"/>
      <c r="CA884" s="4589">
        <f t="shared" ref="CA884:CF884" si="444">CA923-BH884</f>
        <v>27831.6666666667</v>
      </c>
      <c r="CB884" s="4589">
        <f t="shared" si="444"/>
        <v>16535.6666666667</v>
      </c>
      <c r="CC884" s="4589">
        <f t="shared" si="444"/>
        <v>30258.6666666667</v>
      </c>
      <c r="CD884" s="4589">
        <f t="shared" si="444"/>
        <v>23752.6666666667</v>
      </c>
      <c r="CE884" s="4589">
        <f t="shared" si="444"/>
        <v>25322.6666666667</v>
      </c>
      <c r="CF884" s="4589">
        <f t="shared" si="444"/>
        <v>21943.7333333333</v>
      </c>
      <c r="CG884" s="4589">
        <f>CG903-BN884</f>
        <v>21284.7333333333</v>
      </c>
    </row>
    <row r="885" s="4316" customFormat="1" ht="50" customHeight="1" spans="1:85">
      <c r="A885" s="4500">
        <v>46022</v>
      </c>
      <c r="B885" s="4501" t="s">
        <v>515</v>
      </c>
      <c r="C885" s="3708" t="s">
        <v>516</v>
      </c>
      <c r="D885" s="4502">
        <v>4500190435</v>
      </c>
      <c r="E885" s="3708"/>
      <c r="F885" s="4502" t="s">
        <v>5502</v>
      </c>
      <c r="G885" s="3708" t="s">
        <v>2577</v>
      </c>
      <c r="H885" s="3708" t="s">
        <v>2578</v>
      </c>
      <c r="I885" s="4593">
        <v>2004</v>
      </c>
      <c r="J885" s="4154">
        <v>0</v>
      </c>
      <c r="K885" s="4154">
        <v>12</v>
      </c>
      <c r="L885" s="4154">
        <f t="shared" si="394"/>
        <v>167</v>
      </c>
      <c r="M885" s="4503">
        <v>46055</v>
      </c>
      <c r="N885" s="4553">
        <v>46051</v>
      </c>
      <c r="O885" s="4117"/>
      <c r="P885" s="4527" t="s">
        <v>82</v>
      </c>
      <c r="Q885" s="4157">
        <v>2004</v>
      </c>
      <c r="R885" s="4157">
        <f t="shared" si="426"/>
        <v>0</v>
      </c>
      <c r="S885" s="4173" t="s">
        <v>2297</v>
      </c>
      <c r="T885" s="4173" t="s">
        <v>321</v>
      </c>
      <c r="U885" s="3726" t="s">
        <v>2362</v>
      </c>
      <c r="V885" s="3711" t="s">
        <v>824</v>
      </c>
      <c r="W885" s="3711"/>
      <c r="X885" s="3711" t="s">
        <v>5503</v>
      </c>
      <c r="Y885" s="3711"/>
      <c r="Z885" s="4154"/>
      <c r="AA885" s="3680" t="s">
        <v>5504</v>
      </c>
      <c r="AB885" s="4154" t="s">
        <v>459</v>
      </c>
      <c r="AC885" s="4154">
        <v>2.0887</v>
      </c>
      <c r="AD885" s="4154">
        <f t="shared" si="442"/>
        <v>4185.7548</v>
      </c>
      <c r="AE885" s="3726"/>
      <c r="AF885" s="3708" t="s">
        <v>2604</v>
      </c>
      <c r="AG885" s="3726" t="s">
        <v>416</v>
      </c>
      <c r="AH885" s="4154"/>
      <c r="AI885" s="4154"/>
      <c r="AJ885" s="3708"/>
      <c r="AK885" s="3708"/>
      <c r="AL885" s="4154"/>
      <c r="AM885" s="3708">
        <f>I885</f>
        <v>2004</v>
      </c>
      <c r="AN885" s="4154"/>
      <c r="AO885" s="1048"/>
      <c r="AP885" s="4154">
        <f t="shared" si="396"/>
        <v>2004</v>
      </c>
      <c r="AQ885" s="1048"/>
      <c r="AR885" s="980"/>
      <c r="AS885" s="1048"/>
      <c r="AT885" s="980"/>
      <c r="AU885" s="1048"/>
      <c r="AV885" s="1048"/>
      <c r="AW885" s="1048">
        <f>I885/6</f>
        <v>334</v>
      </c>
      <c r="AX885" s="1048"/>
      <c r="AY885" s="1048"/>
      <c r="AZ885" s="1048"/>
      <c r="BA885" s="1048"/>
      <c r="BB885" s="1048"/>
      <c r="BC885" s="1048"/>
      <c r="BD885" s="1048"/>
      <c r="BE885" s="1048"/>
      <c r="BF885" s="1048" t="s">
        <v>89</v>
      </c>
      <c r="BG885" s="1048"/>
      <c r="BH885" s="1048">
        <f t="shared" si="398"/>
        <v>334</v>
      </c>
      <c r="BI885" s="1048">
        <f t="shared" si="399"/>
        <v>334</v>
      </c>
      <c r="BJ885" s="1048">
        <f t="shared" si="400"/>
        <v>334</v>
      </c>
      <c r="BK885" s="1048">
        <f t="shared" si="401"/>
        <v>334</v>
      </c>
      <c r="BL885" s="1048">
        <f t="shared" si="402"/>
        <v>334</v>
      </c>
      <c r="BM885" s="1048">
        <f t="shared" si="403"/>
        <v>267.2</v>
      </c>
      <c r="BN885" s="1048">
        <f t="shared" si="404"/>
        <v>66.8</v>
      </c>
      <c r="BO885" s="4594"/>
      <c r="BP885" s="4595"/>
      <c r="BQ885" s="4595"/>
      <c r="BR885" s="4595"/>
      <c r="BS885" s="4595"/>
      <c r="BT885" s="4595"/>
      <c r="BU885" s="4595"/>
      <c r="BV885" s="4596">
        <f t="shared" si="405"/>
        <v>2004</v>
      </c>
      <c r="BW885" s="4597">
        <f t="shared" si="406"/>
        <v>0</v>
      </c>
      <c r="BX885" s="4598"/>
      <c r="BY885" s="4598"/>
      <c r="BZ885" s="4598"/>
      <c r="CA885" s="4511"/>
      <c r="CC885" s="4512"/>
      <c r="CD885" s="4511"/>
    </row>
    <row r="886" s="4316" customFormat="1" ht="50" customHeight="1" spans="1:85">
      <c r="A886" s="4500">
        <v>45994</v>
      </c>
      <c r="B886" s="4501" t="s">
        <v>1670</v>
      </c>
      <c r="C886" s="3708" t="s">
        <v>471</v>
      </c>
      <c r="D886" s="4502">
        <v>4500187795</v>
      </c>
      <c r="E886" s="3708">
        <v>55762239</v>
      </c>
      <c r="F886" s="4502" t="s">
        <v>5505</v>
      </c>
      <c r="G886" s="3708" t="s">
        <v>2627</v>
      </c>
      <c r="H886" s="4154" t="s">
        <v>2591</v>
      </c>
      <c r="I886" s="4154">
        <v>1200</v>
      </c>
      <c r="J886" s="4154">
        <v>0</v>
      </c>
      <c r="K886" s="4154">
        <v>24</v>
      </c>
      <c r="L886" s="4154">
        <f t="shared" si="394"/>
        <v>50</v>
      </c>
      <c r="M886" s="4503">
        <v>46057</v>
      </c>
      <c r="N886" s="4553">
        <f>M886-4</f>
        <v>46053</v>
      </c>
      <c r="O886" s="4117"/>
      <c r="P886" s="4527" t="s">
        <v>82</v>
      </c>
      <c r="Q886" s="4157">
        <v>1200</v>
      </c>
      <c r="R886" s="4157">
        <f t="shared" si="426"/>
        <v>0</v>
      </c>
      <c r="S886" s="4173" t="s">
        <v>2297</v>
      </c>
      <c r="T886" s="4173" t="s">
        <v>321</v>
      </c>
      <c r="U886" s="3726"/>
      <c r="V886" s="3711" t="s">
        <v>510</v>
      </c>
      <c r="W886" s="3711"/>
      <c r="X886" s="3711" t="s">
        <v>98</v>
      </c>
      <c r="Y886" s="3711" t="s">
        <v>5506</v>
      </c>
      <c r="Z886" s="4154"/>
      <c r="AA886" s="3680" t="s">
        <v>5507</v>
      </c>
      <c r="AB886" s="4154" t="s">
        <v>5106</v>
      </c>
      <c r="AC886" s="3699">
        <v>2.0845</v>
      </c>
      <c r="AD886" s="4154">
        <f t="shared" si="442"/>
        <v>2501.4</v>
      </c>
      <c r="AE886" s="3726"/>
      <c r="AF886" s="4160" t="s">
        <v>3078</v>
      </c>
      <c r="AG886" s="3726" t="s">
        <v>416</v>
      </c>
      <c r="AH886" s="4430"/>
      <c r="AI886" s="4154"/>
      <c r="AJ886" s="4154"/>
      <c r="AK886" s="4430"/>
      <c r="AL886" s="3708"/>
      <c r="AM886" s="3708">
        <f>I886</f>
        <v>1200</v>
      </c>
      <c r="AN886" s="4154"/>
      <c r="AO886" s="4154"/>
      <c r="AP886" s="4154">
        <f t="shared" si="396"/>
        <v>1200</v>
      </c>
      <c r="AQ886" s="1048"/>
      <c r="AR886" s="4413"/>
      <c r="AS886" s="1048">
        <f t="shared" ref="AS886:AS897" si="445">I886</f>
        <v>1200</v>
      </c>
      <c r="AT886" s="4413"/>
      <c r="AU886" s="1048"/>
      <c r="AV886" s="1048"/>
      <c r="AW886" s="1048"/>
      <c r="AX886" s="1048"/>
      <c r="AY886" s="1048"/>
      <c r="AZ886" s="1048"/>
      <c r="BA886" s="1048"/>
      <c r="BB886" s="1048"/>
      <c r="BC886" s="1048"/>
      <c r="BD886" s="1048"/>
      <c r="BE886" s="1048"/>
      <c r="BF886" s="1048" t="s">
        <v>89</v>
      </c>
      <c r="BG886" s="1048"/>
      <c r="BH886" s="1048">
        <f t="shared" si="398"/>
        <v>200</v>
      </c>
      <c r="BI886" s="1048">
        <f t="shared" si="399"/>
        <v>200</v>
      </c>
      <c r="BJ886" s="1048">
        <f t="shared" si="400"/>
        <v>200</v>
      </c>
      <c r="BK886" s="1048">
        <f t="shared" si="401"/>
        <v>200</v>
      </c>
      <c r="BL886" s="1048">
        <f t="shared" si="402"/>
        <v>200</v>
      </c>
      <c r="BM886" s="1048">
        <f t="shared" si="403"/>
        <v>160</v>
      </c>
      <c r="BN886" s="1048">
        <f t="shared" si="404"/>
        <v>40</v>
      </c>
      <c r="BO886" s="4413"/>
      <c r="BP886" s="4413"/>
      <c r="BQ886" s="4413"/>
      <c r="BR886" s="4413"/>
      <c r="BS886" s="4413"/>
      <c r="BT886" s="4431"/>
      <c r="BU886" s="4432"/>
      <c r="BV886" s="4505">
        <f t="shared" si="405"/>
        <v>1200</v>
      </c>
      <c r="BW886" s="4506">
        <f t="shared" si="406"/>
        <v>0</v>
      </c>
      <c r="BX886" s="4554"/>
      <c r="BY886" s="4554"/>
      <c r="BZ886" s="4554"/>
      <c r="CA886" s="4555">
        <f t="shared" ref="CA886:CF886" si="446">CA883-BH886</f>
        <v>29145.6666666667</v>
      </c>
      <c r="CB886" s="4555">
        <f t="shared" si="446"/>
        <v>17849.6666666667</v>
      </c>
      <c r="CC886" s="4555">
        <f t="shared" si="446"/>
        <v>31572.6666666667</v>
      </c>
      <c r="CD886" s="4555">
        <f t="shared" si="446"/>
        <v>25066.6666666667</v>
      </c>
      <c r="CE886" s="4555">
        <f t="shared" si="446"/>
        <v>26636.6666666667</v>
      </c>
      <c r="CF886" s="4555">
        <f t="shared" si="446"/>
        <v>22994.9333333333</v>
      </c>
      <c r="CG886" s="4555">
        <f>CG905-BN886</f>
        <v>21439.1333333333</v>
      </c>
    </row>
    <row r="887" s="4316" customFormat="1" ht="50" customHeight="1" spans="1:85">
      <c r="A887" s="4500">
        <v>45994</v>
      </c>
      <c r="B887" s="4501" t="s">
        <v>461</v>
      </c>
      <c r="C887" s="3708" t="s">
        <v>341</v>
      </c>
      <c r="D887" s="4502">
        <v>4500187897</v>
      </c>
      <c r="E887" s="3708">
        <v>50762019</v>
      </c>
      <c r="F887" s="4502" t="s">
        <v>5508</v>
      </c>
      <c r="G887" s="3708" t="s">
        <v>2627</v>
      </c>
      <c r="H887" s="4154" t="s">
        <v>2591</v>
      </c>
      <c r="I887" s="4154">
        <v>1200</v>
      </c>
      <c r="J887" s="4154">
        <v>0</v>
      </c>
      <c r="K887" s="4154">
        <v>24</v>
      </c>
      <c r="L887" s="4154">
        <f t="shared" si="394"/>
        <v>50</v>
      </c>
      <c r="M887" s="4503">
        <v>46057</v>
      </c>
      <c r="N887" s="4553">
        <f>M887-4</f>
        <v>46053</v>
      </c>
      <c r="O887" s="4117"/>
      <c r="P887" s="4527" t="s">
        <v>82</v>
      </c>
      <c r="Q887" s="4157">
        <v>1200</v>
      </c>
      <c r="R887" s="4157">
        <f t="shared" si="426"/>
        <v>0</v>
      </c>
      <c r="S887" s="4173" t="s">
        <v>2297</v>
      </c>
      <c r="T887" s="4173" t="s">
        <v>321</v>
      </c>
      <c r="U887" s="3726" t="s">
        <v>5343</v>
      </c>
      <c r="V887" s="3711" t="s">
        <v>510</v>
      </c>
      <c r="W887" s="3711"/>
      <c r="X887" s="3711" t="s">
        <v>98</v>
      </c>
      <c r="Y887" s="3711" t="s">
        <v>5506</v>
      </c>
      <c r="Z887" s="4154"/>
      <c r="AA887" s="3680" t="s">
        <v>5509</v>
      </c>
      <c r="AB887" s="4154" t="s">
        <v>5106</v>
      </c>
      <c r="AC887" s="3699">
        <v>2.0845</v>
      </c>
      <c r="AD887" s="4154">
        <f t="shared" si="442"/>
        <v>2501.4</v>
      </c>
      <c r="AE887" s="3726"/>
      <c r="AF887" s="3708" t="s">
        <v>3078</v>
      </c>
      <c r="AG887" s="3726" t="s">
        <v>416</v>
      </c>
      <c r="AH887" s="4430"/>
      <c r="AI887" s="4154"/>
      <c r="AJ887" s="4154"/>
      <c r="AK887" s="4430"/>
      <c r="AL887" s="3708"/>
      <c r="AM887" s="3708">
        <f>I887</f>
        <v>1200</v>
      </c>
      <c r="AN887" s="4154"/>
      <c r="AO887" s="4154"/>
      <c r="AP887" s="4154">
        <f t="shared" si="396"/>
        <v>1200</v>
      </c>
      <c r="AQ887" s="1048"/>
      <c r="AR887" s="4413"/>
      <c r="AS887" s="1048">
        <f t="shared" si="445"/>
        <v>1200</v>
      </c>
      <c r="AT887" s="4413"/>
      <c r="AU887" s="1048"/>
      <c r="AV887" s="1048"/>
      <c r="AW887" s="1048"/>
      <c r="AX887" s="1048"/>
      <c r="AY887" s="1048"/>
      <c r="AZ887" s="1048"/>
      <c r="BA887" s="1048"/>
      <c r="BB887" s="1048"/>
      <c r="BC887" s="1048"/>
      <c r="BD887" s="1048"/>
      <c r="BE887" s="1048"/>
      <c r="BF887" s="1048" t="s">
        <v>89</v>
      </c>
      <c r="BG887" s="1048"/>
      <c r="BH887" s="1048">
        <f t="shared" si="398"/>
        <v>200</v>
      </c>
      <c r="BI887" s="1048">
        <f t="shared" si="399"/>
        <v>200</v>
      </c>
      <c r="BJ887" s="1048">
        <f t="shared" si="400"/>
        <v>200</v>
      </c>
      <c r="BK887" s="1048">
        <f t="shared" si="401"/>
        <v>200</v>
      </c>
      <c r="BL887" s="1048">
        <f t="shared" si="402"/>
        <v>200</v>
      </c>
      <c r="BM887" s="1048">
        <f t="shared" si="403"/>
        <v>160</v>
      </c>
      <c r="BN887" s="1048">
        <f t="shared" si="404"/>
        <v>40</v>
      </c>
      <c r="BO887" s="4413"/>
      <c r="BP887" s="4413"/>
      <c r="BQ887" s="4413"/>
      <c r="BR887" s="4413"/>
      <c r="BS887" s="4413"/>
      <c r="BT887" s="4431"/>
      <c r="BU887" s="4432"/>
      <c r="BV887" s="4505">
        <f t="shared" si="405"/>
        <v>1200</v>
      </c>
      <c r="BW887" s="4506">
        <f t="shared" si="406"/>
        <v>0</v>
      </c>
      <c r="BX887" s="4554"/>
      <c r="BY887" s="4554"/>
      <c r="BZ887" s="4554"/>
      <c r="CA887" s="4555">
        <f t="shared" ref="CA887:CG887" si="447">CA886-BH887</f>
        <v>28945.6666666667</v>
      </c>
      <c r="CB887" s="4555">
        <f t="shared" si="447"/>
        <v>17649.6666666667</v>
      </c>
      <c r="CC887" s="4555">
        <f t="shared" si="447"/>
        <v>31372.6666666667</v>
      </c>
      <c r="CD887" s="4555">
        <f t="shared" si="447"/>
        <v>24866.6666666667</v>
      </c>
      <c r="CE887" s="4555">
        <f t="shared" si="447"/>
        <v>26436.6666666667</v>
      </c>
      <c r="CF887" s="4555">
        <f t="shared" si="447"/>
        <v>22834.9333333333</v>
      </c>
      <c r="CG887" s="4555">
        <f t="shared" si="447"/>
        <v>21399.1333333333</v>
      </c>
    </row>
    <row r="888" s="4316" customFormat="1" ht="50" customHeight="1" spans="1:85">
      <c r="A888" s="4500">
        <v>46015</v>
      </c>
      <c r="B888" s="4501" t="s">
        <v>90</v>
      </c>
      <c r="C888" s="3708" t="s">
        <v>91</v>
      </c>
      <c r="D888" s="4502">
        <v>4500189850</v>
      </c>
      <c r="E888" s="3708" t="s">
        <v>5510</v>
      </c>
      <c r="F888" s="4502" t="s">
        <v>5511</v>
      </c>
      <c r="G888" s="3708" t="s">
        <v>2719</v>
      </c>
      <c r="H888" s="4154" t="s">
        <v>2591</v>
      </c>
      <c r="I888" s="4593">
        <v>1002</v>
      </c>
      <c r="J888" s="4154">
        <v>0</v>
      </c>
      <c r="K888" s="4154">
        <v>6</v>
      </c>
      <c r="L888" s="4154">
        <f t="shared" si="394"/>
        <v>167</v>
      </c>
      <c r="M888" s="4503">
        <v>46058</v>
      </c>
      <c r="N888" s="4553">
        <v>46055</v>
      </c>
      <c r="O888" s="4117"/>
      <c r="P888" s="4527" t="s">
        <v>82</v>
      </c>
      <c r="Q888" s="4157">
        <v>1002</v>
      </c>
      <c r="R888" s="4157">
        <f t="shared" si="426"/>
        <v>0</v>
      </c>
      <c r="S888" s="4173" t="s">
        <v>2297</v>
      </c>
      <c r="T888" s="4173" t="s">
        <v>321</v>
      </c>
      <c r="U888" s="3726" t="s">
        <v>401</v>
      </c>
      <c r="V888" s="3711" t="s">
        <v>2386</v>
      </c>
      <c r="W888" s="3711"/>
      <c r="X888" s="3711" t="s">
        <v>98</v>
      </c>
      <c r="Y888" s="3711" t="s">
        <v>2387</v>
      </c>
      <c r="Z888" s="4154"/>
      <c r="AA888" s="3680" t="s">
        <v>5512</v>
      </c>
      <c r="AB888" s="4154" t="s">
        <v>101</v>
      </c>
      <c r="AC888" s="4154">
        <v>1.2596</v>
      </c>
      <c r="AD888" s="4154">
        <f t="shared" si="442"/>
        <v>1262.1192</v>
      </c>
      <c r="AE888" s="3726"/>
      <c r="AF888" s="4160" t="s">
        <v>3078</v>
      </c>
      <c r="AG888" s="3726" t="s">
        <v>416</v>
      </c>
      <c r="AH888" s="4154"/>
      <c r="AI888" s="4154"/>
      <c r="AJ888" s="4154">
        <f>I888</f>
        <v>1002</v>
      </c>
      <c r="AK888" s="3708"/>
      <c r="AL888" s="4154"/>
      <c r="AM888" s="4154"/>
      <c r="AN888" s="4154"/>
      <c r="AO888" s="1048"/>
      <c r="AP888" s="4154">
        <f t="shared" si="396"/>
        <v>1002</v>
      </c>
      <c r="AQ888" s="1048"/>
      <c r="AR888" s="1048"/>
      <c r="AS888" s="1048">
        <f t="shared" si="445"/>
        <v>1002</v>
      </c>
      <c r="AT888" s="1048"/>
      <c r="AU888" s="1048"/>
      <c r="AV888" s="1048"/>
      <c r="AW888" s="1048"/>
      <c r="AX888" s="1048"/>
      <c r="AY888" s="1048"/>
      <c r="AZ888" s="1048"/>
      <c r="BA888" s="1048"/>
      <c r="BB888" s="1048"/>
      <c r="BC888" s="1048"/>
      <c r="BD888" s="1048"/>
      <c r="BE888" s="1048"/>
      <c r="BF888" s="1048" t="s">
        <v>89</v>
      </c>
      <c r="BG888" s="1048"/>
      <c r="BH888" s="4510">
        <f t="shared" si="398"/>
        <v>167</v>
      </c>
      <c r="BI888" s="4510">
        <f t="shared" si="399"/>
        <v>167</v>
      </c>
      <c r="BJ888" s="4510">
        <f t="shared" si="400"/>
        <v>167</v>
      </c>
      <c r="BK888" s="4510">
        <f t="shared" si="401"/>
        <v>167</v>
      </c>
      <c r="BL888" s="4510">
        <f t="shared" si="402"/>
        <v>167</v>
      </c>
      <c r="BM888" s="4510">
        <f t="shared" si="403"/>
        <v>133.6</v>
      </c>
      <c r="BN888" s="4510">
        <f t="shared" si="404"/>
        <v>33.4</v>
      </c>
      <c r="BO888" s="4554"/>
      <c r="BP888" s="4555"/>
      <c r="BQ888" s="4555"/>
      <c r="BR888" s="4555"/>
      <c r="BS888" s="4555"/>
      <c r="BT888" s="4555"/>
      <c r="BU888" s="4555"/>
      <c r="BV888" s="4525">
        <f t="shared" si="405"/>
        <v>1002</v>
      </c>
      <c r="BW888" s="4526">
        <f t="shared" si="406"/>
        <v>0</v>
      </c>
      <c r="BX888" s="4323"/>
      <c r="BY888" s="4323"/>
      <c r="BZ888" s="4323"/>
      <c r="CA888" s="4511"/>
      <c r="CC888" s="4512"/>
      <c r="CD888" s="4511"/>
    </row>
    <row r="889" s="4316" customFormat="1" ht="50" customHeight="1" spans="1:85">
      <c r="A889" s="4500">
        <v>46015</v>
      </c>
      <c r="B889" s="4501" t="s">
        <v>90</v>
      </c>
      <c r="C889" s="3708" t="s">
        <v>91</v>
      </c>
      <c r="D889" s="4502">
        <v>4500189851</v>
      </c>
      <c r="E889" s="3708">
        <v>951857</v>
      </c>
      <c r="F889" s="4502" t="s">
        <v>5513</v>
      </c>
      <c r="G889" s="3708" t="s">
        <v>2719</v>
      </c>
      <c r="H889" s="4154" t="s">
        <v>2591</v>
      </c>
      <c r="I889" s="4593">
        <v>1200</v>
      </c>
      <c r="J889" s="4154">
        <v>0</v>
      </c>
      <c r="K889" s="4154">
        <v>6</v>
      </c>
      <c r="L889" s="4154">
        <f t="shared" si="394"/>
        <v>200</v>
      </c>
      <c r="M889" s="4503">
        <v>46058</v>
      </c>
      <c r="N889" s="4553">
        <v>46055</v>
      </c>
      <c r="O889" s="4117"/>
      <c r="P889" s="4527" t="s">
        <v>82</v>
      </c>
      <c r="Q889" s="4157">
        <v>1200</v>
      </c>
      <c r="R889" s="4157">
        <f t="shared" si="426"/>
        <v>0</v>
      </c>
      <c r="S889" s="4173" t="s">
        <v>2297</v>
      </c>
      <c r="T889" s="4173" t="s">
        <v>321</v>
      </c>
      <c r="U889" s="3726" t="s">
        <v>2931</v>
      </c>
      <c r="V889" s="3711" t="s">
        <v>2386</v>
      </c>
      <c r="W889" s="3711"/>
      <c r="X889" s="3711" t="s">
        <v>98</v>
      </c>
      <c r="Y889" s="3711" t="s">
        <v>2387</v>
      </c>
      <c r="Z889" s="4154"/>
      <c r="AA889" s="3680" t="s">
        <v>5514</v>
      </c>
      <c r="AB889" s="4154" t="s">
        <v>101</v>
      </c>
      <c r="AC889" s="4154">
        <v>1.2293</v>
      </c>
      <c r="AD889" s="4154">
        <f t="shared" si="442"/>
        <v>1475.16</v>
      </c>
      <c r="AE889" s="3726"/>
      <c r="AF889" s="4160" t="s">
        <v>3078</v>
      </c>
      <c r="AG889" s="3726" t="s">
        <v>416</v>
      </c>
      <c r="AH889" s="4154"/>
      <c r="AI889" s="4154"/>
      <c r="AJ889" s="4154">
        <f>I889</f>
        <v>1200</v>
      </c>
      <c r="AK889" s="3708"/>
      <c r="AL889" s="4154"/>
      <c r="AM889" s="4154"/>
      <c r="AN889" s="4154"/>
      <c r="AO889" s="1048"/>
      <c r="AP889" s="4509">
        <f t="shared" si="396"/>
        <v>1200</v>
      </c>
      <c r="AQ889" s="1048"/>
      <c r="AR889" s="1048"/>
      <c r="AS889" s="1048">
        <f t="shared" si="445"/>
        <v>1200</v>
      </c>
      <c r="AT889" s="1048"/>
      <c r="AU889" s="1048"/>
      <c r="AV889" s="1048"/>
      <c r="AW889" s="1048"/>
      <c r="AX889" s="1048"/>
      <c r="AY889" s="1048"/>
      <c r="AZ889" s="1048"/>
      <c r="BA889" s="1048"/>
      <c r="BB889" s="1048"/>
      <c r="BC889" s="1048"/>
      <c r="BD889" s="1048"/>
      <c r="BE889" s="1048"/>
      <c r="BF889" s="1048" t="s">
        <v>89</v>
      </c>
      <c r="BG889" s="1048"/>
      <c r="BH889" s="4510">
        <f t="shared" si="398"/>
        <v>200</v>
      </c>
      <c r="BI889" s="4510">
        <f t="shared" si="399"/>
        <v>200</v>
      </c>
      <c r="BJ889" s="4510">
        <f t="shared" si="400"/>
        <v>200</v>
      </c>
      <c r="BK889" s="4510">
        <f t="shared" si="401"/>
        <v>200</v>
      </c>
      <c r="BL889" s="4510">
        <f t="shared" si="402"/>
        <v>200</v>
      </c>
      <c r="BM889" s="4510">
        <f t="shared" si="403"/>
        <v>160</v>
      </c>
      <c r="BN889" s="4510">
        <f t="shared" si="404"/>
        <v>40</v>
      </c>
      <c r="BO889" s="4554"/>
      <c r="BP889" s="4555"/>
      <c r="BQ889" s="4555"/>
      <c r="BR889" s="4555"/>
      <c r="BS889" s="4555"/>
      <c r="BT889" s="4555"/>
      <c r="BU889" s="4555"/>
      <c r="BV889" s="4586">
        <f t="shared" si="405"/>
        <v>1200</v>
      </c>
      <c r="BW889" s="4587">
        <f t="shared" si="406"/>
        <v>0</v>
      </c>
      <c r="BX889" s="4323"/>
      <c r="BY889" s="4323"/>
      <c r="BZ889" s="4323"/>
      <c r="CA889" s="4511"/>
      <c r="CC889" s="4512"/>
      <c r="CD889" s="4511"/>
    </row>
    <row r="890" s="4316" customFormat="1" ht="50" customHeight="1" spans="1:85">
      <c r="A890" s="4500">
        <v>46387</v>
      </c>
      <c r="B890" s="4501" t="s">
        <v>1777</v>
      </c>
      <c r="C890" s="3708" t="s">
        <v>1142</v>
      </c>
      <c r="D890" s="4502">
        <v>4500190081</v>
      </c>
      <c r="E890" s="3708" t="s">
        <v>5515</v>
      </c>
      <c r="F890" s="4502" t="s">
        <v>5516</v>
      </c>
      <c r="G890" s="3708" t="s">
        <v>2577</v>
      </c>
      <c r="H890" s="3708" t="s">
        <v>2578</v>
      </c>
      <c r="I890" s="4593">
        <v>1080</v>
      </c>
      <c r="J890" s="4154">
        <v>0</v>
      </c>
      <c r="K890" s="4154">
        <v>12</v>
      </c>
      <c r="L890" s="4154">
        <f t="shared" si="394"/>
        <v>90</v>
      </c>
      <c r="M890" s="4503">
        <v>46055</v>
      </c>
      <c r="N890" s="4553">
        <v>46051</v>
      </c>
      <c r="O890" s="4117"/>
      <c r="P890" s="4527" t="s">
        <v>82</v>
      </c>
      <c r="Q890" s="4157">
        <v>1080</v>
      </c>
      <c r="R890" s="4157">
        <f t="shared" si="426"/>
        <v>0</v>
      </c>
      <c r="S890" s="4157" t="s">
        <v>2297</v>
      </c>
      <c r="T890" s="4173" t="s">
        <v>321</v>
      </c>
      <c r="U890" s="3726" t="s">
        <v>2333</v>
      </c>
      <c r="V890" s="3711" t="s">
        <v>5499</v>
      </c>
      <c r="W890" s="3711"/>
      <c r="X890" s="3711" t="s">
        <v>5517</v>
      </c>
      <c r="Y890" s="3711"/>
      <c r="Z890" s="4154"/>
      <c r="AA890" s="3680" t="s">
        <v>5518</v>
      </c>
      <c r="AB890" s="4154" t="s">
        <v>1434</v>
      </c>
      <c r="AC890" s="4154">
        <v>2.1392</v>
      </c>
      <c r="AD890" s="4154">
        <f t="shared" si="442"/>
        <v>2310.336</v>
      </c>
      <c r="AE890" s="3726"/>
      <c r="AF890" s="3708" t="s">
        <v>2604</v>
      </c>
      <c r="AG890" s="3726" t="s">
        <v>416</v>
      </c>
      <c r="AH890" s="4154"/>
      <c r="AI890" s="4154"/>
      <c r="AJ890" s="3708"/>
      <c r="AK890" s="3708"/>
      <c r="AL890" s="4154"/>
      <c r="AM890" s="3708">
        <f>I890</f>
        <v>1080</v>
      </c>
      <c r="AN890" s="4154"/>
      <c r="AO890" s="1048"/>
      <c r="AP890" s="4154">
        <f t="shared" si="396"/>
        <v>1080</v>
      </c>
      <c r="AQ890" s="1048"/>
      <c r="AR890" s="1040"/>
      <c r="AS890" s="1048">
        <f t="shared" si="445"/>
        <v>1080</v>
      </c>
      <c r="AT890" s="1040"/>
      <c r="AU890" s="1048"/>
      <c r="AV890" s="1048"/>
      <c r="AW890" s="1048">
        <f>I890/6</f>
        <v>180</v>
      </c>
      <c r="AX890" s="1048"/>
      <c r="AY890" s="1048"/>
      <c r="AZ890" s="1048"/>
      <c r="BA890" s="1048"/>
      <c r="BB890" s="1048"/>
      <c r="BC890" s="1048"/>
      <c r="BD890" s="1048"/>
      <c r="BE890" s="1048"/>
      <c r="BF890" s="1048" t="s">
        <v>89</v>
      </c>
      <c r="BG890" s="1048"/>
      <c r="BH890" s="1048">
        <f t="shared" si="398"/>
        <v>180</v>
      </c>
      <c r="BI890" s="1048">
        <f t="shared" si="399"/>
        <v>180</v>
      </c>
      <c r="BJ890" s="1048">
        <f t="shared" si="400"/>
        <v>180</v>
      </c>
      <c r="BK890" s="1048">
        <f t="shared" si="401"/>
        <v>180</v>
      </c>
      <c r="BL890" s="1048">
        <f t="shared" si="402"/>
        <v>180</v>
      </c>
      <c r="BM890" s="1048">
        <f t="shared" si="403"/>
        <v>144</v>
      </c>
      <c r="BN890" s="1048">
        <f t="shared" si="404"/>
        <v>36</v>
      </c>
      <c r="BO890" s="4569"/>
      <c r="BP890" s="4565"/>
      <c r="BQ890" s="4565"/>
      <c r="BR890" s="4565"/>
      <c r="BS890" s="4565"/>
      <c r="BT890" s="4565"/>
      <c r="BU890" s="4565"/>
      <c r="BV890" s="4505">
        <f t="shared" si="405"/>
        <v>1080</v>
      </c>
      <c r="BW890" s="4505">
        <f t="shared" si="406"/>
        <v>0</v>
      </c>
      <c r="BX890" s="4323"/>
      <c r="BY890" s="4323"/>
      <c r="BZ890" s="4323"/>
      <c r="CA890" s="4511"/>
      <c r="CC890" s="4512"/>
      <c r="CD890" s="4511"/>
    </row>
    <row r="891" s="4316" customFormat="1" ht="50" customHeight="1" spans="1:85">
      <c r="A891" s="4500">
        <v>45996</v>
      </c>
      <c r="B891" s="4501" t="s">
        <v>2914</v>
      </c>
      <c r="C891" s="3708" t="s">
        <v>341</v>
      </c>
      <c r="D891" s="4502">
        <v>4500188247</v>
      </c>
      <c r="E891" s="3708" t="s">
        <v>5519</v>
      </c>
      <c r="F891" s="4502" t="s">
        <v>5520</v>
      </c>
      <c r="G891" s="3708" t="s">
        <v>2917</v>
      </c>
      <c r="H891" s="3708" t="s">
        <v>2620</v>
      </c>
      <c r="I891" s="4113">
        <v>2400</v>
      </c>
      <c r="J891" s="3699">
        <v>0</v>
      </c>
      <c r="K891" s="3699">
        <v>16</v>
      </c>
      <c r="L891" s="3699">
        <f t="shared" si="394"/>
        <v>150</v>
      </c>
      <c r="M891" s="4503">
        <v>46057</v>
      </c>
      <c r="N891" s="4553">
        <v>46053</v>
      </c>
      <c r="O891" s="4117"/>
      <c r="P891" s="4527" t="s">
        <v>82</v>
      </c>
      <c r="Q891" s="4157">
        <v>2400</v>
      </c>
      <c r="R891" s="4157">
        <f t="shared" si="426"/>
        <v>0</v>
      </c>
      <c r="S891" s="4173" t="s">
        <v>2297</v>
      </c>
      <c r="T891" s="4173" t="s">
        <v>321</v>
      </c>
      <c r="U891" s="3726" t="s">
        <v>153</v>
      </c>
      <c r="V891" s="3711" t="s">
        <v>5521</v>
      </c>
      <c r="W891" s="3711"/>
      <c r="X891" s="3711" t="s">
        <v>5522</v>
      </c>
      <c r="Y891" s="3711"/>
      <c r="Z891" s="4154"/>
      <c r="AA891" s="3680" t="s">
        <v>5523</v>
      </c>
      <c r="AB891" s="4154" t="s">
        <v>5106</v>
      </c>
      <c r="AC891" s="3699">
        <v>2.1593</v>
      </c>
      <c r="AD891" s="3699">
        <f t="shared" si="442"/>
        <v>5182.32</v>
      </c>
      <c r="AE891" s="3726"/>
      <c r="AF891" s="4160" t="s">
        <v>2917</v>
      </c>
      <c r="AG891" s="3726" t="s">
        <v>416</v>
      </c>
      <c r="AH891" s="4430"/>
      <c r="AI891" s="4154"/>
      <c r="AJ891" s="4154">
        <f>I891</f>
        <v>2400</v>
      </c>
      <c r="AK891" s="4430"/>
      <c r="AL891" s="3708"/>
      <c r="AM891" s="3708"/>
      <c r="AN891" s="4154"/>
      <c r="AO891" s="4154"/>
      <c r="AP891" s="4154">
        <f t="shared" si="396"/>
        <v>2400</v>
      </c>
      <c r="AQ891" s="1048"/>
      <c r="AR891" s="4413"/>
      <c r="AS891" s="1048">
        <f t="shared" si="445"/>
        <v>2400</v>
      </c>
      <c r="AT891" s="4413"/>
      <c r="AU891" s="1048"/>
      <c r="AV891" s="1048"/>
      <c r="AW891" s="1048"/>
      <c r="AX891" s="1048"/>
      <c r="AY891" s="1048"/>
      <c r="AZ891" s="1048"/>
      <c r="BA891" s="1048">
        <f>I891/4</f>
        <v>600</v>
      </c>
      <c r="BB891" s="1048"/>
      <c r="BC891" s="1048"/>
      <c r="BD891" s="1048"/>
      <c r="BE891" s="1048"/>
      <c r="BF891" s="1048" t="s">
        <v>89</v>
      </c>
      <c r="BG891" s="1048"/>
      <c r="BH891" s="1048">
        <f t="shared" si="398"/>
        <v>400</v>
      </c>
      <c r="BI891" s="1048">
        <f t="shared" si="399"/>
        <v>400</v>
      </c>
      <c r="BJ891" s="1048">
        <f t="shared" si="400"/>
        <v>400</v>
      </c>
      <c r="BK891" s="4415">
        <f t="shared" si="401"/>
        <v>400</v>
      </c>
      <c r="BL891" s="4505">
        <f t="shared" si="402"/>
        <v>400</v>
      </c>
      <c r="BM891" s="4415">
        <f t="shared" si="403"/>
        <v>320</v>
      </c>
      <c r="BN891" s="1048">
        <f t="shared" si="404"/>
        <v>80</v>
      </c>
      <c r="BO891" s="4413"/>
      <c r="BP891" s="4413"/>
      <c r="BQ891" s="4413"/>
      <c r="BR891" s="4413"/>
      <c r="BS891" s="4413"/>
      <c r="BT891" s="4431"/>
      <c r="BU891" s="4432"/>
      <c r="BV891" s="4505">
        <f t="shared" si="405"/>
        <v>2400</v>
      </c>
      <c r="BW891" s="4506">
        <f t="shared" si="406"/>
        <v>0</v>
      </c>
      <c r="BX891" s="4554"/>
      <c r="BY891" s="4554"/>
      <c r="BZ891" s="4554"/>
      <c r="CA891" s="4555">
        <f t="shared" ref="CA891:CF891" si="448">CA887-BH891</f>
        <v>28545.6666666667</v>
      </c>
      <c r="CB891" s="4555">
        <f t="shared" si="448"/>
        <v>17249.6666666667</v>
      </c>
      <c r="CC891" s="4555">
        <f t="shared" si="448"/>
        <v>30972.6666666667</v>
      </c>
      <c r="CD891" s="4555">
        <f t="shared" si="448"/>
        <v>24466.6666666667</v>
      </c>
      <c r="CE891" s="4555">
        <f t="shared" si="448"/>
        <v>26036.6666666667</v>
      </c>
      <c r="CF891" s="4555">
        <f t="shared" si="448"/>
        <v>22514.9333333333</v>
      </c>
      <c r="CG891" s="4555">
        <f>CG886-BN891</f>
        <v>21359.1333333333</v>
      </c>
    </row>
    <row r="892" s="4316" customFormat="1" ht="50" customHeight="1" spans="1:85">
      <c r="A892" s="4500">
        <v>46027</v>
      </c>
      <c r="B892" s="4501" t="s">
        <v>2818</v>
      </c>
      <c r="C892" s="3708" t="s">
        <v>738</v>
      </c>
      <c r="D892" s="4502">
        <v>4500190462</v>
      </c>
      <c r="E892" s="3708"/>
      <c r="F892" s="4502" t="s">
        <v>5524</v>
      </c>
      <c r="G892" s="3708" t="s">
        <v>2577</v>
      </c>
      <c r="H892" s="3708" t="s">
        <v>2578</v>
      </c>
      <c r="I892" s="4154">
        <v>1500</v>
      </c>
      <c r="J892" s="4154">
        <v>0</v>
      </c>
      <c r="K892" s="4154">
        <v>12</v>
      </c>
      <c r="L892" s="4154">
        <f t="shared" si="394"/>
        <v>125</v>
      </c>
      <c r="M892" s="4503">
        <v>46058</v>
      </c>
      <c r="N892" s="4553">
        <v>46055</v>
      </c>
      <c r="O892" s="3708"/>
      <c r="P892" s="4527" t="s">
        <v>82</v>
      </c>
      <c r="Q892" s="4157">
        <v>1500</v>
      </c>
      <c r="R892" s="4157">
        <f t="shared" si="426"/>
        <v>0</v>
      </c>
      <c r="S892" s="4173" t="s">
        <v>2297</v>
      </c>
      <c r="T892" s="4173" t="s">
        <v>321</v>
      </c>
      <c r="U892" s="3680" t="s">
        <v>5525</v>
      </c>
      <c r="V892" s="3711" t="s">
        <v>5526</v>
      </c>
      <c r="W892" s="3711"/>
      <c r="X892" s="3711" t="s">
        <v>5527</v>
      </c>
      <c r="Y892" s="3711"/>
      <c r="Z892" s="4154"/>
      <c r="AA892" s="3680" t="s">
        <v>5528</v>
      </c>
      <c r="AB892" s="4154" t="s">
        <v>1434</v>
      </c>
      <c r="AC892" s="4154">
        <v>2.1392</v>
      </c>
      <c r="AD892" s="4154">
        <f t="shared" si="442"/>
        <v>3208.8</v>
      </c>
      <c r="AE892" s="3726"/>
      <c r="AF892" s="3708" t="s">
        <v>2604</v>
      </c>
      <c r="AG892" s="3726" t="s">
        <v>416</v>
      </c>
      <c r="AH892" s="3708"/>
      <c r="AI892" s="4154"/>
      <c r="AJ892" s="4154"/>
      <c r="AK892" s="3708"/>
      <c r="AL892" s="3708"/>
      <c r="AM892" s="3708">
        <f>I892</f>
        <v>1500</v>
      </c>
      <c r="AN892" s="4154"/>
      <c r="AO892" s="4154"/>
      <c r="AP892" s="4154">
        <f t="shared" si="396"/>
        <v>1500</v>
      </c>
      <c r="AQ892" s="1048"/>
      <c r="AR892" s="1040"/>
      <c r="AS892" s="1048">
        <f t="shared" si="445"/>
        <v>1500</v>
      </c>
      <c r="AT892" s="1040"/>
      <c r="AU892" s="1048"/>
      <c r="AV892" s="1048"/>
      <c r="AW892" s="1048">
        <f>I892/6</f>
        <v>250</v>
      </c>
      <c r="AX892" s="1048"/>
      <c r="AY892" s="1048"/>
      <c r="AZ892" s="1048"/>
      <c r="BA892" s="1048"/>
      <c r="BB892" s="1048"/>
      <c r="BC892" s="1048"/>
      <c r="BD892" s="1048"/>
      <c r="BE892" s="1048"/>
      <c r="BF892" s="1048" t="s">
        <v>89</v>
      </c>
      <c r="BG892" s="1048"/>
      <c r="BH892" s="1048">
        <f t="shared" si="398"/>
        <v>250</v>
      </c>
      <c r="BI892" s="1048">
        <f t="shared" si="399"/>
        <v>250</v>
      </c>
      <c r="BJ892" s="1048">
        <f t="shared" si="400"/>
        <v>250</v>
      </c>
      <c r="BK892" s="1048">
        <f t="shared" si="401"/>
        <v>250</v>
      </c>
      <c r="BL892" s="1048">
        <f t="shared" si="402"/>
        <v>250</v>
      </c>
      <c r="BM892" s="4505">
        <f t="shared" si="403"/>
        <v>200</v>
      </c>
      <c r="BN892" s="4505">
        <f t="shared" si="404"/>
        <v>50</v>
      </c>
      <c r="BO892" s="4569"/>
      <c r="BP892" s="4569"/>
      <c r="BQ892" s="4569"/>
      <c r="BR892" s="4565"/>
      <c r="BS892" s="4565"/>
      <c r="BT892" s="4565"/>
      <c r="BU892" s="4565"/>
      <c r="BV892" s="4589">
        <f t="shared" si="405"/>
        <v>1500</v>
      </c>
      <c r="BW892" s="4589">
        <f t="shared" si="406"/>
        <v>0</v>
      </c>
      <c r="BX892" s="4589"/>
      <c r="BY892" s="4323"/>
      <c r="BZ892" s="4323"/>
    </row>
    <row r="893" s="4316" customFormat="1" ht="50" customHeight="1" spans="1:85">
      <c r="A893" s="4500">
        <v>46016</v>
      </c>
      <c r="B893" s="4501" t="s">
        <v>1641</v>
      </c>
      <c r="C893" s="3708" t="s">
        <v>396</v>
      </c>
      <c r="D893" s="4502">
        <v>4500190063</v>
      </c>
      <c r="E893" s="3708" t="s">
        <v>5529</v>
      </c>
      <c r="F893" s="4502" t="s">
        <v>5530</v>
      </c>
      <c r="G893" s="3708" t="s">
        <v>2827</v>
      </c>
      <c r="H893" s="3708" t="s">
        <v>2641</v>
      </c>
      <c r="I893" s="3699">
        <v>12</v>
      </c>
      <c r="J893" s="3699">
        <v>0</v>
      </c>
      <c r="K893" s="3699">
        <v>12</v>
      </c>
      <c r="L893" s="4154">
        <f t="shared" ref="L893:L909" si="449">I893/K893</f>
        <v>1</v>
      </c>
      <c r="M893" s="4503">
        <v>46059</v>
      </c>
      <c r="N893" s="4553">
        <v>46055</v>
      </c>
      <c r="O893" s="4117"/>
      <c r="P893" s="4527" t="s">
        <v>82</v>
      </c>
      <c r="Q893" s="4157">
        <v>12</v>
      </c>
      <c r="R893" s="4157">
        <f t="shared" si="426"/>
        <v>0</v>
      </c>
      <c r="S893" s="4172" t="s">
        <v>2297</v>
      </c>
      <c r="T893" s="4173" t="s">
        <v>321</v>
      </c>
      <c r="U893" s="3726" t="s">
        <v>740</v>
      </c>
      <c r="V893" s="3709" t="s">
        <v>619</v>
      </c>
      <c r="W893" s="3709"/>
      <c r="X893" s="3711" t="s">
        <v>4163</v>
      </c>
      <c r="Y893" s="3700" t="s">
        <v>5531</v>
      </c>
      <c r="Z893" s="4154"/>
      <c r="AA893" s="3680" t="s">
        <v>5532</v>
      </c>
      <c r="AB893" s="4154" t="s">
        <v>369</v>
      </c>
      <c r="AC893" s="4118">
        <v>2.194</v>
      </c>
      <c r="AD893" s="3699">
        <f t="shared" si="442"/>
        <v>26.328</v>
      </c>
      <c r="AE893" s="3726"/>
      <c r="AF893" s="3708" t="s">
        <v>2577</v>
      </c>
      <c r="AG893" s="3726" t="s">
        <v>416</v>
      </c>
      <c r="AH893" s="4154"/>
      <c r="AI893" s="4154"/>
      <c r="AJ893" s="3708"/>
      <c r="AK893" s="3708"/>
      <c r="AL893" s="4154"/>
      <c r="AM893" s="4509">
        <f>I893</f>
        <v>12</v>
      </c>
      <c r="AN893" s="4154"/>
      <c r="AO893" s="1048"/>
      <c r="AP893" s="4509">
        <f t="shared" si="396"/>
        <v>12</v>
      </c>
      <c r="AQ893" s="1048"/>
      <c r="AR893" s="1048"/>
      <c r="AS893" s="1048"/>
      <c r="AT893" s="1048"/>
      <c r="AU893" s="4510">
        <f>I893</f>
        <v>12</v>
      </c>
      <c r="AV893" s="1048"/>
      <c r="AW893" s="1048"/>
      <c r="AX893" s="1048"/>
      <c r="AY893" s="1048"/>
      <c r="AZ893" s="1048"/>
      <c r="BA893" s="1048"/>
      <c r="BB893" s="1048"/>
      <c r="BC893" s="1048"/>
      <c r="BD893" s="1048"/>
      <c r="BE893" s="1048"/>
      <c r="BF893" s="1048" t="s">
        <v>89</v>
      </c>
      <c r="BG893" s="1048"/>
      <c r="BH893" s="1048">
        <f t="shared" ref="BH893:BH899" si="450">I893-BN893</f>
        <v>11.8</v>
      </c>
      <c r="BI893" s="1048"/>
      <c r="BJ893" s="1048"/>
      <c r="BK893" s="4505"/>
      <c r="BL893" s="4506"/>
      <c r="BM893" s="4323"/>
      <c r="BN893" s="4323">
        <f t="shared" ref="BN893:BN900" si="451">I893/60*1</f>
        <v>0.2</v>
      </c>
      <c r="BO893" s="4323"/>
      <c r="BP893" s="4507"/>
      <c r="BQ893" s="1049"/>
      <c r="BR893" s="4508"/>
      <c r="BS893" s="4507"/>
      <c r="BT893" s="1051"/>
      <c r="BU893" s="1051"/>
      <c r="BV893" s="4316">
        <f t="shared" ref="BV893:BV909" si="452">SUM(BH893:BU893)</f>
        <v>12</v>
      </c>
      <c r="BW893" s="4316">
        <f t="shared" ref="BW893:BW909" si="453">I893-BV893</f>
        <v>0</v>
      </c>
    </row>
    <row r="894" s="4316" customFormat="1" ht="50" customHeight="1" spans="1:85">
      <c r="A894" s="4500">
        <v>46016</v>
      </c>
      <c r="B894" s="4501" t="s">
        <v>1641</v>
      </c>
      <c r="C894" s="3708" t="s">
        <v>396</v>
      </c>
      <c r="D894" s="4502">
        <v>4500190063</v>
      </c>
      <c r="E894" s="3708" t="s">
        <v>5533</v>
      </c>
      <c r="F894" s="4502" t="s">
        <v>5534</v>
      </c>
      <c r="G894" s="3708" t="s">
        <v>2827</v>
      </c>
      <c r="H894" s="3708" t="s">
        <v>2641</v>
      </c>
      <c r="I894" s="3699">
        <v>48</v>
      </c>
      <c r="J894" s="3699">
        <v>0</v>
      </c>
      <c r="K894" s="3699">
        <v>12</v>
      </c>
      <c r="L894" s="4154">
        <f t="shared" si="449"/>
        <v>4</v>
      </c>
      <c r="M894" s="4503">
        <v>46059</v>
      </c>
      <c r="N894" s="4553">
        <v>46055</v>
      </c>
      <c r="O894" s="4117"/>
      <c r="P894" s="4527" t="s">
        <v>82</v>
      </c>
      <c r="Q894" s="4157">
        <v>48</v>
      </c>
      <c r="R894" s="4157">
        <f t="shared" ref="R894:R909" si="454">Q894-I894</f>
        <v>0</v>
      </c>
      <c r="S894" s="4599"/>
      <c r="T894" s="4173" t="s">
        <v>321</v>
      </c>
      <c r="U894" s="3726" t="s">
        <v>740</v>
      </c>
      <c r="V894" s="3709" t="s">
        <v>619</v>
      </c>
      <c r="W894" s="3709"/>
      <c r="X894" s="3711" t="s">
        <v>4163</v>
      </c>
      <c r="Y894" s="3700" t="s">
        <v>5531</v>
      </c>
      <c r="Z894" s="4154"/>
      <c r="AA894" s="3680" t="s">
        <v>5532</v>
      </c>
      <c r="AB894" s="4154" t="s">
        <v>369</v>
      </c>
      <c r="AC894" s="4118">
        <v>2.194</v>
      </c>
      <c r="AD894" s="3699">
        <f t="shared" ref="AD893:AD908" si="455">AC894*I894</f>
        <v>105.312</v>
      </c>
      <c r="AE894" s="3726"/>
      <c r="AF894" s="3708" t="s">
        <v>2577</v>
      </c>
      <c r="AG894" s="3726" t="s">
        <v>416</v>
      </c>
      <c r="AH894" s="4154"/>
      <c r="AI894" s="4154"/>
      <c r="AJ894" s="3708"/>
      <c r="AK894" s="3708"/>
      <c r="AL894" s="4154"/>
      <c r="AM894" s="4509">
        <f t="shared" ref="AM894:AM900" si="456">I894</f>
        <v>48</v>
      </c>
      <c r="AN894" s="4154"/>
      <c r="AO894" s="1048"/>
      <c r="AP894" s="4509">
        <f t="shared" si="396"/>
        <v>48</v>
      </c>
      <c r="AQ894" s="1048"/>
      <c r="AR894" s="1048"/>
      <c r="AS894" s="1048"/>
      <c r="AT894" s="1048"/>
      <c r="AU894" s="4510">
        <f t="shared" ref="AU894:AU900" si="457">I894</f>
        <v>48</v>
      </c>
      <c r="AV894" s="1048"/>
      <c r="AW894" s="1048"/>
      <c r="AX894" s="1048"/>
      <c r="AY894" s="1048"/>
      <c r="AZ894" s="1048"/>
      <c r="BA894" s="1048"/>
      <c r="BB894" s="1048"/>
      <c r="BC894" s="1048"/>
      <c r="BD894" s="1048"/>
      <c r="BE894" s="1048"/>
      <c r="BF894" s="1048" t="s">
        <v>89</v>
      </c>
      <c r="BG894" s="1048"/>
      <c r="BH894" s="1048">
        <f t="shared" si="450"/>
        <v>47.2</v>
      </c>
      <c r="BI894" s="1048"/>
      <c r="BJ894" s="1048"/>
      <c r="BK894" s="4505"/>
      <c r="BL894" s="4506"/>
      <c r="BM894" s="4323"/>
      <c r="BN894" s="4323">
        <f t="shared" si="451"/>
        <v>0.8</v>
      </c>
      <c r="BO894" s="4323"/>
      <c r="BP894" s="4507"/>
      <c r="BQ894" s="1049"/>
      <c r="BR894" s="4508"/>
      <c r="BS894" s="4507"/>
      <c r="BT894" s="1051"/>
      <c r="BU894" s="1051"/>
      <c r="BV894" s="4316">
        <f t="shared" si="452"/>
        <v>48</v>
      </c>
      <c r="BW894" s="4316">
        <f t="shared" si="453"/>
        <v>0</v>
      </c>
    </row>
    <row r="895" s="4316" customFormat="1" ht="50" customHeight="1" spans="1:85">
      <c r="A895" s="4500">
        <v>46016</v>
      </c>
      <c r="B895" s="4501" t="s">
        <v>1641</v>
      </c>
      <c r="C895" s="3708" t="s">
        <v>396</v>
      </c>
      <c r="D895" s="4502">
        <v>4500190063</v>
      </c>
      <c r="E895" s="3708" t="s">
        <v>5535</v>
      </c>
      <c r="F895" s="4502" t="s">
        <v>5536</v>
      </c>
      <c r="G895" s="3708" t="s">
        <v>2827</v>
      </c>
      <c r="H895" s="3708" t="s">
        <v>2641</v>
      </c>
      <c r="I895" s="3699">
        <v>12</v>
      </c>
      <c r="J895" s="3699">
        <v>0</v>
      </c>
      <c r="K895" s="3699">
        <v>12</v>
      </c>
      <c r="L895" s="4154">
        <f t="shared" si="449"/>
        <v>1</v>
      </c>
      <c r="M895" s="4503">
        <v>46059</v>
      </c>
      <c r="N895" s="4553">
        <v>46055</v>
      </c>
      <c r="O895" s="4117"/>
      <c r="P895" s="4527" t="s">
        <v>82</v>
      </c>
      <c r="Q895" s="4157">
        <v>12</v>
      </c>
      <c r="R895" s="4157">
        <f t="shared" si="454"/>
        <v>0</v>
      </c>
      <c r="S895" s="4599"/>
      <c r="T895" s="4173" t="s">
        <v>321</v>
      </c>
      <c r="U895" s="3726" t="s">
        <v>740</v>
      </c>
      <c r="V895" s="3709" t="s">
        <v>619</v>
      </c>
      <c r="W895" s="3709"/>
      <c r="X895" s="3711" t="s">
        <v>4163</v>
      </c>
      <c r="Y895" s="3700" t="s">
        <v>5531</v>
      </c>
      <c r="Z895" s="4154"/>
      <c r="AA895" s="3680" t="s">
        <v>5532</v>
      </c>
      <c r="AB895" s="4154" t="s">
        <v>369</v>
      </c>
      <c r="AC895" s="4118">
        <v>2.194</v>
      </c>
      <c r="AD895" s="3699">
        <f t="shared" si="455"/>
        <v>26.328</v>
      </c>
      <c r="AE895" s="3726"/>
      <c r="AF895" s="3708" t="s">
        <v>2604</v>
      </c>
      <c r="AG895" s="3726" t="s">
        <v>416</v>
      </c>
      <c r="AH895" s="4154"/>
      <c r="AI895" s="4154"/>
      <c r="AJ895" s="3708"/>
      <c r="AK895" s="3708"/>
      <c r="AL895" s="4154"/>
      <c r="AM895" s="4509">
        <f t="shared" si="456"/>
        <v>12</v>
      </c>
      <c r="AN895" s="4154"/>
      <c r="AO895" s="1048"/>
      <c r="AP895" s="4509">
        <f t="shared" si="396"/>
        <v>12</v>
      </c>
      <c r="AQ895" s="1048"/>
      <c r="AR895" s="1048"/>
      <c r="AS895" s="1048"/>
      <c r="AT895" s="1048"/>
      <c r="AU895" s="4510">
        <f t="shared" si="457"/>
        <v>12</v>
      </c>
      <c r="AV895" s="1048"/>
      <c r="AW895" s="1048"/>
      <c r="AX895" s="1048"/>
      <c r="AY895" s="1048"/>
      <c r="AZ895" s="1048"/>
      <c r="BA895" s="1048"/>
      <c r="BB895" s="1048"/>
      <c r="BC895" s="1048"/>
      <c r="BD895" s="1048"/>
      <c r="BE895" s="1048"/>
      <c r="BF895" s="1048" t="s">
        <v>89</v>
      </c>
      <c r="BG895" s="1048"/>
      <c r="BH895" s="1048">
        <f t="shared" si="450"/>
        <v>11.8</v>
      </c>
      <c r="BI895" s="1048"/>
      <c r="BJ895" s="1048"/>
      <c r="BK895" s="4505"/>
      <c r="BL895" s="4506"/>
      <c r="BM895" s="4323"/>
      <c r="BN895" s="4323">
        <f t="shared" si="451"/>
        <v>0.2</v>
      </c>
      <c r="BO895" s="4323"/>
      <c r="BP895" s="4507"/>
      <c r="BQ895" s="1049"/>
      <c r="BR895" s="4508"/>
      <c r="BS895" s="4507"/>
      <c r="BT895" s="1051"/>
      <c r="BU895" s="1051"/>
      <c r="BV895" s="4316">
        <f t="shared" si="452"/>
        <v>12</v>
      </c>
      <c r="BW895" s="4316">
        <f t="shared" si="453"/>
        <v>0</v>
      </c>
    </row>
    <row r="896" s="4316" customFormat="1" ht="50" customHeight="1" spans="1:85">
      <c r="A896" s="4500">
        <v>46016</v>
      </c>
      <c r="B896" s="4501" t="s">
        <v>1641</v>
      </c>
      <c r="C896" s="3708" t="s">
        <v>396</v>
      </c>
      <c r="D896" s="4502">
        <v>4500190063</v>
      </c>
      <c r="E896" s="3708" t="s">
        <v>5537</v>
      </c>
      <c r="F896" s="4502" t="s">
        <v>5538</v>
      </c>
      <c r="G896" s="3708" t="s">
        <v>2827</v>
      </c>
      <c r="H896" s="3708" t="s">
        <v>2641</v>
      </c>
      <c r="I896" s="3699">
        <v>12</v>
      </c>
      <c r="J896" s="3699">
        <v>0</v>
      </c>
      <c r="K896" s="3699">
        <v>12</v>
      </c>
      <c r="L896" s="4154">
        <f t="shared" si="449"/>
        <v>1</v>
      </c>
      <c r="M896" s="4503">
        <v>46059</v>
      </c>
      <c r="N896" s="4553">
        <v>46055</v>
      </c>
      <c r="O896" s="4117"/>
      <c r="P896" s="4527" t="s">
        <v>82</v>
      </c>
      <c r="Q896" s="4157">
        <v>12</v>
      </c>
      <c r="R896" s="4157">
        <f t="shared" si="454"/>
        <v>0</v>
      </c>
      <c r="S896" s="4599"/>
      <c r="T896" s="4173" t="s">
        <v>321</v>
      </c>
      <c r="U896" s="3726" t="s">
        <v>740</v>
      </c>
      <c r="V896" s="3709" t="s">
        <v>619</v>
      </c>
      <c r="W896" s="3709"/>
      <c r="X896" s="3711" t="s">
        <v>4163</v>
      </c>
      <c r="Y896" s="3700" t="s">
        <v>5531</v>
      </c>
      <c r="Z896" s="4154"/>
      <c r="AA896" s="3680" t="s">
        <v>5532</v>
      </c>
      <c r="AB896" s="4154" t="s">
        <v>369</v>
      </c>
      <c r="AC896" s="4118">
        <v>2.194</v>
      </c>
      <c r="AD896" s="3699">
        <f t="shared" si="455"/>
        <v>26.328</v>
      </c>
      <c r="AE896" s="3726"/>
      <c r="AF896" s="3708" t="s">
        <v>2577</v>
      </c>
      <c r="AG896" s="3726" t="s">
        <v>416</v>
      </c>
      <c r="AH896" s="4154"/>
      <c r="AI896" s="4154"/>
      <c r="AJ896" s="3708"/>
      <c r="AK896" s="3708"/>
      <c r="AL896" s="4154"/>
      <c r="AM896" s="4509">
        <f t="shared" si="456"/>
        <v>12</v>
      </c>
      <c r="AN896" s="4154"/>
      <c r="AO896" s="1048"/>
      <c r="AP896" s="4509">
        <f t="shared" si="396"/>
        <v>12</v>
      </c>
      <c r="AQ896" s="1048"/>
      <c r="AR896" s="1048"/>
      <c r="AS896" s="1048"/>
      <c r="AT896" s="1048"/>
      <c r="AU896" s="4510">
        <f t="shared" si="457"/>
        <v>12</v>
      </c>
      <c r="AV896" s="1048"/>
      <c r="AW896" s="1048"/>
      <c r="AX896" s="1048"/>
      <c r="AY896" s="1048"/>
      <c r="AZ896" s="1048"/>
      <c r="BA896" s="1048"/>
      <c r="BB896" s="1048"/>
      <c r="BC896" s="1048"/>
      <c r="BD896" s="1048"/>
      <c r="BE896" s="1048"/>
      <c r="BF896" s="1048" t="s">
        <v>89</v>
      </c>
      <c r="BG896" s="1048"/>
      <c r="BH896" s="1048">
        <f t="shared" si="450"/>
        <v>11.8</v>
      </c>
      <c r="BI896" s="1048"/>
      <c r="BJ896" s="1048"/>
      <c r="BK896" s="4505"/>
      <c r="BL896" s="4506"/>
      <c r="BM896" s="4323"/>
      <c r="BN896" s="4323">
        <f t="shared" si="451"/>
        <v>0.2</v>
      </c>
      <c r="BO896" s="4323"/>
      <c r="BP896" s="4507"/>
      <c r="BQ896" s="1049"/>
      <c r="BR896" s="4508"/>
      <c r="BS896" s="4507"/>
      <c r="BT896" s="1051"/>
      <c r="BU896" s="1051"/>
      <c r="BV896" s="4316">
        <f t="shared" si="452"/>
        <v>12</v>
      </c>
      <c r="BW896" s="4316">
        <f t="shared" si="453"/>
        <v>0</v>
      </c>
    </row>
    <row r="897" s="4316" customFormat="1" ht="50" customHeight="1" spans="1:85">
      <c r="A897" s="4500">
        <v>46016</v>
      </c>
      <c r="B897" s="4501" t="s">
        <v>1641</v>
      </c>
      <c r="C897" s="3708" t="s">
        <v>396</v>
      </c>
      <c r="D897" s="4502">
        <v>4500190063</v>
      </c>
      <c r="E897" s="3708" t="s">
        <v>5539</v>
      </c>
      <c r="F897" s="4502" t="s">
        <v>5540</v>
      </c>
      <c r="G897" s="3708" t="s">
        <v>2827</v>
      </c>
      <c r="H897" s="3708" t="s">
        <v>2641</v>
      </c>
      <c r="I897" s="3699">
        <v>24</v>
      </c>
      <c r="J897" s="3699">
        <v>0</v>
      </c>
      <c r="K897" s="3699">
        <v>12</v>
      </c>
      <c r="L897" s="4154">
        <f t="shared" si="449"/>
        <v>2</v>
      </c>
      <c r="M897" s="4503">
        <v>46059</v>
      </c>
      <c r="N897" s="4553">
        <v>46055</v>
      </c>
      <c r="O897" s="4117"/>
      <c r="P897" s="4527" t="s">
        <v>82</v>
      </c>
      <c r="Q897" s="4157">
        <v>24</v>
      </c>
      <c r="R897" s="4157">
        <f t="shared" si="454"/>
        <v>0</v>
      </c>
      <c r="S897" s="4599"/>
      <c r="T897" s="4173" t="s">
        <v>321</v>
      </c>
      <c r="U897" s="3726" t="s">
        <v>740</v>
      </c>
      <c r="V897" s="3709" t="s">
        <v>619</v>
      </c>
      <c r="W897" s="3709"/>
      <c r="X897" s="3711" t="s">
        <v>4163</v>
      </c>
      <c r="Y897" s="3700" t="s">
        <v>5531</v>
      </c>
      <c r="Z897" s="4154"/>
      <c r="AA897" s="3680" t="s">
        <v>5532</v>
      </c>
      <c r="AB897" s="4154" t="s">
        <v>369</v>
      </c>
      <c r="AC897" s="4118">
        <v>2.194</v>
      </c>
      <c r="AD897" s="3699">
        <f t="shared" si="455"/>
        <v>52.656</v>
      </c>
      <c r="AE897" s="3726"/>
      <c r="AF897" s="3708" t="s">
        <v>2577</v>
      </c>
      <c r="AG897" s="3726" t="s">
        <v>416</v>
      </c>
      <c r="AH897" s="4154"/>
      <c r="AI897" s="4154"/>
      <c r="AJ897" s="3708"/>
      <c r="AK897" s="3708"/>
      <c r="AL897" s="4154"/>
      <c r="AM897" s="4509">
        <f t="shared" si="456"/>
        <v>24</v>
      </c>
      <c r="AN897" s="4154"/>
      <c r="AO897" s="1048"/>
      <c r="AP897" s="4509">
        <f t="shared" si="396"/>
        <v>24</v>
      </c>
      <c r="AQ897" s="1048"/>
      <c r="AR897" s="1048"/>
      <c r="AS897" s="1048"/>
      <c r="AT897" s="1048"/>
      <c r="AU897" s="4510">
        <f t="shared" si="457"/>
        <v>24</v>
      </c>
      <c r="AV897" s="1048"/>
      <c r="AW897" s="1048"/>
      <c r="AX897" s="1048"/>
      <c r="AY897" s="1048"/>
      <c r="AZ897" s="1048"/>
      <c r="BA897" s="1048"/>
      <c r="BB897" s="1048"/>
      <c r="BC897" s="1048"/>
      <c r="BD897" s="1048"/>
      <c r="BE897" s="1048"/>
      <c r="BF897" s="1048" t="s">
        <v>89</v>
      </c>
      <c r="BG897" s="1048"/>
      <c r="BH897" s="1048">
        <f t="shared" si="450"/>
        <v>23.6</v>
      </c>
      <c r="BI897" s="1048"/>
      <c r="BJ897" s="1048"/>
      <c r="BK897" s="4505"/>
      <c r="BL897" s="4506"/>
      <c r="BM897" s="4323"/>
      <c r="BN897" s="4323">
        <f t="shared" si="451"/>
        <v>0.4</v>
      </c>
      <c r="BO897" s="4323"/>
      <c r="BP897" s="4507"/>
      <c r="BQ897" s="1049"/>
      <c r="BR897" s="4508"/>
      <c r="BS897" s="4507"/>
      <c r="BT897" s="1051"/>
      <c r="BU897" s="1051"/>
      <c r="BV897" s="4316">
        <f t="shared" si="452"/>
        <v>24</v>
      </c>
      <c r="BW897" s="4316">
        <f t="shared" si="453"/>
        <v>0</v>
      </c>
    </row>
    <row r="898" s="4316" customFormat="1" ht="50" customHeight="1" spans="1:85">
      <c r="A898" s="4500">
        <v>46016</v>
      </c>
      <c r="B898" s="4501" t="s">
        <v>1641</v>
      </c>
      <c r="C898" s="3708" t="s">
        <v>396</v>
      </c>
      <c r="D898" s="4502">
        <v>4500190063</v>
      </c>
      <c r="E898" s="3708" t="s">
        <v>5541</v>
      </c>
      <c r="F898" s="4502" t="s">
        <v>5542</v>
      </c>
      <c r="G898" s="3708" t="s">
        <v>2827</v>
      </c>
      <c r="H898" s="3708" t="s">
        <v>2641</v>
      </c>
      <c r="I898" s="3699">
        <v>12</v>
      </c>
      <c r="J898" s="3699">
        <v>0</v>
      </c>
      <c r="K898" s="3699">
        <v>12</v>
      </c>
      <c r="L898" s="4154">
        <f t="shared" si="449"/>
        <v>1</v>
      </c>
      <c r="M898" s="4503">
        <v>46059</v>
      </c>
      <c r="N898" s="4553">
        <v>46055</v>
      </c>
      <c r="O898" s="4117"/>
      <c r="P898" s="4527" t="s">
        <v>82</v>
      </c>
      <c r="Q898" s="4157">
        <v>12</v>
      </c>
      <c r="R898" s="4157">
        <f t="shared" si="454"/>
        <v>0</v>
      </c>
      <c r="S898" s="4599"/>
      <c r="T898" s="4173" t="s">
        <v>321</v>
      </c>
      <c r="U898" s="3726" t="s">
        <v>740</v>
      </c>
      <c r="V898" s="3709" t="s">
        <v>619</v>
      </c>
      <c r="W898" s="3709"/>
      <c r="X898" s="3711" t="s">
        <v>4163</v>
      </c>
      <c r="Y898" s="3700" t="s">
        <v>5531</v>
      </c>
      <c r="Z898" s="4154"/>
      <c r="AA898" s="3680" t="s">
        <v>5532</v>
      </c>
      <c r="AB898" s="4154" t="s">
        <v>369</v>
      </c>
      <c r="AC898" s="4118">
        <v>2.194</v>
      </c>
      <c r="AD898" s="3699">
        <f t="shared" si="455"/>
        <v>26.328</v>
      </c>
      <c r="AE898" s="3726"/>
      <c r="AF898" s="3708" t="s">
        <v>2827</v>
      </c>
      <c r="AG898" s="3726" t="s">
        <v>416</v>
      </c>
      <c r="AH898" s="4154"/>
      <c r="AI898" s="4154"/>
      <c r="AJ898" s="3708"/>
      <c r="AK898" s="3708"/>
      <c r="AL898" s="4154"/>
      <c r="AM898" s="4509">
        <f t="shared" si="456"/>
        <v>12</v>
      </c>
      <c r="AN898" s="4154"/>
      <c r="AO898" s="1048"/>
      <c r="AP898" s="4509">
        <f t="shared" si="396"/>
        <v>12</v>
      </c>
      <c r="AQ898" s="1048"/>
      <c r="AR898" s="1048"/>
      <c r="AS898" s="1048"/>
      <c r="AT898" s="1048"/>
      <c r="AU898" s="4510">
        <f t="shared" si="457"/>
        <v>12</v>
      </c>
      <c r="AV898" s="1048"/>
      <c r="AW898" s="1048"/>
      <c r="AX898" s="1048"/>
      <c r="AY898" s="1048"/>
      <c r="AZ898" s="1048"/>
      <c r="BA898" s="1048"/>
      <c r="BB898" s="1048"/>
      <c r="BC898" s="1048"/>
      <c r="BD898" s="1048"/>
      <c r="BE898" s="1048"/>
      <c r="BF898" s="1048" t="s">
        <v>89</v>
      </c>
      <c r="BG898" s="1048"/>
      <c r="BH898" s="1048">
        <f t="shared" si="450"/>
        <v>11.8</v>
      </c>
      <c r="BI898" s="1048"/>
      <c r="BJ898" s="1048"/>
      <c r="BK898" s="4505"/>
      <c r="BL898" s="4506"/>
      <c r="BM898" s="4323"/>
      <c r="BN898" s="4323">
        <f t="shared" si="451"/>
        <v>0.2</v>
      </c>
      <c r="BO898" s="4323"/>
      <c r="BP898" s="4507"/>
      <c r="BQ898" s="1049"/>
      <c r="BR898" s="4508"/>
      <c r="BS898" s="4507"/>
      <c r="BT898" s="1051"/>
      <c r="BU898" s="1051"/>
      <c r="BV898" s="4316">
        <f t="shared" si="452"/>
        <v>12</v>
      </c>
      <c r="BW898" s="4316">
        <f t="shared" si="453"/>
        <v>0</v>
      </c>
    </row>
    <row r="899" s="4316" customFormat="1" ht="50" customHeight="1" spans="1:85">
      <c r="A899" s="4500">
        <v>46016</v>
      </c>
      <c r="B899" s="4501" t="s">
        <v>1641</v>
      </c>
      <c r="C899" s="3708" t="s">
        <v>396</v>
      </c>
      <c r="D899" s="4502">
        <v>4500190063</v>
      </c>
      <c r="E899" s="3708" t="s">
        <v>5543</v>
      </c>
      <c r="F899" s="4502" t="s">
        <v>5544</v>
      </c>
      <c r="G899" s="3708" t="s">
        <v>2827</v>
      </c>
      <c r="H899" s="3708" t="s">
        <v>2641</v>
      </c>
      <c r="I899" s="3699">
        <v>12</v>
      </c>
      <c r="J899" s="3699">
        <v>0</v>
      </c>
      <c r="K899" s="3699">
        <v>12</v>
      </c>
      <c r="L899" s="4154">
        <f t="shared" si="449"/>
        <v>1</v>
      </c>
      <c r="M899" s="4503">
        <v>46059</v>
      </c>
      <c r="N899" s="4553">
        <v>46055</v>
      </c>
      <c r="O899" s="4117"/>
      <c r="P899" s="4527" t="s">
        <v>82</v>
      </c>
      <c r="Q899" s="4157">
        <v>12</v>
      </c>
      <c r="R899" s="4157">
        <f t="shared" si="454"/>
        <v>0</v>
      </c>
      <c r="S899" s="4600"/>
      <c r="T899" s="4173" t="s">
        <v>321</v>
      </c>
      <c r="U899" s="3726" t="s">
        <v>740</v>
      </c>
      <c r="V899" s="3709" t="s">
        <v>619</v>
      </c>
      <c r="W899" s="3709"/>
      <c r="X899" s="3711" t="s">
        <v>4163</v>
      </c>
      <c r="Y899" s="3700" t="s">
        <v>5531</v>
      </c>
      <c r="Z899" s="4154"/>
      <c r="AA899" s="3680" t="s">
        <v>5532</v>
      </c>
      <c r="AB899" s="4154" t="s">
        <v>369</v>
      </c>
      <c r="AC899" s="4118">
        <v>2.194</v>
      </c>
      <c r="AD899" s="3699">
        <f t="shared" si="455"/>
        <v>26.328</v>
      </c>
      <c r="AE899" s="3726"/>
      <c r="AF899" s="3708" t="s">
        <v>2827</v>
      </c>
      <c r="AG899" s="3726" t="s">
        <v>416</v>
      </c>
      <c r="AH899" s="4154"/>
      <c r="AI899" s="4154"/>
      <c r="AJ899" s="3708"/>
      <c r="AK899" s="3708"/>
      <c r="AL899" s="4154"/>
      <c r="AM899" s="4509">
        <f t="shared" si="456"/>
        <v>12</v>
      </c>
      <c r="AN899" s="4154"/>
      <c r="AO899" s="1048"/>
      <c r="AP899" s="4509">
        <f t="shared" si="396"/>
        <v>12</v>
      </c>
      <c r="AQ899" s="1048"/>
      <c r="AR899" s="1048"/>
      <c r="AS899" s="1048"/>
      <c r="AT899" s="1048"/>
      <c r="AU899" s="4510">
        <f t="shared" si="457"/>
        <v>12</v>
      </c>
      <c r="AV899" s="1048"/>
      <c r="AW899" s="1048"/>
      <c r="AX899" s="1048"/>
      <c r="AY899" s="1048"/>
      <c r="AZ899" s="1048"/>
      <c r="BA899" s="1048"/>
      <c r="BB899" s="1048"/>
      <c r="BC899" s="1048"/>
      <c r="BD899" s="1048"/>
      <c r="BE899" s="1048"/>
      <c r="BF899" s="1048" t="s">
        <v>89</v>
      </c>
      <c r="BG899" s="1048"/>
      <c r="BH899" s="1048">
        <f t="shared" si="450"/>
        <v>11.8</v>
      </c>
      <c r="BI899" s="1048"/>
      <c r="BJ899" s="1048"/>
      <c r="BK899" s="4505"/>
      <c r="BL899" s="4506"/>
      <c r="BM899" s="4323"/>
      <c r="BN899" s="4323">
        <f t="shared" si="451"/>
        <v>0.2</v>
      </c>
      <c r="BO899" s="4323"/>
      <c r="BP899" s="4507"/>
      <c r="BQ899" s="1049"/>
      <c r="BR899" s="4508"/>
      <c r="BS899" s="4507"/>
      <c r="BT899" s="1051"/>
      <c r="BU899" s="1051"/>
      <c r="BV899" s="4316">
        <f t="shared" si="452"/>
        <v>12</v>
      </c>
      <c r="BW899" s="4316">
        <f t="shared" si="453"/>
        <v>0</v>
      </c>
    </row>
    <row r="900" s="4316" customFormat="1" ht="50" customHeight="1" spans="1:85">
      <c r="A900" s="4500">
        <v>46016</v>
      </c>
      <c r="B900" s="4501" t="s">
        <v>1641</v>
      </c>
      <c r="C900" s="3708" t="s">
        <v>396</v>
      </c>
      <c r="D900" s="4502">
        <v>4500190063</v>
      </c>
      <c r="E900" s="3708" t="s">
        <v>5545</v>
      </c>
      <c r="F900" s="4502" t="s">
        <v>5546</v>
      </c>
      <c r="G900" s="3708" t="s">
        <v>4222</v>
      </c>
      <c r="H900" s="3708" t="s">
        <v>3187</v>
      </c>
      <c r="I900" s="3699">
        <v>12</v>
      </c>
      <c r="J900" s="3699">
        <v>0</v>
      </c>
      <c r="K900" s="3699">
        <v>12</v>
      </c>
      <c r="L900" s="4154">
        <f t="shared" si="449"/>
        <v>1</v>
      </c>
      <c r="M900" s="4503">
        <v>46059</v>
      </c>
      <c r="N900" s="4553">
        <v>46055</v>
      </c>
      <c r="O900" s="4117"/>
      <c r="P900" s="4527" t="s">
        <v>82</v>
      </c>
      <c r="Q900" s="4157">
        <v>12</v>
      </c>
      <c r="R900" s="4157">
        <f t="shared" si="454"/>
        <v>0</v>
      </c>
      <c r="S900" s="4219" t="s">
        <v>2297</v>
      </c>
      <c r="T900" s="4173" t="s">
        <v>321</v>
      </c>
      <c r="U900" s="3726" t="s">
        <v>740</v>
      </c>
      <c r="V900" s="3709" t="s">
        <v>619</v>
      </c>
      <c r="W900" s="3709"/>
      <c r="X900" s="3711" t="s">
        <v>4163</v>
      </c>
      <c r="Y900" s="3700" t="s">
        <v>5531</v>
      </c>
      <c r="Z900" s="4154"/>
      <c r="AA900" s="3680" t="s">
        <v>5532</v>
      </c>
      <c r="AB900" s="4154" t="s">
        <v>369</v>
      </c>
      <c r="AC900" s="4118">
        <v>2.194</v>
      </c>
      <c r="AD900" s="3699">
        <f t="shared" si="455"/>
        <v>26.328</v>
      </c>
      <c r="AE900" s="3726"/>
      <c r="AF900" s="3708" t="s">
        <v>4222</v>
      </c>
      <c r="AG900" s="3726" t="s">
        <v>416</v>
      </c>
      <c r="AH900" s="4154"/>
      <c r="AI900" s="4154"/>
      <c r="AJ900" s="3708"/>
      <c r="AK900" s="3708"/>
      <c r="AL900" s="4154"/>
      <c r="AM900" s="4509">
        <f t="shared" si="456"/>
        <v>12</v>
      </c>
      <c r="AN900" s="4154"/>
      <c r="AO900" s="1048"/>
      <c r="AP900" s="4509">
        <f t="shared" si="396"/>
        <v>12</v>
      </c>
      <c r="AQ900" s="1048"/>
      <c r="AR900" s="1048"/>
      <c r="AS900" s="1048"/>
      <c r="AT900" s="1048"/>
      <c r="AU900" s="4510">
        <f t="shared" si="457"/>
        <v>12</v>
      </c>
      <c r="AV900" s="1048"/>
      <c r="AW900" s="1048"/>
      <c r="AX900" s="1048"/>
      <c r="AY900" s="1048"/>
      <c r="AZ900" s="1048"/>
      <c r="BA900" s="1048"/>
      <c r="BB900" s="1048"/>
      <c r="BC900" s="1048"/>
      <c r="BD900" s="1048"/>
      <c r="BE900" s="1048"/>
      <c r="BF900" s="1048" t="s">
        <v>89</v>
      </c>
      <c r="BG900" s="1048"/>
      <c r="BH900" s="1048"/>
      <c r="BI900" s="1048"/>
      <c r="BJ900" s="1048"/>
      <c r="BK900" s="1048">
        <f>I900</f>
        <v>12</v>
      </c>
      <c r="BL900" s="1048"/>
      <c r="BM900" s="1048"/>
      <c r="BN900" s="1048">
        <f t="shared" si="451"/>
        <v>0.2</v>
      </c>
      <c r="BO900" s="4413"/>
      <c r="BP900" s="4413"/>
      <c r="BQ900" s="4413"/>
      <c r="BR900" s="4413"/>
      <c r="BS900" s="4413"/>
      <c r="BT900" s="4431"/>
      <c r="BU900" s="4432"/>
      <c r="BV900" s="4505">
        <f t="shared" si="452"/>
        <v>12.2</v>
      </c>
      <c r="BW900" s="4506">
        <f t="shared" si="453"/>
        <v>-0.199999999999999</v>
      </c>
    </row>
    <row r="901" s="4316" customFormat="1" ht="50" customHeight="1" spans="1:85">
      <c r="A901" s="4500">
        <v>45994</v>
      </c>
      <c r="B901" s="4501" t="s">
        <v>340</v>
      </c>
      <c r="C901" s="3708" t="s">
        <v>341</v>
      </c>
      <c r="D901" s="4502">
        <v>4500187827</v>
      </c>
      <c r="E901" s="3708">
        <v>196098</v>
      </c>
      <c r="F901" s="4502" t="s">
        <v>5547</v>
      </c>
      <c r="G901" s="3708" t="s">
        <v>2627</v>
      </c>
      <c r="H901" s="4154" t="s">
        <v>2591</v>
      </c>
      <c r="I901" s="4154">
        <v>1512</v>
      </c>
      <c r="J901" s="4154">
        <v>0</v>
      </c>
      <c r="K901" s="4154">
        <v>24</v>
      </c>
      <c r="L901" s="4154">
        <f t="shared" si="449"/>
        <v>63</v>
      </c>
      <c r="M901" s="4503">
        <v>46078</v>
      </c>
      <c r="N901" s="4553">
        <v>46074</v>
      </c>
      <c r="O901" s="4117"/>
      <c r="P901" s="4527" t="s">
        <v>82</v>
      </c>
      <c r="Q901" s="4157">
        <v>1512</v>
      </c>
      <c r="R901" s="4157">
        <f t="shared" si="454"/>
        <v>0</v>
      </c>
      <c r="S901" s="4173" t="s">
        <v>2297</v>
      </c>
      <c r="T901" s="4173" t="s">
        <v>321</v>
      </c>
      <c r="U901" s="3726" t="s">
        <v>5548</v>
      </c>
      <c r="V901" s="3711" t="s">
        <v>510</v>
      </c>
      <c r="W901" s="3711"/>
      <c r="X901" s="3711" t="s">
        <v>5549</v>
      </c>
      <c r="Y901" s="3711"/>
      <c r="Z901" s="4154"/>
      <c r="AA901" s="3680" t="s">
        <v>5550</v>
      </c>
      <c r="AB901" s="4154" t="s">
        <v>559</v>
      </c>
      <c r="AC901" s="3699">
        <v>2.0845</v>
      </c>
      <c r="AD901" s="4154">
        <f t="shared" si="455"/>
        <v>3151.764</v>
      </c>
      <c r="AE901" s="3726"/>
      <c r="AF901" s="3708" t="s">
        <v>2627</v>
      </c>
      <c r="AG901" s="3726" t="s">
        <v>416</v>
      </c>
      <c r="AH901" s="4430"/>
      <c r="AI901" s="4154"/>
      <c r="AJ901" s="4154">
        <f>I901</f>
        <v>1512</v>
      </c>
      <c r="AK901" s="4430"/>
      <c r="AL901" s="3708"/>
      <c r="AM901" s="3708"/>
      <c r="AN901" s="4154"/>
      <c r="AO901" s="4154"/>
      <c r="AP901" s="4154">
        <f t="shared" si="396"/>
        <v>1512</v>
      </c>
      <c r="AQ901" s="1048"/>
      <c r="AR901" s="4413"/>
      <c r="AS901" s="1048">
        <f>I901</f>
        <v>1512</v>
      </c>
      <c r="AT901" s="4413"/>
      <c r="AU901" s="1048"/>
      <c r="AV901" s="1048"/>
      <c r="AW901" s="1048"/>
      <c r="AX901" s="1048"/>
      <c r="AY901" s="1048"/>
      <c r="AZ901" s="1048"/>
      <c r="BA901" s="1048"/>
      <c r="BB901" s="1048"/>
      <c r="BC901" s="1048"/>
      <c r="BD901" s="1048"/>
      <c r="BE901" s="1048"/>
      <c r="BF901" s="1048" t="s">
        <v>89</v>
      </c>
      <c r="BG901" s="1048"/>
      <c r="BH901" s="1048">
        <f>I901/60*10</f>
        <v>252</v>
      </c>
      <c r="BI901" s="1048">
        <f t="shared" ref="BI901:BI909" si="458">I901/60*10</f>
        <v>252</v>
      </c>
      <c r="BJ901" s="1048">
        <f>I901/60*10</f>
        <v>252</v>
      </c>
      <c r="BK901" s="1048">
        <f t="shared" ref="BK901:BK909" si="459">I901/60*10</f>
        <v>252</v>
      </c>
      <c r="BL901" s="1048">
        <f t="shared" ref="BL901:BL909" si="460">I901/60*10</f>
        <v>252</v>
      </c>
      <c r="BM901" s="1048">
        <f>I901/60*8</f>
        <v>201.6</v>
      </c>
      <c r="BN901" s="1048">
        <f t="shared" ref="BN901:BN909" si="461">I901/60*2</f>
        <v>50.4</v>
      </c>
      <c r="BO901" s="4413"/>
      <c r="BP901" s="4413"/>
      <c r="BQ901" s="4413"/>
      <c r="BR901" s="4413"/>
      <c r="BS901" s="4413"/>
      <c r="BT901" s="4431"/>
      <c r="BU901" s="4432"/>
      <c r="BV901" s="4505">
        <f t="shared" si="452"/>
        <v>1512</v>
      </c>
      <c r="BW901" s="4506">
        <f t="shared" si="453"/>
        <v>0</v>
      </c>
      <c r="BX901" s="4554"/>
      <c r="BY901" s="4554"/>
      <c r="BZ901" s="4554"/>
      <c r="CA901" s="4555">
        <f t="shared" ref="CA901:CG901" si="462">CA891-BH901</f>
        <v>28293.6666666667</v>
      </c>
      <c r="CB901" s="4555">
        <f t="shared" si="462"/>
        <v>16997.6666666667</v>
      </c>
      <c r="CC901" s="4555">
        <f t="shared" si="462"/>
        <v>30720.6666666667</v>
      </c>
      <c r="CD901" s="4555">
        <f t="shared" si="462"/>
        <v>24214.6666666667</v>
      </c>
      <c r="CE901" s="4555">
        <f t="shared" si="462"/>
        <v>25784.6666666667</v>
      </c>
      <c r="CF901" s="4555">
        <f t="shared" si="462"/>
        <v>22313.3333333333</v>
      </c>
      <c r="CG901" s="4555">
        <f t="shared" si="462"/>
        <v>21308.7333333333</v>
      </c>
    </row>
    <row r="902" s="4316" customFormat="1" ht="50" customHeight="1" spans="1:85">
      <c r="A902" s="4500">
        <v>46387</v>
      </c>
      <c r="B902" s="4501" t="s">
        <v>2891</v>
      </c>
      <c r="C902" s="3708" t="s">
        <v>1279</v>
      </c>
      <c r="D902" s="4502">
        <v>4500190510</v>
      </c>
      <c r="E902" s="3708"/>
      <c r="F902" s="4502" t="s">
        <v>5551</v>
      </c>
      <c r="G902" s="3708" t="s">
        <v>2590</v>
      </c>
      <c r="H902" s="3708" t="s">
        <v>2591</v>
      </c>
      <c r="I902" s="4154">
        <v>960</v>
      </c>
      <c r="J902" s="4154">
        <v>0</v>
      </c>
      <c r="K902" s="4154">
        <v>6</v>
      </c>
      <c r="L902" s="4154">
        <f t="shared" si="449"/>
        <v>160</v>
      </c>
      <c r="M902" s="4503">
        <v>46084</v>
      </c>
      <c r="N902" s="4553">
        <f>M902-4</f>
        <v>46080</v>
      </c>
      <c r="O902" s="4117"/>
      <c r="P902" s="4527" t="s">
        <v>82</v>
      </c>
      <c r="Q902" s="4157">
        <v>960</v>
      </c>
      <c r="R902" s="4157">
        <f t="shared" si="454"/>
        <v>0</v>
      </c>
      <c r="S902" s="4173" t="s">
        <v>2297</v>
      </c>
      <c r="T902" s="4173" t="s">
        <v>321</v>
      </c>
      <c r="U902" s="3726" t="s">
        <v>2392</v>
      </c>
      <c r="V902" s="3711" t="s">
        <v>2379</v>
      </c>
      <c r="W902" s="3711"/>
      <c r="X902" s="3711" t="s">
        <v>5552</v>
      </c>
      <c r="Y902" s="3711"/>
      <c r="Z902" s="4154"/>
      <c r="AA902" s="3680" t="s">
        <v>5553</v>
      </c>
      <c r="AB902" s="4154" t="s">
        <v>3720</v>
      </c>
      <c r="AC902" s="4154">
        <v>2.1582</v>
      </c>
      <c r="AD902" s="4154">
        <f t="shared" si="455"/>
        <v>2071.872</v>
      </c>
      <c r="AE902" s="3726"/>
      <c r="AF902" s="4160" t="s">
        <v>3614</v>
      </c>
      <c r="AG902" s="3726" t="s">
        <v>416</v>
      </c>
      <c r="AH902" s="4154"/>
      <c r="AI902" s="4154"/>
      <c r="AJ902" s="3708"/>
      <c r="AK902" s="3708"/>
      <c r="AL902" s="4154"/>
      <c r="AM902" s="3708">
        <f>I902</f>
        <v>960</v>
      </c>
      <c r="AN902" s="4154"/>
      <c r="AO902" s="1048"/>
      <c r="AP902" s="1048">
        <f t="shared" si="396"/>
        <v>960</v>
      </c>
      <c r="AQ902" s="1048"/>
      <c r="AR902" s="1040"/>
      <c r="AS902" s="1048">
        <f>I902</f>
        <v>960</v>
      </c>
      <c r="AT902" s="1040"/>
      <c r="AU902" s="1048"/>
      <c r="AV902" s="1048"/>
      <c r="AW902" s="1048">
        <f>I902/6</f>
        <v>160</v>
      </c>
      <c r="AX902" s="1048"/>
      <c r="AY902" s="1048"/>
      <c r="AZ902" s="1048"/>
      <c r="BA902" s="1048"/>
      <c r="BB902" s="1048"/>
      <c r="BC902" s="1048"/>
      <c r="BD902" s="1048"/>
      <c r="BE902" s="1048"/>
      <c r="BF902" s="1048" t="s">
        <v>89</v>
      </c>
      <c r="BG902" s="1048"/>
      <c r="BH902" s="4510">
        <f>I902/60*10</f>
        <v>160</v>
      </c>
      <c r="BI902" s="4510">
        <f t="shared" si="458"/>
        <v>160</v>
      </c>
      <c r="BJ902" s="4510">
        <f>I902/60*10</f>
        <v>160</v>
      </c>
      <c r="BK902" s="4525">
        <f t="shared" si="459"/>
        <v>160</v>
      </c>
      <c r="BL902" s="4525">
        <f t="shared" si="460"/>
        <v>160</v>
      </c>
      <c r="BM902" s="4562">
        <f>I902/60*8</f>
        <v>128</v>
      </c>
      <c r="BN902" s="4562">
        <f t="shared" si="461"/>
        <v>32</v>
      </c>
      <c r="BO902" s="4569"/>
      <c r="BP902" s="4565"/>
      <c r="BQ902" s="4565"/>
      <c r="BR902" s="4565"/>
      <c r="BS902" s="4565"/>
      <c r="BT902" s="4565"/>
      <c r="BU902" s="4565"/>
      <c r="BV902" s="4160">
        <f t="shared" si="452"/>
        <v>960</v>
      </c>
      <c r="BW902" s="4160">
        <f t="shared" si="453"/>
        <v>0</v>
      </c>
      <c r="BX902" s="4323"/>
      <c r="BY902" s="4323"/>
      <c r="BZ902" s="4323"/>
      <c r="CA902" s="4511"/>
      <c r="CC902" s="4512"/>
      <c r="CD902" s="4511"/>
    </row>
    <row r="903" s="4316" customFormat="1" ht="50" customHeight="1" spans="1:85">
      <c r="A903" s="4500">
        <v>45968</v>
      </c>
      <c r="B903" s="4501" t="s">
        <v>5122</v>
      </c>
      <c r="C903" s="3708" t="s">
        <v>471</v>
      </c>
      <c r="D903" s="4502">
        <v>4500184740</v>
      </c>
      <c r="E903" s="3708" t="s">
        <v>5554</v>
      </c>
      <c r="F903" s="4502" t="s">
        <v>5555</v>
      </c>
      <c r="G903" s="3708" t="s">
        <v>4068</v>
      </c>
      <c r="H903" s="3708" t="s">
        <v>4069</v>
      </c>
      <c r="I903" s="4154">
        <v>1512</v>
      </c>
      <c r="J903" s="4154">
        <v>0</v>
      </c>
      <c r="K903" s="4154">
        <v>24</v>
      </c>
      <c r="L903" s="4154">
        <f t="shared" si="449"/>
        <v>63</v>
      </c>
      <c r="M903" s="4503">
        <v>46080</v>
      </c>
      <c r="N903" s="4553">
        <v>46076</v>
      </c>
      <c r="O903" s="4117"/>
      <c r="P903" s="4527" t="s">
        <v>82</v>
      </c>
      <c r="Q903" s="4157">
        <v>1512</v>
      </c>
      <c r="R903" s="4157">
        <f t="shared" si="454"/>
        <v>0</v>
      </c>
      <c r="S903" s="4173" t="s">
        <v>2297</v>
      </c>
      <c r="T903" s="4159" t="s">
        <v>321</v>
      </c>
      <c r="U903" s="3726" t="s">
        <v>3120</v>
      </c>
      <c r="V903" s="3711" t="s">
        <v>2354</v>
      </c>
      <c r="W903" s="3711"/>
      <c r="X903" s="3711" t="s">
        <v>5126</v>
      </c>
      <c r="Y903" s="3711"/>
      <c r="Z903" s="4154"/>
      <c r="AA903" s="3680" t="s">
        <v>5556</v>
      </c>
      <c r="AB903" s="4154" t="s">
        <v>2624</v>
      </c>
      <c r="AC903" s="4504">
        <v>2.0875</v>
      </c>
      <c r="AD903" s="4154">
        <f t="shared" si="455"/>
        <v>3156.3</v>
      </c>
      <c r="AE903" s="3726"/>
      <c r="AF903" s="4160" t="s">
        <v>4073</v>
      </c>
      <c r="AG903" s="3726" t="s">
        <v>416</v>
      </c>
      <c r="AH903" s="4412"/>
      <c r="AI903" s="4154"/>
      <c r="AJ903" s="4154">
        <f>I903</f>
        <v>1512</v>
      </c>
      <c r="AK903" s="4412"/>
      <c r="AL903" s="3708"/>
      <c r="AM903" s="3708"/>
      <c r="AN903" s="4154"/>
      <c r="AO903" s="4154"/>
      <c r="AP903" s="4154">
        <f t="shared" si="396"/>
        <v>1512</v>
      </c>
      <c r="AQ903" s="1048"/>
      <c r="AR903" s="1040"/>
      <c r="AS903" s="1048"/>
      <c r="AT903" s="1040"/>
      <c r="AU903" s="1048">
        <f>I903</f>
        <v>1512</v>
      </c>
      <c r="AV903" s="1048"/>
      <c r="AW903" s="1048"/>
      <c r="AX903" s="1048"/>
      <c r="AY903" s="1048"/>
      <c r="AZ903" s="1048"/>
      <c r="BA903" s="1048"/>
      <c r="BB903" s="1048"/>
      <c r="BC903" s="1048"/>
      <c r="BD903" s="1048"/>
      <c r="BE903" s="1048"/>
      <c r="BF903" s="1048" t="s">
        <v>89</v>
      </c>
      <c r="BG903" s="1048"/>
      <c r="BH903" s="1048">
        <f>I903/60*10</f>
        <v>252</v>
      </c>
      <c r="BI903" s="1048">
        <f t="shared" si="458"/>
        <v>252</v>
      </c>
      <c r="BJ903" s="1048">
        <f>I903/60*10</f>
        <v>252</v>
      </c>
      <c r="BK903" s="1048">
        <f t="shared" si="459"/>
        <v>252</v>
      </c>
      <c r="BL903" s="1048">
        <f t="shared" si="460"/>
        <v>252</v>
      </c>
      <c r="BM903" s="1048">
        <f>I903/60*8</f>
        <v>201.6</v>
      </c>
      <c r="BN903" s="1048">
        <f t="shared" si="461"/>
        <v>50.4</v>
      </c>
      <c r="BO903" s="1040"/>
      <c r="BP903" s="1040"/>
      <c r="BQ903" s="1040"/>
      <c r="BR903" s="1040"/>
      <c r="BS903" s="1040"/>
      <c r="BT903" s="1041"/>
      <c r="BU903" s="4524"/>
      <c r="BV903" s="4505">
        <f t="shared" si="452"/>
        <v>1512</v>
      </c>
      <c r="BW903" s="4506">
        <f t="shared" si="453"/>
        <v>0</v>
      </c>
      <c r="BX903" s="4554"/>
      <c r="BY903" s="4554"/>
      <c r="BZ903" s="4554"/>
      <c r="CA903" s="4555">
        <f t="shared" ref="CA903:CF903" si="463">CA901-BH903</f>
        <v>28041.6666666667</v>
      </c>
      <c r="CB903" s="4555">
        <f t="shared" si="463"/>
        <v>16745.6666666667</v>
      </c>
      <c r="CC903" s="4555">
        <f t="shared" si="463"/>
        <v>30468.6666666667</v>
      </c>
      <c r="CD903" s="4555">
        <f t="shared" si="463"/>
        <v>23962.6666666667</v>
      </c>
      <c r="CE903" s="4555">
        <f t="shared" si="463"/>
        <v>25532.6666666667</v>
      </c>
      <c r="CF903" s="4555">
        <f t="shared" si="463"/>
        <v>22111.7333333333</v>
      </c>
      <c r="CG903" s="4555">
        <f>CG891-BN903</f>
        <v>21308.7333333333</v>
      </c>
    </row>
    <row r="904" s="4316" customFormat="1" ht="50" customHeight="1" spans="1:85">
      <c r="A904" s="4500">
        <v>46001</v>
      </c>
      <c r="B904" s="4501" t="s">
        <v>5030</v>
      </c>
      <c r="C904" s="3708" t="s">
        <v>341</v>
      </c>
      <c r="D904" s="4502">
        <v>4500188546</v>
      </c>
      <c r="E904" s="3708">
        <v>2950867611</v>
      </c>
      <c r="F904" s="4502" t="s">
        <v>5557</v>
      </c>
      <c r="G904" s="3708" t="s">
        <v>5033</v>
      </c>
      <c r="H904" s="3708" t="s">
        <v>3069</v>
      </c>
      <c r="I904" s="4154">
        <v>2016</v>
      </c>
      <c r="J904" s="4154">
        <v>4</v>
      </c>
      <c r="K904" s="4154">
        <v>288</v>
      </c>
      <c r="L904" s="4154">
        <f t="shared" si="449"/>
        <v>7</v>
      </c>
      <c r="M904" s="4503">
        <v>46083</v>
      </c>
      <c r="N904" s="4553">
        <f>M904-4</f>
        <v>46079</v>
      </c>
      <c r="O904" s="4117"/>
      <c r="P904" s="4527" t="s">
        <v>82</v>
      </c>
      <c r="Q904" s="4157">
        <v>2016</v>
      </c>
      <c r="R904" s="4157">
        <f t="shared" si="454"/>
        <v>0</v>
      </c>
      <c r="S904" s="4173" t="s">
        <v>98</v>
      </c>
      <c r="T904" s="4159" t="s">
        <v>321</v>
      </c>
      <c r="U904" s="3726" t="s">
        <v>5558</v>
      </c>
      <c r="V904" s="3711" t="s">
        <v>2875</v>
      </c>
      <c r="W904" s="3711"/>
      <c r="X904" s="3711" t="s">
        <v>98</v>
      </c>
      <c r="Y904" s="3711"/>
      <c r="Z904" s="4154"/>
      <c r="AA904" s="3680" t="s">
        <v>5559</v>
      </c>
      <c r="AB904" s="4154" t="s">
        <v>5106</v>
      </c>
      <c r="AC904" s="4154">
        <v>61.8059</v>
      </c>
      <c r="AD904" s="4154">
        <f>AC904*L904</f>
        <v>432.6413</v>
      </c>
      <c r="AE904" s="3726"/>
      <c r="AF904" s="4160" t="s">
        <v>2604</v>
      </c>
      <c r="AG904" s="3726" t="s">
        <v>416</v>
      </c>
      <c r="AH904" s="4430"/>
      <c r="AI904" s="4154"/>
      <c r="AJ904" s="4154">
        <f>I904</f>
        <v>2016</v>
      </c>
      <c r="AK904" s="4430"/>
      <c r="AL904" s="3708"/>
      <c r="AM904" s="3708"/>
      <c r="AN904" s="4154"/>
      <c r="AO904" s="4154"/>
      <c r="AP904" s="4154">
        <f t="shared" si="396"/>
        <v>2016</v>
      </c>
      <c r="AQ904" s="1048"/>
      <c r="AR904" s="4413"/>
      <c r="AS904" s="1048">
        <f>I904</f>
        <v>2016</v>
      </c>
      <c r="AT904" s="4413"/>
      <c r="AU904" s="1048"/>
      <c r="AV904" s="1048"/>
      <c r="AW904" s="1048"/>
      <c r="AX904" s="1048"/>
      <c r="AY904" s="1048"/>
      <c r="AZ904" s="1048"/>
      <c r="BA904" s="4510">
        <f>I904/4</f>
        <v>504</v>
      </c>
      <c r="BB904" s="1048"/>
      <c r="BC904" s="1048"/>
      <c r="BD904" s="1048"/>
      <c r="BE904" s="1048"/>
      <c r="BF904" s="1048" t="s">
        <v>89</v>
      </c>
      <c r="BG904" s="1048"/>
      <c r="BH904" s="1048">
        <f>I904/60*10</f>
        <v>336</v>
      </c>
      <c r="BI904" s="1048">
        <f t="shared" si="458"/>
        <v>336</v>
      </c>
      <c r="BJ904" s="1048">
        <f>I904/60*10</f>
        <v>336</v>
      </c>
      <c r="BK904" s="1048">
        <f t="shared" si="459"/>
        <v>336</v>
      </c>
      <c r="BL904" s="1048">
        <f t="shared" si="460"/>
        <v>336</v>
      </c>
      <c r="BM904" s="1048">
        <f>I904/60*8</f>
        <v>268.8</v>
      </c>
      <c r="BN904" s="1048">
        <f t="shared" si="461"/>
        <v>67.2</v>
      </c>
      <c r="BO904" s="4413"/>
      <c r="BP904" s="4413"/>
      <c r="BQ904" s="4413"/>
      <c r="BR904" s="4413"/>
      <c r="BS904" s="4413"/>
      <c r="BT904" s="4431"/>
      <c r="BU904" s="4432"/>
      <c r="BV904" s="4505">
        <f t="shared" si="452"/>
        <v>2016</v>
      </c>
      <c r="BW904" s="4506">
        <f t="shared" si="453"/>
        <v>0</v>
      </c>
      <c r="BX904" s="4554"/>
      <c r="BY904" s="4554"/>
      <c r="BZ904" s="4554"/>
      <c r="CA904" s="4555">
        <f t="shared" ref="CA904:CF904" si="464">CA921-BH904</f>
        <v>27321.6666666667</v>
      </c>
      <c r="CB904" s="4555">
        <f t="shared" si="464"/>
        <v>16025.6666666667</v>
      </c>
      <c r="CC904" s="4555">
        <f t="shared" si="464"/>
        <v>29748.6666666667</v>
      </c>
      <c r="CD904" s="4555">
        <f t="shared" si="464"/>
        <v>23242.6666666667</v>
      </c>
      <c r="CE904" s="4555">
        <f t="shared" si="464"/>
        <v>24812.6666666667</v>
      </c>
      <c r="CF904" s="4555">
        <f t="shared" si="464"/>
        <v>21535.7333333333</v>
      </c>
      <c r="CG904" s="4555">
        <f>CG884-BN904</f>
        <v>21217.5333333333</v>
      </c>
    </row>
    <row r="905" s="4316" customFormat="1" ht="50" customHeight="1" spans="1:85">
      <c r="A905" s="4500">
        <v>45993</v>
      </c>
      <c r="B905" s="4501" t="s">
        <v>5560</v>
      </c>
      <c r="C905" s="3708" t="s">
        <v>562</v>
      </c>
      <c r="D905" s="4502">
        <v>4500187657</v>
      </c>
      <c r="E905" s="3708"/>
      <c r="F905" s="4502" t="s">
        <v>5561</v>
      </c>
      <c r="G905" s="3708" t="s">
        <v>2627</v>
      </c>
      <c r="H905" s="4154" t="s">
        <v>2591</v>
      </c>
      <c r="I905" s="4154">
        <v>816</v>
      </c>
      <c r="J905" s="4154">
        <v>0</v>
      </c>
      <c r="K905" s="4154">
        <v>24</v>
      </c>
      <c r="L905" s="4154">
        <f t="shared" si="449"/>
        <v>34</v>
      </c>
      <c r="M905" s="4503">
        <v>46051</v>
      </c>
      <c r="N905" s="4553">
        <v>46048</v>
      </c>
      <c r="O905" s="4117"/>
      <c r="P905" s="4527" t="s">
        <v>82</v>
      </c>
      <c r="Q905" s="4157">
        <f>792+24</f>
        <v>816</v>
      </c>
      <c r="R905" s="4157">
        <f t="shared" si="454"/>
        <v>0</v>
      </c>
      <c r="S905" s="4173" t="s">
        <v>2297</v>
      </c>
      <c r="T905" s="4173" t="s">
        <v>321</v>
      </c>
      <c r="U905" s="3680" t="s">
        <v>5337</v>
      </c>
      <c r="V905" s="3711" t="s">
        <v>5562</v>
      </c>
      <c r="W905" s="3711"/>
      <c r="X905" s="3711" t="s">
        <v>5563</v>
      </c>
      <c r="Y905" s="3711"/>
      <c r="Z905" s="4154"/>
      <c r="AA905" s="3680" t="s">
        <v>5564</v>
      </c>
      <c r="AB905" s="4154" t="s">
        <v>459</v>
      </c>
      <c r="AC905" s="3699">
        <v>2.0891</v>
      </c>
      <c r="AD905" s="4154">
        <f>AC905*I905</f>
        <v>1704.7056</v>
      </c>
      <c r="AE905" s="3726"/>
      <c r="AF905" s="4160" t="s">
        <v>2890</v>
      </c>
      <c r="AG905" s="3726" t="s">
        <v>416</v>
      </c>
      <c r="AH905" s="4430"/>
      <c r="AI905" s="4154"/>
      <c r="AJ905" s="4154"/>
      <c r="AK905" s="4430"/>
      <c r="AL905" s="3708"/>
      <c r="AM905" s="3708">
        <f>I905</f>
        <v>816</v>
      </c>
      <c r="AN905" s="4154"/>
      <c r="AO905" s="4154"/>
      <c r="AP905" s="4154">
        <f t="shared" ref="AP905:AP938" si="465">I905</f>
        <v>816</v>
      </c>
      <c r="AQ905" s="1048"/>
      <c r="AR905" s="4413"/>
      <c r="AS905" s="1048">
        <f t="shared" ref="AS905:AS910" si="466">I905</f>
        <v>816</v>
      </c>
      <c r="AT905" s="4413"/>
      <c r="AU905" s="1048"/>
      <c r="AV905" s="1048"/>
      <c r="AW905" s="1048"/>
      <c r="AX905" s="1048"/>
      <c r="AY905" s="1048"/>
      <c r="AZ905" s="1048"/>
      <c r="BA905" s="1048"/>
      <c r="BB905" s="1048"/>
      <c r="BC905" s="1048"/>
      <c r="BD905" s="1048"/>
      <c r="BE905" s="1048"/>
      <c r="BF905" s="1048" t="s">
        <v>89</v>
      </c>
      <c r="BG905" s="1048"/>
      <c r="BH905" s="1048">
        <f t="shared" ref="BH905:BH910" si="467">I905/60*10</f>
        <v>136</v>
      </c>
      <c r="BI905" s="1048">
        <f t="shared" si="458"/>
        <v>136</v>
      </c>
      <c r="BJ905" s="1048">
        <f t="shared" ref="BJ905:BJ910" si="468">I905/60*10</f>
        <v>136</v>
      </c>
      <c r="BK905" s="1048">
        <f t="shared" si="459"/>
        <v>136</v>
      </c>
      <c r="BL905" s="1048">
        <f t="shared" si="460"/>
        <v>136</v>
      </c>
      <c r="BM905" s="1048">
        <f t="shared" ref="BM905:BM910" si="469">I905/60*8</f>
        <v>108.8</v>
      </c>
      <c r="BN905" s="1048">
        <f t="shared" si="461"/>
        <v>27.2</v>
      </c>
      <c r="BO905" s="4413"/>
      <c r="BP905" s="4413"/>
      <c r="BQ905" s="4413"/>
      <c r="BR905" s="4413"/>
      <c r="BS905" s="4413"/>
      <c r="BT905" s="4431"/>
      <c r="BU905" s="4432"/>
      <c r="BV905" s="4505">
        <f t="shared" si="452"/>
        <v>816</v>
      </c>
      <c r="BW905" s="4506">
        <f t="shared" si="453"/>
        <v>0</v>
      </c>
      <c r="BX905" s="4554"/>
      <c r="BY905" s="4554"/>
      <c r="BZ905" s="4554"/>
      <c r="CA905" s="4555">
        <f t="shared" ref="CA905:CF905" si="470">CA873-BH905</f>
        <v>29375.6666666667</v>
      </c>
      <c r="CB905" s="4555">
        <f t="shared" si="470"/>
        <v>18079.6666666667</v>
      </c>
      <c r="CC905" s="4555">
        <f t="shared" si="470"/>
        <v>31802.6666666667</v>
      </c>
      <c r="CD905" s="4555">
        <f t="shared" si="470"/>
        <v>25296.6666666667</v>
      </c>
      <c r="CE905" s="4555">
        <f t="shared" si="470"/>
        <v>26866.6666666667</v>
      </c>
      <c r="CF905" s="4555">
        <f t="shared" si="470"/>
        <v>23178.9333333333</v>
      </c>
      <c r="CG905" s="4555">
        <f>CG872-BN905</f>
        <v>21479.1333333333</v>
      </c>
    </row>
    <row r="906" s="4316" customFormat="1" ht="50" customHeight="1" spans="1:85">
      <c r="A906" s="4500">
        <v>46027</v>
      </c>
      <c r="B906" s="4501" t="s">
        <v>2597</v>
      </c>
      <c r="C906" s="3708" t="s">
        <v>738</v>
      </c>
      <c r="D906" s="4502">
        <v>4500181047</v>
      </c>
      <c r="E906" s="3708">
        <v>137121075</v>
      </c>
      <c r="F906" s="4502" t="s">
        <v>5565</v>
      </c>
      <c r="G906" s="3708" t="s">
        <v>2577</v>
      </c>
      <c r="H906" s="3708" t="s">
        <v>2578</v>
      </c>
      <c r="I906" s="4154">
        <v>576</v>
      </c>
      <c r="J906" s="4154">
        <v>0</v>
      </c>
      <c r="K906" s="4154">
        <v>12</v>
      </c>
      <c r="L906" s="4154">
        <f t="shared" si="449"/>
        <v>48</v>
      </c>
      <c r="M906" s="3707">
        <v>46055</v>
      </c>
      <c r="N906" s="3707">
        <f>M906-4</f>
        <v>46051</v>
      </c>
      <c r="O906" s="4601" t="s">
        <v>5566</v>
      </c>
      <c r="P906" s="4527" t="s">
        <v>82</v>
      </c>
      <c r="Q906" s="4157">
        <v>576</v>
      </c>
      <c r="R906" s="4157">
        <f t="shared" si="454"/>
        <v>0</v>
      </c>
      <c r="S906" s="4174" t="s">
        <v>2297</v>
      </c>
      <c r="T906" s="4173" t="s">
        <v>321</v>
      </c>
      <c r="U906" s="3726" t="s">
        <v>2362</v>
      </c>
      <c r="V906" s="3711" t="s">
        <v>5567</v>
      </c>
      <c r="W906" s="3710"/>
      <c r="X906" s="3711" t="s">
        <v>5568</v>
      </c>
      <c r="Y906" s="3711"/>
      <c r="Z906" s="4154"/>
      <c r="AA906" s="3680" t="s">
        <v>5569</v>
      </c>
      <c r="AB906" s="4154" t="s">
        <v>1257</v>
      </c>
      <c r="AC906" s="4154">
        <v>2.1392</v>
      </c>
      <c r="AD906" s="4154">
        <f>AC906*I906</f>
        <v>1232.1792</v>
      </c>
      <c r="AE906" s="3726"/>
      <c r="AF906" s="3708" t="s">
        <v>2604</v>
      </c>
      <c r="AG906" s="3726" t="s">
        <v>416</v>
      </c>
      <c r="AH906" s="3708"/>
      <c r="AI906" s="4154"/>
      <c r="AJ906" s="4154"/>
      <c r="AK906" s="3708"/>
      <c r="AL906" s="3708"/>
      <c r="AM906" s="3708">
        <f>I906</f>
        <v>576</v>
      </c>
      <c r="AN906" s="4154"/>
      <c r="AO906" s="4154"/>
      <c r="AP906" s="4154">
        <f t="shared" si="465"/>
        <v>576</v>
      </c>
      <c r="AQ906" s="1048"/>
      <c r="AR906" s="1040"/>
      <c r="AS906" s="1048">
        <f t="shared" si="466"/>
        <v>576</v>
      </c>
      <c r="AT906" s="1040"/>
      <c r="AU906" s="1048"/>
      <c r="AV906" s="1048"/>
      <c r="AW906" s="1048">
        <f>I906/6</f>
        <v>96</v>
      </c>
      <c r="AX906" s="1048"/>
      <c r="AY906" s="1048"/>
      <c r="AZ906" s="1048"/>
      <c r="BA906" s="1048"/>
      <c r="BB906" s="1048"/>
      <c r="BC906" s="1048"/>
      <c r="BD906" s="1048"/>
      <c r="BE906" s="1048"/>
      <c r="BF906" s="1048" t="s">
        <v>89</v>
      </c>
      <c r="BG906" s="1048"/>
      <c r="BH906" s="1048">
        <f t="shared" si="467"/>
        <v>96</v>
      </c>
      <c r="BI906" s="1048">
        <f t="shared" si="458"/>
        <v>96</v>
      </c>
      <c r="BJ906" s="1048">
        <f t="shared" si="468"/>
        <v>96</v>
      </c>
      <c r="BK906" s="1048">
        <f t="shared" si="459"/>
        <v>96</v>
      </c>
      <c r="BL906" s="1048">
        <f t="shared" si="460"/>
        <v>96</v>
      </c>
      <c r="BM906" s="4505">
        <f t="shared" si="469"/>
        <v>76.8</v>
      </c>
      <c r="BN906" s="4505">
        <f t="shared" si="461"/>
        <v>19.2</v>
      </c>
      <c r="BO906" s="4569"/>
      <c r="BP906" s="4569"/>
      <c r="BQ906" s="4569"/>
      <c r="BR906" s="4570"/>
      <c r="BS906" s="1051"/>
      <c r="BT906" s="4572"/>
      <c r="BU906" s="4570"/>
      <c r="BV906" s="4160">
        <f t="shared" si="452"/>
        <v>576</v>
      </c>
      <c r="BW906" s="4160">
        <f t="shared" si="453"/>
        <v>0</v>
      </c>
      <c r="BX906" s="4323"/>
      <c r="BY906" s="4323"/>
      <c r="BZ906" s="4323"/>
      <c r="CA906" s="4511"/>
      <c r="CC906" s="4512"/>
      <c r="CD906" s="4511"/>
    </row>
    <row r="907" s="4316" customFormat="1" ht="50" customHeight="1" spans="1:85">
      <c r="A907" s="4500">
        <v>46027</v>
      </c>
      <c r="B907" s="4501" t="s">
        <v>2597</v>
      </c>
      <c r="C907" s="3708" t="s">
        <v>738</v>
      </c>
      <c r="D907" s="4502">
        <v>4500181047</v>
      </c>
      <c r="E907" s="3708">
        <v>137121646</v>
      </c>
      <c r="F907" s="4502" t="s">
        <v>5570</v>
      </c>
      <c r="G907" s="3708" t="s">
        <v>2577</v>
      </c>
      <c r="H907" s="3708" t="s">
        <v>2578</v>
      </c>
      <c r="I907" s="4154">
        <v>624</v>
      </c>
      <c r="J907" s="4154">
        <v>0</v>
      </c>
      <c r="K907" s="4154">
        <v>12</v>
      </c>
      <c r="L907" s="4154">
        <f t="shared" si="449"/>
        <v>52</v>
      </c>
      <c r="M907" s="3707">
        <v>46055</v>
      </c>
      <c r="N907" s="3707">
        <f>M907-4</f>
        <v>46051</v>
      </c>
      <c r="O907" s="4601" t="s">
        <v>5566</v>
      </c>
      <c r="P907" s="4527" t="s">
        <v>82</v>
      </c>
      <c r="Q907" s="4157">
        <v>624</v>
      </c>
      <c r="R907" s="4157">
        <f t="shared" si="454"/>
        <v>0</v>
      </c>
      <c r="S907" s="4162"/>
      <c r="T907" s="4173" t="s">
        <v>321</v>
      </c>
      <c r="U907" s="3726" t="s">
        <v>2362</v>
      </c>
      <c r="V907" s="3711" t="s">
        <v>5567</v>
      </c>
      <c r="W907" s="3710"/>
      <c r="X907" s="3711" t="s">
        <v>5568</v>
      </c>
      <c r="Y907" s="3711"/>
      <c r="Z907" s="4154"/>
      <c r="AA907" s="3680" t="s">
        <v>5569</v>
      </c>
      <c r="AB907" s="4154" t="s">
        <v>1257</v>
      </c>
      <c r="AC907" s="4154">
        <v>2.1392</v>
      </c>
      <c r="AD907" s="4154">
        <f>AC907*I907</f>
        <v>1334.8608</v>
      </c>
      <c r="AE907" s="3726"/>
      <c r="AF907" s="3708" t="s">
        <v>2604</v>
      </c>
      <c r="AG907" s="3726" t="s">
        <v>416</v>
      </c>
      <c r="AH907" s="3708"/>
      <c r="AI907" s="4154"/>
      <c r="AJ907" s="4154"/>
      <c r="AK907" s="3708"/>
      <c r="AL907" s="3708"/>
      <c r="AM907" s="3708">
        <f>I907</f>
        <v>624</v>
      </c>
      <c r="AN907" s="4154"/>
      <c r="AO907" s="4154"/>
      <c r="AP907" s="4154">
        <f t="shared" si="465"/>
        <v>624</v>
      </c>
      <c r="AQ907" s="1048"/>
      <c r="AR907" s="1040"/>
      <c r="AS907" s="1048">
        <f t="shared" si="466"/>
        <v>624</v>
      </c>
      <c r="AT907" s="1040"/>
      <c r="AU907" s="1048"/>
      <c r="AV907" s="1048"/>
      <c r="AW907" s="1048">
        <f>I907/6</f>
        <v>104</v>
      </c>
      <c r="AX907" s="1048"/>
      <c r="AY907" s="1048"/>
      <c r="AZ907" s="1048"/>
      <c r="BA907" s="1048"/>
      <c r="BB907" s="1048"/>
      <c r="BC907" s="1048"/>
      <c r="BD907" s="1048"/>
      <c r="BE907" s="1048"/>
      <c r="BF907" s="1048" t="s">
        <v>89</v>
      </c>
      <c r="BG907" s="1048"/>
      <c r="BH907" s="1048">
        <f t="shared" si="467"/>
        <v>104</v>
      </c>
      <c r="BI907" s="1048">
        <f t="shared" si="458"/>
        <v>104</v>
      </c>
      <c r="BJ907" s="1048">
        <f t="shared" si="468"/>
        <v>104</v>
      </c>
      <c r="BK907" s="1048">
        <f t="shared" si="459"/>
        <v>104</v>
      </c>
      <c r="BL907" s="1048">
        <f t="shared" si="460"/>
        <v>104</v>
      </c>
      <c r="BM907" s="4505">
        <f t="shared" si="469"/>
        <v>83.2</v>
      </c>
      <c r="BN907" s="4505">
        <f t="shared" si="461"/>
        <v>20.8</v>
      </c>
      <c r="BO907" s="4569"/>
      <c r="BP907" s="4569"/>
      <c r="BQ907" s="4569"/>
      <c r="BR907" s="4570"/>
      <c r="BS907" s="1051"/>
      <c r="BT907" s="4572"/>
      <c r="BU907" s="4570"/>
      <c r="BV907" s="4160">
        <f t="shared" si="452"/>
        <v>624</v>
      </c>
      <c r="BW907" s="4160">
        <f t="shared" si="453"/>
        <v>0</v>
      </c>
      <c r="BX907" s="4323"/>
      <c r="BY907" s="4323"/>
      <c r="BZ907" s="4323"/>
      <c r="CA907" s="4511"/>
      <c r="CC907" s="4512"/>
      <c r="CD907" s="4511"/>
    </row>
    <row r="908" s="4316" customFormat="1" ht="50" customHeight="1" spans="1:85">
      <c r="A908" s="4500">
        <v>45930</v>
      </c>
      <c r="B908" s="4501" t="s">
        <v>2597</v>
      </c>
      <c r="C908" s="3708" t="s">
        <v>738</v>
      </c>
      <c r="D908" s="4502">
        <v>4500181047</v>
      </c>
      <c r="E908" s="3708">
        <v>137110638</v>
      </c>
      <c r="F908" s="4502" t="s">
        <v>5571</v>
      </c>
      <c r="G908" s="3708" t="s">
        <v>2577</v>
      </c>
      <c r="H908" s="3708" t="s">
        <v>2578</v>
      </c>
      <c r="I908" s="4154">
        <v>804</v>
      </c>
      <c r="J908" s="4154">
        <v>0</v>
      </c>
      <c r="K908" s="4154">
        <v>12</v>
      </c>
      <c r="L908" s="4154">
        <f t="shared" si="449"/>
        <v>67</v>
      </c>
      <c r="M908" s="3707">
        <v>46055</v>
      </c>
      <c r="N908" s="3707">
        <f>M908-4</f>
        <v>46051</v>
      </c>
      <c r="O908" s="3708"/>
      <c r="P908" s="4527" t="s">
        <v>82</v>
      </c>
      <c r="Q908" s="4157">
        <v>804</v>
      </c>
      <c r="R908" s="4157">
        <f t="shared" si="454"/>
        <v>0</v>
      </c>
      <c r="S908" s="4162"/>
      <c r="T908" s="4173" t="s">
        <v>321</v>
      </c>
      <c r="U908" s="3726" t="s">
        <v>2362</v>
      </c>
      <c r="V908" s="3711" t="s">
        <v>5567</v>
      </c>
      <c r="W908" s="3711"/>
      <c r="X908" s="3711" t="s">
        <v>5568</v>
      </c>
      <c r="Y908" s="3711"/>
      <c r="Z908" s="4154"/>
      <c r="AA908" s="3680" t="s">
        <v>5572</v>
      </c>
      <c r="AB908" s="4154" t="s">
        <v>1257</v>
      </c>
      <c r="AC908" s="4154">
        <v>2.1392</v>
      </c>
      <c r="AD908" s="4154">
        <f>AC908*I908</f>
        <v>1719.9168</v>
      </c>
      <c r="AE908" s="3726"/>
      <c r="AF908" s="3708" t="s">
        <v>2604</v>
      </c>
      <c r="AG908" s="3726" t="s">
        <v>416</v>
      </c>
      <c r="AH908" s="4430"/>
      <c r="AI908" s="4154"/>
      <c r="AJ908" s="4509"/>
      <c r="AK908" s="4430"/>
      <c r="AL908" s="3708"/>
      <c r="AM908" s="3708">
        <f>I908</f>
        <v>804</v>
      </c>
      <c r="AN908" s="4154"/>
      <c r="AO908" s="4154"/>
      <c r="AP908" s="4154">
        <f t="shared" si="465"/>
        <v>804</v>
      </c>
      <c r="AQ908" s="1048"/>
      <c r="AR908" s="4413"/>
      <c r="AS908" s="1048">
        <f t="shared" si="466"/>
        <v>804</v>
      </c>
      <c r="AT908" s="4413"/>
      <c r="AU908" s="1048"/>
      <c r="AV908" s="1048"/>
      <c r="AW908" s="4510">
        <f>I908/6</f>
        <v>134</v>
      </c>
      <c r="AX908" s="1048"/>
      <c r="AY908" s="1048"/>
      <c r="AZ908" s="1048"/>
      <c r="BA908" s="1048"/>
      <c r="BB908" s="1048"/>
      <c r="BC908" s="1048"/>
      <c r="BD908" s="1048"/>
      <c r="BE908" s="1048"/>
      <c r="BF908" s="1048" t="s">
        <v>89</v>
      </c>
      <c r="BG908" s="1048"/>
      <c r="BH908" s="1048">
        <f t="shared" si="467"/>
        <v>134</v>
      </c>
      <c r="BI908" s="1048">
        <f t="shared" si="458"/>
        <v>134</v>
      </c>
      <c r="BJ908" s="1048">
        <f t="shared" si="468"/>
        <v>134</v>
      </c>
      <c r="BK908" s="1048">
        <f t="shared" si="459"/>
        <v>134</v>
      </c>
      <c r="BL908" s="1048">
        <f t="shared" si="460"/>
        <v>134</v>
      </c>
      <c r="BM908" s="1048">
        <f t="shared" si="469"/>
        <v>107.2</v>
      </c>
      <c r="BN908" s="1048">
        <f t="shared" si="461"/>
        <v>26.8</v>
      </c>
      <c r="BO908" s="4413"/>
      <c r="BP908" s="4413"/>
      <c r="BQ908" s="4413"/>
      <c r="BR908" s="4413"/>
      <c r="BS908" s="4413"/>
      <c r="BT908" s="4431"/>
      <c r="BU908" s="4432"/>
      <c r="BV908" s="4505">
        <f t="shared" si="452"/>
        <v>804</v>
      </c>
      <c r="BW908" s="4506">
        <f t="shared" si="453"/>
        <v>0</v>
      </c>
      <c r="BX908" s="4323"/>
      <c r="BY908" s="4323"/>
      <c r="BZ908" s="4554"/>
      <c r="CA908" s="4555"/>
      <c r="CC908" s="4555"/>
      <c r="CD908" s="4507"/>
    </row>
    <row r="909" s="4316" customFormat="1" ht="50" customHeight="1" spans="1:85">
      <c r="A909" s="4500">
        <v>46013</v>
      </c>
      <c r="B909" s="4501" t="s">
        <v>1569</v>
      </c>
      <c r="C909" s="3708" t="s">
        <v>581</v>
      </c>
      <c r="D909" s="4502">
        <v>4500189593</v>
      </c>
      <c r="E909" s="3708"/>
      <c r="F909" s="4502" t="s">
        <v>5573</v>
      </c>
      <c r="G909" s="3708" t="s">
        <v>2627</v>
      </c>
      <c r="H909" s="4154" t="s">
        <v>2591</v>
      </c>
      <c r="I909" s="4154">
        <v>6024</v>
      </c>
      <c r="J909" s="4154">
        <v>0</v>
      </c>
      <c r="K909" s="4154">
        <v>24</v>
      </c>
      <c r="L909" s="4154">
        <f t="shared" si="449"/>
        <v>251</v>
      </c>
      <c r="M909" s="4503">
        <v>46055</v>
      </c>
      <c r="N909" s="4553">
        <v>46051</v>
      </c>
      <c r="O909" s="4117"/>
      <c r="P909" s="4527" t="s">
        <v>82</v>
      </c>
      <c r="Q909" s="4157">
        <v>6024</v>
      </c>
      <c r="R909" s="4157">
        <f t="shared" si="454"/>
        <v>0</v>
      </c>
      <c r="S909" s="4173" t="s">
        <v>2297</v>
      </c>
      <c r="T909" s="4173" t="s">
        <v>321</v>
      </c>
      <c r="U909" s="3726" t="s">
        <v>5341</v>
      </c>
      <c r="V909" s="3711" t="s">
        <v>2350</v>
      </c>
      <c r="W909" s="3711"/>
      <c r="X909" s="3711" t="s">
        <v>5574</v>
      </c>
      <c r="Y909" s="3711"/>
      <c r="Z909" s="4154"/>
      <c r="AA909" s="3680" t="s">
        <v>584</v>
      </c>
      <c r="AB909" s="4154" t="s">
        <v>459</v>
      </c>
      <c r="AC909" s="3699">
        <v>2.0668</v>
      </c>
      <c r="AD909" s="4154">
        <f>AC909*I909</f>
        <v>12450.4032</v>
      </c>
      <c r="AE909" s="3726"/>
      <c r="AF909" s="4160" t="s">
        <v>2627</v>
      </c>
      <c r="AG909" s="3726" t="s">
        <v>416</v>
      </c>
      <c r="AH909" s="4154"/>
      <c r="AI909" s="4154"/>
      <c r="AJ909" s="3708">
        <f>I909</f>
        <v>6024</v>
      </c>
      <c r="AK909" s="3708"/>
      <c r="AL909" s="4154"/>
      <c r="AM909" s="4154"/>
      <c r="AN909" s="4154"/>
      <c r="AO909" s="1048"/>
      <c r="AP909" s="1048">
        <f t="shared" si="465"/>
        <v>6024</v>
      </c>
      <c r="AQ909" s="1048"/>
      <c r="AR909" s="1048"/>
      <c r="AS909" s="1048">
        <f t="shared" si="466"/>
        <v>6024</v>
      </c>
      <c r="AT909" s="1048"/>
      <c r="AU909" s="1048"/>
      <c r="AV909" s="1048"/>
      <c r="AW909" s="1048"/>
      <c r="AX909" s="1048"/>
      <c r="AY909" s="1048"/>
      <c r="AZ909" s="1048"/>
      <c r="BA909" s="1048"/>
      <c r="BB909" s="1048"/>
      <c r="BC909" s="1048"/>
      <c r="BD909" s="1048"/>
      <c r="BE909" s="1048"/>
      <c r="BF909" s="1048" t="s">
        <v>89</v>
      </c>
      <c r="BG909" s="1048"/>
      <c r="BH909" s="1048">
        <f t="shared" si="467"/>
        <v>1004</v>
      </c>
      <c r="BI909" s="1048">
        <f t="shared" si="458"/>
        <v>1004</v>
      </c>
      <c r="BJ909" s="1048">
        <f t="shared" si="468"/>
        <v>1004</v>
      </c>
      <c r="BK909" s="4505">
        <f t="shared" si="459"/>
        <v>1004</v>
      </c>
      <c r="BL909" s="4506">
        <f t="shared" si="460"/>
        <v>1004</v>
      </c>
      <c r="BM909" s="4554">
        <f t="shared" si="469"/>
        <v>803.2</v>
      </c>
      <c r="BN909" s="4554">
        <f t="shared" si="461"/>
        <v>200.8</v>
      </c>
      <c r="BO909" s="4554"/>
      <c r="BP909" s="4555"/>
      <c r="BQ909" s="4555"/>
      <c r="BR909" s="4555"/>
      <c r="BS909" s="4555"/>
      <c r="BT909" s="4555"/>
      <c r="BU909" s="4555"/>
      <c r="BV909" s="4555">
        <f t="shared" si="452"/>
        <v>6024</v>
      </c>
      <c r="BW909" s="4506">
        <f t="shared" si="453"/>
        <v>0</v>
      </c>
      <c r="BX909" s="4323"/>
      <c r="BY909" s="4323"/>
      <c r="BZ909" s="4323"/>
      <c r="CA909" s="4511"/>
      <c r="CC909" s="4512"/>
      <c r="CD909" s="4511"/>
    </row>
    <row r="910" s="4316" customFormat="1" ht="50" customHeight="1" spans="1:85">
      <c r="A910" s="4583">
        <v>46026</v>
      </c>
      <c r="B910" s="4584" t="s">
        <v>3495</v>
      </c>
      <c r="C910" s="4585" t="s">
        <v>91</v>
      </c>
      <c r="D910" s="4502">
        <v>4500190591</v>
      </c>
      <c r="E910" s="5455" t="s">
        <v>5575</v>
      </c>
      <c r="F910" s="4502" t="s">
        <v>5576</v>
      </c>
      <c r="G910" s="3708" t="s">
        <v>3068</v>
      </c>
      <c r="H910" s="3708" t="s">
        <v>3069</v>
      </c>
      <c r="I910" s="4154">
        <v>2304</v>
      </c>
      <c r="J910" s="4154">
        <v>0</v>
      </c>
      <c r="K910" s="4154">
        <v>384</v>
      </c>
      <c r="L910" s="4154">
        <f t="shared" ref="L910:L922" si="471">I910/K910</f>
        <v>6</v>
      </c>
      <c r="M910" s="4503">
        <v>46062</v>
      </c>
      <c r="N910" s="4553">
        <f>M910-4</f>
        <v>46058</v>
      </c>
      <c r="O910" s="3708" t="s">
        <v>5577</v>
      </c>
      <c r="P910" s="4527" t="s">
        <v>82</v>
      </c>
      <c r="Q910" s="4157">
        <v>2304</v>
      </c>
      <c r="R910" s="4157">
        <f t="shared" ref="R910:R937" si="472">Q910-I910</f>
        <v>0</v>
      </c>
      <c r="S910" s="4602" t="s">
        <v>2297</v>
      </c>
      <c r="T910" s="4219" t="s">
        <v>321</v>
      </c>
      <c r="U910" s="3726" t="s">
        <v>2931</v>
      </c>
      <c r="V910" s="3711" t="s">
        <v>5334</v>
      </c>
      <c r="W910" s="3711"/>
      <c r="X910" s="3711" t="s">
        <v>4710</v>
      </c>
      <c r="Y910" s="3711" t="s">
        <v>4935</v>
      </c>
      <c r="Z910" s="4154"/>
      <c r="AA910" s="3680" t="s">
        <v>5578</v>
      </c>
      <c r="AB910" s="4154" t="s">
        <v>3076</v>
      </c>
      <c r="AC910" s="4504">
        <v>58.6517</v>
      </c>
      <c r="AD910" s="4154">
        <f>AC910*L910</f>
        <v>351.9102</v>
      </c>
      <c r="AE910" s="3726"/>
      <c r="AF910" s="3708" t="s">
        <v>3078</v>
      </c>
      <c r="AG910" s="3726" t="s">
        <v>416</v>
      </c>
      <c r="AH910" s="4154"/>
      <c r="AI910" s="4154"/>
      <c r="AJ910" s="3708">
        <f>I910</f>
        <v>2304</v>
      </c>
      <c r="AK910" s="3708"/>
      <c r="AL910" s="4154"/>
      <c r="AM910" s="4154"/>
      <c r="AN910" s="4154"/>
      <c r="AO910" s="1048"/>
      <c r="AP910" s="1048">
        <f t="shared" si="465"/>
        <v>2304</v>
      </c>
      <c r="AQ910" s="1048"/>
      <c r="AR910" s="1048"/>
      <c r="AS910" s="1048">
        <f t="shared" si="466"/>
        <v>2304</v>
      </c>
      <c r="AT910" s="1048"/>
      <c r="AU910" s="4510"/>
      <c r="AV910" s="1048"/>
      <c r="AW910" s="1048"/>
      <c r="AX910" s="1048"/>
      <c r="AY910" s="1048"/>
      <c r="AZ910" s="1048"/>
      <c r="BA910" s="1048"/>
      <c r="BB910" s="1048">
        <f>I910/2</f>
        <v>1152</v>
      </c>
      <c r="BC910" s="1048"/>
      <c r="BD910" s="1048"/>
      <c r="BE910" s="1048"/>
      <c r="BF910" s="4510" t="s">
        <v>89</v>
      </c>
      <c r="BG910" s="4510"/>
      <c r="BH910" s="4510">
        <f t="shared" si="467"/>
        <v>384</v>
      </c>
      <c r="BI910" s="4510">
        <f>I910/60*6</f>
        <v>230.4</v>
      </c>
      <c r="BJ910" s="4510">
        <f t="shared" si="468"/>
        <v>384</v>
      </c>
      <c r="BK910" s="4510">
        <f>I910/60*7</f>
        <v>268.8</v>
      </c>
      <c r="BL910" s="4510">
        <f>I910/60*8</f>
        <v>307.2</v>
      </c>
      <c r="BM910" s="4525">
        <f t="shared" si="469"/>
        <v>307.2</v>
      </c>
      <c r="BN910" s="4525">
        <f>I910/60*11</f>
        <v>422.4</v>
      </c>
      <c r="BO910" s="4323"/>
      <c r="BP910" s="4323"/>
      <c r="BQ910" s="4323"/>
      <c r="BR910" s="4555"/>
      <c r="BS910" s="4555"/>
      <c r="BT910" s="4555"/>
      <c r="BU910" s="4555"/>
      <c r="BV910" s="4589">
        <f t="shared" ref="BV910:BV916" si="473">SUM(BH910:BU910)</f>
        <v>2304</v>
      </c>
      <c r="BW910" s="4589">
        <f t="shared" ref="BW910:BW916" si="474">I910-BV910</f>
        <v>0</v>
      </c>
      <c r="BX910" s="4589"/>
      <c r="BY910" s="4323"/>
      <c r="BZ910" s="4323"/>
    </row>
    <row r="911" s="4316" customFormat="1" ht="50" customHeight="1" spans="1:85">
      <c r="A911" s="4583">
        <v>46026</v>
      </c>
      <c r="B911" s="4584" t="s">
        <v>3495</v>
      </c>
      <c r="C911" s="4585" t="s">
        <v>91</v>
      </c>
      <c r="D911" s="4502">
        <v>4500190591</v>
      </c>
      <c r="E911" s="5455" t="s">
        <v>5579</v>
      </c>
      <c r="F911" s="4502" t="s">
        <v>5580</v>
      </c>
      <c r="G911" s="3708" t="s">
        <v>3068</v>
      </c>
      <c r="H911" s="3708" t="s">
        <v>3069</v>
      </c>
      <c r="I911" s="4154">
        <v>1536</v>
      </c>
      <c r="J911" s="4154">
        <v>0</v>
      </c>
      <c r="K911" s="4154">
        <v>384</v>
      </c>
      <c r="L911" s="4154">
        <f t="shared" si="471"/>
        <v>4</v>
      </c>
      <c r="M911" s="4503">
        <v>46062</v>
      </c>
      <c r="N911" s="4553">
        <f t="shared" ref="N911:N920" si="475">M911-4</f>
        <v>46058</v>
      </c>
      <c r="O911" s="3708" t="s">
        <v>5577</v>
      </c>
      <c r="P911" s="4527" t="s">
        <v>82</v>
      </c>
      <c r="Q911" s="4157">
        <v>1536</v>
      </c>
      <c r="R911" s="4157">
        <f t="shared" si="472"/>
        <v>0</v>
      </c>
      <c r="S911" s="4603"/>
      <c r="T911" s="4219" t="s">
        <v>321</v>
      </c>
      <c r="U911" s="3726" t="s">
        <v>2392</v>
      </c>
      <c r="V911" s="3711" t="s">
        <v>5334</v>
      </c>
      <c r="W911" s="3711"/>
      <c r="X911" s="3711" t="s">
        <v>4710</v>
      </c>
      <c r="Y911" s="3711" t="s">
        <v>4935</v>
      </c>
      <c r="Z911" s="4154"/>
      <c r="AA911" s="3680" t="s">
        <v>5578</v>
      </c>
      <c r="AB911" s="4154" t="s">
        <v>3076</v>
      </c>
      <c r="AC911" s="4504">
        <v>58.6525</v>
      </c>
      <c r="AD911" s="4154">
        <f t="shared" ref="AD911:AD916" si="476">AC911*L911</f>
        <v>234.61</v>
      </c>
      <c r="AE911" s="3726"/>
      <c r="AF911" s="3708" t="s">
        <v>3078</v>
      </c>
      <c r="AG911" s="3726" t="s">
        <v>416</v>
      </c>
      <c r="AH911" s="4154"/>
      <c r="AI911" s="4154"/>
      <c r="AJ911" s="3708">
        <f t="shared" ref="AJ911:AJ920" si="477">I911</f>
        <v>1536</v>
      </c>
      <c r="AK911" s="3708"/>
      <c r="AL911" s="4154"/>
      <c r="AM911" s="4154"/>
      <c r="AN911" s="4154"/>
      <c r="AO911" s="1048"/>
      <c r="AP911" s="1048">
        <f t="shared" si="465"/>
        <v>1536</v>
      </c>
      <c r="AQ911" s="1048"/>
      <c r="AR911" s="1048"/>
      <c r="AS911" s="1048">
        <f t="shared" ref="AS911:AS922" si="478">I911</f>
        <v>1536</v>
      </c>
      <c r="AT911" s="1048"/>
      <c r="AU911" s="4510"/>
      <c r="AV911" s="1048"/>
      <c r="AW911" s="1048"/>
      <c r="AX911" s="1048"/>
      <c r="AY911" s="1048"/>
      <c r="AZ911" s="1048"/>
      <c r="BA911" s="1048"/>
      <c r="BB911" s="1048">
        <f t="shared" ref="BB911:BB916" si="479">I911/2</f>
        <v>768</v>
      </c>
      <c r="BC911" s="1048"/>
      <c r="BD911" s="1048"/>
      <c r="BE911" s="1048"/>
      <c r="BF911" s="4510" t="s">
        <v>89</v>
      </c>
      <c r="BG911" s="4510"/>
      <c r="BH911" s="4510">
        <f t="shared" ref="BH911:BH922" si="480">I911/60*10</f>
        <v>256</v>
      </c>
      <c r="BI911" s="4510">
        <f t="shared" ref="BI911:BI916" si="481">I911/60*6</f>
        <v>153.6</v>
      </c>
      <c r="BJ911" s="4510">
        <f t="shared" ref="BJ911:BJ922" si="482">I911/60*10</f>
        <v>256</v>
      </c>
      <c r="BK911" s="4510">
        <f t="shared" ref="BK911:BK916" si="483">I911/60*7</f>
        <v>179.2</v>
      </c>
      <c r="BL911" s="4510">
        <f t="shared" ref="BL911:BL916" si="484">I911/60*8</f>
        <v>204.8</v>
      </c>
      <c r="BM911" s="4525">
        <f t="shared" ref="BM911:BM922" si="485">I911/60*8</f>
        <v>204.8</v>
      </c>
      <c r="BN911" s="4525">
        <f t="shared" ref="BN911:BN916" si="486">I911/60*11</f>
        <v>281.6</v>
      </c>
      <c r="BO911" s="4323"/>
      <c r="BP911" s="4323"/>
      <c r="BQ911" s="4323"/>
      <c r="BR911" s="4555"/>
      <c r="BS911" s="4555"/>
      <c r="BT911" s="4555"/>
      <c r="BU911" s="4555"/>
      <c r="BV911" s="4589">
        <f t="shared" ref="BV911:BV922" si="487">SUM(BH911:BU911)</f>
        <v>1536</v>
      </c>
      <c r="BW911" s="4589">
        <f t="shared" ref="BW911:BW922" si="488">I911-BV911</f>
        <v>0</v>
      </c>
      <c r="BX911" s="4589"/>
      <c r="BY911" s="4323"/>
      <c r="BZ911" s="4323"/>
    </row>
    <row r="912" s="4316" customFormat="1" ht="50" customHeight="1" spans="1:85">
      <c r="A912" s="4583">
        <v>46026</v>
      </c>
      <c r="B912" s="4584" t="s">
        <v>3495</v>
      </c>
      <c r="C912" s="4585" t="s">
        <v>91</v>
      </c>
      <c r="D912" s="4502">
        <v>4500190591</v>
      </c>
      <c r="E912" s="5455" t="s">
        <v>5581</v>
      </c>
      <c r="F912" s="4502" t="s">
        <v>5582</v>
      </c>
      <c r="G912" s="3708" t="s">
        <v>3068</v>
      </c>
      <c r="H912" s="3708" t="s">
        <v>3069</v>
      </c>
      <c r="I912" s="4154">
        <v>1920</v>
      </c>
      <c r="J912" s="4154">
        <v>0</v>
      </c>
      <c r="K912" s="4154">
        <v>384</v>
      </c>
      <c r="L912" s="4154">
        <f t="shared" si="471"/>
        <v>5</v>
      </c>
      <c r="M912" s="4503">
        <v>46062</v>
      </c>
      <c r="N912" s="4553">
        <f t="shared" si="475"/>
        <v>46058</v>
      </c>
      <c r="O912" s="3708" t="s">
        <v>5577</v>
      </c>
      <c r="P912" s="4527" t="s">
        <v>82</v>
      </c>
      <c r="Q912" s="4157">
        <v>1920</v>
      </c>
      <c r="R912" s="4157">
        <f t="shared" si="472"/>
        <v>0</v>
      </c>
      <c r="S912" s="4603"/>
      <c r="T912" s="4219" t="s">
        <v>321</v>
      </c>
      <c r="U912" s="3726" t="s">
        <v>401</v>
      </c>
      <c r="V912" s="3711" t="s">
        <v>5334</v>
      </c>
      <c r="W912" s="3711"/>
      <c r="X912" s="3711" t="s">
        <v>4710</v>
      </c>
      <c r="Y912" s="3711" t="s">
        <v>4935</v>
      </c>
      <c r="Z912" s="4154"/>
      <c r="AA912" s="3680" t="s">
        <v>5578</v>
      </c>
      <c r="AB912" s="4154" t="s">
        <v>3076</v>
      </c>
      <c r="AC912" s="4504">
        <v>70.714</v>
      </c>
      <c r="AD912" s="4154">
        <f t="shared" si="476"/>
        <v>353.57</v>
      </c>
      <c r="AE912" s="3726"/>
      <c r="AF912" s="3708" t="s">
        <v>3078</v>
      </c>
      <c r="AG912" s="3726" t="s">
        <v>416</v>
      </c>
      <c r="AH912" s="4154"/>
      <c r="AI912" s="4154"/>
      <c r="AJ912" s="3708">
        <f t="shared" si="477"/>
        <v>1920</v>
      </c>
      <c r="AK912" s="3708"/>
      <c r="AL912" s="4154"/>
      <c r="AM912" s="4154"/>
      <c r="AN912" s="4154"/>
      <c r="AO912" s="1048"/>
      <c r="AP912" s="1048">
        <f t="shared" si="465"/>
        <v>1920</v>
      </c>
      <c r="AQ912" s="1048"/>
      <c r="AR912" s="1048"/>
      <c r="AS912" s="1048">
        <f t="shared" si="478"/>
        <v>1920</v>
      </c>
      <c r="AT912" s="1048"/>
      <c r="AU912" s="4510"/>
      <c r="AV912" s="1048"/>
      <c r="AW912" s="1048"/>
      <c r="AX912" s="1048"/>
      <c r="AY912" s="1048"/>
      <c r="AZ912" s="1048"/>
      <c r="BA912" s="1048"/>
      <c r="BB912" s="1048">
        <f t="shared" si="479"/>
        <v>960</v>
      </c>
      <c r="BC912" s="1048"/>
      <c r="BD912" s="1048"/>
      <c r="BE912" s="1048"/>
      <c r="BF912" s="4510" t="s">
        <v>89</v>
      </c>
      <c r="BG912" s="4510"/>
      <c r="BH912" s="4510">
        <f t="shared" si="480"/>
        <v>320</v>
      </c>
      <c r="BI912" s="4510">
        <f t="shared" si="481"/>
        <v>192</v>
      </c>
      <c r="BJ912" s="4510">
        <f t="shared" si="482"/>
        <v>320</v>
      </c>
      <c r="BK912" s="4510">
        <f t="shared" si="483"/>
        <v>224</v>
      </c>
      <c r="BL912" s="4510">
        <f t="shared" si="484"/>
        <v>256</v>
      </c>
      <c r="BM912" s="4525">
        <f t="shared" si="485"/>
        <v>256</v>
      </c>
      <c r="BN912" s="4525">
        <f t="shared" si="486"/>
        <v>352</v>
      </c>
      <c r="BO912" s="4323"/>
      <c r="BP912" s="4323"/>
      <c r="BQ912" s="4323"/>
      <c r="BR912" s="4555"/>
      <c r="BS912" s="4555"/>
      <c r="BT912" s="4555"/>
      <c r="BU912" s="4555"/>
      <c r="BV912" s="4589">
        <f t="shared" si="487"/>
        <v>1920</v>
      </c>
      <c r="BW912" s="4589">
        <f t="shared" si="488"/>
        <v>0</v>
      </c>
      <c r="BX912" s="4589"/>
      <c r="BY912" s="4323"/>
      <c r="BZ912" s="4323"/>
    </row>
    <row r="913" s="4316" customFormat="1" ht="50" customHeight="1" spans="1:85">
      <c r="A913" s="4583">
        <v>46026</v>
      </c>
      <c r="B913" s="4584" t="s">
        <v>3495</v>
      </c>
      <c r="C913" s="4585" t="s">
        <v>91</v>
      </c>
      <c r="D913" s="4502">
        <v>4500190591</v>
      </c>
      <c r="E913" s="5455" t="s">
        <v>5583</v>
      </c>
      <c r="F913" s="4502" t="s">
        <v>5584</v>
      </c>
      <c r="G913" s="3708" t="s">
        <v>3068</v>
      </c>
      <c r="H913" s="3708" t="s">
        <v>3069</v>
      </c>
      <c r="I913" s="4154">
        <v>768</v>
      </c>
      <c r="J913" s="4154">
        <v>0</v>
      </c>
      <c r="K913" s="4154">
        <v>384</v>
      </c>
      <c r="L913" s="4154">
        <f t="shared" si="471"/>
        <v>2</v>
      </c>
      <c r="M913" s="4503">
        <v>46062</v>
      </c>
      <c r="N913" s="4553">
        <f t="shared" si="475"/>
        <v>46058</v>
      </c>
      <c r="O913" s="3708" t="s">
        <v>5577</v>
      </c>
      <c r="P913" s="4527" t="s">
        <v>82</v>
      </c>
      <c r="Q913" s="4157">
        <v>768</v>
      </c>
      <c r="R913" s="4157">
        <f t="shared" si="472"/>
        <v>0</v>
      </c>
      <c r="S913" s="4603"/>
      <c r="T913" s="4219" t="s">
        <v>321</v>
      </c>
      <c r="U913" s="3726" t="s">
        <v>3071</v>
      </c>
      <c r="V913" s="3711" t="s">
        <v>5334</v>
      </c>
      <c r="W913" s="3711"/>
      <c r="X913" s="3711" t="s">
        <v>4710</v>
      </c>
      <c r="Y913" s="3711" t="s">
        <v>4935</v>
      </c>
      <c r="Z913" s="4154"/>
      <c r="AA913" s="3680" t="s">
        <v>5578</v>
      </c>
      <c r="AB913" s="4154" t="s">
        <v>3076</v>
      </c>
      <c r="AC913" s="4504">
        <v>70.715</v>
      </c>
      <c r="AD913" s="4154">
        <f t="shared" si="476"/>
        <v>141.43</v>
      </c>
      <c r="AE913" s="3726"/>
      <c r="AF913" s="3708" t="s">
        <v>3078</v>
      </c>
      <c r="AG913" s="3726" t="s">
        <v>416</v>
      </c>
      <c r="AH913" s="4154"/>
      <c r="AI913" s="4154"/>
      <c r="AJ913" s="3708">
        <f t="shared" si="477"/>
        <v>768</v>
      </c>
      <c r="AK913" s="3708"/>
      <c r="AL913" s="4154"/>
      <c r="AM913" s="4154"/>
      <c r="AN913" s="4154"/>
      <c r="AO913" s="1048"/>
      <c r="AP913" s="1048">
        <f t="shared" si="465"/>
        <v>768</v>
      </c>
      <c r="AQ913" s="1048"/>
      <c r="AR913" s="1048"/>
      <c r="AS913" s="1048">
        <f t="shared" si="478"/>
        <v>768</v>
      </c>
      <c r="AT913" s="1048"/>
      <c r="AU913" s="4510"/>
      <c r="AV913" s="1048"/>
      <c r="AW913" s="1048"/>
      <c r="AX913" s="1048"/>
      <c r="AY913" s="1048"/>
      <c r="AZ913" s="1048"/>
      <c r="BA913" s="1048"/>
      <c r="BB913" s="1048">
        <f t="shared" si="479"/>
        <v>384</v>
      </c>
      <c r="BC913" s="1048"/>
      <c r="BD913" s="1048"/>
      <c r="BE913" s="1048"/>
      <c r="BF913" s="4510" t="s">
        <v>89</v>
      </c>
      <c r="BG913" s="4510"/>
      <c r="BH913" s="4510">
        <f t="shared" si="480"/>
        <v>128</v>
      </c>
      <c r="BI913" s="4510">
        <f t="shared" si="481"/>
        <v>76.8</v>
      </c>
      <c r="BJ913" s="4510">
        <f t="shared" si="482"/>
        <v>128</v>
      </c>
      <c r="BK913" s="4510">
        <f t="shared" si="483"/>
        <v>89.6</v>
      </c>
      <c r="BL913" s="4510">
        <f t="shared" si="484"/>
        <v>102.4</v>
      </c>
      <c r="BM913" s="4525">
        <f t="shared" si="485"/>
        <v>102.4</v>
      </c>
      <c r="BN913" s="4525">
        <f t="shared" si="486"/>
        <v>140.8</v>
      </c>
      <c r="BO913" s="4323"/>
      <c r="BP913" s="4323"/>
      <c r="BQ913" s="4323"/>
      <c r="BR913" s="4555"/>
      <c r="BS913" s="4555"/>
      <c r="BT913" s="4555"/>
      <c r="BU913" s="4555"/>
      <c r="BV913" s="4589">
        <f t="shared" si="487"/>
        <v>768</v>
      </c>
      <c r="BW913" s="4589">
        <f t="shared" si="488"/>
        <v>0</v>
      </c>
      <c r="BX913" s="4589"/>
      <c r="BY913" s="4323"/>
      <c r="BZ913" s="4323"/>
    </row>
    <row r="914" s="4316" customFormat="1" ht="50" customHeight="1" spans="1:85">
      <c r="A914" s="4583">
        <v>46026</v>
      </c>
      <c r="B914" s="4584" t="s">
        <v>3495</v>
      </c>
      <c r="C914" s="4585" t="s">
        <v>91</v>
      </c>
      <c r="D914" s="4502">
        <v>4500190591</v>
      </c>
      <c r="E914" s="5455" t="s">
        <v>5585</v>
      </c>
      <c r="F914" s="4502" t="s">
        <v>5586</v>
      </c>
      <c r="G914" s="3708" t="s">
        <v>3068</v>
      </c>
      <c r="H914" s="3708" t="s">
        <v>3069</v>
      </c>
      <c r="I914" s="4154">
        <v>1920</v>
      </c>
      <c r="J914" s="4154">
        <v>0</v>
      </c>
      <c r="K914" s="4154">
        <v>384</v>
      </c>
      <c r="L914" s="4154">
        <f t="shared" si="471"/>
        <v>5</v>
      </c>
      <c r="M914" s="4503">
        <v>46062</v>
      </c>
      <c r="N914" s="4553">
        <f t="shared" si="475"/>
        <v>46058</v>
      </c>
      <c r="O914" s="3708" t="s">
        <v>5577</v>
      </c>
      <c r="P914" s="4527" t="s">
        <v>82</v>
      </c>
      <c r="Q914" s="4157">
        <v>1920</v>
      </c>
      <c r="R914" s="4157">
        <f t="shared" si="472"/>
        <v>0</v>
      </c>
      <c r="S914" s="4603"/>
      <c r="T914" s="4219" t="s">
        <v>321</v>
      </c>
      <c r="U914" s="3726" t="s">
        <v>2392</v>
      </c>
      <c r="V914" s="3711" t="s">
        <v>5334</v>
      </c>
      <c r="W914" s="3711"/>
      <c r="X914" s="3711" t="s">
        <v>4710</v>
      </c>
      <c r="Y914" s="3711" t="s">
        <v>4935</v>
      </c>
      <c r="Z914" s="4154"/>
      <c r="AA914" s="3680" t="s">
        <v>5578</v>
      </c>
      <c r="AB914" s="4154" t="s">
        <v>3076</v>
      </c>
      <c r="AC914" s="4504">
        <v>70.714</v>
      </c>
      <c r="AD914" s="4154">
        <f t="shared" si="476"/>
        <v>353.57</v>
      </c>
      <c r="AE914" s="3726"/>
      <c r="AF914" s="3708" t="s">
        <v>3078</v>
      </c>
      <c r="AG914" s="3726" t="s">
        <v>416</v>
      </c>
      <c r="AH914" s="4154"/>
      <c r="AI914" s="4154"/>
      <c r="AJ914" s="3708">
        <f t="shared" si="477"/>
        <v>1920</v>
      </c>
      <c r="AK914" s="3708"/>
      <c r="AL914" s="4154"/>
      <c r="AM914" s="4154"/>
      <c r="AN914" s="4154"/>
      <c r="AO914" s="1048"/>
      <c r="AP914" s="1048">
        <f t="shared" si="465"/>
        <v>1920</v>
      </c>
      <c r="AQ914" s="1048"/>
      <c r="AR914" s="1048"/>
      <c r="AS914" s="1048">
        <f t="shared" si="478"/>
        <v>1920</v>
      </c>
      <c r="AT914" s="1048"/>
      <c r="AU914" s="4510"/>
      <c r="AV914" s="1048"/>
      <c r="AW914" s="1048"/>
      <c r="AX914" s="1048"/>
      <c r="AY914" s="1048"/>
      <c r="AZ914" s="1048"/>
      <c r="BA914" s="1048"/>
      <c r="BB914" s="1048">
        <f t="shared" si="479"/>
        <v>960</v>
      </c>
      <c r="BC914" s="1048"/>
      <c r="BD914" s="1048"/>
      <c r="BE914" s="1048"/>
      <c r="BF914" s="4510" t="s">
        <v>89</v>
      </c>
      <c r="BG914" s="4510"/>
      <c r="BH914" s="4510">
        <f t="shared" si="480"/>
        <v>320</v>
      </c>
      <c r="BI914" s="4510">
        <f t="shared" si="481"/>
        <v>192</v>
      </c>
      <c r="BJ914" s="4510">
        <f t="shared" si="482"/>
        <v>320</v>
      </c>
      <c r="BK914" s="4510">
        <f t="shared" si="483"/>
        <v>224</v>
      </c>
      <c r="BL914" s="4510">
        <f t="shared" si="484"/>
        <v>256</v>
      </c>
      <c r="BM914" s="4525">
        <f t="shared" si="485"/>
        <v>256</v>
      </c>
      <c r="BN914" s="4525">
        <f t="shared" si="486"/>
        <v>352</v>
      </c>
      <c r="BO914" s="4323"/>
      <c r="BP914" s="4323"/>
      <c r="BQ914" s="4323"/>
      <c r="BR914" s="4555"/>
      <c r="BS914" s="4555"/>
      <c r="BT914" s="4555"/>
      <c r="BU914" s="4555"/>
      <c r="BV914" s="4589">
        <f t="shared" si="487"/>
        <v>1920</v>
      </c>
      <c r="BW914" s="4589">
        <f t="shared" si="488"/>
        <v>0</v>
      </c>
      <c r="BX914" s="4589"/>
      <c r="BY914" s="4323"/>
      <c r="BZ914" s="4323"/>
    </row>
    <row r="915" s="4316" customFormat="1" ht="50" customHeight="1" spans="1:85">
      <c r="A915" s="4583">
        <v>46026</v>
      </c>
      <c r="B915" s="4584" t="s">
        <v>3495</v>
      </c>
      <c r="C915" s="4585" t="s">
        <v>91</v>
      </c>
      <c r="D915" s="4502">
        <v>4500190591</v>
      </c>
      <c r="E915" s="5455" t="s">
        <v>5587</v>
      </c>
      <c r="F915" s="4502" t="s">
        <v>5588</v>
      </c>
      <c r="G915" s="3708" t="s">
        <v>3068</v>
      </c>
      <c r="H915" s="3708" t="s">
        <v>3069</v>
      </c>
      <c r="I915" s="4154">
        <v>768</v>
      </c>
      <c r="J915" s="4154">
        <v>0</v>
      </c>
      <c r="K915" s="4154">
        <v>384</v>
      </c>
      <c r="L915" s="4154">
        <f t="shared" si="471"/>
        <v>2</v>
      </c>
      <c r="M915" s="4503">
        <v>46062</v>
      </c>
      <c r="N915" s="4553">
        <f t="shared" si="475"/>
        <v>46058</v>
      </c>
      <c r="O915" s="3708" t="s">
        <v>5577</v>
      </c>
      <c r="P915" s="4527" t="s">
        <v>82</v>
      </c>
      <c r="Q915" s="4157">
        <v>768</v>
      </c>
      <c r="R915" s="4157">
        <f t="shared" si="472"/>
        <v>0</v>
      </c>
      <c r="S915" s="4603"/>
      <c r="T915" s="4219" t="s">
        <v>321</v>
      </c>
      <c r="U915" s="3726" t="s">
        <v>3071</v>
      </c>
      <c r="V915" s="3711" t="s">
        <v>5334</v>
      </c>
      <c r="W915" s="3711"/>
      <c r="X915" s="3711" t="s">
        <v>4710</v>
      </c>
      <c r="Y915" s="3711" t="s">
        <v>4935</v>
      </c>
      <c r="Z915" s="4154"/>
      <c r="AA915" s="3680" t="s">
        <v>5578</v>
      </c>
      <c r="AB915" s="4154" t="s">
        <v>3076</v>
      </c>
      <c r="AC915" s="4504">
        <v>70.715</v>
      </c>
      <c r="AD915" s="4154">
        <f t="shared" si="476"/>
        <v>141.43</v>
      </c>
      <c r="AE915" s="3726"/>
      <c r="AF915" s="3708" t="s">
        <v>3078</v>
      </c>
      <c r="AG915" s="3726" t="s">
        <v>416</v>
      </c>
      <c r="AH915" s="4154"/>
      <c r="AI915" s="4154"/>
      <c r="AJ915" s="3708">
        <f t="shared" si="477"/>
        <v>768</v>
      </c>
      <c r="AK915" s="3708"/>
      <c r="AL915" s="4154"/>
      <c r="AM915" s="4154"/>
      <c r="AN915" s="4154"/>
      <c r="AO915" s="1048"/>
      <c r="AP915" s="1048">
        <f t="shared" si="465"/>
        <v>768</v>
      </c>
      <c r="AQ915" s="1048"/>
      <c r="AR915" s="1048"/>
      <c r="AS915" s="1048">
        <f t="shared" si="478"/>
        <v>768</v>
      </c>
      <c r="AT915" s="1048"/>
      <c r="AU915" s="4510"/>
      <c r="AV915" s="1048"/>
      <c r="AW915" s="1048"/>
      <c r="AX915" s="1048"/>
      <c r="AY915" s="1048"/>
      <c r="AZ915" s="1048"/>
      <c r="BA915" s="1048"/>
      <c r="BB915" s="1048">
        <f t="shared" si="479"/>
        <v>384</v>
      </c>
      <c r="BC915" s="1048"/>
      <c r="BD915" s="1048"/>
      <c r="BE915" s="1048"/>
      <c r="BF915" s="4510" t="s">
        <v>89</v>
      </c>
      <c r="BG915" s="4510"/>
      <c r="BH915" s="4510">
        <f t="shared" si="480"/>
        <v>128</v>
      </c>
      <c r="BI915" s="4510">
        <f t="shared" si="481"/>
        <v>76.8</v>
      </c>
      <c r="BJ915" s="4510">
        <f t="shared" si="482"/>
        <v>128</v>
      </c>
      <c r="BK915" s="4510">
        <f t="shared" si="483"/>
        <v>89.6</v>
      </c>
      <c r="BL915" s="4510">
        <f t="shared" si="484"/>
        <v>102.4</v>
      </c>
      <c r="BM915" s="4525">
        <f t="shared" si="485"/>
        <v>102.4</v>
      </c>
      <c r="BN915" s="4525">
        <f t="shared" si="486"/>
        <v>140.8</v>
      </c>
      <c r="BO915" s="4323"/>
      <c r="BP915" s="4323"/>
      <c r="BQ915" s="4323"/>
      <c r="BR915" s="4555"/>
      <c r="BS915" s="4555"/>
      <c r="BT915" s="4555"/>
      <c r="BU915" s="4555"/>
      <c r="BV915" s="4589">
        <f t="shared" si="487"/>
        <v>768</v>
      </c>
      <c r="BW915" s="4589">
        <f t="shared" si="488"/>
        <v>0</v>
      </c>
      <c r="BX915" s="4589"/>
      <c r="BY915" s="4323"/>
      <c r="BZ915" s="4323"/>
    </row>
    <row r="916" s="4316" customFormat="1" ht="50" customHeight="1" spans="1:85">
      <c r="A916" s="4583">
        <v>46026</v>
      </c>
      <c r="B916" s="4584" t="s">
        <v>3495</v>
      </c>
      <c r="C916" s="4585" t="s">
        <v>91</v>
      </c>
      <c r="D916" s="4502">
        <v>4500190591</v>
      </c>
      <c r="E916" s="5455" t="s">
        <v>5589</v>
      </c>
      <c r="F916" s="4502" t="s">
        <v>5590</v>
      </c>
      <c r="G916" s="3708" t="s">
        <v>3068</v>
      </c>
      <c r="H916" s="3708" t="s">
        <v>3069</v>
      </c>
      <c r="I916" s="4154">
        <v>768</v>
      </c>
      <c r="J916" s="4154">
        <v>0</v>
      </c>
      <c r="K916" s="4154">
        <v>384</v>
      </c>
      <c r="L916" s="4154">
        <f t="shared" si="471"/>
        <v>2</v>
      </c>
      <c r="M916" s="4503">
        <v>46062</v>
      </c>
      <c r="N916" s="4553">
        <f t="shared" si="475"/>
        <v>46058</v>
      </c>
      <c r="O916" s="3708" t="s">
        <v>5577</v>
      </c>
      <c r="P916" s="4527" t="s">
        <v>82</v>
      </c>
      <c r="Q916" s="4157">
        <v>768</v>
      </c>
      <c r="R916" s="4157">
        <f t="shared" si="472"/>
        <v>0</v>
      </c>
      <c r="S916" s="4604"/>
      <c r="T916" s="4219" t="s">
        <v>321</v>
      </c>
      <c r="U916" s="3726" t="s">
        <v>5548</v>
      </c>
      <c r="V916" s="3711" t="s">
        <v>5334</v>
      </c>
      <c r="W916" s="3711"/>
      <c r="X916" s="3711" t="s">
        <v>4710</v>
      </c>
      <c r="Y916" s="3711" t="s">
        <v>4935</v>
      </c>
      <c r="Z916" s="4154"/>
      <c r="AA916" s="3680" t="s">
        <v>5578</v>
      </c>
      <c r="AB916" s="4154" t="s">
        <v>3076</v>
      </c>
      <c r="AC916" s="4504">
        <v>70.715</v>
      </c>
      <c r="AD916" s="4154">
        <f t="shared" si="476"/>
        <v>141.43</v>
      </c>
      <c r="AE916" s="3726"/>
      <c r="AF916" s="3708" t="s">
        <v>3078</v>
      </c>
      <c r="AG916" s="3726" t="s">
        <v>416</v>
      </c>
      <c r="AH916" s="4154"/>
      <c r="AI916" s="4154"/>
      <c r="AJ916" s="3708">
        <f t="shared" si="477"/>
        <v>768</v>
      </c>
      <c r="AK916" s="3708"/>
      <c r="AL916" s="4154"/>
      <c r="AM916" s="4154"/>
      <c r="AN916" s="4154"/>
      <c r="AO916" s="1048"/>
      <c r="AP916" s="1048">
        <f t="shared" si="465"/>
        <v>768</v>
      </c>
      <c r="AQ916" s="1048"/>
      <c r="AR916" s="1048"/>
      <c r="AS916" s="1048">
        <f t="shared" si="478"/>
        <v>768</v>
      </c>
      <c r="AT916" s="1048"/>
      <c r="AU916" s="4510"/>
      <c r="AV916" s="1048"/>
      <c r="AW916" s="1048"/>
      <c r="AX916" s="1048"/>
      <c r="AY916" s="1048"/>
      <c r="AZ916" s="1048"/>
      <c r="BA916" s="1048"/>
      <c r="BB916" s="1048">
        <f t="shared" si="479"/>
        <v>384</v>
      </c>
      <c r="BC916" s="1048"/>
      <c r="BD916" s="1048"/>
      <c r="BE916" s="1048"/>
      <c r="BF916" s="4510" t="s">
        <v>89</v>
      </c>
      <c r="BG916" s="4510"/>
      <c r="BH916" s="4510">
        <f t="shared" si="480"/>
        <v>128</v>
      </c>
      <c r="BI916" s="4510">
        <f t="shared" si="481"/>
        <v>76.8</v>
      </c>
      <c r="BJ916" s="4510">
        <f t="shared" si="482"/>
        <v>128</v>
      </c>
      <c r="BK916" s="4510">
        <f t="shared" si="483"/>
        <v>89.6</v>
      </c>
      <c r="BL916" s="4510">
        <f t="shared" si="484"/>
        <v>102.4</v>
      </c>
      <c r="BM916" s="4525">
        <f t="shared" si="485"/>
        <v>102.4</v>
      </c>
      <c r="BN916" s="4525">
        <f t="shared" si="486"/>
        <v>140.8</v>
      </c>
      <c r="BO916" s="4323"/>
      <c r="BP916" s="4323"/>
      <c r="BQ916" s="4323"/>
      <c r="BR916" s="4555"/>
      <c r="BS916" s="4555"/>
      <c r="BT916" s="4555"/>
      <c r="BU916" s="4555"/>
      <c r="BV916" s="4589">
        <f t="shared" si="487"/>
        <v>768</v>
      </c>
      <c r="BW916" s="4589">
        <f t="shared" si="488"/>
        <v>0</v>
      </c>
      <c r="BX916" s="4589"/>
      <c r="BY916" s="4323"/>
      <c r="BZ916" s="4323"/>
    </row>
    <row r="917" s="4316" customFormat="1" ht="50" customHeight="1" spans="1:85">
      <c r="A917" s="4500">
        <v>46010</v>
      </c>
      <c r="B917" s="4501" t="s">
        <v>505</v>
      </c>
      <c r="C917" s="3708" t="s">
        <v>506</v>
      </c>
      <c r="D917" s="4502">
        <v>4500187429</v>
      </c>
      <c r="E917" s="3708">
        <v>21387813</v>
      </c>
      <c r="F917" s="4502" t="s">
        <v>5591</v>
      </c>
      <c r="G917" s="3708" t="s">
        <v>2577</v>
      </c>
      <c r="H917" s="3708" t="s">
        <v>2578</v>
      </c>
      <c r="I917" s="4154">
        <v>1416</v>
      </c>
      <c r="J917" s="4154">
        <v>0</v>
      </c>
      <c r="K917" s="4154">
        <v>12</v>
      </c>
      <c r="L917" s="4154">
        <f t="shared" si="471"/>
        <v>118</v>
      </c>
      <c r="M917" s="4503">
        <v>46083</v>
      </c>
      <c r="N917" s="4553">
        <f t="shared" si="475"/>
        <v>46079</v>
      </c>
      <c r="O917" s="4117"/>
      <c r="P917" s="4527" t="s">
        <v>82</v>
      </c>
      <c r="Q917" s="4157">
        <v>1416</v>
      </c>
      <c r="R917" s="4157">
        <f t="shared" si="472"/>
        <v>0</v>
      </c>
      <c r="S917" s="4173" t="s">
        <v>2297</v>
      </c>
      <c r="T917" s="4219" t="s">
        <v>321</v>
      </c>
      <c r="U917" s="3726" t="s">
        <v>5592</v>
      </c>
      <c r="V917" s="3711" t="s">
        <v>2354</v>
      </c>
      <c r="W917" s="3711"/>
      <c r="X917" s="3711" t="s">
        <v>5473</v>
      </c>
      <c r="Y917" s="3711"/>
      <c r="Z917" s="4154"/>
      <c r="AA917" s="3680" t="s">
        <v>5593</v>
      </c>
      <c r="AB917" s="4154" t="s">
        <v>513</v>
      </c>
      <c r="AC917" s="4154">
        <v>2.2463</v>
      </c>
      <c r="AD917" s="4154">
        <f>AC917*I917</f>
        <v>3180.7608</v>
      </c>
      <c r="AE917" s="3726"/>
      <c r="AF917" s="3708" t="s">
        <v>2577</v>
      </c>
      <c r="AG917" s="3726" t="s">
        <v>416</v>
      </c>
      <c r="AH917" s="4574"/>
      <c r="AI917" s="3708"/>
      <c r="AJ917" s="4575">
        <f t="shared" si="477"/>
        <v>1416</v>
      </c>
      <c r="AK917" s="4574"/>
      <c r="AL917" s="4154"/>
      <c r="AM917" s="1048"/>
      <c r="AN917" s="1048"/>
      <c r="AO917" s="1048"/>
      <c r="AP917" s="4509">
        <f t="shared" si="465"/>
        <v>1416</v>
      </c>
      <c r="AQ917" s="1048"/>
      <c r="AR917" s="4413"/>
      <c r="AS917" s="4510">
        <f t="shared" si="478"/>
        <v>1416</v>
      </c>
      <c r="AT917" s="4413"/>
      <c r="AU917" s="1048"/>
      <c r="AV917" s="1048"/>
      <c r="AW917" s="4510">
        <f>I917/6</f>
        <v>236</v>
      </c>
      <c r="AX917" s="1048"/>
      <c r="AY917" s="1048"/>
      <c r="AZ917" s="1048"/>
      <c r="BA917" s="1048"/>
      <c r="BB917" s="1048"/>
      <c r="BC917" s="1048"/>
      <c r="BD917" s="1048"/>
      <c r="BE917" s="1048"/>
      <c r="BF917" s="1048" t="s">
        <v>89</v>
      </c>
      <c r="BG917" s="4505"/>
      <c r="BH917" s="1048">
        <f t="shared" si="480"/>
        <v>236</v>
      </c>
      <c r="BI917" s="1048">
        <f>I917/60*10</f>
        <v>236</v>
      </c>
      <c r="BJ917" s="1048">
        <f t="shared" si="482"/>
        <v>236</v>
      </c>
      <c r="BK917" s="1048">
        <f>I917/60*10</f>
        <v>236</v>
      </c>
      <c r="BL917" s="1048">
        <f>I917/60*10</f>
        <v>236</v>
      </c>
      <c r="BM917" s="1048">
        <f t="shared" si="485"/>
        <v>188.8</v>
      </c>
      <c r="BN917" s="1048">
        <f>I917/60*2</f>
        <v>47.2</v>
      </c>
      <c r="BO917" s="4591"/>
      <c r="BP917" s="4591"/>
      <c r="BQ917" s="4591"/>
      <c r="BR917" s="4591"/>
      <c r="BS917" s="4591"/>
      <c r="BT917" s="4591"/>
      <c r="BU917" s="4591"/>
      <c r="BV917" s="4505">
        <f t="shared" si="487"/>
        <v>1416</v>
      </c>
      <c r="BW917" s="4505">
        <f t="shared" si="488"/>
        <v>0</v>
      </c>
      <c r="BX917" s="4160"/>
      <c r="BY917" s="4160"/>
      <c r="BZ917" s="4160"/>
    </row>
    <row r="918" s="4316" customFormat="1" ht="50" customHeight="1" spans="1:85">
      <c r="A918" s="4500">
        <v>46010</v>
      </c>
      <c r="B918" s="4501" t="s">
        <v>839</v>
      </c>
      <c r="C918" s="3708" t="s">
        <v>840</v>
      </c>
      <c r="D918" s="4502">
        <v>4500188118</v>
      </c>
      <c r="E918" s="3708" t="s">
        <v>5594</v>
      </c>
      <c r="F918" s="4502" t="s">
        <v>5595</v>
      </c>
      <c r="G918" s="3708" t="s">
        <v>2577</v>
      </c>
      <c r="H918" s="3708" t="s">
        <v>2578</v>
      </c>
      <c r="I918" s="4154">
        <v>84</v>
      </c>
      <c r="J918" s="4154">
        <v>0</v>
      </c>
      <c r="K918" s="4154">
        <v>12</v>
      </c>
      <c r="L918" s="4154">
        <f t="shared" si="471"/>
        <v>7</v>
      </c>
      <c r="M918" s="4503">
        <v>46083</v>
      </c>
      <c r="N918" s="4553">
        <f t="shared" si="475"/>
        <v>46079</v>
      </c>
      <c r="O918" s="4117"/>
      <c r="P918" s="4527" t="s">
        <v>82</v>
      </c>
      <c r="Q918" s="4157">
        <v>84</v>
      </c>
      <c r="R918" s="4157">
        <f t="shared" si="472"/>
        <v>0</v>
      </c>
      <c r="S918" s="4173" t="s">
        <v>2297</v>
      </c>
      <c r="T918" s="4219" t="s">
        <v>321</v>
      </c>
      <c r="U918" s="3726" t="s">
        <v>5592</v>
      </c>
      <c r="V918" s="3711" t="s">
        <v>2354</v>
      </c>
      <c r="W918" s="3711"/>
      <c r="X918" s="3711" t="s">
        <v>5473</v>
      </c>
      <c r="Y918" s="3711"/>
      <c r="Z918" s="4154"/>
      <c r="AA918" s="3680" t="s">
        <v>5596</v>
      </c>
      <c r="AB918" s="4154" t="s">
        <v>513</v>
      </c>
      <c r="AC918" s="4154">
        <v>2.2509</v>
      </c>
      <c r="AD918" s="4154">
        <f>AC918*I918</f>
        <v>189.0756</v>
      </c>
      <c r="AE918" s="3726"/>
      <c r="AF918" s="3708" t="s">
        <v>2577</v>
      </c>
      <c r="AG918" s="3726" t="s">
        <v>416</v>
      </c>
      <c r="AH918" s="4574"/>
      <c r="AI918" s="3708"/>
      <c r="AJ918" s="4575">
        <f t="shared" si="477"/>
        <v>84</v>
      </c>
      <c r="AK918" s="4574"/>
      <c r="AL918" s="4154"/>
      <c r="AM918" s="1048"/>
      <c r="AN918" s="1048"/>
      <c r="AO918" s="1048"/>
      <c r="AP918" s="4509">
        <f t="shared" si="465"/>
        <v>84</v>
      </c>
      <c r="AQ918" s="1048"/>
      <c r="AR918" s="4413"/>
      <c r="AS918" s="4510">
        <f t="shared" si="478"/>
        <v>84</v>
      </c>
      <c r="AT918" s="4413"/>
      <c r="AU918" s="1048"/>
      <c r="AV918" s="1048"/>
      <c r="AW918" s="4510">
        <f>I918/6</f>
        <v>14</v>
      </c>
      <c r="AX918" s="1048"/>
      <c r="AY918" s="1048"/>
      <c r="AZ918" s="1048"/>
      <c r="BA918" s="1048"/>
      <c r="BB918" s="1048"/>
      <c r="BC918" s="1048"/>
      <c r="BD918" s="1048"/>
      <c r="BE918" s="1048"/>
      <c r="BF918" s="1048" t="s">
        <v>89</v>
      </c>
      <c r="BG918" s="4505"/>
      <c r="BH918" s="1048">
        <f t="shared" si="480"/>
        <v>14</v>
      </c>
      <c r="BI918" s="1048">
        <f>I918/60*10</f>
        <v>14</v>
      </c>
      <c r="BJ918" s="1048">
        <f t="shared" si="482"/>
        <v>14</v>
      </c>
      <c r="BK918" s="1048">
        <f>I918/60*10</f>
        <v>14</v>
      </c>
      <c r="BL918" s="1048">
        <f>I918/60*10</f>
        <v>14</v>
      </c>
      <c r="BM918" s="1048">
        <f t="shared" si="485"/>
        <v>11.2</v>
      </c>
      <c r="BN918" s="1048">
        <f>I918/60*2</f>
        <v>2.8</v>
      </c>
      <c r="BO918" s="4591"/>
      <c r="BP918" s="4591"/>
      <c r="BQ918" s="4591"/>
      <c r="BR918" s="4591"/>
      <c r="BS918" s="4591"/>
      <c r="BT918" s="4591"/>
      <c r="BU918" s="4591"/>
      <c r="BV918" s="4505">
        <f t="shared" si="487"/>
        <v>84</v>
      </c>
      <c r="BW918" s="4505">
        <f t="shared" si="488"/>
        <v>0</v>
      </c>
      <c r="BX918" s="4160"/>
      <c r="BY918" s="4160"/>
      <c r="BZ918" s="4160"/>
    </row>
    <row r="919" s="4316" customFormat="1" ht="50" customHeight="1" spans="1:85">
      <c r="A919" s="4500">
        <v>46027</v>
      </c>
      <c r="B919" s="4501" t="s">
        <v>839</v>
      </c>
      <c r="C919" s="3708" t="s">
        <v>840</v>
      </c>
      <c r="D919" s="4502">
        <v>4500190618</v>
      </c>
      <c r="E919" s="3708">
        <v>21387816</v>
      </c>
      <c r="F919" s="4502" t="s">
        <v>5597</v>
      </c>
      <c r="G919" s="3708" t="s">
        <v>2577</v>
      </c>
      <c r="H919" s="3708" t="s">
        <v>2578</v>
      </c>
      <c r="I919" s="4154">
        <v>72</v>
      </c>
      <c r="J919" s="4154">
        <v>0</v>
      </c>
      <c r="K919" s="4154">
        <v>12</v>
      </c>
      <c r="L919" s="4154">
        <f t="shared" si="471"/>
        <v>6</v>
      </c>
      <c r="M919" s="4503">
        <v>46083</v>
      </c>
      <c r="N919" s="4553">
        <f t="shared" si="475"/>
        <v>46079</v>
      </c>
      <c r="O919" s="4117"/>
      <c r="P919" s="4527" t="s">
        <v>82</v>
      </c>
      <c r="Q919" s="4157">
        <v>72</v>
      </c>
      <c r="R919" s="4157">
        <f t="shared" si="472"/>
        <v>0</v>
      </c>
      <c r="S919" s="4173" t="s">
        <v>2297</v>
      </c>
      <c r="T919" s="4219" t="s">
        <v>321</v>
      </c>
      <c r="U919" s="3726" t="s">
        <v>5592</v>
      </c>
      <c r="V919" s="3711" t="s">
        <v>786</v>
      </c>
      <c r="W919" s="3711"/>
      <c r="X919" s="3711" t="s">
        <v>5598</v>
      </c>
      <c r="Y919" s="3711"/>
      <c r="Z919" s="4154"/>
      <c r="AA919" s="3680" t="s">
        <v>5599</v>
      </c>
      <c r="AB919" s="4154" t="s">
        <v>2357</v>
      </c>
      <c r="AC919" s="4154">
        <v>2.2509</v>
      </c>
      <c r="AD919" s="4154">
        <f>AC919*I919</f>
        <v>162.0648</v>
      </c>
      <c r="AE919" s="3726"/>
      <c r="AF919" s="3708" t="s">
        <v>2577</v>
      </c>
      <c r="AG919" s="3726" t="s">
        <v>416</v>
      </c>
      <c r="AH919" s="4154"/>
      <c r="AI919" s="3708"/>
      <c r="AJ919" s="4575">
        <f t="shared" si="477"/>
        <v>72</v>
      </c>
      <c r="AK919" s="4154"/>
      <c r="AL919" s="4154"/>
      <c r="AM919" s="1048"/>
      <c r="AN919" s="1048"/>
      <c r="AO919" s="1048"/>
      <c r="AP919" s="4154">
        <f t="shared" si="465"/>
        <v>72</v>
      </c>
      <c r="AQ919" s="1048"/>
      <c r="AR919" s="4413"/>
      <c r="AS919" s="1048">
        <f t="shared" si="478"/>
        <v>72</v>
      </c>
      <c r="AT919" s="4413"/>
      <c r="AU919" s="1048"/>
      <c r="AV919" s="1048"/>
      <c r="AW919" s="1048">
        <f>I919/6</f>
        <v>12</v>
      </c>
      <c r="AX919" s="1048"/>
      <c r="AY919" s="1048"/>
      <c r="AZ919" s="1048"/>
      <c r="BA919" s="1048"/>
      <c r="BB919" s="1048"/>
      <c r="BC919" s="1048"/>
      <c r="BD919" s="1048"/>
      <c r="BE919" s="1048"/>
      <c r="BF919" s="1048" t="s">
        <v>89</v>
      </c>
      <c r="BG919" s="4505"/>
      <c r="BH919" s="1048">
        <f t="shared" si="480"/>
        <v>12</v>
      </c>
      <c r="BI919" s="1048">
        <f>I919/60*10</f>
        <v>12</v>
      </c>
      <c r="BJ919" s="1048">
        <f t="shared" si="482"/>
        <v>12</v>
      </c>
      <c r="BK919" s="1048">
        <f>I919/60*10</f>
        <v>12</v>
      </c>
      <c r="BL919" s="1048">
        <f>I919/60*10</f>
        <v>12</v>
      </c>
      <c r="BM919" s="1048">
        <f t="shared" si="485"/>
        <v>9.6</v>
      </c>
      <c r="BN919" s="1048">
        <f>I919/60*2</f>
        <v>2.4</v>
      </c>
      <c r="BO919" s="4591"/>
      <c r="BP919" s="4591"/>
      <c r="BQ919" s="4591"/>
      <c r="BR919" s="4591"/>
      <c r="BS919" s="4591"/>
      <c r="BT919" s="4591"/>
      <c r="BU919" s="4591"/>
      <c r="BV919" s="4505">
        <f t="shared" si="487"/>
        <v>72</v>
      </c>
      <c r="BW919" s="4505">
        <f t="shared" si="488"/>
        <v>0</v>
      </c>
      <c r="BX919" s="4160"/>
      <c r="BY919" s="4160"/>
      <c r="BZ919" s="4160"/>
    </row>
    <row r="920" s="4316" customFormat="1" ht="50" customHeight="1" spans="1:85">
      <c r="A920" s="4500">
        <v>46027</v>
      </c>
      <c r="B920" s="4501" t="s">
        <v>505</v>
      </c>
      <c r="C920" s="3708" t="s">
        <v>506</v>
      </c>
      <c r="D920" s="4502">
        <v>4500190616</v>
      </c>
      <c r="E920" s="3708">
        <v>21387814</v>
      </c>
      <c r="F920" s="4502" t="s">
        <v>5600</v>
      </c>
      <c r="G920" s="3708" t="s">
        <v>2577</v>
      </c>
      <c r="H920" s="3708" t="s">
        <v>2578</v>
      </c>
      <c r="I920" s="4593">
        <v>1428</v>
      </c>
      <c r="J920" s="4154">
        <v>0</v>
      </c>
      <c r="K920" s="4154">
        <v>12</v>
      </c>
      <c r="L920" s="4154">
        <f t="shared" si="471"/>
        <v>119</v>
      </c>
      <c r="M920" s="4503">
        <v>46083</v>
      </c>
      <c r="N920" s="4553">
        <f t="shared" si="475"/>
        <v>46079</v>
      </c>
      <c r="O920" s="4117"/>
      <c r="P920" s="4527" t="s">
        <v>82</v>
      </c>
      <c r="Q920" s="4157">
        <v>1428</v>
      </c>
      <c r="R920" s="4157">
        <f t="shared" si="472"/>
        <v>0</v>
      </c>
      <c r="S920" s="4173" t="s">
        <v>2297</v>
      </c>
      <c r="T920" s="4219" t="s">
        <v>321</v>
      </c>
      <c r="U920" s="3726" t="s">
        <v>5592</v>
      </c>
      <c r="V920" s="3711" t="s">
        <v>786</v>
      </c>
      <c r="W920" s="3711"/>
      <c r="X920" s="3711" t="s">
        <v>5598</v>
      </c>
      <c r="Y920" s="3711"/>
      <c r="Z920" s="4154"/>
      <c r="AA920" s="3680" t="s">
        <v>5601</v>
      </c>
      <c r="AB920" s="4154" t="s">
        <v>2357</v>
      </c>
      <c r="AC920" s="4154">
        <v>2.2463</v>
      </c>
      <c r="AD920" s="4154">
        <f>AC920*I920</f>
        <v>3207.7164</v>
      </c>
      <c r="AE920" s="3726"/>
      <c r="AF920" s="3708" t="s">
        <v>2577</v>
      </c>
      <c r="AG920" s="3726" t="s">
        <v>416</v>
      </c>
      <c r="AH920" s="4154"/>
      <c r="AI920" s="3708"/>
      <c r="AJ920" s="4575">
        <f t="shared" si="477"/>
        <v>1428</v>
      </c>
      <c r="AK920" s="4154"/>
      <c r="AL920" s="4154"/>
      <c r="AM920" s="1048"/>
      <c r="AN920" s="1048"/>
      <c r="AO920" s="1048"/>
      <c r="AP920" s="4154">
        <f t="shared" si="465"/>
        <v>1428</v>
      </c>
      <c r="AQ920" s="1048"/>
      <c r="AR920" s="4413"/>
      <c r="AS920" s="1048">
        <f t="shared" si="478"/>
        <v>1428</v>
      </c>
      <c r="AT920" s="4413"/>
      <c r="AU920" s="1048"/>
      <c r="AV920" s="1048"/>
      <c r="AW920" s="1048">
        <f>I920/6</f>
        <v>238</v>
      </c>
      <c r="AX920" s="1048"/>
      <c r="AY920" s="1048"/>
      <c r="AZ920" s="1048"/>
      <c r="BA920" s="1048"/>
      <c r="BB920" s="1048"/>
      <c r="BC920" s="1048"/>
      <c r="BD920" s="1048"/>
      <c r="BE920" s="1048"/>
      <c r="BF920" s="1048" t="s">
        <v>89</v>
      </c>
      <c r="BG920" s="4505"/>
      <c r="BH920" s="1048">
        <f t="shared" si="480"/>
        <v>238</v>
      </c>
      <c r="BI920" s="1048">
        <f>I920/60*10</f>
        <v>238</v>
      </c>
      <c r="BJ920" s="1048">
        <f t="shared" si="482"/>
        <v>238</v>
      </c>
      <c r="BK920" s="1048">
        <f>I920/60*10</f>
        <v>238</v>
      </c>
      <c r="BL920" s="1048">
        <f>I920/60*10</f>
        <v>238</v>
      </c>
      <c r="BM920" s="1048">
        <f t="shared" si="485"/>
        <v>190.4</v>
      </c>
      <c r="BN920" s="1048">
        <f>I920/60*2</f>
        <v>47.6</v>
      </c>
      <c r="BO920" s="4591"/>
      <c r="BP920" s="4591"/>
      <c r="BQ920" s="4591"/>
      <c r="BR920" s="4591"/>
      <c r="BS920" s="4591"/>
      <c r="BT920" s="4591"/>
      <c r="BU920" s="4591"/>
      <c r="BV920" s="4505">
        <f t="shared" si="487"/>
        <v>1428</v>
      </c>
      <c r="BW920" s="4505">
        <f t="shared" si="488"/>
        <v>0</v>
      </c>
      <c r="BX920" s="4160"/>
      <c r="BY920" s="4160"/>
      <c r="BZ920" s="4160"/>
    </row>
    <row r="921" s="4316" customFormat="1" ht="50" customHeight="1" spans="1:85">
      <c r="A921" s="4500">
        <v>45979</v>
      </c>
      <c r="B921" s="4501" t="s">
        <v>5258</v>
      </c>
      <c r="C921" s="3708" t="s">
        <v>569</v>
      </c>
      <c r="D921" s="4502">
        <v>4500183333</v>
      </c>
      <c r="E921" s="3708">
        <v>2000008240</v>
      </c>
      <c r="F921" s="4502" t="s">
        <v>5602</v>
      </c>
      <c r="G921" s="3708" t="s">
        <v>3352</v>
      </c>
      <c r="H921" s="3708" t="s">
        <v>3353</v>
      </c>
      <c r="I921" s="4113">
        <v>1044</v>
      </c>
      <c r="J921" s="3699">
        <v>0</v>
      </c>
      <c r="K921" s="3699">
        <v>12</v>
      </c>
      <c r="L921" s="3699">
        <v>87</v>
      </c>
      <c r="M921" s="4503">
        <v>46083</v>
      </c>
      <c r="N921" s="4553">
        <v>46079</v>
      </c>
      <c r="O921" s="4117" t="s">
        <v>4106</v>
      </c>
      <c r="P921" s="4527" t="s">
        <v>82</v>
      </c>
      <c r="Q921" s="4157">
        <v>1044</v>
      </c>
      <c r="R921" s="4157">
        <f t="shared" si="472"/>
        <v>0</v>
      </c>
      <c r="S921" s="4605" t="s">
        <v>2297</v>
      </c>
      <c r="T921" s="4219" t="s">
        <v>321</v>
      </c>
      <c r="U921" s="3726"/>
      <c r="V921" s="3711" t="s">
        <v>2370</v>
      </c>
      <c r="W921" s="3711"/>
      <c r="X921" s="3711" t="s">
        <v>5261</v>
      </c>
      <c r="Y921" s="3711"/>
      <c r="Z921" s="4154"/>
      <c r="AA921" s="3680" t="s">
        <v>5603</v>
      </c>
      <c r="AB921" s="4154" t="s">
        <v>1298</v>
      </c>
      <c r="AC921" s="4504">
        <v>4.9215</v>
      </c>
      <c r="AD921" s="3699">
        <v>5138.046</v>
      </c>
      <c r="AE921" s="3726"/>
      <c r="AF921" s="3708" t="s">
        <v>2577</v>
      </c>
      <c r="AG921" s="3726" t="s">
        <v>416</v>
      </c>
      <c r="AH921" s="4430"/>
      <c r="AI921" s="4154"/>
      <c r="AJ921" s="4154"/>
      <c r="AK921" s="4430"/>
      <c r="AL921" s="3708"/>
      <c r="AM921" s="3708">
        <f t="shared" ref="AM921:AM927" si="489">I921</f>
        <v>1044</v>
      </c>
      <c r="AN921" s="4154"/>
      <c r="AO921" s="4154"/>
      <c r="AP921" s="4154">
        <f t="shared" si="465"/>
        <v>1044</v>
      </c>
      <c r="AQ921" s="1048"/>
      <c r="AR921" s="4413"/>
      <c r="AS921" s="1048"/>
      <c r="AT921" s="4413"/>
      <c r="AU921" s="1048">
        <f>I921</f>
        <v>1044</v>
      </c>
      <c r="AV921" s="1048"/>
      <c r="AW921" s="1048"/>
      <c r="AX921" s="1048"/>
      <c r="AY921" s="1048"/>
      <c r="AZ921" s="1048"/>
      <c r="BA921" s="1048"/>
      <c r="BB921" s="1048"/>
      <c r="BC921" s="1048">
        <f>I921</f>
        <v>1044</v>
      </c>
      <c r="BD921" s="1048"/>
      <c r="BE921" s="1048"/>
      <c r="BF921" s="1048" t="s">
        <v>89</v>
      </c>
      <c r="BG921" s="1048"/>
      <c r="BH921" s="1048">
        <v>174</v>
      </c>
      <c r="BI921" s="1048">
        <v>174</v>
      </c>
      <c r="BJ921" s="1048">
        <v>174</v>
      </c>
      <c r="BK921" s="4415">
        <v>174</v>
      </c>
      <c r="BL921" s="4505">
        <v>174</v>
      </c>
      <c r="BM921" s="4415">
        <v>139.2</v>
      </c>
      <c r="BN921" s="1048">
        <v>34.8</v>
      </c>
      <c r="BO921" s="4413"/>
      <c r="BP921" s="4413"/>
      <c r="BQ921" s="4413"/>
      <c r="BR921" s="4413"/>
      <c r="BS921" s="4413"/>
      <c r="BT921" s="4431"/>
      <c r="BU921" s="4432"/>
      <c r="BV921" s="4505">
        <v>1044</v>
      </c>
      <c r="BW921" s="4506">
        <v>0</v>
      </c>
      <c r="BX921" s="4554"/>
      <c r="BY921" s="4554"/>
      <c r="BZ921" s="4554"/>
      <c r="CA921" s="4555">
        <f t="shared" ref="CA921:CG921" si="490">CA884-BH921</f>
        <v>27657.6666666667</v>
      </c>
      <c r="CB921" s="4555">
        <f t="shared" si="490"/>
        <v>16361.6666666667</v>
      </c>
      <c r="CC921" s="4555">
        <f t="shared" si="490"/>
        <v>30084.6666666667</v>
      </c>
      <c r="CD921" s="4555">
        <f t="shared" si="490"/>
        <v>23578.6666666667</v>
      </c>
      <c r="CE921" s="4555">
        <f t="shared" si="490"/>
        <v>25148.6666666667</v>
      </c>
      <c r="CF921" s="4555">
        <f t="shared" si="490"/>
        <v>21804.5333333333</v>
      </c>
      <c r="CG921" s="4555">
        <f t="shared" si="490"/>
        <v>21249.9333333333</v>
      </c>
    </row>
    <row r="922" s="4316" customFormat="1" ht="50" customHeight="1" spans="1:85">
      <c r="A922" s="4500">
        <v>46028</v>
      </c>
      <c r="B922" s="4501" t="s">
        <v>3715</v>
      </c>
      <c r="C922" s="3708" t="s">
        <v>1279</v>
      </c>
      <c r="D922" s="4502">
        <v>4500190678</v>
      </c>
      <c r="E922" s="3708"/>
      <c r="F922" s="4502" t="s">
        <v>5604</v>
      </c>
      <c r="G922" s="3708" t="s">
        <v>2590</v>
      </c>
      <c r="H922" s="3708" t="s">
        <v>2591</v>
      </c>
      <c r="I922" s="4154">
        <v>360</v>
      </c>
      <c r="J922" s="4154">
        <v>0</v>
      </c>
      <c r="K922" s="4154">
        <v>6</v>
      </c>
      <c r="L922" s="4154">
        <f t="shared" ref="L922:L937" si="491">I922/K922</f>
        <v>60</v>
      </c>
      <c r="M922" s="4503">
        <v>46080</v>
      </c>
      <c r="N922" s="4553">
        <v>46076</v>
      </c>
      <c r="O922" s="4117"/>
      <c r="P922" s="4527" t="s">
        <v>82</v>
      </c>
      <c r="Q922" s="4157">
        <v>360</v>
      </c>
      <c r="R922" s="4157">
        <f t="shared" si="472"/>
        <v>0</v>
      </c>
      <c r="S922" s="4173" t="s">
        <v>2297</v>
      </c>
      <c r="T922" s="4173" t="s">
        <v>321</v>
      </c>
      <c r="U922" s="3726" t="s">
        <v>401</v>
      </c>
      <c r="V922" s="3711" t="s">
        <v>2956</v>
      </c>
      <c r="W922" s="3711"/>
      <c r="X922" s="3711" t="s">
        <v>5605</v>
      </c>
      <c r="Y922" s="3711"/>
      <c r="Z922" s="4154"/>
      <c r="AA922" s="3680" t="s">
        <v>5606</v>
      </c>
      <c r="AB922" s="4154" t="s">
        <v>3720</v>
      </c>
      <c r="AC922" s="4154">
        <v>2.1053</v>
      </c>
      <c r="AD922" s="4154">
        <f t="shared" ref="AD922:AD927" si="492">AC922*I922</f>
        <v>757.908</v>
      </c>
      <c r="AE922" s="3726"/>
      <c r="AF922" s="4160" t="s">
        <v>3614</v>
      </c>
      <c r="AG922" s="3726" t="s">
        <v>416</v>
      </c>
      <c r="AH922" s="3708"/>
      <c r="AI922" s="4154"/>
      <c r="AJ922" s="4154"/>
      <c r="AK922" s="3708"/>
      <c r="AL922" s="3708"/>
      <c r="AM922" s="3708">
        <f t="shared" si="489"/>
        <v>360</v>
      </c>
      <c r="AN922" s="4154"/>
      <c r="AO922" s="4154"/>
      <c r="AP922" s="4154">
        <f t="shared" si="465"/>
        <v>360</v>
      </c>
      <c r="AQ922" s="1048"/>
      <c r="AR922" s="4413"/>
      <c r="AS922" s="1048">
        <f>I922</f>
        <v>360</v>
      </c>
      <c r="AT922" s="4413"/>
      <c r="AU922" s="1048"/>
      <c r="AV922" s="1048"/>
      <c r="AW922" s="1048">
        <f>I922/6</f>
        <v>60</v>
      </c>
      <c r="AX922" s="1048"/>
      <c r="AY922" s="1048"/>
      <c r="AZ922" s="1048"/>
      <c r="BA922" s="1048"/>
      <c r="BB922" s="1048"/>
      <c r="BC922" s="1048"/>
      <c r="BD922" s="1048"/>
      <c r="BE922" s="1048"/>
      <c r="BF922" s="1048" t="s">
        <v>89</v>
      </c>
      <c r="BG922" s="1048"/>
      <c r="BH922" s="4510">
        <f>I922/60*10</f>
        <v>60</v>
      </c>
      <c r="BI922" s="4510">
        <f>I922/60*10</f>
        <v>60</v>
      </c>
      <c r="BJ922" s="4510">
        <f>I922/60*10</f>
        <v>60</v>
      </c>
      <c r="BK922" s="4525">
        <f>I922/60*10</f>
        <v>60</v>
      </c>
      <c r="BL922" s="4525">
        <f>I922/60*10</f>
        <v>60</v>
      </c>
      <c r="BM922" s="4562">
        <f>I922/60*8</f>
        <v>48</v>
      </c>
      <c r="BN922" s="4562">
        <f>I922/60*2</f>
        <v>12</v>
      </c>
      <c r="BO922" s="4413"/>
      <c r="BP922" s="4413"/>
      <c r="BQ922" s="4413"/>
      <c r="BR922" s="4413"/>
      <c r="BS922" s="4413"/>
      <c r="BT922" s="4431"/>
      <c r="BU922" s="4432"/>
      <c r="BV922" s="4160">
        <f t="shared" ref="BV922:BV937" si="493">SUM(BH922:BU922)</f>
        <v>360</v>
      </c>
      <c r="BW922" s="4160">
        <f t="shared" ref="BW922:BW937" si="494">I922-BV922</f>
        <v>0</v>
      </c>
      <c r="BX922" s="4554"/>
      <c r="BY922" s="4554"/>
      <c r="BZ922" s="4554"/>
      <c r="CA922" s="4555"/>
      <c r="CB922" s="4555"/>
      <c r="CC922" s="4555"/>
      <c r="CD922" s="4555"/>
      <c r="CE922" s="4555"/>
      <c r="CF922" s="4555"/>
      <c r="CG922" s="4555"/>
    </row>
    <row r="923" s="4316" customFormat="1" ht="50" customHeight="1" spans="1:85">
      <c r="A923" s="4500">
        <v>45980</v>
      </c>
      <c r="B923" s="4501" t="s">
        <v>1252</v>
      </c>
      <c r="C923" s="3708" t="s">
        <v>738</v>
      </c>
      <c r="D923" s="4502">
        <v>4500186204</v>
      </c>
      <c r="E923" s="3708"/>
      <c r="F923" s="4502" t="s">
        <v>5607</v>
      </c>
      <c r="G923" s="3708" t="s">
        <v>2577</v>
      </c>
      <c r="H923" s="3708" t="s">
        <v>2578</v>
      </c>
      <c r="I923" s="4154">
        <v>540</v>
      </c>
      <c r="J923" s="4154">
        <v>0</v>
      </c>
      <c r="K923" s="4154">
        <v>12</v>
      </c>
      <c r="L923" s="4154">
        <f t="shared" si="491"/>
        <v>45</v>
      </c>
      <c r="M923" s="4503">
        <v>46082</v>
      </c>
      <c r="N923" s="4553">
        <f>M923-4</f>
        <v>46078</v>
      </c>
      <c r="O923" s="3708"/>
      <c r="P923" s="4527" t="s">
        <v>82</v>
      </c>
      <c r="Q923" s="4157">
        <f>528+12</f>
        <v>540</v>
      </c>
      <c r="R923" s="4157">
        <f t="shared" si="472"/>
        <v>0</v>
      </c>
      <c r="S923" s="4173" t="s">
        <v>2297</v>
      </c>
      <c r="T923" s="4173" t="s">
        <v>321</v>
      </c>
      <c r="U923" s="3726" t="s">
        <v>817</v>
      </c>
      <c r="V923" s="3711" t="s">
        <v>5608</v>
      </c>
      <c r="W923" s="3711"/>
      <c r="X923" s="3711" t="s">
        <v>5609</v>
      </c>
      <c r="Y923" s="3711"/>
      <c r="Z923" s="4154"/>
      <c r="AA923" s="3680" t="s">
        <v>5610</v>
      </c>
      <c r="AB923" s="4154" t="s">
        <v>1434</v>
      </c>
      <c r="AC923" s="4154">
        <v>2.0933</v>
      </c>
      <c r="AD923" s="4154">
        <f t="shared" si="492"/>
        <v>1130.382</v>
      </c>
      <c r="AE923" s="3726"/>
      <c r="AF923" s="3708" t="s">
        <v>2577</v>
      </c>
      <c r="AG923" s="3726" t="s">
        <v>416</v>
      </c>
      <c r="AH923" s="4430"/>
      <c r="AI923" s="4154"/>
      <c r="AJ923" s="4154"/>
      <c r="AK923" s="4430"/>
      <c r="AL923" s="3708"/>
      <c r="AM923" s="3708">
        <f t="shared" si="489"/>
        <v>540</v>
      </c>
      <c r="AN923" s="4154"/>
      <c r="AO923" s="4154"/>
      <c r="AP923" s="4154">
        <f t="shared" si="465"/>
        <v>540</v>
      </c>
      <c r="AQ923" s="1048"/>
      <c r="AR923" s="4413"/>
      <c r="AS923" s="1048">
        <f>I923</f>
        <v>540</v>
      </c>
      <c r="AT923" s="4413"/>
      <c r="AU923" s="1048"/>
      <c r="AV923" s="1048"/>
      <c r="AW923" s="1048">
        <f>I923/6</f>
        <v>90</v>
      </c>
      <c r="AX923" s="1048"/>
      <c r="AY923" s="1048"/>
      <c r="AZ923" s="1048"/>
      <c r="BA923" s="1048"/>
      <c r="BB923" s="1048"/>
      <c r="BC923" s="1048"/>
      <c r="BD923" s="1048"/>
      <c r="BE923" s="1048"/>
      <c r="BF923" s="1048" t="s">
        <v>89</v>
      </c>
      <c r="BG923" s="1048"/>
      <c r="BH923" s="1048">
        <f>I923/60*10</f>
        <v>90</v>
      </c>
      <c r="BI923" s="1048">
        <f>I923/60*10</f>
        <v>90</v>
      </c>
      <c r="BJ923" s="1048">
        <f>I923/60*10</f>
        <v>90</v>
      </c>
      <c r="BK923" s="1048">
        <f>I923/60*10</f>
        <v>90</v>
      </c>
      <c r="BL923" s="1048">
        <f>I923/60*10</f>
        <v>90</v>
      </c>
      <c r="BM923" s="1048">
        <f>I923/60*8</f>
        <v>72</v>
      </c>
      <c r="BN923" s="1048">
        <f>I923/60*2</f>
        <v>18</v>
      </c>
      <c r="BO923" s="4413"/>
      <c r="BP923" s="4413"/>
      <c r="BQ923" s="4413"/>
      <c r="BR923" s="4413"/>
      <c r="BS923" s="4413"/>
      <c r="BT923" s="4431"/>
      <c r="BU923" s="4432"/>
      <c r="BV923" s="4505">
        <f t="shared" si="493"/>
        <v>540</v>
      </c>
      <c r="BW923" s="4506">
        <f t="shared" si="494"/>
        <v>0</v>
      </c>
      <c r="BX923" s="4554"/>
      <c r="BY923" s="4554"/>
      <c r="BZ923" s="4554"/>
      <c r="CA923" s="4555">
        <f t="shared" ref="CA923:CG923" si="495">CA903-BH923</f>
        <v>27951.6666666667</v>
      </c>
      <c r="CB923" s="4555">
        <f t="shared" si="495"/>
        <v>16655.6666666667</v>
      </c>
      <c r="CC923" s="4555">
        <f t="shared" si="495"/>
        <v>30378.6666666667</v>
      </c>
      <c r="CD923" s="4555">
        <f t="shared" si="495"/>
        <v>23872.6666666667</v>
      </c>
      <c r="CE923" s="4555">
        <f t="shared" si="495"/>
        <v>25442.6666666667</v>
      </c>
      <c r="CF923" s="4555">
        <f t="shared" si="495"/>
        <v>22039.7333333333</v>
      </c>
      <c r="CG923" s="4555">
        <f t="shared" si="495"/>
        <v>21290.7333333333</v>
      </c>
    </row>
    <row r="924" s="4316" customFormat="1" ht="50" customHeight="1" spans="1:85">
      <c r="A924" s="4500">
        <v>46020</v>
      </c>
      <c r="B924" s="4501" t="s">
        <v>461</v>
      </c>
      <c r="C924" s="3708" t="s">
        <v>341</v>
      </c>
      <c r="D924" s="4502">
        <v>4500190237</v>
      </c>
      <c r="E924" s="3708">
        <v>50033974</v>
      </c>
      <c r="F924" s="4502" t="s">
        <v>5611</v>
      </c>
      <c r="G924" s="3708" t="s">
        <v>2627</v>
      </c>
      <c r="H924" s="4154" t="s">
        <v>2591</v>
      </c>
      <c r="I924" s="4154">
        <v>720</v>
      </c>
      <c r="J924" s="4154">
        <v>0</v>
      </c>
      <c r="K924" s="4154">
        <v>24</v>
      </c>
      <c r="L924" s="4154">
        <f t="shared" si="491"/>
        <v>30</v>
      </c>
      <c r="M924" s="4503">
        <v>46091</v>
      </c>
      <c r="N924" s="4553">
        <v>46087</v>
      </c>
      <c r="O924" s="4117"/>
      <c r="P924" s="4527" t="s">
        <v>82</v>
      </c>
      <c r="Q924" s="4157">
        <v>720</v>
      </c>
      <c r="R924" s="4157">
        <f t="shared" si="472"/>
        <v>0</v>
      </c>
      <c r="S924" s="4173" t="s">
        <v>2297</v>
      </c>
      <c r="T924" s="4173" t="s">
        <v>321</v>
      </c>
      <c r="U924" s="3726"/>
      <c r="V924" s="3711" t="s">
        <v>2363</v>
      </c>
      <c r="W924" s="3711"/>
      <c r="X924" s="3711" t="s">
        <v>98</v>
      </c>
      <c r="Y924" s="3711" t="s">
        <v>5612</v>
      </c>
      <c r="Z924" s="4154"/>
      <c r="AA924" s="3680" t="s">
        <v>5613</v>
      </c>
      <c r="AB924" s="4154" t="s">
        <v>5116</v>
      </c>
      <c r="AC924" s="3699">
        <v>2.0891</v>
      </c>
      <c r="AD924" s="4154">
        <f t="shared" si="492"/>
        <v>1504.152</v>
      </c>
      <c r="AE924" s="3726"/>
      <c r="AF924" s="4160" t="s">
        <v>2890</v>
      </c>
      <c r="AG924" s="3726" t="s">
        <v>416</v>
      </c>
      <c r="AH924" s="4154"/>
      <c r="AI924" s="3708"/>
      <c r="AJ924" s="4575"/>
      <c r="AK924" s="4154"/>
      <c r="AL924" s="4154"/>
      <c r="AM924" s="3708">
        <f t="shared" si="489"/>
        <v>720</v>
      </c>
      <c r="AN924" s="1048"/>
      <c r="AO924" s="1048"/>
      <c r="AP924" s="4154">
        <f t="shared" si="465"/>
        <v>720</v>
      </c>
      <c r="AQ924" s="1048"/>
      <c r="AR924" s="1040"/>
      <c r="AS924" s="4510">
        <f>I924</f>
        <v>720</v>
      </c>
      <c r="AT924" s="1040"/>
      <c r="AU924" s="1048"/>
      <c r="AV924" s="1048"/>
      <c r="AW924" s="4510"/>
      <c r="AX924" s="1048"/>
      <c r="AY924" s="1048"/>
      <c r="AZ924" s="1048"/>
      <c r="BA924" s="1048"/>
      <c r="BB924" s="1048"/>
      <c r="BC924" s="1048"/>
      <c r="BD924" s="1048"/>
      <c r="BE924" s="1048"/>
      <c r="BF924" s="1048" t="s">
        <v>89</v>
      </c>
      <c r="BG924" s="4505"/>
      <c r="BH924" s="1048">
        <f>I924/60*10</f>
        <v>120</v>
      </c>
      <c r="BI924" s="1048">
        <f>I924/60*10</f>
        <v>120</v>
      </c>
      <c r="BJ924" s="1048">
        <f>I924/60*10</f>
        <v>120</v>
      </c>
      <c r="BK924" s="1048">
        <f>I924/60*10</f>
        <v>120</v>
      </c>
      <c r="BL924" s="1048">
        <f>I924/60*10</f>
        <v>120</v>
      </c>
      <c r="BM924" s="1048">
        <f>I924/60*8</f>
        <v>96</v>
      </c>
      <c r="BN924" s="1048">
        <f>I924/60*2</f>
        <v>24</v>
      </c>
      <c r="BO924" s="4412"/>
      <c r="BP924" s="4412"/>
      <c r="BQ924" s="4412"/>
      <c r="BR924" s="4524"/>
      <c r="BS924" s="1040"/>
      <c r="BT924" s="1040"/>
      <c r="BU924" s="4606"/>
      <c r="BV924" s="4505">
        <f t="shared" si="493"/>
        <v>720</v>
      </c>
      <c r="BW924" s="4505">
        <f t="shared" si="494"/>
        <v>0</v>
      </c>
      <c r="BX924" s="4160"/>
      <c r="BY924" s="4160"/>
      <c r="BZ924" s="4160"/>
      <c r="CA924" s="4511"/>
      <c r="CC924" s="4512"/>
      <c r="CD924" s="4511"/>
    </row>
    <row r="925" s="4316" customFormat="1" ht="50" customHeight="1" spans="1:85">
      <c r="A925" s="4500">
        <v>46020</v>
      </c>
      <c r="B925" s="4501" t="s">
        <v>1670</v>
      </c>
      <c r="C925" s="3708" t="s">
        <v>471</v>
      </c>
      <c r="D925" s="4502">
        <v>4500190214</v>
      </c>
      <c r="E925" s="3708">
        <v>55029896</v>
      </c>
      <c r="F925" s="4502" t="s">
        <v>5614</v>
      </c>
      <c r="G925" s="3708" t="s">
        <v>2627</v>
      </c>
      <c r="H925" s="4154" t="s">
        <v>2591</v>
      </c>
      <c r="I925" s="4154">
        <v>816</v>
      </c>
      <c r="J925" s="4154">
        <v>0</v>
      </c>
      <c r="K925" s="4154">
        <v>24</v>
      </c>
      <c r="L925" s="4154">
        <f t="shared" si="491"/>
        <v>34</v>
      </c>
      <c r="M925" s="4503">
        <v>46091</v>
      </c>
      <c r="N925" s="4553">
        <v>46087</v>
      </c>
      <c r="O925" s="4117"/>
      <c r="P925" s="4527" t="s">
        <v>82</v>
      </c>
      <c r="Q925" s="4157">
        <v>816</v>
      </c>
      <c r="R925" s="4157">
        <f t="shared" si="472"/>
        <v>0</v>
      </c>
      <c r="S925" s="4173" t="s">
        <v>2297</v>
      </c>
      <c r="T925" s="4173" t="s">
        <v>321</v>
      </c>
      <c r="U925" s="3726" t="s">
        <v>3175</v>
      </c>
      <c r="V925" s="3711" t="s">
        <v>2363</v>
      </c>
      <c r="W925" s="3711"/>
      <c r="X925" s="3711" t="s">
        <v>98</v>
      </c>
      <c r="Y925" s="3711" t="s">
        <v>5612</v>
      </c>
      <c r="Z925" s="4154"/>
      <c r="AA925" s="3680" t="s">
        <v>5615</v>
      </c>
      <c r="AB925" s="4154" t="s">
        <v>5116</v>
      </c>
      <c r="AC925" s="3699">
        <v>2.0891</v>
      </c>
      <c r="AD925" s="4154">
        <f t="shared" si="492"/>
        <v>1704.7056</v>
      </c>
      <c r="AE925" s="3726"/>
      <c r="AF925" s="4160" t="s">
        <v>2890</v>
      </c>
      <c r="AG925" s="3726" t="s">
        <v>416</v>
      </c>
      <c r="AH925" s="4154"/>
      <c r="AI925" s="3708"/>
      <c r="AJ925" s="4575"/>
      <c r="AK925" s="4154"/>
      <c r="AL925" s="4154"/>
      <c r="AM925" s="3708">
        <f t="shared" si="489"/>
        <v>816</v>
      </c>
      <c r="AN925" s="1048"/>
      <c r="AO925" s="1048"/>
      <c r="AP925" s="4154">
        <f t="shared" si="465"/>
        <v>816</v>
      </c>
      <c r="AQ925" s="1048"/>
      <c r="AR925" s="1040"/>
      <c r="AS925" s="4510">
        <f>I925</f>
        <v>816</v>
      </c>
      <c r="AT925" s="1040"/>
      <c r="AU925" s="1048"/>
      <c r="AV925" s="1048"/>
      <c r="AW925" s="4510"/>
      <c r="AX925" s="1048"/>
      <c r="AY925" s="1048"/>
      <c r="AZ925" s="1048"/>
      <c r="BA925" s="1048"/>
      <c r="BB925" s="1048"/>
      <c r="BC925" s="1048"/>
      <c r="BD925" s="1048"/>
      <c r="BE925" s="1048"/>
      <c r="BF925" s="1048" t="s">
        <v>89</v>
      </c>
      <c r="BG925" s="4505"/>
      <c r="BH925" s="1048">
        <f>I925/60*10</f>
        <v>136</v>
      </c>
      <c r="BI925" s="1048">
        <f>I925/60*10</f>
        <v>136</v>
      </c>
      <c r="BJ925" s="1048">
        <f>I925/60*10</f>
        <v>136</v>
      </c>
      <c r="BK925" s="1048">
        <f>I925/60*10</f>
        <v>136</v>
      </c>
      <c r="BL925" s="1048">
        <f>I925/60*10</f>
        <v>136</v>
      </c>
      <c r="BM925" s="1048">
        <f>I925/60*8</f>
        <v>108.8</v>
      </c>
      <c r="BN925" s="1048">
        <f>I925/60*2</f>
        <v>27.2</v>
      </c>
      <c r="BO925" s="4412"/>
      <c r="BP925" s="4412"/>
      <c r="BQ925" s="4412"/>
      <c r="BR925" s="4524"/>
      <c r="BS925" s="1040"/>
      <c r="BT925" s="1040"/>
      <c r="BU925" s="4606"/>
      <c r="BV925" s="4505">
        <f t="shared" si="493"/>
        <v>816</v>
      </c>
      <c r="BW925" s="4505">
        <f t="shared" si="494"/>
        <v>0</v>
      </c>
      <c r="BX925" s="4160"/>
      <c r="BY925" s="4160"/>
      <c r="BZ925" s="4160"/>
      <c r="CA925" s="4511"/>
      <c r="CC925" s="4512"/>
      <c r="CD925" s="4511"/>
    </row>
    <row r="926" s="4316" customFormat="1" ht="50" customHeight="1" spans="1:85">
      <c r="A926" s="4500">
        <v>46035</v>
      </c>
      <c r="B926" s="4501" t="s">
        <v>1641</v>
      </c>
      <c r="C926" s="3708" t="s">
        <v>396</v>
      </c>
      <c r="D926" s="4502">
        <v>4500191206</v>
      </c>
      <c r="E926" s="3708" t="s">
        <v>5616</v>
      </c>
      <c r="F926" s="4502" t="s">
        <v>5617</v>
      </c>
      <c r="G926" s="3708" t="s">
        <v>2827</v>
      </c>
      <c r="H926" s="3708" t="s">
        <v>2620</v>
      </c>
      <c r="I926" s="4154">
        <v>12</v>
      </c>
      <c r="J926" s="4154">
        <v>0</v>
      </c>
      <c r="K926" s="4154">
        <v>12</v>
      </c>
      <c r="L926" s="4154">
        <f t="shared" si="491"/>
        <v>1</v>
      </c>
      <c r="M926" s="4503">
        <v>46092</v>
      </c>
      <c r="N926" s="4553">
        <v>46088</v>
      </c>
      <c r="O926" s="4117"/>
      <c r="P926" s="4527" t="s">
        <v>82</v>
      </c>
      <c r="Q926" s="4157">
        <v>12</v>
      </c>
      <c r="R926" s="4157">
        <f t="shared" si="472"/>
        <v>0</v>
      </c>
      <c r="S926" s="4172" t="s">
        <v>2297</v>
      </c>
      <c r="T926" s="4173" t="s">
        <v>321</v>
      </c>
      <c r="U926" s="3726"/>
      <c r="V926" s="3711" t="s">
        <v>5526</v>
      </c>
      <c r="W926" s="3711"/>
      <c r="X926" s="3711" t="s">
        <v>2670</v>
      </c>
      <c r="Y926" s="3711" t="s">
        <v>5618</v>
      </c>
      <c r="Z926" s="4154"/>
      <c r="AA926" s="3680" t="s">
        <v>5619</v>
      </c>
      <c r="AB926" s="4154" t="s">
        <v>369</v>
      </c>
      <c r="AC926" s="4154">
        <v>2.194</v>
      </c>
      <c r="AD926" s="4154">
        <f t="shared" si="492"/>
        <v>26.328</v>
      </c>
      <c r="AE926" s="3726"/>
      <c r="AF926" s="4160" t="s">
        <v>3444</v>
      </c>
      <c r="AG926" s="3726" t="s">
        <v>416</v>
      </c>
      <c r="AH926" s="3708"/>
      <c r="AI926" s="4154"/>
      <c r="AJ926" s="4154"/>
      <c r="AK926" s="3708"/>
      <c r="AL926" s="3708"/>
      <c r="AM926" s="3708">
        <f t="shared" si="489"/>
        <v>12</v>
      </c>
      <c r="AN926" s="4154"/>
      <c r="AO926" s="4154"/>
      <c r="AP926" s="4154">
        <f t="shared" si="465"/>
        <v>12</v>
      </c>
      <c r="AQ926" s="1048"/>
      <c r="AR926" s="1048"/>
      <c r="AS926" s="1048"/>
      <c r="AT926" s="1048"/>
      <c r="AU926" s="1048">
        <f>I926</f>
        <v>12</v>
      </c>
      <c r="AV926" s="1048"/>
      <c r="AW926" s="1048"/>
      <c r="AX926" s="1048"/>
      <c r="AY926" s="1048"/>
      <c r="AZ926" s="1048"/>
      <c r="BA926" s="1048"/>
      <c r="BB926" s="1048"/>
      <c r="BC926" s="1048"/>
      <c r="BD926" s="1048"/>
      <c r="BE926" s="1048"/>
      <c r="BF926" s="4510" t="s">
        <v>89</v>
      </c>
      <c r="BG926" s="4510"/>
      <c r="BH926" s="4510">
        <v>11</v>
      </c>
      <c r="BI926" s="4510"/>
      <c r="BJ926" s="4510"/>
      <c r="BK926" s="4510"/>
      <c r="BL926" s="4510"/>
      <c r="BM926" s="4525"/>
      <c r="BN926" s="4526">
        <v>1</v>
      </c>
      <c r="BO926" s="4554"/>
      <c r="BP926" s="4554"/>
      <c r="BQ926" s="4554"/>
      <c r="BR926" s="4555"/>
      <c r="BS926" s="1051"/>
      <c r="BT926" s="4555"/>
      <c r="BU926" s="4511"/>
      <c r="BV926" s="4160">
        <f t="shared" si="493"/>
        <v>12</v>
      </c>
      <c r="BW926" s="4160">
        <f t="shared" si="494"/>
        <v>0</v>
      </c>
      <c r="BX926" s="4323"/>
      <c r="BY926" s="4323"/>
      <c r="BZ926" s="4323"/>
    </row>
    <row r="927" s="4316" customFormat="1" ht="50" customHeight="1" spans="1:85">
      <c r="A927" s="4500">
        <v>46035</v>
      </c>
      <c r="B927" s="4501" t="s">
        <v>1641</v>
      </c>
      <c r="C927" s="3708" t="s">
        <v>396</v>
      </c>
      <c r="D927" s="4502">
        <v>4500191206</v>
      </c>
      <c r="E927" s="3708" t="s">
        <v>5620</v>
      </c>
      <c r="F927" s="4502" t="s">
        <v>5621</v>
      </c>
      <c r="G927" s="3708" t="s">
        <v>2827</v>
      </c>
      <c r="H927" s="3708" t="s">
        <v>2620</v>
      </c>
      <c r="I927" s="4154">
        <v>12</v>
      </c>
      <c r="J927" s="4154">
        <v>0</v>
      </c>
      <c r="K927" s="4154">
        <v>12</v>
      </c>
      <c r="L927" s="4154">
        <f t="shared" si="491"/>
        <v>1</v>
      </c>
      <c r="M927" s="4503">
        <v>46092</v>
      </c>
      <c r="N927" s="4553">
        <v>46088</v>
      </c>
      <c r="O927" s="4117"/>
      <c r="P927" s="4527" t="s">
        <v>82</v>
      </c>
      <c r="Q927" s="4157">
        <v>12</v>
      </c>
      <c r="R927" s="4157">
        <f t="shared" si="472"/>
        <v>0</v>
      </c>
      <c r="S927" s="4600"/>
      <c r="T927" s="4173" t="s">
        <v>321</v>
      </c>
      <c r="U927" s="3726"/>
      <c r="V927" s="3711" t="s">
        <v>5526</v>
      </c>
      <c r="W927" s="3711"/>
      <c r="X927" s="3711" t="s">
        <v>2670</v>
      </c>
      <c r="Y927" s="3711" t="s">
        <v>5618</v>
      </c>
      <c r="Z927" s="4154"/>
      <c r="AA927" s="3680" t="s">
        <v>5619</v>
      </c>
      <c r="AB927" s="4154" t="s">
        <v>369</v>
      </c>
      <c r="AC927" s="4154">
        <v>2.194</v>
      </c>
      <c r="AD927" s="4154">
        <f t="shared" si="492"/>
        <v>26.328</v>
      </c>
      <c r="AE927" s="3726"/>
      <c r="AF927" s="4160" t="s">
        <v>3444</v>
      </c>
      <c r="AG927" s="3726" t="s">
        <v>416</v>
      </c>
      <c r="AH927" s="3708"/>
      <c r="AI927" s="4154"/>
      <c r="AJ927" s="4154"/>
      <c r="AK927" s="3708"/>
      <c r="AL927" s="3708"/>
      <c r="AM927" s="3708">
        <f t="shared" si="489"/>
        <v>12</v>
      </c>
      <c r="AN927" s="4154"/>
      <c r="AO927" s="4154"/>
      <c r="AP927" s="4154">
        <f t="shared" si="465"/>
        <v>12</v>
      </c>
      <c r="AQ927" s="1048"/>
      <c r="AR927" s="1048"/>
      <c r="AS927" s="1048"/>
      <c r="AT927" s="1048"/>
      <c r="AU927" s="1048">
        <f>I927</f>
        <v>12</v>
      </c>
      <c r="AV927" s="1048"/>
      <c r="AW927" s="1048"/>
      <c r="AX927" s="1048"/>
      <c r="AY927" s="1048"/>
      <c r="AZ927" s="1048"/>
      <c r="BA927" s="1048"/>
      <c r="BB927" s="1048"/>
      <c r="BC927" s="1048"/>
      <c r="BD927" s="1048"/>
      <c r="BE927" s="1048"/>
      <c r="BF927" s="4510" t="s">
        <v>89</v>
      </c>
      <c r="BG927" s="4510"/>
      <c r="BH927" s="4510">
        <v>11</v>
      </c>
      <c r="BI927" s="4510"/>
      <c r="BJ927" s="4510"/>
      <c r="BK927" s="4510"/>
      <c r="BL927" s="4510"/>
      <c r="BM927" s="4525"/>
      <c r="BN927" s="4526">
        <v>1</v>
      </c>
      <c r="BO927" s="4554"/>
      <c r="BP927" s="4554"/>
      <c r="BQ927" s="4554"/>
      <c r="BR927" s="4555"/>
      <c r="BS927" s="1051"/>
      <c r="BT927" s="4555"/>
      <c r="BU927" s="4511"/>
      <c r="BV927" s="4160">
        <f t="shared" si="493"/>
        <v>12</v>
      </c>
      <c r="BW927" s="4160">
        <f t="shared" si="494"/>
        <v>0</v>
      </c>
      <c r="BX927" s="4323"/>
      <c r="BY927" s="4323"/>
      <c r="BZ927" s="4323"/>
    </row>
    <row r="928" s="4316" customFormat="1" ht="50" customHeight="1" spans="1:85">
      <c r="A928" s="4583">
        <v>46036</v>
      </c>
      <c r="B928" s="4584" t="s">
        <v>3495</v>
      </c>
      <c r="C928" s="4585" t="s">
        <v>91</v>
      </c>
      <c r="D928" s="4502">
        <v>4500191357</v>
      </c>
      <c r="E928" s="5455" t="s">
        <v>5622</v>
      </c>
      <c r="F928" s="4502" t="s">
        <v>5623</v>
      </c>
      <c r="G928" s="3708" t="s">
        <v>3068</v>
      </c>
      <c r="H928" s="3708" t="s">
        <v>3069</v>
      </c>
      <c r="I928" s="4154">
        <v>1536</v>
      </c>
      <c r="J928" s="4154">
        <v>0</v>
      </c>
      <c r="K928" s="4154">
        <v>384</v>
      </c>
      <c r="L928" s="4154">
        <f t="shared" si="491"/>
        <v>4</v>
      </c>
      <c r="M928" s="4503">
        <v>46087</v>
      </c>
      <c r="N928" s="4553">
        <v>46083</v>
      </c>
      <c r="O928" s="3708" t="s">
        <v>5624</v>
      </c>
      <c r="P928" s="4527" t="s">
        <v>82</v>
      </c>
      <c r="Q928" s="4157">
        <v>1536</v>
      </c>
      <c r="R928" s="4157">
        <f t="shared" si="472"/>
        <v>0</v>
      </c>
      <c r="S928" s="4173" t="s">
        <v>2297</v>
      </c>
      <c r="T928" s="4219" t="s">
        <v>321</v>
      </c>
      <c r="U928" s="3726" t="s">
        <v>166</v>
      </c>
      <c r="V928" s="3711" t="s">
        <v>5334</v>
      </c>
      <c r="W928" s="3711"/>
      <c r="X928" s="3711" t="s">
        <v>4710</v>
      </c>
      <c r="Y928" s="3711" t="s">
        <v>4935</v>
      </c>
      <c r="Z928" s="4154"/>
      <c r="AA928" s="3680" t="s">
        <v>5625</v>
      </c>
      <c r="AB928" s="4154" t="s">
        <v>3076</v>
      </c>
      <c r="AC928" s="4504">
        <v>58.6525</v>
      </c>
      <c r="AD928" s="4154">
        <f t="shared" ref="AD928:AD933" si="496">AC928*L928</f>
        <v>234.61</v>
      </c>
      <c r="AE928" s="3726"/>
      <c r="AF928" s="3708" t="s">
        <v>3078</v>
      </c>
      <c r="AG928" s="3726" t="s">
        <v>416</v>
      </c>
      <c r="AH928" s="4154"/>
      <c r="AI928" s="4154"/>
      <c r="AJ928" s="3708">
        <f t="shared" ref="AJ928:AJ933" si="497">I928</f>
        <v>1536</v>
      </c>
      <c r="AK928" s="3708"/>
      <c r="AL928" s="4154"/>
      <c r="AM928" s="4154"/>
      <c r="AN928" s="4154"/>
      <c r="AO928" s="1048"/>
      <c r="AP928" s="1048">
        <f t="shared" si="465"/>
        <v>1536</v>
      </c>
      <c r="AQ928" s="1048"/>
      <c r="AR928" s="1040"/>
      <c r="AS928" s="4510">
        <f t="shared" ref="AS928:AS938" si="498">I928</f>
        <v>1536</v>
      </c>
      <c r="AT928" s="1040"/>
      <c r="AU928" s="1048"/>
      <c r="AV928" s="1048"/>
      <c r="AW928" s="1048"/>
      <c r="AX928" s="1048"/>
      <c r="AY928" s="1048"/>
      <c r="AZ928" s="1048"/>
      <c r="BA928" s="1048"/>
      <c r="BB928" s="1048">
        <f t="shared" ref="BB928:BB933" si="499">I928/2</f>
        <v>768</v>
      </c>
      <c r="BC928" s="1048"/>
      <c r="BD928" s="4510"/>
      <c r="BE928" s="4510"/>
      <c r="BF928" s="4510" t="s">
        <v>89</v>
      </c>
      <c r="BG928" s="4510"/>
      <c r="BH928" s="4510">
        <f t="shared" ref="BH928:BH934" si="500">I928/60*10</f>
        <v>256</v>
      </c>
      <c r="BI928" s="4510">
        <f t="shared" ref="BI928:BI933" si="501">I928/60*6</f>
        <v>153.6</v>
      </c>
      <c r="BJ928" s="4510">
        <f t="shared" ref="BJ928:BJ934" si="502">I928/60*10</f>
        <v>256</v>
      </c>
      <c r="BK928" s="4510">
        <f t="shared" ref="BK928:BK933" si="503">I928/60*7</f>
        <v>179.2</v>
      </c>
      <c r="BL928" s="4510">
        <f t="shared" ref="BL928:BL933" si="504">I928/60*8</f>
        <v>204.8</v>
      </c>
      <c r="BM928" s="4525">
        <f t="shared" ref="BM928:BM934" si="505">I928/60*8</f>
        <v>204.8</v>
      </c>
      <c r="BN928" s="4525">
        <f t="shared" ref="BN928:BN933" si="506">I928/60*11</f>
        <v>281.6</v>
      </c>
      <c r="BO928" s="4323"/>
      <c r="BP928" s="4323"/>
      <c r="BQ928" s="4323"/>
      <c r="BR928" s="4555"/>
      <c r="BS928" s="4555"/>
      <c r="BT928" s="4555"/>
      <c r="BU928" s="4555"/>
      <c r="BV928" s="4589">
        <f t="shared" si="493"/>
        <v>1536</v>
      </c>
      <c r="BW928" s="4589">
        <f t="shared" si="494"/>
        <v>0</v>
      </c>
      <c r="BX928" s="4589"/>
      <c r="BY928" s="4323"/>
      <c r="BZ928" s="4323"/>
    </row>
    <row r="929" s="4316" customFormat="1" ht="50" customHeight="1" spans="1:82">
      <c r="A929" s="4583">
        <v>46036</v>
      </c>
      <c r="B929" s="4584" t="s">
        <v>3495</v>
      </c>
      <c r="C929" s="4585" t="s">
        <v>91</v>
      </c>
      <c r="D929" s="4502">
        <v>4500191357</v>
      </c>
      <c r="E929" s="5455" t="s">
        <v>5626</v>
      </c>
      <c r="F929" s="5460" t="s">
        <v>5627</v>
      </c>
      <c r="G929" s="3708" t="s">
        <v>3068</v>
      </c>
      <c r="H929" s="3708" t="s">
        <v>3069</v>
      </c>
      <c r="I929" s="4154">
        <v>768</v>
      </c>
      <c r="J929" s="4154">
        <v>0</v>
      </c>
      <c r="K929" s="4154">
        <v>384</v>
      </c>
      <c r="L929" s="4154">
        <f t="shared" si="491"/>
        <v>2</v>
      </c>
      <c r="M929" s="4503">
        <v>46087</v>
      </c>
      <c r="N929" s="4553">
        <v>46083</v>
      </c>
      <c r="O929" s="3708" t="s">
        <v>5624</v>
      </c>
      <c r="P929" s="4527" t="s">
        <v>82</v>
      </c>
      <c r="Q929" s="4157">
        <v>768</v>
      </c>
      <c r="R929" s="4157">
        <f t="shared" si="472"/>
        <v>0</v>
      </c>
      <c r="S929" s="4602" t="s">
        <v>2297</v>
      </c>
      <c r="T929" s="4219" t="s">
        <v>321</v>
      </c>
      <c r="U929" s="3726" t="s">
        <v>769</v>
      </c>
      <c r="V929" s="3711" t="s">
        <v>5334</v>
      </c>
      <c r="W929" s="3711"/>
      <c r="X929" s="3711" t="s">
        <v>4710</v>
      </c>
      <c r="Y929" s="3711" t="s">
        <v>4935</v>
      </c>
      <c r="Z929" s="4154"/>
      <c r="AA929" s="3680" t="s">
        <v>5625</v>
      </c>
      <c r="AB929" s="4154" t="s">
        <v>3076</v>
      </c>
      <c r="AC929" s="4504">
        <v>58.655</v>
      </c>
      <c r="AD929" s="4154">
        <f t="shared" si="496"/>
        <v>117.31</v>
      </c>
      <c r="AE929" s="3726"/>
      <c r="AF929" s="3708" t="s">
        <v>3078</v>
      </c>
      <c r="AG929" s="3726" t="s">
        <v>416</v>
      </c>
      <c r="AH929" s="4154"/>
      <c r="AI929" s="4154"/>
      <c r="AJ929" s="3708">
        <f t="shared" si="497"/>
        <v>768</v>
      </c>
      <c r="AK929" s="3708"/>
      <c r="AL929" s="4154"/>
      <c r="AM929" s="4154"/>
      <c r="AN929" s="4154"/>
      <c r="AO929" s="1048"/>
      <c r="AP929" s="1048">
        <f t="shared" si="465"/>
        <v>768</v>
      </c>
      <c r="AQ929" s="1048"/>
      <c r="AR929" s="1040"/>
      <c r="AS929" s="4510">
        <f t="shared" si="498"/>
        <v>768</v>
      </c>
      <c r="AT929" s="1040"/>
      <c r="AU929" s="1048"/>
      <c r="AV929" s="1048"/>
      <c r="AW929" s="1048"/>
      <c r="AX929" s="1048"/>
      <c r="AY929" s="1048"/>
      <c r="AZ929" s="1048"/>
      <c r="BA929" s="1048"/>
      <c r="BB929" s="1048">
        <f t="shared" si="499"/>
        <v>384</v>
      </c>
      <c r="BC929" s="1048"/>
      <c r="BD929" s="4510"/>
      <c r="BE929" s="4510"/>
      <c r="BF929" s="4510" t="s">
        <v>89</v>
      </c>
      <c r="BG929" s="4510"/>
      <c r="BH929" s="4510">
        <f t="shared" si="500"/>
        <v>128</v>
      </c>
      <c r="BI929" s="4510">
        <f t="shared" si="501"/>
        <v>76.8</v>
      </c>
      <c r="BJ929" s="4510">
        <f t="shared" si="502"/>
        <v>128</v>
      </c>
      <c r="BK929" s="4510">
        <f t="shared" si="503"/>
        <v>89.6</v>
      </c>
      <c r="BL929" s="4510">
        <f t="shared" si="504"/>
        <v>102.4</v>
      </c>
      <c r="BM929" s="4525">
        <f t="shared" si="505"/>
        <v>102.4</v>
      </c>
      <c r="BN929" s="4525">
        <f t="shared" si="506"/>
        <v>140.8</v>
      </c>
      <c r="BO929" s="4323"/>
      <c r="BP929" s="4323"/>
      <c r="BQ929" s="4323"/>
      <c r="BR929" s="4555"/>
      <c r="BS929" s="4555"/>
      <c r="BT929" s="4555"/>
      <c r="BU929" s="4555"/>
      <c r="BV929" s="4589">
        <f t="shared" si="493"/>
        <v>768</v>
      </c>
      <c r="BW929" s="4589">
        <f t="shared" si="494"/>
        <v>0</v>
      </c>
      <c r="BX929" s="4589"/>
      <c r="BY929" s="4323"/>
      <c r="BZ929" s="4323"/>
    </row>
    <row r="930" s="4316" customFormat="1" ht="50" customHeight="1" spans="1:82">
      <c r="A930" s="4583">
        <v>46036</v>
      </c>
      <c r="B930" s="4584" t="s">
        <v>3495</v>
      </c>
      <c r="C930" s="4585" t="s">
        <v>91</v>
      </c>
      <c r="D930" s="4502">
        <v>4500191357</v>
      </c>
      <c r="E930" s="5455" t="s">
        <v>5628</v>
      </c>
      <c r="F930" s="4502" t="s">
        <v>5629</v>
      </c>
      <c r="G930" s="3708" t="s">
        <v>3068</v>
      </c>
      <c r="H930" s="3708" t="s">
        <v>3069</v>
      </c>
      <c r="I930" s="4154">
        <v>768</v>
      </c>
      <c r="J930" s="4154">
        <v>0</v>
      </c>
      <c r="K930" s="4154">
        <v>384</v>
      </c>
      <c r="L930" s="4154">
        <f t="shared" si="491"/>
        <v>2</v>
      </c>
      <c r="M930" s="4503">
        <v>46087</v>
      </c>
      <c r="N930" s="4553">
        <v>46083</v>
      </c>
      <c r="O930" s="3708" t="s">
        <v>5624</v>
      </c>
      <c r="P930" s="4527" t="s">
        <v>82</v>
      </c>
      <c r="Q930" s="4157">
        <v>768</v>
      </c>
      <c r="R930" s="4157">
        <f t="shared" si="472"/>
        <v>0</v>
      </c>
      <c r="S930" s="4603"/>
      <c r="T930" s="4219" t="s">
        <v>321</v>
      </c>
      <c r="U930" s="3726" t="s">
        <v>2392</v>
      </c>
      <c r="V930" s="3711" t="s">
        <v>5334</v>
      </c>
      <c r="W930" s="3711"/>
      <c r="X930" s="3711" t="s">
        <v>4710</v>
      </c>
      <c r="Y930" s="3711" t="s">
        <v>4935</v>
      </c>
      <c r="Z930" s="4154"/>
      <c r="AA930" s="3680" t="s">
        <v>5625</v>
      </c>
      <c r="AB930" s="4154" t="s">
        <v>3076</v>
      </c>
      <c r="AC930" s="4504">
        <v>58.655</v>
      </c>
      <c r="AD930" s="4154">
        <f t="shared" si="496"/>
        <v>117.31</v>
      </c>
      <c r="AE930" s="3726"/>
      <c r="AF930" s="3708" t="s">
        <v>3078</v>
      </c>
      <c r="AG930" s="3726" t="s">
        <v>416</v>
      </c>
      <c r="AH930" s="4154"/>
      <c r="AI930" s="4154"/>
      <c r="AJ930" s="3708">
        <f t="shared" si="497"/>
        <v>768</v>
      </c>
      <c r="AK930" s="3708"/>
      <c r="AL930" s="4154"/>
      <c r="AM930" s="4154"/>
      <c r="AN930" s="4154"/>
      <c r="AO930" s="1048"/>
      <c r="AP930" s="1048">
        <f t="shared" si="465"/>
        <v>768</v>
      </c>
      <c r="AQ930" s="1048"/>
      <c r="AR930" s="1040"/>
      <c r="AS930" s="4510">
        <f t="shared" si="498"/>
        <v>768</v>
      </c>
      <c r="AT930" s="1040"/>
      <c r="AU930" s="1048"/>
      <c r="AV930" s="1048"/>
      <c r="AW930" s="1048"/>
      <c r="AX930" s="1048"/>
      <c r="AY930" s="1048"/>
      <c r="AZ930" s="1048"/>
      <c r="BA930" s="1048"/>
      <c r="BB930" s="1048">
        <f t="shared" si="499"/>
        <v>384</v>
      </c>
      <c r="BC930" s="1048"/>
      <c r="BD930" s="4510"/>
      <c r="BE930" s="4510"/>
      <c r="BF930" s="4510" t="s">
        <v>89</v>
      </c>
      <c r="BG930" s="4510"/>
      <c r="BH930" s="4510">
        <f t="shared" si="500"/>
        <v>128</v>
      </c>
      <c r="BI930" s="4510">
        <f t="shared" si="501"/>
        <v>76.8</v>
      </c>
      <c r="BJ930" s="4510">
        <f t="shared" si="502"/>
        <v>128</v>
      </c>
      <c r="BK930" s="4510">
        <f t="shared" si="503"/>
        <v>89.6</v>
      </c>
      <c r="BL930" s="4510">
        <f t="shared" si="504"/>
        <v>102.4</v>
      </c>
      <c r="BM930" s="4525">
        <f t="shared" si="505"/>
        <v>102.4</v>
      </c>
      <c r="BN930" s="4525">
        <f t="shared" si="506"/>
        <v>140.8</v>
      </c>
      <c r="BO930" s="4323"/>
      <c r="BP930" s="4323"/>
      <c r="BQ930" s="4323"/>
      <c r="BR930" s="4555"/>
      <c r="BS930" s="4555"/>
      <c r="BT930" s="4555"/>
      <c r="BU930" s="4555"/>
      <c r="BV930" s="4589">
        <f t="shared" si="493"/>
        <v>768</v>
      </c>
      <c r="BW930" s="4589">
        <f t="shared" si="494"/>
        <v>0</v>
      </c>
      <c r="BX930" s="4589"/>
      <c r="BY930" s="4323"/>
      <c r="BZ930" s="4323"/>
    </row>
    <row r="931" s="4316" customFormat="1" ht="50" customHeight="1" spans="1:82">
      <c r="A931" s="4583">
        <v>46036</v>
      </c>
      <c r="B931" s="4584" t="s">
        <v>3495</v>
      </c>
      <c r="C931" s="4585" t="s">
        <v>91</v>
      </c>
      <c r="D931" s="4502">
        <v>4500191357</v>
      </c>
      <c r="E931" s="5455" t="s">
        <v>5630</v>
      </c>
      <c r="F931" s="4502" t="s">
        <v>5631</v>
      </c>
      <c r="G931" s="3708" t="s">
        <v>3068</v>
      </c>
      <c r="H931" s="3708" t="s">
        <v>3069</v>
      </c>
      <c r="I931" s="4154">
        <v>768</v>
      </c>
      <c r="J931" s="4154">
        <v>0</v>
      </c>
      <c r="K931" s="4154">
        <v>384</v>
      </c>
      <c r="L931" s="4154">
        <f t="shared" si="491"/>
        <v>2</v>
      </c>
      <c r="M931" s="4503">
        <v>46087</v>
      </c>
      <c r="N931" s="4553">
        <v>46083</v>
      </c>
      <c r="O931" s="3708" t="s">
        <v>5624</v>
      </c>
      <c r="P931" s="4527" t="s">
        <v>82</v>
      </c>
      <c r="Q931" s="4157">
        <v>768</v>
      </c>
      <c r="R931" s="4157">
        <f t="shared" si="472"/>
        <v>0</v>
      </c>
      <c r="S931" s="4603"/>
      <c r="T931" s="4219" t="s">
        <v>321</v>
      </c>
      <c r="U931" s="3726" t="s">
        <v>778</v>
      </c>
      <c r="V931" s="3711" t="s">
        <v>5334</v>
      </c>
      <c r="W931" s="3711"/>
      <c r="X931" s="3711" t="s">
        <v>4710</v>
      </c>
      <c r="Y931" s="3711" t="s">
        <v>4935</v>
      </c>
      <c r="Z931" s="4154"/>
      <c r="AA931" s="3680" t="s">
        <v>5625</v>
      </c>
      <c r="AB931" s="4154" t="s">
        <v>3076</v>
      </c>
      <c r="AC931" s="4504">
        <v>70.715</v>
      </c>
      <c r="AD931" s="4154">
        <f t="shared" si="496"/>
        <v>141.43</v>
      </c>
      <c r="AE931" s="3726"/>
      <c r="AF931" s="3708" t="s">
        <v>3078</v>
      </c>
      <c r="AG931" s="3726" t="s">
        <v>416</v>
      </c>
      <c r="AH931" s="4154"/>
      <c r="AI931" s="4154"/>
      <c r="AJ931" s="3708">
        <f t="shared" si="497"/>
        <v>768</v>
      </c>
      <c r="AK931" s="3708"/>
      <c r="AL931" s="4154"/>
      <c r="AM931" s="4154"/>
      <c r="AN931" s="4154"/>
      <c r="AO931" s="1048"/>
      <c r="AP931" s="1048">
        <f t="shared" si="465"/>
        <v>768</v>
      </c>
      <c r="AQ931" s="1048"/>
      <c r="AR931" s="1040"/>
      <c r="AS931" s="4510">
        <f t="shared" si="498"/>
        <v>768</v>
      </c>
      <c r="AT931" s="1040"/>
      <c r="AU931" s="1048"/>
      <c r="AV931" s="1048"/>
      <c r="AW931" s="1048"/>
      <c r="AX931" s="1048"/>
      <c r="AY931" s="1048"/>
      <c r="AZ931" s="1048"/>
      <c r="BA931" s="1048"/>
      <c r="BB931" s="1048">
        <f t="shared" si="499"/>
        <v>384</v>
      </c>
      <c r="BC931" s="1048"/>
      <c r="BD931" s="4510"/>
      <c r="BE931" s="4510"/>
      <c r="BF931" s="4510" t="s">
        <v>89</v>
      </c>
      <c r="BG931" s="4510"/>
      <c r="BH931" s="4510">
        <f t="shared" si="500"/>
        <v>128</v>
      </c>
      <c r="BI931" s="4510">
        <f t="shared" si="501"/>
        <v>76.8</v>
      </c>
      <c r="BJ931" s="4510">
        <f t="shared" si="502"/>
        <v>128</v>
      </c>
      <c r="BK931" s="4510">
        <f t="shared" si="503"/>
        <v>89.6</v>
      </c>
      <c r="BL931" s="4510">
        <f t="shared" si="504"/>
        <v>102.4</v>
      </c>
      <c r="BM931" s="4525">
        <f t="shared" si="505"/>
        <v>102.4</v>
      </c>
      <c r="BN931" s="4525">
        <f t="shared" si="506"/>
        <v>140.8</v>
      </c>
      <c r="BO931" s="4323"/>
      <c r="BP931" s="4323"/>
      <c r="BQ931" s="4323"/>
      <c r="BR931" s="4555"/>
      <c r="BS931" s="4555"/>
      <c r="BT931" s="4555"/>
      <c r="BU931" s="4555"/>
      <c r="BV931" s="4589">
        <f t="shared" si="493"/>
        <v>768</v>
      </c>
      <c r="BW931" s="4589">
        <f t="shared" si="494"/>
        <v>0</v>
      </c>
      <c r="BX931" s="4589"/>
      <c r="BY931" s="4323"/>
      <c r="BZ931" s="4323"/>
    </row>
    <row r="932" s="4316" customFormat="1" ht="50" customHeight="1" spans="1:82">
      <c r="A932" s="4583">
        <v>46036</v>
      </c>
      <c r="B932" s="4584" t="s">
        <v>3495</v>
      </c>
      <c r="C932" s="4585" t="s">
        <v>91</v>
      </c>
      <c r="D932" s="4502">
        <v>4500191357</v>
      </c>
      <c r="E932" s="5455" t="s">
        <v>5632</v>
      </c>
      <c r="F932" s="4502" t="s">
        <v>5633</v>
      </c>
      <c r="G932" s="3708" t="s">
        <v>3068</v>
      </c>
      <c r="H932" s="3708" t="s">
        <v>3069</v>
      </c>
      <c r="I932" s="4154">
        <v>1152</v>
      </c>
      <c r="J932" s="4154">
        <v>0</v>
      </c>
      <c r="K932" s="4154">
        <v>384</v>
      </c>
      <c r="L932" s="4154">
        <f t="shared" si="491"/>
        <v>3</v>
      </c>
      <c r="M932" s="4503">
        <v>46087</v>
      </c>
      <c r="N932" s="4553">
        <v>46083</v>
      </c>
      <c r="O932" s="3708" t="s">
        <v>5624</v>
      </c>
      <c r="P932" s="4527" t="s">
        <v>82</v>
      </c>
      <c r="Q932" s="4157">
        <v>1152</v>
      </c>
      <c r="R932" s="4157">
        <f t="shared" si="472"/>
        <v>0</v>
      </c>
      <c r="S932" s="4603"/>
      <c r="T932" s="4219" t="s">
        <v>321</v>
      </c>
      <c r="U932" s="3726" t="s">
        <v>3175</v>
      </c>
      <c r="V932" s="3711" t="s">
        <v>5334</v>
      </c>
      <c r="W932" s="3711"/>
      <c r="X932" s="3711" t="s">
        <v>4710</v>
      </c>
      <c r="Y932" s="3711" t="s">
        <v>4935</v>
      </c>
      <c r="Z932" s="4154"/>
      <c r="AA932" s="3680" t="s">
        <v>5625</v>
      </c>
      <c r="AB932" s="4154" t="s">
        <v>3076</v>
      </c>
      <c r="AC932" s="4504">
        <v>70.7133</v>
      </c>
      <c r="AD932" s="4154">
        <f t="shared" si="496"/>
        <v>212.1399</v>
      </c>
      <c r="AE932" s="3726"/>
      <c r="AF932" s="3708" t="s">
        <v>3078</v>
      </c>
      <c r="AG932" s="3726" t="s">
        <v>416</v>
      </c>
      <c r="AH932" s="4154"/>
      <c r="AI932" s="4154"/>
      <c r="AJ932" s="3708">
        <f t="shared" si="497"/>
        <v>1152</v>
      </c>
      <c r="AK932" s="3708"/>
      <c r="AL932" s="4154"/>
      <c r="AM932" s="4154"/>
      <c r="AN932" s="4154"/>
      <c r="AO932" s="1048"/>
      <c r="AP932" s="1048">
        <f t="shared" si="465"/>
        <v>1152</v>
      </c>
      <c r="AQ932" s="1048"/>
      <c r="AR932" s="1040"/>
      <c r="AS932" s="4510">
        <f t="shared" si="498"/>
        <v>1152</v>
      </c>
      <c r="AT932" s="1040"/>
      <c r="AU932" s="1048"/>
      <c r="AV932" s="1048"/>
      <c r="AW932" s="1048"/>
      <c r="AX932" s="1048"/>
      <c r="AY932" s="1048"/>
      <c r="AZ932" s="1048"/>
      <c r="BA932" s="1048"/>
      <c r="BB932" s="1048">
        <f t="shared" si="499"/>
        <v>576</v>
      </c>
      <c r="BC932" s="1048"/>
      <c r="BD932" s="4510"/>
      <c r="BE932" s="4510"/>
      <c r="BF932" s="4510" t="s">
        <v>89</v>
      </c>
      <c r="BG932" s="4510"/>
      <c r="BH932" s="4510">
        <f t="shared" si="500"/>
        <v>192</v>
      </c>
      <c r="BI932" s="4510">
        <f t="shared" si="501"/>
        <v>115.2</v>
      </c>
      <c r="BJ932" s="4510">
        <f t="shared" si="502"/>
        <v>192</v>
      </c>
      <c r="BK932" s="4510">
        <f t="shared" si="503"/>
        <v>134.4</v>
      </c>
      <c r="BL932" s="4510">
        <f t="shared" si="504"/>
        <v>153.6</v>
      </c>
      <c r="BM932" s="4525">
        <f t="shared" si="505"/>
        <v>153.6</v>
      </c>
      <c r="BN932" s="4525">
        <f t="shared" si="506"/>
        <v>211.2</v>
      </c>
      <c r="BO932" s="4323"/>
      <c r="BP932" s="4323"/>
      <c r="BQ932" s="4323"/>
      <c r="BR932" s="4555"/>
      <c r="BS932" s="4555"/>
      <c r="BT932" s="4555"/>
      <c r="BU932" s="4555"/>
      <c r="BV932" s="4589">
        <f t="shared" si="493"/>
        <v>1152</v>
      </c>
      <c r="BW932" s="4589">
        <f t="shared" si="494"/>
        <v>0</v>
      </c>
      <c r="BX932" s="4589"/>
      <c r="BY932" s="4323"/>
      <c r="BZ932" s="4323"/>
    </row>
    <row r="933" s="4316" customFormat="1" ht="50" customHeight="1" spans="1:82">
      <c r="A933" s="4583">
        <v>46036</v>
      </c>
      <c r="B933" s="4584" t="s">
        <v>3495</v>
      </c>
      <c r="C933" s="4585" t="s">
        <v>91</v>
      </c>
      <c r="D933" s="4502">
        <v>4500191357</v>
      </c>
      <c r="E933" s="5455" t="s">
        <v>5634</v>
      </c>
      <c r="F933" s="4502" t="s">
        <v>5635</v>
      </c>
      <c r="G933" s="3708" t="s">
        <v>3068</v>
      </c>
      <c r="H933" s="3708" t="s">
        <v>3069</v>
      </c>
      <c r="I933" s="4154">
        <v>768</v>
      </c>
      <c r="J933" s="4154">
        <v>0</v>
      </c>
      <c r="K933" s="4154">
        <v>384</v>
      </c>
      <c r="L933" s="4154">
        <f t="shared" si="491"/>
        <v>2</v>
      </c>
      <c r="M933" s="4503">
        <v>46087</v>
      </c>
      <c r="N933" s="4553">
        <v>46083</v>
      </c>
      <c r="O933" s="3708" t="s">
        <v>5624</v>
      </c>
      <c r="P933" s="4527" t="s">
        <v>82</v>
      </c>
      <c r="Q933" s="4157">
        <v>768</v>
      </c>
      <c r="R933" s="4157">
        <f t="shared" si="472"/>
        <v>0</v>
      </c>
      <c r="S933" s="4604"/>
      <c r="T933" s="4219" t="s">
        <v>321</v>
      </c>
      <c r="U933" s="3726" t="s">
        <v>2385</v>
      </c>
      <c r="V933" s="3711" t="s">
        <v>5334</v>
      </c>
      <c r="W933" s="3711"/>
      <c r="X933" s="3711" t="s">
        <v>4710</v>
      </c>
      <c r="Y933" s="3711" t="s">
        <v>4935</v>
      </c>
      <c r="Z933" s="4154"/>
      <c r="AA933" s="3680" t="s">
        <v>5625</v>
      </c>
      <c r="AB933" s="4154" t="s">
        <v>3076</v>
      </c>
      <c r="AC933" s="4504">
        <v>70.715</v>
      </c>
      <c r="AD933" s="4154">
        <f t="shared" si="496"/>
        <v>141.43</v>
      </c>
      <c r="AE933" s="3726"/>
      <c r="AF933" s="3708" t="s">
        <v>3078</v>
      </c>
      <c r="AG933" s="3726" t="s">
        <v>416</v>
      </c>
      <c r="AH933" s="4154"/>
      <c r="AI933" s="4154"/>
      <c r="AJ933" s="3708">
        <f t="shared" si="497"/>
        <v>768</v>
      </c>
      <c r="AK933" s="3708"/>
      <c r="AL933" s="4154"/>
      <c r="AM933" s="4154"/>
      <c r="AN933" s="4154"/>
      <c r="AO933" s="1048"/>
      <c r="AP933" s="1048">
        <f t="shared" si="465"/>
        <v>768</v>
      </c>
      <c r="AQ933" s="1048"/>
      <c r="AR933" s="1040"/>
      <c r="AS933" s="4510">
        <f t="shared" si="498"/>
        <v>768</v>
      </c>
      <c r="AT933" s="1040"/>
      <c r="AU933" s="1048"/>
      <c r="AV933" s="1048"/>
      <c r="AW933" s="1048"/>
      <c r="AX933" s="1048"/>
      <c r="AY933" s="1048"/>
      <c r="AZ933" s="1048"/>
      <c r="BA933" s="1048"/>
      <c r="BB933" s="1048">
        <f t="shared" si="499"/>
        <v>384</v>
      </c>
      <c r="BC933" s="1048"/>
      <c r="BD933" s="4510"/>
      <c r="BE933" s="4510"/>
      <c r="BF933" s="4510" t="s">
        <v>89</v>
      </c>
      <c r="BG933" s="4510"/>
      <c r="BH933" s="4510">
        <f t="shared" si="500"/>
        <v>128</v>
      </c>
      <c r="BI933" s="4510">
        <f t="shared" si="501"/>
        <v>76.8</v>
      </c>
      <c r="BJ933" s="4510">
        <f t="shared" si="502"/>
        <v>128</v>
      </c>
      <c r="BK933" s="4510">
        <f t="shared" si="503"/>
        <v>89.6</v>
      </c>
      <c r="BL933" s="4510">
        <f t="shared" si="504"/>
        <v>102.4</v>
      </c>
      <c r="BM933" s="4525">
        <f t="shared" si="505"/>
        <v>102.4</v>
      </c>
      <c r="BN933" s="4525">
        <f t="shared" si="506"/>
        <v>140.8</v>
      </c>
      <c r="BO933" s="4323"/>
      <c r="BP933" s="4323"/>
      <c r="BQ933" s="4323"/>
      <c r="BR933" s="4555"/>
      <c r="BS933" s="4555"/>
      <c r="BT933" s="4555"/>
      <c r="BU933" s="4555"/>
      <c r="BV933" s="4589">
        <f t="shared" si="493"/>
        <v>768</v>
      </c>
      <c r="BW933" s="4589">
        <f t="shared" si="494"/>
        <v>0</v>
      </c>
      <c r="BX933" s="4589"/>
      <c r="BY933" s="4323"/>
      <c r="BZ933" s="4323"/>
    </row>
    <row r="934" s="4316" customFormat="1" ht="50" customHeight="1" spans="1:82">
      <c r="A934" s="4500">
        <v>46036</v>
      </c>
      <c r="B934" s="3708" t="s">
        <v>4533</v>
      </c>
      <c r="C934" s="3708" t="s">
        <v>738</v>
      </c>
      <c r="D934" s="4154">
        <v>4500191234</v>
      </c>
      <c r="E934" s="3708"/>
      <c r="F934" s="4154" t="s">
        <v>5636</v>
      </c>
      <c r="G934" s="3708" t="s">
        <v>2640</v>
      </c>
      <c r="H934" s="3708" t="s">
        <v>2641</v>
      </c>
      <c r="I934" s="4154">
        <v>96</v>
      </c>
      <c r="J934" s="4154">
        <v>0</v>
      </c>
      <c r="K934" s="4154">
        <v>12</v>
      </c>
      <c r="L934" s="4154">
        <f t="shared" si="491"/>
        <v>8</v>
      </c>
      <c r="M934" s="4503">
        <v>46097</v>
      </c>
      <c r="N934" s="4553">
        <f>M934-4</f>
        <v>46093</v>
      </c>
      <c r="O934" s="4117"/>
      <c r="P934" s="4527" t="s">
        <v>82</v>
      </c>
      <c r="Q934" s="4157">
        <v>96</v>
      </c>
      <c r="R934" s="4157">
        <f t="shared" si="472"/>
        <v>0</v>
      </c>
      <c r="S934" s="4602" t="s">
        <v>2297</v>
      </c>
      <c r="T934" s="4173" t="s">
        <v>321</v>
      </c>
      <c r="U934" s="3680" t="s">
        <v>172</v>
      </c>
      <c r="V934" s="3711" t="s">
        <v>786</v>
      </c>
      <c r="W934" s="3711"/>
      <c r="X934" s="3711" t="s">
        <v>5637</v>
      </c>
      <c r="Y934" s="3711"/>
      <c r="Z934" s="4154"/>
      <c r="AA934" s="3680" t="s">
        <v>5638</v>
      </c>
      <c r="AB934" s="4154" t="s">
        <v>1257</v>
      </c>
      <c r="AC934" s="4504">
        <v>2.0915</v>
      </c>
      <c r="AD934" s="4154">
        <f>AC934*I934</f>
        <v>200.784</v>
      </c>
      <c r="AE934" s="3726"/>
      <c r="AF934" s="3708" t="s">
        <v>2644</v>
      </c>
      <c r="AG934" s="3726" t="s">
        <v>416</v>
      </c>
      <c r="AH934" s="4154"/>
      <c r="AI934" s="3708"/>
      <c r="AJ934" s="4575"/>
      <c r="AK934" s="4154"/>
      <c r="AL934" s="4154"/>
      <c r="AM934" s="3708">
        <f>I934</f>
        <v>96</v>
      </c>
      <c r="AN934" s="1048"/>
      <c r="AO934" s="1048"/>
      <c r="AP934" s="4154">
        <f t="shared" si="465"/>
        <v>96</v>
      </c>
      <c r="AQ934" s="1048"/>
      <c r="AR934" s="1048"/>
      <c r="AS934" s="4510">
        <f t="shared" si="498"/>
        <v>96</v>
      </c>
      <c r="AT934" s="1048"/>
      <c r="AU934" s="1048"/>
      <c r="AV934" s="1048"/>
      <c r="AW934" s="4510"/>
      <c r="AX934" s="1048"/>
      <c r="AY934" s="1048"/>
      <c r="AZ934" s="1048"/>
      <c r="BA934" s="1048"/>
      <c r="BB934" s="1048"/>
      <c r="BC934" s="1048"/>
      <c r="BD934" s="1048"/>
      <c r="BE934" s="1048"/>
      <c r="BF934" s="1048" t="s">
        <v>89</v>
      </c>
      <c r="BG934" s="4505"/>
      <c r="BH934" s="1048">
        <f>I934-BU934-6</f>
        <v>90</v>
      </c>
      <c r="BI934" s="1048"/>
      <c r="BJ934" s="1048"/>
      <c r="BK934" s="1048"/>
      <c r="BL934" s="1048"/>
      <c r="BM934" s="1048"/>
      <c r="BN934" s="1048">
        <f>I934/58*2</f>
        <v>3.31034482758621</v>
      </c>
      <c r="BO934" s="1048"/>
      <c r="BP934" s="1048"/>
      <c r="BQ934" s="1048"/>
      <c r="BR934" s="1048"/>
      <c r="BS934" s="1048"/>
      <c r="BT934" s="4414"/>
      <c r="BU934" s="4607"/>
      <c r="BV934" s="4505">
        <f t="shared" si="493"/>
        <v>93.3103448275862</v>
      </c>
      <c r="BW934" s="4505">
        <f t="shared" si="494"/>
        <v>2.68965517241379</v>
      </c>
      <c r="BX934" s="4323"/>
      <c r="BY934" s="4323"/>
      <c r="BZ934" s="4323"/>
      <c r="CA934" s="4511"/>
      <c r="CC934" s="4512"/>
      <c r="CD934" s="4511"/>
    </row>
    <row r="935" s="4316" customFormat="1" ht="50" customHeight="1" spans="1:82">
      <c r="A935" s="4500">
        <v>46036</v>
      </c>
      <c r="B935" s="3708" t="s">
        <v>4533</v>
      </c>
      <c r="C935" s="3708" t="s">
        <v>738</v>
      </c>
      <c r="D935" s="4154">
        <v>4500191234</v>
      </c>
      <c r="E935" s="3708"/>
      <c r="F935" s="4154" t="s">
        <v>5639</v>
      </c>
      <c r="G935" s="3708" t="s">
        <v>2631</v>
      </c>
      <c r="H935" s="3708" t="s">
        <v>2632</v>
      </c>
      <c r="I935" s="4154">
        <v>96</v>
      </c>
      <c r="J935" s="4154">
        <v>0</v>
      </c>
      <c r="K935" s="4154">
        <v>12</v>
      </c>
      <c r="L935" s="4154">
        <f t="shared" si="491"/>
        <v>8</v>
      </c>
      <c r="M935" s="4503">
        <v>46097</v>
      </c>
      <c r="N935" s="4553">
        <f>M935-4</f>
        <v>46093</v>
      </c>
      <c r="O935" s="4117"/>
      <c r="P935" s="4527" t="s">
        <v>82</v>
      </c>
      <c r="Q935" s="4157">
        <v>96</v>
      </c>
      <c r="R935" s="4157">
        <f t="shared" si="472"/>
        <v>0</v>
      </c>
      <c r="S935" s="4603"/>
      <c r="T935" s="4173" t="s">
        <v>321</v>
      </c>
      <c r="U935" s="3680" t="s">
        <v>172</v>
      </c>
      <c r="V935" s="3711" t="s">
        <v>786</v>
      </c>
      <c r="W935" s="3711"/>
      <c r="X935" s="3711" t="s">
        <v>5637</v>
      </c>
      <c r="Y935" s="3711"/>
      <c r="Z935" s="4154"/>
      <c r="AA935" s="3680" t="s">
        <v>5640</v>
      </c>
      <c r="AB935" s="4154" t="s">
        <v>1257</v>
      </c>
      <c r="AC935" s="4504">
        <v>2.0915</v>
      </c>
      <c r="AD935" s="4154">
        <f>AC935*I935</f>
        <v>200.784</v>
      </c>
      <c r="AE935" s="3726"/>
      <c r="AF935" s="3708" t="s">
        <v>3182</v>
      </c>
      <c r="AG935" s="3726" t="s">
        <v>416</v>
      </c>
      <c r="AH935" s="4154"/>
      <c r="AI935" s="3708"/>
      <c r="AJ935" s="4575"/>
      <c r="AK935" s="4154"/>
      <c r="AL935" s="4154"/>
      <c r="AM935" s="3708">
        <f>I935</f>
        <v>96</v>
      </c>
      <c r="AN935" s="1048"/>
      <c r="AO935" s="1048"/>
      <c r="AP935" s="4154">
        <f t="shared" si="465"/>
        <v>96</v>
      </c>
      <c r="AQ935" s="1048"/>
      <c r="AR935" s="1048"/>
      <c r="AS935" s="4510">
        <f t="shared" si="498"/>
        <v>96</v>
      </c>
      <c r="AT935" s="1048"/>
      <c r="AU935" s="1048"/>
      <c r="AV935" s="1048"/>
      <c r="AW935" s="4510"/>
      <c r="AX935" s="1048"/>
      <c r="AY935" s="1048"/>
      <c r="AZ935" s="1048"/>
      <c r="BA935" s="1048"/>
      <c r="BB935" s="1048"/>
      <c r="BC935" s="1048"/>
      <c r="BD935" s="1048"/>
      <c r="BE935" s="1048"/>
      <c r="BF935" s="1048" t="s">
        <v>89</v>
      </c>
      <c r="BG935" s="4505"/>
      <c r="BH935" s="1048"/>
      <c r="BI935" s="1048"/>
      <c r="BJ935" s="1048">
        <f>I935-BN935</f>
        <v>96</v>
      </c>
      <c r="BK935" s="1048"/>
      <c r="BL935" s="1048"/>
      <c r="BM935" s="1048"/>
      <c r="BN935" s="1048"/>
      <c r="BO935" s="1048"/>
      <c r="BP935" s="1048"/>
      <c r="BQ935" s="1048"/>
      <c r="BR935" s="1048"/>
      <c r="BS935" s="1048"/>
      <c r="BT935" s="4414"/>
      <c r="BU935" s="4607"/>
      <c r="BV935" s="4505">
        <f t="shared" si="493"/>
        <v>96</v>
      </c>
      <c r="BW935" s="4505">
        <f t="shared" si="494"/>
        <v>0</v>
      </c>
      <c r="BX935" s="4323"/>
      <c r="BY935" s="4323"/>
      <c r="BZ935" s="4323"/>
      <c r="CA935" s="4511"/>
      <c r="CC935" s="4512"/>
      <c r="CD935" s="4511"/>
    </row>
    <row r="936" s="4316" customFormat="1" ht="50" customHeight="1" spans="1:82">
      <c r="A936" s="4500">
        <v>46036</v>
      </c>
      <c r="B936" s="3708" t="s">
        <v>4533</v>
      </c>
      <c r="C936" s="3708" t="s">
        <v>738</v>
      </c>
      <c r="D936" s="4154">
        <v>4500191234</v>
      </c>
      <c r="E936" s="3708"/>
      <c r="F936" s="4154" t="s">
        <v>5641</v>
      </c>
      <c r="G936" s="3708" t="s">
        <v>2983</v>
      </c>
      <c r="H936" s="3708" t="s">
        <v>2984</v>
      </c>
      <c r="I936" s="4154">
        <v>96</v>
      </c>
      <c r="J936" s="4154">
        <v>0</v>
      </c>
      <c r="K936" s="4154">
        <v>12</v>
      </c>
      <c r="L936" s="4154">
        <f t="shared" si="491"/>
        <v>8</v>
      </c>
      <c r="M936" s="4503">
        <v>46097</v>
      </c>
      <c r="N936" s="4553">
        <f>M936-4</f>
        <v>46093</v>
      </c>
      <c r="O936" s="4117"/>
      <c r="P936" s="4527" t="s">
        <v>82</v>
      </c>
      <c r="Q936" s="4157">
        <f>84+12</f>
        <v>96</v>
      </c>
      <c r="R936" s="4157">
        <f t="shared" si="472"/>
        <v>0</v>
      </c>
      <c r="S936" s="4604"/>
      <c r="T936" s="4173" t="s">
        <v>321</v>
      </c>
      <c r="U936" s="3680" t="s">
        <v>172</v>
      </c>
      <c r="V936" s="3711" t="s">
        <v>786</v>
      </c>
      <c r="W936" s="3711"/>
      <c r="X936" s="3711" t="s">
        <v>5637</v>
      </c>
      <c r="Y936" s="3711"/>
      <c r="Z936" s="4154"/>
      <c r="AA936" s="3680" t="s">
        <v>5642</v>
      </c>
      <c r="AB936" s="4154" t="s">
        <v>1257</v>
      </c>
      <c r="AC936" s="4504">
        <v>2.0915</v>
      </c>
      <c r="AD936" s="4154">
        <f>AC936*I936</f>
        <v>200.784</v>
      </c>
      <c r="AE936" s="3726"/>
      <c r="AF936" s="3708" t="s">
        <v>3018</v>
      </c>
      <c r="AG936" s="3726" t="s">
        <v>416</v>
      </c>
      <c r="AH936" s="4154"/>
      <c r="AI936" s="3708"/>
      <c r="AJ936" s="4575"/>
      <c r="AK936" s="4154"/>
      <c r="AL936" s="4154"/>
      <c r="AM936" s="3708">
        <f>I936</f>
        <v>96</v>
      </c>
      <c r="AN936" s="1048"/>
      <c r="AO936" s="1048"/>
      <c r="AP936" s="4154">
        <f t="shared" si="465"/>
        <v>96</v>
      </c>
      <c r="AQ936" s="1048"/>
      <c r="AR936" s="1048"/>
      <c r="AS936" s="4510">
        <f t="shared" si="498"/>
        <v>96</v>
      </c>
      <c r="AT936" s="1048"/>
      <c r="AU936" s="1048"/>
      <c r="AV936" s="1048"/>
      <c r="AW936" s="4510"/>
      <c r="AX936" s="1048"/>
      <c r="AY936" s="1048"/>
      <c r="AZ936" s="1048"/>
      <c r="BA936" s="1048"/>
      <c r="BB936" s="1048"/>
      <c r="BC936" s="1048"/>
      <c r="BD936" s="1048"/>
      <c r="BE936" s="1048"/>
      <c r="BF936" s="1048" t="s">
        <v>89</v>
      </c>
      <c r="BG936" s="4505"/>
      <c r="BH936" s="1048"/>
      <c r="BI936" s="1048"/>
      <c r="BJ936" s="1048"/>
      <c r="BK936" s="1048"/>
      <c r="BL936" s="1048">
        <f>I936</f>
        <v>96</v>
      </c>
      <c r="BM936" s="1048"/>
      <c r="BN936" s="1048"/>
      <c r="BO936" s="1048"/>
      <c r="BP936" s="1048"/>
      <c r="BQ936" s="1048"/>
      <c r="BR936" s="1048"/>
      <c r="BS936" s="1048"/>
      <c r="BT936" s="4414"/>
      <c r="BU936" s="4607"/>
      <c r="BV936" s="4505">
        <f t="shared" si="493"/>
        <v>96</v>
      </c>
      <c r="BW936" s="4505">
        <f t="shared" si="494"/>
        <v>0</v>
      </c>
      <c r="BX936" s="4323"/>
      <c r="BY936" s="4323"/>
      <c r="BZ936" s="4323"/>
      <c r="CA936" s="4511"/>
      <c r="CC936" s="4512"/>
      <c r="CD936" s="4511"/>
    </row>
    <row r="937" s="4316" customFormat="1" ht="50" customHeight="1" spans="1:82">
      <c r="A937" s="4500">
        <v>46037</v>
      </c>
      <c r="B937" s="3708" t="s">
        <v>5643</v>
      </c>
      <c r="C937" s="3708" t="s">
        <v>1332</v>
      </c>
      <c r="D937" s="4154">
        <v>4500191577</v>
      </c>
      <c r="E937" s="3708"/>
      <c r="F937" s="4154" t="s">
        <v>5644</v>
      </c>
      <c r="G937" s="3708" t="s">
        <v>2577</v>
      </c>
      <c r="H937" s="3708" t="s">
        <v>2578</v>
      </c>
      <c r="I937" s="4593">
        <v>240</v>
      </c>
      <c r="J937" s="4154">
        <v>0</v>
      </c>
      <c r="K937" s="4154">
        <v>12</v>
      </c>
      <c r="L937" s="4154">
        <f t="shared" si="491"/>
        <v>20</v>
      </c>
      <c r="M937" s="4503">
        <v>46101</v>
      </c>
      <c r="N937" s="4553">
        <v>46097</v>
      </c>
      <c r="O937" s="4117"/>
      <c r="P937" s="4527" t="s">
        <v>82</v>
      </c>
      <c r="Q937" s="4157">
        <f>228+12</f>
        <v>240</v>
      </c>
      <c r="R937" s="4157">
        <f t="shared" si="472"/>
        <v>0</v>
      </c>
      <c r="S937" s="4173" t="s">
        <v>2297</v>
      </c>
      <c r="T937" s="4173" t="s">
        <v>321</v>
      </c>
      <c r="U937" s="3726" t="s">
        <v>989</v>
      </c>
      <c r="V937" s="3711" t="s">
        <v>5645</v>
      </c>
      <c r="W937" s="3711"/>
      <c r="X937" s="3711" t="s">
        <v>5646</v>
      </c>
      <c r="Y937" s="3711"/>
      <c r="Z937" s="4154"/>
      <c r="AA937" s="3680" t="s">
        <v>5647</v>
      </c>
      <c r="AB937" s="4154" t="s">
        <v>459</v>
      </c>
      <c r="AC937" s="4154">
        <v>2.1438</v>
      </c>
      <c r="AD937" s="4154">
        <f>AC937*I937</f>
        <v>514.512</v>
      </c>
      <c r="AE937" s="3726"/>
      <c r="AF937" s="3708" t="s">
        <v>2604</v>
      </c>
      <c r="AG937" s="3726" t="s">
        <v>416</v>
      </c>
      <c r="AH937" s="4154"/>
      <c r="AI937" s="3708"/>
      <c r="AJ937" s="4575"/>
      <c r="AK937" s="4154"/>
      <c r="AL937" s="4154"/>
      <c r="AM937" s="3708">
        <f>I937</f>
        <v>240</v>
      </c>
      <c r="AN937" s="1048"/>
      <c r="AO937" s="1048"/>
      <c r="AP937" s="4154">
        <f t="shared" si="465"/>
        <v>240</v>
      </c>
      <c r="AQ937" s="1048"/>
      <c r="AR937" s="4510"/>
      <c r="AS937" s="1048">
        <f t="shared" si="498"/>
        <v>240</v>
      </c>
      <c r="AT937" s="1048"/>
      <c r="AU937" s="4510"/>
      <c r="AV937" s="1048"/>
      <c r="AW937" s="1048">
        <f>I937/6</f>
        <v>40</v>
      </c>
      <c r="AX937" s="1048"/>
      <c r="AY937" s="1048"/>
      <c r="AZ937" s="1048"/>
      <c r="BA937" s="1048"/>
      <c r="BB937" s="1048"/>
      <c r="BC937" s="1048"/>
      <c r="BD937" s="1048"/>
      <c r="BE937" s="4505"/>
      <c r="BF937" s="1048" t="s">
        <v>89</v>
      </c>
      <c r="BG937" s="1048"/>
      <c r="BH937" s="4608">
        <f>I937/60*6</f>
        <v>24</v>
      </c>
      <c r="BI937" s="4608">
        <f>I937/60*4</f>
        <v>16</v>
      </c>
      <c r="BJ937" s="4608">
        <f>I937/60*15</f>
        <v>60</v>
      </c>
      <c r="BK937" s="4608">
        <f>I937/60*8</f>
        <v>32</v>
      </c>
      <c r="BL937" s="4608">
        <f>I937/60*7</f>
        <v>28</v>
      </c>
      <c r="BM937" s="4609">
        <f>I937/60*9</f>
        <v>36</v>
      </c>
      <c r="BN937" s="4610">
        <f>I937/60*11</f>
        <v>44</v>
      </c>
      <c r="BO937" s="4323"/>
      <c r="BP937" s="4323"/>
      <c r="BQ937" s="4323"/>
      <c r="BR937" s="4511"/>
      <c r="BS937" s="1051"/>
      <c r="BT937" s="4512"/>
      <c r="BU937" s="4511"/>
      <c r="BV937" s="4160">
        <f t="shared" si="493"/>
        <v>240</v>
      </c>
      <c r="BW937" s="4160">
        <f t="shared" si="494"/>
        <v>0</v>
      </c>
      <c r="BX937" s="4323"/>
      <c r="BY937" s="4323"/>
      <c r="BZ937" s="4323"/>
      <c r="CA937" s="4511"/>
      <c r="CC937" s="4512"/>
      <c r="CD937" s="4511"/>
    </row>
    <row r="938" s="4316" customFormat="1" ht="50" customHeight="1" spans="1:82">
      <c r="A938" s="4500">
        <v>46042</v>
      </c>
      <c r="B938" s="4501" t="s">
        <v>4747</v>
      </c>
      <c r="C938" s="3708" t="s">
        <v>91</v>
      </c>
      <c r="D938" s="4502">
        <v>4500191895</v>
      </c>
      <c r="E938" s="3708">
        <v>4561564367</v>
      </c>
      <c r="F938" s="4502" t="s">
        <v>5648</v>
      </c>
      <c r="G938" s="3708" t="s">
        <v>2719</v>
      </c>
      <c r="H938" s="4154" t="s">
        <v>2591</v>
      </c>
      <c r="I938" s="4593">
        <v>1422</v>
      </c>
      <c r="J938" s="4154">
        <v>0</v>
      </c>
      <c r="K938" s="4154">
        <v>6</v>
      </c>
      <c r="L938" s="4154">
        <f t="shared" ref="L938:L1001" si="507">I938/K938</f>
        <v>237</v>
      </c>
      <c r="M938" s="4503">
        <v>46097</v>
      </c>
      <c r="N938" s="4553">
        <f t="shared" ref="N938:N946" si="508">M938-4</f>
        <v>46093</v>
      </c>
      <c r="O938" s="4117"/>
      <c r="P938" s="4527" t="s">
        <v>82</v>
      </c>
      <c r="Q938" s="4157">
        <v>1422</v>
      </c>
      <c r="R938" s="4157">
        <f t="shared" ref="R938:R1001" si="509">Q938-I938</f>
        <v>0</v>
      </c>
      <c r="S938" s="4602" t="s">
        <v>2297</v>
      </c>
      <c r="T938" s="4173" t="s">
        <v>321</v>
      </c>
      <c r="U938" s="3726" t="s">
        <v>166</v>
      </c>
      <c r="V938" s="3711" t="s">
        <v>835</v>
      </c>
      <c r="W938" s="3711"/>
      <c r="X938" s="3711" t="s">
        <v>5649</v>
      </c>
      <c r="Y938" s="3711"/>
      <c r="Z938" s="4154"/>
      <c r="AA938" s="3680" t="s">
        <v>5650</v>
      </c>
      <c r="AB938" s="4154" t="s">
        <v>3262</v>
      </c>
      <c r="AC938" s="4154">
        <v>1.2596</v>
      </c>
      <c r="AD938" s="4154">
        <f t="shared" ref="AD938:AD947" si="510">AC938*I938</f>
        <v>1791.1512</v>
      </c>
      <c r="AE938" s="3726"/>
      <c r="AF938" s="4160" t="s">
        <v>2719</v>
      </c>
      <c r="AG938" s="3726" t="s">
        <v>416</v>
      </c>
      <c r="AH938" s="4154"/>
      <c r="AI938" s="4154"/>
      <c r="AJ938" s="4154">
        <f>I938</f>
        <v>1422</v>
      </c>
      <c r="AK938" s="3708"/>
      <c r="AL938" s="4154"/>
      <c r="AM938" s="4154"/>
      <c r="AN938" s="4154"/>
      <c r="AO938" s="1048"/>
      <c r="AP938" s="4509">
        <f t="shared" si="465"/>
        <v>1422</v>
      </c>
      <c r="AQ938" s="1048"/>
      <c r="AR938" s="1048"/>
      <c r="AS938" s="1048">
        <f t="shared" si="498"/>
        <v>1422</v>
      </c>
      <c r="AT938" s="1048"/>
      <c r="AU938" s="1048"/>
      <c r="AV938" s="1048"/>
      <c r="AW938" s="1048"/>
      <c r="AX938" s="1048"/>
      <c r="AY938" s="1048"/>
      <c r="AZ938" s="1048"/>
      <c r="BA938" s="1048"/>
      <c r="BB938" s="1048"/>
      <c r="BC938" s="1048"/>
      <c r="BD938" s="1048"/>
      <c r="BE938" s="1048"/>
      <c r="BF938" s="4510" t="s">
        <v>89</v>
      </c>
      <c r="BG938" s="4510"/>
      <c r="BH938" s="4608">
        <f t="shared" ref="BH938:BH946" si="511">I938/60*6</f>
        <v>142.2</v>
      </c>
      <c r="BI938" s="4608">
        <f t="shared" ref="BI938:BI946" si="512">I938/60*4</f>
        <v>94.8</v>
      </c>
      <c r="BJ938" s="4608">
        <f t="shared" ref="BJ938:BJ946" si="513">I938/60*15</f>
        <v>355.5</v>
      </c>
      <c r="BK938" s="4608">
        <f t="shared" ref="BK938:BK946" si="514">I938/60*8</f>
        <v>189.6</v>
      </c>
      <c r="BL938" s="4608">
        <f t="shared" ref="BL938:BL946" si="515">I938/60*7</f>
        <v>165.9</v>
      </c>
      <c r="BM938" s="4609">
        <f t="shared" ref="BM938:BM946" si="516">I938/60*9</f>
        <v>213.3</v>
      </c>
      <c r="BN938" s="4610">
        <f t="shared" ref="BN938:BN946" si="517">I938/60*11</f>
        <v>260.7</v>
      </c>
      <c r="BO938" s="1049"/>
      <c r="BP938" s="1049"/>
      <c r="BQ938" s="1049"/>
      <c r="BR938" s="1050"/>
      <c r="BS938" s="1051"/>
      <c r="BT938" s="1051"/>
      <c r="BU938" s="1051"/>
      <c r="BV938" s="4160">
        <f t="shared" ref="BV938:BV955" si="518">SUM(BH938:BU938)</f>
        <v>1422</v>
      </c>
      <c r="BW938" s="4323">
        <f t="shared" ref="BW938:BW1001" si="519">I938-BV938</f>
        <v>0</v>
      </c>
      <c r="BX938" s="4323"/>
      <c r="BY938" s="4323"/>
      <c r="BZ938" s="4323"/>
      <c r="CA938" s="4511"/>
      <c r="CC938" s="4512"/>
      <c r="CD938" s="4511"/>
    </row>
    <row r="939" s="4316" customFormat="1" ht="50" customHeight="1" spans="1:82">
      <c r="A939" s="4500">
        <v>46042</v>
      </c>
      <c r="B939" s="4501" t="s">
        <v>4747</v>
      </c>
      <c r="C939" s="3708" t="s">
        <v>91</v>
      </c>
      <c r="D939" s="4502">
        <v>4500191895</v>
      </c>
      <c r="E939" s="3708">
        <v>4561565112</v>
      </c>
      <c r="F939" s="4502" t="s">
        <v>5651</v>
      </c>
      <c r="G939" s="3708" t="s">
        <v>2719</v>
      </c>
      <c r="H939" s="4154" t="s">
        <v>2591</v>
      </c>
      <c r="I939" s="4593">
        <v>360</v>
      </c>
      <c r="J939" s="4154">
        <v>0</v>
      </c>
      <c r="K939" s="4154">
        <v>6</v>
      </c>
      <c r="L939" s="4154">
        <f t="shared" si="507"/>
        <v>60</v>
      </c>
      <c r="M939" s="4503">
        <v>46097</v>
      </c>
      <c r="N939" s="4553">
        <f t="shared" si="508"/>
        <v>46093</v>
      </c>
      <c r="O939" s="4117"/>
      <c r="P939" s="4527" t="s">
        <v>82</v>
      </c>
      <c r="Q939" s="4157">
        <v>360</v>
      </c>
      <c r="R939" s="4157">
        <f t="shared" si="509"/>
        <v>0</v>
      </c>
      <c r="S939" s="4603"/>
      <c r="T939" s="4173" t="s">
        <v>321</v>
      </c>
      <c r="U939" s="3726" t="s">
        <v>166</v>
      </c>
      <c r="V939" s="3711" t="s">
        <v>835</v>
      </c>
      <c r="W939" s="3711"/>
      <c r="X939" s="3711" t="s">
        <v>5649</v>
      </c>
      <c r="Y939" s="3711"/>
      <c r="Z939" s="4154"/>
      <c r="AA939" s="3680" t="s">
        <v>5650</v>
      </c>
      <c r="AB939" s="4154" t="s">
        <v>3262</v>
      </c>
      <c r="AC939" s="4154">
        <v>1.2624</v>
      </c>
      <c r="AD939" s="4154">
        <f t="shared" si="510"/>
        <v>454.464</v>
      </c>
      <c r="AE939" s="3726"/>
      <c r="AF939" s="4160" t="s">
        <v>2719</v>
      </c>
      <c r="AG939" s="3726" t="s">
        <v>416</v>
      </c>
      <c r="AH939" s="4154"/>
      <c r="AI939" s="4154"/>
      <c r="AJ939" s="4154">
        <f t="shared" ref="AJ939:AJ946" si="520">I939</f>
        <v>360</v>
      </c>
      <c r="AK939" s="3708"/>
      <c r="AL939" s="4154"/>
      <c r="AM939" s="4154"/>
      <c r="AN939" s="4154"/>
      <c r="AO939" s="1048"/>
      <c r="AP939" s="4509">
        <f t="shared" ref="AP939:AP954" si="521">I939</f>
        <v>360</v>
      </c>
      <c r="AQ939" s="1048"/>
      <c r="AR939" s="1048"/>
      <c r="AS939" s="1048">
        <f t="shared" ref="AS939:AS948" si="522">I939</f>
        <v>360</v>
      </c>
      <c r="AT939" s="1048"/>
      <c r="AU939" s="1048"/>
      <c r="AV939" s="1048"/>
      <c r="AW939" s="1048"/>
      <c r="AX939" s="1048"/>
      <c r="AY939" s="1048"/>
      <c r="AZ939" s="1048"/>
      <c r="BA939" s="1048"/>
      <c r="BB939" s="1048"/>
      <c r="BC939" s="1048"/>
      <c r="BD939" s="1048"/>
      <c r="BE939" s="1048"/>
      <c r="BF939" s="4510" t="s">
        <v>89</v>
      </c>
      <c r="BG939" s="4510"/>
      <c r="BH939" s="4608">
        <f t="shared" si="511"/>
        <v>36</v>
      </c>
      <c r="BI939" s="4608">
        <f t="shared" si="512"/>
        <v>24</v>
      </c>
      <c r="BJ939" s="4608">
        <f t="shared" si="513"/>
        <v>90</v>
      </c>
      <c r="BK939" s="4608">
        <f t="shared" si="514"/>
        <v>48</v>
      </c>
      <c r="BL939" s="4608">
        <f t="shared" si="515"/>
        <v>42</v>
      </c>
      <c r="BM939" s="4609">
        <f t="shared" si="516"/>
        <v>54</v>
      </c>
      <c r="BN939" s="4610">
        <f t="shared" si="517"/>
        <v>66</v>
      </c>
      <c r="BO939" s="1049"/>
      <c r="BP939" s="1049"/>
      <c r="BQ939" s="1049"/>
      <c r="BR939" s="1050"/>
      <c r="BS939" s="1051"/>
      <c r="BT939" s="1051"/>
      <c r="BU939" s="1051"/>
      <c r="BV939" s="4160">
        <f t="shared" si="518"/>
        <v>360</v>
      </c>
      <c r="BW939" s="4323">
        <f t="shared" si="519"/>
        <v>0</v>
      </c>
      <c r="BX939" s="4323"/>
      <c r="BY939" s="4323"/>
      <c r="BZ939" s="4323"/>
      <c r="CA939" s="4511"/>
      <c r="CC939" s="4512"/>
      <c r="CD939" s="4511"/>
    </row>
    <row r="940" s="4316" customFormat="1" ht="50" customHeight="1" spans="1:82">
      <c r="A940" s="4500">
        <v>46042</v>
      </c>
      <c r="B940" s="4501" t="s">
        <v>4747</v>
      </c>
      <c r="C940" s="3708" t="s">
        <v>91</v>
      </c>
      <c r="D940" s="4502">
        <v>4500191895</v>
      </c>
      <c r="E940" s="3708">
        <v>4561565172</v>
      </c>
      <c r="F940" s="4502" t="s">
        <v>5652</v>
      </c>
      <c r="G940" s="3708" t="s">
        <v>2719</v>
      </c>
      <c r="H940" s="4154" t="s">
        <v>2591</v>
      </c>
      <c r="I940" s="4593">
        <v>1110</v>
      </c>
      <c r="J940" s="4154">
        <v>0</v>
      </c>
      <c r="K940" s="4154">
        <v>6</v>
      </c>
      <c r="L940" s="4154">
        <f t="shared" si="507"/>
        <v>185</v>
      </c>
      <c r="M940" s="4503">
        <v>46097</v>
      </c>
      <c r="N940" s="4553">
        <f t="shared" si="508"/>
        <v>46093</v>
      </c>
      <c r="O940" s="4117"/>
      <c r="P940" s="4527" t="s">
        <v>82</v>
      </c>
      <c r="Q940" s="4157">
        <v>1110</v>
      </c>
      <c r="R940" s="4157">
        <f t="shared" si="509"/>
        <v>0</v>
      </c>
      <c r="S940" s="4603"/>
      <c r="T940" s="4173" t="s">
        <v>321</v>
      </c>
      <c r="U940" s="3726" t="s">
        <v>166</v>
      </c>
      <c r="V940" s="3711" t="s">
        <v>835</v>
      </c>
      <c r="W940" s="3711"/>
      <c r="X940" s="3711" t="s">
        <v>5649</v>
      </c>
      <c r="Y940" s="3711"/>
      <c r="Z940" s="4154"/>
      <c r="AA940" s="3680" t="s">
        <v>5650</v>
      </c>
      <c r="AB940" s="4154" t="s">
        <v>3262</v>
      </c>
      <c r="AC940" s="4154">
        <v>1.2596</v>
      </c>
      <c r="AD940" s="4154">
        <f t="shared" si="510"/>
        <v>1398.156</v>
      </c>
      <c r="AE940" s="3726"/>
      <c r="AF940" s="4160" t="s">
        <v>2719</v>
      </c>
      <c r="AG940" s="3726" t="s">
        <v>416</v>
      </c>
      <c r="AH940" s="4154"/>
      <c r="AI940" s="4154"/>
      <c r="AJ940" s="4154">
        <f t="shared" si="520"/>
        <v>1110</v>
      </c>
      <c r="AK940" s="3708"/>
      <c r="AL940" s="4154"/>
      <c r="AM940" s="4154"/>
      <c r="AN940" s="4154"/>
      <c r="AO940" s="1048"/>
      <c r="AP940" s="4509">
        <f t="shared" si="521"/>
        <v>1110</v>
      </c>
      <c r="AQ940" s="1048"/>
      <c r="AR940" s="1048"/>
      <c r="AS940" s="1048">
        <f t="shared" si="522"/>
        <v>1110</v>
      </c>
      <c r="AT940" s="1048"/>
      <c r="AU940" s="1048"/>
      <c r="AV940" s="1048"/>
      <c r="AW940" s="1048"/>
      <c r="AX940" s="1048"/>
      <c r="AY940" s="1048"/>
      <c r="AZ940" s="1048"/>
      <c r="BA940" s="1048"/>
      <c r="BB940" s="1048"/>
      <c r="BC940" s="1048"/>
      <c r="BD940" s="1048"/>
      <c r="BE940" s="1048"/>
      <c r="BF940" s="4510" t="s">
        <v>89</v>
      </c>
      <c r="BG940" s="4510"/>
      <c r="BH940" s="4608">
        <f t="shared" si="511"/>
        <v>111</v>
      </c>
      <c r="BI940" s="4608">
        <f t="shared" si="512"/>
        <v>74</v>
      </c>
      <c r="BJ940" s="4608">
        <f t="shared" si="513"/>
        <v>277.5</v>
      </c>
      <c r="BK940" s="4608">
        <f t="shared" si="514"/>
        <v>148</v>
      </c>
      <c r="BL940" s="4608">
        <f t="shared" si="515"/>
        <v>129.5</v>
      </c>
      <c r="BM940" s="4609">
        <f t="shared" si="516"/>
        <v>166.5</v>
      </c>
      <c r="BN940" s="4610">
        <f t="shared" si="517"/>
        <v>203.5</v>
      </c>
      <c r="BO940" s="1049"/>
      <c r="BP940" s="1049"/>
      <c r="BQ940" s="1049"/>
      <c r="BR940" s="1050"/>
      <c r="BS940" s="1051"/>
      <c r="BT940" s="1051"/>
      <c r="BU940" s="1051"/>
      <c r="BV940" s="4160">
        <f t="shared" si="518"/>
        <v>1110</v>
      </c>
      <c r="BW940" s="4323">
        <f t="shared" si="519"/>
        <v>0</v>
      </c>
      <c r="BX940" s="4323"/>
      <c r="BY940" s="4323"/>
      <c r="BZ940" s="4323"/>
      <c r="CA940" s="4511"/>
      <c r="CC940" s="4512"/>
      <c r="CD940" s="4511"/>
    </row>
    <row r="941" s="4316" customFormat="1" ht="50" customHeight="1" spans="1:82">
      <c r="A941" s="4500">
        <v>46042</v>
      </c>
      <c r="B941" s="4501" t="s">
        <v>4747</v>
      </c>
      <c r="C941" s="3708" t="s">
        <v>91</v>
      </c>
      <c r="D941" s="4502">
        <v>4500191895</v>
      </c>
      <c r="E941" s="3708">
        <v>4561565095</v>
      </c>
      <c r="F941" s="4502" t="s">
        <v>5653</v>
      </c>
      <c r="G941" s="3708" t="s">
        <v>2719</v>
      </c>
      <c r="H941" s="4154" t="s">
        <v>2591</v>
      </c>
      <c r="I941" s="4593">
        <v>1056</v>
      </c>
      <c r="J941" s="4154">
        <v>0</v>
      </c>
      <c r="K941" s="4154">
        <v>6</v>
      </c>
      <c r="L941" s="4154">
        <f t="shared" si="507"/>
        <v>176</v>
      </c>
      <c r="M941" s="4503">
        <v>46097</v>
      </c>
      <c r="N941" s="4553">
        <f t="shared" si="508"/>
        <v>46093</v>
      </c>
      <c r="O941" s="4117"/>
      <c r="P941" s="4527" t="s">
        <v>82</v>
      </c>
      <c r="Q941" s="4157">
        <v>1056</v>
      </c>
      <c r="R941" s="4157">
        <f t="shared" si="509"/>
        <v>0</v>
      </c>
      <c r="S941" s="4603"/>
      <c r="T941" s="4173" t="s">
        <v>321</v>
      </c>
      <c r="U941" s="3726" t="s">
        <v>166</v>
      </c>
      <c r="V941" s="3711" t="s">
        <v>835</v>
      </c>
      <c r="W941" s="3711"/>
      <c r="X941" s="3711" t="s">
        <v>5649</v>
      </c>
      <c r="Y941" s="3711"/>
      <c r="Z941" s="4154"/>
      <c r="AA941" s="3680" t="s">
        <v>5650</v>
      </c>
      <c r="AB941" s="4154" t="s">
        <v>3262</v>
      </c>
      <c r="AC941" s="4154">
        <v>1.2596</v>
      </c>
      <c r="AD941" s="4154">
        <f t="shared" si="510"/>
        <v>1330.1376</v>
      </c>
      <c r="AE941" s="3726"/>
      <c r="AF941" s="4160" t="s">
        <v>2719</v>
      </c>
      <c r="AG941" s="3726" t="s">
        <v>416</v>
      </c>
      <c r="AH941" s="4154"/>
      <c r="AI941" s="4154"/>
      <c r="AJ941" s="4154">
        <f t="shared" si="520"/>
        <v>1056</v>
      </c>
      <c r="AK941" s="3708"/>
      <c r="AL941" s="4154"/>
      <c r="AM941" s="4154"/>
      <c r="AN941" s="4154"/>
      <c r="AO941" s="1048"/>
      <c r="AP941" s="4509">
        <f t="shared" si="521"/>
        <v>1056</v>
      </c>
      <c r="AQ941" s="1048"/>
      <c r="AR941" s="1048"/>
      <c r="AS941" s="1048">
        <f t="shared" si="522"/>
        <v>1056</v>
      </c>
      <c r="AT941" s="1048"/>
      <c r="AU941" s="1048"/>
      <c r="AV941" s="1048"/>
      <c r="AW941" s="1048"/>
      <c r="AX941" s="1048"/>
      <c r="AY941" s="1048"/>
      <c r="AZ941" s="1048"/>
      <c r="BA941" s="1048"/>
      <c r="BB941" s="1048"/>
      <c r="BC941" s="1048"/>
      <c r="BD941" s="1048"/>
      <c r="BE941" s="1048"/>
      <c r="BF941" s="4510" t="s">
        <v>89</v>
      </c>
      <c r="BG941" s="4510"/>
      <c r="BH941" s="4608">
        <f t="shared" si="511"/>
        <v>105.6</v>
      </c>
      <c r="BI941" s="4608">
        <f t="shared" si="512"/>
        <v>70.4</v>
      </c>
      <c r="BJ941" s="4608">
        <f t="shared" si="513"/>
        <v>264</v>
      </c>
      <c r="BK941" s="4608">
        <f t="shared" si="514"/>
        <v>140.8</v>
      </c>
      <c r="BL941" s="4608">
        <f t="shared" si="515"/>
        <v>123.2</v>
      </c>
      <c r="BM941" s="4609">
        <f t="shared" si="516"/>
        <v>158.4</v>
      </c>
      <c r="BN941" s="4610">
        <f t="shared" si="517"/>
        <v>193.6</v>
      </c>
      <c r="BO941" s="1049"/>
      <c r="BP941" s="1049"/>
      <c r="BQ941" s="1049"/>
      <c r="BR941" s="1050"/>
      <c r="BS941" s="1051"/>
      <c r="BT941" s="1051"/>
      <c r="BU941" s="1051"/>
      <c r="BV941" s="4160">
        <f t="shared" si="518"/>
        <v>1056</v>
      </c>
      <c r="BW941" s="4323">
        <f t="shared" si="519"/>
        <v>0</v>
      </c>
      <c r="BX941" s="4323"/>
      <c r="BY941" s="4323"/>
      <c r="BZ941" s="4323"/>
      <c r="CA941" s="4511"/>
      <c r="CC941" s="4512"/>
      <c r="CD941" s="4511"/>
    </row>
    <row r="942" s="4316" customFormat="1" ht="50" customHeight="1" spans="1:82">
      <c r="A942" s="4500">
        <v>46042</v>
      </c>
      <c r="B942" s="4501" t="s">
        <v>4747</v>
      </c>
      <c r="C942" s="3708" t="s">
        <v>91</v>
      </c>
      <c r="D942" s="4502">
        <v>4500191895</v>
      </c>
      <c r="E942" s="3708">
        <v>4561565022</v>
      </c>
      <c r="F942" s="4502" t="s">
        <v>5654</v>
      </c>
      <c r="G942" s="3708" t="s">
        <v>2719</v>
      </c>
      <c r="H942" s="4154" t="s">
        <v>2591</v>
      </c>
      <c r="I942" s="4593">
        <v>900</v>
      </c>
      <c r="J942" s="4154">
        <v>0</v>
      </c>
      <c r="K942" s="4154">
        <v>6</v>
      </c>
      <c r="L942" s="4154">
        <f t="shared" si="507"/>
        <v>150</v>
      </c>
      <c r="M942" s="4503">
        <v>46097</v>
      </c>
      <c r="N942" s="4553">
        <f t="shared" si="508"/>
        <v>46093</v>
      </c>
      <c r="O942" s="4117"/>
      <c r="P942" s="4527" t="s">
        <v>82</v>
      </c>
      <c r="Q942" s="4157">
        <v>900</v>
      </c>
      <c r="R942" s="4157">
        <f t="shared" si="509"/>
        <v>0</v>
      </c>
      <c r="S942" s="4603"/>
      <c r="T942" s="4173" t="s">
        <v>321</v>
      </c>
      <c r="U942" s="3726" t="s">
        <v>166</v>
      </c>
      <c r="V942" s="3711" t="s">
        <v>835</v>
      </c>
      <c r="W942" s="3711"/>
      <c r="X942" s="3711" t="s">
        <v>5649</v>
      </c>
      <c r="Y942" s="3711"/>
      <c r="Z942" s="4154"/>
      <c r="AA942" s="3680" t="s">
        <v>5650</v>
      </c>
      <c r="AB942" s="4154" t="s">
        <v>3262</v>
      </c>
      <c r="AC942" s="4154">
        <v>1.2624</v>
      </c>
      <c r="AD942" s="4154">
        <f t="shared" si="510"/>
        <v>1136.16</v>
      </c>
      <c r="AE942" s="3726"/>
      <c r="AF942" s="4160" t="s">
        <v>2719</v>
      </c>
      <c r="AG942" s="3726" t="s">
        <v>416</v>
      </c>
      <c r="AH942" s="4154"/>
      <c r="AI942" s="4154"/>
      <c r="AJ942" s="4154">
        <f t="shared" si="520"/>
        <v>900</v>
      </c>
      <c r="AK942" s="3708"/>
      <c r="AL942" s="4154"/>
      <c r="AM942" s="4154"/>
      <c r="AN942" s="4154"/>
      <c r="AO942" s="1048"/>
      <c r="AP942" s="4509">
        <f t="shared" si="521"/>
        <v>900</v>
      </c>
      <c r="AQ942" s="1048"/>
      <c r="AR942" s="1048"/>
      <c r="AS942" s="1048">
        <f t="shared" si="522"/>
        <v>900</v>
      </c>
      <c r="AT942" s="1048"/>
      <c r="AU942" s="1048"/>
      <c r="AV942" s="1048"/>
      <c r="AW942" s="1048"/>
      <c r="AX942" s="1048"/>
      <c r="AY942" s="1048"/>
      <c r="AZ942" s="1048"/>
      <c r="BA942" s="1048"/>
      <c r="BB942" s="1048"/>
      <c r="BC942" s="1048"/>
      <c r="BD942" s="1048"/>
      <c r="BE942" s="1048"/>
      <c r="BF942" s="4510" t="s">
        <v>89</v>
      </c>
      <c r="BG942" s="4510"/>
      <c r="BH942" s="4608">
        <f t="shared" si="511"/>
        <v>90</v>
      </c>
      <c r="BI942" s="4608">
        <f t="shared" si="512"/>
        <v>60</v>
      </c>
      <c r="BJ942" s="4608">
        <f t="shared" si="513"/>
        <v>225</v>
      </c>
      <c r="BK942" s="4608">
        <f t="shared" si="514"/>
        <v>120</v>
      </c>
      <c r="BL942" s="4608">
        <f t="shared" si="515"/>
        <v>105</v>
      </c>
      <c r="BM942" s="4609">
        <f t="shared" si="516"/>
        <v>135</v>
      </c>
      <c r="BN942" s="4610">
        <f t="shared" si="517"/>
        <v>165</v>
      </c>
      <c r="BO942" s="1049"/>
      <c r="BP942" s="1049"/>
      <c r="BQ942" s="1049"/>
      <c r="BR942" s="1050"/>
      <c r="BS942" s="1051"/>
      <c r="BT942" s="1051"/>
      <c r="BU942" s="1051"/>
      <c r="BV942" s="4160">
        <f t="shared" si="518"/>
        <v>900</v>
      </c>
      <c r="BW942" s="4323">
        <f t="shared" si="519"/>
        <v>0</v>
      </c>
      <c r="BX942" s="4323"/>
      <c r="BY942" s="4323"/>
      <c r="BZ942" s="4323"/>
      <c r="CA942" s="4511"/>
      <c r="CC942" s="4512"/>
      <c r="CD942" s="4511"/>
    </row>
    <row r="943" s="4316" customFormat="1" ht="50" customHeight="1" spans="1:82">
      <c r="A943" s="4500">
        <v>46042</v>
      </c>
      <c r="B943" s="4501" t="s">
        <v>4747</v>
      </c>
      <c r="C943" s="3708" t="s">
        <v>91</v>
      </c>
      <c r="D943" s="4502">
        <v>4500191895</v>
      </c>
      <c r="E943" s="3708">
        <v>4561565173</v>
      </c>
      <c r="F943" s="4502" t="s">
        <v>5655</v>
      </c>
      <c r="G943" s="3708" t="s">
        <v>2719</v>
      </c>
      <c r="H943" s="4154" t="s">
        <v>2591</v>
      </c>
      <c r="I943" s="4593">
        <v>1284</v>
      </c>
      <c r="J943" s="4154">
        <v>0</v>
      </c>
      <c r="K943" s="4154">
        <v>6</v>
      </c>
      <c r="L943" s="4154">
        <f t="shared" si="507"/>
        <v>214</v>
      </c>
      <c r="M943" s="4503">
        <v>46097</v>
      </c>
      <c r="N943" s="4553">
        <f t="shared" si="508"/>
        <v>46093</v>
      </c>
      <c r="O943" s="4117"/>
      <c r="P943" s="4527" t="s">
        <v>82</v>
      </c>
      <c r="Q943" s="4157">
        <v>1284</v>
      </c>
      <c r="R943" s="4157">
        <f t="shared" si="509"/>
        <v>0</v>
      </c>
      <c r="S943" s="4603"/>
      <c r="T943" s="4173" t="s">
        <v>321</v>
      </c>
      <c r="U943" s="3726" t="s">
        <v>166</v>
      </c>
      <c r="V943" s="3711" t="s">
        <v>835</v>
      </c>
      <c r="W943" s="3711"/>
      <c r="X943" s="3711" t="s">
        <v>5649</v>
      </c>
      <c r="Y943" s="3711"/>
      <c r="Z943" s="4154"/>
      <c r="AA943" s="3680" t="s">
        <v>5650</v>
      </c>
      <c r="AB943" s="4154" t="s">
        <v>3262</v>
      </c>
      <c r="AC943" s="4154">
        <v>1.2596</v>
      </c>
      <c r="AD943" s="4154">
        <f t="shared" si="510"/>
        <v>1617.3264</v>
      </c>
      <c r="AE943" s="3726"/>
      <c r="AF943" s="4160" t="s">
        <v>2719</v>
      </c>
      <c r="AG943" s="3726" t="s">
        <v>416</v>
      </c>
      <c r="AH943" s="4154"/>
      <c r="AI943" s="4154"/>
      <c r="AJ943" s="4154">
        <f t="shared" si="520"/>
        <v>1284</v>
      </c>
      <c r="AK943" s="3708"/>
      <c r="AL943" s="4154"/>
      <c r="AM943" s="4154"/>
      <c r="AN943" s="4154"/>
      <c r="AO943" s="1048"/>
      <c r="AP943" s="4509">
        <f t="shared" si="521"/>
        <v>1284</v>
      </c>
      <c r="AQ943" s="1048"/>
      <c r="AR943" s="1048"/>
      <c r="AS943" s="1048">
        <f t="shared" si="522"/>
        <v>1284</v>
      </c>
      <c r="AT943" s="1048"/>
      <c r="AU943" s="1048"/>
      <c r="AV943" s="1048"/>
      <c r="AW943" s="1048"/>
      <c r="AX943" s="1048"/>
      <c r="AY943" s="1048"/>
      <c r="AZ943" s="1048"/>
      <c r="BA943" s="1048"/>
      <c r="BB943" s="1048"/>
      <c r="BC943" s="1048"/>
      <c r="BD943" s="1048"/>
      <c r="BE943" s="1048"/>
      <c r="BF943" s="4510" t="s">
        <v>89</v>
      </c>
      <c r="BG943" s="4510"/>
      <c r="BH943" s="4608">
        <f t="shared" si="511"/>
        <v>128.4</v>
      </c>
      <c r="BI943" s="4608">
        <f t="shared" si="512"/>
        <v>85.6</v>
      </c>
      <c r="BJ943" s="4608">
        <f t="shared" si="513"/>
        <v>321</v>
      </c>
      <c r="BK943" s="4608">
        <f t="shared" si="514"/>
        <v>171.2</v>
      </c>
      <c r="BL943" s="4608">
        <f t="shared" si="515"/>
        <v>149.8</v>
      </c>
      <c r="BM943" s="4609">
        <f t="shared" si="516"/>
        <v>192.6</v>
      </c>
      <c r="BN943" s="4610">
        <f t="shared" si="517"/>
        <v>235.4</v>
      </c>
      <c r="BO943" s="1049"/>
      <c r="BP943" s="1049"/>
      <c r="BQ943" s="1049"/>
      <c r="BR943" s="1050"/>
      <c r="BS943" s="1051"/>
      <c r="BT943" s="1051"/>
      <c r="BU943" s="1051"/>
      <c r="BV943" s="4160">
        <f t="shared" si="518"/>
        <v>1284</v>
      </c>
      <c r="BW943" s="4323">
        <f t="shared" si="519"/>
        <v>0</v>
      </c>
      <c r="BX943" s="4323"/>
      <c r="BY943" s="4323"/>
      <c r="BZ943" s="4323"/>
      <c r="CA943" s="4511"/>
      <c r="CC943" s="4512"/>
      <c r="CD943" s="4511"/>
    </row>
    <row r="944" s="4316" customFormat="1" ht="50" customHeight="1" spans="1:82">
      <c r="A944" s="4500">
        <v>46042</v>
      </c>
      <c r="B944" s="4501" t="s">
        <v>4747</v>
      </c>
      <c r="C944" s="3708" t="s">
        <v>91</v>
      </c>
      <c r="D944" s="4502">
        <v>4500191895</v>
      </c>
      <c r="E944" s="3708">
        <v>4561565128</v>
      </c>
      <c r="F944" s="4502" t="s">
        <v>5656</v>
      </c>
      <c r="G944" s="3708" t="s">
        <v>2719</v>
      </c>
      <c r="H944" s="4154" t="s">
        <v>2591</v>
      </c>
      <c r="I944" s="4593">
        <v>1662</v>
      </c>
      <c r="J944" s="4154">
        <v>0</v>
      </c>
      <c r="K944" s="4154">
        <v>6</v>
      </c>
      <c r="L944" s="4154">
        <f t="shared" si="507"/>
        <v>277</v>
      </c>
      <c r="M944" s="4503">
        <v>46097</v>
      </c>
      <c r="N944" s="4553">
        <f t="shared" si="508"/>
        <v>46093</v>
      </c>
      <c r="O944" s="4117" t="s">
        <v>5657</v>
      </c>
      <c r="P944" s="4527" t="s">
        <v>82</v>
      </c>
      <c r="Q944" s="4157">
        <v>1662</v>
      </c>
      <c r="R944" s="4157">
        <f t="shared" si="509"/>
        <v>0</v>
      </c>
      <c r="S944" s="4603"/>
      <c r="T944" s="4173" t="s">
        <v>321</v>
      </c>
      <c r="U944" s="3726" t="s">
        <v>166</v>
      </c>
      <c r="V944" s="3711" t="s">
        <v>835</v>
      </c>
      <c r="W944" s="3711"/>
      <c r="X944" s="3711" t="s">
        <v>5649</v>
      </c>
      <c r="Y944" s="3711"/>
      <c r="Z944" s="4154"/>
      <c r="AA944" s="3680" t="s">
        <v>5650</v>
      </c>
      <c r="AB944" s="4154" t="s">
        <v>3262</v>
      </c>
      <c r="AC944" s="4154">
        <v>1.2596</v>
      </c>
      <c r="AD944" s="4154">
        <f t="shared" si="510"/>
        <v>2093.4552</v>
      </c>
      <c r="AE944" s="3726"/>
      <c r="AF944" s="4160" t="s">
        <v>2719</v>
      </c>
      <c r="AG944" s="3726" t="s">
        <v>416</v>
      </c>
      <c r="AH944" s="4154"/>
      <c r="AI944" s="4154"/>
      <c r="AJ944" s="4154">
        <f t="shared" si="520"/>
        <v>1662</v>
      </c>
      <c r="AK944" s="3708"/>
      <c r="AL944" s="4154"/>
      <c r="AM944" s="4154"/>
      <c r="AN944" s="4154"/>
      <c r="AO944" s="1048"/>
      <c r="AP944" s="4509">
        <f t="shared" si="521"/>
        <v>1662</v>
      </c>
      <c r="AQ944" s="1048"/>
      <c r="AR944" s="1048"/>
      <c r="AS944" s="1048">
        <f t="shared" si="522"/>
        <v>1662</v>
      </c>
      <c r="AT944" s="1048"/>
      <c r="AU944" s="1048"/>
      <c r="AV944" s="1048"/>
      <c r="AW944" s="1048"/>
      <c r="AX944" s="1048"/>
      <c r="AY944" s="1048"/>
      <c r="AZ944" s="1048"/>
      <c r="BA944" s="1048"/>
      <c r="BB944" s="1048"/>
      <c r="BC944" s="1048"/>
      <c r="BD944" s="1048"/>
      <c r="BE944" s="1048"/>
      <c r="BF944" s="4510" t="s">
        <v>89</v>
      </c>
      <c r="BG944" s="4510"/>
      <c r="BH944" s="4510">
        <f t="shared" si="511"/>
        <v>166.2</v>
      </c>
      <c r="BI944" s="4510">
        <f t="shared" si="512"/>
        <v>110.8</v>
      </c>
      <c r="BJ944" s="4510">
        <f t="shared" si="513"/>
        <v>415.5</v>
      </c>
      <c r="BK944" s="4510">
        <f t="shared" si="514"/>
        <v>221.6</v>
      </c>
      <c r="BL944" s="4510">
        <f t="shared" si="515"/>
        <v>193.9</v>
      </c>
      <c r="BM944" s="4586">
        <f t="shared" si="516"/>
        <v>249.3</v>
      </c>
      <c r="BN944" s="4587">
        <f t="shared" si="517"/>
        <v>304.7</v>
      </c>
      <c r="BO944" s="1049"/>
      <c r="BP944" s="1049"/>
      <c r="BQ944" s="1049"/>
      <c r="BR944" s="1050"/>
      <c r="BS944" s="1051"/>
      <c r="BT944" s="1051"/>
      <c r="BU944" s="1051"/>
      <c r="BV944" s="4160">
        <f t="shared" si="518"/>
        <v>1662</v>
      </c>
      <c r="BW944" s="4323">
        <f t="shared" si="519"/>
        <v>0</v>
      </c>
      <c r="BX944" s="4323"/>
      <c r="BY944" s="4323"/>
      <c r="BZ944" s="4323"/>
      <c r="CA944" s="4511"/>
      <c r="CC944" s="4512"/>
      <c r="CD944" s="4511"/>
    </row>
    <row r="945" s="4316" customFormat="1" ht="50" customHeight="1" spans="1:82">
      <c r="A945" s="4500">
        <v>46042</v>
      </c>
      <c r="B945" s="4501" t="s">
        <v>4747</v>
      </c>
      <c r="C945" s="3708" t="s">
        <v>91</v>
      </c>
      <c r="D945" s="4502">
        <v>4500191895</v>
      </c>
      <c r="E945" s="3708">
        <v>4561565100</v>
      </c>
      <c r="F945" s="4502" t="s">
        <v>5658</v>
      </c>
      <c r="G945" s="3708" t="s">
        <v>2719</v>
      </c>
      <c r="H945" s="4154" t="s">
        <v>2591</v>
      </c>
      <c r="I945" s="4593">
        <v>1362</v>
      </c>
      <c r="J945" s="4154">
        <v>0</v>
      </c>
      <c r="K945" s="4154">
        <v>6</v>
      </c>
      <c r="L945" s="4154">
        <f t="shared" si="507"/>
        <v>227</v>
      </c>
      <c r="M945" s="4503">
        <v>46097</v>
      </c>
      <c r="N945" s="4553">
        <f t="shared" si="508"/>
        <v>46093</v>
      </c>
      <c r="O945" s="4117"/>
      <c r="P945" s="4527" t="s">
        <v>82</v>
      </c>
      <c r="Q945" s="4157">
        <v>1362</v>
      </c>
      <c r="R945" s="4157">
        <f t="shared" si="509"/>
        <v>0</v>
      </c>
      <c r="S945" s="4603"/>
      <c r="T945" s="4173" t="s">
        <v>321</v>
      </c>
      <c r="U945" s="3726" t="s">
        <v>166</v>
      </c>
      <c r="V945" s="3711" t="s">
        <v>835</v>
      </c>
      <c r="W945" s="3711"/>
      <c r="X945" s="3711" t="s">
        <v>5649</v>
      </c>
      <c r="Y945" s="3711"/>
      <c r="Z945" s="4154"/>
      <c r="AA945" s="3680" t="s">
        <v>5650</v>
      </c>
      <c r="AB945" s="4154" t="s">
        <v>3262</v>
      </c>
      <c r="AC945" s="4154">
        <v>1.2293</v>
      </c>
      <c r="AD945" s="4154">
        <f t="shared" si="510"/>
        <v>1674.3066</v>
      </c>
      <c r="AE945" s="3726"/>
      <c r="AF945" s="4160" t="s">
        <v>2719</v>
      </c>
      <c r="AG945" s="3726" t="s">
        <v>416</v>
      </c>
      <c r="AH945" s="4154"/>
      <c r="AI945" s="4154"/>
      <c r="AJ945" s="4154">
        <f t="shared" si="520"/>
        <v>1362</v>
      </c>
      <c r="AK945" s="3708"/>
      <c r="AL945" s="4154"/>
      <c r="AM945" s="4154"/>
      <c r="AN945" s="4154"/>
      <c r="AO945" s="1048"/>
      <c r="AP945" s="4509">
        <f t="shared" si="521"/>
        <v>1362</v>
      </c>
      <c r="AQ945" s="1048"/>
      <c r="AR945" s="1048"/>
      <c r="AS945" s="1048">
        <f t="shared" si="522"/>
        <v>1362</v>
      </c>
      <c r="AT945" s="1048"/>
      <c r="AU945" s="1048"/>
      <c r="AV945" s="1048"/>
      <c r="AW945" s="1048"/>
      <c r="AX945" s="1048"/>
      <c r="AY945" s="1048"/>
      <c r="AZ945" s="1048"/>
      <c r="BA945" s="1048"/>
      <c r="BB945" s="1048"/>
      <c r="BC945" s="1048"/>
      <c r="BD945" s="1048"/>
      <c r="BE945" s="1048"/>
      <c r="BF945" s="4510" t="s">
        <v>89</v>
      </c>
      <c r="BG945" s="4510"/>
      <c r="BH945" s="4608">
        <f t="shared" si="511"/>
        <v>136.2</v>
      </c>
      <c r="BI945" s="4608">
        <f t="shared" si="512"/>
        <v>90.8</v>
      </c>
      <c r="BJ945" s="4608">
        <f t="shared" si="513"/>
        <v>340.5</v>
      </c>
      <c r="BK945" s="4608">
        <f t="shared" si="514"/>
        <v>181.6</v>
      </c>
      <c r="BL945" s="4608">
        <f t="shared" si="515"/>
        <v>158.9</v>
      </c>
      <c r="BM945" s="4609">
        <f t="shared" si="516"/>
        <v>204.3</v>
      </c>
      <c r="BN945" s="4610">
        <f t="shared" si="517"/>
        <v>249.7</v>
      </c>
      <c r="BO945" s="1049"/>
      <c r="BP945" s="1049"/>
      <c r="BQ945" s="1049"/>
      <c r="BR945" s="1050"/>
      <c r="BS945" s="1051"/>
      <c r="BT945" s="1051"/>
      <c r="BU945" s="1051"/>
      <c r="BV945" s="4160">
        <f t="shared" si="518"/>
        <v>1362</v>
      </c>
      <c r="BW945" s="4323">
        <f t="shared" si="519"/>
        <v>0</v>
      </c>
      <c r="BX945" s="4323"/>
      <c r="BY945" s="4323"/>
      <c r="BZ945" s="4323"/>
      <c r="CA945" s="4511"/>
      <c r="CC945" s="4512"/>
      <c r="CD945" s="4511"/>
    </row>
    <row r="946" s="4316" customFormat="1" ht="50" customHeight="1" spans="1:82">
      <c r="A946" s="4500">
        <v>46042</v>
      </c>
      <c r="B946" s="4501" t="s">
        <v>4747</v>
      </c>
      <c r="C946" s="3708" t="s">
        <v>91</v>
      </c>
      <c r="D946" s="4502">
        <v>4500191895</v>
      </c>
      <c r="E946" s="3708">
        <v>4561565138</v>
      </c>
      <c r="F946" s="4502" t="s">
        <v>5659</v>
      </c>
      <c r="G946" s="3708" t="s">
        <v>2719</v>
      </c>
      <c r="H946" s="4154" t="s">
        <v>2591</v>
      </c>
      <c r="I946" s="4593">
        <v>864</v>
      </c>
      <c r="J946" s="4154">
        <v>0</v>
      </c>
      <c r="K946" s="4154">
        <v>6</v>
      </c>
      <c r="L946" s="4154">
        <f t="shared" si="507"/>
        <v>144</v>
      </c>
      <c r="M946" s="4503">
        <v>46097</v>
      </c>
      <c r="N946" s="4553">
        <f t="shared" si="508"/>
        <v>46093</v>
      </c>
      <c r="O946" s="4117"/>
      <c r="P946" s="4527" t="s">
        <v>82</v>
      </c>
      <c r="Q946" s="4157">
        <v>864</v>
      </c>
      <c r="R946" s="4157">
        <f t="shared" si="509"/>
        <v>0</v>
      </c>
      <c r="S946" s="4603"/>
      <c r="T946" s="4173" t="s">
        <v>321</v>
      </c>
      <c r="U946" s="3726" t="s">
        <v>166</v>
      </c>
      <c r="V946" s="3711" t="s">
        <v>835</v>
      </c>
      <c r="W946" s="3711"/>
      <c r="X946" s="3711" t="s">
        <v>5649</v>
      </c>
      <c r="Y946" s="3711"/>
      <c r="Z946" s="4154"/>
      <c r="AA946" s="3680" t="s">
        <v>5650</v>
      </c>
      <c r="AB946" s="4154" t="s">
        <v>3262</v>
      </c>
      <c r="AC946" s="4154">
        <v>1.2624</v>
      </c>
      <c r="AD946" s="4154">
        <f t="shared" si="510"/>
        <v>1090.7136</v>
      </c>
      <c r="AE946" s="3726"/>
      <c r="AF946" s="4160" t="s">
        <v>2719</v>
      </c>
      <c r="AG946" s="3726" t="s">
        <v>416</v>
      </c>
      <c r="AH946" s="4154"/>
      <c r="AI946" s="4154"/>
      <c r="AJ946" s="4154">
        <f t="shared" si="520"/>
        <v>864</v>
      </c>
      <c r="AK946" s="3708"/>
      <c r="AL946" s="4154"/>
      <c r="AM946" s="4154"/>
      <c r="AN946" s="4154"/>
      <c r="AO946" s="1048"/>
      <c r="AP946" s="4509">
        <f t="shared" si="521"/>
        <v>864</v>
      </c>
      <c r="AQ946" s="1048"/>
      <c r="AR946" s="1048"/>
      <c r="AS946" s="1048">
        <f t="shared" si="522"/>
        <v>864</v>
      </c>
      <c r="AT946" s="1048"/>
      <c r="AU946" s="1048"/>
      <c r="AV946" s="1048"/>
      <c r="AW946" s="1048"/>
      <c r="AX946" s="1048"/>
      <c r="AY946" s="1048"/>
      <c r="AZ946" s="1048"/>
      <c r="BA946" s="1048"/>
      <c r="BB946" s="1048"/>
      <c r="BC946" s="1048"/>
      <c r="BD946" s="1048"/>
      <c r="BE946" s="1048"/>
      <c r="BF946" s="4510" t="s">
        <v>89</v>
      </c>
      <c r="BG946" s="4510"/>
      <c r="BH946" s="4608">
        <f t="shared" si="511"/>
        <v>86.4</v>
      </c>
      <c r="BI946" s="4608">
        <f t="shared" si="512"/>
        <v>57.6</v>
      </c>
      <c r="BJ946" s="4608">
        <f t="shared" si="513"/>
        <v>216</v>
      </c>
      <c r="BK946" s="4608">
        <f t="shared" si="514"/>
        <v>115.2</v>
      </c>
      <c r="BL946" s="4608">
        <f t="shared" si="515"/>
        <v>100.8</v>
      </c>
      <c r="BM946" s="4609">
        <f t="shared" si="516"/>
        <v>129.6</v>
      </c>
      <c r="BN946" s="4610">
        <f t="shared" si="517"/>
        <v>158.4</v>
      </c>
      <c r="BO946" s="1049"/>
      <c r="BP946" s="1049"/>
      <c r="BQ946" s="1049"/>
      <c r="BR946" s="1050"/>
      <c r="BS946" s="1051"/>
      <c r="BT946" s="1051"/>
      <c r="BU946" s="1051"/>
      <c r="BV946" s="4160">
        <f t="shared" si="518"/>
        <v>864</v>
      </c>
      <c r="BW946" s="4323">
        <f t="shared" si="519"/>
        <v>0</v>
      </c>
      <c r="BX946" s="4323"/>
      <c r="BY946" s="4323"/>
      <c r="BZ946" s="4323"/>
      <c r="CA946" s="4511"/>
      <c r="CC946" s="4512"/>
      <c r="CD946" s="4511"/>
    </row>
    <row r="947" s="4316" customFormat="1" ht="50" customHeight="1" spans="1:82">
      <c r="A947" s="4500">
        <v>46028</v>
      </c>
      <c r="B947" s="4501" t="s">
        <v>515</v>
      </c>
      <c r="C947" s="3708" t="s">
        <v>516</v>
      </c>
      <c r="D947" s="4502">
        <v>4500190708</v>
      </c>
      <c r="E947" s="3708"/>
      <c r="F947" s="4502" t="s">
        <v>5660</v>
      </c>
      <c r="G947" s="3708" t="s">
        <v>2577</v>
      </c>
      <c r="H947" s="3708" t="s">
        <v>2578</v>
      </c>
      <c r="I947" s="4593">
        <v>3000</v>
      </c>
      <c r="J947" s="4154">
        <v>0</v>
      </c>
      <c r="K947" s="4154">
        <v>12</v>
      </c>
      <c r="L947" s="4154">
        <f t="shared" si="507"/>
        <v>250</v>
      </c>
      <c r="M947" s="4503">
        <v>46091</v>
      </c>
      <c r="N947" s="4553">
        <v>46087</v>
      </c>
      <c r="O947" s="4117"/>
      <c r="P947" s="4527" t="s">
        <v>82</v>
      </c>
      <c r="Q947" s="4157">
        <v>3000</v>
      </c>
      <c r="R947" s="4157">
        <f t="shared" si="509"/>
        <v>0</v>
      </c>
      <c r="S947" s="4173" t="s">
        <v>2297</v>
      </c>
      <c r="T947" s="4173" t="s">
        <v>321</v>
      </c>
      <c r="U947" s="3726" t="s">
        <v>769</v>
      </c>
      <c r="V947" s="3711" t="s">
        <v>3104</v>
      </c>
      <c r="W947" s="3711"/>
      <c r="X947" s="3711" t="s">
        <v>5661</v>
      </c>
      <c r="Y947" s="3711"/>
      <c r="Z947" s="4154"/>
      <c r="AA947" s="3680" t="s">
        <v>5662</v>
      </c>
      <c r="AB947" s="4154" t="s">
        <v>459</v>
      </c>
      <c r="AC947" s="4154">
        <v>2.1358</v>
      </c>
      <c r="AD947" s="4154">
        <f t="shared" si="510"/>
        <v>6407.4</v>
      </c>
      <c r="AE947" s="3726"/>
      <c r="AF947" s="4160" t="s">
        <v>2604</v>
      </c>
      <c r="AG947" s="3726" t="s">
        <v>416</v>
      </c>
      <c r="AH947" s="4154"/>
      <c r="AI947" s="3708"/>
      <c r="AJ947" s="4575"/>
      <c r="AK947" s="4154"/>
      <c r="AL947" s="4154"/>
      <c r="AM947" s="1048">
        <f>I947</f>
        <v>3000</v>
      </c>
      <c r="AN947" s="1048"/>
      <c r="AO947" s="1048"/>
      <c r="AP947" s="4154">
        <f t="shared" si="521"/>
        <v>3000</v>
      </c>
      <c r="AQ947" s="1048"/>
      <c r="AR947" s="4559"/>
      <c r="AS947" s="1048">
        <f t="shared" si="522"/>
        <v>3000</v>
      </c>
      <c r="AT947" s="4413"/>
      <c r="AU947" s="4510"/>
      <c r="AV947" s="1048"/>
      <c r="AW947" s="1048">
        <f>I947/6</f>
        <v>500</v>
      </c>
      <c r="AX947" s="1048"/>
      <c r="AY947" s="1048"/>
      <c r="AZ947" s="1048"/>
      <c r="BA947" s="1048"/>
      <c r="BB947" s="1048"/>
      <c r="BC947" s="1048"/>
      <c r="BD947" s="1048"/>
      <c r="BE947" s="4505"/>
      <c r="BF947" s="1048" t="s">
        <v>89</v>
      </c>
      <c r="BG947" s="1048"/>
      <c r="BH947" s="1048">
        <f>I947/60*10</f>
        <v>500</v>
      </c>
      <c r="BI947" s="1048">
        <f>I947/60*10</f>
        <v>500</v>
      </c>
      <c r="BJ947" s="1048">
        <f>I947/60*10</f>
        <v>500</v>
      </c>
      <c r="BK947" s="1048">
        <f>I947/60*10</f>
        <v>500</v>
      </c>
      <c r="BL947" s="1048">
        <f>I947/60*10</f>
        <v>500</v>
      </c>
      <c r="BM947" s="4505">
        <f>I947/60*8</f>
        <v>400</v>
      </c>
      <c r="BN947" s="4505">
        <f>I947/60*2</f>
        <v>100</v>
      </c>
      <c r="BO947" s="4591"/>
      <c r="BP947" s="4591"/>
      <c r="BQ947" s="4591"/>
      <c r="BR947" s="4591"/>
      <c r="BS947" s="4591"/>
      <c r="BT947" s="4591"/>
      <c r="BU947" s="4611"/>
      <c r="BV947" s="4160">
        <f t="shared" si="518"/>
        <v>3000</v>
      </c>
      <c r="BW947" s="4160">
        <f t="shared" si="519"/>
        <v>0</v>
      </c>
      <c r="BX947" s="4160"/>
      <c r="BY947" s="4160"/>
      <c r="BZ947" s="4160"/>
    </row>
    <row r="948" s="4316" customFormat="1" ht="50" customHeight="1" spans="1:82">
      <c r="A948" s="4583">
        <v>46052</v>
      </c>
      <c r="B948" s="4584" t="s">
        <v>3495</v>
      </c>
      <c r="C948" s="4585" t="s">
        <v>91</v>
      </c>
      <c r="D948" s="4502">
        <v>4500192729</v>
      </c>
      <c r="E948" s="5455" t="s">
        <v>5663</v>
      </c>
      <c r="F948" s="4502" t="s">
        <v>5664</v>
      </c>
      <c r="G948" s="3708" t="s">
        <v>3068</v>
      </c>
      <c r="H948" s="3708" t="s">
        <v>3069</v>
      </c>
      <c r="I948" s="4154">
        <v>768</v>
      </c>
      <c r="J948" s="4154">
        <v>0</v>
      </c>
      <c r="K948" s="4154">
        <v>384</v>
      </c>
      <c r="L948" s="4154">
        <f t="shared" si="507"/>
        <v>2</v>
      </c>
      <c r="M948" s="4503">
        <v>46097</v>
      </c>
      <c r="N948" s="4553">
        <f t="shared" ref="N948:N954" si="523">M948-4</f>
        <v>46093</v>
      </c>
      <c r="O948" s="3708" t="s">
        <v>5665</v>
      </c>
      <c r="P948" s="4527" t="s">
        <v>82</v>
      </c>
      <c r="Q948" s="4157">
        <v>768</v>
      </c>
      <c r="R948" s="4157">
        <f t="shared" si="509"/>
        <v>0</v>
      </c>
      <c r="S948" s="4603" t="s">
        <v>2297</v>
      </c>
      <c r="T948" s="4173" t="s">
        <v>321</v>
      </c>
      <c r="U948" s="3726" t="s">
        <v>3175</v>
      </c>
      <c r="V948" s="3711" t="s">
        <v>5666</v>
      </c>
      <c r="W948" s="3711"/>
      <c r="X948" s="3711" t="s">
        <v>4710</v>
      </c>
      <c r="Y948" s="3711" t="s">
        <v>4935</v>
      </c>
      <c r="Z948" s="4154"/>
      <c r="AA948" s="3680" t="s">
        <v>5667</v>
      </c>
      <c r="AB948" s="4154" t="s">
        <v>3076</v>
      </c>
      <c r="AC948" s="4504">
        <v>58.655</v>
      </c>
      <c r="AD948" s="4154">
        <f t="shared" ref="AD948:AD954" si="524">AC948*L948</f>
        <v>117.31</v>
      </c>
      <c r="AE948" s="3726"/>
      <c r="AF948" s="3708" t="s">
        <v>3068</v>
      </c>
      <c r="AG948" s="3726" t="s">
        <v>416</v>
      </c>
      <c r="AH948" s="4154"/>
      <c r="AI948" s="4509"/>
      <c r="AJ948" s="3708">
        <f>I948</f>
        <v>768</v>
      </c>
      <c r="AK948" s="3708"/>
      <c r="AL948" s="4154"/>
      <c r="AM948" s="4154"/>
      <c r="AN948" s="4154"/>
      <c r="AO948" s="1048"/>
      <c r="AP948" s="4510">
        <f t="shared" si="521"/>
        <v>768</v>
      </c>
      <c r="AQ948" s="1048"/>
      <c r="AR948" s="4510"/>
      <c r="AS948" s="4510">
        <f t="shared" si="522"/>
        <v>768</v>
      </c>
      <c r="AT948" s="1048"/>
      <c r="AU948" s="1048"/>
      <c r="AV948" s="1048"/>
      <c r="AW948" s="1048"/>
      <c r="AX948" s="1048"/>
      <c r="AY948" s="1048"/>
      <c r="AZ948" s="1048"/>
      <c r="BA948" s="1048"/>
      <c r="BB948" s="4510">
        <f>I948/2</f>
        <v>384</v>
      </c>
      <c r="BC948" s="4510"/>
      <c r="BD948" s="4510"/>
      <c r="BE948" s="4510"/>
      <c r="BF948" s="4510" t="s">
        <v>89</v>
      </c>
      <c r="BG948" s="4510"/>
      <c r="BH948" s="4608">
        <f t="shared" ref="BH948:BH955" si="525">I948/60*6</f>
        <v>76.8</v>
      </c>
      <c r="BI948" s="4608">
        <f t="shared" ref="BI948:BI955" si="526">I948/60*4</f>
        <v>51.2</v>
      </c>
      <c r="BJ948" s="4608">
        <f t="shared" ref="BJ948:BJ955" si="527">I948/60*15</f>
        <v>192</v>
      </c>
      <c r="BK948" s="4608">
        <f t="shared" ref="BK948:BK955" si="528">I948/60*8</f>
        <v>102.4</v>
      </c>
      <c r="BL948" s="4608">
        <f t="shared" ref="BL948:BL955" si="529">I948/60*7</f>
        <v>89.6</v>
      </c>
      <c r="BM948" s="4609">
        <f t="shared" ref="BM948:BM955" si="530">I948/60*9</f>
        <v>115.2</v>
      </c>
      <c r="BN948" s="4610">
        <f t="shared" ref="BN948:BN955" si="531">I948/60*11</f>
        <v>140.8</v>
      </c>
      <c r="BO948" s="4589"/>
      <c r="BP948" s="4323"/>
      <c r="BQ948" s="4323"/>
      <c r="BR948" s="1050"/>
      <c r="BS948" s="1051"/>
      <c r="BT948" s="1051"/>
      <c r="BU948" s="1051"/>
      <c r="BV948" s="4589">
        <f t="shared" si="518"/>
        <v>768</v>
      </c>
      <c r="BW948" s="4589">
        <f t="shared" si="519"/>
        <v>0</v>
      </c>
      <c r="BX948" s="4323"/>
      <c r="BY948" s="4323"/>
      <c r="BZ948" s="4323"/>
      <c r="CA948" s="4511"/>
      <c r="CC948" s="4512"/>
      <c r="CD948" s="4511"/>
    </row>
    <row r="949" s="4316" customFormat="1" ht="50" customHeight="1" spans="1:82">
      <c r="A949" s="4583">
        <v>46052</v>
      </c>
      <c r="B949" s="4584" t="s">
        <v>3495</v>
      </c>
      <c r="C949" s="4585" t="s">
        <v>91</v>
      </c>
      <c r="D949" s="4502">
        <v>4500192729</v>
      </c>
      <c r="E949" s="5455" t="s">
        <v>5668</v>
      </c>
      <c r="F949" s="4502" t="s">
        <v>5669</v>
      </c>
      <c r="G949" s="3708" t="s">
        <v>3068</v>
      </c>
      <c r="H949" s="3708" t="s">
        <v>3069</v>
      </c>
      <c r="I949" s="4154">
        <v>1920</v>
      </c>
      <c r="J949" s="4154">
        <v>0</v>
      </c>
      <c r="K949" s="4154">
        <v>384</v>
      </c>
      <c r="L949" s="4154">
        <f t="shared" si="507"/>
        <v>5</v>
      </c>
      <c r="M949" s="4503">
        <v>46097</v>
      </c>
      <c r="N949" s="4553">
        <f t="shared" si="523"/>
        <v>46093</v>
      </c>
      <c r="O949" s="3708" t="s">
        <v>5665</v>
      </c>
      <c r="P949" s="4527" t="s">
        <v>82</v>
      </c>
      <c r="Q949" s="4157">
        <v>1920</v>
      </c>
      <c r="R949" s="4157">
        <f t="shared" si="509"/>
        <v>0</v>
      </c>
      <c r="S949" s="4603"/>
      <c r="T949" s="4173" t="s">
        <v>321</v>
      </c>
      <c r="U949" s="3726" t="s">
        <v>5670</v>
      </c>
      <c r="V949" s="3711" t="s">
        <v>5666</v>
      </c>
      <c r="W949" s="3711"/>
      <c r="X949" s="3711" t="s">
        <v>4710</v>
      </c>
      <c r="Y949" s="3711" t="s">
        <v>4935</v>
      </c>
      <c r="Z949" s="4154"/>
      <c r="AA949" s="3680" t="s">
        <v>5667</v>
      </c>
      <c r="AB949" s="4154" t="s">
        <v>3076</v>
      </c>
      <c r="AC949" s="4504">
        <v>58.652</v>
      </c>
      <c r="AD949" s="4154">
        <f t="shared" si="524"/>
        <v>293.26</v>
      </c>
      <c r="AE949" s="3726"/>
      <c r="AF949" s="3708" t="s">
        <v>3068</v>
      </c>
      <c r="AG949" s="3726" t="s">
        <v>416</v>
      </c>
      <c r="AH949" s="4154"/>
      <c r="AI949" s="4509"/>
      <c r="AJ949" s="3708">
        <f t="shared" ref="AJ949:AJ954" si="532">I949</f>
        <v>1920</v>
      </c>
      <c r="AK949" s="3708"/>
      <c r="AL949" s="4154"/>
      <c r="AM949" s="4154"/>
      <c r="AN949" s="4154"/>
      <c r="AO949" s="1048"/>
      <c r="AP949" s="4510">
        <f t="shared" si="521"/>
        <v>1920</v>
      </c>
      <c r="AQ949" s="1048"/>
      <c r="AR949" s="4510"/>
      <c r="AS949" s="4510">
        <f t="shared" ref="AS949:AS955" si="533">I949</f>
        <v>1920</v>
      </c>
      <c r="AT949" s="1048"/>
      <c r="AU949" s="1048"/>
      <c r="AV949" s="1048"/>
      <c r="AW949" s="1048"/>
      <c r="AX949" s="1048"/>
      <c r="AY949" s="1048"/>
      <c r="AZ949" s="1048"/>
      <c r="BA949" s="1048"/>
      <c r="BB949" s="4510">
        <f t="shared" ref="BB949:BB954" si="534">I949/2</f>
        <v>960</v>
      </c>
      <c r="BC949" s="4510"/>
      <c r="BD949" s="4510"/>
      <c r="BE949" s="4510"/>
      <c r="BF949" s="4510" t="s">
        <v>89</v>
      </c>
      <c r="BG949" s="4510"/>
      <c r="BH949" s="4608">
        <f t="shared" si="525"/>
        <v>192</v>
      </c>
      <c r="BI949" s="4608">
        <f t="shared" si="526"/>
        <v>128</v>
      </c>
      <c r="BJ949" s="4608">
        <f t="shared" si="527"/>
        <v>480</v>
      </c>
      <c r="BK949" s="4608">
        <f t="shared" si="528"/>
        <v>256</v>
      </c>
      <c r="BL949" s="4608">
        <f t="shared" si="529"/>
        <v>224</v>
      </c>
      <c r="BM949" s="4609">
        <f t="shared" si="530"/>
        <v>288</v>
      </c>
      <c r="BN949" s="4610">
        <f t="shared" si="531"/>
        <v>352</v>
      </c>
      <c r="BO949" s="4589"/>
      <c r="BP949" s="4323"/>
      <c r="BQ949" s="4323"/>
      <c r="BR949" s="1050"/>
      <c r="BS949" s="1051"/>
      <c r="BT949" s="1051"/>
      <c r="BU949" s="1051"/>
      <c r="BV949" s="4589">
        <f t="shared" si="518"/>
        <v>1920</v>
      </c>
      <c r="BW949" s="4589">
        <f t="shared" si="519"/>
        <v>0</v>
      </c>
      <c r="BX949" s="4323"/>
      <c r="BY949" s="4323"/>
      <c r="BZ949" s="4323"/>
      <c r="CA949" s="4511"/>
      <c r="CC949" s="4512"/>
      <c r="CD949" s="4511"/>
    </row>
    <row r="950" s="4316" customFormat="1" ht="50" customHeight="1" spans="1:82">
      <c r="A950" s="4583">
        <v>46052</v>
      </c>
      <c r="B950" s="4584" t="s">
        <v>3495</v>
      </c>
      <c r="C950" s="4585" t="s">
        <v>91</v>
      </c>
      <c r="D950" s="4502">
        <v>4500192729</v>
      </c>
      <c r="E950" s="5455" t="s">
        <v>5671</v>
      </c>
      <c r="F950" s="4502" t="s">
        <v>5672</v>
      </c>
      <c r="G950" s="3708" t="s">
        <v>3068</v>
      </c>
      <c r="H950" s="3708" t="s">
        <v>3069</v>
      </c>
      <c r="I950" s="4154">
        <v>768</v>
      </c>
      <c r="J950" s="4154">
        <v>0</v>
      </c>
      <c r="K950" s="4154">
        <v>384</v>
      </c>
      <c r="L950" s="4154">
        <f t="shared" si="507"/>
        <v>2</v>
      </c>
      <c r="M950" s="4503">
        <v>46097</v>
      </c>
      <c r="N950" s="4553">
        <f t="shared" si="523"/>
        <v>46093</v>
      </c>
      <c r="O950" s="3708" t="s">
        <v>5665</v>
      </c>
      <c r="P950" s="4527" t="s">
        <v>82</v>
      </c>
      <c r="Q950" s="4157">
        <v>768</v>
      </c>
      <c r="R950" s="4157">
        <f t="shared" si="509"/>
        <v>0</v>
      </c>
      <c r="S950" s="4603"/>
      <c r="T950" s="4173" t="s">
        <v>321</v>
      </c>
      <c r="U950" s="3726" t="s">
        <v>5673</v>
      </c>
      <c r="V950" s="3711" t="s">
        <v>5666</v>
      </c>
      <c r="W950" s="3711"/>
      <c r="X950" s="3711" t="s">
        <v>4710</v>
      </c>
      <c r="Y950" s="3711" t="s">
        <v>4935</v>
      </c>
      <c r="Z950" s="4154"/>
      <c r="AA950" s="3680" t="s">
        <v>5667</v>
      </c>
      <c r="AB950" s="4154" t="s">
        <v>3076</v>
      </c>
      <c r="AC950" s="4504">
        <v>70.715</v>
      </c>
      <c r="AD950" s="4154">
        <f t="shared" si="524"/>
        <v>141.43</v>
      </c>
      <c r="AE950" s="3726"/>
      <c r="AF950" s="3708" t="s">
        <v>3068</v>
      </c>
      <c r="AG950" s="3726" t="s">
        <v>416</v>
      </c>
      <c r="AH950" s="4154"/>
      <c r="AI950" s="4509"/>
      <c r="AJ950" s="3708">
        <f t="shared" si="532"/>
        <v>768</v>
      </c>
      <c r="AK950" s="3708"/>
      <c r="AL950" s="4154"/>
      <c r="AM950" s="4154"/>
      <c r="AN950" s="4154"/>
      <c r="AO950" s="1048"/>
      <c r="AP950" s="4510">
        <f t="shared" si="521"/>
        <v>768</v>
      </c>
      <c r="AQ950" s="1048"/>
      <c r="AR950" s="4510"/>
      <c r="AS950" s="4510">
        <f t="shared" si="533"/>
        <v>768</v>
      </c>
      <c r="AT950" s="1048"/>
      <c r="AU950" s="1048"/>
      <c r="AV950" s="1048"/>
      <c r="AW950" s="1048"/>
      <c r="AX950" s="1048"/>
      <c r="AY950" s="1048"/>
      <c r="AZ950" s="1048"/>
      <c r="BA950" s="1048"/>
      <c r="BB950" s="4510">
        <f t="shared" si="534"/>
        <v>384</v>
      </c>
      <c r="BC950" s="4510"/>
      <c r="BD950" s="4510"/>
      <c r="BE950" s="4510"/>
      <c r="BF950" s="4510" t="s">
        <v>89</v>
      </c>
      <c r="BG950" s="4510"/>
      <c r="BH950" s="4608">
        <f t="shared" si="525"/>
        <v>76.8</v>
      </c>
      <c r="BI950" s="4608">
        <f t="shared" si="526"/>
        <v>51.2</v>
      </c>
      <c r="BJ950" s="4608">
        <f t="shared" si="527"/>
        <v>192</v>
      </c>
      <c r="BK950" s="4608">
        <f t="shared" si="528"/>
        <v>102.4</v>
      </c>
      <c r="BL950" s="4608">
        <f t="shared" si="529"/>
        <v>89.6</v>
      </c>
      <c r="BM950" s="4609">
        <f t="shared" si="530"/>
        <v>115.2</v>
      </c>
      <c r="BN950" s="4610">
        <f t="shared" si="531"/>
        <v>140.8</v>
      </c>
      <c r="BO950" s="4589"/>
      <c r="BP950" s="4323"/>
      <c r="BQ950" s="4323"/>
      <c r="BR950" s="1050"/>
      <c r="BS950" s="1051"/>
      <c r="BT950" s="1051"/>
      <c r="BU950" s="1051"/>
      <c r="BV950" s="4589">
        <f t="shared" si="518"/>
        <v>768</v>
      </c>
      <c r="BW950" s="4589">
        <f t="shared" si="519"/>
        <v>0</v>
      </c>
      <c r="BX950" s="4323"/>
      <c r="BY950" s="4323"/>
      <c r="BZ950" s="4323"/>
      <c r="CA950" s="4511"/>
      <c r="CC950" s="4512"/>
      <c r="CD950" s="4511"/>
    </row>
    <row r="951" s="4316" customFormat="1" ht="50" customHeight="1" spans="1:82">
      <c r="A951" s="4583">
        <v>46052</v>
      </c>
      <c r="B951" s="4584" t="s">
        <v>3495</v>
      </c>
      <c r="C951" s="4585" t="s">
        <v>91</v>
      </c>
      <c r="D951" s="4502">
        <v>4500192729</v>
      </c>
      <c r="E951" s="5455" t="s">
        <v>5674</v>
      </c>
      <c r="F951" s="4502" t="s">
        <v>5675</v>
      </c>
      <c r="G951" s="3708" t="s">
        <v>3068</v>
      </c>
      <c r="H951" s="3708" t="s">
        <v>3069</v>
      </c>
      <c r="I951" s="4154">
        <v>768</v>
      </c>
      <c r="J951" s="4154">
        <v>0</v>
      </c>
      <c r="K951" s="4154">
        <v>384</v>
      </c>
      <c r="L951" s="4154">
        <f t="shared" si="507"/>
        <v>2</v>
      </c>
      <c r="M951" s="4503">
        <v>46097</v>
      </c>
      <c r="N951" s="4553">
        <f t="shared" si="523"/>
        <v>46093</v>
      </c>
      <c r="O951" s="3708" t="s">
        <v>5665</v>
      </c>
      <c r="P951" s="4527" t="s">
        <v>82</v>
      </c>
      <c r="Q951" s="4157">
        <v>768</v>
      </c>
      <c r="R951" s="4157">
        <f t="shared" si="509"/>
        <v>0</v>
      </c>
      <c r="S951" s="4603"/>
      <c r="T951" s="4173" t="s">
        <v>321</v>
      </c>
      <c r="U951" s="3726" t="s">
        <v>3114</v>
      </c>
      <c r="V951" s="3711" t="s">
        <v>5666</v>
      </c>
      <c r="W951" s="3711"/>
      <c r="X951" s="3711" t="s">
        <v>4710</v>
      </c>
      <c r="Y951" s="3711" t="s">
        <v>4935</v>
      </c>
      <c r="Z951" s="4154"/>
      <c r="AA951" s="3680" t="s">
        <v>5667</v>
      </c>
      <c r="AB951" s="4154" t="s">
        <v>3076</v>
      </c>
      <c r="AC951" s="4504">
        <v>70.715</v>
      </c>
      <c r="AD951" s="4154">
        <f t="shared" si="524"/>
        <v>141.43</v>
      </c>
      <c r="AE951" s="3726"/>
      <c r="AF951" s="3708" t="s">
        <v>3068</v>
      </c>
      <c r="AG951" s="3726" t="s">
        <v>416</v>
      </c>
      <c r="AH951" s="4154"/>
      <c r="AI951" s="4509"/>
      <c r="AJ951" s="3708">
        <f t="shared" si="532"/>
        <v>768</v>
      </c>
      <c r="AK951" s="3708"/>
      <c r="AL951" s="4154"/>
      <c r="AM951" s="4154"/>
      <c r="AN951" s="4154"/>
      <c r="AO951" s="1048"/>
      <c r="AP951" s="4510">
        <f t="shared" si="521"/>
        <v>768</v>
      </c>
      <c r="AQ951" s="1048"/>
      <c r="AR951" s="4510"/>
      <c r="AS951" s="4510">
        <f t="shared" si="533"/>
        <v>768</v>
      </c>
      <c r="AT951" s="1048"/>
      <c r="AU951" s="1048"/>
      <c r="AV951" s="1048"/>
      <c r="AW951" s="1048"/>
      <c r="AX951" s="1048"/>
      <c r="AY951" s="1048"/>
      <c r="AZ951" s="1048"/>
      <c r="BA951" s="1048"/>
      <c r="BB951" s="4510">
        <f t="shared" si="534"/>
        <v>384</v>
      </c>
      <c r="BC951" s="4510"/>
      <c r="BD951" s="4510"/>
      <c r="BE951" s="4510"/>
      <c r="BF951" s="4510" t="s">
        <v>89</v>
      </c>
      <c r="BG951" s="4510"/>
      <c r="BH951" s="4608">
        <f t="shared" si="525"/>
        <v>76.8</v>
      </c>
      <c r="BI951" s="4608">
        <f t="shared" si="526"/>
        <v>51.2</v>
      </c>
      <c r="BJ951" s="4608">
        <f t="shared" si="527"/>
        <v>192</v>
      </c>
      <c r="BK951" s="4608">
        <f t="shared" si="528"/>
        <v>102.4</v>
      </c>
      <c r="BL951" s="4608">
        <f t="shared" si="529"/>
        <v>89.6</v>
      </c>
      <c r="BM951" s="4609">
        <f t="shared" si="530"/>
        <v>115.2</v>
      </c>
      <c r="BN951" s="4610">
        <f t="shared" si="531"/>
        <v>140.8</v>
      </c>
      <c r="BO951" s="4589"/>
      <c r="BP951" s="4323"/>
      <c r="BQ951" s="4323"/>
      <c r="BR951" s="1050"/>
      <c r="BS951" s="1051"/>
      <c r="BT951" s="1051"/>
      <c r="BU951" s="1051"/>
      <c r="BV951" s="4589">
        <f t="shared" si="518"/>
        <v>768</v>
      </c>
      <c r="BW951" s="4589">
        <f t="shared" si="519"/>
        <v>0</v>
      </c>
      <c r="BX951" s="4323"/>
      <c r="BY951" s="4323"/>
      <c r="BZ951" s="4323"/>
      <c r="CA951" s="4511"/>
      <c r="CC951" s="4512"/>
      <c r="CD951" s="4511"/>
    </row>
    <row r="952" s="4316" customFormat="1" ht="50" customHeight="1" spans="1:82">
      <c r="A952" s="4583">
        <v>46052</v>
      </c>
      <c r="B952" s="4584" t="s">
        <v>3495</v>
      </c>
      <c r="C952" s="4585" t="s">
        <v>91</v>
      </c>
      <c r="D952" s="4502">
        <v>4500192729</v>
      </c>
      <c r="E952" s="5455" t="s">
        <v>5676</v>
      </c>
      <c r="F952" s="4502" t="s">
        <v>5677</v>
      </c>
      <c r="G952" s="3708" t="s">
        <v>3068</v>
      </c>
      <c r="H952" s="3708" t="s">
        <v>3069</v>
      </c>
      <c r="I952" s="4154">
        <v>1536</v>
      </c>
      <c r="J952" s="4154">
        <v>0</v>
      </c>
      <c r="K952" s="4154">
        <v>384</v>
      </c>
      <c r="L952" s="4154">
        <f t="shared" si="507"/>
        <v>4</v>
      </c>
      <c r="M952" s="4503">
        <v>46097</v>
      </c>
      <c r="N952" s="4553">
        <f t="shared" si="523"/>
        <v>46093</v>
      </c>
      <c r="O952" s="3708" t="s">
        <v>5665</v>
      </c>
      <c r="P952" s="4527" t="s">
        <v>82</v>
      </c>
      <c r="Q952" s="4157">
        <v>1536</v>
      </c>
      <c r="R952" s="4157">
        <f t="shared" si="509"/>
        <v>0</v>
      </c>
      <c r="S952" s="4603"/>
      <c r="T952" s="4173" t="s">
        <v>321</v>
      </c>
      <c r="U952" s="3726" t="s">
        <v>935</v>
      </c>
      <c r="V952" s="3711" t="s">
        <v>5666</v>
      </c>
      <c r="W952" s="3711"/>
      <c r="X952" s="3711" t="s">
        <v>4710</v>
      </c>
      <c r="Y952" s="3711" t="s">
        <v>4935</v>
      </c>
      <c r="Z952" s="4154"/>
      <c r="AA952" s="3680" t="s">
        <v>5667</v>
      </c>
      <c r="AB952" s="4154" t="s">
        <v>3076</v>
      </c>
      <c r="AC952" s="4504">
        <v>70.715</v>
      </c>
      <c r="AD952" s="4154">
        <f t="shared" si="524"/>
        <v>282.86</v>
      </c>
      <c r="AE952" s="3726"/>
      <c r="AF952" s="3708" t="s">
        <v>3068</v>
      </c>
      <c r="AG952" s="3726" t="s">
        <v>416</v>
      </c>
      <c r="AH952" s="4154"/>
      <c r="AI952" s="4509"/>
      <c r="AJ952" s="3708">
        <f t="shared" si="532"/>
        <v>1536</v>
      </c>
      <c r="AK952" s="3708"/>
      <c r="AL952" s="4154"/>
      <c r="AM952" s="4154"/>
      <c r="AN952" s="4154"/>
      <c r="AO952" s="1048"/>
      <c r="AP952" s="4510">
        <f t="shared" si="521"/>
        <v>1536</v>
      </c>
      <c r="AQ952" s="1048"/>
      <c r="AR952" s="4510"/>
      <c r="AS952" s="4510">
        <f t="shared" si="533"/>
        <v>1536</v>
      </c>
      <c r="AT952" s="1048"/>
      <c r="AU952" s="1048"/>
      <c r="AV952" s="1048"/>
      <c r="AW952" s="1048"/>
      <c r="AX952" s="1048"/>
      <c r="AY952" s="1048"/>
      <c r="AZ952" s="1048"/>
      <c r="BA952" s="1048"/>
      <c r="BB952" s="4510">
        <f t="shared" si="534"/>
        <v>768</v>
      </c>
      <c r="BC952" s="4510"/>
      <c r="BD952" s="4510"/>
      <c r="BE952" s="4510"/>
      <c r="BF952" s="4510" t="s">
        <v>89</v>
      </c>
      <c r="BG952" s="4510"/>
      <c r="BH952" s="4608">
        <f t="shared" si="525"/>
        <v>153.6</v>
      </c>
      <c r="BI952" s="4608">
        <f t="shared" si="526"/>
        <v>102.4</v>
      </c>
      <c r="BJ952" s="4608">
        <f t="shared" si="527"/>
        <v>384</v>
      </c>
      <c r="BK952" s="4608">
        <f t="shared" si="528"/>
        <v>204.8</v>
      </c>
      <c r="BL952" s="4608">
        <f t="shared" si="529"/>
        <v>179.2</v>
      </c>
      <c r="BM952" s="4609">
        <f t="shared" si="530"/>
        <v>230.4</v>
      </c>
      <c r="BN952" s="4610">
        <f t="shared" si="531"/>
        <v>281.6</v>
      </c>
      <c r="BO952" s="4589"/>
      <c r="BP952" s="4323"/>
      <c r="BQ952" s="4323"/>
      <c r="BR952" s="1050"/>
      <c r="BS952" s="1051"/>
      <c r="BT952" s="1051"/>
      <c r="BU952" s="1051"/>
      <c r="BV952" s="4589">
        <f t="shared" si="518"/>
        <v>1536</v>
      </c>
      <c r="BW952" s="4589">
        <f t="shared" si="519"/>
        <v>0</v>
      </c>
      <c r="BX952" s="4323"/>
      <c r="BY952" s="4323"/>
      <c r="BZ952" s="4323"/>
      <c r="CA952" s="4511"/>
      <c r="CC952" s="4512"/>
      <c r="CD952" s="4511"/>
    </row>
    <row r="953" s="4316" customFormat="1" ht="50" customHeight="1" spans="1:82">
      <c r="A953" s="4583">
        <v>46052</v>
      </c>
      <c r="B953" s="4584" t="s">
        <v>3495</v>
      </c>
      <c r="C953" s="4585" t="s">
        <v>91</v>
      </c>
      <c r="D953" s="4502">
        <v>4500192729</v>
      </c>
      <c r="E953" s="5455" t="s">
        <v>5678</v>
      </c>
      <c r="F953" s="4502" t="s">
        <v>5679</v>
      </c>
      <c r="G953" s="3708" t="s">
        <v>3068</v>
      </c>
      <c r="H953" s="3708" t="s">
        <v>3069</v>
      </c>
      <c r="I953" s="4154">
        <v>768</v>
      </c>
      <c r="J953" s="4154">
        <v>0</v>
      </c>
      <c r="K953" s="4154">
        <v>384</v>
      </c>
      <c r="L953" s="4154">
        <f t="shared" si="507"/>
        <v>2</v>
      </c>
      <c r="M953" s="4503">
        <v>46097</v>
      </c>
      <c r="N953" s="4553">
        <f t="shared" si="523"/>
        <v>46093</v>
      </c>
      <c r="O953" s="3708" t="s">
        <v>5665</v>
      </c>
      <c r="P953" s="4527" t="s">
        <v>82</v>
      </c>
      <c r="Q953" s="4157">
        <v>768</v>
      </c>
      <c r="R953" s="4157">
        <f t="shared" si="509"/>
        <v>0</v>
      </c>
      <c r="S953" s="4603"/>
      <c r="T953" s="4173" t="s">
        <v>321</v>
      </c>
      <c r="U953" s="3726" t="s">
        <v>3175</v>
      </c>
      <c r="V953" s="3711" t="s">
        <v>5666</v>
      </c>
      <c r="W953" s="3711"/>
      <c r="X953" s="3711" t="s">
        <v>4710</v>
      </c>
      <c r="Y953" s="3711" t="s">
        <v>4935</v>
      </c>
      <c r="Z953" s="4154"/>
      <c r="AA953" s="3680" t="s">
        <v>5667</v>
      </c>
      <c r="AB953" s="4154" t="s">
        <v>3076</v>
      </c>
      <c r="AC953" s="4504">
        <v>70.715</v>
      </c>
      <c r="AD953" s="4154">
        <f t="shared" si="524"/>
        <v>141.43</v>
      </c>
      <c r="AE953" s="3726"/>
      <c r="AF953" s="3708" t="s">
        <v>3068</v>
      </c>
      <c r="AG953" s="3726" t="s">
        <v>416</v>
      </c>
      <c r="AH953" s="4154"/>
      <c r="AI953" s="4509"/>
      <c r="AJ953" s="3708">
        <f t="shared" si="532"/>
        <v>768</v>
      </c>
      <c r="AK953" s="3708"/>
      <c r="AL953" s="4154"/>
      <c r="AM953" s="4154"/>
      <c r="AN953" s="4154"/>
      <c r="AO953" s="1048"/>
      <c r="AP953" s="4510">
        <f t="shared" si="521"/>
        <v>768</v>
      </c>
      <c r="AQ953" s="1048"/>
      <c r="AR953" s="4510"/>
      <c r="AS953" s="4510">
        <f t="shared" si="533"/>
        <v>768</v>
      </c>
      <c r="AT953" s="1048"/>
      <c r="AU953" s="1048"/>
      <c r="AV953" s="1048"/>
      <c r="AW953" s="1048"/>
      <c r="AX953" s="1048"/>
      <c r="AY953" s="1048"/>
      <c r="AZ953" s="1048"/>
      <c r="BA953" s="1048"/>
      <c r="BB953" s="4510">
        <f t="shared" si="534"/>
        <v>384</v>
      </c>
      <c r="BC953" s="4510"/>
      <c r="BD953" s="4510"/>
      <c r="BE953" s="4510"/>
      <c r="BF953" s="4510" t="s">
        <v>89</v>
      </c>
      <c r="BG953" s="4510"/>
      <c r="BH953" s="4608">
        <f t="shared" si="525"/>
        <v>76.8</v>
      </c>
      <c r="BI953" s="4608">
        <f t="shared" si="526"/>
        <v>51.2</v>
      </c>
      <c r="BJ953" s="4608">
        <f t="shared" si="527"/>
        <v>192</v>
      </c>
      <c r="BK953" s="4608">
        <f t="shared" si="528"/>
        <v>102.4</v>
      </c>
      <c r="BL953" s="4608">
        <f t="shared" si="529"/>
        <v>89.6</v>
      </c>
      <c r="BM953" s="4609">
        <f t="shared" si="530"/>
        <v>115.2</v>
      </c>
      <c r="BN953" s="4610">
        <f t="shared" si="531"/>
        <v>140.8</v>
      </c>
      <c r="BO953" s="4589"/>
      <c r="BP953" s="4323"/>
      <c r="BQ953" s="4323"/>
      <c r="BR953" s="1050"/>
      <c r="BS953" s="1051"/>
      <c r="BT953" s="1051"/>
      <c r="BU953" s="1051"/>
      <c r="BV953" s="4589">
        <f t="shared" si="518"/>
        <v>768</v>
      </c>
      <c r="BW953" s="4589">
        <f t="shared" si="519"/>
        <v>0</v>
      </c>
      <c r="BX953" s="4323"/>
      <c r="BY953" s="4323"/>
      <c r="BZ953" s="4323"/>
      <c r="CA953" s="4511"/>
      <c r="CC953" s="4512"/>
      <c r="CD953" s="4511"/>
    </row>
    <row r="954" s="4316" customFormat="1" ht="50" customHeight="1" spans="1:82">
      <c r="A954" s="4583">
        <v>46052</v>
      </c>
      <c r="B954" s="4584" t="s">
        <v>3495</v>
      </c>
      <c r="C954" s="4585" t="s">
        <v>91</v>
      </c>
      <c r="D954" s="4502">
        <v>4500192729</v>
      </c>
      <c r="E954" s="5455" t="s">
        <v>5680</v>
      </c>
      <c r="F954" s="4502" t="s">
        <v>5681</v>
      </c>
      <c r="G954" s="3708" t="s">
        <v>3068</v>
      </c>
      <c r="H954" s="3708" t="s">
        <v>3069</v>
      </c>
      <c r="I954" s="4154">
        <v>1152</v>
      </c>
      <c r="J954" s="4154">
        <v>0</v>
      </c>
      <c r="K954" s="4154">
        <v>384</v>
      </c>
      <c r="L954" s="4154">
        <f t="shared" si="507"/>
        <v>3</v>
      </c>
      <c r="M954" s="4503">
        <v>46097</v>
      </c>
      <c r="N954" s="4553">
        <f t="shared" si="523"/>
        <v>46093</v>
      </c>
      <c r="O954" s="3708" t="s">
        <v>5665</v>
      </c>
      <c r="P954" s="4527" t="s">
        <v>82</v>
      </c>
      <c r="Q954" s="4157">
        <v>1152</v>
      </c>
      <c r="R954" s="4157">
        <f t="shared" si="509"/>
        <v>0</v>
      </c>
      <c r="S954" s="4604"/>
      <c r="T954" s="4173" t="s">
        <v>321</v>
      </c>
      <c r="U954" s="3726" t="s">
        <v>5673</v>
      </c>
      <c r="V954" s="3711" t="s">
        <v>5666</v>
      </c>
      <c r="W954" s="3711"/>
      <c r="X954" s="3711" t="s">
        <v>4710</v>
      </c>
      <c r="Y954" s="3711" t="s">
        <v>4935</v>
      </c>
      <c r="Z954" s="4154"/>
      <c r="AA954" s="3680" t="s">
        <v>5667</v>
      </c>
      <c r="AB954" s="4154" t="s">
        <v>3076</v>
      </c>
      <c r="AC954" s="4504">
        <v>70.7133</v>
      </c>
      <c r="AD954" s="4154">
        <f t="shared" si="524"/>
        <v>212.1399</v>
      </c>
      <c r="AE954" s="3726"/>
      <c r="AF954" s="3708" t="s">
        <v>3068</v>
      </c>
      <c r="AG954" s="3726" t="s">
        <v>416</v>
      </c>
      <c r="AH954" s="4154"/>
      <c r="AI954" s="4509"/>
      <c r="AJ954" s="3708">
        <f t="shared" si="532"/>
        <v>1152</v>
      </c>
      <c r="AK954" s="3708"/>
      <c r="AL954" s="4154"/>
      <c r="AM954" s="4154"/>
      <c r="AN954" s="4154"/>
      <c r="AO954" s="1048"/>
      <c r="AP954" s="4510">
        <f t="shared" si="521"/>
        <v>1152</v>
      </c>
      <c r="AQ954" s="1048"/>
      <c r="AR954" s="4510"/>
      <c r="AS954" s="4510">
        <f t="shared" si="533"/>
        <v>1152</v>
      </c>
      <c r="AT954" s="1048"/>
      <c r="AU954" s="1048"/>
      <c r="AV954" s="1048"/>
      <c r="AW954" s="1048"/>
      <c r="AX954" s="1048"/>
      <c r="AY954" s="1048"/>
      <c r="AZ954" s="1048"/>
      <c r="BA954" s="1048"/>
      <c r="BB954" s="4510">
        <f t="shared" si="534"/>
        <v>576</v>
      </c>
      <c r="BC954" s="4510"/>
      <c r="BD954" s="4510"/>
      <c r="BE954" s="4510"/>
      <c r="BF954" s="4510" t="s">
        <v>89</v>
      </c>
      <c r="BG954" s="4510"/>
      <c r="BH954" s="4608">
        <f t="shared" si="525"/>
        <v>115.2</v>
      </c>
      <c r="BI954" s="4608">
        <f t="shared" si="526"/>
        <v>76.8</v>
      </c>
      <c r="BJ954" s="4608">
        <f t="shared" si="527"/>
        <v>288</v>
      </c>
      <c r="BK954" s="4608">
        <f t="shared" si="528"/>
        <v>153.6</v>
      </c>
      <c r="BL954" s="4608">
        <f t="shared" si="529"/>
        <v>134.4</v>
      </c>
      <c r="BM954" s="4609">
        <f t="shared" si="530"/>
        <v>172.8</v>
      </c>
      <c r="BN954" s="4610">
        <f t="shared" si="531"/>
        <v>211.2</v>
      </c>
      <c r="BO954" s="4589"/>
      <c r="BP954" s="4323"/>
      <c r="BQ954" s="4323"/>
      <c r="BR954" s="1050"/>
      <c r="BS954" s="1051"/>
      <c r="BT954" s="1051"/>
      <c r="BU954" s="1051"/>
      <c r="BV954" s="4589">
        <f t="shared" si="518"/>
        <v>1152</v>
      </c>
      <c r="BW954" s="4589">
        <f t="shared" si="519"/>
        <v>0</v>
      </c>
      <c r="BX954" s="4323"/>
      <c r="BY954" s="4323"/>
      <c r="BZ954" s="4323"/>
      <c r="CA954" s="4511"/>
      <c r="CC954" s="4512"/>
      <c r="CD954" s="4511"/>
    </row>
    <row r="955" s="4316" customFormat="1" ht="50" customHeight="1" spans="1:82">
      <c r="A955" s="4500">
        <v>46042</v>
      </c>
      <c r="B955" s="3708" t="s">
        <v>5682</v>
      </c>
      <c r="C955" s="3708" t="s">
        <v>524</v>
      </c>
      <c r="D955" s="4154">
        <v>4500191880</v>
      </c>
      <c r="E955" s="3708"/>
      <c r="F955" s="4154" t="s">
        <v>5683</v>
      </c>
      <c r="G955" s="3708" t="s">
        <v>2577</v>
      </c>
      <c r="H955" s="3708" t="s">
        <v>2578</v>
      </c>
      <c r="I955" s="4593">
        <v>120</v>
      </c>
      <c r="J955" s="4154">
        <v>0</v>
      </c>
      <c r="K955" s="4154">
        <v>12</v>
      </c>
      <c r="L955" s="4154">
        <f t="shared" si="507"/>
        <v>10</v>
      </c>
      <c r="M955" s="4503">
        <v>46112</v>
      </c>
      <c r="N955" s="4553">
        <v>46108</v>
      </c>
      <c r="O955" s="4117"/>
      <c r="P955" s="4527" t="s">
        <v>82</v>
      </c>
      <c r="Q955" s="4157">
        <v>120</v>
      </c>
      <c r="R955" s="4157">
        <f t="shared" si="509"/>
        <v>0</v>
      </c>
      <c r="S955" s="4173" t="s">
        <v>2297</v>
      </c>
      <c r="T955" s="4173" t="s">
        <v>321</v>
      </c>
      <c r="U955" s="3726" t="s">
        <v>982</v>
      </c>
      <c r="V955" s="3711" t="s">
        <v>3221</v>
      </c>
      <c r="W955" s="3711"/>
      <c r="X955" s="3711" t="s">
        <v>5684</v>
      </c>
      <c r="Y955" s="3711"/>
      <c r="Z955" s="4154"/>
      <c r="AA955" s="3680" t="s">
        <v>5685</v>
      </c>
      <c r="AB955" s="4154" t="s">
        <v>459</v>
      </c>
      <c r="AC955" s="4154">
        <v>2.1438</v>
      </c>
      <c r="AD955" s="4154">
        <f t="shared" ref="AD955:AD1018" si="535">AC955*I955</f>
        <v>257.256</v>
      </c>
      <c r="AE955" s="3726"/>
      <c r="AF955" s="3708" t="s">
        <v>2604</v>
      </c>
      <c r="AG955" s="3726" t="s">
        <v>416</v>
      </c>
      <c r="AH955" s="4154"/>
      <c r="AI955" s="3708"/>
      <c r="AJ955" s="4575"/>
      <c r="AK955" s="4154"/>
      <c r="AL955" s="4154"/>
      <c r="AM955" s="3708">
        <f>I955</f>
        <v>120</v>
      </c>
      <c r="AN955" s="1048"/>
      <c r="AO955" s="1048"/>
      <c r="AP955" s="4154">
        <f t="shared" ref="AP948:AP1018" si="536">I955</f>
        <v>120</v>
      </c>
      <c r="AQ955" s="1048"/>
      <c r="AR955" s="1048"/>
      <c r="AS955" s="4510">
        <f t="shared" si="533"/>
        <v>120</v>
      </c>
      <c r="AT955" s="1048"/>
      <c r="AU955" s="1048"/>
      <c r="AV955" s="1048"/>
      <c r="AW955" s="1048">
        <f>I955/6</f>
        <v>20</v>
      </c>
      <c r="AX955" s="1048"/>
      <c r="AY955" s="1048"/>
      <c r="AZ955" s="1048"/>
      <c r="BA955" s="1048"/>
      <c r="BB955" s="1048"/>
      <c r="BC955" s="4505"/>
      <c r="BD955" s="1048"/>
      <c r="BE955" s="1048"/>
      <c r="BF955" s="1048" t="s">
        <v>89</v>
      </c>
      <c r="BG955" s="1048"/>
      <c r="BH955" s="4608">
        <f t="shared" si="525"/>
        <v>12</v>
      </c>
      <c r="BI955" s="4608">
        <f t="shared" si="526"/>
        <v>8</v>
      </c>
      <c r="BJ955" s="4608">
        <f t="shared" si="527"/>
        <v>30</v>
      </c>
      <c r="BK955" s="4608">
        <f t="shared" si="528"/>
        <v>16</v>
      </c>
      <c r="BL955" s="4608">
        <f t="shared" si="529"/>
        <v>14</v>
      </c>
      <c r="BM955" s="4609">
        <f t="shared" si="530"/>
        <v>18</v>
      </c>
      <c r="BN955" s="4610">
        <f t="shared" si="531"/>
        <v>22</v>
      </c>
      <c r="BO955" s="4323"/>
      <c r="BP955" s="4323"/>
      <c r="BQ955" s="4323"/>
      <c r="BR955" s="1050"/>
      <c r="BS955" s="1051"/>
      <c r="BT955" s="1051"/>
      <c r="BU955" s="1051"/>
      <c r="BV955" s="4160">
        <f t="shared" si="518"/>
        <v>120</v>
      </c>
      <c r="BW955" s="4160">
        <f t="shared" si="519"/>
        <v>0</v>
      </c>
      <c r="BX955" s="4323"/>
      <c r="BY955" s="4323"/>
      <c r="BZ955" s="4323"/>
      <c r="CA955" s="4511"/>
      <c r="CC955" s="4512"/>
      <c r="CD955" s="4511"/>
    </row>
    <row r="956" s="4316" customFormat="1" ht="50" customHeight="1" spans="1:82">
      <c r="A956" s="4500">
        <v>46080</v>
      </c>
      <c r="B956" s="3708" t="s">
        <v>1641</v>
      </c>
      <c r="C956" s="3708" t="s">
        <v>396</v>
      </c>
      <c r="D956" s="4154">
        <v>4500194427</v>
      </c>
      <c r="E956" s="3708" t="s">
        <v>5686</v>
      </c>
      <c r="F956" s="4154" t="s">
        <v>5687</v>
      </c>
      <c r="G956" s="3708" t="s">
        <v>2676</v>
      </c>
      <c r="H956" s="3708" t="s">
        <v>2677</v>
      </c>
      <c r="I956" s="3699">
        <v>12</v>
      </c>
      <c r="J956" s="3699">
        <v>0</v>
      </c>
      <c r="K956" s="3699">
        <v>12</v>
      </c>
      <c r="L956" s="4154">
        <f t="shared" si="507"/>
        <v>1</v>
      </c>
      <c r="M956" s="4503">
        <v>46115</v>
      </c>
      <c r="N956" s="4553">
        <v>46111</v>
      </c>
      <c r="O956" s="4117"/>
      <c r="P956" s="4527" t="s">
        <v>82</v>
      </c>
      <c r="Q956" s="4157">
        <v>12</v>
      </c>
      <c r="R956" s="4157">
        <f t="shared" si="509"/>
        <v>0</v>
      </c>
      <c r="S956" s="4173" t="s">
        <v>2297</v>
      </c>
      <c r="T956" s="4173" t="s">
        <v>321</v>
      </c>
      <c r="U956" s="3726" t="s">
        <v>5688</v>
      </c>
      <c r="V956" s="3711" t="s">
        <v>999</v>
      </c>
      <c r="W956" s="3711"/>
      <c r="X956" s="3711" t="s">
        <v>4163</v>
      </c>
      <c r="Y956" s="3711" t="s">
        <v>5689</v>
      </c>
      <c r="Z956" s="4154"/>
      <c r="AA956" s="3680" t="s">
        <v>5690</v>
      </c>
      <c r="AB956" s="4154" t="s">
        <v>369</v>
      </c>
      <c r="AC956" s="4118">
        <v>2.2403</v>
      </c>
      <c r="AD956" s="3699">
        <f t="shared" si="535"/>
        <v>26.8836</v>
      </c>
      <c r="AE956" s="3726"/>
      <c r="AF956" s="3708" t="s">
        <v>2676</v>
      </c>
      <c r="AG956" s="3726" t="s">
        <v>416</v>
      </c>
      <c r="AH956" s="4154"/>
      <c r="AI956" s="3708"/>
      <c r="AJ956" s="4575"/>
      <c r="AK956" s="4154"/>
      <c r="AL956" s="4154"/>
      <c r="AM956" s="3708">
        <f>I956</f>
        <v>12</v>
      </c>
      <c r="AN956" s="1048"/>
      <c r="AO956" s="1048"/>
      <c r="AP956" s="4154">
        <f t="shared" si="536"/>
        <v>12</v>
      </c>
      <c r="AQ956" s="1048"/>
      <c r="AR956" s="1040"/>
      <c r="AS956" s="4510"/>
      <c r="AT956" s="1040"/>
      <c r="AU956" s="1048">
        <f>I956</f>
        <v>12</v>
      </c>
      <c r="AV956" s="1048"/>
      <c r="AW956" s="1048"/>
      <c r="AX956" s="1048"/>
      <c r="AY956" s="1048"/>
      <c r="AZ956" s="1048"/>
      <c r="BA956" s="1048"/>
      <c r="BB956" s="1048"/>
      <c r="BC956" s="4505"/>
      <c r="BD956" s="1048"/>
      <c r="BE956" s="1048"/>
      <c r="BF956" s="1048" t="s">
        <v>89</v>
      </c>
      <c r="BG956" s="1048"/>
      <c r="BH956" s="4510"/>
      <c r="BI956" s="1048">
        <f>I956-BN956</f>
        <v>11.8</v>
      </c>
      <c r="BJ956" s="4510"/>
      <c r="BK956" s="4510"/>
      <c r="BL956" s="4510"/>
      <c r="BM956" s="4586"/>
      <c r="BN956" s="1048">
        <f>I956/60*1</f>
        <v>0.2</v>
      </c>
      <c r="BO956" s="4571"/>
      <c r="BP956" s="4571"/>
      <c r="BQ956" s="4571"/>
      <c r="BR956" s="4612"/>
      <c r="BS956" s="4573"/>
      <c r="BT956" s="4573"/>
      <c r="BU956" s="4573"/>
      <c r="BV956" s="4160">
        <f>SUM(BH956:BN956)</f>
        <v>12</v>
      </c>
      <c r="BW956" s="4160">
        <f t="shared" si="519"/>
        <v>0</v>
      </c>
      <c r="BX956" s="4323"/>
      <c r="BY956" s="4323"/>
      <c r="BZ956" s="4323"/>
      <c r="CA956" s="4511"/>
      <c r="CC956" s="4512"/>
      <c r="CD956" s="4511"/>
    </row>
    <row r="957" s="4316" customFormat="1" ht="50" customHeight="1" spans="1:82">
      <c r="A957" s="4500">
        <v>46029</v>
      </c>
      <c r="B957" s="4501" t="s">
        <v>5691</v>
      </c>
      <c r="C957" s="3708" t="s">
        <v>471</v>
      </c>
      <c r="D957" s="4502">
        <v>4500189376</v>
      </c>
      <c r="E957" s="3708" t="s">
        <v>5692</v>
      </c>
      <c r="F957" s="4502" t="s">
        <v>5693</v>
      </c>
      <c r="G957" s="3708" t="s">
        <v>2590</v>
      </c>
      <c r="H957" s="3708" t="s">
        <v>2591</v>
      </c>
      <c r="I957" s="4593">
        <v>3600</v>
      </c>
      <c r="J957" s="4154">
        <v>0</v>
      </c>
      <c r="K957" s="4154">
        <v>6</v>
      </c>
      <c r="L957" s="4154">
        <f t="shared" si="507"/>
        <v>600</v>
      </c>
      <c r="M957" s="4503">
        <v>46120</v>
      </c>
      <c r="N957" s="4553">
        <v>46116</v>
      </c>
      <c r="O957" s="4117"/>
      <c r="P957" s="4527" t="s">
        <v>82</v>
      </c>
      <c r="Q957" s="4157">
        <v>3600</v>
      </c>
      <c r="R957" s="4157">
        <f t="shared" si="509"/>
        <v>0</v>
      </c>
      <c r="S957" s="4173" t="s">
        <v>2297</v>
      </c>
      <c r="T957" s="4173" t="s">
        <v>321</v>
      </c>
      <c r="U957" s="3726" t="s">
        <v>180</v>
      </c>
      <c r="V957" s="3709" t="s">
        <v>5694</v>
      </c>
      <c r="W957" s="3709"/>
      <c r="X957" s="3711" t="s">
        <v>98</v>
      </c>
      <c r="Y957" s="3711" t="s">
        <v>5695</v>
      </c>
      <c r="Z957" s="4154"/>
      <c r="AA957" s="3680" t="s">
        <v>5696</v>
      </c>
      <c r="AB957" s="4154" t="s">
        <v>5080</v>
      </c>
      <c r="AC957" s="4154">
        <v>2.1502</v>
      </c>
      <c r="AD957" s="4154">
        <f t="shared" si="535"/>
        <v>7740.72</v>
      </c>
      <c r="AE957" s="3726"/>
      <c r="AF957" s="3708" t="s">
        <v>2604</v>
      </c>
      <c r="AG957" s="3726" t="s">
        <v>416</v>
      </c>
      <c r="AH957" s="4154"/>
      <c r="AI957" s="3708"/>
      <c r="AJ957" s="4575"/>
      <c r="AK957" s="4154"/>
      <c r="AL957" s="4154"/>
      <c r="AM957" s="3708">
        <f>I957</f>
        <v>3600</v>
      </c>
      <c r="AN957" s="1048"/>
      <c r="AO957" s="1048"/>
      <c r="AP957" s="4154">
        <f t="shared" si="536"/>
        <v>3600</v>
      </c>
      <c r="AQ957" s="1048"/>
      <c r="AR957" s="1048"/>
      <c r="AS957" s="4510">
        <f t="shared" ref="AS957:AS971" si="537">I957</f>
        <v>3600</v>
      </c>
      <c r="AT957" s="1048"/>
      <c r="AU957" s="1048"/>
      <c r="AV957" s="1048"/>
      <c r="AW957" s="4510">
        <f>I957/6</f>
        <v>600</v>
      </c>
      <c r="AX957" s="1048"/>
      <c r="AY957" s="1048"/>
      <c r="AZ957" s="1048"/>
      <c r="BA957" s="1048"/>
      <c r="BB957" s="1048"/>
      <c r="BC957" s="1048"/>
      <c r="BD957" s="1048"/>
      <c r="BE957" s="1048"/>
      <c r="BF957" s="1048" t="s">
        <v>89</v>
      </c>
      <c r="BG957" s="4505"/>
      <c r="BH957" s="4510">
        <f>I957/60*10</f>
        <v>600</v>
      </c>
      <c r="BI957" s="4510">
        <f>I957/60*10</f>
        <v>600</v>
      </c>
      <c r="BJ957" s="4510">
        <f>I957/60*10</f>
        <v>600</v>
      </c>
      <c r="BK957" s="4525">
        <f>I957/60*10</f>
        <v>600</v>
      </c>
      <c r="BL957" s="4525">
        <f>I957/60*10</f>
        <v>600</v>
      </c>
      <c r="BM957" s="4562">
        <f>I957/60*8</f>
        <v>480</v>
      </c>
      <c r="BN957" s="4562">
        <f>I957/60*2</f>
        <v>120</v>
      </c>
      <c r="BO957" s="4413"/>
      <c r="BP957" s="4413"/>
      <c r="BQ957" s="4413"/>
      <c r="BR957" s="4413"/>
      <c r="BS957" s="4413"/>
      <c r="BT957" s="4431"/>
      <c r="BU957" s="4432"/>
      <c r="BV957" s="4160">
        <f t="shared" ref="BV957:BV967" si="538">SUM(BH957:BU957)</f>
        <v>3600</v>
      </c>
      <c r="BW957" s="4160">
        <f t="shared" si="519"/>
        <v>0</v>
      </c>
      <c r="BX957" s="4323"/>
      <c r="BY957" s="4323"/>
      <c r="BZ957" s="4323"/>
      <c r="CA957" s="4511"/>
      <c r="CC957" s="4512"/>
      <c r="CD957" s="4511"/>
    </row>
    <row r="958" s="4316" customFormat="1" ht="50" customHeight="1" spans="1:82">
      <c r="A958" s="4500">
        <v>46022</v>
      </c>
      <c r="B958" s="4501" t="s">
        <v>461</v>
      </c>
      <c r="C958" s="3708" t="s">
        <v>341</v>
      </c>
      <c r="D958" s="4502">
        <v>4500190367</v>
      </c>
      <c r="E958" s="3708">
        <v>50029350</v>
      </c>
      <c r="F958" s="4502" t="s">
        <v>5697</v>
      </c>
      <c r="G958" s="3708" t="s">
        <v>2627</v>
      </c>
      <c r="H958" s="4154" t="s">
        <v>2591</v>
      </c>
      <c r="I958" s="4154">
        <v>720</v>
      </c>
      <c r="J958" s="4154">
        <v>0</v>
      </c>
      <c r="K958" s="4154">
        <v>24</v>
      </c>
      <c r="L958" s="4154">
        <f t="shared" si="507"/>
        <v>30</v>
      </c>
      <c r="M958" s="4503">
        <v>46119</v>
      </c>
      <c r="N958" s="4553">
        <v>46115</v>
      </c>
      <c r="O958" s="4117"/>
      <c r="P958" s="4527" t="s">
        <v>82</v>
      </c>
      <c r="Q958" s="4157">
        <v>720</v>
      </c>
      <c r="R958" s="4157">
        <f t="shared" si="509"/>
        <v>0</v>
      </c>
      <c r="S958" s="4173" t="s">
        <v>2297</v>
      </c>
      <c r="T958" s="4173" t="s">
        <v>321</v>
      </c>
      <c r="U958" s="3726" t="s">
        <v>982</v>
      </c>
      <c r="V958" s="3711" t="s">
        <v>824</v>
      </c>
      <c r="W958" s="3711"/>
      <c r="X958" s="3711" t="s">
        <v>98</v>
      </c>
      <c r="Y958" s="3711" t="s">
        <v>5698</v>
      </c>
      <c r="Z958" s="4154"/>
      <c r="AA958" s="3680" t="s">
        <v>5699</v>
      </c>
      <c r="AB958" s="4154" t="s">
        <v>5116</v>
      </c>
      <c r="AC958" s="3699">
        <v>2.0891</v>
      </c>
      <c r="AD958" s="4154">
        <f t="shared" si="535"/>
        <v>1504.152</v>
      </c>
      <c r="AE958" s="3726"/>
      <c r="AF958" s="4160" t="s">
        <v>2890</v>
      </c>
      <c r="AG958" s="3726" t="s">
        <v>416</v>
      </c>
      <c r="AH958" s="4154"/>
      <c r="AI958" s="3708"/>
      <c r="AJ958" s="4575"/>
      <c r="AK958" s="4154"/>
      <c r="AL958" s="4154"/>
      <c r="AM958" s="3708">
        <f>I958</f>
        <v>720</v>
      </c>
      <c r="AN958" s="1048"/>
      <c r="AO958" s="1048"/>
      <c r="AP958" s="4154">
        <f t="shared" si="536"/>
        <v>720</v>
      </c>
      <c r="AQ958" s="1048"/>
      <c r="AR958" s="1048"/>
      <c r="AS958" s="4510">
        <f t="shared" si="537"/>
        <v>720</v>
      </c>
      <c r="AT958" s="1048"/>
      <c r="AU958" s="1048"/>
      <c r="AV958" s="1048"/>
      <c r="AW958" s="4510"/>
      <c r="AX958" s="1048"/>
      <c r="AY958" s="1048"/>
      <c r="AZ958" s="1048"/>
      <c r="BA958" s="1048"/>
      <c r="BB958" s="1048"/>
      <c r="BC958" s="1048"/>
      <c r="BD958" s="1048"/>
      <c r="BE958" s="1048"/>
      <c r="BF958" s="1048" t="s">
        <v>89</v>
      </c>
      <c r="BG958" s="4505"/>
      <c r="BH958" s="4608">
        <f>I958/60*6</f>
        <v>72</v>
      </c>
      <c r="BI958" s="4608">
        <f>I958/60*4</f>
        <v>48</v>
      </c>
      <c r="BJ958" s="4608">
        <f>I958/60*15</f>
        <v>180</v>
      </c>
      <c r="BK958" s="4608">
        <f>I958/60*8</f>
        <v>96</v>
      </c>
      <c r="BL958" s="4608">
        <f>I958/60*7</f>
        <v>84</v>
      </c>
      <c r="BM958" s="4609">
        <f>I958/60*9</f>
        <v>108</v>
      </c>
      <c r="BN958" s="4610">
        <f>I958/60*11</f>
        <v>132</v>
      </c>
      <c r="BO958" s="1049"/>
      <c r="BP958" s="1049"/>
      <c r="BQ958" s="1049"/>
      <c r="BR958" s="1050"/>
      <c r="BS958" s="1051"/>
      <c r="BT958" s="1051"/>
      <c r="BU958" s="1051"/>
      <c r="BV958" s="4505">
        <f t="shared" si="538"/>
        <v>720</v>
      </c>
      <c r="BW958" s="4505">
        <f t="shared" si="519"/>
        <v>0</v>
      </c>
      <c r="BX958" s="4323"/>
      <c r="BY958" s="4323"/>
      <c r="BZ958" s="4323"/>
      <c r="CA958" s="4511"/>
      <c r="CC958" s="4512"/>
      <c r="CD958" s="4511"/>
    </row>
    <row r="959" s="4316" customFormat="1" ht="50" customHeight="1" spans="1:82">
      <c r="A959" s="4500">
        <v>46063</v>
      </c>
      <c r="B959" s="4501" t="s">
        <v>5160</v>
      </c>
      <c r="C959" s="3708" t="s">
        <v>3913</v>
      </c>
      <c r="D959" s="4502">
        <v>4500193594</v>
      </c>
      <c r="E959" s="3708" t="s">
        <v>5700</v>
      </c>
      <c r="F959" s="4502" t="s">
        <v>5701</v>
      </c>
      <c r="G959" s="3708" t="s">
        <v>2627</v>
      </c>
      <c r="H959" s="4154" t="s">
        <v>2591</v>
      </c>
      <c r="I959" s="4154">
        <v>720</v>
      </c>
      <c r="J959" s="4154">
        <v>0</v>
      </c>
      <c r="K959" s="4154">
        <v>24</v>
      </c>
      <c r="L959" s="4154">
        <f t="shared" si="507"/>
        <v>30</v>
      </c>
      <c r="M959" s="4503">
        <v>46119</v>
      </c>
      <c r="N959" s="4553">
        <v>46115</v>
      </c>
      <c r="O959" s="4117"/>
      <c r="P959" s="4527" t="s">
        <v>82</v>
      </c>
      <c r="Q959" s="4157">
        <v>720</v>
      </c>
      <c r="R959" s="4157">
        <f t="shared" si="509"/>
        <v>0</v>
      </c>
      <c r="S959" s="4173" t="s">
        <v>2297</v>
      </c>
      <c r="T959" s="4173" t="s">
        <v>321</v>
      </c>
      <c r="U959" s="3726" t="s">
        <v>5702</v>
      </c>
      <c r="V959" s="3711" t="s">
        <v>846</v>
      </c>
      <c r="W959" s="3711"/>
      <c r="X959" s="3711" t="s">
        <v>5703</v>
      </c>
      <c r="Y959" s="3711"/>
      <c r="Z959" s="4154"/>
      <c r="AA959" s="3680" t="s">
        <v>5704</v>
      </c>
      <c r="AB959" s="4154" t="s">
        <v>892</v>
      </c>
      <c r="AC959" s="3699">
        <v>2.0891</v>
      </c>
      <c r="AD959" s="4154">
        <f t="shared" si="535"/>
        <v>1504.152</v>
      </c>
      <c r="AE959" s="3726"/>
      <c r="AF959" s="4160" t="s">
        <v>2627</v>
      </c>
      <c r="AG959" s="3726" t="s">
        <v>416</v>
      </c>
      <c r="AH959" s="4154"/>
      <c r="AI959" s="3708"/>
      <c r="AJ959" s="4575">
        <f>I959</f>
        <v>720</v>
      </c>
      <c r="AK959" s="4154"/>
      <c r="AL959" s="4154"/>
      <c r="AM959" s="3708"/>
      <c r="AN959" s="1048"/>
      <c r="AO959" s="1048"/>
      <c r="AP959" s="4154">
        <f t="shared" si="536"/>
        <v>720</v>
      </c>
      <c r="AQ959" s="1048"/>
      <c r="AR959" s="1040"/>
      <c r="AS959" s="4510">
        <f t="shared" si="537"/>
        <v>720</v>
      </c>
      <c r="AT959" s="1040"/>
      <c r="AU959" s="1048"/>
      <c r="AV959" s="1048"/>
      <c r="AW959" s="4510"/>
      <c r="AX959" s="1048"/>
      <c r="AY959" s="1048"/>
      <c r="AZ959" s="1048"/>
      <c r="BA959" s="1048"/>
      <c r="BB959" s="1048"/>
      <c r="BC959" s="1048"/>
      <c r="BD959" s="1048"/>
      <c r="BE959" s="1048"/>
      <c r="BF959" s="1048" t="s">
        <v>89</v>
      </c>
      <c r="BG959" s="4505"/>
      <c r="BH959" s="4510">
        <f>I959/60*10</f>
        <v>120</v>
      </c>
      <c r="BI959" s="4510">
        <f>I959/60*10</f>
        <v>120</v>
      </c>
      <c r="BJ959" s="4510">
        <f>I959/60*10</f>
        <v>120</v>
      </c>
      <c r="BK959" s="4510">
        <f>I959/60*10</f>
        <v>120</v>
      </c>
      <c r="BL959" s="4510">
        <f>I959/60*10</f>
        <v>120</v>
      </c>
      <c r="BM959" s="4586">
        <f>I959/60*8</f>
        <v>96</v>
      </c>
      <c r="BN959" s="4587">
        <f>I959/60*2</f>
        <v>24</v>
      </c>
      <c r="BO959" s="4571"/>
      <c r="BP959" s="4571"/>
      <c r="BQ959" s="4571"/>
      <c r="BR959" s="4612"/>
      <c r="BS959" s="4573"/>
      <c r="BT959" s="4573"/>
      <c r="BU959" s="4573"/>
      <c r="BV959" s="4505">
        <f t="shared" si="538"/>
        <v>720</v>
      </c>
      <c r="BW959" s="4505">
        <f t="shared" si="519"/>
        <v>0</v>
      </c>
      <c r="BX959" s="4323"/>
      <c r="BY959" s="4323"/>
      <c r="BZ959" s="4323"/>
      <c r="CA959" s="4511"/>
      <c r="CC959" s="4512"/>
      <c r="CD959" s="4511"/>
    </row>
    <row r="960" s="4316" customFormat="1" ht="50" customHeight="1" spans="1:82">
      <c r="A960" s="4500">
        <v>46038</v>
      </c>
      <c r="B960" s="4501" t="s">
        <v>1682</v>
      </c>
      <c r="C960" s="3708" t="s">
        <v>91</v>
      </c>
      <c r="D960" s="4502">
        <v>4500191650</v>
      </c>
      <c r="E960" s="3708">
        <v>384464403</v>
      </c>
      <c r="F960" s="4502" t="s">
        <v>5705</v>
      </c>
      <c r="G960" s="3708" t="s">
        <v>2719</v>
      </c>
      <c r="H960" s="4154" t="s">
        <v>2591</v>
      </c>
      <c r="I960" s="4593">
        <v>1800</v>
      </c>
      <c r="J960" s="4154">
        <v>0</v>
      </c>
      <c r="K960" s="4154">
        <v>6</v>
      </c>
      <c r="L960" s="4154">
        <f t="shared" si="507"/>
        <v>300</v>
      </c>
      <c r="M960" s="4503">
        <v>46122</v>
      </c>
      <c r="N960" s="4553">
        <v>46118</v>
      </c>
      <c r="O960" s="4117"/>
      <c r="P960" s="4527" t="s">
        <v>82</v>
      </c>
      <c r="Q960" s="4157">
        <v>1800</v>
      </c>
      <c r="R960" s="4157">
        <f t="shared" si="509"/>
        <v>0</v>
      </c>
      <c r="S960" s="4173" t="s">
        <v>2297</v>
      </c>
      <c r="T960" s="4173" t="s">
        <v>321</v>
      </c>
      <c r="U960" s="3726" t="s">
        <v>5706</v>
      </c>
      <c r="V960" s="3709" t="s">
        <v>1063</v>
      </c>
      <c r="W960" s="4212"/>
      <c r="X960" s="3711" t="s">
        <v>98</v>
      </c>
      <c r="Y960" s="3711" t="s">
        <v>5707</v>
      </c>
      <c r="Z960" s="4154"/>
      <c r="AA960" s="3680" t="s">
        <v>5708</v>
      </c>
      <c r="AB960" s="4154" t="s">
        <v>500</v>
      </c>
      <c r="AC960" s="4154">
        <v>1.2293</v>
      </c>
      <c r="AD960" s="4154">
        <f t="shared" si="535"/>
        <v>2212.74</v>
      </c>
      <c r="AE960" s="3726"/>
      <c r="AF960" s="4160" t="s">
        <v>2719</v>
      </c>
      <c r="AG960" s="3726" t="s">
        <v>416</v>
      </c>
      <c r="AH960" s="4154"/>
      <c r="AI960" s="4154"/>
      <c r="AJ960" s="4154">
        <f>I960</f>
        <v>1800</v>
      </c>
      <c r="AK960" s="3708"/>
      <c r="AL960" s="4154"/>
      <c r="AM960" s="4154"/>
      <c r="AN960" s="4154"/>
      <c r="AO960" s="1048"/>
      <c r="AP960" s="4509">
        <f t="shared" si="536"/>
        <v>1800</v>
      </c>
      <c r="AQ960" s="1048"/>
      <c r="AR960" s="1048"/>
      <c r="AS960" s="1048">
        <f t="shared" si="537"/>
        <v>1800</v>
      </c>
      <c r="AT960" s="1048"/>
      <c r="AU960" s="1048"/>
      <c r="AV960" s="1048"/>
      <c r="AW960" s="1048"/>
      <c r="AX960" s="1048"/>
      <c r="AY960" s="1048"/>
      <c r="AZ960" s="1048"/>
      <c r="BA960" s="1048"/>
      <c r="BB960" s="1048"/>
      <c r="BC960" s="1048"/>
      <c r="BD960" s="1048"/>
      <c r="BE960" s="1048"/>
      <c r="BF960" s="4510" t="s">
        <v>89</v>
      </c>
      <c r="BG960" s="4510"/>
      <c r="BH960" s="4608">
        <f>I960/60*6</f>
        <v>180</v>
      </c>
      <c r="BI960" s="4608">
        <f>I960/60*4</f>
        <v>120</v>
      </c>
      <c r="BJ960" s="4608">
        <f>I960/60*15</f>
        <v>450</v>
      </c>
      <c r="BK960" s="4608">
        <f>I960/60*8</f>
        <v>240</v>
      </c>
      <c r="BL960" s="4608">
        <f>I960/60*7</f>
        <v>210</v>
      </c>
      <c r="BM960" s="4609">
        <f>I960/60*9</f>
        <v>270</v>
      </c>
      <c r="BN960" s="4610">
        <f>I960/60*11</f>
        <v>330</v>
      </c>
      <c r="BO960" s="1049"/>
      <c r="BP960" s="1049"/>
      <c r="BQ960" s="1049"/>
      <c r="BR960" s="1050"/>
      <c r="BS960" s="1051"/>
      <c r="BT960" s="1051"/>
      <c r="BU960" s="1051"/>
      <c r="BV960" s="4160">
        <f t="shared" si="538"/>
        <v>1800</v>
      </c>
      <c r="BW960" s="4160">
        <f t="shared" si="519"/>
        <v>0</v>
      </c>
      <c r="BX960" s="4323"/>
      <c r="BY960" s="4323"/>
      <c r="BZ960" s="4323"/>
      <c r="CA960" s="4511"/>
      <c r="CC960" s="4512"/>
      <c r="CD960" s="4511"/>
    </row>
    <row r="961" s="4316" customFormat="1" ht="50" customHeight="1" spans="1:82">
      <c r="A961" s="4500">
        <v>46038</v>
      </c>
      <c r="B961" s="4501" t="s">
        <v>1682</v>
      </c>
      <c r="C961" s="3708" t="s">
        <v>91</v>
      </c>
      <c r="D961" s="4502">
        <v>4500191650</v>
      </c>
      <c r="E961" s="3708">
        <v>384464507</v>
      </c>
      <c r="F961" s="4502" t="s">
        <v>5709</v>
      </c>
      <c r="G961" s="3708" t="s">
        <v>2719</v>
      </c>
      <c r="H961" s="4154" t="s">
        <v>2591</v>
      </c>
      <c r="I961" s="4593">
        <v>1800</v>
      </c>
      <c r="J961" s="4154">
        <v>0</v>
      </c>
      <c r="K961" s="4154">
        <v>6</v>
      </c>
      <c r="L961" s="4154">
        <f t="shared" si="507"/>
        <v>300</v>
      </c>
      <c r="M961" s="4503">
        <v>46122</v>
      </c>
      <c r="N961" s="4553">
        <v>46118</v>
      </c>
      <c r="O961" s="4117"/>
      <c r="P961" s="4527" t="s">
        <v>82</v>
      </c>
      <c r="Q961" s="4157">
        <v>1800</v>
      </c>
      <c r="R961" s="4157">
        <f t="shared" si="509"/>
        <v>0</v>
      </c>
      <c r="S961" s="4173" t="s">
        <v>2297</v>
      </c>
      <c r="T961" s="4173" t="s">
        <v>321</v>
      </c>
      <c r="U961" s="3726" t="s">
        <v>5706</v>
      </c>
      <c r="V961" s="3709" t="s">
        <v>1063</v>
      </c>
      <c r="W961" s="4212"/>
      <c r="X961" s="3711" t="s">
        <v>98</v>
      </c>
      <c r="Y961" s="3711" t="s">
        <v>5707</v>
      </c>
      <c r="Z961" s="4154"/>
      <c r="AA961" s="3680" t="s">
        <v>5708</v>
      </c>
      <c r="AB961" s="4154" t="s">
        <v>500</v>
      </c>
      <c r="AC961" s="4154">
        <v>1.2596</v>
      </c>
      <c r="AD961" s="4154">
        <f t="shared" si="535"/>
        <v>2267.28</v>
      </c>
      <c r="AE961" s="3726"/>
      <c r="AF961" s="4160" t="s">
        <v>2719</v>
      </c>
      <c r="AG961" s="3726" t="s">
        <v>416</v>
      </c>
      <c r="AH961" s="4154"/>
      <c r="AI961" s="4154"/>
      <c r="AJ961" s="4154">
        <f>I961</f>
        <v>1800</v>
      </c>
      <c r="AK961" s="3708"/>
      <c r="AL961" s="4154"/>
      <c r="AM961" s="4154"/>
      <c r="AN961" s="4154"/>
      <c r="AO961" s="1048"/>
      <c r="AP961" s="4509">
        <f t="shared" si="536"/>
        <v>1800</v>
      </c>
      <c r="AQ961" s="1048"/>
      <c r="AR961" s="1048"/>
      <c r="AS961" s="1048">
        <f t="shared" si="537"/>
        <v>1800</v>
      </c>
      <c r="AT961" s="1048"/>
      <c r="AU961" s="1048"/>
      <c r="AV961" s="1048"/>
      <c r="AW961" s="1048"/>
      <c r="AX961" s="1048"/>
      <c r="AY961" s="1048"/>
      <c r="AZ961" s="1048"/>
      <c r="BA961" s="1048"/>
      <c r="BB961" s="1048"/>
      <c r="BC961" s="1048"/>
      <c r="BD961" s="1048"/>
      <c r="BE961" s="1048"/>
      <c r="BF961" s="4510" t="s">
        <v>89</v>
      </c>
      <c r="BG961" s="4510"/>
      <c r="BH961" s="4608">
        <f>I961/60*6</f>
        <v>180</v>
      </c>
      <c r="BI961" s="4608">
        <f>I961/60*4</f>
        <v>120</v>
      </c>
      <c r="BJ961" s="4608">
        <f>I961/60*15</f>
        <v>450</v>
      </c>
      <c r="BK961" s="4608">
        <f>I961/60*8</f>
        <v>240</v>
      </c>
      <c r="BL961" s="4608">
        <f>I961/60*7</f>
        <v>210</v>
      </c>
      <c r="BM961" s="4609">
        <f>I961/60*9</f>
        <v>270</v>
      </c>
      <c r="BN961" s="4610">
        <f>I961/60*11</f>
        <v>330</v>
      </c>
      <c r="BO961" s="1049"/>
      <c r="BP961" s="1049"/>
      <c r="BQ961" s="1049"/>
      <c r="BR961" s="1050"/>
      <c r="BS961" s="1051"/>
      <c r="BT961" s="1051"/>
      <c r="BU961" s="1051"/>
      <c r="BV961" s="4160">
        <f t="shared" si="538"/>
        <v>1800</v>
      </c>
      <c r="BW961" s="4160">
        <f t="shared" si="519"/>
        <v>0</v>
      </c>
      <c r="BX961" s="4323"/>
      <c r="BY961" s="4323"/>
      <c r="BZ961" s="4323"/>
      <c r="CA961" s="4511"/>
      <c r="CC961" s="4512"/>
      <c r="CD961" s="4511"/>
    </row>
    <row r="962" s="4316" customFormat="1" ht="50" customHeight="1" spans="1:82">
      <c r="A962" s="4500">
        <v>46078</v>
      </c>
      <c r="B962" s="4501" t="s">
        <v>5710</v>
      </c>
      <c r="C962" s="3708" t="s">
        <v>3460</v>
      </c>
      <c r="D962" s="4502">
        <v>4500194168</v>
      </c>
      <c r="E962" s="3708"/>
      <c r="F962" s="4502" t="s">
        <v>5711</v>
      </c>
      <c r="G962" s="3708" t="s">
        <v>2577</v>
      </c>
      <c r="H962" s="3708" t="s">
        <v>2578</v>
      </c>
      <c r="I962" s="4593">
        <v>180</v>
      </c>
      <c r="J962" s="4154">
        <v>0</v>
      </c>
      <c r="K962" s="4154">
        <v>12</v>
      </c>
      <c r="L962" s="4154">
        <f t="shared" si="507"/>
        <v>15</v>
      </c>
      <c r="M962" s="4503">
        <v>46122</v>
      </c>
      <c r="N962" s="4553">
        <v>46118</v>
      </c>
      <c r="O962" s="4117"/>
      <c r="P962" s="4527" t="s">
        <v>82</v>
      </c>
      <c r="Q962" s="4157">
        <v>180</v>
      </c>
      <c r="R962" s="4157">
        <f t="shared" si="509"/>
        <v>0</v>
      </c>
      <c r="S962" s="4173" t="s">
        <v>2297</v>
      </c>
      <c r="T962" s="4173" t="s">
        <v>321</v>
      </c>
      <c r="U962" s="3726" t="s">
        <v>964</v>
      </c>
      <c r="V962" s="3711" t="s">
        <v>924</v>
      </c>
      <c r="W962" s="3711"/>
      <c r="X962" s="3711" t="s">
        <v>5712</v>
      </c>
      <c r="Y962" s="3711"/>
      <c r="Z962" s="4154"/>
      <c r="AA962" s="3680" t="s">
        <v>5713</v>
      </c>
      <c r="AB962" s="4154" t="s">
        <v>459</v>
      </c>
      <c r="AC962" s="4154">
        <v>2.1438</v>
      </c>
      <c r="AD962" s="4154">
        <f t="shared" si="535"/>
        <v>385.884</v>
      </c>
      <c r="AE962" s="3726"/>
      <c r="AF962" s="4582" t="s">
        <v>2604</v>
      </c>
      <c r="AG962" s="3726" t="s">
        <v>416</v>
      </c>
      <c r="AH962" s="4154"/>
      <c r="AI962" s="3708"/>
      <c r="AJ962" s="4575"/>
      <c r="AK962" s="4154"/>
      <c r="AL962" s="4154"/>
      <c r="AM962" s="3708">
        <f>I962</f>
        <v>180</v>
      </c>
      <c r="AN962" s="1048"/>
      <c r="AO962" s="1048"/>
      <c r="AP962" s="4154">
        <f t="shared" si="536"/>
        <v>180</v>
      </c>
      <c r="AQ962" s="1048"/>
      <c r="AR962" s="1040"/>
      <c r="AS962" s="4510">
        <f t="shared" si="537"/>
        <v>180</v>
      </c>
      <c r="AT962" s="1040"/>
      <c r="AU962" s="1048"/>
      <c r="AV962" s="1048"/>
      <c r="AW962" s="4510">
        <f>I962/6</f>
        <v>30</v>
      </c>
      <c r="AX962" s="1048"/>
      <c r="AY962" s="1048"/>
      <c r="AZ962" s="1048"/>
      <c r="BA962" s="1048"/>
      <c r="BB962" s="1048"/>
      <c r="BC962" s="1048"/>
      <c r="BD962" s="1048"/>
      <c r="BE962" s="1048"/>
      <c r="BF962" s="1048" t="s">
        <v>89</v>
      </c>
      <c r="BG962" s="4505"/>
      <c r="BH962" s="4510">
        <f>I962/60*6</f>
        <v>18</v>
      </c>
      <c r="BI962" s="4510">
        <f>I962/60*4</f>
        <v>12</v>
      </c>
      <c r="BJ962" s="4510">
        <f>I962/60*15</f>
        <v>45</v>
      </c>
      <c r="BK962" s="4510">
        <f>I962/60*8</f>
        <v>24</v>
      </c>
      <c r="BL962" s="4510">
        <f>I962/60*7</f>
        <v>21</v>
      </c>
      <c r="BM962" s="4586">
        <f>I962/60*9</f>
        <v>27</v>
      </c>
      <c r="BN962" s="4587">
        <f>I962/60*11</f>
        <v>33</v>
      </c>
      <c r="BO962" s="4613"/>
      <c r="BP962" s="4613"/>
      <c r="BQ962" s="4613"/>
      <c r="BR962" s="4612"/>
      <c r="BS962" s="4573"/>
      <c r="BT962" s="4573"/>
      <c r="BU962" s="4573"/>
      <c r="BV962" s="4160">
        <f t="shared" si="538"/>
        <v>180</v>
      </c>
      <c r="BW962" s="4160">
        <f t="shared" si="519"/>
        <v>0</v>
      </c>
      <c r="BX962" s="4323"/>
      <c r="BY962" s="4323"/>
      <c r="BZ962" s="4323"/>
      <c r="CA962" s="4511"/>
      <c r="CC962" s="4512"/>
      <c r="CD962" s="4511"/>
    </row>
    <row r="963" s="4316" customFormat="1" ht="50" customHeight="1" spans="1:82">
      <c r="A963" s="4500">
        <v>46086</v>
      </c>
      <c r="B963" s="4501" t="s">
        <v>839</v>
      </c>
      <c r="C963" s="3708" t="s">
        <v>840</v>
      </c>
      <c r="D963" s="4502">
        <v>4500193165</v>
      </c>
      <c r="E963" s="3708">
        <v>21570519</v>
      </c>
      <c r="F963" s="4502" t="s">
        <v>5714</v>
      </c>
      <c r="G963" s="3708" t="s">
        <v>2577</v>
      </c>
      <c r="H963" s="3708" t="s">
        <v>2578</v>
      </c>
      <c r="I963" s="4593">
        <v>1500</v>
      </c>
      <c r="J963" s="4154">
        <v>0</v>
      </c>
      <c r="K963" s="4154">
        <v>12</v>
      </c>
      <c r="L963" s="4154">
        <f t="shared" si="507"/>
        <v>125</v>
      </c>
      <c r="M963" s="4503">
        <v>46125</v>
      </c>
      <c r="N963" s="4553">
        <v>46121</v>
      </c>
      <c r="O963" s="4117"/>
      <c r="P963" s="4527" t="s">
        <v>82</v>
      </c>
      <c r="Q963" s="4157">
        <f>1488+12</f>
        <v>1500</v>
      </c>
      <c r="R963" s="4157">
        <f t="shared" si="509"/>
        <v>0</v>
      </c>
      <c r="S963" s="4173" t="s">
        <v>2297</v>
      </c>
      <c r="T963" s="4173" t="s">
        <v>321</v>
      </c>
      <c r="U963" s="3726" t="s">
        <v>5715</v>
      </c>
      <c r="V963" s="3711" t="s">
        <v>5716</v>
      </c>
      <c r="W963" s="3711"/>
      <c r="X963" s="3711" t="s">
        <v>5717</v>
      </c>
      <c r="Y963" s="3711"/>
      <c r="Z963" s="4154"/>
      <c r="AA963" s="3680" t="s">
        <v>5718</v>
      </c>
      <c r="AB963" s="4154" t="s">
        <v>2357</v>
      </c>
      <c r="AC963" s="4154">
        <v>2.2463</v>
      </c>
      <c r="AD963" s="4154">
        <f t="shared" si="535"/>
        <v>3369.45</v>
      </c>
      <c r="AE963" s="3726"/>
      <c r="AF963" s="4160" t="s">
        <v>2577</v>
      </c>
      <c r="AG963" s="3726" t="s">
        <v>416</v>
      </c>
      <c r="AH963" s="4154"/>
      <c r="AI963" s="3708"/>
      <c r="AJ963" s="4575">
        <f>I963</f>
        <v>1500</v>
      </c>
      <c r="AK963" s="4154"/>
      <c r="AL963" s="4154"/>
      <c r="AM963" s="3708"/>
      <c r="AN963" s="1048"/>
      <c r="AO963" s="1048"/>
      <c r="AP963" s="4154">
        <f t="shared" si="536"/>
        <v>1500</v>
      </c>
      <c r="AQ963" s="1048"/>
      <c r="AR963" s="1040"/>
      <c r="AS963" s="4510">
        <f t="shared" si="537"/>
        <v>1500</v>
      </c>
      <c r="AT963" s="1040"/>
      <c r="AU963" s="1048"/>
      <c r="AV963" s="1048"/>
      <c r="AW963" s="4510">
        <f>I963/6</f>
        <v>250</v>
      </c>
      <c r="AX963" s="1048"/>
      <c r="AY963" s="1048"/>
      <c r="AZ963" s="1048"/>
      <c r="BA963" s="1048"/>
      <c r="BB963" s="1048"/>
      <c r="BC963" s="1048"/>
      <c r="BD963" s="1048"/>
      <c r="BE963" s="1048"/>
      <c r="BF963" s="1048" t="s">
        <v>89</v>
      </c>
      <c r="BG963" s="4505"/>
      <c r="BH963" s="4510">
        <f>I963/60*10</f>
        <v>250</v>
      </c>
      <c r="BI963" s="4510">
        <f>I963/60*10</f>
        <v>250</v>
      </c>
      <c r="BJ963" s="4510">
        <f>I963/60*10</f>
        <v>250</v>
      </c>
      <c r="BK963" s="4510">
        <f>I963/60*10</f>
        <v>250</v>
      </c>
      <c r="BL963" s="4510">
        <f>I963/60*10</f>
        <v>250</v>
      </c>
      <c r="BM963" s="4586">
        <f>I963/60*8</f>
        <v>200</v>
      </c>
      <c r="BN963" s="4587">
        <f>I963/60*2</f>
        <v>50</v>
      </c>
      <c r="BO963" s="4613"/>
      <c r="BP963" s="4613"/>
      <c r="BQ963" s="4613"/>
      <c r="BR963" s="4612"/>
      <c r="BS963" s="4573"/>
      <c r="BT963" s="4573"/>
      <c r="BU963" s="4573"/>
      <c r="BV963" s="4160">
        <f t="shared" si="538"/>
        <v>1500</v>
      </c>
      <c r="BW963" s="4160">
        <f t="shared" si="519"/>
        <v>0</v>
      </c>
      <c r="BX963" s="4323"/>
      <c r="BY963" s="4323"/>
      <c r="BZ963" s="4323"/>
      <c r="CA963" s="4511"/>
      <c r="CC963" s="4512"/>
      <c r="CD963" s="4511"/>
    </row>
    <row r="964" s="4316" customFormat="1" ht="50" customHeight="1" spans="1:82">
      <c r="A964" s="4500">
        <v>46085</v>
      </c>
      <c r="B964" s="4501" t="s">
        <v>1641</v>
      </c>
      <c r="C964" s="3708" t="s">
        <v>396</v>
      </c>
      <c r="D964" s="4502">
        <v>4500195135</v>
      </c>
      <c r="E964" s="3708" t="s">
        <v>5719</v>
      </c>
      <c r="F964" s="4502" t="s">
        <v>5720</v>
      </c>
      <c r="G964" s="3708" t="s">
        <v>2680</v>
      </c>
      <c r="H964" s="3708" t="s">
        <v>2632</v>
      </c>
      <c r="I964" s="4593">
        <v>24</v>
      </c>
      <c r="J964" s="4154">
        <v>0</v>
      </c>
      <c r="K964" s="4154">
        <v>12</v>
      </c>
      <c r="L964" s="4154">
        <f t="shared" si="507"/>
        <v>2</v>
      </c>
      <c r="M964" s="4503">
        <v>46127</v>
      </c>
      <c r="N964" s="4553">
        <v>46123</v>
      </c>
      <c r="O964" s="4117"/>
      <c r="P964" s="4527" t="s">
        <v>82</v>
      </c>
      <c r="Q964" s="4157">
        <v>24</v>
      </c>
      <c r="R964" s="4157">
        <f t="shared" si="509"/>
        <v>0</v>
      </c>
      <c r="S964" s="4602" t="s">
        <v>2297</v>
      </c>
      <c r="T964" s="4173" t="s">
        <v>321</v>
      </c>
      <c r="U964" s="3726" t="s">
        <v>5721</v>
      </c>
      <c r="V964" s="3711" t="s">
        <v>1063</v>
      </c>
      <c r="W964" s="3711"/>
      <c r="X964" s="3711" t="s">
        <v>4163</v>
      </c>
      <c r="Y964" s="3711" t="s">
        <v>5689</v>
      </c>
      <c r="Z964" s="4154"/>
      <c r="AA964" s="3680" t="s">
        <v>5722</v>
      </c>
      <c r="AB964" s="4154" t="s">
        <v>369</v>
      </c>
      <c r="AC964" s="4154">
        <v>2.0915</v>
      </c>
      <c r="AD964" s="4154">
        <f t="shared" si="535"/>
        <v>50.196</v>
      </c>
      <c r="AE964" s="3726"/>
      <c r="AF964" s="4160" t="s">
        <v>2680</v>
      </c>
      <c r="AG964" s="3726" t="s">
        <v>416</v>
      </c>
      <c r="AH964" s="4154"/>
      <c r="AI964" s="3708"/>
      <c r="AJ964" s="4575"/>
      <c r="AK964" s="4154"/>
      <c r="AL964" s="4154"/>
      <c r="AM964" s="3708">
        <f>I964</f>
        <v>24</v>
      </c>
      <c r="AN964" s="1048"/>
      <c r="AO964" s="1048"/>
      <c r="AP964" s="4154">
        <f t="shared" si="536"/>
        <v>24</v>
      </c>
      <c r="AQ964" s="1048"/>
      <c r="AR964" s="1040"/>
      <c r="AS964" s="4510"/>
      <c r="AT964" s="1040"/>
      <c r="AU964" s="1048">
        <f>I964</f>
        <v>24</v>
      </c>
      <c r="AV964" s="1048"/>
      <c r="AW964" s="4510"/>
      <c r="AX964" s="1048"/>
      <c r="AY964" s="1048"/>
      <c r="AZ964" s="1048"/>
      <c r="BA964" s="1048"/>
      <c r="BB964" s="1048"/>
      <c r="BC964" s="1048"/>
      <c r="BD964" s="1048"/>
      <c r="BE964" s="1048"/>
      <c r="BF964" s="1048" t="s">
        <v>89</v>
      </c>
      <c r="BG964" s="4505"/>
      <c r="BH964" s="4510"/>
      <c r="BI964" s="4510"/>
      <c r="BJ964" s="1048">
        <f>I964-BN964</f>
        <v>23.2</v>
      </c>
      <c r="BK964" s="4510"/>
      <c r="BL964" s="4510"/>
      <c r="BM964" s="4586"/>
      <c r="BN964" s="1048">
        <f>I964/60*2</f>
        <v>0.8</v>
      </c>
      <c r="BO964" s="1040"/>
      <c r="BP964" s="1040"/>
      <c r="BQ964" s="1040"/>
      <c r="BR964" s="1040"/>
      <c r="BS964" s="1040"/>
      <c r="BT964" s="1041"/>
      <c r="BU964" s="4524"/>
      <c r="BV964" s="4505">
        <f t="shared" si="538"/>
        <v>24</v>
      </c>
      <c r="BW964" s="4506">
        <f t="shared" si="519"/>
        <v>0</v>
      </c>
      <c r="BX964" s="4323"/>
      <c r="BY964" s="4323"/>
      <c r="BZ964" s="4323"/>
      <c r="CA964" s="4511"/>
      <c r="CC964" s="4512"/>
      <c r="CD964" s="4511"/>
    </row>
    <row r="965" s="4316" customFormat="1" ht="50" customHeight="1" spans="1:82">
      <c r="A965" s="4500">
        <v>46085</v>
      </c>
      <c r="B965" s="4501" t="s">
        <v>1641</v>
      </c>
      <c r="C965" s="3708" t="s">
        <v>396</v>
      </c>
      <c r="D965" s="4502">
        <v>4500195135</v>
      </c>
      <c r="E965" s="3708" t="s">
        <v>5723</v>
      </c>
      <c r="F965" s="4502" t="s">
        <v>5724</v>
      </c>
      <c r="G965" s="3708" t="s">
        <v>2680</v>
      </c>
      <c r="H965" s="3708" t="s">
        <v>2632</v>
      </c>
      <c r="I965" s="4593">
        <v>12</v>
      </c>
      <c r="J965" s="4154">
        <v>0</v>
      </c>
      <c r="K965" s="4154">
        <v>12</v>
      </c>
      <c r="L965" s="4154">
        <f t="shared" si="507"/>
        <v>1</v>
      </c>
      <c r="M965" s="4503">
        <v>46127</v>
      </c>
      <c r="N965" s="4553">
        <v>46123</v>
      </c>
      <c r="O965" s="4117"/>
      <c r="P965" s="4527" t="s">
        <v>82</v>
      </c>
      <c r="Q965" s="4157">
        <v>12</v>
      </c>
      <c r="R965" s="4157">
        <f t="shared" si="509"/>
        <v>0</v>
      </c>
      <c r="S965" s="4603"/>
      <c r="T965" s="4173" t="s">
        <v>321</v>
      </c>
      <c r="U965" s="3726" t="s">
        <v>5721</v>
      </c>
      <c r="V965" s="3711" t="s">
        <v>1063</v>
      </c>
      <c r="W965" s="3711"/>
      <c r="X965" s="3711" t="s">
        <v>4163</v>
      </c>
      <c r="Y965" s="3711" t="s">
        <v>5689</v>
      </c>
      <c r="Z965" s="4154"/>
      <c r="AA965" s="3680" t="s">
        <v>5722</v>
      </c>
      <c r="AB965" s="4154" t="s">
        <v>369</v>
      </c>
      <c r="AC965" s="4154">
        <v>2.0915</v>
      </c>
      <c r="AD965" s="4154">
        <f t="shared" si="535"/>
        <v>25.098</v>
      </c>
      <c r="AE965" s="3726"/>
      <c r="AF965" s="4160" t="s">
        <v>2680</v>
      </c>
      <c r="AG965" s="3726" t="s">
        <v>416</v>
      </c>
      <c r="AH965" s="4154"/>
      <c r="AI965" s="3708"/>
      <c r="AJ965" s="4575"/>
      <c r="AK965" s="4154"/>
      <c r="AL965" s="4154"/>
      <c r="AM965" s="3708">
        <f t="shared" ref="AM965:AM974" si="539">I965</f>
        <v>12</v>
      </c>
      <c r="AN965" s="1048"/>
      <c r="AO965" s="1048"/>
      <c r="AP965" s="4154">
        <f t="shared" si="536"/>
        <v>12</v>
      </c>
      <c r="AQ965" s="1048"/>
      <c r="AR965" s="1040"/>
      <c r="AS965" s="4510"/>
      <c r="AT965" s="1040"/>
      <c r="AU965" s="1048">
        <f t="shared" ref="AU965:AU974" si="540">I965</f>
        <v>12</v>
      </c>
      <c r="AV965" s="1048"/>
      <c r="AW965" s="4510"/>
      <c r="AX965" s="1048"/>
      <c r="AY965" s="1048"/>
      <c r="AZ965" s="1048"/>
      <c r="BA965" s="1048"/>
      <c r="BB965" s="1048"/>
      <c r="BC965" s="1048"/>
      <c r="BD965" s="1048"/>
      <c r="BE965" s="1048"/>
      <c r="BF965" s="1048" t="s">
        <v>89</v>
      </c>
      <c r="BG965" s="4505"/>
      <c r="BH965" s="4510"/>
      <c r="BI965" s="4510"/>
      <c r="BJ965" s="1048">
        <f>I965</f>
        <v>12</v>
      </c>
      <c r="BK965" s="4510"/>
      <c r="BL965" s="4510"/>
      <c r="BM965" s="4586"/>
      <c r="BN965" s="1048">
        <f>I965/60*2</f>
        <v>0.4</v>
      </c>
      <c r="BO965" s="1040"/>
      <c r="BP965" s="1040"/>
      <c r="BQ965" s="1040"/>
      <c r="BR965" s="1040"/>
      <c r="BS965" s="1040"/>
      <c r="BT965" s="1041"/>
      <c r="BU965" s="4524"/>
      <c r="BV965" s="4505">
        <f t="shared" si="538"/>
        <v>12.4</v>
      </c>
      <c r="BW965" s="4506">
        <f t="shared" si="519"/>
        <v>-0.4</v>
      </c>
      <c r="BX965" s="4323"/>
      <c r="BY965" s="4323"/>
      <c r="BZ965" s="4323"/>
      <c r="CA965" s="4511"/>
      <c r="CC965" s="4512"/>
      <c r="CD965" s="4511"/>
    </row>
    <row r="966" s="4316" customFormat="1" ht="50" customHeight="1" spans="1:82">
      <c r="A966" s="4500">
        <v>46085</v>
      </c>
      <c r="B966" s="4501" t="s">
        <v>1641</v>
      </c>
      <c r="C966" s="3708" t="s">
        <v>396</v>
      </c>
      <c r="D966" s="4502">
        <v>4500195135</v>
      </c>
      <c r="E966" s="3708" t="s">
        <v>5725</v>
      </c>
      <c r="F966" s="4502" t="s">
        <v>5726</v>
      </c>
      <c r="G966" s="3708" t="s">
        <v>2680</v>
      </c>
      <c r="H966" s="3708" t="s">
        <v>2632</v>
      </c>
      <c r="I966" s="4593">
        <v>12</v>
      </c>
      <c r="J966" s="4154">
        <v>0</v>
      </c>
      <c r="K966" s="4154">
        <v>12</v>
      </c>
      <c r="L966" s="4154">
        <f t="shared" si="507"/>
        <v>1</v>
      </c>
      <c r="M966" s="4503">
        <v>46127</v>
      </c>
      <c r="N966" s="4553">
        <v>46123</v>
      </c>
      <c r="O966" s="4117"/>
      <c r="P966" s="4527" t="s">
        <v>82</v>
      </c>
      <c r="Q966" s="4157">
        <v>12</v>
      </c>
      <c r="R966" s="4157">
        <f t="shared" si="509"/>
        <v>0</v>
      </c>
      <c r="S966" s="4603"/>
      <c r="T966" s="4173" t="s">
        <v>321</v>
      </c>
      <c r="U966" s="3726" t="s">
        <v>5721</v>
      </c>
      <c r="V966" s="3711" t="s">
        <v>1063</v>
      </c>
      <c r="W966" s="3711"/>
      <c r="X966" s="3711" t="s">
        <v>4163</v>
      </c>
      <c r="Y966" s="3711" t="s">
        <v>5689</v>
      </c>
      <c r="Z966" s="4154"/>
      <c r="AA966" s="3680" t="s">
        <v>5722</v>
      </c>
      <c r="AB966" s="4154" t="s">
        <v>369</v>
      </c>
      <c r="AC966" s="4154">
        <v>2.0915</v>
      </c>
      <c r="AD966" s="4154">
        <f t="shared" si="535"/>
        <v>25.098</v>
      </c>
      <c r="AE966" s="3726"/>
      <c r="AF966" s="4160" t="s">
        <v>2680</v>
      </c>
      <c r="AG966" s="3726" t="s">
        <v>416</v>
      </c>
      <c r="AH966" s="4154"/>
      <c r="AI966" s="3708"/>
      <c r="AJ966" s="4575"/>
      <c r="AK966" s="4154"/>
      <c r="AL966" s="4154"/>
      <c r="AM966" s="3708">
        <f t="shared" si="539"/>
        <v>12</v>
      </c>
      <c r="AN966" s="1048"/>
      <c r="AO966" s="1048"/>
      <c r="AP966" s="4154">
        <f t="shared" si="536"/>
        <v>12</v>
      </c>
      <c r="AQ966" s="1048"/>
      <c r="AR966" s="1040"/>
      <c r="AS966" s="4510"/>
      <c r="AT966" s="1040"/>
      <c r="AU966" s="1048">
        <f t="shared" si="540"/>
        <v>12</v>
      </c>
      <c r="AV966" s="1048"/>
      <c r="AW966" s="4510"/>
      <c r="AX966" s="1048"/>
      <c r="AY966" s="1048"/>
      <c r="AZ966" s="1048"/>
      <c r="BA966" s="1048"/>
      <c r="BB966" s="1048"/>
      <c r="BC966" s="1048"/>
      <c r="BD966" s="1048"/>
      <c r="BE966" s="1048"/>
      <c r="BF966" s="1048" t="s">
        <v>89</v>
      </c>
      <c r="BG966" s="4505"/>
      <c r="BH966" s="4510"/>
      <c r="BI966" s="4510"/>
      <c r="BJ966" s="1048">
        <f>I966</f>
        <v>12</v>
      </c>
      <c r="BK966" s="4510"/>
      <c r="BL966" s="4510"/>
      <c r="BM966" s="4586"/>
      <c r="BN966" s="1048">
        <f>I966/60*2</f>
        <v>0.4</v>
      </c>
      <c r="BO966" s="1040"/>
      <c r="BP966" s="1040"/>
      <c r="BQ966" s="1040"/>
      <c r="BR966" s="1040"/>
      <c r="BS966" s="1040"/>
      <c r="BT966" s="1041"/>
      <c r="BU966" s="4524"/>
      <c r="BV966" s="4505">
        <f t="shared" si="538"/>
        <v>12.4</v>
      </c>
      <c r="BW966" s="4506">
        <f t="shared" si="519"/>
        <v>-0.4</v>
      </c>
      <c r="BX966" s="4323"/>
      <c r="BY966" s="4323"/>
      <c r="BZ966" s="4323"/>
      <c r="CA966" s="4511"/>
      <c r="CC966" s="4512"/>
      <c r="CD966" s="4511"/>
    </row>
    <row r="967" s="4316" customFormat="1" ht="50" customHeight="1" spans="1:82">
      <c r="A967" s="4500">
        <v>46085</v>
      </c>
      <c r="B967" s="4501" t="s">
        <v>1641</v>
      </c>
      <c r="C967" s="3708" t="s">
        <v>396</v>
      </c>
      <c r="D967" s="4502">
        <v>4500195135</v>
      </c>
      <c r="E967" s="3708" t="s">
        <v>5727</v>
      </c>
      <c r="F967" s="4502" t="s">
        <v>5728</v>
      </c>
      <c r="G967" s="3708" t="s">
        <v>2680</v>
      </c>
      <c r="H967" s="3708" t="s">
        <v>2632</v>
      </c>
      <c r="I967" s="4593">
        <v>12</v>
      </c>
      <c r="J967" s="4154">
        <v>0</v>
      </c>
      <c r="K967" s="4154">
        <v>12</v>
      </c>
      <c r="L967" s="4154">
        <f t="shared" si="507"/>
        <v>1</v>
      </c>
      <c r="M967" s="4503">
        <v>46127</v>
      </c>
      <c r="N967" s="4553">
        <v>46123</v>
      </c>
      <c r="O967" s="4117"/>
      <c r="P967" s="4527" t="s">
        <v>82</v>
      </c>
      <c r="Q967" s="4157">
        <v>12</v>
      </c>
      <c r="R967" s="4157">
        <f t="shared" si="509"/>
        <v>0</v>
      </c>
      <c r="S967" s="4604"/>
      <c r="T967" s="4173" t="s">
        <v>321</v>
      </c>
      <c r="U967" s="3726" t="s">
        <v>5721</v>
      </c>
      <c r="V967" s="3711" t="s">
        <v>1063</v>
      </c>
      <c r="W967" s="3711"/>
      <c r="X967" s="3711" t="s">
        <v>4163</v>
      </c>
      <c r="Y967" s="3711" t="s">
        <v>5689</v>
      </c>
      <c r="Z967" s="4154"/>
      <c r="AA967" s="3680" t="s">
        <v>5722</v>
      </c>
      <c r="AB967" s="4154" t="s">
        <v>369</v>
      </c>
      <c r="AC967" s="4154">
        <v>2.0915</v>
      </c>
      <c r="AD967" s="4154">
        <f t="shared" si="535"/>
        <v>25.098</v>
      </c>
      <c r="AE967" s="3726"/>
      <c r="AF967" s="4160" t="s">
        <v>2680</v>
      </c>
      <c r="AG967" s="3726" t="s">
        <v>416</v>
      </c>
      <c r="AH967" s="4154"/>
      <c r="AI967" s="3708"/>
      <c r="AJ967" s="4575"/>
      <c r="AK967" s="4154"/>
      <c r="AL967" s="4154"/>
      <c r="AM967" s="3708">
        <f t="shared" si="539"/>
        <v>12</v>
      </c>
      <c r="AN967" s="1048"/>
      <c r="AO967" s="1048"/>
      <c r="AP967" s="4154">
        <f t="shared" si="536"/>
        <v>12</v>
      </c>
      <c r="AQ967" s="1048"/>
      <c r="AR967" s="1040"/>
      <c r="AS967" s="4510"/>
      <c r="AT967" s="1040"/>
      <c r="AU967" s="1048">
        <f t="shared" si="540"/>
        <v>12</v>
      </c>
      <c r="AV967" s="1048"/>
      <c r="AW967" s="4510"/>
      <c r="AX967" s="1048"/>
      <c r="AY967" s="1048"/>
      <c r="AZ967" s="1048"/>
      <c r="BA967" s="1048"/>
      <c r="BB967" s="1048"/>
      <c r="BC967" s="1048"/>
      <c r="BD967" s="1048"/>
      <c r="BE967" s="1048"/>
      <c r="BF967" s="1048" t="s">
        <v>89</v>
      </c>
      <c r="BG967" s="4505"/>
      <c r="BH967" s="4510"/>
      <c r="BI967" s="4510"/>
      <c r="BJ967" s="1048">
        <f>I967</f>
        <v>12</v>
      </c>
      <c r="BK967" s="4510"/>
      <c r="BL967" s="4510"/>
      <c r="BM967" s="4586"/>
      <c r="BN967" s="1048">
        <f>I967/60*2</f>
        <v>0.4</v>
      </c>
      <c r="BO967" s="1040"/>
      <c r="BP967" s="1040"/>
      <c r="BQ967" s="1040"/>
      <c r="BR967" s="1040"/>
      <c r="BS967" s="1040"/>
      <c r="BT967" s="1041"/>
      <c r="BU967" s="4524"/>
      <c r="BV967" s="4505">
        <f t="shared" si="538"/>
        <v>12.4</v>
      </c>
      <c r="BW967" s="4506">
        <f t="shared" si="519"/>
        <v>-0.4</v>
      </c>
      <c r="BX967" s="4323"/>
      <c r="BY967" s="4323"/>
      <c r="BZ967" s="4323"/>
      <c r="CA967" s="4511"/>
      <c r="CC967" s="4512"/>
      <c r="CD967" s="4511"/>
    </row>
    <row r="968" s="4316" customFormat="1" ht="50" customHeight="1" spans="1:82">
      <c r="A968" s="4500">
        <v>46085</v>
      </c>
      <c r="B968" s="4501" t="s">
        <v>1641</v>
      </c>
      <c r="C968" s="3708" t="s">
        <v>396</v>
      </c>
      <c r="D968" s="4502">
        <v>4500195135</v>
      </c>
      <c r="E968" s="3708" t="s">
        <v>5729</v>
      </c>
      <c r="F968" s="4502" t="s">
        <v>5730</v>
      </c>
      <c r="G968" s="3708" t="s">
        <v>2676</v>
      </c>
      <c r="H968" s="3708" t="s">
        <v>2677</v>
      </c>
      <c r="I968" s="4593">
        <v>12</v>
      </c>
      <c r="J968" s="4154">
        <v>0</v>
      </c>
      <c r="K968" s="4154">
        <v>12</v>
      </c>
      <c r="L968" s="4154">
        <f t="shared" si="507"/>
        <v>1</v>
      </c>
      <c r="M968" s="4503">
        <v>46127</v>
      </c>
      <c r="N968" s="4553">
        <v>46123</v>
      </c>
      <c r="O968" s="4117"/>
      <c r="P968" s="4527" t="s">
        <v>82</v>
      </c>
      <c r="Q968" s="4157">
        <v>12</v>
      </c>
      <c r="R968" s="4157">
        <f t="shared" si="509"/>
        <v>0</v>
      </c>
      <c r="S968" s="4602" t="s">
        <v>2297</v>
      </c>
      <c r="T968" s="4173" t="s">
        <v>321</v>
      </c>
      <c r="U968" s="3726" t="s">
        <v>5721</v>
      </c>
      <c r="V968" s="3711" t="s">
        <v>1063</v>
      </c>
      <c r="W968" s="3711"/>
      <c r="X968" s="3711" t="s">
        <v>4163</v>
      </c>
      <c r="Y968" s="3711" t="s">
        <v>5689</v>
      </c>
      <c r="Z968" s="4154"/>
      <c r="AA968" s="3680" t="s">
        <v>5722</v>
      </c>
      <c r="AB968" s="4154" t="s">
        <v>369</v>
      </c>
      <c r="AC968" s="4154">
        <v>2.1357</v>
      </c>
      <c r="AD968" s="4154">
        <f t="shared" si="535"/>
        <v>25.6284</v>
      </c>
      <c r="AE968" s="3726"/>
      <c r="AF968" s="4160" t="s">
        <v>2676</v>
      </c>
      <c r="AG968" s="3726" t="s">
        <v>416</v>
      </c>
      <c r="AH968" s="4154"/>
      <c r="AI968" s="3708"/>
      <c r="AJ968" s="4575"/>
      <c r="AK968" s="4154"/>
      <c r="AL968" s="4154"/>
      <c r="AM968" s="3708">
        <f t="shared" si="539"/>
        <v>12</v>
      </c>
      <c r="AN968" s="1048"/>
      <c r="AO968" s="1048"/>
      <c r="AP968" s="4154">
        <f t="shared" si="536"/>
        <v>12</v>
      </c>
      <c r="AQ968" s="1048"/>
      <c r="AR968" s="1040"/>
      <c r="AS968" s="4510"/>
      <c r="AT968" s="1040"/>
      <c r="AU968" s="1048">
        <f t="shared" si="540"/>
        <v>12</v>
      </c>
      <c r="AV968" s="1048"/>
      <c r="AW968" s="4510"/>
      <c r="AX968" s="1048"/>
      <c r="AY968" s="1048"/>
      <c r="AZ968" s="1048"/>
      <c r="BA968" s="1048"/>
      <c r="BB968" s="1048"/>
      <c r="BC968" s="1048"/>
      <c r="BD968" s="1048"/>
      <c r="BE968" s="1048"/>
      <c r="BF968" s="1048" t="s">
        <v>89</v>
      </c>
      <c r="BG968" s="4505"/>
      <c r="BH968" s="4510"/>
      <c r="BI968" s="1048">
        <f t="shared" ref="BI968:BI974" si="541">I968-BN968</f>
        <v>11.8</v>
      </c>
      <c r="BJ968" s="4510"/>
      <c r="BK968" s="4510"/>
      <c r="BL968" s="4510"/>
      <c r="BM968" s="4586"/>
      <c r="BN968" s="1048">
        <f t="shared" ref="BN968:BN974" si="542">I968/60*1</f>
        <v>0.2</v>
      </c>
      <c r="BO968" s="4613"/>
      <c r="BP968" s="4613"/>
      <c r="BQ968" s="4613"/>
      <c r="BR968" s="4612"/>
      <c r="BS968" s="4573"/>
      <c r="BT968" s="4573"/>
      <c r="BU968" s="4573"/>
      <c r="BV968" s="4160">
        <f t="shared" ref="BV968:BV974" si="543">SUM(BH968:BN968)</f>
        <v>12</v>
      </c>
      <c r="BW968" s="4160">
        <f t="shared" si="519"/>
        <v>0</v>
      </c>
      <c r="BX968" s="4323"/>
      <c r="BY968" s="4323"/>
      <c r="BZ968" s="4323"/>
      <c r="CA968" s="4511"/>
      <c r="CC968" s="4512"/>
      <c r="CD968" s="4511"/>
    </row>
    <row r="969" s="4316" customFormat="1" ht="50" customHeight="1" spans="1:82">
      <c r="A969" s="4500">
        <v>46085</v>
      </c>
      <c r="B969" s="4501" t="s">
        <v>1641</v>
      </c>
      <c r="C969" s="3708" t="s">
        <v>396</v>
      </c>
      <c r="D969" s="4502">
        <v>4500195135</v>
      </c>
      <c r="E969" s="3708" t="s">
        <v>5731</v>
      </c>
      <c r="F969" s="4502" t="s">
        <v>5732</v>
      </c>
      <c r="G969" s="3708" t="s">
        <v>2676</v>
      </c>
      <c r="H969" s="3708" t="s">
        <v>2677</v>
      </c>
      <c r="I969" s="4593">
        <v>12</v>
      </c>
      <c r="J969" s="4154">
        <v>0</v>
      </c>
      <c r="K969" s="4154">
        <v>12</v>
      </c>
      <c r="L969" s="4154">
        <f t="shared" si="507"/>
        <v>1</v>
      </c>
      <c r="M969" s="4503">
        <v>46127</v>
      </c>
      <c r="N969" s="4553">
        <v>46123</v>
      </c>
      <c r="O969" s="4117"/>
      <c r="P969" s="4527" t="s">
        <v>82</v>
      </c>
      <c r="Q969" s="4157">
        <v>12</v>
      </c>
      <c r="R969" s="4157">
        <f t="shared" si="509"/>
        <v>0</v>
      </c>
      <c r="S969" s="4603"/>
      <c r="T969" s="4173" t="s">
        <v>321</v>
      </c>
      <c r="U969" s="3726" t="s">
        <v>5721</v>
      </c>
      <c r="V969" s="3711" t="s">
        <v>1063</v>
      </c>
      <c r="W969" s="3711"/>
      <c r="X969" s="3711" t="s">
        <v>4163</v>
      </c>
      <c r="Y969" s="3711" t="s">
        <v>5689</v>
      </c>
      <c r="Z969" s="4154"/>
      <c r="AA969" s="3680" t="s">
        <v>5722</v>
      </c>
      <c r="AB969" s="4154" t="s">
        <v>369</v>
      </c>
      <c r="AC969" s="4154">
        <v>2.1357</v>
      </c>
      <c r="AD969" s="4154">
        <f t="shared" si="535"/>
        <v>25.6284</v>
      </c>
      <c r="AE969" s="3726"/>
      <c r="AF969" s="4160" t="s">
        <v>2676</v>
      </c>
      <c r="AG969" s="3726" t="s">
        <v>416</v>
      </c>
      <c r="AH969" s="4154"/>
      <c r="AI969" s="3708"/>
      <c r="AJ969" s="4575"/>
      <c r="AK969" s="4154"/>
      <c r="AL969" s="4154"/>
      <c r="AM969" s="3708">
        <f t="shared" si="539"/>
        <v>12</v>
      </c>
      <c r="AN969" s="1048"/>
      <c r="AO969" s="1048"/>
      <c r="AP969" s="4154">
        <f t="shared" si="536"/>
        <v>12</v>
      </c>
      <c r="AQ969" s="1048"/>
      <c r="AR969" s="1040"/>
      <c r="AS969" s="4510"/>
      <c r="AT969" s="1040"/>
      <c r="AU969" s="1048">
        <f t="shared" si="540"/>
        <v>12</v>
      </c>
      <c r="AV969" s="1048"/>
      <c r="AW969" s="4510"/>
      <c r="AX969" s="1048"/>
      <c r="AY969" s="1048"/>
      <c r="AZ969" s="1048"/>
      <c r="BA969" s="1048"/>
      <c r="BB969" s="1048"/>
      <c r="BC969" s="1048"/>
      <c r="BD969" s="1048"/>
      <c r="BE969" s="1048"/>
      <c r="BF969" s="1048" t="s">
        <v>89</v>
      </c>
      <c r="BG969" s="4505"/>
      <c r="BH969" s="4510"/>
      <c r="BI969" s="1048">
        <f t="shared" si="541"/>
        <v>11.8</v>
      </c>
      <c r="BJ969" s="4510"/>
      <c r="BK969" s="4510"/>
      <c r="BL969" s="4510"/>
      <c r="BM969" s="4586"/>
      <c r="BN969" s="1048">
        <f t="shared" si="542"/>
        <v>0.2</v>
      </c>
      <c r="BO969" s="4613"/>
      <c r="BP969" s="4613"/>
      <c r="BQ969" s="4613"/>
      <c r="BR969" s="4612"/>
      <c r="BS969" s="4573"/>
      <c r="BT969" s="4573"/>
      <c r="BU969" s="4573"/>
      <c r="BV969" s="4160">
        <f t="shared" si="543"/>
        <v>12</v>
      </c>
      <c r="BW969" s="4160">
        <f t="shared" si="519"/>
        <v>0</v>
      </c>
      <c r="BX969" s="4323"/>
      <c r="BY969" s="4323"/>
      <c r="BZ969" s="4323"/>
      <c r="CA969" s="4511"/>
      <c r="CC969" s="4512"/>
      <c r="CD969" s="4511"/>
    </row>
    <row r="970" s="4316" customFormat="1" ht="50" customHeight="1" spans="1:82">
      <c r="A970" s="4500">
        <v>46085</v>
      </c>
      <c r="B970" s="4501" t="s">
        <v>1641</v>
      </c>
      <c r="C970" s="3708" t="s">
        <v>396</v>
      </c>
      <c r="D970" s="4502">
        <v>4500195135</v>
      </c>
      <c r="E970" s="3708" t="s">
        <v>5733</v>
      </c>
      <c r="F970" s="4502" t="s">
        <v>5734</v>
      </c>
      <c r="G970" s="3708" t="s">
        <v>2676</v>
      </c>
      <c r="H970" s="3708" t="s">
        <v>2677</v>
      </c>
      <c r="I970" s="4593">
        <v>48</v>
      </c>
      <c r="J970" s="4154">
        <v>0</v>
      </c>
      <c r="K970" s="4154">
        <v>12</v>
      </c>
      <c r="L970" s="4154">
        <f t="shared" si="507"/>
        <v>4</v>
      </c>
      <c r="M970" s="4503">
        <v>46127</v>
      </c>
      <c r="N970" s="4553">
        <v>46123</v>
      </c>
      <c r="O970" s="4117"/>
      <c r="P970" s="4527" t="s">
        <v>82</v>
      </c>
      <c r="Q970" s="4157">
        <v>48</v>
      </c>
      <c r="R970" s="4157">
        <f t="shared" si="509"/>
        <v>0</v>
      </c>
      <c r="S970" s="4603"/>
      <c r="T970" s="4173" t="s">
        <v>321</v>
      </c>
      <c r="U970" s="3726" t="s">
        <v>5721</v>
      </c>
      <c r="V970" s="3711" t="s">
        <v>1063</v>
      </c>
      <c r="W970" s="3711"/>
      <c r="X970" s="3711" t="s">
        <v>4163</v>
      </c>
      <c r="Y970" s="3711" t="s">
        <v>5689</v>
      </c>
      <c r="Z970" s="4154"/>
      <c r="AA970" s="3680" t="s">
        <v>5722</v>
      </c>
      <c r="AB970" s="4154" t="s">
        <v>369</v>
      </c>
      <c r="AC970" s="4154">
        <v>2.1357</v>
      </c>
      <c r="AD970" s="4154">
        <f t="shared" si="535"/>
        <v>102.5136</v>
      </c>
      <c r="AE970" s="3726"/>
      <c r="AF970" s="4160" t="s">
        <v>2676</v>
      </c>
      <c r="AG970" s="3726" t="s">
        <v>416</v>
      </c>
      <c r="AH970" s="4154"/>
      <c r="AI970" s="3708"/>
      <c r="AJ970" s="4575"/>
      <c r="AK970" s="4154"/>
      <c r="AL970" s="4154"/>
      <c r="AM970" s="3708">
        <f t="shared" si="539"/>
        <v>48</v>
      </c>
      <c r="AN970" s="1048"/>
      <c r="AO970" s="1048"/>
      <c r="AP970" s="4154">
        <f t="shared" si="536"/>
        <v>48</v>
      </c>
      <c r="AQ970" s="1048"/>
      <c r="AR970" s="1040"/>
      <c r="AS970" s="4510"/>
      <c r="AT970" s="1040"/>
      <c r="AU970" s="1048">
        <f t="shared" si="540"/>
        <v>48</v>
      </c>
      <c r="AV970" s="1048"/>
      <c r="AW970" s="4510"/>
      <c r="AX970" s="1048"/>
      <c r="AY970" s="1048"/>
      <c r="AZ970" s="1048"/>
      <c r="BA970" s="1048"/>
      <c r="BB970" s="1048"/>
      <c r="BC970" s="1048"/>
      <c r="BD970" s="1048"/>
      <c r="BE970" s="1048"/>
      <c r="BF970" s="1048" t="s">
        <v>89</v>
      </c>
      <c r="BG970" s="4505"/>
      <c r="BH970" s="4510"/>
      <c r="BI970" s="1048">
        <f t="shared" si="541"/>
        <v>47.2</v>
      </c>
      <c r="BJ970" s="4510"/>
      <c r="BK970" s="4510"/>
      <c r="BL970" s="4510"/>
      <c r="BM970" s="4586"/>
      <c r="BN970" s="1048">
        <f t="shared" si="542"/>
        <v>0.8</v>
      </c>
      <c r="BO970" s="4613"/>
      <c r="BP970" s="4613"/>
      <c r="BQ970" s="4613"/>
      <c r="BR970" s="4612"/>
      <c r="BS970" s="4573"/>
      <c r="BT970" s="4573"/>
      <c r="BU970" s="4573"/>
      <c r="BV970" s="4160">
        <f t="shared" si="543"/>
        <v>48</v>
      </c>
      <c r="BW970" s="4160">
        <f t="shared" si="519"/>
        <v>0</v>
      </c>
      <c r="BX970" s="4323"/>
      <c r="BY970" s="4323"/>
      <c r="BZ970" s="4323"/>
      <c r="CA970" s="4511"/>
      <c r="CC970" s="4512"/>
      <c r="CD970" s="4511"/>
    </row>
    <row r="971" s="4316" customFormat="1" ht="50" customHeight="1" spans="1:82">
      <c r="A971" s="4500">
        <v>46085</v>
      </c>
      <c r="B971" s="4501" t="s">
        <v>1641</v>
      </c>
      <c r="C971" s="3708" t="s">
        <v>396</v>
      </c>
      <c r="D971" s="4502">
        <v>4500195135</v>
      </c>
      <c r="E971" s="3708" t="s">
        <v>5735</v>
      </c>
      <c r="F971" s="4502" t="s">
        <v>5736</v>
      </c>
      <c r="G971" s="3708" t="s">
        <v>2676</v>
      </c>
      <c r="H971" s="3708" t="s">
        <v>2677</v>
      </c>
      <c r="I971" s="4593">
        <v>12</v>
      </c>
      <c r="J971" s="4154">
        <v>0</v>
      </c>
      <c r="K971" s="4154">
        <v>12</v>
      </c>
      <c r="L971" s="4154">
        <f t="shared" si="507"/>
        <v>1</v>
      </c>
      <c r="M971" s="4503">
        <v>46127</v>
      </c>
      <c r="N971" s="4553">
        <v>46123</v>
      </c>
      <c r="O971" s="4117"/>
      <c r="P971" s="4527" t="s">
        <v>82</v>
      </c>
      <c r="Q971" s="4157">
        <v>12</v>
      </c>
      <c r="R971" s="4157">
        <f t="shared" si="509"/>
        <v>0</v>
      </c>
      <c r="S971" s="4603"/>
      <c r="T971" s="4173" t="s">
        <v>321</v>
      </c>
      <c r="U971" s="3726" t="s">
        <v>5721</v>
      </c>
      <c r="V971" s="3711" t="s">
        <v>1063</v>
      </c>
      <c r="W971" s="3711"/>
      <c r="X971" s="3711" t="s">
        <v>4163</v>
      </c>
      <c r="Y971" s="3711" t="s">
        <v>5689</v>
      </c>
      <c r="Z971" s="4154"/>
      <c r="AA971" s="3680" t="s">
        <v>5722</v>
      </c>
      <c r="AB971" s="4154" t="s">
        <v>369</v>
      </c>
      <c r="AC971" s="4154">
        <v>2.1357</v>
      </c>
      <c r="AD971" s="4154">
        <f t="shared" si="535"/>
        <v>25.6284</v>
      </c>
      <c r="AE971" s="3726"/>
      <c r="AF971" s="4160" t="s">
        <v>2676</v>
      </c>
      <c r="AG971" s="3726" t="s">
        <v>416</v>
      </c>
      <c r="AH971" s="4154"/>
      <c r="AI971" s="3708"/>
      <c r="AJ971" s="4575"/>
      <c r="AK971" s="4154"/>
      <c r="AL971" s="4154"/>
      <c r="AM971" s="3708">
        <f t="shared" si="539"/>
        <v>12</v>
      </c>
      <c r="AN971" s="1048"/>
      <c r="AO971" s="1048"/>
      <c r="AP971" s="4154">
        <f t="shared" si="536"/>
        <v>12</v>
      </c>
      <c r="AQ971" s="1048"/>
      <c r="AR971" s="1040"/>
      <c r="AS971" s="4510"/>
      <c r="AT971" s="1040"/>
      <c r="AU971" s="1048">
        <f t="shared" si="540"/>
        <v>12</v>
      </c>
      <c r="AV971" s="1048"/>
      <c r="AW971" s="4510"/>
      <c r="AX971" s="1048"/>
      <c r="AY971" s="1048"/>
      <c r="AZ971" s="1048"/>
      <c r="BA971" s="1048"/>
      <c r="BB971" s="1048"/>
      <c r="BC971" s="1048"/>
      <c r="BD971" s="1048"/>
      <c r="BE971" s="1048"/>
      <c r="BF971" s="1048" t="s">
        <v>89</v>
      </c>
      <c r="BG971" s="4505"/>
      <c r="BH971" s="4510"/>
      <c r="BI971" s="1048">
        <f t="shared" si="541"/>
        <v>11.8</v>
      </c>
      <c r="BJ971" s="4510"/>
      <c r="BK971" s="4510"/>
      <c r="BL971" s="4510"/>
      <c r="BM971" s="4586"/>
      <c r="BN971" s="1048">
        <f t="shared" si="542"/>
        <v>0.2</v>
      </c>
      <c r="BO971" s="4613"/>
      <c r="BP971" s="4613"/>
      <c r="BQ971" s="4613"/>
      <c r="BR971" s="4612"/>
      <c r="BS971" s="4573"/>
      <c r="BT971" s="4573"/>
      <c r="BU971" s="4573"/>
      <c r="BV971" s="4160">
        <f t="shared" si="543"/>
        <v>12</v>
      </c>
      <c r="BW971" s="4160">
        <f t="shared" si="519"/>
        <v>0</v>
      </c>
      <c r="BX971" s="4323"/>
      <c r="BY971" s="4323"/>
      <c r="BZ971" s="4323"/>
      <c r="CA971" s="4511"/>
      <c r="CC971" s="4512"/>
      <c r="CD971" s="4511"/>
    </row>
    <row r="972" s="4316" customFormat="1" ht="50" customHeight="1" spans="1:82">
      <c r="A972" s="4500">
        <v>46085</v>
      </c>
      <c r="B972" s="4501" t="s">
        <v>1641</v>
      </c>
      <c r="C972" s="3708" t="s">
        <v>396</v>
      </c>
      <c r="D972" s="4502">
        <v>4500195135</v>
      </c>
      <c r="E972" s="3708" t="s">
        <v>5737</v>
      </c>
      <c r="F972" s="4502" t="s">
        <v>5738</v>
      </c>
      <c r="G972" s="3708" t="s">
        <v>2676</v>
      </c>
      <c r="H972" s="3708" t="s">
        <v>2677</v>
      </c>
      <c r="I972" s="4593">
        <v>12</v>
      </c>
      <c r="J972" s="4154">
        <v>0</v>
      </c>
      <c r="K972" s="4154">
        <v>12</v>
      </c>
      <c r="L972" s="4154">
        <f t="shared" si="507"/>
        <v>1</v>
      </c>
      <c r="M972" s="4503">
        <v>46127</v>
      </c>
      <c r="N972" s="4553">
        <v>46123</v>
      </c>
      <c r="O972" s="4117"/>
      <c r="P972" s="4527" t="s">
        <v>82</v>
      </c>
      <c r="Q972" s="4157">
        <v>12</v>
      </c>
      <c r="R972" s="4157">
        <f t="shared" si="509"/>
        <v>0</v>
      </c>
      <c r="S972" s="4603"/>
      <c r="T972" s="4173" t="s">
        <v>321</v>
      </c>
      <c r="U972" s="3726" t="s">
        <v>5721</v>
      </c>
      <c r="V972" s="3711" t="s">
        <v>1063</v>
      </c>
      <c r="W972" s="3711"/>
      <c r="X972" s="3711" t="s">
        <v>4163</v>
      </c>
      <c r="Y972" s="3711" t="s">
        <v>5689</v>
      </c>
      <c r="Z972" s="4154"/>
      <c r="AA972" s="3680" t="s">
        <v>5722</v>
      </c>
      <c r="AB972" s="4154" t="s">
        <v>369</v>
      </c>
      <c r="AC972" s="4154">
        <v>2.1357</v>
      </c>
      <c r="AD972" s="4154">
        <f t="shared" si="535"/>
        <v>25.6284</v>
      </c>
      <c r="AE972" s="3726"/>
      <c r="AF972" s="4160" t="s">
        <v>2676</v>
      </c>
      <c r="AG972" s="3726" t="s">
        <v>416</v>
      </c>
      <c r="AH972" s="4154"/>
      <c r="AI972" s="3708"/>
      <c r="AJ972" s="4575"/>
      <c r="AK972" s="4154"/>
      <c r="AL972" s="4154"/>
      <c r="AM972" s="3708">
        <f t="shared" si="539"/>
        <v>12</v>
      </c>
      <c r="AN972" s="1048"/>
      <c r="AO972" s="1048"/>
      <c r="AP972" s="4154">
        <f t="shared" si="536"/>
        <v>12</v>
      </c>
      <c r="AQ972" s="1048"/>
      <c r="AR972" s="1040"/>
      <c r="AS972" s="4510"/>
      <c r="AT972" s="1040"/>
      <c r="AU972" s="1048">
        <f t="shared" si="540"/>
        <v>12</v>
      </c>
      <c r="AV972" s="1048"/>
      <c r="AW972" s="4510"/>
      <c r="AX972" s="1048"/>
      <c r="AY972" s="1048"/>
      <c r="AZ972" s="1048"/>
      <c r="BA972" s="1048"/>
      <c r="BB972" s="1048"/>
      <c r="BC972" s="1048"/>
      <c r="BD972" s="1048"/>
      <c r="BE972" s="1048"/>
      <c r="BF972" s="1048" t="s">
        <v>89</v>
      </c>
      <c r="BG972" s="4505"/>
      <c r="BH972" s="4510"/>
      <c r="BI972" s="1048">
        <f t="shared" si="541"/>
        <v>11.8</v>
      </c>
      <c r="BJ972" s="4510"/>
      <c r="BK972" s="4510"/>
      <c r="BL972" s="4510"/>
      <c r="BM972" s="4586"/>
      <c r="BN972" s="1048">
        <f t="shared" si="542"/>
        <v>0.2</v>
      </c>
      <c r="BO972" s="4613"/>
      <c r="BP972" s="4613"/>
      <c r="BQ972" s="4613"/>
      <c r="BR972" s="4612"/>
      <c r="BS972" s="4573"/>
      <c r="BT972" s="4573"/>
      <c r="BU972" s="4573"/>
      <c r="BV972" s="4160">
        <f t="shared" si="543"/>
        <v>12</v>
      </c>
      <c r="BW972" s="4160">
        <f t="shared" si="519"/>
        <v>0</v>
      </c>
      <c r="BX972" s="4323"/>
      <c r="BY972" s="4323"/>
      <c r="BZ972" s="4323"/>
      <c r="CA972" s="4511"/>
      <c r="CC972" s="4512"/>
      <c r="CD972" s="4511"/>
    </row>
    <row r="973" s="4316" customFormat="1" ht="50" customHeight="1" spans="1:82">
      <c r="A973" s="4500">
        <v>46085</v>
      </c>
      <c r="B973" s="4501" t="s">
        <v>1641</v>
      </c>
      <c r="C973" s="3708" t="s">
        <v>396</v>
      </c>
      <c r="D973" s="4502">
        <v>4500195135</v>
      </c>
      <c r="E973" s="3708" t="s">
        <v>5739</v>
      </c>
      <c r="F973" s="4502" t="s">
        <v>5740</v>
      </c>
      <c r="G973" s="3708" t="s">
        <v>2676</v>
      </c>
      <c r="H973" s="3708" t="s">
        <v>2677</v>
      </c>
      <c r="I973" s="4593">
        <v>12</v>
      </c>
      <c r="J973" s="4154">
        <v>0</v>
      </c>
      <c r="K973" s="4154">
        <v>12</v>
      </c>
      <c r="L973" s="4154">
        <f t="shared" si="507"/>
        <v>1</v>
      </c>
      <c r="M973" s="4503">
        <v>46127</v>
      </c>
      <c r="N973" s="4553">
        <v>46123</v>
      </c>
      <c r="O973" s="4117"/>
      <c r="P973" s="4527" t="s">
        <v>82</v>
      </c>
      <c r="Q973" s="4157">
        <v>12</v>
      </c>
      <c r="R973" s="4157">
        <f t="shared" si="509"/>
        <v>0</v>
      </c>
      <c r="S973" s="4603"/>
      <c r="T973" s="4173" t="s">
        <v>321</v>
      </c>
      <c r="U973" s="3726" t="s">
        <v>5721</v>
      </c>
      <c r="V973" s="3711" t="s">
        <v>1063</v>
      </c>
      <c r="W973" s="3711"/>
      <c r="X973" s="3711" t="s">
        <v>4163</v>
      </c>
      <c r="Y973" s="3711" t="s">
        <v>5689</v>
      </c>
      <c r="Z973" s="4154"/>
      <c r="AA973" s="3680" t="s">
        <v>5722</v>
      </c>
      <c r="AB973" s="4154" t="s">
        <v>369</v>
      </c>
      <c r="AC973" s="4154">
        <v>2.1357</v>
      </c>
      <c r="AD973" s="4154">
        <f t="shared" si="535"/>
        <v>25.6284</v>
      </c>
      <c r="AE973" s="3726"/>
      <c r="AF973" s="4160" t="s">
        <v>2676</v>
      </c>
      <c r="AG973" s="3726" t="s">
        <v>416</v>
      </c>
      <c r="AH973" s="4154"/>
      <c r="AI973" s="3708"/>
      <c r="AJ973" s="4575"/>
      <c r="AK973" s="4154"/>
      <c r="AL973" s="4154"/>
      <c r="AM973" s="3708">
        <f t="shared" si="539"/>
        <v>12</v>
      </c>
      <c r="AN973" s="1048"/>
      <c r="AO973" s="1048"/>
      <c r="AP973" s="4154">
        <f t="shared" si="536"/>
        <v>12</v>
      </c>
      <c r="AQ973" s="1048"/>
      <c r="AR973" s="1040"/>
      <c r="AS973" s="4510"/>
      <c r="AT973" s="1040"/>
      <c r="AU973" s="1048">
        <f t="shared" si="540"/>
        <v>12</v>
      </c>
      <c r="AV973" s="1048"/>
      <c r="AW973" s="4510"/>
      <c r="AX973" s="1048"/>
      <c r="AY973" s="1048"/>
      <c r="AZ973" s="1048"/>
      <c r="BA973" s="1048"/>
      <c r="BB973" s="1048"/>
      <c r="BC973" s="1048"/>
      <c r="BD973" s="1048"/>
      <c r="BE973" s="1048"/>
      <c r="BF973" s="1048" t="s">
        <v>89</v>
      </c>
      <c r="BG973" s="4505"/>
      <c r="BH973" s="4510"/>
      <c r="BI973" s="1048">
        <f t="shared" si="541"/>
        <v>11.8</v>
      </c>
      <c r="BJ973" s="4510"/>
      <c r="BK973" s="4510"/>
      <c r="BL973" s="4510"/>
      <c r="BM973" s="4586"/>
      <c r="BN973" s="1048">
        <f t="shared" si="542"/>
        <v>0.2</v>
      </c>
      <c r="BO973" s="4613"/>
      <c r="BP973" s="4613"/>
      <c r="BQ973" s="4613"/>
      <c r="BR973" s="4612"/>
      <c r="BS973" s="4573"/>
      <c r="BT973" s="4573"/>
      <c r="BU973" s="4573"/>
      <c r="BV973" s="4160">
        <f t="shared" si="543"/>
        <v>12</v>
      </c>
      <c r="BW973" s="4160">
        <f t="shared" si="519"/>
        <v>0</v>
      </c>
      <c r="BX973" s="4323"/>
      <c r="BY973" s="4323"/>
      <c r="BZ973" s="4323"/>
      <c r="CA973" s="4511"/>
      <c r="CC973" s="4512"/>
      <c r="CD973" s="4511"/>
    </row>
    <row r="974" s="4316" customFormat="1" ht="50" customHeight="1" spans="1:82">
      <c r="A974" s="4500">
        <v>46085</v>
      </c>
      <c r="B974" s="4501" t="s">
        <v>1641</v>
      </c>
      <c r="C974" s="3708" t="s">
        <v>396</v>
      </c>
      <c r="D974" s="4502">
        <v>4500195135</v>
      </c>
      <c r="E974" s="3708" t="s">
        <v>5741</v>
      </c>
      <c r="F974" s="4502" t="s">
        <v>5742</v>
      </c>
      <c r="G974" s="3708" t="s">
        <v>2676</v>
      </c>
      <c r="H974" s="3708" t="s">
        <v>2677</v>
      </c>
      <c r="I974" s="4593">
        <v>12</v>
      </c>
      <c r="J974" s="4154">
        <v>0</v>
      </c>
      <c r="K974" s="4154">
        <v>12</v>
      </c>
      <c r="L974" s="4154">
        <f t="shared" si="507"/>
        <v>1</v>
      </c>
      <c r="M974" s="4503">
        <v>46127</v>
      </c>
      <c r="N974" s="4553">
        <v>46123</v>
      </c>
      <c r="O974" s="4117"/>
      <c r="P974" s="4527" t="s">
        <v>82</v>
      </c>
      <c r="Q974" s="4157">
        <v>12</v>
      </c>
      <c r="R974" s="4157">
        <f t="shared" si="509"/>
        <v>0</v>
      </c>
      <c r="S974" s="4604"/>
      <c r="T974" s="4173" t="s">
        <v>321</v>
      </c>
      <c r="U974" s="3726" t="s">
        <v>5721</v>
      </c>
      <c r="V974" s="3711" t="s">
        <v>1063</v>
      </c>
      <c r="W974" s="3711"/>
      <c r="X974" s="3711" t="s">
        <v>4163</v>
      </c>
      <c r="Y974" s="3711" t="s">
        <v>5689</v>
      </c>
      <c r="Z974" s="4154"/>
      <c r="AA974" s="3680" t="s">
        <v>5722</v>
      </c>
      <c r="AB974" s="4154" t="s">
        <v>369</v>
      </c>
      <c r="AC974" s="4154">
        <v>2.1357</v>
      </c>
      <c r="AD974" s="4154">
        <f t="shared" si="535"/>
        <v>25.6284</v>
      </c>
      <c r="AE974" s="3726"/>
      <c r="AF974" s="4160" t="s">
        <v>2676</v>
      </c>
      <c r="AG974" s="3726" t="s">
        <v>416</v>
      </c>
      <c r="AH974" s="4154"/>
      <c r="AI974" s="3708"/>
      <c r="AJ974" s="4575"/>
      <c r="AK974" s="4154"/>
      <c r="AL974" s="4154"/>
      <c r="AM974" s="3708">
        <f t="shared" si="539"/>
        <v>12</v>
      </c>
      <c r="AN974" s="1048"/>
      <c r="AO974" s="1048"/>
      <c r="AP974" s="4154">
        <f t="shared" si="536"/>
        <v>12</v>
      </c>
      <c r="AQ974" s="1048"/>
      <c r="AR974" s="1040"/>
      <c r="AS974" s="4510"/>
      <c r="AT974" s="1040"/>
      <c r="AU974" s="1048">
        <f t="shared" si="540"/>
        <v>12</v>
      </c>
      <c r="AV974" s="1048"/>
      <c r="AW974" s="4510"/>
      <c r="AX974" s="1048"/>
      <c r="AY974" s="1048"/>
      <c r="AZ974" s="1048"/>
      <c r="BA974" s="1048"/>
      <c r="BB974" s="1048"/>
      <c r="BC974" s="1048"/>
      <c r="BD974" s="1048"/>
      <c r="BE974" s="1048"/>
      <c r="BF974" s="1048" t="s">
        <v>89</v>
      </c>
      <c r="BG974" s="4505"/>
      <c r="BH974" s="4510"/>
      <c r="BI974" s="1048">
        <f t="shared" si="541"/>
        <v>11.8</v>
      </c>
      <c r="BJ974" s="4510"/>
      <c r="BK974" s="4510"/>
      <c r="BL974" s="4510"/>
      <c r="BM974" s="4586"/>
      <c r="BN974" s="1048">
        <f t="shared" si="542"/>
        <v>0.2</v>
      </c>
      <c r="BO974" s="4613"/>
      <c r="BP974" s="4613"/>
      <c r="BQ974" s="4613"/>
      <c r="BR974" s="4612"/>
      <c r="BS974" s="4573"/>
      <c r="BT974" s="4573"/>
      <c r="BU974" s="4573"/>
      <c r="BV974" s="4160">
        <f t="shared" si="543"/>
        <v>12</v>
      </c>
      <c r="BW974" s="4160">
        <f t="shared" si="519"/>
        <v>0</v>
      </c>
      <c r="BX974" s="4323"/>
      <c r="BY974" s="4323"/>
      <c r="BZ974" s="4323"/>
      <c r="CA974" s="4511"/>
      <c r="CC974" s="4512"/>
      <c r="CD974" s="4511"/>
    </row>
    <row r="975" s="4316" customFormat="1" ht="50" customHeight="1" spans="1:82">
      <c r="A975" s="4500">
        <v>46085</v>
      </c>
      <c r="B975" s="4501" t="s">
        <v>4747</v>
      </c>
      <c r="C975" s="3708" t="s">
        <v>91</v>
      </c>
      <c r="D975" s="4502">
        <v>4500195041</v>
      </c>
      <c r="E975" s="3708">
        <v>4562506790</v>
      </c>
      <c r="F975" s="4502" t="s">
        <v>5743</v>
      </c>
      <c r="G975" s="3708" t="s">
        <v>2719</v>
      </c>
      <c r="H975" s="4154" t="s">
        <v>2591</v>
      </c>
      <c r="I975" s="4593">
        <v>834</v>
      </c>
      <c r="J975" s="4154">
        <v>0</v>
      </c>
      <c r="K975" s="4154">
        <v>6</v>
      </c>
      <c r="L975" s="4154">
        <f t="shared" si="507"/>
        <v>139</v>
      </c>
      <c r="M975" s="4503">
        <v>46126</v>
      </c>
      <c r="N975" s="4553">
        <v>46122</v>
      </c>
      <c r="O975" s="4117"/>
      <c r="P975" s="4527" t="s">
        <v>82</v>
      </c>
      <c r="Q975" s="4157">
        <v>834</v>
      </c>
      <c r="R975" s="4157">
        <f t="shared" si="509"/>
        <v>0</v>
      </c>
      <c r="S975" s="4602" t="s">
        <v>2297</v>
      </c>
      <c r="T975" s="4173" t="s">
        <v>321</v>
      </c>
      <c r="U975" s="3726" t="s">
        <v>5744</v>
      </c>
      <c r="V975" s="3711" t="s">
        <v>1063</v>
      </c>
      <c r="W975" s="3711"/>
      <c r="X975" s="3711" t="s">
        <v>5745</v>
      </c>
      <c r="Y975" s="3711"/>
      <c r="Z975" s="4154"/>
      <c r="AA975" s="3680" t="s">
        <v>5746</v>
      </c>
      <c r="AB975" s="4154" t="s">
        <v>3262</v>
      </c>
      <c r="AC975" s="4154">
        <v>1.2927</v>
      </c>
      <c r="AD975" s="4154">
        <f t="shared" si="535"/>
        <v>1078.1118</v>
      </c>
      <c r="AE975" s="3726"/>
      <c r="AF975" s="3708" t="s">
        <v>2719</v>
      </c>
      <c r="AG975" s="3726" t="s">
        <v>416</v>
      </c>
      <c r="AH975" s="4154"/>
      <c r="AI975" s="3708"/>
      <c r="AJ975" s="4575">
        <f t="shared" ref="AJ975:AJ991" si="544">I975</f>
        <v>834</v>
      </c>
      <c r="AK975" s="4154"/>
      <c r="AL975" s="4154"/>
      <c r="AM975" s="3708"/>
      <c r="AN975" s="1048"/>
      <c r="AO975" s="1048"/>
      <c r="AP975" s="4154">
        <f t="shared" si="536"/>
        <v>834</v>
      </c>
      <c r="AQ975" s="1048"/>
      <c r="AR975" s="1040"/>
      <c r="AS975" s="4510">
        <f t="shared" ref="AS975:AS991" si="545">I975</f>
        <v>834</v>
      </c>
      <c r="AT975" s="1040"/>
      <c r="AU975" s="1048"/>
      <c r="AV975" s="1048"/>
      <c r="AW975" s="4510"/>
      <c r="AX975" s="1048"/>
      <c r="AY975" s="1048"/>
      <c r="AZ975" s="1048"/>
      <c r="BA975" s="1048"/>
      <c r="BB975" s="1048"/>
      <c r="BC975" s="1048"/>
      <c r="BD975" s="1048"/>
      <c r="BE975" s="1048"/>
      <c r="BF975" s="1048" t="s">
        <v>89</v>
      </c>
      <c r="BG975" s="4505"/>
      <c r="BH975" s="4510">
        <f t="shared" ref="BH975:BH983" si="546">I975/60*10</f>
        <v>139</v>
      </c>
      <c r="BI975" s="4510">
        <f>I975/60*6</f>
        <v>83.4</v>
      </c>
      <c r="BJ975" s="4510">
        <f t="shared" ref="BJ975:BJ983" si="547">I975/60*10</f>
        <v>139</v>
      </c>
      <c r="BK975" s="4510">
        <f>I975/60*7</f>
        <v>97.3</v>
      </c>
      <c r="BL975" s="4510">
        <f>I975/60*8</f>
        <v>111.2</v>
      </c>
      <c r="BM975" s="4586">
        <f t="shared" ref="BM975:BM983" si="548">I975/60*8</f>
        <v>111.2</v>
      </c>
      <c r="BN975" s="4587">
        <f t="shared" ref="BN975:BN990" si="549">I975/60*11</f>
        <v>152.9</v>
      </c>
      <c r="BO975" s="4571"/>
      <c r="BP975" s="4571"/>
      <c r="BQ975" s="4571"/>
      <c r="BR975" s="4612"/>
      <c r="BS975" s="4573"/>
      <c r="BT975" s="4573"/>
      <c r="BU975" s="4573"/>
      <c r="BV975" s="4160">
        <f t="shared" ref="BV975:BV991" si="550">SUM(BH975:BU975)</f>
        <v>834</v>
      </c>
      <c r="BW975" s="4160">
        <f t="shared" si="519"/>
        <v>0</v>
      </c>
      <c r="BX975" s="4323"/>
      <c r="BY975" s="4323"/>
      <c r="BZ975" s="4323"/>
      <c r="CA975" s="4511"/>
      <c r="CC975" s="4512"/>
      <c r="CD975" s="4511"/>
    </row>
    <row r="976" s="4316" customFormat="1" ht="50" customHeight="1" spans="1:82">
      <c r="A976" s="4500">
        <v>46085</v>
      </c>
      <c r="B976" s="4501" t="s">
        <v>4747</v>
      </c>
      <c r="C976" s="3708" t="s">
        <v>91</v>
      </c>
      <c r="D976" s="4502">
        <v>4500195041</v>
      </c>
      <c r="E976" s="3708">
        <v>4562506761</v>
      </c>
      <c r="F976" s="4502" t="s">
        <v>5747</v>
      </c>
      <c r="G976" s="3708" t="s">
        <v>2719</v>
      </c>
      <c r="H976" s="4154" t="s">
        <v>2591</v>
      </c>
      <c r="I976" s="4593">
        <v>864</v>
      </c>
      <c r="J976" s="4154">
        <v>0</v>
      </c>
      <c r="K976" s="4154">
        <v>6</v>
      </c>
      <c r="L976" s="4154">
        <f t="shared" si="507"/>
        <v>144</v>
      </c>
      <c r="M976" s="4503">
        <v>46126</v>
      </c>
      <c r="N976" s="4553">
        <v>46122</v>
      </c>
      <c r="O976" s="4117"/>
      <c r="P976" s="4527" t="s">
        <v>82</v>
      </c>
      <c r="Q976" s="4157">
        <v>864</v>
      </c>
      <c r="R976" s="4157">
        <f t="shared" si="509"/>
        <v>0</v>
      </c>
      <c r="S976" s="4603"/>
      <c r="T976" s="4173" t="s">
        <v>321</v>
      </c>
      <c r="U976" s="3726" t="s">
        <v>5744</v>
      </c>
      <c r="V976" s="3711" t="s">
        <v>1063</v>
      </c>
      <c r="W976" s="3711"/>
      <c r="X976" s="3711" t="s">
        <v>5745</v>
      </c>
      <c r="Y976" s="3711"/>
      <c r="Z976" s="4154"/>
      <c r="AA976" s="3680" t="s">
        <v>5746</v>
      </c>
      <c r="AB976" s="4154" t="s">
        <v>3262</v>
      </c>
      <c r="AC976" s="4154">
        <v>1.2624</v>
      </c>
      <c r="AD976" s="4154">
        <f t="shared" si="535"/>
        <v>1090.7136</v>
      </c>
      <c r="AE976" s="3726"/>
      <c r="AF976" s="3708" t="s">
        <v>2719</v>
      </c>
      <c r="AG976" s="3726" t="s">
        <v>416</v>
      </c>
      <c r="AH976" s="4154"/>
      <c r="AI976" s="3708"/>
      <c r="AJ976" s="4575">
        <f t="shared" si="544"/>
        <v>864</v>
      </c>
      <c r="AK976" s="4154"/>
      <c r="AL976" s="4154"/>
      <c r="AM976" s="3708"/>
      <c r="AN976" s="1048"/>
      <c r="AO976" s="1048"/>
      <c r="AP976" s="4154">
        <f t="shared" si="536"/>
        <v>864</v>
      </c>
      <c r="AQ976" s="1048"/>
      <c r="AR976" s="1040"/>
      <c r="AS976" s="4510">
        <f t="shared" si="545"/>
        <v>864</v>
      </c>
      <c r="AT976" s="1040"/>
      <c r="AU976" s="1048"/>
      <c r="AV976" s="1048"/>
      <c r="AW976" s="4510"/>
      <c r="AX976" s="1048"/>
      <c r="AY976" s="1048"/>
      <c r="AZ976" s="1048"/>
      <c r="BA976" s="1048"/>
      <c r="BB976" s="1048"/>
      <c r="BC976" s="1048"/>
      <c r="BD976" s="1048"/>
      <c r="BE976" s="1048"/>
      <c r="BF976" s="1048" t="s">
        <v>89</v>
      </c>
      <c r="BG976" s="4505"/>
      <c r="BH976" s="4510">
        <f t="shared" si="546"/>
        <v>144</v>
      </c>
      <c r="BI976" s="4510">
        <f t="shared" ref="BI976:BI983" si="551">I976/60*6</f>
        <v>86.4</v>
      </c>
      <c r="BJ976" s="4510">
        <f t="shared" si="547"/>
        <v>144</v>
      </c>
      <c r="BK976" s="4510">
        <f t="shared" ref="BK976:BK983" si="552">I976/60*7</f>
        <v>100.8</v>
      </c>
      <c r="BL976" s="4510">
        <f t="shared" ref="BL976:BL983" si="553">I976/60*8</f>
        <v>115.2</v>
      </c>
      <c r="BM976" s="4586">
        <f t="shared" si="548"/>
        <v>115.2</v>
      </c>
      <c r="BN976" s="4587">
        <f t="shared" si="549"/>
        <v>158.4</v>
      </c>
      <c r="BO976" s="4571"/>
      <c r="BP976" s="4571"/>
      <c r="BQ976" s="4571"/>
      <c r="BR976" s="4612"/>
      <c r="BS976" s="4573"/>
      <c r="BT976" s="4573"/>
      <c r="BU976" s="4573"/>
      <c r="BV976" s="4160">
        <f t="shared" si="550"/>
        <v>864</v>
      </c>
      <c r="BW976" s="4160">
        <f t="shared" si="519"/>
        <v>0</v>
      </c>
      <c r="BX976" s="4323"/>
      <c r="BY976" s="4323"/>
      <c r="BZ976" s="4323"/>
      <c r="CA976" s="4511"/>
      <c r="CC976" s="4512"/>
      <c r="CD976" s="4511"/>
    </row>
    <row r="977" s="4316" customFormat="1" ht="50" customHeight="1" spans="1:82 16328:16384">
      <c r="A977" s="4500">
        <v>46085</v>
      </c>
      <c r="B977" s="4501" t="s">
        <v>4747</v>
      </c>
      <c r="C977" s="3708" t="s">
        <v>91</v>
      </c>
      <c r="D977" s="4502">
        <v>4500195041</v>
      </c>
      <c r="E977" s="3708">
        <v>4562506709</v>
      </c>
      <c r="F977" s="4502" t="s">
        <v>5748</v>
      </c>
      <c r="G977" s="3708" t="s">
        <v>2719</v>
      </c>
      <c r="H977" s="4154" t="s">
        <v>2591</v>
      </c>
      <c r="I977" s="4593">
        <v>2412</v>
      </c>
      <c r="J977" s="4154">
        <v>0</v>
      </c>
      <c r="K977" s="4154">
        <v>6</v>
      </c>
      <c r="L977" s="4154">
        <f t="shared" si="507"/>
        <v>402</v>
      </c>
      <c r="M977" s="4503">
        <v>46126</v>
      </c>
      <c r="N977" s="4553">
        <v>46122</v>
      </c>
      <c r="O977" s="4117"/>
      <c r="P977" s="4527" t="s">
        <v>82</v>
      </c>
      <c r="Q977" s="4157">
        <f>1074+1338</f>
        <v>2412</v>
      </c>
      <c r="R977" s="4157">
        <f t="shared" si="509"/>
        <v>0</v>
      </c>
      <c r="S977" s="4603"/>
      <c r="T977" s="4173" t="s">
        <v>321</v>
      </c>
      <c r="U977" s="3726" t="s">
        <v>5744</v>
      </c>
      <c r="V977" s="3711" t="s">
        <v>1063</v>
      </c>
      <c r="W977" s="3711"/>
      <c r="X977" s="3711" t="s">
        <v>5745</v>
      </c>
      <c r="Y977" s="3711"/>
      <c r="Z977" s="4154"/>
      <c r="AA977" s="3680" t="s">
        <v>5746</v>
      </c>
      <c r="AB977" s="4154" t="s">
        <v>3262</v>
      </c>
      <c r="AC977" s="4154">
        <v>1.2596</v>
      </c>
      <c r="AD977" s="4154">
        <f t="shared" si="535"/>
        <v>3038.1552</v>
      </c>
      <c r="AE977" s="3726"/>
      <c r="AF977" s="3708" t="s">
        <v>2719</v>
      </c>
      <c r="AG977" s="3726" t="s">
        <v>416</v>
      </c>
      <c r="AH977" s="4154"/>
      <c r="AI977" s="3708"/>
      <c r="AJ977" s="4575">
        <f t="shared" si="544"/>
        <v>2412</v>
      </c>
      <c r="AK977" s="4154"/>
      <c r="AL977" s="4154"/>
      <c r="AM977" s="3708"/>
      <c r="AN977" s="1048"/>
      <c r="AO977" s="1048"/>
      <c r="AP977" s="4154">
        <f t="shared" si="536"/>
        <v>2412</v>
      </c>
      <c r="AQ977" s="1048"/>
      <c r="AR977" s="1040"/>
      <c r="AS977" s="4510">
        <f t="shared" si="545"/>
        <v>2412</v>
      </c>
      <c r="AT977" s="1040"/>
      <c r="AU977" s="1048"/>
      <c r="AV977" s="1048"/>
      <c r="AW977" s="4510"/>
      <c r="AX977" s="1048"/>
      <c r="AY977" s="1048"/>
      <c r="AZ977" s="1048"/>
      <c r="BA977" s="1048"/>
      <c r="BB977" s="1048"/>
      <c r="BC977" s="1048"/>
      <c r="BD977" s="1048"/>
      <c r="BE977" s="1048"/>
      <c r="BF977" s="1048" t="s">
        <v>89</v>
      </c>
      <c r="BG977" s="4505"/>
      <c r="BH977" s="4510">
        <f t="shared" si="546"/>
        <v>402</v>
      </c>
      <c r="BI977" s="4510">
        <f t="shared" si="551"/>
        <v>241.2</v>
      </c>
      <c r="BJ977" s="4510">
        <f t="shared" si="547"/>
        <v>402</v>
      </c>
      <c r="BK977" s="4510">
        <f t="shared" si="552"/>
        <v>281.4</v>
      </c>
      <c r="BL977" s="4510">
        <f t="shared" si="553"/>
        <v>321.6</v>
      </c>
      <c r="BM977" s="4586">
        <f t="shared" si="548"/>
        <v>321.6</v>
      </c>
      <c r="BN977" s="4587">
        <f t="shared" si="549"/>
        <v>442.2</v>
      </c>
      <c r="BO977" s="4571"/>
      <c r="BP977" s="4571"/>
      <c r="BQ977" s="4571"/>
      <c r="BR977" s="4612"/>
      <c r="BS977" s="4573"/>
      <c r="BT977" s="4573"/>
      <c r="BU977" s="4573"/>
      <c r="BV977" s="4160">
        <f t="shared" si="550"/>
        <v>2412</v>
      </c>
      <c r="BW977" s="4160">
        <f t="shared" si="519"/>
        <v>0</v>
      </c>
      <c r="BX977" s="4323"/>
      <c r="BY977" s="4323"/>
      <c r="BZ977" s="4323"/>
      <c r="CA977" s="4511"/>
      <c r="CC977" s="4512"/>
      <c r="CD977" s="4511"/>
    </row>
    <row r="978" s="4316" customFormat="1" ht="50" customHeight="1" spans="1:82 16328:16384">
      <c r="A978" s="4500">
        <v>46085</v>
      </c>
      <c r="B978" s="4501" t="s">
        <v>4747</v>
      </c>
      <c r="C978" s="3708" t="s">
        <v>91</v>
      </c>
      <c r="D978" s="4502">
        <v>4500195041</v>
      </c>
      <c r="E978" s="3708">
        <v>4562506831</v>
      </c>
      <c r="F978" s="4502" t="s">
        <v>5749</v>
      </c>
      <c r="G978" s="3708" t="s">
        <v>2719</v>
      </c>
      <c r="H978" s="4154" t="s">
        <v>2591</v>
      </c>
      <c r="I978" s="4593">
        <v>2016</v>
      </c>
      <c r="J978" s="4154">
        <v>0</v>
      </c>
      <c r="K978" s="4154">
        <v>6</v>
      </c>
      <c r="L978" s="4154">
        <f t="shared" si="507"/>
        <v>336</v>
      </c>
      <c r="M978" s="4503">
        <v>46126</v>
      </c>
      <c r="N978" s="4553">
        <v>46122</v>
      </c>
      <c r="O978" s="4117"/>
      <c r="P978" s="4527" t="s">
        <v>82</v>
      </c>
      <c r="Q978" s="4157">
        <v>2016</v>
      </c>
      <c r="R978" s="4157">
        <f t="shared" si="509"/>
        <v>0</v>
      </c>
      <c r="S978" s="4603"/>
      <c r="T978" s="4173" t="s">
        <v>321</v>
      </c>
      <c r="U978" s="3726" t="s">
        <v>5744</v>
      </c>
      <c r="V978" s="3711" t="s">
        <v>1063</v>
      </c>
      <c r="W978" s="3711"/>
      <c r="X978" s="3711" t="s">
        <v>5745</v>
      </c>
      <c r="Y978" s="3711"/>
      <c r="Z978" s="4154"/>
      <c r="AA978" s="3680" t="s">
        <v>5746</v>
      </c>
      <c r="AB978" s="4154" t="s">
        <v>3262</v>
      </c>
      <c r="AC978" s="4154">
        <v>1.2596</v>
      </c>
      <c r="AD978" s="4154">
        <f t="shared" si="535"/>
        <v>2539.3536</v>
      </c>
      <c r="AE978" s="3726"/>
      <c r="AF978" s="3708" t="s">
        <v>2719</v>
      </c>
      <c r="AG978" s="3726" t="s">
        <v>416</v>
      </c>
      <c r="AH978" s="4154"/>
      <c r="AI978" s="3708"/>
      <c r="AJ978" s="4575">
        <f t="shared" si="544"/>
        <v>2016</v>
      </c>
      <c r="AK978" s="4154"/>
      <c r="AL978" s="4154"/>
      <c r="AM978" s="3708"/>
      <c r="AN978" s="1048"/>
      <c r="AO978" s="1048"/>
      <c r="AP978" s="4154">
        <f t="shared" si="536"/>
        <v>2016</v>
      </c>
      <c r="AQ978" s="1048"/>
      <c r="AR978" s="1040"/>
      <c r="AS978" s="4510">
        <f t="shared" si="545"/>
        <v>2016</v>
      </c>
      <c r="AT978" s="1040"/>
      <c r="AU978" s="1048"/>
      <c r="AV978" s="1048"/>
      <c r="AW978" s="4510"/>
      <c r="AX978" s="1048"/>
      <c r="AY978" s="1048"/>
      <c r="AZ978" s="1048"/>
      <c r="BA978" s="1048"/>
      <c r="BB978" s="1048"/>
      <c r="BC978" s="1048"/>
      <c r="BD978" s="1048"/>
      <c r="BE978" s="1048"/>
      <c r="BF978" s="1048" t="s">
        <v>89</v>
      </c>
      <c r="BG978" s="4505"/>
      <c r="BH978" s="4510">
        <f t="shared" si="546"/>
        <v>336</v>
      </c>
      <c r="BI978" s="4510">
        <f t="shared" si="551"/>
        <v>201.6</v>
      </c>
      <c r="BJ978" s="4510">
        <f t="shared" si="547"/>
        <v>336</v>
      </c>
      <c r="BK978" s="4510">
        <f t="shared" si="552"/>
        <v>235.2</v>
      </c>
      <c r="BL978" s="4510">
        <f t="shared" si="553"/>
        <v>268.8</v>
      </c>
      <c r="BM978" s="4586">
        <f t="shared" si="548"/>
        <v>268.8</v>
      </c>
      <c r="BN978" s="4587">
        <f t="shared" si="549"/>
        <v>369.6</v>
      </c>
      <c r="BO978" s="4571"/>
      <c r="BP978" s="4571"/>
      <c r="BQ978" s="4571"/>
      <c r="BR978" s="4612"/>
      <c r="BS978" s="4573"/>
      <c r="BT978" s="4573"/>
      <c r="BU978" s="4573"/>
      <c r="BV978" s="4160">
        <f t="shared" si="550"/>
        <v>2016</v>
      </c>
      <c r="BW978" s="4160">
        <f t="shared" si="519"/>
        <v>0</v>
      </c>
      <c r="BX978" s="4323"/>
      <c r="BY978" s="4323"/>
      <c r="BZ978" s="4323"/>
      <c r="CA978" s="4511"/>
      <c r="CC978" s="4512"/>
      <c r="CD978" s="4511"/>
    </row>
    <row r="979" s="4316" customFormat="1" ht="50" customHeight="1" spans="1:82 16328:16384">
      <c r="A979" s="4500">
        <v>46085</v>
      </c>
      <c r="B979" s="4501" t="s">
        <v>4747</v>
      </c>
      <c r="C979" s="3708" t="s">
        <v>91</v>
      </c>
      <c r="D979" s="4502">
        <v>4500195041</v>
      </c>
      <c r="E979" s="3708">
        <v>4562506704</v>
      </c>
      <c r="F979" s="4502" t="s">
        <v>5750</v>
      </c>
      <c r="G979" s="3708" t="s">
        <v>2719</v>
      </c>
      <c r="H979" s="4154" t="s">
        <v>2591</v>
      </c>
      <c r="I979" s="4593">
        <v>444</v>
      </c>
      <c r="J979" s="4154">
        <v>0</v>
      </c>
      <c r="K979" s="4154">
        <v>6</v>
      </c>
      <c r="L979" s="4154">
        <f t="shared" si="507"/>
        <v>74</v>
      </c>
      <c r="M979" s="4503">
        <v>46126</v>
      </c>
      <c r="N979" s="4553">
        <v>46122</v>
      </c>
      <c r="O979" s="4117"/>
      <c r="P979" s="4527" t="s">
        <v>82</v>
      </c>
      <c r="Q979" s="4157">
        <v>444</v>
      </c>
      <c r="R979" s="4157">
        <f t="shared" si="509"/>
        <v>0</v>
      </c>
      <c r="S979" s="4603"/>
      <c r="T979" s="4173" t="s">
        <v>321</v>
      </c>
      <c r="U979" s="3726" t="s">
        <v>5744</v>
      </c>
      <c r="V979" s="3711" t="s">
        <v>1063</v>
      </c>
      <c r="W979" s="3711"/>
      <c r="X979" s="3711" t="s">
        <v>5745</v>
      </c>
      <c r="Y979" s="3711"/>
      <c r="Z979" s="4154"/>
      <c r="AA979" s="3680" t="s">
        <v>5746</v>
      </c>
      <c r="AB979" s="4154" t="s">
        <v>3262</v>
      </c>
      <c r="AC979" s="4154">
        <v>1.2624</v>
      </c>
      <c r="AD979" s="4154">
        <f t="shared" si="535"/>
        <v>560.5056</v>
      </c>
      <c r="AE979" s="3726"/>
      <c r="AF979" s="3708" t="s">
        <v>2719</v>
      </c>
      <c r="AG979" s="3726" t="s">
        <v>416</v>
      </c>
      <c r="AH979" s="4154"/>
      <c r="AI979" s="3708"/>
      <c r="AJ979" s="4575">
        <f t="shared" si="544"/>
        <v>444</v>
      </c>
      <c r="AK979" s="4154"/>
      <c r="AL979" s="4154"/>
      <c r="AM979" s="3708"/>
      <c r="AN979" s="1048"/>
      <c r="AO979" s="1048"/>
      <c r="AP979" s="4154">
        <f t="shared" si="536"/>
        <v>444</v>
      </c>
      <c r="AQ979" s="1048"/>
      <c r="AR979" s="1040"/>
      <c r="AS979" s="4510">
        <f t="shared" si="545"/>
        <v>444</v>
      </c>
      <c r="AT979" s="1040"/>
      <c r="AU979" s="1048"/>
      <c r="AV979" s="1048"/>
      <c r="AW979" s="4510"/>
      <c r="AX979" s="1048"/>
      <c r="AY979" s="1048"/>
      <c r="AZ979" s="1048"/>
      <c r="BA979" s="1048"/>
      <c r="BB979" s="1048"/>
      <c r="BC979" s="1048"/>
      <c r="BD979" s="1048"/>
      <c r="BE979" s="1048"/>
      <c r="BF979" s="1048" t="s">
        <v>89</v>
      </c>
      <c r="BG979" s="4505"/>
      <c r="BH979" s="4510">
        <f t="shared" si="546"/>
        <v>74</v>
      </c>
      <c r="BI979" s="4510">
        <f t="shared" si="551"/>
        <v>44.4</v>
      </c>
      <c r="BJ979" s="4510">
        <f t="shared" si="547"/>
        <v>74</v>
      </c>
      <c r="BK979" s="4510">
        <f t="shared" si="552"/>
        <v>51.8</v>
      </c>
      <c r="BL979" s="4510">
        <f t="shared" si="553"/>
        <v>59.2</v>
      </c>
      <c r="BM979" s="4586">
        <f t="shared" si="548"/>
        <v>59.2</v>
      </c>
      <c r="BN979" s="4587">
        <f t="shared" si="549"/>
        <v>81.4</v>
      </c>
      <c r="BO979" s="4571"/>
      <c r="BP979" s="4571"/>
      <c r="BQ979" s="4571"/>
      <c r="BR979" s="4612"/>
      <c r="BS979" s="4573"/>
      <c r="BT979" s="4573"/>
      <c r="BU979" s="4573"/>
      <c r="BV979" s="4160">
        <f t="shared" si="550"/>
        <v>444</v>
      </c>
      <c r="BW979" s="4160">
        <f t="shared" si="519"/>
        <v>0</v>
      </c>
      <c r="BX979" s="4323"/>
      <c r="BY979" s="4323"/>
      <c r="BZ979" s="4323"/>
      <c r="CA979" s="4511"/>
      <c r="CC979" s="4512"/>
      <c r="CD979" s="4511"/>
    </row>
    <row r="980" s="4316" customFormat="1" ht="50" customHeight="1" spans="1:82 16328:16384">
      <c r="A980" s="4500">
        <v>46085</v>
      </c>
      <c r="B980" s="4501" t="s">
        <v>4747</v>
      </c>
      <c r="C980" s="3708" t="s">
        <v>91</v>
      </c>
      <c r="D980" s="4502">
        <v>4500195041</v>
      </c>
      <c r="E980" s="3708">
        <v>4562506769</v>
      </c>
      <c r="F980" s="4502" t="s">
        <v>5751</v>
      </c>
      <c r="G980" s="3708" t="s">
        <v>2719</v>
      </c>
      <c r="H980" s="4154" t="s">
        <v>2591</v>
      </c>
      <c r="I980" s="4593">
        <v>1440</v>
      </c>
      <c r="J980" s="4154">
        <v>0</v>
      </c>
      <c r="K980" s="4154">
        <v>6</v>
      </c>
      <c r="L980" s="4154">
        <f t="shared" si="507"/>
        <v>240</v>
      </c>
      <c r="M980" s="4503">
        <v>46126</v>
      </c>
      <c r="N980" s="4553">
        <v>46122</v>
      </c>
      <c r="O980" s="4117"/>
      <c r="P980" s="4527" t="s">
        <v>82</v>
      </c>
      <c r="Q980" s="4157">
        <v>1440</v>
      </c>
      <c r="R980" s="4157">
        <f t="shared" si="509"/>
        <v>0</v>
      </c>
      <c r="S980" s="4603"/>
      <c r="T980" s="4173" t="s">
        <v>321</v>
      </c>
      <c r="U980" s="3726" t="s">
        <v>5744</v>
      </c>
      <c r="V980" s="3711" t="s">
        <v>1063</v>
      </c>
      <c r="W980" s="3711"/>
      <c r="X980" s="3711" t="s">
        <v>5745</v>
      </c>
      <c r="Y980" s="3711"/>
      <c r="Z980" s="4154"/>
      <c r="AA980" s="3680" t="s">
        <v>5746</v>
      </c>
      <c r="AB980" s="4154" t="s">
        <v>3262</v>
      </c>
      <c r="AC980" s="4154">
        <v>1.2596</v>
      </c>
      <c r="AD980" s="4154">
        <f t="shared" si="535"/>
        <v>1813.824</v>
      </c>
      <c r="AE980" s="3726"/>
      <c r="AF980" s="3708" t="s">
        <v>2719</v>
      </c>
      <c r="AG980" s="3726" t="s">
        <v>416</v>
      </c>
      <c r="AH980" s="4154"/>
      <c r="AI980" s="3708"/>
      <c r="AJ980" s="4575">
        <f t="shared" si="544"/>
        <v>1440</v>
      </c>
      <c r="AK980" s="4154"/>
      <c r="AL980" s="4154"/>
      <c r="AM980" s="3708"/>
      <c r="AN980" s="1048"/>
      <c r="AO980" s="1048"/>
      <c r="AP980" s="4154">
        <f t="shared" si="536"/>
        <v>1440</v>
      </c>
      <c r="AQ980" s="1048"/>
      <c r="AR980" s="1040"/>
      <c r="AS980" s="4510">
        <f t="shared" si="545"/>
        <v>1440</v>
      </c>
      <c r="AT980" s="1040"/>
      <c r="AU980" s="1048"/>
      <c r="AV980" s="1048"/>
      <c r="AW980" s="4510"/>
      <c r="AX980" s="1048"/>
      <c r="AY980" s="1048"/>
      <c r="AZ980" s="1048"/>
      <c r="BA980" s="1048"/>
      <c r="BB980" s="1048"/>
      <c r="BC980" s="1048"/>
      <c r="BD980" s="1048"/>
      <c r="BE980" s="1048"/>
      <c r="BF980" s="1048" t="s">
        <v>89</v>
      </c>
      <c r="BG980" s="4505"/>
      <c r="BH980" s="4510">
        <f t="shared" si="546"/>
        <v>240</v>
      </c>
      <c r="BI980" s="4510">
        <f t="shared" si="551"/>
        <v>144</v>
      </c>
      <c r="BJ980" s="4510">
        <f t="shared" si="547"/>
        <v>240</v>
      </c>
      <c r="BK980" s="4510">
        <f t="shared" si="552"/>
        <v>168</v>
      </c>
      <c r="BL980" s="4510">
        <f t="shared" si="553"/>
        <v>192</v>
      </c>
      <c r="BM980" s="4586">
        <f t="shared" si="548"/>
        <v>192</v>
      </c>
      <c r="BN980" s="4587">
        <f t="shared" si="549"/>
        <v>264</v>
      </c>
      <c r="BO980" s="4571"/>
      <c r="BP980" s="4571"/>
      <c r="BQ980" s="4571"/>
      <c r="BR980" s="4612"/>
      <c r="BS980" s="4573"/>
      <c r="BT980" s="4573"/>
      <c r="BU980" s="4573"/>
      <c r="BV980" s="4160">
        <f t="shared" si="550"/>
        <v>1440</v>
      </c>
      <c r="BW980" s="4160">
        <f t="shared" si="519"/>
        <v>0</v>
      </c>
      <c r="BX980" s="4323"/>
      <c r="BY980" s="4323"/>
      <c r="BZ980" s="4323"/>
      <c r="CA980" s="4511"/>
      <c r="CC980" s="4512"/>
      <c r="CD980" s="4511"/>
    </row>
    <row r="981" s="4316" customFormat="1" ht="50" customHeight="1" spans="1:82 16328:16384">
      <c r="A981" s="4500">
        <v>46085</v>
      </c>
      <c r="B981" s="4501" t="s">
        <v>4747</v>
      </c>
      <c r="C981" s="3708" t="s">
        <v>91</v>
      </c>
      <c r="D981" s="4502">
        <v>4500195041</v>
      </c>
      <c r="E981" s="3708">
        <v>4562506745</v>
      </c>
      <c r="F981" s="4502" t="s">
        <v>5752</v>
      </c>
      <c r="G981" s="3708" t="s">
        <v>2719</v>
      </c>
      <c r="H981" s="4154" t="s">
        <v>2591</v>
      </c>
      <c r="I981" s="4593">
        <v>2040</v>
      </c>
      <c r="J981" s="4154">
        <v>0</v>
      </c>
      <c r="K981" s="4154">
        <v>6</v>
      </c>
      <c r="L981" s="4154">
        <f t="shared" si="507"/>
        <v>340</v>
      </c>
      <c r="M981" s="4503">
        <v>46126</v>
      </c>
      <c r="N981" s="4553">
        <v>46122</v>
      </c>
      <c r="O981" s="4117"/>
      <c r="P981" s="4527" t="s">
        <v>82</v>
      </c>
      <c r="Q981" s="4157">
        <f>1962+78</f>
        <v>2040</v>
      </c>
      <c r="R981" s="4157">
        <f t="shared" si="509"/>
        <v>0</v>
      </c>
      <c r="S981" s="4604"/>
      <c r="T981" s="4173" t="s">
        <v>321</v>
      </c>
      <c r="U981" s="3726" t="s">
        <v>5744</v>
      </c>
      <c r="V981" s="3711" t="s">
        <v>1063</v>
      </c>
      <c r="W981" s="3711"/>
      <c r="X981" s="3711" t="s">
        <v>5745</v>
      </c>
      <c r="Y981" s="3711"/>
      <c r="Z981" s="4154"/>
      <c r="AA981" s="3680" t="s">
        <v>5746</v>
      </c>
      <c r="AB981" s="4154" t="s">
        <v>3262</v>
      </c>
      <c r="AC981" s="4154">
        <v>1.2596</v>
      </c>
      <c r="AD981" s="4154">
        <f t="shared" si="535"/>
        <v>2569.584</v>
      </c>
      <c r="AE981" s="3726"/>
      <c r="AF981" s="3708" t="s">
        <v>2719</v>
      </c>
      <c r="AG981" s="3726" t="s">
        <v>416</v>
      </c>
      <c r="AH981" s="4154"/>
      <c r="AI981" s="3708"/>
      <c r="AJ981" s="4575">
        <f t="shared" si="544"/>
        <v>2040</v>
      </c>
      <c r="AK981" s="4154"/>
      <c r="AL981" s="4154"/>
      <c r="AM981" s="3708"/>
      <c r="AN981" s="1048"/>
      <c r="AO981" s="1048"/>
      <c r="AP981" s="4154">
        <f t="shared" si="536"/>
        <v>2040</v>
      </c>
      <c r="AQ981" s="1048"/>
      <c r="AR981" s="1040"/>
      <c r="AS981" s="4510">
        <f t="shared" si="545"/>
        <v>2040</v>
      </c>
      <c r="AT981" s="1040"/>
      <c r="AU981" s="1048"/>
      <c r="AV981" s="1048"/>
      <c r="AW981" s="4510"/>
      <c r="AX981" s="1048"/>
      <c r="AY981" s="1048"/>
      <c r="AZ981" s="1048"/>
      <c r="BA981" s="1048"/>
      <c r="BB981" s="1048"/>
      <c r="BC981" s="1048"/>
      <c r="BD981" s="1048"/>
      <c r="BE981" s="1048"/>
      <c r="BF981" s="1048" t="s">
        <v>89</v>
      </c>
      <c r="BG981" s="4505"/>
      <c r="BH981" s="4510">
        <f t="shared" si="546"/>
        <v>340</v>
      </c>
      <c r="BI981" s="4510">
        <f t="shared" si="551"/>
        <v>204</v>
      </c>
      <c r="BJ981" s="4510">
        <f t="shared" si="547"/>
        <v>340</v>
      </c>
      <c r="BK981" s="4510">
        <f t="shared" si="552"/>
        <v>238</v>
      </c>
      <c r="BL981" s="4510">
        <f t="shared" si="553"/>
        <v>272</v>
      </c>
      <c r="BM981" s="4586">
        <f t="shared" si="548"/>
        <v>272</v>
      </c>
      <c r="BN981" s="4587">
        <f t="shared" si="549"/>
        <v>374</v>
      </c>
      <c r="BO981" s="4571"/>
      <c r="BP981" s="4571"/>
      <c r="BQ981" s="4571"/>
      <c r="BR981" s="4612"/>
      <c r="BS981" s="4573"/>
      <c r="BT981" s="4573"/>
      <c r="BU981" s="4573"/>
      <c r="BV981" s="4160">
        <f t="shared" si="550"/>
        <v>2040</v>
      </c>
      <c r="BW981" s="4160">
        <f t="shared" si="519"/>
        <v>0</v>
      </c>
      <c r="BX981" s="4323"/>
      <c r="BY981" s="4323"/>
      <c r="BZ981" s="4323"/>
      <c r="CA981" s="4511"/>
      <c r="CC981" s="4512"/>
      <c r="CD981" s="4511"/>
    </row>
    <row r="982" s="4316" customFormat="1" ht="50" customHeight="1" spans="1:82 16328:16384">
      <c r="A982" s="4500">
        <v>46087</v>
      </c>
      <c r="B982" s="4501" t="s">
        <v>90</v>
      </c>
      <c r="C982" s="3708" t="s">
        <v>91</v>
      </c>
      <c r="D982" s="4502">
        <v>4500195558</v>
      </c>
      <c r="E982" s="3708">
        <v>332428</v>
      </c>
      <c r="F982" s="4502" t="s">
        <v>5753</v>
      </c>
      <c r="G982" s="3708" t="s">
        <v>2719</v>
      </c>
      <c r="H982" s="4154" t="s">
        <v>2591</v>
      </c>
      <c r="I982" s="4593">
        <v>2400</v>
      </c>
      <c r="J982" s="4154">
        <v>0</v>
      </c>
      <c r="K982" s="4154">
        <v>6</v>
      </c>
      <c r="L982" s="4154">
        <f t="shared" si="507"/>
        <v>400</v>
      </c>
      <c r="M982" s="4503">
        <v>46136</v>
      </c>
      <c r="N982" s="4553">
        <v>46132</v>
      </c>
      <c r="O982" s="4117"/>
      <c r="P982" s="4527" t="s">
        <v>82</v>
      </c>
      <c r="Q982" s="4157">
        <v>2400</v>
      </c>
      <c r="R982" s="4157">
        <f t="shared" si="509"/>
        <v>0</v>
      </c>
      <c r="S982" s="4145" t="s">
        <v>2297</v>
      </c>
      <c r="T982" s="4173" t="s">
        <v>321</v>
      </c>
      <c r="U982" s="3726" t="s">
        <v>1123</v>
      </c>
      <c r="V982" s="3711" t="s">
        <v>5754</v>
      </c>
      <c r="W982" s="3711"/>
      <c r="X982" s="3711" t="s">
        <v>98</v>
      </c>
      <c r="Y982" s="3711" t="s">
        <v>5755</v>
      </c>
      <c r="Z982" s="4154"/>
      <c r="AA982" s="3680" t="s">
        <v>5756</v>
      </c>
      <c r="AB982" s="4154" t="s">
        <v>101</v>
      </c>
      <c r="AC982" s="4154">
        <v>1.2588</v>
      </c>
      <c r="AD982" s="4154">
        <f t="shared" si="535"/>
        <v>3021.12</v>
      </c>
      <c r="AE982" s="3726"/>
      <c r="AF982" s="3708" t="s">
        <v>2719</v>
      </c>
      <c r="AG982" s="3726" t="s">
        <v>416</v>
      </c>
      <c r="AH982" s="4154"/>
      <c r="AI982" s="3708"/>
      <c r="AJ982" s="4575">
        <f t="shared" si="544"/>
        <v>2400</v>
      </c>
      <c r="AK982" s="4154"/>
      <c r="AL982" s="4154"/>
      <c r="AM982" s="3708"/>
      <c r="AN982" s="1048"/>
      <c r="AO982" s="1048"/>
      <c r="AP982" s="4154">
        <f t="shared" si="536"/>
        <v>2400</v>
      </c>
      <c r="AQ982" s="1048"/>
      <c r="AR982" s="1040"/>
      <c r="AS982" s="4510">
        <f t="shared" si="545"/>
        <v>2400</v>
      </c>
      <c r="AT982" s="1040"/>
      <c r="AU982" s="1048"/>
      <c r="AV982" s="1048"/>
      <c r="AW982" s="4510"/>
      <c r="AX982" s="1048"/>
      <c r="AY982" s="1048"/>
      <c r="AZ982" s="1048"/>
      <c r="BA982" s="1048"/>
      <c r="BB982" s="1048"/>
      <c r="BC982" s="1048"/>
      <c r="BD982" s="1048"/>
      <c r="BE982" s="1048"/>
      <c r="BF982" s="1048" t="s">
        <v>89</v>
      </c>
      <c r="BG982" s="4505"/>
      <c r="BH982" s="4510">
        <f t="shared" si="546"/>
        <v>400</v>
      </c>
      <c r="BI982" s="4510">
        <f t="shared" si="551"/>
        <v>240</v>
      </c>
      <c r="BJ982" s="4510">
        <f t="shared" si="547"/>
        <v>400</v>
      </c>
      <c r="BK982" s="4510">
        <f t="shared" si="552"/>
        <v>280</v>
      </c>
      <c r="BL982" s="4510">
        <f t="shared" si="553"/>
        <v>320</v>
      </c>
      <c r="BM982" s="4586">
        <f t="shared" si="548"/>
        <v>320</v>
      </c>
      <c r="BN982" s="4587">
        <f t="shared" si="549"/>
        <v>440</v>
      </c>
      <c r="BO982" s="4571"/>
      <c r="BP982" s="4571"/>
      <c r="BQ982" s="4571"/>
      <c r="BR982" s="4612"/>
      <c r="BS982" s="4573"/>
      <c r="BT982" s="4573"/>
      <c r="BU982" s="4573"/>
      <c r="BV982" s="4160">
        <f t="shared" si="550"/>
        <v>2400</v>
      </c>
      <c r="BW982" s="4160">
        <f t="shared" si="519"/>
        <v>0</v>
      </c>
      <c r="BX982" s="4323"/>
      <c r="BY982" s="4323"/>
      <c r="BZ982" s="4323"/>
      <c r="CA982" s="4511"/>
      <c r="CC982" s="4512"/>
      <c r="CD982" s="4511"/>
    </row>
    <row r="983" s="4316" customFormat="1" ht="50" customHeight="1" spans="1:82 16328:16384">
      <c r="A983" s="4500">
        <v>46099</v>
      </c>
      <c r="B983" s="3708" t="s">
        <v>5757</v>
      </c>
      <c r="C983" s="4614" t="s">
        <v>506</v>
      </c>
      <c r="D983" s="4502">
        <v>4500197431</v>
      </c>
      <c r="E983" s="4501">
        <v>1065794</v>
      </c>
      <c r="F983" s="4615" t="s">
        <v>5758</v>
      </c>
      <c r="G983" s="3708" t="s">
        <v>2577</v>
      </c>
      <c r="H983" s="3708" t="s">
        <v>2591</v>
      </c>
      <c r="I983" s="4154">
        <v>480</v>
      </c>
      <c r="J983" s="4154">
        <v>0</v>
      </c>
      <c r="K983" s="4154">
        <v>12</v>
      </c>
      <c r="L983" s="4154">
        <f t="shared" si="507"/>
        <v>40</v>
      </c>
      <c r="M983" s="4503">
        <v>46139</v>
      </c>
      <c r="N983" s="4503">
        <v>46135</v>
      </c>
      <c r="O983" s="4117"/>
      <c r="P983" s="4527" t="s">
        <v>82</v>
      </c>
      <c r="Q983" s="4157">
        <v>480</v>
      </c>
      <c r="R983" s="4157">
        <f t="shared" si="509"/>
        <v>0</v>
      </c>
      <c r="S983" s="4219" t="s">
        <v>2297</v>
      </c>
      <c r="T983" s="4173" t="s">
        <v>321</v>
      </c>
      <c r="U983" s="3726" t="s">
        <v>1054</v>
      </c>
      <c r="V983" s="3708" t="s">
        <v>1012</v>
      </c>
      <c r="W983" s="4154"/>
      <c r="X983" s="4503" t="s">
        <v>98</v>
      </c>
      <c r="Y983" s="3711" t="s">
        <v>3442</v>
      </c>
      <c r="Z983" s="3712"/>
      <c r="AA983" s="3680" t="s">
        <v>5759</v>
      </c>
      <c r="AB983" s="4503" t="s">
        <v>5760</v>
      </c>
      <c r="AC983" s="4616">
        <v>2.1389</v>
      </c>
      <c r="AD983" s="4154">
        <f t="shared" si="535"/>
        <v>1026.672</v>
      </c>
      <c r="AE983" s="4617"/>
      <c r="AF983" s="3708" t="s">
        <v>2577</v>
      </c>
      <c r="AG983" s="3726" t="s">
        <v>416</v>
      </c>
      <c r="AH983" s="3708"/>
      <c r="AI983" s="3708"/>
      <c r="AJ983" s="3708">
        <f t="shared" si="544"/>
        <v>480</v>
      </c>
      <c r="AK983" s="3708"/>
      <c r="AL983" s="3708"/>
      <c r="AM983" s="3708"/>
      <c r="AN983" s="4154"/>
      <c r="AO983" s="4154"/>
      <c r="AP983" s="4154">
        <f t="shared" si="536"/>
        <v>480</v>
      </c>
      <c r="AQ983" s="1048"/>
      <c r="AR983" s="1040"/>
      <c r="AS983" s="1048">
        <f t="shared" si="545"/>
        <v>480</v>
      </c>
      <c r="AT983" s="1040"/>
      <c r="AU983" s="1048"/>
      <c r="AV983" s="1048"/>
      <c r="AW983" s="1048">
        <f>I983/6</f>
        <v>80</v>
      </c>
      <c r="AX983" s="1048"/>
      <c r="AY983" s="1048"/>
      <c r="AZ983" s="1048"/>
      <c r="BA983" s="1048"/>
      <c r="BB983" s="1048"/>
      <c r="BC983" s="1048"/>
      <c r="BD983" s="1048"/>
      <c r="BE983" s="1048"/>
      <c r="BF983" s="1048" t="s">
        <v>89</v>
      </c>
      <c r="BG983" s="4505"/>
      <c r="BH983" s="4510">
        <f>I983/60*6</f>
        <v>48</v>
      </c>
      <c r="BI983" s="4510">
        <f>I983/60*4</f>
        <v>32</v>
      </c>
      <c r="BJ983" s="4510">
        <f>I983/60*15</f>
        <v>120</v>
      </c>
      <c r="BK983" s="4510">
        <f>I983/60*8</f>
        <v>64</v>
      </c>
      <c r="BL983" s="4510">
        <f>I983/60*7</f>
        <v>56</v>
      </c>
      <c r="BM983" s="4586">
        <f>I983/60*9</f>
        <v>72</v>
      </c>
      <c r="BN983" s="4587">
        <f t="shared" si="549"/>
        <v>88</v>
      </c>
      <c r="BO983" s="4613"/>
      <c r="BP983" s="4613"/>
      <c r="BQ983" s="4613"/>
      <c r="BR983" s="4612"/>
      <c r="BS983" s="4573"/>
      <c r="BT983" s="4573"/>
      <c r="BU983" s="4573"/>
      <c r="BV983" s="4160">
        <f t="shared" si="550"/>
        <v>480</v>
      </c>
      <c r="BW983" s="4160">
        <f t="shared" si="519"/>
        <v>0</v>
      </c>
      <c r="BX983" s="4323"/>
      <c r="BY983" s="4323"/>
      <c r="BZ983" s="4323"/>
      <c r="CA983" s="4511"/>
      <c r="CC983" s="4512"/>
      <c r="CD983" s="4511"/>
    </row>
    <row r="984" s="4316" customFormat="1" ht="50" customHeight="1" spans="1:82 16328:16384">
      <c r="A984" s="4500">
        <v>46099</v>
      </c>
      <c r="B984" s="3708" t="s">
        <v>5757</v>
      </c>
      <c r="C984" s="4614" t="s">
        <v>506</v>
      </c>
      <c r="D984" s="4502">
        <v>4500197431</v>
      </c>
      <c r="E984" s="4501">
        <v>1065795</v>
      </c>
      <c r="F984" s="4615" t="s">
        <v>5761</v>
      </c>
      <c r="G984" s="3708" t="s">
        <v>2577</v>
      </c>
      <c r="H984" s="3708" t="s">
        <v>2591</v>
      </c>
      <c r="I984" s="4154">
        <v>408</v>
      </c>
      <c r="J984" s="4154">
        <v>0</v>
      </c>
      <c r="K984" s="4154">
        <v>12</v>
      </c>
      <c r="L984" s="4154">
        <f t="shared" si="507"/>
        <v>34</v>
      </c>
      <c r="M984" s="4503">
        <v>46139</v>
      </c>
      <c r="N984" s="4503">
        <v>46135</v>
      </c>
      <c r="O984" s="4117"/>
      <c r="P984" s="4527" t="s">
        <v>82</v>
      </c>
      <c r="Q984" s="4157">
        <v>408</v>
      </c>
      <c r="R984" s="4157">
        <f t="shared" si="509"/>
        <v>0</v>
      </c>
      <c r="S984" s="4219" t="s">
        <v>2297</v>
      </c>
      <c r="T984" s="4173" t="s">
        <v>321</v>
      </c>
      <c r="U984" s="3726" t="s">
        <v>5762</v>
      </c>
      <c r="V984" s="3708" t="s">
        <v>1012</v>
      </c>
      <c r="W984" s="4154"/>
      <c r="X984" s="4503" t="s">
        <v>98</v>
      </c>
      <c r="Y984" s="3711" t="s">
        <v>3442</v>
      </c>
      <c r="Z984" s="3712"/>
      <c r="AA984" s="3680" t="s">
        <v>5759</v>
      </c>
      <c r="AB984" s="4503" t="s">
        <v>5760</v>
      </c>
      <c r="AC984" s="4616">
        <v>2.1389</v>
      </c>
      <c r="AD984" s="4154">
        <f t="shared" si="535"/>
        <v>872.6712</v>
      </c>
      <c r="AE984" s="4617"/>
      <c r="AF984" s="3708" t="s">
        <v>2577</v>
      </c>
      <c r="AG984" s="3726" t="s">
        <v>416</v>
      </c>
      <c r="AH984" s="3708"/>
      <c r="AI984" s="3708"/>
      <c r="AJ984" s="3708">
        <f t="shared" si="544"/>
        <v>408</v>
      </c>
      <c r="AK984" s="3708"/>
      <c r="AL984" s="3708"/>
      <c r="AM984" s="3708"/>
      <c r="AN984" s="4154"/>
      <c r="AO984" s="4154"/>
      <c r="AP984" s="4154">
        <f t="shared" si="536"/>
        <v>408</v>
      </c>
      <c r="AQ984" s="1048"/>
      <c r="AR984" s="1040"/>
      <c r="AS984" s="1048">
        <f t="shared" si="545"/>
        <v>408</v>
      </c>
      <c r="AT984" s="1040"/>
      <c r="AU984" s="1048"/>
      <c r="AV984" s="1048"/>
      <c r="AW984" s="1048">
        <f>I984/6</f>
        <v>68</v>
      </c>
      <c r="AX984" s="1048"/>
      <c r="AY984" s="1048"/>
      <c r="AZ984" s="1048"/>
      <c r="BA984" s="1048"/>
      <c r="BB984" s="1048"/>
      <c r="BC984" s="1048"/>
      <c r="BD984" s="1048"/>
      <c r="BE984" s="1048"/>
      <c r="BF984" s="1048" t="s">
        <v>89</v>
      </c>
      <c r="BG984" s="4505"/>
      <c r="BH984" s="4510">
        <f>I984/60*6</f>
        <v>40.8</v>
      </c>
      <c r="BI984" s="4510">
        <f>I984/60*4</f>
        <v>27.2</v>
      </c>
      <c r="BJ984" s="4510">
        <f>I984/60*15</f>
        <v>102</v>
      </c>
      <c r="BK984" s="4510">
        <f>I984/60*8</f>
        <v>54.4</v>
      </c>
      <c r="BL984" s="4510">
        <f>I984/60*7</f>
        <v>47.6</v>
      </c>
      <c r="BM984" s="4586">
        <f>I984/60*9</f>
        <v>61.2</v>
      </c>
      <c r="BN984" s="4587">
        <f t="shared" si="549"/>
        <v>74.8</v>
      </c>
      <c r="BO984" s="4613"/>
      <c r="BP984" s="4613"/>
      <c r="BQ984" s="4613"/>
      <c r="BR984" s="4612"/>
      <c r="BS984" s="4573"/>
      <c r="BT984" s="4573"/>
      <c r="BU984" s="4573"/>
      <c r="BV984" s="4160">
        <f t="shared" si="550"/>
        <v>408</v>
      </c>
      <c r="BW984" s="4160">
        <f t="shared" si="519"/>
        <v>0</v>
      </c>
      <c r="BX984" s="4323"/>
      <c r="BY984" s="4323"/>
      <c r="BZ984" s="4323"/>
      <c r="CA984" s="4511"/>
      <c r="CC984" s="4512"/>
      <c r="CD984" s="4511"/>
    </row>
    <row r="985" s="4316" customFormat="1" ht="50" customHeight="1" spans="1:82 16328:16384">
      <c r="A985" s="4500">
        <v>46099</v>
      </c>
      <c r="B985" s="3708" t="s">
        <v>5757</v>
      </c>
      <c r="C985" s="4614" t="s">
        <v>506</v>
      </c>
      <c r="D985" s="4502">
        <v>4500197431</v>
      </c>
      <c r="E985" s="4501">
        <v>1065796</v>
      </c>
      <c r="F985" s="4615" t="s">
        <v>5763</v>
      </c>
      <c r="G985" s="3708" t="s">
        <v>2577</v>
      </c>
      <c r="H985" s="3708" t="s">
        <v>2591</v>
      </c>
      <c r="I985" s="4154">
        <v>360</v>
      </c>
      <c r="J985" s="4154">
        <v>0</v>
      </c>
      <c r="K985" s="4154">
        <v>12</v>
      </c>
      <c r="L985" s="4154">
        <f t="shared" si="507"/>
        <v>30</v>
      </c>
      <c r="M985" s="4503">
        <v>46139</v>
      </c>
      <c r="N985" s="4503">
        <v>46135</v>
      </c>
      <c r="O985" s="4117"/>
      <c r="P985" s="4527" t="s">
        <v>82</v>
      </c>
      <c r="Q985" s="4157">
        <v>360</v>
      </c>
      <c r="R985" s="4157">
        <f t="shared" si="509"/>
        <v>0</v>
      </c>
      <c r="S985" s="4219" t="s">
        <v>2297</v>
      </c>
      <c r="T985" s="4173" t="s">
        <v>321</v>
      </c>
      <c r="U985" s="3726" t="s">
        <v>1054</v>
      </c>
      <c r="V985" s="3708" t="s">
        <v>1012</v>
      </c>
      <c r="W985" s="4154"/>
      <c r="X985" s="4503" t="s">
        <v>98</v>
      </c>
      <c r="Y985" s="3711" t="s">
        <v>3442</v>
      </c>
      <c r="Z985" s="3712"/>
      <c r="AA985" s="3680" t="s">
        <v>5759</v>
      </c>
      <c r="AB985" s="4503" t="s">
        <v>5760</v>
      </c>
      <c r="AC985" s="4616">
        <v>2.1389</v>
      </c>
      <c r="AD985" s="4154">
        <f t="shared" si="535"/>
        <v>770.004</v>
      </c>
      <c r="AE985" s="4617"/>
      <c r="AF985" s="3708" t="s">
        <v>2577</v>
      </c>
      <c r="AG985" s="3726" t="s">
        <v>416</v>
      </c>
      <c r="AH985" s="3708"/>
      <c r="AI985" s="3708"/>
      <c r="AJ985" s="3708">
        <f t="shared" si="544"/>
        <v>360</v>
      </c>
      <c r="AK985" s="3708"/>
      <c r="AL985" s="3708"/>
      <c r="AM985" s="3708"/>
      <c r="AN985" s="4154"/>
      <c r="AO985" s="4154"/>
      <c r="AP985" s="4154">
        <f t="shared" si="536"/>
        <v>360</v>
      </c>
      <c r="AQ985" s="1048"/>
      <c r="AR985" s="1040"/>
      <c r="AS985" s="1048">
        <f t="shared" si="545"/>
        <v>360</v>
      </c>
      <c r="AT985" s="1040"/>
      <c r="AU985" s="1048"/>
      <c r="AV985" s="1048"/>
      <c r="AW985" s="1048">
        <f>I985/6</f>
        <v>60</v>
      </c>
      <c r="AX985" s="1048"/>
      <c r="AY985" s="1048"/>
      <c r="AZ985" s="1048"/>
      <c r="BA985" s="1048"/>
      <c r="BB985" s="1048"/>
      <c r="BC985" s="1048"/>
      <c r="BD985" s="1048"/>
      <c r="BE985" s="1048"/>
      <c r="BF985" s="1048" t="s">
        <v>89</v>
      </c>
      <c r="BG985" s="4505"/>
      <c r="BH985" s="4510">
        <f>I985/60*6</f>
        <v>36</v>
      </c>
      <c r="BI985" s="4510">
        <f>I985/60*4</f>
        <v>24</v>
      </c>
      <c r="BJ985" s="4510">
        <f>I985/60*15</f>
        <v>90</v>
      </c>
      <c r="BK985" s="4510">
        <f>I985/60*8</f>
        <v>48</v>
      </c>
      <c r="BL985" s="4510">
        <f>I985/60*7</f>
        <v>42</v>
      </c>
      <c r="BM985" s="4586">
        <f>I985/60*9</f>
        <v>54</v>
      </c>
      <c r="BN985" s="4587">
        <f t="shared" si="549"/>
        <v>66</v>
      </c>
      <c r="BO985" s="4613"/>
      <c r="BP985" s="4613"/>
      <c r="BQ985" s="4613"/>
      <c r="BR985" s="4612"/>
      <c r="BS985" s="4573"/>
      <c r="BT985" s="4573"/>
      <c r="BU985" s="4573"/>
      <c r="BV985" s="4160">
        <f t="shared" si="550"/>
        <v>360</v>
      </c>
      <c r="BW985" s="4160">
        <f t="shared" si="519"/>
        <v>0</v>
      </c>
      <c r="BX985" s="4323"/>
      <c r="BY985" s="4323"/>
      <c r="BZ985" s="4323"/>
      <c r="CA985" s="4511"/>
      <c r="CC985" s="4512"/>
      <c r="CD985" s="4511"/>
    </row>
    <row r="986" s="4316" customFormat="1" ht="50" customHeight="1" spans="1:82 16328:16384">
      <c r="A986" s="4500">
        <v>46099</v>
      </c>
      <c r="B986" s="3708" t="s">
        <v>5757</v>
      </c>
      <c r="C986" s="4614" t="s">
        <v>506</v>
      </c>
      <c r="D986" s="4502">
        <v>4500197431</v>
      </c>
      <c r="E986" s="4501">
        <v>1065797</v>
      </c>
      <c r="F986" s="4615" t="s">
        <v>5764</v>
      </c>
      <c r="G986" s="3708" t="s">
        <v>2577</v>
      </c>
      <c r="H986" s="3708" t="s">
        <v>2591</v>
      </c>
      <c r="I986" s="4154">
        <v>360</v>
      </c>
      <c r="J986" s="4154">
        <v>0</v>
      </c>
      <c r="K986" s="4154">
        <v>12</v>
      </c>
      <c r="L986" s="4154">
        <f t="shared" si="507"/>
        <v>30</v>
      </c>
      <c r="M986" s="4503">
        <v>46139</v>
      </c>
      <c r="N986" s="4503">
        <v>46135</v>
      </c>
      <c r="O986" s="4117"/>
      <c r="P986" s="4527" t="s">
        <v>82</v>
      </c>
      <c r="Q986" s="4157">
        <v>360</v>
      </c>
      <c r="R986" s="4157">
        <f t="shared" si="509"/>
        <v>0</v>
      </c>
      <c r="S986" s="4219" t="s">
        <v>2297</v>
      </c>
      <c r="T986" s="4173" t="s">
        <v>321</v>
      </c>
      <c r="U986" s="3726" t="s">
        <v>1054</v>
      </c>
      <c r="V986" s="3708" t="s">
        <v>1012</v>
      </c>
      <c r="W986" s="4154"/>
      <c r="X986" s="4503" t="s">
        <v>98</v>
      </c>
      <c r="Y986" s="3711" t="s">
        <v>3442</v>
      </c>
      <c r="Z986" s="3712"/>
      <c r="AA986" s="3680" t="s">
        <v>5759</v>
      </c>
      <c r="AB986" s="4503" t="s">
        <v>5760</v>
      </c>
      <c r="AC986" s="4616">
        <v>2.1389</v>
      </c>
      <c r="AD986" s="4154">
        <f t="shared" si="535"/>
        <v>770.004</v>
      </c>
      <c r="AE986" s="4617"/>
      <c r="AF986" s="3708" t="s">
        <v>2577</v>
      </c>
      <c r="AG986" s="3726" t="s">
        <v>416</v>
      </c>
      <c r="AH986" s="3708"/>
      <c r="AI986" s="3708"/>
      <c r="AJ986" s="3708">
        <f t="shared" si="544"/>
        <v>360</v>
      </c>
      <c r="AK986" s="3708"/>
      <c r="AL986" s="3708"/>
      <c r="AM986" s="3708"/>
      <c r="AN986" s="4154"/>
      <c r="AO986" s="4154"/>
      <c r="AP986" s="4154">
        <f t="shared" si="536"/>
        <v>360</v>
      </c>
      <c r="AQ986" s="1048"/>
      <c r="AR986" s="1040"/>
      <c r="AS986" s="1048">
        <f t="shared" si="545"/>
        <v>360</v>
      </c>
      <c r="AT986" s="1040"/>
      <c r="AU986" s="1048"/>
      <c r="AV986" s="1048"/>
      <c r="AW986" s="1048">
        <f>I986/6</f>
        <v>60</v>
      </c>
      <c r="AX986" s="1048"/>
      <c r="AY986" s="1048"/>
      <c r="AZ986" s="1048"/>
      <c r="BA986" s="1048"/>
      <c r="BB986" s="1048"/>
      <c r="BC986" s="1048"/>
      <c r="BD986" s="1048"/>
      <c r="BE986" s="1048"/>
      <c r="BF986" s="1048" t="s">
        <v>89</v>
      </c>
      <c r="BG986" s="4505"/>
      <c r="BH986" s="4510">
        <f>I986/60*6</f>
        <v>36</v>
      </c>
      <c r="BI986" s="4510">
        <f>I986/60*4</f>
        <v>24</v>
      </c>
      <c r="BJ986" s="4510">
        <f>I986/60*15</f>
        <v>90</v>
      </c>
      <c r="BK986" s="4510">
        <f>I986/60*8</f>
        <v>48</v>
      </c>
      <c r="BL986" s="4510">
        <f>I986/60*7</f>
        <v>42</v>
      </c>
      <c r="BM986" s="4586">
        <f>I986/60*9</f>
        <v>54</v>
      </c>
      <c r="BN986" s="4587">
        <f t="shared" si="549"/>
        <v>66</v>
      </c>
      <c r="BO986" s="4613"/>
      <c r="BP986" s="4613"/>
      <c r="BQ986" s="4613"/>
      <c r="BR986" s="4612"/>
      <c r="BS986" s="4573"/>
      <c r="BT986" s="4573"/>
      <c r="BU986" s="4573"/>
      <c r="BV986" s="4160">
        <f t="shared" si="550"/>
        <v>360</v>
      </c>
      <c r="BW986" s="4160">
        <f t="shared" si="519"/>
        <v>0</v>
      </c>
      <c r="BX986" s="4323"/>
      <c r="BY986" s="4323"/>
      <c r="BZ986" s="4323"/>
      <c r="CA986" s="4511"/>
      <c r="CC986" s="4512"/>
      <c r="CD986" s="4511"/>
    </row>
    <row r="987" s="4316" customFormat="1" ht="50" customHeight="1" spans="1:82 16328:16384">
      <c r="A987" s="4500">
        <v>46099</v>
      </c>
      <c r="B987" s="3708" t="s">
        <v>5757</v>
      </c>
      <c r="C987" s="4614" t="s">
        <v>506</v>
      </c>
      <c r="D987" s="4502">
        <v>4500197431</v>
      </c>
      <c r="E987" s="4501">
        <v>1065798</v>
      </c>
      <c r="F987" s="4615" t="s">
        <v>5765</v>
      </c>
      <c r="G987" s="3708" t="s">
        <v>2577</v>
      </c>
      <c r="H987" s="3708" t="s">
        <v>2591</v>
      </c>
      <c r="I987" s="4154">
        <v>360</v>
      </c>
      <c r="J987" s="4154">
        <v>0</v>
      </c>
      <c r="K987" s="4154">
        <v>12</v>
      </c>
      <c r="L987" s="4154">
        <f t="shared" si="507"/>
        <v>30</v>
      </c>
      <c r="M987" s="4503">
        <v>46139</v>
      </c>
      <c r="N987" s="4503">
        <v>46135</v>
      </c>
      <c r="O987" s="4117"/>
      <c r="P987" s="4527" t="s">
        <v>82</v>
      </c>
      <c r="Q987" s="4157">
        <v>360</v>
      </c>
      <c r="R987" s="4157">
        <f t="shared" si="509"/>
        <v>0</v>
      </c>
      <c r="S987" s="4219" t="s">
        <v>2297</v>
      </c>
      <c r="T987" s="4173" t="s">
        <v>321</v>
      </c>
      <c r="U987" s="3726" t="s">
        <v>1054</v>
      </c>
      <c r="V987" s="3708" t="s">
        <v>1012</v>
      </c>
      <c r="W987" s="4154"/>
      <c r="X987" s="4503" t="s">
        <v>98</v>
      </c>
      <c r="Y987" s="3711" t="s">
        <v>3442</v>
      </c>
      <c r="Z987" s="3712"/>
      <c r="AA987" s="3680" t="s">
        <v>5759</v>
      </c>
      <c r="AB987" s="4503" t="s">
        <v>5760</v>
      </c>
      <c r="AC987" s="4616">
        <v>2.1389</v>
      </c>
      <c r="AD987" s="4154">
        <f t="shared" si="535"/>
        <v>770.004</v>
      </c>
      <c r="AE987" s="4617"/>
      <c r="AF987" s="3708" t="s">
        <v>2577</v>
      </c>
      <c r="AG987" s="3726" t="s">
        <v>416</v>
      </c>
      <c r="AH987" s="3708"/>
      <c r="AI987" s="3708"/>
      <c r="AJ987" s="3708">
        <f t="shared" si="544"/>
        <v>360</v>
      </c>
      <c r="AK987" s="3708"/>
      <c r="AL987" s="3708"/>
      <c r="AM987" s="3708"/>
      <c r="AN987" s="4154"/>
      <c r="AO987" s="4154"/>
      <c r="AP987" s="4154">
        <f t="shared" si="536"/>
        <v>360</v>
      </c>
      <c r="AQ987" s="1048"/>
      <c r="AR987" s="1040"/>
      <c r="AS987" s="1048">
        <f t="shared" si="545"/>
        <v>360</v>
      </c>
      <c r="AT987" s="1040"/>
      <c r="AU987" s="1048"/>
      <c r="AV987" s="1048"/>
      <c r="AW987" s="1048">
        <f>I987/6</f>
        <v>60</v>
      </c>
      <c r="AX987" s="1048"/>
      <c r="AY987" s="1048"/>
      <c r="AZ987" s="1048"/>
      <c r="BA987" s="1048"/>
      <c r="BB987" s="1048"/>
      <c r="BC987" s="1048"/>
      <c r="BD987" s="1048"/>
      <c r="BE987" s="1048"/>
      <c r="BF987" s="1048" t="s">
        <v>89</v>
      </c>
      <c r="BG987" s="4505"/>
      <c r="BH987" s="4510">
        <f>I987/60*6</f>
        <v>36</v>
      </c>
      <c r="BI987" s="4510">
        <f>I987/60*4</f>
        <v>24</v>
      </c>
      <c r="BJ987" s="4510">
        <f>I987/60*15</f>
        <v>90</v>
      </c>
      <c r="BK987" s="4510">
        <f>I987/60*8</f>
        <v>48</v>
      </c>
      <c r="BL987" s="4510">
        <f>I987/60*7</f>
        <v>42</v>
      </c>
      <c r="BM987" s="4586">
        <f>I987/60*9</f>
        <v>54</v>
      </c>
      <c r="BN987" s="4587">
        <f t="shared" si="549"/>
        <v>66</v>
      </c>
      <c r="BO987" s="4613"/>
      <c r="BP987" s="4613"/>
      <c r="BQ987" s="4613"/>
      <c r="BR987" s="4612"/>
      <c r="BS987" s="4573"/>
      <c r="BT987" s="4573"/>
      <c r="BU987" s="4573"/>
      <c r="BV987" s="4160">
        <f t="shared" si="550"/>
        <v>360</v>
      </c>
      <c r="BW987" s="4160">
        <f t="shared" si="519"/>
        <v>0</v>
      </c>
      <c r="BX987" s="4323"/>
      <c r="BY987" s="4323"/>
      <c r="BZ987" s="4323"/>
      <c r="CA987" s="4511"/>
      <c r="CC987" s="4512"/>
      <c r="CD987" s="4511"/>
    </row>
    <row r="988" s="4316" customFormat="1" ht="50" customHeight="1" spans="1:82 16328:16384">
      <c r="A988" s="4500">
        <v>46087</v>
      </c>
      <c r="B988" s="4501" t="s">
        <v>90</v>
      </c>
      <c r="C988" s="3708" t="s">
        <v>91</v>
      </c>
      <c r="D988" s="4502">
        <v>4500195557</v>
      </c>
      <c r="E988" s="3708">
        <v>332426</v>
      </c>
      <c r="F988" s="4502" t="s">
        <v>5766</v>
      </c>
      <c r="G988" s="3708" t="s">
        <v>2719</v>
      </c>
      <c r="H988" s="4154" t="s">
        <v>2591</v>
      </c>
      <c r="I988" s="4593">
        <v>2202</v>
      </c>
      <c r="J988" s="4154">
        <v>0</v>
      </c>
      <c r="K988" s="4154">
        <v>6</v>
      </c>
      <c r="L988" s="4154">
        <f t="shared" si="507"/>
        <v>367</v>
      </c>
      <c r="M988" s="4503">
        <v>46136</v>
      </c>
      <c r="N988" s="4553">
        <v>46132</v>
      </c>
      <c r="O988" s="4117"/>
      <c r="P988" s="4527" t="s">
        <v>82</v>
      </c>
      <c r="Q988" s="4157">
        <v>2202</v>
      </c>
      <c r="R988" s="4157">
        <f t="shared" si="509"/>
        <v>0</v>
      </c>
      <c r="S988" s="4145" t="s">
        <v>2297</v>
      </c>
      <c r="T988" s="4173" t="s">
        <v>321</v>
      </c>
      <c r="U988" s="3726" t="s">
        <v>5721</v>
      </c>
      <c r="V988" s="3711" t="s">
        <v>5754</v>
      </c>
      <c r="W988" s="3711"/>
      <c r="X988" s="3711" t="s">
        <v>98</v>
      </c>
      <c r="Y988" s="3711" t="s">
        <v>5755</v>
      </c>
      <c r="Z988" s="4154"/>
      <c r="AA988" s="3680" t="s">
        <v>5767</v>
      </c>
      <c r="AB988" s="4154" t="s">
        <v>101</v>
      </c>
      <c r="AC988" s="4154">
        <v>1.2588</v>
      </c>
      <c r="AD988" s="4154">
        <f t="shared" si="535"/>
        <v>2771.8776</v>
      </c>
      <c r="AE988" s="3726"/>
      <c r="AF988" s="3708" t="s">
        <v>2719</v>
      </c>
      <c r="AG988" s="3726" t="s">
        <v>416</v>
      </c>
      <c r="AH988" s="4154"/>
      <c r="AI988" s="3708"/>
      <c r="AJ988" s="4575">
        <f t="shared" si="544"/>
        <v>2202</v>
      </c>
      <c r="AK988" s="4154"/>
      <c r="AL988" s="4154"/>
      <c r="AM988" s="3708"/>
      <c r="AN988" s="1048"/>
      <c r="AO988" s="1048"/>
      <c r="AP988" s="4154">
        <f t="shared" si="536"/>
        <v>2202</v>
      </c>
      <c r="AQ988" s="1048"/>
      <c r="AR988" s="1040"/>
      <c r="AS988" s="4510">
        <f t="shared" si="545"/>
        <v>2202</v>
      </c>
      <c r="AT988" s="1040"/>
      <c r="AU988" s="1048"/>
      <c r="AV988" s="1048"/>
      <c r="AW988" s="4510"/>
      <c r="AX988" s="1048"/>
      <c r="AY988" s="1048"/>
      <c r="AZ988" s="1048"/>
      <c r="BA988" s="1048"/>
      <c r="BB988" s="1048"/>
      <c r="BC988" s="1048"/>
      <c r="BD988" s="1048"/>
      <c r="BE988" s="1048"/>
      <c r="BF988" s="1048" t="s">
        <v>89</v>
      </c>
      <c r="BG988" s="4505"/>
      <c r="BH988" s="4510">
        <f>I988/60*10</f>
        <v>367</v>
      </c>
      <c r="BI988" s="4510">
        <f>I988/60*6</f>
        <v>220.2</v>
      </c>
      <c r="BJ988" s="4510">
        <f>I988/60*10</f>
        <v>367</v>
      </c>
      <c r="BK988" s="4510">
        <f>I988/60*7</f>
        <v>256.9</v>
      </c>
      <c r="BL988" s="4510">
        <f>I988/60*8</f>
        <v>293.6</v>
      </c>
      <c r="BM988" s="4586">
        <f>I988/60*8</f>
        <v>293.6</v>
      </c>
      <c r="BN988" s="4587">
        <f t="shared" si="549"/>
        <v>403.7</v>
      </c>
      <c r="BO988" s="4571"/>
      <c r="BP988" s="4571"/>
      <c r="BQ988" s="4571"/>
      <c r="BR988" s="4612"/>
      <c r="BS988" s="4573"/>
      <c r="BT988" s="4573"/>
      <c r="BU988" s="4573"/>
      <c r="BV988" s="4160">
        <f t="shared" si="550"/>
        <v>2202</v>
      </c>
      <c r="BW988" s="4160">
        <f t="shared" si="519"/>
        <v>0</v>
      </c>
      <c r="BX988" s="4323"/>
      <c r="BY988" s="4323"/>
      <c r="BZ988" s="4323"/>
      <c r="CA988" s="4511"/>
      <c r="CC988" s="4512"/>
      <c r="CD988" s="4511"/>
    </row>
    <row r="989" s="4316" customFormat="1" ht="50" customHeight="1" spans="1:82 16328:16384">
      <c r="A989" s="4500">
        <v>46101</v>
      </c>
      <c r="B989" s="4501" t="s">
        <v>2538</v>
      </c>
      <c r="C989" s="4614" t="s">
        <v>91</v>
      </c>
      <c r="D989" s="4502">
        <v>4500197840</v>
      </c>
      <c r="E989" s="3708">
        <v>1764235</v>
      </c>
      <c r="F989" s="4615" t="s">
        <v>5768</v>
      </c>
      <c r="G989" s="3708" t="s">
        <v>2627</v>
      </c>
      <c r="H989" s="4154" t="s">
        <v>2591</v>
      </c>
      <c r="I989" s="4154">
        <v>744</v>
      </c>
      <c r="J989" s="4154">
        <v>0</v>
      </c>
      <c r="K989" s="4154">
        <v>24</v>
      </c>
      <c r="L989" s="4154">
        <f t="shared" si="507"/>
        <v>31</v>
      </c>
      <c r="M989" s="4503">
        <v>46142</v>
      </c>
      <c r="N989" s="4503">
        <v>46139</v>
      </c>
      <c r="O989" s="3708"/>
      <c r="P989" s="4527" t="s">
        <v>82</v>
      </c>
      <c r="Q989" s="4157">
        <v>744</v>
      </c>
      <c r="R989" s="4157">
        <f t="shared" si="509"/>
        <v>0</v>
      </c>
      <c r="S989" s="4219" t="s">
        <v>2297</v>
      </c>
      <c r="T989" s="4173" t="s">
        <v>321</v>
      </c>
      <c r="U989" s="3726" t="s">
        <v>3367</v>
      </c>
      <c r="V989" s="3711" t="s">
        <v>1147</v>
      </c>
      <c r="W989" s="3711"/>
      <c r="X989" s="4503" t="s">
        <v>98</v>
      </c>
      <c r="Y989" s="3711" t="s">
        <v>5769</v>
      </c>
      <c r="Z989" s="3712"/>
      <c r="AA989" s="3680" t="s">
        <v>5770</v>
      </c>
      <c r="AB989" s="4154" t="s">
        <v>5771</v>
      </c>
      <c r="AC989" s="4616">
        <v>1.2539</v>
      </c>
      <c r="AD989" s="4154">
        <f t="shared" si="535"/>
        <v>932.9016</v>
      </c>
      <c r="AE989" s="4617"/>
      <c r="AF989" s="3708" t="s">
        <v>2627</v>
      </c>
      <c r="AG989" s="3726" t="s">
        <v>416</v>
      </c>
      <c r="AH989" s="3708"/>
      <c r="AI989" s="4154"/>
      <c r="AJ989" s="4154">
        <f t="shared" si="544"/>
        <v>744</v>
      </c>
      <c r="AK989" s="3708"/>
      <c r="AL989" s="3708"/>
      <c r="AM989" s="3708"/>
      <c r="AN989" s="4154"/>
      <c r="AO989" s="4154"/>
      <c r="AP989" s="4154">
        <f t="shared" si="536"/>
        <v>744</v>
      </c>
      <c r="AQ989" s="1048"/>
      <c r="AR989" s="1040"/>
      <c r="AS989" s="1048">
        <f t="shared" si="545"/>
        <v>744</v>
      </c>
      <c r="AT989" s="1040"/>
      <c r="AU989" s="1048"/>
      <c r="AV989" s="1048"/>
      <c r="AW989" s="1048"/>
      <c r="AX989" s="1048"/>
      <c r="AY989" s="1048"/>
      <c r="AZ989" s="1048"/>
      <c r="BA989" s="1048"/>
      <c r="BB989" s="1048"/>
      <c r="BC989" s="1048"/>
      <c r="BD989" s="1048"/>
      <c r="BE989" s="1048"/>
      <c r="BF989" s="1048" t="s">
        <v>89</v>
      </c>
      <c r="BG989" s="4505"/>
      <c r="BH989" s="4510">
        <f>I989/60*6</f>
        <v>74.4</v>
      </c>
      <c r="BI989" s="4510">
        <f>I989/60*4</f>
        <v>49.6</v>
      </c>
      <c r="BJ989" s="4510">
        <f>I989/60*15</f>
        <v>186</v>
      </c>
      <c r="BK989" s="4510">
        <f>I989/60*8</f>
        <v>99.2</v>
      </c>
      <c r="BL989" s="4510">
        <f>I989/60*7</f>
        <v>86.8</v>
      </c>
      <c r="BM989" s="4586">
        <f>I989/60*9</f>
        <v>111.6</v>
      </c>
      <c r="BN989" s="4587">
        <f t="shared" si="549"/>
        <v>136.4</v>
      </c>
      <c r="BO989" s="4571"/>
      <c r="BP989" s="4571"/>
      <c r="BQ989" s="4571"/>
      <c r="BR989" s="4612"/>
      <c r="BS989" s="4573"/>
      <c r="BT989" s="4573"/>
      <c r="BU989" s="4573"/>
      <c r="BV989" s="4505">
        <f t="shared" si="550"/>
        <v>744</v>
      </c>
      <c r="BW989" s="4505">
        <f t="shared" si="519"/>
        <v>0</v>
      </c>
      <c r="BX989" s="4323"/>
      <c r="BY989" s="4323"/>
      <c r="BZ989" s="4323"/>
      <c r="CA989" s="4511"/>
      <c r="CC989" s="4512"/>
      <c r="CD989" s="4511"/>
    </row>
    <row r="990" s="4316" customFormat="1" ht="50" customHeight="1" spans="1:82 16328:16384">
      <c r="A990" s="4500">
        <v>46101</v>
      </c>
      <c r="B990" s="4501" t="s">
        <v>2538</v>
      </c>
      <c r="C990" s="4614" t="s">
        <v>91</v>
      </c>
      <c r="D990" s="4502">
        <v>4500197840</v>
      </c>
      <c r="E990" s="3708">
        <v>1764236</v>
      </c>
      <c r="F990" s="4615" t="s">
        <v>5772</v>
      </c>
      <c r="G990" s="3708" t="s">
        <v>2627</v>
      </c>
      <c r="H990" s="4154" t="s">
        <v>2591</v>
      </c>
      <c r="I990" s="4154">
        <v>456</v>
      </c>
      <c r="J990" s="4154">
        <v>0</v>
      </c>
      <c r="K990" s="4154">
        <v>24</v>
      </c>
      <c r="L990" s="4154">
        <f t="shared" si="507"/>
        <v>19</v>
      </c>
      <c r="M990" s="4503">
        <v>46142</v>
      </c>
      <c r="N990" s="4503">
        <v>46139</v>
      </c>
      <c r="O990" s="3708"/>
      <c r="P990" s="4527" t="s">
        <v>82</v>
      </c>
      <c r="Q990" s="4157">
        <v>456</v>
      </c>
      <c r="R990" s="4157">
        <f t="shared" si="509"/>
        <v>0</v>
      </c>
      <c r="S990" s="4219" t="s">
        <v>2297</v>
      </c>
      <c r="T990" s="4173" t="s">
        <v>321</v>
      </c>
      <c r="U990" s="3726" t="s">
        <v>3367</v>
      </c>
      <c r="V990" s="3711" t="s">
        <v>1147</v>
      </c>
      <c r="W990" s="3711"/>
      <c r="X990" s="4503" t="s">
        <v>98</v>
      </c>
      <c r="Y990" s="3711" t="s">
        <v>5769</v>
      </c>
      <c r="Z990" s="3712"/>
      <c r="AA990" s="3680" t="s">
        <v>5770</v>
      </c>
      <c r="AB990" s="4154" t="s">
        <v>5771</v>
      </c>
      <c r="AC990" s="4616">
        <v>1.2539</v>
      </c>
      <c r="AD990" s="4154">
        <f t="shared" si="535"/>
        <v>571.7784</v>
      </c>
      <c r="AE990" s="4617"/>
      <c r="AF990" s="3708" t="s">
        <v>2627</v>
      </c>
      <c r="AG990" s="3726" t="s">
        <v>416</v>
      </c>
      <c r="AH990" s="3708"/>
      <c r="AI990" s="4154"/>
      <c r="AJ990" s="4154">
        <f t="shared" si="544"/>
        <v>456</v>
      </c>
      <c r="AK990" s="3708"/>
      <c r="AL990" s="3708"/>
      <c r="AM990" s="3708"/>
      <c r="AN990" s="4154"/>
      <c r="AO990" s="4154"/>
      <c r="AP990" s="4154">
        <f t="shared" si="536"/>
        <v>456</v>
      </c>
      <c r="AQ990" s="1048"/>
      <c r="AR990" s="1040"/>
      <c r="AS990" s="1048">
        <f t="shared" si="545"/>
        <v>456</v>
      </c>
      <c r="AT990" s="1040"/>
      <c r="AU990" s="1048"/>
      <c r="AV990" s="1048"/>
      <c r="AW990" s="1048"/>
      <c r="AX990" s="1048"/>
      <c r="AY990" s="1048"/>
      <c r="AZ990" s="1048"/>
      <c r="BA990" s="1048"/>
      <c r="BB990" s="1048"/>
      <c r="BC990" s="1048"/>
      <c r="BD990" s="1048"/>
      <c r="BE990" s="1048"/>
      <c r="BF990" s="1048" t="s">
        <v>89</v>
      </c>
      <c r="BG990" s="4505"/>
      <c r="BH990" s="4510">
        <f>I990/60*6</f>
        <v>45.6</v>
      </c>
      <c r="BI990" s="4510">
        <f>I990/60*4</f>
        <v>30.4</v>
      </c>
      <c r="BJ990" s="4510">
        <f>I990/60*15</f>
        <v>114</v>
      </c>
      <c r="BK990" s="4510">
        <f>I990/60*8</f>
        <v>60.8</v>
      </c>
      <c r="BL990" s="4510">
        <f>I990/60*7</f>
        <v>53.2</v>
      </c>
      <c r="BM990" s="4586">
        <f>I990/60*9</f>
        <v>68.4</v>
      </c>
      <c r="BN990" s="4587">
        <f t="shared" si="549"/>
        <v>83.6</v>
      </c>
      <c r="BO990" s="4571"/>
      <c r="BP990" s="4571"/>
      <c r="BQ990" s="4571"/>
      <c r="BR990" s="4612"/>
      <c r="BS990" s="4573"/>
      <c r="BT990" s="4573"/>
      <c r="BU990" s="4573"/>
      <c r="BV990" s="4505">
        <f t="shared" si="550"/>
        <v>456</v>
      </c>
      <c r="BW990" s="4505">
        <f t="shared" si="519"/>
        <v>0</v>
      </c>
      <c r="BX990" s="4323"/>
      <c r="BY990" s="4323"/>
      <c r="BZ990" s="4323"/>
      <c r="CA990" s="4511"/>
      <c r="CC990" s="4512"/>
      <c r="CD990" s="4511"/>
    </row>
    <row r="991" s="4316" customFormat="1" ht="50" customHeight="1" spans="1:82 16328:16384">
      <c r="A991" s="4500">
        <v>46094</v>
      </c>
      <c r="B991" s="4501" t="s">
        <v>1409</v>
      </c>
      <c r="C991" s="3708" t="s">
        <v>1410</v>
      </c>
      <c r="D991" s="4502">
        <v>4500196664</v>
      </c>
      <c r="E991" s="3708" t="s">
        <v>5773</v>
      </c>
      <c r="F991" s="4502" t="s">
        <v>5774</v>
      </c>
      <c r="G991" s="3708" t="s">
        <v>2627</v>
      </c>
      <c r="H991" s="4154" t="s">
        <v>2591</v>
      </c>
      <c r="I991" s="4154">
        <v>504</v>
      </c>
      <c r="J991" s="4154">
        <v>0</v>
      </c>
      <c r="K991" s="4154">
        <v>24</v>
      </c>
      <c r="L991" s="4154">
        <f t="shared" si="507"/>
        <v>21</v>
      </c>
      <c r="M991" s="4503">
        <v>46139</v>
      </c>
      <c r="N991" s="4553">
        <v>46135</v>
      </c>
      <c r="O991" s="4117"/>
      <c r="P991" s="4527" t="s">
        <v>82</v>
      </c>
      <c r="Q991" s="4157">
        <v>504</v>
      </c>
      <c r="R991" s="4157">
        <f t="shared" si="509"/>
        <v>0</v>
      </c>
      <c r="S991" s="4173" t="s">
        <v>98</v>
      </c>
      <c r="T991" s="4173" t="s">
        <v>321</v>
      </c>
      <c r="U991" s="3726" t="s">
        <v>3367</v>
      </c>
      <c r="V991" s="3711" t="s">
        <v>1124</v>
      </c>
      <c r="W991" s="3711"/>
      <c r="X991" s="3711" t="s">
        <v>98</v>
      </c>
      <c r="Y991" s="3711"/>
      <c r="Z991" s="4154"/>
      <c r="AA991" s="3680" t="s">
        <v>5775</v>
      </c>
      <c r="AB991" s="4154" t="s">
        <v>892</v>
      </c>
      <c r="AC991" s="3699">
        <v>2.1392</v>
      </c>
      <c r="AD991" s="4154">
        <f t="shared" si="535"/>
        <v>1078.1568</v>
      </c>
      <c r="AE991" s="3726"/>
      <c r="AF991" s="3708" t="s">
        <v>2627</v>
      </c>
      <c r="AG991" s="3726" t="s">
        <v>416</v>
      </c>
      <c r="AH991" s="4154"/>
      <c r="AI991" s="3708"/>
      <c r="AJ991" s="4575">
        <f t="shared" si="544"/>
        <v>504</v>
      </c>
      <c r="AK991" s="4154"/>
      <c r="AL991" s="4154"/>
      <c r="AM991" s="3708"/>
      <c r="AN991" s="1048"/>
      <c r="AO991" s="1048"/>
      <c r="AP991" s="4154">
        <f t="shared" si="536"/>
        <v>504</v>
      </c>
      <c r="AQ991" s="1048"/>
      <c r="AR991" s="1040"/>
      <c r="AS991" s="4510">
        <f t="shared" si="545"/>
        <v>504</v>
      </c>
      <c r="AT991" s="1040"/>
      <c r="AU991" s="1048"/>
      <c r="AV991" s="1048"/>
      <c r="AW991" s="4510"/>
      <c r="AX991" s="1048"/>
      <c r="AY991" s="1048"/>
      <c r="AZ991" s="1048"/>
      <c r="BA991" s="1048"/>
      <c r="BB991" s="1048"/>
      <c r="BC991" s="1048"/>
      <c r="BD991" s="1048"/>
      <c r="BE991" s="1048"/>
      <c r="BF991" s="1048" t="s">
        <v>89</v>
      </c>
      <c r="BG991" s="4505"/>
      <c r="BH991" s="4510">
        <f>I991/60*10</f>
        <v>84</v>
      </c>
      <c r="BI991" s="4510">
        <f>I991/60*10</f>
        <v>84</v>
      </c>
      <c r="BJ991" s="4510">
        <f>I991/60*10</f>
        <v>84</v>
      </c>
      <c r="BK991" s="4510">
        <f>I991/60*10</f>
        <v>84</v>
      </c>
      <c r="BL991" s="4510">
        <f>I991/60*10</f>
        <v>84</v>
      </c>
      <c r="BM991" s="4586">
        <f>I991/60*8</f>
        <v>67.2</v>
      </c>
      <c r="BN991" s="4587">
        <f>I991/60*2</f>
        <v>16.8</v>
      </c>
      <c r="BO991" s="4571"/>
      <c r="BP991" s="4571"/>
      <c r="BQ991" s="4571"/>
      <c r="BR991" s="4612"/>
      <c r="BS991" s="4573"/>
      <c r="BT991" s="4573"/>
      <c r="BU991" s="4573"/>
      <c r="BV991" s="4505">
        <f t="shared" si="550"/>
        <v>504</v>
      </c>
      <c r="BW991" s="4505">
        <f t="shared" si="519"/>
        <v>0</v>
      </c>
      <c r="BX991" s="4323"/>
      <c r="BY991" s="4323"/>
      <c r="BZ991" s="4323"/>
      <c r="CA991" s="4511"/>
      <c r="CC991" s="4512"/>
      <c r="CD991" s="4511"/>
    </row>
    <row r="992" s="4316" customFormat="1" ht="50" customHeight="1" spans="1:82 16328:16384">
      <c r="A992" s="4500">
        <v>46101</v>
      </c>
      <c r="B992" s="3708" t="s">
        <v>1641</v>
      </c>
      <c r="C992" s="3708" t="s">
        <v>396</v>
      </c>
      <c r="D992" s="4154">
        <v>4500197925</v>
      </c>
      <c r="E992" s="3708" t="s">
        <v>5776</v>
      </c>
      <c r="F992" s="4154" t="s">
        <v>5777</v>
      </c>
      <c r="G992" s="3708" t="s">
        <v>2680</v>
      </c>
      <c r="H992" s="3708" t="s">
        <v>2632</v>
      </c>
      <c r="I992" s="4154">
        <v>12</v>
      </c>
      <c r="J992" s="4154">
        <v>0</v>
      </c>
      <c r="K992" s="4154">
        <v>12</v>
      </c>
      <c r="L992" s="4154">
        <f t="shared" si="507"/>
        <v>1</v>
      </c>
      <c r="M992" s="4503">
        <v>46149</v>
      </c>
      <c r="N992" s="4503">
        <v>46146</v>
      </c>
      <c r="O992" s="4117"/>
      <c r="P992" s="4527" t="s">
        <v>82</v>
      </c>
      <c r="Q992" s="4157">
        <v>12</v>
      </c>
      <c r="R992" s="4157">
        <f t="shared" si="509"/>
        <v>0</v>
      </c>
      <c r="S992" s="4172" t="s">
        <v>2297</v>
      </c>
      <c r="T992" s="4173" t="s">
        <v>321</v>
      </c>
      <c r="U992" s="3680" t="s">
        <v>5778</v>
      </c>
      <c r="V992" s="3711" t="s">
        <v>3462</v>
      </c>
      <c r="W992" s="3711"/>
      <c r="X992" s="3711" t="s">
        <v>4163</v>
      </c>
      <c r="Y992" s="3711" t="s">
        <v>5779</v>
      </c>
      <c r="Z992" s="3712"/>
      <c r="AA992" s="3680" t="s">
        <v>5780</v>
      </c>
      <c r="AB992" s="4154" t="s">
        <v>369</v>
      </c>
      <c r="AC992" s="4616">
        <v>2.0915</v>
      </c>
      <c r="AD992" s="4154">
        <f t="shared" si="535"/>
        <v>25.098</v>
      </c>
      <c r="AE992" s="3726"/>
      <c r="AF992" s="3708" t="s">
        <v>2680</v>
      </c>
      <c r="AG992" s="3726" t="s">
        <v>416</v>
      </c>
      <c r="AH992" s="3708"/>
      <c r="AI992" s="4154"/>
      <c r="AJ992" s="4154"/>
      <c r="AK992" s="3708"/>
      <c r="AL992" s="3708"/>
      <c r="AM992" s="3708">
        <f>I992</f>
        <v>12</v>
      </c>
      <c r="AN992" s="4154"/>
      <c r="AO992" s="4154"/>
      <c r="AP992" s="4154">
        <f t="shared" si="536"/>
        <v>12</v>
      </c>
      <c r="AQ992" s="1048"/>
      <c r="AR992" s="1048"/>
      <c r="AS992" s="1048"/>
      <c r="AT992" s="1048"/>
      <c r="AU992" s="1048">
        <f>I992</f>
        <v>12</v>
      </c>
      <c r="AV992" s="1048"/>
      <c r="AW992" s="1048"/>
      <c r="AX992" s="1048"/>
      <c r="AY992" s="1048"/>
      <c r="AZ992" s="1048"/>
      <c r="BA992" s="1048"/>
      <c r="BB992" s="1048"/>
      <c r="BC992" s="1048"/>
      <c r="BD992" s="1048"/>
      <c r="BE992" s="1048"/>
      <c r="BF992" s="1048" t="s">
        <v>89</v>
      </c>
      <c r="BG992" s="4505"/>
      <c r="BH992" s="4510"/>
      <c r="BI992" s="4510"/>
      <c r="BJ992" s="4510">
        <f>I992</f>
        <v>12</v>
      </c>
      <c r="BK992" s="4510"/>
      <c r="BL992" s="4510"/>
      <c r="BM992" s="4586"/>
      <c r="BN992" s="4587"/>
      <c r="BO992" s="1049"/>
      <c r="BP992" s="1049"/>
      <c r="BQ992" s="1049"/>
      <c r="BR992" s="1050"/>
      <c r="BS992" s="1051"/>
      <c r="BT992" s="1051"/>
      <c r="BU992" s="1051"/>
      <c r="BV992" s="4505">
        <f>SUM(BH992:BN992)</f>
        <v>12</v>
      </c>
      <c r="BW992" s="4506">
        <f t="shared" si="519"/>
        <v>0</v>
      </c>
      <c r="BX992" s="4323"/>
      <c r="BY992" s="4323"/>
      <c r="BZ992" s="4323"/>
      <c r="CA992" s="4511"/>
      <c r="CC992" s="4512"/>
      <c r="CD992" s="4511"/>
      <c r="XCZ992" s="4618"/>
      <c r="XDA992" s="4618"/>
      <c r="XDB992" s="4618"/>
      <c r="XDC992" s="4618"/>
      <c r="XDD992" s="4618"/>
      <c r="XDE992" s="4618"/>
      <c r="XDF992" s="4618"/>
      <c r="XDG992" s="4618"/>
      <c r="XDH992" s="4618"/>
      <c r="XDI992" s="4618"/>
      <c r="XDJ992" s="4618"/>
      <c r="XDK992" s="4618"/>
      <c r="XDL992" s="4618"/>
      <c r="XDM992" s="4618"/>
      <c r="XDN992" s="4618"/>
      <c r="XDO992" s="4618"/>
      <c r="XDP992" s="4618"/>
      <c r="XDQ992" s="4618"/>
      <c r="XDR992" s="4618"/>
      <c r="XDS992" s="4618"/>
      <c r="XDT992" s="4618"/>
      <c r="XDU992" s="4618"/>
      <c r="XDV992" s="4618"/>
      <c r="XDW992" s="4618"/>
      <c r="XDX992" s="4618"/>
      <c r="XDY992" s="4618"/>
      <c r="XDZ992" s="4618"/>
      <c r="XEA992" s="4618"/>
      <c r="XEB992" s="4618"/>
      <c r="XEC992" s="4618"/>
      <c r="XED992" s="4618"/>
      <c r="XEE992" s="4618"/>
      <c r="XEF992" s="4618"/>
      <c r="XEG992" s="4618"/>
      <c r="XEH992" s="4618"/>
      <c r="XEI992" s="4618"/>
      <c r="XEJ992" s="4618"/>
      <c r="XEK992" s="4618"/>
      <c r="XEL992" s="4618"/>
      <c r="XEM992" s="4618"/>
      <c r="XEN992" s="4618"/>
      <c r="XEO992" s="4618"/>
      <c r="XEP992" s="4618"/>
      <c r="XEQ992" s="4618"/>
      <c r="XER992" s="4618"/>
      <c r="XES992" s="4618"/>
      <c r="XET992" s="4618"/>
      <c r="XEU992" s="4618"/>
      <c r="XEV992" s="4618"/>
      <c r="XEW992" s="4618"/>
      <c r="XEX992" s="4618"/>
      <c r="XEY992" s="4618"/>
      <c r="XEZ992" s="4618"/>
      <c r="XFA992" s="4618"/>
      <c r="XFB992" s="4618"/>
      <c r="XFC992" s="4618"/>
      <c r="XFD992" s="4618"/>
    </row>
    <row r="993" s="4316" customFormat="1" ht="50" customHeight="1" spans="1:82 16328:16384">
      <c r="A993" s="4500">
        <v>46101</v>
      </c>
      <c r="B993" s="3708" t="s">
        <v>1641</v>
      </c>
      <c r="C993" s="3708" t="s">
        <v>396</v>
      </c>
      <c r="D993" s="4154">
        <v>4500197925</v>
      </c>
      <c r="E993" s="3708" t="s">
        <v>5781</v>
      </c>
      <c r="F993" s="4154" t="s">
        <v>5782</v>
      </c>
      <c r="G993" s="3708" t="s">
        <v>2680</v>
      </c>
      <c r="H993" s="3708" t="s">
        <v>2632</v>
      </c>
      <c r="I993" s="4154">
        <v>12</v>
      </c>
      <c r="J993" s="4154">
        <v>0</v>
      </c>
      <c r="K993" s="4154">
        <v>12</v>
      </c>
      <c r="L993" s="4154">
        <f t="shared" si="507"/>
        <v>1</v>
      </c>
      <c r="M993" s="4503">
        <v>46149</v>
      </c>
      <c r="N993" s="4503">
        <v>46146</v>
      </c>
      <c r="O993" s="4117"/>
      <c r="P993" s="4527" t="s">
        <v>82</v>
      </c>
      <c r="Q993" s="4157">
        <v>12</v>
      </c>
      <c r="R993" s="4157">
        <f t="shared" si="509"/>
        <v>0</v>
      </c>
      <c r="S993" s="4599"/>
      <c r="T993" s="4173" t="s">
        <v>321</v>
      </c>
      <c r="U993" s="3680" t="s">
        <v>5778</v>
      </c>
      <c r="V993" s="3711" t="s">
        <v>3462</v>
      </c>
      <c r="W993" s="3711"/>
      <c r="X993" s="3711" t="s">
        <v>4163</v>
      </c>
      <c r="Y993" s="3711" t="s">
        <v>5779</v>
      </c>
      <c r="Z993" s="3712"/>
      <c r="AA993" s="3680" t="s">
        <v>5780</v>
      </c>
      <c r="AB993" s="4154" t="s">
        <v>369</v>
      </c>
      <c r="AC993" s="4616">
        <v>2.0915</v>
      </c>
      <c r="AD993" s="4154">
        <f t="shared" si="535"/>
        <v>25.098</v>
      </c>
      <c r="AE993" s="3726"/>
      <c r="AF993" s="3708" t="s">
        <v>2680</v>
      </c>
      <c r="AG993" s="3726" t="s">
        <v>416</v>
      </c>
      <c r="AH993" s="3708"/>
      <c r="AI993" s="4154"/>
      <c r="AJ993" s="4154"/>
      <c r="AK993" s="3708"/>
      <c r="AL993" s="3708"/>
      <c r="AM993" s="3708">
        <f t="shared" ref="AM993:AM999" si="554">I993</f>
        <v>12</v>
      </c>
      <c r="AN993" s="4154"/>
      <c r="AO993" s="4154"/>
      <c r="AP993" s="4154">
        <f t="shared" si="536"/>
        <v>12</v>
      </c>
      <c r="AQ993" s="1048"/>
      <c r="AR993" s="1048"/>
      <c r="AS993" s="1048"/>
      <c r="AT993" s="1048"/>
      <c r="AU993" s="1048">
        <f t="shared" ref="AU993:AU999" si="555">I993</f>
        <v>12</v>
      </c>
      <c r="AV993" s="1048"/>
      <c r="AW993" s="1048"/>
      <c r="AX993" s="1048"/>
      <c r="AY993" s="1048"/>
      <c r="AZ993" s="1048"/>
      <c r="BA993" s="1048"/>
      <c r="BB993" s="1048"/>
      <c r="BC993" s="1048"/>
      <c r="BD993" s="1048"/>
      <c r="BE993" s="1048"/>
      <c r="BF993" s="1048" t="s">
        <v>89</v>
      </c>
      <c r="BG993" s="4505"/>
      <c r="BH993" s="4510"/>
      <c r="BI993" s="4510"/>
      <c r="BJ993" s="4510">
        <f>I993</f>
        <v>12</v>
      </c>
      <c r="BK993" s="4510"/>
      <c r="BL993" s="4510"/>
      <c r="BM993" s="4586"/>
      <c r="BN993" s="4587"/>
      <c r="BO993" s="1049"/>
      <c r="BP993" s="1049"/>
      <c r="BQ993" s="1049"/>
      <c r="BR993" s="1050"/>
      <c r="BS993" s="1051"/>
      <c r="BT993" s="1051"/>
      <c r="BU993" s="1051"/>
      <c r="BV993" s="4505">
        <f t="shared" ref="BV993:BV1008" si="556">SUM(BH993:BN993)</f>
        <v>12</v>
      </c>
      <c r="BW993" s="4506">
        <f t="shared" si="519"/>
        <v>0</v>
      </c>
      <c r="BX993" s="4323"/>
      <c r="BY993" s="4323"/>
      <c r="BZ993" s="4323"/>
      <c r="CA993" s="4511"/>
      <c r="CC993" s="4512"/>
      <c r="CD993" s="4511"/>
      <c r="XCZ993" s="4618"/>
      <c r="XDA993" s="4618"/>
      <c r="XDB993" s="4618"/>
      <c r="XDC993" s="4618"/>
      <c r="XDD993" s="4618"/>
      <c r="XDE993" s="4618"/>
      <c r="XDF993" s="4618"/>
      <c r="XDG993" s="4618"/>
      <c r="XDH993" s="4618"/>
      <c r="XDI993" s="4618"/>
      <c r="XDJ993" s="4618"/>
      <c r="XDK993" s="4618"/>
      <c r="XDL993" s="4618"/>
      <c r="XDM993" s="4618"/>
      <c r="XDN993" s="4618"/>
      <c r="XDO993" s="4618"/>
      <c r="XDP993" s="4618"/>
      <c r="XDQ993" s="4618"/>
      <c r="XDR993" s="4618"/>
      <c r="XDS993" s="4618"/>
      <c r="XDT993" s="4618"/>
      <c r="XDU993" s="4618"/>
      <c r="XDV993" s="4618"/>
      <c r="XDW993" s="4618"/>
      <c r="XDX993" s="4618"/>
      <c r="XDY993" s="4618"/>
      <c r="XDZ993" s="4618"/>
      <c r="XEA993" s="4618"/>
      <c r="XEB993" s="4618"/>
      <c r="XEC993" s="4618"/>
      <c r="XED993" s="4618"/>
      <c r="XEE993" s="4618"/>
      <c r="XEF993" s="4618"/>
      <c r="XEG993" s="4618"/>
      <c r="XEH993" s="4618"/>
      <c r="XEI993" s="4618"/>
      <c r="XEJ993" s="4618"/>
      <c r="XEK993" s="4618"/>
      <c r="XEL993" s="4618"/>
      <c r="XEM993" s="4618"/>
      <c r="XEN993" s="4618"/>
      <c r="XEO993" s="4618"/>
      <c r="XEP993" s="4618"/>
      <c r="XEQ993" s="4618"/>
      <c r="XER993" s="4618"/>
      <c r="XES993" s="4618"/>
      <c r="XET993" s="4618"/>
      <c r="XEU993" s="4618"/>
      <c r="XEV993" s="4618"/>
      <c r="XEW993" s="4618"/>
      <c r="XEX993" s="4618"/>
      <c r="XEY993" s="4618"/>
      <c r="XEZ993" s="4618"/>
      <c r="XFA993" s="4618"/>
      <c r="XFB993" s="4618"/>
      <c r="XFC993" s="4618"/>
      <c r="XFD993" s="4618"/>
    </row>
    <row r="994" s="4316" customFormat="1" ht="50" customHeight="1" spans="1:82 16328:16384">
      <c r="A994" s="4500">
        <v>46101</v>
      </c>
      <c r="B994" s="3708" t="s">
        <v>1641</v>
      </c>
      <c r="C994" s="3708" t="s">
        <v>396</v>
      </c>
      <c r="D994" s="4154">
        <v>4500197925</v>
      </c>
      <c r="E994" s="3708" t="s">
        <v>5783</v>
      </c>
      <c r="F994" s="4154" t="s">
        <v>5784</v>
      </c>
      <c r="G994" s="3708" t="s">
        <v>2680</v>
      </c>
      <c r="H994" s="3708" t="s">
        <v>2632</v>
      </c>
      <c r="I994" s="4154">
        <v>12</v>
      </c>
      <c r="J994" s="4154">
        <v>0</v>
      </c>
      <c r="K994" s="4154">
        <v>12</v>
      </c>
      <c r="L994" s="4154">
        <f t="shared" si="507"/>
        <v>1</v>
      </c>
      <c r="M994" s="4503">
        <v>46149</v>
      </c>
      <c r="N994" s="4503">
        <v>46146</v>
      </c>
      <c r="O994" s="4117"/>
      <c r="P994" s="4527" t="s">
        <v>82</v>
      </c>
      <c r="Q994" s="4157">
        <v>12</v>
      </c>
      <c r="R994" s="4157">
        <f t="shared" si="509"/>
        <v>0</v>
      </c>
      <c r="S994" s="4600"/>
      <c r="T994" s="4173" t="s">
        <v>321</v>
      </c>
      <c r="U994" s="3680" t="s">
        <v>5778</v>
      </c>
      <c r="V994" s="3711" t="s">
        <v>3462</v>
      </c>
      <c r="W994" s="3711"/>
      <c r="X994" s="3711" t="s">
        <v>4163</v>
      </c>
      <c r="Y994" s="3711" t="s">
        <v>5779</v>
      </c>
      <c r="Z994" s="3712"/>
      <c r="AA994" s="3680" t="s">
        <v>5780</v>
      </c>
      <c r="AB994" s="4154" t="s">
        <v>369</v>
      </c>
      <c r="AC994" s="4616">
        <v>2.0915</v>
      </c>
      <c r="AD994" s="4154">
        <f t="shared" si="535"/>
        <v>25.098</v>
      </c>
      <c r="AE994" s="3726"/>
      <c r="AF994" s="3708" t="s">
        <v>2680</v>
      </c>
      <c r="AG994" s="3726" t="s">
        <v>416</v>
      </c>
      <c r="AH994" s="3708"/>
      <c r="AI994" s="4154"/>
      <c r="AJ994" s="4154"/>
      <c r="AK994" s="3708"/>
      <c r="AL994" s="3708"/>
      <c r="AM994" s="3708">
        <f t="shared" si="554"/>
        <v>12</v>
      </c>
      <c r="AN994" s="4154"/>
      <c r="AO994" s="4154"/>
      <c r="AP994" s="4154">
        <f t="shared" si="536"/>
        <v>12</v>
      </c>
      <c r="AQ994" s="1048"/>
      <c r="AR994" s="1048"/>
      <c r="AS994" s="1048"/>
      <c r="AT994" s="1048"/>
      <c r="AU994" s="1048">
        <f t="shared" si="555"/>
        <v>12</v>
      </c>
      <c r="AV994" s="1048"/>
      <c r="AW994" s="1048"/>
      <c r="AX994" s="1048"/>
      <c r="AY994" s="1048"/>
      <c r="AZ994" s="1048"/>
      <c r="BA994" s="1048"/>
      <c r="BB994" s="1048"/>
      <c r="BC994" s="1048"/>
      <c r="BD994" s="1048"/>
      <c r="BE994" s="1048"/>
      <c r="BF994" s="1048" t="s">
        <v>89</v>
      </c>
      <c r="BG994" s="4505"/>
      <c r="BH994" s="4510"/>
      <c r="BI994" s="4510"/>
      <c r="BJ994" s="4510">
        <f>I994</f>
        <v>12</v>
      </c>
      <c r="BK994" s="4510"/>
      <c r="BL994" s="4510"/>
      <c r="BM994" s="4586"/>
      <c r="BN994" s="4587"/>
      <c r="BO994" s="1049"/>
      <c r="BP994" s="1049"/>
      <c r="BQ994" s="1049"/>
      <c r="BR994" s="1050"/>
      <c r="BS994" s="1051"/>
      <c r="BT994" s="1051"/>
      <c r="BU994" s="1051"/>
      <c r="BV994" s="4505">
        <f t="shared" si="556"/>
        <v>12</v>
      </c>
      <c r="BW994" s="4506">
        <f t="shared" si="519"/>
        <v>0</v>
      </c>
      <c r="BX994" s="4323"/>
      <c r="BY994" s="4323"/>
      <c r="BZ994" s="4323"/>
      <c r="CA994" s="4511"/>
      <c r="CC994" s="4512"/>
      <c r="CD994" s="4511"/>
      <c r="XCZ994" s="4618"/>
      <c r="XDA994" s="4618"/>
      <c r="XDB994" s="4618"/>
      <c r="XDC994" s="4618"/>
      <c r="XDD994" s="4618"/>
      <c r="XDE994" s="4618"/>
      <c r="XDF994" s="4618"/>
      <c r="XDG994" s="4618"/>
      <c r="XDH994" s="4618"/>
      <c r="XDI994" s="4618"/>
      <c r="XDJ994" s="4618"/>
      <c r="XDK994" s="4618"/>
      <c r="XDL994" s="4618"/>
      <c r="XDM994" s="4618"/>
      <c r="XDN994" s="4618"/>
      <c r="XDO994" s="4618"/>
      <c r="XDP994" s="4618"/>
      <c r="XDQ994" s="4618"/>
      <c r="XDR994" s="4618"/>
      <c r="XDS994" s="4618"/>
      <c r="XDT994" s="4618"/>
      <c r="XDU994" s="4618"/>
      <c r="XDV994" s="4618"/>
      <c r="XDW994" s="4618"/>
      <c r="XDX994" s="4618"/>
      <c r="XDY994" s="4618"/>
      <c r="XDZ994" s="4618"/>
      <c r="XEA994" s="4618"/>
      <c r="XEB994" s="4618"/>
      <c r="XEC994" s="4618"/>
      <c r="XED994" s="4618"/>
      <c r="XEE994" s="4618"/>
      <c r="XEF994" s="4618"/>
      <c r="XEG994" s="4618"/>
      <c r="XEH994" s="4618"/>
      <c r="XEI994" s="4618"/>
      <c r="XEJ994" s="4618"/>
      <c r="XEK994" s="4618"/>
      <c r="XEL994" s="4618"/>
      <c r="XEM994" s="4618"/>
      <c r="XEN994" s="4618"/>
      <c r="XEO994" s="4618"/>
      <c r="XEP994" s="4618"/>
      <c r="XEQ994" s="4618"/>
      <c r="XER994" s="4618"/>
      <c r="XES994" s="4618"/>
      <c r="XET994" s="4618"/>
      <c r="XEU994" s="4618"/>
      <c r="XEV994" s="4618"/>
      <c r="XEW994" s="4618"/>
      <c r="XEX994" s="4618"/>
      <c r="XEY994" s="4618"/>
      <c r="XEZ994" s="4618"/>
      <c r="XFA994" s="4618"/>
      <c r="XFB994" s="4618"/>
      <c r="XFC994" s="4618"/>
      <c r="XFD994" s="4618"/>
    </row>
    <row r="995" s="4316" customFormat="1" ht="50" customHeight="1" spans="1:82 16328:16384">
      <c r="A995" s="4500">
        <v>46101</v>
      </c>
      <c r="B995" s="3708" t="s">
        <v>1641</v>
      </c>
      <c r="C995" s="3708" t="s">
        <v>396</v>
      </c>
      <c r="D995" s="4154">
        <v>4500197925</v>
      </c>
      <c r="E995" s="3708" t="s">
        <v>5785</v>
      </c>
      <c r="F995" s="4154" t="s">
        <v>5786</v>
      </c>
      <c r="G995" s="3708" t="s">
        <v>3021</v>
      </c>
      <c r="H995" s="3708" t="s">
        <v>2984</v>
      </c>
      <c r="I995" s="4154">
        <v>12</v>
      </c>
      <c r="J995" s="4154">
        <v>0</v>
      </c>
      <c r="K995" s="4154">
        <v>12</v>
      </c>
      <c r="L995" s="4154">
        <f t="shared" si="507"/>
        <v>1</v>
      </c>
      <c r="M995" s="4503">
        <v>46149</v>
      </c>
      <c r="N995" s="4503">
        <v>46146</v>
      </c>
      <c r="O995" s="4117"/>
      <c r="P995" s="4527" t="s">
        <v>82</v>
      </c>
      <c r="Q995" s="4157">
        <v>12</v>
      </c>
      <c r="R995" s="4157">
        <f t="shared" si="509"/>
        <v>0</v>
      </c>
      <c r="S995" s="4219" t="s">
        <v>2297</v>
      </c>
      <c r="T995" s="4173" t="s">
        <v>321</v>
      </c>
      <c r="U995" s="3680" t="s">
        <v>5778</v>
      </c>
      <c r="V995" s="3711" t="s">
        <v>3462</v>
      </c>
      <c r="W995" s="3711"/>
      <c r="X995" s="3711" t="s">
        <v>4163</v>
      </c>
      <c r="Y995" s="3711" t="s">
        <v>5779</v>
      </c>
      <c r="Z995" s="3712"/>
      <c r="AA995" s="3680" t="s">
        <v>5780</v>
      </c>
      <c r="AB995" s="4154" t="s">
        <v>369</v>
      </c>
      <c r="AC995" s="4616">
        <v>2.1418</v>
      </c>
      <c r="AD995" s="4154">
        <f t="shared" si="535"/>
        <v>25.7016</v>
      </c>
      <c r="AE995" s="3726"/>
      <c r="AF995" s="3700" t="s">
        <v>3021</v>
      </c>
      <c r="AG995" s="3726" t="s">
        <v>416</v>
      </c>
      <c r="AH995" s="3708"/>
      <c r="AI995" s="3708"/>
      <c r="AJ995" s="3708"/>
      <c r="AK995" s="3708"/>
      <c r="AL995" s="3708"/>
      <c r="AM995" s="3708">
        <f t="shared" si="554"/>
        <v>12</v>
      </c>
      <c r="AN995" s="4154"/>
      <c r="AO995" s="4154"/>
      <c r="AP995" s="4154">
        <f t="shared" si="536"/>
        <v>12</v>
      </c>
      <c r="AQ995" s="1048"/>
      <c r="AR995" s="1048"/>
      <c r="AS995" s="1048"/>
      <c r="AT995" s="1048"/>
      <c r="AU995" s="1048">
        <f t="shared" si="555"/>
        <v>12</v>
      </c>
      <c r="AV995" s="1048"/>
      <c r="AW995" s="1048"/>
      <c r="AX995" s="1048"/>
      <c r="AY995" s="1048"/>
      <c r="AZ995" s="1048"/>
      <c r="BA995" s="1048"/>
      <c r="BB995" s="1048"/>
      <c r="BC995" s="1048"/>
      <c r="BD995" s="1048"/>
      <c r="BE995" s="1048"/>
      <c r="BF995" s="1048" t="s">
        <v>89</v>
      </c>
      <c r="BG995" s="4505"/>
      <c r="BH995" s="4510"/>
      <c r="BI995" s="4510"/>
      <c r="BJ995" s="4510"/>
      <c r="BK995" s="4510"/>
      <c r="BL995" s="4510">
        <f>I995</f>
        <v>12</v>
      </c>
      <c r="BM995" s="4586"/>
      <c r="BN995" s="4587"/>
      <c r="BO995" s="1049"/>
      <c r="BP995" s="1049"/>
      <c r="BQ995" s="1049"/>
      <c r="BR995" s="1050"/>
      <c r="BS995" s="1051"/>
      <c r="BT995" s="1051"/>
      <c r="BU995" s="1051"/>
      <c r="BV995" s="4505">
        <f t="shared" si="556"/>
        <v>12</v>
      </c>
      <c r="BW995" s="4506">
        <f t="shared" si="519"/>
        <v>0</v>
      </c>
      <c r="BX995" s="4323"/>
      <c r="BY995" s="4323"/>
      <c r="BZ995" s="4323"/>
      <c r="CA995" s="4511"/>
      <c r="CC995" s="4512"/>
      <c r="CD995" s="4511"/>
      <c r="XCZ995" s="4618"/>
      <c r="XDA995" s="4618"/>
      <c r="XDB995" s="4618"/>
      <c r="XDC995" s="4618"/>
      <c r="XDD995" s="4618"/>
      <c r="XDE995" s="4618"/>
      <c r="XDF995" s="4618"/>
      <c r="XDG995" s="4618"/>
      <c r="XDH995" s="4618"/>
      <c r="XDI995" s="4618"/>
      <c r="XDJ995" s="4618"/>
      <c r="XDK995" s="4618"/>
      <c r="XDL995" s="4618"/>
      <c r="XDM995" s="4618"/>
      <c r="XDN995" s="4618"/>
      <c r="XDO995" s="4618"/>
      <c r="XDP995" s="4618"/>
      <c r="XDQ995" s="4618"/>
      <c r="XDR995" s="4618"/>
      <c r="XDS995" s="4618"/>
      <c r="XDT995" s="4618"/>
      <c r="XDU995" s="4618"/>
      <c r="XDV995" s="4618"/>
      <c r="XDW995" s="4618"/>
      <c r="XDX995" s="4618"/>
      <c r="XDY995" s="4618"/>
      <c r="XDZ995" s="4618"/>
      <c r="XEA995" s="4618"/>
      <c r="XEB995" s="4618"/>
      <c r="XEC995" s="4618"/>
      <c r="XED995" s="4618"/>
      <c r="XEE995" s="4618"/>
      <c r="XEF995" s="4618"/>
      <c r="XEG995" s="4618"/>
      <c r="XEH995" s="4618"/>
      <c r="XEI995" s="4618"/>
      <c r="XEJ995" s="4618"/>
      <c r="XEK995" s="4618"/>
      <c r="XEL995" s="4618"/>
      <c r="XEM995" s="4618"/>
      <c r="XEN995" s="4618"/>
      <c r="XEO995" s="4618"/>
      <c r="XEP995" s="4618"/>
      <c r="XEQ995" s="4618"/>
      <c r="XER995" s="4618"/>
      <c r="XES995" s="4618"/>
      <c r="XET995" s="4618"/>
      <c r="XEU995" s="4618"/>
      <c r="XEV995" s="4618"/>
      <c r="XEW995" s="4618"/>
      <c r="XEX995" s="4618"/>
      <c r="XEY995" s="4618"/>
      <c r="XEZ995" s="4618"/>
      <c r="XFA995" s="4618"/>
      <c r="XFB995" s="4618"/>
      <c r="XFC995" s="4618"/>
      <c r="XFD995" s="4618"/>
    </row>
    <row r="996" s="4316" customFormat="1" ht="50" customHeight="1" spans="1:82 16328:16384">
      <c r="A996" s="4500">
        <v>46101</v>
      </c>
      <c r="B996" s="3708" t="s">
        <v>1641</v>
      </c>
      <c r="C996" s="3708" t="s">
        <v>396</v>
      </c>
      <c r="D996" s="4154">
        <v>4500197925</v>
      </c>
      <c r="E996" s="3708" t="s">
        <v>5787</v>
      </c>
      <c r="F996" s="4154" t="s">
        <v>5788</v>
      </c>
      <c r="G996" s="3708" t="s">
        <v>2676</v>
      </c>
      <c r="H996" s="3708" t="s">
        <v>2677</v>
      </c>
      <c r="I996" s="4154">
        <v>12</v>
      </c>
      <c r="J996" s="4154">
        <v>0</v>
      </c>
      <c r="K996" s="4154">
        <v>12</v>
      </c>
      <c r="L996" s="4154">
        <f t="shared" si="507"/>
        <v>1</v>
      </c>
      <c r="M996" s="4503">
        <v>46149</v>
      </c>
      <c r="N996" s="4503">
        <v>46146</v>
      </c>
      <c r="O996" s="4117"/>
      <c r="P996" s="4527" t="s">
        <v>82</v>
      </c>
      <c r="Q996" s="4157">
        <v>12</v>
      </c>
      <c r="R996" s="4157">
        <f t="shared" si="509"/>
        <v>0</v>
      </c>
      <c r="S996" s="4172" t="s">
        <v>2297</v>
      </c>
      <c r="T996" s="4173" t="s">
        <v>321</v>
      </c>
      <c r="U996" s="3680" t="s">
        <v>5778</v>
      </c>
      <c r="V996" s="3711" t="s">
        <v>3462</v>
      </c>
      <c r="W996" s="3711"/>
      <c r="X996" s="3711" t="s">
        <v>4163</v>
      </c>
      <c r="Y996" s="3711" t="s">
        <v>5779</v>
      </c>
      <c r="Z996" s="3712"/>
      <c r="AA996" s="3680" t="s">
        <v>5780</v>
      </c>
      <c r="AB996" s="4154" t="s">
        <v>369</v>
      </c>
      <c r="AC996" s="4616">
        <v>2.1357</v>
      </c>
      <c r="AD996" s="4154">
        <f t="shared" si="535"/>
        <v>25.6284</v>
      </c>
      <c r="AE996" s="3726"/>
      <c r="AF996" s="3700" t="s">
        <v>2676</v>
      </c>
      <c r="AG996" s="3726" t="s">
        <v>416</v>
      </c>
      <c r="AH996" s="3708"/>
      <c r="AI996" s="4154"/>
      <c r="AJ996" s="4154"/>
      <c r="AK996" s="3708"/>
      <c r="AL996" s="3708"/>
      <c r="AM996" s="3708">
        <f t="shared" si="554"/>
        <v>12</v>
      </c>
      <c r="AN996" s="4154"/>
      <c r="AO996" s="4154"/>
      <c r="AP996" s="4154">
        <f t="shared" si="536"/>
        <v>12</v>
      </c>
      <c r="AQ996" s="1048"/>
      <c r="AR996" s="1048"/>
      <c r="AS996" s="1048"/>
      <c r="AT996" s="1048"/>
      <c r="AU996" s="1048">
        <f t="shared" si="555"/>
        <v>12</v>
      </c>
      <c r="AV996" s="1048"/>
      <c r="AW996" s="1048"/>
      <c r="AX996" s="1048"/>
      <c r="AY996" s="1048"/>
      <c r="AZ996" s="1048"/>
      <c r="BA996" s="1048"/>
      <c r="BB996" s="1048"/>
      <c r="BC996" s="1048"/>
      <c r="BD996" s="1048"/>
      <c r="BE996" s="1048"/>
      <c r="BF996" s="1048" t="s">
        <v>89</v>
      </c>
      <c r="BG996" s="4505"/>
      <c r="BH996" s="4510"/>
      <c r="BI996" s="4510">
        <f>I996</f>
        <v>12</v>
      </c>
      <c r="BJ996" s="4510"/>
      <c r="BK996" s="4510"/>
      <c r="BL996" s="4510"/>
      <c r="BM996" s="4586"/>
      <c r="BN996" s="1048">
        <f>I996/60*1</f>
        <v>0.2</v>
      </c>
      <c r="BO996" s="4613"/>
      <c r="BP996" s="4613"/>
      <c r="BQ996" s="4613"/>
      <c r="BR996" s="4612"/>
      <c r="BS996" s="4573"/>
      <c r="BT996" s="4573"/>
      <c r="BU996" s="4573"/>
      <c r="BV996" s="4160">
        <f t="shared" si="556"/>
        <v>12.2</v>
      </c>
      <c r="BW996" s="4160">
        <f t="shared" si="519"/>
        <v>-0.199999999999999</v>
      </c>
      <c r="BX996" s="4323"/>
      <c r="BY996" s="4323"/>
      <c r="BZ996" s="4323"/>
      <c r="CA996" s="4511"/>
      <c r="CC996" s="4512"/>
      <c r="CD996" s="4511"/>
      <c r="XCZ996" s="4618"/>
      <c r="XDA996" s="4618"/>
      <c r="XDB996" s="4618"/>
      <c r="XDC996" s="4618"/>
      <c r="XDD996" s="4618"/>
      <c r="XDE996" s="4618"/>
      <c r="XDF996" s="4618"/>
      <c r="XDG996" s="4618"/>
      <c r="XDH996" s="4618"/>
      <c r="XDI996" s="4618"/>
      <c r="XDJ996" s="4618"/>
      <c r="XDK996" s="4618"/>
      <c r="XDL996" s="4618"/>
      <c r="XDM996" s="4618"/>
      <c r="XDN996" s="4618"/>
      <c r="XDO996" s="4618"/>
      <c r="XDP996" s="4618"/>
      <c r="XDQ996" s="4618"/>
      <c r="XDR996" s="4618"/>
      <c r="XDS996" s="4618"/>
      <c r="XDT996" s="4618"/>
      <c r="XDU996" s="4618"/>
      <c r="XDV996" s="4618"/>
      <c r="XDW996" s="4618"/>
      <c r="XDX996" s="4618"/>
      <c r="XDY996" s="4618"/>
      <c r="XDZ996" s="4618"/>
      <c r="XEA996" s="4618"/>
      <c r="XEB996" s="4618"/>
      <c r="XEC996" s="4618"/>
      <c r="XED996" s="4618"/>
      <c r="XEE996" s="4618"/>
      <c r="XEF996" s="4618"/>
      <c r="XEG996" s="4618"/>
      <c r="XEH996" s="4618"/>
      <c r="XEI996" s="4618"/>
      <c r="XEJ996" s="4618"/>
      <c r="XEK996" s="4618"/>
      <c r="XEL996" s="4618"/>
      <c r="XEM996" s="4618"/>
      <c r="XEN996" s="4618"/>
      <c r="XEO996" s="4618"/>
      <c r="XEP996" s="4618"/>
      <c r="XEQ996" s="4618"/>
      <c r="XER996" s="4618"/>
      <c r="XES996" s="4618"/>
      <c r="XET996" s="4618"/>
      <c r="XEU996" s="4618"/>
      <c r="XEV996" s="4618"/>
      <c r="XEW996" s="4618"/>
      <c r="XEX996" s="4618"/>
      <c r="XEY996" s="4618"/>
      <c r="XEZ996" s="4618"/>
      <c r="XFA996" s="4618"/>
      <c r="XFB996" s="4618"/>
      <c r="XFC996" s="4618"/>
      <c r="XFD996" s="4618"/>
    </row>
    <row r="997" s="4316" customFormat="1" ht="50" customHeight="1" spans="1:82 16328:16384">
      <c r="A997" s="4500">
        <v>46101</v>
      </c>
      <c r="B997" s="3708" t="s">
        <v>1641</v>
      </c>
      <c r="C997" s="3708" t="s">
        <v>396</v>
      </c>
      <c r="D997" s="4154">
        <v>4500197925</v>
      </c>
      <c r="E997" s="3708" t="s">
        <v>5789</v>
      </c>
      <c r="F997" s="4154" t="s">
        <v>5790</v>
      </c>
      <c r="G997" s="3708" t="s">
        <v>2676</v>
      </c>
      <c r="H997" s="3708" t="s">
        <v>2677</v>
      </c>
      <c r="I997" s="4154">
        <v>12</v>
      </c>
      <c r="J997" s="4154">
        <v>0</v>
      </c>
      <c r="K997" s="4154">
        <v>12</v>
      </c>
      <c r="L997" s="4154">
        <f t="shared" si="507"/>
        <v>1</v>
      </c>
      <c r="M997" s="4503">
        <v>46149</v>
      </c>
      <c r="N997" s="4503">
        <v>46146</v>
      </c>
      <c r="O997" s="4117"/>
      <c r="P997" s="4527" t="s">
        <v>82</v>
      </c>
      <c r="Q997" s="4157">
        <v>12</v>
      </c>
      <c r="R997" s="4157">
        <f t="shared" si="509"/>
        <v>0</v>
      </c>
      <c r="S997" s="4599"/>
      <c r="T997" s="4173" t="s">
        <v>321</v>
      </c>
      <c r="U997" s="3680" t="s">
        <v>5778</v>
      </c>
      <c r="V997" s="3711" t="s">
        <v>3462</v>
      </c>
      <c r="W997" s="3711"/>
      <c r="X997" s="3711" t="s">
        <v>4163</v>
      </c>
      <c r="Y997" s="3711" t="s">
        <v>5779</v>
      </c>
      <c r="Z997" s="3712"/>
      <c r="AA997" s="3680" t="s">
        <v>5780</v>
      </c>
      <c r="AB997" s="4154" t="s">
        <v>369</v>
      </c>
      <c r="AC997" s="4616">
        <v>2.1357</v>
      </c>
      <c r="AD997" s="4154">
        <f t="shared" si="535"/>
        <v>25.6284</v>
      </c>
      <c r="AE997" s="3726"/>
      <c r="AF997" s="3700" t="s">
        <v>2676</v>
      </c>
      <c r="AG997" s="3726" t="s">
        <v>416</v>
      </c>
      <c r="AH997" s="3708"/>
      <c r="AI997" s="4154"/>
      <c r="AJ997" s="4154"/>
      <c r="AK997" s="3708"/>
      <c r="AL997" s="3708"/>
      <c r="AM997" s="3708">
        <f t="shared" si="554"/>
        <v>12</v>
      </c>
      <c r="AN997" s="4154"/>
      <c r="AO997" s="4154"/>
      <c r="AP997" s="4154">
        <f t="shared" si="536"/>
        <v>12</v>
      </c>
      <c r="AQ997" s="1048"/>
      <c r="AR997" s="1048"/>
      <c r="AS997" s="1048"/>
      <c r="AT997" s="1048"/>
      <c r="AU997" s="1048">
        <f t="shared" si="555"/>
        <v>12</v>
      </c>
      <c r="AV997" s="1048"/>
      <c r="AW997" s="1048"/>
      <c r="AX997" s="1048"/>
      <c r="AY997" s="1048"/>
      <c r="AZ997" s="1048"/>
      <c r="BA997" s="1048"/>
      <c r="BB997" s="1048"/>
      <c r="BC997" s="1048"/>
      <c r="BD997" s="1048"/>
      <c r="BE997" s="1048"/>
      <c r="BF997" s="1048" t="s">
        <v>89</v>
      </c>
      <c r="BG997" s="4505"/>
      <c r="BH997" s="4510"/>
      <c r="BI997" s="4510">
        <f>I997</f>
        <v>12</v>
      </c>
      <c r="BJ997" s="4510"/>
      <c r="BK997" s="4510"/>
      <c r="BL997" s="4510"/>
      <c r="BM997" s="4586"/>
      <c r="BN997" s="1048">
        <f>I997/60*1</f>
        <v>0.2</v>
      </c>
      <c r="BO997" s="4613"/>
      <c r="BP997" s="4613"/>
      <c r="BQ997" s="4613"/>
      <c r="BR997" s="4612"/>
      <c r="BS997" s="4573"/>
      <c r="BT997" s="4573"/>
      <c r="BU997" s="4573"/>
      <c r="BV997" s="4160">
        <f t="shared" si="556"/>
        <v>12.2</v>
      </c>
      <c r="BW997" s="4160">
        <f t="shared" si="519"/>
        <v>-0.199999999999999</v>
      </c>
      <c r="BX997" s="4323"/>
      <c r="BY997" s="4323"/>
      <c r="BZ997" s="4323"/>
      <c r="CA997" s="4511"/>
      <c r="CC997" s="4512"/>
      <c r="CD997" s="4511"/>
      <c r="XCZ997" s="4618"/>
      <c r="XDA997" s="4618"/>
      <c r="XDB997" s="4618"/>
      <c r="XDC997" s="4618"/>
      <c r="XDD997" s="4618"/>
      <c r="XDE997" s="4618"/>
      <c r="XDF997" s="4618"/>
      <c r="XDG997" s="4618"/>
      <c r="XDH997" s="4618"/>
      <c r="XDI997" s="4618"/>
      <c r="XDJ997" s="4618"/>
      <c r="XDK997" s="4618"/>
      <c r="XDL997" s="4618"/>
      <c r="XDM997" s="4618"/>
      <c r="XDN997" s="4618"/>
      <c r="XDO997" s="4618"/>
      <c r="XDP997" s="4618"/>
      <c r="XDQ997" s="4618"/>
      <c r="XDR997" s="4618"/>
      <c r="XDS997" s="4618"/>
      <c r="XDT997" s="4618"/>
      <c r="XDU997" s="4618"/>
      <c r="XDV997" s="4618"/>
      <c r="XDW997" s="4618"/>
      <c r="XDX997" s="4618"/>
      <c r="XDY997" s="4618"/>
      <c r="XDZ997" s="4618"/>
      <c r="XEA997" s="4618"/>
      <c r="XEB997" s="4618"/>
      <c r="XEC997" s="4618"/>
      <c r="XED997" s="4618"/>
      <c r="XEE997" s="4618"/>
      <c r="XEF997" s="4618"/>
      <c r="XEG997" s="4618"/>
      <c r="XEH997" s="4618"/>
      <c r="XEI997" s="4618"/>
      <c r="XEJ997" s="4618"/>
      <c r="XEK997" s="4618"/>
      <c r="XEL997" s="4618"/>
      <c r="XEM997" s="4618"/>
      <c r="XEN997" s="4618"/>
      <c r="XEO997" s="4618"/>
      <c r="XEP997" s="4618"/>
      <c r="XEQ997" s="4618"/>
      <c r="XER997" s="4618"/>
      <c r="XES997" s="4618"/>
      <c r="XET997" s="4618"/>
      <c r="XEU997" s="4618"/>
      <c r="XEV997" s="4618"/>
      <c r="XEW997" s="4618"/>
      <c r="XEX997" s="4618"/>
      <c r="XEY997" s="4618"/>
      <c r="XEZ997" s="4618"/>
      <c r="XFA997" s="4618"/>
      <c r="XFB997" s="4618"/>
      <c r="XFC997" s="4618"/>
      <c r="XFD997" s="4618"/>
    </row>
    <row r="998" s="4316" customFormat="1" ht="50" customHeight="1" spans="1:82 16328:16384">
      <c r="A998" s="4500">
        <v>46101</v>
      </c>
      <c r="B998" s="3708" t="s">
        <v>1641</v>
      </c>
      <c r="C998" s="3708" t="s">
        <v>396</v>
      </c>
      <c r="D998" s="4154">
        <v>4500197925</v>
      </c>
      <c r="E998" s="3708" t="s">
        <v>5791</v>
      </c>
      <c r="F998" s="4154" t="s">
        <v>5792</v>
      </c>
      <c r="G998" s="3708" t="s">
        <v>2676</v>
      </c>
      <c r="H998" s="3708" t="s">
        <v>2677</v>
      </c>
      <c r="I998" s="4154">
        <v>12</v>
      </c>
      <c r="J998" s="4154">
        <v>0</v>
      </c>
      <c r="K998" s="4154">
        <v>12</v>
      </c>
      <c r="L998" s="4154">
        <f t="shared" si="507"/>
        <v>1</v>
      </c>
      <c r="M998" s="4503">
        <v>46149</v>
      </c>
      <c r="N998" s="4503">
        <v>46146</v>
      </c>
      <c r="O998" s="4117"/>
      <c r="P998" s="4527" t="s">
        <v>82</v>
      </c>
      <c r="Q998" s="4157">
        <v>12</v>
      </c>
      <c r="R998" s="4157">
        <f t="shared" si="509"/>
        <v>0</v>
      </c>
      <c r="S998" s="4600"/>
      <c r="T998" s="4173" t="s">
        <v>321</v>
      </c>
      <c r="U998" s="3680" t="s">
        <v>5778</v>
      </c>
      <c r="V998" s="3711" t="s">
        <v>3462</v>
      </c>
      <c r="W998" s="3711"/>
      <c r="X998" s="3711" t="s">
        <v>4163</v>
      </c>
      <c r="Y998" s="3711" t="s">
        <v>5779</v>
      </c>
      <c r="Z998" s="3712"/>
      <c r="AA998" s="3680" t="s">
        <v>5780</v>
      </c>
      <c r="AB998" s="4154" t="s">
        <v>369</v>
      </c>
      <c r="AC998" s="4616">
        <v>2.1357</v>
      </c>
      <c r="AD998" s="4154">
        <f t="shared" si="535"/>
        <v>25.6284</v>
      </c>
      <c r="AE998" s="3726"/>
      <c r="AF998" s="3700" t="s">
        <v>2676</v>
      </c>
      <c r="AG998" s="3726" t="s">
        <v>416</v>
      </c>
      <c r="AH998" s="3708"/>
      <c r="AI998" s="4154"/>
      <c r="AJ998" s="4154"/>
      <c r="AK998" s="3708"/>
      <c r="AL998" s="3708"/>
      <c r="AM998" s="3708">
        <f t="shared" si="554"/>
        <v>12</v>
      </c>
      <c r="AN998" s="4154"/>
      <c r="AO998" s="4154"/>
      <c r="AP998" s="4154">
        <f t="shared" si="536"/>
        <v>12</v>
      </c>
      <c r="AQ998" s="1048"/>
      <c r="AR998" s="1048"/>
      <c r="AS998" s="1048"/>
      <c r="AT998" s="1048"/>
      <c r="AU998" s="1048">
        <f t="shared" si="555"/>
        <v>12</v>
      </c>
      <c r="AV998" s="1048"/>
      <c r="AW998" s="1048"/>
      <c r="AX998" s="1048"/>
      <c r="AY998" s="1048"/>
      <c r="AZ998" s="1048"/>
      <c r="BA998" s="1048"/>
      <c r="BB998" s="1048"/>
      <c r="BC998" s="1048"/>
      <c r="BD998" s="1048"/>
      <c r="BE998" s="1048"/>
      <c r="BF998" s="1048" t="s">
        <v>89</v>
      </c>
      <c r="BG998" s="4505"/>
      <c r="BH998" s="4510"/>
      <c r="BI998" s="4510">
        <f>I998</f>
        <v>12</v>
      </c>
      <c r="BJ998" s="4510"/>
      <c r="BK998" s="4510"/>
      <c r="BL998" s="4510"/>
      <c r="BM998" s="4586"/>
      <c r="BN998" s="1048">
        <f>I998/60*1</f>
        <v>0.2</v>
      </c>
      <c r="BO998" s="4613"/>
      <c r="BP998" s="4613"/>
      <c r="BQ998" s="4613"/>
      <c r="BR998" s="4612"/>
      <c r="BS998" s="4573"/>
      <c r="BT998" s="4573"/>
      <c r="BU998" s="4573"/>
      <c r="BV998" s="4160">
        <f t="shared" si="556"/>
        <v>12.2</v>
      </c>
      <c r="BW998" s="4160">
        <f t="shared" si="519"/>
        <v>-0.199999999999999</v>
      </c>
      <c r="BX998" s="4323"/>
      <c r="BY998" s="4323"/>
      <c r="BZ998" s="4323"/>
      <c r="CA998" s="4511"/>
      <c r="CC998" s="4512"/>
      <c r="CD998" s="4511"/>
      <c r="XCZ998" s="4618"/>
      <c r="XDA998" s="4618"/>
      <c r="XDB998" s="4618"/>
      <c r="XDC998" s="4618"/>
      <c r="XDD998" s="4618"/>
      <c r="XDE998" s="4618"/>
      <c r="XDF998" s="4618"/>
      <c r="XDG998" s="4618"/>
      <c r="XDH998" s="4618"/>
      <c r="XDI998" s="4618"/>
      <c r="XDJ998" s="4618"/>
      <c r="XDK998" s="4618"/>
      <c r="XDL998" s="4618"/>
      <c r="XDM998" s="4618"/>
      <c r="XDN998" s="4618"/>
      <c r="XDO998" s="4618"/>
      <c r="XDP998" s="4618"/>
      <c r="XDQ998" s="4618"/>
      <c r="XDR998" s="4618"/>
      <c r="XDS998" s="4618"/>
      <c r="XDT998" s="4618"/>
      <c r="XDU998" s="4618"/>
      <c r="XDV998" s="4618"/>
      <c r="XDW998" s="4618"/>
      <c r="XDX998" s="4618"/>
      <c r="XDY998" s="4618"/>
      <c r="XDZ998" s="4618"/>
      <c r="XEA998" s="4618"/>
      <c r="XEB998" s="4618"/>
      <c r="XEC998" s="4618"/>
      <c r="XED998" s="4618"/>
      <c r="XEE998" s="4618"/>
      <c r="XEF998" s="4618"/>
      <c r="XEG998" s="4618"/>
      <c r="XEH998" s="4618"/>
      <c r="XEI998" s="4618"/>
      <c r="XEJ998" s="4618"/>
      <c r="XEK998" s="4618"/>
      <c r="XEL998" s="4618"/>
      <c r="XEM998" s="4618"/>
      <c r="XEN998" s="4618"/>
      <c r="XEO998" s="4618"/>
      <c r="XEP998" s="4618"/>
      <c r="XEQ998" s="4618"/>
      <c r="XER998" s="4618"/>
      <c r="XES998" s="4618"/>
      <c r="XET998" s="4618"/>
      <c r="XEU998" s="4618"/>
      <c r="XEV998" s="4618"/>
      <c r="XEW998" s="4618"/>
      <c r="XEX998" s="4618"/>
      <c r="XEY998" s="4618"/>
      <c r="XEZ998" s="4618"/>
      <c r="XFA998" s="4618"/>
      <c r="XFB998" s="4618"/>
      <c r="XFC998" s="4618"/>
      <c r="XFD998" s="4618"/>
    </row>
    <row r="999" s="4316" customFormat="1" ht="50" customHeight="1" spans="1:82 16328:16384">
      <c r="A999" s="4500">
        <v>46101</v>
      </c>
      <c r="B999" s="3708" t="s">
        <v>1641</v>
      </c>
      <c r="C999" s="3708" t="s">
        <v>396</v>
      </c>
      <c r="D999" s="4154">
        <v>4500197925</v>
      </c>
      <c r="E999" s="3708" t="s">
        <v>5793</v>
      </c>
      <c r="F999" s="4154" t="s">
        <v>5794</v>
      </c>
      <c r="G999" s="3708" t="s">
        <v>4222</v>
      </c>
      <c r="H999" s="3708" t="s">
        <v>3187</v>
      </c>
      <c r="I999" s="4154">
        <v>12</v>
      </c>
      <c r="J999" s="4154">
        <v>0</v>
      </c>
      <c r="K999" s="4154">
        <v>12</v>
      </c>
      <c r="L999" s="4154">
        <f t="shared" si="507"/>
        <v>1</v>
      </c>
      <c r="M999" s="4503">
        <v>46149</v>
      </c>
      <c r="N999" s="4503">
        <v>46146</v>
      </c>
      <c r="O999" s="4117"/>
      <c r="P999" s="4527" t="s">
        <v>82</v>
      </c>
      <c r="Q999" s="4157">
        <v>12</v>
      </c>
      <c r="R999" s="4157">
        <f t="shared" si="509"/>
        <v>0</v>
      </c>
      <c r="S999" s="4219" t="s">
        <v>2297</v>
      </c>
      <c r="T999" s="4173" t="s">
        <v>321</v>
      </c>
      <c r="U999" s="3680" t="s">
        <v>5778</v>
      </c>
      <c r="V999" s="3711" t="s">
        <v>3462</v>
      </c>
      <c r="W999" s="3711"/>
      <c r="X999" s="3711" t="s">
        <v>4163</v>
      </c>
      <c r="Y999" s="3711" t="s">
        <v>5779</v>
      </c>
      <c r="Z999" s="3712"/>
      <c r="AA999" s="3680" t="s">
        <v>5780</v>
      </c>
      <c r="AB999" s="4154" t="s">
        <v>369</v>
      </c>
      <c r="AC999" s="4616">
        <v>2.0915</v>
      </c>
      <c r="AD999" s="4154">
        <f t="shared" si="535"/>
        <v>25.098</v>
      </c>
      <c r="AE999" s="3726"/>
      <c r="AF999" s="3708" t="s">
        <v>4222</v>
      </c>
      <c r="AG999" s="3726" t="s">
        <v>416</v>
      </c>
      <c r="AH999" s="3708"/>
      <c r="AI999" s="4154"/>
      <c r="AJ999" s="4154"/>
      <c r="AK999" s="3708"/>
      <c r="AL999" s="3708"/>
      <c r="AM999" s="3708">
        <f t="shared" si="554"/>
        <v>12</v>
      </c>
      <c r="AN999" s="4154"/>
      <c r="AO999" s="4154"/>
      <c r="AP999" s="4154">
        <f t="shared" si="536"/>
        <v>12</v>
      </c>
      <c r="AQ999" s="1048"/>
      <c r="AR999" s="1048"/>
      <c r="AS999" s="1048"/>
      <c r="AT999" s="1048"/>
      <c r="AU999" s="1048">
        <f t="shared" si="555"/>
        <v>12</v>
      </c>
      <c r="AV999" s="1048"/>
      <c r="AW999" s="1048"/>
      <c r="AX999" s="1048"/>
      <c r="AY999" s="1048"/>
      <c r="AZ999" s="1048"/>
      <c r="BA999" s="1048"/>
      <c r="BB999" s="1048"/>
      <c r="BC999" s="1048"/>
      <c r="BD999" s="1048"/>
      <c r="BE999" s="1048"/>
      <c r="BF999" s="1048" t="s">
        <v>89</v>
      </c>
      <c r="BG999" s="4505"/>
      <c r="BH999" s="4510"/>
      <c r="BI999" s="4510"/>
      <c r="BJ999" s="4510"/>
      <c r="BK999" s="4510">
        <f>I999</f>
        <v>12</v>
      </c>
      <c r="BL999" s="4510"/>
      <c r="BM999" s="4586"/>
      <c r="BN999" s="1048">
        <f>I999/60*1</f>
        <v>0.2</v>
      </c>
      <c r="BO999" s="1049"/>
      <c r="BP999" s="1049"/>
      <c r="BQ999" s="1049"/>
      <c r="BR999" s="1050"/>
      <c r="BS999" s="1051"/>
      <c r="BT999" s="1051"/>
      <c r="BU999" s="1051"/>
      <c r="BV999" s="4505">
        <f t="shared" si="556"/>
        <v>12.2</v>
      </c>
      <c r="BW999" s="4506">
        <f t="shared" si="519"/>
        <v>-0.199999999999999</v>
      </c>
      <c r="BX999" s="4323"/>
      <c r="BY999" s="4323"/>
      <c r="BZ999" s="4323"/>
      <c r="CA999" s="4511"/>
      <c r="CC999" s="4512"/>
      <c r="CD999" s="4511"/>
      <c r="XCZ999" s="4618"/>
      <c r="XDA999" s="4618"/>
      <c r="XDB999" s="4618"/>
      <c r="XDC999" s="4618"/>
      <c r="XDD999" s="4618"/>
      <c r="XDE999" s="4618"/>
      <c r="XDF999" s="4618"/>
      <c r="XDG999" s="4618"/>
      <c r="XDH999" s="4618"/>
      <c r="XDI999" s="4618"/>
      <c r="XDJ999" s="4618"/>
      <c r="XDK999" s="4618"/>
      <c r="XDL999" s="4618"/>
      <c r="XDM999" s="4618"/>
      <c r="XDN999" s="4618"/>
      <c r="XDO999" s="4618"/>
      <c r="XDP999" s="4618"/>
      <c r="XDQ999" s="4618"/>
      <c r="XDR999" s="4618"/>
      <c r="XDS999" s="4618"/>
      <c r="XDT999" s="4618"/>
      <c r="XDU999" s="4618"/>
      <c r="XDV999" s="4618"/>
      <c r="XDW999" s="4618"/>
      <c r="XDX999" s="4618"/>
      <c r="XDY999" s="4618"/>
      <c r="XDZ999" s="4618"/>
      <c r="XEA999" s="4618"/>
      <c r="XEB999" s="4618"/>
      <c r="XEC999" s="4618"/>
      <c r="XED999" s="4618"/>
      <c r="XEE999" s="4618"/>
      <c r="XEF999" s="4618"/>
      <c r="XEG999" s="4618"/>
      <c r="XEH999" s="4618"/>
      <c r="XEI999" s="4618"/>
      <c r="XEJ999" s="4618"/>
      <c r="XEK999" s="4618"/>
      <c r="XEL999" s="4618"/>
      <c r="XEM999" s="4618"/>
      <c r="XEN999" s="4618"/>
      <c r="XEO999" s="4618"/>
      <c r="XEP999" s="4618"/>
      <c r="XEQ999" s="4618"/>
      <c r="XER999" s="4618"/>
      <c r="XES999" s="4618"/>
      <c r="XET999" s="4618"/>
      <c r="XEU999" s="4618"/>
      <c r="XEV999" s="4618"/>
      <c r="XEW999" s="4618"/>
      <c r="XEX999" s="4618"/>
      <c r="XEY999" s="4618"/>
      <c r="XEZ999" s="4618"/>
      <c r="XFA999" s="4618"/>
      <c r="XFB999" s="4618"/>
      <c r="XFC999" s="4618"/>
      <c r="XFD999" s="4618"/>
    </row>
    <row r="1000" s="4316" customFormat="1" ht="50" customHeight="1" spans="1:82 16328:16384">
      <c r="A1000" s="4500">
        <v>46105</v>
      </c>
      <c r="B1000" s="4501" t="s">
        <v>4747</v>
      </c>
      <c r="C1000" s="3708" t="s">
        <v>91</v>
      </c>
      <c r="D1000" s="4502">
        <v>4500198191</v>
      </c>
      <c r="E1000" s="3708">
        <v>4563091240</v>
      </c>
      <c r="F1000" s="4502" t="s">
        <v>5795</v>
      </c>
      <c r="G1000" s="3708" t="s">
        <v>2719</v>
      </c>
      <c r="H1000" s="4154" t="s">
        <v>2591</v>
      </c>
      <c r="I1000" s="4593">
        <v>414</v>
      </c>
      <c r="J1000" s="4154">
        <v>0</v>
      </c>
      <c r="K1000" s="4154">
        <v>6</v>
      </c>
      <c r="L1000" s="4154">
        <f t="shared" si="507"/>
        <v>69</v>
      </c>
      <c r="M1000" s="4503">
        <v>46150</v>
      </c>
      <c r="N1000" s="4553">
        <v>46146</v>
      </c>
      <c r="O1000" s="4117"/>
      <c r="P1000" s="4527" t="s">
        <v>82</v>
      </c>
      <c r="Q1000" s="4157">
        <v>414</v>
      </c>
      <c r="R1000" s="4157">
        <f t="shared" si="509"/>
        <v>0</v>
      </c>
      <c r="S1000" s="4168" t="s">
        <v>2297</v>
      </c>
      <c r="T1000" s="4173" t="s">
        <v>321</v>
      </c>
      <c r="U1000" s="3726" t="s">
        <v>271</v>
      </c>
      <c r="V1000" s="3711" t="s">
        <v>1147</v>
      </c>
      <c r="W1000" s="3711"/>
      <c r="X1000" s="3711" t="s">
        <v>5796</v>
      </c>
      <c r="Y1000" s="3711"/>
      <c r="Z1000" s="4154"/>
      <c r="AA1000" s="3680" t="s">
        <v>5797</v>
      </c>
      <c r="AB1000" s="4154" t="s">
        <v>3262</v>
      </c>
      <c r="AC1000" s="4616">
        <v>1.2927</v>
      </c>
      <c r="AD1000" s="4154">
        <f t="shared" si="535"/>
        <v>535.1778</v>
      </c>
      <c r="AE1000" s="3726"/>
      <c r="AF1000" s="3708" t="s">
        <v>2719</v>
      </c>
      <c r="AG1000" s="3726" t="s">
        <v>416</v>
      </c>
      <c r="AH1000" s="4154"/>
      <c r="AI1000" s="3708"/>
      <c r="AJ1000" s="4575">
        <f t="shared" ref="AJ1000:AJ1019" si="557">I1000</f>
        <v>414</v>
      </c>
      <c r="AK1000" s="4154"/>
      <c r="AL1000" s="4154"/>
      <c r="AM1000" s="3708"/>
      <c r="AN1000" s="1048"/>
      <c r="AO1000" s="1048"/>
      <c r="AP1000" s="4154">
        <f t="shared" si="536"/>
        <v>414</v>
      </c>
      <c r="AQ1000" s="1048"/>
      <c r="AR1000" s="1048"/>
      <c r="AS1000" s="4510">
        <f t="shared" ref="AS1000:AS1033" si="558">I1000</f>
        <v>414</v>
      </c>
      <c r="AT1000" s="1048"/>
      <c r="AU1000" s="1048"/>
      <c r="AV1000" s="1048"/>
      <c r="AW1000" s="4510"/>
      <c r="AX1000" s="1048"/>
      <c r="AY1000" s="1048"/>
      <c r="AZ1000" s="1048"/>
      <c r="BA1000" s="1048"/>
      <c r="BB1000" s="1048"/>
      <c r="BC1000" s="1048"/>
      <c r="BD1000" s="1048"/>
      <c r="BE1000" s="1048"/>
      <c r="BF1000" s="1048" t="s">
        <v>89</v>
      </c>
      <c r="BG1000" s="4505"/>
      <c r="BH1000" s="4510">
        <f t="shared" ref="BH1000:BH1016" si="559">I1000/60*10</f>
        <v>69</v>
      </c>
      <c r="BI1000" s="4510">
        <f t="shared" ref="BI1000:BI1009" si="560">I1000/60*7</f>
        <v>48.3</v>
      </c>
      <c r="BJ1000" s="4510">
        <f t="shared" ref="BJ1000:BJ1009" si="561">I1000/60*5</f>
        <v>34.5</v>
      </c>
      <c r="BK1000" s="4510">
        <f t="shared" ref="BK1000:BK1009" si="562">I1000/60*7</f>
        <v>48.3</v>
      </c>
      <c r="BL1000" s="4510">
        <f t="shared" ref="BL1000:BL1009" si="563">I1000/60*12</f>
        <v>82.8</v>
      </c>
      <c r="BM1000" s="4586">
        <f t="shared" ref="BM1000:BM1009" si="564">I1000/60*10</f>
        <v>69</v>
      </c>
      <c r="BN1000" s="4587">
        <f t="shared" ref="BN1000:BN1009" si="565">I1000/60*9</f>
        <v>62.1</v>
      </c>
      <c r="BO1000" s="1049"/>
      <c r="BP1000" s="1049"/>
      <c r="BQ1000" s="1049"/>
      <c r="BR1000" s="1050"/>
      <c r="BS1000" s="1051"/>
      <c r="BT1000" s="1051"/>
      <c r="BU1000" s="1051"/>
      <c r="BV1000" s="4505">
        <f t="shared" si="556"/>
        <v>414</v>
      </c>
      <c r="BW1000" s="4506">
        <f t="shared" si="519"/>
        <v>0</v>
      </c>
      <c r="BX1000" s="4323"/>
      <c r="BY1000" s="4323"/>
      <c r="BZ1000" s="4323"/>
      <c r="CA1000" s="4511"/>
      <c r="CC1000" s="4512"/>
      <c r="CD1000" s="4511"/>
      <c r="XCZ1000" s="4618"/>
      <c r="XDA1000" s="4618"/>
      <c r="XDB1000" s="4618"/>
      <c r="XDC1000" s="4618"/>
      <c r="XDD1000" s="4618"/>
      <c r="XDE1000" s="4618"/>
      <c r="XDF1000" s="4618"/>
      <c r="XDG1000" s="4618"/>
      <c r="XDH1000" s="4618"/>
      <c r="XDI1000" s="4618"/>
      <c r="XDJ1000" s="4618"/>
      <c r="XDK1000" s="4618"/>
      <c r="XDL1000" s="4618"/>
      <c r="XDM1000" s="4618"/>
      <c r="XDN1000" s="4618"/>
      <c r="XDO1000" s="4618"/>
      <c r="XDP1000" s="4618"/>
      <c r="XDQ1000" s="4618"/>
      <c r="XDR1000" s="4618"/>
      <c r="XDS1000" s="4618"/>
      <c r="XDT1000" s="4618"/>
      <c r="XDU1000" s="4618"/>
      <c r="XDV1000" s="4618"/>
      <c r="XDW1000" s="4618"/>
      <c r="XDX1000" s="4618"/>
      <c r="XDY1000" s="4618"/>
      <c r="XDZ1000" s="4618"/>
      <c r="XEA1000" s="4618"/>
      <c r="XEB1000" s="4618"/>
      <c r="XEC1000" s="4618"/>
      <c r="XED1000" s="4618"/>
      <c r="XEE1000" s="4618"/>
      <c r="XEF1000" s="4618"/>
      <c r="XEG1000" s="4618"/>
      <c r="XEH1000" s="4618"/>
      <c r="XEI1000" s="4618"/>
      <c r="XEJ1000" s="4618"/>
      <c r="XEK1000" s="4618"/>
      <c r="XEL1000" s="4618"/>
      <c r="XEM1000" s="4618"/>
      <c r="XEN1000" s="4618"/>
      <c r="XEO1000" s="4618"/>
      <c r="XEP1000" s="4618"/>
      <c r="XEQ1000" s="4618"/>
      <c r="XER1000" s="4618"/>
      <c r="XES1000" s="4618"/>
      <c r="XET1000" s="4618"/>
      <c r="XEU1000" s="4618"/>
      <c r="XEV1000" s="4618"/>
      <c r="XEW1000" s="4618"/>
      <c r="XEX1000" s="4618"/>
      <c r="XEY1000" s="4618"/>
      <c r="XEZ1000" s="4618"/>
      <c r="XFA1000" s="4618"/>
      <c r="XFB1000" s="4618"/>
      <c r="XFC1000" s="4618"/>
      <c r="XFD1000" s="4618"/>
    </row>
    <row r="1001" s="4316" customFormat="1" ht="50" customHeight="1" spans="1:82 16328:16384">
      <c r="A1001" s="4500">
        <v>46105</v>
      </c>
      <c r="B1001" s="4501" t="s">
        <v>4747</v>
      </c>
      <c r="C1001" s="3708" t="s">
        <v>91</v>
      </c>
      <c r="D1001" s="4502">
        <v>4500198191</v>
      </c>
      <c r="E1001" s="3708">
        <v>4563091471</v>
      </c>
      <c r="F1001" s="4502" t="s">
        <v>5798</v>
      </c>
      <c r="G1001" s="3708" t="s">
        <v>2719</v>
      </c>
      <c r="H1001" s="4154" t="s">
        <v>2591</v>
      </c>
      <c r="I1001" s="4593">
        <v>270</v>
      </c>
      <c r="J1001" s="4154">
        <v>0</v>
      </c>
      <c r="K1001" s="4154">
        <v>6</v>
      </c>
      <c r="L1001" s="4154">
        <f t="shared" si="507"/>
        <v>45</v>
      </c>
      <c r="M1001" s="4503">
        <v>46150</v>
      </c>
      <c r="N1001" s="4553">
        <v>46146</v>
      </c>
      <c r="O1001" s="4117"/>
      <c r="P1001" s="4527" t="s">
        <v>82</v>
      </c>
      <c r="Q1001" s="4157">
        <v>270</v>
      </c>
      <c r="R1001" s="4157">
        <f t="shared" si="509"/>
        <v>0</v>
      </c>
      <c r="S1001" s="1047"/>
      <c r="T1001" s="4173" t="s">
        <v>321</v>
      </c>
      <c r="U1001" s="3726" t="s">
        <v>271</v>
      </c>
      <c r="V1001" s="3711" t="s">
        <v>1147</v>
      </c>
      <c r="W1001" s="3711"/>
      <c r="X1001" s="3711" t="s">
        <v>5796</v>
      </c>
      <c r="Y1001" s="3711"/>
      <c r="Z1001" s="4154"/>
      <c r="AA1001" s="3680" t="s">
        <v>5797</v>
      </c>
      <c r="AB1001" s="4154" t="s">
        <v>3262</v>
      </c>
      <c r="AC1001" s="4616">
        <v>1.2617</v>
      </c>
      <c r="AD1001" s="4154">
        <f t="shared" si="535"/>
        <v>340.659</v>
      </c>
      <c r="AE1001" s="3726"/>
      <c r="AF1001" s="3708" t="s">
        <v>2719</v>
      </c>
      <c r="AG1001" s="3726" t="s">
        <v>416</v>
      </c>
      <c r="AH1001" s="4154"/>
      <c r="AI1001" s="3708"/>
      <c r="AJ1001" s="4575">
        <f t="shared" si="557"/>
        <v>270</v>
      </c>
      <c r="AK1001" s="4154"/>
      <c r="AL1001" s="4154"/>
      <c r="AM1001" s="3708"/>
      <c r="AN1001" s="1048"/>
      <c r="AO1001" s="1048"/>
      <c r="AP1001" s="4154">
        <f t="shared" si="536"/>
        <v>270</v>
      </c>
      <c r="AQ1001" s="1048"/>
      <c r="AR1001" s="1048"/>
      <c r="AS1001" s="4510">
        <f t="shared" si="558"/>
        <v>270</v>
      </c>
      <c r="AT1001" s="1048"/>
      <c r="AU1001" s="1048"/>
      <c r="AV1001" s="1048"/>
      <c r="AW1001" s="4510"/>
      <c r="AX1001" s="1048"/>
      <c r="AY1001" s="1048"/>
      <c r="AZ1001" s="1048"/>
      <c r="BA1001" s="1048"/>
      <c r="BB1001" s="1048"/>
      <c r="BC1001" s="1048"/>
      <c r="BD1001" s="1048"/>
      <c r="BE1001" s="1048"/>
      <c r="BF1001" s="1048" t="s">
        <v>89</v>
      </c>
      <c r="BG1001" s="4505"/>
      <c r="BH1001" s="4510">
        <f t="shared" si="559"/>
        <v>45</v>
      </c>
      <c r="BI1001" s="4510">
        <f t="shared" si="560"/>
        <v>31.5</v>
      </c>
      <c r="BJ1001" s="4510">
        <f t="shared" si="561"/>
        <v>22.5</v>
      </c>
      <c r="BK1001" s="4510">
        <f t="shared" si="562"/>
        <v>31.5</v>
      </c>
      <c r="BL1001" s="4510">
        <f t="shared" si="563"/>
        <v>54</v>
      </c>
      <c r="BM1001" s="4586">
        <f t="shared" si="564"/>
        <v>45</v>
      </c>
      <c r="BN1001" s="4587">
        <f t="shared" si="565"/>
        <v>40.5</v>
      </c>
      <c r="BO1001" s="1049"/>
      <c r="BP1001" s="1049"/>
      <c r="BQ1001" s="1049"/>
      <c r="BR1001" s="1050"/>
      <c r="BS1001" s="1051"/>
      <c r="BT1001" s="1051"/>
      <c r="BU1001" s="1051"/>
      <c r="BV1001" s="4505">
        <f t="shared" si="556"/>
        <v>270</v>
      </c>
      <c r="BW1001" s="4506">
        <f t="shared" si="519"/>
        <v>0</v>
      </c>
      <c r="BX1001" s="4323"/>
      <c r="BY1001" s="4323"/>
      <c r="BZ1001" s="4323"/>
      <c r="CA1001" s="4511"/>
      <c r="CC1001" s="4512"/>
      <c r="CD1001" s="4511"/>
      <c r="XCZ1001" s="4618"/>
      <c r="XDA1001" s="4618"/>
      <c r="XDB1001" s="4618"/>
      <c r="XDC1001" s="4618"/>
      <c r="XDD1001" s="4618"/>
      <c r="XDE1001" s="4618"/>
      <c r="XDF1001" s="4618"/>
      <c r="XDG1001" s="4618"/>
      <c r="XDH1001" s="4618"/>
      <c r="XDI1001" s="4618"/>
      <c r="XDJ1001" s="4618"/>
      <c r="XDK1001" s="4618"/>
      <c r="XDL1001" s="4618"/>
      <c r="XDM1001" s="4618"/>
      <c r="XDN1001" s="4618"/>
      <c r="XDO1001" s="4618"/>
      <c r="XDP1001" s="4618"/>
      <c r="XDQ1001" s="4618"/>
      <c r="XDR1001" s="4618"/>
      <c r="XDS1001" s="4618"/>
      <c r="XDT1001" s="4618"/>
      <c r="XDU1001" s="4618"/>
      <c r="XDV1001" s="4618"/>
      <c r="XDW1001" s="4618"/>
      <c r="XDX1001" s="4618"/>
      <c r="XDY1001" s="4618"/>
      <c r="XDZ1001" s="4618"/>
      <c r="XEA1001" s="4618"/>
      <c r="XEB1001" s="4618"/>
      <c r="XEC1001" s="4618"/>
      <c r="XED1001" s="4618"/>
      <c r="XEE1001" s="4618"/>
      <c r="XEF1001" s="4618"/>
      <c r="XEG1001" s="4618"/>
      <c r="XEH1001" s="4618"/>
      <c r="XEI1001" s="4618"/>
      <c r="XEJ1001" s="4618"/>
      <c r="XEK1001" s="4618"/>
      <c r="XEL1001" s="4618"/>
      <c r="XEM1001" s="4618"/>
      <c r="XEN1001" s="4618"/>
      <c r="XEO1001" s="4618"/>
      <c r="XEP1001" s="4618"/>
      <c r="XEQ1001" s="4618"/>
      <c r="XER1001" s="4618"/>
      <c r="XES1001" s="4618"/>
      <c r="XET1001" s="4618"/>
      <c r="XEU1001" s="4618"/>
      <c r="XEV1001" s="4618"/>
      <c r="XEW1001" s="4618"/>
      <c r="XEX1001" s="4618"/>
      <c r="XEY1001" s="4618"/>
      <c r="XEZ1001" s="4618"/>
      <c r="XFA1001" s="4618"/>
      <c r="XFB1001" s="4618"/>
      <c r="XFC1001" s="4618"/>
      <c r="XFD1001" s="4618"/>
    </row>
    <row r="1002" s="4316" customFormat="1" ht="50" customHeight="1" spans="1:82 16328:16384">
      <c r="A1002" s="4500">
        <v>46105</v>
      </c>
      <c r="B1002" s="4501" t="s">
        <v>4747</v>
      </c>
      <c r="C1002" s="3708" t="s">
        <v>91</v>
      </c>
      <c r="D1002" s="4502">
        <v>4500198191</v>
      </c>
      <c r="E1002" s="3708">
        <v>4563091360</v>
      </c>
      <c r="F1002" s="4502" t="s">
        <v>5799</v>
      </c>
      <c r="G1002" s="3708" t="s">
        <v>2719</v>
      </c>
      <c r="H1002" s="4154" t="s">
        <v>2591</v>
      </c>
      <c r="I1002" s="4593">
        <v>402</v>
      </c>
      <c r="J1002" s="4154">
        <v>0</v>
      </c>
      <c r="K1002" s="4154">
        <v>6</v>
      </c>
      <c r="L1002" s="4154">
        <f t="shared" ref="L1002:L1064" si="566">I1002/K1002</f>
        <v>67</v>
      </c>
      <c r="M1002" s="4503">
        <v>46150</v>
      </c>
      <c r="N1002" s="4553">
        <v>46146</v>
      </c>
      <c r="O1002" s="4117"/>
      <c r="P1002" s="4527" t="s">
        <v>82</v>
      </c>
      <c r="Q1002" s="4157">
        <v>402</v>
      </c>
      <c r="R1002" s="4157">
        <f t="shared" ref="R1002:R1061" si="567">Q1002-I1002</f>
        <v>0</v>
      </c>
      <c r="S1002" s="1047"/>
      <c r="T1002" s="4173" t="s">
        <v>321</v>
      </c>
      <c r="U1002" s="3726" t="s">
        <v>271</v>
      </c>
      <c r="V1002" s="3711" t="s">
        <v>1147</v>
      </c>
      <c r="W1002" s="3711"/>
      <c r="X1002" s="3711" t="s">
        <v>5796</v>
      </c>
      <c r="Y1002" s="3711"/>
      <c r="Z1002" s="4154"/>
      <c r="AA1002" s="3680" t="s">
        <v>5797</v>
      </c>
      <c r="AB1002" s="4154" t="s">
        <v>3262</v>
      </c>
      <c r="AC1002" s="4616">
        <v>1.2617</v>
      </c>
      <c r="AD1002" s="4154">
        <f t="shared" si="535"/>
        <v>507.2034</v>
      </c>
      <c r="AE1002" s="3726"/>
      <c r="AF1002" s="3708" t="s">
        <v>2719</v>
      </c>
      <c r="AG1002" s="3726" t="s">
        <v>416</v>
      </c>
      <c r="AH1002" s="4154"/>
      <c r="AI1002" s="3708"/>
      <c r="AJ1002" s="4575">
        <f t="shared" si="557"/>
        <v>402</v>
      </c>
      <c r="AK1002" s="4154"/>
      <c r="AL1002" s="4154"/>
      <c r="AM1002" s="3708"/>
      <c r="AN1002" s="1048"/>
      <c r="AO1002" s="1048"/>
      <c r="AP1002" s="4154">
        <f t="shared" si="536"/>
        <v>402</v>
      </c>
      <c r="AQ1002" s="1048"/>
      <c r="AR1002" s="1048"/>
      <c r="AS1002" s="4510">
        <f t="shared" si="558"/>
        <v>402</v>
      </c>
      <c r="AT1002" s="1048"/>
      <c r="AU1002" s="1048"/>
      <c r="AV1002" s="1048"/>
      <c r="AW1002" s="4510"/>
      <c r="AX1002" s="1048"/>
      <c r="AY1002" s="1048"/>
      <c r="AZ1002" s="1048"/>
      <c r="BA1002" s="1048"/>
      <c r="BB1002" s="1048"/>
      <c r="BC1002" s="1048"/>
      <c r="BD1002" s="1048"/>
      <c r="BE1002" s="1048"/>
      <c r="BF1002" s="1048" t="s">
        <v>89</v>
      </c>
      <c r="BG1002" s="4505"/>
      <c r="BH1002" s="4510">
        <f t="shared" si="559"/>
        <v>67</v>
      </c>
      <c r="BI1002" s="4510">
        <f t="shared" si="560"/>
        <v>46.9</v>
      </c>
      <c r="BJ1002" s="4510">
        <f t="shared" si="561"/>
        <v>33.5</v>
      </c>
      <c r="BK1002" s="4510">
        <f t="shared" si="562"/>
        <v>46.9</v>
      </c>
      <c r="BL1002" s="4510">
        <f t="shared" si="563"/>
        <v>80.4</v>
      </c>
      <c r="BM1002" s="4586">
        <f t="shared" si="564"/>
        <v>67</v>
      </c>
      <c r="BN1002" s="4587">
        <f t="shared" si="565"/>
        <v>60.3</v>
      </c>
      <c r="BO1002" s="1049"/>
      <c r="BP1002" s="1049"/>
      <c r="BQ1002" s="1049"/>
      <c r="BR1002" s="1050"/>
      <c r="BS1002" s="1051"/>
      <c r="BT1002" s="1051"/>
      <c r="BU1002" s="1051"/>
      <c r="BV1002" s="4505">
        <f t="shared" si="556"/>
        <v>402</v>
      </c>
      <c r="BW1002" s="4506">
        <f t="shared" ref="BW1002:BW1064" si="568">I1002-BV1002</f>
        <v>0</v>
      </c>
      <c r="BX1002" s="4323"/>
      <c r="BY1002" s="4323"/>
      <c r="BZ1002" s="4323"/>
      <c r="CA1002" s="4511"/>
      <c r="CC1002" s="4512"/>
      <c r="CD1002" s="4511"/>
      <c r="XCZ1002" s="4618"/>
      <c r="XDA1002" s="4618"/>
      <c r="XDB1002" s="4618"/>
      <c r="XDC1002" s="4618"/>
      <c r="XDD1002" s="4618"/>
      <c r="XDE1002" s="4618"/>
      <c r="XDF1002" s="4618"/>
      <c r="XDG1002" s="4618"/>
      <c r="XDH1002" s="4618"/>
      <c r="XDI1002" s="4618"/>
      <c r="XDJ1002" s="4618"/>
      <c r="XDK1002" s="4618"/>
      <c r="XDL1002" s="4618"/>
      <c r="XDM1002" s="4618"/>
      <c r="XDN1002" s="4618"/>
      <c r="XDO1002" s="4618"/>
      <c r="XDP1002" s="4618"/>
      <c r="XDQ1002" s="4618"/>
      <c r="XDR1002" s="4618"/>
      <c r="XDS1002" s="4618"/>
      <c r="XDT1002" s="4618"/>
      <c r="XDU1002" s="4618"/>
      <c r="XDV1002" s="4618"/>
      <c r="XDW1002" s="4618"/>
      <c r="XDX1002" s="4618"/>
      <c r="XDY1002" s="4618"/>
      <c r="XDZ1002" s="4618"/>
      <c r="XEA1002" s="4618"/>
      <c r="XEB1002" s="4618"/>
      <c r="XEC1002" s="4618"/>
      <c r="XED1002" s="4618"/>
      <c r="XEE1002" s="4618"/>
      <c r="XEF1002" s="4618"/>
      <c r="XEG1002" s="4618"/>
      <c r="XEH1002" s="4618"/>
      <c r="XEI1002" s="4618"/>
      <c r="XEJ1002" s="4618"/>
      <c r="XEK1002" s="4618"/>
      <c r="XEL1002" s="4618"/>
      <c r="XEM1002" s="4618"/>
      <c r="XEN1002" s="4618"/>
      <c r="XEO1002" s="4618"/>
      <c r="XEP1002" s="4618"/>
      <c r="XEQ1002" s="4618"/>
      <c r="XER1002" s="4618"/>
      <c r="XES1002" s="4618"/>
      <c r="XET1002" s="4618"/>
      <c r="XEU1002" s="4618"/>
      <c r="XEV1002" s="4618"/>
      <c r="XEW1002" s="4618"/>
      <c r="XEX1002" s="4618"/>
      <c r="XEY1002" s="4618"/>
      <c r="XEZ1002" s="4618"/>
      <c r="XFA1002" s="4618"/>
      <c r="XFB1002" s="4618"/>
      <c r="XFC1002" s="4618"/>
      <c r="XFD1002" s="4618"/>
    </row>
    <row r="1003" s="4316" customFormat="1" ht="50" customHeight="1" spans="1:82 16328:16384">
      <c r="A1003" s="4500">
        <v>46105</v>
      </c>
      <c r="B1003" s="4501" t="s">
        <v>4747</v>
      </c>
      <c r="C1003" s="3708" t="s">
        <v>91</v>
      </c>
      <c r="D1003" s="4502">
        <v>4500198191</v>
      </c>
      <c r="E1003" s="3708">
        <v>4563091432</v>
      </c>
      <c r="F1003" s="4502" t="s">
        <v>5800</v>
      </c>
      <c r="G1003" s="3708" t="s">
        <v>2719</v>
      </c>
      <c r="H1003" s="4154" t="s">
        <v>2591</v>
      </c>
      <c r="I1003" s="4593">
        <v>96</v>
      </c>
      <c r="J1003" s="4154">
        <v>0</v>
      </c>
      <c r="K1003" s="4154">
        <v>6</v>
      </c>
      <c r="L1003" s="4154">
        <f t="shared" si="566"/>
        <v>16</v>
      </c>
      <c r="M1003" s="4503">
        <v>46150</v>
      </c>
      <c r="N1003" s="4553">
        <v>46146</v>
      </c>
      <c r="O1003" s="4117"/>
      <c r="P1003" s="4527" t="s">
        <v>82</v>
      </c>
      <c r="Q1003" s="4157">
        <v>96</v>
      </c>
      <c r="R1003" s="4157">
        <f t="shared" si="567"/>
        <v>0</v>
      </c>
      <c r="S1003" s="1047"/>
      <c r="T1003" s="4173" t="s">
        <v>321</v>
      </c>
      <c r="U1003" s="3726" t="s">
        <v>271</v>
      </c>
      <c r="V1003" s="3711" t="s">
        <v>1147</v>
      </c>
      <c r="W1003" s="3711"/>
      <c r="X1003" s="3711" t="s">
        <v>5796</v>
      </c>
      <c r="Y1003" s="3711"/>
      <c r="Z1003" s="4154"/>
      <c r="AA1003" s="3680" t="s">
        <v>5797</v>
      </c>
      <c r="AB1003" s="4154" t="s">
        <v>3262</v>
      </c>
      <c r="AC1003" s="4616">
        <v>1.2927</v>
      </c>
      <c r="AD1003" s="4154">
        <f t="shared" si="535"/>
        <v>124.0992</v>
      </c>
      <c r="AE1003" s="3726"/>
      <c r="AF1003" s="3708" t="s">
        <v>2719</v>
      </c>
      <c r="AG1003" s="3726" t="s">
        <v>416</v>
      </c>
      <c r="AH1003" s="4154"/>
      <c r="AI1003" s="3708"/>
      <c r="AJ1003" s="4575">
        <f t="shared" si="557"/>
        <v>96</v>
      </c>
      <c r="AK1003" s="4154"/>
      <c r="AL1003" s="4154"/>
      <c r="AM1003" s="3708"/>
      <c r="AN1003" s="1048"/>
      <c r="AO1003" s="1048"/>
      <c r="AP1003" s="4154">
        <f t="shared" si="536"/>
        <v>96</v>
      </c>
      <c r="AQ1003" s="1048"/>
      <c r="AR1003" s="1048"/>
      <c r="AS1003" s="4510">
        <f t="shared" si="558"/>
        <v>96</v>
      </c>
      <c r="AT1003" s="1048"/>
      <c r="AU1003" s="1048"/>
      <c r="AV1003" s="1048"/>
      <c r="AW1003" s="4510"/>
      <c r="AX1003" s="1048"/>
      <c r="AY1003" s="1048"/>
      <c r="AZ1003" s="1048"/>
      <c r="BA1003" s="1048"/>
      <c r="BB1003" s="1048"/>
      <c r="BC1003" s="1048"/>
      <c r="BD1003" s="1048"/>
      <c r="BE1003" s="1048"/>
      <c r="BF1003" s="1048" t="s">
        <v>89</v>
      </c>
      <c r="BG1003" s="4505"/>
      <c r="BH1003" s="4510">
        <f t="shared" si="559"/>
        <v>16</v>
      </c>
      <c r="BI1003" s="4510">
        <f t="shared" si="560"/>
        <v>11.2</v>
      </c>
      <c r="BJ1003" s="4510">
        <f t="shared" si="561"/>
        <v>8</v>
      </c>
      <c r="BK1003" s="4510">
        <f t="shared" si="562"/>
        <v>11.2</v>
      </c>
      <c r="BL1003" s="4510">
        <f t="shared" si="563"/>
        <v>19.2</v>
      </c>
      <c r="BM1003" s="4586">
        <f t="shared" si="564"/>
        <v>16</v>
      </c>
      <c r="BN1003" s="4587">
        <f t="shared" si="565"/>
        <v>14.4</v>
      </c>
      <c r="BO1003" s="1049"/>
      <c r="BP1003" s="1049"/>
      <c r="BQ1003" s="1049"/>
      <c r="BR1003" s="1050"/>
      <c r="BS1003" s="1051"/>
      <c r="BT1003" s="1051"/>
      <c r="BU1003" s="1051"/>
      <c r="BV1003" s="4505">
        <f t="shared" si="556"/>
        <v>96</v>
      </c>
      <c r="BW1003" s="4506">
        <f t="shared" si="568"/>
        <v>0</v>
      </c>
      <c r="BX1003" s="4323"/>
      <c r="BY1003" s="4323"/>
      <c r="BZ1003" s="4323"/>
      <c r="CA1003" s="4511"/>
      <c r="CC1003" s="4512"/>
      <c r="CD1003" s="4511"/>
      <c r="XCZ1003" s="4618"/>
      <c r="XDA1003" s="4618"/>
      <c r="XDB1003" s="4618"/>
      <c r="XDC1003" s="4618"/>
      <c r="XDD1003" s="4618"/>
      <c r="XDE1003" s="4618"/>
      <c r="XDF1003" s="4618"/>
      <c r="XDG1003" s="4618"/>
      <c r="XDH1003" s="4618"/>
      <c r="XDI1003" s="4618"/>
      <c r="XDJ1003" s="4618"/>
      <c r="XDK1003" s="4618"/>
      <c r="XDL1003" s="4618"/>
      <c r="XDM1003" s="4618"/>
      <c r="XDN1003" s="4618"/>
      <c r="XDO1003" s="4618"/>
      <c r="XDP1003" s="4618"/>
      <c r="XDQ1003" s="4618"/>
      <c r="XDR1003" s="4618"/>
      <c r="XDS1003" s="4618"/>
      <c r="XDT1003" s="4618"/>
      <c r="XDU1003" s="4618"/>
      <c r="XDV1003" s="4618"/>
      <c r="XDW1003" s="4618"/>
      <c r="XDX1003" s="4618"/>
      <c r="XDY1003" s="4618"/>
      <c r="XDZ1003" s="4618"/>
      <c r="XEA1003" s="4618"/>
      <c r="XEB1003" s="4618"/>
      <c r="XEC1003" s="4618"/>
      <c r="XED1003" s="4618"/>
      <c r="XEE1003" s="4618"/>
      <c r="XEF1003" s="4618"/>
      <c r="XEG1003" s="4618"/>
      <c r="XEH1003" s="4618"/>
      <c r="XEI1003" s="4618"/>
      <c r="XEJ1003" s="4618"/>
      <c r="XEK1003" s="4618"/>
      <c r="XEL1003" s="4618"/>
      <c r="XEM1003" s="4618"/>
      <c r="XEN1003" s="4618"/>
      <c r="XEO1003" s="4618"/>
      <c r="XEP1003" s="4618"/>
      <c r="XEQ1003" s="4618"/>
      <c r="XER1003" s="4618"/>
      <c r="XES1003" s="4618"/>
      <c r="XET1003" s="4618"/>
      <c r="XEU1003" s="4618"/>
      <c r="XEV1003" s="4618"/>
      <c r="XEW1003" s="4618"/>
      <c r="XEX1003" s="4618"/>
      <c r="XEY1003" s="4618"/>
      <c r="XEZ1003" s="4618"/>
      <c r="XFA1003" s="4618"/>
      <c r="XFB1003" s="4618"/>
      <c r="XFC1003" s="4618"/>
      <c r="XFD1003" s="4618"/>
    </row>
    <row r="1004" s="4316" customFormat="1" ht="50" customHeight="1" spans="1:82 16328:16384">
      <c r="A1004" s="4500">
        <v>46105</v>
      </c>
      <c r="B1004" s="4501" t="s">
        <v>4747</v>
      </c>
      <c r="C1004" s="3708" t="s">
        <v>91</v>
      </c>
      <c r="D1004" s="4502">
        <v>4500198191</v>
      </c>
      <c r="E1004" s="3708">
        <v>4563091354</v>
      </c>
      <c r="F1004" s="4502" t="s">
        <v>5801</v>
      </c>
      <c r="G1004" s="3708" t="s">
        <v>2719</v>
      </c>
      <c r="H1004" s="4154" t="s">
        <v>2591</v>
      </c>
      <c r="I1004" s="4593">
        <v>108</v>
      </c>
      <c r="J1004" s="4154">
        <v>0</v>
      </c>
      <c r="K1004" s="4154">
        <v>6</v>
      </c>
      <c r="L1004" s="4154">
        <f t="shared" si="566"/>
        <v>18</v>
      </c>
      <c r="M1004" s="4503">
        <v>46150</v>
      </c>
      <c r="N1004" s="4553">
        <v>46146</v>
      </c>
      <c r="O1004" s="4117"/>
      <c r="P1004" s="4527" t="s">
        <v>82</v>
      </c>
      <c r="Q1004" s="4157">
        <v>108</v>
      </c>
      <c r="R1004" s="4157">
        <f t="shared" si="567"/>
        <v>0</v>
      </c>
      <c r="S1004" s="1047"/>
      <c r="T1004" s="4173" t="s">
        <v>321</v>
      </c>
      <c r="U1004" s="3726" t="s">
        <v>271</v>
      </c>
      <c r="V1004" s="3711" t="s">
        <v>1147</v>
      </c>
      <c r="W1004" s="3711"/>
      <c r="X1004" s="3711" t="s">
        <v>5796</v>
      </c>
      <c r="Y1004" s="3711"/>
      <c r="Z1004" s="4154"/>
      <c r="AA1004" s="3680" t="s">
        <v>5797</v>
      </c>
      <c r="AB1004" s="4154" t="s">
        <v>3262</v>
      </c>
      <c r="AC1004" s="4616">
        <v>1.2927</v>
      </c>
      <c r="AD1004" s="4154">
        <f t="shared" si="535"/>
        <v>139.6116</v>
      </c>
      <c r="AE1004" s="3726"/>
      <c r="AF1004" s="3708" t="s">
        <v>2719</v>
      </c>
      <c r="AG1004" s="3726" t="s">
        <v>416</v>
      </c>
      <c r="AH1004" s="4154"/>
      <c r="AI1004" s="3708"/>
      <c r="AJ1004" s="4575">
        <f t="shared" si="557"/>
        <v>108</v>
      </c>
      <c r="AK1004" s="4154"/>
      <c r="AL1004" s="4154"/>
      <c r="AM1004" s="3708"/>
      <c r="AN1004" s="1048"/>
      <c r="AO1004" s="1048"/>
      <c r="AP1004" s="4154">
        <f t="shared" si="536"/>
        <v>108</v>
      </c>
      <c r="AQ1004" s="1048"/>
      <c r="AR1004" s="1048"/>
      <c r="AS1004" s="4510">
        <f t="shared" si="558"/>
        <v>108</v>
      </c>
      <c r="AT1004" s="1048"/>
      <c r="AU1004" s="1048"/>
      <c r="AV1004" s="1048"/>
      <c r="AW1004" s="4510"/>
      <c r="AX1004" s="1048"/>
      <c r="AY1004" s="1048"/>
      <c r="AZ1004" s="1048"/>
      <c r="BA1004" s="1048"/>
      <c r="BB1004" s="1048"/>
      <c r="BC1004" s="1048"/>
      <c r="BD1004" s="1048"/>
      <c r="BE1004" s="1048"/>
      <c r="BF1004" s="1048" t="s">
        <v>89</v>
      </c>
      <c r="BG1004" s="4505"/>
      <c r="BH1004" s="4510">
        <f t="shared" si="559"/>
        <v>18</v>
      </c>
      <c r="BI1004" s="4510">
        <f t="shared" si="560"/>
        <v>12.6</v>
      </c>
      <c r="BJ1004" s="4510">
        <f t="shared" si="561"/>
        <v>9</v>
      </c>
      <c r="BK1004" s="4510">
        <f t="shared" si="562"/>
        <v>12.6</v>
      </c>
      <c r="BL1004" s="4510">
        <f t="shared" si="563"/>
        <v>21.6</v>
      </c>
      <c r="BM1004" s="4586">
        <f t="shared" si="564"/>
        <v>18</v>
      </c>
      <c r="BN1004" s="4587">
        <f t="shared" si="565"/>
        <v>16.2</v>
      </c>
      <c r="BO1004" s="1049"/>
      <c r="BP1004" s="1049"/>
      <c r="BQ1004" s="1049"/>
      <c r="BR1004" s="1050"/>
      <c r="BS1004" s="1051"/>
      <c r="BT1004" s="1051"/>
      <c r="BU1004" s="1051"/>
      <c r="BV1004" s="4505">
        <f t="shared" si="556"/>
        <v>108</v>
      </c>
      <c r="BW1004" s="4506">
        <f t="shared" si="568"/>
        <v>0</v>
      </c>
      <c r="BX1004" s="4323"/>
      <c r="BY1004" s="4323"/>
      <c r="BZ1004" s="4323"/>
      <c r="CA1004" s="4511"/>
      <c r="CC1004" s="4512"/>
      <c r="CD1004" s="4511"/>
      <c r="XCZ1004" s="4618"/>
      <c r="XDA1004" s="4618"/>
      <c r="XDB1004" s="4618"/>
      <c r="XDC1004" s="4618"/>
      <c r="XDD1004" s="4618"/>
      <c r="XDE1004" s="4618"/>
      <c r="XDF1004" s="4618"/>
      <c r="XDG1004" s="4618"/>
      <c r="XDH1004" s="4618"/>
      <c r="XDI1004" s="4618"/>
      <c r="XDJ1004" s="4618"/>
      <c r="XDK1004" s="4618"/>
      <c r="XDL1004" s="4618"/>
      <c r="XDM1004" s="4618"/>
      <c r="XDN1004" s="4618"/>
      <c r="XDO1004" s="4618"/>
      <c r="XDP1004" s="4618"/>
      <c r="XDQ1004" s="4618"/>
      <c r="XDR1004" s="4618"/>
      <c r="XDS1004" s="4618"/>
      <c r="XDT1004" s="4618"/>
      <c r="XDU1004" s="4618"/>
      <c r="XDV1004" s="4618"/>
      <c r="XDW1004" s="4618"/>
      <c r="XDX1004" s="4618"/>
      <c r="XDY1004" s="4618"/>
      <c r="XDZ1004" s="4618"/>
      <c r="XEA1004" s="4618"/>
      <c r="XEB1004" s="4618"/>
      <c r="XEC1004" s="4618"/>
      <c r="XED1004" s="4618"/>
      <c r="XEE1004" s="4618"/>
      <c r="XEF1004" s="4618"/>
      <c r="XEG1004" s="4618"/>
      <c r="XEH1004" s="4618"/>
      <c r="XEI1004" s="4618"/>
      <c r="XEJ1004" s="4618"/>
      <c r="XEK1004" s="4618"/>
      <c r="XEL1004" s="4618"/>
      <c r="XEM1004" s="4618"/>
      <c r="XEN1004" s="4618"/>
      <c r="XEO1004" s="4618"/>
      <c r="XEP1004" s="4618"/>
      <c r="XEQ1004" s="4618"/>
      <c r="XER1004" s="4618"/>
      <c r="XES1004" s="4618"/>
      <c r="XET1004" s="4618"/>
      <c r="XEU1004" s="4618"/>
      <c r="XEV1004" s="4618"/>
      <c r="XEW1004" s="4618"/>
      <c r="XEX1004" s="4618"/>
      <c r="XEY1004" s="4618"/>
      <c r="XEZ1004" s="4618"/>
      <c r="XFA1004" s="4618"/>
      <c r="XFB1004" s="4618"/>
      <c r="XFC1004" s="4618"/>
      <c r="XFD1004" s="4618"/>
    </row>
    <row r="1005" s="4316" customFormat="1" ht="50" customHeight="1" spans="1:82 16328:16384">
      <c r="A1005" s="4500">
        <v>46105</v>
      </c>
      <c r="B1005" s="4501" t="s">
        <v>4747</v>
      </c>
      <c r="C1005" s="3708" t="s">
        <v>91</v>
      </c>
      <c r="D1005" s="4502">
        <v>4500198191</v>
      </c>
      <c r="E1005" s="3708">
        <v>4563091385</v>
      </c>
      <c r="F1005" s="4502" t="s">
        <v>5802</v>
      </c>
      <c r="G1005" s="3708" t="s">
        <v>2719</v>
      </c>
      <c r="H1005" s="4154" t="s">
        <v>2591</v>
      </c>
      <c r="I1005" s="4593">
        <v>336</v>
      </c>
      <c r="J1005" s="4154">
        <v>0</v>
      </c>
      <c r="K1005" s="4154">
        <v>6</v>
      </c>
      <c r="L1005" s="4154">
        <f t="shared" si="566"/>
        <v>56</v>
      </c>
      <c r="M1005" s="4503">
        <v>46150</v>
      </c>
      <c r="N1005" s="4553">
        <v>46146</v>
      </c>
      <c r="O1005" s="4117"/>
      <c r="P1005" s="4527" t="s">
        <v>82</v>
      </c>
      <c r="Q1005" s="4157">
        <v>336</v>
      </c>
      <c r="R1005" s="4157">
        <f t="shared" si="567"/>
        <v>0</v>
      </c>
      <c r="S1005" s="1047"/>
      <c r="T1005" s="4173" t="s">
        <v>321</v>
      </c>
      <c r="U1005" s="3726" t="s">
        <v>271</v>
      </c>
      <c r="V1005" s="3711" t="s">
        <v>1147</v>
      </c>
      <c r="W1005" s="3711"/>
      <c r="X1005" s="3711" t="s">
        <v>5796</v>
      </c>
      <c r="Y1005" s="3711"/>
      <c r="Z1005" s="4154"/>
      <c r="AA1005" s="3680" t="s">
        <v>5797</v>
      </c>
      <c r="AB1005" s="4154" t="s">
        <v>3262</v>
      </c>
      <c r="AC1005" s="4616">
        <v>1.2927</v>
      </c>
      <c r="AD1005" s="4154">
        <f t="shared" si="535"/>
        <v>434.3472</v>
      </c>
      <c r="AE1005" s="3726"/>
      <c r="AF1005" s="3708" t="s">
        <v>2719</v>
      </c>
      <c r="AG1005" s="3726" t="s">
        <v>416</v>
      </c>
      <c r="AH1005" s="4154"/>
      <c r="AI1005" s="3708"/>
      <c r="AJ1005" s="4575">
        <f t="shared" si="557"/>
        <v>336</v>
      </c>
      <c r="AK1005" s="4154"/>
      <c r="AL1005" s="4154"/>
      <c r="AM1005" s="3708"/>
      <c r="AN1005" s="1048"/>
      <c r="AO1005" s="1048"/>
      <c r="AP1005" s="4154">
        <f t="shared" si="536"/>
        <v>336</v>
      </c>
      <c r="AQ1005" s="1048"/>
      <c r="AR1005" s="1048"/>
      <c r="AS1005" s="4510">
        <f t="shared" si="558"/>
        <v>336</v>
      </c>
      <c r="AT1005" s="1048"/>
      <c r="AU1005" s="1048"/>
      <c r="AV1005" s="1048"/>
      <c r="AW1005" s="4510"/>
      <c r="AX1005" s="1048"/>
      <c r="AY1005" s="1048"/>
      <c r="AZ1005" s="1048"/>
      <c r="BA1005" s="1048"/>
      <c r="BB1005" s="1048"/>
      <c r="BC1005" s="1048"/>
      <c r="BD1005" s="1048"/>
      <c r="BE1005" s="1048"/>
      <c r="BF1005" s="1048" t="s">
        <v>89</v>
      </c>
      <c r="BG1005" s="4505"/>
      <c r="BH1005" s="4510">
        <f t="shared" si="559"/>
        <v>56</v>
      </c>
      <c r="BI1005" s="4510">
        <f t="shared" si="560"/>
        <v>39.2</v>
      </c>
      <c r="BJ1005" s="4510">
        <f t="shared" si="561"/>
        <v>28</v>
      </c>
      <c r="BK1005" s="4510">
        <f t="shared" si="562"/>
        <v>39.2</v>
      </c>
      <c r="BL1005" s="4510">
        <f t="shared" si="563"/>
        <v>67.2</v>
      </c>
      <c r="BM1005" s="4586">
        <f t="shared" si="564"/>
        <v>56</v>
      </c>
      <c r="BN1005" s="4587">
        <f t="shared" si="565"/>
        <v>50.4</v>
      </c>
      <c r="BO1005" s="1049"/>
      <c r="BP1005" s="1049"/>
      <c r="BQ1005" s="1049"/>
      <c r="BR1005" s="1050"/>
      <c r="BS1005" s="1051"/>
      <c r="BT1005" s="1051"/>
      <c r="BU1005" s="1051"/>
      <c r="BV1005" s="4505">
        <f t="shared" si="556"/>
        <v>336</v>
      </c>
      <c r="BW1005" s="4506">
        <f t="shared" si="568"/>
        <v>0</v>
      </c>
      <c r="BX1005" s="4323"/>
      <c r="BY1005" s="4323"/>
      <c r="BZ1005" s="4323"/>
      <c r="CA1005" s="4511"/>
      <c r="CC1005" s="4512"/>
      <c r="CD1005" s="4511"/>
      <c r="XCZ1005" s="4618"/>
      <c r="XDA1005" s="4618"/>
      <c r="XDB1005" s="4618"/>
      <c r="XDC1005" s="4618"/>
      <c r="XDD1005" s="4618"/>
      <c r="XDE1005" s="4618"/>
      <c r="XDF1005" s="4618"/>
      <c r="XDG1005" s="4618"/>
      <c r="XDH1005" s="4618"/>
      <c r="XDI1005" s="4618"/>
      <c r="XDJ1005" s="4618"/>
      <c r="XDK1005" s="4618"/>
      <c r="XDL1005" s="4618"/>
      <c r="XDM1005" s="4618"/>
      <c r="XDN1005" s="4618"/>
      <c r="XDO1005" s="4618"/>
      <c r="XDP1005" s="4618"/>
      <c r="XDQ1005" s="4618"/>
      <c r="XDR1005" s="4618"/>
      <c r="XDS1005" s="4618"/>
      <c r="XDT1005" s="4618"/>
      <c r="XDU1005" s="4618"/>
      <c r="XDV1005" s="4618"/>
      <c r="XDW1005" s="4618"/>
      <c r="XDX1005" s="4618"/>
      <c r="XDY1005" s="4618"/>
      <c r="XDZ1005" s="4618"/>
      <c r="XEA1005" s="4618"/>
      <c r="XEB1005" s="4618"/>
      <c r="XEC1005" s="4618"/>
      <c r="XED1005" s="4618"/>
      <c r="XEE1005" s="4618"/>
      <c r="XEF1005" s="4618"/>
      <c r="XEG1005" s="4618"/>
      <c r="XEH1005" s="4618"/>
      <c r="XEI1005" s="4618"/>
      <c r="XEJ1005" s="4618"/>
      <c r="XEK1005" s="4618"/>
      <c r="XEL1005" s="4618"/>
      <c r="XEM1005" s="4618"/>
      <c r="XEN1005" s="4618"/>
      <c r="XEO1005" s="4618"/>
      <c r="XEP1005" s="4618"/>
      <c r="XEQ1005" s="4618"/>
      <c r="XER1005" s="4618"/>
      <c r="XES1005" s="4618"/>
      <c r="XET1005" s="4618"/>
      <c r="XEU1005" s="4618"/>
      <c r="XEV1005" s="4618"/>
      <c r="XEW1005" s="4618"/>
      <c r="XEX1005" s="4618"/>
      <c r="XEY1005" s="4618"/>
      <c r="XEZ1005" s="4618"/>
      <c r="XFA1005" s="4618"/>
      <c r="XFB1005" s="4618"/>
      <c r="XFC1005" s="4618"/>
      <c r="XFD1005" s="4618"/>
    </row>
    <row r="1006" s="4316" customFormat="1" ht="50" customHeight="1" spans="1:82 16328:16384">
      <c r="A1006" s="4500">
        <v>46105</v>
      </c>
      <c r="B1006" s="4501" t="s">
        <v>4747</v>
      </c>
      <c r="C1006" s="3708" t="s">
        <v>91</v>
      </c>
      <c r="D1006" s="4502">
        <v>4500198191</v>
      </c>
      <c r="E1006" s="3708">
        <v>4563091417</v>
      </c>
      <c r="F1006" s="4502" t="s">
        <v>5803</v>
      </c>
      <c r="G1006" s="3708" t="s">
        <v>2719</v>
      </c>
      <c r="H1006" s="4154" t="s">
        <v>2591</v>
      </c>
      <c r="I1006" s="4593">
        <v>288</v>
      </c>
      <c r="J1006" s="4154">
        <v>0</v>
      </c>
      <c r="K1006" s="4154">
        <v>6</v>
      </c>
      <c r="L1006" s="4154">
        <f t="shared" si="566"/>
        <v>48</v>
      </c>
      <c r="M1006" s="4503">
        <v>46150</v>
      </c>
      <c r="N1006" s="4553">
        <v>46146</v>
      </c>
      <c r="O1006" s="4117"/>
      <c r="P1006" s="4527" t="s">
        <v>82</v>
      </c>
      <c r="Q1006" s="4157">
        <v>288</v>
      </c>
      <c r="R1006" s="4157">
        <f t="shared" si="567"/>
        <v>0</v>
      </c>
      <c r="S1006" s="1047"/>
      <c r="T1006" s="4173" t="s">
        <v>321</v>
      </c>
      <c r="U1006" s="3726" t="s">
        <v>271</v>
      </c>
      <c r="V1006" s="3711" t="s">
        <v>1147</v>
      </c>
      <c r="W1006" s="3711"/>
      <c r="X1006" s="3711" t="s">
        <v>5796</v>
      </c>
      <c r="Y1006" s="3711"/>
      <c r="Z1006" s="4154"/>
      <c r="AA1006" s="3680" t="s">
        <v>5797</v>
      </c>
      <c r="AB1006" s="4154" t="s">
        <v>3262</v>
      </c>
      <c r="AC1006" s="4616">
        <v>1.2927</v>
      </c>
      <c r="AD1006" s="4154">
        <f t="shared" si="535"/>
        <v>372.2976</v>
      </c>
      <c r="AE1006" s="3726"/>
      <c r="AF1006" s="3708" t="s">
        <v>2719</v>
      </c>
      <c r="AG1006" s="3726" t="s">
        <v>416</v>
      </c>
      <c r="AH1006" s="4154"/>
      <c r="AI1006" s="3708"/>
      <c r="AJ1006" s="4575">
        <f t="shared" si="557"/>
        <v>288</v>
      </c>
      <c r="AK1006" s="4154"/>
      <c r="AL1006" s="4154"/>
      <c r="AM1006" s="3708"/>
      <c r="AN1006" s="1048"/>
      <c r="AO1006" s="1048"/>
      <c r="AP1006" s="4154">
        <f t="shared" si="536"/>
        <v>288</v>
      </c>
      <c r="AQ1006" s="1048"/>
      <c r="AR1006" s="1048"/>
      <c r="AS1006" s="4510">
        <f t="shared" si="558"/>
        <v>288</v>
      </c>
      <c r="AT1006" s="1048"/>
      <c r="AU1006" s="1048"/>
      <c r="AV1006" s="1048"/>
      <c r="AW1006" s="4510"/>
      <c r="AX1006" s="1048"/>
      <c r="AY1006" s="1048"/>
      <c r="AZ1006" s="1048"/>
      <c r="BA1006" s="1048"/>
      <c r="BB1006" s="1048"/>
      <c r="BC1006" s="1048"/>
      <c r="BD1006" s="1048"/>
      <c r="BE1006" s="1048"/>
      <c r="BF1006" s="1048" t="s">
        <v>89</v>
      </c>
      <c r="BG1006" s="4505"/>
      <c r="BH1006" s="4510">
        <f t="shared" si="559"/>
        <v>48</v>
      </c>
      <c r="BI1006" s="4510">
        <f t="shared" si="560"/>
        <v>33.6</v>
      </c>
      <c r="BJ1006" s="4510">
        <f t="shared" si="561"/>
        <v>24</v>
      </c>
      <c r="BK1006" s="4510">
        <f t="shared" si="562"/>
        <v>33.6</v>
      </c>
      <c r="BL1006" s="4510">
        <f t="shared" si="563"/>
        <v>57.6</v>
      </c>
      <c r="BM1006" s="4586">
        <f t="shared" si="564"/>
        <v>48</v>
      </c>
      <c r="BN1006" s="4587">
        <f t="shared" si="565"/>
        <v>43.2</v>
      </c>
      <c r="BO1006" s="1049"/>
      <c r="BP1006" s="1049"/>
      <c r="BQ1006" s="1049"/>
      <c r="BR1006" s="1050"/>
      <c r="BS1006" s="1051"/>
      <c r="BT1006" s="1051"/>
      <c r="BU1006" s="1051"/>
      <c r="BV1006" s="4505">
        <f t="shared" si="556"/>
        <v>288</v>
      </c>
      <c r="BW1006" s="4506">
        <f t="shared" si="568"/>
        <v>0</v>
      </c>
      <c r="BX1006" s="4323"/>
      <c r="BY1006" s="4323"/>
      <c r="BZ1006" s="4323"/>
      <c r="CA1006" s="4511"/>
      <c r="CC1006" s="4512"/>
      <c r="CD1006" s="4511"/>
      <c r="XCZ1006" s="4618"/>
      <c r="XDA1006" s="4618"/>
      <c r="XDB1006" s="4618"/>
      <c r="XDC1006" s="4618"/>
      <c r="XDD1006" s="4618"/>
      <c r="XDE1006" s="4618"/>
      <c r="XDF1006" s="4618"/>
      <c r="XDG1006" s="4618"/>
      <c r="XDH1006" s="4618"/>
      <c r="XDI1006" s="4618"/>
      <c r="XDJ1006" s="4618"/>
      <c r="XDK1006" s="4618"/>
      <c r="XDL1006" s="4618"/>
      <c r="XDM1006" s="4618"/>
      <c r="XDN1006" s="4618"/>
      <c r="XDO1006" s="4618"/>
      <c r="XDP1006" s="4618"/>
      <c r="XDQ1006" s="4618"/>
      <c r="XDR1006" s="4618"/>
      <c r="XDS1006" s="4618"/>
      <c r="XDT1006" s="4618"/>
      <c r="XDU1006" s="4618"/>
      <c r="XDV1006" s="4618"/>
      <c r="XDW1006" s="4618"/>
      <c r="XDX1006" s="4618"/>
      <c r="XDY1006" s="4618"/>
      <c r="XDZ1006" s="4618"/>
      <c r="XEA1006" s="4618"/>
      <c r="XEB1006" s="4618"/>
      <c r="XEC1006" s="4618"/>
      <c r="XED1006" s="4618"/>
      <c r="XEE1006" s="4618"/>
      <c r="XEF1006" s="4618"/>
      <c r="XEG1006" s="4618"/>
      <c r="XEH1006" s="4618"/>
      <c r="XEI1006" s="4618"/>
      <c r="XEJ1006" s="4618"/>
      <c r="XEK1006" s="4618"/>
      <c r="XEL1006" s="4618"/>
      <c r="XEM1006" s="4618"/>
      <c r="XEN1006" s="4618"/>
      <c r="XEO1006" s="4618"/>
      <c r="XEP1006" s="4618"/>
      <c r="XEQ1006" s="4618"/>
      <c r="XER1006" s="4618"/>
      <c r="XES1006" s="4618"/>
      <c r="XET1006" s="4618"/>
      <c r="XEU1006" s="4618"/>
      <c r="XEV1006" s="4618"/>
      <c r="XEW1006" s="4618"/>
      <c r="XEX1006" s="4618"/>
      <c r="XEY1006" s="4618"/>
      <c r="XEZ1006" s="4618"/>
      <c r="XFA1006" s="4618"/>
      <c r="XFB1006" s="4618"/>
      <c r="XFC1006" s="4618"/>
      <c r="XFD1006" s="4618"/>
    </row>
    <row r="1007" s="4316" customFormat="1" ht="50" customHeight="1" spans="1:82 16328:16384">
      <c r="A1007" s="4500">
        <v>46105</v>
      </c>
      <c r="B1007" s="4501" t="s">
        <v>4747</v>
      </c>
      <c r="C1007" s="3708" t="s">
        <v>91</v>
      </c>
      <c r="D1007" s="4502">
        <v>4500198191</v>
      </c>
      <c r="E1007" s="3708">
        <v>4563091308</v>
      </c>
      <c r="F1007" s="4502" t="s">
        <v>5804</v>
      </c>
      <c r="G1007" s="3708" t="s">
        <v>2719</v>
      </c>
      <c r="H1007" s="4154" t="s">
        <v>2591</v>
      </c>
      <c r="I1007" s="4593">
        <v>534</v>
      </c>
      <c r="J1007" s="4154">
        <v>0</v>
      </c>
      <c r="K1007" s="4154">
        <v>6</v>
      </c>
      <c r="L1007" s="4154">
        <f t="shared" si="566"/>
        <v>89</v>
      </c>
      <c r="M1007" s="4503">
        <v>46150</v>
      </c>
      <c r="N1007" s="4553">
        <v>46146</v>
      </c>
      <c r="O1007" s="4117"/>
      <c r="P1007" s="4527" t="s">
        <v>82</v>
      </c>
      <c r="Q1007" s="4157">
        <v>534</v>
      </c>
      <c r="R1007" s="4157">
        <f t="shared" si="567"/>
        <v>0</v>
      </c>
      <c r="S1007" s="1047"/>
      <c r="T1007" s="4173" t="s">
        <v>321</v>
      </c>
      <c r="U1007" s="3726" t="s">
        <v>271</v>
      </c>
      <c r="V1007" s="3711" t="s">
        <v>1147</v>
      </c>
      <c r="W1007" s="3711"/>
      <c r="X1007" s="3711" t="s">
        <v>5796</v>
      </c>
      <c r="Y1007" s="3711"/>
      <c r="Z1007" s="4154"/>
      <c r="AA1007" s="3680" t="s">
        <v>5797</v>
      </c>
      <c r="AB1007" s="4154" t="s">
        <v>3262</v>
      </c>
      <c r="AC1007" s="4616">
        <v>1.2927</v>
      </c>
      <c r="AD1007" s="4154">
        <f t="shared" si="535"/>
        <v>690.3018</v>
      </c>
      <c r="AE1007" s="3726"/>
      <c r="AF1007" s="3708" t="s">
        <v>2719</v>
      </c>
      <c r="AG1007" s="3726" t="s">
        <v>416</v>
      </c>
      <c r="AH1007" s="4154"/>
      <c r="AI1007" s="3708"/>
      <c r="AJ1007" s="4575">
        <f t="shared" si="557"/>
        <v>534</v>
      </c>
      <c r="AK1007" s="4154"/>
      <c r="AL1007" s="4154"/>
      <c r="AM1007" s="3708"/>
      <c r="AN1007" s="1048"/>
      <c r="AO1007" s="1048"/>
      <c r="AP1007" s="4154">
        <f t="shared" si="536"/>
        <v>534</v>
      </c>
      <c r="AQ1007" s="1048"/>
      <c r="AR1007" s="1048"/>
      <c r="AS1007" s="4510">
        <f t="shared" si="558"/>
        <v>534</v>
      </c>
      <c r="AT1007" s="1048"/>
      <c r="AU1007" s="1048"/>
      <c r="AV1007" s="1048"/>
      <c r="AW1007" s="4510"/>
      <c r="AX1007" s="1048"/>
      <c r="AY1007" s="1048"/>
      <c r="AZ1007" s="1048"/>
      <c r="BA1007" s="1048"/>
      <c r="BB1007" s="1048"/>
      <c r="BC1007" s="1048"/>
      <c r="BD1007" s="1048"/>
      <c r="BE1007" s="1048"/>
      <c r="BF1007" s="1048" t="s">
        <v>89</v>
      </c>
      <c r="BG1007" s="4505"/>
      <c r="BH1007" s="4510">
        <f t="shared" si="559"/>
        <v>89</v>
      </c>
      <c r="BI1007" s="4510">
        <f t="shared" si="560"/>
        <v>62.3</v>
      </c>
      <c r="BJ1007" s="4510">
        <f t="shared" si="561"/>
        <v>44.5</v>
      </c>
      <c r="BK1007" s="4510">
        <f t="shared" si="562"/>
        <v>62.3</v>
      </c>
      <c r="BL1007" s="4510">
        <f t="shared" si="563"/>
        <v>106.8</v>
      </c>
      <c r="BM1007" s="4586">
        <f t="shared" si="564"/>
        <v>89</v>
      </c>
      <c r="BN1007" s="4587">
        <f t="shared" si="565"/>
        <v>80.1</v>
      </c>
      <c r="BO1007" s="1049"/>
      <c r="BP1007" s="1049"/>
      <c r="BQ1007" s="1049"/>
      <c r="BR1007" s="1050"/>
      <c r="BS1007" s="1051"/>
      <c r="BT1007" s="1051"/>
      <c r="BU1007" s="1051"/>
      <c r="BV1007" s="4505">
        <f t="shared" si="556"/>
        <v>534</v>
      </c>
      <c r="BW1007" s="4506">
        <f t="shared" si="568"/>
        <v>0</v>
      </c>
      <c r="BX1007" s="4323"/>
      <c r="BY1007" s="4323"/>
      <c r="BZ1007" s="4323"/>
      <c r="CA1007" s="4511"/>
      <c r="CC1007" s="4512"/>
      <c r="CD1007" s="4511"/>
      <c r="XCZ1007" s="4618"/>
      <c r="XDA1007" s="4618"/>
      <c r="XDB1007" s="4618"/>
      <c r="XDC1007" s="4618"/>
      <c r="XDD1007" s="4618"/>
      <c r="XDE1007" s="4618"/>
      <c r="XDF1007" s="4618"/>
      <c r="XDG1007" s="4618"/>
      <c r="XDH1007" s="4618"/>
      <c r="XDI1007" s="4618"/>
      <c r="XDJ1007" s="4618"/>
      <c r="XDK1007" s="4618"/>
      <c r="XDL1007" s="4618"/>
      <c r="XDM1007" s="4618"/>
      <c r="XDN1007" s="4618"/>
      <c r="XDO1007" s="4618"/>
      <c r="XDP1007" s="4618"/>
      <c r="XDQ1007" s="4618"/>
      <c r="XDR1007" s="4618"/>
      <c r="XDS1007" s="4618"/>
      <c r="XDT1007" s="4618"/>
      <c r="XDU1007" s="4618"/>
      <c r="XDV1007" s="4618"/>
      <c r="XDW1007" s="4618"/>
      <c r="XDX1007" s="4618"/>
      <c r="XDY1007" s="4618"/>
      <c r="XDZ1007" s="4618"/>
      <c r="XEA1007" s="4618"/>
      <c r="XEB1007" s="4618"/>
      <c r="XEC1007" s="4618"/>
      <c r="XED1007" s="4618"/>
      <c r="XEE1007" s="4618"/>
      <c r="XEF1007" s="4618"/>
      <c r="XEG1007" s="4618"/>
      <c r="XEH1007" s="4618"/>
      <c r="XEI1007" s="4618"/>
      <c r="XEJ1007" s="4618"/>
      <c r="XEK1007" s="4618"/>
      <c r="XEL1007" s="4618"/>
      <c r="XEM1007" s="4618"/>
      <c r="XEN1007" s="4618"/>
      <c r="XEO1007" s="4618"/>
      <c r="XEP1007" s="4618"/>
      <c r="XEQ1007" s="4618"/>
      <c r="XER1007" s="4618"/>
      <c r="XES1007" s="4618"/>
      <c r="XET1007" s="4618"/>
      <c r="XEU1007" s="4618"/>
      <c r="XEV1007" s="4618"/>
      <c r="XEW1007" s="4618"/>
      <c r="XEX1007" s="4618"/>
      <c r="XEY1007" s="4618"/>
      <c r="XEZ1007" s="4618"/>
      <c r="XFA1007" s="4618"/>
      <c r="XFB1007" s="4618"/>
      <c r="XFC1007" s="4618"/>
      <c r="XFD1007" s="4618"/>
    </row>
    <row r="1008" s="4316" customFormat="1" ht="50" customHeight="1" spans="1:82 16328:16384">
      <c r="A1008" s="4500">
        <v>46105</v>
      </c>
      <c r="B1008" s="4501" t="s">
        <v>4747</v>
      </c>
      <c r="C1008" s="3708" t="s">
        <v>91</v>
      </c>
      <c r="D1008" s="4502">
        <v>4500198191</v>
      </c>
      <c r="E1008" s="3708">
        <v>4563091362</v>
      </c>
      <c r="F1008" s="4502" t="s">
        <v>5805</v>
      </c>
      <c r="G1008" s="3708" t="s">
        <v>2719</v>
      </c>
      <c r="H1008" s="4154" t="s">
        <v>2591</v>
      </c>
      <c r="I1008" s="4593">
        <v>360</v>
      </c>
      <c r="J1008" s="4154">
        <v>0</v>
      </c>
      <c r="K1008" s="4154">
        <v>6</v>
      </c>
      <c r="L1008" s="4154">
        <f t="shared" si="566"/>
        <v>60</v>
      </c>
      <c r="M1008" s="4503">
        <v>46150</v>
      </c>
      <c r="N1008" s="4553">
        <v>46146</v>
      </c>
      <c r="O1008" s="4117"/>
      <c r="P1008" s="4527" t="s">
        <v>82</v>
      </c>
      <c r="Q1008" s="4157">
        <v>360</v>
      </c>
      <c r="R1008" s="4157">
        <f t="shared" si="567"/>
        <v>0</v>
      </c>
      <c r="S1008" s="4169"/>
      <c r="T1008" s="4173" t="s">
        <v>321</v>
      </c>
      <c r="U1008" s="3726" t="s">
        <v>271</v>
      </c>
      <c r="V1008" s="3711" t="s">
        <v>1147</v>
      </c>
      <c r="W1008" s="3711"/>
      <c r="X1008" s="3711" t="s">
        <v>5796</v>
      </c>
      <c r="Y1008" s="3711"/>
      <c r="Z1008" s="4154"/>
      <c r="AA1008" s="3680" t="s">
        <v>5797</v>
      </c>
      <c r="AB1008" s="4154" t="s">
        <v>3262</v>
      </c>
      <c r="AC1008" s="4616">
        <v>1.2927</v>
      </c>
      <c r="AD1008" s="4154">
        <f t="shared" si="535"/>
        <v>465.372</v>
      </c>
      <c r="AE1008" s="3726"/>
      <c r="AF1008" s="3708" t="s">
        <v>2719</v>
      </c>
      <c r="AG1008" s="3726" t="s">
        <v>416</v>
      </c>
      <c r="AH1008" s="4154"/>
      <c r="AI1008" s="3708"/>
      <c r="AJ1008" s="4575">
        <f t="shared" si="557"/>
        <v>360</v>
      </c>
      <c r="AK1008" s="4154"/>
      <c r="AL1008" s="4154"/>
      <c r="AM1008" s="3708"/>
      <c r="AN1008" s="1048"/>
      <c r="AO1008" s="1048"/>
      <c r="AP1008" s="4154">
        <f t="shared" si="536"/>
        <v>360</v>
      </c>
      <c r="AQ1008" s="1048"/>
      <c r="AR1008" s="1048"/>
      <c r="AS1008" s="4510">
        <f t="shared" si="558"/>
        <v>360</v>
      </c>
      <c r="AT1008" s="1048"/>
      <c r="AU1008" s="1048"/>
      <c r="AV1008" s="1048"/>
      <c r="AW1008" s="4510"/>
      <c r="AX1008" s="1048"/>
      <c r="AY1008" s="1048"/>
      <c r="AZ1008" s="1048"/>
      <c r="BA1008" s="1048"/>
      <c r="BB1008" s="1048"/>
      <c r="BC1008" s="1048"/>
      <c r="BD1008" s="1048"/>
      <c r="BE1008" s="1048"/>
      <c r="BF1008" s="1048" t="s">
        <v>89</v>
      </c>
      <c r="BG1008" s="4505"/>
      <c r="BH1008" s="4510">
        <f t="shared" si="559"/>
        <v>60</v>
      </c>
      <c r="BI1008" s="4510">
        <f t="shared" si="560"/>
        <v>42</v>
      </c>
      <c r="BJ1008" s="4510">
        <f t="shared" si="561"/>
        <v>30</v>
      </c>
      <c r="BK1008" s="4510">
        <f t="shared" si="562"/>
        <v>42</v>
      </c>
      <c r="BL1008" s="4510">
        <f t="shared" si="563"/>
        <v>72</v>
      </c>
      <c r="BM1008" s="4586">
        <f t="shared" si="564"/>
        <v>60</v>
      </c>
      <c r="BN1008" s="4587">
        <f t="shared" si="565"/>
        <v>54</v>
      </c>
      <c r="BO1008" s="1049"/>
      <c r="BP1008" s="1049"/>
      <c r="BQ1008" s="1049"/>
      <c r="BR1008" s="1050"/>
      <c r="BS1008" s="1051"/>
      <c r="BT1008" s="1051"/>
      <c r="BU1008" s="1051"/>
      <c r="BV1008" s="4505">
        <f t="shared" si="556"/>
        <v>360</v>
      </c>
      <c r="BW1008" s="4506">
        <f t="shared" si="568"/>
        <v>0</v>
      </c>
      <c r="BX1008" s="4323"/>
      <c r="BY1008" s="4323"/>
      <c r="BZ1008" s="4323"/>
      <c r="CA1008" s="4511"/>
      <c r="CC1008" s="4512"/>
      <c r="CD1008" s="4511"/>
      <c r="XCZ1008" s="4618"/>
      <c r="XDA1008" s="4618"/>
      <c r="XDB1008" s="4618"/>
      <c r="XDC1008" s="4618"/>
      <c r="XDD1008" s="4618"/>
      <c r="XDE1008" s="4618"/>
      <c r="XDF1008" s="4618"/>
      <c r="XDG1008" s="4618"/>
      <c r="XDH1008" s="4618"/>
      <c r="XDI1008" s="4618"/>
      <c r="XDJ1008" s="4618"/>
      <c r="XDK1008" s="4618"/>
      <c r="XDL1008" s="4618"/>
      <c r="XDM1008" s="4618"/>
      <c r="XDN1008" s="4618"/>
      <c r="XDO1008" s="4618"/>
      <c r="XDP1008" s="4618"/>
      <c r="XDQ1008" s="4618"/>
      <c r="XDR1008" s="4618"/>
      <c r="XDS1008" s="4618"/>
      <c r="XDT1008" s="4618"/>
      <c r="XDU1008" s="4618"/>
      <c r="XDV1008" s="4618"/>
      <c r="XDW1008" s="4618"/>
      <c r="XDX1008" s="4618"/>
      <c r="XDY1008" s="4618"/>
      <c r="XDZ1008" s="4618"/>
      <c r="XEA1008" s="4618"/>
      <c r="XEB1008" s="4618"/>
      <c r="XEC1008" s="4618"/>
      <c r="XED1008" s="4618"/>
      <c r="XEE1008" s="4618"/>
      <c r="XEF1008" s="4618"/>
      <c r="XEG1008" s="4618"/>
      <c r="XEH1008" s="4618"/>
      <c r="XEI1008" s="4618"/>
      <c r="XEJ1008" s="4618"/>
      <c r="XEK1008" s="4618"/>
      <c r="XEL1008" s="4618"/>
      <c r="XEM1008" s="4618"/>
      <c r="XEN1008" s="4618"/>
      <c r="XEO1008" s="4618"/>
      <c r="XEP1008" s="4618"/>
      <c r="XEQ1008" s="4618"/>
      <c r="XER1008" s="4618"/>
      <c r="XES1008" s="4618"/>
      <c r="XET1008" s="4618"/>
      <c r="XEU1008" s="4618"/>
      <c r="XEV1008" s="4618"/>
      <c r="XEW1008" s="4618"/>
      <c r="XEX1008" s="4618"/>
      <c r="XEY1008" s="4618"/>
      <c r="XEZ1008" s="4618"/>
      <c r="XFA1008" s="4618"/>
      <c r="XFB1008" s="4618"/>
      <c r="XFC1008" s="4618"/>
      <c r="XFD1008" s="4618"/>
    </row>
    <row r="1009" s="4316" customFormat="1" ht="50" customHeight="1" spans="1:82 16328:16384">
      <c r="A1009" s="4500">
        <v>46100</v>
      </c>
      <c r="B1009" s="4501" t="s">
        <v>5806</v>
      </c>
      <c r="C1009" s="3708" t="s">
        <v>793</v>
      </c>
      <c r="D1009" s="4502">
        <v>4500197647</v>
      </c>
      <c r="E1009" s="3708" t="s">
        <v>5807</v>
      </c>
      <c r="F1009" s="4502" t="s">
        <v>5808</v>
      </c>
      <c r="G1009" s="3708" t="s">
        <v>4110</v>
      </c>
      <c r="H1009" s="3708" t="s">
        <v>3353</v>
      </c>
      <c r="I1009" s="4154">
        <v>1500</v>
      </c>
      <c r="J1009" s="4154">
        <v>0</v>
      </c>
      <c r="K1009" s="4154">
        <v>6</v>
      </c>
      <c r="L1009" s="4154">
        <f t="shared" si="566"/>
        <v>250</v>
      </c>
      <c r="M1009" s="4503">
        <v>46150</v>
      </c>
      <c r="N1009" s="4503">
        <v>46146</v>
      </c>
      <c r="O1009" s="3708"/>
      <c r="P1009" s="4527" t="s">
        <v>82</v>
      </c>
      <c r="Q1009" s="4157">
        <v>1500</v>
      </c>
      <c r="R1009" s="4157">
        <f t="shared" si="567"/>
        <v>0</v>
      </c>
      <c r="S1009" s="4219" t="s">
        <v>2297</v>
      </c>
      <c r="T1009" s="4173" t="s">
        <v>321</v>
      </c>
      <c r="U1009" s="3726" t="s">
        <v>5809</v>
      </c>
      <c r="V1009" s="3711" t="s">
        <v>3462</v>
      </c>
      <c r="W1009" s="3711"/>
      <c r="X1009" s="3711" t="s">
        <v>5810</v>
      </c>
      <c r="Y1009" s="3709"/>
      <c r="Z1009" s="3712"/>
      <c r="AA1009" s="3680" t="s">
        <v>5811</v>
      </c>
      <c r="AB1009" s="4154" t="s">
        <v>5812</v>
      </c>
      <c r="AC1009" s="4616">
        <v>4.7912</v>
      </c>
      <c r="AD1009" s="4154">
        <f t="shared" si="535"/>
        <v>7186.8</v>
      </c>
      <c r="AE1009" s="3726"/>
      <c r="AF1009" s="3708" t="s">
        <v>4110</v>
      </c>
      <c r="AG1009" s="3726" t="s">
        <v>416</v>
      </c>
      <c r="AH1009" s="3708"/>
      <c r="AI1009" s="4154"/>
      <c r="AJ1009" s="4154">
        <f t="shared" si="557"/>
        <v>1500</v>
      </c>
      <c r="AK1009" s="3708"/>
      <c r="AL1009" s="3708"/>
      <c r="AM1009" s="3708"/>
      <c r="AN1009" s="4154"/>
      <c r="AO1009" s="4154"/>
      <c r="AP1009" s="4154">
        <f t="shared" si="536"/>
        <v>1500</v>
      </c>
      <c r="AQ1009" s="1048"/>
      <c r="AR1009" s="1048"/>
      <c r="AS1009" s="1048">
        <f t="shared" si="558"/>
        <v>1500</v>
      </c>
      <c r="AT1009" s="1048"/>
      <c r="AU1009" s="1048"/>
      <c r="AV1009" s="1048"/>
      <c r="AW1009" s="1048"/>
      <c r="AX1009" s="1048"/>
      <c r="AY1009" s="1048"/>
      <c r="AZ1009" s="1048"/>
      <c r="BA1009" s="1048"/>
      <c r="BB1009" s="1048"/>
      <c r="BC1009" s="1048">
        <f>I1009</f>
        <v>1500</v>
      </c>
      <c r="BD1009" s="1048"/>
      <c r="BE1009" s="1048"/>
      <c r="BF1009" s="1048" t="s">
        <v>89</v>
      </c>
      <c r="BG1009" s="4505"/>
      <c r="BH1009" s="4510">
        <f t="shared" si="559"/>
        <v>250</v>
      </c>
      <c r="BI1009" s="4510">
        <f t="shared" si="560"/>
        <v>175</v>
      </c>
      <c r="BJ1009" s="4510">
        <f t="shared" si="561"/>
        <v>125</v>
      </c>
      <c r="BK1009" s="4510">
        <f t="shared" si="562"/>
        <v>175</v>
      </c>
      <c r="BL1009" s="4510">
        <f t="shared" si="563"/>
        <v>300</v>
      </c>
      <c r="BM1009" s="4586">
        <f t="shared" si="564"/>
        <v>250</v>
      </c>
      <c r="BN1009" s="4587">
        <f t="shared" si="565"/>
        <v>225</v>
      </c>
      <c r="BO1009" s="1048"/>
      <c r="BP1009" s="1048"/>
      <c r="BQ1009" s="1048"/>
      <c r="BR1009" s="1048"/>
      <c r="BS1009" s="1048"/>
      <c r="BT1009" s="4414"/>
      <c r="BU1009" s="4415"/>
      <c r="BV1009" s="4505">
        <f>SUM(BH1009:BU1009)</f>
        <v>1500</v>
      </c>
      <c r="BW1009" s="4506">
        <f t="shared" si="568"/>
        <v>0</v>
      </c>
      <c r="BX1009" s="4323"/>
      <c r="BY1009" s="4323"/>
      <c r="BZ1009" s="4323"/>
      <c r="CA1009" s="4511"/>
      <c r="CC1009" s="4512"/>
      <c r="CD1009" s="4511"/>
      <c r="XCZ1009" s="4618"/>
      <c r="XDA1009" s="4618"/>
      <c r="XDB1009" s="4618"/>
      <c r="XDC1009" s="4618"/>
      <c r="XDD1009" s="4618"/>
      <c r="XDE1009" s="4618"/>
      <c r="XDF1009" s="4618"/>
      <c r="XDG1009" s="4618"/>
      <c r="XDH1009" s="4618"/>
      <c r="XDI1009" s="4618"/>
      <c r="XDJ1009" s="4618"/>
      <c r="XDK1009" s="4618"/>
      <c r="XDL1009" s="4618"/>
      <c r="XDM1009" s="4618"/>
      <c r="XDN1009" s="4618"/>
      <c r="XDO1009" s="4618"/>
      <c r="XDP1009" s="4618"/>
      <c r="XDQ1009" s="4618"/>
      <c r="XDR1009" s="4618"/>
      <c r="XDS1009" s="4618"/>
      <c r="XDT1009" s="4618"/>
      <c r="XDU1009" s="4618"/>
      <c r="XDV1009" s="4618"/>
      <c r="XDW1009" s="4618"/>
      <c r="XDX1009" s="4618"/>
      <c r="XDY1009" s="4618"/>
      <c r="XDZ1009" s="4618"/>
      <c r="XEA1009" s="4618"/>
      <c r="XEB1009" s="4618"/>
      <c r="XEC1009" s="4618"/>
      <c r="XED1009" s="4618"/>
      <c r="XEE1009" s="4618"/>
      <c r="XEF1009" s="4618"/>
      <c r="XEG1009" s="4618"/>
      <c r="XEH1009" s="4618"/>
      <c r="XEI1009" s="4618"/>
      <c r="XEJ1009" s="4618"/>
      <c r="XEK1009" s="4618"/>
      <c r="XEL1009" s="4618"/>
      <c r="XEM1009" s="4618"/>
      <c r="XEN1009" s="4618"/>
      <c r="XEO1009" s="4618"/>
      <c r="XEP1009" s="4618"/>
      <c r="XEQ1009" s="4618"/>
      <c r="XER1009" s="4618"/>
      <c r="XES1009" s="4618"/>
      <c r="XET1009" s="4618"/>
      <c r="XEU1009" s="4618"/>
      <c r="XEV1009" s="4618"/>
      <c r="XEW1009" s="4618"/>
      <c r="XEX1009" s="4618"/>
      <c r="XEY1009" s="4618"/>
      <c r="XEZ1009" s="4618"/>
      <c r="XFA1009" s="4618"/>
      <c r="XFB1009" s="4618"/>
      <c r="XFC1009" s="4618"/>
      <c r="XFD1009" s="4618"/>
    </row>
    <row r="1010" s="4316" customFormat="1" ht="50" customHeight="1" spans="1:82 16328:16384">
      <c r="A1010" s="4500">
        <v>46083</v>
      </c>
      <c r="B1010" s="4501" t="s">
        <v>1957</v>
      </c>
      <c r="C1010" s="3708" t="s">
        <v>351</v>
      </c>
      <c r="D1010" s="4502">
        <v>4500194834</v>
      </c>
      <c r="E1010" s="3708" t="s">
        <v>5813</v>
      </c>
      <c r="F1010" s="4502" t="s">
        <v>5814</v>
      </c>
      <c r="G1010" s="3708" t="s">
        <v>2590</v>
      </c>
      <c r="H1010" s="3708" t="s">
        <v>2591</v>
      </c>
      <c r="I1010" s="4154">
        <v>324</v>
      </c>
      <c r="J1010" s="4154">
        <v>0</v>
      </c>
      <c r="K1010" s="4154">
        <v>6</v>
      </c>
      <c r="L1010" s="4154">
        <f t="shared" si="566"/>
        <v>54</v>
      </c>
      <c r="M1010" s="4503">
        <v>46161</v>
      </c>
      <c r="N1010" s="4553">
        <v>46157</v>
      </c>
      <c r="O1010" s="4117"/>
      <c r="P1010" s="4527" t="s">
        <v>82</v>
      </c>
      <c r="Q1010" s="4157">
        <v>324</v>
      </c>
      <c r="R1010" s="4157">
        <f t="shared" si="567"/>
        <v>0</v>
      </c>
      <c r="S1010" s="4173" t="s">
        <v>2297</v>
      </c>
      <c r="T1010" s="4173" t="s">
        <v>321</v>
      </c>
      <c r="U1010" s="3726" t="s">
        <v>5815</v>
      </c>
      <c r="V1010" s="3711" t="s">
        <v>5816</v>
      </c>
      <c r="W1010" s="3711"/>
      <c r="X1010" s="3711" t="s">
        <v>5817</v>
      </c>
      <c r="Y1010" s="3711"/>
      <c r="Z1010" s="4154"/>
      <c r="AA1010" s="3680" t="s">
        <v>5818</v>
      </c>
      <c r="AB1010" s="4154" t="s">
        <v>1131</v>
      </c>
      <c r="AC1010" s="4154">
        <v>2.1007</v>
      </c>
      <c r="AD1010" s="4154">
        <f t="shared" si="535"/>
        <v>680.6268</v>
      </c>
      <c r="AE1010" s="3726"/>
      <c r="AF1010" s="4160" t="s">
        <v>2590</v>
      </c>
      <c r="AG1010" s="3726" t="s">
        <v>416</v>
      </c>
      <c r="AH1010" s="4154"/>
      <c r="AI1010" s="3708"/>
      <c r="AJ1010" s="4575">
        <f t="shared" si="557"/>
        <v>324</v>
      </c>
      <c r="AK1010" s="4154"/>
      <c r="AL1010" s="4154"/>
      <c r="AM1010" s="3708"/>
      <c r="AN1010" s="1048"/>
      <c r="AO1010" s="1048"/>
      <c r="AP1010" s="4154">
        <f t="shared" si="536"/>
        <v>324</v>
      </c>
      <c r="AQ1010" s="1048"/>
      <c r="AR1010" s="1048"/>
      <c r="AS1010" s="4510">
        <f t="shared" si="558"/>
        <v>324</v>
      </c>
      <c r="AT1010" s="1048"/>
      <c r="AU1010" s="1048"/>
      <c r="AV1010" s="1048"/>
      <c r="AW1010" s="4510">
        <f>I1010/6</f>
        <v>54</v>
      </c>
      <c r="AX1010" s="1048"/>
      <c r="AY1010" s="1048"/>
      <c r="AZ1010" s="1048"/>
      <c r="BA1010" s="1048"/>
      <c r="BB1010" s="1048"/>
      <c r="BC1010" s="1048"/>
      <c r="BD1010" s="1048"/>
      <c r="BE1010" s="1048"/>
      <c r="BF1010" s="1048" t="s">
        <v>89</v>
      </c>
      <c r="BG1010" s="1048"/>
      <c r="BH1010" s="4510">
        <f>I1010/60*6</f>
        <v>32.4</v>
      </c>
      <c r="BI1010" s="4510">
        <f>I1010/60*4</f>
        <v>21.6</v>
      </c>
      <c r="BJ1010" s="4510">
        <f>I1010/60*15</f>
        <v>81</v>
      </c>
      <c r="BK1010" s="4510">
        <f>I1010/60*8</f>
        <v>43.2</v>
      </c>
      <c r="BL1010" s="4510">
        <f>I1010/60*7</f>
        <v>37.8</v>
      </c>
      <c r="BM1010" s="4586">
        <f>I1010/60*9</f>
        <v>48.6</v>
      </c>
      <c r="BN1010" s="4587">
        <f>I1010/60*11</f>
        <v>59.4</v>
      </c>
      <c r="BO1010" s="1048"/>
      <c r="BP1010" s="1048"/>
      <c r="BQ1010" s="1048"/>
      <c r="BR1010" s="1048"/>
      <c r="BS1010" s="1048"/>
      <c r="BT1010" s="4414"/>
      <c r="BU1010" s="4415"/>
      <c r="BV1010" s="4160">
        <f>SUM(BH1010:BU1010)</f>
        <v>324</v>
      </c>
      <c r="BW1010" s="4160">
        <f t="shared" si="568"/>
        <v>0</v>
      </c>
      <c r="BX1010" s="4323"/>
      <c r="BY1010" s="4323"/>
      <c r="BZ1010" s="4323"/>
      <c r="CA1010" s="4511"/>
      <c r="CC1010" s="4512"/>
      <c r="CD1010" s="4511"/>
      <c r="XCZ1010" s="4618"/>
      <c r="XDA1010" s="4618"/>
      <c r="XDB1010" s="4618"/>
      <c r="XDC1010" s="4618"/>
      <c r="XDD1010" s="4618"/>
      <c r="XDE1010" s="4618"/>
      <c r="XDF1010" s="4618"/>
      <c r="XDG1010" s="4618"/>
      <c r="XDH1010" s="4618"/>
      <c r="XDI1010" s="4618"/>
      <c r="XDJ1010" s="4618"/>
      <c r="XDK1010" s="4618"/>
      <c r="XDL1010" s="4618"/>
      <c r="XDM1010" s="4618"/>
      <c r="XDN1010" s="4618"/>
      <c r="XDO1010" s="4618"/>
      <c r="XDP1010" s="4618"/>
      <c r="XDQ1010" s="4618"/>
      <c r="XDR1010" s="4618"/>
      <c r="XDS1010" s="4618"/>
      <c r="XDT1010" s="4618"/>
      <c r="XDU1010" s="4618"/>
      <c r="XDV1010" s="4618"/>
      <c r="XDW1010" s="4618"/>
      <c r="XDX1010" s="4618"/>
      <c r="XDY1010" s="4618"/>
      <c r="XDZ1010" s="4618"/>
      <c r="XEA1010" s="4618"/>
      <c r="XEB1010" s="4618"/>
      <c r="XEC1010" s="4618"/>
      <c r="XED1010" s="4618"/>
      <c r="XEE1010" s="4618"/>
      <c r="XEF1010" s="4618"/>
      <c r="XEG1010" s="4618"/>
      <c r="XEH1010" s="4618"/>
      <c r="XEI1010" s="4618"/>
      <c r="XEJ1010" s="4618"/>
      <c r="XEK1010" s="4618"/>
      <c r="XEL1010" s="4618"/>
      <c r="XEM1010" s="4618"/>
      <c r="XEN1010" s="4618"/>
      <c r="XEO1010" s="4618"/>
      <c r="XEP1010" s="4618"/>
      <c r="XEQ1010" s="4618"/>
      <c r="XER1010" s="4618"/>
      <c r="XES1010" s="4618"/>
      <c r="XET1010" s="4618"/>
      <c r="XEU1010" s="4618"/>
      <c r="XEV1010" s="4618"/>
      <c r="XEW1010" s="4618"/>
      <c r="XEX1010" s="4618"/>
      <c r="XEY1010" s="4618"/>
      <c r="XEZ1010" s="4618"/>
      <c r="XFA1010" s="4618"/>
      <c r="XFB1010" s="4618"/>
      <c r="XFC1010" s="4618"/>
      <c r="XFD1010" s="4618"/>
    </row>
    <row r="1011" s="4316" customFormat="1" ht="50" customHeight="1" spans="1:82 16328:16384">
      <c r="A1011" s="4500">
        <v>46083</v>
      </c>
      <c r="B1011" s="4501" t="s">
        <v>1957</v>
      </c>
      <c r="C1011" s="3708" t="s">
        <v>351</v>
      </c>
      <c r="D1011" s="4502">
        <v>4500194834</v>
      </c>
      <c r="E1011" s="3708" t="s">
        <v>5813</v>
      </c>
      <c r="F1011" s="4502" t="s">
        <v>5819</v>
      </c>
      <c r="G1011" s="3708" t="s">
        <v>2590</v>
      </c>
      <c r="H1011" s="3708" t="s">
        <v>2591</v>
      </c>
      <c r="I1011" s="4154">
        <v>732</v>
      </c>
      <c r="J1011" s="4154">
        <v>0</v>
      </c>
      <c r="K1011" s="4154">
        <v>6</v>
      </c>
      <c r="L1011" s="4154">
        <f t="shared" si="566"/>
        <v>122</v>
      </c>
      <c r="M1011" s="4503">
        <v>46161</v>
      </c>
      <c r="N1011" s="4553">
        <v>46157</v>
      </c>
      <c r="O1011" s="4117"/>
      <c r="P1011" s="4527" t="s">
        <v>82</v>
      </c>
      <c r="Q1011" s="4157">
        <v>732</v>
      </c>
      <c r="R1011" s="4157">
        <f t="shared" si="567"/>
        <v>0</v>
      </c>
      <c r="S1011" s="4173" t="s">
        <v>2297</v>
      </c>
      <c r="T1011" s="4173" t="s">
        <v>321</v>
      </c>
      <c r="U1011" s="3726" t="s">
        <v>5815</v>
      </c>
      <c r="V1011" s="3711" t="s">
        <v>5816</v>
      </c>
      <c r="W1011" s="3711"/>
      <c r="X1011" s="3711" t="s">
        <v>5817</v>
      </c>
      <c r="Y1011" s="3711"/>
      <c r="Z1011" s="4154"/>
      <c r="AA1011" s="3680" t="s">
        <v>5818</v>
      </c>
      <c r="AB1011" s="4154" t="s">
        <v>1131</v>
      </c>
      <c r="AC1011" s="4154">
        <v>2.1536</v>
      </c>
      <c r="AD1011" s="4154">
        <f t="shared" si="535"/>
        <v>1576.4352</v>
      </c>
      <c r="AE1011" s="3726"/>
      <c r="AF1011" s="4160" t="s">
        <v>2590</v>
      </c>
      <c r="AG1011" s="3726" t="s">
        <v>416</v>
      </c>
      <c r="AH1011" s="4154"/>
      <c r="AI1011" s="3708"/>
      <c r="AJ1011" s="4575">
        <f t="shared" si="557"/>
        <v>732</v>
      </c>
      <c r="AK1011" s="4154"/>
      <c r="AL1011" s="4154"/>
      <c r="AM1011" s="3708"/>
      <c r="AN1011" s="1048"/>
      <c r="AO1011" s="1048"/>
      <c r="AP1011" s="4154">
        <f t="shared" si="536"/>
        <v>732</v>
      </c>
      <c r="AQ1011" s="1048"/>
      <c r="AR1011" s="1048"/>
      <c r="AS1011" s="4510">
        <f t="shared" si="558"/>
        <v>732</v>
      </c>
      <c r="AT1011" s="1048"/>
      <c r="AU1011" s="1048"/>
      <c r="AV1011" s="1048"/>
      <c r="AW1011" s="4510">
        <f>I1011/6</f>
        <v>122</v>
      </c>
      <c r="AX1011" s="1048"/>
      <c r="AY1011" s="1048"/>
      <c r="AZ1011" s="1048"/>
      <c r="BA1011" s="1048"/>
      <c r="BB1011" s="1048"/>
      <c r="BC1011" s="1048"/>
      <c r="BD1011" s="1048"/>
      <c r="BE1011" s="1048"/>
      <c r="BF1011" s="1048" t="s">
        <v>89</v>
      </c>
      <c r="BG1011" s="1048"/>
      <c r="BH1011" s="4510">
        <f>I1011/60*6</f>
        <v>73.2</v>
      </c>
      <c r="BI1011" s="4510">
        <f>I1011/60*4</f>
        <v>48.8</v>
      </c>
      <c r="BJ1011" s="4510">
        <f>I1011/60*15</f>
        <v>183</v>
      </c>
      <c r="BK1011" s="4510">
        <f>I1011/60*8</f>
        <v>97.6</v>
      </c>
      <c r="BL1011" s="4510">
        <f>I1011/60*7</f>
        <v>85.4</v>
      </c>
      <c r="BM1011" s="4586">
        <f>I1011/60*9</f>
        <v>109.8</v>
      </c>
      <c r="BN1011" s="4587">
        <f>I1011/60*11</f>
        <v>134.2</v>
      </c>
      <c r="BO1011" s="1048"/>
      <c r="BP1011" s="1048"/>
      <c r="BQ1011" s="1048"/>
      <c r="BR1011" s="1048"/>
      <c r="BS1011" s="1048"/>
      <c r="BT1011" s="4414"/>
      <c r="BU1011" s="4415"/>
      <c r="BV1011" s="4160">
        <f>SUM(BH1011:BU1011)</f>
        <v>732</v>
      </c>
      <c r="BW1011" s="4160">
        <f t="shared" si="568"/>
        <v>0</v>
      </c>
      <c r="BX1011" s="4323"/>
      <c r="BY1011" s="4323"/>
      <c r="BZ1011" s="4323"/>
      <c r="CA1011" s="4511"/>
      <c r="CC1011" s="4512"/>
      <c r="CD1011" s="4511"/>
      <c r="XCZ1011" s="4618"/>
      <c r="XDA1011" s="4618"/>
      <c r="XDB1011" s="4618"/>
      <c r="XDC1011" s="4618"/>
      <c r="XDD1011" s="4618"/>
      <c r="XDE1011" s="4618"/>
      <c r="XDF1011" s="4618"/>
      <c r="XDG1011" s="4618"/>
      <c r="XDH1011" s="4618"/>
      <c r="XDI1011" s="4618"/>
      <c r="XDJ1011" s="4618"/>
      <c r="XDK1011" s="4618"/>
      <c r="XDL1011" s="4618"/>
      <c r="XDM1011" s="4618"/>
      <c r="XDN1011" s="4618"/>
      <c r="XDO1011" s="4618"/>
      <c r="XDP1011" s="4618"/>
      <c r="XDQ1011" s="4618"/>
      <c r="XDR1011" s="4618"/>
      <c r="XDS1011" s="4618"/>
      <c r="XDT1011" s="4618"/>
      <c r="XDU1011" s="4618"/>
      <c r="XDV1011" s="4618"/>
      <c r="XDW1011" s="4618"/>
      <c r="XDX1011" s="4618"/>
      <c r="XDY1011" s="4618"/>
      <c r="XDZ1011" s="4618"/>
      <c r="XEA1011" s="4618"/>
      <c r="XEB1011" s="4618"/>
      <c r="XEC1011" s="4618"/>
      <c r="XED1011" s="4618"/>
      <c r="XEE1011" s="4618"/>
      <c r="XEF1011" s="4618"/>
      <c r="XEG1011" s="4618"/>
      <c r="XEH1011" s="4618"/>
      <c r="XEI1011" s="4618"/>
      <c r="XEJ1011" s="4618"/>
      <c r="XEK1011" s="4618"/>
      <c r="XEL1011" s="4618"/>
      <c r="XEM1011" s="4618"/>
      <c r="XEN1011" s="4618"/>
      <c r="XEO1011" s="4618"/>
      <c r="XEP1011" s="4618"/>
      <c r="XEQ1011" s="4618"/>
      <c r="XER1011" s="4618"/>
      <c r="XES1011" s="4618"/>
      <c r="XET1011" s="4618"/>
      <c r="XEU1011" s="4618"/>
      <c r="XEV1011" s="4618"/>
      <c r="XEW1011" s="4618"/>
      <c r="XEX1011" s="4618"/>
      <c r="XEY1011" s="4618"/>
      <c r="XEZ1011" s="4618"/>
      <c r="XFA1011" s="4618"/>
      <c r="XFB1011" s="4618"/>
      <c r="XFC1011" s="4618"/>
      <c r="XFD1011" s="4618"/>
    </row>
    <row r="1012" s="4316" customFormat="1" ht="50" customHeight="1" spans="1:82 16328:16384">
      <c r="A1012" s="4500">
        <v>46104</v>
      </c>
      <c r="B1012" s="4501" t="s">
        <v>2914</v>
      </c>
      <c r="C1012" s="3708" t="s">
        <v>341</v>
      </c>
      <c r="D1012" s="4502">
        <v>4500198143</v>
      </c>
      <c r="E1012" s="3708" t="s">
        <v>5820</v>
      </c>
      <c r="F1012" s="4502" t="s">
        <v>5821</v>
      </c>
      <c r="G1012" s="3708" t="s">
        <v>2917</v>
      </c>
      <c r="H1012" s="3708" t="s">
        <v>2620</v>
      </c>
      <c r="I1012" s="4154">
        <v>10000</v>
      </c>
      <c r="J1012" s="4154">
        <v>0</v>
      </c>
      <c r="K1012" s="4154">
        <v>16</v>
      </c>
      <c r="L1012" s="4154">
        <f t="shared" si="566"/>
        <v>625</v>
      </c>
      <c r="M1012" s="4503">
        <v>46158</v>
      </c>
      <c r="N1012" s="4503">
        <v>46154</v>
      </c>
      <c r="O1012" s="4117"/>
      <c r="P1012" s="4527" t="s">
        <v>82</v>
      </c>
      <c r="Q1012" s="4157">
        <v>10000</v>
      </c>
      <c r="R1012" s="4157">
        <f t="shared" si="567"/>
        <v>0</v>
      </c>
      <c r="S1012" s="4219" t="s">
        <v>2297</v>
      </c>
      <c r="T1012" s="4173" t="s">
        <v>321</v>
      </c>
      <c r="U1012" s="3726" t="s">
        <v>1180</v>
      </c>
      <c r="V1012" s="3711" t="s">
        <v>5822</v>
      </c>
      <c r="W1012" s="3711"/>
      <c r="X1012" s="3711" t="s">
        <v>5823</v>
      </c>
      <c r="Y1012" s="3711"/>
      <c r="Z1012" s="3712"/>
      <c r="AA1012" s="3680" t="s">
        <v>5824</v>
      </c>
      <c r="AB1012" s="4154" t="s">
        <v>5106</v>
      </c>
      <c r="AC1012" s="4616">
        <v>2.0917</v>
      </c>
      <c r="AD1012" s="4154">
        <f t="shared" si="535"/>
        <v>20917</v>
      </c>
      <c r="AE1012" s="4617"/>
      <c r="AF1012" s="3708" t="s">
        <v>2917</v>
      </c>
      <c r="AG1012" s="3726" t="s">
        <v>416</v>
      </c>
      <c r="AH1012" s="3708"/>
      <c r="AI1012" s="4154"/>
      <c r="AJ1012" s="4154">
        <f t="shared" si="557"/>
        <v>10000</v>
      </c>
      <c r="AK1012" s="3708"/>
      <c r="AL1012" s="3708"/>
      <c r="AM1012" s="3708"/>
      <c r="AN1012" s="4154"/>
      <c r="AO1012" s="4154"/>
      <c r="AP1012" s="4154">
        <f t="shared" si="536"/>
        <v>10000</v>
      </c>
      <c r="AQ1012" s="1048"/>
      <c r="AR1012" s="1048"/>
      <c r="AS1012" s="1048">
        <f t="shared" si="558"/>
        <v>10000</v>
      </c>
      <c r="AT1012" s="1048"/>
      <c r="AU1012" s="1048"/>
      <c r="AV1012" s="1048"/>
      <c r="AW1012" s="1048"/>
      <c r="AX1012" s="1048"/>
      <c r="AY1012" s="1048"/>
      <c r="AZ1012" s="1048"/>
      <c r="BA1012" s="1048">
        <f>I1012/4</f>
        <v>2500</v>
      </c>
      <c r="BB1012" s="1048"/>
      <c r="BC1012" s="1048"/>
      <c r="BD1012" s="1048"/>
      <c r="BE1012" s="1048"/>
      <c r="BF1012" s="1048" t="s">
        <v>89</v>
      </c>
      <c r="BG1012" s="4505"/>
      <c r="BH1012" s="4510">
        <f t="shared" ref="BH1012:BH1028" si="569">I1012/60*10</f>
        <v>1666.66666666667</v>
      </c>
      <c r="BI1012" s="4510">
        <f>I1012/60*7</f>
        <v>1166.66666666667</v>
      </c>
      <c r="BJ1012" s="4510">
        <f>I1012/60*5</f>
        <v>833.333333333333</v>
      </c>
      <c r="BK1012" s="4510">
        <f>I1012/60*7</f>
        <v>1166.66666666667</v>
      </c>
      <c r="BL1012" s="4510">
        <f>I1012/60*12</f>
        <v>2000</v>
      </c>
      <c r="BM1012" s="4586">
        <f>I1012/60*10</f>
        <v>1666.66666666667</v>
      </c>
      <c r="BN1012" s="4587">
        <f>I1012/60*9</f>
        <v>1500</v>
      </c>
      <c r="BO1012" s="1048"/>
      <c r="BP1012" s="1048"/>
      <c r="BQ1012" s="1048"/>
      <c r="BR1012" s="1048"/>
      <c r="BS1012" s="1048"/>
      <c r="BT1012" s="4414"/>
      <c r="BU1012" s="4415"/>
      <c r="BV1012" s="4505">
        <f>SUM(BH1012:BU1012)</f>
        <v>10000</v>
      </c>
      <c r="BW1012" s="4506">
        <f t="shared" si="568"/>
        <v>0</v>
      </c>
      <c r="BX1012" s="4323"/>
      <c r="BY1012" s="4323"/>
      <c r="BZ1012" s="4323"/>
      <c r="CA1012" s="4511"/>
      <c r="CC1012" s="4512"/>
      <c r="CD1012" s="4511"/>
      <c r="XCZ1012" s="4618"/>
      <c r="XDA1012" s="4618"/>
      <c r="XDB1012" s="4618"/>
      <c r="XDC1012" s="4618"/>
      <c r="XDD1012" s="4618"/>
      <c r="XDE1012" s="4618"/>
      <c r="XDF1012" s="4618"/>
      <c r="XDG1012" s="4618"/>
      <c r="XDH1012" s="4618"/>
      <c r="XDI1012" s="4618"/>
      <c r="XDJ1012" s="4618"/>
      <c r="XDK1012" s="4618"/>
      <c r="XDL1012" s="4618"/>
      <c r="XDM1012" s="4618"/>
      <c r="XDN1012" s="4618"/>
      <c r="XDO1012" s="4618"/>
      <c r="XDP1012" s="4618"/>
      <c r="XDQ1012" s="4618"/>
      <c r="XDR1012" s="4618"/>
      <c r="XDS1012" s="4618"/>
      <c r="XDT1012" s="4618"/>
      <c r="XDU1012" s="4618"/>
      <c r="XDV1012" s="4618"/>
      <c r="XDW1012" s="4618"/>
      <c r="XDX1012" s="4618"/>
      <c r="XDY1012" s="4618"/>
      <c r="XDZ1012" s="4618"/>
      <c r="XEA1012" s="4618"/>
      <c r="XEB1012" s="4618"/>
      <c r="XEC1012" s="4618"/>
      <c r="XED1012" s="4618"/>
      <c r="XEE1012" s="4618"/>
      <c r="XEF1012" s="4618"/>
      <c r="XEG1012" s="4618"/>
      <c r="XEH1012" s="4618"/>
      <c r="XEI1012" s="4618"/>
      <c r="XEJ1012" s="4618"/>
      <c r="XEK1012" s="4618"/>
      <c r="XEL1012" s="4618"/>
      <c r="XEM1012" s="4618"/>
      <c r="XEN1012" s="4618"/>
      <c r="XEO1012" s="4618"/>
      <c r="XEP1012" s="4618"/>
      <c r="XEQ1012" s="4618"/>
      <c r="XER1012" s="4618"/>
      <c r="XES1012" s="4618"/>
      <c r="XET1012" s="4618"/>
      <c r="XEU1012" s="4618"/>
      <c r="XEV1012" s="4618"/>
      <c r="XEW1012" s="4618"/>
      <c r="XEX1012" s="4618"/>
      <c r="XEY1012" s="4618"/>
      <c r="XEZ1012" s="4618"/>
      <c r="XFA1012" s="4618"/>
      <c r="XFB1012" s="4618"/>
      <c r="XFC1012" s="4618"/>
      <c r="XFD1012" s="4618"/>
    </row>
    <row r="1013" s="4316" customFormat="1" ht="50" customHeight="1" spans="1:82 16328:16384">
      <c r="A1013" s="4500">
        <v>46115</v>
      </c>
      <c r="B1013" s="4501" t="s">
        <v>1206</v>
      </c>
      <c r="C1013" s="4614" t="s">
        <v>2580</v>
      </c>
      <c r="D1013" s="4502" t="s">
        <v>5825</v>
      </c>
      <c r="E1013" s="3708" t="s">
        <v>2434</v>
      </c>
      <c r="F1013" s="4615" t="s">
        <v>5826</v>
      </c>
      <c r="G1013" s="3708" t="s">
        <v>2627</v>
      </c>
      <c r="H1013" s="4154" t="s">
        <v>2591</v>
      </c>
      <c r="I1013" s="4154">
        <v>240</v>
      </c>
      <c r="J1013" s="4154">
        <v>0</v>
      </c>
      <c r="K1013" s="4154">
        <v>24</v>
      </c>
      <c r="L1013" s="4154">
        <f t="shared" si="566"/>
        <v>10</v>
      </c>
      <c r="M1013" s="4503">
        <v>46155</v>
      </c>
      <c r="N1013" s="4503">
        <v>46151</v>
      </c>
      <c r="O1013" s="3708"/>
      <c r="P1013" s="4527" t="s">
        <v>82</v>
      </c>
      <c r="Q1013" s="4157">
        <v>240</v>
      </c>
      <c r="R1013" s="4157">
        <f t="shared" si="567"/>
        <v>0</v>
      </c>
      <c r="S1013" s="4600" t="s">
        <v>2297</v>
      </c>
      <c r="T1013" s="4173" t="s">
        <v>321</v>
      </c>
      <c r="U1013" s="3680" t="s">
        <v>5827</v>
      </c>
      <c r="V1013" s="3711" t="s">
        <v>1186</v>
      </c>
      <c r="W1013" s="3711"/>
      <c r="X1013" s="4503" t="s">
        <v>5828</v>
      </c>
      <c r="Y1013" s="3711"/>
      <c r="Z1013" s="3712"/>
      <c r="AA1013" s="3680" t="s">
        <v>5829</v>
      </c>
      <c r="AB1013" s="4154" t="s">
        <v>1199</v>
      </c>
      <c r="AC1013" s="4616">
        <v>2.0898</v>
      </c>
      <c r="AD1013" s="4154">
        <f t="shared" si="535"/>
        <v>501.552</v>
      </c>
      <c r="AE1013" s="4617"/>
      <c r="AF1013" s="3708" t="s">
        <v>2627</v>
      </c>
      <c r="AG1013" s="3726" t="s">
        <v>416</v>
      </c>
      <c r="AH1013" s="3708"/>
      <c r="AI1013" s="4154"/>
      <c r="AJ1013" s="4154">
        <f t="shared" si="557"/>
        <v>240</v>
      </c>
      <c r="AK1013" s="3708"/>
      <c r="AL1013" s="3708"/>
      <c r="AM1013" s="3708"/>
      <c r="AN1013" s="4154"/>
      <c r="AO1013" s="4154"/>
      <c r="AP1013" s="4154">
        <f t="shared" si="536"/>
        <v>240</v>
      </c>
      <c r="AQ1013" s="1048"/>
      <c r="AR1013" s="1048"/>
      <c r="AS1013" s="1048">
        <f t="shared" si="558"/>
        <v>240</v>
      </c>
      <c r="AT1013" s="1048"/>
      <c r="AU1013" s="1048"/>
      <c r="AV1013" s="1048"/>
      <c r="AW1013" s="1048"/>
      <c r="AX1013" s="1048"/>
      <c r="AY1013" s="1048"/>
      <c r="AZ1013" s="1048"/>
      <c r="BA1013" s="1048"/>
      <c r="BB1013" s="1048"/>
      <c r="BC1013" s="1048"/>
      <c r="BD1013" s="1048"/>
      <c r="BE1013" s="4506"/>
      <c r="BF1013" s="4510" t="s">
        <v>89</v>
      </c>
      <c r="BG1013" s="4510"/>
      <c r="BH1013" s="4510">
        <f t="shared" si="569"/>
        <v>40</v>
      </c>
      <c r="BI1013" s="4510">
        <f>I1013/60*10</f>
        <v>40</v>
      </c>
      <c r="BJ1013" s="4510">
        <f>I1013/60*10</f>
        <v>40</v>
      </c>
      <c r="BK1013" s="4525">
        <f>I1013/60*10</f>
        <v>40</v>
      </c>
      <c r="BL1013" s="4525">
        <f>I1013/60*10</f>
        <v>40</v>
      </c>
      <c r="BM1013" s="4505">
        <f>I1013/60*8</f>
        <v>32</v>
      </c>
      <c r="BN1013" s="4505">
        <f>I1013/60*2</f>
        <v>8</v>
      </c>
      <c r="BO1013" s="4613"/>
      <c r="BP1013" s="4613"/>
      <c r="BQ1013" s="4613"/>
      <c r="BR1013" s="4619"/>
      <c r="BS1013" s="1040"/>
      <c r="BT1013" s="4620"/>
      <c r="BU1013" s="4619"/>
      <c r="BV1013" s="4160">
        <f>SUM(BH1013:BU1013)</f>
        <v>240</v>
      </c>
      <c r="BW1013" s="4160">
        <f t="shared" si="568"/>
        <v>0</v>
      </c>
      <c r="BX1013" s="4160"/>
      <c r="BY1013" s="4160"/>
      <c r="BZ1013" s="4160"/>
      <c r="CA1013" s="4511"/>
      <c r="CC1013" s="4512"/>
      <c r="CD1013" s="4511"/>
      <c r="XCZ1013" s="4618"/>
      <c r="XDA1013" s="4618"/>
      <c r="XDB1013" s="4618"/>
      <c r="XDC1013" s="4618"/>
      <c r="XDD1013" s="4618"/>
      <c r="XDE1013" s="4618"/>
      <c r="XDF1013" s="4618"/>
      <c r="XDG1013" s="4618"/>
      <c r="XDH1013" s="4618"/>
      <c r="XDI1013" s="4618"/>
      <c r="XDJ1013" s="4618"/>
      <c r="XDK1013" s="4618"/>
      <c r="XDL1013" s="4618"/>
      <c r="XDM1013" s="4618"/>
      <c r="XDN1013" s="4618"/>
      <c r="XDO1013" s="4618"/>
      <c r="XDP1013" s="4618"/>
      <c r="XDQ1013" s="4618"/>
      <c r="XDR1013" s="4618"/>
      <c r="XDS1013" s="4618"/>
      <c r="XDT1013" s="4618"/>
      <c r="XDU1013" s="4618"/>
      <c r="XDV1013" s="4618"/>
      <c r="XDW1013" s="4618"/>
      <c r="XDX1013" s="4618"/>
      <c r="XDY1013" s="4618"/>
      <c r="XDZ1013" s="4618"/>
      <c r="XEA1013" s="4618"/>
      <c r="XEB1013" s="4618"/>
      <c r="XEC1013" s="4618"/>
      <c r="XED1013" s="4618"/>
      <c r="XEE1013" s="4618"/>
      <c r="XEF1013" s="4618"/>
      <c r="XEG1013" s="4618"/>
      <c r="XEH1013" s="4618"/>
      <c r="XEI1013" s="4618"/>
      <c r="XEJ1013" s="4618"/>
      <c r="XEK1013" s="4618"/>
      <c r="XEL1013" s="4618"/>
      <c r="XEM1013" s="4618"/>
      <c r="XEN1013" s="4618"/>
      <c r="XEO1013" s="4618"/>
      <c r="XEP1013" s="4618"/>
      <c r="XEQ1013" s="4618"/>
      <c r="XER1013" s="4618"/>
      <c r="XES1013" s="4618"/>
      <c r="XET1013" s="4618"/>
      <c r="XEU1013" s="4618"/>
      <c r="XEV1013" s="4618"/>
      <c r="XEW1013" s="4618"/>
      <c r="XEX1013" s="4618"/>
      <c r="XEY1013" s="4618"/>
      <c r="XEZ1013" s="4618"/>
      <c r="XFA1013" s="4618"/>
      <c r="XFB1013" s="4618"/>
      <c r="XFC1013" s="4618"/>
      <c r="XFD1013" s="4618"/>
    </row>
    <row r="1014" s="4316" customFormat="1" ht="50" customHeight="1" spans="1:82 16328:16384">
      <c r="A1014" s="4500">
        <v>46119</v>
      </c>
      <c r="B1014" s="4501" t="s">
        <v>4747</v>
      </c>
      <c r="C1014" s="3708" t="s">
        <v>91</v>
      </c>
      <c r="D1014" s="4502" t="s">
        <v>5830</v>
      </c>
      <c r="E1014" s="3708" t="s">
        <v>5831</v>
      </c>
      <c r="F1014" s="4502" t="s">
        <v>5832</v>
      </c>
      <c r="G1014" s="3708" t="s">
        <v>2719</v>
      </c>
      <c r="H1014" s="4154" t="s">
        <v>2591</v>
      </c>
      <c r="I1014" s="4593">
        <v>420</v>
      </c>
      <c r="J1014" s="4154">
        <v>0</v>
      </c>
      <c r="K1014" s="4154">
        <v>6</v>
      </c>
      <c r="L1014" s="4154">
        <f t="shared" si="566"/>
        <v>70</v>
      </c>
      <c r="M1014" s="4503">
        <v>46156</v>
      </c>
      <c r="N1014" s="4553">
        <v>46153</v>
      </c>
      <c r="O1014" s="4117"/>
      <c r="P1014" s="4527" t="s">
        <v>82</v>
      </c>
      <c r="Q1014" s="4157">
        <v>420</v>
      </c>
      <c r="R1014" s="4157">
        <f t="shared" si="567"/>
        <v>0</v>
      </c>
      <c r="S1014" s="4145"/>
      <c r="T1014" s="4173" t="s">
        <v>321</v>
      </c>
      <c r="U1014" s="3726" t="s">
        <v>271</v>
      </c>
      <c r="V1014" s="3711" t="s">
        <v>5833</v>
      </c>
      <c r="W1014" s="3711"/>
      <c r="X1014" s="3711" t="s">
        <v>5796</v>
      </c>
      <c r="Y1014" s="3711"/>
      <c r="Z1014" s="4154"/>
      <c r="AA1014" s="3680" t="s">
        <v>5834</v>
      </c>
      <c r="AB1014" s="4154" t="s">
        <v>3262</v>
      </c>
      <c r="AC1014" s="4616">
        <v>1.2617</v>
      </c>
      <c r="AD1014" s="4154">
        <f t="shared" si="535"/>
        <v>529.914</v>
      </c>
      <c r="AE1014" s="3726"/>
      <c r="AF1014" s="3708" t="s">
        <v>2719</v>
      </c>
      <c r="AG1014" s="3726" t="s">
        <v>416</v>
      </c>
      <c r="AH1014" s="4154"/>
      <c r="AI1014" s="3708"/>
      <c r="AJ1014" s="4154">
        <f t="shared" si="557"/>
        <v>420</v>
      </c>
      <c r="AK1014" s="4154"/>
      <c r="AL1014" s="4154"/>
      <c r="AM1014" s="3708"/>
      <c r="AN1014" s="1048"/>
      <c r="AO1014" s="1048"/>
      <c r="AP1014" s="4154">
        <f t="shared" si="536"/>
        <v>420</v>
      </c>
      <c r="AQ1014" s="1048"/>
      <c r="AR1014" s="1048"/>
      <c r="AS1014" s="1048">
        <f t="shared" si="558"/>
        <v>420</v>
      </c>
      <c r="AT1014" s="1048"/>
      <c r="AU1014" s="4510"/>
      <c r="AV1014" s="1048"/>
      <c r="AW1014" s="1048"/>
      <c r="AX1014" s="1048"/>
      <c r="AY1014" s="1048"/>
      <c r="AZ1014" s="1048"/>
      <c r="BA1014" s="1048"/>
      <c r="BB1014" s="1048"/>
      <c r="BC1014" s="1048"/>
      <c r="BD1014" s="1048"/>
      <c r="BE1014" s="4506"/>
      <c r="BF1014" s="4510" t="s">
        <v>89</v>
      </c>
      <c r="BG1014" s="4510"/>
      <c r="BH1014" s="4510">
        <f t="shared" si="569"/>
        <v>70</v>
      </c>
      <c r="BI1014" s="4510">
        <f t="shared" ref="BI1014:BI1027" si="570">I1014/60*7</f>
        <v>49</v>
      </c>
      <c r="BJ1014" s="4510">
        <f t="shared" ref="BJ1014:BJ1027" si="571">I1014/60*5</f>
        <v>35</v>
      </c>
      <c r="BK1014" s="4525">
        <f t="shared" ref="BK1014:BK1027" si="572">I1014/60*7</f>
        <v>49</v>
      </c>
      <c r="BL1014" s="4525">
        <f t="shared" ref="BL1014:BL1027" si="573">I1014/60*12</f>
        <v>84</v>
      </c>
      <c r="BM1014" s="4505">
        <f t="shared" ref="BM1014:BM1027" si="574">I1014/60*10</f>
        <v>70</v>
      </c>
      <c r="BN1014" s="4505">
        <f t="shared" ref="BN1014:BN1027" si="575">I1014/60*9</f>
        <v>63</v>
      </c>
      <c r="BO1014" s="4619"/>
      <c r="BP1014" s="4619"/>
      <c r="BQ1014" s="4619"/>
      <c r="BR1014" s="4619"/>
      <c r="BS1014" s="4619"/>
      <c r="BT1014" s="4620"/>
      <c r="BU1014" s="4619"/>
      <c r="BV1014" s="4160">
        <f>SUM(BH1014:BN1014)</f>
        <v>420</v>
      </c>
      <c r="BW1014" s="4160">
        <f t="shared" si="568"/>
        <v>0</v>
      </c>
      <c r="BX1014" s="4160"/>
      <c r="BY1014" s="4160"/>
      <c r="BZ1014" s="4160"/>
      <c r="CA1014" s="4511"/>
      <c r="CC1014" s="4512"/>
      <c r="CD1014" s="4511"/>
      <c r="XCZ1014" s="4618"/>
      <c r="XDA1014" s="4618"/>
      <c r="XDB1014" s="4618"/>
      <c r="XDC1014" s="4618"/>
      <c r="XDD1014" s="4618"/>
      <c r="XDE1014" s="4618"/>
      <c r="XDF1014" s="4618"/>
      <c r="XDG1014" s="4618"/>
      <c r="XDH1014" s="4618"/>
      <c r="XDI1014" s="4618"/>
      <c r="XDJ1014" s="4618"/>
      <c r="XDK1014" s="4618"/>
      <c r="XDL1014" s="4618"/>
      <c r="XDM1014" s="4618"/>
      <c r="XDN1014" s="4618"/>
      <c r="XDO1014" s="4618"/>
      <c r="XDP1014" s="4618"/>
      <c r="XDQ1014" s="4618"/>
      <c r="XDR1014" s="4618"/>
      <c r="XDS1014" s="4618"/>
      <c r="XDT1014" s="4618"/>
      <c r="XDU1014" s="4618"/>
      <c r="XDV1014" s="4618"/>
      <c r="XDW1014" s="4618"/>
      <c r="XDX1014" s="4618"/>
      <c r="XDY1014" s="4618"/>
      <c r="XDZ1014" s="4618"/>
      <c r="XEA1014" s="4618"/>
      <c r="XEB1014" s="4618"/>
      <c r="XEC1014" s="4618"/>
      <c r="XED1014" s="4618"/>
      <c r="XEE1014" s="4618"/>
      <c r="XEF1014" s="4618"/>
      <c r="XEG1014" s="4618"/>
      <c r="XEH1014" s="4618"/>
      <c r="XEI1014" s="4618"/>
      <c r="XEJ1014" s="4618"/>
      <c r="XEK1014" s="4618"/>
      <c r="XEL1014" s="4618"/>
      <c r="XEM1014" s="4618"/>
      <c r="XEN1014" s="4618"/>
      <c r="XEO1014" s="4618"/>
      <c r="XEP1014" s="4618"/>
      <c r="XEQ1014" s="4618"/>
      <c r="XER1014" s="4618"/>
      <c r="XES1014" s="4618"/>
      <c r="XET1014" s="4618"/>
      <c r="XEU1014" s="4618"/>
      <c r="XEV1014" s="4618"/>
      <c r="XEW1014" s="4618"/>
      <c r="XEX1014" s="4618"/>
      <c r="XEY1014" s="4618"/>
      <c r="XEZ1014" s="4618"/>
      <c r="XFA1014" s="4618"/>
      <c r="XFB1014" s="4618"/>
      <c r="XFC1014" s="4618"/>
      <c r="XFD1014" s="4618"/>
    </row>
    <row r="1015" s="4316" customFormat="1" ht="50" customHeight="1" spans="1:82 16328:16384">
      <c r="A1015" s="4500">
        <v>46119</v>
      </c>
      <c r="B1015" s="4501" t="s">
        <v>4747</v>
      </c>
      <c r="C1015" s="3708" t="s">
        <v>91</v>
      </c>
      <c r="D1015" s="4502" t="s">
        <v>5830</v>
      </c>
      <c r="E1015" s="3708" t="s">
        <v>5835</v>
      </c>
      <c r="F1015" s="4502" t="s">
        <v>5836</v>
      </c>
      <c r="G1015" s="3708" t="s">
        <v>2719</v>
      </c>
      <c r="H1015" s="4154" t="s">
        <v>2591</v>
      </c>
      <c r="I1015" s="4593">
        <v>414</v>
      </c>
      <c r="J1015" s="4154">
        <v>0</v>
      </c>
      <c r="K1015" s="4154">
        <v>6</v>
      </c>
      <c r="L1015" s="4154">
        <f t="shared" si="566"/>
        <v>69</v>
      </c>
      <c r="M1015" s="4503">
        <v>46156</v>
      </c>
      <c r="N1015" s="4553">
        <v>46153</v>
      </c>
      <c r="O1015" s="4117"/>
      <c r="P1015" s="4527" t="s">
        <v>82</v>
      </c>
      <c r="Q1015" s="4157">
        <v>414</v>
      </c>
      <c r="R1015" s="4157">
        <f t="shared" si="567"/>
        <v>0</v>
      </c>
      <c r="S1015" s="4145"/>
      <c r="T1015" s="4173" t="s">
        <v>321</v>
      </c>
      <c r="U1015" s="3726" t="s">
        <v>271</v>
      </c>
      <c r="V1015" s="3711" t="s">
        <v>5833</v>
      </c>
      <c r="W1015" s="3711"/>
      <c r="X1015" s="3711" t="s">
        <v>5796</v>
      </c>
      <c r="Y1015" s="3711"/>
      <c r="Z1015" s="4154"/>
      <c r="AA1015" s="3680" t="s">
        <v>5834</v>
      </c>
      <c r="AB1015" s="4154" t="s">
        <v>3262</v>
      </c>
      <c r="AC1015" s="4616">
        <v>1.2617</v>
      </c>
      <c r="AD1015" s="4154">
        <f t="shared" si="535"/>
        <v>522.3438</v>
      </c>
      <c r="AE1015" s="3726"/>
      <c r="AF1015" s="3708" t="s">
        <v>2719</v>
      </c>
      <c r="AG1015" s="3726" t="s">
        <v>416</v>
      </c>
      <c r="AH1015" s="4154"/>
      <c r="AI1015" s="3708"/>
      <c r="AJ1015" s="4154">
        <f t="shared" si="557"/>
        <v>414</v>
      </c>
      <c r="AK1015" s="4154"/>
      <c r="AL1015" s="4154"/>
      <c r="AM1015" s="3708"/>
      <c r="AN1015" s="1048"/>
      <c r="AO1015" s="1048"/>
      <c r="AP1015" s="4154">
        <f t="shared" si="536"/>
        <v>414</v>
      </c>
      <c r="AQ1015" s="1048"/>
      <c r="AR1015" s="1048"/>
      <c r="AS1015" s="1048">
        <f t="shared" si="558"/>
        <v>414</v>
      </c>
      <c r="AT1015" s="1048"/>
      <c r="AU1015" s="1048"/>
      <c r="AV1015" s="1048"/>
      <c r="AW1015" s="1048"/>
      <c r="AX1015" s="1048"/>
      <c r="AY1015" s="1048"/>
      <c r="AZ1015" s="1048"/>
      <c r="BA1015" s="1048"/>
      <c r="BB1015" s="1048"/>
      <c r="BC1015" s="4505"/>
      <c r="BD1015" s="4510"/>
      <c r="BE1015" s="4621"/>
      <c r="BF1015" s="4510" t="s">
        <v>89</v>
      </c>
      <c r="BG1015" s="4510"/>
      <c r="BH1015" s="4510">
        <f t="shared" si="569"/>
        <v>69</v>
      </c>
      <c r="BI1015" s="4510">
        <f t="shared" si="570"/>
        <v>48.3</v>
      </c>
      <c r="BJ1015" s="4510">
        <f t="shared" si="571"/>
        <v>34.5</v>
      </c>
      <c r="BK1015" s="4525">
        <f t="shared" si="572"/>
        <v>48.3</v>
      </c>
      <c r="BL1015" s="4525">
        <f t="shared" si="573"/>
        <v>82.8</v>
      </c>
      <c r="BM1015" s="4505">
        <f t="shared" si="574"/>
        <v>69</v>
      </c>
      <c r="BN1015" s="4505">
        <f t="shared" si="575"/>
        <v>62.1</v>
      </c>
      <c r="BO1015" s="4619"/>
      <c r="BP1015" s="4619"/>
      <c r="BQ1015" s="4619"/>
      <c r="BR1015" s="4619"/>
      <c r="BS1015" s="4619"/>
      <c r="BT1015" s="4620"/>
      <c r="BU1015" s="4619"/>
      <c r="BV1015" s="4160">
        <f>SUM(BH1015:BN1015)</f>
        <v>414</v>
      </c>
      <c r="BW1015" s="4160">
        <f t="shared" si="568"/>
        <v>0</v>
      </c>
      <c r="BX1015" s="4160"/>
      <c r="BY1015" s="4160"/>
      <c r="BZ1015" s="4160"/>
      <c r="CA1015" s="4511"/>
      <c r="CC1015" s="4512"/>
      <c r="CD1015" s="4511"/>
      <c r="XCZ1015" s="4618"/>
      <c r="XDA1015" s="4618"/>
      <c r="XDB1015" s="4618"/>
      <c r="XDC1015" s="4618"/>
      <c r="XDD1015" s="4618"/>
      <c r="XDE1015" s="4618"/>
      <c r="XDF1015" s="4618"/>
      <c r="XDG1015" s="4618"/>
      <c r="XDH1015" s="4618"/>
      <c r="XDI1015" s="4618"/>
      <c r="XDJ1015" s="4618"/>
      <c r="XDK1015" s="4618"/>
      <c r="XDL1015" s="4618"/>
      <c r="XDM1015" s="4618"/>
      <c r="XDN1015" s="4618"/>
      <c r="XDO1015" s="4618"/>
      <c r="XDP1015" s="4618"/>
      <c r="XDQ1015" s="4618"/>
      <c r="XDR1015" s="4618"/>
      <c r="XDS1015" s="4618"/>
      <c r="XDT1015" s="4618"/>
      <c r="XDU1015" s="4618"/>
      <c r="XDV1015" s="4618"/>
      <c r="XDW1015" s="4618"/>
      <c r="XDX1015" s="4618"/>
      <c r="XDY1015" s="4618"/>
      <c r="XDZ1015" s="4618"/>
      <c r="XEA1015" s="4618"/>
      <c r="XEB1015" s="4618"/>
      <c r="XEC1015" s="4618"/>
      <c r="XED1015" s="4618"/>
      <c r="XEE1015" s="4618"/>
      <c r="XEF1015" s="4618"/>
      <c r="XEG1015" s="4618"/>
      <c r="XEH1015" s="4618"/>
      <c r="XEI1015" s="4618"/>
      <c r="XEJ1015" s="4618"/>
      <c r="XEK1015" s="4618"/>
      <c r="XEL1015" s="4618"/>
      <c r="XEM1015" s="4618"/>
      <c r="XEN1015" s="4618"/>
      <c r="XEO1015" s="4618"/>
      <c r="XEP1015" s="4618"/>
      <c r="XEQ1015" s="4618"/>
      <c r="XER1015" s="4618"/>
      <c r="XES1015" s="4618"/>
      <c r="XET1015" s="4618"/>
      <c r="XEU1015" s="4618"/>
      <c r="XEV1015" s="4618"/>
      <c r="XEW1015" s="4618"/>
      <c r="XEX1015" s="4618"/>
      <c r="XEY1015" s="4618"/>
      <c r="XEZ1015" s="4618"/>
      <c r="XFA1015" s="4618"/>
      <c r="XFB1015" s="4618"/>
      <c r="XFC1015" s="4618"/>
      <c r="XFD1015" s="4618"/>
    </row>
    <row r="1016" s="4311" customFormat="1" ht="50" customHeight="1" spans="1:82 16328:16384">
      <c r="A1016" s="4500">
        <v>46119</v>
      </c>
      <c r="B1016" s="4501" t="s">
        <v>4747</v>
      </c>
      <c r="C1016" s="3708" t="s">
        <v>91</v>
      </c>
      <c r="D1016" s="4502" t="s">
        <v>5830</v>
      </c>
      <c r="E1016" s="3708" t="s">
        <v>5837</v>
      </c>
      <c r="F1016" s="4502" t="s">
        <v>5838</v>
      </c>
      <c r="G1016" s="3708" t="s">
        <v>2719</v>
      </c>
      <c r="H1016" s="4154" t="s">
        <v>2591</v>
      </c>
      <c r="I1016" s="4593">
        <v>1992</v>
      </c>
      <c r="J1016" s="4154">
        <v>0</v>
      </c>
      <c r="K1016" s="4154">
        <v>6</v>
      </c>
      <c r="L1016" s="4154">
        <f t="shared" si="566"/>
        <v>332</v>
      </c>
      <c r="M1016" s="4503">
        <v>46156</v>
      </c>
      <c r="N1016" s="4553">
        <v>46153</v>
      </c>
      <c r="O1016" s="977" t="s">
        <v>5839</v>
      </c>
      <c r="P1016" s="4527" t="s">
        <v>82</v>
      </c>
      <c r="Q1016" s="4157">
        <v>1992</v>
      </c>
      <c r="R1016" s="4157">
        <f t="shared" si="567"/>
        <v>0</v>
      </c>
      <c r="S1016" s="4145"/>
      <c r="T1016" s="4173" t="s">
        <v>321</v>
      </c>
      <c r="U1016" s="3726" t="s">
        <v>271</v>
      </c>
      <c r="V1016" s="3711" t="s">
        <v>5833</v>
      </c>
      <c r="W1016" s="3711"/>
      <c r="X1016" s="3711" t="s">
        <v>5796</v>
      </c>
      <c r="Y1016" s="3711"/>
      <c r="Z1016" s="4154"/>
      <c r="AA1016" s="3680" t="s">
        <v>5834</v>
      </c>
      <c r="AB1016" s="4154" t="s">
        <v>3262</v>
      </c>
      <c r="AC1016" s="4616">
        <v>1.2588</v>
      </c>
      <c r="AD1016" s="4154">
        <f t="shared" si="535"/>
        <v>2507.5296</v>
      </c>
      <c r="AE1016" s="3726"/>
      <c r="AF1016" s="3708" t="s">
        <v>2719</v>
      </c>
      <c r="AG1016" s="3726" t="s">
        <v>416</v>
      </c>
      <c r="AH1016" s="4154"/>
      <c r="AI1016" s="3708"/>
      <c r="AJ1016" s="4154">
        <f t="shared" si="557"/>
        <v>1992</v>
      </c>
      <c r="AK1016" s="4154"/>
      <c r="AL1016" s="4154"/>
      <c r="AM1016" s="3708"/>
      <c r="AN1016" s="1048"/>
      <c r="AO1016" s="1048"/>
      <c r="AP1016" s="4154">
        <f t="shared" si="536"/>
        <v>1992</v>
      </c>
      <c r="AQ1016" s="1048"/>
      <c r="AR1016" s="1048"/>
      <c r="AS1016" s="1048">
        <f t="shared" si="558"/>
        <v>1992</v>
      </c>
      <c r="AT1016" s="1048"/>
      <c r="AU1016" s="1048"/>
      <c r="AV1016" s="1048"/>
      <c r="AW1016" s="1048"/>
      <c r="AX1016" s="1048"/>
      <c r="AY1016" s="1048"/>
      <c r="AZ1016" s="1048"/>
      <c r="BA1016" s="4505"/>
      <c r="BB1016" s="4510"/>
      <c r="BC1016" s="4510"/>
      <c r="BD1016" s="4510"/>
      <c r="BE1016" s="4621"/>
      <c r="BF1016" s="4510" t="s">
        <v>89</v>
      </c>
      <c r="BG1016" s="4525"/>
      <c r="BH1016" s="4510">
        <f t="shared" si="569"/>
        <v>332</v>
      </c>
      <c r="BI1016" s="4510">
        <f t="shared" si="570"/>
        <v>232.4</v>
      </c>
      <c r="BJ1016" s="4510">
        <f t="shared" si="571"/>
        <v>166</v>
      </c>
      <c r="BK1016" s="4525">
        <f t="shared" si="572"/>
        <v>232.4</v>
      </c>
      <c r="BL1016" s="4525">
        <f t="shared" si="573"/>
        <v>398.4</v>
      </c>
      <c r="BM1016" s="4505">
        <f t="shared" si="574"/>
        <v>332</v>
      </c>
      <c r="BN1016" s="4505">
        <f t="shared" si="575"/>
        <v>298.8</v>
      </c>
      <c r="BO1016" s="4160"/>
      <c r="BP1016" s="4160"/>
      <c r="BQ1016" s="4160"/>
      <c r="BR1016" s="4160"/>
      <c r="BS1016" s="4160"/>
      <c r="BT1016" s="4566"/>
      <c r="BU1016" s="4160"/>
      <c r="BV1016" s="4160">
        <f>SUM(BH1016:BN1016)</f>
        <v>1992</v>
      </c>
      <c r="BW1016" s="4160">
        <f t="shared" si="568"/>
        <v>0</v>
      </c>
      <c r="BX1016" s="4160"/>
      <c r="BY1016" s="4160"/>
      <c r="BZ1016" s="4160"/>
      <c r="CA1016" s="4511"/>
      <c r="CB1016" s="4311"/>
      <c r="CC1016" s="4512"/>
      <c r="CD1016" s="4511"/>
      <c r="CE1016" s="4311"/>
      <c r="XCZ1016" s="4618"/>
      <c r="XDA1016" s="4618"/>
      <c r="XDB1016" s="4618"/>
      <c r="XDC1016" s="4618"/>
      <c r="XDD1016" s="4618"/>
      <c r="XDE1016" s="4618"/>
      <c r="XDF1016" s="4618"/>
      <c r="XDG1016" s="4618"/>
      <c r="XDH1016" s="4618"/>
      <c r="XDI1016" s="4618"/>
      <c r="XDJ1016" s="4618"/>
      <c r="XDK1016" s="4618"/>
      <c r="XDL1016" s="4618"/>
      <c r="XDM1016" s="4618"/>
      <c r="XDN1016" s="4618"/>
      <c r="XDO1016" s="4618"/>
      <c r="XDP1016" s="4618"/>
      <c r="XDQ1016" s="4618"/>
      <c r="XDR1016" s="4618"/>
      <c r="XDS1016" s="4618"/>
      <c r="XDT1016" s="4618"/>
      <c r="XDU1016" s="4618"/>
      <c r="XDV1016" s="4618"/>
      <c r="XDW1016" s="4618"/>
      <c r="XDX1016" s="4618"/>
      <c r="XDY1016" s="4618"/>
      <c r="XDZ1016" s="4618"/>
      <c r="XEA1016" s="4618"/>
      <c r="XEB1016" s="4618"/>
      <c r="XEC1016" s="4618"/>
      <c r="XED1016" s="4618"/>
      <c r="XEE1016" s="4618"/>
      <c r="XEF1016" s="4618"/>
      <c r="XEG1016" s="4618"/>
      <c r="XEH1016" s="4618"/>
      <c r="XEI1016" s="4618"/>
      <c r="XEJ1016" s="4618"/>
      <c r="XEK1016" s="4618"/>
      <c r="XEL1016" s="4618"/>
      <c r="XEM1016" s="4618"/>
      <c r="XEN1016" s="4618"/>
      <c r="XEO1016" s="4618"/>
      <c r="XEP1016" s="4618"/>
      <c r="XEQ1016" s="4618"/>
      <c r="XER1016" s="4618"/>
      <c r="XES1016" s="4618"/>
      <c r="XET1016" s="4618"/>
      <c r="XEU1016" s="4618"/>
      <c r="XEV1016" s="4618"/>
      <c r="XEW1016" s="4618"/>
      <c r="XEX1016" s="4618"/>
      <c r="XEY1016" s="4618"/>
      <c r="XEZ1016" s="4618"/>
      <c r="XFA1016" s="4618"/>
      <c r="XFB1016" s="4618"/>
      <c r="XFC1016" s="4618"/>
      <c r="XFD1016" s="4618"/>
    </row>
    <row r="1017" s="4316" customFormat="1" ht="50" customHeight="1" spans="1:82 16328:16384">
      <c r="A1017" s="4500">
        <v>46119</v>
      </c>
      <c r="B1017" s="4501" t="s">
        <v>4747</v>
      </c>
      <c r="C1017" s="3708" t="s">
        <v>91</v>
      </c>
      <c r="D1017" s="4502" t="s">
        <v>5830</v>
      </c>
      <c r="E1017" s="3708" t="s">
        <v>5840</v>
      </c>
      <c r="F1017" s="4502" t="s">
        <v>5841</v>
      </c>
      <c r="G1017" s="3708" t="s">
        <v>2719</v>
      </c>
      <c r="H1017" s="4154" t="s">
        <v>2591</v>
      </c>
      <c r="I1017" s="4593">
        <v>534</v>
      </c>
      <c r="J1017" s="4154">
        <v>0</v>
      </c>
      <c r="K1017" s="4154">
        <v>6</v>
      </c>
      <c r="L1017" s="4154">
        <f t="shared" si="566"/>
        <v>89</v>
      </c>
      <c r="M1017" s="4503">
        <v>46156</v>
      </c>
      <c r="N1017" s="4553">
        <v>46153</v>
      </c>
      <c r="O1017" s="4117"/>
      <c r="P1017" s="4527" t="s">
        <v>82</v>
      </c>
      <c r="Q1017" s="4157">
        <v>534</v>
      </c>
      <c r="R1017" s="4157">
        <f t="shared" si="567"/>
        <v>0</v>
      </c>
      <c r="S1017" s="4145"/>
      <c r="T1017" s="4173" t="s">
        <v>321</v>
      </c>
      <c r="U1017" s="3726" t="s">
        <v>271</v>
      </c>
      <c r="V1017" s="3711" t="s">
        <v>5833</v>
      </c>
      <c r="W1017" s="3711"/>
      <c r="X1017" s="3711" t="s">
        <v>5796</v>
      </c>
      <c r="Y1017" s="3711"/>
      <c r="Z1017" s="4154"/>
      <c r="AA1017" s="3680" t="s">
        <v>5834</v>
      </c>
      <c r="AB1017" s="4154" t="s">
        <v>3262</v>
      </c>
      <c r="AC1017" s="4616">
        <v>1.2617</v>
      </c>
      <c r="AD1017" s="4154">
        <f t="shared" si="535"/>
        <v>673.7478</v>
      </c>
      <c r="AE1017" s="3726"/>
      <c r="AF1017" s="3708" t="s">
        <v>2719</v>
      </c>
      <c r="AG1017" s="3726" t="s">
        <v>416</v>
      </c>
      <c r="AH1017" s="4154"/>
      <c r="AI1017" s="3708"/>
      <c r="AJ1017" s="4154">
        <f t="shared" si="557"/>
        <v>534</v>
      </c>
      <c r="AK1017" s="4154"/>
      <c r="AL1017" s="4154"/>
      <c r="AM1017" s="3708"/>
      <c r="AN1017" s="1048"/>
      <c r="AO1017" s="1048"/>
      <c r="AP1017" s="4154">
        <f t="shared" si="536"/>
        <v>534</v>
      </c>
      <c r="AQ1017" s="1048"/>
      <c r="AR1017" s="1048"/>
      <c r="AS1017" s="1048">
        <f t="shared" si="558"/>
        <v>534</v>
      </c>
      <c r="AT1017" s="1048"/>
      <c r="AU1017" s="1048"/>
      <c r="AV1017" s="1048"/>
      <c r="AW1017" s="1048"/>
      <c r="AX1017" s="1048"/>
      <c r="AY1017" s="4505"/>
      <c r="AZ1017" s="4510"/>
      <c r="BA1017" s="4510"/>
      <c r="BB1017" s="4510"/>
      <c r="BC1017" s="4510"/>
      <c r="BD1017" s="4510"/>
      <c r="BE1017" s="4587"/>
      <c r="BF1017" s="4510" t="s">
        <v>89</v>
      </c>
      <c r="BG1017" s="4505"/>
      <c r="BH1017" s="4510">
        <f t="shared" si="569"/>
        <v>89</v>
      </c>
      <c r="BI1017" s="4510">
        <f t="shared" si="570"/>
        <v>62.3</v>
      </c>
      <c r="BJ1017" s="4510">
        <f t="shared" si="571"/>
        <v>44.5</v>
      </c>
      <c r="BK1017" s="4525">
        <f t="shared" si="572"/>
        <v>62.3</v>
      </c>
      <c r="BL1017" s="4525">
        <f t="shared" si="573"/>
        <v>106.8</v>
      </c>
      <c r="BM1017" s="4505">
        <f t="shared" si="574"/>
        <v>89</v>
      </c>
      <c r="BN1017" s="4505">
        <f t="shared" si="575"/>
        <v>80.1</v>
      </c>
      <c r="BO1017" s="4619"/>
      <c r="BP1017" s="4619"/>
      <c r="BQ1017" s="4619"/>
      <c r="BR1017" s="4619"/>
      <c r="BS1017" s="4619"/>
      <c r="BT1017" s="4620"/>
      <c r="BU1017" s="4619"/>
      <c r="BV1017" s="4160">
        <f>SUM(BH1017:BN1017)</f>
        <v>534</v>
      </c>
      <c r="BW1017" s="4160">
        <f t="shared" si="568"/>
        <v>0</v>
      </c>
      <c r="BX1017" s="4160"/>
      <c r="BY1017" s="4160"/>
      <c r="BZ1017" s="4160"/>
      <c r="CA1017" s="4511"/>
      <c r="CC1017" s="4512"/>
      <c r="CD1017" s="4511"/>
      <c r="XCZ1017" s="4618"/>
      <c r="XDA1017" s="4618"/>
      <c r="XDB1017" s="4618"/>
      <c r="XDC1017" s="4618"/>
      <c r="XDD1017" s="4618"/>
      <c r="XDE1017" s="4618"/>
      <c r="XDF1017" s="4618"/>
      <c r="XDG1017" s="4618"/>
      <c r="XDH1017" s="4618"/>
      <c r="XDI1017" s="4618"/>
      <c r="XDJ1017" s="4618"/>
      <c r="XDK1017" s="4618"/>
      <c r="XDL1017" s="4618"/>
      <c r="XDM1017" s="4618"/>
      <c r="XDN1017" s="4618"/>
      <c r="XDO1017" s="4618"/>
      <c r="XDP1017" s="4618"/>
      <c r="XDQ1017" s="4618"/>
      <c r="XDR1017" s="4618"/>
      <c r="XDS1017" s="4618"/>
      <c r="XDT1017" s="4618"/>
      <c r="XDU1017" s="4618"/>
      <c r="XDV1017" s="4618"/>
      <c r="XDW1017" s="4618"/>
      <c r="XDX1017" s="4618"/>
      <c r="XDY1017" s="4618"/>
      <c r="XDZ1017" s="4618"/>
      <c r="XEA1017" s="4618"/>
      <c r="XEB1017" s="4618"/>
      <c r="XEC1017" s="4618"/>
      <c r="XED1017" s="4618"/>
      <c r="XEE1017" s="4618"/>
      <c r="XEF1017" s="4618"/>
      <c r="XEG1017" s="4618"/>
      <c r="XEH1017" s="4618"/>
      <c r="XEI1017" s="4618"/>
      <c r="XEJ1017" s="4618"/>
      <c r="XEK1017" s="4618"/>
      <c r="XEL1017" s="4618"/>
      <c r="XEM1017" s="4618"/>
      <c r="XEN1017" s="4618"/>
      <c r="XEO1017" s="4618"/>
      <c r="XEP1017" s="4618"/>
      <c r="XEQ1017" s="4618"/>
      <c r="XER1017" s="4618"/>
      <c r="XES1017" s="4618"/>
      <c r="XET1017" s="4618"/>
      <c r="XEU1017" s="4618"/>
      <c r="XEV1017" s="4618"/>
      <c r="XEW1017" s="4618"/>
      <c r="XEX1017" s="4618"/>
      <c r="XEY1017" s="4618"/>
      <c r="XEZ1017" s="4618"/>
      <c r="XFA1017" s="4618"/>
      <c r="XFB1017" s="4618"/>
      <c r="XFC1017" s="4618"/>
      <c r="XFD1017" s="4618"/>
    </row>
    <row r="1018" s="4316" customFormat="1" ht="50" customHeight="1" spans="1:82 16328:16384">
      <c r="A1018" s="4500">
        <v>46119</v>
      </c>
      <c r="B1018" s="4501" t="s">
        <v>4747</v>
      </c>
      <c r="C1018" s="3708" t="s">
        <v>91</v>
      </c>
      <c r="D1018" s="4502" t="s">
        <v>5830</v>
      </c>
      <c r="E1018" s="3708" t="s">
        <v>5842</v>
      </c>
      <c r="F1018" s="4502" t="s">
        <v>5843</v>
      </c>
      <c r="G1018" s="3708" t="s">
        <v>2719</v>
      </c>
      <c r="H1018" s="4154" t="s">
        <v>2591</v>
      </c>
      <c r="I1018" s="4593">
        <v>96</v>
      </c>
      <c r="J1018" s="4154">
        <v>0</v>
      </c>
      <c r="K1018" s="4154">
        <v>6</v>
      </c>
      <c r="L1018" s="4154">
        <f t="shared" si="566"/>
        <v>16</v>
      </c>
      <c r="M1018" s="4503">
        <v>46156</v>
      </c>
      <c r="N1018" s="4553">
        <v>46153</v>
      </c>
      <c r="O1018" s="4117"/>
      <c r="P1018" s="4527" t="s">
        <v>82</v>
      </c>
      <c r="Q1018" s="4157">
        <v>96</v>
      </c>
      <c r="R1018" s="4157">
        <f t="shared" si="567"/>
        <v>0</v>
      </c>
      <c r="S1018" s="4145"/>
      <c r="T1018" s="4173" t="s">
        <v>321</v>
      </c>
      <c r="U1018" s="3726" t="s">
        <v>271</v>
      </c>
      <c r="V1018" s="3711" t="s">
        <v>5833</v>
      </c>
      <c r="W1018" s="3711"/>
      <c r="X1018" s="3711" t="s">
        <v>5796</v>
      </c>
      <c r="Y1018" s="3711"/>
      <c r="Z1018" s="4154"/>
      <c r="AA1018" s="3680" t="s">
        <v>5834</v>
      </c>
      <c r="AB1018" s="4154" t="s">
        <v>3262</v>
      </c>
      <c r="AC1018" s="4616">
        <v>1.2927</v>
      </c>
      <c r="AD1018" s="4154">
        <f t="shared" si="535"/>
        <v>124.0992</v>
      </c>
      <c r="AE1018" s="3726"/>
      <c r="AF1018" s="3708" t="s">
        <v>2719</v>
      </c>
      <c r="AG1018" s="3726" t="s">
        <v>416</v>
      </c>
      <c r="AH1018" s="4154"/>
      <c r="AI1018" s="3708"/>
      <c r="AJ1018" s="4154">
        <f t="shared" si="557"/>
        <v>96</v>
      </c>
      <c r="AK1018" s="4154"/>
      <c r="AL1018" s="4154"/>
      <c r="AM1018" s="3708"/>
      <c r="AN1018" s="1048"/>
      <c r="AO1018" s="1048"/>
      <c r="AP1018" s="4154">
        <f t="shared" si="536"/>
        <v>96</v>
      </c>
      <c r="AQ1018" s="1048"/>
      <c r="AR1018" s="1048"/>
      <c r="AS1018" s="1048">
        <f t="shared" si="558"/>
        <v>96</v>
      </c>
      <c r="AT1018" s="1048"/>
      <c r="AU1018" s="4505"/>
      <c r="AV1018" s="4510"/>
      <c r="AW1018" s="4510"/>
      <c r="AX1018" s="4510"/>
      <c r="AY1018" s="4510"/>
      <c r="AZ1018" s="4510"/>
      <c r="BA1018" s="4586"/>
      <c r="BB1018" s="4587"/>
      <c r="BC1018" s="4505"/>
      <c r="BD1018" s="4505"/>
      <c r="BE1018" s="4622"/>
      <c r="BF1018" s="4510" t="s">
        <v>89</v>
      </c>
      <c r="BG1018" s="4323"/>
      <c r="BH1018" s="4510">
        <f t="shared" si="569"/>
        <v>16</v>
      </c>
      <c r="BI1018" s="4510">
        <f t="shared" si="570"/>
        <v>11.2</v>
      </c>
      <c r="BJ1018" s="4510">
        <f t="shared" si="571"/>
        <v>8</v>
      </c>
      <c r="BK1018" s="4525">
        <f t="shared" si="572"/>
        <v>11.2</v>
      </c>
      <c r="BL1018" s="4525">
        <f t="shared" si="573"/>
        <v>19.2</v>
      </c>
      <c r="BM1018" s="4505">
        <f t="shared" si="574"/>
        <v>16</v>
      </c>
      <c r="BN1018" s="4505">
        <f t="shared" si="575"/>
        <v>14.4</v>
      </c>
      <c r="BO1018" s="4619"/>
      <c r="BP1018" s="4619"/>
      <c r="BQ1018" s="4619"/>
      <c r="BR1018" s="4619"/>
      <c r="BS1018" s="4619"/>
      <c r="BT1018" s="4620"/>
      <c r="BU1018" s="4619"/>
      <c r="BV1018" s="4160">
        <f>SUM(BH1018:BN1018)</f>
        <v>96</v>
      </c>
      <c r="BW1018" s="4160">
        <f t="shared" si="568"/>
        <v>0</v>
      </c>
      <c r="BX1018" s="4160"/>
      <c r="BY1018" s="4160"/>
      <c r="BZ1018" s="4160"/>
      <c r="CA1018" s="4511"/>
      <c r="CC1018" s="4512"/>
      <c r="CD1018" s="4511"/>
      <c r="XCZ1018" s="4618"/>
      <c r="XDA1018" s="4618"/>
      <c r="XDB1018" s="4618"/>
      <c r="XDC1018" s="4618"/>
      <c r="XDD1018" s="4618"/>
      <c r="XDE1018" s="4618"/>
      <c r="XDF1018" s="4618"/>
      <c r="XDG1018" s="4618"/>
      <c r="XDH1018" s="4618"/>
      <c r="XDI1018" s="4618"/>
      <c r="XDJ1018" s="4618"/>
      <c r="XDK1018" s="4618"/>
      <c r="XDL1018" s="4618"/>
      <c r="XDM1018" s="4618"/>
      <c r="XDN1018" s="4618"/>
      <c r="XDO1018" s="4618"/>
      <c r="XDP1018" s="4618"/>
      <c r="XDQ1018" s="4618"/>
      <c r="XDR1018" s="4618"/>
      <c r="XDS1018" s="4618"/>
      <c r="XDT1018" s="4618"/>
      <c r="XDU1018" s="4618"/>
      <c r="XDV1018" s="4618"/>
      <c r="XDW1018" s="4618"/>
      <c r="XDX1018" s="4618"/>
      <c r="XDY1018" s="4618"/>
      <c r="XDZ1018" s="4618"/>
      <c r="XEA1018" s="4618"/>
      <c r="XEB1018" s="4618"/>
      <c r="XEC1018" s="4618"/>
      <c r="XED1018" s="4618"/>
      <c r="XEE1018" s="4618"/>
      <c r="XEF1018" s="4618"/>
      <c r="XEG1018" s="4618"/>
      <c r="XEH1018" s="4618"/>
      <c r="XEI1018" s="4618"/>
      <c r="XEJ1018" s="4618"/>
      <c r="XEK1018" s="4618"/>
      <c r="XEL1018" s="4618"/>
      <c r="XEM1018" s="4618"/>
      <c r="XEN1018" s="4618"/>
      <c r="XEO1018" s="4618"/>
      <c r="XEP1018" s="4618"/>
      <c r="XEQ1018" s="4618"/>
      <c r="XER1018" s="4618"/>
      <c r="XES1018" s="4618"/>
      <c r="XET1018" s="4618"/>
      <c r="XEU1018" s="4618"/>
      <c r="XEV1018" s="4618"/>
      <c r="XEW1018" s="4618"/>
      <c r="XEX1018" s="4618"/>
      <c r="XEY1018" s="4618"/>
      <c r="XEZ1018" s="4618"/>
      <c r="XFA1018" s="4618"/>
      <c r="XFB1018" s="4618"/>
      <c r="XFC1018" s="4618"/>
      <c r="XFD1018" s="4618"/>
    </row>
    <row r="1019" s="4316" customFormat="1" ht="50" customHeight="1" spans="1:82 16328:16384">
      <c r="A1019" s="4500">
        <v>46125</v>
      </c>
      <c r="B1019" s="4501" t="s">
        <v>5160</v>
      </c>
      <c r="C1019" s="3708" t="s">
        <v>3913</v>
      </c>
      <c r="D1019" s="4502">
        <v>4500201649</v>
      </c>
      <c r="E1019" s="3708" t="s">
        <v>5844</v>
      </c>
      <c r="F1019" s="4502" t="s">
        <v>5845</v>
      </c>
      <c r="G1019" s="3708" t="s">
        <v>2627</v>
      </c>
      <c r="H1019" s="3708" t="s">
        <v>5846</v>
      </c>
      <c r="I1019" s="4154">
        <v>504</v>
      </c>
      <c r="J1019" s="4154">
        <v>0</v>
      </c>
      <c r="K1019" s="4154">
        <v>24</v>
      </c>
      <c r="L1019" s="4154">
        <f t="shared" si="566"/>
        <v>21</v>
      </c>
      <c r="M1019" s="4503">
        <v>46162</v>
      </c>
      <c r="N1019" s="4553">
        <v>46158</v>
      </c>
      <c r="O1019" s="4117"/>
      <c r="P1019" s="4527" t="s">
        <v>82</v>
      </c>
      <c r="Q1019" s="4157">
        <v>504</v>
      </c>
      <c r="R1019" s="4157">
        <f t="shared" si="567"/>
        <v>0</v>
      </c>
      <c r="S1019" s="4173"/>
      <c r="T1019" s="4173" t="s">
        <v>321</v>
      </c>
      <c r="U1019" s="3726" t="s">
        <v>5847</v>
      </c>
      <c r="V1019" s="3711" t="s">
        <v>5848</v>
      </c>
      <c r="W1019" s="3711"/>
      <c r="X1019" s="3711" t="s">
        <v>5849</v>
      </c>
      <c r="Y1019" s="3711"/>
      <c r="Z1019" s="4154"/>
      <c r="AA1019" s="3680" t="s">
        <v>5850</v>
      </c>
      <c r="AB1019" s="4154" t="s">
        <v>892</v>
      </c>
      <c r="AC1019" s="4616">
        <v>2.0898</v>
      </c>
      <c r="AD1019" s="4154">
        <f t="shared" ref="AD1019:AD1036" si="576">AC1019*I1019</f>
        <v>1053.2592</v>
      </c>
      <c r="AE1019" s="3726"/>
      <c r="AF1019" s="4582" t="s">
        <v>2627</v>
      </c>
      <c r="AG1019" s="3726" t="s">
        <v>416</v>
      </c>
      <c r="AH1019" s="4154"/>
      <c r="AI1019" s="3708"/>
      <c r="AJ1019" s="4575">
        <f t="shared" si="557"/>
        <v>504</v>
      </c>
      <c r="AK1019" s="4154"/>
      <c r="AL1019" s="4154"/>
      <c r="AM1019" s="3708"/>
      <c r="AN1019" s="1048"/>
      <c r="AO1019" s="1048"/>
      <c r="AP1019" s="4154">
        <f t="shared" ref="AP1019:AP1038" si="577">I1019</f>
        <v>504</v>
      </c>
      <c r="AQ1019" s="1048"/>
      <c r="AR1019" s="1048"/>
      <c r="AS1019" s="4510">
        <f t="shared" si="558"/>
        <v>504</v>
      </c>
      <c r="AT1019" s="1048"/>
      <c r="AU1019" s="1048"/>
      <c r="AV1019" s="1048"/>
      <c r="AW1019" s="4510"/>
      <c r="AX1019" s="1048"/>
      <c r="AY1019" s="1048"/>
      <c r="AZ1019" s="1048"/>
      <c r="BA1019" s="1048"/>
      <c r="BB1019" s="1048"/>
      <c r="BC1019" s="1048"/>
      <c r="BD1019" s="1048"/>
      <c r="BE1019" s="1048"/>
      <c r="BF1019" s="1048" t="s">
        <v>89</v>
      </c>
      <c r="BG1019" s="1048"/>
      <c r="BH1019" s="4510">
        <f t="shared" si="569"/>
        <v>84</v>
      </c>
      <c r="BI1019" s="4510">
        <f t="shared" si="570"/>
        <v>58.8</v>
      </c>
      <c r="BJ1019" s="4510">
        <f t="shared" si="571"/>
        <v>42</v>
      </c>
      <c r="BK1019" s="4510">
        <f t="shared" si="572"/>
        <v>58.8</v>
      </c>
      <c r="BL1019" s="4510">
        <f t="shared" si="573"/>
        <v>100.8</v>
      </c>
      <c r="BM1019" s="4586">
        <f t="shared" si="574"/>
        <v>84</v>
      </c>
      <c r="BN1019" s="4587">
        <f t="shared" si="575"/>
        <v>75.6</v>
      </c>
      <c r="BO1019" s="1040"/>
      <c r="BP1019" s="1040"/>
      <c r="BQ1019" s="1040"/>
      <c r="BR1019" s="1040"/>
      <c r="BS1019" s="1040"/>
      <c r="BT1019" s="1041"/>
      <c r="BU1019" s="4524"/>
      <c r="BV1019" s="4160">
        <f>SUM(BH1019:BU1019)</f>
        <v>504</v>
      </c>
      <c r="BW1019" s="4160">
        <f t="shared" si="568"/>
        <v>0</v>
      </c>
      <c r="BX1019" s="4323"/>
      <c r="BY1019" s="4323"/>
      <c r="BZ1019" s="4323"/>
      <c r="CA1019" s="4511"/>
      <c r="CC1019" s="4512"/>
      <c r="CD1019" s="4511"/>
      <c r="XCZ1019" s="4618"/>
      <c r="XDA1019" s="4618"/>
      <c r="XDB1019" s="4618"/>
      <c r="XDC1019" s="4618"/>
      <c r="XDD1019" s="4618"/>
      <c r="XDE1019" s="4618"/>
      <c r="XDF1019" s="4618"/>
      <c r="XDG1019" s="4618"/>
      <c r="XDH1019" s="4618"/>
      <c r="XDI1019" s="4618"/>
      <c r="XDJ1019" s="4618"/>
      <c r="XDK1019" s="4618"/>
      <c r="XDL1019" s="4618"/>
      <c r="XDM1019" s="4618"/>
      <c r="XDN1019" s="4618"/>
      <c r="XDO1019" s="4618"/>
      <c r="XDP1019" s="4618"/>
      <c r="XDQ1019" s="4618"/>
      <c r="XDR1019" s="4618"/>
      <c r="XDS1019" s="4618"/>
      <c r="XDT1019" s="4618"/>
      <c r="XDU1019" s="4618"/>
      <c r="XDV1019" s="4618"/>
      <c r="XDW1019" s="4618"/>
      <c r="XDX1019" s="4618"/>
      <c r="XDY1019" s="4618"/>
      <c r="XDZ1019" s="4618"/>
      <c r="XEA1019" s="4618"/>
      <c r="XEB1019" s="4618"/>
      <c r="XEC1019" s="4618"/>
      <c r="XED1019" s="4618"/>
      <c r="XEE1019" s="4618"/>
      <c r="XEF1019" s="4618"/>
      <c r="XEG1019" s="4618"/>
      <c r="XEH1019" s="4618"/>
      <c r="XEI1019" s="4618"/>
      <c r="XEJ1019" s="4618"/>
      <c r="XEK1019" s="4618"/>
      <c r="XEL1019" s="4618"/>
      <c r="XEM1019" s="4618"/>
      <c r="XEN1019" s="4618"/>
      <c r="XEO1019" s="4618"/>
      <c r="XEP1019" s="4618"/>
      <c r="XEQ1019" s="4618"/>
      <c r="XER1019" s="4618"/>
      <c r="XES1019" s="4618"/>
      <c r="XET1019" s="4618"/>
      <c r="XEU1019" s="4618"/>
      <c r="XEV1019" s="4618"/>
      <c r="XEW1019" s="4618"/>
      <c r="XEX1019" s="4618"/>
      <c r="XEY1019" s="4618"/>
      <c r="XEZ1019" s="4618"/>
      <c r="XFA1019" s="4618"/>
      <c r="XFB1019" s="4618"/>
      <c r="XFC1019" s="4618"/>
      <c r="XFD1019" s="4618"/>
    </row>
    <row r="1020" s="4316" customFormat="1" ht="50" customHeight="1" spans="1:82 16328:16384">
      <c r="A1020" s="4500">
        <v>46107</v>
      </c>
      <c r="B1020" s="4501" t="s">
        <v>3608</v>
      </c>
      <c r="C1020" s="3708" t="s">
        <v>738</v>
      </c>
      <c r="D1020" s="4502">
        <v>4500198544</v>
      </c>
      <c r="E1020" s="3708">
        <v>5251219668</v>
      </c>
      <c r="F1020" s="4502" t="s">
        <v>5851</v>
      </c>
      <c r="G1020" s="3708" t="s">
        <v>2590</v>
      </c>
      <c r="H1020" s="3708" t="s">
        <v>4069</v>
      </c>
      <c r="I1020" s="4154">
        <v>4158</v>
      </c>
      <c r="J1020" s="4154">
        <v>0</v>
      </c>
      <c r="K1020" s="4154">
        <v>6</v>
      </c>
      <c r="L1020" s="4154">
        <f t="shared" si="566"/>
        <v>693</v>
      </c>
      <c r="M1020" s="4503">
        <v>46163</v>
      </c>
      <c r="N1020" s="4553">
        <v>46160</v>
      </c>
      <c r="O1020" s="4117"/>
      <c r="P1020" s="4527" t="s">
        <v>82</v>
      </c>
      <c r="Q1020" s="4157">
        <v>4158</v>
      </c>
      <c r="R1020" s="4157">
        <f t="shared" si="567"/>
        <v>0</v>
      </c>
      <c r="S1020" s="4173"/>
      <c r="T1020" s="4173" t="s">
        <v>321</v>
      </c>
      <c r="U1020" s="3726" t="s">
        <v>5827</v>
      </c>
      <c r="V1020" s="3711" t="s">
        <v>5852</v>
      </c>
      <c r="W1020" s="3711"/>
      <c r="X1020" s="3709" t="s">
        <v>5853</v>
      </c>
      <c r="Y1020" s="3711"/>
      <c r="Z1020" s="4154"/>
      <c r="AA1020" s="3680" t="s">
        <v>5854</v>
      </c>
      <c r="AB1020" s="4154" t="s">
        <v>1257</v>
      </c>
      <c r="AC1020" s="4616">
        <v>2.1303</v>
      </c>
      <c r="AD1020" s="4154">
        <f t="shared" si="576"/>
        <v>8857.7874</v>
      </c>
      <c r="AE1020" s="3726"/>
      <c r="AF1020" s="4582" t="s">
        <v>3614</v>
      </c>
      <c r="AG1020" s="3726" t="s">
        <v>416</v>
      </c>
      <c r="AH1020" s="4154"/>
      <c r="AI1020" s="3708"/>
      <c r="AJ1020" s="4575"/>
      <c r="AK1020" s="4154"/>
      <c r="AL1020" s="4154"/>
      <c r="AM1020" s="4575">
        <f>I1020</f>
        <v>4158</v>
      </c>
      <c r="AN1020" s="1048"/>
      <c r="AO1020" s="1048"/>
      <c r="AP1020" s="4509">
        <f t="shared" si="577"/>
        <v>4158</v>
      </c>
      <c r="AQ1020" s="1048"/>
      <c r="AR1020" s="1048"/>
      <c r="AS1020" s="4510">
        <f t="shared" si="558"/>
        <v>4158</v>
      </c>
      <c r="AT1020" s="1048"/>
      <c r="AU1020" s="1048"/>
      <c r="AV1020" s="1048"/>
      <c r="AW1020" s="4510">
        <f>I1020/6</f>
        <v>693</v>
      </c>
      <c r="AX1020" s="1048"/>
      <c r="AY1020" s="1048"/>
      <c r="AZ1020" s="1048"/>
      <c r="BA1020" s="1048"/>
      <c r="BB1020" s="1048"/>
      <c r="BC1020" s="1048"/>
      <c r="BD1020" s="1048"/>
      <c r="BE1020" s="1048"/>
      <c r="BF1020" s="1048" t="s">
        <v>89</v>
      </c>
      <c r="BG1020" s="1048"/>
      <c r="BH1020" s="4510">
        <f t="shared" si="569"/>
        <v>693</v>
      </c>
      <c r="BI1020" s="4510">
        <f t="shared" si="570"/>
        <v>485.1</v>
      </c>
      <c r="BJ1020" s="4510">
        <f t="shared" si="571"/>
        <v>346.5</v>
      </c>
      <c r="BK1020" s="4510">
        <f t="shared" si="572"/>
        <v>485.1</v>
      </c>
      <c r="BL1020" s="4510">
        <f t="shared" si="573"/>
        <v>831.6</v>
      </c>
      <c r="BM1020" s="4586">
        <f t="shared" si="574"/>
        <v>693</v>
      </c>
      <c r="BN1020" s="4587">
        <f t="shared" si="575"/>
        <v>623.7</v>
      </c>
      <c r="BO1020" s="1048"/>
      <c r="BP1020" s="1048"/>
      <c r="BQ1020" s="1048"/>
      <c r="BR1020" s="1048"/>
      <c r="BS1020" s="1048"/>
      <c r="BT1020" s="4414"/>
      <c r="BU1020" s="4415"/>
      <c r="BV1020" s="4160">
        <f>SUM(BH1020:BU1020)</f>
        <v>4158</v>
      </c>
      <c r="BW1020" s="4160">
        <f t="shared" si="568"/>
        <v>0</v>
      </c>
      <c r="BX1020" s="4323"/>
      <c r="BY1020" s="4323"/>
      <c r="BZ1020" s="4323"/>
      <c r="CA1020" s="4511"/>
      <c r="CC1020" s="4512"/>
      <c r="CD1020" s="4511"/>
      <c r="XCZ1020" s="4618"/>
      <c r="XDA1020" s="4618"/>
      <c r="XDB1020" s="4618"/>
      <c r="XDC1020" s="4618"/>
      <c r="XDD1020" s="4618"/>
      <c r="XDE1020" s="4618"/>
      <c r="XDF1020" s="4618"/>
      <c r="XDG1020" s="4618"/>
      <c r="XDH1020" s="4618"/>
      <c r="XDI1020" s="4618"/>
      <c r="XDJ1020" s="4618"/>
      <c r="XDK1020" s="4618"/>
      <c r="XDL1020" s="4618"/>
      <c r="XDM1020" s="4618"/>
      <c r="XDN1020" s="4618"/>
      <c r="XDO1020" s="4618"/>
      <c r="XDP1020" s="4618"/>
      <c r="XDQ1020" s="4618"/>
      <c r="XDR1020" s="4618"/>
      <c r="XDS1020" s="4618"/>
      <c r="XDT1020" s="4618"/>
      <c r="XDU1020" s="4618"/>
      <c r="XDV1020" s="4618"/>
      <c r="XDW1020" s="4618"/>
      <c r="XDX1020" s="4618"/>
      <c r="XDY1020" s="4618"/>
      <c r="XDZ1020" s="4618"/>
      <c r="XEA1020" s="4618"/>
      <c r="XEB1020" s="4618"/>
      <c r="XEC1020" s="4618"/>
      <c r="XED1020" s="4618"/>
      <c r="XEE1020" s="4618"/>
      <c r="XEF1020" s="4618"/>
      <c r="XEG1020" s="4618"/>
      <c r="XEH1020" s="4618"/>
      <c r="XEI1020" s="4618"/>
      <c r="XEJ1020" s="4618"/>
      <c r="XEK1020" s="4618"/>
      <c r="XEL1020" s="4618"/>
      <c r="XEM1020" s="4618"/>
      <c r="XEN1020" s="4618"/>
      <c r="XEO1020" s="4618"/>
      <c r="XEP1020" s="4618"/>
      <c r="XEQ1020" s="4618"/>
      <c r="XER1020" s="4618"/>
      <c r="XES1020" s="4618"/>
      <c r="XET1020" s="4618"/>
      <c r="XEU1020" s="4618"/>
      <c r="XEV1020" s="4618"/>
      <c r="XEW1020" s="4618"/>
      <c r="XEX1020" s="4618"/>
      <c r="XEY1020" s="4618"/>
      <c r="XEZ1020" s="4618"/>
      <c r="XFA1020" s="4618"/>
      <c r="XFB1020" s="4618"/>
      <c r="XFC1020" s="4618"/>
      <c r="XFD1020" s="4618"/>
    </row>
    <row r="1021" s="4316" customFormat="1" ht="50" customHeight="1" spans="1:82 16328:16384">
      <c r="A1021" s="4500">
        <v>46107</v>
      </c>
      <c r="B1021" s="4501" t="s">
        <v>3608</v>
      </c>
      <c r="C1021" s="3708" t="s">
        <v>738</v>
      </c>
      <c r="D1021" s="4502">
        <v>4500198544</v>
      </c>
      <c r="E1021" s="3708">
        <v>5251219669</v>
      </c>
      <c r="F1021" s="4502" t="s">
        <v>5855</v>
      </c>
      <c r="G1021" s="3708" t="s">
        <v>2590</v>
      </c>
      <c r="H1021" s="3708" t="s">
        <v>4069</v>
      </c>
      <c r="I1021" s="4154">
        <v>5358</v>
      </c>
      <c r="J1021" s="4154">
        <v>0</v>
      </c>
      <c r="K1021" s="4154">
        <v>6</v>
      </c>
      <c r="L1021" s="4154">
        <f t="shared" si="566"/>
        <v>893</v>
      </c>
      <c r="M1021" s="4503">
        <v>46163</v>
      </c>
      <c r="N1021" s="4553">
        <v>46160</v>
      </c>
      <c r="O1021" s="4117"/>
      <c r="P1021" s="4527" t="s">
        <v>82</v>
      </c>
      <c r="Q1021" s="4157">
        <f>2388+2970</f>
        <v>5358</v>
      </c>
      <c r="R1021" s="4157">
        <f t="shared" si="567"/>
        <v>0</v>
      </c>
      <c r="S1021" s="4173"/>
      <c r="T1021" s="4173" t="s">
        <v>321</v>
      </c>
      <c r="U1021" s="3726" t="s">
        <v>5827</v>
      </c>
      <c r="V1021" s="3711" t="s">
        <v>5852</v>
      </c>
      <c r="W1021" s="3711"/>
      <c r="X1021" s="3709" t="s">
        <v>5853</v>
      </c>
      <c r="Y1021" s="3711"/>
      <c r="Z1021" s="4154"/>
      <c r="AA1021" s="3680" t="s">
        <v>5854</v>
      </c>
      <c r="AB1021" s="4154" t="s">
        <v>1257</v>
      </c>
      <c r="AC1021" s="4616">
        <v>2.1303</v>
      </c>
      <c r="AD1021" s="4154">
        <f t="shared" si="576"/>
        <v>11414.1474</v>
      </c>
      <c r="AE1021" s="3726"/>
      <c r="AF1021" s="4582" t="s">
        <v>3614</v>
      </c>
      <c r="AG1021" s="3726" t="s">
        <v>416</v>
      </c>
      <c r="AH1021" s="4154"/>
      <c r="AI1021" s="3708"/>
      <c r="AJ1021" s="4575"/>
      <c r="AK1021" s="4154"/>
      <c r="AL1021" s="4154"/>
      <c r="AM1021" s="4575">
        <f>I1021</f>
        <v>5358</v>
      </c>
      <c r="AN1021" s="1048"/>
      <c r="AO1021" s="1048"/>
      <c r="AP1021" s="4509">
        <f t="shared" si="577"/>
        <v>5358</v>
      </c>
      <c r="AQ1021" s="1048"/>
      <c r="AR1021" s="1048"/>
      <c r="AS1021" s="4510">
        <f t="shared" si="558"/>
        <v>5358</v>
      </c>
      <c r="AT1021" s="1048"/>
      <c r="AU1021" s="1048"/>
      <c r="AV1021" s="1048"/>
      <c r="AW1021" s="4510">
        <f>I1021/6</f>
        <v>893</v>
      </c>
      <c r="AX1021" s="1048"/>
      <c r="AY1021" s="1048"/>
      <c r="AZ1021" s="1048"/>
      <c r="BA1021" s="1048"/>
      <c r="BB1021" s="1048"/>
      <c r="BC1021" s="1048"/>
      <c r="BD1021" s="1048"/>
      <c r="BE1021" s="1048"/>
      <c r="BF1021" s="1048" t="s">
        <v>89</v>
      </c>
      <c r="BG1021" s="1048"/>
      <c r="BH1021" s="4510">
        <f t="shared" si="569"/>
        <v>893</v>
      </c>
      <c r="BI1021" s="4510">
        <f t="shared" si="570"/>
        <v>625.1</v>
      </c>
      <c r="BJ1021" s="4510">
        <f t="shared" si="571"/>
        <v>446.5</v>
      </c>
      <c r="BK1021" s="4510">
        <f t="shared" si="572"/>
        <v>625.1</v>
      </c>
      <c r="BL1021" s="4510">
        <f t="shared" si="573"/>
        <v>1071.6</v>
      </c>
      <c r="BM1021" s="4586">
        <f t="shared" si="574"/>
        <v>893</v>
      </c>
      <c r="BN1021" s="4587">
        <f t="shared" si="575"/>
        <v>803.7</v>
      </c>
      <c r="BO1021" s="1048"/>
      <c r="BP1021" s="1048"/>
      <c r="BQ1021" s="1048"/>
      <c r="BR1021" s="1048"/>
      <c r="BS1021" s="1048"/>
      <c r="BT1021" s="4414"/>
      <c r="BU1021" s="4415"/>
      <c r="BV1021" s="4160">
        <f>SUM(BH1021:BU1021)</f>
        <v>5358</v>
      </c>
      <c r="BW1021" s="4160">
        <f t="shared" si="568"/>
        <v>0</v>
      </c>
      <c r="BX1021" s="4323"/>
      <c r="BY1021" s="4323"/>
      <c r="BZ1021" s="4323"/>
      <c r="CA1021" s="4511"/>
      <c r="CC1021" s="4512"/>
      <c r="CD1021" s="4511"/>
      <c r="XCZ1021" s="4618"/>
      <c r="XDA1021" s="4618"/>
      <c r="XDB1021" s="4618"/>
      <c r="XDC1021" s="4618"/>
      <c r="XDD1021" s="4618"/>
      <c r="XDE1021" s="4618"/>
      <c r="XDF1021" s="4618"/>
      <c r="XDG1021" s="4618"/>
      <c r="XDH1021" s="4618"/>
      <c r="XDI1021" s="4618"/>
      <c r="XDJ1021" s="4618"/>
      <c r="XDK1021" s="4618"/>
      <c r="XDL1021" s="4618"/>
      <c r="XDM1021" s="4618"/>
      <c r="XDN1021" s="4618"/>
      <c r="XDO1021" s="4618"/>
      <c r="XDP1021" s="4618"/>
      <c r="XDQ1021" s="4618"/>
      <c r="XDR1021" s="4618"/>
      <c r="XDS1021" s="4618"/>
      <c r="XDT1021" s="4618"/>
      <c r="XDU1021" s="4618"/>
      <c r="XDV1021" s="4618"/>
      <c r="XDW1021" s="4618"/>
      <c r="XDX1021" s="4618"/>
      <c r="XDY1021" s="4618"/>
      <c r="XDZ1021" s="4618"/>
      <c r="XEA1021" s="4618"/>
      <c r="XEB1021" s="4618"/>
      <c r="XEC1021" s="4618"/>
      <c r="XED1021" s="4618"/>
      <c r="XEE1021" s="4618"/>
      <c r="XEF1021" s="4618"/>
      <c r="XEG1021" s="4618"/>
      <c r="XEH1021" s="4618"/>
      <c r="XEI1021" s="4618"/>
      <c r="XEJ1021" s="4618"/>
      <c r="XEK1021" s="4618"/>
      <c r="XEL1021" s="4618"/>
      <c r="XEM1021" s="4618"/>
      <c r="XEN1021" s="4618"/>
      <c r="XEO1021" s="4618"/>
      <c r="XEP1021" s="4618"/>
      <c r="XEQ1021" s="4618"/>
      <c r="XER1021" s="4618"/>
      <c r="XES1021" s="4618"/>
      <c r="XET1021" s="4618"/>
      <c r="XEU1021" s="4618"/>
      <c r="XEV1021" s="4618"/>
      <c r="XEW1021" s="4618"/>
      <c r="XEX1021" s="4618"/>
      <c r="XEY1021" s="4618"/>
      <c r="XEZ1021" s="4618"/>
      <c r="XFA1021" s="4618"/>
      <c r="XFB1021" s="4618"/>
      <c r="XFC1021" s="4618"/>
      <c r="XFD1021" s="4618"/>
    </row>
    <row r="1022" s="4316" customFormat="1" ht="50" customHeight="1" spans="1:82 16328:16384">
      <c r="A1022" s="4500">
        <v>46121</v>
      </c>
      <c r="B1022" s="4501" t="s">
        <v>3715</v>
      </c>
      <c r="C1022" s="3708" t="s">
        <v>1279</v>
      </c>
      <c r="D1022" s="4502" t="s">
        <v>5856</v>
      </c>
      <c r="E1022" s="3708" t="s">
        <v>2434</v>
      </c>
      <c r="F1022" s="4502" t="s">
        <v>5857</v>
      </c>
      <c r="G1022" s="3708" t="s">
        <v>2590</v>
      </c>
      <c r="H1022" s="3708" t="s">
        <v>4069</v>
      </c>
      <c r="I1022" s="4154">
        <v>360</v>
      </c>
      <c r="J1022" s="4154">
        <v>0</v>
      </c>
      <c r="K1022" s="4154">
        <v>6</v>
      </c>
      <c r="L1022" s="4154">
        <f t="shared" si="566"/>
        <v>60</v>
      </c>
      <c r="M1022" s="4503">
        <v>46164</v>
      </c>
      <c r="N1022" s="4553">
        <v>46160</v>
      </c>
      <c r="O1022" s="4117"/>
      <c r="P1022" s="4527" t="s">
        <v>82</v>
      </c>
      <c r="Q1022" s="4157">
        <v>360</v>
      </c>
      <c r="R1022" s="4157">
        <f t="shared" si="567"/>
        <v>0</v>
      </c>
      <c r="S1022" s="4173"/>
      <c r="T1022" s="4173" t="s">
        <v>321</v>
      </c>
      <c r="U1022" s="3726" t="s">
        <v>1180</v>
      </c>
      <c r="V1022" s="3711" t="s">
        <v>1239</v>
      </c>
      <c r="W1022" s="3711"/>
      <c r="X1022" s="3709" t="s">
        <v>5858</v>
      </c>
      <c r="Y1022" s="3711"/>
      <c r="Z1022" s="4154"/>
      <c r="AA1022" s="3680" t="s">
        <v>5859</v>
      </c>
      <c r="AB1022" s="4154" t="s">
        <v>3720</v>
      </c>
      <c r="AC1022" s="4616">
        <v>2.1053</v>
      </c>
      <c r="AD1022" s="4154">
        <f t="shared" si="576"/>
        <v>757.908</v>
      </c>
      <c r="AE1022" s="3726"/>
      <c r="AF1022" s="4582" t="s">
        <v>3614</v>
      </c>
      <c r="AG1022" s="3726" t="s">
        <v>416</v>
      </c>
      <c r="AH1022" s="4154"/>
      <c r="AI1022" s="3708"/>
      <c r="AJ1022" s="4575"/>
      <c r="AK1022" s="4154"/>
      <c r="AL1022" s="4154"/>
      <c r="AM1022" s="4575">
        <f>I1022</f>
        <v>360</v>
      </c>
      <c r="AN1022" s="1048"/>
      <c r="AO1022" s="1048"/>
      <c r="AP1022" s="4509">
        <f t="shared" si="577"/>
        <v>360</v>
      </c>
      <c r="AQ1022" s="1048"/>
      <c r="AR1022" s="4510"/>
      <c r="AS1022" s="1048">
        <f t="shared" si="558"/>
        <v>360</v>
      </c>
      <c r="AT1022" s="1048"/>
      <c r="AU1022" s="4510"/>
      <c r="AV1022" s="1048"/>
      <c r="AW1022" s="4510">
        <f>I1022/6</f>
        <v>60</v>
      </c>
      <c r="AX1022" s="1048"/>
      <c r="AY1022" s="1048"/>
      <c r="AZ1022" s="1048"/>
      <c r="BA1022" s="1048"/>
      <c r="BB1022" s="1048"/>
      <c r="BC1022" s="1048"/>
      <c r="BD1022" s="1048"/>
      <c r="BE1022" s="1048"/>
      <c r="BF1022" s="4510" t="s">
        <v>89</v>
      </c>
      <c r="BG1022" s="4510"/>
      <c r="BH1022" s="4510">
        <f t="shared" si="569"/>
        <v>60</v>
      </c>
      <c r="BI1022" s="4510">
        <f t="shared" si="570"/>
        <v>42</v>
      </c>
      <c r="BJ1022" s="4510">
        <f t="shared" si="571"/>
        <v>30</v>
      </c>
      <c r="BK1022" s="4525">
        <f t="shared" si="572"/>
        <v>42</v>
      </c>
      <c r="BL1022" s="4525">
        <f t="shared" si="573"/>
        <v>72</v>
      </c>
      <c r="BM1022" s="4160">
        <f t="shared" si="574"/>
        <v>60</v>
      </c>
      <c r="BN1022" s="4160">
        <f t="shared" si="575"/>
        <v>54</v>
      </c>
      <c r="BO1022" s="4623"/>
      <c r="BP1022" s="4613"/>
      <c r="BQ1022" s="4613"/>
      <c r="BR1022" s="4570"/>
      <c r="BS1022" s="4573"/>
      <c r="BT1022" s="4572"/>
      <c r="BU1022" s="4570"/>
      <c r="BV1022" s="4160">
        <f>SUM(BH1022:BU1022)</f>
        <v>360</v>
      </c>
      <c r="BW1022" s="4160">
        <f t="shared" si="568"/>
        <v>0</v>
      </c>
      <c r="BX1022" s="4160"/>
      <c r="BY1022" s="4160"/>
      <c r="BZ1022" s="4160"/>
      <c r="CA1022" s="4511"/>
      <c r="CC1022" s="4512"/>
      <c r="CD1022" s="4511"/>
      <c r="XCZ1022" s="4618"/>
      <c r="XDA1022" s="4618"/>
      <c r="XDB1022" s="4618"/>
      <c r="XDC1022" s="4618"/>
      <c r="XDD1022" s="4618"/>
      <c r="XDE1022" s="4618"/>
      <c r="XDF1022" s="4618"/>
      <c r="XDG1022" s="4618"/>
      <c r="XDH1022" s="4618"/>
      <c r="XDI1022" s="4618"/>
      <c r="XDJ1022" s="4618"/>
      <c r="XDK1022" s="4618"/>
      <c r="XDL1022" s="4618"/>
      <c r="XDM1022" s="4618"/>
      <c r="XDN1022" s="4618"/>
      <c r="XDO1022" s="4618"/>
      <c r="XDP1022" s="4618"/>
      <c r="XDQ1022" s="4618"/>
      <c r="XDR1022" s="4618"/>
      <c r="XDS1022" s="4618"/>
      <c r="XDT1022" s="4618"/>
      <c r="XDU1022" s="4618"/>
      <c r="XDV1022" s="4618"/>
      <c r="XDW1022" s="4618"/>
      <c r="XDX1022" s="4618"/>
      <c r="XDY1022" s="4618"/>
      <c r="XDZ1022" s="4618"/>
      <c r="XEA1022" s="4618"/>
      <c r="XEB1022" s="4618"/>
      <c r="XEC1022" s="4618"/>
      <c r="XED1022" s="4618"/>
      <c r="XEE1022" s="4618"/>
      <c r="XEF1022" s="4618"/>
      <c r="XEG1022" s="4618"/>
      <c r="XEH1022" s="4618"/>
      <c r="XEI1022" s="4618"/>
      <c r="XEJ1022" s="4618"/>
      <c r="XEK1022" s="4618"/>
      <c r="XEL1022" s="4618"/>
      <c r="XEM1022" s="4618"/>
      <c r="XEN1022" s="4618"/>
      <c r="XEO1022" s="4618"/>
      <c r="XEP1022" s="4618"/>
      <c r="XEQ1022" s="4618"/>
      <c r="XER1022" s="4618"/>
      <c r="XES1022" s="4618"/>
      <c r="XET1022" s="4618"/>
      <c r="XEU1022" s="4618"/>
      <c r="XEV1022" s="4618"/>
      <c r="XEW1022" s="4618"/>
      <c r="XEX1022" s="4618"/>
      <c r="XEY1022" s="4618"/>
      <c r="XEZ1022" s="4618"/>
      <c r="XFA1022" s="4618"/>
      <c r="XFB1022" s="4618"/>
      <c r="XFC1022" s="4618"/>
      <c r="XFD1022" s="4618"/>
    </row>
    <row r="1023" s="4316" customFormat="1" ht="50" customHeight="1" spans="1:82 16328:16384">
      <c r="A1023" s="4500">
        <v>46120</v>
      </c>
      <c r="B1023" s="4501" t="s">
        <v>5860</v>
      </c>
      <c r="C1023" s="4614" t="s">
        <v>1193</v>
      </c>
      <c r="D1023" s="4502" t="s">
        <v>5861</v>
      </c>
      <c r="E1023" s="3708" t="s">
        <v>2434</v>
      </c>
      <c r="F1023" s="4615" t="s">
        <v>5862</v>
      </c>
      <c r="G1023" s="3708" t="s">
        <v>2627</v>
      </c>
      <c r="H1023" s="3708" t="s">
        <v>2591</v>
      </c>
      <c r="I1023" s="4154">
        <v>192</v>
      </c>
      <c r="J1023" s="4154">
        <v>0</v>
      </c>
      <c r="K1023" s="4154">
        <v>24</v>
      </c>
      <c r="L1023" s="4154">
        <f t="shared" si="566"/>
        <v>8</v>
      </c>
      <c r="M1023" s="4503">
        <v>46169</v>
      </c>
      <c r="N1023" s="4503">
        <v>46165</v>
      </c>
      <c r="O1023" s="3708"/>
      <c r="P1023" s="4527" t="s">
        <v>82</v>
      </c>
      <c r="Q1023" s="4157">
        <v>192</v>
      </c>
      <c r="R1023" s="4157">
        <f t="shared" si="567"/>
        <v>0</v>
      </c>
      <c r="S1023" s="4219"/>
      <c r="T1023" s="4173" t="s">
        <v>321</v>
      </c>
      <c r="U1023" s="3726" t="s">
        <v>5863</v>
      </c>
      <c r="V1023" s="3711" t="s">
        <v>5848</v>
      </c>
      <c r="W1023" s="3711"/>
      <c r="X1023" s="4503" t="s">
        <v>5864</v>
      </c>
      <c r="Y1023" s="3711"/>
      <c r="Z1023" s="3712"/>
      <c r="AA1023" s="3680" t="s">
        <v>5865</v>
      </c>
      <c r="AB1023" s="4154" t="s">
        <v>357</v>
      </c>
      <c r="AC1023" s="4616">
        <v>2.0898</v>
      </c>
      <c r="AD1023" s="4154">
        <f t="shared" si="576"/>
        <v>401.2416</v>
      </c>
      <c r="AE1023" s="4617"/>
      <c r="AF1023" s="3708" t="s">
        <v>2627</v>
      </c>
      <c r="AG1023" s="3726" t="s">
        <v>416</v>
      </c>
      <c r="AH1023" s="3708"/>
      <c r="AI1023" s="4154"/>
      <c r="AJ1023" s="4154">
        <f t="shared" ref="AJ1023:AJ1028" si="578">I1023</f>
        <v>192</v>
      </c>
      <c r="AK1023" s="3708"/>
      <c r="AL1023" s="3708"/>
      <c r="AM1023" s="3708"/>
      <c r="AN1023" s="4154"/>
      <c r="AO1023" s="4154"/>
      <c r="AP1023" s="4154">
        <f t="shared" si="577"/>
        <v>192</v>
      </c>
      <c r="AQ1023" s="1048"/>
      <c r="AR1023" s="1048"/>
      <c r="AS1023" s="1048">
        <f t="shared" si="558"/>
        <v>192</v>
      </c>
      <c r="AT1023" s="1048"/>
      <c r="AU1023" s="1048"/>
      <c r="AV1023" s="1048"/>
      <c r="AW1023" s="1048"/>
      <c r="AX1023" s="1048"/>
      <c r="AY1023" s="1048"/>
      <c r="AZ1023" s="1048"/>
      <c r="BA1023" s="4505"/>
      <c r="BB1023" s="4510"/>
      <c r="BC1023" s="4510"/>
      <c r="BD1023" s="4510"/>
      <c r="BE1023" s="4510"/>
      <c r="BF1023" s="4510" t="s">
        <v>89</v>
      </c>
      <c r="BG1023" s="4525"/>
      <c r="BH1023" s="4510">
        <f t="shared" si="569"/>
        <v>32</v>
      </c>
      <c r="BI1023" s="4510">
        <f t="shared" si="570"/>
        <v>22.4</v>
      </c>
      <c r="BJ1023" s="4510">
        <f t="shared" si="571"/>
        <v>16</v>
      </c>
      <c r="BK1023" s="4525">
        <f t="shared" si="572"/>
        <v>22.4</v>
      </c>
      <c r="BL1023" s="4525">
        <f t="shared" si="573"/>
        <v>38.4</v>
      </c>
      <c r="BM1023" s="4505">
        <f t="shared" si="574"/>
        <v>32</v>
      </c>
      <c r="BN1023" s="4505">
        <f t="shared" si="575"/>
        <v>28.8</v>
      </c>
      <c r="BO1023" s="4624"/>
      <c r="BP1023" s="4619"/>
      <c r="BQ1023" s="4619"/>
      <c r="BR1023" s="4619"/>
      <c r="BS1023" s="1040"/>
      <c r="BT1023" s="4620"/>
      <c r="BU1023" s="4625"/>
      <c r="BV1023" s="4160">
        <f>SUM(BH1023:BU1023)</f>
        <v>192</v>
      </c>
      <c r="BW1023" s="4160">
        <f t="shared" si="568"/>
        <v>0</v>
      </c>
      <c r="BX1023" s="4160"/>
      <c r="BY1023" s="4160"/>
      <c r="BZ1023" s="4160"/>
      <c r="CA1023" s="4511"/>
      <c r="CB1023" s="4316"/>
      <c r="CC1023" s="4512"/>
      <c r="CD1023" s="4511"/>
      <c r="XCZ1023" s="4618"/>
      <c r="XDA1023" s="4618"/>
      <c r="XDB1023" s="4618"/>
      <c r="XDC1023" s="4618"/>
      <c r="XDD1023" s="4618"/>
      <c r="XDE1023" s="4618"/>
      <c r="XDF1023" s="4618"/>
      <c r="XDG1023" s="4618"/>
      <c r="XDH1023" s="4618"/>
      <c r="XDI1023" s="4618"/>
      <c r="XDJ1023" s="4618"/>
      <c r="XDK1023" s="4618"/>
      <c r="XDL1023" s="4618"/>
      <c r="XDM1023" s="4618"/>
      <c r="XDN1023" s="4618"/>
      <c r="XDO1023" s="4618"/>
      <c r="XDP1023" s="4618"/>
      <c r="XDQ1023" s="4618"/>
      <c r="XDR1023" s="4618"/>
      <c r="XDS1023" s="4618"/>
      <c r="XDT1023" s="4618"/>
      <c r="XDU1023" s="4618"/>
      <c r="XDV1023" s="4618"/>
      <c r="XDW1023" s="4618"/>
      <c r="XDX1023" s="4618"/>
      <c r="XDY1023" s="4618"/>
      <c r="XDZ1023" s="4618"/>
      <c r="XEA1023" s="4618"/>
      <c r="XEB1023" s="4618"/>
      <c r="XEC1023" s="4618"/>
      <c r="XED1023" s="4618"/>
      <c r="XEE1023" s="4618"/>
      <c r="XEF1023" s="4618"/>
      <c r="XEG1023" s="4618"/>
      <c r="XEH1023" s="4618"/>
      <c r="XEI1023" s="4618"/>
      <c r="XEJ1023" s="4618"/>
      <c r="XEK1023" s="4618"/>
      <c r="XEL1023" s="4618"/>
      <c r="XEM1023" s="4618"/>
      <c r="XEN1023" s="4618"/>
      <c r="XEO1023" s="4618"/>
      <c r="XEP1023" s="4618"/>
      <c r="XEQ1023" s="4618"/>
      <c r="XER1023" s="4618"/>
      <c r="XES1023" s="4618"/>
      <c r="XET1023" s="4618"/>
      <c r="XEU1023" s="4618"/>
      <c r="XEV1023" s="4618"/>
      <c r="XEW1023" s="4618"/>
      <c r="XEX1023" s="4618"/>
      <c r="XEY1023" s="4618"/>
      <c r="XEZ1023" s="4618"/>
      <c r="XFA1023" s="4618"/>
      <c r="XFB1023" s="4618"/>
      <c r="XFC1023" s="4618"/>
      <c r="XFD1023" s="4618"/>
    </row>
    <row r="1024" s="4316" customFormat="1" ht="50" customHeight="1" spans="1:82 16328:16384">
      <c r="A1024" s="4500">
        <v>46133</v>
      </c>
      <c r="B1024" s="4501" t="s">
        <v>1682</v>
      </c>
      <c r="C1024" s="3708" t="s">
        <v>91</v>
      </c>
      <c r="D1024" s="4502">
        <v>4500203028</v>
      </c>
      <c r="E1024" s="3708">
        <v>384837304</v>
      </c>
      <c r="F1024" s="4502" t="s">
        <v>5866</v>
      </c>
      <c r="G1024" s="3708" t="s">
        <v>2719</v>
      </c>
      <c r="H1024" s="4154" t="s">
        <v>2591</v>
      </c>
      <c r="I1024" s="4593">
        <v>1500</v>
      </c>
      <c r="J1024" s="4154">
        <v>0</v>
      </c>
      <c r="K1024" s="4154">
        <v>6</v>
      </c>
      <c r="L1024" s="4154">
        <f t="shared" si="566"/>
        <v>250</v>
      </c>
      <c r="M1024" s="4503">
        <v>46175</v>
      </c>
      <c r="N1024" s="4553">
        <v>46171</v>
      </c>
      <c r="O1024" s="4117" t="s">
        <v>5867</v>
      </c>
      <c r="P1024" s="4527" t="s">
        <v>82</v>
      </c>
      <c r="Q1024" s="4157">
        <v>1500</v>
      </c>
      <c r="R1024" s="4157">
        <f t="shared" si="567"/>
        <v>0</v>
      </c>
      <c r="S1024" s="4145"/>
      <c r="T1024" s="4173" t="s">
        <v>321</v>
      </c>
      <c r="U1024" s="3680" t="s">
        <v>5868</v>
      </c>
      <c r="V1024" s="3711" t="s">
        <v>1267</v>
      </c>
      <c r="W1024" s="3711"/>
      <c r="X1024" s="3711" t="s">
        <v>5869</v>
      </c>
      <c r="Y1024" s="3711"/>
      <c r="Z1024" s="4154"/>
      <c r="AA1024" s="3680" t="s">
        <v>5870</v>
      </c>
      <c r="AB1024" s="4154" t="s">
        <v>500</v>
      </c>
      <c r="AC1024" s="4616">
        <v>1.2878</v>
      </c>
      <c r="AD1024" s="4154">
        <f t="shared" si="576"/>
        <v>1931.7</v>
      </c>
      <c r="AE1024" s="3726"/>
      <c r="AF1024" s="3708" t="s">
        <v>2719</v>
      </c>
      <c r="AG1024" s="3726" t="s">
        <v>416</v>
      </c>
      <c r="AH1024" s="4154"/>
      <c r="AI1024" s="3708"/>
      <c r="AJ1024" s="4154">
        <f t="shared" si="578"/>
        <v>1500</v>
      </c>
      <c r="AK1024" s="4154"/>
      <c r="AL1024" s="4154"/>
      <c r="AM1024" s="3708"/>
      <c r="AN1024" s="1048"/>
      <c r="AO1024" s="1048"/>
      <c r="AP1024" s="4154">
        <f t="shared" si="577"/>
        <v>1500</v>
      </c>
      <c r="AQ1024" s="1048"/>
      <c r="AR1024" s="1048"/>
      <c r="AS1024" s="4505">
        <f t="shared" si="558"/>
        <v>1500</v>
      </c>
      <c r="AT1024" s="4510"/>
      <c r="AU1024" s="4510"/>
      <c r="AV1024" s="4510"/>
      <c r="AW1024" s="4510"/>
      <c r="AX1024" s="4510"/>
      <c r="AY1024" s="4586"/>
      <c r="AZ1024" s="4587"/>
      <c r="BA1024" s="4505"/>
      <c r="BB1024" s="4505"/>
      <c r="BC1024" s="4622"/>
      <c r="BD1024" s="4510"/>
      <c r="BE1024" s="4323"/>
      <c r="BF1024" s="4510" t="s">
        <v>89</v>
      </c>
      <c r="BG1024" s="4510"/>
      <c r="BH1024" s="4510">
        <f t="shared" si="569"/>
        <v>250</v>
      </c>
      <c r="BI1024" s="4510">
        <f t="shared" si="570"/>
        <v>175</v>
      </c>
      <c r="BJ1024" s="4510">
        <f t="shared" si="571"/>
        <v>125</v>
      </c>
      <c r="BK1024" s="4525">
        <f t="shared" si="572"/>
        <v>175</v>
      </c>
      <c r="BL1024" s="4525">
        <f t="shared" si="573"/>
        <v>300</v>
      </c>
      <c r="BM1024" s="4505">
        <f t="shared" si="574"/>
        <v>250</v>
      </c>
      <c r="BN1024" s="4505">
        <f t="shared" si="575"/>
        <v>225</v>
      </c>
      <c r="BO1024" s="4619"/>
      <c r="BP1024" s="4619"/>
      <c r="BQ1024" s="4619"/>
      <c r="BR1024" s="4619"/>
      <c r="BS1024" s="4619"/>
      <c r="BT1024" s="4620"/>
      <c r="BU1024" s="4625"/>
      <c r="BV1024" s="4160">
        <f>SUM(BH1024:BN1024)</f>
        <v>1500</v>
      </c>
      <c r="BW1024" s="4160">
        <f t="shared" si="568"/>
        <v>0</v>
      </c>
      <c r="BX1024" s="4323"/>
      <c r="BY1024" s="4323"/>
      <c r="BZ1024" s="4323"/>
      <c r="CA1024" s="4511"/>
      <c r="CB1024" s="4316"/>
      <c r="CC1024" s="4512"/>
      <c r="CD1024" s="4511"/>
      <c r="XCZ1024" s="4618"/>
      <c r="XDA1024" s="4618"/>
      <c r="XDB1024" s="4618"/>
      <c r="XDC1024" s="4618"/>
      <c r="XDD1024" s="4618"/>
      <c r="XDE1024" s="4618"/>
      <c r="XDF1024" s="4618"/>
      <c r="XDG1024" s="4618"/>
      <c r="XDH1024" s="4618"/>
      <c r="XDI1024" s="4618"/>
      <c r="XDJ1024" s="4618"/>
      <c r="XDK1024" s="4618"/>
      <c r="XDL1024" s="4618"/>
      <c r="XDM1024" s="4618"/>
      <c r="XDN1024" s="4618"/>
      <c r="XDO1024" s="4618"/>
      <c r="XDP1024" s="4618"/>
      <c r="XDQ1024" s="4618"/>
      <c r="XDR1024" s="4618"/>
      <c r="XDS1024" s="4618"/>
      <c r="XDT1024" s="4618"/>
      <c r="XDU1024" s="4618"/>
      <c r="XDV1024" s="4618"/>
      <c r="XDW1024" s="4618"/>
      <c r="XDX1024" s="4618"/>
      <c r="XDY1024" s="4618"/>
      <c r="XDZ1024" s="4618"/>
      <c r="XEA1024" s="4618"/>
      <c r="XEB1024" s="4618"/>
      <c r="XEC1024" s="4618"/>
      <c r="XED1024" s="4618"/>
      <c r="XEE1024" s="4618"/>
      <c r="XEF1024" s="4618"/>
      <c r="XEG1024" s="4618"/>
      <c r="XEH1024" s="4618"/>
      <c r="XEI1024" s="4618"/>
      <c r="XEJ1024" s="4618"/>
      <c r="XEK1024" s="4618"/>
      <c r="XEL1024" s="4618"/>
      <c r="XEM1024" s="4618"/>
      <c r="XEN1024" s="4618"/>
      <c r="XEO1024" s="4618"/>
      <c r="XEP1024" s="4618"/>
      <c r="XEQ1024" s="4618"/>
      <c r="XER1024" s="4618"/>
      <c r="XES1024" s="4618"/>
      <c r="XET1024" s="4618"/>
      <c r="XEU1024" s="4618"/>
      <c r="XEV1024" s="4618"/>
      <c r="XEW1024" s="4618"/>
      <c r="XEX1024" s="4618"/>
      <c r="XEY1024" s="4618"/>
      <c r="XEZ1024" s="4618"/>
      <c r="XFA1024" s="4618"/>
      <c r="XFB1024" s="4618"/>
      <c r="XFC1024" s="4618"/>
      <c r="XFD1024" s="4618"/>
    </row>
    <row r="1025" s="4316" customFormat="1" ht="50" customHeight="1" spans="1:82 16328:16384">
      <c r="A1025" s="4500">
        <v>46133</v>
      </c>
      <c r="B1025" s="4501" t="s">
        <v>1682</v>
      </c>
      <c r="C1025" s="3708" t="s">
        <v>91</v>
      </c>
      <c r="D1025" s="4502" t="s">
        <v>5871</v>
      </c>
      <c r="E1025" s="3708">
        <v>384837305</v>
      </c>
      <c r="F1025" s="4502" t="s">
        <v>5872</v>
      </c>
      <c r="G1025" s="3708" t="s">
        <v>2719</v>
      </c>
      <c r="H1025" s="4154" t="s">
        <v>2591</v>
      </c>
      <c r="I1025" s="4593">
        <v>1500</v>
      </c>
      <c r="J1025" s="4154">
        <v>0</v>
      </c>
      <c r="K1025" s="4154">
        <v>6</v>
      </c>
      <c r="L1025" s="4154">
        <f t="shared" si="566"/>
        <v>250</v>
      </c>
      <c r="M1025" s="4503">
        <v>46175</v>
      </c>
      <c r="N1025" s="4553">
        <v>46171</v>
      </c>
      <c r="O1025" s="4117" t="s">
        <v>5867</v>
      </c>
      <c r="P1025" s="4527" t="s">
        <v>82</v>
      </c>
      <c r="Q1025" s="4157">
        <v>1500</v>
      </c>
      <c r="R1025" s="4157">
        <f t="shared" si="567"/>
        <v>0</v>
      </c>
      <c r="S1025" s="4145"/>
      <c r="T1025" s="4173" t="s">
        <v>321</v>
      </c>
      <c r="U1025" s="3680" t="s">
        <v>5868</v>
      </c>
      <c r="V1025" s="3711" t="s">
        <v>1267</v>
      </c>
      <c r="W1025" s="3711"/>
      <c r="X1025" s="3711" t="s">
        <v>5869</v>
      </c>
      <c r="Y1025" s="3711"/>
      <c r="Z1025" s="4154"/>
      <c r="AA1025" s="3680" t="s">
        <v>5870</v>
      </c>
      <c r="AB1025" s="4154" t="s">
        <v>500</v>
      </c>
      <c r="AC1025" s="4616">
        <v>1.2878</v>
      </c>
      <c r="AD1025" s="4154">
        <f t="shared" si="576"/>
        <v>1931.7</v>
      </c>
      <c r="AE1025" s="3726"/>
      <c r="AF1025" s="3708" t="s">
        <v>2719</v>
      </c>
      <c r="AG1025" s="3726" t="s">
        <v>416</v>
      </c>
      <c r="AH1025" s="4154"/>
      <c r="AI1025" s="3708"/>
      <c r="AJ1025" s="4154">
        <f t="shared" si="578"/>
        <v>1500</v>
      </c>
      <c r="AK1025" s="4154"/>
      <c r="AL1025" s="4154"/>
      <c r="AM1025" s="3708"/>
      <c r="AN1025" s="1048"/>
      <c r="AO1025" s="1048"/>
      <c r="AP1025" s="4154">
        <f t="shared" si="577"/>
        <v>1500</v>
      </c>
      <c r="AQ1025" s="1048"/>
      <c r="AR1025" s="1048"/>
      <c r="AS1025" s="4505">
        <f t="shared" si="558"/>
        <v>1500</v>
      </c>
      <c r="AT1025" s="4510"/>
      <c r="AU1025" s="4510"/>
      <c r="AV1025" s="4510"/>
      <c r="AW1025" s="4510"/>
      <c r="AX1025" s="4510"/>
      <c r="AY1025" s="4586"/>
      <c r="AZ1025" s="4587"/>
      <c r="BA1025" s="4505"/>
      <c r="BB1025" s="4505"/>
      <c r="BC1025" s="4622"/>
      <c r="BD1025" s="4510"/>
      <c r="BE1025" s="4323"/>
      <c r="BF1025" s="4510" t="s">
        <v>89</v>
      </c>
      <c r="BG1025" s="4510"/>
      <c r="BH1025" s="4510">
        <f t="shared" si="569"/>
        <v>250</v>
      </c>
      <c r="BI1025" s="4525">
        <f t="shared" si="570"/>
        <v>175</v>
      </c>
      <c r="BJ1025" s="4525">
        <f t="shared" si="571"/>
        <v>125</v>
      </c>
      <c r="BK1025" s="4505">
        <f t="shared" si="572"/>
        <v>175</v>
      </c>
      <c r="BL1025" s="4505">
        <f t="shared" si="573"/>
        <v>300</v>
      </c>
      <c r="BM1025" s="4160">
        <f t="shared" si="574"/>
        <v>250</v>
      </c>
      <c r="BN1025" s="4160">
        <f t="shared" si="575"/>
        <v>225</v>
      </c>
      <c r="BO1025" s="4619"/>
      <c r="BP1025" s="4619"/>
      <c r="BQ1025" s="4619"/>
      <c r="BR1025" s="4570"/>
      <c r="BS1025" s="4626"/>
      <c r="BT1025" s="4572"/>
      <c r="BU1025" s="4570"/>
      <c r="BV1025" s="4160">
        <f>SUM(BH1025:BN1025)</f>
        <v>1500</v>
      </c>
      <c r="BW1025" s="4160">
        <f t="shared" si="568"/>
        <v>0</v>
      </c>
      <c r="BX1025" s="4323"/>
      <c r="BY1025" s="4323"/>
      <c r="BZ1025" s="4323"/>
      <c r="CA1025" s="4511"/>
      <c r="CB1025" s="4316"/>
      <c r="CC1025" s="4512"/>
      <c r="CD1025" s="4511"/>
      <c r="XCZ1025" s="4618"/>
      <c r="XDA1025" s="4618"/>
      <c r="XDB1025" s="4618"/>
      <c r="XDC1025" s="4618"/>
      <c r="XDD1025" s="4618"/>
      <c r="XDE1025" s="4618"/>
      <c r="XDF1025" s="4618"/>
      <c r="XDG1025" s="4618"/>
      <c r="XDH1025" s="4618"/>
      <c r="XDI1025" s="4618"/>
      <c r="XDJ1025" s="4618"/>
      <c r="XDK1025" s="4618"/>
      <c r="XDL1025" s="4618"/>
      <c r="XDM1025" s="4618"/>
      <c r="XDN1025" s="4618"/>
      <c r="XDO1025" s="4618"/>
      <c r="XDP1025" s="4618"/>
      <c r="XDQ1025" s="4618"/>
      <c r="XDR1025" s="4618"/>
      <c r="XDS1025" s="4618"/>
      <c r="XDT1025" s="4618"/>
      <c r="XDU1025" s="4618"/>
      <c r="XDV1025" s="4618"/>
      <c r="XDW1025" s="4618"/>
      <c r="XDX1025" s="4618"/>
      <c r="XDY1025" s="4618"/>
      <c r="XDZ1025" s="4618"/>
      <c r="XEA1025" s="4618"/>
      <c r="XEB1025" s="4618"/>
      <c r="XEC1025" s="4618"/>
      <c r="XED1025" s="4618"/>
      <c r="XEE1025" s="4618"/>
      <c r="XEF1025" s="4618"/>
      <c r="XEG1025" s="4618"/>
      <c r="XEH1025" s="4618"/>
      <c r="XEI1025" s="4618"/>
      <c r="XEJ1025" s="4618"/>
      <c r="XEK1025" s="4618"/>
      <c r="XEL1025" s="4618"/>
      <c r="XEM1025" s="4618"/>
      <c r="XEN1025" s="4618"/>
      <c r="XEO1025" s="4618"/>
      <c r="XEP1025" s="4618"/>
      <c r="XEQ1025" s="4618"/>
      <c r="XER1025" s="4618"/>
      <c r="XES1025" s="4618"/>
      <c r="XET1025" s="4618"/>
      <c r="XEU1025" s="4618"/>
      <c r="XEV1025" s="4618"/>
      <c r="XEW1025" s="4618"/>
      <c r="XEX1025" s="4618"/>
      <c r="XEY1025" s="4618"/>
      <c r="XEZ1025" s="4618"/>
      <c r="XFA1025" s="4618"/>
      <c r="XFB1025" s="4618"/>
      <c r="XFC1025" s="4618"/>
      <c r="XFD1025" s="4618"/>
    </row>
    <row r="1026" s="4316" customFormat="1" ht="50" customHeight="1" spans="1:82 16328:16384">
      <c r="A1026" s="4500">
        <v>46114</v>
      </c>
      <c r="B1026" s="4501" t="s">
        <v>2914</v>
      </c>
      <c r="C1026" s="3708" t="s">
        <v>341</v>
      </c>
      <c r="D1026" s="4502" t="s">
        <v>5873</v>
      </c>
      <c r="E1026" s="3708" t="s">
        <v>5874</v>
      </c>
      <c r="F1026" s="4502" t="s">
        <v>5875</v>
      </c>
      <c r="G1026" s="3708" t="s">
        <v>2917</v>
      </c>
      <c r="H1026" s="3708" t="s">
        <v>2620</v>
      </c>
      <c r="I1026" s="4154">
        <v>6000</v>
      </c>
      <c r="J1026" s="4154">
        <v>0</v>
      </c>
      <c r="K1026" s="4154">
        <v>16</v>
      </c>
      <c r="L1026" s="4154">
        <f t="shared" si="566"/>
        <v>375</v>
      </c>
      <c r="M1026" s="4503">
        <v>46164</v>
      </c>
      <c r="N1026" s="4553">
        <v>46160</v>
      </c>
      <c r="O1026" s="4117"/>
      <c r="P1026" s="4527" t="s">
        <v>82</v>
      </c>
      <c r="Q1026" s="4157">
        <v>6000</v>
      </c>
      <c r="R1026" s="4157">
        <f t="shared" si="567"/>
        <v>0</v>
      </c>
      <c r="S1026" s="4219"/>
      <c r="T1026" s="4173" t="s">
        <v>321</v>
      </c>
      <c r="U1026" s="3726" t="s">
        <v>1208</v>
      </c>
      <c r="V1026" s="3711" t="s">
        <v>1322</v>
      </c>
      <c r="W1026" s="3711"/>
      <c r="X1026" s="3711" t="s">
        <v>5876</v>
      </c>
      <c r="Y1026" s="3711"/>
      <c r="Z1026" s="3712"/>
      <c r="AA1026" s="3680" t="s">
        <v>5877</v>
      </c>
      <c r="AB1026" s="4154" t="s">
        <v>5036</v>
      </c>
      <c r="AC1026" s="4616">
        <v>2.1102</v>
      </c>
      <c r="AD1026" s="4154">
        <f t="shared" si="576"/>
        <v>12661.2</v>
      </c>
      <c r="AE1026" s="4617"/>
      <c r="AF1026" s="3708" t="s">
        <v>2917</v>
      </c>
      <c r="AG1026" s="3726" t="s">
        <v>416</v>
      </c>
      <c r="AH1026" s="3708"/>
      <c r="AI1026" s="4154"/>
      <c r="AJ1026" s="4154">
        <f t="shared" si="578"/>
        <v>6000</v>
      </c>
      <c r="AK1026" s="3708"/>
      <c r="AL1026" s="3708"/>
      <c r="AM1026" s="3708"/>
      <c r="AN1026" s="4154"/>
      <c r="AO1026" s="4154"/>
      <c r="AP1026" s="4154">
        <f t="shared" si="577"/>
        <v>6000</v>
      </c>
      <c r="AQ1026" s="1048"/>
      <c r="AR1026" s="1048"/>
      <c r="AS1026" s="1048">
        <f t="shared" si="558"/>
        <v>6000</v>
      </c>
      <c r="AT1026" s="1048"/>
      <c r="AU1026" s="1048"/>
      <c r="AV1026" s="1048"/>
      <c r="AW1026" s="1048"/>
      <c r="AX1026" s="1048"/>
      <c r="AY1026" s="1048"/>
      <c r="AZ1026" s="1048"/>
      <c r="BA1026" s="1048">
        <f>I1026/4</f>
        <v>1500</v>
      </c>
      <c r="BB1026" s="1048"/>
      <c r="BC1026" s="1048"/>
      <c r="BD1026" s="1048"/>
      <c r="BE1026" s="4505"/>
      <c r="BF1026" s="4510" t="s">
        <v>89</v>
      </c>
      <c r="BG1026" s="4510"/>
      <c r="BH1026" s="4510">
        <f t="shared" si="569"/>
        <v>1000</v>
      </c>
      <c r="BI1026" s="4510">
        <f t="shared" si="570"/>
        <v>700</v>
      </c>
      <c r="BJ1026" s="4510">
        <f t="shared" si="571"/>
        <v>500</v>
      </c>
      <c r="BK1026" s="4525">
        <f t="shared" si="572"/>
        <v>700</v>
      </c>
      <c r="BL1026" s="4525">
        <f t="shared" si="573"/>
        <v>1200</v>
      </c>
      <c r="BM1026" s="4505">
        <f t="shared" si="574"/>
        <v>1000</v>
      </c>
      <c r="BN1026" s="4505">
        <f t="shared" si="575"/>
        <v>900</v>
      </c>
      <c r="BO1026" s="4624"/>
      <c r="BP1026" s="4619"/>
      <c r="BQ1026" s="4619"/>
      <c r="BR1026" s="4619"/>
      <c r="BS1026" s="1040"/>
      <c r="BT1026" s="4620"/>
      <c r="BU1026" s="4625"/>
      <c r="BV1026" s="4160">
        <f>SUM(BH1026:BU1026)</f>
        <v>6000</v>
      </c>
      <c r="BW1026" s="4160">
        <f t="shared" si="568"/>
        <v>0</v>
      </c>
      <c r="BX1026" s="4160"/>
      <c r="BY1026" s="4160"/>
      <c r="BZ1026" s="4160"/>
      <c r="CA1026" s="4511"/>
      <c r="CB1026" s="4316"/>
      <c r="CC1026" s="4512"/>
      <c r="CD1026" s="4511"/>
      <c r="XCZ1026" s="4618"/>
      <c r="XDA1026" s="4618"/>
      <c r="XDB1026" s="4618"/>
      <c r="XDC1026" s="4618"/>
      <c r="XDD1026" s="4618"/>
      <c r="XDE1026" s="4618"/>
      <c r="XDF1026" s="4618"/>
      <c r="XDG1026" s="4618"/>
      <c r="XDH1026" s="4618"/>
      <c r="XDI1026" s="4618"/>
      <c r="XDJ1026" s="4618"/>
      <c r="XDK1026" s="4618"/>
      <c r="XDL1026" s="4618"/>
      <c r="XDM1026" s="4618"/>
      <c r="XDN1026" s="4618"/>
      <c r="XDO1026" s="4618"/>
      <c r="XDP1026" s="4618"/>
      <c r="XDQ1026" s="4618"/>
      <c r="XDR1026" s="4618"/>
      <c r="XDS1026" s="4618"/>
      <c r="XDT1026" s="4618"/>
      <c r="XDU1026" s="4618"/>
      <c r="XDV1026" s="4618"/>
      <c r="XDW1026" s="4618"/>
      <c r="XDX1026" s="4618"/>
      <c r="XDY1026" s="4618"/>
      <c r="XDZ1026" s="4618"/>
      <c r="XEA1026" s="4618"/>
      <c r="XEB1026" s="4618"/>
      <c r="XEC1026" s="4618"/>
      <c r="XED1026" s="4618"/>
      <c r="XEE1026" s="4618"/>
      <c r="XEF1026" s="4618"/>
      <c r="XEG1026" s="4618"/>
      <c r="XEH1026" s="4618"/>
      <c r="XEI1026" s="4618"/>
      <c r="XEJ1026" s="4618"/>
      <c r="XEK1026" s="4618"/>
      <c r="XEL1026" s="4618"/>
      <c r="XEM1026" s="4618"/>
      <c r="XEN1026" s="4618"/>
      <c r="XEO1026" s="4618"/>
      <c r="XEP1026" s="4618"/>
      <c r="XEQ1026" s="4618"/>
      <c r="XER1026" s="4618"/>
      <c r="XES1026" s="4618"/>
      <c r="XET1026" s="4618"/>
      <c r="XEU1026" s="4618"/>
      <c r="XEV1026" s="4618"/>
      <c r="XEW1026" s="4618"/>
      <c r="XEX1026" s="4618"/>
      <c r="XEY1026" s="4618"/>
      <c r="XEZ1026" s="4618"/>
      <c r="XFA1026" s="4618"/>
      <c r="XFB1026" s="4618"/>
      <c r="XFC1026" s="4618"/>
      <c r="XFD1026" s="4618"/>
    </row>
    <row r="1027" s="4316" customFormat="1" ht="50" customHeight="1" spans="1:82 16328:16384">
      <c r="A1027" s="4500">
        <v>46120</v>
      </c>
      <c r="B1027" s="4501" t="s">
        <v>340</v>
      </c>
      <c r="C1027" s="4614" t="s">
        <v>341</v>
      </c>
      <c r="D1027" s="4502" t="s">
        <v>5878</v>
      </c>
      <c r="E1027" s="3708" t="s">
        <v>5879</v>
      </c>
      <c r="F1027" s="4615" t="s">
        <v>5880</v>
      </c>
      <c r="G1027" s="3708" t="s">
        <v>2627</v>
      </c>
      <c r="H1027" s="3708" t="s">
        <v>2591</v>
      </c>
      <c r="I1027" s="4154">
        <v>1512</v>
      </c>
      <c r="J1027" s="4154">
        <v>0</v>
      </c>
      <c r="K1027" s="4154">
        <v>24</v>
      </c>
      <c r="L1027" s="4154">
        <f t="shared" si="566"/>
        <v>63</v>
      </c>
      <c r="M1027" s="4503">
        <v>46167</v>
      </c>
      <c r="N1027" s="4503">
        <v>46163</v>
      </c>
      <c r="O1027" s="3708"/>
      <c r="P1027" s="4527" t="s">
        <v>82</v>
      </c>
      <c r="Q1027" s="4157">
        <v>1512</v>
      </c>
      <c r="R1027" s="4157">
        <f t="shared" si="567"/>
        <v>0</v>
      </c>
      <c r="S1027" s="4219"/>
      <c r="T1027" s="4173" t="s">
        <v>321</v>
      </c>
      <c r="U1027" s="3726" t="s">
        <v>5881</v>
      </c>
      <c r="V1027" s="3711" t="s">
        <v>5882</v>
      </c>
      <c r="W1027" s="3711"/>
      <c r="X1027" s="4503" t="s">
        <v>5883</v>
      </c>
      <c r="Y1027" s="3711"/>
      <c r="Z1027" s="3712"/>
      <c r="AA1027" s="3680" t="s">
        <v>5884</v>
      </c>
      <c r="AB1027" s="4154" t="s">
        <v>559</v>
      </c>
      <c r="AC1027" s="4616">
        <v>2.1345</v>
      </c>
      <c r="AD1027" s="4154">
        <f t="shared" si="576"/>
        <v>3227.364</v>
      </c>
      <c r="AE1027" s="4617"/>
      <c r="AF1027" s="3708" t="s">
        <v>2627</v>
      </c>
      <c r="AG1027" s="3726" t="s">
        <v>416</v>
      </c>
      <c r="AH1027" s="3708"/>
      <c r="AI1027" s="4154"/>
      <c r="AJ1027" s="4154">
        <f t="shared" si="578"/>
        <v>1512</v>
      </c>
      <c r="AK1027" s="3708"/>
      <c r="AL1027" s="3708"/>
      <c r="AM1027" s="3708"/>
      <c r="AN1027" s="4154"/>
      <c r="AO1027" s="4154"/>
      <c r="AP1027" s="4154">
        <f t="shared" si="577"/>
        <v>1512</v>
      </c>
      <c r="AQ1027" s="1048"/>
      <c r="AR1027" s="1048"/>
      <c r="AS1027" s="1048">
        <f t="shared" si="558"/>
        <v>1512</v>
      </c>
      <c r="AT1027" s="1048"/>
      <c r="AU1027" s="1048"/>
      <c r="AV1027" s="1048"/>
      <c r="AW1027" s="1048"/>
      <c r="AX1027" s="1048"/>
      <c r="AY1027" s="1048"/>
      <c r="AZ1027" s="1048"/>
      <c r="BA1027" s="1048"/>
      <c r="BB1027" s="1048"/>
      <c r="BC1027" s="4505"/>
      <c r="BD1027" s="4510"/>
      <c r="BE1027" s="4510"/>
      <c r="BF1027" s="4510" t="s">
        <v>89</v>
      </c>
      <c r="BG1027" s="4510"/>
      <c r="BH1027" s="4510">
        <f t="shared" si="569"/>
        <v>252</v>
      </c>
      <c r="BI1027" s="4510">
        <f t="shared" si="570"/>
        <v>176.4</v>
      </c>
      <c r="BJ1027" s="4510">
        <f t="shared" si="571"/>
        <v>126</v>
      </c>
      <c r="BK1027" s="4525">
        <f t="shared" si="572"/>
        <v>176.4</v>
      </c>
      <c r="BL1027" s="4525">
        <f t="shared" si="573"/>
        <v>302.4</v>
      </c>
      <c r="BM1027" s="4505">
        <f t="shared" si="574"/>
        <v>252</v>
      </c>
      <c r="BN1027" s="4505">
        <f t="shared" si="575"/>
        <v>226.8</v>
      </c>
      <c r="BO1027" s="4624"/>
      <c r="BP1027" s="4619"/>
      <c r="BQ1027" s="4619"/>
      <c r="BR1027" s="4619"/>
      <c r="BS1027" s="1040"/>
      <c r="BT1027" s="4620"/>
      <c r="BU1027" s="4625"/>
      <c r="BV1027" s="4160">
        <f>SUM(BH1027:BU1027)</f>
        <v>1512</v>
      </c>
      <c r="BW1027" s="4160">
        <f t="shared" si="568"/>
        <v>0</v>
      </c>
      <c r="BX1027" s="4160"/>
      <c r="BY1027" s="4160"/>
      <c r="BZ1027" s="4160"/>
      <c r="CA1027" s="4511"/>
      <c r="CB1027" s="4316"/>
      <c r="CC1027" s="4512"/>
      <c r="CD1027" s="4511"/>
      <c r="XCZ1027" s="4618"/>
      <c r="XDA1027" s="4618"/>
      <c r="XDB1027" s="4618"/>
      <c r="XDC1027" s="4618"/>
      <c r="XDD1027" s="4618"/>
      <c r="XDE1027" s="4618"/>
      <c r="XDF1027" s="4618"/>
      <c r="XDG1027" s="4618"/>
      <c r="XDH1027" s="4618"/>
      <c r="XDI1027" s="4618"/>
      <c r="XDJ1027" s="4618"/>
      <c r="XDK1027" s="4618"/>
      <c r="XDL1027" s="4618"/>
      <c r="XDM1027" s="4618"/>
      <c r="XDN1027" s="4618"/>
      <c r="XDO1027" s="4618"/>
      <c r="XDP1027" s="4618"/>
      <c r="XDQ1027" s="4618"/>
      <c r="XDR1027" s="4618"/>
      <c r="XDS1027" s="4618"/>
      <c r="XDT1027" s="4618"/>
      <c r="XDU1027" s="4618"/>
      <c r="XDV1027" s="4618"/>
      <c r="XDW1027" s="4618"/>
      <c r="XDX1027" s="4618"/>
      <c r="XDY1027" s="4618"/>
      <c r="XDZ1027" s="4618"/>
      <c r="XEA1027" s="4618"/>
      <c r="XEB1027" s="4618"/>
      <c r="XEC1027" s="4618"/>
      <c r="XED1027" s="4618"/>
      <c r="XEE1027" s="4618"/>
      <c r="XEF1027" s="4618"/>
      <c r="XEG1027" s="4618"/>
      <c r="XEH1027" s="4618"/>
      <c r="XEI1027" s="4618"/>
      <c r="XEJ1027" s="4618"/>
      <c r="XEK1027" s="4618"/>
      <c r="XEL1027" s="4618"/>
      <c r="XEM1027" s="4618"/>
      <c r="XEN1027" s="4618"/>
      <c r="XEO1027" s="4618"/>
      <c r="XEP1027" s="4618"/>
      <c r="XEQ1027" s="4618"/>
      <c r="XER1027" s="4618"/>
      <c r="XES1027" s="4618"/>
      <c r="XET1027" s="4618"/>
      <c r="XEU1027" s="4618"/>
      <c r="XEV1027" s="4618"/>
      <c r="XEW1027" s="4618"/>
      <c r="XEX1027" s="4618"/>
      <c r="XEY1027" s="4618"/>
      <c r="XEZ1027" s="4618"/>
      <c r="XFA1027" s="4618"/>
      <c r="XFB1027" s="4618"/>
      <c r="XFC1027" s="4618"/>
      <c r="XFD1027" s="4618"/>
    </row>
    <row r="1028" s="4318" customFormat="1" ht="50" customHeight="1" spans="1:82 16328:16384">
      <c r="A1028" s="4513">
        <v>46136</v>
      </c>
      <c r="B1028" s="4627" t="s">
        <v>5885</v>
      </c>
      <c r="C1028" s="905" t="s">
        <v>2698</v>
      </c>
      <c r="D1028" s="4515" t="s">
        <v>5886</v>
      </c>
      <c r="E1028" s="5459" t="s">
        <v>5887</v>
      </c>
      <c r="F1028" s="4515" t="s">
        <v>5888</v>
      </c>
      <c r="G1028" s="905" t="s">
        <v>2700</v>
      </c>
      <c r="H1028" s="905" t="s">
        <v>2591</v>
      </c>
      <c r="I1028" s="906">
        <v>10008</v>
      </c>
      <c r="J1028" s="906">
        <v>0</v>
      </c>
      <c r="K1028" s="906">
        <v>12</v>
      </c>
      <c r="L1028" s="906">
        <f t="shared" si="566"/>
        <v>834</v>
      </c>
      <c r="M1028" s="4516">
        <v>46185</v>
      </c>
      <c r="N1028" s="4542">
        <v>46181</v>
      </c>
      <c r="O1028" s="905"/>
      <c r="P1028" s="4527" t="s">
        <v>82</v>
      </c>
      <c r="Q1028" s="4156">
        <f>9972+36</f>
        <v>10008</v>
      </c>
      <c r="R1028" s="4156">
        <f t="shared" si="567"/>
        <v>0</v>
      </c>
      <c r="S1028" s="4628"/>
      <c r="T1028" s="4628" t="s">
        <v>321</v>
      </c>
      <c r="U1028" s="3625" t="s">
        <v>3940</v>
      </c>
      <c r="V1028" s="3739" t="s">
        <v>3909</v>
      </c>
      <c r="W1028" s="3739"/>
      <c r="X1028" s="3739" t="s">
        <v>5889</v>
      </c>
      <c r="Y1028" s="3739"/>
      <c r="Z1028" s="906"/>
      <c r="AA1028" s="3625" t="s">
        <v>5890</v>
      </c>
      <c r="AB1028" s="906" t="s">
        <v>448</v>
      </c>
      <c r="AC1028" s="4629">
        <v>2.0449</v>
      </c>
      <c r="AD1028" s="906">
        <f t="shared" si="576"/>
        <v>20465.3592</v>
      </c>
      <c r="AE1028" s="4148"/>
      <c r="AF1028" s="4630" t="s">
        <v>2700</v>
      </c>
      <c r="AG1028" s="4148" t="s">
        <v>416</v>
      </c>
      <c r="AH1028" s="906"/>
      <c r="AI1028" s="905"/>
      <c r="AJ1028" s="4528">
        <f t="shared" si="578"/>
        <v>10008</v>
      </c>
      <c r="AK1028" s="906"/>
      <c r="AL1028" s="906"/>
      <c r="AM1028" s="905"/>
      <c r="AN1028" s="4382"/>
      <c r="AO1028" s="4382"/>
      <c r="AP1028" s="906">
        <f t="shared" si="577"/>
        <v>10008</v>
      </c>
      <c r="AQ1028" s="4382"/>
      <c r="AR1028" s="4382"/>
      <c r="AS1028" s="4518"/>
      <c r="AT1028" s="4382"/>
      <c r="AU1028" s="4382">
        <f>I1028</f>
        <v>10008</v>
      </c>
      <c r="AV1028" s="4382"/>
      <c r="AW1028" s="4518">
        <f>I1028/6</f>
        <v>1668</v>
      </c>
      <c r="AX1028" s="4382"/>
      <c r="AY1028" s="4382"/>
      <c r="AZ1028" s="4382"/>
      <c r="BA1028" s="4382"/>
      <c r="BB1028" s="4382"/>
      <c r="BC1028" s="4382"/>
      <c r="BD1028" s="4382"/>
      <c r="BE1028" s="4382"/>
      <c r="BF1028" s="4382" t="s">
        <v>89</v>
      </c>
      <c r="BG1028" s="4382"/>
      <c r="BH1028" s="4518">
        <f t="shared" si="569"/>
        <v>1668</v>
      </c>
      <c r="BI1028" s="4518">
        <f>I1028/60*10</f>
        <v>1668</v>
      </c>
      <c r="BJ1028" s="4518">
        <f>I1028/60*10</f>
        <v>1668</v>
      </c>
      <c r="BK1028" s="4518">
        <f>I1028/60*10</f>
        <v>1668</v>
      </c>
      <c r="BL1028" s="4518">
        <f>I1028/60*10</f>
        <v>1668</v>
      </c>
      <c r="BM1028" s="4631">
        <f>I1028/60*8</f>
        <v>1334.4</v>
      </c>
      <c r="BN1028" s="4632">
        <f>I1028/60*2</f>
        <v>333.6</v>
      </c>
      <c r="BO1028" s="4417"/>
      <c r="BP1028" s="4417"/>
      <c r="BQ1028" s="4417"/>
      <c r="BR1028" s="4417"/>
      <c r="BS1028" s="4417"/>
      <c r="BT1028" s="4472"/>
      <c r="BU1028" s="4633"/>
      <c r="BV1028" s="4544">
        <f>SUM(BH1028:BU1028)</f>
        <v>10008</v>
      </c>
      <c r="BW1028" s="4544">
        <f t="shared" si="568"/>
        <v>0</v>
      </c>
      <c r="BX1028" s="4544"/>
      <c r="BY1028" s="4544"/>
      <c r="BZ1028" s="4544"/>
      <c r="CA1028" s="4550"/>
      <c r="CB1028" s="4318"/>
      <c r="CC1028" s="4551"/>
      <c r="CD1028" s="4550"/>
      <c r="XCZ1028" s="4634"/>
      <c r="XDA1028" s="4634"/>
      <c r="XDB1028" s="4634"/>
      <c r="XDC1028" s="4634"/>
      <c r="XDD1028" s="4634"/>
      <c r="XDE1028" s="4634"/>
      <c r="XDF1028" s="4634"/>
      <c r="XDG1028" s="4634"/>
      <c r="XDH1028" s="4634"/>
      <c r="XDI1028" s="4634"/>
      <c r="XDJ1028" s="4634"/>
      <c r="XDK1028" s="4634"/>
      <c r="XDL1028" s="4634"/>
      <c r="XDM1028" s="4634"/>
      <c r="XDN1028" s="4634"/>
      <c r="XDO1028" s="4634"/>
      <c r="XDP1028" s="4634"/>
      <c r="XDQ1028" s="4634"/>
      <c r="XDR1028" s="4634"/>
      <c r="XDS1028" s="4634"/>
      <c r="XDT1028" s="4634"/>
      <c r="XDU1028" s="4634"/>
      <c r="XDV1028" s="4634"/>
      <c r="XDW1028" s="4634"/>
      <c r="XDX1028" s="4634"/>
      <c r="XDY1028" s="4634"/>
      <c r="XDZ1028" s="4634"/>
      <c r="XEA1028" s="4634"/>
      <c r="XEB1028" s="4634"/>
      <c r="XEC1028" s="4634"/>
      <c r="XED1028" s="4634"/>
      <c r="XEE1028" s="4634"/>
      <c r="XEF1028" s="4634"/>
      <c r="XEG1028" s="4634"/>
      <c r="XEH1028" s="4634"/>
      <c r="XEI1028" s="4634"/>
      <c r="XEJ1028" s="4634"/>
      <c r="XEK1028" s="4634"/>
      <c r="XEL1028" s="4634"/>
      <c r="XEM1028" s="4634"/>
      <c r="XEN1028" s="4634"/>
      <c r="XEO1028" s="4634"/>
      <c r="XEP1028" s="4634"/>
      <c r="XEQ1028" s="4634"/>
      <c r="XER1028" s="4634"/>
      <c r="XES1028" s="4634"/>
      <c r="XET1028" s="4634"/>
      <c r="XEU1028" s="4634"/>
      <c r="XEV1028" s="4634"/>
      <c r="XEW1028" s="4634"/>
      <c r="XEX1028" s="4634"/>
      <c r="XEY1028" s="4634"/>
      <c r="XEZ1028" s="4634"/>
      <c r="XFA1028" s="4634"/>
      <c r="XFB1028" s="4634"/>
      <c r="XFC1028" s="4634"/>
      <c r="XFD1028" s="4634"/>
    </row>
    <row r="1029" s="4318" customFormat="1" ht="50" customHeight="1" spans="1:82 16328:16384">
      <c r="A1029" s="4513">
        <v>46136</v>
      </c>
      <c r="B1029" s="4514" t="s">
        <v>5228</v>
      </c>
      <c r="C1029" s="905" t="s">
        <v>3417</v>
      </c>
      <c r="D1029" s="4515" t="s">
        <v>5891</v>
      </c>
      <c r="E1029" s="905" t="s">
        <v>2434</v>
      </c>
      <c r="F1029" s="4515" t="s">
        <v>5892</v>
      </c>
      <c r="G1029" s="905" t="s">
        <v>2577</v>
      </c>
      <c r="H1029" s="905" t="s">
        <v>2620</v>
      </c>
      <c r="I1029" s="906">
        <v>1032</v>
      </c>
      <c r="J1029" s="906">
        <v>0</v>
      </c>
      <c r="K1029" s="906">
        <v>12</v>
      </c>
      <c r="L1029" s="906">
        <f t="shared" si="566"/>
        <v>86</v>
      </c>
      <c r="M1029" s="4516">
        <v>46181</v>
      </c>
      <c r="N1029" s="4542">
        <v>46177</v>
      </c>
      <c r="O1029" s="4129"/>
      <c r="P1029" s="4527" t="s">
        <v>82</v>
      </c>
      <c r="Q1029" s="4156">
        <f>12+1020</f>
        <v>1032</v>
      </c>
      <c r="R1029" s="4156">
        <f t="shared" si="567"/>
        <v>0</v>
      </c>
      <c r="S1029" s="4635" t="s">
        <v>2297</v>
      </c>
      <c r="T1029" s="4635" t="s">
        <v>321</v>
      </c>
      <c r="U1029" s="3625" t="s">
        <v>5893</v>
      </c>
      <c r="V1029" s="3739" t="s">
        <v>3725</v>
      </c>
      <c r="W1029" s="3739"/>
      <c r="X1029" s="3739" t="s">
        <v>3618</v>
      </c>
      <c r="Y1029" s="3739"/>
      <c r="Z1029" s="906"/>
      <c r="AA1029" s="3625" t="s">
        <v>5894</v>
      </c>
      <c r="AB1029" s="906" t="s">
        <v>1257</v>
      </c>
      <c r="AC1029" s="4629">
        <v>2.1905</v>
      </c>
      <c r="AD1029" s="906">
        <f t="shared" si="576"/>
        <v>2260.596</v>
      </c>
      <c r="AE1029" s="4148"/>
      <c r="AF1029" s="4630" t="s">
        <v>2604</v>
      </c>
      <c r="AG1029" s="4148" t="s">
        <v>416</v>
      </c>
      <c r="AH1029" s="906"/>
      <c r="AI1029" s="905"/>
      <c r="AJ1029" s="4528"/>
      <c r="AK1029" s="906"/>
      <c r="AL1029" s="906"/>
      <c r="AM1029" s="905">
        <f t="shared" ref="AM1029:AM1034" si="579">I1029</f>
        <v>1032</v>
      </c>
      <c r="AN1029" s="4382"/>
      <c r="AO1029" s="4382"/>
      <c r="AP1029" s="906">
        <f t="shared" si="577"/>
        <v>1032</v>
      </c>
      <c r="AQ1029" s="4382"/>
      <c r="AR1029" s="4382"/>
      <c r="AS1029" s="4518">
        <f t="shared" ref="AS1029:AS1044" si="580">I1029</f>
        <v>1032</v>
      </c>
      <c r="AT1029" s="4382"/>
      <c r="AU1029" s="4382"/>
      <c r="AV1029" s="4382"/>
      <c r="AW1029" s="4518">
        <f t="shared" ref="AW1029:AW1034" si="581">I1029/6</f>
        <v>172</v>
      </c>
      <c r="AX1029" s="4382"/>
      <c r="AY1029" s="4382"/>
      <c r="AZ1029" s="4382"/>
      <c r="BA1029" s="4382"/>
      <c r="BB1029" s="4382"/>
      <c r="BC1029" s="4382"/>
      <c r="BD1029" s="4382"/>
      <c r="BE1029" s="4382"/>
      <c r="BF1029" s="4382" t="s">
        <v>89</v>
      </c>
      <c r="BG1029" s="4382"/>
      <c r="BH1029" s="4518">
        <f t="shared" ref="BH1029:BH1036" si="582">I1029/60*10</f>
        <v>172</v>
      </c>
      <c r="BI1029" s="4518">
        <f t="shared" ref="BI1029:BI1034" si="583">I1029/60*7</f>
        <v>120.4</v>
      </c>
      <c r="BJ1029" s="4518">
        <f t="shared" ref="BJ1029:BJ1034" si="584">I1029/60*5</f>
        <v>86</v>
      </c>
      <c r="BK1029" s="4518">
        <f t="shared" ref="BK1029:BK1034" si="585">I1029/60*7</f>
        <v>120.4</v>
      </c>
      <c r="BL1029" s="4518">
        <f t="shared" ref="BL1029:BL1034" si="586">I1029/60*12</f>
        <v>206.4</v>
      </c>
      <c r="BM1029" s="4631">
        <f t="shared" ref="BM1029:BM1034" si="587">I1029/60*10</f>
        <v>172</v>
      </c>
      <c r="BN1029" s="4632">
        <f t="shared" ref="BN1029:BN1034" si="588">I1029/60*9</f>
        <v>154.8</v>
      </c>
      <c r="BO1029" s="4382"/>
      <c r="BP1029" s="4382"/>
      <c r="BQ1029" s="4382"/>
      <c r="BR1029" s="4382"/>
      <c r="BS1029" s="4382"/>
      <c r="BT1029" s="4383"/>
      <c r="BU1029" s="4636"/>
      <c r="BV1029" s="4544">
        <f t="shared" ref="BV1029:BV1034" si="589">SUM(BH1029:BN1029)</f>
        <v>1032</v>
      </c>
      <c r="BW1029" s="4544">
        <f t="shared" si="568"/>
        <v>0</v>
      </c>
      <c r="BX1029" s="4544"/>
      <c r="BY1029" s="4544"/>
      <c r="BZ1029" s="4544"/>
      <c r="CA1029" s="4550"/>
      <c r="CB1029" s="4318"/>
      <c r="CC1029" s="4551"/>
      <c r="CD1029" s="4550"/>
      <c r="XCZ1029" s="4634"/>
      <c r="XDA1029" s="4634"/>
      <c r="XDB1029" s="4634"/>
      <c r="XDC1029" s="4634"/>
      <c r="XDD1029" s="4634"/>
      <c r="XDE1029" s="4634"/>
      <c r="XDF1029" s="4634"/>
      <c r="XDG1029" s="4634"/>
      <c r="XDH1029" s="4634"/>
      <c r="XDI1029" s="4634"/>
      <c r="XDJ1029" s="4634"/>
      <c r="XDK1029" s="4634"/>
      <c r="XDL1029" s="4634"/>
      <c r="XDM1029" s="4634"/>
      <c r="XDN1029" s="4634"/>
      <c r="XDO1029" s="4634"/>
      <c r="XDP1029" s="4634"/>
      <c r="XDQ1029" s="4634"/>
      <c r="XDR1029" s="4634"/>
      <c r="XDS1029" s="4634"/>
      <c r="XDT1029" s="4634"/>
      <c r="XDU1029" s="4634"/>
      <c r="XDV1029" s="4634"/>
      <c r="XDW1029" s="4634"/>
      <c r="XDX1029" s="4634"/>
      <c r="XDY1029" s="4634"/>
      <c r="XDZ1029" s="4634"/>
      <c r="XEA1029" s="4634"/>
      <c r="XEB1029" s="4634"/>
      <c r="XEC1029" s="4634"/>
      <c r="XED1029" s="4634"/>
      <c r="XEE1029" s="4634"/>
      <c r="XEF1029" s="4634"/>
      <c r="XEG1029" s="4634"/>
      <c r="XEH1029" s="4634"/>
      <c r="XEI1029" s="4634"/>
      <c r="XEJ1029" s="4634"/>
      <c r="XEK1029" s="4634"/>
      <c r="XEL1029" s="4634"/>
      <c r="XEM1029" s="4634"/>
      <c r="XEN1029" s="4634"/>
      <c r="XEO1029" s="4634"/>
      <c r="XEP1029" s="4634"/>
      <c r="XEQ1029" s="4634"/>
      <c r="XER1029" s="4634"/>
      <c r="XES1029" s="4634"/>
      <c r="XET1029" s="4634"/>
      <c r="XEU1029" s="4634"/>
      <c r="XEV1029" s="4634"/>
      <c r="XEW1029" s="4634"/>
      <c r="XEX1029" s="4634"/>
      <c r="XEY1029" s="4634"/>
      <c r="XEZ1029" s="4634"/>
      <c r="XFA1029" s="4634"/>
      <c r="XFB1029" s="4634"/>
      <c r="XFC1029" s="4634"/>
      <c r="XFD1029" s="4634"/>
    </row>
    <row r="1030" s="4318" customFormat="1" ht="50" customHeight="1" spans="1:82 16328:16384">
      <c r="A1030" s="4513">
        <v>46136</v>
      </c>
      <c r="B1030" s="4514" t="s">
        <v>5224</v>
      </c>
      <c r="C1030" s="905" t="s">
        <v>3428</v>
      </c>
      <c r="D1030" s="4515" t="s">
        <v>5895</v>
      </c>
      <c r="E1030" s="905">
        <v>5907192049</v>
      </c>
      <c r="F1030" s="4515" t="s">
        <v>5896</v>
      </c>
      <c r="G1030" s="905" t="s">
        <v>2577</v>
      </c>
      <c r="H1030" s="905" t="s">
        <v>2620</v>
      </c>
      <c r="I1030" s="906">
        <v>804</v>
      </c>
      <c r="J1030" s="906">
        <v>0</v>
      </c>
      <c r="K1030" s="906">
        <v>12</v>
      </c>
      <c r="L1030" s="906">
        <f t="shared" si="566"/>
        <v>67</v>
      </c>
      <c r="M1030" s="4516">
        <v>46181</v>
      </c>
      <c r="N1030" s="4542">
        <v>46177</v>
      </c>
      <c r="O1030" s="4637" t="s">
        <v>5897</v>
      </c>
      <c r="P1030" s="4527" t="s">
        <v>82</v>
      </c>
      <c r="Q1030" s="4156">
        <v>804</v>
      </c>
      <c r="R1030" s="4156">
        <f t="shared" si="567"/>
        <v>0</v>
      </c>
      <c r="S1030" s="4635" t="s">
        <v>2297</v>
      </c>
      <c r="T1030" s="4635" t="s">
        <v>321</v>
      </c>
      <c r="U1030" s="3625" t="s">
        <v>3739</v>
      </c>
      <c r="V1030" s="3739" t="s">
        <v>3725</v>
      </c>
      <c r="W1030" s="3739"/>
      <c r="X1030" s="3739" t="s">
        <v>3618</v>
      </c>
      <c r="Y1030" s="3739"/>
      <c r="Z1030" s="906"/>
      <c r="AA1030" s="3625" t="s">
        <v>5898</v>
      </c>
      <c r="AB1030" s="906" t="s">
        <v>1257</v>
      </c>
      <c r="AC1030" s="4629">
        <v>2.1905</v>
      </c>
      <c r="AD1030" s="906">
        <f t="shared" si="576"/>
        <v>1761.162</v>
      </c>
      <c r="AE1030" s="4148"/>
      <c r="AF1030" s="4630" t="s">
        <v>2604</v>
      </c>
      <c r="AG1030" s="4148" t="s">
        <v>416</v>
      </c>
      <c r="AH1030" s="906"/>
      <c r="AI1030" s="905"/>
      <c r="AJ1030" s="4528"/>
      <c r="AK1030" s="906"/>
      <c r="AL1030" s="906"/>
      <c r="AM1030" s="905">
        <f t="shared" si="579"/>
        <v>804</v>
      </c>
      <c r="AN1030" s="4382"/>
      <c r="AO1030" s="4382"/>
      <c r="AP1030" s="906">
        <f t="shared" si="577"/>
        <v>804</v>
      </c>
      <c r="AQ1030" s="4382"/>
      <c r="AR1030" s="4382"/>
      <c r="AS1030" s="4518">
        <f t="shared" si="580"/>
        <v>804</v>
      </c>
      <c r="AT1030" s="4382"/>
      <c r="AU1030" s="4382"/>
      <c r="AV1030" s="4382"/>
      <c r="AW1030" s="4518">
        <f t="shared" si="581"/>
        <v>134</v>
      </c>
      <c r="AX1030" s="4382"/>
      <c r="AY1030" s="4382"/>
      <c r="AZ1030" s="4382"/>
      <c r="BA1030" s="4382"/>
      <c r="BB1030" s="4382"/>
      <c r="BC1030" s="4382"/>
      <c r="BD1030" s="4382"/>
      <c r="BE1030" s="4382"/>
      <c r="BF1030" s="4382" t="s">
        <v>89</v>
      </c>
      <c r="BG1030" s="4382"/>
      <c r="BH1030" s="4518">
        <f t="shared" si="582"/>
        <v>134</v>
      </c>
      <c r="BI1030" s="4518">
        <f t="shared" si="583"/>
        <v>93.8</v>
      </c>
      <c r="BJ1030" s="4518">
        <f t="shared" si="584"/>
        <v>67</v>
      </c>
      <c r="BK1030" s="4518">
        <f t="shared" si="585"/>
        <v>93.8</v>
      </c>
      <c r="BL1030" s="4518">
        <f t="shared" si="586"/>
        <v>160.8</v>
      </c>
      <c r="BM1030" s="4631">
        <f t="shared" si="587"/>
        <v>134</v>
      </c>
      <c r="BN1030" s="4632">
        <f t="shared" si="588"/>
        <v>120.6</v>
      </c>
      <c r="BO1030" s="4382"/>
      <c r="BP1030" s="4382"/>
      <c r="BQ1030" s="4382"/>
      <c r="BR1030" s="4382"/>
      <c r="BS1030" s="4382"/>
      <c r="BT1030" s="4383"/>
      <c r="BU1030" s="4636"/>
      <c r="BV1030" s="4544">
        <f t="shared" si="589"/>
        <v>804</v>
      </c>
      <c r="BW1030" s="4544">
        <f t="shared" si="568"/>
        <v>0</v>
      </c>
      <c r="BX1030" s="4544"/>
      <c r="BY1030" s="4544"/>
      <c r="BZ1030" s="4544"/>
      <c r="CA1030" s="4550"/>
      <c r="CB1030" s="4318"/>
      <c r="CC1030" s="4551"/>
      <c r="CD1030" s="4550"/>
      <c r="XCZ1030" s="4634"/>
      <c r="XDA1030" s="4634"/>
      <c r="XDB1030" s="4634"/>
      <c r="XDC1030" s="4634"/>
      <c r="XDD1030" s="4634"/>
      <c r="XDE1030" s="4634"/>
      <c r="XDF1030" s="4634"/>
      <c r="XDG1030" s="4634"/>
      <c r="XDH1030" s="4634"/>
      <c r="XDI1030" s="4634"/>
      <c r="XDJ1030" s="4634"/>
      <c r="XDK1030" s="4634"/>
      <c r="XDL1030" s="4634"/>
      <c r="XDM1030" s="4634"/>
      <c r="XDN1030" s="4634"/>
      <c r="XDO1030" s="4634"/>
      <c r="XDP1030" s="4634"/>
      <c r="XDQ1030" s="4634"/>
      <c r="XDR1030" s="4634"/>
      <c r="XDS1030" s="4634"/>
      <c r="XDT1030" s="4634"/>
      <c r="XDU1030" s="4634"/>
      <c r="XDV1030" s="4634"/>
      <c r="XDW1030" s="4634"/>
      <c r="XDX1030" s="4634"/>
      <c r="XDY1030" s="4634"/>
      <c r="XDZ1030" s="4634"/>
      <c r="XEA1030" s="4634"/>
      <c r="XEB1030" s="4634"/>
      <c r="XEC1030" s="4634"/>
      <c r="XED1030" s="4634"/>
      <c r="XEE1030" s="4634"/>
      <c r="XEF1030" s="4634"/>
      <c r="XEG1030" s="4634"/>
      <c r="XEH1030" s="4634"/>
      <c r="XEI1030" s="4634"/>
      <c r="XEJ1030" s="4634"/>
      <c r="XEK1030" s="4634"/>
      <c r="XEL1030" s="4634"/>
      <c r="XEM1030" s="4634"/>
      <c r="XEN1030" s="4634"/>
      <c r="XEO1030" s="4634"/>
      <c r="XEP1030" s="4634"/>
      <c r="XEQ1030" s="4634"/>
      <c r="XER1030" s="4634"/>
      <c r="XES1030" s="4634"/>
      <c r="XET1030" s="4634"/>
      <c r="XEU1030" s="4634"/>
      <c r="XEV1030" s="4634"/>
      <c r="XEW1030" s="4634"/>
      <c r="XEX1030" s="4634"/>
      <c r="XEY1030" s="4634"/>
      <c r="XEZ1030" s="4634"/>
      <c r="XFA1030" s="4634"/>
      <c r="XFB1030" s="4634"/>
      <c r="XFC1030" s="4634"/>
      <c r="XFD1030" s="4634"/>
    </row>
    <row r="1031" s="4318" customFormat="1" ht="50" customHeight="1" spans="1:82 16328:16384">
      <c r="A1031" s="4513">
        <v>46136</v>
      </c>
      <c r="B1031" s="4514" t="s">
        <v>5231</v>
      </c>
      <c r="C1031" s="905" t="s">
        <v>1332</v>
      </c>
      <c r="D1031" s="4515" t="s">
        <v>5899</v>
      </c>
      <c r="E1031" s="905" t="s">
        <v>2434</v>
      </c>
      <c r="F1031" s="4515" t="s">
        <v>5900</v>
      </c>
      <c r="G1031" s="905" t="s">
        <v>2577</v>
      </c>
      <c r="H1031" s="905" t="s">
        <v>2620</v>
      </c>
      <c r="I1031" s="906">
        <v>1524</v>
      </c>
      <c r="J1031" s="906">
        <v>0</v>
      </c>
      <c r="K1031" s="906">
        <v>12</v>
      </c>
      <c r="L1031" s="906">
        <f t="shared" si="566"/>
        <v>127</v>
      </c>
      <c r="M1031" s="4516">
        <v>46181</v>
      </c>
      <c r="N1031" s="4542">
        <v>46177</v>
      </c>
      <c r="O1031" s="4129"/>
      <c r="P1031" s="4527" t="s">
        <v>82</v>
      </c>
      <c r="Q1031" s="4156">
        <v>1524</v>
      </c>
      <c r="R1031" s="4156">
        <f t="shared" si="567"/>
        <v>0</v>
      </c>
      <c r="S1031" s="4635" t="s">
        <v>2297</v>
      </c>
      <c r="T1031" s="4635" t="s">
        <v>321</v>
      </c>
      <c r="U1031" s="3625" t="s">
        <v>3739</v>
      </c>
      <c r="V1031" s="3739" t="s">
        <v>3725</v>
      </c>
      <c r="W1031" s="3739"/>
      <c r="X1031" s="3739" t="s">
        <v>3618</v>
      </c>
      <c r="Y1031" s="3739"/>
      <c r="Z1031" s="906"/>
      <c r="AA1031" s="3625" t="s">
        <v>5901</v>
      </c>
      <c r="AB1031" s="906" t="s">
        <v>1257</v>
      </c>
      <c r="AC1031" s="4629">
        <v>2.1905</v>
      </c>
      <c r="AD1031" s="906">
        <f t="shared" si="576"/>
        <v>3338.322</v>
      </c>
      <c r="AE1031" s="4148"/>
      <c r="AF1031" s="4630" t="s">
        <v>2604</v>
      </c>
      <c r="AG1031" s="4148" t="s">
        <v>416</v>
      </c>
      <c r="AH1031" s="906"/>
      <c r="AI1031" s="905"/>
      <c r="AJ1031" s="4528"/>
      <c r="AK1031" s="906"/>
      <c r="AL1031" s="906"/>
      <c r="AM1031" s="905">
        <f t="shared" si="579"/>
        <v>1524</v>
      </c>
      <c r="AN1031" s="4382"/>
      <c r="AO1031" s="4382"/>
      <c r="AP1031" s="906">
        <f t="shared" si="577"/>
        <v>1524</v>
      </c>
      <c r="AQ1031" s="4382"/>
      <c r="AR1031" s="4382"/>
      <c r="AS1031" s="4518">
        <f t="shared" si="580"/>
        <v>1524</v>
      </c>
      <c r="AT1031" s="4382"/>
      <c r="AU1031" s="4382"/>
      <c r="AV1031" s="4382"/>
      <c r="AW1031" s="4518">
        <f t="shared" si="581"/>
        <v>254</v>
      </c>
      <c r="AX1031" s="4382"/>
      <c r="AY1031" s="4382"/>
      <c r="AZ1031" s="4382"/>
      <c r="BA1031" s="4382"/>
      <c r="BB1031" s="4382"/>
      <c r="BC1031" s="4382"/>
      <c r="BD1031" s="4382"/>
      <c r="BE1031" s="4382"/>
      <c r="BF1031" s="4382" t="s">
        <v>89</v>
      </c>
      <c r="BG1031" s="4382"/>
      <c r="BH1031" s="4518">
        <f t="shared" si="582"/>
        <v>254</v>
      </c>
      <c r="BI1031" s="4518">
        <f t="shared" si="583"/>
        <v>177.8</v>
      </c>
      <c r="BJ1031" s="4518">
        <f t="shared" si="584"/>
        <v>127</v>
      </c>
      <c r="BK1031" s="4518">
        <f t="shared" si="585"/>
        <v>177.8</v>
      </c>
      <c r="BL1031" s="4518">
        <f t="shared" si="586"/>
        <v>304.8</v>
      </c>
      <c r="BM1031" s="4631">
        <f t="shared" si="587"/>
        <v>254</v>
      </c>
      <c r="BN1031" s="4632">
        <f t="shared" si="588"/>
        <v>228.6</v>
      </c>
      <c r="BO1031" s="4382"/>
      <c r="BP1031" s="4382"/>
      <c r="BQ1031" s="4382"/>
      <c r="BR1031" s="4382"/>
      <c r="BS1031" s="4382"/>
      <c r="BT1031" s="4383"/>
      <c r="BU1031" s="4636"/>
      <c r="BV1031" s="4544">
        <f t="shared" si="589"/>
        <v>1524</v>
      </c>
      <c r="BW1031" s="4544">
        <f t="shared" si="568"/>
        <v>0</v>
      </c>
      <c r="BX1031" s="4544"/>
      <c r="BY1031" s="4544"/>
      <c r="BZ1031" s="4544"/>
      <c r="CA1031" s="4550"/>
      <c r="CB1031" s="4318"/>
      <c r="CC1031" s="4551"/>
      <c r="CD1031" s="4550"/>
      <c r="XCZ1031" s="4634"/>
      <c r="XDA1031" s="4634"/>
      <c r="XDB1031" s="4634"/>
      <c r="XDC1031" s="4634"/>
      <c r="XDD1031" s="4634"/>
      <c r="XDE1031" s="4634"/>
      <c r="XDF1031" s="4634"/>
      <c r="XDG1031" s="4634"/>
      <c r="XDH1031" s="4634"/>
      <c r="XDI1031" s="4634"/>
      <c r="XDJ1031" s="4634"/>
      <c r="XDK1031" s="4634"/>
      <c r="XDL1031" s="4634"/>
      <c r="XDM1031" s="4634"/>
      <c r="XDN1031" s="4634"/>
      <c r="XDO1031" s="4634"/>
      <c r="XDP1031" s="4634"/>
      <c r="XDQ1031" s="4634"/>
      <c r="XDR1031" s="4634"/>
      <c r="XDS1031" s="4634"/>
      <c r="XDT1031" s="4634"/>
      <c r="XDU1031" s="4634"/>
      <c r="XDV1031" s="4634"/>
      <c r="XDW1031" s="4634"/>
      <c r="XDX1031" s="4634"/>
      <c r="XDY1031" s="4634"/>
      <c r="XDZ1031" s="4634"/>
      <c r="XEA1031" s="4634"/>
      <c r="XEB1031" s="4634"/>
      <c r="XEC1031" s="4634"/>
      <c r="XED1031" s="4634"/>
      <c r="XEE1031" s="4634"/>
      <c r="XEF1031" s="4634"/>
      <c r="XEG1031" s="4634"/>
      <c r="XEH1031" s="4634"/>
      <c r="XEI1031" s="4634"/>
      <c r="XEJ1031" s="4634"/>
      <c r="XEK1031" s="4634"/>
      <c r="XEL1031" s="4634"/>
      <c r="XEM1031" s="4634"/>
      <c r="XEN1031" s="4634"/>
      <c r="XEO1031" s="4634"/>
      <c r="XEP1031" s="4634"/>
      <c r="XEQ1031" s="4634"/>
      <c r="XER1031" s="4634"/>
      <c r="XES1031" s="4634"/>
      <c r="XET1031" s="4634"/>
      <c r="XEU1031" s="4634"/>
      <c r="XEV1031" s="4634"/>
      <c r="XEW1031" s="4634"/>
      <c r="XEX1031" s="4634"/>
      <c r="XEY1031" s="4634"/>
      <c r="XEZ1031" s="4634"/>
      <c r="XFA1031" s="4634"/>
      <c r="XFB1031" s="4634"/>
      <c r="XFC1031" s="4634"/>
      <c r="XFD1031" s="4634"/>
    </row>
    <row r="1032" s="4318" customFormat="1" ht="50" customHeight="1" spans="1:82 16328:16384">
      <c r="A1032" s="4513">
        <v>46150</v>
      </c>
      <c r="B1032" s="4514" t="s">
        <v>5902</v>
      </c>
      <c r="C1032" s="905" t="s">
        <v>3460</v>
      </c>
      <c r="D1032" s="4515" t="s">
        <v>5903</v>
      </c>
      <c r="E1032" s="905" t="s">
        <v>5904</v>
      </c>
      <c r="F1032" s="4515" t="s">
        <v>5905</v>
      </c>
      <c r="G1032" s="905" t="s">
        <v>2577</v>
      </c>
      <c r="H1032" s="905" t="s">
        <v>2620</v>
      </c>
      <c r="I1032" s="906">
        <v>348</v>
      </c>
      <c r="J1032" s="906">
        <v>0</v>
      </c>
      <c r="K1032" s="906">
        <v>12</v>
      </c>
      <c r="L1032" s="906">
        <f t="shared" si="566"/>
        <v>29</v>
      </c>
      <c r="M1032" s="4516">
        <v>46181</v>
      </c>
      <c r="N1032" s="4542">
        <v>46177</v>
      </c>
      <c r="O1032" s="4637" t="s">
        <v>5897</v>
      </c>
      <c r="P1032" s="4527" t="s">
        <v>82</v>
      </c>
      <c r="Q1032" s="4156">
        <v>348</v>
      </c>
      <c r="R1032" s="4156">
        <f t="shared" si="567"/>
        <v>0</v>
      </c>
      <c r="S1032" s="4628"/>
      <c r="T1032" s="4635" t="s">
        <v>321</v>
      </c>
      <c r="U1032" s="3625" t="s">
        <v>191</v>
      </c>
      <c r="V1032" s="3739" t="s">
        <v>3725</v>
      </c>
      <c r="W1032" s="3739"/>
      <c r="X1032" s="3739" t="s">
        <v>3618</v>
      </c>
      <c r="Y1032" s="3739"/>
      <c r="Z1032" s="906"/>
      <c r="AA1032" s="3625" t="s">
        <v>5906</v>
      </c>
      <c r="AB1032" s="906" t="s">
        <v>1257</v>
      </c>
      <c r="AC1032" s="4629">
        <v>2.1436</v>
      </c>
      <c r="AD1032" s="906">
        <f t="shared" si="576"/>
        <v>745.9728</v>
      </c>
      <c r="AE1032" s="4148"/>
      <c r="AF1032" s="4630" t="s">
        <v>2604</v>
      </c>
      <c r="AG1032" s="3625" t="s">
        <v>416</v>
      </c>
      <c r="AH1032" s="906"/>
      <c r="AI1032" s="905"/>
      <c r="AJ1032" s="4528"/>
      <c r="AK1032" s="906"/>
      <c r="AL1032" s="906"/>
      <c r="AM1032" s="905">
        <f t="shared" si="579"/>
        <v>348</v>
      </c>
      <c r="AN1032" s="4382"/>
      <c r="AO1032" s="4382"/>
      <c r="AP1032" s="906">
        <f t="shared" si="577"/>
        <v>348</v>
      </c>
      <c r="AQ1032" s="4382"/>
      <c r="AR1032" s="4518"/>
      <c r="AS1032" s="4382">
        <f t="shared" si="580"/>
        <v>348</v>
      </c>
      <c r="AT1032" s="4382"/>
      <c r="AU1032" s="4518"/>
      <c r="AV1032" s="4382"/>
      <c r="AW1032" s="4382">
        <f t="shared" si="581"/>
        <v>58</v>
      </c>
      <c r="AX1032" s="4382"/>
      <c r="AY1032" s="4382"/>
      <c r="AZ1032" s="4382"/>
      <c r="BA1032" s="4382"/>
      <c r="BB1032" s="4382"/>
      <c r="BC1032" s="4382"/>
      <c r="BD1032" s="4382"/>
      <c r="BE1032" s="4382"/>
      <c r="BF1032" s="4382" t="s">
        <v>89</v>
      </c>
      <c r="BG1032" s="4518"/>
      <c r="BH1032" s="4518">
        <f t="shared" si="582"/>
        <v>58</v>
      </c>
      <c r="BI1032" s="4518">
        <f t="shared" si="583"/>
        <v>40.6</v>
      </c>
      <c r="BJ1032" s="4518">
        <f t="shared" si="584"/>
        <v>29</v>
      </c>
      <c r="BK1032" s="4631">
        <f t="shared" si="585"/>
        <v>40.6</v>
      </c>
      <c r="BL1032" s="4632">
        <f t="shared" si="586"/>
        <v>69.6</v>
      </c>
      <c r="BM1032" s="4544">
        <f t="shared" si="587"/>
        <v>58</v>
      </c>
      <c r="BN1032" s="4638">
        <f t="shared" si="588"/>
        <v>52.2</v>
      </c>
      <c r="BO1032" s="4544"/>
      <c r="BP1032" s="4544"/>
      <c r="BQ1032" s="4544"/>
      <c r="BR1032" s="4550"/>
      <c r="BS1032" s="4639"/>
      <c r="BT1032" s="4551"/>
      <c r="BU1032" s="4550"/>
      <c r="BV1032" s="4544">
        <f t="shared" si="589"/>
        <v>348</v>
      </c>
      <c r="BW1032" s="4544">
        <f t="shared" si="568"/>
        <v>0</v>
      </c>
      <c r="BX1032" s="4640"/>
      <c r="BY1032" s="4409"/>
      <c r="BZ1032" s="4409"/>
      <c r="CA1032" s="4550"/>
      <c r="CB1032" s="4318"/>
      <c r="CC1032" s="4551"/>
      <c r="CD1032" s="4550"/>
      <c r="XCZ1032" s="4634"/>
      <c r="XDA1032" s="4634"/>
      <c r="XDB1032" s="4634"/>
      <c r="XDC1032" s="4634"/>
      <c r="XDD1032" s="4634"/>
      <c r="XDE1032" s="4634"/>
      <c r="XDF1032" s="4634"/>
      <c r="XDG1032" s="4634"/>
      <c r="XDH1032" s="4634"/>
      <c r="XDI1032" s="4634"/>
      <c r="XDJ1032" s="4634"/>
      <c r="XDK1032" s="4634"/>
      <c r="XDL1032" s="4634"/>
      <c r="XDM1032" s="4634"/>
      <c r="XDN1032" s="4634"/>
      <c r="XDO1032" s="4634"/>
      <c r="XDP1032" s="4634"/>
      <c r="XDQ1032" s="4634"/>
      <c r="XDR1032" s="4634"/>
      <c r="XDS1032" s="4634"/>
      <c r="XDT1032" s="4634"/>
      <c r="XDU1032" s="4634"/>
      <c r="XDV1032" s="4634"/>
      <c r="XDW1032" s="4634"/>
      <c r="XDX1032" s="4634"/>
      <c r="XDY1032" s="4634"/>
      <c r="XDZ1032" s="4634"/>
      <c r="XEA1032" s="4634"/>
      <c r="XEB1032" s="4634"/>
      <c r="XEC1032" s="4634"/>
      <c r="XED1032" s="4634"/>
      <c r="XEE1032" s="4634"/>
      <c r="XEF1032" s="4634"/>
      <c r="XEG1032" s="4634"/>
      <c r="XEH1032" s="4634"/>
      <c r="XEI1032" s="4634"/>
      <c r="XEJ1032" s="4634"/>
      <c r="XEK1032" s="4634"/>
      <c r="XEL1032" s="4634"/>
      <c r="XEM1032" s="4634"/>
      <c r="XEN1032" s="4634"/>
      <c r="XEO1032" s="4634"/>
      <c r="XEP1032" s="4634"/>
      <c r="XEQ1032" s="4634"/>
      <c r="XER1032" s="4634"/>
      <c r="XES1032" s="4634"/>
      <c r="XET1032" s="4634"/>
      <c r="XEU1032" s="4634"/>
      <c r="XEV1032" s="4513"/>
      <c r="XEW1032" s="4514"/>
      <c r="XEX1032" s="905"/>
      <c r="XEY1032" s="4515"/>
      <c r="XEZ1032" s="905"/>
      <c r="XFA1032" s="4515"/>
      <c r="XFB1032" s="905"/>
      <c r="XFC1032" s="905"/>
      <c r="XFD1032" s="906"/>
    </row>
    <row r="1033" s="4318" customFormat="1" ht="50" customHeight="1" spans="1:82 16328:16384">
      <c r="A1033" s="4513">
        <v>46137</v>
      </c>
      <c r="B1033" s="4514" t="s">
        <v>5907</v>
      </c>
      <c r="C1033" s="905" t="s">
        <v>738</v>
      </c>
      <c r="D1033" s="4515" t="s">
        <v>5908</v>
      </c>
      <c r="E1033" s="905" t="s">
        <v>5909</v>
      </c>
      <c r="F1033" s="4515" t="s">
        <v>5910</v>
      </c>
      <c r="G1033" s="905" t="s">
        <v>2577</v>
      </c>
      <c r="H1033" s="905" t="s">
        <v>2620</v>
      </c>
      <c r="I1033" s="906">
        <v>480</v>
      </c>
      <c r="J1033" s="906">
        <v>0</v>
      </c>
      <c r="K1033" s="906">
        <v>12</v>
      </c>
      <c r="L1033" s="906">
        <f t="shared" si="566"/>
        <v>40</v>
      </c>
      <c r="M1033" s="4516">
        <v>46185</v>
      </c>
      <c r="N1033" s="4542">
        <v>46181</v>
      </c>
      <c r="O1033" s="4129"/>
      <c r="P1033" s="4527" t="s">
        <v>82</v>
      </c>
      <c r="Q1033" s="4156">
        <f>468+12</f>
        <v>480</v>
      </c>
      <c r="R1033" s="4156">
        <f t="shared" si="567"/>
        <v>0</v>
      </c>
      <c r="S1033" s="4635" t="s">
        <v>2297</v>
      </c>
      <c r="T1033" s="4635" t="s">
        <v>321</v>
      </c>
      <c r="U1033" s="3625" t="s">
        <v>3702</v>
      </c>
      <c r="V1033" s="3739" t="s">
        <v>3909</v>
      </c>
      <c r="W1033" s="3739"/>
      <c r="X1033" s="3739" t="s">
        <v>5911</v>
      </c>
      <c r="Y1033" s="3739"/>
      <c r="Z1033" s="906"/>
      <c r="AA1033" s="3625" t="s">
        <v>5912</v>
      </c>
      <c r="AB1033" s="906" t="s">
        <v>1257</v>
      </c>
      <c r="AC1033" s="4629">
        <v>2.1953</v>
      </c>
      <c r="AD1033" s="906">
        <f t="shared" si="576"/>
        <v>1053.744</v>
      </c>
      <c r="AE1033" s="4148"/>
      <c r="AF1033" s="4630" t="s">
        <v>2604</v>
      </c>
      <c r="AG1033" s="4148" t="s">
        <v>416</v>
      </c>
      <c r="AH1033" s="906"/>
      <c r="AI1033" s="905"/>
      <c r="AJ1033" s="4528"/>
      <c r="AK1033" s="906"/>
      <c r="AL1033" s="906"/>
      <c r="AM1033" s="905">
        <f t="shared" si="579"/>
        <v>480</v>
      </c>
      <c r="AN1033" s="4382"/>
      <c r="AO1033" s="4382"/>
      <c r="AP1033" s="906">
        <f t="shared" si="577"/>
        <v>480</v>
      </c>
      <c r="AQ1033" s="4382"/>
      <c r="AR1033" s="4382"/>
      <c r="AS1033" s="4518">
        <f t="shared" si="580"/>
        <v>480</v>
      </c>
      <c r="AT1033" s="4382"/>
      <c r="AU1033" s="4382"/>
      <c r="AV1033" s="4382"/>
      <c r="AW1033" s="4518">
        <f t="shared" si="581"/>
        <v>80</v>
      </c>
      <c r="AX1033" s="4382"/>
      <c r="AY1033" s="4382"/>
      <c r="AZ1033" s="4382"/>
      <c r="BA1033" s="4382"/>
      <c r="BB1033" s="4382"/>
      <c r="BC1033" s="4382"/>
      <c r="BD1033" s="4382"/>
      <c r="BE1033" s="4382"/>
      <c r="BF1033" s="4382" t="s">
        <v>89</v>
      </c>
      <c r="BG1033" s="4382"/>
      <c r="BH1033" s="4518">
        <f t="shared" si="582"/>
        <v>80</v>
      </c>
      <c r="BI1033" s="4518">
        <f t="shared" si="583"/>
        <v>56</v>
      </c>
      <c r="BJ1033" s="4518">
        <f t="shared" si="584"/>
        <v>40</v>
      </c>
      <c r="BK1033" s="4518">
        <f t="shared" si="585"/>
        <v>56</v>
      </c>
      <c r="BL1033" s="4518">
        <f t="shared" si="586"/>
        <v>96</v>
      </c>
      <c r="BM1033" s="4631">
        <f t="shared" si="587"/>
        <v>80</v>
      </c>
      <c r="BN1033" s="4632">
        <f t="shared" si="588"/>
        <v>72</v>
      </c>
      <c r="BO1033" s="4382"/>
      <c r="BP1033" s="4382"/>
      <c r="BQ1033" s="4382"/>
      <c r="BR1033" s="4382"/>
      <c r="BS1033" s="4382"/>
      <c r="BT1033" s="4383"/>
      <c r="BU1033" s="4636"/>
      <c r="BV1033" s="4544">
        <f t="shared" si="589"/>
        <v>480</v>
      </c>
      <c r="BW1033" s="4544">
        <f t="shared" si="568"/>
        <v>0</v>
      </c>
      <c r="BX1033" s="4544"/>
      <c r="BY1033" s="4544"/>
      <c r="BZ1033" s="4544"/>
      <c r="CA1033" s="4550"/>
      <c r="CB1033" s="4318"/>
      <c r="CC1033" s="4551"/>
      <c r="CD1033" s="4550"/>
      <c r="XCZ1033" s="4634"/>
      <c r="XDA1033" s="4634"/>
      <c r="XDB1033" s="4634"/>
      <c r="XDC1033" s="4634"/>
      <c r="XDD1033" s="4634"/>
      <c r="XDE1033" s="4634"/>
      <c r="XDF1033" s="4634"/>
      <c r="XDG1033" s="4634"/>
      <c r="XDH1033" s="4634"/>
      <c r="XDI1033" s="4634"/>
      <c r="XDJ1033" s="4634"/>
      <c r="XDK1033" s="4634"/>
      <c r="XDL1033" s="4634"/>
      <c r="XDM1033" s="4634"/>
      <c r="XDN1033" s="4634"/>
      <c r="XDO1033" s="4634"/>
      <c r="XDP1033" s="4634"/>
      <c r="XDQ1033" s="4634"/>
      <c r="XDR1033" s="4634"/>
      <c r="XDS1033" s="4634"/>
      <c r="XDT1033" s="4634"/>
      <c r="XDU1033" s="4634"/>
      <c r="XDV1033" s="4634"/>
      <c r="XDW1033" s="4634"/>
      <c r="XDX1033" s="4634"/>
      <c r="XDY1033" s="4634"/>
      <c r="XDZ1033" s="4634"/>
      <c r="XEA1033" s="4634"/>
      <c r="XEB1033" s="4634"/>
      <c r="XEC1033" s="4634"/>
      <c r="XED1033" s="4634"/>
      <c r="XEE1033" s="4634"/>
      <c r="XEF1033" s="4634"/>
      <c r="XEG1033" s="4634"/>
      <c r="XEH1033" s="4634"/>
      <c r="XEI1033" s="4634"/>
      <c r="XEJ1033" s="4634"/>
      <c r="XEK1033" s="4634"/>
      <c r="XEL1033" s="4634"/>
      <c r="XEM1033" s="4634"/>
      <c r="XEN1033" s="4634"/>
      <c r="XEO1033" s="4634"/>
      <c r="XEP1033" s="4634"/>
      <c r="XEQ1033" s="4634"/>
      <c r="XER1033" s="4634"/>
      <c r="XES1033" s="4634"/>
      <c r="XET1033" s="4634"/>
      <c r="XEU1033" s="4634"/>
      <c r="XEV1033" s="4634"/>
      <c r="XEW1033" s="4634"/>
      <c r="XEX1033" s="4634"/>
      <c r="XEY1033" s="4634"/>
      <c r="XEZ1033" s="4634"/>
      <c r="XFA1033" s="4634"/>
      <c r="XFB1033" s="4634"/>
      <c r="XFC1033" s="4634"/>
      <c r="XFD1033" s="4634"/>
    </row>
    <row r="1034" s="4316" customFormat="1" ht="50" customHeight="1" spans="1:82 16328:16384">
      <c r="A1034" s="4500">
        <v>46140</v>
      </c>
      <c r="B1034" s="4501" t="s">
        <v>5913</v>
      </c>
      <c r="C1034" s="3708" t="s">
        <v>524</v>
      </c>
      <c r="D1034" s="4502">
        <v>4500204440</v>
      </c>
      <c r="E1034" s="3708"/>
      <c r="F1034" s="4502" t="s">
        <v>5914</v>
      </c>
      <c r="G1034" s="3708" t="s">
        <v>2577</v>
      </c>
      <c r="H1034" s="3708" t="s">
        <v>2620</v>
      </c>
      <c r="I1034" s="4154">
        <v>120</v>
      </c>
      <c r="J1034" s="4154">
        <v>0</v>
      </c>
      <c r="K1034" s="4154">
        <v>12</v>
      </c>
      <c r="L1034" s="4154">
        <f t="shared" si="566"/>
        <v>10</v>
      </c>
      <c r="M1034" s="4503">
        <v>46188</v>
      </c>
      <c r="N1034" s="4553">
        <v>46185</v>
      </c>
      <c r="O1034" s="4117"/>
      <c r="P1034" s="4527" t="s">
        <v>82</v>
      </c>
      <c r="Q1034" s="4157">
        <v>120</v>
      </c>
      <c r="R1034" s="4157">
        <f t="shared" si="567"/>
        <v>0</v>
      </c>
      <c r="S1034" s="4641" t="s">
        <v>2297</v>
      </c>
      <c r="T1034" s="4641" t="s">
        <v>321</v>
      </c>
      <c r="U1034" s="3726"/>
      <c r="V1034" s="3711" t="s">
        <v>229</v>
      </c>
      <c r="W1034" s="3711"/>
      <c r="X1034" s="3711" t="s">
        <v>5915</v>
      </c>
      <c r="Y1034" s="3711"/>
      <c r="Z1034" s="4154"/>
      <c r="AA1034" s="3680" t="s">
        <v>5916</v>
      </c>
      <c r="AB1034" s="4154" t="s">
        <v>3805</v>
      </c>
      <c r="AC1034" s="4616">
        <v>2.1953</v>
      </c>
      <c r="AD1034" s="4154">
        <f t="shared" si="576"/>
        <v>263.436</v>
      </c>
      <c r="AE1034" s="3726"/>
      <c r="AF1034" s="4582" t="s">
        <v>2604</v>
      </c>
      <c r="AG1034" s="3680" t="s">
        <v>416</v>
      </c>
      <c r="AH1034" s="4154"/>
      <c r="AI1034" s="3708"/>
      <c r="AJ1034" s="4575"/>
      <c r="AK1034" s="4154"/>
      <c r="AL1034" s="4154"/>
      <c r="AM1034" s="3708">
        <f t="shared" si="579"/>
        <v>120</v>
      </c>
      <c r="AN1034" s="1048"/>
      <c r="AO1034" s="1048"/>
      <c r="AP1034" s="4154">
        <f t="shared" si="577"/>
        <v>120</v>
      </c>
      <c r="AQ1034" s="1048"/>
      <c r="AR1034" s="4510"/>
      <c r="AS1034" s="1048">
        <f t="shared" si="580"/>
        <v>120</v>
      </c>
      <c r="AT1034" s="1048"/>
      <c r="AU1034" s="4510"/>
      <c r="AV1034" s="1048"/>
      <c r="AW1034" s="1048">
        <f t="shared" si="581"/>
        <v>20</v>
      </c>
      <c r="AX1034" s="1048"/>
      <c r="AY1034" s="1048"/>
      <c r="AZ1034" s="1048"/>
      <c r="BA1034" s="1048"/>
      <c r="BB1034" s="1048"/>
      <c r="BC1034" s="1048"/>
      <c r="BD1034" s="1048"/>
      <c r="BE1034" s="1048"/>
      <c r="BF1034" s="1048" t="s">
        <v>89</v>
      </c>
      <c r="BG1034" s="4510"/>
      <c r="BH1034" s="4510">
        <f t="shared" si="582"/>
        <v>20</v>
      </c>
      <c r="BI1034" s="4510">
        <f t="shared" si="583"/>
        <v>14</v>
      </c>
      <c r="BJ1034" s="4510">
        <f t="shared" si="584"/>
        <v>10</v>
      </c>
      <c r="BK1034" s="4586">
        <f t="shared" si="585"/>
        <v>14</v>
      </c>
      <c r="BL1034" s="4587">
        <f t="shared" si="586"/>
        <v>24</v>
      </c>
      <c r="BM1034" s="4160">
        <f t="shared" si="587"/>
        <v>20</v>
      </c>
      <c r="BN1034" s="4160">
        <f t="shared" si="588"/>
        <v>18</v>
      </c>
      <c r="BO1034" s="4619"/>
      <c r="BP1034" s="4619"/>
      <c r="BQ1034" s="4619"/>
      <c r="BR1034" s="4570"/>
      <c r="BS1034" s="4573"/>
      <c r="BT1034" s="4572"/>
      <c r="BU1034" s="4570"/>
      <c r="BV1034" s="4160">
        <f t="shared" si="589"/>
        <v>120</v>
      </c>
      <c r="BW1034" s="4160">
        <f t="shared" si="568"/>
        <v>0</v>
      </c>
      <c r="BX1034" s="4323"/>
      <c r="BY1034" s="4323"/>
      <c r="BZ1034" s="4323"/>
      <c r="CA1034" s="4511"/>
      <c r="CB1034" s="4316"/>
      <c r="CC1034" s="4512"/>
      <c r="CD1034" s="4511"/>
      <c r="XCZ1034" s="4618"/>
      <c r="XDA1034" s="4618"/>
      <c r="XDB1034" s="4618"/>
      <c r="XDC1034" s="4618"/>
      <c r="XDD1034" s="4618"/>
      <c r="XDE1034" s="4618"/>
      <c r="XDF1034" s="4618"/>
      <c r="XDG1034" s="4618"/>
      <c r="XDH1034" s="4618"/>
      <c r="XDI1034" s="4618"/>
      <c r="XDJ1034" s="4618"/>
      <c r="XDK1034" s="4618"/>
      <c r="XDL1034" s="4618"/>
      <c r="XDM1034" s="4618"/>
      <c r="XDN1034" s="4618"/>
      <c r="XDO1034" s="4618"/>
      <c r="XDP1034" s="4618"/>
      <c r="XDQ1034" s="4618"/>
      <c r="XDR1034" s="4618"/>
      <c r="XDS1034" s="4618"/>
      <c r="XDT1034" s="4618"/>
      <c r="XDU1034" s="4618"/>
      <c r="XDV1034" s="4618"/>
      <c r="XDW1034" s="4618"/>
      <c r="XDX1034" s="4618"/>
      <c r="XDY1034" s="4618"/>
      <c r="XDZ1034" s="4618"/>
      <c r="XEA1034" s="4618"/>
      <c r="XEB1034" s="4618"/>
      <c r="XEC1034" s="4618"/>
      <c r="XED1034" s="4618"/>
      <c r="XEE1034" s="4618"/>
      <c r="XEF1034" s="4618"/>
      <c r="XEG1034" s="4618"/>
      <c r="XEH1034" s="4618"/>
      <c r="XEI1034" s="4618"/>
      <c r="XEJ1034" s="4618"/>
      <c r="XEK1034" s="4618"/>
      <c r="XEL1034" s="4618"/>
      <c r="XEM1034" s="4618"/>
      <c r="XEN1034" s="4618"/>
      <c r="XEO1034" s="4618"/>
      <c r="XEP1034" s="4618"/>
      <c r="XEQ1034" s="4618"/>
      <c r="XER1034" s="4618"/>
      <c r="XES1034" s="4618"/>
      <c r="XET1034" s="4618"/>
      <c r="XEU1034" s="4618"/>
      <c r="XEV1034" s="4500"/>
      <c r="XEW1034" s="4501"/>
      <c r="XEX1034" s="3708"/>
      <c r="XEY1034" s="4502"/>
      <c r="XEZ1034" s="3708"/>
      <c r="XFA1034" s="4502"/>
      <c r="XFB1034" s="3708"/>
      <c r="XFC1034" s="3708"/>
      <c r="XFD1034" s="4154"/>
    </row>
    <row r="1035" s="4316" customFormat="1" ht="50" customHeight="1" spans="1:82 16328:16384">
      <c r="A1035" s="4500">
        <v>46156</v>
      </c>
      <c r="B1035" s="4501" t="s">
        <v>5030</v>
      </c>
      <c r="C1035" s="3708" t="s">
        <v>341</v>
      </c>
      <c r="D1035" s="4502" t="s">
        <v>5917</v>
      </c>
      <c r="E1035" s="3708" t="s">
        <v>5918</v>
      </c>
      <c r="F1035" s="4502" t="s">
        <v>5919</v>
      </c>
      <c r="G1035" s="3708" t="s">
        <v>5920</v>
      </c>
      <c r="H1035" s="3708" t="s">
        <v>3069</v>
      </c>
      <c r="I1035" s="4154">
        <v>1728</v>
      </c>
      <c r="J1035" s="4154">
        <v>0</v>
      </c>
      <c r="K1035" s="4154">
        <v>288</v>
      </c>
      <c r="L1035" s="4154">
        <f t="shared" si="566"/>
        <v>6</v>
      </c>
      <c r="M1035" s="4503">
        <v>46188</v>
      </c>
      <c r="N1035" s="4553">
        <v>46184</v>
      </c>
      <c r="O1035" s="4117"/>
      <c r="P1035" s="4527" t="s">
        <v>82</v>
      </c>
      <c r="Q1035" s="4157">
        <v>1728</v>
      </c>
      <c r="R1035" s="4157">
        <f t="shared" si="567"/>
        <v>0</v>
      </c>
      <c r="S1035" s="4173"/>
      <c r="T1035" s="4642" t="s">
        <v>321</v>
      </c>
      <c r="U1035" s="3680" t="s">
        <v>3908</v>
      </c>
      <c r="V1035" s="3711" t="s">
        <v>3978</v>
      </c>
      <c r="W1035" s="3711"/>
      <c r="X1035" s="3711" t="s">
        <v>98</v>
      </c>
      <c r="Y1035" s="3711"/>
      <c r="Z1035" s="4154"/>
      <c r="AA1035" s="3680" t="s">
        <v>5921</v>
      </c>
      <c r="AB1035" s="4154" t="s">
        <v>5106</v>
      </c>
      <c r="AC1035" s="4154">
        <v>651.9755</v>
      </c>
      <c r="AD1035" s="4154">
        <f>AC1035*L1035</f>
        <v>3911.853</v>
      </c>
      <c r="AE1035" s="3726"/>
      <c r="AF1035" s="4582" t="s">
        <v>5920</v>
      </c>
      <c r="AG1035" s="3680" t="s">
        <v>416</v>
      </c>
      <c r="AH1035" s="3708"/>
      <c r="AI1035" s="4154"/>
      <c r="AJ1035" s="4154">
        <f>I1035</f>
        <v>1728</v>
      </c>
      <c r="AK1035" s="3708"/>
      <c r="AL1035" s="3708"/>
      <c r="AM1035" s="3708"/>
      <c r="AN1035" s="4154"/>
      <c r="AO1035" s="4154"/>
      <c r="AP1035" s="4154">
        <f t="shared" si="577"/>
        <v>1728</v>
      </c>
      <c r="AQ1035" s="1048"/>
      <c r="AR1035" s="1048"/>
      <c r="AS1035" s="1048">
        <f t="shared" si="580"/>
        <v>1728</v>
      </c>
      <c r="AT1035" s="1048"/>
      <c r="AU1035" s="1048"/>
      <c r="AV1035" s="1048"/>
      <c r="AW1035" s="1048"/>
      <c r="AX1035" s="1048"/>
      <c r="AY1035" s="4510"/>
      <c r="AZ1035" s="1048"/>
      <c r="BA1035" s="1048">
        <f>I1035/4</f>
        <v>432</v>
      </c>
      <c r="BB1035" s="1048"/>
      <c r="BC1035" s="1048"/>
      <c r="BD1035" s="1048"/>
      <c r="BE1035" s="1048"/>
      <c r="BF1035" s="1048" t="s">
        <v>89</v>
      </c>
      <c r="BG1035" s="1048"/>
      <c r="BH1035" s="1048">
        <f t="shared" si="582"/>
        <v>288</v>
      </c>
      <c r="BI1035" s="1048">
        <f>I1035/60*10</f>
        <v>288</v>
      </c>
      <c r="BJ1035" s="1048">
        <f>I1035/60*10</f>
        <v>288</v>
      </c>
      <c r="BK1035" s="1048">
        <f>I1035/60*10</f>
        <v>288</v>
      </c>
      <c r="BL1035" s="1048">
        <f>I1035/60*10</f>
        <v>288</v>
      </c>
      <c r="BM1035" s="4505">
        <f>I1035/60*8</f>
        <v>230.4</v>
      </c>
      <c r="BN1035" s="4506">
        <f>I1035/60*2</f>
        <v>57.6</v>
      </c>
      <c r="BO1035" s="4569"/>
      <c r="BP1035" s="4569"/>
      <c r="BQ1035" s="4569"/>
      <c r="BR1035" s="4565"/>
      <c r="BS1035" s="4565"/>
      <c r="BT1035" s="4565"/>
      <c r="BU1035" s="4565"/>
      <c r="BV1035" s="4555">
        <f>SUM(BH1035:BU1035)</f>
        <v>1728</v>
      </c>
      <c r="BW1035" s="4555">
        <f t="shared" si="568"/>
        <v>0</v>
      </c>
      <c r="BX1035" s="4555"/>
      <c r="BY1035" s="4316"/>
      <c r="BZ1035" s="4323"/>
      <c r="CA1035" s="4511"/>
      <c r="CB1035" s="4316"/>
      <c r="CC1035" s="4512"/>
      <c r="CD1035" s="4511"/>
      <c r="XCZ1035" s="4618"/>
      <c r="XDA1035" s="4618"/>
      <c r="XDB1035" s="4618"/>
      <c r="XDC1035" s="4618"/>
      <c r="XDD1035" s="4618"/>
      <c r="XDE1035" s="4618"/>
      <c r="XDF1035" s="4618"/>
      <c r="XDG1035" s="4618"/>
      <c r="XDH1035" s="4618"/>
      <c r="XDI1035" s="4618"/>
      <c r="XDJ1035" s="4618"/>
      <c r="XDK1035" s="4618"/>
      <c r="XDL1035" s="4618"/>
      <c r="XDM1035" s="4618"/>
      <c r="XDN1035" s="4618"/>
      <c r="XDO1035" s="4618"/>
      <c r="XDP1035" s="4618"/>
      <c r="XDQ1035" s="4618"/>
      <c r="XDR1035" s="4618"/>
      <c r="XDS1035" s="4618"/>
      <c r="XDT1035" s="4618"/>
      <c r="XDU1035" s="4618"/>
      <c r="XDV1035" s="4618"/>
      <c r="XDW1035" s="4618"/>
      <c r="XDX1035" s="4618"/>
      <c r="XDY1035" s="4618"/>
      <c r="XDZ1035" s="4618"/>
      <c r="XEA1035" s="4618"/>
      <c r="XEB1035" s="4618"/>
      <c r="XEC1035" s="4618"/>
      <c r="XED1035" s="4618"/>
      <c r="XEE1035" s="4618"/>
      <c r="XEF1035" s="4618"/>
      <c r="XEG1035" s="4618"/>
      <c r="XEH1035" s="4618"/>
      <c r="XEI1035" s="4618"/>
      <c r="XEJ1035" s="4618"/>
      <c r="XEK1035" s="4618"/>
      <c r="XEL1035" s="4618"/>
      <c r="XEM1035" s="4618"/>
      <c r="XEN1035" s="4618"/>
      <c r="XEO1035" s="4618"/>
      <c r="XEP1035" s="4618"/>
      <c r="XEQ1035" s="4618"/>
      <c r="XER1035" s="4618"/>
      <c r="XES1035" s="4618"/>
      <c r="XET1035" s="4618"/>
      <c r="XEU1035" s="4618"/>
      <c r="XEV1035" s="4500"/>
      <c r="XEW1035" s="4501"/>
      <c r="XEX1035" s="3708"/>
      <c r="XEY1035" s="4502"/>
      <c r="XEZ1035" s="3708"/>
      <c r="XFA1035" s="4502"/>
      <c r="XFB1035" s="3708"/>
      <c r="XFC1035" s="3708"/>
      <c r="XFD1035" s="4154"/>
    </row>
    <row r="1036" s="4316" customFormat="1" ht="50" customHeight="1" spans="1:82 16328:16384">
      <c r="A1036" s="4500">
        <v>46129</v>
      </c>
      <c r="B1036" s="4501" t="s">
        <v>5388</v>
      </c>
      <c r="C1036" s="4643" t="s">
        <v>3772</v>
      </c>
      <c r="D1036" s="4502" t="s">
        <v>5922</v>
      </c>
      <c r="E1036" s="3708" t="s">
        <v>2434</v>
      </c>
      <c r="F1036" s="4502" t="s">
        <v>5923</v>
      </c>
      <c r="G1036" s="3708" t="s">
        <v>2577</v>
      </c>
      <c r="H1036" s="3708" t="s">
        <v>2620</v>
      </c>
      <c r="I1036" s="4154">
        <v>1800</v>
      </c>
      <c r="J1036" s="4154">
        <v>0</v>
      </c>
      <c r="K1036" s="4154">
        <v>12</v>
      </c>
      <c r="L1036" s="4154">
        <f t="shared" si="566"/>
        <v>150</v>
      </c>
      <c r="M1036" s="4503">
        <v>46178</v>
      </c>
      <c r="N1036" s="4553">
        <v>46195</v>
      </c>
      <c r="O1036" s="4117" t="s">
        <v>5924</v>
      </c>
      <c r="P1036" s="4527" t="s">
        <v>82</v>
      </c>
      <c r="Q1036" s="4157">
        <v>1800</v>
      </c>
      <c r="R1036" s="4157">
        <f t="shared" si="567"/>
        <v>0</v>
      </c>
      <c r="S1036" s="4641" t="s">
        <v>2297</v>
      </c>
      <c r="T1036" s="4641" t="s">
        <v>321</v>
      </c>
      <c r="U1036" s="3726"/>
      <c r="V1036" s="3711" t="s">
        <v>5852</v>
      </c>
      <c r="W1036" s="3711"/>
      <c r="X1036" s="3711" t="s">
        <v>5925</v>
      </c>
      <c r="Y1036" s="3711"/>
      <c r="Z1036" s="4154"/>
      <c r="AA1036" s="3680" t="s">
        <v>5926</v>
      </c>
      <c r="AB1036" s="4154" t="s">
        <v>448</v>
      </c>
      <c r="AC1036" s="4616">
        <v>2.1905</v>
      </c>
      <c r="AD1036" s="4154">
        <f t="shared" ref="AD1036:AD1053" si="590">AC1036*I1036</f>
        <v>3942.9</v>
      </c>
      <c r="AE1036" s="3726"/>
      <c r="AF1036" s="3708" t="s">
        <v>5393</v>
      </c>
      <c r="AG1036" s="3726" t="s">
        <v>416</v>
      </c>
      <c r="AH1036" s="4154"/>
      <c r="AI1036" s="3708"/>
      <c r="AJ1036" s="4575"/>
      <c r="AK1036" s="4154"/>
      <c r="AL1036" s="4154"/>
      <c r="AM1036" s="3708"/>
      <c r="AN1036" s="1048">
        <f>I1036</f>
        <v>1800</v>
      </c>
      <c r="AO1036" s="1048"/>
      <c r="AP1036" s="4154"/>
      <c r="AQ1036" s="1048">
        <f>I1036</f>
        <v>1800</v>
      </c>
      <c r="AR1036" s="4510"/>
      <c r="AS1036" s="4505">
        <f t="shared" si="580"/>
        <v>1800</v>
      </c>
      <c r="AT1036" s="1048"/>
      <c r="AU1036" s="4510"/>
      <c r="AV1036" s="1048"/>
      <c r="AW1036" s="1048"/>
      <c r="AX1036" s="1048"/>
      <c r="AY1036" s="1048"/>
      <c r="AZ1036" s="1048"/>
      <c r="BA1036" s="1048"/>
      <c r="BB1036" s="1048"/>
      <c r="BC1036" s="1048">
        <f>I1036/6</f>
        <v>300</v>
      </c>
      <c r="BD1036" s="1048"/>
      <c r="BE1036" s="1048"/>
      <c r="BF1036" s="4510" t="s">
        <v>89</v>
      </c>
      <c r="BG1036" s="4510"/>
      <c r="BH1036" s="4510">
        <f>I1036/60*6</f>
        <v>180</v>
      </c>
      <c r="BI1036" s="4510">
        <f>I1036/60*4</f>
        <v>120</v>
      </c>
      <c r="BJ1036" s="4510">
        <f>I1036/60*15</f>
        <v>450</v>
      </c>
      <c r="BK1036" s="4586">
        <f>I1036/60*8</f>
        <v>240</v>
      </c>
      <c r="BL1036" s="4587">
        <f>I1036/60*7</f>
        <v>210</v>
      </c>
      <c r="BM1036" s="4160">
        <f>I1036/60*9</f>
        <v>270</v>
      </c>
      <c r="BN1036" s="4160">
        <f>I1036/60*11</f>
        <v>330</v>
      </c>
      <c r="BO1036" s="4613"/>
      <c r="BP1036" s="4613"/>
      <c r="BQ1036" s="4613"/>
      <c r="BR1036" s="4570"/>
      <c r="BS1036" s="4626"/>
      <c r="BT1036" s="4572"/>
      <c r="BU1036" s="4570"/>
      <c r="BV1036" s="4160">
        <f>SUM(BH1036:BU1036)</f>
        <v>1800</v>
      </c>
      <c r="BW1036" s="4160">
        <f t="shared" si="568"/>
        <v>0</v>
      </c>
      <c r="BX1036" s="4160"/>
      <c r="BY1036" s="4160"/>
      <c r="BZ1036" s="4160"/>
      <c r="CA1036" s="4511"/>
      <c r="CB1036" s="4316"/>
      <c r="CC1036" s="4512"/>
      <c r="CD1036" s="4511"/>
      <c r="XCZ1036" s="4618"/>
      <c r="XDA1036" s="4618"/>
      <c r="XDB1036" s="4618"/>
      <c r="XDC1036" s="4618"/>
      <c r="XDD1036" s="4618"/>
      <c r="XDE1036" s="4618"/>
      <c r="XDF1036" s="4618"/>
      <c r="XDG1036" s="4618"/>
      <c r="XDH1036" s="4618"/>
      <c r="XDI1036" s="4618"/>
      <c r="XDJ1036" s="4618"/>
      <c r="XDK1036" s="4618"/>
      <c r="XDL1036" s="4618"/>
      <c r="XDM1036" s="4618"/>
      <c r="XDN1036" s="4618"/>
      <c r="XDO1036" s="4618"/>
      <c r="XDP1036" s="4618"/>
      <c r="XDQ1036" s="4618"/>
      <c r="XDR1036" s="4618"/>
      <c r="XDS1036" s="4618"/>
      <c r="XDT1036" s="4618"/>
      <c r="XDU1036" s="4618"/>
      <c r="XDV1036" s="4618"/>
      <c r="XDW1036" s="4618"/>
      <c r="XDX1036" s="4618"/>
      <c r="XDY1036" s="4618"/>
      <c r="XDZ1036" s="4618"/>
      <c r="XEA1036" s="4618"/>
      <c r="XEB1036" s="4618"/>
      <c r="XEC1036" s="4618"/>
      <c r="XED1036" s="4618"/>
      <c r="XEE1036" s="4618"/>
      <c r="XEF1036" s="4618"/>
      <c r="XEG1036" s="4618"/>
      <c r="XEH1036" s="4618"/>
      <c r="XEI1036" s="4618"/>
      <c r="XEJ1036" s="4618"/>
      <c r="XEK1036" s="4618"/>
      <c r="XEL1036" s="4618"/>
      <c r="XEM1036" s="4618"/>
      <c r="XEN1036" s="4618"/>
      <c r="XEO1036" s="4618"/>
      <c r="XEP1036" s="4618"/>
      <c r="XEQ1036" s="4618"/>
      <c r="XER1036" s="4618"/>
      <c r="XES1036" s="4618"/>
      <c r="XET1036" s="4618"/>
      <c r="XEU1036" s="4618"/>
      <c r="XEV1036" s="4618"/>
      <c r="XEW1036" s="4618"/>
      <c r="XEX1036" s="4618"/>
      <c r="XEY1036" s="4618"/>
      <c r="XEZ1036" s="4618"/>
      <c r="XFA1036" s="4618"/>
      <c r="XFB1036" s="4618"/>
      <c r="XFC1036" s="4618"/>
      <c r="XFD1036" s="4618"/>
    </row>
    <row r="1037" s="4316" customFormat="1" ht="50" customHeight="1" spans="1:82 16328:16384">
      <c r="A1037" s="4500">
        <v>46129</v>
      </c>
      <c r="B1037" s="4501" t="s">
        <v>5401</v>
      </c>
      <c r="C1037" s="3708" t="s">
        <v>5927</v>
      </c>
      <c r="D1037" s="4502">
        <v>4500202631</v>
      </c>
      <c r="E1037" s="3708" t="s">
        <v>2434</v>
      </c>
      <c r="F1037" s="4502" t="s">
        <v>5928</v>
      </c>
      <c r="G1037" s="3708" t="s">
        <v>2577</v>
      </c>
      <c r="H1037" s="3708" t="s">
        <v>2620</v>
      </c>
      <c r="I1037" s="4154">
        <v>1200</v>
      </c>
      <c r="J1037" s="4154">
        <v>0</v>
      </c>
      <c r="K1037" s="4154">
        <v>12</v>
      </c>
      <c r="L1037" s="4154">
        <f t="shared" si="566"/>
        <v>100</v>
      </c>
      <c r="M1037" s="4503">
        <v>46178</v>
      </c>
      <c r="N1037" s="4553">
        <v>46195</v>
      </c>
      <c r="O1037" s="4117" t="s">
        <v>5924</v>
      </c>
      <c r="P1037" s="4527" t="s">
        <v>82</v>
      </c>
      <c r="Q1037" s="4157">
        <f>1188+12</f>
        <v>1200</v>
      </c>
      <c r="R1037" s="4157">
        <f t="shared" si="567"/>
        <v>0</v>
      </c>
      <c r="S1037" s="4641" t="s">
        <v>2297</v>
      </c>
      <c r="T1037" s="4641" t="s">
        <v>321</v>
      </c>
      <c r="U1037" s="3680" t="s">
        <v>5929</v>
      </c>
      <c r="V1037" s="3711" t="s">
        <v>5852</v>
      </c>
      <c r="W1037" s="3711"/>
      <c r="X1037" s="3711" t="s">
        <v>5925</v>
      </c>
      <c r="Y1037" s="3711"/>
      <c r="Z1037" s="4154"/>
      <c r="AA1037" s="3680" t="s">
        <v>5930</v>
      </c>
      <c r="AB1037" s="4154" t="s">
        <v>448</v>
      </c>
      <c r="AC1037" s="4616">
        <v>2.1905</v>
      </c>
      <c r="AD1037" s="4154">
        <f t="shared" si="590"/>
        <v>2628.6</v>
      </c>
      <c r="AE1037" s="3726"/>
      <c r="AF1037" s="3708" t="s">
        <v>5393</v>
      </c>
      <c r="AG1037" s="3726" t="s">
        <v>416</v>
      </c>
      <c r="AH1037" s="4154"/>
      <c r="AI1037" s="3708"/>
      <c r="AJ1037" s="4575"/>
      <c r="AK1037" s="4154"/>
      <c r="AL1037" s="4154"/>
      <c r="AM1037" s="3708"/>
      <c r="AN1037" s="1048">
        <f>I1037</f>
        <v>1200</v>
      </c>
      <c r="AO1037" s="1048"/>
      <c r="AP1037" s="4154"/>
      <c r="AQ1037" s="1048">
        <f>I1037</f>
        <v>1200</v>
      </c>
      <c r="AR1037" s="4510"/>
      <c r="AS1037" s="4505">
        <f t="shared" si="580"/>
        <v>1200</v>
      </c>
      <c r="AT1037" s="1048"/>
      <c r="AU1037" s="4510"/>
      <c r="AV1037" s="1048"/>
      <c r="AW1037" s="1048"/>
      <c r="AX1037" s="1048"/>
      <c r="AY1037" s="1048"/>
      <c r="AZ1037" s="1048"/>
      <c r="BA1037" s="1048"/>
      <c r="BB1037" s="1048"/>
      <c r="BC1037" s="1048">
        <f>I1037/6</f>
        <v>200</v>
      </c>
      <c r="BD1037" s="1048"/>
      <c r="BE1037" s="1048"/>
      <c r="BF1037" s="4510" t="s">
        <v>89</v>
      </c>
      <c r="BG1037" s="4510"/>
      <c r="BH1037" s="4510">
        <f>I1037/60*6</f>
        <v>120</v>
      </c>
      <c r="BI1037" s="4510">
        <f>I1037/60*4</f>
        <v>80</v>
      </c>
      <c r="BJ1037" s="4510">
        <f>I1037/60*15</f>
        <v>300</v>
      </c>
      <c r="BK1037" s="4586">
        <f>I1037/60*8</f>
        <v>160</v>
      </c>
      <c r="BL1037" s="4587">
        <f>I1037/60*7</f>
        <v>140</v>
      </c>
      <c r="BM1037" s="4160">
        <f>I1037/60*9</f>
        <v>180</v>
      </c>
      <c r="BN1037" s="4160">
        <f>I1037/60*11</f>
        <v>220</v>
      </c>
      <c r="BO1037" s="4613"/>
      <c r="BP1037" s="4613"/>
      <c r="BQ1037" s="4613"/>
      <c r="BR1037" s="4570"/>
      <c r="BS1037" s="4626"/>
      <c r="BT1037" s="4572"/>
      <c r="BU1037" s="4570"/>
      <c r="BV1037" s="4160">
        <f>SUM(BH1037:BU1037)</f>
        <v>1200</v>
      </c>
      <c r="BW1037" s="4160">
        <f t="shared" si="568"/>
        <v>0</v>
      </c>
      <c r="BX1037" s="4160"/>
      <c r="BY1037" s="4160"/>
      <c r="BZ1037" s="4160"/>
      <c r="CA1037" s="4511"/>
      <c r="CB1037" s="4316"/>
      <c r="CC1037" s="4512"/>
      <c r="CD1037" s="4511"/>
      <c r="XCZ1037" s="4618"/>
      <c r="XDA1037" s="4618"/>
      <c r="XDB1037" s="4618"/>
      <c r="XDC1037" s="4618"/>
      <c r="XDD1037" s="4618"/>
      <c r="XDE1037" s="4618"/>
      <c r="XDF1037" s="4618"/>
      <c r="XDG1037" s="4618"/>
      <c r="XDH1037" s="4618"/>
      <c r="XDI1037" s="4618"/>
      <c r="XDJ1037" s="4618"/>
      <c r="XDK1037" s="4618"/>
      <c r="XDL1037" s="4618"/>
      <c r="XDM1037" s="4618"/>
      <c r="XDN1037" s="4618"/>
      <c r="XDO1037" s="4618"/>
      <c r="XDP1037" s="4618"/>
      <c r="XDQ1037" s="4618"/>
      <c r="XDR1037" s="4618"/>
      <c r="XDS1037" s="4618"/>
      <c r="XDT1037" s="4618"/>
      <c r="XDU1037" s="4618"/>
      <c r="XDV1037" s="4618"/>
      <c r="XDW1037" s="4618"/>
      <c r="XDX1037" s="4618"/>
      <c r="XDY1037" s="4618"/>
      <c r="XDZ1037" s="4618"/>
      <c r="XEA1037" s="4618"/>
      <c r="XEB1037" s="4618"/>
      <c r="XEC1037" s="4618"/>
      <c r="XED1037" s="4618"/>
      <c r="XEE1037" s="4618"/>
      <c r="XEF1037" s="4618"/>
      <c r="XEG1037" s="4618"/>
      <c r="XEH1037" s="4618"/>
      <c r="XEI1037" s="4618"/>
      <c r="XEJ1037" s="4618"/>
      <c r="XEK1037" s="4618"/>
      <c r="XEL1037" s="4618"/>
      <c r="XEM1037" s="4618"/>
      <c r="XEN1037" s="4618"/>
      <c r="XEO1037" s="4618"/>
      <c r="XEP1037" s="4618"/>
      <c r="XEQ1037" s="4618"/>
      <c r="XER1037" s="4618"/>
      <c r="XES1037" s="4618"/>
      <c r="XET1037" s="4618"/>
      <c r="XEU1037" s="4618"/>
      <c r="XEV1037" s="4618"/>
      <c r="XEW1037" s="4618"/>
      <c r="XEX1037" s="4618"/>
      <c r="XEY1037" s="4618"/>
      <c r="XEZ1037" s="4618"/>
      <c r="XFA1037" s="4618"/>
      <c r="XFB1037" s="4618"/>
      <c r="XFC1037" s="4618"/>
      <c r="XFD1037" s="4618"/>
    </row>
    <row r="1038" s="4318" customFormat="1" ht="51.9" customHeight="1" spans="1:82 16328:16384">
      <c r="A1038" s="4513">
        <v>46150</v>
      </c>
      <c r="B1038" s="4514" t="s">
        <v>5931</v>
      </c>
      <c r="C1038" s="905" t="s">
        <v>1430</v>
      </c>
      <c r="D1038" s="4515" t="s">
        <v>5932</v>
      </c>
      <c r="E1038" s="905" t="s">
        <v>5933</v>
      </c>
      <c r="F1038" s="4515" t="s">
        <v>5934</v>
      </c>
      <c r="G1038" s="905" t="s">
        <v>2577</v>
      </c>
      <c r="H1038" s="905" t="s">
        <v>2620</v>
      </c>
      <c r="I1038" s="906">
        <v>360</v>
      </c>
      <c r="J1038" s="906">
        <v>0</v>
      </c>
      <c r="K1038" s="906">
        <v>12</v>
      </c>
      <c r="L1038" s="906">
        <f t="shared" si="566"/>
        <v>30</v>
      </c>
      <c r="M1038" s="4516">
        <v>46191</v>
      </c>
      <c r="N1038" s="4542">
        <v>46188</v>
      </c>
      <c r="O1038" s="4129"/>
      <c r="P1038" s="4527" t="s">
        <v>82</v>
      </c>
      <c r="Q1038" s="4156">
        <v>360</v>
      </c>
      <c r="R1038" s="4156">
        <f t="shared" si="567"/>
        <v>0</v>
      </c>
      <c r="S1038" s="4635" t="s">
        <v>2297</v>
      </c>
      <c r="T1038" s="4635" t="s">
        <v>321</v>
      </c>
      <c r="U1038" s="3625" t="s">
        <v>2420</v>
      </c>
      <c r="V1038" s="3739" t="s">
        <v>3917</v>
      </c>
      <c r="W1038" s="3739"/>
      <c r="X1038" s="3820" t="s">
        <v>5935</v>
      </c>
      <c r="Y1038" s="3739"/>
      <c r="Z1038" s="906"/>
      <c r="AA1038" s="3625" t="s">
        <v>5936</v>
      </c>
      <c r="AB1038" s="906" t="s">
        <v>5937</v>
      </c>
      <c r="AC1038" s="4629">
        <v>2.1436</v>
      </c>
      <c r="AD1038" s="906">
        <f t="shared" si="590"/>
        <v>771.696</v>
      </c>
      <c r="AE1038" s="4148"/>
      <c r="AF1038" s="4630" t="s">
        <v>2604</v>
      </c>
      <c r="AG1038" s="4148" t="s">
        <v>416</v>
      </c>
      <c r="AH1038" s="906"/>
      <c r="AI1038" s="905"/>
      <c r="AJ1038" s="4528"/>
      <c r="AK1038" s="906"/>
      <c r="AL1038" s="906"/>
      <c r="AM1038" s="905">
        <f>I1038</f>
        <v>360</v>
      </c>
      <c r="AN1038" s="4382"/>
      <c r="AO1038" s="4382"/>
      <c r="AP1038" s="906">
        <f t="shared" ref="AP1038:AP1058" si="591">I1038</f>
        <v>360</v>
      </c>
      <c r="AQ1038" s="4382"/>
      <c r="AR1038" s="4518"/>
      <c r="AS1038" s="4382">
        <f t="shared" si="580"/>
        <v>360</v>
      </c>
      <c r="AT1038" s="4382"/>
      <c r="AU1038" s="4518"/>
      <c r="AV1038" s="4382"/>
      <c r="AW1038" s="4382">
        <f>I1038/6</f>
        <v>60</v>
      </c>
      <c r="AX1038" s="4382"/>
      <c r="AY1038" s="4382"/>
      <c r="AZ1038" s="4382"/>
      <c r="BA1038" s="4382"/>
      <c r="BB1038" s="4382"/>
      <c r="BC1038" s="4382"/>
      <c r="BD1038" s="4382"/>
      <c r="BE1038" s="4382"/>
      <c r="BF1038" s="4382" t="s">
        <v>89</v>
      </c>
      <c r="BG1038" s="4518"/>
      <c r="BH1038" s="4518">
        <f>I1038/60*10</f>
        <v>60</v>
      </c>
      <c r="BI1038" s="4518">
        <f>I1038/60*7</f>
        <v>42</v>
      </c>
      <c r="BJ1038" s="4518">
        <f>I1038/60*5</f>
        <v>30</v>
      </c>
      <c r="BK1038" s="4631">
        <f>I1038/60*7</f>
        <v>42</v>
      </c>
      <c r="BL1038" s="4632">
        <f>I1038/60*12</f>
        <v>72</v>
      </c>
      <c r="BM1038" s="4544">
        <f>I1038/60*10</f>
        <v>60</v>
      </c>
      <c r="BN1038" s="4544">
        <f>I1038/60*9</f>
        <v>54</v>
      </c>
      <c r="BO1038" s="4644"/>
      <c r="BP1038" s="4644"/>
      <c r="BQ1038" s="4644"/>
      <c r="BR1038" s="4645"/>
      <c r="BS1038" s="4646"/>
      <c r="BT1038" s="4647"/>
      <c r="BU1038" s="4645"/>
      <c r="BV1038" s="4544">
        <f>SUM(BH1038:BN1038)</f>
        <v>360</v>
      </c>
      <c r="BW1038" s="4544">
        <f t="shared" si="568"/>
        <v>0</v>
      </c>
      <c r="BX1038" s="4409"/>
      <c r="BY1038" s="4409"/>
      <c r="BZ1038" s="4409"/>
      <c r="CA1038" s="4550"/>
      <c r="CB1038" s="4318"/>
      <c r="CC1038" s="4551"/>
      <c r="CD1038" s="4550"/>
      <c r="XCZ1038" s="4634"/>
      <c r="XDA1038" s="4634"/>
      <c r="XDB1038" s="4634"/>
      <c r="XDC1038" s="4634"/>
      <c r="XDD1038" s="4634"/>
      <c r="XDE1038" s="4634"/>
      <c r="XDF1038" s="4634"/>
      <c r="XDG1038" s="4634"/>
      <c r="XDH1038" s="4634"/>
      <c r="XDI1038" s="4634"/>
      <c r="XDJ1038" s="4634"/>
      <c r="XDK1038" s="4634"/>
      <c r="XDL1038" s="4634"/>
      <c r="XDM1038" s="4634"/>
      <c r="XDN1038" s="4634"/>
      <c r="XDO1038" s="4634"/>
      <c r="XDP1038" s="4634"/>
      <c r="XDQ1038" s="4634"/>
      <c r="XDR1038" s="4634"/>
      <c r="XDS1038" s="4634"/>
      <c r="XDT1038" s="4634"/>
      <c r="XDU1038" s="4634"/>
      <c r="XDV1038" s="4634"/>
      <c r="XDW1038" s="4634"/>
      <c r="XDX1038" s="4634"/>
      <c r="XDY1038" s="4634"/>
      <c r="XDZ1038" s="4634"/>
      <c r="XEA1038" s="4634"/>
      <c r="XEB1038" s="4634"/>
      <c r="XEC1038" s="4634"/>
      <c r="XED1038" s="4634"/>
      <c r="XEE1038" s="4634"/>
      <c r="XEF1038" s="4634"/>
      <c r="XEG1038" s="4634"/>
      <c r="XEH1038" s="4634"/>
      <c r="XEI1038" s="4634"/>
      <c r="XEJ1038" s="4634"/>
      <c r="XEK1038" s="4634"/>
      <c r="XEL1038" s="4634"/>
      <c r="XEM1038" s="4634"/>
      <c r="XEN1038" s="4634"/>
      <c r="XEO1038" s="4634"/>
      <c r="XEP1038" s="4634"/>
      <c r="XEQ1038" s="4634"/>
      <c r="XER1038" s="4634"/>
      <c r="XES1038" s="4634"/>
      <c r="XET1038" s="4634"/>
      <c r="XEU1038" s="4634"/>
      <c r="XEV1038" s="4513"/>
      <c r="XEW1038" s="4514"/>
      <c r="XEX1038" s="905"/>
      <c r="XEY1038" s="4515"/>
      <c r="XEZ1038" s="905"/>
      <c r="XFA1038" s="4515"/>
      <c r="XFB1038" s="905"/>
      <c r="XFC1038" s="905"/>
      <c r="XFD1038" s="906"/>
    </row>
    <row r="1039" s="4318" customFormat="1" ht="50" customHeight="1" spans="1:82 16328:16384">
      <c r="A1039" s="4513">
        <v>46129</v>
      </c>
      <c r="B1039" s="4514" t="s">
        <v>340</v>
      </c>
      <c r="C1039" s="905" t="s">
        <v>341</v>
      </c>
      <c r="D1039" s="4515" t="s">
        <v>5938</v>
      </c>
      <c r="E1039" s="905" t="s">
        <v>5939</v>
      </c>
      <c r="F1039" s="4515" t="s">
        <v>5940</v>
      </c>
      <c r="G1039" s="905" t="s">
        <v>2627</v>
      </c>
      <c r="H1039" s="905" t="s">
        <v>2591</v>
      </c>
      <c r="I1039" s="906">
        <v>1512</v>
      </c>
      <c r="J1039" s="906">
        <v>0</v>
      </c>
      <c r="K1039" s="906">
        <v>24</v>
      </c>
      <c r="L1039" s="906">
        <f t="shared" si="566"/>
        <v>63</v>
      </c>
      <c r="M1039" s="4516">
        <v>46202</v>
      </c>
      <c r="N1039" s="4542">
        <f>M1039-4</f>
        <v>46198</v>
      </c>
      <c r="O1039" s="4129"/>
      <c r="P1039" s="4527" t="s">
        <v>82</v>
      </c>
      <c r="Q1039" s="4156">
        <v>1512</v>
      </c>
      <c r="R1039" s="4156">
        <f t="shared" si="567"/>
        <v>0</v>
      </c>
      <c r="S1039" s="4628"/>
      <c r="T1039" s="4628" t="s">
        <v>321</v>
      </c>
      <c r="U1039" s="3625" t="s">
        <v>5941</v>
      </c>
      <c r="V1039" s="3739" t="s">
        <v>3734</v>
      </c>
      <c r="W1039" s="3739"/>
      <c r="X1039" s="3739" t="s">
        <v>5942</v>
      </c>
      <c r="Y1039" s="3739"/>
      <c r="Z1039" s="906"/>
      <c r="AA1039" s="3625" t="s">
        <v>5943</v>
      </c>
      <c r="AB1039" s="906" t="s">
        <v>559</v>
      </c>
      <c r="AC1039" s="4629">
        <v>2.1063</v>
      </c>
      <c r="AD1039" s="906">
        <f t="shared" si="590"/>
        <v>3184.7256</v>
      </c>
      <c r="AE1039" s="4148"/>
      <c r="AF1039" s="4630" t="s">
        <v>2627</v>
      </c>
      <c r="AG1039" s="4148" t="s">
        <v>416</v>
      </c>
      <c r="AH1039" s="906"/>
      <c r="AI1039" s="905"/>
      <c r="AJ1039" s="4528">
        <f>I1039</f>
        <v>1512</v>
      </c>
      <c r="AK1039" s="906"/>
      <c r="AL1039" s="906"/>
      <c r="AM1039" s="905"/>
      <c r="AN1039" s="4382"/>
      <c r="AO1039" s="4382"/>
      <c r="AP1039" s="906">
        <f t="shared" si="591"/>
        <v>1512</v>
      </c>
      <c r="AQ1039" s="4382"/>
      <c r="AR1039" s="4518"/>
      <c r="AS1039" s="4382">
        <f t="shared" si="580"/>
        <v>1512</v>
      </c>
      <c r="AT1039" s="4382"/>
      <c r="AU1039" s="4518"/>
      <c r="AV1039" s="4382"/>
      <c r="AW1039" s="4382"/>
      <c r="AX1039" s="4382"/>
      <c r="AY1039" s="4382"/>
      <c r="AZ1039" s="4382"/>
      <c r="BA1039" s="4382"/>
      <c r="BB1039" s="4382"/>
      <c r="BC1039" s="4382"/>
      <c r="BD1039" s="4382"/>
      <c r="BE1039" s="4382"/>
      <c r="BF1039" s="4518" t="s">
        <v>89</v>
      </c>
      <c r="BG1039" s="4518"/>
      <c r="BH1039" s="4518">
        <f>I1039/60*10</f>
        <v>252</v>
      </c>
      <c r="BI1039" s="4518">
        <f>I1039/60*7</f>
        <v>176.4</v>
      </c>
      <c r="BJ1039" s="4518">
        <f>I1039/60*5</f>
        <v>126</v>
      </c>
      <c r="BK1039" s="4631">
        <f>I1039/60*7</f>
        <v>176.4</v>
      </c>
      <c r="BL1039" s="4632">
        <f>I1039/60*12</f>
        <v>302.4</v>
      </c>
      <c r="BM1039" s="4648">
        <f>I1039/60*10</f>
        <v>252</v>
      </c>
      <c r="BN1039" s="4648">
        <f>I1039/60*9</f>
        <v>226.8</v>
      </c>
      <c r="BO1039" s="4649"/>
      <c r="BP1039" s="4649"/>
      <c r="BQ1039" s="4649"/>
      <c r="BR1039" s="4645"/>
      <c r="BS1039" s="4650"/>
      <c r="BT1039" s="4647"/>
      <c r="BU1039" s="4645"/>
      <c r="BV1039" s="4544">
        <f t="shared" ref="BV1039:BV1046" si="592">SUM(BH1039:BU1039)</f>
        <v>1512</v>
      </c>
      <c r="BW1039" s="4544">
        <f t="shared" si="568"/>
        <v>0</v>
      </c>
      <c r="BX1039" s="4651"/>
      <c r="BY1039" s="4544"/>
      <c r="BZ1039" s="4544"/>
      <c r="CA1039" s="4550"/>
      <c r="CB1039" s="4318"/>
      <c r="CC1039" s="4551"/>
      <c r="CD1039" s="4550"/>
      <c r="XCZ1039" s="4634"/>
      <c r="XDA1039" s="4634"/>
      <c r="XDB1039" s="4634"/>
      <c r="XDC1039" s="4634"/>
      <c r="XDD1039" s="4634"/>
      <c r="XDE1039" s="4634"/>
      <c r="XDF1039" s="4634"/>
      <c r="XDG1039" s="4634"/>
      <c r="XDH1039" s="4634"/>
      <c r="XDI1039" s="4634"/>
      <c r="XDJ1039" s="4634"/>
      <c r="XDK1039" s="4634"/>
      <c r="XDL1039" s="4634"/>
      <c r="XDM1039" s="4634"/>
      <c r="XDN1039" s="4634"/>
      <c r="XDO1039" s="4634"/>
      <c r="XDP1039" s="4634"/>
      <c r="XDQ1039" s="4634"/>
      <c r="XDR1039" s="4634"/>
      <c r="XDS1039" s="4634"/>
      <c r="XDT1039" s="4634"/>
      <c r="XDU1039" s="4634"/>
      <c r="XDV1039" s="4634"/>
      <c r="XDW1039" s="4634"/>
      <c r="XDX1039" s="4634"/>
      <c r="XDY1039" s="4634"/>
      <c r="XDZ1039" s="4634"/>
      <c r="XEA1039" s="4634"/>
      <c r="XEB1039" s="4634"/>
      <c r="XEC1039" s="4634"/>
      <c r="XED1039" s="4634"/>
      <c r="XEE1039" s="4634"/>
      <c r="XEF1039" s="4634"/>
      <c r="XEG1039" s="4634"/>
      <c r="XEH1039" s="4634"/>
      <c r="XEI1039" s="4634"/>
      <c r="XEJ1039" s="4634"/>
      <c r="XEK1039" s="4634"/>
      <c r="XEL1039" s="4634"/>
      <c r="XEM1039" s="4634"/>
      <c r="XEN1039" s="4634"/>
      <c r="XEO1039" s="4634"/>
      <c r="XEP1039" s="4634"/>
      <c r="XEQ1039" s="4634"/>
      <c r="XER1039" s="4634"/>
      <c r="XES1039" s="4634"/>
      <c r="XET1039" s="4634"/>
      <c r="XEU1039" s="4634"/>
      <c r="XEV1039" s="4634"/>
      <c r="XEW1039" s="4634"/>
      <c r="XEX1039" s="4634"/>
      <c r="XEY1039" s="4634"/>
      <c r="XEZ1039" s="4634"/>
      <c r="XFA1039" s="4634"/>
      <c r="XFB1039" s="4634"/>
      <c r="XFC1039" s="4634"/>
      <c r="XFD1039" s="4634"/>
    </row>
    <row r="1040" s="4318" customFormat="1" ht="50" customHeight="1" spans="1:82 16328:16384">
      <c r="A1040" s="4513">
        <v>46129</v>
      </c>
      <c r="B1040" s="4514" t="s">
        <v>340</v>
      </c>
      <c r="C1040" s="905" t="s">
        <v>341</v>
      </c>
      <c r="D1040" s="4515" t="s">
        <v>5938</v>
      </c>
      <c r="E1040" s="905" t="s">
        <v>5944</v>
      </c>
      <c r="F1040" s="4515" t="s">
        <v>5945</v>
      </c>
      <c r="G1040" s="905" t="s">
        <v>2627</v>
      </c>
      <c r="H1040" s="905" t="s">
        <v>2591</v>
      </c>
      <c r="I1040" s="906">
        <v>5016</v>
      </c>
      <c r="J1040" s="906">
        <v>0</v>
      </c>
      <c r="K1040" s="906">
        <v>24</v>
      </c>
      <c r="L1040" s="906">
        <f t="shared" si="566"/>
        <v>209</v>
      </c>
      <c r="M1040" s="4516">
        <v>46202</v>
      </c>
      <c r="N1040" s="4542">
        <f>M1040-4</f>
        <v>46198</v>
      </c>
      <c r="O1040" s="4129"/>
      <c r="P1040" s="4527" t="s">
        <v>82</v>
      </c>
      <c r="Q1040" s="4156">
        <v>5016</v>
      </c>
      <c r="R1040" s="4156">
        <f t="shared" si="567"/>
        <v>0</v>
      </c>
      <c r="S1040" s="4628"/>
      <c r="T1040" s="4628" t="s">
        <v>321</v>
      </c>
      <c r="U1040" s="3625" t="s">
        <v>5941</v>
      </c>
      <c r="V1040" s="3739" t="s">
        <v>3734</v>
      </c>
      <c r="W1040" s="3739"/>
      <c r="X1040" s="3739" t="s">
        <v>5942</v>
      </c>
      <c r="Y1040" s="3739"/>
      <c r="Z1040" s="906"/>
      <c r="AA1040" s="3625" t="s">
        <v>5943</v>
      </c>
      <c r="AB1040" s="906" t="s">
        <v>559</v>
      </c>
      <c r="AC1040" s="4629">
        <v>2.1063</v>
      </c>
      <c r="AD1040" s="906">
        <f t="shared" si="590"/>
        <v>10565.2008</v>
      </c>
      <c r="AE1040" s="4148"/>
      <c r="AF1040" s="4630" t="s">
        <v>2627</v>
      </c>
      <c r="AG1040" s="4148" t="s">
        <v>416</v>
      </c>
      <c r="AH1040" s="906"/>
      <c r="AI1040" s="905"/>
      <c r="AJ1040" s="4528">
        <f>I1040</f>
        <v>5016</v>
      </c>
      <c r="AK1040" s="906"/>
      <c r="AL1040" s="906"/>
      <c r="AM1040" s="905"/>
      <c r="AN1040" s="4382"/>
      <c r="AO1040" s="4382"/>
      <c r="AP1040" s="906">
        <f t="shared" si="591"/>
        <v>5016</v>
      </c>
      <c r="AQ1040" s="4382"/>
      <c r="AR1040" s="4518"/>
      <c r="AS1040" s="4382">
        <f t="shared" si="580"/>
        <v>5016</v>
      </c>
      <c r="AT1040" s="4382"/>
      <c r="AU1040" s="4518"/>
      <c r="AV1040" s="4382"/>
      <c r="AW1040" s="4382"/>
      <c r="AX1040" s="4382"/>
      <c r="AY1040" s="4382"/>
      <c r="AZ1040" s="4382"/>
      <c r="BA1040" s="4382"/>
      <c r="BB1040" s="4382"/>
      <c r="BC1040" s="4382"/>
      <c r="BD1040" s="4382"/>
      <c r="BE1040" s="4382"/>
      <c r="BF1040" s="4518" t="s">
        <v>89</v>
      </c>
      <c r="BG1040" s="4518"/>
      <c r="BH1040" s="4518">
        <f>I1040/60*10</f>
        <v>836</v>
      </c>
      <c r="BI1040" s="4518">
        <f>I1040/60*7</f>
        <v>585.2</v>
      </c>
      <c r="BJ1040" s="4518">
        <f>I1040/60*5</f>
        <v>418</v>
      </c>
      <c r="BK1040" s="4631">
        <f>I1040/60*7</f>
        <v>585.2</v>
      </c>
      <c r="BL1040" s="4632">
        <f>I1040/60*12</f>
        <v>1003.2</v>
      </c>
      <c r="BM1040" s="4648">
        <f>I1040/60*10</f>
        <v>836</v>
      </c>
      <c r="BN1040" s="4648">
        <f>I1040/60*9</f>
        <v>752.4</v>
      </c>
      <c r="BO1040" s="4649"/>
      <c r="BP1040" s="4649"/>
      <c r="BQ1040" s="4649"/>
      <c r="BR1040" s="4645"/>
      <c r="BS1040" s="4650"/>
      <c r="BT1040" s="4647"/>
      <c r="BU1040" s="4645"/>
      <c r="BV1040" s="4544">
        <f t="shared" si="592"/>
        <v>5016</v>
      </c>
      <c r="BW1040" s="4544">
        <f t="shared" si="568"/>
        <v>0</v>
      </c>
      <c r="BX1040" s="4651"/>
      <c r="BY1040" s="4544"/>
      <c r="BZ1040" s="4544"/>
      <c r="CA1040" s="4550"/>
      <c r="CB1040" s="4318"/>
      <c r="CC1040" s="4551"/>
      <c r="CD1040" s="4550"/>
      <c r="XCZ1040" s="4634"/>
      <c r="XDA1040" s="4634"/>
      <c r="XDB1040" s="4634"/>
      <c r="XDC1040" s="4634"/>
      <c r="XDD1040" s="4634"/>
      <c r="XDE1040" s="4634"/>
      <c r="XDF1040" s="4634"/>
      <c r="XDG1040" s="4634"/>
      <c r="XDH1040" s="4634"/>
      <c r="XDI1040" s="4634"/>
      <c r="XDJ1040" s="4634"/>
      <c r="XDK1040" s="4634"/>
      <c r="XDL1040" s="4634"/>
      <c r="XDM1040" s="4634"/>
      <c r="XDN1040" s="4634"/>
      <c r="XDO1040" s="4634"/>
      <c r="XDP1040" s="4634"/>
      <c r="XDQ1040" s="4634"/>
      <c r="XDR1040" s="4634"/>
      <c r="XDS1040" s="4634"/>
      <c r="XDT1040" s="4634"/>
      <c r="XDU1040" s="4634"/>
      <c r="XDV1040" s="4634"/>
      <c r="XDW1040" s="4634"/>
      <c r="XDX1040" s="4634"/>
      <c r="XDY1040" s="4634"/>
      <c r="XDZ1040" s="4634"/>
      <c r="XEA1040" s="4634"/>
      <c r="XEB1040" s="4634"/>
      <c r="XEC1040" s="4634"/>
      <c r="XED1040" s="4634"/>
      <c r="XEE1040" s="4634"/>
      <c r="XEF1040" s="4634"/>
      <c r="XEG1040" s="4634"/>
      <c r="XEH1040" s="4634"/>
      <c r="XEI1040" s="4634"/>
      <c r="XEJ1040" s="4634"/>
      <c r="XEK1040" s="4634"/>
      <c r="XEL1040" s="4634"/>
      <c r="XEM1040" s="4634"/>
      <c r="XEN1040" s="4634"/>
      <c r="XEO1040" s="4634"/>
      <c r="XEP1040" s="4634"/>
      <c r="XEQ1040" s="4634"/>
      <c r="XER1040" s="4634"/>
      <c r="XES1040" s="4634"/>
      <c r="XET1040" s="4634"/>
      <c r="XEU1040" s="4634"/>
      <c r="XEV1040" s="4634"/>
      <c r="XEW1040" s="4634"/>
      <c r="XEX1040" s="4634"/>
      <c r="XEY1040" s="4634"/>
      <c r="XEZ1040" s="4634"/>
      <c r="XFA1040" s="4634"/>
      <c r="XFB1040" s="4634"/>
      <c r="XFC1040" s="4634"/>
      <c r="XFD1040" s="4634"/>
    </row>
    <row r="1041" s="4318" customFormat="1" ht="50" customHeight="1" spans="1:82 16319:16384">
      <c r="A1041" s="4513">
        <v>46129</v>
      </c>
      <c r="B1041" s="4514" t="s">
        <v>340</v>
      </c>
      <c r="C1041" s="905" t="s">
        <v>341</v>
      </c>
      <c r="D1041" s="4515" t="s">
        <v>5938</v>
      </c>
      <c r="E1041" s="905" t="s">
        <v>5946</v>
      </c>
      <c r="F1041" s="4515" t="s">
        <v>5947</v>
      </c>
      <c r="G1041" s="905" t="s">
        <v>2627</v>
      </c>
      <c r="H1041" s="905" t="s">
        <v>2591</v>
      </c>
      <c r="I1041" s="906">
        <v>5016</v>
      </c>
      <c r="J1041" s="906">
        <v>0</v>
      </c>
      <c r="K1041" s="906">
        <v>24</v>
      </c>
      <c r="L1041" s="906">
        <f t="shared" si="566"/>
        <v>209</v>
      </c>
      <c r="M1041" s="4516">
        <v>46202</v>
      </c>
      <c r="N1041" s="4542">
        <f>M1041-4</f>
        <v>46198</v>
      </c>
      <c r="O1041" s="4129"/>
      <c r="P1041" s="4527" t="s">
        <v>82</v>
      </c>
      <c r="Q1041" s="4156">
        <f>2160+2856</f>
        <v>5016</v>
      </c>
      <c r="R1041" s="4156">
        <f t="shared" si="567"/>
        <v>0</v>
      </c>
      <c r="S1041" s="4628"/>
      <c r="T1041" s="4628" t="s">
        <v>321</v>
      </c>
      <c r="U1041" s="3625" t="s">
        <v>5941</v>
      </c>
      <c r="V1041" s="3739" t="s">
        <v>3734</v>
      </c>
      <c r="W1041" s="3739"/>
      <c r="X1041" s="3739" t="s">
        <v>5942</v>
      </c>
      <c r="Y1041" s="3739"/>
      <c r="Z1041" s="906"/>
      <c r="AA1041" s="3625" t="s">
        <v>5943</v>
      </c>
      <c r="AB1041" s="906" t="s">
        <v>559</v>
      </c>
      <c r="AC1041" s="4629">
        <v>2.1063</v>
      </c>
      <c r="AD1041" s="906">
        <f t="shared" si="590"/>
        <v>10565.2008</v>
      </c>
      <c r="AE1041" s="4148"/>
      <c r="AF1041" s="4630" t="s">
        <v>2627</v>
      </c>
      <c r="AG1041" s="4148" t="s">
        <v>416</v>
      </c>
      <c r="AH1041" s="906"/>
      <c r="AI1041" s="905"/>
      <c r="AJ1041" s="4528">
        <f>I1041</f>
        <v>5016</v>
      </c>
      <c r="AK1041" s="906"/>
      <c r="AL1041" s="906"/>
      <c r="AM1041" s="905"/>
      <c r="AN1041" s="4382"/>
      <c r="AO1041" s="4382"/>
      <c r="AP1041" s="906">
        <f t="shared" si="591"/>
        <v>5016</v>
      </c>
      <c r="AQ1041" s="4382"/>
      <c r="AR1041" s="4518"/>
      <c r="AS1041" s="4382">
        <f t="shared" si="580"/>
        <v>5016</v>
      </c>
      <c r="AT1041" s="4382"/>
      <c r="AU1041" s="4518"/>
      <c r="AV1041" s="4382"/>
      <c r="AW1041" s="4382"/>
      <c r="AX1041" s="4382"/>
      <c r="AY1041" s="4382"/>
      <c r="AZ1041" s="4382"/>
      <c r="BA1041" s="4382"/>
      <c r="BB1041" s="4382"/>
      <c r="BC1041" s="4382"/>
      <c r="BD1041" s="4382"/>
      <c r="BE1041" s="4382"/>
      <c r="BF1041" s="4518" t="s">
        <v>89</v>
      </c>
      <c r="BG1041" s="4518"/>
      <c r="BH1041" s="4518">
        <f>I1041/60*10</f>
        <v>836</v>
      </c>
      <c r="BI1041" s="4518">
        <f>I1041/60*7</f>
        <v>585.2</v>
      </c>
      <c r="BJ1041" s="4518">
        <f>I1041/60*5</f>
        <v>418</v>
      </c>
      <c r="BK1041" s="4631">
        <f>I1041/60*7</f>
        <v>585.2</v>
      </c>
      <c r="BL1041" s="4632">
        <f>I1041/60*12</f>
        <v>1003.2</v>
      </c>
      <c r="BM1041" s="4648">
        <f>I1041/60*10</f>
        <v>836</v>
      </c>
      <c r="BN1041" s="4648">
        <f>I1041/60*9</f>
        <v>752.4</v>
      </c>
      <c r="BO1041" s="4649"/>
      <c r="BP1041" s="4649"/>
      <c r="BQ1041" s="4649"/>
      <c r="BR1041" s="4645"/>
      <c r="BS1041" s="4650"/>
      <c r="BT1041" s="4647"/>
      <c r="BU1041" s="4645"/>
      <c r="BV1041" s="4544">
        <f t="shared" si="592"/>
        <v>5016</v>
      </c>
      <c r="BW1041" s="4544">
        <f t="shared" si="568"/>
        <v>0</v>
      </c>
      <c r="BX1041" s="4651"/>
      <c r="BY1041" s="4544"/>
      <c r="BZ1041" s="4544"/>
      <c r="CA1041" s="4550"/>
      <c r="CB1041" s="4318"/>
      <c r="CC1041" s="4551"/>
      <c r="CD1041" s="4550"/>
      <c r="XCZ1041" s="4634"/>
      <c r="XDA1041" s="4634"/>
      <c r="XDB1041" s="4634"/>
      <c r="XDC1041" s="4634"/>
      <c r="XDD1041" s="4634"/>
      <c r="XDE1041" s="4634"/>
      <c r="XDF1041" s="4634"/>
      <c r="XDG1041" s="4634"/>
      <c r="XDH1041" s="4634"/>
      <c r="XDI1041" s="4634"/>
      <c r="XDJ1041" s="4634"/>
      <c r="XDK1041" s="4634"/>
      <c r="XDL1041" s="4634"/>
      <c r="XDM1041" s="4634"/>
      <c r="XDN1041" s="4634"/>
      <c r="XDO1041" s="4634"/>
      <c r="XDP1041" s="4634"/>
      <c r="XDQ1041" s="4634"/>
      <c r="XDR1041" s="4634"/>
      <c r="XDS1041" s="4634"/>
      <c r="XDT1041" s="4634"/>
      <c r="XDU1041" s="4634"/>
      <c r="XDV1041" s="4634"/>
      <c r="XDW1041" s="4634"/>
      <c r="XDX1041" s="4634"/>
      <c r="XDY1041" s="4634"/>
      <c r="XDZ1041" s="4634"/>
      <c r="XEA1041" s="4634"/>
      <c r="XEB1041" s="4634"/>
      <c r="XEC1041" s="4634"/>
      <c r="XED1041" s="4634"/>
      <c r="XEE1041" s="4634"/>
      <c r="XEF1041" s="4634"/>
      <c r="XEG1041" s="4634"/>
      <c r="XEH1041" s="4634"/>
      <c r="XEI1041" s="4634"/>
      <c r="XEJ1041" s="4634"/>
      <c r="XEK1041" s="4634"/>
      <c r="XEL1041" s="4634"/>
      <c r="XEM1041" s="4634"/>
      <c r="XEN1041" s="4634"/>
      <c r="XEO1041" s="4634"/>
      <c r="XEP1041" s="4634"/>
      <c r="XEQ1041" s="4634"/>
      <c r="XER1041" s="4634"/>
      <c r="XES1041" s="4634"/>
      <c r="XET1041" s="4634"/>
      <c r="XEU1041" s="4634"/>
      <c r="XEV1041" s="4634"/>
      <c r="XEW1041" s="4634"/>
      <c r="XEX1041" s="4634"/>
      <c r="XEY1041" s="4634"/>
      <c r="XEZ1041" s="4634"/>
      <c r="XFA1041" s="4634"/>
      <c r="XFB1041" s="4634"/>
      <c r="XFC1041" s="4634"/>
      <c r="XFD1041" s="4634"/>
    </row>
    <row r="1042" s="4318" customFormat="1" ht="50" customHeight="1" spans="1:82 16319:16384">
      <c r="A1042" s="4513">
        <v>46176</v>
      </c>
      <c r="B1042" s="4514" t="s">
        <v>1641</v>
      </c>
      <c r="C1042" s="905" t="s">
        <v>396</v>
      </c>
      <c r="D1042" s="4515" t="s">
        <v>5948</v>
      </c>
      <c r="E1042" s="905" t="s">
        <v>5949</v>
      </c>
      <c r="F1042" s="4515" t="s">
        <v>5950</v>
      </c>
      <c r="G1042" s="905" t="s">
        <v>4222</v>
      </c>
      <c r="H1042" s="905" t="s">
        <v>3187</v>
      </c>
      <c r="I1042" s="906">
        <v>12</v>
      </c>
      <c r="J1042" s="906">
        <v>0</v>
      </c>
      <c r="K1042" s="906">
        <v>12</v>
      </c>
      <c r="L1042" s="906">
        <f t="shared" si="566"/>
        <v>1</v>
      </c>
      <c r="M1042" s="4516">
        <v>46206</v>
      </c>
      <c r="N1042" s="4542">
        <v>46202</v>
      </c>
      <c r="O1042" s="4129"/>
      <c r="P1042" s="4527" t="s">
        <v>82</v>
      </c>
      <c r="Q1042" s="4156">
        <v>12</v>
      </c>
      <c r="R1042" s="4156">
        <f t="shared" si="567"/>
        <v>0</v>
      </c>
      <c r="S1042" s="4635" t="s">
        <v>2297</v>
      </c>
      <c r="T1042" s="4635" t="s">
        <v>321</v>
      </c>
      <c r="U1042" s="3625" t="s">
        <v>3870</v>
      </c>
      <c r="V1042" s="3820" t="s">
        <v>3992</v>
      </c>
      <c r="W1042" s="3739"/>
      <c r="X1042" s="3820" t="s">
        <v>4163</v>
      </c>
      <c r="Y1042" s="3739"/>
      <c r="Z1042" s="906"/>
      <c r="AA1042" s="3625" t="s">
        <v>5951</v>
      </c>
      <c r="AB1042" s="906" t="s">
        <v>369</v>
      </c>
      <c r="AC1042" s="4629">
        <v>2.0433</v>
      </c>
      <c r="AD1042" s="906">
        <f t="shared" si="590"/>
        <v>24.5196</v>
      </c>
      <c r="AE1042" s="4148"/>
      <c r="AF1042" s="905" t="s">
        <v>4222</v>
      </c>
      <c r="AG1042" s="3625" t="s">
        <v>416</v>
      </c>
      <c r="AH1042" s="906"/>
      <c r="AI1042" s="905"/>
      <c r="AJ1042" s="4528"/>
      <c r="AK1042" s="906"/>
      <c r="AL1042" s="906"/>
      <c r="AM1042" s="905">
        <f>I1042</f>
        <v>12</v>
      </c>
      <c r="AN1042" s="4382"/>
      <c r="AO1042" s="4382"/>
      <c r="AP1042" s="906">
        <f t="shared" si="591"/>
        <v>12</v>
      </c>
      <c r="AQ1042" s="4382"/>
      <c r="AR1042" s="4518"/>
      <c r="AS1042" s="4382"/>
      <c r="AT1042" s="4382"/>
      <c r="AU1042" s="4518">
        <f>I1042</f>
        <v>12</v>
      </c>
      <c r="AV1042" s="4382"/>
      <c r="AW1042" s="4382"/>
      <c r="AX1042" s="4382"/>
      <c r="AY1042" s="4382"/>
      <c r="AZ1042" s="4382"/>
      <c r="BA1042" s="4382"/>
      <c r="BB1042" s="4382"/>
      <c r="BC1042" s="4382"/>
      <c r="BD1042" s="4382"/>
      <c r="BE1042" s="4382"/>
      <c r="BF1042" s="3750" t="s">
        <v>89</v>
      </c>
      <c r="BG1042" s="4518"/>
      <c r="BH1042" s="4518"/>
      <c r="BI1042" s="4518"/>
      <c r="BJ1042" s="4518"/>
      <c r="BK1042" s="4519">
        <f>I1042</f>
        <v>12</v>
      </c>
      <c r="BL1042" s="4519"/>
      <c r="BM1042" s="4544"/>
      <c r="BN1042" s="4382">
        <f>I1042/60*1</f>
        <v>0.2</v>
      </c>
      <c r="BO1042" s="4644"/>
      <c r="BP1042" s="4644"/>
      <c r="BQ1042" s="4652"/>
      <c r="BR1042" s="4649"/>
      <c r="BS1042" s="4649"/>
      <c r="BT1042" s="4645"/>
      <c r="BU1042" s="4650"/>
      <c r="BV1042" s="4653">
        <f t="shared" si="592"/>
        <v>12.2</v>
      </c>
      <c r="BW1042" s="4653">
        <f t="shared" si="568"/>
        <v>-0.199999999999999</v>
      </c>
      <c r="BX1042" s="4409"/>
      <c r="BY1042" s="4409"/>
      <c r="BZ1042" s="4409"/>
      <c r="CA1042" s="4550"/>
      <c r="CB1042" s="4318"/>
      <c r="CC1042" s="4551"/>
      <c r="CD1042" s="4550"/>
      <c r="XCS1042" s="4634"/>
      <c r="XCT1042" s="4634"/>
      <c r="XCU1042" s="4634"/>
      <c r="XCV1042" s="4634"/>
      <c r="XCW1042" s="4634"/>
      <c r="XCX1042" s="4634"/>
      <c r="XCY1042" s="4634"/>
      <c r="XCZ1042" s="4634"/>
      <c r="XDA1042" s="4634"/>
      <c r="XDB1042" s="4634"/>
      <c r="XDC1042" s="4634"/>
      <c r="XDD1042" s="4634"/>
      <c r="XDE1042" s="4634"/>
      <c r="XDF1042" s="4634"/>
      <c r="XDG1042" s="4634"/>
      <c r="XDH1042" s="4634"/>
      <c r="XDI1042" s="4634"/>
      <c r="XDJ1042" s="4634"/>
      <c r="XDK1042" s="4634"/>
      <c r="XDL1042" s="4634"/>
      <c r="XDM1042" s="4634"/>
      <c r="XDN1042" s="4634"/>
      <c r="XDO1042" s="4634"/>
      <c r="XDP1042" s="4634"/>
      <c r="XDQ1042" s="4634"/>
      <c r="XDR1042" s="4634"/>
      <c r="XDS1042" s="4634"/>
      <c r="XDT1042" s="4634"/>
      <c r="XDU1042" s="4634"/>
      <c r="XDV1042" s="4634"/>
      <c r="XDW1042" s="4634"/>
      <c r="XDX1042" s="4634"/>
      <c r="XDY1042" s="4634"/>
      <c r="XDZ1042" s="4634"/>
      <c r="XEA1042" s="4634"/>
      <c r="XEB1042" s="4634"/>
      <c r="XEC1042" s="4634"/>
      <c r="XED1042" s="4634"/>
      <c r="XEE1042" s="4634"/>
      <c r="XEF1042" s="4634"/>
      <c r="XEG1042" s="4634"/>
      <c r="XEH1042" s="4634"/>
      <c r="XEI1042" s="4634"/>
      <c r="XEJ1042" s="4634"/>
      <c r="XEK1042" s="4634"/>
      <c r="XEL1042" s="4634"/>
      <c r="XEM1042" s="4634"/>
      <c r="XEN1042" s="4634"/>
      <c r="XEO1042" s="4513"/>
      <c r="XEP1042" s="4514"/>
      <c r="XEQ1042" s="905"/>
      <c r="XER1042" s="4515"/>
      <c r="XES1042" s="905"/>
      <c r="XET1042" s="4515"/>
      <c r="XEU1042" s="905"/>
      <c r="XEV1042" s="905"/>
      <c r="XEW1042" s="906"/>
      <c r="XEX1042" s="4513"/>
      <c r="XEY1042" s="4514"/>
      <c r="XEZ1042" s="905"/>
      <c r="XFA1042" s="4515"/>
      <c r="XFB1042" s="905"/>
      <c r="XFC1042" s="4515"/>
      <c r="XFD1042" s="905"/>
    </row>
    <row r="1043" s="4318" customFormat="1" ht="50" customHeight="1" spans="1:82 16319:16384">
      <c r="A1043" s="4537">
        <v>46153</v>
      </c>
      <c r="B1043" s="4538" t="s">
        <v>1596</v>
      </c>
      <c r="C1043" s="4539" t="s">
        <v>1430</v>
      </c>
      <c r="D1043" s="4654">
        <v>4500206390</v>
      </c>
      <c r="E1043" s="4539" t="s">
        <v>5952</v>
      </c>
      <c r="F1043" s="4654" t="s">
        <v>5953</v>
      </c>
      <c r="G1043" s="4539" t="s">
        <v>2577</v>
      </c>
      <c r="H1043" s="4539" t="s">
        <v>2620</v>
      </c>
      <c r="I1043" s="4540">
        <v>348</v>
      </c>
      <c r="J1043" s="4540">
        <v>0</v>
      </c>
      <c r="K1043" s="4540">
        <v>12</v>
      </c>
      <c r="L1043" s="4540">
        <f t="shared" si="566"/>
        <v>29</v>
      </c>
      <c r="M1043" s="4655">
        <v>46206</v>
      </c>
      <c r="N1043" s="4656">
        <v>46202</v>
      </c>
      <c r="O1043" s="4657"/>
      <c r="P1043" s="4527" t="s">
        <v>82</v>
      </c>
      <c r="Q1043" s="4658">
        <v>348</v>
      </c>
      <c r="R1043" s="4156">
        <f t="shared" si="567"/>
        <v>0</v>
      </c>
      <c r="S1043" s="4659" t="s">
        <v>2297</v>
      </c>
      <c r="T1043" s="4635" t="s">
        <v>321</v>
      </c>
      <c r="U1043" s="4660"/>
      <c r="V1043" s="3820" t="s">
        <v>4149</v>
      </c>
      <c r="W1043" s="4661"/>
      <c r="X1043" s="4662" t="s">
        <v>5954</v>
      </c>
      <c r="Y1043" s="4661"/>
      <c r="Z1043" s="4540"/>
      <c r="AA1043" s="3832" t="s">
        <v>5955</v>
      </c>
      <c r="AB1043" s="4540" t="s">
        <v>1434</v>
      </c>
      <c r="AC1043" s="4663">
        <v>2.1436</v>
      </c>
      <c r="AD1043" s="4540">
        <f t="shared" si="590"/>
        <v>745.9728</v>
      </c>
      <c r="AE1043" s="4660"/>
      <c r="AF1043" s="4630" t="s">
        <v>2604</v>
      </c>
      <c r="AG1043" s="4660" t="s">
        <v>416</v>
      </c>
      <c r="AH1043" s="4540"/>
      <c r="AI1043" s="4539"/>
      <c r="AJ1043" s="4664"/>
      <c r="AK1043" s="4540"/>
      <c r="AL1043" s="4540"/>
      <c r="AM1043" s="905">
        <f>I1043</f>
        <v>348</v>
      </c>
      <c r="AN1043" s="4665"/>
      <c r="AO1043" s="4665"/>
      <c r="AP1043" s="906">
        <f t="shared" si="591"/>
        <v>348</v>
      </c>
      <c r="AQ1043" s="4665"/>
      <c r="AR1043" s="4666"/>
      <c r="AS1043" s="4382">
        <f>I1043</f>
        <v>348</v>
      </c>
      <c r="AT1043" s="4665"/>
      <c r="AU1043" s="4666"/>
      <c r="AV1043" s="4665"/>
      <c r="AW1043" s="4665">
        <f>I1043/6</f>
        <v>58</v>
      </c>
      <c r="AX1043" s="4665"/>
      <c r="AY1043" s="4665"/>
      <c r="AZ1043" s="4665"/>
      <c r="BA1043" s="4665"/>
      <c r="BB1043" s="4665"/>
      <c r="BC1043" s="4665"/>
      <c r="BD1043" s="4665"/>
      <c r="BE1043" s="4665"/>
      <c r="BF1043" s="4665" t="s">
        <v>89</v>
      </c>
      <c r="BG1043" s="4666"/>
      <c r="BH1043" s="4666">
        <f>I1043/60*10</f>
        <v>58</v>
      </c>
      <c r="BI1043" s="4666">
        <f>I1043/60*7</f>
        <v>40.6</v>
      </c>
      <c r="BJ1043" s="4666">
        <f>I1043/60*5</f>
        <v>29</v>
      </c>
      <c r="BK1043" s="4667">
        <f>I1043/60*7</f>
        <v>40.6</v>
      </c>
      <c r="BL1043" s="4668">
        <f>I1043/60*12</f>
        <v>69.6</v>
      </c>
      <c r="BM1043" s="4669">
        <f>I1043/60*10</f>
        <v>58</v>
      </c>
      <c r="BN1043" s="4669">
        <f>I1043/60*9</f>
        <v>52.2</v>
      </c>
      <c r="BO1043" s="4670"/>
      <c r="BP1043" s="4670"/>
      <c r="BQ1043" s="4670"/>
      <c r="BR1043" s="4645"/>
      <c r="BS1043" s="4646"/>
      <c r="BT1043" s="4647"/>
      <c r="BU1043" s="4645"/>
      <c r="BV1043" s="4544">
        <f t="shared" si="592"/>
        <v>348</v>
      </c>
      <c r="BW1043" s="4544">
        <f t="shared" si="568"/>
        <v>0</v>
      </c>
      <c r="BX1043" s="4671"/>
      <c r="BY1043" s="4672"/>
      <c r="BZ1043" s="4672"/>
      <c r="CA1043" s="4550"/>
      <c r="CB1043" s="4318"/>
      <c r="CC1043" s="4551"/>
      <c r="CD1043" s="4550"/>
      <c r="XCZ1043" s="4634"/>
      <c r="XDA1043" s="4634"/>
      <c r="XDB1043" s="4634"/>
      <c r="XDC1043" s="4634"/>
      <c r="XDD1043" s="4634"/>
      <c r="XDE1043" s="4634"/>
      <c r="XDF1043" s="4634"/>
      <c r="XDG1043" s="4634"/>
      <c r="XDH1043" s="4634"/>
      <c r="XDI1043" s="4634"/>
      <c r="XDJ1043" s="4634"/>
      <c r="XDK1043" s="4634"/>
      <c r="XDL1043" s="4634"/>
      <c r="XDM1043" s="4634"/>
      <c r="XDN1043" s="4634"/>
      <c r="XDO1043" s="4634"/>
      <c r="XDP1043" s="4634"/>
      <c r="XDQ1043" s="4634"/>
      <c r="XDR1043" s="4634"/>
      <c r="XDS1043" s="4634"/>
      <c r="XDT1043" s="4634"/>
      <c r="XDU1043" s="4634"/>
      <c r="XDV1043" s="4634"/>
      <c r="XDW1043" s="4634"/>
      <c r="XDX1043" s="4634"/>
      <c r="XDY1043" s="4634"/>
      <c r="XDZ1043" s="4634"/>
      <c r="XEA1043" s="4634"/>
      <c r="XEB1043" s="4634"/>
      <c r="XEC1043" s="4634"/>
      <c r="XED1043" s="4634"/>
      <c r="XEE1043" s="4634"/>
      <c r="XEF1043" s="4634"/>
      <c r="XEG1043" s="4634"/>
      <c r="XEH1043" s="4634"/>
      <c r="XEI1043" s="4634"/>
      <c r="XEJ1043" s="4634"/>
      <c r="XEK1043" s="4634"/>
      <c r="XEL1043" s="4634"/>
      <c r="XEM1043" s="4634"/>
      <c r="XEN1043" s="4634"/>
      <c r="XEO1043" s="4634"/>
      <c r="XEP1043" s="4634"/>
      <c r="XEQ1043" s="4634"/>
      <c r="XER1043" s="4634"/>
      <c r="XES1043" s="4634"/>
      <c r="XET1043" s="4634"/>
      <c r="XEU1043" s="4634"/>
      <c r="XEV1043" s="4537"/>
      <c r="XEW1043" s="4538"/>
      <c r="XEX1043" s="4539"/>
      <c r="XEY1043" s="4654"/>
      <c r="XEZ1043" s="4539"/>
      <c r="XFA1043" s="4654"/>
      <c r="XFB1043" s="4539"/>
      <c r="XFC1043" s="4539"/>
      <c r="XFD1043" s="4540"/>
    </row>
    <row r="1044" s="4318" customFormat="1" ht="50" customHeight="1" spans="1:82 16319:16384">
      <c r="A1044" s="4513">
        <v>46154</v>
      </c>
      <c r="B1044" s="905" t="s">
        <v>1641</v>
      </c>
      <c r="C1044" s="905" t="s">
        <v>396</v>
      </c>
      <c r="D1044" s="906" t="s">
        <v>5956</v>
      </c>
      <c r="E1044" s="905" t="s">
        <v>5957</v>
      </c>
      <c r="F1044" s="906" t="s">
        <v>5958</v>
      </c>
      <c r="G1044" s="905" t="s">
        <v>2676</v>
      </c>
      <c r="H1044" s="905" t="s">
        <v>2677</v>
      </c>
      <c r="I1044" s="906">
        <v>72</v>
      </c>
      <c r="J1044" s="906">
        <v>0</v>
      </c>
      <c r="K1044" s="906">
        <v>12</v>
      </c>
      <c r="L1044" s="906">
        <f t="shared" si="566"/>
        <v>6</v>
      </c>
      <c r="M1044" s="4516">
        <v>46204</v>
      </c>
      <c r="N1044" s="4516">
        <v>46200</v>
      </c>
      <c r="O1044" s="905"/>
      <c r="P1044" s="4527" t="s">
        <v>82</v>
      </c>
      <c r="Q1044" s="4156">
        <v>72</v>
      </c>
      <c r="R1044" s="4156">
        <f t="shared" si="567"/>
        <v>0</v>
      </c>
      <c r="S1044" s="4673" t="s">
        <v>2297</v>
      </c>
      <c r="T1044" s="4635" t="s">
        <v>321</v>
      </c>
      <c r="U1044" s="3625" t="s">
        <v>3870</v>
      </c>
      <c r="V1044" s="3739" t="s">
        <v>3909</v>
      </c>
      <c r="W1044" s="3739"/>
      <c r="X1044" s="3739" t="s">
        <v>4163</v>
      </c>
      <c r="Y1044" s="3739"/>
      <c r="Z1044" s="906"/>
      <c r="AA1044" s="3625" t="s">
        <v>5959</v>
      </c>
      <c r="AB1044" s="906" t="s">
        <v>369</v>
      </c>
      <c r="AC1044" s="4629">
        <v>2.0924</v>
      </c>
      <c r="AD1044" s="906">
        <f t="shared" si="590"/>
        <v>150.6528</v>
      </c>
      <c r="AE1044" s="4148"/>
      <c r="AF1044" s="3735" t="s">
        <v>2676</v>
      </c>
      <c r="AG1044" s="4148" t="s">
        <v>416</v>
      </c>
      <c r="AH1044" s="905"/>
      <c r="AI1044" s="906"/>
      <c r="AJ1044" s="906"/>
      <c r="AK1044" s="905"/>
      <c r="AL1044" s="905"/>
      <c r="AM1044" s="905">
        <f>I1044</f>
        <v>72</v>
      </c>
      <c r="AN1044" s="906"/>
      <c r="AO1044" s="906"/>
      <c r="AP1044" s="906">
        <f t="shared" si="591"/>
        <v>72</v>
      </c>
      <c r="AQ1044" s="4382"/>
      <c r="AR1044" s="4382"/>
      <c r="AS1044" s="4382"/>
      <c r="AT1044" s="4382"/>
      <c r="AU1044" s="4382">
        <f>I1044</f>
        <v>72</v>
      </c>
      <c r="AV1044" s="4382"/>
      <c r="AW1044" s="4382"/>
      <c r="AX1044" s="4382"/>
      <c r="AY1044" s="4382"/>
      <c r="AZ1044" s="4382"/>
      <c r="BA1044" s="4382"/>
      <c r="BB1044" s="4382"/>
      <c r="BC1044" s="4382"/>
      <c r="BD1044" s="4382"/>
      <c r="BE1044" s="4529"/>
      <c r="BF1044" s="4518" t="s">
        <v>89</v>
      </c>
      <c r="BG1044" s="4518"/>
      <c r="BH1044" s="4518"/>
      <c r="BI1044" s="4518">
        <f>I1044</f>
        <v>72</v>
      </c>
      <c r="BJ1044" s="4518"/>
      <c r="BK1044" s="4519"/>
      <c r="BL1044" s="4519"/>
      <c r="BM1044" s="4529"/>
      <c r="BN1044" s="4382">
        <f>I1044/60*1</f>
        <v>1.2</v>
      </c>
      <c r="BO1044" s="4649"/>
      <c r="BP1044" s="4649"/>
      <c r="BQ1044" s="4649"/>
      <c r="BR1044" s="4674"/>
      <c r="BS1044" s="4646"/>
      <c r="BT1044" s="4646"/>
      <c r="BU1044" s="4646"/>
      <c r="BV1044" s="4653">
        <f t="shared" si="592"/>
        <v>73.2</v>
      </c>
      <c r="BW1044" s="4653">
        <f t="shared" si="568"/>
        <v>-1.2</v>
      </c>
      <c r="BX1044" s="4651"/>
      <c r="BY1044" s="4544"/>
      <c r="BZ1044" s="4409"/>
      <c r="CA1044" s="4550"/>
      <c r="CB1044" s="4318"/>
      <c r="CC1044" s="4551"/>
      <c r="CD1044" s="4550"/>
      <c r="CE1044" s="4318"/>
      <c r="XCQ1044" s="4675"/>
      <c r="XCR1044" s="4675"/>
      <c r="XCS1044" s="4675"/>
      <c r="XCT1044" s="4675"/>
      <c r="XCU1044" s="4675"/>
      <c r="XCV1044" s="4675"/>
      <c r="XCW1044" s="4675"/>
      <c r="XCX1044" s="4675"/>
      <c r="XCY1044" s="4675"/>
      <c r="XCZ1044" s="4675"/>
      <c r="XDA1044" s="4675"/>
      <c r="XDB1044" s="4675"/>
      <c r="XDC1044" s="4675"/>
      <c r="XDD1044" s="4675"/>
      <c r="XDE1044" s="4675"/>
      <c r="XDF1044" s="4675"/>
      <c r="XDG1044" s="4675"/>
      <c r="XDH1044" s="4675"/>
      <c r="XDI1044" s="4675"/>
      <c r="XDJ1044" s="4675"/>
      <c r="XDK1044" s="4675"/>
      <c r="XDL1044" s="4675"/>
      <c r="XDM1044" s="4675"/>
      <c r="XDN1044" s="4675"/>
      <c r="XDO1044" s="4675"/>
      <c r="XDP1044" s="4675"/>
      <c r="XDQ1044" s="4675"/>
      <c r="XDR1044" s="4675"/>
      <c r="XDS1044" s="4675"/>
      <c r="XDT1044" s="4675"/>
      <c r="XDU1044" s="4675"/>
      <c r="XDV1044" s="4675"/>
      <c r="XDW1044" s="4675"/>
      <c r="XDX1044" s="4675"/>
      <c r="XDY1044" s="4675"/>
      <c r="XDZ1044" s="4675"/>
      <c r="XEA1044" s="4675"/>
      <c r="XEB1044" s="4675"/>
      <c r="XEC1044" s="4675"/>
      <c r="XED1044" s="4675"/>
      <c r="XEE1044" s="4675"/>
      <c r="XEF1044" s="4675"/>
      <c r="XEG1044" s="4675"/>
      <c r="XEH1044" s="4675"/>
      <c r="XEI1044" s="4675"/>
      <c r="XEJ1044" s="4675"/>
      <c r="XEK1044" s="4675"/>
      <c r="XEL1044" s="4675"/>
      <c r="XEM1044" s="4675"/>
      <c r="XEN1044" s="4675"/>
      <c r="XEO1044" s="4675"/>
      <c r="XEP1044" s="4675"/>
      <c r="XEQ1044" s="4675"/>
      <c r="XER1044" s="4675"/>
      <c r="XES1044" s="4675"/>
      <c r="XET1044" s="4675"/>
      <c r="XEU1044" s="4675"/>
      <c r="XEV1044" s="4513"/>
      <c r="XEW1044" s="905"/>
      <c r="XEX1044" s="905"/>
      <c r="XEY1044" s="906"/>
      <c r="XEZ1044" s="905"/>
      <c r="XFA1044" s="906"/>
      <c r="XFB1044" s="905"/>
      <c r="XFC1044" s="905"/>
      <c r="XFD1044" s="906"/>
    </row>
    <row r="1045" s="4318" customFormat="1" ht="50" customHeight="1" spans="1:82 16319:16384">
      <c r="A1045" s="4513">
        <v>46163</v>
      </c>
      <c r="B1045" s="4514" t="s">
        <v>5960</v>
      </c>
      <c r="C1045" s="905" t="s">
        <v>396</v>
      </c>
      <c r="D1045" s="4515" t="s">
        <v>5961</v>
      </c>
      <c r="E1045" s="905" t="s">
        <v>5962</v>
      </c>
      <c r="F1045" s="4515" t="s">
        <v>5963</v>
      </c>
      <c r="G1045" s="905" t="s">
        <v>4222</v>
      </c>
      <c r="H1045" s="905" t="s">
        <v>3187</v>
      </c>
      <c r="I1045" s="906">
        <v>12</v>
      </c>
      <c r="J1045" s="906">
        <v>0</v>
      </c>
      <c r="K1045" s="906">
        <v>12</v>
      </c>
      <c r="L1045" s="906">
        <f t="shared" si="566"/>
        <v>1</v>
      </c>
      <c r="M1045" s="4516">
        <v>46205</v>
      </c>
      <c r="N1045" s="4542">
        <v>46202</v>
      </c>
      <c r="O1045" s="4129"/>
      <c r="P1045" s="4527" t="s">
        <v>82</v>
      </c>
      <c r="Q1045" s="4156">
        <v>12</v>
      </c>
      <c r="R1045" s="4156">
        <f t="shared" si="567"/>
        <v>0</v>
      </c>
      <c r="S1045" s="4635" t="s">
        <v>2297</v>
      </c>
      <c r="T1045" s="4635" t="s">
        <v>321</v>
      </c>
      <c r="U1045" s="3625" t="s">
        <v>3870</v>
      </c>
      <c r="V1045" s="3739" t="s">
        <v>1349</v>
      </c>
      <c r="W1045" s="3739"/>
      <c r="X1045" s="3739" t="s">
        <v>4163</v>
      </c>
      <c r="Y1045" s="3739"/>
      <c r="Z1045" s="906"/>
      <c r="AA1045" s="3625" t="s">
        <v>5964</v>
      </c>
      <c r="AB1045" s="906" t="s">
        <v>5965</v>
      </c>
      <c r="AC1045" s="4629">
        <v>2.0915</v>
      </c>
      <c r="AD1045" s="906">
        <f t="shared" si="590"/>
        <v>25.098</v>
      </c>
      <c r="AE1045" s="4148"/>
      <c r="AF1045" s="905" t="s">
        <v>4222</v>
      </c>
      <c r="AG1045" s="4148" t="s">
        <v>416</v>
      </c>
      <c r="AH1045" s="906"/>
      <c r="AI1045" s="905"/>
      <c r="AJ1045" s="4528"/>
      <c r="AK1045" s="906"/>
      <c r="AL1045" s="906"/>
      <c r="AM1045" s="905">
        <f>I1045</f>
        <v>12</v>
      </c>
      <c r="AN1045" s="4382"/>
      <c r="AO1045" s="4382"/>
      <c r="AP1045" s="906">
        <f t="shared" si="591"/>
        <v>12</v>
      </c>
      <c r="AQ1045" s="4382"/>
      <c r="AR1045" s="4518"/>
      <c r="AS1045" s="4382"/>
      <c r="AT1045" s="4382"/>
      <c r="AU1045" s="4518">
        <f>I1045</f>
        <v>12</v>
      </c>
      <c r="AV1045" s="4382"/>
      <c r="AW1045" s="4382"/>
      <c r="AX1045" s="4382"/>
      <c r="AY1045" s="4382"/>
      <c r="AZ1045" s="4382"/>
      <c r="BA1045" s="4382"/>
      <c r="BB1045" s="4382"/>
      <c r="BC1045" s="4382"/>
      <c r="BD1045" s="4382"/>
      <c r="BE1045" s="4382"/>
      <c r="BF1045" s="4382" t="s">
        <v>89</v>
      </c>
      <c r="BG1045" s="4518"/>
      <c r="BH1045" s="4518"/>
      <c r="BI1045" s="4518"/>
      <c r="BJ1045" s="4518"/>
      <c r="BK1045" s="4519">
        <f>I1045</f>
        <v>12</v>
      </c>
      <c r="BL1045" s="4519"/>
      <c r="BM1045" s="4544"/>
      <c r="BN1045" s="4382">
        <f>I1045/60*1</f>
        <v>0.2</v>
      </c>
      <c r="BO1045" s="4644"/>
      <c r="BP1045" s="4644"/>
      <c r="BQ1045" s="4644"/>
      <c r="BR1045" s="4645"/>
      <c r="BS1045" s="4646"/>
      <c r="BT1045" s="4647"/>
      <c r="BU1045" s="4645"/>
      <c r="BV1045" s="4653">
        <f t="shared" si="592"/>
        <v>12.2</v>
      </c>
      <c r="BW1045" s="4653">
        <f t="shared" si="568"/>
        <v>-0.199999999999999</v>
      </c>
      <c r="BX1045" s="4640"/>
      <c r="BY1045" s="4409"/>
      <c r="BZ1045" s="4409"/>
      <c r="CA1045" s="4550"/>
      <c r="CB1045" s="4318"/>
      <c r="CC1045" s="4551"/>
      <c r="CD1045" s="4550"/>
      <c r="XCZ1045" s="4634"/>
      <c r="XDA1045" s="4634"/>
      <c r="XDB1045" s="4634"/>
      <c r="XDC1045" s="4634"/>
      <c r="XDD1045" s="4634"/>
      <c r="XDE1045" s="4634"/>
      <c r="XDF1045" s="4634"/>
      <c r="XDG1045" s="4634"/>
      <c r="XDH1045" s="4634"/>
      <c r="XDI1045" s="4634"/>
      <c r="XDJ1045" s="4634"/>
      <c r="XDK1045" s="4634"/>
      <c r="XDL1045" s="4634"/>
      <c r="XDM1045" s="4634"/>
      <c r="XDN1045" s="4634"/>
      <c r="XDO1045" s="4634"/>
      <c r="XDP1045" s="4634"/>
      <c r="XDQ1045" s="4634"/>
      <c r="XDR1045" s="4634"/>
      <c r="XDS1045" s="4634"/>
      <c r="XDT1045" s="4634"/>
      <c r="XDU1045" s="4634"/>
      <c r="XDV1045" s="4634"/>
      <c r="XDW1045" s="4634"/>
      <c r="XDX1045" s="4634"/>
      <c r="XDY1045" s="4634"/>
      <c r="XDZ1045" s="4634"/>
      <c r="XEA1045" s="4634"/>
      <c r="XEB1045" s="4634"/>
      <c r="XEC1045" s="4634"/>
      <c r="XED1045" s="4634"/>
      <c r="XEE1045" s="4634"/>
      <c r="XEF1045" s="4634"/>
      <c r="XEG1045" s="4634"/>
      <c r="XEH1045" s="4634"/>
      <c r="XEI1045" s="4634"/>
      <c r="XEJ1045" s="4634"/>
      <c r="XEK1045" s="4634"/>
      <c r="XEL1045" s="4634"/>
      <c r="XEM1045" s="4634"/>
      <c r="XEN1045" s="4634"/>
      <c r="XEO1045" s="4634"/>
      <c r="XEP1045" s="4634"/>
      <c r="XEQ1045" s="4634"/>
      <c r="XER1045" s="4634"/>
      <c r="XES1045" s="4634"/>
      <c r="XET1045" s="4634"/>
      <c r="XEU1045" s="4634"/>
      <c r="XEV1045" s="4513"/>
      <c r="XEW1045" s="4514"/>
      <c r="XEX1045" s="905"/>
      <c r="XEY1045" s="4515"/>
      <c r="XEZ1045" s="905"/>
      <c r="XFA1045" s="4515"/>
      <c r="XFB1045" s="905"/>
      <c r="XFC1045" s="905"/>
      <c r="XFD1045" s="906"/>
    </row>
    <row r="1046" s="4316" customFormat="1" ht="50" customHeight="1" spans="1:82 16319:16384">
      <c r="A1046" s="4500">
        <v>46107</v>
      </c>
      <c r="B1046" s="4501" t="s">
        <v>1957</v>
      </c>
      <c r="C1046" s="3708" t="s">
        <v>351</v>
      </c>
      <c r="D1046" s="4502">
        <v>4500198557</v>
      </c>
      <c r="E1046" s="3708" t="s">
        <v>5966</v>
      </c>
      <c r="F1046" s="4502" t="s">
        <v>5967</v>
      </c>
      <c r="G1046" s="3708" t="s">
        <v>2590</v>
      </c>
      <c r="H1046" s="3708" t="s">
        <v>4069</v>
      </c>
      <c r="I1046" s="4154">
        <v>438</v>
      </c>
      <c r="J1046" s="4154">
        <v>0</v>
      </c>
      <c r="K1046" s="4154">
        <v>6</v>
      </c>
      <c r="L1046" s="4154">
        <f t="shared" si="566"/>
        <v>73</v>
      </c>
      <c r="M1046" s="4503">
        <v>46200</v>
      </c>
      <c r="N1046" s="4553">
        <v>46196</v>
      </c>
      <c r="O1046" s="3708"/>
      <c r="P1046" s="4527" t="s">
        <v>82</v>
      </c>
      <c r="Q1046" s="4157">
        <v>438</v>
      </c>
      <c r="R1046" s="4157">
        <f t="shared" si="567"/>
        <v>0</v>
      </c>
      <c r="S1046" s="4641" t="s">
        <v>2297</v>
      </c>
      <c r="T1046" s="4641" t="s">
        <v>321</v>
      </c>
      <c r="U1046" s="3726"/>
      <c r="V1046" s="3876" t="s">
        <v>5968</v>
      </c>
      <c r="W1046" s="3711"/>
      <c r="X1046" s="3876" t="s">
        <v>5969</v>
      </c>
      <c r="Y1046" s="3876"/>
      <c r="Z1046" s="4154"/>
      <c r="AA1046" s="3680" t="s">
        <v>5970</v>
      </c>
      <c r="AB1046" s="4154" t="s">
        <v>5971</v>
      </c>
      <c r="AC1046" s="4616">
        <v>2.1582</v>
      </c>
      <c r="AD1046" s="4154">
        <f t="shared" si="590"/>
        <v>945.2916</v>
      </c>
      <c r="AE1046" s="3726"/>
      <c r="AF1046" s="4160" t="s">
        <v>2590</v>
      </c>
      <c r="AG1046" s="3680" t="s">
        <v>416</v>
      </c>
      <c r="AH1046" s="4154"/>
      <c r="AI1046" s="3708"/>
      <c r="AJ1046" s="4575">
        <f>I1046</f>
        <v>438</v>
      </c>
      <c r="AK1046" s="4154"/>
      <c r="AL1046" s="4154"/>
      <c r="AM1046" s="3708"/>
      <c r="AN1046" s="1048"/>
      <c r="AO1046" s="1048"/>
      <c r="AP1046" s="4154">
        <f t="shared" si="591"/>
        <v>438</v>
      </c>
      <c r="AQ1046" s="1048"/>
      <c r="AR1046" s="4510"/>
      <c r="AS1046" s="1048">
        <f t="shared" ref="AS1046:AS1051" si="593">I1046</f>
        <v>438</v>
      </c>
      <c r="AT1046" s="1048"/>
      <c r="AU1046" s="4510"/>
      <c r="AV1046" s="1048"/>
      <c r="AW1046" s="1048">
        <f>I1046/6</f>
        <v>73</v>
      </c>
      <c r="AX1046" s="1048"/>
      <c r="AY1046" s="1048"/>
      <c r="AZ1046" s="1048"/>
      <c r="BA1046" s="1048"/>
      <c r="BB1046" s="1048"/>
      <c r="BC1046" s="1048"/>
      <c r="BD1046" s="1048"/>
      <c r="BE1046" s="1048"/>
      <c r="BF1046" s="4120" t="s">
        <v>89</v>
      </c>
      <c r="BG1046" s="4510"/>
      <c r="BH1046" s="4510">
        <f>I1046/60*10</f>
        <v>73</v>
      </c>
      <c r="BI1046" s="4510">
        <f>I1046/60*7</f>
        <v>51.1</v>
      </c>
      <c r="BJ1046" s="4510">
        <f>I1046/60*5</f>
        <v>36.5</v>
      </c>
      <c r="BK1046" s="4586">
        <f>I1046/60*7</f>
        <v>51.1</v>
      </c>
      <c r="BL1046" s="4587">
        <f>I1046/60*12</f>
        <v>87.6</v>
      </c>
      <c r="BM1046" s="4676">
        <f>I1046/60*10</f>
        <v>73</v>
      </c>
      <c r="BN1046" s="4676">
        <f>I1046/60*9</f>
        <v>65.7</v>
      </c>
      <c r="BO1046" s="4323"/>
      <c r="BP1046" s="4323"/>
      <c r="BQ1046" s="4323"/>
      <c r="BR1046" s="4511"/>
      <c r="BS1046" s="4316"/>
      <c r="BT1046" s="4512"/>
      <c r="BU1046" s="4511"/>
      <c r="BV1046" s="4160">
        <f t="shared" si="592"/>
        <v>438</v>
      </c>
      <c r="BW1046" s="4160">
        <f t="shared" si="568"/>
        <v>0</v>
      </c>
      <c r="BX1046" s="4160"/>
      <c r="BY1046" s="4160"/>
      <c r="BZ1046" s="4160"/>
      <c r="CA1046" s="4511"/>
      <c r="CB1046" s="4316"/>
      <c r="CC1046" s="4512"/>
      <c r="CD1046" s="4511"/>
      <c r="XCZ1046" s="4618"/>
      <c r="XDA1046" s="4618"/>
      <c r="XDB1046" s="4618"/>
      <c r="XDC1046" s="4618"/>
      <c r="XDD1046" s="4618"/>
      <c r="XDE1046" s="4618"/>
      <c r="XDF1046" s="4618"/>
      <c r="XDG1046" s="4618"/>
      <c r="XDH1046" s="4618"/>
      <c r="XDI1046" s="4618"/>
      <c r="XDJ1046" s="4618"/>
      <c r="XDK1046" s="4618"/>
      <c r="XDL1046" s="4618"/>
      <c r="XDM1046" s="4618"/>
      <c r="XDN1046" s="4618"/>
      <c r="XDO1046" s="4618"/>
      <c r="XDP1046" s="4618"/>
      <c r="XDQ1046" s="4618"/>
      <c r="XDR1046" s="4618"/>
      <c r="XDS1046" s="4618"/>
      <c r="XDT1046" s="4618"/>
      <c r="XDU1046" s="4618"/>
      <c r="XDV1046" s="4618"/>
      <c r="XDW1046" s="4618"/>
      <c r="XDX1046" s="4618"/>
      <c r="XDY1046" s="4618"/>
      <c r="XDZ1046" s="4618"/>
      <c r="XEA1046" s="4618"/>
      <c r="XEB1046" s="4618"/>
      <c r="XEC1046" s="4618"/>
      <c r="XED1046" s="4618"/>
      <c r="XEE1046" s="4618"/>
      <c r="XEF1046" s="4618"/>
      <c r="XEG1046" s="4618"/>
      <c r="XEH1046" s="4618"/>
      <c r="XEI1046" s="4618"/>
      <c r="XEJ1046" s="4618"/>
      <c r="XEK1046" s="4618"/>
      <c r="XEL1046" s="4618"/>
      <c r="XEM1046" s="4618"/>
      <c r="XEN1046" s="4618"/>
      <c r="XEO1046" s="4618"/>
      <c r="XEP1046" s="4618"/>
      <c r="XEQ1046" s="4618"/>
      <c r="XER1046" s="4618"/>
      <c r="XES1046" s="4618"/>
      <c r="XET1046" s="4618"/>
      <c r="XEU1046" s="4618"/>
      <c r="XEV1046" s="4618"/>
      <c r="XEW1046" s="4618"/>
      <c r="XEX1046" s="4618"/>
      <c r="XEY1046" s="4618"/>
      <c r="XEZ1046" s="4618"/>
      <c r="XFA1046" s="4618"/>
      <c r="XFB1046" s="4618"/>
      <c r="XFC1046" s="4618"/>
      <c r="XFD1046" s="4618"/>
    </row>
    <row r="1047" s="4025" customFormat="1" ht="50" customHeight="1" spans="1:82 16319:16384">
      <c r="A1047" s="4429">
        <v>46168</v>
      </c>
      <c r="B1047" s="4080" t="s">
        <v>1596</v>
      </c>
      <c r="C1047" s="3663" t="s">
        <v>1430</v>
      </c>
      <c r="D1047" s="4077" t="s">
        <v>5972</v>
      </c>
      <c r="E1047" s="3663" t="s">
        <v>2434</v>
      </c>
      <c r="F1047" s="4077" t="s">
        <v>5973</v>
      </c>
      <c r="G1047" s="3663" t="s">
        <v>2577</v>
      </c>
      <c r="H1047" s="3663" t="s">
        <v>2620</v>
      </c>
      <c r="I1047" s="4084">
        <v>960</v>
      </c>
      <c r="J1047" s="4084">
        <v>0</v>
      </c>
      <c r="K1047" s="4084">
        <v>12</v>
      </c>
      <c r="L1047" s="4084">
        <f t="shared" si="566"/>
        <v>80</v>
      </c>
      <c r="M1047" s="4677">
        <v>46212</v>
      </c>
      <c r="N1047" s="4678">
        <v>46209</v>
      </c>
      <c r="O1047" s="4679"/>
      <c r="P1047" s="4527" t="s">
        <v>82</v>
      </c>
      <c r="Q1047" s="4101">
        <v>960</v>
      </c>
      <c r="R1047" s="4101">
        <f t="shared" si="567"/>
        <v>0</v>
      </c>
      <c r="S1047" s="4680" t="s">
        <v>2297</v>
      </c>
      <c r="T1047" s="4681" t="s">
        <v>321</v>
      </c>
      <c r="U1047" s="4682" t="s">
        <v>4550</v>
      </c>
      <c r="V1047" s="3622" t="s">
        <v>4084</v>
      </c>
      <c r="W1047" s="3657"/>
      <c r="X1047" s="3622" t="s">
        <v>5935</v>
      </c>
      <c r="Y1047" s="4683"/>
      <c r="Z1047" s="4084"/>
      <c r="AA1047" s="4682" t="s">
        <v>5974</v>
      </c>
      <c r="AB1047" s="4084" t="s">
        <v>1434</v>
      </c>
      <c r="AC1047" s="4684">
        <v>2.2525</v>
      </c>
      <c r="AD1047" s="4084">
        <f t="shared" si="590"/>
        <v>2162.4</v>
      </c>
      <c r="AE1047" s="4685"/>
      <c r="AF1047" s="4686" t="s">
        <v>2604</v>
      </c>
      <c r="AG1047" s="4682" t="s">
        <v>416</v>
      </c>
      <c r="AH1047" s="4084"/>
      <c r="AI1047" s="3663"/>
      <c r="AJ1047" s="4687"/>
      <c r="AK1047" s="4084"/>
      <c r="AL1047" s="4084"/>
      <c r="AM1047" s="3664">
        <f>I1047</f>
        <v>960</v>
      </c>
      <c r="AN1047" s="4688"/>
      <c r="AO1047" s="4688"/>
      <c r="AP1047" s="3691">
        <f t="shared" si="591"/>
        <v>960</v>
      </c>
      <c r="AQ1047" s="4688"/>
      <c r="AR1047" s="4089"/>
      <c r="AS1047" s="4689">
        <f t="shared" si="593"/>
        <v>960</v>
      </c>
      <c r="AT1047" s="4688"/>
      <c r="AU1047" s="4688"/>
      <c r="AV1047" s="4688"/>
      <c r="AW1047" s="4688">
        <f>I1047/6</f>
        <v>160</v>
      </c>
      <c r="AX1047" s="4688"/>
      <c r="AY1047" s="4688"/>
      <c r="AZ1047" s="4688"/>
      <c r="BA1047" s="4688"/>
      <c r="BB1047" s="4688"/>
      <c r="BC1047" s="4688"/>
      <c r="BD1047" s="4688"/>
      <c r="BE1047" s="4689"/>
      <c r="BF1047" s="4689" t="s">
        <v>89</v>
      </c>
      <c r="BG1047" s="4495"/>
      <c r="BH1047" s="4495">
        <f>I1047/60*10</f>
        <v>160</v>
      </c>
      <c r="BI1047" s="4496">
        <f>I1047/60*7</f>
        <v>112</v>
      </c>
      <c r="BJ1047" s="4496">
        <f>I1047/60*5</f>
        <v>80</v>
      </c>
      <c r="BK1047" s="4390">
        <f>I1047/60*7</f>
        <v>112</v>
      </c>
      <c r="BL1047" s="4390">
        <f>I1047/60*12</f>
        <v>192</v>
      </c>
      <c r="BM1047" s="4390">
        <f>I1047/60*10</f>
        <v>160</v>
      </c>
      <c r="BN1047" s="4390">
        <f>I1047/60*9</f>
        <v>144</v>
      </c>
      <c r="BO1047" s="4390"/>
      <c r="BP1047" s="4390"/>
      <c r="BQ1047" s="4390"/>
      <c r="BR1047" s="4390"/>
      <c r="BS1047" s="4390"/>
      <c r="BT1047" s="4690"/>
      <c r="BU1047" s="4390"/>
      <c r="BV1047" s="4390">
        <f>SUM(BH1047:BN1047)</f>
        <v>960</v>
      </c>
      <c r="BW1047" s="4390">
        <f t="shared" si="568"/>
        <v>0</v>
      </c>
      <c r="BX1047" s="4387"/>
      <c r="BY1047" s="4387"/>
      <c r="BZ1047" s="4387"/>
      <c r="CA1047" s="4388"/>
      <c r="CB1047" s="4025"/>
      <c r="CC1047" s="4389"/>
      <c r="CD1047" s="4388"/>
      <c r="XCQ1047" s="4691"/>
      <c r="XCR1047" s="4691"/>
      <c r="XCS1047" s="4691"/>
      <c r="XCT1047" s="4691"/>
      <c r="XCU1047" s="4691"/>
      <c r="XCV1047" s="4691"/>
      <c r="XCW1047" s="4691"/>
      <c r="XCX1047" s="4691"/>
      <c r="XCY1047" s="4691"/>
      <c r="XCZ1047" s="4691"/>
      <c r="XDA1047" s="4691"/>
      <c r="XDB1047" s="4691"/>
      <c r="XDC1047" s="4691"/>
      <c r="XDD1047" s="4691"/>
      <c r="XDE1047" s="4691"/>
      <c r="XDF1047" s="4691"/>
      <c r="XDG1047" s="4691"/>
      <c r="XDH1047" s="4691"/>
      <c r="XDI1047" s="4691"/>
      <c r="XDJ1047" s="4691"/>
      <c r="XDK1047" s="4691"/>
      <c r="XDL1047" s="4691"/>
      <c r="XDM1047" s="4691"/>
      <c r="XDN1047" s="4691"/>
      <c r="XDO1047" s="4691"/>
      <c r="XDP1047" s="4691"/>
      <c r="XDQ1047" s="4691"/>
      <c r="XDR1047" s="4691"/>
      <c r="XDS1047" s="4691"/>
      <c r="XDT1047" s="4691"/>
      <c r="XDU1047" s="4691"/>
      <c r="XDV1047" s="4691"/>
      <c r="XDW1047" s="4691"/>
      <c r="XDX1047" s="4691"/>
      <c r="XDY1047" s="4691"/>
      <c r="XDZ1047" s="4691"/>
      <c r="XEA1047" s="4691"/>
      <c r="XEB1047" s="4691"/>
      <c r="XEC1047" s="4691"/>
      <c r="XED1047" s="4691"/>
      <c r="XEE1047" s="4691"/>
      <c r="XEF1047" s="4691"/>
      <c r="XEG1047" s="4691"/>
      <c r="XEH1047" s="4691"/>
      <c r="XEI1047" s="4691"/>
      <c r="XEJ1047" s="4691"/>
      <c r="XEK1047" s="4691"/>
      <c r="XEL1047" s="4691"/>
      <c r="XEM1047" s="4429"/>
      <c r="XEN1047" s="4080"/>
      <c r="XEO1047" s="3663"/>
      <c r="XEP1047" s="4077"/>
      <c r="XEQ1047" s="3663"/>
      <c r="XER1047" s="4077"/>
      <c r="XES1047" s="3663"/>
      <c r="XET1047" s="3663"/>
      <c r="XEU1047" s="4084"/>
      <c r="XEV1047" s="4429"/>
      <c r="XEW1047" s="4080"/>
      <c r="XEX1047" s="3663"/>
      <c r="XEY1047" s="4077"/>
      <c r="XEZ1047" s="3663"/>
      <c r="XFA1047" s="4077"/>
      <c r="XFB1047" s="3663"/>
      <c r="XFC1047" s="3663"/>
      <c r="XFD1047" s="4084"/>
    </row>
    <row r="1048" s="4025" customFormat="1" ht="50" customHeight="1" spans="1:82 16319:16384">
      <c r="A1048" s="3688">
        <v>46136</v>
      </c>
      <c r="B1048" s="3689" t="s">
        <v>5643</v>
      </c>
      <c r="C1048" s="3664" t="s">
        <v>1332</v>
      </c>
      <c r="D1048" s="3690" t="s">
        <v>5975</v>
      </c>
      <c r="E1048" s="3664" t="s">
        <v>2434</v>
      </c>
      <c r="F1048" s="3690" t="s">
        <v>5976</v>
      </c>
      <c r="G1048" s="3664" t="s">
        <v>2577</v>
      </c>
      <c r="H1048" s="3664" t="s">
        <v>2620</v>
      </c>
      <c r="I1048" s="3691">
        <v>240</v>
      </c>
      <c r="J1048" s="3691">
        <v>0</v>
      </c>
      <c r="K1048" s="3691">
        <v>12</v>
      </c>
      <c r="L1048" s="3691">
        <f t="shared" si="566"/>
        <v>20</v>
      </c>
      <c r="M1048" s="3659">
        <v>46213</v>
      </c>
      <c r="N1048" s="4111">
        <v>46209</v>
      </c>
      <c r="O1048" s="4085"/>
      <c r="P1048" s="4527" t="s">
        <v>82</v>
      </c>
      <c r="Q1048" s="4101">
        <v>240</v>
      </c>
      <c r="R1048" s="4101">
        <f t="shared" si="567"/>
        <v>0</v>
      </c>
      <c r="S1048" s="4226"/>
      <c r="T1048" s="4681" t="s">
        <v>321</v>
      </c>
      <c r="U1048" s="3620" t="s">
        <v>5977</v>
      </c>
      <c r="V1048" s="3622" t="s">
        <v>4084</v>
      </c>
      <c r="W1048" s="3657"/>
      <c r="X1048" s="3622" t="s">
        <v>5978</v>
      </c>
      <c r="Y1048" s="3657"/>
      <c r="Z1048" s="3691"/>
      <c r="AA1048" s="3620" t="s">
        <v>5979</v>
      </c>
      <c r="AB1048" s="3691" t="s">
        <v>459</v>
      </c>
      <c r="AC1048" s="4692">
        <v>2.1953</v>
      </c>
      <c r="AD1048" s="3691">
        <f t="shared" si="590"/>
        <v>526.872</v>
      </c>
      <c r="AE1048" s="3645"/>
      <c r="AF1048" s="4686" t="s">
        <v>2604</v>
      </c>
      <c r="AG1048" s="3645" t="s">
        <v>416</v>
      </c>
      <c r="AH1048" s="3691"/>
      <c r="AI1048" s="3664"/>
      <c r="AJ1048" s="4393"/>
      <c r="AK1048" s="3691"/>
      <c r="AL1048" s="3691"/>
      <c r="AM1048" s="3664">
        <f>I1048</f>
        <v>240</v>
      </c>
      <c r="AN1048" s="4089"/>
      <c r="AO1048" s="4089"/>
      <c r="AP1048" s="3691">
        <f t="shared" si="591"/>
        <v>240</v>
      </c>
      <c r="AQ1048" s="4089"/>
      <c r="AR1048" s="4089"/>
      <c r="AS1048" s="4495">
        <f t="shared" si="593"/>
        <v>240</v>
      </c>
      <c r="AT1048" s="4089"/>
      <c r="AU1048" s="4089"/>
      <c r="AV1048" s="4089"/>
      <c r="AW1048" s="4495">
        <f>I1048/6</f>
        <v>40</v>
      </c>
      <c r="AX1048" s="4089"/>
      <c r="AY1048" s="4089"/>
      <c r="AZ1048" s="4089"/>
      <c r="BA1048" s="4089"/>
      <c r="BB1048" s="4089"/>
      <c r="BC1048" s="4089"/>
      <c r="BD1048" s="4089"/>
      <c r="BE1048" s="4089"/>
      <c r="BF1048" s="4089" t="s">
        <v>89</v>
      </c>
      <c r="BG1048" s="4089"/>
      <c r="BH1048" s="4495">
        <f>I1048/60*10</f>
        <v>40</v>
      </c>
      <c r="BI1048" s="4495">
        <f>I1048/60*7</f>
        <v>28</v>
      </c>
      <c r="BJ1048" s="4495">
        <f>I1048/60*5</f>
        <v>20</v>
      </c>
      <c r="BK1048" s="4496">
        <f>I1048/60*7</f>
        <v>28</v>
      </c>
      <c r="BL1048" s="4496">
        <f>I1048/60*12</f>
        <v>48</v>
      </c>
      <c r="BM1048" s="4390">
        <f>I1048/60*10</f>
        <v>40</v>
      </c>
      <c r="BN1048" s="4693">
        <f>I1048/60*9</f>
        <v>36</v>
      </c>
      <c r="BO1048" s="4693"/>
      <c r="BP1048" s="4693"/>
      <c r="BQ1048" s="4693"/>
      <c r="BR1048" s="4693"/>
      <c r="BS1048" s="4694"/>
      <c r="BT1048" s="4695"/>
      <c r="BU1048" s="4693"/>
      <c r="BV1048" s="4693">
        <f>SUM(BH1048:BN1048)</f>
        <v>240</v>
      </c>
      <c r="BW1048" s="4693">
        <f t="shared" si="568"/>
        <v>0</v>
      </c>
      <c r="BX1048" s="4390"/>
      <c r="BY1048" s="4390"/>
      <c r="BZ1048" s="4390"/>
      <c r="CA1048" s="4388"/>
      <c r="CB1048" s="4025"/>
      <c r="CC1048" s="4389"/>
      <c r="CD1048" s="4388"/>
      <c r="XCZ1048" s="4691"/>
      <c r="XDA1048" s="4691"/>
      <c r="XDB1048" s="4691"/>
      <c r="XDC1048" s="4691"/>
      <c r="XDD1048" s="4691"/>
      <c r="XDE1048" s="4691"/>
      <c r="XDF1048" s="4691"/>
      <c r="XDG1048" s="4691"/>
      <c r="XDH1048" s="4691"/>
      <c r="XDI1048" s="4691"/>
      <c r="XDJ1048" s="4691"/>
      <c r="XDK1048" s="4691"/>
      <c r="XDL1048" s="4691"/>
      <c r="XDM1048" s="4691"/>
      <c r="XDN1048" s="4691"/>
      <c r="XDO1048" s="4691"/>
      <c r="XDP1048" s="4691"/>
      <c r="XDQ1048" s="4691"/>
      <c r="XDR1048" s="4691"/>
      <c r="XDS1048" s="4691"/>
      <c r="XDT1048" s="4691"/>
      <c r="XDU1048" s="4691"/>
      <c r="XDV1048" s="4691"/>
      <c r="XDW1048" s="4691"/>
      <c r="XDX1048" s="4691"/>
      <c r="XDY1048" s="4691"/>
      <c r="XDZ1048" s="4691"/>
      <c r="XEA1048" s="4691"/>
      <c r="XEB1048" s="4691"/>
      <c r="XEC1048" s="4691"/>
      <c r="XED1048" s="4691"/>
      <c r="XEE1048" s="4691"/>
      <c r="XEF1048" s="4691"/>
      <c r="XEG1048" s="4691"/>
      <c r="XEH1048" s="4691"/>
      <c r="XEI1048" s="4691"/>
      <c r="XEJ1048" s="4691"/>
      <c r="XEK1048" s="4691"/>
      <c r="XEL1048" s="4691"/>
      <c r="XEM1048" s="4691"/>
      <c r="XEN1048" s="4691"/>
      <c r="XEO1048" s="4691"/>
      <c r="XEP1048" s="4691"/>
      <c r="XEQ1048" s="4691"/>
      <c r="XER1048" s="4691"/>
      <c r="XES1048" s="4691"/>
      <c r="XET1048" s="4691"/>
      <c r="XEU1048" s="4691"/>
      <c r="XEV1048" s="4691"/>
      <c r="XEW1048" s="4691"/>
      <c r="XEX1048" s="4691"/>
      <c r="XEY1048" s="4691"/>
      <c r="XEZ1048" s="4691"/>
      <c r="XFA1048" s="4691"/>
      <c r="XFB1048" s="4691"/>
      <c r="XFC1048" s="4691"/>
      <c r="XFD1048" s="4691"/>
    </row>
    <row r="1049" s="4025" customFormat="1" ht="50" customHeight="1" spans="1:82 16319:16384">
      <c r="A1049" s="4696">
        <v>46155</v>
      </c>
      <c r="B1049" s="4697" t="s">
        <v>1617</v>
      </c>
      <c r="C1049" s="4698" t="s">
        <v>91</v>
      </c>
      <c r="D1049" s="4699" t="s">
        <v>5980</v>
      </c>
      <c r="E1049" s="4698" t="s">
        <v>5981</v>
      </c>
      <c r="F1049" s="4699" t="s">
        <v>5982</v>
      </c>
      <c r="G1049" s="4698" t="s">
        <v>2627</v>
      </c>
      <c r="H1049" s="3664" t="s">
        <v>2620</v>
      </c>
      <c r="I1049" s="4700">
        <v>816</v>
      </c>
      <c r="J1049" s="4700">
        <v>0</v>
      </c>
      <c r="K1049" s="4700">
        <v>24</v>
      </c>
      <c r="L1049" s="4700">
        <f t="shared" si="566"/>
        <v>34</v>
      </c>
      <c r="M1049" s="4701">
        <v>46220</v>
      </c>
      <c r="N1049" s="4702">
        <v>46216</v>
      </c>
      <c r="O1049" s="4703"/>
      <c r="P1049" s="4527" t="s">
        <v>82</v>
      </c>
      <c r="Q1049" s="4704">
        <v>816</v>
      </c>
      <c r="R1049" s="4101">
        <f t="shared" si="567"/>
        <v>0</v>
      </c>
      <c r="S1049" s="4705" t="s">
        <v>2297</v>
      </c>
      <c r="T1049" s="4226" t="s">
        <v>321</v>
      </c>
      <c r="U1049" s="3653" t="s">
        <v>4264</v>
      </c>
      <c r="V1049" s="3622" t="s">
        <v>5983</v>
      </c>
      <c r="W1049" s="3649"/>
      <c r="X1049" s="3649" t="s">
        <v>98</v>
      </c>
      <c r="Y1049" s="3695" t="s">
        <v>5984</v>
      </c>
      <c r="Z1049" s="4700"/>
      <c r="AA1049" s="3653" t="s">
        <v>5985</v>
      </c>
      <c r="AB1049" s="4700" t="s">
        <v>405</v>
      </c>
      <c r="AC1049" s="4706">
        <v>1.2539</v>
      </c>
      <c r="AD1049" s="4700">
        <f t="shared" si="590"/>
        <v>1023.1824</v>
      </c>
      <c r="AE1049" s="4221"/>
      <c r="AF1049" s="4707" t="s">
        <v>2627</v>
      </c>
      <c r="AG1049" s="4708" t="s">
        <v>416</v>
      </c>
      <c r="AH1049" s="4709"/>
      <c r="AI1049" s="4698"/>
      <c r="AJ1049" s="4710">
        <f>I1049</f>
        <v>816</v>
      </c>
      <c r="AK1049" s="4700"/>
      <c r="AL1049" s="4700"/>
      <c r="AM1049" s="4698"/>
      <c r="AN1049" s="4694"/>
      <c r="AO1049" s="4694"/>
      <c r="AP1049" s="4700">
        <f t="shared" si="591"/>
        <v>816</v>
      </c>
      <c r="AQ1049" s="4694"/>
      <c r="AR1049" s="4711"/>
      <c r="AS1049" s="4694">
        <f t="shared" si="593"/>
        <v>816</v>
      </c>
      <c r="AT1049" s="4694"/>
      <c r="AU1049" s="4711"/>
      <c r="AV1049" s="4694"/>
      <c r="AW1049" s="4694"/>
      <c r="AX1049" s="4694"/>
      <c r="AY1049" s="4694"/>
      <c r="AZ1049" s="4694"/>
      <c r="BA1049" s="4694"/>
      <c r="BB1049" s="4694"/>
      <c r="BC1049" s="4694"/>
      <c r="BD1049" s="4694"/>
      <c r="BE1049" s="4694"/>
      <c r="BF1049" s="4089" t="s">
        <v>89</v>
      </c>
      <c r="BG1049" s="4711"/>
      <c r="BH1049" s="4495">
        <f>I1049/60*10</f>
        <v>136</v>
      </c>
      <c r="BI1049" s="4495">
        <f>I1049/60*7</f>
        <v>95.2</v>
      </c>
      <c r="BJ1049" s="4495">
        <f>I1049/60*5</f>
        <v>68</v>
      </c>
      <c r="BK1049" s="4496">
        <f>I1049/60*7</f>
        <v>95.2</v>
      </c>
      <c r="BL1049" s="4496">
        <f>I1049/60*12</f>
        <v>163.2</v>
      </c>
      <c r="BM1049" s="4390">
        <f>I1049/60*10</f>
        <v>136</v>
      </c>
      <c r="BN1049" s="4712">
        <f>I1049/60*9</f>
        <v>122.4</v>
      </c>
      <c r="BO1049" s="4712"/>
      <c r="BP1049" s="4712"/>
      <c r="BQ1049" s="4712"/>
      <c r="BR1049" s="4712"/>
      <c r="BS1049" s="4688"/>
      <c r="BT1049" s="4713"/>
      <c r="BU1049" s="4712"/>
      <c r="BV1049" s="4712">
        <f t="shared" ref="BV1049:BV1054" si="594">SUM(BH1049:BU1049)</f>
        <v>816</v>
      </c>
      <c r="BW1049" s="4712">
        <f t="shared" si="568"/>
        <v>0</v>
      </c>
      <c r="BX1049" s="4387"/>
      <c r="BY1049" s="4387"/>
      <c r="BZ1049" s="4387"/>
      <c r="CA1049" s="4388"/>
      <c r="CB1049" s="4025"/>
      <c r="CC1049" s="4389"/>
      <c r="CD1049" s="4388"/>
      <c r="XCZ1049" s="4691"/>
      <c r="XDA1049" s="4691"/>
      <c r="XDB1049" s="4691"/>
      <c r="XDC1049" s="4691"/>
      <c r="XDD1049" s="4691"/>
      <c r="XDE1049" s="4691"/>
      <c r="XDF1049" s="4691"/>
      <c r="XDG1049" s="4691"/>
      <c r="XDH1049" s="4691"/>
      <c r="XDI1049" s="4691"/>
      <c r="XDJ1049" s="4691"/>
      <c r="XDK1049" s="4691"/>
      <c r="XDL1049" s="4691"/>
      <c r="XDM1049" s="4691"/>
      <c r="XDN1049" s="4691"/>
      <c r="XDO1049" s="4691"/>
      <c r="XDP1049" s="4691"/>
      <c r="XDQ1049" s="4691"/>
      <c r="XDR1049" s="4691"/>
      <c r="XDS1049" s="4691"/>
      <c r="XDT1049" s="4691"/>
      <c r="XDU1049" s="4691"/>
      <c r="XDV1049" s="4691"/>
      <c r="XDW1049" s="4691"/>
      <c r="XDX1049" s="4691"/>
      <c r="XDY1049" s="4691"/>
      <c r="XDZ1049" s="4691"/>
      <c r="XEA1049" s="4691"/>
      <c r="XEB1049" s="4691"/>
      <c r="XEC1049" s="4691"/>
      <c r="XED1049" s="4691"/>
      <c r="XEE1049" s="4691"/>
      <c r="XEF1049" s="4691"/>
      <c r="XEG1049" s="4691"/>
      <c r="XEH1049" s="4691"/>
      <c r="XEI1049" s="4691"/>
      <c r="XEJ1049" s="4691"/>
      <c r="XEK1049" s="4691"/>
      <c r="XEL1049" s="4691"/>
      <c r="XEM1049" s="4691"/>
      <c r="XEN1049" s="4691"/>
      <c r="XEO1049" s="4691"/>
      <c r="XEP1049" s="4691"/>
      <c r="XEQ1049" s="4691"/>
      <c r="XER1049" s="4691"/>
      <c r="XES1049" s="4691"/>
      <c r="XET1049" s="4691"/>
      <c r="XEU1049" s="4691"/>
      <c r="XEV1049" s="4696"/>
      <c r="XEW1049" s="4697"/>
      <c r="XEX1049" s="4698"/>
      <c r="XEY1049" s="4699"/>
      <c r="XEZ1049" s="4698"/>
      <c r="XFA1049" s="4699"/>
      <c r="XFB1049" s="4698"/>
      <c r="XFC1049" s="4698"/>
      <c r="XFD1049" s="4700"/>
    </row>
    <row r="1050" s="4025" customFormat="1" ht="50" customHeight="1" spans="1:82 16319:16384">
      <c r="A1050" s="3688">
        <v>46182</v>
      </c>
      <c r="B1050" s="3689" t="s">
        <v>5030</v>
      </c>
      <c r="C1050" s="3664" t="s">
        <v>341</v>
      </c>
      <c r="D1050" s="3690" t="s">
        <v>5986</v>
      </c>
      <c r="E1050" s="3664" t="s">
        <v>5987</v>
      </c>
      <c r="F1050" s="3690" t="s">
        <v>5988</v>
      </c>
      <c r="G1050" s="3664" t="s">
        <v>5920</v>
      </c>
      <c r="H1050" s="3664" t="s">
        <v>3069</v>
      </c>
      <c r="I1050" s="3691">
        <v>1152</v>
      </c>
      <c r="J1050" s="3691">
        <v>0</v>
      </c>
      <c r="K1050" s="3691">
        <v>288</v>
      </c>
      <c r="L1050" s="3691">
        <f t="shared" si="566"/>
        <v>4</v>
      </c>
      <c r="M1050" s="3659">
        <v>46223</v>
      </c>
      <c r="N1050" s="4111">
        <v>46219</v>
      </c>
      <c r="O1050" s="4085"/>
      <c r="P1050" s="4527" t="s">
        <v>82</v>
      </c>
      <c r="Q1050" s="4101">
        <v>1152</v>
      </c>
      <c r="R1050" s="4101">
        <f t="shared" si="567"/>
        <v>0</v>
      </c>
      <c r="S1050" s="4681" t="s">
        <v>98</v>
      </c>
      <c r="T1050" s="4681" t="s">
        <v>321</v>
      </c>
      <c r="U1050" s="3620" t="s">
        <v>5989</v>
      </c>
      <c r="V1050" s="3622" t="s">
        <v>2441</v>
      </c>
      <c r="W1050" s="3657"/>
      <c r="X1050" s="3622" t="s">
        <v>98</v>
      </c>
      <c r="Y1050" s="3657"/>
      <c r="Z1050" s="3691"/>
      <c r="AA1050" s="3620" t="s">
        <v>5990</v>
      </c>
      <c r="AB1050" s="3691" t="s">
        <v>5106</v>
      </c>
      <c r="AC1050" s="4692">
        <v>667.3835</v>
      </c>
      <c r="AD1050" s="3691">
        <f>AC1050*L1050</f>
        <v>2669.534</v>
      </c>
      <c r="AE1050" s="3645"/>
      <c r="AF1050" s="4686" t="s">
        <v>5920</v>
      </c>
      <c r="AG1050" s="3620" t="s">
        <v>416</v>
      </c>
      <c r="AH1050" s="3691"/>
      <c r="AI1050" s="3664"/>
      <c r="AJ1050" s="4393">
        <f>I1050</f>
        <v>1152</v>
      </c>
      <c r="AK1050" s="3691"/>
      <c r="AL1050" s="3691"/>
      <c r="AM1050" s="3664"/>
      <c r="AN1050" s="4089"/>
      <c r="AO1050" s="4089"/>
      <c r="AP1050" s="3691">
        <f t="shared" si="591"/>
        <v>1152</v>
      </c>
      <c r="AQ1050" s="4089"/>
      <c r="AR1050" s="4495"/>
      <c r="AS1050" s="4089">
        <f t="shared" si="593"/>
        <v>1152</v>
      </c>
      <c r="AT1050" s="4089"/>
      <c r="AU1050" s="4495"/>
      <c r="AV1050" s="4089"/>
      <c r="AW1050" s="4089"/>
      <c r="AX1050" s="4089"/>
      <c r="AY1050" s="4089"/>
      <c r="AZ1050" s="4089"/>
      <c r="BA1050" s="4089">
        <f>I1050/4</f>
        <v>288</v>
      </c>
      <c r="BB1050" s="4089"/>
      <c r="BC1050" s="4089"/>
      <c r="BD1050" s="4089"/>
      <c r="BE1050" s="4089"/>
      <c r="BF1050" s="3626" t="s">
        <v>89</v>
      </c>
      <c r="BG1050" s="4495"/>
      <c r="BH1050" s="4495">
        <f>I1050/60*10</f>
        <v>192</v>
      </c>
      <c r="BI1050" s="4495">
        <f>I1050/60*10</f>
        <v>192</v>
      </c>
      <c r="BJ1050" s="4495">
        <f>I1050/60*10</f>
        <v>192</v>
      </c>
      <c r="BK1050" s="4714">
        <f>I1050/60*10</f>
        <v>192</v>
      </c>
      <c r="BL1050" s="4715">
        <f>I1050/60*10</f>
        <v>192</v>
      </c>
      <c r="BM1050" s="4390">
        <f>I1050/60*8</f>
        <v>153.6</v>
      </c>
      <c r="BN1050" s="4716">
        <f>I1050/60*2</f>
        <v>38.4</v>
      </c>
      <c r="BO1050" s="4548"/>
      <c r="BP1050" s="4548"/>
      <c r="BQ1050" s="4548"/>
      <c r="BR1050" s="4717"/>
      <c r="BS1050" s="4718"/>
      <c r="BT1050" s="4719"/>
      <c r="BU1050" s="4717"/>
      <c r="BV1050" s="4390">
        <f t="shared" si="594"/>
        <v>1152</v>
      </c>
      <c r="BW1050" s="4390">
        <f t="shared" si="568"/>
        <v>0</v>
      </c>
      <c r="BX1050" s="4477"/>
      <c r="BY1050" s="4387"/>
      <c r="BZ1050" s="4387"/>
      <c r="CA1050" s="4388"/>
      <c r="CB1050" s="4025"/>
      <c r="CC1050" s="4389"/>
      <c r="CD1050" s="4388"/>
      <c r="XCZ1050" s="4691"/>
      <c r="XDA1050" s="4691"/>
      <c r="XDB1050" s="4691"/>
      <c r="XDC1050" s="4691"/>
      <c r="XDD1050" s="4691"/>
      <c r="XDE1050" s="4691"/>
      <c r="XDF1050" s="4691"/>
      <c r="XDG1050" s="4691"/>
      <c r="XDH1050" s="4691"/>
      <c r="XDI1050" s="4691"/>
      <c r="XDJ1050" s="4691"/>
      <c r="XDK1050" s="4691"/>
      <c r="XDL1050" s="4691"/>
      <c r="XDM1050" s="4691"/>
      <c r="XDN1050" s="4691"/>
      <c r="XDO1050" s="4691"/>
      <c r="XDP1050" s="4691"/>
      <c r="XDQ1050" s="4691"/>
      <c r="XDR1050" s="4691"/>
      <c r="XDS1050" s="4691"/>
      <c r="XDT1050" s="4691"/>
      <c r="XDU1050" s="4691"/>
      <c r="XDV1050" s="4691"/>
      <c r="XDW1050" s="4691"/>
      <c r="XDX1050" s="4691"/>
      <c r="XDY1050" s="4691"/>
      <c r="XDZ1050" s="4691"/>
      <c r="XEA1050" s="4691"/>
      <c r="XEB1050" s="4691"/>
      <c r="XEC1050" s="4691"/>
      <c r="XED1050" s="4691"/>
      <c r="XEE1050" s="4691"/>
      <c r="XEF1050" s="4691"/>
      <c r="XEG1050" s="4691"/>
      <c r="XEH1050" s="4691"/>
      <c r="XEI1050" s="4691"/>
      <c r="XEJ1050" s="4691"/>
      <c r="XEK1050" s="4691"/>
      <c r="XEL1050" s="4691"/>
      <c r="XEM1050" s="4691"/>
      <c r="XEN1050" s="4691"/>
      <c r="XEO1050" s="4691"/>
      <c r="XEP1050" s="4691"/>
      <c r="XEQ1050" s="4691"/>
      <c r="XER1050" s="4691"/>
      <c r="XES1050" s="4691"/>
      <c r="XET1050" s="4691"/>
      <c r="XEU1050" s="4691"/>
      <c r="XEV1050" s="3688"/>
      <c r="XEW1050" s="3689"/>
      <c r="XEX1050" s="3664"/>
      <c r="XEY1050" s="3690"/>
      <c r="XEZ1050" s="3664"/>
      <c r="XFA1050" s="3690"/>
      <c r="XFB1050" s="3664"/>
      <c r="XFC1050" s="3664"/>
      <c r="XFD1050" s="3691"/>
    </row>
    <row r="1051" s="4318" customFormat="1" ht="50" customHeight="1" spans="1:82 16319:16384">
      <c r="A1051" s="4513">
        <v>46132</v>
      </c>
      <c r="B1051" s="4514" t="s">
        <v>5234</v>
      </c>
      <c r="C1051" s="905" t="s">
        <v>738</v>
      </c>
      <c r="D1051" s="4515" t="s">
        <v>5991</v>
      </c>
      <c r="E1051" s="905" t="s">
        <v>2434</v>
      </c>
      <c r="F1051" s="4515" t="s">
        <v>5992</v>
      </c>
      <c r="G1051" s="905" t="s">
        <v>2577</v>
      </c>
      <c r="H1051" s="905" t="s">
        <v>2620</v>
      </c>
      <c r="I1051" s="906">
        <v>804</v>
      </c>
      <c r="J1051" s="906">
        <v>0</v>
      </c>
      <c r="K1051" s="906">
        <v>12</v>
      </c>
      <c r="L1051" s="906">
        <f t="shared" si="566"/>
        <v>67</v>
      </c>
      <c r="M1051" s="4516">
        <v>46191</v>
      </c>
      <c r="N1051" s="3737">
        <v>46218</v>
      </c>
      <c r="O1051" s="905"/>
      <c r="P1051" s="4527" t="s">
        <v>82</v>
      </c>
      <c r="Q1051" s="4156">
        <v>804</v>
      </c>
      <c r="R1051" s="4156">
        <f t="shared" si="567"/>
        <v>0</v>
      </c>
      <c r="S1051" s="4635" t="s">
        <v>2297</v>
      </c>
      <c r="T1051" s="4635" t="s">
        <v>321</v>
      </c>
      <c r="U1051" s="3625" t="s">
        <v>4123</v>
      </c>
      <c r="V1051" s="3739" t="s">
        <v>1336</v>
      </c>
      <c r="W1051" s="3739"/>
      <c r="X1051" s="3820" t="s">
        <v>5993</v>
      </c>
      <c r="Y1051" s="3820" t="s">
        <v>5994</v>
      </c>
      <c r="Z1051" s="906"/>
      <c r="AA1051" s="3625" t="s">
        <v>5995</v>
      </c>
      <c r="AB1051" s="906" t="s">
        <v>459</v>
      </c>
      <c r="AC1051" s="4629">
        <v>2.1953</v>
      </c>
      <c r="AD1051" s="906">
        <f t="shared" ref="AD1051:AD1065" si="595">AC1051*I1051</f>
        <v>1765.0212</v>
      </c>
      <c r="AE1051" s="4148"/>
      <c r="AF1051" s="4630" t="s">
        <v>2604</v>
      </c>
      <c r="AG1051" s="4720" t="s">
        <v>416</v>
      </c>
      <c r="AH1051" s="906"/>
      <c r="AI1051" s="905"/>
      <c r="AJ1051" s="4528"/>
      <c r="AK1051" s="906"/>
      <c r="AL1051" s="906"/>
      <c r="AM1051" s="905">
        <f t="shared" ref="AM1051:AM1057" si="596">I1051</f>
        <v>804</v>
      </c>
      <c r="AN1051" s="4382"/>
      <c r="AO1051" s="4382"/>
      <c r="AP1051" s="906">
        <f t="shared" si="591"/>
        <v>804</v>
      </c>
      <c r="AQ1051" s="4382"/>
      <c r="AR1051" s="4518"/>
      <c r="AS1051" s="4382">
        <f t="shared" si="593"/>
        <v>804</v>
      </c>
      <c r="AT1051" s="4382"/>
      <c r="AU1051" s="4518"/>
      <c r="AV1051" s="4382"/>
      <c r="AW1051" s="4382">
        <f>I1051/6</f>
        <v>134</v>
      </c>
      <c r="AX1051" s="4382"/>
      <c r="AY1051" s="4382"/>
      <c r="AZ1051" s="4382"/>
      <c r="BA1051" s="4382"/>
      <c r="BB1051" s="4382"/>
      <c r="BC1051" s="4382"/>
      <c r="BD1051" s="4382"/>
      <c r="BE1051" s="4382"/>
      <c r="BF1051" s="4518" t="s">
        <v>89</v>
      </c>
      <c r="BG1051" s="4518"/>
      <c r="BH1051" s="4518">
        <f>I1051/60*6</f>
        <v>80.4</v>
      </c>
      <c r="BI1051" s="4518">
        <f>I1051/60*4</f>
        <v>53.6</v>
      </c>
      <c r="BJ1051" s="4518">
        <f>I1051/60*15</f>
        <v>201</v>
      </c>
      <c r="BK1051" s="4631">
        <f>I1051/60*8</f>
        <v>107.2</v>
      </c>
      <c r="BL1051" s="4632">
        <f>I1051/60*7</f>
        <v>93.8</v>
      </c>
      <c r="BM1051" s="4648">
        <f>I1051/60*9</f>
        <v>120.6</v>
      </c>
      <c r="BN1051" s="4648">
        <f>I1051/60*11</f>
        <v>147.4</v>
      </c>
      <c r="BO1051" s="4649"/>
      <c r="BP1051" s="4649"/>
      <c r="BQ1051" s="4649"/>
      <c r="BR1051" s="4645"/>
      <c r="BS1051" s="4650"/>
      <c r="BT1051" s="4647"/>
      <c r="BU1051" s="4645"/>
      <c r="BV1051" s="4544">
        <f t="shared" si="594"/>
        <v>804</v>
      </c>
      <c r="BW1051" s="4544">
        <f t="shared" si="568"/>
        <v>0</v>
      </c>
      <c r="BX1051" s="4544"/>
      <c r="BY1051" s="4544"/>
      <c r="BZ1051" s="4544"/>
      <c r="CA1051" s="4550"/>
      <c r="CB1051" s="4318"/>
      <c r="CC1051" s="4551"/>
      <c r="CD1051" s="4550"/>
      <c r="XCZ1051" s="4634"/>
      <c r="XDA1051" s="4634"/>
      <c r="XDB1051" s="4634"/>
      <c r="XDC1051" s="4634"/>
      <c r="XDD1051" s="4634"/>
      <c r="XDE1051" s="4634"/>
      <c r="XDF1051" s="4634"/>
      <c r="XDG1051" s="4634"/>
      <c r="XDH1051" s="4634"/>
      <c r="XDI1051" s="4634"/>
      <c r="XDJ1051" s="4634"/>
      <c r="XDK1051" s="4634"/>
      <c r="XDL1051" s="4634"/>
      <c r="XDM1051" s="4634"/>
      <c r="XDN1051" s="4634"/>
      <c r="XDO1051" s="4634"/>
      <c r="XDP1051" s="4634"/>
      <c r="XDQ1051" s="4634"/>
      <c r="XDR1051" s="4634"/>
      <c r="XDS1051" s="4634"/>
      <c r="XDT1051" s="4634"/>
      <c r="XDU1051" s="4634"/>
      <c r="XDV1051" s="4634"/>
      <c r="XDW1051" s="4634"/>
      <c r="XDX1051" s="4634"/>
      <c r="XDY1051" s="4634"/>
      <c r="XDZ1051" s="4634"/>
      <c r="XEA1051" s="4634"/>
      <c r="XEB1051" s="4634"/>
      <c r="XEC1051" s="4634"/>
      <c r="XED1051" s="4634"/>
      <c r="XEE1051" s="4634"/>
      <c r="XEF1051" s="4634"/>
      <c r="XEG1051" s="4634"/>
      <c r="XEH1051" s="4634"/>
      <c r="XEI1051" s="4634"/>
      <c r="XEJ1051" s="4634"/>
      <c r="XEK1051" s="4634"/>
      <c r="XEL1051" s="4634"/>
      <c r="XEM1051" s="4634"/>
      <c r="XEN1051" s="4634"/>
      <c r="XEO1051" s="4634"/>
      <c r="XEP1051" s="4634"/>
      <c r="XEQ1051" s="4634"/>
      <c r="XER1051" s="4634"/>
      <c r="XES1051" s="4634"/>
      <c r="XET1051" s="4634"/>
      <c r="XEU1051" s="4634"/>
      <c r="XEV1051" s="4634"/>
      <c r="XEW1051" s="4634"/>
      <c r="XEX1051" s="4634"/>
      <c r="XEY1051" s="4634"/>
      <c r="XEZ1051" s="4634"/>
      <c r="XFA1051" s="4634"/>
      <c r="XFB1051" s="4634"/>
      <c r="XFC1051" s="4634"/>
      <c r="XFD1051" s="4634"/>
    </row>
    <row r="1052" s="4318" customFormat="1" ht="50" customHeight="1" spans="1:82 16319:16384">
      <c r="A1052" s="4513">
        <v>46171</v>
      </c>
      <c r="B1052" s="4514" t="s">
        <v>5960</v>
      </c>
      <c r="C1052" s="905" t="s">
        <v>396</v>
      </c>
      <c r="D1052" s="4515">
        <v>4500209931</v>
      </c>
      <c r="E1052" s="905" t="s">
        <v>5996</v>
      </c>
      <c r="F1052" s="4515" t="s">
        <v>5997</v>
      </c>
      <c r="G1052" s="905" t="s">
        <v>2666</v>
      </c>
      <c r="H1052" s="905" t="s">
        <v>2667</v>
      </c>
      <c r="I1052" s="3736">
        <v>12</v>
      </c>
      <c r="J1052" s="3736">
        <v>0</v>
      </c>
      <c r="K1052" s="3736">
        <v>12</v>
      </c>
      <c r="L1052" s="906">
        <f t="shared" si="566"/>
        <v>1</v>
      </c>
      <c r="M1052" s="4516">
        <v>46218</v>
      </c>
      <c r="N1052" s="4516">
        <v>46214</v>
      </c>
      <c r="O1052" s="905"/>
      <c r="P1052" s="4527" t="s">
        <v>82</v>
      </c>
      <c r="Q1052" s="4156">
        <v>12</v>
      </c>
      <c r="R1052" s="4156">
        <f t="shared" si="567"/>
        <v>0</v>
      </c>
      <c r="S1052" s="4721" t="s">
        <v>2297</v>
      </c>
      <c r="T1052" s="4635" t="s">
        <v>321</v>
      </c>
      <c r="U1052" s="4148"/>
      <c r="V1052" s="3820" t="s">
        <v>1455</v>
      </c>
      <c r="W1052" s="3739"/>
      <c r="X1052" s="3820" t="s">
        <v>2670</v>
      </c>
      <c r="Y1052" s="3820" t="s">
        <v>5998</v>
      </c>
      <c r="Z1052" s="3740"/>
      <c r="AA1052" s="3625" t="s">
        <v>5999</v>
      </c>
      <c r="AB1052" s="906" t="s">
        <v>6000</v>
      </c>
      <c r="AC1052" s="4130">
        <v>2.0915</v>
      </c>
      <c r="AD1052" s="3736">
        <f t="shared" si="595"/>
        <v>25.098</v>
      </c>
      <c r="AE1052" s="4148"/>
      <c r="AF1052" s="905" t="s">
        <v>2666</v>
      </c>
      <c r="AG1052" s="3625" t="s">
        <v>416</v>
      </c>
      <c r="AH1052" s="905"/>
      <c r="AI1052" s="906"/>
      <c r="AJ1052" s="906"/>
      <c r="AK1052" s="905"/>
      <c r="AL1052" s="905"/>
      <c r="AM1052" s="905">
        <f t="shared" si="596"/>
        <v>12</v>
      </c>
      <c r="AN1052" s="906"/>
      <c r="AO1052" s="906"/>
      <c r="AP1052" s="906">
        <f t="shared" si="591"/>
        <v>12</v>
      </c>
      <c r="AQ1052" s="4382"/>
      <c r="AR1052" s="4382"/>
      <c r="AS1052" s="4382"/>
      <c r="AT1052" s="4382"/>
      <c r="AU1052" s="4382">
        <f>I1052</f>
        <v>12</v>
      </c>
      <c r="AV1052" s="4382"/>
      <c r="AW1052" s="4382"/>
      <c r="AX1052" s="4382"/>
      <c r="AY1052" s="4382"/>
      <c r="AZ1052" s="4382"/>
      <c r="BA1052" s="4382"/>
      <c r="BB1052" s="4382"/>
      <c r="BC1052" s="4382"/>
      <c r="BD1052" s="4382"/>
      <c r="BE1052" s="4382"/>
      <c r="BF1052" s="3746" t="s">
        <v>89</v>
      </c>
      <c r="BG1052" s="4722"/>
      <c r="BH1052" s="4722"/>
      <c r="BI1052" s="4722"/>
      <c r="BJ1052" s="4722"/>
      <c r="BK1052" s="4722"/>
      <c r="BL1052" s="4722"/>
      <c r="BM1052" s="4723">
        <f>I1052-BN1052</f>
        <v>11.6</v>
      </c>
      <c r="BN1052" s="4724">
        <f>I1052/60*2</f>
        <v>0.4</v>
      </c>
      <c r="BO1052" s="4317"/>
      <c r="BP1052" s="4317"/>
      <c r="BQ1052" s="4317"/>
      <c r="BR1052" s="4521"/>
      <c r="BS1052" s="4317"/>
      <c r="BT1052" s="4522"/>
      <c r="BU1052" s="4521"/>
      <c r="BV1052" s="4725">
        <f t="shared" si="594"/>
        <v>12</v>
      </c>
      <c r="BW1052" s="4725">
        <f t="shared" si="568"/>
        <v>0</v>
      </c>
      <c r="BX1052" s="4409"/>
      <c r="BY1052" s="4409"/>
      <c r="BZ1052" s="4409"/>
      <c r="CA1052" s="4550"/>
      <c r="CB1052" s="4318"/>
      <c r="CC1052" s="4551"/>
      <c r="CD1052" s="4550"/>
      <c r="XCZ1052" s="4634"/>
      <c r="XDA1052" s="4634"/>
      <c r="XDB1052" s="4634"/>
      <c r="XDC1052" s="4634"/>
      <c r="XDD1052" s="4634"/>
      <c r="XDE1052" s="4634"/>
      <c r="XDF1052" s="4634"/>
      <c r="XDG1052" s="4634"/>
      <c r="XDH1052" s="4634"/>
      <c r="XDI1052" s="4634"/>
      <c r="XDJ1052" s="4634"/>
      <c r="XDK1052" s="4634"/>
      <c r="XDL1052" s="4634"/>
      <c r="XDM1052" s="4634"/>
      <c r="XDN1052" s="4634"/>
      <c r="XDO1052" s="4634"/>
      <c r="XDP1052" s="4634"/>
      <c r="XDQ1052" s="4634"/>
      <c r="XDR1052" s="4634"/>
      <c r="XDS1052" s="4634"/>
      <c r="XDT1052" s="4634"/>
      <c r="XDU1052" s="4634"/>
      <c r="XDV1052" s="4634"/>
      <c r="XDW1052" s="4634"/>
      <c r="XDX1052" s="4634"/>
      <c r="XDY1052" s="4634"/>
      <c r="XDZ1052" s="4634"/>
      <c r="XEA1052" s="4634"/>
      <c r="XEB1052" s="4634"/>
      <c r="XEC1052" s="4634"/>
      <c r="XED1052" s="4634"/>
      <c r="XEE1052" s="4634"/>
      <c r="XEF1052" s="4634"/>
      <c r="XEG1052" s="4634"/>
      <c r="XEH1052" s="4634"/>
      <c r="XEI1052" s="4634"/>
      <c r="XEJ1052" s="4634"/>
      <c r="XEK1052" s="4634"/>
      <c r="XEL1052" s="4634"/>
      <c r="XEM1052" s="4634"/>
      <c r="XEN1052" s="4634"/>
      <c r="XEO1052" s="4634"/>
      <c r="XEP1052" s="4634"/>
      <c r="XEQ1052" s="4634"/>
      <c r="XER1052" s="4634"/>
      <c r="XES1052" s="4634"/>
      <c r="XET1052" s="4634"/>
      <c r="XEU1052" s="4634"/>
      <c r="XEV1052" s="4726"/>
      <c r="XEW1052" s="4727"/>
      <c r="XEX1052" s="4728"/>
      <c r="XEY1052" s="4729"/>
      <c r="XEZ1052" s="4728"/>
      <c r="XFA1052" s="4729"/>
      <c r="XFB1052" s="4728"/>
      <c r="XFC1052" s="4728"/>
      <c r="XFD1052" s="4730"/>
    </row>
    <row r="1053" s="4318" customFormat="1" ht="50" customHeight="1" spans="1:82 16319:16384">
      <c r="A1053" s="4513">
        <v>46171</v>
      </c>
      <c r="B1053" s="4514" t="s">
        <v>5960</v>
      </c>
      <c r="C1053" s="905" t="s">
        <v>396</v>
      </c>
      <c r="D1053" s="4515">
        <v>4500209931</v>
      </c>
      <c r="E1053" s="905" t="s">
        <v>6001</v>
      </c>
      <c r="F1053" s="4515" t="s">
        <v>6002</v>
      </c>
      <c r="G1053" s="905" t="s">
        <v>2666</v>
      </c>
      <c r="H1053" s="905" t="s">
        <v>2667</v>
      </c>
      <c r="I1053" s="3736">
        <v>12</v>
      </c>
      <c r="J1053" s="3736">
        <v>0</v>
      </c>
      <c r="K1053" s="3736">
        <v>12</v>
      </c>
      <c r="L1053" s="906">
        <f t="shared" si="566"/>
        <v>1</v>
      </c>
      <c r="M1053" s="4516">
        <v>46218</v>
      </c>
      <c r="N1053" s="4516">
        <v>46214</v>
      </c>
      <c r="O1053" s="905"/>
      <c r="P1053" s="4527" t="s">
        <v>82</v>
      </c>
      <c r="Q1053" s="4156">
        <v>12</v>
      </c>
      <c r="R1053" s="4156">
        <f t="shared" si="567"/>
        <v>0</v>
      </c>
      <c r="S1053" s="4564"/>
      <c r="T1053" s="4635" t="s">
        <v>321</v>
      </c>
      <c r="U1053" s="4148"/>
      <c r="V1053" s="4128" t="s">
        <v>1455</v>
      </c>
      <c r="W1053" s="3739"/>
      <c r="X1053" s="3820" t="s">
        <v>2670</v>
      </c>
      <c r="Y1053" s="3820" t="s">
        <v>5998</v>
      </c>
      <c r="Z1053" s="3740"/>
      <c r="AA1053" s="3625" t="s">
        <v>5999</v>
      </c>
      <c r="AB1053" s="906" t="s">
        <v>6000</v>
      </c>
      <c r="AC1053" s="4130">
        <v>2.0915</v>
      </c>
      <c r="AD1053" s="3736">
        <f t="shared" si="595"/>
        <v>25.098</v>
      </c>
      <c r="AE1053" s="4148"/>
      <c r="AF1053" s="905" t="s">
        <v>2666</v>
      </c>
      <c r="AG1053" s="3625" t="s">
        <v>416</v>
      </c>
      <c r="AH1053" s="905"/>
      <c r="AI1053" s="906"/>
      <c r="AJ1053" s="906"/>
      <c r="AK1053" s="905"/>
      <c r="AL1053" s="905"/>
      <c r="AM1053" s="905">
        <f t="shared" si="596"/>
        <v>12</v>
      </c>
      <c r="AN1053" s="906"/>
      <c r="AO1053" s="906"/>
      <c r="AP1053" s="906">
        <f t="shared" si="591"/>
        <v>12</v>
      </c>
      <c r="AQ1053" s="4382"/>
      <c r="AR1053" s="4382"/>
      <c r="AS1053" s="4382"/>
      <c r="AT1053" s="4382"/>
      <c r="AU1053" s="4382">
        <f>I1053</f>
        <v>12</v>
      </c>
      <c r="AV1053" s="4382"/>
      <c r="AW1053" s="4382"/>
      <c r="AX1053" s="4382"/>
      <c r="AY1053" s="4382"/>
      <c r="AZ1053" s="4382"/>
      <c r="BA1053" s="4382"/>
      <c r="BB1053" s="4382"/>
      <c r="BC1053" s="4382"/>
      <c r="BD1053" s="4382"/>
      <c r="BE1053" s="4382"/>
      <c r="BF1053" s="3750" t="s">
        <v>89</v>
      </c>
      <c r="BG1053" s="4382"/>
      <c r="BH1053" s="4382"/>
      <c r="BI1053" s="4382"/>
      <c r="BJ1053" s="4382"/>
      <c r="BK1053" s="4382"/>
      <c r="BL1053" s="4382"/>
      <c r="BM1053" s="4530">
        <f>I1053-BN1053</f>
        <v>11.6</v>
      </c>
      <c r="BN1053" s="4731">
        <f>I1053/60*2</f>
        <v>0.4</v>
      </c>
      <c r="BO1053" s="4732"/>
      <c r="BP1053" s="4732"/>
      <c r="BQ1053" s="4732"/>
      <c r="BR1053" s="4733"/>
      <c r="BS1053" s="4732"/>
      <c r="BT1053" s="4734"/>
      <c r="BU1053" s="4733"/>
      <c r="BV1053" s="4733">
        <f t="shared" si="594"/>
        <v>12</v>
      </c>
      <c r="BW1053" s="4733">
        <f t="shared" si="568"/>
        <v>0</v>
      </c>
      <c r="BX1053" s="4640"/>
      <c r="BY1053" s="4409"/>
      <c r="BZ1053" s="4409"/>
      <c r="CA1053" s="4550"/>
      <c r="CB1053" s="4318"/>
      <c r="CC1053" s="4551"/>
      <c r="CD1053" s="4550"/>
      <c r="XCZ1053" s="4634"/>
      <c r="XDA1053" s="4634"/>
      <c r="XDB1053" s="4634"/>
      <c r="XDC1053" s="4634"/>
      <c r="XDD1053" s="4634"/>
      <c r="XDE1053" s="4634"/>
      <c r="XDF1053" s="4634"/>
      <c r="XDG1053" s="4634"/>
      <c r="XDH1053" s="4634"/>
      <c r="XDI1053" s="4634"/>
      <c r="XDJ1053" s="4634"/>
      <c r="XDK1053" s="4634"/>
      <c r="XDL1053" s="4634"/>
      <c r="XDM1053" s="4634"/>
      <c r="XDN1053" s="4634"/>
      <c r="XDO1053" s="4634"/>
      <c r="XDP1053" s="4634"/>
      <c r="XDQ1053" s="4634"/>
      <c r="XDR1053" s="4634"/>
      <c r="XDS1053" s="4634"/>
      <c r="XDT1053" s="4634"/>
      <c r="XDU1053" s="4634"/>
      <c r="XDV1053" s="4634"/>
      <c r="XDW1053" s="4634"/>
      <c r="XDX1053" s="4634"/>
      <c r="XDY1053" s="4634"/>
      <c r="XDZ1053" s="4634"/>
      <c r="XEA1053" s="4634"/>
      <c r="XEB1053" s="4634"/>
      <c r="XEC1053" s="4634"/>
      <c r="XED1053" s="4634"/>
      <c r="XEE1053" s="4634"/>
      <c r="XEF1053" s="4634"/>
      <c r="XEG1053" s="4634"/>
      <c r="XEH1053" s="4634"/>
      <c r="XEI1053" s="4634"/>
      <c r="XEJ1053" s="4634"/>
      <c r="XEK1053" s="4634"/>
      <c r="XEL1053" s="4634"/>
      <c r="XEM1053" s="4634"/>
      <c r="XEN1053" s="4634"/>
      <c r="XEO1053" s="4634"/>
      <c r="XEP1053" s="4634"/>
      <c r="XEQ1053" s="4634"/>
      <c r="XER1053" s="4634"/>
      <c r="XES1053" s="4634"/>
      <c r="XET1053" s="4634"/>
      <c r="XEU1053" s="4634"/>
      <c r="XEV1053" s="4513"/>
      <c r="XEW1053" s="4514"/>
      <c r="XEX1053" s="905"/>
      <c r="XEY1053" s="4515"/>
      <c r="XEZ1053" s="905"/>
      <c r="XFA1053" s="4515"/>
      <c r="XFB1053" s="905"/>
      <c r="XFC1053" s="905"/>
      <c r="XFD1053" s="3736"/>
    </row>
    <row r="1054" s="4318" customFormat="1" ht="50" customHeight="1" spans="1:82 16319:16384">
      <c r="A1054" s="4513">
        <v>46171</v>
      </c>
      <c r="B1054" s="4514" t="s">
        <v>5960</v>
      </c>
      <c r="C1054" s="905" t="s">
        <v>396</v>
      </c>
      <c r="D1054" s="4515">
        <v>4500209931</v>
      </c>
      <c r="E1054" s="905" t="s">
        <v>6003</v>
      </c>
      <c r="F1054" s="4515" t="s">
        <v>6004</v>
      </c>
      <c r="G1054" s="905" t="s">
        <v>2666</v>
      </c>
      <c r="H1054" s="905" t="s">
        <v>2667</v>
      </c>
      <c r="I1054" s="3736">
        <v>12</v>
      </c>
      <c r="J1054" s="3736">
        <v>0</v>
      </c>
      <c r="K1054" s="3736">
        <v>12</v>
      </c>
      <c r="L1054" s="906">
        <f t="shared" si="566"/>
        <v>1</v>
      </c>
      <c r="M1054" s="4516">
        <v>46218</v>
      </c>
      <c r="N1054" s="4516">
        <v>46214</v>
      </c>
      <c r="O1054" s="905"/>
      <c r="P1054" s="4527" t="s">
        <v>82</v>
      </c>
      <c r="Q1054" s="4156">
        <v>12</v>
      </c>
      <c r="R1054" s="4156">
        <f t="shared" si="567"/>
        <v>0</v>
      </c>
      <c r="S1054" s="4557"/>
      <c r="T1054" s="4635" t="s">
        <v>321</v>
      </c>
      <c r="U1054" s="4148"/>
      <c r="V1054" s="4128" t="s">
        <v>1455</v>
      </c>
      <c r="W1054" s="3739"/>
      <c r="X1054" s="3820" t="s">
        <v>2670</v>
      </c>
      <c r="Y1054" s="3820" t="s">
        <v>5998</v>
      </c>
      <c r="Z1054" s="3740"/>
      <c r="AA1054" s="3625" t="s">
        <v>5999</v>
      </c>
      <c r="AB1054" s="906" t="s">
        <v>6000</v>
      </c>
      <c r="AC1054" s="4130">
        <v>2.0915</v>
      </c>
      <c r="AD1054" s="3736">
        <f t="shared" si="595"/>
        <v>25.098</v>
      </c>
      <c r="AE1054" s="4148"/>
      <c r="AF1054" s="905" t="s">
        <v>2666</v>
      </c>
      <c r="AG1054" s="3625" t="s">
        <v>416</v>
      </c>
      <c r="AH1054" s="905"/>
      <c r="AI1054" s="906"/>
      <c r="AJ1054" s="906"/>
      <c r="AK1054" s="905"/>
      <c r="AL1054" s="905"/>
      <c r="AM1054" s="905">
        <f t="shared" si="596"/>
        <v>12</v>
      </c>
      <c r="AN1054" s="906"/>
      <c r="AO1054" s="906"/>
      <c r="AP1054" s="906">
        <f t="shared" si="591"/>
        <v>12</v>
      </c>
      <c r="AQ1054" s="4382"/>
      <c r="AR1054" s="4382"/>
      <c r="AS1054" s="4382"/>
      <c r="AT1054" s="4382"/>
      <c r="AU1054" s="4382">
        <f>I1054</f>
        <v>12</v>
      </c>
      <c r="AV1054" s="4382"/>
      <c r="AW1054" s="4382"/>
      <c r="AX1054" s="4382"/>
      <c r="AY1054" s="4382"/>
      <c r="AZ1054" s="4382"/>
      <c r="BA1054" s="4382"/>
      <c r="BB1054" s="4382"/>
      <c r="BC1054" s="4382"/>
      <c r="BD1054" s="4382"/>
      <c r="BE1054" s="4382"/>
      <c r="BF1054" s="3750" t="s">
        <v>89</v>
      </c>
      <c r="BG1054" s="4382"/>
      <c r="BH1054" s="4382"/>
      <c r="BI1054" s="4382"/>
      <c r="BJ1054" s="4382"/>
      <c r="BK1054" s="4382"/>
      <c r="BL1054" s="4382"/>
      <c r="BM1054" s="4530">
        <f>I1054-BN1054</f>
        <v>11.6</v>
      </c>
      <c r="BN1054" s="4731">
        <f>I1054/60*2</f>
        <v>0.4</v>
      </c>
      <c r="BO1054" s="4732"/>
      <c r="BP1054" s="4732"/>
      <c r="BQ1054" s="4732"/>
      <c r="BR1054" s="4733"/>
      <c r="BS1054" s="4732"/>
      <c r="BT1054" s="4734"/>
      <c r="BU1054" s="4733"/>
      <c r="BV1054" s="4733">
        <f t="shared" si="594"/>
        <v>12</v>
      </c>
      <c r="BW1054" s="4733">
        <f t="shared" si="568"/>
        <v>0</v>
      </c>
      <c r="BX1054" s="4640"/>
      <c r="BY1054" s="4409"/>
      <c r="BZ1054" s="4409"/>
      <c r="CA1054" s="4550"/>
      <c r="CB1054" s="4318"/>
      <c r="CC1054" s="4551"/>
      <c r="CD1054" s="4550"/>
      <c r="XCZ1054" s="4634"/>
      <c r="XDA1054" s="4634"/>
      <c r="XDB1054" s="4634"/>
      <c r="XDC1054" s="4634"/>
      <c r="XDD1054" s="4634"/>
      <c r="XDE1054" s="4634"/>
      <c r="XDF1054" s="4634"/>
      <c r="XDG1054" s="4634"/>
      <c r="XDH1054" s="4634"/>
      <c r="XDI1054" s="4634"/>
      <c r="XDJ1054" s="4634"/>
      <c r="XDK1054" s="4634"/>
      <c r="XDL1054" s="4634"/>
      <c r="XDM1054" s="4634"/>
      <c r="XDN1054" s="4634"/>
      <c r="XDO1054" s="4634"/>
      <c r="XDP1054" s="4634"/>
      <c r="XDQ1054" s="4634"/>
      <c r="XDR1054" s="4634"/>
      <c r="XDS1054" s="4634"/>
      <c r="XDT1054" s="4634"/>
      <c r="XDU1054" s="4634"/>
      <c r="XDV1054" s="4634"/>
      <c r="XDW1054" s="4634"/>
      <c r="XDX1054" s="4634"/>
      <c r="XDY1054" s="4634"/>
      <c r="XDZ1054" s="4634"/>
      <c r="XEA1054" s="4634"/>
      <c r="XEB1054" s="4634"/>
      <c r="XEC1054" s="4634"/>
      <c r="XED1054" s="4634"/>
      <c r="XEE1054" s="4634"/>
      <c r="XEF1054" s="4634"/>
      <c r="XEG1054" s="4634"/>
      <c r="XEH1054" s="4634"/>
      <c r="XEI1054" s="4634"/>
      <c r="XEJ1054" s="4634"/>
      <c r="XEK1054" s="4634"/>
      <c r="XEL1054" s="4634"/>
      <c r="XEM1054" s="4634"/>
      <c r="XEN1054" s="4634"/>
      <c r="XEO1054" s="4634"/>
      <c r="XEP1054" s="4634"/>
      <c r="XEQ1054" s="4634"/>
      <c r="XER1054" s="4634"/>
      <c r="XES1054" s="4634"/>
      <c r="XET1054" s="4634"/>
      <c r="XEU1054" s="4634"/>
      <c r="XEV1054" s="4513"/>
      <c r="XEW1054" s="4514"/>
      <c r="XEX1054" s="905"/>
      <c r="XEY1054" s="4515"/>
      <c r="XEZ1054" s="905"/>
      <c r="XFA1054" s="4515"/>
      <c r="XFB1054" s="905"/>
      <c r="XFC1054" s="905"/>
      <c r="XFD1054" s="3736"/>
    </row>
    <row r="1055" s="4324" customFormat="1" ht="50" customHeight="1" spans="1:82 16319:16384">
      <c r="A1055" s="4735">
        <v>46127</v>
      </c>
      <c r="B1055" s="4736" t="s">
        <v>3781</v>
      </c>
      <c r="C1055" s="4251" t="s">
        <v>738</v>
      </c>
      <c r="D1055" s="4737">
        <v>4500201970</v>
      </c>
      <c r="E1055" s="4251" t="s">
        <v>6005</v>
      </c>
      <c r="F1055" s="4737" t="s">
        <v>6006</v>
      </c>
      <c r="G1055" s="4251" t="s">
        <v>2577</v>
      </c>
      <c r="H1055" s="4251" t="s">
        <v>2620</v>
      </c>
      <c r="I1055" s="4738">
        <v>732</v>
      </c>
      <c r="J1055" s="4738">
        <v>0</v>
      </c>
      <c r="K1055" s="4738">
        <v>12</v>
      </c>
      <c r="L1055" s="4738">
        <f t="shared" si="566"/>
        <v>61</v>
      </c>
      <c r="M1055" s="4739">
        <v>46191</v>
      </c>
      <c r="N1055" s="4740">
        <v>46225</v>
      </c>
      <c r="O1055" s="4251"/>
      <c r="P1055" s="4527" t="s">
        <v>82</v>
      </c>
      <c r="Q1055" s="4253">
        <v>732</v>
      </c>
      <c r="R1055" s="4253">
        <f t="shared" si="567"/>
        <v>0</v>
      </c>
      <c r="S1055" s="4741" t="s">
        <v>2297</v>
      </c>
      <c r="T1055" s="4741" t="s">
        <v>321</v>
      </c>
      <c r="U1055" s="4742"/>
      <c r="V1055" s="4256" t="s">
        <v>6007</v>
      </c>
      <c r="W1055" s="4256"/>
      <c r="X1055" s="4257" t="s">
        <v>6008</v>
      </c>
      <c r="Y1055" s="4256"/>
      <c r="Z1055" s="4738"/>
      <c r="AA1055" s="4255" t="s">
        <v>6009</v>
      </c>
      <c r="AB1055" s="4738" t="s">
        <v>1434</v>
      </c>
      <c r="AC1055" s="4743">
        <v>2.1953</v>
      </c>
      <c r="AD1055" s="4738">
        <f t="shared" si="595"/>
        <v>1606.9596</v>
      </c>
      <c r="AE1055" s="4742"/>
      <c r="AF1055" s="4744" t="s">
        <v>2604</v>
      </c>
      <c r="AG1055" s="4742" t="s">
        <v>416</v>
      </c>
      <c r="AH1055" s="4738"/>
      <c r="AI1055" s="4251"/>
      <c r="AJ1055" s="4745"/>
      <c r="AK1055" s="4738"/>
      <c r="AL1055" s="4738"/>
      <c r="AM1055" s="4251">
        <f t="shared" si="596"/>
        <v>732</v>
      </c>
      <c r="AN1055" s="4746"/>
      <c r="AO1055" s="4746"/>
      <c r="AP1055" s="4738">
        <f t="shared" si="591"/>
        <v>732</v>
      </c>
      <c r="AQ1055" s="4746"/>
      <c r="AR1055" s="4746"/>
      <c r="AS1055" s="4747">
        <f>I1055</f>
        <v>732</v>
      </c>
      <c r="AT1055" s="4746"/>
      <c r="AU1055" s="4746"/>
      <c r="AV1055" s="4746"/>
      <c r="AW1055" s="4747">
        <f>I1055/6</f>
        <v>122</v>
      </c>
      <c r="AX1055" s="4746"/>
      <c r="AY1055" s="4746"/>
      <c r="AZ1055" s="4746"/>
      <c r="BA1055" s="4746"/>
      <c r="BB1055" s="4746"/>
      <c r="BC1055" s="4746"/>
      <c r="BD1055" s="4746"/>
      <c r="BE1055" s="4746"/>
      <c r="BF1055" s="4746" t="s">
        <v>89</v>
      </c>
      <c r="BG1055" s="4746"/>
      <c r="BH1055" s="4747">
        <f>I1055/60*10</f>
        <v>122</v>
      </c>
      <c r="BI1055" s="4747">
        <f>I1055/60*7</f>
        <v>85.4</v>
      </c>
      <c r="BJ1055" s="4747">
        <f>I1055/60*5</f>
        <v>61</v>
      </c>
      <c r="BK1055" s="4747">
        <f>I1055/60*7</f>
        <v>85.4</v>
      </c>
      <c r="BL1055" s="4747">
        <f>I1055/60*12</f>
        <v>146.4</v>
      </c>
      <c r="BM1055" s="4748">
        <f>I1055/60*10</f>
        <v>122</v>
      </c>
      <c r="BN1055" s="4749">
        <f>I1055/60*9</f>
        <v>109.8</v>
      </c>
      <c r="BO1055" s="4750"/>
      <c r="BP1055" s="4750"/>
      <c r="BQ1055" s="4750"/>
      <c r="BR1055" s="4750"/>
      <c r="BS1055" s="4750"/>
      <c r="BT1055" s="4751"/>
      <c r="BU1055" s="4752"/>
      <c r="BV1055" s="4753">
        <f t="shared" ref="BV1055:BV1060" si="597">SUM(BH1055:BN1055)</f>
        <v>732</v>
      </c>
      <c r="BW1055" s="4753">
        <f t="shared" si="568"/>
        <v>0</v>
      </c>
      <c r="BX1055" s="4753"/>
      <c r="BY1055" s="4753"/>
      <c r="BZ1055" s="4753"/>
      <c r="CA1055" s="4754"/>
      <c r="CB1055" s="4324"/>
      <c r="CC1055" s="4755"/>
      <c r="CD1055" s="4754"/>
      <c r="XCZ1055" s="4756"/>
      <c r="XDA1055" s="4756"/>
      <c r="XDB1055" s="4756"/>
      <c r="XDC1055" s="4756"/>
      <c r="XDD1055" s="4756"/>
      <c r="XDE1055" s="4756"/>
      <c r="XDF1055" s="4756"/>
      <c r="XDG1055" s="4756"/>
      <c r="XDH1055" s="4756"/>
      <c r="XDI1055" s="4756"/>
      <c r="XDJ1055" s="4756"/>
      <c r="XDK1055" s="4756"/>
      <c r="XDL1055" s="4756"/>
      <c r="XDM1055" s="4756"/>
      <c r="XDN1055" s="4756"/>
      <c r="XDO1055" s="4756"/>
      <c r="XDP1055" s="4756"/>
      <c r="XDQ1055" s="4756"/>
      <c r="XDR1055" s="4756"/>
      <c r="XDS1055" s="4756"/>
      <c r="XDT1055" s="4756"/>
      <c r="XDU1055" s="4756"/>
      <c r="XDV1055" s="4756"/>
      <c r="XDW1055" s="4756"/>
      <c r="XDX1055" s="4756"/>
      <c r="XDY1055" s="4756"/>
      <c r="XDZ1055" s="4756"/>
      <c r="XEA1055" s="4756"/>
      <c r="XEB1055" s="4756"/>
      <c r="XEC1055" s="4756"/>
      <c r="XED1055" s="4756"/>
      <c r="XEE1055" s="4756"/>
      <c r="XEF1055" s="4756"/>
      <c r="XEG1055" s="4756"/>
      <c r="XEH1055" s="4756"/>
      <c r="XEI1055" s="4756"/>
      <c r="XEJ1055" s="4756"/>
      <c r="XEK1055" s="4756"/>
      <c r="XEL1055" s="4756"/>
      <c r="XEM1055" s="4756"/>
      <c r="XEN1055" s="4756"/>
      <c r="XEO1055" s="4756"/>
      <c r="XEP1055" s="4756"/>
      <c r="XEQ1055" s="4756"/>
      <c r="XER1055" s="4756"/>
      <c r="XES1055" s="4756"/>
      <c r="XET1055" s="4756"/>
      <c r="XEU1055" s="4756"/>
      <c r="XEV1055" s="4756"/>
      <c r="XEW1055" s="4756"/>
      <c r="XEX1055" s="4756"/>
      <c r="XEY1055" s="4756"/>
      <c r="XEZ1055" s="4756"/>
      <c r="XFA1055" s="4756"/>
      <c r="XFB1055" s="4756"/>
      <c r="XFC1055" s="4756"/>
      <c r="XFD1055" s="4756"/>
    </row>
    <row r="1056" s="4324" customFormat="1" ht="50" customHeight="1" spans="1:82 16319:16384">
      <c r="A1056" s="4735">
        <v>46161</v>
      </c>
      <c r="B1056" s="4736" t="s">
        <v>6010</v>
      </c>
      <c r="C1056" s="4251" t="s">
        <v>738</v>
      </c>
      <c r="D1056" s="4737" t="s">
        <v>6011</v>
      </c>
      <c r="E1056" s="4251" t="s">
        <v>6012</v>
      </c>
      <c r="F1056" s="4737" t="s">
        <v>6013</v>
      </c>
      <c r="G1056" s="4251" t="s">
        <v>2577</v>
      </c>
      <c r="H1056" s="4251" t="s">
        <v>2620</v>
      </c>
      <c r="I1056" s="4738">
        <v>420</v>
      </c>
      <c r="J1056" s="4738">
        <v>0</v>
      </c>
      <c r="K1056" s="4738">
        <v>12</v>
      </c>
      <c r="L1056" s="4738">
        <f t="shared" si="566"/>
        <v>35</v>
      </c>
      <c r="M1056" s="4739">
        <v>46226</v>
      </c>
      <c r="N1056" s="4740">
        <v>46224</v>
      </c>
      <c r="O1056" s="4757"/>
      <c r="P1056" s="4527" t="s">
        <v>82</v>
      </c>
      <c r="Q1056" s="4253">
        <v>420</v>
      </c>
      <c r="R1056" s="4253">
        <f t="shared" si="567"/>
        <v>0</v>
      </c>
      <c r="S1056" s="4741" t="s">
        <v>2297</v>
      </c>
      <c r="T1056" s="4741" t="s">
        <v>321</v>
      </c>
      <c r="U1056" s="4255" t="s">
        <v>4264</v>
      </c>
      <c r="V1056" s="4257" t="s">
        <v>4210</v>
      </c>
      <c r="W1056" s="4256"/>
      <c r="X1056" s="4257" t="s">
        <v>4346</v>
      </c>
      <c r="Y1056" s="4256"/>
      <c r="Z1056" s="4738"/>
      <c r="AA1056" s="4255" t="s">
        <v>6014</v>
      </c>
      <c r="AB1056" s="4738" t="s">
        <v>1257</v>
      </c>
      <c r="AC1056" s="4743">
        <v>2.1953</v>
      </c>
      <c r="AD1056" s="4738">
        <f t="shared" si="595"/>
        <v>922.026</v>
      </c>
      <c r="AE1056" s="4742"/>
      <c r="AF1056" s="4744" t="s">
        <v>2604</v>
      </c>
      <c r="AG1056" s="4758" t="s">
        <v>416</v>
      </c>
      <c r="AH1056" s="4738"/>
      <c r="AI1056" s="4251"/>
      <c r="AJ1056" s="4745"/>
      <c r="AK1056" s="4738"/>
      <c r="AL1056" s="4738"/>
      <c r="AM1056" s="4251">
        <f t="shared" si="596"/>
        <v>420</v>
      </c>
      <c r="AN1056" s="4746"/>
      <c r="AO1056" s="4746"/>
      <c r="AP1056" s="4738">
        <f t="shared" si="591"/>
        <v>420</v>
      </c>
      <c r="AQ1056" s="4746"/>
      <c r="AR1056" s="4747"/>
      <c r="AS1056" s="4746">
        <f>I1056</f>
        <v>420</v>
      </c>
      <c r="AT1056" s="4746"/>
      <c r="AU1056" s="4747"/>
      <c r="AV1056" s="4746"/>
      <c r="AW1056" s="4746">
        <f>I1056/6</f>
        <v>70</v>
      </c>
      <c r="AX1056" s="4746"/>
      <c r="AY1056" s="4746"/>
      <c r="AZ1056" s="4746"/>
      <c r="BA1056" s="4746"/>
      <c r="BB1056" s="4746"/>
      <c r="BC1056" s="4746"/>
      <c r="BD1056" s="4746"/>
      <c r="BE1056" s="4746"/>
      <c r="BF1056" s="4747" t="s">
        <v>89</v>
      </c>
      <c r="BG1056" s="4747"/>
      <c r="BH1056" s="4747">
        <f>I1056/60*10</f>
        <v>70</v>
      </c>
      <c r="BI1056" s="4747">
        <f>I1056/60*7</f>
        <v>49</v>
      </c>
      <c r="BJ1056" s="4747">
        <f>I1056/60*5</f>
        <v>35</v>
      </c>
      <c r="BK1056" s="4759">
        <f>I1056/60*7</f>
        <v>49</v>
      </c>
      <c r="BL1056" s="4759">
        <f>I1056/60*12</f>
        <v>84</v>
      </c>
      <c r="BM1056" s="4753">
        <f>I1056/60*10</f>
        <v>70</v>
      </c>
      <c r="BN1056" s="4753">
        <f>I1056/60*9</f>
        <v>63</v>
      </c>
      <c r="BO1056" s="4753"/>
      <c r="BP1056" s="4753"/>
      <c r="BQ1056" s="4753"/>
      <c r="BR1056" s="4753"/>
      <c r="BS1056" s="4746"/>
      <c r="BT1056" s="4760"/>
      <c r="BU1056" s="4753"/>
      <c r="BV1056" s="4753">
        <f t="shared" si="597"/>
        <v>420</v>
      </c>
      <c r="BW1056" s="4753">
        <f t="shared" si="568"/>
        <v>0</v>
      </c>
      <c r="BX1056" s="4761"/>
      <c r="BY1056" s="4761"/>
      <c r="BZ1056" s="4761"/>
      <c r="CA1056" s="4324"/>
      <c r="CB1056" s="4324"/>
      <c r="CC1056" s="4755"/>
      <c r="CD1056" s="4754"/>
      <c r="XCZ1056" s="4756"/>
      <c r="XDA1056" s="4756"/>
      <c r="XDB1056" s="4756"/>
      <c r="XDC1056" s="4756"/>
      <c r="XDD1056" s="4756"/>
      <c r="XDE1056" s="4756"/>
      <c r="XDF1056" s="4756"/>
      <c r="XDG1056" s="4756"/>
      <c r="XDH1056" s="4756"/>
      <c r="XDI1056" s="4756"/>
      <c r="XDJ1056" s="4756"/>
      <c r="XDK1056" s="4756"/>
      <c r="XDL1056" s="4756"/>
      <c r="XDM1056" s="4756"/>
      <c r="XDN1056" s="4756"/>
      <c r="XDO1056" s="4756"/>
      <c r="XDP1056" s="4756"/>
      <c r="XDQ1056" s="4756"/>
      <c r="XDR1056" s="4756"/>
      <c r="XDS1056" s="4756"/>
      <c r="XDT1056" s="4756"/>
      <c r="XDU1056" s="4756"/>
      <c r="XDV1056" s="4756"/>
      <c r="XDW1056" s="4756"/>
      <c r="XDX1056" s="4756"/>
      <c r="XDY1056" s="4756"/>
      <c r="XDZ1056" s="4756"/>
      <c r="XEA1056" s="4756"/>
      <c r="XEB1056" s="4756"/>
      <c r="XEC1056" s="4756"/>
      <c r="XED1056" s="4756"/>
      <c r="XEE1056" s="4756"/>
      <c r="XEF1056" s="4756"/>
      <c r="XEG1056" s="4756"/>
      <c r="XEH1056" s="4756"/>
      <c r="XEI1056" s="4756"/>
      <c r="XEJ1056" s="4756"/>
      <c r="XEK1056" s="4756"/>
      <c r="XEL1056" s="4756"/>
      <c r="XEM1056" s="4756"/>
      <c r="XEN1056" s="4756"/>
      <c r="XEO1056" s="4756"/>
      <c r="XEP1056" s="4756"/>
      <c r="XEQ1056" s="4756"/>
      <c r="XER1056" s="4756"/>
      <c r="XES1056" s="4756"/>
      <c r="XET1056" s="4756"/>
      <c r="XEU1056" s="4756"/>
      <c r="XEV1056" s="4735"/>
      <c r="XEW1056" s="4736"/>
      <c r="XEX1056" s="4251"/>
      <c r="XEY1056" s="4737"/>
      <c r="XEZ1056" s="4251"/>
      <c r="XFA1056" s="4737"/>
      <c r="XFB1056" s="4251"/>
      <c r="XFC1056" s="4251"/>
      <c r="XFD1056" s="4738"/>
    </row>
    <row r="1057" s="4025" customFormat="1" ht="50" customHeight="1" spans="1:82 16310:16384">
      <c r="A1057" s="3688">
        <v>46171</v>
      </c>
      <c r="B1057" s="3664" t="s">
        <v>5960</v>
      </c>
      <c r="C1057" s="3664" t="s">
        <v>396</v>
      </c>
      <c r="D1057" s="3691">
        <v>4500208735</v>
      </c>
      <c r="E1057" s="3664" t="s">
        <v>6015</v>
      </c>
      <c r="F1057" s="3691" t="s">
        <v>6016</v>
      </c>
      <c r="G1057" s="3664" t="s">
        <v>2676</v>
      </c>
      <c r="H1057" s="3664" t="s">
        <v>2677</v>
      </c>
      <c r="I1057" s="3691">
        <v>36</v>
      </c>
      <c r="J1057" s="3691">
        <v>0</v>
      </c>
      <c r="K1057" s="3691">
        <v>12</v>
      </c>
      <c r="L1057" s="3691">
        <f t="shared" si="566"/>
        <v>3</v>
      </c>
      <c r="M1057" s="3659">
        <v>46225</v>
      </c>
      <c r="N1057" s="3659">
        <v>46221</v>
      </c>
      <c r="O1057" s="3664"/>
      <c r="P1057" s="4527" t="s">
        <v>82</v>
      </c>
      <c r="Q1057" s="4101">
        <v>36</v>
      </c>
      <c r="R1057" s="4101">
        <f t="shared" si="567"/>
        <v>0</v>
      </c>
      <c r="S1057" s="4067" t="s">
        <v>2297</v>
      </c>
      <c r="T1057" s="4226" t="s">
        <v>321</v>
      </c>
      <c r="U1057" s="3620"/>
      <c r="V1057" s="3622" t="s">
        <v>1455</v>
      </c>
      <c r="W1057" s="3657"/>
      <c r="X1057" s="3622" t="s">
        <v>2670</v>
      </c>
      <c r="Y1057" s="3622" t="s">
        <v>5998</v>
      </c>
      <c r="Z1057" s="3691"/>
      <c r="AA1057" s="3620" t="s">
        <v>6017</v>
      </c>
      <c r="AB1057" s="3691" t="s">
        <v>6018</v>
      </c>
      <c r="AC1057" s="4692">
        <v>2.1418</v>
      </c>
      <c r="AD1057" s="3691">
        <f t="shared" si="595"/>
        <v>77.1048</v>
      </c>
      <c r="AE1057" s="3645"/>
      <c r="AF1057" s="959" t="s">
        <v>2676</v>
      </c>
      <c r="AG1057" s="3620" t="s">
        <v>416</v>
      </c>
      <c r="AH1057" s="3664"/>
      <c r="AI1057" s="3691"/>
      <c r="AJ1057" s="3691"/>
      <c r="AK1057" s="3664"/>
      <c r="AL1057" s="3664"/>
      <c r="AM1057" s="3664">
        <f t="shared" si="596"/>
        <v>36</v>
      </c>
      <c r="AN1057" s="3691"/>
      <c r="AO1057" s="3691"/>
      <c r="AP1057" s="3691">
        <f t="shared" si="591"/>
        <v>36</v>
      </c>
      <c r="AQ1057" s="4089"/>
      <c r="AR1057" s="4089"/>
      <c r="AS1057" s="4089"/>
      <c r="AT1057" s="4089"/>
      <c r="AU1057" s="4089">
        <f>I1057</f>
        <v>36</v>
      </c>
      <c r="AV1057" s="4089"/>
      <c r="AW1057" s="4089"/>
      <c r="AX1057" s="4089"/>
      <c r="AY1057" s="4089"/>
      <c r="AZ1057" s="4089"/>
      <c r="BA1057" s="4089"/>
      <c r="BB1057" s="4089"/>
      <c r="BC1057" s="4385"/>
      <c r="BD1057" s="4495"/>
      <c r="BE1057" s="4495"/>
      <c r="BF1057" s="4109" t="s">
        <v>89</v>
      </c>
      <c r="BG1057" s="4495"/>
      <c r="BH1057" s="4711"/>
      <c r="BI1057" s="4714">
        <f>I1057</f>
        <v>36</v>
      </c>
      <c r="BJ1057" s="4714"/>
      <c r="BK1057" s="4762"/>
      <c r="BL1057" s="4694"/>
      <c r="BM1057" s="4693"/>
      <c r="BN1057" s="4763">
        <f>I1057/60*1</f>
        <v>0.6</v>
      </c>
      <c r="BO1057" s="4764"/>
      <c r="BP1057" s="4693"/>
      <c r="BQ1057" s="4693"/>
      <c r="BR1057" s="4693"/>
      <c r="BS1057" s="4693"/>
      <c r="BT1057" s="4693"/>
      <c r="BU1057" s="4693"/>
      <c r="BV1057" s="4763">
        <f t="shared" si="597"/>
        <v>36.6</v>
      </c>
      <c r="BW1057" s="4763">
        <f t="shared" si="568"/>
        <v>-0.600000000000001</v>
      </c>
      <c r="BX1057" s="4387"/>
      <c r="BY1057" s="4387"/>
      <c r="BZ1057" s="4387"/>
      <c r="CA1057" s="4388"/>
      <c r="CB1057" s="4025"/>
      <c r="CC1057" s="4389"/>
      <c r="CD1057" s="4388"/>
      <c r="XCH1057" s="4423"/>
      <c r="XCI1057" s="4423"/>
      <c r="XCJ1057" s="4423"/>
      <c r="XCK1057" s="4423"/>
      <c r="XCL1057" s="4423"/>
      <c r="XCM1057" s="4423"/>
      <c r="XCN1057" s="4423"/>
      <c r="XCO1057" s="4423"/>
      <c r="XCP1057" s="4423"/>
      <c r="XCQ1057" s="4423"/>
      <c r="XCR1057" s="4423"/>
      <c r="XCS1057" s="4423"/>
      <c r="XCT1057" s="4423"/>
      <c r="XCU1057" s="4423"/>
      <c r="XCV1057" s="4423"/>
      <c r="XCW1057" s="4423"/>
      <c r="XCX1057" s="4423"/>
      <c r="XCY1057" s="4423"/>
      <c r="XCZ1057" s="4423"/>
      <c r="XDA1057" s="4423"/>
      <c r="XDB1057" s="4423"/>
      <c r="XDC1057" s="4423"/>
      <c r="XDD1057" s="4423"/>
      <c r="XDE1057" s="4423"/>
      <c r="XDF1057" s="4423"/>
      <c r="XDG1057" s="4423"/>
      <c r="XDH1057" s="4423"/>
      <c r="XDI1057" s="4423"/>
      <c r="XDJ1057" s="4423"/>
      <c r="XDK1057" s="4423"/>
      <c r="XDL1057" s="4423"/>
      <c r="XDM1057" s="4423"/>
      <c r="XDN1057" s="4423"/>
      <c r="XDO1057" s="4423"/>
      <c r="XDP1057" s="4423"/>
      <c r="XDQ1057" s="4423"/>
      <c r="XDR1057" s="4423"/>
      <c r="XDS1057" s="4423"/>
      <c r="XDT1057" s="4423"/>
      <c r="XDU1057" s="4423"/>
      <c r="XDV1057" s="4423"/>
      <c r="XDW1057" s="4423"/>
      <c r="XDX1057" s="4423"/>
      <c r="XDY1057" s="4423"/>
      <c r="XDZ1057" s="4423"/>
      <c r="XEA1057" s="4423"/>
      <c r="XEB1057" s="4423"/>
      <c r="XEC1057" s="4423"/>
      <c r="XED1057" s="4423"/>
      <c r="XEE1057" s="4423"/>
      <c r="XEF1057" s="4423"/>
      <c r="XEG1057" s="4423"/>
      <c r="XEH1057" s="4423"/>
      <c r="XEI1057" s="4423"/>
      <c r="XEJ1057" s="4423"/>
      <c r="XEK1057" s="4423"/>
      <c r="XEL1057" s="4423"/>
      <c r="XEM1057" s="3688"/>
      <c r="XEN1057" s="3664"/>
      <c r="XEO1057" s="3664"/>
      <c r="XEP1057" s="3691"/>
      <c r="XEQ1057" s="3664"/>
      <c r="XER1057" s="3691"/>
      <c r="XES1057" s="3664"/>
      <c r="XET1057" s="3664"/>
      <c r="XEU1057" s="3691"/>
      <c r="XEV1057" s="3688"/>
      <c r="XEW1057" s="3664"/>
      <c r="XEX1057" s="3664"/>
      <c r="XEY1057" s="3691"/>
      <c r="XEZ1057" s="3664"/>
      <c r="XFA1057" s="3691"/>
      <c r="XFB1057" s="3664"/>
      <c r="XFC1057" s="3664"/>
      <c r="XFD1057" s="3691"/>
    </row>
    <row r="1058" s="4025" customFormat="1" ht="50" customHeight="1" spans="1:82 16310:16384">
      <c r="A1058" s="3688">
        <v>46142</v>
      </c>
      <c r="B1058" s="3689" t="s">
        <v>5401</v>
      </c>
      <c r="C1058" s="3664" t="s">
        <v>5402</v>
      </c>
      <c r="D1058" s="3690" t="s">
        <v>6019</v>
      </c>
      <c r="E1058" s="3664" t="s">
        <v>2434</v>
      </c>
      <c r="F1058" s="3690" t="s">
        <v>6020</v>
      </c>
      <c r="G1058" s="3664" t="s">
        <v>2577</v>
      </c>
      <c r="H1058" s="3664" t="s">
        <v>2620</v>
      </c>
      <c r="I1058" s="3691">
        <v>2400</v>
      </c>
      <c r="J1058" s="3691">
        <v>0</v>
      </c>
      <c r="K1058" s="3691">
        <v>12</v>
      </c>
      <c r="L1058" s="3691">
        <f t="shared" si="566"/>
        <v>200</v>
      </c>
      <c r="M1058" s="3659">
        <v>46246</v>
      </c>
      <c r="N1058" s="4111">
        <f>M1058-4</f>
        <v>46242</v>
      </c>
      <c r="O1058" s="4085" t="s">
        <v>5924</v>
      </c>
      <c r="P1058" s="4527" t="s">
        <v>82</v>
      </c>
      <c r="Q1058" s="4101">
        <v>2400</v>
      </c>
      <c r="R1058" s="4101">
        <f t="shared" si="567"/>
        <v>0</v>
      </c>
      <c r="S1058" s="4681" t="s">
        <v>2297</v>
      </c>
      <c r="T1058" s="4681" t="s">
        <v>321</v>
      </c>
      <c r="U1058" s="3645"/>
      <c r="V1058" s="3622" t="s">
        <v>1455</v>
      </c>
      <c r="W1058" s="3657"/>
      <c r="X1058" s="3622" t="s">
        <v>5925</v>
      </c>
      <c r="Y1058" s="3657"/>
      <c r="Z1058" s="3691"/>
      <c r="AA1058" s="3620" t="s">
        <v>6021</v>
      </c>
      <c r="AB1058" s="3691" t="s">
        <v>448</v>
      </c>
      <c r="AC1058" s="4692">
        <v>2.1905</v>
      </c>
      <c r="AD1058" s="3691">
        <f t="shared" si="595"/>
        <v>5257.2</v>
      </c>
      <c r="AE1058" s="3645"/>
      <c r="AF1058" s="4686" t="s">
        <v>5393</v>
      </c>
      <c r="AG1058" s="3645" t="s">
        <v>416</v>
      </c>
      <c r="AH1058" s="3691"/>
      <c r="AI1058" s="3664"/>
      <c r="AJ1058" s="4393"/>
      <c r="AK1058" s="3691"/>
      <c r="AL1058" s="3691"/>
      <c r="AM1058" s="3664"/>
      <c r="AN1058" s="4089">
        <f>I1058</f>
        <v>2400</v>
      </c>
      <c r="AO1058" s="4089"/>
      <c r="AP1058" s="3691"/>
      <c r="AQ1058" s="4089">
        <f>I1058</f>
        <v>2400</v>
      </c>
      <c r="AR1058" s="4765"/>
      <c r="AS1058" s="4089">
        <f>I1058</f>
        <v>2400</v>
      </c>
      <c r="AT1058" s="4463"/>
      <c r="AU1058" s="4495"/>
      <c r="AV1058" s="4089"/>
      <c r="AW1058" s="4089"/>
      <c r="AX1058" s="4089"/>
      <c r="AY1058" s="4089"/>
      <c r="AZ1058" s="4089"/>
      <c r="BA1058" s="4089"/>
      <c r="BB1058" s="4089"/>
      <c r="BC1058" s="4089">
        <f>I1058/6</f>
        <v>400</v>
      </c>
      <c r="BD1058" s="4089"/>
      <c r="BE1058" s="4089"/>
      <c r="BF1058" s="4089" t="s">
        <v>89</v>
      </c>
      <c r="BG1058" s="4766"/>
      <c r="BH1058" s="4767">
        <f>I1058/60*10</f>
        <v>400</v>
      </c>
      <c r="BI1058" s="4767">
        <f>I1058/60*7</f>
        <v>280</v>
      </c>
      <c r="BJ1058" s="4767">
        <f>I1058/60*5</f>
        <v>200</v>
      </c>
      <c r="BK1058" s="4768">
        <f>I1058/60*7</f>
        <v>280</v>
      </c>
      <c r="BL1058" s="4768">
        <f>I1058/60*12</f>
        <v>480</v>
      </c>
      <c r="BM1058" s="4769">
        <f>I1058/60*10</f>
        <v>400</v>
      </c>
      <c r="BN1058" s="4769">
        <f>I1058/60*9</f>
        <v>360</v>
      </c>
      <c r="BO1058" s="4770"/>
      <c r="BP1058" s="4770"/>
      <c r="BQ1058" s="4770"/>
      <c r="BR1058" s="4770"/>
      <c r="BS1058" s="4771"/>
      <c r="BT1058" s="4772"/>
      <c r="BU1058" s="4770"/>
      <c r="BV1058" s="4769">
        <f t="shared" si="597"/>
        <v>2400</v>
      </c>
      <c r="BW1058" s="4769">
        <f t="shared" si="568"/>
        <v>0</v>
      </c>
      <c r="BX1058" s="4477"/>
      <c r="BY1058" s="4387"/>
      <c r="BZ1058" s="4387"/>
      <c r="CA1058" s="4388"/>
      <c r="CB1058" s="4025"/>
      <c r="CC1058" s="4389"/>
      <c r="CD1058" s="4388"/>
      <c r="XCZ1058" s="4691"/>
      <c r="XDA1058" s="4691"/>
      <c r="XDB1058" s="4691"/>
      <c r="XDC1058" s="4691"/>
      <c r="XDD1058" s="4691"/>
      <c r="XDE1058" s="4691"/>
      <c r="XDF1058" s="4691"/>
      <c r="XDG1058" s="4691"/>
      <c r="XDH1058" s="4691"/>
      <c r="XDI1058" s="4691"/>
      <c r="XDJ1058" s="4691"/>
      <c r="XDK1058" s="4691"/>
      <c r="XDL1058" s="4691"/>
      <c r="XDM1058" s="4691"/>
      <c r="XDN1058" s="4691"/>
      <c r="XDO1058" s="4691"/>
      <c r="XDP1058" s="4691"/>
      <c r="XDQ1058" s="4691"/>
      <c r="XDR1058" s="4691"/>
      <c r="XDS1058" s="4691"/>
      <c r="XDT1058" s="4691"/>
      <c r="XDU1058" s="4691"/>
      <c r="XDV1058" s="4691"/>
      <c r="XDW1058" s="4691"/>
      <c r="XDX1058" s="4691"/>
      <c r="XDY1058" s="4691"/>
      <c r="XDZ1058" s="4691"/>
      <c r="XEA1058" s="4691"/>
      <c r="XEB1058" s="4691"/>
      <c r="XEC1058" s="4691"/>
      <c r="XED1058" s="4691"/>
      <c r="XEE1058" s="4691"/>
      <c r="XEF1058" s="4691"/>
      <c r="XEG1058" s="4691"/>
      <c r="XEH1058" s="4691"/>
      <c r="XEI1058" s="4691"/>
      <c r="XEJ1058" s="4691"/>
      <c r="XEK1058" s="4691"/>
      <c r="XEL1058" s="4691"/>
      <c r="XEM1058" s="4691"/>
      <c r="XEN1058" s="4691"/>
      <c r="XEO1058" s="4691"/>
      <c r="XEP1058" s="4691"/>
      <c r="XEQ1058" s="4691"/>
      <c r="XER1058" s="4691"/>
      <c r="XES1058" s="4691"/>
      <c r="XET1058" s="4691"/>
      <c r="XEU1058" s="4691"/>
      <c r="XEV1058" s="3688"/>
      <c r="XEW1058" s="3689"/>
      <c r="XEX1058" s="3664"/>
      <c r="XEY1058" s="3690"/>
      <c r="XEZ1058" s="3664"/>
      <c r="XFA1058" s="3690"/>
      <c r="XFB1058" s="3664"/>
      <c r="XFC1058" s="3664"/>
      <c r="XFD1058" s="3691"/>
    </row>
    <row r="1059" s="4025" customFormat="1" ht="50" customHeight="1" spans="1:82 16310:16384">
      <c r="A1059" s="3688">
        <v>46142</v>
      </c>
      <c r="B1059" s="3689" t="s">
        <v>5388</v>
      </c>
      <c r="C1059" s="3664" t="s">
        <v>6022</v>
      </c>
      <c r="D1059" s="3690" t="s">
        <v>6023</v>
      </c>
      <c r="E1059" s="3664" t="s">
        <v>2434</v>
      </c>
      <c r="F1059" s="3690" t="s">
        <v>6024</v>
      </c>
      <c r="G1059" s="3664" t="s">
        <v>2577</v>
      </c>
      <c r="H1059" s="3664" t="s">
        <v>2620</v>
      </c>
      <c r="I1059" s="3691">
        <v>2400</v>
      </c>
      <c r="J1059" s="3691">
        <v>0</v>
      </c>
      <c r="K1059" s="3691">
        <v>12</v>
      </c>
      <c r="L1059" s="3691">
        <f t="shared" si="566"/>
        <v>200</v>
      </c>
      <c r="M1059" s="3659">
        <v>46246</v>
      </c>
      <c r="N1059" s="4111">
        <v>46242</v>
      </c>
      <c r="O1059" s="4085" t="s">
        <v>5924</v>
      </c>
      <c r="P1059" s="4527" t="s">
        <v>82</v>
      </c>
      <c r="Q1059" s="4101">
        <v>2400</v>
      </c>
      <c r="R1059" s="4101">
        <f t="shared" si="567"/>
        <v>0</v>
      </c>
      <c r="S1059" s="4681" t="s">
        <v>2297</v>
      </c>
      <c r="T1059" s="4681" t="s">
        <v>321</v>
      </c>
      <c r="U1059" s="3645"/>
      <c r="V1059" s="3622" t="s">
        <v>1455</v>
      </c>
      <c r="W1059" s="3657"/>
      <c r="X1059" s="3622" t="s">
        <v>5925</v>
      </c>
      <c r="Y1059" s="3657"/>
      <c r="Z1059" s="3691"/>
      <c r="AA1059" s="3620" t="s">
        <v>6025</v>
      </c>
      <c r="AB1059" s="3691" t="s">
        <v>448</v>
      </c>
      <c r="AC1059" s="4692">
        <v>2.1389</v>
      </c>
      <c r="AD1059" s="3691">
        <f t="shared" si="595"/>
        <v>5133.36</v>
      </c>
      <c r="AE1059" s="3645"/>
      <c r="AF1059" s="4686" t="s">
        <v>5393</v>
      </c>
      <c r="AG1059" s="3645" t="s">
        <v>416</v>
      </c>
      <c r="AH1059" s="3691"/>
      <c r="AI1059" s="3664"/>
      <c r="AJ1059" s="4393"/>
      <c r="AK1059" s="3691"/>
      <c r="AL1059" s="3691"/>
      <c r="AM1059" s="3664"/>
      <c r="AN1059" s="4089">
        <f>I1059</f>
        <v>2400</v>
      </c>
      <c r="AO1059" s="4089"/>
      <c r="AP1059" s="3691"/>
      <c r="AQ1059" s="4089">
        <f>I1059</f>
        <v>2400</v>
      </c>
      <c r="AR1059" s="4765"/>
      <c r="AS1059" s="4089">
        <f>I1059</f>
        <v>2400</v>
      </c>
      <c r="AT1059" s="4463"/>
      <c r="AU1059" s="4495"/>
      <c r="AV1059" s="4089"/>
      <c r="AW1059" s="4089"/>
      <c r="AX1059" s="4089"/>
      <c r="AY1059" s="4089"/>
      <c r="AZ1059" s="4089"/>
      <c r="BA1059" s="4089"/>
      <c r="BB1059" s="4089"/>
      <c r="BC1059" s="4089">
        <f>I1059/6</f>
        <v>400</v>
      </c>
      <c r="BD1059" s="4089"/>
      <c r="BE1059" s="4089"/>
      <c r="BF1059" s="4089" t="s">
        <v>89</v>
      </c>
      <c r="BG1059" s="4766"/>
      <c r="BH1059" s="4767">
        <f>I1059/60*10</f>
        <v>400</v>
      </c>
      <c r="BI1059" s="4767">
        <f>I1059/60*7</f>
        <v>280</v>
      </c>
      <c r="BJ1059" s="4767">
        <f>I1059/60*5</f>
        <v>200</v>
      </c>
      <c r="BK1059" s="4768">
        <f>I1059/60*7</f>
        <v>280</v>
      </c>
      <c r="BL1059" s="4768">
        <f>I1059/60*12</f>
        <v>480</v>
      </c>
      <c r="BM1059" s="4769">
        <f>I1059/60*10</f>
        <v>400</v>
      </c>
      <c r="BN1059" s="4769">
        <f>I1059/60*9</f>
        <v>360</v>
      </c>
      <c r="BO1059" s="4770"/>
      <c r="BP1059" s="4770"/>
      <c r="BQ1059" s="4770"/>
      <c r="BR1059" s="4770"/>
      <c r="BS1059" s="4771"/>
      <c r="BT1059" s="4772"/>
      <c r="BU1059" s="4770"/>
      <c r="BV1059" s="4769">
        <f t="shared" si="597"/>
        <v>2400</v>
      </c>
      <c r="BW1059" s="4769">
        <f t="shared" si="568"/>
        <v>0</v>
      </c>
      <c r="BX1059" s="4773"/>
      <c r="BY1059" s="4774"/>
      <c r="BZ1059" s="4774"/>
      <c r="CA1059" s="4388"/>
      <c r="CB1059" s="4025"/>
      <c r="CC1059" s="4389"/>
      <c r="CD1059" s="4388"/>
      <c r="XCZ1059" s="4691"/>
      <c r="XDA1059" s="4691"/>
      <c r="XDB1059" s="4691"/>
      <c r="XDC1059" s="4691"/>
      <c r="XDD1059" s="4691"/>
      <c r="XDE1059" s="4691"/>
      <c r="XDF1059" s="4691"/>
      <c r="XDG1059" s="4691"/>
      <c r="XDH1059" s="4691"/>
      <c r="XDI1059" s="4691"/>
      <c r="XDJ1059" s="4691"/>
      <c r="XDK1059" s="4691"/>
      <c r="XDL1059" s="4691"/>
      <c r="XDM1059" s="4691"/>
      <c r="XDN1059" s="4691"/>
      <c r="XDO1059" s="4691"/>
      <c r="XDP1059" s="4691"/>
      <c r="XDQ1059" s="4691"/>
      <c r="XDR1059" s="4691"/>
      <c r="XDS1059" s="4691"/>
      <c r="XDT1059" s="4691"/>
      <c r="XDU1059" s="4691"/>
      <c r="XDV1059" s="4691"/>
      <c r="XDW1059" s="4691"/>
      <c r="XDX1059" s="4691"/>
      <c r="XDY1059" s="4691"/>
      <c r="XDZ1059" s="4691"/>
      <c r="XEA1059" s="4691"/>
      <c r="XEB1059" s="4691"/>
      <c r="XEC1059" s="4691"/>
      <c r="XED1059" s="4691"/>
      <c r="XEE1059" s="4691"/>
      <c r="XEF1059" s="4691"/>
      <c r="XEG1059" s="4691"/>
      <c r="XEH1059" s="4691"/>
      <c r="XEI1059" s="4691"/>
      <c r="XEJ1059" s="4691"/>
      <c r="XEK1059" s="4691"/>
      <c r="XEL1059" s="4691"/>
      <c r="XEM1059" s="4691"/>
      <c r="XEN1059" s="4691"/>
      <c r="XEO1059" s="4691"/>
      <c r="XEP1059" s="4691"/>
      <c r="XEQ1059" s="4691"/>
      <c r="XER1059" s="4691"/>
      <c r="XES1059" s="4691"/>
      <c r="XET1059" s="4691"/>
      <c r="XEU1059" s="4691"/>
      <c r="XEV1059" s="3688"/>
      <c r="XEW1059" s="3689"/>
      <c r="XEX1059" s="3664"/>
      <c r="XEY1059" s="3690"/>
      <c r="XEZ1059" s="3664"/>
      <c r="XFA1059" s="3690"/>
      <c r="XFB1059" s="3664"/>
      <c r="XFC1059" s="3664"/>
      <c r="XFD1059" s="3691"/>
    </row>
    <row r="1060" s="4025" customFormat="1" ht="50" customHeight="1" spans="1:82 16310:16384">
      <c r="A1060" s="3688">
        <v>46142</v>
      </c>
      <c r="B1060" s="3689" t="s">
        <v>5401</v>
      </c>
      <c r="C1060" s="3664" t="s">
        <v>5927</v>
      </c>
      <c r="D1060" s="3690" t="s">
        <v>6026</v>
      </c>
      <c r="E1060" s="3664" t="s">
        <v>2434</v>
      </c>
      <c r="F1060" s="3690" t="s">
        <v>6027</v>
      </c>
      <c r="G1060" s="3664" t="s">
        <v>2577</v>
      </c>
      <c r="H1060" s="3664" t="s">
        <v>2620</v>
      </c>
      <c r="I1060" s="3691">
        <v>1608</v>
      </c>
      <c r="J1060" s="3691">
        <v>0</v>
      </c>
      <c r="K1060" s="3691">
        <v>12</v>
      </c>
      <c r="L1060" s="3691">
        <f t="shared" si="566"/>
        <v>134</v>
      </c>
      <c r="M1060" s="3659">
        <v>46246</v>
      </c>
      <c r="N1060" s="4111">
        <f>M1060-4</f>
        <v>46242</v>
      </c>
      <c r="O1060" s="4085" t="s">
        <v>5924</v>
      </c>
      <c r="P1060" s="4527" t="s">
        <v>82</v>
      </c>
      <c r="Q1060" s="4101">
        <f>708+900</f>
        <v>1608</v>
      </c>
      <c r="R1060" s="4101">
        <f t="shared" si="567"/>
        <v>0</v>
      </c>
      <c r="S1060" s="4681" t="s">
        <v>2297</v>
      </c>
      <c r="T1060" s="4681" t="s">
        <v>321</v>
      </c>
      <c r="U1060" s="3645"/>
      <c r="V1060" s="3622" t="s">
        <v>1455</v>
      </c>
      <c r="W1060" s="3657"/>
      <c r="X1060" s="3622" t="s">
        <v>5925</v>
      </c>
      <c r="Y1060" s="3657"/>
      <c r="Z1060" s="3691"/>
      <c r="AA1060" s="3620" t="s">
        <v>6028</v>
      </c>
      <c r="AB1060" s="3691" t="s">
        <v>448</v>
      </c>
      <c r="AC1060" s="4692">
        <v>2.1389</v>
      </c>
      <c r="AD1060" s="3691">
        <f t="shared" si="595"/>
        <v>3439.3512</v>
      </c>
      <c r="AE1060" s="3645"/>
      <c r="AF1060" s="4686" t="s">
        <v>5393</v>
      </c>
      <c r="AG1060" s="3645" t="s">
        <v>416</v>
      </c>
      <c r="AH1060" s="3691"/>
      <c r="AI1060" s="3664"/>
      <c r="AJ1060" s="4393"/>
      <c r="AK1060" s="3691"/>
      <c r="AL1060" s="3691"/>
      <c r="AM1060" s="3664"/>
      <c r="AN1060" s="4089">
        <f>I1060</f>
        <v>1608</v>
      </c>
      <c r="AO1060" s="4089"/>
      <c r="AP1060" s="3691"/>
      <c r="AQ1060" s="4089">
        <f>I1060</f>
        <v>1608</v>
      </c>
      <c r="AR1060" s="4765"/>
      <c r="AS1060" s="4089">
        <f>I1060</f>
        <v>1608</v>
      </c>
      <c r="AT1060" s="4463"/>
      <c r="AU1060" s="4495"/>
      <c r="AV1060" s="4089"/>
      <c r="AW1060" s="4089"/>
      <c r="AX1060" s="4089"/>
      <c r="AY1060" s="4089"/>
      <c r="AZ1060" s="4089"/>
      <c r="BA1060" s="4089"/>
      <c r="BB1060" s="4089"/>
      <c r="BC1060" s="4089">
        <f>I1060/6</f>
        <v>268</v>
      </c>
      <c r="BD1060" s="4089"/>
      <c r="BE1060" s="4089"/>
      <c r="BF1060" s="4089" t="s">
        <v>89</v>
      </c>
      <c r="BG1060" s="4766"/>
      <c r="BH1060" s="4767">
        <f>I1060/60*10</f>
        <v>268</v>
      </c>
      <c r="BI1060" s="4767">
        <f>I1060/60*7</f>
        <v>187.6</v>
      </c>
      <c r="BJ1060" s="4767">
        <f>I1060/60*5</f>
        <v>134</v>
      </c>
      <c r="BK1060" s="4768">
        <f>I1060/60*7</f>
        <v>187.6</v>
      </c>
      <c r="BL1060" s="4768">
        <f>I1060/60*12</f>
        <v>321.6</v>
      </c>
      <c r="BM1060" s="4769">
        <f>I1060/60*10</f>
        <v>268</v>
      </c>
      <c r="BN1060" s="4775">
        <f>I1060/60*9</f>
        <v>241.2</v>
      </c>
      <c r="BO1060" s="4770"/>
      <c r="BP1060" s="4770"/>
      <c r="BQ1060" s="4770"/>
      <c r="BR1060" s="4770"/>
      <c r="BS1060" s="4771"/>
      <c r="BT1060" s="4772"/>
      <c r="BU1060" s="4770"/>
      <c r="BV1060" s="4769">
        <f t="shared" si="597"/>
        <v>1608</v>
      </c>
      <c r="BW1060" s="4769">
        <f t="shared" si="568"/>
        <v>0</v>
      </c>
      <c r="BX1060" s="4477"/>
      <c r="BY1060" s="4387"/>
      <c r="BZ1060" s="4387"/>
      <c r="CA1060" s="4388"/>
      <c r="CB1060" s="4025"/>
      <c r="CC1060" s="4389"/>
      <c r="CD1060" s="4388"/>
      <c r="XCZ1060" s="4691"/>
      <c r="XDA1060" s="4691"/>
      <c r="XDB1060" s="4691"/>
      <c r="XDC1060" s="4691"/>
      <c r="XDD1060" s="4691"/>
      <c r="XDE1060" s="4691"/>
      <c r="XDF1060" s="4691"/>
      <c r="XDG1060" s="4691"/>
      <c r="XDH1060" s="4691"/>
      <c r="XDI1060" s="4691"/>
      <c r="XDJ1060" s="4691"/>
      <c r="XDK1060" s="4691"/>
      <c r="XDL1060" s="4691"/>
      <c r="XDM1060" s="4691"/>
      <c r="XDN1060" s="4691"/>
      <c r="XDO1060" s="4691"/>
      <c r="XDP1060" s="4691"/>
      <c r="XDQ1060" s="4691"/>
      <c r="XDR1060" s="4691"/>
      <c r="XDS1060" s="4691"/>
      <c r="XDT1060" s="4691"/>
      <c r="XDU1060" s="4691"/>
      <c r="XDV1060" s="4691"/>
      <c r="XDW1060" s="4691"/>
      <c r="XDX1060" s="4691"/>
      <c r="XDY1060" s="4691"/>
      <c r="XDZ1060" s="4691"/>
      <c r="XEA1060" s="4691"/>
      <c r="XEB1060" s="4691"/>
      <c r="XEC1060" s="4691"/>
      <c r="XED1060" s="4691"/>
      <c r="XEE1060" s="4691"/>
      <c r="XEF1060" s="4691"/>
      <c r="XEG1060" s="4691"/>
      <c r="XEH1060" s="4691"/>
      <c r="XEI1060" s="4691"/>
      <c r="XEJ1060" s="4691"/>
      <c r="XEK1060" s="4691"/>
      <c r="XEL1060" s="4691"/>
      <c r="XEM1060" s="4691"/>
      <c r="XEN1060" s="4691"/>
      <c r="XEO1060" s="4691"/>
      <c r="XEP1060" s="4691"/>
      <c r="XEQ1060" s="4691"/>
      <c r="XER1060" s="4691"/>
      <c r="XES1060" s="4691"/>
      <c r="XET1060" s="4691"/>
      <c r="XEU1060" s="4691"/>
      <c r="XEV1060" s="3688"/>
      <c r="XEW1060" s="3689"/>
      <c r="XEX1060" s="3664"/>
      <c r="XEY1060" s="3690"/>
      <c r="XEZ1060" s="3664"/>
      <c r="XFA1060" s="3690"/>
      <c r="XFB1060" s="3664"/>
      <c r="XFC1060" s="3664"/>
      <c r="XFD1060" s="3691"/>
    </row>
    <row r="1061" s="4311" customFormat="1" ht="50" customHeight="1" spans="1:82 16310:16384">
      <c r="A1061" s="4776">
        <v>46087</v>
      </c>
      <c r="B1061" s="4777" t="s">
        <v>3608</v>
      </c>
      <c r="C1061" s="875" t="s">
        <v>738</v>
      </c>
      <c r="D1061" s="4778">
        <v>4500195533</v>
      </c>
      <c r="E1061" s="875"/>
      <c r="F1061" s="4778" t="s">
        <v>6029</v>
      </c>
      <c r="G1061" s="875" t="s">
        <v>2627</v>
      </c>
      <c r="H1061" s="4349" t="s">
        <v>5218</v>
      </c>
      <c r="I1061" s="4349">
        <v>24</v>
      </c>
      <c r="J1061" s="4349">
        <v>0</v>
      </c>
      <c r="K1061" s="4349">
        <v>24</v>
      </c>
      <c r="L1061" s="4349">
        <f t="shared" si="566"/>
        <v>1</v>
      </c>
      <c r="M1061" s="4779">
        <v>46268</v>
      </c>
      <c r="N1061" s="4780">
        <v>46265</v>
      </c>
      <c r="O1061" s="867"/>
      <c r="P1061" s="4781"/>
      <c r="Q1061" s="4157"/>
      <c r="R1061" s="4157">
        <f t="shared" si="567"/>
        <v>-24</v>
      </c>
      <c r="S1061" s="4171" t="s">
        <v>2297</v>
      </c>
      <c r="T1061" s="4173" t="s">
        <v>321</v>
      </c>
      <c r="U1061" s="4278"/>
      <c r="V1061" s="3996" t="s">
        <v>2532</v>
      </c>
      <c r="W1061" s="3898"/>
      <c r="X1061" s="3898" t="s">
        <v>6030</v>
      </c>
      <c r="Y1061" s="3898"/>
      <c r="Z1061" s="4349"/>
      <c r="AA1061" s="3658" t="s">
        <v>6031</v>
      </c>
      <c r="AB1061" s="4349" t="s">
        <v>1257</v>
      </c>
      <c r="AC1061" s="3895">
        <v>2.0408</v>
      </c>
      <c r="AD1061" s="4349">
        <f t="shared" si="595"/>
        <v>48.9792</v>
      </c>
      <c r="AE1061" s="4278"/>
      <c r="AF1061" s="4782" t="s">
        <v>2890</v>
      </c>
      <c r="AG1061" s="4279" t="s">
        <v>416</v>
      </c>
      <c r="AH1061" s="4349"/>
      <c r="AI1061" s="875"/>
      <c r="AJ1061" s="4783"/>
      <c r="AK1061" s="4349"/>
      <c r="AL1061" s="4349"/>
      <c r="AM1061" s="875">
        <f>I1061</f>
        <v>24</v>
      </c>
      <c r="AN1061" s="878"/>
      <c r="AO1061" s="878"/>
      <c r="AP1061" s="4349">
        <f>I1061</f>
        <v>24</v>
      </c>
      <c r="AQ1061" s="878"/>
      <c r="AR1061" s="878"/>
      <c r="AS1061" s="4784">
        <f>I1061</f>
        <v>24</v>
      </c>
      <c r="AT1061" s="878"/>
      <c r="AU1061" s="878"/>
      <c r="AV1061" s="878"/>
      <c r="AW1061" s="4784"/>
      <c r="AX1061" s="878"/>
      <c r="AY1061" s="878"/>
      <c r="AZ1061" s="878"/>
      <c r="BA1061" s="878"/>
      <c r="BB1061" s="878"/>
      <c r="BC1061" s="878"/>
      <c r="BD1061" s="878"/>
      <c r="BE1061" s="878"/>
      <c r="BF1061" s="878" t="s">
        <v>89</v>
      </c>
      <c r="BG1061" s="4408"/>
      <c r="BH1061" s="4784">
        <f>I1061/60*10</f>
        <v>4</v>
      </c>
      <c r="BI1061" s="4784">
        <f>I1061/60*10</f>
        <v>4</v>
      </c>
      <c r="BJ1061" s="4784">
        <f>I1061/60*10</f>
        <v>4</v>
      </c>
      <c r="BK1061" s="4784">
        <f>I1061/60*10</f>
        <v>4</v>
      </c>
      <c r="BL1061" s="4784">
        <f>I1061/60*10</f>
        <v>4</v>
      </c>
      <c r="BM1061" s="4785">
        <f>I1061/60*8</f>
        <v>3.2</v>
      </c>
      <c r="BN1061" s="4786">
        <f>I1061/60*2</f>
        <v>0.8</v>
      </c>
      <c r="BO1061" s="4787"/>
      <c r="BP1061" s="4787"/>
      <c r="BQ1061" s="4787"/>
      <c r="BR1061" s="4788"/>
      <c r="BS1061" s="1093"/>
      <c r="BT1061" s="1093"/>
      <c r="BU1061" s="1093"/>
      <c r="BV1061" s="4789">
        <f>SUM(BH1061:BU1061)</f>
        <v>24</v>
      </c>
      <c r="BW1061" s="4789">
        <f t="shared" si="568"/>
        <v>0</v>
      </c>
      <c r="BX1061" s="4790"/>
      <c r="BY1061" s="4333"/>
      <c r="BZ1061" s="4333"/>
      <c r="CA1061" s="4334"/>
      <c r="CC1061" s="4335"/>
      <c r="CD1061" s="4334"/>
      <c r="XEV1061" s="2834"/>
      <c r="XEW1061" s="2834"/>
      <c r="XEX1061" s="2834"/>
      <c r="XEY1061" s="2834"/>
      <c r="XEZ1061" s="2834"/>
      <c r="XFA1061" s="2834"/>
      <c r="XFB1061" s="2834"/>
      <c r="XFC1061" s="2834"/>
      <c r="XFD1061" s="2834"/>
    </row>
    <row r="1062" s="912" customFormat="1" ht="50" customHeight="1" spans="1:82 16310:16384">
      <c r="A1062" s="4791">
        <v>46246</v>
      </c>
      <c r="B1062" s="4792" t="s">
        <v>6032</v>
      </c>
      <c r="C1062" s="984" t="s">
        <v>2756</v>
      </c>
      <c r="D1062" s="4793">
        <v>4500219730</v>
      </c>
      <c r="E1062" s="984" t="s">
        <v>6033</v>
      </c>
      <c r="F1062" s="4793" t="s">
        <v>6034</v>
      </c>
      <c r="G1062" s="984" t="s">
        <v>2577</v>
      </c>
      <c r="H1062" s="4425" t="s">
        <v>2620</v>
      </c>
      <c r="I1062" s="4425">
        <v>2400</v>
      </c>
      <c r="J1062" s="4425">
        <v>0</v>
      </c>
      <c r="K1062" s="4425">
        <v>12</v>
      </c>
      <c r="L1062" s="4425">
        <f t="shared" si="566"/>
        <v>200</v>
      </c>
      <c r="M1062" s="4794">
        <v>46287</v>
      </c>
      <c r="N1062" s="4795">
        <v>46283</v>
      </c>
      <c r="O1062" s="941"/>
      <c r="P1062" s="4796"/>
      <c r="Q1062" s="4797"/>
      <c r="R1062" s="4797"/>
      <c r="S1062" s="4798"/>
      <c r="T1062" s="4799"/>
      <c r="U1062" s="4800"/>
      <c r="V1062" s="4801"/>
      <c r="W1062" s="4802"/>
      <c r="X1062" s="4802"/>
      <c r="Y1062" s="4802"/>
      <c r="Z1062" s="4425"/>
      <c r="AA1062" s="3665" t="s">
        <v>6035</v>
      </c>
      <c r="AB1062" s="4425" t="s">
        <v>6036</v>
      </c>
      <c r="AC1062" s="4803">
        <v>2.2477</v>
      </c>
      <c r="AD1062" s="4425">
        <f t="shared" si="595"/>
        <v>5394.48</v>
      </c>
      <c r="AE1062" s="4800"/>
      <c r="AF1062" s="4804"/>
      <c r="AG1062" s="4805"/>
      <c r="AH1062" s="4425"/>
      <c r="AI1062" s="984"/>
      <c r="AJ1062" s="4806"/>
      <c r="AK1062" s="4425"/>
      <c r="AL1062" s="4425"/>
      <c r="AM1062" s="984"/>
      <c r="AN1062" s="877"/>
      <c r="AO1062" s="877"/>
      <c r="AP1062" s="4425"/>
      <c r="AQ1062" s="877"/>
      <c r="AR1062" s="877"/>
      <c r="AS1062" s="4807"/>
      <c r="AT1062" s="877"/>
      <c r="AU1062" s="877"/>
      <c r="AV1062" s="877"/>
      <c r="AW1062" s="4807"/>
      <c r="AX1062" s="877"/>
      <c r="AY1062" s="877"/>
      <c r="AZ1062" s="877"/>
      <c r="BA1062" s="877"/>
      <c r="BB1062" s="877"/>
      <c r="BC1062" s="877"/>
      <c r="BD1062" s="877"/>
      <c r="BE1062" s="877"/>
      <c r="BF1062" s="877"/>
      <c r="BG1062" s="4808"/>
      <c r="BH1062" s="4807">
        <f>I1062/60*10</f>
        <v>400</v>
      </c>
      <c r="BI1062" s="4807">
        <f>I1062/60*7</f>
        <v>280</v>
      </c>
      <c r="BJ1062" s="4807">
        <f>I1062/60*5</f>
        <v>200</v>
      </c>
      <c r="BK1062" s="4807">
        <f>I1062/60*7</f>
        <v>280</v>
      </c>
      <c r="BL1062" s="4807">
        <f>I1062/60*12</f>
        <v>480</v>
      </c>
      <c r="BM1062" s="4809">
        <f>I1062/60*10</f>
        <v>400</v>
      </c>
      <c r="BN1062" s="4810">
        <f>I1062/60*9</f>
        <v>360</v>
      </c>
      <c r="BO1062" s="4811"/>
      <c r="BP1062" s="4811"/>
      <c r="BQ1062" s="4811"/>
      <c r="BR1062" s="4812"/>
      <c r="BS1062" s="4813"/>
      <c r="BT1062" s="4813"/>
      <c r="BU1062" s="4813"/>
      <c r="BV1062" s="4814">
        <f>SUM(BH1062:BN1062)</f>
        <v>2400</v>
      </c>
      <c r="BW1062" s="4814">
        <f t="shared" si="568"/>
        <v>0</v>
      </c>
      <c r="BX1062" s="4815"/>
      <c r="BY1062" s="4816"/>
      <c r="BZ1062" s="4816"/>
      <c r="CA1062" s="4817"/>
      <c r="CB1062" s="912"/>
      <c r="CC1062" s="4818"/>
      <c r="CD1062" s="4817"/>
      <c r="XEV1062" s="4819"/>
      <c r="XEW1062" s="4819"/>
      <c r="XEX1062" s="4819"/>
      <c r="XEY1062" s="4819"/>
      <c r="XEZ1062" s="4819"/>
      <c r="XFA1062" s="4819"/>
      <c r="XFB1062" s="4819"/>
      <c r="XFC1062" s="4819"/>
      <c r="XFD1062" s="4819"/>
    </row>
    <row r="1063" s="4311" customFormat="1" ht="50" customHeight="1" spans="1:82 16310:16384">
      <c r="A1063" s="4820"/>
      <c r="B1063" s="4821"/>
      <c r="C1063" s="3929"/>
      <c r="D1063" s="4822"/>
      <c r="E1063" s="3929"/>
      <c r="F1063" s="4822"/>
      <c r="G1063" s="3929"/>
      <c r="H1063" s="3929"/>
      <c r="I1063" s="4823"/>
      <c r="J1063" s="4823"/>
      <c r="K1063" s="4823"/>
      <c r="L1063" s="4823"/>
      <c r="M1063" s="4824"/>
      <c r="N1063" s="4780"/>
      <c r="O1063" s="4825"/>
      <c r="P1063" s="4826"/>
      <c r="Q1063" s="4827"/>
      <c r="R1063" s="4157"/>
      <c r="S1063" s="4828"/>
      <c r="T1063" s="4173"/>
      <c r="U1063" s="4829"/>
      <c r="V1063" s="3931"/>
      <c r="W1063" s="3931"/>
      <c r="X1063" s="3931"/>
      <c r="Y1063" s="3931"/>
      <c r="Z1063" s="4823"/>
      <c r="AA1063" s="3900"/>
      <c r="AB1063" s="4823"/>
      <c r="AC1063" s="4830"/>
      <c r="AD1063" s="4823"/>
      <c r="AE1063" s="4278"/>
      <c r="AF1063" s="4831"/>
      <c r="AG1063" s="4278"/>
      <c r="AH1063" s="4349"/>
      <c r="AI1063" s="875"/>
      <c r="AJ1063" s="4783"/>
      <c r="AK1063" s="4349"/>
      <c r="AL1063" s="4349"/>
      <c r="AM1063" s="875"/>
      <c r="AN1063" s="878"/>
      <c r="AO1063" s="878"/>
      <c r="AP1063" s="4349"/>
      <c r="AQ1063" s="878"/>
      <c r="AR1063" s="878"/>
      <c r="AS1063" s="4784"/>
      <c r="AT1063" s="878"/>
      <c r="AU1063" s="878"/>
      <c r="AV1063" s="878"/>
      <c r="AW1063" s="4784"/>
      <c r="AX1063" s="878"/>
      <c r="AY1063" s="878"/>
      <c r="AZ1063" s="878"/>
      <c r="BA1063" s="878"/>
      <c r="BB1063" s="878"/>
      <c r="BC1063" s="878"/>
      <c r="BD1063" s="878"/>
      <c r="BE1063" s="878"/>
      <c r="BF1063" s="878"/>
      <c r="BG1063" s="878"/>
      <c r="BH1063" s="4784"/>
      <c r="BI1063" s="4784"/>
      <c r="BJ1063" s="4784"/>
      <c r="BK1063" s="4784"/>
      <c r="BL1063" s="4784"/>
      <c r="BM1063" s="4832"/>
      <c r="BN1063" s="4833"/>
      <c r="BO1063" s="1048"/>
      <c r="BP1063" s="1048"/>
      <c r="BQ1063" s="1048"/>
      <c r="BR1063" s="1048"/>
      <c r="BS1063" s="1048"/>
      <c r="BT1063" s="4414"/>
      <c r="BU1063" s="4415"/>
      <c r="BV1063" s="4782"/>
      <c r="BW1063" s="4782"/>
      <c r="BX1063" s="4333"/>
      <c r="BY1063" s="4333"/>
      <c r="BZ1063" s="4333"/>
      <c r="CA1063" s="4334"/>
      <c r="CC1063" s="4335"/>
      <c r="CD1063" s="4334"/>
    </row>
    <row r="1064" s="4311" customFormat="1" ht="50" customHeight="1" spans="1:82 16310:16384">
      <c r="A1064" s="4820"/>
      <c r="B1064" s="4821"/>
      <c r="C1064" s="3929"/>
      <c r="D1064" s="4822"/>
      <c r="E1064" s="3929"/>
      <c r="F1064" s="4822"/>
      <c r="G1064" s="3929"/>
      <c r="H1064" s="3929"/>
      <c r="I1064" s="4823"/>
      <c r="J1064" s="4823"/>
      <c r="K1064" s="4823"/>
      <c r="L1064" s="4823"/>
      <c r="M1064" s="4824"/>
      <c r="N1064" s="4780"/>
      <c r="O1064" s="4825"/>
      <c r="P1064" s="4826"/>
      <c r="Q1064" s="4827"/>
      <c r="R1064" s="4157"/>
      <c r="S1064" s="4828"/>
      <c r="T1064" s="4173"/>
      <c r="U1064" s="4829"/>
      <c r="V1064" s="3931"/>
      <c r="W1064" s="3931"/>
      <c r="X1064" s="3931"/>
      <c r="Y1064" s="3931"/>
      <c r="Z1064" s="4823"/>
      <c r="AA1064" s="3900"/>
      <c r="AB1064" s="4823"/>
      <c r="AC1064" s="4830"/>
      <c r="AD1064" s="4823"/>
      <c r="AE1064" s="4278"/>
      <c r="AF1064" s="4831"/>
      <c r="AG1064" s="4278"/>
      <c r="AH1064" s="4349"/>
      <c r="AI1064" s="875"/>
      <c r="AJ1064" s="4783"/>
      <c r="AK1064" s="4349"/>
      <c r="AL1064" s="4349"/>
      <c r="AM1064" s="875"/>
      <c r="AN1064" s="878"/>
      <c r="AO1064" s="878"/>
      <c r="AP1064" s="4349"/>
      <c r="AQ1064" s="878"/>
      <c r="AR1064" s="878"/>
      <c r="AS1064" s="4784"/>
      <c r="AT1064" s="878"/>
      <c r="AU1064" s="878"/>
      <c r="AV1064" s="878"/>
      <c r="AW1064" s="4784"/>
      <c r="AX1064" s="878"/>
      <c r="AY1064" s="878"/>
      <c r="AZ1064" s="878"/>
      <c r="BA1064" s="878"/>
      <c r="BB1064" s="878"/>
      <c r="BC1064" s="878"/>
      <c r="BD1064" s="878"/>
      <c r="BE1064" s="878"/>
      <c r="BF1064" s="878"/>
      <c r="BG1064" s="878"/>
      <c r="BH1064" s="4784"/>
      <c r="BI1064" s="4784"/>
      <c r="BJ1064" s="4784"/>
      <c r="BK1064" s="4784"/>
      <c r="BL1064" s="4784"/>
      <c r="BM1064" s="4832"/>
      <c r="BN1064" s="4833"/>
      <c r="BO1064" s="1048"/>
      <c r="BP1064" s="1048"/>
      <c r="BQ1064" s="1048"/>
      <c r="BR1064" s="1048"/>
      <c r="BS1064" s="1048"/>
      <c r="BT1064" s="4414"/>
      <c r="BU1064" s="4415"/>
      <c r="BV1064" s="4782"/>
      <c r="BW1064" s="4782"/>
      <c r="BX1064" s="4333"/>
      <c r="BY1064" s="4333"/>
      <c r="BZ1064" s="4333"/>
      <c r="CA1064" s="4334"/>
      <c r="CC1064" s="4335"/>
      <c r="CD1064" s="4334"/>
    </row>
    <row r="1065" s="4311" customFormat="1" ht="50" customHeight="1" spans="1:82 16310:16384">
      <c r="A1065" s="4820"/>
      <c r="B1065" s="4821"/>
      <c r="C1065" s="3929"/>
      <c r="D1065" s="4822"/>
      <c r="E1065" s="3929"/>
      <c r="F1065" s="4822"/>
      <c r="G1065" s="3929"/>
      <c r="H1065" s="3929"/>
      <c r="I1065" s="4823"/>
      <c r="J1065" s="4823"/>
      <c r="K1065" s="4823"/>
      <c r="L1065" s="4823"/>
      <c r="M1065" s="4824"/>
      <c r="N1065" s="4780"/>
      <c r="O1065" s="4825"/>
      <c r="P1065" s="4826"/>
      <c r="Q1065" s="4827"/>
      <c r="R1065" s="4157"/>
      <c r="S1065" s="4828"/>
      <c r="T1065" s="4173"/>
      <c r="U1065" s="4829"/>
      <c r="V1065" s="3931"/>
      <c r="W1065" s="3931"/>
      <c r="X1065" s="3931"/>
      <c r="Y1065" s="3931"/>
      <c r="Z1065" s="4823"/>
      <c r="AA1065" s="3900"/>
      <c r="AB1065" s="4823"/>
      <c r="AC1065" s="4830"/>
      <c r="AD1065" s="4823"/>
      <c r="AE1065" s="4278"/>
      <c r="AF1065" s="4831"/>
      <c r="AG1065" s="4278"/>
      <c r="AH1065" s="4349"/>
      <c r="AI1065" s="875"/>
      <c r="AJ1065" s="4783"/>
      <c r="AK1065" s="4349"/>
      <c r="AL1065" s="4349"/>
      <c r="AM1065" s="875"/>
      <c r="AN1065" s="878"/>
      <c r="AO1065" s="878"/>
      <c r="AP1065" s="4349"/>
      <c r="AQ1065" s="878"/>
      <c r="AR1065" s="878"/>
      <c r="AS1065" s="4784"/>
      <c r="AT1065" s="878"/>
      <c r="AU1065" s="878"/>
      <c r="AV1065" s="878"/>
      <c r="AW1065" s="4784"/>
      <c r="AX1065" s="878"/>
      <c r="AY1065" s="878"/>
      <c r="AZ1065" s="878"/>
      <c r="BA1065" s="878"/>
      <c r="BB1065" s="878"/>
      <c r="BC1065" s="878"/>
      <c r="BD1065" s="878"/>
      <c r="BE1065" s="878"/>
      <c r="BF1065" s="878"/>
      <c r="BG1065" s="878"/>
      <c r="BH1065" s="4784"/>
      <c r="BI1065" s="4784"/>
      <c r="BJ1065" s="4784"/>
      <c r="BK1065" s="4784"/>
      <c r="BL1065" s="4784"/>
      <c r="BM1065" s="4832"/>
      <c r="BN1065" s="4833"/>
      <c r="BO1065" s="1048"/>
      <c r="BP1065" s="1048"/>
      <c r="BQ1065" s="1048"/>
      <c r="BR1065" s="1048"/>
      <c r="BS1065" s="1048"/>
      <c r="BT1065" s="4414"/>
      <c r="BU1065" s="4415"/>
      <c r="BV1065" s="4782"/>
      <c r="BW1065" s="4782"/>
      <c r="BX1065" s="4333"/>
      <c r="BY1065" s="4333"/>
      <c r="BZ1065" s="4333"/>
      <c r="CA1065" s="4334"/>
      <c r="CC1065" s="4335"/>
      <c r="CD1065" s="4334"/>
    </row>
    <row r="1066" s="4311" customFormat="1" ht="50" customHeight="1" spans="1:82 16310:16384">
      <c r="A1066" s="4820"/>
      <c r="B1066" s="4821"/>
      <c r="C1066" s="3929"/>
      <c r="D1066" s="4822"/>
      <c r="E1066" s="3929"/>
      <c r="F1066" s="4822"/>
      <c r="G1066" s="3929"/>
      <c r="H1066" s="3929"/>
      <c r="I1066" s="4823"/>
      <c r="J1066" s="4823"/>
      <c r="K1066" s="4823"/>
      <c r="L1066" s="4823"/>
      <c r="M1066" s="4824"/>
      <c r="N1066" s="4780"/>
      <c r="O1066" s="4825"/>
      <c r="P1066" s="4826"/>
      <c r="Q1066" s="4827"/>
      <c r="R1066" s="4157"/>
      <c r="S1066" s="4828"/>
      <c r="T1066" s="4173"/>
      <c r="U1066" s="4829"/>
      <c r="V1066" s="3931"/>
      <c r="W1066" s="3931"/>
      <c r="X1066" s="3931"/>
      <c r="Y1066" s="3931"/>
      <c r="Z1066" s="4823"/>
      <c r="AA1066" s="3900"/>
      <c r="AB1066" s="4823"/>
      <c r="AC1066" s="4830"/>
      <c r="AD1066" s="4823"/>
      <c r="AE1066" s="4278"/>
      <c r="AF1066" s="4831"/>
      <c r="AG1066" s="4278"/>
      <c r="AH1066" s="4349"/>
      <c r="AI1066" s="875"/>
      <c r="AJ1066" s="4783"/>
      <c r="AK1066" s="4349"/>
      <c r="AL1066" s="4349"/>
      <c r="AM1066" s="875"/>
      <c r="AN1066" s="878"/>
      <c r="AO1066" s="878"/>
      <c r="AP1066" s="4349"/>
      <c r="AQ1066" s="878"/>
      <c r="AR1066" s="878"/>
      <c r="AS1066" s="4784"/>
      <c r="AT1066" s="878"/>
      <c r="AU1066" s="878"/>
      <c r="AV1066" s="878"/>
      <c r="AW1066" s="4784"/>
      <c r="AX1066" s="878"/>
      <c r="AY1066" s="878"/>
      <c r="AZ1066" s="878"/>
      <c r="BA1066" s="878"/>
      <c r="BB1066" s="878"/>
      <c r="BC1066" s="878"/>
      <c r="BD1066" s="878"/>
      <c r="BE1066" s="878"/>
      <c r="BF1066" s="878"/>
      <c r="BG1066" s="878"/>
      <c r="BH1066" s="4784"/>
      <c r="BI1066" s="4784"/>
      <c r="BJ1066" s="4784"/>
      <c r="BK1066" s="4784"/>
      <c r="BL1066" s="4784"/>
      <c r="BM1066" s="4832"/>
      <c r="BN1066" s="4833"/>
      <c r="BO1066" s="1048"/>
      <c r="BP1066" s="1048"/>
      <c r="BQ1066" s="1048"/>
      <c r="BR1066" s="1048"/>
      <c r="BS1066" s="1048"/>
      <c r="BT1066" s="4414"/>
      <c r="BU1066" s="4415"/>
      <c r="BV1066" s="4782"/>
      <c r="BW1066" s="4782"/>
      <c r="BX1066" s="4333"/>
      <c r="BY1066" s="4333"/>
      <c r="BZ1066" s="4333"/>
      <c r="CA1066" s="4334"/>
      <c r="CC1066" s="4335"/>
      <c r="CD1066" s="4334"/>
    </row>
    <row r="1067" s="4311" customFormat="1" ht="50" customHeight="1" spans="1:82 16310:16384">
      <c r="A1067" s="4820"/>
      <c r="B1067" s="4821"/>
      <c r="C1067" s="3929"/>
      <c r="D1067" s="4822"/>
      <c r="E1067" s="3929"/>
      <c r="F1067" s="4822"/>
      <c r="G1067" s="3929"/>
      <c r="H1067" s="3929"/>
      <c r="I1067" s="4823"/>
      <c r="J1067" s="4823"/>
      <c r="K1067" s="4823"/>
      <c r="L1067" s="4823"/>
      <c r="M1067" s="4824"/>
      <c r="N1067" s="4780"/>
      <c r="O1067" s="4825"/>
      <c r="P1067" s="4826"/>
      <c r="Q1067" s="4827"/>
      <c r="R1067" s="4157"/>
      <c r="S1067" s="4828"/>
      <c r="T1067" s="4173"/>
      <c r="U1067" s="4829"/>
      <c r="V1067" s="3931"/>
      <c r="W1067" s="3931"/>
      <c r="X1067" s="3931"/>
      <c r="Y1067" s="3931"/>
      <c r="Z1067" s="4823"/>
      <c r="AA1067" s="3900"/>
      <c r="AB1067" s="4823"/>
      <c r="AC1067" s="4830"/>
      <c r="AD1067" s="4823"/>
      <c r="AE1067" s="4278"/>
      <c r="AF1067" s="4831"/>
      <c r="AG1067" s="4278"/>
      <c r="AH1067" s="4349"/>
      <c r="AI1067" s="875"/>
      <c r="AJ1067" s="4783"/>
      <c r="AK1067" s="4349"/>
      <c r="AL1067" s="4349"/>
      <c r="AM1067" s="875"/>
      <c r="AN1067" s="878"/>
      <c r="AO1067" s="878"/>
      <c r="AP1067" s="4349"/>
      <c r="AQ1067" s="878"/>
      <c r="AR1067" s="878"/>
      <c r="AS1067" s="4784"/>
      <c r="AT1067" s="878"/>
      <c r="AU1067" s="878"/>
      <c r="AV1067" s="878"/>
      <c r="AW1067" s="4784"/>
      <c r="AX1067" s="878"/>
      <c r="AY1067" s="878"/>
      <c r="AZ1067" s="878"/>
      <c r="BA1067" s="878"/>
      <c r="BB1067" s="878"/>
      <c r="BC1067" s="878"/>
      <c r="BD1067" s="878"/>
      <c r="BE1067" s="878"/>
      <c r="BF1067" s="878"/>
      <c r="BG1067" s="878"/>
      <c r="BH1067" s="4784"/>
      <c r="BI1067" s="4784"/>
      <c r="BJ1067" s="4784"/>
      <c r="BK1067" s="4784"/>
      <c r="BL1067" s="4784"/>
      <c r="BM1067" s="4832"/>
      <c r="BN1067" s="4833"/>
      <c r="BO1067" s="1048"/>
      <c r="BP1067" s="1048"/>
      <c r="BQ1067" s="1048"/>
      <c r="BR1067" s="1048"/>
      <c r="BS1067" s="1048"/>
      <c r="BT1067" s="4414"/>
      <c r="BU1067" s="4415"/>
      <c r="BV1067" s="4782"/>
      <c r="BW1067" s="4782"/>
      <c r="BX1067" s="4333"/>
      <c r="BY1067" s="4333"/>
      <c r="BZ1067" s="4333"/>
      <c r="CA1067" s="4334"/>
      <c r="CC1067" s="4335"/>
      <c r="CD1067" s="4334"/>
    </row>
    <row r="1068" s="4311" customFormat="1" ht="50" customHeight="1" spans="1:82 16310:16384">
      <c r="A1068" s="4820"/>
      <c r="B1068" s="4821"/>
      <c r="C1068" s="3929"/>
      <c r="D1068" s="4822"/>
      <c r="E1068" s="3929"/>
      <c r="F1068" s="4822"/>
      <c r="G1068" s="3929"/>
      <c r="H1068" s="3929"/>
      <c r="I1068" s="4823"/>
      <c r="J1068" s="4823"/>
      <c r="K1068" s="4823"/>
      <c r="L1068" s="4823"/>
      <c r="M1068" s="4824"/>
      <c r="N1068" s="4780"/>
      <c r="O1068" s="4825"/>
      <c r="P1068" s="4826"/>
      <c r="Q1068" s="4827"/>
      <c r="R1068" s="4157"/>
      <c r="S1068" s="4828"/>
      <c r="T1068" s="4173"/>
      <c r="U1068" s="4829"/>
      <c r="V1068" s="3931"/>
      <c r="W1068" s="3931"/>
      <c r="X1068" s="3931"/>
      <c r="Y1068" s="3931"/>
      <c r="Z1068" s="4823"/>
      <c r="AA1068" s="3900"/>
      <c r="AB1068" s="4823"/>
      <c r="AC1068" s="4830"/>
      <c r="AD1068" s="4823"/>
      <c r="AE1068" s="4278"/>
      <c r="AF1068" s="4831"/>
      <c r="AG1068" s="4278"/>
      <c r="AH1068" s="4349"/>
      <c r="AI1068" s="875"/>
      <c r="AJ1068" s="4783"/>
      <c r="AK1068" s="4349"/>
      <c r="AL1068" s="4349"/>
      <c r="AM1068" s="875"/>
      <c r="AN1068" s="878"/>
      <c r="AO1068" s="878"/>
      <c r="AP1068" s="4349"/>
      <c r="AQ1068" s="878"/>
      <c r="AR1068" s="878"/>
      <c r="AS1068" s="4784"/>
      <c r="AT1068" s="878"/>
      <c r="AU1068" s="878"/>
      <c r="AV1068" s="878"/>
      <c r="AW1068" s="4784"/>
      <c r="AX1068" s="878"/>
      <c r="AY1068" s="878"/>
      <c r="AZ1068" s="878"/>
      <c r="BA1068" s="878"/>
      <c r="BB1068" s="878"/>
      <c r="BC1068" s="878"/>
      <c r="BD1068" s="878"/>
      <c r="BE1068" s="878"/>
      <c r="BF1068" s="878"/>
      <c r="BG1068" s="878"/>
      <c r="BH1068" s="4784"/>
      <c r="BI1068" s="4784"/>
      <c r="BJ1068" s="4784"/>
      <c r="BK1068" s="4784"/>
      <c r="BL1068" s="4784"/>
      <c r="BM1068" s="4832"/>
      <c r="BN1068" s="4833"/>
      <c r="BO1068" s="1048"/>
      <c r="BP1068" s="1048"/>
      <c r="BQ1068" s="1048"/>
      <c r="BR1068" s="1048"/>
      <c r="BS1068" s="1048"/>
      <c r="BT1068" s="4414"/>
      <c r="BU1068" s="4415"/>
      <c r="BV1068" s="4782"/>
      <c r="BW1068" s="4782"/>
      <c r="BX1068" s="4333"/>
      <c r="BY1068" s="4333"/>
      <c r="BZ1068" s="4333"/>
      <c r="CA1068" s="4334"/>
      <c r="CC1068" s="4335"/>
      <c r="CD1068" s="4334"/>
    </row>
    <row r="1069" s="4311" customFormat="1" ht="50" customHeight="1" spans="1:82 16310:16384">
      <c r="A1069" s="4820"/>
      <c r="B1069" s="4821"/>
      <c r="C1069" s="3929"/>
      <c r="D1069" s="4822"/>
      <c r="E1069" s="3929"/>
      <c r="F1069" s="4822"/>
      <c r="G1069" s="3929"/>
      <c r="H1069" s="3929"/>
      <c r="I1069" s="4823"/>
      <c r="J1069" s="4823"/>
      <c r="K1069" s="4823"/>
      <c r="L1069" s="4823"/>
      <c r="M1069" s="4824"/>
      <c r="N1069" s="4780"/>
      <c r="O1069" s="4825"/>
      <c r="P1069" s="4826"/>
      <c r="Q1069" s="4827"/>
      <c r="R1069" s="4157"/>
      <c r="S1069" s="4828"/>
      <c r="T1069" s="4173"/>
      <c r="U1069" s="4829"/>
      <c r="V1069" s="3931"/>
      <c r="W1069" s="3931"/>
      <c r="X1069" s="3931"/>
      <c r="Y1069" s="3931"/>
      <c r="Z1069" s="4823"/>
      <c r="AA1069" s="3900"/>
      <c r="AB1069" s="4823"/>
      <c r="AC1069" s="4830"/>
      <c r="AD1069" s="4823"/>
      <c r="AE1069" s="4278"/>
      <c r="AF1069" s="4831"/>
      <c r="AG1069" s="4278"/>
      <c r="AH1069" s="4349"/>
      <c r="AI1069" s="875"/>
      <c r="AJ1069" s="4783"/>
      <c r="AK1069" s="4349"/>
      <c r="AL1069" s="4349"/>
      <c r="AM1069" s="875"/>
      <c r="AN1069" s="878"/>
      <c r="AO1069" s="878"/>
      <c r="AP1069" s="4349"/>
      <c r="AQ1069" s="878"/>
      <c r="AR1069" s="878"/>
      <c r="AS1069" s="4784"/>
      <c r="AT1069" s="878"/>
      <c r="AU1069" s="878"/>
      <c r="AV1069" s="878"/>
      <c r="AW1069" s="4784"/>
      <c r="AX1069" s="878"/>
      <c r="AY1069" s="878"/>
      <c r="AZ1069" s="878"/>
      <c r="BA1069" s="878"/>
      <c r="BB1069" s="878"/>
      <c r="BC1069" s="878"/>
      <c r="BD1069" s="878"/>
      <c r="BE1069" s="878"/>
      <c r="BF1069" s="878"/>
      <c r="BG1069" s="878"/>
      <c r="BH1069" s="4784"/>
      <c r="BI1069" s="4784"/>
      <c r="BJ1069" s="4784"/>
      <c r="BK1069" s="4784"/>
      <c r="BL1069" s="4784"/>
      <c r="BM1069" s="4832"/>
      <c r="BN1069" s="4833"/>
      <c r="BO1069" s="1048"/>
      <c r="BP1069" s="1048"/>
      <c r="BQ1069" s="1048"/>
      <c r="BR1069" s="1048"/>
      <c r="BS1069" s="1048"/>
      <c r="BT1069" s="4414"/>
      <c r="BU1069" s="4415"/>
      <c r="BV1069" s="4782"/>
      <c r="BW1069" s="4782"/>
      <c r="BX1069" s="4333"/>
      <c r="BY1069" s="4333"/>
      <c r="BZ1069" s="4333"/>
      <c r="CA1069" s="4334"/>
      <c r="CC1069" s="4335"/>
      <c r="CD1069" s="4334"/>
    </row>
    <row r="1070" s="4311" customFormat="1" ht="50" customHeight="1" spans="1:82 16310:16384">
      <c r="A1070" s="4820"/>
      <c r="B1070" s="4821"/>
      <c r="C1070" s="3929"/>
      <c r="D1070" s="4822"/>
      <c r="E1070" s="3929"/>
      <c r="F1070" s="4822"/>
      <c r="G1070" s="3929"/>
      <c r="H1070" s="3929"/>
      <c r="I1070" s="4823"/>
      <c r="J1070" s="4823"/>
      <c r="K1070" s="4823"/>
      <c r="L1070" s="4823"/>
      <c r="M1070" s="4824"/>
      <c r="N1070" s="4780"/>
      <c r="O1070" s="4825"/>
      <c r="P1070" s="4826"/>
      <c r="Q1070" s="4827"/>
      <c r="R1070" s="4157"/>
      <c r="S1070" s="4828"/>
      <c r="T1070" s="4173"/>
      <c r="U1070" s="4829"/>
      <c r="V1070" s="3931"/>
      <c r="W1070" s="3931"/>
      <c r="X1070" s="3931"/>
      <c r="Y1070" s="3931"/>
      <c r="Z1070" s="4823"/>
      <c r="AA1070" s="3900"/>
      <c r="AB1070" s="4823"/>
      <c r="AC1070" s="4830"/>
      <c r="AD1070" s="4823"/>
      <c r="AE1070" s="4278"/>
      <c r="AF1070" s="4831"/>
      <c r="AG1070" s="4278"/>
      <c r="AH1070" s="4349"/>
      <c r="AI1070" s="875"/>
      <c r="AJ1070" s="4783"/>
      <c r="AK1070" s="4349"/>
      <c r="AL1070" s="4349"/>
      <c r="AM1070" s="875"/>
      <c r="AN1070" s="878"/>
      <c r="AO1070" s="878"/>
      <c r="AP1070" s="4349"/>
      <c r="AQ1070" s="878"/>
      <c r="AR1070" s="878"/>
      <c r="AS1070" s="4784"/>
      <c r="AT1070" s="878"/>
      <c r="AU1070" s="878"/>
      <c r="AV1070" s="878"/>
      <c r="AW1070" s="4784"/>
      <c r="AX1070" s="878"/>
      <c r="AY1070" s="878"/>
      <c r="AZ1070" s="878"/>
      <c r="BA1070" s="878"/>
      <c r="BB1070" s="878"/>
      <c r="BC1070" s="878"/>
      <c r="BD1070" s="878"/>
      <c r="BE1070" s="878"/>
      <c r="BF1070" s="878"/>
      <c r="BG1070" s="878"/>
      <c r="BH1070" s="4784"/>
      <c r="BI1070" s="4784"/>
      <c r="BJ1070" s="4784"/>
      <c r="BK1070" s="4784"/>
      <c r="BL1070" s="4784"/>
      <c r="BM1070" s="4832"/>
      <c r="BN1070" s="4833"/>
      <c r="BO1070" s="1048"/>
      <c r="BP1070" s="1048"/>
      <c r="BQ1070" s="1048"/>
      <c r="BR1070" s="1048"/>
      <c r="BS1070" s="1048"/>
      <c r="BT1070" s="4414"/>
      <c r="BU1070" s="4415"/>
      <c r="BV1070" s="4782"/>
      <c r="BW1070" s="4782"/>
      <c r="BX1070" s="4333"/>
      <c r="BY1070" s="4333"/>
      <c r="BZ1070" s="4333"/>
      <c r="CA1070" s="4334"/>
      <c r="CC1070" s="4335"/>
      <c r="CD1070" s="4334"/>
    </row>
    <row r="1071" s="4311" customFormat="1" ht="50" customHeight="1" spans="1:82 16310:16384">
      <c r="A1071" s="4820"/>
      <c r="B1071" s="4821"/>
      <c r="C1071" s="3929"/>
      <c r="D1071" s="4822"/>
      <c r="E1071" s="3929"/>
      <c r="F1071" s="4822"/>
      <c r="G1071" s="3929"/>
      <c r="H1071" s="3929"/>
      <c r="I1071" s="4823"/>
      <c r="J1071" s="4823"/>
      <c r="K1071" s="4823"/>
      <c r="L1071" s="4823"/>
      <c r="M1071" s="4824"/>
      <c r="N1071" s="4780"/>
      <c r="O1071" s="4825"/>
      <c r="P1071" s="4826"/>
      <c r="Q1071" s="4827"/>
      <c r="R1071" s="4157"/>
      <c r="S1071" s="4828"/>
      <c r="T1071" s="4173"/>
      <c r="U1071" s="4829"/>
      <c r="V1071" s="3931"/>
      <c r="W1071" s="3931"/>
      <c r="X1071" s="3931"/>
      <c r="Y1071" s="3931"/>
      <c r="Z1071" s="4823"/>
      <c r="AA1071" s="3900"/>
      <c r="AB1071" s="4823"/>
      <c r="AC1071" s="4830"/>
      <c r="AD1071" s="4823"/>
      <c r="AE1071" s="4278"/>
      <c r="AF1071" s="4831"/>
      <c r="AG1071" s="4278"/>
      <c r="AH1071" s="4349"/>
      <c r="AI1071" s="875"/>
      <c r="AJ1071" s="4783"/>
      <c r="AK1071" s="4349"/>
      <c r="AL1071" s="4349"/>
      <c r="AM1071" s="875"/>
      <c r="AN1071" s="878"/>
      <c r="AO1071" s="878"/>
      <c r="AP1071" s="4349"/>
      <c r="AQ1071" s="878"/>
      <c r="AR1071" s="878"/>
      <c r="AS1071" s="4784"/>
      <c r="AT1071" s="878"/>
      <c r="AU1071" s="878"/>
      <c r="AV1071" s="878"/>
      <c r="AW1071" s="4784"/>
      <c r="AX1071" s="878"/>
      <c r="AY1071" s="878"/>
      <c r="AZ1071" s="878"/>
      <c r="BA1071" s="878"/>
      <c r="BB1071" s="878"/>
      <c r="BC1071" s="878"/>
      <c r="BD1071" s="878"/>
      <c r="BE1071" s="878"/>
      <c r="BF1071" s="878"/>
      <c r="BG1071" s="878"/>
      <c r="BH1071" s="4784"/>
      <c r="BI1071" s="4784"/>
      <c r="BJ1071" s="4784"/>
      <c r="BK1071" s="4784"/>
      <c r="BL1071" s="4784"/>
      <c r="BM1071" s="4832"/>
      <c r="BN1071" s="4833"/>
      <c r="BO1071" s="1048"/>
      <c r="BP1071" s="1048"/>
      <c r="BQ1071" s="1048"/>
      <c r="BR1071" s="1048"/>
      <c r="BS1071" s="1048"/>
      <c r="BT1071" s="4414"/>
      <c r="BU1071" s="4415"/>
      <c r="BV1071" s="4782"/>
      <c r="BW1071" s="4782"/>
      <c r="BX1071" s="4333"/>
      <c r="BY1071" s="4333"/>
      <c r="BZ1071" s="4333"/>
      <c r="CA1071" s="4334"/>
      <c r="CC1071" s="4335"/>
      <c r="CD1071" s="4334"/>
    </row>
    <row r="1072" s="4311" customFormat="1" ht="50" customHeight="1" spans="1:82 16310:16384">
      <c r="A1072" s="4820"/>
      <c r="B1072" s="4821"/>
      <c r="C1072" s="3929"/>
      <c r="D1072" s="4822"/>
      <c r="E1072" s="3929"/>
      <c r="F1072" s="4822"/>
      <c r="G1072" s="3929"/>
      <c r="H1072" s="3929"/>
      <c r="I1072" s="4823"/>
      <c r="J1072" s="4823"/>
      <c r="K1072" s="4823"/>
      <c r="L1072" s="4823"/>
      <c r="M1072" s="4824"/>
      <c r="N1072" s="4780"/>
      <c r="O1072" s="4825"/>
      <c r="P1072" s="4826"/>
      <c r="Q1072" s="4827"/>
      <c r="R1072" s="4157"/>
      <c r="S1072" s="4828"/>
      <c r="T1072" s="4173"/>
      <c r="U1072" s="4829"/>
      <c r="V1072" s="3931"/>
      <c r="W1072" s="3931"/>
      <c r="X1072" s="3931"/>
      <c r="Y1072" s="3931"/>
      <c r="Z1072" s="4823"/>
      <c r="AA1072" s="3900"/>
      <c r="AB1072" s="4823"/>
      <c r="AC1072" s="4830"/>
      <c r="AD1072" s="4823"/>
      <c r="AE1072" s="4278"/>
      <c r="AF1072" s="4831"/>
      <c r="AG1072" s="4278"/>
      <c r="AH1072" s="4349"/>
      <c r="AI1072" s="875"/>
      <c r="AJ1072" s="4783"/>
      <c r="AK1072" s="4349"/>
      <c r="AL1072" s="4349"/>
      <c r="AM1072" s="875"/>
      <c r="AN1072" s="878"/>
      <c r="AO1072" s="878"/>
      <c r="AP1072" s="4349"/>
      <c r="AQ1072" s="878"/>
      <c r="AR1072" s="878"/>
      <c r="AS1072" s="4784"/>
      <c r="AT1072" s="878"/>
      <c r="AU1072" s="878"/>
      <c r="AV1072" s="878"/>
      <c r="AW1072" s="4784"/>
      <c r="AX1072" s="878"/>
      <c r="AY1072" s="878"/>
      <c r="AZ1072" s="878"/>
      <c r="BA1072" s="878"/>
      <c r="BB1072" s="878"/>
      <c r="BC1072" s="878"/>
      <c r="BD1072" s="878"/>
      <c r="BE1072" s="878"/>
      <c r="BF1072" s="878"/>
      <c r="BG1072" s="878"/>
      <c r="BH1072" s="4784"/>
      <c r="BI1072" s="4784"/>
      <c r="BJ1072" s="4784"/>
      <c r="BK1072" s="4784"/>
      <c r="BL1072" s="4784"/>
      <c r="BM1072" s="4832"/>
      <c r="BN1072" s="4833"/>
      <c r="BO1072" s="1048"/>
      <c r="BP1072" s="1048"/>
      <c r="BQ1072" s="1048"/>
      <c r="BR1072" s="1048"/>
      <c r="BS1072" s="1048"/>
      <c r="BT1072" s="4414"/>
      <c r="BU1072" s="4415"/>
      <c r="BV1072" s="4782"/>
      <c r="BW1072" s="4782"/>
      <c r="BX1072" s="4333"/>
      <c r="BY1072" s="4333"/>
      <c r="BZ1072" s="4333"/>
      <c r="CA1072" s="4334"/>
      <c r="CC1072" s="4335"/>
      <c r="CD1072" s="4334"/>
    </row>
    <row r="1073" s="4311" customFormat="1" ht="50" customHeight="1" spans="1:93">
      <c r="A1073" s="4820"/>
      <c r="B1073" s="4821"/>
      <c r="C1073" s="3929"/>
      <c r="D1073" s="4822"/>
      <c r="E1073" s="3929"/>
      <c r="F1073" s="4822"/>
      <c r="G1073" s="3929"/>
      <c r="H1073" s="3929"/>
      <c r="I1073" s="4823"/>
      <c r="J1073" s="4823"/>
      <c r="K1073" s="4823"/>
      <c r="L1073" s="4823"/>
      <c r="M1073" s="4824"/>
      <c r="N1073" s="4780"/>
      <c r="O1073" s="4825"/>
      <c r="P1073" s="4826"/>
      <c r="Q1073" s="4827"/>
      <c r="R1073" s="4157"/>
      <c r="S1073" s="4828"/>
      <c r="T1073" s="4173"/>
      <c r="U1073" s="4829"/>
      <c r="V1073" s="3931"/>
      <c r="W1073" s="3931"/>
      <c r="X1073" s="3931"/>
      <c r="Y1073" s="3931"/>
      <c r="Z1073" s="4823"/>
      <c r="AA1073" s="3900"/>
      <c r="AB1073" s="4823"/>
      <c r="AC1073" s="4830"/>
      <c r="AD1073" s="4823"/>
      <c r="AE1073" s="4278"/>
      <c r="AF1073" s="4831"/>
      <c r="AG1073" s="4278"/>
      <c r="AH1073" s="4349"/>
      <c r="AI1073" s="875"/>
      <c r="AJ1073" s="4783"/>
      <c r="AK1073" s="4349"/>
      <c r="AL1073" s="4349"/>
      <c r="AM1073" s="875"/>
      <c r="AN1073" s="878"/>
      <c r="AO1073" s="878"/>
      <c r="AP1073" s="4349"/>
      <c r="AQ1073" s="878"/>
      <c r="AR1073" s="878"/>
      <c r="AS1073" s="4784"/>
      <c r="AT1073" s="878"/>
      <c r="AU1073" s="878"/>
      <c r="AV1073" s="878"/>
      <c r="AW1073" s="4784"/>
      <c r="AX1073" s="878"/>
      <c r="AY1073" s="878"/>
      <c r="AZ1073" s="878"/>
      <c r="BA1073" s="878"/>
      <c r="BB1073" s="878"/>
      <c r="BC1073" s="878"/>
      <c r="BD1073" s="878"/>
      <c r="BE1073" s="878"/>
      <c r="BF1073" s="878"/>
      <c r="BG1073" s="878"/>
      <c r="BH1073" s="4784"/>
      <c r="BI1073" s="4784"/>
      <c r="BJ1073" s="4784"/>
      <c r="BK1073" s="4784"/>
      <c r="BL1073" s="4784"/>
      <c r="BM1073" s="4832"/>
      <c r="BN1073" s="4833"/>
      <c r="BO1073" s="1048"/>
      <c r="BP1073" s="1048"/>
      <c r="BQ1073" s="1048"/>
      <c r="BR1073" s="1048"/>
      <c r="BS1073" s="1048"/>
      <c r="BT1073" s="4414"/>
      <c r="BU1073" s="4415"/>
      <c r="BV1073" s="4782"/>
      <c r="BW1073" s="4782"/>
      <c r="BX1073" s="4333"/>
      <c r="BY1073" s="4333"/>
      <c r="BZ1073" s="4333"/>
      <c r="CA1073" s="4334"/>
      <c r="CC1073" s="4335"/>
      <c r="CD1073" s="4334"/>
    </row>
    <row r="1074" s="4311" customFormat="1" ht="50" customHeight="1" spans="1:93">
      <c r="A1074" s="4776"/>
      <c r="B1074" s="4777"/>
      <c r="C1074" s="875"/>
      <c r="D1074" s="4778"/>
      <c r="E1074" s="875"/>
      <c r="F1074" s="4778"/>
      <c r="G1074" s="875"/>
      <c r="H1074" s="875"/>
      <c r="I1074" s="4349"/>
      <c r="J1074" s="4349"/>
      <c r="K1074" s="4349"/>
      <c r="L1074" s="4349"/>
      <c r="M1074" s="4779"/>
      <c r="N1074" s="4779"/>
      <c r="O1074" s="4834"/>
      <c r="P1074" s="4835"/>
      <c r="Q1074" s="4835"/>
      <c r="R1074" s="4836"/>
      <c r="S1074" s="4836"/>
      <c r="T1074" s="4836"/>
      <c r="U1074" s="4278"/>
      <c r="V1074" s="3898"/>
      <c r="W1074" s="3898"/>
      <c r="X1074" s="3898"/>
      <c r="Y1074" s="3898"/>
      <c r="Z1074" s="3899"/>
      <c r="AA1074" s="3658"/>
      <c r="AB1074" s="4349"/>
      <c r="AC1074" s="4349"/>
      <c r="AD1074" s="4349"/>
      <c r="AE1074" s="4278"/>
      <c r="AF1074" s="875"/>
      <c r="AG1074" s="4278"/>
      <c r="AH1074" s="875"/>
      <c r="AI1074" s="4349"/>
      <c r="AJ1074" s="4349"/>
      <c r="AK1074" s="875"/>
      <c r="AL1074" s="875"/>
      <c r="AM1074" s="875"/>
      <c r="AN1074" s="4349"/>
      <c r="AO1074" s="4349"/>
      <c r="AP1074" s="4349"/>
      <c r="AQ1074" s="878"/>
      <c r="AR1074" s="878"/>
      <c r="AS1074" s="878"/>
      <c r="AT1074" s="878"/>
      <c r="AU1074" s="878"/>
      <c r="AV1074" s="878"/>
      <c r="AW1074" s="878"/>
      <c r="AX1074" s="878"/>
      <c r="AY1074" s="878"/>
      <c r="AZ1074" s="878"/>
      <c r="BA1074" s="878"/>
      <c r="BB1074" s="878"/>
      <c r="BC1074" s="878"/>
      <c r="BD1074" s="878"/>
      <c r="BE1074" s="878"/>
      <c r="BF1074" s="878"/>
      <c r="BG1074" s="878"/>
      <c r="BH1074" s="878"/>
      <c r="BI1074" s="878"/>
      <c r="BJ1074" s="878"/>
      <c r="BK1074" s="878"/>
      <c r="BL1074" s="878"/>
      <c r="BM1074" s="878"/>
      <c r="BN1074" s="878"/>
      <c r="BO1074" s="878"/>
      <c r="BP1074" s="878"/>
      <c r="BQ1074" s="878"/>
      <c r="BR1074" s="878"/>
      <c r="BS1074" s="878"/>
      <c r="BT1074" s="879"/>
      <c r="BU1074" s="880"/>
      <c r="BV1074" s="4408"/>
      <c r="BW1074" s="4408"/>
      <c r="BX1074" s="4333"/>
      <c r="BY1074" s="4333"/>
      <c r="BZ1074" s="4333"/>
      <c r="CA1074" s="884"/>
      <c r="CB1074" s="677"/>
      <c r="CC1074" s="4837"/>
      <c r="CD1074" s="4838"/>
      <c r="CE1074" s="4325"/>
      <c r="CF1074" s="4325"/>
      <c r="CG1074" s="4325"/>
      <c r="CH1074" s="4325"/>
      <c r="CI1074" s="4325"/>
      <c r="CJ1074" s="4325"/>
      <c r="CK1074" s="4325"/>
      <c r="CL1074" s="4325"/>
      <c r="CM1074" s="4790"/>
      <c r="CN1074" s="4333"/>
      <c r="CO1074" s="4333"/>
    </row>
    <row r="1075" s="4311" customFormat="1" ht="50" customHeight="1" spans="1:93">
      <c r="A1075" s="4776"/>
      <c r="B1075" s="4777"/>
      <c r="C1075" s="875"/>
      <c r="D1075" s="4778"/>
      <c r="E1075" s="875"/>
      <c r="F1075" s="4778"/>
      <c r="G1075" s="875"/>
      <c r="H1075" s="875"/>
      <c r="I1075" s="4349"/>
      <c r="J1075" s="4349"/>
      <c r="K1075" s="4349"/>
      <c r="L1075" s="4349"/>
      <c r="M1075" s="4779"/>
      <c r="N1075" s="4779"/>
      <c r="O1075" s="4834"/>
      <c r="P1075" s="4835"/>
      <c r="Q1075" s="4835"/>
      <c r="R1075" s="4836"/>
      <c r="S1075" s="4836"/>
      <c r="T1075" s="4836"/>
      <c r="U1075" s="4278"/>
      <c r="V1075" s="3898"/>
      <c r="W1075" s="3898"/>
      <c r="X1075" s="3898"/>
      <c r="Y1075" s="3898"/>
      <c r="Z1075" s="3899"/>
      <c r="AA1075" s="3658"/>
      <c r="AB1075" s="4349"/>
      <c r="AC1075" s="4349"/>
      <c r="AD1075" s="4349"/>
      <c r="AE1075" s="4278"/>
      <c r="AF1075" s="875"/>
      <c r="AG1075" s="4278"/>
      <c r="AH1075" s="875"/>
      <c r="AI1075" s="4349"/>
      <c r="AJ1075" s="4349"/>
      <c r="AK1075" s="875"/>
      <c r="AL1075" s="875"/>
      <c r="AM1075" s="875"/>
      <c r="AN1075" s="4349"/>
      <c r="AO1075" s="4349"/>
      <c r="AP1075" s="4349"/>
      <c r="AQ1075" s="878"/>
      <c r="AR1075" s="878"/>
      <c r="AS1075" s="878"/>
      <c r="AT1075" s="878"/>
      <c r="AU1075" s="878"/>
      <c r="AV1075" s="878"/>
      <c r="AW1075" s="878"/>
      <c r="AX1075" s="878"/>
      <c r="AY1075" s="878"/>
      <c r="AZ1075" s="878"/>
      <c r="BA1075" s="878"/>
      <c r="BB1075" s="878"/>
      <c r="BC1075" s="878"/>
      <c r="BD1075" s="878"/>
      <c r="BE1075" s="878"/>
      <c r="BF1075" s="878"/>
      <c r="BG1075" s="878"/>
      <c r="BH1075" s="878"/>
      <c r="BI1075" s="878"/>
      <c r="BJ1075" s="878"/>
      <c r="BK1075" s="878"/>
      <c r="BL1075" s="878"/>
      <c r="BM1075" s="878"/>
      <c r="BN1075" s="878"/>
      <c r="BO1075" s="878"/>
      <c r="BP1075" s="878"/>
      <c r="BQ1075" s="878"/>
      <c r="BR1075" s="878"/>
      <c r="BS1075" s="878"/>
      <c r="BT1075" s="879"/>
      <c r="BU1075" s="880"/>
      <c r="BV1075" s="4408"/>
      <c r="BW1075" s="4408"/>
      <c r="BX1075" s="4333"/>
      <c r="BY1075" s="4333"/>
      <c r="BZ1075" s="4333"/>
      <c r="CA1075" s="884"/>
      <c r="CB1075" s="677"/>
      <c r="CC1075" s="4837"/>
      <c r="CD1075" s="4838"/>
      <c r="CE1075" s="4325"/>
      <c r="CF1075" s="4325"/>
      <c r="CG1075" s="4325"/>
      <c r="CH1075" s="4325"/>
      <c r="CI1075" s="4325"/>
      <c r="CJ1075" s="4325"/>
      <c r="CK1075" s="4325"/>
      <c r="CL1075" s="4325"/>
      <c r="CM1075" s="4790"/>
      <c r="CN1075" s="4333"/>
      <c r="CO1075" s="4333"/>
    </row>
    <row r="1076" s="4311" customFormat="1" ht="40" customHeight="1" spans="1:93">
      <c r="A1076" s="4326"/>
      <c r="B1076" s="1008"/>
      <c r="C1076" s="1008"/>
      <c r="D1076" s="4309"/>
      <c r="E1076" s="1008"/>
      <c r="F1076" s="1008"/>
      <c r="G1076" s="4309"/>
      <c r="H1076" s="4309"/>
      <c r="I1076" s="4309"/>
      <c r="J1076" s="4309"/>
      <c r="K1076" s="4309"/>
      <c r="L1076" s="4309"/>
      <c r="M1076" s="4327"/>
      <c r="N1076" s="4309"/>
      <c r="O1076" s="4839"/>
      <c r="P1076" s="4329"/>
      <c r="Q1076" s="4329"/>
      <c r="R1076" s="4343"/>
      <c r="S1076" s="4343"/>
      <c r="T1076" s="4343"/>
      <c r="U1076" s="4309"/>
      <c r="V1076" s="4309"/>
      <c r="W1076" s="4840"/>
      <c r="X1076" s="4309"/>
      <c r="Y1076" s="4309"/>
      <c r="Z1076" s="4329"/>
      <c r="AA1076" s="3578"/>
      <c r="AB1076" s="4329"/>
      <c r="AC1076" s="4329"/>
      <c r="AD1076" s="4329"/>
      <c r="AE1076" s="4329"/>
      <c r="AF1076" s="1008"/>
      <c r="AG1076" s="1008"/>
      <c r="AH1076" s="4841">
        <f t="shared" ref="AH1076:BZ1076" si="598">SUM(AH4:AH1075)</f>
        <v>5532</v>
      </c>
      <c r="AI1076" s="4842">
        <f t="shared" si="598"/>
        <v>426525</v>
      </c>
      <c r="AJ1076" s="4842">
        <f t="shared" si="598"/>
        <v>561303</v>
      </c>
      <c r="AK1076" s="4842">
        <f t="shared" si="598"/>
        <v>3180</v>
      </c>
      <c r="AL1076" s="4842">
        <f t="shared" si="598"/>
        <v>151586</v>
      </c>
      <c r="AM1076" s="4842">
        <f t="shared" si="598"/>
        <v>156266</v>
      </c>
      <c r="AN1076" s="4842">
        <f t="shared" si="598"/>
        <v>741316</v>
      </c>
      <c r="AO1076" s="4842">
        <f t="shared" si="598"/>
        <v>991985</v>
      </c>
      <c r="AP1076" s="4842">
        <f t="shared" si="598"/>
        <v>868697</v>
      </c>
      <c r="AQ1076" s="4842">
        <f t="shared" si="598"/>
        <v>185026</v>
      </c>
      <c r="AR1076" s="4842">
        <f t="shared" si="598"/>
        <v>9780</v>
      </c>
      <c r="AS1076" s="4842">
        <f t="shared" si="598"/>
        <v>1849073</v>
      </c>
      <c r="AT1076" s="4842">
        <f t="shared" si="598"/>
        <v>0</v>
      </c>
      <c r="AU1076" s="4842">
        <f t="shared" si="598"/>
        <v>194631</v>
      </c>
      <c r="AV1076" s="4842">
        <f t="shared" si="598"/>
        <v>38245.3333333333</v>
      </c>
      <c r="AW1076" s="4842">
        <f t="shared" si="598"/>
        <v>26706</v>
      </c>
      <c r="AX1076" s="4842">
        <f t="shared" si="598"/>
        <v>10337</v>
      </c>
      <c r="AY1076" s="4842">
        <f t="shared" si="598"/>
        <v>1698</v>
      </c>
      <c r="AZ1076" s="4842">
        <f t="shared" si="598"/>
        <v>0</v>
      </c>
      <c r="BA1076" s="4842">
        <f t="shared" si="598"/>
        <v>23376</v>
      </c>
      <c r="BB1076" s="4842">
        <f t="shared" si="598"/>
        <v>82368</v>
      </c>
      <c r="BC1076" s="4842">
        <f t="shared" si="598"/>
        <v>226970</v>
      </c>
      <c r="BD1076" s="4842">
        <f t="shared" si="598"/>
        <v>0</v>
      </c>
      <c r="BE1076" s="4842">
        <f t="shared" si="598"/>
        <v>185</v>
      </c>
      <c r="BF1076" s="4842">
        <f t="shared" si="598"/>
        <v>0</v>
      </c>
      <c r="BG1076" s="4842">
        <f t="shared" si="598"/>
        <v>800</v>
      </c>
      <c r="BH1076" s="4842">
        <f t="shared" si="598"/>
        <v>339870.772413793</v>
      </c>
      <c r="BI1076" s="4842">
        <f t="shared" si="598"/>
        <v>332417.203448276</v>
      </c>
      <c r="BJ1076" s="4842">
        <f t="shared" si="598"/>
        <v>337681.697701149</v>
      </c>
      <c r="BK1076" s="4842">
        <f t="shared" si="598"/>
        <v>334455.3</v>
      </c>
      <c r="BL1076" s="4842">
        <f t="shared" si="598"/>
        <v>342838.533333334</v>
      </c>
      <c r="BM1076" s="4842">
        <f t="shared" si="598"/>
        <v>275700.733333333</v>
      </c>
      <c r="BN1076" s="4842">
        <f t="shared" si="598"/>
        <v>84909.0977011493</v>
      </c>
      <c r="BO1076" s="4842">
        <f t="shared" si="598"/>
        <v>398</v>
      </c>
      <c r="BP1076" s="4842">
        <f t="shared" si="598"/>
        <v>398</v>
      </c>
      <c r="BQ1076" s="4842">
        <f t="shared" si="598"/>
        <v>2421.4</v>
      </c>
      <c r="BR1076" s="4842">
        <f t="shared" si="598"/>
        <v>300.6</v>
      </c>
      <c r="BS1076" s="4842">
        <f t="shared" si="598"/>
        <v>334</v>
      </c>
      <c r="BT1076" s="4842">
        <f t="shared" si="598"/>
        <v>334</v>
      </c>
      <c r="BU1076" s="4842">
        <f t="shared" si="598"/>
        <v>236.4</v>
      </c>
      <c r="BV1076" s="4842">
        <f t="shared" si="598"/>
        <v>2048109.73793103</v>
      </c>
      <c r="BW1076" s="4842">
        <f t="shared" si="598"/>
        <v>-1.73793103448276</v>
      </c>
      <c r="BX1076" s="4843">
        <f t="shared" si="598"/>
        <v>2544</v>
      </c>
      <c r="BY1076" s="4843">
        <f t="shared" si="598"/>
        <v>0</v>
      </c>
      <c r="BZ1076" s="4843">
        <f t="shared" si="598"/>
        <v>0</v>
      </c>
      <c r="CA1076" s="4334"/>
      <c r="CC1076" s="4335"/>
      <c r="CD1076" s="4334"/>
    </row>
    <row r="1077" s="4311" customFormat="1" ht="40" customHeight="1" spans="1:93">
      <c r="A1077" s="4326"/>
      <c r="B1077" s="1008"/>
      <c r="C1077" s="1008"/>
      <c r="D1077" s="4309"/>
      <c r="E1077" s="1008"/>
      <c r="F1077" s="1008"/>
      <c r="G1077" s="4309"/>
      <c r="H1077" s="4309"/>
      <c r="I1077" s="4309">
        <f>I287+I301+I306+I307</f>
        <v>39180</v>
      </c>
      <c r="J1077" s="4309"/>
      <c r="K1077" s="4309"/>
      <c r="L1077" s="4309"/>
      <c r="M1077" s="4327"/>
      <c r="N1077" s="4309"/>
      <c r="O1077" s="4839"/>
      <c r="P1077" s="4329"/>
      <c r="Q1077" s="4329"/>
      <c r="R1077" s="4343"/>
      <c r="S1077" s="4343"/>
      <c r="T1077" s="4343"/>
      <c r="U1077" s="4309"/>
      <c r="V1077" s="4309"/>
      <c r="W1077" s="4840"/>
      <c r="X1077" s="4309"/>
      <c r="Y1077" s="4309"/>
      <c r="Z1077" s="4329"/>
      <c r="AA1077" s="3578"/>
      <c r="AB1077" s="4329"/>
      <c r="AC1077" s="4329"/>
      <c r="AD1077" s="4329"/>
      <c r="AE1077" s="4329"/>
      <c r="AF1077" s="1008"/>
      <c r="AG1077" s="1008"/>
      <c r="AH1077" s="4841">
        <f>SUM(AH4:AH45)+AH1078</f>
        <v>300132</v>
      </c>
      <c r="AI1077" s="4842">
        <f>SUM(AI4:AI271)+AI1078</f>
        <v>280457</v>
      </c>
      <c r="AJ1077" s="4842"/>
      <c r="AK1077" s="4842">
        <f>SUM(AK4:AK271)+AK1078</f>
        <v>51040</v>
      </c>
      <c r="AL1077" s="4842">
        <f>SUM(AL4:AL271)+AL1078</f>
        <v>101882</v>
      </c>
      <c r="AM1077" s="4842"/>
      <c r="AN1077" s="4842">
        <f>SUM(AN4:AN271)+AN1078</f>
        <v>160644</v>
      </c>
      <c r="AO1077" s="4842">
        <f>SUM(AO4:AO271)+AO1078</f>
        <v>879653</v>
      </c>
      <c r="AP1077" s="4842"/>
      <c r="AQ1077" s="4842">
        <f t="shared" ref="AQ1077:AV1077" si="599">SUM(AQ4:AQ271)+AQ1078</f>
        <v>14502</v>
      </c>
      <c r="AR1077" s="4842">
        <f t="shared" si="599"/>
        <v>365412</v>
      </c>
      <c r="AS1077" s="4842">
        <f t="shared" si="599"/>
        <v>466573</v>
      </c>
      <c r="AT1077" s="4842">
        <f t="shared" si="599"/>
        <v>4960</v>
      </c>
      <c r="AU1077" s="4842">
        <f t="shared" si="599"/>
        <v>59214</v>
      </c>
      <c r="AV1077" s="4842">
        <f t="shared" si="599"/>
        <v>41471.3333333333</v>
      </c>
      <c r="AW1077" s="4842"/>
      <c r="AX1077" s="4842">
        <f>SUM(AX4:AX271)+AX1078</f>
        <v>33536</v>
      </c>
      <c r="AY1077" s="4842"/>
      <c r="AZ1077" s="4842">
        <f t="shared" ref="AZ1077:BV1077" si="600">SUM(AZ4:AZ271)+AZ1078</f>
        <v>950</v>
      </c>
      <c r="BA1077" s="4842">
        <f t="shared" si="600"/>
        <v>9391</v>
      </c>
      <c r="BB1077" s="4842">
        <f t="shared" si="600"/>
        <v>6720</v>
      </c>
      <c r="BC1077" s="4842">
        <f t="shared" si="600"/>
        <v>33676</v>
      </c>
      <c r="BD1077" s="4842">
        <f t="shared" si="600"/>
        <v>0</v>
      </c>
      <c r="BE1077" s="4842">
        <f t="shared" si="600"/>
        <v>220</v>
      </c>
      <c r="BF1077" s="4842">
        <f t="shared" si="600"/>
        <v>0</v>
      </c>
      <c r="BG1077" s="4842">
        <f t="shared" si="600"/>
        <v>800</v>
      </c>
      <c r="BH1077" s="4842">
        <f t="shared" si="600"/>
        <v>87719.4333333334</v>
      </c>
      <c r="BI1077" s="4842">
        <f t="shared" si="600"/>
        <v>87006.0333333334</v>
      </c>
      <c r="BJ1077" s="4842">
        <f t="shared" si="600"/>
        <v>87122.2333333334</v>
      </c>
      <c r="BK1077" s="4842">
        <f t="shared" si="600"/>
        <v>86982.8333333334</v>
      </c>
      <c r="BL1077" s="4842">
        <f t="shared" si="600"/>
        <v>89442.6333333334</v>
      </c>
      <c r="BM1077" s="4842">
        <f t="shared" si="600"/>
        <v>70133.2666666667</v>
      </c>
      <c r="BN1077" s="4842">
        <f t="shared" si="600"/>
        <v>17143.7666666667</v>
      </c>
      <c r="BO1077" s="4842">
        <f t="shared" si="600"/>
        <v>62103.8666666667</v>
      </c>
      <c r="BP1077" s="4842">
        <f t="shared" si="600"/>
        <v>61610.2666666667</v>
      </c>
      <c r="BQ1077" s="4842">
        <f t="shared" si="600"/>
        <v>63468.8666666667</v>
      </c>
      <c r="BR1077" s="4842">
        <f t="shared" si="600"/>
        <v>61672.8666666667</v>
      </c>
      <c r="BS1077" s="4842">
        <f t="shared" si="600"/>
        <v>61381.4666666667</v>
      </c>
      <c r="BT1077" s="4842">
        <f t="shared" si="600"/>
        <v>50553.3333333333</v>
      </c>
      <c r="BU1077" s="4842">
        <f t="shared" si="600"/>
        <v>11999.7333333333</v>
      </c>
      <c r="BV1077" s="4842">
        <f t="shared" si="600"/>
        <v>801970.6</v>
      </c>
      <c r="BW1077" s="4842"/>
      <c r="BX1077" s="4333"/>
      <c r="BY1077" s="4333"/>
      <c r="BZ1077" s="4333"/>
      <c r="CA1077" s="4334"/>
      <c r="CC1077" s="4335"/>
      <c r="CD1077" s="4334"/>
    </row>
    <row r="1078" s="3565" customFormat="1" ht="41" customHeight="1" spans="1:93">
      <c r="A1078" s="4030"/>
      <c r="B1078" s="3576"/>
      <c r="C1078" s="3576"/>
      <c r="D1078" s="3563"/>
      <c r="E1078" s="3576"/>
      <c r="F1078" s="3576"/>
      <c r="G1078" s="3563"/>
      <c r="H1078" s="3563"/>
      <c r="I1078" s="4844">
        <f>I1077*0.8</f>
        <v>31344</v>
      </c>
      <c r="J1078" s="3563"/>
      <c r="K1078" s="3563"/>
      <c r="L1078" s="3563"/>
      <c r="M1078" s="3577"/>
      <c r="N1078" s="3563"/>
      <c r="O1078" s="4845"/>
      <c r="P1078" s="3578"/>
      <c r="Q1078" s="3578"/>
      <c r="R1078" s="3589"/>
      <c r="S1078" s="3589"/>
      <c r="T1078" s="3589"/>
      <c r="U1078" s="3563"/>
      <c r="V1078" s="3563"/>
      <c r="W1078" s="4014"/>
      <c r="X1078" s="3563"/>
      <c r="Y1078" s="3563"/>
      <c r="Z1078" s="3578"/>
      <c r="AA1078" s="3578"/>
      <c r="AB1078" s="3578"/>
      <c r="AC1078" s="3578"/>
      <c r="AD1078" s="3578"/>
      <c r="AE1078" s="3578"/>
      <c r="AF1078" s="3576"/>
      <c r="AG1078" s="4846" t="s">
        <v>6037</v>
      </c>
      <c r="AH1078" s="4847">
        <v>294600</v>
      </c>
      <c r="AI1078" s="4846">
        <v>0</v>
      </c>
      <c r="AJ1078" s="4846"/>
      <c r="AK1078" s="4847">
        <v>47860</v>
      </c>
      <c r="AL1078" s="4846">
        <v>0</v>
      </c>
      <c r="AM1078" s="4846"/>
      <c r="AN1078" s="4846">
        <v>25908</v>
      </c>
      <c r="AO1078" s="4846">
        <v>368368</v>
      </c>
      <c r="AP1078" s="4846"/>
      <c r="AQ1078" s="4846">
        <v>0</v>
      </c>
      <c r="AR1078" s="4847">
        <v>363408</v>
      </c>
      <c r="AS1078" s="4846">
        <v>0</v>
      </c>
      <c r="AT1078" s="4847">
        <v>4960</v>
      </c>
      <c r="AU1078" s="4846">
        <v>0</v>
      </c>
      <c r="AV1078" s="4846">
        <v>19804</v>
      </c>
      <c r="AW1078" s="4846"/>
      <c r="AX1078" s="4846">
        <v>24263</v>
      </c>
      <c r="AY1078" s="4846"/>
      <c r="AZ1078" s="4846">
        <v>950</v>
      </c>
      <c r="BA1078" s="4846">
        <v>3620</v>
      </c>
      <c r="BB1078" s="4846"/>
      <c r="BC1078" s="4846">
        <v>1000</v>
      </c>
      <c r="BD1078" s="4846"/>
      <c r="BE1078" s="4846">
        <v>100</v>
      </c>
      <c r="BF1078" s="4846">
        <v>0</v>
      </c>
      <c r="BG1078" s="4846">
        <v>0</v>
      </c>
      <c r="BH1078" s="4846">
        <v>0</v>
      </c>
      <c r="BI1078" s="4846">
        <v>0</v>
      </c>
      <c r="BJ1078" s="4846">
        <v>0</v>
      </c>
      <c r="BK1078" s="4846">
        <v>0</v>
      </c>
      <c r="BL1078" s="4846">
        <v>0</v>
      </c>
      <c r="BM1078" s="4846">
        <v>0</v>
      </c>
      <c r="BN1078" s="4846">
        <v>0</v>
      </c>
      <c r="BO1078" s="4847">
        <v>61705.8666666667</v>
      </c>
      <c r="BP1078" s="4847">
        <v>61212.2666666667</v>
      </c>
      <c r="BQ1078" s="4847">
        <v>61047.4666666667</v>
      </c>
      <c r="BR1078" s="4847">
        <v>61372.2666666667</v>
      </c>
      <c r="BS1078" s="4847">
        <v>61047.4666666667</v>
      </c>
      <c r="BT1078" s="4847">
        <v>50219.3333333333</v>
      </c>
      <c r="BU1078" s="4847">
        <v>11763.3333333333</v>
      </c>
      <c r="BV1078" s="4846">
        <v>276184</v>
      </c>
      <c r="BX1078" s="3572"/>
      <c r="BY1078" s="3572"/>
      <c r="BZ1078" s="3572"/>
      <c r="CA1078" s="899"/>
      <c r="CC1078" s="4031"/>
      <c r="CD1078" s="899"/>
    </row>
    <row r="1079" s="4311" customFormat="1" ht="41" customHeight="1" spans="1:93">
      <c r="A1079" s="4326"/>
      <c r="B1079" s="1008"/>
      <c r="C1079" s="1008"/>
      <c r="D1079" s="4309"/>
      <c r="E1079" s="1008"/>
      <c r="F1079" s="1008"/>
      <c r="G1079" s="1008"/>
      <c r="H1079" s="4309"/>
      <c r="I1079" s="4309"/>
      <c r="J1079" s="4309"/>
      <c r="K1079" s="4309"/>
      <c r="L1079" s="4309"/>
      <c r="M1079" s="4327"/>
      <c r="N1079" s="4309"/>
      <c r="O1079" s="1008"/>
      <c r="P1079" s="4329"/>
      <c r="Q1079" s="4329"/>
      <c r="R1079" s="4343"/>
      <c r="S1079" s="4343"/>
      <c r="T1079" s="4343"/>
      <c r="U1079" s="4309"/>
      <c r="V1079" s="4309"/>
      <c r="W1079" s="4840"/>
      <c r="X1079" s="4309"/>
      <c r="Y1079" s="4309"/>
      <c r="Z1079" s="4329"/>
      <c r="AA1079" s="4848"/>
      <c r="AB1079" s="4329"/>
      <c r="AC1079" s="4329"/>
      <c r="AD1079" s="4329"/>
      <c r="AF1079" s="1008"/>
      <c r="AG1079" s="1008"/>
      <c r="AH1079" s="1008"/>
      <c r="AI1079" s="1008"/>
      <c r="AJ1079" s="1008"/>
      <c r="AK1079" s="4331"/>
      <c r="AL1079" s="4331"/>
      <c r="AM1079" s="4331"/>
      <c r="AN1079" s="1010"/>
      <c r="AO1079" s="4332"/>
      <c r="AP1079" s="4332"/>
      <c r="AQ1079" s="4332"/>
      <c r="AR1079" s="4332"/>
      <c r="AS1079" s="4332"/>
      <c r="AT1079" s="4332"/>
      <c r="AU1079" s="4332"/>
      <c r="AV1079" s="4332">
        <f>AV1076-AV1077</f>
        <v>-3226</v>
      </c>
      <c r="AW1079" s="4332"/>
      <c r="AX1079" s="4332"/>
      <c r="AY1079" s="4332"/>
      <c r="AZ1079" s="4332"/>
      <c r="BA1079" s="4332"/>
      <c r="BB1079" s="4332"/>
      <c r="BC1079" s="4332"/>
      <c r="BD1079" s="4332"/>
      <c r="BE1079" s="4332"/>
      <c r="BF1079" s="4849"/>
      <c r="BG1079" s="4849"/>
      <c r="BH1079" s="4849"/>
      <c r="BI1079" s="4469"/>
      <c r="BJ1079" s="4849"/>
      <c r="BK1079" s="4849"/>
      <c r="BL1079" s="4849"/>
      <c r="BM1079" s="4849"/>
      <c r="BN1079" s="4849"/>
      <c r="BO1079" s="1008"/>
      <c r="BP1079" s="1008"/>
      <c r="BQ1079" s="1009"/>
      <c r="BR1079" s="1010"/>
      <c r="BS1079" s="1010"/>
      <c r="BT1079" s="1010"/>
      <c r="BU1079" s="1008"/>
      <c r="BV1079" s="4309"/>
      <c r="BW1079" s="4309"/>
      <c r="BX1079" s="4333"/>
      <c r="BY1079" s="4333"/>
      <c r="BZ1079" s="4333"/>
      <c r="CA1079" s="4334"/>
      <c r="CC1079" s="4335"/>
      <c r="CD1079" s="4334"/>
    </row>
    <row r="1080" s="4311" customFormat="1" ht="41" customHeight="1" spans="1:93">
      <c r="A1080" s="4326"/>
      <c r="B1080" s="1008"/>
      <c r="C1080" s="1008"/>
      <c r="D1080" s="4309"/>
      <c r="E1080" s="1008"/>
      <c r="F1080" s="1008"/>
      <c r="G1080" s="1008"/>
      <c r="H1080" s="4309"/>
      <c r="I1080" s="4309"/>
      <c r="J1080" s="4309"/>
      <c r="K1080" s="4309"/>
      <c r="L1080" s="4309"/>
      <c r="M1080" s="4327"/>
      <c r="N1080" s="4309"/>
      <c r="O1080" s="1008"/>
      <c r="P1080" s="4329"/>
      <c r="Q1080" s="4329"/>
      <c r="R1080" s="4343"/>
      <c r="S1080" s="4343"/>
      <c r="T1080" s="4343"/>
      <c r="U1080" s="4309"/>
      <c r="V1080" s="4309"/>
      <c r="W1080" s="4840"/>
      <c r="X1080" s="4309"/>
      <c r="Y1080" s="4309"/>
      <c r="Z1080" s="4329"/>
      <c r="AA1080" s="4848"/>
      <c r="AB1080" s="4329"/>
      <c r="AC1080" s="4850"/>
      <c r="AD1080" s="4850"/>
      <c r="AE1080" s="4851"/>
      <c r="AF1080" s="1008"/>
      <c r="AG1080" s="1008"/>
      <c r="AH1080" s="1008"/>
      <c r="AI1080" s="1008"/>
      <c r="AJ1080" s="1008"/>
      <c r="AK1080" s="4331"/>
      <c r="AL1080" s="4331"/>
      <c r="AM1080" s="4331"/>
      <c r="AN1080" s="1010"/>
      <c r="AO1080" s="4332"/>
      <c r="AP1080" s="4332"/>
      <c r="AQ1080" s="4332"/>
      <c r="AR1080" s="4332"/>
      <c r="AS1080" s="4332"/>
      <c r="AT1080" s="4332"/>
      <c r="AU1080" s="4332"/>
      <c r="AV1080" s="4332"/>
      <c r="AW1080" s="4332"/>
      <c r="AX1080" s="4332"/>
      <c r="AY1080" s="4332"/>
      <c r="AZ1080" s="4332"/>
      <c r="BA1080" s="4332"/>
      <c r="BB1080" s="4332"/>
      <c r="BC1080" s="4332"/>
      <c r="BD1080" s="4332"/>
      <c r="BE1080" s="4332"/>
      <c r="BF1080" s="4849"/>
      <c r="BG1080" s="4849"/>
      <c r="BH1080" s="4849"/>
      <c r="BI1080" s="4469"/>
      <c r="BJ1080" s="4849"/>
      <c r="BK1080" s="4849"/>
      <c r="BL1080" s="4849"/>
      <c r="BM1080" s="4849"/>
      <c r="BN1080" s="4849"/>
      <c r="BO1080" s="1008"/>
      <c r="BP1080" s="1008"/>
      <c r="BQ1080" s="1009"/>
      <c r="BR1080" s="1010"/>
      <c r="BS1080" s="1010"/>
      <c r="BT1080" s="1010"/>
      <c r="BU1080" s="1008"/>
      <c r="BV1080" s="4309"/>
      <c r="BW1080" s="4309"/>
      <c r="BX1080" s="4333"/>
      <c r="BY1080" s="4333"/>
      <c r="BZ1080" s="4333"/>
      <c r="CA1080" s="4334"/>
      <c r="CC1080" s="4335"/>
      <c r="CD1080" s="4334"/>
    </row>
    <row r="1081" s="4325" customFormat="1" ht="50" customHeight="1" spans="1:93">
      <c r="A1081" s="4852"/>
      <c r="B1081" s="4853"/>
      <c r="C1081" s="4330"/>
      <c r="D1081" s="4854"/>
      <c r="E1081" s="4330"/>
      <c r="F1081" s="4854"/>
      <c r="G1081" s="4330"/>
      <c r="H1081" s="4330"/>
      <c r="I1081" s="4850"/>
      <c r="J1081" s="4850"/>
      <c r="K1081" s="4850"/>
      <c r="L1081" s="4850"/>
      <c r="M1081" s="4855"/>
      <c r="N1081" s="4855"/>
      <c r="O1081" s="4856"/>
      <c r="P1081" s="4857"/>
      <c r="Q1081" s="4857"/>
      <c r="R1081" s="4858"/>
      <c r="S1081" s="4858"/>
      <c r="T1081" s="4858"/>
      <c r="U1081" s="4851"/>
      <c r="V1081" s="4840"/>
      <c r="W1081" s="4840"/>
      <c r="X1081" s="4840"/>
      <c r="Y1081" s="4840"/>
      <c r="Z1081" s="4859"/>
      <c r="AA1081" s="4023"/>
      <c r="AB1081" s="4850"/>
      <c r="AC1081" s="4850"/>
      <c r="AD1081" s="4850"/>
      <c r="AE1081" s="4851"/>
      <c r="AF1081" s="4330"/>
      <c r="AG1081" s="4851"/>
      <c r="AH1081" s="4330"/>
      <c r="AI1081" s="4850"/>
      <c r="AJ1081" s="4850"/>
      <c r="AK1081" s="4330"/>
      <c r="AL1081" s="4330"/>
      <c r="AM1081" s="4330"/>
      <c r="AN1081" s="4850"/>
      <c r="AO1081" s="4850"/>
      <c r="AP1081" s="4850"/>
      <c r="AQ1081" s="4469"/>
      <c r="AR1081" s="985"/>
      <c r="AS1081" s="4469"/>
      <c r="AT1081" s="985"/>
      <c r="AU1081" s="4469"/>
      <c r="AV1081" s="4469"/>
      <c r="AW1081" s="4469"/>
      <c r="AX1081" s="4469"/>
      <c r="AY1081" s="4469"/>
      <c r="AZ1081" s="4469"/>
      <c r="BA1081" s="4469"/>
      <c r="BB1081" s="4469"/>
      <c r="BC1081" s="4469"/>
      <c r="BD1081" s="4469"/>
      <c r="BE1081" s="4469"/>
      <c r="BF1081" s="4469"/>
      <c r="BG1081" s="4469"/>
      <c r="BH1081" s="4469"/>
      <c r="BI1081" s="4469"/>
      <c r="BJ1081" s="4469"/>
      <c r="BK1081" s="4469"/>
      <c r="BL1081" s="4469"/>
      <c r="BM1081" s="4469"/>
      <c r="BN1081" s="4469"/>
      <c r="BO1081" s="4469"/>
      <c r="BP1081" s="4469"/>
      <c r="BQ1081" s="4469"/>
      <c r="BR1081" s="4469"/>
      <c r="BS1081" s="4469"/>
      <c r="BT1081" s="4470"/>
      <c r="BU1081" s="4860"/>
      <c r="BV1081" s="4861"/>
      <c r="BW1081" s="4861"/>
      <c r="BX1081" s="4333"/>
      <c r="BY1081" s="4333"/>
      <c r="BZ1081" s="4333"/>
      <c r="CA1081" s="4838"/>
      <c r="CC1081" s="4837"/>
      <c r="CD1081" s="4838"/>
    </row>
    <row r="1082" s="4325" customFormat="1" ht="50" customHeight="1" spans="1:93">
      <c r="A1082" s="4852"/>
      <c r="B1082" s="4853"/>
      <c r="C1082" s="4330"/>
      <c r="D1082" s="4854"/>
      <c r="E1082" s="4330"/>
      <c r="F1082" s="4854"/>
      <c r="G1082" s="4330"/>
      <c r="H1082" s="4330"/>
      <c r="I1082" s="4850"/>
      <c r="J1082" s="4850"/>
      <c r="K1082" s="4850"/>
      <c r="L1082" s="4850"/>
      <c r="M1082" s="4855"/>
      <c r="N1082" s="4855"/>
      <c r="O1082" s="4856"/>
      <c r="P1082" s="4857"/>
      <c r="Q1082" s="4857"/>
      <c r="R1082" s="4858"/>
      <c r="S1082" s="4858"/>
      <c r="T1082" s="4858"/>
      <c r="U1082" s="4851"/>
      <c r="V1082" s="4840"/>
      <c r="W1082" s="4840"/>
      <c r="X1082" s="4840"/>
      <c r="Y1082" s="4840"/>
      <c r="Z1082" s="4859"/>
      <c r="AA1082" s="4023"/>
      <c r="AB1082" s="4850"/>
      <c r="AC1082" s="4850"/>
      <c r="AD1082" s="4850"/>
      <c r="AE1082" s="4851"/>
      <c r="AF1082" s="4330"/>
      <c r="AG1082" s="4851"/>
      <c r="AH1082" s="4330"/>
      <c r="AI1082" s="4850"/>
      <c r="AJ1082" s="4850"/>
      <c r="AK1082" s="4330"/>
      <c r="AL1082" s="4330"/>
      <c r="AM1082" s="4330"/>
      <c r="AN1082" s="4850"/>
      <c r="AO1082" s="4850"/>
      <c r="AP1082" s="4850"/>
      <c r="AQ1082" s="4469"/>
      <c r="AR1082" s="985"/>
      <c r="AS1082" s="4469"/>
      <c r="AT1082" s="985"/>
      <c r="AU1082" s="4469"/>
      <c r="AV1082" s="4469"/>
      <c r="AW1082" s="4469"/>
      <c r="AX1082" s="4469"/>
      <c r="AY1082" s="4469"/>
      <c r="AZ1082" s="4469"/>
      <c r="BA1082" s="4469"/>
      <c r="BB1082" s="4469"/>
      <c r="BC1082" s="4469"/>
      <c r="BD1082" s="4469"/>
      <c r="BE1082" s="4469"/>
      <c r="BF1082" s="4469"/>
      <c r="BG1082" s="4469"/>
      <c r="BH1082" s="4469"/>
      <c r="BI1082" s="4469"/>
      <c r="BJ1082" s="4469"/>
      <c r="BK1082" s="4469"/>
      <c r="BL1082" s="4469"/>
      <c r="BM1082" s="4469"/>
      <c r="BN1082" s="4469"/>
      <c r="BO1082" s="4469"/>
      <c r="BP1082" s="4469"/>
      <c r="BQ1082" s="4469"/>
      <c r="BR1082" s="4469"/>
      <c r="BS1082" s="4469"/>
      <c r="BT1082" s="4470"/>
      <c r="BU1082" s="4860"/>
      <c r="BV1082" s="4861"/>
      <c r="BW1082" s="4861"/>
      <c r="BX1082" s="4333"/>
      <c r="BY1082" s="4333"/>
      <c r="BZ1082" s="4333"/>
      <c r="CA1082" s="4838"/>
      <c r="CC1082" s="4837"/>
      <c r="CD1082" s="4838"/>
    </row>
    <row r="1083" s="4325" customFormat="1" ht="50" customHeight="1" spans="1:93">
      <c r="A1083" s="4852"/>
      <c r="B1083" s="4853"/>
      <c r="C1083" s="4330"/>
      <c r="D1083" s="4854"/>
      <c r="E1083" s="4330"/>
      <c r="F1083" s="4854"/>
      <c r="G1083" s="4330"/>
      <c r="H1083" s="4330"/>
      <c r="I1083" s="4850"/>
      <c r="J1083" s="4850"/>
      <c r="K1083" s="4850"/>
      <c r="L1083" s="4850"/>
      <c r="M1083" s="4855"/>
      <c r="N1083" s="4855"/>
      <c r="O1083" s="4856"/>
      <c r="P1083" s="4857"/>
      <c r="Q1083" s="4857"/>
      <c r="R1083" s="4858"/>
      <c r="S1083" s="4858"/>
      <c r="T1083" s="4858"/>
      <c r="U1083" s="4851"/>
      <c r="V1083" s="4840"/>
      <c r="W1083" s="4840"/>
      <c r="X1083" s="4840"/>
      <c r="Y1083" s="4840"/>
      <c r="Z1083" s="4859"/>
      <c r="AA1083" s="4023"/>
      <c r="AB1083" s="4850"/>
      <c r="AC1083" s="4850"/>
      <c r="AD1083" s="4850">
        <f>SUBTOTAL(9,AD231:AD616)</f>
        <v>0</v>
      </c>
      <c r="AE1083" s="4851"/>
      <c r="AF1083" s="4330"/>
      <c r="AG1083" s="4851"/>
      <c r="AH1083" s="4330"/>
      <c r="AI1083" s="4850"/>
      <c r="AJ1083" s="4850"/>
      <c r="AK1083" s="4330"/>
      <c r="AL1083" s="4330"/>
      <c r="AM1083" s="4330"/>
      <c r="AN1083" s="4850"/>
      <c r="AO1083" s="4850"/>
      <c r="AP1083" s="4850"/>
      <c r="AQ1083" s="4469"/>
      <c r="AR1083" s="985"/>
      <c r="AS1083" s="4469"/>
      <c r="AT1083" s="985"/>
      <c r="AU1083" s="4469"/>
      <c r="AV1083" s="4469"/>
      <c r="AW1083" s="4469"/>
      <c r="AX1083" s="4469"/>
      <c r="AY1083" s="4469"/>
      <c r="AZ1083" s="4469"/>
      <c r="BA1083" s="4469"/>
      <c r="BB1083" s="4469"/>
      <c r="BC1083" s="4469"/>
      <c r="BD1083" s="4469"/>
      <c r="BE1083" s="4469"/>
      <c r="BF1083" s="4469"/>
      <c r="BG1083" s="4469"/>
      <c r="BH1083" s="4469"/>
      <c r="BI1083" s="4469"/>
      <c r="BJ1083" s="4469"/>
      <c r="BK1083" s="4469"/>
      <c r="BL1083" s="4469"/>
      <c r="BM1083" s="4469"/>
      <c r="BN1083" s="4469"/>
      <c r="BO1083" s="4469"/>
      <c r="BP1083" s="4469"/>
      <c r="BQ1083" s="4469"/>
      <c r="BR1083" s="4469"/>
      <c r="BS1083" s="4469"/>
      <c r="BT1083" s="4470"/>
      <c r="BU1083" s="4860"/>
      <c r="BV1083" s="4861"/>
      <c r="BW1083" s="4861"/>
      <c r="BX1083" s="4333"/>
      <c r="BY1083" s="4333"/>
      <c r="BZ1083" s="4333"/>
      <c r="CA1083" s="4838"/>
      <c r="CC1083" s="4837"/>
      <c r="CD1083" s="4838"/>
    </row>
    <row r="1084" s="4325" customFormat="1" ht="50" customHeight="1" spans="1:93">
      <c r="A1084" s="4852"/>
      <c r="B1084" s="4853"/>
      <c r="C1084" s="4330"/>
      <c r="D1084" s="4854"/>
      <c r="E1084" s="4330"/>
      <c r="F1084" s="4854"/>
      <c r="G1084" s="4330"/>
      <c r="H1084" s="4330"/>
      <c r="I1084" s="4850"/>
      <c r="J1084" s="4850"/>
      <c r="K1084" s="4850"/>
      <c r="L1084" s="4850"/>
      <c r="M1084" s="4855"/>
      <c r="N1084" s="4855"/>
      <c r="O1084" s="4856"/>
      <c r="P1084" s="4857"/>
      <c r="Q1084" s="4857"/>
      <c r="R1084" s="4858"/>
      <c r="S1084" s="4858"/>
      <c r="T1084" s="4858"/>
      <c r="U1084" s="4851"/>
      <c r="V1084" s="4840"/>
      <c r="W1084" s="4840"/>
      <c r="X1084" s="4840"/>
      <c r="Y1084" s="4840"/>
      <c r="Z1084" s="4859"/>
      <c r="AA1084" s="4023"/>
      <c r="AB1084" s="4850"/>
      <c r="AC1084" s="4850"/>
      <c r="AD1084" s="4850">
        <f>AD1083*7.75</f>
        <v>0</v>
      </c>
      <c r="AE1084" s="4851"/>
      <c r="AF1084" s="4330"/>
      <c r="AG1084" s="4851"/>
      <c r="AH1084" s="4330"/>
      <c r="AI1084" s="4850"/>
      <c r="AJ1084" s="4850"/>
      <c r="AK1084" s="4330"/>
      <c r="AL1084" s="4330"/>
      <c r="AM1084" s="4330"/>
      <c r="AN1084" s="4850"/>
      <c r="AO1084" s="4850"/>
      <c r="AP1084" s="4850"/>
      <c r="AQ1084" s="4469"/>
      <c r="AR1084" s="985"/>
      <c r="AS1084" s="4469"/>
      <c r="AT1084" s="985"/>
      <c r="AU1084" s="4469"/>
      <c r="AV1084" s="4469"/>
      <c r="AW1084" s="4469"/>
      <c r="AX1084" s="4469"/>
      <c r="AY1084" s="4469"/>
      <c r="AZ1084" s="4469"/>
      <c r="BA1084" s="4469"/>
      <c r="BB1084" s="4469"/>
      <c r="BC1084" s="4469"/>
      <c r="BD1084" s="4469"/>
      <c r="BE1084" s="4469"/>
      <c r="BF1084" s="4469"/>
      <c r="BG1084" s="4469"/>
      <c r="BH1084" s="4469"/>
      <c r="BI1084" s="4469"/>
      <c r="BJ1084" s="4469"/>
      <c r="BK1084" s="4469"/>
      <c r="BL1084" s="4469"/>
      <c r="BM1084" s="4469"/>
      <c r="BN1084" s="4469"/>
      <c r="BO1084" s="4469"/>
      <c r="BP1084" s="4469"/>
      <c r="BQ1084" s="4469"/>
      <c r="BR1084" s="4469"/>
      <c r="BS1084" s="4469"/>
      <c r="BT1084" s="4470"/>
      <c r="BU1084" s="4860"/>
      <c r="BV1084" s="4861"/>
      <c r="BW1084" s="4861"/>
      <c r="BX1084" s="4333"/>
      <c r="BY1084" s="4333"/>
      <c r="BZ1084" s="4333"/>
      <c r="CA1084" s="4838"/>
      <c r="CC1084" s="4837"/>
      <c r="CD1084" s="4838"/>
    </row>
    <row r="1085" s="4325" customFormat="1" ht="50" customHeight="1" spans="1:93">
      <c r="A1085" s="4852"/>
      <c r="B1085" s="4853"/>
      <c r="C1085" s="4330"/>
      <c r="D1085" s="4854"/>
      <c r="E1085" s="4330"/>
      <c r="F1085" s="4854"/>
      <c r="G1085" s="4330"/>
      <c r="H1085" s="4330"/>
      <c r="I1085" s="4850"/>
      <c r="J1085" s="4850"/>
      <c r="K1085" s="4850"/>
      <c r="L1085" s="4850"/>
      <c r="M1085" s="4855"/>
      <c r="N1085" s="4855"/>
      <c r="O1085" s="4856"/>
      <c r="P1085" s="4857"/>
      <c r="Q1085" s="4857"/>
      <c r="R1085" s="4858"/>
      <c r="S1085" s="4858"/>
      <c r="T1085" s="4858"/>
      <c r="U1085" s="4851"/>
      <c r="V1085" s="4840"/>
      <c r="W1085" s="4840"/>
      <c r="X1085" s="4840"/>
      <c r="Y1085" s="4840"/>
      <c r="Z1085" s="4859"/>
      <c r="AA1085" s="4023"/>
      <c r="AB1085" s="4850"/>
      <c r="AC1085" s="4850">
        <f>SUBTOTAL(9,AC197:AC1084)/6</f>
        <v>0.374616666666667</v>
      </c>
      <c r="AD1085" s="4850"/>
      <c r="AE1085" s="4851"/>
      <c r="AF1085" s="4330"/>
      <c r="AG1085" s="4851"/>
      <c r="AH1085" s="4330"/>
      <c r="AI1085" s="4850"/>
      <c r="AJ1085" s="4850"/>
      <c r="AK1085" s="4330"/>
      <c r="AL1085" s="4330"/>
      <c r="AM1085" s="4330"/>
      <c r="AN1085" s="4850"/>
      <c r="AO1085" s="4850"/>
      <c r="AP1085" s="4850"/>
      <c r="AQ1085" s="4469"/>
      <c r="AR1085" s="985"/>
      <c r="AS1085" s="4469"/>
      <c r="AT1085" s="985"/>
      <c r="AU1085" s="4469"/>
      <c r="AV1085" s="4469"/>
      <c r="AW1085" s="4469"/>
      <c r="AX1085" s="4469"/>
      <c r="AY1085" s="4469"/>
      <c r="AZ1085" s="4469"/>
      <c r="BA1085" s="4469"/>
      <c r="BB1085" s="4469"/>
      <c r="BC1085" s="4469"/>
      <c r="BD1085" s="4469"/>
      <c r="BE1085" s="4469"/>
      <c r="BF1085" s="4469"/>
      <c r="BG1085" s="4469"/>
      <c r="BH1085" s="4469"/>
      <c r="BI1085" s="4469"/>
      <c r="BJ1085" s="4469"/>
      <c r="BK1085" s="4469"/>
      <c r="BL1085" s="4469"/>
      <c r="BM1085" s="4469"/>
      <c r="BN1085" s="4469"/>
      <c r="BO1085" s="4469"/>
      <c r="BP1085" s="4469"/>
      <c r="BQ1085" s="4469"/>
      <c r="BR1085" s="4469"/>
      <c r="BS1085" s="4469"/>
      <c r="BT1085" s="4470"/>
      <c r="BU1085" s="4860"/>
      <c r="BV1085" s="4861"/>
      <c r="BW1085" s="4861"/>
      <c r="BX1085" s="4333"/>
      <c r="BY1085" s="4333"/>
      <c r="BZ1085" s="4333"/>
      <c r="CA1085" s="4838"/>
      <c r="CC1085" s="4837"/>
      <c r="CD1085" s="4838"/>
    </row>
    <row r="1086" s="4325" customFormat="1" ht="50" customHeight="1" spans="1:93">
      <c r="A1086" s="4852"/>
      <c r="B1086" s="4853"/>
      <c r="C1086" s="4330"/>
      <c r="D1086" s="4854"/>
      <c r="E1086" s="4330"/>
      <c r="F1086" s="4854"/>
      <c r="G1086" s="4330"/>
      <c r="H1086" s="4330"/>
      <c r="I1086" s="4850"/>
      <c r="J1086" s="4850"/>
      <c r="K1086" s="4850"/>
      <c r="L1086" s="4850"/>
      <c r="M1086" s="4855"/>
      <c r="N1086" s="4855"/>
      <c r="O1086" s="4856"/>
      <c r="P1086" s="4857"/>
      <c r="Q1086" s="4857"/>
      <c r="R1086" s="4858"/>
      <c r="S1086" s="4858"/>
      <c r="T1086" s="4858"/>
      <c r="U1086" s="4851"/>
      <c r="V1086" s="4840"/>
      <c r="W1086" s="4840"/>
      <c r="X1086" s="4840"/>
      <c r="Y1086" s="4840"/>
      <c r="Z1086" s="4859"/>
      <c r="AA1086" s="4023"/>
      <c r="AB1086" s="4850"/>
      <c r="AC1086" s="4850">
        <f>AC1085*7.75</f>
        <v>2.90327916666667</v>
      </c>
      <c r="AD1086" s="4862"/>
      <c r="AE1086" s="4851"/>
      <c r="AF1086" s="4330"/>
      <c r="AG1086" s="4851"/>
      <c r="AH1086" s="4330"/>
      <c r="AI1086" s="4850"/>
      <c r="AJ1086" s="4850"/>
      <c r="AK1086" s="4330"/>
      <c r="AL1086" s="4330"/>
      <c r="AM1086" s="4330"/>
      <c r="AN1086" s="4850"/>
      <c r="AO1086" s="4850"/>
      <c r="AP1086" s="4850"/>
      <c r="AQ1086" s="4469"/>
      <c r="AR1086" s="985"/>
      <c r="AS1086" s="4469"/>
      <c r="AT1086" s="985"/>
      <c r="AU1086" s="4469"/>
      <c r="AV1086" s="4469"/>
      <c r="AW1086" s="4469"/>
      <c r="AX1086" s="4469"/>
      <c r="AY1086" s="4469"/>
      <c r="AZ1086" s="4469"/>
      <c r="BA1086" s="4469"/>
      <c r="BB1086" s="4469"/>
      <c r="BC1086" s="4469"/>
      <c r="BD1086" s="4469"/>
      <c r="BE1086" s="4469"/>
      <c r="BF1086" s="4469"/>
      <c r="BG1086" s="4469"/>
      <c r="BH1086" s="4469"/>
      <c r="BI1086" s="4469"/>
      <c r="BJ1086" s="4469"/>
      <c r="BK1086" s="4469"/>
      <c r="BL1086" s="4469"/>
      <c r="BM1086" s="4469"/>
      <c r="BN1086" s="4469"/>
      <c r="BO1086" s="4469"/>
      <c r="BP1086" s="4469"/>
      <c r="BQ1086" s="4469"/>
      <c r="BR1086" s="4469"/>
      <c r="BS1086" s="4469"/>
      <c r="BT1086" s="4470"/>
      <c r="BU1086" s="4860"/>
      <c r="BV1086" s="4861"/>
      <c r="BW1086" s="4861"/>
      <c r="BX1086" s="4863"/>
      <c r="BY1086" s="4863"/>
      <c r="BZ1086" s="4863"/>
      <c r="CA1086" s="4838"/>
      <c r="CC1086" s="4837"/>
      <c r="CD1086" s="4838"/>
    </row>
    <row r="1088" s="4325" customFormat="1" ht="50" customHeight="1" spans="1:93">
      <c r="A1088" s="4852"/>
      <c r="B1088" s="4853"/>
      <c r="C1088" s="4330"/>
      <c r="D1088" s="4854"/>
      <c r="E1088" s="4330"/>
      <c r="F1088" s="4854"/>
      <c r="G1088" s="4330"/>
      <c r="H1088" s="4330"/>
      <c r="I1088" s="4850"/>
      <c r="J1088" s="4850"/>
      <c r="K1088" s="4850"/>
      <c r="L1088" s="4850"/>
      <c r="M1088" s="4855"/>
      <c r="N1088" s="4855"/>
      <c r="O1088" s="4856"/>
      <c r="P1088" s="4857"/>
      <c r="Q1088" s="4857"/>
      <c r="R1088" s="4858"/>
      <c r="S1088" s="4858"/>
      <c r="T1088" s="4858"/>
      <c r="U1088" s="4851"/>
      <c r="V1088" s="4840"/>
      <c r="W1088" s="4840"/>
      <c r="X1088" s="4840"/>
      <c r="Y1088" s="4840"/>
      <c r="Z1088" s="4851"/>
      <c r="AA1088" s="4023"/>
      <c r="AB1088" s="4850"/>
      <c r="AC1088" s="4850"/>
      <c r="AD1088" s="4862"/>
      <c r="AE1088" s="4851"/>
      <c r="AF1088" s="4330"/>
      <c r="AG1088" s="4851"/>
      <c r="AH1088" s="4330"/>
      <c r="AI1088" s="4850"/>
      <c r="AJ1088" s="4850"/>
      <c r="AK1088" s="4330"/>
      <c r="AL1088" s="4330"/>
      <c r="AM1088" s="4330"/>
      <c r="AN1088" s="4850"/>
      <c r="AO1088" s="4850"/>
      <c r="AP1088" s="4850"/>
      <c r="AQ1088" s="4469"/>
      <c r="AR1088" s="985"/>
      <c r="AS1088" s="4469"/>
      <c r="AT1088" s="985"/>
      <c r="AU1088" s="4469"/>
      <c r="AV1088" s="4469"/>
      <c r="AW1088" s="4469"/>
      <c r="AX1088" s="4469"/>
      <c r="AY1088" s="4469"/>
      <c r="AZ1088" s="4469"/>
      <c r="BA1088" s="4469"/>
      <c r="BB1088" s="4469"/>
      <c r="BC1088" s="4469"/>
      <c r="BD1088" s="4469"/>
      <c r="BE1088" s="4469"/>
      <c r="BF1088" s="4469"/>
      <c r="BG1088" s="4469"/>
      <c r="BH1088" s="4469"/>
      <c r="BI1088" s="4469"/>
      <c r="BJ1088" s="4469"/>
      <c r="BK1088" s="4469"/>
      <c r="BL1088" s="4469"/>
      <c r="BM1088" s="4469"/>
      <c r="BN1088" s="4469"/>
      <c r="BO1088" s="4469"/>
      <c r="BP1088" s="4469"/>
      <c r="BQ1088" s="4469"/>
      <c r="BR1088" s="4469"/>
      <c r="BS1088" s="4469"/>
      <c r="BT1088" s="4470"/>
      <c r="BU1088" s="4860"/>
      <c r="BV1088" s="4861"/>
      <c r="BW1088" s="4861"/>
      <c r="BX1088" s="4864"/>
      <c r="BY1088" s="4864"/>
      <c r="BZ1088" s="4864"/>
      <c r="CA1088" s="4838"/>
      <c r="CC1088" s="4837"/>
      <c r="CD1088" s="4838"/>
    </row>
    <row r="1089" s="4325" customFormat="1" ht="50" customHeight="1" spans="1:82">
      <c r="A1089" s="4852"/>
      <c r="B1089" s="4853"/>
      <c r="C1089" s="4330"/>
      <c r="D1089" s="4854"/>
      <c r="E1089" s="4330"/>
      <c r="F1089" s="4854"/>
      <c r="G1089" s="4330"/>
      <c r="H1089" s="4330"/>
      <c r="I1089" s="4850"/>
      <c r="J1089" s="4850"/>
      <c r="K1089" s="4850"/>
      <c r="L1089" s="4850"/>
      <c r="M1089" s="4855"/>
      <c r="N1089" s="4855"/>
      <c r="O1089" s="4856"/>
      <c r="P1089" s="4857"/>
      <c r="Q1089" s="4857"/>
      <c r="R1089" s="4858"/>
      <c r="S1089" s="4858"/>
      <c r="T1089" s="4858"/>
      <c r="U1089" s="4851"/>
      <c r="V1089" s="4840"/>
      <c r="W1089" s="4840"/>
      <c r="X1089" s="4840"/>
      <c r="Y1089" s="4840"/>
      <c r="Z1089" s="4859"/>
      <c r="AA1089" s="4023"/>
      <c r="AB1089" s="4850"/>
      <c r="AC1089" s="4850"/>
      <c r="AD1089" s="4850"/>
      <c r="AE1089" s="4851"/>
      <c r="AF1089" s="4330"/>
      <c r="AG1089" s="4851"/>
      <c r="AH1089" s="4330"/>
      <c r="AI1089" s="4850"/>
      <c r="AJ1089" s="4850"/>
      <c r="AK1089" s="4330"/>
      <c r="AL1089" s="4330"/>
      <c r="AM1089" s="4330"/>
      <c r="AN1089" s="4850"/>
      <c r="AO1089" s="4850"/>
      <c r="AP1089" s="4850"/>
      <c r="AQ1089" s="4469"/>
      <c r="AR1089" s="985"/>
      <c r="AS1089" s="4469"/>
      <c r="AT1089" s="985"/>
      <c r="AU1089" s="4469"/>
      <c r="AV1089" s="4469"/>
      <c r="AW1089" s="4469"/>
      <c r="AX1089" s="4469"/>
      <c r="AY1089" s="4469"/>
      <c r="AZ1089" s="4469"/>
      <c r="BA1089" s="4469"/>
      <c r="BB1089" s="4469"/>
      <c r="BC1089" s="4469"/>
      <c r="BD1089" s="4469"/>
      <c r="BE1089" s="4469"/>
      <c r="BF1089" s="4469"/>
      <c r="BG1089" s="4469"/>
      <c r="BH1089" s="4469"/>
      <c r="BI1089" s="4469"/>
      <c r="BJ1089" s="4469"/>
      <c r="BK1089" s="4469"/>
      <c r="BL1089" s="4469"/>
      <c r="BM1089" s="4469"/>
      <c r="BN1089" s="4469"/>
      <c r="BO1089" s="4469"/>
      <c r="BP1089" s="4469"/>
      <c r="BQ1089" s="4469"/>
      <c r="BR1089" s="4469"/>
      <c r="BS1089" s="4469"/>
      <c r="BT1089" s="4470"/>
      <c r="BU1089" s="4860"/>
      <c r="BV1089" s="4861"/>
      <c r="BW1089" s="4861"/>
      <c r="BX1089" s="4333"/>
      <c r="BY1089" s="4333"/>
      <c r="BZ1089" s="4333"/>
      <c r="CA1089" s="4838"/>
      <c r="CC1089" s="4837"/>
      <c r="CD1089" s="4838"/>
    </row>
    <row r="1090" s="4325" customFormat="1" ht="50" customHeight="1" spans="1:82">
      <c r="A1090" s="4852"/>
      <c r="B1090" s="4853"/>
      <c r="C1090" s="4330"/>
      <c r="D1090" s="4854"/>
      <c r="E1090" s="4330"/>
      <c r="F1090" s="4854"/>
      <c r="G1090" s="4330"/>
      <c r="H1090" s="4330"/>
      <c r="I1090" s="4850"/>
      <c r="J1090" s="4850"/>
      <c r="K1090" s="4850"/>
      <c r="L1090" s="4850"/>
      <c r="M1090" s="4855"/>
      <c r="N1090" s="4855"/>
      <c r="O1090" s="4856"/>
      <c r="P1090" s="4857"/>
      <c r="Q1090" s="4857"/>
      <c r="R1090" s="4858"/>
      <c r="S1090" s="4858"/>
      <c r="T1090" s="4858"/>
      <c r="U1090" s="4851"/>
      <c r="V1090" s="4840"/>
      <c r="W1090" s="4840"/>
      <c r="X1090" s="4840"/>
      <c r="Y1090" s="4840"/>
      <c r="Z1090" s="4859"/>
      <c r="AA1090" s="4023"/>
      <c r="AB1090" s="4850"/>
      <c r="AC1090" s="4850"/>
      <c r="AD1090" s="4850"/>
      <c r="AE1090" s="4851"/>
      <c r="AF1090" s="4330"/>
      <c r="AG1090" s="4851"/>
      <c r="AH1090" s="4330"/>
      <c r="AI1090" s="4850"/>
      <c r="AJ1090" s="4850"/>
      <c r="AK1090" s="4330"/>
      <c r="AL1090" s="4330"/>
      <c r="AM1090" s="4330"/>
      <c r="AN1090" s="4850"/>
      <c r="AO1090" s="4850"/>
      <c r="AP1090" s="4850"/>
      <c r="AQ1090" s="4469"/>
      <c r="AR1090" s="985"/>
      <c r="AS1090" s="4469"/>
      <c r="AT1090" s="985"/>
      <c r="AU1090" s="4469"/>
      <c r="AV1090" s="4469"/>
      <c r="AW1090" s="4469"/>
      <c r="AX1090" s="4469"/>
      <c r="AY1090" s="4469"/>
      <c r="AZ1090" s="4469"/>
      <c r="BA1090" s="4469"/>
      <c r="BB1090" s="4469"/>
      <c r="BC1090" s="4469"/>
      <c r="BD1090" s="4469"/>
      <c r="BE1090" s="4469"/>
      <c r="BF1090" s="4469"/>
      <c r="BG1090" s="4469"/>
      <c r="BH1090" s="4469"/>
      <c r="BI1090" s="4469"/>
      <c r="BJ1090" s="4469"/>
      <c r="BK1090" s="4469"/>
      <c r="BL1090" s="4469"/>
      <c r="BM1090" s="4469"/>
      <c r="BN1090" s="4469"/>
      <c r="BO1090" s="4469"/>
      <c r="BP1090" s="4469"/>
      <c r="BQ1090" s="4469"/>
      <c r="BR1090" s="4469"/>
      <c r="BS1090" s="4469"/>
      <c r="BT1090" s="4470"/>
      <c r="BU1090" s="4860"/>
      <c r="BV1090" s="4861"/>
      <c r="BW1090" s="4861"/>
      <c r="BX1090" s="4333"/>
      <c r="BY1090" s="4333"/>
      <c r="BZ1090" s="4333"/>
      <c r="CA1090" s="4838"/>
      <c r="CC1090" s="4837"/>
      <c r="CD1090" s="4838"/>
    </row>
    <row r="1091" s="4325" customFormat="1" ht="50" customHeight="1" spans="1:82">
      <c r="A1091" s="4852"/>
      <c r="B1091" s="4853"/>
      <c r="C1091" s="4330"/>
      <c r="D1091" s="4854"/>
      <c r="E1091" s="4330"/>
      <c r="F1091" s="4854"/>
      <c r="G1091" s="4330"/>
      <c r="H1091" s="4330"/>
      <c r="I1091" s="4850"/>
      <c r="J1091" s="4850"/>
      <c r="K1091" s="4850"/>
      <c r="L1091" s="4850"/>
      <c r="M1091" s="4855"/>
      <c r="N1091" s="4855"/>
      <c r="O1091" s="4856"/>
      <c r="P1091" s="4857"/>
      <c r="Q1091" s="4857"/>
      <c r="R1091" s="4858"/>
      <c r="S1091" s="4858"/>
      <c r="T1091" s="4858"/>
      <c r="U1091" s="4851"/>
      <c r="V1091" s="4840"/>
      <c r="W1091" s="4840"/>
      <c r="X1091" s="4840"/>
      <c r="Y1091" s="4840"/>
      <c r="Z1091" s="4859"/>
      <c r="AA1091" s="4023"/>
      <c r="AB1091" s="4850"/>
      <c r="AC1091" s="4850"/>
      <c r="AD1091" s="4850"/>
      <c r="AE1091" s="4851"/>
      <c r="AF1091" s="4330"/>
      <c r="AG1091" s="4851"/>
      <c r="AH1091" s="4330"/>
      <c r="AI1091" s="4850"/>
      <c r="AJ1091" s="4850"/>
      <c r="AK1091" s="4330"/>
      <c r="AL1091" s="4330"/>
      <c r="AM1091" s="4330"/>
      <c r="AN1091" s="4850"/>
      <c r="AO1091" s="4850"/>
      <c r="AP1091" s="4850"/>
      <c r="AQ1091" s="4469"/>
      <c r="AR1091" s="985"/>
      <c r="AS1091" s="4469"/>
      <c r="AT1091" s="985"/>
      <c r="AU1091" s="4469"/>
      <c r="AV1091" s="4469"/>
      <c r="AW1091" s="4469"/>
      <c r="AX1091" s="4469"/>
      <c r="AY1091" s="4469"/>
      <c r="AZ1091" s="4469"/>
      <c r="BA1091" s="4469"/>
      <c r="BB1091" s="4469"/>
      <c r="BC1091" s="4469"/>
      <c r="BD1091" s="4469"/>
      <c r="BE1091" s="4469"/>
      <c r="BF1091" s="4469"/>
      <c r="BG1091" s="4469"/>
      <c r="BH1091" s="4469"/>
      <c r="BI1091" s="4469"/>
      <c r="BJ1091" s="4469"/>
      <c r="BK1091" s="4469"/>
      <c r="BL1091" s="4469"/>
      <c r="BM1091" s="4469"/>
      <c r="BN1091" s="4469"/>
      <c r="BO1091" s="4469"/>
      <c r="BP1091" s="4469"/>
      <c r="BQ1091" s="4469"/>
      <c r="BR1091" s="4469"/>
      <c r="BS1091" s="4469"/>
      <c r="BT1091" s="4470"/>
      <c r="BU1091" s="4860"/>
      <c r="BV1091" s="4861"/>
      <c r="BW1091" s="4861"/>
      <c r="BX1091" s="4333"/>
      <c r="BY1091" s="4333"/>
      <c r="BZ1091" s="4333"/>
      <c r="CA1091" s="4838"/>
      <c r="CC1091" s="4837"/>
      <c r="CD1091" s="4838"/>
    </row>
    <row r="1092" s="4325" customFormat="1" ht="50" customHeight="1" spans="1:82">
      <c r="A1092" s="4852"/>
      <c r="B1092" s="4853"/>
      <c r="C1092" s="4330"/>
      <c r="D1092" s="4854"/>
      <c r="E1092" s="4330"/>
      <c r="F1092" s="4854"/>
      <c r="G1092" s="4330"/>
      <c r="H1092" s="4330"/>
      <c r="I1092" s="4850"/>
      <c r="J1092" s="4850"/>
      <c r="K1092" s="4850"/>
      <c r="L1092" s="4850"/>
      <c r="M1092" s="4855"/>
      <c r="N1092" s="4855"/>
      <c r="O1092" s="4856"/>
      <c r="P1092" s="4857"/>
      <c r="Q1092" s="4857"/>
      <c r="R1092" s="4858"/>
      <c r="S1092" s="4858"/>
      <c r="T1092" s="4858"/>
      <c r="U1092" s="4851"/>
      <c r="V1092" s="4840"/>
      <c r="W1092" s="4840"/>
      <c r="X1092" s="4840"/>
      <c r="Y1092" s="4840"/>
      <c r="Z1092" s="4859"/>
      <c r="AA1092" s="4023"/>
      <c r="AB1092" s="4850"/>
      <c r="AC1092" s="4850"/>
      <c r="AD1092" s="4850"/>
      <c r="AE1092" s="4851"/>
      <c r="AF1092" s="4330"/>
      <c r="AG1092" s="4851"/>
      <c r="AH1092" s="4330"/>
      <c r="AI1092" s="4850"/>
      <c r="AJ1092" s="4850"/>
      <c r="AK1092" s="4330"/>
      <c r="AL1092" s="4330"/>
      <c r="AM1092" s="4330"/>
      <c r="AN1092" s="4850"/>
      <c r="AO1092" s="4850"/>
      <c r="AP1092" s="4850"/>
      <c r="AQ1092" s="4469"/>
      <c r="AR1092" s="985"/>
      <c r="AS1092" s="4469"/>
      <c r="AT1092" s="985"/>
      <c r="AU1092" s="4469"/>
      <c r="AV1092" s="4469"/>
      <c r="AW1092" s="4469"/>
      <c r="AX1092" s="4469"/>
      <c r="AY1092" s="4469"/>
      <c r="AZ1092" s="4469"/>
      <c r="BA1092" s="4469"/>
      <c r="BB1092" s="4469"/>
      <c r="BC1092" s="4469"/>
      <c r="BD1092" s="4469"/>
      <c r="BE1092" s="4469"/>
      <c r="BF1092" s="4469"/>
      <c r="BG1092" s="4469"/>
      <c r="BH1092" s="4469"/>
      <c r="BI1092" s="4469"/>
      <c r="BJ1092" s="4469"/>
      <c r="BK1092" s="4469"/>
      <c r="BL1092" s="4469"/>
      <c r="BM1092" s="4469"/>
      <c r="BN1092" s="4469"/>
      <c r="BO1092" s="4469"/>
      <c r="BP1092" s="4469"/>
      <c r="BQ1092" s="4469"/>
      <c r="BR1092" s="4469"/>
      <c r="BS1092" s="4469"/>
      <c r="BT1092" s="4470"/>
      <c r="BU1092" s="4860"/>
      <c r="BV1092" s="4861"/>
      <c r="BW1092" s="4861"/>
      <c r="BX1092" s="4333"/>
      <c r="BY1092" s="4333"/>
      <c r="BZ1092" s="4333"/>
      <c r="CA1092" s="4838"/>
      <c r="CC1092" s="4837"/>
      <c r="CD1092" s="4838"/>
    </row>
    <row r="1093" s="4325" customFormat="1" ht="50" customHeight="1" spans="1:82">
      <c r="A1093" s="4852"/>
      <c r="B1093" s="4853"/>
      <c r="C1093" s="4330"/>
      <c r="D1093" s="4854"/>
      <c r="E1093" s="4330"/>
      <c r="F1093" s="4854"/>
      <c r="G1093" s="4330"/>
      <c r="H1093" s="4330"/>
      <c r="I1093" s="4850"/>
      <c r="J1093" s="4850"/>
      <c r="K1093" s="4850"/>
      <c r="L1093" s="4850"/>
      <c r="M1093" s="4855"/>
      <c r="N1093" s="4855"/>
      <c r="O1093" s="4856"/>
      <c r="P1093" s="4857"/>
      <c r="Q1093" s="4857"/>
      <c r="R1093" s="4858"/>
      <c r="S1093" s="4858"/>
      <c r="T1093" s="4858"/>
      <c r="U1093" s="4851"/>
      <c r="V1093" s="4840"/>
      <c r="W1093" s="4840"/>
      <c r="X1093" s="4840"/>
      <c r="Y1093" s="4840"/>
      <c r="Z1093" s="4859"/>
      <c r="AA1093" s="4023"/>
      <c r="AB1093" s="4850"/>
      <c r="AC1093" s="4850"/>
      <c r="AD1093" s="4850"/>
      <c r="AE1093" s="4851"/>
      <c r="AF1093" s="4330"/>
      <c r="AG1093" s="4851"/>
      <c r="AH1093" s="4330"/>
      <c r="AI1093" s="4850"/>
      <c r="AJ1093" s="4850"/>
      <c r="AK1093" s="4330"/>
      <c r="AL1093" s="4330"/>
      <c r="AM1093" s="4330"/>
      <c r="AN1093" s="4850"/>
      <c r="AO1093" s="4850"/>
      <c r="AP1093" s="4850"/>
      <c r="AQ1093" s="4469"/>
      <c r="AR1093" s="985"/>
      <c r="AS1093" s="4469"/>
      <c r="AT1093" s="985"/>
      <c r="AU1093" s="4469"/>
      <c r="AV1093" s="4469"/>
      <c r="AW1093" s="4469"/>
      <c r="AX1093" s="4469"/>
      <c r="AY1093" s="4469"/>
      <c r="AZ1093" s="4469"/>
      <c r="BA1093" s="4469"/>
      <c r="BB1093" s="4469"/>
      <c r="BC1093" s="4469"/>
      <c r="BD1093" s="4469"/>
      <c r="BE1093" s="4469"/>
      <c r="BF1093" s="4469"/>
      <c r="BG1093" s="4469"/>
      <c r="BH1093" s="4469"/>
      <c r="BI1093" s="4469"/>
      <c r="BJ1093" s="4469"/>
      <c r="BK1093" s="4469"/>
      <c r="BL1093" s="4469"/>
      <c r="BM1093" s="4469"/>
      <c r="BN1093" s="4469"/>
      <c r="BO1093" s="4469"/>
      <c r="BP1093" s="4469"/>
      <c r="BQ1093" s="4469"/>
      <c r="BR1093" s="4469"/>
      <c r="BS1093" s="4469"/>
      <c r="BT1093" s="4470"/>
      <c r="BU1093" s="4860"/>
      <c r="BV1093" s="4861"/>
      <c r="BW1093" s="4861"/>
      <c r="BX1093" s="4333"/>
      <c r="BY1093" s="4333"/>
      <c r="BZ1093" s="4333"/>
      <c r="CA1093" s="4838"/>
      <c r="CC1093" s="4837"/>
      <c r="CD1093" s="4838"/>
    </row>
    <row r="1094" s="4325" customFormat="1" ht="50" customHeight="1" spans="1:82">
      <c r="A1094" s="4852"/>
      <c r="B1094" s="4853"/>
      <c r="C1094" s="4330"/>
      <c r="D1094" s="4854"/>
      <c r="E1094" s="4330"/>
      <c r="F1094" s="4854"/>
      <c r="G1094" s="4330"/>
      <c r="H1094" s="4330"/>
      <c r="I1094" s="4850"/>
      <c r="J1094" s="4850"/>
      <c r="K1094" s="4850"/>
      <c r="L1094" s="4850"/>
      <c r="M1094" s="4855"/>
      <c r="N1094" s="4855"/>
      <c r="O1094" s="4856"/>
      <c r="P1094" s="4857"/>
      <c r="Q1094" s="4857"/>
      <c r="R1094" s="4858"/>
      <c r="S1094" s="4858"/>
      <c r="T1094" s="4858"/>
      <c r="U1094" s="4851"/>
      <c r="V1094" s="4840"/>
      <c r="W1094" s="4840"/>
      <c r="X1094" s="4840"/>
      <c r="Y1094" s="4840"/>
      <c r="Z1094" s="4859"/>
      <c r="AA1094" s="4023"/>
      <c r="AB1094" s="4850"/>
      <c r="AC1094" s="4850"/>
      <c r="AD1094" s="4850"/>
      <c r="AE1094" s="4851"/>
      <c r="AF1094" s="4330"/>
      <c r="AG1094" s="4851"/>
      <c r="AH1094" s="4330"/>
      <c r="AI1094" s="4850"/>
      <c r="AJ1094" s="4850"/>
      <c r="AK1094" s="4330"/>
      <c r="AL1094" s="4330"/>
      <c r="AM1094" s="4330"/>
      <c r="AN1094" s="4850"/>
      <c r="AO1094" s="4850"/>
      <c r="AR1094" s="985"/>
      <c r="AS1094" s="4469"/>
      <c r="AT1094" s="985"/>
      <c r="AU1094" s="4469"/>
      <c r="AV1094" s="4469"/>
      <c r="AW1094" s="4469"/>
      <c r="AX1094" s="4469"/>
      <c r="AY1094" s="4469"/>
      <c r="AZ1094" s="4469"/>
      <c r="BA1094" s="4469"/>
      <c r="BB1094" s="4469"/>
      <c r="BC1094" s="4469"/>
      <c r="BD1094" s="4469"/>
      <c r="BE1094" s="4469"/>
      <c r="BF1094" s="4469"/>
      <c r="BG1094" s="4469"/>
      <c r="BH1094" s="4469"/>
      <c r="BI1094" s="4469"/>
      <c r="BJ1094" s="4469"/>
      <c r="BK1094" s="4469"/>
      <c r="BL1094" s="4469"/>
      <c r="BM1094" s="4469"/>
      <c r="BN1094" s="4469"/>
      <c r="BO1094" s="4469"/>
      <c r="BP1094" s="4469"/>
      <c r="BQ1094" s="4469"/>
      <c r="BR1094" s="4469"/>
      <c r="BS1094" s="4469"/>
      <c r="BT1094" s="4470"/>
      <c r="BU1094" s="4860"/>
      <c r="BV1094" s="4861"/>
      <c r="BW1094" s="4861"/>
      <c r="BX1094" s="4333"/>
      <c r="BY1094" s="4333"/>
      <c r="BZ1094" s="4333"/>
      <c r="CA1094" s="4838"/>
      <c r="CC1094" s="4837"/>
      <c r="CD1094" s="4838"/>
    </row>
    <row r="1095" s="4325" customFormat="1" ht="50" customHeight="1" spans="1:82">
      <c r="A1095" s="4852"/>
      <c r="B1095" s="4853"/>
      <c r="C1095" s="4330"/>
      <c r="D1095" s="4854"/>
      <c r="E1095" s="4330"/>
      <c r="F1095" s="4854"/>
      <c r="G1095" s="4330"/>
      <c r="H1095" s="4330"/>
      <c r="I1095" s="4850"/>
      <c r="J1095" s="4850"/>
      <c r="K1095" s="4850"/>
      <c r="L1095" s="4850"/>
      <c r="M1095" s="4855"/>
      <c r="N1095" s="4855"/>
      <c r="O1095" s="4856"/>
      <c r="P1095" s="4857"/>
      <c r="Q1095" s="4857"/>
      <c r="R1095" s="4858"/>
      <c r="S1095" s="4858"/>
      <c r="T1095" s="4858"/>
      <c r="U1095" s="4851"/>
      <c r="V1095" s="4840"/>
      <c r="W1095" s="4840"/>
      <c r="X1095" s="4840"/>
      <c r="Y1095" s="4840"/>
      <c r="Z1095" s="4859"/>
      <c r="AA1095" s="4023"/>
      <c r="AB1095" s="4850"/>
      <c r="AC1095" s="4850"/>
      <c r="AD1095" s="4850"/>
      <c r="AE1095" s="4851"/>
      <c r="AF1095" s="4330"/>
      <c r="AG1095" s="4851"/>
      <c r="AH1095" s="4330"/>
      <c r="AI1095" s="4850"/>
      <c r="AJ1095" s="4850"/>
      <c r="AK1095" s="4330"/>
      <c r="AL1095" s="4330"/>
      <c r="AM1095" s="4330"/>
      <c r="AN1095" s="4850"/>
      <c r="AO1095" s="4850"/>
      <c r="AP1095" s="4850"/>
      <c r="AQ1095" s="4469"/>
      <c r="AR1095" s="985"/>
      <c r="AS1095" s="4469"/>
      <c r="AT1095" s="985"/>
      <c r="AU1095" s="4850"/>
      <c r="AV1095" s="4469"/>
      <c r="AW1095" s="4469"/>
      <c r="AX1095" s="4469"/>
      <c r="AY1095" s="4469"/>
      <c r="AZ1095" s="4469"/>
      <c r="BA1095" s="4469"/>
      <c r="BB1095" s="4469"/>
      <c r="BC1095" s="4469"/>
      <c r="BD1095" s="4469"/>
      <c r="BE1095" s="4469"/>
      <c r="BF1095" s="4469"/>
      <c r="BG1095" s="4469"/>
      <c r="BH1095" s="4469"/>
      <c r="BI1095" s="4469"/>
      <c r="BJ1095" s="4469"/>
      <c r="BK1095" s="4469"/>
      <c r="BL1095" s="4469"/>
      <c r="BM1095" s="4469"/>
      <c r="BN1095" s="4469"/>
      <c r="BO1095" s="4469"/>
      <c r="BP1095" s="4469"/>
      <c r="BQ1095" s="4469"/>
      <c r="BR1095" s="4469"/>
      <c r="BS1095" s="4469"/>
      <c r="BT1095" s="4470"/>
      <c r="BU1095" s="4860"/>
      <c r="BV1095" s="4861"/>
      <c r="BW1095" s="4861"/>
      <c r="BX1095" s="4333"/>
      <c r="BY1095" s="4333"/>
      <c r="BZ1095" s="4333"/>
      <c r="CA1095" s="4838"/>
      <c r="CC1095" s="4837"/>
      <c r="CD1095" s="4838"/>
    </row>
    <row r="1096" s="4325" customFormat="1" ht="50" customHeight="1" spans="1:82">
      <c r="A1096" s="4852"/>
      <c r="B1096" s="4853"/>
      <c r="C1096" s="4330"/>
      <c r="D1096" s="4854"/>
      <c r="E1096" s="4330"/>
      <c r="F1096" s="4854"/>
      <c r="G1096" s="4330"/>
      <c r="H1096" s="4330"/>
      <c r="I1096" s="4850"/>
      <c r="J1096" s="4850"/>
      <c r="K1096" s="4850"/>
      <c r="L1096" s="4850"/>
      <c r="M1096" s="4855"/>
      <c r="N1096" s="4855"/>
      <c r="O1096" s="4856"/>
      <c r="P1096" s="4857"/>
      <c r="Q1096" s="4857"/>
      <c r="R1096" s="4858"/>
      <c r="S1096" s="4858"/>
      <c r="T1096" s="4858"/>
      <c r="U1096" s="4851"/>
      <c r="V1096" s="4840"/>
      <c r="W1096" s="4840"/>
      <c r="X1096" s="4840"/>
      <c r="Y1096" s="4840"/>
      <c r="Z1096" s="4859"/>
      <c r="AA1096" s="4023"/>
      <c r="AB1096" s="4850"/>
      <c r="AC1096" s="4850"/>
      <c r="AD1096" s="4850"/>
      <c r="AE1096" s="4851"/>
      <c r="AF1096" s="4330"/>
      <c r="AG1096" s="4851"/>
      <c r="AH1096" s="4330"/>
      <c r="AI1096" s="4850"/>
      <c r="AJ1096" s="4850"/>
      <c r="AK1096" s="4330"/>
      <c r="AL1096" s="4330"/>
      <c r="AM1096" s="4330"/>
      <c r="AN1096" s="4850"/>
      <c r="AO1096" s="4850"/>
      <c r="AP1096" s="4850"/>
      <c r="AQ1096" s="4469"/>
      <c r="AR1096" s="985"/>
      <c r="AS1096" s="4469"/>
      <c r="AT1096" s="985"/>
      <c r="AU1096" s="4469"/>
      <c r="AV1096" s="4469"/>
      <c r="AW1096" s="4469"/>
      <c r="AX1096" s="4469"/>
      <c r="AY1096" s="4469"/>
      <c r="AZ1096" s="4469"/>
      <c r="BA1096" s="4469"/>
      <c r="BB1096" s="4469"/>
      <c r="BC1096" s="4469"/>
      <c r="BD1096" s="4469"/>
      <c r="BE1096" s="4469"/>
      <c r="BF1096" s="4469"/>
      <c r="BG1096" s="4469"/>
      <c r="BH1096" s="4469"/>
      <c r="BI1096" s="4469"/>
      <c r="BJ1096" s="4469"/>
      <c r="BK1096" s="4469"/>
      <c r="BL1096" s="4469"/>
      <c r="BM1096" s="4469"/>
      <c r="BN1096" s="4469"/>
      <c r="BO1096" s="4469"/>
      <c r="BP1096" s="4469"/>
      <c r="BQ1096" s="4469"/>
      <c r="BR1096" s="4469"/>
      <c r="BS1096" s="4469"/>
      <c r="BT1096" s="4470"/>
      <c r="BU1096" s="4860"/>
      <c r="BV1096" s="4861"/>
      <c r="BW1096" s="4861"/>
      <c r="BX1096" s="4333"/>
      <c r="BY1096" s="4333"/>
      <c r="BZ1096" s="4333"/>
      <c r="CA1096" s="4838"/>
      <c r="CC1096" s="4837"/>
      <c r="CD1096" s="4838"/>
    </row>
    <row r="1097" s="4325" customFormat="1" ht="50" customHeight="1" spans="1:82">
      <c r="A1097" s="4852"/>
      <c r="B1097" s="4853"/>
      <c r="C1097" s="4330"/>
      <c r="D1097" s="4854"/>
      <c r="E1097" s="4330"/>
      <c r="F1097" s="4854"/>
      <c r="G1097" s="4330"/>
      <c r="H1097" s="4330"/>
      <c r="I1097" s="4850"/>
      <c r="J1097" s="4850"/>
      <c r="K1097" s="4850"/>
      <c r="L1097" s="4850"/>
      <c r="M1097" s="4855"/>
      <c r="N1097" s="4855"/>
      <c r="O1097" s="4856"/>
      <c r="P1097" s="4857"/>
      <c r="Q1097" s="4857"/>
      <c r="R1097" s="4858"/>
      <c r="S1097" s="4858"/>
      <c r="T1097" s="4858"/>
      <c r="U1097" s="4851"/>
      <c r="V1097" s="4840"/>
      <c r="W1097" s="4840"/>
      <c r="X1097" s="4840"/>
      <c r="Y1097" s="4840"/>
      <c r="Z1097" s="4859"/>
      <c r="AA1097" s="4023"/>
      <c r="AB1097" s="4850"/>
      <c r="AC1097" s="4850"/>
      <c r="AD1097" s="4850"/>
      <c r="AE1097" s="4851"/>
      <c r="AF1097" s="4330"/>
      <c r="AG1097" s="4851"/>
      <c r="AH1097" s="4330"/>
      <c r="AI1097" s="4850"/>
      <c r="AJ1097" s="4850"/>
      <c r="AK1097" s="4330"/>
      <c r="AL1097" s="4330"/>
      <c r="AM1097" s="4330"/>
      <c r="AN1097" s="4850"/>
      <c r="AO1097" s="4850"/>
      <c r="AP1097" s="4850"/>
      <c r="AQ1097" s="4469"/>
      <c r="AR1097" s="985"/>
      <c r="AS1097" s="4469"/>
      <c r="AT1097" s="985"/>
      <c r="AU1097" s="4469"/>
      <c r="AV1097" s="4469"/>
      <c r="AW1097" s="4469"/>
      <c r="AX1097" s="4469"/>
      <c r="AY1097" s="4469"/>
      <c r="AZ1097" s="4469"/>
      <c r="BA1097" s="4469"/>
      <c r="BB1097" s="4469"/>
      <c r="BC1097" s="4469"/>
      <c r="BD1097" s="4469"/>
      <c r="BE1097" s="4469"/>
      <c r="BF1097" s="4469"/>
      <c r="BG1097" s="4469"/>
      <c r="BH1097" s="4469"/>
      <c r="BI1097" s="4469"/>
      <c r="BJ1097" s="4469"/>
      <c r="BK1097" s="4469"/>
      <c r="BL1097" s="4469"/>
      <c r="BM1097" s="4469"/>
      <c r="BN1097" s="4469"/>
      <c r="BO1097" s="4469"/>
      <c r="BP1097" s="4469"/>
      <c r="BQ1097" s="4469"/>
      <c r="BR1097" s="4469"/>
      <c r="BS1097" s="4469"/>
      <c r="BT1097" s="4470"/>
      <c r="BU1097" s="4860"/>
      <c r="BV1097" s="4861"/>
      <c r="BW1097" s="4861"/>
      <c r="BX1097" s="4333"/>
      <c r="BY1097" s="4333"/>
      <c r="BZ1097" s="4333"/>
      <c r="CA1097" s="4838"/>
      <c r="CC1097" s="4837"/>
      <c r="CD1097" s="4838"/>
    </row>
    <row r="1098" s="4325" customFormat="1" ht="50" customHeight="1" spans="1:82">
      <c r="A1098" s="4852"/>
      <c r="B1098" s="4853"/>
      <c r="C1098" s="4330"/>
      <c r="D1098" s="4854"/>
      <c r="E1098" s="4330"/>
      <c r="F1098" s="4854"/>
      <c r="G1098" s="4330"/>
      <c r="H1098" s="4330"/>
      <c r="I1098" s="4850"/>
      <c r="J1098" s="4850"/>
      <c r="K1098" s="4850"/>
      <c r="L1098" s="4850"/>
      <c r="M1098" s="4855"/>
      <c r="N1098" s="4855"/>
      <c r="O1098" s="4856"/>
      <c r="P1098" s="4857"/>
      <c r="Q1098" s="4857"/>
      <c r="R1098" s="4858"/>
      <c r="S1098" s="4858"/>
      <c r="T1098" s="4858"/>
      <c r="U1098" s="4851"/>
      <c r="V1098" s="4840"/>
      <c r="W1098" s="4840"/>
      <c r="X1098" s="4840"/>
      <c r="Y1098" s="4840"/>
      <c r="Z1098" s="4859"/>
      <c r="AA1098" s="4023"/>
      <c r="AB1098" s="4850"/>
      <c r="AC1098" s="4850"/>
      <c r="AD1098" s="4850"/>
      <c r="AE1098" s="4851"/>
      <c r="AF1098" s="4330"/>
      <c r="AG1098" s="4851"/>
      <c r="AH1098" s="4330"/>
      <c r="AI1098" s="4850"/>
      <c r="AJ1098" s="4850"/>
      <c r="AK1098" s="4330"/>
      <c r="AL1098" s="4330"/>
      <c r="AM1098" s="4330"/>
      <c r="AN1098" s="4850"/>
      <c r="AO1098" s="4850"/>
      <c r="AP1098" s="4850"/>
      <c r="AQ1098" s="4469"/>
      <c r="AR1098" s="985"/>
      <c r="AS1098" s="4469"/>
      <c r="AT1098" s="985"/>
      <c r="AU1098" s="4469"/>
      <c r="AV1098" s="4469"/>
      <c r="AW1098" s="4469"/>
      <c r="AX1098" s="4469"/>
      <c r="AY1098" s="4469"/>
      <c r="AZ1098" s="4469"/>
      <c r="BA1098" s="4469"/>
      <c r="BB1098" s="4469"/>
      <c r="BC1098" s="4469"/>
      <c r="BD1098" s="4469"/>
      <c r="BE1098" s="4469"/>
      <c r="BF1098" s="4469"/>
      <c r="BG1098" s="4469"/>
      <c r="BH1098" s="4469"/>
      <c r="BI1098" s="4469"/>
      <c r="BJ1098" s="4469"/>
      <c r="BK1098" s="4469"/>
      <c r="BL1098" s="4469"/>
      <c r="BM1098" s="4469"/>
      <c r="BN1098" s="4469"/>
      <c r="BO1098" s="4469"/>
      <c r="BP1098" s="4469"/>
      <c r="BQ1098" s="4469"/>
      <c r="BR1098" s="4469"/>
      <c r="BS1098" s="4469"/>
      <c r="BT1098" s="4470"/>
      <c r="BU1098" s="4860"/>
      <c r="BV1098" s="4861"/>
      <c r="BW1098" s="4861"/>
      <c r="BX1098" s="4333"/>
      <c r="BY1098" s="4333"/>
      <c r="BZ1098" s="4333"/>
      <c r="CA1098" s="4838"/>
      <c r="CC1098" s="4837"/>
      <c r="CD1098" s="4838"/>
    </row>
    <row r="1099" s="4325" customFormat="1" ht="50" customHeight="1" spans="1:82">
      <c r="A1099" s="4852"/>
      <c r="B1099" s="4853"/>
      <c r="C1099" s="4330"/>
      <c r="D1099" s="4854"/>
      <c r="E1099" s="4330"/>
      <c r="F1099" s="4854"/>
      <c r="G1099" s="4330"/>
      <c r="H1099" s="4330"/>
      <c r="I1099" s="4850"/>
      <c r="J1099" s="4850"/>
      <c r="K1099" s="4850"/>
      <c r="L1099" s="4850"/>
      <c r="M1099" s="4855"/>
      <c r="N1099" s="4855"/>
      <c r="O1099" s="4856"/>
      <c r="P1099" s="4857"/>
      <c r="Q1099" s="4857"/>
      <c r="R1099" s="4858"/>
      <c r="S1099" s="4858"/>
      <c r="T1099" s="4858"/>
      <c r="U1099" s="4851"/>
      <c r="V1099" s="4840"/>
      <c r="W1099" s="4840"/>
      <c r="X1099" s="4840"/>
      <c r="Y1099" s="4840"/>
      <c r="Z1099" s="4859"/>
      <c r="AA1099" s="4023"/>
      <c r="AB1099" s="4850"/>
      <c r="AC1099" s="4850"/>
      <c r="AD1099" s="4850"/>
      <c r="AE1099" s="4851"/>
      <c r="AF1099" s="4330"/>
      <c r="AG1099" s="4851"/>
      <c r="AH1099" s="4330"/>
      <c r="AI1099" s="4850"/>
      <c r="AJ1099" s="4850"/>
      <c r="AK1099" s="4330"/>
      <c r="AL1099" s="4330"/>
      <c r="AM1099" s="4330"/>
      <c r="AN1099" s="4850"/>
      <c r="AO1099" s="4850"/>
      <c r="AP1099" s="4850"/>
      <c r="AQ1099" s="4469"/>
      <c r="AR1099" s="985"/>
      <c r="AS1099" s="4469"/>
      <c r="AT1099" s="985"/>
      <c r="AU1099" s="4469"/>
      <c r="AV1099" s="4469"/>
      <c r="AW1099" s="4469"/>
      <c r="AX1099" s="4469"/>
      <c r="AY1099" s="4469"/>
      <c r="AZ1099" s="4469"/>
      <c r="BA1099" s="4469"/>
      <c r="BB1099" s="4469"/>
      <c r="BC1099" s="4469"/>
      <c r="BD1099" s="4469"/>
      <c r="BE1099" s="4469"/>
      <c r="BF1099" s="4469"/>
      <c r="BG1099" s="4469"/>
      <c r="BH1099" s="4469"/>
      <c r="BI1099" s="4469"/>
      <c r="BJ1099" s="4469"/>
      <c r="BK1099" s="4469"/>
      <c r="BL1099" s="4469"/>
      <c r="BM1099" s="4469"/>
      <c r="BN1099" s="4469"/>
      <c r="BO1099" s="4469"/>
      <c r="BP1099" s="4469"/>
      <c r="BQ1099" s="4469"/>
      <c r="BR1099" s="4469"/>
      <c r="BS1099" s="4469"/>
      <c r="BT1099" s="4470"/>
      <c r="BU1099" s="4860"/>
      <c r="BV1099" s="4861"/>
      <c r="BW1099" s="4861"/>
      <c r="BX1099" s="4333"/>
      <c r="BY1099" s="4333"/>
      <c r="BZ1099" s="4333"/>
      <c r="CA1099" s="4838"/>
      <c r="CC1099" s="4837"/>
      <c r="CD1099" s="4838"/>
    </row>
    <row r="1100" s="4325" customFormat="1" ht="50" customHeight="1" spans="1:82">
      <c r="A1100" s="4852"/>
      <c r="B1100" s="4853"/>
      <c r="C1100" s="4330"/>
      <c r="D1100" s="4854"/>
      <c r="E1100" s="4330"/>
      <c r="F1100" s="4854"/>
      <c r="G1100" s="4330"/>
      <c r="H1100" s="4330"/>
      <c r="I1100" s="4850"/>
      <c r="J1100" s="4850"/>
      <c r="K1100" s="4850"/>
      <c r="L1100" s="4850"/>
      <c r="M1100" s="4855"/>
      <c r="N1100" s="4855"/>
      <c r="O1100" s="4856"/>
      <c r="P1100" s="4857"/>
      <c r="Q1100" s="4857"/>
      <c r="R1100" s="4858"/>
      <c r="S1100" s="4858"/>
      <c r="T1100" s="4858"/>
      <c r="U1100" s="4851"/>
      <c r="V1100" s="4840"/>
      <c r="W1100" s="4840"/>
      <c r="X1100" s="4840"/>
      <c r="Y1100" s="4840"/>
      <c r="Z1100" s="4859"/>
      <c r="AA1100" s="4023"/>
      <c r="AB1100" s="4850"/>
      <c r="AC1100" s="4850"/>
      <c r="AD1100" s="4850"/>
      <c r="AE1100" s="4851"/>
      <c r="AF1100" s="4330"/>
      <c r="AG1100" s="4851"/>
      <c r="AH1100" s="4330"/>
      <c r="AI1100" s="4850"/>
      <c r="AJ1100" s="4850"/>
      <c r="AK1100" s="4330"/>
      <c r="AL1100" s="4330"/>
      <c r="AM1100" s="4330"/>
      <c r="AN1100" s="4850"/>
      <c r="AO1100" s="4850"/>
      <c r="AP1100" s="4850"/>
      <c r="AQ1100" s="4469"/>
      <c r="AR1100" s="985"/>
      <c r="AS1100" s="4469"/>
      <c r="AT1100" s="985"/>
      <c r="AU1100" s="4469"/>
      <c r="AV1100" s="4469"/>
      <c r="AW1100" s="4469"/>
      <c r="AX1100" s="4469"/>
      <c r="AY1100" s="4469"/>
      <c r="AZ1100" s="4469"/>
      <c r="BA1100" s="4469"/>
      <c r="BB1100" s="4469"/>
      <c r="BC1100" s="4469"/>
      <c r="BD1100" s="4469"/>
      <c r="BE1100" s="4469"/>
      <c r="BF1100" s="4469"/>
      <c r="BG1100" s="4469"/>
      <c r="BH1100" s="4469"/>
      <c r="BI1100" s="4469"/>
      <c r="BJ1100" s="4469"/>
      <c r="BK1100" s="4469"/>
      <c r="BL1100" s="4469"/>
      <c r="BM1100" s="4469"/>
      <c r="BN1100" s="4469"/>
      <c r="BO1100" s="4469"/>
      <c r="BP1100" s="4469"/>
      <c r="BQ1100" s="4469"/>
      <c r="BR1100" s="4469"/>
      <c r="BS1100" s="4469"/>
      <c r="BT1100" s="4470"/>
      <c r="BU1100" s="4860"/>
      <c r="BV1100" s="4861"/>
      <c r="BW1100" s="4861"/>
      <c r="BX1100" s="4333"/>
      <c r="BY1100" s="4333"/>
      <c r="BZ1100" s="4333"/>
      <c r="CA1100" s="4838"/>
      <c r="CC1100" s="4837"/>
      <c r="CD1100" s="4838"/>
    </row>
    <row r="1101" s="4325" customFormat="1" ht="50" customHeight="1" spans="1:82">
      <c r="A1101" s="4852"/>
      <c r="B1101" s="4853"/>
      <c r="C1101" s="4330"/>
      <c r="D1101" s="4854"/>
      <c r="E1101" s="4330"/>
      <c r="F1101" s="4854"/>
      <c r="G1101" s="4330"/>
      <c r="H1101" s="4330"/>
      <c r="I1101" s="4850"/>
      <c r="J1101" s="4850"/>
      <c r="K1101" s="4850"/>
      <c r="L1101" s="4850"/>
      <c r="M1101" s="4855"/>
      <c r="N1101" s="4855"/>
      <c r="O1101" s="4856"/>
      <c r="P1101" s="4857"/>
      <c r="Q1101" s="4857"/>
      <c r="R1101" s="4858"/>
      <c r="S1101" s="4858"/>
      <c r="T1101" s="4858"/>
      <c r="U1101" s="4851"/>
      <c r="V1101" s="4840"/>
      <c r="W1101" s="4840"/>
      <c r="X1101" s="4840"/>
      <c r="Y1101" s="4840"/>
      <c r="Z1101" s="4859"/>
      <c r="AA1101" s="4023"/>
      <c r="AB1101" s="4850"/>
      <c r="AC1101" s="4850"/>
      <c r="AD1101" s="4850"/>
      <c r="AE1101" s="4851"/>
      <c r="AF1101" s="4330"/>
      <c r="AG1101" s="4851"/>
      <c r="AH1101" s="4330"/>
      <c r="AI1101" s="4850"/>
      <c r="AJ1101" s="4850"/>
      <c r="AK1101" s="4330"/>
      <c r="AL1101" s="4330"/>
      <c r="AM1101" s="4330"/>
      <c r="AN1101" s="4850"/>
      <c r="AO1101" s="4850"/>
      <c r="AP1101" s="4850"/>
      <c r="AQ1101" s="4469"/>
      <c r="AR1101" s="985"/>
      <c r="AS1101" s="4469"/>
      <c r="AT1101" s="985"/>
      <c r="AU1101" s="4469"/>
      <c r="AV1101" s="4469"/>
      <c r="AW1101" s="4469"/>
      <c r="AX1101" s="4469"/>
      <c r="AY1101" s="4469"/>
      <c r="AZ1101" s="4469"/>
      <c r="BA1101" s="4469"/>
      <c r="BB1101" s="4469"/>
      <c r="BC1101" s="4469"/>
      <c r="BD1101" s="4469"/>
      <c r="BE1101" s="4469"/>
      <c r="BF1101" s="4469"/>
      <c r="BG1101" s="4469"/>
      <c r="BH1101" s="4469"/>
      <c r="BI1101" s="4469"/>
      <c r="BJ1101" s="4469"/>
      <c r="BK1101" s="4469"/>
      <c r="BL1101" s="4469"/>
      <c r="BM1101" s="4469"/>
      <c r="BN1101" s="4469"/>
      <c r="BO1101" s="4469"/>
      <c r="BP1101" s="4469"/>
      <c r="BQ1101" s="4469"/>
      <c r="BR1101" s="4469"/>
      <c r="BS1101" s="4469"/>
      <c r="BT1101" s="4470"/>
      <c r="BU1101" s="4860"/>
      <c r="BV1101" s="4861"/>
      <c r="BW1101" s="4861"/>
      <c r="BX1101" s="4333"/>
      <c r="BY1101" s="4333"/>
      <c r="BZ1101" s="4333"/>
      <c r="CA1101" s="4838"/>
      <c r="CC1101" s="4837"/>
      <c r="CD1101" s="4838"/>
    </row>
    <row r="1102" s="4325" customFormat="1" ht="50" customHeight="1" spans="1:82">
      <c r="A1102" s="4852"/>
      <c r="B1102" s="4853"/>
      <c r="C1102" s="4330"/>
      <c r="D1102" s="4854"/>
      <c r="E1102" s="4330"/>
      <c r="F1102" s="4854"/>
      <c r="G1102" s="4330"/>
      <c r="H1102" s="4330"/>
      <c r="I1102" s="4850"/>
      <c r="J1102" s="4850"/>
      <c r="K1102" s="4850"/>
      <c r="L1102" s="4850"/>
      <c r="M1102" s="4855"/>
      <c r="N1102" s="4855"/>
      <c r="O1102" s="4856"/>
      <c r="P1102" s="4857"/>
      <c r="Q1102" s="4857"/>
      <c r="R1102" s="4858"/>
      <c r="S1102" s="4858"/>
      <c r="T1102" s="4858"/>
      <c r="U1102" s="4851"/>
      <c r="V1102" s="4840"/>
      <c r="W1102" s="4840"/>
      <c r="X1102" s="4840"/>
      <c r="Y1102" s="4840"/>
      <c r="Z1102" s="4859"/>
      <c r="AA1102" s="4023"/>
      <c r="AB1102" s="4850"/>
      <c r="AC1102" s="4850"/>
      <c r="AD1102" s="4850"/>
      <c r="AE1102" s="4851"/>
      <c r="AF1102" s="4330"/>
      <c r="AG1102" s="4851"/>
      <c r="AH1102" s="4330"/>
      <c r="AI1102" s="4850"/>
      <c r="AJ1102" s="4850"/>
      <c r="AK1102" s="4330"/>
      <c r="AL1102" s="4330"/>
      <c r="AM1102" s="4330"/>
      <c r="AN1102" s="4850"/>
      <c r="AO1102" s="4850"/>
      <c r="AP1102" s="4850"/>
      <c r="AQ1102" s="4469"/>
      <c r="AR1102" s="985"/>
      <c r="AS1102" s="4469"/>
      <c r="AT1102" s="985"/>
      <c r="AU1102" s="4469"/>
      <c r="AV1102" s="4469"/>
      <c r="AW1102" s="4469"/>
      <c r="AX1102" s="4469"/>
      <c r="AY1102" s="4469"/>
      <c r="AZ1102" s="4469"/>
      <c r="BA1102" s="4469"/>
      <c r="BB1102" s="4469"/>
      <c r="BC1102" s="4469"/>
      <c r="BD1102" s="4469"/>
      <c r="BE1102" s="4469"/>
      <c r="BF1102" s="4469"/>
      <c r="BG1102" s="4469"/>
      <c r="BH1102" s="4469"/>
      <c r="BI1102" s="4469"/>
      <c r="BJ1102" s="4469"/>
      <c r="BK1102" s="4469"/>
      <c r="BL1102" s="4469"/>
      <c r="BM1102" s="4469"/>
      <c r="BN1102" s="4469"/>
      <c r="BO1102" s="4469"/>
      <c r="BP1102" s="4469"/>
      <c r="BQ1102" s="4469"/>
      <c r="BR1102" s="4469"/>
      <c r="BS1102" s="4469"/>
      <c r="BT1102" s="4470"/>
      <c r="BU1102" s="4860"/>
      <c r="BV1102" s="4861"/>
      <c r="BW1102" s="4861"/>
      <c r="BX1102" s="4333"/>
      <c r="BY1102" s="4333"/>
      <c r="BZ1102" s="4333"/>
      <c r="CA1102" s="4838"/>
      <c r="CC1102" s="4837"/>
      <c r="CD1102" s="4838"/>
    </row>
    <row r="1103" s="4325" customFormat="1" ht="50" customHeight="1" spans="1:82">
      <c r="A1103" s="4852"/>
      <c r="B1103" s="4853"/>
      <c r="C1103" s="4330"/>
      <c r="D1103" s="4854"/>
      <c r="E1103" s="4330"/>
      <c r="F1103" s="4854"/>
      <c r="G1103" s="4330"/>
      <c r="H1103" s="4330"/>
      <c r="I1103" s="4850"/>
      <c r="J1103" s="4850"/>
      <c r="K1103" s="4850"/>
      <c r="L1103" s="4850"/>
      <c r="M1103" s="4855"/>
      <c r="N1103" s="4855"/>
      <c r="O1103" s="4856"/>
      <c r="P1103" s="4857"/>
      <c r="Q1103" s="4857"/>
      <c r="R1103" s="4858"/>
      <c r="S1103" s="4858"/>
      <c r="T1103" s="4858"/>
      <c r="U1103" s="4851"/>
      <c r="V1103" s="4840"/>
      <c r="W1103" s="4840"/>
      <c r="X1103" s="4840"/>
      <c r="Y1103" s="4840"/>
      <c r="Z1103" s="4859"/>
      <c r="AA1103" s="4023"/>
      <c r="AB1103" s="4850"/>
      <c r="AC1103" s="4850"/>
      <c r="AD1103" s="4850"/>
      <c r="AE1103" s="4851"/>
      <c r="AF1103" s="4330"/>
      <c r="AG1103" s="4851"/>
      <c r="AH1103" s="4330"/>
      <c r="AI1103" s="4850"/>
      <c r="AJ1103" s="4850"/>
      <c r="AK1103" s="4330"/>
      <c r="AL1103" s="4330"/>
      <c r="AM1103" s="4330"/>
      <c r="AN1103" s="4850"/>
      <c r="AO1103" s="4850"/>
      <c r="AP1103" s="4850"/>
      <c r="AQ1103" s="4469"/>
      <c r="AR1103" s="985"/>
      <c r="AS1103" s="4469"/>
      <c r="AT1103" s="985"/>
      <c r="AU1103" s="4469"/>
      <c r="AV1103" s="4469"/>
      <c r="AW1103" s="4469"/>
      <c r="AX1103" s="4469"/>
      <c r="AY1103" s="4469"/>
      <c r="AZ1103" s="4469"/>
      <c r="BA1103" s="4469"/>
      <c r="BB1103" s="4469"/>
      <c r="BC1103" s="4469"/>
      <c r="BD1103" s="4469"/>
      <c r="BE1103" s="4469"/>
      <c r="BF1103" s="4469"/>
      <c r="BG1103" s="4469"/>
      <c r="BH1103" s="4469"/>
      <c r="BI1103" s="4469"/>
      <c r="BJ1103" s="4469"/>
      <c r="BK1103" s="4469"/>
      <c r="BL1103" s="4469"/>
      <c r="BM1103" s="4469"/>
      <c r="BN1103" s="4469"/>
      <c r="BO1103" s="4469"/>
      <c r="BP1103" s="4469"/>
      <c r="BQ1103" s="4469"/>
      <c r="BR1103" s="4469"/>
      <c r="BS1103" s="4469"/>
      <c r="BT1103" s="4470"/>
      <c r="BU1103" s="4860"/>
      <c r="BV1103" s="4861"/>
      <c r="BW1103" s="4861"/>
      <c r="BX1103" s="4333"/>
      <c r="BY1103" s="4333"/>
      <c r="BZ1103" s="4333"/>
      <c r="CA1103" s="4838"/>
      <c r="CC1103" s="4837"/>
      <c r="CD1103" s="4838"/>
    </row>
    <row r="1104" s="4325" customFormat="1" ht="50" customHeight="1" spans="1:82">
      <c r="A1104" s="4852"/>
      <c r="B1104" s="4853"/>
      <c r="C1104" s="4330"/>
      <c r="D1104" s="4854"/>
      <c r="E1104" s="4330"/>
      <c r="F1104" s="4854"/>
      <c r="G1104" s="4330"/>
      <c r="H1104" s="4330"/>
      <c r="I1104" s="4850"/>
      <c r="J1104" s="4850"/>
      <c r="K1104" s="4850"/>
      <c r="L1104" s="4850"/>
      <c r="M1104" s="4855"/>
      <c r="N1104" s="4855"/>
      <c r="O1104" s="4856"/>
      <c r="P1104" s="4857"/>
      <c r="Q1104" s="4857"/>
      <c r="R1104" s="4858"/>
      <c r="S1104" s="4858"/>
      <c r="T1104" s="4858"/>
      <c r="U1104" s="4851"/>
      <c r="V1104" s="4840"/>
      <c r="W1104" s="4840"/>
      <c r="X1104" s="4840"/>
      <c r="Y1104" s="4840"/>
      <c r="Z1104" s="4859"/>
      <c r="AA1104" s="4023"/>
      <c r="AB1104" s="4850"/>
      <c r="AC1104" s="4850"/>
      <c r="AD1104" s="4850"/>
      <c r="AE1104" s="4851"/>
      <c r="AF1104" s="4330"/>
      <c r="AG1104" s="4851"/>
      <c r="AH1104" s="4330"/>
      <c r="AI1104" s="4850"/>
      <c r="AJ1104" s="4850"/>
      <c r="AK1104" s="4330"/>
      <c r="AL1104" s="4330"/>
      <c r="AM1104" s="4330"/>
      <c r="AN1104" s="4850"/>
      <c r="AO1104" s="4850"/>
      <c r="AP1104" s="4850"/>
      <c r="AQ1104" s="4469"/>
      <c r="AR1104" s="985"/>
      <c r="AS1104" s="4469"/>
      <c r="AT1104" s="985"/>
      <c r="AU1104" s="4469"/>
      <c r="AV1104" s="4469"/>
      <c r="AW1104" s="4469"/>
      <c r="AX1104" s="4469"/>
      <c r="AY1104" s="4469"/>
      <c r="AZ1104" s="4469"/>
      <c r="BA1104" s="4469"/>
      <c r="BB1104" s="4469"/>
      <c r="BC1104" s="4469"/>
      <c r="BD1104" s="4469"/>
      <c r="BE1104" s="4469"/>
      <c r="BF1104" s="4469"/>
      <c r="BG1104" s="4469"/>
      <c r="BH1104" s="4469"/>
      <c r="BI1104" s="4469"/>
      <c r="BJ1104" s="4469"/>
      <c r="BK1104" s="4469"/>
      <c r="BL1104" s="4469"/>
      <c r="BM1104" s="4469"/>
      <c r="BN1104" s="4469"/>
      <c r="BO1104" s="4469"/>
      <c r="BP1104" s="4469"/>
      <c r="BQ1104" s="4469"/>
      <c r="BR1104" s="4469"/>
      <c r="BS1104" s="4469"/>
      <c r="BT1104" s="4470"/>
      <c r="BU1104" s="4860"/>
      <c r="BV1104" s="4861"/>
      <c r="BW1104" s="4861"/>
      <c r="BX1104" s="4333"/>
      <c r="BY1104" s="4333"/>
      <c r="BZ1104" s="4333"/>
      <c r="CA1104" s="4838"/>
      <c r="CC1104" s="4837"/>
      <c r="CD1104" s="4838"/>
    </row>
    <row r="1105" s="4325" customFormat="1" ht="50" customHeight="1" spans="1:82">
      <c r="A1105" s="4852"/>
      <c r="B1105" s="4853"/>
      <c r="C1105" s="4330"/>
      <c r="D1105" s="4854"/>
      <c r="E1105" s="4330"/>
      <c r="F1105" s="4854"/>
      <c r="G1105" s="4330"/>
      <c r="H1105" s="4330"/>
      <c r="I1105" s="4850"/>
      <c r="J1105" s="4850"/>
      <c r="K1105" s="4850"/>
      <c r="L1105" s="4850"/>
      <c r="M1105" s="4855"/>
      <c r="N1105" s="4855"/>
      <c r="O1105" s="4856"/>
      <c r="P1105" s="4857"/>
      <c r="Q1105" s="4857"/>
      <c r="R1105" s="4858"/>
      <c r="S1105" s="4858"/>
      <c r="T1105" s="4858"/>
      <c r="U1105" s="4851"/>
      <c r="V1105" s="4840"/>
      <c r="W1105" s="4840"/>
      <c r="X1105" s="4840"/>
      <c r="Y1105" s="4840"/>
      <c r="Z1105" s="4859"/>
      <c r="AA1105" s="4023"/>
      <c r="AB1105" s="4850"/>
      <c r="AC1105" s="4850"/>
      <c r="AD1105" s="4850"/>
      <c r="AE1105" s="4851"/>
      <c r="AF1105" s="4330"/>
      <c r="AG1105" s="4851"/>
      <c r="AH1105" s="4330"/>
      <c r="AI1105" s="4850"/>
      <c r="AJ1105" s="4850"/>
      <c r="AK1105" s="4330"/>
      <c r="AL1105" s="4330"/>
      <c r="AM1105" s="4330"/>
      <c r="AN1105" s="4850"/>
      <c r="AO1105" s="4850"/>
      <c r="AP1105" s="4850"/>
      <c r="AQ1105" s="4469"/>
      <c r="AR1105" s="985"/>
      <c r="AS1105" s="4469"/>
      <c r="AT1105" s="985"/>
      <c r="AU1105" s="4469"/>
      <c r="AV1105" s="4469"/>
      <c r="AW1105" s="4469"/>
      <c r="AX1105" s="4469"/>
      <c r="AY1105" s="4469"/>
      <c r="AZ1105" s="4469"/>
      <c r="BA1105" s="4469"/>
      <c r="BB1105" s="4469"/>
      <c r="BC1105" s="4469"/>
      <c r="BD1105" s="4469"/>
      <c r="BE1105" s="4469"/>
      <c r="BF1105" s="4469"/>
      <c r="BG1105" s="4469"/>
      <c r="BH1105" s="4469"/>
      <c r="BI1105" s="4469"/>
      <c r="BJ1105" s="4469"/>
      <c r="BK1105" s="4469"/>
      <c r="BL1105" s="4469"/>
      <c r="BM1105" s="4469"/>
      <c r="BN1105" s="4469"/>
      <c r="BO1105" s="4469"/>
      <c r="BP1105" s="4469"/>
      <c r="BQ1105" s="4469"/>
      <c r="BR1105" s="4469"/>
      <c r="BS1105" s="4469"/>
      <c r="BT1105" s="4470"/>
      <c r="BU1105" s="4860"/>
      <c r="BV1105" s="4861"/>
      <c r="BW1105" s="4861"/>
      <c r="BX1105" s="4333"/>
      <c r="BY1105" s="4333"/>
      <c r="BZ1105" s="4333"/>
      <c r="CA1105" s="4838"/>
      <c r="CC1105" s="4837"/>
      <c r="CD1105" s="4838"/>
    </row>
    <row r="1106" s="4325" customFormat="1" ht="50" customHeight="1" spans="1:82">
      <c r="A1106" s="4852"/>
      <c r="B1106" s="4853"/>
      <c r="C1106" s="4330"/>
      <c r="D1106" s="4854"/>
      <c r="E1106" s="4330"/>
      <c r="F1106" s="4854"/>
      <c r="G1106" s="4330"/>
      <c r="H1106" s="4330"/>
      <c r="I1106" s="4850"/>
      <c r="J1106" s="4850"/>
      <c r="K1106" s="4850"/>
      <c r="L1106" s="4850"/>
      <c r="M1106" s="4855"/>
      <c r="N1106" s="4855"/>
      <c r="O1106" s="4856"/>
      <c r="P1106" s="4857"/>
      <c r="Q1106" s="4857"/>
      <c r="R1106" s="4858"/>
      <c r="S1106" s="4858"/>
      <c r="T1106" s="4858"/>
      <c r="U1106" s="4851"/>
      <c r="V1106" s="4840"/>
      <c r="W1106" s="4840"/>
      <c r="X1106" s="4840"/>
      <c r="Y1106" s="4840"/>
      <c r="Z1106" s="4859"/>
      <c r="AA1106" s="4023"/>
      <c r="AB1106" s="4850"/>
      <c r="AC1106" s="4850"/>
      <c r="AD1106" s="4850"/>
      <c r="AE1106" s="4851"/>
      <c r="AF1106" s="4330"/>
      <c r="AG1106" s="4851"/>
      <c r="AH1106" s="4330"/>
      <c r="AI1106" s="4850"/>
      <c r="AJ1106" s="4850"/>
      <c r="AK1106" s="4330"/>
      <c r="AL1106" s="4330"/>
      <c r="AM1106" s="4330"/>
      <c r="AN1106" s="4850"/>
      <c r="AO1106" s="4850"/>
      <c r="AP1106" s="4850"/>
      <c r="AQ1106" s="4469"/>
      <c r="AR1106" s="985"/>
      <c r="AS1106" s="4469"/>
      <c r="AT1106" s="985"/>
      <c r="AU1106" s="4469"/>
      <c r="AV1106" s="4469"/>
      <c r="AW1106" s="4469"/>
      <c r="AX1106" s="4469"/>
      <c r="AY1106" s="4469"/>
      <c r="AZ1106" s="4469"/>
      <c r="BA1106" s="4469"/>
      <c r="BB1106" s="4469"/>
      <c r="BC1106" s="4469"/>
      <c r="BD1106" s="4469"/>
      <c r="BE1106" s="4469"/>
      <c r="BF1106" s="4469"/>
      <c r="BG1106" s="4469"/>
      <c r="BH1106" s="4469"/>
      <c r="BI1106" s="4469"/>
      <c r="BJ1106" s="4469"/>
      <c r="BK1106" s="4469"/>
      <c r="BL1106" s="4469"/>
      <c r="BM1106" s="4469"/>
      <c r="BN1106" s="4469"/>
      <c r="BO1106" s="4469"/>
      <c r="BP1106" s="4469"/>
      <c r="BQ1106" s="4469"/>
      <c r="BR1106" s="4469"/>
      <c r="BS1106" s="4469"/>
      <c r="BT1106" s="4470"/>
      <c r="BU1106" s="4860"/>
      <c r="BV1106" s="4861"/>
      <c r="BW1106" s="4861"/>
      <c r="BX1106" s="4333"/>
      <c r="BY1106" s="4333"/>
      <c r="BZ1106" s="4333"/>
      <c r="CA1106" s="4838"/>
      <c r="CC1106" s="4837"/>
      <c r="CD1106" s="4838"/>
    </row>
    <row r="1107" s="4325" customFormat="1" ht="50" customHeight="1" spans="1:82">
      <c r="A1107" s="4852"/>
      <c r="B1107" s="4853"/>
      <c r="C1107" s="4330"/>
      <c r="D1107" s="4854"/>
      <c r="E1107" s="4330"/>
      <c r="F1107" s="4854"/>
      <c r="G1107" s="4330"/>
      <c r="H1107" s="4330"/>
      <c r="I1107" s="4850"/>
      <c r="J1107" s="4850"/>
      <c r="K1107" s="4850"/>
      <c r="L1107" s="4850"/>
      <c r="M1107" s="4855"/>
      <c r="N1107" s="4855"/>
      <c r="O1107" s="4856"/>
      <c r="P1107" s="4857"/>
      <c r="Q1107" s="4857"/>
      <c r="R1107" s="4858"/>
      <c r="S1107" s="4858"/>
      <c r="T1107" s="4858"/>
      <c r="U1107" s="4851"/>
      <c r="V1107" s="4840"/>
      <c r="W1107" s="4840"/>
      <c r="X1107" s="4840"/>
      <c r="Y1107" s="4840"/>
      <c r="Z1107" s="4859"/>
      <c r="AA1107" s="4023"/>
      <c r="AB1107" s="4850"/>
      <c r="AC1107" s="4850"/>
      <c r="AD1107" s="4850"/>
      <c r="AE1107" s="4851"/>
      <c r="AF1107" s="4330"/>
      <c r="AG1107" s="4851"/>
      <c r="AH1107" s="4330"/>
      <c r="AI1107" s="4850"/>
      <c r="AJ1107" s="4850"/>
      <c r="AK1107" s="4330"/>
      <c r="AL1107" s="4330"/>
      <c r="AM1107" s="4330"/>
      <c r="AN1107" s="4850"/>
      <c r="AO1107" s="4850"/>
      <c r="AP1107" s="4850"/>
      <c r="AQ1107" s="4469"/>
      <c r="AR1107" s="985"/>
      <c r="AS1107" s="4469"/>
      <c r="AT1107" s="985"/>
      <c r="AU1107" s="4469"/>
      <c r="AV1107" s="4469"/>
      <c r="AW1107" s="4469"/>
      <c r="AX1107" s="4469"/>
      <c r="AY1107" s="4469"/>
      <c r="AZ1107" s="4469"/>
      <c r="BA1107" s="4469"/>
      <c r="BB1107" s="4469"/>
      <c r="BC1107" s="4469"/>
      <c r="BD1107" s="4469"/>
      <c r="BE1107" s="4469"/>
      <c r="BF1107" s="4469"/>
      <c r="BG1107" s="4469"/>
      <c r="BH1107" s="4469"/>
      <c r="BI1107" s="4469"/>
      <c r="BJ1107" s="4469"/>
      <c r="BK1107" s="4469"/>
      <c r="BL1107" s="4469"/>
      <c r="BM1107" s="4469"/>
      <c r="BN1107" s="4469"/>
      <c r="BO1107" s="4469"/>
      <c r="BP1107" s="4469"/>
      <c r="BQ1107" s="4469"/>
      <c r="BR1107" s="4469"/>
      <c r="BS1107" s="4469"/>
      <c r="BT1107" s="4470"/>
      <c r="BU1107" s="4860"/>
      <c r="BV1107" s="4861"/>
      <c r="BW1107" s="4861"/>
      <c r="BX1107" s="4333"/>
      <c r="BY1107" s="4333"/>
      <c r="BZ1107" s="4333"/>
      <c r="CA1107" s="4838"/>
      <c r="CC1107" s="4837"/>
      <c r="CD1107" s="4838"/>
    </row>
    <row r="1108" s="4325" customFormat="1" ht="50" customHeight="1" spans="1:82">
      <c r="A1108" s="4852"/>
      <c r="B1108" s="4853"/>
      <c r="C1108" s="4330"/>
      <c r="D1108" s="4854"/>
      <c r="E1108" s="4330"/>
      <c r="F1108" s="4854"/>
      <c r="G1108" s="4330"/>
      <c r="H1108" s="4330"/>
      <c r="I1108" s="4850"/>
      <c r="J1108" s="4850"/>
      <c r="K1108" s="4850"/>
      <c r="L1108" s="4850"/>
      <c r="M1108" s="4855"/>
      <c r="N1108" s="4855"/>
      <c r="O1108" s="4856"/>
      <c r="P1108" s="4857"/>
      <c r="Q1108" s="4857"/>
      <c r="R1108" s="4858"/>
      <c r="S1108" s="4858"/>
      <c r="T1108" s="4858"/>
      <c r="U1108" s="4851"/>
      <c r="V1108" s="4840"/>
      <c r="W1108" s="4840"/>
      <c r="X1108" s="4840"/>
      <c r="Y1108" s="4840"/>
      <c r="Z1108" s="4859"/>
      <c r="AA1108" s="4023"/>
      <c r="AB1108" s="4850"/>
      <c r="AC1108" s="4850"/>
      <c r="AD1108" s="4850"/>
      <c r="AE1108" s="4851"/>
      <c r="AF1108" s="4330"/>
      <c r="AG1108" s="4851"/>
      <c r="AH1108" s="4330"/>
      <c r="AI1108" s="4850"/>
      <c r="AJ1108" s="4850"/>
      <c r="AK1108" s="4330"/>
      <c r="AL1108" s="4330"/>
      <c r="AM1108" s="4330"/>
      <c r="AN1108" s="4850"/>
      <c r="AO1108" s="4850"/>
      <c r="AP1108" s="4850"/>
      <c r="AQ1108" s="4469"/>
      <c r="AR1108" s="985"/>
      <c r="AS1108" s="4469"/>
      <c r="AT1108" s="985"/>
      <c r="AU1108" s="4469"/>
      <c r="AV1108" s="4469"/>
      <c r="AW1108" s="4469"/>
      <c r="AX1108" s="4469"/>
      <c r="AY1108" s="4469"/>
      <c r="AZ1108" s="4469"/>
      <c r="BA1108" s="4469"/>
      <c r="BB1108" s="4469"/>
      <c r="BC1108" s="4469"/>
      <c r="BD1108" s="4469"/>
      <c r="BE1108" s="4469"/>
      <c r="BF1108" s="4469"/>
      <c r="BG1108" s="4469"/>
      <c r="BH1108" s="4469"/>
      <c r="BI1108" s="4469"/>
      <c r="BJ1108" s="4469"/>
      <c r="BK1108" s="4469"/>
      <c r="BL1108" s="4469"/>
      <c r="BM1108" s="4469"/>
      <c r="BN1108" s="4469"/>
      <c r="BO1108" s="4469"/>
      <c r="BP1108" s="4469"/>
      <c r="BQ1108" s="4469"/>
      <c r="BR1108" s="4469"/>
      <c r="BS1108" s="4469"/>
      <c r="BT1108" s="4470"/>
      <c r="BU1108" s="4860"/>
      <c r="BV1108" s="4861"/>
      <c r="BW1108" s="4861"/>
      <c r="BX1108" s="4333"/>
      <c r="BY1108" s="4333"/>
      <c r="BZ1108" s="4333"/>
      <c r="CA1108" s="4838"/>
      <c r="CC1108" s="4837"/>
      <c r="CD1108" s="4838"/>
    </row>
    <row r="1109" s="4325" customFormat="1" ht="50" customHeight="1" spans="1:82">
      <c r="A1109" s="4852"/>
      <c r="B1109" s="4853"/>
      <c r="C1109" s="4330"/>
      <c r="D1109" s="4854"/>
      <c r="E1109" s="4330"/>
      <c r="F1109" s="4854"/>
      <c r="G1109" s="4330"/>
      <c r="H1109" s="4330"/>
      <c r="I1109" s="4850"/>
      <c r="J1109" s="4850"/>
      <c r="K1109" s="4850"/>
      <c r="L1109" s="4850"/>
      <c r="M1109" s="4855"/>
      <c r="N1109" s="4855"/>
      <c r="O1109" s="4856"/>
      <c r="P1109" s="4857"/>
      <c r="Q1109" s="4857"/>
      <c r="R1109" s="4858"/>
      <c r="S1109" s="4858"/>
      <c r="T1109" s="4858"/>
      <c r="U1109" s="4851"/>
      <c r="V1109" s="4840"/>
      <c r="W1109" s="4840"/>
      <c r="X1109" s="4840"/>
      <c r="Y1109" s="4840"/>
      <c r="Z1109" s="4859"/>
      <c r="AA1109" s="4023"/>
      <c r="AB1109" s="4850"/>
      <c r="AC1109" s="4850"/>
      <c r="AD1109" s="4850"/>
      <c r="AE1109" s="4851"/>
      <c r="AF1109" s="4330"/>
      <c r="AG1109" s="4851"/>
      <c r="AH1109" s="4330"/>
      <c r="AI1109" s="4850"/>
      <c r="AJ1109" s="4850"/>
      <c r="AK1109" s="4330"/>
      <c r="AL1109" s="4330"/>
      <c r="AM1109" s="4330"/>
      <c r="AN1109" s="4850"/>
      <c r="AO1109" s="4850"/>
      <c r="AP1109" s="4850"/>
      <c r="AQ1109" s="4469"/>
      <c r="AR1109" s="985"/>
      <c r="AS1109" s="4469"/>
      <c r="AT1109" s="985"/>
      <c r="AU1109" s="4469"/>
      <c r="AV1109" s="4469"/>
      <c r="AW1109" s="4469"/>
      <c r="AX1109" s="4469"/>
      <c r="AY1109" s="4469"/>
      <c r="AZ1109" s="4469"/>
      <c r="BA1109" s="4469"/>
      <c r="BB1109" s="4469"/>
      <c r="BC1109" s="4469"/>
      <c r="BD1109" s="4469"/>
      <c r="BE1109" s="4469"/>
      <c r="BF1109" s="4469"/>
      <c r="BG1109" s="4469"/>
      <c r="BH1109" s="4469"/>
      <c r="BI1109" s="4469"/>
      <c r="BJ1109" s="4469"/>
      <c r="BK1109" s="4469"/>
      <c r="BL1109" s="4469"/>
      <c r="BM1109" s="4469"/>
      <c r="BN1109" s="4469"/>
      <c r="BO1109" s="4469"/>
      <c r="BP1109" s="4469"/>
      <c r="BQ1109" s="4469"/>
      <c r="BR1109" s="4469"/>
      <c r="BS1109" s="4469"/>
      <c r="BT1109" s="4470"/>
      <c r="BU1109" s="4860"/>
      <c r="BV1109" s="4861"/>
      <c r="BW1109" s="4861"/>
      <c r="BX1109" s="4333"/>
      <c r="BY1109" s="4333"/>
      <c r="BZ1109" s="4333"/>
      <c r="CA1109" s="4838"/>
      <c r="CC1109" s="4837"/>
      <c r="CD1109" s="4838"/>
    </row>
    <row r="1110" s="4325" customFormat="1" ht="50" customHeight="1" spans="1:82">
      <c r="A1110" s="4852"/>
      <c r="B1110" s="4853"/>
      <c r="C1110" s="4330"/>
      <c r="D1110" s="4854"/>
      <c r="E1110" s="4330"/>
      <c r="F1110" s="4854"/>
      <c r="G1110" s="4330"/>
      <c r="H1110" s="4330"/>
      <c r="I1110" s="4850"/>
      <c r="J1110" s="4850"/>
      <c r="K1110" s="4850"/>
      <c r="L1110" s="4850"/>
      <c r="M1110" s="4855"/>
      <c r="N1110" s="4855"/>
      <c r="O1110" s="4856"/>
      <c r="P1110" s="4857"/>
      <c r="Q1110" s="4857"/>
      <c r="R1110" s="4858"/>
      <c r="S1110" s="4858"/>
      <c r="T1110" s="4858"/>
      <c r="U1110" s="4851"/>
      <c r="V1110" s="4840"/>
      <c r="W1110" s="4840"/>
      <c r="X1110" s="4840"/>
      <c r="Y1110" s="4840"/>
      <c r="Z1110" s="4859"/>
      <c r="AA1110" s="4023"/>
      <c r="AB1110" s="4850"/>
      <c r="AC1110" s="4850"/>
      <c r="AD1110" s="4850"/>
      <c r="AE1110" s="4851"/>
      <c r="AF1110" s="4330"/>
      <c r="AG1110" s="4851"/>
      <c r="AH1110" s="4330"/>
      <c r="AI1110" s="4850"/>
      <c r="AJ1110" s="4850"/>
      <c r="AK1110" s="4330"/>
      <c r="AL1110" s="4330"/>
      <c r="AM1110" s="4330"/>
      <c r="AN1110" s="4850"/>
      <c r="AO1110" s="4850"/>
      <c r="AP1110" s="4850"/>
      <c r="AQ1110" s="4469"/>
      <c r="AR1110" s="985"/>
      <c r="AS1110" s="4469"/>
      <c r="AT1110" s="985"/>
      <c r="AU1110" s="4469"/>
      <c r="AV1110" s="4469"/>
      <c r="AW1110" s="4469"/>
      <c r="AX1110" s="4469"/>
      <c r="AY1110" s="4469"/>
      <c r="AZ1110" s="4469"/>
      <c r="BA1110" s="4469"/>
      <c r="BB1110" s="4469"/>
      <c r="BC1110" s="4469"/>
      <c r="BD1110" s="4469"/>
      <c r="BE1110" s="4469"/>
      <c r="BF1110" s="4469"/>
      <c r="BG1110" s="4469"/>
      <c r="BH1110" s="4469"/>
      <c r="BI1110" s="4469"/>
      <c r="BJ1110" s="4469"/>
      <c r="BK1110" s="4469"/>
      <c r="BL1110" s="4469"/>
      <c r="BM1110" s="4469"/>
      <c r="BN1110" s="4469"/>
      <c r="BO1110" s="4469"/>
      <c r="BP1110" s="4469"/>
      <c r="BQ1110" s="4469"/>
      <c r="BR1110" s="4469"/>
      <c r="BS1110" s="4469"/>
      <c r="BT1110" s="4470"/>
      <c r="BU1110" s="4860"/>
      <c r="BV1110" s="4861"/>
      <c r="BW1110" s="4861"/>
      <c r="BX1110" s="4333"/>
      <c r="BY1110" s="4333"/>
      <c r="BZ1110" s="4333"/>
      <c r="CA1110" s="4838"/>
      <c r="CC1110" s="4837"/>
      <c r="CD1110" s="4838"/>
    </row>
    <row r="1111" s="4325" customFormat="1" ht="50" customHeight="1" spans="1:82">
      <c r="A1111" s="4852"/>
      <c r="B1111" s="4853"/>
      <c r="C1111" s="4330"/>
      <c r="D1111" s="4854"/>
      <c r="E1111" s="4330"/>
      <c r="F1111" s="4854"/>
      <c r="G1111" s="4330"/>
      <c r="H1111" s="4330"/>
      <c r="I1111" s="4850"/>
      <c r="J1111" s="4850"/>
      <c r="K1111" s="4850"/>
      <c r="L1111" s="4850"/>
      <c r="M1111" s="4855"/>
      <c r="N1111" s="4855"/>
      <c r="O1111" s="4856"/>
      <c r="P1111" s="4857"/>
      <c r="Q1111" s="4857"/>
      <c r="R1111" s="4858"/>
      <c r="S1111" s="4858"/>
      <c r="T1111" s="4858"/>
      <c r="U1111" s="4851"/>
      <c r="V1111" s="4840"/>
      <c r="W1111" s="4840"/>
      <c r="X1111" s="4840"/>
      <c r="Y1111" s="4840"/>
      <c r="Z1111" s="4859"/>
      <c r="AA1111" s="4023"/>
      <c r="AB1111" s="4850"/>
      <c r="AC1111" s="4850"/>
      <c r="AD1111" s="4850"/>
      <c r="AE1111" s="4851"/>
      <c r="AF1111" s="4330"/>
      <c r="AG1111" s="4851"/>
      <c r="AH1111" s="4330"/>
      <c r="AI1111" s="4850"/>
      <c r="AJ1111" s="4850"/>
      <c r="AK1111" s="4330"/>
      <c r="AL1111" s="4330"/>
      <c r="AM1111" s="4330"/>
      <c r="AN1111" s="4850"/>
      <c r="AO1111" s="4850"/>
      <c r="AP1111" s="4850"/>
      <c r="AQ1111" s="4469"/>
      <c r="AR1111" s="985"/>
      <c r="AS1111" s="4469"/>
      <c r="AT1111" s="985"/>
      <c r="AU1111" s="4469"/>
      <c r="AV1111" s="4469"/>
      <c r="AW1111" s="4469"/>
      <c r="AX1111" s="4469"/>
      <c r="AY1111" s="4469"/>
      <c r="AZ1111" s="4469"/>
      <c r="BA1111" s="4469"/>
      <c r="BB1111" s="4469"/>
      <c r="BC1111" s="4469"/>
      <c r="BD1111" s="4469"/>
      <c r="BE1111" s="4469"/>
      <c r="BF1111" s="4469"/>
      <c r="BG1111" s="4469"/>
      <c r="BH1111" s="4469"/>
      <c r="BI1111" s="4469"/>
      <c r="BJ1111" s="4469"/>
      <c r="BK1111" s="4469"/>
      <c r="BL1111" s="4469"/>
      <c r="BM1111" s="4469"/>
      <c r="BN1111" s="4469"/>
      <c r="BO1111" s="4469"/>
      <c r="BP1111" s="4469"/>
      <c r="BQ1111" s="4469"/>
      <c r="BR1111" s="4469"/>
      <c r="BS1111" s="4469"/>
      <c r="BT1111" s="4470"/>
      <c r="BU1111" s="4860"/>
      <c r="BV1111" s="4861"/>
      <c r="BW1111" s="4861"/>
      <c r="BX1111" s="4333"/>
      <c r="BY1111" s="4333"/>
      <c r="BZ1111" s="4333"/>
      <c r="CA1111" s="4838"/>
      <c r="CC1111" s="4837"/>
      <c r="CD1111" s="4838"/>
    </row>
    <row r="1112" s="4325" customFormat="1" ht="50" customHeight="1" spans="1:82">
      <c r="A1112" s="4852"/>
      <c r="B1112" s="4853"/>
      <c r="C1112" s="4330"/>
      <c r="D1112" s="4854"/>
      <c r="E1112" s="4330"/>
      <c r="F1112" s="4854"/>
      <c r="G1112" s="4330"/>
      <c r="H1112" s="4330"/>
      <c r="I1112" s="4850"/>
      <c r="J1112" s="4850"/>
      <c r="K1112" s="4850"/>
      <c r="L1112" s="4850"/>
      <c r="M1112" s="4855"/>
      <c r="N1112" s="4855"/>
      <c r="O1112" s="4856"/>
      <c r="P1112" s="4857"/>
      <c r="Q1112" s="4857"/>
      <c r="R1112" s="4858"/>
      <c r="S1112" s="4858"/>
      <c r="T1112" s="4858"/>
      <c r="U1112" s="4851"/>
      <c r="V1112" s="4840"/>
      <c r="W1112" s="4840"/>
      <c r="X1112" s="4840"/>
      <c r="Y1112" s="4840"/>
      <c r="Z1112" s="4859"/>
      <c r="AA1112" s="4023"/>
      <c r="AB1112" s="4850"/>
      <c r="AC1112" s="4850"/>
      <c r="AD1112" s="4850"/>
      <c r="AE1112" s="4851"/>
      <c r="AF1112" s="4330"/>
      <c r="AG1112" s="4851"/>
      <c r="AH1112" s="4330"/>
      <c r="AI1112" s="4850"/>
      <c r="AJ1112" s="4850"/>
      <c r="AK1112" s="4330"/>
      <c r="AL1112" s="4330"/>
      <c r="AM1112" s="4330"/>
      <c r="AN1112" s="4850"/>
      <c r="AO1112" s="4850"/>
      <c r="AP1112" s="4850"/>
      <c r="AQ1112" s="4469"/>
      <c r="AR1112" s="985"/>
      <c r="AS1112" s="4469"/>
      <c r="AT1112" s="985"/>
      <c r="AU1112" s="4469"/>
      <c r="AV1112" s="4469"/>
      <c r="AW1112" s="4469"/>
      <c r="AX1112" s="4469"/>
      <c r="AY1112" s="4469"/>
      <c r="AZ1112" s="4469"/>
      <c r="BA1112" s="4469"/>
      <c r="BB1112" s="4469"/>
      <c r="BC1112" s="4469"/>
      <c r="BD1112" s="4469"/>
      <c r="BE1112" s="4469"/>
      <c r="BF1112" s="4469"/>
      <c r="BG1112" s="4469"/>
      <c r="BH1112" s="4469"/>
      <c r="BI1112" s="4469"/>
      <c r="BJ1112" s="4469"/>
      <c r="BK1112" s="4469"/>
      <c r="BL1112" s="4469"/>
      <c r="BM1112" s="4469"/>
      <c r="BN1112" s="4469"/>
      <c r="BO1112" s="4469"/>
      <c r="BP1112" s="4469"/>
      <c r="BQ1112" s="4469"/>
      <c r="BR1112" s="4469"/>
      <c r="BS1112" s="4469"/>
      <c r="BT1112" s="4470"/>
      <c r="BU1112" s="4860"/>
      <c r="BV1112" s="4861"/>
      <c r="BW1112" s="4861"/>
      <c r="BX1112" s="4333"/>
      <c r="BY1112" s="4333"/>
      <c r="BZ1112" s="4333"/>
      <c r="CA1112" s="4838"/>
      <c r="CC1112" s="4837"/>
      <c r="CD1112" s="4838"/>
    </row>
    <row r="1113" s="4325" customFormat="1" ht="50" customHeight="1" spans="1:82">
      <c r="A1113" s="4852"/>
      <c r="B1113" s="4853"/>
      <c r="C1113" s="4330"/>
      <c r="D1113" s="4854"/>
      <c r="E1113" s="4330"/>
      <c r="F1113" s="4854"/>
      <c r="G1113" s="4330"/>
      <c r="H1113" s="4330"/>
      <c r="I1113" s="4850"/>
      <c r="J1113" s="4850"/>
      <c r="K1113" s="4850"/>
      <c r="L1113" s="4850"/>
      <c r="M1113" s="4855"/>
      <c r="N1113" s="4855"/>
      <c r="O1113" s="4856"/>
      <c r="P1113" s="4857"/>
      <c r="Q1113" s="4857"/>
      <c r="R1113" s="4858"/>
      <c r="S1113" s="4858"/>
      <c r="T1113" s="4858"/>
      <c r="U1113" s="4851"/>
      <c r="V1113" s="4840"/>
      <c r="W1113" s="4840"/>
      <c r="X1113" s="4840"/>
      <c r="Y1113" s="4840"/>
      <c r="Z1113" s="4859"/>
      <c r="AA1113" s="4023"/>
      <c r="AB1113" s="4850"/>
      <c r="AC1113" s="4850"/>
      <c r="AD1113" s="4850"/>
      <c r="AE1113" s="4851"/>
      <c r="AF1113" s="4330"/>
      <c r="AG1113" s="4851"/>
      <c r="AH1113" s="4330"/>
      <c r="AI1113" s="4850"/>
      <c r="AJ1113" s="4850"/>
      <c r="AK1113" s="4330"/>
      <c r="AL1113" s="4330"/>
      <c r="AM1113" s="4330"/>
      <c r="AN1113" s="4850"/>
      <c r="AO1113" s="4850"/>
      <c r="AP1113" s="4850"/>
      <c r="AQ1113" s="4469"/>
      <c r="AR1113" s="985"/>
      <c r="AS1113" s="4469"/>
      <c r="AT1113" s="985"/>
      <c r="AU1113" s="4469"/>
      <c r="AV1113" s="4469"/>
      <c r="AW1113" s="4469"/>
      <c r="AX1113" s="4469"/>
      <c r="AY1113" s="4469"/>
      <c r="AZ1113" s="4469"/>
      <c r="BA1113" s="4469"/>
      <c r="BB1113" s="4469"/>
      <c r="BC1113" s="4469"/>
      <c r="BD1113" s="4469"/>
      <c r="BE1113" s="4469"/>
      <c r="BF1113" s="4469"/>
      <c r="BG1113" s="4469"/>
      <c r="BH1113" s="4469"/>
      <c r="BI1113" s="4469"/>
      <c r="BJ1113" s="4469"/>
      <c r="BK1113" s="4469"/>
      <c r="BL1113" s="4469"/>
      <c r="BM1113" s="4469"/>
      <c r="BN1113" s="4469"/>
      <c r="BO1113" s="4469"/>
      <c r="BP1113" s="4469"/>
      <c r="BQ1113" s="4469"/>
      <c r="BR1113" s="4469"/>
      <c r="BS1113" s="4469"/>
      <c r="BT1113" s="4470"/>
      <c r="BU1113" s="4860"/>
      <c r="BV1113" s="4861"/>
      <c r="BW1113" s="4861"/>
      <c r="BX1113" s="4333"/>
      <c r="BY1113" s="4333"/>
      <c r="BZ1113" s="4333"/>
      <c r="CA1113" s="4838"/>
      <c r="CC1113" s="4837"/>
      <c r="CD1113" s="4838"/>
    </row>
    <row r="1114" s="4325" customFormat="1" ht="50" customHeight="1" spans="1:82">
      <c r="A1114" s="4852"/>
      <c r="B1114" s="4853"/>
      <c r="C1114" s="4330"/>
      <c r="D1114" s="4854"/>
      <c r="E1114" s="4330"/>
      <c r="F1114" s="4854"/>
      <c r="G1114" s="4330"/>
      <c r="H1114" s="4330"/>
      <c r="I1114" s="4850"/>
      <c r="J1114" s="4850"/>
      <c r="K1114" s="4850"/>
      <c r="L1114" s="4850"/>
      <c r="M1114" s="4855"/>
      <c r="N1114" s="4855"/>
      <c r="O1114" s="4856"/>
      <c r="P1114" s="4857"/>
      <c r="Q1114" s="4857"/>
      <c r="R1114" s="4858"/>
      <c r="S1114" s="4858"/>
      <c r="T1114" s="4858"/>
      <c r="U1114" s="4851"/>
      <c r="V1114" s="4840"/>
      <c r="W1114" s="4840"/>
      <c r="X1114" s="4840"/>
      <c r="Y1114" s="4840"/>
      <c r="Z1114" s="4859"/>
      <c r="AA1114" s="4023"/>
      <c r="AB1114" s="4850"/>
      <c r="AC1114" s="4850"/>
      <c r="AD1114" s="4850"/>
      <c r="AE1114" s="4851"/>
      <c r="AF1114" s="4330"/>
      <c r="AG1114" s="4851"/>
      <c r="AH1114" s="4330"/>
      <c r="AI1114" s="4850"/>
      <c r="AJ1114" s="4850"/>
      <c r="AK1114" s="4330"/>
      <c r="AL1114" s="4330"/>
      <c r="AM1114" s="4330"/>
      <c r="AN1114" s="4850"/>
      <c r="AO1114" s="4850"/>
      <c r="AP1114" s="4850"/>
      <c r="AQ1114" s="4469"/>
      <c r="AR1114" s="985"/>
      <c r="AS1114" s="4469"/>
      <c r="AT1114" s="985"/>
      <c r="AU1114" s="4469"/>
      <c r="AV1114" s="4469"/>
      <c r="AW1114" s="4469"/>
      <c r="AX1114" s="4469"/>
      <c r="AY1114" s="4469"/>
      <c r="AZ1114" s="4469"/>
      <c r="BA1114" s="4469"/>
      <c r="BB1114" s="4469"/>
      <c r="BC1114" s="4469"/>
      <c r="BD1114" s="4469"/>
      <c r="BE1114" s="4469"/>
      <c r="BF1114" s="4469"/>
      <c r="BG1114" s="4469"/>
      <c r="BH1114" s="4469"/>
      <c r="BI1114" s="4469"/>
      <c r="BJ1114" s="4469"/>
      <c r="BK1114" s="4469"/>
      <c r="BL1114" s="4469"/>
      <c r="BM1114" s="4469"/>
      <c r="BN1114" s="4469"/>
      <c r="BO1114" s="4469"/>
      <c r="BP1114" s="4469"/>
      <c r="BQ1114" s="4469"/>
      <c r="BR1114" s="4469"/>
      <c r="BS1114" s="4469"/>
      <c r="BT1114" s="4470"/>
      <c r="BU1114" s="4860"/>
      <c r="BV1114" s="4861"/>
      <c r="BW1114" s="4861"/>
      <c r="BX1114" s="4333"/>
      <c r="BY1114" s="4333"/>
      <c r="BZ1114" s="4333"/>
      <c r="CA1114" s="4838"/>
      <c r="CC1114" s="4837"/>
      <c r="CD1114" s="4838"/>
    </row>
    <row r="1115" s="4325" customFormat="1" ht="50" customHeight="1" spans="1:82">
      <c r="A1115" s="4852"/>
      <c r="B1115" s="4853"/>
      <c r="C1115" s="4330"/>
      <c r="D1115" s="4854"/>
      <c r="E1115" s="4330"/>
      <c r="F1115" s="4854"/>
      <c r="G1115" s="4330"/>
      <c r="H1115" s="4330"/>
      <c r="I1115" s="4850"/>
      <c r="J1115" s="4850"/>
      <c r="K1115" s="4850"/>
      <c r="L1115" s="4850"/>
      <c r="M1115" s="4855"/>
      <c r="N1115" s="4855"/>
      <c r="O1115" s="4856"/>
      <c r="P1115" s="4857"/>
      <c r="Q1115" s="4857"/>
      <c r="R1115" s="4858"/>
      <c r="S1115" s="4858"/>
      <c r="T1115" s="4858"/>
      <c r="U1115" s="4851"/>
      <c r="V1115" s="4840"/>
      <c r="W1115" s="4840"/>
      <c r="X1115" s="4840"/>
      <c r="Y1115" s="4840"/>
      <c r="Z1115" s="4859"/>
      <c r="AA1115" s="4023"/>
      <c r="AB1115" s="4850"/>
      <c r="AC1115" s="4850"/>
      <c r="AD1115" s="4850"/>
      <c r="AE1115" s="4851"/>
      <c r="AF1115" s="4330"/>
      <c r="AG1115" s="4851"/>
      <c r="AH1115" s="4330"/>
      <c r="AI1115" s="4850"/>
      <c r="AJ1115" s="4850"/>
      <c r="AK1115" s="4330"/>
      <c r="AL1115" s="4330"/>
      <c r="AM1115" s="4330"/>
      <c r="AN1115" s="4850"/>
      <c r="AO1115" s="4850"/>
      <c r="AP1115" s="4850"/>
      <c r="AQ1115" s="4469"/>
      <c r="AR1115" s="985"/>
      <c r="AS1115" s="4469"/>
      <c r="AT1115" s="985"/>
      <c r="AU1115" s="4469"/>
      <c r="AV1115" s="4469"/>
      <c r="AW1115" s="4469"/>
      <c r="AX1115" s="4469"/>
      <c r="AY1115" s="4469"/>
      <c r="AZ1115" s="4469"/>
      <c r="BA1115" s="4469"/>
      <c r="BB1115" s="4469"/>
      <c r="BC1115" s="4469"/>
      <c r="BD1115" s="4469"/>
      <c r="BE1115" s="4469"/>
      <c r="BF1115" s="4469"/>
      <c r="BG1115" s="4469"/>
      <c r="BH1115" s="4469"/>
      <c r="BI1115" s="4469"/>
      <c r="BJ1115" s="4469"/>
      <c r="BK1115" s="4469"/>
      <c r="BL1115" s="4469"/>
      <c r="BM1115" s="4469"/>
      <c r="BN1115" s="4469"/>
      <c r="BO1115" s="4469"/>
      <c r="BP1115" s="4469"/>
      <c r="BQ1115" s="4469"/>
      <c r="BR1115" s="4469"/>
      <c r="BS1115" s="4469"/>
      <c r="BT1115" s="4470"/>
      <c r="BU1115" s="4860"/>
      <c r="BV1115" s="4861"/>
      <c r="BW1115" s="4861"/>
      <c r="BX1115" s="4333"/>
      <c r="BY1115" s="4333"/>
      <c r="BZ1115" s="4333"/>
      <c r="CA1115" s="4838"/>
      <c r="CC1115" s="4837"/>
      <c r="CD1115" s="4838"/>
    </row>
    <row r="1116" s="4325" customFormat="1" ht="50" customHeight="1" spans="1:82">
      <c r="A1116" s="4852"/>
      <c r="B1116" s="4853"/>
      <c r="C1116" s="4330"/>
      <c r="D1116" s="4854"/>
      <c r="E1116" s="4330"/>
      <c r="F1116" s="4854"/>
      <c r="G1116" s="4330"/>
      <c r="H1116" s="4330"/>
      <c r="I1116" s="4850"/>
      <c r="J1116" s="4850"/>
      <c r="K1116" s="4850"/>
      <c r="L1116" s="4850"/>
      <c r="M1116" s="4855"/>
      <c r="N1116" s="4855"/>
      <c r="O1116" s="4856"/>
      <c r="P1116" s="4857"/>
      <c r="Q1116" s="4857"/>
      <c r="R1116" s="4858"/>
      <c r="S1116" s="4858"/>
      <c r="T1116" s="4858"/>
      <c r="U1116" s="4851"/>
      <c r="V1116" s="4840"/>
      <c r="W1116" s="4840"/>
      <c r="X1116" s="4840"/>
      <c r="Y1116" s="4840"/>
      <c r="Z1116" s="4859"/>
      <c r="AA1116" s="4023"/>
      <c r="AB1116" s="4850"/>
      <c r="AC1116" s="4850"/>
      <c r="AD1116" s="4850"/>
      <c r="AE1116" s="4851"/>
      <c r="AF1116" s="4330"/>
      <c r="AG1116" s="4851"/>
      <c r="AH1116" s="4330"/>
      <c r="AI1116" s="4850"/>
      <c r="AJ1116" s="4850"/>
      <c r="AK1116" s="4330"/>
      <c r="AL1116" s="4330"/>
      <c r="AM1116" s="4330"/>
      <c r="AN1116" s="4850"/>
      <c r="AO1116" s="4850"/>
      <c r="AP1116" s="4850"/>
      <c r="AQ1116" s="4469"/>
      <c r="AR1116" s="985"/>
      <c r="AS1116" s="4469"/>
      <c r="AT1116" s="985"/>
      <c r="AU1116" s="4469"/>
      <c r="AV1116" s="4469"/>
      <c r="AW1116" s="4469"/>
      <c r="AX1116" s="4469"/>
      <c r="AY1116" s="4469"/>
      <c r="AZ1116" s="4469"/>
      <c r="BA1116" s="4469"/>
      <c r="BB1116" s="4469"/>
      <c r="BC1116" s="4469"/>
      <c r="BD1116" s="4469"/>
      <c r="BE1116" s="4469"/>
      <c r="BF1116" s="4469"/>
      <c r="BG1116" s="4469"/>
      <c r="BH1116" s="4469"/>
      <c r="BI1116" s="4469"/>
      <c r="BJ1116" s="4469"/>
      <c r="BK1116" s="4469"/>
      <c r="BL1116" s="4469"/>
      <c r="BM1116" s="4469"/>
      <c r="BN1116" s="4469"/>
      <c r="BO1116" s="4469"/>
      <c r="BP1116" s="4469"/>
      <c r="BQ1116" s="4469"/>
      <c r="BR1116" s="4469"/>
      <c r="BS1116" s="4469"/>
      <c r="BT1116" s="4470"/>
      <c r="BU1116" s="4860"/>
      <c r="BV1116" s="4861"/>
      <c r="BW1116" s="4861"/>
      <c r="BX1116" s="4333"/>
      <c r="BY1116" s="4333"/>
      <c r="BZ1116" s="4333"/>
      <c r="CA1116" s="4838"/>
      <c r="CC1116" s="4837"/>
      <c r="CD1116" s="4838"/>
    </row>
    <row r="1117" s="4325" customFormat="1" ht="50" customHeight="1" spans="1:82">
      <c r="A1117" s="4852"/>
      <c r="B1117" s="4853"/>
      <c r="C1117" s="4330"/>
      <c r="D1117" s="4854"/>
      <c r="E1117" s="4330"/>
      <c r="F1117" s="4854"/>
      <c r="G1117" s="4330"/>
      <c r="H1117" s="4330"/>
      <c r="I1117" s="4850"/>
      <c r="J1117" s="4850"/>
      <c r="K1117" s="4850"/>
      <c r="L1117" s="4850"/>
      <c r="M1117" s="4855"/>
      <c r="N1117" s="4855"/>
      <c r="O1117" s="4856"/>
      <c r="P1117" s="4857"/>
      <c r="Q1117" s="4857"/>
      <c r="R1117" s="4858"/>
      <c r="S1117" s="4858"/>
      <c r="T1117" s="4858"/>
      <c r="U1117" s="4851"/>
      <c r="V1117" s="4840"/>
      <c r="W1117" s="4840"/>
      <c r="X1117" s="4840"/>
      <c r="Y1117" s="4840"/>
      <c r="Z1117" s="4859"/>
      <c r="AA1117" s="4023"/>
      <c r="AB1117" s="4850"/>
      <c r="AC1117" s="4850"/>
      <c r="AD1117" s="4850"/>
      <c r="AE1117" s="4851"/>
      <c r="AF1117" s="4330"/>
      <c r="AG1117" s="4851"/>
      <c r="AH1117" s="4330"/>
      <c r="AI1117" s="4850"/>
      <c r="AJ1117" s="4850"/>
      <c r="AK1117" s="4330"/>
      <c r="AL1117" s="4330"/>
      <c r="AM1117" s="4330"/>
      <c r="AN1117" s="4850"/>
      <c r="AO1117" s="4850"/>
      <c r="AP1117" s="4850"/>
      <c r="AQ1117" s="4469"/>
      <c r="AR1117" s="985"/>
      <c r="AS1117" s="4469"/>
      <c r="AT1117" s="985"/>
      <c r="AU1117" s="4469"/>
      <c r="AV1117" s="4469"/>
      <c r="AW1117" s="4469"/>
      <c r="AX1117" s="4469"/>
      <c r="AY1117" s="4469"/>
      <c r="AZ1117" s="4469"/>
      <c r="BA1117" s="4469"/>
      <c r="BB1117" s="4469"/>
      <c r="BC1117" s="4469"/>
      <c r="BD1117" s="4469"/>
      <c r="BE1117" s="4469"/>
      <c r="BF1117" s="4469"/>
      <c r="BG1117" s="4469"/>
      <c r="BH1117" s="4469"/>
      <c r="BI1117" s="4469"/>
      <c r="BJ1117" s="4469"/>
      <c r="BK1117" s="4469"/>
      <c r="BL1117" s="4469"/>
      <c r="BM1117" s="4469"/>
      <c r="BN1117" s="4469"/>
      <c r="BO1117" s="4469"/>
      <c r="BP1117" s="4469"/>
      <c r="BQ1117" s="4469"/>
      <c r="BR1117" s="4469"/>
      <c r="BS1117" s="4469"/>
      <c r="BT1117" s="4470"/>
      <c r="BU1117" s="4860"/>
      <c r="BV1117" s="4861"/>
      <c r="BW1117" s="4861"/>
      <c r="BX1117" s="4333"/>
      <c r="BY1117" s="4333"/>
      <c r="BZ1117" s="4333"/>
      <c r="CA1117" s="4838"/>
      <c r="CC1117" s="4837"/>
      <c r="CD1117" s="4838"/>
    </row>
    <row r="1118" s="4325" customFormat="1" ht="50" customHeight="1" spans="1:82">
      <c r="A1118" s="4852"/>
      <c r="B1118" s="4853"/>
      <c r="C1118" s="4330"/>
      <c r="D1118" s="4854"/>
      <c r="E1118" s="4330"/>
      <c r="F1118" s="4854"/>
      <c r="G1118" s="4330"/>
      <c r="H1118" s="4330"/>
      <c r="I1118" s="4850"/>
      <c r="J1118" s="4850"/>
      <c r="K1118" s="4850"/>
      <c r="L1118" s="4850"/>
      <c r="M1118" s="4855"/>
      <c r="N1118" s="4855"/>
      <c r="O1118" s="4856"/>
      <c r="P1118" s="4857"/>
      <c r="Q1118" s="4857"/>
      <c r="R1118" s="4858"/>
      <c r="S1118" s="4858"/>
      <c r="T1118" s="4858"/>
      <c r="U1118" s="4851"/>
      <c r="V1118" s="4840"/>
      <c r="W1118" s="4840"/>
      <c r="X1118" s="4840"/>
      <c r="Y1118" s="4840"/>
      <c r="Z1118" s="4859"/>
      <c r="AA1118" s="4023"/>
      <c r="AB1118" s="4850"/>
      <c r="AC1118" s="4850"/>
      <c r="AD1118" s="4850"/>
      <c r="AE1118" s="4851"/>
      <c r="AF1118" s="4330"/>
      <c r="AG1118" s="4851"/>
      <c r="AH1118" s="4330"/>
      <c r="AI1118" s="4850"/>
      <c r="AJ1118" s="4850"/>
      <c r="AK1118" s="4330"/>
      <c r="AL1118" s="4330"/>
      <c r="AM1118" s="4330"/>
      <c r="AN1118" s="4850"/>
      <c r="AO1118" s="4850"/>
      <c r="AP1118" s="4850"/>
      <c r="AQ1118" s="4469"/>
      <c r="AR1118" s="985"/>
      <c r="AS1118" s="4469"/>
      <c r="AT1118" s="985"/>
      <c r="AU1118" s="4469"/>
      <c r="AV1118" s="4469"/>
      <c r="AW1118" s="4469"/>
      <c r="AX1118" s="4469"/>
      <c r="AY1118" s="4469"/>
      <c r="AZ1118" s="4469"/>
      <c r="BA1118" s="4469"/>
      <c r="BB1118" s="4469"/>
      <c r="BC1118" s="4469"/>
      <c r="BD1118" s="4469"/>
      <c r="BE1118" s="4469"/>
      <c r="BF1118" s="4469"/>
      <c r="BG1118" s="4469"/>
      <c r="BH1118" s="4469"/>
      <c r="BI1118" s="4469"/>
      <c r="BJ1118" s="4469"/>
      <c r="BK1118" s="4469"/>
      <c r="BL1118" s="4469"/>
      <c r="BM1118" s="4469"/>
      <c r="BN1118" s="4469"/>
      <c r="BO1118" s="4469"/>
      <c r="BP1118" s="4469"/>
      <c r="BQ1118" s="4469"/>
      <c r="BR1118" s="4469"/>
      <c r="BS1118" s="4469"/>
      <c r="BT1118" s="4470"/>
      <c r="BU1118" s="4860"/>
      <c r="BV1118" s="4861"/>
      <c r="BW1118" s="4861"/>
      <c r="BX1118" s="4333"/>
      <c r="BY1118" s="4333"/>
      <c r="BZ1118" s="4333"/>
      <c r="CA1118" s="4838"/>
      <c r="CC1118" s="4837"/>
      <c r="CD1118" s="4838"/>
    </row>
    <row r="1119" s="4325" customFormat="1" ht="50" customHeight="1" spans="1:82">
      <c r="A1119" s="4852"/>
      <c r="B1119" s="4853"/>
      <c r="C1119" s="4330"/>
      <c r="D1119" s="4854"/>
      <c r="E1119" s="4330"/>
      <c r="F1119" s="4854"/>
      <c r="G1119" s="4330"/>
      <c r="H1119" s="4330"/>
      <c r="I1119" s="4850"/>
      <c r="J1119" s="4850"/>
      <c r="K1119" s="4850"/>
      <c r="L1119" s="4850"/>
      <c r="M1119" s="4855"/>
      <c r="N1119" s="4855"/>
      <c r="O1119" s="4856"/>
      <c r="P1119" s="4857"/>
      <c r="Q1119" s="4857"/>
      <c r="R1119" s="4858"/>
      <c r="S1119" s="4858"/>
      <c r="T1119" s="4858"/>
      <c r="U1119" s="4851"/>
      <c r="V1119" s="4840"/>
      <c r="W1119" s="4840"/>
      <c r="X1119" s="4840"/>
      <c r="Y1119" s="4840"/>
      <c r="Z1119" s="4859"/>
      <c r="AA1119" s="4023"/>
      <c r="AB1119" s="4850"/>
      <c r="AC1119" s="4850"/>
      <c r="AD1119" s="4850"/>
      <c r="AE1119" s="4851"/>
      <c r="AF1119" s="4330"/>
      <c r="AG1119" s="4851"/>
      <c r="AH1119" s="4330"/>
      <c r="AI1119" s="4850"/>
      <c r="AJ1119" s="4850"/>
      <c r="AK1119" s="4330"/>
      <c r="AL1119" s="4330"/>
      <c r="AM1119" s="4330"/>
      <c r="AN1119" s="4850"/>
      <c r="AO1119" s="4850"/>
      <c r="AP1119" s="4850"/>
      <c r="AQ1119" s="4469"/>
      <c r="AR1119" s="985"/>
      <c r="AS1119" s="4469"/>
      <c r="AT1119" s="985"/>
      <c r="AU1119" s="4469"/>
      <c r="AV1119" s="4469"/>
      <c r="AW1119" s="4469"/>
      <c r="AX1119" s="4469"/>
      <c r="AY1119" s="4469"/>
      <c r="AZ1119" s="4469"/>
      <c r="BA1119" s="4469"/>
      <c r="BB1119" s="4469"/>
      <c r="BC1119" s="4469"/>
      <c r="BD1119" s="4469"/>
      <c r="BE1119" s="4469"/>
      <c r="BF1119" s="4469"/>
      <c r="BG1119" s="4469"/>
      <c r="BH1119" s="4469"/>
      <c r="BI1119" s="4469"/>
      <c r="BJ1119" s="4469"/>
      <c r="BK1119" s="4469"/>
      <c r="BL1119" s="4469"/>
      <c r="BM1119" s="4469"/>
      <c r="BN1119" s="4469"/>
      <c r="BO1119" s="4469"/>
      <c r="BP1119" s="4469"/>
      <c r="BQ1119" s="4469"/>
      <c r="BR1119" s="4469"/>
      <c r="BS1119" s="4469"/>
      <c r="BT1119" s="4470"/>
      <c r="BU1119" s="4860"/>
      <c r="BV1119" s="4861"/>
      <c r="BW1119" s="4861"/>
      <c r="BX1119" s="4333"/>
      <c r="BY1119" s="4333"/>
      <c r="BZ1119" s="4333"/>
      <c r="CA1119" s="4838"/>
      <c r="CC1119" s="4837"/>
      <c r="CD1119" s="4838"/>
    </row>
    <row r="1120" s="4325" customFormat="1" ht="50" customHeight="1" spans="1:82">
      <c r="A1120" s="4852"/>
      <c r="B1120" s="4853"/>
      <c r="C1120" s="4330"/>
      <c r="D1120" s="4854"/>
      <c r="E1120" s="4330"/>
      <c r="F1120" s="4854"/>
      <c r="G1120" s="4330"/>
      <c r="H1120" s="4330"/>
      <c r="I1120" s="4850"/>
      <c r="J1120" s="4850"/>
      <c r="K1120" s="4850"/>
      <c r="L1120" s="4850"/>
      <c r="M1120" s="4855"/>
      <c r="N1120" s="4855"/>
      <c r="O1120" s="4856"/>
      <c r="P1120" s="4857"/>
      <c r="Q1120" s="4857"/>
      <c r="R1120" s="4858"/>
      <c r="S1120" s="4858"/>
      <c r="T1120" s="4858"/>
      <c r="U1120" s="4851"/>
      <c r="V1120" s="4840"/>
      <c r="W1120" s="4840"/>
      <c r="X1120" s="4840"/>
      <c r="Y1120" s="4840"/>
      <c r="Z1120" s="4859"/>
      <c r="AA1120" s="4023"/>
      <c r="AB1120" s="4850"/>
      <c r="AC1120" s="4850"/>
      <c r="AD1120" s="4850"/>
      <c r="AE1120" s="4851"/>
      <c r="AF1120" s="4330"/>
      <c r="AG1120" s="4851"/>
      <c r="AH1120" s="4330"/>
      <c r="AI1120" s="4850"/>
      <c r="AJ1120" s="4850"/>
      <c r="AK1120" s="4330"/>
      <c r="AL1120" s="4330"/>
      <c r="AM1120" s="4330"/>
      <c r="AN1120" s="4850"/>
      <c r="AO1120" s="4850"/>
      <c r="AP1120" s="4850"/>
      <c r="AQ1120" s="4469"/>
      <c r="AR1120" s="985"/>
      <c r="AS1120" s="4469"/>
      <c r="AT1120" s="985"/>
      <c r="AU1120" s="4469"/>
      <c r="AV1120" s="4469"/>
      <c r="AW1120" s="4469"/>
      <c r="AX1120" s="4469"/>
      <c r="AY1120" s="4469"/>
      <c r="AZ1120" s="4469"/>
      <c r="BA1120" s="4469"/>
      <c r="BB1120" s="4469"/>
      <c r="BC1120" s="4469"/>
      <c r="BD1120" s="4469"/>
      <c r="BE1120" s="4469"/>
      <c r="BF1120" s="4469"/>
      <c r="BG1120" s="4469"/>
      <c r="BH1120" s="4469"/>
      <c r="BI1120" s="4469"/>
      <c r="BJ1120" s="4469"/>
      <c r="BK1120" s="4469"/>
      <c r="BL1120" s="4469"/>
      <c r="BM1120" s="4469"/>
      <c r="BN1120" s="4469"/>
      <c r="BO1120" s="4469"/>
      <c r="BP1120" s="4469"/>
      <c r="BQ1120" s="4469"/>
      <c r="BR1120" s="4469"/>
      <c r="BS1120" s="4469"/>
      <c r="BT1120" s="4470"/>
      <c r="BU1120" s="4860"/>
      <c r="BV1120" s="4861"/>
      <c r="BW1120" s="4861"/>
      <c r="BX1120" s="4333"/>
      <c r="BY1120" s="4333"/>
      <c r="BZ1120" s="4333"/>
      <c r="CA1120" s="4838"/>
      <c r="CC1120" s="4837"/>
      <c r="CD1120" s="4838"/>
    </row>
    <row r="1121" s="4325" customFormat="1" ht="50" customHeight="1" spans="1:82">
      <c r="A1121" s="4852"/>
      <c r="B1121" s="4853"/>
      <c r="C1121" s="4330"/>
      <c r="D1121" s="4854"/>
      <c r="E1121" s="4330"/>
      <c r="F1121" s="4854"/>
      <c r="G1121" s="4330"/>
      <c r="H1121" s="4330"/>
      <c r="I1121" s="4850"/>
      <c r="J1121" s="4850"/>
      <c r="K1121" s="4850"/>
      <c r="L1121" s="4850"/>
      <c r="M1121" s="4855"/>
      <c r="N1121" s="4855"/>
      <c r="O1121" s="4856"/>
      <c r="P1121" s="4857"/>
      <c r="Q1121" s="4857"/>
      <c r="R1121" s="4858"/>
      <c r="S1121" s="4858"/>
      <c r="T1121" s="4858"/>
      <c r="U1121" s="4851"/>
      <c r="V1121" s="4840"/>
      <c r="W1121" s="4840"/>
      <c r="X1121" s="4840"/>
      <c r="Y1121" s="4840"/>
      <c r="Z1121" s="4859"/>
      <c r="AA1121" s="4023"/>
      <c r="AB1121" s="4850"/>
      <c r="AC1121" s="4850"/>
      <c r="AD1121" s="4850"/>
      <c r="AE1121" s="4851"/>
      <c r="AF1121" s="4330"/>
      <c r="AG1121" s="4851"/>
      <c r="AH1121" s="4330"/>
      <c r="AI1121" s="4850"/>
      <c r="AJ1121" s="4850"/>
      <c r="AK1121" s="4330"/>
      <c r="AL1121" s="4330"/>
      <c r="AM1121" s="4330"/>
      <c r="AN1121" s="4850"/>
      <c r="AO1121" s="4850"/>
      <c r="AP1121" s="4850"/>
      <c r="AQ1121" s="4469"/>
      <c r="AR1121" s="985"/>
      <c r="AS1121" s="4469"/>
      <c r="AT1121" s="985"/>
      <c r="AU1121" s="4469"/>
      <c r="AV1121" s="4469"/>
      <c r="AW1121" s="4469"/>
      <c r="AX1121" s="4469"/>
      <c r="AY1121" s="4469"/>
      <c r="AZ1121" s="4469"/>
      <c r="BA1121" s="4469"/>
      <c r="BB1121" s="4469"/>
      <c r="BC1121" s="4469"/>
      <c r="BD1121" s="4469"/>
      <c r="BE1121" s="4469"/>
      <c r="BF1121" s="4469"/>
      <c r="BG1121" s="4469"/>
      <c r="BH1121" s="4469"/>
      <c r="BI1121" s="4469"/>
      <c r="BJ1121" s="4469"/>
      <c r="BK1121" s="4469"/>
      <c r="BL1121" s="4469"/>
      <c r="BM1121" s="4469"/>
      <c r="BN1121" s="4469"/>
      <c r="BO1121" s="4469"/>
      <c r="BP1121" s="4469"/>
      <c r="BQ1121" s="4469"/>
      <c r="BR1121" s="4469"/>
      <c r="BS1121" s="4469"/>
      <c r="BT1121" s="4470"/>
      <c r="BU1121" s="4860"/>
      <c r="BV1121" s="4861"/>
      <c r="BW1121" s="4861"/>
      <c r="BX1121" s="4333"/>
      <c r="BY1121" s="4333"/>
      <c r="BZ1121" s="4333"/>
      <c r="CA1121" s="4838"/>
      <c r="CC1121" s="4837"/>
      <c r="CD1121" s="4838"/>
    </row>
    <row r="1122" s="4325" customFormat="1" ht="50" customHeight="1" spans="1:82">
      <c r="A1122" s="4852"/>
      <c r="B1122" s="4853"/>
      <c r="C1122" s="4330"/>
      <c r="D1122" s="4854"/>
      <c r="E1122" s="4330"/>
      <c r="F1122" s="4854"/>
      <c r="G1122" s="4330"/>
      <c r="H1122" s="4330"/>
      <c r="I1122" s="4850"/>
      <c r="J1122" s="4850"/>
      <c r="K1122" s="4850"/>
      <c r="L1122" s="4850"/>
      <c r="M1122" s="4855"/>
      <c r="N1122" s="4855"/>
      <c r="O1122" s="4856"/>
      <c r="P1122" s="4857"/>
      <c r="Q1122" s="4857"/>
      <c r="R1122" s="4858"/>
      <c r="S1122" s="4858"/>
      <c r="T1122" s="4858"/>
      <c r="U1122" s="4851"/>
      <c r="V1122" s="4840"/>
      <c r="W1122" s="4840"/>
      <c r="X1122" s="4840"/>
      <c r="Y1122" s="4840"/>
      <c r="Z1122" s="4859"/>
      <c r="AA1122" s="4023"/>
      <c r="AB1122" s="4850"/>
      <c r="AC1122" s="4850"/>
      <c r="AD1122" s="4850"/>
      <c r="AE1122" s="4851"/>
      <c r="AF1122" s="4330"/>
      <c r="AG1122" s="4851"/>
      <c r="AH1122" s="4330"/>
      <c r="AI1122" s="4850"/>
      <c r="AJ1122" s="4850"/>
      <c r="AK1122" s="4330"/>
      <c r="AL1122" s="4330"/>
      <c r="AM1122" s="4330"/>
      <c r="AN1122" s="4850"/>
      <c r="AO1122" s="4850"/>
      <c r="AP1122" s="4850"/>
      <c r="AQ1122" s="4469"/>
      <c r="AR1122" s="985"/>
      <c r="AS1122" s="4469"/>
      <c r="AT1122" s="985"/>
      <c r="AU1122" s="4469"/>
      <c r="AV1122" s="4469"/>
      <c r="AW1122" s="4469"/>
      <c r="AX1122" s="4469"/>
      <c r="AY1122" s="4469"/>
      <c r="AZ1122" s="4469"/>
      <c r="BA1122" s="4469"/>
      <c r="BB1122" s="4469"/>
      <c r="BC1122" s="4469"/>
      <c r="BD1122" s="4469"/>
      <c r="BE1122" s="4469"/>
      <c r="BF1122" s="4469"/>
      <c r="BG1122" s="4469"/>
      <c r="BH1122" s="4469"/>
      <c r="BI1122" s="4469"/>
      <c r="BJ1122" s="4469"/>
      <c r="BK1122" s="4469"/>
      <c r="BL1122" s="4469"/>
      <c r="BM1122" s="4469"/>
      <c r="BN1122" s="4469"/>
      <c r="BO1122" s="4469"/>
      <c r="BP1122" s="4469"/>
      <c r="BQ1122" s="4469"/>
      <c r="BR1122" s="4469"/>
      <c r="BS1122" s="4469"/>
      <c r="BT1122" s="4470"/>
      <c r="BU1122" s="4860"/>
      <c r="BV1122" s="4861"/>
      <c r="BW1122" s="4861"/>
      <c r="BX1122" s="4333"/>
      <c r="BY1122" s="4333"/>
      <c r="BZ1122" s="4333"/>
      <c r="CA1122" s="4838"/>
      <c r="CC1122" s="4837"/>
      <c r="CD1122" s="4838"/>
    </row>
    <row r="1123" s="4325" customFormat="1" ht="50" customHeight="1" spans="1:82">
      <c r="A1123" s="4852"/>
      <c r="B1123" s="4853"/>
      <c r="C1123" s="4330"/>
      <c r="D1123" s="4854"/>
      <c r="E1123" s="4330"/>
      <c r="F1123" s="4854"/>
      <c r="G1123" s="4330"/>
      <c r="H1123" s="4330"/>
      <c r="I1123" s="4850"/>
      <c r="J1123" s="4850"/>
      <c r="K1123" s="4850"/>
      <c r="L1123" s="4850"/>
      <c r="M1123" s="4855"/>
      <c r="N1123" s="4855"/>
      <c r="O1123" s="4856"/>
      <c r="P1123" s="4857"/>
      <c r="Q1123" s="4857"/>
      <c r="R1123" s="4858"/>
      <c r="S1123" s="4858"/>
      <c r="T1123" s="4858"/>
      <c r="U1123" s="4851"/>
      <c r="V1123" s="4840"/>
      <c r="W1123" s="4840"/>
      <c r="X1123" s="4840"/>
      <c r="Y1123" s="4840"/>
      <c r="Z1123" s="4859"/>
      <c r="AA1123" s="4023"/>
      <c r="AB1123" s="4850"/>
      <c r="AC1123" s="4850"/>
      <c r="AD1123" s="4850"/>
      <c r="AE1123" s="4851"/>
      <c r="AF1123" s="4330"/>
      <c r="AG1123" s="4851"/>
      <c r="AH1123" s="4330"/>
      <c r="AI1123" s="4850"/>
      <c r="AJ1123" s="4850"/>
      <c r="AK1123" s="4330"/>
      <c r="AL1123" s="4330"/>
      <c r="AM1123" s="4330"/>
      <c r="AN1123" s="4850"/>
      <c r="AO1123" s="4850"/>
      <c r="AP1123" s="4850"/>
      <c r="AQ1123" s="4469"/>
      <c r="AR1123" s="985"/>
      <c r="AS1123" s="4469"/>
      <c r="AT1123" s="985"/>
      <c r="AU1123" s="4469"/>
      <c r="AV1123" s="4469"/>
      <c r="AW1123" s="4469"/>
      <c r="AX1123" s="4469"/>
      <c r="AY1123" s="4469"/>
      <c r="AZ1123" s="4469"/>
      <c r="BA1123" s="4469"/>
      <c r="BB1123" s="4469"/>
      <c r="BC1123" s="4469"/>
      <c r="BD1123" s="4469"/>
      <c r="BE1123" s="4469"/>
      <c r="BF1123" s="4469"/>
      <c r="BG1123" s="4469"/>
      <c r="BH1123" s="4469"/>
      <c r="BI1123" s="4469"/>
      <c r="BJ1123" s="4469"/>
      <c r="BK1123" s="4469"/>
      <c r="BL1123" s="4469"/>
      <c r="BM1123" s="4469"/>
      <c r="BN1123" s="4469"/>
      <c r="BO1123" s="4469"/>
      <c r="BP1123" s="4469"/>
      <c r="BQ1123" s="4469"/>
      <c r="BR1123" s="4469"/>
      <c r="BS1123" s="4469"/>
      <c r="BT1123" s="4470"/>
      <c r="BU1123" s="4860"/>
      <c r="BV1123" s="4861"/>
      <c r="BW1123" s="4861"/>
      <c r="BX1123" s="4333"/>
      <c r="BY1123" s="4333"/>
      <c r="BZ1123" s="4333"/>
      <c r="CA1123" s="4838"/>
      <c r="CC1123" s="4837"/>
      <c r="CD1123" s="4838"/>
    </row>
    <row r="1124" s="4325" customFormat="1" ht="50" customHeight="1" spans="1:82">
      <c r="A1124" s="4852"/>
      <c r="B1124" s="4853"/>
      <c r="C1124" s="4330"/>
      <c r="D1124" s="4854"/>
      <c r="E1124" s="4330"/>
      <c r="F1124" s="4854"/>
      <c r="G1124" s="4330"/>
      <c r="H1124" s="4330"/>
      <c r="I1124" s="4850"/>
      <c r="J1124" s="4850"/>
      <c r="K1124" s="4850"/>
      <c r="L1124" s="4850"/>
      <c r="M1124" s="4855"/>
      <c r="N1124" s="4855"/>
      <c r="O1124" s="4856"/>
      <c r="P1124" s="4857"/>
      <c r="Q1124" s="4857"/>
      <c r="R1124" s="4858"/>
      <c r="S1124" s="4858"/>
      <c r="T1124" s="4858"/>
      <c r="U1124" s="4851"/>
      <c r="V1124" s="4840"/>
      <c r="W1124" s="4840"/>
      <c r="X1124" s="4840"/>
      <c r="Y1124" s="4840"/>
      <c r="Z1124" s="4859"/>
      <c r="AA1124" s="4023"/>
      <c r="AB1124" s="4850"/>
      <c r="AC1124" s="4850"/>
      <c r="AD1124" s="4850"/>
      <c r="AE1124" s="4851"/>
      <c r="AF1124" s="4330"/>
      <c r="AG1124" s="4851"/>
      <c r="AH1124" s="4330"/>
      <c r="AI1124" s="4850"/>
      <c r="AJ1124" s="4850"/>
      <c r="AK1124" s="4330"/>
      <c r="AL1124" s="4330"/>
      <c r="AM1124" s="4330"/>
      <c r="AN1124" s="4850"/>
      <c r="AO1124" s="4850"/>
      <c r="AP1124" s="4850"/>
      <c r="AQ1124" s="4469"/>
      <c r="AR1124" s="985"/>
      <c r="AS1124" s="4469"/>
      <c r="AT1124" s="985"/>
      <c r="AU1124" s="4469"/>
      <c r="AV1124" s="4469"/>
      <c r="AW1124" s="4469"/>
      <c r="AX1124" s="4469"/>
      <c r="AY1124" s="4469"/>
      <c r="AZ1124" s="4469"/>
      <c r="BA1124" s="4469"/>
      <c r="BB1124" s="4469"/>
      <c r="BC1124" s="4469"/>
      <c r="BD1124" s="4469"/>
      <c r="BE1124" s="4469"/>
      <c r="BF1124" s="4469"/>
      <c r="BG1124" s="4469"/>
      <c r="BH1124" s="4469"/>
      <c r="BI1124" s="4469"/>
      <c r="BJ1124" s="4469"/>
      <c r="BK1124" s="4469"/>
      <c r="BL1124" s="4469"/>
      <c r="BM1124" s="4469"/>
      <c r="BN1124" s="4469"/>
      <c r="BO1124" s="4469"/>
      <c r="BP1124" s="4469"/>
      <c r="BQ1124" s="4469"/>
      <c r="BR1124" s="4469"/>
      <c r="BS1124" s="4469"/>
      <c r="BT1124" s="4470"/>
      <c r="BU1124" s="4860"/>
      <c r="BV1124" s="4861"/>
      <c r="BW1124" s="4861"/>
      <c r="BX1124" s="4333"/>
      <c r="BY1124" s="4333"/>
      <c r="BZ1124" s="4333"/>
      <c r="CA1124" s="4838"/>
      <c r="CC1124" s="4837"/>
      <c r="CD1124" s="4838"/>
    </row>
    <row r="1125" s="4325" customFormat="1" ht="50" customHeight="1" spans="1:82">
      <c r="A1125" s="4852"/>
      <c r="B1125" s="4853"/>
      <c r="C1125" s="4330"/>
      <c r="D1125" s="4854"/>
      <c r="E1125" s="4330"/>
      <c r="F1125" s="4854"/>
      <c r="G1125" s="4330"/>
      <c r="H1125" s="4330"/>
      <c r="I1125" s="4850"/>
      <c r="J1125" s="4850"/>
      <c r="K1125" s="4850"/>
      <c r="L1125" s="4850"/>
      <c r="M1125" s="4855"/>
      <c r="N1125" s="4855"/>
      <c r="O1125" s="4856"/>
      <c r="P1125" s="4857"/>
      <c r="Q1125" s="4857"/>
      <c r="R1125" s="4858"/>
      <c r="S1125" s="4858"/>
      <c r="T1125" s="4858"/>
      <c r="U1125" s="4851"/>
      <c r="V1125" s="4840"/>
      <c r="W1125" s="4840"/>
      <c r="X1125" s="4840"/>
      <c r="Y1125" s="4840"/>
      <c r="Z1125" s="4859"/>
      <c r="AA1125" s="4023"/>
      <c r="AB1125" s="4850"/>
      <c r="AC1125" s="4850"/>
      <c r="AD1125" s="4850"/>
      <c r="AE1125" s="4851"/>
      <c r="AF1125" s="4330"/>
      <c r="AG1125" s="4851"/>
      <c r="AH1125" s="4330"/>
      <c r="AI1125" s="4850"/>
      <c r="AJ1125" s="4850"/>
      <c r="AK1125" s="4330"/>
      <c r="AL1125" s="4330"/>
      <c r="AM1125" s="4330"/>
      <c r="AN1125" s="4850"/>
      <c r="AO1125" s="4850"/>
      <c r="AP1125" s="4850"/>
      <c r="AQ1125" s="4469"/>
      <c r="AR1125" s="985"/>
      <c r="AS1125" s="4469"/>
      <c r="AT1125" s="985"/>
      <c r="AU1125" s="4469"/>
      <c r="AV1125" s="4469"/>
      <c r="AW1125" s="4469"/>
      <c r="AX1125" s="4469"/>
      <c r="AY1125" s="4469"/>
      <c r="AZ1125" s="4469"/>
      <c r="BA1125" s="4469"/>
      <c r="BB1125" s="4469"/>
      <c r="BC1125" s="4469"/>
      <c r="BD1125" s="4469"/>
      <c r="BE1125" s="4469"/>
      <c r="BF1125" s="4469"/>
      <c r="BG1125" s="4469"/>
      <c r="BH1125" s="4469"/>
      <c r="BI1125" s="4469"/>
      <c r="BJ1125" s="4469"/>
      <c r="BK1125" s="4469"/>
      <c r="BL1125" s="4469"/>
      <c r="BM1125" s="4469"/>
      <c r="BN1125" s="4469"/>
      <c r="BO1125" s="4469"/>
      <c r="BP1125" s="4469"/>
      <c r="BQ1125" s="4469"/>
      <c r="BR1125" s="4469"/>
      <c r="BS1125" s="4469"/>
      <c r="BT1125" s="4470"/>
      <c r="BU1125" s="4860"/>
      <c r="BV1125" s="4861"/>
      <c r="BW1125" s="4861"/>
      <c r="BX1125" s="4333"/>
      <c r="BY1125" s="4333"/>
      <c r="BZ1125" s="4333"/>
      <c r="CA1125" s="4838"/>
      <c r="CC1125" s="4837"/>
      <c r="CD1125" s="4838"/>
    </row>
    <row r="1126" s="4325" customFormat="1" ht="50" customHeight="1" spans="1:82">
      <c r="A1126" s="4852"/>
      <c r="B1126" s="4853"/>
      <c r="C1126" s="4330"/>
      <c r="D1126" s="4854"/>
      <c r="E1126" s="4330"/>
      <c r="F1126" s="4854"/>
      <c r="G1126" s="4330"/>
      <c r="H1126" s="4330"/>
      <c r="I1126" s="4850"/>
      <c r="J1126" s="4850"/>
      <c r="K1126" s="4850"/>
      <c r="L1126" s="4850"/>
      <c r="M1126" s="4855"/>
      <c r="N1126" s="4855"/>
      <c r="O1126" s="4856"/>
      <c r="P1126" s="4857"/>
      <c r="Q1126" s="4857"/>
      <c r="R1126" s="4858"/>
      <c r="S1126" s="4858"/>
      <c r="T1126" s="4858"/>
      <c r="U1126" s="4851"/>
      <c r="V1126" s="4840"/>
      <c r="W1126" s="4840"/>
      <c r="X1126" s="4840"/>
      <c r="Y1126" s="4840"/>
      <c r="Z1126" s="4859"/>
      <c r="AA1126" s="4023"/>
      <c r="AB1126" s="4850"/>
      <c r="AC1126" s="4850"/>
      <c r="AD1126" s="4850"/>
      <c r="AE1126" s="4851"/>
      <c r="AF1126" s="4330"/>
      <c r="AG1126" s="4851"/>
      <c r="AH1126" s="4330"/>
      <c r="AI1126" s="4850"/>
      <c r="AJ1126" s="4850"/>
      <c r="AK1126" s="4330"/>
      <c r="AL1126" s="4330"/>
      <c r="AM1126" s="4330"/>
      <c r="AN1126" s="4850"/>
      <c r="AO1126" s="4850"/>
      <c r="AP1126" s="4850"/>
      <c r="AQ1126" s="4469"/>
      <c r="AR1126" s="985"/>
      <c r="AS1126" s="4469"/>
      <c r="AT1126" s="985"/>
      <c r="AU1126" s="4469"/>
      <c r="AV1126" s="4469"/>
      <c r="AW1126" s="4469"/>
      <c r="AX1126" s="4469"/>
      <c r="AY1126" s="4469"/>
      <c r="AZ1126" s="4469"/>
      <c r="BA1126" s="4469"/>
      <c r="BB1126" s="4469"/>
      <c r="BC1126" s="4469"/>
      <c r="BD1126" s="4469"/>
      <c r="BE1126" s="4469"/>
      <c r="BF1126" s="4469"/>
      <c r="BG1126" s="4469"/>
      <c r="BH1126" s="4469"/>
      <c r="BI1126" s="4469"/>
      <c r="BJ1126" s="4469"/>
      <c r="BK1126" s="4469"/>
      <c r="BL1126" s="4469"/>
      <c r="BM1126" s="4469"/>
      <c r="BN1126" s="4469"/>
      <c r="BO1126" s="4469"/>
      <c r="BP1126" s="4469"/>
      <c r="BQ1126" s="4469"/>
      <c r="BR1126" s="4469"/>
      <c r="BS1126" s="4469"/>
      <c r="BT1126" s="4470"/>
      <c r="BU1126" s="4860"/>
      <c r="BV1126" s="4861"/>
      <c r="BW1126" s="4861"/>
      <c r="BX1126" s="4333"/>
      <c r="BY1126" s="4333"/>
      <c r="BZ1126" s="4333"/>
      <c r="CA1126" s="4838"/>
      <c r="CC1126" s="4837"/>
      <c r="CD1126" s="4838"/>
    </row>
    <row r="1127" s="4325" customFormat="1" ht="50" customHeight="1" spans="1:82">
      <c r="A1127" s="4852"/>
      <c r="B1127" s="4853"/>
      <c r="C1127" s="4330"/>
      <c r="D1127" s="4854"/>
      <c r="E1127" s="4330"/>
      <c r="F1127" s="4854"/>
      <c r="G1127" s="4330"/>
      <c r="H1127" s="4330"/>
      <c r="I1127" s="4850"/>
      <c r="J1127" s="4850"/>
      <c r="K1127" s="4850"/>
      <c r="L1127" s="4850"/>
      <c r="M1127" s="4855"/>
      <c r="N1127" s="4855"/>
      <c r="O1127" s="4856"/>
      <c r="P1127" s="4857"/>
      <c r="Q1127" s="4857"/>
      <c r="R1127" s="4858"/>
      <c r="S1127" s="4858"/>
      <c r="T1127" s="4858"/>
      <c r="U1127" s="4851"/>
      <c r="V1127" s="4840"/>
      <c r="W1127" s="4840"/>
      <c r="X1127" s="4840"/>
      <c r="Y1127" s="4840"/>
      <c r="Z1127" s="4859"/>
      <c r="AA1127" s="4023"/>
      <c r="AB1127" s="4850"/>
      <c r="AC1127" s="4850"/>
      <c r="AD1127" s="4850"/>
      <c r="AE1127" s="4851"/>
      <c r="AF1127" s="4330"/>
      <c r="AG1127" s="4851"/>
      <c r="AH1127" s="4330"/>
      <c r="AI1127" s="4850"/>
      <c r="AJ1127" s="4850"/>
      <c r="AK1127" s="4330"/>
      <c r="AL1127" s="4330"/>
      <c r="AM1127" s="4330"/>
      <c r="AN1127" s="4850"/>
      <c r="AO1127" s="4850"/>
      <c r="AP1127" s="4850"/>
      <c r="AQ1127" s="4469"/>
      <c r="AR1127" s="985"/>
      <c r="AS1127" s="4469"/>
      <c r="AT1127" s="985"/>
      <c r="AU1127" s="4469"/>
      <c r="AV1127" s="4469"/>
      <c r="AW1127" s="4469"/>
      <c r="AX1127" s="4469"/>
      <c r="AY1127" s="4469"/>
      <c r="AZ1127" s="4469"/>
      <c r="BA1127" s="4469"/>
      <c r="BB1127" s="4469"/>
      <c r="BC1127" s="4469"/>
      <c r="BD1127" s="4469"/>
      <c r="BE1127" s="4469"/>
      <c r="BF1127" s="4469"/>
      <c r="BG1127" s="4469"/>
      <c r="BH1127" s="4469"/>
      <c r="BI1127" s="4469"/>
      <c r="BJ1127" s="4469"/>
      <c r="BK1127" s="4469"/>
      <c r="BL1127" s="4469"/>
      <c r="BM1127" s="4469"/>
      <c r="BN1127" s="4469"/>
      <c r="BO1127" s="4469"/>
      <c r="BP1127" s="4469"/>
      <c r="BQ1127" s="4469"/>
      <c r="BR1127" s="4469"/>
      <c r="BS1127" s="4469"/>
      <c r="BT1127" s="4470"/>
      <c r="BU1127" s="4860"/>
      <c r="BV1127" s="4861"/>
      <c r="BW1127" s="4861"/>
      <c r="BX1127" s="4333"/>
      <c r="BY1127" s="4333"/>
      <c r="BZ1127" s="4333"/>
      <c r="CA1127" s="4838"/>
      <c r="CC1127" s="4837"/>
      <c r="CD1127" s="4838"/>
    </row>
    <row r="1128" s="4325" customFormat="1" ht="50" customHeight="1" spans="1:82">
      <c r="A1128" s="4852"/>
      <c r="B1128" s="4853"/>
      <c r="C1128" s="4330"/>
      <c r="D1128" s="4854"/>
      <c r="E1128" s="4330"/>
      <c r="F1128" s="4854"/>
      <c r="G1128" s="4330"/>
      <c r="H1128" s="4330"/>
      <c r="I1128" s="4850"/>
      <c r="J1128" s="4850"/>
      <c r="K1128" s="4850"/>
      <c r="L1128" s="4850"/>
      <c r="M1128" s="4855"/>
      <c r="N1128" s="4855"/>
      <c r="O1128" s="4856"/>
      <c r="P1128" s="4857"/>
      <c r="Q1128" s="4857"/>
      <c r="R1128" s="4858"/>
      <c r="S1128" s="4858"/>
      <c r="T1128" s="4858"/>
      <c r="U1128" s="4851"/>
      <c r="V1128" s="4840"/>
      <c r="W1128" s="4840"/>
      <c r="X1128" s="4840"/>
      <c r="Y1128" s="4840"/>
      <c r="Z1128" s="4859"/>
      <c r="AA1128" s="4023"/>
      <c r="AB1128" s="4850"/>
      <c r="AC1128" s="4850"/>
      <c r="AD1128" s="4850"/>
      <c r="AE1128" s="4851"/>
      <c r="AF1128" s="4330"/>
      <c r="AG1128" s="4851"/>
      <c r="AH1128" s="4330"/>
      <c r="AI1128" s="4850"/>
      <c r="AJ1128" s="4850"/>
      <c r="AK1128" s="4330"/>
      <c r="AL1128" s="4330"/>
      <c r="AM1128" s="4330"/>
      <c r="AN1128" s="4850"/>
      <c r="AO1128" s="4850"/>
      <c r="AP1128" s="4850"/>
      <c r="AQ1128" s="4469"/>
      <c r="AR1128" s="985"/>
      <c r="AS1128" s="4469"/>
      <c r="AT1128" s="985"/>
      <c r="AU1128" s="4469"/>
      <c r="AV1128" s="4469"/>
      <c r="AW1128" s="4469"/>
      <c r="AX1128" s="4469"/>
      <c r="AY1128" s="4469"/>
      <c r="AZ1128" s="4469"/>
      <c r="BA1128" s="4469"/>
      <c r="BB1128" s="4469"/>
      <c r="BC1128" s="4469"/>
      <c r="BD1128" s="4469"/>
      <c r="BE1128" s="4469"/>
      <c r="BF1128" s="4469"/>
      <c r="BG1128" s="4469"/>
      <c r="BH1128" s="4469"/>
      <c r="BI1128" s="4469"/>
      <c r="BJ1128" s="4469"/>
      <c r="BK1128" s="4469"/>
      <c r="BL1128" s="4469"/>
      <c r="BM1128" s="4469"/>
      <c r="BN1128" s="4469"/>
      <c r="BO1128" s="4469"/>
      <c r="BP1128" s="4469"/>
      <c r="BQ1128" s="4469"/>
      <c r="BR1128" s="4469"/>
      <c r="BS1128" s="4469"/>
      <c r="BT1128" s="4470"/>
      <c r="BU1128" s="4860"/>
      <c r="BV1128" s="4861"/>
      <c r="BW1128" s="4861"/>
      <c r="BX1128" s="4333"/>
      <c r="BY1128" s="4333"/>
      <c r="BZ1128" s="4333"/>
      <c r="CA1128" s="4838"/>
      <c r="CC1128" s="4837"/>
      <c r="CD1128" s="4838"/>
    </row>
    <row r="1129" s="4325" customFormat="1" ht="50" customHeight="1" spans="1:82">
      <c r="A1129" s="4852"/>
      <c r="B1129" s="4853"/>
      <c r="C1129" s="4330"/>
      <c r="D1129" s="4854"/>
      <c r="E1129" s="4330"/>
      <c r="F1129" s="4854"/>
      <c r="G1129" s="4330"/>
      <c r="H1129" s="4330"/>
      <c r="I1129" s="4850"/>
      <c r="J1129" s="4850"/>
      <c r="K1129" s="4850"/>
      <c r="L1129" s="4850"/>
      <c r="M1129" s="4855"/>
      <c r="N1129" s="4855"/>
      <c r="O1129" s="4856"/>
      <c r="P1129" s="4857"/>
      <c r="Q1129" s="4857"/>
      <c r="R1129" s="4858"/>
      <c r="S1129" s="4858"/>
      <c r="T1129" s="4858"/>
      <c r="U1129" s="4851"/>
      <c r="V1129" s="4840"/>
      <c r="W1129" s="4840"/>
      <c r="X1129" s="4840"/>
      <c r="Y1129" s="4840"/>
      <c r="Z1129" s="4859"/>
      <c r="AA1129" s="4023"/>
      <c r="AB1129" s="4850"/>
      <c r="AC1129" s="4850"/>
      <c r="AD1129" s="4850"/>
      <c r="AE1129" s="4851"/>
      <c r="AF1129" s="4330"/>
      <c r="AG1129" s="4851"/>
      <c r="AH1129" s="4330"/>
      <c r="AI1129" s="4850"/>
      <c r="AJ1129" s="4850"/>
      <c r="AK1129" s="4330"/>
      <c r="AL1129" s="4330"/>
      <c r="AM1129" s="4330"/>
      <c r="AN1129" s="4850"/>
      <c r="AO1129" s="4850"/>
      <c r="AP1129" s="4850"/>
      <c r="AQ1129" s="4469"/>
      <c r="AR1129" s="985"/>
      <c r="AS1129" s="4469"/>
      <c r="AT1129" s="985"/>
      <c r="AU1129" s="4469"/>
      <c r="AV1129" s="4469"/>
      <c r="AW1129" s="4469"/>
      <c r="AX1129" s="4469"/>
      <c r="AY1129" s="4469"/>
      <c r="AZ1129" s="4469"/>
      <c r="BA1129" s="4469"/>
      <c r="BB1129" s="4469"/>
      <c r="BC1129" s="4469"/>
      <c r="BD1129" s="4469"/>
      <c r="BE1129" s="4469"/>
      <c r="BF1129" s="4469"/>
      <c r="BG1129" s="4469"/>
      <c r="BH1129" s="4469"/>
      <c r="BI1129" s="4469"/>
      <c r="BJ1129" s="4469"/>
      <c r="BK1129" s="4469"/>
      <c r="BL1129" s="4469"/>
      <c r="BM1129" s="4469"/>
      <c r="BN1129" s="4469"/>
      <c r="BO1129" s="4469"/>
      <c r="BP1129" s="4469"/>
      <c r="BQ1129" s="4469"/>
      <c r="BR1129" s="4469"/>
      <c r="BS1129" s="4469"/>
      <c r="BT1129" s="4470"/>
      <c r="BU1129" s="4860"/>
      <c r="BV1129" s="4861"/>
      <c r="BW1129" s="4861"/>
      <c r="BX1129" s="4333"/>
      <c r="BY1129" s="4333"/>
      <c r="BZ1129" s="4333"/>
      <c r="CA1129" s="4838"/>
      <c r="CC1129" s="4837"/>
      <c r="CD1129" s="4838"/>
    </row>
    <row r="1130" s="4325" customFormat="1" ht="50" customHeight="1" spans="1:82">
      <c r="A1130" s="4852"/>
      <c r="B1130" s="4853"/>
      <c r="C1130" s="4330"/>
      <c r="D1130" s="4854"/>
      <c r="E1130" s="4330"/>
      <c r="F1130" s="4854"/>
      <c r="G1130" s="4330"/>
      <c r="H1130" s="4330"/>
      <c r="I1130" s="4850"/>
      <c r="J1130" s="4850"/>
      <c r="K1130" s="4850"/>
      <c r="L1130" s="4850"/>
      <c r="M1130" s="4855"/>
      <c r="N1130" s="4855"/>
      <c r="O1130" s="4856"/>
      <c r="P1130" s="4857"/>
      <c r="Q1130" s="4857"/>
      <c r="R1130" s="4858"/>
      <c r="S1130" s="4858"/>
      <c r="T1130" s="4858"/>
      <c r="U1130" s="4851"/>
      <c r="V1130" s="4840"/>
      <c r="W1130" s="4840"/>
      <c r="X1130" s="4840"/>
      <c r="Y1130" s="4840"/>
      <c r="Z1130" s="4859"/>
      <c r="AA1130" s="4023"/>
      <c r="AB1130" s="4850"/>
      <c r="AC1130" s="4850"/>
      <c r="AD1130" s="4850"/>
      <c r="AE1130" s="4851"/>
      <c r="AF1130" s="4330"/>
      <c r="AG1130" s="4851"/>
      <c r="AH1130" s="4330"/>
      <c r="AI1130" s="4850"/>
      <c r="AJ1130" s="4850"/>
      <c r="AK1130" s="4330"/>
      <c r="AL1130" s="4330"/>
      <c r="AM1130" s="4330"/>
      <c r="AN1130" s="4850"/>
      <c r="AO1130" s="4850"/>
      <c r="AP1130" s="4850"/>
      <c r="AQ1130" s="4469"/>
      <c r="AR1130" s="985"/>
      <c r="AS1130" s="4469"/>
      <c r="AT1130" s="985"/>
      <c r="AU1130" s="4469"/>
      <c r="AV1130" s="4469"/>
      <c r="AW1130" s="4469"/>
      <c r="AX1130" s="4469"/>
      <c r="AY1130" s="4469"/>
      <c r="AZ1130" s="4469"/>
      <c r="BA1130" s="4469"/>
      <c r="BB1130" s="4469"/>
      <c r="BC1130" s="4469"/>
      <c r="BD1130" s="4469"/>
      <c r="BE1130" s="4469"/>
      <c r="BF1130" s="4469"/>
      <c r="BG1130" s="4469"/>
      <c r="BH1130" s="4469"/>
      <c r="BI1130" s="4469"/>
      <c r="BJ1130" s="4469"/>
      <c r="BK1130" s="4469"/>
      <c r="BL1130" s="4469"/>
      <c r="BM1130" s="4469"/>
      <c r="BN1130" s="4469"/>
      <c r="BO1130" s="4469"/>
      <c r="BP1130" s="4469"/>
      <c r="BQ1130" s="4469"/>
      <c r="BR1130" s="4469"/>
      <c r="BS1130" s="4469"/>
      <c r="BT1130" s="4470"/>
      <c r="BU1130" s="4860"/>
      <c r="BV1130" s="4861"/>
      <c r="BW1130" s="4861"/>
      <c r="BX1130" s="4333"/>
      <c r="BY1130" s="4333"/>
      <c r="BZ1130" s="4333"/>
      <c r="CA1130" s="4838"/>
      <c r="CC1130" s="4837"/>
      <c r="CD1130" s="4838"/>
    </row>
    <row r="1131" s="4325" customFormat="1" ht="50" customHeight="1" spans="1:82">
      <c r="A1131" s="4852"/>
      <c r="B1131" s="4853"/>
      <c r="C1131" s="4330"/>
      <c r="D1131" s="4854"/>
      <c r="E1131" s="4330"/>
      <c r="F1131" s="4854"/>
      <c r="G1131" s="4330"/>
      <c r="H1131" s="4330"/>
      <c r="I1131" s="4850"/>
      <c r="J1131" s="4850"/>
      <c r="K1131" s="4850"/>
      <c r="L1131" s="4850"/>
      <c r="M1131" s="4855"/>
      <c r="N1131" s="4855"/>
      <c r="O1131" s="4856"/>
      <c r="P1131" s="4857"/>
      <c r="Q1131" s="4857"/>
      <c r="R1131" s="4858"/>
      <c r="S1131" s="4858"/>
      <c r="T1131" s="4858"/>
      <c r="U1131" s="4851"/>
      <c r="V1131" s="4840"/>
      <c r="W1131" s="4840"/>
      <c r="X1131" s="4840"/>
      <c r="Y1131" s="4840"/>
      <c r="Z1131" s="4859"/>
      <c r="AA1131" s="4023"/>
      <c r="AB1131" s="4850"/>
      <c r="AC1131" s="4850"/>
      <c r="AD1131" s="4850"/>
      <c r="AE1131" s="4851"/>
      <c r="AF1131" s="4330"/>
      <c r="AG1131" s="4851"/>
      <c r="AH1131" s="4330"/>
      <c r="AI1131" s="4850"/>
      <c r="AJ1131" s="4850"/>
      <c r="AK1131" s="4330"/>
      <c r="AL1131" s="4330"/>
      <c r="AM1131" s="4330"/>
      <c r="AN1131" s="4850"/>
      <c r="AO1131" s="4850"/>
      <c r="AP1131" s="4850"/>
      <c r="AQ1131" s="4469"/>
      <c r="AR1131" s="985"/>
      <c r="AS1131" s="4469"/>
      <c r="AT1131" s="985"/>
      <c r="AU1131" s="4469"/>
      <c r="AV1131" s="4469"/>
      <c r="AW1131" s="4469"/>
      <c r="AX1131" s="4469"/>
      <c r="AY1131" s="4469"/>
      <c r="AZ1131" s="4469"/>
      <c r="BA1131" s="4469"/>
      <c r="BB1131" s="4469"/>
      <c r="BC1131" s="4469"/>
      <c r="BD1131" s="4469"/>
      <c r="BE1131" s="4469"/>
      <c r="BF1131" s="4469"/>
      <c r="BG1131" s="4469"/>
      <c r="BH1131" s="4469"/>
      <c r="BI1131" s="4469"/>
      <c r="BJ1131" s="4469"/>
      <c r="BK1131" s="4469"/>
      <c r="BL1131" s="4469"/>
      <c r="BM1131" s="4469"/>
      <c r="BN1131" s="4469"/>
      <c r="BO1131" s="4469"/>
      <c r="BP1131" s="4469"/>
      <c r="BQ1131" s="4469"/>
      <c r="BR1131" s="4469"/>
      <c r="BS1131" s="4469"/>
      <c r="BT1131" s="4470"/>
      <c r="BU1131" s="4860"/>
      <c r="BV1131" s="4861"/>
      <c r="BW1131" s="4861"/>
      <c r="BX1131" s="4333"/>
      <c r="BY1131" s="4333"/>
      <c r="BZ1131" s="4333"/>
      <c r="CA1131" s="4838"/>
      <c r="CC1131" s="4837"/>
      <c r="CD1131" s="4838"/>
    </row>
    <row r="1132" s="4325" customFormat="1" ht="50" customHeight="1" spans="1:82">
      <c r="A1132" s="4852"/>
      <c r="B1132" s="4853"/>
      <c r="C1132" s="4330"/>
      <c r="D1132" s="4854"/>
      <c r="E1132" s="4330"/>
      <c r="F1132" s="4854"/>
      <c r="G1132" s="4330"/>
      <c r="H1132" s="4330"/>
      <c r="I1132" s="4850"/>
      <c r="J1132" s="4850"/>
      <c r="K1132" s="4850"/>
      <c r="L1132" s="4850"/>
      <c r="M1132" s="4855"/>
      <c r="N1132" s="4855"/>
      <c r="O1132" s="4856"/>
      <c r="P1132" s="4857"/>
      <c r="Q1132" s="4857"/>
      <c r="R1132" s="4858"/>
      <c r="S1132" s="4858"/>
      <c r="T1132" s="4858"/>
      <c r="U1132" s="4851"/>
      <c r="V1132" s="4840"/>
      <c r="W1132" s="4840"/>
      <c r="X1132" s="4840"/>
      <c r="Y1132" s="4840"/>
      <c r="Z1132" s="4859"/>
      <c r="AA1132" s="4023"/>
      <c r="AB1132" s="4850"/>
      <c r="AC1132" s="4850"/>
      <c r="AD1132" s="4850"/>
      <c r="AE1132" s="4851"/>
      <c r="AF1132" s="4330"/>
      <c r="AG1132" s="4851"/>
      <c r="AH1132" s="4330"/>
      <c r="AI1132" s="4850"/>
      <c r="AJ1132" s="4850"/>
      <c r="AK1132" s="4330"/>
      <c r="AL1132" s="4330"/>
      <c r="AM1132" s="4330"/>
      <c r="AN1132" s="4850"/>
      <c r="AO1132" s="4850"/>
      <c r="AP1132" s="4850"/>
      <c r="AQ1132" s="4469"/>
      <c r="AR1132" s="985"/>
      <c r="AS1132" s="4469"/>
      <c r="AT1132" s="985"/>
      <c r="AU1132" s="4469"/>
      <c r="AV1132" s="4469"/>
      <c r="AW1132" s="4469"/>
      <c r="AX1132" s="4469"/>
      <c r="AY1132" s="4469"/>
      <c r="AZ1132" s="4469"/>
      <c r="BA1132" s="4469"/>
      <c r="BB1132" s="4469"/>
      <c r="BC1132" s="4469"/>
      <c r="BD1132" s="4469"/>
      <c r="BE1132" s="4469"/>
      <c r="BF1132" s="4469"/>
      <c r="BG1132" s="4469"/>
      <c r="BH1132" s="4469"/>
      <c r="BI1132" s="4469"/>
      <c r="BJ1132" s="4469"/>
      <c r="BK1132" s="4469"/>
      <c r="BL1132" s="4469"/>
      <c r="BM1132" s="4469"/>
      <c r="BN1132" s="4469"/>
      <c r="BO1132" s="4469"/>
      <c r="BP1132" s="4469"/>
      <c r="BQ1132" s="4469"/>
      <c r="BR1132" s="4469"/>
      <c r="BS1132" s="4469"/>
      <c r="BT1132" s="4470"/>
      <c r="BU1132" s="4860"/>
      <c r="BV1132" s="4861"/>
      <c r="BW1132" s="4861"/>
      <c r="BX1132" s="4333"/>
      <c r="BY1132" s="4333"/>
      <c r="BZ1132" s="4333"/>
      <c r="CA1132" s="4838"/>
      <c r="CC1132" s="4837"/>
      <c r="CD1132" s="4838"/>
    </row>
    <row r="1133" s="4325" customFormat="1" ht="50" customHeight="1" spans="1:82">
      <c r="A1133" s="4852"/>
      <c r="B1133" s="4853"/>
      <c r="C1133" s="4330"/>
      <c r="D1133" s="4854"/>
      <c r="E1133" s="4330"/>
      <c r="F1133" s="4854"/>
      <c r="G1133" s="4330"/>
      <c r="H1133" s="4330"/>
      <c r="I1133" s="4850"/>
      <c r="J1133" s="4850"/>
      <c r="K1133" s="4850"/>
      <c r="L1133" s="4850"/>
      <c r="M1133" s="4855"/>
      <c r="N1133" s="4855"/>
      <c r="O1133" s="4856"/>
      <c r="P1133" s="4857"/>
      <c r="Q1133" s="4857"/>
      <c r="R1133" s="4858"/>
      <c r="S1133" s="4858"/>
      <c r="T1133" s="4858"/>
      <c r="U1133" s="4851"/>
      <c r="V1133" s="4840"/>
      <c r="W1133" s="4840"/>
      <c r="X1133" s="4840"/>
      <c r="Y1133" s="4840"/>
      <c r="Z1133" s="4859"/>
      <c r="AA1133" s="4023"/>
      <c r="AB1133" s="4850"/>
      <c r="AC1133" s="4850"/>
      <c r="AD1133" s="4850"/>
      <c r="AE1133" s="4851"/>
      <c r="AF1133" s="4330"/>
      <c r="AG1133" s="4851"/>
      <c r="AH1133" s="4330"/>
      <c r="AI1133" s="4850"/>
      <c r="AJ1133" s="4850"/>
      <c r="AK1133" s="4330"/>
      <c r="AL1133" s="4330"/>
      <c r="AM1133" s="4330"/>
      <c r="AN1133" s="4850"/>
      <c r="AO1133" s="4850"/>
      <c r="AP1133" s="4850"/>
      <c r="AQ1133" s="4469"/>
      <c r="AR1133" s="985"/>
      <c r="AS1133" s="4469"/>
      <c r="AT1133" s="985"/>
      <c r="AU1133" s="4469"/>
      <c r="AV1133" s="4469"/>
      <c r="AW1133" s="4469"/>
      <c r="AX1133" s="4469"/>
      <c r="AY1133" s="4469"/>
      <c r="AZ1133" s="4469"/>
      <c r="BA1133" s="4469"/>
      <c r="BB1133" s="4469"/>
      <c r="BC1133" s="4469"/>
      <c r="BD1133" s="4469"/>
      <c r="BE1133" s="4469"/>
      <c r="BF1133" s="4469"/>
      <c r="BG1133" s="4469"/>
      <c r="BH1133" s="4469"/>
      <c r="BI1133" s="4469"/>
      <c r="BJ1133" s="4469"/>
      <c r="BK1133" s="4469"/>
      <c r="BL1133" s="4469"/>
      <c r="BM1133" s="4469"/>
      <c r="BN1133" s="4469"/>
      <c r="BO1133" s="4469"/>
      <c r="BP1133" s="4469"/>
      <c r="BQ1133" s="4469"/>
      <c r="BR1133" s="4469"/>
      <c r="BS1133" s="4469"/>
      <c r="BT1133" s="4470"/>
      <c r="BU1133" s="4860"/>
      <c r="BV1133" s="4861"/>
      <c r="BW1133" s="4861"/>
      <c r="BX1133" s="4333"/>
      <c r="BY1133" s="4333"/>
      <c r="BZ1133" s="4333"/>
      <c r="CA1133" s="4838"/>
      <c r="CC1133" s="4837"/>
      <c r="CD1133" s="4838"/>
    </row>
    <row r="1134" s="4325" customFormat="1" ht="50" customHeight="1" spans="1:82">
      <c r="A1134" s="4852"/>
      <c r="B1134" s="4853"/>
      <c r="C1134" s="4330"/>
      <c r="D1134" s="4854"/>
      <c r="E1134" s="4330"/>
      <c r="F1134" s="4854"/>
      <c r="G1134" s="4330"/>
      <c r="H1134" s="4330"/>
      <c r="I1134" s="4850"/>
      <c r="J1134" s="4850"/>
      <c r="K1134" s="4850"/>
      <c r="L1134" s="4850"/>
      <c r="M1134" s="4855"/>
      <c r="N1134" s="4855"/>
      <c r="O1134" s="4856"/>
      <c r="P1134" s="4857"/>
      <c r="Q1134" s="4857"/>
      <c r="R1134" s="4858"/>
      <c r="S1134" s="4858"/>
      <c r="T1134" s="4858"/>
      <c r="U1134" s="4851"/>
      <c r="V1134" s="4840"/>
      <c r="W1134" s="4840"/>
      <c r="X1134" s="4840"/>
      <c r="Y1134" s="4840"/>
      <c r="Z1134" s="4859"/>
      <c r="AA1134" s="4023"/>
      <c r="AB1134" s="4850"/>
      <c r="AC1134" s="4850"/>
      <c r="AD1134" s="4850"/>
      <c r="AE1134" s="4851"/>
      <c r="AF1134" s="4330"/>
      <c r="AG1134" s="4851"/>
      <c r="AH1134" s="4330"/>
      <c r="AI1134" s="4850"/>
      <c r="AJ1134" s="4850"/>
      <c r="AK1134" s="4330"/>
      <c r="AL1134" s="4330"/>
      <c r="AM1134" s="4330"/>
      <c r="AN1134" s="4850"/>
      <c r="AO1134" s="4850"/>
      <c r="AP1134" s="4850"/>
      <c r="AQ1134" s="4469"/>
      <c r="AR1134" s="985"/>
      <c r="AS1134" s="4469"/>
      <c r="AT1134" s="985"/>
      <c r="AU1134" s="4469"/>
      <c r="AV1134" s="4469"/>
      <c r="AW1134" s="4469"/>
      <c r="AX1134" s="4469"/>
      <c r="AY1134" s="4469"/>
      <c r="AZ1134" s="4469"/>
      <c r="BA1134" s="4469"/>
      <c r="BB1134" s="4469"/>
      <c r="BC1134" s="4469"/>
      <c r="BD1134" s="4469"/>
      <c r="BE1134" s="4469"/>
      <c r="BF1134" s="4469"/>
      <c r="BG1134" s="4469"/>
      <c r="BH1134" s="4469"/>
      <c r="BI1134" s="4469"/>
      <c r="BJ1134" s="4469"/>
      <c r="BK1134" s="4469"/>
      <c r="BL1134" s="4469"/>
      <c r="BM1134" s="4469"/>
      <c r="BN1134" s="4469"/>
      <c r="BO1134" s="4469"/>
      <c r="BP1134" s="4469"/>
      <c r="BQ1134" s="4469"/>
      <c r="BR1134" s="4469"/>
      <c r="BS1134" s="4469"/>
      <c r="BT1134" s="4470"/>
      <c r="BU1134" s="4860"/>
      <c r="BV1134" s="4861"/>
      <c r="BW1134" s="4861"/>
      <c r="BX1134" s="4333"/>
      <c r="BY1134" s="4333"/>
      <c r="BZ1134" s="4333"/>
      <c r="CA1134" s="4838"/>
      <c r="CC1134" s="4837"/>
      <c r="CD1134" s="4838"/>
    </row>
    <row r="1135" s="4325" customFormat="1" ht="50" customHeight="1" spans="1:82">
      <c r="A1135" s="4852"/>
      <c r="B1135" s="4853"/>
      <c r="C1135" s="4330"/>
      <c r="D1135" s="4854"/>
      <c r="E1135" s="4330"/>
      <c r="F1135" s="4854"/>
      <c r="G1135" s="4330"/>
      <c r="H1135" s="4330"/>
      <c r="I1135" s="4850"/>
      <c r="J1135" s="4850"/>
      <c r="K1135" s="4850"/>
      <c r="L1135" s="4850"/>
      <c r="M1135" s="4855"/>
      <c r="N1135" s="4855"/>
      <c r="O1135" s="4856"/>
      <c r="P1135" s="4857"/>
      <c r="Q1135" s="4857"/>
      <c r="R1135" s="4858"/>
      <c r="S1135" s="4858"/>
      <c r="T1135" s="4858"/>
      <c r="U1135" s="4851"/>
      <c r="V1135" s="4840"/>
      <c r="W1135" s="4840"/>
      <c r="X1135" s="4840"/>
      <c r="Y1135" s="4840"/>
      <c r="Z1135" s="4859"/>
      <c r="AA1135" s="4023"/>
      <c r="AB1135" s="4850"/>
      <c r="AC1135" s="4850"/>
      <c r="AD1135" s="4850"/>
      <c r="AE1135" s="4851"/>
      <c r="AF1135" s="4330"/>
      <c r="AG1135" s="4851"/>
      <c r="AH1135" s="4330"/>
      <c r="AI1135" s="4850"/>
      <c r="AJ1135" s="4850"/>
      <c r="AK1135" s="4330"/>
      <c r="AL1135" s="4330"/>
      <c r="AM1135" s="4330"/>
      <c r="AN1135" s="4850"/>
      <c r="AO1135" s="4850"/>
      <c r="AP1135" s="4850"/>
      <c r="AQ1135" s="4469"/>
      <c r="AR1135" s="985"/>
      <c r="AS1135" s="4469"/>
      <c r="AT1135" s="985"/>
      <c r="AU1135" s="4469"/>
      <c r="AV1135" s="4469"/>
      <c r="AW1135" s="4469"/>
      <c r="AX1135" s="4469"/>
      <c r="AY1135" s="4469"/>
      <c r="AZ1135" s="4469"/>
      <c r="BA1135" s="4469"/>
      <c r="BB1135" s="4469"/>
      <c r="BC1135" s="4469"/>
      <c r="BD1135" s="4469"/>
      <c r="BE1135" s="4469"/>
      <c r="BF1135" s="4469"/>
      <c r="BG1135" s="4469"/>
      <c r="BH1135" s="4469"/>
      <c r="BI1135" s="4469"/>
      <c r="BJ1135" s="4469"/>
      <c r="BK1135" s="4469"/>
      <c r="BL1135" s="4469"/>
      <c r="BM1135" s="4469"/>
      <c r="BN1135" s="4469"/>
      <c r="BO1135" s="4469"/>
      <c r="BP1135" s="4469"/>
      <c r="BQ1135" s="4469"/>
      <c r="BR1135" s="4469"/>
      <c r="BS1135" s="4469"/>
      <c r="BT1135" s="4470"/>
      <c r="BU1135" s="4860"/>
      <c r="BV1135" s="4861"/>
      <c r="BW1135" s="4861"/>
      <c r="BX1135" s="4333"/>
      <c r="BY1135" s="4333"/>
      <c r="BZ1135" s="4333"/>
      <c r="CA1135" s="4838"/>
      <c r="CC1135" s="4837"/>
      <c r="CD1135" s="4838"/>
    </row>
    <row r="1136" s="4325" customFormat="1" ht="50" customHeight="1" spans="1:82">
      <c r="A1136" s="4852"/>
      <c r="B1136" s="4853"/>
      <c r="C1136" s="4330"/>
      <c r="D1136" s="4854"/>
      <c r="E1136" s="4330"/>
      <c r="F1136" s="4854"/>
      <c r="G1136" s="4330"/>
      <c r="H1136" s="4330"/>
      <c r="I1136" s="4850"/>
      <c r="J1136" s="4850"/>
      <c r="K1136" s="4850"/>
      <c r="L1136" s="4850"/>
      <c r="M1136" s="4855"/>
      <c r="N1136" s="4855"/>
      <c r="O1136" s="4856"/>
      <c r="P1136" s="4857"/>
      <c r="Q1136" s="4857"/>
      <c r="R1136" s="4858"/>
      <c r="S1136" s="4858"/>
      <c r="T1136" s="4858"/>
      <c r="U1136" s="4851"/>
      <c r="V1136" s="4840"/>
      <c r="W1136" s="4840"/>
      <c r="X1136" s="4840"/>
      <c r="Y1136" s="4840"/>
      <c r="Z1136" s="4859"/>
      <c r="AA1136" s="4023"/>
      <c r="AB1136" s="4850"/>
      <c r="AC1136" s="4850"/>
      <c r="AD1136" s="4850"/>
      <c r="AE1136" s="4851"/>
      <c r="AF1136" s="4330"/>
      <c r="AG1136" s="4851"/>
      <c r="AH1136" s="4330"/>
      <c r="AI1136" s="4850"/>
      <c r="AJ1136" s="4850"/>
      <c r="AK1136" s="4330"/>
      <c r="AL1136" s="4330"/>
      <c r="AM1136" s="4330"/>
      <c r="AN1136" s="4850"/>
      <c r="AO1136" s="4850"/>
      <c r="AP1136" s="4850"/>
      <c r="AQ1136" s="4469"/>
      <c r="AR1136" s="985"/>
      <c r="AS1136" s="4469"/>
      <c r="AT1136" s="985"/>
      <c r="AU1136" s="4469"/>
      <c r="AV1136" s="4469"/>
      <c r="AW1136" s="4469"/>
      <c r="AX1136" s="4469"/>
      <c r="AY1136" s="4469"/>
      <c r="AZ1136" s="4469"/>
      <c r="BA1136" s="4469"/>
      <c r="BB1136" s="4469"/>
      <c r="BC1136" s="4469"/>
      <c r="BD1136" s="4469"/>
      <c r="BE1136" s="4469"/>
      <c r="BF1136" s="4469"/>
      <c r="BG1136" s="4469"/>
      <c r="BH1136" s="4469"/>
      <c r="BI1136" s="4469"/>
      <c r="BJ1136" s="4469"/>
      <c r="BK1136" s="4469"/>
      <c r="BL1136" s="4469"/>
      <c r="BM1136" s="4469"/>
      <c r="BN1136" s="4469"/>
      <c r="BO1136" s="4469"/>
      <c r="BP1136" s="4469"/>
      <c r="BQ1136" s="4469"/>
      <c r="BR1136" s="4469"/>
      <c r="BS1136" s="4469"/>
      <c r="BT1136" s="4470"/>
      <c r="BU1136" s="4860"/>
      <c r="BV1136" s="4861"/>
      <c r="BW1136" s="4861"/>
      <c r="BX1136" s="4333"/>
      <c r="BY1136" s="4333"/>
      <c r="BZ1136" s="4333"/>
      <c r="CA1136" s="4838"/>
      <c r="CC1136" s="4837"/>
      <c r="CD1136" s="4838"/>
    </row>
    <row r="1137" s="4325" customFormat="1" ht="50" customHeight="1" spans="1:82">
      <c r="A1137" s="4852"/>
      <c r="B1137" s="4853"/>
      <c r="C1137" s="4330"/>
      <c r="D1137" s="4854"/>
      <c r="E1137" s="4330"/>
      <c r="F1137" s="4854"/>
      <c r="G1137" s="4330"/>
      <c r="H1137" s="4330"/>
      <c r="I1137" s="4850"/>
      <c r="J1137" s="4850"/>
      <c r="K1137" s="4850"/>
      <c r="L1137" s="4850"/>
      <c r="M1137" s="4855"/>
      <c r="N1137" s="4855"/>
      <c r="O1137" s="4856"/>
      <c r="P1137" s="4857"/>
      <c r="Q1137" s="4857"/>
      <c r="R1137" s="4858"/>
      <c r="S1137" s="4858"/>
      <c r="T1137" s="4858"/>
      <c r="U1137" s="4851"/>
      <c r="V1137" s="4840"/>
      <c r="W1137" s="4840"/>
      <c r="X1137" s="4840"/>
      <c r="Y1137" s="4840"/>
      <c r="Z1137" s="4859"/>
      <c r="AA1137" s="4023"/>
      <c r="AB1137" s="4850"/>
      <c r="AC1137" s="4850"/>
      <c r="AD1137" s="4850"/>
      <c r="AE1137" s="4851"/>
      <c r="AF1137" s="4330"/>
      <c r="AG1137" s="4851"/>
      <c r="AH1137" s="4330"/>
      <c r="AI1137" s="4850"/>
      <c r="AJ1137" s="4850"/>
      <c r="AK1137" s="4330"/>
      <c r="AL1137" s="4330"/>
      <c r="AM1137" s="4330"/>
      <c r="AN1137" s="4850"/>
      <c r="AO1137" s="4850"/>
      <c r="AP1137" s="4850"/>
      <c r="AQ1137" s="4469"/>
      <c r="AR1137" s="985"/>
      <c r="AS1137" s="4469"/>
      <c r="AT1137" s="985"/>
      <c r="AU1137" s="4469"/>
      <c r="AV1137" s="4469"/>
      <c r="AW1137" s="4469"/>
      <c r="AX1137" s="4469"/>
      <c r="AY1137" s="4469"/>
      <c r="AZ1137" s="4469"/>
      <c r="BA1137" s="4469"/>
      <c r="BB1137" s="4469"/>
      <c r="BC1137" s="4469"/>
      <c r="BD1137" s="4469"/>
      <c r="BE1137" s="4469"/>
      <c r="BF1137" s="4469"/>
      <c r="BG1137" s="4469"/>
      <c r="BH1137" s="4469"/>
      <c r="BI1137" s="4469"/>
      <c r="BJ1137" s="4469"/>
      <c r="BK1137" s="4469"/>
      <c r="BL1137" s="4469"/>
      <c r="BM1137" s="4469"/>
      <c r="BN1137" s="4469"/>
      <c r="BO1137" s="4469"/>
      <c r="BP1137" s="4469"/>
      <c r="BQ1137" s="4469"/>
      <c r="BR1137" s="4469"/>
      <c r="BS1137" s="4469"/>
      <c r="BT1137" s="4470"/>
      <c r="BU1137" s="4860"/>
      <c r="BV1137" s="4861"/>
      <c r="BW1137" s="4861"/>
      <c r="BX1137" s="4333"/>
      <c r="BY1137" s="4333"/>
      <c r="BZ1137" s="4333"/>
      <c r="CA1137" s="4838"/>
      <c r="CC1137" s="4837"/>
      <c r="CD1137" s="4838"/>
    </row>
    <row r="1138" s="4325" customFormat="1" ht="50" customHeight="1" spans="1:82">
      <c r="A1138" s="4852"/>
      <c r="B1138" s="4853"/>
      <c r="C1138" s="4330"/>
      <c r="D1138" s="4854"/>
      <c r="E1138" s="4330"/>
      <c r="F1138" s="4854"/>
      <c r="G1138" s="4330"/>
      <c r="H1138" s="4330"/>
      <c r="I1138" s="4850"/>
      <c r="J1138" s="4850"/>
      <c r="K1138" s="4850"/>
      <c r="L1138" s="4850"/>
      <c r="M1138" s="4855"/>
      <c r="N1138" s="4855"/>
      <c r="O1138" s="4856"/>
      <c r="P1138" s="4857"/>
      <c r="Q1138" s="4857"/>
      <c r="R1138" s="4858"/>
      <c r="S1138" s="4858"/>
      <c r="T1138" s="4858"/>
      <c r="U1138" s="4851"/>
      <c r="V1138" s="4840"/>
      <c r="W1138" s="4840"/>
      <c r="X1138" s="4840"/>
      <c r="Y1138" s="4840"/>
      <c r="Z1138" s="4859"/>
      <c r="AA1138" s="4023"/>
      <c r="AB1138" s="4850"/>
      <c r="AC1138" s="4850"/>
      <c r="AD1138" s="4850"/>
      <c r="AE1138" s="4851"/>
      <c r="AF1138" s="4330"/>
      <c r="AG1138" s="4851"/>
      <c r="AH1138" s="4330"/>
      <c r="AI1138" s="4850"/>
      <c r="AJ1138" s="4850"/>
      <c r="AK1138" s="4330"/>
      <c r="AL1138" s="4330"/>
      <c r="AM1138" s="4330"/>
      <c r="AN1138" s="4850"/>
      <c r="AO1138" s="4850"/>
      <c r="AP1138" s="4850"/>
      <c r="AQ1138" s="4469"/>
      <c r="AR1138" s="985"/>
      <c r="AS1138" s="4469"/>
      <c r="AT1138" s="985"/>
      <c r="AU1138" s="4469"/>
      <c r="AV1138" s="4469"/>
      <c r="AW1138" s="4469"/>
      <c r="AX1138" s="4469"/>
      <c r="AY1138" s="4469"/>
      <c r="AZ1138" s="4469"/>
      <c r="BA1138" s="4469"/>
      <c r="BB1138" s="4469"/>
      <c r="BC1138" s="4469"/>
      <c r="BD1138" s="4469"/>
      <c r="BE1138" s="4469"/>
      <c r="BF1138" s="4469"/>
      <c r="BG1138" s="4469"/>
      <c r="BH1138" s="4469"/>
      <c r="BI1138" s="4469"/>
      <c r="BJ1138" s="4469"/>
      <c r="BK1138" s="4469"/>
      <c r="BL1138" s="4469"/>
      <c r="BM1138" s="4469"/>
      <c r="BN1138" s="4469"/>
      <c r="BO1138" s="4469"/>
      <c r="BP1138" s="4469"/>
      <c r="BQ1138" s="4469"/>
      <c r="BR1138" s="4469"/>
      <c r="BS1138" s="4469"/>
      <c r="BT1138" s="4470"/>
      <c r="BU1138" s="4860"/>
      <c r="BV1138" s="4861"/>
      <c r="BW1138" s="4861"/>
      <c r="BX1138" s="4333"/>
      <c r="BY1138" s="4333"/>
      <c r="BZ1138" s="4333"/>
      <c r="CA1138" s="4838"/>
      <c r="CC1138" s="4837"/>
      <c r="CD1138" s="4838"/>
    </row>
    <row r="1139" s="4325" customFormat="1" ht="50" customHeight="1" spans="1:82">
      <c r="A1139" s="4852"/>
      <c r="B1139" s="4853"/>
      <c r="C1139" s="4330"/>
      <c r="D1139" s="4854"/>
      <c r="E1139" s="4330"/>
      <c r="F1139" s="4854"/>
      <c r="G1139" s="4330"/>
      <c r="H1139" s="4330"/>
      <c r="I1139" s="4850"/>
      <c r="J1139" s="4850"/>
      <c r="K1139" s="4850"/>
      <c r="L1139" s="4850"/>
      <c r="M1139" s="4855"/>
      <c r="N1139" s="4855"/>
      <c r="O1139" s="4856"/>
      <c r="P1139" s="4857"/>
      <c r="Q1139" s="4857"/>
      <c r="R1139" s="4858"/>
      <c r="S1139" s="4858"/>
      <c r="T1139" s="4858"/>
      <c r="U1139" s="4851"/>
      <c r="V1139" s="4840"/>
      <c r="W1139" s="4840"/>
      <c r="X1139" s="4840"/>
      <c r="Y1139" s="4840"/>
      <c r="Z1139" s="4859"/>
      <c r="AA1139" s="4023"/>
      <c r="AB1139" s="4850"/>
      <c r="AC1139" s="4850"/>
      <c r="AD1139" s="4850"/>
      <c r="AE1139" s="4851"/>
      <c r="AF1139" s="4330"/>
      <c r="AG1139" s="4851"/>
      <c r="AH1139" s="4330"/>
      <c r="AI1139" s="4850"/>
      <c r="AJ1139" s="4850"/>
      <c r="AK1139" s="4330"/>
      <c r="AL1139" s="4330"/>
      <c r="AM1139" s="4330"/>
      <c r="AN1139" s="4850"/>
      <c r="AO1139" s="4850"/>
      <c r="AP1139" s="4850"/>
      <c r="AQ1139" s="4469"/>
      <c r="AR1139" s="985"/>
      <c r="AS1139" s="4469"/>
      <c r="AT1139" s="985"/>
      <c r="AU1139" s="4469"/>
      <c r="AV1139" s="4469"/>
      <c r="AW1139" s="4469"/>
      <c r="AX1139" s="4469"/>
      <c r="AY1139" s="4469"/>
      <c r="AZ1139" s="4469"/>
      <c r="BA1139" s="4469"/>
      <c r="BB1139" s="4469"/>
      <c r="BC1139" s="4469"/>
      <c r="BD1139" s="4469"/>
      <c r="BE1139" s="4469"/>
      <c r="BF1139" s="4469"/>
      <c r="BG1139" s="4469"/>
      <c r="BH1139" s="4469"/>
      <c r="BI1139" s="4469"/>
      <c r="BJ1139" s="4469"/>
      <c r="BK1139" s="4469"/>
      <c r="BL1139" s="4469"/>
      <c r="BM1139" s="4469"/>
      <c r="BN1139" s="4469"/>
      <c r="BO1139" s="4469"/>
      <c r="BP1139" s="4469"/>
      <c r="BQ1139" s="4469"/>
      <c r="BR1139" s="4469"/>
      <c r="BS1139" s="4469"/>
      <c r="BT1139" s="4470"/>
      <c r="BU1139" s="4860"/>
      <c r="BV1139" s="4861"/>
      <c r="BW1139" s="4861"/>
      <c r="BX1139" s="4333"/>
      <c r="BY1139" s="4333"/>
      <c r="BZ1139" s="4333"/>
      <c r="CA1139" s="4838"/>
      <c r="CC1139" s="4837"/>
      <c r="CD1139" s="4838"/>
    </row>
    <row r="1140" s="4325" customFormat="1" ht="50" customHeight="1" spans="1:82">
      <c r="A1140" s="4852"/>
      <c r="B1140" s="4853"/>
      <c r="C1140" s="4330"/>
      <c r="D1140" s="4854"/>
      <c r="E1140" s="4330"/>
      <c r="F1140" s="4854"/>
      <c r="G1140" s="4330"/>
      <c r="H1140" s="4330"/>
      <c r="I1140" s="4850"/>
      <c r="J1140" s="4850"/>
      <c r="K1140" s="4850"/>
      <c r="L1140" s="4850"/>
      <c r="M1140" s="4855"/>
      <c r="N1140" s="4855"/>
      <c r="O1140" s="4856"/>
      <c r="P1140" s="4857"/>
      <c r="Q1140" s="4857"/>
      <c r="R1140" s="4858"/>
      <c r="S1140" s="4858"/>
      <c r="T1140" s="4858"/>
      <c r="U1140" s="4851"/>
      <c r="V1140" s="4840"/>
      <c r="W1140" s="4840"/>
      <c r="X1140" s="4840"/>
      <c r="Y1140" s="4840"/>
      <c r="Z1140" s="4859"/>
      <c r="AA1140" s="4023"/>
      <c r="AB1140" s="4850"/>
      <c r="AC1140" s="4850"/>
      <c r="AD1140" s="4850"/>
      <c r="AE1140" s="4851"/>
      <c r="AF1140" s="4330"/>
      <c r="AG1140" s="4851"/>
      <c r="AH1140" s="4330"/>
      <c r="AI1140" s="4850"/>
      <c r="AJ1140" s="4850"/>
      <c r="AK1140" s="4330"/>
      <c r="AL1140" s="4330"/>
      <c r="AM1140" s="4330"/>
      <c r="AN1140" s="4850"/>
      <c r="AO1140" s="4850"/>
      <c r="AP1140" s="4850"/>
      <c r="AQ1140" s="4469"/>
      <c r="AR1140" s="985"/>
      <c r="AS1140" s="4469"/>
      <c r="AT1140" s="985"/>
      <c r="AU1140" s="4469"/>
      <c r="AV1140" s="4469"/>
      <c r="AW1140" s="4469"/>
      <c r="AX1140" s="4469"/>
      <c r="AY1140" s="4469"/>
      <c r="AZ1140" s="4469"/>
      <c r="BA1140" s="4469"/>
      <c r="BB1140" s="4469"/>
      <c r="BC1140" s="4469"/>
      <c r="BD1140" s="4469"/>
      <c r="BE1140" s="4469"/>
      <c r="BF1140" s="4469"/>
      <c r="BG1140" s="4469"/>
      <c r="BH1140" s="4469"/>
      <c r="BI1140" s="4469"/>
      <c r="BJ1140" s="4469"/>
      <c r="BK1140" s="4469"/>
      <c r="BL1140" s="4469"/>
      <c r="BM1140" s="4469"/>
      <c r="BN1140" s="4469"/>
      <c r="BO1140" s="4469"/>
      <c r="BP1140" s="4469"/>
      <c r="BQ1140" s="4469"/>
      <c r="BR1140" s="4469"/>
      <c r="BS1140" s="4469"/>
      <c r="BT1140" s="4470"/>
      <c r="BU1140" s="4860"/>
      <c r="BV1140" s="4861"/>
      <c r="BW1140" s="4861"/>
      <c r="BX1140" s="4333"/>
      <c r="BY1140" s="4333"/>
      <c r="BZ1140" s="4333"/>
      <c r="CA1140" s="4838"/>
      <c r="CC1140" s="4837"/>
      <c r="CD1140" s="4838"/>
    </row>
    <row r="1141" s="4325" customFormat="1" ht="50" customHeight="1" spans="1:82">
      <c r="A1141" s="4852"/>
      <c r="B1141" s="4853"/>
      <c r="C1141" s="4330"/>
      <c r="D1141" s="4854"/>
      <c r="E1141" s="4330"/>
      <c r="F1141" s="4854"/>
      <c r="G1141" s="4330"/>
      <c r="H1141" s="4330"/>
      <c r="I1141" s="4850"/>
      <c r="J1141" s="4850"/>
      <c r="K1141" s="4850"/>
      <c r="L1141" s="4850"/>
      <c r="M1141" s="4855"/>
      <c r="N1141" s="4855"/>
      <c r="O1141" s="4856"/>
      <c r="P1141" s="4857"/>
      <c r="Q1141" s="4857"/>
      <c r="R1141" s="4858"/>
      <c r="S1141" s="4858"/>
      <c r="T1141" s="4858"/>
      <c r="U1141" s="4851"/>
      <c r="V1141" s="4840"/>
      <c r="W1141" s="4840"/>
      <c r="X1141" s="4840"/>
      <c r="Y1141" s="4840"/>
      <c r="Z1141" s="4859"/>
      <c r="AA1141" s="4023"/>
      <c r="AB1141" s="4850"/>
      <c r="AC1141" s="4850"/>
      <c r="AD1141" s="4850"/>
      <c r="AE1141" s="4851"/>
      <c r="AF1141" s="4330"/>
      <c r="AG1141" s="4851"/>
      <c r="AH1141" s="4330"/>
      <c r="AI1141" s="4850"/>
      <c r="AJ1141" s="4850"/>
      <c r="AK1141" s="4330"/>
      <c r="AL1141" s="4330"/>
      <c r="AM1141" s="4330"/>
      <c r="AN1141" s="4850"/>
      <c r="AO1141" s="4850"/>
      <c r="AP1141" s="4850"/>
      <c r="AQ1141" s="4469"/>
      <c r="AR1141" s="985"/>
      <c r="AS1141" s="4469"/>
      <c r="AT1141" s="985"/>
      <c r="AU1141" s="4469"/>
      <c r="AV1141" s="4469"/>
      <c r="AW1141" s="4469"/>
      <c r="AX1141" s="4469"/>
      <c r="AY1141" s="4469"/>
      <c r="AZ1141" s="4469"/>
      <c r="BA1141" s="4469"/>
      <c r="BB1141" s="4469"/>
      <c r="BC1141" s="4469"/>
      <c r="BD1141" s="4469"/>
      <c r="BE1141" s="4469"/>
      <c r="BF1141" s="4469"/>
      <c r="BG1141" s="4469"/>
      <c r="BH1141" s="4469"/>
      <c r="BI1141" s="4469"/>
      <c r="BJ1141" s="4469"/>
      <c r="BK1141" s="4469"/>
      <c r="BL1141" s="4469"/>
      <c r="BM1141" s="4469"/>
      <c r="BN1141" s="4469"/>
      <c r="BO1141" s="4469"/>
      <c r="BP1141" s="4469"/>
      <c r="BQ1141" s="4469"/>
      <c r="BR1141" s="4469"/>
      <c r="BS1141" s="4469"/>
      <c r="BT1141" s="4470"/>
      <c r="BU1141" s="4860"/>
      <c r="BV1141" s="4861"/>
      <c r="BW1141" s="4861"/>
      <c r="BX1141" s="4333"/>
      <c r="BY1141" s="4333"/>
      <c r="BZ1141" s="4333"/>
      <c r="CA1141" s="4838"/>
      <c r="CC1141" s="4837"/>
      <c r="CD1141" s="4838"/>
    </row>
    <row r="1142" spans="1:82">
      <c r="X1142" s="4840"/>
    </row>
    <row r="1143" spans="1:82">
      <c r="X1143" s="4840"/>
    </row>
    <row r="1144" spans="1:82">
      <c r="X1144" s="4840"/>
    </row>
    <row r="1145" spans="1:82">
      <c r="X1145" s="4840"/>
    </row>
    <row r="1146" spans="1:82">
      <c r="X1146" s="4840"/>
    </row>
    <row r="1147" spans="1:82">
      <c r="X1147" s="4840"/>
    </row>
    <row r="1148" spans="1:82">
      <c r="X1148" s="4840"/>
    </row>
    <row r="1149" spans="1:82">
      <c r="X1149" s="4840"/>
    </row>
    <row r="1150" spans="1:82">
      <c r="X1150" s="4840"/>
    </row>
    <row r="1151" spans="1:82">
      <c r="X1151" s="4840"/>
    </row>
    <row r="1152" spans="1:82">
      <c r="X1152" s="4840"/>
    </row>
    <row r="1153" spans="24:24">
      <c r="X1153" s="4840"/>
    </row>
    <row r="1154" spans="24:24">
      <c r="X1154" s="4840"/>
    </row>
    <row r="1155" spans="24:24">
      <c r="X1155" s="4840"/>
    </row>
    <row r="1156" spans="24:24">
      <c r="X1156" s="4840"/>
    </row>
    <row r="1157" spans="24:24">
      <c r="X1157" s="4840"/>
    </row>
    <row r="1158" spans="24:24">
      <c r="X1158" s="4840"/>
    </row>
    <row r="1159" spans="24:24">
      <c r="X1159" s="4840"/>
    </row>
    <row r="1162" spans="24:24">
      <c r="X1162" s="4840"/>
    </row>
    <row r="1168" spans="24:24">
      <c r="X1168" s="4353"/>
    </row>
    <row r="1179" spans="24:24">
      <c r="X1179" s="4865"/>
    </row>
    <row r="1180" spans="24:24">
      <c r="X1180" s="4865"/>
    </row>
    <row r="1181" spans="24:24">
      <c r="X1181" s="4866"/>
    </row>
    <row r="1186" spans="24:24">
      <c r="X1186" s="4840"/>
    </row>
    <row r="1187" spans="24:24">
      <c r="X1187" s="4840"/>
    </row>
    <row r="1188" spans="24:24">
      <c r="X1188" s="4840"/>
    </row>
    <row r="1189" spans="24:24">
      <c r="X1189" s="4840"/>
    </row>
    <row r="1190" spans="24:24">
      <c r="X1190" s="4840"/>
    </row>
    <row r="1191" spans="24:24">
      <c r="X1191" s="4840"/>
    </row>
    <row r="1192" spans="24:24">
      <c r="X1192" s="4840"/>
    </row>
    <row r="1193" spans="24:24">
      <c r="X1193" s="4840"/>
    </row>
    <row r="1194" spans="24:24">
      <c r="X1194" s="4840"/>
    </row>
    <row r="1195" spans="24:24">
      <c r="X1195" s="4840"/>
    </row>
    <row r="1196" spans="24:24">
      <c r="X1196" s="4840"/>
    </row>
    <row r="1197" spans="24:24">
      <c r="X1197" s="4840"/>
    </row>
    <row r="1198" spans="24:24">
      <c r="X1198" s="4840"/>
    </row>
    <row r="1199" spans="24:24">
      <c r="X1199" s="4840"/>
    </row>
    <row r="1200" spans="24:24">
      <c r="X1200" s="4840"/>
    </row>
    <row r="1201" spans="24:24">
      <c r="X1201" s="4840"/>
    </row>
    <row r="1202" spans="24:24">
      <c r="X1202" s="4840"/>
    </row>
    <row r="1203" spans="24:24">
      <c r="X1203" s="4840"/>
    </row>
    <row r="1204" spans="24:24">
      <c r="X1204" s="4840"/>
    </row>
    <row r="1205" spans="24:24">
      <c r="X1205" s="4840"/>
    </row>
    <row r="1207" spans="24:24">
      <c r="X1207" s="4840"/>
    </row>
    <row r="1208" spans="24:24">
      <c r="X1208" s="4865"/>
    </row>
    <row r="1209" spans="24:24">
      <c r="X1209" s="4840"/>
    </row>
    <row r="1210" spans="24:24">
      <c r="X1210" s="4840"/>
    </row>
    <row r="1211" spans="24:24">
      <c r="X1211" s="4840"/>
    </row>
    <row r="1212" spans="24:24">
      <c r="X1212" s="4840"/>
    </row>
    <row r="1213" spans="24:24">
      <c r="X1213" s="4840"/>
    </row>
    <row r="1214" spans="24:24">
      <c r="X1214" s="4840"/>
    </row>
    <row r="1215" spans="24:24">
      <c r="X1215" s="4840"/>
    </row>
    <row r="1216" spans="24:24">
      <c r="X1216" s="4840"/>
    </row>
    <row r="1217" spans="24:24">
      <c r="X1217" s="4840"/>
    </row>
    <row r="1218" spans="24:24">
      <c r="X1218" s="4840"/>
    </row>
    <row r="1219" spans="24:24">
      <c r="X1219" s="4840"/>
    </row>
    <row r="1220" spans="24:24">
      <c r="X1220" s="4840"/>
    </row>
    <row r="1221" spans="24:24">
      <c r="X1221" s="4840"/>
    </row>
    <row r="1222" spans="24:24">
      <c r="X1222" s="4840"/>
    </row>
    <row r="1223" spans="24:24">
      <c r="X1223" s="4840"/>
    </row>
    <row r="1224" spans="24:24">
      <c r="X1224" s="4840"/>
    </row>
    <row r="1225" spans="24:24">
      <c r="X1225" s="4840"/>
    </row>
    <row r="1226" spans="24:24">
      <c r="X1226" s="4840"/>
    </row>
    <row r="1227" spans="24:24">
      <c r="X1227" s="4840"/>
    </row>
    <row r="1228" spans="24:24">
      <c r="X1228" s="4840"/>
    </row>
    <row r="1229" spans="24:24">
      <c r="X1229" s="4840"/>
    </row>
    <row r="1230" spans="24:24">
      <c r="X1230" s="4840"/>
    </row>
    <row r="1231" spans="24:24">
      <c r="X1231" s="4840"/>
    </row>
    <row r="1232" spans="24:24">
      <c r="X1232" s="4840"/>
    </row>
    <row r="1233" spans="24:24">
      <c r="X1233" s="4840"/>
    </row>
    <row r="1234" spans="24:24">
      <c r="X1234" s="4840"/>
    </row>
    <row r="1235" spans="24:24">
      <c r="X1235" s="4840"/>
    </row>
    <row r="1236" spans="24:24">
      <c r="X1236" s="4840"/>
    </row>
    <row r="1237" spans="24:24">
      <c r="X1237" s="4840"/>
    </row>
    <row r="1238" spans="24:24">
      <c r="X1238" s="4840"/>
    </row>
    <row r="1239" spans="24:24">
      <c r="X1239" s="4840"/>
    </row>
    <row r="1240" spans="24:24">
      <c r="X1240" s="4840"/>
    </row>
    <row r="1241" spans="24:24">
      <c r="X1241" s="4840"/>
    </row>
    <row r="1242" spans="24:24">
      <c r="X1242" s="4840"/>
    </row>
    <row r="1243" spans="24:24">
      <c r="X1243" s="4840"/>
    </row>
    <row r="1244" spans="24:24">
      <c r="X1244" s="4840"/>
    </row>
    <row r="1245" spans="24:24">
      <c r="X1245" s="4840"/>
    </row>
    <row r="1246" spans="24:24">
      <c r="X1246" s="4840"/>
    </row>
    <row r="1247" spans="24:24">
      <c r="X1247" s="4840"/>
    </row>
    <row r="1248" spans="24:24">
      <c r="X1248" s="4840"/>
    </row>
    <row r="1249" spans="24:24">
      <c r="X1249" s="4840"/>
    </row>
    <row r="1250" spans="24:24">
      <c r="X1250" s="4840"/>
    </row>
    <row r="1251" spans="24:24">
      <c r="X1251" s="4840"/>
    </row>
    <row r="1252" spans="24:24">
      <c r="X1252" s="4840"/>
    </row>
    <row r="1253" spans="24:24">
      <c r="X1253" s="4840"/>
    </row>
    <row r="1254" spans="24:24">
      <c r="X1254" s="4840"/>
    </row>
    <row r="1255" spans="24:24">
      <c r="X1255" s="4840"/>
    </row>
    <row r="1256" spans="24:24">
      <c r="X1256" s="4840"/>
    </row>
    <row r="1257" spans="24:24">
      <c r="X1257" s="4840"/>
    </row>
    <row r="1258" spans="24:24">
      <c r="X1258" s="4840"/>
    </row>
    <row r="1259" spans="24:24">
      <c r="X1259" s="4840"/>
    </row>
    <row r="1260" spans="24:24">
      <c r="X1260" s="4840"/>
    </row>
    <row r="1261" spans="24:24">
      <c r="X1261" s="4840"/>
    </row>
    <row r="1262" spans="24:24">
      <c r="X1262" s="4840"/>
    </row>
    <row r="1263" spans="24:24">
      <c r="X1263" s="4840"/>
    </row>
    <row r="1264" spans="24:24">
      <c r="X1264" s="4840"/>
    </row>
    <row r="1265" spans="24:24">
      <c r="X1265" s="4840"/>
    </row>
    <row r="1266" spans="24:24">
      <c r="X1266" s="4840"/>
    </row>
    <row r="1267" spans="24:24">
      <c r="X1267" s="4840"/>
    </row>
    <row r="1268" spans="24:24">
      <c r="X1268" s="4840"/>
    </row>
    <row r="1269" spans="24:24">
      <c r="X1269" s="4840"/>
    </row>
    <row r="1270" spans="24:24">
      <c r="X1270" s="4840"/>
    </row>
    <row r="1271" spans="24:24">
      <c r="X1271" s="4840"/>
    </row>
    <row r="1272" spans="24:24">
      <c r="X1272" s="4840"/>
    </row>
    <row r="1273" spans="24:24">
      <c r="X1273" s="4840"/>
    </row>
    <row r="1274" spans="24:24">
      <c r="X1274" s="4840"/>
    </row>
    <row r="1275" spans="24:24">
      <c r="X1275" s="4840"/>
    </row>
    <row r="1276" spans="24:24">
      <c r="X1276" s="4840"/>
    </row>
    <row r="1277" spans="24:24">
      <c r="X1277" s="4840"/>
    </row>
    <row r="1278" spans="24:24">
      <c r="X1278" s="4840"/>
    </row>
    <row r="1279" spans="24:24">
      <c r="X1279" s="4840"/>
    </row>
    <row r="1280" spans="24:24">
      <c r="X1280" s="4840"/>
    </row>
    <row r="1281" spans="24:24">
      <c r="X1281" s="4840"/>
    </row>
    <row r="1282" spans="24:24">
      <c r="X1282" s="4840"/>
    </row>
    <row r="1283" spans="24:24">
      <c r="X1283" s="4840"/>
    </row>
    <row r="1284" spans="24:24">
      <c r="X1284" s="4840"/>
    </row>
    <row r="1285" spans="24:24">
      <c r="X1285" s="4840"/>
    </row>
    <row r="1286" spans="24:24">
      <c r="X1286" s="4840"/>
    </row>
    <row r="1287" spans="24:24">
      <c r="X1287" s="4840"/>
    </row>
    <row r="1288" spans="24:24">
      <c r="X1288" s="4840"/>
    </row>
    <row r="1289" spans="24:24">
      <c r="X1289" s="4840"/>
    </row>
    <row r="1290" spans="24:24">
      <c r="X1290" s="4840"/>
    </row>
    <row r="1291" spans="24:24">
      <c r="X1291" s="4840"/>
    </row>
    <row r="1292" spans="24:24">
      <c r="X1292" s="4840"/>
    </row>
    <row r="1293" spans="24:24">
      <c r="X1293" s="4840"/>
    </row>
    <row r="1294" spans="24:24">
      <c r="X1294" s="4840"/>
    </row>
    <row r="1295" spans="24:24">
      <c r="X1295" s="4840"/>
    </row>
    <row r="1296" spans="24:24">
      <c r="X1296" s="4840"/>
    </row>
    <row r="1297" spans="24:24">
      <c r="X1297" s="4840"/>
    </row>
    <row r="1298" spans="24:24">
      <c r="X1298" s="4840"/>
    </row>
    <row r="1299" spans="24:24">
      <c r="X1299" s="4840"/>
    </row>
    <row r="1300" spans="24:24">
      <c r="X1300" s="4840"/>
    </row>
    <row r="1301" spans="24:24">
      <c r="X1301" s="4865"/>
    </row>
    <row r="1302" spans="24:24">
      <c r="X1302" s="4840"/>
    </row>
    <row r="1303" spans="24:24">
      <c r="X1303" s="4840"/>
    </row>
    <row r="1304" spans="24:24">
      <c r="X1304" s="4840"/>
    </row>
    <row r="1305" spans="24:24">
      <c r="X1305" s="4840"/>
    </row>
    <row r="1306" spans="24:24">
      <c r="X1306" s="4840"/>
    </row>
    <row r="1307" spans="24:24">
      <c r="X1307" s="4840"/>
    </row>
    <row r="1308" spans="24:24">
      <c r="X1308" s="4840"/>
    </row>
    <row r="1309" spans="24:24">
      <c r="X1309" s="4840"/>
    </row>
    <row r="1310" spans="24:24">
      <c r="X1310" s="4840"/>
    </row>
    <row r="1311" spans="24:24">
      <c r="X1311" s="4840"/>
    </row>
    <row r="1312" spans="24:24">
      <c r="X1312" s="4840"/>
    </row>
    <row r="1313" spans="24:24">
      <c r="X1313" s="4840"/>
    </row>
    <row r="1314" spans="24:24">
      <c r="X1314" s="4840"/>
    </row>
    <row r="1315" spans="24:24">
      <c r="X1315" s="4840"/>
    </row>
    <row r="1316" spans="24:24">
      <c r="X1316" s="4840"/>
    </row>
    <row r="1317" spans="24:24">
      <c r="X1317" s="4840"/>
    </row>
    <row r="1318" spans="24:24">
      <c r="X1318" s="4840"/>
    </row>
    <row r="1319" spans="24:24">
      <c r="X1319" s="4840"/>
    </row>
    <row r="1320" spans="24:24">
      <c r="X1320" s="4840"/>
    </row>
    <row r="1321" spans="24:24">
      <c r="X1321" s="4840"/>
    </row>
    <row r="1322" spans="24:24">
      <c r="X1322" s="4840"/>
    </row>
    <row r="1323" spans="24:24">
      <c r="X1323" s="4840"/>
    </row>
    <row r="1324" spans="24:24">
      <c r="X1324" s="4840"/>
    </row>
    <row r="1325" spans="24:24">
      <c r="X1325" s="4840"/>
    </row>
    <row r="1326" spans="24:24">
      <c r="X1326" s="4840"/>
    </row>
    <row r="1327" spans="24:24">
      <c r="X1327" s="4840"/>
    </row>
    <row r="1328" spans="24:24">
      <c r="X1328" s="4840"/>
    </row>
    <row r="1329" spans="24:24">
      <c r="X1329" s="4840"/>
    </row>
    <row r="1330" spans="24:24">
      <c r="X1330" s="4840"/>
    </row>
    <row r="1331" spans="24:24">
      <c r="X1331" s="4840"/>
    </row>
    <row r="1332" spans="24:24">
      <c r="X1332" s="4840"/>
    </row>
    <row r="1333" spans="24:24">
      <c r="X1333" s="4840"/>
    </row>
    <row r="1334" spans="24:24">
      <c r="X1334" s="4865"/>
    </row>
    <row r="1335" spans="24:24">
      <c r="X1335" s="4840"/>
    </row>
    <row r="1336" spans="24:24">
      <c r="X1336" s="4840"/>
    </row>
    <row r="1337" spans="24:24">
      <c r="X1337" s="4840"/>
    </row>
    <row r="1338" spans="24:24">
      <c r="X1338" s="4840"/>
    </row>
    <row r="1339" spans="24:24">
      <c r="X1339" s="4840"/>
    </row>
    <row r="1340" spans="24:24">
      <c r="X1340" s="4840"/>
    </row>
    <row r="1341" spans="24:24">
      <c r="X1341" s="4840"/>
    </row>
    <row r="1342" spans="24:24">
      <c r="X1342" s="4840"/>
    </row>
    <row r="1343" spans="24:24">
      <c r="X1343" s="4840"/>
    </row>
    <row r="1344" spans="24:24">
      <c r="X1344" s="4840"/>
    </row>
    <row r="1345" spans="24:24">
      <c r="X1345" s="4840"/>
    </row>
    <row r="1346" spans="24:24">
      <c r="X1346" s="4840"/>
    </row>
    <row r="1347" spans="24:24">
      <c r="X1347" s="4840"/>
    </row>
    <row r="1348" spans="24:24">
      <c r="X1348" s="4840"/>
    </row>
    <row r="1349" spans="24:24">
      <c r="X1349" s="4840"/>
    </row>
    <row r="1350" spans="24:24">
      <c r="X1350" s="4840"/>
    </row>
    <row r="1351" spans="24:24">
      <c r="X1351" s="4840"/>
    </row>
    <row r="1352" spans="24:24">
      <c r="X1352" s="4840"/>
    </row>
    <row r="1353" spans="24:24">
      <c r="X1353" s="4840"/>
    </row>
    <row r="1354" spans="24:24">
      <c r="X1354" s="4840"/>
    </row>
    <row r="1355" spans="24:24">
      <c r="X1355" s="4840"/>
    </row>
    <row r="1356" spans="24:24">
      <c r="X1356" s="4840"/>
    </row>
    <row r="1357" spans="24:24">
      <c r="X1357" s="4840"/>
    </row>
    <row r="1358" spans="24:24">
      <c r="X1358" s="4840"/>
    </row>
    <row r="1359" spans="24:24">
      <c r="X1359" s="4840"/>
    </row>
    <row r="1360" spans="24:24">
      <c r="X1360" s="4840"/>
    </row>
    <row r="1361" spans="24:24">
      <c r="X1361" s="4840"/>
    </row>
    <row r="1362" spans="24:24">
      <c r="X1362" s="4840"/>
    </row>
    <row r="1363" spans="24:24">
      <c r="X1363" s="4840"/>
    </row>
    <row r="1364" spans="24:24">
      <c r="X1364" s="4840"/>
    </row>
    <row r="1365" spans="24:24">
      <c r="X1365" s="4840"/>
    </row>
    <row r="1366" spans="24:24">
      <c r="X1366" s="4840"/>
    </row>
    <row r="1367" spans="24:24">
      <c r="X1367" s="4840"/>
    </row>
    <row r="1368" spans="24:24">
      <c r="X1368" s="4840"/>
    </row>
    <row r="1369" spans="24:24">
      <c r="X1369" s="4840"/>
    </row>
    <row r="1370" spans="24:24">
      <c r="X1370" s="4840"/>
    </row>
    <row r="1371" spans="24:24">
      <c r="X1371" s="4840"/>
    </row>
    <row r="1372" spans="24:24">
      <c r="X1372" s="4840"/>
    </row>
    <row r="1373" spans="24:24">
      <c r="X1373" s="4840"/>
    </row>
    <row r="1374" spans="24:24">
      <c r="X1374" s="4840"/>
    </row>
    <row r="1375" spans="24:24">
      <c r="X1375" s="4840"/>
    </row>
    <row r="1376" spans="24:24">
      <c r="X1376" s="4840"/>
    </row>
    <row r="1377" spans="24:24">
      <c r="X1377" s="4840"/>
    </row>
    <row r="1378" spans="24:24">
      <c r="X1378" s="4840"/>
    </row>
    <row r="1379" spans="24:24">
      <c r="X1379" s="4840"/>
    </row>
    <row r="1380" spans="24:24">
      <c r="X1380" s="4840"/>
    </row>
    <row r="1381" spans="24:24">
      <c r="X1381" s="4840"/>
    </row>
    <row r="1382" spans="24:24">
      <c r="X1382" s="4840"/>
    </row>
    <row r="1383" spans="24:24">
      <c r="X1383" s="4840"/>
    </row>
    <row r="1384" spans="24:24">
      <c r="X1384" s="4840"/>
    </row>
    <row r="1385" spans="24:24">
      <c r="X1385" s="4840"/>
    </row>
    <row r="1386" spans="24:24">
      <c r="X1386" s="4840"/>
    </row>
    <row r="1387" spans="24:24">
      <c r="X1387" s="4840"/>
    </row>
    <row r="1388" spans="24:24">
      <c r="X1388" s="4840"/>
    </row>
    <row r="1389" spans="24:24">
      <c r="X1389" s="4840"/>
    </row>
    <row r="1390" spans="24:24">
      <c r="X1390" s="4840"/>
    </row>
    <row r="1391" spans="24:24">
      <c r="X1391" s="4840"/>
    </row>
    <row r="1392" spans="24:24">
      <c r="X1392" s="4840"/>
    </row>
    <row r="1393" spans="24:24">
      <c r="X1393" s="4840"/>
    </row>
    <row r="1394" spans="24:24">
      <c r="X1394" s="4840"/>
    </row>
    <row r="1395" spans="24:24">
      <c r="X1395" s="4840"/>
    </row>
    <row r="1396" spans="24:24">
      <c r="X1396" s="4840"/>
    </row>
    <row r="1397" spans="24:24">
      <c r="X1397" s="4840"/>
    </row>
    <row r="1398" spans="24:24">
      <c r="X1398" s="4840"/>
    </row>
    <row r="1399" spans="24:24">
      <c r="X1399" s="4840"/>
    </row>
    <row r="1400" spans="24:24">
      <c r="X1400" s="4840"/>
    </row>
    <row r="1401" spans="24:24">
      <c r="X1401" s="4840"/>
    </row>
    <row r="1402" spans="24:24">
      <c r="X1402" s="4840"/>
    </row>
    <row r="1403" spans="24:24">
      <c r="X1403" s="4840"/>
    </row>
    <row r="1404" spans="24:24">
      <c r="X1404" s="4840"/>
    </row>
    <row r="1405" spans="24:24">
      <c r="X1405" s="4840"/>
    </row>
    <row r="1406" spans="24:24">
      <c r="X1406" s="4840"/>
    </row>
    <row r="1407" spans="24:24">
      <c r="X1407" s="4840"/>
    </row>
    <row r="1408" spans="24:24">
      <c r="X1408" s="4840"/>
    </row>
    <row r="1409" spans="24:24">
      <c r="X1409" s="4840"/>
    </row>
    <row r="1410" spans="24:24">
      <c r="X1410" s="4840"/>
    </row>
    <row r="1411" spans="24:24">
      <c r="X1411" s="4840"/>
    </row>
    <row r="1412" spans="24:24">
      <c r="X1412" s="4840"/>
    </row>
    <row r="1413" spans="24:24">
      <c r="X1413" s="4840"/>
    </row>
    <row r="1414" spans="24:24">
      <c r="X1414" s="4840"/>
    </row>
    <row r="1415" spans="24:24">
      <c r="X1415" s="4840"/>
    </row>
    <row r="1416" spans="24:24">
      <c r="X1416" s="4840"/>
    </row>
    <row r="1417" spans="24:24">
      <c r="X1417" s="4840"/>
    </row>
    <row r="1418" spans="24:24">
      <c r="X1418" s="4840"/>
    </row>
    <row r="1419" spans="24:24">
      <c r="X1419" s="4840"/>
    </row>
    <row r="1420" spans="24:24">
      <c r="X1420" s="4840"/>
    </row>
    <row r="1421" spans="24:24">
      <c r="X1421" s="4840"/>
    </row>
    <row r="1422" spans="24:24">
      <c r="X1422" s="4840"/>
    </row>
    <row r="1423" spans="24:24">
      <c r="X1423" s="4840"/>
    </row>
    <row r="1424" spans="24:24">
      <c r="X1424" s="4840"/>
    </row>
    <row r="1425" spans="24:24">
      <c r="X1425" s="4840"/>
    </row>
    <row r="1426" spans="24:24">
      <c r="X1426" s="4840"/>
    </row>
    <row r="1427" spans="24:24">
      <c r="X1427" s="4840"/>
    </row>
    <row r="1428" spans="24:24">
      <c r="X1428" s="4840"/>
    </row>
    <row r="1429" spans="24:24">
      <c r="X1429" s="4840"/>
    </row>
    <row r="1430" spans="24:24">
      <c r="X1430" s="4840"/>
    </row>
    <row r="1431" spans="24:24">
      <c r="X1431" s="4840"/>
    </row>
    <row r="1432" spans="24:24">
      <c r="X1432" s="4840"/>
    </row>
    <row r="1433" spans="24:24">
      <c r="X1433" s="4840"/>
    </row>
    <row r="1434" spans="24:24">
      <c r="X1434" s="4840"/>
    </row>
    <row r="1435" spans="24:24">
      <c r="X1435" s="4840"/>
    </row>
    <row r="1436" spans="24:24">
      <c r="X1436" s="4840"/>
    </row>
    <row r="1437" spans="24:24">
      <c r="X1437" s="4840"/>
    </row>
    <row r="1438" spans="24:24">
      <c r="X1438" s="4865"/>
    </row>
    <row r="1439" spans="24:24">
      <c r="X1439" s="4840"/>
    </row>
    <row r="1440" spans="24:24">
      <c r="X1440" s="4840"/>
    </row>
    <row r="1441" spans="24:24">
      <c r="X1441" s="4840"/>
    </row>
    <row r="1442" spans="24:24">
      <c r="X1442" s="4840"/>
    </row>
    <row r="1443" spans="24:24">
      <c r="X1443" s="4840"/>
    </row>
    <row r="1444" spans="24:24">
      <c r="X1444" s="4840"/>
    </row>
    <row r="1445" spans="24:24">
      <c r="X1445" s="4840"/>
    </row>
    <row r="1446" spans="24:24">
      <c r="X1446" s="4851"/>
    </row>
    <row r="1447" spans="24:24">
      <c r="X1447" s="4851"/>
    </row>
    <row r="1448" spans="24:24">
      <c r="X1448" s="4851"/>
    </row>
    <row r="1449" spans="24:24">
      <c r="X1449" s="4851"/>
    </row>
    <row r="1450" spans="24:24">
      <c r="X1450" s="4851"/>
    </row>
    <row r="1451" spans="24:24">
      <c r="X1451" s="4851"/>
    </row>
    <row r="1452" spans="24:24">
      <c r="X1452" s="4851"/>
    </row>
    <row r="1453" spans="24:24">
      <c r="X1453" s="4851"/>
    </row>
    <row r="1454" spans="24:24">
      <c r="X1454" s="4851"/>
    </row>
    <row r="1455" spans="24:24">
      <c r="X1455" s="4851"/>
    </row>
    <row r="1456" spans="24:24">
      <c r="X1456" s="4851"/>
    </row>
    <row r="1457" spans="24:24">
      <c r="X1457" s="4851"/>
    </row>
    <row r="1458" spans="24:24">
      <c r="X1458" s="4851"/>
    </row>
    <row r="1459" spans="24:24">
      <c r="X1459" s="4851"/>
    </row>
    <row r="1460" spans="24:24">
      <c r="X1460" s="4851"/>
    </row>
    <row r="1461" spans="24:24">
      <c r="X1461" s="4851"/>
    </row>
    <row r="1462" spans="24:24">
      <c r="X1462" s="4851"/>
    </row>
    <row r="1463" spans="24:24">
      <c r="X1463" s="4851"/>
    </row>
    <row r="1464" spans="24:24">
      <c r="X1464" s="4851"/>
    </row>
    <row r="1465" spans="24:24">
      <c r="X1465" s="4851"/>
    </row>
    <row r="1466" spans="24:24">
      <c r="X1466" s="4851"/>
    </row>
    <row r="1467" spans="24:24">
      <c r="X1467" s="4851"/>
    </row>
    <row r="1468" spans="24:24">
      <c r="X1468" s="4851"/>
    </row>
    <row r="1469" spans="24:24">
      <c r="X1469" s="4851"/>
    </row>
    <row r="1470" spans="24:24">
      <c r="X1470" s="4851"/>
    </row>
    <row r="1471" spans="24:24">
      <c r="X1471" s="4851"/>
    </row>
    <row r="1472" spans="24:24">
      <c r="X1472" s="4851"/>
    </row>
    <row r="1473" spans="24:24">
      <c r="X1473" s="4851"/>
    </row>
    <row r="1474" spans="24:24">
      <c r="X1474" s="4851"/>
    </row>
    <row r="1475" spans="24:24">
      <c r="X1475" s="4851"/>
    </row>
    <row r="1476" spans="24:24">
      <c r="X1476" s="4851"/>
    </row>
    <row r="1477" spans="24:24">
      <c r="X1477" s="4851"/>
    </row>
    <row r="1478" spans="24:24">
      <c r="X1478" s="4851"/>
    </row>
    <row r="1479" spans="24:24">
      <c r="X1479" s="4851"/>
    </row>
    <row r="1480" spans="24:24">
      <c r="X1480" s="4851"/>
    </row>
    <row r="1481" spans="24:24">
      <c r="X1481" s="4851"/>
    </row>
    <row r="1482" spans="24:24">
      <c r="X1482" s="4851"/>
    </row>
  </sheetData>
  <sheetProtection formatCells="0" formatColumns="0" formatRows="0" insertRows="0" insertColumns="0" insertHyperlinks="0" deleteColumns="0" deleteRows="0" sort="0" autoFilter="0" pivotTables="0"/>
  <protectedRanges>
    <protectedRange sqref="Q$1:CN$1048576" name="Range1"/>
    <protectedRange sqref="A$1:P$1048576 U$1:CO$1048576" name="Range2"/>
  </protectedRanges>
  <autoFilter xmlns:etc="http://www.wps.cn/officeDocument/2017/etCustomData" ref="A3:XFD1482" etc:filterBottomFollowUsedRange="1">
    <extLst/>
  </autoFilter>
  <sortState ref="1047:1061">
    <sortCondition ref="N1047"/>
  </sortState>
  <mergeCells count="33">
    <mergeCell ref="A1:G1"/>
    <mergeCell ref="BH1:BN1"/>
    <mergeCell ref="BO1:BU1"/>
    <mergeCell ref="A2:E2"/>
    <mergeCell ref="H2:I2"/>
    <mergeCell ref="K2:M2"/>
    <mergeCell ref="O2:P2"/>
    <mergeCell ref="AH2:AN2"/>
    <mergeCell ref="AO2:AQ2"/>
    <mergeCell ref="AR2:AU2"/>
    <mergeCell ref="S830:S831"/>
    <mergeCell ref="S832:S833"/>
    <mergeCell ref="S841:S844"/>
    <mergeCell ref="S845:S849"/>
    <mergeCell ref="S853:S859"/>
    <mergeCell ref="S866:S867"/>
    <mergeCell ref="S868:S870"/>
    <mergeCell ref="S871:S873"/>
    <mergeCell ref="S876:S882"/>
    <mergeCell ref="S893:S899"/>
    <mergeCell ref="S906:S908"/>
    <mergeCell ref="S910:S916"/>
    <mergeCell ref="S926:S927"/>
    <mergeCell ref="S929:S933"/>
    <mergeCell ref="S934:S936"/>
    <mergeCell ref="S938:S946"/>
    <mergeCell ref="S948:S954"/>
    <mergeCell ref="S964:S967"/>
    <mergeCell ref="S968:S974"/>
    <mergeCell ref="S975:S981"/>
    <mergeCell ref="S992:S994"/>
    <mergeCell ref="S996:S998"/>
    <mergeCell ref="S1052:S1054"/>
  </mergeCells>
  <conditionalFormatting sqref="V3:W3">
    <cfRule type="cellIs" dxfId="0" priority="2566" operator="equal">
      <formula>"欠"</formula>
    </cfRule>
  </conditionalFormatting>
  <conditionalFormatting sqref="X3">
    <cfRule type="cellIs" dxfId="0" priority="2565" operator="equal">
      <formula>"欠"</formula>
    </cfRule>
  </conditionalFormatting>
  <conditionalFormatting sqref="V35:Y35">
    <cfRule type="containsText" dxfId="1" priority="2535" operator="between" text="欠">
      <formula>NOT(ISERROR(SEARCH("欠",V35)))</formula>
    </cfRule>
  </conditionalFormatting>
  <conditionalFormatting sqref="X39">
    <cfRule type="containsText" dxfId="1" priority="2381" operator="between" text="欠">
      <formula>NOT(ISERROR(SEARCH("欠",X39)))</formula>
    </cfRule>
  </conditionalFormatting>
  <conditionalFormatting sqref="V41:X41">
    <cfRule type="containsText" dxfId="1" priority="2379" operator="between" text="欠">
      <formula>NOT(ISERROR(SEARCH("欠",V41)))</formula>
    </cfRule>
  </conditionalFormatting>
  <conditionalFormatting sqref="V42">
    <cfRule type="containsText" dxfId="1" priority="2369" operator="between" text="欠">
      <formula>NOT(ISERROR(SEARCH("欠",V42)))</formula>
    </cfRule>
  </conditionalFormatting>
  <conditionalFormatting sqref="V43:W43">
    <cfRule type="containsText" dxfId="1" priority="2543" operator="between" text="欠">
      <formula>NOT(ISERROR(SEARCH("欠",V43)))</formula>
    </cfRule>
  </conditionalFormatting>
  <conditionalFormatting sqref="X43">
    <cfRule type="containsText" dxfId="1" priority="2375" operator="between" text="欠">
      <formula>NOT(ISERROR(SEARCH("欠",X43)))</formula>
    </cfRule>
  </conditionalFormatting>
  <conditionalFormatting sqref="V44">
    <cfRule type="containsText" dxfId="1" priority="2541" operator="between" text="欠">
      <formula>NOT(ISERROR(SEARCH("欠",V44)))</formula>
    </cfRule>
  </conditionalFormatting>
  <conditionalFormatting sqref="V48:X48">
    <cfRule type="containsText" dxfId="1" priority="2395" operator="between" text="欠">
      <formula>NOT(ISERROR(SEARCH("欠",V48)))</formula>
    </cfRule>
  </conditionalFormatting>
  <conditionalFormatting sqref="V56">
    <cfRule type="containsText" dxfId="1" priority="2397" operator="between" text="欠">
      <formula>NOT(ISERROR(SEARCH("欠",V56)))</formula>
    </cfRule>
  </conditionalFormatting>
  <conditionalFormatting sqref="W56:X56">
    <cfRule type="containsText" dxfId="1" priority="2399" operator="between" text="欠">
      <formula>NOT(ISERROR(SEARCH("欠",W56)))</formula>
    </cfRule>
  </conditionalFormatting>
  <conditionalFormatting sqref="V57:X57">
    <cfRule type="containsText" dxfId="1" priority="2393" operator="between" text="欠">
      <formula>NOT(ISERROR(SEARCH("欠",V57)))</formula>
    </cfRule>
  </conditionalFormatting>
  <conditionalFormatting sqref="V58">
    <cfRule type="containsText" dxfId="1" priority="2373" operator="between" text="欠">
      <formula>NOT(ISERROR(SEARCH("欠",V58)))</formula>
    </cfRule>
  </conditionalFormatting>
  <conditionalFormatting sqref="V59">
    <cfRule type="containsText" dxfId="1" priority="2529" operator="between" text="欠">
      <formula>NOT(ISERROR(SEARCH("欠",V59)))</formula>
    </cfRule>
  </conditionalFormatting>
  <conditionalFormatting sqref="X85">
    <cfRule type="containsText" dxfId="1" priority="2351" operator="between" text="欠">
      <formula>NOT(ISERROR(SEARCH("欠",X85)))</formula>
    </cfRule>
  </conditionalFormatting>
  <conditionalFormatting sqref="Y92">
    <cfRule type="containsText" dxfId="1" priority="2219" operator="between" text="欠">
      <formula>NOT(ISERROR(SEARCH("欠",Y92)))</formula>
    </cfRule>
  </conditionalFormatting>
  <conditionalFormatting sqref="V96">
    <cfRule type="containsText" dxfId="1" priority="2371" operator="between" text="欠">
      <formula>NOT(ISERROR(SEARCH("欠",V96)))</formula>
    </cfRule>
  </conditionalFormatting>
  <conditionalFormatting sqref="W102">
    <cfRule type="containsText" dxfId="1" priority="2334" operator="between" text="欠">
      <formula>NOT(ISERROR(SEARCH("欠",W102)))</formula>
    </cfRule>
  </conditionalFormatting>
  <conditionalFormatting sqref="W103">
    <cfRule type="containsText" dxfId="1" priority="2333" operator="between" text="欠">
      <formula>NOT(ISERROR(SEARCH("欠",W103)))</formula>
    </cfRule>
  </conditionalFormatting>
  <conditionalFormatting sqref="W104">
    <cfRule type="containsText" dxfId="1" priority="2332" operator="between" text="欠">
      <formula>NOT(ISERROR(SEARCH("欠",W104)))</formula>
    </cfRule>
  </conditionalFormatting>
  <conditionalFormatting sqref="W105">
    <cfRule type="containsText" dxfId="1" priority="2331" operator="between" text="欠">
      <formula>NOT(ISERROR(SEARCH("欠",W105)))</formula>
    </cfRule>
  </conditionalFormatting>
  <conditionalFormatting sqref="W106">
    <cfRule type="containsText" dxfId="1" priority="2330" operator="between" text="欠">
      <formula>NOT(ISERROR(SEARCH("欠",W106)))</formula>
    </cfRule>
  </conditionalFormatting>
  <conditionalFormatting sqref="W107">
    <cfRule type="containsText" dxfId="1" priority="2329" operator="between" text="欠">
      <formula>NOT(ISERROR(SEARCH("欠",W107)))</formula>
    </cfRule>
  </conditionalFormatting>
  <conditionalFormatting sqref="Y108">
    <cfRule type="containsText" dxfId="1" priority="2247" operator="between" text="欠">
      <formula>NOT(ISERROR(SEARCH("欠",Y108)))</formula>
    </cfRule>
  </conditionalFormatting>
  <conditionalFormatting sqref="W109">
    <cfRule type="containsText" dxfId="1" priority="2363" operator="between" text="欠">
      <formula>NOT(ISERROR(SEARCH("欠",W109)))</formula>
    </cfRule>
  </conditionalFormatting>
  <conditionalFormatting sqref="W112">
    <cfRule type="containsText" dxfId="1" priority="2256" operator="between" text="欠">
      <formula>NOT(ISERROR(SEARCH("欠",W112)))</formula>
    </cfRule>
  </conditionalFormatting>
  <conditionalFormatting sqref="W113">
    <cfRule type="containsText" dxfId="1" priority="2255" operator="between" text="欠">
      <formula>NOT(ISERROR(SEARCH("欠",W113)))</formula>
    </cfRule>
  </conditionalFormatting>
  <conditionalFormatting sqref="W115">
    <cfRule type="containsText" dxfId="1" priority="2263" operator="between" text="欠">
      <formula>NOT(ISERROR(SEARCH("欠",W115)))</formula>
    </cfRule>
  </conditionalFormatting>
  <conditionalFormatting sqref="V116">
    <cfRule type="containsText" dxfId="1" priority="2249" operator="between" text="欠">
      <formula>NOT(ISERROR(SEARCH("欠",V116)))</formula>
    </cfRule>
  </conditionalFormatting>
  <conditionalFormatting sqref="Y119">
    <cfRule type="containsText" dxfId="1" priority="2271" operator="between" text="欠">
      <formula>NOT(ISERROR(SEARCH("欠",Y119)))</formula>
    </cfRule>
  </conditionalFormatting>
  <conditionalFormatting sqref="U121">
    <cfRule type="containsText" dxfId="1" priority="2051" operator="between" text="欠">
      <formula>NOT(ISERROR(SEARCH("欠",U121)))</formula>
    </cfRule>
  </conditionalFormatting>
  <conditionalFormatting sqref="V121">
    <cfRule type="containsText" dxfId="1" priority="2221" operator="between" text="欠">
      <formula>NOT(ISERROR(SEARCH("欠",V121)))</formula>
    </cfRule>
  </conditionalFormatting>
  <conditionalFormatting sqref="W121:Y121">
    <cfRule type="containsText" dxfId="1" priority="2225" operator="between" text="欠">
      <formula>NOT(ISERROR(SEARCH("欠",W121)))</formula>
    </cfRule>
  </conditionalFormatting>
  <conditionalFormatting sqref="V125">
    <cfRule type="containsText" dxfId="1" priority="2205" operator="between" text="欠">
      <formula>NOT(ISERROR(SEARCH("欠",V125)))</formula>
    </cfRule>
  </conditionalFormatting>
  <conditionalFormatting sqref="X125">
    <cfRule type="containsText" dxfId="1" priority="2203" operator="between" text="欠">
      <formula>NOT(ISERROR(SEARCH("欠",X125)))</formula>
    </cfRule>
  </conditionalFormatting>
  <conditionalFormatting sqref="Y126">
    <cfRule type="containsText" dxfId="1" priority="2343" operator="between" text="欠">
      <formula>NOT(ISERROR(SEARCH("欠",Y126)))</formula>
    </cfRule>
  </conditionalFormatting>
  <conditionalFormatting sqref="V127">
    <cfRule type="containsText" dxfId="1" priority="2227" operator="between" text="欠">
      <formula>NOT(ISERROR(SEARCH("欠",V127)))</formula>
    </cfRule>
  </conditionalFormatting>
  <conditionalFormatting sqref="W127:Y127">
    <cfRule type="containsText" dxfId="1" priority="2229" operator="between" text="欠">
      <formula>NOT(ISERROR(SEARCH("欠",W127)))</formula>
    </cfRule>
  </conditionalFormatting>
  <conditionalFormatting sqref="V129:W129">
    <cfRule type="containsText" dxfId="1" priority="2063" operator="between" text="欠">
      <formula>NOT(ISERROR(SEARCH("欠",V129)))</formula>
    </cfRule>
  </conditionalFormatting>
  <conditionalFormatting sqref="X129">
    <cfRule type="containsText" dxfId="1" priority="2061" operator="between" text="欠">
      <formula>NOT(ISERROR(SEARCH("欠",X129)))</formula>
    </cfRule>
  </conditionalFormatting>
  <conditionalFormatting sqref="Y129">
    <cfRule type="containsText" dxfId="1" priority="2059" operator="between" text="欠">
      <formula>NOT(ISERROR(SEARCH("欠",Y129)))</formula>
    </cfRule>
  </conditionalFormatting>
  <conditionalFormatting sqref="V130:W130">
    <cfRule type="containsText" dxfId="1" priority="2057" operator="between" text="欠">
      <formula>NOT(ISERROR(SEARCH("欠",V130)))</formula>
    </cfRule>
  </conditionalFormatting>
  <conditionalFormatting sqref="X130">
    <cfRule type="containsText" dxfId="1" priority="2055" operator="between" text="欠">
      <formula>NOT(ISERROR(SEARCH("欠",X130)))</formula>
    </cfRule>
  </conditionalFormatting>
  <conditionalFormatting sqref="Y130">
    <cfRule type="containsText" dxfId="1" priority="2053" operator="between" text="欠">
      <formula>NOT(ISERROR(SEARCH("欠",Y130)))</formula>
    </cfRule>
  </conditionalFormatting>
  <conditionalFormatting sqref="V136">
    <cfRule type="containsText" dxfId="1" priority="2303" operator="between" text="欠">
      <formula>NOT(ISERROR(SEARCH("欠",V136)))</formula>
    </cfRule>
  </conditionalFormatting>
  <conditionalFormatting sqref="W136:Y136">
    <cfRule type="containsText" dxfId="1" priority="2305" operator="between" text="欠">
      <formula>NOT(ISERROR(SEARCH("欠",W136)))</formula>
    </cfRule>
  </conditionalFormatting>
  <conditionalFormatting sqref="V137">
    <cfRule type="containsText" dxfId="1" priority="2159" operator="between" text="欠">
      <formula>NOT(ISERROR(SEARCH("欠",V137)))</formula>
    </cfRule>
  </conditionalFormatting>
  <conditionalFormatting sqref="W137:X137">
    <cfRule type="containsText" dxfId="1" priority="2355" operator="between" text="欠">
      <formula>NOT(ISERROR(SEARCH("欠",W137)))</formula>
    </cfRule>
  </conditionalFormatting>
  <conditionalFormatting sqref="Y137">
    <cfRule type="containsText" dxfId="1" priority="2093" operator="between" text="欠">
      <formula>NOT(ISERROR(SEARCH("欠",Y137)))</formula>
    </cfRule>
  </conditionalFormatting>
  <conditionalFormatting sqref="V146">
    <cfRule type="containsText" dxfId="1" priority="2151" operator="between" text="欠">
      <formula>NOT(ISERROR(SEARCH("欠",V146)))</formula>
    </cfRule>
  </conditionalFormatting>
  <conditionalFormatting sqref="Y146">
    <cfRule type="containsText" dxfId="1" priority="2087" operator="between" text="欠">
      <formula>NOT(ISERROR(SEARCH("欠",Y146)))</formula>
    </cfRule>
  </conditionalFormatting>
  <conditionalFormatting sqref="W153">
    <cfRule type="containsText" dxfId="1" priority="2125" operator="between" text="欠">
      <formula>NOT(ISERROR(SEARCH("欠",W153)))</formula>
    </cfRule>
  </conditionalFormatting>
  <conditionalFormatting sqref="X153">
    <cfRule type="containsText" dxfId="1" priority="2107" operator="between" text="欠">
      <formula>NOT(ISERROR(SEARCH("欠",X153)))</formula>
    </cfRule>
  </conditionalFormatting>
  <conditionalFormatting sqref="V157">
    <cfRule type="containsText" dxfId="1" priority="2091" operator="between" text="欠">
      <formula>NOT(ISERROR(SEARCH("欠",V157)))</formula>
    </cfRule>
  </conditionalFormatting>
  <conditionalFormatting sqref="W157:Y157">
    <cfRule type="containsText" dxfId="1" priority="2209" operator="between" text="欠">
      <formula>NOT(ISERROR(SEARCH("欠",W157)))</formula>
    </cfRule>
  </conditionalFormatting>
  <conditionalFormatting sqref="V162:W162">
    <cfRule type="containsText" dxfId="1" priority="2099" operator="between" text="欠">
      <formula>NOT(ISERROR(SEARCH("欠",V162)))</formula>
    </cfRule>
  </conditionalFormatting>
  <conditionalFormatting sqref="Y162">
    <cfRule type="containsText" dxfId="1" priority="2095" operator="between" text="欠">
      <formula>NOT(ISERROR(SEARCH("欠",Y162)))</formula>
    </cfRule>
  </conditionalFormatting>
  <conditionalFormatting sqref="Y165">
    <cfRule type="containsText" dxfId="1" priority="2027" operator="between" text="欠">
      <formula>NOT(ISERROR(SEARCH("欠",Y165)))</formula>
    </cfRule>
  </conditionalFormatting>
  <conditionalFormatting sqref="W166">
    <cfRule type="containsText" dxfId="1" priority="2231" operator="between" text="欠">
      <formula>NOT(ISERROR(SEARCH("欠",W166)))</formula>
    </cfRule>
  </conditionalFormatting>
  <conditionalFormatting sqref="Y166">
    <cfRule type="containsText" dxfId="1" priority="2025" operator="between" text="欠">
      <formula>NOT(ISERROR(SEARCH("欠",Y166)))</formula>
    </cfRule>
  </conditionalFormatting>
  <conditionalFormatting sqref="Y167">
    <cfRule type="containsText" dxfId="1" priority="2323" operator="between" text="欠">
      <formula>NOT(ISERROR(SEARCH("欠",Y167)))</formula>
    </cfRule>
  </conditionalFormatting>
  <conditionalFormatting sqref="W171:X171">
    <cfRule type="containsText" dxfId="1" priority="2089" operator="between" text="欠">
      <formula>NOT(ISERROR(SEARCH("欠",W171)))</formula>
    </cfRule>
  </conditionalFormatting>
  <conditionalFormatting sqref="W174">
    <cfRule type="containsText" dxfId="1" priority="2031" operator="between" text="欠">
      <formula>NOT(ISERROR(SEARCH("欠",W174)))</formula>
    </cfRule>
  </conditionalFormatting>
  <conditionalFormatting sqref="Y174">
    <cfRule type="containsText" dxfId="1" priority="2043" operator="between" text="欠">
      <formula>NOT(ISERROR(SEARCH("欠",Y174)))</formula>
    </cfRule>
  </conditionalFormatting>
  <conditionalFormatting sqref="W179">
    <cfRule type="containsText" dxfId="1" priority="2137" operator="between" text="欠">
      <formula>NOT(ISERROR(SEARCH("欠",W179)))</formula>
    </cfRule>
  </conditionalFormatting>
  <conditionalFormatting sqref="W182">
    <cfRule type="containsText" dxfId="1" priority="2047" operator="between" text="欠">
      <formula>NOT(ISERROR(SEARCH("欠",W182)))</formula>
    </cfRule>
  </conditionalFormatting>
  <conditionalFormatting sqref="W183">
    <cfRule type="containsText" dxfId="1" priority="2049" operator="between" text="欠">
      <formula>NOT(ISERROR(SEARCH("欠",W183)))</formula>
    </cfRule>
  </conditionalFormatting>
  <conditionalFormatting sqref="W184:Y184">
    <cfRule type="containsText" dxfId="1" priority="2297" operator="between" text="欠">
      <formula>NOT(ISERROR(SEARCH("欠",W184)))</formula>
    </cfRule>
  </conditionalFormatting>
  <conditionalFormatting sqref="V186">
    <cfRule type="containsText" dxfId="1" priority="2035" operator="between" text="欠">
      <formula>NOT(ISERROR(SEARCH("欠",V186)))</formula>
    </cfRule>
  </conditionalFormatting>
  <conditionalFormatting sqref="W186">
    <cfRule type="containsText" dxfId="1" priority="2119" operator="between" text="欠">
      <formula>NOT(ISERROR(SEARCH("欠",W186)))</formula>
    </cfRule>
  </conditionalFormatting>
  <conditionalFormatting sqref="X186">
    <cfRule type="containsText" dxfId="1" priority="1901" operator="between" text="欠">
      <formula>NOT(ISERROR(SEARCH("欠",X186)))</formula>
    </cfRule>
  </conditionalFormatting>
  <conditionalFormatting sqref="V187">
    <cfRule type="containsText" dxfId="1" priority="2147" operator="between" text="欠">
      <formula>NOT(ISERROR(SEARCH("欠",V187)))</formula>
    </cfRule>
  </conditionalFormatting>
  <conditionalFormatting sqref="W187">
    <cfRule type="containsText" dxfId="1" priority="2169" operator="between" text="欠">
      <formula>NOT(ISERROR(SEARCH("欠",W187)))</formula>
    </cfRule>
  </conditionalFormatting>
  <conditionalFormatting sqref="X187">
    <cfRule type="containsText" dxfId="1" priority="2065" operator="between" text="欠">
      <formula>NOT(ISERROR(SEARCH("欠",X187)))</formula>
    </cfRule>
  </conditionalFormatting>
  <conditionalFormatting sqref="X230">
    <cfRule type="containsText" dxfId="1" priority="1923" operator="between" text="欠">
      <formula>NOT(ISERROR(SEARCH("欠",X230)))</formula>
    </cfRule>
  </conditionalFormatting>
  <conditionalFormatting sqref="V237:X237">
    <cfRule type="containsText" dxfId="1" priority="2069" operator="between" text="欠">
      <formula>NOT(ISERROR(SEARCH("欠",V237)))</formula>
    </cfRule>
  </conditionalFormatting>
  <conditionalFormatting sqref="P246:U246">
    <cfRule type="containsText" dxfId="1" priority="867" operator="between" text="欠">
      <formula>NOT(ISERROR(SEARCH("欠",P246)))</formula>
    </cfRule>
  </conditionalFormatting>
  <conditionalFormatting sqref="W246">
    <cfRule type="containsText" dxfId="1" priority="864" operator="between" text="欠">
      <formula>NOT(ISERROR(SEARCH("欠",W246)))</formula>
    </cfRule>
  </conditionalFormatting>
  <conditionalFormatting sqref="Y246">
    <cfRule type="containsText" dxfId="1" priority="866" operator="between" text="欠">
      <formula>NOT(ISERROR(SEARCH("欠",Y246)))</formula>
    </cfRule>
  </conditionalFormatting>
  <conditionalFormatting sqref="P249:T249">
    <cfRule type="containsText" dxfId="1" priority="1866" operator="between" text="欠">
      <formula>NOT(ISERROR(SEARCH("欠",P249)))</formula>
    </cfRule>
  </conditionalFormatting>
  <conditionalFormatting sqref="U250">
    <cfRule type="containsText" dxfId="1" priority="1943" operator="between" text="欠">
      <formula>NOT(ISERROR(SEARCH("欠",U250)))</formula>
    </cfRule>
  </conditionalFormatting>
  <conditionalFormatting sqref="P252:T252">
    <cfRule type="containsText" dxfId="1" priority="1867" operator="between" text="欠">
      <formula>NOT(ISERROR(SEARCH("欠",P252)))</formula>
    </cfRule>
  </conditionalFormatting>
  <conditionalFormatting sqref="V253">
    <cfRule type="containsText" dxfId="1" priority="1887" operator="between" text="欠">
      <formula>NOT(ISERROR(SEARCH("欠",V253)))</formula>
    </cfRule>
  </conditionalFormatting>
  <conditionalFormatting sqref="W253">
    <cfRule type="containsText" dxfId="1" priority="1885" operator="between" text="欠">
      <formula>NOT(ISERROR(SEARCH("欠",W253)))</formula>
    </cfRule>
  </conditionalFormatting>
  <conditionalFormatting sqref="X253">
    <cfRule type="containsText" dxfId="1" priority="1886" operator="between" text="欠">
      <formula>NOT(ISERROR(SEARCH("欠",X253)))</formula>
    </cfRule>
  </conditionalFormatting>
  <conditionalFormatting sqref="V266">
    <cfRule type="containsText" dxfId="1" priority="1903" operator="between" text="欠">
      <formula>NOT(ISERROR(SEARCH("欠",V266)))</formula>
    </cfRule>
  </conditionalFormatting>
  <conditionalFormatting sqref="V268">
    <cfRule type="containsText" dxfId="1" priority="1882" operator="between" text="欠">
      <formula>NOT(ISERROR(SEARCH("欠",V268)))</formula>
    </cfRule>
  </conditionalFormatting>
  <conditionalFormatting sqref="W268">
    <cfRule type="containsText" dxfId="1" priority="1897" operator="between" text="欠">
      <formula>NOT(ISERROR(SEARCH("欠",W268)))</formula>
    </cfRule>
  </conditionalFormatting>
  <conditionalFormatting sqref="X268">
    <cfRule type="containsText" dxfId="1" priority="1881" operator="between" text="欠">
      <formula>NOT(ISERROR(SEARCH("欠",X268)))</formula>
    </cfRule>
  </conditionalFormatting>
  <conditionalFormatting sqref="V279">
    <cfRule type="containsText" dxfId="1" priority="1891" operator="between" text="欠">
      <formula>NOT(ISERROR(SEARCH("欠",V279)))</formula>
    </cfRule>
  </conditionalFormatting>
  <conditionalFormatting sqref="V312">
    <cfRule type="containsText" dxfId="1" priority="1949" operator="between" text="欠">
      <formula>NOT(ISERROR(SEARCH("欠",V312)))</formula>
    </cfRule>
  </conditionalFormatting>
  <conditionalFormatting sqref="V323">
    <cfRule type="containsText" dxfId="1" priority="1735" operator="between" text="欠">
      <formula>NOT(ISERROR(SEARCH("欠",V323)))</formula>
    </cfRule>
  </conditionalFormatting>
  <conditionalFormatting sqref="W323">
    <cfRule type="containsText" dxfId="1" priority="1747" operator="between" text="欠">
      <formula>NOT(ISERROR(SEARCH("欠",W323)))</formula>
    </cfRule>
  </conditionalFormatting>
  <conditionalFormatting sqref="Y323">
    <cfRule type="containsText" dxfId="1" priority="1741" operator="between" text="欠">
      <formula>NOT(ISERROR(SEARCH("欠",Y323)))</formula>
    </cfRule>
  </conditionalFormatting>
  <conditionalFormatting sqref="V324">
    <cfRule type="containsText" dxfId="1" priority="1734" operator="between" text="欠">
      <formula>NOT(ISERROR(SEARCH("欠",V324)))</formula>
    </cfRule>
  </conditionalFormatting>
  <conditionalFormatting sqref="W324">
    <cfRule type="containsText" dxfId="1" priority="1746" operator="between" text="欠">
      <formula>NOT(ISERROR(SEARCH("欠",W324)))</formula>
    </cfRule>
  </conditionalFormatting>
  <conditionalFormatting sqref="Y324">
    <cfRule type="containsText" dxfId="1" priority="1740" operator="between" text="欠">
      <formula>NOT(ISERROR(SEARCH("欠",Y324)))</formula>
    </cfRule>
  </conditionalFormatting>
  <conditionalFormatting sqref="V325">
    <cfRule type="containsText" dxfId="1" priority="1733" operator="between" text="欠">
      <formula>NOT(ISERROR(SEARCH("欠",V325)))</formula>
    </cfRule>
  </conditionalFormatting>
  <conditionalFormatting sqref="W325">
    <cfRule type="containsText" dxfId="1" priority="1745" operator="between" text="欠">
      <formula>NOT(ISERROR(SEARCH("欠",W325)))</formula>
    </cfRule>
  </conditionalFormatting>
  <conditionalFormatting sqref="Y325">
    <cfRule type="containsText" dxfId="1" priority="1739" operator="between" text="欠">
      <formula>NOT(ISERROR(SEARCH("欠",Y325)))</formula>
    </cfRule>
  </conditionalFormatting>
  <conditionalFormatting sqref="V326">
    <cfRule type="containsText" dxfId="1" priority="1732" operator="between" text="欠">
      <formula>NOT(ISERROR(SEARCH("欠",V326)))</formula>
    </cfRule>
  </conditionalFormatting>
  <conditionalFormatting sqref="W326">
    <cfRule type="containsText" dxfId="1" priority="1744" operator="between" text="欠">
      <formula>NOT(ISERROR(SEARCH("欠",W326)))</formula>
    </cfRule>
  </conditionalFormatting>
  <conditionalFormatting sqref="Y326">
    <cfRule type="containsText" dxfId="1" priority="1738" operator="between" text="欠">
      <formula>NOT(ISERROR(SEARCH("欠",Y326)))</formula>
    </cfRule>
  </conditionalFormatting>
  <conditionalFormatting sqref="O330">
    <cfRule type="containsText" dxfId="1" priority="1418" operator="between" text="欠">
      <formula>NOT(ISERROR(SEARCH("欠",O330)))</formula>
    </cfRule>
  </conditionalFormatting>
  <conditionalFormatting sqref="Z330">
    <cfRule type="containsText" dxfId="1" priority="1898" operator="between" text="欠">
      <formula>NOT(ISERROR(SEARCH("欠",Z330)))</formula>
    </cfRule>
  </conditionalFormatting>
  <conditionalFormatting sqref="V331">
    <cfRule type="containsText" dxfId="1" priority="1731" operator="between" text="欠">
      <formula>NOT(ISERROR(SEARCH("欠",V331)))</formula>
    </cfRule>
  </conditionalFormatting>
  <conditionalFormatting sqref="W331">
    <cfRule type="containsText" dxfId="1" priority="1743" operator="between" text="欠">
      <formula>NOT(ISERROR(SEARCH("欠",W331)))</formula>
    </cfRule>
  </conditionalFormatting>
  <conditionalFormatting sqref="X331">
    <cfRule type="containsText" dxfId="1" priority="1725" operator="between" text="欠">
      <formula>NOT(ISERROR(SEARCH("欠",X331)))</formula>
    </cfRule>
  </conditionalFormatting>
  <conditionalFormatting sqref="Y331">
    <cfRule type="containsText" dxfId="1" priority="1737" operator="between" text="欠">
      <formula>NOT(ISERROR(SEARCH("欠",Y331)))</formula>
    </cfRule>
  </conditionalFormatting>
  <conditionalFormatting sqref="V334">
    <cfRule type="containsText" dxfId="1" priority="1723" operator="between" text="欠">
      <formula>NOT(ISERROR(SEARCH("欠",V334)))</formula>
    </cfRule>
  </conditionalFormatting>
  <conditionalFormatting sqref="W334">
    <cfRule type="containsText" dxfId="1" priority="1755" operator="between" text="欠">
      <formula>NOT(ISERROR(SEARCH("欠",W334)))</formula>
    </cfRule>
  </conditionalFormatting>
  <conditionalFormatting sqref="X334">
    <cfRule type="containsText" dxfId="1" priority="1752" operator="between" text="欠">
      <formula>NOT(ISERROR(SEARCH("欠",X334)))</formula>
    </cfRule>
  </conditionalFormatting>
  <conditionalFormatting sqref="Y334">
    <cfRule type="containsText" dxfId="1" priority="1754" operator="between" text="欠">
      <formula>NOT(ISERROR(SEARCH("欠",Y334)))</formula>
    </cfRule>
  </conditionalFormatting>
  <conditionalFormatting sqref="X336">
    <cfRule type="containsText" dxfId="1" priority="1843" operator="between" text="欠">
      <formula>NOT(ISERROR(SEARCH("欠",X336)))</formula>
    </cfRule>
  </conditionalFormatting>
  <conditionalFormatting sqref="V339">
    <cfRule type="containsText" dxfId="1" priority="1749" operator="between" text="欠">
      <formula>NOT(ISERROR(SEARCH("欠",V339)))</formula>
    </cfRule>
  </conditionalFormatting>
  <conditionalFormatting sqref="W339">
    <cfRule type="containsText" dxfId="1" priority="1751" operator="between" text="欠">
      <formula>NOT(ISERROR(SEARCH("欠",W339)))</formula>
    </cfRule>
  </conditionalFormatting>
  <conditionalFormatting sqref="X339">
    <cfRule type="containsText" dxfId="1" priority="1748" operator="between" text="欠">
      <formula>NOT(ISERROR(SEARCH("欠",X339)))</formula>
    </cfRule>
  </conditionalFormatting>
  <conditionalFormatting sqref="Y339">
    <cfRule type="containsText" dxfId="1" priority="1750" operator="between" text="欠">
      <formula>NOT(ISERROR(SEARCH("欠",Y339)))</formula>
    </cfRule>
  </conditionalFormatting>
  <conditionalFormatting sqref="V346">
    <cfRule type="containsText" dxfId="1" priority="1704" operator="between" text="欠">
      <formula>NOT(ISERROR(SEARCH("欠",V346)))</formula>
    </cfRule>
  </conditionalFormatting>
  <conditionalFormatting sqref="W346">
    <cfRule type="containsText" dxfId="1" priority="1714" operator="between" text="欠">
      <formula>NOT(ISERROR(SEARCH("欠",W346)))</formula>
    </cfRule>
  </conditionalFormatting>
  <conditionalFormatting sqref="X346">
    <cfRule type="containsText" dxfId="1" priority="1711" operator="between" text="欠">
      <formula>NOT(ISERROR(SEARCH("欠",X346)))</formula>
    </cfRule>
  </conditionalFormatting>
  <conditionalFormatting sqref="Y346">
    <cfRule type="containsText" dxfId="1" priority="1713" operator="between" text="欠">
      <formula>NOT(ISERROR(SEARCH("欠",Y346)))</formula>
    </cfRule>
  </conditionalFormatting>
  <conditionalFormatting sqref="W350">
    <cfRule type="containsText" dxfId="1" priority="1774" operator="between" text="欠">
      <formula>NOT(ISERROR(SEARCH("欠",W350)))</formula>
    </cfRule>
  </conditionalFormatting>
  <conditionalFormatting sqref="Y350">
    <cfRule type="containsText" dxfId="1" priority="1769" operator="between" text="欠">
      <formula>NOT(ISERROR(SEARCH("欠",Y350)))</formula>
    </cfRule>
  </conditionalFormatting>
  <conditionalFormatting sqref="W351">
    <cfRule type="containsText" dxfId="1" priority="1772" operator="between" text="欠">
      <formula>NOT(ISERROR(SEARCH("欠",W351)))</formula>
    </cfRule>
  </conditionalFormatting>
  <conditionalFormatting sqref="Y351">
    <cfRule type="containsText" dxfId="1" priority="1767" operator="between" text="欠">
      <formula>NOT(ISERROR(SEARCH("欠",Y351)))</formula>
    </cfRule>
  </conditionalFormatting>
  <conditionalFormatting sqref="W359">
    <cfRule type="containsText" dxfId="1" priority="1706" operator="between" text="欠">
      <formula>NOT(ISERROR(SEARCH("欠",W359)))</formula>
    </cfRule>
  </conditionalFormatting>
  <conditionalFormatting sqref="V365">
    <cfRule type="containsText" dxfId="1" priority="1889" operator="between" text="欠">
      <formula>NOT(ISERROR(SEARCH("欠",V365)))</formula>
    </cfRule>
  </conditionalFormatting>
  <conditionalFormatting sqref="W365:Y365">
    <cfRule type="containsText" dxfId="1" priority="1890" operator="between" text="欠">
      <formula>NOT(ISERROR(SEARCH("欠",W365)))</formula>
    </cfRule>
  </conditionalFormatting>
  <conditionalFormatting sqref="V366">
    <cfRule type="containsText" dxfId="1" priority="1730" operator="between" text="欠">
      <formula>NOT(ISERROR(SEARCH("欠",V366)))</formula>
    </cfRule>
  </conditionalFormatting>
  <conditionalFormatting sqref="X366">
    <cfRule type="containsText" dxfId="1" priority="1724" operator="between" text="欠">
      <formula>NOT(ISERROR(SEARCH("欠",X366)))</formula>
    </cfRule>
  </conditionalFormatting>
  <conditionalFormatting sqref="Y366">
    <cfRule type="containsText" dxfId="1" priority="1736" operator="between" text="欠">
      <formula>NOT(ISERROR(SEARCH("欠",Y366)))</formula>
    </cfRule>
  </conditionalFormatting>
  <conditionalFormatting sqref="V368">
    <cfRule type="containsText" dxfId="1" priority="1842" operator="between" text="欠">
      <formula>NOT(ISERROR(SEARCH("欠",V368)))</formula>
    </cfRule>
  </conditionalFormatting>
  <conditionalFormatting sqref="V373">
    <cfRule type="containsText" dxfId="1" priority="1716" operator="between" text="欠">
      <formula>NOT(ISERROR(SEARCH("欠",V373)))</formula>
    </cfRule>
  </conditionalFormatting>
  <conditionalFormatting sqref="W373">
    <cfRule type="containsText" dxfId="1" priority="1718" operator="between" text="欠">
      <formula>NOT(ISERROR(SEARCH("欠",W373)))</formula>
    </cfRule>
  </conditionalFormatting>
  <conditionalFormatting sqref="X373">
    <cfRule type="containsText" dxfId="1" priority="1715" operator="between" text="欠">
      <formula>NOT(ISERROR(SEARCH("欠",X373)))</formula>
    </cfRule>
  </conditionalFormatting>
  <conditionalFormatting sqref="Y373">
    <cfRule type="containsText" dxfId="1" priority="1717" operator="between" text="欠">
      <formula>NOT(ISERROR(SEARCH("欠",Y373)))</formula>
    </cfRule>
  </conditionalFormatting>
  <conditionalFormatting sqref="V377">
    <cfRule type="containsText" dxfId="1" priority="1708" operator="between" text="欠">
      <formula>NOT(ISERROR(SEARCH("欠",V377)))</formula>
    </cfRule>
  </conditionalFormatting>
  <conditionalFormatting sqref="W377">
    <cfRule type="containsText" dxfId="1" priority="1710" operator="between" text="欠">
      <formula>NOT(ISERROR(SEARCH("欠",W377)))</formula>
    </cfRule>
  </conditionalFormatting>
  <conditionalFormatting sqref="X377">
    <cfRule type="containsText" dxfId="1" priority="1707" operator="between" text="欠">
      <formula>NOT(ISERROR(SEARCH("欠",X377)))</formula>
    </cfRule>
  </conditionalFormatting>
  <conditionalFormatting sqref="Y377">
    <cfRule type="containsText" dxfId="1" priority="1709" operator="between" text="欠">
      <formula>NOT(ISERROR(SEARCH("欠",Y377)))</formula>
    </cfRule>
  </conditionalFormatting>
  <conditionalFormatting sqref="W382">
    <cfRule type="containsText" dxfId="1" priority="1702" operator="between" text="欠">
      <formula>NOT(ISERROR(SEARCH("欠",W382)))</formula>
    </cfRule>
  </conditionalFormatting>
  <conditionalFormatting sqref="Y382">
    <cfRule type="containsText" dxfId="1" priority="1642" operator="between" text="欠">
      <formula>NOT(ISERROR(SEARCH("欠",Y382)))</formula>
    </cfRule>
  </conditionalFormatting>
  <conditionalFormatting sqref="W383">
    <cfRule type="containsText" dxfId="1" priority="1698" operator="between" text="欠">
      <formula>NOT(ISERROR(SEARCH("欠",W383)))</formula>
    </cfRule>
  </conditionalFormatting>
  <conditionalFormatting sqref="X383">
    <cfRule type="containsText" dxfId="1" priority="1695" operator="between" text="欠">
      <formula>NOT(ISERROR(SEARCH("欠",X383)))</formula>
    </cfRule>
  </conditionalFormatting>
  <conditionalFormatting sqref="Y383">
    <cfRule type="containsText" dxfId="1" priority="1697" operator="between" text="欠">
      <formula>NOT(ISERROR(SEARCH("欠",Y383)))</formula>
    </cfRule>
  </conditionalFormatting>
  <conditionalFormatting sqref="V394">
    <cfRule type="containsText" dxfId="1" priority="1680" operator="between" text="欠">
      <formula>NOT(ISERROR(SEARCH("欠",V394)))</formula>
    </cfRule>
  </conditionalFormatting>
  <conditionalFormatting sqref="W394">
    <cfRule type="containsText" dxfId="1" priority="1693" operator="between" text="欠">
      <formula>NOT(ISERROR(SEARCH("欠",W394)))</formula>
    </cfRule>
  </conditionalFormatting>
  <conditionalFormatting sqref="X394">
    <cfRule type="containsText" dxfId="1" priority="1691" operator="between" text="欠">
      <formula>NOT(ISERROR(SEARCH("欠",X394)))</formula>
    </cfRule>
  </conditionalFormatting>
  <conditionalFormatting sqref="Y394">
    <cfRule type="containsText" dxfId="1" priority="1694" operator="between" text="欠">
      <formula>NOT(ISERROR(SEARCH("欠",Y394)))</formula>
    </cfRule>
  </conditionalFormatting>
  <conditionalFormatting sqref="V397">
    <cfRule type="containsText" dxfId="1" priority="1659" operator="between" text="欠">
      <formula>NOT(ISERROR(SEARCH("欠",V397)))</formula>
    </cfRule>
  </conditionalFormatting>
  <conditionalFormatting sqref="V403">
    <cfRule type="containsText" dxfId="1" priority="1662" operator="between" text="欠">
      <formula>NOT(ISERROR(SEARCH("欠",V403)))</formula>
    </cfRule>
  </conditionalFormatting>
  <conditionalFormatting sqref="V404">
    <cfRule type="containsText" dxfId="1" priority="1664" operator="between" text="欠">
      <formula>NOT(ISERROR(SEARCH("欠",V404)))</formula>
    </cfRule>
  </conditionalFormatting>
  <conditionalFormatting sqref="V411">
    <cfRule type="containsText" dxfId="1" priority="1672" operator="between" text="欠">
      <formula>NOT(ISERROR(SEARCH("欠",V411)))</formula>
    </cfRule>
  </conditionalFormatting>
  <conditionalFormatting sqref="W413">
    <cfRule type="containsText" dxfId="1" priority="1679" operator="between" text="欠">
      <formula>NOT(ISERROR(SEARCH("欠",W413)))</formula>
    </cfRule>
  </conditionalFormatting>
  <conditionalFormatting sqref="Y413">
    <cfRule type="containsText" dxfId="1" priority="1678" operator="between" text="欠">
      <formula>NOT(ISERROR(SEARCH("欠",Y413)))</formula>
    </cfRule>
  </conditionalFormatting>
  <conditionalFormatting sqref="V417">
    <cfRule type="containsText" dxfId="1" priority="1643" operator="between" text="欠">
      <formula>NOT(ISERROR(SEARCH("欠",V417)))</formula>
    </cfRule>
  </conditionalFormatting>
  <conditionalFormatting sqref="W430">
    <cfRule type="containsText" dxfId="1" priority="1468" operator="between" text="欠">
      <formula>NOT(ISERROR(SEARCH("欠",W430)))</formula>
    </cfRule>
  </conditionalFormatting>
  <conditionalFormatting sqref="W431">
    <cfRule type="containsText" dxfId="1" priority="1456" operator="between" text="欠">
      <formula>NOT(ISERROR(SEARCH("欠",W431)))</formula>
    </cfRule>
  </conditionalFormatting>
  <conditionalFormatting sqref="W432">
    <cfRule type="containsText" dxfId="1" priority="1455" operator="between" text="欠">
      <formula>NOT(ISERROR(SEARCH("欠",W432)))</formula>
    </cfRule>
  </conditionalFormatting>
  <conditionalFormatting sqref="W433">
    <cfRule type="containsText" dxfId="1" priority="1454" operator="between" text="欠">
      <formula>NOT(ISERROR(SEARCH("欠",W433)))</formula>
    </cfRule>
  </conditionalFormatting>
  <conditionalFormatting sqref="W434">
    <cfRule type="containsText" dxfId="1" priority="1453" operator="between" text="欠">
      <formula>NOT(ISERROR(SEARCH("欠",W434)))</formula>
    </cfRule>
  </conditionalFormatting>
  <conditionalFormatting sqref="W435">
    <cfRule type="containsText" dxfId="1" priority="1452" operator="between" text="欠">
      <formula>NOT(ISERROR(SEARCH("欠",W435)))</formula>
    </cfRule>
  </conditionalFormatting>
  <conditionalFormatting sqref="W436">
    <cfRule type="containsText" dxfId="1" priority="1451" operator="between" text="欠">
      <formula>NOT(ISERROR(SEARCH("欠",W436)))</formula>
    </cfRule>
  </conditionalFormatting>
  <conditionalFormatting sqref="W437">
    <cfRule type="containsText" dxfId="1" priority="1450" operator="between" text="欠">
      <formula>NOT(ISERROR(SEARCH("欠",W437)))</formula>
    </cfRule>
  </conditionalFormatting>
  <conditionalFormatting sqref="W438">
    <cfRule type="containsText" dxfId="1" priority="1449" operator="between" text="欠">
      <formula>NOT(ISERROR(SEARCH("欠",W438)))</formula>
    </cfRule>
  </conditionalFormatting>
  <conditionalFormatting sqref="W439">
    <cfRule type="containsText" dxfId="1" priority="1448" operator="between" text="欠">
      <formula>NOT(ISERROR(SEARCH("欠",W439)))</formula>
    </cfRule>
  </conditionalFormatting>
  <conditionalFormatting sqref="W440">
    <cfRule type="containsText" dxfId="1" priority="1539" operator="between" text="欠">
      <formula>NOT(ISERROR(SEARCH("欠",W440)))</formula>
    </cfRule>
  </conditionalFormatting>
  <conditionalFormatting sqref="W441">
    <cfRule type="containsText" dxfId="1" priority="1618" operator="between" text="欠">
      <formula>NOT(ISERROR(SEARCH("欠",W441)))</formula>
    </cfRule>
  </conditionalFormatting>
  <conditionalFormatting sqref="W442">
    <cfRule type="containsText" dxfId="1" priority="1617" operator="between" text="欠">
      <formula>NOT(ISERROR(SEARCH("欠",W442)))</formula>
    </cfRule>
  </conditionalFormatting>
  <conditionalFormatting sqref="W443">
    <cfRule type="containsText" dxfId="1" priority="1616" operator="between" text="欠">
      <formula>NOT(ISERROR(SEARCH("欠",W443)))</formula>
    </cfRule>
  </conditionalFormatting>
  <conditionalFormatting sqref="W444">
    <cfRule type="containsText" dxfId="1" priority="1615" operator="between" text="欠">
      <formula>NOT(ISERROR(SEARCH("欠",W444)))</formula>
    </cfRule>
  </conditionalFormatting>
  <conditionalFormatting sqref="W453">
    <cfRule type="containsText" dxfId="1" priority="1603" operator="between" text="欠">
      <formula>NOT(ISERROR(SEARCH("欠",W453)))</formula>
    </cfRule>
  </conditionalFormatting>
  <conditionalFormatting sqref="W454">
    <cfRule type="containsText" dxfId="1" priority="1559" operator="between" text="欠">
      <formula>NOT(ISERROR(SEARCH("欠",W454)))</formula>
    </cfRule>
  </conditionalFormatting>
  <conditionalFormatting sqref="W455">
    <cfRule type="containsText" dxfId="1" priority="1558" operator="between" text="欠">
      <formula>NOT(ISERROR(SEARCH("欠",W455)))</formula>
    </cfRule>
  </conditionalFormatting>
  <conditionalFormatting sqref="W456">
    <cfRule type="containsText" dxfId="1" priority="1557" operator="between" text="欠">
      <formula>NOT(ISERROR(SEARCH("欠",W456)))</formula>
    </cfRule>
  </conditionalFormatting>
  <conditionalFormatting sqref="W457">
    <cfRule type="containsText" dxfId="1" priority="1556" operator="between" text="欠">
      <formula>NOT(ISERROR(SEARCH("欠",W457)))</formula>
    </cfRule>
  </conditionalFormatting>
  <conditionalFormatting sqref="W458">
    <cfRule type="containsText" dxfId="1" priority="1555" operator="between" text="欠">
      <formula>NOT(ISERROR(SEARCH("欠",W458)))</formula>
    </cfRule>
  </conditionalFormatting>
  <conditionalFormatting sqref="W459">
    <cfRule type="containsText" dxfId="1" priority="1554" operator="between" text="欠">
      <formula>NOT(ISERROR(SEARCH("欠",W459)))</formula>
    </cfRule>
  </conditionalFormatting>
  <conditionalFormatting sqref="W460">
    <cfRule type="containsText" dxfId="1" priority="1553" operator="between" text="欠">
      <formula>NOT(ISERROR(SEARCH("欠",W460)))</formula>
    </cfRule>
  </conditionalFormatting>
  <conditionalFormatting sqref="W461">
    <cfRule type="containsText" dxfId="1" priority="1552" operator="between" text="欠">
      <formula>NOT(ISERROR(SEARCH("欠",W461)))</formula>
    </cfRule>
  </conditionalFormatting>
  <conditionalFormatting sqref="W462">
    <cfRule type="containsText" dxfId="1" priority="1551" operator="between" text="欠">
      <formula>NOT(ISERROR(SEARCH("欠",W462)))</formula>
    </cfRule>
  </conditionalFormatting>
  <conditionalFormatting sqref="W463">
    <cfRule type="containsText" dxfId="1" priority="1550" operator="between" text="欠">
      <formula>NOT(ISERROR(SEARCH("欠",W463)))</formula>
    </cfRule>
  </conditionalFormatting>
  <conditionalFormatting sqref="W464">
    <cfRule type="containsText" dxfId="1" priority="1548" operator="between" text="欠">
      <formula>NOT(ISERROR(SEARCH("欠",W464)))</formula>
    </cfRule>
  </conditionalFormatting>
  <conditionalFormatting sqref="W465">
    <cfRule type="containsText" dxfId="1" priority="1545" operator="between" text="欠">
      <formula>NOT(ISERROR(SEARCH("欠",W465)))</formula>
    </cfRule>
  </conditionalFormatting>
  <conditionalFormatting sqref="W466">
    <cfRule type="containsText" dxfId="1" priority="1544" operator="between" text="欠">
      <formula>NOT(ISERROR(SEARCH("欠",W466)))</formula>
    </cfRule>
  </conditionalFormatting>
  <conditionalFormatting sqref="W467">
    <cfRule type="containsText" dxfId="1" priority="1543" operator="between" text="欠">
      <formula>NOT(ISERROR(SEARCH("欠",W467)))</formula>
    </cfRule>
  </conditionalFormatting>
  <conditionalFormatting sqref="W468">
    <cfRule type="containsText" dxfId="1" priority="1542" operator="between" text="欠">
      <formula>NOT(ISERROR(SEARCH("欠",W468)))</formula>
    </cfRule>
  </conditionalFormatting>
  <conditionalFormatting sqref="W469">
    <cfRule type="containsText" dxfId="1" priority="1541" operator="between" text="欠">
      <formula>NOT(ISERROR(SEARCH("欠",W469)))</formula>
    </cfRule>
  </conditionalFormatting>
  <conditionalFormatting sqref="W470">
    <cfRule type="containsText" dxfId="1" priority="1540" operator="between" text="欠">
      <formula>NOT(ISERROR(SEARCH("欠",W470)))</formula>
    </cfRule>
  </conditionalFormatting>
  <conditionalFormatting sqref="Y477">
    <cfRule type="containsText" dxfId="1" priority="1120" operator="between" text="欠">
      <formula>NOT(ISERROR(SEARCH("欠",Y477)))</formula>
    </cfRule>
  </conditionalFormatting>
  <conditionalFormatting sqref="V479">
    <cfRule type="containsText" dxfId="1" priority="1427" operator="between" text="欠">
      <formula>NOT(ISERROR(SEARCH("欠",V479)))</formula>
    </cfRule>
  </conditionalFormatting>
  <conditionalFormatting sqref="W479">
    <cfRule type="containsText" dxfId="1" priority="1428" operator="between" text="欠">
      <formula>NOT(ISERROR(SEARCH("欠",W479)))</formula>
    </cfRule>
  </conditionalFormatting>
  <conditionalFormatting sqref="X479">
    <cfRule type="containsText" dxfId="1" priority="1426" operator="between" text="欠">
      <formula>NOT(ISERROR(SEARCH("欠",X479)))</formula>
    </cfRule>
  </conditionalFormatting>
  <conditionalFormatting sqref="Y479">
    <cfRule type="containsText" dxfId="1" priority="1429" operator="between" text="欠">
      <formula>NOT(ISERROR(SEARCH("欠",Y479)))</formula>
    </cfRule>
  </conditionalFormatting>
  <conditionalFormatting sqref="W484">
    <cfRule type="containsText" dxfId="1" priority="1683" operator="between" text="欠">
      <formula>NOT(ISERROR(SEARCH("欠",W484)))</formula>
    </cfRule>
  </conditionalFormatting>
  <conditionalFormatting sqref="X484">
    <cfRule type="containsText" dxfId="1" priority="1684" operator="between" text="欠">
      <formula>NOT(ISERROR(SEARCH("欠",X484)))</formula>
    </cfRule>
  </conditionalFormatting>
  <conditionalFormatting sqref="Y484">
    <cfRule type="containsText" dxfId="1" priority="1686" operator="between" text="欠">
      <formula>NOT(ISERROR(SEARCH("欠",Y484)))</formula>
    </cfRule>
  </conditionalFormatting>
  <conditionalFormatting sqref="V485">
    <cfRule type="containsText" dxfId="1" priority="1398" operator="between" text="欠">
      <formula>NOT(ISERROR(SEARCH("欠",V485)))</formula>
    </cfRule>
  </conditionalFormatting>
  <conditionalFormatting sqref="W485">
    <cfRule type="containsText" dxfId="1" priority="1423" operator="between" text="欠">
      <formula>NOT(ISERROR(SEARCH("欠",W485)))</formula>
    </cfRule>
  </conditionalFormatting>
  <conditionalFormatting sqref="X485">
    <cfRule type="containsText" dxfId="1" priority="1419" operator="between" text="欠">
      <formula>NOT(ISERROR(SEARCH("欠",X485)))</formula>
    </cfRule>
  </conditionalFormatting>
  <conditionalFormatting sqref="Y485">
    <cfRule type="containsText" dxfId="1" priority="1424" operator="between" text="欠">
      <formula>NOT(ISERROR(SEARCH("欠",Y485)))</formula>
    </cfRule>
  </conditionalFormatting>
  <conditionalFormatting sqref="W492">
    <cfRule type="containsText" dxfId="1" priority="1412" operator="between" text="欠">
      <formula>NOT(ISERROR(SEARCH("欠",W492)))</formula>
    </cfRule>
  </conditionalFormatting>
  <conditionalFormatting sqref="W496">
    <cfRule type="containsText" dxfId="1" priority="1647" operator="between" text="欠">
      <formula>NOT(ISERROR(SEARCH("欠",W496)))</formula>
    </cfRule>
  </conditionalFormatting>
  <conditionalFormatting sqref="X496">
    <cfRule type="containsText" dxfId="1" priority="1646" operator="between" text="欠">
      <formula>NOT(ISERROR(SEARCH("欠",X496)))</formula>
    </cfRule>
  </conditionalFormatting>
  <conditionalFormatting sqref="V503">
    <cfRule type="containsText" dxfId="1" priority="1839" operator="between" text="欠">
      <formula>NOT(ISERROR(SEARCH("欠",V503)))</formula>
    </cfRule>
  </conditionalFormatting>
  <conditionalFormatting sqref="W509">
    <cfRule type="containsText" dxfId="1" priority="1404" operator="between" text="欠">
      <formula>NOT(ISERROR(SEARCH("欠",W509)))</formula>
    </cfRule>
  </conditionalFormatting>
  <conditionalFormatting sqref="V520">
    <cfRule type="containsText" dxfId="1" priority="1362" operator="between" text="欠">
      <formula>NOT(ISERROR(SEARCH("欠",V520)))</formula>
    </cfRule>
  </conditionalFormatting>
  <conditionalFormatting sqref="W520">
    <cfRule type="containsText" dxfId="1" priority="1364" operator="between" text="欠">
      <formula>NOT(ISERROR(SEARCH("欠",W520)))</formula>
    </cfRule>
  </conditionalFormatting>
  <conditionalFormatting sqref="X520">
    <cfRule type="containsText" dxfId="1" priority="1363" operator="between" text="欠">
      <formula>NOT(ISERROR(SEARCH("欠",X520)))</formula>
    </cfRule>
  </conditionalFormatting>
  <conditionalFormatting sqref="Y520">
    <cfRule type="containsText" dxfId="1" priority="1365" operator="between" text="欠">
      <formula>NOT(ISERROR(SEARCH("欠",Y520)))</formula>
    </cfRule>
  </conditionalFormatting>
  <conditionalFormatting sqref="W521">
    <cfRule type="containsText" dxfId="1" priority="1341" operator="between" text="欠">
      <formula>NOT(ISERROR(SEARCH("欠",W521)))</formula>
    </cfRule>
  </conditionalFormatting>
  <conditionalFormatting sqref="W522">
    <cfRule type="containsText" dxfId="1" priority="1282" operator="between" text="欠">
      <formula>NOT(ISERROR(SEARCH("欠",W522)))</formula>
    </cfRule>
  </conditionalFormatting>
  <conditionalFormatting sqref="W523">
    <cfRule type="containsText" dxfId="1" priority="1281" operator="between" text="欠">
      <formula>NOT(ISERROR(SEARCH("欠",W523)))</formula>
    </cfRule>
  </conditionalFormatting>
  <conditionalFormatting sqref="W524">
    <cfRule type="containsText" dxfId="1" priority="1280" operator="between" text="欠">
      <formula>NOT(ISERROR(SEARCH("欠",W524)))</formula>
    </cfRule>
  </conditionalFormatting>
  <conditionalFormatting sqref="W525">
    <cfRule type="containsText" dxfId="1" priority="1279" operator="between" text="欠">
      <formula>NOT(ISERROR(SEARCH("欠",W525)))</formula>
    </cfRule>
  </conditionalFormatting>
  <conditionalFormatting sqref="W526">
    <cfRule type="containsText" dxfId="1" priority="1278" operator="between" text="欠">
      <formula>NOT(ISERROR(SEARCH("欠",W526)))</formula>
    </cfRule>
  </conditionalFormatting>
  <conditionalFormatting sqref="W527">
    <cfRule type="containsText" dxfId="1" priority="1277" operator="between" text="欠">
      <formula>NOT(ISERROR(SEARCH("欠",W527)))</formula>
    </cfRule>
  </conditionalFormatting>
  <conditionalFormatting sqref="W528">
    <cfRule type="containsText" dxfId="1" priority="1276" operator="between" text="欠">
      <formula>NOT(ISERROR(SEARCH("欠",W528)))</formula>
    </cfRule>
  </conditionalFormatting>
  <conditionalFormatting sqref="W529">
    <cfRule type="containsText" dxfId="1" priority="1275" operator="between" text="欠">
      <formula>NOT(ISERROR(SEARCH("欠",W529)))</formula>
    </cfRule>
  </conditionalFormatting>
  <conditionalFormatting sqref="W530">
    <cfRule type="containsText" dxfId="1" priority="1274" operator="between" text="欠">
      <formula>NOT(ISERROR(SEARCH("欠",W530)))</formula>
    </cfRule>
  </conditionalFormatting>
  <conditionalFormatting sqref="W531">
    <cfRule type="containsText" dxfId="1" priority="1273" operator="between" text="欠">
      <formula>NOT(ISERROR(SEARCH("欠",W531)))</formula>
    </cfRule>
  </conditionalFormatting>
  <conditionalFormatting sqref="W532">
    <cfRule type="containsText" dxfId="1" priority="1272" operator="between" text="欠">
      <formula>NOT(ISERROR(SEARCH("欠",W532)))</formula>
    </cfRule>
  </conditionalFormatting>
  <conditionalFormatting sqref="W533">
    <cfRule type="containsText" dxfId="1" priority="1245" operator="between" text="欠">
      <formula>NOT(ISERROR(SEARCH("欠",W533)))</formula>
    </cfRule>
  </conditionalFormatting>
  <conditionalFormatting sqref="W534">
    <cfRule type="containsText" dxfId="1" priority="1244" operator="between" text="欠">
      <formula>NOT(ISERROR(SEARCH("欠",W534)))</formula>
    </cfRule>
  </conditionalFormatting>
  <conditionalFormatting sqref="W535">
    <cfRule type="containsText" dxfId="1" priority="1243" operator="between" text="欠">
      <formula>NOT(ISERROR(SEARCH("欠",W535)))</formula>
    </cfRule>
  </conditionalFormatting>
  <conditionalFormatting sqref="W536">
    <cfRule type="containsText" dxfId="1" priority="1242" operator="between" text="欠">
      <formula>NOT(ISERROR(SEARCH("欠",W536)))</formula>
    </cfRule>
  </conditionalFormatting>
  <conditionalFormatting sqref="W537">
    <cfRule type="containsText" dxfId="1" priority="1220" operator="between" text="欠">
      <formula>NOT(ISERROR(SEARCH("欠",W537)))</formula>
    </cfRule>
  </conditionalFormatting>
  <conditionalFormatting sqref="W538">
    <cfRule type="containsText" dxfId="1" priority="1219" operator="between" text="欠">
      <formula>NOT(ISERROR(SEARCH("欠",W538)))</formula>
    </cfRule>
  </conditionalFormatting>
  <conditionalFormatting sqref="W539">
    <cfRule type="containsText" dxfId="1" priority="1218" operator="between" text="欠">
      <formula>NOT(ISERROR(SEARCH("欠",W539)))</formula>
    </cfRule>
  </conditionalFormatting>
  <conditionalFormatting sqref="W540">
    <cfRule type="containsText" dxfId="1" priority="1217" operator="between" text="欠">
      <formula>NOT(ISERROR(SEARCH("欠",W540)))</formula>
    </cfRule>
  </conditionalFormatting>
  <conditionalFormatting sqref="W541">
    <cfRule type="containsText" dxfId="1" priority="1216" operator="between" text="欠">
      <formula>NOT(ISERROR(SEARCH("欠",W541)))</formula>
    </cfRule>
  </conditionalFormatting>
  <conditionalFormatting sqref="W542">
    <cfRule type="containsText" dxfId="1" priority="1215" operator="between" text="欠">
      <formula>NOT(ISERROR(SEARCH("欠",W542)))</formula>
    </cfRule>
  </conditionalFormatting>
  <conditionalFormatting sqref="W543">
    <cfRule type="containsText" dxfId="1" priority="1214" operator="between" text="欠">
      <formula>NOT(ISERROR(SEARCH("欠",W543)))</formula>
    </cfRule>
  </conditionalFormatting>
  <conditionalFormatting sqref="W544">
    <cfRule type="containsText" dxfId="1" priority="1213" operator="between" text="欠">
      <formula>NOT(ISERROR(SEARCH("欠",W544)))</formula>
    </cfRule>
  </conditionalFormatting>
  <conditionalFormatting sqref="W545">
    <cfRule type="containsText" dxfId="1" priority="1212" operator="between" text="欠">
      <formula>NOT(ISERROR(SEARCH("欠",W545)))</formula>
    </cfRule>
  </conditionalFormatting>
  <conditionalFormatting sqref="W554">
    <cfRule type="containsText" dxfId="1" priority="1377" operator="between" text="欠">
      <formula>NOT(ISERROR(SEARCH("欠",W554)))</formula>
    </cfRule>
  </conditionalFormatting>
  <conditionalFormatting sqref="Y554">
    <cfRule type="containsText" dxfId="1" priority="1376" operator="between" text="欠">
      <formula>NOT(ISERROR(SEARCH("欠",Y554)))</formula>
    </cfRule>
  </conditionalFormatting>
  <conditionalFormatting sqref="W555">
    <cfRule type="containsText" dxfId="1" priority="1187" operator="between" text="欠">
      <formula>NOT(ISERROR(SEARCH("欠",W555)))</formula>
    </cfRule>
  </conditionalFormatting>
  <conditionalFormatting sqref="X555">
    <cfRule type="containsText" dxfId="1" priority="1185" operator="between" text="欠">
      <formula>NOT(ISERROR(SEARCH("欠",X555)))</formula>
    </cfRule>
  </conditionalFormatting>
  <conditionalFormatting sqref="Y555">
    <cfRule type="containsText" dxfId="1" priority="1117" operator="between" text="欠">
      <formula>NOT(ISERROR(SEARCH("欠",Y555)))</formula>
    </cfRule>
  </conditionalFormatting>
  <conditionalFormatting sqref="W556">
    <cfRule type="containsText" dxfId="1" priority="1184" operator="between" text="欠">
      <formula>NOT(ISERROR(SEARCH("欠",W556)))</formula>
    </cfRule>
  </conditionalFormatting>
  <conditionalFormatting sqref="X556">
    <cfRule type="containsText" dxfId="1" priority="1182" operator="between" text="欠">
      <formula>NOT(ISERROR(SEARCH("欠",X556)))</formula>
    </cfRule>
  </conditionalFormatting>
  <conditionalFormatting sqref="Y556">
    <cfRule type="containsText" dxfId="1" priority="1116" operator="between" text="欠">
      <formula>NOT(ISERROR(SEARCH("欠",Y556)))</formula>
    </cfRule>
  </conditionalFormatting>
  <conditionalFormatting sqref="V561">
    <cfRule type="containsText" dxfId="1" priority="1407" operator="between" text="欠">
      <formula>NOT(ISERROR(SEARCH("欠",V561)))</formula>
    </cfRule>
  </conditionalFormatting>
  <conditionalFormatting sqref="V562">
    <cfRule type="containsText" dxfId="1" priority="1192" operator="between" text="欠">
      <formula>NOT(ISERROR(SEARCH("欠",V562)))</formula>
    </cfRule>
  </conditionalFormatting>
  <conditionalFormatting sqref="W562">
    <cfRule type="containsText" dxfId="1" priority="1193" operator="between" text="欠">
      <formula>NOT(ISERROR(SEARCH("欠",W562)))</formula>
    </cfRule>
  </conditionalFormatting>
  <conditionalFormatting sqref="X562">
    <cfRule type="containsText" dxfId="1" priority="1191" operator="between" text="欠">
      <formula>NOT(ISERROR(SEARCH("欠",X562)))</formula>
    </cfRule>
  </conditionalFormatting>
  <conditionalFormatting sqref="Y562">
    <cfRule type="containsText" dxfId="1" priority="1119" operator="between" text="欠">
      <formula>NOT(ISERROR(SEARCH("欠",Y562)))</formula>
    </cfRule>
  </conditionalFormatting>
  <conditionalFormatting sqref="V563">
    <cfRule type="containsText" dxfId="1" priority="1399" operator="between" text="欠">
      <formula>NOT(ISERROR(SEARCH("欠",V563)))</formula>
    </cfRule>
  </conditionalFormatting>
  <conditionalFormatting sqref="W564">
    <cfRule type="containsText" dxfId="1" priority="1158" operator="between" text="欠">
      <formula>NOT(ISERROR(SEARCH("欠",W564)))</formula>
    </cfRule>
  </conditionalFormatting>
  <conditionalFormatting sqref="Y564">
    <cfRule type="containsText" dxfId="1" priority="1159" operator="between" text="欠">
      <formula>NOT(ISERROR(SEARCH("欠",Y564)))</formula>
    </cfRule>
  </conditionalFormatting>
  <conditionalFormatting sqref="W568">
    <cfRule type="containsText" dxfId="1" priority="1190" operator="between" text="欠">
      <formula>NOT(ISERROR(SEARCH("欠",W568)))</formula>
    </cfRule>
  </conditionalFormatting>
  <conditionalFormatting sqref="Y568">
    <cfRule type="containsText" dxfId="1" priority="1118" operator="between" text="欠">
      <formula>NOT(ISERROR(SEARCH("欠",Y568)))</formula>
    </cfRule>
  </conditionalFormatting>
  <conditionalFormatting sqref="V569">
    <cfRule type="containsText" dxfId="1" priority="1178" operator="between" text="欠">
      <formula>NOT(ISERROR(SEARCH("欠",V569)))</formula>
    </cfRule>
  </conditionalFormatting>
  <conditionalFormatting sqref="X569">
    <cfRule type="containsText" dxfId="1" priority="1177" operator="between" text="欠">
      <formula>NOT(ISERROR(SEARCH("欠",X569)))</formula>
    </cfRule>
  </conditionalFormatting>
  <conditionalFormatting sqref="V571">
    <cfRule type="containsText" dxfId="1" priority="1175" operator="between" text="欠">
      <formula>NOT(ISERROR(SEARCH("欠",V571)))</formula>
    </cfRule>
  </conditionalFormatting>
  <conditionalFormatting sqref="X571">
    <cfRule type="containsText" dxfId="1" priority="1174" operator="between" text="欠">
      <formula>NOT(ISERROR(SEARCH("欠",X571)))</formula>
    </cfRule>
  </conditionalFormatting>
  <conditionalFormatting sqref="Y571">
    <cfRule type="containsText" dxfId="1" priority="1087" operator="between" text="欠">
      <formula>NOT(ISERROR(SEARCH("欠",Y571)))</formula>
    </cfRule>
  </conditionalFormatting>
  <conditionalFormatting sqref="V572">
    <cfRule type="containsText" dxfId="1" priority="1359" operator="between" text="欠">
      <formula>NOT(ISERROR(SEARCH("欠",V572)))</formula>
    </cfRule>
  </conditionalFormatting>
  <conditionalFormatting sqref="W572">
    <cfRule type="containsText" dxfId="1" priority="1360" operator="between" text="欠">
      <formula>NOT(ISERROR(SEARCH("欠",W572)))</formula>
    </cfRule>
  </conditionalFormatting>
  <conditionalFormatting sqref="Y572">
    <cfRule type="containsText" dxfId="1" priority="1361" operator="between" text="欠">
      <formula>NOT(ISERROR(SEARCH("欠",Y572)))</formula>
    </cfRule>
  </conditionalFormatting>
  <conditionalFormatting sqref="V573">
    <cfRule type="containsText" dxfId="1" priority="1154" operator="between" text="欠">
      <formula>NOT(ISERROR(SEARCH("欠",V573)))</formula>
    </cfRule>
  </conditionalFormatting>
  <conditionalFormatting sqref="W573">
    <cfRule type="containsText" dxfId="1" priority="1155" operator="between" text="欠">
      <formula>NOT(ISERROR(SEARCH("欠",W573)))</formula>
    </cfRule>
  </conditionalFormatting>
  <conditionalFormatting sqref="X573">
    <cfRule type="containsText" dxfId="1" priority="1153" operator="between" text="欠">
      <formula>NOT(ISERROR(SEARCH("欠",X573)))</formula>
    </cfRule>
  </conditionalFormatting>
  <conditionalFormatting sqref="Y573">
    <cfRule type="containsText" dxfId="1" priority="1152" operator="between" text="欠">
      <formula>NOT(ISERROR(SEARCH("欠",Y573)))</formula>
    </cfRule>
  </conditionalFormatting>
  <conditionalFormatting sqref="Y576">
    <cfRule type="containsText" dxfId="1" priority="1144" operator="between" text="欠">
      <formula>NOT(ISERROR(SEARCH("欠",Y576)))</formula>
    </cfRule>
  </conditionalFormatting>
  <conditionalFormatting sqref="Y577">
    <cfRule type="containsText" dxfId="1" priority="1140" operator="between" text="欠">
      <formula>NOT(ISERROR(SEARCH("欠",Y577)))</formula>
    </cfRule>
  </conditionalFormatting>
  <conditionalFormatting sqref="Y578">
    <cfRule type="containsText" dxfId="1" priority="1136" operator="between" text="欠">
      <formula>NOT(ISERROR(SEARCH("欠",Y578)))</formula>
    </cfRule>
  </conditionalFormatting>
  <conditionalFormatting sqref="V584">
    <cfRule type="containsText" dxfId="1" priority="1171" operator="between" text="欠">
      <formula>NOT(ISERROR(SEARCH("欠",V584)))</formula>
    </cfRule>
  </conditionalFormatting>
  <conditionalFormatting sqref="W584">
    <cfRule type="containsText" dxfId="1" priority="1172" operator="between" text="欠">
      <formula>NOT(ISERROR(SEARCH("欠",W584)))</formula>
    </cfRule>
  </conditionalFormatting>
  <conditionalFormatting sqref="Y584">
    <cfRule type="containsText" dxfId="1" priority="1169" operator="between" text="欠">
      <formula>NOT(ISERROR(SEARCH("欠",Y584)))</formula>
    </cfRule>
  </conditionalFormatting>
  <conditionalFormatting sqref="V594">
    <cfRule type="containsText" dxfId="1" priority="1805" operator="between" text="欠">
      <formula>NOT(ISERROR(SEARCH("欠",V594)))</formula>
    </cfRule>
  </conditionalFormatting>
  <conditionalFormatting sqref="W594">
    <cfRule type="containsText" dxfId="1" priority="1818" operator="between" text="欠">
      <formula>NOT(ISERROR(SEARCH("欠",W594)))</formula>
    </cfRule>
  </conditionalFormatting>
  <conditionalFormatting sqref="Y594">
    <cfRule type="containsText" dxfId="1" priority="1820" operator="between" text="欠">
      <formula>NOT(ISERROR(SEARCH("欠",Y594)))</formula>
    </cfRule>
  </conditionalFormatting>
  <conditionalFormatting sqref="V595">
    <cfRule type="containsText" dxfId="1" priority="1231" operator="between" text="欠">
      <formula>NOT(ISERROR(SEARCH("欠",V595)))</formula>
    </cfRule>
  </conditionalFormatting>
  <conditionalFormatting sqref="W595">
    <cfRule type="containsText" dxfId="1" priority="1232" operator="between" text="欠">
      <formula>NOT(ISERROR(SEARCH("欠",W595)))</formula>
    </cfRule>
  </conditionalFormatting>
  <conditionalFormatting sqref="X595">
    <cfRule type="containsText" dxfId="1" priority="1164" operator="between" text="欠">
      <formula>NOT(ISERROR(SEARCH("欠",X595)))</formula>
    </cfRule>
  </conditionalFormatting>
  <conditionalFormatting sqref="Y595">
    <cfRule type="containsText" dxfId="1" priority="1233" operator="between" text="欠">
      <formula>NOT(ISERROR(SEARCH("欠",Y595)))</formula>
    </cfRule>
  </conditionalFormatting>
  <conditionalFormatting sqref="V597">
    <cfRule type="containsText" dxfId="1" priority="1856" operator="between" text="欠">
      <formula>NOT(ISERROR(SEARCH("欠",V597)))</formula>
    </cfRule>
  </conditionalFormatting>
  <conditionalFormatting sqref="V599">
    <cfRule type="containsText" dxfId="1" priority="1095" operator="between" text="欠">
      <formula>NOT(ISERROR(SEARCH("欠",V599)))</formula>
    </cfRule>
  </conditionalFormatting>
  <conditionalFormatting sqref="W599">
    <cfRule type="containsText" dxfId="1" priority="1107" operator="between" text="欠">
      <formula>NOT(ISERROR(SEARCH("欠",W599)))</formula>
    </cfRule>
  </conditionalFormatting>
  <conditionalFormatting sqref="X599">
    <cfRule type="containsText" dxfId="1" priority="1105" operator="between" text="欠">
      <formula>NOT(ISERROR(SEARCH("欠",X599)))</formula>
    </cfRule>
  </conditionalFormatting>
  <conditionalFormatting sqref="Y599">
    <cfRule type="containsText" dxfId="1" priority="1104" operator="between" text="欠">
      <formula>NOT(ISERROR(SEARCH("欠",Y599)))</formula>
    </cfRule>
  </conditionalFormatting>
  <conditionalFormatting sqref="V604">
    <cfRule type="containsText" dxfId="1" priority="1110" operator="between" text="欠">
      <formula>NOT(ISERROR(SEARCH("欠",V604)))</formula>
    </cfRule>
  </conditionalFormatting>
  <conditionalFormatting sqref="W604">
    <cfRule type="containsText" dxfId="1" priority="1111" operator="between" text="欠">
      <formula>NOT(ISERROR(SEARCH("欠",W604)))</formula>
    </cfRule>
  </conditionalFormatting>
  <conditionalFormatting sqref="X604">
    <cfRule type="containsText" dxfId="1" priority="1109" operator="between" text="欠">
      <formula>NOT(ISERROR(SEARCH("欠",X604)))</formula>
    </cfRule>
  </conditionalFormatting>
  <conditionalFormatting sqref="Y604">
    <cfRule type="containsText" dxfId="1" priority="1108" operator="between" text="欠">
      <formula>NOT(ISERROR(SEARCH("欠",Y604)))</formula>
    </cfRule>
  </conditionalFormatting>
  <conditionalFormatting sqref="V613">
    <cfRule type="containsText" dxfId="1" priority="1089" operator="between" text="欠">
      <formula>NOT(ISERROR(SEARCH("欠",V613)))</formula>
    </cfRule>
  </conditionalFormatting>
  <conditionalFormatting sqref="W613">
    <cfRule type="containsText" dxfId="1" priority="1090" operator="between" text="欠">
      <formula>NOT(ISERROR(SEARCH("欠",W613)))</formula>
    </cfRule>
  </conditionalFormatting>
  <conditionalFormatting sqref="X613">
    <cfRule type="containsText" dxfId="1" priority="1088" operator="between" text="欠">
      <formula>NOT(ISERROR(SEARCH("欠",X613)))</formula>
    </cfRule>
  </conditionalFormatting>
  <conditionalFormatting sqref="Y613">
    <cfRule type="containsText" dxfId="1" priority="1091" operator="between" text="欠">
      <formula>NOT(ISERROR(SEARCH("欠",Y613)))</formula>
    </cfRule>
  </conditionalFormatting>
  <conditionalFormatting sqref="W618">
    <cfRule type="containsText" dxfId="1" priority="1103" operator="between" text="欠">
      <formula>NOT(ISERROR(SEARCH("欠",W618)))</formula>
    </cfRule>
  </conditionalFormatting>
  <conditionalFormatting sqref="W631">
    <cfRule type="containsText" dxfId="1" priority="1054" operator="between" text="欠">
      <formula>NOT(ISERROR(SEARCH("欠",W631)))</formula>
    </cfRule>
  </conditionalFormatting>
  <conditionalFormatting sqref="V636">
    <cfRule type="containsText" dxfId="1" priority="1049" operator="between" text="欠">
      <formula>NOT(ISERROR(SEARCH("欠",V636)))</formula>
    </cfRule>
  </conditionalFormatting>
  <conditionalFormatting sqref="W636">
    <cfRule type="containsText" dxfId="1" priority="1050" operator="between" text="欠">
      <formula>NOT(ISERROR(SEARCH("欠",W636)))</formula>
    </cfRule>
  </conditionalFormatting>
  <conditionalFormatting sqref="X636">
    <cfRule type="containsText" dxfId="1" priority="1047" operator="between" text="欠">
      <formula>NOT(ISERROR(SEARCH("欠",X636)))</formula>
    </cfRule>
  </conditionalFormatting>
  <conditionalFormatting sqref="Y636">
    <cfRule type="containsText" dxfId="1" priority="1048" operator="between" text="欠">
      <formula>NOT(ISERROR(SEARCH("欠",Y636)))</formula>
    </cfRule>
  </conditionalFormatting>
  <conditionalFormatting sqref="W637">
    <cfRule type="containsText" dxfId="1" priority="1080" operator="between" text="欠">
      <formula>NOT(ISERROR(SEARCH("欠",W637)))</formula>
    </cfRule>
  </conditionalFormatting>
  <conditionalFormatting sqref="W638">
    <cfRule type="containsText" dxfId="1" priority="1076" operator="between" text="欠">
      <formula>NOT(ISERROR(SEARCH("欠",W638)))</formula>
    </cfRule>
  </conditionalFormatting>
  <conditionalFormatting sqref="X641">
    <cfRule type="containsText" dxfId="1" priority="988" operator="between" text="欠">
      <formula>NOT(ISERROR(SEARCH("欠",X641)))</formula>
    </cfRule>
  </conditionalFormatting>
  <conditionalFormatting sqref="X642">
    <cfRule type="containsText" dxfId="1" priority="987" operator="between" text="欠">
      <formula>NOT(ISERROR(SEARCH("欠",X642)))</formula>
    </cfRule>
  </conditionalFormatting>
  <conditionalFormatting sqref="X643">
    <cfRule type="containsText" dxfId="1" priority="1043" operator="between" text="欠">
      <formula>NOT(ISERROR(SEARCH("欠",X643)))</formula>
    </cfRule>
  </conditionalFormatting>
  <conditionalFormatting sqref="V644">
    <cfRule type="containsText" dxfId="1" priority="1009" operator="between" text="欠">
      <formula>NOT(ISERROR(SEARCH("欠",V644)))</formula>
    </cfRule>
  </conditionalFormatting>
  <conditionalFormatting sqref="W644">
    <cfRule type="containsText" dxfId="1" priority="1010" operator="between" text="欠">
      <formula>NOT(ISERROR(SEARCH("欠",W644)))</formula>
    </cfRule>
  </conditionalFormatting>
  <conditionalFormatting sqref="X644">
    <cfRule type="containsText" dxfId="1" priority="1008" operator="between" text="欠">
      <formula>NOT(ISERROR(SEARCH("欠",X644)))</formula>
    </cfRule>
  </conditionalFormatting>
  <conditionalFormatting sqref="Y644">
    <cfRule type="containsText" dxfId="1" priority="1011" operator="between" text="欠">
      <formula>NOT(ISERROR(SEARCH("欠",Y644)))</formula>
    </cfRule>
  </conditionalFormatting>
  <conditionalFormatting sqref="V655">
    <cfRule type="containsText" dxfId="1" priority="994" operator="between" text="欠">
      <formula>NOT(ISERROR(SEARCH("欠",V655)))</formula>
    </cfRule>
  </conditionalFormatting>
  <conditionalFormatting sqref="W655">
    <cfRule type="containsText" dxfId="1" priority="1037" operator="between" text="欠">
      <formula>NOT(ISERROR(SEARCH("欠",W655)))</formula>
    </cfRule>
  </conditionalFormatting>
  <conditionalFormatting sqref="Y655">
    <cfRule type="containsText" dxfId="1" priority="1038" operator="between" text="欠">
      <formula>NOT(ISERROR(SEARCH("欠",Y655)))</formula>
    </cfRule>
  </conditionalFormatting>
  <conditionalFormatting sqref="V656">
    <cfRule type="containsText" dxfId="1" priority="996" operator="between" text="欠">
      <formula>NOT(ISERROR(SEARCH("欠",V656)))</formula>
    </cfRule>
  </conditionalFormatting>
  <conditionalFormatting sqref="V657">
    <cfRule type="containsText" dxfId="1" priority="1162" operator="between" text="欠">
      <formula>NOT(ISERROR(SEARCH("欠",V657)))</formula>
    </cfRule>
  </conditionalFormatting>
  <conditionalFormatting sqref="W657">
    <cfRule type="containsText" dxfId="1" priority="1163" operator="between" text="欠">
      <formula>NOT(ISERROR(SEARCH("欠",W657)))</formula>
    </cfRule>
  </conditionalFormatting>
  <conditionalFormatting sqref="X657">
    <cfRule type="containsText" dxfId="1" priority="1161" operator="between" text="欠">
      <formula>NOT(ISERROR(SEARCH("欠",X657)))</formula>
    </cfRule>
  </conditionalFormatting>
  <conditionalFormatting sqref="Y657">
    <cfRule type="containsText" dxfId="1" priority="1160" operator="between" text="欠">
      <formula>NOT(ISERROR(SEARCH("欠",Y657)))</formula>
    </cfRule>
  </conditionalFormatting>
  <conditionalFormatting sqref="V660">
    <cfRule type="containsText" dxfId="1" priority="1014" operator="between" text="欠">
      <formula>NOT(ISERROR(SEARCH("欠",V660)))</formula>
    </cfRule>
  </conditionalFormatting>
  <conditionalFormatting sqref="X660">
    <cfRule type="containsText" dxfId="1" priority="1013" operator="between" text="欠">
      <formula>NOT(ISERROR(SEARCH("欠",X660)))</formula>
    </cfRule>
  </conditionalFormatting>
  <conditionalFormatting sqref="V670">
    <cfRule type="containsText" dxfId="1" priority="995" operator="between" text="欠">
      <formula>NOT(ISERROR(SEARCH("欠",V670)))</formula>
    </cfRule>
  </conditionalFormatting>
  <conditionalFormatting sqref="V671">
    <cfRule type="containsText" dxfId="1" priority="997" operator="between" text="欠">
      <formula>NOT(ISERROR(SEARCH("欠",V671)))</formula>
    </cfRule>
  </conditionalFormatting>
  <conditionalFormatting sqref="W674">
    <cfRule type="containsText" dxfId="1" priority="1007" operator="between" text="欠">
      <formula>NOT(ISERROR(SEARCH("欠",W674)))</formula>
    </cfRule>
  </conditionalFormatting>
  <conditionalFormatting sqref="Y674">
    <cfRule type="containsText" dxfId="1" priority="1005" operator="between" text="欠">
      <formula>NOT(ISERROR(SEARCH("欠",Y674)))</formula>
    </cfRule>
  </conditionalFormatting>
  <conditionalFormatting sqref="V677">
    <cfRule type="containsText" dxfId="1" priority="1003" operator="between" text="欠">
      <formula>NOT(ISERROR(SEARCH("欠",V677)))</formula>
    </cfRule>
  </conditionalFormatting>
  <conditionalFormatting sqref="X677">
    <cfRule type="containsText" dxfId="1" priority="1004" operator="between" text="欠">
      <formula>NOT(ISERROR(SEARCH("欠",X677)))</formula>
    </cfRule>
  </conditionalFormatting>
  <conditionalFormatting sqref="V685">
    <cfRule type="containsText" dxfId="1" priority="1063" operator="between" text="欠">
      <formula>NOT(ISERROR(SEARCH("欠",V685)))</formula>
    </cfRule>
  </conditionalFormatting>
  <conditionalFormatting sqref="W685">
    <cfRule type="containsText" dxfId="1" priority="1070" operator="between" text="欠">
      <formula>NOT(ISERROR(SEARCH("欠",W685)))</formula>
    </cfRule>
  </conditionalFormatting>
  <conditionalFormatting sqref="Y685">
    <cfRule type="containsText" dxfId="1" priority="924" operator="between" text="欠">
      <formula>NOT(ISERROR(SEARCH("欠",Y685)))</formula>
    </cfRule>
  </conditionalFormatting>
  <conditionalFormatting sqref="V686">
    <cfRule type="containsText" dxfId="1" priority="989" operator="between" text="欠">
      <formula>NOT(ISERROR(SEARCH("欠",V686)))</formula>
    </cfRule>
  </conditionalFormatting>
  <conditionalFormatting sqref="W686">
    <cfRule type="containsText" dxfId="1" priority="992" operator="between" text="欠">
      <formula>NOT(ISERROR(SEARCH("欠",W686)))</formula>
    </cfRule>
  </conditionalFormatting>
  <conditionalFormatting sqref="X686">
    <cfRule type="containsText" dxfId="1" priority="990" operator="between" text="欠">
      <formula>NOT(ISERROR(SEARCH("欠",X686)))</formula>
    </cfRule>
  </conditionalFormatting>
  <conditionalFormatting sqref="Y686">
    <cfRule type="containsText" dxfId="1" priority="991" operator="between" text="欠">
      <formula>NOT(ISERROR(SEARCH("欠",Y686)))</formula>
    </cfRule>
  </conditionalFormatting>
  <conditionalFormatting sqref="Y687">
    <cfRule type="containsText" dxfId="1" priority="921" operator="between" text="欠">
      <formula>NOT(ISERROR(SEARCH("欠",Y687)))</formula>
    </cfRule>
  </conditionalFormatting>
  <conditionalFormatting sqref="V691">
    <cfRule type="containsText" dxfId="1" priority="930" operator="between" text="欠">
      <formula>NOT(ISERROR(SEARCH("欠",V691)))</formula>
    </cfRule>
  </conditionalFormatting>
  <conditionalFormatting sqref="Y691">
    <cfRule type="containsText" dxfId="1" priority="923" operator="between" text="欠">
      <formula>NOT(ISERROR(SEARCH("欠",Y691)))</formula>
    </cfRule>
  </conditionalFormatting>
  <conditionalFormatting sqref="W693">
    <cfRule type="containsText" dxfId="1" priority="969" operator="between" text="欠">
      <formula>NOT(ISERROR(SEARCH("欠",W693)))</formula>
    </cfRule>
  </conditionalFormatting>
  <conditionalFormatting sqref="Y693">
    <cfRule type="containsText" dxfId="1" priority="968" operator="between" text="欠">
      <formula>NOT(ISERROR(SEARCH("欠",Y693)))</formula>
    </cfRule>
  </conditionalFormatting>
  <conditionalFormatting sqref="V695">
    <cfRule type="containsText" dxfId="1" priority="929" operator="between" text="欠">
      <formula>NOT(ISERROR(SEARCH("欠",V695)))</formula>
    </cfRule>
  </conditionalFormatting>
  <conditionalFormatting sqref="Y695">
    <cfRule type="containsText" dxfId="1" priority="922" operator="between" text="欠">
      <formula>NOT(ISERROR(SEARCH("欠",Y695)))</formula>
    </cfRule>
  </conditionalFormatting>
  <conditionalFormatting sqref="W696">
    <cfRule type="containsText" dxfId="1" priority="965" operator="between" text="欠">
      <formula>NOT(ISERROR(SEARCH("欠",W696)))</formula>
    </cfRule>
  </conditionalFormatting>
  <conditionalFormatting sqref="W697">
    <cfRule type="containsText" dxfId="1" priority="964" operator="between" text="欠">
      <formula>NOT(ISERROR(SEARCH("欠",W697)))</formula>
    </cfRule>
  </conditionalFormatting>
  <conditionalFormatting sqref="W698">
    <cfRule type="containsText" dxfId="1" priority="963" operator="between" text="欠">
      <formula>NOT(ISERROR(SEARCH("欠",W698)))</formula>
    </cfRule>
  </conditionalFormatting>
  <conditionalFormatting sqref="W699">
    <cfRule type="containsText" dxfId="1" priority="962" operator="between" text="欠">
      <formula>NOT(ISERROR(SEARCH("欠",W699)))</formula>
    </cfRule>
  </conditionalFormatting>
  <conditionalFormatting sqref="W700">
    <cfRule type="containsText" dxfId="1" priority="961" operator="between" text="欠">
      <formula>NOT(ISERROR(SEARCH("欠",W700)))</formula>
    </cfRule>
  </conditionalFormatting>
  <conditionalFormatting sqref="W701">
    <cfRule type="containsText" dxfId="1" priority="960" operator="between" text="欠">
      <formula>NOT(ISERROR(SEARCH("欠",W701)))</formula>
    </cfRule>
  </conditionalFormatting>
  <conditionalFormatting sqref="W702">
    <cfRule type="containsText" dxfId="1" priority="947" operator="between" text="欠">
      <formula>NOT(ISERROR(SEARCH("欠",W702)))</formula>
    </cfRule>
  </conditionalFormatting>
  <conditionalFormatting sqref="X703">
    <cfRule type="containsText" dxfId="1" priority="1002" operator="between" text="欠">
      <formula>NOT(ISERROR(SEARCH("欠",X703)))</formula>
    </cfRule>
  </conditionalFormatting>
  <conditionalFormatting sqref="W704">
    <cfRule type="containsText" dxfId="1" priority="981" operator="between" text="欠">
      <formula>NOT(ISERROR(SEARCH("欠",W704)))</formula>
    </cfRule>
  </conditionalFormatting>
  <conditionalFormatting sqref="Y704">
    <cfRule type="containsText" dxfId="1" priority="980" operator="between" text="欠">
      <formula>NOT(ISERROR(SEARCH("欠",Y704)))</formula>
    </cfRule>
  </conditionalFormatting>
  <conditionalFormatting sqref="X714">
    <cfRule type="containsText" dxfId="1" priority="979" operator="between" text="欠">
      <formula>NOT(ISERROR(SEARCH("欠",X714)))</formula>
    </cfRule>
  </conditionalFormatting>
  <conditionalFormatting sqref="V715">
    <cfRule type="containsText" dxfId="1" priority="932" operator="between" text="欠">
      <formula>NOT(ISERROR(SEARCH("欠",V715)))</formula>
    </cfRule>
  </conditionalFormatting>
  <conditionalFormatting sqref="W715">
    <cfRule type="containsText" dxfId="1" priority="933" operator="between" text="欠">
      <formula>NOT(ISERROR(SEARCH("欠",W715)))</formula>
    </cfRule>
  </conditionalFormatting>
  <conditionalFormatting sqref="X715">
    <cfRule type="containsText" dxfId="1" priority="935" operator="between" text="欠">
      <formula>NOT(ISERROR(SEARCH("欠",X715)))</formula>
    </cfRule>
  </conditionalFormatting>
  <conditionalFormatting sqref="Y715">
    <cfRule type="containsText" dxfId="1" priority="936" operator="between" text="欠">
      <formula>NOT(ISERROR(SEARCH("欠",Y715)))</formula>
    </cfRule>
  </conditionalFormatting>
  <conditionalFormatting sqref="V718">
    <cfRule type="containsText" dxfId="1" priority="928" operator="between" text="欠">
      <formula>NOT(ISERROR(SEARCH("欠",V718)))</formula>
    </cfRule>
  </conditionalFormatting>
  <conditionalFormatting sqref="W725">
    <cfRule type="containsText" dxfId="1" priority="920" operator="between" text="欠">
      <formula>NOT(ISERROR(SEARCH("欠",W725)))</formula>
    </cfRule>
  </conditionalFormatting>
  <conditionalFormatting sqref="Y725">
    <cfRule type="containsText" dxfId="1" priority="919" operator="between" text="欠">
      <formula>NOT(ISERROR(SEARCH("欠",Y725)))</formula>
    </cfRule>
  </conditionalFormatting>
  <conditionalFormatting sqref="W726">
    <cfRule type="containsText" dxfId="1" priority="916" operator="between" text="欠">
      <formula>NOT(ISERROR(SEARCH("欠",W726)))</formula>
    </cfRule>
  </conditionalFormatting>
  <conditionalFormatting sqref="Y726">
    <cfRule type="containsText" dxfId="1" priority="915" operator="between" text="欠">
      <formula>NOT(ISERROR(SEARCH("欠",Y726)))</formula>
    </cfRule>
  </conditionalFormatting>
  <conditionalFormatting sqref="X729">
    <cfRule type="containsText" dxfId="1" priority="892" operator="between" text="欠">
      <formula>NOT(ISERROR(SEARCH("欠",X729)))</formula>
    </cfRule>
  </conditionalFormatting>
  <conditionalFormatting sqref="Y729">
    <cfRule type="containsText" dxfId="1" priority="896" operator="between" text="欠">
      <formula>NOT(ISERROR(SEARCH("欠",Y729)))</formula>
    </cfRule>
  </conditionalFormatting>
  <conditionalFormatting sqref="Z729">
    <cfRule type="containsText" dxfId="1" priority="893" operator="between" text="欠">
      <formula>NOT(ISERROR(SEARCH("欠",Z729)))</formula>
    </cfRule>
  </conditionalFormatting>
  <conditionalFormatting sqref="V730">
    <cfRule type="containsText" dxfId="1" priority="899" operator="between" text="欠">
      <formula>NOT(ISERROR(SEARCH("欠",V730)))</formula>
    </cfRule>
  </conditionalFormatting>
  <conditionalFormatting sqref="W730">
    <cfRule type="containsText" dxfId="1" priority="902" operator="between" text="欠">
      <formula>NOT(ISERROR(SEARCH("欠",W730)))</formula>
    </cfRule>
  </conditionalFormatting>
  <conditionalFormatting sqref="X730">
    <cfRule type="containsText" dxfId="1" priority="898" operator="between" text="欠">
      <formula>NOT(ISERROR(SEARCH("欠",X730)))</formula>
    </cfRule>
  </conditionalFormatting>
  <conditionalFormatting sqref="Y730">
    <cfRule type="containsText" dxfId="1" priority="901" operator="between" text="欠">
      <formula>NOT(ISERROR(SEARCH("欠",Y730)))</formula>
    </cfRule>
  </conditionalFormatting>
  <conditionalFormatting sqref="Y731">
    <cfRule type="containsText" dxfId="1" priority="863" operator="between" text="欠">
      <formula>NOT(ISERROR(SEARCH("欠",Y731)))</formula>
    </cfRule>
  </conditionalFormatting>
  <conditionalFormatting sqref="V740">
    <cfRule type="containsText" dxfId="1" priority="931" operator="between" text="欠">
      <formula>NOT(ISERROR(SEARCH("欠",V740)))</formula>
    </cfRule>
  </conditionalFormatting>
  <conditionalFormatting sqref="W740">
    <cfRule type="containsText" dxfId="1" priority="937" operator="between" text="欠">
      <formula>NOT(ISERROR(SEARCH("欠",W740)))</formula>
    </cfRule>
  </conditionalFormatting>
  <conditionalFormatting sqref="X740">
    <cfRule type="containsText" dxfId="1" priority="943" operator="between" text="欠">
      <formula>NOT(ISERROR(SEARCH("欠",X740)))</formula>
    </cfRule>
  </conditionalFormatting>
  <conditionalFormatting sqref="Y740">
    <cfRule type="containsText" dxfId="1" priority="940" operator="between" text="欠">
      <formula>NOT(ISERROR(SEARCH("欠",Y740)))</formula>
    </cfRule>
  </conditionalFormatting>
  <conditionalFormatting sqref="V742">
    <cfRule type="containsText" dxfId="1" priority="854" operator="between" text="欠">
      <formula>NOT(ISERROR(SEARCH("欠",V742)))</formula>
    </cfRule>
  </conditionalFormatting>
  <conditionalFormatting sqref="W742">
    <cfRule type="containsText" dxfId="1" priority="855" operator="between" text="欠">
      <formula>NOT(ISERROR(SEARCH("欠",W742)))</formula>
    </cfRule>
  </conditionalFormatting>
  <conditionalFormatting sqref="X742">
    <cfRule type="containsText" dxfId="1" priority="853" operator="between" text="欠">
      <formula>NOT(ISERROR(SEARCH("欠",X742)))</formula>
    </cfRule>
  </conditionalFormatting>
  <conditionalFormatting sqref="Y742">
    <cfRule type="containsText" dxfId="1" priority="856" operator="between" text="欠">
      <formula>NOT(ISERROR(SEARCH("欠",Y742)))</formula>
    </cfRule>
  </conditionalFormatting>
  <conditionalFormatting sqref="V744">
    <cfRule type="containsText" dxfId="1" priority="907" operator="between" text="欠">
      <formula>NOT(ISERROR(SEARCH("欠",V744)))</formula>
    </cfRule>
  </conditionalFormatting>
  <conditionalFormatting sqref="W744">
    <cfRule type="containsText" dxfId="1" priority="908" operator="between" text="欠">
      <formula>NOT(ISERROR(SEARCH("欠",W744)))</formula>
    </cfRule>
  </conditionalFormatting>
  <conditionalFormatting sqref="W746">
    <cfRule type="containsText" dxfId="1" priority="839" operator="between" text="欠">
      <formula>NOT(ISERROR(SEARCH("欠",W746)))</formula>
    </cfRule>
  </conditionalFormatting>
  <conditionalFormatting sqref="Y746">
    <cfRule type="containsText" dxfId="1" priority="841" operator="between" text="欠">
      <formula>NOT(ISERROR(SEARCH("欠",Y746)))</formula>
    </cfRule>
  </conditionalFormatting>
  <conditionalFormatting sqref="W749">
    <cfRule type="containsText" dxfId="1" priority="851" operator="between" text="欠">
      <formula>NOT(ISERROR(SEARCH("欠",W749)))</formula>
    </cfRule>
  </conditionalFormatting>
  <conditionalFormatting sqref="V750">
    <cfRule type="containsText" dxfId="1" priority="862" operator="between" text="欠">
      <formula>NOT(ISERROR(SEARCH("欠",V750)))</formula>
    </cfRule>
  </conditionalFormatting>
  <conditionalFormatting sqref="W752">
    <cfRule type="containsText" dxfId="1" priority="835" operator="between" text="欠">
      <formula>NOT(ISERROR(SEARCH("欠",W752)))</formula>
    </cfRule>
  </conditionalFormatting>
  <conditionalFormatting sqref="Y752">
    <cfRule type="containsText" dxfId="1" priority="837" operator="between" text="欠">
      <formula>NOT(ISERROR(SEARCH("欠",Y752)))</formula>
    </cfRule>
  </conditionalFormatting>
  <conditionalFormatting sqref="U757">
    <cfRule type="containsText" dxfId="1" priority="707" operator="between" text="欠">
      <formula>NOT(ISERROR(SEARCH("欠",U757)))</formula>
    </cfRule>
  </conditionalFormatting>
  <conditionalFormatting sqref="V757">
    <cfRule type="cellIs" dxfId="0" priority="752" operator="equal">
      <formula>"欠"</formula>
    </cfRule>
  </conditionalFormatting>
  <conditionalFormatting sqref="U758">
    <cfRule type="containsText" dxfId="1" priority="709" operator="between" text="欠">
      <formula>NOT(ISERROR(SEARCH("欠",U758)))</formula>
    </cfRule>
  </conditionalFormatting>
  <conditionalFormatting sqref="V758">
    <cfRule type="containsText" dxfId="1" priority="802" operator="between" text="欠">
      <formula>NOT(ISERROR(SEARCH("欠",V758)))</formula>
    </cfRule>
  </conditionalFormatting>
  <conditionalFormatting sqref="W758">
    <cfRule type="containsText" dxfId="1" priority="803" operator="between" text="欠">
      <formula>NOT(ISERROR(SEARCH("欠",W758)))</formula>
    </cfRule>
  </conditionalFormatting>
  <conditionalFormatting sqref="X758">
    <cfRule type="containsText" dxfId="1" priority="804" operator="between" text="欠">
      <formula>NOT(ISERROR(SEARCH("欠",X758)))</formula>
    </cfRule>
  </conditionalFormatting>
  <conditionalFormatting sqref="V759">
    <cfRule type="cellIs" dxfId="0" priority="763" operator="equal">
      <formula>"欠"</formula>
    </cfRule>
  </conditionalFormatting>
  <conditionalFormatting sqref="W759">
    <cfRule type="containsText" dxfId="1" priority="764" operator="between" text="欠">
      <formula>NOT(ISERROR(SEARCH("欠",W759)))</formula>
    </cfRule>
  </conditionalFormatting>
  <conditionalFormatting sqref="X759">
    <cfRule type="containsText" dxfId="1" priority="751" operator="between" text="欠">
      <formula>NOT(ISERROR(SEARCH("欠",X759)))</formula>
    </cfRule>
  </conditionalFormatting>
  <conditionalFormatting sqref="Y759">
    <cfRule type="containsText" dxfId="1" priority="762" operator="between" text="欠">
      <formula>NOT(ISERROR(SEARCH("欠",Y759)))</formula>
    </cfRule>
  </conditionalFormatting>
  <conditionalFormatting sqref="W760">
    <cfRule type="containsText" dxfId="1" priority="885" operator="between" text="欠">
      <formula>NOT(ISERROR(SEARCH("欠",W760)))</formula>
    </cfRule>
  </conditionalFormatting>
  <conditionalFormatting sqref="X760">
    <cfRule type="containsText" dxfId="1" priority="887" operator="between" text="欠">
      <formula>NOT(ISERROR(SEARCH("欠",X760)))</formula>
    </cfRule>
  </conditionalFormatting>
  <conditionalFormatting sqref="Y760">
    <cfRule type="containsText" dxfId="1" priority="886" operator="between" text="欠">
      <formula>NOT(ISERROR(SEARCH("欠",Y760)))</formula>
    </cfRule>
  </conditionalFormatting>
  <conditionalFormatting sqref="Y786">
    <cfRule type="containsText" dxfId="1" priority="771" operator="between" text="欠">
      <formula>NOT(ISERROR(SEARCH("欠",Y786)))</formula>
    </cfRule>
  </conditionalFormatting>
  <conditionalFormatting sqref="U788">
    <cfRule type="containsText" dxfId="1" priority="708" operator="between" text="欠">
      <formula>NOT(ISERROR(SEARCH("欠",U788)))</formula>
    </cfRule>
  </conditionalFormatting>
  <conditionalFormatting sqref="V788">
    <cfRule type="cellIs" dxfId="0" priority="743" operator="equal">
      <formula>"欠"</formula>
    </cfRule>
  </conditionalFormatting>
  <conditionalFormatting sqref="W788">
    <cfRule type="containsText" dxfId="1" priority="787" operator="between" text="欠">
      <formula>NOT(ISERROR(SEARCH("欠",W788)))</formula>
    </cfRule>
  </conditionalFormatting>
  <conditionalFormatting sqref="U789">
    <cfRule type="containsText" dxfId="1" priority="652" operator="between" text="欠">
      <formula>NOT(ISERROR(SEARCH("欠",U789)))</formula>
    </cfRule>
  </conditionalFormatting>
  <conditionalFormatting sqref="V789">
    <cfRule type="cellIs" dxfId="0" priority="744" operator="equal">
      <formula>"欠"</formula>
    </cfRule>
  </conditionalFormatting>
  <conditionalFormatting sqref="W789">
    <cfRule type="containsText" dxfId="1" priority="790" operator="between" text="欠">
      <formula>NOT(ISERROR(SEARCH("欠",W789)))</formula>
    </cfRule>
  </conditionalFormatting>
  <conditionalFormatting sqref="W792">
    <cfRule type="containsText" dxfId="1" priority="759" operator="between" text="欠">
      <formula>NOT(ISERROR(SEARCH("欠",W792)))</formula>
    </cfRule>
  </conditionalFormatting>
  <conditionalFormatting sqref="Y792">
    <cfRule type="containsText" dxfId="1" priority="761" operator="between" text="欠">
      <formula>NOT(ISERROR(SEARCH("欠",Y792)))</formula>
    </cfRule>
  </conditionalFormatting>
  <conditionalFormatting sqref="V795">
    <cfRule type="cellIs" dxfId="0" priority="711" operator="equal">
      <formula>"欠"</formula>
    </cfRule>
  </conditionalFormatting>
  <conditionalFormatting sqref="W795">
    <cfRule type="containsText" dxfId="1" priority="727" operator="between" text="欠">
      <formula>NOT(ISERROR(SEARCH("欠",W795)))</formula>
    </cfRule>
  </conditionalFormatting>
  <conditionalFormatting sqref="X795">
    <cfRule type="containsText" dxfId="1" priority="728" operator="between" text="欠">
      <formula>NOT(ISERROR(SEARCH("欠",X795)))</formula>
    </cfRule>
  </conditionalFormatting>
  <conditionalFormatting sqref="Y795">
    <cfRule type="containsText" dxfId="1" priority="729" operator="between" text="欠">
      <formula>NOT(ISERROR(SEARCH("欠",Y795)))</formula>
    </cfRule>
  </conditionalFormatting>
  <conditionalFormatting sqref="V799">
    <cfRule type="cellIs" dxfId="0" priority="716" operator="equal">
      <formula>"欠"</formula>
    </cfRule>
  </conditionalFormatting>
  <conditionalFormatting sqref="W799">
    <cfRule type="containsText" dxfId="1" priority="718" operator="between" text="欠">
      <formula>NOT(ISERROR(SEARCH("欠",W799)))</formula>
    </cfRule>
  </conditionalFormatting>
  <conditionalFormatting sqref="Y799">
    <cfRule type="containsText" dxfId="1" priority="717" operator="between" text="欠">
      <formula>NOT(ISERROR(SEARCH("欠",Y799)))</formula>
    </cfRule>
  </conditionalFormatting>
  <conditionalFormatting sqref="V800">
    <cfRule type="cellIs" dxfId="0" priority="719" operator="equal">
      <formula>"欠"</formula>
    </cfRule>
  </conditionalFormatting>
  <conditionalFormatting sqref="W800">
    <cfRule type="containsText" dxfId="1" priority="721" operator="between" text="欠">
      <formula>NOT(ISERROR(SEARCH("欠",W800)))</formula>
    </cfRule>
  </conditionalFormatting>
  <conditionalFormatting sqref="X800">
    <cfRule type="containsText" dxfId="1" priority="713" operator="between" text="欠">
      <formula>NOT(ISERROR(SEARCH("欠",X800)))</formula>
    </cfRule>
  </conditionalFormatting>
  <conditionalFormatting sqref="Y800">
    <cfRule type="containsText" dxfId="1" priority="720" operator="between" text="欠">
      <formula>NOT(ISERROR(SEARCH("欠",Y800)))</formula>
    </cfRule>
  </conditionalFormatting>
  <conditionalFormatting sqref="V804">
    <cfRule type="cellIs" dxfId="0" priority="731" operator="equal">
      <formula>"欠"</formula>
    </cfRule>
  </conditionalFormatting>
  <conditionalFormatting sqref="V807">
    <cfRule type="containsText" dxfId="1" priority="710" operator="between" text="欠">
      <formula>NOT(ISERROR(SEARCH("欠",V807)))</formula>
    </cfRule>
  </conditionalFormatting>
  <conditionalFormatting sqref="V808">
    <cfRule type="cellIs" dxfId="0" priority="749" operator="equal">
      <formula>"欠"</formula>
    </cfRule>
  </conditionalFormatting>
  <conditionalFormatting sqref="V809">
    <cfRule type="cellIs" dxfId="0" priority="736" operator="equal">
      <formula>"欠"</formula>
    </cfRule>
  </conditionalFormatting>
  <conditionalFormatting sqref="W809">
    <cfRule type="containsText" dxfId="1" priority="738" operator="between" text="欠">
      <formula>NOT(ISERROR(SEARCH("欠",W809)))</formula>
    </cfRule>
  </conditionalFormatting>
  <conditionalFormatting sqref="X809">
    <cfRule type="containsText" dxfId="1" priority="735" operator="between" text="欠">
      <formula>NOT(ISERROR(SEARCH("欠",X809)))</formula>
    </cfRule>
  </conditionalFormatting>
  <conditionalFormatting sqref="Y809">
    <cfRule type="containsText" dxfId="1" priority="737" operator="between" text="欠">
      <formula>NOT(ISERROR(SEARCH("欠",Y809)))</formula>
    </cfRule>
  </conditionalFormatting>
  <conditionalFormatting sqref="V813">
    <cfRule type="cellIs" dxfId="0" priority="746" operator="equal">
      <formula>"欠"</formula>
    </cfRule>
  </conditionalFormatting>
  <conditionalFormatting sqref="X813">
    <cfRule type="containsText" dxfId="1" priority="745" operator="between" text="欠">
      <formula>NOT(ISERROR(SEARCH("欠",X813)))</formula>
    </cfRule>
  </conditionalFormatting>
  <conditionalFormatting sqref="W820">
    <cfRule type="containsText" dxfId="1" priority="690" operator="between" text="欠">
      <formula>NOT(ISERROR(SEARCH("欠",W820)))</formula>
    </cfRule>
  </conditionalFormatting>
  <conditionalFormatting sqref="X827">
    <cfRule type="containsText" dxfId="1" priority="567" operator="between" text="欠">
      <formula>NOT(ISERROR(SEARCH("欠",X827)))</formula>
    </cfRule>
  </conditionalFormatting>
  <conditionalFormatting sqref="Y830">
    <cfRule type="containsText" dxfId="1" priority="768" operator="between" text="欠">
      <formula>NOT(ISERROR(SEARCH("欠",Y830)))</formula>
    </cfRule>
  </conditionalFormatting>
  <conditionalFormatting sqref="Y831">
    <cfRule type="containsText" dxfId="1" priority="765" operator="between" text="欠">
      <formula>NOT(ISERROR(SEARCH("欠",Y831)))</formula>
    </cfRule>
  </conditionalFormatting>
  <conditionalFormatting sqref="W838">
    <cfRule type="containsText" dxfId="1" priority="779" operator="between" text="欠">
      <formula>NOT(ISERROR(SEARCH("欠",W838)))</formula>
    </cfRule>
  </conditionalFormatting>
  <conditionalFormatting sqref="X838">
    <cfRule type="containsText" dxfId="1" priority="777" operator="between" text="欠">
      <formula>NOT(ISERROR(SEARCH("欠",X838)))</formula>
    </cfRule>
  </conditionalFormatting>
  <conditionalFormatting sqref="V839">
    <cfRule type="containsText" dxfId="1" priority="741" operator="between" text="欠">
      <formula>NOT(ISERROR(SEARCH("欠",V839)))</formula>
    </cfRule>
  </conditionalFormatting>
  <conditionalFormatting sqref="W839">
    <cfRule type="containsText" dxfId="1" priority="740" operator="between" text="欠">
      <formula>NOT(ISERROR(SEARCH("欠",W839)))</formula>
    </cfRule>
  </conditionalFormatting>
  <conditionalFormatting sqref="X839">
    <cfRule type="containsText" dxfId="1" priority="739" operator="between" text="欠">
      <formula>NOT(ISERROR(SEARCH("欠",X839)))</formula>
    </cfRule>
  </conditionalFormatting>
  <conditionalFormatting sqref="Y839">
    <cfRule type="containsText" dxfId="1" priority="742" operator="between" text="欠">
      <formula>NOT(ISERROR(SEARCH("欠",Y839)))</formula>
    </cfRule>
  </conditionalFormatting>
  <conditionalFormatting sqref="V840">
    <cfRule type="containsText" dxfId="1" priority="671" operator="between" text="欠">
      <formula>NOT(ISERROR(SEARCH("欠",V840)))</formula>
    </cfRule>
  </conditionalFormatting>
  <conditionalFormatting sqref="W840">
    <cfRule type="containsText" dxfId="1" priority="672" operator="between" text="欠">
      <formula>NOT(ISERROR(SEARCH("欠",W840)))</formula>
    </cfRule>
  </conditionalFormatting>
  <conditionalFormatting sqref="X840">
    <cfRule type="containsText" dxfId="1" priority="673" operator="between" text="欠">
      <formula>NOT(ISERROR(SEARCH("欠",X840)))</formula>
    </cfRule>
  </conditionalFormatting>
  <conditionalFormatting sqref="Y840">
    <cfRule type="containsText" dxfId="1" priority="674" operator="between" text="欠">
      <formula>NOT(ISERROR(SEARCH("欠",Y840)))</formula>
    </cfRule>
  </conditionalFormatting>
  <conditionalFormatting sqref="Y841">
    <cfRule type="containsText" dxfId="1" priority="875" operator="between" text="欠">
      <formula>NOT(ISERROR(SEARCH("欠",Y841)))</formula>
    </cfRule>
  </conditionalFormatting>
  <conditionalFormatting sqref="V842">
    <cfRule type="containsText" dxfId="1" priority="571" operator="between" text="欠">
      <formula>NOT(ISERROR(SEARCH("欠",V842)))</formula>
    </cfRule>
  </conditionalFormatting>
  <conditionalFormatting sqref="W842">
    <cfRule type="containsText" dxfId="1" priority="573" operator="between" text="欠">
      <formula>NOT(ISERROR(SEARCH("欠",W842)))</formula>
    </cfRule>
  </conditionalFormatting>
  <conditionalFormatting sqref="X842">
    <cfRule type="containsText" dxfId="1" priority="572" operator="between" text="欠">
      <formula>NOT(ISERROR(SEARCH("欠",X842)))</formula>
    </cfRule>
  </conditionalFormatting>
  <conditionalFormatting sqref="Y842">
    <cfRule type="containsText" dxfId="1" priority="630" operator="between" text="欠">
      <formula>NOT(ISERROR(SEARCH("欠",Y842)))</formula>
    </cfRule>
  </conditionalFormatting>
  <conditionalFormatting sqref="W843">
    <cfRule type="containsText" dxfId="1" priority="881" operator="between" text="欠">
      <formula>NOT(ISERROR(SEARCH("欠",W843)))</formula>
    </cfRule>
  </conditionalFormatting>
  <conditionalFormatting sqref="Y843">
    <cfRule type="containsText" dxfId="1" priority="883" operator="between" text="欠">
      <formula>NOT(ISERROR(SEARCH("欠",Y843)))</formula>
    </cfRule>
  </conditionalFormatting>
  <conditionalFormatting sqref="Y844">
    <cfRule type="containsText" dxfId="1" priority="879" operator="between" text="欠">
      <formula>NOT(ISERROR(SEARCH("欠",Y844)))</formula>
    </cfRule>
  </conditionalFormatting>
  <conditionalFormatting sqref="W846">
    <cfRule type="containsText" dxfId="1" priority="676" operator="between" text="欠">
      <formula>NOT(ISERROR(SEARCH("欠",W846)))</formula>
    </cfRule>
  </conditionalFormatting>
  <conditionalFormatting sqref="Y846">
    <cfRule type="containsText" dxfId="1" priority="678" operator="between" text="欠">
      <formula>NOT(ISERROR(SEARCH("欠",Y846)))</formula>
    </cfRule>
  </conditionalFormatting>
  <conditionalFormatting sqref="Y851">
    <cfRule type="containsText" dxfId="1" priority="653" operator="between" text="欠">
      <formula>NOT(ISERROR(SEARCH("欠",Y851)))</formula>
    </cfRule>
  </conditionalFormatting>
  <conditionalFormatting sqref="V860">
    <cfRule type="cellIs" dxfId="0" priority="657" operator="equal">
      <formula>"欠"</formula>
    </cfRule>
  </conditionalFormatting>
  <conditionalFormatting sqref="W860">
    <cfRule type="containsText" dxfId="1" priority="659" operator="between" text="欠">
      <formula>NOT(ISERROR(SEARCH("欠",W860)))</formula>
    </cfRule>
  </conditionalFormatting>
  <conditionalFormatting sqref="X860">
    <cfRule type="containsText" dxfId="1" priority="656" operator="between" text="欠">
      <formula>NOT(ISERROR(SEARCH("欠",X860)))</formula>
    </cfRule>
  </conditionalFormatting>
  <conditionalFormatting sqref="Y860">
    <cfRule type="containsText" dxfId="1" priority="658" operator="between" text="欠">
      <formula>NOT(ISERROR(SEARCH("欠",Y860)))</formula>
    </cfRule>
  </conditionalFormatting>
  <conditionalFormatting sqref="V861">
    <cfRule type="containsText" dxfId="1" priority="699" operator="between" text="欠">
      <formula>NOT(ISERROR(SEARCH("欠",V861)))</formula>
    </cfRule>
  </conditionalFormatting>
  <conditionalFormatting sqref="W861">
    <cfRule type="containsText" dxfId="1" priority="700" operator="between" text="欠">
      <formula>NOT(ISERROR(SEARCH("欠",W861)))</formula>
    </cfRule>
  </conditionalFormatting>
  <conditionalFormatting sqref="X861">
    <cfRule type="containsText" dxfId="1" priority="701" operator="between" text="欠">
      <formula>NOT(ISERROR(SEARCH("欠",X861)))</formula>
    </cfRule>
  </conditionalFormatting>
  <conditionalFormatting sqref="Y861">
    <cfRule type="containsText" dxfId="1" priority="702" operator="between" text="欠">
      <formula>NOT(ISERROR(SEARCH("欠",Y861)))</formula>
    </cfRule>
  </conditionalFormatting>
  <conditionalFormatting sqref="X862">
    <cfRule type="containsText" dxfId="1" priority="553" operator="between" text="欠">
      <formula>NOT(ISERROR(SEARCH("欠",X862)))</formula>
    </cfRule>
  </conditionalFormatting>
  <conditionalFormatting sqref="X863">
    <cfRule type="containsText" dxfId="1" priority="554" operator="between" text="欠">
      <formula>NOT(ISERROR(SEARCH("欠",X863)))</formula>
    </cfRule>
  </conditionalFormatting>
  <conditionalFormatting sqref="X864">
    <cfRule type="containsText" dxfId="1" priority="552" operator="between" text="欠">
      <formula>NOT(ISERROR(SEARCH("欠",X864)))</formula>
    </cfRule>
  </conditionalFormatting>
  <conditionalFormatting sqref="W867">
    <cfRule type="containsText" dxfId="1" priority="611" operator="between" text="欠">
      <formula>NOT(ISERROR(SEARCH("欠",W867)))</formula>
    </cfRule>
  </conditionalFormatting>
  <conditionalFormatting sqref="Y867">
    <cfRule type="containsText" dxfId="1" priority="613" operator="between" text="欠">
      <formula>NOT(ISERROR(SEARCH("欠",Y867)))</formula>
    </cfRule>
  </conditionalFormatting>
  <conditionalFormatting sqref="W868">
    <cfRule type="containsText" dxfId="1" priority="640" operator="between" text="欠">
      <formula>NOT(ISERROR(SEARCH("欠",W868)))</formula>
    </cfRule>
  </conditionalFormatting>
  <conditionalFormatting sqref="W869">
    <cfRule type="containsText" dxfId="1" priority="639" operator="between" text="欠">
      <formula>NOT(ISERROR(SEARCH("欠",W869)))</formula>
    </cfRule>
  </conditionalFormatting>
  <conditionalFormatting sqref="W870">
    <cfRule type="containsText" dxfId="1" priority="638" operator="between" text="欠">
      <formula>NOT(ISERROR(SEARCH("欠",W870)))</formula>
    </cfRule>
  </conditionalFormatting>
  <conditionalFormatting sqref="W874">
    <cfRule type="containsText" dxfId="1" priority="621" operator="between" text="欠">
      <formula>NOT(ISERROR(SEARCH("欠",W874)))</formula>
    </cfRule>
  </conditionalFormatting>
  <conditionalFormatting sqref="Y874">
    <cfRule type="containsText" dxfId="1" priority="623" operator="between" text="欠">
      <formula>NOT(ISERROR(SEARCH("欠",Y874)))</formula>
    </cfRule>
  </conditionalFormatting>
  <conditionalFormatting sqref="V875">
    <cfRule type="containsText" dxfId="1" priority="607" operator="between" text="欠">
      <formula>NOT(ISERROR(SEARCH("欠",V875)))</formula>
    </cfRule>
  </conditionalFormatting>
  <conditionalFormatting sqref="W875">
    <cfRule type="containsText" dxfId="1" priority="608" operator="between" text="欠">
      <formula>NOT(ISERROR(SEARCH("欠",W875)))</formula>
    </cfRule>
  </conditionalFormatting>
  <conditionalFormatting sqref="X875">
    <cfRule type="containsText" dxfId="1" priority="606" operator="between" text="欠">
      <formula>NOT(ISERROR(SEARCH("欠",X875)))</formula>
    </cfRule>
  </conditionalFormatting>
  <conditionalFormatting sqref="Y875">
    <cfRule type="containsText" dxfId="1" priority="609" operator="between" text="欠">
      <formula>NOT(ISERROR(SEARCH("欠",Y875)))</formula>
    </cfRule>
  </conditionalFormatting>
  <conditionalFormatting sqref="W884">
    <cfRule type="containsText" dxfId="1" priority="649" operator="between" text="欠">
      <formula>NOT(ISERROR(SEARCH("欠",W884)))</formula>
    </cfRule>
  </conditionalFormatting>
  <conditionalFormatting sqref="X884">
    <cfRule type="containsText" dxfId="1" priority="650" operator="between" text="欠">
      <formula>NOT(ISERROR(SEARCH("欠",X884)))</formula>
    </cfRule>
  </conditionalFormatting>
  <conditionalFormatting sqref="Y884">
    <cfRule type="containsText" dxfId="1" priority="651" operator="between" text="欠">
      <formula>NOT(ISERROR(SEARCH("欠",Y884)))</formula>
    </cfRule>
  </conditionalFormatting>
  <conditionalFormatting sqref="V890">
    <cfRule type="containsText" dxfId="1" priority="548" operator="between" text="欠">
      <formula>NOT(ISERROR(SEARCH("欠",V890)))</formula>
    </cfRule>
  </conditionalFormatting>
  <conditionalFormatting sqref="W890">
    <cfRule type="containsText" dxfId="1" priority="550" operator="between" text="欠">
      <formula>NOT(ISERROR(SEARCH("欠",W890)))</formula>
    </cfRule>
  </conditionalFormatting>
  <conditionalFormatting sqref="X890">
    <cfRule type="containsText" dxfId="1" priority="549" operator="between" text="欠">
      <formula>NOT(ISERROR(SEARCH("欠",X890)))</formula>
    </cfRule>
  </conditionalFormatting>
  <conditionalFormatting sqref="Y890">
    <cfRule type="containsText" dxfId="1" priority="551" operator="between" text="欠">
      <formula>NOT(ISERROR(SEARCH("欠",Y890)))</formula>
    </cfRule>
  </conditionalFormatting>
  <conditionalFormatting sqref="V891">
    <cfRule type="containsText" dxfId="1" priority="680" operator="between" text="欠">
      <formula>NOT(ISERROR(SEARCH("欠",V891)))</formula>
    </cfRule>
  </conditionalFormatting>
  <conditionalFormatting sqref="W891">
    <cfRule type="containsText" dxfId="1" priority="685" operator="between" text="欠">
      <formula>NOT(ISERROR(SEARCH("欠",W891)))</formula>
    </cfRule>
  </conditionalFormatting>
  <conditionalFormatting sqref="X891">
    <cfRule type="containsText" dxfId="1" priority="686" operator="between" text="欠">
      <formula>NOT(ISERROR(SEARCH("欠",X891)))</formula>
    </cfRule>
  </conditionalFormatting>
  <conditionalFormatting sqref="Y891">
    <cfRule type="containsText" dxfId="1" priority="687" operator="between" text="欠">
      <formula>NOT(ISERROR(SEARCH("欠",Y891)))</formula>
    </cfRule>
  </conditionalFormatting>
  <conditionalFormatting sqref="V892">
    <cfRule type="containsText" dxfId="1" priority="501" operator="between" text="欠">
      <formula>NOT(ISERROR(SEARCH("欠",V892)))</formula>
    </cfRule>
  </conditionalFormatting>
  <conditionalFormatting sqref="W892">
    <cfRule type="containsText" dxfId="1" priority="506" operator="between" text="欠">
      <formula>NOT(ISERROR(SEARCH("欠",W892)))</formula>
    </cfRule>
  </conditionalFormatting>
  <conditionalFormatting sqref="X892">
    <cfRule type="containsText" dxfId="1" priority="504" operator="between" text="欠">
      <formula>NOT(ISERROR(SEARCH("欠",X892)))</formula>
    </cfRule>
  </conditionalFormatting>
  <conditionalFormatting sqref="Y892">
    <cfRule type="containsText" dxfId="1" priority="505" operator="between" text="欠">
      <formula>NOT(ISERROR(SEARCH("欠",Y892)))</formula>
    </cfRule>
  </conditionalFormatting>
  <conditionalFormatting sqref="W893">
    <cfRule type="containsText" dxfId="1" priority="590" operator="between" text="欠">
      <formula>NOT(ISERROR(SEARCH("欠",W893)))</formula>
    </cfRule>
  </conditionalFormatting>
  <conditionalFormatting sqref="W894">
    <cfRule type="containsText" dxfId="1" priority="589" operator="between" text="欠">
      <formula>NOT(ISERROR(SEARCH("欠",W894)))</formula>
    </cfRule>
  </conditionalFormatting>
  <conditionalFormatting sqref="W895">
    <cfRule type="containsText" dxfId="1" priority="588" operator="between" text="欠">
      <formula>NOT(ISERROR(SEARCH("欠",W895)))</formula>
    </cfRule>
  </conditionalFormatting>
  <conditionalFormatting sqref="W896">
    <cfRule type="containsText" dxfId="1" priority="587" operator="between" text="欠">
      <formula>NOT(ISERROR(SEARCH("欠",W896)))</formula>
    </cfRule>
  </conditionalFormatting>
  <conditionalFormatting sqref="W897">
    <cfRule type="containsText" dxfId="1" priority="586" operator="between" text="欠">
      <formula>NOT(ISERROR(SEARCH("欠",W897)))</formula>
    </cfRule>
  </conditionalFormatting>
  <conditionalFormatting sqref="W898">
    <cfRule type="containsText" dxfId="1" priority="585" operator="between" text="欠">
      <formula>NOT(ISERROR(SEARCH("欠",W898)))</formula>
    </cfRule>
  </conditionalFormatting>
  <conditionalFormatting sqref="W899">
    <cfRule type="containsText" dxfId="1" priority="584" operator="between" text="欠">
      <formula>NOT(ISERROR(SEARCH("欠",W899)))</formula>
    </cfRule>
  </conditionalFormatting>
  <conditionalFormatting sqref="W900">
    <cfRule type="containsText" dxfId="1" priority="575" operator="between" text="欠">
      <formula>NOT(ISERROR(SEARCH("欠",W900)))</formula>
    </cfRule>
  </conditionalFormatting>
  <conditionalFormatting sqref="V901">
    <cfRule type="containsText" dxfId="1" priority="679" operator="between" text="欠">
      <formula>NOT(ISERROR(SEARCH("欠",V901)))</formula>
    </cfRule>
  </conditionalFormatting>
  <conditionalFormatting sqref="W901">
    <cfRule type="containsText" dxfId="1" priority="696" operator="between" text="欠">
      <formula>NOT(ISERROR(SEARCH("欠",W901)))</formula>
    </cfRule>
  </conditionalFormatting>
  <conditionalFormatting sqref="X901">
    <cfRule type="containsText" dxfId="1" priority="697" operator="between" text="欠">
      <formula>NOT(ISERROR(SEARCH("欠",X901)))</formula>
    </cfRule>
  </conditionalFormatting>
  <conditionalFormatting sqref="Y901">
    <cfRule type="containsText" dxfId="1" priority="698" operator="between" text="欠">
      <formula>NOT(ISERROR(SEARCH("欠",Y901)))</formula>
    </cfRule>
  </conditionalFormatting>
  <conditionalFormatting sqref="V902">
    <cfRule type="containsText" dxfId="1" priority="544" operator="between" text="欠">
      <formula>NOT(ISERROR(SEARCH("欠",V902)))</formula>
    </cfRule>
  </conditionalFormatting>
  <conditionalFormatting sqref="W902">
    <cfRule type="containsText" dxfId="1" priority="546" operator="between" text="欠">
      <formula>NOT(ISERROR(SEARCH("欠",W902)))</formula>
    </cfRule>
  </conditionalFormatting>
  <conditionalFormatting sqref="X902">
    <cfRule type="containsText" dxfId="1" priority="545" operator="between" text="欠">
      <formula>NOT(ISERROR(SEARCH("欠",X902)))</formula>
    </cfRule>
  </conditionalFormatting>
  <conditionalFormatting sqref="Y902">
    <cfRule type="containsText" dxfId="1" priority="547" operator="between" text="欠">
      <formula>NOT(ISERROR(SEARCH("欠",Y902)))</formula>
    </cfRule>
  </conditionalFormatting>
  <conditionalFormatting sqref="X904">
    <cfRule type="containsText" dxfId="1" priority="654" operator="between" text="欠">
      <formula>NOT(ISERROR(SEARCH("欠",X904)))</formula>
    </cfRule>
  </conditionalFormatting>
  <conditionalFormatting sqref="V905">
    <cfRule type="containsText" dxfId="1" priority="682" operator="between" text="欠">
      <formula>NOT(ISERROR(SEARCH("欠",V905)))</formula>
    </cfRule>
  </conditionalFormatting>
  <conditionalFormatting sqref="W906">
    <cfRule type="containsText" dxfId="1" priority="541" operator="between" text="欠">
      <formula>NOT(ISERROR(SEARCH("欠",W906)))</formula>
    </cfRule>
  </conditionalFormatting>
  <conditionalFormatting sqref="X906">
    <cfRule type="containsText" dxfId="1" priority="503" operator="between" text="欠">
      <formula>NOT(ISERROR(SEARCH("欠",X906)))</formula>
    </cfRule>
  </conditionalFormatting>
  <conditionalFormatting sqref="Y906">
    <cfRule type="containsText" dxfId="1" priority="543" operator="between" text="欠">
      <formula>NOT(ISERROR(SEARCH("欠",Y906)))</formula>
    </cfRule>
  </conditionalFormatting>
  <conditionalFormatting sqref="W907">
    <cfRule type="containsText" dxfId="1" priority="540" operator="between" text="欠">
      <formula>NOT(ISERROR(SEARCH("欠",W907)))</formula>
    </cfRule>
  </conditionalFormatting>
  <conditionalFormatting sqref="X907">
    <cfRule type="containsText" dxfId="1" priority="502" operator="between" text="欠">
      <formula>NOT(ISERROR(SEARCH("欠",X907)))</formula>
    </cfRule>
  </conditionalFormatting>
  <conditionalFormatting sqref="Y907">
    <cfRule type="containsText" dxfId="1" priority="542" operator="between" text="欠">
      <formula>NOT(ISERROR(SEARCH("欠",Y907)))</formula>
    </cfRule>
  </conditionalFormatting>
  <conditionalFormatting sqref="V908">
    <cfRule type="containsText" dxfId="1" priority="888" operator="between" text="欠">
      <formula>NOT(ISERROR(SEARCH("欠",V908)))</formula>
    </cfRule>
  </conditionalFormatting>
  <conditionalFormatting sqref="W908">
    <cfRule type="containsText" dxfId="1" priority="889" operator="between" text="欠">
      <formula>NOT(ISERROR(SEARCH("欠",W908)))</formula>
    </cfRule>
  </conditionalFormatting>
  <conditionalFormatting sqref="X908">
    <cfRule type="containsText" dxfId="1" priority="871" operator="between" text="欠">
      <formula>NOT(ISERROR(SEARCH("欠",X908)))</formula>
    </cfRule>
  </conditionalFormatting>
  <conditionalFormatting sqref="Y908">
    <cfRule type="containsText" dxfId="1" priority="890" operator="between" text="欠">
      <formula>NOT(ISERROR(SEARCH("欠",Y908)))</formula>
    </cfRule>
  </conditionalFormatting>
  <conditionalFormatting sqref="W910">
    <cfRule type="containsText" dxfId="1" priority="514" operator="between" text="欠">
      <formula>NOT(ISERROR(SEARCH("欠",W910)))</formula>
    </cfRule>
  </conditionalFormatting>
  <conditionalFormatting sqref="W911">
    <cfRule type="containsText" dxfId="1" priority="513" operator="between" text="欠">
      <formula>NOT(ISERROR(SEARCH("欠",W911)))</formula>
    </cfRule>
  </conditionalFormatting>
  <conditionalFormatting sqref="W912">
    <cfRule type="containsText" dxfId="1" priority="512" operator="between" text="欠">
      <formula>NOT(ISERROR(SEARCH("欠",W912)))</formula>
    </cfRule>
  </conditionalFormatting>
  <conditionalFormatting sqref="W913">
    <cfRule type="containsText" dxfId="1" priority="511" operator="between" text="欠">
      <formula>NOT(ISERROR(SEARCH("欠",W913)))</formula>
    </cfRule>
  </conditionalFormatting>
  <conditionalFormatting sqref="W914">
    <cfRule type="containsText" dxfId="1" priority="510" operator="between" text="欠">
      <formula>NOT(ISERROR(SEARCH("欠",W914)))</formula>
    </cfRule>
  </conditionalFormatting>
  <conditionalFormatting sqref="W915">
    <cfRule type="containsText" dxfId="1" priority="509" operator="between" text="欠">
      <formula>NOT(ISERROR(SEARCH("欠",W915)))</formula>
    </cfRule>
  </conditionalFormatting>
  <conditionalFormatting sqref="W916">
    <cfRule type="containsText" dxfId="1" priority="508" operator="between" text="欠">
      <formula>NOT(ISERROR(SEARCH("欠",W916)))</formula>
    </cfRule>
  </conditionalFormatting>
  <conditionalFormatting sqref="X923">
    <cfRule type="containsText" dxfId="1" priority="725" operator="between" text="欠">
      <formula>NOT(ISERROR(SEARCH("欠",X923)))</formula>
    </cfRule>
  </conditionalFormatting>
  <conditionalFormatting sqref="W926">
    <cfRule type="containsText" dxfId="1" priority="487" operator="between" text="欠">
      <formula>NOT(ISERROR(SEARCH("欠",W926)))</formula>
    </cfRule>
  </conditionalFormatting>
  <conditionalFormatting sqref="W927">
    <cfRule type="containsText" dxfId="1" priority="486" operator="between" text="欠">
      <formula>NOT(ISERROR(SEARCH("欠",W927)))</formula>
    </cfRule>
  </conditionalFormatting>
  <conditionalFormatting sqref="W928">
    <cfRule type="containsText" dxfId="1" priority="465" operator="between" text="欠">
      <formula>NOT(ISERROR(SEARCH("欠",W928)))</formula>
    </cfRule>
  </conditionalFormatting>
  <conditionalFormatting sqref="W929">
    <cfRule type="containsText" dxfId="1" priority="464" operator="between" text="欠">
      <formula>NOT(ISERROR(SEARCH("欠",W929)))</formula>
    </cfRule>
  </conditionalFormatting>
  <conditionalFormatting sqref="W930">
    <cfRule type="containsText" dxfId="1" priority="463" operator="between" text="欠">
      <formula>NOT(ISERROR(SEARCH("欠",W930)))</formula>
    </cfRule>
  </conditionalFormatting>
  <conditionalFormatting sqref="W931">
    <cfRule type="containsText" dxfId="1" priority="462" operator="between" text="欠">
      <formula>NOT(ISERROR(SEARCH("欠",W931)))</formula>
    </cfRule>
  </conditionalFormatting>
  <conditionalFormatting sqref="W932">
    <cfRule type="containsText" dxfId="1" priority="461" operator="between" text="欠">
      <formula>NOT(ISERROR(SEARCH("欠",W932)))</formula>
    </cfRule>
  </conditionalFormatting>
  <conditionalFormatting sqref="W933">
    <cfRule type="containsText" dxfId="1" priority="460" operator="between" text="欠">
      <formula>NOT(ISERROR(SEARCH("欠",W933)))</formula>
    </cfRule>
  </conditionalFormatting>
  <conditionalFormatting sqref="V937">
    <cfRule type="cellIs" dxfId="0" priority="455" operator="equal">
      <formula>"欠"</formula>
    </cfRule>
    <cfRule type="containsText" dxfId="1" priority="456" operator="between" text="欠">
      <formula>NOT(ISERROR(SEARCH("欠",V937)))</formula>
    </cfRule>
  </conditionalFormatting>
  <conditionalFormatting sqref="W937">
    <cfRule type="containsText" dxfId="1" priority="458" operator="between" text="欠">
      <formula>NOT(ISERROR(SEARCH("欠",W937)))</formula>
    </cfRule>
  </conditionalFormatting>
  <conditionalFormatting sqref="X937">
    <cfRule type="containsText" dxfId="1" priority="457" operator="between" text="欠">
      <formula>NOT(ISERROR(SEARCH("欠",X937)))</formula>
    </cfRule>
  </conditionalFormatting>
  <conditionalFormatting sqref="Y937">
    <cfRule type="containsText" dxfId="1" priority="459" operator="between" text="欠">
      <formula>NOT(ISERROR(SEARCH("欠",Y937)))</formula>
    </cfRule>
  </conditionalFormatting>
  <conditionalFormatting sqref="W938">
    <cfRule type="containsText" dxfId="1" priority="443" operator="between" text="欠">
      <formula>NOT(ISERROR(SEARCH("欠",W938)))</formula>
    </cfRule>
  </conditionalFormatting>
  <conditionalFormatting sqref="Y938">
    <cfRule type="containsText" dxfId="1" priority="423" operator="between" text="欠">
      <formula>NOT(ISERROR(SEARCH("欠",Y938)))</formula>
    </cfRule>
  </conditionalFormatting>
  <conditionalFormatting sqref="W939">
    <cfRule type="containsText" dxfId="1" priority="442" operator="between" text="欠">
      <formula>NOT(ISERROR(SEARCH("欠",W939)))</formula>
    </cfRule>
  </conditionalFormatting>
  <conditionalFormatting sqref="Y939">
    <cfRule type="containsText" dxfId="1" priority="422" operator="between" text="欠">
      <formula>NOT(ISERROR(SEARCH("欠",Y939)))</formula>
    </cfRule>
  </conditionalFormatting>
  <conditionalFormatting sqref="W940">
    <cfRule type="containsText" dxfId="1" priority="441" operator="between" text="欠">
      <formula>NOT(ISERROR(SEARCH("欠",W940)))</formula>
    </cfRule>
  </conditionalFormatting>
  <conditionalFormatting sqref="Y940">
    <cfRule type="containsText" dxfId="1" priority="421" operator="between" text="欠">
      <formula>NOT(ISERROR(SEARCH("欠",Y940)))</formula>
    </cfRule>
  </conditionalFormatting>
  <conditionalFormatting sqref="W941">
    <cfRule type="containsText" dxfId="1" priority="440" operator="between" text="欠">
      <formula>NOT(ISERROR(SEARCH("欠",W941)))</formula>
    </cfRule>
  </conditionalFormatting>
  <conditionalFormatting sqref="Y941">
    <cfRule type="containsText" dxfId="1" priority="420" operator="between" text="欠">
      <formula>NOT(ISERROR(SEARCH("欠",Y941)))</formula>
    </cfRule>
  </conditionalFormatting>
  <conditionalFormatting sqref="W942">
    <cfRule type="containsText" dxfId="1" priority="439" operator="between" text="欠">
      <formula>NOT(ISERROR(SEARCH("欠",W942)))</formula>
    </cfRule>
  </conditionalFormatting>
  <conditionalFormatting sqref="Y942">
    <cfRule type="containsText" dxfId="1" priority="419" operator="between" text="欠">
      <formula>NOT(ISERROR(SEARCH("欠",Y942)))</formula>
    </cfRule>
  </conditionalFormatting>
  <conditionalFormatting sqref="W943">
    <cfRule type="containsText" dxfId="1" priority="438" operator="between" text="欠">
      <formula>NOT(ISERROR(SEARCH("欠",W943)))</formula>
    </cfRule>
  </conditionalFormatting>
  <conditionalFormatting sqref="Y943">
    <cfRule type="containsText" dxfId="1" priority="418" operator="between" text="欠">
      <formula>NOT(ISERROR(SEARCH("欠",Y943)))</formula>
    </cfRule>
  </conditionalFormatting>
  <conditionalFormatting sqref="W944">
    <cfRule type="containsText" dxfId="1" priority="437" operator="between" text="欠">
      <formula>NOT(ISERROR(SEARCH("欠",W944)))</formula>
    </cfRule>
  </conditionalFormatting>
  <conditionalFormatting sqref="Y944">
    <cfRule type="containsText" dxfId="1" priority="417" operator="between" text="欠">
      <formula>NOT(ISERROR(SEARCH("欠",Y944)))</formula>
    </cfRule>
  </conditionalFormatting>
  <conditionalFormatting sqref="W945">
    <cfRule type="containsText" dxfId="1" priority="436" operator="between" text="欠">
      <formula>NOT(ISERROR(SEARCH("欠",W945)))</formula>
    </cfRule>
  </conditionalFormatting>
  <conditionalFormatting sqref="Y945">
    <cfRule type="containsText" dxfId="1" priority="416" operator="between" text="欠">
      <formula>NOT(ISERROR(SEARCH("欠",Y945)))</formula>
    </cfRule>
  </conditionalFormatting>
  <conditionalFormatting sqref="W946">
    <cfRule type="containsText" dxfId="1" priority="435" operator="between" text="欠">
      <formula>NOT(ISERROR(SEARCH("欠",W946)))</formula>
    </cfRule>
  </conditionalFormatting>
  <conditionalFormatting sqref="Y946">
    <cfRule type="containsText" dxfId="1" priority="415" operator="between" text="欠">
      <formula>NOT(ISERROR(SEARCH("欠",Y946)))</formula>
    </cfRule>
  </conditionalFormatting>
  <conditionalFormatting sqref="W947">
    <cfRule type="containsText" dxfId="1" priority="496" operator="between" text="欠">
      <formula>NOT(ISERROR(SEARCH("欠",W947)))</formula>
    </cfRule>
  </conditionalFormatting>
  <conditionalFormatting sqref="X947">
    <cfRule type="containsText" dxfId="1" priority="500" operator="between" text="欠">
      <formula>NOT(ISERROR(SEARCH("欠",X947)))</formula>
    </cfRule>
  </conditionalFormatting>
  <conditionalFormatting sqref="Y947">
    <cfRule type="containsText" dxfId="1" priority="497" operator="between" text="欠">
      <formula>NOT(ISERROR(SEARCH("欠",Y947)))</formula>
    </cfRule>
  </conditionalFormatting>
  <conditionalFormatting sqref="W948">
    <cfRule type="containsText" dxfId="1" priority="377" operator="between" text="欠">
      <formula>NOT(ISERROR(SEARCH("欠",W948)))</formula>
    </cfRule>
  </conditionalFormatting>
  <conditionalFormatting sqref="W949">
    <cfRule type="containsText" dxfId="1" priority="376" operator="between" text="欠">
      <formula>NOT(ISERROR(SEARCH("欠",W949)))</formula>
    </cfRule>
  </conditionalFormatting>
  <conditionalFormatting sqref="W950">
    <cfRule type="containsText" dxfId="1" priority="375" operator="between" text="欠">
      <formula>NOT(ISERROR(SEARCH("欠",W950)))</formula>
    </cfRule>
  </conditionalFormatting>
  <conditionalFormatting sqref="W951">
    <cfRule type="containsText" dxfId="1" priority="374" operator="between" text="欠">
      <formula>NOT(ISERROR(SEARCH("欠",W951)))</formula>
    </cfRule>
  </conditionalFormatting>
  <conditionalFormatting sqref="W952">
    <cfRule type="containsText" dxfId="1" priority="373" operator="between" text="欠">
      <formula>NOT(ISERROR(SEARCH("欠",W952)))</formula>
    </cfRule>
  </conditionalFormatting>
  <conditionalFormatting sqref="W953">
    <cfRule type="containsText" dxfId="1" priority="372" operator="between" text="欠">
      <formula>NOT(ISERROR(SEARCH("欠",W953)))</formula>
    </cfRule>
  </conditionalFormatting>
  <conditionalFormatting sqref="W954">
    <cfRule type="containsText" dxfId="1" priority="371" operator="between" text="欠">
      <formula>NOT(ISERROR(SEARCH("欠",W954)))</formula>
    </cfRule>
  </conditionalFormatting>
  <conditionalFormatting sqref="X957">
    <cfRule type="containsText" dxfId="1" priority="370" operator="between" text="欠">
      <formula>NOT(ISERROR(SEARCH("欠",X957)))</formula>
    </cfRule>
  </conditionalFormatting>
  <conditionalFormatting sqref="Y957">
    <cfRule type="containsText" dxfId="1" priority="369" operator="between" text="欠">
      <formula>NOT(ISERROR(SEARCH("欠",Y957)))</formula>
    </cfRule>
  </conditionalFormatting>
  <conditionalFormatting sqref="V959">
    <cfRule type="cellIs" dxfId="0" priority="365" operator="equal">
      <formula>"欠"</formula>
    </cfRule>
    <cfRule type="containsText" dxfId="1" priority="366" operator="between" text="欠">
      <formula>NOT(ISERROR(SEARCH("欠",V959)))</formula>
    </cfRule>
  </conditionalFormatting>
  <conditionalFormatting sqref="W959">
    <cfRule type="containsText" dxfId="1" priority="364" operator="between" text="欠">
      <formula>NOT(ISERROR(SEARCH("欠",W959)))</formula>
    </cfRule>
  </conditionalFormatting>
  <conditionalFormatting sqref="X959">
    <cfRule type="containsText" dxfId="1" priority="368" operator="between" text="欠">
      <formula>NOT(ISERROR(SEARCH("欠",X959)))</formula>
    </cfRule>
  </conditionalFormatting>
  <conditionalFormatting sqref="Y959">
    <cfRule type="containsText" dxfId="1" priority="367" operator="between" text="欠">
      <formula>NOT(ISERROR(SEARCH("欠",Y959)))</formula>
    </cfRule>
  </conditionalFormatting>
  <conditionalFormatting sqref="W990:X990">
    <cfRule type="containsText" dxfId="1" priority="345" operator="between" text="欠">
      <formula>NOT(ISERROR(SEARCH("欠",W990)))</formula>
    </cfRule>
  </conditionalFormatting>
  <conditionalFormatting sqref="W993">
    <cfRule type="containsText" dxfId="1" priority="341" operator="between" text="欠">
      <formula>NOT(ISERROR(SEARCH("欠",W993)))</formula>
    </cfRule>
  </conditionalFormatting>
  <conditionalFormatting sqref="W994">
    <cfRule type="containsText" dxfId="1" priority="340" operator="between" text="欠">
      <formula>NOT(ISERROR(SEARCH("欠",W994)))</formula>
    </cfRule>
  </conditionalFormatting>
  <conditionalFormatting sqref="W995">
    <cfRule type="containsText" dxfId="1" priority="339" operator="between" text="欠">
      <formula>NOT(ISERROR(SEARCH("欠",W995)))</formula>
    </cfRule>
  </conditionalFormatting>
  <conditionalFormatting sqref="W996">
    <cfRule type="containsText" dxfId="1" priority="338" operator="between" text="欠">
      <formula>NOT(ISERROR(SEARCH("欠",W996)))</formula>
    </cfRule>
  </conditionalFormatting>
  <conditionalFormatting sqref="W997">
    <cfRule type="containsText" dxfId="1" priority="337" operator="between" text="欠">
      <formula>NOT(ISERROR(SEARCH("欠",W997)))</formula>
    </cfRule>
  </conditionalFormatting>
  <conditionalFormatting sqref="W998">
    <cfRule type="containsText" dxfId="1" priority="336" operator="between" text="欠">
      <formula>NOT(ISERROR(SEARCH("欠",W998)))</formula>
    </cfRule>
  </conditionalFormatting>
  <conditionalFormatting sqref="W999">
    <cfRule type="containsText" dxfId="1" priority="335" operator="between" text="欠">
      <formula>NOT(ISERROR(SEARCH("欠",W999)))</formula>
    </cfRule>
  </conditionalFormatting>
  <conditionalFormatting sqref="W1000">
    <cfRule type="containsText" dxfId="1" priority="329" operator="between" text="欠">
      <formula>NOT(ISERROR(SEARCH("欠",W1000)))</formula>
    </cfRule>
  </conditionalFormatting>
  <conditionalFormatting sqref="Y1000">
    <cfRule type="containsText" dxfId="1" priority="330" operator="between" text="欠">
      <formula>NOT(ISERROR(SEARCH("欠",Y1000)))</formula>
    </cfRule>
  </conditionalFormatting>
  <conditionalFormatting sqref="W1001">
    <cfRule type="containsText" dxfId="1" priority="324" operator="between" text="欠">
      <formula>NOT(ISERROR(SEARCH("欠",W1001)))</formula>
    </cfRule>
  </conditionalFormatting>
  <conditionalFormatting sqref="Y1001">
    <cfRule type="containsText" dxfId="1" priority="325" operator="between" text="欠">
      <formula>NOT(ISERROR(SEARCH("欠",Y1001)))</formula>
    </cfRule>
  </conditionalFormatting>
  <conditionalFormatting sqref="W1002">
    <cfRule type="containsText" dxfId="1" priority="319" operator="between" text="欠">
      <formula>NOT(ISERROR(SEARCH("欠",W1002)))</formula>
    </cfRule>
  </conditionalFormatting>
  <conditionalFormatting sqref="Y1002">
    <cfRule type="containsText" dxfId="1" priority="320" operator="between" text="欠">
      <formula>NOT(ISERROR(SEARCH("欠",Y1002)))</formula>
    </cfRule>
  </conditionalFormatting>
  <conditionalFormatting sqref="W1003">
    <cfRule type="containsText" dxfId="1" priority="309" operator="between" text="欠">
      <formula>NOT(ISERROR(SEARCH("欠",W1003)))</formula>
    </cfRule>
  </conditionalFormatting>
  <conditionalFormatting sqref="Y1003">
    <cfRule type="containsText" dxfId="1" priority="310" operator="between" text="欠">
      <formula>NOT(ISERROR(SEARCH("欠",Y1003)))</formula>
    </cfRule>
  </conditionalFormatting>
  <conditionalFormatting sqref="W1004">
    <cfRule type="containsText" dxfId="1" priority="304" operator="between" text="欠">
      <formula>NOT(ISERROR(SEARCH("欠",W1004)))</formula>
    </cfRule>
  </conditionalFormatting>
  <conditionalFormatting sqref="Y1004">
    <cfRule type="containsText" dxfId="1" priority="305" operator="between" text="欠">
      <formula>NOT(ISERROR(SEARCH("欠",Y1004)))</formula>
    </cfRule>
  </conditionalFormatting>
  <conditionalFormatting sqref="W1005">
    <cfRule type="containsText" dxfId="1" priority="299" operator="between" text="欠">
      <formula>NOT(ISERROR(SEARCH("欠",W1005)))</formula>
    </cfRule>
  </conditionalFormatting>
  <conditionalFormatting sqref="Y1005">
    <cfRule type="containsText" dxfId="1" priority="300" operator="between" text="欠">
      <formula>NOT(ISERROR(SEARCH("欠",Y1005)))</formula>
    </cfRule>
  </conditionalFormatting>
  <conditionalFormatting sqref="W1006">
    <cfRule type="containsText" dxfId="1" priority="294" operator="between" text="欠">
      <formula>NOT(ISERROR(SEARCH("欠",W1006)))</formula>
    </cfRule>
  </conditionalFormatting>
  <conditionalFormatting sqref="Y1006">
    <cfRule type="containsText" dxfId="1" priority="295" operator="between" text="欠">
      <formula>NOT(ISERROR(SEARCH("欠",Y1006)))</formula>
    </cfRule>
  </conditionalFormatting>
  <conditionalFormatting sqref="W1007">
    <cfRule type="containsText" dxfId="1" priority="289" operator="between" text="欠">
      <formula>NOT(ISERROR(SEARCH("欠",W1007)))</formula>
    </cfRule>
  </conditionalFormatting>
  <conditionalFormatting sqref="Y1007">
    <cfRule type="containsText" dxfId="1" priority="290" operator="between" text="欠">
      <formula>NOT(ISERROR(SEARCH("欠",Y1007)))</formula>
    </cfRule>
  </conditionalFormatting>
  <conditionalFormatting sqref="W1008">
    <cfRule type="containsText" dxfId="1" priority="284" operator="between" text="欠">
      <formula>NOT(ISERROR(SEARCH("欠",W1008)))</formula>
    </cfRule>
  </conditionalFormatting>
  <conditionalFormatting sqref="Y1008">
    <cfRule type="containsText" dxfId="1" priority="285" operator="between" text="欠">
      <formula>NOT(ISERROR(SEARCH("欠",Y1008)))</formula>
    </cfRule>
  </conditionalFormatting>
  <conditionalFormatting sqref="V1009">
    <cfRule type="containsText" dxfId="1" priority="349" operator="between" text="欠">
      <formula>NOT(ISERROR(SEARCH("欠",V1009)))</formula>
    </cfRule>
  </conditionalFormatting>
  <conditionalFormatting sqref="W1009">
    <cfRule type="containsText" dxfId="1" priority="350" operator="between" text="欠">
      <formula>NOT(ISERROR(SEARCH("欠",W1009)))</formula>
    </cfRule>
  </conditionalFormatting>
  <conditionalFormatting sqref="X1009">
    <cfRule type="containsText" dxfId="1" priority="348" operator="between" text="欠">
      <formula>NOT(ISERROR(SEARCH("欠",X1009)))</formula>
    </cfRule>
  </conditionalFormatting>
  <conditionalFormatting sqref="Y1009">
    <cfRule type="containsText" dxfId="1" priority="347" operator="between" text="欠">
      <formula>NOT(ISERROR(SEARCH("欠",Y1009)))</formula>
    </cfRule>
  </conditionalFormatting>
  <conditionalFormatting sqref="V1012">
    <cfRule type="containsText" dxfId="1" priority="332" operator="between" text="欠">
      <formula>NOT(ISERROR(SEARCH("欠",V1012)))</formula>
    </cfRule>
  </conditionalFormatting>
  <conditionalFormatting sqref="W1012:X1012">
    <cfRule type="containsText" dxfId="1" priority="333" operator="between" text="欠">
      <formula>NOT(ISERROR(SEARCH("欠",W1012)))</formula>
    </cfRule>
  </conditionalFormatting>
  <conditionalFormatting sqref="Y1012">
    <cfRule type="containsText" dxfId="1" priority="334" operator="between" text="欠">
      <formula>NOT(ISERROR(SEARCH("欠",Y1012)))</formula>
    </cfRule>
  </conditionalFormatting>
  <conditionalFormatting sqref="V1013">
    <cfRule type="containsText" dxfId="1" priority="261" operator="between" text="欠">
      <formula>NOT(ISERROR(SEARCH("欠",V1013)))</formula>
    </cfRule>
  </conditionalFormatting>
  <conditionalFormatting sqref="W1013:X1013">
    <cfRule type="containsText" dxfId="1" priority="260" operator="between" text="欠">
      <formula>NOT(ISERROR(SEARCH("欠",W1013)))</formula>
    </cfRule>
  </conditionalFormatting>
  <conditionalFormatting sqref="Y1013">
    <cfRule type="containsText" dxfId="1" priority="259" operator="between" text="欠">
      <formula>NOT(ISERROR(SEARCH("欠",Y1013)))</formula>
    </cfRule>
  </conditionalFormatting>
  <conditionalFormatting sqref="W1014">
    <cfRule type="containsText" dxfId="1" priority="248" operator="between" text="欠">
      <formula>NOT(ISERROR(SEARCH("欠",W1014)))</formula>
    </cfRule>
  </conditionalFormatting>
  <conditionalFormatting sqref="Y1014">
    <cfRule type="containsText" dxfId="1" priority="249" operator="between" text="欠">
      <formula>NOT(ISERROR(SEARCH("欠",Y1014)))</formula>
    </cfRule>
  </conditionalFormatting>
  <conditionalFormatting sqref="W1015">
    <cfRule type="containsText" dxfId="1" priority="243" operator="between" text="欠">
      <formula>NOT(ISERROR(SEARCH("欠",W1015)))</formula>
    </cfRule>
  </conditionalFormatting>
  <conditionalFormatting sqref="Y1015">
    <cfRule type="containsText" dxfId="1" priority="244" operator="between" text="欠">
      <formula>NOT(ISERROR(SEARCH("欠",Y1015)))</formula>
    </cfRule>
  </conditionalFormatting>
  <conditionalFormatting sqref="W1016">
    <cfRule type="containsText" dxfId="1" priority="238" operator="between" text="欠">
      <formula>NOT(ISERROR(SEARCH("欠",W1016)))</formula>
    </cfRule>
  </conditionalFormatting>
  <conditionalFormatting sqref="Y1016">
    <cfRule type="containsText" dxfId="1" priority="239" operator="between" text="欠">
      <formula>NOT(ISERROR(SEARCH("欠",Y1016)))</formula>
    </cfRule>
  </conditionalFormatting>
  <conditionalFormatting sqref="W1017">
    <cfRule type="containsText" dxfId="1" priority="233" operator="between" text="欠">
      <formula>NOT(ISERROR(SEARCH("欠",W1017)))</formula>
    </cfRule>
  </conditionalFormatting>
  <conditionalFormatting sqref="Y1017">
    <cfRule type="containsText" dxfId="1" priority="234" operator="between" text="欠">
      <formula>NOT(ISERROR(SEARCH("欠",Y1017)))</formula>
    </cfRule>
  </conditionalFormatting>
  <conditionalFormatting sqref="W1018">
    <cfRule type="containsText" dxfId="1" priority="223" operator="between" text="欠">
      <formula>NOT(ISERROR(SEARCH("欠",W1018)))</formula>
    </cfRule>
  </conditionalFormatting>
  <conditionalFormatting sqref="Y1018">
    <cfRule type="containsText" dxfId="1" priority="224" operator="between" text="欠">
      <formula>NOT(ISERROR(SEARCH("欠",Y1018)))</formula>
    </cfRule>
  </conditionalFormatting>
  <conditionalFormatting sqref="V1019">
    <cfRule type="cellIs" dxfId="0" priority="201" operator="equal">
      <formula>"欠"</formula>
    </cfRule>
    <cfRule type="containsText" dxfId="1" priority="204" operator="between" text="欠">
      <formula>NOT(ISERROR(SEARCH("欠",V1019)))</formula>
    </cfRule>
  </conditionalFormatting>
  <conditionalFormatting sqref="W1019">
    <cfRule type="containsText" dxfId="1" priority="207" operator="between" text="欠">
      <formula>NOT(ISERROR(SEARCH("欠",W1019)))</formula>
    </cfRule>
  </conditionalFormatting>
  <conditionalFormatting sqref="X1019">
    <cfRule type="containsText" dxfId="1" priority="213" operator="between" text="欠">
      <formula>NOT(ISERROR(SEARCH("欠",X1019)))</formula>
    </cfRule>
  </conditionalFormatting>
  <conditionalFormatting sqref="Y1019">
    <cfRule type="containsText" dxfId="1" priority="210" operator="between" text="欠">
      <formula>NOT(ISERROR(SEARCH("欠",Y1019)))</formula>
    </cfRule>
  </conditionalFormatting>
  <conditionalFormatting sqref="W1020">
    <cfRule type="containsText" dxfId="1" priority="278" operator="between" text="欠">
      <formula>NOT(ISERROR(SEARCH("欠",W1020)))</formula>
    </cfRule>
  </conditionalFormatting>
  <conditionalFormatting sqref="Y1020">
    <cfRule type="containsText" dxfId="1" priority="279" operator="between" text="欠">
      <formula>NOT(ISERROR(SEARCH("欠",Y1020)))</formula>
    </cfRule>
  </conditionalFormatting>
  <conditionalFormatting sqref="W1021">
    <cfRule type="containsText" dxfId="1" priority="273" operator="between" text="欠">
      <formula>NOT(ISERROR(SEARCH("欠",W1021)))</formula>
    </cfRule>
  </conditionalFormatting>
  <conditionalFormatting sqref="Y1021">
    <cfRule type="containsText" dxfId="1" priority="274" operator="between" text="欠">
      <formula>NOT(ISERROR(SEARCH("欠",Y1021)))</formula>
    </cfRule>
  </conditionalFormatting>
  <conditionalFormatting sqref="V1022">
    <cfRule type="cellIs" dxfId="0" priority="221" operator="equal">
      <formula>"欠"</formula>
    </cfRule>
    <cfRule type="containsText" dxfId="1" priority="222" operator="between" text="欠">
      <formula>NOT(ISERROR(SEARCH("欠",V1022)))</formula>
    </cfRule>
  </conditionalFormatting>
  <conditionalFormatting sqref="W1022">
    <cfRule type="containsText" dxfId="1" priority="219" operator="between" text="欠">
      <formula>NOT(ISERROR(SEARCH("欠",W1022)))</formula>
    </cfRule>
  </conditionalFormatting>
  <conditionalFormatting sqref="X1022">
    <cfRule type="containsText" dxfId="1" priority="218" operator="between" text="欠">
      <formula>NOT(ISERROR(SEARCH("欠",X1022)))</formula>
    </cfRule>
  </conditionalFormatting>
  <conditionalFormatting sqref="Y1022">
    <cfRule type="containsText" dxfId="1" priority="220" operator="between" text="欠">
      <formula>NOT(ISERROR(SEARCH("欠",Y1022)))</formula>
    </cfRule>
  </conditionalFormatting>
  <conditionalFormatting sqref="V1023">
    <cfRule type="cellIs" dxfId="0" priority="216" operator="equal">
      <formula>"欠"</formula>
    </cfRule>
    <cfRule type="containsText" dxfId="1" priority="217" operator="between" text="欠">
      <formula>NOT(ISERROR(SEARCH("欠",V1023)))</formula>
    </cfRule>
  </conditionalFormatting>
  <conditionalFormatting sqref="W1023:X1023">
    <cfRule type="containsText" dxfId="1" priority="254" operator="between" text="欠">
      <formula>NOT(ISERROR(SEARCH("欠",W1023)))</formula>
    </cfRule>
  </conditionalFormatting>
  <conditionalFormatting sqref="Y1023">
    <cfRule type="containsText" dxfId="1" priority="253" operator="between" text="欠">
      <formula>NOT(ISERROR(SEARCH("欠",Y1023)))</formula>
    </cfRule>
  </conditionalFormatting>
  <conditionalFormatting sqref="W1024">
    <cfRule type="containsText" dxfId="1" priority="126" operator="between" text="欠">
      <formula>NOT(ISERROR(SEARCH("欠",W1024)))</formula>
    </cfRule>
  </conditionalFormatting>
  <conditionalFormatting sqref="Y1024">
    <cfRule type="containsText" dxfId="1" priority="124" operator="between" text="欠">
      <formula>NOT(ISERROR(SEARCH("欠",Y1024)))</formula>
    </cfRule>
  </conditionalFormatting>
  <conditionalFormatting sqref="W1025">
    <cfRule type="containsText" dxfId="1" priority="125" operator="between" text="欠">
      <formula>NOT(ISERROR(SEARCH("欠",W1025)))</formula>
    </cfRule>
  </conditionalFormatting>
  <conditionalFormatting sqref="Y1025">
    <cfRule type="containsText" dxfId="1" priority="127" operator="between" text="欠">
      <formula>NOT(ISERROR(SEARCH("欠",Y1025)))</formula>
    </cfRule>
  </conditionalFormatting>
  <conditionalFormatting sqref="V1026">
    <cfRule type="containsText" dxfId="1" priority="262" operator="between" text="欠">
      <formula>NOT(ISERROR(SEARCH("欠",V1026)))</formula>
    </cfRule>
  </conditionalFormatting>
  <conditionalFormatting sqref="W1026:X1026">
    <cfRule type="containsText" dxfId="1" priority="263" operator="between" text="欠">
      <formula>NOT(ISERROR(SEARCH("欠",W1026)))</formula>
    </cfRule>
  </conditionalFormatting>
  <conditionalFormatting sqref="Y1026">
    <cfRule type="containsText" dxfId="1" priority="264" operator="between" text="欠">
      <formula>NOT(ISERROR(SEARCH("欠",Y1026)))</formula>
    </cfRule>
  </conditionalFormatting>
  <conditionalFormatting sqref="V1027">
    <cfRule type="containsText" dxfId="1" priority="258" operator="between" text="欠">
      <formula>NOT(ISERROR(SEARCH("欠",V1027)))</formula>
    </cfRule>
  </conditionalFormatting>
  <conditionalFormatting sqref="W1027:X1027">
    <cfRule type="containsText" dxfId="1" priority="257" operator="between" text="欠">
      <formula>NOT(ISERROR(SEARCH("欠",W1027)))</formula>
    </cfRule>
  </conditionalFormatting>
  <conditionalFormatting sqref="Y1027">
    <cfRule type="containsText" dxfId="1" priority="256" operator="between" text="欠">
      <formula>NOT(ISERROR(SEARCH("欠",Y1027)))</formula>
    </cfRule>
  </conditionalFormatting>
  <conditionalFormatting sqref="W1028">
    <cfRule type="containsText" dxfId="1" priority="107" operator="between" text="欠">
      <formula>NOT(ISERROR(SEARCH("欠",W1028)))</formula>
    </cfRule>
  </conditionalFormatting>
  <conditionalFormatting sqref="X1028">
    <cfRule type="containsText" dxfId="1" priority="117" operator="between" text="欠">
      <formula>NOT(ISERROR(SEARCH("欠",X1028)))</formula>
    </cfRule>
  </conditionalFormatting>
  <conditionalFormatting sqref="Y1028">
    <cfRule type="containsText" dxfId="1" priority="112" operator="between" text="欠">
      <formula>NOT(ISERROR(SEARCH("欠",Y1028)))</formula>
    </cfRule>
  </conditionalFormatting>
  <conditionalFormatting sqref="W1029">
    <cfRule type="containsText" dxfId="1" priority="109" operator="between" text="欠">
      <formula>NOT(ISERROR(SEARCH("欠",W1029)))</formula>
    </cfRule>
  </conditionalFormatting>
  <conditionalFormatting sqref="Y1029">
    <cfRule type="containsText" dxfId="1" priority="114" operator="between" text="欠">
      <formula>NOT(ISERROR(SEARCH("欠",Y1029)))</formula>
    </cfRule>
  </conditionalFormatting>
  <conditionalFormatting sqref="Y1030">
    <cfRule type="containsText" dxfId="1" priority="113" operator="between" text="欠">
      <formula>NOT(ISERROR(SEARCH("欠",Y1030)))</formula>
    </cfRule>
  </conditionalFormatting>
  <conditionalFormatting sqref="Y1031">
    <cfRule type="containsText" dxfId="1" priority="111" operator="between" text="欠">
      <formula>NOT(ISERROR(SEARCH("欠",Y1031)))</formula>
    </cfRule>
  </conditionalFormatting>
  <conditionalFormatting sqref="V1032">
    <cfRule type="cellIs" dxfId="0" priority="5" operator="equal">
      <formula>"欠"</formula>
    </cfRule>
    <cfRule type="containsText" dxfId="1" priority="6" operator="between" text="欠">
      <formula>NOT(ISERROR(SEARCH("欠",V1032)))</formula>
    </cfRule>
  </conditionalFormatting>
  <conditionalFormatting sqref="W1032">
    <cfRule type="containsText" dxfId="1" priority="8" operator="between" text="欠">
      <formula>NOT(ISERROR(SEARCH("欠",W1032)))</formula>
    </cfRule>
  </conditionalFormatting>
  <conditionalFormatting sqref="X1032">
    <cfRule type="containsText" dxfId="1" priority="7" operator="between" text="欠">
      <formula>NOT(ISERROR(SEARCH("欠",X1032)))</formula>
    </cfRule>
  </conditionalFormatting>
  <conditionalFormatting sqref="Y1032">
    <cfRule type="containsText" dxfId="1" priority="9" operator="between" text="欠">
      <formula>NOT(ISERROR(SEARCH("欠",Y1032)))</formula>
    </cfRule>
  </conditionalFormatting>
  <conditionalFormatting sqref="W1033">
    <cfRule type="containsText" dxfId="1" priority="110" operator="between" text="欠">
      <formula>NOT(ISERROR(SEARCH("欠",W1033)))</formula>
    </cfRule>
  </conditionalFormatting>
  <conditionalFormatting sqref="X1033">
    <cfRule type="containsText" dxfId="1" priority="120" operator="between" text="欠">
      <formula>NOT(ISERROR(SEARCH("欠",X1033)))</formula>
    </cfRule>
  </conditionalFormatting>
  <conditionalFormatting sqref="Y1033">
    <cfRule type="containsText" dxfId="1" priority="115" operator="between" text="欠">
      <formula>NOT(ISERROR(SEARCH("欠",Y1033)))</formula>
    </cfRule>
  </conditionalFormatting>
  <conditionalFormatting sqref="W1034">
    <cfRule type="containsText" dxfId="1" priority="56" operator="between" text="欠">
      <formula>NOT(ISERROR(SEARCH("欠",W1034)))</formula>
    </cfRule>
  </conditionalFormatting>
  <conditionalFormatting sqref="X1034">
    <cfRule type="containsText" dxfId="1" priority="55" operator="between" text="欠">
      <formula>NOT(ISERROR(SEARCH("欠",X1034)))</formula>
    </cfRule>
  </conditionalFormatting>
  <conditionalFormatting sqref="Y1034">
    <cfRule type="containsText" dxfId="1" priority="57" operator="between" text="欠">
      <formula>NOT(ISERROR(SEARCH("欠",Y1034)))</formula>
    </cfRule>
  </conditionalFormatting>
  <conditionalFormatting sqref="V1035">
    <cfRule type="containsText" dxfId="1" priority="37" operator="between" text="欠">
      <formula>NOT(ISERROR(SEARCH("欠",V1035)))</formula>
    </cfRule>
  </conditionalFormatting>
  <conditionalFormatting sqref="W1035">
    <cfRule type="containsText" dxfId="1" priority="35" operator="between" text="欠">
      <formula>NOT(ISERROR(SEARCH("欠",W1035)))</formula>
    </cfRule>
  </conditionalFormatting>
  <conditionalFormatting sqref="X1035">
    <cfRule type="containsText" dxfId="1" priority="34" operator="between" text="欠">
      <formula>NOT(ISERROR(SEARCH("欠",X1035)))</formula>
    </cfRule>
  </conditionalFormatting>
  <conditionalFormatting sqref="Y1035">
    <cfRule type="containsText" dxfId="1" priority="36" operator="between" text="欠">
      <formula>NOT(ISERROR(SEARCH("欠",Y1035)))</formula>
    </cfRule>
  </conditionalFormatting>
  <conditionalFormatting sqref="W1036">
    <cfRule type="containsText" dxfId="1" priority="163" operator="between" text="欠">
      <formula>NOT(ISERROR(SEARCH("欠",W1036)))</formula>
    </cfRule>
  </conditionalFormatting>
  <conditionalFormatting sqref="W1037">
    <cfRule type="containsText" dxfId="1" priority="162" operator="between" text="欠">
      <formula>NOT(ISERROR(SEARCH("欠",W1037)))</formula>
    </cfRule>
  </conditionalFormatting>
  <conditionalFormatting sqref="W1038">
    <cfRule type="containsText" dxfId="1" priority="51" operator="between" text="欠">
      <formula>NOT(ISERROR(SEARCH("欠",W1038)))</formula>
    </cfRule>
  </conditionalFormatting>
  <conditionalFormatting sqref="X1038">
    <cfRule type="containsText" dxfId="1" priority="50" operator="between" text="欠">
      <formula>NOT(ISERROR(SEARCH("欠",X1038)))</formula>
    </cfRule>
  </conditionalFormatting>
  <conditionalFormatting sqref="Y1038">
    <cfRule type="containsText" dxfId="1" priority="52" operator="between" text="欠">
      <formula>NOT(ISERROR(SEARCH("欠",Y1038)))</formula>
    </cfRule>
  </conditionalFormatting>
  <conditionalFormatting sqref="W1039">
    <cfRule type="containsText" dxfId="1" priority="181" operator="between" text="欠">
      <formula>NOT(ISERROR(SEARCH("欠",W1039)))</formula>
    </cfRule>
  </conditionalFormatting>
  <conditionalFormatting sqref="Y1039">
    <cfRule type="containsText" dxfId="1" priority="184" operator="between" text="欠">
      <formula>NOT(ISERROR(SEARCH("欠",Y1039)))</formula>
    </cfRule>
  </conditionalFormatting>
  <conditionalFormatting sqref="W1040">
    <cfRule type="containsText" dxfId="1" priority="180" operator="between" text="欠">
      <formula>NOT(ISERROR(SEARCH("欠",W1040)))</formula>
    </cfRule>
  </conditionalFormatting>
  <conditionalFormatting sqref="Y1040">
    <cfRule type="containsText" dxfId="1" priority="183" operator="between" text="欠">
      <formula>NOT(ISERROR(SEARCH("欠",Y1040)))</formula>
    </cfRule>
  </conditionalFormatting>
  <conditionalFormatting sqref="W1041">
    <cfRule type="containsText" dxfId="1" priority="179" operator="between" text="欠">
      <formula>NOT(ISERROR(SEARCH("欠",W1041)))</formula>
    </cfRule>
  </conditionalFormatting>
  <conditionalFormatting sqref="Y1041">
    <cfRule type="containsText" dxfId="1" priority="182" operator="between" text="欠">
      <formula>NOT(ISERROR(SEARCH("欠",Y1041)))</formula>
    </cfRule>
  </conditionalFormatting>
  <conditionalFormatting sqref="W1044">
    <cfRule type="containsText" dxfId="1" priority="43" operator="between" text="欠">
      <formula>NOT(ISERROR(SEARCH("欠",W1044)))</formula>
    </cfRule>
  </conditionalFormatting>
  <conditionalFormatting sqref="V1047">
    <cfRule type="cellIs" dxfId="0" priority="1" operator="equal">
      <formula>"欠"</formula>
    </cfRule>
    <cfRule type="containsText" dxfId="1" priority="2" operator="between" text="欠">
      <formula>NOT(ISERROR(SEARCH("欠",V1047)))</formula>
    </cfRule>
  </conditionalFormatting>
  <conditionalFormatting sqref="W1047">
    <cfRule type="containsText" dxfId="1" priority="3" operator="between" text="欠">
      <formula>NOT(ISERROR(SEARCH("欠",W1047)))</formula>
    </cfRule>
  </conditionalFormatting>
  <conditionalFormatting sqref="X1047">
    <cfRule type="containsText" dxfId="1" priority="4" operator="between" text="欠">
      <formula>NOT(ISERROR(SEARCH("欠",X1047)))</formula>
    </cfRule>
  </conditionalFormatting>
  <conditionalFormatting sqref="Y1047">
    <cfRule type="containsText" dxfId="1" priority="21" operator="between" text="欠">
      <formula>NOT(ISERROR(SEARCH("欠",Y1047)))</formula>
    </cfRule>
  </conditionalFormatting>
  <conditionalFormatting sqref="W1049">
    <cfRule type="containsText" dxfId="1" priority="39" operator="between" text="欠">
      <formula>NOT(ISERROR(SEARCH("欠",W1049)))</formula>
    </cfRule>
  </conditionalFormatting>
  <conditionalFormatting sqref="X1049">
    <cfRule type="containsText" dxfId="1" priority="38" operator="between" text="欠">
      <formula>NOT(ISERROR(SEARCH("欠",X1049)))</formula>
    </cfRule>
  </conditionalFormatting>
  <conditionalFormatting sqref="Y1049">
    <cfRule type="containsText" dxfId="1" priority="40" operator="between" text="欠">
      <formula>NOT(ISERROR(SEARCH("欠",Y1049)))</formula>
    </cfRule>
  </conditionalFormatting>
  <conditionalFormatting sqref="W1051">
    <cfRule type="containsText" dxfId="1" priority="161" operator="between" text="欠">
      <formula>NOT(ISERROR(SEARCH("欠",W1051)))</formula>
    </cfRule>
  </conditionalFormatting>
  <conditionalFormatting sqref="X1051">
    <cfRule type="containsText" dxfId="1" priority="167" operator="between" text="欠">
      <formula>NOT(ISERROR(SEARCH("欠",X1051)))</formula>
    </cfRule>
  </conditionalFormatting>
  <conditionalFormatting sqref="Y1051">
    <cfRule type="containsText" dxfId="1" priority="164" operator="between" text="欠">
      <formula>NOT(ISERROR(SEARCH("欠",Y1051)))</formula>
    </cfRule>
  </conditionalFormatting>
  <conditionalFormatting sqref="W1055">
    <cfRule type="containsText" dxfId="1" priority="198" operator="between" text="欠">
      <formula>NOT(ISERROR(SEARCH("欠",W1055)))</formula>
    </cfRule>
  </conditionalFormatting>
  <conditionalFormatting sqref="X1055">
    <cfRule type="containsText" dxfId="1" priority="200" operator="between" text="欠">
      <formula>NOT(ISERROR(SEARCH("欠",X1055)))</formula>
    </cfRule>
  </conditionalFormatting>
  <conditionalFormatting sqref="Y1055">
    <cfRule type="containsText" dxfId="1" priority="199" operator="between" text="欠">
      <formula>NOT(ISERROR(SEARCH("欠",Y1055)))</formula>
    </cfRule>
  </conditionalFormatting>
  <conditionalFormatting sqref="W1056">
    <cfRule type="containsText" dxfId="1" priority="28" operator="between" text="欠">
      <formula>NOT(ISERROR(SEARCH("欠",W1056)))</formula>
    </cfRule>
  </conditionalFormatting>
  <conditionalFormatting sqref="X1056">
    <cfRule type="containsText" dxfId="1" priority="27" operator="between" text="欠">
      <formula>NOT(ISERROR(SEARCH("欠",X1056)))</formula>
    </cfRule>
  </conditionalFormatting>
  <conditionalFormatting sqref="Y1056">
    <cfRule type="containsText" dxfId="1" priority="29" operator="between" text="欠">
      <formula>NOT(ISERROR(SEARCH("欠",Y1056)))</formula>
    </cfRule>
  </conditionalFormatting>
  <conditionalFormatting sqref="W1058">
    <cfRule type="containsText" dxfId="1" priority="64" operator="between" text="欠">
      <formula>NOT(ISERROR(SEARCH("欠",W1058)))</formula>
    </cfRule>
  </conditionalFormatting>
  <conditionalFormatting sqref="Y1058">
    <cfRule type="containsText" dxfId="1" priority="67" operator="between" text="欠">
      <formula>NOT(ISERROR(SEARCH("欠",Y1058)))</formula>
    </cfRule>
  </conditionalFormatting>
  <conditionalFormatting sqref="W1059">
    <cfRule type="containsText" dxfId="1" priority="65" operator="between" text="欠">
      <formula>NOT(ISERROR(SEARCH("欠",W1059)))</formula>
    </cfRule>
  </conditionalFormatting>
  <conditionalFormatting sqref="Y1059">
    <cfRule type="containsText" dxfId="1" priority="68" operator="between" text="欠">
      <formula>NOT(ISERROR(SEARCH("欠",Y1059)))</formula>
    </cfRule>
  </conditionalFormatting>
  <conditionalFormatting sqref="V1081:Y1081">
    <cfRule type="containsText" dxfId="1" priority="2460" operator="between" text="欠">
      <formula>NOT(ISERROR(SEARCH("欠",V1081)))</formula>
    </cfRule>
  </conditionalFormatting>
  <conditionalFormatting sqref="V1082:Y1082">
    <cfRule type="containsText" dxfId="1" priority="2459" operator="between" text="欠">
      <formula>NOT(ISERROR(SEARCH("欠",V1082)))</formula>
    </cfRule>
  </conditionalFormatting>
  <conditionalFormatting sqref="V1083:Y1083">
    <cfRule type="containsText" dxfId="1" priority="2458" operator="between" text="欠">
      <formula>NOT(ISERROR(SEARCH("欠",V1083)))</formula>
    </cfRule>
  </conditionalFormatting>
  <conditionalFormatting sqref="V1084:Y1084">
    <cfRule type="containsText" dxfId="1" priority="2457" operator="between" text="欠">
      <formula>NOT(ISERROR(SEARCH("欠",V1084)))</formula>
    </cfRule>
  </conditionalFormatting>
  <conditionalFormatting sqref="V1085:Y1085">
    <cfRule type="containsText" dxfId="1" priority="2456" operator="between" text="欠">
      <formula>NOT(ISERROR(SEARCH("欠",V1085)))</formula>
    </cfRule>
  </conditionalFormatting>
  <conditionalFormatting sqref="V1088:Y1088">
    <cfRule type="containsText" dxfId="1" priority="2454" operator="between" text="欠">
      <formula>NOT(ISERROR(SEARCH("欠",V1088)))</formula>
    </cfRule>
  </conditionalFormatting>
  <conditionalFormatting sqref="V1089:Y1089">
    <cfRule type="containsText" dxfId="1" priority="2453" operator="between" text="欠">
      <formula>NOT(ISERROR(SEARCH("欠",V1089)))</formula>
    </cfRule>
  </conditionalFormatting>
  <conditionalFormatting sqref="V1090:Y1090">
    <cfRule type="containsText" dxfId="1" priority="2452" operator="between" text="欠">
      <formula>NOT(ISERROR(SEARCH("欠",V1090)))</formula>
    </cfRule>
  </conditionalFormatting>
  <conditionalFormatting sqref="V1091:Y1091">
    <cfRule type="containsText" dxfId="1" priority="2451" operator="between" text="欠">
      <formula>NOT(ISERROR(SEARCH("欠",V1091)))</formula>
    </cfRule>
  </conditionalFormatting>
  <conditionalFormatting sqref="V1092:Y1092">
    <cfRule type="containsText" dxfId="1" priority="2450" operator="between" text="欠">
      <formula>NOT(ISERROR(SEARCH("欠",V1092)))</formula>
    </cfRule>
  </conditionalFormatting>
  <conditionalFormatting sqref="V1093:Y1093">
    <cfRule type="containsText" dxfId="1" priority="2449" operator="between" text="欠">
      <formula>NOT(ISERROR(SEARCH("欠",V1093)))</formula>
    </cfRule>
  </conditionalFormatting>
  <conditionalFormatting sqref="V1094:Y1094">
    <cfRule type="containsText" dxfId="1" priority="2448" operator="between" text="欠">
      <formula>NOT(ISERROR(SEARCH("欠",V1094)))</formula>
    </cfRule>
  </conditionalFormatting>
  <conditionalFormatting sqref="V1095:Y1095">
    <cfRule type="containsText" dxfId="1" priority="2447" operator="between" text="欠">
      <formula>NOT(ISERROR(SEARCH("欠",V1095)))</formula>
    </cfRule>
  </conditionalFormatting>
  <conditionalFormatting sqref="V1096:Y1096">
    <cfRule type="containsText" dxfId="1" priority="2446" operator="between" text="欠">
      <formula>NOT(ISERROR(SEARCH("欠",V1096)))</formula>
    </cfRule>
  </conditionalFormatting>
  <conditionalFormatting sqref="V1097:Y1097">
    <cfRule type="containsText" dxfId="1" priority="2445" operator="between" text="欠">
      <formula>NOT(ISERROR(SEARCH("欠",V1097)))</formula>
    </cfRule>
  </conditionalFormatting>
  <conditionalFormatting sqref="V1098:Y1098">
    <cfRule type="containsText" dxfId="1" priority="2444" operator="between" text="欠">
      <formula>NOT(ISERROR(SEARCH("欠",V1098)))</formula>
    </cfRule>
  </conditionalFormatting>
  <conditionalFormatting sqref="V1099:Y1099">
    <cfRule type="containsText" dxfId="1" priority="2443" operator="between" text="欠">
      <formula>NOT(ISERROR(SEARCH("欠",V1099)))</formula>
    </cfRule>
  </conditionalFormatting>
  <conditionalFormatting sqref="V1100:Y1100">
    <cfRule type="containsText" dxfId="1" priority="2442" operator="between" text="欠">
      <formula>NOT(ISERROR(SEARCH("欠",V1100)))</formula>
    </cfRule>
  </conditionalFormatting>
  <conditionalFormatting sqref="V1101:Y1101">
    <cfRule type="containsText" dxfId="1" priority="2441" operator="between" text="欠">
      <formula>NOT(ISERROR(SEARCH("欠",V1101)))</formula>
    </cfRule>
  </conditionalFormatting>
  <conditionalFormatting sqref="V1102:Y1102">
    <cfRule type="containsText" dxfId="1" priority="2440" operator="between" text="欠">
      <formula>NOT(ISERROR(SEARCH("欠",V1102)))</formula>
    </cfRule>
  </conditionalFormatting>
  <conditionalFormatting sqref="V1103:Y1103">
    <cfRule type="containsText" dxfId="1" priority="2439" operator="between" text="欠">
      <formula>NOT(ISERROR(SEARCH("欠",V1103)))</formula>
    </cfRule>
  </conditionalFormatting>
  <conditionalFormatting sqref="V1104:Y1104">
    <cfRule type="containsText" dxfId="1" priority="2438" operator="between" text="欠">
      <formula>NOT(ISERROR(SEARCH("欠",V1104)))</formula>
    </cfRule>
  </conditionalFormatting>
  <conditionalFormatting sqref="V1105:Y1105">
    <cfRule type="containsText" dxfId="1" priority="2437" operator="between" text="欠">
      <formula>NOT(ISERROR(SEARCH("欠",V1105)))</formula>
    </cfRule>
  </conditionalFormatting>
  <conditionalFormatting sqref="V1106:Y1106">
    <cfRule type="containsText" dxfId="1" priority="2436" operator="between" text="欠">
      <formula>NOT(ISERROR(SEARCH("欠",V1106)))</formula>
    </cfRule>
  </conditionalFormatting>
  <conditionalFormatting sqref="V1107:Y1107">
    <cfRule type="containsText" dxfId="1" priority="2435" operator="between" text="欠">
      <formula>NOT(ISERROR(SEARCH("欠",V1107)))</formula>
    </cfRule>
  </conditionalFormatting>
  <conditionalFormatting sqref="V1108:Y1108">
    <cfRule type="containsText" dxfId="1" priority="2434" operator="between" text="欠">
      <formula>NOT(ISERROR(SEARCH("欠",V1108)))</formula>
    </cfRule>
  </conditionalFormatting>
  <conditionalFormatting sqref="V1109:Y1109">
    <cfRule type="containsText" dxfId="1" priority="2433" operator="between" text="欠">
      <formula>NOT(ISERROR(SEARCH("欠",V1109)))</formula>
    </cfRule>
  </conditionalFormatting>
  <conditionalFormatting sqref="V1110:Y1110">
    <cfRule type="containsText" dxfId="1" priority="2432" operator="between" text="欠">
      <formula>NOT(ISERROR(SEARCH("欠",V1110)))</formula>
    </cfRule>
  </conditionalFormatting>
  <conditionalFormatting sqref="V1111:Y1111">
    <cfRule type="containsText" dxfId="1" priority="2431" operator="between" text="欠">
      <formula>NOT(ISERROR(SEARCH("欠",V1111)))</formula>
    </cfRule>
  </conditionalFormatting>
  <conditionalFormatting sqref="V1112:Y1112">
    <cfRule type="containsText" dxfId="1" priority="2430" operator="between" text="欠">
      <formula>NOT(ISERROR(SEARCH("欠",V1112)))</formula>
    </cfRule>
  </conditionalFormatting>
  <conditionalFormatting sqref="V1113:Y1113">
    <cfRule type="containsText" dxfId="1" priority="2429" operator="between" text="欠">
      <formula>NOT(ISERROR(SEARCH("欠",V1113)))</formula>
    </cfRule>
  </conditionalFormatting>
  <conditionalFormatting sqref="V1114:Y1114">
    <cfRule type="containsText" dxfId="1" priority="2428" operator="between" text="欠">
      <formula>NOT(ISERROR(SEARCH("欠",V1114)))</formula>
    </cfRule>
  </conditionalFormatting>
  <conditionalFormatting sqref="V1115:Y1115">
    <cfRule type="containsText" dxfId="1" priority="2427" operator="between" text="欠">
      <formula>NOT(ISERROR(SEARCH("欠",V1115)))</formula>
    </cfRule>
  </conditionalFormatting>
  <conditionalFormatting sqref="V1116:Y1116">
    <cfRule type="containsText" dxfId="1" priority="2426" operator="between" text="欠">
      <formula>NOT(ISERROR(SEARCH("欠",V1116)))</formula>
    </cfRule>
  </conditionalFormatting>
  <conditionalFormatting sqref="V1117:Y1117">
    <cfRule type="containsText" dxfId="1" priority="2425" operator="between" text="欠">
      <formula>NOT(ISERROR(SEARCH("欠",V1117)))</formula>
    </cfRule>
  </conditionalFormatting>
  <conditionalFormatting sqref="V1118:Y1118">
    <cfRule type="containsText" dxfId="1" priority="2424" operator="between" text="欠">
      <formula>NOT(ISERROR(SEARCH("欠",V1118)))</formula>
    </cfRule>
  </conditionalFormatting>
  <conditionalFormatting sqref="V1119:Y1119">
    <cfRule type="containsText" dxfId="1" priority="2423" operator="between" text="欠">
      <formula>NOT(ISERROR(SEARCH("欠",V1119)))</formula>
    </cfRule>
  </conditionalFormatting>
  <conditionalFormatting sqref="V1120:Y1120">
    <cfRule type="containsText" dxfId="1" priority="2422" operator="between" text="欠">
      <formula>NOT(ISERROR(SEARCH("欠",V1120)))</formula>
    </cfRule>
  </conditionalFormatting>
  <conditionalFormatting sqref="V1121:Y1121">
    <cfRule type="containsText" dxfId="1" priority="2421" operator="between" text="欠">
      <formula>NOT(ISERROR(SEARCH("欠",V1121)))</formula>
    </cfRule>
  </conditionalFormatting>
  <conditionalFormatting sqref="V1122:Y1122">
    <cfRule type="containsText" dxfId="1" priority="2420" operator="between" text="欠">
      <formula>NOT(ISERROR(SEARCH("欠",V1122)))</formula>
    </cfRule>
  </conditionalFormatting>
  <conditionalFormatting sqref="V1123:Y1123">
    <cfRule type="containsText" dxfId="1" priority="2419" operator="between" text="欠">
      <formula>NOT(ISERROR(SEARCH("欠",V1123)))</formula>
    </cfRule>
  </conditionalFormatting>
  <conditionalFormatting sqref="V1124:Y1124">
    <cfRule type="containsText" dxfId="1" priority="2418" operator="between" text="欠">
      <formula>NOT(ISERROR(SEARCH("欠",V1124)))</formula>
    </cfRule>
  </conditionalFormatting>
  <conditionalFormatting sqref="V1125:Y1125">
    <cfRule type="containsText" dxfId="1" priority="2417" operator="between" text="欠">
      <formula>NOT(ISERROR(SEARCH("欠",V1125)))</formula>
    </cfRule>
  </conditionalFormatting>
  <conditionalFormatting sqref="V1126:Y1126">
    <cfRule type="containsText" dxfId="1" priority="2416" operator="between" text="欠">
      <formula>NOT(ISERROR(SEARCH("欠",V1126)))</formula>
    </cfRule>
  </conditionalFormatting>
  <conditionalFormatting sqref="V1127:Y1127">
    <cfRule type="containsText" dxfId="1" priority="2415" operator="between" text="欠">
      <formula>NOT(ISERROR(SEARCH("欠",V1127)))</formula>
    </cfRule>
  </conditionalFormatting>
  <conditionalFormatting sqref="V1128:Y1128">
    <cfRule type="containsText" dxfId="1" priority="2414" operator="between" text="欠">
      <formula>NOT(ISERROR(SEARCH("欠",V1128)))</formula>
    </cfRule>
  </conditionalFormatting>
  <conditionalFormatting sqref="V1129:Y1129">
    <cfRule type="containsText" dxfId="1" priority="2413" operator="between" text="欠">
      <formula>NOT(ISERROR(SEARCH("欠",V1129)))</formula>
    </cfRule>
  </conditionalFormatting>
  <conditionalFormatting sqref="V1130:Y1130">
    <cfRule type="containsText" dxfId="1" priority="2412" operator="between" text="欠">
      <formula>NOT(ISERROR(SEARCH("欠",V1130)))</formula>
    </cfRule>
  </conditionalFormatting>
  <conditionalFormatting sqref="V1131:Y1131">
    <cfRule type="containsText" dxfId="1" priority="2411" operator="between" text="欠">
      <formula>NOT(ISERROR(SEARCH("欠",V1131)))</formula>
    </cfRule>
  </conditionalFormatting>
  <conditionalFormatting sqref="V1132:Y1132">
    <cfRule type="containsText" dxfId="1" priority="2410" operator="between" text="欠">
      <formula>NOT(ISERROR(SEARCH("欠",V1132)))</formula>
    </cfRule>
  </conditionalFormatting>
  <conditionalFormatting sqref="V1133:Y1133">
    <cfRule type="containsText" dxfId="1" priority="2409" operator="between" text="欠">
      <formula>NOT(ISERROR(SEARCH("欠",V1133)))</formula>
    </cfRule>
  </conditionalFormatting>
  <conditionalFormatting sqref="V1134:Y1134">
    <cfRule type="containsText" dxfId="1" priority="2408" operator="between" text="欠">
      <formula>NOT(ISERROR(SEARCH("欠",V1134)))</formula>
    </cfRule>
  </conditionalFormatting>
  <conditionalFormatting sqref="V1135:Y1135">
    <cfRule type="containsText" dxfId="1" priority="2407" operator="between" text="欠">
      <formula>NOT(ISERROR(SEARCH("欠",V1135)))</formula>
    </cfRule>
  </conditionalFormatting>
  <conditionalFormatting sqref="V1136:Y1136">
    <cfRule type="containsText" dxfId="1" priority="2406" operator="between" text="欠">
      <formula>NOT(ISERROR(SEARCH("欠",V1136)))</formula>
    </cfRule>
  </conditionalFormatting>
  <conditionalFormatting sqref="V1137:Y1137">
    <cfRule type="containsText" dxfId="1" priority="2405" operator="between" text="欠">
      <formula>NOT(ISERROR(SEARCH("欠",V1137)))</formula>
    </cfRule>
  </conditionalFormatting>
  <conditionalFormatting sqref="V1138:Y1138">
    <cfRule type="containsText" dxfId="1" priority="2404" operator="between" text="欠">
      <formula>NOT(ISERROR(SEARCH("欠",V1138)))</formula>
    </cfRule>
  </conditionalFormatting>
  <conditionalFormatting sqref="V1139:Y1139">
    <cfRule type="containsText" dxfId="1" priority="2403" operator="between" text="欠">
      <formula>NOT(ISERROR(SEARCH("欠",V1139)))</formula>
    </cfRule>
  </conditionalFormatting>
  <conditionalFormatting sqref="V1140:Y1140">
    <cfRule type="containsText" dxfId="1" priority="2402" operator="between" text="欠">
      <formula>NOT(ISERROR(SEARCH("欠",V1140)))</formula>
    </cfRule>
  </conditionalFormatting>
  <conditionalFormatting sqref="V1141:Y1141">
    <cfRule type="containsText" dxfId="1" priority="2401" operator="between" text="欠">
      <formula>NOT(ISERROR(SEARCH("欠",V1141)))</formula>
    </cfRule>
  </conditionalFormatting>
  <conditionalFormatting sqref="U115:U116">
    <cfRule type="containsText" dxfId="1" priority="2029" operator="between" text="欠">
      <formula>NOT(ISERROR(SEARCH("欠",U115)))</formula>
    </cfRule>
  </conditionalFormatting>
  <conditionalFormatting sqref="U247:U248">
    <cfRule type="containsText" dxfId="1" priority="1931" operator="between" text="欠">
      <formula>NOT(ISERROR(SEARCH("欠",U247)))</formula>
    </cfRule>
  </conditionalFormatting>
  <conditionalFormatting sqref="V32:V33">
    <cfRule type="containsText" dxfId="1" priority="2533" operator="between" text="欠">
      <formula>NOT(ISERROR(SEARCH("欠",V32)))</formula>
    </cfRule>
  </conditionalFormatting>
  <conditionalFormatting sqref="V80:V83">
    <cfRule type="containsText" dxfId="1" priority="2349" operator="between" text="欠">
      <formula>NOT(ISERROR(SEARCH("欠",V80)))</formula>
    </cfRule>
  </conditionalFormatting>
  <conditionalFormatting sqref="V91:V94">
    <cfRule type="containsText" dxfId="1" priority="2359" operator="between" text="欠">
      <formula>NOT(ISERROR(SEARCH("欠",V91)))</formula>
    </cfRule>
  </conditionalFormatting>
  <conditionalFormatting sqref="V154:V156">
    <cfRule type="containsText" dxfId="1" priority="2167" operator="between" text="欠">
      <formula>NOT(ISERROR(SEARCH("欠",V154)))</formula>
    </cfRule>
  </conditionalFormatting>
  <conditionalFormatting sqref="V182:V183">
    <cfRule type="containsText" dxfId="1" priority="2013" operator="between" text="欠">
      <formula>NOT(ISERROR(SEARCH("欠",V182)))</formula>
    </cfRule>
  </conditionalFormatting>
  <conditionalFormatting sqref="V256:V257">
    <cfRule type="containsText" dxfId="1" priority="1892" operator="between" text="欠">
      <formula>NOT(ISERROR(SEARCH("欠",V256)))</formula>
    </cfRule>
  </conditionalFormatting>
  <conditionalFormatting sqref="V264:V265">
    <cfRule type="containsText" dxfId="1" priority="1905" operator="between" text="欠">
      <formula>NOT(ISERROR(SEARCH("欠",V264)))</formula>
    </cfRule>
  </conditionalFormatting>
  <conditionalFormatting sqref="V270:V271">
    <cfRule type="containsText" dxfId="1" priority="1878" operator="between" text="欠">
      <formula>NOT(ISERROR(SEARCH("欠",V270)))</formula>
    </cfRule>
  </conditionalFormatting>
  <conditionalFormatting sqref="V275:V276">
    <cfRule type="containsText" dxfId="1" priority="1888" operator="between" text="欠">
      <formula>NOT(ISERROR(SEARCH("欠",V275)))</formula>
    </cfRule>
  </conditionalFormatting>
  <conditionalFormatting sqref="V292:V296">
    <cfRule type="containsText" dxfId="1" priority="1875" operator="between" text="欠">
      <formula>NOT(ISERROR(SEARCH("欠",V292)))</formula>
    </cfRule>
  </conditionalFormatting>
  <conditionalFormatting sqref="V298:V299">
    <cfRule type="containsText" dxfId="1" priority="1834" operator="between" text="欠">
      <formula>NOT(ISERROR(SEARCH("欠",V298)))</formula>
    </cfRule>
  </conditionalFormatting>
  <conditionalFormatting sqref="V336:V337">
    <cfRule type="containsText" dxfId="1" priority="1844" operator="between" text="欠">
      <formula>NOT(ISERROR(SEARCH("欠",V336)))</formula>
    </cfRule>
  </conditionalFormatting>
  <conditionalFormatting sqref="V350:V356">
    <cfRule type="containsText" dxfId="1" priority="1722" operator="between" text="欠">
      <formula>NOT(ISERROR(SEARCH("欠",V350)))</formula>
    </cfRule>
  </conditionalFormatting>
  <conditionalFormatting sqref="V359:V363">
    <cfRule type="containsText" dxfId="1" priority="1682" operator="between" text="欠">
      <formula>NOT(ISERROR(SEARCH("欠",V359)))</formula>
    </cfRule>
  </conditionalFormatting>
  <conditionalFormatting sqref="V382:V383">
    <cfRule type="containsText" dxfId="1" priority="1700" operator="between" text="欠">
      <formula>NOT(ISERROR(SEARCH("欠",V382)))</formula>
    </cfRule>
  </conditionalFormatting>
  <conditionalFormatting sqref="V430:V439">
    <cfRule type="containsText" dxfId="1" priority="1467" operator="between" text="欠">
      <formula>NOT(ISERROR(SEARCH("欠",V430)))</formula>
    </cfRule>
  </conditionalFormatting>
  <conditionalFormatting sqref="V440:V452">
    <cfRule type="containsText" dxfId="1" priority="1518" operator="between" text="欠">
      <formula>NOT(ISERROR(SEARCH("欠",V440)))</formula>
    </cfRule>
  </conditionalFormatting>
  <conditionalFormatting sqref="V453:V470">
    <cfRule type="containsText" dxfId="1" priority="1602" operator="between" text="欠">
      <formula>NOT(ISERROR(SEARCH("欠",V453)))</formula>
    </cfRule>
  </conditionalFormatting>
  <conditionalFormatting sqref="V495:V496">
    <cfRule type="containsText" dxfId="1" priority="1644" operator="between" text="欠">
      <formula>NOT(ISERROR(SEARCH("欠",V495)))</formula>
    </cfRule>
  </conditionalFormatting>
  <conditionalFormatting sqref="V504:V512">
    <cfRule type="containsText" dxfId="1" priority="1401" operator="between" text="欠">
      <formula>NOT(ISERROR(SEARCH("欠",V504)))</formula>
    </cfRule>
  </conditionalFormatting>
  <conditionalFormatting sqref="V521:V536">
    <cfRule type="containsText" dxfId="1" priority="1173" operator="between" text="欠">
      <formula>NOT(ISERROR(SEARCH("欠",V521)))</formula>
    </cfRule>
  </conditionalFormatting>
  <conditionalFormatting sqref="V537:V545">
    <cfRule type="containsText" dxfId="1" priority="1181" operator="between" text="欠">
      <formula>NOT(ISERROR(SEARCH("欠",V537)))</formula>
    </cfRule>
  </conditionalFormatting>
  <conditionalFormatting sqref="V547:V553">
    <cfRule type="containsText" dxfId="1" priority="1382" operator="between" text="欠">
      <formula>NOT(ISERROR(SEARCH("欠",V547)))</formula>
    </cfRule>
  </conditionalFormatting>
  <conditionalFormatting sqref="V555:V556">
    <cfRule type="containsText" dxfId="1" priority="1186" operator="between" text="欠">
      <formula>NOT(ISERROR(SEARCH("欠",V555)))</formula>
    </cfRule>
  </conditionalFormatting>
  <conditionalFormatting sqref="V564:V565">
    <cfRule type="containsText" dxfId="1" priority="1157" operator="between" text="欠">
      <formula>NOT(ISERROR(SEARCH("欠",V564)))</formula>
    </cfRule>
  </conditionalFormatting>
  <conditionalFormatting sqref="V574:V575">
    <cfRule type="containsText" dxfId="1" priority="1150" operator="between" text="欠">
      <formula>NOT(ISERROR(SEARCH("欠",V574)))</formula>
    </cfRule>
  </conditionalFormatting>
  <conditionalFormatting sqref="V576:V578">
    <cfRule type="containsText" dxfId="1" priority="1146" operator="between" text="欠">
      <formula>NOT(ISERROR(SEARCH("欠",V576)))</formula>
    </cfRule>
  </conditionalFormatting>
  <conditionalFormatting sqref="V579:V580">
    <cfRule type="containsText" dxfId="1" priority="1183" operator="between" text="欠">
      <formula>NOT(ISERROR(SEARCH("欠",V579)))</formula>
    </cfRule>
  </conditionalFormatting>
  <conditionalFormatting sqref="V631:V633">
    <cfRule type="containsText" dxfId="1" priority="1052" operator="between" text="欠">
      <formula>NOT(ISERROR(SEARCH("欠",V631)))</formula>
    </cfRule>
  </conditionalFormatting>
  <conditionalFormatting sqref="V648:V654">
    <cfRule type="containsText" dxfId="1" priority="1039" operator="between" text="欠">
      <formula>NOT(ISERROR(SEARCH("欠",V648)))</formula>
    </cfRule>
  </conditionalFormatting>
  <conditionalFormatting sqref="V692:V694">
    <cfRule type="containsText" dxfId="1" priority="970" operator="between" text="欠">
      <formula>NOT(ISERROR(SEARCH("欠",V692)))</formula>
    </cfRule>
  </conditionalFormatting>
  <conditionalFormatting sqref="V696:V702">
    <cfRule type="containsText" dxfId="1" priority="959" operator="between" text="欠">
      <formula>NOT(ISERROR(SEARCH("欠",V696)))</formula>
    </cfRule>
  </conditionalFormatting>
  <conditionalFormatting sqref="V725:V726">
    <cfRule type="containsText" dxfId="1" priority="917" operator="between" text="欠">
      <formula>NOT(ISERROR(SEARCH("欠",V725)))</formula>
    </cfRule>
  </conditionalFormatting>
  <conditionalFormatting sqref="V784:V786">
    <cfRule type="cellIs" dxfId="0" priority="775" operator="equal">
      <formula>"欠"</formula>
    </cfRule>
  </conditionalFormatting>
  <conditionalFormatting sqref="V791:V792">
    <cfRule type="cellIs" dxfId="0" priority="750" operator="equal">
      <formula>"欠"</formula>
    </cfRule>
  </conditionalFormatting>
  <conditionalFormatting sqref="V820:V826">
    <cfRule type="cellIs" dxfId="0" priority="689" operator="equal">
      <formula>"欠"</formula>
    </cfRule>
  </conditionalFormatting>
  <conditionalFormatting sqref="V830:V831">
    <cfRule type="cellIs" dxfId="0" priority="748" operator="equal">
      <formula>"欠"</formula>
    </cfRule>
  </conditionalFormatting>
  <conditionalFormatting sqref="V834:V838">
    <cfRule type="containsText" dxfId="1" priority="781" operator="between" text="欠">
      <formula>NOT(ISERROR(SEARCH("欠",V834)))</formula>
    </cfRule>
  </conditionalFormatting>
  <conditionalFormatting sqref="V846:V849">
    <cfRule type="containsText" dxfId="1" priority="675" operator="between" text="欠">
      <formula>NOT(ISERROR(SEARCH("欠",V846)))</formula>
    </cfRule>
  </conditionalFormatting>
  <conditionalFormatting sqref="V868:V870">
    <cfRule type="cellIs" dxfId="0" priority="634" operator="equal">
      <formula>"欠"</formula>
    </cfRule>
    <cfRule type="containsText" dxfId="1" priority="637" operator="between" text="欠">
      <formula>NOT(ISERROR(SEARCH("欠",V868)))</formula>
    </cfRule>
  </conditionalFormatting>
  <conditionalFormatting sqref="V871:V873">
    <cfRule type="cellIs" dxfId="0" priority="565" operator="equal">
      <formula>"欠"</formula>
    </cfRule>
    <cfRule type="containsText" dxfId="1" priority="566" operator="between" text="欠">
      <formula>NOT(ISERROR(SEARCH("欠",V871)))</formula>
    </cfRule>
  </conditionalFormatting>
  <conditionalFormatting sqref="V883:V884">
    <cfRule type="cellIs" dxfId="0" priority="644" operator="equal">
      <formula>"欠"</formula>
    </cfRule>
    <cfRule type="containsText" dxfId="1" priority="645" operator="between" text="欠">
      <formula>NOT(ISERROR(SEARCH("欠",V883)))</formula>
    </cfRule>
  </conditionalFormatting>
  <conditionalFormatting sqref="V888:V889">
    <cfRule type="containsText" dxfId="1" priority="599" operator="between" text="欠">
      <formula>NOT(ISERROR(SEARCH("欠",V888)))</formula>
    </cfRule>
  </conditionalFormatting>
  <conditionalFormatting sqref="V893:V900">
    <cfRule type="containsText" dxfId="1" priority="597" operator="between" text="欠">
      <formula>NOT(ISERROR(SEARCH("欠",V893)))</formula>
    </cfRule>
  </conditionalFormatting>
  <conditionalFormatting sqref="V906:V907">
    <cfRule type="containsText" dxfId="1" priority="537" operator="between" text="欠">
      <formula>NOT(ISERROR(SEARCH("欠",V906)))</formula>
    </cfRule>
  </conditionalFormatting>
  <conditionalFormatting sqref="V910:V916">
    <cfRule type="containsText" dxfId="1" priority="535" operator="between" text="欠">
      <formula>NOT(ISERROR(SEARCH("欠",V910)))</formula>
    </cfRule>
  </conditionalFormatting>
  <conditionalFormatting sqref="V924:V925">
    <cfRule type="cellIs" dxfId="0" priority="562" operator="equal">
      <formula>"欠"</formula>
    </cfRule>
    <cfRule type="containsText" dxfId="1" priority="563" operator="between" text="欠">
      <formula>NOT(ISERROR(SEARCH("欠",V924)))</formula>
    </cfRule>
  </conditionalFormatting>
  <conditionalFormatting sqref="V926:V927">
    <cfRule type="containsText" dxfId="1" priority="489" operator="between" text="欠">
      <formula>NOT(ISERROR(SEARCH("欠",V926)))</formula>
    </cfRule>
  </conditionalFormatting>
  <conditionalFormatting sqref="V928:V933">
    <cfRule type="containsText" dxfId="1" priority="483" operator="between" text="欠">
      <formula>NOT(ISERROR(SEARCH("欠",V928)))</formula>
    </cfRule>
  </conditionalFormatting>
  <conditionalFormatting sqref="V934:V936">
    <cfRule type="cellIs" dxfId="0" priority="492" operator="equal">
      <formula>"欠"</formula>
    </cfRule>
    <cfRule type="containsText" dxfId="1" priority="493" operator="between" text="欠">
      <formula>NOT(ISERROR(SEARCH("欠",V934)))</formula>
    </cfRule>
  </conditionalFormatting>
  <conditionalFormatting sqref="V938:V946">
    <cfRule type="containsText" dxfId="1" priority="433" operator="between" text="欠">
      <formula>NOT(ISERROR(SEARCH("欠",V938)))</formula>
    </cfRule>
  </conditionalFormatting>
  <conditionalFormatting sqref="V948:V954">
    <cfRule type="containsText" dxfId="1" priority="398" operator="between" text="欠">
      <formula>NOT(ISERROR(SEARCH("欠",V948)))</formula>
    </cfRule>
  </conditionalFormatting>
  <conditionalFormatting sqref="V955:V956">
    <cfRule type="cellIs" dxfId="0" priority="399" operator="equal">
      <formula>"欠"</formula>
    </cfRule>
    <cfRule type="containsText" dxfId="1" priority="400" operator="between" text="欠">
      <formula>NOT(ISERROR(SEARCH("欠",V955)))</formula>
    </cfRule>
  </conditionalFormatting>
  <conditionalFormatting sqref="V957:V958">
    <cfRule type="cellIs" dxfId="0" priority="557" operator="equal">
      <formula>"欠"</formula>
    </cfRule>
    <cfRule type="containsText" dxfId="1" priority="558" operator="between" text="欠">
      <formula>NOT(ISERROR(SEARCH("欠",V957)))</formula>
    </cfRule>
  </conditionalFormatting>
  <conditionalFormatting sqref="V960:V961">
    <cfRule type="containsText" dxfId="1" priority="446" operator="between" text="欠">
      <formula>NOT(ISERROR(SEARCH("欠",V960)))</formula>
    </cfRule>
  </conditionalFormatting>
  <conditionalFormatting sqref="V1000:V1008">
    <cfRule type="cellIs" dxfId="0" priority="327" operator="equal">
      <formula>"欠"</formula>
    </cfRule>
    <cfRule type="containsText" dxfId="1" priority="328" operator="between" text="欠">
      <formula>NOT(ISERROR(SEARCH("欠",V1000)))</formula>
    </cfRule>
  </conditionalFormatting>
  <conditionalFormatting sqref="V1014:V1018">
    <cfRule type="cellIs" dxfId="0" priority="250" operator="equal">
      <formula>"欠"</formula>
    </cfRule>
    <cfRule type="containsText" dxfId="1" priority="251" operator="between" text="欠">
      <formula>NOT(ISERROR(SEARCH("欠",V1014)))</formula>
    </cfRule>
  </conditionalFormatting>
  <conditionalFormatting sqref="V1020:V1021">
    <cfRule type="cellIs" dxfId="0" priority="276" operator="equal">
      <formula>"欠"</formula>
    </cfRule>
    <cfRule type="containsText" dxfId="1" priority="277" operator="between" text="欠">
      <formula>NOT(ISERROR(SEARCH("欠",V1020)))</formula>
    </cfRule>
  </conditionalFormatting>
  <conditionalFormatting sqref="V1024:V1025">
    <cfRule type="cellIs" dxfId="0" priority="130" operator="equal">
      <formula>"欠"</formula>
    </cfRule>
    <cfRule type="containsText" dxfId="1" priority="132" operator="between" text="欠">
      <formula>NOT(ISERROR(SEARCH("欠",V1024)))</formula>
    </cfRule>
  </conditionalFormatting>
  <conditionalFormatting sqref="V1036:V1037">
    <cfRule type="cellIs" dxfId="0" priority="157" operator="equal">
      <formula>"欠"</formula>
    </cfRule>
    <cfRule type="containsText" dxfId="1" priority="160" operator="between" text="欠">
      <formula>NOT(ISERROR(SEARCH("欠",V1036)))</formula>
    </cfRule>
  </conditionalFormatting>
  <conditionalFormatting sqref="V1044:V1046">
    <cfRule type="cellIs" dxfId="0" priority="32" operator="equal">
      <formula>"欠"</formula>
    </cfRule>
    <cfRule type="containsText" dxfId="1" priority="33" operator="between" text="欠">
      <formula>NOT(ISERROR(SEARCH("欠",V1044)))</formula>
    </cfRule>
  </conditionalFormatting>
  <conditionalFormatting sqref="V1045:V1046">
    <cfRule type="cellIs" dxfId="0" priority="25" operator="equal">
      <formula>"欠"</formula>
    </cfRule>
    <cfRule type="containsText" dxfId="1" priority="26" operator="between" text="欠">
      <formula>NOT(ISERROR(SEARCH("欠",V1045)))</formula>
    </cfRule>
  </conditionalFormatting>
  <conditionalFormatting sqref="V1061:V1073">
    <cfRule type="cellIs" dxfId="0" priority="266" operator="equal">
      <formula>"欠"</formula>
    </cfRule>
    <cfRule type="containsText" dxfId="1" priority="267" operator="between" text="欠">
      <formula>NOT(ISERROR(SEARCH("欠",V1061)))</formula>
    </cfRule>
  </conditionalFormatting>
  <conditionalFormatting sqref="W154:W156">
    <cfRule type="containsText" dxfId="1" priority="2213" operator="between" text="欠">
      <formula>NOT(ISERROR(SEARCH("欠",W154)))</formula>
    </cfRule>
  </conditionalFormatting>
  <conditionalFormatting sqref="W169:W170">
    <cfRule type="containsText" dxfId="1" priority="2074" operator="between" text="欠">
      <formula>NOT(ISERROR(SEARCH("欠",W169)))</formula>
    </cfRule>
  </conditionalFormatting>
  <conditionalFormatting sqref="W244:W245">
    <cfRule type="containsText" dxfId="1" priority="1915" operator="between" text="欠">
      <formula>NOT(ISERROR(SEARCH("欠",W244)))</formula>
    </cfRule>
  </conditionalFormatting>
  <conditionalFormatting sqref="W247:W248">
    <cfRule type="containsText" dxfId="1" priority="1913" operator="between" text="欠">
      <formula>NOT(ISERROR(SEARCH("欠",W247)))</formula>
    </cfRule>
  </conditionalFormatting>
  <conditionalFormatting sqref="W256:W257">
    <cfRule type="containsText" dxfId="1" priority="1900" operator="between" text="欠">
      <formula>NOT(ISERROR(SEARCH("欠",W256)))</formula>
    </cfRule>
  </conditionalFormatting>
  <conditionalFormatting sqref="W397:W402">
    <cfRule type="containsText" dxfId="1" priority="1661" operator="between" text="欠">
      <formula>NOT(ISERROR(SEARCH("欠",W397)))</formula>
    </cfRule>
  </conditionalFormatting>
  <conditionalFormatting sqref="W403:W404">
    <cfRule type="containsText" dxfId="1" priority="1667" operator="between" text="欠">
      <formula>NOT(ISERROR(SEARCH("欠",W403)))</formula>
    </cfRule>
  </conditionalFormatting>
  <conditionalFormatting sqref="W445:W452">
    <cfRule type="containsText" dxfId="1" priority="1614" operator="between" text="欠">
      <formula>NOT(ISERROR(SEARCH("欠",W445)))</formula>
    </cfRule>
  </conditionalFormatting>
  <conditionalFormatting sqref="W547:W553">
    <cfRule type="containsText" dxfId="1" priority="1384" operator="between" text="欠">
      <formula>NOT(ISERROR(SEARCH("欠",W547)))</formula>
    </cfRule>
  </conditionalFormatting>
  <conditionalFormatting sqref="W574:W575">
    <cfRule type="containsText" dxfId="1" priority="1151" operator="between" text="欠">
      <formula>NOT(ISERROR(SEARCH("欠",W574)))</formula>
    </cfRule>
  </conditionalFormatting>
  <conditionalFormatting sqref="W576:W578">
    <cfRule type="containsText" dxfId="1" priority="1147" operator="between" text="欠">
      <formula>NOT(ISERROR(SEARCH("欠",W576)))</formula>
    </cfRule>
  </conditionalFormatting>
  <conditionalFormatting sqref="W632:W633">
    <cfRule type="containsText" dxfId="1" priority="1053" operator="between" text="欠">
      <formula>NOT(ISERROR(SEARCH("欠",W632)))</formula>
    </cfRule>
  </conditionalFormatting>
  <conditionalFormatting sqref="W784:W786">
    <cfRule type="containsText" dxfId="1" priority="776" operator="between" text="欠">
      <formula>NOT(ISERROR(SEARCH("欠",W784)))</formula>
    </cfRule>
  </conditionalFormatting>
  <conditionalFormatting sqref="W830:W831">
    <cfRule type="containsText" dxfId="1" priority="770" operator="between" text="欠">
      <formula>NOT(ISERROR(SEARCH("欠",W830)))</formula>
    </cfRule>
  </conditionalFormatting>
  <conditionalFormatting sqref="W888:W889">
    <cfRule type="containsText" dxfId="1" priority="600" operator="between" text="欠">
      <formula>NOT(ISERROR(SEARCH("欠",W888)))</formula>
    </cfRule>
  </conditionalFormatting>
  <conditionalFormatting sqref="W917:W920">
    <cfRule type="containsText" dxfId="1" priority="616" operator="between" text="欠">
      <formula>NOT(ISERROR(SEARCH("欠",W917)))</formula>
    </cfRule>
  </conditionalFormatting>
  <conditionalFormatting sqref="W924:W925">
    <cfRule type="containsText" dxfId="1" priority="560" operator="between" text="欠">
      <formula>NOT(ISERROR(SEARCH("欠",W924)))</formula>
    </cfRule>
  </conditionalFormatting>
  <conditionalFormatting sqref="W934:W936">
    <cfRule type="containsText" dxfId="1" priority="495" operator="between" text="欠">
      <formula>NOT(ISERROR(SEARCH("欠",W934)))</formula>
    </cfRule>
  </conditionalFormatting>
  <conditionalFormatting sqref="W955:W956">
    <cfRule type="containsText" dxfId="1" priority="402" operator="between" text="欠">
      <formula>NOT(ISERROR(SEARCH("欠",W955)))</formula>
    </cfRule>
  </conditionalFormatting>
  <conditionalFormatting sqref="W957:W958">
    <cfRule type="containsText" dxfId="1" priority="555" operator="between" text="欠">
      <formula>NOT(ISERROR(SEARCH("欠",W957)))</formula>
    </cfRule>
  </conditionalFormatting>
  <conditionalFormatting sqref="W1030:W1031">
    <cfRule type="containsText" dxfId="1" priority="108" operator="between" text="欠">
      <formula>NOT(ISERROR(SEARCH("欠",W1030)))</formula>
    </cfRule>
  </conditionalFormatting>
  <conditionalFormatting sqref="W1044:W1046">
    <cfRule type="containsText" dxfId="1" priority="46" operator="between" text="欠">
      <formula>NOT(ISERROR(SEARCH("欠",W1044)))</formula>
    </cfRule>
  </conditionalFormatting>
  <conditionalFormatting sqref="W1045:W1046">
    <cfRule type="containsText" dxfId="1" priority="23" operator="between" text="欠">
      <formula>NOT(ISERROR(SEARCH("欠",W1045)))</formula>
    </cfRule>
  </conditionalFormatting>
  <conditionalFormatting sqref="W1051:W1055">
    <cfRule type="containsText" dxfId="1" priority="84" operator="between" text="欠">
      <formula>NOT(ISERROR(SEARCH("欠",W1051)))</formula>
    </cfRule>
  </conditionalFormatting>
  <conditionalFormatting sqref="W1059:W1060">
    <cfRule type="containsText" dxfId="1" priority="63" operator="between" text="欠">
      <formula>NOT(ISERROR(SEARCH("欠",W1059)))</formula>
    </cfRule>
  </conditionalFormatting>
  <conditionalFormatting sqref="W1060:W1073">
    <cfRule type="containsText" dxfId="1" priority="268" operator="between" text="欠">
      <formula>NOT(ISERROR(SEARCH("欠",W1060)))</formula>
    </cfRule>
  </conditionalFormatting>
  <conditionalFormatting sqref="X37:X38">
    <cfRule type="containsText" dxfId="1" priority="2377" operator="between" text="欠">
      <formula>NOT(ISERROR(SEARCH("欠",X37)))</formula>
    </cfRule>
  </conditionalFormatting>
  <conditionalFormatting sqref="X154:X156">
    <cfRule type="containsText" dxfId="1" priority="2165" operator="between" text="欠">
      <formula>NOT(ISERROR(SEARCH("欠",X154)))</formula>
    </cfRule>
  </conditionalFormatting>
  <conditionalFormatting sqref="X162:X163">
    <cfRule type="containsText" dxfId="1" priority="2097" operator="between" text="欠">
      <formula>NOT(ISERROR(SEARCH("欠",X162)))</formula>
    </cfRule>
  </conditionalFormatting>
  <conditionalFormatting sqref="X167:X168">
    <cfRule type="containsText" dxfId="1" priority="2017" operator="between" text="欠">
      <formula>NOT(ISERROR(SEARCH("欠",X167)))</formula>
    </cfRule>
  </conditionalFormatting>
  <conditionalFormatting sqref="X169:X170">
    <cfRule type="containsText" dxfId="1" priority="2082" operator="between" text="欠">
      <formula>NOT(ISERROR(SEARCH("欠",X169)))</formula>
    </cfRule>
  </conditionalFormatting>
  <conditionalFormatting sqref="X182:X183">
    <cfRule type="containsText" dxfId="1" priority="1921" operator="between" text="欠">
      <formula>NOT(ISERROR(SEARCH("欠",X182)))</formula>
    </cfRule>
  </conditionalFormatting>
  <conditionalFormatting sqref="X247:X248">
    <cfRule type="containsText" dxfId="1" priority="1911" operator="between" text="欠">
      <formula>NOT(ISERROR(SEARCH("欠",X247)))</formula>
    </cfRule>
  </conditionalFormatting>
  <conditionalFormatting sqref="X256:X257">
    <cfRule type="containsText" dxfId="1" priority="1876" operator="between" text="欠">
      <formula>NOT(ISERROR(SEARCH("欠",X256)))</formula>
    </cfRule>
  </conditionalFormatting>
  <conditionalFormatting sqref="X323:X326">
    <cfRule type="containsText" dxfId="1" priority="1729" operator="between" text="欠">
      <formula>NOT(ISERROR(SEARCH("欠",X323)))</formula>
    </cfRule>
  </conditionalFormatting>
  <conditionalFormatting sqref="X350:X356">
    <cfRule type="containsText" dxfId="1" priority="1760" operator="between" text="欠">
      <formula>NOT(ISERROR(SEARCH("欠",X350)))</formula>
    </cfRule>
  </conditionalFormatting>
  <conditionalFormatting sqref="X357:X358">
    <cfRule type="containsText" dxfId="1" priority="1720" operator="between" text="欠">
      <formula>NOT(ISERROR(SEARCH("欠",X357)))</formula>
    </cfRule>
  </conditionalFormatting>
  <conditionalFormatting sqref="X359:X363">
    <cfRule type="containsText" dxfId="1" priority="1703" operator="between" text="欠">
      <formula>NOT(ISERROR(SEARCH("欠",X359)))</formula>
    </cfRule>
  </conditionalFormatting>
  <conditionalFormatting sqref="X430:X439">
    <cfRule type="containsText" dxfId="1" priority="1466" operator="between" text="欠">
      <formula>NOT(ISERROR(SEARCH("欠",X430)))</formula>
    </cfRule>
  </conditionalFormatting>
  <conditionalFormatting sqref="X440:X452">
    <cfRule type="containsText" dxfId="1" priority="1560" operator="between" text="欠">
      <formula>NOT(ISERROR(SEARCH("欠",X440)))</formula>
    </cfRule>
  </conditionalFormatting>
  <conditionalFormatting sqref="X453:X470">
    <cfRule type="containsText" dxfId="1" priority="1604" operator="between" text="欠">
      <formula>NOT(ISERROR(SEARCH("欠",X453)))</formula>
    </cfRule>
  </conditionalFormatting>
  <conditionalFormatting sqref="X521:X536">
    <cfRule type="containsText" dxfId="1" priority="1325" operator="between" text="欠">
      <formula>NOT(ISERROR(SEARCH("欠",X521)))</formula>
    </cfRule>
  </conditionalFormatting>
  <conditionalFormatting sqref="X537:X545">
    <cfRule type="containsText" dxfId="1" priority="1211" operator="between" text="欠">
      <formula>NOT(ISERROR(SEARCH("欠",X537)))</formula>
    </cfRule>
  </conditionalFormatting>
  <conditionalFormatting sqref="X547:X553">
    <cfRule type="containsText" dxfId="1" priority="1383" operator="between" text="欠">
      <formula>NOT(ISERROR(SEARCH("欠",X547)))</formula>
    </cfRule>
  </conditionalFormatting>
  <conditionalFormatting sqref="X564:X565">
    <cfRule type="containsText" dxfId="1" priority="1156" operator="between" text="欠">
      <formula>NOT(ISERROR(SEARCH("欠",X564)))</formula>
    </cfRule>
  </conditionalFormatting>
  <conditionalFormatting sqref="X574:X575">
    <cfRule type="containsText" dxfId="1" priority="1149" operator="between" text="欠">
      <formula>NOT(ISERROR(SEARCH("欠",X574)))</formula>
    </cfRule>
  </conditionalFormatting>
  <conditionalFormatting sqref="X576:X578">
    <cfRule type="containsText" dxfId="1" priority="1145" operator="between" text="欠">
      <formula>NOT(ISERROR(SEARCH("欠",X576)))</formula>
    </cfRule>
  </conditionalFormatting>
  <conditionalFormatting sqref="X618:X619">
    <cfRule type="containsText" dxfId="1" priority="1092" operator="between" text="欠">
      <formula>NOT(ISERROR(SEARCH("欠",X618)))</formula>
    </cfRule>
  </conditionalFormatting>
  <conditionalFormatting sqref="X626:X629">
    <cfRule type="containsText" dxfId="1" priority="982" operator="between" text="欠">
      <formula>NOT(ISERROR(SEARCH("欠",X626)))</formula>
    </cfRule>
  </conditionalFormatting>
  <conditionalFormatting sqref="X631:X633">
    <cfRule type="containsText" dxfId="1" priority="1045" operator="between" text="欠">
      <formula>NOT(ISERROR(SEARCH("欠",X631)))</formula>
    </cfRule>
  </conditionalFormatting>
  <conditionalFormatting sqref="X648:X654">
    <cfRule type="containsText" dxfId="1" priority="1040" operator="between" text="欠">
      <formula>NOT(ISERROR(SEARCH("欠",X648)))</formula>
    </cfRule>
  </conditionalFormatting>
  <conditionalFormatting sqref="X692:X694">
    <cfRule type="containsText" dxfId="1" priority="971" operator="between" text="欠">
      <formula>NOT(ISERROR(SEARCH("欠",X692)))</formula>
    </cfRule>
  </conditionalFormatting>
  <conditionalFormatting sqref="X704:X705">
    <cfRule type="containsText" dxfId="1" priority="926" operator="between" text="欠">
      <formula>NOT(ISERROR(SEARCH("欠",X704)))</formula>
    </cfRule>
  </conditionalFormatting>
  <conditionalFormatting sqref="X725:X726">
    <cfRule type="containsText" dxfId="1" priority="912" operator="between" text="欠">
      <formula>NOT(ISERROR(SEARCH("欠",X725)))</formula>
    </cfRule>
  </conditionalFormatting>
  <conditionalFormatting sqref="X830:X831">
    <cfRule type="containsText" dxfId="1" priority="747" operator="between" text="欠">
      <formula>NOT(ISERROR(SEARCH("欠",X830)))</formula>
    </cfRule>
  </conditionalFormatting>
  <conditionalFormatting sqref="X834:X837">
    <cfRule type="containsText" dxfId="1" priority="780" operator="between" text="欠">
      <formula>NOT(ISERROR(SEARCH("欠",X834)))</formula>
    </cfRule>
  </conditionalFormatting>
  <conditionalFormatting sqref="X846:X849">
    <cfRule type="containsText" dxfId="1" priority="677" operator="between" text="欠">
      <formula>NOT(ISERROR(SEARCH("欠",X846)))</formula>
    </cfRule>
  </conditionalFormatting>
  <conditionalFormatting sqref="X866:X867">
    <cfRule type="containsText" dxfId="1" priority="666" operator="between" text="欠">
      <formula>NOT(ISERROR(SEARCH("欠",X866)))</formula>
    </cfRule>
  </conditionalFormatting>
  <conditionalFormatting sqref="X868:X873">
    <cfRule type="containsText" dxfId="1" priority="643" operator="between" text="欠">
      <formula>NOT(ISERROR(SEARCH("欠",X868)))</formula>
    </cfRule>
  </conditionalFormatting>
  <conditionalFormatting sqref="X876:X882">
    <cfRule type="containsText" dxfId="1" priority="662" operator="between" text="欠">
      <formula>NOT(ISERROR(SEARCH("欠",X876)))</formula>
    </cfRule>
  </conditionalFormatting>
  <conditionalFormatting sqref="X886:X887">
    <cfRule type="containsText" dxfId="1" priority="681" operator="between" text="欠">
      <formula>NOT(ISERROR(SEARCH("欠",X886)))</formula>
    </cfRule>
  </conditionalFormatting>
  <conditionalFormatting sqref="X888:X889">
    <cfRule type="containsText" dxfId="1" priority="568" operator="between" text="欠">
      <formula>NOT(ISERROR(SEARCH("欠",X888)))</formula>
    </cfRule>
  </conditionalFormatting>
  <conditionalFormatting sqref="X910:X916">
    <cfRule type="containsText" dxfId="1" priority="521" operator="between" text="欠">
      <formula>NOT(ISERROR(SEARCH("欠",X910)))</formula>
    </cfRule>
  </conditionalFormatting>
  <conditionalFormatting sqref="X926:X927">
    <cfRule type="containsText" dxfId="1" priority="485" operator="between" text="欠">
      <formula>NOT(ISERROR(SEARCH("欠",X926)))</formula>
    </cfRule>
  </conditionalFormatting>
  <conditionalFormatting sqref="X928:X933">
    <cfRule type="containsText" dxfId="1" priority="471" operator="between" text="欠">
      <formula>NOT(ISERROR(SEARCH("欠",X928)))</formula>
    </cfRule>
  </conditionalFormatting>
  <conditionalFormatting sqref="X934:X936">
    <cfRule type="containsText" dxfId="1" priority="494" operator="between" text="欠">
      <formula>NOT(ISERROR(SEARCH("欠",X934)))</formula>
    </cfRule>
  </conditionalFormatting>
  <conditionalFormatting sqref="X938:X946">
    <cfRule type="containsText" dxfId="1" priority="413" operator="between" text="欠">
      <formula>NOT(ISERROR(SEARCH("欠",X938)))</formula>
    </cfRule>
  </conditionalFormatting>
  <conditionalFormatting sqref="X948:X954">
    <cfRule type="containsText" dxfId="1" priority="384" operator="between" text="欠">
      <formula>NOT(ISERROR(SEARCH("欠",X948)))</formula>
    </cfRule>
  </conditionalFormatting>
  <conditionalFormatting sqref="X955:X956">
    <cfRule type="containsText" dxfId="1" priority="401" operator="between" text="欠">
      <formula>NOT(ISERROR(SEARCH("欠",X955)))</formula>
    </cfRule>
  </conditionalFormatting>
  <conditionalFormatting sqref="X960:X961">
    <cfRule type="containsText" dxfId="1" priority="445" operator="between" text="欠">
      <formula>NOT(ISERROR(SEARCH("欠",X960)))</formula>
    </cfRule>
  </conditionalFormatting>
  <conditionalFormatting sqref="X1000:X1008">
    <cfRule type="containsText" dxfId="1" priority="331" operator="between" text="欠">
      <formula>NOT(ISERROR(SEARCH("欠",X1000)))</formula>
    </cfRule>
  </conditionalFormatting>
  <conditionalFormatting sqref="X1014:X1018">
    <cfRule type="containsText" dxfId="1" priority="252" operator="between" text="欠">
      <formula>NOT(ISERROR(SEARCH("欠",X1014)))</formula>
    </cfRule>
  </conditionalFormatting>
  <conditionalFormatting sqref="X1020:X1021">
    <cfRule type="containsText" dxfId="1" priority="265" operator="between" text="欠">
      <formula>NOT(ISERROR(SEARCH("欠",X1020)))</formula>
    </cfRule>
  </conditionalFormatting>
  <conditionalFormatting sqref="X1024:X1025">
    <cfRule type="containsText" dxfId="1" priority="134" operator="between" text="欠">
      <formula>NOT(ISERROR(SEARCH("欠",X1024)))</formula>
    </cfRule>
  </conditionalFormatting>
  <conditionalFormatting sqref="X1029:X1031">
    <cfRule type="containsText" dxfId="1" priority="119" operator="between" text="欠">
      <formula>NOT(ISERROR(SEARCH("欠",X1029)))</formula>
    </cfRule>
  </conditionalFormatting>
  <conditionalFormatting sqref="X1036:X1037">
    <cfRule type="containsText" dxfId="1" priority="169" operator="between" text="欠">
      <formula>NOT(ISERROR(SEARCH("欠",X1036)))</formula>
    </cfRule>
  </conditionalFormatting>
  <conditionalFormatting sqref="X1039:X1041">
    <cfRule type="containsText" dxfId="1" priority="172" operator="between" text="欠">
      <formula>NOT(ISERROR(SEARCH("欠",X1039)))</formula>
    </cfRule>
  </conditionalFormatting>
  <conditionalFormatting sqref="X1044:X1046">
    <cfRule type="containsText" dxfId="1" priority="45" operator="between" text="欠">
      <formula>NOT(ISERROR(SEARCH("欠",X1044)))</formula>
    </cfRule>
  </conditionalFormatting>
  <conditionalFormatting sqref="X1045:X1046">
    <cfRule type="containsText" dxfId="1" priority="22" operator="between" text="欠">
      <formula>NOT(ISERROR(SEARCH("欠",X1045)))</formula>
    </cfRule>
  </conditionalFormatting>
  <conditionalFormatting sqref="X1051:X1055">
    <cfRule type="containsText" dxfId="1" priority="75" operator="between" text="欠">
      <formula>NOT(ISERROR(SEARCH("欠",X1051)))</formula>
    </cfRule>
  </conditionalFormatting>
  <conditionalFormatting sqref="X1057:X1060">
    <cfRule type="containsText" dxfId="1" priority="62" operator="between" text="欠">
      <formula>NOT(ISERROR(SEARCH("欠",X1057)))</formula>
    </cfRule>
  </conditionalFormatting>
  <conditionalFormatting sqref="X1061:X1073">
    <cfRule type="containsText" dxfId="1" priority="270" operator="between" text="欠">
      <formula>NOT(ISERROR(SEARCH("欠",X1061)))</formula>
    </cfRule>
  </conditionalFormatting>
  <conditionalFormatting sqref="Y32:Y33">
    <cfRule type="containsText" dxfId="1" priority="2531" operator="between" text="欠">
      <formula>NOT(ISERROR(SEARCH("欠",Y32)))</formula>
    </cfRule>
  </conditionalFormatting>
  <conditionalFormatting sqref="Y80:Y83">
    <cfRule type="containsText" dxfId="1" priority="2325" operator="between" text="欠">
      <formula>NOT(ISERROR(SEARCH("欠",Y80)))</formula>
    </cfRule>
  </conditionalFormatting>
  <conditionalFormatting sqref="Y93:Y94">
    <cfRule type="containsText" dxfId="1" priority="2217" operator="between" text="欠">
      <formula>NOT(ISERROR(SEARCH("欠",Y93)))</formula>
    </cfRule>
  </conditionalFormatting>
  <conditionalFormatting sqref="Y112:Y115">
    <cfRule type="containsText" dxfId="1" priority="2243" operator="between" text="欠">
      <formula>NOT(ISERROR(SEARCH("欠",Y112)))</formula>
    </cfRule>
  </conditionalFormatting>
  <conditionalFormatting sqref="Y154:Y156">
    <cfRule type="containsText" dxfId="1" priority="2163" operator="between" text="欠">
      <formula>NOT(ISERROR(SEARCH("欠",Y154)))</formula>
    </cfRule>
  </conditionalFormatting>
  <conditionalFormatting sqref="Y169:Y172">
    <cfRule type="containsText" dxfId="1" priority="2019" operator="between" text="欠">
      <formula>NOT(ISERROR(SEARCH("欠",Y169)))</formula>
    </cfRule>
  </conditionalFormatting>
  <conditionalFormatting sqref="Y187:Y188">
    <cfRule type="containsText" dxfId="1" priority="1919" operator="between" text="欠">
      <formula>NOT(ISERROR(SEARCH("欠",Y187)))</formula>
    </cfRule>
  </conditionalFormatting>
  <conditionalFormatting sqref="Y247:Y248">
    <cfRule type="containsText" dxfId="1" priority="1927" operator="between" text="欠">
      <formula>NOT(ISERROR(SEARCH("欠",Y247)))</formula>
    </cfRule>
  </conditionalFormatting>
  <conditionalFormatting sqref="Y352:Y356">
    <cfRule type="containsText" dxfId="1" priority="1766" operator="between" text="欠">
      <formula>NOT(ISERROR(SEARCH("欠",Y352)))</formula>
    </cfRule>
  </conditionalFormatting>
  <conditionalFormatting sqref="Y359:Y363">
    <cfRule type="containsText" dxfId="1" priority="1705" operator="between" text="欠">
      <formula>NOT(ISERROR(SEARCH("欠",Y359)))</formula>
    </cfRule>
  </conditionalFormatting>
  <conditionalFormatting sqref="Y403:Y404">
    <cfRule type="containsText" dxfId="1" priority="1666" operator="between" text="欠">
      <formula>NOT(ISERROR(SEARCH("欠",Y403)))</formula>
    </cfRule>
  </conditionalFormatting>
  <conditionalFormatting sqref="Y440:Y452">
    <cfRule type="containsText" dxfId="1" priority="1425" operator="between" text="欠">
      <formula>NOT(ISERROR(SEARCH("欠",Y440)))</formula>
    </cfRule>
  </conditionalFormatting>
  <conditionalFormatting sqref="Y521:Y536">
    <cfRule type="containsText" dxfId="1" priority="1357" operator="between" text="欠">
      <formula>NOT(ISERROR(SEARCH("欠",Y521)))</formula>
    </cfRule>
  </conditionalFormatting>
  <conditionalFormatting sqref="Y537:Y545">
    <cfRule type="containsText" dxfId="1" priority="1180" operator="between" text="欠">
      <formula>NOT(ISERROR(SEARCH("欠",Y537)))</formula>
    </cfRule>
  </conditionalFormatting>
  <conditionalFormatting sqref="Y547:Y553">
    <cfRule type="containsText" dxfId="1" priority="1385" operator="between" text="欠">
      <formula>NOT(ISERROR(SEARCH("欠",Y547)))</formula>
    </cfRule>
  </conditionalFormatting>
  <conditionalFormatting sqref="Y574:Y575">
    <cfRule type="containsText" dxfId="1" priority="1148" operator="between" text="欠">
      <formula>NOT(ISERROR(SEARCH("欠",Y574)))</formula>
    </cfRule>
  </conditionalFormatting>
  <conditionalFormatting sqref="Y620:Y621">
    <cfRule type="containsText" dxfId="1" priority="1131" operator="between" text="欠">
      <formula>NOT(ISERROR(SEARCH("欠",Y620)))</formula>
    </cfRule>
  </conditionalFormatting>
  <conditionalFormatting sqref="Y631:Y633">
    <cfRule type="containsText" dxfId="1" priority="1044" operator="between" text="欠">
      <formula>NOT(ISERROR(SEARCH("欠",Y631)))</formula>
    </cfRule>
  </conditionalFormatting>
  <conditionalFormatting sqref="Y637:Y638">
    <cfRule type="containsText" dxfId="1" priority="1060" operator="between" text="欠">
      <formula>NOT(ISERROR(SEARCH("欠",Y637)))</formula>
    </cfRule>
  </conditionalFormatting>
  <conditionalFormatting sqref="Y640:Y643">
    <cfRule type="containsText" dxfId="1" priority="1135" operator="between" text="欠">
      <formula>NOT(ISERROR(SEARCH("欠",Y640)))</formula>
    </cfRule>
  </conditionalFormatting>
  <conditionalFormatting sqref="Y696:Y702">
    <cfRule type="containsText" dxfId="1" priority="953" operator="between" text="欠">
      <formula>NOT(ISERROR(SEARCH("欠",Y696)))</formula>
    </cfRule>
  </conditionalFormatting>
  <conditionalFormatting sqref="Y707:Y713">
    <cfRule type="containsText" dxfId="1" priority="911" operator="between" text="欠">
      <formula>NOT(ISERROR(SEARCH("欠",Y707)))</formula>
    </cfRule>
  </conditionalFormatting>
  <conditionalFormatting sqref="Y757:Y758">
    <cfRule type="containsText" dxfId="1" priority="791" operator="between" text="欠">
      <formula>NOT(ISERROR(SEARCH("欠",Y757)))</formula>
    </cfRule>
  </conditionalFormatting>
  <conditionalFormatting sqref="Y784:Y785">
    <cfRule type="containsText" dxfId="1" priority="774" operator="between" text="欠">
      <formula>NOT(ISERROR(SEARCH("欠",Y784)))</formula>
    </cfRule>
  </conditionalFormatting>
  <conditionalFormatting sqref="Y788:Y789">
    <cfRule type="containsText" dxfId="1" priority="722" operator="between" text="欠">
      <formula>NOT(ISERROR(SEARCH("欠",Y788)))</formula>
    </cfRule>
  </conditionalFormatting>
  <conditionalFormatting sqref="Y820:Y826">
    <cfRule type="containsText" dxfId="1" priority="688" operator="between" text="欠">
      <formula>NOT(ISERROR(SEARCH("欠",Y820)))</formula>
    </cfRule>
  </conditionalFormatting>
  <conditionalFormatting sqref="Y888:Y889">
    <cfRule type="containsText" dxfId="1" priority="569" operator="between" text="欠">
      <formula>NOT(ISERROR(SEARCH("欠",Y888)))</formula>
    </cfRule>
  </conditionalFormatting>
  <conditionalFormatting sqref="Y893:Y900">
    <cfRule type="containsText" dxfId="1" priority="583" operator="between" text="欠">
      <formula>NOT(ISERROR(SEARCH("欠",Y893)))</formula>
    </cfRule>
  </conditionalFormatting>
  <conditionalFormatting sqref="Y910:Y916">
    <cfRule type="containsText" dxfId="1" priority="528" operator="between" text="欠">
      <formula>NOT(ISERROR(SEARCH("欠",Y910)))</formula>
    </cfRule>
  </conditionalFormatting>
  <conditionalFormatting sqref="Y917:Y920">
    <cfRule type="containsText" dxfId="1" priority="618" operator="between" text="欠">
      <formula>NOT(ISERROR(SEARCH("欠",Y917)))</formula>
    </cfRule>
  </conditionalFormatting>
  <conditionalFormatting sqref="Y926:Y927">
    <cfRule type="containsText" dxfId="1" priority="491" operator="between" text="欠">
      <formula>NOT(ISERROR(SEARCH("欠",Y926)))</formula>
    </cfRule>
  </conditionalFormatting>
  <conditionalFormatting sqref="Y928:Y933">
    <cfRule type="containsText" dxfId="1" priority="477" operator="between" text="欠">
      <formula>NOT(ISERROR(SEARCH("欠",Y928)))</formula>
    </cfRule>
  </conditionalFormatting>
  <conditionalFormatting sqref="Y948:Y954">
    <cfRule type="containsText" dxfId="1" priority="391" operator="between" text="欠">
      <formula>NOT(ISERROR(SEARCH("欠",Y948)))</formula>
    </cfRule>
  </conditionalFormatting>
  <conditionalFormatting sqref="Y955:Y956">
    <cfRule type="containsText" dxfId="1" priority="403" operator="between" text="欠">
      <formula>NOT(ISERROR(SEARCH("欠",Y955)))</formula>
    </cfRule>
  </conditionalFormatting>
  <conditionalFormatting sqref="Y960:Y961">
    <cfRule type="containsText" dxfId="1" priority="444" operator="between" text="欠">
      <formula>NOT(ISERROR(SEARCH("欠",Y960)))</formula>
    </cfRule>
  </conditionalFormatting>
  <conditionalFormatting sqref="Y983:Y987">
    <cfRule type="containsText" dxfId="1" priority="344" operator="between" text="欠">
      <formula>NOT(ISERROR(SEARCH("欠",Y983)))</formula>
    </cfRule>
  </conditionalFormatting>
  <conditionalFormatting sqref="Y989:Y990">
    <cfRule type="containsText" dxfId="1" priority="343" operator="between" text="欠">
      <formula>NOT(ISERROR(SEARCH("欠",Y989)))</formula>
    </cfRule>
  </conditionalFormatting>
  <conditionalFormatting sqref="Y1036:Y1037">
    <cfRule type="containsText" dxfId="1" priority="123" operator="between" text="欠">
      <formula>NOT(ISERROR(SEARCH("欠",Y1036)))</formula>
    </cfRule>
  </conditionalFormatting>
  <conditionalFormatting sqref="Y1044:Y1046">
    <cfRule type="containsText" dxfId="1" priority="47" operator="between" text="欠">
      <formula>NOT(ISERROR(SEARCH("欠",Y1044)))</formula>
    </cfRule>
  </conditionalFormatting>
  <conditionalFormatting sqref="Y1045:Y1046">
    <cfRule type="containsText" dxfId="1" priority="24" operator="between" text="欠">
      <formula>NOT(ISERROR(SEARCH("欠",Y1045)))</formula>
    </cfRule>
  </conditionalFormatting>
  <conditionalFormatting sqref="Y1053:Y1055">
    <cfRule type="containsText" dxfId="1" priority="87" operator="between" text="欠">
      <formula>NOT(ISERROR(SEARCH("欠",Y1053)))</formula>
    </cfRule>
  </conditionalFormatting>
  <conditionalFormatting sqref="Y1059:Y1060">
    <cfRule type="containsText" dxfId="1" priority="66" operator="between" text="欠">
      <formula>NOT(ISERROR(SEARCH("欠",Y1059)))</formula>
    </cfRule>
  </conditionalFormatting>
  <conditionalFormatting sqref="Y1060:Y1073">
    <cfRule type="containsText" dxfId="1" priority="269" operator="between" text="欠">
      <formula>NOT(ISERROR(SEARCH("欠",Y1060)))</formula>
    </cfRule>
  </conditionalFormatting>
  <conditionalFormatting sqref="W32:X33 V99:Y100 W96:Y96 V89:Y90 Y85:Y86 V178:Y178 Y168 V167:W168 V85:W85 W116:X116 Y68 V145:Y145 Y151:Y152 Y164 V108:X108 V138:Y143 V161:Y161 Y147:Y149 Y124 Y97 Y109 W91:Y91 Y48 V40:Y40 W39 V84:Y84 V37:W38 V71:Y74 V36:Y36 Y63 V34:Y34 Y75 Y37:Y39 W44:Y44 V60:Y62 Y43 V5:Y31 V45:Y47 W59:Y59 V76:X78 V64:Y67 V70:X70 Y55:Y58 W92:X94 V49:Y54 W42:Y42 Y79 Y41 V69:Y69 W120 W117 Y185 X179 Y190:Y198 V202:Y213 Y591:Y592 Y588:Y589 W272:Y274 V267:Y267 W280 W312:Y312 W264:Y266 V269:Y269 W277:Y279 Y280 Y268">
    <cfRule type="containsText" dxfId="1" priority="2547" operator="between" text="欠">
      <formula>NOT(ISERROR(SEARCH("欠",V5)))</formula>
    </cfRule>
  </conditionalFormatting>
  <conditionalFormatting sqref="V55:X55 V124:X124 V97:X97">
    <cfRule type="containsText" dxfId="1" priority="2391" operator="between" text="欠">
      <formula>NOT(ISERROR(SEARCH("欠",V55)))</formula>
    </cfRule>
  </conditionalFormatting>
  <conditionalFormatting sqref="V63:X63 W58:X58">
    <cfRule type="containsText" dxfId="1" priority="2389" operator="between" text="欠">
      <formula>NOT(ISERROR(SEARCH("欠",V58)))</formula>
    </cfRule>
  </conditionalFormatting>
  <conditionalFormatting sqref="V68 V75">
    <cfRule type="containsText" dxfId="1" priority="2385" operator="between" text="欠">
      <formula>NOT(ISERROR(SEARCH("欠",V68)))</formula>
    </cfRule>
  </conditionalFormatting>
  <conditionalFormatting sqref="W68:X68 W75:X75">
    <cfRule type="containsText" dxfId="1" priority="2387" operator="between" text="欠">
      <formula>NOT(ISERROR(SEARCH("欠",W68)))</formula>
    </cfRule>
  </conditionalFormatting>
  <conditionalFormatting sqref="V79:X79 W86">
    <cfRule type="containsText" dxfId="1" priority="2383" operator="between" text="欠">
      <formula>NOT(ISERROR(SEARCH("欠",V79)))</formula>
    </cfRule>
  </conditionalFormatting>
  <conditionalFormatting sqref="W80:X83 X86 V86">
    <cfRule type="containsText" dxfId="1" priority="2365" operator="between" text="欠">
      <formula>NOT(ISERROR(SEARCH("欠",V80)))</formula>
    </cfRule>
  </conditionalFormatting>
  <conditionalFormatting sqref="V87:Y87 Y88 V95:Y95">
    <cfRule type="containsText" dxfId="1" priority="2357" operator="between" text="欠">
      <formula>NOT(ISERROR(SEARCH("欠",V87)))</formula>
    </cfRule>
  </conditionalFormatting>
  <conditionalFormatting sqref="V88:X88 Y101:Y107">
    <cfRule type="containsText" dxfId="1" priority="2347" operator="between" text="欠">
      <formula>NOT(ISERROR(SEARCH("欠",V88)))</formula>
    </cfRule>
  </conditionalFormatting>
  <conditionalFormatting sqref="V98 V110:V111">
    <cfRule type="containsText" dxfId="1" priority="2267" operator="between" text="欠">
      <formula>NOT(ISERROR(SEARCH("欠",V98)))</formula>
    </cfRule>
  </conditionalFormatting>
  <conditionalFormatting sqref="W98 Y98">
    <cfRule type="containsText" dxfId="1" priority="2269" operator="between" text="欠">
      <formula>NOT(ISERROR(SEARCH("欠",W98)))</formula>
    </cfRule>
  </conditionalFormatting>
  <conditionalFormatting sqref="X98 X110:X111">
    <cfRule type="containsText" dxfId="1" priority="2251" operator="between" text="欠">
      <formula>NOT(ISERROR(SEARCH("欠",X98)))</formula>
    </cfRule>
  </conditionalFormatting>
  <conditionalFormatting sqref="V101:X101 X102:X107 V102:V107">
    <cfRule type="containsText" dxfId="1" priority="2335" operator="between" text="欠">
      <formula>NOT(ISERROR(SEARCH("欠",V101)))</formula>
    </cfRule>
  </conditionalFormatting>
  <conditionalFormatting sqref="V109 X109">
    <cfRule type="containsText" dxfId="1" priority="2361" operator="between" text="欠">
      <formula>NOT(ISERROR(SEARCH("欠",V109)))</formula>
    </cfRule>
  </conditionalFormatting>
  <conditionalFormatting sqref="W110 Y110">
    <cfRule type="containsText" dxfId="1" priority="2317" operator="between" text="欠">
      <formula>NOT(ISERROR(SEARCH("欠",W110)))</formula>
    </cfRule>
  </conditionalFormatting>
  <conditionalFormatting sqref="W111 Y111">
    <cfRule type="containsText" dxfId="1" priority="2313" operator="between" text="欠">
      <formula>NOT(ISERROR(SEARCH("欠",W111)))</formula>
    </cfRule>
  </conditionalFormatting>
  <conditionalFormatting sqref="X112:X113 V112:V113">
    <cfRule type="containsText" dxfId="1" priority="2259" operator="between" text="欠">
      <formula>NOT(ISERROR(SEARCH("欠",V112)))</formula>
    </cfRule>
  </conditionalFormatting>
  <conditionalFormatting sqref="V114:X114 V115 X115">
    <cfRule type="containsText" dxfId="1" priority="2264" operator="between" text="欠">
      <formula>NOT(ISERROR(SEARCH("欠",V114)))</formula>
    </cfRule>
  </conditionalFormatting>
  <conditionalFormatting sqref="Y116:Y117 Y120">
    <cfRule type="containsText" dxfId="1" priority="2153" operator="between" text="欠">
      <formula>NOT(ISERROR(SEARCH("欠",Y116)))</formula>
    </cfRule>
  </conditionalFormatting>
  <conditionalFormatting sqref="V117 V120">
    <cfRule type="containsText" dxfId="1" priority="2245" operator="between" text="欠">
      <formula>NOT(ISERROR(SEARCH("欠",V117)))</formula>
    </cfRule>
  </conditionalFormatting>
  <conditionalFormatting sqref="X117 X120">
    <cfRule type="containsText" dxfId="1" priority="2157" operator="between" text="欠">
      <formula>NOT(ISERROR(SEARCH("欠",X117)))</formula>
    </cfRule>
  </conditionalFormatting>
  <conditionalFormatting sqref="V118:Y118 V119:X119">
    <cfRule type="containsText" dxfId="1" priority="2273" operator="between" text="欠">
      <formula>NOT(ISERROR(SEARCH("欠",V118)))</formula>
    </cfRule>
  </conditionalFormatting>
  <conditionalFormatting sqref="V122:V123 V158:V160 V150">
    <cfRule type="containsText" dxfId="1" priority="2307" operator="between" text="欠">
      <formula>NOT(ISERROR(SEARCH("欠",V122)))</formula>
    </cfRule>
  </conditionalFormatting>
  <conditionalFormatting sqref="W122:Y123 W150:Y150">
    <cfRule type="containsText" dxfId="1" priority="2309" operator="between" text="欠">
      <formula>NOT(ISERROR(SEARCH("欠",W122)))</formula>
    </cfRule>
  </conditionalFormatting>
  <conditionalFormatting sqref="W125 Y125">
    <cfRule type="containsText" dxfId="1" priority="2207" operator="between" text="欠">
      <formula>NOT(ISERROR(SEARCH("欠",W125)))</formula>
    </cfRule>
  </conditionalFormatting>
  <conditionalFormatting sqref="V126:X126 V173">
    <cfRule type="containsText" dxfId="1" priority="2327" operator="between" text="欠">
      <formula>NOT(ISERROR(SEARCH("欠",V126)))</formula>
    </cfRule>
  </conditionalFormatting>
  <conditionalFormatting sqref="V131:W135 V128 V153 V179 V144:W144 V188:W188 V214:W217 W581:W582 W341:W345 W687 W677 W661 W289 W287 W332 W364 V330:W330 W347:W349 W297:W299 W407:W410 W405 W335:W338 W357:W358 W494 W481:W483 W412 W514:W515 W315 W475:W476 W518:W519 W546 W557:W560 W367:W372 W384:W393 W304:W305 W301 W471 W378 W600:W603 W630 W593 W566:W567 W646:W647 W612 W597 W308:W311 W585:W586 W671:W672 W669 W396 W614:W617 W327 W570">
    <cfRule type="containsText" dxfId="1" priority="2199" operator="between" text="欠">
      <formula>NOT(ISERROR(SEARCH("欠",V128)))</formula>
    </cfRule>
  </conditionalFormatting>
  <conditionalFormatting sqref="W128 W473:W474 W415 W417:W418">
    <cfRule type="containsText" dxfId="1" priority="2143" operator="between" text="欠">
      <formula>NOT(ISERROR(SEARCH("欠",W128)))</formula>
    </cfRule>
  </conditionalFormatting>
  <conditionalFormatting sqref="X128 X131:X135 X144 X188 X214:X217 X473:X474 X417:X418 X415 X316 X287 X313:X314 X297 X301 X330 X341">
    <cfRule type="containsText" dxfId="1" priority="2161" operator="between" text="欠">
      <formula>NOT(ISERROR(SEARCH("欠",X128)))</formula>
    </cfRule>
  </conditionalFormatting>
  <conditionalFormatting sqref="Y128 Y131:Y135 Y182 Y186 Y153 Y144 Y179 Y189 Y214:Y217 Y585:Y586 Y671 Y669 Y661 Y557:Y560 Y546 Y415 Y417:Y418 Y498:Y501 Y600:Y603 Y593 Y612 Y513:Y516 Y646:Y647 Y482:Y483 Y473:Y474 Y597 Y614:Y617 Y566:Y567 Y581:Y582">
    <cfRule type="containsText" dxfId="1" priority="2201" operator="between" text="欠">
      <formula>NOT(ISERROR(SEARCH("欠",Y128)))</formula>
    </cfRule>
  </conditionalFormatting>
  <conditionalFormatting sqref="V147:X149 V164:X164 V151:X152 W146:X146">
    <cfRule type="containsText" dxfId="1" priority="2353" operator="between" text="欠">
      <formula>NOT(ISERROR(SEARCH("欠",V146)))</formula>
    </cfRule>
  </conditionalFormatting>
  <conditionalFormatting sqref="W158:Y160">
    <cfRule type="containsText" dxfId="1" priority="2237" operator="between" text="欠">
      <formula>NOT(ISERROR(SEARCH("欠",W158)))</formula>
    </cfRule>
  </conditionalFormatting>
  <conditionalFormatting sqref="V163 V184">
    <cfRule type="containsText" dxfId="1" priority="2295" operator="between" text="欠">
      <formula>NOT(ISERROR(SEARCH("欠",V163)))</formula>
    </cfRule>
  </conditionalFormatting>
  <conditionalFormatting sqref="W163 Y163">
    <cfRule type="containsText" dxfId="1" priority="2301" operator="between" text="欠">
      <formula>NOT(ISERROR(SEARCH("欠",W163)))</formula>
    </cfRule>
  </conditionalFormatting>
  <conditionalFormatting sqref="V165:X165 X166 V166">
    <cfRule type="containsText" dxfId="1" priority="2239" operator="between" text="欠">
      <formula>NOT(ISERROR(SEARCH("欠",V165)))</formula>
    </cfRule>
  </conditionalFormatting>
  <conditionalFormatting sqref="V169:V172 V175:V177">
    <cfRule type="containsText" dxfId="1" priority="2037" operator="between" text="欠">
      <formula>NOT(ISERROR(SEARCH("欠",V169)))</formula>
    </cfRule>
  </conditionalFormatting>
  <conditionalFormatting sqref="W172:X172 W175:X177">
    <cfRule type="containsText" dxfId="1" priority="2175" operator="between" text="欠">
      <formula>NOT(ISERROR(SEARCH("欠",W172)))</formula>
    </cfRule>
  </conditionalFormatting>
  <conditionalFormatting sqref="W173:Y173 Y183">
    <cfRule type="containsText" dxfId="1" priority="2345" operator="between" text="欠">
      <formula>NOT(ISERROR(SEARCH("欠",W173)))</formula>
    </cfRule>
  </conditionalFormatting>
  <conditionalFormatting sqref="X174 V174">
    <cfRule type="containsText" dxfId="1" priority="2033" operator="between" text="欠">
      <formula>NOT(ISERROR(SEARCH("欠",V174)))</formula>
    </cfRule>
  </conditionalFormatting>
  <conditionalFormatting sqref="Y175:Y177 Y199:Y201">
    <cfRule type="containsText" dxfId="1" priority="2183" operator="between" text="欠">
      <formula>NOT(ISERROR(SEARCH("欠",Y175)))</formula>
    </cfRule>
  </conditionalFormatting>
  <conditionalFormatting sqref="V180:Y181 Y253 V251:Y252 V258:Y259 Y256:Y257 W255:Y255 V472:Y472">
    <cfRule type="containsText" dxfId="1" priority="2085" operator="between" text="欠">
      <formula>NOT(ISERROR(SEARCH("欠",V180)))</formula>
    </cfRule>
  </conditionalFormatting>
  <conditionalFormatting sqref="V185:X185 V190:W196 W197:X198 V590 V591:W592 V588:W589 V587">
    <cfRule type="containsText" dxfId="1" priority="2045" operator="between" text="欠">
      <formula>NOT(ISERROR(SEARCH("欠",V185)))</formula>
    </cfRule>
  </conditionalFormatting>
  <conditionalFormatting sqref="V189:X189 V199:X201">
    <cfRule type="containsText" dxfId="1" priority="2023" operator="between" text="欠">
      <formula>NOT(ISERROR(SEARCH("欠",V189)))</formula>
    </cfRule>
  </conditionalFormatting>
  <conditionalFormatting sqref="X190:X196 X591:X592 X280 X588:X589">
    <cfRule type="containsText" dxfId="1" priority="1951" operator="between" text="欠">
      <formula>NOT(ISERROR(SEARCH("欠",X190)))</formula>
    </cfRule>
  </conditionalFormatting>
  <conditionalFormatting sqref="V218:Y220 Y221:Y229 W224:W226 V232 Y231 V233:Y233 V231:W231 V227:W229 V306:W307 Y306:Y307 Y254 V254:W254">
    <cfRule type="containsText" dxfId="1" priority="2109" operator="between" text="欠">
      <formula>NOT(ISERROR(SEARCH("欠",V218)))</formula>
    </cfRule>
  </conditionalFormatting>
  <conditionalFormatting sqref="V221:X223 X224:X229 X231:X232 V224:V226 X306:X307 X254">
    <cfRule type="containsText" dxfId="1" priority="2021" operator="between" text="欠">
      <formula>NOT(ISERROR(SEARCH("欠",V221)))</formula>
    </cfRule>
  </conditionalFormatting>
  <conditionalFormatting sqref="Y230 V230:W230">
    <cfRule type="containsText" dxfId="1" priority="1925" operator="between" text="欠">
      <formula>NOT(ISERROR(SEARCH("欠",V230)))</formula>
    </cfRule>
  </conditionalFormatting>
  <conditionalFormatting sqref="Y232 W232">
    <cfRule type="containsText" dxfId="1" priority="1947" operator="between" text="欠">
      <formula>NOT(ISERROR(SEARCH("欠",W232)))</formula>
    </cfRule>
  </conditionalFormatting>
  <conditionalFormatting sqref="V234:W236 V238:W243 Y234:Y243 Y340 V340:W340">
    <cfRule type="containsText" dxfId="1" priority="2071" operator="between" text="欠">
      <formula>NOT(ISERROR(SEARCH("欠",V234)))</formula>
    </cfRule>
  </conditionalFormatting>
  <conditionalFormatting sqref="X234:X236 X238:X243 X340 X317:X321 X289 X308:X311">
    <cfRule type="containsText" dxfId="1" priority="2067" operator="between" text="欠">
      <formula>NOT(ISERROR(SEARCH("欠",X234)))</formula>
    </cfRule>
  </conditionalFormatting>
  <conditionalFormatting sqref="P244:U245 P247:T248">
    <cfRule type="containsText" dxfId="1" priority="1957" operator="between" text="欠">
      <formula>NOT(ISERROR(SEARCH("欠",P244)))</formula>
    </cfRule>
  </conditionalFormatting>
  <conditionalFormatting sqref="V244:V245 X244:X245">
    <cfRule type="containsText" dxfId="1" priority="1917" operator="between" text="欠">
      <formula>NOT(ISERROR(SEARCH("欠",V244)))</formula>
    </cfRule>
  </conditionalFormatting>
  <conditionalFormatting sqref="Y244:Y245 Y249 W249">
    <cfRule type="containsText" dxfId="1" priority="1953" operator="between" text="欠">
      <formula>NOT(ISERROR(SEARCH("欠",W244)))</formula>
    </cfRule>
  </conditionalFormatting>
  <conditionalFormatting sqref="V246 X246">
    <cfRule type="containsText" dxfId="1" priority="865" operator="between" text="欠">
      <formula>NOT(ISERROR(SEARCH("欠",V246)))</formula>
    </cfRule>
  </conditionalFormatting>
  <conditionalFormatting sqref="V247:V248 V278 V255">
    <cfRule type="containsText" dxfId="1" priority="1907" operator="between" text="欠">
      <formula>NOT(ISERROR(SEARCH("欠",V247)))</formula>
    </cfRule>
  </conditionalFormatting>
  <conditionalFormatting sqref="X249 V249 V260:V261 V281:V282">
    <cfRule type="containsText" dxfId="1" priority="1955" operator="between" text="欠">
      <formula>NOT(ISERROR(SEARCH("欠",V249)))</formula>
    </cfRule>
  </conditionalFormatting>
  <conditionalFormatting sqref="P250:T251">
    <cfRule type="containsText" dxfId="1" priority="1868" operator="between" text="欠">
      <formula>NOT(ISERROR(SEARCH("欠",P250)))</formula>
    </cfRule>
  </conditionalFormatting>
  <conditionalFormatting sqref="V250 X250">
    <cfRule type="containsText" dxfId="1" priority="1941" operator="between" text="欠">
      <formula>NOT(ISERROR(SEARCH("欠",V250)))</formula>
    </cfRule>
  </conditionalFormatting>
  <conditionalFormatting sqref="W250 Y250">
    <cfRule type="containsText" dxfId="1" priority="1939" operator="between" text="欠">
      <formula>NOT(ISERROR(SEARCH("欠",W250)))</formula>
    </cfRule>
  </conditionalFormatting>
  <conditionalFormatting sqref="W260:Y263">
    <cfRule type="containsText" dxfId="1" priority="1965" operator="between" text="欠">
      <formula>NOT(ISERROR(SEARCH("欠",W260)))</formula>
    </cfRule>
  </conditionalFormatting>
  <conditionalFormatting sqref="V262:V263 V272:V274 V277 V280">
    <cfRule type="containsText" dxfId="1" priority="1893" operator="between" text="欠">
      <formula>NOT(ISERROR(SEARCH("欠",V262)))</formula>
    </cfRule>
  </conditionalFormatting>
  <conditionalFormatting sqref="W275:W276 W270:W271 V302:W303 V500:W501">
    <cfRule type="containsText" dxfId="1" priority="1896" operator="between" text="欠">
      <formula>NOT(ISERROR(SEARCH("欠",V270)))</formula>
    </cfRule>
  </conditionalFormatting>
  <conditionalFormatting sqref="X275:X276 X270:X271 X302:X303 X500:X501">
    <cfRule type="containsText" dxfId="1" priority="1895" operator="between" text="欠">
      <formula>NOT(ISERROR(SEARCH("欠",X270)))</formula>
    </cfRule>
  </conditionalFormatting>
  <conditionalFormatting sqref="Y270:Y271 Y275:Y276 Y287 Y297 Y301:Y305 Y330">
    <cfRule type="containsText" dxfId="1" priority="2101" operator="between" text="欠">
      <formula>NOT(ISERROR(SEARCH("欠",Y270)))</formula>
    </cfRule>
  </conditionalFormatting>
  <conditionalFormatting sqref="W281:Y282">
    <cfRule type="containsText" dxfId="1" priority="2001" operator="between" text="欠">
      <formula>NOT(ISERROR(SEARCH("欠",W281)))</formula>
    </cfRule>
  </conditionalFormatting>
  <conditionalFormatting sqref="X338 V290:Y290 W288:Y288 V283:Y283 W284:Y286 X298:X299 W291:Y296 W587 Y587 Y590 W590">
    <cfRule type="containsText" dxfId="1" priority="1967" operator="between" text="欠">
      <formula>NOT(ISERROR(SEARCH("欠",V283)))</formula>
    </cfRule>
  </conditionalFormatting>
  <conditionalFormatting sqref="V284 V288">
    <cfRule type="containsText" dxfId="1" priority="1894" operator="between" text="欠">
      <formula>NOT(ISERROR(SEARCH("欠",V284)))</formula>
    </cfRule>
  </conditionalFormatting>
  <conditionalFormatting sqref="V285:V286 V291">
    <cfRule type="containsText" dxfId="1" priority="1883" operator="between" text="欠">
      <formula>NOT(ISERROR(SEARCH("欠",V285)))</formula>
    </cfRule>
  </conditionalFormatting>
  <conditionalFormatting sqref="V308:V311 V332 V287 V297 V314:V321 V364 V335 V304:V305 V396 V471 V405 V407:V410 V367 V393 V348:V349 V369:V372 V585:V586 V301 V338 V514:V515 V546 V557:V560 V481:V483 V581:V582 V600:V603 V593 V289 V341:V345 V615:V617">
    <cfRule type="containsText" dxfId="1" priority="1899" operator="between" text="欠">
      <formula>NOT(ISERROR(SEARCH("欠",V287)))</formula>
    </cfRule>
  </conditionalFormatting>
  <conditionalFormatting sqref="Y289 Y308:Y311 Y317:Y321">
    <cfRule type="containsText" dxfId="1" priority="1719" operator="between" text="欠">
      <formula>NOT(ISERROR(SEARCH("欠",Y289)))</formula>
    </cfRule>
  </conditionalFormatting>
  <conditionalFormatting sqref="Y341:Y345 Y672 W316 V313:W313 V322:Y322 Y475:Y476 Y396 Y412 Y332 Y347:Y349 Y518:Y519 Y407:Y410 Y503 Y378 Y367:Y372 W314 Y364 Y405 Y494 Y313:Y316 Y335:Y338 V300:Y300 Y481 Y357:Y358 Y298:Y299 Y384:Y393 Y471 Y570 Y327 Y630">
    <cfRule type="containsText" dxfId="1" priority="1999" operator="between" text="欠">
      <formula>NOT(ISERROR(SEARCH("欠",V298)))</formula>
    </cfRule>
  </conditionalFormatting>
  <conditionalFormatting sqref="X396 X304:X305 X342 X369:X370 X407 X481:X483 X581 X585">
    <cfRule type="containsText" dxfId="1" priority="1681" operator="between" text="欠">
      <formula>NOT(ISERROR(SEARCH("欠",X304)))</formula>
    </cfRule>
  </conditionalFormatting>
  <conditionalFormatting sqref="X315 X669 X661 X367 X332 X557:X560 X393 X570 X408:X410 X514:X515 X475:X476 X335 X371:X372 X405 X546 X471 X518:X519 X582 X593 X348:X349 X647 X597 X343:X345 X623:X625 X600:X601 X603 X364 X327 X615:X617">
    <cfRule type="containsText" dxfId="1" priority="1877" operator="between" text="欠">
      <formula>NOT(ISERROR(SEARCH("欠",X315)))</formula>
    </cfRule>
  </conditionalFormatting>
  <conditionalFormatting sqref="W317:W321 W366">
    <cfRule type="containsText" dxfId="1" priority="1742" operator="between" text="欠">
      <formula>NOT(ISERROR(SEARCH("欠",W317)))</formula>
    </cfRule>
  </conditionalFormatting>
  <conditionalFormatting sqref="V327:V329 V347 V414 V333 V493">
    <cfRule type="containsText" dxfId="1" priority="1845" operator="between" text="欠">
      <formula>NOT(ISERROR(SEARCH("欠",V327)))</formula>
    </cfRule>
  </conditionalFormatting>
  <conditionalFormatting sqref="W328 W333 W493">
    <cfRule type="containsText" dxfId="1" priority="1838" operator="between" text="欠">
      <formula>NOT(ISERROR(SEARCH("欠",W328)))</formula>
    </cfRule>
  </conditionalFormatting>
  <conditionalFormatting sqref="X328 X333 X493">
    <cfRule type="containsText" dxfId="1" priority="1835" operator="between" text="欠">
      <formula>NOT(ISERROR(SEARCH("欠",X328)))</formula>
    </cfRule>
  </conditionalFormatting>
  <conditionalFormatting sqref="Y328 Y333 Y493">
    <cfRule type="containsText" dxfId="1" priority="1837" operator="between" text="欠">
      <formula>NOT(ISERROR(SEARCH("欠",Y328)))</formula>
    </cfRule>
  </conditionalFormatting>
  <conditionalFormatting sqref="W329 W414">
    <cfRule type="containsText" dxfId="1" priority="1854" operator="between" text="欠">
      <formula>NOT(ISERROR(SEARCH("欠",W329)))</formula>
    </cfRule>
  </conditionalFormatting>
  <conditionalFormatting sqref="X329 X414">
    <cfRule type="containsText" dxfId="1" priority="1851" operator="between" text="欠">
      <formula>NOT(ISERROR(SEARCH("欠",X329)))</formula>
    </cfRule>
  </conditionalFormatting>
  <conditionalFormatting sqref="Y329 Y414">
    <cfRule type="containsText" dxfId="1" priority="1853" operator="between" text="欠">
      <formula>NOT(ISERROR(SEARCH("欠",Y329)))</formula>
    </cfRule>
  </conditionalFormatting>
  <conditionalFormatting sqref="X347 X672 X503 X494 X337 X368">
    <cfRule type="containsText" dxfId="1" priority="1841" operator="between" text="欠">
      <formula>NOT(ISERROR(SEARCH("欠",X337)))</formula>
    </cfRule>
  </conditionalFormatting>
  <conditionalFormatting sqref="W352:W356 W360:W363">
    <cfRule type="containsText" dxfId="1" priority="1771" operator="between" text="欠">
      <formula>NOT(ISERROR(SEARCH("欠",W352)))</formula>
    </cfRule>
  </conditionalFormatting>
  <conditionalFormatting sqref="V357:V358 V384:V392">
    <cfRule type="containsText" dxfId="1" priority="1721" operator="between" text="欠">
      <formula>NOT(ISERROR(SEARCH("欠",V357)))</formula>
    </cfRule>
  </conditionalFormatting>
  <conditionalFormatting sqref="V374 V379:V380">
    <cfRule type="containsText" dxfId="1" priority="1687" operator="between" text="欠">
      <formula>NOT(ISERROR(SEARCH("欠",V374)))</formula>
    </cfRule>
  </conditionalFormatting>
  <conditionalFormatting sqref="W374 W379:W380">
    <cfRule type="containsText" dxfId="1" priority="1690" operator="between" text="欠">
      <formula>NOT(ISERROR(SEARCH("欠",W374)))</formula>
    </cfRule>
  </conditionalFormatting>
  <conditionalFormatting sqref="X374 X379:X380">
    <cfRule type="containsText" dxfId="1" priority="1688" operator="between" text="欠">
      <formula>NOT(ISERROR(SEARCH("欠",X374)))</formula>
    </cfRule>
  </conditionalFormatting>
  <conditionalFormatting sqref="Y374 Y379:Y380">
    <cfRule type="containsText" dxfId="1" priority="1689" operator="between" text="欠">
      <formula>NOT(ISERROR(SEARCH("欠",Y374)))</formula>
    </cfRule>
  </conditionalFormatting>
  <conditionalFormatting sqref="V375:V376 V406 V416">
    <cfRule type="containsText" dxfId="1" priority="1668" operator="between" text="欠">
      <formula>NOT(ISERROR(SEARCH("欠",V375)))</formula>
    </cfRule>
  </conditionalFormatting>
  <conditionalFormatting sqref="W375:W376 W416">
    <cfRule type="containsText" dxfId="1" priority="1671" operator="between" text="欠">
      <formula>NOT(ISERROR(SEARCH("欠",W375)))</formula>
    </cfRule>
  </conditionalFormatting>
  <conditionalFormatting sqref="X375:X376 X416">
    <cfRule type="containsText" dxfId="1" priority="1669" operator="between" text="欠">
      <formula>NOT(ISERROR(SEARCH("欠",X375)))</formula>
    </cfRule>
  </conditionalFormatting>
  <conditionalFormatting sqref="Y375:Y376 Y416">
    <cfRule type="containsText" dxfId="1" priority="1670" operator="between" text="欠">
      <formula>NOT(ISERROR(SEARCH("欠",Y375)))</formula>
    </cfRule>
  </conditionalFormatting>
  <conditionalFormatting sqref="V378 V475:V476">
    <cfRule type="containsText" dxfId="1" priority="1858" operator="between" text="欠">
      <formula>NOT(ISERROR(SEARCH("欠",V378)))</formula>
    </cfRule>
  </conditionalFormatting>
  <conditionalFormatting sqref="X378 X384:X392">
    <cfRule type="containsText" dxfId="1" priority="1857" operator="between" text="欠">
      <formula>NOT(ISERROR(SEARCH("欠",X378)))</formula>
    </cfRule>
  </conditionalFormatting>
  <conditionalFormatting sqref="V381 V395">
    <cfRule type="containsText" dxfId="1" priority="1817" operator="between" text="欠">
      <formula>NOT(ISERROR(SEARCH("欠",V381)))</formula>
    </cfRule>
  </conditionalFormatting>
  <conditionalFormatting sqref="W381 W395">
    <cfRule type="containsText" dxfId="1" priority="1819" operator="between" text="欠">
      <formula>NOT(ISERROR(SEARCH("欠",W381)))</formula>
    </cfRule>
  </conditionalFormatting>
  <conditionalFormatting sqref="X395 X381 X594">
    <cfRule type="containsText" dxfId="1" priority="1815" operator="between" text="欠">
      <formula>NOT(ISERROR(SEARCH("欠",X381)))</formula>
    </cfRule>
  </conditionalFormatting>
  <conditionalFormatting sqref="Y381 Y395">
    <cfRule type="containsText" dxfId="1" priority="1821" operator="between" text="欠">
      <formula>NOT(ISERROR(SEARCH("欠",Y381)))</formula>
    </cfRule>
  </conditionalFormatting>
  <conditionalFormatting sqref="X419 X382 X495">
    <cfRule type="containsText" dxfId="1" priority="1699" operator="between" text="欠">
      <formula>NOT(ISERROR(SEARCH("欠",X382)))</formula>
    </cfRule>
  </conditionalFormatting>
  <conditionalFormatting sqref="X397:X402 X486:X492">
    <cfRule type="containsText" dxfId="1" priority="1658" operator="between" text="欠">
      <formula>NOT(ISERROR(SEARCH("欠",X397)))</formula>
    </cfRule>
  </conditionalFormatting>
  <conditionalFormatting sqref="Y397:Y402 Y486:Y492">
    <cfRule type="containsText" dxfId="1" priority="1660" operator="between" text="欠">
      <formula>NOT(ISERROR(SEARCH("欠",Y397)))</formula>
    </cfRule>
  </conditionalFormatting>
  <conditionalFormatting sqref="V398:V402 V486:V492">
    <cfRule type="containsText" dxfId="1" priority="1653" operator="between" text="欠">
      <formula>NOT(ISERROR(SEARCH("欠",V398)))</formula>
    </cfRule>
  </conditionalFormatting>
  <conditionalFormatting sqref="X403:X404 X412:X413">
    <cfRule type="containsText" dxfId="1" priority="1665" operator="between" text="欠">
      <formula>NOT(ISERROR(SEARCH("欠",X403)))</formula>
    </cfRule>
  </conditionalFormatting>
  <conditionalFormatting sqref="W406 W411">
    <cfRule type="containsText" dxfId="1" priority="1675" operator="between" text="欠">
      <formula>NOT(ISERROR(SEARCH("欠",W406)))</formula>
    </cfRule>
  </conditionalFormatting>
  <conditionalFormatting sqref="X406 X411">
    <cfRule type="containsText" dxfId="1" priority="1663" operator="between" text="欠">
      <formula>NOT(ISERROR(SEARCH("欠",X406)))</formula>
    </cfRule>
  </conditionalFormatting>
  <conditionalFormatting sqref="Y406 Y411">
    <cfRule type="containsText" dxfId="1" priority="1674" operator="between" text="欠">
      <formula>NOT(ISERROR(SEARCH("欠",Y406)))</formula>
    </cfRule>
  </conditionalFormatting>
  <conditionalFormatting sqref="V412:V413 V494">
    <cfRule type="containsText" dxfId="1" priority="1840" operator="between" text="欠">
      <formula>NOT(ISERROR(SEARCH("欠",V412)))</formula>
    </cfRule>
  </conditionalFormatting>
  <conditionalFormatting sqref="V473:V474 V418 V415 V484">
    <cfRule type="containsText" dxfId="1" priority="1685" operator="between" text="欠">
      <formula>NOT(ISERROR(SEARCH("欠",V415)))</formula>
    </cfRule>
  </conditionalFormatting>
  <conditionalFormatting sqref="V419 V480 V478 V497 V502">
    <cfRule type="containsText" dxfId="1" priority="1655" operator="between" text="欠">
      <formula>NOT(ISERROR(SEARCH("欠",V419)))</formula>
    </cfRule>
  </conditionalFormatting>
  <conditionalFormatting sqref="W419 W480 W478 W497 W502">
    <cfRule type="containsText" dxfId="1" priority="1656" operator="between" text="欠">
      <formula>NOT(ISERROR(SEARCH("欠",W419)))</formula>
    </cfRule>
  </conditionalFormatting>
  <conditionalFormatting sqref="Y419 Y480 Y478 Y497 Y502">
    <cfRule type="containsText" dxfId="1" priority="1657" operator="between" text="欠">
      <formula>NOT(ISERROR(SEARCH("欠",Y419)))</formula>
    </cfRule>
  </conditionalFormatting>
  <conditionalFormatting sqref="V420 V477">
    <cfRule type="containsText" dxfId="1" priority="1650" operator="between" text="欠">
      <formula>NOT(ISERROR(SEARCH("欠",V420)))</formula>
    </cfRule>
  </conditionalFormatting>
  <conditionalFormatting sqref="W420 W477">
    <cfRule type="containsText" dxfId="1" priority="1651" operator="between" text="欠">
      <formula>NOT(ISERROR(SEARCH("欠",W420)))</formula>
    </cfRule>
  </conditionalFormatting>
  <conditionalFormatting sqref="X420 X477">
    <cfRule type="containsText" dxfId="1" priority="1649" operator="between" text="欠">
      <formula>NOT(ISERROR(SEARCH("欠",X420)))</formula>
    </cfRule>
  </conditionalFormatting>
  <conditionalFormatting sqref="Y420 Y495:Y496">
    <cfRule type="containsText" dxfId="1" priority="1652" operator="between" text="欠">
      <formula>NOT(ISERROR(SEARCH("欠",Y420)))</formula>
    </cfRule>
  </conditionalFormatting>
  <conditionalFormatting sqref="V421:Y421 V422:V429 X422:X429 V1086:Y1086">
    <cfRule type="containsText" dxfId="1" priority="2455" operator="between" text="欠">
      <formula>NOT(ISERROR(SEARCH("欠",V421)))</formula>
    </cfRule>
  </conditionalFormatting>
  <conditionalFormatting sqref="W422 Y422">
    <cfRule type="containsText" dxfId="1" priority="1517" operator="between" text="欠">
      <formula>NOT(ISERROR(SEARCH("欠",W422)))</formula>
    </cfRule>
  </conditionalFormatting>
  <conditionalFormatting sqref="W423 Y423">
    <cfRule type="containsText" dxfId="1" priority="1516" operator="between" text="欠">
      <formula>NOT(ISERROR(SEARCH("欠",W423)))</formula>
    </cfRule>
  </conditionalFormatting>
  <conditionalFormatting sqref="W424 Y424">
    <cfRule type="containsText" dxfId="1" priority="1515" operator="between" text="欠">
      <formula>NOT(ISERROR(SEARCH("欠",W424)))</formula>
    </cfRule>
  </conditionalFormatting>
  <conditionalFormatting sqref="W425 Y425">
    <cfRule type="containsText" dxfId="1" priority="1514" operator="between" text="欠">
      <formula>NOT(ISERROR(SEARCH("欠",W425)))</formula>
    </cfRule>
  </conditionalFormatting>
  <conditionalFormatting sqref="W426 Y426">
    <cfRule type="containsText" dxfId="1" priority="1513" operator="between" text="欠">
      <formula>NOT(ISERROR(SEARCH("欠",W426)))</formula>
    </cfRule>
  </conditionalFormatting>
  <conditionalFormatting sqref="W427 Y427">
    <cfRule type="containsText" dxfId="1" priority="1512" operator="between" text="欠">
      <formula>NOT(ISERROR(SEARCH("欠",W427)))</formula>
    </cfRule>
  </conditionalFormatting>
  <conditionalFormatting sqref="W428 Y428">
    <cfRule type="containsText" dxfId="1" priority="1511" operator="between" text="欠">
      <formula>NOT(ISERROR(SEARCH("欠",W428)))</formula>
    </cfRule>
  </conditionalFormatting>
  <conditionalFormatting sqref="W429 Y429 V1074:Y1075">
    <cfRule type="containsText" dxfId="1" priority="1510" operator="between" text="欠">
      <formula>NOT(ISERROR(SEARCH("欠",V429)))</formula>
    </cfRule>
  </conditionalFormatting>
  <conditionalFormatting sqref="Y430:Y439 Y453:Y470">
    <cfRule type="containsText" dxfId="1" priority="1605" operator="between" text="欠">
      <formula>NOT(ISERROR(SEARCH("欠",Y430)))</formula>
    </cfRule>
  </conditionalFormatting>
  <conditionalFormatting sqref="X480 X478 X497 X502">
    <cfRule type="containsText" dxfId="1" priority="1654" operator="between" text="欠">
      <formula>NOT(ISERROR(SEARCH("欠",X478)))</formula>
    </cfRule>
  </conditionalFormatting>
  <conditionalFormatting sqref="W486:W491 W498:W499 W516:W517 W513 Y517">
    <cfRule type="containsText" dxfId="1" priority="1874" operator="between" text="欠">
      <formula>NOT(ISERROR(SEARCH("欠",W486)))</formula>
    </cfRule>
  </conditionalFormatting>
  <conditionalFormatting sqref="W495 W503">
    <cfRule type="containsText" dxfId="1" priority="1849" operator="between" text="欠">
      <formula>NOT(ISERROR(SEARCH("欠",W495)))</formula>
    </cfRule>
  </conditionalFormatting>
  <conditionalFormatting sqref="V566:V567 V672 V516:V517 V513 V612 V498:V499 V614">
    <cfRule type="containsText" dxfId="1" priority="1873" operator="between" text="欠">
      <formula>NOT(ISERROR(SEARCH("欠",V498)))</formula>
    </cfRule>
  </conditionalFormatting>
  <conditionalFormatting sqref="X498:X499 X516:X517 X513">
    <cfRule type="containsText" dxfId="1" priority="1872" operator="between" text="欠">
      <formula>NOT(ISERROR(SEARCH("欠",X498)))</formula>
    </cfRule>
  </conditionalFormatting>
  <conditionalFormatting sqref="W510:W512 W504:W508 W561">
    <cfRule type="containsText" dxfId="1" priority="1408" operator="between" text="欠">
      <formula>NOT(ISERROR(SEARCH("欠",W504)))</formula>
    </cfRule>
  </conditionalFormatting>
  <conditionalFormatting sqref="X504:X512 X561">
    <cfRule type="containsText" dxfId="1" priority="1406" operator="between" text="欠">
      <formula>NOT(ISERROR(SEARCH("欠",X504)))</formula>
    </cfRule>
  </conditionalFormatting>
  <conditionalFormatting sqref="Y504:Y512 Y561">
    <cfRule type="containsText" dxfId="1" priority="1409" operator="between" text="欠">
      <formula>NOT(ISERROR(SEARCH("欠",Y504)))</formula>
    </cfRule>
  </conditionalFormatting>
  <conditionalFormatting sqref="V518:V519 V570">
    <cfRule type="containsText" dxfId="1" priority="1871" operator="between" text="欠">
      <formula>NOT(ISERROR(SEARCH("欠",V518)))</formula>
    </cfRule>
  </conditionalFormatting>
  <conditionalFormatting sqref="V554 V568">
    <cfRule type="containsText" dxfId="1" priority="1189" operator="between" text="欠">
      <formula>NOT(ISERROR(SEARCH("欠",V554)))</formula>
    </cfRule>
  </conditionalFormatting>
  <conditionalFormatting sqref="X554 X568">
    <cfRule type="containsText" dxfId="1" priority="1188" operator="between" text="欠">
      <formula>NOT(ISERROR(SEARCH("欠",X554)))</formula>
    </cfRule>
  </conditionalFormatting>
  <conditionalFormatting sqref="W563 W579:W580">
    <cfRule type="containsText" dxfId="1" priority="1416" operator="between" text="欠">
      <formula>NOT(ISERROR(SEARCH("欠",W563)))</formula>
    </cfRule>
  </conditionalFormatting>
  <conditionalFormatting sqref="X563 X579:X580">
    <cfRule type="containsText" dxfId="1" priority="1414" operator="between" text="欠">
      <formula>NOT(ISERROR(SEARCH("欠",X563)))</formula>
    </cfRule>
  </conditionalFormatting>
  <conditionalFormatting sqref="Y563 Y579:Y580">
    <cfRule type="containsText" dxfId="1" priority="1417" operator="between" text="欠">
      <formula>NOT(ISERROR(SEARCH("欠",Y563)))</formula>
    </cfRule>
  </conditionalFormatting>
  <conditionalFormatting sqref="W565 Y565 W571">
    <cfRule type="containsText" dxfId="1" priority="1176" operator="between" text="欠">
      <formula>NOT(ISERROR(SEARCH("欠",W565)))</formula>
    </cfRule>
  </conditionalFormatting>
  <conditionalFormatting sqref="X566:X567 X612 X614">
    <cfRule type="containsText" dxfId="1" priority="1870" operator="between" text="欠">
      <formula>NOT(ISERROR(SEARCH("欠",X566)))</formula>
    </cfRule>
  </conditionalFormatting>
  <conditionalFormatting sqref="W569 Y569">
    <cfRule type="containsText" dxfId="1" priority="1179" operator="between" text="欠">
      <formula>NOT(ISERROR(SEARCH("欠",W569)))</formula>
    </cfRule>
  </conditionalFormatting>
  <conditionalFormatting sqref="X572 X584">
    <cfRule type="containsText" dxfId="1" priority="1170" operator="between" text="欠">
      <formula>NOT(ISERROR(SEARCH("欠",X572)))</formula>
    </cfRule>
  </conditionalFormatting>
  <conditionalFormatting sqref="V583 V626:V629 V605:V611">
    <cfRule type="containsText" dxfId="1" priority="1167" operator="between" text="欠">
      <formula>NOT(ISERROR(SEARCH("欠",V583)))</formula>
    </cfRule>
  </conditionalFormatting>
  <conditionalFormatting sqref="W583 W626:W629 W605:W611">
    <cfRule type="containsText" dxfId="1" priority="1168" operator="between" text="欠">
      <formula>NOT(ISERROR(SEARCH("欠",W583)))</formula>
    </cfRule>
  </conditionalFormatting>
  <conditionalFormatting sqref="X583 X605:X611">
    <cfRule type="containsText" dxfId="1" priority="1166" operator="between" text="欠">
      <formula>NOT(ISERROR(SEARCH("欠",X583)))</formula>
    </cfRule>
  </conditionalFormatting>
  <conditionalFormatting sqref="Y583 Y626:Y629 Y605:Y611">
    <cfRule type="containsText" dxfId="1" priority="1165" operator="between" text="欠">
      <formula>NOT(ISERROR(SEARCH("欠",Y583)))</formula>
    </cfRule>
  </conditionalFormatting>
  <conditionalFormatting sqref="X586 X646 X630 X602">
    <cfRule type="containsText" dxfId="1" priority="1862" operator="between" text="欠">
      <formula>NOT(ISERROR(SEARCH("欠",X586)))</formula>
    </cfRule>
  </conditionalFormatting>
  <conditionalFormatting sqref="X587 X590">
    <cfRule type="containsText" dxfId="1" priority="1884" operator="between" text="欠">
      <formula>NOT(ISERROR(SEARCH("欠",X587)))</formula>
    </cfRule>
  </conditionalFormatting>
  <conditionalFormatting sqref="V596 V598">
    <cfRule type="containsText" dxfId="1" priority="1126" operator="between" text="欠">
      <formula>NOT(ISERROR(SEARCH("欠",V596)))</formula>
    </cfRule>
  </conditionalFormatting>
  <conditionalFormatting sqref="W596 W598">
    <cfRule type="containsText" dxfId="1" priority="1127" operator="between" text="欠">
      <formula>NOT(ISERROR(SEARCH("欠",W596)))</formula>
    </cfRule>
  </conditionalFormatting>
  <conditionalFormatting sqref="X596 X598">
    <cfRule type="containsText" dxfId="1" priority="1125" operator="between" text="欠">
      <formula>NOT(ISERROR(SEARCH("欠",X596)))</formula>
    </cfRule>
  </conditionalFormatting>
  <conditionalFormatting sqref="Y596 Y598">
    <cfRule type="containsText" dxfId="1" priority="1124" operator="between" text="欠">
      <formula>NOT(ISERROR(SEARCH("欠",Y596)))</formula>
    </cfRule>
  </conditionalFormatting>
  <conditionalFormatting sqref="V618:V619 V623:V625">
    <cfRule type="containsText" dxfId="1" priority="1094" operator="between" text="欠">
      <formula>NOT(ISERROR(SEARCH("欠",V618)))</formula>
    </cfRule>
  </conditionalFormatting>
  <conditionalFormatting sqref="Y618:Y619 Y623:Y625">
    <cfRule type="containsText" dxfId="1" priority="1093" operator="between" text="欠">
      <formula>NOT(ISERROR(SEARCH("欠",Y618)))</formula>
    </cfRule>
  </conditionalFormatting>
  <conditionalFormatting sqref="W619 W623:W625">
    <cfRule type="containsText" dxfId="1" priority="1099" operator="between" text="欠">
      <formula>NOT(ISERROR(SEARCH("欠",W619)))</formula>
    </cfRule>
  </conditionalFormatting>
  <conditionalFormatting sqref="V620:V622 V637:V638 V634:V635">
    <cfRule type="containsText" dxfId="1" priority="1086" operator="between" text="欠">
      <formula>NOT(ISERROR(SEARCH("欠",V620)))</formula>
    </cfRule>
  </conditionalFormatting>
  <conditionalFormatting sqref="W620:W622 W634:W635">
    <cfRule type="containsText" dxfId="1" priority="1122" operator="between" text="欠">
      <formula>NOT(ISERROR(SEARCH("欠",W620)))</formula>
    </cfRule>
  </conditionalFormatting>
  <conditionalFormatting sqref="X620:X622 X634:X635">
    <cfRule type="containsText" dxfId="1" priority="1121" operator="between" text="欠">
      <formula>NOT(ISERROR(SEARCH("欠",X620)))</formula>
    </cfRule>
  </conditionalFormatting>
  <conditionalFormatting sqref="Y622 Y634:Y635">
    <cfRule type="containsText" dxfId="1" priority="1085" operator="between" text="欠">
      <formula>NOT(ISERROR(SEARCH("欠",Y622)))</formula>
    </cfRule>
  </conditionalFormatting>
  <conditionalFormatting sqref="V630 V669 V661 V646:V647">
    <cfRule type="containsText" dxfId="1" priority="1400" operator="between" text="欠">
      <formula>NOT(ISERROR(SEARCH("欠",V630)))</formula>
    </cfRule>
  </conditionalFormatting>
  <conditionalFormatting sqref="V639:V643 V645">
    <cfRule type="containsText" dxfId="1" priority="1132" operator="between" text="欠">
      <formula>NOT(ISERROR(SEARCH("欠",V639)))</formula>
    </cfRule>
  </conditionalFormatting>
  <conditionalFormatting sqref="W639:W643 W645">
    <cfRule type="containsText" dxfId="1" priority="1134" operator="between" text="欠">
      <formula>NOT(ISERROR(SEARCH("欠",W639)))</formula>
    </cfRule>
  </conditionalFormatting>
  <conditionalFormatting sqref="Y639 Y645">
    <cfRule type="containsText" dxfId="1" priority="1066" operator="between" text="欠">
      <formula>NOT(ISERROR(SEARCH("欠",Y639)))</formula>
    </cfRule>
  </conditionalFormatting>
  <conditionalFormatting sqref="W648:W654 W670">
    <cfRule type="containsText" dxfId="1" priority="1041" operator="between" text="欠">
      <formula>NOT(ISERROR(SEARCH("欠",W648)))</formula>
    </cfRule>
  </conditionalFormatting>
  <conditionalFormatting sqref="Y648:Y654 Y670">
    <cfRule type="containsText" dxfId="1" priority="1042" operator="between" text="欠">
      <formula>NOT(ISERROR(SEARCH("欠",Y648)))</formula>
    </cfRule>
  </conditionalFormatting>
  <conditionalFormatting sqref="X655:X656 X670:X671">
    <cfRule type="containsText" dxfId="1" priority="984" operator="between" text="欠">
      <formula>NOT(ISERROR(SEARCH("欠",X655)))</formula>
    </cfRule>
  </conditionalFormatting>
  <conditionalFormatting sqref="W656 W660">
    <cfRule type="containsText" dxfId="1" priority="1033" operator="between" text="欠">
      <formula>NOT(ISERROR(SEARCH("欠",W656)))</formula>
    </cfRule>
  </conditionalFormatting>
  <conditionalFormatting sqref="Y656 Y660">
    <cfRule type="containsText" dxfId="1" priority="1034" operator="between" text="欠">
      <formula>NOT(ISERROR(SEARCH("欠",Y656)))</formula>
    </cfRule>
  </conditionalFormatting>
  <conditionalFormatting sqref="V662:V668 V687 V689:V690 V658:V659">
    <cfRule type="containsText" dxfId="1" priority="1065" operator="between" text="欠">
      <formula>NOT(ISERROR(SEARCH("欠",V658)))</formula>
    </cfRule>
  </conditionalFormatting>
  <conditionalFormatting sqref="W662:W668 W716 W658:W659 W703 W688:W690 W673 W675:W676">
    <cfRule type="containsText" dxfId="1" priority="1072" operator="between" text="欠">
      <formula>NOT(ISERROR(SEARCH("欠",W658)))</formula>
    </cfRule>
  </conditionalFormatting>
  <conditionalFormatting sqref="Y658 Y662:Y668">
    <cfRule type="containsText" dxfId="1" priority="998" operator="between" text="欠">
      <formula>NOT(ISERROR(SEARCH("欠",Y658)))</formula>
    </cfRule>
  </conditionalFormatting>
  <conditionalFormatting sqref="Y688:Y690 Y716 Y703 Y673 Y659 Y675:Y677">
    <cfRule type="containsText" dxfId="1" priority="1062" operator="between" text="欠">
      <formula>NOT(ISERROR(SEARCH("欠",Y659)))</formula>
    </cfRule>
  </conditionalFormatting>
  <conditionalFormatting sqref="V673:V676 V716">
    <cfRule type="containsText" dxfId="1" priority="993" operator="between" text="欠">
      <formula>NOT(ISERROR(SEARCH("欠",V673)))</formula>
    </cfRule>
  </conditionalFormatting>
  <conditionalFormatting sqref="V678:V684 V706 V717 V727:V728 V738">
    <cfRule type="containsText" dxfId="1" priority="1019" operator="between" text="欠">
      <formula>NOT(ISERROR(SEARCH("欠",V678)))</formula>
    </cfRule>
  </conditionalFormatting>
  <conditionalFormatting sqref="W678:W684 W695">
    <cfRule type="containsText" dxfId="1" priority="1025" operator="between" text="欠">
      <formula>NOT(ISERROR(SEARCH("欠",W678)))</formula>
    </cfRule>
  </conditionalFormatting>
  <conditionalFormatting sqref="X695 X905 X883 X717:X724 X727:X728 X741 X731:X739 X802:X803 X796 X782:X783 X791:X793 X865 X851 X678:X684 X691">
    <cfRule type="containsText" dxfId="1" priority="1020" operator="between" text="欠">
      <formula>NOT(ISERROR(SEARCH("欠",X678)))</formula>
    </cfRule>
  </conditionalFormatting>
  <conditionalFormatting sqref="Y706 Y905 Y886:Y887 Y732:Y739 Y727:Y728 Y753:Y756 Y782:Y783 Y802:Y803 Y793 Y796 Y791 Y834:Y838 Y865 Y883 Y862 Y717:Y724 Y678:Y684">
    <cfRule type="containsText" dxfId="1" priority="1022" operator="between" text="欠">
      <formula>NOT(ISERROR(SEARCH("欠",Y678)))</formula>
    </cfRule>
  </conditionalFormatting>
  <conditionalFormatting sqref="V688 V703">
    <cfRule type="containsText" dxfId="1" priority="1000" operator="between" text="欠">
      <formula>NOT(ISERROR(SEARCH("欠",V688)))</formula>
    </cfRule>
  </conditionalFormatting>
  <conditionalFormatting sqref="W691 W706">
    <cfRule type="containsText" dxfId="1" priority="1021" operator="between" text="欠">
      <formula>NOT(ISERROR(SEARCH("欠",W691)))</formula>
    </cfRule>
  </conditionalFormatting>
  <conditionalFormatting sqref="W692 W694">
    <cfRule type="containsText" dxfId="1" priority="973" operator="between" text="欠">
      <formula>NOT(ISERROR(SEARCH("欠",W692)))</formula>
    </cfRule>
  </conditionalFormatting>
  <conditionalFormatting sqref="Y692 Y694">
    <cfRule type="containsText" dxfId="1" priority="972" operator="between" text="欠">
      <formula>NOT(ISERROR(SEARCH("欠",Y692)))</formula>
    </cfRule>
  </conditionalFormatting>
  <conditionalFormatting sqref="V707:V714 V704:V705">
    <cfRule type="containsText" dxfId="1" priority="978" operator="between" text="欠">
      <formula>NOT(ISERROR(SEARCH("欠",V704)))</formula>
    </cfRule>
  </conditionalFormatting>
  <conditionalFormatting sqref="W707:W714 W705">
    <cfRule type="containsText" dxfId="1" priority="977" operator="between" text="欠">
      <formula>NOT(ISERROR(SEARCH("欠",W705)))</formula>
    </cfRule>
  </conditionalFormatting>
  <conditionalFormatting sqref="Y705 Y714">
    <cfRule type="containsText" dxfId="1" priority="976" operator="between" text="欠">
      <formula>NOT(ISERROR(SEARCH("欠",Y705)))</formula>
    </cfRule>
  </conditionalFormatting>
  <conditionalFormatting sqref="W717:W718 W727:W728 W738">
    <cfRule type="containsText" dxfId="1" priority="1029" operator="between" text="欠">
      <formula>NOT(ISERROR(SEARCH("欠",W717)))</formula>
    </cfRule>
  </conditionalFormatting>
  <conditionalFormatting sqref="V719:V724 V923 V739 V741 V731:V737 V793 V782:V783 V802:V803 V796 V756">
    <cfRule type="containsText" dxfId="1" priority="927" operator="between" text="欠">
      <formula>NOT(ISERROR(SEARCH("欠",V719)))</formula>
    </cfRule>
  </conditionalFormatting>
  <conditionalFormatting sqref="W719:W724 W905 W886:W887 W731:W737 W753:W756 W739 W745 W782:W783 W802:W803 W793 W796 W791 W834:W837 W851 W865 W883 W862 W741 W750">
    <cfRule type="containsText" dxfId="1" priority="1017" operator="between" text="欠">
      <formula>NOT(ISERROR(SEARCH("欠",W719)))</formula>
    </cfRule>
  </conditionalFormatting>
  <conditionalFormatting sqref="Y741 Y750">
    <cfRule type="containsText" dxfId="1" priority="861" operator="between" text="欠">
      <formula>NOT(ISERROR(SEARCH("欠",Y741)))</formula>
    </cfRule>
  </conditionalFormatting>
  <conditionalFormatting sqref="V743 V747:V748 V751">
    <cfRule type="containsText" dxfId="1" priority="903" operator="between" text="欠">
      <formula>NOT(ISERROR(SEARCH("欠",V743)))</formula>
    </cfRule>
  </conditionalFormatting>
  <conditionalFormatting sqref="W743 W747:W748 W751">
    <cfRule type="containsText" dxfId="1" priority="904" operator="between" text="欠">
      <formula>NOT(ISERROR(SEARCH("欠",W743)))</formula>
    </cfRule>
  </conditionalFormatting>
  <conditionalFormatting sqref="X743:X744 X747:X748 X751">
    <cfRule type="containsText" dxfId="1" priority="897" operator="between" text="欠">
      <formula>NOT(ISERROR(SEARCH("欠",X743)))</formula>
    </cfRule>
  </conditionalFormatting>
  <conditionalFormatting sqref="Y743:Y744 Y747:Y748 Y751">
    <cfRule type="containsText" dxfId="1" priority="910" operator="between" text="欠">
      <formula>NOT(ISERROR(SEARCH("欠",Y743)))</formula>
    </cfRule>
  </conditionalFormatting>
  <conditionalFormatting sqref="V745 V749">
    <cfRule type="containsText" dxfId="1" priority="850" operator="between" text="欠">
      <formula>NOT(ISERROR(SEARCH("欠",V745)))</formula>
    </cfRule>
  </conditionalFormatting>
  <conditionalFormatting sqref="X756 X749 X745">
    <cfRule type="containsText" dxfId="1" priority="844" operator="between" text="欠">
      <formula>NOT(ISERROR(SEARCH("欠",X745)))</formula>
    </cfRule>
  </conditionalFormatting>
  <conditionalFormatting sqref="Y745 Y749">
    <cfRule type="containsText" dxfId="1" priority="852" operator="between" text="欠">
      <formula>NOT(ISERROR(SEARCH("欠",Y745)))</formula>
    </cfRule>
  </conditionalFormatting>
  <conditionalFormatting sqref="V752:V755 V746">
    <cfRule type="containsText" dxfId="1" priority="838" operator="between" text="欠">
      <formula>NOT(ISERROR(SEARCH("欠",V746)))</formula>
    </cfRule>
  </conditionalFormatting>
  <conditionalFormatting sqref="X752:X755 X746">
    <cfRule type="containsText" dxfId="1" priority="840" operator="between" text="欠">
      <formula>NOT(ISERROR(SEARCH("欠",X746)))</formula>
    </cfRule>
  </conditionalFormatting>
  <conditionalFormatting sqref="V760 V843:V844 V841">
    <cfRule type="containsText" dxfId="1" priority="884" operator="between" text="欠">
      <formula>NOT(ISERROR(SEARCH("欠",V760)))</formula>
    </cfRule>
  </conditionalFormatting>
  <conditionalFormatting sqref="V761:V781 V921:V922 V903:V904 V851">
    <cfRule type="containsText" dxfId="1" priority="778" operator="between" text="欠">
      <formula>NOT(ISERROR(SEARCH("欠",V761)))</formula>
    </cfRule>
  </conditionalFormatting>
  <conditionalFormatting sqref="W761:W781 W921:W922 W903:W904">
    <cfRule type="containsText" dxfId="1" priority="755" operator="between" text="欠">
      <formula>NOT(ISERROR(SEARCH("欠",W761)))</formula>
    </cfRule>
  </conditionalFormatting>
  <conditionalFormatting sqref="X761:X781 X921:X922 X903">
    <cfRule type="containsText" dxfId="1" priority="756" operator="between" text="欠">
      <formula>NOT(ISERROR(SEARCH("欠",X761)))</formula>
    </cfRule>
  </conditionalFormatting>
  <conditionalFormatting sqref="Y761:Y781 Y921:Y922 Y903:Y904">
    <cfRule type="containsText" dxfId="1" priority="757" operator="between" text="欠">
      <formula>NOT(ISERROR(SEARCH("欠",Y761)))</formula>
    </cfRule>
  </conditionalFormatting>
  <conditionalFormatting sqref="V787 V790 V794">
    <cfRule type="containsText" dxfId="1" priority="843" operator="between" text="欠">
      <formula>NOT(ISERROR(SEARCH("欠",V787)))</formula>
    </cfRule>
  </conditionalFormatting>
  <conditionalFormatting sqref="W787 W790 W794">
    <cfRule type="containsText" dxfId="1" priority="858" operator="between" text="欠">
      <formula>NOT(ISERROR(SEARCH("欠",W787)))</formula>
    </cfRule>
  </conditionalFormatting>
  <conditionalFormatting sqref="X787 X790 X794">
    <cfRule type="containsText" dxfId="1" priority="859" operator="between" text="欠">
      <formula>NOT(ISERROR(SEARCH("欠",X787)))</formula>
    </cfRule>
  </conditionalFormatting>
  <conditionalFormatting sqref="Y787 Y790 Y794">
    <cfRule type="containsText" dxfId="1" priority="860" operator="between" text="欠">
      <formula>NOT(ISERROR(SEARCH("欠",Y787)))</formula>
    </cfRule>
  </conditionalFormatting>
  <conditionalFormatting sqref="V797:V798 V810:V812 V828:V829">
    <cfRule type="containsText" dxfId="1" priority="724" operator="between" text="欠">
      <formula>NOT(ISERROR(SEARCH("欠",V797)))</formula>
    </cfRule>
  </conditionalFormatting>
  <conditionalFormatting sqref="W804 W797:W798 W810:W812">
    <cfRule type="containsText" dxfId="1" priority="733" operator="between" text="欠">
      <formula>NOT(ISERROR(SEARCH("欠",W797)))</formula>
    </cfRule>
  </conditionalFormatting>
  <conditionalFormatting sqref="X804 X797:X798 X810:X812">
    <cfRule type="containsText" dxfId="1" priority="730" operator="between" text="欠">
      <formula>NOT(ISERROR(SEARCH("欠",X797)))</formula>
    </cfRule>
  </conditionalFormatting>
  <conditionalFormatting sqref="Y804 Y797:Y798 Y810:Y812">
    <cfRule type="containsText" dxfId="1" priority="732" operator="between" text="欠">
      <formula>NOT(ISERROR(SEARCH("欠",Y797)))</formula>
    </cfRule>
  </conditionalFormatting>
  <conditionalFormatting sqref="V805:V806 V801 V814:V819 V827 V832:V833">
    <cfRule type="cellIs" dxfId="0" priority="783" operator="equal">
      <formula>"欠"</formula>
    </cfRule>
  </conditionalFormatting>
  <conditionalFormatting sqref="W805:W808 W923 W813:W819 W832:W833 W821:W829 W801">
    <cfRule type="containsText" dxfId="1" priority="784" operator="between" text="欠">
      <formula>NOT(ISERROR(SEARCH("欠",W801)))</formula>
    </cfRule>
  </conditionalFormatting>
  <conditionalFormatting sqref="Y805:Y808 Y923 Y813:Y819 Y832:Y833 Y827:Y829 Y801">
    <cfRule type="containsText" dxfId="1" priority="782" operator="between" text="欠">
      <formula>NOT(ISERROR(SEARCH("欠",Y801)))</formula>
    </cfRule>
  </conditionalFormatting>
  <conditionalFormatting sqref="X828:X829 X832:X833">
    <cfRule type="containsText" dxfId="1" priority="723" operator="between" text="欠">
      <formula>NOT(ISERROR(SEARCH("欠",X828)))</formula>
    </cfRule>
  </conditionalFormatting>
  <conditionalFormatting sqref="W841 W844">
    <cfRule type="containsText" dxfId="1" priority="877" operator="between" text="欠">
      <formula>NOT(ISERROR(SEARCH("欠",W841)))</formula>
    </cfRule>
  </conditionalFormatting>
  <conditionalFormatting sqref="X841 X843:X844">
    <cfRule type="containsText" dxfId="1" priority="882" operator="between" text="欠">
      <formula>NOT(ISERROR(SEARCH("欠",X841)))</formula>
    </cfRule>
  </conditionalFormatting>
  <conditionalFormatting sqref="V852:V859 V845 V850">
    <cfRule type="containsText" dxfId="1" priority="703" operator="between" text="欠">
      <formula>NOT(ISERROR(SEARCH("欠",V845)))</formula>
    </cfRule>
  </conditionalFormatting>
  <conditionalFormatting sqref="W852:W859 W845 W847:W850">
    <cfRule type="containsText" dxfId="1" priority="704" operator="between" text="欠">
      <formula>NOT(ISERROR(SEARCH("欠",W845)))</formula>
    </cfRule>
  </conditionalFormatting>
  <conditionalFormatting sqref="X852:X859 X845 X850">
    <cfRule type="containsText" dxfId="1" priority="705" operator="between" text="欠">
      <formula>NOT(ISERROR(SEARCH("欠",X845)))</formula>
    </cfRule>
  </conditionalFormatting>
  <conditionalFormatting sqref="Y852:Y859 Y845 Y847:Y850">
    <cfRule type="containsText" dxfId="1" priority="706" operator="between" text="欠">
      <formula>NOT(ISERROR(SEARCH("欠",Y845)))</formula>
    </cfRule>
  </conditionalFormatting>
  <conditionalFormatting sqref="V862:V863 V886:V887 V865 V876:V882">
    <cfRule type="containsText" dxfId="1" priority="712" operator="between" text="欠">
      <formula>NOT(ISERROR(SEARCH("欠",V862)))</formula>
    </cfRule>
  </conditionalFormatting>
  <conditionalFormatting sqref="W863:W864 W876:W882">
    <cfRule type="containsText" dxfId="1" priority="661" operator="between" text="欠">
      <formula>NOT(ISERROR(SEARCH("欠",W863)))</formula>
    </cfRule>
  </conditionalFormatting>
  <conditionalFormatting sqref="Y863:Y864 Y876:Y882">
    <cfRule type="containsText" dxfId="1" priority="663" operator="between" text="欠">
      <formula>NOT(ISERROR(SEARCH("欠",Y863)))</formula>
    </cfRule>
  </conditionalFormatting>
  <conditionalFormatting sqref="V864 V866:V867">
    <cfRule type="containsText" dxfId="1" priority="660" operator="between" text="欠">
      <formula>NOT(ISERROR(SEARCH("欠",V864)))</formula>
    </cfRule>
  </conditionalFormatting>
  <conditionalFormatting sqref="W866 W871:W873">
    <cfRule type="containsText" dxfId="1" priority="665" operator="between" text="欠">
      <formula>NOT(ISERROR(SEARCH("欠",W866)))</formula>
    </cfRule>
  </conditionalFormatting>
  <conditionalFormatting sqref="Y866 Y868:Y873">
    <cfRule type="containsText" dxfId="1" priority="667" operator="between" text="欠">
      <formula>NOT(ISERROR(SEARCH("欠",Y866)))</formula>
    </cfRule>
  </conditionalFormatting>
  <conditionalFormatting sqref="V917:V920 V947 V874">
    <cfRule type="cellIs" dxfId="0" priority="619" operator="equal">
      <formula>"欠"</formula>
    </cfRule>
    <cfRule type="containsText" dxfId="1" priority="620" operator="between" text="欠">
      <formula>NOT(ISERROR(SEARCH("欠",V874)))</formula>
    </cfRule>
  </conditionalFormatting>
  <conditionalFormatting sqref="X874 X917:X920">
    <cfRule type="containsText" dxfId="1" priority="622" operator="between" text="欠">
      <formula>NOT(ISERROR(SEARCH("欠",X874)))</formula>
    </cfRule>
  </conditionalFormatting>
  <conditionalFormatting sqref="V885 V909">
    <cfRule type="containsText" dxfId="1" priority="570" operator="between" text="欠">
      <formula>NOT(ISERROR(SEARCH("欠",V885)))</formula>
    </cfRule>
  </conditionalFormatting>
  <conditionalFormatting sqref="W885 W909">
    <cfRule type="containsText" dxfId="1" priority="626" operator="between" text="欠">
      <formula>NOT(ISERROR(SEARCH("欠",W885)))</formula>
    </cfRule>
  </conditionalFormatting>
  <conditionalFormatting sqref="X885 X909">
    <cfRule type="containsText" dxfId="1" priority="624" operator="between" text="欠">
      <formula>NOT(ISERROR(SEARCH("欠",X885)))</formula>
    </cfRule>
  </conditionalFormatting>
  <conditionalFormatting sqref="Y885 Y909">
    <cfRule type="containsText" dxfId="1" priority="627" operator="between" text="欠">
      <formula>NOT(ISERROR(SEARCH("欠",Y885)))</formula>
    </cfRule>
  </conditionalFormatting>
  <conditionalFormatting sqref="X924:X925 X958">
    <cfRule type="containsText" dxfId="1" priority="564" operator="between" text="欠">
      <formula>NOT(ISERROR(SEARCH("欠",X924)))</formula>
    </cfRule>
  </conditionalFormatting>
  <conditionalFormatting sqref="Y924:Y925 Y958 Y934:Y936">
    <cfRule type="containsText" dxfId="1" priority="561" operator="between" text="欠">
      <formula>NOT(ISERROR(SEARCH("欠",Y924)))</formula>
    </cfRule>
  </conditionalFormatting>
  <conditionalFormatting sqref="V962:V982 V988 V991 V1010:V1011 V1052">
    <cfRule type="cellIs" dxfId="0" priority="357" operator="equal">
      <formula>"欠"</formula>
    </cfRule>
    <cfRule type="containsText" dxfId="1" priority="358" operator="between" text="欠">
      <formula>NOT(ISERROR(SEARCH("欠",V962)))</formula>
    </cfRule>
  </conditionalFormatting>
  <conditionalFormatting sqref="W962:W982 W988 W991 W1010:W1011 W1052">
    <cfRule type="containsText" dxfId="1" priority="359" operator="between" text="欠">
      <formula>NOT(ISERROR(SEARCH("欠",W962)))</formula>
    </cfRule>
  </conditionalFormatting>
  <conditionalFormatting sqref="X962:X982 X988 X991 X1010:X1011 X1052">
    <cfRule type="containsText" dxfId="1" priority="363" operator="between" text="欠">
      <formula>NOT(ISERROR(SEARCH("欠",X962)))</formula>
    </cfRule>
  </conditionalFormatting>
  <conditionalFormatting sqref="Y962:Y982 Y988 Y991 Y1010:Y1011 Y1052:Y1054">
    <cfRule type="containsText" dxfId="1" priority="362" operator="between" text="欠">
      <formula>NOT(ISERROR(SEARCH("欠",Y962)))</formula>
    </cfRule>
  </conditionalFormatting>
  <conditionalFormatting sqref="V989:W989 V990">
    <cfRule type="containsText" dxfId="1" priority="346" operator="between" text="欠">
      <formula>NOT(ISERROR(SEARCH("欠",V989)))</formula>
    </cfRule>
  </conditionalFormatting>
  <conditionalFormatting sqref="V992:Y992 V993:V999 X993:Y999">
    <cfRule type="containsText" dxfId="1" priority="342" operator="between" text="欠">
      <formula>NOT(ISERROR(SEARCH("欠",V992)))</formula>
    </cfRule>
  </conditionalFormatting>
  <conditionalFormatting sqref="V1034:V1036 V1030:V1032">
    <cfRule type="cellIs" dxfId="0" priority="97" operator="equal">
      <formula>"欠"</formula>
    </cfRule>
    <cfRule type="containsText" dxfId="1" priority="102" operator="between" text="欠">
      <formula>NOT(ISERROR(SEARCH("欠",V1030)))</formula>
    </cfRule>
  </conditionalFormatting>
  <conditionalFormatting sqref="V1038 V1041:V1043">
    <cfRule type="cellIs" dxfId="0" priority="121" operator="equal">
      <formula>"欠"</formula>
    </cfRule>
    <cfRule type="containsText" dxfId="1" priority="122" operator="between" text="欠">
      <formula>NOT(ISERROR(SEARCH("欠",V1038)))</formula>
    </cfRule>
  </conditionalFormatting>
  <conditionalFormatting sqref="V1044 X1044:Y1044">
    <cfRule type="containsText" dxfId="1" priority="44" operator="between" text="欠">
      <formula>NOT(ISERROR(SEARCH("欠",V1044)))</formula>
    </cfRule>
  </conditionalFormatting>
  <conditionalFormatting sqref="V1049:V1053 V1055:V1060">
    <cfRule type="cellIs" dxfId="0" priority="185" operator="equal">
      <formula>"欠"</formula>
    </cfRule>
    <cfRule type="containsText" dxfId="1" priority="186" operator="between" text="欠">
      <formula>NOT(ISERROR(SEARCH("欠",V1049)))</formula>
    </cfRule>
  </conditionalFormatting>
  <hyperlinks>
    <hyperlink ref="AB621" r:id="rId3" display="Candy@zuru.com"/>
  </hyperlinks>
  <pageMargins left="0" right="0.0784722222222222" top="0.306944444444444" bottom="0.306944444444444" header="0.5" footer="0.5"/>
  <pageSetup paperSize="9" scale="45" fitToWidth="0" orientation="landscape" horizontalDpi="600"/>
  <headerFooter alignWithMargins="0" scaleWithDoc="0"/>
  <ignoredErrors>
    <ignoredError sqref="CG877:CG878 CG868 CG848:CG855 CG857 CG881:CG882 CG859 CG870:CG871" formula="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B1185"/>
  <sheetViews>
    <sheetView zoomScale="60" zoomScaleNormal="60" workbookViewId="0">
      <pane xSplit="14" ySplit="3" topLeftCell="BJ772" activePane="bottomRight" state="frozen"/>
      <selection/>
      <selection pane="topRight"/>
      <selection pane="bottomLeft"/>
      <selection pane="bottomRight" activeCell="H772" sqref="H772"/>
    </sheetView>
  </sheetViews>
  <sheetFormatPr defaultColWidth="9" defaultRowHeight="18.75"/>
  <cols>
    <col min="1" max="1" width="18.9583333333333" style="4030" customWidth="1"/>
    <col min="2" max="2" width="16.5833333333333" style="3576" customWidth="1"/>
    <col min="3" max="3" width="11.3" style="3576" customWidth="1"/>
    <col min="4" max="4" width="16.1833333333333" style="3563" customWidth="1"/>
    <col min="5" max="5" width="15.8166666666667" style="3563" customWidth="1"/>
    <col min="6" max="6" width="19" style="3576" customWidth="1"/>
    <col min="7" max="7" width="17.0916666666667" style="3576" customWidth="1"/>
    <col min="8" max="8" width="25.0833333333333" style="3563" customWidth="1"/>
    <col min="9" max="9" width="12.6416666666667" style="3563" customWidth="1"/>
    <col min="10" max="10" width="9.275" style="3563" customWidth="1"/>
    <col min="11" max="11" width="9.41666666666667" style="3563" customWidth="1"/>
    <col min="12" max="12" width="11.5833333333333" style="3563" customWidth="1"/>
    <col min="13" max="13" width="20.8833333333333" style="3563" customWidth="1"/>
    <col min="14" max="14" width="21.95" style="3577" customWidth="1"/>
    <col min="15" max="15" width="14.3583333333333" style="3576" customWidth="1"/>
    <col min="16" max="19" width="11.8166666666667" style="3576" customWidth="1"/>
    <col min="20" max="20" width="11.8166666666667" style="3592" customWidth="1"/>
    <col min="21" max="21" width="14.3583333333333" style="3578" customWidth="1"/>
    <col min="22" max="22" width="12.9083333333333" style="3563" customWidth="1"/>
    <col min="23" max="23" width="7.025" style="3563" customWidth="1"/>
    <col min="24" max="24" width="17.4" style="3579" customWidth="1"/>
    <col min="25" max="26" width="17.4" style="3563" customWidth="1"/>
    <col min="27" max="27" width="30.3583333333333" style="3578" customWidth="1"/>
    <col min="28" max="30" width="17.4" style="3578" customWidth="1"/>
    <col min="31" max="31" width="15.7166666666667" style="3578" customWidth="1"/>
    <col min="32" max="32" width="20.3583333333333" style="3576" customWidth="1"/>
    <col min="33" max="33" width="19.65" style="3578" customWidth="1"/>
    <col min="34" max="36" width="10.5416666666667" style="3578" customWidth="1"/>
    <col min="37" max="40" width="17.4" style="3576" customWidth="1"/>
    <col min="41" max="41" width="17.4" style="3580" customWidth="1"/>
    <col min="42" max="43" width="17.4" style="3581" customWidth="1"/>
    <col min="44" max="60" width="17.4" style="3582" customWidth="1"/>
    <col min="61" max="61" width="20.35" style="3582" customWidth="1"/>
    <col min="62" max="64" width="17.4" style="3576" customWidth="1"/>
    <col min="65" max="65" width="17.4" style="4017" customWidth="1"/>
    <col min="66" max="68" width="17.4" style="3581" customWidth="1"/>
    <col min="69" max="69" width="17.4" style="3576" customWidth="1"/>
    <col min="70" max="70" width="17.4" style="3563" customWidth="1"/>
    <col min="71" max="71" width="26.75" style="899" customWidth="1"/>
    <col min="72" max="72" width="26.75" style="4031" customWidth="1"/>
    <col min="73" max="73" width="29.75" style="3565" customWidth="1"/>
    <col min="74" max="16384" width="9" style="3565"/>
  </cols>
  <sheetData>
    <row r="1" s="3565" customFormat="1" ht="75" customHeight="1" spans="1:313">
      <c r="A1" s="4032"/>
      <c r="B1" s="4032"/>
      <c r="C1" s="4032"/>
      <c r="D1" s="4032"/>
      <c r="E1" s="4032"/>
      <c r="F1" s="4032"/>
      <c r="G1" s="4032"/>
      <c r="H1" s="4032"/>
      <c r="I1" s="4032"/>
      <c r="J1" s="3584"/>
      <c r="K1" s="3585"/>
      <c r="L1" s="3584"/>
      <c r="M1" s="3584"/>
      <c r="N1" s="3577"/>
      <c r="O1" s="3586"/>
      <c r="P1" s="3586"/>
      <c r="Q1" s="3586"/>
      <c r="R1" s="3586"/>
      <c r="S1" s="3586"/>
      <c r="T1" s="3586"/>
      <c r="U1" s="3587"/>
      <c r="V1" s="3580"/>
      <c r="W1" s="3584"/>
      <c r="X1" s="3588"/>
      <c r="Y1" s="3584"/>
      <c r="Z1" s="3584"/>
      <c r="AA1" s="3587"/>
      <c r="AB1" s="3587"/>
      <c r="AC1" s="3587"/>
      <c r="AD1" s="3587"/>
      <c r="AE1" s="3589"/>
      <c r="AF1" s="4032"/>
      <c r="AG1" s="3589"/>
      <c r="AH1" s="3589"/>
      <c r="AI1" s="3589"/>
      <c r="AJ1" s="3589"/>
      <c r="AK1" s="3586"/>
      <c r="AL1" s="3586"/>
      <c r="AM1" s="3586"/>
      <c r="AN1" s="3586"/>
      <c r="AO1" s="3584"/>
      <c r="AP1" s="3590"/>
      <c r="AQ1" s="3590"/>
      <c r="AR1" s="3590"/>
      <c r="AS1" s="3591"/>
      <c r="AT1" s="3591"/>
      <c r="AU1" s="3591"/>
      <c r="AV1" s="3591"/>
      <c r="AW1" s="3591"/>
      <c r="AX1" s="3591"/>
      <c r="AY1" s="3591"/>
      <c r="AZ1" s="3591"/>
      <c r="BA1" s="3591"/>
      <c r="BB1" s="3591"/>
      <c r="BC1" s="3591"/>
      <c r="BD1" s="3591"/>
      <c r="BE1" s="3591"/>
      <c r="BF1" s="3591"/>
      <c r="BG1" s="3591"/>
      <c r="BH1" s="3591"/>
      <c r="BI1" s="3591"/>
      <c r="BJ1" s="4033">
        <v>17.44</v>
      </c>
      <c r="BK1" s="4033">
        <v>11.294</v>
      </c>
      <c r="BL1" s="4033">
        <v>4.9014</v>
      </c>
      <c r="BM1" s="4034">
        <v>23.1781</v>
      </c>
      <c r="BN1" s="4035">
        <v>4.5837</v>
      </c>
      <c r="BO1" s="4035">
        <v>22.8604</v>
      </c>
      <c r="BP1" s="4035">
        <v>15.7417</v>
      </c>
      <c r="BQ1" s="3576"/>
      <c r="BR1" s="3563"/>
      <c r="BS1" s="899"/>
      <c r="BT1" s="4036"/>
    </row>
    <row r="2" s="3565" customFormat="1" ht="24.95" customHeight="1" spans="1:313">
      <c r="A2" s="4037" t="e">
        <f>#REF!</f>
        <v>#REF!</v>
      </c>
      <c r="B2" s="4020"/>
      <c r="C2" s="4020"/>
      <c r="D2" s="4038"/>
      <c r="E2" s="4038"/>
      <c r="F2" s="3594"/>
      <c r="G2" s="3595"/>
      <c r="H2" s="3595" t="s">
        <v>3</v>
      </c>
      <c r="I2" s="3595"/>
      <c r="J2" s="3580"/>
      <c r="K2" s="3580" t="s">
        <v>4</v>
      </c>
      <c r="L2" s="3580"/>
      <c r="M2" s="3580"/>
      <c r="N2" s="3596"/>
      <c r="O2" s="3592" t="s">
        <v>5</v>
      </c>
      <c r="P2" s="3580"/>
      <c r="Q2" s="3580"/>
      <c r="R2" s="3580"/>
      <c r="S2" s="3580"/>
      <c r="T2" s="3580"/>
      <c r="U2" s="3589"/>
      <c r="V2" s="3580"/>
      <c r="W2" s="3580"/>
      <c r="X2" s="3588"/>
      <c r="Y2" s="3580"/>
      <c r="Z2" s="3580"/>
      <c r="AA2" s="3589"/>
      <c r="AB2" s="3589"/>
      <c r="AC2" s="3589"/>
      <c r="AD2" s="3589"/>
      <c r="AE2" s="3589"/>
      <c r="AF2" s="3594"/>
      <c r="AG2" s="3589"/>
      <c r="AH2" s="3589"/>
      <c r="AI2" s="3589"/>
      <c r="AJ2" s="3589"/>
      <c r="AK2" s="3598" t="s">
        <v>6</v>
      </c>
      <c r="AL2" s="3598"/>
      <c r="AM2" s="3598"/>
      <c r="AN2" s="3598"/>
      <c r="AO2" s="3598"/>
      <c r="AP2" s="3599" t="s">
        <v>286</v>
      </c>
      <c r="AQ2" s="3599"/>
      <c r="AR2" s="3600"/>
      <c r="AS2" s="3600" t="s">
        <v>287</v>
      </c>
      <c r="AT2" s="3600"/>
      <c r="AU2" s="3600"/>
      <c r="AV2" s="3582"/>
      <c r="AW2" s="3582"/>
      <c r="AX2" s="3582"/>
      <c r="AY2" s="3582"/>
      <c r="AZ2" s="3582"/>
      <c r="BA2" s="3582"/>
      <c r="BB2" s="3582"/>
      <c r="BC2" s="3582"/>
      <c r="BD2" s="3582"/>
      <c r="BE2" s="3582"/>
      <c r="BF2" s="3582"/>
      <c r="BG2" s="3582"/>
      <c r="BH2" s="3582"/>
      <c r="BI2" s="3582"/>
      <c r="BJ2" s="4039">
        <v>2</v>
      </c>
      <c r="BK2" s="4039">
        <v>10</v>
      </c>
      <c r="BL2" s="4039">
        <v>10</v>
      </c>
      <c r="BM2" s="4040">
        <v>8</v>
      </c>
      <c r="BN2" s="4040">
        <v>10</v>
      </c>
      <c r="BO2" s="4040">
        <v>10</v>
      </c>
      <c r="BP2" s="4040">
        <v>10</v>
      </c>
      <c r="BQ2" s="3601"/>
      <c r="BR2" s="3563"/>
      <c r="BS2" s="3563"/>
      <c r="BT2" s="4036"/>
    </row>
    <row r="3" s="3565" customFormat="1" ht="89" customHeight="1" spans="1:313">
      <c r="A3" s="3602" t="s">
        <v>14</v>
      </c>
      <c r="B3" s="3603" t="s">
        <v>15</v>
      </c>
      <c r="C3" s="3603" t="s">
        <v>16</v>
      </c>
      <c r="D3" s="3603" t="s">
        <v>17</v>
      </c>
      <c r="E3" s="3603" t="s">
        <v>18</v>
      </c>
      <c r="F3" s="3603" t="s">
        <v>19</v>
      </c>
      <c r="G3" s="3603" t="s">
        <v>21</v>
      </c>
      <c r="H3" s="3603" t="s">
        <v>22</v>
      </c>
      <c r="I3" s="3603" t="s">
        <v>23</v>
      </c>
      <c r="J3" s="3603" t="s">
        <v>24</v>
      </c>
      <c r="K3" s="3603" t="s">
        <v>25</v>
      </c>
      <c r="L3" s="4041" t="s">
        <v>26</v>
      </c>
      <c r="M3" s="3603" t="s">
        <v>27</v>
      </c>
      <c r="N3" s="3603" t="s">
        <v>28</v>
      </c>
      <c r="O3" s="3605" t="s">
        <v>29</v>
      </c>
      <c r="P3" s="3603" t="s">
        <v>30</v>
      </c>
      <c r="Q3" s="4042" t="s">
        <v>31</v>
      </c>
      <c r="R3" s="4042" t="s">
        <v>32</v>
      </c>
      <c r="S3" s="4042" t="s">
        <v>288</v>
      </c>
      <c r="T3" s="4043" t="s">
        <v>2560</v>
      </c>
      <c r="U3" s="3603" t="s">
        <v>33</v>
      </c>
      <c r="V3" s="3603" t="s">
        <v>34</v>
      </c>
      <c r="W3" s="3603" t="s">
        <v>35</v>
      </c>
      <c r="X3" s="3605" t="s">
        <v>36</v>
      </c>
      <c r="Y3" s="3606" t="s">
        <v>37</v>
      </c>
      <c r="Z3" s="3606" t="s">
        <v>38</v>
      </c>
      <c r="AA3" s="3607" t="s">
        <v>39</v>
      </c>
      <c r="AB3" s="3603" t="s">
        <v>40</v>
      </c>
      <c r="AC3" s="3603" t="s">
        <v>41</v>
      </c>
      <c r="AD3" s="3608" t="s">
        <v>42</v>
      </c>
      <c r="AE3" s="3609" t="s">
        <v>43</v>
      </c>
      <c r="AF3" s="3603" t="s">
        <v>20</v>
      </c>
      <c r="AG3" s="3606" t="s">
        <v>44</v>
      </c>
      <c r="AH3" s="4044" t="s">
        <v>31</v>
      </c>
      <c r="AI3" s="4044" t="s">
        <v>321</v>
      </c>
      <c r="AJ3" s="4044" t="s">
        <v>322</v>
      </c>
      <c r="AK3" s="3603" t="s">
        <v>6038</v>
      </c>
      <c r="AL3" s="4045" t="s">
        <v>6039</v>
      </c>
      <c r="AM3" s="3611" t="s">
        <v>46</v>
      </c>
      <c r="AN3" s="4046" t="s">
        <v>6040</v>
      </c>
      <c r="AO3" s="3612" t="s">
        <v>48</v>
      </c>
      <c r="AP3" s="3612" t="s">
        <v>294</v>
      </c>
      <c r="AQ3" s="4046" t="s">
        <v>6041</v>
      </c>
      <c r="AR3" s="3613" t="s">
        <v>52</v>
      </c>
      <c r="AS3" s="3614" t="s">
        <v>53</v>
      </c>
      <c r="AT3" s="4047" t="s">
        <v>297</v>
      </c>
      <c r="AU3" s="3613" t="s">
        <v>300</v>
      </c>
      <c r="AV3" s="4047" t="s">
        <v>6042</v>
      </c>
      <c r="AW3" s="3603" t="s">
        <v>2567</v>
      </c>
      <c r="AX3" s="4045" t="s">
        <v>6043</v>
      </c>
      <c r="AY3" s="3603" t="s">
        <v>2569</v>
      </c>
      <c r="AZ3" s="4045" t="s">
        <v>6044</v>
      </c>
      <c r="BA3" s="3603" t="s">
        <v>6045</v>
      </c>
      <c r="BB3" s="4045" t="s">
        <v>6046</v>
      </c>
      <c r="BC3" s="3603" t="s">
        <v>6047</v>
      </c>
      <c r="BD3" s="4048" t="s">
        <v>6048</v>
      </c>
      <c r="BE3" s="3603" t="s">
        <v>6049</v>
      </c>
      <c r="BF3" s="3614" t="s">
        <v>64</v>
      </c>
      <c r="BG3" s="3614" t="s">
        <v>311</v>
      </c>
      <c r="BH3" s="3614" t="s">
        <v>6050</v>
      </c>
      <c r="BI3" s="3614" t="s">
        <v>66</v>
      </c>
      <c r="BJ3" s="4049" t="s">
        <v>6051</v>
      </c>
      <c r="BK3" s="3598" t="s">
        <v>6052</v>
      </c>
      <c r="BL3" s="3598" t="s">
        <v>6053</v>
      </c>
      <c r="BM3" s="3598" t="s">
        <v>6054</v>
      </c>
      <c r="BN3" s="3598" t="s">
        <v>6055</v>
      </c>
      <c r="BO3" s="3598" t="s">
        <v>6056</v>
      </c>
      <c r="BP3" s="3598" t="s">
        <v>6057</v>
      </c>
      <c r="BQ3" s="3615" t="s">
        <v>74</v>
      </c>
      <c r="BR3" s="3615" t="s">
        <v>75</v>
      </c>
      <c r="BS3" s="4050" t="s">
        <v>6058</v>
      </c>
      <c r="BT3" s="4051" t="s">
        <v>6059</v>
      </c>
      <c r="BU3" s="3913"/>
      <c r="BV3" s="3913"/>
      <c r="BW3" s="3913"/>
      <c r="BX3" s="3913"/>
      <c r="BY3" s="3913"/>
      <c r="BZ3" s="3913"/>
      <c r="CA3" s="3913"/>
      <c r="CB3" s="3913"/>
      <c r="CC3" s="3913"/>
      <c r="CD3" s="3913"/>
      <c r="CE3" s="3913"/>
      <c r="CF3" s="3913"/>
      <c r="CG3" s="3913"/>
      <c r="CH3" s="3913"/>
      <c r="CI3" s="3913"/>
      <c r="CJ3" s="3913"/>
      <c r="CK3" s="3913"/>
      <c r="CL3" s="3913"/>
      <c r="CM3" s="3913"/>
      <c r="CN3" s="3913"/>
      <c r="CO3" s="3913"/>
      <c r="CP3" s="3913"/>
      <c r="CQ3" s="3913"/>
      <c r="CR3" s="3913"/>
      <c r="CS3" s="3913"/>
      <c r="CT3" s="3913"/>
      <c r="CU3" s="3913"/>
      <c r="CV3" s="3913"/>
      <c r="CW3" s="3913"/>
      <c r="CX3" s="3913"/>
      <c r="CY3" s="3913"/>
      <c r="CZ3" s="3913"/>
      <c r="DA3" s="3913"/>
      <c r="DB3" s="3913"/>
      <c r="DC3" s="3913"/>
      <c r="DD3" s="3913"/>
      <c r="DE3" s="3913"/>
      <c r="DF3" s="3913"/>
      <c r="DG3" s="3913"/>
      <c r="DH3" s="3913"/>
      <c r="DI3" s="3913"/>
      <c r="DJ3" s="3913"/>
      <c r="DK3" s="3913"/>
      <c r="DL3" s="3913"/>
      <c r="DM3" s="3913"/>
      <c r="DN3" s="3913"/>
      <c r="DO3" s="3913"/>
      <c r="DP3" s="3913"/>
      <c r="DQ3" s="3913"/>
      <c r="DR3" s="3913"/>
      <c r="DS3" s="3913"/>
      <c r="DT3" s="3913"/>
      <c r="DU3" s="3913"/>
      <c r="DV3" s="3913"/>
      <c r="DW3" s="3913"/>
      <c r="DX3" s="3913"/>
      <c r="DY3" s="3913"/>
      <c r="DZ3" s="3913"/>
      <c r="EA3" s="3913"/>
      <c r="EB3" s="3913"/>
      <c r="EC3" s="3913"/>
      <c r="ED3" s="3913"/>
      <c r="EE3" s="3913"/>
      <c r="EF3" s="3913"/>
      <c r="EG3" s="3913"/>
      <c r="EH3" s="3913"/>
      <c r="EI3" s="3913"/>
      <c r="EJ3" s="3913"/>
      <c r="EK3" s="3913"/>
      <c r="EL3" s="3913"/>
      <c r="EM3" s="3913"/>
      <c r="EN3" s="3913"/>
      <c r="EO3" s="3913"/>
      <c r="EP3" s="3913"/>
      <c r="EQ3" s="3913"/>
      <c r="ER3" s="3913"/>
      <c r="ES3" s="3913"/>
      <c r="ET3" s="3913"/>
      <c r="EU3" s="3913"/>
      <c r="EV3" s="3913"/>
      <c r="EW3" s="3913"/>
      <c r="EX3" s="3913"/>
      <c r="EY3" s="3913"/>
      <c r="EZ3" s="3913"/>
      <c r="FA3" s="3913"/>
      <c r="FB3" s="3913"/>
      <c r="FC3" s="3913"/>
      <c r="FD3" s="3913"/>
      <c r="FE3" s="3913"/>
      <c r="FF3" s="3913"/>
      <c r="FG3" s="3913"/>
      <c r="FH3" s="3913"/>
      <c r="FI3" s="3913"/>
      <c r="FJ3" s="3913"/>
      <c r="FK3" s="3913"/>
      <c r="FL3" s="3913"/>
      <c r="FM3" s="3913"/>
      <c r="FN3" s="3913"/>
      <c r="FO3" s="3913"/>
      <c r="FP3" s="3913"/>
      <c r="FQ3" s="3913"/>
      <c r="FR3" s="3913"/>
      <c r="FS3" s="3913"/>
      <c r="FT3" s="3913"/>
      <c r="FU3" s="3913"/>
      <c r="FV3" s="3913"/>
      <c r="FW3" s="3913"/>
      <c r="FX3" s="3913"/>
      <c r="FY3" s="3913"/>
      <c r="FZ3" s="3913"/>
      <c r="GA3" s="3913"/>
      <c r="GB3" s="3913"/>
      <c r="GC3" s="3913"/>
      <c r="GD3" s="3913"/>
      <c r="GE3" s="3913"/>
      <c r="GF3" s="3913"/>
      <c r="GG3" s="3913"/>
      <c r="GH3" s="3913"/>
      <c r="GI3" s="3913"/>
      <c r="GJ3" s="3913"/>
      <c r="GK3" s="3913"/>
      <c r="GL3" s="3913"/>
      <c r="GM3" s="3913"/>
      <c r="GN3" s="3913"/>
      <c r="GO3" s="3913"/>
      <c r="GP3" s="3913"/>
      <c r="GQ3" s="3913"/>
      <c r="GR3" s="3913"/>
      <c r="GS3" s="3913"/>
      <c r="GT3" s="3913"/>
      <c r="GU3" s="3913"/>
      <c r="GV3" s="3913"/>
      <c r="GW3" s="3913"/>
      <c r="GX3" s="3913"/>
      <c r="GY3" s="3913"/>
      <c r="GZ3" s="3913"/>
      <c r="HA3" s="3913"/>
      <c r="HB3" s="3913"/>
      <c r="HC3" s="3913"/>
      <c r="HD3" s="3913"/>
      <c r="HE3" s="3913"/>
      <c r="HF3" s="3913"/>
      <c r="HG3" s="3913"/>
      <c r="HH3" s="3913"/>
      <c r="HI3" s="3913"/>
      <c r="HJ3" s="3913"/>
      <c r="HK3" s="3913"/>
      <c r="HL3" s="3913"/>
      <c r="HM3" s="3913"/>
      <c r="HN3" s="3913"/>
      <c r="HO3" s="3913"/>
      <c r="HP3" s="3913"/>
      <c r="HQ3" s="3913"/>
      <c r="HR3" s="3913"/>
      <c r="HS3" s="3913"/>
      <c r="HT3" s="3913"/>
      <c r="HU3" s="3913"/>
      <c r="HV3" s="3913"/>
      <c r="HW3" s="3913"/>
      <c r="HX3" s="3913"/>
      <c r="HY3" s="3913"/>
      <c r="HZ3" s="3913"/>
      <c r="IA3" s="3913"/>
      <c r="IB3" s="3913"/>
      <c r="IC3" s="3913"/>
      <c r="ID3" s="3913"/>
      <c r="IE3" s="3913"/>
      <c r="IF3" s="3913"/>
      <c r="IG3" s="3913"/>
      <c r="IH3" s="3913"/>
      <c r="II3" s="3913"/>
      <c r="IJ3" s="3913"/>
      <c r="IK3" s="3913"/>
      <c r="IL3" s="3913"/>
      <c r="IM3" s="3913"/>
      <c r="IN3" s="3913"/>
      <c r="IO3" s="3913"/>
      <c r="IP3" s="3913"/>
      <c r="IQ3" s="3913"/>
      <c r="IR3" s="3913"/>
      <c r="IS3" s="3913"/>
      <c r="IT3" s="3913"/>
      <c r="IU3" s="3913"/>
      <c r="IV3" s="3913"/>
      <c r="IW3" s="3913"/>
      <c r="IX3" s="3913"/>
      <c r="IY3" s="3913"/>
      <c r="IZ3" s="3913"/>
      <c r="JA3" s="3913"/>
      <c r="JB3" s="3913"/>
      <c r="JC3" s="3913"/>
      <c r="JD3" s="3913"/>
      <c r="JE3" s="3913"/>
      <c r="JF3" s="3913"/>
      <c r="JG3" s="3913"/>
      <c r="JH3" s="3913"/>
      <c r="JI3" s="3913"/>
      <c r="JJ3" s="3913"/>
      <c r="JK3" s="3913"/>
      <c r="JL3" s="3913"/>
      <c r="JM3" s="3913"/>
      <c r="JN3" s="3913"/>
      <c r="JO3" s="3913"/>
      <c r="JP3" s="3913"/>
      <c r="JQ3" s="3913"/>
      <c r="JR3" s="3913"/>
      <c r="JS3" s="3913"/>
      <c r="JT3" s="3913"/>
      <c r="JU3" s="3913"/>
      <c r="JV3" s="3913"/>
      <c r="JW3" s="3913"/>
      <c r="JX3" s="3913"/>
      <c r="JY3" s="3913"/>
      <c r="JZ3" s="3913"/>
      <c r="KA3" s="3913"/>
      <c r="KB3" s="3913"/>
      <c r="KC3" s="3913"/>
      <c r="KD3" s="3913"/>
      <c r="KE3" s="3913"/>
      <c r="KF3" s="3913"/>
      <c r="KG3" s="3913"/>
      <c r="KH3" s="3913"/>
      <c r="KI3" s="3913"/>
      <c r="KJ3" s="3913"/>
      <c r="KK3" s="3913"/>
      <c r="KL3" s="3913"/>
      <c r="KM3" s="3913"/>
      <c r="KN3" s="3913"/>
      <c r="KO3" s="3913"/>
      <c r="KP3" s="3913"/>
      <c r="KQ3" s="3913"/>
      <c r="KR3" s="3913"/>
      <c r="KS3" s="3913"/>
      <c r="KT3" s="3913"/>
      <c r="KU3" s="3913"/>
      <c r="KV3" s="3913"/>
      <c r="KW3" s="3913"/>
      <c r="KX3" s="3913"/>
      <c r="KY3" s="3913"/>
      <c r="KZ3" s="3913"/>
      <c r="LA3" s="3913"/>
    </row>
    <row r="4" s="3566" customFormat="1" ht="50" customHeight="1" spans="1:313">
      <c r="A4" s="3635">
        <v>45597</v>
      </c>
      <c r="B4" s="3617" t="s">
        <v>6060</v>
      </c>
      <c r="C4" s="959" t="s">
        <v>1624</v>
      </c>
      <c r="D4" s="3618">
        <v>4500149939</v>
      </c>
      <c r="E4" s="3618">
        <v>5200005670</v>
      </c>
      <c r="F4" s="959" t="s">
        <v>6061</v>
      </c>
      <c r="G4" s="959" t="s">
        <v>6062</v>
      </c>
      <c r="H4" s="3618" t="s">
        <v>6063</v>
      </c>
      <c r="I4" s="3618">
        <v>300</v>
      </c>
      <c r="J4" s="3618">
        <v>0</v>
      </c>
      <c r="K4" s="3618">
        <v>6</v>
      </c>
      <c r="L4" s="4052">
        <f>I4/K4</f>
        <v>50</v>
      </c>
      <c r="M4" s="3619">
        <v>45643</v>
      </c>
      <c r="N4" s="3619">
        <v>45639</v>
      </c>
      <c r="O4" s="3618"/>
      <c r="P4" s="959" t="s">
        <v>82</v>
      </c>
      <c r="Q4" s="959"/>
      <c r="R4" s="959"/>
      <c r="S4" s="959"/>
      <c r="T4" s="4053"/>
      <c r="U4" s="3620" t="s">
        <v>401</v>
      </c>
      <c r="V4" s="3640" t="s">
        <v>497</v>
      </c>
      <c r="W4" s="3640"/>
      <c r="X4" s="3640" t="s">
        <v>6064</v>
      </c>
      <c r="Y4" s="3640"/>
      <c r="Z4" s="959"/>
      <c r="AA4" s="3638" t="s">
        <v>6065</v>
      </c>
      <c r="AB4" s="4054" t="s">
        <v>6066</v>
      </c>
      <c r="AC4" s="3618">
        <v>2.3193</v>
      </c>
      <c r="AD4" s="3618">
        <f>AC4*I4</f>
        <v>695.79</v>
      </c>
      <c r="AE4" s="3633" t="s">
        <v>6067</v>
      </c>
      <c r="AF4" s="959" t="s">
        <v>6068</v>
      </c>
      <c r="AG4" s="3620" t="s">
        <v>416</v>
      </c>
      <c r="AH4" s="3620"/>
      <c r="AI4" s="3620"/>
      <c r="AJ4" s="3620"/>
      <c r="AK4" s="959"/>
      <c r="AL4" s="959"/>
      <c r="AM4" s="959">
        <f>I4</f>
        <v>300</v>
      </c>
      <c r="AN4" s="959"/>
      <c r="AO4" s="959"/>
      <c r="AP4" s="3618">
        <f>I4</f>
        <v>300</v>
      </c>
      <c r="AQ4" s="3618"/>
      <c r="AR4" s="3626"/>
      <c r="AS4" s="3626"/>
      <c r="AT4" s="3626"/>
      <c r="AU4" s="3626">
        <f>I4</f>
        <v>300</v>
      </c>
      <c r="AV4" s="3626"/>
      <c r="AW4" s="3626"/>
      <c r="AX4" s="3626"/>
      <c r="AY4" s="3626">
        <f>I4/6</f>
        <v>50</v>
      </c>
      <c r="AZ4" s="3626"/>
      <c r="BA4" s="3626"/>
      <c r="BB4" s="3626"/>
      <c r="BC4" s="3626"/>
      <c r="BD4" s="3626"/>
      <c r="BE4" s="3626"/>
      <c r="BF4" s="3626"/>
      <c r="BG4" s="3626"/>
      <c r="BH4" s="3626"/>
      <c r="BI4" s="3626" t="s">
        <v>89</v>
      </c>
      <c r="BJ4" s="3626">
        <f>I4/60*2</f>
        <v>10</v>
      </c>
      <c r="BK4" s="3626">
        <f>I4/60*10</f>
        <v>50</v>
      </c>
      <c r="BL4" s="3626">
        <f>I4/60*10</f>
        <v>50</v>
      </c>
      <c r="BM4" s="3626">
        <f>I4/60*8</f>
        <v>40</v>
      </c>
      <c r="BN4" s="3626">
        <f>I4/60*10</f>
        <v>50</v>
      </c>
      <c r="BO4" s="4055">
        <f>I4/60*10</f>
        <v>50</v>
      </c>
      <c r="BP4" s="3627">
        <f>I4/60*10</f>
        <v>50</v>
      </c>
      <c r="BQ4" s="3627">
        <f>SUM(BJ4:BP4)</f>
        <v>300</v>
      </c>
      <c r="BR4" s="3627">
        <f>I4-BQ4</f>
        <v>0</v>
      </c>
      <c r="BS4" s="4056"/>
      <c r="BT4" s="4057"/>
    </row>
    <row r="5" s="3566" customFormat="1" ht="50" customHeight="1" spans="1:313">
      <c r="A5" s="3635">
        <v>45587</v>
      </c>
      <c r="B5" s="3617" t="s">
        <v>1409</v>
      </c>
      <c r="C5" s="959" t="s">
        <v>1410</v>
      </c>
      <c r="D5" s="3618">
        <v>4500148621</v>
      </c>
      <c r="E5" s="3618">
        <v>24000405</v>
      </c>
      <c r="F5" s="959" t="s">
        <v>6069</v>
      </c>
      <c r="G5" s="959" t="s">
        <v>3520</v>
      </c>
      <c r="H5" s="3618" t="s">
        <v>6063</v>
      </c>
      <c r="I5" s="3618">
        <v>1800</v>
      </c>
      <c r="J5" s="3618">
        <v>0</v>
      </c>
      <c r="K5" s="3618">
        <v>24</v>
      </c>
      <c r="L5" s="4052">
        <f>I5/K5</f>
        <v>75</v>
      </c>
      <c r="M5" s="3619">
        <v>45651</v>
      </c>
      <c r="N5" s="3619">
        <v>45647</v>
      </c>
      <c r="O5" s="3618" t="s">
        <v>6070</v>
      </c>
      <c r="P5" s="959" t="s">
        <v>82</v>
      </c>
      <c r="Q5" s="959"/>
      <c r="R5" s="959"/>
      <c r="S5" s="959"/>
      <c r="T5" s="4053"/>
      <c r="U5" s="3620" t="s">
        <v>96</v>
      </c>
      <c r="V5" s="3640" t="s">
        <v>2243</v>
      </c>
      <c r="W5" s="3640"/>
      <c r="X5" s="3640" t="s">
        <v>98</v>
      </c>
      <c r="Y5" s="3640"/>
      <c r="Z5" s="3618"/>
      <c r="AA5" s="3638" t="s">
        <v>6071</v>
      </c>
      <c r="AB5" s="4054" t="s">
        <v>892</v>
      </c>
      <c r="AC5" s="4058">
        <v>2.1903</v>
      </c>
      <c r="AD5" s="3618">
        <f>AC5*I5</f>
        <v>3942.54</v>
      </c>
      <c r="AE5" s="3633" t="s">
        <v>6072</v>
      </c>
      <c r="AF5" s="959" t="s">
        <v>3520</v>
      </c>
      <c r="AG5" s="3620" t="s">
        <v>416</v>
      </c>
      <c r="AH5" s="3620"/>
      <c r="AI5" s="3620"/>
      <c r="AJ5" s="3620"/>
      <c r="AK5" s="959">
        <f>I5</f>
        <v>1800</v>
      </c>
      <c r="AL5" s="959"/>
      <c r="AM5" s="959"/>
      <c r="AN5" s="959"/>
      <c r="AO5" s="959"/>
      <c r="AP5" s="3618">
        <f>I5</f>
        <v>1800</v>
      </c>
      <c r="AQ5" s="3618"/>
      <c r="AR5" s="3626"/>
      <c r="AS5" s="3626">
        <f>I5</f>
        <v>1800</v>
      </c>
      <c r="AT5" s="3626"/>
      <c r="AU5" s="3626"/>
      <c r="AV5" s="3626"/>
      <c r="AW5" s="3626"/>
      <c r="AX5" s="3626"/>
      <c r="AY5" s="3626"/>
      <c r="AZ5" s="3626"/>
      <c r="BA5" s="3626"/>
      <c r="BB5" s="3626"/>
      <c r="BC5" s="3626"/>
      <c r="BD5" s="3626"/>
      <c r="BE5" s="3626"/>
      <c r="BF5" s="3626"/>
      <c r="BG5" s="3626"/>
      <c r="BH5" s="3626"/>
      <c r="BI5" s="3626" t="s">
        <v>89</v>
      </c>
      <c r="BJ5" s="3626">
        <f>I5/60*2</f>
        <v>60</v>
      </c>
      <c r="BK5" s="3626">
        <f>I5/60*10</f>
        <v>300</v>
      </c>
      <c r="BL5" s="3626">
        <f>I5/60*10</f>
        <v>300</v>
      </c>
      <c r="BM5" s="3626">
        <f>I5/60*8</f>
        <v>240</v>
      </c>
      <c r="BN5" s="3626">
        <f>I5/60*10</f>
        <v>300</v>
      </c>
      <c r="BO5" s="4055">
        <f>I5/60*10</f>
        <v>300</v>
      </c>
      <c r="BP5" s="3627">
        <f>I5/60*10</f>
        <v>300</v>
      </c>
      <c r="BQ5" s="3627">
        <f>SUM(BJ5:BP5)</f>
        <v>1800</v>
      </c>
      <c r="BR5" s="3627">
        <f>I5-BQ5</f>
        <v>0</v>
      </c>
      <c r="BS5" s="4056"/>
      <c r="BT5" s="4057"/>
    </row>
    <row r="6" s="3566" customFormat="1" ht="50" customHeight="1" spans="1:313">
      <c r="A6" s="3635">
        <v>45602</v>
      </c>
      <c r="B6" s="3617" t="s">
        <v>2616</v>
      </c>
      <c r="C6" s="959" t="s">
        <v>471</v>
      </c>
      <c r="D6" s="3618">
        <v>4500149853</v>
      </c>
      <c r="E6" s="3618" t="s">
        <v>2617</v>
      </c>
      <c r="F6" s="959" t="s">
        <v>6073</v>
      </c>
      <c r="G6" s="959" t="s">
        <v>6074</v>
      </c>
      <c r="H6" s="3618" t="s">
        <v>6063</v>
      </c>
      <c r="I6" s="3618">
        <v>12504</v>
      </c>
      <c r="J6" s="3618">
        <v>0</v>
      </c>
      <c r="K6" s="3618">
        <v>24</v>
      </c>
      <c r="L6" s="4052">
        <f>I6/K6</f>
        <v>521</v>
      </c>
      <c r="M6" s="3619">
        <v>45649</v>
      </c>
      <c r="N6" s="3619">
        <v>45645</v>
      </c>
      <c r="O6" s="3618" t="s">
        <v>2621</v>
      </c>
      <c r="P6" s="959" t="s">
        <v>82</v>
      </c>
      <c r="Q6" s="959"/>
      <c r="R6" s="959"/>
      <c r="S6" s="959"/>
      <c r="T6" s="4053"/>
      <c r="U6" s="3620" t="s">
        <v>96</v>
      </c>
      <c r="V6" s="3640" t="s">
        <v>497</v>
      </c>
      <c r="W6" s="3640"/>
      <c r="X6" s="3640" t="s">
        <v>6075</v>
      </c>
      <c r="Y6" s="3618"/>
      <c r="Z6" s="3618"/>
      <c r="AA6" s="3620" t="s">
        <v>6076</v>
      </c>
      <c r="AB6" s="3624" t="s">
        <v>2624</v>
      </c>
      <c r="AC6" s="4058">
        <v>2.2411</v>
      </c>
      <c r="AD6" s="3618">
        <f>AC6*I6</f>
        <v>28022.7144</v>
      </c>
      <c r="AE6" s="3633" t="s">
        <v>2625</v>
      </c>
      <c r="AF6" s="959" t="s">
        <v>6074</v>
      </c>
      <c r="AG6" s="3620" t="s">
        <v>416</v>
      </c>
      <c r="AH6" s="3620"/>
      <c r="AI6" s="3620"/>
      <c r="AJ6" s="3620"/>
      <c r="AK6" s="959">
        <f>I6</f>
        <v>12504</v>
      </c>
      <c r="AL6" s="959"/>
      <c r="AM6" s="959"/>
      <c r="AN6" s="959"/>
      <c r="AO6" s="959"/>
      <c r="AP6" s="3618">
        <f>I6</f>
        <v>12504</v>
      </c>
      <c r="AQ6" s="3618"/>
      <c r="AR6" s="3626"/>
      <c r="AS6" s="3626"/>
      <c r="AT6" s="3626"/>
      <c r="AU6" s="3626">
        <f>I6</f>
        <v>12504</v>
      </c>
      <c r="AV6" s="3626"/>
      <c r="AW6" s="3626"/>
      <c r="AX6" s="3626"/>
      <c r="AY6" s="3626"/>
      <c r="AZ6" s="3626"/>
      <c r="BA6" s="3626"/>
      <c r="BB6" s="3626"/>
      <c r="BC6" s="3626"/>
      <c r="BD6" s="3626"/>
      <c r="BE6" s="3626"/>
      <c r="BF6" s="3626"/>
      <c r="BG6" s="3626"/>
      <c r="BH6" s="3626"/>
      <c r="BI6" s="3626" t="s">
        <v>89</v>
      </c>
      <c r="BJ6" s="3626">
        <f>I6/60*2</f>
        <v>416.8</v>
      </c>
      <c r="BK6" s="3626">
        <f>I6/60*10</f>
        <v>2084</v>
      </c>
      <c r="BL6" s="3626">
        <f>I6/60*10</f>
        <v>2084</v>
      </c>
      <c r="BM6" s="3626">
        <f>I6/60*8</f>
        <v>1667.2</v>
      </c>
      <c r="BN6" s="3626">
        <f>I6/60*10</f>
        <v>2084</v>
      </c>
      <c r="BO6" s="4055">
        <f>I6/60*10</f>
        <v>2084</v>
      </c>
      <c r="BP6" s="3627">
        <f>I6/60*10</f>
        <v>2084</v>
      </c>
      <c r="BQ6" s="3627">
        <f>SUM(BJ6:BP6)</f>
        <v>12504</v>
      </c>
      <c r="BR6" s="3627">
        <f>I6-BQ6</f>
        <v>0</v>
      </c>
      <c r="BS6" s="4056"/>
      <c r="BT6" s="4057"/>
    </row>
    <row r="7" s="3566" customFormat="1" ht="50" customHeight="1" spans="1:313">
      <c r="A7" s="3635">
        <v>45647</v>
      </c>
      <c r="B7" s="3617"/>
      <c r="C7" s="959"/>
      <c r="D7" s="3618" t="s">
        <v>6077</v>
      </c>
      <c r="E7" s="3618"/>
      <c r="F7" s="959"/>
      <c r="G7" s="959" t="s">
        <v>6078</v>
      </c>
      <c r="H7" s="3618"/>
      <c r="I7" s="959" t="s">
        <v>6079</v>
      </c>
      <c r="J7" s="3618"/>
      <c r="K7" s="3618"/>
      <c r="L7" s="4052"/>
      <c r="M7" s="3619">
        <v>45649</v>
      </c>
      <c r="N7" s="3619">
        <v>45645</v>
      </c>
      <c r="O7" s="3618"/>
      <c r="P7" s="959" t="s">
        <v>6080</v>
      </c>
      <c r="Q7" s="959"/>
      <c r="R7" s="959"/>
      <c r="S7" s="959"/>
      <c r="T7" s="4053"/>
      <c r="U7" s="3620"/>
      <c r="V7" s="3640"/>
      <c r="W7" s="3640"/>
      <c r="X7" s="3640"/>
      <c r="Y7" s="3640"/>
      <c r="Z7" s="3618"/>
      <c r="AA7" s="3620" t="s">
        <v>6081</v>
      </c>
      <c r="AB7" s="3624" t="s">
        <v>792</v>
      </c>
      <c r="AC7" s="3618"/>
      <c r="AD7" s="3618"/>
      <c r="AE7" s="3633"/>
      <c r="AF7" s="959" t="s">
        <v>326</v>
      </c>
      <c r="AG7" s="3620" t="s">
        <v>6082</v>
      </c>
      <c r="AH7" s="3620"/>
      <c r="AI7" s="3620"/>
      <c r="AJ7" s="3620"/>
      <c r="AK7" s="959"/>
      <c r="AL7" s="959"/>
      <c r="AM7" s="959"/>
      <c r="AN7" s="959"/>
      <c r="AO7" s="959"/>
      <c r="AP7" s="3618"/>
      <c r="AQ7" s="3618"/>
      <c r="AR7" s="3626"/>
      <c r="AS7" s="3626"/>
      <c r="AT7" s="3626"/>
      <c r="AU7" s="3626"/>
      <c r="AV7" s="3626"/>
      <c r="AW7" s="3626"/>
      <c r="AX7" s="3626"/>
      <c r="AY7" s="3626"/>
      <c r="AZ7" s="3626"/>
      <c r="BA7" s="3626"/>
      <c r="BB7" s="3626"/>
      <c r="BC7" s="3626"/>
      <c r="BD7" s="3626"/>
      <c r="BE7" s="3626"/>
      <c r="BF7" s="3626"/>
      <c r="BG7" s="3626"/>
      <c r="BH7" s="3626"/>
      <c r="BI7" s="3626"/>
      <c r="BJ7" s="3626"/>
      <c r="BK7" s="3626"/>
      <c r="BL7" s="3626"/>
      <c r="BM7" s="3626"/>
      <c r="BN7" s="3626"/>
      <c r="BO7" s="4055"/>
      <c r="BP7" s="3627"/>
      <c r="BQ7" s="3627"/>
      <c r="BR7" s="3627"/>
      <c r="BS7" s="4056"/>
      <c r="BT7" s="4057"/>
    </row>
    <row r="8" s="3566" customFormat="1" ht="50" customHeight="1" spans="1:313">
      <c r="A8" s="3635">
        <v>45610</v>
      </c>
      <c r="B8" s="3617" t="s">
        <v>2645</v>
      </c>
      <c r="C8" s="959" t="s">
        <v>2058</v>
      </c>
      <c r="D8" s="3618">
        <v>4500151118</v>
      </c>
      <c r="E8" s="3618">
        <v>5200005699</v>
      </c>
      <c r="F8" s="959" t="s">
        <v>6083</v>
      </c>
      <c r="G8" s="959" t="s">
        <v>6084</v>
      </c>
      <c r="H8" s="3618" t="s">
        <v>6063</v>
      </c>
      <c r="I8" s="3618">
        <v>2004</v>
      </c>
      <c r="J8" s="3618">
        <v>0</v>
      </c>
      <c r="K8" s="3618">
        <v>6</v>
      </c>
      <c r="L8" s="4052">
        <f>I8/K8</f>
        <v>334</v>
      </c>
      <c r="M8" s="3619">
        <v>45651</v>
      </c>
      <c r="N8" s="3619">
        <v>45647</v>
      </c>
      <c r="O8" s="3618"/>
      <c r="P8" s="959" t="s">
        <v>82</v>
      </c>
      <c r="Q8" s="959"/>
      <c r="R8" s="959"/>
      <c r="S8" s="959"/>
      <c r="T8" s="4053"/>
      <c r="U8" s="3620" t="s">
        <v>107</v>
      </c>
      <c r="V8" s="3640" t="s">
        <v>600</v>
      </c>
      <c r="W8" s="3640"/>
      <c r="X8" s="3640" t="s">
        <v>6085</v>
      </c>
      <c r="Y8" s="3640"/>
      <c r="Z8" s="3618"/>
      <c r="AA8" s="3620" t="s">
        <v>6086</v>
      </c>
      <c r="AB8" s="3624" t="s">
        <v>578</v>
      </c>
      <c r="AC8" s="3618">
        <v>2.2565</v>
      </c>
      <c r="AD8" s="3618">
        <f>AC8*I8</f>
        <v>4522.026</v>
      </c>
      <c r="AE8" s="3633" t="s">
        <v>2651</v>
      </c>
      <c r="AF8" s="959" t="s">
        <v>6087</v>
      </c>
      <c r="AG8" s="3620" t="s">
        <v>416</v>
      </c>
      <c r="AH8" s="3620"/>
      <c r="AI8" s="3620"/>
      <c r="AJ8" s="3620"/>
      <c r="AK8" s="959"/>
      <c r="AL8" s="959"/>
      <c r="AM8" s="959">
        <f>I8</f>
        <v>2004</v>
      </c>
      <c r="AN8" s="959"/>
      <c r="AO8" s="959"/>
      <c r="AP8" s="3618">
        <f>I8</f>
        <v>2004</v>
      </c>
      <c r="AQ8" s="3618"/>
      <c r="AR8" s="3626"/>
      <c r="AS8" s="3626"/>
      <c r="AT8" s="3626"/>
      <c r="AU8" s="3626">
        <f>I8</f>
        <v>2004</v>
      </c>
      <c r="AV8" s="3626"/>
      <c r="AW8" s="3626">
        <f>I8/6</f>
        <v>334</v>
      </c>
      <c r="AX8" s="3626"/>
      <c r="AY8" s="3626"/>
      <c r="AZ8" s="3626"/>
      <c r="BA8" s="3626"/>
      <c r="BB8" s="3626"/>
      <c r="BC8" s="3626"/>
      <c r="BD8" s="3626"/>
      <c r="BE8" s="3626"/>
      <c r="BF8" s="3626"/>
      <c r="BG8" s="3626"/>
      <c r="BH8" s="3626"/>
      <c r="BI8" s="3626" t="s">
        <v>89</v>
      </c>
      <c r="BJ8" s="3626">
        <f>I8/60*2</f>
        <v>66.8</v>
      </c>
      <c r="BK8" s="3626">
        <f>I8/60*10</f>
        <v>334</v>
      </c>
      <c r="BL8" s="3626">
        <f>I8/60*10</f>
        <v>334</v>
      </c>
      <c r="BM8" s="3626">
        <f>I8/60*8</f>
        <v>267.2</v>
      </c>
      <c r="BN8" s="3626">
        <f>I8/60*10</f>
        <v>334</v>
      </c>
      <c r="BO8" s="4055">
        <f>I8/60*10</f>
        <v>334</v>
      </c>
      <c r="BP8" s="3627">
        <f>I8/60*10</f>
        <v>334</v>
      </c>
      <c r="BQ8" s="3627">
        <f t="shared" ref="BQ8:BQ39" si="0">SUM(BJ8:BP8)</f>
        <v>2004</v>
      </c>
      <c r="BR8" s="3627">
        <f t="shared" ref="BR8:BR39" si="1">I8-BQ8</f>
        <v>0</v>
      </c>
      <c r="BS8" s="4056"/>
      <c r="BT8" s="4057"/>
    </row>
    <row r="9" s="3566" customFormat="1" ht="50" customHeight="1" spans="1:313">
      <c r="A9" s="3635">
        <v>45587</v>
      </c>
      <c r="B9" s="3617" t="s">
        <v>407</v>
      </c>
      <c r="C9" s="959" t="s">
        <v>91</v>
      </c>
      <c r="D9" s="3618">
        <v>4500147716</v>
      </c>
      <c r="E9" s="3618">
        <v>60190663</v>
      </c>
      <c r="F9" s="959" t="s">
        <v>6088</v>
      </c>
      <c r="G9" s="959" t="s">
        <v>3520</v>
      </c>
      <c r="H9" s="3618" t="s">
        <v>6063</v>
      </c>
      <c r="I9" s="3618">
        <v>6000</v>
      </c>
      <c r="J9" s="3618">
        <v>0</v>
      </c>
      <c r="K9" s="3618">
        <v>24</v>
      </c>
      <c r="L9" s="4052">
        <f t="shared" ref="L9:L72" si="2">I9/K9</f>
        <v>250</v>
      </c>
      <c r="M9" s="3619">
        <v>45653</v>
      </c>
      <c r="N9" s="3619">
        <v>45649</v>
      </c>
      <c r="O9" s="3618"/>
      <c r="P9" s="959" t="s">
        <v>82</v>
      </c>
      <c r="Q9" s="959"/>
      <c r="R9" s="959"/>
      <c r="S9" s="959"/>
      <c r="T9" s="4053"/>
      <c r="U9" s="3620" t="s">
        <v>107</v>
      </c>
      <c r="V9" s="3640" t="s">
        <v>411</v>
      </c>
      <c r="W9" s="3640"/>
      <c r="X9" s="3640" t="s">
        <v>98</v>
      </c>
      <c r="Y9" s="3640" t="s">
        <v>587</v>
      </c>
      <c r="Z9" s="3618"/>
      <c r="AA9" s="3620" t="s">
        <v>413</v>
      </c>
      <c r="AB9" s="3624" t="s">
        <v>414</v>
      </c>
      <c r="AC9" s="4058">
        <v>2.2249</v>
      </c>
      <c r="AD9" s="3618">
        <f t="shared" ref="AD9:AD22" si="3">AC9*I9</f>
        <v>13349.4</v>
      </c>
      <c r="AE9" s="3633" t="s">
        <v>415</v>
      </c>
      <c r="AF9" s="959" t="s">
        <v>3520</v>
      </c>
      <c r="AG9" s="3620" t="s">
        <v>416</v>
      </c>
      <c r="AH9" s="3620"/>
      <c r="AI9" s="3620"/>
      <c r="AJ9" s="3620"/>
      <c r="AK9" s="959">
        <f>I9</f>
        <v>6000</v>
      </c>
      <c r="AL9" s="959"/>
      <c r="AM9" s="959"/>
      <c r="AN9" s="959"/>
      <c r="AO9" s="959"/>
      <c r="AP9" s="3618">
        <f t="shared" ref="AP9:AP17" si="4">I9</f>
        <v>6000</v>
      </c>
      <c r="AQ9" s="3618"/>
      <c r="AR9" s="3626"/>
      <c r="AS9" s="3626">
        <f>I9</f>
        <v>6000</v>
      </c>
      <c r="AT9" s="3626"/>
      <c r="AU9" s="3626"/>
      <c r="AV9" s="3626"/>
      <c r="AW9" s="3626"/>
      <c r="AX9" s="3626"/>
      <c r="AY9" s="3626"/>
      <c r="AZ9" s="3626"/>
      <c r="BA9" s="3626"/>
      <c r="BB9" s="3626"/>
      <c r="BC9" s="3626"/>
      <c r="BD9" s="3626"/>
      <c r="BE9" s="3626"/>
      <c r="BF9" s="3626"/>
      <c r="BG9" s="3626"/>
      <c r="BH9" s="3626"/>
      <c r="BI9" s="3626" t="s">
        <v>89</v>
      </c>
      <c r="BJ9" s="3626">
        <f>I9/60*2</f>
        <v>200</v>
      </c>
      <c r="BK9" s="3626">
        <f>I9/60*10</f>
        <v>1000</v>
      </c>
      <c r="BL9" s="3626">
        <f>I9/60*10</f>
        <v>1000</v>
      </c>
      <c r="BM9" s="3626">
        <f>I9/60*8</f>
        <v>800</v>
      </c>
      <c r="BN9" s="3626">
        <f>I9/60*10</f>
        <v>1000</v>
      </c>
      <c r="BO9" s="4055">
        <f>I9/60*10</f>
        <v>1000</v>
      </c>
      <c r="BP9" s="3627">
        <f>I9/60*10</f>
        <v>1000</v>
      </c>
      <c r="BQ9" s="3627">
        <f t="shared" si="0"/>
        <v>6000</v>
      </c>
      <c r="BR9" s="3627">
        <f t="shared" si="1"/>
        <v>0</v>
      </c>
      <c r="BS9" s="4056"/>
      <c r="BT9" s="4057"/>
    </row>
    <row r="10" s="3566" customFormat="1" ht="50" customHeight="1" spans="1:313">
      <c r="A10" s="3635">
        <v>45608</v>
      </c>
      <c r="B10" s="3617" t="s">
        <v>1016</v>
      </c>
      <c r="C10" s="959" t="s">
        <v>396</v>
      </c>
      <c r="D10" s="3618">
        <v>4500150978</v>
      </c>
      <c r="E10" s="3618" t="s">
        <v>6089</v>
      </c>
      <c r="F10" s="959" t="s">
        <v>6090</v>
      </c>
      <c r="G10" s="959" t="s">
        <v>6091</v>
      </c>
      <c r="H10" s="3618" t="s">
        <v>6092</v>
      </c>
      <c r="I10" s="3618">
        <v>32</v>
      </c>
      <c r="J10" s="3618">
        <v>0</v>
      </c>
      <c r="K10" s="3618">
        <v>32</v>
      </c>
      <c r="L10" s="4052">
        <f t="shared" si="2"/>
        <v>1</v>
      </c>
      <c r="M10" s="3619">
        <v>45653</v>
      </c>
      <c r="N10" s="3619">
        <v>45649</v>
      </c>
      <c r="O10" s="3618"/>
      <c r="P10" s="959" t="s">
        <v>82</v>
      </c>
      <c r="Q10" s="959"/>
      <c r="R10" s="959"/>
      <c r="S10" s="959"/>
      <c r="T10" s="4053"/>
      <c r="U10" s="3620" t="s">
        <v>6093</v>
      </c>
      <c r="V10" s="3640" t="s">
        <v>2669</v>
      </c>
      <c r="W10" s="3640"/>
      <c r="X10" s="3640" t="s">
        <v>98</v>
      </c>
      <c r="Y10" s="3640"/>
      <c r="Z10" s="959" t="s">
        <v>6094</v>
      </c>
      <c r="AA10" s="3620" t="s">
        <v>6095</v>
      </c>
      <c r="AB10" s="3624" t="s">
        <v>2672</v>
      </c>
      <c r="AC10" s="3618">
        <v>2.1947</v>
      </c>
      <c r="AD10" s="3618">
        <f t="shared" si="3"/>
        <v>70.2304</v>
      </c>
      <c r="AE10" s="3633" t="s">
        <v>2673</v>
      </c>
      <c r="AF10" s="959" t="s">
        <v>6096</v>
      </c>
      <c r="AG10" s="3620" t="s">
        <v>416</v>
      </c>
      <c r="AH10" s="3620"/>
      <c r="AI10" s="3620"/>
      <c r="AJ10" s="3620"/>
      <c r="AK10" s="959"/>
      <c r="AL10" s="959"/>
      <c r="AM10" s="959">
        <f>I10</f>
        <v>32</v>
      </c>
      <c r="AN10" s="959"/>
      <c r="AO10" s="959"/>
      <c r="AP10" s="3618">
        <f t="shared" si="4"/>
        <v>32</v>
      </c>
      <c r="AQ10" s="3618"/>
      <c r="AR10" s="3626"/>
      <c r="AS10" s="3626"/>
      <c r="AT10" s="3626"/>
      <c r="AU10" s="3626">
        <f>I10</f>
        <v>32</v>
      </c>
      <c r="AV10" s="3626"/>
      <c r="AW10" s="3626"/>
      <c r="AX10" s="3626"/>
      <c r="AY10" s="3626"/>
      <c r="AZ10" s="3626"/>
      <c r="BA10" s="3626"/>
      <c r="BB10" s="3626"/>
      <c r="BC10" s="3626"/>
      <c r="BD10" s="3626"/>
      <c r="BE10" s="3626"/>
      <c r="BF10" s="3626"/>
      <c r="BG10" s="3626"/>
      <c r="BH10" s="3626"/>
      <c r="BI10" s="3626" t="s">
        <v>89</v>
      </c>
      <c r="BJ10" s="3626"/>
      <c r="BK10" s="3626"/>
      <c r="BL10" s="3626"/>
      <c r="BM10" s="3626"/>
      <c r="BN10" s="3626"/>
      <c r="BO10" s="4055">
        <f>I10</f>
        <v>32</v>
      </c>
      <c r="BP10" s="3627"/>
      <c r="BQ10" s="3627">
        <f t="shared" si="0"/>
        <v>32</v>
      </c>
      <c r="BR10" s="3627">
        <f t="shared" si="1"/>
        <v>0</v>
      </c>
      <c r="BS10" s="4056"/>
      <c r="BT10" s="4057"/>
    </row>
    <row r="11" s="3566" customFormat="1" ht="50" customHeight="1" spans="1:313">
      <c r="A11" s="3635">
        <v>45608</v>
      </c>
      <c r="B11" s="3617" t="s">
        <v>1016</v>
      </c>
      <c r="C11" s="959" t="s">
        <v>396</v>
      </c>
      <c r="D11" s="3618">
        <v>4500150978</v>
      </c>
      <c r="E11" s="3618" t="s">
        <v>6097</v>
      </c>
      <c r="F11" s="959" t="s">
        <v>6098</v>
      </c>
      <c r="G11" s="959" t="s">
        <v>6099</v>
      </c>
      <c r="H11" s="3618" t="s">
        <v>6100</v>
      </c>
      <c r="I11" s="3618">
        <v>32</v>
      </c>
      <c r="J11" s="3618">
        <v>0</v>
      </c>
      <c r="K11" s="3618">
        <v>32</v>
      </c>
      <c r="L11" s="4052">
        <f t="shared" si="2"/>
        <v>1</v>
      </c>
      <c r="M11" s="3619">
        <v>45653</v>
      </c>
      <c r="N11" s="3619">
        <v>45649</v>
      </c>
      <c r="O11" s="3618"/>
      <c r="P11" s="959" t="s">
        <v>82</v>
      </c>
      <c r="Q11" s="959"/>
      <c r="R11" s="959"/>
      <c r="S11" s="959"/>
      <c r="T11" s="4053"/>
      <c r="U11" s="3620" t="s">
        <v>6093</v>
      </c>
      <c r="V11" s="3640" t="s">
        <v>2669</v>
      </c>
      <c r="W11" s="3640"/>
      <c r="X11" s="3640" t="s">
        <v>98</v>
      </c>
      <c r="Y11" s="3640"/>
      <c r="Z11" s="3618"/>
      <c r="AA11" s="3620" t="s">
        <v>6095</v>
      </c>
      <c r="AB11" s="3624" t="s">
        <v>2672</v>
      </c>
      <c r="AC11" s="3618">
        <v>2.1947</v>
      </c>
      <c r="AD11" s="3618">
        <f t="shared" si="3"/>
        <v>70.2304</v>
      </c>
      <c r="AE11" s="3633" t="s">
        <v>2673</v>
      </c>
      <c r="AF11" s="959" t="s">
        <v>6101</v>
      </c>
      <c r="AG11" s="3620" t="s">
        <v>416</v>
      </c>
      <c r="AH11" s="3620"/>
      <c r="AI11" s="3620"/>
      <c r="AJ11" s="3620"/>
      <c r="AK11" s="959"/>
      <c r="AL11" s="959"/>
      <c r="AM11" s="959">
        <f>I11</f>
        <v>32</v>
      </c>
      <c r="AN11" s="959"/>
      <c r="AO11" s="959"/>
      <c r="AP11" s="3618">
        <f t="shared" si="4"/>
        <v>32</v>
      </c>
      <c r="AQ11" s="3618"/>
      <c r="AR11" s="3626"/>
      <c r="AS11" s="3626"/>
      <c r="AT11" s="3626"/>
      <c r="AU11" s="3626">
        <f>I11</f>
        <v>32</v>
      </c>
      <c r="AV11" s="3626"/>
      <c r="AW11" s="3626"/>
      <c r="AX11" s="3626"/>
      <c r="AY11" s="3626"/>
      <c r="AZ11" s="3626"/>
      <c r="BA11" s="3626"/>
      <c r="BB11" s="3626"/>
      <c r="BC11" s="3626"/>
      <c r="BD11" s="3626"/>
      <c r="BE11" s="3626"/>
      <c r="BF11" s="3626"/>
      <c r="BG11" s="3626"/>
      <c r="BH11" s="3626"/>
      <c r="BI11" s="3626" t="s">
        <v>89</v>
      </c>
      <c r="BJ11" s="3626"/>
      <c r="BK11" s="3626"/>
      <c r="BL11" s="3626">
        <f>I11</f>
        <v>32</v>
      </c>
      <c r="BM11" s="3626"/>
      <c r="BN11" s="3626"/>
      <c r="BO11" s="4055"/>
      <c r="BP11" s="3627"/>
      <c r="BQ11" s="3627">
        <f t="shared" si="0"/>
        <v>32</v>
      </c>
      <c r="BR11" s="3627">
        <f t="shared" si="1"/>
        <v>0</v>
      </c>
      <c r="BS11" s="4056"/>
      <c r="BT11" s="4057"/>
    </row>
    <row r="12" s="3566" customFormat="1" ht="50" customHeight="1" spans="1:313">
      <c r="A12" s="3635">
        <v>45608</v>
      </c>
      <c r="B12" s="3617" t="s">
        <v>1016</v>
      </c>
      <c r="C12" s="959" t="s">
        <v>396</v>
      </c>
      <c r="D12" s="3618">
        <v>4500150978</v>
      </c>
      <c r="E12" s="3618" t="s">
        <v>6102</v>
      </c>
      <c r="F12" s="959" t="s">
        <v>6103</v>
      </c>
      <c r="G12" s="959" t="s">
        <v>6104</v>
      </c>
      <c r="H12" s="3618" t="s">
        <v>6105</v>
      </c>
      <c r="I12" s="3618">
        <v>32</v>
      </c>
      <c r="J12" s="3618">
        <v>0</v>
      </c>
      <c r="K12" s="3618">
        <v>32</v>
      </c>
      <c r="L12" s="4052">
        <f t="shared" si="2"/>
        <v>1</v>
      </c>
      <c r="M12" s="3619">
        <v>45653</v>
      </c>
      <c r="N12" s="3619">
        <v>45649</v>
      </c>
      <c r="O12" s="3618"/>
      <c r="P12" s="959" t="s">
        <v>82</v>
      </c>
      <c r="Q12" s="959"/>
      <c r="R12" s="959"/>
      <c r="S12" s="959"/>
      <c r="T12" s="4053"/>
      <c r="U12" s="3620" t="s">
        <v>6093</v>
      </c>
      <c r="V12" s="3640" t="s">
        <v>2669</v>
      </c>
      <c r="W12" s="3640"/>
      <c r="X12" s="3640" t="s">
        <v>98</v>
      </c>
      <c r="Y12" s="3640"/>
      <c r="Z12" s="3618"/>
      <c r="AA12" s="3620" t="s">
        <v>6095</v>
      </c>
      <c r="AB12" s="3624" t="s">
        <v>2672</v>
      </c>
      <c r="AC12" s="3618">
        <v>2.1947</v>
      </c>
      <c r="AD12" s="3618">
        <f t="shared" si="3"/>
        <v>70.2304</v>
      </c>
      <c r="AE12" s="3633" t="s">
        <v>2673</v>
      </c>
      <c r="AF12" s="959" t="s">
        <v>6106</v>
      </c>
      <c r="AG12" s="3620" t="s">
        <v>416</v>
      </c>
      <c r="AH12" s="3620"/>
      <c r="AI12" s="3620"/>
      <c r="AJ12" s="3620"/>
      <c r="AK12" s="959"/>
      <c r="AL12" s="959"/>
      <c r="AM12" s="959">
        <f>I12</f>
        <v>32</v>
      </c>
      <c r="AN12" s="959"/>
      <c r="AO12" s="959"/>
      <c r="AP12" s="3618">
        <f t="shared" si="4"/>
        <v>32</v>
      </c>
      <c r="AQ12" s="3618"/>
      <c r="AR12" s="3626"/>
      <c r="AS12" s="3626"/>
      <c r="AT12" s="3626"/>
      <c r="AU12" s="3626">
        <f>I12</f>
        <v>32</v>
      </c>
      <c r="AV12" s="3626"/>
      <c r="AW12" s="3626"/>
      <c r="AX12" s="3626"/>
      <c r="AY12" s="3626"/>
      <c r="AZ12" s="3626"/>
      <c r="BA12" s="3626"/>
      <c r="BB12" s="3626"/>
      <c r="BC12" s="3626"/>
      <c r="BD12" s="3626"/>
      <c r="BE12" s="3626"/>
      <c r="BF12" s="3626"/>
      <c r="BG12" s="3626"/>
      <c r="BH12" s="3626"/>
      <c r="BI12" s="3626" t="s">
        <v>89</v>
      </c>
      <c r="BJ12" s="3626"/>
      <c r="BK12" s="3626">
        <f>I12</f>
        <v>32</v>
      </c>
      <c r="BL12" s="3626"/>
      <c r="BM12" s="3626"/>
      <c r="BN12" s="3626"/>
      <c r="BO12" s="4055"/>
      <c r="BP12" s="3627"/>
      <c r="BQ12" s="3627">
        <f t="shared" si="0"/>
        <v>32</v>
      </c>
      <c r="BR12" s="3627">
        <f t="shared" si="1"/>
        <v>0</v>
      </c>
      <c r="BS12" s="4056"/>
      <c r="BT12" s="4057"/>
    </row>
    <row r="13" s="3566" customFormat="1" ht="50" customHeight="1" spans="1:313">
      <c r="A13" s="3635">
        <v>45611</v>
      </c>
      <c r="B13" s="3630" t="s">
        <v>2697</v>
      </c>
      <c r="C13" s="3863" t="s">
        <v>2698</v>
      </c>
      <c r="D13" s="3629">
        <v>4500151435</v>
      </c>
      <c r="E13" s="959">
        <v>83721</v>
      </c>
      <c r="F13" s="3631" t="s">
        <v>6107</v>
      </c>
      <c r="G13" s="959" t="s">
        <v>6108</v>
      </c>
      <c r="H13" s="3618" t="s">
        <v>6063</v>
      </c>
      <c r="I13" s="3618">
        <v>5004</v>
      </c>
      <c r="J13" s="3618">
        <v>0</v>
      </c>
      <c r="K13" s="3618">
        <v>12</v>
      </c>
      <c r="L13" s="4052">
        <f t="shared" si="2"/>
        <v>417</v>
      </c>
      <c r="M13" s="3619">
        <v>45656</v>
      </c>
      <c r="N13" s="3619">
        <v>45652</v>
      </c>
      <c r="O13" s="3618"/>
      <c r="P13" s="959" t="s">
        <v>82</v>
      </c>
      <c r="Q13" s="959"/>
      <c r="R13" s="959"/>
      <c r="S13" s="959"/>
      <c r="T13" s="4053"/>
      <c r="U13" s="3620" t="s">
        <v>96</v>
      </c>
      <c r="V13" s="3640" t="s">
        <v>2694</v>
      </c>
      <c r="W13" s="3640"/>
      <c r="X13" s="3640" t="s">
        <v>2701</v>
      </c>
      <c r="Y13" s="3640"/>
      <c r="Z13" s="3618" t="s">
        <v>2702</v>
      </c>
      <c r="AA13" s="3620" t="s">
        <v>6109</v>
      </c>
      <c r="AB13" s="3624" t="s">
        <v>559</v>
      </c>
      <c r="AC13" s="4058">
        <v>2.298</v>
      </c>
      <c r="AD13" s="3618">
        <f t="shared" si="3"/>
        <v>11499.192</v>
      </c>
      <c r="AE13" s="3633" t="s">
        <v>2704</v>
      </c>
      <c r="AF13" s="959" t="s">
        <v>6108</v>
      </c>
      <c r="AG13" s="3620" t="s">
        <v>416</v>
      </c>
      <c r="AH13" s="3620"/>
      <c r="AI13" s="3620"/>
      <c r="AJ13" s="3620"/>
      <c r="AK13" s="959">
        <f>I13</f>
        <v>5004</v>
      </c>
      <c r="AL13" s="959"/>
      <c r="AM13" s="959"/>
      <c r="AN13" s="959"/>
      <c r="AO13" s="959"/>
      <c r="AP13" s="3618">
        <f t="shared" si="4"/>
        <v>5004</v>
      </c>
      <c r="AQ13" s="3618"/>
      <c r="AR13" s="3626"/>
      <c r="AS13" s="3626"/>
      <c r="AT13" s="3626"/>
      <c r="AU13" s="3626">
        <f>I13</f>
        <v>5004</v>
      </c>
      <c r="AV13" s="3626"/>
      <c r="AW13" s="3626">
        <f>I13/6</f>
        <v>834</v>
      </c>
      <c r="AX13" s="3626"/>
      <c r="AY13" s="3626"/>
      <c r="AZ13" s="3626"/>
      <c r="BA13" s="3626"/>
      <c r="BB13" s="3626"/>
      <c r="BC13" s="3626"/>
      <c r="BD13" s="3626"/>
      <c r="BE13" s="3626"/>
      <c r="BF13" s="3626"/>
      <c r="BG13" s="3626"/>
      <c r="BH13" s="3626"/>
      <c r="BI13" s="3626" t="s">
        <v>89</v>
      </c>
      <c r="BJ13" s="3626">
        <f>I13/60*2</f>
        <v>166.8</v>
      </c>
      <c r="BK13" s="3626">
        <f>I13/60*10</f>
        <v>834</v>
      </c>
      <c r="BL13" s="3626">
        <f>I13/60*10</f>
        <v>834</v>
      </c>
      <c r="BM13" s="3626">
        <f>I13/60*8</f>
        <v>667.2</v>
      </c>
      <c r="BN13" s="3626">
        <f>I13/60*10</f>
        <v>834</v>
      </c>
      <c r="BO13" s="4055">
        <f>I13/60*10</f>
        <v>834</v>
      </c>
      <c r="BP13" s="3627">
        <f>I13/60*10</f>
        <v>834</v>
      </c>
      <c r="BQ13" s="3627">
        <f t="shared" si="0"/>
        <v>5004</v>
      </c>
      <c r="BR13" s="3627">
        <f t="shared" si="1"/>
        <v>0</v>
      </c>
      <c r="BS13" s="4056"/>
      <c r="BT13" s="4057"/>
    </row>
    <row r="14" s="3566" customFormat="1" ht="50" customHeight="1" spans="1:313">
      <c r="A14" s="3635">
        <v>45628</v>
      </c>
      <c r="B14" s="3630" t="s">
        <v>2697</v>
      </c>
      <c r="C14" s="3863" t="s">
        <v>2698</v>
      </c>
      <c r="D14" s="3629">
        <v>4500153097</v>
      </c>
      <c r="E14" s="5458" t="s">
        <v>6110</v>
      </c>
      <c r="F14" s="3631" t="s">
        <v>6111</v>
      </c>
      <c r="G14" s="959" t="s">
        <v>6108</v>
      </c>
      <c r="H14" s="3618" t="s">
        <v>6063</v>
      </c>
      <c r="I14" s="3618">
        <v>5004</v>
      </c>
      <c r="J14" s="3618">
        <v>0</v>
      </c>
      <c r="K14" s="3618">
        <v>12</v>
      </c>
      <c r="L14" s="4052">
        <f t="shared" si="2"/>
        <v>417</v>
      </c>
      <c r="M14" s="3619">
        <v>45656</v>
      </c>
      <c r="N14" s="3619">
        <v>45652</v>
      </c>
      <c r="O14" s="3618"/>
      <c r="P14" s="959" t="s">
        <v>82</v>
      </c>
      <c r="Q14" s="959"/>
      <c r="R14" s="959"/>
      <c r="S14" s="959"/>
      <c r="T14" s="4053"/>
      <c r="U14" s="3620" t="s">
        <v>116</v>
      </c>
      <c r="V14" s="3640" t="s">
        <v>2370</v>
      </c>
      <c r="W14" s="3640"/>
      <c r="X14" s="3640" t="s">
        <v>6112</v>
      </c>
      <c r="Y14" s="3640"/>
      <c r="Z14" s="3618" t="s">
        <v>2702</v>
      </c>
      <c r="AA14" s="3620" t="s">
        <v>6113</v>
      </c>
      <c r="AB14" s="3624" t="s">
        <v>559</v>
      </c>
      <c r="AC14" s="4058">
        <v>2.2778</v>
      </c>
      <c r="AD14" s="3618">
        <f t="shared" si="3"/>
        <v>11398.1112</v>
      </c>
      <c r="AE14" s="3633" t="s">
        <v>2716</v>
      </c>
      <c r="AF14" s="959" t="s">
        <v>6108</v>
      </c>
      <c r="AG14" s="3620" t="s">
        <v>416</v>
      </c>
      <c r="AH14" s="3620"/>
      <c r="AI14" s="3620"/>
      <c r="AJ14" s="3620"/>
      <c r="AK14" s="959">
        <f>I14</f>
        <v>5004</v>
      </c>
      <c r="AL14" s="959"/>
      <c r="AM14" s="959"/>
      <c r="AN14" s="959"/>
      <c r="AO14" s="959"/>
      <c r="AP14" s="3618">
        <f t="shared" si="4"/>
        <v>5004</v>
      </c>
      <c r="AQ14" s="3618"/>
      <c r="AR14" s="3626"/>
      <c r="AS14" s="3626"/>
      <c r="AT14" s="3626"/>
      <c r="AU14" s="3626">
        <f>I14</f>
        <v>5004</v>
      </c>
      <c r="AV14" s="3626"/>
      <c r="AW14" s="3626">
        <f>I14/6</f>
        <v>834</v>
      </c>
      <c r="AX14" s="3626"/>
      <c r="AY14" s="3626"/>
      <c r="AZ14" s="3626"/>
      <c r="BA14" s="3626"/>
      <c r="BB14" s="3626"/>
      <c r="BC14" s="3626"/>
      <c r="BD14" s="3626"/>
      <c r="BE14" s="3626"/>
      <c r="BF14" s="3626"/>
      <c r="BG14" s="3626"/>
      <c r="BH14" s="3626"/>
      <c r="BI14" s="3626" t="s">
        <v>89</v>
      </c>
      <c r="BJ14" s="3626">
        <f>I14/60*2</f>
        <v>166.8</v>
      </c>
      <c r="BK14" s="3626">
        <f>I14/60*10</f>
        <v>834</v>
      </c>
      <c r="BL14" s="3626">
        <f>I14/60*10</f>
        <v>834</v>
      </c>
      <c r="BM14" s="3626">
        <f>I14/60*8</f>
        <v>667.2</v>
      </c>
      <c r="BN14" s="3626">
        <f>I14/60*10</f>
        <v>834</v>
      </c>
      <c r="BO14" s="4055">
        <f>I14/60*10</f>
        <v>834</v>
      </c>
      <c r="BP14" s="3627">
        <f>I14/60*10</f>
        <v>834</v>
      </c>
      <c r="BQ14" s="3627">
        <f t="shared" si="0"/>
        <v>5004</v>
      </c>
      <c r="BR14" s="3627">
        <f t="shared" si="1"/>
        <v>0</v>
      </c>
      <c r="BS14" s="4056"/>
      <c r="BT14" s="4057"/>
    </row>
    <row r="15" s="3566" customFormat="1" ht="50" customHeight="1" spans="1:313">
      <c r="A15" s="3635">
        <v>45604</v>
      </c>
      <c r="B15" s="3617" t="s">
        <v>2914</v>
      </c>
      <c r="C15" s="959" t="s">
        <v>341</v>
      </c>
      <c r="D15" s="3618">
        <v>4500150141</v>
      </c>
      <c r="E15" s="3618" t="s">
        <v>6114</v>
      </c>
      <c r="F15" s="959" t="s">
        <v>6115</v>
      </c>
      <c r="G15" s="959" t="s">
        <v>6116</v>
      </c>
      <c r="H15" s="3618" t="s">
        <v>6063</v>
      </c>
      <c r="I15" s="3618">
        <v>992</v>
      </c>
      <c r="J15" s="3618">
        <v>0</v>
      </c>
      <c r="K15" s="3618">
        <v>16</v>
      </c>
      <c r="L15" s="4052">
        <f t="shared" si="2"/>
        <v>62</v>
      </c>
      <c r="M15" s="3619">
        <v>45657</v>
      </c>
      <c r="N15" s="3619">
        <v>45653</v>
      </c>
      <c r="O15" s="3618"/>
      <c r="P15" s="959" t="s">
        <v>82</v>
      </c>
      <c r="Q15" s="959"/>
      <c r="R15" s="959"/>
      <c r="S15" s="959"/>
      <c r="T15" s="4053"/>
      <c r="U15" s="3620" t="s">
        <v>2230</v>
      </c>
      <c r="V15" s="3640" t="s">
        <v>6117</v>
      </c>
      <c r="W15" s="3640"/>
      <c r="X15" s="3640" t="s">
        <v>6118</v>
      </c>
      <c r="Y15" s="3640"/>
      <c r="Z15" s="3618"/>
      <c r="AA15" s="3620" t="s">
        <v>6119</v>
      </c>
      <c r="AB15" s="3624" t="s">
        <v>6120</v>
      </c>
      <c r="AC15" s="4058">
        <v>2.3234</v>
      </c>
      <c r="AD15" s="3618">
        <f t="shared" si="3"/>
        <v>2304.8128</v>
      </c>
      <c r="AE15" s="3633" t="s">
        <v>6121</v>
      </c>
      <c r="AF15" s="959" t="s">
        <v>6122</v>
      </c>
      <c r="AG15" s="3620" t="s">
        <v>416</v>
      </c>
      <c r="AH15" s="3620"/>
      <c r="AI15" s="3620"/>
      <c r="AJ15" s="3620"/>
      <c r="AK15" s="959">
        <f>I15</f>
        <v>992</v>
      </c>
      <c r="AL15" s="959"/>
      <c r="AM15" s="959"/>
      <c r="AN15" s="959"/>
      <c r="AO15" s="959"/>
      <c r="AP15" s="3618">
        <f t="shared" si="4"/>
        <v>992</v>
      </c>
      <c r="AQ15" s="3618"/>
      <c r="AR15" s="3626"/>
      <c r="AS15" s="3626">
        <f t="shared" ref="AS15:AS29" si="5">I15</f>
        <v>992</v>
      </c>
      <c r="AT15" s="3626"/>
      <c r="AU15" s="3626"/>
      <c r="AV15" s="3626"/>
      <c r="AW15" s="3626"/>
      <c r="AX15" s="3626"/>
      <c r="AY15" s="3626"/>
      <c r="AZ15" s="3626"/>
      <c r="BA15" s="3626"/>
      <c r="BB15" s="3626"/>
      <c r="BC15" s="3626">
        <f>I15/4</f>
        <v>248</v>
      </c>
      <c r="BD15" s="3626"/>
      <c r="BE15" s="3626"/>
      <c r="BF15" s="3626"/>
      <c r="BG15" s="3626"/>
      <c r="BH15" s="3626"/>
      <c r="BI15" s="3626" t="s">
        <v>89</v>
      </c>
      <c r="BJ15" s="3626">
        <f>I15/60*2</f>
        <v>33.0666666666667</v>
      </c>
      <c r="BK15" s="3626">
        <f>I15/60*10</f>
        <v>165.333333333333</v>
      </c>
      <c r="BL15" s="3626">
        <f>I15/60*10</f>
        <v>165.333333333333</v>
      </c>
      <c r="BM15" s="3626">
        <f>I15/60*8</f>
        <v>132.266666666667</v>
      </c>
      <c r="BN15" s="3626">
        <f>I15/60*10</f>
        <v>165.333333333333</v>
      </c>
      <c r="BO15" s="4055">
        <f>I15/60*10</f>
        <v>165.333333333333</v>
      </c>
      <c r="BP15" s="3627">
        <f>I15/60*10</f>
        <v>165.333333333333</v>
      </c>
      <c r="BQ15" s="3627">
        <f t="shared" si="0"/>
        <v>992</v>
      </c>
      <c r="BR15" s="3627">
        <f t="shared" si="1"/>
        <v>0</v>
      </c>
      <c r="BS15" s="4056"/>
      <c r="BT15" s="4057"/>
    </row>
    <row r="16" s="3566" customFormat="1" ht="50" customHeight="1" spans="1:313">
      <c r="A16" s="3635">
        <v>45611</v>
      </c>
      <c r="B16" s="3617" t="s">
        <v>2722</v>
      </c>
      <c r="C16" s="3617" t="s">
        <v>2723</v>
      </c>
      <c r="D16" s="3624">
        <v>4500151401</v>
      </c>
      <c r="E16" s="959">
        <v>2024101316</v>
      </c>
      <c r="F16" s="3617" t="s">
        <v>6123</v>
      </c>
      <c r="G16" s="959" t="s">
        <v>6124</v>
      </c>
      <c r="H16" s="3618" t="s">
        <v>6063</v>
      </c>
      <c r="I16" s="3618">
        <v>624</v>
      </c>
      <c r="J16" s="3618">
        <v>0</v>
      </c>
      <c r="K16" s="3618">
        <v>12</v>
      </c>
      <c r="L16" s="4052">
        <f t="shared" si="2"/>
        <v>52</v>
      </c>
      <c r="M16" s="3619">
        <v>45657</v>
      </c>
      <c r="N16" s="3619">
        <v>45653</v>
      </c>
      <c r="O16" s="3618"/>
      <c r="P16" s="959" t="s">
        <v>82</v>
      </c>
      <c r="Q16" s="959"/>
      <c r="R16" s="959"/>
      <c r="S16" s="959"/>
      <c r="T16" s="4053"/>
      <c r="U16" s="3620" t="s">
        <v>2725</v>
      </c>
      <c r="V16" s="3640" t="s">
        <v>2299</v>
      </c>
      <c r="W16" s="3640"/>
      <c r="X16" s="3640" t="s">
        <v>98</v>
      </c>
      <c r="Y16" s="3640"/>
      <c r="Z16" s="3618"/>
      <c r="AA16" s="3620" t="s">
        <v>6125</v>
      </c>
      <c r="AB16" s="3624" t="s">
        <v>1771</v>
      </c>
      <c r="AC16" s="3686">
        <v>2.3068</v>
      </c>
      <c r="AD16" s="3618">
        <f t="shared" si="3"/>
        <v>1439.4432</v>
      </c>
      <c r="AE16" s="3633" t="s">
        <v>2728</v>
      </c>
      <c r="AF16" s="959" t="s">
        <v>6126</v>
      </c>
      <c r="AG16" s="3620" t="s">
        <v>416</v>
      </c>
      <c r="AH16" s="3620"/>
      <c r="AI16" s="3620"/>
      <c r="AJ16" s="3620"/>
      <c r="AK16" s="959"/>
      <c r="AL16" s="959"/>
      <c r="AM16" s="959">
        <f>I16</f>
        <v>624</v>
      </c>
      <c r="AN16" s="959"/>
      <c r="AO16" s="959"/>
      <c r="AP16" s="3618">
        <f t="shared" si="4"/>
        <v>624</v>
      </c>
      <c r="AQ16" s="3618"/>
      <c r="AR16" s="3626"/>
      <c r="AS16" s="3626">
        <f t="shared" si="5"/>
        <v>624</v>
      </c>
      <c r="AT16" s="3626"/>
      <c r="AU16" s="3626"/>
      <c r="AV16" s="3626"/>
      <c r="AW16" s="3626">
        <f>I16/6</f>
        <v>104</v>
      </c>
      <c r="AX16" s="3626"/>
      <c r="AY16" s="3626"/>
      <c r="AZ16" s="3626"/>
      <c r="BA16" s="3626"/>
      <c r="BB16" s="3626"/>
      <c r="BC16" s="3626"/>
      <c r="BD16" s="3626"/>
      <c r="BE16" s="3626"/>
      <c r="BF16" s="3626"/>
      <c r="BG16" s="3626"/>
      <c r="BH16" s="3626"/>
      <c r="BI16" s="3626" t="s">
        <v>89</v>
      </c>
      <c r="BJ16" s="3626">
        <f>I16/60*2</f>
        <v>20.8</v>
      </c>
      <c r="BK16" s="3626">
        <f>I16/60*10</f>
        <v>104</v>
      </c>
      <c r="BL16" s="3626">
        <f>I16/60*10</f>
        <v>104</v>
      </c>
      <c r="BM16" s="3626">
        <f>I16/60*8</f>
        <v>83.2</v>
      </c>
      <c r="BN16" s="3626">
        <f>I16/60*10</f>
        <v>104</v>
      </c>
      <c r="BO16" s="4055">
        <f>I16/60*10</f>
        <v>104</v>
      </c>
      <c r="BP16" s="3627">
        <f>I16/60*10</f>
        <v>104</v>
      </c>
      <c r="BQ16" s="3627">
        <f t="shared" si="0"/>
        <v>624</v>
      </c>
      <c r="BR16" s="3627">
        <f t="shared" si="1"/>
        <v>0</v>
      </c>
      <c r="BS16" s="4056"/>
      <c r="BT16" s="4057"/>
    </row>
    <row r="17" s="3566" customFormat="1" ht="50" customHeight="1" spans="1:80">
      <c r="A17" s="3635">
        <v>45616</v>
      </c>
      <c r="B17" s="3617" t="s">
        <v>2770</v>
      </c>
      <c r="C17" s="3617" t="s">
        <v>2723</v>
      </c>
      <c r="D17" s="3624">
        <v>4500151863</v>
      </c>
      <c r="E17" s="959">
        <v>4500054543</v>
      </c>
      <c r="F17" s="3617" t="s">
        <v>6127</v>
      </c>
      <c r="G17" s="959" t="s">
        <v>6124</v>
      </c>
      <c r="H17" s="3618" t="s">
        <v>6063</v>
      </c>
      <c r="I17" s="3618">
        <v>504</v>
      </c>
      <c r="J17" s="3618">
        <v>0</v>
      </c>
      <c r="K17" s="3618">
        <v>12</v>
      </c>
      <c r="L17" s="4052">
        <f t="shared" si="2"/>
        <v>42</v>
      </c>
      <c r="M17" s="3619">
        <v>45657</v>
      </c>
      <c r="N17" s="3619">
        <v>45653</v>
      </c>
      <c r="O17" s="3623"/>
      <c r="P17" s="959" t="s">
        <v>82</v>
      </c>
      <c r="Q17" s="959"/>
      <c r="R17" s="959"/>
      <c r="S17" s="959"/>
      <c r="T17" s="4053"/>
      <c r="U17" s="3620" t="s">
        <v>518</v>
      </c>
      <c r="V17" s="3640" t="s">
        <v>2288</v>
      </c>
      <c r="W17" s="3640"/>
      <c r="X17" s="3640" t="s">
        <v>98</v>
      </c>
      <c r="Y17" s="3640"/>
      <c r="Z17" s="3623"/>
      <c r="AA17" s="3620" t="s">
        <v>6128</v>
      </c>
      <c r="AB17" s="3618" t="s">
        <v>1771</v>
      </c>
      <c r="AC17" s="3686">
        <v>2.3068</v>
      </c>
      <c r="AD17" s="3618">
        <f t="shared" si="3"/>
        <v>1162.6272</v>
      </c>
      <c r="AE17" s="3633" t="s">
        <v>6129</v>
      </c>
      <c r="AF17" s="959" t="s">
        <v>6126</v>
      </c>
      <c r="AG17" s="3620" t="s">
        <v>416</v>
      </c>
      <c r="AH17" s="3620"/>
      <c r="AI17" s="3620"/>
      <c r="AJ17" s="3620"/>
      <c r="AK17" s="959"/>
      <c r="AL17" s="959"/>
      <c r="AM17" s="959">
        <f>I17</f>
        <v>504</v>
      </c>
      <c r="AN17" s="959"/>
      <c r="AO17" s="959"/>
      <c r="AP17" s="3618">
        <f t="shared" si="4"/>
        <v>504</v>
      </c>
      <c r="AQ17" s="3618"/>
      <c r="AR17" s="3618"/>
      <c r="AS17" s="3626">
        <f t="shared" si="5"/>
        <v>504</v>
      </c>
      <c r="AT17" s="3626"/>
      <c r="AU17" s="3626"/>
      <c r="AV17" s="3626"/>
      <c r="AW17" s="3626">
        <f>I17/6</f>
        <v>84</v>
      </c>
      <c r="AX17" s="3626"/>
      <c r="AY17" s="3626"/>
      <c r="AZ17" s="3626"/>
      <c r="BA17" s="3626"/>
      <c r="BB17" s="3626"/>
      <c r="BC17" s="3626"/>
      <c r="BD17" s="3626"/>
      <c r="BE17" s="4059"/>
      <c r="BF17" s="3626"/>
      <c r="BG17" s="3626"/>
      <c r="BH17" s="3626"/>
      <c r="BI17" s="3626" t="s">
        <v>89</v>
      </c>
      <c r="BJ17" s="3626">
        <f>I17/60*2</f>
        <v>16.8</v>
      </c>
      <c r="BK17" s="3626">
        <f>I17/60*10</f>
        <v>84</v>
      </c>
      <c r="BL17" s="3626">
        <f>I17/60*10</f>
        <v>84</v>
      </c>
      <c r="BM17" s="3626">
        <f>I17/60*8</f>
        <v>67.2</v>
      </c>
      <c r="BN17" s="3626">
        <f>I17/60*10</f>
        <v>84</v>
      </c>
      <c r="BO17" s="4055">
        <f>I17/60*10</f>
        <v>84</v>
      </c>
      <c r="BP17" s="3627">
        <f>I17/60*10</f>
        <v>84</v>
      </c>
      <c r="BQ17" s="3627">
        <f t="shared" si="0"/>
        <v>504</v>
      </c>
      <c r="BR17" s="3627">
        <f t="shared" si="1"/>
        <v>0</v>
      </c>
      <c r="BS17" s="3626"/>
      <c r="BT17" s="4060"/>
      <c r="BU17" s="4061"/>
      <c r="BV17" s="3655"/>
      <c r="BW17" s="3655"/>
      <c r="BX17" s="3655"/>
      <c r="BY17" s="4062"/>
      <c r="BZ17" s="4063"/>
      <c r="CA17" s="4064"/>
      <c r="CB17" s="3668"/>
    </row>
    <row r="18" s="3566" customFormat="1" ht="50" customHeight="1" spans="1:80">
      <c r="A18" s="3635">
        <v>45603</v>
      </c>
      <c r="B18" s="3617" t="s">
        <v>387</v>
      </c>
      <c r="C18" s="959" t="s">
        <v>91</v>
      </c>
      <c r="D18" s="3618">
        <v>4500150294</v>
      </c>
      <c r="E18" s="3618">
        <v>70054068</v>
      </c>
      <c r="F18" s="959" t="s">
        <v>6130</v>
      </c>
      <c r="G18" s="959" t="s">
        <v>3520</v>
      </c>
      <c r="H18" s="3618" t="s">
        <v>6063</v>
      </c>
      <c r="I18" s="3618">
        <v>600</v>
      </c>
      <c r="J18" s="3618">
        <v>0</v>
      </c>
      <c r="K18" s="3618">
        <v>24</v>
      </c>
      <c r="L18" s="4052">
        <f t="shared" si="2"/>
        <v>25</v>
      </c>
      <c r="M18" s="3619">
        <v>45660</v>
      </c>
      <c r="N18" s="3619">
        <v>45657</v>
      </c>
      <c r="O18" s="3618"/>
      <c r="P18" s="959" t="s">
        <v>82</v>
      </c>
      <c r="Q18" s="959"/>
      <c r="R18" s="959"/>
      <c r="S18" s="959"/>
      <c r="T18" s="4053"/>
      <c r="U18" s="3620" t="s">
        <v>564</v>
      </c>
      <c r="V18" s="3640" t="s">
        <v>411</v>
      </c>
      <c r="W18" s="3640"/>
      <c r="X18" s="3640" t="s">
        <v>98</v>
      </c>
      <c r="Y18" s="3640" t="s">
        <v>587</v>
      </c>
      <c r="Z18" s="3618"/>
      <c r="AA18" s="3620" t="s">
        <v>413</v>
      </c>
      <c r="AB18" s="3624" t="s">
        <v>393</v>
      </c>
      <c r="AC18" s="4058">
        <v>2.1947</v>
      </c>
      <c r="AD18" s="3618">
        <f t="shared" si="3"/>
        <v>1316.82</v>
      </c>
      <c r="AE18" s="3633" t="s">
        <v>2731</v>
      </c>
      <c r="AF18" s="959" t="s">
        <v>3520</v>
      </c>
      <c r="AG18" s="3620" t="s">
        <v>416</v>
      </c>
      <c r="AH18" s="3620"/>
      <c r="AI18" s="3620"/>
      <c r="AJ18" s="3620"/>
      <c r="AK18" s="959">
        <f t="shared" ref="AK18:AK23" si="6">I18</f>
        <v>600</v>
      </c>
      <c r="AL18" s="959"/>
      <c r="AM18" s="959"/>
      <c r="AN18" s="959"/>
      <c r="AO18" s="959"/>
      <c r="AP18" s="3618">
        <f t="shared" ref="AP18:AP32" si="7">I18</f>
        <v>600</v>
      </c>
      <c r="AQ18" s="3618"/>
      <c r="AR18" s="3626"/>
      <c r="AS18" s="3626">
        <f t="shared" si="5"/>
        <v>600</v>
      </c>
      <c r="AT18" s="3626"/>
      <c r="AU18" s="3626"/>
      <c r="AV18" s="3626"/>
      <c r="AW18" s="3626"/>
      <c r="AX18" s="3626"/>
      <c r="AY18" s="3626"/>
      <c r="AZ18" s="3626"/>
      <c r="BA18" s="3626"/>
      <c r="BB18" s="3626"/>
      <c r="BC18" s="3626"/>
      <c r="BD18" s="3626"/>
      <c r="BE18" s="3626"/>
      <c r="BF18" s="3626"/>
      <c r="BG18" s="3626"/>
      <c r="BH18" s="3626"/>
      <c r="BI18" s="3626" t="s">
        <v>89</v>
      </c>
      <c r="BJ18" s="3626">
        <f t="shared" ref="BJ18:BJ30" si="8">I18/60*2</f>
        <v>20</v>
      </c>
      <c r="BK18" s="3626">
        <f t="shared" ref="BK18:BK30" si="9">I18/60*10</f>
        <v>100</v>
      </c>
      <c r="BL18" s="3626">
        <f t="shared" ref="BL18:BL30" si="10">I18/60*10</f>
        <v>100</v>
      </c>
      <c r="BM18" s="3626">
        <f t="shared" ref="BM18:BM30" si="11">I18/60*8</f>
        <v>80</v>
      </c>
      <c r="BN18" s="3626">
        <f t="shared" ref="BN18:BN30" si="12">I18/60*10</f>
        <v>100</v>
      </c>
      <c r="BO18" s="4055">
        <f t="shared" ref="BO18:BO30" si="13">I18/60*10</f>
        <v>100</v>
      </c>
      <c r="BP18" s="3627">
        <f t="shared" ref="BP18:BP30" si="14">I18/60*10</f>
        <v>100</v>
      </c>
      <c r="BQ18" s="3627">
        <f t="shared" si="0"/>
        <v>600</v>
      </c>
      <c r="BR18" s="3627">
        <f t="shared" si="1"/>
        <v>0</v>
      </c>
      <c r="BS18" s="4056"/>
      <c r="BT18" s="4057"/>
    </row>
    <row r="19" s="3566" customFormat="1" ht="50" customHeight="1" spans="1:80">
      <c r="A19" s="3635">
        <v>45615</v>
      </c>
      <c r="B19" s="3617" t="s">
        <v>2732</v>
      </c>
      <c r="C19" s="959" t="s">
        <v>840</v>
      </c>
      <c r="D19" s="3618">
        <v>4500151710</v>
      </c>
      <c r="E19" s="3618"/>
      <c r="F19" s="959" t="s">
        <v>6131</v>
      </c>
      <c r="G19" s="959" t="s">
        <v>6124</v>
      </c>
      <c r="H19" s="3618" t="s">
        <v>6063</v>
      </c>
      <c r="I19" s="3618">
        <v>624</v>
      </c>
      <c r="J19" s="3618">
        <v>0</v>
      </c>
      <c r="K19" s="3618">
        <v>12</v>
      </c>
      <c r="L19" s="4052">
        <f t="shared" si="2"/>
        <v>52</v>
      </c>
      <c r="M19" s="3619">
        <v>45660</v>
      </c>
      <c r="N19" s="3619">
        <v>45657</v>
      </c>
      <c r="O19" s="3618"/>
      <c r="P19" s="959" t="s">
        <v>82</v>
      </c>
      <c r="Q19" s="959"/>
      <c r="R19" s="959"/>
      <c r="S19" s="959"/>
      <c r="T19" s="4053"/>
      <c r="U19" s="3620" t="s">
        <v>2599</v>
      </c>
      <c r="V19" s="3640" t="s">
        <v>2299</v>
      </c>
      <c r="W19" s="3640"/>
      <c r="X19" s="3640" t="s">
        <v>98</v>
      </c>
      <c r="Y19" s="3640"/>
      <c r="Z19" s="3618"/>
      <c r="AA19" s="3620" t="s">
        <v>6132</v>
      </c>
      <c r="AB19" s="3624" t="s">
        <v>2735</v>
      </c>
      <c r="AC19" s="3686">
        <v>2.3068</v>
      </c>
      <c r="AD19" s="3618">
        <f t="shared" si="3"/>
        <v>1439.4432</v>
      </c>
      <c r="AE19" s="3633" t="s">
        <v>2736</v>
      </c>
      <c r="AF19" s="959" t="s">
        <v>6124</v>
      </c>
      <c r="AG19" s="3620" t="s">
        <v>416</v>
      </c>
      <c r="AH19" s="3620"/>
      <c r="AI19" s="3620"/>
      <c r="AJ19" s="3620"/>
      <c r="AK19" s="959">
        <f t="shared" si="6"/>
        <v>624</v>
      </c>
      <c r="AL19" s="959"/>
      <c r="AM19" s="959"/>
      <c r="AN19" s="959"/>
      <c r="AO19" s="959"/>
      <c r="AP19" s="3618">
        <f t="shared" si="7"/>
        <v>624</v>
      </c>
      <c r="AQ19" s="3618"/>
      <c r="AR19" s="3626"/>
      <c r="AS19" s="3626">
        <f t="shared" si="5"/>
        <v>624</v>
      </c>
      <c r="AT19" s="3626"/>
      <c r="AU19" s="3626"/>
      <c r="AV19" s="3626"/>
      <c r="AW19" s="3626">
        <f>I19/6</f>
        <v>104</v>
      </c>
      <c r="AX19" s="3626"/>
      <c r="AY19" s="3626"/>
      <c r="AZ19" s="3626"/>
      <c r="BA19" s="3626"/>
      <c r="BB19" s="3626"/>
      <c r="BC19" s="3626"/>
      <c r="BD19" s="3626"/>
      <c r="BE19" s="3626"/>
      <c r="BF19" s="3626"/>
      <c r="BG19" s="3626"/>
      <c r="BH19" s="3626"/>
      <c r="BI19" s="3626" t="s">
        <v>89</v>
      </c>
      <c r="BJ19" s="3626">
        <f t="shared" si="8"/>
        <v>20.8</v>
      </c>
      <c r="BK19" s="3626">
        <f t="shared" si="9"/>
        <v>104</v>
      </c>
      <c r="BL19" s="3626">
        <f t="shared" si="10"/>
        <v>104</v>
      </c>
      <c r="BM19" s="3626">
        <f t="shared" si="11"/>
        <v>83.2</v>
      </c>
      <c r="BN19" s="3626">
        <f t="shared" si="12"/>
        <v>104</v>
      </c>
      <c r="BO19" s="4055">
        <f t="shared" si="13"/>
        <v>104</v>
      </c>
      <c r="BP19" s="3627">
        <f t="shared" si="14"/>
        <v>104</v>
      </c>
      <c r="BQ19" s="3627">
        <f t="shared" si="0"/>
        <v>624</v>
      </c>
      <c r="BR19" s="3627">
        <f t="shared" si="1"/>
        <v>0</v>
      </c>
      <c r="BS19" s="4056"/>
      <c r="BT19" s="4057"/>
    </row>
    <row r="20" s="3566" customFormat="1" ht="50" customHeight="1" spans="1:80">
      <c r="A20" s="3635">
        <v>45615</v>
      </c>
      <c r="B20" s="3617" t="s">
        <v>2732</v>
      </c>
      <c r="C20" s="959" t="s">
        <v>840</v>
      </c>
      <c r="D20" s="3618">
        <v>4500151707</v>
      </c>
      <c r="E20" s="3618"/>
      <c r="F20" s="959" t="s">
        <v>6133</v>
      </c>
      <c r="G20" s="959" t="s">
        <v>6124</v>
      </c>
      <c r="H20" s="3618" t="s">
        <v>6063</v>
      </c>
      <c r="I20" s="3618">
        <v>1872</v>
      </c>
      <c r="J20" s="3618">
        <v>0</v>
      </c>
      <c r="K20" s="3618">
        <v>12</v>
      </c>
      <c r="L20" s="4052">
        <f t="shared" si="2"/>
        <v>156</v>
      </c>
      <c r="M20" s="3619">
        <v>45660</v>
      </c>
      <c r="N20" s="3619">
        <v>45657</v>
      </c>
      <c r="O20" s="3618"/>
      <c r="P20" s="959" t="s">
        <v>82</v>
      </c>
      <c r="Q20" s="959"/>
      <c r="R20" s="959"/>
      <c r="S20" s="959"/>
      <c r="T20" s="4053"/>
      <c r="U20" s="3620" t="s">
        <v>2599</v>
      </c>
      <c r="V20" s="3640" t="s">
        <v>2299</v>
      </c>
      <c r="W20" s="3640"/>
      <c r="X20" s="3640" t="s">
        <v>98</v>
      </c>
      <c r="Y20" s="3640"/>
      <c r="Z20" s="3618"/>
      <c r="AA20" s="3620" t="s">
        <v>6134</v>
      </c>
      <c r="AB20" s="3624" t="s">
        <v>2735</v>
      </c>
      <c r="AC20" s="3686">
        <v>2.3023</v>
      </c>
      <c r="AD20" s="3618">
        <f t="shared" si="3"/>
        <v>4309.9056</v>
      </c>
      <c r="AE20" s="3633" t="s">
        <v>2739</v>
      </c>
      <c r="AF20" s="959" t="s">
        <v>6124</v>
      </c>
      <c r="AG20" s="3620" t="s">
        <v>416</v>
      </c>
      <c r="AH20" s="3620"/>
      <c r="AI20" s="3620"/>
      <c r="AJ20" s="3620"/>
      <c r="AK20" s="959">
        <f t="shared" si="6"/>
        <v>1872</v>
      </c>
      <c r="AL20" s="959"/>
      <c r="AM20" s="959"/>
      <c r="AN20" s="959"/>
      <c r="AO20" s="959"/>
      <c r="AP20" s="3618">
        <f t="shared" si="7"/>
        <v>1872</v>
      </c>
      <c r="AQ20" s="3618"/>
      <c r="AR20" s="3626"/>
      <c r="AS20" s="3626">
        <f t="shared" si="5"/>
        <v>1872</v>
      </c>
      <c r="AT20" s="3626"/>
      <c r="AU20" s="3626"/>
      <c r="AV20" s="3626"/>
      <c r="AW20" s="3626">
        <f>I20/6</f>
        <v>312</v>
      </c>
      <c r="AX20" s="3626"/>
      <c r="AY20" s="3626"/>
      <c r="AZ20" s="3626"/>
      <c r="BA20" s="3626"/>
      <c r="BB20" s="3626"/>
      <c r="BC20" s="3626"/>
      <c r="BD20" s="3626"/>
      <c r="BE20" s="3626"/>
      <c r="BF20" s="3626"/>
      <c r="BG20" s="3626"/>
      <c r="BH20" s="3626"/>
      <c r="BI20" s="3626" t="s">
        <v>89</v>
      </c>
      <c r="BJ20" s="3626">
        <f t="shared" si="8"/>
        <v>62.4</v>
      </c>
      <c r="BK20" s="3626">
        <f t="shared" si="9"/>
        <v>312</v>
      </c>
      <c r="BL20" s="3626">
        <f t="shared" si="10"/>
        <v>312</v>
      </c>
      <c r="BM20" s="3626">
        <f t="shared" si="11"/>
        <v>249.6</v>
      </c>
      <c r="BN20" s="3626">
        <f t="shared" si="12"/>
        <v>312</v>
      </c>
      <c r="BO20" s="4055">
        <f t="shared" si="13"/>
        <v>312</v>
      </c>
      <c r="BP20" s="3627">
        <f t="shared" si="14"/>
        <v>312</v>
      </c>
      <c r="BQ20" s="3627">
        <f t="shared" si="0"/>
        <v>1872</v>
      </c>
      <c r="BR20" s="3627">
        <f t="shared" si="1"/>
        <v>0</v>
      </c>
      <c r="BS20" s="4056"/>
      <c r="BT20" s="4057"/>
    </row>
    <row r="21" s="3566" customFormat="1" ht="50" customHeight="1" spans="1:80">
      <c r="A21" s="3635">
        <v>45618</v>
      </c>
      <c r="B21" s="3617" t="s">
        <v>1331</v>
      </c>
      <c r="C21" s="959" t="s">
        <v>1332</v>
      </c>
      <c r="D21" s="3618">
        <v>4500152087</v>
      </c>
      <c r="E21" s="3618" t="s">
        <v>2747</v>
      </c>
      <c r="F21" s="959" t="s">
        <v>6135</v>
      </c>
      <c r="G21" s="959" t="s">
        <v>6124</v>
      </c>
      <c r="H21" s="3618" t="s">
        <v>6063</v>
      </c>
      <c r="I21" s="3618">
        <v>504</v>
      </c>
      <c r="J21" s="3618">
        <v>0</v>
      </c>
      <c r="K21" s="3618">
        <v>12</v>
      </c>
      <c r="L21" s="4052">
        <f t="shared" si="2"/>
        <v>42</v>
      </c>
      <c r="M21" s="3619">
        <v>45660</v>
      </c>
      <c r="N21" s="3619">
        <v>45657</v>
      </c>
      <c r="O21" s="3618"/>
      <c r="P21" s="959" t="s">
        <v>82</v>
      </c>
      <c r="Q21" s="959"/>
      <c r="R21" s="959"/>
      <c r="S21" s="959"/>
      <c r="T21" s="4053"/>
      <c r="U21" s="3620" t="s">
        <v>110</v>
      </c>
      <c r="V21" s="3640" t="s">
        <v>384</v>
      </c>
      <c r="W21" s="3640"/>
      <c r="X21" s="3640" t="s">
        <v>2749</v>
      </c>
      <c r="Y21" s="3640"/>
      <c r="Z21" s="3618"/>
      <c r="AA21" s="3620" t="s">
        <v>6136</v>
      </c>
      <c r="AB21" s="3624" t="s">
        <v>459</v>
      </c>
      <c r="AC21" s="3686">
        <v>2.3068</v>
      </c>
      <c r="AD21" s="3618">
        <f t="shared" si="3"/>
        <v>1162.6272</v>
      </c>
      <c r="AE21" s="3633" t="s">
        <v>2751</v>
      </c>
      <c r="AF21" s="959" t="s">
        <v>6124</v>
      </c>
      <c r="AG21" s="3620" t="s">
        <v>416</v>
      </c>
      <c r="AH21" s="3620"/>
      <c r="AI21" s="3620"/>
      <c r="AJ21" s="3620"/>
      <c r="AK21" s="959">
        <f t="shared" si="6"/>
        <v>504</v>
      </c>
      <c r="AL21" s="959"/>
      <c r="AM21" s="959"/>
      <c r="AN21" s="959"/>
      <c r="AO21" s="959"/>
      <c r="AP21" s="3618">
        <f t="shared" si="7"/>
        <v>504</v>
      </c>
      <c r="AQ21" s="3618"/>
      <c r="AR21" s="3626"/>
      <c r="AS21" s="3626">
        <f t="shared" si="5"/>
        <v>504</v>
      </c>
      <c r="AT21" s="3626"/>
      <c r="AU21" s="3626"/>
      <c r="AV21" s="3626"/>
      <c r="AW21" s="3626">
        <f>I21/6</f>
        <v>84</v>
      </c>
      <c r="AX21" s="3626"/>
      <c r="AY21" s="3626"/>
      <c r="AZ21" s="3626"/>
      <c r="BA21" s="3626"/>
      <c r="BB21" s="3626"/>
      <c r="BC21" s="3626"/>
      <c r="BD21" s="3626"/>
      <c r="BE21" s="3626"/>
      <c r="BF21" s="3626"/>
      <c r="BG21" s="3626"/>
      <c r="BH21" s="3626"/>
      <c r="BI21" s="3626" t="s">
        <v>89</v>
      </c>
      <c r="BJ21" s="3626">
        <f t="shared" si="8"/>
        <v>16.8</v>
      </c>
      <c r="BK21" s="3626">
        <f t="shared" si="9"/>
        <v>84</v>
      </c>
      <c r="BL21" s="3626">
        <f t="shared" si="10"/>
        <v>84</v>
      </c>
      <c r="BM21" s="3626">
        <f t="shared" si="11"/>
        <v>67.2</v>
      </c>
      <c r="BN21" s="3626">
        <f t="shared" si="12"/>
        <v>84</v>
      </c>
      <c r="BO21" s="4055">
        <f t="shared" si="13"/>
        <v>84</v>
      </c>
      <c r="BP21" s="3627">
        <f t="shared" si="14"/>
        <v>84</v>
      </c>
      <c r="BQ21" s="3627">
        <f t="shared" si="0"/>
        <v>504</v>
      </c>
      <c r="BR21" s="3627">
        <f t="shared" si="1"/>
        <v>0</v>
      </c>
      <c r="BS21" s="4056"/>
      <c r="BT21" s="4057"/>
    </row>
    <row r="22" s="3566" customFormat="1" ht="50" customHeight="1" spans="1:80">
      <c r="A22" s="3635">
        <v>45621</v>
      </c>
      <c r="B22" s="3617" t="s">
        <v>4395</v>
      </c>
      <c r="C22" s="959" t="s">
        <v>524</v>
      </c>
      <c r="D22" s="3618">
        <v>4500152280</v>
      </c>
      <c r="E22" s="3618"/>
      <c r="F22" s="959" t="s">
        <v>6137</v>
      </c>
      <c r="G22" s="959" t="s">
        <v>6124</v>
      </c>
      <c r="H22" s="3618" t="s">
        <v>6063</v>
      </c>
      <c r="I22" s="3618">
        <v>240</v>
      </c>
      <c r="J22" s="3618">
        <v>0</v>
      </c>
      <c r="K22" s="3618">
        <v>12</v>
      </c>
      <c r="L22" s="4052">
        <f t="shared" si="2"/>
        <v>20</v>
      </c>
      <c r="M22" s="3619">
        <v>45660</v>
      </c>
      <c r="N22" s="3619">
        <v>45657</v>
      </c>
      <c r="O22" s="3618"/>
      <c r="P22" s="959" t="s">
        <v>82</v>
      </c>
      <c r="Q22" s="959"/>
      <c r="R22" s="959"/>
      <c r="S22" s="959"/>
      <c r="T22" s="4053"/>
      <c r="U22" s="3620" t="s">
        <v>110</v>
      </c>
      <c r="V22" s="3640" t="s">
        <v>384</v>
      </c>
      <c r="W22" s="3640"/>
      <c r="X22" s="3640" t="s">
        <v>98</v>
      </c>
      <c r="Y22" s="3640"/>
      <c r="Z22" s="3618"/>
      <c r="AA22" s="3620" t="s">
        <v>6138</v>
      </c>
      <c r="AB22" s="3624" t="s">
        <v>459</v>
      </c>
      <c r="AC22" s="3686">
        <v>2.3068</v>
      </c>
      <c r="AD22" s="3618">
        <f t="shared" si="3"/>
        <v>553.632</v>
      </c>
      <c r="AE22" s="3633" t="s">
        <v>6139</v>
      </c>
      <c r="AF22" s="959" t="s">
        <v>6124</v>
      </c>
      <c r="AG22" s="3620" t="s">
        <v>416</v>
      </c>
      <c r="AH22" s="3620"/>
      <c r="AI22" s="3620"/>
      <c r="AJ22" s="3620"/>
      <c r="AK22" s="959">
        <f t="shared" si="6"/>
        <v>240</v>
      </c>
      <c r="AL22" s="959"/>
      <c r="AM22" s="959"/>
      <c r="AN22" s="959"/>
      <c r="AO22" s="959"/>
      <c r="AP22" s="3618">
        <f t="shared" si="7"/>
        <v>240</v>
      </c>
      <c r="AQ22" s="3618"/>
      <c r="AR22" s="3626"/>
      <c r="AS22" s="3626">
        <f t="shared" si="5"/>
        <v>240</v>
      </c>
      <c r="AT22" s="3626"/>
      <c r="AU22" s="3626"/>
      <c r="AV22" s="3626"/>
      <c r="AW22" s="3626">
        <f>I22/6</f>
        <v>40</v>
      </c>
      <c r="AX22" s="3626"/>
      <c r="AY22" s="3626"/>
      <c r="AZ22" s="3626"/>
      <c r="BA22" s="3626"/>
      <c r="BB22" s="3626"/>
      <c r="BC22" s="3626"/>
      <c r="BD22" s="3626"/>
      <c r="BE22" s="3626"/>
      <c r="BF22" s="3626"/>
      <c r="BG22" s="3626"/>
      <c r="BH22" s="3626"/>
      <c r="BI22" s="3626" t="s">
        <v>89</v>
      </c>
      <c r="BJ22" s="3626">
        <f t="shared" si="8"/>
        <v>8</v>
      </c>
      <c r="BK22" s="3626">
        <f t="shared" si="9"/>
        <v>40</v>
      </c>
      <c r="BL22" s="3626">
        <f t="shared" si="10"/>
        <v>40</v>
      </c>
      <c r="BM22" s="3626">
        <f t="shared" si="11"/>
        <v>32</v>
      </c>
      <c r="BN22" s="3626">
        <f t="shared" si="12"/>
        <v>40</v>
      </c>
      <c r="BO22" s="4055">
        <f t="shared" si="13"/>
        <v>40</v>
      </c>
      <c r="BP22" s="3627">
        <f t="shared" si="14"/>
        <v>40</v>
      </c>
      <c r="BQ22" s="3627">
        <f t="shared" si="0"/>
        <v>240</v>
      </c>
      <c r="BR22" s="3627">
        <f t="shared" si="1"/>
        <v>0</v>
      </c>
      <c r="BS22" s="4056"/>
      <c r="BT22" s="4057"/>
    </row>
    <row r="23" s="3566" customFormat="1" ht="50" customHeight="1" spans="1:80">
      <c r="A23" s="3635">
        <v>45617</v>
      </c>
      <c r="B23" s="3617" t="s">
        <v>872</v>
      </c>
      <c r="C23" s="959" t="s">
        <v>873</v>
      </c>
      <c r="D23" s="3618">
        <v>4500151924</v>
      </c>
      <c r="E23" s="3618"/>
      <c r="F23" s="959" t="s">
        <v>6140</v>
      </c>
      <c r="G23" s="959" t="s">
        <v>3520</v>
      </c>
      <c r="H23" s="3618" t="s">
        <v>6063</v>
      </c>
      <c r="I23" s="3618">
        <v>648</v>
      </c>
      <c r="J23" s="3618">
        <v>0</v>
      </c>
      <c r="K23" s="3618">
        <v>24</v>
      </c>
      <c r="L23" s="4052">
        <f t="shared" si="2"/>
        <v>27</v>
      </c>
      <c r="M23" s="3619">
        <v>45660</v>
      </c>
      <c r="N23" s="3619">
        <v>45656</v>
      </c>
      <c r="O23" s="3618"/>
      <c r="P23" s="959" t="s">
        <v>82</v>
      </c>
      <c r="Q23" s="959"/>
      <c r="R23" s="959"/>
      <c r="S23" s="959"/>
      <c r="T23" s="4053"/>
      <c r="U23" s="3620" t="s">
        <v>6141</v>
      </c>
      <c r="V23" s="3640" t="s">
        <v>600</v>
      </c>
      <c r="W23" s="3640"/>
      <c r="X23" s="3640" t="s">
        <v>6142</v>
      </c>
      <c r="Y23" s="3640"/>
      <c r="Z23" s="3618"/>
      <c r="AA23" s="3620" t="s">
        <v>6143</v>
      </c>
      <c r="AB23" s="3624" t="s">
        <v>357</v>
      </c>
      <c r="AC23" s="4058">
        <v>2.1947</v>
      </c>
      <c r="AD23" s="3618">
        <v>1422.1656</v>
      </c>
      <c r="AE23" s="3633" t="s">
        <v>6144</v>
      </c>
      <c r="AF23" s="959" t="s">
        <v>3520</v>
      </c>
      <c r="AG23" s="3620" t="s">
        <v>416</v>
      </c>
      <c r="AH23" s="3620"/>
      <c r="AI23" s="3620"/>
      <c r="AJ23" s="3620"/>
      <c r="AK23" s="959">
        <f t="shared" si="6"/>
        <v>648</v>
      </c>
      <c r="AL23" s="959"/>
      <c r="AM23" s="959"/>
      <c r="AN23" s="959"/>
      <c r="AO23" s="959"/>
      <c r="AP23" s="3618">
        <f t="shared" si="7"/>
        <v>648</v>
      </c>
      <c r="AQ23" s="3618"/>
      <c r="AR23" s="3626"/>
      <c r="AS23" s="3626">
        <f t="shared" si="5"/>
        <v>648</v>
      </c>
      <c r="AT23" s="3626"/>
      <c r="AU23" s="3626"/>
      <c r="AV23" s="3626"/>
      <c r="AW23" s="3626"/>
      <c r="AX23" s="3626"/>
      <c r="AY23" s="3626"/>
      <c r="AZ23" s="3626"/>
      <c r="BA23" s="3626"/>
      <c r="BB23" s="3626"/>
      <c r="BC23" s="3626"/>
      <c r="BD23" s="3626"/>
      <c r="BE23" s="3626"/>
      <c r="BF23" s="3626"/>
      <c r="BG23" s="3626"/>
      <c r="BH23" s="3626"/>
      <c r="BI23" s="3626" t="s">
        <v>89</v>
      </c>
      <c r="BJ23" s="3626">
        <f t="shared" si="8"/>
        <v>21.6</v>
      </c>
      <c r="BK23" s="3626">
        <f t="shared" si="9"/>
        <v>108</v>
      </c>
      <c r="BL23" s="3626">
        <f t="shared" si="10"/>
        <v>108</v>
      </c>
      <c r="BM23" s="3626">
        <f t="shared" si="11"/>
        <v>86.4</v>
      </c>
      <c r="BN23" s="3626">
        <f t="shared" si="12"/>
        <v>108</v>
      </c>
      <c r="BO23" s="4055">
        <f t="shared" si="13"/>
        <v>108</v>
      </c>
      <c r="BP23" s="3627">
        <f t="shared" si="14"/>
        <v>108</v>
      </c>
      <c r="BQ23" s="3627">
        <f t="shared" si="0"/>
        <v>648</v>
      </c>
      <c r="BR23" s="3627">
        <f t="shared" si="1"/>
        <v>0</v>
      </c>
      <c r="BS23" s="4056"/>
      <c r="BT23" s="4057"/>
    </row>
    <row r="24" s="3566" customFormat="1" ht="50" customHeight="1" spans="1:80">
      <c r="A24" s="3635">
        <v>45624</v>
      </c>
      <c r="B24" s="3617" t="s">
        <v>2775</v>
      </c>
      <c r="C24" s="959" t="s">
        <v>2776</v>
      </c>
      <c r="D24" s="3618">
        <v>4500152720</v>
      </c>
      <c r="E24" s="959"/>
      <c r="F24" s="959" t="s">
        <v>6145</v>
      </c>
      <c r="G24" s="959" t="s">
        <v>6124</v>
      </c>
      <c r="H24" s="3618" t="s">
        <v>6063</v>
      </c>
      <c r="I24" s="3618">
        <v>3204</v>
      </c>
      <c r="J24" s="3618">
        <v>0</v>
      </c>
      <c r="K24" s="3618">
        <v>12</v>
      </c>
      <c r="L24" s="4052">
        <f t="shared" si="2"/>
        <v>267</v>
      </c>
      <c r="M24" s="3619">
        <v>45663</v>
      </c>
      <c r="N24" s="3619">
        <v>45659</v>
      </c>
      <c r="O24" s="3618"/>
      <c r="P24" s="959" t="s">
        <v>82</v>
      </c>
      <c r="Q24" s="959"/>
      <c r="R24" s="959"/>
      <c r="S24" s="959"/>
      <c r="T24" s="4053"/>
      <c r="U24" s="3620" t="s">
        <v>110</v>
      </c>
      <c r="V24" s="3640" t="s">
        <v>510</v>
      </c>
      <c r="W24" s="3640"/>
      <c r="X24" s="3640" t="s">
        <v>2778</v>
      </c>
      <c r="Y24" s="3640"/>
      <c r="Z24" s="3623"/>
      <c r="AA24" s="3620" t="s">
        <v>6146</v>
      </c>
      <c r="AB24" s="3624" t="s">
        <v>459</v>
      </c>
      <c r="AC24" s="3686">
        <v>2.298</v>
      </c>
      <c r="AD24" s="3618">
        <f t="shared" ref="AD24:AD29" si="15">AC24*I24</f>
        <v>7362.792</v>
      </c>
      <c r="AE24" s="3633" t="s">
        <v>2780</v>
      </c>
      <c r="AF24" s="959" t="s">
        <v>6126</v>
      </c>
      <c r="AG24" s="3620" t="s">
        <v>416</v>
      </c>
      <c r="AH24" s="3620"/>
      <c r="AI24" s="3620"/>
      <c r="AJ24" s="3620"/>
      <c r="AK24" s="959"/>
      <c r="AL24" s="959"/>
      <c r="AM24" s="959">
        <f>I24</f>
        <v>3204</v>
      </c>
      <c r="AN24" s="959"/>
      <c r="AO24" s="959"/>
      <c r="AP24" s="3618">
        <f t="shared" si="7"/>
        <v>3204</v>
      </c>
      <c r="AQ24" s="3618"/>
      <c r="AR24" s="3626"/>
      <c r="AS24" s="3626">
        <f t="shared" si="5"/>
        <v>3204</v>
      </c>
      <c r="AT24" s="3626"/>
      <c r="AU24" s="3626"/>
      <c r="AV24" s="3626"/>
      <c r="AW24" s="3626">
        <f>I24/6</f>
        <v>534</v>
      </c>
      <c r="AX24" s="3626"/>
      <c r="AY24" s="3626"/>
      <c r="AZ24" s="3626"/>
      <c r="BA24" s="3626"/>
      <c r="BB24" s="3626"/>
      <c r="BC24" s="3626"/>
      <c r="BD24" s="3626"/>
      <c r="BE24" s="3626"/>
      <c r="BF24" s="3626"/>
      <c r="BG24" s="3626"/>
      <c r="BH24" s="3626"/>
      <c r="BI24" s="3626" t="s">
        <v>89</v>
      </c>
      <c r="BJ24" s="3626">
        <f t="shared" si="8"/>
        <v>106.8</v>
      </c>
      <c r="BK24" s="3626">
        <f t="shared" si="9"/>
        <v>534</v>
      </c>
      <c r="BL24" s="3626">
        <f t="shared" si="10"/>
        <v>534</v>
      </c>
      <c r="BM24" s="3626">
        <f t="shared" si="11"/>
        <v>427.2</v>
      </c>
      <c r="BN24" s="3626">
        <f t="shared" si="12"/>
        <v>534</v>
      </c>
      <c r="BO24" s="4055">
        <f t="shared" si="13"/>
        <v>534</v>
      </c>
      <c r="BP24" s="3627">
        <f t="shared" si="14"/>
        <v>534</v>
      </c>
      <c r="BQ24" s="3627">
        <f t="shared" si="0"/>
        <v>3204</v>
      </c>
      <c r="BR24" s="3627">
        <f t="shared" si="1"/>
        <v>0</v>
      </c>
      <c r="BS24" s="4056"/>
      <c r="BT24" s="4057"/>
    </row>
    <row r="25" s="3566" customFormat="1" ht="50" customHeight="1" spans="1:80">
      <c r="A25" s="3635">
        <v>45604</v>
      </c>
      <c r="B25" s="3617" t="s">
        <v>6147</v>
      </c>
      <c r="C25" s="959" t="s">
        <v>6148</v>
      </c>
      <c r="D25" s="3618">
        <v>4500150770</v>
      </c>
      <c r="E25" s="3618" t="s">
        <v>6149</v>
      </c>
      <c r="F25" s="959" t="s">
        <v>6150</v>
      </c>
      <c r="G25" s="959" t="s">
        <v>6124</v>
      </c>
      <c r="H25" s="3618" t="s">
        <v>6063</v>
      </c>
      <c r="I25" s="3618">
        <v>252</v>
      </c>
      <c r="J25" s="3618">
        <v>0</v>
      </c>
      <c r="K25" s="3618">
        <v>12</v>
      </c>
      <c r="L25" s="4052">
        <f t="shared" si="2"/>
        <v>21</v>
      </c>
      <c r="M25" s="3619">
        <v>45663</v>
      </c>
      <c r="N25" s="3619">
        <v>45659</v>
      </c>
      <c r="O25" s="3618"/>
      <c r="P25" s="959" t="s">
        <v>82</v>
      </c>
      <c r="Q25" s="959"/>
      <c r="R25" s="959"/>
      <c r="S25" s="959"/>
      <c r="T25" s="4053"/>
      <c r="U25" s="3620" t="s">
        <v>556</v>
      </c>
      <c r="V25" s="3640" t="s">
        <v>2201</v>
      </c>
      <c r="W25" s="3640"/>
      <c r="X25" s="3640" t="s">
        <v>98</v>
      </c>
      <c r="Y25" s="3640"/>
      <c r="Z25" s="3618"/>
      <c r="AA25" s="3620" t="s">
        <v>6151</v>
      </c>
      <c r="AB25" s="3624" t="s">
        <v>448</v>
      </c>
      <c r="AC25" s="3686">
        <v>2.3283</v>
      </c>
      <c r="AD25" s="3618">
        <f t="shared" si="15"/>
        <v>586.7316</v>
      </c>
      <c r="AE25" s="3633" t="s">
        <v>6152</v>
      </c>
      <c r="AF25" s="959" t="s">
        <v>6124</v>
      </c>
      <c r="AG25" s="3620" t="s">
        <v>416</v>
      </c>
      <c r="AH25" s="3620"/>
      <c r="AI25" s="3620"/>
      <c r="AJ25" s="3620"/>
      <c r="AK25" s="959">
        <f>I25</f>
        <v>252</v>
      </c>
      <c r="AL25" s="959"/>
      <c r="AM25" s="959"/>
      <c r="AN25" s="959"/>
      <c r="AO25" s="959"/>
      <c r="AP25" s="3618">
        <f t="shared" si="7"/>
        <v>252</v>
      </c>
      <c r="AQ25" s="3618"/>
      <c r="AR25" s="3626"/>
      <c r="AS25" s="3626">
        <f t="shared" si="5"/>
        <v>252</v>
      </c>
      <c r="AT25" s="3626"/>
      <c r="AU25" s="3626"/>
      <c r="AV25" s="3626"/>
      <c r="AW25" s="3626">
        <f>I25/6</f>
        <v>42</v>
      </c>
      <c r="AX25" s="3626"/>
      <c r="AY25" s="3626"/>
      <c r="AZ25" s="3626"/>
      <c r="BA25" s="3626"/>
      <c r="BB25" s="3626"/>
      <c r="BC25" s="3626"/>
      <c r="BD25" s="3626"/>
      <c r="BE25" s="3626"/>
      <c r="BF25" s="3626"/>
      <c r="BG25" s="3626"/>
      <c r="BH25" s="3626"/>
      <c r="BI25" s="3626" t="s">
        <v>89</v>
      </c>
      <c r="BJ25" s="3626">
        <f t="shared" si="8"/>
        <v>8.4</v>
      </c>
      <c r="BK25" s="3626">
        <f t="shared" si="9"/>
        <v>42</v>
      </c>
      <c r="BL25" s="3626">
        <f t="shared" si="10"/>
        <v>42</v>
      </c>
      <c r="BM25" s="3626">
        <f t="shared" si="11"/>
        <v>33.6</v>
      </c>
      <c r="BN25" s="3626">
        <f t="shared" si="12"/>
        <v>42</v>
      </c>
      <c r="BO25" s="4055">
        <f t="shared" si="13"/>
        <v>42</v>
      </c>
      <c r="BP25" s="3627">
        <f t="shared" si="14"/>
        <v>42</v>
      </c>
      <c r="BQ25" s="3627">
        <f t="shared" si="0"/>
        <v>252</v>
      </c>
      <c r="BR25" s="3627">
        <f t="shared" si="1"/>
        <v>0</v>
      </c>
      <c r="BS25" s="4056"/>
      <c r="BT25" s="4057"/>
    </row>
    <row r="26" s="3566" customFormat="1" ht="50" customHeight="1" spans="1:80">
      <c r="A26" s="3635">
        <v>45610</v>
      </c>
      <c r="B26" s="3617" t="s">
        <v>6153</v>
      </c>
      <c r="C26" s="959" t="s">
        <v>2723</v>
      </c>
      <c r="D26" s="3618">
        <v>4500151318</v>
      </c>
      <c r="E26" s="3618" t="s">
        <v>6154</v>
      </c>
      <c r="F26" s="959" t="s">
        <v>6155</v>
      </c>
      <c r="G26" s="959" t="s">
        <v>6124</v>
      </c>
      <c r="H26" s="3618" t="s">
        <v>6063</v>
      </c>
      <c r="I26" s="3618">
        <v>480</v>
      </c>
      <c r="J26" s="3618">
        <v>0</v>
      </c>
      <c r="K26" s="3618">
        <v>12</v>
      </c>
      <c r="L26" s="4052">
        <f t="shared" si="2"/>
        <v>40</v>
      </c>
      <c r="M26" s="3619">
        <v>45663</v>
      </c>
      <c r="N26" s="3619">
        <v>45659</v>
      </c>
      <c r="O26" s="3618"/>
      <c r="P26" s="959" t="s">
        <v>82</v>
      </c>
      <c r="Q26" s="959"/>
      <c r="R26" s="959"/>
      <c r="S26" s="959"/>
      <c r="T26" s="4053"/>
      <c r="U26" s="3620" t="s">
        <v>427</v>
      </c>
      <c r="V26" s="3640" t="s">
        <v>6117</v>
      </c>
      <c r="W26" s="3640"/>
      <c r="X26" s="3640" t="s">
        <v>98</v>
      </c>
      <c r="Y26" s="3640"/>
      <c r="Z26" s="3618"/>
      <c r="AA26" s="3620" t="s">
        <v>6156</v>
      </c>
      <c r="AB26" s="3624" t="s">
        <v>1771</v>
      </c>
      <c r="AC26" s="3686">
        <v>2.3068</v>
      </c>
      <c r="AD26" s="3618">
        <f t="shared" si="15"/>
        <v>1107.264</v>
      </c>
      <c r="AE26" s="3633" t="s">
        <v>6157</v>
      </c>
      <c r="AF26" s="959" t="s">
        <v>6126</v>
      </c>
      <c r="AG26" s="3620" t="s">
        <v>416</v>
      </c>
      <c r="AH26" s="3620"/>
      <c r="AI26" s="3620"/>
      <c r="AJ26" s="3620"/>
      <c r="AK26" s="959"/>
      <c r="AL26" s="959"/>
      <c r="AM26" s="959">
        <f>I26</f>
        <v>480</v>
      </c>
      <c r="AN26" s="959"/>
      <c r="AO26" s="959"/>
      <c r="AP26" s="3618">
        <f t="shared" si="7"/>
        <v>480</v>
      </c>
      <c r="AQ26" s="3618"/>
      <c r="AR26" s="3626"/>
      <c r="AS26" s="3626">
        <f t="shared" si="5"/>
        <v>480</v>
      </c>
      <c r="AT26" s="3626"/>
      <c r="AU26" s="3626"/>
      <c r="AV26" s="3626"/>
      <c r="AW26" s="3626">
        <f>I26/6</f>
        <v>80</v>
      </c>
      <c r="AX26" s="3626"/>
      <c r="AY26" s="3626"/>
      <c r="AZ26" s="3626"/>
      <c r="BA26" s="3626"/>
      <c r="BB26" s="3626"/>
      <c r="BC26" s="3626"/>
      <c r="BD26" s="3626"/>
      <c r="BE26" s="3626"/>
      <c r="BF26" s="3626"/>
      <c r="BG26" s="3626"/>
      <c r="BH26" s="3626"/>
      <c r="BI26" s="3626" t="s">
        <v>89</v>
      </c>
      <c r="BJ26" s="3626">
        <f t="shared" si="8"/>
        <v>16</v>
      </c>
      <c r="BK26" s="3626">
        <f t="shared" si="9"/>
        <v>80</v>
      </c>
      <c r="BL26" s="3626">
        <f t="shared" si="10"/>
        <v>80</v>
      </c>
      <c r="BM26" s="3626">
        <f t="shared" si="11"/>
        <v>64</v>
      </c>
      <c r="BN26" s="3626">
        <f t="shared" si="12"/>
        <v>80</v>
      </c>
      <c r="BO26" s="4055">
        <f t="shared" si="13"/>
        <v>80</v>
      </c>
      <c r="BP26" s="3627">
        <f t="shared" si="14"/>
        <v>80</v>
      </c>
      <c r="BQ26" s="3627">
        <f t="shared" si="0"/>
        <v>480</v>
      </c>
      <c r="BR26" s="3627">
        <f t="shared" si="1"/>
        <v>0</v>
      </c>
      <c r="BS26" s="4056"/>
      <c r="BT26" s="4057"/>
    </row>
    <row r="27" s="3566" customFormat="1" ht="50" customHeight="1" spans="1:80">
      <c r="A27" s="3635">
        <v>45614</v>
      </c>
      <c r="B27" s="3617" t="s">
        <v>493</v>
      </c>
      <c r="C27" s="959" t="s">
        <v>91</v>
      </c>
      <c r="D27" s="3618">
        <v>4500151479</v>
      </c>
      <c r="E27" s="959">
        <v>383017706</v>
      </c>
      <c r="F27" s="959" t="s">
        <v>6158</v>
      </c>
      <c r="G27" s="959" t="s">
        <v>6159</v>
      </c>
      <c r="H27" s="3618" t="s">
        <v>6063</v>
      </c>
      <c r="I27" s="3618">
        <v>4800</v>
      </c>
      <c r="J27" s="3618">
        <v>0</v>
      </c>
      <c r="K27" s="3618">
        <v>6</v>
      </c>
      <c r="L27" s="4052">
        <f t="shared" si="2"/>
        <v>800</v>
      </c>
      <c r="M27" s="3619">
        <v>45663</v>
      </c>
      <c r="N27" s="3619">
        <v>45659</v>
      </c>
      <c r="O27" s="3618"/>
      <c r="P27" s="959" t="s">
        <v>82</v>
      </c>
      <c r="Q27" s="959"/>
      <c r="R27" s="959"/>
      <c r="S27" s="959"/>
      <c r="T27" s="4053"/>
      <c r="U27" s="3620" t="s">
        <v>401</v>
      </c>
      <c r="V27" s="3640" t="s">
        <v>497</v>
      </c>
      <c r="W27" s="3640"/>
      <c r="X27" s="3640" t="s">
        <v>6160</v>
      </c>
      <c r="Y27" s="3640"/>
      <c r="Z27" s="3618"/>
      <c r="AA27" s="3620" t="s">
        <v>6161</v>
      </c>
      <c r="AB27" s="3624" t="s">
        <v>500</v>
      </c>
      <c r="AC27" s="4058">
        <v>2.2482</v>
      </c>
      <c r="AD27" s="3618">
        <f t="shared" si="15"/>
        <v>10791.36</v>
      </c>
      <c r="AE27" s="3633" t="s">
        <v>6162</v>
      </c>
      <c r="AF27" s="959" t="s">
        <v>6159</v>
      </c>
      <c r="AG27" s="3620" t="s">
        <v>416</v>
      </c>
      <c r="AH27" s="3620"/>
      <c r="AI27" s="3620"/>
      <c r="AJ27" s="3620"/>
      <c r="AK27" s="959">
        <f t="shared" ref="AK27:AK35" si="16">I27</f>
        <v>4800</v>
      </c>
      <c r="AL27" s="959"/>
      <c r="AM27" s="959"/>
      <c r="AN27" s="959"/>
      <c r="AO27" s="959"/>
      <c r="AP27" s="3618">
        <f t="shared" si="7"/>
        <v>4800</v>
      </c>
      <c r="AQ27" s="3618"/>
      <c r="AR27" s="3626"/>
      <c r="AS27" s="3626">
        <f t="shared" si="5"/>
        <v>4800</v>
      </c>
      <c r="AT27" s="3626"/>
      <c r="AU27" s="3626"/>
      <c r="AV27" s="3626"/>
      <c r="AW27" s="3626"/>
      <c r="AX27" s="3626"/>
      <c r="AY27" s="3626"/>
      <c r="AZ27" s="3626"/>
      <c r="BA27" s="3626"/>
      <c r="BB27" s="3626"/>
      <c r="BC27" s="3626"/>
      <c r="BD27" s="3626"/>
      <c r="BE27" s="3626"/>
      <c r="BF27" s="3626"/>
      <c r="BG27" s="3626"/>
      <c r="BH27" s="3626"/>
      <c r="BI27" s="3626" t="s">
        <v>89</v>
      </c>
      <c r="BJ27" s="3626">
        <f t="shared" si="8"/>
        <v>160</v>
      </c>
      <c r="BK27" s="3626">
        <f t="shared" si="9"/>
        <v>800</v>
      </c>
      <c r="BL27" s="3626">
        <f t="shared" si="10"/>
        <v>800</v>
      </c>
      <c r="BM27" s="3626">
        <f t="shared" si="11"/>
        <v>640</v>
      </c>
      <c r="BN27" s="3626">
        <f t="shared" si="12"/>
        <v>800</v>
      </c>
      <c r="BO27" s="4055">
        <f t="shared" si="13"/>
        <v>800</v>
      </c>
      <c r="BP27" s="3627">
        <f t="shared" si="14"/>
        <v>800</v>
      </c>
      <c r="BQ27" s="3627">
        <f t="shared" si="0"/>
        <v>4800</v>
      </c>
      <c r="BR27" s="3627">
        <f t="shared" si="1"/>
        <v>0</v>
      </c>
      <c r="BS27" s="4056"/>
      <c r="BT27" s="4057"/>
    </row>
    <row r="28" s="3566" customFormat="1" ht="50" customHeight="1" spans="1:80">
      <c r="A28" s="3635">
        <v>45623</v>
      </c>
      <c r="B28" s="3617" t="s">
        <v>361</v>
      </c>
      <c r="C28" s="959" t="s">
        <v>91</v>
      </c>
      <c r="D28" s="3618">
        <v>4500152379</v>
      </c>
      <c r="E28" s="959" t="s">
        <v>6163</v>
      </c>
      <c r="F28" s="959" t="s">
        <v>6164</v>
      </c>
      <c r="G28" s="959" t="s">
        <v>6165</v>
      </c>
      <c r="H28" s="3618" t="s">
        <v>6166</v>
      </c>
      <c r="I28" s="3618">
        <v>32</v>
      </c>
      <c r="J28" s="3618">
        <v>0</v>
      </c>
      <c r="K28" s="3618">
        <v>32</v>
      </c>
      <c r="L28" s="4052">
        <f t="shared" si="2"/>
        <v>1</v>
      </c>
      <c r="M28" s="3619">
        <v>45664</v>
      </c>
      <c r="N28" s="3619">
        <v>45660</v>
      </c>
      <c r="O28" s="3618"/>
      <c r="P28" s="959" t="s">
        <v>82</v>
      </c>
      <c r="Q28" s="959"/>
      <c r="R28" s="959"/>
      <c r="S28" s="959"/>
      <c r="T28" s="4053"/>
      <c r="U28" s="3620" t="s">
        <v>540</v>
      </c>
      <c r="V28" s="3640" t="s">
        <v>384</v>
      </c>
      <c r="W28" s="3640"/>
      <c r="X28" s="3640" t="s">
        <v>98</v>
      </c>
      <c r="Y28" s="3640" t="s">
        <v>6167</v>
      </c>
      <c r="Z28" s="3623" t="s">
        <v>6168</v>
      </c>
      <c r="AA28" s="3620" t="s">
        <v>6169</v>
      </c>
      <c r="AB28" s="3624" t="s">
        <v>369</v>
      </c>
      <c r="AC28" s="3618">
        <v>2.3647</v>
      </c>
      <c r="AD28" s="3618">
        <f t="shared" si="15"/>
        <v>75.6704</v>
      </c>
      <c r="AE28" s="3633" t="s">
        <v>542</v>
      </c>
      <c r="AF28" s="959" t="s">
        <v>6165</v>
      </c>
      <c r="AG28" s="3620" t="s">
        <v>416</v>
      </c>
      <c r="AH28" s="3620"/>
      <c r="AI28" s="3620"/>
      <c r="AJ28" s="3620"/>
      <c r="AK28" s="959">
        <f t="shared" si="16"/>
        <v>32</v>
      </c>
      <c r="AL28" s="959"/>
      <c r="AM28" s="959"/>
      <c r="AN28" s="959"/>
      <c r="AO28" s="959"/>
      <c r="AP28" s="3618">
        <f t="shared" si="7"/>
        <v>32</v>
      </c>
      <c r="AQ28" s="3618"/>
      <c r="AR28" s="3626"/>
      <c r="AS28" s="3626">
        <f t="shared" ref="AS28:AS47" si="17">I28</f>
        <v>32</v>
      </c>
      <c r="AT28" s="3626"/>
      <c r="AU28" s="3626"/>
      <c r="AV28" s="3626"/>
      <c r="AW28" s="3626"/>
      <c r="AX28" s="3626"/>
      <c r="AY28" s="3626"/>
      <c r="AZ28" s="3626"/>
      <c r="BA28" s="3626"/>
      <c r="BB28" s="3626"/>
      <c r="BC28" s="3626"/>
      <c r="BD28" s="3626"/>
      <c r="BE28" s="3626"/>
      <c r="BF28" s="3626"/>
      <c r="BG28" s="3626"/>
      <c r="BH28" s="3626"/>
      <c r="BI28" s="3626" t="s">
        <v>89</v>
      </c>
      <c r="BJ28" s="3626"/>
      <c r="BK28" s="3626"/>
      <c r="BL28" s="3626"/>
      <c r="BM28" s="3626"/>
      <c r="BN28" s="3626"/>
      <c r="BO28" s="4055"/>
      <c r="BP28" s="3627">
        <f>I28</f>
        <v>32</v>
      </c>
      <c r="BQ28" s="3627">
        <f t="shared" si="0"/>
        <v>32</v>
      </c>
      <c r="BR28" s="3627">
        <f t="shared" si="1"/>
        <v>0</v>
      </c>
      <c r="BS28" s="4056"/>
      <c r="BT28" s="4057"/>
    </row>
    <row r="29" s="3566" customFormat="1" ht="50" customHeight="1" spans="1:80">
      <c r="A29" s="3635">
        <v>45623</v>
      </c>
      <c r="B29" s="3617" t="s">
        <v>361</v>
      </c>
      <c r="C29" s="959" t="s">
        <v>91</v>
      </c>
      <c r="D29" s="3618">
        <v>4500152379</v>
      </c>
      <c r="E29" s="959" t="s">
        <v>6170</v>
      </c>
      <c r="F29" s="959" t="s">
        <v>6171</v>
      </c>
      <c r="G29" s="959" t="s">
        <v>6165</v>
      </c>
      <c r="H29" s="3618" t="s">
        <v>6166</v>
      </c>
      <c r="I29" s="3618">
        <v>224</v>
      </c>
      <c r="J29" s="3618">
        <v>0</v>
      </c>
      <c r="K29" s="3618">
        <v>32</v>
      </c>
      <c r="L29" s="4052">
        <f t="shared" si="2"/>
        <v>7</v>
      </c>
      <c r="M29" s="3619">
        <v>45664</v>
      </c>
      <c r="N29" s="3619">
        <v>45660</v>
      </c>
      <c r="O29" s="3618"/>
      <c r="P29" s="959" t="s">
        <v>82</v>
      </c>
      <c r="Q29" s="959"/>
      <c r="R29" s="959"/>
      <c r="S29" s="959"/>
      <c r="T29" s="4053"/>
      <c r="U29" s="3620" t="s">
        <v>540</v>
      </c>
      <c r="V29" s="3640" t="s">
        <v>384</v>
      </c>
      <c r="W29" s="3640"/>
      <c r="X29" s="3640" t="s">
        <v>98</v>
      </c>
      <c r="Y29" s="3640" t="s">
        <v>6167</v>
      </c>
      <c r="Z29" s="3623" t="s">
        <v>6168</v>
      </c>
      <c r="AA29" s="3620" t="s">
        <v>6169</v>
      </c>
      <c r="AB29" s="3624" t="s">
        <v>369</v>
      </c>
      <c r="AC29" s="3618">
        <v>2.3647</v>
      </c>
      <c r="AD29" s="3618">
        <f t="shared" si="15"/>
        <v>529.6928</v>
      </c>
      <c r="AE29" s="3633" t="s">
        <v>542</v>
      </c>
      <c r="AF29" s="959" t="s">
        <v>6165</v>
      </c>
      <c r="AG29" s="3620" t="s">
        <v>416</v>
      </c>
      <c r="AH29" s="3620"/>
      <c r="AI29" s="3620"/>
      <c r="AJ29" s="3620"/>
      <c r="AK29" s="959">
        <f t="shared" si="16"/>
        <v>224</v>
      </c>
      <c r="AL29" s="959"/>
      <c r="AM29" s="959"/>
      <c r="AN29" s="959"/>
      <c r="AO29" s="959"/>
      <c r="AP29" s="3618">
        <f t="shared" si="7"/>
        <v>224</v>
      </c>
      <c r="AQ29" s="3618"/>
      <c r="AR29" s="3626"/>
      <c r="AS29" s="3626">
        <f t="shared" si="17"/>
        <v>224</v>
      </c>
      <c r="AT29" s="3626"/>
      <c r="AU29" s="3626"/>
      <c r="AV29" s="3626"/>
      <c r="AW29" s="3626"/>
      <c r="AX29" s="3626"/>
      <c r="AY29" s="3626"/>
      <c r="AZ29" s="3626"/>
      <c r="BA29" s="3626"/>
      <c r="BB29" s="3626"/>
      <c r="BC29" s="3626"/>
      <c r="BD29" s="3626"/>
      <c r="BE29" s="3626"/>
      <c r="BF29" s="3626"/>
      <c r="BG29" s="3626"/>
      <c r="BH29" s="3626"/>
      <c r="BI29" s="3626" t="s">
        <v>89</v>
      </c>
      <c r="BJ29" s="3626"/>
      <c r="BK29" s="3626"/>
      <c r="BL29" s="3626"/>
      <c r="BM29" s="3626"/>
      <c r="BN29" s="3626"/>
      <c r="BO29" s="4055"/>
      <c r="BP29" s="3627">
        <f>I29</f>
        <v>224</v>
      </c>
      <c r="BQ29" s="3627">
        <f t="shared" si="0"/>
        <v>224</v>
      </c>
      <c r="BR29" s="3627">
        <f t="shared" si="1"/>
        <v>0</v>
      </c>
      <c r="BS29" s="4056"/>
      <c r="BT29" s="4057"/>
    </row>
    <row r="30" s="3566" customFormat="1" ht="50" customHeight="1" spans="1:80">
      <c r="A30" s="3635">
        <v>45623</v>
      </c>
      <c r="B30" s="3617" t="s">
        <v>361</v>
      </c>
      <c r="C30" s="3617" t="s">
        <v>91</v>
      </c>
      <c r="D30" s="3618">
        <v>4500152379</v>
      </c>
      <c r="E30" s="959" t="s">
        <v>6172</v>
      </c>
      <c r="F30" s="959" t="s">
        <v>6173</v>
      </c>
      <c r="G30" s="959" t="s">
        <v>6165</v>
      </c>
      <c r="H30" s="3618" t="s">
        <v>6166</v>
      </c>
      <c r="I30" s="3618">
        <v>160</v>
      </c>
      <c r="J30" s="3618">
        <v>0</v>
      </c>
      <c r="K30" s="3618">
        <v>32</v>
      </c>
      <c r="L30" s="4052">
        <f t="shared" si="2"/>
        <v>5</v>
      </c>
      <c r="M30" s="3619">
        <v>45664</v>
      </c>
      <c r="N30" s="3619">
        <v>45660</v>
      </c>
      <c r="O30" s="3618"/>
      <c r="P30" s="959" t="s">
        <v>82</v>
      </c>
      <c r="Q30" s="959"/>
      <c r="R30" s="959"/>
      <c r="S30" s="959"/>
      <c r="T30" s="4053"/>
      <c r="U30" s="3620" t="s">
        <v>540</v>
      </c>
      <c r="V30" s="3640" t="s">
        <v>384</v>
      </c>
      <c r="W30" s="3640"/>
      <c r="X30" s="3640" t="s">
        <v>98</v>
      </c>
      <c r="Y30" s="3640" t="s">
        <v>6167</v>
      </c>
      <c r="Z30" s="3623" t="s">
        <v>6168</v>
      </c>
      <c r="AA30" s="3620" t="s">
        <v>6174</v>
      </c>
      <c r="AB30" s="3624" t="s">
        <v>369</v>
      </c>
      <c r="AC30" s="3618">
        <v>2.3647</v>
      </c>
      <c r="AD30" s="3618">
        <v>378.352</v>
      </c>
      <c r="AE30" s="3633" t="s">
        <v>542</v>
      </c>
      <c r="AF30" s="959" t="s">
        <v>6165</v>
      </c>
      <c r="AG30" s="3620" t="s">
        <v>416</v>
      </c>
      <c r="AH30" s="3620"/>
      <c r="AI30" s="3620"/>
      <c r="AJ30" s="3620"/>
      <c r="AK30" s="959">
        <f t="shared" si="16"/>
        <v>160</v>
      </c>
      <c r="AL30" s="959"/>
      <c r="AM30" s="959"/>
      <c r="AN30" s="959"/>
      <c r="AO30" s="959"/>
      <c r="AP30" s="3618">
        <v>160</v>
      </c>
      <c r="AQ30" s="3618"/>
      <c r="AR30" s="3626"/>
      <c r="AS30" s="3626">
        <f t="shared" si="17"/>
        <v>160</v>
      </c>
      <c r="AT30" s="3626"/>
      <c r="AU30" s="3626"/>
      <c r="AV30" s="3626"/>
      <c r="AW30" s="3626"/>
      <c r="AX30" s="3626"/>
      <c r="AY30" s="3626"/>
      <c r="AZ30" s="3626"/>
      <c r="BA30" s="3626"/>
      <c r="BB30" s="3626"/>
      <c r="BC30" s="3626"/>
      <c r="BD30" s="3626"/>
      <c r="BE30" s="3626"/>
      <c r="BF30" s="3626"/>
      <c r="BG30" s="3626"/>
      <c r="BH30" s="3626"/>
      <c r="BI30" s="3626" t="s">
        <v>89</v>
      </c>
      <c r="BJ30" s="3626"/>
      <c r="BK30" s="3626"/>
      <c r="BL30" s="3626"/>
      <c r="BM30" s="3626"/>
      <c r="BN30" s="3626"/>
      <c r="BO30" s="4055"/>
      <c r="BP30" s="3627">
        <f>I30</f>
        <v>160</v>
      </c>
      <c r="BQ30" s="3627">
        <f t="shared" si="0"/>
        <v>160</v>
      </c>
      <c r="BR30" s="3627">
        <f t="shared" si="1"/>
        <v>0</v>
      </c>
      <c r="BS30" s="4056"/>
      <c r="BT30" s="4057"/>
    </row>
    <row r="31" s="3566" customFormat="1" ht="50" customHeight="1" spans="1:80">
      <c r="A31" s="3635">
        <v>45624</v>
      </c>
      <c r="B31" s="3617" t="s">
        <v>361</v>
      </c>
      <c r="C31" s="3617" t="s">
        <v>91</v>
      </c>
      <c r="D31" s="3618">
        <v>4500152657</v>
      </c>
      <c r="E31" s="3618" t="s">
        <v>6175</v>
      </c>
      <c r="F31" s="959" t="s">
        <v>6176</v>
      </c>
      <c r="G31" s="959" t="s">
        <v>6165</v>
      </c>
      <c r="H31" s="3618" t="s">
        <v>6166</v>
      </c>
      <c r="I31" s="3618">
        <v>736</v>
      </c>
      <c r="J31" s="3618">
        <v>0</v>
      </c>
      <c r="K31" s="3618">
        <v>32</v>
      </c>
      <c r="L31" s="4052">
        <f t="shared" si="2"/>
        <v>23</v>
      </c>
      <c r="M31" s="3619">
        <v>45664</v>
      </c>
      <c r="N31" s="3619">
        <v>45660</v>
      </c>
      <c r="O31" s="3618"/>
      <c r="P31" s="959" t="s">
        <v>82</v>
      </c>
      <c r="Q31" s="959"/>
      <c r="R31" s="959"/>
      <c r="S31" s="959"/>
      <c r="T31" s="4053"/>
      <c r="U31" s="3620" t="s">
        <v>147</v>
      </c>
      <c r="V31" s="3640" t="s">
        <v>384</v>
      </c>
      <c r="W31" s="3640"/>
      <c r="X31" s="3640" t="s">
        <v>98</v>
      </c>
      <c r="Y31" s="3640" t="s">
        <v>6167</v>
      </c>
      <c r="Z31" s="3623" t="s">
        <v>6168</v>
      </c>
      <c r="AA31" s="3620" t="s">
        <v>6169</v>
      </c>
      <c r="AB31" s="3617" t="s">
        <v>369</v>
      </c>
      <c r="AC31" s="3686">
        <v>2.295</v>
      </c>
      <c r="AD31" s="3618">
        <f t="shared" ref="AD31:AD47" si="18">AC31*I31</f>
        <v>1689.12</v>
      </c>
      <c r="AE31" s="3633" t="s">
        <v>534</v>
      </c>
      <c r="AF31" s="959" t="s">
        <v>6165</v>
      </c>
      <c r="AG31" s="3620" t="s">
        <v>416</v>
      </c>
      <c r="AH31" s="3620"/>
      <c r="AI31" s="3620"/>
      <c r="AJ31" s="3620"/>
      <c r="AK31" s="959">
        <f t="shared" si="16"/>
        <v>736</v>
      </c>
      <c r="AL31" s="959"/>
      <c r="AM31" s="959"/>
      <c r="AN31" s="959"/>
      <c r="AO31" s="959"/>
      <c r="AP31" s="3618">
        <v>160</v>
      </c>
      <c r="AQ31" s="3618"/>
      <c r="AR31" s="3626"/>
      <c r="AS31" s="3626">
        <f t="shared" si="17"/>
        <v>736</v>
      </c>
      <c r="AT31" s="3626"/>
      <c r="AU31" s="3626"/>
      <c r="AV31" s="3626"/>
      <c r="AW31" s="3626"/>
      <c r="AX31" s="3626"/>
      <c r="AY31" s="3626"/>
      <c r="AZ31" s="3626"/>
      <c r="BA31" s="3626"/>
      <c r="BB31" s="3626"/>
      <c r="BC31" s="3626"/>
      <c r="BD31" s="3626"/>
      <c r="BE31" s="3626"/>
      <c r="BF31" s="3626"/>
      <c r="BG31" s="3626"/>
      <c r="BH31" s="3626"/>
      <c r="BI31" s="3626" t="s">
        <v>89</v>
      </c>
      <c r="BJ31" s="3626"/>
      <c r="BK31" s="3626"/>
      <c r="BL31" s="3626"/>
      <c r="BM31" s="3626"/>
      <c r="BN31" s="3626"/>
      <c r="BO31" s="4055"/>
      <c r="BP31" s="3627">
        <f>I31</f>
        <v>736</v>
      </c>
      <c r="BQ31" s="3627">
        <f t="shared" si="0"/>
        <v>736</v>
      </c>
      <c r="BR31" s="3627">
        <f t="shared" si="1"/>
        <v>0</v>
      </c>
      <c r="BS31" s="4056"/>
      <c r="BT31" s="4057"/>
    </row>
    <row r="32" s="3566" customFormat="1" ht="50" customHeight="1" spans="1:80">
      <c r="A32" s="3635">
        <v>45629</v>
      </c>
      <c r="B32" s="3617" t="s">
        <v>6177</v>
      </c>
      <c r="C32" s="959" t="s">
        <v>506</v>
      </c>
      <c r="D32" s="3618">
        <v>4500153210</v>
      </c>
      <c r="E32" s="959">
        <v>45358175</v>
      </c>
      <c r="F32" s="959" t="s">
        <v>6178</v>
      </c>
      <c r="G32" s="959" t="s">
        <v>6179</v>
      </c>
      <c r="H32" s="3618" t="s">
        <v>6063</v>
      </c>
      <c r="I32" s="3618">
        <v>500</v>
      </c>
      <c r="J32" s="3618">
        <v>0</v>
      </c>
      <c r="K32" s="3618">
        <v>2</v>
      </c>
      <c r="L32" s="4052">
        <f t="shared" si="2"/>
        <v>250</v>
      </c>
      <c r="M32" s="3619">
        <v>45664</v>
      </c>
      <c r="N32" s="3619">
        <v>45660</v>
      </c>
      <c r="O32" s="3618"/>
      <c r="P32" s="959" t="s">
        <v>82</v>
      </c>
      <c r="Q32" s="959"/>
      <c r="R32" s="959"/>
      <c r="S32" s="959"/>
      <c r="T32" s="4053"/>
      <c r="U32" s="3620" t="s">
        <v>2599</v>
      </c>
      <c r="V32" s="3640" t="s">
        <v>6180</v>
      </c>
      <c r="W32" s="3640"/>
      <c r="X32" s="3640" t="s">
        <v>98</v>
      </c>
      <c r="Y32" s="3640"/>
      <c r="Z32" s="3623"/>
      <c r="AA32" s="3620" t="s">
        <v>6181</v>
      </c>
      <c r="AB32" s="3624" t="s">
        <v>513</v>
      </c>
      <c r="AC32" s="3618">
        <v>2.5234</v>
      </c>
      <c r="AD32" s="3618">
        <f t="shared" si="18"/>
        <v>1261.7</v>
      </c>
      <c r="AE32" s="3633" t="s">
        <v>6182</v>
      </c>
      <c r="AF32" s="959" t="s">
        <v>6179</v>
      </c>
      <c r="AG32" s="3620" t="s">
        <v>416</v>
      </c>
      <c r="AH32" s="3620"/>
      <c r="AI32" s="3620"/>
      <c r="AJ32" s="3620"/>
      <c r="AK32" s="959">
        <f t="shared" si="16"/>
        <v>500</v>
      </c>
      <c r="AL32" s="959"/>
      <c r="AM32" s="959"/>
      <c r="AN32" s="959"/>
      <c r="AO32" s="959"/>
      <c r="AP32" s="3618">
        <f t="shared" ref="AP32:AP47" si="19">I32</f>
        <v>500</v>
      </c>
      <c r="AQ32" s="3618"/>
      <c r="AR32" s="3626"/>
      <c r="AS32" s="3626">
        <f t="shared" si="17"/>
        <v>500</v>
      </c>
      <c r="AT32" s="3626"/>
      <c r="AU32" s="3626"/>
      <c r="AV32" s="3626"/>
      <c r="AW32" s="3626"/>
      <c r="AX32" s="3626"/>
      <c r="AY32" s="3626"/>
      <c r="AZ32" s="3626"/>
      <c r="BA32" s="3626"/>
      <c r="BB32" s="3626"/>
      <c r="BC32" s="3626"/>
      <c r="BD32" s="3626"/>
      <c r="BE32" s="3626">
        <f>I32/2</f>
        <v>250</v>
      </c>
      <c r="BF32" s="3571"/>
      <c r="BG32" s="3626"/>
      <c r="BH32" s="3626"/>
      <c r="BI32" s="3626" t="s">
        <v>89</v>
      </c>
      <c r="BJ32" s="3626">
        <f t="shared" ref="BJ32:BJ44" si="20">I32/60*2</f>
        <v>16.6666666666667</v>
      </c>
      <c r="BK32" s="3626">
        <f t="shared" ref="BK32:BK44" si="21">I32/60*10</f>
        <v>83.3333333333333</v>
      </c>
      <c r="BL32" s="3626">
        <f t="shared" ref="BL32:BL44" si="22">I32/60*10</f>
        <v>83.3333333333333</v>
      </c>
      <c r="BM32" s="3626">
        <f t="shared" ref="BM32:BM44" si="23">I32/60*8</f>
        <v>66.6666666666667</v>
      </c>
      <c r="BN32" s="3626">
        <f t="shared" ref="BN32:BN44" si="24">I32/60*10</f>
        <v>83.3333333333333</v>
      </c>
      <c r="BO32" s="4055">
        <f t="shared" ref="BO32:BO44" si="25">I32/60*10</f>
        <v>83.3333333333333</v>
      </c>
      <c r="BP32" s="3627">
        <f t="shared" ref="BP32:BP44" si="26">I32/60*10</f>
        <v>83.3333333333333</v>
      </c>
      <c r="BQ32" s="3627">
        <f t="shared" si="0"/>
        <v>500</v>
      </c>
      <c r="BR32" s="3627">
        <f t="shared" si="1"/>
        <v>0</v>
      </c>
      <c r="BS32" s="4056"/>
      <c r="BT32" s="4057"/>
    </row>
    <row r="33" s="3566" customFormat="1" ht="50" customHeight="1" spans="1:80">
      <c r="A33" s="3635">
        <v>45629</v>
      </c>
      <c r="B33" s="3617" t="s">
        <v>6177</v>
      </c>
      <c r="C33" s="959" t="s">
        <v>506</v>
      </c>
      <c r="D33" s="3618">
        <v>4500153210</v>
      </c>
      <c r="E33" s="959">
        <v>45358176</v>
      </c>
      <c r="F33" s="959" t="s">
        <v>6183</v>
      </c>
      <c r="G33" s="959" t="s">
        <v>6179</v>
      </c>
      <c r="H33" s="3618" t="s">
        <v>6063</v>
      </c>
      <c r="I33" s="3618">
        <v>1000</v>
      </c>
      <c r="J33" s="3618">
        <v>0</v>
      </c>
      <c r="K33" s="3618">
        <v>2</v>
      </c>
      <c r="L33" s="4052">
        <f t="shared" si="2"/>
        <v>500</v>
      </c>
      <c r="M33" s="3619">
        <v>45664</v>
      </c>
      <c r="N33" s="3619">
        <v>45660</v>
      </c>
      <c r="O33" s="3618"/>
      <c r="P33" s="959" t="s">
        <v>82</v>
      </c>
      <c r="Q33" s="959"/>
      <c r="R33" s="959"/>
      <c r="S33" s="959"/>
      <c r="T33" s="4053"/>
      <c r="U33" s="3620" t="s">
        <v>2599</v>
      </c>
      <c r="V33" s="3640" t="s">
        <v>6180</v>
      </c>
      <c r="W33" s="3640"/>
      <c r="X33" s="3640" t="s">
        <v>98</v>
      </c>
      <c r="Y33" s="3640"/>
      <c r="Z33" s="3623"/>
      <c r="AA33" s="3620" t="s">
        <v>6181</v>
      </c>
      <c r="AB33" s="3624" t="s">
        <v>513</v>
      </c>
      <c r="AC33" s="3618">
        <v>2.5234</v>
      </c>
      <c r="AD33" s="3618">
        <f t="shared" si="18"/>
        <v>2523.4</v>
      </c>
      <c r="AE33" s="3633" t="s">
        <v>6182</v>
      </c>
      <c r="AF33" s="959" t="s">
        <v>6179</v>
      </c>
      <c r="AG33" s="3620" t="s">
        <v>416</v>
      </c>
      <c r="AH33" s="3620"/>
      <c r="AI33" s="3620"/>
      <c r="AJ33" s="3620"/>
      <c r="AK33" s="959">
        <f t="shared" si="16"/>
        <v>1000</v>
      </c>
      <c r="AL33" s="959"/>
      <c r="AM33" s="959"/>
      <c r="AN33" s="959"/>
      <c r="AO33" s="959"/>
      <c r="AP33" s="3618">
        <f t="shared" si="19"/>
        <v>1000</v>
      </c>
      <c r="AQ33" s="3618"/>
      <c r="AR33" s="3626"/>
      <c r="AS33" s="3626">
        <f t="shared" si="17"/>
        <v>1000</v>
      </c>
      <c r="AT33" s="3626"/>
      <c r="AU33" s="3626"/>
      <c r="AV33" s="3626"/>
      <c r="AW33" s="3626"/>
      <c r="AX33" s="3626"/>
      <c r="AY33" s="3626"/>
      <c r="AZ33" s="3626"/>
      <c r="BA33" s="3626"/>
      <c r="BB33" s="3626"/>
      <c r="BC33" s="3626"/>
      <c r="BD33" s="3626"/>
      <c r="BE33" s="3626">
        <f>I33/2</f>
        <v>500</v>
      </c>
      <c r="BF33" s="3571"/>
      <c r="BG33" s="3626"/>
      <c r="BH33" s="3626"/>
      <c r="BI33" s="3626" t="s">
        <v>89</v>
      </c>
      <c r="BJ33" s="3626">
        <f t="shared" si="20"/>
        <v>33.3333333333333</v>
      </c>
      <c r="BK33" s="3626">
        <f t="shared" si="21"/>
        <v>166.666666666667</v>
      </c>
      <c r="BL33" s="3626">
        <f t="shared" si="22"/>
        <v>166.666666666667</v>
      </c>
      <c r="BM33" s="3626">
        <f t="shared" si="23"/>
        <v>133.333333333333</v>
      </c>
      <c r="BN33" s="3626">
        <f t="shared" si="24"/>
        <v>166.666666666667</v>
      </c>
      <c r="BO33" s="4055">
        <f t="shared" si="25"/>
        <v>166.666666666667</v>
      </c>
      <c r="BP33" s="3627">
        <f t="shared" si="26"/>
        <v>166.666666666667</v>
      </c>
      <c r="BQ33" s="3627">
        <f t="shared" si="0"/>
        <v>1000</v>
      </c>
      <c r="BR33" s="3627">
        <f t="shared" si="1"/>
        <v>0</v>
      </c>
      <c r="BS33" s="4056"/>
      <c r="BT33" s="4057"/>
    </row>
    <row r="34" s="3566" customFormat="1" ht="50" customHeight="1" spans="1:80">
      <c r="A34" s="3635">
        <v>45629</v>
      </c>
      <c r="B34" s="3617" t="s">
        <v>6177</v>
      </c>
      <c r="C34" s="959" t="s">
        <v>506</v>
      </c>
      <c r="D34" s="3618">
        <v>4500153210</v>
      </c>
      <c r="E34" s="959">
        <v>45358177</v>
      </c>
      <c r="F34" s="959" t="s">
        <v>6184</v>
      </c>
      <c r="G34" s="959" t="s">
        <v>6179</v>
      </c>
      <c r="H34" s="3618" t="s">
        <v>6063</v>
      </c>
      <c r="I34" s="3618">
        <v>500</v>
      </c>
      <c r="J34" s="3618">
        <v>0</v>
      </c>
      <c r="K34" s="3618">
        <v>2</v>
      </c>
      <c r="L34" s="4052">
        <f t="shared" si="2"/>
        <v>250</v>
      </c>
      <c r="M34" s="3619">
        <v>45664</v>
      </c>
      <c r="N34" s="3619">
        <v>45660</v>
      </c>
      <c r="O34" s="3618"/>
      <c r="P34" s="959" t="s">
        <v>82</v>
      </c>
      <c r="Q34" s="959"/>
      <c r="R34" s="959"/>
      <c r="S34" s="959"/>
      <c r="T34" s="4053"/>
      <c r="U34" s="3620" t="s">
        <v>2599</v>
      </c>
      <c r="V34" s="3640" t="s">
        <v>6180</v>
      </c>
      <c r="W34" s="3640"/>
      <c r="X34" s="3640" t="s">
        <v>98</v>
      </c>
      <c r="Y34" s="3640"/>
      <c r="Z34" s="3623"/>
      <c r="AA34" s="3620" t="s">
        <v>6181</v>
      </c>
      <c r="AB34" s="3624" t="s">
        <v>513</v>
      </c>
      <c r="AC34" s="3618">
        <v>2.5234</v>
      </c>
      <c r="AD34" s="3618">
        <f t="shared" si="18"/>
        <v>1261.7</v>
      </c>
      <c r="AE34" s="3633" t="s">
        <v>6182</v>
      </c>
      <c r="AF34" s="959" t="s">
        <v>6179</v>
      </c>
      <c r="AG34" s="3620" t="s">
        <v>416</v>
      </c>
      <c r="AH34" s="3620"/>
      <c r="AI34" s="3620"/>
      <c r="AJ34" s="3620"/>
      <c r="AK34" s="959">
        <f t="shared" si="16"/>
        <v>500</v>
      </c>
      <c r="AL34" s="959"/>
      <c r="AM34" s="959"/>
      <c r="AN34" s="959"/>
      <c r="AO34" s="959"/>
      <c r="AP34" s="3618">
        <f t="shared" si="19"/>
        <v>500</v>
      </c>
      <c r="AQ34" s="3618"/>
      <c r="AR34" s="3626"/>
      <c r="AS34" s="3626">
        <f t="shared" si="17"/>
        <v>500</v>
      </c>
      <c r="AT34" s="3626"/>
      <c r="AU34" s="3626"/>
      <c r="AV34" s="3626"/>
      <c r="AW34" s="3626"/>
      <c r="AX34" s="3626"/>
      <c r="AY34" s="3626"/>
      <c r="AZ34" s="3626"/>
      <c r="BA34" s="3626"/>
      <c r="BB34" s="3626"/>
      <c r="BC34" s="3626"/>
      <c r="BD34" s="3626"/>
      <c r="BE34" s="3626">
        <f>I34/2</f>
        <v>250</v>
      </c>
      <c r="BF34" s="3571"/>
      <c r="BG34" s="3626"/>
      <c r="BH34" s="3626"/>
      <c r="BI34" s="3626" t="s">
        <v>89</v>
      </c>
      <c r="BJ34" s="3626">
        <f t="shared" si="20"/>
        <v>16.6666666666667</v>
      </c>
      <c r="BK34" s="3626">
        <f t="shared" si="21"/>
        <v>83.3333333333333</v>
      </c>
      <c r="BL34" s="3626">
        <f t="shared" si="22"/>
        <v>83.3333333333333</v>
      </c>
      <c r="BM34" s="3626">
        <f t="shared" si="23"/>
        <v>66.6666666666667</v>
      </c>
      <c r="BN34" s="3626">
        <f t="shared" si="24"/>
        <v>83.3333333333333</v>
      </c>
      <c r="BO34" s="4055">
        <f t="shared" si="25"/>
        <v>83.3333333333333</v>
      </c>
      <c r="BP34" s="3627">
        <f t="shared" si="26"/>
        <v>83.3333333333333</v>
      </c>
      <c r="BQ34" s="3627">
        <f t="shared" si="0"/>
        <v>500</v>
      </c>
      <c r="BR34" s="3627">
        <f t="shared" si="1"/>
        <v>0</v>
      </c>
      <c r="BS34" s="4056"/>
      <c r="BT34" s="4057"/>
    </row>
    <row r="35" s="3566" customFormat="1" ht="50" customHeight="1" spans="1:80">
      <c r="A35" s="3635">
        <v>45615</v>
      </c>
      <c r="B35" s="3617" t="s">
        <v>2791</v>
      </c>
      <c r="C35" s="959" t="s">
        <v>91</v>
      </c>
      <c r="D35" s="3618">
        <v>4500151635</v>
      </c>
      <c r="E35" s="3618">
        <v>4357</v>
      </c>
      <c r="F35" s="959" t="s">
        <v>6185</v>
      </c>
      <c r="G35" s="959" t="s">
        <v>6186</v>
      </c>
      <c r="H35" s="3618" t="s">
        <v>6063</v>
      </c>
      <c r="I35" s="3618">
        <v>5232</v>
      </c>
      <c r="J35" s="3618">
        <v>0</v>
      </c>
      <c r="K35" s="3618">
        <v>6</v>
      </c>
      <c r="L35" s="4052">
        <f t="shared" si="2"/>
        <v>872</v>
      </c>
      <c r="M35" s="3619">
        <v>45665</v>
      </c>
      <c r="N35" s="3619">
        <v>45661</v>
      </c>
      <c r="O35" s="3618"/>
      <c r="P35" s="959" t="s">
        <v>82</v>
      </c>
      <c r="Q35" s="959"/>
      <c r="R35" s="959"/>
      <c r="S35" s="959"/>
      <c r="T35" s="4053"/>
      <c r="U35" s="3620" t="s">
        <v>138</v>
      </c>
      <c r="V35" s="3640" t="s">
        <v>384</v>
      </c>
      <c r="W35" s="3640"/>
      <c r="X35" s="3640" t="s">
        <v>2793</v>
      </c>
      <c r="Y35" s="3640"/>
      <c r="Z35" s="3618"/>
      <c r="AA35" s="3620" t="s">
        <v>6187</v>
      </c>
      <c r="AB35" s="3617" t="s">
        <v>2795</v>
      </c>
      <c r="AC35" s="3686">
        <v>2.232</v>
      </c>
      <c r="AD35" s="3618">
        <f t="shared" si="18"/>
        <v>11677.824</v>
      </c>
      <c r="AE35" s="3633" t="s">
        <v>6188</v>
      </c>
      <c r="AF35" s="959" t="s">
        <v>6186</v>
      </c>
      <c r="AG35" s="3620" t="s">
        <v>416</v>
      </c>
      <c r="AH35" s="3620"/>
      <c r="AI35" s="3620"/>
      <c r="AJ35" s="3620"/>
      <c r="AK35" s="959">
        <f t="shared" si="16"/>
        <v>5232</v>
      </c>
      <c r="AL35" s="959"/>
      <c r="AM35" s="959"/>
      <c r="AN35" s="959"/>
      <c r="AO35" s="959"/>
      <c r="AP35" s="3618">
        <f t="shared" si="19"/>
        <v>5232</v>
      </c>
      <c r="AQ35" s="3618"/>
      <c r="AR35" s="3626"/>
      <c r="AS35" s="3626">
        <f t="shared" si="17"/>
        <v>5232</v>
      </c>
      <c r="AT35" s="3626"/>
      <c r="AU35" s="3626"/>
      <c r="AV35" s="3626"/>
      <c r="AW35" s="3626">
        <f>I35/6</f>
        <v>872</v>
      </c>
      <c r="AX35" s="3626"/>
      <c r="AY35" s="3626"/>
      <c r="AZ35" s="3626"/>
      <c r="BA35" s="3626"/>
      <c r="BB35" s="3626"/>
      <c r="BC35" s="3626"/>
      <c r="BD35" s="3626"/>
      <c r="BE35" s="3626">
        <v>250</v>
      </c>
      <c r="BG35" s="3626"/>
      <c r="BH35" s="3626"/>
      <c r="BI35" s="3626" t="s">
        <v>89</v>
      </c>
      <c r="BJ35" s="3626">
        <f t="shared" si="20"/>
        <v>174.4</v>
      </c>
      <c r="BK35" s="3626">
        <f t="shared" si="21"/>
        <v>872</v>
      </c>
      <c r="BL35" s="3626">
        <f t="shared" si="22"/>
        <v>872</v>
      </c>
      <c r="BM35" s="3626">
        <f t="shared" si="23"/>
        <v>697.6</v>
      </c>
      <c r="BN35" s="3626">
        <f t="shared" si="24"/>
        <v>872</v>
      </c>
      <c r="BO35" s="4055">
        <f t="shared" si="25"/>
        <v>872</v>
      </c>
      <c r="BP35" s="3627">
        <f t="shared" si="26"/>
        <v>872</v>
      </c>
      <c r="BQ35" s="3627">
        <f t="shared" si="0"/>
        <v>5232</v>
      </c>
      <c r="BR35" s="3627">
        <f t="shared" si="1"/>
        <v>0</v>
      </c>
      <c r="BS35" s="4056"/>
      <c r="BT35" s="4057"/>
    </row>
    <row r="36" s="3566" customFormat="1" ht="50" customHeight="1" spans="1:80">
      <c r="A36" s="3635">
        <v>45621</v>
      </c>
      <c r="B36" s="3617" t="s">
        <v>515</v>
      </c>
      <c r="C36" s="959" t="s">
        <v>516</v>
      </c>
      <c r="D36" s="3618">
        <v>4500152261</v>
      </c>
      <c r="E36" s="3618"/>
      <c r="F36" s="959" t="s">
        <v>6189</v>
      </c>
      <c r="G36" s="959" t="s">
        <v>6124</v>
      </c>
      <c r="H36" s="3618" t="s">
        <v>6063</v>
      </c>
      <c r="I36" s="3618">
        <v>3000</v>
      </c>
      <c r="J36" s="3618">
        <v>0</v>
      </c>
      <c r="K36" s="3618">
        <v>12</v>
      </c>
      <c r="L36" s="4052">
        <f t="shared" si="2"/>
        <v>250</v>
      </c>
      <c r="M36" s="3619">
        <v>45663</v>
      </c>
      <c r="N36" s="3619">
        <v>45659</v>
      </c>
      <c r="O36" s="3618"/>
      <c r="P36" s="959" t="s">
        <v>82</v>
      </c>
      <c r="Q36" s="959"/>
      <c r="R36" s="959"/>
      <c r="S36" s="959"/>
      <c r="T36" s="4053"/>
      <c r="U36" s="3620" t="s">
        <v>518</v>
      </c>
      <c r="V36" s="3640" t="s">
        <v>353</v>
      </c>
      <c r="W36" s="3640"/>
      <c r="X36" s="3640" t="s">
        <v>2782</v>
      </c>
      <c r="Y36" s="3640"/>
      <c r="Z36" s="3618"/>
      <c r="AA36" s="3620" t="s">
        <v>6190</v>
      </c>
      <c r="AB36" s="3624" t="s">
        <v>521</v>
      </c>
      <c r="AC36" s="3686">
        <v>2.298</v>
      </c>
      <c r="AD36" s="3618">
        <f t="shared" si="18"/>
        <v>6894</v>
      </c>
      <c r="AE36" s="3633" t="s">
        <v>522</v>
      </c>
      <c r="AF36" s="959" t="s">
        <v>6126</v>
      </c>
      <c r="AG36" s="3620" t="s">
        <v>416</v>
      </c>
      <c r="AH36" s="3620"/>
      <c r="AI36" s="3620"/>
      <c r="AJ36" s="3620"/>
      <c r="AK36" s="959"/>
      <c r="AL36" s="959"/>
      <c r="AM36" s="959">
        <f>I36</f>
        <v>3000</v>
      </c>
      <c r="AN36" s="959"/>
      <c r="AO36" s="959"/>
      <c r="AP36" s="3618">
        <f t="shared" si="19"/>
        <v>3000</v>
      </c>
      <c r="AQ36" s="3618"/>
      <c r="AR36" s="3626"/>
      <c r="AS36" s="3626">
        <f t="shared" si="17"/>
        <v>3000</v>
      </c>
      <c r="AT36" s="3626"/>
      <c r="AU36" s="3626"/>
      <c r="AV36" s="3626"/>
      <c r="AW36" s="3626">
        <f>I36/6</f>
        <v>500</v>
      </c>
      <c r="AX36" s="3626"/>
      <c r="AY36" s="3626"/>
      <c r="AZ36" s="3626"/>
      <c r="BA36" s="3626"/>
      <c r="BB36" s="3626"/>
      <c r="BC36" s="3626"/>
      <c r="BD36" s="3626"/>
      <c r="BE36" s="3626">
        <v>500</v>
      </c>
      <c r="BG36" s="3626"/>
      <c r="BH36" s="3626"/>
      <c r="BI36" s="3626" t="s">
        <v>89</v>
      </c>
      <c r="BJ36" s="3626">
        <f t="shared" si="20"/>
        <v>100</v>
      </c>
      <c r="BK36" s="3626">
        <f t="shared" si="21"/>
        <v>500</v>
      </c>
      <c r="BL36" s="3626">
        <f t="shared" si="22"/>
        <v>500</v>
      </c>
      <c r="BM36" s="3626">
        <f t="shared" si="23"/>
        <v>400</v>
      </c>
      <c r="BN36" s="3626">
        <f t="shared" si="24"/>
        <v>500</v>
      </c>
      <c r="BO36" s="4055">
        <f t="shared" si="25"/>
        <v>500</v>
      </c>
      <c r="BP36" s="3627">
        <f t="shared" si="26"/>
        <v>500</v>
      </c>
      <c r="BQ36" s="3627">
        <f t="shared" si="0"/>
        <v>3000</v>
      </c>
      <c r="BR36" s="3627">
        <f t="shared" si="1"/>
        <v>0</v>
      </c>
      <c r="BS36" s="4056"/>
      <c r="BT36" s="4057"/>
    </row>
    <row r="37" s="3566" customFormat="1" ht="50" customHeight="1" spans="1:80">
      <c r="A37" s="3635">
        <v>45595</v>
      </c>
      <c r="B37" s="3617" t="s">
        <v>2597</v>
      </c>
      <c r="C37" s="959" t="s">
        <v>738</v>
      </c>
      <c r="D37" s="3618">
        <v>4500149669</v>
      </c>
      <c r="E37" s="959"/>
      <c r="F37" s="959" t="s">
        <v>6191</v>
      </c>
      <c r="G37" s="959" t="s">
        <v>6124</v>
      </c>
      <c r="H37" s="3618" t="s">
        <v>6063</v>
      </c>
      <c r="I37" s="3618">
        <v>3180</v>
      </c>
      <c r="J37" s="3618">
        <v>0</v>
      </c>
      <c r="K37" s="3618">
        <v>12</v>
      </c>
      <c r="L37" s="4052">
        <f t="shared" si="2"/>
        <v>265</v>
      </c>
      <c r="M37" s="3619">
        <v>45642</v>
      </c>
      <c r="N37" s="3619">
        <v>45664</v>
      </c>
      <c r="O37" s="3623"/>
      <c r="P37" s="959" t="s">
        <v>82</v>
      </c>
      <c r="Q37" s="959"/>
      <c r="R37" s="959"/>
      <c r="S37" s="959"/>
      <c r="T37" s="4053"/>
      <c r="U37" s="3620" t="s">
        <v>2599</v>
      </c>
      <c r="V37" s="3640" t="s">
        <v>2600</v>
      </c>
      <c r="W37" s="3640"/>
      <c r="X37" s="3640" t="s">
        <v>6192</v>
      </c>
      <c r="Y37" s="3640"/>
      <c r="Z37" s="959"/>
      <c r="AA37" s="4065" t="s">
        <v>6193</v>
      </c>
      <c r="AB37" s="4054" t="s">
        <v>1257</v>
      </c>
      <c r="AC37" s="3686">
        <v>2.298</v>
      </c>
      <c r="AD37" s="3618">
        <f t="shared" si="18"/>
        <v>7307.64</v>
      </c>
      <c r="AE37" s="3633" t="s">
        <v>2603</v>
      </c>
      <c r="AF37" s="959" t="s">
        <v>6126</v>
      </c>
      <c r="AG37" s="3620" t="s">
        <v>416</v>
      </c>
      <c r="AH37" s="3620"/>
      <c r="AI37" s="3620"/>
      <c r="AJ37" s="3620"/>
      <c r="AK37" s="959"/>
      <c r="AL37" s="959"/>
      <c r="AM37" s="959">
        <f>I37</f>
        <v>3180</v>
      </c>
      <c r="AN37" s="959"/>
      <c r="AO37" s="959"/>
      <c r="AP37" s="3618">
        <f t="shared" si="19"/>
        <v>3180</v>
      </c>
      <c r="AQ37" s="3618"/>
      <c r="AR37" s="3626"/>
      <c r="AS37" s="3626">
        <f t="shared" si="17"/>
        <v>3180</v>
      </c>
      <c r="AT37" s="3626"/>
      <c r="AU37" s="3626"/>
      <c r="AV37" s="3626"/>
      <c r="AW37" s="3626">
        <f>I37/6</f>
        <v>530</v>
      </c>
      <c r="AX37" s="3626"/>
      <c r="AY37" s="3626"/>
      <c r="AZ37" s="3626"/>
      <c r="BA37" s="3626"/>
      <c r="BB37" s="3626"/>
      <c r="BC37" s="3626"/>
      <c r="BD37" s="3626"/>
      <c r="BE37" s="3626">
        <v>250</v>
      </c>
      <c r="BG37" s="3626"/>
      <c r="BH37" s="3626"/>
      <c r="BI37" s="3626" t="s">
        <v>89</v>
      </c>
      <c r="BJ37" s="3626">
        <f t="shared" si="20"/>
        <v>106</v>
      </c>
      <c r="BK37" s="3626">
        <f t="shared" si="21"/>
        <v>530</v>
      </c>
      <c r="BL37" s="3626">
        <f t="shared" si="22"/>
        <v>530</v>
      </c>
      <c r="BM37" s="3626">
        <f t="shared" si="23"/>
        <v>424</v>
      </c>
      <c r="BN37" s="3626">
        <f t="shared" si="24"/>
        <v>530</v>
      </c>
      <c r="BO37" s="4055">
        <f t="shared" si="25"/>
        <v>530</v>
      </c>
      <c r="BP37" s="3627">
        <f t="shared" si="26"/>
        <v>530</v>
      </c>
      <c r="BQ37" s="3627">
        <f t="shared" si="0"/>
        <v>3180</v>
      </c>
      <c r="BR37" s="3627">
        <f t="shared" si="1"/>
        <v>0</v>
      </c>
      <c r="BS37" s="4056"/>
      <c r="BT37" s="4057"/>
    </row>
    <row r="38" s="3566" customFormat="1" ht="50" customHeight="1" spans="1:80">
      <c r="A38" s="3635">
        <v>45615</v>
      </c>
      <c r="B38" s="3617" t="s">
        <v>2804</v>
      </c>
      <c r="C38" s="959" t="s">
        <v>91</v>
      </c>
      <c r="D38" s="3618">
        <v>4500151779</v>
      </c>
      <c r="E38" s="3618"/>
      <c r="F38" s="959" t="s">
        <v>6194</v>
      </c>
      <c r="G38" s="959" t="s">
        <v>6195</v>
      </c>
      <c r="H38" s="3618" t="s">
        <v>6063</v>
      </c>
      <c r="I38" s="3618">
        <v>960</v>
      </c>
      <c r="J38" s="3618">
        <v>0</v>
      </c>
      <c r="K38" s="3618">
        <v>12</v>
      </c>
      <c r="L38" s="4052">
        <f t="shared" si="2"/>
        <v>80</v>
      </c>
      <c r="M38" s="3619">
        <v>45666</v>
      </c>
      <c r="N38" s="3619">
        <v>45663</v>
      </c>
      <c r="O38" s="3623"/>
      <c r="P38" s="959" t="s">
        <v>82</v>
      </c>
      <c r="Q38" s="959"/>
      <c r="R38" s="959"/>
      <c r="S38" s="959"/>
      <c r="T38" s="4053"/>
      <c r="U38" s="3620" t="s">
        <v>427</v>
      </c>
      <c r="V38" s="3640" t="s">
        <v>2807</v>
      </c>
      <c r="W38" s="3640"/>
      <c r="X38" s="3640" t="s">
        <v>98</v>
      </c>
      <c r="Y38" s="3640"/>
      <c r="Z38" s="3618"/>
      <c r="AA38" s="3620" t="s">
        <v>1177</v>
      </c>
      <c r="AB38" s="3624" t="s">
        <v>2808</v>
      </c>
      <c r="AC38" s="3618">
        <v>2.3035</v>
      </c>
      <c r="AD38" s="3618">
        <f t="shared" si="18"/>
        <v>2211.36</v>
      </c>
      <c r="AE38" s="3633" t="s">
        <v>2809</v>
      </c>
      <c r="AF38" s="959" t="s">
        <v>6195</v>
      </c>
      <c r="AG38" s="3620" t="s">
        <v>416</v>
      </c>
      <c r="AH38" s="3620"/>
      <c r="AI38" s="3620"/>
      <c r="AJ38" s="3620"/>
      <c r="AK38" s="959">
        <f>I38</f>
        <v>960</v>
      </c>
      <c r="AL38" s="959"/>
      <c r="AM38" s="959"/>
      <c r="AN38" s="959"/>
      <c r="AO38" s="959"/>
      <c r="AP38" s="3618">
        <f t="shared" si="19"/>
        <v>960</v>
      </c>
      <c r="AQ38" s="3618"/>
      <c r="AR38" s="3626"/>
      <c r="AS38" s="3626">
        <f t="shared" si="17"/>
        <v>960</v>
      </c>
      <c r="AT38" s="3626"/>
      <c r="AU38" s="3626"/>
      <c r="AV38" s="3626"/>
      <c r="AW38" s="3626"/>
      <c r="AX38" s="3626"/>
      <c r="AY38" s="3626">
        <f>I38/6</f>
        <v>160</v>
      </c>
      <c r="AZ38" s="3626"/>
      <c r="BA38" s="3626"/>
      <c r="BB38" s="3626"/>
      <c r="BC38" s="3626"/>
      <c r="BD38" s="3626"/>
      <c r="BE38" s="3626"/>
      <c r="BG38" s="3626"/>
      <c r="BH38" s="3626"/>
      <c r="BI38" s="3626" t="s">
        <v>89</v>
      </c>
      <c r="BJ38" s="3626">
        <f t="shared" si="20"/>
        <v>32</v>
      </c>
      <c r="BK38" s="3626">
        <f t="shared" si="21"/>
        <v>160</v>
      </c>
      <c r="BL38" s="3626">
        <f t="shared" si="22"/>
        <v>160</v>
      </c>
      <c r="BM38" s="3626">
        <f t="shared" si="23"/>
        <v>128</v>
      </c>
      <c r="BN38" s="3626">
        <f t="shared" si="24"/>
        <v>160</v>
      </c>
      <c r="BO38" s="4055">
        <f t="shared" si="25"/>
        <v>160</v>
      </c>
      <c r="BP38" s="3627">
        <f t="shared" si="26"/>
        <v>160</v>
      </c>
      <c r="BQ38" s="3627">
        <f t="shared" si="0"/>
        <v>960</v>
      </c>
      <c r="BR38" s="3627">
        <f t="shared" si="1"/>
        <v>0</v>
      </c>
      <c r="BS38" s="4056"/>
      <c r="BT38" s="4057"/>
    </row>
    <row r="39" s="3566" customFormat="1" ht="50" customHeight="1" spans="1:80">
      <c r="A39" s="3635">
        <v>45603</v>
      </c>
      <c r="B39" s="3617" t="s">
        <v>6196</v>
      </c>
      <c r="C39" s="959" t="s">
        <v>1279</v>
      </c>
      <c r="D39" s="3618">
        <v>4500150446</v>
      </c>
      <c r="E39" s="959"/>
      <c r="F39" s="959" t="s">
        <v>6197</v>
      </c>
      <c r="G39" s="959" t="s">
        <v>6124</v>
      </c>
      <c r="H39" s="3618" t="s">
        <v>6063</v>
      </c>
      <c r="I39" s="3618">
        <v>1500</v>
      </c>
      <c r="J39" s="3618">
        <v>0</v>
      </c>
      <c r="K39" s="3618">
        <v>12</v>
      </c>
      <c r="L39" s="4052">
        <f t="shared" si="2"/>
        <v>125</v>
      </c>
      <c r="M39" s="3619">
        <v>45667</v>
      </c>
      <c r="N39" s="3619">
        <v>45663</v>
      </c>
      <c r="O39" s="3618"/>
      <c r="P39" s="959" t="s">
        <v>82</v>
      </c>
      <c r="Q39" s="959"/>
      <c r="R39" s="959"/>
      <c r="S39" s="959"/>
      <c r="T39" s="4053"/>
      <c r="U39" s="3620" t="s">
        <v>427</v>
      </c>
      <c r="V39" s="3640" t="s">
        <v>2299</v>
      </c>
      <c r="W39" s="3640"/>
      <c r="X39" s="3640" t="s">
        <v>6198</v>
      </c>
      <c r="Y39" s="3640"/>
      <c r="Z39" s="959"/>
      <c r="AA39" s="3638" t="s">
        <v>6199</v>
      </c>
      <c r="AB39" s="4054" t="s">
        <v>578</v>
      </c>
      <c r="AC39" s="3618">
        <v>2.2444</v>
      </c>
      <c r="AD39" s="3618">
        <f t="shared" si="18"/>
        <v>3366.6</v>
      </c>
      <c r="AE39" s="3633" t="s">
        <v>6200</v>
      </c>
      <c r="AF39" s="959" t="s">
        <v>6126</v>
      </c>
      <c r="AG39" s="3620" t="s">
        <v>416</v>
      </c>
      <c r="AH39" s="3620"/>
      <c r="AI39" s="3620"/>
      <c r="AJ39" s="3620"/>
      <c r="AK39" s="959"/>
      <c r="AL39" s="959"/>
      <c r="AM39" s="959">
        <f>I39</f>
        <v>1500</v>
      </c>
      <c r="AN39" s="959"/>
      <c r="AO39" s="959"/>
      <c r="AP39" s="3618">
        <f t="shared" si="19"/>
        <v>1500</v>
      </c>
      <c r="AQ39" s="3618"/>
      <c r="AR39" s="3626"/>
      <c r="AS39" s="3626">
        <f t="shared" si="17"/>
        <v>1500</v>
      </c>
      <c r="AT39" s="3626"/>
      <c r="AU39" s="3626"/>
      <c r="AV39" s="3626"/>
      <c r="AW39" s="3626">
        <f>I39/6</f>
        <v>250</v>
      </c>
      <c r="AX39" s="3626"/>
      <c r="AY39" s="3626"/>
      <c r="AZ39" s="3626"/>
      <c r="BA39" s="3626"/>
      <c r="BB39" s="3626"/>
      <c r="BC39" s="3626"/>
      <c r="BD39" s="3626"/>
      <c r="BE39" s="3626"/>
      <c r="BG39" s="3626"/>
      <c r="BH39" s="3626"/>
      <c r="BI39" s="3626" t="s">
        <v>89</v>
      </c>
      <c r="BJ39" s="3626">
        <f t="shared" si="20"/>
        <v>50</v>
      </c>
      <c r="BK39" s="3626">
        <f t="shared" si="21"/>
        <v>250</v>
      </c>
      <c r="BL39" s="3626">
        <f t="shared" si="22"/>
        <v>250</v>
      </c>
      <c r="BM39" s="3626">
        <f t="shared" si="23"/>
        <v>200</v>
      </c>
      <c r="BN39" s="3626">
        <f t="shared" si="24"/>
        <v>250</v>
      </c>
      <c r="BO39" s="4055">
        <f t="shared" si="25"/>
        <v>250</v>
      </c>
      <c r="BP39" s="3627">
        <f t="shared" si="26"/>
        <v>250</v>
      </c>
      <c r="BQ39" s="3627">
        <f t="shared" si="0"/>
        <v>1500</v>
      </c>
      <c r="BR39" s="3627">
        <f t="shared" si="1"/>
        <v>0</v>
      </c>
      <c r="BS39" s="4056"/>
      <c r="BT39" s="4057"/>
    </row>
    <row r="40" s="3566" customFormat="1" ht="50" customHeight="1" spans="1:80">
      <c r="A40" s="3635">
        <v>45621</v>
      </c>
      <c r="B40" s="3617" t="s">
        <v>553</v>
      </c>
      <c r="C40" s="3617" t="s">
        <v>554</v>
      </c>
      <c r="D40" s="3624">
        <v>4500152205</v>
      </c>
      <c r="E40" s="959"/>
      <c r="F40" s="3617" t="s">
        <v>6201</v>
      </c>
      <c r="G40" s="959" t="s">
        <v>6124</v>
      </c>
      <c r="H40" s="3618" t="s">
        <v>6063</v>
      </c>
      <c r="I40" s="3618">
        <v>504</v>
      </c>
      <c r="J40" s="3618">
        <v>0</v>
      </c>
      <c r="K40" s="3618">
        <v>12</v>
      </c>
      <c r="L40" s="4052">
        <f t="shared" si="2"/>
        <v>42</v>
      </c>
      <c r="M40" s="3619">
        <v>45667</v>
      </c>
      <c r="N40" s="3619">
        <v>45663</v>
      </c>
      <c r="O40" s="3623"/>
      <c r="P40" s="4066" t="s">
        <v>82</v>
      </c>
      <c r="Q40" s="4066"/>
      <c r="R40" s="4066"/>
      <c r="S40" s="4066"/>
      <c r="T40" s="4067"/>
      <c r="U40" s="3620" t="s">
        <v>556</v>
      </c>
      <c r="V40" s="3640" t="s">
        <v>402</v>
      </c>
      <c r="W40" s="3640"/>
      <c r="X40" s="3640" t="s">
        <v>557</v>
      </c>
      <c r="Y40" s="3640"/>
      <c r="Z40" s="3623"/>
      <c r="AA40" s="3620" t="s">
        <v>6202</v>
      </c>
      <c r="AB40" s="3624" t="s">
        <v>559</v>
      </c>
      <c r="AC40" s="3686">
        <v>2.3068</v>
      </c>
      <c r="AD40" s="3618">
        <f t="shared" si="18"/>
        <v>1162.6272</v>
      </c>
      <c r="AE40" s="3633" t="s">
        <v>560</v>
      </c>
      <c r="AF40" s="959" t="s">
        <v>6124</v>
      </c>
      <c r="AG40" s="3620" t="s">
        <v>416</v>
      </c>
      <c r="AH40" s="3620"/>
      <c r="AI40" s="3620"/>
      <c r="AJ40" s="3620"/>
      <c r="AK40" s="959">
        <f>I40</f>
        <v>504</v>
      </c>
      <c r="AL40" s="959"/>
      <c r="AM40" s="959"/>
      <c r="AN40" s="959"/>
      <c r="AO40" s="959"/>
      <c r="AP40" s="3618">
        <f t="shared" si="19"/>
        <v>504</v>
      </c>
      <c r="AQ40" s="3618"/>
      <c r="AR40" s="3618"/>
      <c r="AS40" s="3626">
        <f t="shared" si="17"/>
        <v>504</v>
      </c>
      <c r="AT40" s="3626"/>
      <c r="AU40" s="3626"/>
      <c r="AV40" s="3626"/>
      <c r="AW40" s="3626">
        <f>I40/6</f>
        <v>84</v>
      </c>
      <c r="AX40" s="3626"/>
      <c r="AY40" s="3626"/>
      <c r="AZ40" s="3626"/>
      <c r="BA40" s="3626"/>
      <c r="BB40" s="3626"/>
      <c r="BC40" s="3626"/>
      <c r="BD40" s="3626"/>
      <c r="BE40" s="3626"/>
      <c r="BG40" s="3626"/>
      <c r="BH40" s="3626"/>
      <c r="BI40" s="3626" t="s">
        <v>89</v>
      </c>
      <c r="BJ40" s="3626">
        <f t="shared" si="20"/>
        <v>16.8</v>
      </c>
      <c r="BK40" s="3626">
        <f t="shared" si="21"/>
        <v>84</v>
      </c>
      <c r="BL40" s="3626">
        <f t="shared" si="22"/>
        <v>84</v>
      </c>
      <c r="BM40" s="3626">
        <f t="shared" si="23"/>
        <v>67.2</v>
      </c>
      <c r="BN40" s="3626">
        <f t="shared" si="24"/>
        <v>84</v>
      </c>
      <c r="BO40" s="4055">
        <f t="shared" si="25"/>
        <v>84</v>
      </c>
      <c r="BP40" s="3627">
        <f t="shared" si="26"/>
        <v>84</v>
      </c>
      <c r="BQ40" s="3627">
        <f t="shared" ref="BQ40:BQ103" si="27">SUM(BJ40:BP40)</f>
        <v>504</v>
      </c>
      <c r="BR40" s="3627">
        <f t="shared" ref="BR40:BR103" si="28">I40-BQ40</f>
        <v>0</v>
      </c>
      <c r="BS40" s="4068"/>
      <c r="BT40" s="4069"/>
      <c r="BU40" s="4068"/>
      <c r="BV40" s="4068"/>
      <c r="BW40" s="4068"/>
      <c r="BX40" s="4068"/>
      <c r="BY40" s="4070"/>
      <c r="BZ40" s="4071"/>
      <c r="CA40" s="4072"/>
      <c r="CB40" s="4073"/>
    </row>
    <row r="41" s="3566" customFormat="1" ht="50" customHeight="1" spans="1:80">
      <c r="A41" s="3635">
        <v>45631</v>
      </c>
      <c r="B41" s="3617" t="s">
        <v>2812</v>
      </c>
      <c r="C41" s="959" t="s">
        <v>2813</v>
      </c>
      <c r="D41" s="3618">
        <v>4500153308</v>
      </c>
      <c r="E41" s="959"/>
      <c r="F41" s="959" t="s">
        <v>6203</v>
      </c>
      <c r="G41" s="959" t="s">
        <v>6124</v>
      </c>
      <c r="H41" s="3618" t="s">
        <v>6063</v>
      </c>
      <c r="I41" s="3618">
        <v>2400</v>
      </c>
      <c r="J41" s="3618">
        <v>0</v>
      </c>
      <c r="K41" s="3618">
        <v>12</v>
      </c>
      <c r="L41" s="4052">
        <f t="shared" si="2"/>
        <v>200</v>
      </c>
      <c r="M41" s="3619">
        <v>45667</v>
      </c>
      <c r="N41" s="3619">
        <v>45663</v>
      </c>
      <c r="O41" s="3618"/>
      <c r="P41" s="959" t="s">
        <v>82</v>
      </c>
      <c r="Q41" s="959"/>
      <c r="R41" s="959"/>
      <c r="S41" s="959"/>
      <c r="T41" s="4053"/>
      <c r="U41" s="3620" t="s">
        <v>556</v>
      </c>
      <c r="V41" s="3640" t="s">
        <v>2815</v>
      </c>
      <c r="W41" s="3640"/>
      <c r="X41" s="3640" t="s">
        <v>565</v>
      </c>
      <c r="Y41" s="3640"/>
      <c r="Z41" s="3623"/>
      <c r="AA41" s="3620" t="s">
        <v>6204</v>
      </c>
      <c r="AB41" s="3624" t="s">
        <v>2382</v>
      </c>
      <c r="AC41" s="3686">
        <v>2.3023</v>
      </c>
      <c r="AD41" s="3618">
        <f t="shared" si="18"/>
        <v>5525.52</v>
      </c>
      <c r="AE41" s="3633" t="s">
        <v>2817</v>
      </c>
      <c r="AF41" s="959" t="s">
        <v>6126</v>
      </c>
      <c r="AG41" s="3620" t="s">
        <v>416</v>
      </c>
      <c r="AH41" s="3620"/>
      <c r="AI41" s="3620"/>
      <c r="AJ41" s="3620"/>
      <c r="AK41" s="959"/>
      <c r="AL41" s="959"/>
      <c r="AM41" s="959">
        <f>I41</f>
        <v>2400</v>
      </c>
      <c r="AN41" s="959"/>
      <c r="AO41" s="959"/>
      <c r="AP41" s="3618">
        <f t="shared" si="19"/>
        <v>2400</v>
      </c>
      <c r="AQ41" s="3618"/>
      <c r="AR41" s="3626"/>
      <c r="AS41" s="3626">
        <f t="shared" si="17"/>
        <v>2400</v>
      </c>
      <c r="AT41" s="3626"/>
      <c r="AU41" s="3626"/>
      <c r="AV41" s="3626"/>
      <c r="AW41" s="3626">
        <f>I41/6</f>
        <v>400</v>
      </c>
      <c r="AX41" s="3626"/>
      <c r="AY41" s="3626"/>
      <c r="AZ41" s="3626"/>
      <c r="BA41" s="3626"/>
      <c r="BB41" s="3626"/>
      <c r="BC41" s="3626"/>
      <c r="BD41" s="3626"/>
      <c r="BE41" s="3626"/>
      <c r="BG41" s="3626"/>
      <c r="BH41" s="3626"/>
      <c r="BI41" s="3626" t="s">
        <v>89</v>
      </c>
      <c r="BJ41" s="3626">
        <f t="shared" si="20"/>
        <v>80</v>
      </c>
      <c r="BK41" s="3626">
        <f t="shared" si="21"/>
        <v>400</v>
      </c>
      <c r="BL41" s="3626">
        <f t="shared" si="22"/>
        <v>400</v>
      </c>
      <c r="BM41" s="3626">
        <f t="shared" si="23"/>
        <v>320</v>
      </c>
      <c r="BN41" s="3626">
        <f t="shared" si="24"/>
        <v>400</v>
      </c>
      <c r="BO41" s="4055">
        <f t="shared" si="25"/>
        <v>400</v>
      </c>
      <c r="BP41" s="3627">
        <f t="shared" si="26"/>
        <v>400</v>
      </c>
      <c r="BQ41" s="3627">
        <f t="shared" si="27"/>
        <v>2400</v>
      </c>
      <c r="BR41" s="3627">
        <f t="shared" si="28"/>
        <v>0</v>
      </c>
      <c r="BS41" s="4056"/>
      <c r="BT41" s="4057"/>
    </row>
    <row r="42" s="3566" customFormat="1" ht="50" customHeight="1" spans="1:80">
      <c r="A42" s="3635">
        <v>45625</v>
      </c>
      <c r="B42" s="3617" t="s">
        <v>6205</v>
      </c>
      <c r="C42" s="3617" t="s">
        <v>738</v>
      </c>
      <c r="D42" s="3618">
        <v>4500153048</v>
      </c>
      <c r="E42" s="959"/>
      <c r="F42" s="959" t="s">
        <v>6206</v>
      </c>
      <c r="G42" s="959" t="s">
        <v>6124</v>
      </c>
      <c r="H42" s="3618" t="s">
        <v>6063</v>
      </c>
      <c r="I42" s="3618">
        <v>1344</v>
      </c>
      <c r="J42" s="3618">
        <v>0</v>
      </c>
      <c r="K42" s="3618">
        <v>12</v>
      </c>
      <c r="L42" s="4052">
        <f t="shared" si="2"/>
        <v>112</v>
      </c>
      <c r="M42" s="3619">
        <v>45667</v>
      </c>
      <c r="N42" s="3619">
        <v>45663</v>
      </c>
      <c r="O42" s="3618"/>
      <c r="P42" s="959" t="s">
        <v>82</v>
      </c>
      <c r="Q42" s="959"/>
      <c r="R42" s="959"/>
      <c r="S42" s="959"/>
      <c r="T42" s="4053"/>
      <c r="U42" s="3620" t="s">
        <v>556</v>
      </c>
      <c r="V42" s="3640" t="s">
        <v>2600</v>
      </c>
      <c r="W42" s="3640"/>
      <c r="X42" s="3640" t="s">
        <v>2820</v>
      </c>
      <c r="Y42" s="3640"/>
      <c r="Z42" s="3618"/>
      <c r="AA42" s="3620" t="s">
        <v>6207</v>
      </c>
      <c r="AB42" s="3624" t="s">
        <v>1257</v>
      </c>
      <c r="AC42" s="3686">
        <v>2.2444</v>
      </c>
      <c r="AD42" s="3618">
        <f t="shared" si="18"/>
        <v>3016.4736</v>
      </c>
      <c r="AE42" s="3633" t="s">
        <v>2822</v>
      </c>
      <c r="AF42" s="959" t="s">
        <v>6126</v>
      </c>
      <c r="AG42" s="3620" t="s">
        <v>416</v>
      </c>
      <c r="AH42" s="3620"/>
      <c r="AI42" s="3620"/>
      <c r="AJ42" s="3620"/>
      <c r="AK42" s="959"/>
      <c r="AL42" s="959"/>
      <c r="AM42" s="959">
        <f>I42</f>
        <v>1344</v>
      </c>
      <c r="AN42" s="959"/>
      <c r="AO42" s="959"/>
      <c r="AP42" s="3618">
        <f t="shared" si="19"/>
        <v>1344</v>
      </c>
      <c r="AQ42" s="3618"/>
      <c r="AR42" s="3626"/>
      <c r="AS42" s="3626">
        <f t="shared" si="17"/>
        <v>1344</v>
      </c>
      <c r="AT42" s="3626"/>
      <c r="AU42" s="3626"/>
      <c r="AV42" s="3626"/>
      <c r="AW42" s="3626">
        <f>I42/6</f>
        <v>224</v>
      </c>
      <c r="AX42" s="3626"/>
      <c r="AY42" s="3626"/>
      <c r="AZ42" s="3626"/>
      <c r="BA42" s="3626"/>
      <c r="BB42" s="3626"/>
      <c r="BC42" s="3626"/>
      <c r="BD42" s="3626"/>
      <c r="BE42" s="3626"/>
      <c r="BG42" s="3626"/>
      <c r="BH42" s="3626"/>
      <c r="BI42" s="3626" t="s">
        <v>89</v>
      </c>
      <c r="BJ42" s="3626">
        <f t="shared" si="20"/>
        <v>44.8</v>
      </c>
      <c r="BK42" s="3626">
        <f t="shared" si="21"/>
        <v>224</v>
      </c>
      <c r="BL42" s="3626">
        <f t="shared" si="22"/>
        <v>224</v>
      </c>
      <c r="BM42" s="3626">
        <f t="shared" si="23"/>
        <v>179.2</v>
      </c>
      <c r="BN42" s="3626">
        <f t="shared" si="24"/>
        <v>224</v>
      </c>
      <c r="BO42" s="4055">
        <f t="shared" si="25"/>
        <v>224</v>
      </c>
      <c r="BP42" s="3627">
        <f t="shared" si="26"/>
        <v>224</v>
      </c>
      <c r="BQ42" s="3627">
        <f t="shared" si="27"/>
        <v>1344</v>
      </c>
      <c r="BR42" s="3627">
        <f t="shared" si="28"/>
        <v>0</v>
      </c>
      <c r="BS42" s="4056"/>
      <c r="BT42" s="4057"/>
    </row>
    <row r="43" s="3566" customFormat="1" ht="50" customHeight="1" spans="1:80">
      <c r="A43" s="3635">
        <v>45637</v>
      </c>
      <c r="B43" s="3617" t="s">
        <v>872</v>
      </c>
      <c r="C43" s="959" t="s">
        <v>873</v>
      </c>
      <c r="D43" s="3618">
        <v>4500153567</v>
      </c>
      <c r="E43" s="959"/>
      <c r="F43" s="959" t="s">
        <v>6208</v>
      </c>
      <c r="G43" s="959" t="s">
        <v>3520</v>
      </c>
      <c r="H43" s="3618" t="s">
        <v>6063</v>
      </c>
      <c r="I43" s="3618">
        <v>1296</v>
      </c>
      <c r="J43" s="3618">
        <v>0</v>
      </c>
      <c r="K43" s="3618">
        <v>24</v>
      </c>
      <c r="L43" s="4052">
        <f t="shared" si="2"/>
        <v>54</v>
      </c>
      <c r="M43" s="3619">
        <v>45670</v>
      </c>
      <c r="N43" s="3619">
        <v>45666</v>
      </c>
      <c r="O43" s="3618"/>
      <c r="P43" s="959" t="s">
        <v>82</v>
      </c>
      <c r="Q43" s="959"/>
      <c r="R43" s="959"/>
      <c r="S43" s="959"/>
      <c r="T43" s="4053"/>
      <c r="U43" s="3620" t="s">
        <v>2599</v>
      </c>
      <c r="V43" s="3640" t="s">
        <v>2807</v>
      </c>
      <c r="W43" s="3640"/>
      <c r="X43" s="3640" t="s">
        <v>6209</v>
      </c>
      <c r="Y43" s="3640"/>
      <c r="Z43" s="3623"/>
      <c r="AA43" s="3620" t="s">
        <v>6210</v>
      </c>
      <c r="AB43" s="3624" t="s">
        <v>357</v>
      </c>
      <c r="AC43" s="4058">
        <v>2.1903</v>
      </c>
      <c r="AD43" s="3618">
        <f t="shared" si="18"/>
        <v>2838.6288</v>
      </c>
      <c r="AE43" s="3633" t="s">
        <v>6211</v>
      </c>
      <c r="AF43" s="959" t="s">
        <v>3520</v>
      </c>
      <c r="AG43" s="3620" t="s">
        <v>416</v>
      </c>
      <c r="AH43" s="3620"/>
      <c r="AI43" s="3620"/>
      <c r="AJ43" s="3620"/>
      <c r="AK43" s="959">
        <f>I43</f>
        <v>1296</v>
      </c>
      <c r="AL43" s="959"/>
      <c r="AM43" s="959"/>
      <c r="AN43" s="959"/>
      <c r="AO43" s="959"/>
      <c r="AP43" s="3618">
        <f t="shared" si="19"/>
        <v>1296</v>
      </c>
      <c r="AQ43" s="3618"/>
      <c r="AR43" s="3626"/>
      <c r="AS43" s="3626">
        <f t="shared" si="17"/>
        <v>1296</v>
      </c>
      <c r="AT43" s="3626"/>
      <c r="AU43" s="3626"/>
      <c r="AV43" s="3626"/>
      <c r="AW43" s="3626"/>
      <c r="AX43" s="3626"/>
      <c r="AY43" s="3626"/>
      <c r="AZ43" s="3626"/>
      <c r="BA43" s="3626"/>
      <c r="BB43" s="3626"/>
      <c r="BC43" s="3626"/>
      <c r="BD43" s="3626"/>
      <c r="BE43" s="3626"/>
      <c r="BG43" s="3626"/>
      <c r="BH43" s="3626"/>
      <c r="BI43" s="3626" t="s">
        <v>89</v>
      </c>
      <c r="BJ43" s="3626">
        <f t="shared" si="20"/>
        <v>43.2</v>
      </c>
      <c r="BK43" s="3626">
        <f t="shared" si="21"/>
        <v>216</v>
      </c>
      <c r="BL43" s="3626">
        <f t="shared" si="22"/>
        <v>216</v>
      </c>
      <c r="BM43" s="3626">
        <f t="shared" si="23"/>
        <v>172.8</v>
      </c>
      <c r="BN43" s="3626">
        <f t="shared" si="24"/>
        <v>216</v>
      </c>
      <c r="BO43" s="4055">
        <f t="shared" si="25"/>
        <v>216</v>
      </c>
      <c r="BP43" s="3627">
        <f t="shared" si="26"/>
        <v>216</v>
      </c>
      <c r="BQ43" s="3627">
        <f t="shared" si="27"/>
        <v>1296</v>
      </c>
      <c r="BR43" s="3627">
        <f t="shared" si="28"/>
        <v>0</v>
      </c>
      <c r="BS43" s="4056"/>
      <c r="BT43" s="4057"/>
    </row>
    <row r="44" s="3566" customFormat="1" ht="50" customHeight="1" spans="1:80">
      <c r="A44" s="3635">
        <v>45623</v>
      </c>
      <c r="B44" s="3617" t="s">
        <v>2797</v>
      </c>
      <c r="C44" s="3617" t="s">
        <v>91</v>
      </c>
      <c r="D44" s="3618">
        <v>4500152429</v>
      </c>
      <c r="E44" s="959" t="s">
        <v>6212</v>
      </c>
      <c r="F44" s="959" t="s">
        <v>6213</v>
      </c>
      <c r="G44" s="959" t="s">
        <v>6195</v>
      </c>
      <c r="H44" s="3618" t="s">
        <v>6063</v>
      </c>
      <c r="I44" s="3618">
        <v>2892</v>
      </c>
      <c r="J44" s="3618">
        <v>0</v>
      </c>
      <c r="K44" s="3618">
        <v>12</v>
      </c>
      <c r="L44" s="4052">
        <f t="shared" si="2"/>
        <v>241</v>
      </c>
      <c r="M44" s="3619">
        <v>45665</v>
      </c>
      <c r="N44" s="3619">
        <v>45661</v>
      </c>
      <c r="O44" s="3618" t="s">
        <v>2800</v>
      </c>
      <c r="P44" s="959" t="s">
        <v>82</v>
      </c>
      <c r="Q44" s="959"/>
      <c r="R44" s="959"/>
      <c r="S44" s="959"/>
      <c r="T44" s="4053"/>
      <c r="U44" s="3620" t="s">
        <v>127</v>
      </c>
      <c r="V44" s="3640" t="s">
        <v>384</v>
      </c>
      <c r="W44" s="3640"/>
      <c r="X44" s="3640" t="s">
        <v>98</v>
      </c>
      <c r="Y44" s="3640"/>
      <c r="Z44" s="3623"/>
      <c r="AA44" s="3620" t="s">
        <v>6214</v>
      </c>
      <c r="AB44" s="3624" t="s">
        <v>2802</v>
      </c>
      <c r="AC44" s="3618">
        <v>2.2991</v>
      </c>
      <c r="AD44" s="3618">
        <f t="shared" si="18"/>
        <v>6648.9972</v>
      </c>
      <c r="AE44" s="3633" t="s">
        <v>6215</v>
      </c>
      <c r="AF44" s="959" t="s">
        <v>6195</v>
      </c>
      <c r="AG44" s="3620" t="s">
        <v>416</v>
      </c>
      <c r="AH44" s="3620"/>
      <c r="AI44" s="3620"/>
      <c r="AJ44" s="3620"/>
      <c r="AK44" s="959">
        <f>I44</f>
        <v>2892</v>
      </c>
      <c r="AL44" s="959"/>
      <c r="AM44" s="959"/>
      <c r="AN44" s="959"/>
      <c r="AO44" s="959"/>
      <c r="AP44" s="3618">
        <f t="shared" si="19"/>
        <v>2892</v>
      </c>
      <c r="AQ44" s="3618"/>
      <c r="AR44" s="3626"/>
      <c r="AS44" s="3626">
        <f t="shared" si="17"/>
        <v>2892</v>
      </c>
      <c r="AT44" s="3626"/>
      <c r="AU44" s="3626"/>
      <c r="AV44" s="3626"/>
      <c r="AW44" s="3626"/>
      <c r="AX44" s="3626"/>
      <c r="AY44" s="3626">
        <f>I44/6</f>
        <v>482</v>
      </c>
      <c r="AZ44" s="3626"/>
      <c r="BA44" s="3626"/>
      <c r="BB44" s="3626"/>
      <c r="BC44" s="3626"/>
      <c r="BD44" s="3626"/>
      <c r="BE44" s="3626"/>
      <c r="BG44" s="3626"/>
      <c r="BH44" s="3626"/>
      <c r="BI44" s="3626" t="s">
        <v>89</v>
      </c>
      <c r="BJ44" s="3626">
        <f t="shared" si="20"/>
        <v>96.4</v>
      </c>
      <c r="BK44" s="3626">
        <f t="shared" si="21"/>
        <v>482</v>
      </c>
      <c r="BL44" s="3626">
        <f t="shared" si="22"/>
        <v>482</v>
      </c>
      <c r="BM44" s="3626">
        <f t="shared" si="23"/>
        <v>385.6</v>
      </c>
      <c r="BN44" s="3626">
        <f t="shared" si="24"/>
        <v>482</v>
      </c>
      <c r="BO44" s="4055">
        <f t="shared" si="25"/>
        <v>482</v>
      </c>
      <c r="BP44" s="3627">
        <f t="shared" si="26"/>
        <v>482</v>
      </c>
      <c r="BQ44" s="3627">
        <f t="shared" si="27"/>
        <v>2892</v>
      </c>
      <c r="BR44" s="3627">
        <f t="shared" si="28"/>
        <v>0</v>
      </c>
      <c r="BS44" s="4056"/>
      <c r="BT44" s="4057"/>
    </row>
    <row r="45" s="3566" customFormat="1" ht="50" customHeight="1" spans="1:80">
      <c r="A45" s="3635">
        <v>45624</v>
      </c>
      <c r="B45" s="3617" t="s">
        <v>361</v>
      </c>
      <c r="C45" s="3617" t="s">
        <v>91</v>
      </c>
      <c r="D45" s="3618">
        <v>4500152472</v>
      </c>
      <c r="E45" s="3618" t="s">
        <v>6216</v>
      </c>
      <c r="F45" s="959" t="s">
        <v>6217</v>
      </c>
      <c r="G45" s="959" t="s">
        <v>6218</v>
      </c>
      <c r="H45" s="3618" t="s">
        <v>6092</v>
      </c>
      <c r="I45" s="3618">
        <v>192</v>
      </c>
      <c r="J45" s="3618">
        <v>0</v>
      </c>
      <c r="K45" s="3618">
        <v>32</v>
      </c>
      <c r="L45" s="4052">
        <f t="shared" si="2"/>
        <v>6</v>
      </c>
      <c r="M45" s="3619">
        <v>45666</v>
      </c>
      <c r="N45" s="3619">
        <v>45662</v>
      </c>
      <c r="O45" s="3618"/>
      <c r="P45" s="959" t="s">
        <v>82</v>
      </c>
      <c r="Q45" s="959"/>
      <c r="R45" s="959"/>
      <c r="S45" s="959"/>
      <c r="T45" s="4053"/>
      <c r="U45" s="3620" t="s">
        <v>138</v>
      </c>
      <c r="V45" s="3640" t="s">
        <v>384</v>
      </c>
      <c r="W45" s="3640"/>
      <c r="X45" s="3640" t="s">
        <v>98</v>
      </c>
      <c r="Y45" s="3640" t="s">
        <v>532</v>
      </c>
      <c r="Z45" s="3623" t="s">
        <v>6168</v>
      </c>
      <c r="AA45" s="3620" t="s">
        <v>6219</v>
      </c>
      <c r="AB45" s="3617" t="s">
        <v>369</v>
      </c>
      <c r="AC45" s="3686">
        <v>2.295</v>
      </c>
      <c r="AD45" s="3618">
        <f t="shared" si="18"/>
        <v>440.64</v>
      </c>
      <c r="AE45" s="3633" t="s">
        <v>6220</v>
      </c>
      <c r="AF45" s="959" t="s">
        <v>6218</v>
      </c>
      <c r="AG45" s="3620" t="s">
        <v>416</v>
      </c>
      <c r="AH45" s="3620"/>
      <c r="AI45" s="3620"/>
      <c r="AJ45" s="3620"/>
      <c r="AK45" s="959">
        <f>I45</f>
        <v>192</v>
      </c>
      <c r="AL45" s="959"/>
      <c r="AM45" s="959"/>
      <c r="AN45" s="959"/>
      <c r="AO45" s="959"/>
      <c r="AP45" s="3618">
        <f t="shared" si="19"/>
        <v>192</v>
      </c>
      <c r="AQ45" s="3618"/>
      <c r="AR45" s="3626"/>
      <c r="AS45" s="3626">
        <f t="shared" si="17"/>
        <v>192</v>
      </c>
      <c r="AT45" s="3626"/>
      <c r="AU45" s="3626"/>
      <c r="AV45" s="3626"/>
      <c r="AW45" s="3626"/>
      <c r="AX45" s="3626"/>
      <c r="AY45" s="3626"/>
      <c r="AZ45" s="3626"/>
      <c r="BA45" s="3626"/>
      <c r="BB45" s="3626"/>
      <c r="BC45" s="3626"/>
      <c r="BD45" s="3626"/>
      <c r="BE45" s="3626"/>
      <c r="BG45" s="3626"/>
      <c r="BH45" s="3626"/>
      <c r="BI45" s="3626" t="s">
        <v>89</v>
      </c>
      <c r="BJ45" s="3626"/>
      <c r="BK45" s="3626"/>
      <c r="BL45" s="3626"/>
      <c r="BM45" s="3626"/>
      <c r="BN45" s="3626"/>
      <c r="BO45" s="4055">
        <f>I45</f>
        <v>192</v>
      </c>
      <c r="BP45" s="3627"/>
      <c r="BQ45" s="3627">
        <f t="shared" si="27"/>
        <v>192</v>
      </c>
      <c r="BR45" s="3627">
        <f t="shared" si="28"/>
        <v>0</v>
      </c>
      <c r="BS45" s="4056"/>
      <c r="BT45" s="4057"/>
    </row>
    <row r="46" s="3566" customFormat="1" ht="50" customHeight="1" spans="1:80">
      <c r="A46" s="3635">
        <v>45624</v>
      </c>
      <c r="B46" s="3617" t="s">
        <v>361</v>
      </c>
      <c r="C46" s="3617" t="s">
        <v>91</v>
      </c>
      <c r="D46" s="3618">
        <v>4500152472</v>
      </c>
      <c r="E46" s="3618" t="s">
        <v>6221</v>
      </c>
      <c r="F46" s="959" t="s">
        <v>6222</v>
      </c>
      <c r="G46" s="959" t="s">
        <v>6223</v>
      </c>
      <c r="H46" s="3618" t="s">
        <v>6100</v>
      </c>
      <c r="I46" s="3618">
        <v>128</v>
      </c>
      <c r="J46" s="3618">
        <v>0</v>
      </c>
      <c r="K46" s="3618">
        <v>32</v>
      </c>
      <c r="L46" s="4052">
        <f t="shared" si="2"/>
        <v>4</v>
      </c>
      <c r="M46" s="3619">
        <v>45666</v>
      </c>
      <c r="N46" s="3619">
        <v>45662</v>
      </c>
      <c r="O46" s="3618"/>
      <c r="P46" s="959" t="s">
        <v>82</v>
      </c>
      <c r="Q46" s="959"/>
      <c r="R46" s="959"/>
      <c r="S46" s="959"/>
      <c r="T46" s="4053"/>
      <c r="U46" s="3620" t="s">
        <v>138</v>
      </c>
      <c r="V46" s="3640" t="s">
        <v>384</v>
      </c>
      <c r="W46" s="3640"/>
      <c r="X46" s="3640" t="s">
        <v>98</v>
      </c>
      <c r="Y46" s="3640" t="s">
        <v>532</v>
      </c>
      <c r="Z46" s="3623" t="s">
        <v>6168</v>
      </c>
      <c r="AA46" s="3620" t="s">
        <v>6219</v>
      </c>
      <c r="AB46" s="3617" t="s">
        <v>369</v>
      </c>
      <c r="AC46" s="3686">
        <v>2.295</v>
      </c>
      <c r="AD46" s="3618">
        <f t="shared" si="18"/>
        <v>293.76</v>
      </c>
      <c r="AE46" s="3633" t="s">
        <v>6220</v>
      </c>
      <c r="AF46" s="959" t="s">
        <v>6223</v>
      </c>
      <c r="AG46" s="3620" t="s">
        <v>416</v>
      </c>
      <c r="AH46" s="3620"/>
      <c r="AI46" s="3620"/>
      <c r="AJ46" s="3620"/>
      <c r="AK46" s="959">
        <f>I46</f>
        <v>128</v>
      </c>
      <c r="AL46" s="959"/>
      <c r="AM46" s="959"/>
      <c r="AN46" s="959"/>
      <c r="AO46" s="959"/>
      <c r="AP46" s="3618">
        <f t="shared" si="19"/>
        <v>128</v>
      </c>
      <c r="AQ46" s="3618"/>
      <c r="AR46" s="3626"/>
      <c r="AS46" s="3626">
        <f t="shared" si="17"/>
        <v>128</v>
      </c>
      <c r="AT46" s="3626"/>
      <c r="AU46" s="3626"/>
      <c r="AV46" s="3626"/>
      <c r="AW46" s="3626"/>
      <c r="AX46" s="3626"/>
      <c r="AY46" s="3626"/>
      <c r="AZ46" s="3626"/>
      <c r="BA46" s="3626"/>
      <c r="BB46" s="3626"/>
      <c r="BC46" s="3626"/>
      <c r="BD46" s="3626"/>
      <c r="BE46" s="3626"/>
      <c r="BG46" s="3626"/>
      <c r="BH46" s="3626"/>
      <c r="BI46" s="3626" t="s">
        <v>89</v>
      </c>
      <c r="BJ46" s="3626"/>
      <c r="BK46" s="3626"/>
      <c r="BL46" s="3626">
        <f>I46</f>
        <v>128</v>
      </c>
      <c r="BM46" s="3626"/>
      <c r="BN46" s="3626"/>
      <c r="BO46" s="4055"/>
      <c r="BP46" s="3627"/>
      <c r="BQ46" s="3627">
        <f t="shared" si="27"/>
        <v>128</v>
      </c>
      <c r="BR46" s="3627">
        <f t="shared" si="28"/>
        <v>0</v>
      </c>
      <c r="BS46" s="4056"/>
      <c r="BT46" s="4057"/>
    </row>
    <row r="47" s="3566" customFormat="1" ht="50" customHeight="1" spans="1:80">
      <c r="A47" s="3635">
        <v>45610</v>
      </c>
      <c r="B47" s="3617" t="s">
        <v>6224</v>
      </c>
      <c r="C47" s="959" t="s">
        <v>6225</v>
      </c>
      <c r="D47" s="3618">
        <v>4500151290</v>
      </c>
      <c r="E47" s="3618" t="s">
        <v>6226</v>
      </c>
      <c r="F47" s="959" t="s">
        <v>6227</v>
      </c>
      <c r="G47" s="959" t="s">
        <v>6228</v>
      </c>
      <c r="H47" s="3618" t="s">
        <v>6063</v>
      </c>
      <c r="I47" s="3618">
        <v>480</v>
      </c>
      <c r="J47" s="3618">
        <v>0</v>
      </c>
      <c r="K47" s="3618">
        <v>6</v>
      </c>
      <c r="L47" s="4052">
        <f t="shared" si="2"/>
        <v>80</v>
      </c>
      <c r="M47" s="3619">
        <v>45666</v>
      </c>
      <c r="N47" s="3619">
        <v>45663</v>
      </c>
      <c r="O47" s="3618"/>
      <c r="P47" s="959" t="s">
        <v>82</v>
      </c>
      <c r="Q47" s="959"/>
      <c r="R47" s="959"/>
      <c r="S47" s="959"/>
      <c r="T47" s="4053"/>
      <c r="U47" s="3620" t="s">
        <v>138</v>
      </c>
      <c r="V47" s="3640" t="s">
        <v>402</v>
      </c>
      <c r="W47" s="3640"/>
      <c r="X47" s="3640" t="s">
        <v>6229</v>
      </c>
      <c r="Y47" s="3640"/>
      <c r="Z47" s="3618"/>
      <c r="AA47" s="3620" t="s">
        <v>6230</v>
      </c>
      <c r="AB47" s="3624" t="s">
        <v>424</v>
      </c>
      <c r="AC47" s="4058">
        <v>2.3193</v>
      </c>
      <c r="AD47" s="3618">
        <f t="shared" si="18"/>
        <v>1113.264</v>
      </c>
      <c r="AE47" s="3633" t="s">
        <v>6231</v>
      </c>
      <c r="AF47" s="959" t="s">
        <v>6068</v>
      </c>
      <c r="AG47" s="3620" t="s">
        <v>416</v>
      </c>
      <c r="AH47" s="3620"/>
      <c r="AI47" s="3620"/>
      <c r="AJ47" s="3620"/>
      <c r="AK47" s="959"/>
      <c r="AL47" s="959"/>
      <c r="AM47" s="959">
        <f>I47</f>
        <v>480</v>
      </c>
      <c r="AN47" s="959"/>
      <c r="AO47" s="959"/>
      <c r="AP47" s="3618">
        <f t="shared" si="19"/>
        <v>480</v>
      </c>
      <c r="AQ47" s="3618"/>
      <c r="AR47" s="3626"/>
      <c r="AS47" s="3626"/>
      <c r="AT47" s="3626"/>
      <c r="AU47" s="3626">
        <f>I47</f>
        <v>480</v>
      </c>
      <c r="AV47" s="3626"/>
      <c r="AW47" s="3626"/>
      <c r="AX47" s="3626"/>
      <c r="AY47" s="3626">
        <f>I47/6</f>
        <v>80</v>
      </c>
      <c r="AZ47" s="3626"/>
      <c r="BA47" s="3626"/>
      <c r="BB47" s="3626"/>
      <c r="BC47" s="3626"/>
      <c r="BD47" s="3626"/>
      <c r="BE47" s="3626"/>
      <c r="BG47" s="3626"/>
      <c r="BH47" s="3626"/>
      <c r="BI47" s="3626" t="s">
        <v>89</v>
      </c>
      <c r="BJ47" s="3626">
        <f>I47/60*2</f>
        <v>16</v>
      </c>
      <c r="BK47" s="3626">
        <f>I47/60*10</f>
        <v>80</v>
      </c>
      <c r="BL47" s="3626">
        <f>I47/60*10</f>
        <v>80</v>
      </c>
      <c r="BM47" s="3626">
        <f>I47/60*8</f>
        <v>64</v>
      </c>
      <c r="BN47" s="3626">
        <f>I47/60*10</f>
        <v>80</v>
      </c>
      <c r="BO47" s="4055">
        <f>I47/60*10</f>
        <v>80</v>
      </c>
      <c r="BP47" s="3627">
        <f>I47/60*10</f>
        <v>80</v>
      </c>
      <c r="BQ47" s="3627">
        <f t="shared" si="27"/>
        <v>480</v>
      </c>
      <c r="BR47" s="3627">
        <f t="shared" si="28"/>
        <v>0</v>
      </c>
      <c r="BS47" s="4056"/>
      <c r="BT47" s="4057"/>
    </row>
    <row r="48" s="3566" customFormat="1" ht="50" customHeight="1" spans="1:80">
      <c r="A48" s="3635">
        <v>45623</v>
      </c>
      <c r="B48" s="3617" t="s">
        <v>361</v>
      </c>
      <c r="C48" s="3617" t="s">
        <v>91</v>
      </c>
      <c r="D48" s="3618">
        <v>4500152439</v>
      </c>
      <c r="E48" s="959" t="s">
        <v>6232</v>
      </c>
      <c r="F48" s="959" t="s">
        <v>6233</v>
      </c>
      <c r="G48" s="959" t="s">
        <v>6218</v>
      </c>
      <c r="H48" s="3618" t="s">
        <v>6092</v>
      </c>
      <c r="I48" s="3618">
        <v>192</v>
      </c>
      <c r="J48" s="3618">
        <v>0</v>
      </c>
      <c r="K48" s="3618">
        <v>32</v>
      </c>
      <c r="L48" s="4052">
        <f t="shared" si="2"/>
        <v>6</v>
      </c>
      <c r="M48" s="3619">
        <v>45666</v>
      </c>
      <c r="N48" s="3619">
        <v>45663</v>
      </c>
      <c r="O48" s="3618"/>
      <c r="P48" s="959" t="s">
        <v>82</v>
      </c>
      <c r="Q48" s="959"/>
      <c r="R48" s="959"/>
      <c r="S48" s="959"/>
      <c r="T48" s="4053"/>
      <c r="U48" s="3620" t="s">
        <v>2599</v>
      </c>
      <c r="V48" s="3640" t="s">
        <v>384</v>
      </c>
      <c r="W48" s="3640"/>
      <c r="X48" s="3640" t="s">
        <v>98</v>
      </c>
      <c r="Y48" s="3640" t="s">
        <v>532</v>
      </c>
      <c r="Z48" s="3623" t="s">
        <v>6168</v>
      </c>
      <c r="AA48" s="3620" t="s">
        <v>6234</v>
      </c>
      <c r="AB48" s="3624" t="s">
        <v>369</v>
      </c>
      <c r="AC48" s="3618">
        <v>2.3647</v>
      </c>
      <c r="AD48" s="3618">
        <v>454.0224</v>
      </c>
      <c r="AE48" s="3633" t="s">
        <v>6235</v>
      </c>
      <c r="AF48" s="959" t="s">
        <v>6218</v>
      </c>
      <c r="AG48" s="3620" t="s">
        <v>416</v>
      </c>
      <c r="AH48" s="3620"/>
      <c r="AI48" s="3620"/>
      <c r="AJ48" s="3620"/>
      <c r="AK48" s="959">
        <f>I48</f>
        <v>192</v>
      </c>
      <c r="AL48" s="959"/>
      <c r="AM48" s="959"/>
      <c r="AN48" s="959"/>
      <c r="AO48" s="959"/>
      <c r="AP48" s="3618">
        <v>192</v>
      </c>
      <c r="AQ48" s="3618"/>
      <c r="AR48" s="3626"/>
      <c r="AS48" s="3626">
        <f t="shared" ref="AS48:AS76" si="29">I48</f>
        <v>192</v>
      </c>
      <c r="AT48" s="3626"/>
      <c r="AU48" s="3626"/>
      <c r="AV48" s="3626"/>
      <c r="AW48" s="3626"/>
      <c r="AX48" s="3626"/>
      <c r="AY48" s="3626"/>
      <c r="AZ48" s="3626"/>
      <c r="BA48" s="3626"/>
      <c r="BB48" s="3626"/>
      <c r="BC48" s="3626"/>
      <c r="BD48" s="3626"/>
      <c r="BE48" s="3626"/>
      <c r="BG48" s="3626"/>
      <c r="BH48" s="3626"/>
      <c r="BI48" s="3626" t="s">
        <v>89</v>
      </c>
      <c r="BJ48" s="3626"/>
      <c r="BK48" s="3626"/>
      <c r="BL48" s="3626"/>
      <c r="BM48" s="3626"/>
      <c r="BN48" s="3626"/>
      <c r="BO48" s="4055">
        <v>192</v>
      </c>
      <c r="BP48" s="3627"/>
      <c r="BQ48" s="3627">
        <f t="shared" si="27"/>
        <v>192</v>
      </c>
      <c r="BR48" s="3627">
        <f t="shared" si="28"/>
        <v>0</v>
      </c>
      <c r="BS48" s="4056"/>
      <c r="BT48" s="4057"/>
    </row>
    <row r="49" s="3566" customFormat="1" ht="50" customHeight="1" spans="1:72">
      <c r="A49" s="3635">
        <v>45623</v>
      </c>
      <c r="B49" s="3617" t="s">
        <v>361</v>
      </c>
      <c r="C49" s="3617" t="s">
        <v>91</v>
      </c>
      <c r="D49" s="3618">
        <v>4500152439</v>
      </c>
      <c r="E49" s="959" t="s">
        <v>6236</v>
      </c>
      <c r="F49" s="959" t="s">
        <v>6237</v>
      </c>
      <c r="G49" s="959" t="s">
        <v>6218</v>
      </c>
      <c r="H49" s="3618" t="s">
        <v>6092</v>
      </c>
      <c r="I49" s="3618">
        <v>448</v>
      </c>
      <c r="J49" s="3618">
        <v>0</v>
      </c>
      <c r="K49" s="3618">
        <v>32</v>
      </c>
      <c r="L49" s="4052">
        <f t="shared" si="2"/>
        <v>14</v>
      </c>
      <c r="M49" s="3619">
        <v>45666</v>
      </c>
      <c r="N49" s="3619">
        <v>45663</v>
      </c>
      <c r="O49" s="3618"/>
      <c r="P49" s="959" t="s">
        <v>82</v>
      </c>
      <c r="Q49" s="959"/>
      <c r="R49" s="959"/>
      <c r="S49" s="959"/>
      <c r="T49" s="4053"/>
      <c r="U49" s="3620" t="s">
        <v>2599</v>
      </c>
      <c r="V49" s="3640" t="s">
        <v>384</v>
      </c>
      <c r="W49" s="3640"/>
      <c r="X49" s="3640" t="s">
        <v>98</v>
      </c>
      <c r="Y49" s="3640" t="s">
        <v>532</v>
      </c>
      <c r="Z49" s="3623" t="s">
        <v>6168</v>
      </c>
      <c r="AA49" s="3620" t="s">
        <v>6234</v>
      </c>
      <c r="AB49" s="3624" t="s">
        <v>369</v>
      </c>
      <c r="AC49" s="3618">
        <v>2.3647</v>
      </c>
      <c r="AD49" s="3618">
        <v>1059.3856</v>
      </c>
      <c r="AE49" s="3633" t="s">
        <v>6238</v>
      </c>
      <c r="AF49" s="959" t="s">
        <v>6218</v>
      </c>
      <c r="AG49" s="3620" t="s">
        <v>416</v>
      </c>
      <c r="AH49" s="3620"/>
      <c r="AI49" s="3620"/>
      <c r="AJ49" s="3620"/>
      <c r="AK49" s="959">
        <f>I49</f>
        <v>448</v>
      </c>
      <c r="AL49" s="959"/>
      <c r="AM49" s="959"/>
      <c r="AN49" s="959"/>
      <c r="AO49" s="959"/>
      <c r="AP49" s="3618">
        <v>448</v>
      </c>
      <c r="AQ49" s="3618"/>
      <c r="AR49" s="3626"/>
      <c r="AS49" s="3626">
        <f t="shared" si="29"/>
        <v>448</v>
      </c>
      <c r="AT49" s="3626"/>
      <c r="AU49" s="3626"/>
      <c r="AV49" s="3626"/>
      <c r="AW49" s="3626"/>
      <c r="AX49" s="3626"/>
      <c r="AY49" s="3626"/>
      <c r="AZ49" s="3626"/>
      <c r="BA49" s="3626"/>
      <c r="BB49" s="3626"/>
      <c r="BC49" s="3626"/>
      <c r="BD49" s="3626"/>
      <c r="BE49" s="3626"/>
      <c r="BG49" s="3626"/>
      <c r="BH49" s="3626"/>
      <c r="BI49" s="3626" t="s">
        <v>89</v>
      </c>
      <c r="BJ49" s="3626"/>
      <c r="BK49" s="3626"/>
      <c r="BL49" s="3626"/>
      <c r="BM49" s="3626"/>
      <c r="BN49" s="3626"/>
      <c r="BO49" s="4055">
        <v>448</v>
      </c>
      <c r="BP49" s="3627"/>
      <c r="BQ49" s="3627">
        <f t="shared" si="27"/>
        <v>448</v>
      </c>
      <c r="BR49" s="3627">
        <f t="shared" si="28"/>
        <v>0</v>
      </c>
      <c r="BS49" s="4056"/>
      <c r="BT49" s="4057"/>
    </row>
    <row r="50" s="3566" customFormat="1" ht="50" customHeight="1" spans="1:72">
      <c r="A50" s="3635">
        <v>45623</v>
      </c>
      <c r="B50" s="3617" t="s">
        <v>361</v>
      </c>
      <c r="C50" s="3617" t="s">
        <v>91</v>
      </c>
      <c r="D50" s="3618">
        <v>4500152439</v>
      </c>
      <c r="E50" s="959" t="s">
        <v>6239</v>
      </c>
      <c r="F50" s="959" t="s">
        <v>6240</v>
      </c>
      <c r="G50" s="959" t="s">
        <v>6241</v>
      </c>
      <c r="H50" s="3618" t="s">
        <v>6242</v>
      </c>
      <c r="I50" s="3618">
        <v>512</v>
      </c>
      <c r="J50" s="3618">
        <v>0</v>
      </c>
      <c r="K50" s="3618">
        <v>32</v>
      </c>
      <c r="L50" s="4052">
        <f t="shared" si="2"/>
        <v>16</v>
      </c>
      <c r="M50" s="3619">
        <v>45666</v>
      </c>
      <c r="N50" s="3619">
        <v>45663</v>
      </c>
      <c r="O50" s="3618"/>
      <c r="P50" s="959" t="s">
        <v>82</v>
      </c>
      <c r="Q50" s="959"/>
      <c r="R50" s="959"/>
      <c r="S50" s="959"/>
      <c r="T50" s="4053"/>
      <c r="U50" s="3620" t="s">
        <v>2599</v>
      </c>
      <c r="V50" s="3640" t="s">
        <v>384</v>
      </c>
      <c r="W50" s="3640"/>
      <c r="X50" s="3640" t="s">
        <v>98</v>
      </c>
      <c r="Y50" s="3640" t="s">
        <v>532</v>
      </c>
      <c r="Z50" s="3623" t="s">
        <v>6168</v>
      </c>
      <c r="AA50" s="3620" t="s">
        <v>6234</v>
      </c>
      <c r="AB50" s="3624" t="s">
        <v>369</v>
      </c>
      <c r="AC50" s="3618">
        <v>2.3647</v>
      </c>
      <c r="AD50" s="3618">
        <v>1210.7264</v>
      </c>
      <c r="AE50" s="3633" t="s">
        <v>6235</v>
      </c>
      <c r="AF50" s="959" t="s">
        <v>6241</v>
      </c>
      <c r="AG50" s="3620" t="s">
        <v>416</v>
      </c>
      <c r="AH50" s="3620"/>
      <c r="AI50" s="3620"/>
      <c r="AJ50" s="3620"/>
      <c r="AK50" s="959">
        <f>I50</f>
        <v>512</v>
      </c>
      <c r="AL50" s="959"/>
      <c r="AM50" s="959"/>
      <c r="AN50" s="959"/>
      <c r="AO50" s="959"/>
      <c r="AP50" s="3618">
        <v>512</v>
      </c>
      <c r="AQ50" s="3618"/>
      <c r="AR50" s="3626"/>
      <c r="AS50" s="3626">
        <f t="shared" si="29"/>
        <v>512</v>
      </c>
      <c r="AT50" s="3626"/>
      <c r="AU50" s="3626"/>
      <c r="AV50" s="3626"/>
      <c r="AW50" s="3626"/>
      <c r="AX50" s="3626"/>
      <c r="AY50" s="3626"/>
      <c r="AZ50" s="3626"/>
      <c r="BA50" s="3626"/>
      <c r="BB50" s="3626"/>
      <c r="BC50" s="3626"/>
      <c r="BD50" s="3626"/>
      <c r="BE50" s="3626"/>
      <c r="BG50" s="3626"/>
      <c r="BH50" s="3626"/>
      <c r="BI50" s="3626" t="s">
        <v>89</v>
      </c>
      <c r="BJ50" s="3626"/>
      <c r="BK50" s="3626"/>
      <c r="BL50" s="3626"/>
      <c r="BM50" s="3626"/>
      <c r="BN50" s="3626">
        <v>512</v>
      </c>
      <c r="BO50" s="4055"/>
      <c r="BP50" s="3627"/>
      <c r="BQ50" s="3627">
        <f t="shared" si="27"/>
        <v>512</v>
      </c>
      <c r="BR50" s="3627">
        <f t="shared" si="28"/>
        <v>0</v>
      </c>
      <c r="BS50" s="4056"/>
      <c r="BT50" s="4057"/>
    </row>
    <row r="51" s="3566" customFormat="1" ht="50" customHeight="1" spans="1:72">
      <c r="A51" s="3635">
        <v>45623</v>
      </c>
      <c r="B51" s="3617" t="s">
        <v>361</v>
      </c>
      <c r="C51" s="3617" t="s">
        <v>91</v>
      </c>
      <c r="D51" s="3618">
        <v>4500152439</v>
      </c>
      <c r="E51" s="959" t="s">
        <v>6243</v>
      </c>
      <c r="F51" s="959" t="s">
        <v>6244</v>
      </c>
      <c r="G51" s="959" t="s">
        <v>6223</v>
      </c>
      <c r="H51" s="3618" t="s">
        <v>6100</v>
      </c>
      <c r="I51" s="3618">
        <v>320</v>
      </c>
      <c r="J51" s="3618">
        <v>0</v>
      </c>
      <c r="K51" s="3618">
        <v>32</v>
      </c>
      <c r="L51" s="4052">
        <f t="shared" si="2"/>
        <v>10</v>
      </c>
      <c r="M51" s="3619">
        <v>45666</v>
      </c>
      <c r="N51" s="3619">
        <v>45663</v>
      </c>
      <c r="O51" s="3618"/>
      <c r="P51" s="959" t="s">
        <v>82</v>
      </c>
      <c r="Q51" s="959"/>
      <c r="R51" s="959"/>
      <c r="S51" s="959"/>
      <c r="T51" s="4053"/>
      <c r="U51" s="3620" t="s">
        <v>2599</v>
      </c>
      <c r="V51" s="3640" t="s">
        <v>384</v>
      </c>
      <c r="W51" s="3640"/>
      <c r="X51" s="3640" t="s">
        <v>98</v>
      </c>
      <c r="Y51" s="3640" t="s">
        <v>532</v>
      </c>
      <c r="Z51" s="3623" t="s">
        <v>6168</v>
      </c>
      <c r="AA51" s="3620" t="s">
        <v>6234</v>
      </c>
      <c r="AB51" s="3624" t="s">
        <v>369</v>
      </c>
      <c r="AC51" s="3618">
        <v>2.3647</v>
      </c>
      <c r="AD51" s="3618">
        <v>756.704</v>
      </c>
      <c r="AE51" s="3633" t="s">
        <v>6235</v>
      </c>
      <c r="AF51" s="959" t="s">
        <v>6223</v>
      </c>
      <c r="AG51" s="3620" t="s">
        <v>416</v>
      </c>
      <c r="AH51" s="3620"/>
      <c r="AI51" s="3620"/>
      <c r="AJ51" s="3620"/>
      <c r="AK51" s="959">
        <f>I51</f>
        <v>320</v>
      </c>
      <c r="AL51" s="959"/>
      <c r="AM51" s="959"/>
      <c r="AN51" s="959"/>
      <c r="AO51" s="959"/>
      <c r="AP51" s="3618">
        <v>320</v>
      </c>
      <c r="AQ51" s="3618"/>
      <c r="AR51" s="3626"/>
      <c r="AS51" s="3626">
        <f t="shared" si="29"/>
        <v>320</v>
      </c>
      <c r="AT51" s="3626"/>
      <c r="AU51" s="3626"/>
      <c r="AV51" s="3626"/>
      <c r="AW51" s="3626"/>
      <c r="AX51" s="3626"/>
      <c r="AY51" s="3626"/>
      <c r="AZ51" s="3626"/>
      <c r="BA51" s="3626"/>
      <c r="BB51" s="3626"/>
      <c r="BC51" s="3626"/>
      <c r="BD51" s="3626"/>
      <c r="BE51" s="3626"/>
      <c r="BG51" s="3626"/>
      <c r="BH51" s="3626"/>
      <c r="BI51" s="3626" t="s">
        <v>89</v>
      </c>
      <c r="BJ51" s="3626"/>
      <c r="BK51" s="3626"/>
      <c r="BL51" s="3626">
        <v>320</v>
      </c>
      <c r="BM51" s="3626"/>
      <c r="BN51" s="3626"/>
      <c r="BO51" s="4055"/>
      <c r="BP51" s="3627"/>
      <c r="BQ51" s="3627">
        <f t="shared" si="27"/>
        <v>320</v>
      </c>
      <c r="BR51" s="3627">
        <f t="shared" si="28"/>
        <v>0</v>
      </c>
      <c r="BS51" s="4056"/>
      <c r="BT51" s="4057"/>
    </row>
    <row r="52" s="3566" customFormat="1" ht="50" customHeight="1" spans="1:72">
      <c r="A52" s="3635">
        <v>45623</v>
      </c>
      <c r="B52" s="3617" t="s">
        <v>361</v>
      </c>
      <c r="C52" s="3617" t="s">
        <v>91</v>
      </c>
      <c r="D52" s="3618">
        <v>4500152439</v>
      </c>
      <c r="E52" s="959" t="s">
        <v>6245</v>
      </c>
      <c r="F52" s="959" t="s">
        <v>6246</v>
      </c>
      <c r="G52" s="959" t="s">
        <v>6223</v>
      </c>
      <c r="H52" s="3618" t="s">
        <v>6100</v>
      </c>
      <c r="I52" s="3618">
        <v>160</v>
      </c>
      <c r="J52" s="3618">
        <v>0</v>
      </c>
      <c r="K52" s="3618">
        <v>32</v>
      </c>
      <c r="L52" s="4052">
        <f t="shared" si="2"/>
        <v>5</v>
      </c>
      <c r="M52" s="3619">
        <v>45666</v>
      </c>
      <c r="N52" s="3619">
        <v>45663</v>
      </c>
      <c r="O52" s="3618"/>
      <c r="P52" s="959" t="s">
        <v>82</v>
      </c>
      <c r="Q52" s="959"/>
      <c r="R52" s="959"/>
      <c r="S52" s="959"/>
      <c r="T52" s="4053"/>
      <c r="U52" s="3620" t="s">
        <v>2599</v>
      </c>
      <c r="V52" s="3640" t="s">
        <v>384</v>
      </c>
      <c r="W52" s="3640"/>
      <c r="X52" s="3640" t="s">
        <v>98</v>
      </c>
      <c r="Y52" s="3640" t="s">
        <v>532</v>
      </c>
      <c r="Z52" s="3623" t="s">
        <v>6168</v>
      </c>
      <c r="AA52" s="3620" t="s">
        <v>6234</v>
      </c>
      <c r="AB52" s="3624" t="s">
        <v>369</v>
      </c>
      <c r="AC52" s="3618">
        <v>2.3647</v>
      </c>
      <c r="AD52" s="3618">
        <v>378.352</v>
      </c>
      <c r="AE52" s="3633" t="s">
        <v>6235</v>
      </c>
      <c r="AF52" s="959" t="s">
        <v>6223</v>
      </c>
      <c r="AG52" s="3620" t="s">
        <v>416</v>
      </c>
      <c r="AH52" s="3620"/>
      <c r="AI52" s="3620"/>
      <c r="AJ52" s="3620"/>
      <c r="AK52" s="959">
        <f>I52</f>
        <v>160</v>
      </c>
      <c r="AL52" s="959"/>
      <c r="AM52" s="959"/>
      <c r="AN52" s="959"/>
      <c r="AO52" s="959"/>
      <c r="AP52" s="3618">
        <v>160</v>
      </c>
      <c r="AQ52" s="3618"/>
      <c r="AR52" s="3626"/>
      <c r="AS52" s="3626">
        <f t="shared" si="29"/>
        <v>160</v>
      </c>
      <c r="AT52" s="3626"/>
      <c r="AU52" s="3626"/>
      <c r="AV52" s="3626"/>
      <c r="AW52" s="3626"/>
      <c r="AX52" s="3626"/>
      <c r="AY52" s="3626"/>
      <c r="AZ52" s="3626"/>
      <c r="BA52" s="3626"/>
      <c r="BB52" s="3626"/>
      <c r="BC52" s="3626"/>
      <c r="BD52" s="3626"/>
      <c r="BE52" s="3626"/>
      <c r="BG52" s="3626"/>
      <c r="BH52" s="3626"/>
      <c r="BI52" s="3626" t="s">
        <v>89</v>
      </c>
      <c r="BJ52" s="3626"/>
      <c r="BK52" s="3626"/>
      <c r="BL52" s="3626">
        <v>160</v>
      </c>
      <c r="BM52" s="3626"/>
      <c r="BN52" s="3626"/>
      <c r="BO52" s="4055"/>
      <c r="BP52" s="3627"/>
      <c r="BQ52" s="3627">
        <f t="shared" si="27"/>
        <v>160</v>
      </c>
      <c r="BR52" s="3627">
        <f t="shared" si="28"/>
        <v>0</v>
      </c>
      <c r="BS52" s="4056"/>
      <c r="BT52" s="4057"/>
    </row>
    <row r="53" s="3566" customFormat="1" ht="50" customHeight="1" spans="1:72">
      <c r="A53" s="3635">
        <v>45607</v>
      </c>
      <c r="B53" s="3617" t="s">
        <v>2645</v>
      </c>
      <c r="C53" s="959" t="s">
        <v>2058</v>
      </c>
      <c r="D53" s="3618">
        <v>4500149708</v>
      </c>
      <c r="E53" s="959">
        <v>5200005612</v>
      </c>
      <c r="F53" s="959" t="s">
        <v>6247</v>
      </c>
      <c r="G53" s="959" t="s">
        <v>6248</v>
      </c>
      <c r="H53" s="3618" t="s">
        <v>6063</v>
      </c>
      <c r="I53" s="3618">
        <v>5394</v>
      </c>
      <c r="J53" s="3618">
        <v>0</v>
      </c>
      <c r="K53" s="3618">
        <v>6</v>
      </c>
      <c r="L53" s="4052">
        <f t="shared" si="2"/>
        <v>899</v>
      </c>
      <c r="M53" s="3619">
        <v>45670</v>
      </c>
      <c r="N53" s="3619">
        <v>45666</v>
      </c>
      <c r="O53" s="3618"/>
      <c r="P53" s="959" t="s">
        <v>82</v>
      </c>
      <c r="Q53" s="959"/>
      <c r="R53" s="959"/>
      <c r="S53" s="959"/>
      <c r="T53" s="4053"/>
      <c r="U53" s="3620" t="s">
        <v>138</v>
      </c>
      <c r="V53" s="3640" t="s">
        <v>2815</v>
      </c>
      <c r="W53" s="3640"/>
      <c r="X53" s="3640" t="s">
        <v>6249</v>
      </c>
      <c r="Y53" s="3640"/>
      <c r="Z53" s="3618"/>
      <c r="AA53" s="3620" t="s">
        <v>6250</v>
      </c>
      <c r="AB53" s="3624" t="s">
        <v>578</v>
      </c>
      <c r="AC53" s="3618">
        <v>2.2912</v>
      </c>
      <c r="AD53" s="3618">
        <f t="shared" ref="AD53:AD60" si="30">AC53*I53</f>
        <v>12358.7328</v>
      </c>
      <c r="AE53" s="3633" t="s">
        <v>6251</v>
      </c>
      <c r="AF53" s="959" t="s">
        <v>6252</v>
      </c>
      <c r="AG53" s="3620" t="s">
        <v>416</v>
      </c>
      <c r="AH53" s="3620"/>
      <c r="AI53" s="3620"/>
      <c r="AJ53" s="3620"/>
      <c r="AK53" s="959"/>
      <c r="AL53" s="959"/>
      <c r="AM53" s="959">
        <f>I53</f>
        <v>5394</v>
      </c>
      <c r="AN53" s="959"/>
      <c r="AO53" s="959"/>
      <c r="AP53" s="3618">
        <f>I53</f>
        <v>5394</v>
      </c>
      <c r="AQ53" s="3618"/>
      <c r="AR53" s="3626"/>
      <c r="AS53" s="3626">
        <f t="shared" si="29"/>
        <v>5394</v>
      </c>
      <c r="AT53" s="3626"/>
      <c r="AU53" s="3626"/>
      <c r="AV53" s="3626"/>
      <c r="AW53" s="3626">
        <f>I53/6</f>
        <v>899</v>
      </c>
      <c r="AX53" s="3626"/>
      <c r="AY53" s="3626"/>
      <c r="AZ53" s="3626"/>
      <c r="BA53" s="3626"/>
      <c r="BB53" s="3626"/>
      <c r="BC53" s="3626"/>
      <c r="BD53" s="3626"/>
      <c r="BE53" s="3626"/>
      <c r="BG53" s="3626"/>
      <c r="BH53" s="3626"/>
      <c r="BI53" s="3626" t="s">
        <v>89</v>
      </c>
      <c r="BJ53" s="3626">
        <f>I53/60*2</f>
        <v>179.8</v>
      </c>
      <c r="BK53" s="3626">
        <f>I53/60*10</f>
        <v>899</v>
      </c>
      <c r="BL53" s="3626">
        <f>I53/60*10</f>
        <v>899</v>
      </c>
      <c r="BM53" s="3626">
        <f>I53/60*8</f>
        <v>719.2</v>
      </c>
      <c r="BN53" s="3626">
        <f>I53/60*10</f>
        <v>899</v>
      </c>
      <c r="BO53" s="4055">
        <f>I53/60*10</f>
        <v>899</v>
      </c>
      <c r="BP53" s="3627">
        <f>I53/60*10</f>
        <v>899</v>
      </c>
      <c r="BQ53" s="3627">
        <f t="shared" si="27"/>
        <v>5394</v>
      </c>
      <c r="BR53" s="3627">
        <f t="shared" si="28"/>
        <v>0</v>
      </c>
      <c r="BS53" s="4056"/>
      <c r="BT53" s="4057"/>
    </row>
    <row r="54" s="3566" customFormat="1" ht="50" customHeight="1" spans="1:72">
      <c r="A54" s="3635">
        <v>45639</v>
      </c>
      <c r="B54" s="3617" t="s">
        <v>672</v>
      </c>
      <c r="C54" s="959" t="s">
        <v>673</v>
      </c>
      <c r="D54" s="3618">
        <v>4500153795</v>
      </c>
      <c r="E54" s="959">
        <v>5000001719</v>
      </c>
      <c r="F54" s="959" t="s">
        <v>6253</v>
      </c>
      <c r="G54" s="959" t="s">
        <v>6254</v>
      </c>
      <c r="H54" s="3618" t="s">
        <v>6063</v>
      </c>
      <c r="I54" s="3618">
        <v>1560</v>
      </c>
      <c r="J54" s="3618">
        <v>0</v>
      </c>
      <c r="K54" s="3618">
        <v>6</v>
      </c>
      <c r="L54" s="4052">
        <f t="shared" si="2"/>
        <v>260</v>
      </c>
      <c r="M54" s="3619">
        <v>45670</v>
      </c>
      <c r="N54" s="3619">
        <v>45666</v>
      </c>
      <c r="O54" s="3618"/>
      <c r="P54" s="959" t="s">
        <v>82</v>
      </c>
      <c r="Q54" s="959"/>
      <c r="R54" s="959"/>
      <c r="S54" s="959"/>
      <c r="T54" s="4053"/>
      <c r="U54" s="3620" t="s">
        <v>5398</v>
      </c>
      <c r="V54" s="3640" t="s">
        <v>6255</v>
      </c>
      <c r="W54" s="3640"/>
      <c r="X54" s="3640" t="s">
        <v>6256</v>
      </c>
      <c r="Y54" s="3640" t="s">
        <v>6257</v>
      </c>
      <c r="Z54" s="3623"/>
      <c r="AA54" s="3620" t="s">
        <v>6258</v>
      </c>
      <c r="AB54" s="3624" t="s">
        <v>680</v>
      </c>
      <c r="AC54" s="4058">
        <v>2.2567</v>
      </c>
      <c r="AD54" s="3618">
        <f t="shared" si="30"/>
        <v>3520.452</v>
      </c>
      <c r="AE54" s="3633" t="s">
        <v>6259</v>
      </c>
      <c r="AF54" s="959" t="s">
        <v>6260</v>
      </c>
      <c r="AG54" s="3620" t="s">
        <v>416</v>
      </c>
      <c r="AH54" s="3620"/>
      <c r="AI54" s="3620"/>
      <c r="AJ54" s="3620"/>
      <c r="AK54" s="959"/>
      <c r="AL54" s="959"/>
      <c r="AM54" s="959"/>
      <c r="AN54" s="959"/>
      <c r="AO54" s="959">
        <f>I54</f>
        <v>1560</v>
      </c>
      <c r="AP54" s="3618"/>
      <c r="AQ54" s="3618"/>
      <c r="AR54" s="3626">
        <f>I54</f>
        <v>1560</v>
      </c>
      <c r="AS54" s="3626">
        <f t="shared" si="29"/>
        <v>1560</v>
      </c>
      <c r="AT54" s="3626"/>
      <c r="AU54" s="3626"/>
      <c r="AV54" s="3626"/>
      <c r="AW54" s="3626"/>
      <c r="AX54" s="3626"/>
      <c r="AY54" s="3626">
        <f>I54/6</f>
        <v>260</v>
      </c>
      <c r="AZ54" s="3626"/>
      <c r="BA54" s="3626"/>
      <c r="BB54" s="3626"/>
      <c r="BC54" s="3626"/>
      <c r="BD54" s="3626"/>
      <c r="BE54" s="3626"/>
      <c r="BF54" s="3571"/>
      <c r="BG54" s="3626"/>
      <c r="BH54" s="3626"/>
      <c r="BI54" s="3626" t="s">
        <v>682</v>
      </c>
      <c r="BJ54" s="3626">
        <f>I54/60*2</f>
        <v>52</v>
      </c>
      <c r="BK54" s="3626">
        <f>I54/60*10</f>
        <v>260</v>
      </c>
      <c r="BL54" s="3626">
        <f>I54/60*10</f>
        <v>260</v>
      </c>
      <c r="BM54" s="3626">
        <f>I54/60*8</f>
        <v>208</v>
      </c>
      <c r="BN54" s="3626">
        <f>I54/60*10</f>
        <v>260</v>
      </c>
      <c r="BO54" s="4055">
        <f>I54/60*10</f>
        <v>260</v>
      </c>
      <c r="BP54" s="3627">
        <f>I54/60*10</f>
        <v>260</v>
      </c>
      <c r="BQ54" s="3627">
        <f t="shared" si="27"/>
        <v>1560</v>
      </c>
      <c r="BR54" s="3627">
        <f t="shared" si="28"/>
        <v>0</v>
      </c>
      <c r="BS54" s="4056"/>
      <c r="BT54" s="4057"/>
    </row>
    <row r="55" s="3566" customFormat="1" ht="50" customHeight="1" spans="1:72">
      <c r="A55" s="3635">
        <v>45631</v>
      </c>
      <c r="B55" s="3617" t="s">
        <v>2891</v>
      </c>
      <c r="C55" s="959" t="s">
        <v>1279</v>
      </c>
      <c r="D55" s="3618">
        <v>4500153328</v>
      </c>
      <c r="E55" s="959"/>
      <c r="F55" s="959" t="s">
        <v>6261</v>
      </c>
      <c r="G55" s="959" t="s">
        <v>3520</v>
      </c>
      <c r="H55" s="3618" t="s">
        <v>6063</v>
      </c>
      <c r="I55" s="3618">
        <v>1200</v>
      </c>
      <c r="J55" s="3618">
        <v>0</v>
      </c>
      <c r="K55" s="3618">
        <v>24</v>
      </c>
      <c r="L55" s="4052">
        <f t="shared" si="2"/>
        <v>50</v>
      </c>
      <c r="M55" s="3619">
        <v>45672</v>
      </c>
      <c r="N55" s="3619">
        <v>45668</v>
      </c>
      <c r="O55" s="3618"/>
      <c r="P55" s="959" t="s">
        <v>82</v>
      </c>
      <c r="Q55" s="959"/>
      <c r="R55" s="959"/>
      <c r="S55" s="959"/>
      <c r="T55" s="4053"/>
      <c r="U55" s="3620" t="s">
        <v>2893</v>
      </c>
      <c r="V55" s="3640" t="s">
        <v>2600</v>
      </c>
      <c r="W55" s="3640"/>
      <c r="X55" s="3640" t="s">
        <v>2894</v>
      </c>
      <c r="Y55" s="3640"/>
      <c r="Z55" s="3623"/>
      <c r="AA55" s="3620" t="s">
        <v>6262</v>
      </c>
      <c r="AB55" s="3624" t="s">
        <v>2762</v>
      </c>
      <c r="AC55" s="4058">
        <v>2.2437</v>
      </c>
      <c r="AD55" s="3618">
        <f t="shared" si="30"/>
        <v>2692.44</v>
      </c>
      <c r="AE55" s="3633"/>
      <c r="AF55" s="959" t="s">
        <v>6263</v>
      </c>
      <c r="AG55" s="3620" t="s">
        <v>416</v>
      </c>
      <c r="AH55" s="3620"/>
      <c r="AI55" s="3620"/>
      <c r="AJ55" s="3620"/>
      <c r="AK55" s="959"/>
      <c r="AL55" s="959"/>
      <c r="AM55" s="959">
        <f>I55</f>
        <v>1200</v>
      </c>
      <c r="AN55" s="959"/>
      <c r="AO55" s="959"/>
      <c r="AP55" s="3618">
        <f t="shared" ref="AP55:AP60" si="31">I55</f>
        <v>1200</v>
      </c>
      <c r="AQ55" s="3618"/>
      <c r="AR55" s="3626"/>
      <c r="AS55" s="3626">
        <f t="shared" si="29"/>
        <v>1200</v>
      </c>
      <c r="AT55" s="3626"/>
      <c r="AU55" s="3626"/>
      <c r="AV55" s="3626"/>
      <c r="AW55" s="3626"/>
      <c r="AX55" s="3626"/>
      <c r="AY55" s="3626"/>
      <c r="AZ55" s="3626"/>
      <c r="BA55" s="3626"/>
      <c r="BB55" s="3626"/>
      <c r="BC55" s="3626"/>
      <c r="BD55" s="3626"/>
      <c r="BE55" s="3626"/>
      <c r="BG55" s="3626"/>
      <c r="BH55" s="3626"/>
      <c r="BI55" s="3626" t="s">
        <v>89</v>
      </c>
      <c r="BJ55" s="3626">
        <f>I55/60*2</f>
        <v>40</v>
      </c>
      <c r="BK55" s="3626">
        <f>I55/60*10</f>
        <v>200</v>
      </c>
      <c r="BL55" s="3626">
        <f>I55/60*10</f>
        <v>200</v>
      </c>
      <c r="BM55" s="3626">
        <f>I55/60*8</f>
        <v>160</v>
      </c>
      <c r="BN55" s="3626">
        <f>I55/60*10</f>
        <v>200</v>
      </c>
      <c r="BO55" s="4055">
        <f>I55/60*10</f>
        <v>200</v>
      </c>
      <c r="BP55" s="3627">
        <f>I55/60*10</f>
        <v>200</v>
      </c>
      <c r="BQ55" s="3627">
        <f t="shared" si="27"/>
        <v>1200</v>
      </c>
      <c r="BR55" s="3627">
        <f t="shared" si="28"/>
        <v>0</v>
      </c>
      <c r="BS55" s="4056"/>
      <c r="BT55" s="4057"/>
    </row>
    <row r="56" s="3566" customFormat="1" ht="50" customHeight="1" spans="1:72">
      <c r="A56" s="3635">
        <v>45639</v>
      </c>
      <c r="B56" s="3617" t="s">
        <v>1545</v>
      </c>
      <c r="C56" s="959" t="s">
        <v>1546</v>
      </c>
      <c r="D56" s="3618">
        <v>4500153864</v>
      </c>
      <c r="E56" s="959" t="s">
        <v>6264</v>
      </c>
      <c r="F56" s="959" t="s">
        <v>6265</v>
      </c>
      <c r="G56" s="959" t="s">
        <v>6124</v>
      </c>
      <c r="H56" s="3618" t="s">
        <v>6063</v>
      </c>
      <c r="I56" s="3618">
        <v>240</v>
      </c>
      <c r="J56" s="3618">
        <v>0</v>
      </c>
      <c r="K56" s="3618">
        <v>12</v>
      </c>
      <c r="L56" s="4052">
        <f t="shared" si="2"/>
        <v>20</v>
      </c>
      <c r="M56" s="3619">
        <v>45677</v>
      </c>
      <c r="N56" s="3619">
        <v>45673</v>
      </c>
      <c r="O56" s="3618"/>
      <c r="P56" s="959" t="s">
        <v>82</v>
      </c>
      <c r="Q56" s="959"/>
      <c r="R56" s="959"/>
      <c r="S56" s="959"/>
      <c r="T56" s="4053"/>
      <c r="U56" s="3620" t="s">
        <v>5346</v>
      </c>
      <c r="V56" s="3640" t="s">
        <v>2600</v>
      </c>
      <c r="W56" s="3640"/>
      <c r="X56" s="3640" t="s">
        <v>98</v>
      </c>
      <c r="Y56" s="3640"/>
      <c r="Z56" s="4074" t="s">
        <v>6266</v>
      </c>
      <c r="AA56" s="3620" t="s">
        <v>6267</v>
      </c>
      <c r="AB56" s="3624" t="s">
        <v>521</v>
      </c>
      <c r="AC56" s="3686">
        <v>2.2489</v>
      </c>
      <c r="AD56" s="3618">
        <f t="shared" si="30"/>
        <v>539.736</v>
      </c>
      <c r="AE56" s="3633" t="s">
        <v>6268</v>
      </c>
      <c r="AF56" s="959" t="s">
        <v>6124</v>
      </c>
      <c r="AG56" s="3620" t="s">
        <v>416</v>
      </c>
      <c r="AH56" s="3620"/>
      <c r="AI56" s="3620"/>
      <c r="AJ56" s="3620"/>
      <c r="AK56" s="959">
        <f>I56</f>
        <v>240</v>
      </c>
      <c r="AL56" s="959"/>
      <c r="AM56" s="959"/>
      <c r="AN56" s="959"/>
      <c r="AO56" s="959"/>
      <c r="AP56" s="3618">
        <f t="shared" si="31"/>
        <v>240</v>
      </c>
      <c r="AQ56" s="3618"/>
      <c r="AR56" s="3626"/>
      <c r="AS56" s="3626">
        <f t="shared" si="29"/>
        <v>240</v>
      </c>
      <c r="AT56" s="3626"/>
      <c r="AU56" s="3626"/>
      <c r="AV56" s="3626"/>
      <c r="AW56" s="3626">
        <f>I56/6</f>
        <v>40</v>
      </c>
      <c r="AX56" s="3626"/>
      <c r="AY56" s="3626"/>
      <c r="AZ56" s="3626"/>
      <c r="BA56" s="3626"/>
      <c r="BB56" s="3626"/>
      <c r="BC56" s="3626"/>
      <c r="BD56" s="3626"/>
      <c r="BE56" s="3626"/>
      <c r="BG56" s="3626"/>
      <c r="BH56" s="3626"/>
      <c r="BI56" s="3626" t="s">
        <v>89</v>
      </c>
      <c r="BJ56" s="3626">
        <f>I56/60*2</f>
        <v>8</v>
      </c>
      <c r="BK56" s="3626">
        <f>I56/60*10</f>
        <v>40</v>
      </c>
      <c r="BL56" s="3626">
        <f>I56/60*10</f>
        <v>40</v>
      </c>
      <c r="BM56" s="3626">
        <f>I56/60*8</f>
        <v>32</v>
      </c>
      <c r="BN56" s="3626">
        <f>I56/60*10</f>
        <v>40</v>
      </c>
      <c r="BO56" s="4055">
        <f>I56/60*10</f>
        <v>40</v>
      </c>
      <c r="BP56" s="3627">
        <f>I56/60*10</f>
        <v>40</v>
      </c>
      <c r="BQ56" s="3627">
        <f t="shared" si="27"/>
        <v>240</v>
      </c>
      <c r="BR56" s="3627">
        <f t="shared" si="28"/>
        <v>0</v>
      </c>
      <c r="BS56" s="4056"/>
      <c r="BT56" s="4057"/>
    </row>
    <row r="57" s="3566" customFormat="1" ht="50" customHeight="1" spans="1:72">
      <c r="A57" s="3635">
        <v>45608</v>
      </c>
      <c r="B57" s="3617" t="s">
        <v>407</v>
      </c>
      <c r="C57" s="959" t="s">
        <v>91</v>
      </c>
      <c r="D57" s="3618">
        <v>4500150488</v>
      </c>
      <c r="E57" s="959">
        <v>60190680</v>
      </c>
      <c r="F57" s="959" t="s">
        <v>6269</v>
      </c>
      <c r="G57" s="959" t="s">
        <v>3520</v>
      </c>
      <c r="H57" s="3618" t="s">
        <v>6063</v>
      </c>
      <c r="I57" s="3618">
        <v>4008</v>
      </c>
      <c r="J57" s="3618">
        <v>0</v>
      </c>
      <c r="K57" s="3618">
        <v>24</v>
      </c>
      <c r="L57" s="4052">
        <f t="shared" si="2"/>
        <v>167</v>
      </c>
      <c r="M57" s="3619">
        <v>45677</v>
      </c>
      <c r="N57" s="3619">
        <v>45673</v>
      </c>
      <c r="O57" s="3618"/>
      <c r="P57" s="959" t="s">
        <v>82</v>
      </c>
      <c r="Q57" s="959"/>
      <c r="R57" s="959"/>
      <c r="S57" s="959"/>
      <c r="T57" s="4053"/>
      <c r="U57" s="3620" t="s">
        <v>144</v>
      </c>
      <c r="V57" s="3640" t="s">
        <v>411</v>
      </c>
      <c r="W57" s="3640"/>
      <c r="X57" s="3640" t="s">
        <v>98</v>
      </c>
      <c r="Y57" s="3640" t="s">
        <v>630</v>
      </c>
      <c r="Z57" s="3618"/>
      <c r="AA57" s="3620" t="s">
        <v>413</v>
      </c>
      <c r="AB57" s="3624" t="s">
        <v>393</v>
      </c>
      <c r="AC57" s="4058">
        <v>2.2394</v>
      </c>
      <c r="AD57" s="3618">
        <f t="shared" si="30"/>
        <v>8975.5152</v>
      </c>
      <c r="AE57" s="3633" t="s">
        <v>636</v>
      </c>
      <c r="AF57" s="959" t="s">
        <v>3520</v>
      </c>
      <c r="AG57" s="3620" t="s">
        <v>416</v>
      </c>
      <c r="AH57" s="3620"/>
      <c r="AI57" s="3620"/>
      <c r="AJ57" s="3620"/>
      <c r="AK57" s="959">
        <f>I57</f>
        <v>4008</v>
      </c>
      <c r="AL57" s="959"/>
      <c r="AM57" s="959"/>
      <c r="AN57" s="959"/>
      <c r="AO57" s="959"/>
      <c r="AP57" s="3618">
        <f t="shared" si="31"/>
        <v>4008</v>
      </c>
      <c r="AQ57" s="3618"/>
      <c r="AR57" s="3626"/>
      <c r="AS57" s="3626">
        <f t="shared" si="29"/>
        <v>4008</v>
      </c>
      <c r="AT57" s="3626"/>
      <c r="AU57" s="3626"/>
      <c r="AV57" s="3626"/>
      <c r="AW57" s="3626"/>
      <c r="AX57" s="3626"/>
      <c r="AY57" s="3626"/>
      <c r="AZ57" s="3626"/>
      <c r="BA57" s="3626"/>
      <c r="BB57" s="3626"/>
      <c r="BC57" s="3626"/>
      <c r="BD57" s="3626"/>
      <c r="BE57" s="3626"/>
      <c r="BG57" s="3626"/>
      <c r="BH57" s="3626"/>
      <c r="BI57" s="3626" t="s">
        <v>89</v>
      </c>
      <c r="BJ57" s="3626">
        <f>I57/60*2</f>
        <v>133.6</v>
      </c>
      <c r="BK57" s="3626">
        <f>I57/60*10</f>
        <v>668</v>
      </c>
      <c r="BL57" s="3626">
        <f>I57/60*10</f>
        <v>668</v>
      </c>
      <c r="BM57" s="3626">
        <f>I57/60*8</f>
        <v>534.4</v>
      </c>
      <c r="BN57" s="3626">
        <f>I57/60*10</f>
        <v>668</v>
      </c>
      <c r="BO57" s="4055">
        <f>I57/60*10</f>
        <v>668</v>
      </c>
      <c r="BP57" s="3627">
        <f>I57/60*10</f>
        <v>668</v>
      </c>
      <c r="BQ57" s="3627">
        <f t="shared" si="27"/>
        <v>4008</v>
      </c>
      <c r="BR57" s="3627">
        <f t="shared" si="28"/>
        <v>0</v>
      </c>
      <c r="BS57" s="4056"/>
      <c r="BT57" s="4057"/>
    </row>
    <row r="58" s="3566" customFormat="1" ht="50" customHeight="1" spans="1:72">
      <c r="A58" s="3635">
        <v>45632</v>
      </c>
      <c r="B58" s="3617" t="s">
        <v>371</v>
      </c>
      <c r="C58" s="959" t="s">
        <v>341</v>
      </c>
      <c r="D58" s="3618">
        <v>4500153435</v>
      </c>
      <c r="E58" s="959" t="s">
        <v>6270</v>
      </c>
      <c r="F58" s="959" t="s">
        <v>6271</v>
      </c>
      <c r="G58" s="959" t="s">
        <v>6223</v>
      </c>
      <c r="H58" s="959" t="s">
        <v>6272</v>
      </c>
      <c r="I58" s="3618">
        <v>512</v>
      </c>
      <c r="J58" s="3618">
        <v>0</v>
      </c>
      <c r="K58" s="3618">
        <v>32</v>
      </c>
      <c r="L58" s="4052">
        <f t="shared" si="2"/>
        <v>16</v>
      </c>
      <c r="M58" s="3619">
        <v>45681</v>
      </c>
      <c r="N58" s="3619">
        <v>45677</v>
      </c>
      <c r="O58" s="3618"/>
      <c r="P58" s="959" t="s">
        <v>82</v>
      </c>
      <c r="Q58" s="959"/>
      <c r="R58" s="959"/>
      <c r="S58" s="959"/>
      <c r="T58" s="4053"/>
      <c r="U58" s="3620" t="s">
        <v>144</v>
      </c>
      <c r="V58" s="3640" t="s">
        <v>642</v>
      </c>
      <c r="W58" s="3640"/>
      <c r="X58" s="3640" t="s">
        <v>6273</v>
      </c>
      <c r="Y58" s="3640" t="s">
        <v>644</v>
      </c>
      <c r="Z58" s="3618"/>
      <c r="AA58" s="3620" t="s">
        <v>6274</v>
      </c>
      <c r="AB58" s="3624" t="s">
        <v>380</v>
      </c>
      <c r="AC58" s="3618">
        <v>2.3647</v>
      </c>
      <c r="AD58" s="3618">
        <f t="shared" si="30"/>
        <v>1210.7264</v>
      </c>
      <c r="AE58" s="3633" t="s">
        <v>6275</v>
      </c>
      <c r="AF58" s="959" t="s">
        <v>6276</v>
      </c>
      <c r="AG58" s="3620" t="s">
        <v>416</v>
      </c>
      <c r="AH58" s="3620"/>
      <c r="AI58" s="3620"/>
      <c r="AJ58" s="3620"/>
      <c r="AK58" s="959"/>
      <c r="AL58" s="959"/>
      <c r="AM58" s="959">
        <f>I58</f>
        <v>512</v>
      </c>
      <c r="AN58" s="959"/>
      <c r="AO58" s="959"/>
      <c r="AP58" s="3618">
        <f t="shared" si="31"/>
        <v>512</v>
      </c>
      <c r="AQ58" s="3618"/>
      <c r="AR58" s="3626"/>
      <c r="AS58" s="3626">
        <f t="shared" si="29"/>
        <v>512</v>
      </c>
      <c r="AT58" s="3626"/>
      <c r="AU58" s="3626"/>
      <c r="AV58" s="3626"/>
      <c r="AW58" s="3626"/>
      <c r="AX58" s="3626"/>
      <c r="AY58" s="3626"/>
      <c r="AZ58" s="3626"/>
      <c r="BA58" s="3626"/>
      <c r="BB58" s="3626"/>
      <c r="BC58" s="3626"/>
      <c r="BD58" s="3626"/>
      <c r="BE58" s="3626"/>
      <c r="BG58" s="3626"/>
      <c r="BH58" s="3626"/>
      <c r="BI58" s="3626" t="s">
        <v>89</v>
      </c>
      <c r="BJ58" s="3626"/>
      <c r="BK58" s="3626"/>
      <c r="BL58" s="3626">
        <f>I58</f>
        <v>512</v>
      </c>
      <c r="BM58" s="3626"/>
      <c r="BN58" s="3626"/>
      <c r="BO58" s="4055"/>
      <c r="BP58" s="3627"/>
      <c r="BQ58" s="3627">
        <f t="shared" si="27"/>
        <v>512</v>
      </c>
      <c r="BR58" s="3627">
        <f t="shared" si="28"/>
        <v>0</v>
      </c>
      <c r="BS58" s="4056"/>
      <c r="BT58" s="4057"/>
    </row>
    <row r="59" s="3566" customFormat="1" ht="50" customHeight="1" spans="1:72">
      <c r="A59" s="3635">
        <v>45638</v>
      </c>
      <c r="B59" s="3617" t="s">
        <v>2903</v>
      </c>
      <c r="C59" s="959" t="s">
        <v>1279</v>
      </c>
      <c r="D59" s="3618">
        <v>4500153788</v>
      </c>
      <c r="E59" s="959"/>
      <c r="F59" s="959" t="s">
        <v>6277</v>
      </c>
      <c r="G59" s="959" t="s">
        <v>6124</v>
      </c>
      <c r="H59" s="3618" t="s">
        <v>6063</v>
      </c>
      <c r="I59" s="3618">
        <v>480</v>
      </c>
      <c r="J59" s="3618">
        <v>0</v>
      </c>
      <c r="K59" s="3618">
        <v>12</v>
      </c>
      <c r="L59" s="4052">
        <f t="shared" si="2"/>
        <v>40</v>
      </c>
      <c r="M59" s="3619">
        <v>45687</v>
      </c>
      <c r="N59" s="3619">
        <v>45684</v>
      </c>
      <c r="O59" s="3618"/>
      <c r="P59" s="959" t="s">
        <v>82</v>
      </c>
      <c r="Q59" s="959"/>
      <c r="R59" s="959"/>
      <c r="S59" s="959"/>
      <c r="T59" s="4053"/>
      <c r="U59" s="3620" t="s">
        <v>144</v>
      </c>
      <c r="V59" s="3640" t="s">
        <v>663</v>
      </c>
      <c r="W59" s="3640"/>
      <c r="X59" s="3640" t="s">
        <v>2905</v>
      </c>
      <c r="Y59" s="3640"/>
      <c r="Z59" s="3623"/>
      <c r="AA59" s="3620" t="s">
        <v>6278</v>
      </c>
      <c r="AB59" s="3624" t="s">
        <v>2762</v>
      </c>
      <c r="AC59" s="3686">
        <v>2.3068</v>
      </c>
      <c r="AD59" s="3618">
        <f t="shared" si="30"/>
        <v>1107.264</v>
      </c>
      <c r="AE59" s="3633" t="s">
        <v>2907</v>
      </c>
      <c r="AF59" s="959" t="s">
        <v>6126</v>
      </c>
      <c r="AG59" s="3620" t="s">
        <v>416</v>
      </c>
      <c r="AH59" s="3620"/>
      <c r="AI59" s="3620"/>
      <c r="AJ59" s="3620"/>
      <c r="AK59" s="959"/>
      <c r="AL59" s="959"/>
      <c r="AM59" s="959">
        <f>I59</f>
        <v>480</v>
      </c>
      <c r="AN59" s="959"/>
      <c r="AO59" s="959"/>
      <c r="AP59" s="3618">
        <f t="shared" si="31"/>
        <v>480</v>
      </c>
      <c r="AQ59" s="3618"/>
      <c r="AR59" s="3626"/>
      <c r="AS59" s="3626">
        <f t="shared" si="29"/>
        <v>480</v>
      </c>
      <c r="AT59" s="3626"/>
      <c r="AU59" s="3626"/>
      <c r="AV59" s="3626"/>
      <c r="AW59" s="3626">
        <f>I59/6</f>
        <v>80</v>
      </c>
      <c r="AX59" s="3626"/>
      <c r="AY59" s="3626"/>
      <c r="AZ59" s="3626"/>
      <c r="BA59" s="3626"/>
      <c r="BB59" s="3626"/>
      <c r="BC59" s="3626"/>
      <c r="BD59" s="3626"/>
      <c r="BE59" s="3626"/>
      <c r="BG59" s="3626"/>
      <c r="BH59" s="3626"/>
      <c r="BI59" s="3626" t="s">
        <v>89</v>
      </c>
      <c r="BJ59" s="3626">
        <f>I59/60*2</f>
        <v>16</v>
      </c>
      <c r="BK59" s="3626">
        <f>I59/60*10</f>
        <v>80</v>
      </c>
      <c r="BL59" s="3626">
        <f>I59/60*10</f>
        <v>80</v>
      </c>
      <c r="BM59" s="3626">
        <f>I59/60*8</f>
        <v>64</v>
      </c>
      <c r="BN59" s="3626">
        <f>I59/60*10</f>
        <v>80</v>
      </c>
      <c r="BO59" s="4055">
        <f>I59/60*10</f>
        <v>80</v>
      </c>
      <c r="BP59" s="3627">
        <f>I59/60*10</f>
        <v>80</v>
      </c>
      <c r="BQ59" s="3627">
        <f t="shared" si="27"/>
        <v>480</v>
      </c>
      <c r="BR59" s="3627">
        <f t="shared" si="28"/>
        <v>0</v>
      </c>
      <c r="BS59" s="4056"/>
      <c r="BT59" s="4057"/>
    </row>
    <row r="60" s="3566" customFormat="1" ht="50" customHeight="1" spans="1:72">
      <c r="A60" s="3635">
        <v>45624</v>
      </c>
      <c r="B60" s="3617" t="s">
        <v>361</v>
      </c>
      <c r="C60" s="3617" t="s">
        <v>91</v>
      </c>
      <c r="D60" s="3618">
        <v>4500152472</v>
      </c>
      <c r="E60" s="3618" t="s">
        <v>6279</v>
      </c>
      <c r="F60" s="959" t="s">
        <v>6280</v>
      </c>
      <c r="G60" s="959" t="s">
        <v>6281</v>
      </c>
      <c r="H60" s="3618" t="s">
        <v>6105</v>
      </c>
      <c r="I60" s="3618">
        <v>160</v>
      </c>
      <c r="J60" s="3618">
        <v>0</v>
      </c>
      <c r="K60" s="3618">
        <v>32</v>
      </c>
      <c r="L60" s="4052">
        <f t="shared" si="2"/>
        <v>5</v>
      </c>
      <c r="M60" s="3619">
        <v>45666</v>
      </c>
      <c r="N60" s="3619">
        <v>45662</v>
      </c>
      <c r="O60" s="3618"/>
      <c r="P60" s="959" t="s">
        <v>82</v>
      </c>
      <c r="Q60" s="959"/>
      <c r="R60" s="959"/>
      <c r="S60" s="959"/>
      <c r="T60" s="4053"/>
      <c r="U60" s="3620" t="s">
        <v>138</v>
      </c>
      <c r="V60" s="3640" t="s">
        <v>384</v>
      </c>
      <c r="W60" s="3640"/>
      <c r="X60" s="3640" t="s">
        <v>98</v>
      </c>
      <c r="Y60" s="3640" t="s">
        <v>532</v>
      </c>
      <c r="Z60" s="3623" t="s">
        <v>6168</v>
      </c>
      <c r="AA60" s="3620" t="s">
        <v>6219</v>
      </c>
      <c r="AB60" s="3617" t="s">
        <v>369</v>
      </c>
      <c r="AC60" s="3686">
        <v>2.295</v>
      </c>
      <c r="AD60" s="3618">
        <f t="shared" si="30"/>
        <v>367.2</v>
      </c>
      <c r="AE60" s="3633" t="s">
        <v>6220</v>
      </c>
      <c r="AF60" s="959" t="s">
        <v>6281</v>
      </c>
      <c r="AG60" s="3620" t="s">
        <v>416</v>
      </c>
      <c r="AH60" s="3620"/>
      <c r="AI60" s="3620"/>
      <c r="AJ60" s="3620"/>
      <c r="AK60" s="959">
        <f>I60</f>
        <v>160</v>
      </c>
      <c r="AL60" s="959"/>
      <c r="AM60" s="959"/>
      <c r="AN60" s="959"/>
      <c r="AO60" s="959"/>
      <c r="AP60" s="3618">
        <f t="shared" si="31"/>
        <v>160</v>
      </c>
      <c r="AQ60" s="3618"/>
      <c r="AR60" s="3626"/>
      <c r="AS60" s="3626">
        <f t="shared" si="29"/>
        <v>160</v>
      </c>
      <c r="AT60" s="3626"/>
      <c r="AU60" s="3626"/>
      <c r="AV60" s="3626"/>
      <c r="AW60" s="3626"/>
      <c r="AX60" s="3626"/>
      <c r="AY60" s="3626"/>
      <c r="AZ60" s="3626"/>
      <c r="BA60" s="3626"/>
      <c r="BB60" s="3626"/>
      <c r="BC60" s="3626"/>
      <c r="BD60" s="3626"/>
      <c r="BE60" s="3626"/>
      <c r="BG60" s="3626"/>
      <c r="BH60" s="3626"/>
      <c r="BI60" s="3626" t="s">
        <v>89</v>
      </c>
      <c r="BJ60" s="3626"/>
      <c r="BK60" s="3626">
        <f>I60</f>
        <v>160</v>
      </c>
      <c r="BL60" s="3626"/>
      <c r="BM60" s="3626"/>
      <c r="BN60" s="3626"/>
      <c r="BO60" s="4055"/>
      <c r="BP60" s="3627"/>
      <c r="BQ60" s="3627">
        <f t="shared" si="27"/>
        <v>160</v>
      </c>
      <c r="BR60" s="3627">
        <f t="shared" si="28"/>
        <v>0</v>
      </c>
      <c r="BS60" s="4056"/>
      <c r="BT60" s="4057"/>
    </row>
    <row r="61" s="3566" customFormat="1" ht="50" customHeight="1" spans="1:72">
      <c r="A61" s="3635">
        <v>45623</v>
      </c>
      <c r="B61" s="3617" t="s">
        <v>361</v>
      </c>
      <c r="C61" s="3617" t="s">
        <v>91</v>
      </c>
      <c r="D61" s="3618">
        <v>4500152439</v>
      </c>
      <c r="E61" s="959" t="s">
        <v>6282</v>
      </c>
      <c r="F61" s="959" t="s">
        <v>6283</v>
      </c>
      <c r="G61" s="959" t="s">
        <v>6281</v>
      </c>
      <c r="H61" s="3618" t="s">
        <v>6105</v>
      </c>
      <c r="I61" s="3618">
        <v>192</v>
      </c>
      <c r="J61" s="3618">
        <v>0</v>
      </c>
      <c r="K61" s="3618">
        <v>32</v>
      </c>
      <c r="L61" s="4052">
        <f t="shared" si="2"/>
        <v>6</v>
      </c>
      <c r="M61" s="3619">
        <v>45666</v>
      </c>
      <c r="N61" s="3619">
        <v>45663</v>
      </c>
      <c r="O61" s="3618"/>
      <c r="P61" s="959" t="s">
        <v>82</v>
      </c>
      <c r="Q61" s="959"/>
      <c r="R61" s="959"/>
      <c r="S61" s="959"/>
      <c r="T61" s="4053"/>
      <c r="U61" s="3620" t="s">
        <v>2599</v>
      </c>
      <c r="V61" s="3640" t="s">
        <v>384</v>
      </c>
      <c r="W61" s="3640"/>
      <c r="X61" s="3640" t="s">
        <v>98</v>
      </c>
      <c r="Y61" s="3640" t="s">
        <v>532</v>
      </c>
      <c r="Z61" s="3623" t="s">
        <v>6168</v>
      </c>
      <c r="AA61" s="3620" t="s">
        <v>6234</v>
      </c>
      <c r="AB61" s="3624" t="s">
        <v>369</v>
      </c>
      <c r="AC61" s="3618">
        <v>2.3647</v>
      </c>
      <c r="AD61" s="3618">
        <v>454.0224</v>
      </c>
      <c r="AE61" s="3633" t="s">
        <v>6235</v>
      </c>
      <c r="AF61" s="959" t="s">
        <v>6281</v>
      </c>
      <c r="AG61" s="3620" t="s">
        <v>416</v>
      </c>
      <c r="AH61" s="3620"/>
      <c r="AI61" s="3620"/>
      <c r="AJ61" s="3620"/>
      <c r="AK61" s="959">
        <f>I61</f>
        <v>192</v>
      </c>
      <c r="AL61" s="959"/>
      <c r="AM61" s="959"/>
      <c r="AN61" s="959"/>
      <c r="AO61" s="959"/>
      <c r="AP61" s="3618">
        <v>192</v>
      </c>
      <c r="AQ61" s="3618"/>
      <c r="AR61" s="3626"/>
      <c r="AS61" s="3626">
        <f t="shared" si="29"/>
        <v>192</v>
      </c>
      <c r="AT61" s="3626"/>
      <c r="AU61" s="3626"/>
      <c r="AV61" s="3626"/>
      <c r="AW61" s="3626"/>
      <c r="AX61" s="3626"/>
      <c r="AY61" s="3626"/>
      <c r="AZ61" s="3626"/>
      <c r="BA61" s="3626"/>
      <c r="BB61" s="3626"/>
      <c r="BC61" s="3626"/>
      <c r="BD61" s="3626"/>
      <c r="BE61" s="3626"/>
      <c r="BG61" s="3626"/>
      <c r="BH61" s="3626"/>
      <c r="BI61" s="3626" t="s">
        <v>89</v>
      </c>
      <c r="BJ61" s="3626"/>
      <c r="BK61" s="3626">
        <v>192</v>
      </c>
      <c r="BL61" s="3626"/>
      <c r="BM61" s="3626"/>
      <c r="BN61" s="3626"/>
      <c r="BO61" s="4055"/>
      <c r="BP61" s="3627"/>
      <c r="BQ61" s="3627">
        <f t="shared" si="27"/>
        <v>192</v>
      </c>
      <c r="BR61" s="3627">
        <f t="shared" si="28"/>
        <v>0</v>
      </c>
      <c r="BS61" s="4056"/>
      <c r="BT61" s="4057"/>
    </row>
    <row r="62" s="3566" customFormat="1" ht="50" customHeight="1" spans="1:72">
      <c r="A62" s="3635">
        <v>45623</v>
      </c>
      <c r="B62" s="3617" t="s">
        <v>361</v>
      </c>
      <c r="C62" s="3617" t="s">
        <v>91</v>
      </c>
      <c r="D62" s="3618">
        <v>4500152439</v>
      </c>
      <c r="E62" s="959" t="s">
        <v>6284</v>
      </c>
      <c r="F62" s="959" t="s">
        <v>6285</v>
      </c>
      <c r="G62" s="959" t="s">
        <v>6281</v>
      </c>
      <c r="H62" s="3618" t="s">
        <v>6105</v>
      </c>
      <c r="I62" s="3618">
        <v>448</v>
      </c>
      <c r="J62" s="3618">
        <v>0</v>
      </c>
      <c r="K62" s="3618">
        <v>32</v>
      </c>
      <c r="L62" s="4052">
        <f t="shared" si="2"/>
        <v>14</v>
      </c>
      <c r="M62" s="3619">
        <v>45666</v>
      </c>
      <c r="N62" s="3619">
        <v>45663</v>
      </c>
      <c r="O62" s="3618"/>
      <c r="P62" s="959" t="s">
        <v>82</v>
      </c>
      <c r="Q62" s="959"/>
      <c r="R62" s="959"/>
      <c r="S62" s="959"/>
      <c r="T62" s="4053"/>
      <c r="U62" s="3620" t="s">
        <v>2599</v>
      </c>
      <c r="V62" s="3640" t="s">
        <v>384</v>
      </c>
      <c r="W62" s="3640"/>
      <c r="X62" s="3640" t="s">
        <v>98</v>
      </c>
      <c r="Y62" s="3640" t="s">
        <v>532</v>
      </c>
      <c r="Z62" s="3623" t="s">
        <v>6168</v>
      </c>
      <c r="AA62" s="3620" t="s">
        <v>6234</v>
      </c>
      <c r="AB62" s="3624" t="s">
        <v>369</v>
      </c>
      <c r="AC62" s="3618">
        <v>2.3647</v>
      </c>
      <c r="AD62" s="3618">
        <v>1059.3856</v>
      </c>
      <c r="AE62" s="3633" t="s">
        <v>6235</v>
      </c>
      <c r="AF62" s="959" t="s">
        <v>6281</v>
      </c>
      <c r="AG62" s="3620" t="s">
        <v>416</v>
      </c>
      <c r="AH62" s="3620"/>
      <c r="AI62" s="3620"/>
      <c r="AJ62" s="3620"/>
      <c r="AK62" s="959">
        <f>I62</f>
        <v>448</v>
      </c>
      <c r="AL62" s="959"/>
      <c r="AM62" s="959"/>
      <c r="AN62" s="959"/>
      <c r="AO62" s="959"/>
      <c r="AP62" s="3618">
        <v>448</v>
      </c>
      <c r="AQ62" s="3618"/>
      <c r="AR62" s="3626"/>
      <c r="AS62" s="3626">
        <f t="shared" si="29"/>
        <v>448</v>
      </c>
      <c r="AT62" s="3626"/>
      <c r="AU62" s="3626"/>
      <c r="AV62" s="3626"/>
      <c r="AW62" s="3626"/>
      <c r="AX62" s="3626"/>
      <c r="AY62" s="3626"/>
      <c r="AZ62" s="3626"/>
      <c r="BA62" s="3626"/>
      <c r="BB62" s="3626"/>
      <c r="BC62" s="3626"/>
      <c r="BD62" s="3626"/>
      <c r="BE62" s="3626"/>
      <c r="BG62" s="3626"/>
      <c r="BH62" s="3626"/>
      <c r="BI62" s="3626" t="s">
        <v>89</v>
      </c>
      <c r="BJ62" s="3626"/>
      <c r="BK62" s="3626">
        <v>448</v>
      </c>
      <c r="BL62" s="3626"/>
      <c r="BM62" s="3626"/>
      <c r="BN62" s="3626"/>
      <c r="BO62" s="4055"/>
      <c r="BP62" s="3627"/>
      <c r="BQ62" s="3627">
        <f t="shared" si="27"/>
        <v>448</v>
      </c>
      <c r="BR62" s="3627">
        <f t="shared" si="28"/>
        <v>0</v>
      </c>
      <c r="BS62" s="4056"/>
      <c r="BT62" s="4057"/>
    </row>
    <row r="63" s="3566" customFormat="1" ht="50" customHeight="1" spans="1:72">
      <c r="A63" s="3635">
        <v>45603</v>
      </c>
      <c r="B63" s="3617" t="s">
        <v>387</v>
      </c>
      <c r="C63" s="959" t="s">
        <v>91</v>
      </c>
      <c r="D63" s="3618">
        <v>4500150317</v>
      </c>
      <c r="E63" s="959">
        <v>70054070</v>
      </c>
      <c r="F63" s="959" t="s">
        <v>6286</v>
      </c>
      <c r="G63" s="959" t="s">
        <v>3520</v>
      </c>
      <c r="H63" s="3618" t="s">
        <v>6063</v>
      </c>
      <c r="I63" s="3618">
        <v>360</v>
      </c>
      <c r="J63" s="3618">
        <v>0</v>
      </c>
      <c r="K63" s="3618">
        <v>24</v>
      </c>
      <c r="L63" s="4052">
        <f t="shared" si="2"/>
        <v>15</v>
      </c>
      <c r="M63" s="3619">
        <v>45670</v>
      </c>
      <c r="N63" s="3619">
        <v>45666</v>
      </c>
      <c r="O63" s="3618"/>
      <c r="P63" s="959" t="s">
        <v>82</v>
      </c>
      <c r="Q63" s="959"/>
      <c r="R63" s="959"/>
      <c r="S63" s="959"/>
      <c r="T63" s="4053"/>
      <c r="U63" s="3620" t="s">
        <v>138</v>
      </c>
      <c r="V63" s="3640" t="s">
        <v>411</v>
      </c>
      <c r="W63" s="3640"/>
      <c r="X63" s="3640" t="s">
        <v>98</v>
      </c>
      <c r="Y63" s="3640" t="s">
        <v>587</v>
      </c>
      <c r="Z63" s="3618"/>
      <c r="AA63" s="3620" t="s">
        <v>413</v>
      </c>
      <c r="AB63" s="3624" t="s">
        <v>393</v>
      </c>
      <c r="AC63" s="4058">
        <v>2.2482</v>
      </c>
      <c r="AD63" s="3618">
        <f t="shared" ref="AD63:AD69" si="32">AC63*I63</f>
        <v>809.352</v>
      </c>
      <c r="AE63" s="3633" t="s">
        <v>588</v>
      </c>
      <c r="AF63" s="959" t="s">
        <v>3520</v>
      </c>
      <c r="AG63" s="3620" t="s">
        <v>416</v>
      </c>
      <c r="AH63" s="3620"/>
      <c r="AI63" s="3620"/>
      <c r="AJ63" s="3620"/>
      <c r="AK63" s="959">
        <f>I63</f>
        <v>360</v>
      </c>
      <c r="AL63" s="959"/>
      <c r="AM63" s="959"/>
      <c r="AN63" s="959"/>
      <c r="AO63" s="959"/>
      <c r="AP63" s="3618">
        <f>I63</f>
        <v>360</v>
      </c>
      <c r="AQ63" s="3618"/>
      <c r="AR63" s="3626"/>
      <c r="AS63" s="3626">
        <f t="shared" si="29"/>
        <v>360</v>
      </c>
      <c r="AT63" s="3626"/>
      <c r="AU63" s="3626"/>
      <c r="AV63" s="3626"/>
      <c r="AW63" s="3626"/>
      <c r="AX63" s="3626"/>
      <c r="AY63" s="3626"/>
      <c r="AZ63" s="3626"/>
      <c r="BA63" s="3626"/>
      <c r="BB63" s="3626"/>
      <c r="BC63" s="3626"/>
      <c r="BD63" s="3626"/>
      <c r="BE63" s="3626"/>
      <c r="BG63" s="3626"/>
      <c r="BH63" s="3626"/>
      <c r="BI63" s="3626" t="s">
        <v>89</v>
      </c>
      <c r="BJ63" s="3626">
        <f>I63/60*2</f>
        <v>12</v>
      </c>
      <c r="BK63" s="3626">
        <f>I63/60*10</f>
        <v>60</v>
      </c>
      <c r="BL63" s="3626">
        <f>I63/60*10</f>
        <v>60</v>
      </c>
      <c r="BM63" s="3626">
        <f>I63/60*8</f>
        <v>48</v>
      </c>
      <c r="BN63" s="3626">
        <f>I63/60*10</f>
        <v>60</v>
      </c>
      <c r="BO63" s="4055">
        <f>I63/60*10</f>
        <v>60</v>
      </c>
      <c r="BP63" s="3627">
        <f>I63/60*10</f>
        <v>60</v>
      </c>
      <c r="BQ63" s="3627">
        <f t="shared" si="27"/>
        <v>360</v>
      </c>
      <c r="BR63" s="3627">
        <f t="shared" si="28"/>
        <v>0</v>
      </c>
      <c r="BS63" s="4056"/>
      <c r="BT63" s="4057"/>
    </row>
    <row r="64" s="3566" customFormat="1" ht="50" customHeight="1" spans="1:72">
      <c r="A64" s="3635">
        <v>45635</v>
      </c>
      <c r="B64" s="3617" t="s">
        <v>4959</v>
      </c>
      <c r="C64" s="959" t="s">
        <v>4960</v>
      </c>
      <c r="D64" s="3618">
        <v>4500153513</v>
      </c>
      <c r="E64" s="959"/>
      <c r="F64" s="959" t="s">
        <v>6287</v>
      </c>
      <c r="G64" s="959" t="s">
        <v>6124</v>
      </c>
      <c r="H64" s="3618" t="s">
        <v>6063</v>
      </c>
      <c r="I64" s="3618">
        <v>1800</v>
      </c>
      <c r="J64" s="3618">
        <v>0</v>
      </c>
      <c r="K64" s="3618">
        <v>12</v>
      </c>
      <c r="L64" s="4052">
        <f t="shared" si="2"/>
        <v>150</v>
      </c>
      <c r="M64" s="3619">
        <v>45672</v>
      </c>
      <c r="N64" s="3619">
        <v>45668</v>
      </c>
      <c r="O64" s="3618"/>
      <c r="P64" s="959" t="s">
        <v>82</v>
      </c>
      <c r="Q64" s="959"/>
      <c r="R64" s="959"/>
      <c r="S64" s="959"/>
      <c r="T64" s="4053"/>
      <c r="U64" s="3620" t="s">
        <v>401</v>
      </c>
      <c r="V64" s="3640" t="s">
        <v>2807</v>
      </c>
      <c r="W64" s="3640"/>
      <c r="X64" s="3640" t="s">
        <v>6288</v>
      </c>
      <c r="Y64" s="3640"/>
      <c r="Z64" s="3618"/>
      <c r="AA64" s="3620" t="s">
        <v>6289</v>
      </c>
      <c r="AB64" s="3624" t="s">
        <v>559</v>
      </c>
      <c r="AC64" s="3686">
        <v>2.3023</v>
      </c>
      <c r="AD64" s="3618">
        <f t="shared" si="32"/>
        <v>4144.14</v>
      </c>
      <c r="AE64" s="3633" t="s">
        <v>6290</v>
      </c>
      <c r="AF64" s="959" t="s">
        <v>6126</v>
      </c>
      <c r="AG64" s="3620" t="s">
        <v>416</v>
      </c>
      <c r="AH64" s="3620"/>
      <c r="AI64" s="3620"/>
      <c r="AJ64" s="3620"/>
      <c r="AK64" s="959"/>
      <c r="AL64" s="959"/>
      <c r="AM64" s="959">
        <f>I64</f>
        <v>1800</v>
      </c>
      <c r="AN64" s="959"/>
      <c r="AO64" s="959"/>
      <c r="AP64" s="3618">
        <f>I64</f>
        <v>1800</v>
      </c>
      <c r="AQ64" s="3618"/>
      <c r="AR64" s="3626"/>
      <c r="AS64" s="3626">
        <f t="shared" si="29"/>
        <v>1800</v>
      </c>
      <c r="AT64" s="3626"/>
      <c r="AU64" s="3626"/>
      <c r="AV64" s="3626"/>
      <c r="AW64" s="3626">
        <f>I64/6</f>
        <v>300</v>
      </c>
      <c r="AX64" s="3626"/>
      <c r="AY64" s="3626"/>
      <c r="AZ64" s="3626"/>
      <c r="BA64" s="3626"/>
      <c r="BB64" s="3626"/>
      <c r="BC64" s="3626"/>
      <c r="BD64" s="3626"/>
      <c r="BE64" s="3626"/>
      <c r="BG64" s="3626"/>
      <c r="BH64" s="3626"/>
      <c r="BI64" s="3626" t="s">
        <v>89</v>
      </c>
      <c r="BJ64" s="3626">
        <f>I64/60*2</f>
        <v>60</v>
      </c>
      <c r="BK64" s="3626">
        <f>I64/60*10</f>
        <v>300</v>
      </c>
      <c r="BL64" s="3626">
        <f>I64/60*10</f>
        <v>300</v>
      </c>
      <c r="BM64" s="3626">
        <f>I64/60*8</f>
        <v>240</v>
      </c>
      <c r="BN64" s="3626">
        <f>I64/60*10</f>
        <v>300</v>
      </c>
      <c r="BO64" s="4055">
        <f>I64/60*10</f>
        <v>300</v>
      </c>
      <c r="BP64" s="3627">
        <f>I64/60*10</f>
        <v>300</v>
      </c>
      <c r="BQ64" s="3627">
        <f t="shared" si="27"/>
        <v>1800</v>
      </c>
      <c r="BR64" s="3627">
        <f t="shared" si="28"/>
        <v>0</v>
      </c>
      <c r="BS64" s="4056"/>
      <c r="BT64" s="4057"/>
    </row>
    <row r="65" s="3566" customFormat="1" ht="50" customHeight="1" spans="1:72">
      <c r="A65" s="3635">
        <v>45632</v>
      </c>
      <c r="B65" s="3617" t="s">
        <v>371</v>
      </c>
      <c r="C65" s="959" t="s">
        <v>341</v>
      </c>
      <c r="D65" s="3618">
        <v>4500153435</v>
      </c>
      <c r="E65" s="959" t="s">
        <v>6270</v>
      </c>
      <c r="F65" s="959" t="s">
        <v>6291</v>
      </c>
      <c r="G65" s="959" t="s">
        <v>6281</v>
      </c>
      <c r="H65" s="959" t="s">
        <v>6292</v>
      </c>
      <c r="I65" s="3618">
        <v>512</v>
      </c>
      <c r="J65" s="3618">
        <v>0</v>
      </c>
      <c r="K65" s="3618">
        <v>32</v>
      </c>
      <c r="L65" s="4052">
        <f t="shared" si="2"/>
        <v>16</v>
      </c>
      <c r="M65" s="3619">
        <v>45681</v>
      </c>
      <c r="N65" s="3619">
        <v>45677</v>
      </c>
      <c r="O65" s="3618"/>
      <c r="P65" s="959" t="s">
        <v>82</v>
      </c>
      <c r="Q65" s="959"/>
      <c r="R65" s="959"/>
      <c r="S65" s="959"/>
      <c r="T65" s="4053"/>
      <c r="U65" s="3620" t="s">
        <v>144</v>
      </c>
      <c r="V65" s="3640" t="s">
        <v>642</v>
      </c>
      <c r="W65" s="3640"/>
      <c r="X65" s="3640" t="s">
        <v>6273</v>
      </c>
      <c r="Y65" s="3640" t="s">
        <v>644</v>
      </c>
      <c r="Z65" s="3618"/>
      <c r="AA65" s="3620" t="s">
        <v>6293</v>
      </c>
      <c r="AB65" s="3624" t="s">
        <v>380</v>
      </c>
      <c r="AC65" s="3618">
        <v>2.3647</v>
      </c>
      <c r="AD65" s="3618">
        <f t="shared" si="32"/>
        <v>1210.7264</v>
      </c>
      <c r="AE65" s="3633" t="s">
        <v>6275</v>
      </c>
      <c r="AF65" s="959" t="s">
        <v>6106</v>
      </c>
      <c r="AG65" s="3620" t="s">
        <v>416</v>
      </c>
      <c r="AH65" s="3620"/>
      <c r="AI65" s="3620"/>
      <c r="AJ65" s="3620"/>
      <c r="AK65" s="959"/>
      <c r="AL65" s="959"/>
      <c r="AM65" s="959">
        <f t="shared" ref="AM65:AM70" si="33">I65</f>
        <v>512</v>
      </c>
      <c r="AN65" s="959"/>
      <c r="AO65" s="959"/>
      <c r="AP65" s="3618">
        <f>I65</f>
        <v>512</v>
      </c>
      <c r="AQ65" s="3618"/>
      <c r="AR65" s="3626"/>
      <c r="AS65" s="3626">
        <f t="shared" si="29"/>
        <v>512</v>
      </c>
      <c r="AT65" s="3626"/>
      <c r="AU65" s="3626"/>
      <c r="AV65" s="3626"/>
      <c r="AW65" s="3626"/>
      <c r="AX65" s="3626"/>
      <c r="AY65" s="3626"/>
      <c r="AZ65" s="3626"/>
      <c r="BA65" s="3626"/>
      <c r="BB65" s="3626"/>
      <c r="BC65" s="3626"/>
      <c r="BD65" s="3626"/>
      <c r="BE65" s="3626"/>
      <c r="BG65" s="3626"/>
      <c r="BH65" s="3626"/>
      <c r="BI65" s="3626" t="s">
        <v>89</v>
      </c>
      <c r="BJ65" s="3626"/>
      <c r="BK65" s="3626">
        <f>I65</f>
        <v>512</v>
      </c>
      <c r="BL65" s="3626"/>
      <c r="BM65" s="3626"/>
      <c r="BN65" s="3626"/>
      <c r="BO65" s="4055"/>
      <c r="BP65" s="3627"/>
      <c r="BQ65" s="3627">
        <f t="shared" si="27"/>
        <v>512</v>
      </c>
      <c r="BR65" s="3627">
        <f t="shared" si="28"/>
        <v>0</v>
      </c>
      <c r="BS65" s="4056"/>
      <c r="BT65" s="4057"/>
    </row>
    <row r="66" s="3566" customFormat="1" ht="50" customHeight="1" spans="1:72">
      <c r="A66" s="3635">
        <v>45632</v>
      </c>
      <c r="B66" s="3617" t="s">
        <v>371</v>
      </c>
      <c r="C66" s="959" t="s">
        <v>341</v>
      </c>
      <c r="D66" s="3618">
        <v>4500153435</v>
      </c>
      <c r="E66" s="959" t="s">
        <v>6294</v>
      </c>
      <c r="F66" s="959" t="s">
        <v>6295</v>
      </c>
      <c r="G66" s="959" t="s">
        <v>6281</v>
      </c>
      <c r="H66" s="959" t="s">
        <v>6292</v>
      </c>
      <c r="I66" s="3618">
        <v>512</v>
      </c>
      <c r="J66" s="3618">
        <v>0</v>
      </c>
      <c r="K66" s="3618">
        <v>32</v>
      </c>
      <c r="L66" s="4052">
        <f t="shared" si="2"/>
        <v>16</v>
      </c>
      <c r="M66" s="3619">
        <v>45681</v>
      </c>
      <c r="N66" s="3619">
        <v>45677</v>
      </c>
      <c r="O66" s="3618"/>
      <c r="P66" s="959" t="s">
        <v>82</v>
      </c>
      <c r="Q66" s="959"/>
      <c r="R66" s="959"/>
      <c r="S66" s="959"/>
      <c r="T66" s="4053"/>
      <c r="U66" s="3620" t="s">
        <v>641</v>
      </c>
      <c r="V66" s="3640" t="s">
        <v>642</v>
      </c>
      <c r="W66" s="3640"/>
      <c r="X66" s="3640" t="s">
        <v>6273</v>
      </c>
      <c r="Y66" s="3640" t="s">
        <v>644</v>
      </c>
      <c r="Z66" s="3618"/>
      <c r="AA66" s="3620" t="s">
        <v>6293</v>
      </c>
      <c r="AB66" s="3624" t="s">
        <v>380</v>
      </c>
      <c r="AC66" s="3618">
        <v>2.3647</v>
      </c>
      <c r="AD66" s="3618">
        <f t="shared" si="32"/>
        <v>1210.7264</v>
      </c>
      <c r="AE66" s="3633" t="s">
        <v>646</v>
      </c>
      <c r="AF66" s="959" t="s">
        <v>6106</v>
      </c>
      <c r="AG66" s="3620" t="s">
        <v>416</v>
      </c>
      <c r="AH66" s="3620"/>
      <c r="AI66" s="3620"/>
      <c r="AJ66" s="3620"/>
      <c r="AK66" s="959"/>
      <c r="AL66" s="959"/>
      <c r="AM66" s="959">
        <f t="shared" si="33"/>
        <v>512</v>
      </c>
      <c r="AN66" s="959"/>
      <c r="AO66" s="959"/>
      <c r="AP66" s="3618">
        <f>I66</f>
        <v>512</v>
      </c>
      <c r="AQ66" s="3618"/>
      <c r="AR66" s="3626"/>
      <c r="AS66" s="3626">
        <f t="shared" si="29"/>
        <v>512</v>
      </c>
      <c r="AT66" s="3626"/>
      <c r="AU66" s="3626"/>
      <c r="AV66" s="3626"/>
      <c r="AW66" s="3626"/>
      <c r="AX66" s="3626"/>
      <c r="AY66" s="3626"/>
      <c r="AZ66" s="3626"/>
      <c r="BA66" s="3626"/>
      <c r="BB66" s="3626"/>
      <c r="BC66" s="3626"/>
      <c r="BD66" s="3626"/>
      <c r="BE66" s="3626"/>
      <c r="BG66" s="3626"/>
      <c r="BH66" s="3626"/>
      <c r="BI66" s="3626" t="s">
        <v>89</v>
      </c>
      <c r="BJ66" s="3626"/>
      <c r="BK66" s="3626">
        <f>I66</f>
        <v>512</v>
      </c>
      <c r="BL66" s="3626"/>
      <c r="BM66" s="3626"/>
      <c r="BN66" s="3626"/>
      <c r="BO66" s="4055"/>
      <c r="BP66" s="3627"/>
      <c r="BQ66" s="3627">
        <f t="shared" si="27"/>
        <v>512</v>
      </c>
      <c r="BR66" s="3627">
        <f t="shared" si="28"/>
        <v>0</v>
      </c>
      <c r="BS66" s="4056"/>
      <c r="BT66" s="4057"/>
    </row>
    <row r="67" s="3566" customFormat="1" ht="50" customHeight="1" spans="1:72">
      <c r="A67" s="3635">
        <v>45616</v>
      </c>
      <c r="B67" s="3617" t="s">
        <v>2908</v>
      </c>
      <c r="C67" s="959" t="s">
        <v>341</v>
      </c>
      <c r="D67" s="3618">
        <v>4500151646</v>
      </c>
      <c r="E67" s="959" t="s">
        <v>6296</v>
      </c>
      <c r="F67" s="959" t="s">
        <v>6297</v>
      </c>
      <c r="G67" s="959" t="s">
        <v>6298</v>
      </c>
      <c r="H67" s="3618" t="s">
        <v>6063</v>
      </c>
      <c r="I67" s="3618">
        <v>3000</v>
      </c>
      <c r="J67" s="3618">
        <v>0</v>
      </c>
      <c r="K67" s="3618">
        <v>4</v>
      </c>
      <c r="L67" s="4052">
        <f t="shared" si="2"/>
        <v>750</v>
      </c>
      <c r="M67" s="3619">
        <v>45695</v>
      </c>
      <c r="N67" s="3619">
        <v>45691</v>
      </c>
      <c r="O67" s="3618"/>
      <c r="P67" s="959" t="s">
        <v>82</v>
      </c>
      <c r="Q67" s="959"/>
      <c r="R67" s="959"/>
      <c r="S67" s="959"/>
      <c r="T67" s="4053"/>
      <c r="U67" s="3620" t="s">
        <v>144</v>
      </c>
      <c r="V67" s="3640" t="s">
        <v>663</v>
      </c>
      <c r="W67" s="3640"/>
      <c r="X67" s="3640" t="s">
        <v>98</v>
      </c>
      <c r="Y67" s="3640"/>
      <c r="Z67" s="3623"/>
      <c r="AA67" s="3620" t="s">
        <v>6299</v>
      </c>
      <c r="AB67" s="3624" t="s">
        <v>348</v>
      </c>
      <c r="AC67" s="3618">
        <v>2.3295</v>
      </c>
      <c r="AD67" s="3618">
        <f t="shared" si="32"/>
        <v>6988.5</v>
      </c>
      <c r="AE67" s="3633" t="s">
        <v>6300</v>
      </c>
      <c r="AF67" s="959" t="s">
        <v>6298</v>
      </c>
      <c r="AG67" s="3620" t="s">
        <v>416</v>
      </c>
      <c r="AH67" s="3620"/>
      <c r="AI67" s="3620"/>
      <c r="AJ67" s="3620"/>
      <c r="AK67" s="959">
        <f>I67</f>
        <v>3000</v>
      </c>
      <c r="AL67" s="959"/>
      <c r="AM67" s="959"/>
      <c r="AN67" s="959"/>
      <c r="AO67" s="959"/>
      <c r="AP67" s="3618">
        <f>I67</f>
        <v>3000</v>
      </c>
      <c r="AQ67" s="3618"/>
      <c r="AR67" s="3626"/>
      <c r="AS67" s="3626">
        <f t="shared" si="29"/>
        <v>3000</v>
      </c>
      <c r="AT67" s="3626"/>
      <c r="AU67" s="3626"/>
      <c r="AV67" s="3626"/>
      <c r="AW67" s="3626"/>
      <c r="AX67" s="3626"/>
      <c r="AY67" s="3626"/>
      <c r="AZ67" s="3626"/>
      <c r="BA67" s="3626"/>
      <c r="BB67" s="3626"/>
      <c r="BC67" s="3626">
        <f>I67/4</f>
        <v>750</v>
      </c>
      <c r="BD67" s="3626"/>
      <c r="BE67" s="3626"/>
      <c r="BG67" s="3626"/>
      <c r="BH67" s="3626"/>
      <c r="BI67" s="3626" t="s">
        <v>89</v>
      </c>
      <c r="BJ67" s="3626">
        <f t="shared" ref="BJ67:BJ77" si="34">I67/60*2</f>
        <v>100</v>
      </c>
      <c r="BK67" s="3626">
        <f t="shared" ref="BK67:BK77" si="35">I67/60*10</f>
        <v>500</v>
      </c>
      <c r="BL67" s="3626">
        <f t="shared" ref="BL67:BL77" si="36">I67/60*10</f>
        <v>500</v>
      </c>
      <c r="BM67" s="3626">
        <f t="shared" ref="BM67:BM77" si="37">I67/60*8</f>
        <v>400</v>
      </c>
      <c r="BN67" s="3626">
        <f t="shared" ref="BN67:BN77" si="38">I67/60*10</f>
        <v>500</v>
      </c>
      <c r="BO67" s="4055">
        <f t="shared" ref="BO67:BO77" si="39">I67/60*10</f>
        <v>500</v>
      </c>
      <c r="BP67" s="3627">
        <f t="shared" ref="BP67:BP77" si="40">I67/60*10</f>
        <v>500</v>
      </c>
      <c r="BQ67" s="3627">
        <f t="shared" si="27"/>
        <v>3000</v>
      </c>
      <c r="BR67" s="3627">
        <f t="shared" si="28"/>
        <v>0</v>
      </c>
      <c r="BS67" s="4056"/>
      <c r="BT67" s="4057"/>
    </row>
    <row r="68" s="3566" customFormat="1" ht="50" customHeight="1" spans="1:72">
      <c r="A68" s="3635">
        <v>45623</v>
      </c>
      <c r="B68" s="3617" t="s">
        <v>2914</v>
      </c>
      <c r="C68" s="3617" t="s">
        <v>341</v>
      </c>
      <c r="D68" s="3618">
        <v>4500152538</v>
      </c>
      <c r="E68" s="959" t="s">
        <v>2915</v>
      </c>
      <c r="F68" s="959" t="s">
        <v>6301</v>
      </c>
      <c r="G68" s="959" t="s">
        <v>6116</v>
      </c>
      <c r="H68" s="3618" t="s">
        <v>6063</v>
      </c>
      <c r="I68" s="3618">
        <v>800</v>
      </c>
      <c r="J68" s="3618">
        <v>0</v>
      </c>
      <c r="K68" s="3618">
        <v>16</v>
      </c>
      <c r="L68" s="4052">
        <f t="shared" si="2"/>
        <v>50</v>
      </c>
      <c r="M68" s="3619">
        <v>45696</v>
      </c>
      <c r="N68" s="3619">
        <v>45692</v>
      </c>
      <c r="O68" s="3618"/>
      <c r="P68" s="959" t="s">
        <v>82</v>
      </c>
      <c r="Q68" s="959"/>
      <c r="R68" s="959"/>
      <c r="S68" s="959"/>
      <c r="T68" s="4053"/>
      <c r="U68" s="3620" t="s">
        <v>2918</v>
      </c>
      <c r="V68" s="3640" t="s">
        <v>2694</v>
      </c>
      <c r="W68" s="3640"/>
      <c r="X68" s="3640" t="s">
        <v>6118</v>
      </c>
      <c r="Y68" s="3640"/>
      <c r="Z68" s="3623"/>
      <c r="AA68" s="3620" t="s">
        <v>6119</v>
      </c>
      <c r="AB68" s="3624" t="s">
        <v>2921</v>
      </c>
      <c r="AC68" s="4058">
        <v>2.3234</v>
      </c>
      <c r="AD68" s="3618">
        <f t="shared" si="32"/>
        <v>1858.72</v>
      </c>
      <c r="AE68" s="3633"/>
      <c r="AF68" s="959" t="s">
        <v>6122</v>
      </c>
      <c r="AG68" s="3620" t="s">
        <v>416</v>
      </c>
      <c r="AH68" s="3620"/>
      <c r="AI68" s="3620"/>
      <c r="AJ68" s="3620"/>
      <c r="AK68" s="959">
        <f>I68</f>
        <v>800</v>
      </c>
      <c r="AL68" s="959"/>
      <c r="AM68" s="959"/>
      <c r="AN68" s="959"/>
      <c r="AO68" s="959"/>
      <c r="AP68" s="3618">
        <v>800</v>
      </c>
      <c r="AQ68" s="3618"/>
      <c r="AR68" s="3626"/>
      <c r="AS68" s="3626">
        <f t="shared" si="29"/>
        <v>800</v>
      </c>
      <c r="AT68" s="3626"/>
      <c r="AU68" s="3626"/>
      <c r="AV68" s="3626"/>
      <c r="AW68" s="3626"/>
      <c r="AX68" s="3626"/>
      <c r="AY68" s="3626"/>
      <c r="AZ68" s="3626"/>
      <c r="BA68" s="3626"/>
      <c r="BB68" s="3626"/>
      <c r="BC68" s="3626">
        <f>I68/4</f>
        <v>200</v>
      </c>
      <c r="BD68" s="3626"/>
      <c r="BE68" s="3626"/>
      <c r="BG68" s="3626"/>
      <c r="BH68" s="3626"/>
      <c r="BI68" s="3626" t="s">
        <v>89</v>
      </c>
      <c r="BJ68" s="3626">
        <f t="shared" si="34"/>
        <v>26.6666666666667</v>
      </c>
      <c r="BK68" s="3626">
        <f t="shared" si="35"/>
        <v>133.333333333333</v>
      </c>
      <c r="BL68" s="3626">
        <f t="shared" si="36"/>
        <v>133.333333333333</v>
      </c>
      <c r="BM68" s="3626">
        <f t="shared" si="37"/>
        <v>106.666666666667</v>
      </c>
      <c r="BN68" s="3626">
        <f t="shared" si="38"/>
        <v>133.333333333333</v>
      </c>
      <c r="BO68" s="4055">
        <f t="shared" si="39"/>
        <v>133.333333333333</v>
      </c>
      <c r="BP68" s="3627">
        <f t="shared" si="40"/>
        <v>133.333333333333</v>
      </c>
      <c r="BQ68" s="3627">
        <f t="shared" si="27"/>
        <v>800</v>
      </c>
      <c r="BR68" s="3627">
        <f t="shared" si="28"/>
        <v>0</v>
      </c>
      <c r="BS68" s="4056"/>
      <c r="BT68" s="4057"/>
    </row>
    <row r="69" s="3566" customFormat="1" ht="50" customHeight="1" spans="1:72">
      <c r="A69" s="3635">
        <v>45623</v>
      </c>
      <c r="B69" s="3617" t="s">
        <v>2914</v>
      </c>
      <c r="C69" s="3617" t="s">
        <v>341</v>
      </c>
      <c r="D69" s="3618">
        <v>4500152538</v>
      </c>
      <c r="E69" s="959" t="s">
        <v>2922</v>
      </c>
      <c r="F69" s="959" t="s">
        <v>6302</v>
      </c>
      <c r="G69" s="959" t="s">
        <v>6116</v>
      </c>
      <c r="H69" s="3618" t="s">
        <v>6063</v>
      </c>
      <c r="I69" s="3618">
        <v>992</v>
      </c>
      <c r="J69" s="3618">
        <v>0</v>
      </c>
      <c r="K69" s="3618">
        <v>16</v>
      </c>
      <c r="L69" s="4052">
        <f t="shared" si="2"/>
        <v>62</v>
      </c>
      <c r="M69" s="3619">
        <v>45696</v>
      </c>
      <c r="N69" s="3619">
        <v>45692</v>
      </c>
      <c r="O69" s="3618"/>
      <c r="P69" s="959" t="s">
        <v>82</v>
      </c>
      <c r="Q69" s="959"/>
      <c r="R69" s="959"/>
      <c r="S69" s="959"/>
      <c r="T69" s="4053"/>
      <c r="U69" s="3620" t="s">
        <v>2918</v>
      </c>
      <c r="V69" s="3640" t="s">
        <v>2694</v>
      </c>
      <c r="W69" s="3640"/>
      <c r="X69" s="3640" t="s">
        <v>6118</v>
      </c>
      <c r="Y69" s="3640"/>
      <c r="Z69" s="3623"/>
      <c r="AA69" s="3620" t="s">
        <v>6119</v>
      </c>
      <c r="AB69" s="3624" t="s">
        <v>2921</v>
      </c>
      <c r="AC69" s="4058">
        <v>2.3234</v>
      </c>
      <c r="AD69" s="3618">
        <f t="shared" si="32"/>
        <v>2304.8128</v>
      </c>
      <c r="AE69" s="3633"/>
      <c r="AF69" s="959" t="s">
        <v>6122</v>
      </c>
      <c r="AG69" s="3620" t="s">
        <v>416</v>
      </c>
      <c r="AH69" s="3620"/>
      <c r="AI69" s="3620"/>
      <c r="AJ69" s="3620"/>
      <c r="AK69" s="959">
        <f>I69</f>
        <v>992</v>
      </c>
      <c r="AL69" s="959"/>
      <c r="AM69" s="959"/>
      <c r="AN69" s="959"/>
      <c r="AO69" s="959"/>
      <c r="AP69" s="3618">
        <v>992</v>
      </c>
      <c r="AQ69" s="3618"/>
      <c r="AR69" s="3626"/>
      <c r="AS69" s="3626">
        <f t="shared" si="29"/>
        <v>992</v>
      </c>
      <c r="AT69" s="3626"/>
      <c r="AU69" s="3626"/>
      <c r="AV69" s="3626"/>
      <c r="AW69" s="3626"/>
      <c r="AX69" s="3626"/>
      <c r="AY69" s="3626"/>
      <c r="AZ69" s="3626"/>
      <c r="BA69" s="3626"/>
      <c r="BB69" s="3626"/>
      <c r="BC69" s="3626">
        <f>I69/4</f>
        <v>248</v>
      </c>
      <c r="BD69" s="3626"/>
      <c r="BE69" s="3626"/>
      <c r="BG69" s="3626"/>
      <c r="BH69" s="3626"/>
      <c r="BI69" s="3626" t="s">
        <v>89</v>
      </c>
      <c r="BJ69" s="3626">
        <f t="shared" si="34"/>
        <v>33.0666666666667</v>
      </c>
      <c r="BK69" s="3626">
        <f t="shared" si="35"/>
        <v>165.333333333333</v>
      </c>
      <c r="BL69" s="3626">
        <f t="shared" si="36"/>
        <v>165.333333333333</v>
      </c>
      <c r="BM69" s="3626">
        <f t="shared" si="37"/>
        <v>132.266666666667</v>
      </c>
      <c r="BN69" s="3626">
        <f t="shared" si="38"/>
        <v>165.333333333333</v>
      </c>
      <c r="BO69" s="4055">
        <f t="shared" si="39"/>
        <v>165.333333333333</v>
      </c>
      <c r="BP69" s="3627">
        <f t="shared" si="40"/>
        <v>165.333333333333</v>
      </c>
      <c r="BQ69" s="3627">
        <f t="shared" si="27"/>
        <v>992</v>
      </c>
      <c r="BR69" s="3627">
        <f t="shared" si="28"/>
        <v>0</v>
      </c>
      <c r="BS69" s="4056"/>
      <c r="BT69" s="4057"/>
    </row>
    <row r="70" s="3566" customFormat="1" ht="50" customHeight="1" spans="1:72">
      <c r="A70" s="3635">
        <v>45632</v>
      </c>
      <c r="B70" s="3617" t="s">
        <v>2885</v>
      </c>
      <c r="C70" s="959" t="s">
        <v>1279</v>
      </c>
      <c r="D70" s="3618">
        <v>4500153372</v>
      </c>
      <c r="E70" s="959"/>
      <c r="F70" s="959" t="s">
        <v>6303</v>
      </c>
      <c r="G70" s="959" t="s">
        <v>3520</v>
      </c>
      <c r="H70" s="3618" t="s">
        <v>6063</v>
      </c>
      <c r="I70" s="3618">
        <v>504</v>
      </c>
      <c r="J70" s="3618">
        <v>0</v>
      </c>
      <c r="K70" s="3618">
        <v>24</v>
      </c>
      <c r="L70" s="4052">
        <f t="shared" si="2"/>
        <v>21</v>
      </c>
      <c r="M70" s="3619">
        <v>45672</v>
      </c>
      <c r="N70" s="3619">
        <v>45668</v>
      </c>
      <c r="O70" s="3618"/>
      <c r="P70" s="959" t="s">
        <v>82</v>
      </c>
      <c r="Q70" s="959"/>
      <c r="R70" s="959"/>
      <c r="S70" s="959"/>
      <c r="T70" s="4053"/>
      <c r="U70" s="3620" t="s">
        <v>564</v>
      </c>
      <c r="V70" s="3640" t="s">
        <v>2807</v>
      </c>
      <c r="W70" s="3640"/>
      <c r="X70" s="3640" t="s">
        <v>2887</v>
      </c>
      <c r="Y70" s="3640"/>
      <c r="Z70" s="3623"/>
      <c r="AA70" s="3620" t="s">
        <v>6304</v>
      </c>
      <c r="AB70" s="3624" t="s">
        <v>2762</v>
      </c>
      <c r="AC70" s="4058">
        <v>2.2482</v>
      </c>
      <c r="AD70" s="3618">
        <f t="shared" ref="AD70:AD77" si="41">AC70*I70</f>
        <v>1133.0928</v>
      </c>
      <c r="AE70" s="3633" t="s">
        <v>2889</v>
      </c>
      <c r="AF70" s="959" t="s">
        <v>6263</v>
      </c>
      <c r="AG70" s="3620" t="s">
        <v>416</v>
      </c>
      <c r="AH70" s="3620"/>
      <c r="AI70" s="3620"/>
      <c r="AJ70" s="3620"/>
      <c r="AK70" s="959"/>
      <c r="AL70" s="959"/>
      <c r="AM70" s="959">
        <f t="shared" si="33"/>
        <v>504</v>
      </c>
      <c r="AN70" s="959"/>
      <c r="AO70" s="959"/>
      <c r="AP70" s="3618">
        <f>I70</f>
        <v>504</v>
      </c>
      <c r="AQ70" s="3618"/>
      <c r="AR70" s="3626"/>
      <c r="AS70" s="3626">
        <f t="shared" si="29"/>
        <v>504</v>
      </c>
      <c r="AT70" s="3626"/>
      <c r="AU70" s="3626"/>
      <c r="AV70" s="3626"/>
      <c r="AW70" s="3626"/>
      <c r="AX70" s="3626"/>
      <c r="AY70" s="3626"/>
      <c r="AZ70" s="3626"/>
      <c r="BA70" s="3626"/>
      <c r="BB70" s="3626"/>
      <c r="BC70" s="3626"/>
      <c r="BD70" s="3626"/>
      <c r="BE70" s="3626"/>
      <c r="BG70" s="3626"/>
      <c r="BH70" s="3626"/>
      <c r="BI70" s="3626" t="s">
        <v>89</v>
      </c>
      <c r="BJ70" s="3626">
        <f t="shared" si="34"/>
        <v>16.8</v>
      </c>
      <c r="BK70" s="3626">
        <f t="shared" si="35"/>
        <v>84</v>
      </c>
      <c r="BL70" s="3626">
        <f t="shared" si="36"/>
        <v>84</v>
      </c>
      <c r="BM70" s="3626">
        <f t="shared" si="37"/>
        <v>67.2</v>
      </c>
      <c r="BN70" s="3626">
        <f t="shared" si="38"/>
        <v>84</v>
      </c>
      <c r="BO70" s="4055">
        <f t="shared" si="39"/>
        <v>84</v>
      </c>
      <c r="BP70" s="3627">
        <f t="shared" si="40"/>
        <v>84</v>
      </c>
      <c r="BQ70" s="3627">
        <f t="shared" si="27"/>
        <v>504</v>
      </c>
      <c r="BR70" s="3627">
        <f t="shared" si="28"/>
        <v>0</v>
      </c>
      <c r="BS70" s="4056"/>
      <c r="BT70" s="4057"/>
    </row>
    <row r="71" s="3566" customFormat="1" ht="50" customHeight="1" spans="1:72">
      <c r="A71" s="3635">
        <v>45603</v>
      </c>
      <c r="B71" s="3617" t="s">
        <v>387</v>
      </c>
      <c r="C71" s="959" t="s">
        <v>91</v>
      </c>
      <c r="D71" s="3618">
        <v>4500150534</v>
      </c>
      <c r="E71" s="959">
        <v>70054074</v>
      </c>
      <c r="F71" s="959" t="s">
        <v>6305</v>
      </c>
      <c r="G71" s="959" t="s">
        <v>3520</v>
      </c>
      <c r="H71" s="3618" t="s">
        <v>6063</v>
      </c>
      <c r="I71" s="3618">
        <v>360</v>
      </c>
      <c r="J71" s="3618">
        <v>0</v>
      </c>
      <c r="K71" s="3618">
        <v>24</v>
      </c>
      <c r="L71" s="4052">
        <f t="shared" si="2"/>
        <v>15</v>
      </c>
      <c r="M71" s="3619">
        <v>45673</v>
      </c>
      <c r="N71" s="3619">
        <v>45670</v>
      </c>
      <c r="O71" s="3618"/>
      <c r="P71" s="959" t="s">
        <v>82</v>
      </c>
      <c r="Q71" s="959"/>
      <c r="R71" s="959"/>
      <c r="S71" s="959"/>
      <c r="T71" s="4053"/>
      <c r="U71" s="3620"/>
      <c r="V71" s="3640" t="s">
        <v>411</v>
      </c>
      <c r="W71" s="3640"/>
      <c r="X71" s="3640" t="s">
        <v>98</v>
      </c>
      <c r="Y71" s="3640" t="s">
        <v>630</v>
      </c>
      <c r="Z71" s="3618"/>
      <c r="AA71" s="3620" t="s">
        <v>2897</v>
      </c>
      <c r="AB71" s="3624" t="s">
        <v>393</v>
      </c>
      <c r="AC71" s="4058">
        <v>2.2482</v>
      </c>
      <c r="AD71" s="3618">
        <f t="shared" si="41"/>
        <v>809.352</v>
      </c>
      <c r="AE71" s="3633" t="s">
        <v>632</v>
      </c>
      <c r="AF71" s="959" t="s">
        <v>3520</v>
      </c>
      <c r="AG71" s="3620" t="s">
        <v>416</v>
      </c>
      <c r="AH71" s="3620"/>
      <c r="AI71" s="3620"/>
      <c r="AJ71" s="3620"/>
      <c r="AK71" s="959">
        <f>I71</f>
        <v>360</v>
      </c>
      <c r="AL71" s="959"/>
      <c r="AM71" s="959"/>
      <c r="AN71" s="959"/>
      <c r="AO71" s="959"/>
      <c r="AP71" s="3618">
        <f>I71</f>
        <v>360</v>
      </c>
      <c r="AQ71" s="3618"/>
      <c r="AR71" s="3626"/>
      <c r="AS71" s="3626">
        <f t="shared" si="29"/>
        <v>360</v>
      </c>
      <c r="AT71" s="3626"/>
      <c r="AU71" s="3626"/>
      <c r="AV71" s="3626"/>
      <c r="AW71" s="3626"/>
      <c r="AX71" s="3626"/>
      <c r="AY71" s="3626"/>
      <c r="AZ71" s="3626"/>
      <c r="BA71" s="3626"/>
      <c r="BB71" s="3626"/>
      <c r="BC71" s="3626"/>
      <c r="BD71" s="3626"/>
      <c r="BE71" s="3626"/>
      <c r="BG71" s="3626"/>
      <c r="BH71" s="3626"/>
      <c r="BI71" s="3626" t="s">
        <v>89</v>
      </c>
      <c r="BJ71" s="3626">
        <f t="shared" si="34"/>
        <v>12</v>
      </c>
      <c r="BK71" s="3626">
        <f t="shared" si="35"/>
        <v>60</v>
      </c>
      <c r="BL71" s="3626">
        <f t="shared" si="36"/>
        <v>60</v>
      </c>
      <c r="BM71" s="3626">
        <f t="shared" si="37"/>
        <v>48</v>
      </c>
      <c r="BN71" s="3626">
        <f t="shared" si="38"/>
        <v>60</v>
      </c>
      <c r="BO71" s="4055">
        <f t="shared" si="39"/>
        <v>60</v>
      </c>
      <c r="BP71" s="3627">
        <f t="shared" si="40"/>
        <v>60</v>
      </c>
      <c r="BQ71" s="3627">
        <f t="shared" si="27"/>
        <v>360</v>
      </c>
      <c r="BR71" s="3627">
        <f t="shared" si="28"/>
        <v>0</v>
      </c>
      <c r="BS71" s="4056"/>
      <c r="BT71" s="4057"/>
    </row>
    <row r="72" s="3566" customFormat="1" ht="50" customHeight="1" spans="1:72">
      <c r="A72" s="3635">
        <v>45649</v>
      </c>
      <c r="B72" s="3617" t="s">
        <v>672</v>
      </c>
      <c r="C72" s="3617" t="s">
        <v>673</v>
      </c>
      <c r="D72" s="3618">
        <v>4500154564</v>
      </c>
      <c r="E72" s="3618">
        <v>5000001737</v>
      </c>
      <c r="F72" s="959" t="s">
        <v>6306</v>
      </c>
      <c r="G72" s="959" t="s">
        <v>6254</v>
      </c>
      <c r="H72" s="3618" t="s">
        <v>6063</v>
      </c>
      <c r="I72" s="3618">
        <v>2004</v>
      </c>
      <c r="J72" s="3618">
        <v>0</v>
      </c>
      <c r="K72" s="3618">
        <v>6</v>
      </c>
      <c r="L72" s="4052">
        <f t="shared" si="2"/>
        <v>334</v>
      </c>
      <c r="M72" s="3619">
        <v>45698</v>
      </c>
      <c r="N72" s="3619">
        <v>45694</v>
      </c>
      <c r="O72" s="3618"/>
      <c r="P72" s="959" t="s">
        <v>82</v>
      </c>
      <c r="Q72" s="959"/>
      <c r="R72" s="959"/>
      <c r="S72" s="959"/>
      <c r="T72" s="4053"/>
      <c r="U72" s="3620" t="s">
        <v>147</v>
      </c>
      <c r="V72" s="3640" t="s">
        <v>6307</v>
      </c>
      <c r="W72" s="3640"/>
      <c r="X72" s="3640" t="s">
        <v>6256</v>
      </c>
      <c r="Y72" s="3640" t="s">
        <v>6308</v>
      </c>
      <c r="Z72" s="3618"/>
      <c r="AA72" s="3620" t="s">
        <v>6309</v>
      </c>
      <c r="AB72" s="3624" t="s">
        <v>680</v>
      </c>
      <c r="AC72" s="4058">
        <v>2.2567</v>
      </c>
      <c r="AD72" s="3618">
        <f t="shared" si="41"/>
        <v>4522.4268</v>
      </c>
      <c r="AE72" s="3633" t="s">
        <v>6310</v>
      </c>
      <c r="AF72" s="959" t="s">
        <v>6260</v>
      </c>
      <c r="AG72" s="3620" t="s">
        <v>416</v>
      </c>
      <c r="AH72" s="3620"/>
      <c r="AI72" s="3620"/>
      <c r="AJ72" s="3620"/>
      <c r="AK72" s="959"/>
      <c r="AL72" s="959"/>
      <c r="AM72" s="959"/>
      <c r="AN72" s="959"/>
      <c r="AO72" s="959">
        <f>I72</f>
        <v>2004</v>
      </c>
      <c r="AP72" s="3618"/>
      <c r="AQ72" s="3618"/>
      <c r="AR72" s="3626">
        <f>I72</f>
        <v>2004</v>
      </c>
      <c r="AS72" s="3626">
        <f t="shared" si="29"/>
        <v>2004</v>
      </c>
      <c r="AT72" s="3626"/>
      <c r="AU72" s="3626"/>
      <c r="AV72" s="3626"/>
      <c r="AW72" s="3626"/>
      <c r="AX72" s="3626"/>
      <c r="AY72" s="3626">
        <f>I72/6</f>
        <v>334</v>
      </c>
      <c r="AZ72" s="3626"/>
      <c r="BA72" s="3626"/>
      <c r="BB72" s="3626"/>
      <c r="BC72" s="3626"/>
      <c r="BD72" s="3626"/>
      <c r="BE72" s="3626"/>
      <c r="BF72" s="3571"/>
      <c r="BG72" s="3626"/>
      <c r="BH72" s="3626"/>
      <c r="BI72" s="3626" t="s">
        <v>89</v>
      </c>
      <c r="BJ72" s="3626">
        <f t="shared" si="34"/>
        <v>66.8</v>
      </c>
      <c r="BK72" s="3626">
        <f t="shared" si="35"/>
        <v>334</v>
      </c>
      <c r="BL72" s="3626">
        <f t="shared" si="36"/>
        <v>334</v>
      </c>
      <c r="BM72" s="3626">
        <f t="shared" si="37"/>
        <v>267.2</v>
      </c>
      <c r="BN72" s="3626">
        <f t="shared" si="38"/>
        <v>334</v>
      </c>
      <c r="BO72" s="4055">
        <f t="shared" si="39"/>
        <v>334</v>
      </c>
      <c r="BP72" s="3627">
        <f t="shared" si="40"/>
        <v>334</v>
      </c>
      <c r="BQ72" s="3627">
        <f t="shared" si="27"/>
        <v>2004</v>
      </c>
      <c r="BR72" s="3627">
        <f t="shared" si="28"/>
        <v>0</v>
      </c>
      <c r="BS72" s="4056"/>
      <c r="BT72" s="4057"/>
    </row>
    <row r="73" s="3566" customFormat="1" ht="50" customHeight="1" spans="1:72">
      <c r="A73" s="3635">
        <v>45624</v>
      </c>
      <c r="B73" s="3617" t="s">
        <v>6311</v>
      </c>
      <c r="C73" s="3617" t="s">
        <v>91</v>
      </c>
      <c r="D73" s="4075">
        <v>4500152863</v>
      </c>
      <c r="E73" s="3618"/>
      <c r="F73" s="959" t="s">
        <v>6312</v>
      </c>
      <c r="G73" s="959" t="s">
        <v>6298</v>
      </c>
      <c r="H73" s="3618" t="s">
        <v>6063</v>
      </c>
      <c r="I73" s="3618">
        <v>62888</v>
      </c>
      <c r="J73" s="3618">
        <v>0</v>
      </c>
      <c r="K73" s="3618">
        <v>4</v>
      </c>
      <c r="L73" s="4052">
        <f>I73/K73</f>
        <v>15722</v>
      </c>
      <c r="M73" s="3619">
        <v>45698</v>
      </c>
      <c r="N73" s="3619">
        <v>45694</v>
      </c>
      <c r="O73" s="959" t="s">
        <v>6313</v>
      </c>
      <c r="P73" s="959" t="s">
        <v>82</v>
      </c>
      <c r="Q73" s="959"/>
      <c r="R73" s="959"/>
      <c r="S73" s="959"/>
      <c r="T73" s="4053"/>
      <c r="U73" s="3620" t="s">
        <v>6314</v>
      </c>
      <c r="V73" s="3640" t="s">
        <v>663</v>
      </c>
      <c r="W73" s="3640"/>
      <c r="X73" s="3640" t="s">
        <v>6315</v>
      </c>
      <c r="Y73" s="3640" t="s">
        <v>6316</v>
      </c>
      <c r="Z73" s="3618" t="s">
        <v>6317</v>
      </c>
      <c r="AA73" s="3620" t="s">
        <v>6318</v>
      </c>
      <c r="AB73" s="3624" t="s">
        <v>6319</v>
      </c>
      <c r="AC73" s="3618">
        <v>2.3595</v>
      </c>
      <c r="AD73" s="3618">
        <f t="shared" si="41"/>
        <v>148384.236</v>
      </c>
      <c r="AE73" s="3633"/>
      <c r="AF73" s="959" t="s">
        <v>6298</v>
      </c>
      <c r="AG73" s="3620" t="s">
        <v>416</v>
      </c>
      <c r="AH73" s="3620"/>
      <c r="AI73" s="3620"/>
      <c r="AJ73" s="3620"/>
      <c r="AK73" s="959">
        <f>I73</f>
        <v>62888</v>
      </c>
      <c r="AL73" s="959"/>
      <c r="AM73" s="959"/>
      <c r="AN73" s="959"/>
      <c r="AO73" s="959"/>
      <c r="AP73" s="3618">
        <f>I73</f>
        <v>62888</v>
      </c>
      <c r="AQ73" s="3618"/>
      <c r="AR73" s="3626"/>
      <c r="AS73" s="3626">
        <f t="shared" si="29"/>
        <v>62888</v>
      </c>
      <c r="AT73" s="3626"/>
      <c r="AU73" s="3626"/>
      <c r="AV73" s="3626"/>
      <c r="AW73" s="3626"/>
      <c r="AX73" s="3626"/>
      <c r="AY73" s="3626"/>
      <c r="AZ73" s="3626"/>
      <c r="BA73" s="3626"/>
      <c r="BB73" s="3626"/>
      <c r="BC73" s="3626">
        <f>I73/4</f>
        <v>15722</v>
      </c>
      <c r="BD73" s="3626"/>
      <c r="BE73" s="3626"/>
      <c r="BG73" s="3626"/>
      <c r="BH73" s="3626"/>
      <c r="BI73" s="3626" t="s">
        <v>89</v>
      </c>
      <c r="BJ73" s="3626">
        <f t="shared" si="34"/>
        <v>2096.26666666667</v>
      </c>
      <c r="BK73" s="3626">
        <f t="shared" si="35"/>
        <v>10481.3333333333</v>
      </c>
      <c r="BL73" s="3626">
        <f t="shared" si="36"/>
        <v>10481.3333333333</v>
      </c>
      <c r="BM73" s="3626">
        <f t="shared" si="37"/>
        <v>8385.06666666667</v>
      </c>
      <c r="BN73" s="3626">
        <f t="shared" si="38"/>
        <v>10481.3333333333</v>
      </c>
      <c r="BO73" s="4055">
        <f t="shared" si="39"/>
        <v>10481.3333333333</v>
      </c>
      <c r="BP73" s="3627">
        <f t="shared" si="40"/>
        <v>10481.3333333333</v>
      </c>
      <c r="BQ73" s="3627">
        <f t="shared" si="27"/>
        <v>62888</v>
      </c>
      <c r="BR73" s="3627">
        <f t="shared" si="28"/>
        <v>0</v>
      </c>
      <c r="BS73" s="4056"/>
      <c r="BT73" s="4057"/>
    </row>
    <row r="74" s="3566" customFormat="1" ht="50" customHeight="1" spans="1:72">
      <c r="A74" s="3635">
        <v>45517</v>
      </c>
      <c r="B74" s="3617" t="s">
        <v>2949</v>
      </c>
      <c r="C74" s="959" t="s">
        <v>341</v>
      </c>
      <c r="D74" s="3618">
        <v>4500142850</v>
      </c>
      <c r="E74" s="3618"/>
      <c r="F74" s="959" t="s">
        <v>6320</v>
      </c>
      <c r="G74" s="959" t="s">
        <v>6122</v>
      </c>
      <c r="H74" s="3618" t="s">
        <v>6063</v>
      </c>
      <c r="I74" s="3618">
        <v>576</v>
      </c>
      <c r="J74" s="3618">
        <v>4</v>
      </c>
      <c r="K74" s="3618">
        <v>16</v>
      </c>
      <c r="L74" s="4052">
        <f t="shared" ref="L40:L120" si="42">I74/K74</f>
        <v>36</v>
      </c>
      <c r="M74" s="3619">
        <v>45702</v>
      </c>
      <c r="N74" s="3619">
        <v>45698</v>
      </c>
      <c r="O74" s="3618"/>
      <c r="P74" s="959" t="s">
        <v>82</v>
      </c>
      <c r="Q74" s="959"/>
      <c r="R74" s="959"/>
      <c r="S74" s="959"/>
      <c r="T74" s="4053"/>
      <c r="U74" s="3645" t="s">
        <v>156</v>
      </c>
      <c r="V74" s="3640" t="s">
        <v>2346</v>
      </c>
      <c r="W74" s="3640"/>
      <c r="X74" s="3640" t="s">
        <v>6321</v>
      </c>
      <c r="Y74" s="3640"/>
      <c r="Z74" s="3618"/>
      <c r="AA74" s="3620" t="s">
        <v>6322</v>
      </c>
      <c r="AB74" s="3624" t="s">
        <v>424</v>
      </c>
      <c r="AC74" s="3618">
        <v>2.4016</v>
      </c>
      <c r="AD74" s="3618">
        <f t="shared" si="41"/>
        <v>1383.3216</v>
      </c>
      <c r="AE74" s="3633"/>
      <c r="AF74" s="959" t="s">
        <v>6122</v>
      </c>
      <c r="AG74" s="3620" t="s">
        <v>416</v>
      </c>
      <c r="AH74" s="3620"/>
      <c r="AI74" s="3620"/>
      <c r="AJ74" s="3620"/>
      <c r="AK74" s="959">
        <f>I74</f>
        <v>576</v>
      </c>
      <c r="AL74" s="959"/>
      <c r="AM74" s="959"/>
      <c r="AN74" s="959"/>
      <c r="AO74" s="959"/>
      <c r="AP74" s="3618">
        <f>I74</f>
        <v>576</v>
      </c>
      <c r="AQ74" s="3618"/>
      <c r="AR74" s="3626"/>
      <c r="AS74" s="3626">
        <f t="shared" si="29"/>
        <v>576</v>
      </c>
      <c r="AT74" s="3626"/>
      <c r="AU74" s="3626"/>
      <c r="AV74" s="3626"/>
      <c r="AW74" s="3626"/>
      <c r="AX74" s="3626"/>
      <c r="AY74" s="3626"/>
      <c r="AZ74" s="3626"/>
      <c r="BA74" s="3626"/>
      <c r="BB74" s="3626"/>
      <c r="BC74" s="3626">
        <f>I74/4</f>
        <v>144</v>
      </c>
      <c r="BD74" s="3626"/>
      <c r="BE74" s="3626"/>
      <c r="BG74" s="3626"/>
      <c r="BH74" s="3626"/>
      <c r="BI74" s="3626" t="s">
        <v>89</v>
      </c>
      <c r="BJ74" s="3626">
        <f t="shared" si="34"/>
        <v>19.2</v>
      </c>
      <c r="BK74" s="3626">
        <f t="shared" si="35"/>
        <v>96</v>
      </c>
      <c r="BL74" s="3626">
        <f t="shared" si="36"/>
        <v>96</v>
      </c>
      <c r="BM74" s="3626">
        <f t="shared" si="37"/>
        <v>76.8</v>
      </c>
      <c r="BN74" s="3626">
        <f t="shared" si="38"/>
        <v>96</v>
      </c>
      <c r="BO74" s="4055">
        <f t="shared" si="39"/>
        <v>96</v>
      </c>
      <c r="BP74" s="3627">
        <f t="shared" si="40"/>
        <v>96</v>
      </c>
      <c r="BQ74" s="3627">
        <f t="shared" si="27"/>
        <v>576</v>
      </c>
      <c r="BR74" s="3627">
        <f t="shared" si="28"/>
        <v>0</v>
      </c>
      <c r="BS74" s="4056"/>
      <c r="BT74" s="4057"/>
    </row>
    <row r="75" s="3566" customFormat="1" ht="50" customHeight="1" spans="1:72">
      <c r="A75" s="3635">
        <v>45609</v>
      </c>
      <c r="B75" s="3617" t="s">
        <v>6323</v>
      </c>
      <c r="C75" s="959" t="s">
        <v>78</v>
      </c>
      <c r="D75" s="3618">
        <v>4500150999</v>
      </c>
      <c r="E75" s="3618">
        <v>4500152441</v>
      </c>
      <c r="F75" s="959" t="s">
        <v>6324</v>
      </c>
      <c r="G75" s="959" t="s">
        <v>6186</v>
      </c>
      <c r="H75" s="3618" t="s">
        <v>6063</v>
      </c>
      <c r="I75" s="3618">
        <v>2400</v>
      </c>
      <c r="J75" s="3618">
        <v>0</v>
      </c>
      <c r="K75" s="3618">
        <v>6</v>
      </c>
      <c r="L75" s="4052">
        <f t="shared" si="42"/>
        <v>400</v>
      </c>
      <c r="M75" s="3619">
        <v>45706</v>
      </c>
      <c r="N75" s="3619">
        <v>45702</v>
      </c>
      <c r="O75" s="3618"/>
      <c r="P75" s="959" t="s">
        <v>82</v>
      </c>
      <c r="Q75" s="959"/>
      <c r="R75" s="959"/>
      <c r="S75" s="959"/>
      <c r="T75" s="4053"/>
      <c r="U75" s="3620"/>
      <c r="V75" s="3640" t="s">
        <v>5226</v>
      </c>
      <c r="W75" s="3640"/>
      <c r="X75" s="3640" t="s">
        <v>6325</v>
      </c>
      <c r="Y75" s="3640"/>
      <c r="Z75" s="3618"/>
      <c r="AA75" s="3620" t="s">
        <v>6326</v>
      </c>
      <c r="AB75" s="3624" t="s">
        <v>87</v>
      </c>
      <c r="AC75" s="3618">
        <v>2.3157</v>
      </c>
      <c r="AD75" s="3618">
        <f t="shared" si="41"/>
        <v>5557.68</v>
      </c>
      <c r="AE75" s="3633" t="s">
        <v>6327</v>
      </c>
      <c r="AF75" s="959" t="s">
        <v>6252</v>
      </c>
      <c r="AG75" s="3620" t="s">
        <v>416</v>
      </c>
      <c r="AH75" s="3620"/>
      <c r="AI75" s="3620"/>
      <c r="AJ75" s="3620"/>
      <c r="AK75" s="959"/>
      <c r="AL75" s="959"/>
      <c r="AM75" s="959">
        <f>I75</f>
        <v>2400</v>
      </c>
      <c r="AN75" s="959"/>
      <c r="AO75" s="959"/>
      <c r="AP75" s="3618">
        <f>I75</f>
        <v>2400</v>
      </c>
      <c r="AQ75" s="3618"/>
      <c r="AR75" s="3626"/>
      <c r="AS75" s="3626">
        <f t="shared" si="29"/>
        <v>2400</v>
      </c>
      <c r="AT75" s="3626"/>
      <c r="AU75" s="3626"/>
      <c r="AV75" s="3626"/>
      <c r="AW75" s="3626">
        <f>I75/6</f>
        <v>400</v>
      </c>
      <c r="AX75" s="3626"/>
      <c r="AY75" s="3626"/>
      <c r="AZ75" s="3626"/>
      <c r="BA75" s="3626"/>
      <c r="BB75" s="3626"/>
      <c r="BC75" s="3626"/>
      <c r="BD75" s="3626"/>
      <c r="BE75" s="3626"/>
      <c r="BG75" s="3626"/>
      <c r="BH75" s="3626"/>
      <c r="BI75" s="3626" t="s">
        <v>89</v>
      </c>
      <c r="BJ75" s="3626">
        <f t="shared" si="34"/>
        <v>80</v>
      </c>
      <c r="BK75" s="3626">
        <f t="shared" si="35"/>
        <v>400</v>
      </c>
      <c r="BL75" s="3626">
        <f t="shared" si="36"/>
        <v>400</v>
      </c>
      <c r="BM75" s="3626">
        <f t="shared" si="37"/>
        <v>320</v>
      </c>
      <c r="BN75" s="3626">
        <f t="shared" si="38"/>
        <v>400</v>
      </c>
      <c r="BO75" s="4055">
        <f t="shared" si="39"/>
        <v>400</v>
      </c>
      <c r="BP75" s="3627">
        <f t="shared" si="40"/>
        <v>400</v>
      </c>
      <c r="BQ75" s="3627">
        <f t="shared" si="27"/>
        <v>2400</v>
      </c>
      <c r="BR75" s="3627">
        <f t="shared" si="28"/>
        <v>0</v>
      </c>
      <c r="BS75" s="4056"/>
      <c r="BT75" s="4057"/>
    </row>
    <row r="76" s="3566" customFormat="1" ht="50" customHeight="1" spans="1:72">
      <c r="A76" s="3635">
        <v>45646</v>
      </c>
      <c r="B76" s="3630" t="s">
        <v>2998</v>
      </c>
      <c r="C76" s="3617" t="s">
        <v>2999</v>
      </c>
      <c r="D76" s="3629">
        <v>4500154499</v>
      </c>
      <c r="E76" s="959" t="s">
        <v>3000</v>
      </c>
      <c r="F76" s="3631" t="s">
        <v>6328</v>
      </c>
      <c r="G76" s="959" t="s">
        <v>3520</v>
      </c>
      <c r="H76" s="3618" t="s">
        <v>6063</v>
      </c>
      <c r="I76" s="3618">
        <v>1008</v>
      </c>
      <c r="J76" s="3618">
        <v>0</v>
      </c>
      <c r="K76" s="3618">
        <v>24</v>
      </c>
      <c r="L76" s="4052">
        <f t="shared" si="42"/>
        <v>42</v>
      </c>
      <c r="M76" s="3619">
        <v>45708</v>
      </c>
      <c r="N76" s="3619">
        <v>45706</v>
      </c>
      <c r="O76" s="3618"/>
      <c r="P76" s="959" t="s">
        <v>82</v>
      </c>
      <c r="Q76" s="959"/>
      <c r="R76" s="959"/>
      <c r="S76" s="959"/>
      <c r="T76" s="4053"/>
      <c r="U76" s="3620" t="s">
        <v>141</v>
      </c>
      <c r="V76" s="3640" t="s">
        <v>3002</v>
      </c>
      <c r="W76" s="3640"/>
      <c r="X76" s="3640" t="s">
        <v>98</v>
      </c>
      <c r="Y76" s="3640"/>
      <c r="Z76" s="3618"/>
      <c r="AA76" s="3620" t="s">
        <v>6329</v>
      </c>
      <c r="AB76" s="3624" t="s">
        <v>892</v>
      </c>
      <c r="AC76" s="4058">
        <v>2.2637</v>
      </c>
      <c r="AD76" s="3618">
        <f t="shared" si="41"/>
        <v>2281.8096</v>
      </c>
      <c r="AE76" s="3633" t="s">
        <v>6330</v>
      </c>
      <c r="AF76" s="959" t="s">
        <v>3520</v>
      </c>
      <c r="AG76" s="3620" t="s">
        <v>416</v>
      </c>
      <c r="AH76" s="3620"/>
      <c r="AI76" s="3620"/>
      <c r="AJ76" s="3620"/>
      <c r="AK76" s="959">
        <f>I76</f>
        <v>1008</v>
      </c>
      <c r="AL76" s="959"/>
      <c r="AM76" s="959"/>
      <c r="AN76" s="959"/>
      <c r="AO76" s="959"/>
      <c r="AP76" s="3618">
        <f>I76</f>
        <v>1008</v>
      </c>
      <c r="AQ76" s="3618"/>
      <c r="AR76" s="3626"/>
      <c r="AS76" s="3626">
        <f t="shared" si="29"/>
        <v>1008</v>
      </c>
      <c r="AT76" s="3626"/>
      <c r="AU76" s="3626"/>
      <c r="AV76" s="3626"/>
      <c r="AW76" s="3626"/>
      <c r="AX76" s="3626"/>
      <c r="AY76" s="3626"/>
      <c r="AZ76" s="3626"/>
      <c r="BA76" s="3626"/>
      <c r="BB76" s="3626"/>
      <c r="BC76" s="3626"/>
      <c r="BD76" s="3626"/>
      <c r="BE76" s="3626"/>
      <c r="BG76" s="3626"/>
      <c r="BH76" s="3626"/>
      <c r="BI76" s="3626" t="s">
        <v>89</v>
      </c>
      <c r="BJ76" s="3626">
        <f t="shared" si="34"/>
        <v>33.6</v>
      </c>
      <c r="BK76" s="3626">
        <f t="shared" si="35"/>
        <v>168</v>
      </c>
      <c r="BL76" s="3626">
        <f t="shared" si="36"/>
        <v>168</v>
      </c>
      <c r="BM76" s="3626">
        <f t="shared" si="37"/>
        <v>134.4</v>
      </c>
      <c r="BN76" s="3626">
        <f t="shared" si="38"/>
        <v>168</v>
      </c>
      <c r="BO76" s="4055">
        <f t="shared" si="39"/>
        <v>168</v>
      </c>
      <c r="BP76" s="3627">
        <f t="shared" si="40"/>
        <v>168</v>
      </c>
      <c r="BQ76" s="3627">
        <f t="shared" si="27"/>
        <v>1008</v>
      </c>
      <c r="BR76" s="3627">
        <f t="shared" si="28"/>
        <v>0</v>
      </c>
      <c r="BS76" s="4056"/>
      <c r="BT76" s="4057"/>
    </row>
    <row r="77" s="3566" customFormat="1" ht="50" customHeight="1" spans="1:72">
      <c r="A77" s="3635">
        <v>45618</v>
      </c>
      <c r="B77" s="3630" t="s">
        <v>2616</v>
      </c>
      <c r="C77" s="3617" t="s">
        <v>471</v>
      </c>
      <c r="D77" s="3629">
        <v>4500150125</v>
      </c>
      <c r="E77" s="959" t="s">
        <v>3004</v>
      </c>
      <c r="F77" s="3631" t="s">
        <v>6331</v>
      </c>
      <c r="G77" s="959" t="s">
        <v>6074</v>
      </c>
      <c r="H77" s="3618" t="s">
        <v>6063</v>
      </c>
      <c r="I77" s="3618">
        <v>7512</v>
      </c>
      <c r="J77" s="3618">
        <v>0</v>
      </c>
      <c r="K77" s="3618">
        <v>24</v>
      </c>
      <c r="L77" s="4052">
        <f t="shared" si="42"/>
        <v>313</v>
      </c>
      <c r="M77" s="3619">
        <v>45709</v>
      </c>
      <c r="N77" s="3619">
        <v>45705</v>
      </c>
      <c r="O77" s="3618"/>
      <c r="P77" s="959" t="s">
        <v>82</v>
      </c>
      <c r="Q77" s="959"/>
      <c r="R77" s="959"/>
      <c r="S77" s="959"/>
      <c r="T77" s="4053"/>
      <c r="U77" s="3620"/>
      <c r="V77" s="3640" t="s">
        <v>3006</v>
      </c>
      <c r="W77" s="3640"/>
      <c r="X77" s="3640" t="s">
        <v>6332</v>
      </c>
      <c r="Y77" s="3640"/>
      <c r="Z77" s="3618"/>
      <c r="AA77" s="3620" t="s">
        <v>6333</v>
      </c>
      <c r="AB77" s="3624" t="s">
        <v>2624</v>
      </c>
      <c r="AC77" s="4058">
        <v>2.2535</v>
      </c>
      <c r="AD77" s="3618">
        <f t="shared" si="41"/>
        <v>16928.292</v>
      </c>
      <c r="AE77" s="3633" t="s">
        <v>3009</v>
      </c>
      <c r="AF77" s="959" t="s">
        <v>6074</v>
      </c>
      <c r="AG77" s="3620" t="s">
        <v>416</v>
      </c>
      <c r="AH77" s="3620"/>
      <c r="AI77" s="3620"/>
      <c r="AJ77" s="3620"/>
      <c r="AK77" s="959">
        <f>I77</f>
        <v>7512</v>
      </c>
      <c r="AL77" s="959"/>
      <c r="AM77" s="959"/>
      <c r="AN77" s="959"/>
      <c r="AO77" s="959"/>
      <c r="AP77" s="3618">
        <f>I77</f>
        <v>7512</v>
      </c>
      <c r="AQ77" s="3618"/>
      <c r="AR77" s="3626"/>
      <c r="AS77" s="3626"/>
      <c r="AT77" s="3626"/>
      <c r="AU77" s="3626">
        <f>I77</f>
        <v>7512</v>
      </c>
      <c r="AV77" s="3626"/>
      <c r="AW77" s="3626"/>
      <c r="AX77" s="3626"/>
      <c r="AY77" s="3626"/>
      <c r="AZ77" s="3626"/>
      <c r="BA77" s="3626"/>
      <c r="BB77" s="3626"/>
      <c r="BC77" s="3626"/>
      <c r="BD77" s="3626"/>
      <c r="BE77" s="3626"/>
      <c r="BG77" s="3626"/>
      <c r="BH77" s="3626"/>
      <c r="BI77" s="3626" t="s">
        <v>89</v>
      </c>
      <c r="BJ77" s="3626">
        <f t="shared" si="34"/>
        <v>250.4</v>
      </c>
      <c r="BK77" s="3626">
        <f t="shared" si="35"/>
        <v>1252</v>
      </c>
      <c r="BL77" s="3626">
        <f t="shared" si="36"/>
        <v>1252</v>
      </c>
      <c r="BM77" s="3626">
        <f t="shared" si="37"/>
        <v>1001.6</v>
      </c>
      <c r="BN77" s="3626">
        <f t="shared" si="38"/>
        <v>1252</v>
      </c>
      <c r="BO77" s="4055">
        <f t="shared" si="39"/>
        <v>1252</v>
      </c>
      <c r="BP77" s="3627">
        <f t="shared" si="40"/>
        <v>1252</v>
      </c>
      <c r="BQ77" s="3627">
        <f t="shared" si="27"/>
        <v>7512</v>
      </c>
      <c r="BR77" s="3627">
        <f t="shared" si="28"/>
        <v>0</v>
      </c>
      <c r="BS77" s="4056"/>
      <c r="BT77" s="4057"/>
    </row>
    <row r="78" s="3566" customFormat="1" ht="50" customHeight="1" spans="1:72">
      <c r="A78" s="3635">
        <v>45632</v>
      </c>
      <c r="B78" s="3617" t="s">
        <v>6334</v>
      </c>
      <c r="C78" s="3617" t="s">
        <v>840</v>
      </c>
      <c r="D78" s="3624">
        <v>4500153390</v>
      </c>
      <c r="E78" s="3618">
        <v>4503999972</v>
      </c>
      <c r="F78" s="3617" t="s">
        <v>6335</v>
      </c>
      <c r="G78" s="959" t="s">
        <v>6124</v>
      </c>
      <c r="H78" s="3618" t="s">
        <v>6063</v>
      </c>
      <c r="I78" s="3618">
        <v>1200</v>
      </c>
      <c r="J78" s="3618">
        <v>0</v>
      </c>
      <c r="K78" s="3618">
        <v>12</v>
      </c>
      <c r="L78" s="4052">
        <f t="shared" si="42"/>
        <v>100</v>
      </c>
      <c r="M78" s="3619">
        <v>45702</v>
      </c>
      <c r="N78" s="3619">
        <v>45698</v>
      </c>
      <c r="O78" s="959" t="s">
        <v>6336</v>
      </c>
      <c r="P78" s="959" t="s">
        <v>82</v>
      </c>
      <c r="Q78" s="959"/>
      <c r="R78" s="959"/>
      <c r="S78" s="959"/>
      <c r="T78" s="4053"/>
      <c r="U78" s="3620" t="s">
        <v>6337</v>
      </c>
      <c r="V78" s="3640" t="s">
        <v>2815</v>
      </c>
      <c r="W78" s="3640"/>
      <c r="X78" s="3640" t="s">
        <v>6338</v>
      </c>
      <c r="Y78" s="3640"/>
      <c r="Z78" s="3618"/>
      <c r="AA78" s="3620" t="s">
        <v>6339</v>
      </c>
      <c r="AB78" s="3624" t="s">
        <v>2735</v>
      </c>
      <c r="AC78" s="3686">
        <v>2.3023</v>
      </c>
      <c r="AD78" s="3618">
        <f t="shared" ref="AD78:AD97" si="43">AC78*I78</f>
        <v>2762.76</v>
      </c>
      <c r="AE78" s="3633" t="s">
        <v>6340</v>
      </c>
      <c r="AF78" s="959" t="s">
        <v>6124</v>
      </c>
      <c r="AG78" s="3620" t="s">
        <v>416</v>
      </c>
      <c r="AH78" s="3620"/>
      <c r="AI78" s="3620"/>
      <c r="AJ78" s="3620"/>
      <c r="AK78" s="959">
        <f t="shared" ref="AK78:AK87" si="44">I78</f>
        <v>1200</v>
      </c>
      <c r="AL78" s="959"/>
      <c r="AM78" s="959"/>
      <c r="AN78" s="959"/>
      <c r="AO78" s="959"/>
      <c r="AP78" s="3618">
        <f t="shared" ref="AP78:AP88" si="45">I78</f>
        <v>1200</v>
      </c>
      <c r="AQ78" s="3618"/>
      <c r="AR78" s="3626"/>
      <c r="AS78" s="3626">
        <f t="shared" ref="AS78:AS100" si="46">I78</f>
        <v>1200</v>
      </c>
      <c r="AT78" s="3626"/>
      <c r="AU78" s="3626"/>
      <c r="AV78" s="3626"/>
      <c r="AW78" s="3626">
        <f t="shared" ref="AW78:AW88" si="47">I78/6</f>
        <v>200</v>
      </c>
      <c r="AX78" s="3626"/>
      <c r="AY78" s="3626"/>
      <c r="AZ78" s="3626"/>
      <c r="BA78" s="3626"/>
      <c r="BB78" s="3626"/>
      <c r="BC78" s="3626"/>
      <c r="BD78" s="3626"/>
      <c r="BE78" s="3626"/>
      <c r="BG78" s="3626"/>
      <c r="BH78" s="3626"/>
      <c r="BI78" s="3626" t="s">
        <v>89</v>
      </c>
      <c r="BJ78" s="3626">
        <f t="shared" ref="BJ78:BJ88" si="48">I78/60*2</f>
        <v>40</v>
      </c>
      <c r="BK78" s="3626">
        <f t="shared" ref="BK78:BK88" si="49">I78/60*10</f>
        <v>200</v>
      </c>
      <c r="BL78" s="3626">
        <f t="shared" ref="BL78:BL88" si="50">I78/60*10</f>
        <v>200</v>
      </c>
      <c r="BM78" s="3626">
        <f t="shared" ref="BM78:BM88" si="51">I78/60*8</f>
        <v>160</v>
      </c>
      <c r="BN78" s="3626">
        <f t="shared" ref="BN78:BN88" si="52">I78/60*10</f>
        <v>200</v>
      </c>
      <c r="BO78" s="4055">
        <f t="shared" ref="BO78:BO88" si="53">I78/60*10</f>
        <v>200</v>
      </c>
      <c r="BP78" s="3627">
        <f t="shared" ref="BP78:BP88" si="54">I78/60*10</f>
        <v>200</v>
      </c>
      <c r="BQ78" s="3627">
        <f t="shared" si="27"/>
        <v>1200</v>
      </c>
      <c r="BR78" s="3627">
        <f t="shared" si="28"/>
        <v>0</v>
      </c>
      <c r="BS78" s="4056"/>
      <c r="BT78" s="4057"/>
    </row>
    <row r="79" s="3566" customFormat="1" ht="50" customHeight="1" spans="1:72">
      <c r="A79" s="3635">
        <v>45642</v>
      </c>
      <c r="B79" s="3630" t="s">
        <v>6341</v>
      </c>
      <c r="C79" s="3617" t="s">
        <v>506</v>
      </c>
      <c r="D79" s="3629">
        <v>4500154142</v>
      </c>
      <c r="E79" s="959" t="s">
        <v>6342</v>
      </c>
      <c r="F79" s="3631" t="s">
        <v>6343</v>
      </c>
      <c r="G79" s="959" t="s">
        <v>6124</v>
      </c>
      <c r="H79" s="3618" t="s">
        <v>6063</v>
      </c>
      <c r="I79" s="3618">
        <v>564</v>
      </c>
      <c r="J79" s="3618">
        <v>0</v>
      </c>
      <c r="K79" s="3618">
        <v>12</v>
      </c>
      <c r="L79" s="4052">
        <f t="shared" si="42"/>
        <v>47</v>
      </c>
      <c r="M79" s="3619">
        <v>45702</v>
      </c>
      <c r="N79" s="3619">
        <v>45698</v>
      </c>
      <c r="O79" s="959" t="s">
        <v>6336</v>
      </c>
      <c r="P79" s="959" t="s">
        <v>82</v>
      </c>
      <c r="Q79" s="959"/>
      <c r="R79" s="959"/>
      <c r="S79" s="959"/>
      <c r="T79" s="4053"/>
      <c r="U79" s="3620" t="s">
        <v>6344</v>
      </c>
      <c r="V79" s="3640" t="s">
        <v>663</v>
      </c>
      <c r="W79" s="3640"/>
      <c r="X79" s="3640" t="s">
        <v>6345</v>
      </c>
      <c r="Y79" s="3640"/>
      <c r="Z79" s="3618"/>
      <c r="AA79" s="3620" t="s">
        <v>6346</v>
      </c>
      <c r="AB79" s="3624" t="s">
        <v>3202</v>
      </c>
      <c r="AC79" s="3686">
        <v>2.2444</v>
      </c>
      <c r="AD79" s="3618">
        <f t="shared" si="43"/>
        <v>1265.8416</v>
      </c>
      <c r="AE79" s="3633" t="s">
        <v>6347</v>
      </c>
      <c r="AF79" s="959" t="s">
        <v>6124</v>
      </c>
      <c r="AG79" s="3620" t="s">
        <v>416</v>
      </c>
      <c r="AH79" s="3620"/>
      <c r="AI79" s="3620"/>
      <c r="AJ79" s="3620"/>
      <c r="AK79" s="959">
        <f t="shared" si="44"/>
        <v>564</v>
      </c>
      <c r="AL79" s="959"/>
      <c r="AM79" s="959"/>
      <c r="AN79" s="959"/>
      <c r="AO79" s="959"/>
      <c r="AP79" s="3618">
        <f t="shared" si="45"/>
        <v>564</v>
      </c>
      <c r="AQ79" s="3618"/>
      <c r="AR79" s="3626"/>
      <c r="AS79" s="3626">
        <f t="shared" si="46"/>
        <v>564</v>
      </c>
      <c r="AT79" s="3626"/>
      <c r="AU79" s="3626"/>
      <c r="AV79" s="3626"/>
      <c r="AW79" s="3626">
        <f t="shared" si="47"/>
        <v>94</v>
      </c>
      <c r="AX79" s="3626"/>
      <c r="AY79" s="3626"/>
      <c r="AZ79" s="3626"/>
      <c r="BA79" s="3626"/>
      <c r="BB79" s="3626"/>
      <c r="BC79" s="3626"/>
      <c r="BD79" s="3626"/>
      <c r="BE79" s="3626"/>
      <c r="BG79" s="3626"/>
      <c r="BH79" s="3626"/>
      <c r="BI79" s="3626" t="s">
        <v>89</v>
      </c>
      <c r="BJ79" s="3626">
        <f t="shared" si="48"/>
        <v>18.8</v>
      </c>
      <c r="BK79" s="3626">
        <f t="shared" si="49"/>
        <v>94</v>
      </c>
      <c r="BL79" s="3626">
        <f t="shared" si="50"/>
        <v>94</v>
      </c>
      <c r="BM79" s="3626">
        <f t="shared" si="51"/>
        <v>75.2</v>
      </c>
      <c r="BN79" s="3626">
        <f t="shared" si="52"/>
        <v>94</v>
      </c>
      <c r="BO79" s="4055">
        <f t="shared" si="53"/>
        <v>94</v>
      </c>
      <c r="BP79" s="3627">
        <f t="shared" si="54"/>
        <v>94</v>
      </c>
      <c r="BQ79" s="3627">
        <f t="shared" si="27"/>
        <v>564</v>
      </c>
      <c r="BR79" s="3627">
        <f t="shared" si="28"/>
        <v>0</v>
      </c>
      <c r="BS79" s="4056"/>
      <c r="BT79" s="4057"/>
    </row>
    <row r="80" s="3566" customFormat="1" ht="50" customHeight="1" spans="1:72">
      <c r="A80" s="3635">
        <v>45642</v>
      </c>
      <c r="B80" s="3630" t="s">
        <v>6341</v>
      </c>
      <c r="C80" s="3617" t="s">
        <v>506</v>
      </c>
      <c r="D80" s="3629">
        <v>4500154142</v>
      </c>
      <c r="E80" s="959" t="s">
        <v>6348</v>
      </c>
      <c r="F80" s="3631" t="s">
        <v>6349</v>
      </c>
      <c r="G80" s="959" t="s">
        <v>6124</v>
      </c>
      <c r="H80" s="3618" t="s">
        <v>6063</v>
      </c>
      <c r="I80" s="3618">
        <v>588</v>
      </c>
      <c r="J80" s="3618">
        <v>0</v>
      </c>
      <c r="K80" s="3618">
        <v>12</v>
      </c>
      <c r="L80" s="4052">
        <f t="shared" si="42"/>
        <v>49</v>
      </c>
      <c r="M80" s="3619">
        <v>45702</v>
      </c>
      <c r="N80" s="3619">
        <v>45698</v>
      </c>
      <c r="O80" s="959" t="s">
        <v>6336</v>
      </c>
      <c r="P80" s="959" t="s">
        <v>82</v>
      </c>
      <c r="Q80" s="959"/>
      <c r="R80" s="959"/>
      <c r="S80" s="959"/>
      <c r="T80" s="4053"/>
      <c r="U80" s="3620" t="s">
        <v>6337</v>
      </c>
      <c r="V80" s="3640" t="s">
        <v>663</v>
      </c>
      <c r="W80" s="3640"/>
      <c r="X80" s="3640" t="s">
        <v>6345</v>
      </c>
      <c r="Y80" s="3640"/>
      <c r="Z80" s="3618"/>
      <c r="AA80" s="3620" t="s">
        <v>6346</v>
      </c>
      <c r="AB80" s="3624" t="s">
        <v>3202</v>
      </c>
      <c r="AC80" s="3686">
        <v>2.2444</v>
      </c>
      <c r="AD80" s="3618">
        <f t="shared" si="43"/>
        <v>1319.7072</v>
      </c>
      <c r="AE80" s="3633" t="s">
        <v>6350</v>
      </c>
      <c r="AF80" s="959" t="s">
        <v>6124</v>
      </c>
      <c r="AG80" s="3620" t="s">
        <v>416</v>
      </c>
      <c r="AH80" s="3620"/>
      <c r="AI80" s="3620"/>
      <c r="AJ80" s="3620"/>
      <c r="AK80" s="959">
        <f t="shared" si="44"/>
        <v>588</v>
      </c>
      <c r="AL80" s="959"/>
      <c r="AM80" s="959"/>
      <c r="AN80" s="959"/>
      <c r="AO80" s="959"/>
      <c r="AP80" s="3618">
        <f t="shared" si="45"/>
        <v>588</v>
      </c>
      <c r="AQ80" s="3618"/>
      <c r="AR80" s="3626"/>
      <c r="AS80" s="3626">
        <f t="shared" si="46"/>
        <v>588</v>
      </c>
      <c r="AT80" s="3626"/>
      <c r="AU80" s="3626"/>
      <c r="AV80" s="3626"/>
      <c r="AW80" s="3626">
        <f t="shared" si="47"/>
        <v>98</v>
      </c>
      <c r="AX80" s="3626"/>
      <c r="AY80" s="3626"/>
      <c r="AZ80" s="3626"/>
      <c r="BA80" s="3626"/>
      <c r="BB80" s="3626"/>
      <c r="BC80" s="3626"/>
      <c r="BD80" s="3626"/>
      <c r="BE80" s="3626"/>
      <c r="BG80" s="3626"/>
      <c r="BH80" s="3626"/>
      <c r="BI80" s="3626" t="s">
        <v>89</v>
      </c>
      <c r="BJ80" s="3626">
        <f t="shared" si="48"/>
        <v>19.6</v>
      </c>
      <c r="BK80" s="3626">
        <f t="shared" si="49"/>
        <v>98</v>
      </c>
      <c r="BL80" s="3626">
        <f t="shared" si="50"/>
        <v>98</v>
      </c>
      <c r="BM80" s="3626">
        <f t="shared" si="51"/>
        <v>78.4</v>
      </c>
      <c r="BN80" s="3626">
        <f t="shared" si="52"/>
        <v>98</v>
      </c>
      <c r="BO80" s="4055">
        <f t="shared" si="53"/>
        <v>98</v>
      </c>
      <c r="BP80" s="3627">
        <f t="shared" si="54"/>
        <v>98</v>
      </c>
      <c r="BQ80" s="3627">
        <f t="shared" si="27"/>
        <v>588</v>
      </c>
      <c r="BR80" s="3627">
        <f t="shared" si="28"/>
        <v>0</v>
      </c>
      <c r="BS80" s="4056"/>
      <c r="BT80" s="4057"/>
    </row>
    <row r="81" s="3566" customFormat="1" ht="50" customHeight="1" spans="1:72">
      <c r="A81" s="3635">
        <v>45642</v>
      </c>
      <c r="B81" s="3630" t="s">
        <v>6341</v>
      </c>
      <c r="C81" s="3617" t="s">
        <v>506</v>
      </c>
      <c r="D81" s="3629">
        <v>4500154142</v>
      </c>
      <c r="E81" s="959" t="s">
        <v>6351</v>
      </c>
      <c r="F81" s="3631" t="s">
        <v>6352</v>
      </c>
      <c r="G81" s="959" t="s">
        <v>6124</v>
      </c>
      <c r="H81" s="3618" t="s">
        <v>6063</v>
      </c>
      <c r="I81" s="3618">
        <v>684</v>
      </c>
      <c r="J81" s="3618">
        <v>0</v>
      </c>
      <c r="K81" s="3618">
        <v>12</v>
      </c>
      <c r="L81" s="4052">
        <f t="shared" si="42"/>
        <v>57</v>
      </c>
      <c r="M81" s="3619">
        <v>45702</v>
      </c>
      <c r="N81" s="3619">
        <v>45698</v>
      </c>
      <c r="O81" s="959" t="s">
        <v>6336</v>
      </c>
      <c r="P81" s="959" t="s">
        <v>82</v>
      </c>
      <c r="Q81" s="959"/>
      <c r="R81" s="959"/>
      <c r="S81" s="959"/>
      <c r="T81" s="4053"/>
      <c r="U81" s="3620" t="s">
        <v>6337</v>
      </c>
      <c r="V81" s="3640" t="s">
        <v>663</v>
      </c>
      <c r="W81" s="3640"/>
      <c r="X81" s="3640" t="s">
        <v>6345</v>
      </c>
      <c r="Y81" s="3640"/>
      <c r="Z81" s="3618"/>
      <c r="AA81" s="3620" t="s">
        <v>6346</v>
      </c>
      <c r="AB81" s="3624" t="s">
        <v>3202</v>
      </c>
      <c r="AC81" s="3686">
        <v>2.2444</v>
      </c>
      <c r="AD81" s="3618">
        <f t="shared" si="43"/>
        <v>1535.1696</v>
      </c>
      <c r="AE81" s="3633" t="s">
        <v>6353</v>
      </c>
      <c r="AF81" s="959" t="s">
        <v>6124</v>
      </c>
      <c r="AG81" s="3620" t="s">
        <v>416</v>
      </c>
      <c r="AH81" s="3620"/>
      <c r="AI81" s="3620"/>
      <c r="AJ81" s="3620"/>
      <c r="AK81" s="959">
        <f t="shared" si="44"/>
        <v>684</v>
      </c>
      <c r="AL81" s="959"/>
      <c r="AM81" s="959"/>
      <c r="AN81" s="959"/>
      <c r="AO81" s="959"/>
      <c r="AP81" s="3618">
        <f t="shared" si="45"/>
        <v>684</v>
      </c>
      <c r="AQ81" s="3618"/>
      <c r="AR81" s="3626"/>
      <c r="AS81" s="3626">
        <f t="shared" si="46"/>
        <v>684</v>
      </c>
      <c r="AT81" s="3626"/>
      <c r="AU81" s="3626"/>
      <c r="AV81" s="3626"/>
      <c r="AW81" s="3626">
        <f t="shared" si="47"/>
        <v>114</v>
      </c>
      <c r="AX81" s="3626"/>
      <c r="AY81" s="3626"/>
      <c r="AZ81" s="3626"/>
      <c r="BA81" s="3626"/>
      <c r="BB81" s="3626"/>
      <c r="BC81" s="3626"/>
      <c r="BD81" s="3626"/>
      <c r="BE81" s="3626"/>
      <c r="BG81" s="3626"/>
      <c r="BH81" s="3626"/>
      <c r="BI81" s="3626" t="s">
        <v>89</v>
      </c>
      <c r="BJ81" s="3626">
        <f t="shared" si="48"/>
        <v>22.8</v>
      </c>
      <c r="BK81" s="3626">
        <f t="shared" si="49"/>
        <v>114</v>
      </c>
      <c r="BL81" s="3626">
        <f t="shared" si="50"/>
        <v>114</v>
      </c>
      <c r="BM81" s="3626">
        <f t="shared" si="51"/>
        <v>91.2</v>
      </c>
      <c r="BN81" s="3626">
        <f t="shared" si="52"/>
        <v>114</v>
      </c>
      <c r="BO81" s="4055">
        <f t="shared" si="53"/>
        <v>114</v>
      </c>
      <c r="BP81" s="3627">
        <f t="shared" si="54"/>
        <v>114</v>
      </c>
      <c r="BQ81" s="3627">
        <f t="shared" si="27"/>
        <v>684</v>
      </c>
      <c r="BR81" s="3627">
        <f t="shared" si="28"/>
        <v>0</v>
      </c>
      <c r="BS81" s="4056"/>
      <c r="BT81" s="4057"/>
    </row>
    <row r="82" s="3566" customFormat="1" ht="50" customHeight="1" spans="1:72">
      <c r="A82" s="3635">
        <v>45642</v>
      </c>
      <c r="B82" s="3630" t="s">
        <v>6341</v>
      </c>
      <c r="C82" s="3617" t="s">
        <v>506</v>
      </c>
      <c r="D82" s="3629">
        <v>4500154142</v>
      </c>
      <c r="E82" s="959" t="s">
        <v>6354</v>
      </c>
      <c r="F82" s="3631" t="s">
        <v>6355</v>
      </c>
      <c r="G82" s="959" t="s">
        <v>6124</v>
      </c>
      <c r="H82" s="3618" t="s">
        <v>6063</v>
      </c>
      <c r="I82" s="3618">
        <v>180</v>
      </c>
      <c r="J82" s="3618">
        <v>0</v>
      </c>
      <c r="K82" s="3618">
        <v>12</v>
      </c>
      <c r="L82" s="4052">
        <f t="shared" si="42"/>
        <v>15</v>
      </c>
      <c r="M82" s="3619">
        <v>45702</v>
      </c>
      <c r="N82" s="3619">
        <v>45698</v>
      </c>
      <c r="O82" s="959" t="s">
        <v>6336</v>
      </c>
      <c r="P82" s="959" t="s">
        <v>82</v>
      </c>
      <c r="Q82" s="959"/>
      <c r="R82" s="959"/>
      <c r="S82" s="959"/>
      <c r="T82" s="4053"/>
      <c r="U82" s="3620" t="s">
        <v>6344</v>
      </c>
      <c r="V82" s="3640" t="s">
        <v>663</v>
      </c>
      <c r="W82" s="3640"/>
      <c r="X82" s="3640" t="s">
        <v>6345</v>
      </c>
      <c r="Y82" s="3640"/>
      <c r="Z82" s="3618"/>
      <c r="AA82" s="3620" t="s">
        <v>6346</v>
      </c>
      <c r="AB82" s="3624" t="s">
        <v>3202</v>
      </c>
      <c r="AC82" s="3686">
        <v>2.2444</v>
      </c>
      <c r="AD82" s="3618">
        <f t="shared" si="43"/>
        <v>403.992</v>
      </c>
      <c r="AE82" s="3633" t="s">
        <v>6356</v>
      </c>
      <c r="AF82" s="959" t="s">
        <v>6124</v>
      </c>
      <c r="AG82" s="3620" t="s">
        <v>416</v>
      </c>
      <c r="AH82" s="3620"/>
      <c r="AI82" s="3620"/>
      <c r="AJ82" s="3620"/>
      <c r="AK82" s="959">
        <f t="shared" si="44"/>
        <v>180</v>
      </c>
      <c r="AL82" s="959"/>
      <c r="AM82" s="959"/>
      <c r="AN82" s="959"/>
      <c r="AO82" s="959"/>
      <c r="AP82" s="3618">
        <f t="shared" si="45"/>
        <v>180</v>
      </c>
      <c r="AQ82" s="3618"/>
      <c r="AR82" s="3626"/>
      <c r="AS82" s="3626">
        <f t="shared" si="46"/>
        <v>180</v>
      </c>
      <c r="AT82" s="3626"/>
      <c r="AU82" s="3626"/>
      <c r="AV82" s="3626"/>
      <c r="AW82" s="3626">
        <f t="shared" si="47"/>
        <v>30</v>
      </c>
      <c r="AX82" s="3626"/>
      <c r="AY82" s="3626"/>
      <c r="AZ82" s="3626"/>
      <c r="BA82" s="3626"/>
      <c r="BB82" s="3626"/>
      <c r="BC82" s="3626"/>
      <c r="BD82" s="3626"/>
      <c r="BE82" s="3626"/>
      <c r="BG82" s="3626"/>
      <c r="BH82" s="3626"/>
      <c r="BI82" s="3626" t="s">
        <v>89</v>
      </c>
      <c r="BJ82" s="3626">
        <f t="shared" si="48"/>
        <v>6</v>
      </c>
      <c r="BK82" s="3626">
        <f t="shared" si="49"/>
        <v>30</v>
      </c>
      <c r="BL82" s="3626">
        <f t="shared" si="50"/>
        <v>30</v>
      </c>
      <c r="BM82" s="3626">
        <f t="shared" si="51"/>
        <v>24</v>
      </c>
      <c r="BN82" s="3626">
        <f t="shared" si="52"/>
        <v>30</v>
      </c>
      <c r="BO82" s="4055">
        <f t="shared" si="53"/>
        <v>30</v>
      </c>
      <c r="BP82" s="3627">
        <f t="shared" si="54"/>
        <v>30</v>
      </c>
      <c r="BQ82" s="3627">
        <f t="shared" si="27"/>
        <v>180</v>
      </c>
      <c r="BR82" s="3627">
        <f t="shared" si="28"/>
        <v>0</v>
      </c>
      <c r="BS82" s="4056"/>
      <c r="BT82" s="4057"/>
    </row>
    <row r="83" s="3566" customFormat="1" ht="50" customHeight="1" spans="1:72">
      <c r="A83" s="3635">
        <v>45632</v>
      </c>
      <c r="B83" s="3630" t="s">
        <v>6341</v>
      </c>
      <c r="C83" s="3617" t="s">
        <v>506</v>
      </c>
      <c r="D83" s="3629">
        <v>4500153408</v>
      </c>
      <c r="E83" s="959" t="s">
        <v>6357</v>
      </c>
      <c r="F83" s="3631" t="s">
        <v>6358</v>
      </c>
      <c r="G83" s="959" t="s">
        <v>6124</v>
      </c>
      <c r="H83" s="3618" t="s">
        <v>6063</v>
      </c>
      <c r="I83" s="3618">
        <v>180</v>
      </c>
      <c r="J83" s="3618">
        <v>0</v>
      </c>
      <c r="K83" s="3618">
        <v>12</v>
      </c>
      <c r="L83" s="4052">
        <f t="shared" si="42"/>
        <v>15</v>
      </c>
      <c r="M83" s="3619">
        <v>45702</v>
      </c>
      <c r="N83" s="3619">
        <v>45698</v>
      </c>
      <c r="O83" s="959" t="s">
        <v>6336</v>
      </c>
      <c r="P83" s="959" t="s">
        <v>82</v>
      </c>
      <c r="Q83" s="959"/>
      <c r="R83" s="959"/>
      <c r="S83" s="959"/>
      <c r="T83" s="4053"/>
      <c r="U83" s="3620" t="s">
        <v>6344</v>
      </c>
      <c r="V83" s="3640" t="s">
        <v>663</v>
      </c>
      <c r="W83" s="3640"/>
      <c r="X83" s="3640" t="s">
        <v>6345</v>
      </c>
      <c r="Y83" s="3640"/>
      <c r="Z83" s="3618"/>
      <c r="AA83" s="3620" t="s">
        <v>6359</v>
      </c>
      <c r="AB83" s="3624" t="s">
        <v>3202</v>
      </c>
      <c r="AC83" s="3686">
        <v>2.4252</v>
      </c>
      <c r="AD83" s="3618">
        <f t="shared" si="43"/>
        <v>436.536</v>
      </c>
      <c r="AE83" s="3633" t="s">
        <v>6360</v>
      </c>
      <c r="AF83" s="959" t="s">
        <v>6124</v>
      </c>
      <c r="AG83" s="3620" t="s">
        <v>416</v>
      </c>
      <c r="AH83" s="3620"/>
      <c r="AI83" s="3620"/>
      <c r="AJ83" s="3620"/>
      <c r="AK83" s="959">
        <f t="shared" si="44"/>
        <v>180</v>
      </c>
      <c r="AL83" s="959"/>
      <c r="AM83" s="959"/>
      <c r="AN83" s="959"/>
      <c r="AO83" s="959"/>
      <c r="AP83" s="3618">
        <f t="shared" si="45"/>
        <v>180</v>
      </c>
      <c r="AQ83" s="3618"/>
      <c r="AR83" s="3626"/>
      <c r="AS83" s="3626">
        <f t="shared" si="46"/>
        <v>180</v>
      </c>
      <c r="AT83" s="3626"/>
      <c r="AU83" s="3626"/>
      <c r="AV83" s="3626"/>
      <c r="AW83" s="3626">
        <f t="shared" si="47"/>
        <v>30</v>
      </c>
      <c r="AX83" s="3626"/>
      <c r="AY83" s="3626"/>
      <c r="AZ83" s="3626"/>
      <c r="BA83" s="3626"/>
      <c r="BB83" s="3626"/>
      <c r="BC83" s="3626"/>
      <c r="BD83" s="3626"/>
      <c r="BE83" s="3626"/>
      <c r="BG83" s="3626"/>
      <c r="BH83" s="3626"/>
      <c r="BI83" s="3626" t="s">
        <v>89</v>
      </c>
      <c r="BJ83" s="3626">
        <f t="shared" si="48"/>
        <v>6</v>
      </c>
      <c r="BK83" s="3626">
        <f t="shared" si="49"/>
        <v>30</v>
      </c>
      <c r="BL83" s="3626">
        <f t="shared" si="50"/>
        <v>30</v>
      </c>
      <c r="BM83" s="3626">
        <f t="shared" si="51"/>
        <v>24</v>
      </c>
      <c r="BN83" s="3626">
        <f t="shared" si="52"/>
        <v>30</v>
      </c>
      <c r="BO83" s="4055">
        <f t="shared" si="53"/>
        <v>30</v>
      </c>
      <c r="BP83" s="3627">
        <f t="shared" si="54"/>
        <v>30</v>
      </c>
      <c r="BQ83" s="3627">
        <f t="shared" si="27"/>
        <v>180</v>
      </c>
      <c r="BR83" s="3627">
        <f t="shared" si="28"/>
        <v>0</v>
      </c>
      <c r="BS83" s="4056"/>
      <c r="BT83" s="4057"/>
    </row>
    <row r="84" s="3566" customFormat="1" ht="50" customHeight="1" spans="1:72">
      <c r="A84" s="3635">
        <v>45632</v>
      </c>
      <c r="B84" s="3630" t="s">
        <v>6341</v>
      </c>
      <c r="C84" s="3617" t="s">
        <v>506</v>
      </c>
      <c r="D84" s="3629">
        <v>4500153408</v>
      </c>
      <c r="E84" s="959" t="s">
        <v>6361</v>
      </c>
      <c r="F84" s="3631" t="s">
        <v>6362</v>
      </c>
      <c r="G84" s="959" t="s">
        <v>6124</v>
      </c>
      <c r="H84" s="3618" t="s">
        <v>6063</v>
      </c>
      <c r="I84" s="3618">
        <v>576</v>
      </c>
      <c r="J84" s="3618">
        <v>0</v>
      </c>
      <c r="K84" s="3618">
        <v>12</v>
      </c>
      <c r="L84" s="4052">
        <f t="shared" si="42"/>
        <v>48</v>
      </c>
      <c r="M84" s="3619">
        <v>45702</v>
      </c>
      <c r="N84" s="3619">
        <v>45698</v>
      </c>
      <c r="O84" s="959" t="s">
        <v>6336</v>
      </c>
      <c r="P84" s="959" t="s">
        <v>82</v>
      </c>
      <c r="Q84" s="959"/>
      <c r="R84" s="959"/>
      <c r="S84" s="959"/>
      <c r="T84" s="4053"/>
      <c r="U84" s="3620" t="s">
        <v>6337</v>
      </c>
      <c r="V84" s="3640" t="s">
        <v>663</v>
      </c>
      <c r="W84" s="3640"/>
      <c r="X84" s="3640" t="s">
        <v>6345</v>
      </c>
      <c r="Y84" s="3640"/>
      <c r="Z84" s="3618"/>
      <c r="AA84" s="3620" t="s">
        <v>6359</v>
      </c>
      <c r="AB84" s="3624" t="s">
        <v>3202</v>
      </c>
      <c r="AC84" s="3686">
        <v>2.4252</v>
      </c>
      <c r="AD84" s="3618">
        <f t="shared" si="43"/>
        <v>1396.9152</v>
      </c>
      <c r="AE84" s="3633" t="s">
        <v>6363</v>
      </c>
      <c r="AF84" s="959" t="s">
        <v>6124</v>
      </c>
      <c r="AG84" s="3620" t="s">
        <v>416</v>
      </c>
      <c r="AH84" s="3620"/>
      <c r="AI84" s="3620"/>
      <c r="AJ84" s="3620"/>
      <c r="AK84" s="959">
        <f t="shared" si="44"/>
        <v>576</v>
      </c>
      <c r="AL84" s="959"/>
      <c r="AM84" s="959"/>
      <c r="AN84" s="959"/>
      <c r="AO84" s="959"/>
      <c r="AP84" s="3618">
        <f t="shared" si="45"/>
        <v>576</v>
      </c>
      <c r="AQ84" s="3618"/>
      <c r="AR84" s="3626"/>
      <c r="AS84" s="3626">
        <f t="shared" si="46"/>
        <v>576</v>
      </c>
      <c r="AT84" s="3626"/>
      <c r="AU84" s="3626"/>
      <c r="AV84" s="3626"/>
      <c r="AW84" s="3626">
        <f t="shared" si="47"/>
        <v>96</v>
      </c>
      <c r="AX84" s="3626"/>
      <c r="AY84" s="3626"/>
      <c r="AZ84" s="3626"/>
      <c r="BA84" s="3626"/>
      <c r="BB84" s="3626"/>
      <c r="BC84" s="3626"/>
      <c r="BD84" s="3626"/>
      <c r="BE84" s="3626"/>
      <c r="BG84" s="3626"/>
      <c r="BH84" s="3626"/>
      <c r="BI84" s="3626" t="s">
        <v>89</v>
      </c>
      <c r="BJ84" s="3626">
        <f t="shared" si="48"/>
        <v>19.2</v>
      </c>
      <c r="BK84" s="3626">
        <f t="shared" si="49"/>
        <v>96</v>
      </c>
      <c r="BL84" s="3626">
        <f t="shared" si="50"/>
        <v>96</v>
      </c>
      <c r="BM84" s="3626">
        <f t="shared" si="51"/>
        <v>76.8</v>
      </c>
      <c r="BN84" s="3626">
        <f t="shared" si="52"/>
        <v>96</v>
      </c>
      <c r="BO84" s="4055">
        <f t="shared" si="53"/>
        <v>96</v>
      </c>
      <c r="BP84" s="3627">
        <f t="shared" si="54"/>
        <v>96</v>
      </c>
      <c r="BQ84" s="3627">
        <f t="shared" si="27"/>
        <v>576</v>
      </c>
      <c r="BR84" s="3627">
        <f t="shared" si="28"/>
        <v>0</v>
      </c>
      <c r="BS84" s="4056"/>
      <c r="BT84" s="4057"/>
    </row>
    <row r="85" s="3566" customFormat="1" ht="50" customHeight="1" spans="1:72">
      <c r="A85" s="3635">
        <v>45632</v>
      </c>
      <c r="B85" s="3630" t="s">
        <v>6341</v>
      </c>
      <c r="C85" s="3617" t="s">
        <v>506</v>
      </c>
      <c r="D85" s="3629">
        <v>4500153408</v>
      </c>
      <c r="E85" s="959" t="s">
        <v>6364</v>
      </c>
      <c r="F85" s="3631" t="s">
        <v>6365</v>
      </c>
      <c r="G85" s="959" t="s">
        <v>6124</v>
      </c>
      <c r="H85" s="3618" t="s">
        <v>6063</v>
      </c>
      <c r="I85" s="3618">
        <v>756</v>
      </c>
      <c r="J85" s="3618">
        <v>0</v>
      </c>
      <c r="K85" s="3618">
        <v>12</v>
      </c>
      <c r="L85" s="4052">
        <f t="shared" si="42"/>
        <v>63</v>
      </c>
      <c r="M85" s="3619">
        <v>45702</v>
      </c>
      <c r="N85" s="3619">
        <v>45698</v>
      </c>
      <c r="O85" s="959" t="s">
        <v>6336</v>
      </c>
      <c r="P85" s="959" t="s">
        <v>82</v>
      </c>
      <c r="Q85" s="959"/>
      <c r="R85" s="959"/>
      <c r="S85" s="959"/>
      <c r="T85" s="4053"/>
      <c r="U85" s="3620" t="s">
        <v>6337</v>
      </c>
      <c r="V85" s="3640" t="s">
        <v>663</v>
      </c>
      <c r="W85" s="3640"/>
      <c r="X85" s="3640" t="s">
        <v>6345</v>
      </c>
      <c r="Y85" s="3640"/>
      <c r="Z85" s="3618"/>
      <c r="AA85" s="3620" t="s">
        <v>6359</v>
      </c>
      <c r="AB85" s="3624" t="s">
        <v>3202</v>
      </c>
      <c r="AC85" s="3686">
        <v>2.4252</v>
      </c>
      <c r="AD85" s="3618">
        <f t="shared" si="43"/>
        <v>1833.4512</v>
      </c>
      <c r="AE85" s="3633" t="s">
        <v>6366</v>
      </c>
      <c r="AF85" s="959" t="s">
        <v>6124</v>
      </c>
      <c r="AG85" s="3620" t="s">
        <v>416</v>
      </c>
      <c r="AH85" s="3620"/>
      <c r="AI85" s="3620"/>
      <c r="AJ85" s="3620"/>
      <c r="AK85" s="959">
        <f t="shared" si="44"/>
        <v>756</v>
      </c>
      <c r="AL85" s="959"/>
      <c r="AM85" s="959"/>
      <c r="AN85" s="959"/>
      <c r="AO85" s="959"/>
      <c r="AP85" s="3618">
        <f t="shared" si="45"/>
        <v>756</v>
      </c>
      <c r="AQ85" s="3618"/>
      <c r="AR85" s="3626"/>
      <c r="AS85" s="3626">
        <f t="shared" si="46"/>
        <v>756</v>
      </c>
      <c r="AT85" s="3626"/>
      <c r="AU85" s="3626"/>
      <c r="AV85" s="3626"/>
      <c r="AW85" s="3626">
        <f t="shared" si="47"/>
        <v>126</v>
      </c>
      <c r="AX85" s="3626"/>
      <c r="AY85" s="3626"/>
      <c r="AZ85" s="3626"/>
      <c r="BA85" s="3626"/>
      <c r="BB85" s="3626"/>
      <c r="BC85" s="3626"/>
      <c r="BD85" s="3626"/>
      <c r="BE85" s="3626"/>
      <c r="BG85" s="3626"/>
      <c r="BH85" s="3626"/>
      <c r="BI85" s="3626" t="s">
        <v>89</v>
      </c>
      <c r="BJ85" s="3626">
        <f t="shared" si="48"/>
        <v>25.2</v>
      </c>
      <c r="BK85" s="3626">
        <f t="shared" si="49"/>
        <v>126</v>
      </c>
      <c r="BL85" s="3626">
        <f t="shared" si="50"/>
        <v>126</v>
      </c>
      <c r="BM85" s="3626">
        <f t="shared" si="51"/>
        <v>100.8</v>
      </c>
      <c r="BN85" s="3626">
        <f t="shared" si="52"/>
        <v>126</v>
      </c>
      <c r="BO85" s="4055">
        <f t="shared" si="53"/>
        <v>126</v>
      </c>
      <c r="BP85" s="3627">
        <f t="shared" si="54"/>
        <v>126</v>
      </c>
      <c r="BQ85" s="3627">
        <f t="shared" si="27"/>
        <v>756</v>
      </c>
      <c r="BR85" s="3627">
        <f t="shared" si="28"/>
        <v>0</v>
      </c>
      <c r="BS85" s="4056"/>
      <c r="BT85" s="4057"/>
    </row>
    <row r="86" s="3566" customFormat="1" ht="50" customHeight="1" spans="1:72">
      <c r="A86" s="3635">
        <v>45648</v>
      </c>
      <c r="B86" s="3617" t="s">
        <v>6341</v>
      </c>
      <c r="C86" s="3617" t="s">
        <v>506</v>
      </c>
      <c r="D86" s="3624">
        <v>4500154505</v>
      </c>
      <c r="E86" s="959" t="s">
        <v>6367</v>
      </c>
      <c r="F86" s="3617" t="s">
        <v>6368</v>
      </c>
      <c r="G86" s="959" t="s">
        <v>6124</v>
      </c>
      <c r="H86" s="3618" t="s">
        <v>6063</v>
      </c>
      <c r="I86" s="3618">
        <v>948</v>
      </c>
      <c r="J86" s="3618">
        <v>0</v>
      </c>
      <c r="K86" s="3618">
        <v>12</v>
      </c>
      <c r="L86" s="4052">
        <f t="shared" si="42"/>
        <v>79</v>
      </c>
      <c r="M86" s="3619">
        <v>45705</v>
      </c>
      <c r="N86" s="3619">
        <v>45701</v>
      </c>
      <c r="O86" s="959" t="s">
        <v>6336</v>
      </c>
      <c r="P86" s="959" t="s">
        <v>82</v>
      </c>
      <c r="Q86" s="959"/>
      <c r="R86" s="959"/>
      <c r="S86" s="959"/>
      <c r="T86" s="4053"/>
      <c r="U86" s="3620" t="s">
        <v>6337</v>
      </c>
      <c r="V86" s="3640" t="s">
        <v>6369</v>
      </c>
      <c r="W86" s="3640"/>
      <c r="X86" s="3640" t="s">
        <v>6345</v>
      </c>
      <c r="Y86" s="3640"/>
      <c r="Z86" s="3618"/>
      <c r="AA86" s="3620" t="s">
        <v>6370</v>
      </c>
      <c r="AB86" s="3624" t="s">
        <v>3202</v>
      </c>
      <c r="AC86" s="3686">
        <v>2.4252</v>
      </c>
      <c r="AD86" s="3618">
        <f t="shared" si="43"/>
        <v>2299.0896</v>
      </c>
      <c r="AE86" s="3633" t="s">
        <v>6371</v>
      </c>
      <c r="AF86" s="959" t="s">
        <v>6124</v>
      </c>
      <c r="AG86" s="3620" t="s">
        <v>416</v>
      </c>
      <c r="AH86" s="3620"/>
      <c r="AI86" s="3620"/>
      <c r="AJ86" s="3620"/>
      <c r="AK86" s="959">
        <f t="shared" si="44"/>
        <v>948</v>
      </c>
      <c r="AL86" s="959"/>
      <c r="AM86" s="959"/>
      <c r="AN86" s="959"/>
      <c r="AO86" s="959"/>
      <c r="AP86" s="3618">
        <f t="shared" si="45"/>
        <v>948</v>
      </c>
      <c r="AQ86" s="3618"/>
      <c r="AR86" s="3626"/>
      <c r="AS86" s="3626">
        <f t="shared" si="46"/>
        <v>948</v>
      </c>
      <c r="AT86" s="3626"/>
      <c r="AU86" s="3626"/>
      <c r="AV86" s="3626"/>
      <c r="AW86" s="3626">
        <f t="shared" si="47"/>
        <v>158</v>
      </c>
      <c r="AX86" s="3626"/>
      <c r="AY86" s="3626"/>
      <c r="AZ86" s="3626"/>
      <c r="BA86" s="3626"/>
      <c r="BB86" s="3626"/>
      <c r="BC86" s="3626"/>
      <c r="BD86" s="3626"/>
      <c r="BE86" s="3626"/>
      <c r="BG86" s="3626"/>
      <c r="BH86" s="3626"/>
      <c r="BI86" s="3626" t="s">
        <v>89</v>
      </c>
      <c r="BJ86" s="3626">
        <f t="shared" si="48"/>
        <v>31.6</v>
      </c>
      <c r="BK86" s="3626">
        <f t="shared" si="49"/>
        <v>158</v>
      </c>
      <c r="BL86" s="3626">
        <f t="shared" si="50"/>
        <v>158</v>
      </c>
      <c r="BM86" s="3626">
        <f t="shared" si="51"/>
        <v>126.4</v>
      </c>
      <c r="BN86" s="3626">
        <f t="shared" si="52"/>
        <v>158</v>
      </c>
      <c r="BO86" s="4055">
        <f t="shared" si="53"/>
        <v>158</v>
      </c>
      <c r="BP86" s="3627">
        <f t="shared" si="54"/>
        <v>158</v>
      </c>
      <c r="BQ86" s="3627">
        <f t="shared" si="27"/>
        <v>948</v>
      </c>
      <c r="BR86" s="3627">
        <f t="shared" si="28"/>
        <v>0</v>
      </c>
      <c r="BS86" s="4056"/>
      <c r="BT86" s="4057"/>
    </row>
    <row r="87" s="3566" customFormat="1" ht="50" customHeight="1" spans="1:72">
      <c r="A87" s="3635">
        <v>45648</v>
      </c>
      <c r="B87" s="3617" t="s">
        <v>6341</v>
      </c>
      <c r="C87" s="3617" t="s">
        <v>506</v>
      </c>
      <c r="D87" s="3624">
        <v>4500154505</v>
      </c>
      <c r="E87" s="959" t="s">
        <v>6372</v>
      </c>
      <c r="F87" s="3617" t="s">
        <v>6373</v>
      </c>
      <c r="G87" s="959" t="s">
        <v>6124</v>
      </c>
      <c r="H87" s="3618" t="s">
        <v>6063</v>
      </c>
      <c r="I87" s="3618">
        <v>564</v>
      </c>
      <c r="J87" s="3618">
        <v>0</v>
      </c>
      <c r="K87" s="3618">
        <v>12</v>
      </c>
      <c r="L87" s="4052">
        <f t="shared" si="42"/>
        <v>47</v>
      </c>
      <c r="M87" s="3619">
        <v>45705</v>
      </c>
      <c r="N87" s="3619">
        <v>45701</v>
      </c>
      <c r="O87" s="959" t="s">
        <v>6336</v>
      </c>
      <c r="P87" s="959" t="s">
        <v>82</v>
      </c>
      <c r="Q87" s="959"/>
      <c r="R87" s="959"/>
      <c r="S87" s="959"/>
      <c r="T87" s="4053"/>
      <c r="U87" s="3620" t="s">
        <v>6337</v>
      </c>
      <c r="V87" s="3640" t="s">
        <v>6369</v>
      </c>
      <c r="W87" s="3640"/>
      <c r="X87" s="3640" t="s">
        <v>6345</v>
      </c>
      <c r="Y87" s="3640"/>
      <c r="Z87" s="3618"/>
      <c r="AA87" s="3620" t="s">
        <v>6370</v>
      </c>
      <c r="AB87" s="3624" t="s">
        <v>3202</v>
      </c>
      <c r="AC87" s="3686">
        <v>2.4252</v>
      </c>
      <c r="AD87" s="3618">
        <f t="shared" si="43"/>
        <v>1367.8128</v>
      </c>
      <c r="AE87" s="3633" t="s">
        <v>6371</v>
      </c>
      <c r="AF87" s="959" t="s">
        <v>6124</v>
      </c>
      <c r="AG87" s="3620" t="s">
        <v>416</v>
      </c>
      <c r="AH87" s="3620"/>
      <c r="AI87" s="3620"/>
      <c r="AJ87" s="3620"/>
      <c r="AK87" s="959">
        <f t="shared" si="44"/>
        <v>564</v>
      </c>
      <c r="AL87" s="959"/>
      <c r="AM87" s="959"/>
      <c r="AN87" s="959"/>
      <c r="AO87" s="959"/>
      <c r="AP87" s="3618">
        <f t="shared" si="45"/>
        <v>564</v>
      </c>
      <c r="AQ87" s="3618"/>
      <c r="AR87" s="3626"/>
      <c r="AS87" s="3626">
        <f t="shared" si="46"/>
        <v>564</v>
      </c>
      <c r="AT87" s="3626"/>
      <c r="AU87" s="3626"/>
      <c r="AV87" s="3626"/>
      <c r="AW87" s="3626">
        <f t="shared" si="47"/>
        <v>94</v>
      </c>
      <c r="AX87" s="3626"/>
      <c r="AY87" s="3626"/>
      <c r="AZ87" s="3626"/>
      <c r="BA87" s="3626"/>
      <c r="BB87" s="3626"/>
      <c r="BC87" s="3626"/>
      <c r="BD87" s="3626"/>
      <c r="BE87" s="3626"/>
      <c r="BG87" s="3626"/>
      <c r="BH87" s="3626"/>
      <c r="BI87" s="3626" t="s">
        <v>89</v>
      </c>
      <c r="BJ87" s="3626">
        <f t="shared" si="48"/>
        <v>18.8</v>
      </c>
      <c r="BK87" s="3626">
        <f t="shared" si="49"/>
        <v>94</v>
      </c>
      <c r="BL87" s="3626">
        <f t="shared" si="50"/>
        <v>94</v>
      </c>
      <c r="BM87" s="3626">
        <f t="shared" si="51"/>
        <v>75.2</v>
      </c>
      <c r="BN87" s="3626">
        <f t="shared" si="52"/>
        <v>94</v>
      </c>
      <c r="BO87" s="4055">
        <f t="shared" si="53"/>
        <v>94</v>
      </c>
      <c r="BP87" s="3627">
        <f t="shared" si="54"/>
        <v>94</v>
      </c>
      <c r="BQ87" s="3627">
        <f t="shared" si="27"/>
        <v>564</v>
      </c>
      <c r="BR87" s="3627">
        <f t="shared" si="28"/>
        <v>0</v>
      </c>
      <c r="BS87" s="4056"/>
      <c r="BT87" s="4057"/>
    </row>
    <row r="88" s="3566" customFormat="1" ht="50" customHeight="1" spans="1:72">
      <c r="A88" s="3635">
        <v>45643</v>
      </c>
      <c r="B88" s="3617" t="s">
        <v>6374</v>
      </c>
      <c r="C88" s="959" t="s">
        <v>1279</v>
      </c>
      <c r="D88" s="3618">
        <v>4500154244</v>
      </c>
      <c r="E88" s="959"/>
      <c r="F88" s="959" t="s">
        <v>6375</v>
      </c>
      <c r="G88" s="959" t="s">
        <v>6124</v>
      </c>
      <c r="H88" s="3618" t="s">
        <v>6063</v>
      </c>
      <c r="I88" s="3618">
        <v>2052</v>
      </c>
      <c r="J88" s="3618">
        <v>0</v>
      </c>
      <c r="K88" s="3618">
        <v>12</v>
      </c>
      <c r="L88" s="4052">
        <f t="shared" si="42"/>
        <v>171</v>
      </c>
      <c r="M88" s="3619">
        <v>45706</v>
      </c>
      <c r="N88" s="3619">
        <v>45702</v>
      </c>
      <c r="O88" s="959"/>
      <c r="P88" s="959" t="s">
        <v>82</v>
      </c>
      <c r="Q88" s="959"/>
      <c r="R88" s="959"/>
      <c r="S88" s="959"/>
      <c r="T88" s="4053"/>
      <c r="U88" s="3620" t="s">
        <v>785</v>
      </c>
      <c r="V88" s="3640" t="s">
        <v>2350</v>
      </c>
      <c r="W88" s="3640"/>
      <c r="X88" s="3640" t="s">
        <v>6376</v>
      </c>
      <c r="Y88" s="3640"/>
      <c r="Z88" s="3618"/>
      <c r="AA88" s="3620" t="s">
        <v>6377</v>
      </c>
      <c r="AB88" s="3624" t="s">
        <v>2762</v>
      </c>
      <c r="AC88" s="3686">
        <v>2.2444</v>
      </c>
      <c r="AD88" s="3618">
        <f t="shared" si="43"/>
        <v>4605.5088</v>
      </c>
      <c r="AE88" s="3633" t="s">
        <v>6378</v>
      </c>
      <c r="AF88" s="959" t="s">
        <v>6126</v>
      </c>
      <c r="AG88" s="3620" t="s">
        <v>416</v>
      </c>
      <c r="AH88" s="3620"/>
      <c r="AI88" s="3620"/>
      <c r="AJ88" s="3620"/>
      <c r="AK88" s="959"/>
      <c r="AL88" s="959"/>
      <c r="AM88" s="959">
        <f>I88</f>
        <v>2052</v>
      </c>
      <c r="AN88" s="959"/>
      <c r="AO88" s="959"/>
      <c r="AP88" s="3618">
        <f t="shared" si="45"/>
        <v>2052</v>
      </c>
      <c r="AQ88" s="3618"/>
      <c r="AR88" s="3626"/>
      <c r="AS88" s="3626">
        <f t="shared" si="46"/>
        <v>2052</v>
      </c>
      <c r="AT88" s="3626"/>
      <c r="AU88" s="3626"/>
      <c r="AV88" s="3626"/>
      <c r="AW88" s="3626">
        <f t="shared" si="47"/>
        <v>342</v>
      </c>
      <c r="AX88" s="3626"/>
      <c r="AY88" s="3626"/>
      <c r="AZ88" s="3626"/>
      <c r="BA88" s="3626"/>
      <c r="BB88" s="3626"/>
      <c r="BC88" s="3626"/>
      <c r="BD88" s="3626"/>
      <c r="BE88" s="3626"/>
      <c r="BG88" s="3626"/>
      <c r="BH88" s="3626"/>
      <c r="BI88" s="3626" t="s">
        <v>89</v>
      </c>
      <c r="BJ88" s="3626">
        <f t="shared" si="48"/>
        <v>68.4</v>
      </c>
      <c r="BK88" s="3626">
        <f t="shared" si="49"/>
        <v>342</v>
      </c>
      <c r="BL88" s="3626">
        <f t="shared" si="50"/>
        <v>342</v>
      </c>
      <c r="BM88" s="3626">
        <f t="shared" si="51"/>
        <v>273.6</v>
      </c>
      <c r="BN88" s="3626">
        <f t="shared" si="52"/>
        <v>342</v>
      </c>
      <c r="BO88" s="4055">
        <f t="shared" si="53"/>
        <v>342</v>
      </c>
      <c r="BP88" s="3627">
        <f t="shared" si="54"/>
        <v>342</v>
      </c>
      <c r="BQ88" s="3627">
        <f t="shared" si="27"/>
        <v>2052</v>
      </c>
      <c r="BR88" s="3627">
        <f t="shared" si="28"/>
        <v>0</v>
      </c>
      <c r="BS88" s="4056"/>
      <c r="BT88" s="4057"/>
    </row>
    <row r="89" s="3566" customFormat="1" ht="50" customHeight="1" spans="1:72">
      <c r="A89" s="3635">
        <v>45642</v>
      </c>
      <c r="B89" s="3630" t="s">
        <v>361</v>
      </c>
      <c r="C89" s="3617" t="s">
        <v>91</v>
      </c>
      <c r="D89" s="3629">
        <v>4500154101</v>
      </c>
      <c r="E89" s="959" t="s">
        <v>6379</v>
      </c>
      <c r="F89" s="3631" t="s">
        <v>6380</v>
      </c>
      <c r="G89" s="959" t="s">
        <v>6218</v>
      </c>
      <c r="H89" s="3618" t="s">
        <v>6092</v>
      </c>
      <c r="I89" s="3618">
        <v>448</v>
      </c>
      <c r="J89" s="3618">
        <v>0</v>
      </c>
      <c r="K89" s="3618">
        <v>32</v>
      </c>
      <c r="L89" s="4052">
        <f t="shared" si="42"/>
        <v>14</v>
      </c>
      <c r="M89" s="3619">
        <v>45707</v>
      </c>
      <c r="N89" s="3619">
        <v>45703</v>
      </c>
      <c r="O89" s="3618"/>
      <c r="P89" s="959" t="s">
        <v>82</v>
      </c>
      <c r="Q89" s="959"/>
      <c r="R89" s="959"/>
      <c r="S89" s="959"/>
      <c r="T89" s="4053"/>
      <c r="U89" s="3645" t="s">
        <v>686</v>
      </c>
      <c r="V89" s="3640" t="s">
        <v>663</v>
      </c>
      <c r="W89" s="3640"/>
      <c r="X89" s="3640" t="s">
        <v>98</v>
      </c>
      <c r="Y89" s="3640" t="s">
        <v>687</v>
      </c>
      <c r="Z89" s="959" t="s">
        <v>6381</v>
      </c>
      <c r="AA89" s="3620" t="s">
        <v>6382</v>
      </c>
      <c r="AB89" s="3624" t="s">
        <v>689</v>
      </c>
      <c r="AC89" s="3618">
        <v>2.3647</v>
      </c>
      <c r="AD89" s="3618">
        <f t="shared" si="43"/>
        <v>1059.3856</v>
      </c>
      <c r="AE89" s="3633" t="s">
        <v>690</v>
      </c>
      <c r="AF89" s="959" t="s">
        <v>6218</v>
      </c>
      <c r="AG89" s="3620" t="s">
        <v>416</v>
      </c>
      <c r="AH89" s="3620"/>
      <c r="AI89" s="3620"/>
      <c r="AJ89" s="3620"/>
      <c r="AK89" s="959">
        <f>I89</f>
        <v>448</v>
      </c>
      <c r="AL89" s="959"/>
      <c r="AM89" s="959"/>
      <c r="AN89" s="959"/>
      <c r="AO89" s="959"/>
      <c r="AP89" s="3618">
        <v>448</v>
      </c>
      <c r="AQ89" s="3618"/>
      <c r="AR89" s="3626"/>
      <c r="AS89" s="3626">
        <f t="shared" si="46"/>
        <v>448</v>
      </c>
      <c r="AT89" s="3626"/>
      <c r="AU89" s="3626"/>
      <c r="AV89" s="3626"/>
      <c r="AW89" s="3626"/>
      <c r="AX89" s="3626"/>
      <c r="AY89" s="3626"/>
      <c r="AZ89" s="3626"/>
      <c r="BA89" s="3626"/>
      <c r="BB89" s="3626"/>
      <c r="BC89" s="3626"/>
      <c r="BD89" s="3626"/>
      <c r="BE89" s="3626"/>
      <c r="BG89" s="3626"/>
      <c r="BH89" s="3626"/>
      <c r="BI89" s="3626" t="s">
        <v>89</v>
      </c>
      <c r="BJ89" s="3626"/>
      <c r="BK89" s="3626"/>
      <c r="BL89" s="3626"/>
      <c r="BM89" s="3626"/>
      <c r="BN89" s="3626"/>
      <c r="BO89" s="4055">
        <f>I89</f>
        <v>448</v>
      </c>
      <c r="BP89" s="3627"/>
      <c r="BQ89" s="3627">
        <f t="shared" si="27"/>
        <v>448</v>
      </c>
      <c r="BR89" s="3627">
        <f t="shared" si="28"/>
        <v>0</v>
      </c>
      <c r="BS89" s="4056"/>
      <c r="BT89" s="4057"/>
    </row>
    <row r="90" s="3566" customFormat="1" ht="50" customHeight="1" spans="1:72">
      <c r="A90" s="3635">
        <v>45642</v>
      </c>
      <c r="B90" s="3630" t="s">
        <v>361</v>
      </c>
      <c r="C90" s="3617" t="s">
        <v>91</v>
      </c>
      <c r="D90" s="3629">
        <v>4500154032</v>
      </c>
      <c r="E90" s="959" t="s">
        <v>6383</v>
      </c>
      <c r="F90" s="3631" t="s">
        <v>6384</v>
      </c>
      <c r="G90" s="959" t="s">
        <v>6218</v>
      </c>
      <c r="H90" s="3618" t="s">
        <v>6092</v>
      </c>
      <c r="I90" s="3618">
        <v>128</v>
      </c>
      <c r="J90" s="3618">
        <v>0</v>
      </c>
      <c r="K90" s="3618">
        <v>32</v>
      </c>
      <c r="L90" s="4052">
        <f t="shared" si="42"/>
        <v>4</v>
      </c>
      <c r="M90" s="3619">
        <v>45707</v>
      </c>
      <c r="N90" s="3619">
        <v>45703</v>
      </c>
      <c r="O90" s="3618"/>
      <c r="P90" s="959" t="s">
        <v>82</v>
      </c>
      <c r="Q90" s="959"/>
      <c r="R90" s="959"/>
      <c r="S90" s="959"/>
      <c r="T90" s="4053"/>
      <c r="U90" s="3620" t="s">
        <v>159</v>
      </c>
      <c r="V90" s="3640" t="s">
        <v>663</v>
      </c>
      <c r="W90" s="3640"/>
      <c r="X90" s="3640" t="s">
        <v>98</v>
      </c>
      <c r="Y90" s="3640" t="s">
        <v>687</v>
      </c>
      <c r="Z90" s="959" t="s">
        <v>6381</v>
      </c>
      <c r="AA90" s="3620" t="s">
        <v>6385</v>
      </c>
      <c r="AB90" s="3624" t="s">
        <v>689</v>
      </c>
      <c r="AC90" s="3618">
        <v>2.3647</v>
      </c>
      <c r="AD90" s="3618">
        <f t="shared" si="43"/>
        <v>302.6816</v>
      </c>
      <c r="AE90" s="3633" t="s">
        <v>701</v>
      </c>
      <c r="AF90" s="959" t="s">
        <v>6218</v>
      </c>
      <c r="AG90" s="3620" t="s">
        <v>416</v>
      </c>
      <c r="AH90" s="3620"/>
      <c r="AI90" s="3620"/>
      <c r="AJ90" s="3620"/>
      <c r="AK90" s="959">
        <f>I90</f>
        <v>128</v>
      </c>
      <c r="AL90" s="959"/>
      <c r="AM90" s="959"/>
      <c r="AN90" s="959"/>
      <c r="AO90" s="959"/>
      <c r="AP90" s="3618">
        <f>I90</f>
        <v>128</v>
      </c>
      <c r="AQ90" s="3618"/>
      <c r="AR90" s="3626"/>
      <c r="AS90" s="3626">
        <f t="shared" si="46"/>
        <v>128</v>
      </c>
      <c r="AT90" s="3626"/>
      <c r="AU90" s="3626"/>
      <c r="AV90" s="3626"/>
      <c r="AW90" s="3626"/>
      <c r="AX90" s="3626"/>
      <c r="AY90" s="3626"/>
      <c r="AZ90" s="3626"/>
      <c r="BA90" s="3626"/>
      <c r="BB90" s="3626"/>
      <c r="BC90" s="3626"/>
      <c r="BD90" s="3626"/>
      <c r="BE90" s="3626"/>
      <c r="BG90" s="3626"/>
      <c r="BH90" s="3626"/>
      <c r="BI90" s="3626" t="s">
        <v>89</v>
      </c>
      <c r="BJ90" s="3626"/>
      <c r="BK90" s="3626"/>
      <c r="BL90" s="3626"/>
      <c r="BM90" s="3626"/>
      <c r="BN90" s="3626"/>
      <c r="BO90" s="4055">
        <f>I90</f>
        <v>128</v>
      </c>
      <c r="BP90" s="3627"/>
      <c r="BQ90" s="3627">
        <f t="shared" si="27"/>
        <v>128</v>
      </c>
      <c r="BR90" s="3627">
        <f t="shared" si="28"/>
        <v>0</v>
      </c>
      <c r="BS90" s="4056"/>
      <c r="BT90" s="4057"/>
    </row>
    <row r="91" s="3566" customFormat="1" ht="50" customHeight="1" spans="1:72">
      <c r="A91" s="3635">
        <v>45642</v>
      </c>
      <c r="B91" s="3630" t="s">
        <v>361</v>
      </c>
      <c r="C91" s="3617" t="s">
        <v>91</v>
      </c>
      <c r="D91" s="3629">
        <v>4500154124</v>
      </c>
      <c r="E91" s="959" t="s">
        <v>6386</v>
      </c>
      <c r="F91" s="3631" t="s">
        <v>6387</v>
      </c>
      <c r="G91" s="959" t="s">
        <v>6218</v>
      </c>
      <c r="H91" s="3618" t="s">
        <v>6092</v>
      </c>
      <c r="I91" s="3618">
        <v>128</v>
      </c>
      <c r="J91" s="3618">
        <v>0</v>
      </c>
      <c r="K91" s="3618">
        <v>32</v>
      </c>
      <c r="L91" s="4052">
        <f t="shared" si="42"/>
        <v>4</v>
      </c>
      <c r="M91" s="3619">
        <v>45707</v>
      </c>
      <c r="N91" s="3619">
        <v>45703</v>
      </c>
      <c r="O91" s="3618"/>
      <c r="P91" s="959" t="s">
        <v>82</v>
      </c>
      <c r="Q91" s="959"/>
      <c r="R91" s="959"/>
      <c r="S91" s="959"/>
      <c r="T91" s="4053"/>
      <c r="U91" s="3620" t="s">
        <v>159</v>
      </c>
      <c r="V91" s="3640" t="s">
        <v>663</v>
      </c>
      <c r="W91" s="3640"/>
      <c r="X91" s="3640" t="s">
        <v>98</v>
      </c>
      <c r="Y91" s="3640" t="s">
        <v>687</v>
      </c>
      <c r="Z91" s="959" t="s">
        <v>6381</v>
      </c>
      <c r="AA91" s="3620" t="s">
        <v>6388</v>
      </c>
      <c r="AB91" s="3624" t="s">
        <v>689</v>
      </c>
      <c r="AC91" s="3618">
        <v>2.3647</v>
      </c>
      <c r="AD91" s="3618">
        <f t="shared" si="43"/>
        <v>302.6816</v>
      </c>
      <c r="AE91" s="3633" t="s">
        <v>720</v>
      </c>
      <c r="AF91" s="959" t="s">
        <v>6218</v>
      </c>
      <c r="AG91" s="3620" t="s">
        <v>416</v>
      </c>
      <c r="AH91" s="3620"/>
      <c r="AI91" s="3620"/>
      <c r="AJ91" s="3620"/>
      <c r="AK91" s="959">
        <f>I91</f>
        <v>128</v>
      </c>
      <c r="AL91" s="959"/>
      <c r="AM91" s="959"/>
      <c r="AN91" s="959"/>
      <c r="AO91" s="959"/>
      <c r="AP91" s="3618">
        <f>I91</f>
        <v>128</v>
      </c>
      <c r="AQ91" s="3618"/>
      <c r="AR91" s="3626"/>
      <c r="AS91" s="3626">
        <f t="shared" si="46"/>
        <v>128</v>
      </c>
      <c r="AT91" s="3626"/>
      <c r="AU91" s="3626"/>
      <c r="AV91" s="3626"/>
      <c r="AW91" s="3626"/>
      <c r="AX91" s="3626"/>
      <c r="AY91" s="3626"/>
      <c r="AZ91" s="3626"/>
      <c r="BA91" s="3626"/>
      <c r="BB91" s="3626"/>
      <c r="BC91" s="3626"/>
      <c r="BD91" s="3626"/>
      <c r="BE91" s="3626"/>
      <c r="BG91" s="3626"/>
      <c r="BH91" s="3626"/>
      <c r="BI91" s="3626" t="s">
        <v>89</v>
      </c>
      <c r="BJ91" s="3626"/>
      <c r="BK91" s="3626"/>
      <c r="BL91" s="3626"/>
      <c r="BM91" s="3626"/>
      <c r="BN91" s="3626"/>
      <c r="BO91" s="4055">
        <f>I91</f>
        <v>128</v>
      </c>
      <c r="BP91" s="3627"/>
      <c r="BQ91" s="3627">
        <f t="shared" si="27"/>
        <v>128</v>
      </c>
      <c r="BR91" s="3627">
        <f t="shared" si="28"/>
        <v>0</v>
      </c>
      <c r="BS91" s="4056"/>
      <c r="BT91" s="4057"/>
    </row>
    <row r="92" s="3566" customFormat="1" ht="50" customHeight="1" spans="1:72">
      <c r="A92" s="3635">
        <v>45653</v>
      </c>
      <c r="B92" s="3617" t="s">
        <v>3012</v>
      </c>
      <c r="C92" s="3617" t="s">
        <v>569</v>
      </c>
      <c r="D92" s="3624">
        <v>4500154887</v>
      </c>
      <c r="E92" s="3618" t="s">
        <v>3013</v>
      </c>
      <c r="F92" s="3617" t="s">
        <v>6389</v>
      </c>
      <c r="G92" s="959" t="s">
        <v>6281</v>
      </c>
      <c r="H92" s="959" t="s">
        <v>6292</v>
      </c>
      <c r="I92" s="3618">
        <v>512</v>
      </c>
      <c r="J92" s="3618">
        <v>0</v>
      </c>
      <c r="K92" s="3618">
        <v>32</v>
      </c>
      <c r="L92" s="4052">
        <f t="shared" si="42"/>
        <v>16</v>
      </c>
      <c r="M92" s="3619">
        <v>45709</v>
      </c>
      <c r="N92" s="3619">
        <v>45705</v>
      </c>
      <c r="O92" s="3618"/>
      <c r="P92" s="959">
        <f>16025-3514</f>
        <v>12511</v>
      </c>
      <c r="Q92" s="959"/>
      <c r="R92" s="959"/>
      <c r="S92" s="959"/>
      <c r="T92" s="4053"/>
      <c r="U92" s="3620">
        <f>24812-3514</f>
        <v>21298</v>
      </c>
      <c r="V92" s="3640">
        <f>21535-2811</f>
        <v>18724</v>
      </c>
      <c r="W92" s="3640">
        <f>21217-702</f>
        <v>20515</v>
      </c>
      <c r="X92" s="3640" t="s">
        <v>6390</v>
      </c>
      <c r="Y92" s="3640" t="s">
        <v>6391</v>
      </c>
      <c r="Z92" s="3623"/>
      <c r="AA92" s="3620" t="s">
        <v>6392</v>
      </c>
      <c r="AB92" s="3624" t="s">
        <v>1285</v>
      </c>
      <c r="AC92" s="3686">
        <v>2.295</v>
      </c>
      <c r="AD92" s="3618">
        <f t="shared" si="43"/>
        <v>1175.04</v>
      </c>
      <c r="AE92" s="3633" t="s">
        <v>3017</v>
      </c>
      <c r="AF92" s="959" t="s">
        <v>6106</v>
      </c>
      <c r="AG92" s="3620" t="s">
        <v>416</v>
      </c>
      <c r="AH92" s="3620"/>
      <c r="AI92" s="3620"/>
      <c r="AJ92" s="3620"/>
      <c r="AK92" s="959"/>
      <c r="AL92" s="959"/>
      <c r="AM92" s="959">
        <f>I92</f>
        <v>512</v>
      </c>
      <c r="AN92" s="959"/>
      <c r="AO92" s="959"/>
      <c r="AP92" s="959">
        <v>448</v>
      </c>
      <c r="AQ92" s="959"/>
      <c r="AR92" s="3626"/>
      <c r="AS92" s="3626">
        <f t="shared" si="46"/>
        <v>512</v>
      </c>
      <c r="AT92" s="3626"/>
      <c r="AU92" s="3626"/>
      <c r="AV92" s="3626"/>
      <c r="AW92" s="3626"/>
      <c r="AX92" s="3626"/>
      <c r="AY92" s="3626"/>
      <c r="AZ92" s="3626"/>
      <c r="BA92" s="3626"/>
      <c r="BB92" s="3626"/>
      <c r="BC92" s="3626"/>
      <c r="BD92" s="3626"/>
      <c r="BE92" s="3626"/>
      <c r="BG92" s="3626"/>
      <c r="BH92" s="3626"/>
      <c r="BI92" s="3626" t="s">
        <v>89</v>
      </c>
      <c r="BJ92" s="3626"/>
      <c r="BK92" s="3626">
        <f>I92</f>
        <v>512</v>
      </c>
      <c r="BL92" s="3626"/>
      <c r="BM92" s="3626"/>
      <c r="BN92" s="3626"/>
      <c r="BO92" s="4055"/>
      <c r="BP92" s="3627"/>
      <c r="BQ92" s="3627">
        <f t="shared" si="27"/>
        <v>512</v>
      </c>
      <c r="BR92" s="3627">
        <f t="shared" si="28"/>
        <v>0</v>
      </c>
      <c r="BS92" s="4056"/>
      <c r="BT92" s="4057"/>
    </row>
    <row r="93" s="3566" customFormat="1" ht="50" customHeight="1" spans="1:72">
      <c r="A93" s="3635">
        <v>45652</v>
      </c>
      <c r="B93" s="3617" t="s">
        <v>2057</v>
      </c>
      <c r="C93" s="3617" t="s">
        <v>2058</v>
      </c>
      <c r="D93" s="3624">
        <v>4500154800</v>
      </c>
      <c r="E93" s="3618" t="s">
        <v>6393</v>
      </c>
      <c r="F93" s="3617" t="s">
        <v>6394</v>
      </c>
      <c r="G93" s="959" t="s">
        <v>6223</v>
      </c>
      <c r="H93" s="959" t="s">
        <v>6272</v>
      </c>
      <c r="I93" s="3618">
        <v>512</v>
      </c>
      <c r="J93" s="3618">
        <v>0</v>
      </c>
      <c r="K93" s="3618">
        <v>32</v>
      </c>
      <c r="L93" s="4052">
        <f t="shared" si="42"/>
        <v>16</v>
      </c>
      <c r="M93" s="3619">
        <v>45709</v>
      </c>
      <c r="N93" s="3619">
        <v>45705</v>
      </c>
      <c r="O93" s="3618"/>
      <c r="P93" s="959" t="s">
        <v>82</v>
      </c>
      <c r="Q93" s="959"/>
      <c r="R93" s="959"/>
      <c r="S93" s="959"/>
      <c r="T93" s="4053"/>
      <c r="U93" s="3620" t="s">
        <v>3015</v>
      </c>
      <c r="V93" s="3640" t="s">
        <v>1307</v>
      </c>
      <c r="W93" s="3640"/>
      <c r="X93" s="3640" t="s">
        <v>6390</v>
      </c>
      <c r="Y93" s="3640" t="s">
        <v>6391</v>
      </c>
      <c r="Z93" s="3623"/>
      <c r="AA93" s="3620" t="s">
        <v>6395</v>
      </c>
      <c r="AB93" s="3624" t="s">
        <v>380</v>
      </c>
      <c r="AC93" s="3618">
        <v>2.3647</v>
      </c>
      <c r="AD93" s="3618">
        <f t="shared" si="43"/>
        <v>1210.7264</v>
      </c>
      <c r="AE93" s="3633" t="s">
        <v>6396</v>
      </c>
      <c r="AF93" s="959" t="s">
        <v>6276</v>
      </c>
      <c r="AG93" s="3620" t="s">
        <v>416</v>
      </c>
      <c r="AH93" s="3620"/>
      <c r="AI93" s="3620"/>
      <c r="AJ93" s="3620"/>
      <c r="AK93" s="959"/>
      <c r="AL93" s="959"/>
      <c r="AM93" s="959">
        <f>I93</f>
        <v>512</v>
      </c>
      <c r="AN93" s="959"/>
      <c r="AO93" s="959"/>
      <c r="AP93" s="959">
        <v>160</v>
      </c>
      <c r="AQ93" s="959"/>
      <c r="AR93" s="3626"/>
      <c r="AS93" s="3626">
        <f t="shared" si="46"/>
        <v>512</v>
      </c>
      <c r="AT93" s="3626"/>
      <c r="AU93" s="3626"/>
      <c r="AV93" s="3626"/>
      <c r="AW93" s="3626"/>
      <c r="AX93" s="3626"/>
      <c r="AY93" s="3626"/>
      <c r="AZ93" s="3626"/>
      <c r="BA93" s="3626"/>
      <c r="BB93" s="3626"/>
      <c r="BC93" s="3626"/>
      <c r="BD93" s="3626"/>
      <c r="BE93" s="3626"/>
      <c r="BG93" s="3626"/>
      <c r="BH93" s="3626"/>
      <c r="BI93" s="3626" t="s">
        <v>89</v>
      </c>
      <c r="BJ93" s="3626"/>
      <c r="BK93" s="3626"/>
      <c r="BL93" s="3626">
        <f>I93</f>
        <v>512</v>
      </c>
      <c r="BM93" s="3626"/>
      <c r="BN93" s="3626"/>
      <c r="BO93" s="4055"/>
      <c r="BP93" s="3627"/>
      <c r="BQ93" s="3627">
        <f t="shared" si="27"/>
        <v>512</v>
      </c>
      <c r="BR93" s="3627">
        <f t="shared" si="28"/>
        <v>0</v>
      </c>
      <c r="BS93" s="4056"/>
      <c r="BT93" s="4057"/>
    </row>
    <row r="94" s="3566" customFormat="1" ht="50" customHeight="1" spans="1:72">
      <c r="A94" s="3635">
        <v>45611</v>
      </c>
      <c r="B94" s="3617" t="s">
        <v>737</v>
      </c>
      <c r="C94" s="959" t="s">
        <v>738</v>
      </c>
      <c r="D94" s="3618">
        <v>4500151307</v>
      </c>
      <c r="E94" s="3618"/>
      <c r="F94" s="959" t="s">
        <v>6397</v>
      </c>
      <c r="G94" s="959" t="s">
        <v>6124</v>
      </c>
      <c r="H94" s="3618" t="s">
        <v>6063</v>
      </c>
      <c r="I94" s="3618">
        <v>96</v>
      </c>
      <c r="J94" s="3618">
        <v>0</v>
      </c>
      <c r="K94" s="3618">
        <v>12</v>
      </c>
      <c r="L94" s="4052">
        <f t="shared" si="42"/>
        <v>8</v>
      </c>
      <c r="M94" s="3619">
        <v>45712</v>
      </c>
      <c r="N94" s="3619">
        <v>45708</v>
      </c>
      <c r="O94" s="3618"/>
      <c r="P94" s="959" t="s">
        <v>82</v>
      </c>
      <c r="Q94" s="959"/>
      <c r="R94" s="959"/>
      <c r="S94" s="959"/>
      <c r="T94" s="4053"/>
      <c r="U94" s="3645" t="s">
        <v>740</v>
      </c>
      <c r="V94" s="3640" t="s">
        <v>3042</v>
      </c>
      <c r="W94" s="3640"/>
      <c r="X94" s="3640" t="s">
        <v>3043</v>
      </c>
      <c r="Y94" s="3640" t="s">
        <v>743</v>
      </c>
      <c r="Z94" s="3618"/>
      <c r="AA94" s="3620" t="s">
        <v>6398</v>
      </c>
      <c r="AB94" s="3624" t="s">
        <v>459</v>
      </c>
      <c r="AC94" s="3686">
        <v>2.3068</v>
      </c>
      <c r="AD94" s="3618">
        <f t="shared" si="43"/>
        <v>221.4528</v>
      </c>
      <c r="AE94" s="3633" t="s">
        <v>3045</v>
      </c>
      <c r="AF94" s="959" t="s">
        <v>6126</v>
      </c>
      <c r="AG94" s="3620" t="s">
        <v>416</v>
      </c>
      <c r="AH94" s="3620"/>
      <c r="AI94" s="3620"/>
      <c r="AJ94" s="3620"/>
      <c r="AK94" s="959"/>
      <c r="AL94" s="959"/>
      <c r="AM94" s="959">
        <f>I94</f>
        <v>96</v>
      </c>
      <c r="AN94" s="959"/>
      <c r="AO94" s="959"/>
      <c r="AP94" s="3618">
        <f t="shared" ref="AP94:AP119" si="55">I94</f>
        <v>96</v>
      </c>
      <c r="AQ94" s="3618"/>
      <c r="AR94" s="3626"/>
      <c r="AS94" s="3626">
        <f t="shared" si="46"/>
        <v>96</v>
      </c>
      <c r="AT94" s="3626"/>
      <c r="AU94" s="3626"/>
      <c r="AV94" s="3626"/>
      <c r="AW94" s="3626">
        <f>I94/6</f>
        <v>16</v>
      </c>
      <c r="AX94" s="3626"/>
      <c r="AY94" s="3626"/>
      <c r="AZ94" s="3626"/>
      <c r="BA94" s="3626"/>
      <c r="BB94" s="3626"/>
      <c r="BC94" s="3626"/>
      <c r="BD94" s="3626"/>
      <c r="BE94" s="3626"/>
      <c r="BG94" s="3626"/>
      <c r="BH94" s="3626"/>
      <c r="BI94" s="3626" t="s">
        <v>89</v>
      </c>
      <c r="BJ94" s="3626">
        <f>I94/60*2</f>
        <v>3.2</v>
      </c>
      <c r="BK94" s="3626">
        <f>I94/60*10</f>
        <v>16</v>
      </c>
      <c r="BL94" s="3626">
        <f>I94/60*10</f>
        <v>16</v>
      </c>
      <c r="BM94" s="3626">
        <f>I94/60*8</f>
        <v>12.8</v>
      </c>
      <c r="BN94" s="3626">
        <f>I94/60*10</f>
        <v>16</v>
      </c>
      <c r="BO94" s="4055">
        <f>I94/60*10</f>
        <v>16</v>
      </c>
      <c r="BP94" s="3627">
        <f>I94/60*10</f>
        <v>16</v>
      </c>
      <c r="BQ94" s="3627">
        <f t="shared" si="27"/>
        <v>96</v>
      </c>
      <c r="BR94" s="3627">
        <f t="shared" si="28"/>
        <v>0</v>
      </c>
      <c r="BS94" s="4056"/>
      <c r="BT94" s="4057"/>
    </row>
    <row r="95" s="3566" customFormat="1" ht="50" customHeight="1" spans="1:72">
      <c r="A95" s="3635">
        <v>45644</v>
      </c>
      <c r="B95" s="3617" t="s">
        <v>6177</v>
      </c>
      <c r="C95" s="3617" t="s">
        <v>506</v>
      </c>
      <c r="D95" s="3624">
        <v>4500153570</v>
      </c>
      <c r="E95" s="3618">
        <v>45370488</v>
      </c>
      <c r="F95" s="3617" t="s">
        <v>6399</v>
      </c>
      <c r="G95" s="959" t="s">
        <v>6179</v>
      </c>
      <c r="H95" s="3618" t="s">
        <v>6063</v>
      </c>
      <c r="I95" s="3618">
        <v>500</v>
      </c>
      <c r="J95" s="3618">
        <v>0</v>
      </c>
      <c r="K95" s="3618">
        <v>2</v>
      </c>
      <c r="L95" s="4052">
        <f t="shared" si="42"/>
        <v>250</v>
      </c>
      <c r="M95" s="3619">
        <v>45713</v>
      </c>
      <c r="N95" s="3619">
        <v>45709</v>
      </c>
      <c r="O95" s="3618"/>
      <c r="P95" s="959" t="s">
        <v>82</v>
      </c>
      <c r="Q95" s="959"/>
      <c r="R95" s="959"/>
      <c r="S95" s="959"/>
      <c r="T95" s="4053"/>
      <c r="U95" s="3620" t="s">
        <v>785</v>
      </c>
      <c r="V95" s="3640" t="s">
        <v>6180</v>
      </c>
      <c r="W95" s="3640"/>
      <c r="X95" s="3640" t="s">
        <v>98</v>
      </c>
      <c r="Y95" s="3640"/>
      <c r="Z95" s="3623"/>
      <c r="AA95" s="3620" t="s">
        <v>6400</v>
      </c>
      <c r="AB95" s="3624" t="s">
        <v>513</v>
      </c>
      <c r="AC95" s="3618">
        <v>2.5234</v>
      </c>
      <c r="AD95" s="3618">
        <f t="shared" si="43"/>
        <v>1261.7</v>
      </c>
      <c r="AE95" s="3633" t="s">
        <v>6401</v>
      </c>
      <c r="AF95" s="959" t="s">
        <v>6179</v>
      </c>
      <c r="AG95" s="3620" t="s">
        <v>416</v>
      </c>
      <c r="AH95" s="3620"/>
      <c r="AI95" s="3620"/>
      <c r="AJ95" s="3620"/>
      <c r="AK95" s="959">
        <f>I95</f>
        <v>500</v>
      </c>
      <c r="AL95" s="959"/>
      <c r="AM95" s="959"/>
      <c r="AN95" s="959"/>
      <c r="AO95" s="959"/>
      <c r="AP95" s="3618">
        <f t="shared" si="55"/>
        <v>500</v>
      </c>
      <c r="AQ95" s="3618"/>
      <c r="AR95" s="3626"/>
      <c r="AS95" s="3626">
        <f t="shared" si="46"/>
        <v>500</v>
      </c>
      <c r="AT95" s="3626"/>
      <c r="AU95" s="3626"/>
      <c r="AV95" s="3626"/>
      <c r="AW95" s="3626"/>
      <c r="AX95" s="3626"/>
      <c r="AY95" s="3626"/>
      <c r="AZ95" s="3626"/>
      <c r="BA95" s="3626"/>
      <c r="BB95" s="3626"/>
      <c r="BC95" s="3626"/>
      <c r="BD95" s="3626"/>
      <c r="BE95" s="3626">
        <f>I95/2</f>
        <v>250</v>
      </c>
      <c r="BF95" s="3571"/>
      <c r="BG95" s="3626"/>
      <c r="BH95" s="3626"/>
      <c r="BI95" s="3626" t="s">
        <v>89</v>
      </c>
      <c r="BJ95" s="3626">
        <f>I95/60*2</f>
        <v>16.6666666666667</v>
      </c>
      <c r="BK95" s="3626">
        <f>I95/60*10</f>
        <v>83.3333333333333</v>
      </c>
      <c r="BL95" s="3626">
        <f>I95/60*10</f>
        <v>83.3333333333333</v>
      </c>
      <c r="BM95" s="3626">
        <f>I95/60*8</f>
        <v>66.6666666666667</v>
      </c>
      <c r="BN95" s="3626">
        <f>I95/60*10</f>
        <v>83.3333333333333</v>
      </c>
      <c r="BO95" s="4055">
        <f>I95/60*10</f>
        <v>83.3333333333333</v>
      </c>
      <c r="BP95" s="3627">
        <f>I95/60*10</f>
        <v>83.3333333333333</v>
      </c>
      <c r="BQ95" s="3627">
        <f t="shared" si="27"/>
        <v>500</v>
      </c>
      <c r="BR95" s="3627">
        <f t="shared" si="28"/>
        <v>0</v>
      </c>
      <c r="BS95" s="4056"/>
      <c r="BT95" s="4057"/>
    </row>
    <row r="96" s="3566" customFormat="1" ht="50" customHeight="1" spans="1:72">
      <c r="A96" s="3635">
        <v>45644</v>
      </c>
      <c r="B96" s="3617" t="s">
        <v>6177</v>
      </c>
      <c r="C96" s="3617" t="s">
        <v>506</v>
      </c>
      <c r="D96" s="3624">
        <v>4500153570</v>
      </c>
      <c r="E96" s="3618">
        <v>45370489</v>
      </c>
      <c r="F96" s="3617" t="s">
        <v>6402</v>
      </c>
      <c r="G96" s="959" t="s">
        <v>6179</v>
      </c>
      <c r="H96" s="3618" t="s">
        <v>6063</v>
      </c>
      <c r="I96" s="3618">
        <v>1000</v>
      </c>
      <c r="J96" s="3618">
        <v>0</v>
      </c>
      <c r="K96" s="3618">
        <v>2</v>
      </c>
      <c r="L96" s="4052">
        <f t="shared" si="42"/>
        <v>500</v>
      </c>
      <c r="M96" s="3619">
        <v>45713</v>
      </c>
      <c r="N96" s="3619">
        <v>45709</v>
      </c>
      <c r="O96" s="3618"/>
      <c r="P96" s="959" t="s">
        <v>82</v>
      </c>
      <c r="Q96" s="959"/>
      <c r="R96" s="959"/>
      <c r="S96" s="959"/>
      <c r="T96" s="4053"/>
      <c r="U96" s="3620" t="s">
        <v>785</v>
      </c>
      <c r="V96" s="3640" t="s">
        <v>6180</v>
      </c>
      <c r="W96" s="3640"/>
      <c r="X96" s="3640" t="s">
        <v>98</v>
      </c>
      <c r="Y96" s="3640"/>
      <c r="Z96" s="3623"/>
      <c r="AA96" s="3620" t="s">
        <v>6400</v>
      </c>
      <c r="AB96" s="3624" t="s">
        <v>513</v>
      </c>
      <c r="AC96" s="3618">
        <v>2.5234</v>
      </c>
      <c r="AD96" s="3618">
        <f t="shared" si="43"/>
        <v>2523.4</v>
      </c>
      <c r="AE96" s="3633" t="s">
        <v>6401</v>
      </c>
      <c r="AF96" s="959" t="s">
        <v>6179</v>
      </c>
      <c r="AG96" s="3620" t="s">
        <v>416</v>
      </c>
      <c r="AH96" s="3620"/>
      <c r="AI96" s="3620"/>
      <c r="AJ96" s="3620"/>
      <c r="AK96" s="959">
        <f>I96</f>
        <v>1000</v>
      </c>
      <c r="AL96" s="959"/>
      <c r="AM96" s="959"/>
      <c r="AN96" s="959"/>
      <c r="AO96" s="959"/>
      <c r="AP96" s="3618">
        <f t="shared" si="55"/>
        <v>1000</v>
      </c>
      <c r="AQ96" s="3618"/>
      <c r="AR96" s="3626"/>
      <c r="AS96" s="3626">
        <f t="shared" si="46"/>
        <v>1000</v>
      </c>
      <c r="AT96" s="3626"/>
      <c r="AU96" s="3626"/>
      <c r="AV96" s="3626"/>
      <c r="AW96" s="3626"/>
      <c r="AX96" s="3626"/>
      <c r="AY96" s="3626"/>
      <c r="AZ96" s="3626"/>
      <c r="BA96" s="3626"/>
      <c r="BB96" s="3626"/>
      <c r="BC96" s="3626"/>
      <c r="BD96" s="3626"/>
      <c r="BE96" s="3626">
        <f>I96/2</f>
        <v>500</v>
      </c>
      <c r="BF96" s="3571"/>
      <c r="BG96" s="3626"/>
      <c r="BH96" s="3626"/>
      <c r="BI96" s="3626" t="s">
        <v>89</v>
      </c>
      <c r="BJ96" s="3626">
        <f>I96/60*2</f>
        <v>33.3333333333333</v>
      </c>
      <c r="BK96" s="3626">
        <f>I96/60*10</f>
        <v>166.666666666667</v>
      </c>
      <c r="BL96" s="3626">
        <f>I96/60*10</f>
        <v>166.666666666667</v>
      </c>
      <c r="BM96" s="3626">
        <f>I96/60*8</f>
        <v>133.333333333333</v>
      </c>
      <c r="BN96" s="3626">
        <f>I96/60*10</f>
        <v>166.666666666667</v>
      </c>
      <c r="BO96" s="4055">
        <f>I96/60*10</f>
        <v>166.666666666667</v>
      </c>
      <c r="BP96" s="3627">
        <f>I96/60*10</f>
        <v>166.666666666667</v>
      </c>
      <c r="BQ96" s="3627">
        <f t="shared" si="27"/>
        <v>1000</v>
      </c>
      <c r="BR96" s="3627">
        <f t="shared" si="28"/>
        <v>0</v>
      </c>
      <c r="BS96" s="4056"/>
      <c r="BT96" s="4057"/>
    </row>
    <row r="97" s="3566" customFormat="1" ht="50" customHeight="1" spans="1:72">
      <c r="A97" s="3635">
        <v>45644</v>
      </c>
      <c r="B97" s="3617" t="s">
        <v>6177</v>
      </c>
      <c r="C97" s="3617" t="s">
        <v>506</v>
      </c>
      <c r="D97" s="3624">
        <v>4500153570</v>
      </c>
      <c r="E97" s="3618">
        <v>45370490</v>
      </c>
      <c r="F97" s="3617" t="s">
        <v>6403</v>
      </c>
      <c r="G97" s="959" t="s">
        <v>6179</v>
      </c>
      <c r="H97" s="3618" t="s">
        <v>6063</v>
      </c>
      <c r="I97" s="3618">
        <v>500</v>
      </c>
      <c r="J97" s="3618">
        <v>0</v>
      </c>
      <c r="K97" s="3618">
        <v>2</v>
      </c>
      <c r="L97" s="4052">
        <f t="shared" si="42"/>
        <v>250</v>
      </c>
      <c r="M97" s="3619">
        <v>45713</v>
      </c>
      <c r="N97" s="3619">
        <v>45709</v>
      </c>
      <c r="O97" s="3618"/>
      <c r="P97" s="959" t="s">
        <v>82</v>
      </c>
      <c r="Q97" s="959"/>
      <c r="R97" s="959"/>
      <c r="S97" s="959"/>
      <c r="T97" s="4053"/>
      <c r="U97" s="3620" t="s">
        <v>785</v>
      </c>
      <c r="V97" s="3640" t="s">
        <v>6180</v>
      </c>
      <c r="W97" s="3640"/>
      <c r="X97" s="3640" t="s">
        <v>98</v>
      </c>
      <c r="Y97" s="3640"/>
      <c r="Z97" s="3623"/>
      <c r="AA97" s="3620" t="s">
        <v>6400</v>
      </c>
      <c r="AB97" s="3624" t="s">
        <v>513</v>
      </c>
      <c r="AC97" s="3618">
        <v>2.5234</v>
      </c>
      <c r="AD97" s="3618">
        <f t="shared" si="43"/>
        <v>1261.7</v>
      </c>
      <c r="AE97" s="3633" t="s">
        <v>6401</v>
      </c>
      <c r="AF97" s="959" t="s">
        <v>6179</v>
      </c>
      <c r="AG97" s="3620" t="s">
        <v>416</v>
      </c>
      <c r="AH97" s="3620"/>
      <c r="AI97" s="3620"/>
      <c r="AJ97" s="3620"/>
      <c r="AK97" s="959">
        <f>I97</f>
        <v>500</v>
      </c>
      <c r="AL97" s="959"/>
      <c r="AM97" s="959"/>
      <c r="AN97" s="959"/>
      <c r="AO97" s="959"/>
      <c r="AP97" s="3618">
        <f t="shared" si="55"/>
        <v>500</v>
      </c>
      <c r="AQ97" s="3618"/>
      <c r="AR97" s="3626"/>
      <c r="AS97" s="3626">
        <f t="shared" si="46"/>
        <v>500</v>
      </c>
      <c r="AT97" s="3626"/>
      <c r="AU97" s="3626"/>
      <c r="AV97" s="3626"/>
      <c r="AW97" s="3626"/>
      <c r="AX97" s="3626"/>
      <c r="AY97" s="3626"/>
      <c r="AZ97" s="3626"/>
      <c r="BA97" s="3626"/>
      <c r="BB97" s="3626"/>
      <c r="BC97" s="3626"/>
      <c r="BD97" s="3626"/>
      <c r="BE97" s="3626">
        <f>I97/2</f>
        <v>250</v>
      </c>
      <c r="BF97" s="3571"/>
      <c r="BG97" s="3626"/>
      <c r="BH97" s="3626"/>
      <c r="BI97" s="3626" t="s">
        <v>89</v>
      </c>
      <c r="BJ97" s="3626">
        <f>I97/60*2</f>
        <v>16.6666666666667</v>
      </c>
      <c r="BK97" s="3626">
        <f>I97/60*10</f>
        <v>83.3333333333333</v>
      </c>
      <c r="BL97" s="3626">
        <f>I97/60*10</f>
        <v>83.3333333333333</v>
      </c>
      <c r="BM97" s="3626">
        <f>I97/60*8</f>
        <v>66.6666666666667</v>
      </c>
      <c r="BN97" s="3626">
        <f>I97/60*10</f>
        <v>83.3333333333333</v>
      </c>
      <c r="BO97" s="4055">
        <f>I97/60*10</f>
        <v>83.3333333333333</v>
      </c>
      <c r="BP97" s="3627">
        <f>I97/60*10</f>
        <v>83.3333333333333</v>
      </c>
      <c r="BQ97" s="3627">
        <f t="shared" si="27"/>
        <v>500</v>
      </c>
      <c r="BR97" s="3627">
        <f t="shared" si="28"/>
        <v>0</v>
      </c>
      <c r="BS97" s="4056"/>
      <c r="BT97" s="4057"/>
    </row>
    <row r="98" s="3566" customFormat="1" ht="50" customHeight="1" spans="1:72">
      <c r="A98" s="3635">
        <v>45657</v>
      </c>
      <c r="B98" s="3617" t="s">
        <v>361</v>
      </c>
      <c r="C98" s="3617" t="s">
        <v>91</v>
      </c>
      <c r="D98" s="3624">
        <v>4500155048</v>
      </c>
      <c r="E98" s="3618" t="s">
        <v>6404</v>
      </c>
      <c r="F98" s="3617" t="s">
        <v>6405</v>
      </c>
      <c r="G98" s="959" t="s">
        <v>6218</v>
      </c>
      <c r="H98" s="3618" t="s">
        <v>6092</v>
      </c>
      <c r="I98" s="3618">
        <v>64</v>
      </c>
      <c r="J98" s="3618">
        <v>0</v>
      </c>
      <c r="K98" s="3618">
        <v>32</v>
      </c>
      <c r="L98" s="4052">
        <f t="shared" ref="L98:L118" si="56">I98/K98</f>
        <v>2</v>
      </c>
      <c r="M98" s="3619">
        <v>45715</v>
      </c>
      <c r="N98" s="3619">
        <v>45712</v>
      </c>
      <c r="O98" s="3618"/>
      <c r="P98" s="959" t="s">
        <v>82</v>
      </c>
      <c r="Q98" s="959"/>
      <c r="R98" s="959"/>
      <c r="S98" s="959"/>
      <c r="T98" s="4053"/>
      <c r="U98" s="3620" t="s">
        <v>3071</v>
      </c>
      <c r="V98" s="3640" t="s">
        <v>824</v>
      </c>
      <c r="W98" s="3640"/>
      <c r="X98" s="3640" t="s">
        <v>98</v>
      </c>
      <c r="Y98" s="3640" t="s">
        <v>6406</v>
      </c>
      <c r="Z98" s="3623" t="s">
        <v>6407</v>
      </c>
      <c r="AA98" s="3620" t="s">
        <v>6408</v>
      </c>
      <c r="AB98" s="3624" t="s">
        <v>6409</v>
      </c>
      <c r="AC98" s="3618">
        <v>2.3647</v>
      </c>
      <c r="AD98" s="3618">
        <f t="shared" ref="AD98:AD107" si="57">AC98*I98</f>
        <v>151.3408</v>
      </c>
      <c r="AE98" s="3633" t="s">
        <v>6410</v>
      </c>
      <c r="AF98" s="959" t="s">
        <v>6218</v>
      </c>
      <c r="AG98" s="3620" t="s">
        <v>416</v>
      </c>
      <c r="AH98" s="3620"/>
      <c r="AI98" s="3620"/>
      <c r="AJ98" s="3620"/>
      <c r="AK98" s="959">
        <f t="shared" ref="AK98:AK107" si="58">I98</f>
        <v>64</v>
      </c>
      <c r="AL98" s="959"/>
      <c r="AM98" s="959"/>
      <c r="AN98" s="959"/>
      <c r="AO98" s="959"/>
      <c r="AP98" s="3618">
        <f t="shared" si="55"/>
        <v>64</v>
      </c>
      <c r="AQ98" s="3618"/>
      <c r="AR98" s="3626"/>
      <c r="AS98" s="3626">
        <f t="shared" si="46"/>
        <v>64</v>
      </c>
      <c r="AT98" s="3626"/>
      <c r="AU98" s="3626"/>
      <c r="AV98" s="3626"/>
      <c r="AW98" s="3626"/>
      <c r="AX98" s="3626"/>
      <c r="AY98" s="3626"/>
      <c r="AZ98" s="3626"/>
      <c r="BA98" s="3626"/>
      <c r="BB98" s="3626"/>
      <c r="BC98" s="3626"/>
      <c r="BD98" s="3626"/>
      <c r="BE98" s="3626"/>
      <c r="BF98" s="3626"/>
      <c r="BG98" s="3626"/>
      <c r="BH98" s="3626"/>
      <c r="BI98" s="3626" t="s">
        <v>89</v>
      </c>
      <c r="BJ98" s="3626"/>
      <c r="BK98" s="3626"/>
      <c r="BL98" s="3626"/>
      <c r="BM98" s="3626"/>
      <c r="BN98" s="3626"/>
      <c r="BO98" s="4055">
        <f>I98</f>
        <v>64</v>
      </c>
      <c r="BP98" s="3627"/>
      <c r="BQ98" s="3627">
        <f t="shared" si="27"/>
        <v>64</v>
      </c>
      <c r="BR98" s="3627">
        <f t="shared" si="28"/>
        <v>0</v>
      </c>
      <c r="BS98" s="4056"/>
      <c r="BT98" s="4057"/>
    </row>
    <row r="99" s="3566" customFormat="1" ht="50" customHeight="1" spans="1:72">
      <c r="A99" s="3635">
        <v>45657</v>
      </c>
      <c r="B99" s="3617" t="s">
        <v>361</v>
      </c>
      <c r="C99" s="3617" t="s">
        <v>91</v>
      </c>
      <c r="D99" s="3624">
        <v>4500155048</v>
      </c>
      <c r="E99" s="3618" t="s">
        <v>6411</v>
      </c>
      <c r="F99" s="3617" t="s">
        <v>6412</v>
      </c>
      <c r="G99" s="959" t="s">
        <v>6223</v>
      </c>
      <c r="H99" s="959" t="s">
        <v>6272</v>
      </c>
      <c r="I99" s="3618">
        <v>64</v>
      </c>
      <c r="J99" s="3618">
        <v>0</v>
      </c>
      <c r="K99" s="3618">
        <v>32</v>
      </c>
      <c r="L99" s="4052">
        <f t="shared" si="56"/>
        <v>2</v>
      </c>
      <c r="M99" s="3619">
        <v>45715</v>
      </c>
      <c r="N99" s="3619">
        <v>45712</v>
      </c>
      <c r="O99" s="3618"/>
      <c r="P99" s="959" t="s">
        <v>82</v>
      </c>
      <c r="Q99" s="959"/>
      <c r="R99" s="959"/>
      <c r="S99" s="959"/>
      <c r="T99" s="4053"/>
      <c r="U99" s="3620" t="s">
        <v>3071</v>
      </c>
      <c r="V99" s="3640" t="s">
        <v>824</v>
      </c>
      <c r="W99" s="3640"/>
      <c r="X99" s="3640" t="s">
        <v>98</v>
      </c>
      <c r="Y99" s="3640" t="s">
        <v>6406</v>
      </c>
      <c r="Z99" s="3623" t="s">
        <v>6407</v>
      </c>
      <c r="AA99" s="3620" t="s">
        <v>6408</v>
      </c>
      <c r="AB99" s="3624" t="s">
        <v>6409</v>
      </c>
      <c r="AC99" s="3618">
        <v>2.3647</v>
      </c>
      <c r="AD99" s="3618">
        <f t="shared" si="57"/>
        <v>151.3408</v>
      </c>
      <c r="AE99" s="3633" t="s">
        <v>6410</v>
      </c>
      <c r="AF99" s="959" t="s">
        <v>6223</v>
      </c>
      <c r="AG99" s="3620" t="s">
        <v>416</v>
      </c>
      <c r="AH99" s="3620"/>
      <c r="AI99" s="3620"/>
      <c r="AJ99" s="3620"/>
      <c r="AK99" s="959">
        <f t="shared" si="58"/>
        <v>64</v>
      </c>
      <c r="AL99" s="959"/>
      <c r="AM99" s="959"/>
      <c r="AN99" s="959"/>
      <c r="AO99" s="959"/>
      <c r="AP99" s="3618">
        <f t="shared" si="55"/>
        <v>64</v>
      </c>
      <c r="AQ99" s="3618"/>
      <c r="AR99" s="3626"/>
      <c r="AS99" s="3626">
        <f t="shared" si="46"/>
        <v>64</v>
      </c>
      <c r="AT99" s="3626"/>
      <c r="AU99" s="3626"/>
      <c r="AV99" s="3626"/>
      <c r="AW99" s="3626"/>
      <c r="AX99" s="3626"/>
      <c r="AY99" s="3626"/>
      <c r="AZ99" s="3626"/>
      <c r="BA99" s="3626"/>
      <c r="BB99" s="3626"/>
      <c r="BC99" s="3626"/>
      <c r="BD99" s="3626"/>
      <c r="BE99" s="3626"/>
      <c r="BF99" s="3626"/>
      <c r="BG99" s="3626"/>
      <c r="BH99" s="3626"/>
      <c r="BI99" s="3626" t="s">
        <v>89</v>
      </c>
      <c r="BJ99" s="3626"/>
      <c r="BK99" s="3626"/>
      <c r="BL99" s="3626">
        <f>I99</f>
        <v>64</v>
      </c>
      <c r="BM99" s="3626"/>
      <c r="BN99" s="3626"/>
      <c r="BO99" s="4055"/>
      <c r="BP99" s="3627"/>
      <c r="BQ99" s="3627">
        <f t="shared" si="27"/>
        <v>64</v>
      </c>
      <c r="BR99" s="3627">
        <f t="shared" si="28"/>
        <v>0</v>
      </c>
      <c r="BS99" s="4056"/>
      <c r="BT99" s="4057"/>
    </row>
    <row r="100" s="3566" customFormat="1" ht="50" customHeight="1" spans="1:72">
      <c r="A100" s="3635">
        <v>45657</v>
      </c>
      <c r="B100" s="3617" t="s">
        <v>361</v>
      </c>
      <c r="C100" s="3617" t="s">
        <v>91</v>
      </c>
      <c r="D100" s="3624">
        <v>4500155048</v>
      </c>
      <c r="E100" s="3618" t="s">
        <v>6413</v>
      </c>
      <c r="F100" s="3617" t="s">
        <v>6414</v>
      </c>
      <c r="G100" s="959" t="s">
        <v>6281</v>
      </c>
      <c r="H100" s="959" t="s">
        <v>6292</v>
      </c>
      <c r="I100" s="3618">
        <v>64</v>
      </c>
      <c r="J100" s="3618">
        <v>0</v>
      </c>
      <c r="K100" s="3618">
        <v>32</v>
      </c>
      <c r="L100" s="4052">
        <f t="shared" si="56"/>
        <v>2</v>
      </c>
      <c r="M100" s="3619">
        <v>45715</v>
      </c>
      <c r="N100" s="3619">
        <v>45712</v>
      </c>
      <c r="O100" s="3618"/>
      <c r="P100" s="959" t="s">
        <v>82</v>
      </c>
      <c r="Q100" s="959"/>
      <c r="R100" s="959"/>
      <c r="S100" s="959"/>
      <c r="T100" s="4053"/>
      <c r="U100" s="3620" t="s">
        <v>3071</v>
      </c>
      <c r="V100" s="3640" t="s">
        <v>824</v>
      </c>
      <c r="W100" s="3640"/>
      <c r="X100" s="3640" t="s">
        <v>98</v>
      </c>
      <c r="Y100" s="3640" t="s">
        <v>6406</v>
      </c>
      <c r="Z100" s="3623" t="s">
        <v>6407</v>
      </c>
      <c r="AA100" s="3620" t="s">
        <v>6408</v>
      </c>
      <c r="AB100" s="3624" t="s">
        <v>6409</v>
      </c>
      <c r="AC100" s="3686">
        <v>2.3647</v>
      </c>
      <c r="AD100" s="3618">
        <f t="shared" si="57"/>
        <v>151.3408</v>
      </c>
      <c r="AE100" s="3633" t="s">
        <v>6410</v>
      </c>
      <c r="AF100" s="959" t="s">
        <v>6281</v>
      </c>
      <c r="AG100" s="3620" t="s">
        <v>416</v>
      </c>
      <c r="AH100" s="3620"/>
      <c r="AI100" s="3620"/>
      <c r="AJ100" s="3620"/>
      <c r="AK100" s="959">
        <f t="shared" si="58"/>
        <v>64</v>
      </c>
      <c r="AL100" s="959"/>
      <c r="AM100" s="959"/>
      <c r="AN100" s="959"/>
      <c r="AO100" s="959"/>
      <c r="AP100" s="3618">
        <f t="shared" si="55"/>
        <v>64</v>
      </c>
      <c r="AQ100" s="3618"/>
      <c r="AR100" s="3626"/>
      <c r="AS100" s="3626">
        <f t="shared" si="46"/>
        <v>64</v>
      </c>
      <c r="AT100" s="3626"/>
      <c r="AU100" s="3626"/>
      <c r="AV100" s="3626"/>
      <c r="AW100" s="3626"/>
      <c r="AX100" s="3626"/>
      <c r="AY100" s="3626"/>
      <c r="AZ100" s="3626"/>
      <c r="BA100" s="3626"/>
      <c r="BB100" s="3626"/>
      <c r="BC100" s="3626"/>
      <c r="BD100" s="3626"/>
      <c r="BE100" s="3626"/>
      <c r="BF100" s="3626"/>
      <c r="BG100" s="3626"/>
      <c r="BH100" s="3626"/>
      <c r="BI100" s="3626" t="s">
        <v>89</v>
      </c>
      <c r="BJ100" s="3626"/>
      <c r="BK100" s="3626">
        <f>I100</f>
        <v>64</v>
      </c>
      <c r="BL100" s="3626"/>
      <c r="BM100" s="3626"/>
      <c r="BN100" s="3626"/>
      <c r="BO100" s="4055"/>
      <c r="BP100" s="3627"/>
      <c r="BQ100" s="3627">
        <f t="shared" si="27"/>
        <v>64</v>
      </c>
      <c r="BR100" s="3627">
        <f t="shared" si="28"/>
        <v>0</v>
      </c>
      <c r="BS100" s="4056"/>
      <c r="BT100" s="4057"/>
    </row>
    <row r="101" s="3566" customFormat="1" ht="50" customHeight="1" spans="1:72">
      <c r="A101" s="3635">
        <v>45657</v>
      </c>
      <c r="B101" s="3617" t="s">
        <v>361</v>
      </c>
      <c r="C101" s="3617" t="s">
        <v>91</v>
      </c>
      <c r="D101" s="3624">
        <v>4500155020</v>
      </c>
      <c r="E101" s="3618" t="s">
        <v>6415</v>
      </c>
      <c r="F101" s="3617" t="s">
        <v>6416</v>
      </c>
      <c r="G101" s="959" t="s">
        <v>6218</v>
      </c>
      <c r="H101" s="3618" t="s">
        <v>6092</v>
      </c>
      <c r="I101" s="3618">
        <v>224</v>
      </c>
      <c r="J101" s="3618">
        <v>0</v>
      </c>
      <c r="K101" s="3618">
        <v>32</v>
      </c>
      <c r="L101" s="4052">
        <f t="shared" si="56"/>
        <v>7</v>
      </c>
      <c r="M101" s="3619">
        <v>45715</v>
      </c>
      <c r="N101" s="3619">
        <v>45712</v>
      </c>
      <c r="O101" s="3618"/>
      <c r="P101" s="959" t="s">
        <v>82</v>
      </c>
      <c r="Q101" s="959"/>
      <c r="R101" s="959"/>
      <c r="S101" s="959"/>
      <c r="T101" s="4053"/>
      <c r="U101" s="3620" t="s">
        <v>2392</v>
      </c>
      <c r="V101" s="3640" t="s">
        <v>824</v>
      </c>
      <c r="W101" s="3640"/>
      <c r="X101" s="3640" t="s">
        <v>98</v>
      </c>
      <c r="Y101" s="3640" t="s">
        <v>6406</v>
      </c>
      <c r="Z101" s="3623" t="s">
        <v>6417</v>
      </c>
      <c r="AA101" s="3620" t="s">
        <v>6408</v>
      </c>
      <c r="AB101" s="3624" t="s">
        <v>6409</v>
      </c>
      <c r="AC101" s="3618">
        <v>2.3647</v>
      </c>
      <c r="AD101" s="3618">
        <f t="shared" si="57"/>
        <v>529.6928</v>
      </c>
      <c r="AE101" s="3633" t="s">
        <v>6418</v>
      </c>
      <c r="AF101" s="959" t="s">
        <v>6218</v>
      </c>
      <c r="AG101" s="3620" t="s">
        <v>416</v>
      </c>
      <c r="AH101" s="3620"/>
      <c r="AI101" s="3620"/>
      <c r="AJ101" s="3620"/>
      <c r="AK101" s="959">
        <f t="shared" si="58"/>
        <v>224</v>
      </c>
      <c r="AL101" s="959"/>
      <c r="AM101" s="959"/>
      <c r="AN101" s="959"/>
      <c r="AO101" s="959"/>
      <c r="AP101" s="3618">
        <f t="shared" si="55"/>
        <v>224</v>
      </c>
      <c r="AQ101" s="3618"/>
      <c r="AR101" s="3626"/>
      <c r="AS101" s="3626">
        <f t="shared" ref="AS101:AS107" si="59">I101</f>
        <v>224</v>
      </c>
      <c r="AT101" s="3626"/>
      <c r="AU101" s="3626"/>
      <c r="AV101" s="3626"/>
      <c r="AW101" s="3626"/>
      <c r="AX101" s="3626"/>
      <c r="AY101" s="3626"/>
      <c r="AZ101" s="3626"/>
      <c r="BA101" s="3626"/>
      <c r="BB101" s="3626"/>
      <c r="BC101" s="3626"/>
      <c r="BD101" s="3626"/>
      <c r="BE101" s="3626"/>
      <c r="BF101" s="3626"/>
      <c r="BG101" s="3626"/>
      <c r="BH101" s="3626"/>
      <c r="BI101" s="3626" t="s">
        <v>89</v>
      </c>
      <c r="BJ101" s="3626"/>
      <c r="BK101" s="3626"/>
      <c r="BL101" s="3626"/>
      <c r="BM101" s="3626"/>
      <c r="BN101" s="3626"/>
      <c r="BO101" s="4055">
        <f>I101</f>
        <v>224</v>
      </c>
      <c r="BP101" s="3627"/>
      <c r="BQ101" s="3627">
        <f t="shared" si="27"/>
        <v>224</v>
      </c>
      <c r="BR101" s="3627">
        <f t="shared" si="28"/>
        <v>0</v>
      </c>
      <c r="BS101" s="4056"/>
      <c r="BT101" s="4057"/>
    </row>
    <row r="102" s="3566" customFormat="1" ht="50" customHeight="1" spans="1:72">
      <c r="A102" s="3635">
        <v>45657</v>
      </c>
      <c r="B102" s="3617" t="s">
        <v>361</v>
      </c>
      <c r="C102" s="3617" t="s">
        <v>91</v>
      </c>
      <c r="D102" s="3624">
        <v>4500155020</v>
      </c>
      <c r="E102" s="3618" t="s">
        <v>6419</v>
      </c>
      <c r="F102" s="3617" t="s">
        <v>6420</v>
      </c>
      <c r="G102" s="959" t="s">
        <v>6218</v>
      </c>
      <c r="H102" s="3618" t="s">
        <v>6092</v>
      </c>
      <c r="I102" s="3618">
        <v>96</v>
      </c>
      <c r="J102" s="3618">
        <v>0</v>
      </c>
      <c r="K102" s="3618">
        <v>32</v>
      </c>
      <c r="L102" s="4052">
        <f t="shared" si="56"/>
        <v>3</v>
      </c>
      <c r="M102" s="3619">
        <v>45715</v>
      </c>
      <c r="N102" s="3619">
        <v>45712</v>
      </c>
      <c r="O102" s="3618"/>
      <c r="P102" s="959" t="s">
        <v>82</v>
      </c>
      <c r="Q102" s="959"/>
      <c r="R102" s="959"/>
      <c r="S102" s="959"/>
      <c r="T102" s="4053"/>
      <c r="U102" s="3620" t="s">
        <v>2392</v>
      </c>
      <c r="V102" s="3640" t="s">
        <v>824</v>
      </c>
      <c r="W102" s="3640"/>
      <c r="X102" s="3640" t="s">
        <v>98</v>
      </c>
      <c r="Y102" s="3640" t="s">
        <v>6406</v>
      </c>
      <c r="Z102" s="3623" t="s">
        <v>6417</v>
      </c>
      <c r="AA102" s="3620" t="s">
        <v>6408</v>
      </c>
      <c r="AB102" s="3624" t="s">
        <v>6409</v>
      </c>
      <c r="AC102" s="3686">
        <v>2.295</v>
      </c>
      <c r="AD102" s="3618">
        <f t="shared" si="57"/>
        <v>220.32</v>
      </c>
      <c r="AE102" s="3633" t="s">
        <v>6418</v>
      </c>
      <c r="AF102" s="959" t="s">
        <v>6218</v>
      </c>
      <c r="AG102" s="3620" t="s">
        <v>416</v>
      </c>
      <c r="AH102" s="3620"/>
      <c r="AI102" s="3620"/>
      <c r="AJ102" s="3620"/>
      <c r="AK102" s="959">
        <f t="shared" si="58"/>
        <v>96</v>
      </c>
      <c r="AL102" s="959"/>
      <c r="AM102" s="959"/>
      <c r="AN102" s="959"/>
      <c r="AO102" s="959"/>
      <c r="AP102" s="3618">
        <f t="shared" si="55"/>
        <v>96</v>
      </c>
      <c r="AQ102" s="3618"/>
      <c r="AR102" s="3626"/>
      <c r="AS102" s="3626">
        <f t="shared" si="59"/>
        <v>96</v>
      </c>
      <c r="AT102" s="3626"/>
      <c r="AU102" s="3626"/>
      <c r="AV102" s="3626"/>
      <c r="AW102" s="3626"/>
      <c r="AX102" s="3626"/>
      <c r="AY102" s="3626"/>
      <c r="AZ102" s="3626"/>
      <c r="BA102" s="3626"/>
      <c r="BB102" s="3626"/>
      <c r="BC102" s="3626"/>
      <c r="BD102" s="3626"/>
      <c r="BE102" s="3626"/>
      <c r="BF102" s="3626"/>
      <c r="BG102" s="3626"/>
      <c r="BH102" s="3626"/>
      <c r="BI102" s="3626" t="s">
        <v>89</v>
      </c>
      <c r="BJ102" s="3626"/>
      <c r="BK102" s="3626"/>
      <c r="BL102" s="3626"/>
      <c r="BM102" s="3626"/>
      <c r="BN102" s="3626"/>
      <c r="BO102" s="4055">
        <f>I102</f>
        <v>96</v>
      </c>
      <c r="BP102" s="3627"/>
      <c r="BQ102" s="3627">
        <f t="shared" si="27"/>
        <v>96</v>
      </c>
      <c r="BR102" s="3627">
        <f t="shared" si="28"/>
        <v>0</v>
      </c>
      <c r="BS102" s="4056"/>
      <c r="BT102" s="4057"/>
    </row>
    <row r="103" s="3566" customFormat="1" ht="50" customHeight="1" spans="1:72">
      <c r="A103" s="3635">
        <v>45657</v>
      </c>
      <c r="B103" s="3617" t="s">
        <v>361</v>
      </c>
      <c r="C103" s="3617" t="s">
        <v>91</v>
      </c>
      <c r="D103" s="3624">
        <v>4500155020</v>
      </c>
      <c r="E103" s="959" t="s">
        <v>6421</v>
      </c>
      <c r="F103" s="3617" t="s">
        <v>6422</v>
      </c>
      <c r="G103" s="959" t="s">
        <v>6241</v>
      </c>
      <c r="H103" s="3618" t="s">
        <v>6242</v>
      </c>
      <c r="I103" s="3618">
        <v>256</v>
      </c>
      <c r="J103" s="3618">
        <v>0</v>
      </c>
      <c r="K103" s="3618">
        <v>32</v>
      </c>
      <c r="L103" s="4052">
        <f t="shared" si="56"/>
        <v>8</v>
      </c>
      <c r="M103" s="3619">
        <v>45715</v>
      </c>
      <c r="N103" s="3619">
        <v>45712</v>
      </c>
      <c r="O103" s="3618"/>
      <c r="P103" s="959" t="s">
        <v>82</v>
      </c>
      <c r="Q103" s="959"/>
      <c r="R103" s="959"/>
      <c r="S103" s="959"/>
      <c r="T103" s="4053"/>
      <c r="U103" s="3620" t="s">
        <v>2392</v>
      </c>
      <c r="V103" s="3640" t="s">
        <v>824</v>
      </c>
      <c r="W103" s="3640"/>
      <c r="X103" s="3640" t="s">
        <v>98</v>
      </c>
      <c r="Y103" s="3640" t="s">
        <v>6406</v>
      </c>
      <c r="Z103" s="3623" t="s">
        <v>6417</v>
      </c>
      <c r="AA103" s="3620" t="s">
        <v>6408</v>
      </c>
      <c r="AB103" s="3624" t="s">
        <v>6409</v>
      </c>
      <c r="AC103" s="3618">
        <v>2.3647</v>
      </c>
      <c r="AD103" s="3618">
        <f t="shared" si="57"/>
        <v>605.3632</v>
      </c>
      <c r="AE103" s="3633" t="s">
        <v>6418</v>
      </c>
      <c r="AF103" s="959" t="s">
        <v>6241</v>
      </c>
      <c r="AG103" s="3620" t="s">
        <v>416</v>
      </c>
      <c r="AH103" s="3620"/>
      <c r="AI103" s="3620"/>
      <c r="AJ103" s="3620"/>
      <c r="AK103" s="959">
        <f t="shared" si="58"/>
        <v>256</v>
      </c>
      <c r="AL103" s="959"/>
      <c r="AM103" s="959"/>
      <c r="AN103" s="959"/>
      <c r="AO103" s="959"/>
      <c r="AP103" s="3618">
        <f t="shared" si="55"/>
        <v>256</v>
      </c>
      <c r="AQ103" s="3618"/>
      <c r="AR103" s="3626"/>
      <c r="AS103" s="3626">
        <f t="shared" si="59"/>
        <v>256</v>
      </c>
      <c r="AT103" s="3626"/>
      <c r="AU103" s="3626"/>
      <c r="AV103" s="3626"/>
      <c r="AW103" s="3626"/>
      <c r="AX103" s="3626"/>
      <c r="AY103" s="3626"/>
      <c r="AZ103" s="3626"/>
      <c r="BA103" s="3626"/>
      <c r="BB103" s="3626"/>
      <c r="BC103" s="3626"/>
      <c r="BD103" s="3626"/>
      <c r="BE103" s="3626"/>
      <c r="BF103" s="3626"/>
      <c r="BG103" s="3626"/>
      <c r="BH103" s="3626"/>
      <c r="BI103" s="3626" t="s">
        <v>89</v>
      </c>
      <c r="BJ103" s="3626"/>
      <c r="BK103" s="3626"/>
      <c r="BL103" s="3626"/>
      <c r="BM103" s="3626"/>
      <c r="BN103" s="3626">
        <f>I103</f>
        <v>256</v>
      </c>
      <c r="BO103" s="4055"/>
      <c r="BP103" s="3627"/>
      <c r="BQ103" s="3627">
        <f t="shared" si="27"/>
        <v>256</v>
      </c>
      <c r="BR103" s="3627">
        <f t="shared" si="28"/>
        <v>0</v>
      </c>
      <c r="BS103" s="4056"/>
      <c r="BT103" s="4057"/>
    </row>
    <row r="104" s="3566" customFormat="1" ht="50" customHeight="1" spans="1:72">
      <c r="A104" s="3635">
        <v>45657</v>
      </c>
      <c r="B104" s="3617" t="s">
        <v>361</v>
      </c>
      <c r="C104" s="3617" t="s">
        <v>91</v>
      </c>
      <c r="D104" s="3624">
        <v>4500155020</v>
      </c>
      <c r="E104" s="3618" t="s">
        <v>6423</v>
      </c>
      <c r="F104" s="3617" t="s">
        <v>6424</v>
      </c>
      <c r="G104" s="959" t="s">
        <v>6223</v>
      </c>
      <c r="H104" s="959" t="s">
        <v>6272</v>
      </c>
      <c r="I104" s="3618">
        <v>128</v>
      </c>
      <c r="J104" s="3618">
        <v>0</v>
      </c>
      <c r="K104" s="3618">
        <v>32</v>
      </c>
      <c r="L104" s="4052">
        <f t="shared" si="56"/>
        <v>4</v>
      </c>
      <c r="M104" s="3619">
        <v>45715</v>
      </c>
      <c r="N104" s="3619">
        <v>45712</v>
      </c>
      <c r="O104" s="3618"/>
      <c r="P104" s="959" t="s">
        <v>82</v>
      </c>
      <c r="Q104" s="959"/>
      <c r="R104" s="959"/>
      <c r="S104" s="959"/>
      <c r="T104" s="4053"/>
      <c r="U104" s="3620" t="s">
        <v>2392</v>
      </c>
      <c r="V104" s="3640" t="s">
        <v>824</v>
      </c>
      <c r="W104" s="3640"/>
      <c r="X104" s="3640" t="s">
        <v>98</v>
      </c>
      <c r="Y104" s="3640" t="s">
        <v>6406</v>
      </c>
      <c r="Z104" s="3623" t="s">
        <v>6417</v>
      </c>
      <c r="AA104" s="3620" t="s">
        <v>6408</v>
      </c>
      <c r="AB104" s="3624" t="s">
        <v>6409</v>
      </c>
      <c r="AC104" s="3618">
        <v>2.3647</v>
      </c>
      <c r="AD104" s="3618">
        <f t="shared" si="57"/>
        <v>302.6816</v>
      </c>
      <c r="AE104" s="3633" t="s">
        <v>6418</v>
      </c>
      <c r="AF104" s="959" t="s">
        <v>6223</v>
      </c>
      <c r="AG104" s="3620" t="s">
        <v>416</v>
      </c>
      <c r="AH104" s="3620"/>
      <c r="AI104" s="3620"/>
      <c r="AJ104" s="3620"/>
      <c r="AK104" s="959">
        <f t="shared" si="58"/>
        <v>128</v>
      </c>
      <c r="AL104" s="959"/>
      <c r="AM104" s="959"/>
      <c r="AN104" s="959"/>
      <c r="AO104" s="959"/>
      <c r="AP104" s="3618">
        <f t="shared" si="55"/>
        <v>128</v>
      </c>
      <c r="AQ104" s="3618"/>
      <c r="AR104" s="3626"/>
      <c r="AS104" s="3626">
        <f t="shared" si="59"/>
        <v>128</v>
      </c>
      <c r="AT104" s="3626"/>
      <c r="AU104" s="3626"/>
      <c r="AV104" s="3626"/>
      <c r="AW104" s="3626"/>
      <c r="AX104" s="3626"/>
      <c r="AY104" s="3626"/>
      <c r="AZ104" s="3626"/>
      <c r="BA104" s="3626"/>
      <c r="BB104" s="3626"/>
      <c r="BC104" s="3626"/>
      <c r="BD104" s="3626"/>
      <c r="BE104" s="3626"/>
      <c r="BF104" s="3626"/>
      <c r="BG104" s="3626"/>
      <c r="BH104" s="3626"/>
      <c r="BI104" s="3626" t="s">
        <v>89</v>
      </c>
      <c r="BJ104" s="3626"/>
      <c r="BK104" s="3626"/>
      <c r="BL104" s="3626">
        <f>I104</f>
        <v>128</v>
      </c>
      <c r="BM104" s="3626"/>
      <c r="BN104" s="3626"/>
      <c r="BO104" s="4055"/>
      <c r="BP104" s="3627"/>
      <c r="BQ104" s="3627">
        <f t="shared" ref="BQ104:BQ167" si="60">SUM(BJ104:BP104)</f>
        <v>128</v>
      </c>
      <c r="BR104" s="3627">
        <f t="shared" ref="BR104:BR167" si="61">I104-BQ104</f>
        <v>0</v>
      </c>
      <c r="BS104" s="4056"/>
      <c r="BT104" s="4057"/>
    </row>
    <row r="105" s="3566" customFormat="1" ht="50" customHeight="1" spans="1:72">
      <c r="A105" s="3635">
        <v>45657</v>
      </c>
      <c r="B105" s="3617" t="s">
        <v>361</v>
      </c>
      <c r="C105" s="3617" t="s">
        <v>91</v>
      </c>
      <c r="D105" s="3624">
        <v>4500155020</v>
      </c>
      <c r="E105" s="3618" t="s">
        <v>6425</v>
      </c>
      <c r="F105" s="3617" t="s">
        <v>6426</v>
      </c>
      <c r="G105" s="959" t="s">
        <v>6223</v>
      </c>
      <c r="H105" s="959" t="s">
        <v>6272</v>
      </c>
      <c r="I105" s="3618">
        <v>96</v>
      </c>
      <c r="J105" s="3618">
        <v>0</v>
      </c>
      <c r="K105" s="3618">
        <v>32</v>
      </c>
      <c r="L105" s="4052">
        <f t="shared" si="56"/>
        <v>3</v>
      </c>
      <c r="M105" s="3619">
        <v>45715</v>
      </c>
      <c r="N105" s="3619">
        <v>45712</v>
      </c>
      <c r="O105" s="3618"/>
      <c r="P105" s="959" t="s">
        <v>82</v>
      </c>
      <c r="Q105" s="959"/>
      <c r="R105" s="959"/>
      <c r="S105" s="959"/>
      <c r="T105" s="4053"/>
      <c r="U105" s="3620" t="s">
        <v>2392</v>
      </c>
      <c r="V105" s="3640" t="s">
        <v>824</v>
      </c>
      <c r="W105" s="3640"/>
      <c r="X105" s="3640" t="s">
        <v>98</v>
      </c>
      <c r="Y105" s="3640" t="s">
        <v>6406</v>
      </c>
      <c r="Z105" s="3623" t="s">
        <v>6417</v>
      </c>
      <c r="AA105" s="3620" t="s">
        <v>6408</v>
      </c>
      <c r="AB105" s="3624" t="s">
        <v>6409</v>
      </c>
      <c r="AC105" s="3618">
        <v>2.3647</v>
      </c>
      <c r="AD105" s="3618">
        <f t="shared" si="57"/>
        <v>227.0112</v>
      </c>
      <c r="AE105" s="3633" t="s">
        <v>6418</v>
      </c>
      <c r="AF105" s="959" t="s">
        <v>6223</v>
      </c>
      <c r="AG105" s="3620" t="s">
        <v>416</v>
      </c>
      <c r="AH105" s="3620"/>
      <c r="AI105" s="3620"/>
      <c r="AJ105" s="3620"/>
      <c r="AK105" s="959">
        <f t="shared" si="58"/>
        <v>96</v>
      </c>
      <c r="AL105" s="959"/>
      <c r="AM105" s="959"/>
      <c r="AN105" s="959"/>
      <c r="AO105" s="959"/>
      <c r="AP105" s="3618">
        <f t="shared" si="55"/>
        <v>96</v>
      </c>
      <c r="AQ105" s="3618"/>
      <c r="AR105" s="3626"/>
      <c r="AS105" s="3626">
        <f t="shared" si="59"/>
        <v>96</v>
      </c>
      <c r="AT105" s="3626"/>
      <c r="AU105" s="3626"/>
      <c r="AV105" s="3626"/>
      <c r="AW105" s="3626"/>
      <c r="AX105" s="3626"/>
      <c r="AY105" s="3626"/>
      <c r="AZ105" s="3626"/>
      <c r="BA105" s="3626"/>
      <c r="BB105" s="3626"/>
      <c r="BC105" s="3626"/>
      <c r="BD105" s="3626"/>
      <c r="BE105" s="3626"/>
      <c r="BF105" s="3626"/>
      <c r="BG105" s="3626"/>
      <c r="BH105" s="3626"/>
      <c r="BI105" s="3626" t="s">
        <v>89</v>
      </c>
      <c r="BJ105" s="3626"/>
      <c r="BK105" s="3626"/>
      <c r="BL105" s="3626">
        <f>I105</f>
        <v>96</v>
      </c>
      <c r="BM105" s="3626"/>
      <c r="BN105" s="3626"/>
      <c r="BO105" s="4055"/>
      <c r="BP105" s="3627"/>
      <c r="BQ105" s="3627">
        <f t="shared" si="60"/>
        <v>96</v>
      </c>
      <c r="BR105" s="3627">
        <f t="shared" si="61"/>
        <v>0</v>
      </c>
      <c r="BS105" s="4056"/>
      <c r="BT105" s="4057"/>
    </row>
    <row r="106" s="3566" customFormat="1" ht="50" customHeight="1" spans="1:72">
      <c r="A106" s="3635">
        <v>45657</v>
      </c>
      <c r="B106" s="3617" t="s">
        <v>361</v>
      </c>
      <c r="C106" s="3617" t="s">
        <v>91</v>
      </c>
      <c r="D106" s="3624">
        <v>4500155020</v>
      </c>
      <c r="E106" s="3618" t="s">
        <v>6427</v>
      </c>
      <c r="F106" s="3617" t="s">
        <v>6428</v>
      </c>
      <c r="G106" s="959" t="s">
        <v>6281</v>
      </c>
      <c r="H106" s="959" t="s">
        <v>6292</v>
      </c>
      <c r="I106" s="3618">
        <v>160</v>
      </c>
      <c r="J106" s="3618">
        <v>0</v>
      </c>
      <c r="K106" s="3618">
        <v>32</v>
      </c>
      <c r="L106" s="4052">
        <f t="shared" si="56"/>
        <v>5</v>
      </c>
      <c r="M106" s="3619">
        <v>45715</v>
      </c>
      <c r="N106" s="3619">
        <v>45712</v>
      </c>
      <c r="O106" s="3618"/>
      <c r="P106" s="959" t="s">
        <v>82</v>
      </c>
      <c r="Q106" s="959"/>
      <c r="R106" s="959"/>
      <c r="S106" s="959"/>
      <c r="T106" s="4053"/>
      <c r="U106" s="3620" t="s">
        <v>2392</v>
      </c>
      <c r="V106" s="3640" t="s">
        <v>824</v>
      </c>
      <c r="W106" s="3640"/>
      <c r="X106" s="3640" t="s">
        <v>98</v>
      </c>
      <c r="Y106" s="3640" t="s">
        <v>6406</v>
      </c>
      <c r="Z106" s="3623" t="s">
        <v>6417</v>
      </c>
      <c r="AA106" s="3620" t="s">
        <v>6408</v>
      </c>
      <c r="AB106" s="3624" t="s">
        <v>6409</v>
      </c>
      <c r="AC106" s="3686">
        <v>2.3647</v>
      </c>
      <c r="AD106" s="3618">
        <f t="shared" si="57"/>
        <v>378.352</v>
      </c>
      <c r="AE106" s="3633" t="s">
        <v>6418</v>
      </c>
      <c r="AF106" s="959" t="s">
        <v>6281</v>
      </c>
      <c r="AG106" s="3620" t="s">
        <v>416</v>
      </c>
      <c r="AH106" s="3620"/>
      <c r="AI106" s="3620"/>
      <c r="AJ106" s="3620"/>
      <c r="AK106" s="959">
        <f t="shared" si="58"/>
        <v>160</v>
      </c>
      <c r="AL106" s="959"/>
      <c r="AM106" s="959"/>
      <c r="AN106" s="959"/>
      <c r="AO106" s="959"/>
      <c r="AP106" s="3618">
        <f t="shared" si="55"/>
        <v>160</v>
      </c>
      <c r="AQ106" s="3618"/>
      <c r="AR106" s="3626"/>
      <c r="AS106" s="3626">
        <f t="shared" si="59"/>
        <v>160</v>
      </c>
      <c r="AT106" s="3626"/>
      <c r="AU106" s="3626"/>
      <c r="AV106" s="3626"/>
      <c r="AW106" s="3626"/>
      <c r="AX106" s="3626"/>
      <c r="AY106" s="3626"/>
      <c r="AZ106" s="3626"/>
      <c r="BA106" s="3626"/>
      <c r="BB106" s="3626"/>
      <c r="BC106" s="3626"/>
      <c r="BD106" s="3626"/>
      <c r="BE106" s="3626"/>
      <c r="BF106" s="3626"/>
      <c r="BG106" s="3626"/>
      <c r="BH106" s="3626"/>
      <c r="BI106" s="3626" t="s">
        <v>89</v>
      </c>
      <c r="BJ106" s="3626"/>
      <c r="BK106" s="3626">
        <f>I106</f>
        <v>160</v>
      </c>
      <c r="BL106" s="3626"/>
      <c r="BM106" s="3626"/>
      <c r="BN106" s="3626"/>
      <c r="BO106" s="4055"/>
      <c r="BP106" s="3627"/>
      <c r="BQ106" s="3627">
        <f t="shared" si="60"/>
        <v>160</v>
      </c>
      <c r="BR106" s="3627">
        <f t="shared" si="61"/>
        <v>0</v>
      </c>
      <c r="BS106" s="4056"/>
      <c r="BT106" s="4057"/>
    </row>
    <row r="107" s="3566" customFormat="1" ht="50" customHeight="1" spans="1:72">
      <c r="A107" s="3635">
        <v>45657</v>
      </c>
      <c r="B107" s="3617" t="s">
        <v>361</v>
      </c>
      <c r="C107" s="3617" t="s">
        <v>91</v>
      </c>
      <c r="D107" s="3624">
        <v>4500155020</v>
      </c>
      <c r="E107" s="3618" t="s">
        <v>6429</v>
      </c>
      <c r="F107" s="3617" t="s">
        <v>6430</v>
      </c>
      <c r="G107" s="959" t="s">
        <v>6281</v>
      </c>
      <c r="H107" s="959" t="s">
        <v>6292</v>
      </c>
      <c r="I107" s="3618">
        <v>128</v>
      </c>
      <c r="J107" s="3618">
        <v>0</v>
      </c>
      <c r="K107" s="3618">
        <v>32</v>
      </c>
      <c r="L107" s="4052">
        <f t="shared" si="56"/>
        <v>4</v>
      </c>
      <c r="M107" s="3619">
        <v>45715</v>
      </c>
      <c r="N107" s="3619">
        <v>45712</v>
      </c>
      <c r="O107" s="3618"/>
      <c r="P107" s="959" t="s">
        <v>82</v>
      </c>
      <c r="Q107" s="959"/>
      <c r="R107" s="959"/>
      <c r="S107" s="959"/>
      <c r="T107" s="4053"/>
      <c r="U107" s="3620" t="s">
        <v>2392</v>
      </c>
      <c r="V107" s="3640" t="s">
        <v>824</v>
      </c>
      <c r="W107" s="3640"/>
      <c r="X107" s="3640" t="s">
        <v>98</v>
      </c>
      <c r="Y107" s="3640" t="s">
        <v>6406</v>
      </c>
      <c r="Z107" s="3623" t="s">
        <v>6417</v>
      </c>
      <c r="AA107" s="3620" t="s">
        <v>6408</v>
      </c>
      <c r="AB107" s="3624" t="s">
        <v>6409</v>
      </c>
      <c r="AC107" s="3686">
        <v>2.3647</v>
      </c>
      <c r="AD107" s="3618">
        <f t="shared" si="57"/>
        <v>302.6816</v>
      </c>
      <c r="AE107" s="3633" t="s">
        <v>6418</v>
      </c>
      <c r="AF107" s="959" t="s">
        <v>6281</v>
      </c>
      <c r="AG107" s="3620" t="s">
        <v>416</v>
      </c>
      <c r="AH107" s="3620"/>
      <c r="AI107" s="3620"/>
      <c r="AJ107" s="3620"/>
      <c r="AK107" s="959">
        <f t="shared" si="58"/>
        <v>128</v>
      </c>
      <c r="AL107" s="959"/>
      <c r="AM107" s="959"/>
      <c r="AN107" s="959"/>
      <c r="AO107" s="959"/>
      <c r="AP107" s="3618">
        <f t="shared" si="55"/>
        <v>128</v>
      </c>
      <c r="AQ107" s="3618"/>
      <c r="AR107" s="3626"/>
      <c r="AS107" s="3626">
        <f t="shared" si="59"/>
        <v>128</v>
      </c>
      <c r="AT107" s="3626"/>
      <c r="AU107" s="3626"/>
      <c r="AV107" s="3626"/>
      <c r="AW107" s="3626"/>
      <c r="AX107" s="3626"/>
      <c r="AY107" s="3626"/>
      <c r="AZ107" s="3626"/>
      <c r="BA107" s="3626"/>
      <c r="BB107" s="3626"/>
      <c r="BC107" s="3626"/>
      <c r="BD107" s="3626"/>
      <c r="BE107" s="3626"/>
      <c r="BF107" s="3626"/>
      <c r="BG107" s="3626"/>
      <c r="BH107" s="3626"/>
      <c r="BI107" s="3626" t="s">
        <v>89</v>
      </c>
      <c r="BJ107" s="3626"/>
      <c r="BK107" s="3626">
        <f>I107</f>
        <v>128</v>
      </c>
      <c r="BL107" s="3626"/>
      <c r="BM107" s="3626"/>
      <c r="BN107" s="3626"/>
      <c r="BO107" s="4055"/>
      <c r="BP107" s="3627"/>
      <c r="BQ107" s="3627">
        <f t="shared" si="60"/>
        <v>128</v>
      </c>
      <c r="BR107" s="3627">
        <f t="shared" si="61"/>
        <v>0</v>
      </c>
      <c r="BS107" s="4056"/>
      <c r="BT107" s="4057"/>
    </row>
    <row r="108" s="3566" customFormat="1" ht="50" customHeight="1" spans="1:72">
      <c r="A108" s="3635">
        <v>45653</v>
      </c>
      <c r="B108" s="3617" t="s">
        <v>3012</v>
      </c>
      <c r="C108" s="3617" t="s">
        <v>569</v>
      </c>
      <c r="D108" s="3624">
        <v>4500154891</v>
      </c>
      <c r="E108" s="959" t="s">
        <v>6431</v>
      </c>
      <c r="F108" s="3617" t="s">
        <v>6432</v>
      </c>
      <c r="G108" s="959" t="s">
        <v>6241</v>
      </c>
      <c r="H108" s="3618" t="s">
        <v>6242</v>
      </c>
      <c r="I108" s="3618">
        <v>512</v>
      </c>
      <c r="J108" s="3618">
        <v>0</v>
      </c>
      <c r="K108" s="3618">
        <v>32</v>
      </c>
      <c r="L108" s="4052">
        <f t="shared" si="56"/>
        <v>16</v>
      </c>
      <c r="M108" s="3619">
        <v>45716</v>
      </c>
      <c r="N108" s="3619">
        <v>45712</v>
      </c>
      <c r="O108" s="3618"/>
      <c r="P108" s="959" t="s">
        <v>82</v>
      </c>
      <c r="Q108" s="959"/>
      <c r="R108" s="959"/>
      <c r="S108" s="959"/>
      <c r="T108" s="4053"/>
      <c r="U108" s="3620" t="s">
        <v>3015</v>
      </c>
      <c r="V108" s="3640" t="s">
        <v>1307</v>
      </c>
      <c r="W108" s="3640"/>
      <c r="X108" s="3640" t="s">
        <v>6390</v>
      </c>
      <c r="Y108" s="3640" t="s">
        <v>6391</v>
      </c>
      <c r="Z108" s="3623"/>
      <c r="AA108" s="3620" t="s">
        <v>6433</v>
      </c>
      <c r="AB108" s="3624" t="s">
        <v>1285</v>
      </c>
      <c r="AC108" s="3618">
        <v>2.3647</v>
      </c>
      <c r="AD108" s="3618">
        <v>1210.7264</v>
      </c>
      <c r="AE108" s="3633" t="s">
        <v>6434</v>
      </c>
      <c r="AF108" s="959" t="s">
        <v>6435</v>
      </c>
      <c r="AG108" s="3620" t="s">
        <v>416</v>
      </c>
      <c r="AH108" s="3620" t="s">
        <v>6436</v>
      </c>
      <c r="AI108" s="3620"/>
      <c r="AJ108" s="3620"/>
      <c r="AK108" s="959"/>
      <c r="AL108" s="959"/>
      <c r="AM108" s="959">
        <f>I108</f>
        <v>512</v>
      </c>
      <c r="AN108" s="959"/>
      <c r="AO108" s="959"/>
      <c r="AP108" s="3618">
        <f t="shared" si="55"/>
        <v>512</v>
      </c>
      <c r="AQ108" s="3618"/>
      <c r="AR108" s="3626"/>
      <c r="AS108" s="3626">
        <f t="shared" ref="AS108:AS124" si="62">I108</f>
        <v>512</v>
      </c>
      <c r="AT108" s="3626"/>
      <c r="AU108" s="3626"/>
      <c r="AV108" s="3626"/>
      <c r="AW108" s="3626"/>
      <c r="AX108" s="3626"/>
      <c r="AY108" s="3626"/>
      <c r="AZ108" s="3626"/>
      <c r="BA108" s="3626"/>
      <c r="BB108" s="3626"/>
      <c r="BC108" s="3626"/>
      <c r="BD108" s="3626"/>
      <c r="BE108" s="3626"/>
      <c r="BF108" s="3626"/>
      <c r="BG108" s="3626"/>
      <c r="BH108" s="3626"/>
      <c r="BI108" s="3626" t="s">
        <v>89</v>
      </c>
      <c r="BJ108" s="3626"/>
      <c r="BK108" s="3626"/>
      <c r="BL108" s="3626"/>
      <c r="BM108" s="3626"/>
      <c r="BN108" s="3626">
        <v>512</v>
      </c>
      <c r="BO108" s="4055"/>
      <c r="BP108" s="3627"/>
      <c r="BQ108" s="3627">
        <f t="shared" si="60"/>
        <v>512</v>
      </c>
      <c r="BR108" s="3627">
        <f t="shared" si="61"/>
        <v>0</v>
      </c>
      <c r="BS108" s="4056"/>
      <c r="BT108" s="4057"/>
    </row>
    <row r="109" s="3566" customFormat="1" ht="50" customHeight="1" spans="1:72">
      <c r="A109" s="3635">
        <v>45666</v>
      </c>
      <c r="B109" s="3617" t="s">
        <v>6341</v>
      </c>
      <c r="C109" s="3617" t="s">
        <v>506</v>
      </c>
      <c r="D109" s="3624">
        <v>4500155576</v>
      </c>
      <c r="E109" s="959" t="s">
        <v>6437</v>
      </c>
      <c r="F109" s="3617" t="s">
        <v>6438</v>
      </c>
      <c r="G109" s="959" t="s">
        <v>6124</v>
      </c>
      <c r="H109" s="3618" t="s">
        <v>6063</v>
      </c>
      <c r="I109" s="3618">
        <v>576</v>
      </c>
      <c r="J109" s="3618">
        <v>0</v>
      </c>
      <c r="K109" s="3618">
        <v>12</v>
      </c>
      <c r="L109" s="4052">
        <f t="shared" si="56"/>
        <v>48</v>
      </c>
      <c r="M109" s="3619">
        <v>45719</v>
      </c>
      <c r="N109" s="3619">
        <v>45715</v>
      </c>
      <c r="O109" s="3618"/>
      <c r="P109" s="959" t="s">
        <v>82</v>
      </c>
      <c r="Q109" s="959"/>
      <c r="R109" s="959"/>
      <c r="S109" s="959"/>
      <c r="T109" s="4053"/>
      <c r="U109" s="3620" t="s">
        <v>2392</v>
      </c>
      <c r="V109" s="3640" t="s">
        <v>3042</v>
      </c>
      <c r="W109" s="3640"/>
      <c r="X109" s="3640" t="s">
        <v>6345</v>
      </c>
      <c r="Y109" s="3640"/>
      <c r="Z109" s="3623"/>
      <c r="AA109" s="3620" t="s">
        <v>6439</v>
      </c>
      <c r="AB109" s="3624" t="s">
        <v>3202</v>
      </c>
      <c r="AC109" s="3686">
        <v>2.2444</v>
      </c>
      <c r="AD109" s="3618">
        <f t="shared" ref="AD109:AD115" si="63">AC109*I109</f>
        <v>1292.7744</v>
      </c>
      <c r="AE109" s="3633" t="s">
        <v>6440</v>
      </c>
      <c r="AF109" s="959" t="s">
        <v>6124</v>
      </c>
      <c r="AG109" s="3620" t="s">
        <v>416</v>
      </c>
      <c r="AH109" s="3620" t="s">
        <v>6441</v>
      </c>
      <c r="AI109" s="3620"/>
      <c r="AJ109" s="3620"/>
      <c r="AK109" s="959">
        <f>I109</f>
        <v>576</v>
      </c>
      <c r="AL109" s="959"/>
      <c r="AM109" s="959"/>
      <c r="AN109" s="959"/>
      <c r="AO109" s="959"/>
      <c r="AP109" s="3618">
        <f t="shared" si="55"/>
        <v>576</v>
      </c>
      <c r="AQ109" s="3618"/>
      <c r="AR109" s="3626"/>
      <c r="AS109" s="3626">
        <f t="shared" si="62"/>
        <v>576</v>
      </c>
      <c r="AT109" s="3626"/>
      <c r="AU109" s="3626"/>
      <c r="AV109" s="3626"/>
      <c r="AW109" s="3626">
        <f t="shared" ref="AW109:AW115" si="64">I109/6</f>
        <v>96</v>
      </c>
      <c r="AX109" s="3626"/>
      <c r="AY109" s="3626"/>
      <c r="AZ109" s="3626"/>
      <c r="BA109" s="3626"/>
      <c r="BB109" s="3626"/>
      <c r="BC109" s="3626"/>
      <c r="BD109" s="3626"/>
      <c r="BE109" s="3626"/>
      <c r="BF109" s="3626"/>
      <c r="BG109" s="3626"/>
      <c r="BH109" s="3626"/>
      <c r="BI109" s="3626" t="s">
        <v>89</v>
      </c>
      <c r="BJ109" s="3626">
        <f t="shared" ref="BJ109:BJ115" si="65">I109/60*2</f>
        <v>19.2</v>
      </c>
      <c r="BK109" s="3626">
        <f t="shared" ref="BK109:BK115" si="66">I109/60*10</f>
        <v>96</v>
      </c>
      <c r="BL109" s="3626">
        <f t="shared" ref="BL109:BL115" si="67">I109/60*10</f>
        <v>96</v>
      </c>
      <c r="BM109" s="3626">
        <f t="shared" ref="BM109:BM115" si="68">I109/60*8</f>
        <v>76.8</v>
      </c>
      <c r="BN109" s="3626">
        <f t="shared" ref="BN109:BN115" si="69">I109/60*10</f>
        <v>96</v>
      </c>
      <c r="BO109" s="4055">
        <f t="shared" ref="BO109:BO115" si="70">I109/60*10</f>
        <v>96</v>
      </c>
      <c r="BP109" s="3627">
        <f t="shared" ref="BP109:BP115" si="71">I109/60*10</f>
        <v>96</v>
      </c>
      <c r="BQ109" s="3627">
        <f t="shared" si="60"/>
        <v>576</v>
      </c>
      <c r="BR109" s="3627">
        <f t="shared" si="61"/>
        <v>0</v>
      </c>
      <c r="BS109" s="4056"/>
      <c r="BT109" s="4057"/>
    </row>
    <row r="110" s="3566" customFormat="1" ht="50" customHeight="1" spans="1:72">
      <c r="A110" s="3635">
        <v>45666</v>
      </c>
      <c r="B110" s="3617" t="s">
        <v>6341</v>
      </c>
      <c r="C110" s="3617" t="s">
        <v>506</v>
      </c>
      <c r="D110" s="3624">
        <v>4500155576</v>
      </c>
      <c r="E110" s="959" t="s">
        <v>6442</v>
      </c>
      <c r="F110" s="3617" t="s">
        <v>6443</v>
      </c>
      <c r="G110" s="959" t="s">
        <v>6124</v>
      </c>
      <c r="H110" s="3618" t="s">
        <v>6063</v>
      </c>
      <c r="I110" s="3618">
        <v>324</v>
      </c>
      <c r="J110" s="3618">
        <v>0</v>
      </c>
      <c r="K110" s="3618">
        <v>12</v>
      </c>
      <c r="L110" s="4052">
        <f t="shared" si="56"/>
        <v>27</v>
      </c>
      <c r="M110" s="3619">
        <v>45719</v>
      </c>
      <c r="N110" s="3619">
        <v>45715</v>
      </c>
      <c r="O110" s="3618"/>
      <c r="P110" s="959" t="s">
        <v>82</v>
      </c>
      <c r="Q110" s="959"/>
      <c r="R110" s="959"/>
      <c r="S110" s="959"/>
      <c r="T110" s="4053"/>
      <c r="U110" s="3620" t="s">
        <v>863</v>
      </c>
      <c r="V110" s="3640" t="s">
        <v>3042</v>
      </c>
      <c r="W110" s="3640"/>
      <c r="X110" s="3640" t="s">
        <v>6345</v>
      </c>
      <c r="Y110" s="3640"/>
      <c r="Z110" s="3623"/>
      <c r="AA110" s="3620" t="s">
        <v>6439</v>
      </c>
      <c r="AB110" s="3624" t="s">
        <v>3202</v>
      </c>
      <c r="AC110" s="3686">
        <v>2.2444</v>
      </c>
      <c r="AD110" s="3618">
        <f t="shared" si="63"/>
        <v>727.1856</v>
      </c>
      <c r="AE110" s="3633" t="s">
        <v>6444</v>
      </c>
      <c r="AF110" s="959" t="s">
        <v>6124</v>
      </c>
      <c r="AG110" s="3620" t="s">
        <v>416</v>
      </c>
      <c r="AH110" s="3620" t="s">
        <v>6445</v>
      </c>
      <c r="AI110" s="3620"/>
      <c r="AJ110" s="3620"/>
      <c r="AK110" s="959">
        <f>I110</f>
        <v>324</v>
      </c>
      <c r="AL110" s="959"/>
      <c r="AM110" s="959"/>
      <c r="AN110" s="959"/>
      <c r="AO110" s="959"/>
      <c r="AP110" s="3618">
        <f t="shared" si="55"/>
        <v>324</v>
      </c>
      <c r="AQ110" s="3618"/>
      <c r="AR110" s="3626"/>
      <c r="AS110" s="3626">
        <f t="shared" si="62"/>
        <v>324</v>
      </c>
      <c r="AT110" s="3626"/>
      <c r="AU110" s="3626"/>
      <c r="AV110" s="3626"/>
      <c r="AW110" s="3626">
        <f t="shared" si="64"/>
        <v>54</v>
      </c>
      <c r="AX110" s="3626"/>
      <c r="AY110" s="3626"/>
      <c r="AZ110" s="3626"/>
      <c r="BA110" s="3626"/>
      <c r="BB110" s="3626"/>
      <c r="BC110" s="3626"/>
      <c r="BD110" s="3626"/>
      <c r="BE110" s="3626"/>
      <c r="BF110" s="3626"/>
      <c r="BG110" s="3626"/>
      <c r="BH110" s="3626"/>
      <c r="BI110" s="3626" t="s">
        <v>89</v>
      </c>
      <c r="BJ110" s="3626">
        <f t="shared" si="65"/>
        <v>10.8</v>
      </c>
      <c r="BK110" s="3626">
        <f t="shared" si="66"/>
        <v>54</v>
      </c>
      <c r="BL110" s="3626">
        <f t="shared" si="67"/>
        <v>54</v>
      </c>
      <c r="BM110" s="3626">
        <f t="shared" si="68"/>
        <v>43.2</v>
      </c>
      <c r="BN110" s="3626">
        <f t="shared" si="69"/>
        <v>54</v>
      </c>
      <c r="BO110" s="4055">
        <f t="shared" si="70"/>
        <v>54</v>
      </c>
      <c r="BP110" s="3627">
        <f t="shared" si="71"/>
        <v>54</v>
      </c>
      <c r="BQ110" s="3627">
        <f t="shared" si="60"/>
        <v>324</v>
      </c>
      <c r="BR110" s="3627">
        <f t="shared" si="61"/>
        <v>0</v>
      </c>
      <c r="BS110" s="4056"/>
      <c r="BT110" s="4057"/>
    </row>
    <row r="111" s="3566" customFormat="1" ht="50" customHeight="1" spans="1:72">
      <c r="A111" s="3635">
        <v>45666</v>
      </c>
      <c r="B111" s="3617" t="s">
        <v>6341</v>
      </c>
      <c r="C111" s="3617" t="s">
        <v>506</v>
      </c>
      <c r="D111" s="3624">
        <v>4500155576</v>
      </c>
      <c r="E111" s="959" t="s">
        <v>6446</v>
      </c>
      <c r="F111" s="3617" t="s">
        <v>6447</v>
      </c>
      <c r="G111" s="959" t="s">
        <v>6124</v>
      </c>
      <c r="H111" s="3618" t="s">
        <v>6063</v>
      </c>
      <c r="I111" s="3618">
        <v>420</v>
      </c>
      <c r="J111" s="3618">
        <v>0</v>
      </c>
      <c r="K111" s="3618">
        <v>12</v>
      </c>
      <c r="L111" s="4052">
        <f t="shared" si="56"/>
        <v>35</v>
      </c>
      <c r="M111" s="3619">
        <v>45719</v>
      </c>
      <c r="N111" s="3619">
        <v>45715</v>
      </c>
      <c r="O111" s="3618"/>
      <c r="P111" s="959" t="s">
        <v>82</v>
      </c>
      <c r="Q111" s="959"/>
      <c r="R111" s="959"/>
      <c r="S111" s="959"/>
      <c r="T111" s="4053"/>
      <c r="U111" s="3620" t="s">
        <v>2392</v>
      </c>
      <c r="V111" s="3640" t="s">
        <v>3042</v>
      </c>
      <c r="W111" s="3640"/>
      <c r="X111" s="3640" t="s">
        <v>6345</v>
      </c>
      <c r="Y111" s="3640"/>
      <c r="Z111" s="3623"/>
      <c r="AA111" s="3620" t="s">
        <v>6439</v>
      </c>
      <c r="AB111" s="3624" t="s">
        <v>3202</v>
      </c>
      <c r="AC111" s="3686">
        <v>2.2444</v>
      </c>
      <c r="AD111" s="3618">
        <f t="shared" si="63"/>
        <v>942.648</v>
      </c>
      <c r="AE111" s="3633" t="s">
        <v>6440</v>
      </c>
      <c r="AF111" s="959" t="s">
        <v>6124</v>
      </c>
      <c r="AG111" s="3620" t="s">
        <v>416</v>
      </c>
      <c r="AH111" s="3620" t="s">
        <v>6448</v>
      </c>
      <c r="AI111" s="3620"/>
      <c r="AJ111" s="3620"/>
      <c r="AK111" s="959">
        <f>I111</f>
        <v>420</v>
      </c>
      <c r="AL111" s="959"/>
      <c r="AM111" s="959"/>
      <c r="AN111" s="959"/>
      <c r="AO111" s="959"/>
      <c r="AP111" s="3618">
        <f t="shared" si="55"/>
        <v>420</v>
      </c>
      <c r="AQ111" s="3618"/>
      <c r="AR111" s="3626"/>
      <c r="AS111" s="3626">
        <f t="shared" si="62"/>
        <v>420</v>
      </c>
      <c r="AT111" s="3626"/>
      <c r="AU111" s="3626"/>
      <c r="AV111" s="3626"/>
      <c r="AW111" s="3626">
        <f t="shared" si="64"/>
        <v>70</v>
      </c>
      <c r="AX111" s="3626"/>
      <c r="AY111" s="3626"/>
      <c r="AZ111" s="3626"/>
      <c r="BA111" s="3626"/>
      <c r="BB111" s="3626"/>
      <c r="BC111" s="3626"/>
      <c r="BD111" s="3626"/>
      <c r="BE111" s="3626"/>
      <c r="BF111" s="3626"/>
      <c r="BG111" s="3626"/>
      <c r="BH111" s="3626"/>
      <c r="BI111" s="3626" t="s">
        <v>89</v>
      </c>
      <c r="BJ111" s="3626">
        <f t="shared" si="65"/>
        <v>14</v>
      </c>
      <c r="BK111" s="3626">
        <f t="shared" si="66"/>
        <v>70</v>
      </c>
      <c r="BL111" s="3626">
        <f t="shared" si="67"/>
        <v>70</v>
      </c>
      <c r="BM111" s="3626">
        <f t="shared" si="68"/>
        <v>56</v>
      </c>
      <c r="BN111" s="3626">
        <f t="shared" si="69"/>
        <v>70</v>
      </c>
      <c r="BO111" s="4055">
        <f t="shared" si="70"/>
        <v>70</v>
      </c>
      <c r="BP111" s="3627">
        <f t="shared" si="71"/>
        <v>70</v>
      </c>
      <c r="BQ111" s="3627">
        <f t="shared" si="60"/>
        <v>420</v>
      </c>
      <c r="BR111" s="3627">
        <f t="shared" si="61"/>
        <v>0</v>
      </c>
      <c r="BS111" s="4056"/>
      <c r="BT111" s="4057"/>
    </row>
    <row r="112" s="3566" customFormat="1" ht="50" customHeight="1" spans="1:72">
      <c r="A112" s="3635">
        <v>45666</v>
      </c>
      <c r="B112" s="3617" t="s">
        <v>6341</v>
      </c>
      <c r="C112" s="3617" t="s">
        <v>506</v>
      </c>
      <c r="D112" s="3624">
        <v>4500155576</v>
      </c>
      <c r="E112" s="959" t="s">
        <v>6449</v>
      </c>
      <c r="F112" s="3617" t="s">
        <v>6450</v>
      </c>
      <c r="G112" s="959" t="s">
        <v>6124</v>
      </c>
      <c r="H112" s="3618" t="s">
        <v>6063</v>
      </c>
      <c r="I112" s="3618">
        <v>204</v>
      </c>
      <c r="J112" s="3618">
        <v>0</v>
      </c>
      <c r="K112" s="3618">
        <v>12</v>
      </c>
      <c r="L112" s="4052">
        <f t="shared" si="56"/>
        <v>17</v>
      </c>
      <c r="M112" s="3619">
        <v>45719</v>
      </c>
      <c r="N112" s="3619">
        <v>45715</v>
      </c>
      <c r="O112" s="3618"/>
      <c r="P112" s="959" t="s">
        <v>82</v>
      </c>
      <c r="Q112" s="959"/>
      <c r="R112" s="959"/>
      <c r="S112" s="959"/>
      <c r="T112" s="4053"/>
      <c r="U112" s="3620" t="s">
        <v>2385</v>
      </c>
      <c r="V112" s="3640" t="s">
        <v>3042</v>
      </c>
      <c r="W112" s="3640"/>
      <c r="X112" s="3640" t="s">
        <v>6345</v>
      </c>
      <c r="Y112" s="3640"/>
      <c r="Z112" s="3623"/>
      <c r="AA112" s="3620" t="s">
        <v>6439</v>
      </c>
      <c r="AB112" s="3624" t="s">
        <v>3202</v>
      </c>
      <c r="AC112" s="3686">
        <v>2.2444</v>
      </c>
      <c r="AD112" s="3618">
        <f t="shared" si="63"/>
        <v>457.8576</v>
      </c>
      <c r="AE112" s="3633" t="s">
        <v>6451</v>
      </c>
      <c r="AF112" s="959" t="s">
        <v>6124</v>
      </c>
      <c r="AG112" s="3620" t="s">
        <v>416</v>
      </c>
      <c r="AH112" s="3620" t="s">
        <v>6452</v>
      </c>
      <c r="AI112" s="3620"/>
      <c r="AJ112" s="3620"/>
      <c r="AK112" s="959">
        <f>I112</f>
        <v>204</v>
      </c>
      <c r="AL112" s="959"/>
      <c r="AM112" s="959"/>
      <c r="AN112" s="959"/>
      <c r="AO112" s="959"/>
      <c r="AP112" s="3618">
        <f t="shared" si="55"/>
        <v>204</v>
      </c>
      <c r="AQ112" s="3618"/>
      <c r="AR112" s="3626"/>
      <c r="AS112" s="3626">
        <f t="shared" si="62"/>
        <v>204</v>
      </c>
      <c r="AT112" s="3626"/>
      <c r="AU112" s="3626"/>
      <c r="AV112" s="3626"/>
      <c r="AW112" s="3626">
        <f t="shared" si="64"/>
        <v>34</v>
      </c>
      <c r="AX112" s="3626"/>
      <c r="AY112" s="3626"/>
      <c r="AZ112" s="3626"/>
      <c r="BA112" s="3626"/>
      <c r="BB112" s="3626"/>
      <c r="BC112" s="3626"/>
      <c r="BD112" s="3626"/>
      <c r="BE112" s="3626"/>
      <c r="BF112" s="3626"/>
      <c r="BG112" s="3626"/>
      <c r="BH112" s="3626"/>
      <c r="BI112" s="3626" t="s">
        <v>89</v>
      </c>
      <c r="BJ112" s="3626">
        <f t="shared" si="65"/>
        <v>6.8</v>
      </c>
      <c r="BK112" s="3626">
        <f t="shared" si="66"/>
        <v>34</v>
      </c>
      <c r="BL112" s="3626">
        <f t="shared" si="67"/>
        <v>34</v>
      </c>
      <c r="BM112" s="3626">
        <f t="shared" si="68"/>
        <v>27.2</v>
      </c>
      <c r="BN112" s="3626">
        <f t="shared" si="69"/>
        <v>34</v>
      </c>
      <c r="BO112" s="4055">
        <f t="shared" si="70"/>
        <v>34</v>
      </c>
      <c r="BP112" s="3627">
        <f t="shared" si="71"/>
        <v>34</v>
      </c>
      <c r="BQ112" s="3627">
        <f t="shared" si="60"/>
        <v>204</v>
      </c>
      <c r="BR112" s="3627">
        <f t="shared" si="61"/>
        <v>0</v>
      </c>
      <c r="BS112" s="4056"/>
      <c r="BT112" s="4057"/>
    </row>
    <row r="113" s="3566" customFormat="1" ht="50" customHeight="1" spans="1:72">
      <c r="A113" s="3635">
        <v>45672</v>
      </c>
      <c r="B113" s="3630" t="s">
        <v>515</v>
      </c>
      <c r="C113" s="3617" t="s">
        <v>516</v>
      </c>
      <c r="D113" s="3629">
        <v>4500155723</v>
      </c>
      <c r="E113" s="959"/>
      <c r="F113" s="3631" t="s">
        <v>6453</v>
      </c>
      <c r="G113" s="959" t="s">
        <v>6124</v>
      </c>
      <c r="H113" s="3618" t="s">
        <v>6063</v>
      </c>
      <c r="I113" s="3618">
        <v>3000</v>
      </c>
      <c r="J113" s="3618">
        <v>0</v>
      </c>
      <c r="K113" s="3618">
        <v>12</v>
      </c>
      <c r="L113" s="4052">
        <f t="shared" si="56"/>
        <v>250</v>
      </c>
      <c r="M113" s="3619">
        <v>45720</v>
      </c>
      <c r="N113" s="3619">
        <v>45716</v>
      </c>
      <c r="O113" s="3618"/>
      <c r="P113" s="959" t="s">
        <v>82</v>
      </c>
      <c r="Q113" s="3636"/>
      <c r="R113" s="3636"/>
      <c r="S113" s="3636"/>
      <c r="T113" s="4076"/>
      <c r="U113" s="3649" t="s">
        <v>785</v>
      </c>
      <c r="V113" s="3640" t="s">
        <v>786</v>
      </c>
      <c r="W113" s="3640"/>
      <c r="X113" s="3640" t="s">
        <v>3101</v>
      </c>
      <c r="Y113" s="3640"/>
      <c r="Z113" s="3623"/>
      <c r="AA113" s="3620" t="s">
        <v>6454</v>
      </c>
      <c r="AB113" s="3624" t="s">
        <v>521</v>
      </c>
      <c r="AC113" s="3686">
        <v>2.298</v>
      </c>
      <c r="AD113" s="3618">
        <f t="shared" si="63"/>
        <v>6894</v>
      </c>
      <c r="AE113" s="3633" t="s">
        <v>789</v>
      </c>
      <c r="AF113" s="959" t="s">
        <v>6126</v>
      </c>
      <c r="AG113" s="3620" t="s">
        <v>416</v>
      </c>
      <c r="AH113" s="3620" t="s">
        <v>6455</v>
      </c>
      <c r="AI113" s="3620"/>
      <c r="AJ113" s="3620"/>
      <c r="AK113" s="959"/>
      <c r="AL113" s="959"/>
      <c r="AM113" s="959">
        <f>I113</f>
        <v>3000</v>
      </c>
      <c r="AN113" s="959"/>
      <c r="AO113" s="959"/>
      <c r="AP113" s="3618">
        <f t="shared" si="55"/>
        <v>3000</v>
      </c>
      <c r="AQ113" s="3618"/>
      <c r="AR113" s="3626"/>
      <c r="AS113" s="3626">
        <f t="shared" si="62"/>
        <v>3000</v>
      </c>
      <c r="AT113" s="3626"/>
      <c r="AU113" s="3626"/>
      <c r="AV113" s="3626"/>
      <c r="AW113" s="3626">
        <f t="shared" si="64"/>
        <v>500</v>
      </c>
      <c r="AX113" s="3626"/>
      <c r="AY113" s="3626"/>
      <c r="AZ113" s="3626"/>
      <c r="BA113" s="3626"/>
      <c r="BB113" s="3626"/>
      <c r="BC113" s="3626"/>
      <c r="BD113" s="3626"/>
      <c r="BE113" s="3626"/>
      <c r="BF113" s="3626"/>
      <c r="BG113" s="3626"/>
      <c r="BH113" s="3626"/>
      <c r="BI113" s="3626" t="s">
        <v>89</v>
      </c>
      <c r="BJ113" s="3626">
        <f t="shared" si="65"/>
        <v>100</v>
      </c>
      <c r="BK113" s="3626">
        <f t="shared" si="66"/>
        <v>500</v>
      </c>
      <c r="BL113" s="3626">
        <f t="shared" si="67"/>
        <v>500</v>
      </c>
      <c r="BM113" s="3626">
        <f t="shared" si="68"/>
        <v>400</v>
      </c>
      <c r="BN113" s="3626">
        <f t="shared" si="69"/>
        <v>500</v>
      </c>
      <c r="BO113" s="4055">
        <f t="shared" si="70"/>
        <v>500</v>
      </c>
      <c r="BP113" s="3627">
        <f t="shared" si="71"/>
        <v>500</v>
      </c>
      <c r="BQ113" s="3627">
        <f t="shared" si="60"/>
        <v>3000</v>
      </c>
      <c r="BR113" s="3627">
        <f t="shared" si="61"/>
        <v>0</v>
      </c>
      <c r="BS113" s="4056"/>
      <c r="BT113" s="4057"/>
    </row>
    <row r="114" s="3566" customFormat="1" ht="50" customHeight="1" spans="1:72">
      <c r="A114" s="3635">
        <v>45594</v>
      </c>
      <c r="B114" s="3617" t="s">
        <v>737</v>
      </c>
      <c r="C114" s="959" t="s">
        <v>738</v>
      </c>
      <c r="D114" s="3618">
        <v>4500149460</v>
      </c>
      <c r="E114" s="959">
        <v>61900883</v>
      </c>
      <c r="F114" s="959" t="s">
        <v>6456</v>
      </c>
      <c r="G114" s="959" t="s">
        <v>6124</v>
      </c>
      <c r="H114" s="3618" t="s">
        <v>6063</v>
      </c>
      <c r="I114" s="3618">
        <v>540</v>
      </c>
      <c r="J114" s="3618">
        <v>0</v>
      </c>
      <c r="K114" s="3618">
        <v>12</v>
      </c>
      <c r="L114" s="4052">
        <f t="shared" si="56"/>
        <v>45</v>
      </c>
      <c r="M114" s="3619">
        <v>45708</v>
      </c>
      <c r="N114" s="3619">
        <v>45703</v>
      </c>
      <c r="O114" s="3618"/>
      <c r="P114" s="959" t="s">
        <v>82</v>
      </c>
      <c r="Q114" s="959"/>
      <c r="R114" s="959"/>
      <c r="S114" s="959"/>
      <c r="T114" s="4053"/>
      <c r="U114" s="3645" t="s">
        <v>740</v>
      </c>
      <c r="V114" s="3640" t="s">
        <v>741</v>
      </c>
      <c r="W114" s="3640"/>
      <c r="X114" s="3640" t="s">
        <v>3039</v>
      </c>
      <c r="Y114" s="3640" t="s">
        <v>743</v>
      </c>
      <c r="Z114" s="3623"/>
      <c r="AA114" s="3638" t="s">
        <v>6457</v>
      </c>
      <c r="AB114" s="4054" t="s">
        <v>459</v>
      </c>
      <c r="AC114" s="3618">
        <v>2.3068</v>
      </c>
      <c r="AD114" s="3618">
        <f t="shared" si="63"/>
        <v>1245.672</v>
      </c>
      <c r="AE114" s="3633" t="s">
        <v>745</v>
      </c>
      <c r="AF114" s="959" t="s">
        <v>6126</v>
      </c>
      <c r="AG114" s="3620" t="s">
        <v>416</v>
      </c>
      <c r="AH114" s="3620" t="s">
        <v>6458</v>
      </c>
      <c r="AI114" s="3620"/>
      <c r="AJ114" s="3620"/>
      <c r="AK114" s="959"/>
      <c r="AL114" s="959"/>
      <c r="AM114" s="959">
        <f>I114</f>
        <v>540</v>
      </c>
      <c r="AN114" s="959"/>
      <c r="AO114" s="959"/>
      <c r="AP114" s="3618">
        <f t="shared" si="55"/>
        <v>540</v>
      </c>
      <c r="AQ114" s="3618"/>
      <c r="AR114" s="3626"/>
      <c r="AS114" s="3626">
        <f t="shared" si="62"/>
        <v>540</v>
      </c>
      <c r="AT114" s="3626"/>
      <c r="AU114" s="3626"/>
      <c r="AV114" s="3626"/>
      <c r="AW114" s="3626">
        <f t="shared" si="64"/>
        <v>90</v>
      </c>
      <c r="AX114" s="3626"/>
      <c r="AY114" s="3626"/>
      <c r="AZ114" s="3626"/>
      <c r="BA114" s="3626"/>
      <c r="BB114" s="3626"/>
      <c r="BC114" s="3626"/>
      <c r="BD114" s="3626"/>
      <c r="BE114" s="3626"/>
      <c r="BG114" s="3626"/>
      <c r="BH114" s="3626"/>
      <c r="BI114" s="3626" t="s">
        <v>89</v>
      </c>
      <c r="BJ114" s="3626">
        <f t="shared" si="65"/>
        <v>18</v>
      </c>
      <c r="BK114" s="3626">
        <f t="shared" si="66"/>
        <v>90</v>
      </c>
      <c r="BL114" s="3626">
        <f t="shared" si="67"/>
        <v>90</v>
      </c>
      <c r="BM114" s="3626">
        <f t="shared" si="68"/>
        <v>72</v>
      </c>
      <c r="BN114" s="3626">
        <f t="shared" si="69"/>
        <v>90</v>
      </c>
      <c r="BO114" s="4055">
        <f t="shared" si="70"/>
        <v>90</v>
      </c>
      <c r="BP114" s="3627">
        <f t="shared" si="71"/>
        <v>90</v>
      </c>
      <c r="BQ114" s="3627">
        <f t="shared" si="60"/>
        <v>540</v>
      </c>
      <c r="BR114" s="3627">
        <f t="shared" si="61"/>
        <v>0</v>
      </c>
      <c r="BS114" s="4056"/>
      <c r="BT114" s="4057"/>
    </row>
    <row r="115" s="3566" customFormat="1" ht="50" customHeight="1" spans="1:72">
      <c r="A115" s="3635">
        <v>45650</v>
      </c>
      <c r="B115" s="3617" t="s">
        <v>6459</v>
      </c>
      <c r="C115" s="3617" t="s">
        <v>506</v>
      </c>
      <c r="D115" s="3624">
        <v>4500154618</v>
      </c>
      <c r="E115" s="3618">
        <v>2385720</v>
      </c>
      <c r="F115" s="3617" t="s">
        <v>6460</v>
      </c>
      <c r="G115" s="959" t="s">
        <v>6124</v>
      </c>
      <c r="H115" s="3618" t="s">
        <v>6063</v>
      </c>
      <c r="I115" s="3618">
        <v>1500</v>
      </c>
      <c r="J115" s="3618">
        <v>0</v>
      </c>
      <c r="K115" s="3618">
        <v>12</v>
      </c>
      <c r="L115" s="4052">
        <f t="shared" si="56"/>
        <v>125</v>
      </c>
      <c r="M115" s="3619">
        <v>45712</v>
      </c>
      <c r="N115" s="3619">
        <v>45708</v>
      </c>
      <c r="O115" s="959" t="s">
        <v>6336</v>
      </c>
      <c r="P115" s="959" t="s">
        <v>82</v>
      </c>
      <c r="Q115" s="959"/>
      <c r="R115" s="959"/>
      <c r="S115" s="959"/>
      <c r="T115" s="4053"/>
      <c r="U115" s="3620" t="s">
        <v>6461</v>
      </c>
      <c r="V115" s="3640" t="s">
        <v>2354</v>
      </c>
      <c r="W115" s="3640"/>
      <c r="X115" s="3640" t="s">
        <v>6462</v>
      </c>
      <c r="Y115" s="3640"/>
      <c r="Z115" s="3623"/>
      <c r="AA115" s="3620" t="s">
        <v>6463</v>
      </c>
      <c r="AB115" s="3624" t="s">
        <v>3202</v>
      </c>
      <c r="AC115" s="3686">
        <v>2.4252</v>
      </c>
      <c r="AD115" s="3618">
        <f t="shared" si="63"/>
        <v>3637.8</v>
      </c>
      <c r="AE115" s="3633" t="s">
        <v>6464</v>
      </c>
      <c r="AF115" s="959" t="s">
        <v>6124</v>
      </c>
      <c r="AG115" s="3620" t="s">
        <v>416</v>
      </c>
      <c r="AH115" s="3620" t="s">
        <v>6465</v>
      </c>
      <c r="AI115" s="3620"/>
      <c r="AJ115" s="3620"/>
      <c r="AK115" s="959">
        <f>I115</f>
        <v>1500</v>
      </c>
      <c r="AL115" s="959"/>
      <c r="AM115" s="959"/>
      <c r="AN115" s="959"/>
      <c r="AO115" s="959"/>
      <c r="AP115" s="3618">
        <f t="shared" si="55"/>
        <v>1500</v>
      </c>
      <c r="AQ115" s="3618"/>
      <c r="AR115" s="3626"/>
      <c r="AS115" s="3626">
        <f t="shared" si="62"/>
        <v>1500</v>
      </c>
      <c r="AT115" s="3626"/>
      <c r="AU115" s="3626"/>
      <c r="AV115" s="3626"/>
      <c r="AW115" s="3626">
        <f t="shared" si="64"/>
        <v>250</v>
      </c>
      <c r="AX115" s="3626"/>
      <c r="AY115" s="3626"/>
      <c r="AZ115" s="3626"/>
      <c r="BA115" s="3626"/>
      <c r="BB115" s="3626"/>
      <c r="BC115" s="3626"/>
      <c r="BD115" s="3626"/>
      <c r="BE115" s="3626"/>
      <c r="BG115" s="3626"/>
      <c r="BH115" s="3626"/>
      <c r="BI115" s="3626" t="s">
        <v>89</v>
      </c>
      <c r="BJ115" s="3626">
        <f t="shared" si="65"/>
        <v>50</v>
      </c>
      <c r="BK115" s="3626">
        <f t="shared" si="66"/>
        <v>250</v>
      </c>
      <c r="BL115" s="3626">
        <f t="shared" si="67"/>
        <v>250</v>
      </c>
      <c r="BM115" s="3626">
        <f t="shared" si="68"/>
        <v>200</v>
      </c>
      <c r="BN115" s="3626">
        <f t="shared" si="69"/>
        <v>250</v>
      </c>
      <c r="BO115" s="4055">
        <f t="shared" si="70"/>
        <v>250</v>
      </c>
      <c r="BP115" s="3627">
        <f t="shared" si="71"/>
        <v>250</v>
      </c>
      <c r="BQ115" s="3627">
        <f t="shared" si="60"/>
        <v>1500</v>
      </c>
      <c r="BR115" s="3627">
        <f t="shared" si="61"/>
        <v>0</v>
      </c>
      <c r="BS115" s="4056"/>
      <c r="BT115" s="4057"/>
    </row>
    <row r="116" s="3566" customFormat="1" ht="50" customHeight="1" spans="1:72">
      <c r="A116" s="3635">
        <v>45708</v>
      </c>
      <c r="B116" s="3617"/>
      <c r="C116" s="3617"/>
      <c r="D116" s="3624" t="s">
        <v>3051</v>
      </c>
      <c r="E116" s="3618"/>
      <c r="F116" s="3617"/>
      <c r="G116" s="959" t="s">
        <v>3520</v>
      </c>
      <c r="H116" s="3618" t="s">
        <v>6063</v>
      </c>
      <c r="I116" s="3618">
        <v>7</v>
      </c>
      <c r="J116" s="3618"/>
      <c r="K116" s="3618">
        <v>7</v>
      </c>
      <c r="L116" s="4052">
        <f t="shared" si="56"/>
        <v>1</v>
      </c>
      <c r="M116" s="3619">
        <v>45714</v>
      </c>
      <c r="N116" s="3619">
        <v>45710</v>
      </c>
      <c r="O116" s="3618"/>
      <c r="P116" s="959" t="s">
        <v>3052</v>
      </c>
      <c r="Q116" s="959"/>
      <c r="R116" s="959"/>
      <c r="S116" s="959"/>
      <c r="T116" s="4053"/>
      <c r="U116" s="3620"/>
      <c r="V116" s="3649" t="s">
        <v>335</v>
      </c>
      <c r="W116" s="3649"/>
      <c r="X116" s="3649" t="s">
        <v>98</v>
      </c>
      <c r="Y116" s="3640"/>
      <c r="Z116" s="3623"/>
      <c r="AA116" s="3620" t="s">
        <v>3053</v>
      </c>
      <c r="AB116" s="3624" t="s">
        <v>3054</v>
      </c>
      <c r="AC116" s="3618"/>
      <c r="AD116" s="3618"/>
      <c r="AE116" s="3633"/>
      <c r="AF116" s="959" t="s">
        <v>3520</v>
      </c>
      <c r="AG116" s="3620" t="s">
        <v>416</v>
      </c>
      <c r="AH116" s="3620"/>
      <c r="AI116" s="3620"/>
      <c r="AJ116" s="3620"/>
      <c r="AK116" s="959"/>
      <c r="AL116" s="959"/>
      <c r="AM116" s="959">
        <f>I116</f>
        <v>7</v>
      </c>
      <c r="AN116" s="959"/>
      <c r="AO116" s="959"/>
      <c r="AP116" s="3618">
        <f t="shared" si="55"/>
        <v>7</v>
      </c>
      <c r="AQ116" s="3618"/>
      <c r="AR116" s="3626"/>
      <c r="AS116" s="3626">
        <f t="shared" si="62"/>
        <v>7</v>
      </c>
      <c r="AT116" s="3626"/>
      <c r="AU116" s="3626"/>
      <c r="AV116" s="3626"/>
      <c r="AW116" s="3626"/>
      <c r="AX116" s="3626"/>
      <c r="AY116" s="3626"/>
      <c r="AZ116" s="3626"/>
      <c r="BA116" s="3626"/>
      <c r="BB116" s="3626"/>
      <c r="BC116" s="3626"/>
      <c r="BD116" s="3626"/>
      <c r="BE116" s="3626"/>
      <c r="BF116" s="3626"/>
      <c r="BG116" s="3626"/>
      <c r="BH116" s="3626"/>
      <c r="BI116" s="3626" t="s">
        <v>89</v>
      </c>
      <c r="BJ116" s="3626">
        <f>1</f>
        <v>1</v>
      </c>
      <c r="BK116" s="3626">
        <f>BJ116</f>
        <v>1</v>
      </c>
      <c r="BL116" s="3626">
        <v>1</v>
      </c>
      <c r="BM116" s="3626">
        <v>1</v>
      </c>
      <c r="BN116" s="3626">
        <v>1</v>
      </c>
      <c r="BO116" s="4055">
        <v>1</v>
      </c>
      <c r="BP116" s="3627">
        <v>1</v>
      </c>
      <c r="BQ116" s="3627">
        <f t="shared" si="60"/>
        <v>7</v>
      </c>
      <c r="BR116" s="3627">
        <f t="shared" si="61"/>
        <v>0</v>
      </c>
      <c r="BS116" s="4056"/>
      <c r="BT116" s="4057"/>
    </row>
    <row r="117" s="3566" customFormat="1" ht="50" customHeight="1" spans="1:72">
      <c r="A117" s="3635">
        <v>45651</v>
      </c>
      <c r="B117" s="3617" t="s">
        <v>737</v>
      </c>
      <c r="C117" s="3617" t="s">
        <v>738</v>
      </c>
      <c r="D117" s="3624">
        <v>4500154604</v>
      </c>
      <c r="E117" s="3618">
        <v>61900884</v>
      </c>
      <c r="F117" s="3617" t="s">
        <v>6466</v>
      </c>
      <c r="G117" s="959" t="s">
        <v>6124</v>
      </c>
      <c r="H117" s="3618" t="s">
        <v>6063</v>
      </c>
      <c r="I117" s="3618">
        <v>540</v>
      </c>
      <c r="J117" s="3618">
        <v>0</v>
      </c>
      <c r="K117" s="3618">
        <v>12</v>
      </c>
      <c r="L117" s="4052">
        <f t="shared" si="56"/>
        <v>45</v>
      </c>
      <c r="M117" s="3619">
        <v>45721</v>
      </c>
      <c r="N117" s="3619">
        <v>45717</v>
      </c>
      <c r="O117" s="3618"/>
      <c r="P117" s="959" t="s">
        <v>82</v>
      </c>
      <c r="Q117" s="959"/>
      <c r="R117" s="959"/>
      <c r="S117" s="959"/>
      <c r="T117" s="4053"/>
      <c r="U117" s="3645" t="s">
        <v>803</v>
      </c>
      <c r="V117" s="3640" t="s">
        <v>804</v>
      </c>
      <c r="W117" s="3640"/>
      <c r="X117" s="3640" t="s">
        <v>805</v>
      </c>
      <c r="Y117" s="3649" t="s">
        <v>806</v>
      </c>
      <c r="Z117" s="3618"/>
      <c r="AA117" s="3620" t="s">
        <v>6467</v>
      </c>
      <c r="AB117" s="3624" t="s">
        <v>459</v>
      </c>
      <c r="AC117" s="3686">
        <v>2.3068</v>
      </c>
      <c r="AD117" s="3618">
        <f>AC117*I117</f>
        <v>1245.672</v>
      </c>
      <c r="AE117" s="3633" t="s">
        <v>808</v>
      </c>
      <c r="AF117" s="959" t="s">
        <v>6126</v>
      </c>
      <c r="AG117" s="3620" t="s">
        <v>416</v>
      </c>
      <c r="AH117" s="3620"/>
      <c r="AI117" s="3620"/>
      <c r="AJ117" s="3620"/>
      <c r="AK117" s="959"/>
      <c r="AL117" s="959"/>
      <c r="AM117" s="959">
        <f>I117</f>
        <v>540</v>
      </c>
      <c r="AN117" s="959"/>
      <c r="AO117" s="959"/>
      <c r="AP117" s="3618">
        <f t="shared" si="55"/>
        <v>540</v>
      </c>
      <c r="AQ117" s="3618"/>
      <c r="AR117" s="3626"/>
      <c r="AS117" s="3626">
        <f t="shared" si="62"/>
        <v>540</v>
      </c>
      <c r="AT117" s="3626"/>
      <c r="AU117" s="3626"/>
      <c r="AV117" s="3626"/>
      <c r="AW117" s="3626">
        <f>I117/6</f>
        <v>90</v>
      </c>
      <c r="AX117" s="3626"/>
      <c r="AY117" s="3626"/>
      <c r="AZ117" s="3626"/>
      <c r="BA117" s="3626"/>
      <c r="BB117" s="3626"/>
      <c r="BC117" s="3626"/>
      <c r="BD117" s="3626"/>
      <c r="BE117" s="3626"/>
      <c r="BF117" s="3626"/>
      <c r="BG117" s="3626"/>
      <c r="BH117" s="3626"/>
      <c r="BI117" s="3626" t="s">
        <v>89</v>
      </c>
      <c r="BJ117" s="3626">
        <f>I117/60*2</f>
        <v>18</v>
      </c>
      <c r="BK117" s="3626">
        <f>I117/60*10</f>
        <v>90</v>
      </c>
      <c r="BL117" s="3626">
        <f>I117/60*10</f>
        <v>90</v>
      </c>
      <c r="BM117" s="3626">
        <f>I117/60*8</f>
        <v>72</v>
      </c>
      <c r="BN117" s="3626">
        <f>I117/60*10</f>
        <v>90</v>
      </c>
      <c r="BO117" s="4055">
        <f>I117/60*10</f>
        <v>90</v>
      </c>
      <c r="BP117" s="3627">
        <f>I117/60*10</f>
        <v>90</v>
      </c>
      <c r="BQ117" s="3627">
        <f t="shared" si="60"/>
        <v>540</v>
      </c>
      <c r="BR117" s="3627">
        <f t="shared" si="61"/>
        <v>0</v>
      </c>
      <c r="BS117" s="4056"/>
      <c r="BT117" s="4057"/>
    </row>
    <row r="118" s="3566" customFormat="1" ht="50" customHeight="1" spans="1:72">
      <c r="A118" s="3635">
        <v>45670</v>
      </c>
      <c r="B118" s="3617" t="s">
        <v>3012</v>
      </c>
      <c r="C118" s="3617" t="s">
        <v>569</v>
      </c>
      <c r="D118" s="3624">
        <v>4500155641</v>
      </c>
      <c r="E118" s="959" t="s">
        <v>6468</v>
      </c>
      <c r="F118" s="3617" t="s">
        <v>6469</v>
      </c>
      <c r="G118" s="959" t="s">
        <v>6281</v>
      </c>
      <c r="H118" s="959" t="s">
        <v>6292</v>
      </c>
      <c r="I118" s="3618">
        <v>512</v>
      </c>
      <c r="J118" s="3618">
        <v>0</v>
      </c>
      <c r="K118" s="3618">
        <v>32</v>
      </c>
      <c r="L118" s="4052">
        <v>16</v>
      </c>
      <c r="M118" s="3619">
        <v>45723</v>
      </c>
      <c r="N118" s="3619">
        <v>45719</v>
      </c>
      <c r="O118" s="3618"/>
      <c r="P118" s="959" t="s">
        <v>82</v>
      </c>
      <c r="Q118" s="959"/>
      <c r="R118" s="959"/>
      <c r="S118" s="959"/>
      <c r="T118" s="4053"/>
      <c r="U118" s="3620" t="s">
        <v>6470</v>
      </c>
      <c r="V118" s="3640" t="s">
        <v>6471</v>
      </c>
      <c r="W118" s="3640"/>
      <c r="X118" s="3647" t="s">
        <v>98</v>
      </c>
      <c r="Y118" s="3647" t="s">
        <v>6472</v>
      </c>
      <c r="Z118" s="3618" t="s">
        <v>6473</v>
      </c>
      <c r="AA118" s="3620" t="s">
        <v>6474</v>
      </c>
      <c r="AB118" s="3624" t="s">
        <v>1285</v>
      </c>
      <c r="AC118" s="3686">
        <v>2.3647</v>
      </c>
      <c r="AD118" s="3618">
        <f>AC118*I118</f>
        <v>1210.7264</v>
      </c>
      <c r="AE118" s="3633" t="s">
        <v>6475</v>
      </c>
      <c r="AF118" s="959" t="s">
        <v>6106</v>
      </c>
      <c r="AG118" s="3620" t="s">
        <v>416</v>
      </c>
      <c r="AH118" s="3620"/>
      <c r="AI118" s="3620"/>
      <c r="AJ118" s="3620"/>
      <c r="AK118" s="959"/>
      <c r="AL118" s="959"/>
      <c r="AM118" s="959">
        <f>I118</f>
        <v>512</v>
      </c>
      <c r="AN118" s="959"/>
      <c r="AO118" s="959"/>
      <c r="AP118" s="3618">
        <f t="shared" si="55"/>
        <v>512</v>
      </c>
      <c r="AQ118" s="3618"/>
      <c r="AR118" s="3626"/>
      <c r="AS118" s="3626">
        <f t="shared" si="62"/>
        <v>512</v>
      </c>
      <c r="AT118" s="3626"/>
      <c r="AU118" s="3626"/>
      <c r="AV118" s="3626"/>
      <c r="AW118" s="3626"/>
      <c r="AX118" s="3626"/>
      <c r="AY118" s="3626"/>
      <c r="AZ118" s="3626"/>
      <c r="BA118" s="3626"/>
      <c r="BB118" s="3626"/>
      <c r="BC118" s="3626"/>
      <c r="BD118" s="3626"/>
      <c r="BE118" s="3626"/>
      <c r="BF118" s="3626"/>
      <c r="BG118" s="3626"/>
      <c r="BH118" s="3626"/>
      <c r="BI118" s="3626" t="s">
        <v>89</v>
      </c>
      <c r="BJ118" s="3626"/>
      <c r="BK118" s="3626">
        <f>I118</f>
        <v>512</v>
      </c>
      <c r="BL118" s="3626"/>
      <c r="BM118" s="3626"/>
      <c r="BN118" s="3626"/>
      <c r="BO118" s="4055"/>
      <c r="BP118" s="3627"/>
      <c r="BQ118" s="3627">
        <f t="shared" si="60"/>
        <v>512</v>
      </c>
      <c r="BR118" s="3627">
        <f t="shared" si="61"/>
        <v>0</v>
      </c>
      <c r="BS118" s="4056"/>
      <c r="BT118" s="4057"/>
    </row>
    <row r="119" s="3566" customFormat="1" ht="50" customHeight="1" spans="1:72">
      <c r="A119" s="3635">
        <v>45670</v>
      </c>
      <c r="B119" s="3617" t="s">
        <v>3012</v>
      </c>
      <c r="C119" s="3617" t="s">
        <v>569</v>
      </c>
      <c r="D119" s="3624">
        <v>4500155641</v>
      </c>
      <c r="E119" s="959" t="s">
        <v>6468</v>
      </c>
      <c r="F119" s="3617" t="s">
        <v>6476</v>
      </c>
      <c r="G119" s="959" t="s">
        <v>6241</v>
      </c>
      <c r="H119" s="3618" t="s">
        <v>6242</v>
      </c>
      <c r="I119" s="3618">
        <v>512</v>
      </c>
      <c r="J119" s="3618">
        <v>0</v>
      </c>
      <c r="K119" s="3618">
        <v>32</v>
      </c>
      <c r="L119" s="4052">
        <v>16</v>
      </c>
      <c r="M119" s="3619">
        <v>45723</v>
      </c>
      <c r="N119" s="3619">
        <v>45719</v>
      </c>
      <c r="O119" s="3618"/>
      <c r="P119" s="959" t="s">
        <v>82</v>
      </c>
      <c r="Q119" s="959"/>
      <c r="R119" s="959"/>
      <c r="S119" s="959"/>
      <c r="T119" s="4053"/>
      <c r="U119" s="3620" t="s">
        <v>6470</v>
      </c>
      <c r="V119" s="3640" t="s">
        <v>6471</v>
      </c>
      <c r="W119" s="3640"/>
      <c r="X119" s="3647" t="s">
        <v>98</v>
      </c>
      <c r="Y119" s="3647" t="s">
        <v>6472</v>
      </c>
      <c r="Z119" s="3623" t="s">
        <v>6477</v>
      </c>
      <c r="AA119" s="3620" t="s">
        <v>6478</v>
      </c>
      <c r="AB119" s="3624" t="s">
        <v>1285</v>
      </c>
      <c r="AC119" s="3618">
        <v>2.3647</v>
      </c>
      <c r="AD119" s="3618">
        <v>1210.7264</v>
      </c>
      <c r="AE119" s="3633" t="s">
        <v>6475</v>
      </c>
      <c r="AF119" s="959" t="s">
        <v>6435</v>
      </c>
      <c r="AG119" s="3620" t="s">
        <v>416</v>
      </c>
      <c r="AH119" s="3620"/>
      <c r="AI119" s="3620"/>
      <c r="AJ119" s="3620"/>
      <c r="AK119" s="959"/>
      <c r="AL119" s="959"/>
      <c r="AM119" s="959">
        <f>I119</f>
        <v>512</v>
      </c>
      <c r="AN119" s="959"/>
      <c r="AO119" s="959"/>
      <c r="AP119" s="3618">
        <v>512</v>
      </c>
      <c r="AQ119" s="3618"/>
      <c r="AR119" s="3626"/>
      <c r="AS119" s="3626">
        <f t="shared" si="62"/>
        <v>512</v>
      </c>
      <c r="AT119" s="3626"/>
      <c r="AU119" s="3626"/>
      <c r="AV119" s="3626"/>
      <c r="AW119" s="3626"/>
      <c r="AX119" s="3626"/>
      <c r="AY119" s="3626"/>
      <c r="AZ119" s="3626"/>
      <c r="BA119" s="3626"/>
      <c r="BB119" s="3626"/>
      <c r="BC119" s="3626"/>
      <c r="BD119" s="3626"/>
      <c r="BE119" s="3626"/>
      <c r="BF119" s="3626"/>
      <c r="BG119" s="3626"/>
      <c r="BH119" s="3626"/>
      <c r="BI119" s="3626" t="s">
        <v>89</v>
      </c>
      <c r="BJ119" s="3626"/>
      <c r="BK119" s="3626"/>
      <c r="BL119" s="3626"/>
      <c r="BM119" s="3626"/>
      <c r="BN119" s="3626">
        <f>I119</f>
        <v>512</v>
      </c>
      <c r="BO119" s="4055"/>
      <c r="BP119" s="3627"/>
      <c r="BQ119" s="3627">
        <f t="shared" si="60"/>
        <v>512</v>
      </c>
      <c r="BR119" s="3627">
        <f t="shared" si="61"/>
        <v>0</v>
      </c>
      <c r="BS119" s="4056"/>
      <c r="BT119" s="4057"/>
    </row>
    <row r="120" s="3566" customFormat="1" ht="50" customHeight="1" spans="1:72">
      <c r="A120" s="3635">
        <v>45671</v>
      </c>
      <c r="B120" s="3617" t="s">
        <v>361</v>
      </c>
      <c r="C120" s="3617" t="s">
        <v>91</v>
      </c>
      <c r="D120" s="3624">
        <v>4500155812</v>
      </c>
      <c r="E120" s="959" t="s">
        <v>6479</v>
      </c>
      <c r="F120" s="3617" t="s">
        <v>6480</v>
      </c>
      <c r="G120" s="959" t="s">
        <v>6223</v>
      </c>
      <c r="H120" s="959" t="s">
        <v>6272</v>
      </c>
      <c r="I120" s="3618">
        <v>320</v>
      </c>
      <c r="J120" s="3618">
        <v>0</v>
      </c>
      <c r="K120" s="3618">
        <v>32</v>
      </c>
      <c r="L120" s="4052">
        <f t="shared" ref="L120:L183" si="72">I120/K120</f>
        <v>10</v>
      </c>
      <c r="M120" s="3619">
        <v>45729</v>
      </c>
      <c r="N120" s="3619">
        <v>45726</v>
      </c>
      <c r="O120" s="3618"/>
      <c r="P120" s="959" t="s">
        <v>82</v>
      </c>
      <c r="Q120" s="959"/>
      <c r="R120" s="959"/>
      <c r="S120" s="959"/>
      <c r="T120" s="4053"/>
      <c r="U120" s="3620" t="s">
        <v>863</v>
      </c>
      <c r="V120" s="3640" t="s">
        <v>3104</v>
      </c>
      <c r="W120" s="3640"/>
      <c r="X120" s="3640" t="s">
        <v>98</v>
      </c>
      <c r="Y120" s="3640" t="s">
        <v>6481</v>
      </c>
      <c r="Z120" s="3623" t="s">
        <v>6482</v>
      </c>
      <c r="AA120" s="3620" t="s">
        <v>6483</v>
      </c>
      <c r="AB120" s="3624" t="s">
        <v>369</v>
      </c>
      <c r="AC120" s="3618">
        <v>2.3647</v>
      </c>
      <c r="AD120" s="3618">
        <f t="shared" ref="AD120:AD127" si="73">AC120*I120</f>
        <v>756.704</v>
      </c>
      <c r="AE120" s="3633" t="s">
        <v>6484</v>
      </c>
      <c r="AF120" s="959" t="s">
        <v>6223</v>
      </c>
      <c r="AG120" s="3620" t="s">
        <v>416</v>
      </c>
      <c r="AH120" s="3620"/>
      <c r="AI120" s="3620"/>
      <c r="AJ120" s="3620"/>
      <c r="AK120" s="959">
        <f>I120</f>
        <v>320</v>
      </c>
      <c r="AL120" s="959"/>
      <c r="AM120" s="959"/>
      <c r="AN120" s="959"/>
      <c r="AO120" s="959"/>
      <c r="AP120" s="3618">
        <f t="shared" ref="AP120:AP131" si="74">I120</f>
        <v>320</v>
      </c>
      <c r="AQ120" s="3618"/>
      <c r="AR120" s="3626"/>
      <c r="AS120" s="3626">
        <f t="shared" si="62"/>
        <v>320</v>
      </c>
      <c r="AT120" s="3626"/>
      <c r="AU120" s="3626"/>
      <c r="AV120" s="3626"/>
      <c r="AW120" s="3626"/>
      <c r="AX120" s="3626"/>
      <c r="AY120" s="3626"/>
      <c r="AZ120" s="3626"/>
      <c r="BA120" s="3626"/>
      <c r="BB120" s="3626"/>
      <c r="BC120" s="3626"/>
      <c r="BD120" s="3626"/>
      <c r="BE120" s="3626"/>
      <c r="BF120" s="3626"/>
      <c r="BG120" s="3626"/>
      <c r="BH120" s="3626"/>
      <c r="BI120" s="3626" t="s">
        <v>89</v>
      </c>
      <c r="BJ120" s="3626"/>
      <c r="BK120" s="3626"/>
      <c r="BL120" s="3626">
        <f>I120</f>
        <v>320</v>
      </c>
      <c r="BM120" s="3626"/>
      <c r="BN120" s="3626"/>
      <c r="BO120" s="4055"/>
      <c r="BP120" s="3627"/>
      <c r="BQ120" s="3627">
        <f t="shared" si="60"/>
        <v>320</v>
      </c>
      <c r="BR120" s="3627">
        <f t="shared" si="61"/>
        <v>0</v>
      </c>
      <c r="BS120" s="4056"/>
      <c r="BT120" s="4057"/>
    </row>
    <row r="121" s="3566" customFormat="1" ht="50" customHeight="1" spans="1:72">
      <c r="A121" s="3635">
        <v>45671</v>
      </c>
      <c r="B121" s="3617" t="s">
        <v>361</v>
      </c>
      <c r="C121" s="3617" t="s">
        <v>91</v>
      </c>
      <c r="D121" s="3624">
        <v>4500155812</v>
      </c>
      <c r="E121" s="959" t="s">
        <v>6485</v>
      </c>
      <c r="F121" s="3617" t="s">
        <v>6486</v>
      </c>
      <c r="G121" s="959" t="s">
        <v>6223</v>
      </c>
      <c r="H121" s="959" t="s">
        <v>6272</v>
      </c>
      <c r="I121" s="3618">
        <v>160</v>
      </c>
      <c r="J121" s="3618">
        <v>0</v>
      </c>
      <c r="K121" s="3618">
        <v>32</v>
      </c>
      <c r="L121" s="4052">
        <f t="shared" si="72"/>
        <v>5</v>
      </c>
      <c r="M121" s="3619">
        <v>45729</v>
      </c>
      <c r="N121" s="3619">
        <v>45726</v>
      </c>
      <c r="O121" s="3618"/>
      <c r="P121" s="959" t="s">
        <v>82</v>
      </c>
      <c r="Q121" s="959"/>
      <c r="R121" s="959"/>
      <c r="S121" s="959"/>
      <c r="T121" s="4053"/>
      <c r="U121" s="3620" t="s">
        <v>863</v>
      </c>
      <c r="V121" s="3640" t="s">
        <v>3104</v>
      </c>
      <c r="W121" s="3640"/>
      <c r="X121" s="3640" t="s">
        <v>98</v>
      </c>
      <c r="Y121" s="3640" t="s">
        <v>6481</v>
      </c>
      <c r="Z121" s="3623" t="s">
        <v>6482</v>
      </c>
      <c r="AA121" s="3620" t="s">
        <v>6483</v>
      </c>
      <c r="AB121" s="3624" t="s">
        <v>369</v>
      </c>
      <c r="AC121" s="3618">
        <v>2.3647</v>
      </c>
      <c r="AD121" s="3618">
        <f t="shared" si="73"/>
        <v>378.352</v>
      </c>
      <c r="AE121" s="3633" t="s">
        <v>6484</v>
      </c>
      <c r="AF121" s="959" t="s">
        <v>6223</v>
      </c>
      <c r="AG121" s="3620" t="s">
        <v>416</v>
      </c>
      <c r="AH121" s="3620"/>
      <c r="AI121" s="3620"/>
      <c r="AJ121" s="3620"/>
      <c r="AK121" s="959">
        <f>I121</f>
        <v>160</v>
      </c>
      <c r="AL121" s="959"/>
      <c r="AM121" s="959"/>
      <c r="AN121" s="959"/>
      <c r="AO121" s="959"/>
      <c r="AP121" s="3618">
        <f t="shared" si="74"/>
        <v>160</v>
      </c>
      <c r="AQ121" s="3618"/>
      <c r="AR121" s="3626"/>
      <c r="AS121" s="3626">
        <f t="shared" si="62"/>
        <v>160</v>
      </c>
      <c r="AT121" s="3626"/>
      <c r="AU121" s="3626"/>
      <c r="AV121" s="3626"/>
      <c r="AW121" s="3626"/>
      <c r="AX121" s="3626"/>
      <c r="AY121" s="3626"/>
      <c r="AZ121" s="3626"/>
      <c r="BA121" s="3626"/>
      <c r="BB121" s="3626"/>
      <c r="BC121" s="3626"/>
      <c r="BD121" s="3626"/>
      <c r="BE121" s="3626"/>
      <c r="BF121" s="3626"/>
      <c r="BG121" s="3626"/>
      <c r="BH121" s="3626"/>
      <c r="BI121" s="3626" t="s">
        <v>89</v>
      </c>
      <c r="BJ121" s="3626"/>
      <c r="BK121" s="3626"/>
      <c r="BL121" s="3626">
        <f>I121</f>
        <v>160</v>
      </c>
      <c r="BM121" s="3626"/>
      <c r="BN121" s="3626"/>
      <c r="BO121" s="4055"/>
      <c r="BP121" s="3627"/>
      <c r="BQ121" s="3627">
        <f t="shared" si="60"/>
        <v>160</v>
      </c>
      <c r="BR121" s="3627">
        <f t="shared" si="61"/>
        <v>0</v>
      </c>
      <c r="BS121" s="4056"/>
      <c r="BT121" s="4057"/>
    </row>
    <row r="122" s="3566" customFormat="1" ht="50" customHeight="1" spans="1:72">
      <c r="A122" s="3635">
        <v>45670</v>
      </c>
      <c r="B122" s="3617" t="s">
        <v>361</v>
      </c>
      <c r="C122" s="3617" t="s">
        <v>91</v>
      </c>
      <c r="D122" s="3624">
        <v>4500155806</v>
      </c>
      <c r="E122" s="959" t="s">
        <v>6487</v>
      </c>
      <c r="F122" s="3617" t="s">
        <v>6488</v>
      </c>
      <c r="G122" s="959" t="s">
        <v>6223</v>
      </c>
      <c r="H122" s="959" t="s">
        <v>6272</v>
      </c>
      <c r="I122" s="3618">
        <v>96</v>
      </c>
      <c r="J122" s="3618">
        <v>0</v>
      </c>
      <c r="K122" s="3618">
        <v>32</v>
      </c>
      <c r="L122" s="4052">
        <f t="shared" si="72"/>
        <v>3</v>
      </c>
      <c r="M122" s="3619">
        <v>45729</v>
      </c>
      <c r="N122" s="3619">
        <v>45726</v>
      </c>
      <c r="O122" s="3618"/>
      <c r="P122" s="959" t="s">
        <v>82</v>
      </c>
      <c r="Q122" s="959"/>
      <c r="R122" s="959"/>
      <c r="S122" s="959"/>
      <c r="T122" s="4053"/>
      <c r="U122" s="3620" t="s">
        <v>863</v>
      </c>
      <c r="V122" s="3640" t="s">
        <v>3104</v>
      </c>
      <c r="W122" s="3640"/>
      <c r="X122" s="3640" t="s">
        <v>98</v>
      </c>
      <c r="Y122" s="3640" t="s">
        <v>6481</v>
      </c>
      <c r="Z122" s="3623" t="s">
        <v>6417</v>
      </c>
      <c r="AA122" s="3620" t="s">
        <v>6489</v>
      </c>
      <c r="AB122" s="3624" t="s">
        <v>369</v>
      </c>
      <c r="AC122" s="3618">
        <v>2.3647</v>
      </c>
      <c r="AD122" s="3618">
        <f t="shared" si="73"/>
        <v>227.0112</v>
      </c>
      <c r="AE122" s="3633" t="s">
        <v>6490</v>
      </c>
      <c r="AF122" s="959" t="s">
        <v>6223</v>
      </c>
      <c r="AG122" s="3620" t="s">
        <v>416</v>
      </c>
      <c r="AH122" s="3620"/>
      <c r="AI122" s="3620"/>
      <c r="AJ122" s="3620"/>
      <c r="AK122" s="959">
        <f>I122</f>
        <v>96</v>
      </c>
      <c r="AL122" s="959"/>
      <c r="AM122" s="959"/>
      <c r="AN122" s="959"/>
      <c r="AO122" s="959"/>
      <c r="AP122" s="3618">
        <f t="shared" si="74"/>
        <v>96</v>
      </c>
      <c r="AQ122" s="3618"/>
      <c r="AR122" s="3626"/>
      <c r="AS122" s="3626">
        <f t="shared" si="62"/>
        <v>96</v>
      </c>
      <c r="AT122" s="3626"/>
      <c r="AU122" s="3626"/>
      <c r="AV122" s="3626"/>
      <c r="AW122" s="3626"/>
      <c r="AX122" s="3626"/>
      <c r="AY122" s="3626"/>
      <c r="AZ122" s="3626"/>
      <c r="BA122" s="3626"/>
      <c r="BB122" s="3626"/>
      <c r="BC122" s="3626"/>
      <c r="BD122" s="3626"/>
      <c r="BE122" s="3626"/>
      <c r="BF122" s="3626"/>
      <c r="BG122" s="3626"/>
      <c r="BH122" s="3626"/>
      <c r="BI122" s="3626" t="s">
        <v>89</v>
      </c>
      <c r="BJ122" s="3626"/>
      <c r="BK122" s="3626"/>
      <c r="BL122" s="3626">
        <f>I122</f>
        <v>96</v>
      </c>
      <c r="BM122" s="3626"/>
      <c r="BN122" s="3626"/>
      <c r="BO122" s="4055"/>
      <c r="BP122" s="3627"/>
      <c r="BQ122" s="3627">
        <f t="shared" si="60"/>
        <v>96</v>
      </c>
      <c r="BR122" s="3627">
        <f t="shared" si="61"/>
        <v>0</v>
      </c>
      <c r="BS122" s="4056"/>
      <c r="BT122" s="4057"/>
    </row>
    <row r="123" s="3566" customFormat="1" ht="50" customHeight="1" spans="1:72">
      <c r="A123" s="3635">
        <v>45670</v>
      </c>
      <c r="B123" s="3617" t="s">
        <v>361</v>
      </c>
      <c r="C123" s="3617" t="s">
        <v>91</v>
      </c>
      <c r="D123" s="3624">
        <v>4500155806</v>
      </c>
      <c r="E123" s="959" t="s">
        <v>6491</v>
      </c>
      <c r="F123" s="3617" t="s">
        <v>6492</v>
      </c>
      <c r="G123" s="959" t="s">
        <v>6281</v>
      </c>
      <c r="H123" s="959" t="s">
        <v>6292</v>
      </c>
      <c r="I123" s="3618">
        <v>32</v>
      </c>
      <c r="J123" s="3618">
        <v>0</v>
      </c>
      <c r="K123" s="3618">
        <v>32</v>
      </c>
      <c r="L123" s="4052">
        <f t="shared" si="72"/>
        <v>1</v>
      </c>
      <c r="M123" s="3619">
        <v>45729</v>
      </c>
      <c r="N123" s="3619">
        <v>45726</v>
      </c>
      <c r="O123" s="3618"/>
      <c r="P123" s="959" t="s">
        <v>82</v>
      </c>
      <c r="Q123" s="959"/>
      <c r="R123" s="959"/>
      <c r="S123" s="959"/>
      <c r="T123" s="4053"/>
      <c r="U123" s="3620" t="s">
        <v>863</v>
      </c>
      <c r="V123" s="3640" t="s">
        <v>3104</v>
      </c>
      <c r="W123" s="3640"/>
      <c r="X123" s="3640" t="s">
        <v>98</v>
      </c>
      <c r="Y123" s="3640" t="s">
        <v>6481</v>
      </c>
      <c r="Z123" s="3623" t="s">
        <v>6417</v>
      </c>
      <c r="AA123" s="3620" t="s">
        <v>6489</v>
      </c>
      <c r="AB123" s="3624" t="s">
        <v>369</v>
      </c>
      <c r="AC123" s="3686">
        <v>2.3647</v>
      </c>
      <c r="AD123" s="3618">
        <f t="shared" si="73"/>
        <v>75.6704</v>
      </c>
      <c r="AE123" s="3633" t="s">
        <v>6490</v>
      </c>
      <c r="AF123" s="959" t="s">
        <v>6281</v>
      </c>
      <c r="AG123" s="3620" t="s">
        <v>416</v>
      </c>
      <c r="AH123" s="3620"/>
      <c r="AI123" s="3620"/>
      <c r="AJ123" s="3620"/>
      <c r="AK123" s="959">
        <f>I123</f>
        <v>32</v>
      </c>
      <c r="AL123" s="959"/>
      <c r="AM123" s="959"/>
      <c r="AN123" s="959"/>
      <c r="AO123" s="959"/>
      <c r="AP123" s="3618">
        <f t="shared" si="74"/>
        <v>32</v>
      </c>
      <c r="AQ123" s="3618"/>
      <c r="AR123" s="3626"/>
      <c r="AS123" s="3626">
        <f t="shared" si="62"/>
        <v>32</v>
      </c>
      <c r="AT123" s="3626"/>
      <c r="AU123" s="3626"/>
      <c r="AV123" s="3626"/>
      <c r="AW123" s="3626"/>
      <c r="AX123" s="3626"/>
      <c r="AY123" s="3626"/>
      <c r="AZ123" s="3626"/>
      <c r="BA123" s="3626"/>
      <c r="BB123" s="3626"/>
      <c r="BC123" s="3626"/>
      <c r="BD123" s="3626"/>
      <c r="BE123" s="3626"/>
      <c r="BF123" s="3626"/>
      <c r="BG123" s="3626"/>
      <c r="BH123" s="3626"/>
      <c r="BI123" s="3626" t="s">
        <v>89</v>
      </c>
      <c r="BJ123" s="3626"/>
      <c r="BK123" s="3626">
        <f>I123</f>
        <v>32</v>
      </c>
      <c r="BL123" s="3626"/>
      <c r="BM123" s="3626"/>
      <c r="BN123" s="3626"/>
      <c r="BO123" s="4055"/>
      <c r="BP123" s="3627"/>
      <c r="BQ123" s="3627">
        <f t="shared" si="60"/>
        <v>32</v>
      </c>
      <c r="BR123" s="3627">
        <f t="shared" si="61"/>
        <v>0</v>
      </c>
      <c r="BS123" s="4056"/>
      <c r="BT123" s="4057"/>
    </row>
    <row r="124" s="3566" customFormat="1" ht="50" customHeight="1" spans="1:72">
      <c r="A124" s="3635">
        <v>45670</v>
      </c>
      <c r="B124" s="3617" t="s">
        <v>361</v>
      </c>
      <c r="C124" s="3617" t="s">
        <v>91</v>
      </c>
      <c r="D124" s="3624">
        <v>4500155806</v>
      </c>
      <c r="E124" s="959" t="s">
        <v>6493</v>
      </c>
      <c r="F124" s="3617" t="s">
        <v>6494</v>
      </c>
      <c r="G124" s="959" t="s">
        <v>6281</v>
      </c>
      <c r="H124" s="959" t="s">
        <v>6292</v>
      </c>
      <c r="I124" s="3618">
        <v>576</v>
      </c>
      <c r="J124" s="3618">
        <v>0</v>
      </c>
      <c r="K124" s="3618">
        <v>32</v>
      </c>
      <c r="L124" s="4052">
        <f t="shared" si="72"/>
        <v>18</v>
      </c>
      <c r="M124" s="3619">
        <v>45729</v>
      </c>
      <c r="N124" s="3619">
        <v>45726</v>
      </c>
      <c r="O124" s="3618"/>
      <c r="P124" s="959" t="s">
        <v>82</v>
      </c>
      <c r="Q124" s="959"/>
      <c r="R124" s="959"/>
      <c r="S124" s="959"/>
      <c r="T124" s="4053"/>
      <c r="U124" s="3620" t="s">
        <v>863</v>
      </c>
      <c r="V124" s="3640" t="s">
        <v>3104</v>
      </c>
      <c r="W124" s="3640"/>
      <c r="X124" s="3640" t="s">
        <v>98</v>
      </c>
      <c r="Y124" s="3640" t="s">
        <v>6481</v>
      </c>
      <c r="Z124" s="3623" t="s">
        <v>6417</v>
      </c>
      <c r="AA124" s="3620" t="s">
        <v>6489</v>
      </c>
      <c r="AB124" s="3624" t="s">
        <v>369</v>
      </c>
      <c r="AC124" s="3686">
        <v>2.3647</v>
      </c>
      <c r="AD124" s="3618">
        <f t="shared" si="73"/>
        <v>1362.0672</v>
      </c>
      <c r="AE124" s="3633" t="s">
        <v>6490</v>
      </c>
      <c r="AF124" s="959" t="s">
        <v>6281</v>
      </c>
      <c r="AG124" s="3620" t="s">
        <v>416</v>
      </c>
      <c r="AH124" s="3620"/>
      <c r="AI124" s="3620"/>
      <c r="AJ124" s="3620"/>
      <c r="AK124" s="959">
        <f>I124</f>
        <v>576</v>
      </c>
      <c r="AL124" s="959"/>
      <c r="AM124" s="959"/>
      <c r="AN124" s="959"/>
      <c r="AO124" s="959"/>
      <c r="AP124" s="3618">
        <f t="shared" si="74"/>
        <v>576</v>
      </c>
      <c r="AQ124" s="3618"/>
      <c r="AR124" s="3626"/>
      <c r="AS124" s="3626">
        <f t="shared" si="62"/>
        <v>576</v>
      </c>
      <c r="AT124" s="3626"/>
      <c r="AU124" s="3626"/>
      <c r="AV124" s="3626"/>
      <c r="AW124" s="3626"/>
      <c r="AX124" s="3626"/>
      <c r="AY124" s="3626"/>
      <c r="AZ124" s="3626"/>
      <c r="BA124" s="3626"/>
      <c r="BB124" s="3626"/>
      <c r="BC124" s="3626"/>
      <c r="BD124" s="3626"/>
      <c r="BE124" s="3626"/>
      <c r="BF124" s="3626"/>
      <c r="BG124" s="3626"/>
      <c r="BH124" s="3626"/>
      <c r="BI124" s="3626" t="s">
        <v>89</v>
      </c>
      <c r="BJ124" s="3626"/>
      <c r="BK124" s="3626">
        <f>I124</f>
        <v>576</v>
      </c>
      <c r="BL124" s="3626"/>
      <c r="BM124" s="3626"/>
      <c r="BN124" s="3626"/>
      <c r="BO124" s="4055"/>
      <c r="BP124" s="3627"/>
      <c r="BQ124" s="3627">
        <f t="shared" si="60"/>
        <v>576</v>
      </c>
      <c r="BR124" s="3627">
        <f t="shared" si="61"/>
        <v>0</v>
      </c>
      <c r="BS124" s="4056"/>
      <c r="BT124" s="4057"/>
    </row>
    <row r="125" s="3566" customFormat="1" ht="50" customHeight="1" spans="1:72">
      <c r="A125" s="3635">
        <v>45672</v>
      </c>
      <c r="B125" s="3617" t="s">
        <v>2645</v>
      </c>
      <c r="C125" s="3617" t="s">
        <v>2058</v>
      </c>
      <c r="D125" s="4077">
        <v>4500155852</v>
      </c>
      <c r="E125" s="959">
        <v>5200006018</v>
      </c>
      <c r="F125" s="3617" t="s">
        <v>6495</v>
      </c>
      <c r="G125" s="959" t="s">
        <v>6084</v>
      </c>
      <c r="H125" s="3618" t="s">
        <v>6063</v>
      </c>
      <c r="I125" s="3618">
        <v>990</v>
      </c>
      <c r="J125" s="3618">
        <v>0</v>
      </c>
      <c r="K125" s="3618">
        <v>6</v>
      </c>
      <c r="L125" s="4052">
        <f t="shared" si="72"/>
        <v>165</v>
      </c>
      <c r="M125" s="3619">
        <v>45720</v>
      </c>
      <c r="N125" s="3619">
        <v>45716</v>
      </c>
      <c r="O125" s="3618"/>
      <c r="P125" s="959" t="s">
        <v>82</v>
      </c>
      <c r="Q125" s="959"/>
      <c r="R125" s="959"/>
      <c r="S125" s="959"/>
      <c r="T125" s="4053"/>
      <c r="U125" s="3645" t="s">
        <v>785</v>
      </c>
      <c r="V125" s="3640" t="s">
        <v>3104</v>
      </c>
      <c r="W125" s="3640"/>
      <c r="X125" s="3640" t="s">
        <v>6496</v>
      </c>
      <c r="Y125" s="3640"/>
      <c r="Z125" s="3623"/>
      <c r="AA125" s="3620" t="s">
        <v>6497</v>
      </c>
      <c r="AB125" s="3624" t="s">
        <v>3107</v>
      </c>
      <c r="AC125" s="3618">
        <v>2.2609</v>
      </c>
      <c r="AD125" s="3618">
        <f t="shared" si="73"/>
        <v>2238.291</v>
      </c>
      <c r="AE125" s="3633" t="s">
        <v>3108</v>
      </c>
      <c r="AF125" s="3670" t="s">
        <v>6087</v>
      </c>
      <c r="AG125" s="3620" t="s">
        <v>416</v>
      </c>
      <c r="AH125" s="3620"/>
      <c r="AI125" s="3620"/>
      <c r="AJ125" s="3620"/>
      <c r="AK125" s="959"/>
      <c r="AL125" s="959"/>
      <c r="AM125" s="959">
        <f>I125</f>
        <v>990</v>
      </c>
      <c r="AN125" s="959"/>
      <c r="AO125" s="959"/>
      <c r="AP125" s="3618">
        <f t="shared" si="74"/>
        <v>990</v>
      </c>
      <c r="AQ125" s="3618"/>
      <c r="AR125" s="3626"/>
      <c r="AS125" s="3626"/>
      <c r="AT125" s="3626"/>
      <c r="AU125" s="3626">
        <f>I125</f>
        <v>990</v>
      </c>
      <c r="AV125" s="3626"/>
      <c r="AW125" s="3626">
        <f>I125/6</f>
        <v>165</v>
      </c>
      <c r="AX125" s="3626"/>
      <c r="AY125" s="3626"/>
      <c r="AZ125" s="3626"/>
      <c r="BA125" s="3626"/>
      <c r="BB125" s="3626"/>
      <c r="BC125" s="3626"/>
      <c r="BD125" s="3626"/>
      <c r="BE125" s="3626"/>
      <c r="BF125" s="3626"/>
      <c r="BG125" s="3626"/>
      <c r="BH125" s="3626"/>
      <c r="BI125" s="3626" t="s">
        <v>89</v>
      </c>
      <c r="BJ125" s="3626">
        <f>I125/60*2</f>
        <v>33</v>
      </c>
      <c r="BK125" s="3626">
        <f>I125/60*10</f>
        <v>165</v>
      </c>
      <c r="BL125" s="3626">
        <f>I125/60*10</f>
        <v>165</v>
      </c>
      <c r="BM125" s="3626">
        <f>I125/60*8</f>
        <v>132</v>
      </c>
      <c r="BN125" s="3626">
        <f>I125/60*10</f>
        <v>165</v>
      </c>
      <c r="BO125" s="4055">
        <f>I125/60*10</f>
        <v>165</v>
      </c>
      <c r="BP125" s="3627">
        <f>I125/60*10</f>
        <v>165</v>
      </c>
      <c r="BQ125" s="3627">
        <f t="shared" si="60"/>
        <v>990</v>
      </c>
      <c r="BR125" s="3627">
        <f t="shared" si="61"/>
        <v>0</v>
      </c>
      <c r="BS125" s="4056"/>
      <c r="BT125" s="4057"/>
    </row>
    <row r="126" s="3566" customFormat="1" ht="50" customHeight="1" spans="1:72">
      <c r="A126" s="3635">
        <v>45651</v>
      </c>
      <c r="B126" s="3617" t="s">
        <v>6498</v>
      </c>
      <c r="C126" s="3617" t="s">
        <v>396</v>
      </c>
      <c r="D126" s="3624">
        <v>4500154715</v>
      </c>
      <c r="E126" s="3618" t="s">
        <v>6499</v>
      </c>
      <c r="F126" s="3617" t="s">
        <v>6500</v>
      </c>
      <c r="G126" s="959" t="s">
        <v>6228</v>
      </c>
      <c r="H126" s="3618" t="s">
        <v>6063</v>
      </c>
      <c r="I126" s="3618">
        <v>1740</v>
      </c>
      <c r="J126" s="3618">
        <v>0</v>
      </c>
      <c r="K126" s="3618">
        <v>6</v>
      </c>
      <c r="L126" s="4052">
        <f t="shared" si="72"/>
        <v>290</v>
      </c>
      <c r="M126" s="3619">
        <v>45716</v>
      </c>
      <c r="N126" s="3619">
        <v>45712</v>
      </c>
      <c r="O126" s="3618"/>
      <c r="P126" s="959" t="s">
        <v>82</v>
      </c>
      <c r="Q126" s="959"/>
      <c r="R126" s="959"/>
      <c r="S126" s="959"/>
      <c r="T126" s="4053"/>
      <c r="U126" s="3620" t="s">
        <v>6501</v>
      </c>
      <c r="V126" s="3640" t="s">
        <v>6502</v>
      </c>
      <c r="W126" s="3640"/>
      <c r="X126" s="3640" t="s">
        <v>5500</v>
      </c>
      <c r="Y126" s="3640"/>
      <c r="Z126" s="3623"/>
      <c r="AA126" s="3620" t="s">
        <v>6503</v>
      </c>
      <c r="AB126" s="3624" t="s">
        <v>405</v>
      </c>
      <c r="AC126" s="4058">
        <v>2.377</v>
      </c>
      <c r="AD126" s="3618">
        <f t="shared" si="73"/>
        <v>4135.98</v>
      </c>
      <c r="AE126" s="3633" t="s">
        <v>6504</v>
      </c>
      <c r="AF126" s="959" t="s">
        <v>6068</v>
      </c>
      <c r="AG126" s="3620" t="s">
        <v>416</v>
      </c>
      <c r="AH126" s="3620" t="s">
        <v>6505</v>
      </c>
      <c r="AI126" s="3620"/>
      <c r="AJ126" s="3620"/>
      <c r="AK126" s="959"/>
      <c r="AL126" s="959"/>
      <c r="AM126" s="959">
        <f>I126</f>
        <v>1740</v>
      </c>
      <c r="AN126" s="959"/>
      <c r="AO126" s="959"/>
      <c r="AP126" s="3618">
        <f t="shared" si="74"/>
        <v>1740</v>
      </c>
      <c r="AQ126" s="3618"/>
      <c r="AR126" s="3626"/>
      <c r="AS126" s="3626"/>
      <c r="AT126" s="3626"/>
      <c r="AU126" s="3626">
        <f>I126</f>
        <v>1740</v>
      </c>
      <c r="AV126" s="3626"/>
      <c r="AW126" s="3626"/>
      <c r="AX126" s="3626"/>
      <c r="AY126" s="3626">
        <f>I126/6</f>
        <v>290</v>
      </c>
      <c r="AZ126" s="3626"/>
      <c r="BA126" s="3626"/>
      <c r="BB126" s="3626"/>
      <c r="BC126" s="3626"/>
      <c r="BD126" s="3626"/>
      <c r="BE126" s="3626"/>
      <c r="BF126" s="3626"/>
      <c r="BG126" s="3626"/>
      <c r="BH126" s="3626"/>
      <c r="BI126" s="3626" t="s">
        <v>89</v>
      </c>
      <c r="BJ126" s="3626">
        <f>I126/60*2</f>
        <v>58</v>
      </c>
      <c r="BK126" s="3626">
        <f>I126/60*10</f>
        <v>290</v>
      </c>
      <c r="BL126" s="3626">
        <f>I126/60*10</f>
        <v>290</v>
      </c>
      <c r="BM126" s="3626">
        <f>I126/60*8</f>
        <v>232</v>
      </c>
      <c r="BN126" s="3626">
        <f>I126/60*10</f>
        <v>290</v>
      </c>
      <c r="BO126" s="4055">
        <f>I126/60*10</f>
        <v>290</v>
      </c>
      <c r="BP126" s="3627">
        <f>I126/60*10</f>
        <v>290</v>
      </c>
      <c r="BQ126" s="3627">
        <f t="shared" si="60"/>
        <v>1740</v>
      </c>
      <c r="BR126" s="3627">
        <f t="shared" si="61"/>
        <v>0</v>
      </c>
      <c r="BS126" s="4056"/>
      <c r="BT126" s="4057"/>
    </row>
    <row r="127" s="3566" customFormat="1" ht="50" customHeight="1" spans="1:72">
      <c r="A127" s="3635">
        <v>45678</v>
      </c>
      <c r="B127" s="3617" t="s">
        <v>6506</v>
      </c>
      <c r="C127" s="3617" t="s">
        <v>738</v>
      </c>
      <c r="D127" s="3624">
        <v>4500156374</v>
      </c>
      <c r="E127" s="959"/>
      <c r="F127" s="3617" t="s">
        <v>6507</v>
      </c>
      <c r="G127" s="959" t="s">
        <v>6124</v>
      </c>
      <c r="H127" s="3618" t="s">
        <v>6063</v>
      </c>
      <c r="I127" s="3618">
        <v>1200</v>
      </c>
      <c r="J127" s="3618">
        <v>0</v>
      </c>
      <c r="K127" s="3618">
        <v>12</v>
      </c>
      <c r="L127" s="4052">
        <f t="shared" si="72"/>
        <v>100</v>
      </c>
      <c r="M127" s="3619">
        <v>45726</v>
      </c>
      <c r="N127" s="3619">
        <v>45722</v>
      </c>
      <c r="P127" s="3618" t="s">
        <v>82</v>
      </c>
      <c r="Q127" s="3618"/>
      <c r="R127" s="3618"/>
      <c r="S127" s="3618"/>
      <c r="T127" s="4078"/>
      <c r="U127" s="3620" t="s">
        <v>6501</v>
      </c>
      <c r="V127" s="3640" t="s">
        <v>3159</v>
      </c>
      <c r="W127" s="3640"/>
      <c r="X127" s="3647" t="s">
        <v>6508</v>
      </c>
      <c r="Y127" s="3647"/>
      <c r="Z127" s="3623"/>
      <c r="AA127" s="3620" t="s">
        <v>6509</v>
      </c>
      <c r="AB127" s="3624" t="s">
        <v>459</v>
      </c>
      <c r="AC127" s="3686">
        <v>2.3023</v>
      </c>
      <c r="AD127" s="3618">
        <f t="shared" si="73"/>
        <v>2762.76</v>
      </c>
      <c r="AE127" s="3633" t="s">
        <v>6510</v>
      </c>
      <c r="AF127" s="959" t="s">
        <v>6126</v>
      </c>
      <c r="AG127" s="3620" t="s">
        <v>416</v>
      </c>
      <c r="AH127" s="3620"/>
      <c r="AI127" s="3620"/>
      <c r="AJ127" s="3620"/>
      <c r="AK127" s="959"/>
      <c r="AL127" s="959"/>
      <c r="AM127" s="959">
        <f>I127</f>
        <v>1200</v>
      </c>
      <c r="AN127" s="959"/>
      <c r="AO127" s="959"/>
      <c r="AP127" s="3618">
        <f t="shared" si="74"/>
        <v>1200</v>
      </c>
      <c r="AQ127" s="3618"/>
      <c r="AR127" s="3626"/>
      <c r="AS127" s="3626">
        <f>I127</f>
        <v>1200</v>
      </c>
      <c r="AT127" s="3626"/>
      <c r="AU127" s="3626"/>
      <c r="AV127" s="3626"/>
      <c r="AW127" s="3626">
        <f>I127/6</f>
        <v>200</v>
      </c>
      <c r="AX127" s="3626"/>
      <c r="AY127" s="3626"/>
      <c r="AZ127" s="3626"/>
      <c r="BA127" s="3626"/>
      <c r="BB127" s="3626"/>
      <c r="BC127" s="3626"/>
      <c r="BD127" s="3626"/>
      <c r="BE127" s="3626"/>
      <c r="BF127" s="3626"/>
      <c r="BG127" s="3626"/>
      <c r="BH127" s="3626"/>
      <c r="BI127" s="3626" t="s">
        <v>89</v>
      </c>
      <c r="BJ127" s="3626">
        <f>I127/60*2</f>
        <v>40</v>
      </c>
      <c r="BK127" s="3626">
        <f>I127/60*10</f>
        <v>200</v>
      </c>
      <c r="BL127" s="3626">
        <f>I127/60*10</f>
        <v>200</v>
      </c>
      <c r="BM127" s="3626">
        <f>I127/60*8</f>
        <v>160</v>
      </c>
      <c r="BN127" s="3626">
        <f>I127/60*10</f>
        <v>200</v>
      </c>
      <c r="BO127" s="4055">
        <f>I127/60*10</f>
        <v>200</v>
      </c>
      <c r="BP127" s="3627">
        <f>I127/60*10</f>
        <v>200</v>
      </c>
      <c r="BQ127" s="3627">
        <f t="shared" si="60"/>
        <v>1200</v>
      </c>
      <c r="BR127" s="3627">
        <f t="shared" si="61"/>
        <v>0</v>
      </c>
      <c r="BS127" s="4056"/>
      <c r="BT127" s="4057"/>
    </row>
    <row r="128" s="3566" customFormat="1" ht="50" customHeight="1" spans="1:72">
      <c r="A128" s="3635">
        <v>45707</v>
      </c>
      <c r="B128" s="3617"/>
      <c r="C128" s="3617"/>
      <c r="D128" s="3624" t="s">
        <v>6511</v>
      </c>
      <c r="E128" s="959"/>
      <c r="F128" s="3617"/>
      <c r="G128" s="959" t="s">
        <v>3520</v>
      </c>
      <c r="H128" s="3618" t="s">
        <v>6063</v>
      </c>
      <c r="I128" s="3618">
        <v>160</v>
      </c>
      <c r="J128" s="3618">
        <v>0</v>
      </c>
      <c r="K128" s="3618">
        <v>24</v>
      </c>
      <c r="L128" s="4079">
        <f t="shared" si="72"/>
        <v>6.66666666666667</v>
      </c>
      <c r="M128" s="3619">
        <v>45728</v>
      </c>
      <c r="N128" s="3619">
        <v>45724</v>
      </c>
      <c r="O128" s="3618"/>
      <c r="P128" s="959" t="s">
        <v>3052</v>
      </c>
      <c r="Q128" s="959"/>
      <c r="R128" s="959"/>
      <c r="S128" s="959"/>
      <c r="T128" s="4053"/>
      <c r="U128" s="3620"/>
      <c r="V128" s="3649" t="s">
        <v>335</v>
      </c>
      <c r="W128" s="3649"/>
      <c r="X128" s="3649" t="s">
        <v>98</v>
      </c>
      <c r="Y128" s="3647"/>
      <c r="Z128" s="3623"/>
      <c r="AA128" s="3620" t="s">
        <v>6512</v>
      </c>
      <c r="AB128" s="3624" t="s">
        <v>792</v>
      </c>
      <c r="AC128" s="3686"/>
      <c r="AD128" s="3618"/>
      <c r="AE128" s="3633"/>
      <c r="AF128" s="959" t="s">
        <v>3520</v>
      </c>
      <c r="AG128" s="3620" t="s">
        <v>416</v>
      </c>
      <c r="AH128" s="3620"/>
      <c r="AI128" s="3620"/>
      <c r="AJ128" s="3620"/>
      <c r="AK128" s="959">
        <f>I128</f>
        <v>160</v>
      </c>
      <c r="AL128" s="959"/>
      <c r="AM128" s="959"/>
      <c r="AN128" s="959"/>
      <c r="AO128" s="959"/>
      <c r="AP128" s="3618">
        <f t="shared" si="74"/>
        <v>160</v>
      </c>
      <c r="AQ128" s="3618"/>
      <c r="AR128" s="3626"/>
      <c r="AS128" s="3626">
        <f>I128</f>
        <v>160</v>
      </c>
      <c r="AT128" s="3626"/>
      <c r="AU128" s="3626"/>
      <c r="AV128" s="3626"/>
      <c r="AW128" s="3626"/>
      <c r="AX128" s="3626"/>
      <c r="AY128" s="3626"/>
      <c r="AZ128" s="3626"/>
      <c r="BA128" s="3626"/>
      <c r="BB128" s="3626"/>
      <c r="BC128" s="3626"/>
      <c r="BD128" s="3626"/>
      <c r="BE128" s="3626"/>
      <c r="BF128" s="3626"/>
      <c r="BG128" s="3626"/>
      <c r="BH128" s="3626"/>
      <c r="BI128" s="3626" t="s">
        <v>89</v>
      </c>
      <c r="BJ128" s="3626">
        <f>I128/7</f>
        <v>22.8571428571429</v>
      </c>
      <c r="BK128" s="3626">
        <f>I128/7</f>
        <v>22.8571428571429</v>
      </c>
      <c r="BL128" s="3626">
        <f>I128/7</f>
        <v>22.8571428571429</v>
      </c>
      <c r="BM128" s="3626">
        <f>I128/7</f>
        <v>22.8571428571429</v>
      </c>
      <c r="BN128" s="3626">
        <f>I128/7</f>
        <v>22.8571428571429</v>
      </c>
      <c r="BO128" s="4055">
        <f>I128/7</f>
        <v>22.8571428571429</v>
      </c>
      <c r="BP128" s="3627">
        <f>I128/7</f>
        <v>22.8571428571429</v>
      </c>
      <c r="BQ128" s="3627">
        <f t="shared" si="60"/>
        <v>160</v>
      </c>
      <c r="BR128" s="3627">
        <f t="shared" si="61"/>
        <v>0</v>
      </c>
      <c r="BS128" s="4056"/>
      <c r="BT128" s="4057"/>
    </row>
    <row r="129" s="3566" customFormat="1" ht="50" customHeight="1" spans="1:72">
      <c r="A129" s="3635">
        <v>45674</v>
      </c>
      <c r="B129" s="3617" t="s">
        <v>3156</v>
      </c>
      <c r="C129" s="3617" t="s">
        <v>471</v>
      </c>
      <c r="D129" s="3624">
        <v>4500156082</v>
      </c>
      <c r="E129" s="959">
        <v>5200006028</v>
      </c>
      <c r="F129" s="3617" t="s">
        <v>6513</v>
      </c>
      <c r="G129" s="959" t="s">
        <v>6514</v>
      </c>
      <c r="H129" s="3618" t="s">
        <v>6063</v>
      </c>
      <c r="I129" s="3618">
        <v>3000</v>
      </c>
      <c r="J129" s="3618">
        <v>0</v>
      </c>
      <c r="K129" s="3618">
        <v>6</v>
      </c>
      <c r="L129" s="4052">
        <f t="shared" si="72"/>
        <v>500</v>
      </c>
      <c r="M129" s="3619">
        <v>45729</v>
      </c>
      <c r="N129" s="3619">
        <v>45726</v>
      </c>
      <c r="O129" s="3618"/>
      <c r="P129" s="959" t="s">
        <v>82</v>
      </c>
      <c r="Q129" s="959"/>
      <c r="R129" s="959"/>
      <c r="S129" s="959"/>
      <c r="T129" s="4053"/>
      <c r="U129" s="3620" t="s">
        <v>803</v>
      </c>
      <c r="V129" s="3640" t="s">
        <v>3159</v>
      </c>
      <c r="W129" s="3640"/>
      <c r="X129" s="3640" t="s">
        <v>3160</v>
      </c>
      <c r="Y129" s="3640"/>
      <c r="Z129" s="3623"/>
      <c r="AA129" s="3620" t="s">
        <v>6515</v>
      </c>
      <c r="AB129" s="3624" t="s">
        <v>3162</v>
      </c>
      <c r="AC129" s="3618">
        <v>2.1989</v>
      </c>
      <c r="AD129" s="3618">
        <f t="shared" ref="AD129:AD145" si="75">AC129*I129</f>
        <v>6596.7</v>
      </c>
      <c r="AE129" s="3633" t="s">
        <v>3163</v>
      </c>
      <c r="AF129" s="3670" t="s">
        <v>6516</v>
      </c>
      <c r="AG129" s="3620" t="s">
        <v>416</v>
      </c>
      <c r="AH129" s="3620"/>
      <c r="AI129" s="3620"/>
      <c r="AJ129" s="3620"/>
      <c r="AK129" s="959"/>
      <c r="AL129" s="959"/>
      <c r="AM129" s="959">
        <f>I129</f>
        <v>3000</v>
      </c>
      <c r="AN129" s="959"/>
      <c r="AO129" s="959"/>
      <c r="AP129" s="3618">
        <f t="shared" si="74"/>
        <v>3000</v>
      </c>
      <c r="AQ129" s="3618"/>
      <c r="AR129" s="3626"/>
      <c r="AS129" s="3626"/>
      <c r="AT129" s="3626"/>
      <c r="AU129" s="3626">
        <f>I129</f>
        <v>3000</v>
      </c>
      <c r="AV129" s="3626"/>
      <c r="AW129" s="3626"/>
      <c r="AX129" s="3626"/>
      <c r="AY129" s="3626"/>
      <c r="AZ129" s="3626"/>
      <c r="BA129" s="3626"/>
      <c r="BB129" s="3626"/>
      <c r="BC129" s="3626"/>
      <c r="BD129" s="3626"/>
      <c r="BE129" s="3626"/>
      <c r="BF129" s="3626"/>
      <c r="BG129" s="3626"/>
      <c r="BH129" s="3626"/>
      <c r="BI129" s="3626" t="s">
        <v>89</v>
      </c>
      <c r="BJ129" s="3626">
        <f t="shared" ref="BJ129:BJ155" si="76">I129/60*2</f>
        <v>100</v>
      </c>
      <c r="BK129" s="3626">
        <f>I129/60*10</f>
        <v>500</v>
      </c>
      <c r="BL129" s="3626">
        <f>I129/60*10</f>
        <v>500</v>
      </c>
      <c r="BM129" s="3626">
        <f>I129/60*8</f>
        <v>400</v>
      </c>
      <c r="BN129" s="3626">
        <f>I129/60*10</f>
        <v>500</v>
      </c>
      <c r="BO129" s="4055">
        <f>I129/60*10</f>
        <v>500</v>
      </c>
      <c r="BP129" s="3627">
        <f>I129/60*10</f>
        <v>500</v>
      </c>
      <c r="BQ129" s="3627">
        <f t="shared" si="60"/>
        <v>3000</v>
      </c>
      <c r="BR129" s="3627">
        <f t="shared" si="61"/>
        <v>0</v>
      </c>
      <c r="BS129" s="4056"/>
      <c r="BT129" s="4057"/>
    </row>
    <row r="130" s="3566" customFormat="1" ht="50" customHeight="1" spans="1:72">
      <c r="A130" s="3635">
        <v>45702</v>
      </c>
      <c r="B130" s="3617" t="s">
        <v>3156</v>
      </c>
      <c r="C130" s="3617" t="s">
        <v>471</v>
      </c>
      <c r="D130" s="3624">
        <v>4500157623</v>
      </c>
      <c r="E130" s="3618">
        <v>5200006155</v>
      </c>
      <c r="F130" s="3617" t="s">
        <v>6517</v>
      </c>
      <c r="G130" s="959" t="s">
        <v>6514</v>
      </c>
      <c r="H130" s="3618" t="s">
        <v>6063</v>
      </c>
      <c r="I130" s="3618">
        <v>3000</v>
      </c>
      <c r="J130" s="3618">
        <v>0</v>
      </c>
      <c r="K130" s="3618">
        <v>6</v>
      </c>
      <c r="L130" s="4052">
        <f t="shared" si="72"/>
        <v>500</v>
      </c>
      <c r="M130" s="3619">
        <v>45729</v>
      </c>
      <c r="N130" s="3619">
        <v>45726</v>
      </c>
      <c r="O130" s="3618"/>
      <c r="P130" s="959" t="s">
        <v>82</v>
      </c>
      <c r="Q130" s="959"/>
      <c r="R130" s="959"/>
      <c r="S130" s="959"/>
      <c r="T130" s="4053"/>
      <c r="U130" s="3620"/>
      <c r="V130" s="3649" t="s">
        <v>3166</v>
      </c>
      <c r="W130" s="3640"/>
      <c r="X130" s="3640" t="s">
        <v>6518</v>
      </c>
      <c r="Y130" s="3640"/>
      <c r="Z130" s="3623"/>
      <c r="AA130" s="3620" t="s">
        <v>6519</v>
      </c>
      <c r="AB130" s="3624" t="s">
        <v>3162</v>
      </c>
      <c r="AC130" s="3618">
        <v>2.2549</v>
      </c>
      <c r="AD130" s="3618">
        <f t="shared" si="75"/>
        <v>6764.7</v>
      </c>
      <c r="AE130" s="3633" t="s">
        <v>6520</v>
      </c>
      <c r="AF130" s="3670" t="s">
        <v>6516</v>
      </c>
      <c r="AG130" s="3620" t="s">
        <v>416</v>
      </c>
      <c r="AH130" s="3620"/>
      <c r="AI130" s="3620"/>
      <c r="AJ130" s="3620"/>
      <c r="AK130" s="959"/>
      <c r="AL130" s="959"/>
      <c r="AM130" s="959">
        <f>I130</f>
        <v>3000</v>
      </c>
      <c r="AN130" s="959"/>
      <c r="AO130" s="959"/>
      <c r="AP130" s="3618">
        <f t="shared" si="74"/>
        <v>3000</v>
      </c>
      <c r="AQ130" s="3618"/>
      <c r="AR130" s="3626"/>
      <c r="AS130" s="3626"/>
      <c r="AT130" s="3626"/>
      <c r="AU130" s="3626">
        <f>I130</f>
        <v>3000</v>
      </c>
      <c r="AV130" s="3626"/>
      <c r="AW130" s="3626"/>
      <c r="AX130" s="3626"/>
      <c r="AY130" s="3626"/>
      <c r="AZ130" s="3626"/>
      <c r="BA130" s="3626"/>
      <c r="BB130" s="3626"/>
      <c r="BC130" s="3626"/>
      <c r="BD130" s="3626"/>
      <c r="BE130" s="3626"/>
      <c r="BF130" s="3626"/>
      <c r="BG130" s="3626"/>
      <c r="BH130" s="3626"/>
      <c r="BI130" s="3626" t="s">
        <v>89</v>
      </c>
      <c r="BJ130" s="3626">
        <f t="shared" si="76"/>
        <v>100</v>
      </c>
      <c r="BK130" s="3626">
        <f>I130/60*10</f>
        <v>500</v>
      </c>
      <c r="BL130" s="3626">
        <f>I130/60*10</f>
        <v>500</v>
      </c>
      <c r="BM130" s="3626">
        <f>I130/60*8</f>
        <v>400</v>
      </c>
      <c r="BN130" s="3626">
        <f>I130/60*10</f>
        <v>500</v>
      </c>
      <c r="BO130" s="4055">
        <f>I130/60*10</f>
        <v>500</v>
      </c>
      <c r="BP130" s="3627">
        <f>I130/60*10</f>
        <v>500</v>
      </c>
      <c r="BQ130" s="3627">
        <f t="shared" si="60"/>
        <v>3000</v>
      </c>
      <c r="BR130" s="3627">
        <f t="shared" si="61"/>
        <v>0</v>
      </c>
      <c r="BS130" s="4056"/>
      <c r="BT130" s="4057"/>
    </row>
    <row r="131" s="3566" customFormat="1" ht="50" customHeight="1" spans="1:72">
      <c r="A131" s="3635">
        <v>45651</v>
      </c>
      <c r="B131" s="3617" t="s">
        <v>737</v>
      </c>
      <c r="C131" s="3617" t="s">
        <v>738</v>
      </c>
      <c r="D131" s="3624">
        <v>4500154624</v>
      </c>
      <c r="E131" s="3618">
        <v>61900885</v>
      </c>
      <c r="F131" s="3617" t="s">
        <v>6521</v>
      </c>
      <c r="G131" s="959" t="s">
        <v>6124</v>
      </c>
      <c r="H131" s="3618" t="s">
        <v>6063</v>
      </c>
      <c r="I131" s="3618">
        <v>528</v>
      </c>
      <c r="J131" s="3618">
        <v>0</v>
      </c>
      <c r="K131" s="3618">
        <v>12</v>
      </c>
      <c r="L131" s="4052">
        <f t="shared" si="72"/>
        <v>44</v>
      </c>
      <c r="M131" s="3619">
        <v>45730</v>
      </c>
      <c r="N131" s="3619">
        <v>45726</v>
      </c>
      <c r="O131" s="3618"/>
      <c r="P131" s="959" t="s">
        <v>82</v>
      </c>
      <c r="Q131" s="959"/>
      <c r="R131" s="959"/>
      <c r="S131" s="959"/>
      <c r="T131" s="4053"/>
      <c r="U131" s="3645" t="s">
        <v>845</v>
      </c>
      <c r="V131" s="3640" t="s">
        <v>846</v>
      </c>
      <c r="W131" s="3640"/>
      <c r="X131" s="3640" t="s">
        <v>805</v>
      </c>
      <c r="Y131" s="3649" t="s">
        <v>847</v>
      </c>
      <c r="Z131" s="3623"/>
      <c r="AA131" s="3620" t="s">
        <v>6467</v>
      </c>
      <c r="AB131" s="3624" t="s">
        <v>459</v>
      </c>
      <c r="AC131" s="3618">
        <v>2.3068</v>
      </c>
      <c r="AD131" s="3618">
        <f t="shared" si="75"/>
        <v>1217.9904</v>
      </c>
      <c r="AE131" s="3633" t="s">
        <v>848</v>
      </c>
      <c r="AF131" s="959" t="s">
        <v>6126</v>
      </c>
      <c r="AG131" s="3620" t="s">
        <v>416</v>
      </c>
      <c r="AH131" s="3620"/>
      <c r="AI131" s="3620"/>
      <c r="AJ131" s="3620"/>
      <c r="AK131" s="959"/>
      <c r="AL131" s="959"/>
      <c r="AM131" s="959">
        <f t="shared" ref="AM131:AM139" si="77">I131</f>
        <v>528</v>
      </c>
      <c r="AN131" s="959"/>
      <c r="AO131" s="959"/>
      <c r="AP131" s="3618">
        <f t="shared" si="74"/>
        <v>528</v>
      </c>
      <c r="AQ131" s="3618"/>
      <c r="AR131" s="3626"/>
      <c r="AS131" s="3626">
        <f t="shared" ref="AS131:AS145" si="78">I131</f>
        <v>528</v>
      </c>
      <c r="AT131" s="3626"/>
      <c r="AU131" s="3626"/>
      <c r="AV131" s="3626"/>
      <c r="AW131" s="3626">
        <f>I131/6</f>
        <v>88</v>
      </c>
      <c r="AX131" s="3626"/>
      <c r="AY131" s="3626"/>
      <c r="AZ131" s="3626"/>
      <c r="BA131" s="3626"/>
      <c r="BB131" s="3626"/>
      <c r="BC131" s="3626"/>
      <c r="BD131" s="3626"/>
      <c r="BE131" s="3626"/>
      <c r="BF131" s="3626"/>
      <c r="BG131" s="3626"/>
      <c r="BH131" s="3626"/>
      <c r="BI131" s="3626" t="s">
        <v>89</v>
      </c>
      <c r="BJ131" s="3626">
        <f t="shared" si="76"/>
        <v>17.6</v>
      </c>
      <c r="BK131" s="3626">
        <f>I131/60*10</f>
        <v>88</v>
      </c>
      <c r="BL131" s="3626">
        <f>I131/60*10</f>
        <v>88</v>
      </c>
      <c r="BM131" s="3626">
        <f>I131/60*8</f>
        <v>70.4</v>
      </c>
      <c r="BN131" s="3626">
        <f>I131/60*10</f>
        <v>88</v>
      </c>
      <c r="BO131" s="4055">
        <f>I131/60*10</f>
        <v>88</v>
      </c>
      <c r="BP131" s="3627">
        <f>I131/60*10</f>
        <v>88</v>
      </c>
      <c r="BQ131" s="3627">
        <f t="shared" si="60"/>
        <v>528</v>
      </c>
      <c r="BR131" s="3627">
        <f t="shared" si="61"/>
        <v>0</v>
      </c>
      <c r="BS131" s="4056"/>
      <c r="BT131" s="4057"/>
    </row>
    <row r="132" s="3566" customFormat="1" ht="50" customHeight="1" spans="1:72">
      <c r="A132" s="3635">
        <v>45677</v>
      </c>
      <c r="B132" s="3617" t="s">
        <v>3172</v>
      </c>
      <c r="C132" s="3617" t="s">
        <v>840</v>
      </c>
      <c r="D132" s="3624">
        <v>4500156115</v>
      </c>
      <c r="E132" s="959">
        <v>7631985</v>
      </c>
      <c r="F132" s="3617" t="s">
        <v>6522</v>
      </c>
      <c r="G132" s="959" t="s">
        <v>6165</v>
      </c>
      <c r="H132" s="3618" t="s">
        <v>6166</v>
      </c>
      <c r="I132" s="3618">
        <v>224</v>
      </c>
      <c r="J132" s="3618">
        <v>0</v>
      </c>
      <c r="K132" s="3618">
        <v>32</v>
      </c>
      <c r="L132" s="4052">
        <f t="shared" si="72"/>
        <v>7</v>
      </c>
      <c r="M132" s="3619">
        <v>45730</v>
      </c>
      <c r="N132" s="3619">
        <v>45726</v>
      </c>
      <c r="O132" s="3618"/>
      <c r="P132" s="959" t="s">
        <v>82</v>
      </c>
      <c r="Q132" s="959"/>
      <c r="R132" s="959"/>
      <c r="S132" s="959"/>
      <c r="T132" s="4053"/>
      <c r="U132" s="3620" t="s">
        <v>3175</v>
      </c>
      <c r="V132" s="3640" t="s">
        <v>835</v>
      </c>
      <c r="W132" s="3640"/>
      <c r="X132" s="3640" t="s">
        <v>6523</v>
      </c>
      <c r="Y132" s="3640"/>
      <c r="Z132" s="3623" t="s">
        <v>6524</v>
      </c>
      <c r="AA132" s="3620" t="s">
        <v>6525</v>
      </c>
      <c r="AB132" s="3624" t="s">
        <v>380</v>
      </c>
      <c r="AC132" s="3686">
        <v>2.295</v>
      </c>
      <c r="AD132" s="3618">
        <f t="shared" si="75"/>
        <v>514.08</v>
      </c>
      <c r="AE132" s="3633" t="s">
        <v>3178</v>
      </c>
      <c r="AF132" s="959" t="s">
        <v>6526</v>
      </c>
      <c r="AG132" s="3620" t="s">
        <v>416</v>
      </c>
      <c r="AH132" s="3620"/>
      <c r="AI132" s="3620"/>
      <c r="AJ132" s="3620"/>
      <c r="AK132" s="959"/>
      <c r="AL132" s="959"/>
      <c r="AM132" s="959">
        <f t="shared" si="77"/>
        <v>224</v>
      </c>
      <c r="AN132" s="959"/>
      <c r="AO132" s="959"/>
      <c r="AP132" s="3618">
        <v>160</v>
      </c>
      <c r="AQ132" s="3618"/>
      <c r="AR132" s="3626"/>
      <c r="AS132" s="3626">
        <f t="shared" si="78"/>
        <v>224</v>
      </c>
      <c r="AT132" s="3626"/>
      <c r="AU132" s="3626"/>
      <c r="AV132" s="3626"/>
      <c r="AW132" s="3626"/>
      <c r="AX132" s="3626"/>
      <c r="AY132" s="3626"/>
      <c r="AZ132" s="3626"/>
      <c r="BA132" s="3626"/>
      <c r="BB132" s="3626"/>
      <c r="BC132" s="3626"/>
      <c r="BD132" s="3626"/>
      <c r="BE132" s="3626"/>
      <c r="BF132" s="3626"/>
      <c r="BG132" s="3626"/>
      <c r="BH132" s="3626"/>
      <c r="BI132" s="3626" t="s">
        <v>89</v>
      </c>
      <c r="BJ132" s="3626">
        <f t="shared" si="76"/>
        <v>7.46666666666667</v>
      </c>
      <c r="BK132" s="3626"/>
      <c r="BL132" s="3626"/>
      <c r="BM132" s="3626"/>
      <c r="BN132" s="3626"/>
      <c r="BO132" s="4055"/>
      <c r="BP132" s="3627">
        <f>I132-BJ132</f>
        <v>216.533333333333</v>
      </c>
      <c r="BQ132" s="3627">
        <f t="shared" si="60"/>
        <v>224</v>
      </c>
      <c r="BR132" s="3627">
        <f t="shared" si="61"/>
        <v>0</v>
      </c>
      <c r="BS132" s="4056"/>
      <c r="BT132" s="4057"/>
    </row>
    <row r="133" s="3566" customFormat="1" ht="50" customHeight="1" spans="1:72">
      <c r="A133" s="3635">
        <v>45677</v>
      </c>
      <c r="B133" s="3617" t="s">
        <v>3172</v>
      </c>
      <c r="C133" s="3617" t="s">
        <v>840</v>
      </c>
      <c r="D133" s="3624">
        <v>4500156115</v>
      </c>
      <c r="E133" s="959">
        <v>7631985</v>
      </c>
      <c r="F133" s="3617" t="s">
        <v>6527</v>
      </c>
      <c r="G133" s="959" t="s">
        <v>6528</v>
      </c>
      <c r="H133" s="959" t="s">
        <v>6529</v>
      </c>
      <c r="I133" s="3618">
        <v>224</v>
      </c>
      <c r="J133" s="3618">
        <v>0</v>
      </c>
      <c r="K133" s="3618">
        <v>32</v>
      </c>
      <c r="L133" s="4052">
        <f t="shared" si="72"/>
        <v>7</v>
      </c>
      <c r="M133" s="3619">
        <v>45730</v>
      </c>
      <c r="N133" s="3619">
        <v>45726</v>
      </c>
      <c r="O133" s="3618"/>
      <c r="P133" s="959" t="s">
        <v>82</v>
      </c>
      <c r="Q133" s="959"/>
      <c r="R133" s="959"/>
      <c r="S133" s="959"/>
      <c r="T133" s="4053"/>
      <c r="U133" s="3620" t="s">
        <v>3175</v>
      </c>
      <c r="V133" s="3640" t="s">
        <v>835</v>
      </c>
      <c r="W133" s="3640"/>
      <c r="X133" s="3640" t="s">
        <v>6523</v>
      </c>
      <c r="Y133" s="3640"/>
      <c r="Z133" s="3623" t="s">
        <v>6524</v>
      </c>
      <c r="AA133" s="3620" t="s">
        <v>6530</v>
      </c>
      <c r="AB133" s="3624" t="s">
        <v>380</v>
      </c>
      <c r="AC133" s="3686">
        <v>2.295</v>
      </c>
      <c r="AD133" s="3618">
        <f t="shared" si="75"/>
        <v>514.08</v>
      </c>
      <c r="AE133" s="3633" t="s">
        <v>3178</v>
      </c>
      <c r="AF133" s="959" t="s">
        <v>6531</v>
      </c>
      <c r="AG133" s="3620" t="s">
        <v>416</v>
      </c>
      <c r="AH133" s="3620"/>
      <c r="AI133" s="3620"/>
      <c r="AJ133" s="3620"/>
      <c r="AK133" s="959"/>
      <c r="AL133" s="959"/>
      <c r="AM133" s="959">
        <f t="shared" si="77"/>
        <v>224</v>
      </c>
      <c r="AN133" s="959"/>
      <c r="AO133" s="959"/>
      <c r="AP133" s="3618">
        <v>160</v>
      </c>
      <c r="AQ133" s="3618"/>
      <c r="AR133" s="3626"/>
      <c r="AS133" s="3626">
        <f t="shared" si="78"/>
        <v>224</v>
      </c>
      <c r="AT133" s="3626"/>
      <c r="AU133" s="3626"/>
      <c r="AV133" s="3626"/>
      <c r="AW133" s="3626"/>
      <c r="AX133" s="3626"/>
      <c r="AY133" s="3626"/>
      <c r="AZ133" s="3626"/>
      <c r="BA133" s="3626"/>
      <c r="BB133" s="3626"/>
      <c r="BC133" s="3626"/>
      <c r="BD133" s="3626"/>
      <c r="BE133" s="3626"/>
      <c r="BF133" s="3626"/>
      <c r="BG133" s="3626"/>
      <c r="BH133" s="3626"/>
      <c r="BI133" s="3626" t="s">
        <v>89</v>
      </c>
      <c r="BJ133" s="3626">
        <f t="shared" si="76"/>
        <v>7.46666666666667</v>
      </c>
      <c r="BK133" s="3626"/>
      <c r="BL133" s="3626"/>
      <c r="BM133" s="3626">
        <f>I133-BJ133</f>
        <v>216.533333333333</v>
      </c>
      <c r="BN133" s="3626"/>
      <c r="BO133" s="4055"/>
      <c r="BP133" s="3627"/>
      <c r="BQ133" s="3627">
        <f t="shared" si="60"/>
        <v>224</v>
      </c>
      <c r="BR133" s="3627">
        <f t="shared" si="61"/>
        <v>0</v>
      </c>
      <c r="BS133" s="4056"/>
      <c r="BT133" s="4057"/>
    </row>
    <row r="134" s="3566" customFormat="1" ht="50" customHeight="1" spans="1:72">
      <c r="A134" s="3635">
        <v>45677</v>
      </c>
      <c r="B134" s="3617" t="s">
        <v>3172</v>
      </c>
      <c r="C134" s="3617" t="s">
        <v>840</v>
      </c>
      <c r="D134" s="3624">
        <v>4500156115</v>
      </c>
      <c r="E134" s="959">
        <v>7631985</v>
      </c>
      <c r="F134" s="3617" t="s">
        <v>6532</v>
      </c>
      <c r="G134" s="959" t="s">
        <v>6218</v>
      </c>
      <c r="H134" s="3618" t="s">
        <v>6092</v>
      </c>
      <c r="I134" s="3618">
        <v>224</v>
      </c>
      <c r="J134" s="3618">
        <v>0</v>
      </c>
      <c r="K134" s="3618">
        <v>32</v>
      </c>
      <c r="L134" s="4052">
        <f t="shared" si="72"/>
        <v>7</v>
      </c>
      <c r="M134" s="3619">
        <v>45730</v>
      </c>
      <c r="N134" s="3619">
        <v>45726</v>
      </c>
      <c r="O134" s="3618"/>
      <c r="P134" s="959" t="s">
        <v>82</v>
      </c>
      <c r="Q134" s="959"/>
      <c r="R134" s="959"/>
      <c r="S134" s="959"/>
      <c r="T134" s="4053"/>
      <c r="U134" s="3620" t="s">
        <v>3175</v>
      </c>
      <c r="V134" s="3640" t="s">
        <v>835</v>
      </c>
      <c r="W134" s="3640"/>
      <c r="X134" s="3640" t="s">
        <v>6523</v>
      </c>
      <c r="Y134" s="3640"/>
      <c r="Z134" s="3623" t="s">
        <v>6524</v>
      </c>
      <c r="AA134" s="3620" t="s">
        <v>6533</v>
      </c>
      <c r="AB134" s="3624" t="s">
        <v>380</v>
      </c>
      <c r="AC134" s="3686">
        <v>2.295</v>
      </c>
      <c r="AD134" s="3618">
        <f t="shared" si="75"/>
        <v>514.08</v>
      </c>
      <c r="AE134" s="3633" t="s">
        <v>3178</v>
      </c>
      <c r="AF134" s="959" t="s">
        <v>6534</v>
      </c>
      <c r="AG134" s="3620" t="s">
        <v>416</v>
      </c>
      <c r="AH134" s="3620"/>
      <c r="AI134" s="3620"/>
      <c r="AJ134" s="3620"/>
      <c r="AK134" s="959"/>
      <c r="AL134" s="959"/>
      <c r="AM134" s="959">
        <f t="shared" si="77"/>
        <v>224</v>
      </c>
      <c r="AN134" s="959"/>
      <c r="AO134" s="959"/>
      <c r="AP134" s="3618">
        <v>160</v>
      </c>
      <c r="AQ134" s="3618"/>
      <c r="AR134" s="3626"/>
      <c r="AS134" s="3626">
        <f t="shared" si="78"/>
        <v>224</v>
      </c>
      <c r="AT134" s="3626"/>
      <c r="AU134" s="3626"/>
      <c r="AV134" s="3626"/>
      <c r="AW134" s="3626"/>
      <c r="AX134" s="3626"/>
      <c r="AY134" s="3626"/>
      <c r="AZ134" s="3626"/>
      <c r="BA134" s="3626"/>
      <c r="BB134" s="3626"/>
      <c r="BC134" s="3626"/>
      <c r="BD134" s="3626"/>
      <c r="BE134" s="3626"/>
      <c r="BF134" s="3626"/>
      <c r="BG134" s="3626"/>
      <c r="BH134" s="3626"/>
      <c r="BI134" s="3626" t="s">
        <v>89</v>
      </c>
      <c r="BJ134" s="3626">
        <f t="shared" si="76"/>
        <v>7.46666666666667</v>
      </c>
      <c r="BK134" s="3626"/>
      <c r="BL134" s="3626"/>
      <c r="BM134" s="3626"/>
      <c r="BN134" s="3626"/>
      <c r="BO134" s="4055">
        <f>I134-BJ134</f>
        <v>216.533333333333</v>
      </c>
      <c r="BP134" s="3627"/>
      <c r="BQ134" s="3627">
        <f t="shared" si="60"/>
        <v>224</v>
      </c>
      <c r="BR134" s="3627">
        <f t="shared" si="61"/>
        <v>0</v>
      </c>
      <c r="BS134" s="4056"/>
      <c r="BT134" s="4057"/>
    </row>
    <row r="135" s="3566" customFormat="1" ht="50" customHeight="1" spans="1:72">
      <c r="A135" s="3635">
        <v>45677</v>
      </c>
      <c r="B135" s="3617" t="s">
        <v>3172</v>
      </c>
      <c r="C135" s="3617" t="s">
        <v>840</v>
      </c>
      <c r="D135" s="3624">
        <v>4500156115</v>
      </c>
      <c r="E135" s="959">
        <v>7631985</v>
      </c>
      <c r="F135" s="3617" t="s">
        <v>6535</v>
      </c>
      <c r="G135" s="959" t="s">
        <v>6223</v>
      </c>
      <c r="H135" s="959" t="s">
        <v>6272</v>
      </c>
      <c r="I135" s="3618">
        <v>224</v>
      </c>
      <c r="J135" s="3618">
        <v>0</v>
      </c>
      <c r="K135" s="3618">
        <v>32</v>
      </c>
      <c r="L135" s="4052">
        <f t="shared" si="72"/>
        <v>7</v>
      </c>
      <c r="M135" s="3619">
        <v>45730</v>
      </c>
      <c r="N135" s="3619">
        <v>45726</v>
      </c>
      <c r="O135" s="3618"/>
      <c r="P135" s="959" t="s">
        <v>82</v>
      </c>
      <c r="Q135" s="959"/>
      <c r="R135" s="959"/>
      <c r="S135" s="959"/>
      <c r="T135" s="4053"/>
      <c r="U135" s="3620" t="s">
        <v>3175</v>
      </c>
      <c r="V135" s="3640" t="s">
        <v>835</v>
      </c>
      <c r="W135" s="3640"/>
      <c r="X135" s="3640" t="s">
        <v>6523</v>
      </c>
      <c r="Y135" s="3640"/>
      <c r="Z135" s="3623" t="s">
        <v>6524</v>
      </c>
      <c r="AA135" s="3620" t="s">
        <v>6536</v>
      </c>
      <c r="AB135" s="3624" t="s">
        <v>380</v>
      </c>
      <c r="AC135" s="3686">
        <v>2.295</v>
      </c>
      <c r="AD135" s="3618">
        <f t="shared" si="75"/>
        <v>514.08</v>
      </c>
      <c r="AE135" s="3633" t="s">
        <v>3178</v>
      </c>
      <c r="AF135" s="959" t="s">
        <v>6537</v>
      </c>
      <c r="AG135" s="3620" t="s">
        <v>416</v>
      </c>
      <c r="AH135" s="3620"/>
      <c r="AI135" s="3620"/>
      <c r="AJ135" s="3620"/>
      <c r="AK135" s="959"/>
      <c r="AL135" s="959"/>
      <c r="AM135" s="959">
        <f t="shared" si="77"/>
        <v>224</v>
      </c>
      <c r="AN135" s="959"/>
      <c r="AO135" s="959"/>
      <c r="AP135" s="3618">
        <v>160</v>
      </c>
      <c r="AQ135" s="3618"/>
      <c r="AR135" s="3626"/>
      <c r="AS135" s="3626">
        <f t="shared" si="78"/>
        <v>224</v>
      </c>
      <c r="AT135" s="3626"/>
      <c r="AU135" s="3626"/>
      <c r="AV135" s="3626"/>
      <c r="AW135" s="3626"/>
      <c r="AX135" s="3626"/>
      <c r="AY135" s="3626"/>
      <c r="AZ135" s="3626"/>
      <c r="BA135" s="3626"/>
      <c r="BB135" s="3626"/>
      <c r="BC135" s="3626"/>
      <c r="BD135" s="3626"/>
      <c r="BE135" s="3626"/>
      <c r="BF135" s="3626"/>
      <c r="BG135" s="3626"/>
      <c r="BH135" s="3626"/>
      <c r="BI135" s="3626" t="s">
        <v>89</v>
      </c>
      <c r="BJ135" s="3626">
        <f t="shared" si="76"/>
        <v>7.46666666666667</v>
      </c>
      <c r="BK135" s="3626"/>
      <c r="BL135" s="3626">
        <f>I135-BJ135</f>
        <v>216.533333333333</v>
      </c>
      <c r="BM135" s="3626"/>
      <c r="BN135" s="3626"/>
      <c r="BO135" s="4055"/>
      <c r="BP135" s="3627"/>
      <c r="BQ135" s="3627">
        <f t="shared" si="60"/>
        <v>224</v>
      </c>
      <c r="BR135" s="3627">
        <f t="shared" si="61"/>
        <v>0</v>
      </c>
      <c r="BS135" s="4056"/>
      <c r="BT135" s="4057"/>
    </row>
    <row r="136" s="3566" customFormat="1" ht="50" customHeight="1" spans="1:72">
      <c r="A136" s="3635">
        <v>45677</v>
      </c>
      <c r="B136" s="3617" t="s">
        <v>3172</v>
      </c>
      <c r="C136" s="3617" t="s">
        <v>840</v>
      </c>
      <c r="D136" s="3624">
        <v>4500156115</v>
      </c>
      <c r="E136" s="959">
        <v>7631985</v>
      </c>
      <c r="F136" s="3617" t="s">
        <v>6538</v>
      </c>
      <c r="G136" s="959" t="s">
        <v>6241</v>
      </c>
      <c r="H136" s="3618" t="s">
        <v>6242</v>
      </c>
      <c r="I136" s="3618">
        <v>224</v>
      </c>
      <c r="J136" s="3618">
        <v>0</v>
      </c>
      <c r="K136" s="3618">
        <v>32</v>
      </c>
      <c r="L136" s="4052">
        <f t="shared" si="72"/>
        <v>7</v>
      </c>
      <c r="M136" s="3619">
        <v>45730</v>
      </c>
      <c r="N136" s="3619">
        <v>45726</v>
      </c>
      <c r="O136" s="3618"/>
      <c r="P136" s="959" t="s">
        <v>82</v>
      </c>
      <c r="Q136" s="959"/>
      <c r="R136" s="959"/>
      <c r="S136" s="959"/>
      <c r="T136" s="4053"/>
      <c r="U136" s="3620" t="s">
        <v>3175</v>
      </c>
      <c r="V136" s="3640" t="s">
        <v>835</v>
      </c>
      <c r="W136" s="3640"/>
      <c r="X136" s="3640" t="s">
        <v>6523</v>
      </c>
      <c r="Y136" s="3640"/>
      <c r="Z136" s="3623" t="s">
        <v>6524</v>
      </c>
      <c r="AA136" s="3620" t="s">
        <v>6539</v>
      </c>
      <c r="AB136" s="3624" t="s">
        <v>380</v>
      </c>
      <c r="AC136" s="3686">
        <v>2.3647</v>
      </c>
      <c r="AD136" s="3618">
        <f t="shared" si="75"/>
        <v>529.6928</v>
      </c>
      <c r="AE136" s="3633" t="s">
        <v>3178</v>
      </c>
      <c r="AF136" s="959" t="s">
        <v>6540</v>
      </c>
      <c r="AG136" s="3620" t="s">
        <v>416</v>
      </c>
      <c r="AH136" s="3620"/>
      <c r="AI136" s="3620"/>
      <c r="AJ136" s="3620"/>
      <c r="AK136" s="959"/>
      <c r="AL136" s="959"/>
      <c r="AM136" s="959">
        <f t="shared" si="77"/>
        <v>224</v>
      </c>
      <c r="AN136" s="959"/>
      <c r="AO136" s="959"/>
      <c r="AP136" s="3618">
        <v>160</v>
      </c>
      <c r="AQ136" s="3618"/>
      <c r="AR136" s="3626"/>
      <c r="AS136" s="3626">
        <f t="shared" si="78"/>
        <v>224</v>
      </c>
      <c r="AT136" s="3626"/>
      <c r="AU136" s="3626"/>
      <c r="AV136" s="3626"/>
      <c r="AW136" s="3626"/>
      <c r="AX136" s="3626"/>
      <c r="AY136" s="3626"/>
      <c r="AZ136" s="3626"/>
      <c r="BA136" s="3626"/>
      <c r="BB136" s="3626"/>
      <c r="BC136" s="3626"/>
      <c r="BD136" s="3626"/>
      <c r="BE136" s="3626"/>
      <c r="BF136" s="3626"/>
      <c r="BG136" s="3626"/>
      <c r="BH136" s="3626"/>
      <c r="BI136" s="3626" t="s">
        <v>89</v>
      </c>
      <c r="BJ136" s="3626">
        <f t="shared" si="76"/>
        <v>7.46666666666667</v>
      </c>
      <c r="BK136" s="3626"/>
      <c r="BL136" s="3626"/>
      <c r="BM136" s="3626"/>
      <c r="BN136" s="3626">
        <f>I136-BJ136</f>
        <v>216.533333333333</v>
      </c>
      <c r="BO136" s="4055"/>
      <c r="BP136" s="3627"/>
      <c r="BQ136" s="3627">
        <f t="shared" si="60"/>
        <v>224</v>
      </c>
      <c r="BR136" s="3627">
        <f t="shared" si="61"/>
        <v>0</v>
      </c>
      <c r="BS136" s="4056"/>
      <c r="BT136" s="4057"/>
    </row>
    <row r="137" s="3566" customFormat="1" ht="50" customHeight="1" spans="1:72">
      <c r="A137" s="3635">
        <v>45677</v>
      </c>
      <c r="B137" s="3617" t="s">
        <v>3172</v>
      </c>
      <c r="C137" s="3617" t="s">
        <v>840</v>
      </c>
      <c r="D137" s="3624">
        <v>4500156115</v>
      </c>
      <c r="E137" s="959">
        <v>7631985</v>
      </c>
      <c r="F137" s="3617" t="s">
        <v>6541</v>
      </c>
      <c r="G137" s="959" t="s">
        <v>6281</v>
      </c>
      <c r="H137" s="959" t="s">
        <v>6292</v>
      </c>
      <c r="I137" s="3618">
        <v>224</v>
      </c>
      <c r="J137" s="3618">
        <v>0</v>
      </c>
      <c r="K137" s="3618">
        <v>32</v>
      </c>
      <c r="L137" s="4052">
        <f t="shared" si="72"/>
        <v>7</v>
      </c>
      <c r="M137" s="3619">
        <v>45730</v>
      </c>
      <c r="N137" s="3619">
        <v>45726</v>
      </c>
      <c r="O137" s="3618"/>
      <c r="P137" s="959" t="s">
        <v>82</v>
      </c>
      <c r="Q137" s="959"/>
      <c r="R137" s="959"/>
      <c r="S137" s="959"/>
      <c r="T137" s="4053"/>
      <c r="U137" s="3620" t="s">
        <v>3175</v>
      </c>
      <c r="V137" s="3640" t="s">
        <v>835</v>
      </c>
      <c r="W137" s="3640"/>
      <c r="X137" s="3640" t="s">
        <v>6523</v>
      </c>
      <c r="Y137" s="3640"/>
      <c r="Z137" s="3623" t="s">
        <v>6524</v>
      </c>
      <c r="AA137" s="3620" t="s">
        <v>6542</v>
      </c>
      <c r="AB137" s="3624" t="s">
        <v>380</v>
      </c>
      <c r="AC137" s="3686">
        <v>2.3647</v>
      </c>
      <c r="AD137" s="3618">
        <f t="shared" si="75"/>
        <v>529.6928</v>
      </c>
      <c r="AE137" s="3633" t="s">
        <v>3178</v>
      </c>
      <c r="AF137" s="959" t="s">
        <v>6543</v>
      </c>
      <c r="AG137" s="3620" t="s">
        <v>416</v>
      </c>
      <c r="AH137" s="3620"/>
      <c r="AI137" s="3620"/>
      <c r="AJ137" s="3620"/>
      <c r="AK137" s="959"/>
      <c r="AL137" s="959"/>
      <c r="AM137" s="959">
        <f t="shared" si="77"/>
        <v>224</v>
      </c>
      <c r="AN137" s="959"/>
      <c r="AO137" s="959"/>
      <c r="AP137" s="3618">
        <v>160</v>
      </c>
      <c r="AQ137" s="3618"/>
      <c r="AR137" s="3626"/>
      <c r="AS137" s="3626">
        <f t="shared" si="78"/>
        <v>224</v>
      </c>
      <c r="AT137" s="3626"/>
      <c r="AU137" s="3626"/>
      <c r="AV137" s="3626"/>
      <c r="AW137" s="3626"/>
      <c r="AX137" s="3626"/>
      <c r="AY137" s="3626"/>
      <c r="AZ137" s="3626"/>
      <c r="BA137" s="3626"/>
      <c r="BB137" s="3626"/>
      <c r="BC137" s="3626"/>
      <c r="BD137" s="3626"/>
      <c r="BE137" s="3626"/>
      <c r="BF137" s="3626"/>
      <c r="BG137" s="3626"/>
      <c r="BH137" s="3626"/>
      <c r="BI137" s="3626" t="s">
        <v>89</v>
      </c>
      <c r="BJ137" s="3626"/>
      <c r="BK137" s="3626">
        <f>I137</f>
        <v>224</v>
      </c>
      <c r="BL137" s="3626"/>
      <c r="BM137" s="3626"/>
      <c r="BN137" s="3626"/>
      <c r="BO137" s="4055"/>
      <c r="BP137" s="3627"/>
      <c r="BQ137" s="3627">
        <f t="shared" si="60"/>
        <v>224</v>
      </c>
      <c r="BR137" s="3627">
        <f t="shared" si="61"/>
        <v>0</v>
      </c>
      <c r="BS137" s="4056"/>
      <c r="BT137" s="4057"/>
    </row>
    <row r="138" s="3566" customFormat="1" ht="50" customHeight="1" spans="1:72">
      <c r="A138" s="3635">
        <v>45672</v>
      </c>
      <c r="B138" s="3617" t="s">
        <v>6544</v>
      </c>
      <c r="C138" s="3617" t="s">
        <v>1279</v>
      </c>
      <c r="D138" s="3624">
        <v>4500155907</v>
      </c>
      <c r="E138" s="959"/>
      <c r="F138" s="3617" t="s">
        <v>6545</v>
      </c>
      <c r="G138" s="959" t="s">
        <v>6124</v>
      </c>
      <c r="H138" s="3618" t="s">
        <v>6063</v>
      </c>
      <c r="I138" s="3618">
        <v>456</v>
      </c>
      <c r="J138" s="3618">
        <v>0</v>
      </c>
      <c r="K138" s="3618">
        <v>12</v>
      </c>
      <c r="L138" s="4052">
        <f t="shared" si="72"/>
        <v>38</v>
      </c>
      <c r="M138" s="3619">
        <v>45731</v>
      </c>
      <c r="N138" s="3619">
        <v>45727</v>
      </c>
      <c r="O138" s="3618"/>
      <c r="P138" s="959" t="s">
        <v>82</v>
      </c>
      <c r="Q138" s="959"/>
      <c r="R138" s="959"/>
      <c r="S138" s="959"/>
      <c r="T138" s="4053"/>
      <c r="U138" s="3645" t="s">
        <v>845</v>
      </c>
      <c r="V138" s="3640" t="s">
        <v>3221</v>
      </c>
      <c r="W138" s="3640"/>
      <c r="X138" s="3640" t="s">
        <v>6546</v>
      </c>
      <c r="Y138" s="3640"/>
      <c r="Z138" s="3623"/>
      <c r="AA138" s="3620" t="s">
        <v>6547</v>
      </c>
      <c r="AB138" s="3624" t="s">
        <v>3224</v>
      </c>
      <c r="AC138" s="3618">
        <v>2.3068</v>
      </c>
      <c r="AD138" s="3618">
        <f t="shared" si="75"/>
        <v>1051.9008</v>
      </c>
      <c r="AE138" s="3633" t="s">
        <v>3225</v>
      </c>
      <c r="AF138" s="959" t="s">
        <v>6126</v>
      </c>
      <c r="AG138" s="3620" t="s">
        <v>416</v>
      </c>
      <c r="AH138" s="3620"/>
      <c r="AI138" s="3620"/>
      <c r="AJ138" s="3620"/>
      <c r="AK138" s="959"/>
      <c r="AL138" s="959"/>
      <c r="AM138" s="959">
        <f t="shared" si="77"/>
        <v>456</v>
      </c>
      <c r="AN138" s="959"/>
      <c r="AO138" s="959"/>
      <c r="AP138" s="3618">
        <f t="shared" ref="AP138:AP146" si="79">I138</f>
        <v>456</v>
      </c>
      <c r="AQ138" s="3618"/>
      <c r="AR138" s="3626"/>
      <c r="AS138" s="3626">
        <f t="shared" si="78"/>
        <v>456</v>
      </c>
      <c r="AT138" s="3626"/>
      <c r="AU138" s="3626"/>
      <c r="AV138" s="3626"/>
      <c r="AW138" s="3626">
        <f>I138/6</f>
        <v>76</v>
      </c>
      <c r="AX138" s="3626"/>
      <c r="AY138" s="3626"/>
      <c r="AZ138" s="3626"/>
      <c r="BA138" s="3626"/>
      <c r="BB138" s="3626"/>
      <c r="BC138" s="3626"/>
      <c r="BD138" s="3626"/>
      <c r="BE138" s="3626"/>
      <c r="BF138" s="3626"/>
      <c r="BG138" s="3626"/>
      <c r="BH138" s="3626"/>
      <c r="BI138" s="3626" t="s">
        <v>89</v>
      </c>
      <c r="BJ138" s="3626">
        <f t="shared" si="76"/>
        <v>15.2</v>
      </c>
      <c r="BK138" s="3626">
        <f t="shared" ref="BK138:BK146" si="80">I138/60*10</f>
        <v>76</v>
      </c>
      <c r="BL138" s="3626">
        <f t="shared" ref="BL138:BL146" si="81">I138/60*10</f>
        <v>76</v>
      </c>
      <c r="BM138" s="3626">
        <f t="shared" ref="BM138:BM146" si="82">I138/60*8</f>
        <v>60.8</v>
      </c>
      <c r="BN138" s="3626">
        <f t="shared" ref="BN138:BN146" si="83">I138/60*10</f>
        <v>76</v>
      </c>
      <c r="BO138" s="4055">
        <f t="shared" ref="BO138:BO146" si="84">I138/60*10</f>
        <v>76</v>
      </c>
      <c r="BP138" s="3627">
        <f t="shared" ref="BP138:BP146" si="85">I138/60*10</f>
        <v>76</v>
      </c>
      <c r="BQ138" s="3627">
        <f t="shared" si="60"/>
        <v>456</v>
      </c>
      <c r="BR138" s="3627">
        <f t="shared" si="61"/>
        <v>0</v>
      </c>
      <c r="BS138" s="4056"/>
      <c r="BT138" s="4057"/>
    </row>
    <row r="139" s="3566" customFormat="1" ht="50" customHeight="1" spans="1:72">
      <c r="A139" s="3635">
        <v>45672</v>
      </c>
      <c r="B139" s="3617" t="s">
        <v>6548</v>
      </c>
      <c r="C139" s="3617" t="s">
        <v>1279</v>
      </c>
      <c r="D139" s="3624">
        <v>4500155934</v>
      </c>
      <c r="E139" s="959"/>
      <c r="F139" s="3617" t="s">
        <v>6549</v>
      </c>
      <c r="G139" s="959" t="s">
        <v>6124</v>
      </c>
      <c r="H139" s="3618" t="s">
        <v>6063</v>
      </c>
      <c r="I139" s="3618">
        <v>180</v>
      </c>
      <c r="J139" s="3618">
        <v>0</v>
      </c>
      <c r="K139" s="3618">
        <v>12</v>
      </c>
      <c r="L139" s="4052">
        <f t="shared" si="72"/>
        <v>15</v>
      </c>
      <c r="M139" s="3619">
        <v>45731</v>
      </c>
      <c r="N139" s="3619">
        <v>45727</v>
      </c>
      <c r="O139" s="3618"/>
      <c r="P139" s="959" t="s">
        <v>82</v>
      </c>
      <c r="Q139" s="959"/>
      <c r="R139" s="959"/>
      <c r="S139" s="959"/>
      <c r="T139" s="4053"/>
      <c r="U139" s="3645" t="s">
        <v>3175</v>
      </c>
      <c r="V139" s="3640" t="s">
        <v>3228</v>
      </c>
      <c r="W139" s="3640"/>
      <c r="X139" s="3640" t="s">
        <v>6550</v>
      </c>
      <c r="Y139" s="3640"/>
      <c r="Z139" s="3623"/>
      <c r="AA139" s="3620" t="s">
        <v>6551</v>
      </c>
      <c r="AB139" s="3624" t="s">
        <v>3224</v>
      </c>
      <c r="AC139" s="3618">
        <v>2.3068</v>
      </c>
      <c r="AD139" s="3618">
        <f t="shared" si="75"/>
        <v>415.224</v>
      </c>
      <c r="AE139" s="3633" t="s">
        <v>3231</v>
      </c>
      <c r="AF139" s="959" t="s">
        <v>6126</v>
      </c>
      <c r="AG139" s="3620" t="s">
        <v>416</v>
      </c>
      <c r="AH139" s="3620"/>
      <c r="AI139" s="3620"/>
      <c r="AJ139" s="3620"/>
      <c r="AK139" s="959"/>
      <c r="AL139" s="959"/>
      <c r="AM139" s="959">
        <f t="shared" si="77"/>
        <v>180</v>
      </c>
      <c r="AN139" s="959"/>
      <c r="AO139" s="959"/>
      <c r="AP139" s="3618">
        <f t="shared" si="79"/>
        <v>180</v>
      </c>
      <c r="AQ139" s="3618"/>
      <c r="AR139" s="3626"/>
      <c r="AS139" s="3626">
        <f t="shared" si="78"/>
        <v>180</v>
      </c>
      <c r="AT139" s="3626"/>
      <c r="AU139" s="3626"/>
      <c r="AV139" s="3626"/>
      <c r="AW139" s="3626">
        <f>I139/6</f>
        <v>30</v>
      </c>
      <c r="AX139" s="3626"/>
      <c r="AY139" s="3626"/>
      <c r="AZ139" s="3626"/>
      <c r="BA139" s="3626"/>
      <c r="BB139" s="3626"/>
      <c r="BC139" s="3626"/>
      <c r="BD139" s="3626"/>
      <c r="BE139" s="3626"/>
      <c r="BF139" s="3626"/>
      <c r="BG139" s="3626"/>
      <c r="BH139" s="3626"/>
      <c r="BI139" s="3626" t="s">
        <v>89</v>
      </c>
      <c r="BJ139" s="3626">
        <f t="shared" si="76"/>
        <v>6</v>
      </c>
      <c r="BK139" s="3626">
        <f t="shared" si="80"/>
        <v>30</v>
      </c>
      <c r="BL139" s="3626">
        <f t="shared" si="81"/>
        <v>30</v>
      </c>
      <c r="BM139" s="3626">
        <f t="shared" si="82"/>
        <v>24</v>
      </c>
      <c r="BN139" s="3626">
        <f t="shared" si="83"/>
        <v>30</v>
      </c>
      <c r="BO139" s="4055">
        <f t="shared" si="84"/>
        <v>30</v>
      </c>
      <c r="BP139" s="3627">
        <f t="shared" si="85"/>
        <v>30</v>
      </c>
      <c r="BQ139" s="3627">
        <f t="shared" si="60"/>
        <v>180</v>
      </c>
      <c r="BR139" s="3627">
        <f t="shared" si="61"/>
        <v>0</v>
      </c>
      <c r="BS139" s="4056"/>
      <c r="BT139" s="4057"/>
    </row>
    <row r="140" s="3566" customFormat="1" ht="50" customHeight="1" spans="1:72">
      <c r="A140" s="3635">
        <v>45683</v>
      </c>
      <c r="B140" s="3617" t="s">
        <v>872</v>
      </c>
      <c r="C140" s="3617" t="s">
        <v>873</v>
      </c>
      <c r="D140" s="3624">
        <v>4500156659</v>
      </c>
      <c r="E140" s="959"/>
      <c r="F140" s="3617" t="s">
        <v>6552</v>
      </c>
      <c r="G140" s="959" t="s">
        <v>3520</v>
      </c>
      <c r="H140" s="3618" t="s">
        <v>6063</v>
      </c>
      <c r="I140" s="3618">
        <v>264</v>
      </c>
      <c r="J140" s="3618">
        <v>0</v>
      </c>
      <c r="K140" s="3618">
        <v>24</v>
      </c>
      <c r="L140" s="4052">
        <f t="shared" si="72"/>
        <v>11</v>
      </c>
      <c r="M140" s="3619">
        <v>45736</v>
      </c>
      <c r="N140" s="3619">
        <v>45733</v>
      </c>
      <c r="O140" s="3618"/>
      <c r="P140" s="959" t="s">
        <v>82</v>
      </c>
      <c r="Q140" s="959"/>
      <c r="R140" s="959"/>
      <c r="S140" s="959"/>
      <c r="T140" s="4053"/>
      <c r="U140" s="3645" t="s">
        <v>875</v>
      </c>
      <c r="V140" s="3649" t="s">
        <v>876</v>
      </c>
      <c r="W140" s="3649"/>
      <c r="X140" s="3649" t="s">
        <v>830</v>
      </c>
      <c r="Y140" s="3640"/>
      <c r="Z140" s="3623"/>
      <c r="AA140" s="3620" t="s">
        <v>6553</v>
      </c>
      <c r="AB140" s="3624" t="s">
        <v>357</v>
      </c>
      <c r="AC140" s="3618">
        <v>2.2482</v>
      </c>
      <c r="AD140" s="3618">
        <f t="shared" si="75"/>
        <v>593.5248</v>
      </c>
      <c r="AE140" s="3633" t="s">
        <v>878</v>
      </c>
      <c r="AF140" s="959" t="s">
        <v>3520</v>
      </c>
      <c r="AG140" s="3620" t="s">
        <v>416</v>
      </c>
      <c r="AH140" s="3620"/>
      <c r="AI140" s="3620"/>
      <c r="AJ140" s="3620"/>
      <c r="AK140" s="959">
        <f>I140</f>
        <v>264</v>
      </c>
      <c r="AL140" s="959"/>
      <c r="AM140" s="959"/>
      <c r="AN140" s="959"/>
      <c r="AO140" s="959"/>
      <c r="AP140" s="3618">
        <f t="shared" si="79"/>
        <v>264</v>
      </c>
      <c r="AQ140" s="3618"/>
      <c r="AR140" s="3626"/>
      <c r="AS140" s="3626">
        <f t="shared" si="78"/>
        <v>264</v>
      </c>
      <c r="AT140" s="3626"/>
      <c r="AU140" s="3626"/>
      <c r="AV140" s="3626"/>
      <c r="AW140" s="3626"/>
      <c r="AX140" s="3626"/>
      <c r="AY140" s="3626"/>
      <c r="AZ140" s="3626"/>
      <c r="BA140" s="3626"/>
      <c r="BB140" s="3626"/>
      <c r="BC140" s="3626"/>
      <c r="BD140" s="3626"/>
      <c r="BE140" s="3626"/>
      <c r="BF140" s="3626"/>
      <c r="BG140" s="3626"/>
      <c r="BH140" s="3626"/>
      <c r="BI140" s="3626" t="s">
        <v>89</v>
      </c>
      <c r="BJ140" s="3626">
        <f t="shared" si="76"/>
        <v>8.8</v>
      </c>
      <c r="BK140" s="3626">
        <f t="shared" si="80"/>
        <v>44</v>
      </c>
      <c r="BL140" s="3626">
        <f t="shared" si="81"/>
        <v>44</v>
      </c>
      <c r="BM140" s="3626">
        <f t="shared" si="82"/>
        <v>35.2</v>
      </c>
      <c r="BN140" s="3626">
        <f t="shared" si="83"/>
        <v>44</v>
      </c>
      <c r="BO140" s="4055">
        <f t="shared" si="84"/>
        <v>44</v>
      </c>
      <c r="BP140" s="3627">
        <f t="shared" si="85"/>
        <v>44</v>
      </c>
      <c r="BQ140" s="3627">
        <f t="shared" si="60"/>
        <v>264</v>
      </c>
      <c r="BR140" s="3627">
        <f t="shared" si="61"/>
        <v>0</v>
      </c>
      <c r="BS140" s="4056"/>
      <c r="BT140" s="4057"/>
    </row>
    <row r="141" s="3566" customFormat="1" ht="50" customHeight="1" spans="1:72">
      <c r="A141" s="3635">
        <v>45698</v>
      </c>
      <c r="B141" s="3617" t="s">
        <v>561</v>
      </c>
      <c r="C141" s="3617" t="s">
        <v>562</v>
      </c>
      <c r="D141" s="3624">
        <v>4500156544</v>
      </c>
      <c r="E141" s="959"/>
      <c r="F141" s="3617" t="s">
        <v>6554</v>
      </c>
      <c r="G141" s="959" t="s">
        <v>3520</v>
      </c>
      <c r="H141" s="3618" t="s">
        <v>6063</v>
      </c>
      <c r="I141" s="3618">
        <v>1080</v>
      </c>
      <c r="J141" s="3618">
        <v>0</v>
      </c>
      <c r="K141" s="3618">
        <v>24</v>
      </c>
      <c r="L141" s="4052">
        <f t="shared" si="72"/>
        <v>45</v>
      </c>
      <c r="M141" s="3619">
        <v>45737</v>
      </c>
      <c r="N141" s="3619">
        <v>45733</v>
      </c>
      <c r="O141" s="3618"/>
      <c r="P141" s="959" t="s">
        <v>82</v>
      </c>
      <c r="Q141" s="959"/>
      <c r="R141" s="959"/>
      <c r="S141" s="959"/>
      <c r="T141" s="4053"/>
      <c r="U141" s="3620" t="s">
        <v>868</v>
      </c>
      <c r="V141" s="3649" t="s">
        <v>846</v>
      </c>
      <c r="W141" s="3649"/>
      <c r="X141" s="3649" t="s">
        <v>6555</v>
      </c>
      <c r="Y141" s="3640"/>
      <c r="Z141" s="3623"/>
      <c r="AA141" s="3620" t="s">
        <v>6556</v>
      </c>
      <c r="AB141" s="3624" t="s">
        <v>459</v>
      </c>
      <c r="AC141" s="3618">
        <v>2.2437</v>
      </c>
      <c r="AD141" s="3618">
        <f t="shared" si="75"/>
        <v>2423.196</v>
      </c>
      <c r="AE141" s="3633" t="s">
        <v>6557</v>
      </c>
      <c r="AF141" s="959" t="s">
        <v>6263</v>
      </c>
      <c r="AG141" s="3620" t="s">
        <v>416</v>
      </c>
      <c r="AH141" s="3620"/>
      <c r="AI141" s="3620"/>
      <c r="AJ141" s="3620"/>
      <c r="AK141" s="959"/>
      <c r="AL141" s="959"/>
      <c r="AM141" s="959">
        <f>I141</f>
        <v>1080</v>
      </c>
      <c r="AN141" s="959"/>
      <c r="AO141" s="959"/>
      <c r="AP141" s="3618">
        <f t="shared" si="79"/>
        <v>1080</v>
      </c>
      <c r="AQ141" s="3618"/>
      <c r="AR141" s="3626"/>
      <c r="AS141" s="3626">
        <f t="shared" si="78"/>
        <v>1080</v>
      </c>
      <c r="AT141" s="3626"/>
      <c r="AU141" s="3626"/>
      <c r="AV141" s="3626"/>
      <c r="AW141" s="3626"/>
      <c r="AX141" s="3626"/>
      <c r="AY141" s="3626"/>
      <c r="AZ141" s="3626"/>
      <c r="BA141" s="3626"/>
      <c r="BB141" s="3626"/>
      <c r="BC141" s="3626"/>
      <c r="BD141" s="3626"/>
      <c r="BE141" s="3626"/>
      <c r="BF141" s="3626"/>
      <c r="BG141" s="3626"/>
      <c r="BH141" s="3626"/>
      <c r="BI141" s="3626" t="s">
        <v>89</v>
      </c>
      <c r="BJ141" s="3626">
        <f t="shared" si="76"/>
        <v>36</v>
      </c>
      <c r="BK141" s="3626">
        <f t="shared" si="80"/>
        <v>180</v>
      </c>
      <c r="BL141" s="3626">
        <f t="shared" si="81"/>
        <v>180</v>
      </c>
      <c r="BM141" s="3626">
        <f t="shared" si="82"/>
        <v>144</v>
      </c>
      <c r="BN141" s="3626">
        <f t="shared" si="83"/>
        <v>180</v>
      </c>
      <c r="BO141" s="4055">
        <f t="shared" si="84"/>
        <v>180</v>
      </c>
      <c r="BP141" s="3627">
        <f t="shared" si="85"/>
        <v>180</v>
      </c>
      <c r="BQ141" s="3627">
        <f t="shared" si="60"/>
        <v>1080</v>
      </c>
      <c r="BR141" s="3627">
        <f t="shared" si="61"/>
        <v>0</v>
      </c>
      <c r="BS141" s="4056"/>
      <c r="BT141" s="4057"/>
    </row>
    <row r="142" s="3566" customFormat="1" ht="50" customHeight="1" spans="1:72">
      <c r="A142" s="3635">
        <v>45702</v>
      </c>
      <c r="B142" s="3617" t="s">
        <v>6558</v>
      </c>
      <c r="C142" s="3617" t="s">
        <v>6559</v>
      </c>
      <c r="D142" s="3624">
        <v>4500157618</v>
      </c>
      <c r="E142" s="959" t="s">
        <v>6560</v>
      </c>
      <c r="F142" s="3617" t="s">
        <v>6561</v>
      </c>
      <c r="G142" s="959" t="s">
        <v>3520</v>
      </c>
      <c r="H142" s="3618" t="s">
        <v>6063</v>
      </c>
      <c r="I142" s="3618">
        <v>600</v>
      </c>
      <c r="J142" s="3618">
        <v>0</v>
      </c>
      <c r="K142" s="3618">
        <v>24</v>
      </c>
      <c r="L142" s="4052">
        <f t="shared" si="72"/>
        <v>25</v>
      </c>
      <c r="M142" s="3619">
        <v>45740</v>
      </c>
      <c r="N142" s="3619">
        <v>45736</v>
      </c>
      <c r="O142" s="3618"/>
      <c r="P142" s="959" t="s">
        <v>82</v>
      </c>
      <c r="Q142" s="959"/>
      <c r="R142" s="959"/>
      <c r="S142" s="959"/>
      <c r="T142" s="4053"/>
      <c r="U142" s="3620" t="s">
        <v>863</v>
      </c>
      <c r="V142" s="3649" t="s">
        <v>3166</v>
      </c>
      <c r="W142" s="3649"/>
      <c r="X142" s="3649" t="s">
        <v>6562</v>
      </c>
      <c r="Y142" s="3640"/>
      <c r="Z142" s="3623"/>
      <c r="AA142" s="3620" t="s">
        <v>6563</v>
      </c>
      <c r="AB142" s="3624" t="s">
        <v>892</v>
      </c>
      <c r="AC142" s="4058">
        <v>2.2482</v>
      </c>
      <c r="AD142" s="3618">
        <f t="shared" si="75"/>
        <v>1348.92</v>
      </c>
      <c r="AE142" s="3633" t="s">
        <v>6564</v>
      </c>
      <c r="AF142" s="959" t="s">
        <v>3520</v>
      </c>
      <c r="AG142" s="3620" t="s">
        <v>416</v>
      </c>
      <c r="AH142" s="3620"/>
      <c r="AI142" s="3620"/>
      <c r="AJ142" s="3620"/>
      <c r="AK142" s="959">
        <f>I142</f>
        <v>600</v>
      </c>
      <c r="AL142" s="959"/>
      <c r="AM142" s="959"/>
      <c r="AN142" s="959"/>
      <c r="AO142" s="959"/>
      <c r="AP142" s="3618">
        <f t="shared" si="79"/>
        <v>600</v>
      </c>
      <c r="AQ142" s="3618"/>
      <c r="AR142" s="3626"/>
      <c r="AS142" s="3626">
        <f t="shared" si="78"/>
        <v>600</v>
      </c>
      <c r="AT142" s="3626"/>
      <c r="AU142" s="3626"/>
      <c r="AV142" s="3626"/>
      <c r="AW142" s="3626"/>
      <c r="AX142" s="3626"/>
      <c r="AY142" s="3626"/>
      <c r="AZ142" s="3626"/>
      <c r="BA142" s="3626"/>
      <c r="BB142" s="3626"/>
      <c r="BC142" s="3626"/>
      <c r="BD142" s="3626"/>
      <c r="BE142" s="3626"/>
      <c r="BF142" s="3626"/>
      <c r="BG142" s="3626"/>
      <c r="BH142" s="3626"/>
      <c r="BI142" s="3626" t="s">
        <v>89</v>
      </c>
      <c r="BJ142" s="3626">
        <f t="shared" si="76"/>
        <v>20</v>
      </c>
      <c r="BK142" s="3626">
        <f t="shared" si="80"/>
        <v>100</v>
      </c>
      <c r="BL142" s="3626">
        <f t="shared" si="81"/>
        <v>100</v>
      </c>
      <c r="BM142" s="3626">
        <f t="shared" si="82"/>
        <v>80</v>
      </c>
      <c r="BN142" s="3626">
        <f t="shared" si="83"/>
        <v>100</v>
      </c>
      <c r="BO142" s="4055">
        <f t="shared" si="84"/>
        <v>100</v>
      </c>
      <c r="BP142" s="3627">
        <f t="shared" si="85"/>
        <v>100</v>
      </c>
      <c r="BQ142" s="3627">
        <f t="shared" si="60"/>
        <v>600</v>
      </c>
      <c r="BR142" s="3627">
        <f t="shared" si="61"/>
        <v>0</v>
      </c>
      <c r="BS142" s="4056"/>
      <c r="BT142" s="4057"/>
    </row>
    <row r="143" s="3566" customFormat="1" ht="50" customHeight="1" spans="1:72">
      <c r="A143" s="3635">
        <v>45695</v>
      </c>
      <c r="B143" s="3617" t="s">
        <v>387</v>
      </c>
      <c r="C143" s="3617" t="s">
        <v>91</v>
      </c>
      <c r="D143" s="3624">
        <v>4500156881</v>
      </c>
      <c r="E143" s="959">
        <v>70058006</v>
      </c>
      <c r="F143" s="3617" t="s">
        <v>6565</v>
      </c>
      <c r="G143" s="959" t="s">
        <v>3520</v>
      </c>
      <c r="H143" s="3618" t="s">
        <v>6063</v>
      </c>
      <c r="I143" s="3618">
        <v>360</v>
      </c>
      <c r="J143" s="3618">
        <v>0</v>
      </c>
      <c r="K143" s="3618">
        <v>24</v>
      </c>
      <c r="L143" s="4052">
        <f t="shared" si="72"/>
        <v>15</v>
      </c>
      <c r="M143" s="3619">
        <v>45741</v>
      </c>
      <c r="N143" s="3619">
        <v>45737</v>
      </c>
      <c r="O143" s="3618" t="s">
        <v>3551</v>
      </c>
      <c r="P143" s="959" t="s">
        <v>82</v>
      </c>
      <c r="Q143" s="959"/>
      <c r="R143" s="959"/>
      <c r="S143" s="959"/>
      <c r="T143" s="4053"/>
      <c r="U143" s="3645" t="s">
        <v>923</v>
      </c>
      <c r="V143" s="3649" t="s">
        <v>804</v>
      </c>
      <c r="W143" s="3649"/>
      <c r="X143" s="3649" t="s">
        <v>98</v>
      </c>
      <c r="Y143" s="3649" t="s">
        <v>869</v>
      </c>
      <c r="Z143" s="3623"/>
      <c r="AA143" s="3620" t="s">
        <v>3271</v>
      </c>
      <c r="AB143" s="3624" t="s">
        <v>393</v>
      </c>
      <c r="AC143" s="4058">
        <v>2.2482</v>
      </c>
      <c r="AD143" s="3618">
        <f t="shared" si="75"/>
        <v>809.352</v>
      </c>
      <c r="AE143" s="3633" t="s">
        <v>3272</v>
      </c>
      <c r="AF143" s="959" t="s">
        <v>3520</v>
      </c>
      <c r="AG143" s="3620" t="s">
        <v>416</v>
      </c>
      <c r="AH143" s="3620"/>
      <c r="AI143" s="3620"/>
      <c r="AJ143" s="3620"/>
      <c r="AK143" s="959">
        <f>I143</f>
        <v>360</v>
      </c>
      <c r="AL143" s="959"/>
      <c r="AM143" s="959"/>
      <c r="AN143" s="959"/>
      <c r="AO143" s="959"/>
      <c r="AP143" s="3618">
        <f t="shared" si="79"/>
        <v>360</v>
      </c>
      <c r="AQ143" s="3618"/>
      <c r="AR143" s="3626"/>
      <c r="AS143" s="3626">
        <f t="shared" si="78"/>
        <v>360</v>
      </c>
      <c r="AT143" s="3626"/>
      <c r="AU143" s="3626"/>
      <c r="AV143" s="3626"/>
      <c r="AW143" s="3626"/>
      <c r="AX143" s="3626"/>
      <c r="AY143" s="3626"/>
      <c r="AZ143" s="3626"/>
      <c r="BA143" s="3626"/>
      <c r="BB143" s="3626"/>
      <c r="BC143" s="3626"/>
      <c r="BD143" s="3626"/>
      <c r="BE143" s="3626"/>
      <c r="BF143" s="3626"/>
      <c r="BG143" s="3626"/>
      <c r="BH143" s="3626"/>
      <c r="BI143" s="3626" t="s">
        <v>89</v>
      </c>
      <c r="BJ143" s="3626">
        <f t="shared" si="76"/>
        <v>12</v>
      </c>
      <c r="BK143" s="3626">
        <f t="shared" si="80"/>
        <v>60</v>
      </c>
      <c r="BL143" s="3626">
        <f t="shared" si="81"/>
        <v>60</v>
      </c>
      <c r="BM143" s="3626">
        <f t="shared" si="82"/>
        <v>48</v>
      </c>
      <c r="BN143" s="3626">
        <f t="shared" si="83"/>
        <v>60</v>
      </c>
      <c r="BO143" s="4055">
        <f t="shared" si="84"/>
        <v>60</v>
      </c>
      <c r="BP143" s="3627">
        <f t="shared" si="85"/>
        <v>60</v>
      </c>
      <c r="BQ143" s="3627">
        <f t="shared" si="60"/>
        <v>360</v>
      </c>
      <c r="BR143" s="3627">
        <f t="shared" si="61"/>
        <v>0</v>
      </c>
      <c r="BS143" s="4056"/>
      <c r="BT143" s="4057"/>
    </row>
    <row r="144" s="3566" customFormat="1" ht="50" customHeight="1" spans="1:72">
      <c r="A144" s="3635">
        <v>45705</v>
      </c>
      <c r="B144" s="3617" t="s">
        <v>3264</v>
      </c>
      <c r="C144" s="3617" t="s">
        <v>858</v>
      </c>
      <c r="D144" s="3624">
        <v>4500157780</v>
      </c>
      <c r="E144" s="959"/>
      <c r="F144" s="3617" t="s">
        <v>6566</v>
      </c>
      <c r="G144" s="959" t="s">
        <v>3520</v>
      </c>
      <c r="H144" s="3618" t="s">
        <v>6063</v>
      </c>
      <c r="I144" s="3618">
        <v>120</v>
      </c>
      <c r="J144" s="3618">
        <v>0</v>
      </c>
      <c r="K144" s="3618">
        <v>24</v>
      </c>
      <c r="L144" s="4052">
        <f t="shared" si="72"/>
        <v>5</v>
      </c>
      <c r="M144" s="3619">
        <v>45741</v>
      </c>
      <c r="N144" s="3619">
        <v>45737</v>
      </c>
      <c r="O144" s="3618"/>
      <c r="P144" s="959" t="s">
        <v>82</v>
      </c>
      <c r="Q144" s="959"/>
      <c r="R144" s="959"/>
      <c r="S144" s="959"/>
      <c r="T144" s="4053"/>
      <c r="U144" s="3645" t="s">
        <v>3266</v>
      </c>
      <c r="V144" s="3649" t="s">
        <v>876</v>
      </c>
      <c r="W144" s="3649"/>
      <c r="X144" s="3649" t="s">
        <v>98</v>
      </c>
      <c r="Y144" s="3640"/>
      <c r="Z144" s="3623"/>
      <c r="AA144" s="3620" t="s">
        <v>6567</v>
      </c>
      <c r="AB144" s="3624" t="s">
        <v>357</v>
      </c>
      <c r="AC144" s="4058">
        <v>2.1947</v>
      </c>
      <c r="AD144" s="3618">
        <f t="shared" si="75"/>
        <v>263.364</v>
      </c>
      <c r="AE144" s="3633" t="s">
        <v>3268</v>
      </c>
      <c r="AF144" s="959" t="s">
        <v>3520</v>
      </c>
      <c r="AG144" s="3620" t="s">
        <v>416</v>
      </c>
      <c r="AH144" s="3620"/>
      <c r="AI144" s="3620"/>
      <c r="AJ144" s="3620"/>
      <c r="AK144" s="959">
        <f>I144</f>
        <v>120</v>
      </c>
      <c r="AL144" s="959"/>
      <c r="AM144" s="959"/>
      <c r="AN144" s="959"/>
      <c r="AO144" s="959"/>
      <c r="AP144" s="3618">
        <f t="shared" si="79"/>
        <v>120</v>
      </c>
      <c r="AQ144" s="3618"/>
      <c r="AR144" s="3626"/>
      <c r="AS144" s="3626">
        <f t="shared" si="78"/>
        <v>120</v>
      </c>
      <c r="AT144" s="3626"/>
      <c r="AU144" s="3626"/>
      <c r="AV144" s="3626"/>
      <c r="AW144" s="3626"/>
      <c r="AX144" s="3626"/>
      <c r="AY144" s="3626"/>
      <c r="AZ144" s="3626"/>
      <c r="BA144" s="3626"/>
      <c r="BB144" s="3626"/>
      <c r="BC144" s="3626"/>
      <c r="BD144" s="3626"/>
      <c r="BE144" s="3626"/>
      <c r="BF144" s="3626"/>
      <c r="BG144" s="3626"/>
      <c r="BH144" s="3626"/>
      <c r="BI144" s="3626" t="s">
        <v>89</v>
      </c>
      <c r="BJ144" s="3626">
        <f t="shared" si="76"/>
        <v>4</v>
      </c>
      <c r="BK144" s="3626">
        <f t="shared" si="80"/>
        <v>20</v>
      </c>
      <c r="BL144" s="3626">
        <f t="shared" si="81"/>
        <v>20</v>
      </c>
      <c r="BM144" s="3626">
        <f t="shared" si="82"/>
        <v>16</v>
      </c>
      <c r="BN144" s="3626">
        <f t="shared" si="83"/>
        <v>20</v>
      </c>
      <c r="BO144" s="4055">
        <f t="shared" si="84"/>
        <v>20</v>
      </c>
      <c r="BP144" s="3627">
        <f t="shared" si="85"/>
        <v>20</v>
      </c>
      <c r="BQ144" s="3627">
        <f t="shared" si="60"/>
        <v>120</v>
      </c>
      <c r="BR144" s="3627">
        <f t="shared" si="61"/>
        <v>0</v>
      </c>
      <c r="BS144" s="4056"/>
      <c r="BT144" s="4057"/>
    </row>
    <row r="145" s="3566" customFormat="1" ht="50" customHeight="1" spans="1:72">
      <c r="A145" s="3635">
        <v>45699</v>
      </c>
      <c r="B145" s="3617" t="s">
        <v>3138</v>
      </c>
      <c r="C145" s="3617" t="s">
        <v>396</v>
      </c>
      <c r="D145" s="3624">
        <v>4500157213</v>
      </c>
      <c r="E145" s="959" t="s">
        <v>6568</v>
      </c>
      <c r="F145" s="3617" t="s">
        <v>6569</v>
      </c>
      <c r="G145" s="959" t="s">
        <v>6228</v>
      </c>
      <c r="H145" s="3618" t="s">
        <v>6063</v>
      </c>
      <c r="I145" s="3618">
        <v>1800</v>
      </c>
      <c r="J145" s="3618">
        <v>0</v>
      </c>
      <c r="K145" s="3618">
        <v>6</v>
      </c>
      <c r="L145" s="4052">
        <f t="shared" si="72"/>
        <v>300</v>
      </c>
      <c r="M145" s="3619">
        <v>45740</v>
      </c>
      <c r="N145" s="3619">
        <v>45736</v>
      </c>
      <c r="O145" s="3618"/>
      <c r="P145" s="959" t="s">
        <v>82</v>
      </c>
      <c r="Q145" s="959"/>
      <c r="R145" s="959"/>
      <c r="S145" s="959"/>
      <c r="T145" s="4053"/>
      <c r="U145" s="3620" t="s">
        <v>889</v>
      </c>
      <c r="V145" s="3649" t="s">
        <v>882</v>
      </c>
      <c r="W145" s="3649"/>
      <c r="X145" s="3649" t="s">
        <v>6570</v>
      </c>
      <c r="Y145" s="3640"/>
      <c r="Z145" s="3623"/>
      <c r="AA145" s="3620" t="s">
        <v>6571</v>
      </c>
      <c r="AB145" s="3624" t="s">
        <v>405</v>
      </c>
      <c r="AC145" s="4058">
        <v>2.3149</v>
      </c>
      <c r="AD145" s="3618">
        <f t="shared" si="75"/>
        <v>4166.82</v>
      </c>
      <c r="AE145" s="3633" t="s">
        <v>6572</v>
      </c>
      <c r="AF145" s="959" t="s">
        <v>6068</v>
      </c>
      <c r="AG145" s="3620" t="s">
        <v>416</v>
      </c>
      <c r="AH145" s="3620"/>
      <c r="AI145" s="3620"/>
      <c r="AJ145" s="3620"/>
      <c r="AK145" s="959"/>
      <c r="AL145" s="959"/>
      <c r="AM145" s="959">
        <f>I145</f>
        <v>1800</v>
      </c>
      <c r="AN145" s="959"/>
      <c r="AO145" s="959"/>
      <c r="AP145" s="3618">
        <f t="shared" si="79"/>
        <v>1800</v>
      </c>
      <c r="AQ145" s="3618"/>
      <c r="AR145" s="3626"/>
      <c r="AS145" s="3626"/>
      <c r="AT145" s="3626"/>
      <c r="AU145" s="3626">
        <f>I145</f>
        <v>1800</v>
      </c>
      <c r="AV145" s="3626"/>
      <c r="AW145" s="3626"/>
      <c r="AX145" s="3626"/>
      <c r="AY145" s="3626">
        <f>I145/6</f>
        <v>300</v>
      </c>
      <c r="AZ145" s="3626"/>
      <c r="BA145" s="3626"/>
      <c r="BB145" s="3626"/>
      <c r="BC145" s="3626"/>
      <c r="BD145" s="3626"/>
      <c r="BE145" s="3626"/>
      <c r="BF145" s="3626"/>
      <c r="BG145" s="3626"/>
      <c r="BH145" s="3626"/>
      <c r="BI145" s="3626" t="s">
        <v>89</v>
      </c>
      <c r="BJ145" s="3626">
        <f t="shared" si="76"/>
        <v>60</v>
      </c>
      <c r="BK145" s="3626">
        <f t="shared" si="80"/>
        <v>300</v>
      </c>
      <c r="BL145" s="3626">
        <f t="shared" si="81"/>
        <v>300</v>
      </c>
      <c r="BM145" s="3626">
        <f t="shared" si="82"/>
        <v>240</v>
      </c>
      <c r="BN145" s="3626">
        <f t="shared" si="83"/>
        <v>300</v>
      </c>
      <c r="BO145" s="4055">
        <f t="shared" si="84"/>
        <v>300</v>
      </c>
      <c r="BP145" s="3627">
        <f t="shared" si="85"/>
        <v>300</v>
      </c>
      <c r="BQ145" s="3627">
        <f t="shared" si="60"/>
        <v>1800</v>
      </c>
      <c r="BR145" s="3627">
        <f t="shared" si="61"/>
        <v>0</v>
      </c>
      <c r="BS145" s="4056"/>
      <c r="BT145" s="4057"/>
    </row>
    <row r="146" s="3566" customFormat="1" ht="50" customHeight="1" spans="1:72">
      <c r="A146" s="3635">
        <v>45650</v>
      </c>
      <c r="B146" s="3617" t="s">
        <v>3194</v>
      </c>
      <c r="C146" s="3617" t="s">
        <v>506</v>
      </c>
      <c r="D146" s="3624">
        <v>4500153983</v>
      </c>
      <c r="E146" s="959" t="s">
        <v>3195</v>
      </c>
      <c r="F146" s="3617" t="s">
        <v>3196</v>
      </c>
      <c r="G146" s="959" t="s">
        <v>6573</v>
      </c>
      <c r="H146" s="959" t="s">
        <v>3198</v>
      </c>
      <c r="I146" s="3618">
        <v>556</v>
      </c>
      <c r="J146" s="3618">
        <v>0</v>
      </c>
      <c r="K146" s="3618">
        <v>2</v>
      </c>
      <c r="L146" s="4052">
        <f t="shared" si="72"/>
        <v>278</v>
      </c>
      <c r="M146" s="3619">
        <v>45730</v>
      </c>
      <c r="N146" s="3619">
        <v>45726</v>
      </c>
      <c r="O146" s="3618" t="s">
        <v>3199</v>
      </c>
      <c r="P146" s="959" t="s">
        <v>82</v>
      </c>
      <c r="Q146" s="959"/>
      <c r="R146" s="959"/>
      <c r="S146" s="959"/>
      <c r="T146" s="4053"/>
      <c r="U146" s="3620" t="s">
        <v>401</v>
      </c>
      <c r="V146" s="3640" t="s">
        <v>741</v>
      </c>
      <c r="W146" s="3640"/>
      <c r="X146" s="3640" t="s">
        <v>98</v>
      </c>
      <c r="Y146" s="3640"/>
      <c r="Z146" s="3623"/>
      <c r="AA146" s="3620" t="s">
        <v>6574</v>
      </c>
      <c r="AB146" s="3624" t="s">
        <v>3202</v>
      </c>
      <c r="AC146" s="3618">
        <v>11.4387</v>
      </c>
      <c r="AD146" s="3618">
        <f>L146*AC146</f>
        <v>3179.9586</v>
      </c>
      <c r="AE146" s="3633" t="s">
        <v>3203</v>
      </c>
      <c r="AF146" s="959" t="s">
        <v>3520</v>
      </c>
      <c r="AG146" s="3620" t="s">
        <v>416</v>
      </c>
      <c r="AH146" s="3620"/>
      <c r="AI146" s="3620"/>
      <c r="AJ146" s="3620"/>
      <c r="AK146" s="959">
        <f>I146</f>
        <v>556</v>
      </c>
      <c r="AL146" s="959"/>
      <c r="AM146" s="959"/>
      <c r="AN146" s="959"/>
      <c r="AO146" s="959"/>
      <c r="AP146" s="3618">
        <f t="shared" si="79"/>
        <v>556</v>
      </c>
      <c r="AQ146" s="3618"/>
      <c r="AR146" s="3626"/>
      <c r="AS146" s="3626">
        <f t="shared" ref="AS146:AS170" si="86">I146</f>
        <v>556</v>
      </c>
      <c r="AT146" s="3626"/>
      <c r="AU146" s="3626"/>
      <c r="AV146" s="3626"/>
      <c r="AW146" s="3626"/>
      <c r="AX146" s="3626"/>
      <c r="AY146" s="3626"/>
      <c r="AZ146" s="3626"/>
      <c r="BA146" s="3626"/>
      <c r="BB146" s="3626"/>
      <c r="BC146" s="3626"/>
      <c r="BD146" s="3626"/>
      <c r="BE146" s="3626"/>
      <c r="BF146" s="3626"/>
      <c r="BG146" s="3626"/>
      <c r="BH146" s="3626"/>
      <c r="BI146" s="3626" t="s">
        <v>89</v>
      </c>
      <c r="BJ146" s="3626">
        <f t="shared" si="76"/>
        <v>18.5333333333333</v>
      </c>
      <c r="BK146" s="3626">
        <f t="shared" si="80"/>
        <v>92.6666666666667</v>
      </c>
      <c r="BL146" s="3626">
        <f t="shared" si="81"/>
        <v>92.6666666666667</v>
      </c>
      <c r="BM146" s="3626">
        <f t="shared" si="82"/>
        <v>74.1333333333333</v>
      </c>
      <c r="BN146" s="3626">
        <f t="shared" si="83"/>
        <v>92.6666666666667</v>
      </c>
      <c r="BO146" s="4055">
        <f t="shared" si="84"/>
        <v>92.6666666666667</v>
      </c>
      <c r="BP146" s="3627">
        <f t="shared" si="85"/>
        <v>92.6666666666667</v>
      </c>
      <c r="BQ146" s="3627">
        <f t="shared" si="60"/>
        <v>556</v>
      </c>
      <c r="BR146" s="3627">
        <f t="shared" si="61"/>
        <v>0</v>
      </c>
      <c r="BS146" s="4056"/>
      <c r="BT146" s="4057"/>
    </row>
    <row r="147" s="3566" customFormat="1" ht="50" customHeight="1" spans="1:72">
      <c r="A147" s="3635">
        <v>45650</v>
      </c>
      <c r="B147" s="3617" t="s">
        <v>3194</v>
      </c>
      <c r="C147" s="3617" t="s">
        <v>506</v>
      </c>
      <c r="D147" s="3624">
        <v>4500153983</v>
      </c>
      <c r="E147" s="959" t="s">
        <v>6575</v>
      </c>
      <c r="F147" s="3617" t="s">
        <v>3206</v>
      </c>
      <c r="G147" s="959" t="s">
        <v>6573</v>
      </c>
      <c r="H147" s="959" t="s">
        <v>3198</v>
      </c>
      <c r="I147" s="3618">
        <v>406</v>
      </c>
      <c r="J147" s="3618">
        <v>0</v>
      </c>
      <c r="K147" s="3618">
        <v>2</v>
      </c>
      <c r="L147" s="4052">
        <f t="shared" si="72"/>
        <v>203</v>
      </c>
      <c r="M147" s="3619">
        <v>45730</v>
      </c>
      <c r="N147" s="3619">
        <v>45726</v>
      </c>
      <c r="O147" s="3618" t="s">
        <v>3199</v>
      </c>
      <c r="P147" s="959" t="s">
        <v>82</v>
      </c>
      <c r="Q147" s="959"/>
      <c r="R147" s="959"/>
      <c r="S147" s="959"/>
      <c r="T147" s="4053"/>
      <c r="U147" s="3620" t="s">
        <v>401</v>
      </c>
      <c r="V147" s="3640" t="s">
        <v>741</v>
      </c>
      <c r="W147" s="3640"/>
      <c r="X147" s="3640" t="s">
        <v>98</v>
      </c>
      <c r="Y147" s="3640"/>
      <c r="Z147" s="3623"/>
      <c r="AA147" s="3620" t="s">
        <v>6574</v>
      </c>
      <c r="AB147" s="3624" t="s">
        <v>3202</v>
      </c>
      <c r="AC147" s="3618">
        <v>11.4575</v>
      </c>
      <c r="AD147" s="3618">
        <f t="shared" ref="AD147:AD153" si="87">L147*AC147</f>
        <v>2325.8725</v>
      </c>
      <c r="AE147" s="3633" t="s">
        <v>3203</v>
      </c>
      <c r="AF147" s="959" t="s">
        <v>3520</v>
      </c>
      <c r="AG147" s="3620" t="s">
        <v>416</v>
      </c>
      <c r="AH147" s="3620"/>
      <c r="AI147" s="3620"/>
      <c r="AJ147" s="3620"/>
      <c r="AK147" s="959">
        <f t="shared" ref="AK147:AK156" si="88">I147</f>
        <v>406</v>
      </c>
      <c r="AL147" s="959"/>
      <c r="AM147" s="959"/>
      <c r="AN147" s="959"/>
      <c r="AO147" s="959"/>
      <c r="AP147" s="3618">
        <f t="shared" ref="AP147:AP155" si="89">I147</f>
        <v>406</v>
      </c>
      <c r="AQ147" s="3618"/>
      <c r="AR147" s="3626"/>
      <c r="AS147" s="3626">
        <f t="shared" si="86"/>
        <v>406</v>
      </c>
      <c r="AT147" s="3626"/>
      <c r="AU147" s="3626"/>
      <c r="AV147" s="3626"/>
      <c r="AW147" s="3626"/>
      <c r="AX147" s="3626"/>
      <c r="AY147" s="3626"/>
      <c r="AZ147" s="3626"/>
      <c r="BA147" s="3626"/>
      <c r="BB147" s="3626"/>
      <c r="BC147" s="3626"/>
      <c r="BD147" s="3626"/>
      <c r="BE147" s="3626"/>
      <c r="BF147" s="3626"/>
      <c r="BG147" s="3626"/>
      <c r="BH147" s="3626"/>
      <c r="BI147" s="3626" t="s">
        <v>89</v>
      </c>
      <c r="BJ147" s="3626">
        <f t="shared" si="76"/>
        <v>13.5333333333333</v>
      </c>
      <c r="BK147" s="3626">
        <f t="shared" ref="BK147:BK155" si="90">I147/60*10</f>
        <v>67.6666666666667</v>
      </c>
      <c r="BL147" s="3626">
        <f t="shared" ref="BL147:BL155" si="91">I147/60*10</f>
        <v>67.6666666666667</v>
      </c>
      <c r="BM147" s="3626">
        <f t="shared" ref="BM147:BM155" si="92">I147/60*8</f>
        <v>54.1333333333333</v>
      </c>
      <c r="BN147" s="3626">
        <f t="shared" ref="BN147:BN155" si="93">I147/60*10</f>
        <v>67.6666666666667</v>
      </c>
      <c r="BO147" s="4055">
        <f t="shared" ref="BO147:BO155" si="94">I147/60*10</f>
        <v>67.6666666666667</v>
      </c>
      <c r="BP147" s="3627">
        <f t="shared" ref="BP147:BP155" si="95">I147/60*10</f>
        <v>67.6666666666667</v>
      </c>
      <c r="BQ147" s="3627">
        <f t="shared" si="60"/>
        <v>406</v>
      </c>
      <c r="BR147" s="3627">
        <f t="shared" si="61"/>
        <v>0</v>
      </c>
      <c r="BS147" s="4056"/>
      <c r="BT147" s="4057"/>
    </row>
    <row r="148" s="3566" customFormat="1" ht="50" customHeight="1" spans="1:72">
      <c r="A148" s="3635">
        <v>45650</v>
      </c>
      <c r="B148" s="3617" t="s">
        <v>3194</v>
      </c>
      <c r="C148" s="3617" t="s">
        <v>506</v>
      </c>
      <c r="D148" s="3624">
        <v>4500153983</v>
      </c>
      <c r="E148" s="959" t="s">
        <v>3207</v>
      </c>
      <c r="F148" s="3617" t="s">
        <v>3208</v>
      </c>
      <c r="G148" s="959" t="s">
        <v>6573</v>
      </c>
      <c r="H148" s="959" t="s">
        <v>3198</v>
      </c>
      <c r="I148" s="3618">
        <v>478</v>
      </c>
      <c r="J148" s="3618">
        <v>0</v>
      </c>
      <c r="K148" s="3618">
        <v>2</v>
      </c>
      <c r="L148" s="4052">
        <f t="shared" si="72"/>
        <v>239</v>
      </c>
      <c r="M148" s="3619">
        <v>45730</v>
      </c>
      <c r="N148" s="3619">
        <v>45726</v>
      </c>
      <c r="O148" s="3618" t="s">
        <v>3199</v>
      </c>
      <c r="P148" s="959" t="s">
        <v>82</v>
      </c>
      <c r="Q148" s="959"/>
      <c r="R148" s="959"/>
      <c r="S148" s="959"/>
      <c r="T148" s="4053"/>
      <c r="U148" s="3620" t="s">
        <v>401</v>
      </c>
      <c r="V148" s="3640" t="s">
        <v>741</v>
      </c>
      <c r="W148" s="3640"/>
      <c r="X148" s="3640" t="s">
        <v>98</v>
      </c>
      <c r="Y148" s="3640"/>
      <c r="Z148" s="3623"/>
      <c r="AA148" s="3620" t="s">
        <v>6574</v>
      </c>
      <c r="AB148" s="3624" t="s">
        <v>3202</v>
      </c>
      <c r="AC148" s="3618">
        <v>11.4575</v>
      </c>
      <c r="AD148" s="3618">
        <f t="shared" si="87"/>
        <v>2738.3425</v>
      </c>
      <c r="AE148" s="3633" t="s">
        <v>3203</v>
      </c>
      <c r="AF148" s="959" t="s">
        <v>3520</v>
      </c>
      <c r="AG148" s="3620" t="s">
        <v>416</v>
      </c>
      <c r="AH148" s="3620"/>
      <c r="AI148" s="3620"/>
      <c r="AJ148" s="3620"/>
      <c r="AK148" s="959">
        <f t="shared" si="88"/>
        <v>478</v>
      </c>
      <c r="AL148" s="959"/>
      <c r="AM148" s="959"/>
      <c r="AN148" s="959"/>
      <c r="AO148" s="959"/>
      <c r="AP148" s="3618">
        <f t="shared" si="89"/>
        <v>478</v>
      </c>
      <c r="AQ148" s="3618"/>
      <c r="AR148" s="3626"/>
      <c r="AS148" s="3626">
        <f t="shared" si="86"/>
        <v>478</v>
      </c>
      <c r="AT148" s="3626"/>
      <c r="AU148" s="3626"/>
      <c r="AV148" s="3626"/>
      <c r="AW148" s="3626"/>
      <c r="AX148" s="3626"/>
      <c r="AY148" s="3626"/>
      <c r="AZ148" s="3626"/>
      <c r="BA148" s="3626"/>
      <c r="BB148" s="3626"/>
      <c r="BC148" s="3626"/>
      <c r="BD148" s="3626"/>
      <c r="BE148" s="3626"/>
      <c r="BF148" s="3626"/>
      <c r="BG148" s="3626"/>
      <c r="BH148" s="3626"/>
      <c r="BI148" s="3626" t="s">
        <v>89</v>
      </c>
      <c r="BJ148" s="3626">
        <f t="shared" si="76"/>
        <v>15.9333333333333</v>
      </c>
      <c r="BK148" s="3626">
        <f t="shared" si="90"/>
        <v>79.6666666666667</v>
      </c>
      <c r="BL148" s="3626">
        <f t="shared" si="91"/>
        <v>79.6666666666667</v>
      </c>
      <c r="BM148" s="3626">
        <f t="shared" si="92"/>
        <v>63.7333333333333</v>
      </c>
      <c r="BN148" s="3626">
        <f t="shared" si="93"/>
        <v>79.6666666666667</v>
      </c>
      <c r="BO148" s="4055">
        <f t="shared" si="94"/>
        <v>79.6666666666667</v>
      </c>
      <c r="BP148" s="3627">
        <f t="shared" si="95"/>
        <v>79.6666666666667</v>
      </c>
      <c r="BQ148" s="3627">
        <f t="shared" si="60"/>
        <v>478</v>
      </c>
      <c r="BR148" s="3627">
        <f t="shared" si="61"/>
        <v>0</v>
      </c>
      <c r="BS148" s="4056"/>
      <c r="BT148" s="4057"/>
    </row>
    <row r="149" s="3566" customFormat="1" ht="50" customHeight="1" spans="1:72">
      <c r="A149" s="3635">
        <v>45650</v>
      </c>
      <c r="B149" s="3617" t="s">
        <v>3194</v>
      </c>
      <c r="C149" s="3617" t="s">
        <v>506</v>
      </c>
      <c r="D149" s="3624">
        <v>4500153983</v>
      </c>
      <c r="E149" s="959" t="s">
        <v>3209</v>
      </c>
      <c r="F149" s="3617" t="s">
        <v>3210</v>
      </c>
      <c r="G149" s="959" t="s">
        <v>6573</v>
      </c>
      <c r="H149" s="959" t="s">
        <v>3198</v>
      </c>
      <c r="I149" s="3618">
        <v>838</v>
      </c>
      <c r="J149" s="3618">
        <v>0</v>
      </c>
      <c r="K149" s="3618">
        <v>2</v>
      </c>
      <c r="L149" s="4052">
        <f t="shared" si="72"/>
        <v>419</v>
      </c>
      <c r="M149" s="3619">
        <v>45730</v>
      </c>
      <c r="N149" s="3619">
        <v>45726</v>
      </c>
      <c r="O149" s="3618" t="s">
        <v>3199</v>
      </c>
      <c r="P149" s="959" t="s">
        <v>82</v>
      </c>
      <c r="Q149" s="959"/>
      <c r="R149" s="959"/>
      <c r="S149" s="959"/>
      <c r="T149" s="4053"/>
      <c r="U149" s="3620" t="s">
        <v>401</v>
      </c>
      <c r="V149" s="3640" t="s">
        <v>741</v>
      </c>
      <c r="W149" s="3640"/>
      <c r="X149" s="3640" t="s">
        <v>98</v>
      </c>
      <c r="Y149" s="3640"/>
      <c r="Z149" s="3623"/>
      <c r="AA149" s="3620" t="s">
        <v>6574</v>
      </c>
      <c r="AB149" s="3624" t="s">
        <v>3202</v>
      </c>
      <c r="AC149" s="3618">
        <v>11.4387</v>
      </c>
      <c r="AD149" s="3618">
        <f t="shared" si="87"/>
        <v>4792.8153</v>
      </c>
      <c r="AE149" s="3633" t="s">
        <v>3203</v>
      </c>
      <c r="AF149" s="959" t="s">
        <v>3520</v>
      </c>
      <c r="AG149" s="3620" t="s">
        <v>416</v>
      </c>
      <c r="AH149" s="3620"/>
      <c r="AI149" s="3620"/>
      <c r="AJ149" s="3620"/>
      <c r="AK149" s="959">
        <f t="shared" si="88"/>
        <v>838</v>
      </c>
      <c r="AL149" s="959"/>
      <c r="AM149" s="959"/>
      <c r="AN149" s="959"/>
      <c r="AO149" s="959"/>
      <c r="AP149" s="3618">
        <f t="shared" si="89"/>
        <v>838</v>
      </c>
      <c r="AQ149" s="3618"/>
      <c r="AR149" s="3626"/>
      <c r="AS149" s="3626">
        <f t="shared" si="86"/>
        <v>838</v>
      </c>
      <c r="AT149" s="3626"/>
      <c r="AU149" s="3626"/>
      <c r="AV149" s="3626"/>
      <c r="AW149" s="3626"/>
      <c r="AX149" s="3626"/>
      <c r="AY149" s="3626"/>
      <c r="AZ149" s="3626"/>
      <c r="BA149" s="3626"/>
      <c r="BB149" s="3626"/>
      <c r="BC149" s="3626"/>
      <c r="BD149" s="3626"/>
      <c r="BE149" s="3626"/>
      <c r="BF149" s="3626"/>
      <c r="BG149" s="3626"/>
      <c r="BH149" s="3626"/>
      <c r="BI149" s="3626" t="s">
        <v>89</v>
      </c>
      <c r="BJ149" s="3626">
        <f t="shared" si="76"/>
        <v>27.9333333333333</v>
      </c>
      <c r="BK149" s="3626">
        <f t="shared" si="90"/>
        <v>139.666666666667</v>
      </c>
      <c r="BL149" s="3626">
        <f t="shared" si="91"/>
        <v>139.666666666667</v>
      </c>
      <c r="BM149" s="3626">
        <f t="shared" si="92"/>
        <v>111.733333333333</v>
      </c>
      <c r="BN149" s="3626">
        <f t="shared" si="93"/>
        <v>139.666666666667</v>
      </c>
      <c r="BO149" s="4055">
        <f t="shared" si="94"/>
        <v>139.666666666667</v>
      </c>
      <c r="BP149" s="3627">
        <f t="shared" si="95"/>
        <v>139.666666666667</v>
      </c>
      <c r="BQ149" s="3627">
        <f t="shared" si="60"/>
        <v>838</v>
      </c>
      <c r="BR149" s="3627">
        <f t="shared" si="61"/>
        <v>0</v>
      </c>
      <c r="BS149" s="4056"/>
      <c r="BT149" s="4057"/>
    </row>
    <row r="150" s="3566" customFormat="1" ht="50" customHeight="1" spans="1:72">
      <c r="A150" s="3635">
        <v>45650</v>
      </c>
      <c r="B150" s="3617" t="s">
        <v>3194</v>
      </c>
      <c r="C150" s="3617" t="s">
        <v>506</v>
      </c>
      <c r="D150" s="3624">
        <v>4500153983</v>
      </c>
      <c r="E150" s="959" t="s">
        <v>3211</v>
      </c>
      <c r="F150" s="3617" t="s">
        <v>3212</v>
      </c>
      <c r="G150" s="959" t="s">
        <v>6573</v>
      </c>
      <c r="H150" s="959" t="s">
        <v>3198</v>
      </c>
      <c r="I150" s="3618">
        <v>470</v>
      </c>
      <c r="J150" s="3618">
        <v>0</v>
      </c>
      <c r="K150" s="3618">
        <v>2</v>
      </c>
      <c r="L150" s="4052">
        <f t="shared" si="72"/>
        <v>235</v>
      </c>
      <c r="M150" s="3619">
        <v>45730</v>
      </c>
      <c r="N150" s="3619">
        <v>45726</v>
      </c>
      <c r="O150" s="3618" t="s">
        <v>3199</v>
      </c>
      <c r="P150" s="959" t="s">
        <v>82</v>
      </c>
      <c r="Q150" s="959"/>
      <c r="R150" s="959"/>
      <c r="S150" s="959"/>
      <c r="T150" s="4053"/>
      <c r="U150" s="3620" t="s">
        <v>401</v>
      </c>
      <c r="V150" s="3640" t="s">
        <v>741</v>
      </c>
      <c r="W150" s="3640"/>
      <c r="X150" s="3640" t="s">
        <v>98</v>
      </c>
      <c r="Y150" s="3640"/>
      <c r="Z150" s="3623"/>
      <c r="AA150" s="3620" t="s">
        <v>6574</v>
      </c>
      <c r="AB150" s="3624" t="s">
        <v>3202</v>
      </c>
      <c r="AC150" s="3618">
        <v>11.4575</v>
      </c>
      <c r="AD150" s="3618">
        <f t="shared" si="87"/>
        <v>2692.5125</v>
      </c>
      <c r="AE150" s="3633" t="s">
        <v>3203</v>
      </c>
      <c r="AF150" s="959" t="s">
        <v>3520</v>
      </c>
      <c r="AG150" s="3620" t="s">
        <v>416</v>
      </c>
      <c r="AH150" s="3620"/>
      <c r="AI150" s="3620"/>
      <c r="AJ150" s="3620"/>
      <c r="AK150" s="959">
        <f t="shared" si="88"/>
        <v>470</v>
      </c>
      <c r="AL150" s="959"/>
      <c r="AM150" s="959"/>
      <c r="AN150" s="959"/>
      <c r="AO150" s="959"/>
      <c r="AP150" s="3618">
        <f t="shared" si="89"/>
        <v>470</v>
      </c>
      <c r="AQ150" s="3618"/>
      <c r="AR150" s="3626"/>
      <c r="AS150" s="3626">
        <f t="shared" si="86"/>
        <v>470</v>
      </c>
      <c r="AT150" s="3626"/>
      <c r="AU150" s="3626"/>
      <c r="AV150" s="3626"/>
      <c r="AW150" s="3626"/>
      <c r="AX150" s="3626"/>
      <c r="AY150" s="3626"/>
      <c r="AZ150" s="3626"/>
      <c r="BA150" s="3626"/>
      <c r="BB150" s="3626"/>
      <c r="BC150" s="3626"/>
      <c r="BD150" s="3626"/>
      <c r="BE150" s="3626"/>
      <c r="BF150" s="3626"/>
      <c r="BG150" s="3626"/>
      <c r="BH150" s="3626"/>
      <c r="BI150" s="3626" t="s">
        <v>89</v>
      </c>
      <c r="BJ150" s="3626">
        <f t="shared" si="76"/>
        <v>15.6666666666667</v>
      </c>
      <c r="BK150" s="3626">
        <f t="shared" si="90"/>
        <v>78.3333333333333</v>
      </c>
      <c r="BL150" s="3626">
        <f t="shared" si="91"/>
        <v>78.3333333333333</v>
      </c>
      <c r="BM150" s="3626">
        <f t="shared" si="92"/>
        <v>62.6666666666667</v>
      </c>
      <c r="BN150" s="3626">
        <f t="shared" si="93"/>
        <v>78.3333333333333</v>
      </c>
      <c r="BO150" s="4055">
        <f t="shared" si="94"/>
        <v>78.3333333333333</v>
      </c>
      <c r="BP150" s="3627">
        <f t="shared" si="95"/>
        <v>78.3333333333333</v>
      </c>
      <c r="BQ150" s="3627">
        <f t="shared" si="60"/>
        <v>470</v>
      </c>
      <c r="BR150" s="3627">
        <f t="shared" si="61"/>
        <v>0</v>
      </c>
      <c r="BS150" s="4056"/>
      <c r="BT150" s="4057"/>
    </row>
    <row r="151" s="3566" customFormat="1" ht="50" customHeight="1" spans="1:72">
      <c r="A151" s="3635">
        <v>45650</v>
      </c>
      <c r="B151" s="3617" t="s">
        <v>3194</v>
      </c>
      <c r="C151" s="3617" t="s">
        <v>506</v>
      </c>
      <c r="D151" s="3624">
        <v>4500153983</v>
      </c>
      <c r="E151" s="959" t="s">
        <v>3213</v>
      </c>
      <c r="F151" s="3617" t="s">
        <v>3214</v>
      </c>
      <c r="G151" s="959" t="s">
        <v>6573</v>
      </c>
      <c r="H151" s="959" t="s">
        <v>3198</v>
      </c>
      <c r="I151" s="3618">
        <v>374</v>
      </c>
      <c r="J151" s="3618">
        <v>0</v>
      </c>
      <c r="K151" s="3618">
        <v>2</v>
      </c>
      <c r="L151" s="4052">
        <f t="shared" si="72"/>
        <v>187</v>
      </c>
      <c r="M151" s="3619">
        <v>45730</v>
      </c>
      <c r="N151" s="3619">
        <v>45726</v>
      </c>
      <c r="O151" s="3618" t="s">
        <v>3199</v>
      </c>
      <c r="P151" s="959" t="s">
        <v>82</v>
      </c>
      <c r="Q151" s="959"/>
      <c r="R151" s="959"/>
      <c r="S151" s="959"/>
      <c r="T151" s="4053"/>
      <c r="U151" s="3620" t="s">
        <v>401</v>
      </c>
      <c r="V151" s="3640" t="s">
        <v>741</v>
      </c>
      <c r="W151" s="3640"/>
      <c r="X151" s="3640" t="s">
        <v>98</v>
      </c>
      <c r="Y151" s="3640"/>
      <c r="Z151" s="3623"/>
      <c r="AA151" s="3620" t="s">
        <v>6574</v>
      </c>
      <c r="AB151" s="3624" t="s">
        <v>3202</v>
      </c>
      <c r="AC151" s="3618">
        <v>11.4575</v>
      </c>
      <c r="AD151" s="3618">
        <f t="shared" si="87"/>
        <v>2142.5525</v>
      </c>
      <c r="AE151" s="3633" t="s">
        <v>3203</v>
      </c>
      <c r="AF151" s="959" t="s">
        <v>3520</v>
      </c>
      <c r="AG151" s="3620" t="s">
        <v>416</v>
      </c>
      <c r="AH151" s="3620"/>
      <c r="AI151" s="3620"/>
      <c r="AJ151" s="3620"/>
      <c r="AK151" s="959">
        <f t="shared" si="88"/>
        <v>374</v>
      </c>
      <c r="AL151" s="959"/>
      <c r="AM151" s="959"/>
      <c r="AN151" s="959"/>
      <c r="AO151" s="959"/>
      <c r="AP151" s="3618">
        <f t="shared" si="89"/>
        <v>374</v>
      </c>
      <c r="AQ151" s="3618"/>
      <c r="AR151" s="3626"/>
      <c r="AS151" s="3626">
        <f t="shared" si="86"/>
        <v>374</v>
      </c>
      <c r="AT151" s="3626"/>
      <c r="AU151" s="3626"/>
      <c r="AV151" s="3626"/>
      <c r="AW151" s="3626"/>
      <c r="AX151" s="3626"/>
      <c r="AY151" s="3626"/>
      <c r="AZ151" s="3626"/>
      <c r="BA151" s="3626"/>
      <c r="BB151" s="3626"/>
      <c r="BC151" s="3626"/>
      <c r="BD151" s="3626"/>
      <c r="BE151" s="3626"/>
      <c r="BF151" s="3626"/>
      <c r="BG151" s="3626"/>
      <c r="BH151" s="3626"/>
      <c r="BI151" s="3626" t="s">
        <v>89</v>
      </c>
      <c r="BJ151" s="3626">
        <f t="shared" si="76"/>
        <v>12.4666666666667</v>
      </c>
      <c r="BK151" s="3626">
        <f t="shared" si="90"/>
        <v>62.3333333333333</v>
      </c>
      <c r="BL151" s="3626">
        <f t="shared" si="91"/>
        <v>62.3333333333333</v>
      </c>
      <c r="BM151" s="3626">
        <f t="shared" si="92"/>
        <v>49.8666666666667</v>
      </c>
      <c r="BN151" s="3626">
        <f t="shared" si="93"/>
        <v>62.3333333333333</v>
      </c>
      <c r="BO151" s="4055">
        <f t="shared" si="94"/>
        <v>62.3333333333333</v>
      </c>
      <c r="BP151" s="3627">
        <f t="shared" si="95"/>
        <v>62.3333333333333</v>
      </c>
      <c r="BQ151" s="3627">
        <f t="shared" si="60"/>
        <v>374</v>
      </c>
      <c r="BR151" s="3627">
        <f t="shared" si="61"/>
        <v>0</v>
      </c>
      <c r="BS151" s="4056"/>
      <c r="BT151" s="4057"/>
    </row>
    <row r="152" s="3566" customFormat="1" ht="50" customHeight="1" spans="1:72">
      <c r="A152" s="3635">
        <v>45650</v>
      </c>
      <c r="B152" s="3617" t="s">
        <v>3194</v>
      </c>
      <c r="C152" s="3617" t="s">
        <v>506</v>
      </c>
      <c r="D152" s="3624">
        <v>4500153983</v>
      </c>
      <c r="E152" s="959" t="s">
        <v>3215</v>
      </c>
      <c r="F152" s="3617" t="s">
        <v>3216</v>
      </c>
      <c r="G152" s="959" t="s">
        <v>6573</v>
      </c>
      <c r="H152" s="959" t="s">
        <v>3198</v>
      </c>
      <c r="I152" s="3618">
        <v>238</v>
      </c>
      <c r="J152" s="3618">
        <v>0</v>
      </c>
      <c r="K152" s="3618">
        <v>2</v>
      </c>
      <c r="L152" s="4052">
        <f t="shared" si="72"/>
        <v>119</v>
      </c>
      <c r="M152" s="3619">
        <v>45730</v>
      </c>
      <c r="N152" s="3619">
        <v>45726</v>
      </c>
      <c r="O152" s="3618" t="s">
        <v>3199</v>
      </c>
      <c r="P152" s="959" t="s">
        <v>82</v>
      </c>
      <c r="Q152" s="959"/>
      <c r="R152" s="959"/>
      <c r="S152" s="959"/>
      <c r="T152" s="4053"/>
      <c r="U152" s="3620" t="s">
        <v>401</v>
      </c>
      <c r="V152" s="3640" t="s">
        <v>741</v>
      </c>
      <c r="W152" s="3640"/>
      <c r="X152" s="3640" t="s">
        <v>98</v>
      </c>
      <c r="Y152" s="3640"/>
      <c r="Z152" s="3623"/>
      <c r="AA152" s="3620" t="s">
        <v>6574</v>
      </c>
      <c r="AB152" s="3624" t="s">
        <v>3202</v>
      </c>
      <c r="AC152" s="3618">
        <v>11.4575</v>
      </c>
      <c r="AD152" s="3618">
        <f t="shared" si="87"/>
        <v>1363.4425</v>
      </c>
      <c r="AE152" s="3633" t="s">
        <v>3203</v>
      </c>
      <c r="AF152" s="959" t="s">
        <v>3520</v>
      </c>
      <c r="AG152" s="3620" t="s">
        <v>416</v>
      </c>
      <c r="AH152" s="3620"/>
      <c r="AI152" s="3620"/>
      <c r="AJ152" s="3620"/>
      <c r="AK152" s="959">
        <f t="shared" si="88"/>
        <v>238</v>
      </c>
      <c r="AL152" s="959"/>
      <c r="AM152" s="959"/>
      <c r="AN152" s="959"/>
      <c r="AO152" s="959"/>
      <c r="AP152" s="3618">
        <f t="shared" si="89"/>
        <v>238</v>
      </c>
      <c r="AQ152" s="3618"/>
      <c r="AR152" s="3626"/>
      <c r="AS152" s="3626">
        <f t="shared" si="86"/>
        <v>238</v>
      </c>
      <c r="AT152" s="3626"/>
      <c r="AU152" s="3626"/>
      <c r="AV152" s="3626"/>
      <c r="AW152" s="3626"/>
      <c r="AX152" s="3626"/>
      <c r="AY152" s="3626"/>
      <c r="AZ152" s="3626"/>
      <c r="BA152" s="3626"/>
      <c r="BB152" s="3626"/>
      <c r="BC152" s="3626"/>
      <c r="BD152" s="3626"/>
      <c r="BE152" s="3626"/>
      <c r="BF152" s="3626"/>
      <c r="BG152" s="3626"/>
      <c r="BH152" s="3626"/>
      <c r="BI152" s="3626" t="s">
        <v>89</v>
      </c>
      <c r="BJ152" s="3626">
        <f t="shared" si="76"/>
        <v>7.93333333333333</v>
      </c>
      <c r="BK152" s="3626">
        <f t="shared" si="90"/>
        <v>39.6666666666667</v>
      </c>
      <c r="BL152" s="3626">
        <f t="shared" si="91"/>
        <v>39.6666666666667</v>
      </c>
      <c r="BM152" s="3626">
        <f t="shared" si="92"/>
        <v>31.7333333333333</v>
      </c>
      <c r="BN152" s="3626">
        <f t="shared" si="93"/>
        <v>39.6666666666667</v>
      </c>
      <c r="BO152" s="4055">
        <f t="shared" si="94"/>
        <v>39.6666666666667</v>
      </c>
      <c r="BP152" s="3627">
        <f t="shared" si="95"/>
        <v>39.6666666666667</v>
      </c>
      <c r="BQ152" s="3627">
        <f t="shared" si="60"/>
        <v>238</v>
      </c>
      <c r="BR152" s="3627">
        <f t="shared" si="61"/>
        <v>0</v>
      </c>
      <c r="BS152" s="4056"/>
      <c r="BT152" s="4057"/>
    </row>
    <row r="153" s="3566" customFormat="1" ht="50" customHeight="1" spans="1:72">
      <c r="A153" s="3635">
        <v>45650</v>
      </c>
      <c r="B153" s="3617" t="s">
        <v>3194</v>
      </c>
      <c r="C153" s="3617" t="s">
        <v>506</v>
      </c>
      <c r="D153" s="3624">
        <v>4500153983</v>
      </c>
      <c r="E153" s="959" t="s">
        <v>3217</v>
      </c>
      <c r="F153" s="3617" t="s">
        <v>3218</v>
      </c>
      <c r="G153" s="959" t="s">
        <v>6573</v>
      </c>
      <c r="H153" s="959" t="s">
        <v>3198</v>
      </c>
      <c r="I153" s="3618">
        <v>322</v>
      </c>
      <c r="J153" s="3618">
        <v>0</v>
      </c>
      <c r="K153" s="3618">
        <v>2</v>
      </c>
      <c r="L153" s="4052">
        <f t="shared" si="72"/>
        <v>161</v>
      </c>
      <c r="M153" s="3619">
        <v>45730</v>
      </c>
      <c r="N153" s="3619">
        <v>45726</v>
      </c>
      <c r="O153" s="3618" t="s">
        <v>3199</v>
      </c>
      <c r="P153" s="959" t="s">
        <v>82</v>
      </c>
      <c r="Q153" s="959"/>
      <c r="R153" s="959"/>
      <c r="S153" s="959"/>
      <c r="T153" s="4053"/>
      <c r="U153" s="3620" t="s">
        <v>401</v>
      </c>
      <c r="V153" s="3640" t="s">
        <v>741</v>
      </c>
      <c r="W153" s="3640"/>
      <c r="X153" s="3640" t="s">
        <v>98</v>
      </c>
      <c r="Y153" s="3640"/>
      <c r="Z153" s="3623"/>
      <c r="AA153" s="3620" t="s">
        <v>6574</v>
      </c>
      <c r="AB153" s="3624" t="s">
        <v>3202</v>
      </c>
      <c r="AC153" s="3618">
        <v>11.4575</v>
      </c>
      <c r="AD153" s="3618">
        <f t="shared" si="87"/>
        <v>1844.6575</v>
      </c>
      <c r="AE153" s="3633" t="s">
        <v>3203</v>
      </c>
      <c r="AF153" s="959" t="s">
        <v>3520</v>
      </c>
      <c r="AG153" s="3620" t="s">
        <v>416</v>
      </c>
      <c r="AH153" s="3620"/>
      <c r="AI153" s="3620"/>
      <c r="AJ153" s="3620"/>
      <c r="AK153" s="959">
        <f t="shared" si="88"/>
        <v>322</v>
      </c>
      <c r="AL153" s="959"/>
      <c r="AM153" s="959"/>
      <c r="AN153" s="959"/>
      <c r="AO153" s="959"/>
      <c r="AP153" s="3618">
        <f t="shared" si="89"/>
        <v>322</v>
      </c>
      <c r="AQ153" s="3618"/>
      <c r="AR153" s="3626"/>
      <c r="AS153" s="3626">
        <f t="shared" si="86"/>
        <v>322</v>
      </c>
      <c r="AT153" s="3626"/>
      <c r="AU153" s="3626"/>
      <c r="AV153" s="3626"/>
      <c r="AW153" s="3626"/>
      <c r="AX153" s="3626"/>
      <c r="AY153" s="3626"/>
      <c r="AZ153" s="3626"/>
      <c r="BA153" s="3626"/>
      <c r="BB153" s="3626"/>
      <c r="BC153" s="3626"/>
      <c r="BD153" s="3626"/>
      <c r="BE153" s="3626"/>
      <c r="BF153" s="3626"/>
      <c r="BG153" s="3626"/>
      <c r="BH153" s="3626"/>
      <c r="BI153" s="3626" t="s">
        <v>89</v>
      </c>
      <c r="BJ153" s="3626">
        <f t="shared" si="76"/>
        <v>10.7333333333333</v>
      </c>
      <c r="BK153" s="3626">
        <f t="shared" si="90"/>
        <v>53.6666666666667</v>
      </c>
      <c r="BL153" s="3626">
        <f t="shared" si="91"/>
        <v>53.6666666666667</v>
      </c>
      <c r="BM153" s="3626">
        <f t="shared" si="92"/>
        <v>42.9333333333333</v>
      </c>
      <c r="BN153" s="3626">
        <f t="shared" si="93"/>
        <v>53.6666666666667</v>
      </c>
      <c r="BO153" s="4055">
        <f t="shared" si="94"/>
        <v>53.6666666666667</v>
      </c>
      <c r="BP153" s="3627">
        <f t="shared" si="95"/>
        <v>53.6666666666667</v>
      </c>
      <c r="BQ153" s="3627">
        <f t="shared" si="60"/>
        <v>322</v>
      </c>
      <c r="BR153" s="3627">
        <f t="shared" si="61"/>
        <v>0</v>
      </c>
      <c r="BS153" s="4056"/>
      <c r="BT153" s="4057"/>
    </row>
    <row r="154" s="3566" customFormat="1" ht="50" customHeight="1" spans="1:72">
      <c r="A154" s="3635">
        <v>45712</v>
      </c>
      <c r="B154" s="3617" t="s">
        <v>5160</v>
      </c>
      <c r="C154" s="3617" t="s">
        <v>3913</v>
      </c>
      <c r="D154" s="3624">
        <v>4500158305</v>
      </c>
      <c r="E154" s="959" t="s">
        <v>6576</v>
      </c>
      <c r="F154" s="3617" t="s">
        <v>6577</v>
      </c>
      <c r="G154" s="959" t="s">
        <v>6578</v>
      </c>
      <c r="H154" s="959" t="s">
        <v>6579</v>
      </c>
      <c r="I154" s="3618">
        <v>720</v>
      </c>
      <c r="J154" s="3618">
        <v>0</v>
      </c>
      <c r="K154" s="3618">
        <v>24</v>
      </c>
      <c r="L154" s="4052">
        <f t="shared" si="72"/>
        <v>30</v>
      </c>
      <c r="M154" s="3619">
        <v>45737</v>
      </c>
      <c r="N154" s="3619">
        <f>M154-4</f>
        <v>45733</v>
      </c>
      <c r="O154" s="3618"/>
      <c r="P154" s="959" t="s">
        <v>82</v>
      </c>
      <c r="Q154" s="959"/>
      <c r="R154" s="959"/>
      <c r="S154" s="959"/>
      <c r="T154" s="4053"/>
      <c r="U154" s="3620" t="s">
        <v>172</v>
      </c>
      <c r="V154" s="3649" t="s">
        <v>999</v>
      </c>
      <c r="W154" s="3649"/>
      <c r="X154" s="3649" t="s">
        <v>6580</v>
      </c>
      <c r="Y154" s="3640"/>
      <c r="Z154" s="3623"/>
      <c r="AA154" s="3620" t="s">
        <v>6581</v>
      </c>
      <c r="AB154" s="3624" t="s">
        <v>892</v>
      </c>
      <c r="AC154" s="3686">
        <v>2.2966</v>
      </c>
      <c r="AD154" s="3618">
        <f t="shared" ref="AD154:AD160" si="96">AC154*I154</f>
        <v>1653.552</v>
      </c>
      <c r="AE154" s="3633" t="s">
        <v>6582</v>
      </c>
      <c r="AF154" s="959" t="s">
        <v>6578</v>
      </c>
      <c r="AG154" s="3620" t="s">
        <v>416</v>
      </c>
      <c r="AH154" s="3620"/>
      <c r="AI154" s="3620"/>
      <c r="AJ154" s="3620"/>
      <c r="AK154" s="959">
        <f t="shared" si="88"/>
        <v>720</v>
      </c>
      <c r="AL154" s="959"/>
      <c r="AM154" s="959"/>
      <c r="AN154" s="959"/>
      <c r="AO154" s="959"/>
      <c r="AP154" s="3618">
        <f t="shared" si="89"/>
        <v>720</v>
      </c>
      <c r="AQ154" s="3618"/>
      <c r="AR154" s="3626"/>
      <c r="AS154" s="3626">
        <f t="shared" si="86"/>
        <v>720</v>
      </c>
      <c r="AT154" s="3626"/>
      <c r="AU154" s="3626"/>
      <c r="AV154" s="3626"/>
      <c r="AW154" s="3626"/>
      <c r="AX154" s="3626"/>
      <c r="AY154" s="3626"/>
      <c r="AZ154" s="3626"/>
      <c r="BA154" s="3626"/>
      <c r="BB154" s="3626"/>
      <c r="BC154" s="3626"/>
      <c r="BD154" s="3626"/>
      <c r="BE154" s="3626"/>
      <c r="BF154" s="3626"/>
      <c r="BG154" s="3626"/>
      <c r="BH154" s="3626"/>
      <c r="BI154" s="3626" t="s">
        <v>89</v>
      </c>
      <c r="BJ154" s="3626">
        <f t="shared" si="76"/>
        <v>24</v>
      </c>
      <c r="BK154" s="3626">
        <f t="shared" si="90"/>
        <v>120</v>
      </c>
      <c r="BL154" s="3626">
        <f t="shared" si="91"/>
        <v>120</v>
      </c>
      <c r="BM154" s="3626">
        <f t="shared" si="92"/>
        <v>96</v>
      </c>
      <c r="BN154" s="3626">
        <f t="shared" si="93"/>
        <v>120</v>
      </c>
      <c r="BO154" s="4055">
        <f t="shared" si="94"/>
        <v>120</v>
      </c>
      <c r="BP154" s="3627">
        <f t="shared" si="95"/>
        <v>120</v>
      </c>
      <c r="BQ154" s="3627">
        <f t="shared" si="60"/>
        <v>720</v>
      </c>
      <c r="BR154" s="3627">
        <f t="shared" si="61"/>
        <v>0</v>
      </c>
      <c r="BS154" s="4056"/>
      <c r="BT154" s="4057"/>
    </row>
    <row r="155" s="3566" customFormat="1" ht="50" customHeight="1" spans="1:72">
      <c r="A155" s="3635">
        <v>45694</v>
      </c>
      <c r="B155" s="3617" t="s">
        <v>361</v>
      </c>
      <c r="C155" s="3617" t="s">
        <v>91</v>
      </c>
      <c r="D155" s="3624">
        <v>4500156625</v>
      </c>
      <c r="E155" s="959" t="s">
        <v>6583</v>
      </c>
      <c r="F155" s="3617" t="s">
        <v>6584</v>
      </c>
      <c r="G155" s="959" t="s">
        <v>6281</v>
      </c>
      <c r="H155" s="959" t="s">
        <v>6292</v>
      </c>
      <c r="I155" s="3618">
        <v>224</v>
      </c>
      <c r="J155" s="3618">
        <v>0</v>
      </c>
      <c r="K155" s="3618">
        <v>32</v>
      </c>
      <c r="L155" s="4052">
        <f t="shared" si="72"/>
        <v>7</v>
      </c>
      <c r="M155" s="3619">
        <v>45744</v>
      </c>
      <c r="N155" s="3619">
        <v>45740</v>
      </c>
      <c r="O155" s="3618"/>
      <c r="P155" s="959" t="s">
        <v>82</v>
      </c>
      <c r="Q155" s="959"/>
      <c r="R155" s="959"/>
      <c r="S155" s="959"/>
      <c r="T155" s="4053"/>
      <c r="U155" s="3620" t="s">
        <v>6585</v>
      </c>
      <c r="V155" s="3649" t="s">
        <v>5645</v>
      </c>
      <c r="W155" s="3649"/>
      <c r="X155" s="3649" t="s">
        <v>98</v>
      </c>
      <c r="Y155" s="3640" t="s">
        <v>6586</v>
      </c>
      <c r="Z155" s="3623" t="s">
        <v>6587</v>
      </c>
      <c r="AA155" s="3620" t="s">
        <v>6588</v>
      </c>
      <c r="AB155" s="3624" t="s">
        <v>369</v>
      </c>
      <c r="AC155" s="3686">
        <v>2.295</v>
      </c>
      <c r="AD155" s="3618">
        <f t="shared" si="96"/>
        <v>514.08</v>
      </c>
      <c r="AE155" s="3633" t="s">
        <v>6589</v>
      </c>
      <c r="AF155" s="959" t="s">
        <v>6281</v>
      </c>
      <c r="AG155" s="3620" t="s">
        <v>416</v>
      </c>
      <c r="AH155" s="3620"/>
      <c r="AI155" s="3620"/>
      <c r="AJ155" s="3620"/>
      <c r="AK155" s="959">
        <f t="shared" si="88"/>
        <v>224</v>
      </c>
      <c r="AL155" s="959"/>
      <c r="AM155" s="959"/>
      <c r="AN155" s="959"/>
      <c r="AO155" s="959"/>
      <c r="AP155" s="3618">
        <v>160</v>
      </c>
      <c r="AQ155" s="3618"/>
      <c r="AR155" s="3626"/>
      <c r="AS155" s="3626">
        <f t="shared" si="86"/>
        <v>224</v>
      </c>
      <c r="AT155" s="3626"/>
      <c r="AU155" s="3626"/>
      <c r="AV155" s="3626"/>
      <c r="AW155" s="3626"/>
      <c r="AX155" s="3626"/>
      <c r="AY155" s="3626"/>
      <c r="AZ155" s="3626"/>
      <c r="BA155" s="3626"/>
      <c r="BB155" s="3626"/>
      <c r="BC155" s="3626"/>
      <c r="BD155" s="3626"/>
      <c r="BE155" s="3626"/>
      <c r="BF155" s="3626"/>
      <c r="BG155" s="3626"/>
      <c r="BH155" s="3626"/>
      <c r="BI155" s="3626" t="s">
        <v>89</v>
      </c>
      <c r="BJ155" s="3626"/>
      <c r="BK155" s="3626">
        <f>I155</f>
        <v>224</v>
      </c>
      <c r="BL155" s="3626"/>
      <c r="BM155" s="3626"/>
      <c r="BN155" s="3626"/>
      <c r="BO155" s="4055"/>
      <c r="BP155" s="3627"/>
      <c r="BQ155" s="3627">
        <f t="shared" si="60"/>
        <v>224</v>
      </c>
      <c r="BR155" s="3627">
        <f t="shared" si="61"/>
        <v>0</v>
      </c>
      <c r="BS155" s="4056"/>
      <c r="BT155" s="4057"/>
    </row>
    <row r="156" s="3566" customFormat="1" ht="50" customHeight="1" spans="1:72">
      <c r="A156" s="3635">
        <v>45702</v>
      </c>
      <c r="B156" s="3617" t="s">
        <v>1258</v>
      </c>
      <c r="C156" s="3617" t="s">
        <v>471</v>
      </c>
      <c r="D156" s="3624">
        <v>4500157663</v>
      </c>
      <c r="E156" s="959" t="s">
        <v>6590</v>
      </c>
      <c r="F156" s="3617" t="s">
        <v>6591</v>
      </c>
      <c r="G156" s="959" t="s">
        <v>6223</v>
      </c>
      <c r="H156" s="959" t="s">
        <v>6272</v>
      </c>
      <c r="I156" s="3618">
        <v>512</v>
      </c>
      <c r="J156" s="3618">
        <v>1</v>
      </c>
      <c r="K156" s="3618">
        <v>32</v>
      </c>
      <c r="L156" s="4052">
        <f t="shared" si="72"/>
        <v>16</v>
      </c>
      <c r="M156" s="3619">
        <v>45744</v>
      </c>
      <c r="N156" s="3619">
        <v>45740</v>
      </c>
      <c r="O156" s="3618"/>
      <c r="P156" s="959" t="s">
        <v>82</v>
      </c>
      <c r="Q156" s="959"/>
      <c r="R156" s="959"/>
      <c r="S156" s="959"/>
      <c r="T156" s="4053"/>
      <c r="U156" s="3620" t="s">
        <v>6592</v>
      </c>
      <c r="V156" s="3649" t="s">
        <v>6593</v>
      </c>
      <c r="W156" s="3649"/>
      <c r="X156" s="3649" t="s">
        <v>6594</v>
      </c>
      <c r="Y156" s="3640"/>
      <c r="Z156" s="3623"/>
      <c r="AA156" s="3620" t="s">
        <v>6595</v>
      </c>
      <c r="AB156" s="3624" t="s">
        <v>380</v>
      </c>
      <c r="AC156" s="4058">
        <v>2.3647</v>
      </c>
      <c r="AD156" s="3618">
        <f t="shared" si="96"/>
        <v>1210.7264</v>
      </c>
      <c r="AE156" s="3633" t="s">
        <v>6596</v>
      </c>
      <c r="AF156" s="959" t="s">
        <v>6276</v>
      </c>
      <c r="AG156" s="3620" t="s">
        <v>416</v>
      </c>
      <c r="AH156" s="3620"/>
      <c r="AI156" s="3620"/>
      <c r="AJ156" s="3620"/>
      <c r="AK156" s="959"/>
      <c r="AL156" s="959"/>
      <c r="AM156" s="959">
        <f>I156</f>
        <v>512</v>
      </c>
      <c r="AN156" s="959"/>
      <c r="AO156" s="959"/>
      <c r="AP156" s="3618">
        <v>160</v>
      </c>
      <c r="AQ156" s="3618"/>
      <c r="AR156" s="3626"/>
      <c r="AS156" s="3626">
        <f t="shared" si="86"/>
        <v>512</v>
      </c>
      <c r="AT156" s="3626"/>
      <c r="AU156" s="3626"/>
      <c r="AV156" s="3626"/>
      <c r="AW156" s="3626"/>
      <c r="AX156" s="3626"/>
      <c r="AY156" s="3626"/>
      <c r="AZ156" s="3626"/>
      <c r="BA156" s="3626"/>
      <c r="BB156" s="3626"/>
      <c r="BC156" s="3626"/>
      <c r="BD156" s="3626"/>
      <c r="BE156" s="3626"/>
      <c r="BF156" s="3626"/>
      <c r="BG156" s="3626"/>
      <c r="BH156" s="3626"/>
      <c r="BI156" s="3626" t="s">
        <v>89</v>
      </c>
      <c r="BJ156" s="3626"/>
      <c r="BK156" s="3626"/>
      <c r="BL156" s="3626">
        <f>I156-BJ156</f>
        <v>512</v>
      </c>
      <c r="BM156" s="3626"/>
      <c r="BN156" s="3626"/>
      <c r="BO156" s="4055"/>
      <c r="BP156" s="3627"/>
      <c r="BQ156" s="3627">
        <f t="shared" si="60"/>
        <v>512</v>
      </c>
      <c r="BR156" s="3627">
        <f t="shared" si="61"/>
        <v>0</v>
      </c>
      <c r="BS156" s="4056"/>
      <c r="BT156" s="4057"/>
    </row>
    <row r="157" s="3566" customFormat="1" ht="50" customHeight="1" spans="1:72">
      <c r="A157" s="3635">
        <v>45702</v>
      </c>
      <c r="B157" s="3617" t="s">
        <v>1258</v>
      </c>
      <c r="C157" s="3617" t="s">
        <v>471</v>
      </c>
      <c r="D157" s="3624">
        <v>4500157663</v>
      </c>
      <c r="E157" s="959" t="s">
        <v>6597</v>
      </c>
      <c r="F157" s="3617" t="s">
        <v>6598</v>
      </c>
      <c r="G157" s="959" t="s">
        <v>6165</v>
      </c>
      <c r="H157" s="3618" t="s">
        <v>6166</v>
      </c>
      <c r="I157" s="3618">
        <v>512</v>
      </c>
      <c r="J157" s="3618">
        <v>1</v>
      </c>
      <c r="K157" s="3618">
        <v>32</v>
      </c>
      <c r="L157" s="4052">
        <f t="shared" si="72"/>
        <v>16</v>
      </c>
      <c r="M157" s="3619">
        <v>45744</v>
      </c>
      <c r="N157" s="3619">
        <v>45740</v>
      </c>
      <c r="O157" s="3618"/>
      <c r="P157" s="959" t="s">
        <v>82</v>
      </c>
      <c r="Q157" s="959"/>
      <c r="R157" s="959"/>
      <c r="S157" s="959"/>
      <c r="T157" s="4053"/>
      <c r="U157" s="3620" t="s">
        <v>6592</v>
      </c>
      <c r="V157" s="3649" t="s">
        <v>6593</v>
      </c>
      <c r="W157" s="3649"/>
      <c r="X157" s="3649" t="s">
        <v>6594</v>
      </c>
      <c r="Y157" s="3640"/>
      <c r="Z157" s="3623"/>
      <c r="AA157" s="3620" t="s">
        <v>6599</v>
      </c>
      <c r="AB157" s="3624" t="s">
        <v>380</v>
      </c>
      <c r="AC157" s="4058">
        <v>2.3647</v>
      </c>
      <c r="AD157" s="3618">
        <f t="shared" si="96"/>
        <v>1210.7264</v>
      </c>
      <c r="AE157" s="3633" t="s">
        <v>6600</v>
      </c>
      <c r="AF157" s="959" t="s">
        <v>6601</v>
      </c>
      <c r="AG157" s="3620" t="s">
        <v>416</v>
      </c>
      <c r="AH157" s="3620"/>
      <c r="AI157" s="3620"/>
      <c r="AJ157" s="3620"/>
      <c r="AK157" s="959"/>
      <c r="AL157" s="959"/>
      <c r="AM157" s="959">
        <f>I157</f>
        <v>512</v>
      </c>
      <c r="AN157" s="959"/>
      <c r="AO157" s="959"/>
      <c r="AP157" s="3618">
        <v>160</v>
      </c>
      <c r="AQ157" s="3618"/>
      <c r="AR157" s="3626"/>
      <c r="AS157" s="3626">
        <f t="shared" si="86"/>
        <v>512</v>
      </c>
      <c r="AT157" s="3626"/>
      <c r="AU157" s="3626"/>
      <c r="AV157" s="3626"/>
      <c r="AW157" s="3626"/>
      <c r="AX157" s="3626"/>
      <c r="AY157" s="3626"/>
      <c r="AZ157" s="3626"/>
      <c r="BA157" s="3626"/>
      <c r="BB157" s="3626"/>
      <c r="BC157" s="3626"/>
      <c r="BD157" s="3626"/>
      <c r="BE157" s="3626"/>
      <c r="BF157" s="3626"/>
      <c r="BG157" s="3626"/>
      <c r="BH157" s="3626"/>
      <c r="BI157" s="3626" t="s">
        <v>89</v>
      </c>
      <c r="BJ157" s="3626"/>
      <c r="BK157" s="3626"/>
      <c r="BL157" s="3626"/>
      <c r="BM157" s="3626"/>
      <c r="BN157" s="3626"/>
      <c r="BO157" s="4055"/>
      <c r="BP157" s="3627">
        <f>I157-BJ157</f>
        <v>512</v>
      </c>
      <c r="BQ157" s="3627">
        <f t="shared" si="60"/>
        <v>512</v>
      </c>
      <c r="BR157" s="3627">
        <f t="shared" si="61"/>
        <v>0</v>
      </c>
      <c r="BS157" s="4056"/>
      <c r="BT157" s="4057"/>
    </row>
    <row r="158" s="3566" customFormat="1" ht="50" customHeight="1" spans="1:72">
      <c r="A158" s="3635">
        <v>45714</v>
      </c>
      <c r="B158" s="3617" t="s">
        <v>885</v>
      </c>
      <c r="C158" s="3617" t="s">
        <v>886</v>
      </c>
      <c r="D158" s="3624">
        <v>4500158665</v>
      </c>
      <c r="E158" s="959" t="s">
        <v>887</v>
      </c>
      <c r="F158" s="3617" t="s">
        <v>6602</v>
      </c>
      <c r="G158" s="959" t="s">
        <v>3520</v>
      </c>
      <c r="H158" s="3618" t="s">
        <v>6063</v>
      </c>
      <c r="I158" s="3618">
        <v>960</v>
      </c>
      <c r="J158" s="3618">
        <v>0</v>
      </c>
      <c r="K158" s="3618">
        <v>24</v>
      </c>
      <c r="L158" s="4052">
        <f t="shared" si="72"/>
        <v>40</v>
      </c>
      <c r="M158" s="3619">
        <v>45737</v>
      </c>
      <c r="N158" s="3619">
        <f>M158-4</f>
        <v>45733</v>
      </c>
      <c r="O158" s="3678"/>
      <c r="P158" s="959" t="s">
        <v>82</v>
      </c>
      <c r="Q158" s="959"/>
      <c r="R158" s="959"/>
      <c r="S158" s="959"/>
      <c r="T158" s="4053"/>
      <c r="U158" s="3645" t="s">
        <v>889</v>
      </c>
      <c r="V158" s="3649" t="s">
        <v>890</v>
      </c>
      <c r="W158" s="3649"/>
      <c r="X158" s="3649" t="s">
        <v>98</v>
      </c>
      <c r="Y158" s="3640"/>
      <c r="Z158" s="3618"/>
      <c r="AA158" s="3620" t="s">
        <v>6603</v>
      </c>
      <c r="AB158" s="3624" t="s">
        <v>892</v>
      </c>
      <c r="AC158" s="3686">
        <v>2.2482</v>
      </c>
      <c r="AD158" s="3618">
        <f t="shared" si="96"/>
        <v>2158.272</v>
      </c>
      <c r="AE158" s="3633" t="s">
        <v>893</v>
      </c>
      <c r="AF158" s="959" t="s">
        <v>3520</v>
      </c>
      <c r="AG158" s="3620" t="s">
        <v>416</v>
      </c>
      <c r="AH158" s="3620"/>
      <c r="AI158" s="3620"/>
      <c r="AJ158" s="3620"/>
      <c r="AK158" s="959">
        <f>I158</f>
        <v>960</v>
      </c>
      <c r="AL158" s="959"/>
      <c r="AM158" s="959"/>
      <c r="AN158" s="959"/>
      <c r="AO158" s="959"/>
      <c r="AP158" s="3618">
        <f>I158</f>
        <v>960</v>
      </c>
      <c r="AQ158" s="3618"/>
      <c r="AR158" s="3626"/>
      <c r="AS158" s="3626">
        <f t="shared" si="86"/>
        <v>960</v>
      </c>
      <c r="AT158" s="3626"/>
      <c r="AU158" s="3626"/>
      <c r="AV158" s="3626"/>
      <c r="AW158" s="3626"/>
      <c r="AX158" s="3626"/>
      <c r="AY158" s="3626"/>
      <c r="AZ158" s="3626"/>
      <c r="BA158" s="3626"/>
      <c r="BB158" s="3626"/>
      <c r="BC158" s="3626"/>
      <c r="BD158" s="3626"/>
      <c r="BE158" s="3626"/>
      <c r="BF158" s="3626"/>
      <c r="BG158" s="3626"/>
      <c r="BH158" s="3626"/>
      <c r="BI158" s="3626" t="s">
        <v>89</v>
      </c>
      <c r="BJ158" s="3626">
        <f>I158/60*2</f>
        <v>32</v>
      </c>
      <c r="BK158" s="3626">
        <f>I158/60*10</f>
        <v>160</v>
      </c>
      <c r="BL158" s="3626">
        <f>I158/60*10</f>
        <v>160</v>
      </c>
      <c r="BM158" s="3626">
        <f>I158/60*8</f>
        <v>128</v>
      </c>
      <c r="BN158" s="3626">
        <f>I158/60*10</f>
        <v>160</v>
      </c>
      <c r="BO158" s="4055">
        <f>I158/60*10</f>
        <v>160</v>
      </c>
      <c r="BP158" s="3627">
        <f>I158/60*10</f>
        <v>160</v>
      </c>
      <c r="BQ158" s="3627">
        <f t="shared" si="60"/>
        <v>960</v>
      </c>
      <c r="BR158" s="3627">
        <f t="shared" si="61"/>
        <v>0</v>
      </c>
      <c r="BS158" s="4056"/>
      <c r="BT158" s="4057"/>
    </row>
    <row r="159" s="3566" customFormat="1" ht="50" customHeight="1" spans="1:72">
      <c r="A159" s="3635">
        <v>45712</v>
      </c>
      <c r="B159" s="4080" t="s">
        <v>3285</v>
      </c>
      <c r="C159" s="3663" t="s">
        <v>3286</v>
      </c>
      <c r="D159" s="4077">
        <v>4500158356</v>
      </c>
      <c r="E159" s="3664"/>
      <c r="F159" s="4081" t="s">
        <v>6604</v>
      </c>
      <c r="G159" s="3664" t="s">
        <v>6124</v>
      </c>
      <c r="H159" s="3618" t="s">
        <v>6063</v>
      </c>
      <c r="I159" s="3618">
        <v>360</v>
      </c>
      <c r="J159" s="3618">
        <v>0</v>
      </c>
      <c r="K159" s="3618">
        <v>12</v>
      </c>
      <c r="L159" s="4052">
        <f t="shared" si="72"/>
        <v>30</v>
      </c>
      <c r="M159" s="3659">
        <v>45744</v>
      </c>
      <c r="N159" s="3659">
        <v>45740</v>
      </c>
      <c r="O159" s="3661"/>
      <c r="P159" s="959" t="s">
        <v>82</v>
      </c>
      <c r="Q159" s="959"/>
      <c r="R159" s="959"/>
      <c r="S159" s="959"/>
      <c r="T159" s="4053"/>
      <c r="U159" s="3645" t="s">
        <v>3251</v>
      </c>
      <c r="V159" s="3649" t="s">
        <v>924</v>
      </c>
      <c r="W159" s="3649"/>
      <c r="X159" s="3649" t="s">
        <v>3288</v>
      </c>
      <c r="Y159" s="3649"/>
      <c r="Z159" s="3661"/>
      <c r="AA159" s="3620" t="s">
        <v>6605</v>
      </c>
      <c r="AB159" s="3624" t="s">
        <v>459</v>
      </c>
      <c r="AC159" s="3618">
        <v>2.2489</v>
      </c>
      <c r="AD159" s="3618">
        <f t="shared" si="96"/>
        <v>809.604</v>
      </c>
      <c r="AE159" s="3633" t="s">
        <v>3290</v>
      </c>
      <c r="AF159" s="959" t="s">
        <v>6126</v>
      </c>
      <c r="AG159" s="3620" t="s">
        <v>416</v>
      </c>
      <c r="AH159" s="3620"/>
      <c r="AI159" s="3620"/>
      <c r="AJ159" s="3620"/>
      <c r="AK159" s="959"/>
      <c r="AL159" s="959"/>
      <c r="AM159" s="959">
        <f>I159</f>
        <v>360</v>
      </c>
      <c r="AN159" s="959"/>
      <c r="AO159" s="959"/>
      <c r="AP159" s="3618">
        <f>I159</f>
        <v>360</v>
      </c>
      <c r="AQ159" s="3618"/>
      <c r="AR159" s="3626"/>
      <c r="AS159" s="3626">
        <f t="shared" si="86"/>
        <v>360</v>
      </c>
      <c r="AT159" s="3626"/>
      <c r="AU159" s="3626"/>
      <c r="AV159" s="3626"/>
      <c r="AW159" s="3626">
        <f>I159/6</f>
        <v>60</v>
      </c>
      <c r="AX159" s="3626"/>
      <c r="AY159" s="3626"/>
      <c r="AZ159" s="3626"/>
      <c r="BA159" s="3626"/>
      <c r="BB159" s="3626"/>
      <c r="BC159" s="3626"/>
      <c r="BD159" s="3626"/>
      <c r="BE159" s="3626"/>
      <c r="BF159" s="3626"/>
      <c r="BG159" s="3626"/>
      <c r="BH159" s="3626"/>
      <c r="BI159" s="3626" t="s">
        <v>89</v>
      </c>
      <c r="BJ159" s="3626">
        <f>I159/60*2</f>
        <v>12</v>
      </c>
      <c r="BK159" s="3626">
        <f>I159/60*10</f>
        <v>60</v>
      </c>
      <c r="BL159" s="3626">
        <f>I159/60*10</f>
        <v>60</v>
      </c>
      <c r="BM159" s="3626">
        <f>I159/60*8</f>
        <v>48</v>
      </c>
      <c r="BN159" s="3626">
        <f>I159/60*10</f>
        <v>60</v>
      </c>
      <c r="BO159" s="4055">
        <f>I159/60*10</f>
        <v>60</v>
      </c>
      <c r="BP159" s="3627">
        <f>I159/60*10</f>
        <v>60</v>
      </c>
      <c r="BQ159" s="3627">
        <f t="shared" si="60"/>
        <v>360</v>
      </c>
      <c r="BR159" s="3627">
        <f t="shared" si="61"/>
        <v>0</v>
      </c>
      <c r="BS159" s="4056"/>
      <c r="BT159" s="4057"/>
    </row>
    <row r="160" s="3566" customFormat="1" ht="50" customHeight="1" spans="1:72">
      <c r="A160" s="3635">
        <v>45709</v>
      </c>
      <c r="B160" s="3617" t="s">
        <v>371</v>
      </c>
      <c r="C160" s="3617" t="s">
        <v>341</v>
      </c>
      <c r="D160" s="3624">
        <v>4500158194</v>
      </c>
      <c r="E160" s="959" t="s">
        <v>6606</v>
      </c>
      <c r="F160" s="3617" t="s">
        <v>6607</v>
      </c>
      <c r="G160" s="959" t="s">
        <v>6281</v>
      </c>
      <c r="H160" s="959" t="s">
        <v>6292</v>
      </c>
      <c r="I160" s="3618">
        <v>640</v>
      </c>
      <c r="J160" s="3618">
        <v>0</v>
      </c>
      <c r="K160" s="3618">
        <v>32</v>
      </c>
      <c r="L160" s="4052">
        <f t="shared" si="72"/>
        <v>20</v>
      </c>
      <c r="M160" s="3659">
        <v>45748</v>
      </c>
      <c r="N160" s="3659">
        <v>45744</v>
      </c>
      <c r="O160" s="3618"/>
      <c r="P160" s="959" t="s">
        <v>82</v>
      </c>
      <c r="Q160" s="959"/>
      <c r="R160" s="959"/>
      <c r="S160" s="959"/>
      <c r="T160" s="4053"/>
      <c r="U160" s="3620" t="s">
        <v>6608</v>
      </c>
      <c r="V160" s="3649" t="s">
        <v>6609</v>
      </c>
      <c r="W160" s="3649"/>
      <c r="X160" s="3649" t="s">
        <v>6610</v>
      </c>
      <c r="Y160" s="3640"/>
      <c r="Z160" s="3623" t="s">
        <v>6611</v>
      </c>
      <c r="AA160" s="3620" t="s">
        <v>6612</v>
      </c>
      <c r="AB160" s="3624" t="s">
        <v>380</v>
      </c>
      <c r="AC160" s="3686">
        <v>2.2846</v>
      </c>
      <c r="AD160" s="3618">
        <f t="shared" si="96"/>
        <v>1462.144</v>
      </c>
      <c r="AE160" s="3633" t="s">
        <v>6613</v>
      </c>
      <c r="AF160" s="959" t="s">
        <v>6106</v>
      </c>
      <c r="AG160" s="3620" t="s">
        <v>416</v>
      </c>
      <c r="AH160" s="3618">
        <v>640</v>
      </c>
      <c r="AI160" s="3620"/>
      <c r="AJ160" s="3620"/>
      <c r="AK160" s="959"/>
      <c r="AL160" s="959"/>
      <c r="AM160" s="959">
        <f>I160</f>
        <v>640</v>
      </c>
      <c r="AN160" s="959"/>
      <c r="AO160" s="959"/>
      <c r="AP160" s="3618">
        <v>160</v>
      </c>
      <c r="AQ160" s="3618"/>
      <c r="AR160" s="3626"/>
      <c r="AS160" s="3626">
        <f t="shared" si="86"/>
        <v>640</v>
      </c>
      <c r="AT160" s="3626"/>
      <c r="AU160" s="3626"/>
      <c r="AV160" s="3626"/>
      <c r="AW160" s="3626"/>
      <c r="AX160" s="3626"/>
      <c r="AY160" s="3626"/>
      <c r="AZ160" s="3626"/>
      <c r="BA160" s="3626"/>
      <c r="BB160" s="3626"/>
      <c r="BC160" s="3626"/>
      <c r="BD160" s="3626"/>
      <c r="BE160" s="3626"/>
      <c r="BF160" s="3626"/>
      <c r="BG160" s="3626"/>
      <c r="BH160" s="3626"/>
      <c r="BI160" s="3626" t="s">
        <v>89</v>
      </c>
      <c r="BJ160" s="3626"/>
      <c r="BK160" s="3626">
        <f>I160</f>
        <v>640</v>
      </c>
      <c r="BL160" s="3626"/>
      <c r="BM160" s="3626"/>
      <c r="BN160" s="3626"/>
      <c r="BO160" s="4055"/>
      <c r="BP160" s="3627"/>
      <c r="BQ160" s="3627">
        <f t="shared" si="60"/>
        <v>640</v>
      </c>
      <c r="BR160" s="3627">
        <f t="shared" si="61"/>
        <v>0</v>
      </c>
      <c r="BS160" s="4056"/>
      <c r="BT160" s="4057"/>
    </row>
    <row r="161" s="3566" customFormat="1" ht="50" customHeight="1" spans="1:83">
      <c r="A161" s="3635">
        <v>45707</v>
      </c>
      <c r="B161" s="4080" t="s">
        <v>2914</v>
      </c>
      <c r="C161" s="3663" t="s">
        <v>341</v>
      </c>
      <c r="D161" s="4077">
        <v>4500157986</v>
      </c>
      <c r="E161" s="3664" t="s">
        <v>3319</v>
      </c>
      <c r="F161" s="4081" t="s">
        <v>3320</v>
      </c>
      <c r="G161" s="3664" t="s">
        <v>6614</v>
      </c>
      <c r="H161" s="3664" t="s">
        <v>6615</v>
      </c>
      <c r="I161" s="3691">
        <v>1560</v>
      </c>
      <c r="J161" s="3691">
        <v>0</v>
      </c>
      <c r="K161" s="3691">
        <v>12</v>
      </c>
      <c r="L161" s="4082">
        <f t="shared" si="72"/>
        <v>130</v>
      </c>
      <c r="M161" s="3659">
        <v>45748</v>
      </c>
      <c r="N161" s="3659">
        <v>45744</v>
      </c>
      <c r="O161" s="3691" t="s">
        <v>3323</v>
      </c>
      <c r="P161" s="3682" t="s">
        <v>82</v>
      </c>
      <c r="Q161" s="3682"/>
      <c r="R161" s="3682"/>
      <c r="S161" s="3682"/>
      <c r="T161" s="4083"/>
      <c r="U161" s="3645" t="s">
        <v>935</v>
      </c>
      <c r="V161" s="3649" t="s">
        <v>3324</v>
      </c>
      <c r="W161" s="3649"/>
      <c r="X161" s="3649" t="s">
        <v>3325</v>
      </c>
      <c r="Y161" s="3649"/>
      <c r="Z161" s="3661"/>
      <c r="AA161" s="3620" t="s">
        <v>3326</v>
      </c>
      <c r="AB161" s="3624" t="s">
        <v>87</v>
      </c>
      <c r="AC161" s="3686">
        <v>119.2306</v>
      </c>
      <c r="AD161" s="3686">
        <f>AC161*L161</f>
        <v>15499.978</v>
      </c>
      <c r="AE161" s="3633" t="s">
        <v>3327</v>
      </c>
      <c r="AF161" s="4084" t="s">
        <v>6616</v>
      </c>
      <c r="AG161" s="3620" t="s">
        <v>416</v>
      </c>
      <c r="AH161" s="3618">
        <v>1560</v>
      </c>
      <c r="AI161" s="3620"/>
      <c r="AJ161" s="3620"/>
      <c r="AK161" s="959">
        <f>I161</f>
        <v>1560</v>
      </c>
      <c r="AL161" s="959"/>
      <c r="AM161" s="959"/>
      <c r="AN161" s="959"/>
      <c r="AO161" s="959"/>
      <c r="AP161" s="3618">
        <f t="shared" ref="AP161:AP166" si="97">I161</f>
        <v>1560</v>
      </c>
      <c r="AQ161" s="3618"/>
      <c r="AR161" s="3626"/>
      <c r="AS161" s="3626">
        <f t="shared" si="86"/>
        <v>1560</v>
      </c>
      <c r="AT161" s="3626"/>
      <c r="AU161" s="3626"/>
      <c r="AV161" s="3626"/>
      <c r="AW161" s="3626"/>
      <c r="AX161" s="3626"/>
      <c r="AY161" s="3626"/>
      <c r="AZ161" s="3626"/>
      <c r="BA161" s="3626"/>
      <c r="BB161" s="3626"/>
      <c r="BC161" s="3626"/>
      <c r="BD161" s="3626"/>
      <c r="BE161" s="3626"/>
      <c r="BF161" s="3626"/>
      <c r="BG161" s="3626">
        <f>I161/12</f>
        <v>130</v>
      </c>
      <c r="BH161" s="3626"/>
      <c r="BI161" s="3626" t="s">
        <v>89</v>
      </c>
      <c r="BJ161" s="3626">
        <f t="shared" ref="BJ161:BJ178" si="98">I161/60*2</f>
        <v>52</v>
      </c>
      <c r="BK161" s="3626">
        <f t="shared" ref="BK161:BK178" si="99">I161/60*10</f>
        <v>260</v>
      </c>
      <c r="BL161" s="3626">
        <f t="shared" ref="BL161:BL178" si="100">I161/60*10</f>
        <v>260</v>
      </c>
      <c r="BM161" s="3626">
        <f t="shared" ref="BM161:BM178" si="101">I161/60*8</f>
        <v>208</v>
      </c>
      <c r="BN161" s="3626">
        <f t="shared" ref="BN161:BN178" si="102">I161/60*10</f>
        <v>260</v>
      </c>
      <c r="BO161" s="4055">
        <f t="shared" ref="BO161:BO170" si="103">I161/60*10</f>
        <v>260</v>
      </c>
      <c r="BP161" s="3627">
        <f t="shared" ref="BP161:BP170" si="104">I161/60*10</f>
        <v>260</v>
      </c>
      <c r="BQ161" s="3627">
        <f t="shared" si="60"/>
        <v>1560</v>
      </c>
      <c r="BR161" s="3627">
        <f t="shared" si="61"/>
        <v>0</v>
      </c>
      <c r="BS161" s="4056"/>
      <c r="BT161" s="4057"/>
    </row>
    <row r="162" s="3566" customFormat="1" ht="50" customHeight="1" spans="1:83">
      <c r="A162" s="3635">
        <v>45707</v>
      </c>
      <c r="B162" s="4080" t="s">
        <v>2914</v>
      </c>
      <c r="C162" s="3663" t="s">
        <v>341</v>
      </c>
      <c r="D162" s="4077">
        <v>4500157986</v>
      </c>
      <c r="E162" s="959" t="s">
        <v>3328</v>
      </c>
      <c r="F162" s="4081" t="s">
        <v>3329</v>
      </c>
      <c r="G162" s="3664" t="s">
        <v>6614</v>
      </c>
      <c r="H162" s="3664" t="s">
        <v>6615</v>
      </c>
      <c r="I162" s="3691">
        <v>1560</v>
      </c>
      <c r="J162" s="3691">
        <v>0</v>
      </c>
      <c r="K162" s="3691">
        <v>12</v>
      </c>
      <c r="L162" s="4082">
        <f t="shared" si="72"/>
        <v>130</v>
      </c>
      <c r="M162" s="3659">
        <v>45748</v>
      </c>
      <c r="N162" s="3659">
        <v>45744</v>
      </c>
      <c r="O162" s="3691" t="s">
        <v>3323</v>
      </c>
      <c r="P162" s="3682" t="s">
        <v>82</v>
      </c>
      <c r="Q162" s="3682"/>
      <c r="R162" s="3682"/>
      <c r="S162" s="3682"/>
      <c r="T162" s="4083"/>
      <c r="U162" s="3645" t="s">
        <v>935</v>
      </c>
      <c r="V162" s="3649" t="s">
        <v>3324</v>
      </c>
      <c r="W162" s="3649"/>
      <c r="X162" s="3649" t="s">
        <v>3325</v>
      </c>
      <c r="Y162" s="3640"/>
      <c r="Z162" s="3623"/>
      <c r="AA162" s="3620" t="s">
        <v>3326</v>
      </c>
      <c r="AB162" s="3624" t="s">
        <v>87</v>
      </c>
      <c r="AC162" s="3686">
        <v>119.2306</v>
      </c>
      <c r="AD162" s="3686">
        <f>AC162*L162</f>
        <v>15499.978</v>
      </c>
      <c r="AE162" s="3633" t="s">
        <v>3327</v>
      </c>
      <c r="AF162" s="4084" t="s">
        <v>6616</v>
      </c>
      <c r="AG162" s="3620" t="s">
        <v>416</v>
      </c>
      <c r="AH162" s="3618">
        <v>1560</v>
      </c>
      <c r="AI162" s="3620"/>
      <c r="AJ162" s="3620"/>
      <c r="AK162" s="959">
        <f>I162</f>
        <v>1560</v>
      </c>
      <c r="AL162" s="959"/>
      <c r="AM162" s="959"/>
      <c r="AN162" s="959"/>
      <c r="AO162" s="959"/>
      <c r="AP162" s="3618">
        <f t="shared" si="97"/>
        <v>1560</v>
      </c>
      <c r="AQ162" s="3618"/>
      <c r="AR162" s="3626"/>
      <c r="AS162" s="3626">
        <f t="shared" si="86"/>
        <v>1560</v>
      </c>
      <c r="AT162" s="3626"/>
      <c r="AU162" s="3626"/>
      <c r="AV162" s="3626"/>
      <c r="AW162" s="3626"/>
      <c r="AX162" s="3626"/>
      <c r="AY162" s="3626"/>
      <c r="AZ162" s="3626"/>
      <c r="BA162" s="3626"/>
      <c r="BB162" s="3626"/>
      <c r="BC162" s="3626"/>
      <c r="BD162" s="3626"/>
      <c r="BE162" s="3626"/>
      <c r="BF162" s="3626"/>
      <c r="BG162" s="3626">
        <f>I162/12</f>
        <v>130</v>
      </c>
      <c r="BH162" s="3626"/>
      <c r="BI162" s="3626" t="s">
        <v>89</v>
      </c>
      <c r="BJ162" s="3626">
        <f t="shared" si="98"/>
        <v>52</v>
      </c>
      <c r="BK162" s="3626">
        <f t="shared" si="99"/>
        <v>260</v>
      </c>
      <c r="BL162" s="3626">
        <f t="shared" si="100"/>
        <v>260</v>
      </c>
      <c r="BM162" s="3626">
        <f t="shared" si="101"/>
        <v>208</v>
      </c>
      <c r="BN162" s="3626">
        <f t="shared" si="102"/>
        <v>260</v>
      </c>
      <c r="BO162" s="4055">
        <f t="shared" si="103"/>
        <v>260</v>
      </c>
      <c r="BP162" s="3627">
        <f t="shared" si="104"/>
        <v>260</v>
      </c>
      <c r="BQ162" s="3627">
        <f t="shared" si="60"/>
        <v>1560</v>
      </c>
      <c r="BR162" s="3627">
        <f t="shared" si="61"/>
        <v>0</v>
      </c>
      <c r="BS162" s="4056"/>
      <c r="BT162" s="4057"/>
    </row>
    <row r="163" s="3566" customFormat="1" ht="50" customHeight="1" spans="1:83">
      <c r="A163" s="3635">
        <v>45611</v>
      </c>
      <c r="B163" s="3617" t="s">
        <v>2285</v>
      </c>
      <c r="C163" s="959" t="s">
        <v>2580</v>
      </c>
      <c r="D163" s="3618">
        <v>4500151398</v>
      </c>
      <c r="E163" s="3618" t="s">
        <v>3330</v>
      </c>
      <c r="F163" s="959" t="s">
        <v>6617</v>
      </c>
      <c r="G163" s="959" t="s">
        <v>6254</v>
      </c>
      <c r="H163" s="3618" t="s">
        <v>6063</v>
      </c>
      <c r="I163" s="3618">
        <v>15264</v>
      </c>
      <c r="J163" s="3618">
        <v>0</v>
      </c>
      <c r="K163" s="3618">
        <v>6</v>
      </c>
      <c r="L163" s="4052">
        <f t="shared" si="72"/>
        <v>2544</v>
      </c>
      <c r="M163" s="3619">
        <v>45750</v>
      </c>
      <c r="N163" s="3619">
        <v>45747</v>
      </c>
      <c r="O163" s="3618"/>
      <c r="P163" s="959" t="s">
        <v>3345</v>
      </c>
      <c r="Q163" s="959"/>
      <c r="R163" s="959"/>
      <c r="S163" s="959"/>
      <c r="T163" s="4053"/>
      <c r="U163" s="3620" t="s">
        <v>3266</v>
      </c>
      <c r="V163" s="3640" t="s">
        <v>3332</v>
      </c>
      <c r="W163" s="3640"/>
      <c r="X163" s="3640" t="s">
        <v>98</v>
      </c>
      <c r="Y163" s="3640"/>
      <c r="Z163" s="3623" t="s">
        <v>6618</v>
      </c>
      <c r="AA163" s="3620" t="s">
        <v>6619</v>
      </c>
      <c r="AB163" s="3624" t="s">
        <v>357</v>
      </c>
      <c r="AC163" s="3618">
        <v>2.2104</v>
      </c>
      <c r="AD163" s="3618">
        <f t="shared" ref="AD163:AD226" si="105">AC163*I163</f>
        <v>33739.5456</v>
      </c>
      <c r="AE163" s="3633" t="s">
        <v>3335</v>
      </c>
      <c r="AF163" s="959" t="s">
        <v>6620</v>
      </c>
      <c r="AG163" s="3620" t="s">
        <v>416</v>
      </c>
      <c r="AH163" s="3618"/>
      <c r="AI163" s="3620"/>
      <c r="AJ163" s="3620"/>
      <c r="AK163" s="959"/>
      <c r="AL163" s="959"/>
      <c r="AM163" s="959"/>
      <c r="AN163" s="959"/>
      <c r="AO163" s="959">
        <f>I163</f>
        <v>15264</v>
      </c>
      <c r="AP163" s="3618">
        <f t="shared" si="97"/>
        <v>15264</v>
      </c>
      <c r="AQ163" s="3618"/>
      <c r="AR163" s="3626"/>
      <c r="AS163" s="3626">
        <f t="shared" si="86"/>
        <v>15264</v>
      </c>
      <c r="AT163" s="3626"/>
      <c r="AU163" s="3626"/>
      <c r="AV163" s="3626"/>
      <c r="AW163" s="3626"/>
      <c r="AX163" s="3626"/>
      <c r="AY163" s="3626">
        <f>I163/6</f>
        <v>2544</v>
      </c>
      <c r="AZ163" s="3626"/>
      <c r="BA163" s="3626"/>
      <c r="BB163" s="3626"/>
      <c r="BC163" s="3626"/>
      <c r="BD163" s="3626"/>
      <c r="BE163" s="3626"/>
      <c r="BF163" s="3626"/>
      <c r="BG163" s="3626"/>
      <c r="BH163" s="3626"/>
      <c r="BI163" s="3626" t="s">
        <v>89</v>
      </c>
      <c r="BJ163" s="3626">
        <f t="shared" si="98"/>
        <v>508.8</v>
      </c>
      <c r="BK163" s="3626">
        <f t="shared" si="99"/>
        <v>2544</v>
      </c>
      <c r="BL163" s="3626">
        <f t="shared" si="100"/>
        <v>2544</v>
      </c>
      <c r="BM163" s="3626">
        <f t="shared" si="101"/>
        <v>2035.2</v>
      </c>
      <c r="BN163" s="3626">
        <f t="shared" si="102"/>
        <v>2544</v>
      </c>
      <c r="BO163" s="4055">
        <f t="shared" si="103"/>
        <v>2544</v>
      </c>
      <c r="BP163" s="3627">
        <f t="shared" si="104"/>
        <v>2544</v>
      </c>
      <c r="BQ163" s="3627">
        <f t="shared" si="60"/>
        <v>15264</v>
      </c>
      <c r="BR163" s="3627">
        <f t="shared" si="61"/>
        <v>0</v>
      </c>
      <c r="BS163" s="4056"/>
      <c r="BT163" s="4057"/>
    </row>
    <row r="164" s="3566" customFormat="1" ht="50" customHeight="1" spans="1:83">
      <c r="A164" s="3635">
        <v>45611</v>
      </c>
      <c r="B164" s="3617" t="s">
        <v>2285</v>
      </c>
      <c r="C164" s="959" t="s">
        <v>2580</v>
      </c>
      <c r="D164" s="3618">
        <v>4500151398</v>
      </c>
      <c r="E164" s="3618" t="s">
        <v>3336</v>
      </c>
      <c r="F164" s="959" t="s">
        <v>6621</v>
      </c>
      <c r="G164" s="959" t="s">
        <v>6254</v>
      </c>
      <c r="H164" s="3618" t="s">
        <v>6063</v>
      </c>
      <c r="I164" s="3618">
        <v>5730</v>
      </c>
      <c r="J164" s="3618">
        <v>0</v>
      </c>
      <c r="K164" s="3618">
        <v>6</v>
      </c>
      <c r="L164" s="4052">
        <f t="shared" si="72"/>
        <v>955</v>
      </c>
      <c r="M164" s="3619">
        <v>45750</v>
      </c>
      <c r="N164" s="3619">
        <v>45747</v>
      </c>
      <c r="O164" s="3618"/>
      <c r="P164" s="959" t="s">
        <v>3345</v>
      </c>
      <c r="Q164" s="959"/>
      <c r="R164" s="959"/>
      <c r="S164" s="959"/>
      <c r="T164" s="4053"/>
      <c r="U164" s="3620" t="s">
        <v>989</v>
      </c>
      <c r="V164" s="3640" t="s">
        <v>6622</v>
      </c>
      <c r="W164" s="3640"/>
      <c r="X164" s="3640" t="s">
        <v>98</v>
      </c>
      <c r="Y164" s="3640"/>
      <c r="Z164" s="3623" t="s">
        <v>6618</v>
      </c>
      <c r="AA164" s="3620" t="s">
        <v>6619</v>
      </c>
      <c r="AB164" s="3624" t="s">
        <v>357</v>
      </c>
      <c r="AC164" s="3618">
        <v>2.2104</v>
      </c>
      <c r="AD164" s="3618">
        <f t="shared" si="105"/>
        <v>12665.592</v>
      </c>
      <c r="AE164" s="3633" t="s">
        <v>3335</v>
      </c>
      <c r="AF164" s="959" t="s">
        <v>6620</v>
      </c>
      <c r="AG164" s="3620" t="s">
        <v>416</v>
      </c>
      <c r="AH164" s="3618"/>
      <c r="AI164" s="3620"/>
      <c r="AJ164" s="3620"/>
      <c r="AK164" s="959"/>
      <c r="AL164" s="959"/>
      <c r="AM164" s="959"/>
      <c r="AN164" s="959"/>
      <c r="AO164" s="959">
        <f>I164</f>
        <v>5730</v>
      </c>
      <c r="AP164" s="3618">
        <f t="shared" si="97"/>
        <v>5730</v>
      </c>
      <c r="AQ164" s="3618"/>
      <c r="AR164" s="3626"/>
      <c r="AS164" s="3626">
        <f t="shared" si="86"/>
        <v>5730</v>
      </c>
      <c r="AT164" s="3626"/>
      <c r="AU164" s="3626"/>
      <c r="AV164" s="3626"/>
      <c r="AW164" s="3626"/>
      <c r="AX164" s="3626"/>
      <c r="AY164" s="3626">
        <f>I164/6</f>
        <v>955</v>
      </c>
      <c r="AZ164" s="3626"/>
      <c r="BA164" s="3626"/>
      <c r="BB164" s="3626"/>
      <c r="BC164" s="3626"/>
      <c r="BD164" s="3626"/>
      <c r="BE164" s="3626"/>
      <c r="BF164" s="3626"/>
      <c r="BG164" s="3626"/>
      <c r="BH164" s="3626"/>
      <c r="BI164" s="3626" t="s">
        <v>89</v>
      </c>
      <c r="BJ164" s="3626">
        <f t="shared" si="98"/>
        <v>191</v>
      </c>
      <c r="BK164" s="3626">
        <f t="shared" si="99"/>
        <v>955</v>
      </c>
      <c r="BL164" s="3626">
        <f t="shared" si="100"/>
        <v>955</v>
      </c>
      <c r="BM164" s="3626">
        <f t="shared" si="101"/>
        <v>764</v>
      </c>
      <c r="BN164" s="3626">
        <f t="shared" si="102"/>
        <v>955</v>
      </c>
      <c r="BO164" s="4055">
        <f t="shared" si="103"/>
        <v>955</v>
      </c>
      <c r="BP164" s="3627">
        <f t="shared" si="104"/>
        <v>955</v>
      </c>
      <c r="BQ164" s="3627">
        <f t="shared" si="60"/>
        <v>5730</v>
      </c>
      <c r="BR164" s="3627">
        <f t="shared" si="61"/>
        <v>0</v>
      </c>
      <c r="BS164" s="4056"/>
      <c r="BT164" s="4057"/>
    </row>
    <row r="165" s="3566" customFormat="1" ht="50" customHeight="1" spans="1:83">
      <c r="A165" s="3635">
        <v>45709</v>
      </c>
      <c r="B165" s="4080" t="s">
        <v>995</v>
      </c>
      <c r="C165" s="3663" t="s">
        <v>996</v>
      </c>
      <c r="D165" s="4077">
        <v>4500158103</v>
      </c>
      <c r="E165" s="3664" t="s">
        <v>997</v>
      </c>
      <c r="F165" s="4081" t="s">
        <v>6623</v>
      </c>
      <c r="G165" s="3664" t="s">
        <v>3520</v>
      </c>
      <c r="H165" s="3618" t="s">
        <v>6063</v>
      </c>
      <c r="I165" s="3618">
        <v>504</v>
      </c>
      <c r="J165" s="3618">
        <v>0</v>
      </c>
      <c r="K165" s="3618">
        <v>24</v>
      </c>
      <c r="L165" s="4052">
        <f t="shared" si="72"/>
        <v>21</v>
      </c>
      <c r="M165" s="3659">
        <v>45757</v>
      </c>
      <c r="N165" s="3659">
        <v>45752</v>
      </c>
      <c r="O165" s="4085"/>
      <c r="P165" s="3682" t="s">
        <v>82</v>
      </c>
      <c r="Q165" s="3682"/>
      <c r="R165" s="3682"/>
      <c r="S165" s="3682"/>
      <c r="T165" s="4083"/>
      <c r="U165" s="3645" t="s">
        <v>989</v>
      </c>
      <c r="V165" s="3657" t="s">
        <v>999</v>
      </c>
      <c r="W165" s="3657"/>
      <c r="X165" s="3649" t="s">
        <v>3362</v>
      </c>
      <c r="Y165" s="3649"/>
      <c r="Z165" s="3661"/>
      <c r="AA165" s="3620" t="s">
        <v>6624</v>
      </c>
      <c r="AB165" s="3624" t="s">
        <v>892</v>
      </c>
      <c r="AC165" s="3686">
        <v>2.1947</v>
      </c>
      <c r="AD165" s="3618">
        <f t="shared" si="105"/>
        <v>1106.1288</v>
      </c>
      <c r="AE165" s="3633" t="s">
        <v>1002</v>
      </c>
      <c r="AF165" s="959" t="s">
        <v>3520</v>
      </c>
      <c r="AG165" s="3620" t="s">
        <v>416</v>
      </c>
      <c r="AH165" s="3618"/>
      <c r="AI165" s="3620"/>
      <c r="AJ165" s="3620"/>
      <c r="AK165" s="959">
        <f>I165</f>
        <v>504</v>
      </c>
      <c r="AL165" s="959"/>
      <c r="AM165" s="959"/>
      <c r="AN165" s="959"/>
      <c r="AO165" s="959"/>
      <c r="AP165" s="3618">
        <f t="shared" si="97"/>
        <v>504</v>
      </c>
      <c r="AQ165" s="3618"/>
      <c r="AR165" s="3626"/>
      <c r="AS165" s="3626">
        <f t="shared" si="86"/>
        <v>504</v>
      </c>
      <c r="AT165" s="3626"/>
      <c r="AU165" s="3626"/>
      <c r="AV165" s="3626"/>
      <c r="AW165" s="3626"/>
      <c r="AX165" s="3626"/>
      <c r="AY165" s="3626"/>
      <c r="AZ165" s="3626"/>
      <c r="BA165" s="3626"/>
      <c r="BB165" s="3626"/>
      <c r="BC165" s="3626"/>
      <c r="BD165" s="3626"/>
      <c r="BE165" s="3626"/>
      <c r="BF165" s="3626"/>
      <c r="BG165" s="3626"/>
      <c r="BH165" s="3626"/>
      <c r="BI165" s="3626" t="s">
        <v>89</v>
      </c>
      <c r="BJ165" s="3626">
        <f t="shared" si="98"/>
        <v>16.8</v>
      </c>
      <c r="BK165" s="3626">
        <f t="shared" si="99"/>
        <v>84</v>
      </c>
      <c r="BL165" s="3626">
        <f t="shared" si="100"/>
        <v>84</v>
      </c>
      <c r="BM165" s="3626">
        <f t="shared" si="101"/>
        <v>67.2</v>
      </c>
      <c r="BN165" s="3626">
        <f t="shared" si="102"/>
        <v>84</v>
      </c>
      <c r="BO165" s="4055">
        <f t="shared" si="103"/>
        <v>84</v>
      </c>
      <c r="BP165" s="3627">
        <f t="shared" si="104"/>
        <v>84</v>
      </c>
      <c r="BQ165" s="3627">
        <f t="shared" si="60"/>
        <v>504</v>
      </c>
      <c r="BR165" s="3627">
        <f t="shared" si="61"/>
        <v>0</v>
      </c>
      <c r="BS165" s="4056"/>
      <c r="BT165" s="4057"/>
    </row>
    <row r="166" s="3566" customFormat="1" ht="50" customHeight="1" spans="1:83">
      <c r="A166" s="3635">
        <v>45701</v>
      </c>
      <c r="B166" s="3630" t="s">
        <v>387</v>
      </c>
      <c r="C166" s="3617" t="s">
        <v>91</v>
      </c>
      <c r="D166" s="3629">
        <v>4500157195</v>
      </c>
      <c r="E166" s="959">
        <v>70058008</v>
      </c>
      <c r="F166" s="3617" t="s">
        <v>6625</v>
      </c>
      <c r="G166" s="959" t="s">
        <v>3520</v>
      </c>
      <c r="H166" s="3618" t="s">
        <v>6063</v>
      </c>
      <c r="I166" s="3618">
        <v>360</v>
      </c>
      <c r="J166" s="3618">
        <v>0</v>
      </c>
      <c r="K166" s="3618">
        <v>24</v>
      </c>
      <c r="L166" s="4052">
        <f t="shared" si="72"/>
        <v>15</v>
      </c>
      <c r="M166" s="3619">
        <v>45783</v>
      </c>
      <c r="N166" s="3619">
        <v>45779</v>
      </c>
      <c r="O166" s="3618" t="s">
        <v>3551</v>
      </c>
      <c r="P166" s="959" t="s">
        <v>82</v>
      </c>
      <c r="Q166" s="959"/>
      <c r="R166" s="959"/>
      <c r="S166" s="959"/>
      <c r="T166" s="4053"/>
      <c r="U166" s="3620" t="s">
        <v>1134</v>
      </c>
      <c r="V166" s="3649" t="s">
        <v>912</v>
      </c>
      <c r="W166" s="3649"/>
      <c r="X166" s="3649" t="s">
        <v>98</v>
      </c>
      <c r="Y166" s="3657" t="s">
        <v>959</v>
      </c>
      <c r="Z166" s="3623"/>
      <c r="AA166" s="3620" t="s">
        <v>3271</v>
      </c>
      <c r="AB166" s="3624" t="s">
        <v>393</v>
      </c>
      <c r="AC166" s="4058">
        <v>2.2482</v>
      </c>
      <c r="AD166" s="3618">
        <f t="shared" si="105"/>
        <v>809.352</v>
      </c>
      <c r="AE166" s="3633" t="s">
        <v>3552</v>
      </c>
      <c r="AF166" s="959" t="s">
        <v>3520</v>
      </c>
      <c r="AG166" s="3620" t="s">
        <v>416</v>
      </c>
      <c r="AH166" s="3620"/>
      <c r="AI166" s="3620"/>
      <c r="AJ166" s="3620"/>
      <c r="AK166" s="959">
        <f>I166</f>
        <v>360</v>
      </c>
      <c r="AL166" s="959"/>
      <c r="AM166" s="959"/>
      <c r="AN166" s="959"/>
      <c r="AO166" s="959"/>
      <c r="AP166" s="3618">
        <f t="shared" si="97"/>
        <v>360</v>
      </c>
      <c r="AQ166" s="3618"/>
      <c r="AR166" s="3626"/>
      <c r="AS166" s="3626">
        <f t="shared" si="86"/>
        <v>360</v>
      </c>
      <c r="AT166" s="3626"/>
      <c r="AU166" s="3626"/>
      <c r="AV166" s="3626"/>
      <c r="AW166" s="3626"/>
      <c r="AX166" s="3626"/>
      <c r="AY166" s="3626"/>
      <c r="AZ166" s="3626"/>
      <c r="BA166" s="3626"/>
      <c r="BB166" s="3626"/>
      <c r="BC166" s="3626"/>
      <c r="BD166" s="3626"/>
      <c r="BE166" s="3626"/>
      <c r="BF166" s="3626"/>
      <c r="BG166" s="3626"/>
      <c r="BH166" s="3626"/>
      <c r="BI166" s="3626" t="s">
        <v>89</v>
      </c>
      <c r="BJ166" s="3626">
        <f t="shared" si="98"/>
        <v>12</v>
      </c>
      <c r="BK166" s="3626">
        <f t="shared" si="99"/>
        <v>60</v>
      </c>
      <c r="BL166" s="3626">
        <f t="shared" si="100"/>
        <v>60</v>
      </c>
      <c r="BM166" s="3626">
        <f t="shared" si="101"/>
        <v>48</v>
      </c>
      <c r="BN166" s="3626">
        <f t="shared" si="102"/>
        <v>60</v>
      </c>
      <c r="BO166" s="4055">
        <f t="shared" si="103"/>
        <v>60</v>
      </c>
      <c r="BP166" s="3627">
        <f t="shared" si="104"/>
        <v>60</v>
      </c>
      <c r="BQ166" s="3627">
        <f t="shared" si="60"/>
        <v>360</v>
      </c>
      <c r="BR166" s="3627">
        <f t="shared" si="61"/>
        <v>0</v>
      </c>
      <c r="BS166" s="4056"/>
      <c r="BT166" s="4057"/>
    </row>
    <row r="167" s="3566" customFormat="1" ht="50" customHeight="1" spans="1:83">
      <c r="A167" s="3635">
        <v>45723</v>
      </c>
      <c r="B167" s="4080" t="s">
        <v>672</v>
      </c>
      <c r="C167" s="3663" t="s">
        <v>673</v>
      </c>
      <c r="D167" s="4077">
        <v>4500159192</v>
      </c>
      <c r="E167" s="3664">
        <v>5000001804</v>
      </c>
      <c r="F167" s="4081" t="s">
        <v>6626</v>
      </c>
      <c r="G167" s="959" t="s">
        <v>6254</v>
      </c>
      <c r="H167" s="3618" t="s">
        <v>6063</v>
      </c>
      <c r="I167" s="3618">
        <v>1200</v>
      </c>
      <c r="J167" s="3618">
        <v>0</v>
      </c>
      <c r="K167" s="3618">
        <v>6</v>
      </c>
      <c r="L167" s="4052">
        <f t="shared" si="72"/>
        <v>200</v>
      </c>
      <c r="M167" s="3619">
        <v>45756</v>
      </c>
      <c r="N167" s="3619">
        <v>45752</v>
      </c>
      <c r="O167" s="3618"/>
      <c r="P167" s="959" t="s">
        <v>82</v>
      </c>
      <c r="Q167" s="959"/>
      <c r="R167" s="959"/>
      <c r="S167" s="959"/>
      <c r="T167" s="4053"/>
      <c r="U167" s="3620" t="s">
        <v>1007</v>
      </c>
      <c r="V167" s="3649" t="s">
        <v>6627</v>
      </c>
      <c r="W167" s="3649"/>
      <c r="X167" s="3649" t="s">
        <v>6628</v>
      </c>
      <c r="Y167" s="3640"/>
      <c r="Z167" s="3623"/>
      <c r="AA167" s="3620" t="s">
        <v>6629</v>
      </c>
      <c r="AB167" s="3624" t="s">
        <v>993</v>
      </c>
      <c r="AC167" s="4058">
        <v>2.2567</v>
      </c>
      <c r="AD167" s="3618">
        <f t="shared" si="105"/>
        <v>2708.04</v>
      </c>
      <c r="AE167" s="3633" t="s">
        <v>6630</v>
      </c>
      <c r="AF167" s="959" t="s">
        <v>6260</v>
      </c>
      <c r="AG167" s="3620" t="s">
        <v>416</v>
      </c>
      <c r="AH167" s="3620"/>
      <c r="AI167" s="3620"/>
      <c r="AJ167" s="3620"/>
      <c r="AK167" s="959"/>
      <c r="AL167" s="959"/>
      <c r="AM167" s="959"/>
      <c r="AN167" s="959"/>
      <c r="AO167" s="959">
        <f>I167</f>
        <v>1200</v>
      </c>
      <c r="AP167" s="3618"/>
      <c r="AQ167" s="3618"/>
      <c r="AR167" s="3626">
        <f>I167</f>
        <v>1200</v>
      </c>
      <c r="AS167" s="3626">
        <f t="shared" si="86"/>
        <v>1200</v>
      </c>
      <c r="AT167" s="3626"/>
      <c r="AU167" s="3626"/>
      <c r="AV167" s="3626"/>
      <c r="AW167" s="3626"/>
      <c r="AX167" s="3626"/>
      <c r="AY167" s="3626">
        <f>I167/6</f>
        <v>200</v>
      </c>
      <c r="AZ167" s="3626"/>
      <c r="BA167" s="3626"/>
      <c r="BB167" s="3626"/>
      <c r="BC167" s="3626"/>
      <c r="BD167" s="3626"/>
      <c r="BE167" s="3626"/>
      <c r="BF167" s="3626"/>
      <c r="BG167" s="3626"/>
      <c r="BH167" s="3626"/>
      <c r="BI167" s="3626" t="s">
        <v>682</v>
      </c>
      <c r="BJ167" s="3626">
        <f t="shared" si="98"/>
        <v>40</v>
      </c>
      <c r="BK167" s="3626">
        <f t="shared" si="99"/>
        <v>200</v>
      </c>
      <c r="BL167" s="3626">
        <f t="shared" si="100"/>
        <v>200</v>
      </c>
      <c r="BM167" s="3626">
        <f t="shared" si="101"/>
        <v>160</v>
      </c>
      <c r="BN167" s="3626">
        <f t="shared" si="102"/>
        <v>200</v>
      </c>
      <c r="BO167" s="4055">
        <f t="shared" si="103"/>
        <v>200</v>
      </c>
      <c r="BP167" s="3627">
        <f t="shared" si="104"/>
        <v>200</v>
      </c>
      <c r="BQ167" s="3627">
        <f t="shared" si="60"/>
        <v>1200</v>
      </c>
      <c r="BR167" s="3627">
        <f t="shared" si="61"/>
        <v>0</v>
      </c>
      <c r="BS167" s="4056"/>
      <c r="BT167" s="4057"/>
    </row>
    <row r="168" s="3566" customFormat="1" ht="50" customHeight="1" spans="1:83">
      <c r="A168" s="3635">
        <v>45714</v>
      </c>
      <c r="B168" s="3617" t="s">
        <v>3416</v>
      </c>
      <c r="C168" s="3617" t="s">
        <v>3417</v>
      </c>
      <c r="D168" s="3624">
        <v>4500158447</v>
      </c>
      <c r="E168" s="959"/>
      <c r="F168" s="3617" t="s">
        <v>6631</v>
      </c>
      <c r="G168" s="959" t="s">
        <v>6124</v>
      </c>
      <c r="H168" s="3618" t="s">
        <v>6063</v>
      </c>
      <c r="I168" s="3618">
        <v>288</v>
      </c>
      <c r="J168" s="3618">
        <v>0</v>
      </c>
      <c r="K168" s="3618">
        <v>12</v>
      </c>
      <c r="L168" s="4052">
        <f t="shared" si="72"/>
        <v>24</v>
      </c>
      <c r="M168" s="3619">
        <v>45763</v>
      </c>
      <c r="N168" s="3619">
        <v>45759</v>
      </c>
      <c r="O168" s="3618"/>
      <c r="P168" s="959" t="s">
        <v>82</v>
      </c>
      <c r="Q168" s="959"/>
      <c r="R168" s="959"/>
      <c r="S168" s="959"/>
      <c r="T168" s="4053"/>
      <c r="U168" s="3620" t="s">
        <v>1123</v>
      </c>
      <c r="V168" s="3657" t="s">
        <v>3419</v>
      </c>
      <c r="W168" s="3649"/>
      <c r="X168" s="3649" t="s">
        <v>3420</v>
      </c>
      <c r="Y168" s="3640"/>
      <c r="Z168" s="3623"/>
      <c r="AA168" s="3620" t="s">
        <v>6632</v>
      </c>
      <c r="AB168" s="3624" t="s">
        <v>1257</v>
      </c>
      <c r="AC168" s="4058">
        <v>2.3068</v>
      </c>
      <c r="AD168" s="3618">
        <f t="shared" si="105"/>
        <v>664.3584</v>
      </c>
      <c r="AE168" s="3633" t="s">
        <v>3422</v>
      </c>
      <c r="AF168" s="959" t="s">
        <v>6126</v>
      </c>
      <c r="AG168" s="3620" t="s">
        <v>416</v>
      </c>
      <c r="AH168" s="3620"/>
      <c r="AI168" s="3620"/>
      <c r="AJ168" s="3620"/>
      <c r="AK168" s="959"/>
      <c r="AL168" s="959"/>
      <c r="AM168" s="959">
        <f>I168</f>
        <v>288</v>
      </c>
      <c r="AN168" s="959"/>
      <c r="AO168" s="959"/>
      <c r="AP168" s="3618">
        <f t="shared" ref="AP168:AP175" si="106">I168</f>
        <v>288</v>
      </c>
      <c r="AQ168" s="3618"/>
      <c r="AR168" s="3626"/>
      <c r="AS168" s="3626">
        <f t="shared" si="86"/>
        <v>288</v>
      </c>
      <c r="AT168" s="3626"/>
      <c r="AU168" s="3626"/>
      <c r="AV168" s="3626"/>
      <c r="AW168" s="3626">
        <f>I168/6</f>
        <v>48</v>
      </c>
      <c r="AX168" s="3626"/>
      <c r="AY168" s="3626"/>
      <c r="AZ168" s="3626"/>
      <c r="BA168" s="3626"/>
      <c r="BB168" s="3626"/>
      <c r="BC168" s="3626"/>
      <c r="BD168" s="3626"/>
      <c r="BE168" s="3626"/>
      <c r="BF168" s="3626"/>
      <c r="BG168" s="3626"/>
      <c r="BH168" s="3626"/>
      <c r="BI168" s="3626" t="s">
        <v>89</v>
      </c>
      <c r="BJ168" s="3626">
        <f t="shared" si="98"/>
        <v>9.6</v>
      </c>
      <c r="BK168" s="3626">
        <f t="shared" si="99"/>
        <v>48</v>
      </c>
      <c r="BL168" s="3626">
        <f t="shared" si="100"/>
        <v>48</v>
      </c>
      <c r="BM168" s="3626">
        <f t="shared" si="101"/>
        <v>38.4</v>
      </c>
      <c r="BN168" s="3626">
        <f t="shared" si="102"/>
        <v>48</v>
      </c>
      <c r="BO168" s="4055">
        <f t="shared" si="103"/>
        <v>48</v>
      </c>
      <c r="BP168" s="3627">
        <f t="shared" si="104"/>
        <v>48</v>
      </c>
      <c r="BQ168" s="3627">
        <f t="shared" ref="BQ168:BQ231" si="107">SUM(BJ168:BP168)</f>
        <v>288</v>
      </c>
      <c r="BR168" s="3627">
        <f t="shared" ref="BR168:BR231" si="108">I168-BQ168</f>
        <v>0</v>
      </c>
      <c r="BS168" s="4056"/>
      <c r="BT168" s="4057"/>
    </row>
    <row r="169" s="3566" customFormat="1" ht="50" customHeight="1" spans="1:83">
      <c r="A169" s="3635">
        <v>45714</v>
      </c>
      <c r="B169" s="3617" t="s">
        <v>3423</v>
      </c>
      <c r="C169" s="3617" t="s">
        <v>1332</v>
      </c>
      <c r="D169" s="3624">
        <v>4500158535</v>
      </c>
      <c r="E169" s="959"/>
      <c r="F169" s="3617" t="s">
        <v>6633</v>
      </c>
      <c r="G169" s="959" t="s">
        <v>6124</v>
      </c>
      <c r="H169" s="3618" t="s">
        <v>6063</v>
      </c>
      <c r="I169" s="3618">
        <v>348</v>
      </c>
      <c r="J169" s="3618">
        <v>0</v>
      </c>
      <c r="K169" s="3618">
        <v>12</v>
      </c>
      <c r="L169" s="4052">
        <f t="shared" si="72"/>
        <v>29</v>
      </c>
      <c r="M169" s="3619">
        <v>45763</v>
      </c>
      <c r="N169" s="3619">
        <v>45759</v>
      </c>
      <c r="O169" s="3618"/>
      <c r="P169" s="959" t="s">
        <v>82</v>
      </c>
      <c r="Q169" s="959"/>
      <c r="R169" s="959"/>
      <c r="S169" s="959"/>
      <c r="T169" s="4053"/>
      <c r="U169" s="3620" t="s">
        <v>1054</v>
      </c>
      <c r="V169" s="3657" t="s">
        <v>3419</v>
      </c>
      <c r="W169" s="3649"/>
      <c r="X169" s="3649" t="s">
        <v>3420</v>
      </c>
      <c r="Y169" s="3640"/>
      <c r="Z169" s="3623"/>
      <c r="AA169" s="3620" t="s">
        <v>6634</v>
      </c>
      <c r="AB169" s="3624" t="s">
        <v>1257</v>
      </c>
      <c r="AC169" s="4058">
        <v>2.3068</v>
      </c>
      <c r="AD169" s="3618">
        <f t="shared" si="105"/>
        <v>802.7664</v>
      </c>
      <c r="AE169" s="3633" t="s">
        <v>3426</v>
      </c>
      <c r="AF169" s="959" t="s">
        <v>6126</v>
      </c>
      <c r="AG169" s="3620" t="s">
        <v>416</v>
      </c>
      <c r="AH169" s="3620"/>
      <c r="AI169" s="3620"/>
      <c r="AJ169" s="3620"/>
      <c r="AK169" s="959"/>
      <c r="AL169" s="959"/>
      <c r="AM169" s="959">
        <f>I169</f>
        <v>348</v>
      </c>
      <c r="AN169" s="959"/>
      <c r="AO169" s="959"/>
      <c r="AP169" s="3618">
        <f t="shared" si="106"/>
        <v>348</v>
      </c>
      <c r="AQ169" s="3618"/>
      <c r="AR169" s="3626"/>
      <c r="AS169" s="3626">
        <f t="shared" si="86"/>
        <v>348</v>
      </c>
      <c r="AT169" s="3626"/>
      <c r="AU169" s="3626"/>
      <c r="AV169" s="3626"/>
      <c r="AW169" s="3626">
        <f>I169/6</f>
        <v>58</v>
      </c>
      <c r="AX169" s="3626"/>
      <c r="AY169" s="3626"/>
      <c r="AZ169" s="3626"/>
      <c r="BA169" s="3626"/>
      <c r="BB169" s="3626"/>
      <c r="BC169" s="3626"/>
      <c r="BD169" s="3626"/>
      <c r="BE169" s="3626"/>
      <c r="BF169" s="3626"/>
      <c r="BG169" s="3626"/>
      <c r="BH169" s="3626"/>
      <c r="BI169" s="3626" t="s">
        <v>89</v>
      </c>
      <c r="BJ169" s="3626">
        <f t="shared" si="98"/>
        <v>11.6</v>
      </c>
      <c r="BK169" s="3626">
        <f t="shared" si="99"/>
        <v>58</v>
      </c>
      <c r="BL169" s="3626">
        <f t="shared" si="100"/>
        <v>58</v>
      </c>
      <c r="BM169" s="3626">
        <f t="shared" si="101"/>
        <v>46.4</v>
      </c>
      <c r="BN169" s="3626">
        <f t="shared" si="102"/>
        <v>58</v>
      </c>
      <c r="BO169" s="4055">
        <f t="shared" si="103"/>
        <v>58</v>
      </c>
      <c r="BP169" s="3627">
        <f t="shared" si="104"/>
        <v>58</v>
      </c>
      <c r="BQ169" s="3627">
        <f t="shared" si="107"/>
        <v>348</v>
      </c>
      <c r="BR169" s="3627">
        <f t="shared" si="108"/>
        <v>0</v>
      </c>
      <c r="BS169" s="4056"/>
      <c r="BT169" s="4057"/>
    </row>
    <row r="170" s="3566" customFormat="1" ht="50" customHeight="1" spans="1:83">
      <c r="A170" s="3635">
        <v>45712</v>
      </c>
      <c r="B170" s="3617" t="s">
        <v>3427</v>
      </c>
      <c r="C170" s="3617" t="s">
        <v>3428</v>
      </c>
      <c r="D170" s="3624">
        <v>4500158302</v>
      </c>
      <c r="E170" s="959"/>
      <c r="F170" s="3617" t="s">
        <v>6635</v>
      </c>
      <c r="G170" s="959" t="s">
        <v>6124</v>
      </c>
      <c r="H170" s="3618" t="s">
        <v>6063</v>
      </c>
      <c r="I170" s="3618">
        <v>120</v>
      </c>
      <c r="J170" s="3618">
        <v>0</v>
      </c>
      <c r="K170" s="3618">
        <v>12</v>
      </c>
      <c r="L170" s="4052">
        <f t="shared" si="72"/>
        <v>10</v>
      </c>
      <c r="M170" s="3619">
        <v>45763</v>
      </c>
      <c r="N170" s="3619">
        <v>45759</v>
      </c>
      <c r="O170" s="3618"/>
      <c r="P170" s="959" t="s">
        <v>82</v>
      </c>
      <c r="Q170" s="959"/>
      <c r="R170" s="959"/>
      <c r="S170" s="959"/>
      <c r="T170" s="4053"/>
      <c r="U170" s="3645" t="s">
        <v>1123</v>
      </c>
      <c r="V170" s="3657" t="s">
        <v>3419</v>
      </c>
      <c r="W170" s="3649"/>
      <c r="X170" s="3657" t="s">
        <v>3430</v>
      </c>
      <c r="Y170" s="3640"/>
      <c r="Z170" s="3623"/>
      <c r="AA170" s="3620" t="s">
        <v>6636</v>
      </c>
      <c r="AB170" s="3624" t="s">
        <v>1257</v>
      </c>
      <c r="AC170" s="4058">
        <v>2.3068</v>
      </c>
      <c r="AD170" s="3618">
        <f t="shared" si="105"/>
        <v>276.816</v>
      </c>
      <c r="AE170" s="3633" t="s">
        <v>3432</v>
      </c>
      <c r="AF170" s="959" t="s">
        <v>6126</v>
      </c>
      <c r="AG170" s="3620" t="s">
        <v>416</v>
      </c>
      <c r="AH170" s="3620"/>
      <c r="AI170" s="3620"/>
      <c r="AJ170" s="3620"/>
      <c r="AK170" s="959"/>
      <c r="AL170" s="959"/>
      <c r="AM170" s="959">
        <f>I170</f>
        <v>120</v>
      </c>
      <c r="AN170" s="959"/>
      <c r="AO170" s="959"/>
      <c r="AP170" s="3618">
        <f t="shared" si="106"/>
        <v>120</v>
      </c>
      <c r="AQ170" s="3618"/>
      <c r="AR170" s="3626"/>
      <c r="AS170" s="3626">
        <f t="shared" si="86"/>
        <v>120</v>
      </c>
      <c r="AT170" s="3626"/>
      <c r="AU170" s="3626"/>
      <c r="AV170" s="3626"/>
      <c r="AW170" s="3626">
        <f>I170/6</f>
        <v>20</v>
      </c>
      <c r="AX170" s="3626"/>
      <c r="AY170" s="3626"/>
      <c r="AZ170" s="3626"/>
      <c r="BA170" s="3626"/>
      <c r="BB170" s="3626"/>
      <c r="BC170" s="3626"/>
      <c r="BD170" s="3626"/>
      <c r="BE170" s="3626"/>
      <c r="BF170" s="3626"/>
      <c r="BG170" s="3626"/>
      <c r="BH170" s="3626"/>
      <c r="BI170" s="3626" t="s">
        <v>89</v>
      </c>
      <c r="BJ170" s="3626">
        <f t="shared" si="98"/>
        <v>4</v>
      </c>
      <c r="BK170" s="3626">
        <f t="shared" si="99"/>
        <v>20</v>
      </c>
      <c r="BL170" s="3626">
        <f t="shared" si="100"/>
        <v>20</v>
      </c>
      <c r="BM170" s="3626">
        <f t="shared" si="101"/>
        <v>16</v>
      </c>
      <c r="BN170" s="3626">
        <f t="shared" si="102"/>
        <v>20</v>
      </c>
      <c r="BO170" s="4055">
        <f t="shared" si="103"/>
        <v>20</v>
      </c>
      <c r="BP170" s="3627">
        <f t="shared" si="104"/>
        <v>20</v>
      </c>
      <c r="BQ170" s="3627">
        <f t="shared" si="107"/>
        <v>120</v>
      </c>
      <c r="BR170" s="3627">
        <f t="shared" si="108"/>
        <v>0</v>
      </c>
      <c r="BS170" s="4056"/>
      <c r="BT170" s="4057"/>
    </row>
    <row r="171" s="3566" customFormat="1" ht="50" customHeight="1" spans="1:83">
      <c r="A171" s="3635">
        <v>45712</v>
      </c>
      <c r="B171" s="3617" t="s">
        <v>6637</v>
      </c>
      <c r="C171" s="3617" t="s">
        <v>3460</v>
      </c>
      <c r="D171" s="3624">
        <v>4500158415</v>
      </c>
      <c r="E171" s="959"/>
      <c r="F171" s="3617" t="s">
        <v>6638</v>
      </c>
      <c r="G171" s="959" t="s">
        <v>6124</v>
      </c>
      <c r="H171" s="3618" t="s">
        <v>6063</v>
      </c>
      <c r="I171" s="3618">
        <v>72</v>
      </c>
      <c r="J171" s="3618">
        <v>0</v>
      </c>
      <c r="K171" s="3618">
        <v>12</v>
      </c>
      <c r="L171" s="4052">
        <f t="shared" si="72"/>
        <v>6</v>
      </c>
      <c r="M171" s="3619">
        <v>45763</v>
      </c>
      <c r="N171" s="3619">
        <v>45759</v>
      </c>
      <c r="O171" s="3618"/>
      <c r="P171" s="959" t="s">
        <v>82</v>
      </c>
      <c r="Q171" s="959"/>
      <c r="R171" s="959"/>
      <c r="S171" s="959"/>
      <c r="T171" s="4053"/>
      <c r="U171" s="3620" t="s">
        <v>1054</v>
      </c>
      <c r="V171" s="3657" t="s">
        <v>3419</v>
      </c>
      <c r="W171" s="3640"/>
      <c r="X171" s="3649" t="s">
        <v>3420</v>
      </c>
      <c r="Y171" s="3640"/>
      <c r="Z171" s="3623"/>
      <c r="AA171" s="3620" t="s">
        <v>6639</v>
      </c>
      <c r="AB171" s="3624" t="s">
        <v>1257</v>
      </c>
      <c r="AC171" s="4058">
        <v>2.3068</v>
      </c>
      <c r="AD171" s="3618">
        <f t="shared" si="105"/>
        <v>166.0896</v>
      </c>
      <c r="AE171" s="3633" t="s">
        <v>6640</v>
      </c>
      <c r="AF171" s="959" t="s">
        <v>6126</v>
      </c>
      <c r="AG171" s="3620" t="s">
        <v>416</v>
      </c>
      <c r="AH171" s="3620"/>
      <c r="AI171" s="3620"/>
      <c r="AJ171" s="3620"/>
      <c r="AK171" s="959"/>
      <c r="AL171" s="959"/>
      <c r="AM171" s="959">
        <f>I171</f>
        <v>72</v>
      </c>
      <c r="AN171" s="959"/>
      <c r="AO171" s="959"/>
      <c r="AP171" s="3618">
        <f t="shared" si="106"/>
        <v>72</v>
      </c>
      <c r="AQ171" s="3618"/>
      <c r="AR171" s="3626"/>
      <c r="AS171" s="3626">
        <f t="shared" ref="AS171:AS184" si="109">I171</f>
        <v>72</v>
      </c>
      <c r="AT171" s="3626"/>
      <c r="AU171" s="3626"/>
      <c r="AV171" s="3626"/>
      <c r="AW171" s="3626">
        <f>I171/6</f>
        <v>12</v>
      </c>
      <c r="AX171" s="3626"/>
      <c r="AY171" s="3626"/>
      <c r="AZ171" s="3626"/>
      <c r="BA171" s="3626"/>
      <c r="BB171" s="3626"/>
      <c r="BC171" s="3626"/>
      <c r="BD171" s="3626"/>
      <c r="BE171" s="3626"/>
      <c r="BF171" s="3626"/>
      <c r="BG171" s="3626"/>
      <c r="BH171" s="3626"/>
      <c r="BI171" s="3626" t="s">
        <v>89</v>
      </c>
      <c r="BJ171" s="3626">
        <f t="shared" si="98"/>
        <v>2.4</v>
      </c>
      <c r="BK171" s="3626">
        <f t="shared" si="99"/>
        <v>12</v>
      </c>
      <c r="BL171" s="3626">
        <f t="shared" si="100"/>
        <v>12</v>
      </c>
      <c r="BM171" s="3626">
        <f t="shared" si="101"/>
        <v>9.6</v>
      </c>
      <c r="BN171" s="3626">
        <f t="shared" si="102"/>
        <v>12</v>
      </c>
      <c r="BO171" s="4055">
        <f t="shared" ref="BO171:BO178" si="110">I171/60*10</f>
        <v>12</v>
      </c>
      <c r="BP171" s="3627">
        <f t="shared" ref="BP171:BP178" si="111">I171/60*10</f>
        <v>12</v>
      </c>
      <c r="BQ171" s="3627">
        <f t="shared" si="107"/>
        <v>72</v>
      </c>
      <c r="BR171" s="3627">
        <f t="shared" si="108"/>
        <v>0</v>
      </c>
      <c r="BS171" s="4056"/>
      <c r="BT171" s="4057"/>
    </row>
    <row r="172" s="3566" customFormat="1" ht="50" customHeight="1" spans="1:83">
      <c r="A172" s="3635">
        <v>45726</v>
      </c>
      <c r="B172" s="4080" t="s">
        <v>2285</v>
      </c>
      <c r="C172" s="3663" t="s">
        <v>351</v>
      </c>
      <c r="D172" s="4077">
        <v>4500159461</v>
      </c>
      <c r="E172" s="3664" t="s">
        <v>3330</v>
      </c>
      <c r="F172" s="4081" t="s">
        <v>3342</v>
      </c>
      <c r="G172" s="959" t="s">
        <v>6641</v>
      </c>
      <c r="H172" s="3618" t="s">
        <v>6642</v>
      </c>
      <c r="I172" s="3618">
        <v>4318</v>
      </c>
      <c r="J172" s="3618">
        <v>0</v>
      </c>
      <c r="K172" s="3618">
        <v>1</v>
      </c>
      <c r="L172" s="4052">
        <f t="shared" si="72"/>
        <v>4318</v>
      </c>
      <c r="M172" s="3619">
        <v>45756</v>
      </c>
      <c r="N172" s="3619">
        <v>45752</v>
      </c>
      <c r="O172" s="3618"/>
      <c r="P172" s="959" t="s">
        <v>3345</v>
      </c>
      <c r="Q172" s="959"/>
      <c r="R172" s="959"/>
      <c r="S172" s="959"/>
      <c r="T172" s="4053"/>
      <c r="U172" s="3620"/>
      <c r="V172" s="3657" t="s">
        <v>1124</v>
      </c>
      <c r="W172" s="3657"/>
      <c r="X172" s="3657" t="s">
        <v>1099</v>
      </c>
      <c r="Y172" s="3657"/>
      <c r="Z172" s="3661" t="s">
        <v>3346</v>
      </c>
      <c r="AA172" s="3620" t="s">
        <v>3347</v>
      </c>
      <c r="AB172" s="3624" t="s">
        <v>1199</v>
      </c>
      <c r="AC172" s="4058">
        <v>8.499</v>
      </c>
      <c r="AD172" s="3618">
        <f t="shared" si="105"/>
        <v>36698.682</v>
      </c>
      <c r="AE172" s="3633"/>
      <c r="AF172" s="959" t="s">
        <v>3520</v>
      </c>
      <c r="AG172" s="3620" t="s">
        <v>416</v>
      </c>
      <c r="AH172" s="3620"/>
      <c r="AI172" s="3620"/>
      <c r="AJ172" s="3620"/>
      <c r="AK172" s="959">
        <f t="shared" ref="AK172:AK178" si="112">I172</f>
        <v>4318</v>
      </c>
      <c r="AL172" s="959"/>
      <c r="AM172" s="959"/>
      <c r="AN172" s="959"/>
      <c r="AO172" s="959"/>
      <c r="AP172" s="3618">
        <f t="shared" si="106"/>
        <v>4318</v>
      </c>
      <c r="AQ172" s="3618"/>
      <c r="AR172" s="3626"/>
      <c r="AS172" s="3626">
        <f t="shared" si="109"/>
        <v>4318</v>
      </c>
      <c r="AT172" s="3626"/>
      <c r="AU172" s="3626"/>
      <c r="AV172" s="3626"/>
      <c r="AW172" s="3626"/>
      <c r="AX172" s="3626"/>
      <c r="AY172" s="3626"/>
      <c r="AZ172" s="3626"/>
      <c r="BA172" s="3626"/>
      <c r="BB172" s="3626"/>
      <c r="BC172" s="3626"/>
      <c r="BD172" s="3626"/>
      <c r="BE172" s="3626"/>
      <c r="BF172" s="3626"/>
      <c r="BG172" s="3626"/>
      <c r="BH172" s="3626"/>
      <c r="BI172" s="3626" t="s">
        <v>89</v>
      </c>
      <c r="BJ172" s="3626">
        <f t="shared" si="98"/>
        <v>143.933333333333</v>
      </c>
      <c r="BK172" s="3626">
        <f t="shared" si="99"/>
        <v>719.666666666667</v>
      </c>
      <c r="BL172" s="3626">
        <f t="shared" si="100"/>
        <v>719.666666666667</v>
      </c>
      <c r="BM172" s="3626">
        <f t="shared" si="101"/>
        <v>575.733333333333</v>
      </c>
      <c r="BN172" s="3626">
        <f t="shared" si="102"/>
        <v>719.666666666667</v>
      </c>
      <c r="BO172" s="4055">
        <f t="shared" si="110"/>
        <v>719.666666666667</v>
      </c>
      <c r="BP172" s="3627">
        <f t="shared" si="111"/>
        <v>719.666666666667</v>
      </c>
      <c r="BQ172" s="3627">
        <f t="shared" si="107"/>
        <v>4318</v>
      </c>
      <c r="BR172" s="3627">
        <f t="shared" si="108"/>
        <v>0</v>
      </c>
      <c r="BS172" s="4056"/>
      <c r="BT172" s="4057"/>
    </row>
    <row r="173" s="3566" customFormat="1" ht="50" customHeight="1" spans="1:83">
      <c r="A173" s="3635">
        <v>45726</v>
      </c>
      <c r="B173" s="4080" t="s">
        <v>2285</v>
      </c>
      <c r="C173" s="3663" t="s">
        <v>351</v>
      </c>
      <c r="D173" s="4077">
        <v>4500159461</v>
      </c>
      <c r="E173" s="3664" t="s">
        <v>3336</v>
      </c>
      <c r="F173" s="4081" t="s">
        <v>3350</v>
      </c>
      <c r="G173" s="959" t="s">
        <v>6641</v>
      </c>
      <c r="H173" s="3618" t="s">
        <v>6642</v>
      </c>
      <c r="I173" s="3618">
        <v>1679</v>
      </c>
      <c r="J173" s="3618">
        <v>0</v>
      </c>
      <c r="K173" s="3618">
        <v>1</v>
      </c>
      <c r="L173" s="4052">
        <f t="shared" si="72"/>
        <v>1679</v>
      </c>
      <c r="M173" s="3619">
        <v>45756</v>
      </c>
      <c r="N173" s="3619">
        <v>45752</v>
      </c>
      <c r="O173" s="3618"/>
      <c r="P173" s="959" t="s">
        <v>3345</v>
      </c>
      <c r="Q173" s="959"/>
      <c r="R173" s="959"/>
      <c r="S173" s="959"/>
      <c r="T173" s="4053"/>
      <c r="U173" s="3620"/>
      <c r="V173" s="3657" t="s">
        <v>1124</v>
      </c>
      <c r="W173" s="3657"/>
      <c r="X173" s="3657" t="s">
        <v>1099</v>
      </c>
      <c r="Y173" s="3657"/>
      <c r="Z173" s="3661" t="s">
        <v>3346</v>
      </c>
      <c r="AA173" s="3620" t="s">
        <v>3347</v>
      </c>
      <c r="AB173" s="3624" t="s">
        <v>1199</v>
      </c>
      <c r="AC173" s="4058">
        <v>8.499</v>
      </c>
      <c r="AD173" s="3618">
        <f t="shared" si="105"/>
        <v>14269.821</v>
      </c>
      <c r="AE173" s="3633"/>
      <c r="AF173" s="959" t="s">
        <v>3520</v>
      </c>
      <c r="AG173" s="3620" t="s">
        <v>416</v>
      </c>
      <c r="AH173" s="3620"/>
      <c r="AI173" s="3620"/>
      <c r="AJ173" s="3620"/>
      <c r="AK173" s="959">
        <f t="shared" si="112"/>
        <v>1679</v>
      </c>
      <c r="AL173" s="959"/>
      <c r="AM173" s="959"/>
      <c r="AN173" s="959"/>
      <c r="AO173" s="959"/>
      <c r="AP173" s="3618">
        <f t="shared" si="106"/>
        <v>1679</v>
      </c>
      <c r="AQ173" s="3618"/>
      <c r="AR173" s="3626"/>
      <c r="AS173" s="3626">
        <f t="shared" si="109"/>
        <v>1679</v>
      </c>
      <c r="AT173" s="3626"/>
      <c r="AU173" s="3626"/>
      <c r="AV173" s="3626"/>
      <c r="AW173" s="3626"/>
      <c r="AX173" s="3626"/>
      <c r="AY173" s="3626"/>
      <c r="AZ173" s="3626"/>
      <c r="BA173" s="3626"/>
      <c r="BB173" s="3626"/>
      <c r="BC173" s="3626"/>
      <c r="BD173" s="3626"/>
      <c r="BE173" s="3626"/>
      <c r="BF173" s="3626"/>
      <c r="BG173" s="3626"/>
      <c r="BH173" s="3626"/>
      <c r="BI173" s="3626" t="s">
        <v>89</v>
      </c>
      <c r="BJ173" s="3626">
        <f t="shared" si="98"/>
        <v>55.9666666666667</v>
      </c>
      <c r="BK173" s="3626">
        <f t="shared" si="99"/>
        <v>279.833333333333</v>
      </c>
      <c r="BL173" s="3626">
        <f t="shared" si="100"/>
        <v>279.833333333333</v>
      </c>
      <c r="BM173" s="3626">
        <f t="shared" si="101"/>
        <v>223.866666666667</v>
      </c>
      <c r="BN173" s="3626">
        <f t="shared" si="102"/>
        <v>279.833333333333</v>
      </c>
      <c r="BO173" s="4055">
        <f t="shared" si="110"/>
        <v>279.833333333333</v>
      </c>
      <c r="BP173" s="3627">
        <f t="shared" si="111"/>
        <v>279.833333333333</v>
      </c>
      <c r="BQ173" s="3627">
        <f t="shared" si="107"/>
        <v>1679</v>
      </c>
      <c r="BR173" s="3627">
        <f t="shared" si="108"/>
        <v>0</v>
      </c>
      <c r="BS173" s="4056"/>
      <c r="BT173" s="4057"/>
    </row>
    <row r="174" s="3566" customFormat="1" ht="50" customHeight="1" spans="1:83">
      <c r="A174" s="3635">
        <v>45726</v>
      </c>
      <c r="B174" s="4080" t="s">
        <v>2285</v>
      </c>
      <c r="C174" s="3663" t="s">
        <v>351</v>
      </c>
      <c r="D174" s="4077">
        <v>4500159461</v>
      </c>
      <c r="E174" s="3664" t="s">
        <v>3330</v>
      </c>
      <c r="F174" s="4081" t="s">
        <v>3351</v>
      </c>
      <c r="G174" s="959" t="s">
        <v>6643</v>
      </c>
      <c r="H174" s="3618" t="s">
        <v>3517</v>
      </c>
      <c r="I174" s="3618">
        <v>8472</v>
      </c>
      <c r="J174" s="3618">
        <v>0</v>
      </c>
      <c r="K174" s="3618">
        <v>1</v>
      </c>
      <c r="L174" s="4052">
        <f t="shared" si="72"/>
        <v>8472</v>
      </c>
      <c r="M174" s="3619">
        <v>45756</v>
      </c>
      <c r="N174" s="3619">
        <v>45752</v>
      </c>
      <c r="O174" s="3618" t="s">
        <v>3354</v>
      </c>
      <c r="P174" s="959" t="s">
        <v>82</v>
      </c>
      <c r="Q174" s="959"/>
      <c r="R174" s="959"/>
      <c r="S174" s="959"/>
      <c r="T174" s="4053"/>
      <c r="U174" s="3620"/>
      <c r="V174" s="3657" t="s">
        <v>1124</v>
      </c>
      <c r="W174" s="3657"/>
      <c r="X174" s="3657" t="s">
        <v>1099</v>
      </c>
      <c r="Y174" s="3657"/>
      <c r="Z174" s="3661" t="s">
        <v>3346</v>
      </c>
      <c r="AA174" s="3620" t="s">
        <v>3355</v>
      </c>
      <c r="AB174" s="3624" t="s">
        <v>1199</v>
      </c>
      <c r="AC174" s="4058">
        <v>4.4796</v>
      </c>
      <c r="AD174" s="3618">
        <f t="shared" si="105"/>
        <v>37951.1712</v>
      </c>
      <c r="AE174" s="3633"/>
      <c r="AF174" s="959" t="s">
        <v>3520</v>
      </c>
      <c r="AG174" s="3620" t="s">
        <v>416</v>
      </c>
      <c r="AH174" s="3620"/>
      <c r="AI174" s="3620"/>
      <c r="AJ174" s="3620"/>
      <c r="AK174" s="959">
        <f t="shared" si="112"/>
        <v>8472</v>
      </c>
      <c r="AL174" s="959"/>
      <c r="AM174" s="959"/>
      <c r="AN174" s="959"/>
      <c r="AO174" s="959"/>
      <c r="AP174" s="3618">
        <f t="shared" si="106"/>
        <v>8472</v>
      </c>
      <c r="AQ174" s="3618"/>
      <c r="AR174" s="3626"/>
      <c r="AS174" s="3626">
        <f t="shared" si="109"/>
        <v>8472</v>
      </c>
      <c r="AT174" s="3626"/>
      <c r="AU174" s="3626"/>
      <c r="AV174" s="3626"/>
      <c r="AW174" s="3626"/>
      <c r="AX174" s="3626"/>
      <c r="AY174" s="3626"/>
      <c r="AZ174" s="3626"/>
      <c r="BA174" s="3626"/>
      <c r="BB174" s="3626"/>
      <c r="BC174" s="3626"/>
      <c r="BD174" s="3626"/>
      <c r="BE174" s="3626"/>
      <c r="BF174" s="3626"/>
      <c r="BG174" s="3626"/>
      <c r="BH174" s="3626"/>
      <c r="BI174" s="3626" t="s">
        <v>89</v>
      </c>
      <c r="BJ174" s="3626">
        <f t="shared" si="98"/>
        <v>282.4</v>
      </c>
      <c r="BK174" s="3626">
        <f t="shared" si="99"/>
        <v>1412</v>
      </c>
      <c r="BL174" s="3626">
        <f t="shared" si="100"/>
        <v>1412</v>
      </c>
      <c r="BM174" s="3626">
        <f t="shared" si="101"/>
        <v>1129.6</v>
      </c>
      <c r="BN174" s="3626">
        <f t="shared" si="102"/>
        <v>1412</v>
      </c>
      <c r="BO174" s="4055">
        <f t="shared" si="110"/>
        <v>1412</v>
      </c>
      <c r="BP174" s="3627">
        <f t="shared" si="111"/>
        <v>1412</v>
      </c>
      <c r="BQ174" s="3627">
        <f t="shared" si="107"/>
        <v>8472</v>
      </c>
      <c r="BR174" s="3627">
        <f t="shared" si="108"/>
        <v>0</v>
      </c>
      <c r="BS174" s="4056"/>
      <c r="BT174" s="4057"/>
    </row>
    <row r="175" s="3566" customFormat="1" ht="50" customHeight="1" spans="1:83">
      <c r="A175" s="3635">
        <v>45726</v>
      </c>
      <c r="B175" s="4080" t="s">
        <v>2285</v>
      </c>
      <c r="C175" s="3663" t="s">
        <v>351</v>
      </c>
      <c r="D175" s="4077">
        <v>4500159461</v>
      </c>
      <c r="E175" s="3664" t="s">
        <v>3336</v>
      </c>
      <c r="F175" s="4081" t="s">
        <v>3357</v>
      </c>
      <c r="G175" s="959" t="s">
        <v>6643</v>
      </c>
      <c r="H175" s="3618" t="s">
        <v>3517</v>
      </c>
      <c r="I175" s="3618">
        <v>3852</v>
      </c>
      <c r="J175" s="3618">
        <v>0</v>
      </c>
      <c r="K175" s="3618">
        <v>1</v>
      </c>
      <c r="L175" s="4052">
        <f t="shared" si="72"/>
        <v>3852</v>
      </c>
      <c r="M175" s="3619">
        <v>45756</v>
      </c>
      <c r="N175" s="3619">
        <v>45752</v>
      </c>
      <c r="O175" s="3618" t="s">
        <v>3354</v>
      </c>
      <c r="P175" s="959" t="s">
        <v>82</v>
      </c>
      <c r="Q175" s="959"/>
      <c r="R175" s="959"/>
      <c r="S175" s="959"/>
      <c r="T175" s="4053"/>
      <c r="U175" s="3620"/>
      <c r="V175" s="3657" t="s">
        <v>1124</v>
      </c>
      <c r="W175" s="3657"/>
      <c r="X175" s="3657" t="s">
        <v>1099</v>
      </c>
      <c r="Y175" s="3657"/>
      <c r="Z175" s="3661" t="s">
        <v>3346</v>
      </c>
      <c r="AA175" s="3620" t="s">
        <v>3355</v>
      </c>
      <c r="AB175" s="3624" t="s">
        <v>1199</v>
      </c>
      <c r="AC175" s="4058">
        <v>4.4796</v>
      </c>
      <c r="AD175" s="3618">
        <f t="shared" si="105"/>
        <v>17255.4192</v>
      </c>
      <c r="AE175" s="3633"/>
      <c r="AF175" s="959" t="s">
        <v>3520</v>
      </c>
      <c r="AG175" s="3620" t="s">
        <v>416</v>
      </c>
      <c r="AH175" s="3620"/>
      <c r="AI175" s="3620"/>
      <c r="AJ175" s="3620"/>
      <c r="AK175" s="959">
        <f t="shared" si="112"/>
        <v>3852</v>
      </c>
      <c r="AL175" s="959"/>
      <c r="AM175" s="959"/>
      <c r="AN175" s="959"/>
      <c r="AO175" s="959"/>
      <c r="AP175" s="3618">
        <f t="shared" si="106"/>
        <v>3852</v>
      </c>
      <c r="AQ175" s="3618"/>
      <c r="AR175" s="3626"/>
      <c r="AS175" s="3626">
        <f t="shared" si="109"/>
        <v>3852</v>
      </c>
      <c r="AT175" s="3626"/>
      <c r="AU175" s="3626"/>
      <c r="AV175" s="3626"/>
      <c r="AW175" s="3626"/>
      <c r="AX175" s="3626"/>
      <c r="AY175" s="3626"/>
      <c r="AZ175" s="3626"/>
      <c r="BA175" s="3626"/>
      <c r="BB175" s="3626"/>
      <c r="BC175" s="3626"/>
      <c r="BD175" s="3626"/>
      <c r="BE175" s="3626"/>
      <c r="BF175" s="3626"/>
      <c r="BG175" s="3626"/>
      <c r="BH175" s="3626"/>
      <c r="BI175" s="3626" t="s">
        <v>89</v>
      </c>
      <c r="BJ175" s="3626">
        <f t="shared" si="98"/>
        <v>128.4</v>
      </c>
      <c r="BK175" s="3626">
        <f t="shared" si="99"/>
        <v>642</v>
      </c>
      <c r="BL175" s="3626">
        <f t="shared" si="100"/>
        <v>642</v>
      </c>
      <c r="BM175" s="3626">
        <f t="shared" si="101"/>
        <v>513.6</v>
      </c>
      <c r="BN175" s="3626">
        <f t="shared" si="102"/>
        <v>642</v>
      </c>
      <c r="BO175" s="4055">
        <f t="shared" si="110"/>
        <v>642</v>
      </c>
      <c r="BP175" s="3627">
        <f t="shared" si="111"/>
        <v>642</v>
      </c>
      <c r="BQ175" s="3627">
        <f t="shared" si="107"/>
        <v>3852</v>
      </c>
      <c r="BR175" s="3627">
        <f t="shared" si="108"/>
        <v>0</v>
      </c>
      <c r="BS175" s="4056"/>
      <c r="BT175" s="4057"/>
    </row>
    <row r="176" s="4025" customFormat="1" ht="50" customHeight="1" spans="1:83">
      <c r="A176" s="3635">
        <v>45726</v>
      </c>
      <c r="B176" s="3689" t="s">
        <v>2285</v>
      </c>
      <c r="C176" s="3664" t="s">
        <v>351</v>
      </c>
      <c r="D176" s="3690">
        <v>4500159461</v>
      </c>
      <c r="E176" s="3664" t="s">
        <v>3330</v>
      </c>
      <c r="F176" s="4086" t="s">
        <v>3358</v>
      </c>
      <c r="G176" s="3664" t="s">
        <v>6643</v>
      </c>
      <c r="H176" s="3618" t="s">
        <v>3517</v>
      </c>
      <c r="I176" s="3691">
        <v>4872</v>
      </c>
      <c r="J176" s="3691">
        <v>0</v>
      </c>
      <c r="K176" s="3691">
        <v>12</v>
      </c>
      <c r="L176" s="4082">
        <f t="shared" si="72"/>
        <v>406</v>
      </c>
      <c r="M176" s="3659">
        <v>45756</v>
      </c>
      <c r="N176" s="3659">
        <v>45752</v>
      </c>
      <c r="O176" s="3664" t="s">
        <v>3354</v>
      </c>
      <c r="P176" s="3682" t="s">
        <v>82</v>
      </c>
      <c r="Q176" s="3682"/>
      <c r="R176" s="3682"/>
      <c r="S176" s="3682"/>
      <c r="T176" s="4083"/>
      <c r="U176" s="3645" t="s">
        <v>401</v>
      </c>
      <c r="V176" s="3657" t="s">
        <v>1124</v>
      </c>
      <c r="W176" s="3657"/>
      <c r="X176" s="3657" t="s">
        <v>1099</v>
      </c>
      <c r="Y176" s="3657"/>
      <c r="Z176" s="3661" t="s">
        <v>3346</v>
      </c>
      <c r="AA176" s="3620" t="s">
        <v>3355</v>
      </c>
      <c r="AB176" s="3691" t="s">
        <v>1199</v>
      </c>
      <c r="AC176" s="4087">
        <v>4.4796</v>
      </c>
      <c r="AD176" s="3691">
        <f t="shared" si="105"/>
        <v>21824.6112</v>
      </c>
      <c r="AE176" s="3645"/>
      <c r="AF176" s="3664" t="s">
        <v>3356</v>
      </c>
      <c r="AG176" s="3645" t="s">
        <v>416</v>
      </c>
      <c r="AH176" s="4088"/>
      <c r="AI176" s="3645"/>
      <c r="AJ176" s="3645"/>
      <c r="AK176" s="959">
        <f t="shared" si="112"/>
        <v>4872</v>
      </c>
      <c r="AL176" s="959"/>
      <c r="AM176" s="3691"/>
      <c r="AN176" s="3691"/>
      <c r="AO176" s="3664"/>
      <c r="AP176" s="3664"/>
      <c r="AQ176" s="3664"/>
      <c r="AR176" s="3691"/>
      <c r="AS176" s="3691">
        <f t="shared" si="109"/>
        <v>4872</v>
      </c>
      <c r="AT176" s="3691"/>
      <c r="AU176" s="4089"/>
      <c r="AV176" s="4089"/>
      <c r="AW176" s="4089"/>
      <c r="AX176" s="4089"/>
      <c r="AY176" s="4089"/>
      <c r="AZ176" s="4089"/>
      <c r="BA176" s="4089"/>
      <c r="BB176" s="4089"/>
      <c r="BC176" s="4089"/>
      <c r="BD176" s="4089"/>
      <c r="BE176" s="4089"/>
      <c r="BF176" s="4089"/>
      <c r="BG176" s="4089"/>
      <c r="BH176" s="4089"/>
      <c r="BI176" s="3626" t="s">
        <v>89</v>
      </c>
      <c r="BJ176" s="3626">
        <f t="shared" si="98"/>
        <v>162.4</v>
      </c>
      <c r="BK176" s="3626">
        <f t="shared" si="99"/>
        <v>812</v>
      </c>
      <c r="BL176" s="3626">
        <f t="shared" si="100"/>
        <v>812</v>
      </c>
      <c r="BM176" s="3626">
        <f t="shared" si="101"/>
        <v>649.6</v>
      </c>
      <c r="BN176" s="3626">
        <f t="shared" si="102"/>
        <v>812</v>
      </c>
      <c r="BO176" s="4055">
        <f t="shared" si="110"/>
        <v>812</v>
      </c>
      <c r="BP176" s="3627">
        <f t="shared" si="111"/>
        <v>812</v>
      </c>
      <c r="BQ176" s="3627">
        <f t="shared" si="107"/>
        <v>4872</v>
      </c>
      <c r="BR176" s="3627">
        <f t="shared" si="108"/>
        <v>0</v>
      </c>
      <c r="BS176" s="4056"/>
      <c r="BT176" s="4057"/>
      <c r="BU176" s="3566"/>
      <c r="BV176" s="3566"/>
      <c r="BW176" s="3566"/>
      <c r="BX176" s="3566"/>
      <c r="BY176" s="3566"/>
      <c r="BZ176" s="3566"/>
      <c r="CA176" s="3566"/>
      <c r="CB176" s="3566"/>
      <c r="CC176" s="3566"/>
      <c r="CD176" s="3566"/>
      <c r="CE176" s="3566"/>
    </row>
    <row r="177" s="4025" customFormat="1" ht="50" customHeight="1" spans="1:83">
      <c r="A177" s="3635">
        <v>45726</v>
      </c>
      <c r="B177" s="3689" t="s">
        <v>2285</v>
      </c>
      <c r="C177" s="3664" t="s">
        <v>351</v>
      </c>
      <c r="D177" s="3690">
        <v>4500159461</v>
      </c>
      <c r="E177" s="3664" t="s">
        <v>3336</v>
      </c>
      <c r="F177" s="4086" t="s">
        <v>3360</v>
      </c>
      <c r="G177" s="3664" t="s">
        <v>6644</v>
      </c>
      <c r="H177" s="3618" t="s">
        <v>3517</v>
      </c>
      <c r="I177" s="3691">
        <v>1344</v>
      </c>
      <c r="J177" s="3691">
        <v>0</v>
      </c>
      <c r="K177" s="3691">
        <v>12</v>
      </c>
      <c r="L177" s="4082">
        <f t="shared" si="72"/>
        <v>112</v>
      </c>
      <c r="M177" s="3659">
        <v>45756</v>
      </c>
      <c r="N177" s="3659">
        <v>45752</v>
      </c>
      <c r="O177" s="3664" t="s">
        <v>3354</v>
      </c>
      <c r="P177" s="3682" t="s">
        <v>82</v>
      </c>
      <c r="Q177" s="3682"/>
      <c r="R177" s="3682"/>
      <c r="S177" s="3682"/>
      <c r="T177" s="4083"/>
      <c r="U177" s="3645" t="s">
        <v>401</v>
      </c>
      <c r="V177" s="3657" t="s">
        <v>1124</v>
      </c>
      <c r="W177" s="3657"/>
      <c r="X177" s="3657" t="s">
        <v>1099</v>
      </c>
      <c r="Y177" s="3657"/>
      <c r="Z177" s="3661" t="s">
        <v>3346</v>
      </c>
      <c r="AA177" s="3620" t="s">
        <v>3355</v>
      </c>
      <c r="AB177" s="3691" t="s">
        <v>1199</v>
      </c>
      <c r="AC177" s="4087">
        <v>4.4796</v>
      </c>
      <c r="AD177" s="3691">
        <f t="shared" si="105"/>
        <v>6020.5824</v>
      </c>
      <c r="AE177" s="3645"/>
      <c r="AF177" s="3664" t="s">
        <v>3356</v>
      </c>
      <c r="AG177" s="3645" t="s">
        <v>416</v>
      </c>
      <c r="AH177" s="4088"/>
      <c r="AI177" s="3645"/>
      <c r="AJ177" s="3645"/>
      <c r="AK177" s="959">
        <f t="shared" si="112"/>
        <v>1344</v>
      </c>
      <c r="AL177" s="959"/>
      <c r="AM177" s="3691"/>
      <c r="AN177" s="3691"/>
      <c r="AO177" s="3664"/>
      <c r="AP177" s="3664"/>
      <c r="AQ177" s="3664"/>
      <c r="AR177" s="3691"/>
      <c r="AS177" s="3691">
        <f t="shared" si="109"/>
        <v>1344</v>
      </c>
      <c r="AT177" s="3691"/>
      <c r="AU177" s="4089"/>
      <c r="AV177" s="4089"/>
      <c r="AW177" s="4089"/>
      <c r="AX177" s="4089"/>
      <c r="AY177" s="4089"/>
      <c r="AZ177" s="4089"/>
      <c r="BA177" s="4089"/>
      <c r="BB177" s="4089"/>
      <c r="BC177" s="4089"/>
      <c r="BD177" s="4089"/>
      <c r="BE177" s="4089"/>
      <c r="BF177" s="4089"/>
      <c r="BG177" s="4089"/>
      <c r="BH177" s="4089"/>
      <c r="BI177" s="3626" t="s">
        <v>89</v>
      </c>
      <c r="BJ177" s="3626">
        <f t="shared" si="98"/>
        <v>44.8</v>
      </c>
      <c r="BK177" s="3626">
        <f t="shared" si="99"/>
        <v>224</v>
      </c>
      <c r="BL177" s="3626">
        <f t="shared" si="100"/>
        <v>224</v>
      </c>
      <c r="BM177" s="3626">
        <f t="shared" si="101"/>
        <v>179.2</v>
      </c>
      <c r="BN177" s="3626">
        <f t="shared" si="102"/>
        <v>224</v>
      </c>
      <c r="BO177" s="4055">
        <f t="shared" si="110"/>
        <v>224</v>
      </c>
      <c r="BP177" s="3627">
        <f t="shared" si="111"/>
        <v>224</v>
      </c>
      <c r="BQ177" s="3627">
        <f t="shared" si="107"/>
        <v>1344</v>
      </c>
      <c r="BR177" s="3627">
        <f t="shared" si="108"/>
        <v>0</v>
      </c>
      <c r="BS177" s="4056"/>
      <c r="BT177" s="4057"/>
      <c r="BU177" s="3566"/>
      <c r="BV177" s="3566"/>
      <c r="BW177" s="3566"/>
      <c r="BX177" s="3566"/>
      <c r="BY177" s="3566"/>
      <c r="BZ177" s="3566"/>
      <c r="CA177" s="3566"/>
      <c r="CB177" s="3566"/>
      <c r="CC177" s="3566"/>
      <c r="CD177" s="3566"/>
      <c r="CE177" s="3566"/>
    </row>
    <row r="178" s="3566" customFormat="1" ht="50" customHeight="1" spans="1:83">
      <c r="A178" s="3635">
        <v>45695</v>
      </c>
      <c r="B178" s="3617" t="s">
        <v>3672</v>
      </c>
      <c r="C178" s="3617" t="s">
        <v>91</v>
      </c>
      <c r="D178" s="3624">
        <v>4500156513</v>
      </c>
      <c r="E178" s="959">
        <v>32806922</v>
      </c>
      <c r="F178" s="3617" t="s">
        <v>6645</v>
      </c>
      <c r="G178" s="959" t="s">
        <v>6298</v>
      </c>
      <c r="H178" s="3618" t="s">
        <v>6063</v>
      </c>
      <c r="I178" s="3618">
        <v>38252</v>
      </c>
      <c r="J178" s="3618">
        <v>0</v>
      </c>
      <c r="K178" s="3618">
        <v>4</v>
      </c>
      <c r="L178" s="4052">
        <f t="shared" si="72"/>
        <v>9563</v>
      </c>
      <c r="M178" s="3619">
        <v>45764</v>
      </c>
      <c r="N178" s="3619">
        <v>45759</v>
      </c>
      <c r="O178" s="3618"/>
      <c r="P178" s="959" t="s">
        <v>82</v>
      </c>
      <c r="Q178" s="959"/>
      <c r="R178" s="959"/>
      <c r="S178" s="959"/>
      <c r="T178" s="4053"/>
      <c r="U178" s="3620" t="s">
        <v>6646</v>
      </c>
      <c r="V178" s="3640" t="s">
        <v>3221</v>
      </c>
      <c r="W178" s="3640"/>
      <c r="X178" s="3640" t="s">
        <v>6647</v>
      </c>
      <c r="Y178" s="3640" t="s">
        <v>6648</v>
      </c>
      <c r="Z178" s="3618" t="s">
        <v>6649</v>
      </c>
      <c r="AA178" s="3620" t="s">
        <v>6650</v>
      </c>
      <c r="AB178" s="3624" t="s">
        <v>6651</v>
      </c>
      <c r="AC178" s="3618">
        <v>2.378</v>
      </c>
      <c r="AD178" s="3618">
        <f t="shared" si="105"/>
        <v>90963.256</v>
      </c>
      <c r="AE178" s="3633" t="s">
        <v>6652</v>
      </c>
      <c r="AF178" s="959" t="s">
        <v>6298</v>
      </c>
      <c r="AG178" s="3620" t="s">
        <v>416</v>
      </c>
      <c r="AH178" s="3620"/>
      <c r="AI178" s="3620"/>
      <c r="AJ178" s="3620"/>
      <c r="AK178" s="959">
        <f t="shared" si="112"/>
        <v>38252</v>
      </c>
      <c r="AL178" s="959"/>
      <c r="AM178" s="959"/>
      <c r="AN178" s="959"/>
      <c r="AO178" s="959"/>
      <c r="AP178" s="3618">
        <f t="shared" ref="AP178:AP188" si="113">I178</f>
        <v>38252</v>
      </c>
      <c r="AQ178" s="3618"/>
      <c r="AR178" s="3626"/>
      <c r="AS178" s="3626">
        <f t="shared" si="109"/>
        <v>38252</v>
      </c>
      <c r="AT178" s="3626"/>
      <c r="AU178" s="3626"/>
      <c r="AV178" s="3626"/>
      <c r="AW178" s="3626"/>
      <c r="AX178" s="3626"/>
      <c r="AY178" s="3626"/>
      <c r="AZ178" s="3626"/>
      <c r="BA178" s="3626"/>
      <c r="BB178" s="3626"/>
      <c r="BC178" s="3626">
        <f>I178/4</f>
        <v>9563</v>
      </c>
      <c r="BD178" s="3626"/>
      <c r="BE178" s="3626"/>
      <c r="BF178" s="3626"/>
      <c r="BG178" s="3626"/>
      <c r="BH178" s="3626"/>
      <c r="BI178" s="3626" t="s">
        <v>89</v>
      </c>
      <c r="BJ178" s="3626">
        <f t="shared" si="98"/>
        <v>1275.06666666667</v>
      </c>
      <c r="BK178" s="3626">
        <f t="shared" si="99"/>
        <v>6375.33333333333</v>
      </c>
      <c r="BL178" s="3626">
        <f t="shared" si="100"/>
        <v>6375.33333333333</v>
      </c>
      <c r="BM178" s="3626">
        <f t="shared" si="101"/>
        <v>5100.26666666667</v>
      </c>
      <c r="BN178" s="3626">
        <f t="shared" si="102"/>
        <v>6375.33333333333</v>
      </c>
      <c r="BO178" s="4055">
        <f t="shared" si="110"/>
        <v>6375.33333333333</v>
      </c>
      <c r="BP178" s="3627">
        <f t="shared" si="111"/>
        <v>6375.33333333333</v>
      </c>
      <c r="BQ178" s="3627">
        <f t="shared" si="107"/>
        <v>38252</v>
      </c>
      <c r="BR178" s="3627">
        <f t="shared" si="108"/>
        <v>0</v>
      </c>
      <c r="BS178" s="4056"/>
      <c r="BT178" s="4057"/>
    </row>
    <row r="179" s="3566" customFormat="1" ht="50" customHeight="1" spans="1:83">
      <c r="A179" s="3635">
        <v>45723</v>
      </c>
      <c r="B179" s="4080" t="s">
        <v>371</v>
      </c>
      <c r="C179" s="3663" t="s">
        <v>341</v>
      </c>
      <c r="D179" s="4077">
        <v>4500159542</v>
      </c>
      <c r="E179" s="3664" t="s">
        <v>6653</v>
      </c>
      <c r="F179" s="4081" t="s">
        <v>6654</v>
      </c>
      <c r="G179" s="959" t="s">
        <v>6223</v>
      </c>
      <c r="H179" s="959" t="s">
        <v>6272</v>
      </c>
      <c r="I179" s="3618">
        <v>512</v>
      </c>
      <c r="J179" s="3618">
        <v>1</v>
      </c>
      <c r="K179" s="3618">
        <v>32</v>
      </c>
      <c r="L179" s="4052">
        <f t="shared" si="72"/>
        <v>16</v>
      </c>
      <c r="M179" s="3619">
        <v>45765</v>
      </c>
      <c r="N179" s="3619">
        <v>45761</v>
      </c>
      <c r="O179" s="3618"/>
      <c r="P179" s="959" t="s">
        <v>82</v>
      </c>
      <c r="Q179" s="959"/>
      <c r="R179" s="959"/>
      <c r="S179" s="959"/>
      <c r="T179" s="4053"/>
      <c r="U179" s="3645" t="s">
        <v>401</v>
      </c>
      <c r="V179" s="3649" t="s">
        <v>1038</v>
      </c>
      <c r="W179" s="3649"/>
      <c r="X179" s="3649" t="s">
        <v>98</v>
      </c>
      <c r="Y179" s="3640" t="s">
        <v>1040</v>
      </c>
      <c r="Z179" s="3623" t="s">
        <v>6655</v>
      </c>
      <c r="AA179" s="3620" t="s">
        <v>6656</v>
      </c>
      <c r="AB179" s="3624" t="s">
        <v>380</v>
      </c>
      <c r="AC179" s="4058">
        <v>2.3647</v>
      </c>
      <c r="AD179" s="3618">
        <f t="shared" si="105"/>
        <v>1210.7264</v>
      </c>
      <c r="AE179" s="3633" t="s">
        <v>1042</v>
      </c>
      <c r="AF179" s="959" t="s">
        <v>6276</v>
      </c>
      <c r="AG179" s="3620" t="s">
        <v>416</v>
      </c>
      <c r="AH179" s="3620"/>
      <c r="AI179" s="3620"/>
      <c r="AJ179" s="3620"/>
      <c r="AK179" s="959"/>
      <c r="AL179" s="959"/>
      <c r="AM179" s="959">
        <f>I179</f>
        <v>512</v>
      </c>
      <c r="AN179" s="959"/>
      <c r="AO179" s="959"/>
      <c r="AP179" s="3618">
        <f t="shared" si="113"/>
        <v>512</v>
      </c>
      <c r="AQ179" s="3618"/>
      <c r="AR179" s="3626"/>
      <c r="AS179" s="3626">
        <f t="shared" si="109"/>
        <v>512</v>
      </c>
      <c r="AT179" s="3626"/>
      <c r="AU179" s="3626"/>
      <c r="AV179" s="3626"/>
      <c r="AW179" s="3626"/>
      <c r="AX179" s="3626"/>
      <c r="AY179" s="3626"/>
      <c r="AZ179" s="3626"/>
      <c r="BA179" s="3626"/>
      <c r="BB179" s="3626"/>
      <c r="BC179" s="3626"/>
      <c r="BD179" s="3626"/>
      <c r="BE179" s="3626"/>
      <c r="BF179" s="3626"/>
      <c r="BG179" s="3626"/>
      <c r="BH179" s="3626"/>
      <c r="BI179" s="3626" t="s">
        <v>89</v>
      </c>
      <c r="BJ179" s="3626"/>
      <c r="BK179" s="3626"/>
      <c r="BL179" s="3626">
        <f>I179-BJ179</f>
        <v>512</v>
      </c>
      <c r="BM179" s="3626"/>
      <c r="BN179" s="3626"/>
      <c r="BO179" s="4055"/>
      <c r="BP179" s="3627"/>
      <c r="BQ179" s="3627">
        <f t="shared" si="107"/>
        <v>512</v>
      </c>
      <c r="BR179" s="3627">
        <f t="shared" si="108"/>
        <v>0</v>
      </c>
      <c r="BS179" s="4056"/>
      <c r="BT179" s="4057"/>
    </row>
    <row r="180" s="3566" customFormat="1" ht="50" customHeight="1" spans="1:83">
      <c r="A180" s="3635">
        <v>45730</v>
      </c>
      <c r="B180" s="4080" t="s">
        <v>3459</v>
      </c>
      <c r="C180" s="3663" t="s">
        <v>3460</v>
      </c>
      <c r="D180" s="4077">
        <v>4500160421</v>
      </c>
      <c r="E180" s="3664"/>
      <c r="F180" s="4081" t="s">
        <v>6657</v>
      </c>
      <c r="G180" s="959" t="s">
        <v>6124</v>
      </c>
      <c r="H180" s="3618" t="s">
        <v>6063</v>
      </c>
      <c r="I180" s="3618">
        <v>480</v>
      </c>
      <c r="J180" s="3618">
        <v>0</v>
      </c>
      <c r="K180" s="3618">
        <v>12</v>
      </c>
      <c r="L180" s="4052">
        <f t="shared" si="72"/>
        <v>40</v>
      </c>
      <c r="M180" s="3619">
        <v>45768</v>
      </c>
      <c r="N180" s="3619">
        <v>45764</v>
      </c>
      <c r="O180" s="3618"/>
      <c r="P180" s="959" t="s">
        <v>82</v>
      </c>
      <c r="Q180" s="959"/>
      <c r="R180" s="959"/>
      <c r="S180" s="959"/>
      <c r="T180" s="4053"/>
      <c r="U180" s="3645" t="s">
        <v>1062</v>
      </c>
      <c r="V180" s="3657" t="s">
        <v>3462</v>
      </c>
      <c r="W180" s="3657"/>
      <c r="X180" s="3649" t="s">
        <v>3463</v>
      </c>
      <c r="Y180" s="3640"/>
      <c r="Z180" s="3623"/>
      <c r="AA180" s="3620" t="s">
        <v>6658</v>
      </c>
      <c r="AB180" s="3624" t="s">
        <v>459</v>
      </c>
      <c r="AC180" s="3618">
        <v>2.2023</v>
      </c>
      <c r="AD180" s="3618">
        <f t="shared" si="105"/>
        <v>1057.104</v>
      </c>
      <c r="AE180" s="3633" t="s">
        <v>3465</v>
      </c>
      <c r="AF180" s="959" t="s">
        <v>6126</v>
      </c>
      <c r="AG180" s="3620" t="s">
        <v>416</v>
      </c>
      <c r="AH180" s="3620"/>
      <c r="AI180" s="3620"/>
      <c r="AJ180" s="3620"/>
      <c r="AK180" s="959"/>
      <c r="AL180" s="959"/>
      <c r="AM180" s="959">
        <f>I180</f>
        <v>480</v>
      </c>
      <c r="AN180" s="959"/>
      <c r="AO180" s="959"/>
      <c r="AP180" s="3618">
        <f t="shared" si="113"/>
        <v>480</v>
      </c>
      <c r="AQ180" s="3618"/>
      <c r="AR180" s="3626"/>
      <c r="AS180" s="3626">
        <f t="shared" si="109"/>
        <v>480</v>
      </c>
      <c r="AT180" s="3626"/>
      <c r="AU180" s="3626"/>
      <c r="AV180" s="3626"/>
      <c r="AW180" s="3626">
        <f>I180/6</f>
        <v>80</v>
      </c>
      <c r="AX180" s="3626"/>
      <c r="AY180" s="3626"/>
      <c r="AZ180" s="3626"/>
      <c r="BA180" s="3626"/>
      <c r="BB180" s="3626"/>
      <c r="BC180" s="3626"/>
      <c r="BD180" s="3626"/>
      <c r="BE180" s="3626"/>
      <c r="BF180" s="3626"/>
      <c r="BG180" s="3626"/>
      <c r="BH180" s="3626"/>
      <c r="BI180" s="3626" t="s">
        <v>89</v>
      </c>
      <c r="BJ180" s="3626">
        <f t="shared" ref="BJ180:BJ196" si="114">I180/60*2</f>
        <v>16</v>
      </c>
      <c r="BK180" s="3626">
        <f t="shared" ref="BK180:BK196" si="115">I180/60*10</f>
        <v>80</v>
      </c>
      <c r="BL180" s="3626">
        <f t="shared" ref="BL180:BL196" si="116">I180/60*10</f>
        <v>80</v>
      </c>
      <c r="BM180" s="3626">
        <f t="shared" ref="BM180:BM196" si="117">I180/60*8</f>
        <v>64</v>
      </c>
      <c r="BN180" s="3626">
        <f t="shared" ref="BN180:BN196" si="118">I180/60*10</f>
        <v>80</v>
      </c>
      <c r="BO180" s="4055">
        <f t="shared" ref="BO180:BO196" si="119">I180/60*10</f>
        <v>80</v>
      </c>
      <c r="BP180" s="3627">
        <f t="shared" ref="BP180:BP196" si="120">I180/60*10</f>
        <v>80</v>
      </c>
      <c r="BQ180" s="3627">
        <f t="shared" si="107"/>
        <v>480</v>
      </c>
      <c r="BR180" s="3627">
        <f t="shared" si="108"/>
        <v>0</v>
      </c>
      <c r="BS180" s="4056"/>
      <c r="BT180" s="4057"/>
    </row>
    <row r="181" s="3566" customFormat="1" ht="50" customHeight="1" spans="1:83">
      <c r="A181" s="3635">
        <v>45701</v>
      </c>
      <c r="B181" s="3630" t="s">
        <v>387</v>
      </c>
      <c r="C181" s="3617" t="s">
        <v>91</v>
      </c>
      <c r="D181" s="3629">
        <v>4500157203</v>
      </c>
      <c r="E181" s="959">
        <v>70058010</v>
      </c>
      <c r="F181" s="3617" t="s">
        <v>6659</v>
      </c>
      <c r="G181" s="959" t="s">
        <v>3520</v>
      </c>
      <c r="H181" s="3618" t="s">
        <v>6063</v>
      </c>
      <c r="I181" s="3618">
        <v>600</v>
      </c>
      <c r="J181" s="3618">
        <v>0</v>
      </c>
      <c r="K181" s="3618">
        <v>24</v>
      </c>
      <c r="L181" s="4052">
        <f t="shared" si="72"/>
        <v>25</v>
      </c>
      <c r="M181" s="3619">
        <v>45783</v>
      </c>
      <c r="N181" s="3619">
        <v>45779</v>
      </c>
      <c r="O181" s="3618" t="s">
        <v>3551</v>
      </c>
      <c r="P181" s="959" t="s">
        <v>82</v>
      </c>
      <c r="Q181" s="959"/>
      <c r="R181" s="959"/>
      <c r="S181" s="959"/>
      <c r="T181" s="4053"/>
      <c r="U181" s="3645" t="s">
        <v>1134</v>
      </c>
      <c r="V181" s="3649" t="s">
        <v>912</v>
      </c>
      <c r="W181" s="3649"/>
      <c r="X181" s="3649" t="s">
        <v>98</v>
      </c>
      <c r="Y181" s="3657" t="s">
        <v>959</v>
      </c>
      <c r="Z181" s="3623"/>
      <c r="AA181" s="3620" t="s">
        <v>3271</v>
      </c>
      <c r="AB181" s="3624" t="s">
        <v>393</v>
      </c>
      <c r="AC181" s="4058">
        <v>2.2482</v>
      </c>
      <c r="AD181" s="3618">
        <f t="shared" si="105"/>
        <v>1348.92</v>
      </c>
      <c r="AE181" s="3633" t="s">
        <v>3554</v>
      </c>
      <c r="AF181" s="959" t="s">
        <v>3520</v>
      </c>
      <c r="AG181" s="3620" t="s">
        <v>416</v>
      </c>
      <c r="AH181" s="3620"/>
      <c r="AI181" s="3620"/>
      <c r="AJ181" s="3620"/>
      <c r="AK181" s="959">
        <f>I181</f>
        <v>600</v>
      </c>
      <c r="AL181" s="959"/>
      <c r="AM181" s="959"/>
      <c r="AN181" s="959"/>
      <c r="AO181" s="959"/>
      <c r="AP181" s="3618">
        <f t="shared" si="113"/>
        <v>600</v>
      </c>
      <c r="AQ181" s="3618"/>
      <c r="AR181" s="3626"/>
      <c r="AS181" s="3626">
        <f t="shared" si="109"/>
        <v>600</v>
      </c>
      <c r="AT181" s="3626"/>
      <c r="AU181" s="3626"/>
      <c r="AV181" s="3626"/>
      <c r="AW181" s="3626"/>
      <c r="AX181" s="3626"/>
      <c r="AY181" s="3626"/>
      <c r="AZ181" s="3626"/>
      <c r="BA181" s="3626"/>
      <c r="BB181" s="3626"/>
      <c r="BC181" s="3626"/>
      <c r="BD181" s="3626"/>
      <c r="BE181" s="3626"/>
      <c r="BF181" s="3626"/>
      <c r="BG181" s="3626"/>
      <c r="BH181" s="3626"/>
      <c r="BI181" s="3626" t="s">
        <v>89</v>
      </c>
      <c r="BJ181" s="3626">
        <f t="shared" si="114"/>
        <v>20</v>
      </c>
      <c r="BK181" s="3626">
        <f t="shared" si="115"/>
        <v>100</v>
      </c>
      <c r="BL181" s="3626">
        <f t="shared" si="116"/>
        <v>100</v>
      </c>
      <c r="BM181" s="3626">
        <f t="shared" si="117"/>
        <v>80</v>
      </c>
      <c r="BN181" s="3626">
        <f t="shared" si="118"/>
        <v>100</v>
      </c>
      <c r="BO181" s="4055">
        <f t="shared" si="119"/>
        <v>100</v>
      </c>
      <c r="BP181" s="3627">
        <f t="shared" si="120"/>
        <v>100</v>
      </c>
      <c r="BQ181" s="3627">
        <f t="shared" si="107"/>
        <v>600</v>
      </c>
      <c r="BR181" s="3627">
        <f t="shared" si="108"/>
        <v>0</v>
      </c>
      <c r="BS181" s="4056"/>
      <c r="BT181" s="4057"/>
    </row>
    <row r="182" s="3566" customFormat="1" ht="50" customHeight="1" spans="1:83">
      <c r="A182" s="3635">
        <v>45730</v>
      </c>
      <c r="B182" s="4080" t="s">
        <v>6177</v>
      </c>
      <c r="C182" s="3663" t="s">
        <v>506</v>
      </c>
      <c r="D182" s="4077">
        <v>4500160279</v>
      </c>
      <c r="E182" s="3664">
        <v>46365322</v>
      </c>
      <c r="F182" s="4081" t="s">
        <v>6660</v>
      </c>
      <c r="G182" s="959" t="s">
        <v>6179</v>
      </c>
      <c r="H182" s="3618" t="s">
        <v>6063</v>
      </c>
      <c r="I182" s="3618">
        <v>400</v>
      </c>
      <c r="J182" s="3618">
        <v>0</v>
      </c>
      <c r="K182" s="3618">
        <v>2</v>
      </c>
      <c r="L182" s="4052">
        <f t="shared" si="72"/>
        <v>200</v>
      </c>
      <c r="M182" s="3619">
        <v>45767</v>
      </c>
      <c r="N182" s="3619">
        <v>45763</v>
      </c>
      <c r="O182" s="3618" t="s">
        <v>3551</v>
      </c>
      <c r="P182" s="959" t="s">
        <v>82</v>
      </c>
      <c r="Q182" s="959"/>
      <c r="R182" s="959"/>
      <c r="S182" s="959"/>
      <c r="T182" s="4053"/>
      <c r="U182" s="3620" t="s">
        <v>1115</v>
      </c>
      <c r="V182" s="3649" t="s">
        <v>6180</v>
      </c>
      <c r="W182" s="3649"/>
      <c r="X182" s="3649" t="s">
        <v>98</v>
      </c>
      <c r="Y182" s="3640"/>
      <c r="Z182" s="3623"/>
      <c r="AA182" s="3620" t="s">
        <v>6400</v>
      </c>
      <c r="AB182" s="3624" t="s">
        <v>513</v>
      </c>
      <c r="AC182" s="3618">
        <v>2.5234</v>
      </c>
      <c r="AD182" s="3618">
        <f t="shared" si="105"/>
        <v>1009.36</v>
      </c>
      <c r="AE182" s="3633" t="s">
        <v>6661</v>
      </c>
      <c r="AF182" s="959" t="s">
        <v>6179</v>
      </c>
      <c r="AG182" s="3620" t="s">
        <v>416</v>
      </c>
      <c r="AH182" s="3620"/>
      <c r="AI182" s="3620"/>
      <c r="AJ182" s="3620"/>
      <c r="AK182" s="959">
        <f>I182</f>
        <v>400</v>
      </c>
      <c r="AL182" s="959"/>
      <c r="AM182" s="959"/>
      <c r="AN182" s="959"/>
      <c r="AO182" s="959"/>
      <c r="AP182" s="3618">
        <f t="shared" si="113"/>
        <v>400</v>
      </c>
      <c r="AQ182" s="3618"/>
      <c r="AR182" s="3626"/>
      <c r="AS182" s="3626">
        <f t="shared" si="109"/>
        <v>400</v>
      </c>
      <c r="AT182" s="3626"/>
      <c r="AU182" s="3626"/>
      <c r="AV182" s="3626"/>
      <c r="AW182" s="3626"/>
      <c r="AX182" s="3626"/>
      <c r="AY182" s="3626"/>
      <c r="AZ182" s="3626"/>
      <c r="BA182" s="3626"/>
      <c r="BB182" s="3626"/>
      <c r="BC182" s="3626"/>
      <c r="BD182" s="3626"/>
      <c r="BE182" s="3626">
        <f>I182/2</f>
        <v>200</v>
      </c>
      <c r="BF182" s="3626"/>
      <c r="BG182" s="3626"/>
      <c r="BH182" s="3626"/>
      <c r="BI182" s="3626" t="s">
        <v>89</v>
      </c>
      <c r="BJ182" s="3626">
        <f t="shared" si="114"/>
        <v>13.3333333333333</v>
      </c>
      <c r="BK182" s="3626">
        <f t="shared" si="115"/>
        <v>66.6666666666667</v>
      </c>
      <c r="BL182" s="3626">
        <f t="shared" si="116"/>
        <v>66.6666666666667</v>
      </c>
      <c r="BM182" s="3626">
        <f t="shared" si="117"/>
        <v>53.3333333333333</v>
      </c>
      <c r="BN182" s="3626">
        <f t="shared" si="118"/>
        <v>66.6666666666667</v>
      </c>
      <c r="BO182" s="4055">
        <f t="shared" si="119"/>
        <v>66.6666666666667</v>
      </c>
      <c r="BP182" s="3627">
        <f t="shared" si="120"/>
        <v>66.6666666666667</v>
      </c>
      <c r="BQ182" s="3627">
        <f t="shared" si="107"/>
        <v>400</v>
      </c>
      <c r="BR182" s="3627">
        <f t="shared" si="108"/>
        <v>0</v>
      </c>
      <c r="BS182" s="4056"/>
      <c r="BT182" s="4057"/>
    </row>
    <row r="183" s="3566" customFormat="1" ht="50" customHeight="1" spans="1:83">
      <c r="A183" s="3635">
        <v>45730</v>
      </c>
      <c r="B183" s="4080" t="s">
        <v>6177</v>
      </c>
      <c r="C183" s="3663" t="s">
        <v>506</v>
      </c>
      <c r="D183" s="4077">
        <v>4500160279</v>
      </c>
      <c r="E183" s="3664">
        <v>46381115</v>
      </c>
      <c r="F183" s="4081" t="s">
        <v>6662</v>
      </c>
      <c r="G183" s="959" t="s">
        <v>6179</v>
      </c>
      <c r="H183" s="3618" t="s">
        <v>6063</v>
      </c>
      <c r="I183" s="3618">
        <v>600</v>
      </c>
      <c r="J183" s="3618">
        <v>0</v>
      </c>
      <c r="K183" s="3618">
        <v>2</v>
      </c>
      <c r="L183" s="4052">
        <f t="shared" si="72"/>
        <v>300</v>
      </c>
      <c r="M183" s="3619">
        <v>45767</v>
      </c>
      <c r="N183" s="3619">
        <v>45763</v>
      </c>
      <c r="O183" s="3618" t="s">
        <v>3551</v>
      </c>
      <c r="P183" s="959" t="s">
        <v>82</v>
      </c>
      <c r="Q183" s="959"/>
      <c r="R183" s="959"/>
      <c r="S183" s="959"/>
      <c r="T183" s="4053"/>
      <c r="U183" s="3620" t="s">
        <v>1115</v>
      </c>
      <c r="V183" s="3649" t="s">
        <v>6180</v>
      </c>
      <c r="W183" s="3649"/>
      <c r="X183" s="3649" t="s">
        <v>98</v>
      </c>
      <c r="Y183" s="3640"/>
      <c r="Z183" s="3623"/>
      <c r="AA183" s="3620" t="s">
        <v>6400</v>
      </c>
      <c r="AB183" s="3624" t="s">
        <v>513</v>
      </c>
      <c r="AC183" s="3618">
        <v>2.5234</v>
      </c>
      <c r="AD183" s="3618">
        <f t="shared" si="105"/>
        <v>1514.04</v>
      </c>
      <c r="AE183" s="3633" t="s">
        <v>6661</v>
      </c>
      <c r="AF183" s="959" t="s">
        <v>6179</v>
      </c>
      <c r="AG183" s="3620" t="s">
        <v>416</v>
      </c>
      <c r="AH183" s="3620"/>
      <c r="AI183" s="3620"/>
      <c r="AJ183" s="3620"/>
      <c r="AK183" s="959">
        <f>I183</f>
        <v>600</v>
      </c>
      <c r="AL183" s="959"/>
      <c r="AM183" s="959"/>
      <c r="AN183" s="959"/>
      <c r="AO183" s="959"/>
      <c r="AP183" s="3618">
        <f t="shared" si="113"/>
        <v>600</v>
      </c>
      <c r="AQ183" s="3618"/>
      <c r="AR183" s="3626"/>
      <c r="AS183" s="3626">
        <f t="shared" si="109"/>
        <v>600</v>
      </c>
      <c r="AT183" s="3626"/>
      <c r="AU183" s="3626"/>
      <c r="AV183" s="3626"/>
      <c r="AW183" s="3626"/>
      <c r="AX183" s="3626"/>
      <c r="AY183" s="3626"/>
      <c r="AZ183" s="3626"/>
      <c r="BA183" s="3626"/>
      <c r="BB183" s="3626"/>
      <c r="BC183" s="3626"/>
      <c r="BD183" s="3626"/>
      <c r="BE183" s="3626">
        <f>I183/2</f>
        <v>300</v>
      </c>
      <c r="BF183" s="3626"/>
      <c r="BG183" s="3626"/>
      <c r="BH183" s="3626"/>
      <c r="BI183" s="3626" t="s">
        <v>89</v>
      </c>
      <c r="BJ183" s="3626">
        <f t="shared" si="114"/>
        <v>20</v>
      </c>
      <c r="BK183" s="3626">
        <f t="shared" si="115"/>
        <v>100</v>
      </c>
      <c r="BL183" s="3626">
        <f t="shared" si="116"/>
        <v>100</v>
      </c>
      <c r="BM183" s="3626">
        <f t="shared" si="117"/>
        <v>80</v>
      </c>
      <c r="BN183" s="3626">
        <f t="shared" si="118"/>
        <v>100</v>
      </c>
      <c r="BO183" s="4055">
        <f t="shared" si="119"/>
        <v>100</v>
      </c>
      <c r="BP183" s="3627">
        <f t="shared" si="120"/>
        <v>100</v>
      </c>
      <c r="BQ183" s="3627">
        <f t="shared" si="107"/>
        <v>600</v>
      </c>
      <c r="BR183" s="3627">
        <f t="shared" si="108"/>
        <v>0</v>
      </c>
      <c r="BS183" s="4056"/>
      <c r="BT183" s="4057"/>
    </row>
    <row r="184" s="3566" customFormat="1" ht="50" customHeight="1" spans="1:83">
      <c r="A184" s="3635">
        <v>45730</v>
      </c>
      <c r="B184" s="4080" t="s">
        <v>6177</v>
      </c>
      <c r="C184" s="3663" t="s">
        <v>506</v>
      </c>
      <c r="D184" s="4077">
        <v>4500160279</v>
      </c>
      <c r="E184" s="3664">
        <v>46365245</v>
      </c>
      <c r="F184" s="4081" t="s">
        <v>6663</v>
      </c>
      <c r="G184" s="959" t="s">
        <v>6179</v>
      </c>
      <c r="H184" s="3618" t="s">
        <v>6063</v>
      </c>
      <c r="I184" s="3618">
        <v>1000</v>
      </c>
      <c r="J184" s="3618">
        <v>0</v>
      </c>
      <c r="K184" s="3618">
        <v>2</v>
      </c>
      <c r="L184" s="4052">
        <f t="shared" ref="L184:L247" si="121">I184/K184</f>
        <v>500</v>
      </c>
      <c r="M184" s="3619">
        <v>45767</v>
      </c>
      <c r="N184" s="3619">
        <v>45763</v>
      </c>
      <c r="O184" s="3618" t="s">
        <v>3551</v>
      </c>
      <c r="P184" s="959" t="s">
        <v>82</v>
      </c>
      <c r="Q184" s="959"/>
      <c r="R184" s="959"/>
      <c r="S184" s="959"/>
      <c r="T184" s="4053"/>
      <c r="U184" s="3620" t="s">
        <v>1115</v>
      </c>
      <c r="V184" s="3649" t="s">
        <v>6180</v>
      </c>
      <c r="W184" s="3649"/>
      <c r="X184" s="3649" t="s">
        <v>98</v>
      </c>
      <c r="Y184" s="3640"/>
      <c r="Z184" s="3623"/>
      <c r="AA184" s="3620" t="s">
        <v>6400</v>
      </c>
      <c r="AB184" s="3624" t="s">
        <v>513</v>
      </c>
      <c r="AC184" s="3618">
        <v>2.5234</v>
      </c>
      <c r="AD184" s="3618">
        <f t="shared" si="105"/>
        <v>2523.4</v>
      </c>
      <c r="AE184" s="3633" t="s">
        <v>6661</v>
      </c>
      <c r="AF184" s="959" t="s">
        <v>6179</v>
      </c>
      <c r="AG184" s="3620" t="s">
        <v>416</v>
      </c>
      <c r="AH184" s="3620"/>
      <c r="AI184" s="3620"/>
      <c r="AJ184" s="3620"/>
      <c r="AK184" s="959">
        <f>I184</f>
        <v>1000</v>
      </c>
      <c r="AL184" s="959"/>
      <c r="AM184" s="959"/>
      <c r="AN184" s="959"/>
      <c r="AO184" s="959"/>
      <c r="AP184" s="3618">
        <f t="shared" si="113"/>
        <v>1000</v>
      </c>
      <c r="AQ184" s="3618"/>
      <c r="AR184" s="3626"/>
      <c r="AS184" s="3626">
        <f t="shared" si="109"/>
        <v>1000</v>
      </c>
      <c r="AT184" s="3626"/>
      <c r="AU184" s="3626"/>
      <c r="AV184" s="3626"/>
      <c r="AW184" s="3626"/>
      <c r="AX184" s="3626"/>
      <c r="AY184" s="3626"/>
      <c r="AZ184" s="3626"/>
      <c r="BA184" s="3626"/>
      <c r="BB184" s="3626"/>
      <c r="BC184" s="3626"/>
      <c r="BD184" s="3626"/>
      <c r="BE184" s="3626">
        <f>I184/2</f>
        <v>500</v>
      </c>
      <c r="BF184" s="3626"/>
      <c r="BG184" s="3626"/>
      <c r="BH184" s="3626"/>
      <c r="BI184" s="3626" t="s">
        <v>89</v>
      </c>
      <c r="BJ184" s="3626">
        <f t="shared" si="114"/>
        <v>33.3333333333333</v>
      </c>
      <c r="BK184" s="3626">
        <f t="shared" si="115"/>
        <v>166.666666666667</v>
      </c>
      <c r="BL184" s="3626">
        <f t="shared" si="116"/>
        <v>166.666666666667</v>
      </c>
      <c r="BM184" s="3626">
        <f t="shared" si="117"/>
        <v>133.333333333333</v>
      </c>
      <c r="BN184" s="3626">
        <f t="shared" si="118"/>
        <v>166.666666666667</v>
      </c>
      <c r="BO184" s="4055">
        <f t="shared" si="119"/>
        <v>166.666666666667</v>
      </c>
      <c r="BP184" s="3627">
        <f t="shared" si="120"/>
        <v>166.666666666667</v>
      </c>
      <c r="BQ184" s="3627">
        <f t="shared" si="107"/>
        <v>1000</v>
      </c>
      <c r="BR184" s="3627">
        <f t="shared" si="108"/>
        <v>0</v>
      </c>
      <c r="BS184" s="4056"/>
      <c r="BT184" s="4057"/>
    </row>
    <row r="185" s="3566" customFormat="1" ht="50" customHeight="1" spans="1:83">
      <c r="A185" s="3635">
        <v>45729</v>
      </c>
      <c r="B185" s="4080" t="s">
        <v>2697</v>
      </c>
      <c r="C185" s="3663" t="s">
        <v>2698</v>
      </c>
      <c r="D185" s="4077">
        <v>4500159880</v>
      </c>
      <c r="E185" s="3664">
        <v>84060</v>
      </c>
      <c r="F185" s="4081" t="s">
        <v>6664</v>
      </c>
      <c r="G185" s="959" t="s">
        <v>6108</v>
      </c>
      <c r="H185" s="3618" t="s">
        <v>6063</v>
      </c>
      <c r="I185" s="3618">
        <v>5004</v>
      </c>
      <c r="J185" s="3618">
        <v>0</v>
      </c>
      <c r="K185" s="3618">
        <v>12</v>
      </c>
      <c r="L185" s="4052">
        <f t="shared" si="121"/>
        <v>417</v>
      </c>
      <c r="M185" s="3619">
        <v>45771</v>
      </c>
      <c r="N185" s="3619">
        <v>45767</v>
      </c>
      <c r="O185" s="3618"/>
      <c r="P185" s="959" t="s">
        <v>82</v>
      </c>
      <c r="Q185" s="959"/>
      <c r="R185" s="959"/>
      <c r="S185" s="959"/>
      <c r="T185" s="4053"/>
      <c r="U185" s="3620" t="s">
        <v>6665</v>
      </c>
      <c r="V185" s="3649" t="s">
        <v>3558</v>
      </c>
      <c r="W185" s="3649"/>
      <c r="X185" s="3649" t="s">
        <v>6666</v>
      </c>
      <c r="Y185" s="3640"/>
      <c r="Z185" s="959" t="s">
        <v>6667</v>
      </c>
      <c r="AA185" s="3620" t="s">
        <v>6668</v>
      </c>
      <c r="AB185" s="3624" t="s">
        <v>559</v>
      </c>
      <c r="AC185" s="4058">
        <v>2.2199</v>
      </c>
      <c r="AD185" s="3618">
        <f t="shared" si="105"/>
        <v>11108.3796</v>
      </c>
      <c r="AE185" s="3633" t="s">
        <v>6669</v>
      </c>
      <c r="AF185" s="959" t="s">
        <v>6108</v>
      </c>
      <c r="AG185" s="3620" t="s">
        <v>6670</v>
      </c>
      <c r="AH185" s="3620"/>
      <c r="AI185" s="3620"/>
      <c r="AJ185" s="3620"/>
      <c r="AK185" s="959">
        <f>I185</f>
        <v>5004</v>
      </c>
      <c r="AL185" s="959"/>
      <c r="AM185" s="959"/>
      <c r="AN185" s="959"/>
      <c r="AO185" s="959"/>
      <c r="AP185" s="3618">
        <f t="shared" si="113"/>
        <v>5004</v>
      </c>
      <c r="AQ185" s="3618"/>
      <c r="AR185" s="3626"/>
      <c r="AS185" s="3626"/>
      <c r="AT185" s="3626"/>
      <c r="AU185" s="3626">
        <f>I185</f>
        <v>5004</v>
      </c>
      <c r="AV185" s="3626"/>
      <c r="AW185" s="3626">
        <f>I185/6</f>
        <v>834</v>
      </c>
      <c r="AX185" s="3626"/>
      <c r="AY185" s="3626"/>
      <c r="AZ185" s="3626"/>
      <c r="BA185" s="3626"/>
      <c r="BB185" s="3626"/>
      <c r="BC185" s="3626"/>
      <c r="BD185" s="3626"/>
      <c r="BE185" s="3626"/>
      <c r="BF185" s="3626"/>
      <c r="BG185" s="3626"/>
      <c r="BH185" s="3626"/>
      <c r="BI185" s="3626" t="s">
        <v>89</v>
      </c>
      <c r="BJ185" s="3626">
        <f t="shared" si="114"/>
        <v>166.8</v>
      </c>
      <c r="BK185" s="3626">
        <f t="shared" si="115"/>
        <v>834</v>
      </c>
      <c r="BL185" s="3626">
        <f t="shared" si="116"/>
        <v>834</v>
      </c>
      <c r="BM185" s="3626">
        <f t="shared" si="117"/>
        <v>667.2</v>
      </c>
      <c r="BN185" s="3626">
        <f t="shared" si="118"/>
        <v>834</v>
      </c>
      <c r="BO185" s="4055">
        <f t="shared" si="119"/>
        <v>834</v>
      </c>
      <c r="BP185" s="3627">
        <f t="shared" si="120"/>
        <v>834</v>
      </c>
      <c r="BQ185" s="3627">
        <f t="shared" si="107"/>
        <v>5004</v>
      </c>
      <c r="BR185" s="3627">
        <f t="shared" si="108"/>
        <v>0</v>
      </c>
      <c r="BS185" s="4056"/>
      <c r="BT185" s="4057"/>
    </row>
    <row r="186" s="3566" customFormat="1" ht="50" customHeight="1" spans="1:83">
      <c r="A186" s="3635">
        <v>45734</v>
      </c>
      <c r="B186" s="4080" t="s">
        <v>6671</v>
      </c>
      <c r="C186" s="3663" t="s">
        <v>471</v>
      </c>
      <c r="D186" s="4077">
        <v>4500160238</v>
      </c>
      <c r="E186" s="3664">
        <v>4400471467</v>
      </c>
      <c r="F186" s="4081" t="s">
        <v>6672</v>
      </c>
      <c r="G186" s="959" t="s">
        <v>6124</v>
      </c>
      <c r="H186" s="3618" t="s">
        <v>6063</v>
      </c>
      <c r="I186" s="3618">
        <v>3000</v>
      </c>
      <c r="J186" s="3618">
        <v>0</v>
      </c>
      <c r="K186" s="3618">
        <v>12</v>
      </c>
      <c r="L186" s="4052">
        <f t="shared" si="121"/>
        <v>250</v>
      </c>
      <c r="M186" s="3619">
        <v>45772</v>
      </c>
      <c r="N186" s="3619">
        <v>45768</v>
      </c>
      <c r="O186" s="3618"/>
      <c r="P186" s="959" t="s">
        <v>82</v>
      </c>
      <c r="Q186" s="959"/>
      <c r="R186" s="959"/>
      <c r="S186" s="959"/>
      <c r="T186" s="4053"/>
      <c r="U186" s="3620" t="s">
        <v>1054</v>
      </c>
      <c r="V186" s="3649" t="s">
        <v>1012</v>
      </c>
      <c r="W186" s="3649"/>
      <c r="X186" s="3649" t="s">
        <v>6673</v>
      </c>
      <c r="Y186" s="3649"/>
      <c r="Z186" s="3661"/>
      <c r="AA186" s="3620" t="s">
        <v>6674</v>
      </c>
      <c r="AB186" s="3624" t="s">
        <v>2624</v>
      </c>
      <c r="AC186" s="4058">
        <v>2.2504</v>
      </c>
      <c r="AD186" s="3618">
        <f t="shared" si="105"/>
        <v>6751.2</v>
      </c>
      <c r="AE186" s="3633" t="s">
        <v>6675</v>
      </c>
      <c r="AF186" s="959" t="s">
        <v>6126</v>
      </c>
      <c r="AG186" s="3620" t="s">
        <v>416</v>
      </c>
      <c r="AH186" s="3620"/>
      <c r="AI186" s="3620"/>
      <c r="AJ186" s="3620"/>
      <c r="AK186" s="959"/>
      <c r="AL186" s="959"/>
      <c r="AM186" s="959">
        <f>I186</f>
        <v>3000</v>
      </c>
      <c r="AN186" s="959"/>
      <c r="AO186" s="959"/>
      <c r="AP186" s="3618">
        <f t="shared" si="113"/>
        <v>3000</v>
      </c>
      <c r="AQ186" s="3618"/>
      <c r="AR186" s="3626"/>
      <c r="AS186" s="3626">
        <f>I186</f>
        <v>3000</v>
      </c>
      <c r="AT186" s="3626"/>
      <c r="AU186" s="3626"/>
      <c r="AV186" s="3626"/>
      <c r="AW186" s="3626">
        <f>I186/6</f>
        <v>500</v>
      </c>
      <c r="AX186" s="3626"/>
      <c r="AY186" s="3626"/>
      <c r="AZ186" s="3626"/>
      <c r="BA186" s="3626"/>
      <c r="BB186" s="3626"/>
      <c r="BC186" s="3626"/>
      <c r="BD186" s="3626"/>
      <c r="BE186" s="3626"/>
      <c r="BF186" s="3626"/>
      <c r="BG186" s="3626"/>
      <c r="BH186" s="3626"/>
      <c r="BI186" s="3626" t="s">
        <v>89</v>
      </c>
      <c r="BJ186" s="3626">
        <f t="shared" si="114"/>
        <v>100</v>
      </c>
      <c r="BK186" s="3626">
        <f t="shared" si="115"/>
        <v>500</v>
      </c>
      <c r="BL186" s="3626">
        <f t="shared" si="116"/>
        <v>500</v>
      </c>
      <c r="BM186" s="3626">
        <f t="shared" si="117"/>
        <v>400</v>
      </c>
      <c r="BN186" s="3626">
        <f t="shared" si="118"/>
        <v>500</v>
      </c>
      <c r="BO186" s="4055">
        <f t="shared" si="119"/>
        <v>500</v>
      </c>
      <c r="BP186" s="3627">
        <f t="shared" si="120"/>
        <v>500</v>
      </c>
      <c r="BQ186" s="3627">
        <f t="shared" si="107"/>
        <v>3000</v>
      </c>
      <c r="BR186" s="3627">
        <f t="shared" si="108"/>
        <v>0</v>
      </c>
      <c r="BS186" s="4056"/>
      <c r="BT186" s="4057"/>
    </row>
    <row r="187" s="3566" customFormat="1" ht="50" customHeight="1" spans="1:83">
      <c r="A187" s="3635">
        <v>45736</v>
      </c>
      <c r="B187" s="4080" t="s">
        <v>2914</v>
      </c>
      <c r="C187" s="3663" t="s">
        <v>341</v>
      </c>
      <c r="D187" s="4077">
        <v>4500160901</v>
      </c>
      <c r="E187" s="3664" t="s">
        <v>3477</v>
      </c>
      <c r="F187" s="4081" t="s">
        <v>6676</v>
      </c>
      <c r="G187" s="959" t="s">
        <v>6116</v>
      </c>
      <c r="H187" s="3618" t="s">
        <v>6063</v>
      </c>
      <c r="I187" s="3618">
        <v>1504</v>
      </c>
      <c r="J187" s="3618">
        <v>0</v>
      </c>
      <c r="K187" s="3618">
        <v>16</v>
      </c>
      <c r="L187" s="4052">
        <f t="shared" si="121"/>
        <v>94</v>
      </c>
      <c r="M187" s="3619">
        <v>45772</v>
      </c>
      <c r="N187" s="3619">
        <v>45768</v>
      </c>
      <c r="O187" s="3618"/>
      <c r="P187" s="959" t="s">
        <v>82</v>
      </c>
      <c r="Q187" s="959"/>
      <c r="R187" s="959"/>
      <c r="S187" s="959"/>
      <c r="T187" s="4053"/>
      <c r="U187" s="3657" t="s">
        <v>1054</v>
      </c>
      <c r="V187" s="3649" t="s">
        <v>1147</v>
      </c>
      <c r="W187" s="3649"/>
      <c r="X187" s="3649" t="s">
        <v>6677</v>
      </c>
      <c r="Y187" s="3649"/>
      <c r="Z187" s="3661"/>
      <c r="AA187" s="3620" t="s">
        <v>6678</v>
      </c>
      <c r="AB187" s="3624" t="s">
        <v>87</v>
      </c>
      <c r="AC187" s="4058">
        <v>2.3189</v>
      </c>
      <c r="AD187" s="3618">
        <f t="shared" si="105"/>
        <v>3487.6256</v>
      </c>
      <c r="AE187" s="3633" t="s">
        <v>6679</v>
      </c>
      <c r="AF187" s="959" t="s">
        <v>6122</v>
      </c>
      <c r="AG187" s="3620" t="s">
        <v>6670</v>
      </c>
      <c r="AH187" s="3620"/>
      <c r="AI187" s="3620"/>
      <c r="AJ187" s="3620"/>
      <c r="AK187" s="959">
        <f>I187</f>
        <v>1504</v>
      </c>
      <c r="AL187" s="959"/>
      <c r="AM187" s="959"/>
      <c r="AN187" s="959"/>
      <c r="AO187" s="959"/>
      <c r="AP187" s="3618">
        <v>992</v>
      </c>
      <c r="AQ187" s="3618"/>
      <c r="AR187" s="3626"/>
      <c r="AS187" s="3626">
        <f>I187</f>
        <v>1504</v>
      </c>
      <c r="AT187" s="3626"/>
      <c r="AU187" s="3626"/>
      <c r="AV187" s="3626"/>
      <c r="AW187" s="3626"/>
      <c r="AX187" s="3626"/>
      <c r="AY187" s="3626"/>
      <c r="AZ187" s="3626"/>
      <c r="BA187" s="3626"/>
      <c r="BB187" s="3626"/>
      <c r="BC187" s="3626">
        <f>I187/4</f>
        <v>376</v>
      </c>
      <c r="BD187" s="3626"/>
      <c r="BE187" s="3626"/>
      <c r="BF187" s="3626"/>
      <c r="BG187" s="3626"/>
      <c r="BH187" s="3626"/>
      <c r="BI187" s="3626" t="s">
        <v>89</v>
      </c>
      <c r="BJ187" s="3626">
        <f t="shared" si="114"/>
        <v>50.1333333333333</v>
      </c>
      <c r="BK187" s="3626">
        <f t="shared" si="115"/>
        <v>250.666666666667</v>
      </c>
      <c r="BL187" s="3626">
        <f t="shared" si="116"/>
        <v>250.666666666667</v>
      </c>
      <c r="BM187" s="3626">
        <f t="shared" si="117"/>
        <v>200.533333333333</v>
      </c>
      <c r="BN187" s="3626">
        <f t="shared" si="118"/>
        <v>250.666666666667</v>
      </c>
      <c r="BO187" s="4055">
        <f t="shared" si="119"/>
        <v>250.666666666667</v>
      </c>
      <c r="BP187" s="3627">
        <f t="shared" si="120"/>
        <v>250.666666666667</v>
      </c>
      <c r="BQ187" s="3627">
        <f t="shared" si="107"/>
        <v>1504</v>
      </c>
      <c r="BR187" s="3627">
        <f t="shared" si="108"/>
        <v>0</v>
      </c>
      <c r="BS187" s="4056"/>
      <c r="BT187" s="4057"/>
    </row>
    <row r="188" s="3566" customFormat="1" ht="50" customHeight="1" spans="1:83">
      <c r="A188" s="3635">
        <v>45736</v>
      </c>
      <c r="B188" s="4080" t="s">
        <v>2914</v>
      </c>
      <c r="C188" s="3663" t="s">
        <v>341</v>
      </c>
      <c r="D188" s="4077">
        <v>4500160901</v>
      </c>
      <c r="E188" s="3664" t="s">
        <v>3482</v>
      </c>
      <c r="F188" s="4081" t="s">
        <v>6680</v>
      </c>
      <c r="G188" s="959" t="s">
        <v>6116</v>
      </c>
      <c r="H188" s="3618" t="s">
        <v>6063</v>
      </c>
      <c r="I188" s="3618">
        <v>1504</v>
      </c>
      <c r="J188" s="3618">
        <v>0</v>
      </c>
      <c r="K188" s="3618">
        <v>16</v>
      </c>
      <c r="L188" s="4052">
        <f t="shared" si="121"/>
        <v>94</v>
      </c>
      <c r="M188" s="3619">
        <v>45772</v>
      </c>
      <c r="N188" s="3619">
        <v>45768</v>
      </c>
      <c r="O188" s="3618"/>
      <c r="P188" s="959" t="s">
        <v>82</v>
      </c>
      <c r="Q188" s="959"/>
      <c r="R188" s="959"/>
      <c r="S188" s="959"/>
      <c r="T188" s="4053"/>
      <c r="U188" s="3657" t="s">
        <v>1054</v>
      </c>
      <c r="V188" s="3649" t="s">
        <v>1147</v>
      </c>
      <c r="W188" s="3649"/>
      <c r="X188" s="3649" t="s">
        <v>6677</v>
      </c>
      <c r="Y188" s="3649"/>
      <c r="Z188" s="3661"/>
      <c r="AA188" s="3620" t="s">
        <v>6678</v>
      </c>
      <c r="AB188" s="3624" t="s">
        <v>87</v>
      </c>
      <c r="AC188" s="4058">
        <v>2.3189</v>
      </c>
      <c r="AD188" s="3618">
        <f t="shared" si="105"/>
        <v>3487.6256</v>
      </c>
      <c r="AE188" s="3633" t="s">
        <v>6679</v>
      </c>
      <c r="AF188" s="959" t="s">
        <v>6122</v>
      </c>
      <c r="AG188" s="3620" t="s">
        <v>6670</v>
      </c>
      <c r="AH188" s="3620"/>
      <c r="AI188" s="3620"/>
      <c r="AJ188" s="3620"/>
      <c r="AK188" s="959">
        <f>I188</f>
        <v>1504</v>
      </c>
      <c r="AL188" s="959"/>
      <c r="AM188" s="959"/>
      <c r="AN188" s="959"/>
      <c r="AO188" s="959"/>
      <c r="AP188" s="3618">
        <v>992</v>
      </c>
      <c r="AQ188" s="3618"/>
      <c r="AR188" s="3626"/>
      <c r="AS188" s="3626">
        <f>I188</f>
        <v>1504</v>
      </c>
      <c r="AT188" s="3626"/>
      <c r="AU188" s="3626"/>
      <c r="AV188" s="3626"/>
      <c r="AW188" s="3626"/>
      <c r="AX188" s="3626"/>
      <c r="AY188" s="3626"/>
      <c r="AZ188" s="3626"/>
      <c r="BA188" s="3626"/>
      <c r="BB188" s="3626"/>
      <c r="BC188" s="3626">
        <f>I188/4</f>
        <v>376</v>
      </c>
      <c r="BD188" s="3626"/>
      <c r="BE188" s="3626"/>
      <c r="BF188" s="3626"/>
      <c r="BG188" s="3626"/>
      <c r="BH188" s="3626"/>
      <c r="BI188" s="3626" t="s">
        <v>89</v>
      </c>
      <c r="BJ188" s="3626">
        <f t="shared" si="114"/>
        <v>50.1333333333333</v>
      </c>
      <c r="BK188" s="3626">
        <f t="shared" si="115"/>
        <v>250.666666666667</v>
      </c>
      <c r="BL188" s="3626">
        <f t="shared" si="116"/>
        <v>250.666666666667</v>
      </c>
      <c r="BM188" s="3626">
        <f t="shared" si="117"/>
        <v>200.533333333333</v>
      </c>
      <c r="BN188" s="3626">
        <f t="shared" si="118"/>
        <v>250.666666666667</v>
      </c>
      <c r="BO188" s="4055">
        <f t="shared" si="119"/>
        <v>250.666666666667</v>
      </c>
      <c r="BP188" s="3627">
        <f t="shared" si="120"/>
        <v>250.666666666667</v>
      </c>
      <c r="BQ188" s="3627">
        <f t="shared" si="107"/>
        <v>1504</v>
      </c>
      <c r="BR188" s="3627">
        <f t="shared" si="108"/>
        <v>0</v>
      </c>
      <c r="BS188" s="4056"/>
      <c r="BT188" s="4057"/>
    </row>
    <row r="189" s="3566" customFormat="1" ht="50" customHeight="1" spans="1:83">
      <c r="A189" s="3635">
        <v>45736</v>
      </c>
      <c r="B189" s="4080" t="s">
        <v>2914</v>
      </c>
      <c r="C189" s="3663" t="s">
        <v>341</v>
      </c>
      <c r="D189" s="4077">
        <v>4500160901</v>
      </c>
      <c r="E189" s="3664" t="s">
        <v>3484</v>
      </c>
      <c r="F189" s="4081" t="s">
        <v>6681</v>
      </c>
      <c r="G189" s="959" t="s">
        <v>6116</v>
      </c>
      <c r="H189" s="3618" t="s">
        <v>6063</v>
      </c>
      <c r="I189" s="3618">
        <v>1504</v>
      </c>
      <c r="J189" s="3618">
        <v>0</v>
      </c>
      <c r="K189" s="3618">
        <v>16</v>
      </c>
      <c r="L189" s="4052">
        <f t="shared" si="121"/>
        <v>94</v>
      </c>
      <c r="M189" s="3619">
        <v>45772</v>
      </c>
      <c r="N189" s="3619">
        <v>45768</v>
      </c>
      <c r="O189" s="3618"/>
      <c r="P189" s="959" t="s">
        <v>82</v>
      </c>
      <c r="Q189" s="959"/>
      <c r="R189" s="959"/>
      <c r="S189" s="959"/>
      <c r="T189" s="4053"/>
      <c r="U189" s="3657" t="s">
        <v>1054</v>
      </c>
      <c r="V189" s="3649" t="s">
        <v>1147</v>
      </c>
      <c r="W189" s="3649"/>
      <c r="X189" s="3649" t="s">
        <v>6677</v>
      </c>
      <c r="Y189" s="3649"/>
      <c r="Z189" s="3661"/>
      <c r="AA189" s="3620" t="s">
        <v>6678</v>
      </c>
      <c r="AB189" s="3624" t="s">
        <v>87</v>
      </c>
      <c r="AC189" s="4058">
        <v>2.3189</v>
      </c>
      <c r="AD189" s="3618">
        <f t="shared" si="105"/>
        <v>3487.6256</v>
      </c>
      <c r="AE189" s="3633" t="s">
        <v>6679</v>
      </c>
      <c r="AF189" s="959" t="s">
        <v>6122</v>
      </c>
      <c r="AG189" s="3620" t="s">
        <v>6670</v>
      </c>
      <c r="AH189" s="3620"/>
      <c r="AI189" s="3620"/>
      <c r="AJ189" s="3620"/>
      <c r="AK189" s="959">
        <f>I189</f>
        <v>1504</v>
      </c>
      <c r="AL189" s="959"/>
      <c r="AM189" s="959"/>
      <c r="AN189" s="959"/>
      <c r="AO189" s="959"/>
      <c r="AP189" s="3618">
        <v>992</v>
      </c>
      <c r="AQ189" s="3618"/>
      <c r="AR189" s="3626"/>
      <c r="AS189" s="3626">
        <f>I189</f>
        <v>1504</v>
      </c>
      <c r="AT189" s="3626"/>
      <c r="AU189" s="3626"/>
      <c r="AV189" s="3626"/>
      <c r="AW189" s="3626"/>
      <c r="AX189" s="3626"/>
      <c r="AY189" s="3626"/>
      <c r="AZ189" s="3626"/>
      <c r="BA189" s="3626"/>
      <c r="BB189" s="3626"/>
      <c r="BC189" s="3626">
        <f>I189/4</f>
        <v>376</v>
      </c>
      <c r="BD189" s="3626"/>
      <c r="BE189" s="3626"/>
      <c r="BF189" s="3626"/>
      <c r="BG189" s="3626"/>
      <c r="BH189" s="3626"/>
      <c r="BI189" s="3626" t="s">
        <v>89</v>
      </c>
      <c r="BJ189" s="3626">
        <f t="shared" si="114"/>
        <v>50.1333333333333</v>
      </c>
      <c r="BK189" s="3626">
        <f t="shared" si="115"/>
        <v>250.666666666667</v>
      </c>
      <c r="BL189" s="3626">
        <f t="shared" si="116"/>
        <v>250.666666666667</v>
      </c>
      <c r="BM189" s="3626">
        <f t="shared" si="117"/>
        <v>200.533333333333</v>
      </c>
      <c r="BN189" s="3626">
        <f t="shared" si="118"/>
        <v>250.666666666667</v>
      </c>
      <c r="BO189" s="4055">
        <f t="shared" si="119"/>
        <v>250.666666666667</v>
      </c>
      <c r="BP189" s="3627">
        <f t="shared" si="120"/>
        <v>250.666666666667</v>
      </c>
      <c r="BQ189" s="3627">
        <f t="shared" si="107"/>
        <v>1504</v>
      </c>
      <c r="BR189" s="3627">
        <f t="shared" si="108"/>
        <v>0</v>
      </c>
      <c r="BS189" s="4056"/>
      <c r="BT189" s="4057"/>
    </row>
    <row r="190" s="3566" customFormat="1" ht="50" customHeight="1" spans="1:83">
      <c r="A190" s="3635">
        <v>45747</v>
      </c>
      <c r="B190" s="4080" t="s">
        <v>6682</v>
      </c>
      <c r="C190" s="3663" t="s">
        <v>396</v>
      </c>
      <c r="D190" s="4077">
        <v>4500161864</v>
      </c>
      <c r="E190" s="3664">
        <v>9900926911</v>
      </c>
      <c r="F190" s="4081" t="s">
        <v>6683</v>
      </c>
      <c r="G190" s="959" t="s">
        <v>6684</v>
      </c>
      <c r="H190" s="3618" t="s">
        <v>6063</v>
      </c>
      <c r="I190" s="3618">
        <v>600</v>
      </c>
      <c r="J190" s="3618">
        <v>0</v>
      </c>
      <c r="K190" s="3618">
        <v>2</v>
      </c>
      <c r="L190" s="4052">
        <f t="shared" si="121"/>
        <v>300</v>
      </c>
      <c r="M190" s="3619">
        <v>45772</v>
      </c>
      <c r="N190" s="3619">
        <v>45768</v>
      </c>
      <c r="O190" s="959" t="s">
        <v>6685</v>
      </c>
      <c r="P190" s="959" t="s">
        <v>82</v>
      </c>
      <c r="Q190" s="3636"/>
      <c r="R190" s="3636"/>
      <c r="S190" s="3636"/>
      <c r="T190" s="4076"/>
      <c r="U190" s="3653" t="s">
        <v>1123</v>
      </c>
      <c r="V190" s="3649" t="s">
        <v>3675</v>
      </c>
      <c r="W190" s="3649"/>
      <c r="X190" s="3649" t="s">
        <v>6686</v>
      </c>
      <c r="Y190" s="3649"/>
      <c r="Z190" s="3661"/>
      <c r="AA190" s="3620" t="s">
        <v>6687</v>
      </c>
      <c r="AB190" s="3624" t="s">
        <v>6688</v>
      </c>
      <c r="AC190" s="4058">
        <v>2.4663</v>
      </c>
      <c r="AD190" s="3618">
        <f t="shared" si="105"/>
        <v>1479.78</v>
      </c>
      <c r="AE190" s="3633" t="s">
        <v>6689</v>
      </c>
      <c r="AF190" s="959" t="s">
        <v>6684</v>
      </c>
      <c r="AG190" s="3620" t="s">
        <v>416</v>
      </c>
      <c r="AH190" s="3620"/>
      <c r="AI190" s="3620"/>
      <c r="AJ190" s="3620"/>
      <c r="AK190" s="959"/>
      <c r="AL190" s="959"/>
      <c r="AM190" s="959">
        <f>I190</f>
        <v>600</v>
      </c>
      <c r="AN190" s="959"/>
      <c r="AO190" s="959"/>
      <c r="AP190" s="3618">
        <f t="shared" ref="AP190:AP205" si="122">I190</f>
        <v>600</v>
      </c>
      <c r="AQ190" s="3618"/>
      <c r="AR190" s="3626"/>
      <c r="AS190" s="3626"/>
      <c r="AT190" s="3626"/>
      <c r="AU190" s="3626">
        <f>I190</f>
        <v>600</v>
      </c>
      <c r="AV190" s="3626"/>
      <c r="AW190" s="3626"/>
      <c r="AX190" s="3626"/>
      <c r="AY190" s="3626"/>
      <c r="AZ190" s="3626"/>
      <c r="BA190" s="3626">
        <f>I190/2</f>
        <v>300</v>
      </c>
      <c r="BB190" s="3626"/>
      <c r="BC190" s="3626"/>
      <c r="BD190" s="3626"/>
      <c r="BE190" s="3626"/>
      <c r="BF190" s="3626"/>
      <c r="BG190" s="3626"/>
      <c r="BH190" s="3626"/>
      <c r="BI190" s="3626" t="s">
        <v>89</v>
      </c>
      <c r="BJ190" s="3626">
        <f t="shared" si="114"/>
        <v>20</v>
      </c>
      <c r="BK190" s="3626">
        <f t="shared" si="115"/>
        <v>100</v>
      </c>
      <c r="BL190" s="3626">
        <f t="shared" si="116"/>
        <v>100</v>
      </c>
      <c r="BM190" s="3626">
        <f t="shared" si="117"/>
        <v>80</v>
      </c>
      <c r="BN190" s="3626">
        <f t="shared" si="118"/>
        <v>100</v>
      </c>
      <c r="BO190" s="4055">
        <f t="shared" si="119"/>
        <v>100</v>
      </c>
      <c r="BP190" s="3627">
        <f t="shared" si="120"/>
        <v>100</v>
      </c>
      <c r="BQ190" s="3627">
        <f t="shared" si="107"/>
        <v>600</v>
      </c>
      <c r="BR190" s="3627">
        <f t="shared" si="108"/>
        <v>0</v>
      </c>
      <c r="BS190" s="4056"/>
      <c r="BT190" s="4057"/>
    </row>
    <row r="191" s="3566" customFormat="1" ht="50" customHeight="1" spans="1:83">
      <c r="A191" s="3635">
        <v>45729</v>
      </c>
      <c r="B191" s="4080" t="s">
        <v>2949</v>
      </c>
      <c r="C191" s="3663" t="s">
        <v>341</v>
      </c>
      <c r="D191" s="4077">
        <v>4500159816</v>
      </c>
      <c r="E191" s="3664">
        <v>14362166</v>
      </c>
      <c r="F191" s="4081" t="s">
        <v>6690</v>
      </c>
      <c r="G191" s="959" t="s">
        <v>6122</v>
      </c>
      <c r="H191" s="3618" t="s">
        <v>6063</v>
      </c>
      <c r="I191" s="3618">
        <v>5264</v>
      </c>
      <c r="J191" s="3618">
        <v>4</v>
      </c>
      <c r="K191" s="3618">
        <v>16</v>
      </c>
      <c r="L191" s="4052">
        <f t="shared" si="121"/>
        <v>329</v>
      </c>
      <c r="M191" s="3619">
        <v>45772</v>
      </c>
      <c r="N191" s="3619">
        <v>45768</v>
      </c>
      <c r="O191" s="3618"/>
      <c r="P191" s="959" t="s">
        <v>82</v>
      </c>
      <c r="Q191" s="959"/>
      <c r="R191" s="959"/>
      <c r="S191" s="959"/>
      <c r="T191" s="4053"/>
      <c r="U191" s="3620" t="s">
        <v>273</v>
      </c>
      <c r="V191" s="3649" t="s">
        <v>1147</v>
      </c>
      <c r="W191" s="3649"/>
      <c r="X191" s="3649" t="s">
        <v>6691</v>
      </c>
      <c r="Y191" s="3640"/>
      <c r="Z191" s="3623"/>
      <c r="AA191" s="3620" t="s">
        <v>6692</v>
      </c>
      <c r="AB191" s="3624" t="s">
        <v>1459</v>
      </c>
      <c r="AC191" s="3618">
        <v>2.3466</v>
      </c>
      <c r="AD191" s="3618">
        <f t="shared" si="105"/>
        <v>12352.5024</v>
      </c>
      <c r="AE191" s="3633"/>
      <c r="AF191" s="959" t="s">
        <v>6122</v>
      </c>
      <c r="AG191" s="3620" t="s">
        <v>416</v>
      </c>
      <c r="AH191" s="3620"/>
      <c r="AI191" s="3620"/>
      <c r="AJ191" s="3620"/>
      <c r="AK191" s="959">
        <f>I191</f>
        <v>5264</v>
      </c>
      <c r="AL191" s="959"/>
      <c r="AM191" s="959"/>
      <c r="AN191" s="959"/>
      <c r="AO191" s="959"/>
      <c r="AP191" s="3618">
        <f t="shared" si="122"/>
        <v>5264</v>
      </c>
      <c r="AQ191" s="3618"/>
      <c r="AR191" s="3626"/>
      <c r="AS191" s="3626">
        <f>I191</f>
        <v>5264</v>
      </c>
      <c r="AT191" s="3626"/>
      <c r="AU191" s="3626"/>
      <c r="AV191" s="3626"/>
      <c r="AW191" s="3626"/>
      <c r="AX191" s="3626"/>
      <c r="AY191" s="3626"/>
      <c r="AZ191" s="3626"/>
      <c r="BA191" s="3626"/>
      <c r="BB191" s="3626"/>
      <c r="BC191" s="3626">
        <f>I191/4</f>
        <v>1316</v>
      </c>
      <c r="BD191" s="3626"/>
      <c r="BE191" s="3626"/>
      <c r="BF191" s="3626"/>
      <c r="BG191" s="3626"/>
      <c r="BH191" s="3626"/>
      <c r="BI191" s="3626" t="s">
        <v>89</v>
      </c>
      <c r="BJ191" s="3626">
        <f t="shared" si="114"/>
        <v>175.466666666667</v>
      </c>
      <c r="BK191" s="3626">
        <f t="shared" si="115"/>
        <v>877.333333333333</v>
      </c>
      <c r="BL191" s="3626">
        <f t="shared" si="116"/>
        <v>877.333333333333</v>
      </c>
      <c r="BM191" s="3626">
        <f t="shared" si="117"/>
        <v>701.866666666667</v>
      </c>
      <c r="BN191" s="3626">
        <f t="shared" si="118"/>
        <v>877.333333333333</v>
      </c>
      <c r="BO191" s="4055">
        <f t="shared" si="119"/>
        <v>877.333333333333</v>
      </c>
      <c r="BP191" s="3627">
        <f t="shared" si="120"/>
        <v>877.333333333333</v>
      </c>
      <c r="BQ191" s="3627">
        <f t="shared" si="107"/>
        <v>5264</v>
      </c>
      <c r="BR191" s="3627">
        <f t="shared" si="108"/>
        <v>0</v>
      </c>
      <c r="BS191" s="4056"/>
      <c r="BT191" s="4057"/>
    </row>
    <row r="192" s="3566" customFormat="1" ht="50" customHeight="1" spans="1:83">
      <c r="A192" s="3635">
        <v>45674</v>
      </c>
      <c r="B192" s="3617" t="s">
        <v>3248</v>
      </c>
      <c r="C192" s="3617" t="s">
        <v>1279</v>
      </c>
      <c r="D192" s="3624">
        <v>4500156067</v>
      </c>
      <c r="E192" s="959">
        <v>2000007268</v>
      </c>
      <c r="F192" s="3617" t="s">
        <v>6693</v>
      </c>
      <c r="G192" s="959" t="s">
        <v>6108</v>
      </c>
      <c r="H192" s="3618" t="s">
        <v>6063</v>
      </c>
      <c r="I192" s="3618">
        <v>540</v>
      </c>
      <c r="J192" s="3618">
        <v>0</v>
      </c>
      <c r="K192" s="3618">
        <v>12</v>
      </c>
      <c r="L192" s="4052">
        <f t="shared" si="121"/>
        <v>45</v>
      </c>
      <c r="M192" s="3619">
        <v>45775</v>
      </c>
      <c r="N192" s="3659">
        <v>45771</v>
      </c>
      <c r="O192" s="3618" t="s">
        <v>6694</v>
      </c>
      <c r="P192" s="959" t="s">
        <v>82</v>
      </c>
      <c r="Q192" s="959"/>
      <c r="R192" s="959"/>
      <c r="S192" s="959"/>
      <c r="T192" s="4053"/>
      <c r="U192" s="3620" t="s">
        <v>6695</v>
      </c>
      <c r="V192" s="3647" t="s">
        <v>876</v>
      </c>
      <c r="W192" s="3640"/>
      <c r="X192" s="3649" t="s">
        <v>6696</v>
      </c>
      <c r="Y192" s="3647"/>
      <c r="Z192" s="959" t="s">
        <v>6697</v>
      </c>
      <c r="AA192" s="3620" t="s">
        <v>6698</v>
      </c>
      <c r="AB192" s="3624" t="s">
        <v>578</v>
      </c>
      <c r="AC192" s="4058">
        <v>2.3068</v>
      </c>
      <c r="AD192" s="3618">
        <f t="shared" si="105"/>
        <v>1245.672</v>
      </c>
      <c r="AE192" s="3633"/>
      <c r="AF192" s="959" t="s">
        <v>6699</v>
      </c>
      <c r="AG192" s="3620" t="s">
        <v>416</v>
      </c>
      <c r="AH192" s="3620"/>
      <c r="AI192" s="3620"/>
      <c r="AJ192" s="3620"/>
      <c r="AK192" s="959"/>
      <c r="AL192" s="959"/>
      <c r="AM192" s="959">
        <f>I192</f>
        <v>540</v>
      </c>
      <c r="AN192" s="959"/>
      <c r="AO192" s="959"/>
      <c r="AP192" s="3618">
        <f t="shared" si="122"/>
        <v>540</v>
      </c>
      <c r="AQ192" s="3618"/>
      <c r="AR192" s="3626"/>
      <c r="AS192" s="3626"/>
      <c r="AT192" s="3626"/>
      <c r="AU192" s="3626">
        <f>I192</f>
        <v>540</v>
      </c>
      <c r="AV192" s="3626"/>
      <c r="AW192" s="3626">
        <f>I192/6</f>
        <v>90</v>
      </c>
      <c r="AX192" s="3626"/>
      <c r="AY192" s="3626"/>
      <c r="AZ192" s="3626"/>
      <c r="BA192" s="3626"/>
      <c r="BB192" s="3626"/>
      <c r="BC192" s="3626"/>
      <c r="BD192" s="3626"/>
      <c r="BE192" s="3626"/>
      <c r="BF192" s="3626"/>
      <c r="BG192" s="3626"/>
      <c r="BH192" s="3626"/>
      <c r="BI192" s="3626" t="s">
        <v>89</v>
      </c>
      <c r="BJ192" s="3626">
        <f t="shared" si="114"/>
        <v>18</v>
      </c>
      <c r="BK192" s="3626">
        <f t="shared" si="115"/>
        <v>90</v>
      </c>
      <c r="BL192" s="3626">
        <f t="shared" si="116"/>
        <v>90</v>
      </c>
      <c r="BM192" s="3626">
        <f t="shared" si="117"/>
        <v>72</v>
      </c>
      <c r="BN192" s="3626">
        <f t="shared" si="118"/>
        <v>90</v>
      </c>
      <c r="BO192" s="4055">
        <f t="shared" si="119"/>
        <v>90</v>
      </c>
      <c r="BP192" s="3627">
        <f t="shared" si="120"/>
        <v>90</v>
      </c>
      <c r="BQ192" s="3627">
        <f t="shared" si="107"/>
        <v>540</v>
      </c>
      <c r="BR192" s="3627">
        <f t="shared" si="108"/>
        <v>0</v>
      </c>
      <c r="BS192" s="4056"/>
      <c r="BT192" s="4057"/>
    </row>
    <row r="193" s="3566" customFormat="1" ht="50" customHeight="1" spans="1:72">
      <c r="A193" s="3635">
        <v>45726</v>
      </c>
      <c r="B193" s="4080" t="s">
        <v>2285</v>
      </c>
      <c r="C193" s="3663" t="s">
        <v>351</v>
      </c>
      <c r="D193" s="4077">
        <v>4500159526</v>
      </c>
      <c r="E193" s="3664" t="s">
        <v>3515</v>
      </c>
      <c r="F193" s="4081" t="s">
        <v>3530</v>
      </c>
      <c r="G193" s="959" t="s">
        <v>6641</v>
      </c>
      <c r="H193" s="959" t="s">
        <v>6642</v>
      </c>
      <c r="I193" s="3618">
        <v>406</v>
      </c>
      <c r="J193" s="3618">
        <v>0</v>
      </c>
      <c r="K193" s="3618">
        <v>1</v>
      </c>
      <c r="L193" s="4052">
        <f t="shared" si="121"/>
        <v>406</v>
      </c>
      <c r="M193" s="3619">
        <v>45775</v>
      </c>
      <c r="N193" s="3619">
        <v>45771</v>
      </c>
      <c r="O193" s="3618"/>
      <c r="P193" s="959" t="s">
        <v>82</v>
      </c>
      <c r="Q193" s="959"/>
      <c r="R193" s="959"/>
      <c r="S193" s="959"/>
      <c r="T193" s="4053"/>
      <c r="U193" s="3657" t="s">
        <v>1175</v>
      </c>
      <c r="V193" s="3657" t="s">
        <v>1124</v>
      </c>
      <c r="W193" s="3657"/>
      <c r="X193" s="3657" t="s">
        <v>1099</v>
      </c>
      <c r="Y193" s="3657"/>
      <c r="Z193" s="3661" t="s">
        <v>3518</v>
      </c>
      <c r="AA193" s="3620" t="s">
        <v>3532</v>
      </c>
      <c r="AB193" s="3624" t="s">
        <v>1199</v>
      </c>
      <c r="AC193" s="4058">
        <v>8.499</v>
      </c>
      <c r="AD193" s="3618">
        <f t="shared" si="105"/>
        <v>3450.594</v>
      </c>
      <c r="AE193" s="3633"/>
      <c r="AF193" s="959" t="s">
        <v>3520</v>
      </c>
      <c r="AG193" s="3620" t="s">
        <v>416</v>
      </c>
      <c r="AH193" s="3620"/>
      <c r="AI193" s="3620"/>
      <c r="AJ193" s="3620"/>
      <c r="AK193" s="959">
        <f>I193</f>
        <v>406</v>
      </c>
      <c r="AL193" s="959"/>
      <c r="AM193" s="959"/>
      <c r="AN193" s="959"/>
      <c r="AO193" s="959"/>
      <c r="AP193" s="3618">
        <f t="shared" si="122"/>
        <v>406</v>
      </c>
      <c r="AQ193" s="3618"/>
      <c r="AR193" s="3626"/>
      <c r="AS193" s="3626">
        <f t="shared" ref="AS193:AS203" si="123">I193</f>
        <v>406</v>
      </c>
      <c r="AT193" s="3626"/>
      <c r="AU193" s="3626"/>
      <c r="AV193" s="3626"/>
      <c r="AW193" s="3626"/>
      <c r="AX193" s="3626"/>
      <c r="AY193" s="3626"/>
      <c r="AZ193" s="3626"/>
      <c r="BA193" s="3626"/>
      <c r="BB193" s="3626"/>
      <c r="BC193" s="3626"/>
      <c r="BD193" s="3626"/>
      <c r="BE193" s="3626"/>
      <c r="BF193" s="3626"/>
      <c r="BG193" s="3626"/>
      <c r="BH193" s="3626"/>
      <c r="BI193" s="3626" t="s">
        <v>89</v>
      </c>
      <c r="BJ193" s="3626">
        <f t="shared" si="114"/>
        <v>13.5333333333333</v>
      </c>
      <c r="BK193" s="3626">
        <f t="shared" si="115"/>
        <v>67.6666666666667</v>
      </c>
      <c r="BL193" s="3626">
        <f t="shared" si="116"/>
        <v>67.6666666666667</v>
      </c>
      <c r="BM193" s="3626">
        <f t="shared" si="117"/>
        <v>54.1333333333333</v>
      </c>
      <c r="BN193" s="3626">
        <f t="shared" si="118"/>
        <v>67.6666666666667</v>
      </c>
      <c r="BO193" s="4055">
        <f t="shared" si="119"/>
        <v>67.6666666666667</v>
      </c>
      <c r="BP193" s="3627">
        <f t="shared" si="120"/>
        <v>67.6666666666667</v>
      </c>
      <c r="BQ193" s="3627">
        <f t="shared" si="107"/>
        <v>406</v>
      </c>
      <c r="BR193" s="3627">
        <f t="shared" si="108"/>
        <v>0</v>
      </c>
      <c r="BS193" s="4056"/>
      <c r="BT193" s="4057"/>
    </row>
    <row r="194" s="3566" customFormat="1" ht="50" customHeight="1" spans="1:72">
      <c r="A194" s="3635">
        <v>45737</v>
      </c>
      <c r="B194" s="4080" t="s">
        <v>6700</v>
      </c>
      <c r="C194" s="3663" t="s">
        <v>91</v>
      </c>
      <c r="D194" s="4077">
        <v>4500160963</v>
      </c>
      <c r="E194" s="3664" t="s">
        <v>6701</v>
      </c>
      <c r="F194" s="4081" t="s">
        <v>6702</v>
      </c>
      <c r="G194" s="959" t="s">
        <v>6254</v>
      </c>
      <c r="H194" s="3618" t="s">
        <v>6063</v>
      </c>
      <c r="I194" s="3618">
        <v>3180</v>
      </c>
      <c r="J194" s="3618">
        <v>0</v>
      </c>
      <c r="K194" s="3618">
        <v>6</v>
      </c>
      <c r="L194" s="4052">
        <f t="shared" si="121"/>
        <v>530</v>
      </c>
      <c r="M194" s="3619">
        <v>45775</v>
      </c>
      <c r="N194" s="3619">
        <v>45771</v>
      </c>
      <c r="O194" s="3618"/>
      <c r="P194" s="959" t="s">
        <v>82</v>
      </c>
      <c r="Q194" s="3636"/>
      <c r="R194" s="3636"/>
      <c r="S194" s="3636"/>
      <c r="T194" s="4076"/>
      <c r="U194" s="3653" t="s">
        <v>3367</v>
      </c>
      <c r="V194" s="3649" t="s">
        <v>1147</v>
      </c>
      <c r="W194" s="3649"/>
      <c r="X194" s="3649" t="s">
        <v>98</v>
      </c>
      <c r="Y194" s="3649"/>
      <c r="Z194" s="3661"/>
      <c r="AA194" s="3620" t="s">
        <v>6703</v>
      </c>
      <c r="AB194" s="3624" t="s">
        <v>3061</v>
      </c>
      <c r="AC194" s="4058">
        <v>2.3105</v>
      </c>
      <c r="AD194" s="3618">
        <f t="shared" si="105"/>
        <v>7347.39</v>
      </c>
      <c r="AE194" s="3633" t="s">
        <v>6704</v>
      </c>
      <c r="AF194" s="959" t="s">
        <v>6254</v>
      </c>
      <c r="AG194" s="3620" t="s">
        <v>416</v>
      </c>
      <c r="AH194" s="3620"/>
      <c r="AI194" s="3620"/>
      <c r="AJ194" s="3620"/>
      <c r="AK194" s="959">
        <f>I194</f>
        <v>3180</v>
      </c>
      <c r="AL194" s="959"/>
      <c r="AM194" s="959"/>
      <c r="AN194" s="959"/>
      <c r="AO194" s="959"/>
      <c r="AP194" s="3618">
        <f t="shared" si="122"/>
        <v>3180</v>
      </c>
      <c r="AQ194" s="3618"/>
      <c r="AR194" s="3626"/>
      <c r="AS194" s="3626">
        <f t="shared" si="123"/>
        <v>3180</v>
      </c>
      <c r="AT194" s="3626"/>
      <c r="AU194" s="3626"/>
      <c r="AV194" s="3626"/>
      <c r="AW194" s="3626"/>
      <c r="AX194" s="3626"/>
      <c r="AY194" s="3626">
        <f>I194/6</f>
        <v>530</v>
      </c>
      <c r="AZ194" s="3626"/>
      <c r="BA194" s="3626"/>
      <c r="BB194" s="3626"/>
      <c r="BC194" s="3626"/>
      <c r="BD194" s="3626"/>
      <c r="BE194" s="3626"/>
      <c r="BF194" s="3626"/>
      <c r="BG194" s="3626"/>
      <c r="BH194" s="3626"/>
      <c r="BI194" s="3626" t="s">
        <v>89</v>
      </c>
      <c r="BJ194" s="3626">
        <f t="shared" si="114"/>
        <v>106</v>
      </c>
      <c r="BK194" s="3626">
        <f t="shared" si="115"/>
        <v>530</v>
      </c>
      <c r="BL194" s="3626">
        <f t="shared" si="116"/>
        <v>530</v>
      </c>
      <c r="BM194" s="3626">
        <f t="shared" si="117"/>
        <v>424</v>
      </c>
      <c r="BN194" s="3626">
        <f t="shared" si="118"/>
        <v>530</v>
      </c>
      <c r="BO194" s="4055">
        <f t="shared" si="119"/>
        <v>530</v>
      </c>
      <c r="BP194" s="3627">
        <f t="shared" si="120"/>
        <v>530</v>
      </c>
      <c r="BQ194" s="3627">
        <f t="shared" si="107"/>
        <v>3180</v>
      </c>
      <c r="BR194" s="3627">
        <f t="shared" si="108"/>
        <v>0</v>
      </c>
      <c r="BS194" s="4056"/>
      <c r="BT194" s="4057"/>
    </row>
    <row r="195" s="3566" customFormat="1" ht="50" customHeight="1" spans="1:72">
      <c r="A195" s="3635">
        <v>45730</v>
      </c>
      <c r="B195" s="4080" t="s">
        <v>3536</v>
      </c>
      <c r="C195" s="3663" t="s">
        <v>1546</v>
      </c>
      <c r="D195" s="4077">
        <v>4500160345</v>
      </c>
      <c r="E195" s="3664"/>
      <c r="F195" s="4081" t="s">
        <v>6705</v>
      </c>
      <c r="G195" s="959" t="s">
        <v>6124</v>
      </c>
      <c r="H195" s="3618" t="s">
        <v>6063</v>
      </c>
      <c r="I195" s="3618">
        <v>96</v>
      </c>
      <c r="J195" s="3618">
        <v>0</v>
      </c>
      <c r="K195" s="3618">
        <v>12</v>
      </c>
      <c r="L195" s="4052">
        <f t="shared" si="121"/>
        <v>8</v>
      </c>
      <c r="M195" s="3619">
        <v>45776</v>
      </c>
      <c r="N195" s="3619">
        <v>45772</v>
      </c>
      <c r="O195" s="3618"/>
      <c r="P195" s="959" t="s">
        <v>82</v>
      </c>
      <c r="Q195" s="959"/>
      <c r="R195" s="959"/>
      <c r="S195" s="959"/>
      <c r="T195" s="4053"/>
      <c r="U195" s="3620" t="s">
        <v>1054</v>
      </c>
      <c r="V195" s="3657" t="s">
        <v>3538</v>
      </c>
      <c r="W195" s="3649"/>
      <c r="X195" s="3649" t="s">
        <v>6706</v>
      </c>
      <c r="Y195" s="3649"/>
      <c r="Z195" s="3661"/>
      <c r="AA195" s="3620" t="s">
        <v>6658</v>
      </c>
      <c r="AB195" s="3624" t="s">
        <v>459</v>
      </c>
      <c r="AC195" s="4058">
        <v>2.259</v>
      </c>
      <c r="AD195" s="3618">
        <f t="shared" si="105"/>
        <v>216.864</v>
      </c>
      <c r="AE195" s="3633" t="s">
        <v>3541</v>
      </c>
      <c r="AF195" s="959" t="s">
        <v>6126</v>
      </c>
      <c r="AG195" s="3620" t="s">
        <v>416</v>
      </c>
      <c r="AH195" s="3620"/>
      <c r="AI195" s="3620"/>
      <c r="AJ195" s="3620"/>
      <c r="AK195" s="959"/>
      <c r="AL195" s="959"/>
      <c r="AM195" s="959">
        <f>I195</f>
        <v>96</v>
      </c>
      <c r="AN195" s="959"/>
      <c r="AO195" s="959"/>
      <c r="AP195" s="3618">
        <f t="shared" si="122"/>
        <v>96</v>
      </c>
      <c r="AQ195" s="3618"/>
      <c r="AR195" s="3626"/>
      <c r="AS195" s="3626">
        <f t="shared" si="123"/>
        <v>96</v>
      </c>
      <c r="AT195" s="3626"/>
      <c r="AU195" s="3626"/>
      <c r="AV195" s="3626"/>
      <c r="AW195" s="3626">
        <f>I195/6</f>
        <v>16</v>
      </c>
      <c r="AX195" s="3626"/>
      <c r="AY195" s="3626"/>
      <c r="AZ195" s="3626"/>
      <c r="BA195" s="3626"/>
      <c r="BB195" s="3626"/>
      <c r="BC195" s="3626"/>
      <c r="BD195" s="3626"/>
      <c r="BE195" s="3626"/>
      <c r="BF195" s="3626"/>
      <c r="BG195" s="3626"/>
      <c r="BH195" s="3626"/>
      <c r="BI195" s="3626" t="s">
        <v>89</v>
      </c>
      <c r="BJ195" s="3626">
        <f t="shared" si="114"/>
        <v>3.2</v>
      </c>
      <c r="BK195" s="3626">
        <f t="shared" si="115"/>
        <v>16</v>
      </c>
      <c r="BL195" s="3626">
        <f t="shared" si="116"/>
        <v>16</v>
      </c>
      <c r="BM195" s="3626">
        <f t="shared" si="117"/>
        <v>12.8</v>
      </c>
      <c r="BN195" s="4055">
        <f t="shared" si="118"/>
        <v>16</v>
      </c>
      <c r="BO195" s="3627">
        <f t="shared" si="119"/>
        <v>16</v>
      </c>
      <c r="BP195" s="3627">
        <f t="shared" si="120"/>
        <v>16</v>
      </c>
      <c r="BQ195" s="3627">
        <f t="shared" si="107"/>
        <v>96</v>
      </c>
      <c r="BR195" s="3627">
        <f t="shared" si="108"/>
        <v>0</v>
      </c>
      <c r="BS195" s="4056"/>
      <c r="BT195" s="4057"/>
    </row>
    <row r="196" s="3566" customFormat="1" ht="50" customHeight="1" spans="1:72">
      <c r="A196" s="3635">
        <v>45734</v>
      </c>
      <c r="B196" s="4080" t="s">
        <v>1777</v>
      </c>
      <c r="C196" s="3663" t="s">
        <v>1151</v>
      </c>
      <c r="D196" s="4077">
        <v>4500160575</v>
      </c>
      <c r="E196" s="3664" t="s">
        <v>6707</v>
      </c>
      <c r="F196" s="4081" t="s">
        <v>6708</v>
      </c>
      <c r="G196" s="959" t="s">
        <v>6124</v>
      </c>
      <c r="H196" s="3618" t="s">
        <v>6063</v>
      </c>
      <c r="I196" s="3618">
        <v>1008</v>
      </c>
      <c r="J196" s="3618">
        <v>0</v>
      </c>
      <c r="K196" s="3618">
        <v>12</v>
      </c>
      <c r="L196" s="4052">
        <f t="shared" si="121"/>
        <v>84</v>
      </c>
      <c r="M196" s="3619">
        <v>45777</v>
      </c>
      <c r="N196" s="3619">
        <v>45773</v>
      </c>
      <c r="O196" s="3618"/>
      <c r="P196" s="959" t="s">
        <v>82</v>
      </c>
      <c r="Q196" s="959"/>
      <c r="R196" s="959"/>
      <c r="S196" s="959"/>
      <c r="T196" s="4053"/>
      <c r="U196" s="3620" t="s">
        <v>188</v>
      </c>
      <c r="V196" s="3649" t="s">
        <v>3840</v>
      </c>
      <c r="W196" s="3649"/>
      <c r="X196" s="3649" t="s">
        <v>6709</v>
      </c>
      <c r="Y196" s="3649"/>
      <c r="Z196" s="3661"/>
      <c r="AA196" s="3620" t="s">
        <v>6710</v>
      </c>
      <c r="AB196" s="3624" t="s">
        <v>459</v>
      </c>
      <c r="AC196" s="4058">
        <v>2.2547</v>
      </c>
      <c r="AD196" s="3618">
        <f t="shared" si="105"/>
        <v>2272.7376</v>
      </c>
      <c r="AE196" s="3633" t="s">
        <v>6711</v>
      </c>
      <c r="AF196" s="959" t="s">
        <v>6126</v>
      </c>
      <c r="AG196" s="3620" t="s">
        <v>416</v>
      </c>
      <c r="AH196" s="3620"/>
      <c r="AI196" s="3620"/>
      <c r="AJ196" s="3620"/>
      <c r="AK196" s="959"/>
      <c r="AL196" s="959"/>
      <c r="AM196" s="959">
        <f>I196</f>
        <v>1008</v>
      </c>
      <c r="AN196" s="959"/>
      <c r="AO196" s="959"/>
      <c r="AP196" s="3618">
        <f t="shared" si="122"/>
        <v>1008</v>
      </c>
      <c r="AQ196" s="3618"/>
      <c r="AR196" s="3626"/>
      <c r="AS196" s="3626">
        <f t="shared" si="123"/>
        <v>1008</v>
      </c>
      <c r="AT196" s="3626"/>
      <c r="AU196" s="3626"/>
      <c r="AV196" s="3626"/>
      <c r="AW196" s="3626">
        <f>I196/6</f>
        <v>168</v>
      </c>
      <c r="AX196" s="3626"/>
      <c r="AY196" s="3626"/>
      <c r="AZ196" s="3626"/>
      <c r="BA196" s="3626"/>
      <c r="BB196" s="3626"/>
      <c r="BC196" s="3626"/>
      <c r="BD196" s="3626"/>
      <c r="BE196" s="3626"/>
      <c r="BF196" s="3626"/>
      <c r="BG196" s="3626"/>
      <c r="BH196" s="3626"/>
      <c r="BI196" s="3626" t="s">
        <v>89</v>
      </c>
      <c r="BJ196" s="3626">
        <f t="shared" si="114"/>
        <v>33.6</v>
      </c>
      <c r="BK196" s="3626">
        <f t="shared" si="115"/>
        <v>168</v>
      </c>
      <c r="BL196" s="3626">
        <f t="shared" si="116"/>
        <v>168</v>
      </c>
      <c r="BM196" s="3626">
        <f t="shared" si="117"/>
        <v>134.4</v>
      </c>
      <c r="BN196" s="4055">
        <f t="shared" si="118"/>
        <v>168</v>
      </c>
      <c r="BO196" s="3627">
        <f t="shared" si="119"/>
        <v>168</v>
      </c>
      <c r="BP196" s="3627">
        <f t="shared" si="120"/>
        <v>168</v>
      </c>
      <c r="BQ196" s="3627">
        <f t="shared" si="107"/>
        <v>1008</v>
      </c>
      <c r="BR196" s="3627">
        <f t="shared" si="108"/>
        <v>0</v>
      </c>
      <c r="BS196" s="4056"/>
      <c r="BT196" s="4057"/>
    </row>
    <row r="197" s="3566" customFormat="1" ht="50" customHeight="1" spans="1:72">
      <c r="A197" s="3635">
        <v>45735</v>
      </c>
      <c r="B197" s="4080" t="s">
        <v>371</v>
      </c>
      <c r="C197" s="3663" t="s">
        <v>341</v>
      </c>
      <c r="D197" s="4077">
        <v>4500160662</v>
      </c>
      <c r="E197" s="3664" t="s">
        <v>6712</v>
      </c>
      <c r="F197" s="4081" t="s">
        <v>6713</v>
      </c>
      <c r="G197" s="959" t="s">
        <v>6281</v>
      </c>
      <c r="H197" s="959" t="s">
        <v>6105</v>
      </c>
      <c r="I197" s="3618">
        <v>512</v>
      </c>
      <c r="J197" s="3618">
        <v>0</v>
      </c>
      <c r="K197" s="3618">
        <v>32</v>
      </c>
      <c r="L197" s="4052">
        <f t="shared" si="121"/>
        <v>16</v>
      </c>
      <c r="M197" s="3619">
        <v>45777</v>
      </c>
      <c r="N197" s="3619">
        <v>45773</v>
      </c>
      <c r="O197" s="3618"/>
      <c r="P197" s="959" t="s">
        <v>82</v>
      </c>
      <c r="Q197" s="959"/>
      <c r="R197" s="959"/>
      <c r="S197" s="959"/>
      <c r="T197" s="4053"/>
      <c r="U197" s="3620" t="s">
        <v>1146</v>
      </c>
      <c r="V197" s="3649" t="s">
        <v>6714</v>
      </c>
      <c r="W197" s="3649"/>
      <c r="X197" s="3649" t="s">
        <v>98</v>
      </c>
      <c r="Y197" s="3649" t="s">
        <v>6715</v>
      </c>
      <c r="Z197" s="3661" t="s">
        <v>6716</v>
      </c>
      <c r="AA197" s="3620" t="s">
        <v>6717</v>
      </c>
      <c r="AB197" s="3624" t="s">
        <v>380</v>
      </c>
      <c r="AC197" s="4058">
        <v>2.3647</v>
      </c>
      <c r="AD197" s="3618">
        <f t="shared" si="105"/>
        <v>1210.7264</v>
      </c>
      <c r="AE197" s="3633"/>
      <c r="AF197" s="959" t="s">
        <v>6106</v>
      </c>
      <c r="AG197" s="3620" t="s">
        <v>416</v>
      </c>
      <c r="AH197" s="3620"/>
      <c r="AI197" s="3620"/>
      <c r="AJ197" s="3620"/>
      <c r="AK197" s="959"/>
      <c r="AL197" s="959"/>
      <c r="AM197" s="959">
        <f>I197</f>
        <v>512</v>
      </c>
      <c r="AN197" s="959"/>
      <c r="AO197" s="959"/>
      <c r="AP197" s="3618">
        <f t="shared" si="122"/>
        <v>512</v>
      </c>
      <c r="AQ197" s="3618"/>
      <c r="AR197" s="3626"/>
      <c r="AS197" s="3626">
        <f t="shared" si="123"/>
        <v>512</v>
      </c>
      <c r="AT197" s="3626"/>
      <c r="AU197" s="3626"/>
      <c r="AV197" s="3626"/>
      <c r="AW197" s="3626"/>
      <c r="AX197" s="3626"/>
      <c r="AY197" s="3626"/>
      <c r="AZ197" s="3626"/>
      <c r="BA197" s="3626"/>
      <c r="BB197" s="3626"/>
      <c r="BC197" s="3626"/>
      <c r="BD197" s="3626"/>
      <c r="BE197" s="3626"/>
      <c r="BF197" s="3626"/>
      <c r="BG197" s="3626"/>
      <c r="BH197" s="3626"/>
      <c r="BI197" s="3626" t="s">
        <v>89</v>
      </c>
      <c r="BJ197" s="3626"/>
      <c r="BK197" s="3626">
        <f>I197</f>
        <v>512</v>
      </c>
      <c r="BL197" s="3626"/>
      <c r="BM197" s="3626"/>
      <c r="BN197" s="4055"/>
      <c r="BO197" s="3627"/>
      <c r="BP197" s="3627"/>
      <c r="BQ197" s="3627">
        <f t="shared" si="107"/>
        <v>512</v>
      </c>
      <c r="BR197" s="3627">
        <f t="shared" si="108"/>
        <v>0</v>
      </c>
      <c r="BS197" s="4056"/>
      <c r="BT197" s="4057"/>
    </row>
    <row r="198" s="3566" customFormat="1" ht="50" customHeight="1" spans="1:72">
      <c r="A198" s="3635">
        <v>45735</v>
      </c>
      <c r="B198" s="3617" t="s">
        <v>3118</v>
      </c>
      <c r="C198" s="3617" t="s">
        <v>506</v>
      </c>
      <c r="D198" s="3624">
        <v>4500159576</v>
      </c>
      <c r="E198" s="3618">
        <v>83718</v>
      </c>
      <c r="F198" s="3617" t="s">
        <v>6718</v>
      </c>
      <c r="G198" s="959" t="s">
        <v>6124</v>
      </c>
      <c r="H198" s="3618" t="s">
        <v>6063</v>
      </c>
      <c r="I198" s="3618">
        <v>2400</v>
      </c>
      <c r="J198" s="3618">
        <v>0</v>
      </c>
      <c r="K198" s="3618">
        <v>12</v>
      </c>
      <c r="L198" s="4052">
        <f t="shared" si="121"/>
        <v>200</v>
      </c>
      <c r="M198" s="3619">
        <v>45777</v>
      </c>
      <c r="N198" s="3619">
        <v>45773</v>
      </c>
      <c r="O198" s="3618"/>
      <c r="P198" s="959" t="s">
        <v>82</v>
      </c>
      <c r="Q198" s="959"/>
      <c r="R198" s="959"/>
      <c r="S198" s="959"/>
      <c r="T198" s="4053"/>
      <c r="U198" s="3620" t="s">
        <v>6665</v>
      </c>
      <c r="V198" s="3640" t="s">
        <v>5716</v>
      </c>
      <c r="W198" s="3640"/>
      <c r="X198" s="3640" t="s">
        <v>6719</v>
      </c>
      <c r="Y198" s="3640"/>
      <c r="Z198" s="3623"/>
      <c r="AA198" s="3620" t="s">
        <v>6720</v>
      </c>
      <c r="AB198" s="3624" t="s">
        <v>513</v>
      </c>
      <c r="AC198" s="4058">
        <v>2.3023</v>
      </c>
      <c r="AD198" s="3618">
        <f t="shared" si="105"/>
        <v>5525.52</v>
      </c>
      <c r="AE198" s="3633"/>
      <c r="AF198" s="959" t="s">
        <v>6124</v>
      </c>
      <c r="AG198" s="3620" t="s">
        <v>416</v>
      </c>
      <c r="AH198" s="3620"/>
      <c r="AI198" s="3620"/>
      <c r="AJ198" s="3620"/>
      <c r="AK198" s="959">
        <f>I198</f>
        <v>2400</v>
      </c>
      <c r="AL198" s="959"/>
      <c r="AM198" s="959"/>
      <c r="AN198" s="959"/>
      <c r="AO198" s="959"/>
      <c r="AP198" s="3618">
        <f t="shared" si="122"/>
        <v>2400</v>
      </c>
      <c r="AQ198" s="3618"/>
      <c r="AR198" s="3626"/>
      <c r="AS198" s="3626">
        <f t="shared" si="123"/>
        <v>2400</v>
      </c>
      <c r="AT198" s="3626"/>
      <c r="AU198" s="3626"/>
      <c r="AV198" s="3626"/>
      <c r="AW198" s="3626">
        <f>I198/6</f>
        <v>400</v>
      </c>
      <c r="AX198" s="3626"/>
      <c r="AY198" s="3626"/>
      <c r="AZ198" s="3626"/>
      <c r="BA198" s="3626"/>
      <c r="BB198" s="3626"/>
      <c r="BC198" s="3626"/>
      <c r="BD198" s="3626"/>
      <c r="BE198" s="3626"/>
      <c r="BF198" s="3626"/>
      <c r="BG198" s="3626"/>
      <c r="BH198" s="3626"/>
      <c r="BI198" s="3626" t="s">
        <v>89</v>
      </c>
      <c r="BJ198" s="3626">
        <f t="shared" ref="BJ198:BJ206" si="124">I198/60*2</f>
        <v>80</v>
      </c>
      <c r="BK198" s="3626">
        <f t="shared" ref="BK198:BK206" si="125">I198/60*10</f>
        <v>400</v>
      </c>
      <c r="BL198" s="3626">
        <f t="shared" ref="BL198:BL206" si="126">I198/60*10</f>
        <v>400</v>
      </c>
      <c r="BM198" s="3626">
        <f t="shared" ref="BM198:BM206" si="127">I198/60*8</f>
        <v>320</v>
      </c>
      <c r="BN198" s="3626">
        <f t="shared" ref="BN198:BN206" si="128">I198/60*10</f>
        <v>400</v>
      </c>
      <c r="BO198" s="4055">
        <f t="shared" ref="BO198:BO206" si="129">I198/60*10</f>
        <v>400</v>
      </c>
      <c r="BP198" s="3627">
        <f t="shared" ref="BP198:BP206" si="130">I198/60*10</f>
        <v>400</v>
      </c>
      <c r="BQ198" s="3627">
        <f t="shared" si="107"/>
        <v>2400</v>
      </c>
      <c r="BR198" s="3627">
        <f t="shared" si="108"/>
        <v>0</v>
      </c>
      <c r="BS198" s="4056"/>
      <c r="BT198" s="4057"/>
    </row>
    <row r="199" s="3566" customFormat="1" ht="50" customHeight="1" spans="1:72">
      <c r="A199" s="3635">
        <v>45744</v>
      </c>
      <c r="B199" s="3630" t="s">
        <v>2998</v>
      </c>
      <c r="C199" s="3617" t="s">
        <v>2999</v>
      </c>
      <c r="D199" s="3629">
        <v>4500161800</v>
      </c>
      <c r="E199" s="959"/>
      <c r="F199" s="3631" t="s">
        <v>6721</v>
      </c>
      <c r="G199" s="959" t="s">
        <v>3520</v>
      </c>
      <c r="H199" s="3618" t="s">
        <v>6063</v>
      </c>
      <c r="I199" s="3618">
        <v>1008</v>
      </c>
      <c r="J199" s="3618">
        <v>0</v>
      </c>
      <c r="K199" s="3618">
        <v>24</v>
      </c>
      <c r="L199" s="4052">
        <f t="shared" si="121"/>
        <v>42</v>
      </c>
      <c r="M199" s="3619">
        <v>45777</v>
      </c>
      <c r="N199" s="3619">
        <v>45773</v>
      </c>
      <c r="O199" s="3618"/>
      <c r="P199" s="959" t="s">
        <v>82</v>
      </c>
      <c r="Q199" s="959"/>
      <c r="R199" s="959"/>
      <c r="S199" s="959"/>
      <c r="T199" s="4053"/>
      <c r="U199" s="3620" t="s">
        <v>3367</v>
      </c>
      <c r="V199" s="3640" t="s">
        <v>6722</v>
      </c>
      <c r="W199" s="3640"/>
      <c r="X199" s="3657" t="s">
        <v>98</v>
      </c>
      <c r="Y199" s="3640"/>
      <c r="Z199" s="3618"/>
      <c r="AA199" s="3620" t="s">
        <v>6723</v>
      </c>
      <c r="AB199" s="3624" t="s">
        <v>892</v>
      </c>
      <c r="AC199" s="4058">
        <v>2.2168</v>
      </c>
      <c r="AD199" s="3618">
        <f t="shared" si="105"/>
        <v>2234.5344</v>
      </c>
      <c r="AE199" s="3633" t="s">
        <v>6724</v>
      </c>
      <c r="AF199" s="959" t="s">
        <v>3520</v>
      </c>
      <c r="AG199" s="3620" t="s">
        <v>416</v>
      </c>
      <c r="AH199" s="3620"/>
      <c r="AI199" s="3620"/>
      <c r="AJ199" s="3620"/>
      <c r="AK199" s="959">
        <f>I199</f>
        <v>1008</v>
      </c>
      <c r="AL199" s="959"/>
      <c r="AM199" s="959"/>
      <c r="AN199" s="959"/>
      <c r="AO199" s="959"/>
      <c r="AP199" s="3618">
        <f t="shared" si="122"/>
        <v>1008</v>
      </c>
      <c r="AQ199" s="3618"/>
      <c r="AR199" s="3626"/>
      <c r="AS199" s="3626">
        <f t="shared" si="123"/>
        <v>1008</v>
      </c>
      <c r="AT199" s="3626"/>
      <c r="AU199" s="3626"/>
      <c r="AV199" s="3626"/>
      <c r="AW199" s="3626"/>
      <c r="AX199" s="3626"/>
      <c r="AY199" s="3626"/>
      <c r="AZ199" s="3626"/>
      <c r="BA199" s="3626"/>
      <c r="BB199" s="3626"/>
      <c r="BC199" s="3626"/>
      <c r="BD199" s="3626"/>
      <c r="BE199" s="3626"/>
      <c r="BF199" s="3626"/>
      <c r="BG199" s="3626"/>
      <c r="BH199" s="3626"/>
      <c r="BI199" s="3626" t="s">
        <v>89</v>
      </c>
      <c r="BJ199" s="3626">
        <f t="shared" si="124"/>
        <v>33.6</v>
      </c>
      <c r="BK199" s="3626">
        <f t="shared" si="125"/>
        <v>168</v>
      </c>
      <c r="BL199" s="3626">
        <f t="shared" si="126"/>
        <v>168</v>
      </c>
      <c r="BM199" s="3626">
        <f t="shared" si="127"/>
        <v>134.4</v>
      </c>
      <c r="BN199" s="3626">
        <f t="shared" si="128"/>
        <v>168</v>
      </c>
      <c r="BO199" s="4055">
        <f t="shared" si="129"/>
        <v>168</v>
      </c>
      <c r="BP199" s="3627">
        <f t="shared" si="130"/>
        <v>168</v>
      </c>
      <c r="BQ199" s="3627">
        <f t="shared" si="107"/>
        <v>1008</v>
      </c>
      <c r="BR199" s="3627">
        <f t="shared" si="108"/>
        <v>0</v>
      </c>
      <c r="BS199" s="4056"/>
      <c r="BT199" s="4057"/>
    </row>
    <row r="200" s="3566" customFormat="1" ht="50" customHeight="1" spans="1:72">
      <c r="A200" s="3635">
        <v>45726</v>
      </c>
      <c r="B200" s="4080" t="s">
        <v>2285</v>
      </c>
      <c r="C200" s="3663" t="s">
        <v>351</v>
      </c>
      <c r="D200" s="4077">
        <v>4500159526</v>
      </c>
      <c r="E200" s="3664" t="s">
        <v>3515</v>
      </c>
      <c r="F200" s="4081" t="s">
        <v>3516</v>
      </c>
      <c r="G200" s="959" t="s">
        <v>6643</v>
      </c>
      <c r="H200" s="3618" t="s">
        <v>3517</v>
      </c>
      <c r="I200" s="3618">
        <v>2388</v>
      </c>
      <c r="J200" s="3618">
        <v>0</v>
      </c>
      <c r="K200" s="3618">
        <v>12</v>
      </c>
      <c r="L200" s="4052">
        <f t="shared" si="121"/>
        <v>199</v>
      </c>
      <c r="M200" s="3619">
        <v>45775</v>
      </c>
      <c r="N200" s="3619">
        <v>45771</v>
      </c>
      <c r="O200" s="3618"/>
      <c r="P200" s="959" t="s">
        <v>82</v>
      </c>
      <c r="Q200" s="959"/>
      <c r="R200" s="959"/>
      <c r="S200" s="959"/>
      <c r="T200" s="4053"/>
      <c r="U200" s="3657" t="s">
        <v>1175</v>
      </c>
      <c r="V200" s="3657" t="s">
        <v>1124</v>
      </c>
      <c r="W200" s="3657"/>
      <c r="X200" s="3657" t="s">
        <v>1099</v>
      </c>
      <c r="Y200" s="3657"/>
      <c r="Z200" s="3661" t="s">
        <v>3518</v>
      </c>
      <c r="AA200" s="3620" t="s">
        <v>3519</v>
      </c>
      <c r="AB200" s="3624" t="s">
        <v>1199</v>
      </c>
      <c r="AC200" s="4058">
        <v>4.4796</v>
      </c>
      <c r="AD200" s="3618">
        <f t="shared" si="105"/>
        <v>10697.2848</v>
      </c>
      <c r="AE200" s="3633"/>
      <c r="AF200" s="959" t="s">
        <v>3520</v>
      </c>
      <c r="AG200" s="3620" t="s">
        <v>416</v>
      </c>
      <c r="AH200" s="3620"/>
      <c r="AI200" s="3620"/>
      <c r="AJ200" s="3620"/>
      <c r="AK200" s="959">
        <f>I200</f>
        <v>2388</v>
      </c>
      <c r="AL200" s="959"/>
      <c r="AM200" s="959"/>
      <c r="AN200" s="959"/>
      <c r="AO200" s="959"/>
      <c r="AP200" s="3618">
        <f t="shared" si="122"/>
        <v>2388</v>
      </c>
      <c r="AQ200" s="3618"/>
      <c r="AR200" s="3626"/>
      <c r="AS200" s="3626">
        <f t="shared" si="123"/>
        <v>2388</v>
      </c>
      <c r="AT200" s="3626"/>
      <c r="AU200" s="3626"/>
      <c r="AV200" s="3626"/>
      <c r="AW200" s="3626"/>
      <c r="AX200" s="3626"/>
      <c r="AY200" s="3626"/>
      <c r="AZ200" s="3626"/>
      <c r="BA200" s="3626"/>
      <c r="BB200" s="3626"/>
      <c r="BC200" s="3626"/>
      <c r="BD200" s="3626"/>
      <c r="BE200" s="3626"/>
      <c r="BF200" s="3626"/>
      <c r="BG200" s="3626"/>
      <c r="BH200" s="3626"/>
      <c r="BI200" s="3626" t="s">
        <v>89</v>
      </c>
      <c r="BJ200" s="3626">
        <f t="shared" si="124"/>
        <v>79.6</v>
      </c>
      <c r="BK200" s="3626">
        <f t="shared" si="125"/>
        <v>398</v>
      </c>
      <c r="BL200" s="3626">
        <f t="shared" si="126"/>
        <v>398</v>
      </c>
      <c r="BM200" s="3626">
        <f t="shared" si="127"/>
        <v>318.4</v>
      </c>
      <c r="BN200" s="3626">
        <f t="shared" si="128"/>
        <v>398</v>
      </c>
      <c r="BO200" s="4055">
        <f t="shared" si="129"/>
        <v>398</v>
      </c>
      <c r="BP200" s="3627">
        <f t="shared" si="130"/>
        <v>398</v>
      </c>
      <c r="BQ200" s="3627">
        <f t="shared" si="107"/>
        <v>2388</v>
      </c>
      <c r="BR200" s="3627">
        <f t="shared" si="108"/>
        <v>0</v>
      </c>
      <c r="BS200" s="4056"/>
      <c r="BT200" s="4057"/>
    </row>
    <row r="201" s="3566" customFormat="1" ht="50" customHeight="1" spans="1:72">
      <c r="A201" s="3635">
        <v>45740</v>
      </c>
      <c r="B201" s="3630" t="s">
        <v>6725</v>
      </c>
      <c r="C201" s="3617" t="s">
        <v>581</v>
      </c>
      <c r="D201" s="3629">
        <v>4500161209</v>
      </c>
      <c r="E201" s="959" t="s">
        <v>6726</v>
      </c>
      <c r="F201" s="3631" t="s">
        <v>6727</v>
      </c>
      <c r="G201" s="959" t="s">
        <v>6124</v>
      </c>
      <c r="H201" s="3618" t="s">
        <v>6063</v>
      </c>
      <c r="I201" s="3618">
        <v>5004</v>
      </c>
      <c r="J201" s="3618">
        <v>0</v>
      </c>
      <c r="K201" s="3618">
        <v>12</v>
      </c>
      <c r="L201" s="4052">
        <f t="shared" si="121"/>
        <v>417</v>
      </c>
      <c r="M201" s="3619">
        <v>45777</v>
      </c>
      <c r="N201" s="3619">
        <v>45773</v>
      </c>
      <c r="O201" s="3618"/>
      <c r="P201" s="959" t="s">
        <v>82</v>
      </c>
      <c r="Q201" s="959"/>
      <c r="R201" s="959"/>
      <c r="S201" s="959"/>
      <c r="T201" s="4053"/>
      <c r="U201" s="3620" t="s">
        <v>188</v>
      </c>
      <c r="V201" s="3640" t="s">
        <v>3675</v>
      </c>
      <c r="W201" s="3640"/>
      <c r="X201" s="3640" t="s">
        <v>1197</v>
      </c>
      <c r="Y201" s="3640"/>
      <c r="Z201" s="3618"/>
      <c r="AA201" s="3620" t="s">
        <v>6728</v>
      </c>
      <c r="AB201" s="3624" t="s">
        <v>459</v>
      </c>
      <c r="AC201" s="4058">
        <v>2.2307</v>
      </c>
      <c r="AD201" s="3618">
        <f t="shared" si="105"/>
        <v>11162.4228</v>
      </c>
      <c r="AE201" s="3633" t="s">
        <v>6729</v>
      </c>
      <c r="AF201" s="959" t="s">
        <v>6124</v>
      </c>
      <c r="AG201" s="3620" t="s">
        <v>416</v>
      </c>
      <c r="AH201" s="3620"/>
      <c r="AI201" s="3620"/>
      <c r="AJ201" s="3620"/>
      <c r="AK201" s="959">
        <f>I201</f>
        <v>5004</v>
      </c>
      <c r="AL201" s="959"/>
      <c r="AM201" s="959"/>
      <c r="AN201" s="959"/>
      <c r="AO201" s="959"/>
      <c r="AP201" s="3618">
        <f t="shared" si="122"/>
        <v>5004</v>
      </c>
      <c r="AQ201" s="3618"/>
      <c r="AR201" s="3626"/>
      <c r="AS201" s="3626">
        <f t="shared" si="123"/>
        <v>5004</v>
      </c>
      <c r="AT201" s="3626"/>
      <c r="AU201" s="3626"/>
      <c r="AV201" s="3626"/>
      <c r="AW201" s="3626">
        <f>I201/6</f>
        <v>834</v>
      </c>
      <c r="AX201" s="3626"/>
      <c r="AY201" s="3626"/>
      <c r="AZ201" s="3626"/>
      <c r="BA201" s="3626"/>
      <c r="BB201" s="3626"/>
      <c r="BC201" s="3626"/>
      <c r="BD201" s="3626"/>
      <c r="BE201" s="3626"/>
      <c r="BF201" s="3626"/>
      <c r="BG201" s="3626"/>
      <c r="BH201" s="3626"/>
      <c r="BI201" s="3626" t="s">
        <v>89</v>
      </c>
      <c r="BJ201" s="3626">
        <f t="shared" si="124"/>
        <v>166.8</v>
      </c>
      <c r="BK201" s="3626">
        <f t="shared" si="125"/>
        <v>834</v>
      </c>
      <c r="BL201" s="3626">
        <f t="shared" si="126"/>
        <v>834</v>
      </c>
      <c r="BM201" s="3626">
        <f t="shared" si="127"/>
        <v>667.2</v>
      </c>
      <c r="BN201" s="4055">
        <f t="shared" si="128"/>
        <v>834</v>
      </c>
      <c r="BO201" s="3627">
        <f t="shared" si="129"/>
        <v>834</v>
      </c>
      <c r="BP201" s="3627">
        <f t="shared" si="130"/>
        <v>834</v>
      </c>
      <c r="BQ201" s="3627">
        <f t="shared" si="107"/>
        <v>5004</v>
      </c>
      <c r="BR201" s="3627">
        <f t="shared" si="108"/>
        <v>0</v>
      </c>
      <c r="BS201" s="4056"/>
      <c r="BT201" s="4057"/>
    </row>
    <row r="202" s="3566" customFormat="1" ht="50" customHeight="1" spans="1:72">
      <c r="A202" s="3635">
        <v>45755</v>
      </c>
      <c r="B202" s="3630" t="s">
        <v>331</v>
      </c>
      <c r="C202" s="3617" t="s">
        <v>793</v>
      </c>
      <c r="D202" s="3629">
        <v>4500162932</v>
      </c>
      <c r="E202" s="959" t="s">
        <v>6730</v>
      </c>
      <c r="F202" s="3631" t="s">
        <v>6731</v>
      </c>
      <c r="G202" s="959" t="s">
        <v>6298</v>
      </c>
      <c r="H202" s="3618" t="s">
        <v>6063</v>
      </c>
      <c r="I202" s="3618">
        <v>2000</v>
      </c>
      <c r="J202" s="3618">
        <v>0</v>
      </c>
      <c r="K202" s="3618">
        <v>4</v>
      </c>
      <c r="L202" s="4052">
        <f t="shared" si="121"/>
        <v>500</v>
      </c>
      <c r="M202" s="3619">
        <v>45782</v>
      </c>
      <c r="N202" s="3619">
        <v>45778</v>
      </c>
      <c r="O202" s="3618"/>
      <c r="P202" s="959" t="s">
        <v>82</v>
      </c>
      <c r="Q202" s="959"/>
      <c r="R202" s="959"/>
      <c r="S202" s="959"/>
      <c r="T202" s="4053"/>
      <c r="U202" s="3620" t="s">
        <v>2406</v>
      </c>
      <c r="V202" s="3649" t="s">
        <v>3566</v>
      </c>
      <c r="W202" s="3640"/>
      <c r="X202" s="3695" t="s">
        <v>6732</v>
      </c>
      <c r="Y202" s="3640"/>
      <c r="Z202" s="3618"/>
      <c r="AA202" s="3620" t="s">
        <v>6733</v>
      </c>
      <c r="AB202" s="3624" t="s">
        <v>2382</v>
      </c>
      <c r="AC202" s="3618">
        <v>2.2915</v>
      </c>
      <c r="AD202" s="3618">
        <f t="shared" si="105"/>
        <v>4583</v>
      </c>
      <c r="AE202" s="3633"/>
      <c r="AF202" s="959" t="s">
        <v>6298</v>
      </c>
      <c r="AG202" s="3620" t="s">
        <v>416</v>
      </c>
      <c r="AH202" s="3620"/>
      <c r="AI202" s="3620"/>
      <c r="AJ202" s="3620"/>
      <c r="AK202" s="959">
        <f>I202</f>
        <v>2000</v>
      </c>
      <c r="AL202" s="959"/>
      <c r="AM202" s="959"/>
      <c r="AN202" s="959"/>
      <c r="AO202" s="959"/>
      <c r="AP202" s="3618">
        <f t="shared" si="122"/>
        <v>2000</v>
      </c>
      <c r="AQ202" s="3618"/>
      <c r="AR202" s="3626"/>
      <c r="AS202" s="3626">
        <f t="shared" si="123"/>
        <v>2000</v>
      </c>
      <c r="AT202" s="3626"/>
      <c r="AU202" s="3626"/>
      <c r="AV202" s="3626"/>
      <c r="AW202" s="3626"/>
      <c r="AX202" s="3626"/>
      <c r="AY202" s="3626"/>
      <c r="AZ202" s="3626"/>
      <c r="BA202" s="3626"/>
      <c r="BB202" s="3626"/>
      <c r="BC202" s="3626">
        <f>I202/4</f>
        <v>500</v>
      </c>
      <c r="BD202" s="3626"/>
      <c r="BE202" s="3626"/>
      <c r="BF202" s="3626"/>
      <c r="BG202" s="3626"/>
      <c r="BH202" s="3626"/>
      <c r="BI202" s="3626" t="s">
        <v>89</v>
      </c>
      <c r="BJ202" s="3626">
        <f t="shared" si="124"/>
        <v>66.6666666666667</v>
      </c>
      <c r="BK202" s="3626">
        <f t="shared" si="125"/>
        <v>333.333333333333</v>
      </c>
      <c r="BL202" s="3626">
        <f t="shared" si="126"/>
        <v>333.333333333333</v>
      </c>
      <c r="BM202" s="3626">
        <f t="shared" si="127"/>
        <v>266.666666666667</v>
      </c>
      <c r="BN202" s="3626">
        <f t="shared" si="128"/>
        <v>333.333333333333</v>
      </c>
      <c r="BO202" s="4055">
        <f t="shared" si="129"/>
        <v>333.333333333333</v>
      </c>
      <c r="BP202" s="3627">
        <f t="shared" si="130"/>
        <v>333.333333333333</v>
      </c>
      <c r="BQ202" s="3627">
        <f t="shared" si="107"/>
        <v>2000</v>
      </c>
      <c r="BR202" s="3627">
        <f t="shared" si="108"/>
        <v>0</v>
      </c>
      <c r="BS202" s="4056"/>
      <c r="BT202" s="4057"/>
    </row>
    <row r="203" s="3566" customFormat="1" ht="50" customHeight="1" spans="1:72">
      <c r="A203" s="3635">
        <v>45730</v>
      </c>
      <c r="B203" s="3617" t="s">
        <v>1141</v>
      </c>
      <c r="C203" s="3617" t="s">
        <v>1151</v>
      </c>
      <c r="D203" s="3624">
        <v>4500160092</v>
      </c>
      <c r="E203" s="3618" t="s">
        <v>1152</v>
      </c>
      <c r="F203" s="3617" t="s">
        <v>6734</v>
      </c>
      <c r="G203" s="3618" t="s">
        <v>6124</v>
      </c>
      <c r="H203" s="3618" t="s">
        <v>6063</v>
      </c>
      <c r="I203" s="3618">
        <v>960</v>
      </c>
      <c r="J203" s="3618">
        <v>0</v>
      </c>
      <c r="K203" s="3618">
        <v>12</v>
      </c>
      <c r="L203" s="4052">
        <f t="shared" si="121"/>
        <v>80</v>
      </c>
      <c r="M203" s="3619">
        <v>45775</v>
      </c>
      <c r="N203" s="3659">
        <v>45783</v>
      </c>
      <c r="O203" s="3618"/>
      <c r="P203" s="959" t="s">
        <v>82</v>
      </c>
      <c r="Q203" s="959"/>
      <c r="R203" s="959"/>
      <c r="S203" s="959"/>
      <c r="T203" s="4053"/>
      <c r="U203" s="3645" t="s">
        <v>1146</v>
      </c>
      <c r="V203" s="3649" t="s">
        <v>1147</v>
      </c>
      <c r="W203" s="3649"/>
      <c r="X203" s="3649" t="s">
        <v>3534</v>
      </c>
      <c r="Y203" s="3649"/>
      <c r="Z203" s="3664" t="s">
        <v>1149</v>
      </c>
      <c r="AA203" s="3620" t="s">
        <v>6735</v>
      </c>
      <c r="AB203" s="4058" t="s">
        <v>459</v>
      </c>
      <c r="AC203" s="3618">
        <v>2.259</v>
      </c>
      <c r="AD203" s="3633">
        <f t="shared" si="105"/>
        <v>2168.64</v>
      </c>
      <c r="AE203" s="3620"/>
      <c r="AF203" s="959" t="s">
        <v>6126</v>
      </c>
      <c r="AG203" s="3620" t="s">
        <v>416</v>
      </c>
      <c r="AH203" s="3620"/>
      <c r="AI203" s="3620"/>
      <c r="AJ203" s="959"/>
      <c r="AK203" s="959"/>
      <c r="AL203" s="959"/>
      <c r="AM203" s="959">
        <f>I203</f>
        <v>960</v>
      </c>
      <c r="AN203" s="959"/>
      <c r="AO203" s="3618"/>
      <c r="AP203" s="3618">
        <f t="shared" si="122"/>
        <v>960</v>
      </c>
      <c r="AQ203" s="3618"/>
      <c r="AR203" s="3626"/>
      <c r="AS203" s="3626">
        <f t="shared" si="123"/>
        <v>960</v>
      </c>
      <c r="AT203" s="3626"/>
      <c r="AU203" s="3626"/>
      <c r="AV203" s="3626"/>
      <c r="AW203" s="3626">
        <f>I203/6</f>
        <v>160</v>
      </c>
      <c r="AX203" s="3626"/>
      <c r="AY203" s="3626"/>
      <c r="AZ203" s="3626"/>
      <c r="BA203" s="3626"/>
      <c r="BB203" s="3626"/>
      <c r="BC203" s="3626"/>
      <c r="BD203" s="3626"/>
      <c r="BE203" s="3626"/>
      <c r="BF203" s="3626"/>
      <c r="BG203" s="3626"/>
      <c r="BH203" s="3626"/>
      <c r="BI203" s="3626" t="s">
        <v>89</v>
      </c>
      <c r="BJ203" s="3626">
        <f t="shared" si="124"/>
        <v>32</v>
      </c>
      <c r="BK203" s="3626">
        <f t="shared" si="125"/>
        <v>160</v>
      </c>
      <c r="BL203" s="3626">
        <f t="shared" si="126"/>
        <v>160</v>
      </c>
      <c r="BM203" s="3626">
        <f t="shared" si="127"/>
        <v>128</v>
      </c>
      <c r="BN203" s="4055">
        <f t="shared" si="128"/>
        <v>160</v>
      </c>
      <c r="BO203" s="3627">
        <f t="shared" si="129"/>
        <v>160</v>
      </c>
      <c r="BP203" s="3627">
        <f t="shared" si="130"/>
        <v>160</v>
      </c>
      <c r="BQ203" s="3627">
        <f t="shared" si="107"/>
        <v>960</v>
      </c>
      <c r="BR203" s="3627">
        <f t="shared" si="108"/>
        <v>0</v>
      </c>
      <c r="BS203" s="4056"/>
      <c r="BT203" s="4057"/>
    </row>
    <row r="204" s="3566" customFormat="1" ht="50" customHeight="1" spans="1:72">
      <c r="A204" s="3635">
        <v>45754</v>
      </c>
      <c r="B204" s="3634" t="s">
        <v>6060</v>
      </c>
      <c r="C204" s="3617" t="s">
        <v>1624</v>
      </c>
      <c r="D204" s="3629">
        <v>4500162346</v>
      </c>
      <c r="E204" s="959">
        <v>5200006527</v>
      </c>
      <c r="F204" s="3631" t="s">
        <v>6736</v>
      </c>
      <c r="G204" s="959" t="s">
        <v>6062</v>
      </c>
      <c r="H204" s="3618" t="s">
        <v>6063</v>
      </c>
      <c r="I204" s="3618">
        <v>3018</v>
      </c>
      <c r="J204" s="3618">
        <v>0</v>
      </c>
      <c r="K204" s="3618">
        <v>6</v>
      </c>
      <c r="L204" s="4052">
        <f t="shared" si="121"/>
        <v>503</v>
      </c>
      <c r="M204" s="3619">
        <v>45783</v>
      </c>
      <c r="N204" s="3619">
        <v>45779</v>
      </c>
      <c r="O204" s="3618"/>
      <c r="P204" s="959" t="s">
        <v>82</v>
      </c>
      <c r="Q204" s="959"/>
      <c r="R204" s="959"/>
      <c r="S204" s="959"/>
      <c r="T204" s="4053"/>
      <c r="U204" s="3620" t="s">
        <v>188</v>
      </c>
      <c r="V204" s="3640" t="s">
        <v>1167</v>
      </c>
      <c r="W204" s="3640"/>
      <c r="X204" s="3695" t="s">
        <v>6737</v>
      </c>
      <c r="Y204" s="3640"/>
      <c r="Z204" s="3618"/>
      <c r="AA204" s="4065" t="s">
        <v>6738</v>
      </c>
      <c r="AB204" s="3624" t="s">
        <v>3593</v>
      </c>
      <c r="AC204" s="4058">
        <v>2.3105</v>
      </c>
      <c r="AD204" s="3618">
        <f t="shared" si="105"/>
        <v>6973.089</v>
      </c>
      <c r="AE204" s="3633" t="s">
        <v>6739</v>
      </c>
      <c r="AF204" s="959" t="s">
        <v>6068</v>
      </c>
      <c r="AG204" s="3620" t="s">
        <v>416</v>
      </c>
      <c r="AH204" s="3620"/>
      <c r="AI204" s="3620"/>
      <c r="AJ204" s="3620"/>
      <c r="AK204" s="959"/>
      <c r="AL204" s="959"/>
      <c r="AM204" s="959">
        <f>I204</f>
        <v>3018</v>
      </c>
      <c r="AN204" s="959"/>
      <c r="AO204" s="3618"/>
      <c r="AP204" s="3618">
        <f t="shared" si="122"/>
        <v>3018</v>
      </c>
      <c r="AQ204" s="3618"/>
      <c r="AR204" s="3626"/>
      <c r="AS204" s="3626"/>
      <c r="AT204" s="3626"/>
      <c r="AU204" s="3626">
        <f>I204</f>
        <v>3018</v>
      </c>
      <c r="AV204" s="3626"/>
      <c r="AW204" s="3626"/>
      <c r="AX204" s="3626"/>
      <c r="AY204" s="3626">
        <f>I204/6</f>
        <v>503</v>
      </c>
      <c r="AZ204" s="3626"/>
      <c r="BA204" s="3626"/>
      <c r="BB204" s="3626"/>
      <c r="BC204" s="3626"/>
      <c r="BD204" s="3626"/>
      <c r="BE204" s="3626"/>
      <c r="BF204" s="3626"/>
      <c r="BG204" s="3626"/>
      <c r="BH204" s="3626"/>
      <c r="BI204" s="3626" t="s">
        <v>89</v>
      </c>
      <c r="BJ204" s="3626">
        <f t="shared" si="124"/>
        <v>100.6</v>
      </c>
      <c r="BK204" s="3626">
        <f t="shared" si="125"/>
        <v>503</v>
      </c>
      <c r="BL204" s="3626">
        <f t="shared" si="126"/>
        <v>503</v>
      </c>
      <c r="BM204" s="3626">
        <f t="shared" si="127"/>
        <v>402.4</v>
      </c>
      <c r="BN204" s="3626">
        <f t="shared" si="128"/>
        <v>503</v>
      </c>
      <c r="BO204" s="4055">
        <f t="shared" si="129"/>
        <v>503</v>
      </c>
      <c r="BP204" s="3627">
        <f t="shared" si="130"/>
        <v>503</v>
      </c>
      <c r="BQ204" s="3627">
        <f t="shared" si="107"/>
        <v>3018</v>
      </c>
      <c r="BR204" s="3627">
        <f t="shared" si="108"/>
        <v>0</v>
      </c>
      <c r="BS204" s="4056"/>
      <c r="BT204" s="4057"/>
    </row>
    <row r="205" s="3566" customFormat="1" ht="50" customHeight="1" spans="1:72">
      <c r="A205" s="3635">
        <v>45732</v>
      </c>
      <c r="B205" s="3634" t="s">
        <v>3555</v>
      </c>
      <c r="C205" s="3617" t="s">
        <v>1385</v>
      </c>
      <c r="D205" s="3629">
        <v>4500160342</v>
      </c>
      <c r="E205" s="959" t="s">
        <v>3556</v>
      </c>
      <c r="F205" s="3631" t="s">
        <v>6740</v>
      </c>
      <c r="G205" s="959" t="s">
        <v>6195</v>
      </c>
      <c r="H205" s="3618" t="s">
        <v>6063</v>
      </c>
      <c r="I205" s="3618">
        <v>9000</v>
      </c>
      <c r="J205" s="3618">
        <v>0</v>
      </c>
      <c r="K205" s="3618">
        <v>12</v>
      </c>
      <c r="L205" s="4052">
        <f t="shared" si="121"/>
        <v>750</v>
      </c>
      <c r="M205" s="3619">
        <v>45783</v>
      </c>
      <c r="N205" s="3619">
        <v>45779</v>
      </c>
      <c r="O205" s="3618"/>
      <c r="P205" s="959" t="s">
        <v>82</v>
      </c>
      <c r="Q205" s="959"/>
      <c r="R205" s="959"/>
      <c r="S205" s="959"/>
      <c r="T205" s="4053"/>
      <c r="U205" s="3657" t="s">
        <v>1162</v>
      </c>
      <c r="V205" s="3649" t="s">
        <v>3558</v>
      </c>
      <c r="W205" s="3649"/>
      <c r="X205" s="3649" t="s">
        <v>98</v>
      </c>
      <c r="Y205" s="3640"/>
      <c r="Z205" s="3618"/>
      <c r="AA205" s="3620" t="s">
        <v>3559</v>
      </c>
      <c r="AB205" s="3624" t="s">
        <v>448</v>
      </c>
      <c r="AC205" s="4058">
        <v>2.1725</v>
      </c>
      <c r="AD205" s="3618">
        <f t="shared" si="105"/>
        <v>19552.5</v>
      </c>
      <c r="AE205" s="3633"/>
      <c r="AF205" s="959" t="s">
        <v>6195</v>
      </c>
      <c r="AG205" s="3620" t="s">
        <v>416</v>
      </c>
      <c r="AH205" s="3620"/>
      <c r="AI205" s="3620"/>
      <c r="AJ205" s="3620"/>
      <c r="AK205" s="959">
        <f>I205</f>
        <v>9000</v>
      </c>
      <c r="AL205" s="959"/>
      <c r="AM205" s="959"/>
      <c r="AN205" s="959"/>
      <c r="AO205" s="959"/>
      <c r="AP205" s="3618">
        <f t="shared" si="122"/>
        <v>9000</v>
      </c>
      <c r="AQ205" s="3618"/>
      <c r="AR205" s="3626"/>
      <c r="AS205" s="3626">
        <f>I205</f>
        <v>9000</v>
      </c>
      <c r="AT205" s="3626"/>
      <c r="AU205" s="3626"/>
      <c r="AV205" s="3626"/>
      <c r="AW205" s="3626"/>
      <c r="AX205" s="3626"/>
      <c r="AY205" s="3626">
        <f>I205/6</f>
        <v>1500</v>
      </c>
      <c r="AZ205" s="3626"/>
      <c r="BA205" s="3626"/>
      <c r="BB205" s="3626"/>
      <c r="BC205" s="3626"/>
      <c r="BD205" s="3626"/>
      <c r="BE205" s="3626"/>
      <c r="BF205" s="3626"/>
      <c r="BG205" s="3626"/>
      <c r="BH205" s="3626"/>
      <c r="BI205" s="3626" t="s">
        <v>89</v>
      </c>
      <c r="BJ205" s="3626">
        <f t="shared" si="124"/>
        <v>300</v>
      </c>
      <c r="BK205" s="3626">
        <f t="shared" si="125"/>
        <v>1500</v>
      </c>
      <c r="BL205" s="3626">
        <f t="shared" si="126"/>
        <v>1500</v>
      </c>
      <c r="BM205" s="3626">
        <f t="shared" si="127"/>
        <v>1200</v>
      </c>
      <c r="BN205" s="3626">
        <f t="shared" si="128"/>
        <v>1500</v>
      </c>
      <c r="BO205" s="4055">
        <f t="shared" si="129"/>
        <v>1500</v>
      </c>
      <c r="BP205" s="3627">
        <f t="shared" si="130"/>
        <v>1500</v>
      </c>
      <c r="BQ205" s="3627">
        <f t="shared" si="107"/>
        <v>9000</v>
      </c>
      <c r="BR205" s="3627">
        <f t="shared" si="108"/>
        <v>0</v>
      </c>
      <c r="BS205" s="4056"/>
      <c r="BT205" s="4057"/>
    </row>
    <row r="206" s="3566" customFormat="1" ht="50" customHeight="1" spans="1:72">
      <c r="A206" s="3635">
        <v>45749</v>
      </c>
      <c r="B206" s="3630" t="s">
        <v>2908</v>
      </c>
      <c r="C206" s="3617" t="s">
        <v>341</v>
      </c>
      <c r="D206" s="3629">
        <v>4500162042</v>
      </c>
      <c r="E206" s="959">
        <v>2734184</v>
      </c>
      <c r="F206" s="3617" t="s">
        <v>6741</v>
      </c>
      <c r="G206" s="959" t="s">
        <v>6298</v>
      </c>
      <c r="H206" s="3618" t="s">
        <v>6063</v>
      </c>
      <c r="I206" s="3618">
        <v>3500</v>
      </c>
      <c r="J206" s="3618">
        <v>0</v>
      </c>
      <c r="K206" s="3618">
        <v>4</v>
      </c>
      <c r="L206" s="4052">
        <f t="shared" si="121"/>
        <v>875</v>
      </c>
      <c r="M206" s="3619">
        <v>45786</v>
      </c>
      <c r="N206" s="3619">
        <v>45782</v>
      </c>
      <c r="O206" s="959"/>
      <c r="P206" s="959" t="s">
        <v>82</v>
      </c>
      <c r="Q206" s="959"/>
      <c r="R206" s="959"/>
      <c r="S206" s="959"/>
      <c r="T206" s="4053"/>
      <c r="U206" s="3620" t="s">
        <v>3574</v>
      </c>
      <c r="V206" s="3649" t="s">
        <v>3575</v>
      </c>
      <c r="W206" s="3649"/>
      <c r="X206" s="3649" t="s">
        <v>98</v>
      </c>
      <c r="Y206" s="3640"/>
      <c r="Z206" s="3623"/>
      <c r="AA206" s="3620" t="s">
        <v>6742</v>
      </c>
      <c r="AB206" s="3624" t="s">
        <v>3577</v>
      </c>
      <c r="AC206" s="3618">
        <v>2.3295</v>
      </c>
      <c r="AD206" s="3618">
        <f t="shared" si="105"/>
        <v>8153.25</v>
      </c>
      <c r="AE206" s="3633"/>
      <c r="AF206" s="959" t="s">
        <v>6298</v>
      </c>
      <c r="AG206" s="3620" t="s">
        <v>416</v>
      </c>
      <c r="AH206" s="3620"/>
      <c r="AI206" s="3620"/>
      <c r="AJ206" s="3620"/>
      <c r="AK206" s="959">
        <f>I206</f>
        <v>3500</v>
      </c>
      <c r="AL206" s="959"/>
      <c r="AM206" s="959"/>
      <c r="AN206" s="959"/>
      <c r="AO206" s="959"/>
      <c r="AP206" s="3618">
        <f t="shared" ref="AP206:AP252" si="131">I206</f>
        <v>3500</v>
      </c>
      <c r="AQ206" s="3618"/>
      <c r="AR206" s="3626"/>
      <c r="AS206" s="3626">
        <f t="shared" ref="AS206:AS214" si="132">I206</f>
        <v>3500</v>
      </c>
      <c r="AT206" s="3626"/>
      <c r="AU206" s="3626"/>
      <c r="AV206" s="3626"/>
      <c r="AW206" s="3626"/>
      <c r="AX206" s="3626"/>
      <c r="AY206" s="3626"/>
      <c r="AZ206" s="3626"/>
      <c r="BA206" s="3626"/>
      <c r="BB206" s="3626"/>
      <c r="BC206" s="3626">
        <f>I206/4</f>
        <v>875</v>
      </c>
      <c r="BD206" s="3626"/>
      <c r="BE206" s="3626"/>
      <c r="BF206" s="3626"/>
      <c r="BG206" s="3626"/>
      <c r="BH206" s="3626"/>
      <c r="BI206" s="3626" t="s">
        <v>89</v>
      </c>
      <c r="BJ206" s="3626">
        <f t="shared" si="124"/>
        <v>116.666666666667</v>
      </c>
      <c r="BK206" s="3626">
        <f t="shared" si="125"/>
        <v>583.333333333333</v>
      </c>
      <c r="BL206" s="3626">
        <f t="shared" si="126"/>
        <v>583.333333333333</v>
      </c>
      <c r="BM206" s="3626">
        <f t="shared" si="127"/>
        <v>466.666666666667</v>
      </c>
      <c r="BN206" s="3626">
        <f t="shared" si="128"/>
        <v>583.333333333333</v>
      </c>
      <c r="BO206" s="4055">
        <f t="shared" si="129"/>
        <v>583.333333333333</v>
      </c>
      <c r="BP206" s="3627">
        <f t="shared" si="130"/>
        <v>583.333333333333</v>
      </c>
      <c r="BQ206" s="3627">
        <f t="shared" si="107"/>
        <v>3500</v>
      </c>
      <c r="BR206" s="3627">
        <f t="shared" si="108"/>
        <v>0</v>
      </c>
      <c r="BS206" s="4056"/>
      <c r="BT206" s="4057"/>
    </row>
    <row r="207" s="3566" customFormat="1" ht="50" customHeight="1" spans="1:72">
      <c r="A207" s="3635">
        <v>45736</v>
      </c>
      <c r="B207" s="3630" t="s">
        <v>6341</v>
      </c>
      <c r="C207" s="3617" t="s">
        <v>506</v>
      </c>
      <c r="D207" s="3629">
        <v>4500157563</v>
      </c>
      <c r="E207" s="959" t="s">
        <v>6743</v>
      </c>
      <c r="F207" s="3617" t="s">
        <v>6744</v>
      </c>
      <c r="G207" s="959" t="s">
        <v>6124</v>
      </c>
      <c r="H207" s="3618" t="s">
        <v>6063</v>
      </c>
      <c r="I207" s="3618">
        <v>624</v>
      </c>
      <c r="J207" s="3618">
        <v>0</v>
      </c>
      <c r="K207" s="3618">
        <v>12</v>
      </c>
      <c r="L207" s="4052">
        <f t="shared" si="121"/>
        <v>52</v>
      </c>
      <c r="M207" s="3619">
        <v>45803</v>
      </c>
      <c r="N207" s="3619">
        <f>M207-4</f>
        <v>45799</v>
      </c>
      <c r="O207" s="959"/>
      <c r="P207" s="959" t="s">
        <v>82</v>
      </c>
      <c r="Q207" s="959"/>
      <c r="R207" s="959"/>
      <c r="S207" s="959"/>
      <c r="T207" s="4053"/>
      <c r="U207" s="3620" t="s">
        <v>1208</v>
      </c>
      <c r="V207" s="3649" t="s">
        <v>912</v>
      </c>
      <c r="W207" s="3649"/>
      <c r="X207" s="3649" t="s">
        <v>6345</v>
      </c>
      <c r="Y207" s="3640"/>
      <c r="Z207" s="3623"/>
      <c r="AA207" s="3620" t="s">
        <v>6346</v>
      </c>
      <c r="AB207" s="3624" t="s">
        <v>3202</v>
      </c>
      <c r="AC207" s="4058">
        <v>2.2444</v>
      </c>
      <c r="AD207" s="3618">
        <f t="shared" si="105"/>
        <v>1400.5056</v>
      </c>
      <c r="AE207" s="3633"/>
      <c r="AF207" s="959" t="s">
        <v>6124</v>
      </c>
      <c r="AG207" s="3620" t="s">
        <v>416</v>
      </c>
      <c r="AH207" s="3620"/>
      <c r="AI207" s="3620"/>
      <c r="AJ207" s="3620"/>
      <c r="AK207" s="959">
        <f t="shared" ref="AK207:AK214" si="133">I207</f>
        <v>624</v>
      </c>
      <c r="AL207" s="959"/>
      <c r="AM207" s="959"/>
      <c r="AN207" s="959"/>
      <c r="AO207" s="959"/>
      <c r="AP207" s="3618">
        <f t="shared" si="131"/>
        <v>624</v>
      </c>
      <c r="AQ207" s="3618"/>
      <c r="AR207" s="3626"/>
      <c r="AS207" s="3626">
        <f t="shared" si="132"/>
        <v>624</v>
      </c>
      <c r="AT207" s="3626"/>
      <c r="AU207" s="3626"/>
      <c r="AV207" s="3626"/>
      <c r="AW207" s="3626">
        <f t="shared" ref="AW207:AW213" si="134">I207/6</f>
        <v>104</v>
      </c>
      <c r="AX207" s="3626"/>
      <c r="AY207" s="3626"/>
      <c r="AZ207" s="3626"/>
      <c r="BA207" s="3626"/>
      <c r="BB207" s="3626"/>
      <c r="BC207" s="3626"/>
      <c r="BD207" s="3626"/>
      <c r="BE207" s="3626"/>
      <c r="BF207" s="3626"/>
      <c r="BG207" s="3626"/>
      <c r="BH207" s="3626"/>
      <c r="BI207" s="3626" t="s">
        <v>89</v>
      </c>
      <c r="BJ207" s="3626">
        <f t="shared" ref="BJ207:BJ218" si="135">I207/60*2</f>
        <v>20.8</v>
      </c>
      <c r="BK207" s="3626">
        <f t="shared" ref="BK207:BK218" si="136">I207/60*10</f>
        <v>104</v>
      </c>
      <c r="BL207" s="3626">
        <f t="shared" ref="BL207:BL218" si="137">I207/60*10</f>
        <v>104</v>
      </c>
      <c r="BM207" s="3626">
        <f t="shared" ref="BM207:BM218" si="138">I207/60*8</f>
        <v>83.2</v>
      </c>
      <c r="BN207" s="3626">
        <f t="shared" ref="BN207:BN218" si="139">I207/60*10</f>
        <v>104</v>
      </c>
      <c r="BO207" s="4055">
        <f t="shared" ref="BO207:BO218" si="140">I207/60*10</f>
        <v>104</v>
      </c>
      <c r="BP207" s="3627">
        <f t="shared" ref="BP207:BP218" si="141">I207/60*10</f>
        <v>104</v>
      </c>
      <c r="BQ207" s="3627">
        <f t="shared" si="107"/>
        <v>624</v>
      </c>
      <c r="BR207" s="3627">
        <f t="shared" si="108"/>
        <v>0</v>
      </c>
      <c r="BS207" s="4056"/>
      <c r="BT207" s="4057"/>
    </row>
    <row r="208" s="3566" customFormat="1" ht="50" customHeight="1" spans="1:72">
      <c r="A208" s="3635">
        <v>45737</v>
      </c>
      <c r="B208" s="3630" t="s">
        <v>6341</v>
      </c>
      <c r="C208" s="3617" t="s">
        <v>506</v>
      </c>
      <c r="D208" s="3629">
        <v>4500157563</v>
      </c>
      <c r="E208" s="959" t="s">
        <v>6745</v>
      </c>
      <c r="F208" s="3617" t="s">
        <v>6746</v>
      </c>
      <c r="G208" s="959" t="s">
        <v>6124</v>
      </c>
      <c r="H208" s="3618" t="s">
        <v>6063</v>
      </c>
      <c r="I208" s="3618">
        <v>288</v>
      </c>
      <c r="J208" s="3618">
        <v>0</v>
      </c>
      <c r="K208" s="3618">
        <v>12</v>
      </c>
      <c r="L208" s="4052">
        <f t="shared" si="121"/>
        <v>24</v>
      </c>
      <c r="M208" s="3619">
        <v>45803</v>
      </c>
      <c r="N208" s="3619">
        <f>M208-4</f>
        <v>45799</v>
      </c>
      <c r="O208" s="959"/>
      <c r="P208" s="959" t="s">
        <v>82</v>
      </c>
      <c r="Q208" s="959"/>
      <c r="R208" s="959"/>
      <c r="S208" s="959"/>
      <c r="T208" s="4053"/>
      <c r="U208" s="3620" t="s">
        <v>1208</v>
      </c>
      <c r="V208" s="3649" t="s">
        <v>912</v>
      </c>
      <c r="W208" s="3649"/>
      <c r="X208" s="3649" t="s">
        <v>6345</v>
      </c>
      <c r="Y208" s="3640"/>
      <c r="Z208" s="3623"/>
      <c r="AA208" s="3620" t="s">
        <v>6346</v>
      </c>
      <c r="AB208" s="3624" t="s">
        <v>3202</v>
      </c>
      <c r="AC208" s="4058">
        <v>2.4252</v>
      </c>
      <c r="AD208" s="3618">
        <f t="shared" si="105"/>
        <v>698.4576</v>
      </c>
      <c r="AE208" s="3633"/>
      <c r="AF208" s="959" t="s">
        <v>6124</v>
      </c>
      <c r="AG208" s="3620" t="s">
        <v>416</v>
      </c>
      <c r="AH208" s="3620"/>
      <c r="AI208" s="3620"/>
      <c r="AJ208" s="3620"/>
      <c r="AK208" s="959">
        <f t="shared" si="133"/>
        <v>288</v>
      </c>
      <c r="AL208" s="959"/>
      <c r="AM208" s="959"/>
      <c r="AN208" s="959"/>
      <c r="AO208" s="959"/>
      <c r="AP208" s="3618">
        <f t="shared" si="131"/>
        <v>288</v>
      </c>
      <c r="AQ208" s="3618"/>
      <c r="AR208" s="3626"/>
      <c r="AS208" s="3626">
        <f t="shared" si="132"/>
        <v>288</v>
      </c>
      <c r="AT208" s="3626"/>
      <c r="AU208" s="3626"/>
      <c r="AV208" s="3626"/>
      <c r="AW208" s="3626">
        <f t="shared" si="134"/>
        <v>48</v>
      </c>
      <c r="AX208" s="3626"/>
      <c r="AY208" s="3626"/>
      <c r="AZ208" s="3626"/>
      <c r="BA208" s="3626"/>
      <c r="BB208" s="3626"/>
      <c r="BC208" s="3626"/>
      <c r="BD208" s="3626"/>
      <c r="BE208" s="3626"/>
      <c r="BF208" s="3626"/>
      <c r="BG208" s="3626"/>
      <c r="BH208" s="3626"/>
      <c r="BI208" s="3626" t="s">
        <v>89</v>
      </c>
      <c r="BJ208" s="3626">
        <f t="shared" si="135"/>
        <v>9.6</v>
      </c>
      <c r="BK208" s="3626">
        <f t="shared" si="136"/>
        <v>48</v>
      </c>
      <c r="BL208" s="3626">
        <f t="shared" si="137"/>
        <v>48</v>
      </c>
      <c r="BM208" s="3626">
        <f t="shared" si="138"/>
        <v>38.4</v>
      </c>
      <c r="BN208" s="3626">
        <f t="shared" si="139"/>
        <v>48</v>
      </c>
      <c r="BO208" s="4055">
        <f t="shared" si="140"/>
        <v>48</v>
      </c>
      <c r="BP208" s="3627">
        <f t="shared" si="141"/>
        <v>48</v>
      </c>
      <c r="BQ208" s="3627">
        <f t="shared" si="107"/>
        <v>288</v>
      </c>
      <c r="BR208" s="3627">
        <f t="shared" si="108"/>
        <v>0</v>
      </c>
      <c r="BS208" s="4056"/>
      <c r="BT208" s="4057"/>
    </row>
    <row r="209" s="3566" customFormat="1" ht="50" customHeight="1" spans="1:83">
      <c r="A209" s="3635">
        <v>45738</v>
      </c>
      <c r="B209" s="3630" t="s">
        <v>6341</v>
      </c>
      <c r="C209" s="3617" t="s">
        <v>506</v>
      </c>
      <c r="D209" s="3629">
        <v>4500157563</v>
      </c>
      <c r="E209" s="959" t="s">
        <v>6747</v>
      </c>
      <c r="F209" s="3617" t="s">
        <v>6748</v>
      </c>
      <c r="G209" s="959" t="s">
        <v>6124</v>
      </c>
      <c r="H209" s="3618" t="s">
        <v>6063</v>
      </c>
      <c r="I209" s="3618">
        <v>504</v>
      </c>
      <c r="J209" s="3618">
        <v>0</v>
      </c>
      <c r="K209" s="3618">
        <v>12</v>
      </c>
      <c r="L209" s="4052">
        <f t="shared" si="121"/>
        <v>42</v>
      </c>
      <c r="M209" s="3619">
        <v>45803</v>
      </c>
      <c r="N209" s="3619">
        <f>M209-4</f>
        <v>45799</v>
      </c>
      <c r="O209" s="959"/>
      <c r="P209" s="959" t="s">
        <v>82</v>
      </c>
      <c r="Q209" s="959"/>
      <c r="R209" s="959"/>
      <c r="S209" s="959"/>
      <c r="T209" s="4053"/>
      <c r="U209" s="3620" t="s">
        <v>1208</v>
      </c>
      <c r="V209" s="3649" t="s">
        <v>912</v>
      </c>
      <c r="W209" s="3649"/>
      <c r="X209" s="3649" t="s">
        <v>6345</v>
      </c>
      <c r="Y209" s="3640"/>
      <c r="Z209" s="3623"/>
      <c r="AA209" s="3620" t="s">
        <v>6346</v>
      </c>
      <c r="AB209" s="3624" t="s">
        <v>3202</v>
      </c>
      <c r="AC209" s="4058">
        <v>2.2444</v>
      </c>
      <c r="AD209" s="3618">
        <f t="shared" si="105"/>
        <v>1131.1776</v>
      </c>
      <c r="AE209" s="3633"/>
      <c r="AF209" s="959" t="s">
        <v>6124</v>
      </c>
      <c r="AG209" s="3620" t="s">
        <v>416</v>
      </c>
      <c r="AH209" s="3620"/>
      <c r="AI209" s="3620"/>
      <c r="AJ209" s="3620"/>
      <c r="AK209" s="959">
        <f t="shared" si="133"/>
        <v>504</v>
      </c>
      <c r="AL209" s="959"/>
      <c r="AM209" s="959"/>
      <c r="AN209" s="959"/>
      <c r="AO209" s="959"/>
      <c r="AP209" s="3618">
        <f t="shared" si="131"/>
        <v>504</v>
      </c>
      <c r="AQ209" s="3618"/>
      <c r="AR209" s="3626"/>
      <c r="AS209" s="3626">
        <f t="shared" si="132"/>
        <v>504</v>
      </c>
      <c r="AT209" s="3626"/>
      <c r="AU209" s="3626"/>
      <c r="AV209" s="3626"/>
      <c r="AW209" s="3626">
        <f t="shared" si="134"/>
        <v>84</v>
      </c>
      <c r="AX209" s="3626"/>
      <c r="AY209" s="3626"/>
      <c r="AZ209" s="3626"/>
      <c r="BA209" s="3626"/>
      <c r="BB209" s="3626"/>
      <c r="BC209" s="3626"/>
      <c r="BD209" s="3626"/>
      <c r="BE209" s="3626"/>
      <c r="BF209" s="3626"/>
      <c r="BG209" s="3626"/>
      <c r="BH209" s="3626"/>
      <c r="BI209" s="3626" t="s">
        <v>89</v>
      </c>
      <c r="BJ209" s="3626">
        <f t="shared" si="135"/>
        <v>16.8</v>
      </c>
      <c r="BK209" s="3626">
        <f t="shared" si="136"/>
        <v>84</v>
      </c>
      <c r="BL209" s="3626">
        <f t="shared" si="137"/>
        <v>84</v>
      </c>
      <c r="BM209" s="3626">
        <f t="shared" si="138"/>
        <v>67.2</v>
      </c>
      <c r="BN209" s="3626">
        <f t="shared" si="139"/>
        <v>84</v>
      </c>
      <c r="BO209" s="4055">
        <f t="shared" si="140"/>
        <v>84</v>
      </c>
      <c r="BP209" s="3627">
        <f t="shared" si="141"/>
        <v>84</v>
      </c>
      <c r="BQ209" s="3627">
        <f t="shared" si="107"/>
        <v>504</v>
      </c>
      <c r="BR209" s="3627">
        <f t="shared" si="108"/>
        <v>0</v>
      </c>
      <c r="BS209" s="4056"/>
      <c r="BT209" s="4057"/>
    </row>
    <row r="210" s="3566" customFormat="1" ht="50" customHeight="1" spans="1:83">
      <c r="A210" s="3635">
        <v>45739</v>
      </c>
      <c r="B210" s="3630" t="s">
        <v>6341</v>
      </c>
      <c r="C210" s="3617" t="s">
        <v>506</v>
      </c>
      <c r="D210" s="3629">
        <v>4500157563</v>
      </c>
      <c r="E210" s="959" t="s">
        <v>6749</v>
      </c>
      <c r="F210" s="3617" t="s">
        <v>6750</v>
      </c>
      <c r="G210" s="959" t="s">
        <v>6124</v>
      </c>
      <c r="H210" s="3618" t="s">
        <v>6063</v>
      </c>
      <c r="I210" s="3618">
        <v>96</v>
      </c>
      <c r="J210" s="3618">
        <v>0</v>
      </c>
      <c r="K210" s="3618">
        <v>12</v>
      </c>
      <c r="L210" s="4052">
        <f t="shared" si="121"/>
        <v>8</v>
      </c>
      <c r="M210" s="3619">
        <v>45789</v>
      </c>
      <c r="N210" s="3619">
        <f>M210-4</f>
        <v>45785</v>
      </c>
      <c r="O210" s="959"/>
      <c r="P210" s="959" t="s">
        <v>82</v>
      </c>
      <c r="Q210" s="959"/>
      <c r="R210" s="959"/>
      <c r="S210" s="959"/>
      <c r="T210" s="4053"/>
      <c r="U210" s="3620" t="s">
        <v>6751</v>
      </c>
      <c r="V210" s="3649" t="s">
        <v>912</v>
      </c>
      <c r="W210" s="3649"/>
      <c r="X210" s="3649" t="s">
        <v>6345</v>
      </c>
      <c r="Y210" s="3640"/>
      <c r="Z210" s="3623"/>
      <c r="AA210" s="3620" t="s">
        <v>6346</v>
      </c>
      <c r="AB210" s="3624" t="s">
        <v>3202</v>
      </c>
      <c r="AC210" s="4058">
        <v>2.2444</v>
      </c>
      <c r="AD210" s="3618">
        <f t="shared" si="105"/>
        <v>215.4624</v>
      </c>
      <c r="AE210" s="3633"/>
      <c r="AF210" s="959" t="s">
        <v>6124</v>
      </c>
      <c r="AG210" s="3620" t="s">
        <v>416</v>
      </c>
      <c r="AH210" s="3620"/>
      <c r="AI210" s="3620"/>
      <c r="AJ210" s="3620"/>
      <c r="AK210" s="959">
        <f t="shared" si="133"/>
        <v>96</v>
      </c>
      <c r="AL210" s="959"/>
      <c r="AM210" s="959"/>
      <c r="AN210" s="959"/>
      <c r="AO210" s="959"/>
      <c r="AP210" s="3618">
        <f t="shared" si="131"/>
        <v>96</v>
      </c>
      <c r="AQ210" s="3618"/>
      <c r="AR210" s="3626"/>
      <c r="AS210" s="3626">
        <f t="shared" si="132"/>
        <v>96</v>
      </c>
      <c r="AT210" s="3626"/>
      <c r="AU210" s="3626"/>
      <c r="AV210" s="3626"/>
      <c r="AW210" s="3626">
        <f t="shared" si="134"/>
        <v>16</v>
      </c>
      <c r="AX210" s="3626"/>
      <c r="AY210" s="3626"/>
      <c r="AZ210" s="3626"/>
      <c r="BA210" s="3626"/>
      <c r="BB210" s="3626"/>
      <c r="BC210" s="3626"/>
      <c r="BD210" s="3626"/>
      <c r="BE210" s="3626"/>
      <c r="BF210" s="3626"/>
      <c r="BG210" s="3626"/>
      <c r="BH210" s="3626"/>
      <c r="BI210" s="3626" t="s">
        <v>89</v>
      </c>
      <c r="BJ210" s="3626">
        <f t="shared" si="135"/>
        <v>3.2</v>
      </c>
      <c r="BK210" s="3626">
        <f t="shared" si="136"/>
        <v>16</v>
      </c>
      <c r="BL210" s="3626">
        <f t="shared" si="137"/>
        <v>16</v>
      </c>
      <c r="BM210" s="3626">
        <f t="shared" si="138"/>
        <v>12.8</v>
      </c>
      <c r="BN210" s="3626">
        <f t="shared" si="139"/>
        <v>16</v>
      </c>
      <c r="BO210" s="4055">
        <f t="shared" si="140"/>
        <v>16</v>
      </c>
      <c r="BP210" s="3627">
        <f t="shared" si="141"/>
        <v>16</v>
      </c>
      <c r="BQ210" s="3627">
        <f t="shared" si="107"/>
        <v>96</v>
      </c>
      <c r="BR210" s="3627">
        <f t="shared" si="108"/>
        <v>0</v>
      </c>
      <c r="BS210" s="4056"/>
      <c r="BT210" s="4057"/>
    </row>
    <row r="211" s="3566" customFormat="1" ht="50" customHeight="1" spans="1:83">
      <c r="A211" s="3635">
        <v>45744</v>
      </c>
      <c r="B211" s="3617" t="s">
        <v>2961</v>
      </c>
      <c r="C211" s="3617" t="s">
        <v>341</v>
      </c>
      <c r="D211" s="3624">
        <v>4500161792</v>
      </c>
      <c r="E211" s="3618" t="s">
        <v>3564</v>
      </c>
      <c r="F211" s="3617" t="s">
        <v>6752</v>
      </c>
      <c r="G211" s="959" t="s">
        <v>6753</v>
      </c>
      <c r="H211" s="3618" t="s">
        <v>6063</v>
      </c>
      <c r="I211" s="3618">
        <v>504</v>
      </c>
      <c r="J211" s="3618">
        <v>6</v>
      </c>
      <c r="K211" s="3618">
        <v>12</v>
      </c>
      <c r="L211" s="4052">
        <f t="shared" si="121"/>
        <v>42</v>
      </c>
      <c r="M211" s="3619">
        <v>45789</v>
      </c>
      <c r="N211" s="3619">
        <v>45785</v>
      </c>
      <c r="O211" s="3618"/>
      <c r="P211" s="959" t="s">
        <v>82</v>
      </c>
      <c r="Q211" s="959"/>
      <c r="R211" s="959"/>
      <c r="S211" s="959"/>
      <c r="T211" s="4053"/>
      <c r="U211" s="3645" t="s">
        <v>1146</v>
      </c>
      <c r="V211" s="3657" t="s">
        <v>3566</v>
      </c>
      <c r="W211" s="3657"/>
      <c r="X211" s="3657" t="s">
        <v>98</v>
      </c>
      <c r="Y211" s="3640"/>
      <c r="Z211" s="3623"/>
      <c r="AA211" s="3620" t="s">
        <v>6754</v>
      </c>
      <c r="AB211" s="3624" t="s">
        <v>1459</v>
      </c>
      <c r="AC211" s="4058">
        <v>2.3982</v>
      </c>
      <c r="AD211" s="3618">
        <f t="shared" si="105"/>
        <v>1208.6928</v>
      </c>
      <c r="AE211" s="3633"/>
      <c r="AF211" s="959" t="s">
        <v>6753</v>
      </c>
      <c r="AG211" s="3620" t="s">
        <v>416</v>
      </c>
      <c r="AH211" s="3620"/>
      <c r="AI211" s="3620"/>
      <c r="AJ211" s="3620"/>
      <c r="AK211" s="959">
        <f t="shared" si="133"/>
        <v>504</v>
      </c>
      <c r="AL211" s="959"/>
      <c r="AM211" s="959"/>
      <c r="AN211" s="959"/>
      <c r="AO211" s="959"/>
      <c r="AP211" s="3618">
        <f t="shared" si="131"/>
        <v>504</v>
      </c>
      <c r="AQ211" s="3618"/>
      <c r="AR211" s="3626"/>
      <c r="AS211" s="3626">
        <f t="shared" si="132"/>
        <v>504</v>
      </c>
      <c r="AT211" s="3626"/>
      <c r="AU211" s="3626"/>
      <c r="AV211" s="3626"/>
      <c r="AW211" s="3626">
        <f t="shared" si="134"/>
        <v>84</v>
      </c>
      <c r="AX211" s="3626"/>
      <c r="AY211" s="3626"/>
      <c r="AZ211" s="3626"/>
      <c r="BA211" s="3626"/>
      <c r="BB211" s="3626"/>
      <c r="BC211" s="3626"/>
      <c r="BD211" s="3626"/>
      <c r="BE211" s="3626"/>
      <c r="BF211" s="3626"/>
      <c r="BG211" s="3626"/>
      <c r="BH211" s="3626"/>
      <c r="BI211" s="3626" t="s">
        <v>89</v>
      </c>
      <c r="BJ211" s="3626">
        <f t="shared" si="135"/>
        <v>16.8</v>
      </c>
      <c r="BK211" s="3626">
        <f t="shared" si="136"/>
        <v>84</v>
      </c>
      <c r="BL211" s="3626">
        <f t="shared" si="137"/>
        <v>84</v>
      </c>
      <c r="BM211" s="3626">
        <f t="shared" si="138"/>
        <v>67.2</v>
      </c>
      <c r="BN211" s="3626">
        <f t="shared" si="139"/>
        <v>84</v>
      </c>
      <c r="BO211" s="4055">
        <f t="shared" si="140"/>
        <v>84</v>
      </c>
      <c r="BP211" s="3627">
        <f t="shared" si="141"/>
        <v>84</v>
      </c>
      <c r="BQ211" s="3627">
        <f t="shared" si="107"/>
        <v>504</v>
      </c>
      <c r="BR211" s="3627">
        <f t="shared" si="108"/>
        <v>0</v>
      </c>
      <c r="BS211" s="4056"/>
      <c r="BT211" s="4057"/>
    </row>
    <row r="212" s="3566" customFormat="1" ht="50" customHeight="1" spans="1:83">
      <c r="A212" s="3635">
        <v>45747</v>
      </c>
      <c r="B212" s="3617" t="s">
        <v>6341</v>
      </c>
      <c r="C212" s="3617" t="s">
        <v>506</v>
      </c>
      <c r="D212" s="3624">
        <v>4500161957</v>
      </c>
      <c r="E212" s="3618" t="s">
        <v>6755</v>
      </c>
      <c r="F212" s="3617" t="s">
        <v>6756</v>
      </c>
      <c r="G212" s="959" t="s">
        <v>6124</v>
      </c>
      <c r="H212" s="3618" t="s">
        <v>6063</v>
      </c>
      <c r="I212" s="3618">
        <v>948</v>
      </c>
      <c r="J212" s="3618">
        <v>0</v>
      </c>
      <c r="K212" s="3618">
        <v>12</v>
      </c>
      <c r="L212" s="4052">
        <f t="shared" si="121"/>
        <v>79</v>
      </c>
      <c r="M212" s="3619">
        <v>45803</v>
      </c>
      <c r="N212" s="3619">
        <v>45799</v>
      </c>
      <c r="O212" s="3618"/>
      <c r="P212" s="959" t="s">
        <v>82</v>
      </c>
      <c r="Q212" s="959"/>
      <c r="R212" s="959"/>
      <c r="S212" s="959"/>
      <c r="T212" s="4053"/>
      <c r="U212" s="3620" t="s">
        <v>1208</v>
      </c>
      <c r="V212" s="3640" t="s">
        <v>3675</v>
      </c>
      <c r="W212" s="3640"/>
      <c r="X212" s="3695" t="s">
        <v>6345</v>
      </c>
      <c r="Y212" s="3640"/>
      <c r="Z212" s="3623"/>
      <c r="AA212" s="3620" t="s">
        <v>6757</v>
      </c>
      <c r="AB212" s="3624" t="s">
        <v>3202</v>
      </c>
      <c r="AC212" s="4058">
        <v>2.375</v>
      </c>
      <c r="AD212" s="3618">
        <f t="shared" si="105"/>
        <v>2251.5</v>
      </c>
      <c r="AE212" s="3633"/>
      <c r="AF212" s="959" t="s">
        <v>6124</v>
      </c>
      <c r="AG212" s="3620" t="s">
        <v>416</v>
      </c>
      <c r="AH212" s="3620"/>
      <c r="AI212" s="3620"/>
      <c r="AJ212" s="3620"/>
      <c r="AK212" s="959">
        <f t="shared" si="133"/>
        <v>948</v>
      </c>
      <c r="AL212" s="959"/>
      <c r="AM212" s="959"/>
      <c r="AN212" s="959"/>
      <c r="AO212" s="959"/>
      <c r="AP212" s="3618">
        <f t="shared" si="131"/>
        <v>948</v>
      </c>
      <c r="AQ212" s="3618"/>
      <c r="AR212" s="3626"/>
      <c r="AS212" s="3626">
        <f t="shared" si="132"/>
        <v>948</v>
      </c>
      <c r="AT212" s="3626"/>
      <c r="AU212" s="3626"/>
      <c r="AV212" s="3626"/>
      <c r="AW212" s="3626">
        <f t="shared" si="134"/>
        <v>158</v>
      </c>
      <c r="AX212" s="3626"/>
      <c r="AY212" s="3626"/>
      <c r="AZ212" s="3626"/>
      <c r="BA212" s="3626"/>
      <c r="BB212" s="3626"/>
      <c r="BC212" s="3626"/>
      <c r="BD212" s="3626"/>
      <c r="BE212" s="3626"/>
      <c r="BF212" s="3626"/>
      <c r="BG212" s="3626"/>
      <c r="BH212" s="3626"/>
      <c r="BI212" s="3626" t="s">
        <v>89</v>
      </c>
      <c r="BJ212" s="3626">
        <f t="shared" si="135"/>
        <v>31.6</v>
      </c>
      <c r="BK212" s="3626">
        <f t="shared" si="136"/>
        <v>158</v>
      </c>
      <c r="BL212" s="3626">
        <f t="shared" si="137"/>
        <v>158</v>
      </c>
      <c r="BM212" s="3626">
        <f t="shared" si="138"/>
        <v>126.4</v>
      </c>
      <c r="BN212" s="3626">
        <f t="shared" si="139"/>
        <v>158</v>
      </c>
      <c r="BO212" s="4055">
        <f t="shared" si="140"/>
        <v>158</v>
      </c>
      <c r="BP212" s="3627">
        <f t="shared" si="141"/>
        <v>158</v>
      </c>
      <c r="BQ212" s="3627">
        <f t="shared" si="107"/>
        <v>948</v>
      </c>
      <c r="BR212" s="3627">
        <f t="shared" si="108"/>
        <v>0</v>
      </c>
      <c r="BS212" s="4056"/>
      <c r="BT212" s="4057"/>
    </row>
    <row r="213" s="3566" customFormat="1" ht="50" customHeight="1" spans="1:83">
      <c r="A213" s="3635">
        <v>45747</v>
      </c>
      <c r="B213" s="3617" t="s">
        <v>6341</v>
      </c>
      <c r="C213" s="3617" t="s">
        <v>506</v>
      </c>
      <c r="D213" s="3624">
        <v>4500161957</v>
      </c>
      <c r="E213" s="959" t="s">
        <v>6758</v>
      </c>
      <c r="F213" s="3617" t="s">
        <v>6759</v>
      </c>
      <c r="G213" s="959" t="s">
        <v>6124</v>
      </c>
      <c r="H213" s="3618" t="s">
        <v>6063</v>
      </c>
      <c r="I213" s="3618">
        <v>564</v>
      </c>
      <c r="J213" s="3618">
        <v>0</v>
      </c>
      <c r="K213" s="3618">
        <v>12</v>
      </c>
      <c r="L213" s="4052">
        <f t="shared" si="121"/>
        <v>47</v>
      </c>
      <c r="M213" s="3619">
        <v>45803</v>
      </c>
      <c r="N213" s="3619">
        <v>45799</v>
      </c>
      <c r="O213" s="3618"/>
      <c r="P213" s="959" t="s">
        <v>82</v>
      </c>
      <c r="Q213" s="959"/>
      <c r="R213" s="959"/>
      <c r="S213" s="959"/>
      <c r="T213" s="4053"/>
      <c r="U213" s="3620" t="s">
        <v>1208</v>
      </c>
      <c r="V213" s="3640" t="s">
        <v>3675</v>
      </c>
      <c r="W213" s="3640"/>
      <c r="X213" s="3695" t="s">
        <v>6345</v>
      </c>
      <c r="Y213" s="3640"/>
      <c r="Z213" s="3623"/>
      <c r="AA213" s="3620" t="s">
        <v>6757</v>
      </c>
      <c r="AB213" s="3624" t="s">
        <v>3202</v>
      </c>
      <c r="AC213" s="4058">
        <v>2.375</v>
      </c>
      <c r="AD213" s="3618">
        <f t="shared" si="105"/>
        <v>1339.5</v>
      </c>
      <c r="AE213" s="3633"/>
      <c r="AF213" s="959" t="s">
        <v>6124</v>
      </c>
      <c r="AG213" s="3620" t="s">
        <v>416</v>
      </c>
      <c r="AH213" s="3620"/>
      <c r="AI213" s="3620"/>
      <c r="AJ213" s="3620"/>
      <c r="AK213" s="959">
        <f t="shared" si="133"/>
        <v>564</v>
      </c>
      <c r="AL213" s="959"/>
      <c r="AM213" s="959"/>
      <c r="AN213" s="959"/>
      <c r="AO213" s="959"/>
      <c r="AP213" s="3618">
        <f t="shared" si="131"/>
        <v>564</v>
      </c>
      <c r="AQ213" s="3618"/>
      <c r="AR213" s="3626"/>
      <c r="AS213" s="3626">
        <f t="shared" si="132"/>
        <v>564</v>
      </c>
      <c r="AT213" s="3626"/>
      <c r="AU213" s="3626"/>
      <c r="AV213" s="3626"/>
      <c r="AW213" s="3626">
        <f t="shared" si="134"/>
        <v>94</v>
      </c>
      <c r="AX213" s="3626"/>
      <c r="AY213" s="3626"/>
      <c r="AZ213" s="3626"/>
      <c r="BA213" s="3626"/>
      <c r="BB213" s="3626"/>
      <c r="BC213" s="3626"/>
      <c r="BD213" s="3626"/>
      <c r="BE213" s="3626"/>
      <c r="BF213" s="3626"/>
      <c r="BG213" s="3626"/>
      <c r="BH213" s="3626"/>
      <c r="BI213" s="3626" t="s">
        <v>89</v>
      </c>
      <c r="BJ213" s="3626">
        <f t="shared" si="135"/>
        <v>18.8</v>
      </c>
      <c r="BK213" s="3626">
        <f t="shared" si="136"/>
        <v>94</v>
      </c>
      <c r="BL213" s="3626">
        <f t="shared" si="137"/>
        <v>94</v>
      </c>
      <c r="BM213" s="3626">
        <f t="shared" si="138"/>
        <v>75.2</v>
      </c>
      <c r="BN213" s="3626">
        <f t="shared" si="139"/>
        <v>94</v>
      </c>
      <c r="BO213" s="4055">
        <f t="shared" si="140"/>
        <v>94</v>
      </c>
      <c r="BP213" s="3627">
        <f t="shared" si="141"/>
        <v>94</v>
      </c>
      <c r="BQ213" s="3627">
        <f t="shared" si="107"/>
        <v>564</v>
      </c>
      <c r="BR213" s="3627">
        <f t="shared" si="108"/>
        <v>0</v>
      </c>
      <c r="BS213" s="4056"/>
      <c r="BT213" s="4057"/>
    </row>
    <row r="214" s="3566" customFormat="1" ht="50" customHeight="1" spans="1:83">
      <c r="A214" s="3635">
        <v>45750</v>
      </c>
      <c r="B214" s="3617" t="s">
        <v>1172</v>
      </c>
      <c r="C214" s="3617" t="s">
        <v>91</v>
      </c>
      <c r="D214" s="3624">
        <v>4500162408</v>
      </c>
      <c r="E214" s="3618" t="s">
        <v>1173</v>
      </c>
      <c r="F214" s="3617" t="s">
        <v>6760</v>
      </c>
      <c r="G214" s="959" t="s">
        <v>6195</v>
      </c>
      <c r="H214" s="3618" t="s">
        <v>6063</v>
      </c>
      <c r="I214" s="3618">
        <v>1200</v>
      </c>
      <c r="J214" s="3618">
        <v>0</v>
      </c>
      <c r="K214" s="3618">
        <v>12</v>
      </c>
      <c r="L214" s="4052">
        <f t="shared" si="121"/>
        <v>100</v>
      </c>
      <c r="M214" s="3619">
        <v>45791</v>
      </c>
      <c r="N214" s="3619">
        <v>45787</v>
      </c>
      <c r="O214" s="3618" t="s">
        <v>963</v>
      </c>
      <c r="P214" s="959" t="s">
        <v>82</v>
      </c>
      <c r="Q214" s="3636"/>
      <c r="R214" s="3636"/>
      <c r="S214" s="3636"/>
      <c r="T214" s="4076"/>
      <c r="U214" s="3649" t="s">
        <v>1175</v>
      </c>
      <c r="V214" s="3649" t="s">
        <v>1176</v>
      </c>
      <c r="W214" s="3649"/>
      <c r="X214" s="3649" t="s">
        <v>98</v>
      </c>
      <c r="Y214" s="3640"/>
      <c r="Z214" s="3623"/>
      <c r="AA214" s="3620" t="s">
        <v>1177</v>
      </c>
      <c r="AB214" s="3624" t="s">
        <v>1178</v>
      </c>
      <c r="AC214" s="4058">
        <v>2.2515</v>
      </c>
      <c r="AD214" s="3618">
        <f t="shared" si="105"/>
        <v>2701.8</v>
      </c>
      <c r="AE214" s="3633"/>
      <c r="AF214" s="959" t="s">
        <v>6195</v>
      </c>
      <c r="AG214" s="3620" t="s">
        <v>416</v>
      </c>
      <c r="AH214" s="3620"/>
      <c r="AI214" s="3620"/>
      <c r="AJ214" s="3620"/>
      <c r="AK214" s="959">
        <f t="shared" si="133"/>
        <v>1200</v>
      </c>
      <c r="AL214" s="959"/>
      <c r="AM214" s="959"/>
      <c r="AN214" s="959"/>
      <c r="AO214" s="959"/>
      <c r="AP214" s="3618">
        <f t="shared" si="131"/>
        <v>1200</v>
      </c>
      <c r="AQ214" s="3618"/>
      <c r="AR214" s="3626"/>
      <c r="AS214" s="3626">
        <f t="shared" si="132"/>
        <v>1200</v>
      </c>
      <c r="AT214" s="3626"/>
      <c r="AU214" s="3626"/>
      <c r="AV214" s="3626"/>
      <c r="AW214" s="3626"/>
      <c r="AX214" s="3626"/>
      <c r="AY214" s="3626">
        <f>I214/6</f>
        <v>200</v>
      </c>
      <c r="AZ214" s="3626"/>
      <c r="BA214" s="3626"/>
      <c r="BB214" s="3626"/>
      <c r="BC214" s="3626"/>
      <c r="BD214" s="3626"/>
      <c r="BE214" s="3626"/>
      <c r="BF214" s="3626"/>
      <c r="BG214" s="3626"/>
      <c r="BH214" s="3626"/>
      <c r="BI214" s="3626" t="s">
        <v>89</v>
      </c>
      <c r="BJ214" s="3626">
        <f t="shared" si="135"/>
        <v>40</v>
      </c>
      <c r="BK214" s="3626">
        <f t="shared" si="136"/>
        <v>200</v>
      </c>
      <c r="BL214" s="3626">
        <f t="shared" si="137"/>
        <v>200</v>
      </c>
      <c r="BM214" s="3626">
        <f t="shared" si="138"/>
        <v>160</v>
      </c>
      <c r="BN214" s="3626">
        <f t="shared" si="139"/>
        <v>200</v>
      </c>
      <c r="BO214" s="4055">
        <f t="shared" si="140"/>
        <v>200</v>
      </c>
      <c r="BP214" s="3627">
        <f t="shared" si="141"/>
        <v>200</v>
      </c>
      <c r="BQ214" s="3627">
        <f t="shared" si="107"/>
        <v>1200</v>
      </c>
      <c r="BR214" s="3627">
        <f t="shared" si="108"/>
        <v>0</v>
      </c>
      <c r="BS214" s="4056"/>
      <c r="BT214" s="4057"/>
    </row>
    <row r="215" s="4025" customFormat="1" ht="50" customHeight="1" spans="1:83">
      <c r="A215" s="3635">
        <v>45729</v>
      </c>
      <c r="B215" s="3689" t="s">
        <v>6224</v>
      </c>
      <c r="C215" s="3664" t="s">
        <v>6225</v>
      </c>
      <c r="D215" s="3690">
        <v>4500159645</v>
      </c>
      <c r="E215" s="3664" t="s">
        <v>6761</v>
      </c>
      <c r="F215" s="4086" t="s">
        <v>6762</v>
      </c>
      <c r="G215" s="3664" t="s">
        <v>6228</v>
      </c>
      <c r="H215" s="3664" t="s">
        <v>2620</v>
      </c>
      <c r="I215" s="3691">
        <v>540</v>
      </c>
      <c r="J215" s="3691">
        <v>0</v>
      </c>
      <c r="K215" s="3691">
        <v>6</v>
      </c>
      <c r="L215" s="4082">
        <f t="shared" si="121"/>
        <v>90</v>
      </c>
      <c r="M215" s="3659">
        <v>45792</v>
      </c>
      <c r="N215" s="3659">
        <v>45789</v>
      </c>
      <c r="O215" s="4085"/>
      <c r="P215" s="959" t="s">
        <v>82</v>
      </c>
      <c r="Q215" s="959"/>
      <c r="R215" s="959"/>
      <c r="S215" s="959"/>
      <c r="T215" s="4053"/>
      <c r="U215" s="3645" t="s">
        <v>3574</v>
      </c>
      <c r="V215" s="3649" t="s">
        <v>1176</v>
      </c>
      <c r="W215" s="3657"/>
      <c r="X215" s="3657" t="s">
        <v>6763</v>
      </c>
      <c r="Y215" s="3657"/>
      <c r="Z215" s="3661"/>
      <c r="AA215" s="3620" t="s">
        <v>6764</v>
      </c>
      <c r="AB215" s="3691" t="s">
        <v>424</v>
      </c>
      <c r="AC215" s="4087">
        <v>2.3193</v>
      </c>
      <c r="AD215" s="3691">
        <f t="shared" si="105"/>
        <v>1252.422</v>
      </c>
      <c r="AE215" s="3645"/>
      <c r="AF215" s="959" t="s">
        <v>6068</v>
      </c>
      <c r="AG215" s="3645" t="s">
        <v>416</v>
      </c>
      <c r="AH215" s="4088"/>
      <c r="AI215" s="3645"/>
      <c r="AJ215" s="3645"/>
      <c r="AK215" s="3664"/>
      <c r="AL215" s="3664"/>
      <c r="AM215" s="959">
        <f t="shared" ref="AM215:AM226" si="142">I215</f>
        <v>540</v>
      </c>
      <c r="AN215" s="959"/>
      <c r="AO215" s="3618"/>
      <c r="AP215" s="3618">
        <f t="shared" si="131"/>
        <v>540</v>
      </c>
      <c r="AQ215" s="3618"/>
      <c r="AR215" s="3691"/>
      <c r="AS215" s="3691"/>
      <c r="AT215" s="3691"/>
      <c r="AU215" s="3626">
        <f>I215</f>
        <v>540</v>
      </c>
      <c r="AV215" s="4089"/>
      <c r="AW215" s="4089"/>
      <c r="AX215" s="4089"/>
      <c r="AY215" s="3626">
        <f>I215/6</f>
        <v>90</v>
      </c>
      <c r="AZ215" s="3626"/>
      <c r="BA215" s="4089"/>
      <c r="BB215" s="4089"/>
      <c r="BC215" s="4089"/>
      <c r="BD215" s="4089"/>
      <c r="BE215" s="4089"/>
      <c r="BF215" s="4089"/>
      <c r="BG215" s="4089"/>
      <c r="BH215" s="4089"/>
      <c r="BI215" s="3626" t="s">
        <v>89</v>
      </c>
      <c r="BJ215" s="3626">
        <f t="shared" si="135"/>
        <v>18</v>
      </c>
      <c r="BK215" s="3626">
        <f t="shared" si="136"/>
        <v>90</v>
      </c>
      <c r="BL215" s="3626">
        <f t="shared" si="137"/>
        <v>90</v>
      </c>
      <c r="BM215" s="3626">
        <f t="shared" si="138"/>
        <v>72</v>
      </c>
      <c r="BN215" s="3626">
        <f t="shared" si="139"/>
        <v>90</v>
      </c>
      <c r="BO215" s="4055">
        <f t="shared" si="140"/>
        <v>90</v>
      </c>
      <c r="BP215" s="3627">
        <f t="shared" si="141"/>
        <v>90</v>
      </c>
      <c r="BQ215" s="3627">
        <f t="shared" si="107"/>
        <v>540</v>
      </c>
      <c r="BR215" s="3627">
        <f t="shared" si="108"/>
        <v>0</v>
      </c>
      <c r="BS215" s="4056"/>
      <c r="BT215" s="4057"/>
      <c r="BU215" s="3566"/>
      <c r="BV215" s="3566"/>
      <c r="BW215" s="3566"/>
      <c r="BX215" s="3566"/>
      <c r="BY215" s="3566"/>
      <c r="BZ215" s="3566"/>
      <c r="CA215" s="3566"/>
      <c r="CB215" s="3566"/>
      <c r="CC215" s="3566"/>
      <c r="CD215" s="3566"/>
      <c r="CE215" s="3566"/>
    </row>
    <row r="216" s="3566" customFormat="1" ht="50" customHeight="1" spans="1:83">
      <c r="A216" s="3635">
        <v>45750</v>
      </c>
      <c r="B216" s="3617" t="s">
        <v>371</v>
      </c>
      <c r="C216" s="3617" t="s">
        <v>341</v>
      </c>
      <c r="D216" s="3624">
        <v>4500162456</v>
      </c>
      <c r="E216" s="959" t="s">
        <v>6765</v>
      </c>
      <c r="F216" s="3617" t="s">
        <v>6766</v>
      </c>
      <c r="G216" s="959" t="s">
        <v>6281</v>
      </c>
      <c r="H216" s="959" t="s">
        <v>6292</v>
      </c>
      <c r="I216" s="3618">
        <v>512</v>
      </c>
      <c r="J216" s="3618">
        <v>1</v>
      </c>
      <c r="K216" s="3618">
        <v>32</v>
      </c>
      <c r="L216" s="4052">
        <f t="shared" si="121"/>
        <v>16</v>
      </c>
      <c r="M216" s="3619">
        <v>45792</v>
      </c>
      <c r="N216" s="3619">
        <v>45789</v>
      </c>
      <c r="O216" s="3618"/>
      <c r="P216" s="959" t="s">
        <v>82</v>
      </c>
      <c r="Q216" s="959"/>
      <c r="R216" s="959"/>
      <c r="S216" s="959"/>
      <c r="T216" s="4053"/>
      <c r="U216" s="3620" t="s">
        <v>6767</v>
      </c>
      <c r="V216" s="3640" t="s">
        <v>6768</v>
      </c>
      <c r="W216" s="3640"/>
      <c r="X216" s="3649" t="s">
        <v>98</v>
      </c>
      <c r="Y216" s="4090" t="s">
        <v>6769</v>
      </c>
      <c r="Z216" s="3640" t="s">
        <v>6716</v>
      </c>
      <c r="AA216" s="3620" t="s">
        <v>6770</v>
      </c>
      <c r="AB216" s="3624" t="s">
        <v>380</v>
      </c>
      <c r="AC216" s="4058">
        <v>2.3158</v>
      </c>
      <c r="AD216" s="3618">
        <f t="shared" si="105"/>
        <v>1185.6896</v>
      </c>
      <c r="AE216" s="3633"/>
      <c r="AF216" s="959" t="s">
        <v>6106</v>
      </c>
      <c r="AG216" s="3620" t="s">
        <v>416</v>
      </c>
      <c r="AH216" s="3620"/>
      <c r="AI216" s="3620"/>
      <c r="AJ216" s="3620"/>
      <c r="AK216" s="959"/>
      <c r="AL216" s="959"/>
      <c r="AM216" s="959">
        <f t="shared" si="142"/>
        <v>512</v>
      </c>
      <c r="AN216" s="959"/>
      <c r="AO216" s="3618"/>
      <c r="AP216" s="3618">
        <f t="shared" si="131"/>
        <v>512</v>
      </c>
      <c r="AQ216" s="3618"/>
      <c r="AR216" s="3626"/>
      <c r="AS216" s="3626">
        <f>I216</f>
        <v>512</v>
      </c>
      <c r="AT216" s="3626"/>
      <c r="AU216" s="3626"/>
      <c r="AV216" s="3626"/>
      <c r="AW216" s="3626"/>
      <c r="AX216" s="3626"/>
      <c r="AY216" s="3626"/>
      <c r="AZ216" s="3626"/>
      <c r="BA216" s="3626"/>
      <c r="BB216" s="3626"/>
      <c r="BC216" s="3626"/>
      <c r="BD216" s="3626"/>
      <c r="BE216" s="3626"/>
      <c r="BF216" s="3626"/>
      <c r="BG216" s="3626"/>
      <c r="BH216" s="3626"/>
      <c r="BI216" s="3626" t="s">
        <v>89</v>
      </c>
      <c r="BJ216" s="3626"/>
      <c r="BK216" s="3626">
        <f>I216</f>
        <v>512</v>
      </c>
      <c r="BL216" s="3626"/>
      <c r="BM216" s="3626"/>
      <c r="BN216" s="3626"/>
      <c r="BO216" s="4055"/>
      <c r="BP216" s="3627"/>
      <c r="BQ216" s="3627">
        <f t="shared" si="107"/>
        <v>512</v>
      </c>
      <c r="BR216" s="3627">
        <f t="shared" si="108"/>
        <v>0</v>
      </c>
      <c r="BS216" s="4056"/>
      <c r="BT216" s="4057"/>
    </row>
    <row r="217" s="3566" customFormat="1" ht="50" customHeight="1" spans="1:83">
      <c r="A217" s="3635">
        <v>45750</v>
      </c>
      <c r="B217" s="3617" t="s">
        <v>371</v>
      </c>
      <c r="C217" s="3617" t="s">
        <v>341</v>
      </c>
      <c r="D217" s="3624">
        <v>4500162456</v>
      </c>
      <c r="E217" s="959" t="s">
        <v>6771</v>
      </c>
      <c r="F217" s="3617" t="s">
        <v>6772</v>
      </c>
      <c r="G217" s="959" t="s">
        <v>6223</v>
      </c>
      <c r="H217" s="959" t="s">
        <v>6272</v>
      </c>
      <c r="I217" s="3618">
        <v>896</v>
      </c>
      <c r="J217" s="3618">
        <v>1</v>
      </c>
      <c r="K217" s="3618">
        <v>32</v>
      </c>
      <c r="L217" s="4052">
        <f t="shared" si="121"/>
        <v>28</v>
      </c>
      <c r="M217" s="3619">
        <v>45792</v>
      </c>
      <c r="N217" s="3619">
        <v>45789</v>
      </c>
      <c r="O217" s="3618"/>
      <c r="P217" s="959" t="s">
        <v>82</v>
      </c>
      <c r="Q217" s="959"/>
      <c r="R217" s="959"/>
      <c r="S217" s="959"/>
      <c r="T217" s="4053"/>
      <c r="U217" s="3620" t="s">
        <v>6767</v>
      </c>
      <c r="V217" s="3640" t="s">
        <v>6768</v>
      </c>
      <c r="W217" s="3640"/>
      <c r="X217" s="3649" t="s">
        <v>98</v>
      </c>
      <c r="Y217" s="4090" t="s">
        <v>6769</v>
      </c>
      <c r="Z217" s="3640" t="s">
        <v>6773</v>
      </c>
      <c r="AA217" s="3620" t="s">
        <v>6774</v>
      </c>
      <c r="AB217" s="3624" t="s">
        <v>380</v>
      </c>
      <c r="AC217" s="4058">
        <v>2.3647</v>
      </c>
      <c r="AD217" s="3618">
        <f t="shared" si="105"/>
        <v>2118.7712</v>
      </c>
      <c r="AE217" s="3633"/>
      <c r="AF217" s="959" t="s">
        <v>6276</v>
      </c>
      <c r="AG217" s="3620" t="s">
        <v>416</v>
      </c>
      <c r="AH217" s="3620"/>
      <c r="AI217" s="3620"/>
      <c r="AJ217" s="3620"/>
      <c r="AK217" s="959"/>
      <c r="AL217" s="959"/>
      <c r="AM217" s="959">
        <f t="shared" si="142"/>
        <v>896</v>
      </c>
      <c r="AN217" s="959"/>
      <c r="AO217" s="3618"/>
      <c r="AP217" s="3618">
        <f t="shared" si="131"/>
        <v>896</v>
      </c>
      <c r="AQ217" s="3618"/>
      <c r="AR217" s="3626"/>
      <c r="AS217" s="3626">
        <f>I217</f>
        <v>896</v>
      </c>
      <c r="AT217" s="3626"/>
      <c r="AU217" s="3626"/>
      <c r="AV217" s="3626"/>
      <c r="AW217" s="3626"/>
      <c r="AX217" s="3626"/>
      <c r="AY217" s="3626"/>
      <c r="AZ217" s="3626"/>
      <c r="BA217" s="3626"/>
      <c r="BB217" s="3626"/>
      <c r="BC217" s="3626"/>
      <c r="BD217" s="3626"/>
      <c r="BE217" s="3626"/>
      <c r="BF217" s="3626"/>
      <c r="BG217" s="3626"/>
      <c r="BH217" s="3626"/>
      <c r="BI217" s="3626" t="s">
        <v>89</v>
      </c>
      <c r="BJ217" s="3626"/>
      <c r="BK217" s="3626"/>
      <c r="BL217" s="3626">
        <f>I217-BJ217</f>
        <v>896</v>
      </c>
      <c r="BM217" s="3626"/>
      <c r="BN217" s="3626"/>
      <c r="BO217" s="4055"/>
      <c r="BP217" s="3627"/>
      <c r="BQ217" s="3627">
        <f t="shared" si="107"/>
        <v>896</v>
      </c>
      <c r="BR217" s="3627">
        <f t="shared" si="108"/>
        <v>0</v>
      </c>
      <c r="BS217" s="4056"/>
      <c r="BT217" s="4057"/>
    </row>
    <row r="218" s="3566" customFormat="1" ht="50" customHeight="1" spans="1:83">
      <c r="A218" s="3635">
        <v>45755</v>
      </c>
      <c r="B218" s="3617" t="s">
        <v>6775</v>
      </c>
      <c r="C218" s="3617" t="s">
        <v>3417</v>
      </c>
      <c r="D218" s="3624">
        <v>4500162922</v>
      </c>
      <c r="E218" s="959">
        <v>4504192366</v>
      </c>
      <c r="F218" s="3617" t="s">
        <v>6776</v>
      </c>
      <c r="G218" s="959" t="s">
        <v>6124</v>
      </c>
      <c r="H218" s="3618" t="s">
        <v>6063</v>
      </c>
      <c r="I218" s="3618">
        <v>1200</v>
      </c>
      <c r="J218" s="3618">
        <v>0</v>
      </c>
      <c r="K218" s="3618">
        <v>12</v>
      </c>
      <c r="L218" s="4052">
        <f t="shared" si="121"/>
        <v>100</v>
      </c>
      <c r="M218" s="3619">
        <v>45792</v>
      </c>
      <c r="N218" s="3619">
        <v>45789</v>
      </c>
      <c r="O218" s="3691" t="s">
        <v>6777</v>
      </c>
      <c r="P218" s="3682" t="s">
        <v>82</v>
      </c>
      <c r="Q218" s="3682"/>
      <c r="R218" s="3682"/>
      <c r="S218" s="3682"/>
      <c r="T218" s="4083"/>
      <c r="U218" s="3645"/>
      <c r="V218" s="3649" t="s">
        <v>1186</v>
      </c>
      <c r="W218" s="3649"/>
      <c r="X218" s="3649" t="s">
        <v>6778</v>
      </c>
      <c r="Y218" s="3640"/>
      <c r="Z218" s="4091"/>
      <c r="AA218" s="3620" t="s">
        <v>6779</v>
      </c>
      <c r="AB218" s="3624" t="s">
        <v>459</v>
      </c>
      <c r="AC218" s="4058">
        <v>2.198</v>
      </c>
      <c r="AD218" s="3618">
        <f t="shared" si="105"/>
        <v>2637.6</v>
      </c>
      <c r="AE218" s="3633"/>
      <c r="AF218" s="959" t="s">
        <v>6126</v>
      </c>
      <c r="AG218" s="3620" t="s">
        <v>416</v>
      </c>
      <c r="AH218" s="3620"/>
      <c r="AI218" s="3620"/>
      <c r="AJ218" s="3620"/>
      <c r="AK218" s="959"/>
      <c r="AL218" s="959"/>
      <c r="AM218" s="959">
        <f t="shared" si="142"/>
        <v>1200</v>
      </c>
      <c r="AN218" s="959"/>
      <c r="AO218" s="3618"/>
      <c r="AP218" s="3618">
        <f t="shared" si="131"/>
        <v>1200</v>
      </c>
      <c r="AQ218" s="3618"/>
      <c r="AR218" s="3626"/>
      <c r="AS218" s="3626">
        <f>I218</f>
        <v>1200</v>
      </c>
      <c r="AT218" s="3626"/>
      <c r="AU218" s="3626"/>
      <c r="AV218" s="3626"/>
      <c r="AW218" s="3626">
        <f>I218/6</f>
        <v>200</v>
      </c>
      <c r="AX218" s="3626"/>
      <c r="AY218" s="3626"/>
      <c r="AZ218" s="3626"/>
      <c r="BA218" s="3626"/>
      <c r="BB218" s="3626"/>
      <c r="BC218" s="3626"/>
      <c r="BD218" s="3626"/>
      <c r="BE218" s="3626"/>
      <c r="BF218" s="3626"/>
      <c r="BG218" s="3626"/>
      <c r="BH218" s="3626"/>
      <c r="BI218" s="3626" t="s">
        <v>89</v>
      </c>
      <c r="BJ218" s="3626">
        <f t="shared" ref="BJ218:BJ233" si="143">I218/60*2</f>
        <v>40</v>
      </c>
      <c r="BK218" s="3626">
        <f t="shared" ref="BK218:BK233" si="144">I218/60*10</f>
        <v>200</v>
      </c>
      <c r="BL218" s="3626">
        <f t="shared" ref="BL218:BL233" si="145">I218/60*10</f>
        <v>200</v>
      </c>
      <c r="BM218" s="3626">
        <f t="shared" ref="BM218:BM233" si="146">I218/60*8</f>
        <v>160</v>
      </c>
      <c r="BN218" s="3626">
        <f t="shared" ref="BN218:BN233" si="147">I218/60*10</f>
        <v>200</v>
      </c>
      <c r="BO218" s="4055">
        <f t="shared" ref="BO218:BO233" si="148">I218/60*10</f>
        <v>200</v>
      </c>
      <c r="BP218" s="3627">
        <f t="shared" ref="BP218:BP233" si="149">I218/60*10</f>
        <v>200</v>
      </c>
      <c r="BQ218" s="3627">
        <f t="shared" si="107"/>
        <v>1200</v>
      </c>
      <c r="BR218" s="3627">
        <f t="shared" si="108"/>
        <v>0</v>
      </c>
      <c r="BS218" s="4056"/>
      <c r="BT218" s="4057"/>
    </row>
    <row r="219" s="3566" customFormat="1" ht="50" customHeight="1" spans="1:83">
      <c r="A219" s="3635">
        <v>45742</v>
      </c>
      <c r="B219" s="3617" t="s">
        <v>6780</v>
      </c>
      <c r="C219" s="3617" t="s">
        <v>6781</v>
      </c>
      <c r="D219" s="3624">
        <v>4500161075</v>
      </c>
      <c r="E219" s="959">
        <v>11098</v>
      </c>
      <c r="F219" s="3617" t="s">
        <v>6782</v>
      </c>
      <c r="G219" s="959" t="s">
        <v>6228</v>
      </c>
      <c r="H219" s="3618" t="s">
        <v>6063</v>
      </c>
      <c r="I219" s="3618">
        <v>1440</v>
      </c>
      <c r="J219" s="3618">
        <v>0</v>
      </c>
      <c r="K219" s="3618">
        <v>6</v>
      </c>
      <c r="L219" s="4052">
        <f t="shared" si="121"/>
        <v>240</v>
      </c>
      <c r="M219" s="3619">
        <v>45793</v>
      </c>
      <c r="N219" s="3619">
        <v>45789</v>
      </c>
      <c r="O219" s="3691"/>
      <c r="P219" s="3682" t="s">
        <v>82</v>
      </c>
      <c r="Q219" s="3682"/>
      <c r="R219" s="3682"/>
      <c r="S219" s="3682"/>
      <c r="T219" s="4083"/>
      <c r="U219" s="3645" t="s">
        <v>3638</v>
      </c>
      <c r="V219" s="3640" t="s">
        <v>1176</v>
      </c>
      <c r="W219" s="3649"/>
      <c r="X219" s="3649" t="s">
        <v>6783</v>
      </c>
      <c r="Y219" s="3640"/>
      <c r="Z219" s="3623"/>
      <c r="AA219" s="3620" t="s">
        <v>6784</v>
      </c>
      <c r="AB219" s="3624" t="s">
        <v>6785</v>
      </c>
      <c r="AC219" s="4058">
        <v>2.2567</v>
      </c>
      <c r="AD219" s="3618">
        <f t="shared" si="105"/>
        <v>3249.648</v>
      </c>
      <c r="AE219" s="3633"/>
      <c r="AF219" s="959" t="s">
        <v>6068</v>
      </c>
      <c r="AG219" s="3620" t="s">
        <v>416</v>
      </c>
      <c r="AH219" s="3620"/>
      <c r="AI219" s="3620"/>
      <c r="AJ219" s="3620"/>
      <c r="AK219" s="959"/>
      <c r="AL219" s="959"/>
      <c r="AM219" s="959">
        <f t="shared" si="142"/>
        <v>1440</v>
      </c>
      <c r="AN219" s="959"/>
      <c r="AO219" s="3618"/>
      <c r="AP219" s="3618">
        <f t="shared" si="131"/>
        <v>1440</v>
      </c>
      <c r="AQ219" s="3618"/>
      <c r="AR219" s="3626"/>
      <c r="AS219" s="3626"/>
      <c r="AT219" s="3626"/>
      <c r="AU219" s="3626">
        <f>I219</f>
        <v>1440</v>
      </c>
      <c r="AV219" s="3626"/>
      <c r="AW219" s="3626"/>
      <c r="AX219" s="3626"/>
      <c r="AY219" s="3626">
        <f>I219/6</f>
        <v>240</v>
      </c>
      <c r="AZ219" s="3626"/>
      <c r="BA219" s="3626"/>
      <c r="BB219" s="3626"/>
      <c r="BC219" s="3626"/>
      <c r="BD219" s="3626"/>
      <c r="BE219" s="3626"/>
      <c r="BF219" s="3626"/>
      <c r="BG219" s="3626"/>
      <c r="BH219" s="3626"/>
      <c r="BI219" s="3626" t="s">
        <v>89</v>
      </c>
      <c r="BJ219" s="3626">
        <f t="shared" si="143"/>
        <v>48</v>
      </c>
      <c r="BK219" s="3626">
        <f t="shared" si="144"/>
        <v>240</v>
      </c>
      <c r="BL219" s="3626">
        <f t="shared" si="145"/>
        <v>240</v>
      </c>
      <c r="BM219" s="3626">
        <f t="shared" si="146"/>
        <v>192</v>
      </c>
      <c r="BN219" s="3626">
        <f t="shared" si="147"/>
        <v>240</v>
      </c>
      <c r="BO219" s="4055">
        <f t="shared" si="148"/>
        <v>240</v>
      </c>
      <c r="BP219" s="3627">
        <f t="shared" si="149"/>
        <v>240</v>
      </c>
      <c r="BQ219" s="3627">
        <f t="shared" si="107"/>
        <v>1440</v>
      </c>
      <c r="BR219" s="3627">
        <f t="shared" si="108"/>
        <v>0</v>
      </c>
      <c r="BS219" s="4056"/>
      <c r="BT219" s="4057"/>
    </row>
    <row r="220" s="3566" customFormat="1" ht="50" customHeight="1" spans="1:83">
      <c r="A220" s="3635">
        <v>45749</v>
      </c>
      <c r="B220" s="3617" t="s">
        <v>6786</v>
      </c>
      <c r="C220" s="3617" t="s">
        <v>6781</v>
      </c>
      <c r="D220" s="3624">
        <v>4500162375</v>
      </c>
      <c r="E220" s="959">
        <v>20106</v>
      </c>
      <c r="F220" s="3617" t="s">
        <v>6787</v>
      </c>
      <c r="G220" s="959" t="s">
        <v>6228</v>
      </c>
      <c r="H220" s="3618" t="s">
        <v>6063</v>
      </c>
      <c r="I220" s="3618">
        <v>324</v>
      </c>
      <c r="J220" s="3618">
        <v>0</v>
      </c>
      <c r="K220" s="3618">
        <v>6</v>
      </c>
      <c r="L220" s="4052">
        <f t="shared" si="121"/>
        <v>54</v>
      </c>
      <c r="M220" s="3619">
        <v>45797</v>
      </c>
      <c r="N220" s="3619">
        <v>45793</v>
      </c>
      <c r="O220" s="3691"/>
      <c r="P220" s="3682" t="s">
        <v>82</v>
      </c>
      <c r="Q220" s="3682"/>
      <c r="R220" s="3682"/>
      <c r="S220" s="3682"/>
      <c r="T220" s="4083"/>
      <c r="U220" s="3645" t="s">
        <v>1180</v>
      </c>
      <c r="V220" s="3649" t="s">
        <v>1322</v>
      </c>
      <c r="W220" s="3649"/>
      <c r="X220" s="3649" t="s">
        <v>6788</v>
      </c>
      <c r="Y220" s="3640"/>
      <c r="Z220" s="3623"/>
      <c r="AA220" s="3620" t="s">
        <v>6789</v>
      </c>
      <c r="AB220" s="3624" t="s">
        <v>4665</v>
      </c>
      <c r="AC220" s="4058">
        <v>2.2713</v>
      </c>
      <c r="AD220" s="3618">
        <f t="shared" si="105"/>
        <v>735.9012</v>
      </c>
      <c r="AE220" s="3633"/>
      <c r="AF220" s="959" t="s">
        <v>6068</v>
      </c>
      <c r="AG220" s="3620" t="s">
        <v>416</v>
      </c>
      <c r="AH220" s="3620"/>
      <c r="AI220" s="3620"/>
      <c r="AJ220" s="3620"/>
      <c r="AK220" s="959"/>
      <c r="AL220" s="959"/>
      <c r="AM220" s="959">
        <f t="shared" si="142"/>
        <v>324</v>
      </c>
      <c r="AN220" s="959"/>
      <c r="AO220" s="3618"/>
      <c r="AP220" s="3618">
        <f t="shared" si="131"/>
        <v>324</v>
      </c>
      <c r="AQ220" s="3618"/>
      <c r="AR220" s="3626"/>
      <c r="AS220" s="3626"/>
      <c r="AT220" s="3626"/>
      <c r="AU220" s="3626">
        <f>I220</f>
        <v>324</v>
      </c>
      <c r="AV220" s="3626"/>
      <c r="AW220" s="3626"/>
      <c r="AX220" s="3626"/>
      <c r="AY220" s="3626">
        <f>I220/6</f>
        <v>54</v>
      </c>
      <c r="AZ220" s="3626"/>
      <c r="BA220" s="3626"/>
      <c r="BB220" s="3626"/>
      <c r="BC220" s="3626"/>
      <c r="BD220" s="3626"/>
      <c r="BE220" s="3626"/>
      <c r="BF220" s="3626"/>
      <c r="BG220" s="3626"/>
      <c r="BH220" s="3626"/>
      <c r="BI220" s="3626" t="s">
        <v>89</v>
      </c>
      <c r="BJ220" s="3626">
        <f t="shared" si="143"/>
        <v>10.8</v>
      </c>
      <c r="BK220" s="3626">
        <f t="shared" si="144"/>
        <v>54</v>
      </c>
      <c r="BL220" s="3626">
        <f t="shared" si="145"/>
        <v>54</v>
      </c>
      <c r="BM220" s="3626">
        <f t="shared" si="146"/>
        <v>43.2</v>
      </c>
      <c r="BN220" s="3626">
        <f t="shared" si="147"/>
        <v>54</v>
      </c>
      <c r="BO220" s="4055">
        <f t="shared" si="148"/>
        <v>54</v>
      </c>
      <c r="BP220" s="3627">
        <f t="shared" si="149"/>
        <v>54</v>
      </c>
      <c r="BQ220" s="3627">
        <f t="shared" si="107"/>
        <v>324</v>
      </c>
      <c r="BR220" s="3627">
        <f t="shared" si="108"/>
        <v>0</v>
      </c>
      <c r="BS220" s="4056"/>
      <c r="BT220" s="4057"/>
    </row>
    <row r="221" s="3566" customFormat="1" ht="50" customHeight="1" spans="1:83">
      <c r="A221" s="3635">
        <v>45741</v>
      </c>
      <c r="B221" s="3617" t="s">
        <v>3427</v>
      </c>
      <c r="C221" s="3617" t="s">
        <v>3428</v>
      </c>
      <c r="D221" s="3624">
        <v>4500161312</v>
      </c>
      <c r="E221" s="959">
        <v>5907181238</v>
      </c>
      <c r="F221" s="3617" t="s">
        <v>6790</v>
      </c>
      <c r="G221" s="959" t="s">
        <v>6124</v>
      </c>
      <c r="H221" s="3618" t="s">
        <v>6063</v>
      </c>
      <c r="I221" s="3618">
        <v>48</v>
      </c>
      <c r="J221" s="3618">
        <v>0</v>
      </c>
      <c r="K221" s="3618">
        <v>12</v>
      </c>
      <c r="L221" s="4052">
        <f t="shared" si="121"/>
        <v>4</v>
      </c>
      <c r="M221" s="3619">
        <v>45799</v>
      </c>
      <c r="N221" s="3619">
        <v>45796</v>
      </c>
      <c r="O221" s="3618"/>
      <c r="P221" s="959" t="s">
        <v>82</v>
      </c>
      <c r="Q221" s="959"/>
      <c r="R221" s="959"/>
      <c r="S221" s="959"/>
      <c r="T221" s="4053"/>
      <c r="U221" s="3620" t="s">
        <v>281</v>
      </c>
      <c r="V221" s="3657" t="s">
        <v>3617</v>
      </c>
      <c r="W221" s="3657"/>
      <c r="X221" s="3657" t="s">
        <v>3618</v>
      </c>
      <c r="Y221" s="3640"/>
      <c r="Z221" s="3623"/>
      <c r="AA221" s="3620" t="s">
        <v>6791</v>
      </c>
      <c r="AB221" s="3624" t="s">
        <v>1257</v>
      </c>
      <c r="AC221" s="4058">
        <v>2.259</v>
      </c>
      <c r="AD221" s="3618">
        <f t="shared" si="105"/>
        <v>108.432</v>
      </c>
      <c r="AE221" s="3633"/>
      <c r="AF221" s="959" t="s">
        <v>6126</v>
      </c>
      <c r="AG221" s="3620" t="s">
        <v>416</v>
      </c>
      <c r="AH221" s="3620"/>
      <c r="AI221" s="3620"/>
      <c r="AJ221" s="3620"/>
      <c r="AK221" s="959"/>
      <c r="AL221" s="959"/>
      <c r="AM221" s="959">
        <f t="shared" si="142"/>
        <v>48</v>
      </c>
      <c r="AN221" s="959"/>
      <c r="AO221" s="3618"/>
      <c r="AP221" s="3618">
        <f t="shared" si="131"/>
        <v>48</v>
      </c>
      <c r="AQ221" s="3618"/>
      <c r="AR221" s="3626"/>
      <c r="AS221" s="3626">
        <f t="shared" ref="AS221:AS227" si="150">I221</f>
        <v>48</v>
      </c>
      <c r="AT221" s="3626"/>
      <c r="AU221" s="3626"/>
      <c r="AV221" s="3626"/>
      <c r="AW221" s="3626">
        <f>I221/6</f>
        <v>8</v>
      </c>
      <c r="AX221" s="3626"/>
      <c r="AY221" s="3626"/>
      <c r="AZ221" s="3626"/>
      <c r="BA221" s="3626"/>
      <c r="BB221" s="3626"/>
      <c r="BC221" s="3626"/>
      <c r="BD221" s="3626"/>
      <c r="BE221" s="3626"/>
      <c r="BF221" s="3626"/>
      <c r="BG221" s="3626"/>
      <c r="BH221" s="3626"/>
      <c r="BI221" s="3626" t="s">
        <v>89</v>
      </c>
      <c r="BJ221" s="3626">
        <f t="shared" si="143"/>
        <v>1.6</v>
      </c>
      <c r="BK221" s="3626">
        <f t="shared" si="144"/>
        <v>8</v>
      </c>
      <c r="BL221" s="3626">
        <f t="shared" si="145"/>
        <v>8</v>
      </c>
      <c r="BM221" s="3626">
        <f t="shared" si="146"/>
        <v>6.4</v>
      </c>
      <c r="BN221" s="3626">
        <f t="shared" si="147"/>
        <v>8</v>
      </c>
      <c r="BO221" s="4055">
        <f t="shared" si="148"/>
        <v>8</v>
      </c>
      <c r="BP221" s="3627">
        <f t="shared" si="149"/>
        <v>8</v>
      </c>
      <c r="BQ221" s="3627">
        <f t="shared" si="107"/>
        <v>48</v>
      </c>
      <c r="BR221" s="3627">
        <f t="shared" si="108"/>
        <v>0</v>
      </c>
      <c r="BS221" s="4056"/>
      <c r="BT221" s="4057"/>
    </row>
    <row r="222" s="3566" customFormat="1" ht="50" customHeight="1" spans="1:83">
      <c r="A222" s="3635">
        <v>45729</v>
      </c>
      <c r="B222" s="4080" t="s">
        <v>3631</v>
      </c>
      <c r="C222" s="3663" t="s">
        <v>2410</v>
      </c>
      <c r="D222" s="4077">
        <v>4500159898</v>
      </c>
      <c r="E222" s="3664"/>
      <c r="F222" s="4081" t="s">
        <v>6792</v>
      </c>
      <c r="G222" s="959" t="s">
        <v>3520</v>
      </c>
      <c r="H222" s="3618" t="s">
        <v>6063</v>
      </c>
      <c r="I222" s="3618">
        <v>2400</v>
      </c>
      <c r="J222" s="3618">
        <v>0</v>
      </c>
      <c r="K222" s="3618">
        <v>24</v>
      </c>
      <c r="L222" s="4052">
        <f t="shared" si="121"/>
        <v>100</v>
      </c>
      <c r="M222" s="3619">
        <v>45800</v>
      </c>
      <c r="N222" s="3659">
        <v>45796</v>
      </c>
      <c r="O222" s="3618"/>
      <c r="P222" s="959" t="s">
        <v>82</v>
      </c>
      <c r="Q222" s="959"/>
      <c r="R222" s="959"/>
      <c r="S222" s="959"/>
      <c r="T222" s="4053"/>
      <c r="U222" s="3645" t="s">
        <v>3633</v>
      </c>
      <c r="V222" s="3657" t="s">
        <v>1124</v>
      </c>
      <c r="W222" s="3649"/>
      <c r="X222" s="3649" t="s">
        <v>3634</v>
      </c>
      <c r="Y222" s="3640"/>
      <c r="Z222" s="3623"/>
      <c r="AA222" s="3620" t="s">
        <v>6793</v>
      </c>
      <c r="AB222" s="3624" t="s">
        <v>1326</v>
      </c>
      <c r="AC222" s="4058">
        <v>2.2116</v>
      </c>
      <c r="AD222" s="3618">
        <f t="shared" si="105"/>
        <v>5307.84</v>
      </c>
      <c r="AE222" s="3633"/>
      <c r="AF222" s="959" t="s">
        <v>3520</v>
      </c>
      <c r="AG222" s="3620" t="s">
        <v>416</v>
      </c>
      <c r="AH222" s="3620"/>
      <c r="AI222" s="3620"/>
      <c r="AJ222" s="3620"/>
      <c r="AK222" s="959">
        <f>I222</f>
        <v>2400</v>
      </c>
      <c r="AL222" s="959"/>
      <c r="AM222" s="959"/>
      <c r="AN222" s="959"/>
      <c r="AO222" s="959"/>
      <c r="AP222" s="3618">
        <f t="shared" si="131"/>
        <v>2400</v>
      </c>
      <c r="AQ222" s="3618"/>
      <c r="AR222" s="3626"/>
      <c r="AS222" s="3626">
        <f t="shared" si="150"/>
        <v>2400</v>
      </c>
      <c r="AT222" s="3626"/>
      <c r="AU222" s="3626"/>
      <c r="AV222" s="3626"/>
      <c r="AW222" s="3626"/>
      <c r="AX222" s="3626"/>
      <c r="AY222" s="3626"/>
      <c r="AZ222" s="3626"/>
      <c r="BA222" s="3626"/>
      <c r="BB222" s="3626"/>
      <c r="BC222" s="3626"/>
      <c r="BD222" s="3626"/>
      <c r="BE222" s="3626"/>
      <c r="BF222" s="3626"/>
      <c r="BG222" s="3626"/>
      <c r="BH222" s="3626"/>
      <c r="BI222" s="3626" t="s">
        <v>89</v>
      </c>
      <c r="BJ222" s="3626">
        <f t="shared" si="143"/>
        <v>80</v>
      </c>
      <c r="BK222" s="3626">
        <f t="shared" si="144"/>
        <v>400</v>
      </c>
      <c r="BL222" s="3626">
        <f t="shared" si="145"/>
        <v>400</v>
      </c>
      <c r="BM222" s="3626">
        <f t="shared" si="146"/>
        <v>320</v>
      </c>
      <c r="BN222" s="3626">
        <f t="shared" si="147"/>
        <v>400</v>
      </c>
      <c r="BO222" s="4055">
        <f t="shared" si="148"/>
        <v>400</v>
      </c>
      <c r="BP222" s="3627">
        <f t="shared" si="149"/>
        <v>400</v>
      </c>
      <c r="BQ222" s="3627">
        <f t="shared" si="107"/>
        <v>2400</v>
      </c>
      <c r="BR222" s="3627">
        <f t="shared" si="108"/>
        <v>0</v>
      </c>
      <c r="BS222" s="4056"/>
      <c r="BT222" s="4057"/>
    </row>
    <row r="223" s="3566" customFormat="1" ht="50" customHeight="1" spans="1:83">
      <c r="A223" s="3635">
        <v>45742</v>
      </c>
      <c r="B223" s="3617" t="s">
        <v>4959</v>
      </c>
      <c r="C223" s="3617" t="s">
        <v>4960</v>
      </c>
      <c r="D223" s="3624">
        <v>4500159286</v>
      </c>
      <c r="E223" s="959"/>
      <c r="F223" s="3617" t="s">
        <v>6794</v>
      </c>
      <c r="G223" s="959" t="s">
        <v>6124</v>
      </c>
      <c r="H223" s="3618" t="s">
        <v>6063</v>
      </c>
      <c r="I223" s="3618">
        <v>1200</v>
      </c>
      <c r="J223" s="3618">
        <v>0</v>
      </c>
      <c r="K223" s="3618">
        <v>12</v>
      </c>
      <c r="L223" s="4052">
        <f t="shared" si="121"/>
        <v>100</v>
      </c>
      <c r="M223" s="3619">
        <v>45800</v>
      </c>
      <c r="N223" s="3619">
        <v>45796</v>
      </c>
      <c r="O223" s="3618"/>
      <c r="P223" s="959" t="s">
        <v>82</v>
      </c>
      <c r="Q223" s="959"/>
      <c r="R223" s="959"/>
      <c r="S223" s="959"/>
      <c r="T223" s="4053"/>
      <c r="U223" s="3620" t="s">
        <v>3908</v>
      </c>
      <c r="V223" s="3640" t="s">
        <v>1167</v>
      </c>
      <c r="W223" s="3640"/>
      <c r="X223" s="3695" t="s">
        <v>3730</v>
      </c>
      <c r="Y223" s="3640"/>
      <c r="Z223" s="3623"/>
      <c r="AA223" s="3620" t="s">
        <v>6795</v>
      </c>
      <c r="AB223" s="3624" t="s">
        <v>559</v>
      </c>
      <c r="AC223" s="4058">
        <v>2.3023</v>
      </c>
      <c r="AD223" s="3618">
        <f t="shared" si="105"/>
        <v>2762.76</v>
      </c>
      <c r="AE223" s="3633"/>
      <c r="AF223" s="959" t="s">
        <v>6126</v>
      </c>
      <c r="AG223" s="3620" t="s">
        <v>416</v>
      </c>
      <c r="AH223" s="3620"/>
      <c r="AI223" s="3620"/>
      <c r="AJ223" s="3620"/>
      <c r="AK223" s="959"/>
      <c r="AL223" s="959"/>
      <c r="AM223" s="959">
        <f>I223</f>
        <v>1200</v>
      </c>
      <c r="AN223" s="959"/>
      <c r="AO223" s="3618"/>
      <c r="AP223" s="3618">
        <f t="shared" si="131"/>
        <v>1200</v>
      </c>
      <c r="AQ223" s="3618"/>
      <c r="AR223" s="3626"/>
      <c r="AS223" s="3626">
        <f t="shared" si="150"/>
        <v>1200</v>
      </c>
      <c r="AT223" s="3626"/>
      <c r="AU223" s="3626"/>
      <c r="AV223" s="3626"/>
      <c r="AW223" s="3626">
        <f>I223/6</f>
        <v>200</v>
      </c>
      <c r="AX223" s="3626"/>
      <c r="AY223" s="3626"/>
      <c r="AZ223" s="3626"/>
      <c r="BA223" s="3626"/>
      <c r="BB223" s="3626"/>
      <c r="BC223" s="3626"/>
      <c r="BD223" s="3626"/>
      <c r="BE223" s="3626"/>
      <c r="BF223" s="3626"/>
      <c r="BG223" s="3626"/>
      <c r="BH223" s="3626"/>
      <c r="BI223" s="3626" t="s">
        <v>89</v>
      </c>
      <c r="BJ223" s="3626">
        <f t="shared" si="143"/>
        <v>40</v>
      </c>
      <c r="BK223" s="3626">
        <f t="shared" si="144"/>
        <v>200</v>
      </c>
      <c r="BL223" s="3626">
        <f t="shared" si="145"/>
        <v>200</v>
      </c>
      <c r="BM223" s="3626">
        <f t="shared" si="146"/>
        <v>160</v>
      </c>
      <c r="BN223" s="3626">
        <f t="shared" si="147"/>
        <v>200</v>
      </c>
      <c r="BO223" s="4055">
        <f t="shared" si="148"/>
        <v>200</v>
      </c>
      <c r="BP223" s="3627">
        <f t="shared" si="149"/>
        <v>200</v>
      </c>
      <c r="BQ223" s="3627">
        <f t="shared" si="107"/>
        <v>1200</v>
      </c>
      <c r="BR223" s="3627">
        <f t="shared" si="108"/>
        <v>0</v>
      </c>
      <c r="BS223" s="4056"/>
      <c r="BT223" s="4057"/>
    </row>
    <row r="224" s="3566" customFormat="1" ht="50" customHeight="1" spans="1:83">
      <c r="A224" s="3635">
        <v>45750</v>
      </c>
      <c r="B224" s="3617" t="s">
        <v>1192</v>
      </c>
      <c r="C224" s="3617" t="s">
        <v>1193</v>
      </c>
      <c r="D224" s="3624">
        <v>4500162547</v>
      </c>
      <c r="E224" s="959"/>
      <c r="F224" s="3617" t="s">
        <v>6796</v>
      </c>
      <c r="G224" s="959" t="s">
        <v>3520</v>
      </c>
      <c r="H224" s="3618" t="s">
        <v>6063</v>
      </c>
      <c r="I224" s="3618">
        <v>288</v>
      </c>
      <c r="J224" s="3618">
        <v>0</v>
      </c>
      <c r="K224" s="3618">
        <v>24</v>
      </c>
      <c r="L224" s="4052">
        <f t="shared" si="121"/>
        <v>12</v>
      </c>
      <c r="M224" s="3619">
        <v>45800</v>
      </c>
      <c r="N224" s="3619">
        <v>45796</v>
      </c>
      <c r="O224" s="3618"/>
      <c r="P224" s="959" t="s">
        <v>82</v>
      </c>
      <c r="Q224" s="959"/>
      <c r="R224" s="959"/>
      <c r="S224" s="959"/>
      <c r="T224" s="4053"/>
      <c r="U224" s="3645" t="s">
        <v>1195</v>
      </c>
      <c r="V224" s="3649" t="s">
        <v>1196</v>
      </c>
      <c r="W224" s="3649"/>
      <c r="X224" s="3649" t="s">
        <v>1197</v>
      </c>
      <c r="Y224" s="3649"/>
      <c r="Z224" s="3661"/>
      <c r="AA224" s="3620" t="s">
        <v>1198</v>
      </c>
      <c r="AB224" s="3624" t="s">
        <v>1199</v>
      </c>
      <c r="AC224" s="4058">
        <v>2.2017</v>
      </c>
      <c r="AD224" s="3618">
        <f t="shared" si="105"/>
        <v>634.0896</v>
      </c>
      <c r="AE224" s="3633"/>
      <c r="AF224" s="959" t="s">
        <v>3520</v>
      </c>
      <c r="AG224" s="3620" t="s">
        <v>416</v>
      </c>
      <c r="AH224" s="3620"/>
      <c r="AI224" s="3620"/>
      <c r="AJ224" s="3620"/>
      <c r="AK224" s="959">
        <f>I224</f>
        <v>288</v>
      </c>
      <c r="AL224" s="959"/>
      <c r="AM224" s="959"/>
      <c r="AN224" s="959"/>
      <c r="AO224" s="959"/>
      <c r="AP224" s="3618">
        <f t="shared" si="131"/>
        <v>288</v>
      </c>
      <c r="AQ224" s="3618"/>
      <c r="AR224" s="3626"/>
      <c r="AS224" s="3626">
        <f t="shared" si="150"/>
        <v>288</v>
      </c>
      <c r="AT224" s="3626"/>
      <c r="AU224" s="3626"/>
      <c r="AV224" s="3626"/>
      <c r="AW224" s="3626"/>
      <c r="AX224" s="3626"/>
      <c r="AY224" s="3626"/>
      <c r="AZ224" s="3626"/>
      <c r="BA224" s="3626"/>
      <c r="BB224" s="3626"/>
      <c r="BC224" s="3626"/>
      <c r="BD224" s="3626"/>
      <c r="BE224" s="3626"/>
      <c r="BF224" s="3626"/>
      <c r="BG224" s="3626"/>
      <c r="BH224" s="3626"/>
      <c r="BI224" s="3626" t="s">
        <v>89</v>
      </c>
      <c r="BJ224" s="3626">
        <f t="shared" si="143"/>
        <v>9.6</v>
      </c>
      <c r="BK224" s="3626">
        <f t="shared" si="144"/>
        <v>48</v>
      </c>
      <c r="BL224" s="3626">
        <f t="shared" si="145"/>
        <v>48</v>
      </c>
      <c r="BM224" s="3626">
        <f t="shared" si="146"/>
        <v>38.4</v>
      </c>
      <c r="BN224" s="3626">
        <f t="shared" si="147"/>
        <v>48</v>
      </c>
      <c r="BO224" s="4055">
        <f t="shared" si="148"/>
        <v>48</v>
      </c>
      <c r="BP224" s="3627">
        <f t="shared" si="149"/>
        <v>48</v>
      </c>
      <c r="BQ224" s="3627">
        <f t="shared" si="107"/>
        <v>288</v>
      </c>
      <c r="BR224" s="3627">
        <f t="shared" si="108"/>
        <v>0</v>
      </c>
      <c r="BS224" s="4056"/>
      <c r="BT224" s="4057"/>
    </row>
    <row r="225" s="3566" customFormat="1" ht="50" customHeight="1" spans="1:72">
      <c r="A225" s="3635">
        <v>45756</v>
      </c>
      <c r="B225" s="3617" t="s">
        <v>2914</v>
      </c>
      <c r="C225" s="3617" t="s">
        <v>341</v>
      </c>
      <c r="D225" s="3624">
        <v>4500161772</v>
      </c>
      <c r="E225" s="959" t="s">
        <v>3642</v>
      </c>
      <c r="F225" s="3617" t="s">
        <v>6797</v>
      </c>
      <c r="G225" s="959" t="s">
        <v>6116</v>
      </c>
      <c r="H225" s="3618" t="s">
        <v>6063</v>
      </c>
      <c r="I225" s="3618">
        <v>2400</v>
      </c>
      <c r="J225" s="3618">
        <v>0</v>
      </c>
      <c r="K225" s="3618">
        <v>16</v>
      </c>
      <c r="L225" s="4052">
        <f t="shared" si="121"/>
        <v>150</v>
      </c>
      <c r="M225" s="3619">
        <v>45800</v>
      </c>
      <c r="N225" s="3619">
        <v>45796</v>
      </c>
      <c r="O225" s="3618"/>
      <c r="P225" s="959" t="s">
        <v>82</v>
      </c>
      <c r="Q225" s="959"/>
      <c r="R225" s="959"/>
      <c r="S225" s="959"/>
      <c r="T225" s="4053"/>
      <c r="U225" s="3620" t="s">
        <v>3638</v>
      </c>
      <c r="V225" s="3649" t="s">
        <v>1239</v>
      </c>
      <c r="W225" s="3649"/>
      <c r="X225" s="3657" t="s">
        <v>6677</v>
      </c>
      <c r="Y225" s="3649"/>
      <c r="Z225" s="3661"/>
      <c r="AA225" s="3620" t="s">
        <v>6798</v>
      </c>
      <c r="AB225" s="3624" t="s">
        <v>87</v>
      </c>
      <c r="AC225" s="4058">
        <v>2.3189</v>
      </c>
      <c r="AD225" s="3618">
        <f t="shared" si="105"/>
        <v>5565.36</v>
      </c>
      <c r="AE225" s="3633"/>
      <c r="AF225" s="959" t="s">
        <v>6116</v>
      </c>
      <c r="AG225" s="3620" t="s">
        <v>416</v>
      </c>
      <c r="AH225" s="3620"/>
      <c r="AI225" s="3620"/>
      <c r="AJ225" s="3620"/>
      <c r="AK225" s="959">
        <f>I225</f>
        <v>2400</v>
      </c>
      <c r="AL225" s="959"/>
      <c r="AM225" s="959"/>
      <c r="AN225" s="959"/>
      <c r="AO225" s="959"/>
      <c r="AP225" s="3618">
        <f t="shared" si="131"/>
        <v>2400</v>
      </c>
      <c r="AQ225" s="3618"/>
      <c r="AR225" s="3626"/>
      <c r="AS225" s="3626">
        <f t="shared" si="150"/>
        <v>2400</v>
      </c>
      <c r="AT225" s="3626"/>
      <c r="AU225" s="3626"/>
      <c r="AV225" s="3626"/>
      <c r="AW225" s="3626"/>
      <c r="AX225" s="3626"/>
      <c r="AY225" s="3626"/>
      <c r="AZ225" s="3626"/>
      <c r="BA225" s="3626"/>
      <c r="BB225" s="3626"/>
      <c r="BC225" s="3626">
        <f>I225/4</f>
        <v>600</v>
      </c>
      <c r="BD225" s="3626"/>
      <c r="BE225" s="3626"/>
      <c r="BF225" s="3626"/>
      <c r="BG225" s="3626"/>
      <c r="BH225" s="3626"/>
      <c r="BI225" s="3626" t="s">
        <v>89</v>
      </c>
      <c r="BJ225" s="3626">
        <f t="shared" si="143"/>
        <v>80</v>
      </c>
      <c r="BK225" s="3626">
        <f t="shared" si="144"/>
        <v>400</v>
      </c>
      <c r="BL225" s="3626">
        <f t="shared" si="145"/>
        <v>400</v>
      </c>
      <c r="BM225" s="3626">
        <f t="shared" si="146"/>
        <v>320</v>
      </c>
      <c r="BN225" s="3626">
        <f t="shared" si="147"/>
        <v>400</v>
      </c>
      <c r="BO225" s="4055">
        <f t="shared" si="148"/>
        <v>400</v>
      </c>
      <c r="BP225" s="3627">
        <f t="shared" si="149"/>
        <v>400</v>
      </c>
      <c r="BQ225" s="3627">
        <f t="shared" si="107"/>
        <v>2400</v>
      </c>
      <c r="BR225" s="3627">
        <f t="shared" si="108"/>
        <v>0</v>
      </c>
      <c r="BS225" s="4056"/>
      <c r="BT225" s="4057"/>
    </row>
    <row r="226" s="3566" customFormat="1" ht="50" customHeight="1" spans="1:72">
      <c r="A226" s="3635">
        <v>45734</v>
      </c>
      <c r="B226" s="3617" t="s">
        <v>3608</v>
      </c>
      <c r="C226" s="3617" t="s">
        <v>738</v>
      </c>
      <c r="D226" s="3624">
        <v>4500160573</v>
      </c>
      <c r="E226" s="959">
        <v>5251215525</v>
      </c>
      <c r="F226" s="3617" t="s">
        <v>6799</v>
      </c>
      <c r="G226" s="959" t="s">
        <v>6186</v>
      </c>
      <c r="H226" s="3618" t="s">
        <v>6800</v>
      </c>
      <c r="I226" s="3618">
        <v>5640</v>
      </c>
      <c r="J226" s="3618">
        <v>0</v>
      </c>
      <c r="K226" s="3618">
        <v>6</v>
      </c>
      <c r="L226" s="4052">
        <f t="shared" si="121"/>
        <v>940</v>
      </c>
      <c r="M226" s="3619">
        <v>45798</v>
      </c>
      <c r="N226" s="3619">
        <v>45794</v>
      </c>
      <c r="O226" s="3691"/>
      <c r="P226" s="3682" t="s">
        <v>82</v>
      </c>
      <c r="Q226" s="3682"/>
      <c r="R226" s="3682"/>
      <c r="S226" s="3682"/>
      <c r="T226" s="4083"/>
      <c r="U226" s="3645" t="s">
        <v>1208</v>
      </c>
      <c r="V226" s="3657" t="s">
        <v>3610</v>
      </c>
      <c r="W226" s="3657"/>
      <c r="X226" s="3657" t="s">
        <v>3611</v>
      </c>
      <c r="Y226" s="3640"/>
      <c r="Z226" s="3623" t="s">
        <v>3612</v>
      </c>
      <c r="AA226" s="3620" t="s">
        <v>6801</v>
      </c>
      <c r="AB226" s="3624" t="s">
        <v>1257</v>
      </c>
      <c r="AC226" s="3618">
        <v>2.2682</v>
      </c>
      <c r="AD226" s="3618">
        <f t="shared" si="105"/>
        <v>12792.648</v>
      </c>
      <c r="AE226" s="3633"/>
      <c r="AF226" s="959" t="s">
        <v>6252</v>
      </c>
      <c r="AG226" s="3620" t="s">
        <v>416</v>
      </c>
      <c r="AH226" s="3620"/>
      <c r="AI226" s="3620"/>
      <c r="AJ226" s="3620"/>
      <c r="AK226" s="959"/>
      <c r="AL226" s="959"/>
      <c r="AM226" s="959">
        <f t="shared" ref="AM226:AM231" si="151">I226</f>
        <v>5640</v>
      </c>
      <c r="AN226" s="959"/>
      <c r="AO226" s="3618"/>
      <c r="AP226" s="3618">
        <f t="shared" si="131"/>
        <v>5640</v>
      </c>
      <c r="AQ226" s="3618"/>
      <c r="AR226" s="3626"/>
      <c r="AS226" s="3626">
        <f t="shared" si="150"/>
        <v>5640</v>
      </c>
      <c r="AT226" s="3626"/>
      <c r="AU226" s="3626"/>
      <c r="AV226" s="3626"/>
      <c r="AW226" s="3626">
        <f>I226/6</f>
        <v>940</v>
      </c>
      <c r="AX226" s="3626"/>
      <c r="AY226" s="3626"/>
      <c r="AZ226" s="3626"/>
      <c r="BA226" s="3626"/>
      <c r="BB226" s="3626"/>
      <c r="BC226" s="3626"/>
      <c r="BD226" s="3626"/>
      <c r="BE226" s="3626"/>
      <c r="BF226" s="3626"/>
      <c r="BG226" s="3626"/>
      <c r="BH226" s="3626"/>
      <c r="BI226" s="3626" t="s">
        <v>89</v>
      </c>
      <c r="BJ226" s="3626">
        <f t="shared" si="143"/>
        <v>188</v>
      </c>
      <c r="BK226" s="3626">
        <f t="shared" si="144"/>
        <v>940</v>
      </c>
      <c r="BL226" s="3626">
        <f t="shared" si="145"/>
        <v>940</v>
      </c>
      <c r="BM226" s="3626">
        <f t="shared" si="146"/>
        <v>752</v>
      </c>
      <c r="BN226" s="3626">
        <f t="shared" si="147"/>
        <v>940</v>
      </c>
      <c r="BO226" s="4055">
        <f t="shared" si="148"/>
        <v>940</v>
      </c>
      <c r="BP226" s="3627">
        <f t="shared" si="149"/>
        <v>940</v>
      </c>
      <c r="BQ226" s="3627">
        <f t="shared" si="107"/>
        <v>5640</v>
      </c>
      <c r="BR226" s="3627">
        <f t="shared" si="108"/>
        <v>0</v>
      </c>
      <c r="BS226" s="4056"/>
      <c r="BT226" s="4057"/>
    </row>
    <row r="227" s="3566" customFormat="1" ht="50" customHeight="1" spans="1:72">
      <c r="A227" s="3635">
        <v>45734</v>
      </c>
      <c r="B227" s="3617" t="s">
        <v>3608</v>
      </c>
      <c r="C227" s="3617" t="s">
        <v>738</v>
      </c>
      <c r="D227" s="3624">
        <v>4500160573</v>
      </c>
      <c r="E227" s="959">
        <v>5251215526</v>
      </c>
      <c r="F227" s="3617" t="s">
        <v>6802</v>
      </c>
      <c r="G227" s="959" t="s">
        <v>6186</v>
      </c>
      <c r="H227" s="3618" t="s">
        <v>6800</v>
      </c>
      <c r="I227" s="3618">
        <v>5502</v>
      </c>
      <c r="J227" s="3618">
        <v>0</v>
      </c>
      <c r="K227" s="3618">
        <v>6</v>
      </c>
      <c r="L227" s="4052">
        <f t="shared" si="121"/>
        <v>917</v>
      </c>
      <c r="M227" s="3619">
        <v>45798</v>
      </c>
      <c r="N227" s="3619">
        <v>45794</v>
      </c>
      <c r="O227" s="3618"/>
      <c r="P227" s="3682" t="s">
        <v>82</v>
      </c>
      <c r="Q227" s="3682"/>
      <c r="R227" s="3682"/>
      <c r="S227" s="3682"/>
      <c r="T227" s="4083"/>
      <c r="U227" s="3645" t="s">
        <v>1208</v>
      </c>
      <c r="V227" s="3657" t="s">
        <v>3610</v>
      </c>
      <c r="W227" s="3657"/>
      <c r="X227" s="3657" t="s">
        <v>3611</v>
      </c>
      <c r="Y227" s="3640"/>
      <c r="Z227" s="3623" t="s">
        <v>3612</v>
      </c>
      <c r="AA227" s="3620" t="s">
        <v>6801</v>
      </c>
      <c r="AB227" s="3624" t="s">
        <v>1257</v>
      </c>
      <c r="AC227" s="3618">
        <v>2.2682</v>
      </c>
      <c r="AD227" s="3618">
        <f t="shared" ref="AD227:AD251" si="152">AC227*I227</f>
        <v>12479.6364</v>
      </c>
      <c r="AE227" s="3633"/>
      <c r="AF227" s="959" t="s">
        <v>6252</v>
      </c>
      <c r="AG227" s="3620" t="s">
        <v>416</v>
      </c>
      <c r="AH227" s="3620"/>
      <c r="AI227" s="3620"/>
      <c r="AJ227" s="3620"/>
      <c r="AK227" s="959"/>
      <c r="AL227" s="959"/>
      <c r="AM227" s="959">
        <f t="shared" si="151"/>
        <v>5502</v>
      </c>
      <c r="AN227" s="959"/>
      <c r="AO227" s="3618"/>
      <c r="AP227" s="3618">
        <f t="shared" si="131"/>
        <v>5502</v>
      </c>
      <c r="AQ227" s="3618"/>
      <c r="AR227" s="3626"/>
      <c r="AS227" s="3626">
        <f t="shared" si="150"/>
        <v>5502</v>
      </c>
      <c r="AT227" s="3626"/>
      <c r="AU227" s="3626"/>
      <c r="AV227" s="3626"/>
      <c r="AW227" s="3626">
        <f>I227/6</f>
        <v>917</v>
      </c>
      <c r="AX227" s="3626"/>
      <c r="AY227" s="3626"/>
      <c r="AZ227" s="3626"/>
      <c r="BA227" s="3626"/>
      <c r="BB227" s="3626"/>
      <c r="BC227" s="3626"/>
      <c r="BD227" s="3626"/>
      <c r="BE227" s="3626"/>
      <c r="BF227" s="3626"/>
      <c r="BG227" s="3626"/>
      <c r="BH227" s="3626"/>
      <c r="BI227" s="3626" t="s">
        <v>89</v>
      </c>
      <c r="BJ227" s="3626">
        <f t="shared" si="143"/>
        <v>183.4</v>
      </c>
      <c r="BK227" s="3626">
        <f t="shared" si="144"/>
        <v>917</v>
      </c>
      <c r="BL227" s="3626">
        <f t="shared" si="145"/>
        <v>917</v>
      </c>
      <c r="BM227" s="3626">
        <f t="shared" si="146"/>
        <v>733.6</v>
      </c>
      <c r="BN227" s="3626">
        <f t="shared" si="147"/>
        <v>917</v>
      </c>
      <c r="BO227" s="4055">
        <f t="shared" si="148"/>
        <v>917</v>
      </c>
      <c r="BP227" s="3627">
        <f t="shared" si="149"/>
        <v>917</v>
      </c>
      <c r="BQ227" s="3627">
        <f t="shared" si="107"/>
        <v>5502</v>
      </c>
      <c r="BR227" s="3627">
        <f t="shared" si="108"/>
        <v>0</v>
      </c>
      <c r="BS227" s="4056"/>
      <c r="BT227" s="4057"/>
    </row>
    <row r="228" s="3566" customFormat="1" ht="50" customHeight="1" spans="1:72">
      <c r="A228" s="3635">
        <v>45768</v>
      </c>
      <c r="B228" s="4080" t="s">
        <v>6682</v>
      </c>
      <c r="C228" s="3663" t="s">
        <v>396</v>
      </c>
      <c r="D228" s="4077">
        <v>4500164434</v>
      </c>
      <c r="E228" s="3664">
        <v>9900928379</v>
      </c>
      <c r="F228" s="4081" t="s">
        <v>6803</v>
      </c>
      <c r="G228" s="959" t="s">
        <v>6684</v>
      </c>
      <c r="H228" s="3618" t="s">
        <v>6063</v>
      </c>
      <c r="I228" s="3618">
        <v>2400</v>
      </c>
      <c r="J228" s="3618">
        <v>0</v>
      </c>
      <c r="K228" s="3618">
        <v>2</v>
      </c>
      <c r="L228" s="4052">
        <f t="shared" si="121"/>
        <v>1200</v>
      </c>
      <c r="M228" s="3619">
        <v>45799</v>
      </c>
      <c r="N228" s="3619">
        <v>45796</v>
      </c>
      <c r="O228" s="3618" t="s">
        <v>6804</v>
      </c>
      <c r="P228" s="3682" t="s">
        <v>82</v>
      </c>
      <c r="Q228" s="3682"/>
      <c r="R228" s="3682"/>
      <c r="S228" s="3682"/>
      <c r="T228" s="4083"/>
      <c r="U228" s="3620" t="s">
        <v>3638</v>
      </c>
      <c r="V228" s="3657" t="s">
        <v>3610</v>
      </c>
      <c r="W228" s="3649"/>
      <c r="X228" s="3649" t="s">
        <v>6686</v>
      </c>
      <c r="Y228" s="3640"/>
      <c r="Z228" s="3623"/>
      <c r="AA228" s="3620" t="s">
        <v>6805</v>
      </c>
      <c r="AB228" s="3624" t="s">
        <v>6688</v>
      </c>
      <c r="AC228" s="4058">
        <v>2.4133</v>
      </c>
      <c r="AD228" s="3618">
        <f t="shared" si="152"/>
        <v>5791.92</v>
      </c>
      <c r="AE228" s="3633"/>
      <c r="AF228" s="959" t="s">
        <v>6684</v>
      </c>
      <c r="AG228" s="3620" t="s">
        <v>416</v>
      </c>
      <c r="AH228" s="3620"/>
      <c r="AI228" s="3620"/>
      <c r="AJ228" s="3620"/>
      <c r="AK228" s="959"/>
      <c r="AL228" s="959"/>
      <c r="AM228" s="959">
        <f t="shared" si="151"/>
        <v>2400</v>
      </c>
      <c r="AN228" s="959"/>
      <c r="AO228" s="3618"/>
      <c r="AP228" s="3618">
        <f t="shared" si="131"/>
        <v>2400</v>
      </c>
      <c r="AQ228" s="3618"/>
      <c r="AR228" s="3626"/>
      <c r="AS228" s="3626"/>
      <c r="AT228" s="3626"/>
      <c r="AU228" s="3626">
        <f>I228</f>
        <v>2400</v>
      </c>
      <c r="AV228" s="3626"/>
      <c r="AW228" s="3626"/>
      <c r="AX228" s="3626"/>
      <c r="AY228" s="3626"/>
      <c r="AZ228" s="3626"/>
      <c r="BA228" s="3626">
        <f>I228/2</f>
        <v>1200</v>
      </c>
      <c r="BB228" s="3626"/>
      <c r="BC228" s="3626"/>
      <c r="BD228" s="3626"/>
      <c r="BE228" s="3626"/>
      <c r="BF228" s="3626"/>
      <c r="BG228" s="3626"/>
      <c r="BH228" s="3626"/>
      <c r="BI228" s="3626" t="s">
        <v>89</v>
      </c>
      <c r="BJ228" s="3626">
        <f t="shared" si="143"/>
        <v>80</v>
      </c>
      <c r="BK228" s="3626">
        <f t="shared" si="144"/>
        <v>400</v>
      </c>
      <c r="BL228" s="3626">
        <f t="shared" si="145"/>
        <v>400</v>
      </c>
      <c r="BM228" s="3626">
        <f t="shared" si="146"/>
        <v>320</v>
      </c>
      <c r="BN228" s="3626">
        <f t="shared" si="147"/>
        <v>400</v>
      </c>
      <c r="BO228" s="4055">
        <f t="shared" si="148"/>
        <v>400</v>
      </c>
      <c r="BP228" s="3627">
        <f t="shared" si="149"/>
        <v>400</v>
      </c>
      <c r="BQ228" s="3627">
        <f t="shared" si="107"/>
        <v>2400</v>
      </c>
      <c r="BR228" s="3627">
        <f t="shared" si="108"/>
        <v>0</v>
      </c>
      <c r="BS228" s="4056"/>
      <c r="BT228" s="4057"/>
    </row>
    <row r="229" s="3566" customFormat="1" ht="50" customHeight="1" spans="1:72">
      <c r="A229" s="3635">
        <v>45755</v>
      </c>
      <c r="B229" s="3617" t="s">
        <v>6806</v>
      </c>
      <c r="C229" s="3617" t="s">
        <v>1624</v>
      </c>
      <c r="D229" s="3624">
        <v>4500160515</v>
      </c>
      <c r="E229" s="959">
        <v>4508281081</v>
      </c>
      <c r="F229" s="3617" t="s">
        <v>6807</v>
      </c>
      <c r="G229" s="959" t="s">
        <v>6228</v>
      </c>
      <c r="H229" s="3618" t="s">
        <v>6063</v>
      </c>
      <c r="I229" s="3618">
        <v>900</v>
      </c>
      <c r="J229" s="3618">
        <v>0</v>
      </c>
      <c r="K229" s="3618">
        <v>6</v>
      </c>
      <c r="L229" s="4052">
        <f t="shared" si="121"/>
        <v>150</v>
      </c>
      <c r="M229" s="3619">
        <v>45803</v>
      </c>
      <c r="N229" s="3619">
        <v>45799</v>
      </c>
      <c r="O229" s="3618"/>
      <c r="P229" s="959" t="s">
        <v>82</v>
      </c>
      <c r="Q229" s="959"/>
      <c r="R229" s="959"/>
      <c r="S229" s="959"/>
      <c r="T229" s="4053"/>
      <c r="U229" s="3620"/>
      <c r="V229" s="3649" t="s">
        <v>5882</v>
      </c>
      <c r="W229" s="3649"/>
      <c r="X229" s="3649" t="s">
        <v>6808</v>
      </c>
      <c r="Y229" s="3649"/>
      <c r="Z229" s="3661"/>
      <c r="AA229" s="3620" t="s">
        <v>6809</v>
      </c>
      <c r="AB229" s="3624" t="s">
        <v>1631</v>
      </c>
      <c r="AC229" s="4058">
        <v>2.2612</v>
      </c>
      <c r="AD229" s="3618">
        <f t="shared" si="152"/>
        <v>2035.08</v>
      </c>
      <c r="AE229" s="3633"/>
      <c r="AF229" s="959" t="s">
        <v>6068</v>
      </c>
      <c r="AG229" s="3620" t="s">
        <v>416</v>
      </c>
      <c r="AH229" s="3620"/>
      <c r="AI229" s="3620"/>
      <c r="AJ229" s="3620"/>
      <c r="AK229" s="959"/>
      <c r="AL229" s="959"/>
      <c r="AM229" s="959">
        <f t="shared" si="151"/>
        <v>900</v>
      </c>
      <c r="AN229" s="959"/>
      <c r="AO229" s="3618"/>
      <c r="AP229" s="3618">
        <f t="shared" si="131"/>
        <v>900</v>
      </c>
      <c r="AQ229" s="3618"/>
      <c r="AR229" s="3626"/>
      <c r="AS229" s="3626"/>
      <c r="AT229" s="3626"/>
      <c r="AU229" s="3626">
        <f>I229</f>
        <v>900</v>
      </c>
      <c r="AV229" s="3626"/>
      <c r="AW229" s="3626"/>
      <c r="AX229" s="3626"/>
      <c r="AY229" s="3626">
        <f>I229/6</f>
        <v>150</v>
      </c>
      <c r="AZ229" s="3626"/>
      <c r="BA229" s="3626"/>
      <c r="BB229" s="3626"/>
      <c r="BC229" s="3626"/>
      <c r="BD229" s="3626"/>
      <c r="BE229" s="3626"/>
      <c r="BF229" s="3626"/>
      <c r="BG229" s="3626"/>
      <c r="BH229" s="3626"/>
      <c r="BI229" s="3626" t="s">
        <v>89</v>
      </c>
      <c r="BJ229" s="3626">
        <f t="shared" si="143"/>
        <v>30</v>
      </c>
      <c r="BK229" s="3626">
        <f t="shared" si="144"/>
        <v>150</v>
      </c>
      <c r="BL229" s="3626">
        <f t="shared" si="145"/>
        <v>150</v>
      </c>
      <c r="BM229" s="3626">
        <f t="shared" si="146"/>
        <v>120</v>
      </c>
      <c r="BN229" s="3626">
        <f t="shared" si="147"/>
        <v>150</v>
      </c>
      <c r="BO229" s="4055">
        <f t="shared" si="148"/>
        <v>150</v>
      </c>
      <c r="BP229" s="3627">
        <f t="shared" si="149"/>
        <v>150</v>
      </c>
      <c r="BQ229" s="3627">
        <f t="shared" si="107"/>
        <v>900</v>
      </c>
      <c r="BR229" s="3627">
        <f t="shared" si="108"/>
        <v>0</v>
      </c>
      <c r="BS229" s="4056"/>
      <c r="BT229" s="4057"/>
    </row>
    <row r="230" s="3566" customFormat="1" ht="50" customHeight="1" spans="1:72">
      <c r="A230" s="3635">
        <v>45742</v>
      </c>
      <c r="B230" s="3617" t="s">
        <v>568</v>
      </c>
      <c r="C230" s="3617" t="s">
        <v>569</v>
      </c>
      <c r="D230" s="3624">
        <v>4500160038</v>
      </c>
      <c r="E230" s="959">
        <v>2000007048</v>
      </c>
      <c r="F230" s="3617" t="s">
        <v>3606</v>
      </c>
      <c r="G230" s="959" t="s">
        <v>3356</v>
      </c>
      <c r="H230" s="3618" t="s">
        <v>3517</v>
      </c>
      <c r="I230" s="3618">
        <v>996</v>
      </c>
      <c r="J230" s="3618">
        <v>0</v>
      </c>
      <c r="K230" s="3618">
        <v>12</v>
      </c>
      <c r="L230" s="4052">
        <f t="shared" si="121"/>
        <v>83</v>
      </c>
      <c r="M230" s="3619">
        <v>45797</v>
      </c>
      <c r="N230" s="3619">
        <v>45793</v>
      </c>
      <c r="O230" s="3691"/>
      <c r="P230" s="959" t="s">
        <v>82</v>
      </c>
      <c r="Q230" s="959"/>
      <c r="R230" s="959"/>
      <c r="S230" s="959"/>
      <c r="T230" s="4053"/>
      <c r="U230" s="3645"/>
      <c r="V230" s="3657" t="s">
        <v>1209</v>
      </c>
      <c r="W230" s="3657"/>
      <c r="X230" s="3657" t="s">
        <v>3602</v>
      </c>
      <c r="Y230" s="3657"/>
      <c r="Z230" s="3623" t="s">
        <v>6810</v>
      </c>
      <c r="AA230" s="3620" t="s">
        <v>6811</v>
      </c>
      <c r="AB230" s="3624" t="s">
        <v>578</v>
      </c>
      <c r="AC230" s="3618">
        <v>4.4796</v>
      </c>
      <c r="AD230" s="3618">
        <f t="shared" si="152"/>
        <v>4461.6816</v>
      </c>
      <c r="AE230" s="3633"/>
      <c r="AF230" s="959" t="s">
        <v>6263</v>
      </c>
      <c r="AG230" s="3620" t="s">
        <v>416</v>
      </c>
      <c r="AH230" s="3620"/>
      <c r="AI230" s="3620"/>
      <c r="AJ230" s="3620"/>
      <c r="AK230" s="959"/>
      <c r="AL230" s="959"/>
      <c r="AM230" s="959">
        <f t="shared" si="151"/>
        <v>996</v>
      </c>
      <c r="AN230" s="959"/>
      <c r="AO230" s="3618"/>
      <c r="AP230" s="3618">
        <f t="shared" si="131"/>
        <v>996</v>
      </c>
      <c r="AQ230" s="3618"/>
      <c r="AR230" s="3626"/>
      <c r="AS230" s="3626"/>
      <c r="AT230" s="3626"/>
      <c r="AU230" s="3626">
        <f>I230</f>
        <v>996</v>
      </c>
      <c r="AV230" s="3626"/>
      <c r="AW230" s="3626"/>
      <c r="AX230" s="3626"/>
      <c r="AY230" s="3626"/>
      <c r="AZ230" s="3626"/>
      <c r="BA230" s="3626"/>
      <c r="BB230" s="3626"/>
      <c r="BC230" s="3626"/>
      <c r="BD230" s="3626"/>
      <c r="BE230" s="3626"/>
      <c r="BF230" s="3626"/>
      <c r="BG230" s="3626"/>
      <c r="BH230" s="3626"/>
      <c r="BI230" s="3626" t="s">
        <v>89</v>
      </c>
      <c r="BJ230" s="3626">
        <f t="shared" si="143"/>
        <v>33.2</v>
      </c>
      <c r="BK230" s="3626">
        <f t="shared" si="144"/>
        <v>166</v>
      </c>
      <c r="BL230" s="3626">
        <f t="shared" si="145"/>
        <v>166</v>
      </c>
      <c r="BM230" s="3626">
        <f t="shared" si="146"/>
        <v>132.8</v>
      </c>
      <c r="BN230" s="3626">
        <f t="shared" si="147"/>
        <v>166</v>
      </c>
      <c r="BO230" s="4055">
        <f t="shared" si="148"/>
        <v>166</v>
      </c>
      <c r="BP230" s="3627">
        <f t="shared" si="149"/>
        <v>166</v>
      </c>
      <c r="BQ230" s="3627">
        <f t="shared" si="107"/>
        <v>996</v>
      </c>
      <c r="BR230" s="3627">
        <f t="shared" si="108"/>
        <v>0</v>
      </c>
      <c r="BS230" s="4056"/>
      <c r="BT230" s="4057"/>
    </row>
    <row r="231" s="3566" customFormat="1" ht="50" customHeight="1" spans="1:72">
      <c r="A231" s="3635">
        <v>45742</v>
      </c>
      <c r="B231" s="3617" t="s">
        <v>3599</v>
      </c>
      <c r="C231" s="3617" t="s">
        <v>2058</v>
      </c>
      <c r="D231" s="3624">
        <v>4500161360</v>
      </c>
      <c r="E231" s="959">
        <v>2000007033</v>
      </c>
      <c r="F231" s="3617" t="s">
        <v>3600</v>
      </c>
      <c r="G231" s="959" t="s">
        <v>3356</v>
      </c>
      <c r="H231" s="3618" t="s">
        <v>3517</v>
      </c>
      <c r="I231" s="3618">
        <v>2508</v>
      </c>
      <c r="J231" s="3618">
        <v>0</v>
      </c>
      <c r="K231" s="3618">
        <v>12</v>
      </c>
      <c r="L231" s="4052">
        <f t="shared" si="121"/>
        <v>209</v>
      </c>
      <c r="M231" s="3619">
        <v>45797</v>
      </c>
      <c r="N231" s="3619">
        <v>45793</v>
      </c>
      <c r="O231" s="3691"/>
      <c r="P231" s="959" t="s">
        <v>82</v>
      </c>
      <c r="Q231" s="959"/>
      <c r="R231" s="959"/>
      <c r="S231" s="959"/>
      <c r="T231" s="4053"/>
      <c r="U231" s="3645" t="s">
        <v>2412</v>
      </c>
      <c r="V231" s="3657" t="s">
        <v>1176</v>
      </c>
      <c r="W231" s="3657"/>
      <c r="X231" s="3657" t="s">
        <v>6812</v>
      </c>
      <c r="Y231" s="3640"/>
      <c r="Z231" s="3623" t="s">
        <v>6810</v>
      </c>
      <c r="AA231" s="3620" t="s">
        <v>6813</v>
      </c>
      <c r="AB231" s="3624" t="s">
        <v>578</v>
      </c>
      <c r="AC231" s="3618">
        <v>4.4796</v>
      </c>
      <c r="AD231" s="3618">
        <f t="shared" si="152"/>
        <v>11234.8368</v>
      </c>
      <c r="AE231" s="3633"/>
      <c r="AF231" s="959" t="s">
        <v>6263</v>
      </c>
      <c r="AG231" s="3620" t="s">
        <v>416</v>
      </c>
      <c r="AH231" s="3620"/>
      <c r="AI231" s="3620"/>
      <c r="AJ231" s="3620"/>
      <c r="AK231" s="959"/>
      <c r="AL231" s="959"/>
      <c r="AM231" s="959">
        <f t="shared" si="151"/>
        <v>2508</v>
      </c>
      <c r="AN231" s="959"/>
      <c r="AO231" s="3618"/>
      <c r="AP231" s="3618">
        <f t="shared" si="131"/>
        <v>2508</v>
      </c>
      <c r="AQ231" s="3618"/>
      <c r="AR231" s="3626"/>
      <c r="AS231" s="3626">
        <f>I231</f>
        <v>2508</v>
      </c>
      <c r="AT231" s="3626"/>
      <c r="AU231" s="3626"/>
      <c r="AV231" s="3626"/>
      <c r="AW231" s="3626"/>
      <c r="AX231" s="3626"/>
      <c r="AY231" s="3626"/>
      <c r="AZ231" s="3626"/>
      <c r="BA231" s="3626"/>
      <c r="BB231" s="3626"/>
      <c r="BC231" s="3626"/>
      <c r="BD231" s="3626"/>
      <c r="BE231" s="3626"/>
      <c r="BF231" s="3626"/>
      <c r="BG231" s="3626"/>
      <c r="BH231" s="3626"/>
      <c r="BI231" s="3626" t="s">
        <v>89</v>
      </c>
      <c r="BJ231" s="3626">
        <f t="shared" si="143"/>
        <v>83.6</v>
      </c>
      <c r="BK231" s="3626">
        <f t="shared" si="144"/>
        <v>418</v>
      </c>
      <c r="BL231" s="3626">
        <f t="shared" si="145"/>
        <v>418</v>
      </c>
      <c r="BM231" s="3626">
        <f t="shared" si="146"/>
        <v>334.4</v>
      </c>
      <c r="BN231" s="3626">
        <f t="shared" si="147"/>
        <v>418</v>
      </c>
      <c r="BO231" s="4055">
        <f t="shared" si="148"/>
        <v>418</v>
      </c>
      <c r="BP231" s="3627">
        <f t="shared" si="149"/>
        <v>418</v>
      </c>
      <c r="BQ231" s="3627">
        <f t="shared" si="107"/>
        <v>2508</v>
      </c>
      <c r="BR231" s="3627">
        <f t="shared" si="108"/>
        <v>0</v>
      </c>
      <c r="BS231" s="4056"/>
      <c r="BT231" s="4057"/>
    </row>
    <row r="232" s="3566" customFormat="1" ht="50" customHeight="1" spans="1:72">
      <c r="A232" s="3635">
        <v>45761</v>
      </c>
      <c r="B232" s="3617" t="s">
        <v>2908</v>
      </c>
      <c r="C232" s="3617" t="s">
        <v>341</v>
      </c>
      <c r="D232" s="3624">
        <v>4500163542</v>
      </c>
      <c r="E232" s="959" t="s">
        <v>3645</v>
      </c>
      <c r="F232" s="3617" t="s">
        <v>3646</v>
      </c>
      <c r="G232" s="959" t="s">
        <v>6641</v>
      </c>
      <c r="H232" s="959" t="s">
        <v>6642</v>
      </c>
      <c r="I232" s="3618">
        <v>420</v>
      </c>
      <c r="J232" s="3618">
        <v>0</v>
      </c>
      <c r="K232" s="3618">
        <v>1</v>
      </c>
      <c r="L232" s="4052">
        <f t="shared" si="121"/>
        <v>420</v>
      </c>
      <c r="M232" s="3619">
        <v>45800</v>
      </c>
      <c r="N232" s="3619">
        <v>45796</v>
      </c>
      <c r="O232" s="3618"/>
      <c r="P232" s="959" t="s">
        <v>82</v>
      </c>
      <c r="Q232" s="959"/>
      <c r="R232" s="959"/>
      <c r="S232" s="959"/>
      <c r="T232" s="4053"/>
      <c r="U232" s="3620" t="s">
        <v>3638</v>
      </c>
      <c r="V232" s="3649" t="s">
        <v>3566</v>
      </c>
      <c r="W232" s="3649"/>
      <c r="X232" s="3657" t="s">
        <v>1099</v>
      </c>
      <c r="Y232" s="3649"/>
      <c r="Z232" s="3691" t="s">
        <v>3647</v>
      </c>
      <c r="AA232" s="3620" t="s">
        <v>6814</v>
      </c>
      <c r="AB232" s="3624" t="s">
        <v>3577</v>
      </c>
      <c r="AC232" s="4058">
        <v>8.499</v>
      </c>
      <c r="AD232" s="3618">
        <f t="shared" si="152"/>
        <v>3569.58</v>
      </c>
      <c r="AE232" s="3633"/>
      <c r="AF232" s="959" t="s">
        <v>3520</v>
      </c>
      <c r="AG232" s="3620" t="s">
        <v>416</v>
      </c>
      <c r="AH232" s="3620"/>
      <c r="AI232" s="3620"/>
      <c r="AJ232" s="3620"/>
      <c r="AK232" s="959">
        <f>I232</f>
        <v>420</v>
      </c>
      <c r="AL232" s="959"/>
      <c r="AM232" s="959"/>
      <c r="AN232" s="959"/>
      <c r="AO232" s="959"/>
      <c r="AP232" s="3618">
        <f t="shared" si="131"/>
        <v>420</v>
      </c>
      <c r="AQ232" s="3618"/>
      <c r="AR232" s="3626"/>
      <c r="AS232" s="3626">
        <f>I232</f>
        <v>420</v>
      </c>
      <c r="AT232" s="3626"/>
      <c r="AU232" s="3626"/>
      <c r="AV232" s="3626"/>
      <c r="AW232" s="3626"/>
      <c r="AX232" s="3626"/>
      <c r="AY232" s="3626"/>
      <c r="AZ232" s="3626"/>
      <c r="BA232" s="3626"/>
      <c r="BB232" s="3626"/>
      <c r="BC232" s="3626"/>
      <c r="BD232" s="3626"/>
      <c r="BE232" s="3626"/>
      <c r="BF232" s="3626"/>
      <c r="BG232" s="3626"/>
      <c r="BH232" s="3626"/>
      <c r="BI232" s="3626" t="s">
        <v>89</v>
      </c>
      <c r="BJ232" s="3626">
        <f t="shared" si="143"/>
        <v>14</v>
      </c>
      <c r="BK232" s="3626">
        <f t="shared" si="144"/>
        <v>70</v>
      </c>
      <c r="BL232" s="3626">
        <f t="shared" si="145"/>
        <v>70</v>
      </c>
      <c r="BM232" s="3626">
        <f t="shared" si="146"/>
        <v>56</v>
      </c>
      <c r="BN232" s="3626">
        <f t="shared" si="147"/>
        <v>70</v>
      </c>
      <c r="BO232" s="4055">
        <f t="shared" si="148"/>
        <v>70</v>
      </c>
      <c r="BP232" s="3627">
        <f t="shared" si="149"/>
        <v>70</v>
      </c>
      <c r="BQ232" s="3627">
        <f>SUM(BJ232:BP232)</f>
        <v>420</v>
      </c>
      <c r="BR232" s="3627">
        <f>I232-BQ232</f>
        <v>0</v>
      </c>
      <c r="BS232" s="4056"/>
      <c r="BT232" s="4057"/>
    </row>
    <row r="233" s="3566" customFormat="1" ht="50" customHeight="1" spans="1:72">
      <c r="A233" s="3635">
        <v>45749</v>
      </c>
      <c r="B233" s="3617" t="s">
        <v>6815</v>
      </c>
      <c r="C233" s="3617" t="s">
        <v>6781</v>
      </c>
      <c r="D233" s="3624">
        <v>4500162222</v>
      </c>
      <c r="E233" s="959">
        <v>32578100</v>
      </c>
      <c r="F233" s="3617" t="s">
        <v>6816</v>
      </c>
      <c r="G233" s="959" t="s">
        <v>6228</v>
      </c>
      <c r="H233" s="3618" t="s">
        <v>6063</v>
      </c>
      <c r="I233" s="3618">
        <v>1200</v>
      </c>
      <c r="J233" s="3618">
        <v>0</v>
      </c>
      <c r="K233" s="3618">
        <v>6</v>
      </c>
      <c r="L233" s="4052">
        <f t="shared" si="121"/>
        <v>200</v>
      </c>
      <c r="M233" s="3619">
        <v>45803</v>
      </c>
      <c r="N233" s="3619">
        <v>45799</v>
      </c>
      <c r="O233" s="3618"/>
      <c r="P233" s="959" t="s">
        <v>82</v>
      </c>
      <c r="Q233" s="959"/>
      <c r="R233" s="959"/>
      <c r="S233" s="959"/>
      <c r="T233" s="4053"/>
      <c r="U233" s="3620"/>
      <c r="V233" s="3649" t="s">
        <v>3575</v>
      </c>
      <c r="W233" s="3649"/>
      <c r="X233" s="3649" t="s">
        <v>6817</v>
      </c>
      <c r="Y233" s="3649"/>
      <c r="Z233" s="3661"/>
      <c r="AA233" s="3620" t="s">
        <v>6818</v>
      </c>
      <c r="AB233" s="3624" t="s">
        <v>4665</v>
      </c>
      <c r="AC233" s="4058">
        <v>2.21</v>
      </c>
      <c r="AD233" s="3618">
        <f t="shared" si="152"/>
        <v>2652</v>
      </c>
      <c r="AE233" s="3633"/>
      <c r="AF233" s="959" t="s">
        <v>6068</v>
      </c>
      <c r="AG233" s="3620" t="s">
        <v>416</v>
      </c>
      <c r="AH233" s="3620"/>
      <c r="AI233" s="3620"/>
      <c r="AJ233" s="3620"/>
      <c r="AK233" s="959"/>
      <c r="AL233" s="959"/>
      <c r="AM233" s="959">
        <f>I233</f>
        <v>1200</v>
      </c>
      <c r="AN233" s="959"/>
      <c r="AO233" s="3618"/>
      <c r="AP233" s="3618">
        <f t="shared" si="131"/>
        <v>1200</v>
      </c>
      <c r="AQ233" s="3618"/>
      <c r="AR233" s="3626"/>
      <c r="AS233" s="3626"/>
      <c r="AT233" s="3626"/>
      <c r="AU233" s="3626">
        <f>I233</f>
        <v>1200</v>
      </c>
      <c r="AV233" s="3626"/>
      <c r="AW233" s="3626"/>
      <c r="AX233" s="3626"/>
      <c r="AY233" s="3626">
        <f>I233/6</f>
        <v>200</v>
      </c>
      <c r="AZ233" s="3626"/>
      <c r="BA233" s="3626"/>
      <c r="BB233" s="3626"/>
      <c r="BC233" s="3626"/>
      <c r="BD233" s="3626"/>
      <c r="BE233" s="3626"/>
      <c r="BF233" s="3626"/>
      <c r="BG233" s="3626"/>
      <c r="BH233" s="3626"/>
      <c r="BI233" s="3626" t="s">
        <v>89</v>
      </c>
      <c r="BJ233" s="3626">
        <f t="shared" si="143"/>
        <v>40</v>
      </c>
      <c r="BK233" s="3626">
        <f t="shared" si="144"/>
        <v>200</v>
      </c>
      <c r="BL233" s="3626">
        <f t="shared" si="145"/>
        <v>200</v>
      </c>
      <c r="BM233" s="3626">
        <f t="shared" si="146"/>
        <v>160</v>
      </c>
      <c r="BN233" s="3626">
        <f t="shared" si="147"/>
        <v>200</v>
      </c>
      <c r="BO233" s="4055">
        <f t="shared" si="148"/>
        <v>200</v>
      </c>
      <c r="BP233" s="3627">
        <f t="shared" si="149"/>
        <v>200</v>
      </c>
      <c r="BQ233" s="3627">
        <f>SUM(BJ233:BP233)</f>
        <v>1200</v>
      </c>
      <c r="BR233" s="3627">
        <f>I233-BQ233</f>
        <v>0</v>
      </c>
      <c r="BS233" s="4056"/>
      <c r="BT233" s="4057"/>
    </row>
    <row r="234" s="3566" customFormat="1" ht="50" customHeight="1" spans="1:72">
      <c r="A234" s="3635">
        <v>45757</v>
      </c>
      <c r="B234" s="3617" t="s">
        <v>1252</v>
      </c>
      <c r="C234" s="3617" t="s">
        <v>738</v>
      </c>
      <c r="D234" s="3624">
        <v>4500162850</v>
      </c>
      <c r="E234" s="959">
        <v>6000056637</v>
      </c>
      <c r="F234" s="3617" t="s">
        <v>6819</v>
      </c>
      <c r="G234" s="959" t="s">
        <v>6124</v>
      </c>
      <c r="H234" s="3618" t="s">
        <v>6063</v>
      </c>
      <c r="I234" s="3618">
        <v>504</v>
      </c>
      <c r="J234" s="3618">
        <v>0</v>
      </c>
      <c r="K234" s="3618">
        <v>12</v>
      </c>
      <c r="L234" s="4052">
        <f t="shared" si="121"/>
        <v>42</v>
      </c>
      <c r="M234" s="3619">
        <v>45807</v>
      </c>
      <c r="N234" s="3619">
        <v>45803</v>
      </c>
      <c r="O234" s="3618"/>
      <c r="P234" s="959" t="s">
        <v>82</v>
      </c>
      <c r="Q234" s="959"/>
      <c r="R234" s="959"/>
      <c r="S234" s="959"/>
      <c r="T234" s="4053"/>
      <c r="U234" s="3645" t="s">
        <v>191</v>
      </c>
      <c r="V234" s="3649" t="s">
        <v>1254</v>
      </c>
      <c r="W234" s="3640"/>
      <c r="X234" s="3695" t="s">
        <v>1255</v>
      </c>
      <c r="Y234" s="3640"/>
      <c r="Z234" s="3623"/>
      <c r="AA234" s="3620" t="s">
        <v>6820</v>
      </c>
      <c r="AB234" s="3624" t="s">
        <v>1257</v>
      </c>
      <c r="AC234" s="4058">
        <v>2.259</v>
      </c>
      <c r="AD234" s="3618">
        <f t="shared" si="152"/>
        <v>1138.536</v>
      </c>
      <c r="AE234" s="3633"/>
      <c r="AF234" s="959" t="s">
        <v>6126</v>
      </c>
      <c r="AG234" s="3620" t="s">
        <v>416</v>
      </c>
      <c r="AH234" s="3620"/>
      <c r="AI234" s="3620"/>
      <c r="AJ234" s="3620"/>
      <c r="AK234" s="959"/>
      <c r="AL234" s="959"/>
      <c r="AM234" s="959">
        <f>I234</f>
        <v>504</v>
      </c>
      <c r="AN234" s="959"/>
      <c r="AO234" s="3618"/>
      <c r="AP234" s="3618">
        <f t="shared" si="131"/>
        <v>504</v>
      </c>
      <c r="AQ234" s="3618"/>
      <c r="AR234" s="3626"/>
      <c r="AS234" s="3626">
        <f t="shared" ref="AS234:AS239" si="153">I234</f>
        <v>504</v>
      </c>
      <c r="AT234" s="3626"/>
      <c r="AU234" s="3626"/>
      <c r="AV234" s="3626"/>
      <c r="AW234" s="3626">
        <f>I234/6</f>
        <v>84</v>
      </c>
      <c r="AX234" s="3626"/>
      <c r="AY234" s="3626"/>
      <c r="AZ234" s="3626"/>
      <c r="BA234" s="3626"/>
      <c r="BB234" s="3626"/>
      <c r="BC234" s="3626"/>
      <c r="BD234" s="3626"/>
      <c r="BE234" s="3626"/>
      <c r="BF234" s="3626"/>
      <c r="BG234" s="3626"/>
      <c r="BH234" s="3626"/>
      <c r="BI234" s="3626" t="s">
        <v>89</v>
      </c>
      <c r="BJ234" s="3626">
        <f t="shared" ref="BJ234:BJ254" si="154">I234/60*2</f>
        <v>16.8</v>
      </c>
      <c r="BK234" s="3626">
        <f t="shared" ref="BK234:BK254" si="155">I234/60*10</f>
        <v>84</v>
      </c>
      <c r="BL234" s="3626">
        <f t="shared" ref="BL234:BL254" si="156">I234/60*10</f>
        <v>84</v>
      </c>
      <c r="BM234" s="3626">
        <f t="shared" ref="BM234:BM254" si="157">I234/60*8</f>
        <v>67.2</v>
      </c>
      <c r="BN234" s="3626">
        <f t="shared" ref="BN234:BN254" si="158">I234/60*10</f>
        <v>84</v>
      </c>
      <c r="BO234" s="4055">
        <f t="shared" ref="BO234:BO254" si="159">I234/60*10</f>
        <v>84</v>
      </c>
      <c r="BP234" s="3627">
        <f t="shared" ref="BP234:BP254" si="160">I234/60*10</f>
        <v>84</v>
      </c>
      <c r="BQ234" s="3627">
        <f t="shared" ref="BQ234:BQ297" si="161">SUM(BJ234:BP234)</f>
        <v>504</v>
      </c>
      <c r="BR234" s="3627">
        <f t="shared" ref="BR234:BR297" si="162">I234-BQ234</f>
        <v>0</v>
      </c>
      <c r="BS234" s="4056"/>
      <c r="BT234" s="4057"/>
    </row>
    <row r="235" s="3566" customFormat="1" ht="50" customHeight="1" spans="1:72">
      <c r="A235" s="3635">
        <v>45758</v>
      </c>
      <c r="B235" s="3617" t="s">
        <v>340</v>
      </c>
      <c r="C235" s="3617" t="s">
        <v>341</v>
      </c>
      <c r="D235" s="3624">
        <v>4500163405</v>
      </c>
      <c r="E235" s="959" t="s">
        <v>6821</v>
      </c>
      <c r="F235" s="3617" t="s">
        <v>6822</v>
      </c>
      <c r="G235" s="959" t="s">
        <v>3520</v>
      </c>
      <c r="H235" s="3618" t="s">
        <v>6063</v>
      </c>
      <c r="I235" s="3618">
        <v>600</v>
      </c>
      <c r="J235" s="3618">
        <v>0</v>
      </c>
      <c r="K235" s="3618">
        <v>24</v>
      </c>
      <c r="L235" s="4052">
        <f t="shared" si="121"/>
        <v>25</v>
      </c>
      <c r="M235" s="3619">
        <v>45807</v>
      </c>
      <c r="N235" s="3619">
        <v>45803</v>
      </c>
      <c r="O235" s="3618"/>
      <c r="P235" s="959" t="s">
        <v>82</v>
      </c>
      <c r="Q235" s="959"/>
      <c r="R235" s="959"/>
      <c r="S235" s="959"/>
      <c r="T235" s="4053"/>
      <c r="U235" s="3620" t="s">
        <v>1195</v>
      </c>
      <c r="V235" s="3649" t="s">
        <v>1176</v>
      </c>
      <c r="W235" s="3640"/>
      <c r="X235" s="3695" t="s">
        <v>6823</v>
      </c>
      <c r="Y235" s="3640"/>
      <c r="Z235" s="3623"/>
      <c r="AA235" s="3620" t="s">
        <v>6824</v>
      </c>
      <c r="AB235" s="3624" t="s">
        <v>3577</v>
      </c>
      <c r="AC235" s="4058">
        <v>2.2017</v>
      </c>
      <c r="AD235" s="3618">
        <f t="shared" si="152"/>
        <v>1321.02</v>
      </c>
      <c r="AE235" s="3633"/>
      <c r="AF235" s="959" t="s">
        <v>3520</v>
      </c>
      <c r="AG235" s="3620" t="s">
        <v>416</v>
      </c>
      <c r="AH235" s="3620"/>
      <c r="AI235" s="3620"/>
      <c r="AJ235" s="3620"/>
      <c r="AK235" s="959">
        <f>I235</f>
        <v>600</v>
      </c>
      <c r="AL235" s="959"/>
      <c r="AM235" s="959"/>
      <c r="AN235" s="959"/>
      <c r="AO235" s="959"/>
      <c r="AP235" s="3618">
        <f t="shared" si="131"/>
        <v>600</v>
      </c>
      <c r="AQ235" s="3618"/>
      <c r="AR235" s="3626"/>
      <c r="AS235" s="3626">
        <f t="shared" si="153"/>
        <v>600</v>
      </c>
      <c r="AT235" s="3626"/>
      <c r="AU235" s="3626"/>
      <c r="AV235" s="3626"/>
      <c r="AW235" s="3626"/>
      <c r="AX235" s="3626"/>
      <c r="AY235" s="3626"/>
      <c r="AZ235" s="3626"/>
      <c r="BA235" s="3626"/>
      <c r="BB235" s="3626"/>
      <c r="BC235" s="3626"/>
      <c r="BD235" s="3626"/>
      <c r="BE235" s="3626"/>
      <c r="BF235" s="3626"/>
      <c r="BG235" s="3626"/>
      <c r="BH235" s="3626"/>
      <c r="BI235" s="3626" t="s">
        <v>89</v>
      </c>
      <c r="BJ235" s="3626">
        <f t="shared" si="154"/>
        <v>20</v>
      </c>
      <c r="BK235" s="3626">
        <f t="shared" si="155"/>
        <v>100</v>
      </c>
      <c r="BL235" s="3626">
        <f t="shared" si="156"/>
        <v>100</v>
      </c>
      <c r="BM235" s="3626">
        <f t="shared" si="157"/>
        <v>80</v>
      </c>
      <c r="BN235" s="3626">
        <f t="shared" si="158"/>
        <v>100</v>
      </c>
      <c r="BO235" s="4055">
        <f t="shared" si="159"/>
        <v>100</v>
      </c>
      <c r="BP235" s="3627">
        <f t="shared" si="160"/>
        <v>100</v>
      </c>
      <c r="BQ235" s="3627">
        <f t="shared" si="161"/>
        <v>600</v>
      </c>
      <c r="BR235" s="3627">
        <f t="shared" si="162"/>
        <v>0</v>
      </c>
      <c r="BS235" s="4056"/>
      <c r="BT235" s="4057"/>
    </row>
    <row r="236" s="3566" customFormat="1" ht="50" customHeight="1" spans="1:72">
      <c r="A236" s="3635">
        <v>45759</v>
      </c>
      <c r="B236" s="3617" t="s">
        <v>6341</v>
      </c>
      <c r="C236" s="3617" t="s">
        <v>506</v>
      </c>
      <c r="D236" s="3624">
        <v>4500163460</v>
      </c>
      <c r="E236" s="959" t="s">
        <v>6825</v>
      </c>
      <c r="F236" s="3617" t="s">
        <v>6826</v>
      </c>
      <c r="G236" s="959" t="s">
        <v>6124</v>
      </c>
      <c r="H236" s="3618" t="s">
        <v>6063</v>
      </c>
      <c r="I236" s="3618">
        <v>636</v>
      </c>
      <c r="J236" s="3618">
        <v>0</v>
      </c>
      <c r="K236" s="3618">
        <v>12</v>
      </c>
      <c r="L236" s="4052">
        <f t="shared" si="121"/>
        <v>53</v>
      </c>
      <c r="M236" s="3619">
        <v>45807</v>
      </c>
      <c r="N236" s="3619">
        <v>45803</v>
      </c>
      <c r="O236" s="3618"/>
      <c r="P236" s="959" t="s">
        <v>82</v>
      </c>
      <c r="Q236" s="959"/>
      <c r="R236" s="959"/>
      <c r="S236" s="959"/>
      <c r="T236" s="4053"/>
      <c r="U236" s="3620" t="s">
        <v>6827</v>
      </c>
      <c r="V236" s="3649" t="s">
        <v>1186</v>
      </c>
      <c r="W236" s="3640"/>
      <c r="X236" s="3695" t="s">
        <v>6345</v>
      </c>
      <c r="Y236" s="3640"/>
      <c r="Z236" s="3623"/>
      <c r="AA236" s="3620" t="s">
        <v>6828</v>
      </c>
      <c r="AB236" s="3624" t="s">
        <v>3202</v>
      </c>
      <c r="AC236" s="4058">
        <v>2.375</v>
      </c>
      <c r="AD236" s="3618">
        <f t="shared" si="152"/>
        <v>1510.5</v>
      </c>
      <c r="AE236" s="3633"/>
      <c r="AF236" s="959" t="s">
        <v>6124</v>
      </c>
      <c r="AG236" s="3620" t="s">
        <v>416</v>
      </c>
      <c r="AH236" s="3620"/>
      <c r="AI236" s="3620"/>
      <c r="AJ236" s="3620"/>
      <c r="AK236" s="959">
        <f>I236</f>
        <v>636</v>
      </c>
      <c r="AL236" s="959"/>
      <c r="AM236" s="959"/>
      <c r="AN236" s="959"/>
      <c r="AO236" s="959"/>
      <c r="AP236" s="3618">
        <f t="shared" si="131"/>
        <v>636</v>
      </c>
      <c r="AQ236" s="3618"/>
      <c r="AR236" s="3626"/>
      <c r="AS236" s="3626">
        <f t="shared" si="153"/>
        <v>636</v>
      </c>
      <c r="AT236" s="3626"/>
      <c r="AU236" s="3626"/>
      <c r="AV236" s="3626"/>
      <c r="AW236" s="3626">
        <f>I236/6</f>
        <v>106</v>
      </c>
      <c r="AX236" s="3626"/>
      <c r="AY236" s="3626"/>
      <c r="AZ236" s="3626"/>
      <c r="BA236" s="3626"/>
      <c r="BB236" s="3626"/>
      <c r="BC236" s="3626"/>
      <c r="BD236" s="3626"/>
      <c r="BE236" s="3626"/>
      <c r="BF236" s="3626"/>
      <c r="BG236" s="3626"/>
      <c r="BH236" s="3626"/>
      <c r="BI236" s="3626" t="s">
        <v>89</v>
      </c>
      <c r="BJ236" s="3626">
        <f t="shared" si="154"/>
        <v>21.2</v>
      </c>
      <c r="BK236" s="3626">
        <f t="shared" si="155"/>
        <v>106</v>
      </c>
      <c r="BL236" s="3626">
        <f t="shared" si="156"/>
        <v>106</v>
      </c>
      <c r="BM236" s="3626">
        <f t="shared" si="157"/>
        <v>84.8</v>
      </c>
      <c r="BN236" s="3626">
        <f t="shared" si="158"/>
        <v>106</v>
      </c>
      <c r="BO236" s="4055">
        <f t="shared" si="159"/>
        <v>106</v>
      </c>
      <c r="BP236" s="3627">
        <f t="shared" si="160"/>
        <v>106</v>
      </c>
      <c r="BQ236" s="3627">
        <f t="shared" si="161"/>
        <v>636</v>
      </c>
      <c r="BR236" s="3627">
        <f t="shared" si="162"/>
        <v>0</v>
      </c>
      <c r="BS236" s="4056"/>
      <c r="BT236" s="4057"/>
    </row>
    <row r="237" s="3566" customFormat="1" ht="50" customHeight="1" spans="1:72">
      <c r="A237" s="3635">
        <v>45759</v>
      </c>
      <c r="B237" s="3617" t="s">
        <v>6341</v>
      </c>
      <c r="C237" s="3617" t="s">
        <v>506</v>
      </c>
      <c r="D237" s="3624">
        <v>4500163460</v>
      </c>
      <c r="E237" s="959" t="s">
        <v>6829</v>
      </c>
      <c r="F237" s="3617" t="s">
        <v>6830</v>
      </c>
      <c r="G237" s="959" t="s">
        <v>6124</v>
      </c>
      <c r="H237" s="3618" t="s">
        <v>6063</v>
      </c>
      <c r="I237" s="3618">
        <v>420</v>
      </c>
      <c r="J237" s="3618">
        <v>0</v>
      </c>
      <c r="K237" s="3618">
        <v>12</v>
      </c>
      <c r="L237" s="4052">
        <f t="shared" si="121"/>
        <v>35</v>
      </c>
      <c r="M237" s="3619">
        <v>45807</v>
      </c>
      <c r="N237" s="3619">
        <v>45803</v>
      </c>
      <c r="O237" s="3618"/>
      <c r="P237" s="959" t="s">
        <v>82</v>
      </c>
      <c r="Q237" s="959"/>
      <c r="R237" s="959"/>
      <c r="S237" s="959"/>
      <c r="T237" s="4053"/>
      <c r="U237" s="3620" t="s">
        <v>6827</v>
      </c>
      <c r="V237" s="3649" t="s">
        <v>1186</v>
      </c>
      <c r="W237" s="3640"/>
      <c r="X237" s="3695" t="s">
        <v>6345</v>
      </c>
      <c r="Y237" s="3640"/>
      <c r="Z237" s="3623"/>
      <c r="AA237" s="3620" t="s">
        <v>6828</v>
      </c>
      <c r="AB237" s="3624" t="s">
        <v>3202</v>
      </c>
      <c r="AC237" s="4058">
        <v>2.375</v>
      </c>
      <c r="AD237" s="3618">
        <f t="shared" si="152"/>
        <v>997.5</v>
      </c>
      <c r="AE237" s="3633"/>
      <c r="AF237" s="959" t="s">
        <v>6124</v>
      </c>
      <c r="AG237" s="3620" t="s">
        <v>416</v>
      </c>
      <c r="AH237" s="3620"/>
      <c r="AI237" s="3620"/>
      <c r="AJ237" s="3620"/>
      <c r="AK237" s="959">
        <f>I237</f>
        <v>420</v>
      </c>
      <c r="AL237" s="959"/>
      <c r="AM237" s="959"/>
      <c r="AN237" s="959"/>
      <c r="AO237" s="959"/>
      <c r="AP237" s="3618">
        <f t="shared" si="131"/>
        <v>420</v>
      </c>
      <c r="AQ237" s="3618"/>
      <c r="AR237" s="3626"/>
      <c r="AS237" s="3626">
        <f t="shared" si="153"/>
        <v>420</v>
      </c>
      <c r="AT237" s="3626"/>
      <c r="AU237" s="3626"/>
      <c r="AV237" s="3626"/>
      <c r="AW237" s="3626">
        <f>I237/6</f>
        <v>70</v>
      </c>
      <c r="AX237" s="3626"/>
      <c r="AY237" s="3626"/>
      <c r="AZ237" s="3626"/>
      <c r="BA237" s="3626"/>
      <c r="BB237" s="3626"/>
      <c r="BC237" s="3626"/>
      <c r="BD237" s="3626"/>
      <c r="BE237" s="3626"/>
      <c r="BF237" s="3626"/>
      <c r="BG237" s="3626"/>
      <c r="BH237" s="3626"/>
      <c r="BI237" s="3626" t="s">
        <v>89</v>
      </c>
      <c r="BJ237" s="3626">
        <f t="shared" si="154"/>
        <v>14</v>
      </c>
      <c r="BK237" s="3626">
        <f t="shared" si="155"/>
        <v>70</v>
      </c>
      <c r="BL237" s="3626">
        <f t="shared" si="156"/>
        <v>70</v>
      </c>
      <c r="BM237" s="3626">
        <f t="shared" si="157"/>
        <v>56</v>
      </c>
      <c r="BN237" s="3626">
        <f t="shared" si="158"/>
        <v>70</v>
      </c>
      <c r="BO237" s="4055">
        <f t="shared" si="159"/>
        <v>70</v>
      </c>
      <c r="BP237" s="3627">
        <f t="shared" si="160"/>
        <v>70</v>
      </c>
      <c r="BQ237" s="3627">
        <f t="shared" si="161"/>
        <v>420</v>
      </c>
      <c r="BR237" s="3627">
        <f t="shared" si="162"/>
        <v>0</v>
      </c>
      <c r="BS237" s="4056"/>
      <c r="BT237" s="4057"/>
    </row>
    <row r="238" s="3566" customFormat="1" ht="50" customHeight="1" spans="1:72">
      <c r="A238" s="3635">
        <v>45759</v>
      </c>
      <c r="B238" s="3617" t="s">
        <v>6341</v>
      </c>
      <c r="C238" s="3617" t="s">
        <v>506</v>
      </c>
      <c r="D238" s="3624">
        <v>4500163460</v>
      </c>
      <c r="E238" s="959" t="s">
        <v>6831</v>
      </c>
      <c r="F238" s="959" t="s">
        <v>6832</v>
      </c>
      <c r="G238" s="959" t="s">
        <v>6124</v>
      </c>
      <c r="H238" s="3618" t="s">
        <v>6063</v>
      </c>
      <c r="I238" s="3618">
        <v>684</v>
      </c>
      <c r="J238" s="3618">
        <v>0</v>
      </c>
      <c r="K238" s="3618">
        <v>12</v>
      </c>
      <c r="L238" s="4052">
        <f t="shared" si="121"/>
        <v>57</v>
      </c>
      <c r="M238" s="3619">
        <v>45807</v>
      </c>
      <c r="N238" s="3619">
        <v>45803</v>
      </c>
      <c r="O238" s="3618"/>
      <c r="P238" s="959" t="s">
        <v>82</v>
      </c>
      <c r="Q238" s="959"/>
      <c r="R238" s="959"/>
      <c r="S238" s="959"/>
      <c r="T238" s="4053"/>
      <c r="U238" s="3620" t="s">
        <v>6827</v>
      </c>
      <c r="V238" s="3649" t="s">
        <v>1186</v>
      </c>
      <c r="W238" s="3640"/>
      <c r="X238" s="3695" t="s">
        <v>6345</v>
      </c>
      <c r="Y238" s="3640"/>
      <c r="Z238" s="3623"/>
      <c r="AA238" s="3620" t="s">
        <v>6828</v>
      </c>
      <c r="AB238" s="3624" t="s">
        <v>3202</v>
      </c>
      <c r="AC238" s="4058">
        <v>2.375</v>
      </c>
      <c r="AD238" s="3618">
        <f t="shared" si="152"/>
        <v>1624.5</v>
      </c>
      <c r="AE238" s="3633"/>
      <c r="AF238" s="959" t="s">
        <v>6124</v>
      </c>
      <c r="AG238" s="3620" t="s">
        <v>416</v>
      </c>
      <c r="AH238" s="3620"/>
      <c r="AI238" s="3620"/>
      <c r="AJ238" s="3620"/>
      <c r="AK238" s="959">
        <f>I238</f>
        <v>684</v>
      </c>
      <c r="AL238" s="959"/>
      <c r="AM238" s="959"/>
      <c r="AN238" s="959"/>
      <c r="AO238" s="959"/>
      <c r="AP238" s="3618">
        <f t="shared" si="131"/>
        <v>684</v>
      </c>
      <c r="AQ238" s="3618"/>
      <c r="AR238" s="3626"/>
      <c r="AS238" s="3626">
        <f t="shared" si="153"/>
        <v>684</v>
      </c>
      <c r="AT238" s="3626"/>
      <c r="AU238" s="3626"/>
      <c r="AV238" s="3626"/>
      <c r="AW238" s="3626">
        <f>I238/6</f>
        <v>114</v>
      </c>
      <c r="AX238" s="3626"/>
      <c r="AY238" s="3626"/>
      <c r="AZ238" s="3626"/>
      <c r="BA238" s="3626"/>
      <c r="BB238" s="3626"/>
      <c r="BC238" s="3626"/>
      <c r="BD238" s="3626"/>
      <c r="BE238" s="3626"/>
      <c r="BF238" s="3626"/>
      <c r="BG238" s="3626"/>
      <c r="BH238" s="3626"/>
      <c r="BI238" s="3626" t="s">
        <v>89</v>
      </c>
      <c r="BJ238" s="3626">
        <f t="shared" si="154"/>
        <v>22.8</v>
      </c>
      <c r="BK238" s="3626">
        <f t="shared" si="155"/>
        <v>114</v>
      </c>
      <c r="BL238" s="3626">
        <f t="shared" si="156"/>
        <v>114</v>
      </c>
      <c r="BM238" s="3626">
        <f t="shared" si="157"/>
        <v>91.2</v>
      </c>
      <c r="BN238" s="3626">
        <f t="shared" si="158"/>
        <v>114</v>
      </c>
      <c r="BO238" s="4055">
        <f t="shared" si="159"/>
        <v>114</v>
      </c>
      <c r="BP238" s="3627">
        <f t="shared" si="160"/>
        <v>114</v>
      </c>
      <c r="BQ238" s="3627">
        <f t="shared" si="161"/>
        <v>684</v>
      </c>
      <c r="BR238" s="3627">
        <f t="shared" si="162"/>
        <v>0</v>
      </c>
      <c r="BS238" s="4056"/>
      <c r="BT238" s="4057"/>
    </row>
    <row r="239" s="3566" customFormat="1" ht="50" customHeight="1" spans="1:72">
      <c r="A239" s="3635">
        <v>45759</v>
      </c>
      <c r="B239" s="3617" t="s">
        <v>6341</v>
      </c>
      <c r="C239" s="3617" t="s">
        <v>506</v>
      </c>
      <c r="D239" s="3624">
        <v>4500163460</v>
      </c>
      <c r="E239" s="959" t="s">
        <v>6833</v>
      </c>
      <c r="F239" s="959" t="s">
        <v>6834</v>
      </c>
      <c r="G239" s="959" t="s">
        <v>6124</v>
      </c>
      <c r="H239" s="3618" t="s">
        <v>6063</v>
      </c>
      <c r="I239" s="3618">
        <v>180</v>
      </c>
      <c r="J239" s="3618">
        <v>0</v>
      </c>
      <c r="K239" s="3618">
        <v>12</v>
      </c>
      <c r="L239" s="4052">
        <f t="shared" si="121"/>
        <v>15</v>
      </c>
      <c r="M239" s="3619">
        <v>45807</v>
      </c>
      <c r="N239" s="3619">
        <v>45803</v>
      </c>
      <c r="O239" s="3618"/>
      <c r="P239" s="959" t="s">
        <v>82</v>
      </c>
      <c r="Q239" s="959"/>
      <c r="R239" s="959"/>
      <c r="S239" s="959"/>
      <c r="T239" s="4053"/>
      <c r="U239" s="3620" t="s">
        <v>6827</v>
      </c>
      <c r="V239" s="3649" t="s">
        <v>1186</v>
      </c>
      <c r="W239" s="3640"/>
      <c r="X239" s="3695" t="s">
        <v>6345</v>
      </c>
      <c r="Y239" s="3640"/>
      <c r="Z239" s="3623"/>
      <c r="AA239" s="3620" t="s">
        <v>6828</v>
      </c>
      <c r="AB239" s="3624" t="s">
        <v>3202</v>
      </c>
      <c r="AC239" s="4058">
        <v>2.375</v>
      </c>
      <c r="AD239" s="3618">
        <f t="shared" si="152"/>
        <v>427.5</v>
      </c>
      <c r="AE239" s="3633"/>
      <c r="AF239" s="959" t="s">
        <v>6124</v>
      </c>
      <c r="AG239" s="3620" t="s">
        <v>416</v>
      </c>
      <c r="AH239" s="3620"/>
      <c r="AI239" s="3620"/>
      <c r="AJ239" s="3620"/>
      <c r="AK239" s="959">
        <f>I239</f>
        <v>180</v>
      </c>
      <c r="AL239" s="959"/>
      <c r="AM239" s="959"/>
      <c r="AN239" s="959"/>
      <c r="AO239" s="959"/>
      <c r="AP239" s="3618">
        <f t="shared" si="131"/>
        <v>180</v>
      </c>
      <c r="AQ239" s="3618"/>
      <c r="AR239" s="3626"/>
      <c r="AS239" s="3626">
        <f t="shared" si="153"/>
        <v>180</v>
      </c>
      <c r="AT239" s="3626"/>
      <c r="AU239" s="3626"/>
      <c r="AV239" s="3626"/>
      <c r="AW239" s="3626">
        <f>I239/6</f>
        <v>30</v>
      </c>
      <c r="AX239" s="3626"/>
      <c r="AY239" s="3626"/>
      <c r="AZ239" s="3626"/>
      <c r="BA239" s="3626"/>
      <c r="BB239" s="3626"/>
      <c r="BC239" s="3626"/>
      <c r="BD239" s="3626"/>
      <c r="BE239" s="3626"/>
      <c r="BF239" s="3626"/>
      <c r="BG239" s="3626"/>
      <c r="BH239" s="3626"/>
      <c r="BI239" s="3626" t="s">
        <v>89</v>
      </c>
      <c r="BJ239" s="3626">
        <f t="shared" si="154"/>
        <v>6</v>
      </c>
      <c r="BK239" s="3626">
        <f t="shared" si="155"/>
        <v>30</v>
      </c>
      <c r="BL239" s="3626">
        <f t="shared" si="156"/>
        <v>30</v>
      </c>
      <c r="BM239" s="3626">
        <f t="shared" si="157"/>
        <v>24</v>
      </c>
      <c r="BN239" s="3626">
        <f t="shared" si="158"/>
        <v>30</v>
      </c>
      <c r="BO239" s="4055">
        <f t="shared" si="159"/>
        <v>30</v>
      </c>
      <c r="BP239" s="3627">
        <f t="shared" si="160"/>
        <v>30</v>
      </c>
      <c r="BQ239" s="3627">
        <f t="shared" si="161"/>
        <v>180</v>
      </c>
      <c r="BR239" s="3627">
        <f t="shared" si="162"/>
        <v>0</v>
      </c>
      <c r="BS239" s="4056"/>
      <c r="BT239" s="4057"/>
    </row>
    <row r="240" s="3566" customFormat="1" ht="50" customHeight="1" spans="1:72">
      <c r="A240" s="3635">
        <v>45765</v>
      </c>
      <c r="B240" s="3617" t="s">
        <v>6835</v>
      </c>
      <c r="C240" s="3617" t="s">
        <v>6225</v>
      </c>
      <c r="D240" s="3624">
        <v>4500164226</v>
      </c>
      <c r="E240" s="959" t="s">
        <v>6836</v>
      </c>
      <c r="F240" s="3617" t="s">
        <v>6837</v>
      </c>
      <c r="G240" s="959" t="s">
        <v>6228</v>
      </c>
      <c r="H240" s="3618" t="s">
        <v>6063</v>
      </c>
      <c r="I240" s="3618">
        <v>2400</v>
      </c>
      <c r="J240" s="3618">
        <v>0</v>
      </c>
      <c r="K240" s="3618">
        <v>6</v>
      </c>
      <c r="L240" s="4052">
        <f t="shared" si="121"/>
        <v>400</v>
      </c>
      <c r="M240" s="3619">
        <v>45811</v>
      </c>
      <c r="N240" s="3619">
        <f>M240-4</f>
        <v>45807</v>
      </c>
      <c r="O240" s="3618"/>
      <c r="P240" s="959" t="s">
        <v>82</v>
      </c>
      <c r="Q240" s="959"/>
      <c r="R240" s="959"/>
      <c r="S240" s="959"/>
      <c r="T240" s="4053"/>
      <c r="U240" s="3620" t="s">
        <v>2412</v>
      </c>
      <c r="V240" s="3649" t="s">
        <v>3610</v>
      </c>
      <c r="W240" s="3640"/>
      <c r="X240" s="3649" t="s">
        <v>6838</v>
      </c>
      <c r="Y240" s="3640"/>
      <c r="Z240" s="3623"/>
      <c r="AA240" s="3620" t="s">
        <v>6839</v>
      </c>
      <c r="AB240" s="3624" t="s">
        <v>1631</v>
      </c>
      <c r="AC240" s="4058">
        <v>2.21</v>
      </c>
      <c r="AD240" s="3618">
        <f t="shared" si="152"/>
        <v>5304</v>
      </c>
      <c r="AE240" s="3633"/>
      <c r="AF240" s="959" t="s">
        <v>6068</v>
      </c>
      <c r="AG240" s="3620" t="s">
        <v>416</v>
      </c>
      <c r="AH240" s="3620"/>
      <c r="AI240" s="3620"/>
      <c r="AJ240" s="3620"/>
      <c r="AK240" s="959"/>
      <c r="AL240" s="959"/>
      <c r="AM240" s="959">
        <f t="shared" ref="AM240:AM245" si="163">I240</f>
        <v>2400</v>
      </c>
      <c r="AN240" s="959"/>
      <c r="AO240" s="3618"/>
      <c r="AP240" s="3618">
        <f t="shared" si="131"/>
        <v>2400</v>
      </c>
      <c r="AQ240" s="3618"/>
      <c r="AR240" s="3626"/>
      <c r="AS240" s="3626"/>
      <c r="AT240" s="3626"/>
      <c r="AU240" s="3626">
        <f>I240</f>
        <v>2400</v>
      </c>
      <c r="AV240" s="3626"/>
      <c r="AW240" s="3626"/>
      <c r="AX240" s="3626"/>
      <c r="AY240" s="3626">
        <f>I240/6</f>
        <v>400</v>
      </c>
      <c r="AZ240" s="3626"/>
      <c r="BA240" s="3626"/>
      <c r="BB240" s="3626"/>
      <c r="BC240" s="3626"/>
      <c r="BD240" s="3626"/>
      <c r="BE240" s="3626"/>
      <c r="BF240" s="3626"/>
      <c r="BG240" s="3626"/>
      <c r="BH240" s="3626"/>
      <c r="BI240" s="3626" t="s">
        <v>89</v>
      </c>
      <c r="BJ240" s="3626">
        <f t="shared" si="154"/>
        <v>80</v>
      </c>
      <c r="BK240" s="3626">
        <f t="shared" si="155"/>
        <v>400</v>
      </c>
      <c r="BL240" s="3626">
        <f t="shared" si="156"/>
        <v>400</v>
      </c>
      <c r="BM240" s="3626">
        <f t="shared" si="157"/>
        <v>320</v>
      </c>
      <c r="BN240" s="3626">
        <f t="shared" si="158"/>
        <v>400</v>
      </c>
      <c r="BO240" s="4055">
        <f t="shared" si="159"/>
        <v>400</v>
      </c>
      <c r="BP240" s="3627">
        <f t="shared" si="160"/>
        <v>400</v>
      </c>
      <c r="BQ240" s="3627">
        <f t="shared" si="161"/>
        <v>2400</v>
      </c>
      <c r="BR240" s="3627">
        <f t="shared" si="162"/>
        <v>0</v>
      </c>
      <c r="BS240" s="4056"/>
      <c r="BT240" s="4057"/>
    </row>
    <row r="241" s="3566" customFormat="1" ht="50" customHeight="1" spans="1:72">
      <c r="A241" s="3635">
        <v>45763</v>
      </c>
      <c r="B241" s="3617" t="s">
        <v>6840</v>
      </c>
      <c r="C241" s="3617" t="s">
        <v>396</v>
      </c>
      <c r="D241" s="3624">
        <v>4500163912</v>
      </c>
      <c r="E241" s="959" t="s">
        <v>6841</v>
      </c>
      <c r="F241" s="3617" t="s">
        <v>6842</v>
      </c>
      <c r="G241" s="959" t="s">
        <v>6074</v>
      </c>
      <c r="H241" s="3618" t="s">
        <v>6063</v>
      </c>
      <c r="I241" s="3618">
        <v>1800</v>
      </c>
      <c r="J241" s="3618">
        <v>0</v>
      </c>
      <c r="K241" s="3618">
        <v>24</v>
      </c>
      <c r="L241" s="4052">
        <f t="shared" si="121"/>
        <v>75</v>
      </c>
      <c r="M241" s="3619">
        <v>45807</v>
      </c>
      <c r="N241" s="3619">
        <v>45803</v>
      </c>
      <c r="O241" s="3618"/>
      <c r="P241" s="959" t="s">
        <v>82</v>
      </c>
      <c r="Q241" s="959"/>
      <c r="R241" s="959"/>
      <c r="S241" s="959"/>
      <c r="T241" s="4053"/>
      <c r="U241" s="3620" t="s">
        <v>194</v>
      </c>
      <c r="V241" s="3649" t="s">
        <v>1196</v>
      </c>
      <c r="W241" s="3640"/>
      <c r="X241" s="3695" t="s">
        <v>6843</v>
      </c>
      <c r="Y241" s="3640"/>
      <c r="Z241" s="3623"/>
      <c r="AA241" s="3620" t="s">
        <v>6844</v>
      </c>
      <c r="AB241" s="3624" t="s">
        <v>405</v>
      </c>
      <c r="AC241" s="4058">
        <v>2.2723</v>
      </c>
      <c r="AD241" s="3618">
        <f t="shared" si="152"/>
        <v>4090.14</v>
      </c>
      <c r="AE241" s="3633"/>
      <c r="AF241" s="959" t="s">
        <v>6845</v>
      </c>
      <c r="AG241" s="3620" t="s">
        <v>416</v>
      </c>
      <c r="AH241" s="3620"/>
      <c r="AI241" s="3620"/>
      <c r="AJ241" s="3620"/>
      <c r="AK241" s="959"/>
      <c r="AL241" s="959"/>
      <c r="AM241" s="959">
        <f t="shared" si="163"/>
        <v>1800</v>
      </c>
      <c r="AN241" s="959"/>
      <c r="AO241" s="3618"/>
      <c r="AP241" s="3618">
        <f t="shared" si="131"/>
        <v>1800</v>
      </c>
      <c r="AQ241" s="3618"/>
      <c r="AR241" s="3626"/>
      <c r="AS241" s="3626"/>
      <c r="AT241" s="3626"/>
      <c r="AU241" s="3626">
        <f>I241</f>
        <v>1800</v>
      </c>
      <c r="AV241" s="3626"/>
      <c r="AW241" s="3626"/>
      <c r="AX241" s="3626"/>
      <c r="AY241" s="3626"/>
      <c r="AZ241" s="3626"/>
      <c r="BA241" s="3626"/>
      <c r="BB241" s="3626"/>
      <c r="BC241" s="3626"/>
      <c r="BD241" s="3626"/>
      <c r="BE241" s="3626"/>
      <c r="BF241" s="3626"/>
      <c r="BG241" s="3626"/>
      <c r="BH241" s="3626"/>
      <c r="BI241" s="3626" t="s">
        <v>89</v>
      </c>
      <c r="BJ241" s="3626">
        <f t="shared" si="154"/>
        <v>60</v>
      </c>
      <c r="BK241" s="3626">
        <f t="shared" si="155"/>
        <v>300</v>
      </c>
      <c r="BL241" s="3626">
        <f t="shared" si="156"/>
        <v>300</v>
      </c>
      <c r="BM241" s="3626">
        <f t="shared" si="157"/>
        <v>240</v>
      </c>
      <c r="BN241" s="3626">
        <f t="shared" si="158"/>
        <v>300</v>
      </c>
      <c r="BO241" s="4055">
        <f t="shared" si="159"/>
        <v>300</v>
      </c>
      <c r="BP241" s="3627">
        <f t="shared" si="160"/>
        <v>300</v>
      </c>
      <c r="BQ241" s="3627">
        <f t="shared" si="161"/>
        <v>1800</v>
      </c>
      <c r="BR241" s="3627">
        <f t="shared" si="162"/>
        <v>0</v>
      </c>
      <c r="BS241" s="4056"/>
      <c r="BT241" s="4057"/>
    </row>
    <row r="242" s="3566" customFormat="1" ht="50" customHeight="1" spans="1:72">
      <c r="A242" s="3635">
        <v>45758</v>
      </c>
      <c r="B242" s="3617" t="s">
        <v>2812</v>
      </c>
      <c r="C242" s="3617" t="s">
        <v>2813</v>
      </c>
      <c r="D242" s="3624">
        <v>4500163328</v>
      </c>
      <c r="E242" s="959"/>
      <c r="F242" s="3617" t="s">
        <v>6846</v>
      </c>
      <c r="G242" s="959" t="s">
        <v>6124</v>
      </c>
      <c r="H242" s="3618" t="s">
        <v>6063</v>
      </c>
      <c r="I242" s="3618">
        <v>2940</v>
      </c>
      <c r="J242" s="3618">
        <v>0</v>
      </c>
      <c r="K242" s="3618">
        <v>12</v>
      </c>
      <c r="L242" s="4052">
        <f t="shared" si="121"/>
        <v>245</v>
      </c>
      <c r="M242" s="3619">
        <v>45814</v>
      </c>
      <c r="N242" s="3619">
        <v>45810</v>
      </c>
      <c r="O242" s="3618"/>
      <c r="P242" s="959" t="s">
        <v>82</v>
      </c>
      <c r="Q242" s="959"/>
      <c r="R242" s="959"/>
      <c r="S242" s="959"/>
      <c r="T242" s="4053"/>
      <c r="U242" s="3645" t="s">
        <v>277</v>
      </c>
      <c r="V242" s="3657" t="s">
        <v>1176</v>
      </c>
      <c r="W242" s="3640"/>
      <c r="X242" s="3657" t="s">
        <v>3730</v>
      </c>
      <c r="Y242" s="3640"/>
      <c r="Z242" s="3623"/>
      <c r="AA242" s="3620" t="s">
        <v>6847</v>
      </c>
      <c r="AB242" s="3624" t="s">
        <v>1326</v>
      </c>
      <c r="AC242" s="4058">
        <v>2.2547</v>
      </c>
      <c r="AD242" s="3618">
        <f t="shared" si="152"/>
        <v>6628.818</v>
      </c>
      <c r="AE242" s="3633"/>
      <c r="AF242" s="959" t="s">
        <v>6126</v>
      </c>
      <c r="AG242" s="3620" t="s">
        <v>416</v>
      </c>
      <c r="AH242" s="3620"/>
      <c r="AI242" s="3620"/>
      <c r="AJ242" s="3620"/>
      <c r="AK242" s="959"/>
      <c r="AL242" s="959"/>
      <c r="AM242" s="959">
        <f t="shared" si="163"/>
        <v>2940</v>
      </c>
      <c r="AN242" s="959"/>
      <c r="AO242" s="3618"/>
      <c r="AP242" s="3618">
        <f t="shared" si="131"/>
        <v>2940</v>
      </c>
      <c r="AQ242" s="3618"/>
      <c r="AR242" s="3626"/>
      <c r="AS242" s="3626">
        <f>I242</f>
        <v>2940</v>
      </c>
      <c r="AT242" s="3626"/>
      <c r="AU242" s="3626"/>
      <c r="AV242" s="3626"/>
      <c r="AW242" s="3626">
        <f>I242/6</f>
        <v>490</v>
      </c>
      <c r="AX242" s="3626"/>
      <c r="AY242" s="3626"/>
      <c r="AZ242" s="3626"/>
      <c r="BA242" s="3626"/>
      <c r="BB242" s="3626"/>
      <c r="BC242" s="3626"/>
      <c r="BD242" s="3626"/>
      <c r="BE242" s="3626"/>
      <c r="BF242" s="3626"/>
      <c r="BG242" s="3626"/>
      <c r="BH242" s="3626"/>
      <c r="BI242" s="3626" t="s">
        <v>89</v>
      </c>
      <c r="BJ242" s="3626">
        <f t="shared" si="154"/>
        <v>98</v>
      </c>
      <c r="BK242" s="3626">
        <f t="shared" si="155"/>
        <v>490</v>
      </c>
      <c r="BL242" s="3626">
        <f t="shared" si="156"/>
        <v>490</v>
      </c>
      <c r="BM242" s="3626">
        <f t="shared" si="157"/>
        <v>392</v>
      </c>
      <c r="BN242" s="3626">
        <f t="shared" si="158"/>
        <v>490</v>
      </c>
      <c r="BO242" s="4055">
        <f t="shared" si="159"/>
        <v>490</v>
      </c>
      <c r="BP242" s="3627">
        <f t="shared" si="160"/>
        <v>490</v>
      </c>
      <c r="BQ242" s="3627">
        <f t="shared" si="161"/>
        <v>2940</v>
      </c>
      <c r="BR242" s="3627">
        <f t="shared" si="162"/>
        <v>0</v>
      </c>
      <c r="BS242" s="4056"/>
      <c r="BT242" s="4057"/>
    </row>
    <row r="243" s="3566" customFormat="1" ht="50" customHeight="1" spans="1:72">
      <c r="A243" s="3635">
        <v>45768</v>
      </c>
      <c r="B243" s="3617" t="s">
        <v>6848</v>
      </c>
      <c r="C243" s="3617" t="s">
        <v>6781</v>
      </c>
      <c r="D243" s="3624">
        <v>4500164402</v>
      </c>
      <c r="E243" s="959">
        <v>1310</v>
      </c>
      <c r="F243" s="3617" t="s">
        <v>6849</v>
      </c>
      <c r="G243" s="959" t="s">
        <v>6850</v>
      </c>
      <c r="H243" s="3618" t="s">
        <v>6063</v>
      </c>
      <c r="I243" s="3618">
        <v>1200</v>
      </c>
      <c r="J243" s="3618">
        <v>0</v>
      </c>
      <c r="K243" s="3618">
        <v>12</v>
      </c>
      <c r="L243" s="4052">
        <f t="shared" si="121"/>
        <v>100</v>
      </c>
      <c r="M243" s="3619">
        <v>45814</v>
      </c>
      <c r="N243" s="3619">
        <v>45810</v>
      </c>
      <c r="O243" s="3618"/>
      <c r="P243" s="959" t="s">
        <v>82</v>
      </c>
      <c r="Q243" s="959"/>
      <c r="R243" s="959"/>
      <c r="S243" s="959"/>
      <c r="T243" s="4053"/>
      <c r="U243" s="3620" t="s">
        <v>401</v>
      </c>
      <c r="V243" s="3649" t="s">
        <v>3610</v>
      </c>
      <c r="W243" s="3640"/>
      <c r="X243" s="3649" t="s">
        <v>6851</v>
      </c>
      <c r="Y243" s="3640"/>
      <c r="Z243" s="3623"/>
      <c r="AA243" s="3620" t="s">
        <v>6852</v>
      </c>
      <c r="AB243" s="3624" t="s">
        <v>4665</v>
      </c>
      <c r="AC243" s="4058">
        <v>2.2991</v>
      </c>
      <c r="AD243" s="3618">
        <f t="shared" si="152"/>
        <v>2758.92</v>
      </c>
      <c r="AE243" s="3633"/>
      <c r="AF243" s="959" t="s">
        <v>6853</v>
      </c>
      <c r="AG243" s="3620" t="s">
        <v>416</v>
      </c>
      <c r="AH243" s="3620"/>
      <c r="AI243" s="3620"/>
      <c r="AJ243" s="3620"/>
      <c r="AK243" s="959"/>
      <c r="AL243" s="959"/>
      <c r="AM243" s="959">
        <f t="shared" si="163"/>
        <v>1200</v>
      </c>
      <c r="AN243" s="959"/>
      <c r="AO243" s="3618"/>
      <c r="AP243" s="3618">
        <f t="shared" si="131"/>
        <v>1200</v>
      </c>
      <c r="AQ243" s="3618"/>
      <c r="AR243" s="3626"/>
      <c r="AS243" s="3626"/>
      <c r="AT243" s="3626"/>
      <c r="AU243" s="3626">
        <f>I243</f>
        <v>1200</v>
      </c>
      <c r="AV243" s="3626"/>
      <c r="AW243" s="3626"/>
      <c r="AX243" s="3626"/>
      <c r="AY243" s="3626">
        <f>I243/6</f>
        <v>200</v>
      </c>
      <c r="AZ243" s="3626"/>
      <c r="BA243" s="3626"/>
      <c r="BB243" s="3626"/>
      <c r="BC243" s="3626"/>
      <c r="BD243" s="3626"/>
      <c r="BE243" s="3626"/>
      <c r="BF243" s="3626"/>
      <c r="BG243" s="3626"/>
      <c r="BH243" s="3626"/>
      <c r="BI243" s="3626" t="s">
        <v>89</v>
      </c>
      <c r="BJ243" s="3626">
        <f t="shared" si="154"/>
        <v>40</v>
      </c>
      <c r="BK243" s="3626">
        <f t="shared" si="155"/>
        <v>200</v>
      </c>
      <c r="BL243" s="3626">
        <f t="shared" si="156"/>
        <v>200</v>
      </c>
      <c r="BM243" s="3626">
        <f t="shared" si="157"/>
        <v>160</v>
      </c>
      <c r="BN243" s="3626">
        <f t="shared" si="158"/>
        <v>200</v>
      </c>
      <c r="BO243" s="4055">
        <f t="shared" si="159"/>
        <v>200</v>
      </c>
      <c r="BP243" s="3627">
        <f t="shared" si="160"/>
        <v>200</v>
      </c>
      <c r="BQ243" s="3627">
        <f t="shared" si="161"/>
        <v>1200</v>
      </c>
      <c r="BR243" s="3627">
        <f t="shared" si="162"/>
        <v>0</v>
      </c>
      <c r="BS243" s="4056"/>
      <c r="BT243" s="4057"/>
    </row>
    <row r="244" s="3566" customFormat="1" ht="50" customHeight="1" spans="1:72">
      <c r="A244" s="3635">
        <v>45771</v>
      </c>
      <c r="B244" s="3617" t="s">
        <v>6506</v>
      </c>
      <c r="C244" s="3617" t="s">
        <v>738</v>
      </c>
      <c r="D244" s="3624">
        <v>4500164861</v>
      </c>
      <c r="E244" s="959">
        <v>50212500921</v>
      </c>
      <c r="F244" s="3617" t="s">
        <v>6854</v>
      </c>
      <c r="G244" s="959" t="s">
        <v>6124</v>
      </c>
      <c r="H244" s="3618" t="s">
        <v>6063</v>
      </c>
      <c r="I244" s="3618">
        <v>1632</v>
      </c>
      <c r="J244" s="3618">
        <v>0</v>
      </c>
      <c r="K244" s="3618">
        <v>12</v>
      </c>
      <c r="L244" s="4052">
        <f t="shared" si="121"/>
        <v>136</v>
      </c>
      <c r="M244" s="3619">
        <v>45813</v>
      </c>
      <c r="N244" s="3619">
        <v>45810</v>
      </c>
      <c r="O244" s="3618"/>
      <c r="P244" s="959" t="s">
        <v>82</v>
      </c>
      <c r="Q244" s="959"/>
      <c r="R244" s="959"/>
      <c r="S244" s="959"/>
      <c r="T244" s="4053"/>
      <c r="U244" s="3620" t="s">
        <v>281</v>
      </c>
      <c r="V244" s="3649" t="s">
        <v>6855</v>
      </c>
      <c r="W244" s="3640"/>
      <c r="X244" s="3649" t="s">
        <v>6856</v>
      </c>
      <c r="Y244" s="3640"/>
      <c r="Z244" s="3623"/>
      <c r="AA244" s="3620" t="s">
        <v>6857</v>
      </c>
      <c r="AB244" s="3624" t="s">
        <v>459</v>
      </c>
      <c r="AC244" s="4058">
        <v>2.2547</v>
      </c>
      <c r="AD244" s="3618">
        <f t="shared" si="152"/>
        <v>3679.6704</v>
      </c>
      <c r="AE244" s="3633"/>
      <c r="AF244" s="959" t="s">
        <v>6126</v>
      </c>
      <c r="AG244" s="3620" t="s">
        <v>416</v>
      </c>
      <c r="AH244" s="3620"/>
      <c r="AI244" s="3620"/>
      <c r="AJ244" s="3620"/>
      <c r="AK244" s="959"/>
      <c r="AL244" s="959"/>
      <c r="AM244" s="959">
        <f t="shared" si="163"/>
        <v>1632</v>
      </c>
      <c r="AN244" s="959"/>
      <c r="AO244" s="3618"/>
      <c r="AP244" s="3618">
        <f t="shared" si="131"/>
        <v>1632</v>
      </c>
      <c r="AQ244" s="3618"/>
      <c r="AR244" s="3626"/>
      <c r="AS244" s="3626">
        <f>I244</f>
        <v>1632</v>
      </c>
      <c r="AT244" s="3626"/>
      <c r="AU244" s="3626"/>
      <c r="AV244" s="3626"/>
      <c r="AW244" s="3626">
        <f>I244/6</f>
        <v>272</v>
      </c>
      <c r="AX244" s="3626"/>
      <c r="AY244" s="3626"/>
      <c r="AZ244" s="3626"/>
      <c r="BA244" s="3626"/>
      <c r="BB244" s="3626"/>
      <c r="BC244" s="3626"/>
      <c r="BD244" s="3626"/>
      <c r="BE244" s="3626"/>
      <c r="BF244" s="3626"/>
      <c r="BG244" s="3626"/>
      <c r="BH244" s="3626"/>
      <c r="BI244" s="3626" t="s">
        <v>89</v>
      </c>
      <c r="BJ244" s="3626">
        <f t="shared" si="154"/>
        <v>54.4</v>
      </c>
      <c r="BK244" s="3626">
        <f t="shared" si="155"/>
        <v>272</v>
      </c>
      <c r="BL244" s="3626">
        <f t="shared" si="156"/>
        <v>272</v>
      </c>
      <c r="BM244" s="3626">
        <f t="shared" si="157"/>
        <v>217.6</v>
      </c>
      <c r="BN244" s="3626">
        <f t="shared" si="158"/>
        <v>272</v>
      </c>
      <c r="BO244" s="4055">
        <f t="shared" si="159"/>
        <v>272</v>
      </c>
      <c r="BP244" s="3627">
        <f t="shared" si="160"/>
        <v>272</v>
      </c>
      <c r="BQ244" s="3627">
        <f t="shared" si="161"/>
        <v>1632</v>
      </c>
      <c r="BR244" s="3627">
        <f t="shared" si="162"/>
        <v>0</v>
      </c>
      <c r="BS244" s="4056"/>
      <c r="BT244" s="4057"/>
    </row>
    <row r="245" s="3566" customFormat="1" ht="50" customHeight="1" spans="1:72">
      <c r="A245" s="3635">
        <v>45763</v>
      </c>
      <c r="B245" s="3617" t="s">
        <v>6858</v>
      </c>
      <c r="C245" s="3617" t="s">
        <v>569</v>
      </c>
      <c r="D245" s="3624">
        <v>4500163782</v>
      </c>
      <c r="E245" s="959"/>
      <c r="F245" s="3617" t="s">
        <v>6859</v>
      </c>
      <c r="G245" s="959" t="s">
        <v>6108</v>
      </c>
      <c r="H245" s="3618" t="s">
        <v>6063</v>
      </c>
      <c r="I245" s="3618">
        <v>600</v>
      </c>
      <c r="J245" s="3618">
        <v>0</v>
      </c>
      <c r="K245" s="3618">
        <v>12</v>
      </c>
      <c r="L245" s="4052">
        <f t="shared" si="121"/>
        <v>50</v>
      </c>
      <c r="M245" s="3619">
        <v>45814</v>
      </c>
      <c r="N245" s="3619">
        <v>45810</v>
      </c>
      <c r="O245" s="3618"/>
      <c r="P245" s="959" t="s">
        <v>82</v>
      </c>
      <c r="Q245" s="959"/>
      <c r="R245" s="959"/>
      <c r="S245" s="959"/>
      <c r="T245" s="4053"/>
      <c r="U245" s="3645" t="s">
        <v>6827</v>
      </c>
      <c r="V245" s="3649" t="s">
        <v>3725</v>
      </c>
      <c r="W245" s="3640"/>
      <c r="X245" s="3649" t="s">
        <v>6860</v>
      </c>
      <c r="Y245" s="3640"/>
      <c r="Z245" s="3623"/>
      <c r="AA245" s="3620" t="s">
        <v>6861</v>
      </c>
      <c r="AB245" s="3624" t="s">
        <v>4582</v>
      </c>
      <c r="AC245" s="4058">
        <v>2.2489</v>
      </c>
      <c r="AD245" s="3618">
        <f t="shared" si="152"/>
        <v>1349.34</v>
      </c>
      <c r="AE245" s="3633"/>
      <c r="AF245" s="959" t="s">
        <v>6699</v>
      </c>
      <c r="AG245" s="3620" t="s">
        <v>416</v>
      </c>
      <c r="AH245" s="3620"/>
      <c r="AI245" s="3620"/>
      <c r="AJ245" s="3620"/>
      <c r="AK245" s="959"/>
      <c r="AL245" s="959"/>
      <c r="AM245" s="959">
        <f t="shared" si="163"/>
        <v>600</v>
      </c>
      <c r="AN245" s="959"/>
      <c r="AO245" s="3618"/>
      <c r="AP245" s="3618">
        <f t="shared" si="131"/>
        <v>600</v>
      </c>
      <c r="AQ245" s="3618"/>
      <c r="AR245" s="3626"/>
      <c r="AS245" s="3626"/>
      <c r="AT245" s="3626"/>
      <c r="AU245" s="3626">
        <f>I245</f>
        <v>600</v>
      </c>
      <c r="AV245" s="3626"/>
      <c r="AW245" s="3626">
        <f>I245/6</f>
        <v>100</v>
      </c>
      <c r="AX245" s="3626"/>
      <c r="AY245" s="3626"/>
      <c r="AZ245" s="3626"/>
      <c r="BA245" s="3626"/>
      <c r="BB245" s="3626"/>
      <c r="BC245" s="3626"/>
      <c r="BD245" s="3626"/>
      <c r="BE245" s="3626"/>
      <c r="BF245" s="3626"/>
      <c r="BG245" s="3626"/>
      <c r="BH245" s="3626"/>
      <c r="BI245" s="3626" t="s">
        <v>89</v>
      </c>
      <c r="BJ245" s="3626">
        <f t="shared" si="154"/>
        <v>20</v>
      </c>
      <c r="BK245" s="3626">
        <f t="shared" si="155"/>
        <v>100</v>
      </c>
      <c r="BL245" s="3626">
        <f t="shared" si="156"/>
        <v>100</v>
      </c>
      <c r="BM245" s="3626">
        <f t="shared" si="157"/>
        <v>80</v>
      </c>
      <c r="BN245" s="3626">
        <f t="shared" si="158"/>
        <v>100</v>
      </c>
      <c r="BO245" s="4055">
        <f t="shared" si="159"/>
        <v>100</v>
      </c>
      <c r="BP245" s="3627">
        <f t="shared" si="160"/>
        <v>100</v>
      </c>
      <c r="BQ245" s="3627">
        <f t="shared" si="161"/>
        <v>600</v>
      </c>
      <c r="BR245" s="3627">
        <f t="shared" si="162"/>
        <v>0</v>
      </c>
      <c r="BS245" s="4056"/>
      <c r="BT245" s="4057"/>
    </row>
    <row r="246" s="3566" customFormat="1" ht="50" customHeight="1" spans="1:72">
      <c r="A246" s="3635">
        <v>45772</v>
      </c>
      <c r="B246" s="3617" t="s">
        <v>672</v>
      </c>
      <c r="C246" s="3617" t="s">
        <v>673</v>
      </c>
      <c r="D246" s="3624">
        <v>4500165000</v>
      </c>
      <c r="E246" s="959">
        <v>5000001855</v>
      </c>
      <c r="F246" s="3617" t="s">
        <v>6862</v>
      </c>
      <c r="G246" s="959" t="s">
        <v>6254</v>
      </c>
      <c r="H246" s="3618" t="s">
        <v>6063</v>
      </c>
      <c r="I246" s="3618">
        <v>1800</v>
      </c>
      <c r="J246" s="3618">
        <v>0</v>
      </c>
      <c r="K246" s="3618">
        <v>6</v>
      </c>
      <c r="L246" s="4052">
        <f t="shared" si="121"/>
        <v>300</v>
      </c>
      <c r="M246" s="3619">
        <v>45807</v>
      </c>
      <c r="N246" s="3619">
        <v>45803</v>
      </c>
      <c r="O246" s="3618"/>
      <c r="P246" s="959" t="s">
        <v>82</v>
      </c>
      <c r="Q246" s="959"/>
      <c r="R246" s="959"/>
      <c r="S246" s="959"/>
      <c r="T246" s="4053"/>
      <c r="U246" s="3620" t="s">
        <v>194</v>
      </c>
      <c r="V246" s="3649" t="s">
        <v>3709</v>
      </c>
      <c r="W246" s="3640"/>
      <c r="X246" s="3649" t="s">
        <v>6863</v>
      </c>
      <c r="Y246" s="3640"/>
      <c r="Z246" s="3623"/>
      <c r="AA246" s="3620" t="s">
        <v>6864</v>
      </c>
      <c r="AB246" s="3624" t="s">
        <v>993</v>
      </c>
      <c r="AC246" s="4058">
        <v>2.21</v>
      </c>
      <c r="AD246" s="3618">
        <f t="shared" si="152"/>
        <v>3978</v>
      </c>
      <c r="AE246" s="3633"/>
      <c r="AF246" s="959" t="s">
        <v>6260</v>
      </c>
      <c r="AG246" s="3620" t="s">
        <v>416</v>
      </c>
      <c r="AH246" s="3620"/>
      <c r="AI246" s="3620"/>
      <c r="AJ246" s="3620"/>
      <c r="AK246" s="959"/>
      <c r="AL246" s="959"/>
      <c r="AM246" s="959"/>
      <c r="AN246" s="959"/>
      <c r="AO246" s="959">
        <f>I246</f>
        <v>1800</v>
      </c>
      <c r="AP246" s="3618"/>
      <c r="AQ246" s="3618"/>
      <c r="AR246" s="3626">
        <f>I246</f>
        <v>1800</v>
      </c>
      <c r="AS246" s="3626">
        <f t="shared" ref="AS246:AS263" si="164">I246</f>
        <v>1800</v>
      </c>
      <c r="AT246" s="3626"/>
      <c r="AU246" s="3626"/>
      <c r="AV246" s="3626"/>
      <c r="AW246" s="3626"/>
      <c r="AX246" s="3626"/>
      <c r="AY246" s="3626">
        <f>I246/6</f>
        <v>300</v>
      </c>
      <c r="AZ246" s="3626"/>
      <c r="BA246" s="3626"/>
      <c r="BB246" s="3626"/>
      <c r="BC246" s="3626"/>
      <c r="BD246" s="3626"/>
      <c r="BE246" s="3626"/>
      <c r="BF246" s="3626"/>
      <c r="BG246" s="3626"/>
      <c r="BH246" s="3626"/>
      <c r="BI246" s="3626" t="s">
        <v>89</v>
      </c>
      <c r="BJ246" s="3626">
        <f t="shared" si="154"/>
        <v>60</v>
      </c>
      <c r="BK246" s="3626">
        <f t="shared" si="155"/>
        <v>300</v>
      </c>
      <c r="BL246" s="3626">
        <f t="shared" si="156"/>
        <v>300</v>
      </c>
      <c r="BM246" s="3626">
        <f t="shared" si="157"/>
        <v>240</v>
      </c>
      <c r="BN246" s="3626">
        <f t="shared" si="158"/>
        <v>300</v>
      </c>
      <c r="BO246" s="4055">
        <f t="shared" si="159"/>
        <v>300</v>
      </c>
      <c r="BP246" s="3627">
        <f t="shared" si="160"/>
        <v>300</v>
      </c>
      <c r="BQ246" s="3627">
        <f t="shared" si="161"/>
        <v>1800</v>
      </c>
      <c r="BR246" s="3627">
        <f t="shared" si="162"/>
        <v>0</v>
      </c>
      <c r="BS246" s="4056"/>
      <c r="BT246" s="4057"/>
    </row>
    <row r="247" s="3566" customFormat="1" ht="50" customHeight="1" spans="1:72">
      <c r="A247" s="3635">
        <v>45740</v>
      </c>
      <c r="B247" s="3617" t="s">
        <v>387</v>
      </c>
      <c r="C247" s="3617" t="s">
        <v>91</v>
      </c>
      <c r="D247" s="3624">
        <v>4500155024</v>
      </c>
      <c r="E247" s="3618">
        <v>70054083</v>
      </c>
      <c r="F247" s="3617" t="s">
        <v>6865</v>
      </c>
      <c r="G247" s="959" t="s">
        <v>3520</v>
      </c>
      <c r="H247" s="3618" t="s">
        <v>6063</v>
      </c>
      <c r="I247" s="3618">
        <v>600</v>
      </c>
      <c r="J247" s="3618">
        <v>0</v>
      </c>
      <c r="K247" s="3618">
        <v>24</v>
      </c>
      <c r="L247" s="4052">
        <f t="shared" si="121"/>
        <v>25</v>
      </c>
      <c r="M247" s="3619">
        <v>45856</v>
      </c>
      <c r="N247" s="3659">
        <v>45831</v>
      </c>
      <c r="O247" s="3618" t="s">
        <v>4848</v>
      </c>
      <c r="P247" s="959" t="s">
        <v>82</v>
      </c>
      <c r="Q247" s="959"/>
      <c r="R247" s="959"/>
      <c r="S247" s="959"/>
      <c r="T247" s="4053"/>
      <c r="U247" s="3645" t="s">
        <v>213</v>
      </c>
      <c r="V247" s="3640" t="s">
        <v>824</v>
      </c>
      <c r="W247" s="3640"/>
      <c r="X247" s="3695" t="s">
        <v>6866</v>
      </c>
      <c r="Y247" s="3695"/>
      <c r="Z247" s="3623"/>
      <c r="AA247" s="3620" t="s">
        <v>4260</v>
      </c>
      <c r="AB247" s="3624" t="s">
        <v>393</v>
      </c>
      <c r="AC247" s="4058">
        <v>2.2482</v>
      </c>
      <c r="AD247" s="3618">
        <f t="shared" si="152"/>
        <v>1348.92</v>
      </c>
      <c r="AE247" s="3633" t="s">
        <v>4261</v>
      </c>
      <c r="AF247" s="959" t="s">
        <v>3520</v>
      </c>
      <c r="AG247" s="3620" t="s">
        <v>416</v>
      </c>
      <c r="AH247" s="3620"/>
      <c r="AI247" s="3620"/>
      <c r="AJ247" s="3620"/>
      <c r="AK247" s="959">
        <f>I247</f>
        <v>600</v>
      </c>
      <c r="AL247" s="959"/>
      <c r="AM247" s="959"/>
      <c r="AN247" s="959"/>
      <c r="AO247" s="959"/>
      <c r="AP247" s="3618">
        <f t="shared" ref="AP247:AP271" si="165">I247</f>
        <v>600</v>
      </c>
      <c r="AQ247" s="3618"/>
      <c r="AR247" s="3626"/>
      <c r="AS247" s="3626">
        <f t="shared" si="164"/>
        <v>600</v>
      </c>
      <c r="AT247" s="3626"/>
      <c r="AU247" s="3626"/>
      <c r="AV247" s="3626"/>
      <c r="AW247" s="3626"/>
      <c r="AX247" s="3626"/>
      <c r="AY247" s="3626"/>
      <c r="AZ247" s="3626"/>
      <c r="BA247" s="3626"/>
      <c r="BB247" s="3626"/>
      <c r="BC247" s="3626"/>
      <c r="BD247" s="3626"/>
      <c r="BE247" s="3626"/>
      <c r="BF247" s="3626"/>
      <c r="BG247" s="3626"/>
      <c r="BH247" s="3626"/>
      <c r="BI247" s="3626" t="s">
        <v>89</v>
      </c>
      <c r="BJ247" s="3626">
        <f t="shared" si="154"/>
        <v>20</v>
      </c>
      <c r="BK247" s="3626">
        <f t="shared" si="155"/>
        <v>100</v>
      </c>
      <c r="BL247" s="3626">
        <f t="shared" si="156"/>
        <v>100</v>
      </c>
      <c r="BM247" s="3626">
        <f t="shared" si="157"/>
        <v>80</v>
      </c>
      <c r="BN247" s="3626">
        <f t="shared" si="158"/>
        <v>100</v>
      </c>
      <c r="BO247" s="4055">
        <f t="shared" si="159"/>
        <v>100</v>
      </c>
      <c r="BP247" s="3627">
        <f t="shared" si="160"/>
        <v>100</v>
      </c>
      <c r="BQ247" s="3627">
        <f t="shared" si="161"/>
        <v>600</v>
      </c>
      <c r="BR247" s="3627">
        <f t="shared" si="162"/>
        <v>0</v>
      </c>
      <c r="BS247" s="4056"/>
      <c r="BT247" s="4057"/>
    </row>
    <row r="248" s="3566" customFormat="1" ht="50" customHeight="1" spans="1:72">
      <c r="A248" s="3635">
        <v>45765</v>
      </c>
      <c r="B248" s="3617" t="s">
        <v>1258</v>
      </c>
      <c r="C248" s="3617" t="s">
        <v>341</v>
      </c>
      <c r="D248" s="3624">
        <v>4500164250</v>
      </c>
      <c r="E248" s="959" t="s">
        <v>6867</v>
      </c>
      <c r="F248" s="3617" t="s">
        <v>6868</v>
      </c>
      <c r="G248" s="959" t="s">
        <v>6223</v>
      </c>
      <c r="H248" s="959" t="s">
        <v>6100</v>
      </c>
      <c r="I248" s="3618">
        <v>1184</v>
      </c>
      <c r="J248" s="3618">
        <v>1</v>
      </c>
      <c r="K248" s="3618">
        <v>32</v>
      </c>
      <c r="L248" s="4052">
        <f>I248/K248</f>
        <v>37</v>
      </c>
      <c r="M248" s="3619">
        <v>45813</v>
      </c>
      <c r="N248" s="3619">
        <v>45810</v>
      </c>
      <c r="O248" s="3618"/>
      <c r="P248" s="959" t="s">
        <v>82</v>
      </c>
      <c r="Q248" s="959"/>
      <c r="R248" s="959"/>
      <c r="S248" s="959"/>
      <c r="T248" s="4053"/>
      <c r="U248" s="3620" t="s">
        <v>6869</v>
      </c>
      <c r="V248" s="3649" t="s">
        <v>1262</v>
      </c>
      <c r="W248" s="3649"/>
      <c r="X248" s="3657" t="s">
        <v>1263</v>
      </c>
      <c r="Y248" s="3640"/>
      <c r="Z248" s="3623" t="s">
        <v>6870</v>
      </c>
      <c r="AA248" s="3620" t="s">
        <v>6871</v>
      </c>
      <c r="AB248" s="3624" t="s">
        <v>380</v>
      </c>
      <c r="AC248" s="4058">
        <v>2.3115</v>
      </c>
      <c r="AD248" s="3618">
        <f t="shared" si="152"/>
        <v>2736.816</v>
      </c>
      <c r="AE248" s="3633"/>
      <c r="AF248" s="959" t="s">
        <v>6276</v>
      </c>
      <c r="AG248" s="3620" t="s">
        <v>416</v>
      </c>
      <c r="AH248" s="3620"/>
      <c r="AI248" s="3620"/>
      <c r="AJ248" s="3620"/>
      <c r="AK248" s="959"/>
      <c r="AL248" s="959"/>
      <c r="AM248" s="959">
        <f>I248</f>
        <v>1184</v>
      </c>
      <c r="AN248" s="959"/>
      <c r="AO248" s="3618"/>
      <c r="AP248" s="3618">
        <f t="shared" si="165"/>
        <v>1184</v>
      </c>
      <c r="AQ248" s="3618"/>
      <c r="AR248" s="3626"/>
      <c r="AS248" s="3626">
        <f t="shared" si="164"/>
        <v>1184</v>
      </c>
      <c r="AT248" s="3626"/>
      <c r="AU248" s="3626"/>
      <c r="AV248" s="3626"/>
      <c r="AW248" s="3626"/>
      <c r="AX248" s="3626"/>
      <c r="AY248" s="3626"/>
      <c r="AZ248" s="3626"/>
      <c r="BA248" s="3626"/>
      <c r="BB248" s="3626"/>
      <c r="BC248" s="3626"/>
      <c r="BD248" s="3626"/>
      <c r="BE248" s="3626"/>
      <c r="BF248" s="3626"/>
      <c r="BG248" s="3626"/>
      <c r="BH248" s="3626"/>
      <c r="BI248" s="3626" t="s">
        <v>89</v>
      </c>
      <c r="BJ248" s="3626"/>
      <c r="BK248" s="3626"/>
      <c r="BL248" s="3626">
        <f>I248-BJ248</f>
        <v>1184</v>
      </c>
      <c r="BM248" s="3626"/>
      <c r="BN248" s="3626"/>
      <c r="BO248" s="4055"/>
      <c r="BP248" s="3627"/>
      <c r="BQ248" s="3627">
        <f t="shared" si="161"/>
        <v>1184</v>
      </c>
      <c r="BR248" s="3627">
        <f t="shared" si="162"/>
        <v>0</v>
      </c>
      <c r="BS248" s="4056"/>
      <c r="BT248" s="4057"/>
    </row>
    <row r="249" s="3566" customFormat="1" ht="50" customHeight="1" spans="1:72">
      <c r="A249" s="3635">
        <v>45771</v>
      </c>
      <c r="B249" s="3617" t="s">
        <v>2961</v>
      </c>
      <c r="C249" s="3617" t="s">
        <v>341</v>
      </c>
      <c r="D249" s="3624">
        <v>4500164759</v>
      </c>
      <c r="E249" s="959" t="s">
        <v>6872</v>
      </c>
      <c r="F249" s="3617" t="s">
        <v>6873</v>
      </c>
      <c r="G249" s="959" t="s">
        <v>6753</v>
      </c>
      <c r="H249" s="3618" t="s">
        <v>6063</v>
      </c>
      <c r="I249" s="3618">
        <v>504</v>
      </c>
      <c r="J249" s="3618">
        <v>6</v>
      </c>
      <c r="K249" s="3618">
        <v>12</v>
      </c>
      <c r="L249" s="4052">
        <f>I249/K249</f>
        <v>42</v>
      </c>
      <c r="M249" s="3619">
        <v>45812</v>
      </c>
      <c r="N249" s="3619">
        <f>M249-4</f>
        <v>45808</v>
      </c>
      <c r="O249" s="3618"/>
      <c r="P249" s="959" t="s">
        <v>82</v>
      </c>
      <c r="Q249" s="959"/>
      <c r="R249" s="959"/>
      <c r="S249" s="959"/>
      <c r="T249" s="4053"/>
      <c r="U249" s="3620" t="s">
        <v>3633</v>
      </c>
      <c r="V249" s="3649" t="s">
        <v>3815</v>
      </c>
      <c r="W249" s="3640"/>
      <c r="X249" s="3649" t="s">
        <v>98</v>
      </c>
      <c r="Y249" s="3640"/>
      <c r="Z249" s="3623"/>
      <c r="AA249" s="3620" t="s">
        <v>6874</v>
      </c>
      <c r="AB249" s="3624" t="s">
        <v>1459</v>
      </c>
      <c r="AC249" s="4058">
        <v>2.3982</v>
      </c>
      <c r="AD249" s="3618">
        <f t="shared" si="152"/>
        <v>1208.6928</v>
      </c>
      <c r="AE249" s="3633"/>
      <c r="AF249" s="959" t="s">
        <v>6753</v>
      </c>
      <c r="AG249" s="3620" t="s">
        <v>416</v>
      </c>
      <c r="AH249" s="3620"/>
      <c r="AI249" s="3620"/>
      <c r="AJ249" s="3620"/>
      <c r="AK249" s="959">
        <f t="shared" ref="AK249:AK256" si="166">I249</f>
        <v>504</v>
      </c>
      <c r="AL249" s="959"/>
      <c r="AM249" s="959"/>
      <c r="AN249" s="959"/>
      <c r="AO249" s="959"/>
      <c r="AP249" s="3618">
        <f t="shared" si="165"/>
        <v>504</v>
      </c>
      <c r="AQ249" s="3618"/>
      <c r="AR249" s="3626"/>
      <c r="AS249" s="3626">
        <f t="shared" si="164"/>
        <v>504</v>
      </c>
      <c r="AT249" s="3626"/>
      <c r="AU249" s="3626"/>
      <c r="AV249" s="3626"/>
      <c r="AW249" s="3626">
        <f>I249/6</f>
        <v>84</v>
      </c>
      <c r="AX249" s="3626"/>
      <c r="AY249" s="3626"/>
      <c r="AZ249" s="3626"/>
      <c r="BA249" s="3626"/>
      <c r="BB249" s="3626"/>
      <c r="BC249" s="3626"/>
      <c r="BD249" s="3626"/>
      <c r="BE249" s="3626"/>
      <c r="BF249" s="3626"/>
      <c r="BG249" s="3626"/>
      <c r="BH249" s="3626"/>
      <c r="BI249" s="3626" t="s">
        <v>89</v>
      </c>
      <c r="BJ249" s="3626">
        <f t="shared" ref="BJ249:BJ272" si="167">I249/60*2</f>
        <v>16.8</v>
      </c>
      <c r="BK249" s="3626">
        <f t="shared" ref="BK249:BK272" si="168">I249/60*10</f>
        <v>84</v>
      </c>
      <c r="BL249" s="3626">
        <f t="shared" ref="BL249:BL272" si="169">I249/60*10</f>
        <v>84</v>
      </c>
      <c r="BM249" s="3626">
        <f t="shared" ref="BM249:BM272" si="170">I249/60*8</f>
        <v>67.2</v>
      </c>
      <c r="BN249" s="3626">
        <f t="shared" ref="BN249:BN272" si="171">I249/60*10</f>
        <v>84</v>
      </c>
      <c r="BO249" s="4055">
        <f t="shared" ref="BO249:BO272" si="172">I249/60*10</f>
        <v>84</v>
      </c>
      <c r="BP249" s="3627">
        <f t="shared" ref="BP249:BP272" si="173">I249/60*10</f>
        <v>84</v>
      </c>
      <c r="BQ249" s="3627">
        <f t="shared" si="161"/>
        <v>504</v>
      </c>
      <c r="BR249" s="3627">
        <f t="shared" si="162"/>
        <v>0</v>
      </c>
      <c r="BS249" s="4056"/>
      <c r="BT249" s="4057"/>
    </row>
    <row r="250" s="3566" customFormat="1" ht="50" customHeight="1" spans="1:72">
      <c r="A250" s="3635">
        <v>45749</v>
      </c>
      <c r="B250" s="3617" t="s">
        <v>6177</v>
      </c>
      <c r="C250" s="3617" t="s">
        <v>506</v>
      </c>
      <c r="D250" s="3624">
        <v>4500162407</v>
      </c>
      <c r="E250" s="959" t="s">
        <v>6875</v>
      </c>
      <c r="F250" s="3617" t="s">
        <v>6876</v>
      </c>
      <c r="G250" s="959" t="s">
        <v>6179</v>
      </c>
      <c r="H250" s="3618" t="s">
        <v>6063</v>
      </c>
      <c r="I250" s="3618">
        <v>400</v>
      </c>
      <c r="J250" s="3618">
        <v>0</v>
      </c>
      <c r="K250" s="3618">
        <v>2</v>
      </c>
      <c r="L250" s="4052">
        <f>I250/K250</f>
        <v>200</v>
      </c>
      <c r="M250" s="3619">
        <v>45813</v>
      </c>
      <c r="N250" s="3619">
        <v>45810</v>
      </c>
      <c r="O250" s="3618"/>
      <c r="P250" s="959" t="s">
        <v>82</v>
      </c>
      <c r="Q250" s="959"/>
      <c r="R250" s="959"/>
      <c r="S250" s="959"/>
      <c r="T250" s="4053"/>
      <c r="U250" s="3620"/>
      <c r="V250" s="3640" t="s">
        <v>6180</v>
      </c>
      <c r="W250" s="3640"/>
      <c r="X250" s="3695" t="s">
        <v>98</v>
      </c>
      <c r="Y250" s="3640"/>
      <c r="Z250" s="3623"/>
      <c r="AA250" s="3620" t="s">
        <v>6877</v>
      </c>
      <c r="AB250" s="3624" t="s">
        <v>513</v>
      </c>
      <c r="AC250" s="3618">
        <v>2.2901</v>
      </c>
      <c r="AD250" s="3618">
        <f t="shared" si="152"/>
        <v>916.04</v>
      </c>
      <c r="AE250" s="3633"/>
      <c r="AF250" s="959" t="s">
        <v>6179</v>
      </c>
      <c r="AG250" s="3620" t="s">
        <v>416</v>
      </c>
      <c r="AH250" s="3620"/>
      <c r="AI250" s="3620"/>
      <c r="AJ250" s="3620"/>
      <c r="AK250" s="959">
        <f t="shared" si="166"/>
        <v>400</v>
      </c>
      <c r="AL250" s="959"/>
      <c r="AM250" s="959"/>
      <c r="AN250" s="959"/>
      <c r="AO250" s="959"/>
      <c r="AP250" s="3618">
        <f t="shared" si="165"/>
        <v>400</v>
      </c>
      <c r="AQ250" s="3618"/>
      <c r="AR250" s="3626"/>
      <c r="AS250" s="3626">
        <f t="shared" si="164"/>
        <v>400</v>
      </c>
      <c r="AT250" s="3626"/>
      <c r="AU250" s="3626"/>
      <c r="AV250" s="3626"/>
      <c r="AW250" s="3626"/>
      <c r="AX250" s="3626"/>
      <c r="AY250" s="3626"/>
      <c r="AZ250" s="3626"/>
      <c r="BA250" s="3626"/>
      <c r="BB250" s="3626"/>
      <c r="BC250" s="3626"/>
      <c r="BD250" s="3626"/>
      <c r="BE250" s="3626">
        <f>I250/2</f>
        <v>200</v>
      </c>
      <c r="BF250" s="3626"/>
      <c r="BG250" s="3626"/>
      <c r="BH250" s="3626"/>
      <c r="BI250" s="3626" t="s">
        <v>89</v>
      </c>
      <c r="BJ250" s="3626">
        <f t="shared" si="167"/>
        <v>13.3333333333333</v>
      </c>
      <c r="BK250" s="3626">
        <f t="shared" si="168"/>
        <v>66.6666666666667</v>
      </c>
      <c r="BL250" s="3626">
        <f t="shared" si="169"/>
        <v>66.6666666666667</v>
      </c>
      <c r="BM250" s="3626">
        <f t="shared" si="170"/>
        <v>53.3333333333333</v>
      </c>
      <c r="BN250" s="3626">
        <f t="shared" si="171"/>
        <v>66.6666666666667</v>
      </c>
      <c r="BO250" s="4055">
        <f t="shared" si="172"/>
        <v>66.6666666666667</v>
      </c>
      <c r="BP250" s="3627">
        <f t="shared" si="173"/>
        <v>66.6666666666667</v>
      </c>
      <c r="BQ250" s="3627">
        <f t="shared" si="161"/>
        <v>400</v>
      </c>
      <c r="BR250" s="3627">
        <f t="shared" si="162"/>
        <v>0</v>
      </c>
      <c r="BS250" s="4056"/>
      <c r="BT250" s="4057"/>
    </row>
    <row r="251" s="3566" customFormat="1" ht="50" customHeight="1" spans="1:72">
      <c r="A251" s="3635">
        <v>45749</v>
      </c>
      <c r="B251" s="3617" t="s">
        <v>6177</v>
      </c>
      <c r="C251" s="3617" t="s">
        <v>506</v>
      </c>
      <c r="D251" s="3624">
        <v>4500162407</v>
      </c>
      <c r="E251" s="959" t="s">
        <v>6878</v>
      </c>
      <c r="F251" s="3617" t="s">
        <v>6879</v>
      </c>
      <c r="G251" s="959" t="s">
        <v>6179</v>
      </c>
      <c r="H251" s="3618" t="s">
        <v>6063</v>
      </c>
      <c r="I251" s="3618">
        <v>1000</v>
      </c>
      <c r="J251" s="3618">
        <v>0</v>
      </c>
      <c r="K251" s="3618">
        <v>2</v>
      </c>
      <c r="L251" s="4052">
        <f>I251/K251</f>
        <v>500</v>
      </c>
      <c r="M251" s="3619">
        <v>45813</v>
      </c>
      <c r="N251" s="3619">
        <v>45810</v>
      </c>
      <c r="O251" s="3618"/>
      <c r="P251" s="959" t="s">
        <v>82</v>
      </c>
      <c r="Q251" s="959"/>
      <c r="R251" s="959"/>
      <c r="S251" s="959"/>
      <c r="T251" s="4053"/>
      <c r="U251" s="3620"/>
      <c r="V251" s="3640" t="s">
        <v>6180</v>
      </c>
      <c r="W251" s="3640"/>
      <c r="X251" s="3695" t="s">
        <v>98</v>
      </c>
      <c r="Y251" s="3640"/>
      <c r="Z251" s="3623"/>
      <c r="AA251" s="3620" t="s">
        <v>6877</v>
      </c>
      <c r="AB251" s="3624" t="s">
        <v>513</v>
      </c>
      <c r="AC251" s="3618">
        <v>2.2901</v>
      </c>
      <c r="AD251" s="3618">
        <f t="shared" si="152"/>
        <v>2290.1</v>
      </c>
      <c r="AE251" s="3633"/>
      <c r="AF251" s="959" t="s">
        <v>6179</v>
      </c>
      <c r="AG251" s="3620" t="s">
        <v>416</v>
      </c>
      <c r="AH251" s="3620"/>
      <c r="AI251" s="3620"/>
      <c r="AJ251" s="3620"/>
      <c r="AK251" s="959">
        <f t="shared" si="166"/>
        <v>1000</v>
      </c>
      <c r="AL251" s="959"/>
      <c r="AM251" s="959"/>
      <c r="AN251" s="959"/>
      <c r="AO251" s="959"/>
      <c r="AP251" s="3618">
        <f t="shared" si="165"/>
        <v>1000</v>
      </c>
      <c r="AQ251" s="3618"/>
      <c r="AR251" s="3626"/>
      <c r="AS251" s="3626">
        <f t="shared" si="164"/>
        <v>1000</v>
      </c>
      <c r="AT251" s="3626"/>
      <c r="AU251" s="3626"/>
      <c r="AV251" s="3626"/>
      <c r="AW251" s="3626"/>
      <c r="AX251" s="3626"/>
      <c r="AY251" s="3626"/>
      <c r="AZ251" s="3626"/>
      <c r="BA251" s="3626"/>
      <c r="BB251" s="3626"/>
      <c r="BC251" s="3626"/>
      <c r="BD251" s="3626"/>
      <c r="BE251" s="3626">
        <f>I251/2</f>
        <v>500</v>
      </c>
      <c r="BF251" s="3626"/>
      <c r="BG251" s="3626"/>
      <c r="BH251" s="3626"/>
      <c r="BI251" s="3626" t="s">
        <v>89</v>
      </c>
      <c r="BJ251" s="3626">
        <f t="shared" si="167"/>
        <v>33.3333333333333</v>
      </c>
      <c r="BK251" s="3626">
        <f t="shared" si="168"/>
        <v>166.666666666667</v>
      </c>
      <c r="BL251" s="3626">
        <f t="shared" si="169"/>
        <v>166.666666666667</v>
      </c>
      <c r="BM251" s="3626">
        <f t="shared" si="170"/>
        <v>133.333333333333</v>
      </c>
      <c r="BN251" s="3626">
        <f t="shared" si="171"/>
        <v>166.666666666667</v>
      </c>
      <c r="BO251" s="4055">
        <f t="shared" si="172"/>
        <v>166.666666666667</v>
      </c>
      <c r="BP251" s="3627">
        <f t="shared" si="173"/>
        <v>166.666666666667</v>
      </c>
      <c r="BQ251" s="3627">
        <f t="shared" si="161"/>
        <v>1000</v>
      </c>
      <c r="BR251" s="3627">
        <f t="shared" si="162"/>
        <v>0</v>
      </c>
      <c r="BS251" s="4056"/>
      <c r="BT251" s="4057"/>
    </row>
    <row r="252" s="3566" customFormat="1" ht="50" customHeight="1" spans="1:72">
      <c r="A252" s="3635">
        <v>45749</v>
      </c>
      <c r="B252" s="3617" t="s">
        <v>6177</v>
      </c>
      <c r="C252" s="3617" t="s">
        <v>506</v>
      </c>
      <c r="D252" s="3624">
        <v>4500162407</v>
      </c>
      <c r="E252" s="959" t="s">
        <v>6880</v>
      </c>
      <c r="F252" s="3617" t="s">
        <v>6881</v>
      </c>
      <c r="G252" s="959" t="s">
        <v>6179</v>
      </c>
      <c r="H252" s="3618" t="s">
        <v>6063</v>
      </c>
      <c r="I252" s="3618">
        <v>1000</v>
      </c>
      <c r="J252" s="3618">
        <v>0</v>
      </c>
      <c r="K252" s="3618">
        <v>2</v>
      </c>
      <c r="L252" s="4052">
        <f t="shared" ref="L252:L271" si="174">I252/K252</f>
        <v>500</v>
      </c>
      <c r="M252" s="3619">
        <v>45813</v>
      </c>
      <c r="N252" s="3619">
        <v>45810</v>
      </c>
      <c r="O252" s="3618"/>
      <c r="P252" s="959" t="s">
        <v>82</v>
      </c>
      <c r="Q252" s="959"/>
      <c r="R252" s="959"/>
      <c r="S252" s="959"/>
      <c r="T252" s="4053"/>
      <c r="U252" s="3620"/>
      <c r="V252" s="3640" t="s">
        <v>6180</v>
      </c>
      <c r="W252" s="3647"/>
      <c r="X252" s="3695" t="s">
        <v>98</v>
      </c>
      <c r="Y252" s="3640"/>
      <c r="Z252" s="3623"/>
      <c r="AA252" s="3620" t="s">
        <v>6877</v>
      </c>
      <c r="AB252" s="3624" t="s">
        <v>513</v>
      </c>
      <c r="AC252" s="3618">
        <v>2.4712</v>
      </c>
      <c r="AD252" s="3618">
        <f t="shared" ref="AD252:AD271" si="175">AC252*I252</f>
        <v>2471.2</v>
      </c>
      <c r="AE252" s="3633"/>
      <c r="AF252" s="959" t="s">
        <v>6179</v>
      </c>
      <c r="AG252" s="3620" t="s">
        <v>416</v>
      </c>
      <c r="AH252" s="3620"/>
      <c r="AI252" s="3620"/>
      <c r="AJ252" s="3620"/>
      <c r="AK252" s="959">
        <f t="shared" si="166"/>
        <v>1000</v>
      </c>
      <c r="AL252" s="959"/>
      <c r="AM252" s="959"/>
      <c r="AN252" s="959"/>
      <c r="AO252" s="959"/>
      <c r="AP252" s="3618">
        <f t="shared" si="165"/>
        <v>1000</v>
      </c>
      <c r="AQ252" s="3618"/>
      <c r="AR252" s="3626"/>
      <c r="AS252" s="3626">
        <f t="shared" si="164"/>
        <v>1000</v>
      </c>
      <c r="AT252" s="3626"/>
      <c r="AU252" s="3626"/>
      <c r="AV252" s="3626"/>
      <c r="AW252" s="3626"/>
      <c r="AX252" s="3626"/>
      <c r="AY252" s="3626"/>
      <c r="AZ252" s="3626"/>
      <c r="BA252" s="3626"/>
      <c r="BB252" s="3626"/>
      <c r="BC252" s="3626"/>
      <c r="BD252" s="3626"/>
      <c r="BE252" s="3626">
        <f>I252/2</f>
        <v>500</v>
      </c>
      <c r="BF252" s="3626"/>
      <c r="BG252" s="3626"/>
      <c r="BH252" s="3626"/>
      <c r="BI252" s="3626" t="s">
        <v>89</v>
      </c>
      <c r="BJ252" s="3626">
        <f t="shared" si="167"/>
        <v>33.3333333333333</v>
      </c>
      <c r="BK252" s="3626">
        <f t="shared" si="168"/>
        <v>166.666666666667</v>
      </c>
      <c r="BL252" s="3626">
        <f t="shared" si="169"/>
        <v>166.666666666667</v>
      </c>
      <c r="BM252" s="3626">
        <f t="shared" si="170"/>
        <v>133.333333333333</v>
      </c>
      <c r="BN252" s="3626">
        <f t="shared" si="171"/>
        <v>166.666666666667</v>
      </c>
      <c r="BO252" s="4055">
        <f t="shared" si="172"/>
        <v>166.666666666667</v>
      </c>
      <c r="BP252" s="3627">
        <f t="shared" si="173"/>
        <v>166.666666666667</v>
      </c>
      <c r="BQ252" s="3627">
        <f t="shared" si="161"/>
        <v>1000</v>
      </c>
      <c r="BR252" s="3627">
        <f t="shared" si="162"/>
        <v>0</v>
      </c>
      <c r="BS252" s="4056"/>
      <c r="BT252" s="4057"/>
    </row>
    <row r="253" s="3566" customFormat="1" ht="50" customHeight="1" spans="1:72">
      <c r="A253" s="3635">
        <v>45775</v>
      </c>
      <c r="B253" s="3617" t="s">
        <v>2908</v>
      </c>
      <c r="C253" s="3617" t="s">
        <v>341</v>
      </c>
      <c r="D253" s="3624">
        <v>4500163222</v>
      </c>
      <c r="E253" s="959" t="s">
        <v>6882</v>
      </c>
      <c r="F253" s="3617" t="s">
        <v>6883</v>
      </c>
      <c r="G253" s="959" t="s">
        <v>6298</v>
      </c>
      <c r="H253" s="3618" t="s">
        <v>6063</v>
      </c>
      <c r="I253" s="3618">
        <v>4000</v>
      </c>
      <c r="J253" s="3618">
        <v>0</v>
      </c>
      <c r="K253" s="3618">
        <v>4</v>
      </c>
      <c r="L253" s="4052">
        <f t="shared" si="174"/>
        <v>1000</v>
      </c>
      <c r="M253" s="3619">
        <v>45814</v>
      </c>
      <c r="N253" s="3619">
        <v>45810</v>
      </c>
      <c r="O253" s="3618"/>
      <c r="P253" s="959" t="s">
        <v>82</v>
      </c>
      <c r="Q253" s="959"/>
      <c r="R253" s="959"/>
      <c r="S253" s="959"/>
      <c r="T253" s="4053"/>
      <c r="U253" s="3645" t="s">
        <v>3633</v>
      </c>
      <c r="V253" s="3649" t="s">
        <v>3734</v>
      </c>
      <c r="W253" s="3640"/>
      <c r="X253" s="3649" t="s">
        <v>98</v>
      </c>
      <c r="Y253" s="3640"/>
      <c r="Z253" s="3623"/>
      <c r="AA253" s="3620" t="s">
        <v>6884</v>
      </c>
      <c r="AB253" s="3624" t="s">
        <v>1245</v>
      </c>
      <c r="AC253" s="4058">
        <v>2.2745</v>
      </c>
      <c r="AD253" s="3618">
        <f t="shared" si="175"/>
        <v>9098</v>
      </c>
      <c r="AE253" s="3633"/>
      <c r="AF253" s="959" t="s">
        <v>6298</v>
      </c>
      <c r="AG253" s="3620" t="s">
        <v>416</v>
      </c>
      <c r="AH253" s="3620"/>
      <c r="AI253" s="3620"/>
      <c r="AJ253" s="3620"/>
      <c r="AK253" s="959">
        <f t="shared" si="166"/>
        <v>4000</v>
      </c>
      <c r="AL253" s="959"/>
      <c r="AM253" s="959"/>
      <c r="AN253" s="959"/>
      <c r="AO253" s="3618"/>
      <c r="AP253" s="3618">
        <f t="shared" si="165"/>
        <v>4000</v>
      </c>
      <c r="AQ253" s="3618"/>
      <c r="AR253" s="3626"/>
      <c r="AS253" s="3626">
        <f t="shared" si="164"/>
        <v>4000</v>
      </c>
      <c r="AT253" s="3626"/>
      <c r="AU253" s="3626"/>
      <c r="AV253" s="3626"/>
      <c r="AW253" s="3626"/>
      <c r="AX253" s="3626"/>
      <c r="AY253" s="3626"/>
      <c r="AZ253" s="3626"/>
      <c r="BA253" s="3626"/>
      <c r="BB253" s="3626"/>
      <c r="BC253" s="3626">
        <f>I253/4</f>
        <v>1000</v>
      </c>
      <c r="BD253" s="3626"/>
      <c r="BE253" s="3626"/>
      <c r="BF253" s="3626"/>
      <c r="BG253" s="3626"/>
      <c r="BH253" s="3626"/>
      <c r="BI253" s="3626" t="s">
        <v>89</v>
      </c>
      <c r="BJ253" s="3626">
        <f t="shared" si="167"/>
        <v>133.333333333333</v>
      </c>
      <c r="BK253" s="3626">
        <f t="shared" si="168"/>
        <v>666.666666666667</v>
      </c>
      <c r="BL253" s="3626">
        <f t="shared" si="169"/>
        <v>666.666666666667</v>
      </c>
      <c r="BM253" s="3626">
        <f t="shared" si="170"/>
        <v>533.333333333333</v>
      </c>
      <c r="BN253" s="3626">
        <f t="shared" si="171"/>
        <v>666.666666666667</v>
      </c>
      <c r="BO253" s="4055">
        <f t="shared" si="172"/>
        <v>666.666666666667</v>
      </c>
      <c r="BP253" s="3627">
        <f t="shared" si="173"/>
        <v>666.666666666667</v>
      </c>
      <c r="BQ253" s="3627">
        <f t="shared" si="161"/>
        <v>4000</v>
      </c>
      <c r="BR253" s="3627">
        <f t="shared" si="162"/>
        <v>0</v>
      </c>
      <c r="BS253" s="4056"/>
      <c r="BT253" s="4057"/>
    </row>
    <row r="254" s="3566" customFormat="1" ht="50" customHeight="1" spans="1:72">
      <c r="A254" s="3635">
        <v>45772</v>
      </c>
      <c r="B254" s="3617" t="s">
        <v>6885</v>
      </c>
      <c r="C254" s="3617" t="s">
        <v>6886</v>
      </c>
      <c r="D254" s="3624">
        <v>4500164995</v>
      </c>
      <c r="E254" s="959" t="s">
        <v>6887</v>
      </c>
      <c r="F254" s="3617" t="s">
        <v>6888</v>
      </c>
      <c r="G254" s="959" t="s">
        <v>3520</v>
      </c>
      <c r="H254" s="3618" t="s">
        <v>6063</v>
      </c>
      <c r="I254" s="3618">
        <v>1008</v>
      </c>
      <c r="J254" s="3618">
        <v>0</v>
      </c>
      <c r="K254" s="3618">
        <v>24</v>
      </c>
      <c r="L254" s="4052">
        <f t="shared" si="174"/>
        <v>42</v>
      </c>
      <c r="M254" s="3619">
        <v>45817</v>
      </c>
      <c r="N254" s="3619">
        <v>45813</v>
      </c>
      <c r="O254" s="3618"/>
      <c r="P254" s="959" t="s">
        <v>82</v>
      </c>
      <c r="Q254" s="959"/>
      <c r="R254" s="959"/>
      <c r="S254" s="959"/>
      <c r="T254" s="4053"/>
      <c r="U254" s="3620" t="s">
        <v>3801</v>
      </c>
      <c r="V254" s="3649" t="s">
        <v>3777</v>
      </c>
      <c r="W254" s="3640"/>
      <c r="X254" s="3640" t="s">
        <v>6889</v>
      </c>
      <c r="Y254" s="3640"/>
      <c r="Z254" s="3623"/>
      <c r="AA254" s="3620" t="s">
        <v>6890</v>
      </c>
      <c r="AB254" s="3624" t="s">
        <v>1326</v>
      </c>
      <c r="AC254" s="4058">
        <v>2.1973</v>
      </c>
      <c r="AD254" s="3618">
        <f t="shared" si="175"/>
        <v>2214.8784</v>
      </c>
      <c r="AE254" s="3633"/>
      <c r="AF254" s="959" t="s">
        <v>3520</v>
      </c>
      <c r="AG254" s="3620" t="s">
        <v>416</v>
      </c>
      <c r="AH254" s="3620"/>
      <c r="AI254" s="3620"/>
      <c r="AJ254" s="3620"/>
      <c r="AK254" s="959">
        <f t="shared" si="166"/>
        <v>1008</v>
      </c>
      <c r="AL254" s="959"/>
      <c r="AM254" s="959"/>
      <c r="AN254" s="959"/>
      <c r="AO254" s="959"/>
      <c r="AP254" s="3618">
        <f t="shared" si="165"/>
        <v>1008</v>
      </c>
      <c r="AQ254" s="3618"/>
      <c r="AR254" s="3626"/>
      <c r="AS254" s="3626">
        <f t="shared" si="164"/>
        <v>1008</v>
      </c>
      <c r="AT254" s="3626"/>
      <c r="AU254" s="3626"/>
      <c r="AV254" s="3626"/>
      <c r="AW254" s="3626"/>
      <c r="AX254" s="3626"/>
      <c r="AY254" s="3626"/>
      <c r="AZ254" s="3626"/>
      <c r="BA254" s="3626"/>
      <c r="BB254" s="3626"/>
      <c r="BC254" s="3626"/>
      <c r="BD254" s="3626"/>
      <c r="BE254" s="3626"/>
      <c r="BF254" s="3626"/>
      <c r="BG254" s="3626"/>
      <c r="BH254" s="3626"/>
      <c r="BI254" s="3626" t="s">
        <v>89</v>
      </c>
      <c r="BJ254" s="3626">
        <f t="shared" si="167"/>
        <v>33.6</v>
      </c>
      <c r="BK254" s="3626">
        <f t="shared" si="168"/>
        <v>168</v>
      </c>
      <c r="BL254" s="3626">
        <f t="shared" si="169"/>
        <v>168</v>
      </c>
      <c r="BM254" s="3626">
        <f t="shared" si="170"/>
        <v>134.4</v>
      </c>
      <c r="BN254" s="3626">
        <f t="shared" si="171"/>
        <v>168</v>
      </c>
      <c r="BO254" s="4055">
        <f t="shared" si="172"/>
        <v>168</v>
      </c>
      <c r="BP254" s="3627">
        <f t="shared" si="173"/>
        <v>168</v>
      </c>
      <c r="BQ254" s="3627">
        <f t="shared" si="161"/>
        <v>1008</v>
      </c>
      <c r="BR254" s="3627">
        <f t="shared" si="162"/>
        <v>0</v>
      </c>
      <c r="BS254" s="4056"/>
      <c r="BT254" s="4057"/>
    </row>
    <row r="255" s="3566" customFormat="1" ht="50" customHeight="1" spans="1:72">
      <c r="A255" s="3635">
        <v>45765</v>
      </c>
      <c r="B255" s="3617" t="s">
        <v>331</v>
      </c>
      <c r="C255" s="3617" t="s">
        <v>793</v>
      </c>
      <c r="D255" s="3624">
        <v>4500164228</v>
      </c>
      <c r="E255" s="959" t="s">
        <v>6891</v>
      </c>
      <c r="F255" s="3617" t="s">
        <v>6892</v>
      </c>
      <c r="G255" s="959" t="s">
        <v>6298</v>
      </c>
      <c r="H255" s="3618" t="s">
        <v>6063</v>
      </c>
      <c r="I255" s="3618">
        <v>16000</v>
      </c>
      <c r="J255" s="3618">
        <v>0</v>
      </c>
      <c r="K255" s="3618">
        <v>4</v>
      </c>
      <c r="L255" s="4052">
        <f t="shared" si="174"/>
        <v>4000</v>
      </c>
      <c r="M255" s="3619">
        <v>45810</v>
      </c>
      <c r="N255" s="3619">
        <f>M255-4</f>
        <v>45806</v>
      </c>
      <c r="O255" s="3618"/>
      <c r="P255" s="959" t="s">
        <v>82</v>
      </c>
      <c r="Q255" s="959"/>
      <c r="R255" s="959"/>
      <c r="S255" s="959"/>
      <c r="T255" s="4053"/>
      <c r="U255" s="3620">
        <v>45819</v>
      </c>
      <c r="V255" s="3649" t="s">
        <v>1267</v>
      </c>
      <c r="W255" s="3640"/>
      <c r="X255" s="3649" t="s">
        <v>6893</v>
      </c>
      <c r="Y255" s="3640"/>
      <c r="Z255" s="3623"/>
      <c r="AA255" s="3620" t="s">
        <v>6894</v>
      </c>
      <c r="AB255" s="3624" t="s">
        <v>2382</v>
      </c>
      <c r="AC255" s="3618">
        <v>2.2198</v>
      </c>
      <c r="AD255" s="3618">
        <f t="shared" si="175"/>
        <v>35516.8</v>
      </c>
      <c r="AE255" s="3633"/>
      <c r="AF255" s="959" t="s">
        <v>6298</v>
      </c>
      <c r="AG255" s="3620" t="s">
        <v>416</v>
      </c>
      <c r="AH255" s="3620"/>
      <c r="AI255" s="3620"/>
      <c r="AJ255" s="3620"/>
      <c r="AK255" s="959">
        <f t="shared" si="166"/>
        <v>16000</v>
      </c>
      <c r="AL255" s="959"/>
      <c r="AM255" s="959"/>
      <c r="AN255" s="959"/>
      <c r="AO255" s="959"/>
      <c r="AP255" s="3618">
        <f t="shared" si="165"/>
        <v>16000</v>
      </c>
      <c r="AQ255" s="3618"/>
      <c r="AR255" s="3626"/>
      <c r="AS255" s="3626">
        <f t="shared" si="164"/>
        <v>16000</v>
      </c>
      <c r="AT255" s="3626"/>
      <c r="AU255" s="3626"/>
      <c r="AV255" s="3626"/>
      <c r="AW255" s="3626"/>
      <c r="AX255" s="3626"/>
      <c r="AY255" s="3626"/>
      <c r="AZ255" s="3626"/>
      <c r="BA255" s="3626"/>
      <c r="BB255" s="3626"/>
      <c r="BC255" s="3626">
        <f>I255/4</f>
        <v>4000</v>
      </c>
      <c r="BD255" s="3626"/>
      <c r="BE255" s="3626"/>
      <c r="BF255" s="3626"/>
      <c r="BG255" s="3626"/>
      <c r="BH255" s="3626"/>
      <c r="BI255" s="3626" t="s">
        <v>89</v>
      </c>
      <c r="BJ255" s="3626">
        <f t="shared" si="167"/>
        <v>533.333333333333</v>
      </c>
      <c r="BK255" s="3626">
        <f t="shared" si="168"/>
        <v>2666.66666666667</v>
      </c>
      <c r="BL255" s="3626">
        <f t="shared" si="169"/>
        <v>2666.66666666667</v>
      </c>
      <c r="BM255" s="3626">
        <f t="shared" si="170"/>
        <v>2133.33333333333</v>
      </c>
      <c r="BN255" s="3626">
        <f t="shared" si="171"/>
        <v>2666.66666666667</v>
      </c>
      <c r="BO255" s="4055">
        <f t="shared" si="172"/>
        <v>2666.66666666667</v>
      </c>
      <c r="BP255" s="3627">
        <f t="shared" si="173"/>
        <v>2666.66666666667</v>
      </c>
      <c r="BQ255" s="3627">
        <f t="shared" si="161"/>
        <v>16000</v>
      </c>
      <c r="BR255" s="3627">
        <f t="shared" si="162"/>
        <v>0</v>
      </c>
      <c r="BS255" s="4056"/>
      <c r="BT255" s="4057"/>
    </row>
    <row r="256" s="3566" customFormat="1" ht="50" customHeight="1" spans="1:72">
      <c r="A256" s="3635">
        <v>45770</v>
      </c>
      <c r="B256" s="3617" t="s">
        <v>1246</v>
      </c>
      <c r="C256" s="3617" t="s">
        <v>1247</v>
      </c>
      <c r="D256" s="3624">
        <v>4500164616</v>
      </c>
      <c r="E256" s="959"/>
      <c r="F256" s="3617" t="s">
        <v>6895</v>
      </c>
      <c r="G256" s="959" t="s">
        <v>3520</v>
      </c>
      <c r="H256" s="3618" t="s">
        <v>6063</v>
      </c>
      <c r="I256" s="3618">
        <v>120</v>
      </c>
      <c r="J256" s="3618">
        <v>0</v>
      </c>
      <c r="K256" s="3618">
        <v>24</v>
      </c>
      <c r="L256" s="4052">
        <f t="shared" si="174"/>
        <v>5</v>
      </c>
      <c r="M256" s="3619">
        <v>45810</v>
      </c>
      <c r="N256" s="3619">
        <f>M256-4</f>
        <v>45806</v>
      </c>
      <c r="O256" s="3618"/>
      <c r="P256" s="959" t="s">
        <v>82</v>
      </c>
      <c r="Q256" s="959"/>
      <c r="R256" s="959"/>
      <c r="S256" s="959"/>
      <c r="T256" s="4053"/>
      <c r="U256" s="3620" t="s">
        <v>401</v>
      </c>
      <c r="V256" s="3649" t="s">
        <v>1249</v>
      </c>
      <c r="W256" s="3640"/>
      <c r="X256" s="3657" t="s">
        <v>6896</v>
      </c>
      <c r="Y256" s="3640"/>
      <c r="Z256" s="3623"/>
      <c r="AA256" s="3620" t="s">
        <v>1251</v>
      </c>
      <c r="AB256" s="3624" t="s">
        <v>1199</v>
      </c>
      <c r="AC256" s="4058">
        <v>2.2017</v>
      </c>
      <c r="AD256" s="3618">
        <f t="shared" si="175"/>
        <v>264.204</v>
      </c>
      <c r="AE256" s="3633"/>
      <c r="AF256" s="959" t="s">
        <v>3520</v>
      </c>
      <c r="AG256" s="3620" t="s">
        <v>416</v>
      </c>
      <c r="AH256" s="3620"/>
      <c r="AI256" s="3620"/>
      <c r="AJ256" s="3620"/>
      <c r="AK256" s="959">
        <f t="shared" si="166"/>
        <v>120</v>
      </c>
      <c r="AL256" s="959"/>
      <c r="AM256" s="959"/>
      <c r="AN256" s="959"/>
      <c r="AO256" s="959"/>
      <c r="AP256" s="3618">
        <f t="shared" si="165"/>
        <v>120</v>
      </c>
      <c r="AQ256" s="3618"/>
      <c r="AR256" s="3626"/>
      <c r="AS256" s="3626">
        <f t="shared" si="164"/>
        <v>120</v>
      </c>
      <c r="AT256" s="3626"/>
      <c r="AU256" s="3626"/>
      <c r="AV256" s="3626"/>
      <c r="AW256" s="3626"/>
      <c r="AX256" s="3626"/>
      <c r="AY256" s="3626"/>
      <c r="AZ256" s="3626"/>
      <c r="BA256" s="3626"/>
      <c r="BB256" s="3626"/>
      <c r="BC256" s="3626"/>
      <c r="BD256" s="3626"/>
      <c r="BE256" s="3626"/>
      <c r="BF256" s="3626"/>
      <c r="BG256" s="3626"/>
      <c r="BH256" s="3626"/>
      <c r="BI256" s="3626" t="s">
        <v>89</v>
      </c>
      <c r="BJ256" s="3626">
        <f t="shared" si="167"/>
        <v>4</v>
      </c>
      <c r="BK256" s="3626">
        <f t="shared" si="168"/>
        <v>20</v>
      </c>
      <c r="BL256" s="3626">
        <f t="shared" si="169"/>
        <v>20</v>
      </c>
      <c r="BM256" s="3626">
        <f t="shared" si="170"/>
        <v>16</v>
      </c>
      <c r="BN256" s="3626">
        <f t="shared" si="171"/>
        <v>20</v>
      </c>
      <c r="BO256" s="4055">
        <f t="shared" si="172"/>
        <v>20</v>
      </c>
      <c r="BP256" s="3627">
        <f t="shared" si="173"/>
        <v>20</v>
      </c>
      <c r="BQ256" s="3627">
        <f t="shared" si="161"/>
        <v>120</v>
      </c>
      <c r="BR256" s="3627">
        <f t="shared" si="162"/>
        <v>0</v>
      </c>
      <c r="BS256" s="4056"/>
      <c r="BT256" s="4057"/>
    </row>
    <row r="257" s="3566" customFormat="1" ht="50" customHeight="1" spans="1:72">
      <c r="A257" s="3635">
        <v>45755</v>
      </c>
      <c r="B257" s="3617" t="s">
        <v>2597</v>
      </c>
      <c r="C257" s="3617" t="s">
        <v>738</v>
      </c>
      <c r="D257" s="3624">
        <v>4500162848</v>
      </c>
      <c r="E257" s="959"/>
      <c r="F257" s="3617" t="s">
        <v>6897</v>
      </c>
      <c r="G257" s="959" t="s">
        <v>6124</v>
      </c>
      <c r="H257" s="3618" t="s">
        <v>6063</v>
      </c>
      <c r="I257" s="3618">
        <v>2040</v>
      </c>
      <c r="J257" s="3618">
        <v>0</v>
      </c>
      <c r="K257" s="3618">
        <v>12</v>
      </c>
      <c r="L257" s="4052">
        <f t="shared" si="174"/>
        <v>170</v>
      </c>
      <c r="M257" s="3619">
        <v>45817</v>
      </c>
      <c r="N257" s="3619">
        <v>45813</v>
      </c>
      <c r="O257" s="3618"/>
      <c r="P257" s="959" t="s">
        <v>82</v>
      </c>
      <c r="Q257" s="959"/>
      <c r="R257" s="959"/>
      <c r="S257" s="959"/>
      <c r="T257" s="4053"/>
      <c r="U257" s="3645" t="s">
        <v>191</v>
      </c>
      <c r="V257" s="3649" t="s">
        <v>3709</v>
      </c>
      <c r="W257" s="3657"/>
      <c r="X257" s="3657" t="s">
        <v>3754</v>
      </c>
      <c r="Y257" s="3640"/>
      <c r="Z257" s="3623"/>
      <c r="AA257" s="3620" t="s">
        <v>6898</v>
      </c>
      <c r="AB257" s="3624" t="s">
        <v>1257</v>
      </c>
      <c r="AC257" s="4058">
        <v>2.198</v>
      </c>
      <c r="AD257" s="3618">
        <f t="shared" si="175"/>
        <v>4483.92</v>
      </c>
      <c r="AE257" s="3633"/>
      <c r="AF257" s="959" t="s">
        <v>6126</v>
      </c>
      <c r="AG257" s="3620" t="s">
        <v>416</v>
      </c>
      <c r="AH257" s="3620"/>
      <c r="AI257" s="3620"/>
      <c r="AJ257" s="3620"/>
      <c r="AK257" s="959"/>
      <c r="AL257" s="959"/>
      <c r="AM257" s="959">
        <f>I257</f>
        <v>2040</v>
      </c>
      <c r="AN257" s="959"/>
      <c r="AO257" s="3618"/>
      <c r="AP257" s="3618">
        <f t="shared" si="165"/>
        <v>2040</v>
      </c>
      <c r="AQ257" s="3618"/>
      <c r="AR257" s="3626"/>
      <c r="AS257" s="3626">
        <f t="shared" si="164"/>
        <v>2040</v>
      </c>
      <c r="AT257" s="3626"/>
      <c r="AU257" s="3626"/>
      <c r="AV257" s="3626"/>
      <c r="AW257" s="3626">
        <f>I257/6</f>
        <v>340</v>
      </c>
      <c r="AX257" s="3626"/>
      <c r="AY257" s="3626"/>
      <c r="AZ257" s="3626"/>
      <c r="BA257" s="3626"/>
      <c r="BB257" s="3626"/>
      <c r="BC257" s="3626"/>
      <c r="BD257" s="3626"/>
      <c r="BE257" s="3626"/>
      <c r="BF257" s="3626"/>
      <c r="BG257" s="3626"/>
      <c r="BH257" s="3626"/>
      <c r="BI257" s="3626" t="s">
        <v>89</v>
      </c>
      <c r="BJ257" s="3626">
        <f t="shared" si="167"/>
        <v>68</v>
      </c>
      <c r="BK257" s="3626">
        <f t="shared" si="168"/>
        <v>340</v>
      </c>
      <c r="BL257" s="3626">
        <f t="shared" si="169"/>
        <v>340</v>
      </c>
      <c r="BM257" s="3626">
        <f t="shared" si="170"/>
        <v>272</v>
      </c>
      <c r="BN257" s="3626">
        <f t="shared" si="171"/>
        <v>340</v>
      </c>
      <c r="BO257" s="4055">
        <f t="shared" si="172"/>
        <v>340</v>
      </c>
      <c r="BP257" s="3627">
        <f t="shared" si="173"/>
        <v>340</v>
      </c>
      <c r="BQ257" s="3627">
        <f t="shared" si="161"/>
        <v>2040</v>
      </c>
      <c r="BR257" s="3627">
        <f t="shared" si="162"/>
        <v>0</v>
      </c>
      <c r="BS257" s="4056"/>
      <c r="BT257" s="4057"/>
    </row>
    <row r="258" s="3566" customFormat="1" ht="50" customHeight="1" spans="1:72">
      <c r="A258" s="3635">
        <v>45775</v>
      </c>
      <c r="B258" s="3617" t="s">
        <v>6224</v>
      </c>
      <c r="C258" s="3617" t="s">
        <v>6225</v>
      </c>
      <c r="D258" s="3624">
        <v>4500165241</v>
      </c>
      <c r="E258" s="959" t="s">
        <v>6899</v>
      </c>
      <c r="F258" s="3617" t="s">
        <v>6900</v>
      </c>
      <c r="G258" s="959" t="s">
        <v>6228</v>
      </c>
      <c r="H258" s="3618" t="s">
        <v>6063</v>
      </c>
      <c r="I258" s="3618">
        <v>240</v>
      </c>
      <c r="J258" s="3618">
        <v>0</v>
      </c>
      <c r="K258" s="3618">
        <v>6</v>
      </c>
      <c r="L258" s="4052">
        <f t="shared" si="174"/>
        <v>40</v>
      </c>
      <c r="M258" s="3619">
        <v>45817</v>
      </c>
      <c r="N258" s="3619">
        <v>45813</v>
      </c>
      <c r="O258" s="3618"/>
      <c r="P258" s="959" t="s">
        <v>82</v>
      </c>
      <c r="Q258" s="959"/>
      <c r="R258" s="959"/>
      <c r="S258" s="959"/>
      <c r="T258" s="4053"/>
      <c r="U258" s="3620" t="s">
        <v>3702</v>
      </c>
      <c r="V258" s="3649" t="s">
        <v>3734</v>
      </c>
      <c r="W258" s="3657"/>
      <c r="X258" s="3657" t="s">
        <v>6901</v>
      </c>
      <c r="Y258" s="3640"/>
      <c r="Z258" s="3623"/>
      <c r="AA258" s="3620" t="s">
        <v>6902</v>
      </c>
      <c r="AB258" s="3624" t="s">
        <v>424</v>
      </c>
      <c r="AC258" s="4058">
        <v>2.2713</v>
      </c>
      <c r="AD258" s="3618">
        <f t="shared" si="175"/>
        <v>545.112</v>
      </c>
      <c r="AE258" s="3633"/>
      <c r="AF258" s="959" t="s">
        <v>6068</v>
      </c>
      <c r="AG258" s="3620" t="s">
        <v>416</v>
      </c>
      <c r="AI258" s="3620"/>
      <c r="AJ258" s="3620"/>
      <c r="AK258" s="959"/>
      <c r="AL258" s="959"/>
      <c r="AM258" s="959">
        <f>I258</f>
        <v>240</v>
      </c>
      <c r="AN258" s="959"/>
      <c r="AO258" s="3618"/>
      <c r="AP258" s="3618">
        <f t="shared" si="165"/>
        <v>240</v>
      </c>
      <c r="AQ258" s="3618"/>
      <c r="AR258" s="3626"/>
      <c r="AS258" s="3626"/>
      <c r="AT258" s="3626"/>
      <c r="AU258" s="3626">
        <f>I258</f>
        <v>240</v>
      </c>
      <c r="AV258" s="3626"/>
      <c r="AW258" s="3626"/>
      <c r="AX258" s="3626"/>
      <c r="AY258" s="3626">
        <f>I258/6</f>
        <v>40</v>
      </c>
      <c r="AZ258" s="3626"/>
      <c r="BA258" s="3626"/>
      <c r="BB258" s="3626"/>
      <c r="BC258" s="3626"/>
      <c r="BD258" s="3626"/>
      <c r="BE258" s="3626"/>
      <c r="BF258" s="3626"/>
      <c r="BG258" s="3626"/>
      <c r="BH258" s="3626"/>
      <c r="BI258" s="3626" t="s">
        <v>89</v>
      </c>
      <c r="BJ258" s="3626">
        <f t="shared" si="167"/>
        <v>8</v>
      </c>
      <c r="BK258" s="3626">
        <f t="shared" si="168"/>
        <v>40</v>
      </c>
      <c r="BL258" s="3626">
        <f t="shared" si="169"/>
        <v>40</v>
      </c>
      <c r="BM258" s="3626">
        <f t="shared" si="170"/>
        <v>32</v>
      </c>
      <c r="BN258" s="3626">
        <f t="shared" si="171"/>
        <v>40</v>
      </c>
      <c r="BO258" s="4055">
        <f t="shared" si="172"/>
        <v>40</v>
      </c>
      <c r="BP258" s="3627">
        <f t="shared" si="173"/>
        <v>40</v>
      </c>
      <c r="BQ258" s="3627">
        <f t="shared" si="161"/>
        <v>240</v>
      </c>
      <c r="BR258" s="3627">
        <f t="shared" si="162"/>
        <v>0</v>
      </c>
      <c r="BS258" s="4056"/>
      <c r="BT258" s="4057"/>
    </row>
    <row r="259" s="3566" customFormat="1" ht="50" customHeight="1" spans="1:72">
      <c r="A259" s="3635">
        <v>45774</v>
      </c>
      <c r="B259" s="3617" t="s">
        <v>1265</v>
      </c>
      <c r="C259" s="3617" t="s">
        <v>873</v>
      </c>
      <c r="D259" s="3624">
        <v>4500164596</v>
      </c>
      <c r="E259" s="959"/>
      <c r="F259" s="3617" t="s">
        <v>6903</v>
      </c>
      <c r="G259" s="959" t="s">
        <v>3520</v>
      </c>
      <c r="H259" s="3618" t="s">
        <v>6063</v>
      </c>
      <c r="I259" s="3618">
        <v>240</v>
      </c>
      <c r="J259" s="3618">
        <v>0</v>
      </c>
      <c r="K259" s="3618">
        <v>24</v>
      </c>
      <c r="L259" s="4052">
        <f t="shared" si="174"/>
        <v>10</v>
      </c>
      <c r="M259" s="3619">
        <v>45817</v>
      </c>
      <c r="N259" s="3619">
        <v>45813</v>
      </c>
      <c r="O259" s="3618"/>
      <c r="P259" s="959" t="s">
        <v>82</v>
      </c>
      <c r="Q259" s="959"/>
      <c r="R259" s="959"/>
      <c r="S259" s="959"/>
      <c r="T259" s="4053"/>
      <c r="U259" s="3620"/>
      <c r="V259" s="3649" t="s">
        <v>1267</v>
      </c>
      <c r="W259" s="3657"/>
      <c r="X259" s="3657" t="s">
        <v>6904</v>
      </c>
      <c r="Y259" s="3640"/>
      <c r="Z259" s="3623"/>
      <c r="AA259" s="3620" t="s">
        <v>1269</v>
      </c>
      <c r="AB259" s="3624" t="s">
        <v>1199</v>
      </c>
      <c r="AC259" s="4058">
        <v>2.2017</v>
      </c>
      <c r="AD259" s="3618">
        <f t="shared" si="175"/>
        <v>528.408</v>
      </c>
      <c r="AE259" s="3633"/>
      <c r="AF259" s="959" t="s">
        <v>3520</v>
      </c>
      <c r="AG259" s="3620" t="s">
        <v>416</v>
      </c>
      <c r="AH259" s="3620"/>
      <c r="AI259" s="3620"/>
      <c r="AJ259" s="3620"/>
      <c r="AK259" s="959">
        <f>I259</f>
        <v>240</v>
      </c>
      <c r="AL259" s="959"/>
      <c r="AM259" s="959"/>
      <c r="AN259" s="959"/>
      <c r="AO259" s="3618"/>
      <c r="AP259" s="3618">
        <f t="shared" si="165"/>
        <v>240</v>
      </c>
      <c r="AQ259" s="3618"/>
      <c r="AR259" s="3626"/>
      <c r="AS259" s="3626">
        <f t="shared" ref="AS259:AS272" si="176">I259</f>
        <v>240</v>
      </c>
      <c r="AT259" s="3626"/>
      <c r="AU259" s="3626"/>
      <c r="AV259" s="3626"/>
      <c r="AW259" s="3626"/>
      <c r="AX259" s="3626"/>
      <c r="AY259" s="3626"/>
      <c r="AZ259" s="3626"/>
      <c r="BA259" s="3626"/>
      <c r="BB259" s="3626"/>
      <c r="BC259" s="3626"/>
      <c r="BD259" s="3626"/>
      <c r="BE259" s="3626"/>
      <c r="BF259" s="3626"/>
      <c r="BG259" s="3626"/>
      <c r="BH259" s="3626"/>
      <c r="BI259" s="3626" t="s">
        <v>89</v>
      </c>
      <c r="BJ259" s="3626">
        <f t="shared" si="167"/>
        <v>8</v>
      </c>
      <c r="BK259" s="3626">
        <f t="shared" si="168"/>
        <v>40</v>
      </c>
      <c r="BL259" s="3626">
        <f t="shared" si="169"/>
        <v>40</v>
      </c>
      <c r="BM259" s="3626">
        <f t="shared" si="170"/>
        <v>32</v>
      </c>
      <c r="BN259" s="3626">
        <f t="shared" si="171"/>
        <v>40</v>
      </c>
      <c r="BO259" s="4055">
        <f t="shared" si="172"/>
        <v>40</v>
      </c>
      <c r="BP259" s="3627">
        <f t="shared" si="173"/>
        <v>40</v>
      </c>
      <c r="BQ259" s="3627">
        <f t="shared" si="161"/>
        <v>240</v>
      </c>
      <c r="BR259" s="3627">
        <f t="shared" si="162"/>
        <v>0</v>
      </c>
      <c r="BS259" s="4056"/>
      <c r="BT259" s="4057"/>
    </row>
    <row r="260" s="3566" customFormat="1" ht="50" customHeight="1" spans="1:72">
      <c r="A260" s="3635">
        <v>45749</v>
      </c>
      <c r="B260" s="3617" t="s">
        <v>3781</v>
      </c>
      <c r="C260" s="3617" t="s">
        <v>738</v>
      </c>
      <c r="D260" s="3624">
        <v>4500159682</v>
      </c>
      <c r="E260" s="959" t="s">
        <v>3782</v>
      </c>
      <c r="F260" s="3617" t="s">
        <v>6905</v>
      </c>
      <c r="G260" s="959" t="s">
        <v>6124</v>
      </c>
      <c r="H260" s="3618" t="s">
        <v>6063</v>
      </c>
      <c r="I260" s="3618">
        <v>552</v>
      </c>
      <c r="J260" s="3618">
        <v>0</v>
      </c>
      <c r="K260" s="3618">
        <v>12</v>
      </c>
      <c r="L260" s="4052">
        <f t="shared" si="174"/>
        <v>46</v>
      </c>
      <c r="M260" s="3619">
        <v>45818</v>
      </c>
      <c r="N260" s="3619">
        <v>45814</v>
      </c>
      <c r="O260" s="3618"/>
      <c r="P260" s="959" t="s">
        <v>82</v>
      </c>
      <c r="Q260" s="959"/>
      <c r="R260" s="959"/>
      <c r="S260" s="959"/>
      <c r="T260" s="4053"/>
      <c r="U260" s="3620" t="s">
        <v>194</v>
      </c>
      <c r="V260" s="3657" t="s">
        <v>3777</v>
      </c>
      <c r="W260" s="3657"/>
      <c r="X260" s="3657" t="s">
        <v>3784</v>
      </c>
      <c r="Y260" s="3640"/>
      <c r="Z260" s="3623"/>
      <c r="AA260" s="3620" t="s">
        <v>6906</v>
      </c>
      <c r="AB260" s="3624" t="s">
        <v>1257</v>
      </c>
      <c r="AC260" s="4058">
        <v>2.3068</v>
      </c>
      <c r="AD260" s="3618">
        <f t="shared" si="175"/>
        <v>1273.3536</v>
      </c>
      <c r="AE260" s="3633"/>
      <c r="AF260" s="959" t="s">
        <v>6126</v>
      </c>
      <c r="AG260" s="3620" t="s">
        <v>416</v>
      </c>
      <c r="AH260" s="3620"/>
      <c r="AI260" s="3620"/>
      <c r="AJ260" s="3620"/>
      <c r="AK260" s="959"/>
      <c r="AL260" s="959"/>
      <c r="AM260" s="959">
        <f>I260</f>
        <v>552</v>
      </c>
      <c r="AN260" s="959"/>
      <c r="AO260" s="3618"/>
      <c r="AP260" s="3618">
        <f t="shared" si="165"/>
        <v>552</v>
      </c>
      <c r="AQ260" s="3618"/>
      <c r="AR260" s="3626"/>
      <c r="AS260" s="3626">
        <f t="shared" si="176"/>
        <v>552</v>
      </c>
      <c r="AT260" s="3626"/>
      <c r="AU260" s="3626"/>
      <c r="AV260" s="3626"/>
      <c r="AW260" s="3626">
        <f>I260/6</f>
        <v>92</v>
      </c>
      <c r="AX260" s="3626"/>
      <c r="AY260" s="3626"/>
      <c r="AZ260" s="3626"/>
      <c r="BA260" s="3626"/>
      <c r="BB260" s="3626"/>
      <c r="BC260" s="3626"/>
      <c r="BD260" s="3626"/>
      <c r="BE260" s="3626"/>
      <c r="BF260" s="3626"/>
      <c r="BG260" s="3626"/>
      <c r="BH260" s="3626"/>
      <c r="BI260" s="3626" t="s">
        <v>89</v>
      </c>
      <c r="BJ260" s="3626">
        <f t="shared" si="167"/>
        <v>18.4</v>
      </c>
      <c r="BK260" s="3626">
        <f t="shared" si="168"/>
        <v>92</v>
      </c>
      <c r="BL260" s="3626">
        <f t="shared" si="169"/>
        <v>92</v>
      </c>
      <c r="BM260" s="3626">
        <f t="shared" si="170"/>
        <v>73.6</v>
      </c>
      <c r="BN260" s="3626">
        <f t="shared" si="171"/>
        <v>92</v>
      </c>
      <c r="BO260" s="4055">
        <f t="shared" si="172"/>
        <v>92</v>
      </c>
      <c r="BP260" s="3627">
        <f t="shared" si="173"/>
        <v>92</v>
      </c>
      <c r="BQ260" s="3627">
        <f t="shared" si="161"/>
        <v>552</v>
      </c>
      <c r="BR260" s="3627">
        <f t="shared" si="162"/>
        <v>0</v>
      </c>
      <c r="BS260" s="4056"/>
      <c r="BT260" s="4057"/>
    </row>
    <row r="261" s="3566" customFormat="1" ht="50" customHeight="1" spans="1:72">
      <c r="A261" s="3635">
        <v>45735</v>
      </c>
      <c r="B261" s="3634" t="s">
        <v>6907</v>
      </c>
      <c r="C261" s="3617" t="s">
        <v>91</v>
      </c>
      <c r="D261" s="3629">
        <v>4500160726</v>
      </c>
      <c r="E261" s="959" t="s">
        <v>6908</v>
      </c>
      <c r="F261" s="3631" t="s">
        <v>6909</v>
      </c>
      <c r="G261" s="959" t="s">
        <v>6195</v>
      </c>
      <c r="H261" s="3618" t="s">
        <v>6063</v>
      </c>
      <c r="I261" s="3618">
        <v>816</v>
      </c>
      <c r="J261" s="3618">
        <v>0</v>
      </c>
      <c r="K261" s="3618">
        <v>12</v>
      </c>
      <c r="L261" s="4052">
        <f t="shared" si="174"/>
        <v>68</v>
      </c>
      <c r="M261" s="3619">
        <v>45818</v>
      </c>
      <c r="N261" s="3659">
        <v>45814</v>
      </c>
      <c r="O261" s="3618"/>
      <c r="P261" s="959" t="s">
        <v>82</v>
      </c>
      <c r="Q261" s="959"/>
      <c r="R261" s="959"/>
      <c r="S261" s="959"/>
      <c r="T261" s="4053"/>
      <c r="U261" s="3620" t="s">
        <v>3739</v>
      </c>
      <c r="V261" s="3649" t="s">
        <v>5968</v>
      </c>
      <c r="W261" s="3640"/>
      <c r="X261" s="3695" t="s">
        <v>1040</v>
      </c>
      <c r="Y261" s="3640"/>
      <c r="Z261" s="3618"/>
      <c r="AA261" s="3620" t="s">
        <v>6910</v>
      </c>
      <c r="AB261" s="3624" t="s">
        <v>6911</v>
      </c>
      <c r="AC261" s="4058">
        <v>2.2559</v>
      </c>
      <c r="AD261" s="3618">
        <f t="shared" si="175"/>
        <v>1840.8144</v>
      </c>
      <c r="AE261" s="3633" t="s">
        <v>6912</v>
      </c>
      <c r="AF261" s="959" t="s">
        <v>6195</v>
      </c>
      <c r="AG261" s="3620" t="s">
        <v>416</v>
      </c>
      <c r="AH261" s="3620"/>
      <c r="AI261" s="3620"/>
      <c r="AJ261" s="3620"/>
      <c r="AK261" s="959">
        <f>I261</f>
        <v>816</v>
      </c>
      <c r="AL261" s="959"/>
      <c r="AM261" s="959"/>
      <c r="AN261" s="959"/>
      <c r="AO261" s="959"/>
      <c r="AP261" s="3618">
        <f t="shared" si="165"/>
        <v>816</v>
      </c>
      <c r="AQ261" s="3618"/>
      <c r="AR261" s="3626"/>
      <c r="AS261" s="3626">
        <f t="shared" si="176"/>
        <v>816</v>
      </c>
      <c r="AT261" s="3626"/>
      <c r="AU261" s="3626"/>
      <c r="AV261" s="3626"/>
      <c r="AW261" s="3626"/>
      <c r="AX261" s="3626"/>
      <c r="AY261" s="3626">
        <f>I261/6</f>
        <v>136</v>
      </c>
      <c r="AZ261" s="3626"/>
      <c r="BA261" s="3626"/>
      <c r="BB261" s="3626"/>
      <c r="BC261" s="3626"/>
      <c r="BD261" s="3626"/>
      <c r="BE261" s="3626"/>
      <c r="BF261" s="3626"/>
      <c r="BG261" s="3626"/>
      <c r="BH261" s="3626"/>
      <c r="BI261" s="3626" t="s">
        <v>89</v>
      </c>
      <c r="BJ261" s="3626">
        <f t="shared" si="167"/>
        <v>27.2</v>
      </c>
      <c r="BK261" s="3626">
        <f t="shared" si="168"/>
        <v>136</v>
      </c>
      <c r="BL261" s="3626">
        <f t="shared" si="169"/>
        <v>136</v>
      </c>
      <c r="BM261" s="3626">
        <f t="shared" si="170"/>
        <v>108.8</v>
      </c>
      <c r="BN261" s="3626">
        <f t="shared" si="171"/>
        <v>136</v>
      </c>
      <c r="BO261" s="4055">
        <f t="shared" si="172"/>
        <v>136</v>
      </c>
      <c r="BP261" s="3627">
        <f t="shared" si="173"/>
        <v>136</v>
      </c>
      <c r="BQ261" s="3627">
        <f t="shared" si="161"/>
        <v>816</v>
      </c>
      <c r="BR261" s="3627">
        <f t="shared" si="162"/>
        <v>0</v>
      </c>
      <c r="BS261" s="4056"/>
      <c r="BT261" s="4057"/>
    </row>
    <row r="262" s="3566" customFormat="1" ht="50" customHeight="1" spans="1:72">
      <c r="A262" s="3635">
        <v>45789</v>
      </c>
      <c r="B262" s="3617" t="s">
        <v>6913</v>
      </c>
      <c r="C262" s="3617" t="s">
        <v>506</v>
      </c>
      <c r="D262" s="3624">
        <v>4500166054</v>
      </c>
      <c r="E262" s="959" t="s">
        <v>6914</v>
      </c>
      <c r="F262" s="3617" t="s">
        <v>6915</v>
      </c>
      <c r="G262" s="959" t="s">
        <v>6124</v>
      </c>
      <c r="H262" s="3618" t="s">
        <v>6063</v>
      </c>
      <c r="I262" s="3618">
        <v>696</v>
      </c>
      <c r="J262" s="3618">
        <v>0</v>
      </c>
      <c r="K262" s="3618">
        <v>12</v>
      </c>
      <c r="L262" s="4052">
        <f t="shared" si="174"/>
        <v>58</v>
      </c>
      <c r="M262" s="3619">
        <v>45824</v>
      </c>
      <c r="N262" s="3619">
        <v>45820</v>
      </c>
      <c r="O262" s="3618"/>
      <c r="P262" s="959" t="s">
        <v>82</v>
      </c>
      <c r="Q262" s="959"/>
      <c r="R262" s="959"/>
      <c r="S262" s="959"/>
      <c r="T262" s="4053"/>
      <c r="U262" s="3620" t="s">
        <v>197</v>
      </c>
      <c r="V262" s="3649" t="s">
        <v>3909</v>
      </c>
      <c r="W262" s="3657"/>
      <c r="X262" s="3657" t="s">
        <v>6916</v>
      </c>
      <c r="Y262" s="3640"/>
      <c r="Z262" s="3623"/>
      <c r="AA262" s="3620" t="s">
        <v>6917</v>
      </c>
      <c r="AB262" s="3624" t="s">
        <v>6918</v>
      </c>
      <c r="AC262" s="4058">
        <v>2.375</v>
      </c>
      <c r="AD262" s="3618">
        <f t="shared" si="175"/>
        <v>1653</v>
      </c>
      <c r="AE262" s="3633"/>
      <c r="AF262" s="959" t="s">
        <v>6124</v>
      </c>
      <c r="AG262" s="3620" t="s">
        <v>416</v>
      </c>
      <c r="AH262" s="3620"/>
      <c r="AI262" s="3620"/>
      <c r="AJ262" s="3620"/>
      <c r="AK262" s="959">
        <f>I262</f>
        <v>696</v>
      </c>
      <c r="AL262" s="959"/>
      <c r="AM262" s="959"/>
      <c r="AN262" s="959"/>
      <c r="AO262" s="959"/>
      <c r="AP262" s="3618">
        <f t="shared" si="165"/>
        <v>696</v>
      </c>
      <c r="AQ262" s="3618"/>
      <c r="AR262" s="3626"/>
      <c r="AS262" s="3626">
        <f t="shared" si="176"/>
        <v>696</v>
      </c>
      <c r="AT262" s="3626"/>
      <c r="AU262" s="3626"/>
      <c r="AV262" s="3626"/>
      <c r="AW262" s="3626">
        <f>I262/6</f>
        <v>116</v>
      </c>
      <c r="AX262" s="3626"/>
      <c r="AY262" s="3626"/>
      <c r="AZ262" s="3626"/>
      <c r="BA262" s="3626"/>
      <c r="BB262" s="3626"/>
      <c r="BC262" s="3626"/>
      <c r="BD262" s="3626"/>
      <c r="BE262" s="3626"/>
      <c r="BF262" s="3626"/>
      <c r="BG262" s="3626"/>
      <c r="BH262" s="3626"/>
      <c r="BI262" s="3626" t="s">
        <v>89</v>
      </c>
      <c r="BJ262" s="3626">
        <f t="shared" si="167"/>
        <v>23.2</v>
      </c>
      <c r="BK262" s="3626">
        <f t="shared" si="168"/>
        <v>116</v>
      </c>
      <c r="BL262" s="3626">
        <f t="shared" si="169"/>
        <v>116</v>
      </c>
      <c r="BM262" s="3626">
        <f t="shared" si="170"/>
        <v>92.8</v>
      </c>
      <c r="BN262" s="3626">
        <f t="shared" si="171"/>
        <v>116</v>
      </c>
      <c r="BO262" s="4055">
        <f t="shared" si="172"/>
        <v>116</v>
      </c>
      <c r="BP262" s="3627">
        <f t="shared" si="173"/>
        <v>116</v>
      </c>
      <c r="BQ262" s="3627">
        <f t="shared" si="161"/>
        <v>696</v>
      </c>
      <c r="BR262" s="3627">
        <f t="shared" si="162"/>
        <v>0</v>
      </c>
      <c r="BS262" s="4056"/>
      <c r="BT262" s="4057"/>
    </row>
    <row r="263" s="3566" customFormat="1" ht="50" customHeight="1" spans="1:72">
      <c r="A263" s="3635">
        <v>45789</v>
      </c>
      <c r="B263" s="3617" t="s">
        <v>6913</v>
      </c>
      <c r="C263" s="3617" t="s">
        <v>506</v>
      </c>
      <c r="D263" s="3624">
        <v>4500166054</v>
      </c>
      <c r="E263" s="959" t="s">
        <v>6919</v>
      </c>
      <c r="F263" s="3617" t="s">
        <v>6920</v>
      </c>
      <c r="G263" s="959" t="s">
        <v>6124</v>
      </c>
      <c r="H263" s="3618" t="s">
        <v>6063</v>
      </c>
      <c r="I263" s="3618">
        <v>120</v>
      </c>
      <c r="J263" s="3618">
        <v>0</v>
      </c>
      <c r="K263" s="3618">
        <v>12</v>
      </c>
      <c r="L263" s="4052">
        <f t="shared" si="174"/>
        <v>10</v>
      </c>
      <c r="M263" s="3619">
        <v>45824</v>
      </c>
      <c r="N263" s="3619">
        <v>45820</v>
      </c>
      <c r="O263" s="3618"/>
      <c r="P263" s="959" t="s">
        <v>82</v>
      </c>
      <c r="Q263" s="959"/>
      <c r="R263" s="959"/>
      <c r="S263" s="959"/>
      <c r="T263" s="4053"/>
      <c r="U263" s="3620" t="s">
        <v>197</v>
      </c>
      <c r="V263" s="3649" t="s">
        <v>3909</v>
      </c>
      <c r="W263" s="3657"/>
      <c r="X263" s="3657" t="s">
        <v>6916</v>
      </c>
      <c r="Y263" s="3640"/>
      <c r="Z263" s="3623"/>
      <c r="AA263" s="3620" t="s">
        <v>6917</v>
      </c>
      <c r="AB263" s="3624" t="s">
        <v>6918</v>
      </c>
      <c r="AC263" s="4058">
        <v>2.375</v>
      </c>
      <c r="AD263" s="3618">
        <f t="shared" si="175"/>
        <v>285</v>
      </c>
      <c r="AE263" s="3633"/>
      <c r="AF263" s="959" t="s">
        <v>6124</v>
      </c>
      <c r="AG263" s="3620" t="s">
        <v>416</v>
      </c>
      <c r="AH263" s="3620"/>
      <c r="AI263" s="3620"/>
      <c r="AJ263" s="3620"/>
      <c r="AK263" s="959">
        <f>I263</f>
        <v>120</v>
      </c>
      <c r="AL263" s="959"/>
      <c r="AM263" s="959"/>
      <c r="AN263" s="959"/>
      <c r="AO263" s="959"/>
      <c r="AP263" s="3618">
        <f t="shared" si="165"/>
        <v>120</v>
      </c>
      <c r="AQ263" s="3618"/>
      <c r="AR263" s="3626"/>
      <c r="AS263" s="3626">
        <f t="shared" si="176"/>
        <v>120</v>
      </c>
      <c r="AT263" s="3626"/>
      <c r="AU263" s="3626"/>
      <c r="AV263" s="3626"/>
      <c r="AW263" s="3626">
        <f>I263/6</f>
        <v>20</v>
      </c>
      <c r="AX263" s="3626"/>
      <c r="AY263" s="3626"/>
      <c r="AZ263" s="3626"/>
      <c r="BA263" s="3626"/>
      <c r="BB263" s="3626"/>
      <c r="BC263" s="3626"/>
      <c r="BD263" s="3626"/>
      <c r="BE263" s="3626"/>
      <c r="BF263" s="3626"/>
      <c r="BG263" s="3626"/>
      <c r="BH263" s="3626"/>
      <c r="BI263" s="3626" t="s">
        <v>89</v>
      </c>
      <c r="BJ263" s="3626">
        <f t="shared" si="167"/>
        <v>4</v>
      </c>
      <c r="BK263" s="3626">
        <f t="shared" si="168"/>
        <v>20</v>
      </c>
      <c r="BL263" s="3626">
        <f t="shared" si="169"/>
        <v>20</v>
      </c>
      <c r="BM263" s="3626">
        <f t="shared" si="170"/>
        <v>16</v>
      </c>
      <c r="BN263" s="3626">
        <f t="shared" si="171"/>
        <v>20</v>
      </c>
      <c r="BO263" s="4055">
        <f t="shared" si="172"/>
        <v>20</v>
      </c>
      <c r="BP263" s="3627">
        <f t="shared" si="173"/>
        <v>20</v>
      </c>
      <c r="BQ263" s="3627">
        <f t="shared" si="161"/>
        <v>120</v>
      </c>
      <c r="BR263" s="3627">
        <f t="shared" si="162"/>
        <v>0</v>
      </c>
      <c r="BS263" s="4056"/>
      <c r="BT263" s="4057"/>
    </row>
    <row r="264" s="3566" customFormat="1" ht="50" customHeight="1" spans="1:72">
      <c r="A264" s="3635">
        <v>45789</v>
      </c>
      <c r="B264" s="3617" t="s">
        <v>6913</v>
      </c>
      <c r="C264" s="3617" t="s">
        <v>506</v>
      </c>
      <c r="D264" s="3624">
        <v>4500166054</v>
      </c>
      <c r="E264" s="959" t="s">
        <v>6921</v>
      </c>
      <c r="F264" s="3617" t="s">
        <v>6922</v>
      </c>
      <c r="G264" s="959" t="s">
        <v>6124</v>
      </c>
      <c r="H264" s="3618" t="s">
        <v>6063</v>
      </c>
      <c r="I264" s="3618">
        <v>468</v>
      </c>
      <c r="J264" s="3618">
        <v>0</v>
      </c>
      <c r="K264" s="3618">
        <v>12</v>
      </c>
      <c r="L264" s="4052">
        <f t="shared" si="174"/>
        <v>39</v>
      </c>
      <c r="M264" s="3619">
        <v>45824</v>
      </c>
      <c r="N264" s="3619">
        <v>45820</v>
      </c>
      <c r="O264" s="3618"/>
      <c r="P264" s="959" t="s">
        <v>82</v>
      </c>
      <c r="Q264" s="959"/>
      <c r="R264" s="959"/>
      <c r="S264" s="959"/>
      <c r="T264" s="4053"/>
      <c r="U264" s="3620" t="s">
        <v>197</v>
      </c>
      <c r="V264" s="3649" t="s">
        <v>3909</v>
      </c>
      <c r="W264" s="3657"/>
      <c r="X264" s="3657" t="s">
        <v>6916</v>
      </c>
      <c r="Y264" s="3640"/>
      <c r="Z264" s="3623"/>
      <c r="AA264" s="3620" t="s">
        <v>6917</v>
      </c>
      <c r="AB264" s="3624" t="s">
        <v>6918</v>
      </c>
      <c r="AC264" s="4058">
        <v>2.375</v>
      </c>
      <c r="AD264" s="3618">
        <f t="shared" si="175"/>
        <v>1111.5</v>
      </c>
      <c r="AE264" s="3633"/>
      <c r="AF264" s="959" t="s">
        <v>6124</v>
      </c>
      <c r="AG264" s="3620" t="s">
        <v>416</v>
      </c>
      <c r="AH264" s="3620"/>
      <c r="AI264" s="3620"/>
      <c r="AJ264" s="3620"/>
      <c r="AK264" s="959">
        <f>I264</f>
        <v>468</v>
      </c>
      <c r="AL264" s="959"/>
      <c r="AM264" s="959"/>
      <c r="AN264" s="959"/>
      <c r="AO264" s="959"/>
      <c r="AP264" s="3618">
        <f t="shared" si="165"/>
        <v>468</v>
      </c>
      <c r="AQ264" s="3618"/>
      <c r="AR264" s="3626"/>
      <c r="AS264" s="3626">
        <f t="shared" si="176"/>
        <v>468</v>
      </c>
      <c r="AT264" s="3626"/>
      <c r="AU264" s="3626"/>
      <c r="AV264" s="3626"/>
      <c r="AW264" s="3626">
        <f>I264/6</f>
        <v>78</v>
      </c>
      <c r="AX264" s="3626"/>
      <c r="AY264" s="3626"/>
      <c r="AZ264" s="3626"/>
      <c r="BA264" s="3626"/>
      <c r="BB264" s="3626"/>
      <c r="BC264" s="3626"/>
      <c r="BD264" s="3626"/>
      <c r="BE264" s="3626"/>
      <c r="BF264" s="3626"/>
      <c r="BG264" s="3626"/>
      <c r="BH264" s="3626"/>
      <c r="BI264" s="3626" t="s">
        <v>89</v>
      </c>
      <c r="BJ264" s="3626">
        <f t="shared" si="167"/>
        <v>15.6</v>
      </c>
      <c r="BK264" s="3626">
        <f t="shared" si="168"/>
        <v>78</v>
      </c>
      <c r="BL264" s="3626">
        <f t="shared" si="169"/>
        <v>78</v>
      </c>
      <c r="BM264" s="3626">
        <f t="shared" si="170"/>
        <v>62.4</v>
      </c>
      <c r="BN264" s="3626">
        <f t="shared" si="171"/>
        <v>78</v>
      </c>
      <c r="BO264" s="4055">
        <f t="shared" si="172"/>
        <v>78</v>
      </c>
      <c r="BP264" s="3627">
        <f t="shared" si="173"/>
        <v>78</v>
      </c>
      <c r="BQ264" s="3627">
        <f t="shared" si="161"/>
        <v>468</v>
      </c>
      <c r="BR264" s="3627">
        <f t="shared" si="162"/>
        <v>0</v>
      </c>
      <c r="BS264" s="4056"/>
      <c r="BT264" s="4057"/>
    </row>
    <row r="265" s="3566" customFormat="1" ht="50" customHeight="1" spans="1:72">
      <c r="A265" s="3635">
        <v>45789</v>
      </c>
      <c r="B265" s="3617" t="s">
        <v>6913</v>
      </c>
      <c r="C265" s="3617" t="s">
        <v>506</v>
      </c>
      <c r="D265" s="3624">
        <v>4500166054</v>
      </c>
      <c r="E265" s="959" t="s">
        <v>6923</v>
      </c>
      <c r="F265" s="3617" t="s">
        <v>6924</v>
      </c>
      <c r="G265" s="959" t="s">
        <v>6124</v>
      </c>
      <c r="H265" s="3618" t="s">
        <v>6063</v>
      </c>
      <c r="I265" s="3618">
        <v>228</v>
      </c>
      <c r="J265" s="3618">
        <v>0</v>
      </c>
      <c r="K265" s="3618">
        <v>12</v>
      </c>
      <c r="L265" s="4052">
        <f t="shared" si="174"/>
        <v>19</v>
      </c>
      <c r="M265" s="3619">
        <v>45824</v>
      </c>
      <c r="N265" s="3619">
        <v>45820</v>
      </c>
      <c r="O265" s="3618"/>
      <c r="P265" s="959" t="s">
        <v>82</v>
      </c>
      <c r="Q265" s="959"/>
      <c r="R265" s="959"/>
      <c r="S265" s="959"/>
      <c r="T265" s="4053"/>
      <c r="U265" s="3620" t="s">
        <v>3916</v>
      </c>
      <c r="V265" s="3649" t="s">
        <v>3909</v>
      </c>
      <c r="W265" s="3657"/>
      <c r="X265" s="3657" t="s">
        <v>6916</v>
      </c>
      <c r="Y265" s="3640"/>
      <c r="Z265" s="3623"/>
      <c r="AA265" s="3620" t="s">
        <v>6917</v>
      </c>
      <c r="AB265" s="3624" t="s">
        <v>6918</v>
      </c>
      <c r="AC265" s="4058">
        <v>2.375</v>
      </c>
      <c r="AD265" s="3618">
        <f t="shared" si="175"/>
        <v>541.5</v>
      </c>
      <c r="AE265" s="3633"/>
      <c r="AF265" s="959" t="s">
        <v>6124</v>
      </c>
      <c r="AG265" s="3620" t="s">
        <v>416</v>
      </c>
      <c r="AH265" s="3620"/>
      <c r="AI265" s="3620"/>
      <c r="AJ265" s="3620"/>
      <c r="AK265" s="959">
        <f>I265</f>
        <v>228</v>
      </c>
      <c r="AL265" s="959"/>
      <c r="AM265" s="959"/>
      <c r="AN265" s="959"/>
      <c r="AO265" s="959"/>
      <c r="AP265" s="3618">
        <f t="shared" si="165"/>
        <v>228</v>
      </c>
      <c r="AQ265" s="3618"/>
      <c r="AR265" s="3626"/>
      <c r="AS265" s="3626">
        <f t="shared" si="176"/>
        <v>228</v>
      </c>
      <c r="AT265" s="3626"/>
      <c r="AU265" s="3626"/>
      <c r="AV265" s="3626"/>
      <c r="AW265" s="3626">
        <f>I265/6</f>
        <v>38</v>
      </c>
      <c r="AX265" s="3626"/>
      <c r="AY265" s="3626"/>
      <c r="AZ265" s="3626"/>
      <c r="BA265" s="3626"/>
      <c r="BB265" s="3626"/>
      <c r="BC265" s="3626"/>
      <c r="BD265" s="3626"/>
      <c r="BE265" s="3626"/>
      <c r="BF265" s="3626"/>
      <c r="BG265" s="3626"/>
      <c r="BH265" s="3626"/>
      <c r="BI265" s="3626" t="s">
        <v>89</v>
      </c>
      <c r="BJ265" s="3626">
        <f t="shared" si="167"/>
        <v>7.6</v>
      </c>
      <c r="BK265" s="3626">
        <f t="shared" si="168"/>
        <v>38</v>
      </c>
      <c r="BL265" s="3626">
        <f t="shared" si="169"/>
        <v>38</v>
      </c>
      <c r="BM265" s="3626">
        <f t="shared" si="170"/>
        <v>30.4</v>
      </c>
      <c r="BN265" s="3626">
        <f t="shared" si="171"/>
        <v>38</v>
      </c>
      <c r="BO265" s="4055">
        <f t="shared" si="172"/>
        <v>38</v>
      </c>
      <c r="BP265" s="3627">
        <f t="shared" si="173"/>
        <v>38</v>
      </c>
      <c r="BQ265" s="3627">
        <f t="shared" si="161"/>
        <v>228</v>
      </c>
      <c r="BR265" s="3627">
        <f t="shared" si="162"/>
        <v>0</v>
      </c>
      <c r="BS265" s="4056"/>
      <c r="BT265" s="4057"/>
    </row>
    <row r="266" s="3566" customFormat="1" ht="50" customHeight="1" spans="1:72">
      <c r="A266" s="3635">
        <v>45777</v>
      </c>
      <c r="B266" s="3617" t="s">
        <v>371</v>
      </c>
      <c r="C266" s="3617" t="s">
        <v>341</v>
      </c>
      <c r="D266" s="3624">
        <v>4500165439</v>
      </c>
      <c r="E266" s="959" t="s">
        <v>6925</v>
      </c>
      <c r="F266" s="3617" t="s">
        <v>6926</v>
      </c>
      <c r="G266" s="959" t="s">
        <v>6223</v>
      </c>
      <c r="H266" s="959" t="s">
        <v>6100</v>
      </c>
      <c r="I266" s="3618">
        <v>512</v>
      </c>
      <c r="J266" s="3618">
        <v>1</v>
      </c>
      <c r="K266" s="3618">
        <v>32</v>
      </c>
      <c r="L266" s="4052">
        <f t="shared" si="174"/>
        <v>16</v>
      </c>
      <c r="M266" s="3619">
        <v>45825</v>
      </c>
      <c r="N266" s="3619">
        <v>45821</v>
      </c>
      <c r="O266" s="4085"/>
      <c r="P266" s="959" t="s">
        <v>82</v>
      </c>
      <c r="Q266" s="959"/>
      <c r="R266" s="959"/>
      <c r="S266" s="959"/>
      <c r="T266" s="4053"/>
      <c r="U266" s="3645" t="s">
        <v>1306</v>
      </c>
      <c r="V266" s="3649" t="s">
        <v>1307</v>
      </c>
      <c r="W266" s="3657"/>
      <c r="X266" s="3657" t="s">
        <v>98</v>
      </c>
      <c r="Y266" s="3649" t="s">
        <v>1309</v>
      </c>
      <c r="Z266" s="3661" t="s">
        <v>6927</v>
      </c>
      <c r="AA266" s="3620" t="s">
        <v>6928</v>
      </c>
      <c r="AB266" s="3624" t="s">
        <v>380</v>
      </c>
      <c r="AC266" s="4058">
        <v>2.3158</v>
      </c>
      <c r="AD266" s="3618">
        <f t="shared" si="175"/>
        <v>1185.6896</v>
      </c>
      <c r="AE266" s="3633"/>
      <c r="AF266" s="959" t="s">
        <v>6276</v>
      </c>
      <c r="AG266" s="3620" t="s">
        <v>416</v>
      </c>
      <c r="AH266" s="3620"/>
      <c r="AI266" s="3620"/>
      <c r="AJ266" s="3620"/>
      <c r="AK266" s="959"/>
      <c r="AL266" s="959"/>
      <c r="AM266" s="959">
        <f>I266</f>
        <v>512</v>
      </c>
      <c r="AN266" s="959"/>
      <c r="AO266" s="959"/>
      <c r="AP266" s="3618">
        <f t="shared" si="165"/>
        <v>512</v>
      </c>
      <c r="AQ266" s="3618"/>
      <c r="AR266" s="3626"/>
      <c r="AS266" s="3626">
        <f t="shared" si="176"/>
        <v>512</v>
      </c>
      <c r="AT266" s="3626"/>
      <c r="AU266" s="3626"/>
      <c r="AV266" s="3626"/>
      <c r="AW266" s="3626"/>
      <c r="AX266" s="3626"/>
      <c r="AY266" s="3626"/>
      <c r="AZ266" s="3626"/>
      <c r="BA266" s="3626"/>
      <c r="BB266" s="3626"/>
      <c r="BC266" s="3626"/>
      <c r="BD266" s="3626"/>
      <c r="BE266" s="3626"/>
      <c r="BF266" s="3626"/>
      <c r="BG266" s="3626"/>
      <c r="BH266" s="3626"/>
      <c r="BI266" s="3626" t="s">
        <v>89</v>
      </c>
      <c r="BJ266" s="3626"/>
      <c r="BK266" s="3626"/>
      <c r="BL266" s="3626">
        <f>I266-BJ266</f>
        <v>512</v>
      </c>
      <c r="BM266" s="3626"/>
      <c r="BN266" s="3626"/>
      <c r="BO266" s="4055"/>
      <c r="BP266" s="3627"/>
      <c r="BQ266" s="3627">
        <f t="shared" si="161"/>
        <v>512</v>
      </c>
      <c r="BR266" s="3627">
        <f t="shared" si="162"/>
        <v>0</v>
      </c>
      <c r="BS266" s="4056"/>
      <c r="BT266" s="4057"/>
    </row>
    <row r="267" s="3566" customFormat="1" ht="50" customHeight="1" spans="1:72">
      <c r="A267" s="3635">
        <v>45789</v>
      </c>
      <c r="B267" s="3617" t="s">
        <v>3848</v>
      </c>
      <c r="C267" s="3617" t="s">
        <v>341</v>
      </c>
      <c r="D267" s="3624">
        <v>4500166127</v>
      </c>
      <c r="E267" s="959" t="s">
        <v>3849</v>
      </c>
      <c r="F267" s="3617" t="s">
        <v>6929</v>
      </c>
      <c r="G267" s="959" t="s">
        <v>6753</v>
      </c>
      <c r="H267" s="3618" t="s">
        <v>6063</v>
      </c>
      <c r="I267" s="3618">
        <v>504</v>
      </c>
      <c r="J267" s="3618">
        <v>6</v>
      </c>
      <c r="K267" s="3618">
        <v>12</v>
      </c>
      <c r="L267" s="4052">
        <f t="shared" si="174"/>
        <v>42</v>
      </c>
      <c r="M267" s="3619">
        <v>45826</v>
      </c>
      <c r="N267" s="3619">
        <v>45822</v>
      </c>
      <c r="O267" s="4085"/>
      <c r="P267" s="959" t="s">
        <v>82</v>
      </c>
      <c r="Q267" s="959"/>
      <c r="R267" s="959"/>
      <c r="S267" s="959"/>
      <c r="T267" s="4053"/>
      <c r="U267" s="3620" t="s">
        <v>3839</v>
      </c>
      <c r="V267" s="3649" t="s">
        <v>1336</v>
      </c>
      <c r="W267" s="3657"/>
      <c r="X267" s="3657" t="s">
        <v>98</v>
      </c>
      <c r="Y267" s="3649"/>
      <c r="Z267" s="3661"/>
      <c r="AA267" s="3620" t="s">
        <v>6930</v>
      </c>
      <c r="AB267" s="3624" t="s">
        <v>3852</v>
      </c>
      <c r="AC267" s="4058">
        <v>2.3486</v>
      </c>
      <c r="AD267" s="3618">
        <f t="shared" si="175"/>
        <v>1183.6944</v>
      </c>
      <c r="AE267" s="3633"/>
      <c r="AF267" s="959" t="s">
        <v>6753</v>
      </c>
      <c r="AG267" s="3620" t="s">
        <v>416</v>
      </c>
      <c r="AH267" s="3620"/>
      <c r="AI267" s="3620"/>
      <c r="AJ267" s="3620"/>
      <c r="AK267" s="959">
        <f>I267</f>
        <v>504</v>
      </c>
      <c r="AL267" s="959"/>
      <c r="AM267" s="959"/>
      <c r="AN267" s="959"/>
      <c r="AO267" s="959"/>
      <c r="AP267" s="3618">
        <f t="shared" si="165"/>
        <v>504</v>
      </c>
      <c r="AQ267" s="3618"/>
      <c r="AR267" s="3626"/>
      <c r="AS267" s="3626">
        <f t="shared" si="176"/>
        <v>504</v>
      </c>
      <c r="AT267" s="3626"/>
      <c r="AU267" s="3626"/>
      <c r="AV267" s="3626"/>
      <c r="AW267" s="3626">
        <f>I267/6</f>
        <v>84</v>
      </c>
      <c r="AX267" s="3626"/>
      <c r="AY267" s="3626"/>
      <c r="AZ267" s="3626"/>
      <c r="BA267" s="3626"/>
      <c r="BB267" s="3626"/>
      <c r="BC267" s="3626"/>
      <c r="BD267" s="3626"/>
      <c r="BE267" s="3626"/>
      <c r="BF267" s="3626"/>
      <c r="BG267" s="3626"/>
      <c r="BH267" s="3626"/>
      <c r="BI267" s="3626" t="s">
        <v>89</v>
      </c>
      <c r="BJ267" s="3626">
        <f>I267/60*2</f>
        <v>16.8</v>
      </c>
      <c r="BK267" s="3626">
        <f>I267/60*10</f>
        <v>84</v>
      </c>
      <c r="BL267" s="3626">
        <f>I267/60*10</f>
        <v>84</v>
      </c>
      <c r="BM267" s="3626">
        <f>I267/60*8</f>
        <v>67.2</v>
      </c>
      <c r="BN267" s="3626">
        <f>I267/60*10</f>
        <v>84</v>
      </c>
      <c r="BO267" s="4055">
        <f>I267/60*10</f>
        <v>84</v>
      </c>
      <c r="BP267" s="3627">
        <f>I267/60*10</f>
        <v>84</v>
      </c>
      <c r="BQ267" s="3627">
        <f t="shared" si="161"/>
        <v>504</v>
      </c>
      <c r="BR267" s="3627">
        <f t="shared" si="162"/>
        <v>0</v>
      </c>
      <c r="BS267" s="4056"/>
      <c r="BT267" s="4057"/>
    </row>
    <row r="268" s="3566" customFormat="1" ht="50" customHeight="1" spans="1:72">
      <c r="A268" s="3635">
        <v>45790</v>
      </c>
      <c r="B268" s="3617" t="s">
        <v>3891</v>
      </c>
      <c r="C268" s="3617" t="s">
        <v>341</v>
      </c>
      <c r="D268" s="3624">
        <v>4500161780</v>
      </c>
      <c r="E268" s="3618" t="s">
        <v>3892</v>
      </c>
      <c r="F268" s="3617" t="s">
        <v>6931</v>
      </c>
      <c r="G268" s="959" t="s">
        <v>6116</v>
      </c>
      <c r="H268" s="3618" t="s">
        <v>6063</v>
      </c>
      <c r="I268" s="3618">
        <v>3808</v>
      </c>
      <c r="J268" s="3618">
        <v>0</v>
      </c>
      <c r="K268" s="3618">
        <v>16</v>
      </c>
      <c r="L268" s="4052">
        <f t="shared" si="174"/>
        <v>238</v>
      </c>
      <c r="M268" s="3619">
        <v>45828</v>
      </c>
      <c r="N268" s="3619">
        <v>45824</v>
      </c>
      <c r="O268" s="4085"/>
      <c r="P268" s="959" t="s">
        <v>82</v>
      </c>
      <c r="Q268" s="959"/>
      <c r="R268" s="959"/>
      <c r="S268" s="959"/>
      <c r="T268" s="4053"/>
      <c r="U268" s="3645" t="s">
        <v>3759</v>
      </c>
      <c r="V268" s="3657" t="s">
        <v>3802</v>
      </c>
      <c r="W268" s="3657"/>
      <c r="X268" s="3657" t="s">
        <v>6932</v>
      </c>
      <c r="Y268" s="3657"/>
      <c r="Z268" s="3661"/>
      <c r="AA268" s="3620" t="s">
        <v>6933</v>
      </c>
      <c r="AB268" s="3624" t="s">
        <v>3896</v>
      </c>
      <c r="AC268" s="4058">
        <v>2.2486</v>
      </c>
      <c r="AD268" s="3618">
        <f t="shared" si="175"/>
        <v>8562.6688</v>
      </c>
      <c r="AE268" s="3633"/>
      <c r="AF268" s="959" t="s">
        <v>6116</v>
      </c>
      <c r="AG268" s="3620" t="s">
        <v>416</v>
      </c>
      <c r="AH268" s="3620"/>
      <c r="AI268" s="3620"/>
      <c r="AJ268" s="3620"/>
      <c r="AK268" s="959">
        <f>I268</f>
        <v>3808</v>
      </c>
      <c r="AL268" s="959"/>
      <c r="AM268" s="959"/>
      <c r="AN268" s="959"/>
      <c r="AO268" s="959"/>
      <c r="AP268" s="3618">
        <f t="shared" si="165"/>
        <v>3808</v>
      </c>
      <c r="AQ268" s="3618"/>
      <c r="AR268" s="3626"/>
      <c r="AS268" s="3626">
        <f t="shared" si="176"/>
        <v>3808</v>
      </c>
      <c r="AT268" s="3626"/>
      <c r="AU268" s="3626"/>
      <c r="AV268" s="3626"/>
      <c r="AW268" s="3626"/>
      <c r="AX268" s="3626"/>
      <c r="AY268" s="3626"/>
      <c r="AZ268" s="3626"/>
      <c r="BA268" s="3626"/>
      <c r="BB268" s="3626"/>
      <c r="BC268" s="3626">
        <f>I268/4</f>
        <v>952</v>
      </c>
      <c r="BD268" s="3626"/>
      <c r="BE268" s="3626"/>
      <c r="BF268" s="3626"/>
      <c r="BG268" s="3626"/>
      <c r="BH268" s="3626"/>
      <c r="BI268" s="3626" t="s">
        <v>89</v>
      </c>
      <c r="BJ268" s="3626">
        <f>I268/60*2</f>
        <v>126.933333333333</v>
      </c>
      <c r="BK268" s="3626">
        <f>I268/60*10</f>
        <v>634.666666666667</v>
      </c>
      <c r="BL268" s="3626">
        <f>I268/60*10</f>
        <v>634.666666666667</v>
      </c>
      <c r="BM268" s="3626">
        <f>I268/60*8</f>
        <v>507.733333333333</v>
      </c>
      <c r="BN268" s="3626">
        <f>I268/60*10</f>
        <v>634.666666666667</v>
      </c>
      <c r="BO268" s="4055">
        <f>I268/60*10</f>
        <v>634.666666666667</v>
      </c>
      <c r="BP268" s="3627">
        <f>I268/60*10</f>
        <v>634.666666666667</v>
      </c>
      <c r="BQ268" s="3627">
        <f t="shared" si="161"/>
        <v>3808</v>
      </c>
      <c r="BR268" s="3627">
        <f t="shared" si="162"/>
        <v>0</v>
      </c>
      <c r="BS268" s="4056"/>
      <c r="BT268" s="4057"/>
    </row>
    <row r="269" s="3566" customFormat="1" ht="50" customHeight="1" spans="1:72">
      <c r="A269" s="3635">
        <v>45763</v>
      </c>
      <c r="B269" s="3617" t="s">
        <v>3657</v>
      </c>
      <c r="C269" s="3617" t="s">
        <v>341</v>
      </c>
      <c r="D269" s="3624">
        <v>4500163957</v>
      </c>
      <c r="E269" s="959" t="s">
        <v>3658</v>
      </c>
      <c r="F269" s="3617" t="s">
        <v>3659</v>
      </c>
      <c r="G269" s="959" t="s">
        <v>3356</v>
      </c>
      <c r="H269" s="3618" t="s">
        <v>3517</v>
      </c>
      <c r="I269" s="3618">
        <v>8316</v>
      </c>
      <c r="J269" s="3618">
        <v>0</v>
      </c>
      <c r="K269" s="3618">
        <v>12</v>
      </c>
      <c r="L269" s="4052">
        <f t="shared" si="174"/>
        <v>693</v>
      </c>
      <c r="M269" s="3619">
        <v>45803</v>
      </c>
      <c r="N269" s="3619">
        <v>45799</v>
      </c>
      <c r="O269" s="3618"/>
      <c r="P269" s="959" t="s">
        <v>82</v>
      </c>
      <c r="Q269" s="959"/>
      <c r="R269" s="959"/>
      <c r="S269" s="959"/>
      <c r="T269" s="4053"/>
      <c r="U269" s="3620" t="s">
        <v>3660</v>
      </c>
      <c r="V269" s="3649" t="s">
        <v>1196</v>
      </c>
      <c r="W269" s="3649"/>
      <c r="X269" s="3657" t="s">
        <v>3661</v>
      </c>
      <c r="Y269" s="3649"/>
      <c r="Z269" s="3661" t="s">
        <v>6934</v>
      </c>
      <c r="AA269" s="3620" t="s">
        <v>3663</v>
      </c>
      <c r="AB269" s="3624" t="s">
        <v>380</v>
      </c>
      <c r="AC269" s="3618">
        <v>4.4796</v>
      </c>
      <c r="AD269" s="3618">
        <f t="shared" si="175"/>
        <v>37252.3536</v>
      </c>
      <c r="AE269" s="3633"/>
      <c r="AF269" s="959" t="s">
        <v>6935</v>
      </c>
      <c r="AG269" s="3620" t="s">
        <v>416</v>
      </c>
      <c r="AH269" s="3620"/>
      <c r="AI269" s="3620"/>
      <c r="AJ269" s="3620"/>
      <c r="AK269" s="959"/>
      <c r="AL269" s="959"/>
      <c r="AM269" s="959"/>
      <c r="AN269" s="959"/>
      <c r="AO269" s="959">
        <f>I269</f>
        <v>8316</v>
      </c>
      <c r="AP269" s="3618">
        <f t="shared" si="165"/>
        <v>8316</v>
      </c>
      <c r="AQ269" s="3618"/>
      <c r="AR269" s="3626"/>
      <c r="AS269" s="3626">
        <f t="shared" si="176"/>
        <v>8316</v>
      </c>
      <c r="AT269" s="3626"/>
      <c r="AU269" s="3626"/>
      <c r="AV269" s="3626"/>
      <c r="AW269" s="3626"/>
      <c r="AX269" s="3626"/>
      <c r="AY269" s="3626"/>
      <c r="AZ269" s="3626"/>
      <c r="BA269" s="3626"/>
      <c r="BB269" s="3626"/>
      <c r="BC269" s="3626"/>
      <c r="BD269" s="3626"/>
      <c r="BE269" s="3626"/>
      <c r="BF269" s="3626"/>
      <c r="BG269" s="3626"/>
      <c r="BH269" s="3626"/>
      <c r="BI269" s="3626" t="s">
        <v>89</v>
      </c>
      <c r="BJ269" s="3626">
        <f>I269/60*2</f>
        <v>277.2</v>
      </c>
      <c r="BK269" s="3626">
        <f>I269/60*10</f>
        <v>1386</v>
      </c>
      <c r="BL269" s="3626">
        <f>I269/60*10</f>
        <v>1386</v>
      </c>
      <c r="BM269" s="3626">
        <f>I269/60*8</f>
        <v>1108.8</v>
      </c>
      <c r="BN269" s="3626">
        <f>I269/60*10</f>
        <v>1386</v>
      </c>
      <c r="BO269" s="4055">
        <f>I269/60*10</f>
        <v>1386</v>
      </c>
      <c r="BP269" s="3627">
        <f>I269/60*10</f>
        <v>1386</v>
      </c>
      <c r="BQ269" s="3627">
        <f t="shared" si="161"/>
        <v>8316</v>
      </c>
      <c r="BR269" s="3627">
        <f t="shared" si="162"/>
        <v>0</v>
      </c>
      <c r="BS269" s="4056"/>
      <c r="BT269" s="4057"/>
    </row>
    <row r="270" s="3566" customFormat="1" ht="50" customHeight="1" spans="1:72">
      <c r="A270" s="3635">
        <v>45763</v>
      </c>
      <c r="B270" s="3617" t="s">
        <v>3657</v>
      </c>
      <c r="C270" s="3617" t="s">
        <v>341</v>
      </c>
      <c r="D270" s="3624">
        <v>4500163957</v>
      </c>
      <c r="E270" s="959" t="s">
        <v>3665</v>
      </c>
      <c r="F270" s="3617" t="s">
        <v>3666</v>
      </c>
      <c r="G270" s="959" t="s">
        <v>3356</v>
      </c>
      <c r="H270" s="3618" t="s">
        <v>3517</v>
      </c>
      <c r="I270" s="3618">
        <v>8316</v>
      </c>
      <c r="J270" s="3618">
        <v>0</v>
      </c>
      <c r="K270" s="3618">
        <v>12</v>
      </c>
      <c r="L270" s="4052">
        <f t="shared" si="174"/>
        <v>693</v>
      </c>
      <c r="M270" s="3619">
        <v>45803</v>
      </c>
      <c r="N270" s="3619">
        <v>45799</v>
      </c>
      <c r="O270" s="3618"/>
      <c r="P270" s="959" t="s">
        <v>82</v>
      </c>
      <c r="Q270" s="959"/>
      <c r="R270" s="959"/>
      <c r="S270" s="959"/>
      <c r="T270" s="4053"/>
      <c r="U270" s="3620" t="s">
        <v>3660</v>
      </c>
      <c r="V270" s="3649" t="s">
        <v>1196</v>
      </c>
      <c r="W270" s="3649"/>
      <c r="X270" s="3657" t="s">
        <v>3661</v>
      </c>
      <c r="Y270" s="3649"/>
      <c r="Z270" s="3661" t="s">
        <v>6934</v>
      </c>
      <c r="AA270" s="3620" t="s">
        <v>3663</v>
      </c>
      <c r="AB270" s="3624" t="s">
        <v>380</v>
      </c>
      <c r="AC270" s="3618">
        <v>4.4796</v>
      </c>
      <c r="AD270" s="3618">
        <f t="shared" si="175"/>
        <v>37252.3536</v>
      </c>
      <c r="AE270" s="3633"/>
      <c r="AF270" s="959" t="s">
        <v>6935</v>
      </c>
      <c r="AG270" s="3620" t="s">
        <v>416</v>
      </c>
      <c r="AH270" s="3620"/>
      <c r="AI270" s="3620"/>
      <c r="AJ270" s="3620"/>
      <c r="AK270" s="959"/>
      <c r="AL270" s="959"/>
      <c r="AM270" s="959"/>
      <c r="AN270" s="959"/>
      <c r="AO270" s="959">
        <f>I270</f>
        <v>8316</v>
      </c>
      <c r="AP270" s="3618">
        <f t="shared" si="165"/>
        <v>8316</v>
      </c>
      <c r="AQ270" s="3618"/>
      <c r="AR270" s="3626"/>
      <c r="AS270" s="3626">
        <f t="shared" si="176"/>
        <v>8316</v>
      </c>
      <c r="AT270" s="3626"/>
      <c r="AU270" s="3626"/>
      <c r="AV270" s="3626"/>
      <c r="AW270" s="3626"/>
      <c r="AX270" s="3626"/>
      <c r="AY270" s="3626"/>
      <c r="AZ270" s="3626"/>
      <c r="BA270" s="3626"/>
      <c r="BB270" s="3626"/>
      <c r="BC270" s="3626"/>
      <c r="BD270" s="3626"/>
      <c r="BE270" s="3626"/>
      <c r="BF270" s="3626"/>
      <c r="BG270" s="3626"/>
      <c r="BH270" s="3626"/>
      <c r="BI270" s="3626" t="s">
        <v>89</v>
      </c>
      <c r="BJ270" s="3626">
        <f>I270/60*2</f>
        <v>277.2</v>
      </c>
      <c r="BK270" s="3626">
        <f>I270/60*10</f>
        <v>1386</v>
      </c>
      <c r="BL270" s="3626">
        <f>I270/60*10</f>
        <v>1386</v>
      </c>
      <c r="BM270" s="3626">
        <f>I270/60*8</f>
        <v>1108.8</v>
      </c>
      <c r="BN270" s="3626">
        <f>I270/60*10</f>
        <v>1386</v>
      </c>
      <c r="BO270" s="4055">
        <f>I270/60*10</f>
        <v>1386</v>
      </c>
      <c r="BP270" s="3627">
        <f>I270/60*10</f>
        <v>1386</v>
      </c>
      <c r="BQ270" s="3627">
        <f t="shared" si="161"/>
        <v>8316</v>
      </c>
      <c r="BR270" s="3627">
        <f t="shared" si="162"/>
        <v>0</v>
      </c>
      <c r="BS270" s="4056"/>
      <c r="BT270" s="4057"/>
    </row>
    <row r="271" s="3566" customFormat="1" ht="50" customHeight="1" spans="1:72">
      <c r="A271" s="3635">
        <v>45776</v>
      </c>
      <c r="B271" s="3617" t="s">
        <v>6936</v>
      </c>
      <c r="C271" s="3617" t="s">
        <v>1624</v>
      </c>
      <c r="D271" s="3624">
        <v>4500165307</v>
      </c>
      <c r="E271" s="3618">
        <v>4041650918</v>
      </c>
      <c r="F271" s="3617" t="s">
        <v>6937</v>
      </c>
      <c r="G271" s="959" t="s">
        <v>6228</v>
      </c>
      <c r="H271" s="3618" t="s">
        <v>6063</v>
      </c>
      <c r="I271" s="3618">
        <v>804</v>
      </c>
      <c r="J271" s="3618">
        <v>0</v>
      </c>
      <c r="K271" s="3618">
        <v>6</v>
      </c>
      <c r="L271" s="4052">
        <f t="shared" si="174"/>
        <v>134</v>
      </c>
      <c r="M271" s="3619">
        <v>45825</v>
      </c>
      <c r="N271" s="3619">
        <v>45821</v>
      </c>
      <c r="O271" s="4085"/>
      <c r="P271" s="959" t="s">
        <v>82</v>
      </c>
      <c r="Q271" s="959"/>
      <c r="R271" s="959"/>
      <c r="S271" s="959"/>
      <c r="T271" s="4053"/>
      <c r="U271" s="3620" t="s">
        <v>206</v>
      </c>
      <c r="V271" s="3649" t="s">
        <v>3725</v>
      </c>
      <c r="W271" s="3657"/>
      <c r="X271" s="3657" t="s">
        <v>6938</v>
      </c>
      <c r="Y271" s="3649"/>
      <c r="Z271" s="3661"/>
      <c r="AA271" s="3620" t="s">
        <v>6939</v>
      </c>
      <c r="AB271" s="3624" t="s">
        <v>6785</v>
      </c>
      <c r="AC271" s="4058">
        <v>2.2713</v>
      </c>
      <c r="AD271" s="3618">
        <f t="shared" si="175"/>
        <v>1826.1252</v>
      </c>
      <c r="AE271" s="3633" t="s">
        <v>6940</v>
      </c>
      <c r="AF271" s="959" t="s">
        <v>6068</v>
      </c>
      <c r="AG271" s="3620" t="s">
        <v>416</v>
      </c>
      <c r="AH271" s="3620"/>
      <c r="AI271" s="3620"/>
      <c r="AJ271" s="3620"/>
      <c r="AK271" s="959"/>
      <c r="AL271" s="959"/>
      <c r="AM271" s="959">
        <f>I271</f>
        <v>804</v>
      </c>
      <c r="AN271" s="959"/>
      <c r="AO271" s="959"/>
      <c r="AP271" s="3618">
        <f t="shared" si="165"/>
        <v>804</v>
      </c>
      <c r="AQ271" s="3618"/>
      <c r="AR271" s="3626"/>
      <c r="AS271" s="3626"/>
      <c r="AT271" s="3626"/>
      <c r="AU271" s="3626">
        <f>I271</f>
        <v>804</v>
      </c>
      <c r="AV271" s="3626"/>
      <c r="AW271" s="3626"/>
      <c r="AX271" s="3626"/>
      <c r="AY271" s="3626">
        <f>I271/6</f>
        <v>134</v>
      </c>
      <c r="AZ271" s="3626"/>
      <c r="BA271" s="3626"/>
      <c r="BB271" s="3626"/>
      <c r="BC271" s="3626"/>
      <c r="BD271" s="3626"/>
      <c r="BE271" s="3626"/>
      <c r="BF271" s="3626"/>
      <c r="BG271" s="3626"/>
      <c r="BH271" s="3626"/>
      <c r="BI271" s="3626" t="s">
        <v>89</v>
      </c>
      <c r="BJ271" s="3626">
        <f>I271/60*2</f>
        <v>26.8</v>
      </c>
      <c r="BK271" s="3626">
        <f>I271/60*10</f>
        <v>134</v>
      </c>
      <c r="BL271" s="3626">
        <f>I271/60*10</f>
        <v>134</v>
      </c>
      <c r="BM271" s="3626">
        <f>I271/60*8</f>
        <v>107.2</v>
      </c>
      <c r="BN271" s="3626">
        <f>I271/60*10</f>
        <v>134</v>
      </c>
      <c r="BO271" s="4055">
        <f>I271/60*10</f>
        <v>134</v>
      </c>
      <c r="BP271" s="3627">
        <f>I271/60*10</f>
        <v>134</v>
      </c>
      <c r="BQ271" s="3627">
        <f t="shared" si="161"/>
        <v>804</v>
      </c>
      <c r="BR271" s="3627">
        <f t="shared" si="162"/>
        <v>0</v>
      </c>
      <c r="BS271" s="4056"/>
      <c r="BT271" s="4057"/>
    </row>
    <row r="272" s="3566" customFormat="1" ht="50" customHeight="1" spans="1:72">
      <c r="A272" s="3635">
        <v>45792</v>
      </c>
      <c r="B272" s="3617" t="s">
        <v>3912</v>
      </c>
      <c r="C272" s="3617" t="s">
        <v>3913</v>
      </c>
      <c r="D272" s="3624">
        <v>4500166599</v>
      </c>
      <c r="E272" s="3618" t="s">
        <v>6941</v>
      </c>
      <c r="F272" s="3617" t="s">
        <v>6942</v>
      </c>
      <c r="G272" s="959" t="s">
        <v>6578</v>
      </c>
      <c r="H272" s="959" t="s">
        <v>6579</v>
      </c>
      <c r="I272" s="3618">
        <v>720</v>
      </c>
      <c r="J272" s="3618">
        <v>0</v>
      </c>
      <c r="K272" s="3618">
        <v>24</v>
      </c>
      <c r="L272" s="4052">
        <f t="shared" ref="L272:L335" si="177">I272/K272</f>
        <v>30</v>
      </c>
      <c r="M272" s="3619">
        <v>45828</v>
      </c>
      <c r="N272" s="3619">
        <v>45824</v>
      </c>
      <c r="O272" s="4085"/>
      <c r="P272" s="959" t="s">
        <v>82</v>
      </c>
      <c r="Q272" s="959"/>
      <c r="R272" s="959"/>
      <c r="S272" s="959"/>
      <c r="T272" s="4053"/>
      <c r="U272" s="3645" t="s">
        <v>3916</v>
      </c>
      <c r="V272" s="3657" t="s">
        <v>3917</v>
      </c>
      <c r="W272" s="3657"/>
      <c r="X272" s="3657" t="s">
        <v>6943</v>
      </c>
      <c r="Y272" s="3657"/>
      <c r="Z272" s="3661"/>
      <c r="AA272" s="3620" t="s">
        <v>6944</v>
      </c>
      <c r="AB272" s="3624" t="s">
        <v>3728</v>
      </c>
      <c r="AC272" s="4058">
        <v>2.1773</v>
      </c>
      <c r="AD272" s="3618">
        <f t="shared" ref="AD272:AD295" si="178">AC272*I272</f>
        <v>1567.656</v>
      </c>
      <c r="AE272" s="3633"/>
      <c r="AF272" s="959" t="s">
        <v>6578</v>
      </c>
      <c r="AG272" s="3620" t="s">
        <v>416</v>
      </c>
      <c r="AH272" s="3620"/>
      <c r="AI272" s="3620"/>
      <c r="AJ272" s="3620"/>
      <c r="AK272" s="959">
        <f t="shared" ref="AK272:AK279" si="179">I272</f>
        <v>720</v>
      </c>
      <c r="AL272" s="959"/>
      <c r="AM272" s="959"/>
      <c r="AN272" s="959"/>
      <c r="AO272" s="959"/>
      <c r="AP272" s="3618">
        <f t="shared" ref="AP272:AP306" si="180">I272</f>
        <v>720</v>
      </c>
      <c r="AQ272" s="3618"/>
      <c r="AR272" s="3626"/>
      <c r="AS272" s="3626">
        <f t="shared" ref="AS272:AS279" si="181">I272</f>
        <v>720</v>
      </c>
      <c r="AT272" s="3626"/>
      <c r="AU272" s="3626"/>
      <c r="AV272" s="3626"/>
      <c r="AW272" s="3626"/>
      <c r="AX272" s="3626"/>
      <c r="AY272" s="3626"/>
      <c r="AZ272" s="3626"/>
      <c r="BA272" s="3626"/>
      <c r="BB272" s="3626"/>
      <c r="BC272" s="3626"/>
      <c r="BD272" s="3626"/>
      <c r="BE272" s="3626"/>
      <c r="BF272" s="3626"/>
      <c r="BG272" s="3626"/>
      <c r="BH272" s="3626"/>
      <c r="BI272" s="3626" t="s">
        <v>89</v>
      </c>
      <c r="BJ272" s="3626">
        <f t="shared" ref="BJ272:BJ301" si="182">I272/60*2</f>
        <v>24</v>
      </c>
      <c r="BK272" s="3626">
        <f t="shared" ref="BK272:BK301" si="183">I272/60*10</f>
        <v>120</v>
      </c>
      <c r="BL272" s="3626">
        <f t="shared" ref="BL272:BL301" si="184">I272/60*10</f>
        <v>120</v>
      </c>
      <c r="BM272" s="3626">
        <f t="shared" ref="BM272:BM301" si="185">I272/60*8</f>
        <v>96</v>
      </c>
      <c r="BN272" s="3626">
        <f t="shared" ref="BN272:BN301" si="186">I272/60*10</f>
        <v>120</v>
      </c>
      <c r="BO272" s="4055">
        <f t="shared" ref="BO272:BO301" si="187">I272/60*10</f>
        <v>120</v>
      </c>
      <c r="BP272" s="3627">
        <f t="shared" ref="BP272:BP301" si="188">I272/60*10</f>
        <v>120</v>
      </c>
      <c r="BQ272" s="3627">
        <f t="shared" si="161"/>
        <v>720</v>
      </c>
      <c r="BR272" s="3627">
        <f t="shared" si="162"/>
        <v>0</v>
      </c>
      <c r="BS272" s="4056"/>
      <c r="BT272" s="4057"/>
    </row>
    <row r="273" s="3566" customFormat="1" ht="50" customHeight="1" spans="1:72">
      <c r="A273" s="3635">
        <v>45789</v>
      </c>
      <c r="B273" s="3617" t="s">
        <v>6945</v>
      </c>
      <c r="C273" s="3617" t="s">
        <v>1385</v>
      </c>
      <c r="D273" s="3624">
        <v>4500165851</v>
      </c>
      <c r="E273" s="3618" t="s">
        <v>3906</v>
      </c>
      <c r="F273" s="3617" t="s">
        <v>6946</v>
      </c>
      <c r="G273" s="959" t="s">
        <v>6195</v>
      </c>
      <c r="H273" s="3618" t="s">
        <v>6063</v>
      </c>
      <c r="I273" s="3618">
        <v>456</v>
      </c>
      <c r="J273" s="3618">
        <v>0</v>
      </c>
      <c r="K273" s="3618">
        <v>12</v>
      </c>
      <c r="L273" s="4052">
        <f t="shared" si="177"/>
        <v>38</v>
      </c>
      <c r="M273" s="3619">
        <v>45828</v>
      </c>
      <c r="N273" s="3619">
        <v>45824</v>
      </c>
      <c r="O273" s="4085"/>
      <c r="P273" s="959" t="s">
        <v>82</v>
      </c>
      <c r="Q273" s="959"/>
      <c r="R273" s="959"/>
      <c r="S273" s="959"/>
      <c r="T273" s="4053"/>
      <c r="U273" s="3645" t="s">
        <v>3908</v>
      </c>
      <c r="V273" s="3649" t="s">
        <v>3909</v>
      </c>
      <c r="W273" s="3657"/>
      <c r="X273" s="3657" t="s">
        <v>3910</v>
      </c>
      <c r="Y273" s="3649"/>
      <c r="Z273" s="3661"/>
      <c r="AA273" s="3620" t="s">
        <v>3911</v>
      </c>
      <c r="AB273" s="3624" t="s">
        <v>1389</v>
      </c>
      <c r="AC273" s="4058">
        <v>2.2559</v>
      </c>
      <c r="AD273" s="3618">
        <f t="shared" si="178"/>
        <v>1028.6904</v>
      </c>
      <c r="AE273" s="3633"/>
      <c r="AF273" s="959" t="s">
        <v>6195</v>
      </c>
      <c r="AG273" s="3620" t="s">
        <v>416</v>
      </c>
      <c r="AH273" s="3620"/>
      <c r="AI273" s="3620"/>
      <c r="AJ273" s="3620"/>
      <c r="AK273" s="959">
        <f t="shared" si="179"/>
        <v>456</v>
      </c>
      <c r="AL273" s="959"/>
      <c r="AM273" s="959"/>
      <c r="AN273" s="959"/>
      <c r="AO273" s="959"/>
      <c r="AP273" s="3618">
        <f t="shared" si="180"/>
        <v>456</v>
      </c>
      <c r="AQ273" s="3618"/>
      <c r="AR273" s="3626"/>
      <c r="AS273" s="3626">
        <f t="shared" si="181"/>
        <v>456</v>
      </c>
      <c r="AT273" s="3626"/>
      <c r="AU273" s="3626"/>
      <c r="AV273" s="3626"/>
      <c r="AW273" s="3626"/>
      <c r="AX273" s="3626"/>
      <c r="AY273" s="3626">
        <f>I273/6</f>
        <v>76</v>
      </c>
      <c r="AZ273" s="3626"/>
      <c r="BA273" s="3626"/>
      <c r="BB273" s="3626"/>
      <c r="BC273" s="3626"/>
      <c r="BD273" s="3626"/>
      <c r="BE273" s="3626"/>
      <c r="BF273" s="3626"/>
      <c r="BG273" s="3626"/>
      <c r="BH273" s="3626"/>
      <c r="BI273" s="3626" t="s">
        <v>89</v>
      </c>
      <c r="BJ273" s="3626">
        <f t="shared" si="182"/>
        <v>15.2</v>
      </c>
      <c r="BK273" s="3626">
        <f t="shared" si="183"/>
        <v>76</v>
      </c>
      <c r="BL273" s="3626">
        <f t="shared" si="184"/>
        <v>76</v>
      </c>
      <c r="BM273" s="3626">
        <f t="shared" si="185"/>
        <v>60.8</v>
      </c>
      <c r="BN273" s="3626">
        <f t="shared" si="186"/>
        <v>76</v>
      </c>
      <c r="BO273" s="4055">
        <f t="shared" si="187"/>
        <v>76</v>
      </c>
      <c r="BP273" s="3627">
        <f t="shared" si="188"/>
        <v>76</v>
      </c>
      <c r="BQ273" s="3627">
        <f t="shared" si="161"/>
        <v>456</v>
      </c>
      <c r="BR273" s="3627">
        <f t="shared" si="162"/>
        <v>0</v>
      </c>
      <c r="BS273" s="4056"/>
      <c r="BT273" s="4057"/>
    </row>
    <row r="274" s="3566" customFormat="1" ht="50" customHeight="1" spans="1:72">
      <c r="A274" s="3635">
        <v>45741</v>
      </c>
      <c r="B274" s="3617" t="s">
        <v>2797</v>
      </c>
      <c r="C274" s="3617" t="s">
        <v>91</v>
      </c>
      <c r="D274" s="3624">
        <v>4500158500</v>
      </c>
      <c r="E274" s="959" t="s">
        <v>3667</v>
      </c>
      <c r="F274" s="3617" t="s">
        <v>6947</v>
      </c>
      <c r="G274" s="959" t="s">
        <v>6195</v>
      </c>
      <c r="H274" s="3618" t="s">
        <v>6063</v>
      </c>
      <c r="I274" s="3618">
        <v>4188</v>
      </c>
      <c r="J274" s="3618">
        <v>0</v>
      </c>
      <c r="K274" s="3618">
        <v>12</v>
      </c>
      <c r="L274" s="4052">
        <f t="shared" si="177"/>
        <v>349</v>
      </c>
      <c r="M274" s="3619">
        <v>45805</v>
      </c>
      <c r="N274" s="3659">
        <v>45822</v>
      </c>
      <c r="O274" s="3664" t="s">
        <v>3669</v>
      </c>
      <c r="P274" s="3682" t="s">
        <v>82</v>
      </c>
      <c r="Q274" s="3682"/>
      <c r="R274" s="3682"/>
      <c r="S274" s="3682"/>
      <c r="T274" s="4083"/>
      <c r="U274" s="3645"/>
      <c r="V274" s="3649" t="s">
        <v>1063</v>
      </c>
      <c r="W274" s="3657"/>
      <c r="X274" s="3657" t="s">
        <v>98</v>
      </c>
      <c r="Y274" s="3640"/>
      <c r="Z274" s="3623"/>
      <c r="AA274" s="3620" t="s">
        <v>6948</v>
      </c>
      <c r="AB274" s="3624" t="s">
        <v>2802</v>
      </c>
      <c r="AC274" s="3618">
        <v>2.2948</v>
      </c>
      <c r="AD274" s="3618">
        <f t="shared" si="178"/>
        <v>9610.6224</v>
      </c>
      <c r="AE274" s="3633" t="s">
        <v>3671</v>
      </c>
      <c r="AF274" s="959" t="s">
        <v>6195</v>
      </c>
      <c r="AG274" s="3620" t="s">
        <v>416</v>
      </c>
      <c r="AH274" s="3620"/>
      <c r="AI274" s="3620"/>
      <c r="AJ274" s="3620"/>
      <c r="AK274" s="959">
        <f t="shared" si="179"/>
        <v>4188</v>
      </c>
      <c r="AL274" s="959"/>
      <c r="AM274" s="959"/>
      <c r="AN274" s="959"/>
      <c r="AO274" s="959"/>
      <c r="AP274" s="3618">
        <f t="shared" si="180"/>
        <v>4188</v>
      </c>
      <c r="AQ274" s="3618"/>
      <c r="AR274" s="3626"/>
      <c r="AS274" s="3626">
        <f t="shared" si="181"/>
        <v>4188</v>
      </c>
      <c r="AT274" s="3626"/>
      <c r="AU274" s="3626"/>
      <c r="AV274" s="3626"/>
      <c r="AW274" s="3626"/>
      <c r="AX274" s="3626"/>
      <c r="AY274" s="3626">
        <f>I274/6</f>
        <v>698</v>
      </c>
      <c r="AZ274" s="3626"/>
      <c r="BA274" s="3626"/>
      <c r="BB274" s="3626"/>
      <c r="BC274" s="3626"/>
      <c r="BD274" s="3626"/>
      <c r="BE274" s="3626"/>
      <c r="BF274" s="3626"/>
      <c r="BG274" s="3626"/>
      <c r="BH274" s="3626"/>
      <c r="BI274" s="3626" t="s">
        <v>89</v>
      </c>
      <c r="BJ274" s="3626">
        <f t="shared" si="182"/>
        <v>139.6</v>
      </c>
      <c r="BK274" s="3626">
        <f t="shared" si="183"/>
        <v>698</v>
      </c>
      <c r="BL274" s="3626">
        <f t="shared" si="184"/>
        <v>698</v>
      </c>
      <c r="BM274" s="3626">
        <f t="shared" si="185"/>
        <v>558.4</v>
      </c>
      <c r="BN274" s="3626">
        <f t="shared" si="186"/>
        <v>698</v>
      </c>
      <c r="BO274" s="4055">
        <f t="shared" si="187"/>
        <v>698</v>
      </c>
      <c r="BP274" s="3627">
        <f t="shared" si="188"/>
        <v>698</v>
      </c>
      <c r="BQ274" s="3627">
        <f t="shared" si="161"/>
        <v>4188</v>
      </c>
      <c r="BR274" s="3627">
        <f t="shared" si="162"/>
        <v>0</v>
      </c>
      <c r="BS274" s="4056"/>
      <c r="BT274" s="4057"/>
    </row>
    <row r="275" s="3566" customFormat="1" ht="50" customHeight="1" spans="1:72">
      <c r="A275" s="3635">
        <v>45796</v>
      </c>
      <c r="B275" s="3617" t="s">
        <v>5160</v>
      </c>
      <c r="C275" s="3617" t="s">
        <v>3913</v>
      </c>
      <c r="D275" s="3624">
        <v>4500166838</v>
      </c>
      <c r="E275" s="959" t="s">
        <v>6949</v>
      </c>
      <c r="F275" s="3624" t="s">
        <v>6950</v>
      </c>
      <c r="G275" s="959" t="s">
        <v>6578</v>
      </c>
      <c r="H275" s="3618" t="s">
        <v>6579</v>
      </c>
      <c r="I275" s="3618">
        <v>600</v>
      </c>
      <c r="J275" s="3618">
        <v>0</v>
      </c>
      <c r="K275" s="3618">
        <v>24</v>
      </c>
      <c r="L275" s="4052">
        <f t="shared" si="177"/>
        <v>25</v>
      </c>
      <c r="M275" s="3619">
        <v>45828</v>
      </c>
      <c r="N275" s="3619">
        <v>45824</v>
      </c>
      <c r="O275" s="4085"/>
      <c r="P275" s="959" t="s">
        <v>82</v>
      </c>
      <c r="Q275" s="959"/>
      <c r="R275" s="959"/>
      <c r="S275" s="959"/>
      <c r="T275" s="4053"/>
      <c r="U275" s="3620" t="s">
        <v>1335</v>
      </c>
      <c r="V275" s="3657" t="s">
        <v>229</v>
      </c>
      <c r="W275" s="3657"/>
      <c r="X275" s="3657" t="s">
        <v>6951</v>
      </c>
      <c r="Y275" s="3657"/>
      <c r="Z275" s="3661" t="s">
        <v>6952</v>
      </c>
      <c r="AA275" s="3620" t="s">
        <v>6953</v>
      </c>
      <c r="AB275" s="4092" t="s">
        <v>892</v>
      </c>
      <c r="AC275" s="4058">
        <v>2.1773</v>
      </c>
      <c r="AD275" s="3618">
        <f t="shared" si="178"/>
        <v>1306.38</v>
      </c>
      <c r="AE275" s="3633"/>
      <c r="AF275" s="959" t="s">
        <v>6578</v>
      </c>
      <c r="AG275" s="3620" t="s">
        <v>416</v>
      </c>
      <c r="AH275" s="3620"/>
      <c r="AI275" s="3620"/>
      <c r="AJ275" s="3620"/>
      <c r="AK275" s="959">
        <f t="shared" si="179"/>
        <v>600</v>
      </c>
      <c r="AL275" s="959"/>
      <c r="AM275" s="959"/>
      <c r="AN275" s="959"/>
      <c r="AO275" s="959"/>
      <c r="AP275" s="3618">
        <f t="shared" si="180"/>
        <v>600</v>
      </c>
      <c r="AQ275" s="3618"/>
      <c r="AR275" s="3626"/>
      <c r="AS275" s="3626">
        <f t="shared" si="181"/>
        <v>600</v>
      </c>
      <c r="AT275" s="3626"/>
      <c r="AU275" s="3626"/>
      <c r="AV275" s="3626"/>
      <c r="AW275" s="3626"/>
      <c r="AX275" s="3626"/>
      <c r="AY275" s="3626"/>
      <c r="AZ275" s="3626"/>
      <c r="BA275" s="3626"/>
      <c r="BB275" s="3626"/>
      <c r="BC275" s="3626"/>
      <c r="BD275" s="3626"/>
      <c r="BE275" s="3626"/>
      <c r="BF275" s="3626"/>
      <c r="BG275" s="3626"/>
      <c r="BH275" s="3626"/>
      <c r="BI275" s="3626" t="s">
        <v>89</v>
      </c>
      <c r="BJ275" s="3626">
        <f t="shared" si="182"/>
        <v>20</v>
      </c>
      <c r="BK275" s="3626">
        <f t="shared" si="183"/>
        <v>100</v>
      </c>
      <c r="BL275" s="3626">
        <f t="shared" si="184"/>
        <v>100</v>
      </c>
      <c r="BM275" s="3626">
        <f t="shared" si="185"/>
        <v>80</v>
      </c>
      <c r="BN275" s="3626">
        <f t="shared" si="186"/>
        <v>100</v>
      </c>
      <c r="BO275" s="4055">
        <f t="shared" si="187"/>
        <v>100</v>
      </c>
      <c r="BP275" s="3627">
        <f t="shared" si="188"/>
        <v>100</v>
      </c>
      <c r="BQ275" s="3627">
        <f t="shared" si="161"/>
        <v>600</v>
      </c>
      <c r="BR275" s="3627">
        <f t="shared" si="162"/>
        <v>0</v>
      </c>
      <c r="BS275" s="4056"/>
      <c r="BT275" s="4057"/>
    </row>
    <row r="276" s="3566" customFormat="1" ht="50" customHeight="1" spans="1:72">
      <c r="A276" s="3635">
        <v>45747</v>
      </c>
      <c r="B276" s="3617" t="s">
        <v>6954</v>
      </c>
      <c r="C276" s="3617" t="s">
        <v>91</v>
      </c>
      <c r="D276" s="3624">
        <v>4500161570</v>
      </c>
      <c r="E276" s="959" t="s">
        <v>6955</v>
      </c>
      <c r="F276" s="3617" t="s">
        <v>6956</v>
      </c>
      <c r="G276" s="959" t="s">
        <v>6254</v>
      </c>
      <c r="H276" s="3618" t="s">
        <v>6063</v>
      </c>
      <c r="I276" s="3618">
        <v>180</v>
      </c>
      <c r="J276" s="3618">
        <v>0</v>
      </c>
      <c r="K276" s="3618">
        <v>6</v>
      </c>
      <c r="L276" s="4052">
        <f t="shared" si="177"/>
        <v>30</v>
      </c>
      <c r="M276" s="3619">
        <v>45833</v>
      </c>
      <c r="N276" s="3619">
        <f>M276-4</f>
        <v>45829</v>
      </c>
      <c r="O276" s="4085"/>
      <c r="P276" s="959" t="s">
        <v>82</v>
      </c>
      <c r="Q276" s="959"/>
      <c r="R276" s="959"/>
      <c r="S276" s="959"/>
      <c r="T276" s="4053"/>
      <c r="U276" s="3620"/>
      <c r="V276" s="3657" t="s">
        <v>3925</v>
      </c>
      <c r="W276" s="3657"/>
      <c r="X276" s="3657" t="s">
        <v>98</v>
      </c>
      <c r="Y276" s="3640"/>
      <c r="Z276" s="3623"/>
      <c r="AA276" s="3620" t="s">
        <v>6957</v>
      </c>
      <c r="AB276" s="3624" t="s">
        <v>3262</v>
      </c>
      <c r="AC276" s="3618">
        <v>2.2713</v>
      </c>
      <c r="AD276" s="3618">
        <f t="shared" si="178"/>
        <v>408.834</v>
      </c>
      <c r="AE276" s="3633" t="s">
        <v>6958</v>
      </c>
      <c r="AF276" s="959" t="s">
        <v>6254</v>
      </c>
      <c r="AG276" s="3620" t="s">
        <v>416</v>
      </c>
      <c r="AH276" s="3620"/>
      <c r="AI276" s="3620"/>
      <c r="AJ276" s="3620"/>
      <c r="AK276" s="959">
        <f t="shared" si="179"/>
        <v>180</v>
      </c>
      <c r="AL276" s="959"/>
      <c r="AM276" s="959"/>
      <c r="AN276" s="959"/>
      <c r="AO276" s="959"/>
      <c r="AP276" s="3618">
        <f t="shared" si="180"/>
        <v>180</v>
      </c>
      <c r="AQ276" s="3618"/>
      <c r="AR276" s="3626"/>
      <c r="AS276" s="3626">
        <f t="shared" si="181"/>
        <v>180</v>
      </c>
      <c r="AT276" s="3626"/>
      <c r="AU276" s="3626"/>
      <c r="AV276" s="3626"/>
      <c r="AW276" s="3626"/>
      <c r="AX276" s="3626"/>
      <c r="AY276" s="3626">
        <f>I276/6</f>
        <v>30</v>
      </c>
      <c r="AZ276" s="3626"/>
      <c r="BA276" s="3626"/>
      <c r="BB276" s="3626"/>
      <c r="BC276" s="3626"/>
      <c r="BD276" s="3626"/>
      <c r="BE276" s="3626"/>
      <c r="BF276" s="3626"/>
      <c r="BG276" s="3626"/>
      <c r="BH276" s="3626"/>
      <c r="BI276" s="3626" t="s">
        <v>89</v>
      </c>
      <c r="BJ276" s="3626">
        <f t="shared" si="182"/>
        <v>6</v>
      </c>
      <c r="BK276" s="3626">
        <f t="shared" si="183"/>
        <v>30</v>
      </c>
      <c r="BL276" s="3626">
        <f t="shared" si="184"/>
        <v>30</v>
      </c>
      <c r="BM276" s="3626">
        <f t="shared" si="185"/>
        <v>24</v>
      </c>
      <c r="BN276" s="3626">
        <f t="shared" si="186"/>
        <v>30</v>
      </c>
      <c r="BO276" s="4055">
        <f t="shared" si="187"/>
        <v>30</v>
      </c>
      <c r="BP276" s="3627">
        <f t="shared" si="188"/>
        <v>30</v>
      </c>
      <c r="BQ276" s="3627">
        <f t="shared" si="161"/>
        <v>180</v>
      </c>
      <c r="BR276" s="3627">
        <f t="shared" si="162"/>
        <v>0</v>
      </c>
      <c r="BS276" s="4056"/>
      <c r="BT276" s="4057"/>
    </row>
    <row r="277" s="3566" customFormat="1" ht="50" customHeight="1" spans="1:72">
      <c r="A277" s="3635">
        <v>45747</v>
      </c>
      <c r="B277" s="3617" t="s">
        <v>6954</v>
      </c>
      <c r="C277" s="3617" t="s">
        <v>91</v>
      </c>
      <c r="D277" s="3624">
        <v>4500161570</v>
      </c>
      <c r="E277" s="959" t="s">
        <v>6959</v>
      </c>
      <c r="F277" s="3617" t="s">
        <v>6960</v>
      </c>
      <c r="G277" s="959" t="s">
        <v>6254</v>
      </c>
      <c r="H277" s="3618" t="s">
        <v>6063</v>
      </c>
      <c r="I277" s="3618">
        <v>402</v>
      </c>
      <c r="J277" s="3618">
        <v>0</v>
      </c>
      <c r="K277" s="3618">
        <v>6</v>
      </c>
      <c r="L277" s="4052">
        <f t="shared" si="177"/>
        <v>67</v>
      </c>
      <c r="M277" s="3619">
        <v>45833</v>
      </c>
      <c r="N277" s="3619">
        <f>M277-4</f>
        <v>45829</v>
      </c>
      <c r="O277" s="4085"/>
      <c r="P277" s="959" t="s">
        <v>82</v>
      </c>
      <c r="Q277" s="959"/>
      <c r="R277" s="959"/>
      <c r="S277" s="959"/>
      <c r="T277" s="4053"/>
      <c r="U277" s="3620" t="s">
        <v>3916</v>
      </c>
      <c r="V277" s="3657" t="s">
        <v>3925</v>
      </c>
      <c r="W277" s="3657"/>
      <c r="X277" s="3657" t="s">
        <v>98</v>
      </c>
      <c r="Y277" s="3640"/>
      <c r="Z277" s="3623"/>
      <c r="AA277" s="3620" t="s">
        <v>6957</v>
      </c>
      <c r="AB277" s="3624" t="s">
        <v>3262</v>
      </c>
      <c r="AC277" s="3618">
        <v>2.2713</v>
      </c>
      <c r="AD277" s="3618">
        <f t="shared" si="178"/>
        <v>913.0626</v>
      </c>
      <c r="AE277" s="3633" t="s">
        <v>6961</v>
      </c>
      <c r="AF277" s="959" t="s">
        <v>6254</v>
      </c>
      <c r="AG277" s="3620" t="s">
        <v>416</v>
      </c>
      <c r="AH277" s="3620"/>
      <c r="AI277" s="3620"/>
      <c r="AJ277" s="3620"/>
      <c r="AK277" s="959">
        <f t="shared" si="179"/>
        <v>402</v>
      </c>
      <c r="AL277" s="959"/>
      <c r="AM277" s="959"/>
      <c r="AN277" s="959"/>
      <c r="AO277" s="959"/>
      <c r="AP277" s="3618">
        <f t="shared" si="180"/>
        <v>402</v>
      </c>
      <c r="AQ277" s="3618"/>
      <c r="AR277" s="3626"/>
      <c r="AS277" s="3626">
        <f t="shared" si="181"/>
        <v>402</v>
      </c>
      <c r="AT277" s="3626"/>
      <c r="AU277" s="3626"/>
      <c r="AV277" s="3626"/>
      <c r="AW277" s="3626"/>
      <c r="AX277" s="3626"/>
      <c r="AY277" s="3626">
        <f>I277/6</f>
        <v>67</v>
      </c>
      <c r="AZ277" s="3626"/>
      <c r="BA277" s="3626"/>
      <c r="BB277" s="3626"/>
      <c r="BC277" s="3626"/>
      <c r="BD277" s="3626"/>
      <c r="BE277" s="3626"/>
      <c r="BF277" s="3626"/>
      <c r="BG277" s="3626"/>
      <c r="BH277" s="3626"/>
      <c r="BI277" s="3626" t="s">
        <v>89</v>
      </c>
      <c r="BJ277" s="3626">
        <f t="shared" si="182"/>
        <v>13.4</v>
      </c>
      <c r="BK277" s="3626">
        <f t="shared" si="183"/>
        <v>67</v>
      </c>
      <c r="BL277" s="3626">
        <f t="shared" si="184"/>
        <v>67</v>
      </c>
      <c r="BM277" s="3626">
        <f t="shared" si="185"/>
        <v>53.6</v>
      </c>
      <c r="BN277" s="3626">
        <f t="shared" si="186"/>
        <v>67</v>
      </c>
      <c r="BO277" s="4055">
        <f t="shared" si="187"/>
        <v>67</v>
      </c>
      <c r="BP277" s="3627">
        <f t="shared" si="188"/>
        <v>67</v>
      </c>
      <c r="BQ277" s="3627">
        <f t="shared" si="161"/>
        <v>402</v>
      </c>
      <c r="BR277" s="3627">
        <f t="shared" si="162"/>
        <v>0</v>
      </c>
      <c r="BS277" s="4056"/>
      <c r="BT277" s="4057"/>
    </row>
    <row r="278" s="3566" customFormat="1" ht="50" customHeight="1" spans="1:72">
      <c r="A278" s="3635">
        <v>45747</v>
      </c>
      <c r="B278" s="3617" t="s">
        <v>6954</v>
      </c>
      <c r="C278" s="3617" t="s">
        <v>91</v>
      </c>
      <c r="D278" s="3624">
        <v>4500161570</v>
      </c>
      <c r="E278" s="959" t="s">
        <v>6962</v>
      </c>
      <c r="F278" s="3617" t="s">
        <v>6963</v>
      </c>
      <c r="G278" s="959" t="s">
        <v>6254</v>
      </c>
      <c r="H278" s="3618" t="s">
        <v>6063</v>
      </c>
      <c r="I278" s="3618">
        <v>732</v>
      </c>
      <c r="J278" s="3618">
        <v>0</v>
      </c>
      <c r="K278" s="3618">
        <v>6</v>
      </c>
      <c r="L278" s="4052">
        <f t="shared" si="177"/>
        <v>122</v>
      </c>
      <c r="M278" s="3619">
        <v>45833</v>
      </c>
      <c r="N278" s="3619">
        <f>M278-4</f>
        <v>45829</v>
      </c>
      <c r="O278" s="4085"/>
      <c r="P278" s="959" t="s">
        <v>82</v>
      </c>
      <c r="Q278" s="959"/>
      <c r="R278" s="959"/>
      <c r="S278" s="959"/>
      <c r="T278" s="4053"/>
      <c r="U278" s="3620" t="s">
        <v>200</v>
      </c>
      <c r="V278" s="3657" t="s">
        <v>3925</v>
      </c>
      <c r="W278" s="3657"/>
      <c r="X278" s="3657" t="s">
        <v>98</v>
      </c>
      <c r="Y278" s="3640"/>
      <c r="Z278" s="3623"/>
      <c r="AA278" s="3620" t="s">
        <v>6957</v>
      </c>
      <c r="AB278" s="3624" t="s">
        <v>3262</v>
      </c>
      <c r="AC278" s="3618">
        <v>2.2713</v>
      </c>
      <c r="AD278" s="3618">
        <f t="shared" si="178"/>
        <v>1662.5916</v>
      </c>
      <c r="AE278" s="3633" t="s">
        <v>6964</v>
      </c>
      <c r="AF278" s="959" t="s">
        <v>6254</v>
      </c>
      <c r="AG278" s="3620" t="s">
        <v>416</v>
      </c>
      <c r="AH278" s="3620"/>
      <c r="AI278" s="3620"/>
      <c r="AJ278" s="3620"/>
      <c r="AK278" s="959">
        <f t="shared" si="179"/>
        <v>732</v>
      </c>
      <c r="AL278" s="959"/>
      <c r="AM278" s="959"/>
      <c r="AN278" s="959"/>
      <c r="AO278" s="959"/>
      <c r="AP278" s="3618">
        <f t="shared" si="180"/>
        <v>732</v>
      </c>
      <c r="AQ278" s="3618"/>
      <c r="AR278" s="3626"/>
      <c r="AS278" s="3626">
        <f t="shared" si="181"/>
        <v>732</v>
      </c>
      <c r="AT278" s="3626"/>
      <c r="AU278" s="3626"/>
      <c r="AV278" s="3626"/>
      <c r="AW278" s="3626"/>
      <c r="AX278" s="3626"/>
      <c r="AY278" s="3626">
        <f>I278/6</f>
        <v>122</v>
      </c>
      <c r="AZ278" s="3626"/>
      <c r="BA278" s="3626"/>
      <c r="BB278" s="3626"/>
      <c r="BC278" s="3626"/>
      <c r="BD278" s="3626"/>
      <c r="BE278" s="3626"/>
      <c r="BF278" s="3626"/>
      <c r="BG278" s="3626"/>
      <c r="BH278" s="3626"/>
      <c r="BI278" s="3626" t="s">
        <v>89</v>
      </c>
      <c r="BJ278" s="3626">
        <f t="shared" si="182"/>
        <v>24.4</v>
      </c>
      <c r="BK278" s="3626">
        <f t="shared" si="183"/>
        <v>122</v>
      </c>
      <c r="BL278" s="3626">
        <f t="shared" si="184"/>
        <v>122</v>
      </c>
      <c r="BM278" s="3626">
        <f t="shared" si="185"/>
        <v>97.6</v>
      </c>
      <c r="BN278" s="3626">
        <f t="shared" si="186"/>
        <v>122</v>
      </c>
      <c r="BO278" s="4055">
        <f t="shared" si="187"/>
        <v>122</v>
      </c>
      <c r="BP278" s="3627">
        <f t="shared" si="188"/>
        <v>122</v>
      </c>
      <c r="BQ278" s="3627">
        <f t="shared" si="161"/>
        <v>732</v>
      </c>
      <c r="BR278" s="3627">
        <f t="shared" si="162"/>
        <v>0</v>
      </c>
      <c r="BS278" s="4056"/>
      <c r="BT278" s="4057"/>
    </row>
    <row r="279" s="3566" customFormat="1" ht="50" customHeight="1" spans="1:72">
      <c r="A279" s="3635">
        <v>45799</v>
      </c>
      <c r="B279" s="3617" t="s">
        <v>6954</v>
      </c>
      <c r="C279" s="3617" t="s">
        <v>91</v>
      </c>
      <c r="D279" s="3624">
        <v>4500161570</v>
      </c>
      <c r="E279" s="959" t="s">
        <v>6965</v>
      </c>
      <c r="F279" s="3624" t="s">
        <v>6966</v>
      </c>
      <c r="G279" s="959" t="s">
        <v>6254</v>
      </c>
      <c r="H279" s="3618" t="s">
        <v>6063</v>
      </c>
      <c r="I279" s="3618">
        <v>90</v>
      </c>
      <c r="J279" s="3618">
        <v>0</v>
      </c>
      <c r="K279" s="3618">
        <v>6</v>
      </c>
      <c r="L279" s="4052">
        <f t="shared" si="177"/>
        <v>15</v>
      </c>
      <c r="M279" s="3619">
        <v>45833</v>
      </c>
      <c r="N279" s="3619">
        <f>M279-4</f>
        <v>45829</v>
      </c>
      <c r="O279" s="3618"/>
      <c r="P279" s="959" t="s">
        <v>82</v>
      </c>
      <c r="Q279" s="959"/>
      <c r="R279" s="959"/>
      <c r="S279" s="959"/>
      <c r="T279" s="4053"/>
      <c r="U279" s="3620"/>
      <c r="V279" s="3657" t="s">
        <v>3925</v>
      </c>
      <c r="W279" s="3657"/>
      <c r="X279" s="3657" t="s">
        <v>98</v>
      </c>
      <c r="Y279" s="3640"/>
      <c r="Z279" s="3623"/>
      <c r="AA279" s="3620" t="s">
        <v>6957</v>
      </c>
      <c r="AB279" s="3624" t="s">
        <v>3262</v>
      </c>
      <c r="AC279" s="3618">
        <v>1.4354</v>
      </c>
      <c r="AD279" s="3618">
        <f t="shared" si="178"/>
        <v>129.186</v>
      </c>
      <c r="AE279" s="3633" t="s">
        <v>6967</v>
      </c>
      <c r="AF279" s="959" t="s">
        <v>6254</v>
      </c>
      <c r="AG279" s="3620" t="s">
        <v>416</v>
      </c>
      <c r="AH279" s="3620"/>
      <c r="AI279" s="3620"/>
      <c r="AJ279" s="3620"/>
      <c r="AK279" s="959">
        <f t="shared" si="179"/>
        <v>90</v>
      </c>
      <c r="AL279" s="959"/>
      <c r="AM279" s="959"/>
      <c r="AN279" s="959"/>
      <c r="AO279" s="959"/>
      <c r="AP279" s="3618">
        <f t="shared" si="180"/>
        <v>90</v>
      </c>
      <c r="AQ279" s="3618"/>
      <c r="AR279" s="3626"/>
      <c r="AS279" s="3626">
        <f t="shared" si="181"/>
        <v>90</v>
      </c>
      <c r="AT279" s="3626"/>
      <c r="AU279" s="3626"/>
      <c r="AV279" s="3626"/>
      <c r="AW279" s="3626"/>
      <c r="AX279" s="3626"/>
      <c r="AY279" s="3626">
        <f>I279/6</f>
        <v>15</v>
      </c>
      <c r="AZ279" s="3626"/>
      <c r="BA279" s="3626"/>
      <c r="BB279" s="3626"/>
      <c r="BC279" s="3626"/>
      <c r="BD279" s="3626"/>
      <c r="BE279" s="3626"/>
      <c r="BF279" s="3626"/>
      <c r="BG279" s="3626"/>
      <c r="BH279" s="3626"/>
      <c r="BI279" s="3626" t="s">
        <v>89</v>
      </c>
      <c r="BJ279" s="3626">
        <f t="shared" si="182"/>
        <v>3</v>
      </c>
      <c r="BK279" s="3626">
        <f t="shared" si="183"/>
        <v>15</v>
      </c>
      <c r="BL279" s="3626">
        <f t="shared" si="184"/>
        <v>15</v>
      </c>
      <c r="BM279" s="3626">
        <f t="shared" si="185"/>
        <v>12</v>
      </c>
      <c r="BN279" s="3626">
        <f t="shared" si="186"/>
        <v>15</v>
      </c>
      <c r="BO279" s="4055">
        <f t="shared" si="187"/>
        <v>15</v>
      </c>
      <c r="BP279" s="3627">
        <f t="shared" si="188"/>
        <v>15</v>
      </c>
      <c r="BQ279" s="3627">
        <f t="shared" si="161"/>
        <v>90</v>
      </c>
      <c r="BR279" s="3627">
        <f t="shared" si="162"/>
        <v>0</v>
      </c>
      <c r="BS279" s="4056"/>
      <c r="BT279" s="4057"/>
    </row>
    <row r="280" s="3566" customFormat="1" ht="50" customHeight="1" spans="1:72">
      <c r="A280" s="3635">
        <v>45774</v>
      </c>
      <c r="B280" s="3617" t="s">
        <v>6968</v>
      </c>
      <c r="C280" s="3617" t="s">
        <v>6969</v>
      </c>
      <c r="D280" s="3624">
        <v>4500161056</v>
      </c>
      <c r="E280" s="959">
        <v>164147</v>
      </c>
      <c r="F280" s="3617" t="s">
        <v>6970</v>
      </c>
      <c r="G280" s="959" t="s">
        <v>6850</v>
      </c>
      <c r="H280" s="3618" t="s">
        <v>6063</v>
      </c>
      <c r="I280" s="3618">
        <v>1500</v>
      </c>
      <c r="J280" s="3618">
        <v>0</v>
      </c>
      <c r="K280" s="3618">
        <v>12</v>
      </c>
      <c r="L280" s="4052">
        <f t="shared" si="177"/>
        <v>125</v>
      </c>
      <c r="M280" s="3659">
        <v>45818</v>
      </c>
      <c r="N280" s="3659">
        <f>M280-4</f>
        <v>45814</v>
      </c>
      <c r="O280" s="3618"/>
      <c r="P280" s="959" t="s">
        <v>82</v>
      </c>
      <c r="Q280" s="959"/>
      <c r="R280" s="959"/>
      <c r="S280" s="959"/>
      <c r="T280" s="4053"/>
      <c r="U280" s="3620" t="s">
        <v>401</v>
      </c>
      <c r="V280" s="3649" t="s">
        <v>1295</v>
      </c>
      <c r="W280" s="3657"/>
      <c r="X280" s="3657" t="s">
        <v>6971</v>
      </c>
      <c r="Y280" s="3640"/>
      <c r="Z280" s="3623" t="s">
        <v>6972</v>
      </c>
      <c r="AA280" s="4065" t="s">
        <v>6973</v>
      </c>
      <c r="AB280" s="3624" t="s">
        <v>424</v>
      </c>
      <c r="AC280" s="4058">
        <v>2.2991</v>
      </c>
      <c r="AD280" s="3618">
        <f t="shared" si="178"/>
        <v>3448.65</v>
      </c>
      <c r="AE280" s="3633" t="s">
        <v>6974</v>
      </c>
      <c r="AF280" s="959" t="s">
        <v>6853</v>
      </c>
      <c r="AG280" s="3620" t="s">
        <v>416</v>
      </c>
      <c r="AH280" s="3620"/>
      <c r="AI280" s="3620"/>
      <c r="AJ280" s="3620"/>
      <c r="AK280" s="959"/>
      <c r="AL280" s="959"/>
      <c r="AM280" s="959">
        <f t="shared" ref="AM280:AM290" si="189">I280</f>
        <v>1500</v>
      </c>
      <c r="AN280" s="959"/>
      <c r="AO280" s="3618"/>
      <c r="AP280" s="3618">
        <f t="shared" si="180"/>
        <v>1500</v>
      </c>
      <c r="AQ280" s="3618"/>
      <c r="AR280" s="3626"/>
      <c r="AS280" s="3626"/>
      <c r="AT280" s="3626"/>
      <c r="AU280" s="3626">
        <f>I280</f>
        <v>1500</v>
      </c>
      <c r="AV280" s="3626"/>
      <c r="AW280" s="3626"/>
      <c r="AX280" s="3626"/>
      <c r="AY280" s="3626">
        <f>I280/6</f>
        <v>250</v>
      </c>
      <c r="AZ280" s="3626"/>
      <c r="BA280" s="3626"/>
      <c r="BB280" s="3626"/>
      <c r="BC280" s="3626"/>
      <c r="BD280" s="3626"/>
      <c r="BE280" s="3626"/>
      <c r="BF280" s="3626"/>
      <c r="BG280" s="3626"/>
      <c r="BH280" s="3626"/>
      <c r="BI280" s="3626" t="s">
        <v>89</v>
      </c>
      <c r="BJ280" s="3626">
        <f t="shared" si="182"/>
        <v>50</v>
      </c>
      <c r="BK280" s="3626">
        <f t="shared" si="183"/>
        <v>250</v>
      </c>
      <c r="BL280" s="3626">
        <f t="shared" si="184"/>
        <v>250</v>
      </c>
      <c r="BM280" s="3626">
        <f t="shared" si="185"/>
        <v>200</v>
      </c>
      <c r="BN280" s="3626">
        <f t="shared" si="186"/>
        <v>250</v>
      </c>
      <c r="BO280" s="4055">
        <f t="shared" si="187"/>
        <v>250</v>
      </c>
      <c r="BP280" s="3627">
        <f t="shared" si="188"/>
        <v>250</v>
      </c>
      <c r="BQ280" s="3627">
        <f t="shared" si="161"/>
        <v>1500</v>
      </c>
      <c r="BR280" s="3627">
        <f t="shared" si="162"/>
        <v>0</v>
      </c>
      <c r="BS280" s="4056"/>
      <c r="BT280" s="4057"/>
    </row>
    <row r="281" s="3566" customFormat="1" ht="50" customHeight="1" spans="1:72">
      <c r="A281" s="3635">
        <v>45797</v>
      </c>
      <c r="B281" s="3617" t="s">
        <v>1331</v>
      </c>
      <c r="C281" s="3617" t="s">
        <v>1332</v>
      </c>
      <c r="D281" s="3624">
        <v>4500167152</v>
      </c>
      <c r="E281" s="959" t="s">
        <v>1333</v>
      </c>
      <c r="F281" s="3624" t="s">
        <v>6975</v>
      </c>
      <c r="G281" s="959" t="s">
        <v>6124</v>
      </c>
      <c r="H281" s="3618" t="s">
        <v>6063</v>
      </c>
      <c r="I281" s="3618">
        <v>360</v>
      </c>
      <c r="J281" s="3618">
        <v>0</v>
      </c>
      <c r="K281" s="3618">
        <v>12</v>
      </c>
      <c r="L281" s="4052">
        <f t="shared" si="177"/>
        <v>30</v>
      </c>
      <c r="M281" s="3619">
        <v>45831</v>
      </c>
      <c r="N281" s="3619">
        <v>45827</v>
      </c>
      <c r="O281" s="4085"/>
      <c r="P281" s="959" t="s">
        <v>82</v>
      </c>
      <c r="Q281" s="959"/>
      <c r="R281" s="959"/>
      <c r="S281" s="959"/>
      <c r="T281" s="4053"/>
      <c r="U281" s="3620" t="s">
        <v>1335</v>
      </c>
      <c r="V281" s="3649" t="s">
        <v>1336</v>
      </c>
      <c r="W281" s="3657"/>
      <c r="X281" s="3657" t="s">
        <v>6976</v>
      </c>
      <c r="Y281" s="3657"/>
      <c r="Z281" s="3661"/>
      <c r="AA281" s="3620" t="s">
        <v>6977</v>
      </c>
      <c r="AB281" s="4092" t="s">
        <v>459</v>
      </c>
      <c r="AC281" s="3691">
        <v>2.259</v>
      </c>
      <c r="AD281" s="3691">
        <f t="shared" si="178"/>
        <v>813.24</v>
      </c>
      <c r="AE281" s="3633"/>
      <c r="AF281" s="959" t="s">
        <v>6126</v>
      </c>
      <c r="AG281" s="3620" t="s">
        <v>416</v>
      </c>
      <c r="AH281" s="3620"/>
      <c r="AI281" s="3620"/>
      <c r="AJ281" s="3620"/>
      <c r="AK281" s="959"/>
      <c r="AL281" s="959"/>
      <c r="AM281" s="959">
        <f t="shared" si="189"/>
        <v>360</v>
      </c>
      <c r="AN281" s="959"/>
      <c r="AO281" s="959"/>
      <c r="AP281" s="3618">
        <f t="shared" si="180"/>
        <v>360</v>
      </c>
      <c r="AQ281" s="3618"/>
      <c r="AR281" s="3626"/>
      <c r="AS281" s="3626">
        <f>I281</f>
        <v>360</v>
      </c>
      <c r="AT281" s="3626"/>
      <c r="AU281" s="3626"/>
      <c r="AV281" s="3626"/>
      <c r="AW281" s="3626">
        <f>I281/6</f>
        <v>60</v>
      </c>
      <c r="AX281" s="3626"/>
      <c r="AY281" s="3626"/>
      <c r="AZ281" s="3626"/>
      <c r="BA281" s="3626"/>
      <c r="BB281" s="3626"/>
      <c r="BC281" s="3626"/>
      <c r="BD281" s="3626"/>
      <c r="BE281" s="3626"/>
      <c r="BF281" s="3626"/>
      <c r="BG281" s="3626"/>
      <c r="BH281" s="3626"/>
      <c r="BI281" s="3626" t="s">
        <v>89</v>
      </c>
      <c r="BJ281" s="3626">
        <f t="shared" si="182"/>
        <v>12</v>
      </c>
      <c r="BK281" s="3626">
        <f t="shared" si="183"/>
        <v>60</v>
      </c>
      <c r="BL281" s="3626">
        <f t="shared" si="184"/>
        <v>60</v>
      </c>
      <c r="BM281" s="3626">
        <f t="shared" si="185"/>
        <v>48</v>
      </c>
      <c r="BN281" s="3626">
        <f t="shared" si="186"/>
        <v>60</v>
      </c>
      <c r="BO281" s="4055">
        <f t="shared" si="187"/>
        <v>60</v>
      </c>
      <c r="BP281" s="3627">
        <f t="shared" si="188"/>
        <v>60</v>
      </c>
      <c r="BQ281" s="3627">
        <f t="shared" si="161"/>
        <v>360</v>
      </c>
      <c r="BR281" s="3627">
        <f t="shared" si="162"/>
        <v>0</v>
      </c>
      <c r="BS281" s="4056"/>
      <c r="BT281" s="4057"/>
    </row>
    <row r="282" s="3566" customFormat="1" ht="50" customHeight="1" spans="1:72">
      <c r="A282" s="3635">
        <v>45737</v>
      </c>
      <c r="B282" s="3617" t="s">
        <v>3156</v>
      </c>
      <c r="C282" s="3617" t="s">
        <v>471</v>
      </c>
      <c r="D282" s="3624">
        <v>4500160859</v>
      </c>
      <c r="E282" s="959">
        <v>5200006422</v>
      </c>
      <c r="F282" s="3617" t="s">
        <v>3837</v>
      </c>
      <c r="G282" s="959" t="s">
        <v>6978</v>
      </c>
      <c r="H282" s="959" t="s">
        <v>6979</v>
      </c>
      <c r="I282" s="3618">
        <v>7800</v>
      </c>
      <c r="J282" s="3618">
        <v>0</v>
      </c>
      <c r="K282" s="3618">
        <v>6</v>
      </c>
      <c r="L282" s="4052">
        <f t="shared" si="177"/>
        <v>1300</v>
      </c>
      <c r="M282" s="3619">
        <v>45824</v>
      </c>
      <c r="N282" s="3619">
        <v>45822</v>
      </c>
      <c r="O282" s="3618"/>
      <c r="P282" s="3682" t="s">
        <v>82</v>
      </c>
      <c r="Q282" s="3682"/>
      <c r="R282" s="3682"/>
      <c r="S282" s="3682"/>
      <c r="T282" s="4083"/>
      <c r="U282" s="3645" t="s">
        <v>3839</v>
      </c>
      <c r="V282" s="3657" t="s">
        <v>3840</v>
      </c>
      <c r="W282" s="3657"/>
      <c r="X282" s="3657" t="s">
        <v>98</v>
      </c>
      <c r="Y282" s="3640"/>
      <c r="Z282" s="3623"/>
      <c r="AA282" s="3620" t="s">
        <v>3841</v>
      </c>
      <c r="AB282" s="3624" t="s">
        <v>3593</v>
      </c>
      <c r="AC282" s="4058">
        <v>26.065</v>
      </c>
      <c r="AD282" s="3618">
        <f>L282*AC282</f>
        <v>33884.5</v>
      </c>
      <c r="AE282" s="3633"/>
      <c r="AF282" s="959" t="s">
        <v>3520</v>
      </c>
      <c r="AG282" s="3620" t="s">
        <v>416</v>
      </c>
      <c r="AH282" s="3620"/>
      <c r="AI282" s="3620"/>
      <c r="AJ282" s="3620"/>
      <c r="AK282" s="959"/>
      <c r="AL282" s="959"/>
      <c r="AM282" s="959">
        <f t="shared" si="189"/>
        <v>7800</v>
      </c>
      <c r="AN282" s="959"/>
      <c r="AO282" s="3618"/>
      <c r="AP282" s="3618">
        <f t="shared" si="180"/>
        <v>7800</v>
      </c>
      <c r="AQ282" s="3618"/>
      <c r="AR282" s="3626"/>
      <c r="AS282" s="3626"/>
      <c r="AT282" s="3626"/>
      <c r="AU282" s="3626">
        <f>I282</f>
        <v>7800</v>
      </c>
      <c r="AV282" s="3626"/>
      <c r="AW282" s="3626"/>
      <c r="AX282" s="3626"/>
      <c r="AY282" s="3626"/>
      <c r="AZ282" s="3626"/>
      <c r="BA282" s="3626"/>
      <c r="BB282" s="3626"/>
      <c r="BC282" s="3626"/>
      <c r="BD282" s="3626"/>
      <c r="BE282" s="3626"/>
      <c r="BF282" s="3626"/>
      <c r="BG282" s="3626"/>
      <c r="BH282" s="3626"/>
      <c r="BI282" s="3626" t="s">
        <v>89</v>
      </c>
      <c r="BJ282" s="3626">
        <f t="shared" si="182"/>
        <v>260</v>
      </c>
      <c r="BK282" s="3626">
        <f t="shared" si="183"/>
        <v>1300</v>
      </c>
      <c r="BL282" s="3626">
        <f t="shared" si="184"/>
        <v>1300</v>
      </c>
      <c r="BM282" s="3626">
        <f t="shared" si="185"/>
        <v>1040</v>
      </c>
      <c r="BN282" s="3626">
        <f t="shared" si="186"/>
        <v>1300</v>
      </c>
      <c r="BO282" s="4055">
        <f t="shared" si="187"/>
        <v>1300</v>
      </c>
      <c r="BP282" s="3627">
        <f t="shared" si="188"/>
        <v>1300</v>
      </c>
      <c r="BQ282" s="3627">
        <f t="shared" si="161"/>
        <v>7800</v>
      </c>
      <c r="BR282" s="3627">
        <f t="shared" si="162"/>
        <v>0</v>
      </c>
      <c r="BS282" s="4056"/>
      <c r="BT282" s="4057"/>
    </row>
    <row r="283" s="3566" customFormat="1" ht="50" customHeight="1" spans="1:72">
      <c r="A283" s="3635">
        <v>45793</v>
      </c>
      <c r="B283" s="3617" t="s">
        <v>3901</v>
      </c>
      <c r="C283" s="3617" t="s">
        <v>1316</v>
      </c>
      <c r="D283" s="3624">
        <v>4500166776</v>
      </c>
      <c r="E283" s="959"/>
      <c r="F283" s="3624" t="s">
        <v>3902</v>
      </c>
      <c r="G283" s="959" t="s">
        <v>3520</v>
      </c>
      <c r="H283" s="3618" t="s">
        <v>6063</v>
      </c>
      <c r="I283" s="3618">
        <v>7752</v>
      </c>
      <c r="J283" s="3618">
        <v>0</v>
      </c>
      <c r="K283" s="3618">
        <v>24</v>
      </c>
      <c r="L283" s="4052">
        <f t="shared" si="177"/>
        <v>323</v>
      </c>
      <c r="M283" s="3619">
        <v>45828</v>
      </c>
      <c r="N283" s="3619">
        <v>45824</v>
      </c>
      <c r="O283" s="4085"/>
      <c r="P283" s="959" t="s">
        <v>82</v>
      </c>
      <c r="Q283" s="959"/>
      <c r="R283" s="959"/>
      <c r="S283" s="959"/>
      <c r="T283" s="4053"/>
      <c r="U283" s="3645" t="s">
        <v>3759</v>
      </c>
      <c r="V283" s="3657" t="s">
        <v>1273</v>
      </c>
      <c r="W283" s="3657"/>
      <c r="X283" s="3657" t="s">
        <v>3903</v>
      </c>
      <c r="Y283" s="3657"/>
      <c r="Z283" s="3661"/>
      <c r="AA283" s="3620" t="s">
        <v>6980</v>
      </c>
      <c r="AB283" s="4092" t="s">
        <v>1326</v>
      </c>
      <c r="AC283" s="4058">
        <v>2.1789</v>
      </c>
      <c r="AD283" s="3618">
        <f>AC283*I283</f>
        <v>16890.8328</v>
      </c>
      <c r="AE283" s="3633"/>
      <c r="AF283" s="959" t="s">
        <v>6263</v>
      </c>
      <c r="AG283" s="3620" t="s">
        <v>416</v>
      </c>
      <c r="AH283" s="3620"/>
      <c r="AI283" s="3620"/>
      <c r="AJ283" s="3620"/>
      <c r="AK283" s="959"/>
      <c r="AL283" s="959"/>
      <c r="AM283" s="959">
        <f t="shared" si="189"/>
        <v>7752</v>
      </c>
      <c r="AN283" s="959"/>
      <c r="AO283" s="959"/>
      <c r="AP283" s="3618">
        <f t="shared" si="180"/>
        <v>7752</v>
      </c>
      <c r="AQ283" s="3618"/>
      <c r="AR283" s="3626"/>
      <c r="AS283" s="3626">
        <f>I283</f>
        <v>7752</v>
      </c>
      <c r="AT283" s="3626"/>
      <c r="AU283" s="3626"/>
      <c r="AV283" s="3626"/>
      <c r="AW283" s="3626"/>
      <c r="AX283" s="3626"/>
      <c r="AY283" s="3626"/>
      <c r="AZ283" s="3626"/>
      <c r="BA283" s="3626"/>
      <c r="BB283" s="3626"/>
      <c r="BC283" s="3626"/>
      <c r="BD283" s="3626"/>
      <c r="BE283" s="3626"/>
      <c r="BF283" s="3626"/>
      <c r="BG283" s="3626"/>
      <c r="BH283" s="3626"/>
      <c r="BI283" s="3626" t="s">
        <v>89</v>
      </c>
      <c r="BJ283" s="3626">
        <f t="shared" si="182"/>
        <v>258.4</v>
      </c>
      <c r="BK283" s="3626">
        <f t="shared" si="183"/>
        <v>1292</v>
      </c>
      <c r="BL283" s="3626">
        <f t="shared" si="184"/>
        <v>1292</v>
      </c>
      <c r="BM283" s="3626">
        <f t="shared" si="185"/>
        <v>1033.6</v>
      </c>
      <c r="BN283" s="3626">
        <f t="shared" si="186"/>
        <v>1292</v>
      </c>
      <c r="BO283" s="4055">
        <f t="shared" si="187"/>
        <v>1292</v>
      </c>
      <c r="BP283" s="3627">
        <f t="shared" si="188"/>
        <v>1292</v>
      </c>
      <c r="BQ283" s="3627">
        <f t="shared" si="161"/>
        <v>7752</v>
      </c>
      <c r="BR283" s="3627">
        <f t="shared" si="162"/>
        <v>0</v>
      </c>
      <c r="BS283" s="4056"/>
      <c r="BT283" s="4057"/>
    </row>
    <row r="284" s="3566" customFormat="1" ht="50" customHeight="1" spans="1:72">
      <c r="A284" s="3635">
        <v>45793</v>
      </c>
      <c r="B284" s="3617" t="s">
        <v>6981</v>
      </c>
      <c r="C284" s="3617" t="s">
        <v>78</v>
      </c>
      <c r="D284" s="3624">
        <v>4500166699</v>
      </c>
      <c r="E284" s="959" t="s">
        <v>6982</v>
      </c>
      <c r="F284" s="3624" t="s">
        <v>6983</v>
      </c>
      <c r="G284" s="959" t="s">
        <v>6984</v>
      </c>
      <c r="H284" s="3618" t="s">
        <v>6063</v>
      </c>
      <c r="I284" s="3618">
        <v>15320</v>
      </c>
      <c r="J284" s="3618">
        <v>0</v>
      </c>
      <c r="K284" s="3618">
        <v>4</v>
      </c>
      <c r="L284" s="4052">
        <f t="shared" si="177"/>
        <v>3830</v>
      </c>
      <c r="M284" s="3619">
        <v>45833</v>
      </c>
      <c r="N284" s="3619">
        <v>45828</v>
      </c>
      <c r="O284" s="4085"/>
      <c r="P284" s="959" t="s">
        <v>82</v>
      </c>
      <c r="Q284" s="959"/>
      <c r="R284" s="959"/>
      <c r="S284" s="959"/>
      <c r="T284" s="4053"/>
      <c r="U284" s="3620" t="s">
        <v>6985</v>
      </c>
      <c r="V284" s="3657" t="s">
        <v>229</v>
      </c>
      <c r="W284" s="3657"/>
      <c r="X284" s="3657" t="s">
        <v>98</v>
      </c>
      <c r="Y284" s="3657"/>
      <c r="Z284" s="3661"/>
      <c r="AA284" s="3620" t="s">
        <v>6986</v>
      </c>
      <c r="AB284" s="4092" t="s">
        <v>4573</v>
      </c>
      <c r="AC284" s="3691">
        <v>2.1272</v>
      </c>
      <c r="AD284" s="3691">
        <f>AC284*I284</f>
        <v>32588.704</v>
      </c>
      <c r="AE284" s="3633"/>
      <c r="AF284" s="959" t="s">
        <v>6987</v>
      </c>
      <c r="AG284" s="3620" t="s">
        <v>416</v>
      </c>
      <c r="AH284" s="3620"/>
      <c r="AI284" s="3620"/>
      <c r="AJ284" s="3620"/>
      <c r="AK284" s="959"/>
      <c r="AL284" s="959"/>
      <c r="AM284" s="959">
        <f t="shared" si="189"/>
        <v>15320</v>
      </c>
      <c r="AN284" s="959"/>
      <c r="AO284" s="959"/>
      <c r="AP284" s="3618">
        <f t="shared" si="180"/>
        <v>15320</v>
      </c>
      <c r="AQ284" s="3618"/>
      <c r="AR284" s="3626"/>
      <c r="AS284" s="3626">
        <f>I284</f>
        <v>15320</v>
      </c>
      <c r="AT284" s="3626"/>
      <c r="AU284" s="3626"/>
      <c r="AV284" s="3626"/>
      <c r="AW284" s="3626"/>
      <c r="AX284" s="3626"/>
      <c r="AY284" s="3626"/>
      <c r="AZ284" s="3626"/>
      <c r="BA284" s="3626"/>
      <c r="BB284" s="3626"/>
      <c r="BC284" s="3626"/>
      <c r="BD284" s="3626"/>
      <c r="BE284" s="3626"/>
      <c r="BF284" s="3626"/>
      <c r="BG284" s="3626"/>
      <c r="BH284" s="3626"/>
      <c r="BI284" s="3626" t="s">
        <v>89</v>
      </c>
      <c r="BJ284" s="3626">
        <f t="shared" si="182"/>
        <v>510.666666666667</v>
      </c>
      <c r="BK284" s="3626">
        <f t="shared" si="183"/>
        <v>2553.33333333333</v>
      </c>
      <c r="BL284" s="3626">
        <f t="shared" si="184"/>
        <v>2553.33333333333</v>
      </c>
      <c r="BM284" s="3626">
        <f t="shared" si="185"/>
        <v>2042.66666666667</v>
      </c>
      <c r="BN284" s="3626">
        <f t="shared" si="186"/>
        <v>2553.33333333333</v>
      </c>
      <c r="BO284" s="4055">
        <f t="shared" si="187"/>
        <v>2553.33333333333</v>
      </c>
      <c r="BP284" s="3627">
        <f t="shared" si="188"/>
        <v>2553.33333333333</v>
      </c>
      <c r="BQ284" s="3627">
        <f t="shared" si="161"/>
        <v>15320</v>
      </c>
      <c r="BR284" s="3627">
        <f t="shared" si="162"/>
        <v>0</v>
      </c>
      <c r="BS284" s="4056"/>
      <c r="BT284" s="4057"/>
    </row>
    <row r="285" s="3566" customFormat="1" ht="50" customHeight="1" spans="1:72">
      <c r="A285" s="3635">
        <v>45793</v>
      </c>
      <c r="B285" s="3617" t="s">
        <v>6981</v>
      </c>
      <c r="C285" s="3617" t="s">
        <v>78</v>
      </c>
      <c r="D285" s="3624">
        <v>4500166699</v>
      </c>
      <c r="E285" s="959" t="s">
        <v>6988</v>
      </c>
      <c r="F285" s="3624" t="s">
        <v>6989</v>
      </c>
      <c r="G285" s="959" t="s">
        <v>6984</v>
      </c>
      <c r="H285" s="3618" t="s">
        <v>6063</v>
      </c>
      <c r="I285" s="3618">
        <v>6300</v>
      </c>
      <c r="J285" s="3618">
        <v>0</v>
      </c>
      <c r="K285" s="3618">
        <v>4</v>
      </c>
      <c r="L285" s="4052">
        <f t="shared" si="177"/>
        <v>1575</v>
      </c>
      <c r="M285" s="3619">
        <v>45833</v>
      </c>
      <c r="N285" s="3619">
        <v>45828</v>
      </c>
      <c r="O285" s="4085"/>
      <c r="P285" s="959" t="s">
        <v>82</v>
      </c>
      <c r="Q285" s="959"/>
      <c r="R285" s="959"/>
      <c r="S285" s="959"/>
      <c r="T285" s="4053"/>
      <c r="U285" s="3620" t="s">
        <v>6985</v>
      </c>
      <c r="V285" s="3657" t="s">
        <v>229</v>
      </c>
      <c r="W285" s="3657"/>
      <c r="X285" s="3657" t="s">
        <v>98</v>
      </c>
      <c r="Y285" s="3657"/>
      <c r="Z285" s="3661"/>
      <c r="AA285" s="3620" t="s">
        <v>6986</v>
      </c>
      <c r="AB285" s="4092" t="s">
        <v>4573</v>
      </c>
      <c r="AC285" s="3691">
        <v>2.1941</v>
      </c>
      <c r="AD285" s="3691">
        <f>AC285*I285</f>
        <v>13822.83</v>
      </c>
      <c r="AE285" s="3633"/>
      <c r="AF285" s="959" t="s">
        <v>6987</v>
      </c>
      <c r="AG285" s="3620" t="s">
        <v>416</v>
      </c>
      <c r="AH285" s="3620"/>
      <c r="AI285" s="3620"/>
      <c r="AJ285" s="3620"/>
      <c r="AK285" s="959"/>
      <c r="AL285" s="959"/>
      <c r="AM285" s="959">
        <f t="shared" si="189"/>
        <v>6300</v>
      </c>
      <c r="AN285" s="959"/>
      <c r="AO285" s="959"/>
      <c r="AP285" s="3618">
        <f t="shared" si="180"/>
        <v>6300</v>
      </c>
      <c r="AQ285" s="3618"/>
      <c r="AR285" s="3626"/>
      <c r="AS285" s="3626">
        <f>I285</f>
        <v>6300</v>
      </c>
      <c r="AT285" s="3626"/>
      <c r="AU285" s="3626"/>
      <c r="AV285" s="3626"/>
      <c r="AW285" s="3626"/>
      <c r="AX285" s="3626"/>
      <c r="AY285" s="3626"/>
      <c r="AZ285" s="3626"/>
      <c r="BA285" s="3626"/>
      <c r="BB285" s="3626"/>
      <c r="BC285" s="3626"/>
      <c r="BD285" s="3626"/>
      <c r="BE285" s="3626"/>
      <c r="BF285" s="3626"/>
      <c r="BG285" s="3626"/>
      <c r="BH285" s="3626"/>
      <c r="BI285" s="3626" t="s">
        <v>89</v>
      </c>
      <c r="BJ285" s="3626">
        <f t="shared" si="182"/>
        <v>210</v>
      </c>
      <c r="BK285" s="3626">
        <f t="shared" si="183"/>
        <v>1050</v>
      </c>
      <c r="BL285" s="3626">
        <f t="shared" si="184"/>
        <v>1050</v>
      </c>
      <c r="BM285" s="3626">
        <f t="shared" si="185"/>
        <v>840</v>
      </c>
      <c r="BN285" s="3626">
        <f t="shared" si="186"/>
        <v>1050</v>
      </c>
      <c r="BO285" s="4055">
        <f t="shared" si="187"/>
        <v>1050</v>
      </c>
      <c r="BP285" s="3627">
        <f t="shared" si="188"/>
        <v>1050</v>
      </c>
      <c r="BQ285" s="3627">
        <f t="shared" si="161"/>
        <v>6300</v>
      </c>
      <c r="BR285" s="3627">
        <f t="shared" si="162"/>
        <v>0</v>
      </c>
      <c r="BS285" s="4056"/>
      <c r="BT285" s="4057"/>
    </row>
    <row r="286" s="3566" customFormat="1" ht="50" customHeight="1" spans="1:72">
      <c r="A286" s="3635">
        <v>45793</v>
      </c>
      <c r="B286" s="3617" t="s">
        <v>6981</v>
      </c>
      <c r="C286" s="3617" t="s">
        <v>78</v>
      </c>
      <c r="D286" s="3624">
        <v>4500166699</v>
      </c>
      <c r="E286" s="959" t="s">
        <v>6990</v>
      </c>
      <c r="F286" s="3624" t="s">
        <v>6991</v>
      </c>
      <c r="G286" s="959" t="s">
        <v>6984</v>
      </c>
      <c r="H286" s="3618" t="s">
        <v>6063</v>
      </c>
      <c r="I286" s="3618">
        <v>520</v>
      </c>
      <c r="J286" s="3618">
        <v>0</v>
      </c>
      <c r="K286" s="3618">
        <v>4</v>
      </c>
      <c r="L286" s="4052">
        <f t="shared" si="177"/>
        <v>130</v>
      </c>
      <c r="M286" s="3619">
        <v>45833</v>
      </c>
      <c r="N286" s="3619">
        <v>45828</v>
      </c>
      <c r="O286" s="4085"/>
      <c r="P286" s="959" t="s">
        <v>82</v>
      </c>
      <c r="Q286" s="959"/>
      <c r="R286" s="959"/>
      <c r="S286" s="959"/>
      <c r="T286" s="4053"/>
      <c r="U286" s="3620" t="s">
        <v>6985</v>
      </c>
      <c r="V286" s="3657" t="s">
        <v>229</v>
      </c>
      <c r="W286" s="3657"/>
      <c r="X286" s="3657" t="s">
        <v>98</v>
      </c>
      <c r="Y286" s="3657"/>
      <c r="Z286" s="3661"/>
      <c r="AA286" s="3620" t="s">
        <v>6986</v>
      </c>
      <c r="AB286" s="4092" t="s">
        <v>4573</v>
      </c>
      <c r="AC286" s="3691">
        <v>2.2169</v>
      </c>
      <c r="AD286" s="3691">
        <f>AC286*I286</f>
        <v>1152.788</v>
      </c>
      <c r="AE286" s="3633"/>
      <c r="AF286" s="959" t="s">
        <v>6987</v>
      </c>
      <c r="AG286" s="3620" t="s">
        <v>416</v>
      </c>
      <c r="AH286" s="3620"/>
      <c r="AI286" s="3620"/>
      <c r="AJ286" s="3620"/>
      <c r="AK286" s="959"/>
      <c r="AL286" s="959"/>
      <c r="AM286" s="959">
        <f t="shared" si="189"/>
        <v>520</v>
      </c>
      <c r="AN286" s="959"/>
      <c r="AO286" s="959"/>
      <c r="AP286" s="3618">
        <f t="shared" si="180"/>
        <v>520</v>
      </c>
      <c r="AQ286" s="3618"/>
      <c r="AR286" s="3626"/>
      <c r="AS286" s="3626">
        <f>I286</f>
        <v>520</v>
      </c>
      <c r="AT286" s="3626"/>
      <c r="AU286" s="3626"/>
      <c r="AV286" s="3626"/>
      <c r="AW286" s="3626"/>
      <c r="AX286" s="3626"/>
      <c r="AY286" s="3626"/>
      <c r="AZ286" s="3626"/>
      <c r="BA286" s="3626"/>
      <c r="BB286" s="3626"/>
      <c r="BC286" s="3626"/>
      <c r="BD286" s="3626"/>
      <c r="BE286" s="3626"/>
      <c r="BF286" s="3626"/>
      <c r="BG286" s="3626"/>
      <c r="BH286" s="3626"/>
      <c r="BI286" s="3626" t="s">
        <v>89</v>
      </c>
      <c r="BJ286" s="3626">
        <f t="shared" si="182"/>
        <v>17.3333333333333</v>
      </c>
      <c r="BK286" s="3626">
        <f t="shared" si="183"/>
        <v>86.6666666666667</v>
      </c>
      <c r="BL286" s="3626">
        <f t="shared" si="184"/>
        <v>86.6666666666667</v>
      </c>
      <c r="BM286" s="3626">
        <f t="shared" si="185"/>
        <v>69.3333333333333</v>
      </c>
      <c r="BN286" s="3626">
        <f t="shared" si="186"/>
        <v>86.6666666666667</v>
      </c>
      <c r="BO286" s="4055">
        <f t="shared" si="187"/>
        <v>86.6666666666667</v>
      </c>
      <c r="BP286" s="3627">
        <f t="shared" si="188"/>
        <v>86.6666666666667</v>
      </c>
      <c r="BQ286" s="3627">
        <f t="shared" si="161"/>
        <v>520</v>
      </c>
      <c r="BR286" s="3627">
        <f t="shared" si="162"/>
        <v>0</v>
      </c>
      <c r="BS286" s="4056"/>
      <c r="BT286" s="4057"/>
    </row>
    <row r="287" s="3566" customFormat="1" ht="50" customHeight="1" spans="1:72">
      <c r="A287" s="3635">
        <v>45796</v>
      </c>
      <c r="B287" s="3617" t="s">
        <v>3878</v>
      </c>
      <c r="C287" s="3617" t="s">
        <v>471</v>
      </c>
      <c r="D287" s="3624">
        <v>4500166501</v>
      </c>
      <c r="E287" s="959" t="s">
        <v>3879</v>
      </c>
      <c r="F287" s="3624" t="s">
        <v>3880</v>
      </c>
      <c r="G287" s="959" t="s">
        <v>6992</v>
      </c>
      <c r="H287" s="3664" t="s">
        <v>6993</v>
      </c>
      <c r="I287" s="3618">
        <v>8100</v>
      </c>
      <c r="J287" s="3618">
        <v>0</v>
      </c>
      <c r="K287" s="3618">
        <v>3</v>
      </c>
      <c r="L287" s="4052">
        <f t="shared" si="177"/>
        <v>2700</v>
      </c>
      <c r="M287" s="3619">
        <v>45828</v>
      </c>
      <c r="N287" s="3619">
        <v>45824</v>
      </c>
      <c r="O287" s="4085"/>
      <c r="P287" s="959" t="s">
        <v>82</v>
      </c>
      <c r="Q287" s="959"/>
      <c r="R287" s="959"/>
      <c r="S287" s="959"/>
      <c r="T287" s="4053"/>
      <c r="U287" s="3645" t="s">
        <v>3759</v>
      </c>
      <c r="V287" s="3649" t="s">
        <v>229</v>
      </c>
      <c r="W287" s="3657"/>
      <c r="X287" s="3657" t="s">
        <v>6994</v>
      </c>
      <c r="Y287" s="3657"/>
      <c r="Z287" s="3661"/>
      <c r="AA287" s="3620" t="s">
        <v>6995</v>
      </c>
      <c r="AB287" s="3678" t="s">
        <v>2624</v>
      </c>
      <c r="AC287" s="3691">
        <v>12.7776</v>
      </c>
      <c r="AD287" s="3691">
        <f>AC287*L287</f>
        <v>34499.52</v>
      </c>
      <c r="AE287" s="3633"/>
      <c r="AF287" s="3664" t="s">
        <v>3885</v>
      </c>
      <c r="AG287" s="3645" t="s">
        <v>416</v>
      </c>
      <c r="AH287" s="3620"/>
      <c r="AI287" s="3620"/>
      <c r="AJ287" s="3620"/>
      <c r="AK287" s="959"/>
      <c r="AL287" s="959"/>
      <c r="AM287" s="959">
        <f t="shared" si="189"/>
        <v>8100</v>
      </c>
      <c r="AN287" s="959"/>
      <c r="AO287" s="959"/>
      <c r="AP287" s="3618">
        <f t="shared" si="180"/>
        <v>8100</v>
      </c>
      <c r="AQ287" s="3618"/>
      <c r="AR287" s="3626"/>
      <c r="AS287" s="3626"/>
      <c r="AT287" s="3626"/>
      <c r="AU287" s="3626">
        <f>I287</f>
        <v>8100</v>
      </c>
      <c r="AV287" s="3626"/>
      <c r="AW287" s="3626"/>
      <c r="AX287" s="3626"/>
      <c r="AY287" s="3626"/>
      <c r="AZ287" s="3626"/>
      <c r="BA287" s="3626"/>
      <c r="BB287" s="3626"/>
      <c r="BC287" s="3626"/>
      <c r="BD287" s="3626"/>
      <c r="BE287" s="3626"/>
      <c r="BF287" s="3626"/>
      <c r="BG287" s="3626"/>
      <c r="BH287" s="3626"/>
      <c r="BI287" s="3626" t="s">
        <v>89</v>
      </c>
      <c r="BJ287" s="3626">
        <f t="shared" si="182"/>
        <v>270</v>
      </c>
      <c r="BK287" s="3626">
        <f t="shared" si="183"/>
        <v>1350</v>
      </c>
      <c r="BL287" s="3626">
        <f t="shared" si="184"/>
        <v>1350</v>
      </c>
      <c r="BM287" s="3626">
        <f t="shared" si="185"/>
        <v>1080</v>
      </c>
      <c r="BN287" s="3626">
        <f t="shared" si="186"/>
        <v>1350</v>
      </c>
      <c r="BO287" s="4055">
        <f t="shared" si="187"/>
        <v>1350</v>
      </c>
      <c r="BP287" s="3627">
        <f t="shared" si="188"/>
        <v>1350</v>
      </c>
      <c r="BQ287" s="3627">
        <f t="shared" si="161"/>
        <v>8100</v>
      </c>
      <c r="BR287" s="3627">
        <f t="shared" si="162"/>
        <v>0</v>
      </c>
      <c r="BS287" s="4056"/>
      <c r="BT287" s="4057"/>
    </row>
    <row r="288" s="3566" customFormat="1" ht="50" customHeight="1" spans="1:72">
      <c r="A288" s="3635">
        <v>45796</v>
      </c>
      <c r="B288" s="3617" t="s">
        <v>3878</v>
      </c>
      <c r="C288" s="3617" t="s">
        <v>471</v>
      </c>
      <c r="D288" s="3624">
        <v>4500166501</v>
      </c>
      <c r="E288" s="959" t="s">
        <v>3886</v>
      </c>
      <c r="F288" s="3624" t="s">
        <v>3887</v>
      </c>
      <c r="G288" s="959" t="s">
        <v>6992</v>
      </c>
      <c r="H288" s="3664" t="s">
        <v>6993</v>
      </c>
      <c r="I288" s="3618">
        <v>150</v>
      </c>
      <c r="J288" s="3618">
        <v>0</v>
      </c>
      <c r="K288" s="3618">
        <v>3</v>
      </c>
      <c r="L288" s="4052">
        <f t="shared" si="177"/>
        <v>50</v>
      </c>
      <c r="M288" s="3619">
        <v>45828</v>
      </c>
      <c r="N288" s="3619">
        <v>45824</v>
      </c>
      <c r="O288" s="4085"/>
      <c r="P288" s="959" t="s">
        <v>82</v>
      </c>
      <c r="Q288" s="959"/>
      <c r="R288" s="959"/>
      <c r="S288" s="959"/>
      <c r="T288" s="4053"/>
      <c r="U288" s="3645" t="s">
        <v>3759</v>
      </c>
      <c r="V288" s="3649" t="s">
        <v>229</v>
      </c>
      <c r="W288" s="3657"/>
      <c r="X288" s="3657" t="s">
        <v>6994</v>
      </c>
      <c r="Y288" s="3657"/>
      <c r="Z288" s="3661"/>
      <c r="AA288" s="3620" t="s">
        <v>6995</v>
      </c>
      <c r="AB288" s="3678" t="s">
        <v>2624</v>
      </c>
      <c r="AC288" s="3691">
        <v>12.7776</v>
      </c>
      <c r="AD288" s="3691">
        <f>AC288*L288</f>
        <v>638.88</v>
      </c>
      <c r="AE288" s="3633"/>
      <c r="AF288" s="3664" t="s">
        <v>3885</v>
      </c>
      <c r="AG288" s="3645" t="s">
        <v>416</v>
      </c>
      <c r="AH288" s="3620"/>
      <c r="AI288" s="3620"/>
      <c r="AJ288" s="3620"/>
      <c r="AK288" s="959"/>
      <c r="AL288" s="959"/>
      <c r="AM288" s="959">
        <f t="shared" si="189"/>
        <v>150</v>
      </c>
      <c r="AN288" s="959"/>
      <c r="AO288" s="959"/>
      <c r="AP288" s="3618">
        <f t="shared" si="180"/>
        <v>150</v>
      </c>
      <c r="AQ288" s="3618"/>
      <c r="AR288" s="3626"/>
      <c r="AS288" s="3626"/>
      <c r="AT288" s="3626"/>
      <c r="AU288" s="3626">
        <f>I288</f>
        <v>150</v>
      </c>
      <c r="AV288" s="3626"/>
      <c r="AW288" s="3626"/>
      <c r="AX288" s="3626"/>
      <c r="AY288" s="3626"/>
      <c r="AZ288" s="3626"/>
      <c r="BA288" s="3626"/>
      <c r="BB288" s="3626"/>
      <c r="BC288" s="3626"/>
      <c r="BD288" s="3626"/>
      <c r="BE288" s="3626"/>
      <c r="BF288" s="3626"/>
      <c r="BG288" s="3626"/>
      <c r="BH288" s="3626"/>
      <c r="BI288" s="3626" t="s">
        <v>89</v>
      </c>
      <c r="BJ288" s="3626">
        <f t="shared" si="182"/>
        <v>5</v>
      </c>
      <c r="BK288" s="3626">
        <f t="shared" si="183"/>
        <v>25</v>
      </c>
      <c r="BL288" s="3626">
        <f t="shared" si="184"/>
        <v>25</v>
      </c>
      <c r="BM288" s="3626">
        <f t="shared" si="185"/>
        <v>20</v>
      </c>
      <c r="BN288" s="3626">
        <f t="shared" si="186"/>
        <v>25</v>
      </c>
      <c r="BO288" s="4055">
        <f t="shared" si="187"/>
        <v>25</v>
      </c>
      <c r="BP288" s="3627">
        <f t="shared" si="188"/>
        <v>25</v>
      </c>
      <c r="BQ288" s="3627">
        <f t="shared" si="161"/>
        <v>150</v>
      </c>
      <c r="BR288" s="3627">
        <f t="shared" si="162"/>
        <v>0</v>
      </c>
      <c r="BS288" s="4056"/>
      <c r="BT288" s="4057"/>
    </row>
    <row r="289" s="3566" customFormat="1" ht="50" customHeight="1" spans="1:72">
      <c r="A289" s="3635">
        <v>45796</v>
      </c>
      <c r="B289" s="3617" t="s">
        <v>3878</v>
      </c>
      <c r="C289" s="3617" t="s">
        <v>471</v>
      </c>
      <c r="D289" s="3624">
        <v>4500166501</v>
      </c>
      <c r="E289" s="959" t="s">
        <v>6996</v>
      </c>
      <c r="F289" s="3624" t="s">
        <v>3888</v>
      </c>
      <c r="G289" s="959" t="s">
        <v>6992</v>
      </c>
      <c r="H289" s="3664" t="s">
        <v>6993</v>
      </c>
      <c r="I289" s="3618">
        <v>3915</v>
      </c>
      <c r="J289" s="3618">
        <v>0</v>
      </c>
      <c r="K289" s="3618">
        <v>3</v>
      </c>
      <c r="L289" s="4052">
        <f t="shared" si="177"/>
        <v>1305</v>
      </c>
      <c r="M289" s="3619">
        <v>45828</v>
      </c>
      <c r="N289" s="3619">
        <v>45824</v>
      </c>
      <c r="O289" s="4085"/>
      <c r="P289" s="959" t="s">
        <v>82</v>
      </c>
      <c r="Q289" s="959"/>
      <c r="R289" s="959"/>
      <c r="S289" s="959"/>
      <c r="T289" s="4053"/>
      <c r="U289" s="3645" t="s">
        <v>3759</v>
      </c>
      <c r="V289" s="3649" t="s">
        <v>229</v>
      </c>
      <c r="W289" s="3657"/>
      <c r="X289" s="3657" t="s">
        <v>6994</v>
      </c>
      <c r="Y289" s="3657"/>
      <c r="Z289" s="3661"/>
      <c r="AA289" s="3620" t="s">
        <v>6995</v>
      </c>
      <c r="AB289" s="3678" t="s">
        <v>2624</v>
      </c>
      <c r="AC289" s="3691">
        <v>12.9004</v>
      </c>
      <c r="AD289" s="3691">
        <f>AC289*L289</f>
        <v>16835.022</v>
      </c>
      <c r="AE289" s="3633"/>
      <c r="AF289" s="3664" t="s">
        <v>3885</v>
      </c>
      <c r="AG289" s="3645" t="s">
        <v>416</v>
      </c>
      <c r="AH289" s="3620"/>
      <c r="AI289" s="3620"/>
      <c r="AJ289" s="3620"/>
      <c r="AK289" s="959"/>
      <c r="AL289" s="959"/>
      <c r="AM289" s="959">
        <f t="shared" si="189"/>
        <v>3915</v>
      </c>
      <c r="AN289" s="959"/>
      <c r="AO289" s="959"/>
      <c r="AP289" s="3618">
        <f t="shared" si="180"/>
        <v>3915</v>
      </c>
      <c r="AQ289" s="3618"/>
      <c r="AR289" s="3626"/>
      <c r="AS289" s="3626"/>
      <c r="AT289" s="3626"/>
      <c r="AU289" s="3626">
        <f>I289</f>
        <v>3915</v>
      </c>
      <c r="AV289" s="3626"/>
      <c r="AW289" s="3626"/>
      <c r="AX289" s="3626"/>
      <c r="AY289" s="3626"/>
      <c r="AZ289" s="3626"/>
      <c r="BA289" s="3626"/>
      <c r="BB289" s="3626"/>
      <c r="BC289" s="3626"/>
      <c r="BD289" s="3626"/>
      <c r="BE289" s="3626"/>
      <c r="BF289" s="3626"/>
      <c r="BG289" s="3626"/>
      <c r="BH289" s="3626"/>
      <c r="BI289" s="3626" t="s">
        <v>89</v>
      </c>
      <c r="BJ289" s="3626">
        <f t="shared" si="182"/>
        <v>130.5</v>
      </c>
      <c r="BK289" s="3626">
        <f t="shared" si="183"/>
        <v>652.5</v>
      </c>
      <c r="BL289" s="3626">
        <f t="shared" si="184"/>
        <v>652.5</v>
      </c>
      <c r="BM289" s="3626">
        <f t="shared" si="185"/>
        <v>522</v>
      </c>
      <c r="BN289" s="3626">
        <f t="shared" si="186"/>
        <v>652.5</v>
      </c>
      <c r="BO289" s="4055">
        <f t="shared" si="187"/>
        <v>652.5</v>
      </c>
      <c r="BP289" s="3627">
        <f t="shared" si="188"/>
        <v>652.5</v>
      </c>
      <c r="BQ289" s="3627">
        <f t="shared" si="161"/>
        <v>3915</v>
      </c>
      <c r="BR289" s="3627">
        <f t="shared" si="162"/>
        <v>0</v>
      </c>
      <c r="BS289" s="4056"/>
      <c r="BT289" s="4057"/>
    </row>
    <row r="290" s="3566" customFormat="1" ht="50" customHeight="1" spans="1:72">
      <c r="A290" s="3635">
        <v>45796</v>
      </c>
      <c r="B290" s="3617" t="s">
        <v>3878</v>
      </c>
      <c r="C290" s="3617" t="s">
        <v>471</v>
      </c>
      <c r="D290" s="3624">
        <v>4500166501</v>
      </c>
      <c r="E290" s="959" t="s">
        <v>3889</v>
      </c>
      <c r="F290" s="3624" t="s">
        <v>3890</v>
      </c>
      <c r="G290" s="959" t="s">
        <v>6992</v>
      </c>
      <c r="H290" s="3664" t="s">
        <v>6993</v>
      </c>
      <c r="I290" s="3618">
        <v>1485</v>
      </c>
      <c r="J290" s="3618">
        <v>0</v>
      </c>
      <c r="K290" s="3618">
        <v>3</v>
      </c>
      <c r="L290" s="4052">
        <f t="shared" si="177"/>
        <v>495</v>
      </c>
      <c r="M290" s="3619">
        <v>45828</v>
      </c>
      <c r="N290" s="3619">
        <v>45824</v>
      </c>
      <c r="O290" s="4085"/>
      <c r="P290" s="959" t="s">
        <v>82</v>
      </c>
      <c r="Q290" s="959"/>
      <c r="R290" s="959"/>
      <c r="S290" s="959"/>
      <c r="T290" s="4053"/>
      <c r="U290" s="3645" t="s">
        <v>3759</v>
      </c>
      <c r="V290" s="3649" t="s">
        <v>229</v>
      </c>
      <c r="W290" s="3657"/>
      <c r="X290" s="3657" t="s">
        <v>6994</v>
      </c>
      <c r="Y290" s="3657"/>
      <c r="Z290" s="3661"/>
      <c r="AA290" s="3620" t="s">
        <v>6995</v>
      </c>
      <c r="AB290" s="3678" t="s">
        <v>2624</v>
      </c>
      <c r="AC290" s="3691">
        <v>13.4765</v>
      </c>
      <c r="AD290" s="3691">
        <f>AC290*L290</f>
        <v>6670.8675</v>
      </c>
      <c r="AE290" s="3633"/>
      <c r="AF290" s="3664" t="s">
        <v>3885</v>
      </c>
      <c r="AG290" s="3645" t="s">
        <v>416</v>
      </c>
      <c r="AH290" s="3620"/>
      <c r="AI290" s="3620"/>
      <c r="AJ290" s="3620"/>
      <c r="AK290" s="959"/>
      <c r="AL290" s="959"/>
      <c r="AM290" s="959">
        <f t="shared" si="189"/>
        <v>1485</v>
      </c>
      <c r="AN290" s="959"/>
      <c r="AO290" s="959"/>
      <c r="AP290" s="3618">
        <f t="shared" si="180"/>
        <v>1485</v>
      </c>
      <c r="AQ290" s="3618"/>
      <c r="AR290" s="3626"/>
      <c r="AS290" s="3626"/>
      <c r="AT290" s="3626"/>
      <c r="AU290" s="3626">
        <f>I290</f>
        <v>1485</v>
      </c>
      <c r="AV290" s="3626"/>
      <c r="AW290" s="3626"/>
      <c r="AX290" s="3626"/>
      <c r="AY290" s="3626"/>
      <c r="AZ290" s="3626"/>
      <c r="BA290" s="3626"/>
      <c r="BB290" s="3626"/>
      <c r="BC290" s="3626"/>
      <c r="BD290" s="3626"/>
      <c r="BE290" s="3626"/>
      <c r="BF290" s="3626"/>
      <c r="BG290" s="3626"/>
      <c r="BH290" s="3626"/>
      <c r="BI290" s="3626" t="s">
        <v>89</v>
      </c>
      <c r="BJ290" s="3626">
        <f t="shared" si="182"/>
        <v>49.5</v>
      </c>
      <c r="BK290" s="3626">
        <f t="shared" si="183"/>
        <v>247.5</v>
      </c>
      <c r="BL290" s="3626">
        <f t="shared" si="184"/>
        <v>247.5</v>
      </c>
      <c r="BM290" s="3626">
        <f t="shared" si="185"/>
        <v>198</v>
      </c>
      <c r="BN290" s="3626">
        <f t="shared" si="186"/>
        <v>247.5</v>
      </c>
      <c r="BO290" s="4055">
        <f t="shared" si="187"/>
        <v>247.5</v>
      </c>
      <c r="BP290" s="3627">
        <f t="shared" si="188"/>
        <v>247.5</v>
      </c>
      <c r="BQ290" s="3627">
        <f t="shared" si="161"/>
        <v>1485</v>
      </c>
      <c r="BR290" s="3627">
        <f t="shared" si="162"/>
        <v>0</v>
      </c>
      <c r="BS290" s="4056"/>
      <c r="BT290" s="4057"/>
    </row>
    <row r="291" s="3566" customFormat="1" ht="50" customHeight="1" spans="1:72">
      <c r="A291" s="3635">
        <v>45750</v>
      </c>
      <c r="B291" s="3617" t="s">
        <v>3771</v>
      </c>
      <c r="C291" s="3664" t="s">
        <v>3772</v>
      </c>
      <c r="D291" s="3624">
        <v>4500162560</v>
      </c>
      <c r="E291" s="959" t="s">
        <v>3773</v>
      </c>
      <c r="F291" s="3617" t="s">
        <v>3774</v>
      </c>
      <c r="G291" s="959" t="s">
        <v>3356</v>
      </c>
      <c r="H291" s="3618" t="s">
        <v>3517</v>
      </c>
      <c r="I291" s="3618">
        <v>10020</v>
      </c>
      <c r="J291" s="3618">
        <v>0</v>
      </c>
      <c r="K291" s="3618">
        <v>12</v>
      </c>
      <c r="L291" s="4052">
        <f t="shared" si="177"/>
        <v>835</v>
      </c>
      <c r="M291" s="3619">
        <v>45817</v>
      </c>
      <c r="N291" s="3659">
        <v>45828</v>
      </c>
      <c r="O291" s="3657" t="s">
        <v>3776</v>
      </c>
      <c r="P291" s="3657" t="s">
        <v>82</v>
      </c>
      <c r="Q291" s="3657"/>
      <c r="R291" s="3657"/>
      <c r="S291" s="3657"/>
      <c r="T291" s="4093"/>
      <c r="U291" s="3645" t="s">
        <v>6997</v>
      </c>
      <c r="V291" s="3657" t="s">
        <v>3777</v>
      </c>
      <c r="W291" s="3657"/>
      <c r="X291" s="3657" t="s">
        <v>98</v>
      </c>
      <c r="Y291" s="3657"/>
      <c r="Z291" s="3657" t="s">
        <v>3779</v>
      </c>
      <c r="AA291" s="3620" t="s">
        <v>6998</v>
      </c>
      <c r="AB291" s="3624" t="s">
        <v>559</v>
      </c>
      <c r="AC291" s="3618">
        <v>4.8085</v>
      </c>
      <c r="AD291" s="3618">
        <f>AC291*I291</f>
        <v>48181.17</v>
      </c>
      <c r="AE291" s="3633"/>
      <c r="AF291" s="959" t="s">
        <v>6999</v>
      </c>
      <c r="AG291" s="3620" t="s">
        <v>416</v>
      </c>
      <c r="AH291" s="3620"/>
      <c r="AI291" s="3620"/>
      <c r="AJ291" s="3620"/>
      <c r="AK291" s="959"/>
      <c r="AL291" s="959"/>
      <c r="AM291" s="959"/>
      <c r="AN291" s="959"/>
      <c r="AO291" s="959">
        <f>I291</f>
        <v>10020</v>
      </c>
      <c r="AP291" s="3618"/>
      <c r="AQ291" s="3618"/>
      <c r="AR291" s="3626">
        <f>I291</f>
        <v>10020</v>
      </c>
      <c r="AS291" s="3626">
        <f>I291</f>
        <v>10020</v>
      </c>
      <c r="AT291" s="3626"/>
      <c r="AU291" s="3626"/>
      <c r="AV291" s="3626"/>
      <c r="AW291" s="3626"/>
      <c r="AX291" s="3626"/>
      <c r="AY291" s="3626"/>
      <c r="AZ291" s="3626"/>
      <c r="BA291" s="3626"/>
      <c r="BB291" s="3626"/>
      <c r="BC291" s="3626"/>
      <c r="BD291" s="3626"/>
      <c r="BE291" s="3626"/>
      <c r="BF291" s="3626"/>
      <c r="BG291" s="3626"/>
      <c r="BH291" s="3626"/>
      <c r="BI291" s="3626" t="s">
        <v>89</v>
      </c>
      <c r="BJ291" s="3626">
        <f t="shared" si="182"/>
        <v>334</v>
      </c>
      <c r="BK291" s="3626">
        <f t="shared" si="183"/>
        <v>1670</v>
      </c>
      <c r="BL291" s="3626">
        <f t="shared" si="184"/>
        <v>1670</v>
      </c>
      <c r="BM291" s="3626">
        <f t="shared" si="185"/>
        <v>1336</v>
      </c>
      <c r="BN291" s="3626">
        <f t="shared" si="186"/>
        <v>1670</v>
      </c>
      <c r="BO291" s="4055">
        <f t="shared" si="187"/>
        <v>1670</v>
      </c>
      <c r="BP291" s="3627">
        <f t="shared" si="188"/>
        <v>1670</v>
      </c>
      <c r="BQ291" s="3627">
        <f t="shared" si="161"/>
        <v>10020</v>
      </c>
      <c r="BR291" s="3627">
        <f t="shared" si="162"/>
        <v>0</v>
      </c>
      <c r="BS291" s="4056"/>
      <c r="BT291" s="4057"/>
    </row>
    <row r="292" s="3566" customFormat="1" ht="50" customHeight="1" spans="1:72">
      <c r="A292" s="3635">
        <v>45786</v>
      </c>
      <c r="B292" s="3617" t="s">
        <v>3799</v>
      </c>
      <c r="C292" s="3617" t="s">
        <v>738</v>
      </c>
      <c r="D292" s="3624">
        <v>4500165792</v>
      </c>
      <c r="E292" s="959"/>
      <c r="F292" s="3617" t="s">
        <v>7000</v>
      </c>
      <c r="G292" s="959" t="s">
        <v>6124</v>
      </c>
      <c r="H292" s="3618" t="s">
        <v>6063</v>
      </c>
      <c r="I292" s="3618">
        <v>1404</v>
      </c>
      <c r="J292" s="3618">
        <v>0</v>
      </c>
      <c r="K292" s="3618">
        <v>12</v>
      </c>
      <c r="L292" s="4052">
        <f t="shared" si="177"/>
        <v>117</v>
      </c>
      <c r="M292" s="3659">
        <v>45818</v>
      </c>
      <c r="N292" s="3659">
        <v>45832</v>
      </c>
      <c r="O292" s="959"/>
      <c r="P292" s="3691" t="s">
        <v>82</v>
      </c>
      <c r="Q292" s="3691"/>
      <c r="R292" s="3691"/>
      <c r="S292" s="3691"/>
      <c r="T292" s="4094"/>
      <c r="U292" s="3645" t="s">
        <v>3801</v>
      </c>
      <c r="V292" s="3649" t="s">
        <v>3802</v>
      </c>
      <c r="W292" s="3657"/>
      <c r="X292" s="3657" t="s">
        <v>7001</v>
      </c>
      <c r="Y292" s="3640"/>
      <c r="Z292" s="3623"/>
      <c r="AA292" s="3620" t="s">
        <v>7002</v>
      </c>
      <c r="AB292" s="3624" t="s">
        <v>3805</v>
      </c>
      <c r="AC292" s="4058">
        <v>2.2547</v>
      </c>
      <c r="AD292" s="3618">
        <f>AC292*I292</f>
        <v>3165.5988</v>
      </c>
      <c r="AE292" s="3633"/>
      <c r="AF292" s="959" t="s">
        <v>6126</v>
      </c>
      <c r="AG292" s="3620" t="s">
        <v>416</v>
      </c>
      <c r="AH292" s="3620"/>
      <c r="AI292" s="3620"/>
      <c r="AJ292" s="3620"/>
      <c r="AK292" s="959"/>
      <c r="AL292" s="959"/>
      <c r="AM292" s="959">
        <f>I292</f>
        <v>1404</v>
      </c>
      <c r="AN292" s="959"/>
      <c r="AO292" s="3618"/>
      <c r="AP292" s="3618">
        <f>I292</f>
        <v>1404</v>
      </c>
      <c r="AQ292" s="3618"/>
      <c r="AR292" s="3626"/>
      <c r="AS292" s="3626">
        <f>I292</f>
        <v>1404</v>
      </c>
      <c r="AT292" s="3626"/>
      <c r="AU292" s="3626"/>
      <c r="AV292" s="3626"/>
      <c r="AW292" s="3626">
        <f>I292/6</f>
        <v>234</v>
      </c>
      <c r="AX292" s="3626"/>
      <c r="AY292" s="3626"/>
      <c r="AZ292" s="3626"/>
      <c r="BA292" s="3626"/>
      <c r="BB292" s="3626"/>
      <c r="BC292" s="3626"/>
      <c r="BD292" s="3626"/>
      <c r="BE292" s="3626"/>
      <c r="BF292" s="3626"/>
      <c r="BG292" s="3626"/>
      <c r="BH292" s="3626"/>
      <c r="BI292" s="3626" t="s">
        <v>89</v>
      </c>
      <c r="BJ292" s="3626">
        <f t="shared" si="182"/>
        <v>46.8</v>
      </c>
      <c r="BK292" s="3626">
        <f t="shared" si="183"/>
        <v>234</v>
      </c>
      <c r="BL292" s="3626">
        <f t="shared" si="184"/>
        <v>234</v>
      </c>
      <c r="BM292" s="3626">
        <f t="shared" si="185"/>
        <v>187.2</v>
      </c>
      <c r="BN292" s="3626">
        <f t="shared" si="186"/>
        <v>234</v>
      </c>
      <c r="BO292" s="4055">
        <f t="shared" si="187"/>
        <v>234</v>
      </c>
      <c r="BP292" s="3627">
        <f t="shared" si="188"/>
        <v>234</v>
      </c>
      <c r="BQ292" s="3627">
        <f t="shared" si="161"/>
        <v>1404</v>
      </c>
      <c r="BR292" s="3627">
        <f t="shared" si="162"/>
        <v>0</v>
      </c>
      <c r="BS292" s="4056"/>
      <c r="BT292" s="4057"/>
    </row>
    <row r="293" s="3566" customFormat="1" ht="50" customHeight="1" spans="1:72">
      <c r="A293" s="3635">
        <v>45791</v>
      </c>
      <c r="B293" s="3617" t="s">
        <v>7003</v>
      </c>
      <c r="C293" s="3617" t="s">
        <v>341</v>
      </c>
      <c r="D293" s="3624">
        <v>4500166446</v>
      </c>
      <c r="E293" s="959" t="s">
        <v>7004</v>
      </c>
      <c r="F293" s="3617" t="s">
        <v>7005</v>
      </c>
      <c r="G293" s="959" t="s">
        <v>6165</v>
      </c>
      <c r="H293" s="3618" t="s">
        <v>6166</v>
      </c>
      <c r="I293" s="3618">
        <v>512</v>
      </c>
      <c r="J293" s="3618">
        <v>1</v>
      </c>
      <c r="K293" s="3618">
        <v>32</v>
      </c>
      <c r="L293" s="4052">
        <f t="shared" si="177"/>
        <v>16</v>
      </c>
      <c r="M293" s="3619">
        <v>45834</v>
      </c>
      <c r="N293" s="3619">
        <v>45831</v>
      </c>
      <c r="O293" s="4085"/>
      <c r="P293" s="3691" t="s">
        <v>82</v>
      </c>
      <c r="Q293" s="3691"/>
      <c r="R293" s="3691"/>
      <c r="S293" s="3691"/>
      <c r="T293" s="4094"/>
      <c r="U293" s="3620" t="s">
        <v>7006</v>
      </c>
      <c r="V293" s="3657" t="s">
        <v>98</v>
      </c>
      <c r="W293" s="3657"/>
      <c r="X293" s="3657" t="s">
        <v>7007</v>
      </c>
      <c r="Y293" s="3657"/>
      <c r="Z293" s="3661"/>
      <c r="AA293" s="3620" t="s">
        <v>7008</v>
      </c>
      <c r="AB293" s="3624" t="s">
        <v>7009</v>
      </c>
      <c r="AC293" s="4058">
        <v>2.3158</v>
      </c>
      <c r="AD293" s="3618">
        <f>AC293*I293</f>
        <v>1185.6896</v>
      </c>
      <c r="AE293" s="3633" t="s">
        <v>7010</v>
      </c>
      <c r="AF293" s="959" t="s">
        <v>6601</v>
      </c>
      <c r="AG293" s="3620" t="s">
        <v>416</v>
      </c>
      <c r="AH293" s="3620"/>
      <c r="AI293" s="3620"/>
      <c r="AJ293" s="3620"/>
      <c r="AK293" s="959"/>
      <c r="AL293" s="959"/>
      <c r="AM293" s="959">
        <f>I293</f>
        <v>512</v>
      </c>
      <c r="AN293" s="959"/>
      <c r="AO293" s="959"/>
      <c r="AP293" s="3618">
        <f>I293</f>
        <v>512</v>
      </c>
      <c r="AQ293" s="3618"/>
      <c r="AR293" s="3626"/>
      <c r="AS293" s="3626">
        <f>I293</f>
        <v>512</v>
      </c>
      <c r="AT293" s="3626"/>
      <c r="AU293" s="3626"/>
      <c r="AV293" s="3626"/>
      <c r="AW293" s="3626"/>
      <c r="AX293" s="3626"/>
      <c r="AY293" s="3626"/>
      <c r="AZ293" s="3626"/>
      <c r="BA293" s="3626"/>
      <c r="BB293" s="3626"/>
      <c r="BC293" s="3626"/>
      <c r="BD293" s="3626"/>
      <c r="BE293" s="3626"/>
      <c r="BF293" s="3626"/>
      <c r="BG293" s="3626"/>
      <c r="BH293" s="3626"/>
      <c r="BI293" s="3626" t="s">
        <v>89</v>
      </c>
      <c r="BJ293" s="3626"/>
      <c r="BK293" s="3626"/>
      <c r="BL293" s="3626"/>
      <c r="BM293" s="3626"/>
      <c r="BN293" s="3626"/>
      <c r="BO293" s="4055"/>
      <c r="BP293" s="3627">
        <f>I293-BJ293</f>
        <v>512</v>
      </c>
      <c r="BQ293" s="3627">
        <f t="shared" si="161"/>
        <v>512</v>
      </c>
      <c r="BR293" s="3627">
        <f t="shared" si="162"/>
        <v>0</v>
      </c>
      <c r="BS293" s="4056"/>
      <c r="BT293" s="4057"/>
    </row>
    <row r="294" s="3566" customFormat="1" ht="50" customHeight="1" spans="1:72">
      <c r="A294" s="3635">
        <v>45798</v>
      </c>
      <c r="B294" s="3617" t="s">
        <v>1016</v>
      </c>
      <c r="C294" s="3617" t="s">
        <v>396</v>
      </c>
      <c r="D294" s="3624">
        <v>4500167361</v>
      </c>
      <c r="E294" s="3618" t="s">
        <v>7011</v>
      </c>
      <c r="F294" s="3617" t="s">
        <v>7012</v>
      </c>
      <c r="G294" s="959" t="s">
        <v>6104</v>
      </c>
      <c r="H294" s="3618" t="s">
        <v>6105</v>
      </c>
      <c r="I294" s="3618">
        <v>32</v>
      </c>
      <c r="J294" s="3618">
        <v>0</v>
      </c>
      <c r="K294" s="3618">
        <v>32</v>
      </c>
      <c r="L294" s="4052">
        <f t="shared" si="177"/>
        <v>1</v>
      </c>
      <c r="M294" s="3619">
        <v>45834</v>
      </c>
      <c r="N294" s="3619">
        <v>45831</v>
      </c>
      <c r="O294" s="4085"/>
      <c r="P294" s="959" t="s">
        <v>82</v>
      </c>
      <c r="Q294" s="959"/>
      <c r="R294" s="959"/>
      <c r="S294" s="959"/>
      <c r="T294" s="4053"/>
      <c r="U294" s="3620" t="s">
        <v>3947</v>
      </c>
      <c r="V294" s="3649" t="s">
        <v>1349</v>
      </c>
      <c r="W294" s="3657"/>
      <c r="X294" s="3657" t="s">
        <v>98</v>
      </c>
      <c r="Y294" s="3657"/>
      <c r="Z294" s="3661"/>
      <c r="AA294" s="3620" t="s">
        <v>7013</v>
      </c>
      <c r="AB294" s="3624" t="s">
        <v>369</v>
      </c>
      <c r="AC294" s="3618">
        <v>2.2482</v>
      </c>
      <c r="AD294" s="3618">
        <f t="shared" ref="AD294:AD344" si="190">AC294*I294</f>
        <v>71.9424</v>
      </c>
      <c r="AE294" s="3633"/>
      <c r="AF294" s="959" t="s">
        <v>6106</v>
      </c>
      <c r="AG294" s="3620" t="s">
        <v>416</v>
      </c>
      <c r="AH294" s="3620"/>
      <c r="AI294" s="3620"/>
      <c r="AJ294" s="3620"/>
      <c r="AK294" s="959"/>
      <c r="AL294" s="959"/>
      <c r="AM294" s="959">
        <f>I294</f>
        <v>32</v>
      </c>
      <c r="AN294" s="959"/>
      <c r="AO294" s="959"/>
      <c r="AP294" s="3618">
        <f>I294</f>
        <v>32</v>
      </c>
      <c r="AQ294" s="3618"/>
      <c r="AR294" s="3626"/>
      <c r="AS294" s="3626"/>
      <c r="AT294" s="3626"/>
      <c r="AU294" s="3626">
        <f>I294</f>
        <v>32</v>
      </c>
      <c r="AV294" s="3626"/>
      <c r="AW294" s="3626"/>
      <c r="AX294" s="3626"/>
      <c r="AY294" s="3626"/>
      <c r="AZ294" s="3626"/>
      <c r="BA294" s="3626"/>
      <c r="BB294" s="3626"/>
      <c r="BC294" s="3626"/>
      <c r="BD294" s="3626"/>
      <c r="BE294" s="3626"/>
      <c r="BF294" s="3626"/>
      <c r="BG294" s="3626"/>
      <c r="BH294" s="3626"/>
      <c r="BI294" s="3626" t="s">
        <v>89</v>
      </c>
      <c r="BJ294" s="3626"/>
      <c r="BK294" s="3626">
        <f>I294</f>
        <v>32</v>
      </c>
      <c r="BL294" s="3626"/>
      <c r="BM294" s="3626"/>
      <c r="BN294" s="3626"/>
      <c r="BO294" s="4055"/>
      <c r="BP294" s="3627"/>
      <c r="BQ294" s="3627">
        <f t="shared" ref="BQ294:BQ301" si="191">SUM(BJ294:BP294)</f>
        <v>32</v>
      </c>
      <c r="BR294" s="3627">
        <f t="shared" ref="BR294:BR301" si="192">I294-BQ294</f>
        <v>0</v>
      </c>
      <c r="BS294" s="4056"/>
      <c r="BT294" s="4057"/>
    </row>
    <row r="295" s="3566" customFormat="1" ht="50" customHeight="1" spans="1:72">
      <c r="A295" s="3635">
        <v>45798</v>
      </c>
      <c r="B295" s="3617" t="s">
        <v>1016</v>
      </c>
      <c r="C295" s="3617" t="s">
        <v>396</v>
      </c>
      <c r="D295" s="3624">
        <v>4500167361</v>
      </c>
      <c r="E295" s="3618" t="s">
        <v>7014</v>
      </c>
      <c r="F295" s="3617" t="s">
        <v>7015</v>
      </c>
      <c r="G295" s="959" t="s">
        <v>6104</v>
      </c>
      <c r="H295" s="3618" t="s">
        <v>6105</v>
      </c>
      <c r="I295" s="3618">
        <v>32</v>
      </c>
      <c r="J295" s="3618">
        <v>0</v>
      </c>
      <c r="K295" s="3618">
        <v>32</v>
      </c>
      <c r="L295" s="4052">
        <f t="shared" si="177"/>
        <v>1</v>
      </c>
      <c r="M295" s="3619">
        <v>45834</v>
      </c>
      <c r="N295" s="3619">
        <v>45831</v>
      </c>
      <c r="O295" s="4085"/>
      <c r="P295" s="959" t="s">
        <v>82</v>
      </c>
      <c r="Q295" s="959"/>
      <c r="R295" s="959"/>
      <c r="S295" s="959"/>
      <c r="T295" s="4053"/>
      <c r="U295" s="3620" t="s">
        <v>3947</v>
      </c>
      <c r="V295" s="3649" t="s">
        <v>1349</v>
      </c>
      <c r="W295" s="3657"/>
      <c r="X295" s="3657" t="s">
        <v>98</v>
      </c>
      <c r="Y295" s="3657"/>
      <c r="Z295" s="3661"/>
      <c r="AA295" s="3620" t="s">
        <v>7013</v>
      </c>
      <c r="AB295" s="3624" t="s">
        <v>369</v>
      </c>
      <c r="AC295" s="3618">
        <v>2.2482</v>
      </c>
      <c r="AD295" s="3618">
        <f t="shared" si="190"/>
        <v>71.9424</v>
      </c>
      <c r="AE295" s="3633"/>
      <c r="AF295" s="959" t="s">
        <v>6106</v>
      </c>
      <c r="AG295" s="3620" t="s">
        <v>416</v>
      </c>
      <c r="AH295" s="3620"/>
      <c r="AI295" s="3620"/>
      <c r="AJ295" s="3620"/>
      <c r="AK295" s="959"/>
      <c r="AL295" s="959"/>
      <c r="AM295" s="959">
        <f t="shared" ref="AM295:AM306" si="193">I295</f>
        <v>32</v>
      </c>
      <c r="AN295" s="959"/>
      <c r="AO295" s="959"/>
      <c r="AP295" s="3618">
        <f t="shared" ref="AP295:AP358" si="194">I295</f>
        <v>32</v>
      </c>
      <c r="AQ295" s="3618"/>
      <c r="AR295" s="3626"/>
      <c r="AS295" s="3626"/>
      <c r="AT295" s="3626"/>
      <c r="AU295" s="3626">
        <f t="shared" ref="AU295:AU305" si="195">I295</f>
        <v>32</v>
      </c>
      <c r="AV295" s="3626"/>
      <c r="AW295" s="3626"/>
      <c r="AX295" s="3626"/>
      <c r="AY295" s="3626"/>
      <c r="AZ295" s="3626"/>
      <c r="BA295" s="3626"/>
      <c r="BB295" s="3626"/>
      <c r="BC295" s="3626"/>
      <c r="BD295" s="3626"/>
      <c r="BE295" s="3626"/>
      <c r="BF295" s="3626"/>
      <c r="BG295" s="3626"/>
      <c r="BH295" s="3626"/>
      <c r="BI295" s="3626" t="s">
        <v>89</v>
      </c>
      <c r="BJ295" s="3626"/>
      <c r="BK295" s="3626">
        <f t="shared" ref="BK295:BK301" si="196">I295</f>
        <v>32</v>
      </c>
      <c r="BL295" s="3626"/>
      <c r="BM295" s="3626"/>
      <c r="BN295" s="3626"/>
      <c r="BO295" s="4055"/>
      <c r="BP295" s="3627"/>
      <c r="BQ295" s="3627">
        <f t="shared" si="191"/>
        <v>32</v>
      </c>
      <c r="BR295" s="3627">
        <f t="shared" si="192"/>
        <v>0</v>
      </c>
      <c r="BS295" s="4056"/>
      <c r="BT295" s="4057"/>
    </row>
    <row r="296" s="3566" customFormat="1" ht="50" customHeight="1" spans="1:72">
      <c r="A296" s="3635">
        <v>45798</v>
      </c>
      <c r="B296" s="3617" t="s">
        <v>1016</v>
      </c>
      <c r="C296" s="3617" t="s">
        <v>396</v>
      </c>
      <c r="D296" s="3624">
        <v>4500167361</v>
      </c>
      <c r="E296" s="3618" t="s">
        <v>7016</v>
      </c>
      <c r="F296" s="3617" t="s">
        <v>7017</v>
      </c>
      <c r="G296" s="959" t="s">
        <v>6104</v>
      </c>
      <c r="H296" s="3618" t="s">
        <v>6105</v>
      </c>
      <c r="I296" s="3618">
        <v>128</v>
      </c>
      <c r="J296" s="3618">
        <v>0</v>
      </c>
      <c r="K296" s="3618">
        <v>32</v>
      </c>
      <c r="L296" s="4052">
        <f t="shared" si="177"/>
        <v>4</v>
      </c>
      <c r="M296" s="3619">
        <v>45834</v>
      </c>
      <c r="N296" s="3619">
        <v>45831</v>
      </c>
      <c r="O296" s="4085"/>
      <c r="P296" s="959" t="s">
        <v>82</v>
      </c>
      <c r="Q296" s="959"/>
      <c r="R296" s="959"/>
      <c r="S296" s="959"/>
      <c r="T296" s="4053"/>
      <c r="U296" s="3620" t="s">
        <v>3947</v>
      </c>
      <c r="V296" s="3649" t="s">
        <v>1349</v>
      </c>
      <c r="W296" s="3657"/>
      <c r="X296" s="3657" t="s">
        <v>98</v>
      </c>
      <c r="Y296" s="3657"/>
      <c r="Z296" s="3661"/>
      <c r="AA296" s="3620" t="s">
        <v>7013</v>
      </c>
      <c r="AB296" s="3624" t="s">
        <v>369</v>
      </c>
      <c r="AC296" s="3618">
        <v>2.2482</v>
      </c>
      <c r="AD296" s="3618">
        <f t="shared" si="190"/>
        <v>287.7696</v>
      </c>
      <c r="AE296" s="3633"/>
      <c r="AF296" s="959" t="s">
        <v>6106</v>
      </c>
      <c r="AG296" s="3620" t="s">
        <v>416</v>
      </c>
      <c r="AH296" s="3620"/>
      <c r="AI296" s="3620"/>
      <c r="AJ296" s="3620"/>
      <c r="AK296" s="959"/>
      <c r="AL296" s="959"/>
      <c r="AM296" s="959">
        <f t="shared" si="193"/>
        <v>128</v>
      </c>
      <c r="AN296" s="959"/>
      <c r="AO296" s="959"/>
      <c r="AP296" s="3618">
        <f t="shared" si="194"/>
        <v>128</v>
      </c>
      <c r="AQ296" s="3618"/>
      <c r="AR296" s="3626"/>
      <c r="AS296" s="3626"/>
      <c r="AT296" s="3626"/>
      <c r="AU296" s="3626">
        <f t="shared" si="195"/>
        <v>128</v>
      </c>
      <c r="AV296" s="3626"/>
      <c r="AW296" s="3626"/>
      <c r="AX296" s="3626"/>
      <c r="AY296" s="3626"/>
      <c r="AZ296" s="3626"/>
      <c r="BA296" s="3626"/>
      <c r="BB296" s="3626"/>
      <c r="BC296" s="3626"/>
      <c r="BD296" s="3626"/>
      <c r="BE296" s="3626"/>
      <c r="BF296" s="3626"/>
      <c r="BG296" s="3626"/>
      <c r="BH296" s="3626"/>
      <c r="BI296" s="3626" t="s">
        <v>89</v>
      </c>
      <c r="BJ296" s="3626"/>
      <c r="BK296" s="3626">
        <f t="shared" si="196"/>
        <v>128</v>
      </c>
      <c r="BL296" s="3626"/>
      <c r="BM296" s="3626"/>
      <c r="BN296" s="3626"/>
      <c r="BO296" s="4055"/>
      <c r="BP296" s="3627"/>
      <c r="BQ296" s="3627">
        <f t="shared" si="191"/>
        <v>128</v>
      </c>
      <c r="BR296" s="3627">
        <f t="shared" si="192"/>
        <v>0</v>
      </c>
      <c r="BS296" s="4056"/>
      <c r="BT296" s="4057"/>
    </row>
    <row r="297" s="3566" customFormat="1" ht="50" customHeight="1" spans="1:72">
      <c r="A297" s="3635">
        <v>45798</v>
      </c>
      <c r="B297" s="3617" t="s">
        <v>1016</v>
      </c>
      <c r="C297" s="3617" t="s">
        <v>396</v>
      </c>
      <c r="D297" s="3624">
        <v>4500167361</v>
      </c>
      <c r="E297" s="3618" t="s">
        <v>7018</v>
      </c>
      <c r="F297" s="3617" t="s">
        <v>7019</v>
      </c>
      <c r="G297" s="959" t="s">
        <v>6104</v>
      </c>
      <c r="H297" s="3618" t="s">
        <v>6105</v>
      </c>
      <c r="I297" s="3618">
        <v>32</v>
      </c>
      <c r="J297" s="3618">
        <v>0</v>
      </c>
      <c r="K297" s="3618">
        <v>32</v>
      </c>
      <c r="L297" s="4052">
        <f t="shared" si="177"/>
        <v>1</v>
      </c>
      <c r="M297" s="3619">
        <v>45834</v>
      </c>
      <c r="N297" s="3619">
        <v>45831</v>
      </c>
      <c r="O297" s="4085"/>
      <c r="P297" s="959" t="s">
        <v>82</v>
      </c>
      <c r="Q297" s="959"/>
      <c r="R297" s="959"/>
      <c r="S297" s="959"/>
      <c r="T297" s="4053"/>
      <c r="U297" s="3620" t="s">
        <v>3947</v>
      </c>
      <c r="V297" s="3649" t="s">
        <v>1349</v>
      </c>
      <c r="W297" s="3657"/>
      <c r="X297" s="3657" t="s">
        <v>98</v>
      </c>
      <c r="Y297" s="3657"/>
      <c r="Z297" s="3661"/>
      <c r="AA297" s="3620" t="s">
        <v>7013</v>
      </c>
      <c r="AB297" s="3624" t="s">
        <v>369</v>
      </c>
      <c r="AC297" s="3618">
        <v>2.2482</v>
      </c>
      <c r="AD297" s="3618">
        <f t="shared" si="190"/>
        <v>71.9424</v>
      </c>
      <c r="AE297" s="3633"/>
      <c r="AF297" s="959" t="s">
        <v>6106</v>
      </c>
      <c r="AG297" s="3620" t="s">
        <v>416</v>
      </c>
      <c r="AH297" s="3620"/>
      <c r="AI297" s="3620"/>
      <c r="AJ297" s="3620"/>
      <c r="AK297" s="959"/>
      <c r="AL297" s="959"/>
      <c r="AM297" s="959">
        <f t="shared" si="193"/>
        <v>32</v>
      </c>
      <c r="AN297" s="959"/>
      <c r="AO297" s="959"/>
      <c r="AP297" s="3618">
        <f t="shared" si="194"/>
        <v>32</v>
      </c>
      <c r="AQ297" s="3618"/>
      <c r="AR297" s="3626"/>
      <c r="AS297" s="3626"/>
      <c r="AT297" s="3626"/>
      <c r="AU297" s="3626">
        <f t="shared" si="195"/>
        <v>32</v>
      </c>
      <c r="AV297" s="3626"/>
      <c r="AW297" s="3626"/>
      <c r="AX297" s="3626"/>
      <c r="AY297" s="3626"/>
      <c r="AZ297" s="3626"/>
      <c r="BA297" s="3626"/>
      <c r="BB297" s="3626"/>
      <c r="BC297" s="3626"/>
      <c r="BD297" s="3626"/>
      <c r="BE297" s="3626"/>
      <c r="BF297" s="3626"/>
      <c r="BG297" s="3626"/>
      <c r="BH297" s="3626"/>
      <c r="BI297" s="3626" t="s">
        <v>89</v>
      </c>
      <c r="BJ297" s="3626"/>
      <c r="BK297" s="3626">
        <f t="shared" si="196"/>
        <v>32</v>
      </c>
      <c r="BL297" s="3626"/>
      <c r="BM297" s="3626"/>
      <c r="BN297" s="3626"/>
      <c r="BO297" s="4055"/>
      <c r="BP297" s="3627"/>
      <c r="BQ297" s="3627">
        <f t="shared" si="191"/>
        <v>32</v>
      </c>
      <c r="BR297" s="3627">
        <f t="shared" si="192"/>
        <v>0</v>
      </c>
      <c r="BS297" s="4056"/>
      <c r="BT297" s="4057"/>
    </row>
    <row r="298" s="3566" customFormat="1" ht="50" customHeight="1" spans="1:72">
      <c r="A298" s="3635">
        <v>45798</v>
      </c>
      <c r="B298" s="3617" t="s">
        <v>1016</v>
      </c>
      <c r="C298" s="3617" t="s">
        <v>396</v>
      </c>
      <c r="D298" s="3624">
        <v>4500167361</v>
      </c>
      <c r="E298" s="3618" t="s">
        <v>7020</v>
      </c>
      <c r="F298" s="3617" t="s">
        <v>7021</v>
      </c>
      <c r="G298" s="959" t="s">
        <v>6104</v>
      </c>
      <c r="H298" s="3618" t="s">
        <v>6105</v>
      </c>
      <c r="I298" s="3618">
        <v>32</v>
      </c>
      <c r="J298" s="3618">
        <v>0</v>
      </c>
      <c r="K298" s="3618">
        <v>32</v>
      </c>
      <c r="L298" s="4052">
        <f t="shared" si="177"/>
        <v>1</v>
      </c>
      <c r="M298" s="3619">
        <v>45834</v>
      </c>
      <c r="N298" s="3619">
        <v>45831</v>
      </c>
      <c r="O298" s="4085"/>
      <c r="P298" s="959" t="s">
        <v>82</v>
      </c>
      <c r="Q298" s="959"/>
      <c r="R298" s="959"/>
      <c r="S298" s="959"/>
      <c r="T298" s="4053"/>
      <c r="U298" s="3620" t="s">
        <v>3947</v>
      </c>
      <c r="V298" s="3649" t="s">
        <v>1349</v>
      </c>
      <c r="W298" s="3657"/>
      <c r="X298" s="3657" t="s">
        <v>98</v>
      </c>
      <c r="Y298" s="3657"/>
      <c r="Z298" s="3661"/>
      <c r="AA298" s="3620" t="s">
        <v>7013</v>
      </c>
      <c r="AB298" s="3624" t="s">
        <v>369</v>
      </c>
      <c r="AC298" s="3618">
        <v>2.2482</v>
      </c>
      <c r="AD298" s="3618">
        <f t="shared" si="190"/>
        <v>71.9424</v>
      </c>
      <c r="AE298" s="3633"/>
      <c r="AF298" s="959" t="s">
        <v>6106</v>
      </c>
      <c r="AG298" s="3620" t="s">
        <v>416</v>
      </c>
      <c r="AH298" s="3620"/>
      <c r="AI298" s="3620"/>
      <c r="AJ298" s="3620"/>
      <c r="AK298" s="959"/>
      <c r="AL298" s="959"/>
      <c r="AM298" s="959">
        <f t="shared" si="193"/>
        <v>32</v>
      </c>
      <c r="AN298" s="959"/>
      <c r="AO298" s="959"/>
      <c r="AP298" s="3618">
        <f t="shared" si="194"/>
        <v>32</v>
      </c>
      <c r="AQ298" s="3618"/>
      <c r="AR298" s="3626"/>
      <c r="AS298" s="3626"/>
      <c r="AT298" s="3626"/>
      <c r="AU298" s="3626">
        <f t="shared" si="195"/>
        <v>32</v>
      </c>
      <c r="AV298" s="3626"/>
      <c r="AW298" s="3626"/>
      <c r="AX298" s="3626"/>
      <c r="AY298" s="3626"/>
      <c r="AZ298" s="3626"/>
      <c r="BA298" s="3626"/>
      <c r="BB298" s="3626"/>
      <c r="BC298" s="3626"/>
      <c r="BD298" s="3626"/>
      <c r="BE298" s="3626"/>
      <c r="BF298" s="3626"/>
      <c r="BG298" s="3626"/>
      <c r="BH298" s="3626"/>
      <c r="BI298" s="3626" t="s">
        <v>89</v>
      </c>
      <c r="BJ298" s="3626"/>
      <c r="BK298" s="3626">
        <f t="shared" si="196"/>
        <v>32</v>
      </c>
      <c r="BL298" s="3626"/>
      <c r="BM298" s="3626"/>
      <c r="BN298" s="3626"/>
      <c r="BO298" s="4055"/>
      <c r="BP298" s="3627"/>
      <c r="BQ298" s="3627">
        <f t="shared" si="191"/>
        <v>32</v>
      </c>
      <c r="BR298" s="3627">
        <f t="shared" si="192"/>
        <v>0</v>
      </c>
      <c r="BS298" s="4056"/>
      <c r="BT298" s="4057"/>
    </row>
    <row r="299" s="3566" customFormat="1" ht="50" customHeight="1" spans="1:72">
      <c r="A299" s="3635">
        <v>45798</v>
      </c>
      <c r="B299" s="3617" t="s">
        <v>1016</v>
      </c>
      <c r="C299" s="3617" t="s">
        <v>396</v>
      </c>
      <c r="D299" s="3624">
        <v>4500167361</v>
      </c>
      <c r="E299" s="3618" t="s">
        <v>7022</v>
      </c>
      <c r="F299" s="3617" t="s">
        <v>7023</v>
      </c>
      <c r="G299" s="959" t="s">
        <v>6104</v>
      </c>
      <c r="H299" s="3618" t="s">
        <v>6105</v>
      </c>
      <c r="I299" s="3618">
        <v>64</v>
      </c>
      <c r="J299" s="3618">
        <v>0</v>
      </c>
      <c r="K299" s="3618">
        <v>32</v>
      </c>
      <c r="L299" s="4052">
        <f t="shared" si="177"/>
        <v>2</v>
      </c>
      <c r="M299" s="3619">
        <v>45834</v>
      </c>
      <c r="N299" s="3619">
        <v>45831</v>
      </c>
      <c r="O299" s="4085"/>
      <c r="P299" s="959" t="s">
        <v>82</v>
      </c>
      <c r="Q299" s="959"/>
      <c r="R299" s="959"/>
      <c r="S299" s="959"/>
      <c r="T299" s="4053"/>
      <c r="U299" s="3620" t="s">
        <v>3947</v>
      </c>
      <c r="V299" s="3649" t="s">
        <v>1349</v>
      </c>
      <c r="W299" s="3657"/>
      <c r="X299" s="3657" t="s">
        <v>98</v>
      </c>
      <c r="Y299" s="3657"/>
      <c r="Z299" s="3661"/>
      <c r="AA299" s="3620" t="s">
        <v>7013</v>
      </c>
      <c r="AB299" s="3624" t="s">
        <v>369</v>
      </c>
      <c r="AC299" s="3618">
        <v>2.2482</v>
      </c>
      <c r="AD299" s="3618">
        <f t="shared" si="190"/>
        <v>143.8848</v>
      </c>
      <c r="AE299" s="3633"/>
      <c r="AF299" s="959" t="s">
        <v>6106</v>
      </c>
      <c r="AG299" s="3620" t="s">
        <v>416</v>
      </c>
      <c r="AH299" s="3620"/>
      <c r="AI299" s="3620"/>
      <c r="AJ299" s="3620"/>
      <c r="AK299" s="959"/>
      <c r="AL299" s="959"/>
      <c r="AM299" s="959">
        <f t="shared" si="193"/>
        <v>64</v>
      </c>
      <c r="AN299" s="959"/>
      <c r="AO299" s="959"/>
      <c r="AP299" s="3618">
        <f t="shared" si="194"/>
        <v>64</v>
      </c>
      <c r="AQ299" s="3618"/>
      <c r="AR299" s="3626"/>
      <c r="AS299" s="3626"/>
      <c r="AT299" s="3626"/>
      <c r="AU299" s="3626">
        <f t="shared" si="195"/>
        <v>64</v>
      </c>
      <c r="AV299" s="3626"/>
      <c r="AW299" s="3626"/>
      <c r="AX299" s="3626"/>
      <c r="AY299" s="3626"/>
      <c r="AZ299" s="3626"/>
      <c r="BA299" s="3626"/>
      <c r="BB299" s="3626"/>
      <c r="BC299" s="3626"/>
      <c r="BD299" s="3626"/>
      <c r="BE299" s="3626"/>
      <c r="BF299" s="3626"/>
      <c r="BG299" s="3626"/>
      <c r="BH299" s="3626"/>
      <c r="BI299" s="3626" t="s">
        <v>89</v>
      </c>
      <c r="BJ299" s="3626"/>
      <c r="BK299" s="3626">
        <f t="shared" si="196"/>
        <v>64</v>
      </c>
      <c r="BL299" s="3626"/>
      <c r="BM299" s="3626"/>
      <c r="BN299" s="3626"/>
      <c r="BO299" s="4055"/>
      <c r="BP299" s="3627"/>
      <c r="BQ299" s="3627">
        <f t="shared" si="191"/>
        <v>64</v>
      </c>
      <c r="BR299" s="3627">
        <f t="shared" si="192"/>
        <v>0</v>
      </c>
      <c r="BS299" s="4056"/>
      <c r="BT299" s="4057"/>
    </row>
    <row r="300" s="3566" customFormat="1" ht="50" customHeight="1" spans="1:72">
      <c r="A300" s="3635">
        <v>45798</v>
      </c>
      <c r="B300" s="3617" t="s">
        <v>1016</v>
      </c>
      <c r="C300" s="3617" t="s">
        <v>396</v>
      </c>
      <c r="D300" s="3624">
        <v>4500167361</v>
      </c>
      <c r="E300" s="3618" t="s">
        <v>7024</v>
      </c>
      <c r="F300" s="3617" t="s">
        <v>7025</v>
      </c>
      <c r="G300" s="959" t="s">
        <v>6104</v>
      </c>
      <c r="H300" s="3618" t="s">
        <v>6105</v>
      </c>
      <c r="I300" s="3618">
        <v>32</v>
      </c>
      <c r="J300" s="3618">
        <v>0</v>
      </c>
      <c r="K300" s="3618">
        <v>32</v>
      </c>
      <c r="L300" s="4052">
        <f t="shared" si="177"/>
        <v>1</v>
      </c>
      <c r="M300" s="3619">
        <v>45834</v>
      </c>
      <c r="N300" s="3619">
        <v>45831</v>
      </c>
      <c r="O300" s="4085"/>
      <c r="P300" s="959" t="s">
        <v>82</v>
      </c>
      <c r="Q300" s="959"/>
      <c r="R300" s="959"/>
      <c r="S300" s="959"/>
      <c r="T300" s="4053"/>
      <c r="U300" s="3620" t="s">
        <v>3947</v>
      </c>
      <c r="V300" s="3649" t="s">
        <v>1349</v>
      </c>
      <c r="W300" s="3657"/>
      <c r="X300" s="3657" t="s">
        <v>98</v>
      </c>
      <c r="Y300" s="3657"/>
      <c r="Z300" s="3661"/>
      <c r="AA300" s="3620" t="s">
        <v>7013</v>
      </c>
      <c r="AB300" s="3624" t="s">
        <v>369</v>
      </c>
      <c r="AC300" s="3618">
        <v>2.2482</v>
      </c>
      <c r="AD300" s="3618">
        <f t="shared" si="190"/>
        <v>71.9424</v>
      </c>
      <c r="AE300" s="3633"/>
      <c r="AF300" s="959" t="s">
        <v>6106</v>
      </c>
      <c r="AG300" s="3620" t="s">
        <v>416</v>
      </c>
      <c r="AH300" s="3620"/>
      <c r="AI300" s="3620"/>
      <c r="AJ300" s="3620"/>
      <c r="AK300" s="959"/>
      <c r="AL300" s="959"/>
      <c r="AM300" s="959">
        <f t="shared" si="193"/>
        <v>32</v>
      </c>
      <c r="AN300" s="959"/>
      <c r="AO300" s="959"/>
      <c r="AP300" s="3618">
        <f t="shared" si="194"/>
        <v>32</v>
      </c>
      <c r="AQ300" s="3618"/>
      <c r="AR300" s="3626"/>
      <c r="AS300" s="3626"/>
      <c r="AT300" s="3626"/>
      <c r="AU300" s="3626">
        <f t="shared" si="195"/>
        <v>32</v>
      </c>
      <c r="AV300" s="3626"/>
      <c r="AW300" s="3626"/>
      <c r="AX300" s="3626"/>
      <c r="AY300" s="3626"/>
      <c r="AZ300" s="3626"/>
      <c r="BA300" s="3626"/>
      <c r="BB300" s="3626"/>
      <c r="BC300" s="3626"/>
      <c r="BD300" s="3626"/>
      <c r="BE300" s="3626"/>
      <c r="BF300" s="3626"/>
      <c r="BG300" s="3626"/>
      <c r="BH300" s="3626"/>
      <c r="BI300" s="3626" t="s">
        <v>89</v>
      </c>
      <c r="BJ300" s="3626"/>
      <c r="BK300" s="3626">
        <f t="shared" si="196"/>
        <v>32</v>
      </c>
      <c r="BL300" s="3626"/>
      <c r="BM300" s="3626"/>
      <c r="BN300" s="3626"/>
      <c r="BO300" s="4055"/>
      <c r="BP300" s="3627"/>
      <c r="BQ300" s="3627">
        <f t="shared" si="191"/>
        <v>32</v>
      </c>
      <c r="BR300" s="3627">
        <f t="shared" si="192"/>
        <v>0</v>
      </c>
      <c r="BS300" s="4056"/>
      <c r="BT300" s="4057"/>
    </row>
    <row r="301" s="3566" customFormat="1" ht="50" customHeight="1" spans="1:72">
      <c r="A301" s="3635">
        <v>45798</v>
      </c>
      <c r="B301" s="3617" t="s">
        <v>1016</v>
      </c>
      <c r="C301" s="3617" t="s">
        <v>396</v>
      </c>
      <c r="D301" s="3624">
        <v>4500167361</v>
      </c>
      <c r="E301" s="3618" t="s">
        <v>7026</v>
      </c>
      <c r="F301" s="3617" t="s">
        <v>7027</v>
      </c>
      <c r="G301" s="959" t="s">
        <v>6104</v>
      </c>
      <c r="H301" s="3618" t="s">
        <v>6105</v>
      </c>
      <c r="I301" s="3618">
        <v>32</v>
      </c>
      <c r="J301" s="3618">
        <v>0</v>
      </c>
      <c r="K301" s="3618">
        <v>32</v>
      </c>
      <c r="L301" s="4052">
        <f t="shared" si="177"/>
        <v>1</v>
      </c>
      <c r="M301" s="3619">
        <v>45834</v>
      </c>
      <c r="N301" s="3619">
        <v>45831</v>
      </c>
      <c r="O301" s="4085"/>
      <c r="P301" s="959" t="s">
        <v>82</v>
      </c>
      <c r="Q301" s="959"/>
      <c r="R301" s="959"/>
      <c r="S301" s="959"/>
      <c r="T301" s="4053"/>
      <c r="U301" s="3620" t="s">
        <v>3947</v>
      </c>
      <c r="V301" s="3649" t="s">
        <v>1349</v>
      </c>
      <c r="W301" s="3657"/>
      <c r="X301" s="3657" t="s">
        <v>98</v>
      </c>
      <c r="Y301" s="3657"/>
      <c r="Z301" s="3661"/>
      <c r="AA301" s="3620" t="s">
        <v>7013</v>
      </c>
      <c r="AB301" s="3624" t="s">
        <v>369</v>
      </c>
      <c r="AC301" s="3618">
        <v>2.2482</v>
      </c>
      <c r="AD301" s="3618">
        <f t="shared" si="190"/>
        <v>71.9424</v>
      </c>
      <c r="AE301" s="3633"/>
      <c r="AF301" s="959" t="s">
        <v>6106</v>
      </c>
      <c r="AG301" s="3620" t="s">
        <v>416</v>
      </c>
      <c r="AH301" s="3620"/>
      <c r="AI301" s="3620"/>
      <c r="AJ301" s="3620"/>
      <c r="AK301" s="959"/>
      <c r="AL301" s="959"/>
      <c r="AM301" s="959">
        <f t="shared" si="193"/>
        <v>32</v>
      </c>
      <c r="AN301" s="959"/>
      <c r="AO301" s="959"/>
      <c r="AP301" s="3618">
        <f t="shared" si="194"/>
        <v>32</v>
      </c>
      <c r="AQ301" s="3618"/>
      <c r="AR301" s="3626"/>
      <c r="AS301" s="3626"/>
      <c r="AT301" s="3626"/>
      <c r="AU301" s="3626">
        <f t="shared" si="195"/>
        <v>32</v>
      </c>
      <c r="AV301" s="3626"/>
      <c r="AW301" s="3626"/>
      <c r="AX301" s="3626"/>
      <c r="AY301" s="3626"/>
      <c r="AZ301" s="3626"/>
      <c r="BA301" s="3626"/>
      <c r="BB301" s="3626"/>
      <c r="BC301" s="3626"/>
      <c r="BD301" s="3626"/>
      <c r="BE301" s="3626"/>
      <c r="BF301" s="3626"/>
      <c r="BG301" s="3626"/>
      <c r="BH301" s="3626"/>
      <c r="BI301" s="3626" t="s">
        <v>89</v>
      </c>
      <c r="BJ301" s="3626"/>
      <c r="BK301" s="3626">
        <f t="shared" si="196"/>
        <v>32</v>
      </c>
      <c r="BL301" s="3626"/>
      <c r="BM301" s="3626"/>
      <c r="BN301" s="3626"/>
      <c r="BO301" s="4055"/>
      <c r="BP301" s="3627"/>
      <c r="BQ301" s="3627">
        <f t="shared" si="191"/>
        <v>32</v>
      </c>
      <c r="BR301" s="3627">
        <f t="shared" si="192"/>
        <v>0</v>
      </c>
      <c r="BS301" s="4056"/>
      <c r="BT301" s="4057"/>
    </row>
    <row r="302" s="3566" customFormat="1" ht="50" customHeight="1" spans="1:72">
      <c r="A302" s="3635">
        <v>45798</v>
      </c>
      <c r="B302" s="3617" t="s">
        <v>1016</v>
      </c>
      <c r="C302" s="3617" t="s">
        <v>396</v>
      </c>
      <c r="D302" s="3624">
        <v>4500167361</v>
      </c>
      <c r="E302" s="3618" t="s">
        <v>7028</v>
      </c>
      <c r="F302" s="3617" t="s">
        <v>7029</v>
      </c>
      <c r="G302" s="959" t="s">
        <v>7030</v>
      </c>
      <c r="H302" s="3618" t="s">
        <v>6166</v>
      </c>
      <c r="I302" s="3618">
        <v>160</v>
      </c>
      <c r="J302" s="3618">
        <v>0</v>
      </c>
      <c r="K302" s="3618">
        <v>32</v>
      </c>
      <c r="L302" s="4052">
        <f t="shared" si="177"/>
        <v>5</v>
      </c>
      <c r="M302" s="3619">
        <v>45834</v>
      </c>
      <c r="N302" s="3619">
        <v>45831</v>
      </c>
      <c r="O302" s="4085"/>
      <c r="P302" s="959" t="s">
        <v>82</v>
      </c>
      <c r="Q302" s="959"/>
      <c r="R302" s="959"/>
      <c r="S302" s="959"/>
      <c r="T302" s="4053"/>
      <c r="U302" s="3620" t="s">
        <v>3947</v>
      </c>
      <c r="V302" s="3649" t="s">
        <v>1349</v>
      </c>
      <c r="W302" s="3657"/>
      <c r="X302" s="3657" t="s">
        <v>98</v>
      </c>
      <c r="Y302" s="3657"/>
      <c r="Z302" s="3661"/>
      <c r="AA302" s="3620" t="s">
        <v>7013</v>
      </c>
      <c r="AB302" s="3624" t="s">
        <v>369</v>
      </c>
      <c r="AC302" s="3618">
        <v>2.2482</v>
      </c>
      <c r="AD302" s="3618">
        <f t="shared" si="190"/>
        <v>359.712</v>
      </c>
      <c r="AE302" s="3633"/>
      <c r="AF302" s="959" t="s">
        <v>7031</v>
      </c>
      <c r="AG302" s="3620" t="s">
        <v>416</v>
      </c>
      <c r="AH302" s="3620"/>
      <c r="AI302" s="3620"/>
      <c r="AJ302" s="3620"/>
      <c r="AK302" s="959"/>
      <c r="AL302" s="959"/>
      <c r="AM302" s="959">
        <f t="shared" si="193"/>
        <v>160</v>
      </c>
      <c r="AN302" s="959"/>
      <c r="AO302" s="959"/>
      <c r="AP302" s="3618">
        <f t="shared" si="194"/>
        <v>160</v>
      </c>
      <c r="AQ302" s="3618"/>
      <c r="AR302" s="3626"/>
      <c r="AS302" s="3626"/>
      <c r="AT302" s="3626"/>
      <c r="AU302" s="3626">
        <f t="shared" si="195"/>
        <v>160</v>
      </c>
      <c r="AV302" s="3626"/>
      <c r="AW302" s="3626"/>
      <c r="AX302" s="3626"/>
      <c r="AY302" s="3626"/>
      <c r="AZ302" s="3626"/>
      <c r="BA302" s="3626"/>
      <c r="BB302" s="3626"/>
      <c r="BC302" s="3626"/>
      <c r="BD302" s="3626"/>
      <c r="BE302" s="3626"/>
      <c r="BF302" s="3626"/>
      <c r="BG302" s="3626"/>
      <c r="BH302" s="3626"/>
      <c r="BI302" s="3626" t="s">
        <v>89</v>
      </c>
      <c r="BJ302" s="3626"/>
      <c r="BK302" s="3626"/>
      <c r="BL302" s="3626"/>
      <c r="BM302" s="3626"/>
      <c r="BN302" s="3626"/>
      <c r="BO302" s="4055"/>
      <c r="BP302" s="3627">
        <f>I302</f>
        <v>160</v>
      </c>
      <c r="BQ302" s="3627"/>
      <c r="BR302" s="3627"/>
      <c r="BS302" s="4056"/>
      <c r="BT302" s="4057"/>
    </row>
    <row r="303" s="3566" customFormat="1" ht="50" customHeight="1" spans="1:72">
      <c r="A303" s="3635">
        <v>45798</v>
      </c>
      <c r="B303" s="3617" t="s">
        <v>1016</v>
      </c>
      <c r="C303" s="3617" t="s">
        <v>396</v>
      </c>
      <c r="D303" s="3624">
        <v>4500167361</v>
      </c>
      <c r="E303" s="3618" t="s">
        <v>7032</v>
      </c>
      <c r="F303" s="3617" t="s">
        <v>7033</v>
      </c>
      <c r="G303" s="959" t="s">
        <v>7030</v>
      </c>
      <c r="H303" s="3618" t="s">
        <v>6166</v>
      </c>
      <c r="I303" s="3618">
        <v>32</v>
      </c>
      <c r="J303" s="3618">
        <v>0</v>
      </c>
      <c r="K303" s="3618">
        <v>32</v>
      </c>
      <c r="L303" s="4052">
        <f t="shared" si="177"/>
        <v>1</v>
      </c>
      <c r="M303" s="3619">
        <v>45834</v>
      </c>
      <c r="N303" s="3619">
        <v>45831</v>
      </c>
      <c r="O303" s="4085"/>
      <c r="P303" s="959" t="s">
        <v>82</v>
      </c>
      <c r="Q303" s="959"/>
      <c r="R303" s="959"/>
      <c r="S303" s="959"/>
      <c r="T303" s="4053"/>
      <c r="U303" s="3620" t="s">
        <v>3947</v>
      </c>
      <c r="V303" s="3649" t="s">
        <v>1349</v>
      </c>
      <c r="W303" s="3657"/>
      <c r="X303" s="3657" t="s">
        <v>98</v>
      </c>
      <c r="Y303" s="3657"/>
      <c r="Z303" s="3661"/>
      <c r="AA303" s="3620" t="s">
        <v>7013</v>
      </c>
      <c r="AB303" s="3624" t="s">
        <v>369</v>
      </c>
      <c r="AC303" s="3618">
        <v>2.2482</v>
      </c>
      <c r="AD303" s="3618">
        <f t="shared" si="190"/>
        <v>71.9424</v>
      </c>
      <c r="AE303" s="3633"/>
      <c r="AF303" s="959" t="s">
        <v>7031</v>
      </c>
      <c r="AG303" s="3620" t="s">
        <v>416</v>
      </c>
      <c r="AH303" s="3620"/>
      <c r="AI303" s="3620"/>
      <c r="AJ303" s="3620"/>
      <c r="AK303" s="959"/>
      <c r="AL303" s="959"/>
      <c r="AM303" s="959">
        <f t="shared" si="193"/>
        <v>32</v>
      </c>
      <c r="AN303" s="959"/>
      <c r="AO303" s="959"/>
      <c r="AP303" s="3618">
        <f t="shared" si="194"/>
        <v>32</v>
      </c>
      <c r="AQ303" s="3618"/>
      <c r="AR303" s="3626"/>
      <c r="AS303" s="3626"/>
      <c r="AT303" s="3626"/>
      <c r="AU303" s="3626">
        <f t="shared" si="195"/>
        <v>32</v>
      </c>
      <c r="AV303" s="3626"/>
      <c r="AW303" s="3626"/>
      <c r="AX303" s="3626"/>
      <c r="AY303" s="3626"/>
      <c r="AZ303" s="3626"/>
      <c r="BA303" s="3626"/>
      <c r="BB303" s="3626"/>
      <c r="BC303" s="3626"/>
      <c r="BD303" s="3626"/>
      <c r="BE303" s="3626"/>
      <c r="BF303" s="3626"/>
      <c r="BG303" s="3626"/>
      <c r="BH303" s="3626"/>
      <c r="BI303" s="3626" t="s">
        <v>89</v>
      </c>
      <c r="BJ303" s="3626"/>
      <c r="BK303" s="3626"/>
      <c r="BL303" s="3626"/>
      <c r="BM303" s="3626"/>
      <c r="BN303" s="3626"/>
      <c r="BO303" s="4055"/>
      <c r="BP303" s="3627">
        <f>I303</f>
        <v>32</v>
      </c>
      <c r="BQ303" s="3627"/>
      <c r="BR303" s="3627"/>
      <c r="BS303" s="4056"/>
      <c r="BT303" s="4057"/>
    </row>
    <row r="304" s="3566" customFormat="1" ht="50" customHeight="1" spans="1:72">
      <c r="A304" s="3635">
        <v>45798</v>
      </c>
      <c r="B304" s="3617" t="s">
        <v>1016</v>
      </c>
      <c r="C304" s="3617" t="s">
        <v>396</v>
      </c>
      <c r="D304" s="3624">
        <v>4500167361</v>
      </c>
      <c r="E304" s="3618" t="s">
        <v>7034</v>
      </c>
      <c r="F304" s="3617" t="s">
        <v>7035</v>
      </c>
      <c r="G304" s="959" t="s">
        <v>7030</v>
      </c>
      <c r="H304" s="3618" t="s">
        <v>6166</v>
      </c>
      <c r="I304" s="3618">
        <v>32</v>
      </c>
      <c r="J304" s="3618">
        <v>0</v>
      </c>
      <c r="K304" s="3618">
        <v>32</v>
      </c>
      <c r="L304" s="4052">
        <f t="shared" si="177"/>
        <v>1</v>
      </c>
      <c r="M304" s="3619">
        <v>45834</v>
      </c>
      <c r="N304" s="3619">
        <v>45831</v>
      </c>
      <c r="O304" s="4085"/>
      <c r="P304" s="959" t="s">
        <v>82</v>
      </c>
      <c r="Q304" s="959"/>
      <c r="R304" s="959"/>
      <c r="S304" s="959"/>
      <c r="T304" s="4053"/>
      <c r="U304" s="3620" t="s">
        <v>3947</v>
      </c>
      <c r="V304" s="3649" t="s">
        <v>1349</v>
      </c>
      <c r="W304" s="3657"/>
      <c r="X304" s="3657" t="s">
        <v>98</v>
      </c>
      <c r="Y304" s="3657"/>
      <c r="Z304" s="3661"/>
      <c r="AA304" s="3620" t="s">
        <v>7013</v>
      </c>
      <c r="AB304" s="3624" t="s">
        <v>369</v>
      </c>
      <c r="AC304" s="3618">
        <v>2.2482</v>
      </c>
      <c r="AD304" s="3618">
        <f t="shared" si="190"/>
        <v>71.9424</v>
      </c>
      <c r="AE304" s="3633"/>
      <c r="AF304" s="959" t="s">
        <v>7031</v>
      </c>
      <c r="AG304" s="3620" t="s">
        <v>416</v>
      </c>
      <c r="AH304" s="3620"/>
      <c r="AI304" s="3620"/>
      <c r="AJ304" s="3620"/>
      <c r="AK304" s="959"/>
      <c r="AL304" s="959"/>
      <c r="AM304" s="959">
        <f t="shared" si="193"/>
        <v>32</v>
      </c>
      <c r="AN304" s="959"/>
      <c r="AO304" s="959"/>
      <c r="AP304" s="3618">
        <f t="shared" si="194"/>
        <v>32</v>
      </c>
      <c r="AQ304" s="3618"/>
      <c r="AR304" s="3626"/>
      <c r="AS304" s="3626"/>
      <c r="AT304" s="3626"/>
      <c r="AU304" s="3626">
        <f t="shared" si="195"/>
        <v>32</v>
      </c>
      <c r="AV304" s="3626"/>
      <c r="AW304" s="3626"/>
      <c r="AX304" s="3626"/>
      <c r="AY304" s="3626"/>
      <c r="AZ304" s="3626"/>
      <c r="BA304" s="3626"/>
      <c r="BB304" s="3626"/>
      <c r="BC304" s="3626"/>
      <c r="BD304" s="3626"/>
      <c r="BE304" s="3626"/>
      <c r="BF304" s="3626"/>
      <c r="BG304" s="3626"/>
      <c r="BH304" s="3626"/>
      <c r="BI304" s="3626" t="s">
        <v>89</v>
      </c>
      <c r="BJ304" s="3626"/>
      <c r="BK304" s="3626"/>
      <c r="BL304" s="3626"/>
      <c r="BM304" s="3626"/>
      <c r="BN304" s="3626"/>
      <c r="BO304" s="4055"/>
      <c r="BP304" s="3627">
        <f>I304</f>
        <v>32</v>
      </c>
      <c r="BQ304" s="3627"/>
      <c r="BR304" s="3627"/>
      <c r="BS304" s="4056"/>
      <c r="BT304" s="4057"/>
    </row>
    <row r="305" s="3566" customFormat="1" ht="50" customHeight="1" spans="1:72">
      <c r="A305" s="3635">
        <v>45798</v>
      </c>
      <c r="B305" s="3617" t="s">
        <v>1016</v>
      </c>
      <c r="C305" s="3617" t="s">
        <v>396</v>
      </c>
      <c r="D305" s="3624">
        <v>4500167361</v>
      </c>
      <c r="E305" s="3618" t="s">
        <v>7036</v>
      </c>
      <c r="F305" s="3617" t="s">
        <v>7037</v>
      </c>
      <c r="G305" s="959" t="s">
        <v>7030</v>
      </c>
      <c r="H305" s="3618" t="s">
        <v>6166</v>
      </c>
      <c r="I305" s="3618">
        <v>32</v>
      </c>
      <c r="J305" s="3618">
        <v>0</v>
      </c>
      <c r="K305" s="3618">
        <v>32</v>
      </c>
      <c r="L305" s="4052">
        <f t="shared" si="177"/>
        <v>1</v>
      </c>
      <c r="M305" s="3619">
        <v>45834</v>
      </c>
      <c r="N305" s="3619">
        <v>45831</v>
      </c>
      <c r="O305" s="4085"/>
      <c r="P305" s="959" t="s">
        <v>82</v>
      </c>
      <c r="Q305" s="959"/>
      <c r="R305" s="959"/>
      <c r="S305" s="959"/>
      <c r="T305" s="4053"/>
      <c r="U305" s="3620" t="s">
        <v>3947</v>
      </c>
      <c r="V305" s="3649" t="s">
        <v>1349</v>
      </c>
      <c r="W305" s="3657"/>
      <c r="X305" s="3657" t="s">
        <v>98</v>
      </c>
      <c r="Y305" s="3657"/>
      <c r="Z305" s="3661"/>
      <c r="AA305" s="3620" t="s">
        <v>7013</v>
      </c>
      <c r="AB305" s="3624" t="s">
        <v>369</v>
      </c>
      <c r="AC305" s="3618">
        <v>2.2482</v>
      </c>
      <c r="AD305" s="3618">
        <f t="shared" si="190"/>
        <v>71.9424</v>
      </c>
      <c r="AE305" s="3633"/>
      <c r="AF305" s="959" t="s">
        <v>7031</v>
      </c>
      <c r="AG305" s="3620" t="s">
        <v>416</v>
      </c>
      <c r="AH305" s="3620"/>
      <c r="AI305" s="3620"/>
      <c r="AJ305" s="3620"/>
      <c r="AK305" s="959"/>
      <c r="AL305" s="959"/>
      <c r="AM305" s="959">
        <f t="shared" si="193"/>
        <v>32</v>
      </c>
      <c r="AN305" s="959"/>
      <c r="AO305" s="959"/>
      <c r="AP305" s="3618">
        <f t="shared" si="194"/>
        <v>32</v>
      </c>
      <c r="AQ305" s="3618"/>
      <c r="AR305" s="3626"/>
      <c r="AS305" s="3626"/>
      <c r="AT305" s="3626"/>
      <c r="AU305" s="3626">
        <f t="shared" si="195"/>
        <v>32</v>
      </c>
      <c r="AV305" s="3626"/>
      <c r="AW305" s="3626"/>
      <c r="AX305" s="3626"/>
      <c r="AY305" s="3626"/>
      <c r="AZ305" s="3626"/>
      <c r="BA305" s="3626"/>
      <c r="BB305" s="3626"/>
      <c r="BC305" s="3626"/>
      <c r="BD305" s="3626"/>
      <c r="BE305" s="3626"/>
      <c r="BF305" s="3626"/>
      <c r="BG305" s="3626"/>
      <c r="BH305" s="3626"/>
      <c r="BI305" s="3626" t="s">
        <v>89</v>
      </c>
      <c r="BJ305" s="3626"/>
      <c r="BK305" s="3626"/>
      <c r="BL305" s="3626"/>
      <c r="BM305" s="3626"/>
      <c r="BN305" s="3626"/>
      <c r="BO305" s="4055"/>
      <c r="BP305" s="3627">
        <f>I305</f>
        <v>32</v>
      </c>
      <c r="BQ305" s="3627"/>
      <c r="BR305" s="3627"/>
      <c r="BS305" s="4056"/>
      <c r="BT305" s="4057"/>
    </row>
    <row r="306" s="3566" customFormat="1" ht="50" customHeight="1" spans="1:72">
      <c r="A306" s="3635">
        <v>45769</v>
      </c>
      <c r="B306" s="3689" t="s">
        <v>3248</v>
      </c>
      <c r="C306" s="3664" t="s">
        <v>1279</v>
      </c>
      <c r="D306" s="3690">
        <v>4500164587</v>
      </c>
      <c r="E306" s="3664">
        <v>2000007585</v>
      </c>
      <c r="F306" s="4086" t="s">
        <v>3806</v>
      </c>
      <c r="G306" s="3664" t="s">
        <v>6643</v>
      </c>
      <c r="H306" s="3618" t="s">
        <v>3517</v>
      </c>
      <c r="I306" s="3691">
        <v>1500</v>
      </c>
      <c r="J306" s="3691">
        <v>0</v>
      </c>
      <c r="K306" s="3691">
        <v>12</v>
      </c>
      <c r="L306" s="4082">
        <f t="shared" si="177"/>
        <v>125</v>
      </c>
      <c r="M306" s="3659">
        <v>45818</v>
      </c>
      <c r="N306" s="3659">
        <v>45832</v>
      </c>
      <c r="O306" s="3664" t="s">
        <v>200</v>
      </c>
      <c r="P306" s="959" t="s">
        <v>82</v>
      </c>
      <c r="Q306" s="959"/>
      <c r="R306" s="959"/>
      <c r="S306" s="959"/>
      <c r="T306" s="4053"/>
      <c r="U306" s="3620" t="s">
        <v>203</v>
      </c>
      <c r="V306" s="3649" t="s">
        <v>1342</v>
      </c>
      <c r="W306" s="3657"/>
      <c r="X306" s="3657" t="s">
        <v>3808</v>
      </c>
      <c r="Y306" s="3640"/>
      <c r="Z306" s="3661" t="s">
        <v>3809</v>
      </c>
      <c r="AA306" s="3620" t="s">
        <v>3810</v>
      </c>
      <c r="AB306" s="3691" t="s">
        <v>1298</v>
      </c>
      <c r="AC306" s="3691">
        <v>4.9215</v>
      </c>
      <c r="AD306" s="3691">
        <f t="shared" si="190"/>
        <v>7382.25</v>
      </c>
      <c r="AE306" s="3633"/>
      <c r="AF306" s="3664" t="s">
        <v>6263</v>
      </c>
      <c r="AG306" s="3620" t="s">
        <v>416</v>
      </c>
      <c r="AH306" s="3620"/>
      <c r="AI306" s="3620"/>
      <c r="AJ306" s="3620"/>
      <c r="AK306" s="959"/>
      <c r="AL306" s="959"/>
      <c r="AM306" s="959">
        <f t="shared" si="193"/>
        <v>1500</v>
      </c>
      <c r="AN306" s="959"/>
      <c r="AO306" s="3618"/>
      <c r="AP306" s="3618">
        <f t="shared" si="194"/>
        <v>1500</v>
      </c>
      <c r="AQ306" s="3618"/>
      <c r="AR306" s="3626"/>
      <c r="AS306" s="3626">
        <f>I306</f>
        <v>1500</v>
      </c>
      <c r="AT306" s="3626"/>
      <c r="AU306" s="3626"/>
      <c r="AV306" s="3626"/>
      <c r="AW306" s="3626"/>
      <c r="AX306" s="3626"/>
      <c r="AY306" s="3626"/>
      <c r="AZ306" s="3626"/>
      <c r="BA306" s="3626"/>
      <c r="BB306" s="3626"/>
      <c r="BC306" s="3626"/>
      <c r="BD306" s="3626"/>
      <c r="BE306" s="3626"/>
      <c r="BF306" s="3626"/>
      <c r="BG306" s="3626"/>
      <c r="BH306" s="3626"/>
      <c r="BI306" s="3626" t="s">
        <v>89</v>
      </c>
      <c r="BJ306" s="3626">
        <f t="shared" ref="BJ306:BJ316" si="197">I306/60*2</f>
        <v>50</v>
      </c>
      <c r="BK306" s="3626">
        <f t="shared" ref="BK306:BK316" si="198">I306/60*10</f>
        <v>250</v>
      </c>
      <c r="BL306" s="3626">
        <f t="shared" ref="BL306:BL316" si="199">I306/60*10</f>
        <v>250</v>
      </c>
      <c r="BM306" s="3626">
        <f t="shared" ref="BM306:BM316" si="200">I306/60*8</f>
        <v>200</v>
      </c>
      <c r="BN306" s="3626">
        <f t="shared" ref="BN306:BN316" si="201">I306/60*10</f>
        <v>250</v>
      </c>
      <c r="BO306" s="4055">
        <f t="shared" ref="BO306:BO316" si="202">I306/60*10</f>
        <v>250</v>
      </c>
      <c r="BP306" s="3627">
        <f t="shared" ref="BP306:BP316" si="203">I306/60*10</f>
        <v>250</v>
      </c>
      <c r="BQ306" s="3627">
        <f t="shared" ref="BQ306:BQ369" si="204">SUM(BJ306:BP306)</f>
        <v>1500</v>
      </c>
      <c r="BR306" s="3627">
        <f t="shared" ref="BR306:BR369" si="205">I306-BQ306</f>
        <v>0</v>
      </c>
      <c r="BS306" s="4056"/>
      <c r="BT306" s="4057"/>
    </row>
    <row r="307" s="3566" customFormat="1" ht="50" customHeight="1" spans="1:72">
      <c r="A307" s="3635">
        <v>45797</v>
      </c>
      <c r="B307" s="3617" t="s">
        <v>6177</v>
      </c>
      <c r="C307" s="3617" t="s">
        <v>506</v>
      </c>
      <c r="D307" s="3624">
        <v>4500167165</v>
      </c>
      <c r="E307" s="959">
        <v>46842192</v>
      </c>
      <c r="F307" s="3624" t="s">
        <v>7038</v>
      </c>
      <c r="G307" s="959" t="s">
        <v>6179</v>
      </c>
      <c r="H307" s="3618" t="s">
        <v>6063</v>
      </c>
      <c r="I307" s="3618">
        <v>500</v>
      </c>
      <c r="J307" s="3618">
        <v>0</v>
      </c>
      <c r="K307" s="3618">
        <v>2</v>
      </c>
      <c r="L307" s="4052">
        <f t="shared" si="177"/>
        <v>250</v>
      </c>
      <c r="M307" s="3619">
        <v>45834</v>
      </c>
      <c r="N307" s="3619">
        <v>45831</v>
      </c>
      <c r="O307" s="3618"/>
      <c r="P307" s="959" t="s">
        <v>82</v>
      </c>
      <c r="Q307" s="959"/>
      <c r="R307" s="959"/>
      <c r="S307" s="959"/>
      <c r="T307" s="4053"/>
      <c r="U307" s="3620" t="s">
        <v>6985</v>
      </c>
      <c r="V307" s="3649" t="s">
        <v>7039</v>
      </c>
      <c r="W307" s="3657"/>
      <c r="X307" s="3657" t="s">
        <v>98</v>
      </c>
      <c r="Y307" s="3657"/>
      <c r="Z307" s="3661" t="s">
        <v>7040</v>
      </c>
      <c r="AA307" s="3620" t="s">
        <v>6877</v>
      </c>
      <c r="AB307" s="3624" t="s">
        <v>4141</v>
      </c>
      <c r="AC307" s="3618">
        <v>2.2901</v>
      </c>
      <c r="AD307" s="3618">
        <f t="shared" si="190"/>
        <v>1145.05</v>
      </c>
      <c r="AE307" s="3633"/>
      <c r="AF307" s="959" t="s">
        <v>6179</v>
      </c>
      <c r="AG307" s="3620" t="s">
        <v>416</v>
      </c>
      <c r="AH307" s="3620"/>
      <c r="AI307" s="3620"/>
      <c r="AJ307" s="3620"/>
      <c r="AK307" s="959">
        <f>I307</f>
        <v>500</v>
      </c>
      <c r="AL307" s="959"/>
      <c r="AM307" s="959"/>
      <c r="AN307" s="959"/>
      <c r="AO307" s="959"/>
      <c r="AP307" s="3618">
        <f t="shared" si="194"/>
        <v>500</v>
      </c>
      <c r="AQ307" s="3618"/>
      <c r="AR307" s="3626"/>
      <c r="AS307" s="3626">
        <f>I307</f>
        <v>500</v>
      </c>
      <c r="AT307" s="3626"/>
      <c r="AU307" s="3626"/>
      <c r="AV307" s="3626"/>
      <c r="AW307" s="3626"/>
      <c r="AX307" s="3626"/>
      <c r="AY307" s="3626"/>
      <c r="AZ307" s="3626"/>
      <c r="BA307" s="3626"/>
      <c r="BB307" s="3626"/>
      <c r="BC307" s="3626"/>
      <c r="BD307" s="3626"/>
      <c r="BE307" s="3626">
        <f>I307/6</f>
        <v>83.3333333333333</v>
      </c>
      <c r="BF307" s="3626"/>
      <c r="BG307" s="3626"/>
      <c r="BH307" s="3626"/>
      <c r="BI307" s="3626" t="s">
        <v>89</v>
      </c>
      <c r="BJ307" s="3626">
        <f t="shared" si="197"/>
        <v>16.6666666666667</v>
      </c>
      <c r="BK307" s="3626">
        <f t="shared" si="198"/>
        <v>83.3333333333333</v>
      </c>
      <c r="BL307" s="3626">
        <f t="shared" si="199"/>
        <v>83.3333333333333</v>
      </c>
      <c r="BM307" s="3626">
        <f t="shared" si="200"/>
        <v>66.6666666666667</v>
      </c>
      <c r="BN307" s="3626">
        <f t="shared" si="201"/>
        <v>83.3333333333333</v>
      </c>
      <c r="BO307" s="4055">
        <f t="shared" si="202"/>
        <v>83.3333333333333</v>
      </c>
      <c r="BP307" s="3627">
        <f t="shared" si="203"/>
        <v>83.3333333333333</v>
      </c>
      <c r="BQ307" s="3627">
        <f t="shared" si="204"/>
        <v>500</v>
      </c>
      <c r="BR307" s="3627">
        <f t="shared" si="205"/>
        <v>0</v>
      </c>
      <c r="BS307" s="4056"/>
      <c r="BT307" s="4057"/>
    </row>
    <row r="308" s="3566" customFormat="1" ht="50" customHeight="1" spans="1:72">
      <c r="A308" s="3635">
        <v>45797</v>
      </c>
      <c r="B308" s="3617" t="s">
        <v>6177</v>
      </c>
      <c r="C308" s="3617" t="s">
        <v>506</v>
      </c>
      <c r="D308" s="3624">
        <v>4500167165</v>
      </c>
      <c r="E308" s="959">
        <v>46842193</v>
      </c>
      <c r="F308" s="3624" t="s">
        <v>7041</v>
      </c>
      <c r="G308" s="959" t="s">
        <v>6179</v>
      </c>
      <c r="H308" s="3618" t="s">
        <v>6063</v>
      </c>
      <c r="I308" s="3618">
        <v>1200</v>
      </c>
      <c r="J308" s="3618">
        <v>0</v>
      </c>
      <c r="K308" s="3618">
        <v>2</v>
      </c>
      <c r="L308" s="4052">
        <f t="shared" si="177"/>
        <v>600</v>
      </c>
      <c r="M308" s="3619">
        <v>45834</v>
      </c>
      <c r="N308" s="3619">
        <v>45831</v>
      </c>
      <c r="O308" s="3618"/>
      <c r="P308" s="959" t="s">
        <v>82</v>
      </c>
      <c r="Q308" s="959"/>
      <c r="R308" s="959"/>
      <c r="S308" s="959"/>
      <c r="T308" s="4053"/>
      <c r="U308" s="3620" t="s">
        <v>6985</v>
      </c>
      <c r="V308" s="3649" t="s">
        <v>7039</v>
      </c>
      <c r="W308" s="3657"/>
      <c r="X308" s="3657" t="s">
        <v>98</v>
      </c>
      <c r="Y308" s="3657"/>
      <c r="Z308" s="3661" t="s">
        <v>7040</v>
      </c>
      <c r="AA308" s="3620" t="s">
        <v>6877</v>
      </c>
      <c r="AB308" s="3624" t="s">
        <v>4141</v>
      </c>
      <c r="AC308" s="3618">
        <v>2.2901</v>
      </c>
      <c r="AD308" s="3618">
        <f t="shared" si="190"/>
        <v>2748.12</v>
      </c>
      <c r="AE308" s="3633"/>
      <c r="AF308" s="959" t="s">
        <v>6179</v>
      </c>
      <c r="AG308" s="3620" t="s">
        <v>416</v>
      </c>
      <c r="AH308" s="3620"/>
      <c r="AI308" s="3620"/>
      <c r="AJ308" s="3620"/>
      <c r="AK308" s="959">
        <f>I308</f>
        <v>1200</v>
      </c>
      <c r="AL308" s="959"/>
      <c r="AM308" s="959"/>
      <c r="AN308" s="959"/>
      <c r="AO308" s="959"/>
      <c r="AP308" s="3618">
        <f t="shared" si="194"/>
        <v>1200</v>
      </c>
      <c r="AQ308" s="3618"/>
      <c r="AR308" s="3626"/>
      <c r="AS308" s="3626">
        <f>I308</f>
        <v>1200</v>
      </c>
      <c r="AT308" s="3626"/>
      <c r="AU308" s="3626"/>
      <c r="AV308" s="3626"/>
      <c r="AW308" s="3626"/>
      <c r="AX308" s="3626"/>
      <c r="AY308" s="3626"/>
      <c r="AZ308" s="3626"/>
      <c r="BA308" s="3626"/>
      <c r="BB308" s="3626"/>
      <c r="BC308" s="3626"/>
      <c r="BD308" s="3626"/>
      <c r="BE308" s="3626">
        <f>I308/6</f>
        <v>200</v>
      </c>
      <c r="BF308" s="3626"/>
      <c r="BG308" s="3626"/>
      <c r="BH308" s="3626"/>
      <c r="BI308" s="3626" t="s">
        <v>89</v>
      </c>
      <c r="BJ308" s="3626">
        <f t="shared" si="197"/>
        <v>40</v>
      </c>
      <c r="BK308" s="3626">
        <f t="shared" si="198"/>
        <v>200</v>
      </c>
      <c r="BL308" s="3626">
        <f t="shared" si="199"/>
        <v>200</v>
      </c>
      <c r="BM308" s="3626">
        <f t="shared" si="200"/>
        <v>160</v>
      </c>
      <c r="BN308" s="3626">
        <f t="shared" si="201"/>
        <v>200</v>
      </c>
      <c r="BO308" s="4055">
        <f t="shared" si="202"/>
        <v>200</v>
      </c>
      <c r="BP308" s="3627">
        <f t="shared" si="203"/>
        <v>200</v>
      </c>
      <c r="BQ308" s="3627">
        <f t="shared" si="204"/>
        <v>1200</v>
      </c>
      <c r="BR308" s="3627">
        <f t="shared" si="205"/>
        <v>0</v>
      </c>
      <c r="BS308" s="4056"/>
      <c r="BT308" s="4057"/>
    </row>
    <row r="309" s="3566" customFormat="1" ht="50" customHeight="1" spans="1:72">
      <c r="A309" s="3635">
        <v>45797</v>
      </c>
      <c r="B309" s="3617" t="s">
        <v>6177</v>
      </c>
      <c r="C309" s="3617" t="s">
        <v>506</v>
      </c>
      <c r="D309" s="3624">
        <v>4500167165</v>
      </c>
      <c r="E309" s="959" t="s">
        <v>7042</v>
      </c>
      <c r="F309" s="3624" t="s">
        <v>7043</v>
      </c>
      <c r="G309" s="959" t="s">
        <v>6179</v>
      </c>
      <c r="H309" s="3618" t="s">
        <v>6063</v>
      </c>
      <c r="I309" s="3618">
        <v>1200</v>
      </c>
      <c r="J309" s="3618">
        <v>0</v>
      </c>
      <c r="K309" s="3618">
        <v>2</v>
      </c>
      <c r="L309" s="4052">
        <f t="shared" si="177"/>
        <v>600</v>
      </c>
      <c r="M309" s="3619">
        <v>45834</v>
      </c>
      <c r="N309" s="3619">
        <v>45831</v>
      </c>
      <c r="O309" s="3618"/>
      <c r="P309" s="959" t="s">
        <v>82</v>
      </c>
      <c r="Q309" s="959"/>
      <c r="R309" s="959"/>
      <c r="S309" s="959"/>
      <c r="T309" s="4053"/>
      <c r="U309" s="3620" t="s">
        <v>6985</v>
      </c>
      <c r="V309" s="3649" t="s">
        <v>7039</v>
      </c>
      <c r="W309" s="3657"/>
      <c r="X309" s="3657" t="s">
        <v>98</v>
      </c>
      <c r="Y309" s="3657"/>
      <c r="Z309" s="3661" t="s">
        <v>7040</v>
      </c>
      <c r="AA309" s="3620" t="s">
        <v>6877</v>
      </c>
      <c r="AB309" s="3624" t="s">
        <v>4141</v>
      </c>
      <c r="AC309" s="3618">
        <v>2.2901</v>
      </c>
      <c r="AD309" s="3618">
        <f t="shared" si="190"/>
        <v>2748.12</v>
      </c>
      <c r="AE309" s="3633"/>
      <c r="AF309" s="959" t="s">
        <v>6179</v>
      </c>
      <c r="AG309" s="3620" t="s">
        <v>416</v>
      </c>
      <c r="AH309" s="3620"/>
      <c r="AI309" s="3620"/>
      <c r="AJ309" s="3620"/>
      <c r="AK309" s="959">
        <f>I309</f>
        <v>1200</v>
      </c>
      <c r="AL309" s="959"/>
      <c r="AM309" s="959"/>
      <c r="AN309" s="959"/>
      <c r="AO309" s="959"/>
      <c r="AP309" s="3618">
        <f t="shared" si="194"/>
        <v>1200</v>
      </c>
      <c r="AQ309" s="3618"/>
      <c r="AR309" s="3626"/>
      <c r="AS309" s="3626">
        <f>I309</f>
        <v>1200</v>
      </c>
      <c r="AT309" s="3626"/>
      <c r="AU309" s="3626"/>
      <c r="AV309" s="3626"/>
      <c r="AW309" s="3626"/>
      <c r="AX309" s="3626"/>
      <c r="AY309" s="3626"/>
      <c r="AZ309" s="3626"/>
      <c r="BA309" s="3626"/>
      <c r="BB309" s="3626"/>
      <c r="BC309" s="3626"/>
      <c r="BD309" s="3626"/>
      <c r="BE309" s="3626">
        <f>I309/6</f>
        <v>200</v>
      </c>
      <c r="BF309" s="3626"/>
      <c r="BG309" s="3626"/>
      <c r="BH309" s="3626"/>
      <c r="BI309" s="3626" t="s">
        <v>89</v>
      </c>
      <c r="BJ309" s="3626">
        <f t="shared" si="197"/>
        <v>40</v>
      </c>
      <c r="BK309" s="3626">
        <f t="shared" si="198"/>
        <v>200</v>
      </c>
      <c r="BL309" s="3626">
        <f t="shared" si="199"/>
        <v>200</v>
      </c>
      <c r="BM309" s="3626">
        <f t="shared" si="200"/>
        <v>160</v>
      </c>
      <c r="BN309" s="3626">
        <f t="shared" si="201"/>
        <v>200</v>
      </c>
      <c r="BO309" s="4055">
        <f t="shared" si="202"/>
        <v>200</v>
      </c>
      <c r="BP309" s="3627">
        <f t="shared" si="203"/>
        <v>200</v>
      </c>
      <c r="BQ309" s="3627">
        <f t="shared" si="204"/>
        <v>1200</v>
      </c>
      <c r="BR309" s="3627">
        <f t="shared" si="205"/>
        <v>0</v>
      </c>
      <c r="BS309" s="4056"/>
      <c r="BT309" s="4057"/>
    </row>
    <row r="310" s="3566" customFormat="1" ht="50" customHeight="1" spans="1:72">
      <c r="A310" s="3635">
        <v>45796</v>
      </c>
      <c r="B310" s="3617" t="s">
        <v>3542</v>
      </c>
      <c r="C310" s="3617" t="s">
        <v>471</v>
      </c>
      <c r="D310" s="3624">
        <v>4500166868</v>
      </c>
      <c r="E310" s="959" t="s">
        <v>3938</v>
      </c>
      <c r="F310" s="3618" t="s">
        <v>7044</v>
      </c>
      <c r="G310" s="959" t="s">
        <v>6850</v>
      </c>
      <c r="H310" s="3618" t="s">
        <v>6063</v>
      </c>
      <c r="I310" s="3618">
        <v>720</v>
      </c>
      <c r="J310" s="3618">
        <v>0</v>
      </c>
      <c r="K310" s="3618">
        <v>12</v>
      </c>
      <c r="L310" s="4052">
        <f t="shared" si="177"/>
        <v>60</v>
      </c>
      <c r="M310" s="3619">
        <v>45834</v>
      </c>
      <c r="N310" s="3619">
        <v>45831</v>
      </c>
      <c r="O310" s="4085"/>
      <c r="P310" s="959" t="s">
        <v>82</v>
      </c>
      <c r="Q310" s="959"/>
      <c r="R310" s="959"/>
      <c r="S310" s="959"/>
      <c r="T310" s="4053"/>
      <c r="U310" s="3620" t="s">
        <v>3940</v>
      </c>
      <c r="V310" s="3649" t="s">
        <v>1349</v>
      </c>
      <c r="W310" s="3657"/>
      <c r="X310" s="3657" t="s">
        <v>3941</v>
      </c>
      <c r="Y310" s="3657" t="s">
        <v>3942</v>
      </c>
      <c r="Z310" s="3661"/>
      <c r="AA310" s="3620" t="s">
        <v>7045</v>
      </c>
      <c r="AB310" s="3624" t="s">
        <v>2878</v>
      </c>
      <c r="AC310" s="4058">
        <v>2.3035</v>
      </c>
      <c r="AD310" s="3618">
        <f t="shared" si="190"/>
        <v>1658.52</v>
      </c>
      <c r="AE310" s="3633" t="s">
        <v>3944</v>
      </c>
      <c r="AF310" s="959" t="s">
        <v>6853</v>
      </c>
      <c r="AG310" s="3620" t="s">
        <v>416</v>
      </c>
      <c r="AH310" s="3620"/>
      <c r="AI310" s="3620"/>
      <c r="AJ310" s="3620"/>
      <c r="AK310" s="959"/>
      <c r="AL310" s="959"/>
      <c r="AM310" s="959">
        <f>I310</f>
        <v>720</v>
      </c>
      <c r="AN310" s="959"/>
      <c r="AO310" s="959"/>
      <c r="AP310" s="3618">
        <f t="shared" si="194"/>
        <v>720</v>
      </c>
      <c r="AQ310" s="3618"/>
      <c r="AR310" s="3626"/>
      <c r="AS310" s="3626"/>
      <c r="AT310" s="3626"/>
      <c r="AU310" s="3626">
        <f>I310</f>
        <v>720</v>
      </c>
      <c r="AV310" s="3626"/>
      <c r="AW310" s="3626"/>
      <c r="AX310" s="3626"/>
      <c r="AY310" s="3626">
        <f>I310/6</f>
        <v>120</v>
      </c>
      <c r="AZ310" s="3626"/>
      <c r="BA310" s="3626"/>
      <c r="BB310" s="3626"/>
      <c r="BC310" s="3626"/>
      <c r="BD310" s="3626"/>
      <c r="BE310" s="3626"/>
      <c r="BF310" s="3626"/>
      <c r="BG310" s="3626"/>
      <c r="BH310" s="3626"/>
      <c r="BI310" s="3626" t="s">
        <v>89</v>
      </c>
      <c r="BJ310" s="3626">
        <f t="shared" si="197"/>
        <v>24</v>
      </c>
      <c r="BK310" s="3626">
        <f t="shared" si="198"/>
        <v>120</v>
      </c>
      <c r="BL310" s="3626">
        <f t="shared" si="199"/>
        <v>120</v>
      </c>
      <c r="BM310" s="3626">
        <f t="shared" si="200"/>
        <v>96</v>
      </c>
      <c r="BN310" s="3626">
        <f t="shared" si="201"/>
        <v>120</v>
      </c>
      <c r="BO310" s="4055">
        <f t="shared" si="202"/>
        <v>120</v>
      </c>
      <c r="BP310" s="3627">
        <f t="shared" si="203"/>
        <v>120</v>
      </c>
      <c r="BQ310" s="3627">
        <f t="shared" si="204"/>
        <v>720</v>
      </c>
      <c r="BR310" s="3627">
        <f t="shared" si="205"/>
        <v>0</v>
      </c>
      <c r="BS310" s="4056"/>
      <c r="BT310" s="4057"/>
    </row>
    <row r="311" s="3566" customFormat="1" ht="50" customHeight="1" spans="1:72">
      <c r="A311" s="3635">
        <v>45731</v>
      </c>
      <c r="B311" s="3630" t="s">
        <v>387</v>
      </c>
      <c r="C311" s="3617" t="s">
        <v>91</v>
      </c>
      <c r="D311" s="3629">
        <v>4500151563</v>
      </c>
      <c r="E311" s="959">
        <v>70054078</v>
      </c>
      <c r="F311" s="3631" t="s">
        <v>7046</v>
      </c>
      <c r="G311" s="959" t="s">
        <v>3520</v>
      </c>
      <c r="H311" s="3618" t="s">
        <v>6063</v>
      </c>
      <c r="I311" s="3618">
        <v>600</v>
      </c>
      <c r="J311" s="3618">
        <v>0</v>
      </c>
      <c r="K311" s="3618">
        <v>24</v>
      </c>
      <c r="L311" s="4052">
        <f t="shared" si="177"/>
        <v>25</v>
      </c>
      <c r="M311" s="3619">
        <v>45841</v>
      </c>
      <c r="N311" s="3619">
        <f>M311-3</f>
        <v>45838</v>
      </c>
      <c r="O311" s="4085"/>
      <c r="P311" s="959" t="s">
        <v>82</v>
      </c>
      <c r="Q311" s="959"/>
      <c r="R311" s="959"/>
      <c r="S311" s="959"/>
      <c r="T311" s="4053"/>
      <c r="U311" s="3620" t="s">
        <v>1418</v>
      </c>
      <c r="V311" s="3640" t="s">
        <v>390</v>
      </c>
      <c r="W311" s="3640"/>
      <c r="X311" s="3695" t="s">
        <v>98</v>
      </c>
      <c r="Y311" s="3640"/>
      <c r="Z311" s="3618"/>
      <c r="AA311" s="3620" t="s">
        <v>1531</v>
      </c>
      <c r="AB311" s="3624" t="s">
        <v>393</v>
      </c>
      <c r="AC311" s="4058">
        <v>2.1947</v>
      </c>
      <c r="AD311" s="3618">
        <f t="shared" si="190"/>
        <v>1316.82</v>
      </c>
      <c r="AE311" s="3633"/>
      <c r="AF311" s="959" t="s">
        <v>3520</v>
      </c>
      <c r="AG311" s="3620" t="s">
        <v>416</v>
      </c>
      <c r="AH311" s="3620"/>
      <c r="AI311" s="3620"/>
      <c r="AJ311" s="3620"/>
      <c r="AK311" s="959">
        <f>I311</f>
        <v>600</v>
      </c>
      <c r="AL311" s="959"/>
      <c r="AM311" s="959"/>
      <c r="AN311" s="959"/>
      <c r="AO311" s="959"/>
      <c r="AP311" s="3618">
        <f t="shared" si="194"/>
        <v>600</v>
      </c>
      <c r="AQ311" s="3618"/>
      <c r="AR311" s="3626"/>
      <c r="AS311" s="3626">
        <f t="shared" ref="AS311:AS336" si="206">I311</f>
        <v>600</v>
      </c>
      <c r="AT311" s="3626"/>
      <c r="AU311" s="3626"/>
      <c r="AV311" s="3626"/>
      <c r="AW311" s="3626"/>
      <c r="AX311" s="3626"/>
      <c r="AY311" s="3626"/>
      <c r="AZ311" s="3626"/>
      <c r="BA311" s="3626"/>
      <c r="BB311" s="3626"/>
      <c r="BC311" s="3626"/>
      <c r="BD311" s="3626"/>
      <c r="BE311" s="3626"/>
      <c r="BF311" s="3626"/>
      <c r="BG311" s="3626"/>
      <c r="BH311" s="3626"/>
      <c r="BI311" s="3626" t="s">
        <v>89</v>
      </c>
      <c r="BJ311" s="3626">
        <f t="shared" si="197"/>
        <v>20</v>
      </c>
      <c r="BK311" s="3626">
        <f t="shared" si="198"/>
        <v>100</v>
      </c>
      <c r="BL311" s="3626">
        <f t="shared" si="199"/>
        <v>100</v>
      </c>
      <c r="BM311" s="3626">
        <f t="shared" si="200"/>
        <v>80</v>
      </c>
      <c r="BN311" s="3626">
        <f t="shared" si="201"/>
        <v>100</v>
      </c>
      <c r="BO311" s="4055">
        <f t="shared" si="202"/>
        <v>100</v>
      </c>
      <c r="BP311" s="3627">
        <f t="shared" si="203"/>
        <v>100</v>
      </c>
      <c r="BQ311" s="3627">
        <f t="shared" si="204"/>
        <v>600</v>
      </c>
      <c r="BR311" s="3627">
        <f t="shared" si="205"/>
        <v>0</v>
      </c>
      <c r="BS311" s="4056"/>
      <c r="BT311" s="4057"/>
    </row>
    <row r="312" s="3566" customFormat="1" ht="50" customHeight="1" spans="1:72">
      <c r="A312" s="3635">
        <v>45763</v>
      </c>
      <c r="B312" s="3617" t="s">
        <v>3811</v>
      </c>
      <c r="C312" s="3617" t="s">
        <v>3812</v>
      </c>
      <c r="D312" s="3624">
        <v>4500163691</v>
      </c>
      <c r="E312" s="959" t="s">
        <v>3813</v>
      </c>
      <c r="F312" s="3617" t="s">
        <v>7047</v>
      </c>
      <c r="G312" s="959" t="s">
        <v>6124</v>
      </c>
      <c r="H312" s="3618" t="s">
        <v>6063</v>
      </c>
      <c r="I312" s="3618">
        <v>3000</v>
      </c>
      <c r="J312" s="3618">
        <v>0</v>
      </c>
      <c r="K312" s="3618">
        <v>12</v>
      </c>
      <c r="L312" s="4052">
        <f t="shared" si="177"/>
        <v>250</v>
      </c>
      <c r="M312" s="3659">
        <v>45818</v>
      </c>
      <c r="N312" s="3659">
        <v>45845</v>
      </c>
      <c r="O312" s="4085"/>
      <c r="P312" s="3682" t="s">
        <v>82</v>
      </c>
      <c r="Q312" s="3682"/>
      <c r="R312" s="3682"/>
      <c r="S312" s="3682"/>
      <c r="T312" s="4083"/>
      <c r="U312" s="3645" t="s">
        <v>200</v>
      </c>
      <c r="V312" s="3649" t="s">
        <v>3815</v>
      </c>
      <c r="W312" s="3657"/>
      <c r="X312" s="3657" t="s">
        <v>3816</v>
      </c>
      <c r="Y312" s="3640"/>
      <c r="Z312" s="3623"/>
      <c r="AA312" s="3620" t="s">
        <v>7048</v>
      </c>
      <c r="AB312" s="3624" t="s">
        <v>3805</v>
      </c>
      <c r="AC312" s="4058">
        <v>2.2504</v>
      </c>
      <c r="AD312" s="3618">
        <f t="shared" si="190"/>
        <v>6751.2</v>
      </c>
      <c r="AE312" s="3633" t="s">
        <v>3818</v>
      </c>
      <c r="AF312" s="959" t="s">
        <v>6126</v>
      </c>
      <c r="AG312" s="3620" t="s">
        <v>416</v>
      </c>
      <c r="AH312" s="3620"/>
      <c r="AI312" s="3620"/>
      <c r="AJ312" s="3620"/>
      <c r="AK312" s="959"/>
      <c r="AL312" s="959"/>
      <c r="AM312" s="959">
        <f>I312</f>
        <v>3000</v>
      </c>
      <c r="AN312" s="959"/>
      <c r="AO312" s="3618"/>
      <c r="AP312" s="3618">
        <f t="shared" si="194"/>
        <v>3000</v>
      </c>
      <c r="AQ312" s="3618"/>
      <c r="AR312" s="3626"/>
      <c r="AS312" s="3626">
        <f t="shared" si="206"/>
        <v>3000</v>
      </c>
      <c r="AT312" s="3626"/>
      <c r="AU312" s="3626"/>
      <c r="AV312" s="3626"/>
      <c r="AW312" s="3626">
        <f>I312/6</f>
        <v>500</v>
      </c>
      <c r="AX312" s="3626"/>
      <c r="AY312" s="3626"/>
      <c r="AZ312" s="3626"/>
      <c r="BA312" s="3626"/>
      <c r="BB312" s="3626"/>
      <c r="BC312" s="3626"/>
      <c r="BD312" s="3626"/>
      <c r="BE312" s="3626"/>
      <c r="BF312" s="3626"/>
      <c r="BG312" s="3626"/>
      <c r="BH312" s="3626"/>
      <c r="BI312" s="3626" t="s">
        <v>89</v>
      </c>
      <c r="BJ312" s="3626">
        <f t="shared" si="197"/>
        <v>100</v>
      </c>
      <c r="BK312" s="3626">
        <f t="shared" si="198"/>
        <v>500</v>
      </c>
      <c r="BL312" s="3626">
        <f t="shared" si="199"/>
        <v>500</v>
      </c>
      <c r="BM312" s="3626">
        <f t="shared" si="200"/>
        <v>400</v>
      </c>
      <c r="BN312" s="3626">
        <f t="shared" si="201"/>
        <v>500</v>
      </c>
      <c r="BO312" s="4055">
        <f t="shared" si="202"/>
        <v>500</v>
      </c>
      <c r="BP312" s="3627">
        <f t="shared" si="203"/>
        <v>500</v>
      </c>
      <c r="BQ312" s="3627">
        <f t="shared" si="204"/>
        <v>3000</v>
      </c>
      <c r="BR312" s="3627">
        <f t="shared" si="205"/>
        <v>0</v>
      </c>
      <c r="BS312" s="4056"/>
      <c r="BT312" s="4057"/>
    </row>
    <row r="313" s="3566" customFormat="1" ht="50" customHeight="1" spans="1:72">
      <c r="A313" s="3635">
        <v>45803</v>
      </c>
      <c r="B313" s="3617" t="s">
        <v>3608</v>
      </c>
      <c r="C313" s="3617" t="s">
        <v>738</v>
      </c>
      <c r="D313" s="3624">
        <v>4500167897</v>
      </c>
      <c r="E313" s="3618">
        <v>5251217149</v>
      </c>
      <c r="F313" s="3617" t="s">
        <v>7049</v>
      </c>
      <c r="G313" s="959" t="s">
        <v>3520</v>
      </c>
      <c r="H313" s="3618" t="s">
        <v>6063</v>
      </c>
      <c r="I313" s="3618">
        <v>96</v>
      </c>
      <c r="J313" s="3618">
        <v>0</v>
      </c>
      <c r="K313" s="3618">
        <v>24</v>
      </c>
      <c r="L313" s="4052">
        <f t="shared" si="177"/>
        <v>4</v>
      </c>
      <c r="M313" s="3619">
        <v>45836</v>
      </c>
      <c r="N313" s="3619">
        <v>45832</v>
      </c>
      <c r="O313" s="3664"/>
      <c r="P313" s="959" t="s">
        <v>82</v>
      </c>
      <c r="Q313" s="959"/>
      <c r="R313" s="959"/>
      <c r="S313" s="959"/>
      <c r="T313" s="4053"/>
      <c r="U313" s="3620" t="s">
        <v>200</v>
      </c>
      <c r="V313" s="3649" t="s">
        <v>3992</v>
      </c>
      <c r="W313" s="3657"/>
      <c r="X313" s="3657" t="s">
        <v>7050</v>
      </c>
      <c r="Y313" s="3657"/>
      <c r="Z313" s="3661"/>
      <c r="AA313" s="3620" t="s">
        <v>7051</v>
      </c>
      <c r="AB313" s="3624" t="s">
        <v>1257</v>
      </c>
      <c r="AC313" s="4058">
        <v>2.2017</v>
      </c>
      <c r="AD313" s="3618">
        <f t="shared" si="190"/>
        <v>211.3632</v>
      </c>
      <c r="AE313" s="3633" t="s">
        <v>3995</v>
      </c>
      <c r="AF313" s="959" t="s">
        <v>6263</v>
      </c>
      <c r="AG313" s="3620" t="s">
        <v>416</v>
      </c>
      <c r="AH313" s="3620"/>
      <c r="AI313" s="3620"/>
      <c r="AJ313" s="3620"/>
      <c r="AK313" s="959"/>
      <c r="AL313" s="959"/>
      <c r="AM313" s="959">
        <f>I313</f>
        <v>96</v>
      </c>
      <c r="AN313" s="959"/>
      <c r="AO313" s="959"/>
      <c r="AP313" s="3618">
        <f t="shared" si="194"/>
        <v>96</v>
      </c>
      <c r="AQ313" s="3618"/>
      <c r="AR313" s="3626"/>
      <c r="AS313" s="3626">
        <f t="shared" si="206"/>
        <v>96</v>
      </c>
      <c r="AT313" s="3626"/>
      <c r="AU313" s="3626"/>
      <c r="AV313" s="3626"/>
      <c r="AW313" s="3626"/>
      <c r="AX313" s="3626"/>
      <c r="AY313" s="3626"/>
      <c r="AZ313" s="3626"/>
      <c r="BA313" s="3626"/>
      <c r="BB313" s="3626"/>
      <c r="BC313" s="3626"/>
      <c r="BD313" s="3626"/>
      <c r="BE313" s="3626"/>
      <c r="BF313" s="3626"/>
      <c r="BG313" s="3626"/>
      <c r="BH313" s="3626"/>
      <c r="BI313" s="3626" t="s">
        <v>89</v>
      </c>
      <c r="BJ313" s="3626">
        <f t="shared" si="197"/>
        <v>3.2</v>
      </c>
      <c r="BK313" s="3626">
        <f t="shared" si="198"/>
        <v>16</v>
      </c>
      <c r="BL313" s="3626">
        <f t="shared" si="199"/>
        <v>16</v>
      </c>
      <c r="BM313" s="3626">
        <f t="shared" si="200"/>
        <v>12.8</v>
      </c>
      <c r="BN313" s="3626">
        <f t="shared" si="201"/>
        <v>16</v>
      </c>
      <c r="BO313" s="4055">
        <f t="shared" si="202"/>
        <v>16</v>
      </c>
      <c r="BP313" s="3627">
        <f t="shared" si="203"/>
        <v>16</v>
      </c>
      <c r="BQ313" s="3627">
        <f t="shared" si="204"/>
        <v>96</v>
      </c>
      <c r="BR313" s="3627">
        <f t="shared" si="205"/>
        <v>0</v>
      </c>
      <c r="BS313" s="4056"/>
      <c r="BT313" s="4057"/>
    </row>
    <row r="314" s="3566" customFormat="1" ht="50" customHeight="1" spans="1:72">
      <c r="A314" s="3635">
        <v>45792</v>
      </c>
      <c r="B314" s="3617" t="s">
        <v>1384</v>
      </c>
      <c r="C314" s="3617" t="s">
        <v>1385</v>
      </c>
      <c r="D314" s="3624">
        <v>4500166516</v>
      </c>
      <c r="E314" s="3618"/>
      <c r="F314" s="3617" t="s">
        <v>7052</v>
      </c>
      <c r="G314" s="959" t="s">
        <v>6195</v>
      </c>
      <c r="H314" s="3618" t="s">
        <v>6063</v>
      </c>
      <c r="I314" s="3618">
        <v>480</v>
      </c>
      <c r="J314" s="3618">
        <v>0</v>
      </c>
      <c r="K314" s="3618">
        <v>12</v>
      </c>
      <c r="L314" s="4052">
        <f t="shared" si="177"/>
        <v>40</v>
      </c>
      <c r="M314" s="3619">
        <v>45838</v>
      </c>
      <c r="N314" s="3619">
        <v>45834</v>
      </c>
      <c r="O314" s="4085"/>
      <c r="P314" s="959" t="s">
        <v>82</v>
      </c>
      <c r="Q314" s="959"/>
      <c r="R314" s="959"/>
      <c r="S314" s="959"/>
      <c r="T314" s="4053"/>
      <c r="U314" s="3620" t="s">
        <v>1387</v>
      </c>
      <c r="V314" s="3649" t="s">
        <v>229</v>
      </c>
      <c r="W314" s="3657"/>
      <c r="X314" s="3657" t="s">
        <v>98</v>
      </c>
      <c r="Y314" s="3657"/>
      <c r="Z314" s="3661"/>
      <c r="AA314" s="3620" t="s">
        <v>1388</v>
      </c>
      <c r="AB314" s="3624" t="s">
        <v>1389</v>
      </c>
      <c r="AC314" s="4058">
        <v>2.2559</v>
      </c>
      <c r="AD314" s="3618">
        <f t="shared" si="190"/>
        <v>1082.832</v>
      </c>
      <c r="AE314" s="3633"/>
      <c r="AF314" s="959" t="s">
        <v>6195</v>
      </c>
      <c r="AG314" s="3620" t="s">
        <v>416</v>
      </c>
      <c r="AH314" s="3620"/>
      <c r="AI314" s="3620"/>
      <c r="AJ314" s="3620"/>
      <c r="AK314" s="959">
        <f>I314</f>
        <v>480</v>
      </c>
      <c r="AL314" s="959"/>
      <c r="AM314" s="959"/>
      <c r="AN314" s="959"/>
      <c r="AO314" s="959"/>
      <c r="AP314" s="3618">
        <f t="shared" si="194"/>
        <v>480</v>
      </c>
      <c r="AQ314" s="3618"/>
      <c r="AR314" s="3626"/>
      <c r="AS314" s="3626">
        <f t="shared" si="206"/>
        <v>480</v>
      </c>
      <c r="AT314" s="3626"/>
      <c r="AU314" s="3626"/>
      <c r="AV314" s="3626"/>
      <c r="AW314" s="3626"/>
      <c r="AX314" s="3626"/>
      <c r="AY314" s="3626">
        <f>I314/6</f>
        <v>80</v>
      </c>
      <c r="AZ314" s="3626"/>
      <c r="BA314" s="3626"/>
      <c r="BB314" s="3626"/>
      <c r="BC314" s="3626"/>
      <c r="BD314" s="3626"/>
      <c r="BE314" s="3626"/>
      <c r="BF314" s="3626"/>
      <c r="BG314" s="3626"/>
      <c r="BH314" s="3626"/>
      <c r="BI314" s="3626" t="s">
        <v>89</v>
      </c>
      <c r="BJ314" s="3626">
        <f t="shared" si="197"/>
        <v>16</v>
      </c>
      <c r="BK314" s="3626">
        <f t="shared" si="198"/>
        <v>80</v>
      </c>
      <c r="BL314" s="3626">
        <f t="shared" si="199"/>
        <v>80</v>
      </c>
      <c r="BM314" s="3626">
        <f t="shared" si="200"/>
        <v>64</v>
      </c>
      <c r="BN314" s="3626">
        <f t="shared" si="201"/>
        <v>80</v>
      </c>
      <c r="BO314" s="4055">
        <f t="shared" si="202"/>
        <v>80</v>
      </c>
      <c r="BP314" s="3627">
        <f t="shared" si="203"/>
        <v>80</v>
      </c>
      <c r="BQ314" s="3627">
        <f t="shared" si="204"/>
        <v>480</v>
      </c>
      <c r="BR314" s="3627">
        <f t="shared" si="205"/>
        <v>0</v>
      </c>
      <c r="BS314" s="4056"/>
      <c r="BT314" s="4057"/>
    </row>
    <row r="315" s="3566" customFormat="1" ht="50" customHeight="1" spans="1:72">
      <c r="A315" s="3635">
        <v>45796</v>
      </c>
      <c r="B315" s="3617" t="s">
        <v>7053</v>
      </c>
      <c r="C315" s="3617" t="s">
        <v>341</v>
      </c>
      <c r="D315" s="3624">
        <v>4500166846</v>
      </c>
      <c r="E315" s="3618" t="s">
        <v>7054</v>
      </c>
      <c r="F315" s="3617" t="s">
        <v>7055</v>
      </c>
      <c r="G315" s="959" t="s">
        <v>6124</v>
      </c>
      <c r="H315" s="3618" t="s">
        <v>6063</v>
      </c>
      <c r="I315" s="3618">
        <v>504</v>
      </c>
      <c r="J315" s="3618">
        <v>0</v>
      </c>
      <c r="K315" s="3618">
        <v>12</v>
      </c>
      <c r="L315" s="4052">
        <f t="shared" si="177"/>
        <v>42</v>
      </c>
      <c r="M315" s="3619">
        <v>45839</v>
      </c>
      <c r="N315" s="3619">
        <f>M315-4</f>
        <v>45835</v>
      </c>
      <c r="O315" s="3664" t="s">
        <v>7056</v>
      </c>
      <c r="P315" s="959" t="s">
        <v>82</v>
      </c>
      <c r="Q315" s="959"/>
      <c r="R315" s="959"/>
      <c r="S315" s="959"/>
      <c r="T315" s="4053"/>
      <c r="U315" s="3620" t="s">
        <v>4042</v>
      </c>
      <c r="V315" s="3649" t="s">
        <v>7057</v>
      </c>
      <c r="W315" s="3649"/>
      <c r="X315" s="3649" t="s">
        <v>98</v>
      </c>
      <c r="Y315" s="3649"/>
      <c r="Z315" s="3661"/>
      <c r="AA315" s="4065" t="s">
        <v>7058</v>
      </c>
      <c r="AB315" s="3624" t="s">
        <v>87</v>
      </c>
      <c r="AC315" s="4058">
        <v>2.2023</v>
      </c>
      <c r="AD315" s="3618">
        <f t="shared" si="190"/>
        <v>1109.9592</v>
      </c>
      <c r="AE315" s="3633" t="s">
        <v>7059</v>
      </c>
      <c r="AF315" s="959" t="s">
        <v>6124</v>
      </c>
      <c r="AG315" s="3620" t="s">
        <v>416</v>
      </c>
      <c r="AH315" s="3620"/>
      <c r="AI315" s="3620"/>
      <c r="AJ315" s="3620"/>
      <c r="AK315" s="959">
        <f>I315</f>
        <v>504</v>
      </c>
      <c r="AL315" s="959"/>
      <c r="AM315" s="959"/>
      <c r="AN315" s="959"/>
      <c r="AO315" s="959"/>
      <c r="AP315" s="3618">
        <f t="shared" si="194"/>
        <v>504</v>
      </c>
      <c r="AQ315" s="3618"/>
      <c r="AR315" s="3626"/>
      <c r="AS315" s="3626">
        <f t="shared" si="206"/>
        <v>504</v>
      </c>
      <c r="AT315" s="3626"/>
      <c r="AU315" s="3626"/>
      <c r="AV315" s="3626"/>
      <c r="AW315" s="3626">
        <f>I315/6</f>
        <v>84</v>
      </c>
      <c r="AX315" s="3626"/>
      <c r="AY315" s="3626"/>
      <c r="AZ315" s="3626"/>
      <c r="BA315" s="3626"/>
      <c r="BB315" s="3626"/>
      <c r="BC315" s="3626"/>
      <c r="BD315" s="3626"/>
      <c r="BE315" s="3626"/>
      <c r="BF315" s="3626"/>
      <c r="BG315" s="3626"/>
      <c r="BH315" s="3626"/>
      <c r="BI315" s="3626" t="s">
        <v>89</v>
      </c>
      <c r="BJ315" s="3626">
        <f t="shared" si="197"/>
        <v>16.8</v>
      </c>
      <c r="BK315" s="3626">
        <f t="shared" si="198"/>
        <v>84</v>
      </c>
      <c r="BL315" s="3626">
        <f t="shared" si="199"/>
        <v>84</v>
      </c>
      <c r="BM315" s="3626">
        <f t="shared" si="200"/>
        <v>67.2</v>
      </c>
      <c r="BN315" s="3626">
        <f t="shared" si="201"/>
        <v>84</v>
      </c>
      <c r="BO315" s="4055">
        <f t="shared" si="202"/>
        <v>84</v>
      </c>
      <c r="BP315" s="3627">
        <f t="shared" si="203"/>
        <v>84</v>
      </c>
      <c r="BQ315" s="3627">
        <f t="shared" si="204"/>
        <v>504</v>
      </c>
      <c r="BR315" s="3627">
        <f t="shared" si="205"/>
        <v>0</v>
      </c>
      <c r="BS315" s="4056"/>
      <c r="BT315" s="4057"/>
    </row>
    <row r="316" s="3566" customFormat="1" ht="50" customHeight="1" spans="1:72">
      <c r="A316" s="3635">
        <v>45798</v>
      </c>
      <c r="B316" s="3617" t="s">
        <v>7060</v>
      </c>
      <c r="C316" s="3617" t="s">
        <v>91</v>
      </c>
      <c r="D316" s="3624">
        <v>4500167106</v>
      </c>
      <c r="E316" s="3618" t="s">
        <v>7061</v>
      </c>
      <c r="F316" s="3624" t="s">
        <v>7062</v>
      </c>
      <c r="G316" s="959" t="s">
        <v>6195</v>
      </c>
      <c r="H316" s="3618" t="s">
        <v>6063</v>
      </c>
      <c r="I316" s="3618">
        <v>336</v>
      </c>
      <c r="J316" s="3618">
        <v>0</v>
      </c>
      <c r="K316" s="3618">
        <v>12</v>
      </c>
      <c r="L316" s="4052">
        <f t="shared" si="177"/>
        <v>28</v>
      </c>
      <c r="M316" s="3619">
        <v>45839</v>
      </c>
      <c r="N316" s="3619">
        <f>M316-4</f>
        <v>45835</v>
      </c>
      <c r="O316" s="3664" t="s">
        <v>7063</v>
      </c>
      <c r="P316" s="959" t="s">
        <v>82</v>
      </c>
      <c r="Q316" s="959"/>
      <c r="R316" s="959"/>
      <c r="S316" s="959"/>
      <c r="T316" s="4053"/>
      <c r="U316" s="3620" t="s">
        <v>5977</v>
      </c>
      <c r="V316" s="3649" t="s">
        <v>1412</v>
      </c>
      <c r="W316" s="3649"/>
      <c r="X316" s="3657" t="s">
        <v>98</v>
      </c>
      <c r="Y316" s="3649"/>
      <c r="Z316" s="3661"/>
      <c r="AA316" s="3620" t="s">
        <v>7064</v>
      </c>
      <c r="AB316" s="3624" t="s">
        <v>2802</v>
      </c>
      <c r="AC316" s="4058">
        <v>1.3535</v>
      </c>
      <c r="AD316" s="3618">
        <f t="shared" si="190"/>
        <v>454.776</v>
      </c>
      <c r="AE316" s="3633" t="s">
        <v>7065</v>
      </c>
      <c r="AF316" s="959" t="s">
        <v>6195</v>
      </c>
      <c r="AG316" s="3620" t="s">
        <v>416</v>
      </c>
      <c r="AH316" s="3620"/>
      <c r="AI316" s="3620"/>
      <c r="AJ316" s="3620"/>
      <c r="AK316" s="959">
        <f>I316</f>
        <v>336</v>
      </c>
      <c r="AL316" s="959"/>
      <c r="AM316" s="959"/>
      <c r="AN316" s="959"/>
      <c r="AO316" s="959"/>
      <c r="AP316" s="3618">
        <f t="shared" si="194"/>
        <v>336</v>
      </c>
      <c r="AQ316" s="3618"/>
      <c r="AR316" s="3626"/>
      <c r="AS316" s="3626">
        <f t="shared" si="206"/>
        <v>336</v>
      </c>
      <c r="AT316" s="3626"/>
      <c r="AU316" s="3626"/>
      <c r="AV316" s="3626"/>
      <c r="AW316" s="3626"/>
      <c r="AX316" s="3626"/>
      <c r="AY316" s="3626">
        <f>I316/6</f>
        <v>56</v>
      </c>
      <c r="AZ316" s="3626"/>
      <c r="BA316" s="3626"/>
      <c r="BB316" s="3626"/>
      <c r="BC316" s="3626"/>
      <c r="BD316" s="3626"/>
      <c r="BE316" s="3626"/>
      <c r="BF316" s="3626"/>
      <c r="BG316" s="3626"/>
      <c r="BH316" s="3626"/>
      <c r="BI316" s="3626" t="s">
        <v>89</v>
      </c>
      <c r="BJ316" s="3626">
        <f t="shared" si="197"/>
        <v>11.2</v>
      </c>
      <c r="BK316" s="3626">
        <f t="shared" si="198"/>
        <v>56</v>
      </c>
      <c r="BL316" s="3626">
        <f t="shared" si="199"/>
        <v>56</v>
      </c>
      <c r="BM316" s="3626">
        <f t="shared" si="200"/>
        <v>44.8</v>
      </c>
      <c r="BN316" s="3626">
        <f t="shared" si="201"/>
        <v>56</v>
      </c>
      <c r="BO316" s="4055">
        <f t="shared" si="202"/>
        <v>56</v>
      </c>
      <c r="BP316" s="3627">
        <f t="shared" si="203"/>
        <v>56</v>
      </c>
      <c r="BQ316" s="3627">
        <f t="shared" si="204"/>
        <v>336</v>
      </c>
      <c r="BR316" s="3627">
        <f t="shared" si="205"/>
        <v>0</v>
      </c>
      <c r="BS316" s="4056"/>
      <c r="BT316" s="4057"/>
    </row>
    <row r="317" s="3566" customFormat="1" ht="50" customHeight="1" spans="1:72">
      <c r="A317" s="3635">
        <v>45804</v>
      </c>
      <c r="B317" s="3617" t="s">
        <v>2628</v>
      </c>
      <c r="C317" s="3617" t="s">
        <v>738</v>
      </c>
      <c r="D317" s="3624">
        <v>4500168127</v>
      </c>
      <c r="E317" s="3618" t="s">
        <v>3963</v>
      </c>
      <c r="F317" s="3618" t="s">
        <v>7066</v>
      </c>
      <c r="G317" s="959" t="s">
        <v>6218</v>
      </c>
      <c r="H317" s="3618" t="s">
        <v>6092</v>
      </c>
      <c r="I317" s="3618">
        <v>32</v>
      </c>
      <c r="J317" s="3618">
        <v>0</v>
      </c>
      <c r="K317" s="3618">
        <v>32</v>
      </c>
      <c r="L317" s="4052">
        <f t="shared" si="177"/>
        <v>1</v>
      </c>
      <c r="M317" s="3619">
        <v>45834</v>
      </c>
      <c r="N317" s="3619">
        <v>45839</v>
      </c>
      <c r="O317" s="959"/>
      <c r="P317" s="959" t="s">
        <v>82</v>
      </c>
      <c r="Q317" s="959"/>
      <c r="R317" s="959"/>
      <c r="S317" s="959"/>
      <c r="T317" s="4053"/>
      <c r="U317" s="3620" t="s">
        <v>1387</v>
      </c>
      <c r="V317" s="3649" t="s">
        <v>3965</v>
      </c>
      <c r="W317" s="3657"/>
      <c r="X317" s="3657" t="s">
        <v>7067</v>
      </c>
      <c r="Y317" s="3657" t="s">
        <v>3967</v>
      </c>
      <c r="Z317" s="3661" t="s">
        <v>7068</v>
      </c>
      <c r="AA317" s="3620" t="s">
        <v>7069</v>
      </c>
      <c r="AB317" s="3624" t="s">
        <v>1257</v>
      </c>
      <c r="AC317" s="3686">
        <v>2.1493</v>
      </c>
      <c r="AD317" s="3618">
        <f t="shared" si="190"/>
        <v>68.7776</v>
      </c>
      <c r="AE317" s="3633" t="s">
        <v>3969</v>
      </c>
      <c r="AF317" s="959" t="s">
        <v>6534</v>
      </c>
      <c r="AG317" s="3620" t="s">
        <v>416</v>
      </c>
      <c r="AH317" s="3620"/>
      <c r="AI317" s="3620"/>
      <c r="AJ317" s="3620"/>
      <c r="AK317" s="959"/>
      <c r="AL317" s="959"/>
      <c r="AM317" s="959">
        <f>I317</f>
        <v>32</v>
      </c>
      <c r="AN317" s="959"/>
      <c r="AO317" s="959"/>
      <c r="AP317" s="3618">
        <f t="shared" si="194"/>
        <v>32</v>
      </c>
      <c r="AQ317" s="3618"/>
      <c r="AR317" s="3626"/>
      <c r="AS317" s="3626">
        <f t="shared" si="206"/>
        <v>32</v>
      </c>
      <c r="AT317" s="3626"/>
      <c r="AU317" s="3626"/>
      <c r="AV317" s="3626"/>
      <c r="AW317" s="3626"/>
      <c r="AX317" s="3626"/>
      <c r="AY317" s="3626"/>
      <c r="AZ317" s="3626"/>
      <c r="BA317" s="3626"/>
      <c r="BB317" s="3626"/>
      <c r="BC317" s="3626"/>
      <c r="BD317" s="3626"/>
      <c r="BE317" s="3626"/>
      <c r="BF317" s="3626"/>
      <c r="BG317" s="3626"/>
      <c r="BH317" s="3626"/>
      <c r="BI317" s="3626" t="s">
        <v>89</v>
      </c>
      <c r="BJ317" s="3626"/>
      <c r="BK317" s="3626"/>
      <c r="BL317" s="3626"/>
      <c r="BM317" s="3626"/>
      <c r="BN317" s="3626"/>
      <c r="BO317" s="4055">
        <f>I317-BJ317</f>
        <v>32</v>
      </c>
      <c r="BP317" s="3627"/>
      <c r="BQ317" s="3627">
        <f t="shared" si="204"/>
        <v>32</v>
      </c>
      <c r="BR317" s="3627">
        <f t="shared" si="205"/>
        <v>0</v>
      </c>
      <c r="BS317" s="4056"/>
      <c r="BT317" s="4057"/>
    </row>
    <row r="318" s="3566" customFormat="1" ht="50" customHeight="1" spans="1:72">
      <c r="A318" s="3635">
        <v>45804</v>
      </c>
      <c r="B318" s="3617" t="s">
        <v>2628</v>
      </c>
      <c r="C318" s="3617" t="s">
        <v>738</v>
      </c>
      <c r="D318" s="3624">
        <v>4500168127</v>
      </c>
      <c r="E318" s="3618" t="s">
        <v>3974</v>
      </c>
      <c r="F318" s="3618" t="s">
        <v>7070</v>
      </c>
      <c r="G318" s="959" t="s">
        <v>6281</v>
      </c>
      <c r="H318" s="959" t="s">
        <v>6292</v>
      </c>
      <c r="I318" s="3618">
        <v>64</v>
      </c>
      <c r="J318" s="3618">
        <v>1</v>
      </c>
      <c r="K318" s="3618">
        <v>32</v>
      </c>
      <c r="L318" s="4052">
        <f t="shared" si="177"/>
        <v>2</v>
      </c>
      <c r="M318" s="3619">
        <v>45834</v>
      </c>
      <c r="N318" s="3619">
        <v>45839</v>
      </c>
      <c r="O318" s="959"/>
      <c r="P318" s="959" t="s">
        <v>82</v>
      </c>
      <c r="Q318" s="959"/>
      <c r="R318" s="959"/>
      <c r="S318" s="959"/>
      <c r="T318" s="4053"/>
      <c r="U318" s="3620" t="s">
        <v>1387</v>
      </c>
      <c r="V318" s="3649" t="s">
        <v>3965</v>
      </c>
      <c r="W318" s="3657"/>
      <c r="X318" s="3657" t="s">
        <v>7067</v>
      </c>
      <c r="Y318" s="3657" t="s">
        <v>3967</v>
      </c>
      <c r="Z318" s="3661" t="s">
        <v>7068</v>
      </c>
      <c r="AA318" s="3620" t="s">
        <v>7069</v>
      </c>
      <c r="AB318" s="3624" t="s">
        <v>1257</v>
      </c>
      <c r="AC318" s="4058">
        <v>2.3158</v>
      </c>
      <c r="AD318" s="3618">
        <f t="shared" si="190"/>
        <v>148.2112</v>
      </c>
      <c r="AE318" s="3633" t="s">
        <v>3969</v>
      </c>
      <c r="AF318" s="959" t="s">
        <v>6106</v>
      </c>
      <c r="AG318" s="3620" t="s">
        <v>416</v>
      </c>
      <c r="AH318" s="3620"/>
      <c r="AI318" s="3620"/>
      <c r="AJ318" s="3620"/>
      <c r="AK318" s="959"/>
      <c r="AL318" s="959"/>
      <c r="AM318" s="959">
        <f>I318</f>
        <v>64</v>
      </c>
      <c r="AN318" s="959"/>
      <c r="AO318" s="959"/>
      <c r="AP318" s="3618">
        <f t="shared" si="194"/>
        <v>64</v>
      </c>
      <c r="AQ318" s="3618"/>
      <c r="AR318" s="3626"/>
      <c r="AS318" s="3626">
        <f t="shared" si="206"/>
        <v>64</v>
      </c>
      <c r="AT318" s="3626"/>
      <c r="AU318" s="3626"/>
      <c r="AV318" s="3626"/>
      <c r="AW318" s="3626"/>
      <c r="AX318" s="3626"/>
      <c r="AY318" s="3626"/>
      <c r="AZ318" s="3626"/>
      <c r="BA318" s="3626"/>
      <c r="BB318" s="3626"/>
      <c r="BC318" s="3626"/>
      <c r="BD318" s="3626"/>
      <c r="BE318" s="3626"/>
      <c r="BF318" s="3626"/>
      <c r="BG318" s="3626"/>
      <c r="BH318" s="3626"/>
      <c r="BI318" s="3626" t="s">
        <v>89</v>
      </c>
      <c r="BJ318" s="3626"/>
      <c r="BK318" s="3626">
        <f>I318</f>
        <v>64</v>
      </c>
      <c r="BL318" s="3626"/>
      <c r="BM318" s="3626"/>
      <c r="BN318" s="3626"/>
      <c r="BO318" s="4055"/>
      <c r="BP318" s="3627"/>
      <c r="BQ318" s="3627">
        <f t="shared" si="204"/>
        <v>64</v>
      </c>
      <c r="BR318" s="3627">
        <f t="shared" si="205"/>
        <v>0</v>
      </c>
      <c r="BS318" s="4056"/>
      <c r="BT318" s="4057"/>
    </row>
    <row r="319" s="3566" customFormat="1" ht="50" customHeight="1" spans="1:72">
      <c r="A319" s="3635">
        <v>45804</v>
      </c>
      <c r="B319" s="3617" t="s">
        <v>2628</v>
      </c>
      <c r="C319" s="3617" t="s">
        <v>738</v>
      </c>
      <c r="D319" s="3624">
        <v>4500168127</v>
      </c>
      <c r="E319" s="3618" t="s">
        <v>7071</v>
      </c>
      <c r="F319" s="3618" t="s">
        <v>7072</v>
      </c>
      <c r="G319" s="959" t="s">
        <v>6528</v>
      </c>
      <c r="H319" s="959" t="s">
        <v>6529</v>
      </c>
      <c r="I319" s="3618">
        <v>32</v>
      </c>
      <c r="J319" s="3618">
        <v>0</v>
      </c>
      <c r="K319" s="3618">
        <v>32</v>
      </c>
      <c r="L319" s="4052">
        <f t="shared" si="177"/>
        <v>1</v>
      </c>
      <c r="M319" s="3619">
        <v>45834</v>
      </c>
      <c r="N319" s="3619">
        <v>45839</v>
      </c>
      <c r="O319" s="959"/>
      <c r="P319" s="959" t="s">
        <v>82</v>
      </c>
      <c r="Q319" s="959"/>
      <c r="R319" s="959"/>
      <c r="S319" s="959"/>
      <c r="T319" s="4053"/>
      <c r="U319" s="3620" t="s">
        <v>1387</v>
      </c>
      <c r="V319" s="3649" t="s">
        <v>3965</v>
      </c>
      <c r="W319" s="3657"/>
      <c r="X319" s="3657" t="s">
        <v>7067</v>
      </c>
      <c r="Y319" s="3657" t="s">
        <v>3967</v>
      </c>
      <c r="Z319" s="3661" t="s">
        <v>7068</v>
      </c>
      <c r="AA319" s="3620" t="s">
        <v>7069</v>
      </c>
      <c r="AB319" s="3624" t="s">
        <v>1257</v>
      </c>
      <c r="AC319" s="3686">
        <v>2.295</v>
      </c>
      <c r="AD319" s="3618">
        <f t="shared" si="190"/>
        <v>73.44</v>
      </c>
      <c r="AE319" s="3633" t="s">
        <v>3969</v>
      </c>
      <c r="AF319" s="959" t="s">
        <v>6531</v>
      </c>
      <c r="AG319" s="3620" t="s">
        <v>416</v>
      </c>
      <c r="AH319" s="3620"/>
      <c r="AI319" s="3620"/>
      <c r="AJ319" s="3620"/>
      <c r="AK319" s="959"/>
      <c r="AL319" s="959"/>
      <c r="AM319" s="959">
        <f>I319</f>
        <v>32</v>
      </c>
      <c r="AN319" s="959"/>
      <c r="AO319" s="959"/>
      <c r="AP319" s="3618">
        <f t="shared" si="194"/>
        <v>32</v>
      </c>
      <c r="AQ319" s="3618"/>
      <c r="AR319" s="3626"/>
      <c r="AS319" s="3626">
        <f t="shared" si="206"/>
        <v>32</v>
      </c>
      <c r="AT319" s="3626"/>
      <c r="AU319" s="3626"/>
      <c r="AV319" s="3626"/>
      <c r="AW319" s="3626"/>
      <c r="AX319" s="3626"/>
      <c r="AY319" s="3626"/>
      <c r="AZ319" s="3626"/>
      <c r="BA319" s="3626"/>
      <c r="BB319" s="3626"/>
      <c r="BC319" s="3626"/>
      <c r="BD319" s="3626"/>
      <c r="BE319" s="3626"/>
      <c r="BF319" s="3626"/>
      <c r="BG319" s="3626"/>
      <c r="BH319" s="3626"/>
      <c r="BI319" s="3626" t="s">
        <v>89</v>
      </c>
      <c r="BJ319" s="3626">
        <f>I319/60*2</f>
        <v>1.06666666666667</v>
      </c>
      <c r="BK319" s="3626"/>
      <c r="BL319" s="3626"/>
      <c r="BM319" s="3626">
        <f>I319-BJ319</f>
        <v>30.9333333333333</v>
      </c>
      <c r="BN319" s="3626"/>
      <c r="BO319" s="4055"/>
      <c r="BP319" s="3627"/>
      <c r="BQ319" s="3627">
        <f t="shared" si="204"/>
        <v>32</v>
      </c>
      <c r="BR319" s="3627">
        <f t="shared" si="205"/>
        <v>0</v>
      </c>
      <c r="BS319" s="4056"/>
      <c r="BT319" s="4057"/>
    </row>
    <row r="320" s="3566" customFormat="1" ht="50" customHeight="1" spans="1:72">
      <c r="A320" s="3635">
        <v>45804</v>
      </c>
      <c r="B320" s="3617" t="s">
        <v>2628</v>
      </c>
      <c r="C320" s="3617" t="s">
        <v>738</v>
      </c>
      <c r="D320" s="3624">
        <v>4500168127</v>
      </c>
      <c r="E320" s="3618" t="s">
        <v>7071</v>
      </c>
      <c r="F320" s="3618" t="s">
        <v>7073</v>
      </c>
      <c r="G320" s="959" t="s">
        <v>6241</v>
      </c>
      <c r="H320" s="3618" t="s">
        <v>6242</v>
      </c>
      <c r="I320" s="3618">
        <v>32</v>
      </c>
      <c r="J320" s="3618">
        <v>0</v>
      </c>
      <c r="K320" s="3618">
        <v>32</v>
      </c>
      <c r="L320" s="4052">
        <f t="shared" si="177"/>
        <v>1</v>
      </c>
      <c r="M320" s="3619">
        <v>45834</v>
      </c>
      <c r="N320" s="3619">
        <v>45839</v>
      </c>
      <c r="O320" s="959"/>
      <c r="P320" s="959" t="s">
        <v>82</v>
      </c>
      <c r="Q320" s="959"/>
      <c r="R320" s="959"/>
      <c r="S320" s="959"/>
      <c r="T320" s="4053"/>
      <c r="U320" s="3620" t="s">
        <v>1387</v>
      </c>
      <c r="V320" s="3649" t="s">
        <v>3965</v>
      </c>
      <c r="W320" s="3657"/>
      <c r="X320" s="3657" t="s">
        <v>7067</v>
      </c>
      <c r="Y320" s="3657" t="s">
        <v>3967</v>
      </c>
      <c r="Z320" s="3661" t="s">
        <v>7068</v>
      </c>
      <c r="AA320" s="3620" t="s">
        <v>7069</v>
      </c>
      <c r="AB320" s="3624" t="s">
        <v>1257</v>
      </c>
      <c r="AC320" s="3686">
        <v>2.1493</v>
      </c>
      <c r="AD320" s="3618">
        <f t="shared" si="190"/>
        <v>68.7776</v>
      </c>
      <c r="AE320" s="3633" t="s">
        <v>3969</v>
      </c>
      <c r="AF320" s="959" t="s">
        <v>6540</v>
      </c>
      <c r="AG320" s="3620" t="s">
        <v>416</v>
      </c>
      <c r="AH320" s="3620"/>
      <c r="AI320" s="3620"/>
      <c r="AJ320" s="3620"/>
      <c r="AK320" s="959"/>
      <c r="AL320" s="959"/>
      <c r="AM320" s="959">
        <f>I320</f>
        <v>32</v>
      </c>
      <c r="AN320" s="959"/>
      <c r="AO320" s="959"/>
      <c r="AP320" s="3618">
        <f t="shared" si="194"/>
        <v>32</v>
      </c>
      <c r="AQ320" s="3618"/>
      <c r="AR320" s="3626"/>
      <c r="AS320" s="3626">
        <f t="shared" si="206"/>
        <v>32</v>
      </c>
      <c r="AT320" s="3626"/>
      <c r="AU320" s="3626"/>
      <c r="AV320" s="3626"/>
      <c r="AW320" s="3626"/>
      <c r="AX320" s="3626"/>
      <c r="AY320" s="3626"/>
      <c r="AZ320" s="3626"/>
      <c r="BA320" s="3626"/>
      <c r="BB320" s="3626"/>
      <c r="BC320" s="3626"/>
      <c r="BD320" s="3626"/>
      <c r="BE320" s="3626"/>
      <c r="BF320" s="3626"/>
      <c r="BG320" s="3626"/>
      <c r="BH320" s="3626"/>
      <c r="BI320" s="3626" t="s">
        <v>89</v>
      </c>
      <c r="BJ320" s="3626"/>
      <c r="BK320" s="3626"/>
      <c r="BL320" s="3626"/>
      <c r="BM320" s="3626"/>
      <c r="BN320" s="3626">
        <f>I320-BJ320</f>
        <v>32</v>
      </c>
      <c r="BO320" s="4055"/>
      <c r="BP320" s="3627"/>
      <c r="BQ320" s="3627">
        <f t="shared" si="204"/>
        <v>32</v>
      </c>
      <c r="BR320" s="3627">
        <f t="shared" si="205"/>
        <v>0</v>
      </c>
      <c r="BS320" s="4056"/>
      <c r="BT320" s="4057"/>
    </row>
    <row r="321" s="3566" customFormat="1" ht="50" customHeight="1" spans="1:72">
      <c r="A321" s="3635">
        <v>45793</v>
      </c>
      <c r="B321" s="3617" t="s">
        <v>3982</v>
      </c>
      <c r="C321" s="3617" t="s">
        <v>738</v>
      </c>
      <c r="D321" s="3624">
        <v>4500165746</v>
      </c>
      <c r="E321" s="959"/>
      <c r="F321" s="3624" t="s">
        <v>7074</v>
      </c>
      <c r="G321" s="959" t="s">
        <v>6124</v>
      </c>
      <c r="H321" s="3618" t="s">
        <v>6063</v>
      </c>
      <c r="I321" s="3618">
        <v>552</v>
      </c>
      <c r="J321" s="3618">
        <v>0</v>
      </c>
      <c r="K321" s="3618">
        <v>12</v>
      </c>
      <c r="L321" s="4052">
        <f t="shared" si="177"/>
        <v>46</v>
      </c>
      <c r="M321" s="3619">
        <v>45835</v>
      </c>
      <c r="N321" s="3659">
        <v>45842</v>
      </c>
      <c r="O321" s="3618"/>
      <c r="P321" s="959" t="s">
        <v>82</v>
      </c>
      <c r="Q321" s="959"/>
      <c r="R321" s="959"/>
      <c r="S321" s="959"/>
      <c r="T321" s="4053"/>
      <c r="U321" s="3620" t="s">
        <v>1387</v>
      </c>
      <c r="V321" s="3657" t="s">
        <v>1455</v>
      </c>
      <c r="W321" s="3657"/>
      <c r="X321" s="3657" t="s">
        <v>3984</v>
      </c>
      <c r="Y321" s="3657"/>
      <c r="Z321" s="3661"/>
      <c r="AA321" s="3620" t="s">
        <v>7075</v>
      </c>
      <c r="AB321" s="4092" t="s">
        <v>1257</v>
      </c>
      <c r="AC321" s="4058">
        <v>2.259</v>
      </c>
      <c r="AD321" s="3618">
        <f t="shared" si="190"/>
        <v>1246.968</v>
      </c>
      <c r="AE321" s="3633" t="s">
        <v>3986</v>
      </c>
      <c r="AF321" s="959" t="s">
        <v>6126</v>
      </c>
      <c r="AG321" s="3620" t="s">
        <v>416</v>
      </c>
      <c r="AH321" s="3620"/>
      <c r="AI321" s="3620"/>
      <c r="AJ321" s="3620"/>
      <c r="AK321" s="959"/>
      <c r="AL321" s="959"/>
      <c r="AM321" s="959">
        <f>I321</f>
        <v>552</v>
      </c>
      <c r="AN321" s="959"/>
      <c r="AO321" s="959"/>
      <c r="AP321" s="3618">
        <f t="shared" si="194"/>
        <v>552</v>
      </c>
      <c r="AQ321" s="3618"/>
      <c r="AR321" s="3626"/>
      <c r="AS321" s="3626">
        <f t="shared" si="206"/>
        <v>552</v>
      </c>
      <c r="AT321" s="3626"/>
      <c r="AU321" s="3626"/>
      <c r="AV321" s="3626"/>
      <c r="AW321" s="3626">
        <f>I321/6</f>
        <v>92</v>
      </c>
      <c r="AX321" s="3626"/>
      <c r="AY321" s="3626"/>
      <c r="AZ321" s="3626"/>
      <c r="BA321" s="3626"/>
      <c r="BB321" s="3626"/>
      <c r="BC321" s="3626"/>
      <c r="BD321" s="3626"/>
      <c r="BE321" s="3626"/>
      <c r="BF321" s="3626"/>
      <c r="BG321" s="3626"/>
      <c r="BH321" s="3626"/>
      <c r="BI321" s="3626" t="s">
        <v>89</v>
      </c>
      <c r="BJ321" s="3626">
        <f>I321/60*2</f>
        <v>18.4</v>
      </c>
      <c r="BK321" s="3626">
        <f>I321/60*10</f>
        <v>92</v>
      </c>
      <c r="BL321" s="3626">
        <f>I321/60*10</f>
        <v>92</v>
      </c>
      <c r="BM321" s="3626">
        <f>I321/60*8</f>
        <v>73.6</v>
      </c>
      <c r="BN321" s="3626">
        <f>I321/60*10</f>
        <v>92</v>
      </c>
      <c r="BO321" s="4055">
        <f>I321/60*10</f>
        <v>92</v>
      </c>
      <c r="BP321" s="3627">
        <f>I321/60*10</f>
        <v>92</v>
      </c>
      <c r="BQ321" s="3627">
        <f t="shared" si="204"/>
        <v>552</v>
      </c>
      <c r="BR321" s="3627">
        <f t="shared" si="205"/>
        <v>0</v>
      </c>
      <c r="BS321" s="4056"/>
      <c r="BT321" s="4057"/>
    </row>
    <row r="322" s="3566" customFormat="1" ht="50" customHeight="1" spans="1:72">
      <c r="A322" s="3635">
        <v>45800</v>
      </c>
      <c r="B322" s="3617" t="s">
        <v>6177</v>
      </c>
      <c r="C322" s="3617" t="s">
        <v>506</v>
      </c>
      <c r="D322" s="3624">
        <v>4500167751</v>
      </c>
      <c r="E322" s="3618">
        <v>46898367</v>
      </c>
      <c r="F322" s="3624" t="s">
        <v>7076</v>
      </c>
      <c r="G322" s="959" t="s">
        <v>6179</v>
      </c>
      <c r="H322" s="3618" t="s">
        <v>6063</v>
      </c>
      <c r="I322" s="3618">
        <v>500</v>
      </c>
      <c r="J322" s="3618">
        <v>0</v>
      </c>
      <c r="K322" s="3618">
        <v>2</v>
      </c>
      <c r="L322" s="4052">
        <f t="shared" si="177"/>
        <v>250</v>
      </c>
      <c r="M322" s="3619">
        <v>45841</v>
      </c>
      <c r="N322" s="3619">
        <f>M322-3</f>
        <v>45838</v>
      </c>
      <c r="O322" s="3618"/>
      <c r="P322" s="959" t="s">
        <v>82</v>
      </c>
      <c r="Q322" s="959"/>
      <c r="R322" s="959"/>
      <c r="S322" s="959"/>
      <c r="T322" s="4053"/>
      <c r="U322" s="3620" t="s">
        <v>203</v>
      </c>
      <c r="V322" s="3649" t="s">
        <v>6180</v>
      </c>
      <c r="W322" s="3649"/>
      <c r="X322" s="3657" t="s">
        <v>98</v>
      </c>
      <c r="Y322" s="3649"/>
      <c r="Z322" s="3661"/>
      <c r="AA322" s="3620" t="s">
        <v>6877</v>
      </c>
      <c r="AB322" s="3624" t="s">
        <v>4141</v>
      </c>
      <c r="AC322" s="3618">
        <v>2.3481</v>
      </c>
      <c r="AD322" s="3618">
        <f t="shared" si="190"/>
        <v>1174.05</v>
      </c>
      <c r="AE322" s="3633" t="s">
        <v>7077</v>
      </c>
      <c r="AF322" s="959" t="s">
        <v>6179</v>
      </c>
      <c r="AG322" s="3620" t="s">
        <v>416</v>
      </c>
      <c r="AH322" s="3620"/>
      <c r="AI322" s="3620"/>
      <c r="AJ322" s="3620"/>
      <c r="AK322" s="959">
        <f>I322</f>
        <v>500</v>
      </c>
      <c r="AL322" s="959"/>
      <c r="AM322" s="959"/>
      <c r="AN322" s="959"/>
      <c r="AO322" s="959"/>
      <c r="AP322" s="3618">
        <f t="shared" si="194"/>
        <v>500</v>
      </c>
      <c r="AQ322" s="3618"/>
      <c r="AR322" s="3626"/>
      <c r="AS322" s="3626">
        <f t="shared" si="206"/>
        <v>500</v>
      </c>
      <c r="AT322" s="3626"/>
      <c r="AU322" s="3626"/>
      <c r="AV322" s="3626"/>
      <c r="AW322" s="3626"/>
      <c r="AX322" s="3626"/>
      <c r="AY322" s="3626"/>
      <c r="AZ322" s="3626"/>
      <c r="BA322" s="3626"/>
      <c r="BB322" s="3626"/>
      <c r="BC322" s="3626"/>
      <c r="BD322" s="3626"/>
      <c r="BE322" s="3626">
        <f>I322/6</f>
        <v>83.3333333333333</v>
      </c>
      <c r="BF322" s="3626"/>
      <c r="BG322" s="3626"/>
      <c r="BH322" s="3626"/>
      <c r="BI322" s="3626" t="s">
        <v>89</v>
      </c>
      <c r="BJ322" s="3626">
        <f>I322/60*2</f>
        <v>16.6666666666667</v>
      </c>
      <c r="BK322" s="3626">
        <f>I322/60*10</f>
        <v>83.3333333333333</v>
      </c>
      <c r="BL322" s="3626">
        <f>I322/60*10</f>
        <v>83.3333333333333</v>
      </c>
      <c r="BM322" s="3626">
        <f>I322/60*8</f>
        <v>66.6666666666667</v>
      </c>
      <c r="BN322" s="3626">
        <f>I322/60*10</f>
        <v>83.3333333333333</v>
      </c>
      <c r="BO322" s="4055">
        <f>I322/60*10</f>
        <v>83.3333333333333</v>
      </c>
      <c r="BP322" s="3627">
        <f>I322/60*10</f>
        <v>83.3333333333333</v>
      </c>
      <c r="BQ322" s="3627">
        <f t="shared" si="204"/>
        <v>500</v>
      </c>
      <c r="BR322" s="3627">
        <f t="shared" si="205"/>
        <v>0</v>
      </c>
      <c r="BS322" s="4056"/>
      <c r="BT322" s="4057"/>
    </row>
    <row r="323" s="3566" customFormat="1" ht="50" customHeight="1" spans="1:72">
      <c r="A323" s="3635">
        <v>45800</v>
      </c>
      <c r="B323" s="3617" t="s">
        <v>6177</v>
      </c>
      <c r="C323" s="3617" t="s">
        <v>506</v>
      </c>
      <c r="D323" s="3624">
        <v>4500167751</v>
      </c>
      <c r="E323" s="3618">
        <v>46898368</v>
      </c>
      <c r="F323" s="3624" t="s">
        <v>7078</v>
      </c>
      <c r="G323" s="959" t="s">
        <v>6179</v>
      </c>
      <c r="H323" s="3618" t="s">
        <v>6063</v>
      </c>
      <c r="I323" s="3618">
        <v>1300</v>
      </c>
      <c r="J323" s="3618">
        <v>0</v>
      </c>
      <c r="K323" s="3618">
        <v>2</v>
      </c>
      <c r="L323" s="4052">
        <f t="shared" si="177"/>
        <v>650</v>
      </c>
      <c r="M323" s="3619">
        <v>45841</v>
      </c>
      <c r="N323" s="3619">
        <f>M323-3</f>
        <v>45838</v>
      </c>
      <c r="O323" s="3618"/>
      <c r="P323" s="959" t="s">
        <v>82</v>
      </c>
      <c r="Q323" s="959"/>
      <c r="R323" s="959"/>
      <c r="S323" s="959"/>
      <c r="T323" s="4053"/>
      <c r="U323" s="3620" t="s">
        <v>203</v>
      </c>
      <c r="V323" s="3649" t="s">
        <v>6180</v>
      </c>
      <c r="W323" s="3649"/>
      <c r="X323" s="3657" t="s">
        <v>98</v>
      </c>
      <c r="Y323" s="3649"/>
      <c r="Z323" s="3661"/>
      <c r="AA323" s="3620" t="s">
        <v>6877</v>
      </c>
      <c r="AB323" s="3624" t="s">
        <v>4141</v>
      </c>
      <c r="AC323" s="3618">
        <v>2.3481</v>
      </c>
      <c r="AD323" s="3618">
        <f t="shared" si="190"/>
        <v>3052.53</v>
      </c>
      <c r="AE323" s="3633" t="s">
        <v>7077</v>
      </c>
      <c r="AF323" s="959" t="s">
        <v>6179</v>
      </c>
      <c r="AG323" s="3620" t="s">
        <v>416</v>
      </c>
      <c r="AH323" s="3620"/>
      <c r="AI323" s="3620"/>
      <c r="AJ323" s="3620"/>
      <c r="AK323" s="959">
        <f>I323</f>
        <v>1300</v>
      </c>
      <c r="AL323" s="959"/>
      <c r="AM323" s="959"/>
      <c r="AN323" s="959"/>
      <c r="AO323" s="959"/>
      <c r="AP323" s="3618">
        <f t="shared" si="194"/>
        <v>1300</v>
      </c>
      <c r="AQ323" s="3618"/>
      <c r="AR323" s="3626"/>
      <c r="AS323" s="3626">
        <f t="shared" si="206"/>
        <v>1300</v>
      </c>
      <c r="AT323" s="3626"/>
      <c r="AU323" s="3626"/>
      <c r="AV323" s="3626"/>
      <c r="AW323" s="3626"/>
      <c r="AX323" s="3626"/>
      <c r="AY323" s="3626"/>
      <c r="AZ323" s="3626"/>
      <c r="BA323" s="3626"/>
      <c r="BB323" s="3626"/>
      <c r="BC323" s="3626"/>
      <c r="BD323" s="3626"/>
      <c r="BE323" s="3626">
        <f>I323/6</f>
        <v>216.666666666667</v>
      </c>
      <c r="BF323" s="3626"/>
      <c r="BG323" s="3626"/>
      <c r="BH323" s="3626"/>
      <c r="BI323" s="3626" t="s">
        <v>89</v>
      </c>
      <c r="BJ323" s="3626">
        <f>I323/60*2</f>
        <v>43.3333333333333</v>
      </c>
      <c r="BK323" s="3626">
        <f>I323/60*10</f>
        <v>216.666666666667</v>
      </c>
      <c r="BL323" s="3626">
        <f>I323/60*10</f>
        <v>216.666666666667</v>
      </c>
      <c r="BM323" s="3626">
        <f>I323/60*8</f>
        <v>173.333333333333</v>
      </c>
      <c r="BN323" s="3626">
        <f>I323/60*10</f>
        <v>216.666666666667</v>
      </c>
      <c r="BO323" s="4055">
        <f>I323/60*10</f>
        <v>216.666666666667</v>
      </c>
      <c r="BP323" s="3627">
        <f>I323/60*10</f>
        <v>216.666666666667</v>
      </c>
      <c r="BQ323" s="3627">
        <f t="shared" si="204"/>
        <v>1300</v>
      </c>
      <c r="BR323" s="3627">
        <f t="shared" si="205"/>
        <v>0</v>
      </c>
      <c r="BS323" s="4056"/>
      <c r="BT323" s="4057"/>
    </row>
    <row r="324" s="3566" customFormat="1" ht="50" customHeight="1" spans="1:72">
      <c r="A324" s="3635">
        <v>45800</v>
      </c>
      <c r="B324" s="3617" t="s">
        <v>6177</v>
      </c>
      <c r="C324" s="3617" t="s">
        <v>506</v>
      </c>
      <c r="D324" s="3624">
        <v>4500167751</v>
      </c>
      <c r="E324" s="3618">
        <v>46898486</v>
      </c>
      <c r="F324" s="3624" t="s">
        <v>7079</v>
      </c>
      <c r="G324" s="959" t="s">
        <v>6179</v>
      </c>
      <c r="H324" s="3618" t="s">
        <v>6063</v>
      </c>
      <c r="I324" s="3618">
        <v>200</v>
      </c>
      <c r="J324" s="3618">
        <v>0</v>
      </c>
      <c r="K324" s="3618">
        <v>2</v>
      </c>
      <c r="L324" s="4052">
        <f t="shared" si="177"/>
        <v>100</v>
      </c>
      <c r="M324" s="3619">
        <v>45841</v>
      </c>
      <c r="N324" s="3619">
        <f>M324-3</f>
        <v>45838</v>
      </c>
      <c r="O324" s="3618"/>
      <c r="P324" s="959" t="s">
        <v>82</v>
      </c>
      <c r="Q324" s="959"/>
      <c r="R324" s="959"/>
      <c r="S324" s="959"/>
      <c r="T324" s="4053"/>
      <c r="U324" s="3620" t="s">
        <v>203</v>
      </c>
      <c r="V324" s="3649" t="s">
        <v>6180</v>
      </c>
      <c r="W324" s="3649"/>
      <c r="X324" s="3657" t="s">
        <v>98</v>
      </c>
      <c r="Y324" s="3649"/>
      <c r="Z324" s="3661"/>
      <c r="AA324" s="3620" t="s">
        <v>6877</v>
      </c>
      <c r="AB324" s="3624" t="s">
        <v>4141</v>
      </c>
      <c r="AC324" s="3618">
        <v>2.4712</v>
      </c>
      <c r="AD324" s="3618">
        <f t="shared" si="190"/>
        <v>494.24</v>
      </c>
      <c r="AE324" s="3633" t="s">
        <v>7077</v>
      </c>
      <c r="AF324" s="959" t="s">
        <v>6179</v>
      </c>
      <c r="AG324" s="3620" t="s">
        <v>416</v>
      </c>
      <c r="AH324" s="3620"/>
      <c r="AI324" s="3620"/>
      <c r="AJ324" s="3620"/>
      <c r="AK324" s="959">
        <f>I324</f>
        <v>200</v>
      </c>
      <c r="AL324" s="959"/>
      <c r="AM324" s="959"/>
      <c r="AN324" s="959"/>
      <c r="AO324" s="959"/>
      <c r="AP324" s="3618">
        <f t="shared" si="194"/>
        <v>200</v>
      </c>
      <c r="AQ324" s="3618"/>
      <c r="AR324" s="3626"/>
      <c r="AS324" s="3626">
        <f t="shared" si="206"/>
        <v>200</v>
      </c>
      <c r="AT324" s="3626"/>
      <c r="AU324" s="3626"/>
      <c r="AV324" s="3626"/>
      <c r="AW324" s="3626"/>
      <c r="AX324" s="3626"/>
      <c r="AY324" s="3626"/>
      <c r="AZ324" s="3626"/>
      <c r="BA324" s="3626"/>
      <c r="BB324" s="3626"/>
      <c r="BC324" s="3626"/>
      <c r="BD324" s="3626"/>
      <c r="BE324" s="3626">
        <f>I324/6</f>
        <v>33.3333333333333</v>
      </c>
      <c r="BF324" s="3626"/>
      <c r="BG324" s="3626"/>
      <c r="BH324" s="3626"/>
      <c r="BI324" s="3626" t="s">
        <v>89</v>
      </c>
      <c r="BJ324" s="3626">
        <f>I324/60*2</f>
        <v>6.66666666666667</v>
      </c>
      <c r="BK324" s="3626">
        <f>I324/60*10</f>
        <v>33.3333333333333</v>
      </c>
      <c r="BL324" s="3626">
        <f>I324/60*10</f>
        <v>33.3333333333333</v>
      </c>
      <c r="BM324" s="3626">
        <f>I324/60*8</f>
        <v>26.6666666666667</v>
      </c>
      <c r="BN324" s="3626">
        <f>I324/60*10</f>
        <v>33.3333333333333</v>
      </c>
      <c r="BO324" s="4055">
        <f>I324/60*10</f>
        <v>33.3333333333333</v>
      </c>
      <c r="BP324" s="3627">
        <f>I324/60*10</f>
        <v>33.3333333333333</v>
      </c>
      <c r="BQ324" s="3627">
        <f t="shared" si="204"/>
        <v>200</v>
      </c>
      <c r="BR324" s="3627">
        <f t="shared" si="205"/>
        <v>0</v>
      </c>
      <c r="BS324" s="4056"/>
      <c r="BT324" s="4057"/>
    </row>
    <row r="325" s="3566" customFormat="1" ht="50" customHeight="1" spans="1:72">
      <c r="A325" s="3635">
        <v>45807</v>
      </c>
      <c r="B325" s="3617" t="s">
        <v>1258</v>
      </c>
      <c r="C325" s="3617" t="s">
        <v>471</v>
      </c>
      <c r="D325" s="3618">
        <v>4500168472</v>
      </c>
      <c r="E325" s="959" t="s">
        <v>7080</v>
      </c>
      <c r="F325" s="3618" t="s">
        <v>7081</v>
      </c>
      <c r="G325" s="959" t="s">
        <v>6223</v>
      </c>
      <c r="H325" s="959" t="s">
        <v>6100</v>
      </c>
      <c r="I325" s="3618">
        <v>480</v>
      </c>
      <c r="J325" s="3618">
        <v>1</v>
      </c>
      <c r="K325" s="3618">
        <v>32</v>
      </c>
      <c r="L325" s="4052">
        <f t="shared" si="177"/>
        <v>15</v>
      </c>
      <c r="M325" s="3619">
        <v>45847</v>
      </c>
      <c r="N325" s="3619">
        <v>45843</v>
      </c>
      <c r="O325" s="3618" t="s">
        <v>7082</v>
      </c>
      <c r="P325" s="959" t="s">
        <v>82</v>
      </c>
      <c r="Q325" s="959"/>
      <c r="R325" s="959"/>
      <c r="S325" s="959"/>
      <c r="T325" s="4053"/>
      <c r="U325" s="3620" t="s">
        <v>213</v>
      </c>
      <c r="V325" s="3640" t="s">
        <v>1262</v>
      </c>
      <c r="W325" s="3640"/>
      <c r="X325" s="3640" t="s">
        <v>7007</v>
      </c>
      <c r="Y325" s="3640"/>
      <c r="Z325" s="3623"/>
      <c r="AA325" s="3620" t="s">
        <v>7083</v>
      </c>
      <c r="AB325" s="3624" t="s">
        <v>380</v>
      </c>
      <c r="AC325" s="4058">
        <v>2.3158</v>
      </c>
      <c r="AD325" s="3618">
        <f t="shared" si="190"/>
        <v>1111.584</v>
      </c>
      <c r="AE325" s="3633" t="s">
        <v>7084</v>
      </c>
      <c r="AF325" s="959" t="s">
        <v>6276</v>
      </c>
      <c r="AG325" s="3620" t="s">
        <v>416</v>
      </c>
      <c r="AH325" s="3620"/>
      <c r="AI325" s="3620"/>
      <c r="AJ325" s="3620"/>
      <c r="AK325" s="959"/>
      <c r="AL325" s="959"/>
      <c r="AM325" s="959">
        <f>I325</f>
        <v>480</v>
      </c>
      <c r="AN325" s="959"/>
      <c r="AO325" s="959"/>
      <c r="AP325" s="3618">
        <f t="shared" si="194"/>
        <v>480</v>
      </c>
      <c r="AQ325" s="3618"/>
      <c r="AR325" s="3626"/>
      <c r="AS325" s="3626">
        <f t="shared" si="206"/>
        <v>480</v>
      </c>
      <c r="AT325" s="3626"/>
      <c r="AU325" s="3626"/>
      <c r="AV325" s="3626"/>
      <c r="AW325" s="3626"/>
      <c r="AX325" s="3626"/>
      <c r="AY325" s="3626"/>
      <c r="AZ325" s="3626"/>
      <c r="BA325" s="3626"/>
      <c r="BB325" s="3626"/>
      <c r="BC325" s="3626"/>
      <c r="BD325" s="3626"/>
      <c r="BE325" s="3626"/>
      <c r="BF325" s="3626"/>
      <c r="BG325" s="3626"/>
      <c r="BH325" s="3626"/>
      <c r="BI325" s="3626" t="s">
        <v>89</v>
      </c>
      <c r="BJ325" s="3626"/>
      <c r="BK325" s="3626"/>
      <c r="BL325" s="3626">
        <f>I325-BJ325</f>
        <v>480</v>
      </c>
      <c r="BM325" s="3626"/>
      <c r="BN325" s="3626"/>
      <c r="BO325" s="4055"/>
      <c r="BP325" s="3627"/>
      <c r="BQ325" s="3627">
        <f t="shared" si="204"/>
        <v>480</v>
      </c>
      <c r="BR325" s="3627">
        <f t="shared" si="205"/>
        <v>0</v>
      </c>
      <c r="BS325" s="4056"/>
      <c r="BT325" s="4057"/>
    </row>
    <row r="326" s="3566" customFormat="1" ht="50" customHeight="1" spans="1:72">
      <c r="A326" s="3635">
        <v>45807</v>
      </c>
      <c r="B326" s="3617" t="s">
        <v>1258</v>
      </c>
      <c r="C326" s="3617" t="s">
        <v>471</v>
      </c>
      <c r="D326" s="3618">
        <v>4500168472</v>
      </c>
      <c r="E326" s="959" t="s">
        <v>7085</v>
      </c>
      <c r="F326" s="3618" t="s">
        <v>7086</v>
      </c>
      <c r="G326" s="959" t="s">
        <v>6165</v>
      </c>
      <c r="H326" s="3618" t="s">
        <v>6166</v>
      </c>
      <c r="I326" s="3618">
        <v>480</v>
      </c>
      <c r="J326" s="3618">
        <v>1</v>
      </c>
      <c r="K326" s="3618">
        <v>32</v>
      </c>
      <c r="L326" s="4052">
        <f t="shared" si="177"/>
        <v>15</v>
      </c>
      <c r="M326" s="3619">
        <v>45847</v>
      </c>
      <c r="N326" s="3619">
        <v>45843</v>
      </c>
      <c r="O326" s="3618"/>
      <c r="P326" s="959" t="s">
        <v>82</v>
      </c>
      <c r="Q326" s="959"/>
      <c r="R326" s="959"/>
      <c r="S326" s="959"/>
      <c r="T326" s="4053"/>
      <c r="U326" s="3620" t="s">
        <v>7087</v>
      </c>
      <c r="V326" s="3640" t="s">
        <v>1262</v>
      </c>
      <c r="W326" s="3640"/>
      <c r="X326" s="3640" t="s">
        <v>7007</v>
      </c>
      <c r="Y326" s="3640"/>
      <c r="Z326" s="3623"/>
      <c r="AA326" s="3620" t="s">
        <v>7083</v>
      </c>
      <c r="AB326" s="3624" t="s">
        <v>380</v>
      </c>
      <c r="AC326" s="4058">
        <v>2.3158</v>
      </c>
      <c r="AD326" s="3618">
        <f t="shared" si="190"/>
        <v>1111.584</v>
      </c>
      <c r="AE326" s="3633" t="s">
        <v>7088</v>
      </c>
      <c r="AF326" s="959" t="s">
        <v>6601</v>
      </c>
      <c r="AG326" s="3620" t="s">
        <v>416</v>
      </c>
      <c r="AH326" s="3620"/>
      <c r="AI326" s="3620"/>
      <c r="AJ326" s="3620"/>
      <c r="AK326" s="959"/>
      <c r="AL326" s="959"/>
      <c r="AM326" s="959">
        <f>I326</f>
        <v>480</v>
      </c>
      <c r="AN326" s="959"/>
      <c r="AO326" s="959"/>
      <c r="AP326" s="3618">
        <f t="shared" si="194"/>
        <v>480</v>
      </c>
      <c r="AQ326" s="3618"/>
      <c r="AR326" s="3626"/>
      <c r="AS326" s="3626">
        <f t="shared" si="206"/>
        <v>480</v>
      </c>
      <c r="AT326" s="3626"/>
      <c r="AU326" s="3626"/>
      <c r="AV326" s="3626"/>
      <c r="AW326" s="3626"/>
      <c r="AX326" s="3626"/>
      <c r="AY326" s="3626"/>
      <c r="AZ326" s="3626"/>
      <c r="BA326" s="3626"/>
      <c r="BB326" s="3626"/>
      <c r="BC326" s="3626"/>
      <c r="BD326" s="3626"/>
      <c r="BE326" s="3626"/>
      <c r="BF326" s="3626"/>
      <c r="BG326" s="3626"/>
      <c r="BH326" s="3626"/>
      <c r="BI326" s="3626" t="s">
        <v>89</v>
      </c>
      <c r="BJ326" s="3626"/>
      <c r="BK326" s="3626"/>
      <c r="BL326" s="3626"/>
      <c r="BM326" s="3626"/>
      <c r="BN326" s="3626"/>
      <c r="BO326" s="4055"/>
      <c r="BP326" s="3627">
        <f>I326-BJ326</f>
        <v>480</v>
      </c>
      <c r="BQ326" s="3627">
        <f t="shared" si="204"/>
        <v>480</v>
      </c>
      <c r="BR326" s="3627">
        <f t="shared" si="205"/>
        <v>0</v>
      </c>
      <c r="BS326" s="4056"/>
      <c r="BT326" s="4057"/>
    </row>
    <row r="327" s="3566" customFormat="1" ht="50" customHeight="1" spans="1:72">
      <c r="A327" s="3635">
        <v>45807</v>
      </c>
      <c r="B327" s="3617" t="s">
        <v>1258</v>
      </c>
      <c r="C327" s="3617" t="s">
        <v>471</v>
      </c>
      <c r="D327" s="3618">
        <v>4500168472</v>
      </c>
      <c r="E327" s="959" t="s">
        <v>7085</v>
      </c>
      <c r="F327" s="3618" t="s">
        <v>7089</v>
      </c>
      <c r="G327" s="959" t="s">
        <v>6223</v>
      </c>
      <c r="H327" s="959" t="s">
        <v>6100</v>
      </c>
      <c r="I327" s="3618">
        <v>896</v>
      </c>
      <c r="J327" s="3618">
        <v>1</v>
      </c>
      <c r="K327" s="3618">
        <v>32</v>
      </c>
      <c r="L327" s="4052">
        <f t="shared" si="177"/>
        <v>28</v>
      </c>
      <c r="M327" s="3619">
        <v>45847</v>
      </c>
      <c r="N327" s="3619">
        <v>45843</v>
      </c>
      <c r="O327" s="3618"/>
      <c r="P327" s="959" t="s">
        <v>82</v>
      </c>
      <c r="Q327" s="959"/>
      <c r="R327" s="959"/>
      <c r="S327" s="959"/>
      <c r="T327" s="4053"/>
      <c r="U327" s="3620" t="s">
        <v>7087</v>
      </c>
      <c r="V327" s="3640" t="s">
        <v>1262</v>
      </c>
      <c r="W327" s="3640"/>
      <c r="X327" s="3640" t="s">
        <v>7007</v>
      </c>
      <c r="Y327" s="3640"/>
      <c r="Z327" s="3623"/>
      <c r="AA327" s="3620" t="s">
        <v>7083</v>
      </c>
      <c r="AB327" s="3624" t="s">
        <v>380</v>
      </c>
      <c r="AC327" s="4058">
        <v>2.3158</v>
      </c>
      <c r="AD327" s="3618">
        <f t="shared" si="190"/>
        <v>2074.9568</v>
      </c>
      <c r="AE327" s="3633" t="s">
        <v>7088</v>
      </c>
      <c r="AF327" s="959" t="s">
        <v>6276</v>
      </c>
      <c r="AG327" s="3620" t="s">
        <v>416</v>
      </c>
      <c r="AH327" s="3620"/>
      <c r="AI327" s="3620"/>
      <c r="AJ327" s="3620"/>
      <c r="AK327" s="959"/>
      <c r="AL327" s="959"/>
      <c r="AM327" s="959">
        <f>I327</f>
        <v>896</v>
      </c>
      <c r="AN327" s="959"/>
      <c r="AO327" s="959"/>
      <c r="AP327" s="3618">
        <f t="shared" si="194"/>
        <v>896</v>
      </c>
      <c r="AQ327" s="3618"/>
      <c r="AR327" s="3626"/>
      <c r="AS327" s="3626">
        <f t="shared" si="206"/>
        <v>896</v>
      </c>
      <c r="AT327" s="3626"/>
      <c r="AU327" s="3626"/>
      <c r="AV327" s="3626"/>
      <c r="AW327" s="3626"/>
      <c r="AX327" s="3626"/>
      <c r="AY327" s="3626"/>
      <c r="AZ327" s="3626"/>
      <c r="BA327" s="3626"/>
      <c r="BB327" s="3626"/>
      <c r="BC327" s="3626"/>
      <c r="BD327" s="3626"/>
      <c r="BE327" s="3626"/>
      <c r="BF327" s="3626"/>
      <c r="BG327" s="3626"/>
      <c r="BH327" s="3626"/>
      <c r="BI327" s="3626" t="s">
        <v>89</v>
      </c>
      <c r="BJ327" s="3626"/>
      <c r="BK327" s="3626"/>
      <c r="BL327" s="3626">
        <f>I327-BJ327</f>
        <v>896</v>
      </c>
      <c r="BM327" s="3626"/>
      <c r="BN327" s="3626"/>
      <c r="BO327" s="4055"/>
      <c r="BP327" s="3627"/>
      <c r="BQ327" s="3627">
        <f t="shared" si="204"/>
        <v>896</v>
      </c>
      <c r="BR327" s="3627">
        <f t="shared" si="205"/>
        <v>0</v>
      </c>
      <c r="BS327" s="4056"/>
      <c r="BT327" s="4057"/>
    </row>
    <row r="328" s="3566" customFormat="1" ht="50" customHeight="1" spans="1:72">
      <c r="A328" s="3635">
        <v>45769</v>
      </c>
      <c r="B328" s="3617" t="s">
        <v>340</v>
      </c>
      <c r="C328" s="3617" t="s">
        <v>341</v>
      </c>
      <c r="D328" s="3624">
        <v>4500163807</v>
      </c>
      <c r="E328" s="3618">
        <v>240028</v>
      </c>
      <c r="F328" s="3617" t="s">
        <v>7090</v>
      </c>
      <c r="G328" s="959" t="s">
        <v>3520</v>
      </c>
      <c r="H328" s="3618" t="s">
        <v>6063</v>
      </c>
      <c r="I328" s="3618">
        <v>720</v>
      </c>
      <c r="J328" s="3618">
        <v>0</v>
      </c>
      <c r="K328" s="3618">
        <v>24</v>
      </c>
      <c r="L328" s="4052">
        <f t="shared" si="177"/>
        <v>30</v>
      </c>
      <c r="M328" s="3619">
        <v>45842</v>
      </c>
      <c r="N328" s="3619">
        <f>M328-4</f>
        <v>45838</v>
      </c>
      <c r="O328" s="3618" t="s">
        <v>7082</v>
      </c>
      <c r="P328" s="959" t="s">
        <v>82</v>
      </c>
      <c r="Q328" s="959"/>
      <c r="R328" s="959"/>
      <c r="S328" s="959"/>
      <c r="T328" s="4053"/>
      <c r="U328" s="3620" t="s">
        <v>1418</v>
      </c>
      <c r="V328" s="3649" t="s">
        <v>1216</v>
      </c>
      <c r="W328" s="3640"/>
      <c r="X328" s="3640" t="s">
        <v>7091</v>
      </c>
      <c r="Y328" s="3640"/>
      <c r="Z328" s="3623"/>
      <c r="AA328" s="3620" t="s">
        <v>7092</v>
      </c>
      <c r="AB328" s="3624" t="s">
        <v>7093</v>
      </c>
      <c r="AC328" s="4058">
        <v>2.2017</v>
      </c>
      <c r="AD328" s="3618">
        <f t="shared" si="190"/>
        <v>1585.224</v>
      </c>
      <c r="AE328" s="3633" t="s">
        <v>7094</v>
      </c>
      <c r="AF328" s="959" t="s">
        <v>3520</v>
      </c>
      <c r="AG328" s="3620" t="s">
        <v>416</v>
      </c>
      <c r="AH328" s="3620"/>
      <c r="AI328" s="3620"/>
      <c r="AJ328" s="3620"/>
      <c r="AK328" s="959">
        <f>I328</f>
        <v>720</v>
      </c>
      <c r="AL328" s="959"/>
      <c r="AM328" s="959"/>
      <c r="AN328" s="959"/>
      <c r="AO328" s="959"/>
      <c r="AP328" s="3618">
        <f t="shared" si="194"/>
        <v>720</v>
      </c>
      <c r="AQ328" s="3618"/>
      <c r="AR328" s="3626"/>
      <c r="AS328" s="3626">
        <f t="shared" si="206"/>
        <v>720</v>
      </c>
      <c r="AT328" s="3626"/>
      <c r="AU328" s="3626"/>
      <c r="AV328" s="3626"/>
      <c r="AW328" s="3626"/>
      <c r="AX328" s="3626"/>
      <c r="AY328" s="3626"/>
      <c r="AZ328" s="3626"/>
      <c r="BA328" s="3626"/>
      <c r="BB328" s="3626"/>
      <c r="BC328" s="3626"/>
      <c r="BD328" s="3626"/>
      <c r="BE328" s="3626"/>
      <c r="BF328" s="3626"/>
      <c r="BG328" s="3626"/>
      <c r="BH328" s="3626"/>
      <c r="BI328" s="3626" t="s">
        <v>89</v>
      </c>
      <c r="BJ328" s="3626">
        <f t="shared" ref="BJ328:BJ338" si="207">I328/60*2</f>
        <v>24</v>
      </c>
      <c r="BK328" s="3626">
        <f t="shared" ref="BK328:BK338" si="208">I328/60*10</f>
        <v>120</v>
      </c>
      <c r="BL328" s="3626">
        <f t="shared" ref="BL328:BL338" si="209">I328/60*10</f>
        <v>120</v>
      </c>
      <c r="BM328" s="3626">
        <f t="shared" ref="BM328:BM338" si="210">I328/60*8</f>
        <v>96</v>
      </c>
      <c r="BN328" s="3626">
        <f t="shared" ref="BN328:BN338" si="211">I328/60*10</f>
        <v>120</v>
      </c>
      <c r="BO328" s="4055">
        <f t="shared" ref="BO328:BO338" si="212">I328/60*10</f>
        <v>120</v>
      </c>
      <c r="BP328" s="3627">
        <f t="shared" ref="BP328:BP338" si="213">I328/60*10</f>
        <v>120</v>
      </c>
      <c r="BQ328" s="3627">
        <f t="shared" si="204"/>
        <v>720</v>
      </c>
      <c r="BR328" s="3627">
        <f t="shared" si="205"/>
        <v>0</v>
      </c>
      <c r="BS328" s="4056"/>
      <c r="BT328" s="4057"/>
    </row>
    <row r="329" s="3566" customFormat="1" ht="50" customHeight="1" spans="1:72">
      <c r="A329" s="3635">
        <v>45790</v>
      </c>
      <c r="B329" s="3617" t="s">
        <v>340</v>
      </c>
      <c r="C329" s="3617" t="s">
        <v>341</v>
      </c>
      <c r="D329" s="3624">
        <v>4500164499</v>
      </c>
      <c r="E329" s="959" t="s">
        <v>3987</v>
      </c>
      <c r="F329" s="959" t="s">
        <v>3988</v>
      </c>
      <c r="G329" s="959" t="s">
        <v>6641</v>
      </c>
      <c r="H329" s="959" t="s">
        <v>6642</v>
      </c>
      <c r="I329" s="3618">
        <v>2000</v>
      </c>
      <c r="J329" s="3618">
        <v>0</v>
      </c>
      <c r="K329" s="3618">
        <v>1</v>
      </c>
      <c r="L329" s="4052">
        <f t="shared" si="177"/>
        <v>2000</v>
      </c>
      <c r="M329" s="3619">
        <v>45835</v>
      </c>
      <c r="N329" s="3619">
        <v>45831</v>
      </c>
      <c r="O329" s="4085"/>
      <c r="P329" s="959" t="s">
        <v>82</v>
      </c>
      <c r="Q329" s="959"/>
      <c r="R329" s="959"/>
      <c r="S329" s="959"/>
      <c r="T329" s="4053"/>
      <c r="U329" s="3620" t="s">
        <v>203</v>
      </c>
      <c r="V329" s="3649" t="s">
        <v>3802</v>
      </c>
      <c r="W329" s="3657"/>
      <c r="X329" s="3657" t="s">
        <v>1099</v>
      </c>
      <c r="Y329" s="3657"/>
      <c r="Z329" s="3661"/>
      <c r="AA329" s="3620" t="s">
        <v>7095</v>
      </c>
      <c r="AB329" s="3624" t="s">
        <v>3990</v>
      </c>
      <c r="AC329" s="4058">
        <v>8.8357</v>
      </c>
      <c r="AD329" s="3618">
        <f t="shared" si="190"/>
        <v>17671.4</v>
      </c>
      <c r="AE329" s="3633"/>
      <c r="AF329" s="959" t="s">
        <v>3520</v>
      </c>
      <c r="AG329" s="3620" t="s">
        <v>416</v>
      </c>
      <c r="AH329" s="3620"/>
      <c r="AI329" s="3620"/>
      <c r="AJ329" s="3620"/>
      <c r="AK329" s="959">
        <f>I329</f>
        <v>2000</v>
      </c>
      <c r="AL329" s="959"/>
      <c r="AM329" s="959"/>
      <c r="AN329" s="959"/>
      <c r="AO329" s="959"/>
      <c r="AP329" s="3618">
        <f t="shared" si="194"/>
        <v>2000</v>
      </c>
      <c r="AQ329" s="3618"/>
      <c r="AR329" s="3626"/>
      <c r="AS329" s="3626">
        <f t="shared" si="206"/>
        <v>2000</v>
      </c>
      <c r="AT329" s="3626"/>
      <c r="AU329" s="3626"/>
      <c r="AV329" s="3626"/>
      <c r="AW329" s="3626"/>
      <c r="AX329" s="3626"/>
      <c r="AY329" s="3626"/>
      <c r="AZ329" s="3626"/>
      <c r="BA329" s="3626"/>
      <c r="BB329" s="3626"/>
      <c r="BC329" s="3626"/>
      <c r="BD329" s="3626"/>
      <c r="BE329" s="3626"/>
      <c r="BF329" s="3626"/>
      <c r="BG329" s="3626"/>
      <c r="BH329" s="3626"/>
      <c r="BI329" s="3626" t="s">
        <v>89</v>
      </c>
      <c r="BJ329" s="3626">
        <f t="shared" si="207"/>
        <v>66.6666666666667</v>
      </c>
      <c r="BK329" s="3626">
        <f t="shared" si="208"/>
        <v>333.333333333333</v>
      </c>
      <c r="BL329" s="3626">
        <f t="shared" si="209"/>
        <v>333.333333333333</v>
      </c>
      <c r="BM329" s="3626">
        <f t="shared" si="210"/>
        <v>266.666666666667</v>
      </c>
      <c r="BN329" s="3626">
        <f t="shared" si="211"/>
        <v>333.333333333333</v>
      </c>
      <c r="BO329" s="4055">
        <f t="shared" si="212"/>
        <v>333.333333333333</v>
      </c>
      <c r="BP329" s="3627">
        <f t="shared" si="213"/>
        <v>333.333333333333</v>
      </c>
      <c r="BQ329" s="3627">
        <f t="shared" si="204"/>
        <v>2000</v>
      </c>
      <c r="BR329" s="3627">
        <f t="shared" si="205"/>
        <v>0</v>
      </c>
      <c r="BS329" s="4056"/>
      <c r="BT329" s="4057"/>
    </row>
    <row r="330" s="3566" customFormat="1" ht="50" customHeight="1" spans="1:72">
      <c r="A330" s="3635">
        <v>45804</v>
      </c>
      <c r="B330" s="3617" t="s">
        <v>1429</v>
      </c>
      <c r="C330" s="3617" t="s">
        <v>1430</v>
      </c>
      <c r="D330" s="3624">
        <v>4500168055</v>
      </c>
      <c r="E330" s="3618"/>
      <c r="F330" s="3617" t="s">
        <v>7096</v>
      </c>
      <c r="G330" s="959" t="s">
        <v>6124</v>
      </c>
      <c r="H330" s="3618" t="s">
        <v>6063</v>
      </c>
      <c r="I330" s="3618">
        <v>720</v>
      </c>
      <c r="J330" s="3618">
        <v>0</v>
      </c>
      <c r="K330" s="3618">
        <v>12</v>
      </c>
      <c r="L330" s="4052">
        <f t="shared" si="177"/>
        <v>60</v>
      </c>
      <c r="M330" s="3619">
        <v>45838</v>
      </c>
      <c r="N330" s="3619">
        <v>45831</v>
      </c>
      <c r="O330" s="3618" t="s">
        <v>7082</v>
      </c>
      <c r="P330" s="959" t="s">
        <v>82</v>
      </c>
      <c r="Q330" s="959"/>
      <c r="R330" s="959"/>
      <c r="S330" s="959"/>
      <c r="T330" s="4053"/>
      <c r="U330" s="3645" t="s">
        <v>1813</v>
      </c>
      <c r="V330" s="3649" t="s">
        <v>1425</v>
      </c>
      <c r="W330" s="3657"/>
      <c r="X330" s="3657" t="s">
        <v>1432</v>
      </c>
      <c r="Y330" s="3657"/>
      <c r="Z330" s="3661"/>
      <c r="AA330" s="3620" t="s">
        <v>7097</v>
      </c>
      <c r="AB330" s="3624" t="s">
        <v>459</v>
      </c>
      <c r="AC330" s="3691">
        <v>2.259</v>
      </c>
      <c r="AD330" s="3691">
        <f t="shared" si="190"/>
        <v>1626.48</v>
      </c>
      <c r="AE330" s="3633"/>
      <c r="AF330" s="959" t="s">
        <v>6126</v>
      </c>
      <c r="AG330" s="3620" t="s">
        <v>416</v>
      </c>
      <c r="AH330" s="3620"/>
      <c r="AI330" s="3620"/>
      <c r="AJ330" s="3620"/>
      <c r="AK330" s="959"/>
      <c r="AL330" s="959"/>
      <c r="AM330" s="959">
        <f>I330</f>
        <v>720</v>
      </c>
      <c r="AN330" s="959"/>
      <c r="AO330" s="959"/>
      <c r="AP330" s="3618">
        <f t="shared" si="194"/>
        <v>720</v>
      </c>
      <c r="AQ330" s="3618"/>
      <c r="AR330" s="3626"/>
      <c r="AS330" s="3626">
        <f t="shared" si="206"/>
        <v>720</v>
      </c>
      <c r="AT330" s="3626"/>
      <c r="AU330" s="3626"/>
      <c r="AV330" s="3626"/>
      <c r="AW330" s="3626">
        <f>I330/6</f>
        <v>120</v>
      </c>
      <c r="AX330" s="3626"/>
      <c r="AY330" s="3626"/>
      <c r="AZ330" s="3626"/>
      <c r="BA330" s="3626"/>
      <c r="BB330" s="3626"/>
      <c r="BC330" s="3626"/>
      <c r="BD330" s="3626"/>
      <c r="BE330" s="3626"/>
      <c r="BF330" s="3626"/>
      <c r="BG330" s="3626"/>
      <c r="BH330" s="3626"/>
      <c r="BI330" s="3626" t="s">
        <v>89</v>
      </c>
      <c r="BJ330" s="3626">
        <f t="shared" si="207"/>
        <v>24</v>
      </c>
      <c r="BK330" s="3626">
        <f t="shared" si="208"/>
        <v>120</v>
      </c>
      <c r="BL330" s="3626">
        <f t="shared" si="209"/>
        <v>120</v>
      </c>
      <c r="BM330" s="3626">
        <f t="shared" si="210"/>
        <v>96</v>
      </c>
      <c r="BN330" s="3626">
        <f t="shared" si="211"/>
        <v>120</v>
      </c>
      <c r="BO330" s="4055">
        <f t="shared" si="212"/>
        <v>120</v>
      </c>
      <c r="BP330" s="3627">
        <f t="shared" si="213"/>
        <v>120</v>
      </c>
      <c r="BQ330" s="3627">
        <f t="shared" si="204"/>
        <v>720</v>
      </c>
      <c r="BR330" s="3627">
        <f t="shared" si="205"/>
        <v>0</v>
      </c>
      <c r="BS330" s="4056"/>
      <c r="BT330" s="4057"/>
    </row>
    <row r="331" s="3566" customFormat="1" ht="50" customHeight="1" spans="1:72">
      <c r="A331" s="3635">
        <v>45805</v>
      </c>
      <c r="B331" s="3617" t="s">
        <v>1429</v>
      </c>
      <c r="C331" s="3617" t="s">
        <v>1430</v>
      </c>
      <c r="D331" s="3624">
        <v>4500168238</v>
      </c>
      <c r="E331" s="3618"/>
      <c r="F331" s="3618" t="s">
        <v>7098</v>
      </c>
      <c r="G331" s="959" t="s">
        <v>6124</v>
      </c>
      <c r="H331" s="3618" t="s">
        <v>6063</v>
      </c>
      <c r="I331" s="3618">
        <v>720</v>
      </c>
      <c r="J331" s="3618">
        <v>0</v>
      </c>
      <c r="K331" s="3618">
        <v>12</v>
      </c>
      <c r="L331" s="4052">
        <f t="shared" si="177"/>
        <v>60</v>
      </c>
      <c r="M331" s="3619">
        <v>45838</v>
      </c>
      <c r="N331" s="3619">
        <v>45842</v>
      </c>
      <c r="O331" s="3618"/>
      <c r="P331" s="959" t="s">
        <v>82</v>
      </c>
      <c r="Q331" s="959"/>
      <c r="R331" s="959"/>
      <c r="S331" s="959"/>
      <c r="T331" s="4053"/>
      <c r="U331" s="3620" t="s">
        <v>206</v>
      </c>
      <c r="V331" s="3649" t="s">
        <v>1425</v>
      </c>
      <c r="W331" s="3657"/>
      <c r="X331" s="3657" t="s">
        <v>1432</v>
      </c>
      <c r="Y331" s="3657"/>
      <c r="Z331" s="3661"/>
      <c r="AA331" s="3620" t="s">
        <v>7099</v>
      </c>
      <c r="AB331" s="3624" t="s">
        <v>1434</v>
      </c>
      <c r="AC331" s="3691">
        <v>2.2023</v>
      </c>
      <c r="AD331" s="3691">
        <f t="shared" si="190"/>
        <v>1585.656</v>
      </c>
      <c r="AE331" s="3633" t="s">
        <v>7100</v>
      </c>
      <c r="AF331" s="959" t="s">
        <v>6124</v>
      </c>
      <c r="AG331" s="3620" t="s">
        <v>416</v>
      </c>
      <c r="AH331" s="3620"/>
      <c r="AI331" s="3620"/>
      <c r="AJ331" s="3620"/>
      <c r="AK331" s="959">
        <f t="shared" ref="AK331:AK343" si="214">I331</f>
        <v>720</v>
      </c>
      <c r="AL331" s="959"/>
      <c r="AM331" s="959"/>
      <c r="AN331" s="959"/>
      <c r="AO331" s="959"/>
      <c r="AP331" s="3618">
        <f t="shared" si="194"/>
        <v>720</v>
      </c>
      <c r="AQ331" s="3618"/>
      <c r="AR331" s="3626"/>
      <c r="AS331" s="3626">
        <f t="shared" si="206"/>
        <v>720</v>
      </c>
      <c r="AT331" s="3626"/>
      <c r="AU331" s="3626"/>
      <c r="AV331" s="3626"/>
      <c r="AW331" s="3626">
        <f>I331/6</f>
        <v>120</v>
      </c>
      <c r="AX331" s="3626"/>
      <c r="AY331" s="3626"/>
      <c r="AZ331" s="3626"/>
      <c r="BA331" s="3626"/>
      <c r="BB331" s="3626"/>
      <c r="BC331" s="3626"/>
      <c r="BD331" s="3626"/>
      <c r="BE331" s="3626"/>
      <c r="BF331" s="3626"/>
      <c r="BG331" s="3626"/>
      <c r="BH331" s="3626"/>
      <c r="BI331" s="3626" t="s">
        <v>89</v>
      </c>
      <c r="BJ331" s="3626">
        <f t="shared" si="207"/>
        <v>24</v>
      </c>
      <c r="BK331" s="3626">
        <f t="shared" si="208"/>
        <v>120</v>
      </c>
      <c r="BL331" s="3626">
        <f t="shared" si="209"/>
        <v>120</v>
      </c>
      <c r="BM331" s="3626">
        <f t="shared" si="210"/>
        <v>96</v>
      </c>
      <c r="BN331" s="3626">
        <f t="shared" si="211"/>
        <v>120</v>
      </c>
      <c r="BO331" s="4055">
        <f t="shared" si="212"/>
        <v>120</v>
      </c>
      <c r="BP331" s="3627">
        <f t="shared" si="213"/>
        <v>120</v>
      </c>
      <c r="BQ331" s="3627">
        <f t="shared" si="204"/>
        <v>720</v>
      </c>
      <c r="BR331" s="3627">
        <f t="shared" si="205"/>
        <v>0</v>
      </c>
      <c r="BS331" s="4056"/>
      <c r="BT331" s="4057"/>
    </row>
    <row r="332" s="3566" customFormat="1" ht="50" customHeight="1" spans="1:72">
      <c r="A332" s="3635">
        <v>45797</v>
      </c>
      <c r="B332" s="3617" t="s">
        <v>4061</v>
      </c>
      <c r="C332" s="3617" t="s">
        <v>840</v>
      </c>
      <c r="D332" s="3624">
        <v>4500167054</v>
      </c>
      <c r="E332" s="959">
        <v>3007</v>
      </c>
      <c r="F332" s="3624" t="s">
        <v>7101</v>
      </c>
      <c r="G332" s="959" t="s">
        <v>6186</v>
      </c>
      <c r="H332" s="3618" t="s">
        <v>6063</v>
      </c>
      <c r="I332" s="3618">
        <v>360</v>
      </c>
      <c r="J332" s="3618">
        <v>0</v>
      </c>
      <c r="K332" s="3618">
        <v>6</v>
      </c>
      <c r="L332" s="4052">
        <f t="shared" si="177"/>
        <v>60</v>
      </c>
      <c r="M332" s="3619">
        <v>45842</v>
      </c>
      <c r="N332" s="3619">
        <f>M332-4</f>
        <v>45838</v>
      </c>
      <c r="O332" s="3618"/>
      <c r="P332" s="959" t="s">
        <v>82</v>
      </c>
      <c r="Q332" s="959"/>
      <c r="R332" s="959"/>
      <c r="S332" s="959"/>
      <c r="T332" s="4053"/>
      <c r="U332" s="3620" t="s">
        <v>3739</v>
      </c>
      <c r="V332" s="3649" t="s">
        <v>1336</v>
      </c>
      <c r="W332" s="3657"/>
      <c r="X332" s="3657" t="s">
        <v>98</v>
      </c>
      <c r="Y332" s="3657"/>
      <c r="Z332" s="3661"/>
      <c r="AA332" s="3620" t="s">
        <v>7102</v>
      </c>
      <c r="AB332" s="4092" t="s">
        <v>2735</v>
      </c>
      <c r="AC332" s="3618">
        <v>2.2722</v>
      </c>
      <c r="AD332" s="3618">
        <f t="shared" si="190"/>
        <v>817.992</v>
      </c>
      <c r="AE332" s="3645" t="s">
        <v>4064</v>
      </c>
      <c r="AF332" s="959" t="s">
        <v>6186</v>
      </c>
      <c r="AG332" s="3620" t="s">
        <v>416</v>
      </c>
      <c r="AH332" s="3620"/>
      <c r="AI332" s="3620"/>
      <c r="AJ332" s="3620"/>
      <c r="AK332" s="959">
        <f t="shared" si="214"/>
        <v>360</v>
      </c>
      <c r="AL332" s="959"/>
      <c r="AM332" s="959"/>
      <c r="AN332" s="959"/>
      <c r="AO332" s="959"/>
      <c r="AP332" s="3618">
        <f t="shared" si="194"/>
        <v>360</v>
      </c>
      <c r="AQ332" s="3618"/>
      <c r="AR332" s="3626"/>
      <c r="AS332" s="3626">
        <f t="shared" si="206"/>
        <v>360</v>
      </c>
      <c r="AT332" s="3626"/>
      <c r="AU332" s="3626"/>
      <c r="AV332" s="3626"/>
      <c r="AW332" s="3626">
        <f>I332/6</f>
        <v>60</v>
      </c>
      <c r="AX332" s="3626"/>
      <c r="AY332" s="3626"/>
      <c r="AZ332" s="3626"/>
      <c r="BA332" s="3626"/>
      <c r="BB332" s="3626"/>
      <c r="BC332" s="3626"/>
      <c r="BD332" s="3626"/>
      <c r="BE332" s="3626"/>
      <c r="BF332" s="3626"/>
      <c r="BG332" s="3626"/>
      <c r="BH332" s="3626"/>
      <c r="BI332" s="3626" t="s">
        <v>89</v>
      </c>
      <c r="BJ332" s="3626">
        <f t="shared" si="207"/>
        <v>12</v>
      </c>
      <c r="BK332" s="3626">
        <f t="shared" si="208"/>
        <v>60</v>
      </c>
      <c r="BL332" s="3626">
        <f t="shared" si="209"/>
        <v>60</v>
      </c>
      <c r="BM332" s="3626">
        <f t="shared" si="210"/>
        <v>48</v>
      </c>
      <c r="BN332" s="3626">
        <f t="shared" si="211"/>
        <v>60</v>
      </c>
      <c r="BO332" s="4055">
        <f t="shared" si="212"/>
        <v>60</v>
      </c>
      <c r="BP332" s="3627">
        <f t="shared" si="213"/>
        <v>60</v>
      </c>
      <c r="BQ332" s="3627">
        <f t="shared" si="204"/>
        <v>360</v>
      </c>
      <c r="BR332" s="3627">
        <f t="shared" si="205"/>
        <v>0</v>
      </c>
      <c r="BS332" s="4056"/>
      <c r="BT332" s="4057"/>
    </row>
    <row r="333" s="3566" customFormat="1" ht="50" customHeight="1" spans="1:72">
      <c r="A333" s="3635">
        <v>45786</v>
      </c>
      <c r="B333" s="3617" t="s">
        <v>2908</v>
      </c>
      <c r="C333" s="3617" t="s">
        <v>341</v>
      </c>
      <c r="D333" s="3624">
        <v>4500164068</v>
      </c>
      <c r="E333" s="3618" t="s">
        <v>4013</v>
      </c>
      <c r="F333" s="3617" t="s">
        <v>4014</v>
      </c>
      <c r="G333" s="959" t="s">
        <v>6641</v>
      </c>
      <c r="H333" s="959" t="s">
        <v>6642</v>
      </c>
      <c r="I333" s="3618">
        <v>22764</v>
      </c>
      <c r="J333" s="3618">
        <v>0</v>
      </c>
      <c r="K333" s="3618">
        <v>1</v>
      </c>
      <c r="L333" s="4052">
        <f t="shared" si="177"/>
        <v>22764</v>
      </c>
      <c r="M333" s="3619">
        <v>45839</v>
      </c>
      <c r="N333" s="3619">
        <f>M333-4</f>
        <v>45835</v>
      </c>
      <c r="O333" s="4085"/>
      <c r="P333" s="3682" t="s">
        <v>82</v>
      </c>
      <c r="Q333" s="3682"/>
      <c r="R333" s="3682"/>
      <c r="S333" s="3682"/>
      <c r="T333" s="4083"/>
      <c r="U333" s="3645" t="s">
        <v>1447</v>
      </c>
      <c r="V333" s="3649" t="s">
        <v>3725</v>
      </c>
      <c r="W333" s="3657"/>
      <c r="X333" s="3657" t="s">
        <v>1099</v>
      </c>
      <c r="Y333" s="3657"/>
      <c r="Z333" s="3661"/>
      <c r="AA333" s="3620" t="s">
        <v>4015</v>
      </c>
      <c r="AB333" s="3624" t="s">
        <v>1245</v>
      </c>
      <c r="AC333" s="4058">
        <v>8.7564</v>
      </c>
      <c r="AD333" s="3618">
        <f t="shared" si="190"/>
        <v>199330.6896</v>
      </c>
      <c r="AE333" s="3633"/>
      <c r="AF333" s="959" t="s">
        <v>3520</v>
      </c>
      <c r="AG333" s="3620" t="s">
        <v>416</v>
      </c>
      <c r="AH333" s="3620"/>
      <c r="AI333" s="3620"/>
      <c r="AJ333" s="3620"/>
      <c r="AK333" s="959">
        <f t="shared" si="214"/>
        <v>22764</v>
      </c>
      <c r="AL333" s="959"/>
      <c r="AM333" s="959"/>
      <c r="AN333" s="959"/>
      <c r="AO333" s="959"/>
      <c r="AP333" s="3618">
        <f t="shared" si="194"/>
        <v>22764</v>
      </c>
      <c r="AQ333" s="3618"/>
      <c r="AR333" s="3626"/>
      <c r="AS333" s="3626">
        <f t="shared" si="206"/>
        <v>22764</v>
      </c>
      <c r="AT333" s="3626"/>
      <c r="AU333" s="3626"/>
      <c r="AV333" s="3626"/>
      <c r="AW333" s="3626"/>
      <c r="AX333" s="3626"/>
      <c r="AY333" s="3626"/>
      <c r="AZ333" s="3626"/>
      <c r="BA333" s="3626"/>
      <c r="BB333" s="3626"/>
      <c r="BC333" s="3626"/>
      <c r="BD333" s="3626"/>
      <c r="BE333" s="3626"/>
      <c r="BF333" s="3626"/>
      <c r="BG333" s="3626"/>
      <c r="BH333" s="3626"/>
      <c r="BI333" s="3626" t="s">
        <v>89</v>
      </c>
      <c r="BJ333" s="3626">
        <f t="shared" si="207"/>
        <v>758.8</v>
      </c>
      <c r="BK333" s="3626">
        <f t="shared" si="208"/>
        <v>3794</v>
      </c>
      <c r="BL333" s="3626">
        <f t="shared" si="209"/>
        <v>3794</v>
      </c>
      <c r="BM333" s="3626">
        <f t="shared" si="210"/>
        <v>3035.2</v>
      </c>
      <c r="BN333" s="3626">
        <f t="shared" si="211"/>
        <v>3794</v>
      </c>
      <c r="BO333" s="4055">
        <f t="shared" si="212"/>
        <v>3794</v>
      </c>
      <c r="BP333" s="3627">
        <f t="shared" si="213"/>
        <v>3794</v>
      </c>
      <c r="BQ333" s="3627">
        <f t="shared" si="204"/>
        <v>22764</v>
      </c>
      <c r="BR333" s="3627">
        <f t="shared" si="205"/>
        <v>0</v>
      </c>
      <c r="BS333" s="4056" t="e">
        <v>#N/A</v>
      </c>
      <c r="BT333" s="4057" t="e">
        <v>#N/A</v>
      </c>
    </row>
    <row r="334" s="3566" customFormat="1" ht="50" customHeight="1" spans="1:72">
      <c r="A334" s="3635">
        <v>45812</v>
      </c>
      <c r="B334" s="3617" t="s">
        <v>872</v>
      </c>
      <c r="C334" s="3617" t="s">
        <v>873</v>
      </c>
      <c r="D334" s="3618">
        <v>4500168727</v>
      </c>
      <c r="E334" s="959"/>
      <c r="F334" s="3618" t="s">
        <v>7103</v>
      </c>
      <c r="G334" s="959" t="s">
        <v>3520</v>
      </c>
      <c r="H334" s="3618" t="s">
        <v>6063</v>
      </c>
      <c r="I334" s="3618">
        <v>10800</v>
      </c>
      <c r="J334" s="3618">
        <v>0</v>
      </c>
      <c r="K334" s="3618">
        <v>24</v>
      </c>
      <c r="L334" s="4052">
        <f t="shared" si="177"/>
        <v>450</v>
      </c>
      <c r="M334" s="3619">
        <v>45848</v>
      </c>
      <c r="N334" s="3619">
        <v>45845</v>
      </c>
      <c r="O334" s="3618"/>
      <c r="P334" s="959" t="s">
        <v>82</v>
      </c>
      <c r="Q334" s="959"/>
      <c r="R334" s="959"/>
      <c r="S334" s="959"/>
      <c r="T334" s="4053"/>
      <c r="U334" s="3620" t="s">
        <v>7104</v>
      </c>
      <c r="V334" s="3640" t="s">
        <v>1425</v>
      </c>
      <c r="W334" s="3640"/>
      <c r="X334" s="3657" t="s">
        <v>1426</v>
      </c>
      <c r="Y334" s="3640"/>
      <c r="Z334" s="3623"/>
      <c r="AA334" s="3620" t="s">
        <v>7105</v>
      </c>
      <c r="AB334" s="3624" t="s">
        <v>1131</v>
      </c>
      <c r="AC334" s="4058">
        <v>2.1668</v>
      </c>
      <c r="AD334" s="3618">
        <f t="shared" si="190"/>
        <v>23401.44</v>
      </c>
      <c r="AE334" s="3633" t="s">
        <v>7106</v>
      </c>
      <c r="AF334" s="959" t="s">
        <v>3520</v>
      </c>
      <c r="AG334" s="3620" t="s">
        <v>416</v>
      </c>
      <c r="AH334" s="3620"/>
      <c r="AI334" s="3620"/>
      <c r="AJ334" s="3620"/>
      <c r="AK334" s="959">
        <f t="shared" si="214"/>
        <v>10800</v>
      </c>
      <c r="AL334" s="959"/>
      <c r="AM334" s="959"/>
      <c r="AN334" s="959"/>
      <c r="AO334" s="959"/>
      <c r="AP334" s="3618">
        <f t="shared" si="194"/>
        <v>10800</v>
      </c>
      <c r="AQ334" s="3618"/>
      <c r="AR334" s="3626"/>
      <c r="AS334" s="3626">
        <f t="shared" si="206"/>
        <v>10800</v>
      </c>
      <c r="AT334" s="3626"/>
      <c r="AU334" s="3626"/>
      <c r="AV334" s="3626"/>
      <c r="AW334" s="3626"/>
      <c r="AX334" s="3626"/>
      <c r="AY334" s="3626"/>
      <c r="AZ334" s="3626"/>
      <c r="BA334" s="3626"/>
      <c r="BB334" s="3626"/>
      <c r="BC334" s="3626"/>
      <c r="BD334" s="3626"/>
      <c r="BE334" s="3626"/>
      <c r="BF334" s="3626"/>
      <c r="BG334" s="3626"/>
      <c r="BH334" s="3626"/>
      <c r="BI334" s="3626" t="s">
        <v>89</v>
      </c>
      <c r="BJ334" s="3626">
        <f t="shared" si="207"/>
        <v>360</v>
      </c>
      <c r="BK334" s="3626">
        <f t="shared" si="208"/>
        <v>1800</v>
      </c>
      <c r="BL334" s="3626">
        <f t="shared" si="209"/>
        <v>1800</v>
      </c>
      <c r="BM334" s="3626">
        <f t="shared" si="210"/>
        <v>1440</v>
      </c>
      <c r="BN334" s="3626">
        <f t="shared" si="211"/>
        <v>1800</v>
      </c>
      <c r="BO334" s="4055">
        <f t="shared" si="212"/>
        <v>1800</v>
      </c>
      <c r="BP334" s="3627">
        <f t="shared" si="213"/>
        <v>1800</v>
      </c>
      <c r="BQ334" s="3627">
        <f t="shared" si="204"/>
        <v>10800</v>
      </c>
      <c r="BR334" s="3627">
        <f t="shared" si="205"/>
        <v>0</v>
      </c>
      <c r="BS334" s="4056" t="s">
        <v>7107</v>
      </c>
      <c r="BT334" s="4057">
        <v>45848</v>
      </c>
    </row>
    <row r="335" s="3566" customFormat="1" ht="50" customHeight="1" spans="1:72">
      <c r="A335" s="3635">
        <v>45800</v>
      </c>
      <c r="B335" s="3617" t="s">
        <v>2914</v>
      </c>
      <c r="C335" s="3617" t="s">
        <v>341</v>
      </c>
      <c r="D335" s="3618">
        <v>4500159670</v>
      </c>
      <c r="E335" s="3618" t="s">
        <v>7108</v>
      </c>
      <c r="F335" s="959" t="s">
        <v>7109</v>
      </c>
      <c r="G335" s="959" t="s">
        <v>6116</v>
      </c>
      <c r="H335" s="3618" t="s">
        <v>6063</v>
      </c>
      <c r="I335" s="3618">
        <v>5280</v>
      </c>
      <c r="J335" s="3618">
        <v>0</v>
      </c>
      <c r="K335" s="3618">
        <v>16</v>
      </c>
      <c r="L335" s="4052">
        <f t="shared" si="177"/>
        <v>330</v>
      </c>
      <c r="M335" s="3619">
        <v>45849</v>
      </c>
      <c r="N335" s="3619">
        <f>M335-4</f>
        <v>45845</v>
      </c>
      <c r="O335" s="3618"/>
      <c r="P335" s="959" t="s">
        <v>82</v>
      </c>
      <c r="Q335" s="959"/>
      <c r="R335" s="959"/>
      <c r="S335" s="959"/>
      <c r="T335" s="4053"/>
      <c r="U335" s="3620" t="s">
        <v>206</v>
      </c>
      <c r="V335" s="3657" t="s">
        <v>3925</v>
      </c>
      <c r="W335" s="3640"/>
      <c r="X335" s="3640" t="s">
        <v>6932</v>
      </c>
      <c r="Y335" s="3640"/>
      <c r="Z335" s="3623"/>
      <c r="AA335" s="3620" t="s">
        <v>7110</v>
      </c>
      <c r="AB335" s="3624" t="s">
        <v>3896</v>
      </c>
      <c r="AC335" s="4058">
        <v>2.2683</v>
      </c>
      <c r="AD335" s="3618">
        <f t="shared" si="190"/>
        <v>11976.624</v>
      </c>
      <c r="AE335" s="3633" t="s">
        <v>7111</v>
      </c>
      <c r="AF335" s="959" t="s">
        <v>6116</v>
      </c>
      <c r="AG335" s="3620" t="s">
        <v>416</v>
      </c>
      <c r="AH335" s="3620"/>
      <c r="AI335" s="3620"/>
      <c r="AJ335" s="3620"/>
      <c r="AK335" s="959">
        <f t="shared" si="214"/>
        <v>5280</v>
      </c>
      <c r="AL335" s="959"/>
      <c r="AM335" s="959"/>
      <c r="AN335" s="959"/>
      <c r="AO335" s="959"/>
      <c r="AP335" s="3618">
        <f t="shared" si="194"/>
        <v>5280</v>
      </c>
      <c r="AQ335" s="3618"/>
      <c r="AR335" s="3626"/>
      <c r="AS335" s="3626">
        <f t="shared" si="206"/>
        <v>5280</v>
      </c>
      <c r="AT335" s="3626"/>
      <c r="AU335" s="3626"/>
      <c r="AV335" s="3626"/>
      <c r="AW335" s="3626"/>
      <c r="AX335" s="3626"/>
      <c r="AY335" s="3626"/>
      <c r="AZ335" s="3626"/>
      <c r="BA335" s="3626"/>
      <c r="BB335" s="3626"/>
      <c r="BC335" s="3626">
        <f>I335/4</f>
        <v>1320</v>
      </c>
      <c r="BD335" s="3626"/>
      <c r="BE335" s="3626"/>
      <c r="BF335" s="3626"/>
      <c r="BG335" s="3626"/>
      <c r="BH335" s="3626"/>
      <c r="BI335" s="3626" t="s">
        <v>89</v>
      </c>
      <c r="BJ335" s="3626">
        <f t="shared" si="207"/>
        <v>176</v>
      </c>
      <c r="BK335" s="3626">
        <f t="shared" si="208"/>
        <v>880</v>
      </c>
      <c r="BL335" s="3626">
        <f t="shared" si="209"/>
        <v>880</v>
      </c>
      <c r="BM335" s="3626">
        <f t="shared" si="210"/>
        <v>704</v>
      </c>
      <c r="BN335" s="3626">
        <f t="shared" si="211"/>
        <v>880</v>
      </c>
      <c r="BO335" s="4055">
        <f t="shared" si="212"/>
        <v>880</v>
      </c>
      <c r="BP335" s="3627">
        <f t="shared" si="213"/>
        <v>880</v>
      </c>
      <c r="BQ335" s="3627">
        <f t="shared" si="204"/>
        <v>5280</v>
      </c>
      <c r="BR335" s="3627">
        <f t="shared" si="205"/>
        <v>0</v>
      </c>
      <c r="BS335" s="4056" t="s">
        <v>7112</v>
      </c>
      <c r="BT335" s="4057"/>
    </row>
    <row r="336" s="3566" customFormat="1" ht="50" customHeight="1" spans="1:72">
      <c r="A336" s="3635">
        <v>45811</v>
      </c>
      <c r="B336" s="3617" t="s">
        <v>2732</v>
      </c>
      <c r="C336" s="3617" t="s">
        <v>840</v>
      </c>
      <c r="D336" s="3618">
        <v>4500168824</v>
      </c>
      <c r="E336" s="3618">
        <v>29144822</v>
      </c>
      <c r="F336" s="959" t="s">
        <v>7113</v>
      </c>
      <c r="G336" s="959" t="s">
        <v>6124</v>
      </c>
      <c r="H336" s="3618" t="s">
        <v>6063</v>
      </c>
      <c r="I336" s="3618">
        <v>2076</v>
      </c>
      <c r="J336" s="3618">
        <v>0</v>
      </c>
      <c r="K336" s="3618">
        <v>12</v>
      </c>
      <c r="L336" s="4052">
        <f t="shared" ref="L336:L349" si="215">I336/K336</f>
        <v>173</v>
      </c>
      <c r="M336" s="3619">
        <v>45851</v>
      </c>
      <c r="N336" s="3619">
        <v>45847</v>
      </c>
      <c r="O336" s="3618"/>
      <c r="P336" s="959" t="s">
        <v>82</v>
      </c>
      <c r="Q336" s="959"/>
      <c r="R336" s="959"/>
      <c r="S336" s="959"/>
      <c r="T336" s="4053"/>
      <c r="U336" s="3620" t="s">
        <v>206</v>
      </c>
      <c r="V336" s="3649" t="s">
        <v>4149</v>
      </c>
      <c r="W336" s="3640"/>
      <c r="X336" s="3640" t="s">
        <v>98</v>
      </c>
      <c r="Y336" s="3640"/>
      <c r="Z336" s="3623"/>
      <c r="AA336" s="3620" t="s">
        <v>7114</v>
      </c>
      <c r="AB336" s="3624" t="s">
        <v>4141</v>
      </c>
      <c r="AC336" s="4058">
        <v>2.198</v>
      </c>
      <c r="AD336" s="3618">
        <f t="shared" si="190"/>
        <v>4563.048</v>
      </c>
      <c r="AE336" s="3633" t="s">
        <v>7115</v>
      </c>
      <c r="AF336" s="959" t="s">
        <v>6124</v>
      </c>
      <c r="AG336" s="3620" t="s">
        <v>416</v>
      </c>
      <c r="AH336" s="3620"/>
      <c r="AI336" s="3620"/>
      <c r="AJ336" s="3620"/>
      <c r="AK336" s="959">
        <f t="shared" si="214"/>
        <v>2076</v>
      </c>
      <c r="AL336" s="959"/>
      <c r="AM336" s="959"/>
      <c r="AN336" s="959"/>
      <c r="AO336" s="959"/>
      <c r="AP336" s="3618">
        <f t="shared" si="194"/>
        <v>2076</v>
      </c>
      <c r="AQ336" s="3618"/>
      <c r="AR336" s="3626"/>
      <c r="AS336" s="3626">
        <f t="shared" si="206"/>
        <v>2076</v>
      </c>
      <c r="AT336" s="3626"/>
      <c r="AU336" s="3626"/>
      <c r="AV336" s="3626"/>
      <c r="AW336" s="3626">
        <f>I336/6</f>
        <v>346</v>
      </c>
      <c r="AX336" s="3626"/>
      <c r="AY336" s="3626"/>
      <c r="AZ336" s="3626"/>
      <c r="BA336" s="3626"/>
      <c r="BB336" s="3626"/>
      <c r="BC336" s="3626"/>
      <c r="BD336" s="3626"/>
      <c r="BE336" s="3626"/>
      <c r="BF336" s="3626"/>
      <c r="BG336" s="3626"/>
      <c r="BH336" s="3626"/>
      <c r="BI336" s="3626" t="s">
        <v>89</v>
      </c>
      <c r="BJ336" s="3626">
        <f t="shared" si="207"/>
        <v>69.2</v>
      </c>
      <c r="BK336" s="3626">
        <f t="shared" si="208"/>
        <v>346</v>
      </c>
      <c r="BL336" s="3626">
        <f t="shared" si="209"/>
        <v>346</v>
      </c>
      <c r="BM336" s="3626">
        <f t="shared" si="210"/>
        <v>276.8</v>
      </c>
      <c r="BN336" s="3626">
        <f t="shared" si="211"/>
        <v>346</v>
      </c>
      <c r="BO336" s="4055">
        <f t="shared" si="212"/>
        <v>346</v>
      </c>
      <c r="BP336" s="3627">
        <f t="shared" si="213"/>
        <v>346</v>
      </c>
      <c r="BQ336" s="3627">
        <f t="shared" si="204"/>
        <v>2076</v>
      </c>
      <c r="BR336" s="3627">
        <f t="shared" si="205"/>
        <v>0</v>
      </c>
      <c r="BS336" s="4056" t="s">
        <v>7112</v>
      </c>
      <c r="BT336" s="4057"/>
    </row>
    <row r="337" s="3566" customFormat="1" ht="50" customHeight="1" spans="1:72">
      <c r="A337" s="3635">
        <v>45806</v>
      </c>
      <c r="B337" s="3617" t="s">
        <v>2616</v>
      </c>
      <c r="C337" s="3617" t="s">
        <v>471</v>
      </c>
      <c r="D337" s="3624">
        <v>4500168067</v>
      </c>
      <c r="E337" s="3618" t="s">
        <v>4066</v>
      </c>
      <c r="F337" s="3617" t="s">
        <v>7116</v>
      </c>
      <c r="G337" s="959" t="s">
        <v>7117</v>
      </c>
      <c r="H337" s="3618" t="s">
        <v>6800</v>
      </c>
      <c r="I337" s="3618">
        <v>5496</v>
      </c>
      <c r="J337" s="3618">
        <v>0</v>
      </c>
      <c r="K337" s="3618">
        <v>24</v>
      </c>
      <c r="L337" s="4052">
        <f t="shared" si="215"/>
        <v>229</v>
      </c>
      <c r="M337" s="3619">
        <v>45842</v>
      </c>
      <c r="N337" s="3619">
        <f>M337-4</f>
        <v>45838</v>
      </c>
      <c r="O337" s="3682" t="s">
        <v>1454</v>
      </c>
      <c r="P337" s="959" t="s">
        <v>82</v>
      </c>
      <c r="Q337" s="959"/>
      <c r="R337" s="959"/>
      <c r="S337" s="959"/>
      <c r="T337" s="4053"/>
      <c r="U337" s="3620" t="s">
        <v>206</v>
      </c>
      <c r="V337" s="3649" t="s">
        <v>4070</v>
      </c>
      <c r="W337" s="3657"/>
      <c r="X337" s="3657" t="s">
        <v>7118</v>
      </c>
      <c r="Y337" s="3657"/>
      <c r="Z337" s="3661"/>
      <c r="AA337" s="3620" t="s">
        <v>7119</v>
      </c>
      <c r="AB337" s="3624" t="s">
        <v>2624</v>
      </c>
      <c r="AC337" s="3618">
        <v>2.1789</v>
      </c>
      <c r="AD337" s="3618">
        <f t="shared" si="190"/>
        <v>11975.2344</v>
      </c>
      <c r="AE337" s="3633"/>
      <c r="AF337" s="959" t="s">
        <v>7120</v>
      </c>
      <c r="AG337" s="3620" t="s">
        <v>416</v>
      </c>
      <c r="AH337" s="3620"/>
      <c r="AI337" s="3620"/>
      <c r="AJ337" s="3620"/>
      <c r="AK337" s="959">
        <f t="shared" si="214"/>
        <v>5496</v>
      </c>
      <c r="AL337" s="959"/>
      <c r="AM337" s="959"/>
      <c r="AN337" s="959"/>
      <c r="AO337" s="959"/>
      <c r="AP337" s="3618">
        <f t="shared" si="194"/>
        <v>5496</v>
      </c>
      <c r="AQ337" s="3618"/>
      <c r="AR337" s="3626"/>
      <c r="AS337" s="3626"/>
      <c r="AT337" s="3626"/>
      <c r="AU337" s="3626">
        <f>I337</f>
        <v>5496</v>
      </c>
      <c r="AV337" s="3626"/>
      <c r="AW337" s="3626"/>
      <c r="AX337" s="3626"/>
      <c r="AY337" s="3626"/>
      <c r="AZ337" s="3626"/>
      <c r="BA337" s="3626"/>
      <c r="BB337" s="3626"/>
      <c r="BC337" s="3626"/>
      <c r="BD337" s="3626"/>
      <c r="BE337" s="3626"/>
      <c r="BF337" s="3626"/>
      <c r="BG337" s="3626"/>
      <c r="BH337" s="3626"/>
      <c r="BI337" s="3626" t="s">
        <v>89</v>
      </c>
      <c r="BJ337" s="3626">
        <f t="shared" si="207"/>
        <v>183.2</v>
      </c>
      <c r="BK337" s="3626">
        <f t="shared" si="208"/>
        <v>916</v>
      </c>
      <c r="BL337" s="3626">
        <f t="shared" si="209"/>
        <v>916</v>
      </c>
      <c r="BM337" s="3626">
        <f t="shared" si="210"/>
        <v>732.8</v>
      </c>
      <c r="BN337" s="3626">
        <f t="shared" si="211"/>
        <v>916</v>
      </c>
      <c r="BO337" s="4055">
        <f t="shared" si="212"/>
        <v>916</v>
      </c>
      <c r="BP337" s="3627">
        <f t="shared" si="213"/>
        <v>916</v>
      </c>
      <c r="BQ337" s="3627">
        <f t="shared" si="204"/>
        <v>5496</v>
      </c>
      <c r="BR337" s="3627">
        <f t="shared" si="205"/>
        <v>0</v>
      </c>
      <c r="BS337" s="4056" t="e">
        <v>#N/A</v>
      </c>
      <c r="BT337" s="4057" t="e">
        <v>#N/A</v>
      </c>
    </row>
    <row r="338" s="3566" customFormat="1" ht="50" customHeight="1" spans="1:72">
      <c r="A338" s="3635">
        <v>45810</v>
      </c>
      <c r="B338" s="3617" t="s">
        <v>2732</v>
      </c>
      <c r="C338" s="3617" t="s">
        <v>840</v>
      </c>
      <c r="D338" s="3618">
        <v>4500168620</v>
      </c>
      <c r="E338" s="959" t="s">
        <v>7121</v>
      </c>
      <c r="F338" s="959" t="s">
        <v>7122</v>
      </c>
      <c r="G338" s="959" t="s">
        <v>6124</v>
      </c>
      <c r="H338" s="3618" t="s">
        <v>6063</v>
      </c>
      <c r="I338" s="3618">
        <v>1116</v>
      </c>
      <c r="J338" s="3618">
        <v>0</v>
      </c>
      <c r="K338" s="3618">
        <v>12</v>
      </c>
      <c r="L338" s="4052">
        <f t="shared" si="215"/>
        <v>93</v>
      </c>
      <c r="M338" s="3619">
        <v>45851</v>
      </c>
      <c r="N338" s="3619">
        <v>45851</v>
      </c>
      <c r="O338" s="3618"/>
      <c r="P338" s="959" t="s">
        <v>82</v>
      </c>
      <c r="Q338" s="959"/>
      <c r="R338" s="959"/>
      <c r="S338" s="959"/>
      <c r="T338" s="4053"/>
      <c r="U338" s="3620" t="s">
        <v>4123</v>
      </c>
      <c r="V338" s="3649" t="s">
        <v>3992</v>
      </c>
      <c r="W338" s="3640"/>
      <c r="X338" s="3657" t="s">
        <v>98</v>
      </c>
      <c r="Y338" s="3640"/>
      <c r="Z338" s="3623"/>
      <c r="AA338" s="3620" t="s">
        <v>7114</v>
      </c>
      <c r="AB338" s="3624" t="s">
        <v>4141</v>
      </c>
      <c r="AC338" s="4058">
        <v>2.2547</v>
      </c>
      <c r="AD338" s="3618">
        <f t="shared" si="190"/>
        <v>2516.2452</v>
      </c>
      <c r="AE338" s="3633" t="s">
        <v>4146</v>
      </c>
      <c r="AF338" s="959" t="s">
        <v>6124</v>
      </c>
      <c r="AG338" s="3620" t="s">
        <v>416</v>
      </c>
      <c r="AH338" s="3620"/>
      <c r="AI338" s="3620"/>
      <c r="AJ338" s="3620"/>
      <c r="AK338" s="959">
        <f t="shared" si="214"/>
        <v>1116</v>
      </c>
      <c r="AL338" s="959"/>
      <c r="AM338" s="959"/>
      <c r="AN338" s="959"/>
      <c r="AO338" s="959"/>
      <c r="AP338" s="3618">
        <f t="shared" si="194"/>
        <v>1116</v>
      </c>
      <c r="AQ338" s="3618"/>
      <c r="AR338" s="3626"/>
      <c r="AS338" s="3626">
        <f>I338</f>
        <v>1116</v>
      </c>
      <c r="AT338" s="3626"/>
      <c r="AU338" s="3626"/>
      <c r="AV338" s="3626"/>
      <c r="AW338" s="3626">
        <f>I338/6</f>
        <v>186</v>
      </c>
      <c r="AX338" s="3626"/>
      <c r="AY338" s="3626"/>
      <c r="AZ338" s="3626"/>
      <c r="BA338" s="3626"/>
      <c r="BB338" s="3626"/>
      <c r="BC338" s="3626"/>
      <c r="BD338" s="3626"/>
      <c r="BE338" s="3626"/>
      <c r="BF338" s="3626"/>
      <c r="BG338" s="3626"/>
      <c r="BH338" s="3626"/>
      <c r="BI338" s="3626" t="s">
        <v>89</v>
      </c>
      <c r="BJ338" s="3626">
        <f t="shared" si="207"/>
        <v>37.2</v>
      </c>
      <c r="BK338" s="3626">
        <f t="shared" si="208"/>
        <v>186</v>
      </c>
      <c r="BL338" s="3626">
        <f t="shared" si="209"/>
        <v>186</v>
      </c>
      <c r="BM338" s="3626">
        <f t="shared" si="210"/>
        <v>148.8</v>
      </c>
      <c r="BN338" s="3626">
        <f t="shared" si="211"/>
        <v>186</v>
      </c>
      <c r="BO338" s="4055">
        <f t="shared" si="212"/>
        <v>186</v>
      </c>
      <c r="BP338" s="3627">
        <f t="shared" si="213"/>
        <v>186</v>
      </c>
      <c r="BQ338" s="3627">
        <f t="shared" si="204"/>
        <v>1116</v>
      </c>
      <c r="BR338" s="3627">
        <f t="shared" si="205"/>
        <v>0</v>
      </c>
      <c r="BS338" s="4056" t="s">
        <v>7112</v>
      </c>
      <c r="BT338" s="4057" t="s">
        <v>4036</v>
      </c>
    </row>
    <row r="339" s="3566" customFormat="1" ht="50" customHeight="1" spans="1:72">
      <c r="A339" s="3635">
        <v>45818</v>
      </c>
      <c r="B339" s="3617" t="s">
        <v>4111</v>
      </c>
      <c r="C339" s="3617" t="s">
        <v>91</v>
      </c>
      <c r="D339" s="3618">
        <v>4500169465</v>
      </c>
      <c r="E339" s="959" t="s">
        <v>7123</v>
      </c>
      <c r="F339" s="959" t="s">
        <v>7124</v>
      </c>
      <c r="G339" s="959" t="s">
        <v>7125</v>
      </c>
      <c r="H339" s="3618" t="s">
        <v>7126</v>
      </c>
      <c r="I339" s="3618">
        <v>2496</v>
      </c>
      <c r="J339" s="3618">
        <v>0</v>
      </c>
      <c r="K339" s="3618">
        <v>32</v>
      </c>
      <c r="L339" s="4052">
        <f t="shared" si="215"/>
        <v>78</v>
      </c>
      <c r="M339" s="3619">
        <v>45849</v>
      </c>
      <c r="N339" s="3619">
        <v>45849</v>
      </c>
      <c r="O339" s="959" t="s">
        <v>7127</v>
      </c>
      <c r="P339" s="959" t="s">
        <v>82</v>
      </c>
      <c r="Q339" s="959"/>
      <c r="R339" s="959"/>
      <c r="S339" s="959"/>
      <c r="T339" s="4053"/>
      <c r="U339" s="3620" t="s">
        <v>4116</v>
      </c>
      <c r="V339" s="3649" t="s">
        <v>1484</v>
      </c>
      <c r="W339" s="3640"/>
      <c r="X339" s="3640" t="s">
        <v>98</v>
      </c>
      <c r="Y339" s="3640"/>
      <c r="Z339" s="3623"/>
      <c r="AA339" s="3620" t="s">
        <v>7128</v>
      </c>
      <c r="AB339" s="3624" t="s">
        <v>1024</v>
      </c>
      <c r="AC339" s="4058">
        <v>1.3869</v>
      </c>
      <c r="AD339" s="3618">
        <f t="shared" si="190"/>
        <v>3461.7024</v>
      </c>
      <c r="AE339" s="3633" t="s">
        <v>7129</v>
      </c>
      <c r="AF339" s="959" t="s">
        <v>6281</v>
      </c>
      <c r="AG339" s="3620" t="s">
        <v>416</v>
      </c>
      <c r="AH339" s="3620"/>
      <c r="AI339" s="3620"/>
      <c r="AJ339" s="3620"/>
      <c r="AK339" s="959">
        <f t="shared" si="214"/>
        <v>2496</v>
      </c>
      <c r="AL339" s="959"/>
      <c r="AM339" s="959"/>
      <c r="AN339" s="959"/>
      <c r="AO339" s="959"/>
      <c r="AP339" s="3618">
        <f t="shared" si="194"/>
        <v>2496</v>
      </c>
      <c r="AQ339" s="3618"/>
      <c r="AR339" s="3626"/>
      <c r="AS339" s="3626">
        <f>I339</f>
        <v>2496</v>
      </c>
      <c r="AT339" s="3626"/>
      <c r="AU339" s="3626"/>
      <c r="AV339" s="3626"/>
      <c r="AW339" s="3626"/>
      <c r="AX339" s="3626"/>
      <c r="AY339" s="3626"/>
      <c r="AZ339" s="3626"/>
      <c r="BA339" s="3626"/>
      <c r="BB339" s="3626"/>
      <c r="BC339" s="3626"/>
      <c r="BD339" s="3626"/>
      <c r="BE339" s="3626"/>
      <c r="BF339" s="3626"/>
      <c r="BG339" s="3626"/>
      <c r="BH339" s="3626"/>
      <c r="BI339" s="3626" t="s">
        <v>89</v>
      </c>
      <c r="BJ339" s="3626"/>
      <c r="BK339" s="3626">
        <f>I339</f>
        <v>2496</v>
      </c>
      <c r="BL339" s="3626"/>
      <c r="BM339" s="3626"/>
      <c r="BN339" s="3626"/>
      <c r="BO339" s="4055"/>
      <c r="BP339" s="3627"/>
      <c r="BQ339" s="3627">
        <f t="shared" si="204"/>
        <v>2496</v>
      </c>
      <c r="BR339" s="3627">
        <f t="shared" si="205"/>
        <v>0</v>
      </c>
      <c r="BS339" s="4056" t="e">
        <v>#N/A</v>
      </c>
      <c r="BT339" s="4057" t="s">
        <v>4036</v>
      </c>
    </row>
    <row r="340" s="3566" customFormat="1" ht="50" customHeight="1" spans="1:72">
      <c r="A340" s="3635">
        <v>45814</v>
      </c>
      <c r="B340" s="3617" t="s">
        <v>3156</v>
      </c>
      <c r="C340" s="3617" t="s">
        <v>471</v>
      </c>
      <c r="D340" s="3618">
        <v>4500169190</v>
      </c>
      <c r="E340" s="3618">
        <v>5200006920</v>
      </c>
      <c r="F340" s="959" t="s">
        <v>7130</v>
      </c>
      <c r="G340" s="959" t="s">
        <v>7131</v>
      </c>
      <c r="H340" s="3618" t="s">
        <v>6063</v>
      </c>
      <c r="I340" s="3618">
        <v>7800</v>
      </c>
      <c r="J340" s="3618">
        <v>0</v>
      </c>
      <c r="K340" s="3618">
        <v>12</v>
      </c>
      <c r="L340" s="4052">
        <f t="shared" si="215"/>
        <v>650</v>
      </c>
      <c r="M340" s="3619">
        <v>45849</v>
      </c>
      <c r="N340" s="3619">
        <v>45849</v>
      </c>
      <c r="O340" s="3618"/>
      <c r="P340" s="959" t="s">
        <v>82</v>
      </c>
      <c r="Q340" s="959"/>
      <c r="R340" s="959"/>
      <c r="S340" s="959"/>
      <c r="T340" s="4053"/>
      <c r="U340" s="3620" t="s">
        <v>1424</v>
      </c>
      <c r="V340" s="3649" t="s">
        <v>1425</v>
      </c>
      <c r="W340" s="3640"/>
      <c r="X340" s="3640" t="s">
        <v>7132</v>
      </c>
      <c r="Y340" s="3640"/>
      <c r="Z340" s="3623"/>
      <c r="AA340" s="3620" t="s">
        <v>7133</v>
      </c>
      <c r="AB340" s="3624" t="s">
        <v>4059</v>
      </c>
      <c r="AC340" s="4058">
        <v>2.2307</v>
      </c>
      <c r="AD340" s="3618">
        <f t="shared" si="190"/>
        <v>17399.46</v>
      </c>
      <c r="AE340" s="3633">
        <v>95706</v>
      </c>
      <c r="AF340" s="959" t="s">
        <v>6126</v>
      </c>
      <c r="AG340" s="3620" t="s">
        <v>416</v>
      </c>
      <c r="AH340" s="3620"/>
      <c r="AI340" s="3620"/>
      <c r="AJ340" s="3620"/>
      <c r="AK340" s="959"/>
      <c r="AL340" s="959"/>
      <c r="AM340" s="959">
        <f>I340</f>
        <v>7800</v>
      </c>
      <c r="AN340" s="959"/>
      <c r="AO340" s="959"/>
      <c r="AP340" s="3618">
        <f t="shared" si="194"/>
        <v>7800</v>
      </c>
      <c r="AQ340" s="3618"/>
      <c r="AR340" s="3626"/>
      <c r="AS340" s="3626">
        <f>I340</f>
        <v>7800</v>
      </c>
      <c r="AT340" s="3626"/>
      <c r="AU340" s="3626"/>
      <c r="AV340" s="3626"/>
      <c r="AW340" s="3626">
        <f>I340/6</f>
        <v>1300</v>
      </c>
      <c r="AX340" s="3626"/>
      <c r="AY340" s="3626"/>
      <c r="AZ340" s="3626"/>
      <c r="BA340" s="3626"/>
      <c r="BB340" s="3626"/>
      <c r="BC340" s="3626"/>
      <c r="BD340" s="3626"/>
      <c r="BE340" s="3626"/>
      <c r="BF340" s="3626"/>
      <c r="BG340" s="3626"/>
      <c r="BH340" s="3626"/>
      <c r="BI340" s="3626" t="s">
        <v>89</v>
      </c>
      <c r="BJ340" s="3626">
        <f t="shared" ref="BJ340:BJ348" si="216">I340/60*2</f>
        <v>260</v>
      </c>
      <c r="BK340" s="3626">
        <f t="shared" ref="BK340:BK348" si="217">I340/60*10</f>
        <v>1300</v>
      </c>
      <c r="BL340" s="3626">
        <f t="shared" ref="BL340:BL348" si="218">I340/60*10</f>
        <v>1300</v>
      </c>
      <c r="BM340" s="3626">
        <f t="shared" ref="BM340:BM348" si="219">I340/60*8</f>
        <v>1040</v>
      </c>
      <c r="BN340" s="3626">
        <f t="shared" ref="BN340:BN348" si="220">I340/60*10</f>
        <v>1300</v>
      </c>
      <c r="BO340" s="4055">
        <f t="shared" ref="BO340:BO348" si="221">I340/60*10</f>
        <v>1300</v>
      </c>
      <c r="BP340" s="3627">
        <f t="shared" ref="BP340:BP348" si="222">I340/60*10</f>
        <v>1300</v>
      </c>
      <c r="BQ340" s="3627">
        <f t="shared" si="204"/>
        <v>7800</v>
      </c>
      <c r="BR340" s="3627">
        <f t="shared" si="205"/>
        <v>0</v>
      </c>
      <c r="BS340" s="4056" t="s">
        <v>7112</v>
      </c>
      <c r="BT340" s="4057" t="s">
        <v>4036</v>
      </c>
    </row>
    <row r="341" s="3566" customFormat="1" ht="50" customHeight="1" spans="1:72">
      <c r="A341" s="3635">
        <v>45820</v>
      </c>
      <c r="B341" s="3617" t="s">
        <v>7134</v>
      </c>
      <c r="C341" s="3617" t="s">
        <v>7135</v>
      </c>
      <c r="D341" s="3618">
        <v>4500169609</v>
      </c>
      <c r="E341" s="959"/>
      <c r="F341" s="959" t="s">
        <v>7136</v>
      </c>
      <c r="G341" s="959" t="s">
        <v>6159</v>
      </c>
      <c r="H341" s="3618" t="s">
        <v>6063</v>
      </c>
      <c r="I341" s="3618">
        <v>3000</v>
      </c>
      <c r="J341" s="3618">
        <v>0</v>
      </c>
      <c r="K341" s="3618">
        <v>6</v>
      </c>
      <c r="L341" s="4052">
        <f t="shared" si="215"/>
        <v>500</v>
      </c>
      <c r="M341" s="3619">
        <v>45854</v>
      </c>
      <c r="N341" s="3619">
        <v>45856</v>
      </c>
      <c r="O341" s="3618" t="s">
        <v>7137</v>
      </c>
      <c r="P341" s="959" t="s">
        <v>82</v>
      </c>
      <c r="Q341" s="959"/>
      <c r="R341" s="959"/>
      <c r="S341" s="959"/>
      <c r="T341" s="4053"/>
      <c r="U341" s="3620" t="s">
        <v>7138</v>
      </c>
      <c r="V341" s="3649" t="s">
        <v>4276</v>
      </c>
      <c r="W341" s="3640"/>
      <c r="X341" s="3649" t="s">
        <v>7139</v>
      </c>
      <c r="Y341" s="3640"/>
      <c r="Z341" s="3623"/>
      <c r="AA341" s="3620" t="s">
        <v>7140</v>
      </c>
      <c r="AB341" s="3624" t="s">
        <v>801</v>
      </c>
      <c r="AC341" s="4058">
        <v>2.1989</v>
      </c>
      <c r="AD341" s="3618">
        <f t="shared" si="190"/>
        <v>6596.7</v>
      </c>
      <c r="AE341" s="3633"/>
      <c r="AF341" s="959" t="s">
        <v>6159</v>
      </c>
      <c r="AG341" s="3620" t="s">
        <v>416</v>
      </c>
      <c r="AH341" s="3620"/>
      <c r="AI341" s="3620"/>
      <c r="AJ341" s="3620"/>
      <c r="AK341" s="959">
        <f>I341</f>
        <v>3000</v>
      </c>
      <c r="AL341" s="959"/>
      <c r="AM341" s="959"/>
      <c r="AN341" s="959"/>
      <c r="AO341" s="959"/>
      <c r="AP341" s="3618">
        <f t="shared" si="194"/>
        <v>3000</v>
      </c>
      <c r="AQ341" s="3618"/>
      <c r="AR341" s="3626"/>
      <c r="AS341" s="3626">
        <f>I341</f>
        <v>3000</v>
      </c>
      <c r="AT341" s="3626"/>
      <c r="AU341" s="3626"/>
      <c r="AV341" s="3626"/>
      <c r="AW341" s="3626"/>
      <c r="AX341" s="3626"/>
      <c r="AY341" s="3626"/>
      <c r="AZ341" s="3626"/>
      <c r="BA341" s="3626"/>
      <c r="BB341" s="3626"/>
      <c r="BC341" s="3626"/>
      <c r="BD341" s="3626"/>
      <c r="BE341" s="3626"/>
      <c r="BF341" s="3626"/>
      <c r="BG341" s="3626"/>
      <c r="BH341" s="3626"/>
      <c r="BI341" s="3626" t="s">
        <v>89</v>
      </c>
      <c r="BJ341" s="3626">
        <f t="shared" si="216"/>
        <v>100</v>
      </c>
      <c r="BK341" s="3626">
        <f t="shared" si="217"/>
        <v>500</v>
      </c>
      <c r="BL341" s="3626">
        <f t="shared" si="218"/>
        <v>500</v>
      </c>
      <c r="BM341" s="3626">
        <f t="shared" si="219"/>
        <v>400</v>
      </c>
      <c r="BN341" s="3626">
        <f t="shared" si="220"/>
        <v>500</v>
      </c>
      <c r="BO341" s="4055">
        <f t="shared" si="221"/>
        <v>500</v>
      </c>
      <c r="BP341" s="3627">
        <f t="shared" si="222"/>
        <v>500</v>
      </c>
      <c r="BQ341" s="3627">
        <f t="shared" si="204"/>
        <v>3000</v>
      </c>
      <c r="BR341" s="3627">
        <f t="shared" si="205"/>
        <v>0</v>
      </c>
      <c r="BS341" s="4056" t="s">
        <v>4159</v>
      </c>
      <c r="BT341" s="4057">
        <v>45856</v>
      </c>
    </row>
    <row r="342" s="3566" customFormat="1" ht="50" customHeight="1" spans="1:72">
      <c r="A342" s="3635">
        <v>45811</v>
      </c>
      <c r="B342" s="3617" t="s">
        <v>7141</v>
      </c>
      <c r="C342" s="3617" t="s">
        <v>6225</v>
      </c>
      <c r="D342" s="3618">
        <v>4500168801</v>
      </c>
      <c r="E342" s="959">
        <v>1158191</v>
      </c>
      <c r="F342" s="3618" t="s">
        <v>7142</v>
      </c>
      <c r="G342" s="959" t="s">
        <v>6228</v>
      </c>
      <c r="H342" s="3618" t="s">
        <v>6063</v>
      </c>
      <c r="I342" s="3618">
        <v>4002</v>
      </c>
      <c r="J342" s="3618">
        <v>0</v>
      </c>
      <c r="K342" s="3618">
        <v>6</v>
      </c>
      <c r="L342" s="4052">
        <f t="shared" si="215"/>
        <v>667</v>
      </c>
      <c r="M342" s="3619">
        <v>45853</v>
      </c>
      <c r="N342" s="3619">
        <v>45853</v>
      </c>
      <c r="O342" s="959"/>
      <c r="P342" s="959" t="s">
        <v>82</v>
      </c>
      <c r="Q342" s="959"/>
      <c r="R342" s="959"/>
      <c r="S342" s="959"/>
      <c r="T342" s="4053"/>
      <c r="U342" s="3620" t="s">
        <v>208</v>
      </c>
      <c r="V342" s="3640" t="s">
        <v>3992</v>
      </c>
      <c r="W342" s="3640"/>
      <c r="X342" s="3640" t="s">
        <v>7143</v>
      </c>
      <c r="Y342" s="3640"/>
      <c r="Z342" s="3623"/>
      <c r="AA342" s="3620" t="s">
        <v>7144</v>
      </c>
      <c r="AB342" s="3624" t="s">
        <v>4665</v>
      </c>
      <c r="AC342" s="4058">
        <v>2.2058</v>
      </c>
      <c r="AD342" s="3618">
        <f t="shared" si="190"/>
        <v>8827.6116</v>
      </c>
      <c r="AE342" s="3633" t="s">
        <v>7145</v>
      </c>
      <c r="AF342" s="959" t="s">
        <v>6068</v>
      </c>
      <c r="AG342" s="3620" t="s">
        <v>416</v>
      </c>
      <c r="AH342" s="3620"/>
      <c r="AI342" s="3620"/>
      <c r="AJ342" s="3620"/>
      <c r="AK342" s="959"/>
      <c r="AL342" s="959"/>
      <c r="AM342" s="959">
        <f>I342</f>
        <v>4002</v>
      </c>
      <c r="AN342" s="959"/>
      <c r="AO342" s="959"/>
      <c r="AP342" s="3618">
        <f t="shared" si="194"/>
        <v>4002</v>
      </c>
      <c r="AQ342" s="3618"/>
      <c r="AR342" s="3626"/>
      <c r="AS342" s="3626"/>
      <c r="AT342" s="3626"/>
      <c r="AU342" s="3626">
        <f>I342</f>
        <v>4002</v>
      </c>
      <c r="AV342" s="3626"/>
      <c r="AW342" s="3626"/>
      <c r="AX342" s="3626"/>
      <c r="AY342" s="3626">
        <f>I342/6</f>
        <v>667</v>
      </c>
      <c r="AZ342" s="3626"/>
      <c r="BA342" s="3626"/>
      <c r="BB342" s="3626"/>
      <c r="BC342" s="3626"/>
      <c r="BD342" s="3626"/>
      <c r="BE342" s="3626"/>
      <c r="BF342" s="3626"/>
      <c r="BG342" s="3626"/>
      <c r="BH342" s="3626"/>
      <c r="BI342" s="3626" t="s">
        <v>89</v>
      </c>
      <c r="BJ342" s="3626">
        <f t="shared" si="216"/>
        <v>133.4</v>
      </c>
      <c r="BK342" s="3626">
        <f t="shared" si="217"/>
        <v>667</v>
      </c>
      <c r="BL342" s="3626">
        <f t="shared" si="218"/>
        <v>667</v>
      </c>
      <c r="BM342" s="3626">
        <f t="shared" si="219"/>
        <v>533.6</v>
      </c>
      <c r="BN342" s="3626">
        <f t="shared" si="220"/>
        <v>667</v>
      </c>
      <c r="BO342" s="4055">
        <f t="shared" si="221"/>
        <v>667</v>
      </c>
      <c r="BP342" s="3627">
        <f t="shared" si="222"/>
        <v>667</v>
      </c>
      <c r="BQ342" s="3627">
        <f t="shared" si="204"/>
        <v>4002</v>
      </c>
      <c r="BR342" s="3627">
        <f t="shared" si="205"/>
        <v>0</v>
      </c>
      <c r="BS342" s="4056" t="s">
        <v>4079</v>
      </c>
      <c r="BT342" s="4057">
        <v>45853</v>
      </c>
    </row>
    <row r="343" s="3566" customFormat="1" ht="50" customHeight="1" spans="1:72">
      <c r="A343" s="3635">
        <v>45814</v>
      </c>
      <c r="B343" s="3617" t="s">
        <v>2949</v>
      </c>
      <c r="C343" s="3617" t="s">
        <v>341</v>
      </c>
      <c r="D343" s="3618">
        <v>4500159839</v>
      </c>
      <c r="E343" s="959" t="s">
        <v>7146</v>
      </c>
      <c r="F343" s="959" t="s">
        <v>7147</v>
      </c>
      <c r="G343" s="959" t="s">
        <v>6122</v>
      </c>
      <c r="H343" s="3618" t="s">
        <v>6063</v>
      </c>
      <c r="I343" s="3618">
        <v>3504</v>
      </c>
      <c r="J343" s="3618">
        <v>4</v>
      </c>
      <c r="K343" s="3618">
        <v>16</v>
      </c>
      <c r="L343" s="4052">
        <f t="shared" si="215"/>
        <v>219</v>
      </c>
      <c r="M343" s="3619">
        <v>45854</v>
      </c>
      <c r="N343" s="3619">
        <v>45856</v>
      </c>
      <c r="O343" s="959" t="s">
        <v>4663</v>
      </c>
      <c r="P343" s="959" t="s">
        <v>82</v>
      </c>
      <c r="Q343" s="959"/>
      <c r="R343" s="959"/>
      <c r="S343" s="959"/>
      <c r="T343" s="4053"/>
      <c r="U343" s="3620" t="s">
        <v>208</v>
      </c>
      <c r="V343" s="3649" t="s">
        <v>1550</v>
      </c>
      <c r="W343" s="3640"/>
      <c r="X343" s="3649" t="s">
        <v>7148</v>
      </c>
      <c r="Y343" s="3640"/>
      <c r="Z343" s="3623"/>
      <c r="AA343" s="3620" t="s">
        <v>7149</v>
      </c>
      <c r="AB343" s="3624" t="s">
        <v>1459</v>
      </c>
      <c r="AC343" s="3618">
        <v>2.3802</v>
      </c>
      <c r="AD343" s="3618">
        <f t="shared" si="190"/>
        <v>8340.2208</v>
      </c>
      <c r="AE343" s="3633" t="s">
        <v>7150</v>
      </c>
      <c r="AF343" s="959" t="s">
        <v>6122</v>
      </c>
      <c r="AG343" s="3620" t="s">
        <v>416</v>
      </c>
      <c r="AH343" s="3620"/>
      <c r="AI343" s="3620"/>
      <c r="AJ343" s="3620"/>
      <c r="AK343" s="959">
        <f>I343</f>
        <v>3504</v>
      </c>
      <c r="AL343" s="959"/>
      <c r="AM343" s="959"/>
      <c r="AN343" s="959"/>
      <c r="AO343" s="959"/>
      <c r="AP343" s="3618">
        <f t="shared" si="194"/>
        <v>3504</v>
      </c>
      <c r="AQ343" s="3618"/>
      <c r="AR343" s="3626"/>
      <c r="AS343" s="3626">
        <f>I343</f>
        <v>3504</v>
      </c>
      <c r="AT343" s="3626"/>
      <c r="AU343" s="3626"/>
      <c r="AV343" s="3626"/>
      <c r="AW343" s="3626"/>
      <c r="AX343" s="3626"/>
      <c r="AY343" s="3626"/>
      <c r="AZ343" s="3626"/>
      <c r="BA343" s="3626"/>
      <c r="BB343" s="3626"/>
      <c r="BC343" s="3626">
        <f>I343/4</f>
        <v>876</v>
      </c>
      <c r="BD343" s="3626"/>
      <c r="BE343" s="3626"/>
      <c r="BF343" s="3626"/>
      <c r="BG343" s="3626"/>
      <c r="BH343" s="3626"/>
      <c r="BI343" s="3626" t="s">
        <v>89</v>
      </c>
      <c r="BJ343" s="3626">
        <f t="shared" si="216"/>
        <v>116.8</v>
      </c>
      <c r="BK343" s="3626">
        <f t="shared" si="217"/>
        <v>584</v>
      </c>
      <c r="BL343" s="3626">
        <f t="shared" si="218"/>
        <v>584</v>
      </c>
      <c r="BM343" s="3626">
        <f t="shared" si="219"/>
        <v>467.2</v>
      </c>
      <c r="BN343" s="3626">
        <f t="shared" si="220"/>
        <v>584</v>
      </c>
      <c r="BO343" s="4055">
        <f t="shared" si="221"/>
        <v>584</v>
      </c>
      <c r="BP343" s="3627">
        <f t="shared" si="222"/>
        <v>584</v>
      </c>
      <c r="BQ343" s="3627">
        <f t="shared" si="204"/>
        <v>3504</v>
      </c>
      <c r="BR343" s="3627">
        <f t="shared" si="205"/>
        <v>0</v>
      </c>
      <c r="BS343" s="4056" t="s">
        <v>4159</v>
      </c>
      <c r="BT343" s="4057">
        <v>45856</v>
      </c>
    </row>
    <row r="344" s="3566" customFormat="1" ht="50" customHeight="1" spans="1:72">
      <c r="A344" s="3635">
        <v>45807</v>
      </c>
      <c r="B344" s="3617" t="s">
        <v>2616</v>
      </c>
      <c r="C344" s="3617" t="s">
        <v>471</v>
      </c>
      <c r="D344" s="3618">
        <v>4500168346</v>
      </c>
      <c r="E344" s="959" t="s">
        <v>4203</v>
      </c>
      <c r="F344" s="959" t="s">
        <v>7151</v>
      </c>
      <c r="G344" s="959" t="s">
        <v>7117</v>
      </c>
      <c r="H344" s="3618" t="s">
        <v>6800</v>
      </c>
      <c r="I344" s="3618">
        <v>3000</v>
      </c>
      <c r="J344" s="3618">
        <v>0</v>
      </c>
      <c r="K344" s="3618">
        <v>24</v>
      </c>
      <c r="L344" s="4052">
        <f t="shared" si="215"/>
        <v>125</v>
      </c>
      <c r="M344" s="3619">
        <v>45855</v>
      </c>
      <c r="N344" s="3619">
        <v>45860</v>
      </c>
      <c r="O344" s="3664" t="s">
        <v>4205</v>
      </c>
      <c r="P344" s="959" t="s">
        <v>82</v>
      </c>
      <c r="Q344" s="959"/>
      <c r="R344" s="959"/>
      <c r="S344" s="959"/>
      <c r="T344" s="4053"/>
      <c r="U344" s="3620" t="s">
        <v>401</v>
      </c>
      <c r="V344" s="3649" t="s">
        <v>4206</v>
      </c>
      <c r="W344" s="3640"/>
      <c r="X344" s="3640" t="s">
        <v>7118</v>
      </c>
      <c r="Y344" s="3640"/>
      <c r="Z344" s="3623"/>
      <c r="AA344" s="3620" t="s">
        <v>7152</v>
      </c>
      <c r="AB344" s="3624" t="s">
        <v>2624</v>
      </c>
      <c r="AC344" s="3618">
        <v>2.1931</v>
      </c>
      <c r="AD344" s="3618">
        <f t="shared" si="190"/>
        <v>6579.3</v>
      </c>
      <c r="AE344" s="3633"/>
      <c r="AF344" s="959" t="s">
        <v>7120</v>
      </c>
      <c r="AG344" s="3620" t="s">
        <v>416</v>
      </c>
      <c r="AH344" s="3620"/>
      <c r="AI344" s="3620"/>
      <c r="AJ344" s="3620"/>
      <c r="AK344" s="959">
        <f>I344</f>
        <v>3000</v>
      </c>
      <c r="AL344" s="959"/>
      <c r="AM344" s="959"/>
      <c r="AN344" s="959"/>
      <c r="AO344" s="959"/>
      <c r="AP344" s="3618">
        <f t="shared" si="194"/>
        <v>3000</v>
      </c>
      <c r="AQ344" s="3618"/>
      <c r="AR344" s="3626"/>
      <c r="AS344" s="3626"/>
      <c r="AT344" s="3626"/>
      <c r="AU344" s="3626">
        <f>I344</f>
        <v>3000</v>
      </c>
      <c r="AV344" s="3626"/>
      <c r="AW344" s="3626"/>
      <c r="AX344" s="3626"/>
      <c r="AY344" s="3626"/>
      <c r="AZ344" s="3626"/>
      <c r="BA344" s="3626"/>
      <c r="BB344" s="3626"/>
      <c r="BC344" s="3626"/>
      <c r="BD344" s="3626"/>
      <c r="BE344" s="3626"/>
      <c r="BF344" s="3626"/>
      <c r="BG344" s="3626"/>
      <c r="BH344" s="3626"/>
      <c r="BI344" s="3626" t="s">
        <v>89</v>
      </c>
      <c r="BJ344" s="3626">
        <f t="shared" si="216"/>
        <v>100</v>
      </c>
      <c r="BK344" s="3626">
        <f t="shared" si="217"/>
        <v>500</v>
      </c>
      <c r="BL344" s="3626">
        <f t="shared" si="218"/>
        <v>500</v>
      </c>
      <c r="BM344" s="3626">
        <f t="shared" si="219"/>
        <v>400</v>
      </c>
      <c r="BN344" s="3626">
        <f t="shared" si="220"/>
        <v>500</v>
      </c>
      <c r="BO344" s="4055">
        <f t="shared" si="221"/>
        <v>500</v>
      </c>
      <c r="BP344" s="3627">
        <f t="shared" si="222"/>
        <v>500</v>
      </c>
      <c r="BQ344" s="3627">
        <f t="shared" si="204"/>
        <v>3000</v>
      </c>
      <c r="BR344" s="3627">
        <f t="shared" si="205"/>
        <v>0</v>
      </c>
      <c r="BS344" s="4056" t="s">
        <v>3858</v>
      </c>
      <c r="BT344" s="4057">
        <v>45860</v>
      </c>
    </row>
    <row r="345" s="3566" customFormat="1" ht="50" customHeight="1" spans="1:72">
      <c r="A345" s="3635">
        <v>45805</v>
      </c>
      <c r="B345" s="3617" t="s">
        <v>7153</v>
      </c>
      <c r="C345" s="3617" t="s">
        <v>569</v>
      </c>
      <c r="D345" s="3624">
        <v>4500166748</v>
      </c>
      <c r="E345" s="3618"/>
      <c r="F345" s="3617" t="s">
        <v>7154</v>
      </c>
      <c r="G345" s="959" t="s">
        <v>7155</v>
      </c>
      <c r="H345" s="3618" t="s">
        <v>7156</v>
      </c>
      <c r="I345" s="3618">
        <v>600</v>
      </c>
      <c r="J345" s="3618">
        <v>0</v>
      </c>
      <c r="K345" s="3618">
        <v>40</v>
      </c>
      <c r="L345" s="4052">
        <f t="shared" si="215"/>
        <v>15</v>
      </c>
      <c r="M345" s="3619">
        <v>45841</v>
      </c>
      <c r="N345" s="3619">
        <v>45847</v>
      </c>
      <c r="O345" s="3618" t="s">
        <v>7082</v>
      </c>
      <c r="P345" s="959" t="s">
        <v>82</v>
      </c>
      <c r="Q345" s="959"/>
      <c r="R345" s="959"/>
      <c r="S345" s="959"/>
      <c r="T345" s="4053"/>
      <c r="U345" s="3620" t="s">
        <v>4123</v>
      </c>
      <c r="V345" s="3649" t="s">
        <v>1455</v>
      </c>
      <c r="W345" s="3657"/>
      <c r="X345" s="3657" t="s">
        <v>7157</v>
      </c>
      <c r="Y345" s="3657"/>
      <c r="Z345" s="3661"/>
      <c r="AA345" s="3620" t="s">
        <v>7158</v>
      </c>
      <c r="AB345" s="3624" t="s">
        <v>3720</v>
      </c>
      <c r="AC345" s="3618">
        <v>110.2869</v>
      </c>
      <c r="AD345" s="3618">
        <f>AC345*L345</f>
        <v>1654.3035</v>
      </c>
      <c r="AE345" s="3633" t="s">
        <v>7159</v>
      </c>
      <c r="AF345" s="959" t="s">
        <v>7160</v>
      </c>
      <c r="AG345" s="3620" t="s">
        <v>416</v>
      </c>
      <c r="AH345" s="3620"/>
      <c r="AI345" s="3620"/>
      <c r="AJ345" s="3620"/>
      <c r="AK345" s="959"/>
      <c r="AL345" s="959"/>
      <c r="AM345" s="959">
        <f>I345</f>
        <v>600</v>
      </c>
      <c r="AN345" s="959"/>
      <c r="AO345" s="959"/>
      <c r="AP345" s="3618">
        <f t="shared" si="194"/>
        <v>600</v>
      </c>
      <c r="AQ345" s="3618"/>
      <c r="AR345" s="3626"/>
      <c r="AS345" s="3626"/>
      <c r="AT345" s="3626"/>
      <c r="AU345" s="3626">
        <f>I345</f>
        <v>600</v>
      </c>
      <c r="AV345" s="3626"/>
      <c r="AW345" s="3626"/>
      <c r="AX345" s="3626"/>
      <c r="AY345" s="3626"/>
      <c r="AZ345" s="3626"/>
      <c r="BA345" s="3626"/>
      <c r="BB345" s="3626"/>
      <c r="BC345" s="3626"/>
      <c r="BD345" s="3626"/>
      <c r="BE345" s="3626"/>
      <c r="BF345" s="3626"/>
      <c r="BG345" s="3626"/>
      <c r="BH345" s="3626">
        <f>I345/12</f>
        <v>50</v>
      </c>
      <c r="BI345" s="3626" t="s">
        <v>682</v>
      </c>
      <c r="BJ345" s="3626">
        <f t="shared" si="216"/>
        <v>20</v>
      </c>
      <c r="BK345" s="3626">
        <f t="shared" si="217"/>
        <v>100</v>
      </c>
      <c r="BL345" s="3626">
        <f t="shared" si="218"/>
        <v>100</v>
      </c>
      <c r="BM345" s="3626">
        <f t="shared" si="219"/>
        <v>80</v>
      </c>
      <c r="BN345" s="3626">
        <f t="shared" si="220"/>
        <v>100</v>
      </c>
      <c r="BO345" s="4055">
        <f t="shared" si="221"/>
        <v>100</v>
      </c>
      <c r="BP345" s="3627">
        <f t="shared" si="222"/>
        <v>100</v>
      </c>
      <c r="BQ345" s="3627">
        <f t="shared" si="204"/>
        <v>600</v>
      </c>
      <c r="BR345" s="3627">
        <f t="shared" si="205"/>
        <v>0</v>
      </c>
      <c r="BS345" s="4056" t="s">
        <v>7107</v>
      </c>
      <c r="BT345" s="4057" t="s">
        <v>7161</v>
      </c>
    </row>
    <row r="346" s="3566" customFormat="1" ht="50" customHeight="1" spans="1:72">
      <c r="A346" s="3635">
        <v>45812</v>
      </c>
      <c r="B346" s="3617" t="s">
        <v>2732</v>
      </c>
      <c r="C346" s="3617" t="s">
        <v>840</v>
      </c>
      <c r="D346" s="3618">
        <v>4500168930</v>
      </c>
      <c r="E346" s="3618" t="s">
        <v>4147</v>
      </c>
      <c r="F346" s="959" t="s">
        <v>4148</v>
      </c>
      <c r="G346" s="959" t="s">
        <v>6643</v>
      </c>
      <c r="H346" s="3618" t="s">
        <v>3517</v>
      </c>
      <c r="I346" s="3618">
        <v>2604</v>
      </c>
      <c r="J346" s="3618">
        <v>0</v>
      </c>
      <c r="K346" s="3618">
        <v>12</v>
      </c>
      <c r="L346" s="4052">
        <f t="shared" si="215"/>
        <v>217</v>
      </c>
      <c r="M346" s="3619">
        <v>45852</v>
      </c>
      <c r="N346" s="3619">
        <v>45852</v>
      </c>
      <c r="O346" s="959"/>
      <c r="P346" s="959" t="s">
        <v>82</v>
      </c>
      <c r="Q346" s="959"/>
      <c r="R346" s="959"/>
      <c r="S346" s="959"/>
      <c r="T346" s="4053"/>
      <c r="U346" s="3645" t="s">
        <v>4123</v>
      </c>
      <c r="V346" s="3649" t="s">
        <v>4149</v>
      </c>
      <c r="W346" s="3640"/>
      <c r="X346" s="3657" t="s">
        <v>98</v>
      </c>
      <c r="Y346" s="3640"/>
      <c r="Z346" s="3623"/>
      <c r="AA346" s="3620" t="s">
        <v>4150</v>
      </c>
      <c r="AB346" s="3624" t="s">
        <v>4141</v>
      </c>
      <c r="AC346" s="3691">
        <v>4.7601</v>
      </c>
      <c r="AD346" s="3691">
        <f>AC346*I346</f>
        <v>12395.3004</v>
      </c>
      <c r="AE346" s="3633"/>
      <c r="AF346" s="959" t="s">
        <v>3520</v>
      </c>
      <c r="AG346" s="3620" t="s">
        <v>416</v>
      </c>
      <c r="AH346" s="3620"/>
      <c r="AI346" s="3620"/>
      <c r="AJ346" s="3620"/>
      <c r="AK346" s="959">
        <f>I346</f>
        <v>2604</v>
      </c>
      <c r="AL346" s="959"/>
      <c r="AM346" s="959"/>
      <c r="AN346" s="959"/>
      <c r="AO346" s="959"/>
      <c r="AP346" s="3618">
        <f t="shared" si="194"/>
        <v>2604</v>
      </c>
      <c r="AQ346" s="3618"/>
      <c r="AR346" s="3626"/>
      <c r="AS346" s="3626">
        <f>I346</f>
        <v>2604</v>
      </c>
      <c r="AT346" s="3626"/>
      <c r="AU346" s="3626"/>
      <c r="AV346" s="3626"/>
      <c r="AW346" s="3626"/>
      <c r="AX346" s="3626"/>
      <c r="AY346" s="3626"/>
      <c r="AZ346" s="3626"/>
      <c r="BA346" s="3626"/>
      <c r="BB346" s="3626"/>
      <c r="BC346" s="3626"/>
      <c r="BD346" s="3626"/>
      <c r="BE346" s="3626"/>
      <c r="BF346" s="3626"/>
      <c r="BG346" s="3626"/>
      <c r="BH346" s="3626"/>
      <c r="BI346" s="3626" t="s">
        <v>89</v>
      </c>
      <c r="BJ346" s="3626">
        <f t="shared" si="216"/>
        <v>86.8</v>
      </c>
      <c r="BK346" s="3626">
        <f t="shared" si="217"/>
        <v>434</v>
      </c>
      <c r="BL346" s="3626">
        <f t="shared" si="218"/>
        <v>434</v>
      </c>
      <c r="BM346" s="3626">
        <f t="shared" si="219"/>
        <v>347.2</v>
      </c>
      <c r="BN346" s="3626">
        <f t="shared" si="220"/>
        <v>434</v>
      </c>
      <c r="BO346" s="4055">
        <f t="shared" si="221"/>
        <v>434</v>
      </c>
      <c r="BP346" s="3627">
        <f t="shared" si="222"/>
        <v>434</v>
      </c>
      <c r="BQ346" s="3627">
        <f t="shared" si="204"/>
        <v>2604</v>
      </c>
      <c r="BR346" s="3627">
        <f t="shared" si="205"/>
        <v>0</v>
      </c>
      <c r="BS346" s="4056" t="s">
        <v>4079</v>
      </c>
      <c r="BT346" s="4057" t="s">
        <v>4036</v>
      </c>
    </row>
    <row r="347" s="3566" customFormat="1" ht="50" customHeight="1" spans="1:72">
      <c r="A347" s="3635">
        <v>45812</v>
      </c>
      <c r="B347" s="3617" t="s">
        <v>2732</v>
      </c>
      <c r="C347" s="3617" t="s">
        <v>840</v>
      </c>
      <c r="D347" s="3618">
        <v>4500168934</v>
      </c>
      <c r="E347" s="3618">
        <v>29083575</v>
      </c>
      <c r="F347" s="959" t="s">
        <v>4151</v>
      </c>
      <c r="G347" s="959" t="s">
        <v>6643</v>
      </c>
      <c r="H347" s="3618" t="s">
        <v>3517</v>
      </c>
      <c r="I347" s="3618">
        <v>1404</v>
      </c>
      <c r="J347" s="3618">
        <v>0</v>
      </c>
      <c r="K347" s="3618">
        <v>12</v>
      </c>
      <c r="L347" s="4052">
        <f t="shared" si="215"/>
        <v>117</v>
      </c>
      <c r="M347" s="3619">
        <v>45852</v>
      </c>
      <c r="N347" s="3619">
        <v>45852</v>
      </c>
      <c r="O347" s="959"/>
      <c r="P347" s="959" t="s">
        <v>82</v>
      </c>
      <c r="Q347" s="959"/>
      <c r="R347" s="959"/>
      <c r="S347" s="959"/>
      <c r="T347" s="4053"/>
      <c r="U347" s="3645" t="s">
        <v>1504</v>
      </c>
      <c r="V347" s="3649" t="s">
        <v>4149</v>
      </c>
      <c r="W347" s="3640"/>
      <c r="X347" s="3657" t="s">
        <v>98</v>
      </c>
      <c r="Y347" s="3640"/>
      <c r="Z347" s="3623"/>
      <c r="AA347" s="3620" t="s">
        <v>4150</v>
      </c>
      <c r="AB347" s="3624" t="s">
        <v>4141</v>
      </c>
      <c r="AC347" s="3691">
        <v>4.7923</v>
      </c>
      <c r="AD347" s="3691">
        <f>AC347*I347</f>
        <v>6728.3892</v>
      </c>
      <c r="AE347" s="3633"/>
      <c r="AF347" s="959" t="s">
        <v>3520</v>
      </c>
      <c r="AG347" s="3620" t="s">
        <v>416</v>
      </c>
      <c r="AH347" s="3620"/>
      <c r="AI347" s="3620"/>
      <c r="AJ347" s="3620"/>
      <c r="AK347" s="959">
        <f>I347</f>
        <v>1404</v>
      </c>
      <c r="AL347" s="959"/>
      <c r="AM347" s="959"/>
      <c r="AN347" s="959"/>
      <c r="AO347" s="959"/>
      <c r="AP347" s="3618">
        <f t="shared" si="194"/>
        <v>1404</v>
      </c>
      <c r="AQ347" s="3618"/>
      <c r="AR347" s="3626"/>
      <c r="AS347" s="3626">
        <f>I347</f>
        <v>1404</v>
      </c>
      <c r="AT347" s="3626"/>
      <c r="AU347" s="3626"/>
      <c r="AV347" s="3626"/>
      <c r="AW347" s="3626"/>
      <c r="AX347" s="3626"/>
      <c r="AY347" s="3626"/>
      <c r="AZ347" s="3626"/>
      <c r="BA347" s="3626"/>
      <c r="BB347" s="3626"/>
      <c r="BC347" s="3626"/>
      <c r="BD347" s="3626"/>
      <c r="BE347" s="3626"/>
      <c r="BF347" s="3626"/>
      <c r="BG347" s="3626"/>
      <c r="BH347" s="3626"/>
      <c r="BI347" s="3626" t="s">
        <v>89</v>
      </c>
      <c r="BJ347" s="3626">
        <f t="shared" si="216"/>
        <v>46.8</v>
      </c>
      <c r="BK347" s="3626">
        <f t="shared" si="217"/>
        <v>234</v>
      </c>
      <c r="BL347" s="3626">
        <f t="shared" si="218"/>
        <v>234</v>
      </c>
      <c r="BM347" s="3626">
        <f t="shared" si="219"/>
        <v>187.2</v>
      </c>
      <c r="BN347" s="3626">
        <f t="shared" si="220"/>
        <v>234</v>
      </c>
      <c r="BO347" s="4055">
        <f t="shared" si="221"/>
        <v>234</v>
      </c>
      <c r="BP347" s="3627">
        <f t="shared" si="222"/>
        <v>234</v>
      </c>
      <c r="BQ347" s="3627">
        <f t="shared" si="204"/>
        <v>1404</v>
      </c>
      <c r="BR347" s="3627">
        <f t="shared" si="205"/>
        <v>0</v>
      </c>
      <c r="BS347" s="4056" t="s">
        <v>4079</v>
      </c>
      <c r="BT347" s="4057" t="s">
        <v>4036</v>
      </c>
    </row>
    <row r="348" s="3566" customFormat="1" ht="50" customHeight="1" spans="1:72">
      <c r="A348" s="3635">
        <v>45786</v>
      </c>
      <c r="B348" s="3617" t="s">
        <v>4198</v>
      </c>
      <c r="C348" s="3617" t="s">
        <v>341</v>
      </c>
      <c r="D348" s="3618">
        <v>4500163516</v>
      </c>
      <c r="E348" s="959" t="s">
        <v>7162</v>
      </c>
      <c r="F348" s="959" t="s">
        <v>7163</v>
      </c>
      <c r="G348" s="959" t="s">
        <v>6298</v>
      </c>
      <c r="H348" s="3618" t="s">
        <v>6063</v>
      </c>
      <c r="I348" s="3618">
        <v>3000</v>
      </c>
      <c r="J348" s="3618">
        <v>0</v>
      </c>
      <c r="K348" s="3618">
        <v>4</v>
      </c>
      <c r="L348" s="4052">
        <f t="shared" si="215"/>
        <v>750</v>
      </c>
      <c r="M348" s="3619">
        <v>45855</v>
      </c>
      <c r="N348" s="3619">
        <v>45860</v>
      </c>
      <c r="O348" s="3618" t="s">
        <v>7137</v>
      </c>
      <c r="P348" s="959" t="s">
        <v>82</v>
      </c>
      <c r="Q348" s="959"/>
      <c r="R348" s="959"/>
      <c r="S348" s="959"/>
      <c r="T348" s="4053"/>
      <c r="U348" s="3645" t="s">
        <v>1504</v>
      </c>
      <c r="V348" s="3649" t="s">
        <v>3725</v>
      </c>
      <c r="W348" s="3640"/>
      <c r="X348" s="3640" t="s">
        <v>98</v>
      </c>
      <c r="Y348" s="3640"/>
      <c r="Z348" s="3623"/>
      <c r="AA348" s="3620" t="s">
        <v>7164</v>
      </c>
      <c r="AB348" s="3624" t="s">
        <v>1245</v>
      </c>
      <c r="AC348" s="4058">
        <v>2.3295</v>
      </c>
      <c r="AD348" s="3618">
        <f>AC348*I348</f>
        <v>6988.5</v>
      </c>
      <c r="AE348" s="3633" t="s">
        <v>4201</v>
      </c>
      <c r="AF348" s="959" t="s">
        <v>6298</v>
      </c>
      <c r="AG348" s="3620" t="s">
        <v>416</v>
      </c>
      <c r="AH348" s="3620"/>
      <c r="AI348" s="3620"/>
      <c r="AJ348" s="3620"/>
      <c r="AK348" s="959">
        <f>I348</f>
        <v>3000</v>
      </c>
      <c r="AL348" s="959"/>
      <c r="AM348" s="959"/>
      <c r="AN348" s="959"/>
      <c r="AO348" s="959"/>
      <c r="AP348" s="3618">
        <f t="shared" si="194"/>
        <v>3000</v>
      </c>
      <c r="AQ348" s="3618"/>
      <c r="AR348" s="3626"/>
      <c r="AS348" s="3626">
        <f>I348</f>
        <v>3000</v>
      </c>
      <c r="AT348" s="3626"/>
      <c r="AU348" s="3626"/>
      <c r="AV348" s="3626"/>
      <c r="AW348" s="3626"/>
      <c r="AX348" s="3626"/>
      <c r="AY348" s="3626"/>
      <c r="AZ348" s="3626"/>
      <c r="BA348" s="3626"/>
      <c r="BB348" s="3626"/>
      <c r="BC348" s="3626">
        <f>I348/4</f>
        <v>750</v>
      </c>
      <c r="BD348" s="3626"/>
      <c r="BE348" s="3626"/>
      <c r="BF348" s="3626"/>
      <c r="BG348" s="3626"/>
      <c r="BH348" s="3626"/>
      <c r="BI348" s="3626" t="s">
        <v>89</v>
      </c>
      <c r="BJ348" s="3626">
        <f t="shared" si="216"/>
        <v>100</v>
      </c>
      <c r="BK348" s="3626">
        <f t="shared" si="217"/>
        <v>500</v>
      </c>
      <c r="BL348" s="3626">
        <f t="shared" si="218"/>
        <v>500</v>
      </c>
      <c r="BM348" s="3626">
        <f t="shared" si="219"/>
        <v>400</v>
      </c>
      <c r="BN348" s="3626">
        <f t="shared" si="220"/>
        <v>500</v>
      </c>
      <c r="BO348" s="4055">
        <f t="shared" si="221"/>
        <v>500</v>
      </c>
      <c r="BP348" s="3627">
        <f t="shared" si="222"/>
        <v>500</v>
      </c>
      <c r="BQ348" s="3627">
        <f t="shared" si="204"/>
        <v>3000</v>
      </c>
      <c r="BR348" s="3627">
        <f t="shared" si="205"/>
        <v>0</v>
      </c>
      <c r="BS348" s="4056" t="s">
        <v>3858</v>
      </c>
      <c r="BT348" s="4057">
        <v>45860</v>
      </c>
    </row>
    <row r="349" s="3566" customFormat="1" ht="50" customHeight="1" spans="1:72">
      <c r="A349" s="3635">
        <v>45819</v>
      </c>
      <c r="B349" s="3617" t="s">
        <v>1016</v>
      </c>
      <c r="C349" s="3617" t="s">
        <v>396</v>
      </c>
      <c r="D349" s="3618">
        <v>4500169708</v>
      </c>
      <c r="E349" s="959" t="s">
        <v>7165</v>
      </c>
      <c r="F349" s="959" t="s">
        <v>7166</v>
      </c>
      <c r="G349" s="959" t="s">
        <v>6099</v>
      </c>
      <c r="H349" s="3618" t="s">
        <v>6100</v>
      </c>
      <c r="I349" s="3618">
        <v>96</v>
      </c>
      <c r="J349" s="3618">
        <v>0</v>
      </c>
      <c r="K349" s="3618">
        <v>32</v>
      </c>
      <c r="L349" s="4052">
        <f t="shared" si="215"/>
        <v>3</v>
      </c>
      <c r="M349" s="3619">
        <v>45855</v>
      </c>
      <c r="N349" s="3619">
        <v>45860</v>
      </c>
      <c r="O349" s="959" t="s">
        <v>7167</v>
      </c>
      <c r="P349" s="959" t="s">
        <v>82</v>
      </c>
      <c r="Q349" s="959"/>
      <c r="R349" s="959"/>
      <c r="S349" s="959"/>
      <c r="T349" s="4053"/>
      <c r="U349" s="3645" t="s">
        <v>1504</v>
      </c>
      <c r="V349" s="3649" t="s">
        <v>1479</v>
      </c>
      <c r="W349" s="3640"/>
      <c r="X349" s="3640" t="s">
        <v>98</v>
      </c>
      <c r="Y349" s="3649" t="s">
        <v>1506</v>
      </c>
      <c r="Z349" s="3623"/>
      <c r="AA349" s="3620" t="s">
        <v>7168</v>
      </c>
      <c r="AB349" s="3624" t="s">
        <v>369</v>
      </c>
      <c r="AC349" s="3618">
        <v>2.1947</v>
      </c>
      <c r="AD349" s="3618">
        <f t="shared" ref="AD348:AD412" si="223">AC349*I349</f>
        <v>210.6912</v>
      </c>
      <c r="AE349" s="3633"/>
      <c r="AF349" s="959" t="s">
        <v>6101</v>
      </c>
      <c r="AG349" s="3620" t="s">
        <v>416</v>
      </c>
      <c r="AH349" s="3620"/>
      <c r="AI349" s="3620"/>
      <c r="AJ349" s="3620"/>
      <c r="AK349" s="959"/>
      <c r="AL349" s="959"/>
      <c r="AM349" s="959">
        <f t="shared" ref="AM349:AM364" si="224">I349</f>
        <v>96</v>
      </c>
      <c r="AN349" s="959"/>
      <c r="AO349" s="959"/>
      <c r="AP349" s="3618">
        <f t="shared" ref="AP348:AP375" si="225">I349</f>
        <v>96</v>
      </c>
      <c r="AQ349" s="3618"/>
      <c r="AR349" s="3626"/>
      <c r="AS349" s="3626"/>
      <c r="AT349" s="3626"/>
      <c r="AU349" s="3626">
        <f t="shared" ref="AU348:AU364" si="226">I349</f>
        <v>96</v>
      </c>
      <c r="AV349" s="3626"/>
      <c r="AW349" s="3626"/>
      <c r="AX349" s="3626"/>
      <c r="AY349" s="3626"/>
      <c r="AZ349" s="3626"/>
      <c r="BA349" s="3626"/>
      <c r="BB349" s="3626"/>
      <c r="BC349" s="3626"/>
      <c r="BD349" s="3626"/>
      <c r="BE349" s="3626"/>
      <c r="BF349" s="3626"/>
      <c r="BG349" s="3626"/>
      <c r="BH349" s="3626"/>
      <c r="BI349" s="3626" t="s">
        <v>89</v>
      </c>
      <c r="BJ349" s="3626"/>
      <c r="BK349" s="3626"/>
      <c r="BL349" s="3626">
        <f>I349</f>
        <v>96</v>
      </c>
      <c r="BM349" s="3626"/>
      <c r="BN349" s="3626"/>
      <c r="BO349" s="4055"/>
      <c r="BP349" s="3627"/>
      <c r="BQ349" s="3627">
        <f t="shared" si="204"/>
        <v>96</v>
      </c>
      <c r="BR349" s="3627">
        <f t="shared" si="205"/>
        <v>0</v>
      </c>
      <c r="BS349" s="4056" t="s">
        <v>3858</v>
      </c>
      <c r="BT349" s="4057">
        <v>45860</v>
      </c>
    </row>
    <row r="350" s="3566" customFormat="1" ht="50" customHeight="1" spans="1:72">
      <c r="A350" s="3635">
        <v>45819</v>
      </c>
      <c r="B350" s="3617" t="s">
        <v>1016</v>
      </c>
      <c r="C350" s="3617" t="s">
        <v>396</v>
      </c>
      <c r="D350" s="3618">
        <v>4500169708</v>
      </c>
      <c r="E350" s="959" t="s">
        <v>7169</v>
      </c>
      <c r="F350" s="959" t="s">
        <v>7170</v>
      </c>
      <c r="G350" s="959" t="s">
        <v>6099</v>
      </c>
      <c r="H350" s="3618" t="s">
        <v>6100</v>
      </c>
      <c r="I350" s="3618">
        <v>64</v>
      </c>
      <c r="J350" s="3618">
        <v>0</v>
      </c>
      <c r="K350" s="3618">
        <v>32</v>
      </c>
      <c r="L350" s="4052">
        <f t="shared" ref="L350:L371" si="227">I350/K350</f>
        <v>2</v>
      </c>
      <c r="M350" s="3619">
        <v>45855</v>
      </c>
      <c r="N350" s="3619">
        <v>45860</v>
      </c>
      <c r="O350" s="959" t="s">
        <v>7167</v>
      </c>
      <c r="P350" s="959" t="s">
        <v>82</v>
      </c>
      <c r="Q350" s="959"/>
      <c r="R350" s="959"/>
      <c r="S350" s="959"/>
      <c r="T350" s="4053"/>
      <c r="U350" s="3645" t="s">
        <v>1504</v>
      </c>
      <c r="V350" s="3649" t="s">
        <v>1479</v>
      </c>
      <c r="W350" s="3640"/>
      <c r="X350" s="3640" t="s">
        <v>98</v>
      </c>
      <c r="Y350" s="3649" t="s">
        <v>1506</v>
      </c>
      <c r="Z350" s="3623"/>
      <c r="AA350" s="3620" t="s">
        <v>7168</v>
      </c>
      <c r="AB350" s="3624" t="s">
        <v>369</v>
      </c>
      <c r="AC350" s="3618">
        <v>2.1947</v>
      </c>
      <c r="AD350" s="3618">
        <f t="shared" si="223"/>
        <v>140.4608</v>
      </c>
      <c r="AE350" s="3633"/>
      <c r="AF350" s="959" t="s">
        <v>6101</v>
      </c>
      <c r="AG350" s="3620" t="s">
        <v>416</v>
      </c>
      <c r="AH350" s="3620"/>
      <c r="AI350" s="3620"/>
      <c r="AJ350" s="3620"/>
      <c r="AK350" s="959"/>
      <c r="AL350" s="959"/>
      <c r="AM350" s="959">
        <f t="shared" si="224"/>
        <v>64</v>
      </c>
      <c r="AN350" s="959"/>
      <c r="AO350" s="959"/>
      <c r="AP350" s="3618">
        <f t="shared" si="225"/>
        <v>64</v>
      </c>
      <c r="AQ350" s="3618"/>
      <c r="AR350" s="3626"/>
      <c r="AS350" s="3626"/>
      <c r="AT350" s="3626"/>
      <c r="AU350" s="3626">
        <f t="shared" si="226"/>
        <v>64</v>
      </c>
      <c r="AV350" s="3626"/>
      <c r="AW350" s="3626"/>
      <c r="AX350" s="3626"/>
      <c r="AY350" s="3626"/>
      <c r="AZ350" s="3626"/>
      <c r="BA350" s="3626"/>
      <c r="BB350" s="3626"/>
      <c r="BC350" s="3626"/>
      <c r="BD350" s="3626"/>
      <c r="BE350" s="3626"/>
      <c r="BF350" s="3626"/>
      <c r="BG350" s="3626"/>
      <c r="BH350" s="3626"/>
      <c r="BI350" s="3626" t="s">
        <v>89</v>
      </c>
      <c r="BJ350" s="3626"/>
      <c r="BK350" s="3626"/>
      <c r="BL350" s="3626">
        <f>I350</f>
        <v>64</v>
      </c>
      <c r="BM350" s="3626"/>
      <c r="BN350" s="3626"/>
      <c r="BO350" s="4055"/>
      <c r="BP350" s="3627"/>
      <c r="BQ350" s="3627">
        <f t="shared" si="204"/>
        <v>64</v>
      </c>
      <c r="BR350" s="3627">
        <f t="shared" si="205"/>
        <v>0</v>
      </c>
      <c r="BS350" s="4056" t="s">
        <v>3858</v>
      </c>
      <c r="BT350" s="4057">
        <v>45860</v>
      </c>
    </row>
    <row r="351" s="3566" customFormat="1" ht="50" customHeight="1" spans="1:72">
      <c r="A351" s="3635">
        <v>45819</v>
      </c>
      <c r="B351" s="3617" t="s">
        <v>1016</v>
      </c>
      <c r="C351" s="3617" t="s">
        <v>396</v>
      </c>
      <c r="D351" s="3618">
        <v>4500169708</v>
      </c>
      <c r="E351" s="959" t="s">
        <v>7171</v>
      </c>
      <c r="F351" s="959" t="s">
        <v>7172</v>
      </c>
      <c r="G351" s="959" t="s">
        <v>6099</v>
      </c>
      <c r="H351" s="3618" t="s">
        <v>6100</v>
      </c>
      <c r="I351" s="3618">
        <v>32</v>
      </c>
      <c r="J351" s="3618">
        <v>0</v>
      </c>
      <c r="K351" s="3618">
        <v>32</v>
      </c>
      <c r="L351" s="4052">
        <f t="shared" si="227"/>
        <v>1</v>
      </c>
      <c r="M351" s="3619">
        <v>45855</v>
      </c>
      <c r="N351" s="3619">
        <v>45860</v>
      </c>
      <c r="O351" s="959" t="s">
        <v>7167</v>
      </c>
      <c r="P351" s="959" t="s">
        <v>82</v>
      </c>
      <c r="Q351" s="959"/>
      <c r="R351" s="959"/>
      <c r="S351" s="959"/>
      <c r="T351" s="4053"/>
      <c r="U351" s="3645" t="s">
        <v>1504</v>
      </c>
      <c r="V351" s="3649" t="s">
        <v>1479</v>
      </c>
      <c r="W351" s="3640"/>
      <c r="X351" s="3640" t="s">
        <v>98</v>
      </c>
      <c r="Y351" s="3649" t="s">
        <v>1506</v>
      </c>
      <c r="Z351" s="3623"/>
      <c r="AA351" s="3620" t="s">
        <v>7168</v>
      </c>
      <c r="AB351" s="3624" t="s">
        <v>369</v>
      </c>
      <c r="AC351" s="3618">
        <v>2.1947</v>
      </c>
      <c r="AD351" s="3618">
        <f t="shared" si="223"/>
        <v>70.2304</v>
      </c>
      <c r="AE351" s="3633"/>
      <c r="AF351" s="959" t="s">
        <v>6101</v>
      </c>
      <c r="AG351" s="3620" t="s">
        <v>416</v>
      </c>
      <c r="AH351" s="3620"/>
      <c r="AI351" s="3620"/>
      <c r="AJ351" s="3620"/>
      <c r="AK351" s="959"/>
      <c r="AL351" s="959"/>
      <c r="AM351" s="959">
        <f t="shared" si="224"/>
        <v>32</v>
      </c>
      <c r="AN351" s="959"/>
      <c r="AO351" s="959"/>
      <c r="AP351" s="3618">
        <f t="shared" si="225"/>
        <v>32</v>
      </c>
      <c r="AQ351" s="3618"/>
      <c r="AR351" s="3626"/>
      <c r="AS351" s="3626"/>
      <c r="AT351" s="3626"/>
      <c r="AU351" s="3626">
        <f t="shared" si="226"/>
        <v>32</v>
      </c>
      <c r="AV351" s="3626"/>
      <c r="AW351" s="3626"/>
      <c r="AX351" s="3626"/>
      <c r="AY351" s="3626"/>
      <c r="AZ351" s="3626"/>
      <c r="BA351" s="3626"/>
      <c r="BB351" s="3626"/>
      <c r="BC351" s="3626"/>
      <c r="BD351" s="3626"/>
      <c r="BE351" s="3626"/>
      <c r="BF351" s="3626"/>
      <c r="BG351" s="3626"/>
      <c r="BH351" s="3626"/>
      <c r="BI351" s="3626" t="s">
        <v>89</v>
      </c>
      <c r="BJ351" s="3626"/>
      <c r="BK351" s="3626"/>
      <c r="BL351" s="3626">
        <f>I351</f>
        <v>32</v>
      </c>
      <c r="BM351" s="3626"/>
      <c r="BN351" s="3626"/>
      <c r="BO351" s="4055"/>
      <c r="BP351" s="3627"/>
      <c r="BQ351" s="3627">
        <f t="shared" si="204"/>
        <v>32</v>
      </c>
      <c r="BR351" s="3627">
        <f t="shared" si="205"/>
        <v>0</v>
      </c>
      <c r="BS351" s="4056" t="s">
        <v>3858</v>
      </c>
      <c r="BT351" s="4057">
        <v>45860</v>
      </c>
    </row>
    <row r="352" s="3566" customFormat="1" ht="50" customHeight="1" spans="1:72">
      <c r="A352" s="3635">
        <v>45819</v>
      </c>
      <c r="B352" s="3617" t="s">
        <v>1016</v>
      </c>
      <c r="C352" s="3617" t="s">
        <v>396</v>
      </c>
      <c r="D352" s="3618">
        <v>4500169708</v>
      </c>
      <c r="E352" s="959" t="s">
        <v>7173</v>
      </c>
      <c r="F352" s="959" t="s">
        <v>7174</v>
      </c>
      <c r="G352" s="959" t="s">
        <v>6099</v>
      </c>
      <c r="H352" s="3618" t="s">
        <v>6100</v>
      </c>
      <c r="I352" s="3618">
        <v>64</v>
      </c>
      <c r="J352" s="3618">
        <v>0</v>
      </c>
      <c r="K352" s="3618">
        <v>32</v>
      </c>
      <c r="L352" s="4052">
        <f t="shared" si="227"/>
        <v>2</v>
      </c>
      <c r="M352" s="3619">
        <v>45855</v>
      </c>
      <c r="N352" s="3619">
        <v>45860</v>
      </c>
      <c r="O352" s="959" t="s">
        <v>7167</v>
      </c>
      <c r="P352" s="959" t="s">
        <v>82</v>
      </c>
      <c r="Q352" s="959"/>
      <c r="R352" s="959"/>
      <c r="S352" s="959"/>
      <c r="T352" s="4053"/>
      <c r="U352" s="3645" t="s">
        <v>1504</v>
      </c>
      <c r="V352" s="3649" t="s">
        <v>1479</v>
      </c>
      <c r="W352" s="3640"/>
      <c r="X352" s="3640" t="s">
        <v>98</v>
      </c>
      <c r="Y352" s="3649" t="s">
        <v>1506</v>
      </c>
      <c r="Z352" s="3623"/>
      <c r="AA352" s="3620" t="s">
        <v>7168</v>
      </c>
      <c r="AB352" s="3624" t="s">
        <v>369</v>
      </c>
      <c r="AC352" s="3618">
        <v>2.1947</v>
      </c>
      <c r="AD352" s="3618">
        <f t="shared" si="223"/>
        <v>140.4608</v>
      </c>
      <c r="AE352" s="3633"/>
      <c r="AF352" s="959" t="s">
        <v>6101</v>
      </c>
      <c r="AG352" s="3620" t="s">
        <v>416</v>
      </c>
      <c r="AH352" s="3620"/>
      <c r="AI352" s="3620"/>
      <c r="AJ352" s="3620"/>
      <c r="AK352" s="959"/>
      <c r="AL352" s="959"/>
      <c r="AM352" s="959">
        <f t="shared" si="224"/>
        <v>64</v>
      </c>
      <c r="AN352" s="959"/>
      <c r="AO352" s="959"/>
      <c r="AP352" s="3618">
        <f t="shared" si="225"/>
        <v>64</v>
      </c>
      <c r="AQ352" s="3618"/>
      <c r="AR352" s="3626"/>
      <c r="AS352" s="3626"/>
      <c r="AT352" s="3626"/>
      <c r="AU352" s="3626">
        <f t="shared" si="226"/>
        <v>64</v>
      </c>
      <c r="AV352" s="3626"/>
      <c r="AW352" s="3626"/>
      <c r="AX352" s="3626"/>
      <c r="AY352" s="3626"/>
      <c r="AZ352" s="3626"/>
      <c r="BA352" s="3626"/>
      <c r="BB352" s="3626"/>
      <c r="BC352" s="3626"/>
      <c r="BD352" s="3626"/>
      <c r="BE352" s="3626"/>
      <c r="BF352" s="3626"/>
      <c r="BG352" s="3626"/>
      <c r="BH352" s="3626"/>
      <c r="BI352" s="3626" t="s">
        <v>89</v>
      </c>
      <c r="BJ352" s="3626"/>
      <c r="BK352" s="3626"/>
      <c r="BL352" s="3626">
        <f>I352</f>
        <v>64</v>
      </c>
      <c r="BM352" s="3626"/>
      <c r="BN352" s="3626"/>
      <c r="BO352" s="4055"/>
      <c r="BP352" s="3627"/>
      <c r="BQ352" s="3627">
        <f t="shared" si="204"/>
        <v>64</v>
      </c>
      <c r="BR352" s="3627">
        <f t="shared" si="205"/>
        <v>0</v>
      </c>
      <c r="BS352" s="4056" t="s">
        <v>3858</v>
      </c>
      <c r="BT352" s="4057">
        <v>45860</v>
      </c>
    </row>
    <row r="353" s="3566" customFormat="1" ht="50" customHeight="1" spans="1:72">
      <c r="A353" s="3635">
        <v>45819</v>
      </c>
      <c r="B353" s="3617" t="s">
        <v>1016</v>
      </c>
      <c r="C353" s="3617" t="s">
        <v>396</v>
      </c>
      <c r="D353" s="3618">
        <v>4500169708</v>
      </c>
      <c r="E353" s="959" t="s">
        <v>7175</v>
      </c>
      <c r="F353" s="959" t="s">
        <v>7176</v>
      </c>
      <c r="G353" s="959" t="s">
        <v>6091</v>
      </c>
      <c r="H353" s="3618" t="s">
        <v>6092</v>
      </c>
      <c r="I353" s="3618">
        <v>96</v>
      </c>
      <c r="J353" s="3618">
        <v>0</v>
      </c>
      <c r="K353" s="3618">
        <v>32</v>
      </c>
      <c r="L353" s="4052">
        <f t="shared" si="227"/>
        <v>3</v>
      </c>
      <c r="M353" s="3619">
        <v>45855</v>
      </c>
      <c r="N353" s="3619">
        <v>45860</v>
      </c>
      <c r="O353" s="959" t="s">
        <v>7167</v>
      </c>
      <c r="P353" s="959" t="s">
        <v>82</v>
      </c>
      <c r="Q353" s="959"/>
      <c r="R353" s="959"/>
      <c r="S353" s="959"/>
      <c r="T353" s="4053"/>
      <c r="U353" s="3645" t="s">
        <v>1504</v>
      </c>
      <c r="V353" s="3649" t="s">
        <v>1479</v>
      </c>
      <c r="W353" s="3640"/>
      <c r="X353" s="3640" t="s">
        <v>98</v>
      </c>
      <c r="Y353" s="3649" t="s">
        <v>1506</v>
      </c>
      <c r="Z353" s="3623"/>
      <c r="AA353" s="3620" t="s">
        <v>7168</v>
      </c>
      <c r="AB353" s="3624" t="s">
        <v>369</v>
      </c>
      <c r="AC353" s="3618">
        <v>2.1947</v>
      </c>
      <c r="AD353" s="3618">
        <f t="shared" si="223"/>
        <v>210.6912</v>
      </c>
      <c r="AE353" s="3633"/>
      <c r="AF353" s="959" t="s">
        <v>6096</v>
      </c>
      <c r="AG353" s="3620" t="s">
        <v>416</v>
      </c>
      <c r="AH353" s="3620"/>
      <c r="AI353" s="3620"/>
      <c r="AJ353" s="3620"/>
      <c r="AK353" s="959"/>
      <c r="AL353" s="959"/>
      <c r="AM353" s="959">
        <f t="shared" si="224"/>
        <v>96</v>
      </c>
      <c r="AN353" s="959"/>
      <c r="AO353" s="959"/>
      <c r="AP353" s="3618">
        <f t="shared" si="225"/>
        <v>96</v>
      </c>
      <c r="AQ353" s="3618"/>
      <c r="AR353" s="3626"/>
      <c r="AS353" s="3626"/>
      <c r="AT353" s="3626"/>
      <c r="AU353" s="3626">
        <f t="shared" si="226"/>
        <v>96</v>
      </c>
      <c r="AV353" s="3626"/>
      <c r="AW353" s="3626"/>
      <c r="AX353" s="3626"/>
      <c r="AY353" s="3626"/>
      <c r="AZ353" s="3626"/>
      <c r="BA353" s="3626"/>
      <c r="BB353" s="3626"/>
      <c r="BC353" s="3626"/>
      <c r="BD353" s="3626"/>
      <c r="BE353" s="3626"/>
      <c r="BF353" s="3626"/>
      <c r="BG353" s="3626"/>
      <c r="BH353" s="3626"/>
      <c r="BI353" s="3626" t="s">
        <v>89</v>
      </c>
      <c r="BJ353" s="3626"/>
      <c r="BK353" s="3626"/>
      <c r="BL353" s="3626"/>
      <c r="BM353" s="3626"/>
      <c r="BN353" s="3626"/>
      <c r="BO353" s="4055">
        <f>I353</f>
        <v>96</v>
      </c>
      <c r="BP353" s="3627"/>
      <c r="BQ353" s="3627">
        <f t="shared" si="204"/>
        <v>96</v>
      </c>
      <c r="BR353" s="3627">
        <f t="shared" si="205"/>
        <v>0</v>
      </c>
      <c r="BS353" s="4056" t="s">
        <v>3858</v>
      </c>
      <c r="BT353" s="4057">
        <v>45860</v>
      </c>
    </row>
    <row r="354" s="3566" customFormat="1" ht="50" customHeight="1" spans="1:72">
      <c r="A354" s="3635">
        <v>45819</v>
      </c>
      <c r="B354" s="3617" t="s">
        <v>1016</v>
      </c>
      <c r="C354" s="3617" t="s">
        <v>396</v>
      </c>
      <c r="D354" s="3618">
        <v>4500169708</v>
      </c>
      <c r="E354" s="959" t="s">
        <v>7177</v>
      </c>
      <c r="F354" s="959" t="s">
        <v>7178</v>
      </c>
      <c r="G354" s="959" t="s">
        <v>6091</v>
      </c>
      <c r="H354" s="3618" t="s">
        <v>6092</v>
      </c>
      <c r="I354" s="3618">
        <v>64</v>
      </c>
      <c r="J354" s="3618">
        <v>0</v>
      </c>
      <c r="K354" s="3618">
        <v>32</v>
      </c>
      <c r="L354" s="4052">
        <f t="shared" si="227"/>
        <v>2</v>
      </c>
      <c r="M354" s="3619">
        <v>45855</v>
      </c>
      <c r="N354" s="3619">
        <v>45860</v>
      </c>
      <c r="O354" s="959" t="s">
        <v>7167</v>
      </c>
      <c r="P354" s="959" t="s">
        <v>82</v>
      </c>
      <c r="Q354" s="959"/>
      <c r="R354" s="959"/>
      <c r="S354" s="959"/>
      <c r="T354" s="4053"/>
      <c r="U354" s="3645" t="s">
        <v>1504</v>
      </c>
      <c r="V354" s="3649" t="s">
        <v>1479</v>
      </c>
      <c r="W354" s="3640"/>
      <c r="X354" s="3640" t="s">
        <v>98</v>
      </c>
      <c r="Y354" s="3649" t="s">
        <v>1506</v>
      </c>
      <c r="Z354" s="3623"/>
      <c r="AA354" s="3620" t="s">
        <v>7168</v>
      </c>
      <c r="AB354" s="3624" t="s">
        <v>369</v>
      </c>
      <c r="AC354" s="3618">
        <v>2.1947</v>
      </c>
      <c r="AD354" s="3618">
        <f t="shared" si="223"/>
        <v>140.4608</v>
      </c>
      <c r="AE354" s="3633"/>
      <c r="AF354" s="959" t="s">
        <v>6096</v>
      </c>
      <c r="AG354" s="3620" t="s">
        <v>416</v>
      </c>
      <c r="AH354" s="3620"/>
      <c r="AI354" s="3620"/>
      <c r="AJ354" s="3620"/>
      <c r="AK354" s="959"/>
      <c r="AL354" s="959"/>
      <c r="AM354" s="959">
        <f t="shared" si="224"/>
        <v>64</v>
      </c>
      <c r="AN354" s="959"/>
      <c r="AO354" s="959"/>
      <c r="AP354" s="3618">
        <f t="shared" si="225"/>
        <v>64</v>
      </c>
      <c r="AQ354" s="3618"/>
      <c r="AR354" s="3626"/>
      <c r="AS354" s="3626"/>
      <c r="AT354" s="3626"/>
      <c r="AU354" s="3626">
        <f t="shared" si="226"/>
        <v>64</v>
      </c>
      <c r="AV354" s="3626"/>
      <c r="AW354" s="3626"/>
      <c r="AX354" s="3626"/>
      <c r="AY354" s="3626"/>
      <c r="AZ354" s="3626"/>
      <c r="BA354" s="3626"/>
      <c r="BB354" s="3626"/>
      <c r="BC354" s="3626"/>
      <c r="BD354" s="3626"/>
      <c r="BE354" s="3626"/>
      <c r="BF354" s="3626"/>
      <c r="BG354" s="3626"/>
      <c r="BH354" s="3626"/>
      <c r="BI354" s="3626" t="s">
        <v>89</v>
      </c>
      <c r="BJ354" s="3626"/>
      <c r="BK354" s="3626"/>
      <c r="BL354" s="3626"/>
      <c r="BM354" s="3626"/>
      <c r="BN354" s="3626"/>
      <c r="BO354" s="4055">
        <f>I354</f>
        <v>64</v>
      </c>
      <c r="BP354" s="3627"/>
      <c r="BQ354" s="3627">
        <f t="shared" si="204"/>
        <v>64</v>
      </c>
      <c r="BR354" s="3627">
        <f t="shared" si="205"/>
        <v>0</v>
      </c>
      <c r="BS354" s="4056" t="s">
        <v>3858</v>
      </c>
      <c r="BT354" s="4057">
        <v>45860</v>
      </c>
    </row>
    <row r="355" s="3566" customFormat="1" ht="50" customHeight="1" spans="1:72">
      <c r="A355" s="3635">
        <v>45819</v>
      </c>
      <c r="B355" s="3617" t="s">
        <v>1016</v>
      </c>
      <c r="C355" s="3617" t="s">
        <v>396</v>
      </c>
      <c r="D355" s="3618">
        <v>4500169708</v>
      </c>
      <c r="E355" s="959" t="s">
        <v>7179</v>
      </c>
      <c r="F355" s="959" t="s">
        <v>7180</v>
      </c>
      <c r="G355" s="959" t="s">
        <v>6091</v>
      </c>
      <c r="H355" s="3618" t="s">
        <v>6092</v>
      </c>
      <c r="I355" s="3618">
        <v>32</v>
      </c>
      <c r="J355" s="3618">
        <v>0</v>
      </c>
      <c r="K355" s="3618">
        <v>32</v>
      </c>
      <c r="L355" s="4052">
        <f t="shared" si="227"/>
        <v>1</v>
      </c>
      <c r="M355" s="3619">
        <v>45855</v>
      </c>
      <c r="N355" s="3619">
        <v>45860</v>
      </c>
      <c r="O355" s="959" t="s">
        <v>7167</v>
      </c>
      <c r="P355" s="959" t="s">
        <v>82</v>
      </c>
      <c r="Q355" s="959"/>
      <c r="R355" s="959"/>
      <c r="S355" s="959"/>
      <c r="T355" s="4053"/>
      <c r="U355" s="3645" t="s">
        <v>1504</v>
      </c>
      <c r="V355" s="3649" t="s">
        <v>1479</v>
      </c>
      <c r="W355" s="3640"/>
      <c r="X355" s="3640" t="s">
        <v>98</v>
      </c>
      <c r="Y355" s="3649" t="s">
        <v>1506</v>
      </c>
      <c r="Z355" s="3623"/>
      <c r="AA355" s="3620" t="s">
        <v>7168</v>
      </c>
      <c r="AB355" s="3624" t="s">
        <v>369</v>
      </c>
      <c r="AC355" s="3618">
        <v>2.1947</v>
      </c>
      <c r="AD355" s="3618">
        <f t="shared" si="223"/>
        <v>70.2304</v>
      </c>
      <c r="AE355" s="3633"/>
      <c r="AF355" s="959" t="s">
        <v>6096</v>
      </c>
      <c r="AG355" s="3620" t="s">
        <v>416</v>
      </c>
      <c r="AH355" s="3620"/>
      <c r="AI355" s="3620"/>
      <c r="AJ355" s="3620"/>
      <c r="AK355" s="959"/>
      <c r="AL355" s="959"/>
      <c r="AM355" s="959">
        <f t="shared" si="224"/>
        <v>32</v>
      </c>
      <c r="AN355" s="959"/>
      <c r="AO355" s="959"/>
      <c r="AP355" s="3618">
        <f t="shared" si="225"/>
        <v>32</v>
      </c>
      <c r="AQ355" s="3618"/>
      <c r="AR355" s="3626"/>
      <c r="AS355" s="3626"/>
      <c r="AT355" s="3626"/>
      <c r="AU355" s="3626">
        <f t="shared" si="226"/>
        <v>32</v>
      </c>
      <c r="AV355" s="3626"/>
      <c r="AW355" s="3626"/>
      <c r="AX355" s="3626"/>
      <c r="AY355" s="3626"/>
      <c r="AZ355" s="3626"/>
      <c r="BA355" s="3626"/>
      <c r="BB355" s="3626"/>
      <c r="BC355" s="3626"/>
      <c r="BD355" s="3626"/>
      <c r="BE355" s="3626"/>
      <c r="BF355" s="3626"/>
      <c r="BG355" s="3626"/>
      <c r="BH355" s="3626"/>
      <c r="BI355" s="3626" t="s">
        <v>89</v>
      </c>
      <c r="BJ355" s="3626"/>
      <c r="BK355" s="3626"/>
      <c r="BL355" s="3626"/>
      <c r="BM355" s="3626"/>
      <c r="BN355" s="3626"/>
      <c r="BO355" s="4055">
        <f>I355</f>
        <v>32</v>
      </c>
      <c r="BP355" s="3627"/>
      <c r="BQ355" s="3627">
        <f t="shared" si="204"/>
        <v>32</v>
      </c>
      <c r="BR355" s="3627">
        <f t="shared" si="205"/>
        <v>0</v>
      </c>
      <c r="BS355" s="4056" t="s">
        <v>3858</v>
      </c>
      <c r="BT355" s="4057">
        <v>45860</v>
      </c>
    </row>
    <row r="356" s="3566" customFormat="1" ht="50" customHeight="1" spans="1:72">
      <c r="A356" s="3635">
        <v>45819</v>
      </c>
      <c r="B356" s="3617" t="s">
        <v>1016</v>
      </c>
      <c r="C356" s="3617" t="s">
        <v>396</v>
      </c>
      <c r="D356" s="3618">
        <v>4500169708</v>
      </c>
      <c r="E356" s="959" t="s">
        <v>7181</v>
      </c>
      <c r="F356" s="959" t="s">
        <v>7182</v>
      </c>
      <c r="G356" s="959" t="s">
        <v>6091</v>
      </c>
      <c r="H356" s="3618" t="s">
        <v>6092</v>
      </c>
      <c r="I356" s="3618">
        <v>64</v>
      </c>
      <c r="J356" s="3618">
        <v>0</v>
      </c>
      <c r="K356" s="3618">
        <v>32</v>
      </c>
      <c r="L356" s="4052">
        <f t="shared" si="227"/>
        <v>2</v>
      </c>
      <c r="M356" s="3619">
        <v>45855</v>
      </c>
      <c r="N356" s="3619">
        <v>45860</v>
      </c>
      <c r="O356" s="959" t="s">
        <v>7167</v>
      </c>
      <c r="P356" s="959" t="s">
        <v>82</v>
      </c>
      <c r="Q356" s="959"/>
      <c r="R356" s="959"/>
      <c r="S356" s="959"/>
      <c r="T356" s="4053"/>
      <c r="U356" s="3645" t="s">
        <v>1504</v>
      </c>
      <c r="V356" s="3649" t="s">
        <v>1479</v>
      </c>
      <c r="W356" s="3640"/>
      <c r="X356" s="3640" t="s">
        <v>98</v>
      </c>
      <c r="Y356" s="3649" t="s">
        <v>1506</v>
      </c>
      <c r="Z356" s="3623"/>
      <c r="AA356" s="3620" t="s">
        <v>7168</v>
      </c>
      <c r="AB356" s="3624" t="s">
        <v>369</v>
      </c>
      <c r="AC356" s="3618">
        <v>2.1947</v>
      </c>
      <c r="AD356" s="3618">
        <f t="shared" si="223"/>
        <v>140.4608</v>
      </c>
      <c r="AE356" s="3633"/>
      <c r="AF356" s="959" t="s">
        <v>6096</v>
      </c>
      <c r="AG356" s="3620" t="s">
        <v>416</v>
      </c>
      <c r="AH356" s="3620"/>
      <c r="AI356" s="3620"/>
      <c r="AJ356" s="3620"/>
      <c r="AK356" s="959"/>
      <c r="AL356" s="959"/>
      <c r="AM356" s="959">
        <f t="shared" si="224"/>
        <v>64</v>
      </c>
      <c r="AN356" s="959"/>
      <c r="AO356" s="959"/>
      <c r="AP356" s="3618">
        <f t="shared" si="225"/>
        <v>64</v>
      </c>
      <c r="AQ356" s="3618"/>
      <c r="AR356" s="3626"/>
      <c r="AS356" s="3626"/>
      <c r="AT356" s="3626"/>
      <c r="AU356" s="3626">
        <f t="shared" si="226"/>
        <v>64</v>
      </c>
      <c r="AV356" s="3626"/>
      <c r="AW356" s="3626"/>
      <c r="AX356" s="3626"/>
      <c r="AY356" s="3626"/>
      <c r="AZ356" s="3626"/>
      <c r="BA356" s="3626"/>
      <c r="BB356" s="3626"/>
      <c r="BC356" s="3626"/>
      <c r="BD356" s="3626"/>
      <c r="BE356" s="3626"/>
      <c r="BF356" s="3626"/>
      <c r="BG356" s="3626"/>
      <c r="BH356" s="3626"/>
      <c r="BI356" s="3626" t="s">
        <v>89</v>
      </c>
      <c r="BJ356" s="3626"/>
      <c r="BK356" s="3626"/>
      <c r="BL356" s="3626"/>
      <c r="BM356" s="3626"/>
      <c r="BN356" s="3626"/>
      <c r="BO356" s="4055">
        <f>I356</f>
        <v>64</v>
      </c>
      <c r="BP356" s="3627"/>
      <c r="BQ356" s="3627">
        <f t="shared" si="204"/>
        <v>64</v>
      </c>
      <c r="BR356" s="3627">
        <f t="shared" si="205"/>
        <v>0</v>
      </c>
      <c r="BS356" s="4056" t="s">
        <v>3858</v>
      </c>
      <c r="BT356" s="4057">
        <v>45860</v>
      </c>
    </row>
    <row r="357" s="3566" customFormat="1" ht="50" customHeight="1" spans="1:72">
      <c r="A357" s="3635">
        <v>45819</v>
      </c>
      <c r="B357" s="3617" t="s">
        <v>1016</v>
      </c>
      <c r="C357" s="3617" t="s">
        <v>396</v>
      </c>
      <c r="D357" s="3618">
        <v>4500169708</v>
      </c>
      <c r="E357" s="959" t="s">
        <v>7183</v>
      </c>
      <c r="F357" s="959" t="s">
        <v>7184</v>
      </c>
      <c r="G357" s="959" t="s">
        <v>7185</v>
      </c>
      <c r="H357" s="3618" t="s">
        <v>6242</v>
      </c>
      <c r="I357" s="3618">
        <v>32</v>
      </c>
      <c r="J357" s="3618">
        <v>0</v>
      </c>
      <c r="K357" s="3618">
        <v>32</v>
      </c>
      <c r="L357" s="4052">
        <f t="shared" si="227"/>
        <v>1</v>
      </c>
      <c r="M357" s="3619">
        <v>45855</v>
      </c>
      <c r="N357" s="3619">
        <v>45860</v>
      </c>
      <c r="O357" s="959" t="s">
        <v>7167</v>
      </c>
      <c r="P357" s="959" t="s">
        <v>82</v>
      </c>
      <c r="Q357" s="959"/>
      <c r="R357" s="959"/>
      <c r="S357" s="959"/>
      <c r="T357" s="4053"/>
      <c r="U357" s="3645" t="s">
        <v>1504</v>
      </c>
      <c r="V357" s="3649" t="s">
        <v>1479</v>
      </c>
      <c r="W357" s="3640"/>
      <c r="X357" s="3640" t="s">
        <v>98</v>
      </c>
      <c r="Y357" s="3649" t="s">
        <v>1506</v>
      </c>
      <c r="Z357" s="3623"/>
      <c r="AA357" s="3620" t="s">
        <v>7168</v>
      </c>
      <c r="AB357" s="3624" t="s">
        <v>369</v>
      </c>
      <c r="AC357" s="3618">
        <v>2.2482</v>
      </c>
      <c r="AD357" s="3618">
        <f t="shared" si="223"/>
        <v>71.9424</v>
      </c>
      <c r="AE357" s="3633"/>
      <c r="AF357" s="959" t="s">
        <v>7186</v>
      </c>
      <c r="AG357" s="3620" t="s">
        <v>416</v>
      </c>
      <c r="AH357" s="3620"/>
      <c r="AI357" s="3620"/>
      <c r="AJ357" s="3620"/>
      <c r="AK357" s="959"/>
      <c r="AL357" s="959"/>
      <c r="AM357" s="959">
        <f t="shared" si="224"/>
        <v>32</v>
      </c>
      <c r="AN357" s="959"/>
      <c r="AO357" s="959"/>
      <c r="AP357" s="3618">
        <f t="shared" si="225"/>
        <v>32</v>
      </c>
      <c r="AQ357" s="3618"/>
      <c r="AR357" s="3626"/>
      <c r="AS357" s="3626"/>
      <c r="AT357" s="3626"/>
      <c r="AU357" s="3626">
        <f t="shared" si="226"/>
        <v>32</v>
      </c>
      <c r="AV357" s="3626"/>
      <c r="AW357" s="3626"/>
      <c r="AX357" s="3626"/>
      <c r="AY357" s="3626"/>
      <c r="AZ357" s="3626"/>
      <c r="BA357" s="3626"/>
      <c r="BB357" s="3626"/>
      <c r="BC357" s="3626"/>
      <c r="BD357" s="3626"/>
      <c r="BE357" s="3626"/>
      <c r="BF357" s="3626"/>
      <c r="BG357" s="3626"/>
      <c r="BH357" s="3626"/>
      <c r="BI357" s="3626" t="s">
        <v>89</v>
      </c>
      <c r="BJ357" s="3626"/>
      <c r="BK357" s="3626"/>
      <c r="BL357" s="3626"/>
      <c r="BM357" s="3626"/>
      <c r="BN357" s="3626">
        <f>I357</f>
        <v>32</v>
      </c>
      <c r="BO357" s="4055"/>
      <c r="BP357" s="3627"/>
      <c r="BQ357" s="3627">
        <f t="shared" si="204"/>
        <v>32</v>
      </c>
      <c r="BR357" s="3627">
        <f t="shared" si="205"/>
        <v>0</v>
      </c>
      <c r="BS357" s="4056" t="s">
        <v>3858</v>
      </c>
      <c r="BT357" s="4057">
        <v>45860</v>
      </c>
    </row>
    <row r="358" s="3566" customFormat="1" ht="50" customHeight="1" spans="1:72">
      <c r="A358" s="3635">
        <v>45819</v>
      </c>
      <c r="B358" s="3617" t="s">
        <v>1016</v>
      </c>
      <c r="C358" s="3617" t="s">
        <v>396</v>
      </c>
      <c r="D358" s="3618">
        <v>4500169708</v>
      </c>
      <c r="E358" s="959" t="s">
        <v>7187</v>
      </c>
      <c r="F358" s="959" t="s">
        <v>7188</v>
      </c>
      <c r="G358" s="959" t="s">
        <v>7185</v>
      </c>
      <c r="H358" s="3618" t="s">
        <v>6242</v>
      </c>
      <c r="I358" s="3618">
        <v>32</v>
      </c>
      <c r="J358" s="3618">
        <v>0</v>
      </c>
      <c r="K358" s="3618">
        <v>32</v>
      </c>
      <c r="L358" s="4052">
        <f t="shared" si="227"/>
        <v>1</v>
      </c>
      <c r="M358" s="3619">
        <v>45855</v>
      </c>
      <c r="N358" s="3619">
        <v>45860</v>
      </c>
      <c r="O358" s="959" t="s">
        <v>7167</v>
      </c>
      <c r="P358" s="959" t="s">
        <v>82</v>
      </c>
      <c r="Q358" s="959"/>
      <c r="R358" s="959"/>
      <c r="S358" s="959"/>
      <c r="T358" s="4053"/>
      <c r="U358" s="3645" t="s">
        <v>1504</v>
      </c>
      <c r="V358" s="3649" t="s">
        <v>1479</v>
      </c>
      <c r="W358" s="3640"/>
      <c r="X358" s="3640" t="s">
        <v>98</v>
      </c>
      <c r="Y358" s="3649" t="s">
        <v>1506</v>
      </c>
      <c r="Z358" s="3623"/>
      <c r="AA358" s="3620" t="s">
        <v>7168</v>
      </c>
      <c r="AB358" s="3624" t="s">
        <v>369</v>
      </c>
      <c r="AC358" s="3618">
        <v>2.2482</v>
      </c>
      <c r="AD358" s="3618">
        <f t="shared" si="223"/>
        <v>71.9424</v>
      </c>
      <c r="AE358" s="3633"/>
      <c r="AF358" s="959" t="s">
        <v>7186</v>
      </c>
      <c r="AG358" s="3620" t="s">
        <v>416</v>
      </c>
      <c r="AH358" s="3620"/>
      <c r="AI358" s="3620"/>
      <c r="AJ358" s="3620"/>
      <c r="AK358" s="959"/>
      <c r="AL358" s="959"/>
      <c r="AM358" s="959">
        <f t="shared" si="224"/>
        <v>32</v>
      </c>
      <c r="AN358" s="959"/>
      <c r="AO358" s="959"/>
      <c r="AP358" s="3618">
        <f t="shared" si="225"/>
        <v>32</v>
      </c>
      <c r="AQ358" s="3618"/>
      <c r="AR358" s="3626"/>
      <c r="AS358" s="3626"/>
      <c r="AT358" s="3626"/>
      <c r="AU358" s="3626">
        <f t="shared" si="226"/>
        <v>32</v>
      </c>
      <c r="AV358" s="3626"/>
      <c r="AW358" s="3626"/>
      <c r="AX358" s="3626"/>
      <c r="AY358" s="3626"/>
      <c r="AZ358" s="3626"/>
      <c r="BA358" s="3626"/>
      <c r="BB358" s="3626"/>
      <c r="BC358" s="3626"/>
      <c r="BD358" s="3626"/>
      <c r="BE358" s="3626"/>
      <c r="BF358" s="3626"/>
      <c r="BG358" s="3626"/>
      <c r="BH358" s="3626"/>
      <c r="BI358" s="3626" t="s">
        <v>89</v>
      </c>
      <c r="BJ358" s="3626"/>
      <c r="BK358" s="3626"/>
      <c r="BL358" s="3626"/>
      <c r="BM358" s="3626"/>
      <c r="BN358" s="3626">
        <f>I358</f>
        <v>32</v>
      </c>
      <c r="BO358" s="4055"/>
      <c r="BP358" s="3627"/>
      <c r="BQ358" s="3627">
        <f t="shared" si="204"/>
        <v>32</v>
      </c>
      <c r="BR358" s="3627">
        <f t="shared" si="205"/>
        <v>0</v>
      </c>
      <c r="BS358" s="4056" t="s">
        <v>3858</v>
      </c>
      <c r="BT358" s="4057">
        <v>45860</v>
      </c>
    </row>
    <row r="359" s="3566" customFormat="1" ht="50" customHeight="1" spans="1:72">
      <c r="A359" s="3635">
        <v>45819</v>
      </c>
      <c r="B359" s="3617" t="s">
        <v>1016</v>
      </c>
      <c r="C359" s="3617" t="s">
        <v>396</v>
      </c>
      <c r="D359" s="3618">
        <v>4500169708</v>
      </c>
      <c r="E359" s="959" t="s">
        <v>7189</v>
      </c>
      <c r="F359" s="959" t="s">
        <v>7190</v>
      </c>
      <c r="G359" s="959" t="s">
        <v>7185</v>
      </c>
      <c r="H359" s="3618" t="s">
        <v>6242</v>
      </c>
      <c r="I359" s="3618">
        <v>32</v>
      </c>
      <c r="J359" s="3618">
        <v>0</v>
      </c>
      <c r="K359" s="3618">
        <v>32</v>
      </c>
      <c r="L359" s="4052">
        <f t="shared" si="227"/>
        <v>1</v>
      </c>
      <c r="M359" s="3619">
        <v>45855</v>
      </c>
      <c r="N359" s="3619">
        <v>45860</v>
      </c>
      <c r="O359" s="959" t="s">
        <v>7167</v>
      </c>
      <c r="P359" s="959" t="s">
        <v>82</v>
      </c>
      <c r="Q359" s="959"/>
      <c r="R359" s="959"/>
      <c r="S359" s="959"/>
      <c r="T359" s="4053"/>
      <c r="U359" s="3645" t="s">
        <v>1504</v>
      </c>
      <c r="V359" s="3649" t="s">
        <v>1479</v>
      </c>
      <c r="W359" s="3640"/>
      <c r="X359" s="3640" t="s">
        <v>98</v>
      </c>
      <c r="Y359" s="3649" t="s">
        <v>1506</v>
      </c>
      <c r="Z359" s="3623"/>
      <c r="AA359" s="3620" t="s">
        <v>7168</v>
      </c>
      <c r="AB359" s="3624" t="s">
        <v>369</v>
      </c>
      <c r="AC359" s="3618">
        <v>2.2482</v>
      </c>
      <c r="AD359" s="3618">
        <f t="shared" si="223"/>
        <v>71.9424</v>
      </c>
      <c r="AE359" s="3633"/>
      <c r="AF359" s="959" t="s">
        <v>7186</v>
      </c>
      <c r="AG359" s="3620" t="s">
        <v>416</v>
      </c>
      <c r="AH359" s="3620"/>
      <c r="AI359" s="3620"/>
      <c r="AJ359" s="3620"/>
      <c r="AK359" s="959"/>
      <c r="AL359" s="959"/>
      <c r="AM359" s="959">
        <f t="shared" si="224"/>
        <v>32</v>
      </c>
      <c r="AN359" s="959"/>
      <c r="AO359" s="959"/>
      <c r="AP359" s="3618">
        <f t="shared" si="225"/>
        <v>32</v>
      </c>
      <c r="AQ359" s="3618"/>
      <c r="AR359" s="3626"/>
      <c r="AS359" s="3626"/>
      <c r="AT359" s="3626"/>
      <c r="AU359" s="3626">
        <f t="shared" si="226"/>
        <v>32</v>
      </c>
      <c r="AV359" s="3626"/>
      <c r="AW359" s="3626"/>
      <c r="AX359" s="3626"/>
      <c r="AY359" s="3626"/>
      <c r="AZ359" s="3626"/>
      <c r="BA359" s="3626"/>
      <c r="BB359" s="3626"/>
      <c r="BC359" s="3626"/>
      <c r="BD359" s="3626"/>
      <c r="BE359" s="3626"/>
      <c r="BF359" s="3626"/>
      <c r="BG359" s="3626"/>
      <c r="BH359" s="3626"/>
      <c r="BI359" s="3626" t="s">
        <v>89</v>
      </c>
      <c r="BJ359" s="3626"/>
      <c r="BK359" s="3626"/>
      <c r="BL359" s="3626"/>
      <c r="BM359" s="3626"/>
      <c r="BN359" s="3626">
        <f>I359</f>
        <v>32</v>
      </c>
      <c r="BO359" s="4055"/>
      <c r="BP359" s="3627"/>
      <c r="BQ359" s="3627">
        <f t="shared" si="204"/>
        <v>32</v>
      </c>
      <c r="BR359" s="3627">
        <f t="shared" si="205"/>
        <v>0</v>
      </c>
      <c r="BS359" s="4056" t="s">
        <v>3858</v>
      </c>
      <c r="BT359" s="4057">
        <v>45860</v>
      </c>
    </row>
    <row r="360" s="3566" customFormat="1" ht="50" customHeight="1" spans="1:72">
      <c r="A360" s="3635">
        <v>45819</v>
      </c>
      <c r="B360" s="3617" t="s">
        <v>1016</v>
      </c>
      <c r="C360" s="3617" t="s">
        <v>396</v>
      </c>
      <c r="D360" s="3618">
        <v>4500169708</v>
      </c>
      <c r="E360" s="959" t="s">
        <v>7191</v>
      </c>
      <c r="F360" s="959" t="s">
        <v>7192</v>
      </c>
      <c r="G360" s="959" t="s">
        <v>7185</v>
      </c>
      <c r="H360" s="3618" t="s">
        <v>6242</v>
      </c>
      <c r="I360" s="3618">
        <v>32</v>
      </c>
      <c r="J360" s="3618">
        <v>0</v>
      </c>
      <c r="K360" s="3618">
        <v>32</v>
      </c>
      <c r="L360" s="4052">
        <f t="shared" si="227"/>
        <v>1</v>
      </c>
      <c r="M360" s="3619">
        <v>45855</v>
      </c>
      <c r="N360" s="3619">
        <v>45860</v>
      </c>
      <c r="O360" s="959" t="s">
        <v>7167</v>
      </c>
      <c r="P360" s="959" t="s">
        <v>82</v>
      </c>
      <c r="Q360" s="959"/>
      <c r="R360" s="959"/>
      <c r="S360" s="959"/>
      <c r="T360" s="4053"/>
      <c r="U360" s="3645" t="s">
        <v>1504</v>
      </c>
      <c r="V360" s="3649" t="s">
        <v>1479</v>
      </c>
      <c r="W360" s="3640"/>
      <c r="X360" s="3640" t="s">
        <v>98</v>
      </c>
      <c r="Y360" s="3649" t="s">
        <v>1506</v>
      </c>
      <c r="Z360" s="3623"/>
      <c r="AA360" s="3620" t="s">
        <v>7168</v>
      </c>
      <c r="AB360" s="3624" t="s">
        <v>369</v>
      </c>
      <c r="AC360" s="3618">
        <v>2.2482</v>
      </c>
      <c r="AD360" s="3618">
        <f t="shared" si="223"/>
        <v>71.9424</v>
      </c>
      <c r="AE360" s="3633"/>
      <c r="AF360" s="959" t="s">
        <v>7186</v>
      </c>
      <c r="AG360" s="3620" t="s">
        <v>416</v>
      </c>
      <c r="AH360" s="3620"/>
      <c r="AI360" s="3620"/>
      <c r="AJ360" s="3620"/>
      <c r="AK360" s="959"/>
      <c r="AL360" s="959"/>
      <c r="AM360" s="959">
        <f t="shared" si="224"/>
        <v>32</v>
      </c>
      <c r="AN360" s="959"/>
      <c r="AO360" s="959"/>
      <c r="AP360" s="3618">
        <f t="shared" si="225"/>
        <v>32</v>
      </c>
      <c r="AQ360" s="3618"/>
      <c r="AR360" s="3626"/>
      <c r="AS360" s="3626"/>
      <c r="AT360" s="3626"/>
      <c r="AU360" s="3626">
        <f t="shared" si="226"/>
        <v>32</v>
      </c>
      <c r="AV360" s="3626"/>
      <c r="AW360" s="3626"/>
      <c r="AX360" s="3626"/>
      <c r="AY360" s="3626"/>
      <c r="AZ360" s="3626"/>
      <c r="BA360" s="3626"/>
      <c r="BB360" s="3626"/>
      <c r="BC360" s="3626"/>
      <c r="BD360" s="3626"/>
      <c r="BE360" s="3626"/>
      <c r="BF360" s="3626"/>
      <c r="BG360" s="3626"/>
      <c r="BH360" s="3626"/>
      <c r="BI360" s="3626" t="s">
        <v>89</v>
      </c>
      <c r="BJ360" s="3626"/>
      <c r="BK360" s="3626"/>
      <c r="BL360" s="3626"/>
      <c r="BM360" s="3626"/>
      <c r="BN360" s="3626">
        <f>I360</f>
        <v>32</v>
      </c>
      <c r="BO360" s="4055"/>
      <c r="BP360" s="3627"/>
      <c r="BQ360" s="3627">
        <f t="shared" si="204"/>
        <v>32</v>
      </c>
      <c r="BR360" s="3627">
        <f t="shared" si="205"/>
        <v>0</v>
      </c>
      <c r="BS360" s="4056" t="s">
        <v>3858</v>
      </c>
      <c r="BT360" s="4057">
        <v>45860</v>
      </c>
    </row>
    <row r="361" s="3566" customFormat="1" ht="50" customHeight="1" spans="1:72">
      <c r="A361" s="3635">
        <v>45819</v>
      </c>
      <c r="B361" s="3617" t="s">
        <v>1016</v>
      </c>
      <c r="C361" s="3617" t="s">
        <v>396</v>
      </c>
      <c r="D361" s="3618">
        <v>4500169708</v>
      </c>
      <c r="E361" s="959" t="s">
        <v>7193</v>
      </c>
      <c r="F361" s="959" t="s">
        <v>7194</v>
      </c>
      <c r="G361" s="959" t="s">
        <v>6104</v>
      </c>
      <c r="H361" s="3618" t="s">
        <v>6105</v>
      </c>
      <c r="I361" s="3618">
        <v>32</v>
      </c>
      <c r="J361" s="3618">
        <v>0</v>
      </c>
      <c r="K361" s="3618">
        <v>32</v>
      </c>
      <c r="L361" s="4052">
        <f t="shared" si="227"/>
        <v>1</v>
      </c>
      <c r="M361" s="3619">
        <v>45855</v>
      </c>
      <c r="N361" s="3619">
        <v>45860</v>
      </c>
      <c r="O361" s="959" t="s">
        <v>7167</v>
      </c>
      <c r="P361" s="959" t="s">
        <v>82</v>
      </c>
      <c r="Q361" s="959"/>
      <c r="R361" s="959"/>
      <c r="S361" s="959"/>
      <c r="T361" s="4053"/>
      <c r="U361" s="3645" t="s">
        <v>1504</v>
      </c>
      <c r="V361" s="3649" t="s">
        <v>1479</v>
      </c>
      <c r="W361" s="3640"/>
      <c r="X361" s="3640" t="s">
        <v>98</v>
      </c>
      <c r="Y361" s="3649" t="s">
        <v>1506</v>
      </c>
      <c r="Z361" s="3623"/>
      <c r="AA361" s="3620" t="s">
        <v>7168</v>
      </c>
      <c r="AB361" s="3624" t="s">
        <v>369</v>
      </c>
      <c r="AC361" s="3618">
        <v>2.2482</v>
      </c>
      <c r="AD361" s="3618">
        <f t="shared" si="223"/>
        <v>71.9424</v>
      </c>
      <c r="AE361" s="3633"/>
      <c r="AF361" s="959" t="s">
        <v>6106</v>
      </c>
      <c r="AG361" s="3620" t="s">
        <v>416</v>
      </c>
      <c r="AH361" s="3620"/>
      <c r="AI361" s="3620"/>
      <c r="AJ361" s="3620"/>
      <c r="AK361" s="959"/>
      <c r="AL361" s="959"/>
      <c r="AM361" s="959">
        <f t="shared" si="224"/>
        <v>32</v>
      </c>
      <c r="AN361" s="959"/>
      <c r="AO361" s="959"/>
      <c r="AP361" s="3618">
        <f t="shared" si="225"/>
        <v>32</v>
      </c>
      <c r="AQ361" s="3618"/>
      <c r="AR361" s="3626"/>
      <c r="AS361" s="3626"/>
      <c r="AT361" s="3626"/>
      <c r="AU361" s="3626">
        <f t="shared" si="226"/>
        <v>32</v>
      </c>
      <c r="AV361" s="3626"/>
      <c r="AW361" s="3626"/>
      <c r="AX361" s="3626"/>
      <c r="AY361" s="3626"/>
      <c r="AZ361" s="3626"/>
      <c r="BA361" s="3626"/>
      <c r="BB361" s="3626"/>
      <c r="BC361" s="3626"/>
      <c r="BD361" s="3626"/>
      <c r="BE361" s="3626"/>
      <c r="BF361" s="3626"/>
      <c r="BG361" s="3626"/>
      <c r="BH361" s="3626"/>
      <c r="BI361" s="3626" t="s">
        <v>89</v>
      </c>
      <c r="BJ361" s="3626"/>
      <c r="BK361" s="3626">
        <f>I361</f>
        <v>32</v>
      </c>
      <c r="BL361" s="3626"/>
      <c r="BM361" s="3626"/>
      <c r="BN361" s="3626"/>
      <c r="BO361" s="4055"/>
      <c r="BP361" s="3627"/>
      <c r="BQ361" s="3627">
        <f t="shared" si="204"/>
        <v>32</v>
      </c>
      <c r="BR361" s="3627">
        <f t="shared" si="205"/>
        <v>0</v>
      </c>
      <c r="BS361" s="4056" t="s">
        <v>3858</v>
      </c>
      <c r="BT361" s="4057">
        <v>45860</v>
      </c>
    </row>
    <row r="362" s="3566" customFormat="1" ht="50" customHeight="1" spans="1:72">
      <c r="A362" s="3635">
        <v>45819</v>
      </c>
      <c r="B362" s="3617" t="s">
        <v>1016</v>
      </c>
      <c r="C362" s="3617" t="s">
        <v>396</v>
      </c>
      <c r="D362" s="3618">
        <v>4500169708</v>
      </c>
      <c r="E362" s="959" t="s">
        <v>7195</v>
      </c>
      <c r="F362" s="959" t="s">
        <v>7196</v>
      </c>
      <c r="G362" s="959" t="s">
        <v>6104</v>
      </c>
      <c r="H362" s="3618" t="s">
        <v>6105</v>
      </c>
      <c r="I362" s="3618">
        <v>32</v>
      </c>
      <c r="J362" s="3618">
        <v>0</v>
      </c>
      <c r="K362" s="3618">
        <v>32</v>
      </c>
      <c r="L362" s="4052">
        <f t="shared" si="227"/>
        <v>1</v>
      </c>
      <c r="M362" s="3619">
        <v>45855</v>
      </c>
      <c r="N362" s="3619">
        <v>45860</v>
      </c>
      <c r="O362" s="959" t="s">
        <v>7167</v>
      </c>
      <c r="P362" s="959" t="s">
        <v>82</v>
      </c>
      <c r="Q362" s="959"/>
      <c r="R362" s="959"/>
      <c r="S362" s="959"/>
      <c r="T362" s="4053"/>
      <c r="U362" s="3645" t="s">
        <v>1504</v>
      </c>
      <c r="V362" s="3649" t="s">
        <v>1479</v>
      </c>
      <c r="W362" s="3640"/>
      <c r="X362" s="3640" t="s">
        <v>98</v>
      </c>
      <c r="Y362" s="3649" t="s">
        <v>1506</v>
      </c>
      <c r="Z362" s="3623"/>
      <c r="AA362" s="3620" t="s">
        <v>7168</v>
      </c>
      <c r="AB362" s="3624" t="s">
        <v>369</v>
      </c>
      <c r="AC362" s="3618">
        <v>2.2482</v>
      </c>
      <c r="AD362" s="3618">
        <f t="shared" si="223"/>
        <v>71.9424</v>
      </c>
      <c r="AE362" s="3633"/>
      <c r="AF362" s="959" t="s">
        <v>6106</v>
      </c>
      <c r="AG362" s="3620" t="s">
        <v>416</v>
      </c>
      <c r="AH362" s="3620"/>
      <c r="AI362" s="3620"/>
      <c r="AJ362" s="3620"/>
      <c r="AK362" s="959"/>
      <c r="AL362" s="959"/>
      <c r="AM362" s="959">
        <f t="shared" si="224"/>
        <v>32</v>
      </c>
      <c r="AN362" s="959"/>
      <c r="AO362" s="959"/>
      <c r="AP362" s="3618">
        <f t="shared" si="225"/>
        <v>32</v>
      </c>
      <c r="AQ362" s="3618"/>
      <c r="AR362" s="3626"/>
      <c r="AS362" s="3626"/>
      <c r="AT362" s="3626"/>
      <c r="AU362" s="3626">
        <f t="shared" si="226"/>
        <v>32</v>
      </c>
      <c r="AV362" s="3626"/>
      <c r="AW362" s="3626"/>
      <c r="AX362" s="3626"/>
      <c r="AY362" s="3626"/>
      <c r="AZ362" s="3626"/>
      <c r="BA362" s="3626"/>
      <c r="BB362" s="3626"/>
      <c r="BC362" s="3626"/>
      <c r="BD362" s="3626"/>
      <c r="BE362" s="3626"/>
      <c r="BF362" s="3626"/>
      <c r="BG362" s="3626"/>
      <c r="BH362" s="3626"/>
      <c r="BI362" s="3626" t="s">
        <v>89</v>
      </c>
      <c r="BJ362" s="3626"/>
      <c r="BK362" s="3626">
        <f>I362</f>
        <v>32</v>
      </c>
      <c r="BL362" s="3626"/>
      <c r="BM362" s="3626"/>
      <c r="BN362" s="3626"/>
      <c r="BO362" s="4055"/>
      <c r="BP362" s="3627"/>
      <c r="BQ362" s="3627">
        <f t="shared" si="204"/>
        <v>32</v>
      </c>
      <c r="BR362" s="3627">
        <f t="shared" si="205"/>
        <v>0</v>
      </c>
      <c r="BS362" s="4056" t="s">
        <v>3858</v>
      </c>
      <c r="BT362" s="4057">
        <v>45860</v>
      </c>
    </row>
    <row r="363" s="3566" customFormat="1" ht="50" customHeight="1" spans="1:72">
      <c r="A363" s="3635">
        <v>45819</v>
      </c>
      <c r="B363" s="3617" t="s">
        <v>1016</v>
      </c>
      <c r="C363" s="3617" t="s">
        <v>396</v>
      </c>
      <c r="D363" s="3618">
        <v>4500169708</v>
      </c>
      <c r="E363" s="959" t="s">
        <v>7197</v>
      </c>
      <c r="F363" s="959" t="s">
        <v>7198</v>
      </c>
      <c r="G363" s="959" t="s">
        <v>6104</v>
      </c>
      <c r="H363" s="3618" t="s">
        <v>6105</v>
      </c>
      <c r="I363" s="3618">
        <v>32</v>
      </c>
      <c r="J363" s="3618">
        <v>0</v>
      </c>
      <c r="K363" s="3618">
        <v>32</v>
      </c>
      <c r="L363" s="4052">
        <f t="shared" si="227"/>
        <v>1</v>
      </c>
      <c r="M363" s="3619">
        <v>45855</v>
      </c>
      <c r="N363" s="3619">
        <v>45860</v>
      </c>
      <c r="O363" s="959" t="s">
        <v>7167</v>
      </c>
      <c r="P363" s="959" t="s">
        <v>82</v>
      </c>
      <c r="Q363" s="959"/>
      <c r="R363" s="959"/>
      <c r="S363" s="959"/>
      <c r="T363" s="4053"/>
      <c r="U363" s="3645" t="s">
        <v>1504</v>
      </c>
      <c r="V363" s="3649" t="s">
        <v>1479</v>
      </c>
      <c r="W363" s="3640"/>
      <c r="X363" s="3640" t="s">
        <v>98</v>
      </c>
      <c r="Y363" s="3649" t="s">
        <v>1506</v>
      </c>
      <c r="Z363" s="3623"/>
      <c r="AA363" s="3620" t="s">
        <v>7168</v>
      </c>
      <c r="AB363" s="3624" t="s">
        <v>369</v>
      </c>
      <c r="AC363" s="3618">
        <v>2.2482</v>
      </c>
      <c r="AD363" s="3618">
        <f t="shared" si="223"/>
        <v>71.9424</v>
      </c>
      <c r="AE363" s="3633"/>
      <c r="AF363" s="959" t="s">
        <v>6106</v>
      </c>
      <c r="AG363" s="3620" t="s">
        <v>416</v>
      </c>
      <c r="AH363" s="3620"/>
      <c r="AI363" s="3620"/>
      <c r="AJ363" s="3620"/>
      <c r="AK363" s="959"/>
      <c r="AL363" s="959"/>
      <c r="AM363" s="959">
        <f t="shared" si="224"/>
        <v>32</v>
      </c>
      <c r="AN363" s="959"/>
      <c r="AO363" s="959"/>
      <c r="AP363" s="3618">
        <f t="shared" si="225"/>
        <v>32</v>
      </c>
      <c r="AQ363" s="3618"/>
      <c r="AR363" s="3626"/>
      <c r="AS363" s="3626"/>
      <c r="AT363" s="3626"/>
      <c r="AU363" s="3626">
        <f t="shared" si="226"/>
        <v>32</v>
      </c>
      <c r="AV363" s="3626"/>
      <c r="AW363" s="3626"/>
      <c r="AX363" s="3626"/>
      <c r="AY363" s="3626"/>
      <c r="AZ363" s="3626"/>
      <c r="BA363" s="3626"/>
      <c r="BB363" s="3626"/>
      <c r="BC363" s="3626"/>
      <c r="BD363" s="3626"/>
      <c r="BE363" s="3626"/>
      <c r="BF363" s="3626"/>
      <c r="BG363" s="3626"/>
      <c r="BH363" s="3626"/>
      <c r="BI363" s="3626" t="s">
        <v>89</v>
      </c>
      <c r="BJ363" s="3626"/>
      <c r="BK363" s="3626">
        <f>I363</f>
        <v>32</v>
      </c>
      <c r="BL363" s="3626"/>
      <c r="BM363" s="3626"/>
      <c r="BN363" s="3626"/>
      <c r="BO363" s="4055"/>
      <c r="BP363" s="3627"/>
      <c r="BQ363" s="3627">
        <f t="shared" si="204"/>
        <v>32</v>
      </c>
      <c r="BR363" s="3627">
        <f t="shared" si="205"/>
        <v>0</v>
      </c>
      <c r="BS363" s="4056" t="s">
        <v>3858</v>
      </c>
      <c r="BT363" s="4057">
        <v>45860</v>
      </c>
    </row>
    <row r="364" s="3566" customFormat="1" ht="50" customHeight="1" spans="1:72">
      <c r="A364" s="3635">
        <v>45819</v>
      </c>
      <c r="B364" s="3617" t="s">
        <v>1016</v>
      </c>
      <c r="C364" s="3617" t="s">
        <v>396</v>
      </c>
      <c r="D364" s="3618">
        <v>4500169708</v>
      </c>
      <c r="E364" s="959" t="s">
        <v>7199</v>
      </c>
      <c r="F364" s="959" t="s">
        <v>7200</v>
      </c>
      <c r="G364" s="959" t="s">
        <v>6104</v>
      </c>
      <c r="H364" s="3618" t="s">
        <v>6105</v>
      </c>
      <c r="I364" s="3618">
        <v>32</v>
      </c>
      <c r="J364" s="3618">
        <v>0</v>
      </c>
      <c r="K364" s="3618">
        <v>32</v>
      </c>
      <c r="L364" s="4052">
        <f t="shared" si="227"/>
        <v>1</v>
      </c>
      <c r="M364" s="3619">
        <v>45855</v>
      </c>
      <c r="N364" s="3619">
        <v>45860</v>
      </c>
      <c r="O364" s="959" t="s">
        <v>7167</v>
      </c>
      <c r="P364" s="959" t="s">
        <v>82</v>
      </c>
      <c r="Q364" s="959"/>
      <c r="R364" s="959"/>
      <c r="S364" s="959"/>
      <c r="T364" s="4053"/>
      <c r="U364" s="3645" t="s">
        <v>1504</v>
      </c>
      <c r="V364" s="3649" t="s">
        <v>1479</v>
      </c>
      <c r="W364" s="3640"/>
      <c r="X364" s="3640" t="s">
        <v>98</v>
      </c>
      <c r="Y364" s="3649" t="s">
        <v>1506</v>
      </c>
      <c r="Z364" s="3623"/>
      <c r="AA364" s="3620" t="s">
        <v>7168</v>
      </c>
      <c r="AB364" s="3624" t="s">
        <v>369</v>
      </c>
      <c r="AC364" s="3618">
        <v>2.2482</v>
      </c>
      <c r="AD364" s="3618">
        <f t="shared" si="223"/>
        <v>71.9424</v>
      </c>
      <c r="AE364" s="3633"/>
      <c r="AF364" s="959" t="s">
        <v>6106</v>
      </c>
      <c r="AG364" s="3620" t="s">
        <v>416</v>
      </c>
      <c r="AH364" s="3620"/>
      <c r="AI364" s="3620"/>
      <c r="AJ364" s="3620"/>
      <c r="AK364" s="959"/>
      <c r="AL364" s="959"/>
      <c r="AM364" s="959">
        <f t="shared" si="224"/>
        <v>32</v>
      </c>
      <c r="AN364" s="959"/>
      <c r="AO364" s="959"/>
      <c r="AP364" s="3618">
        <f t="shared" si="225"/>
        <v>32</v>
      </c>
      <c r="AQ364" s="3618"/>
      <c r="AR364" s="3626"/>
      <c r="AS364" s="3626"/>
      <c r="AT364" s="3626"/>
      <c r="AU364" s="3626">
        <f t="shared" si="226"/>
        <v>32</v>
      </c>
      <c r="AV364" s="3626"/>
      <c r="AW364" s="3626"/>
      <c r="AX364" s="3626"/>
      <c r="AY364" s="3626"/>
      <c r="AZ364" s="3626"/>
      <c r="BA364" s="3626"/>
      <c r="BB364" s="3626"/>
      <c r="BC364" s="3626"/>
      <c r="BD364" s="3626"/>
      <c r="BE364" s="3626"/>
      <c r="BF364" s="3626"/>
      <c r="BG364" s="3626"/>
      <c r="BH364" s="3626"/>
      <c r="BI364" s="3626" t="s">
        <v>89</v>
      </c>
      <c r="BJ364" s="3626"/>
      <c r="BK364" s="3626">
        <f>I364</f>
        <v>32</v>
      </c>
      <c r="BL364" s="3626"/>
      <c r="BM364" s="3626"/>
      <c r="BN364" s="3626"/>
      <c r="BO364" s="4055"/>
      <c r="BP364" s="3627"/>
      <c r="BQ364" s="3627">
        <f t="shared" si="204"/>
        <v>32</v>
      </c>
      <c r="BR364" s="3627">
        <f t="shared" si="205"/>
        <v>0</v>
      </c>
      <c r="BS364" s="4056" t="s">
        <v>3858</v>
      </c>
      <c r="BT364" s="4057">
        <v>45860</v>
      </c>
    </row>
    <row r="365" s="3566" customFormat="1" ht="50" customHeight="1" spans="1:72">
      <c r="A365" s="3635">
        <v>45820</v>
      </c>
      <c r="B365" s="3617" t="s">
        <v>1477</v>
      </c>
      <c r="C365" s="3617" t="s">
        <v>351</v>
      </c>
      <c r="D365" s="3618">
        <v>4500169637</v>
      </c>
      <c r="E365" s="959"/>
      <c r="F365" s="959" t="s">
        <v>7201</v>
      </c>
      <c r="G365" s="959" t="s">
        <v>3520</v>
      </c>
      <c r="H365" s="3618" t="s">
        <v>6063</v>
      </c>
      <c r="I365" s="3618">
        <v>1800</v>
      </c>
      <c r="J365" s="3618">
        <v>0</v>
      </c>
      <c r="K365" s="3618">
        <v>24</v>
      </c>
      <c r="L365" s="4052">
        <f t="shared" si="227"/>
        <v>75</v>
      </c>
      <c r="M365" s="3619">
        <v>45856</v>
      </c>
      <c r="N365" s="3619">
        <v>45858</v>
      </c>
      <c r="O365" s="3618"/>
      <c r="P365" s="959" t="s">
        <v>82</v>
      </c>
      <c r="Q365" s="959"/>
      <c r="R365" s="959"/>
      <c r="S365" s="959"/>
      <c r="T365" s="4053"/>
      <c r="U365" s="3620" t="s">
        <v>1424</v>
      </c>
      <c r="V365" s="3649" t="s">
        <v>1479</v>
      </c>
      <c r="W365" s="3695"/>
      <c r="X365" s="3695" t="s">
        <v>1426</v>
      </c>
      <c r="Y365" s="4091"/>
      <c r="Z365" s="3618"/>
      <c r="AA365" s="3620" t="s">
        <v>7202</v>
      </c>
      <c r="AB365" s="3624" t="s">
        <v>1199</v>
      </c>
      <c r="AC365" s="4058">
        <v>2.145</v>
      </c>
      <c r="AD365" s="3618">
        <f t="shared" si="223"/>
        <v>3861</v>
      </c>
      <c r="AE365" s="3645" t="s">
        <v>1481</v>
      </c>
      <c r="AF365" s="959" t="s">
        <v>3520</v>
      </c>
      <c r="AG365" s="3620" t="s">
        <v>416</v>
      </c>
      <c r="AH365" s="3620"/>
      <c r="AI365" s="3620"/>
      <c r="AJ365" s="3620"/>
      <c r="AK365" s="959">
        <f>I365</f>
        <v>1800</v>
      </c>
      <c r="AL365" s="959"/>
      <c r="AM365" s="959"/>
      <c r="AN365" s="959"/>
      <c r="AO365" s="3618"/>
      <c r="AP365" s="3618">
        <f t="shared" si="225"/>
        <v>1800</v>
      </c>
      <c r="AQ365" s="3618"/>
      <c r="AR365" s="3626"/>
      <c r="AS365" s="3626">
        <f>I365</f>
        <v>1800</v>
      </c>
      <c r="AT365" s="3626"/>
      <c r="AU365" s="3626"/>
      <c r="AV365" s="3626"/>
      <c r="AW365" s="3626"/>
      <c r="AX365" s="3626"/>
      <c r="AY365" s="3626"/>
      <c r="AZ365" s="3626"/>
      <c r="BA365" s="3626"/>
      <c r="BB365" s="3626"/>
      <c r="BC365" s="3626"/>
      <c r="BD365" s="3626"/>
      <c r="BE365" s="3626"/>
      <c r="BF365" s="3626"/>
      <c r="BG365" s="3626"/>
      <c r="BH365" s="3626"/>
      <c r="BI365" s="3626" t="s">
        <v>89</v>
      </c>
      <c r="BJ365" s="3626">
        <f t="shared" ref="BJ365:BJ371" si="228">I365/60*2</f>
        <v>60</v>
      </c>
      <c r="BK365" s="3626">
        <f t="shared" ref="BK365:BK371" si="229">I365/60*10</f>
        <v>300</v>
      </c>
      <c r="BL365" s="3626">
        <f t="shared" ref="BL365:BL371" si="230">I365/60*10</f>
        <v>300</v>
      </c>
      <c r="BM365" s="3626">
        <f t="shared" ref="BM365:BM371" si="231">I365/60*8</f>
        <v>240</v>
      </c>
      <c r="BN365" s="3626">
        <f t="shared" ref="BN365:BN371" si="232">I365/60*10</f>
        <v>300</v>
      </c>
      <c r="BO365" s="4055">
        <f t="shared" ref="BO365:BO371" si="233">I365/60*10</f>
        <v>300</v>
      </c>
      <c r="BP365" s="3627">
        <f t="shared" ref="BP365:BP371" si="234">I365/60*10</f>
        <v>300</v>
      </c>
      <c r="BQ365" s="3627">
        <f t="shared" si="204"/>
        <v>1800</v>
      </c>
      <c r="BR365" s="3627">
        <f t="shared" si="205"/>
        <v>0</v>
      </c>
      <c r="BS365" s="4056" t="s">
        <v>4202</v>
      </c>
      <c r="BT365" s="4057">
        <v>45858</v>
      </c>
    </row>
    <row r="366" s="3566" customFormat="1" ht="50" customHeight="1" spans="1:72">
      <c r="A366" s="3635">
        <v>45807</v>
      </c>
      <c r="B366" s="3617" t="s">
        <v>331</v>
      </c>
      <c r="C366" s="3617" t="s">
        <v>4102</v>
      </c>
      <c r="D366" s="3624">
        <v>4500168661</v>
      </c>
      <c r="E366" s="3618" t="s">
        <v>4103</v>
      </c>
      <c r="F366" s="3617" t="s">
        <v>4104</v>
      </c>
      <c r="G366" s="959" t="s">
        <v>7203</v>
      </c>
      <c r="H366" s="3618" t="s">
        <v>3517</v>
      </c>
      <c r="I366" s="3618">
        <v>2004</v>
      </c>
      <c r="J366" s="3618">
        <v>0</v>
      </c>
      <c r="K366" s="3618">
        <v>6</v>
      </c>
      <c r="L366" s="4052">
        <f t="shared" si="227"/>
        <v>334</v>
      </c>
      <c r="M366" s="3619">
        <v>45848</v>
      </c>
      <c r="N366" s="3619">
        <v>45848</v>
      </c>
      <c r="O366" s="3664" t="s">
        <v>7204</v>
      </c>
      <c r="P366" s="959" t="s">
        <v>82</v>
      </c>
      <c r="Q366" s="959"/>
      <c r="R366" s="959"/>
      <c r="S366" s="959"/>
      <c r="T366" s="4053"/>
      <c r="U366" s="3620" t="s">
        <v>4042</v>
      </c>
      <c r="V366" s="3649" t="s">
        <v>1479</v>
      </c>
      <c r="W366" s="3649"/>
      <c r="X366" s="3657" t="s">
        <v>4107</v>
      </c>
      <c r="Y366" s="3649"/>
      <c r="Z366" s="3661"/>
      <c r="AA366" s="3620" t="s">
        <v>7205</v>
      </c>
      <c r="AB366" s="3624" t="s">
        <v>2382</v>
      </c>
      <c r="AC366" s="3691">
        <v>4.5796</v>
      </c>
      <c r="AD366" s="3691">
        <f t="shared" si="223"/>
        <v>9177.5184</v>
      </c>
      <c r="AE366" s="3633"/>
      <c r="AF366" s="959" t="s">
        <v>4110</v>
      </c>
      <c r="AG366" s="3620" t="s">
        <v>416</v>
      </c>
      <c r="AH366" s="3620"/>
      <c r="AI366" s="3620"/>
      <c r="AJ366" s="3620"/>
      <c r="AK366" s="959">
        <f>I366</f>
        <v>2004</v>
      </c>
      <c r="AL366" s="959"/>
      <c r="AM366" s="959"/>
      <c r="AN366" s="959"/>
      <c r="AO366" s="959"/>
      <c r="AP366" s="3618">
        <f t="shared" si="225"/>
        <v>2004</v>
      </c>
      <c r="AQ366" s="3618"/>
      <c r="AR366" s="3626"/>
      <c r="AS366" s="3626">
        <f>I366</f>
        <v>2004</v>
      </c>
      <c r="AT366" s="3626"/>
      <c r="AU366" s="3626"/>
      <c r="AV366" s="3626"/>
      <c r="AW366" s="3626"/>
      <c r="AX366" s="3626"/>
      <c r="AY366" s="3626"/>
      <c r="AZ366" s="3626"/>
      <c r="BA366" s="3626"/>
      <c r="BB366" s="3626"/>
      <c r="BC366" s="3626"/>
      <c r="BD366" s="3626"/>
      <c r="BE366" s="3626"/>
      <c r="BF366" s="3626"/>
      <c r="BG366" s="3626"/>
      <c r="BH366" s="3626"/>
      <c r="BI366" s="3626" t="s">
        <v>89</v>
      </c>
      <c r="BJ366" s="3626">
        <f t="shared" si="228"/>
        <v>66.8</v>
      </c>
      <c r="BK366" s="3626">
        <f t="shared" si="229"/>
        <v>334</v>
      </c>
      <c r="BL366" s="3626">
        <f t="shared" si="230"/>
        <v>334</v>
      </c>
      <c r="BM366" s="3626">
        <f t="shared" si="231"/>
        <v>267.2</v>
      </c>
      <c r="BN366" s="3626">
        <f t="shared" si="232"/>
        <v>334</v>
      </c>
      <c r="BO366" s="4055">
        <f t="shared" si="233"/>
        <v>334</v>
      </c>
      <c r="BP366" s="3627">
        <f t="shared" si="234"/>
        <v>334</v>
      </c>
      <c r="BQ366" s="3627">
        <f t="shared" si="204"/>
        <v>2004</v>
      </c>
      <c r="BR366" s="3627">
        <f t="shared" si="205"/>
        <v>0</v>
      </c>
      <c r="BS366" s="4056" t="s">
        <v>7107</v>
      </c>
      <c r="BT366" s="4057">
        <v>45842</v>
      </c>
    </row>
    <row r="367" s="3566" customFormat="1" ht="50" customHeight="1" spans="1:72">
      <c r="A367" s="3635">
        <v>45741</v>
      </c>
      <c r="B367" s="3617" t="s">
        <v>3536</v>
      </c>
      <c r="C367" s="3617" t="s">
        <v>1546</v>
      </c>
      <c r="D367" s="3618">
        <v>4500160544</v>
      </c>
      <c r="E367" s="959"/>
      <c r="F367" s="959" t="s">
        <v>7206</v>
      </c>
      <c r="G367" s="959" t="s">
        <v>6124</v>
      </c>
      <c r="H367" s="3618" t="s">
        <v>6063</v>
      </c>
      <c r="I367" s="3618">
        <v>60</v>
      </c>
      <c r="J367" s="3618">
        <v>0</v>
      </c>
      <c r="K367" s="3618">
        <v>12</v>
      </c>
      <c r="L367" s="4052">
        <f t="shared" si="227"/>
        <v>5</v>
      </c>
      <c r="M367" s="3619">
        <v>45856</v>
      </c>
      <c r="N367" s="3619">
        <v>45859</v>
      </c>
      <c r="O367" s="3618"/>
      <c r="P367" s="959" t="s">
        <v>82</v>
      </c>
      <c r="Q367" s="959"/>
      <c r="R367" s="959"/>
      <c r="S367" s="959"/>
      <c r="T367" s="4053"/>
      <c r="U367" s="3645" t="s">
        <v>4209</v>
      </c>
      <c r="V367" s="3657" t="s">
        <v>4210</v>
      </c>
      <c r="W367" s="3695"/>
      <c r="X367" s="3695" t="s">
        <v>7207</v>
      </c>
      <c r="Y367" s="4091"/>
      <c r="Z367" s="3618"/>
      <c r="AA367" s="3620" t="s">
        <v>7208</v>
      </c>
      <c r="AB367" s="3624" t="s">
        <v>459</v>
      </c>
      <c r="AC367" s="4058">
        <v>2.259</v>
      </c>
      <c r="AD367" s="3618">
        <f t="shared" si="223"/>
        <v>135.54</v>
      </c>
      <c r="AE367" s="3633" t="s">
        <v>4213</v>
      </c>
      <c r="AF367" s="959" t="s">
        <v>6126</v>
      </c>
      <c r="AG367" s="3620" t="s">
        <v>416</v>
      </c>
      <c r="AH367" s="3620"/>
      <c r="AI367" s="3620"/>
      <c r="AJ367" s="3620"/>
      <c r="AK367" s="959"/>
      <c r="AL367" s="959"/>
      <c r="AM367" s="959">
        <f>I367</f>
        <v>60</v>
      </c>
      <c r="AN367" s="959"/>
      <c r="AO367" s="3618"/>
      <c r="AP367" s="3618">
        <f t="shared" si="225"/>
        <v>60</v>
      </c>
      <c r="AQ367" s="3618"/>
      <c r="AR367" s="3626"/>
      <c r="AS367" s="3626">
        <f>I367</f>
        <v>60</v>
      </c>
      <c r="AT367" s="3626"/>
      <c r="AU367" s="3626"/>
      <c r="AV367" s="3626"/>
      <c r="AW367" s="3626">
        <f>I367/6</f>
        <v>10</v>
      </c>
      <c r="AX367" s="3626"/>
      <c r="AY367" s="3626"/>
      <c r="AZ367" s="3626"/>
      <c r="BA367" s="3626"/>
      <c r="BB367" s="3626"/>
      <c r="BC367" s="3626"/>
      <c r="BD367" s="3626"/>
      <c r="BE367" s="3626"/>
      <c r="BF367" s="3626"/>
      <c r="BG367" s="3626"/>
      <c r="BH367" s="3626"/>
      <c r="BI367" s="3626" t="s">
        <v>89</v>
      </c>
      <c r="BJ367" s="3626">
        <f t="shared" si="228"/>
        <v>2</v>
      </c>
      <c r="BK367" s="3626">
        <f t="shared" si="229"/>
        <v>10</v>
      </c>
      <c r="BL367" s="3626">
        <f t="shared" si="230"/>
        <v>10</v>
      </c>
      <c r="BM367" s="3626">
        <f t="shared" si="231"/>
        <v>8</v>
      </c>
      <c r="BN367" s="3626">
        <f t="shared" si="232"/>
        <v>10</v>
      </c>
      <c r="BO367" s="4055">
        <f t="shared" si="233"/>
        <v>10</v>
      </c>
      <c r="BP367" s="3627">
        <f t="shared" si="234"/>
        <v>10</v>
      </c>
      <c r="BQ367" s="3627">
        <f t="shared" si="204"/>
        <v>60</v>
      </c>
      <c r="BR367" s="3627">
        <f t="shared" si="205"/>
        <v>0</v>
      </c>
      <c r="BS367" s="4056" t="s">
        <v>4202</v>
      </c>
      <c r="BT367" s="4057" t="s">
        <v>4214</v>
      </c>
    </row>
    <row r="368" s="3566" customFormat="1" ht="50" customHeight="1" spans="1:72">
      <c r="A368" s="3635">
        <v>45775</v>
      </c>
      <c r="B368" s="3617" t="s">
        <v>737</v>
      </c>
      <c r="C368" s="3617" t="s">
        <v>738</v>
      </c>
      <c r="D368" s="3624">
        <v>4500164920</v>
      </c>
      <c r="E368" s="3618">
        <v>61963726</v>
      </c>
      <c r="F368" s="3617" t="s">
        <v>7209</v>
      </c>
      <c r="G368" s="959" t="s">
        <v>6124</v>
      </c>
      <c r="H368" s="3618" t="s">
        <v>6063</v>
      </c>
      <c r="I368" s="3618">
        <v>360</v>
      </c>
      <c r="J368" s="3618">
        <v>0</v>
      </c>
      <c r="K368" s="3618">
        <v>12</v>
      </c>
      <c r="L368" s="4052">
        <f t="shared" si="227"/>
        <v>30</v>
      </c>
      <c r="M368" s="3619">
        <v>45863</v>
      </c>
      <c r="N368" s="3619">
        <v>45863</v>
      </c>
      <c r="O368" s="959"/>
      <c r="P368" s="959" t="s">
        <v>82</v>
      </c>
      <c r="Q368" s="959"/>
      <c r="R368" s="959"/>
      <c r="S368" s="959"/>
      <c r="T368" s="4053"/>
      <c r="U368" s="3645" t="s">
        <v>4358</v>
      </c>
      <c r="V368" s="3657" t="s">
        <v>4149</v>
      </c>
      <c r="W368" s="3657"/>
      <c r="X368" s="3657" t="s">
        <v>7210</v>
      </c>
      <c r="Y368" s="3649"/>
      <c r="Z368" s="3661"/>
      <c r="AA368" s="3620" t="s">
        <v>7211</v>
      </c>
      <c r="AB368" s="3624" t="s">
        <v>459</v>
      </c>
      <c r="AC368" s="4058">
        <v>2.259</v>
      </c>
      <c r="AD368" s="3618">
        <f t="shared" si="223"/>
        <v>813.24</v>
      </c>
      <c r="AE368" s="3633"/>
      <c r="AF368" s="959" t="s">
        <v>6126</v>
      </c>
      <c r="AG368" s="3620" t="s">
        <v>416</v>
      </c>
      <c r="AH368" s="3620"/>
      <c r="AI368" s="3620"/>
      <c r="AJ368" s="3620"/>
      <c r="AK368" s="959"/>
      <c r="AL368" s="959"/>
      <c r="AM368" s="959"/>
      <c r="AN368" s="959">
        <f>I368</f>
        <v>360</v>
      </c>
      <c r="AO368" s="959"/>
      <c r="AP368" s="3618"/>
      <c r="AQ368" s="3618">
        <f>I368</f>
        <v>360</v>
      </c>
      <c r="AR368" s="3626"/>
      <c r="AS368" s="3626">
        <f>I368</f>
        <v>360</v>
      </c>
      <c r="AT368" s="3626"/>
      <c r="AU368" s="3626"/>
      <c r="AV368" s="3626"/>
      <c r="AW368" s="3626">
        <f>I368/6</f>
        <v>60</v>
      </c>
      <c r="AX368" s="3626"/>
      <c r="AY368" s="3626"/>
      <c r="AZ368" s="3626"/>
      <c r="BA368" s="3626"/>
      <c r="BB368" s="3626"/>
      <c r="BC368" s="3626"/>
      <c r="BD368" s="3626"/>
      <c r="BE368" s="3626"/>
      <c r="BF368" s="3626"/>
      <c r="BG368" s="3626"/>
      <c r="BH368" s="3626"/>
      <c r="BI368" s="3626" t="s">
        <v>89</v>
      </c>
      <c r="BJ368" s="3626">
        <f t="shared" si="228"/>
        <v>12</v>
      </c>
      <c r="BK368" s="3626">
        <f t="shared" si="229"/>
        <v>60</v>
      </c>
      <c r="BL368" s="3626">
        <f t="shared" si="230"/>
        <v>60</v>
      </c>
      <c r="BM368" s="3626">
        <f t="shared" si="231"/>
        <v>48</v>
      </c>
      <c r="BN368" s="3626">
        <f t="shared" si="232"/>
        <v>60</v>
      </c>
      <c r="BO368" s="4055">
        <f t="shared" si="233"/>
        <v>60</v>
      </c>
      <c r="BP368" s="3627">
        <f t="shared" si="234"/>
        <v>60</v>
      </c>
      <c r="BQ368" s="3627">
        <f t="shared" si="204"/>
        <v>360</v>
      </c>
      <c r="BR368" s="3627">
        <f t="shared" si="205"/>
        <v>0</v>
      </c>
      <c r="BS368" s="4056" t="s">
        <v>4197</v>
      </c>
      <c r="BT368" s="4057" t="s">
        <v>4361</v>
      </c>
    </row>
    <row r="369" s="3566" customFormat="1" ht="50" customHeight="1" spans="1:72">
      <c r="A369" s="3635">
        <v>45804</v>
      </c>
      <c r="B369" s="3617" t="s">
        <v>7212</v>
      </c>
      <c r="C369" s="3617" t="s">
        <v>91</v>
      </c>
      <c r="D369" s="3618">
        <v>4500168078</v>
      </c>
      <c r="E369" s="959" t="s">
        <v>7213</v>
      </c>
      <c r="F369" s="959" t="s">
        <v>7214</v>
      </c>
      <c r="G369" s="959" t="s">
        <v>3520</v>
      </c>
      <c r="H369" s="3618" t="s">
        <v>6063</v>
      </c>
      <c r="I369" s="3618">
        <v>16632</v>
      </c>
      <c r="J369" s="3618">
        <v>0</v>
      </c>
      <c r="K369" s="3618">
        <v>24</v>
      </c>
      <c r="L369" s="4052">
        <f t="shared" si="227"/>
        <v>693</v>
      </c>
      <c r="M369" s="3619">
        <v>45856</v>
      </c>
      <c r="N369" s="3619">
        <v>45859</v>
      </c>
      <c r="O369" s="3618" t="s">
        <v>7215</v>
      </c>
      <c r="P369" s="959" t="s">
        <v>82</v>
      </c>
      <c r="Q369" s="959"/>
      <c r="R369" s="959"/>
      <c r="S369" s="959"/>
      <c r="T369" s="4053"/>
      <c r="U369" s="3620" t="s">
        <v>401</v>
      </c>
      <c r="V369" s="3649" t="s">
        <v>1484</v>
      </c>
      <c r="W369" s="3695"/>
      <c r="X369" s="3695" t="s">
        <v>98</v>
      </c>
      <c r="Y369" s="4091"/>
      <c r="Z369" s="3618"/>
      <c r="AA369" s="3620" t="s">
        <v>7216</v>
      </c>
      <c r="AB369" s="3624" t="s">
        <v>7217</v>
      </c>
      <c r="AC369" s="4058">
        <v>1.3001</v>
      </c>
      <c r="AD369" s="3618">
        <f t="shared" si="223"/>
        <v>21623.2632</v>
      </c>
      <c r="AE369" s="3633" t="s">
        <v>7218</v>
      </c>
      <c r="AF369" s="959" t="s">
        <v>3520</v>
      </c>
      <c r="AG369" s="3620" t="s">
        <v>416</v>
      </c>
      <c r="AH369" s="3620"/>
      <c r="AI369" s="3620"/>
      <c r="AJ369" s="3620"/>
      <c r="AK369" s="959"/>
      <c r="AL369" s="959">
        <f>I369</f>
        <v>16632</v>
      </c>
      <c r="AM369" s="959"/>
      <c r="AN369" s="959"/>
      <c r="AO369" s="3618"/>
      <c r="AP369" s="3618"/>
      <c r="AQ369" s="3618">
        <f>I369</f>
        <v>16632</v>
      </c>
      <c r="AR369" s="3626"/>
      <c r="AS369" s="3626"/>
      <c r="AT369" s="3626">
        <f>I369</f>
        <v>16632</v>
      </c>
      <c r="AU369" s="3626"/>
      <c r="AV369" s="3626"/>
      <c r="AW369" s="3626"/>
      <c r="AX369" s="3626"/>
      <c r="AY369" s="3626"/>
      <c r="AZ369" s="3626"/>
      <c r="BA369" s="3626"/>
      <c r="BB369" s="3626"/>
      <c r="BC369" s="3626"/>
      <c r="BD369" s="3626"/>
      <c r="BE369" s="3626"/>
      <c r="BF369" s="3626"/>
      <c r="BG369" s="3626"/>
      <c r="BH369" s="3626"/>
      <c r="BI369" s="3626" t="s">
        <v>89</v>
      </c>
      <c r="BJ369" s="3626">
        <f t="shared" si="228"/>
        <v>554.4</v>
      </c>
      <c r="BK369" s="3626">
        <f t="shared" si="229"/>
        <v>2772</v>
      </c>
      <c r="BL369" s="3626">
        <f t="shared" si="230"/>
        <v>2772</v>
      </c>
      <c r="BM369" s="3626">
        <f t="shared" si="231"/>
        <v>2217.6</v>
      </c>
      <c r="BN369" s="3626">
        <f t="shared" si="232"/>
        <v>2772</v>
      </c>
      <c r="BO369" s="4055">
        <f t="shared" si="233"/>
        <v>2772</v>
      </c>
      <c r="BP369" s="3627">
        <f t="shared" si="234"/>
        <v>2772</v>
      </c>
      <c r="BQ369" s="3627">
        <f t="shared" si="204"/>
        <v>16632</v>
      </c>
      <c r="BR369" s="3627">
        <f t="shared" si="205"/>
        <v>0</v>
      </c>
      <c r="BS369" s="4056" t="s">
        <v>4202</v>
      </c>
      <c r="BT369" s="4057">
        <v>45859</v>
      </c>
    </row>
    <row r="370" s="3566" customFormat="1" ht="50" customHeight="1" spans="1:72">
      <c r="A370" s="3635">
        <v>45804</v>
      </c>
      <c r="B370" s="3617" t="s">
        <v>7212</v>
      </c>
      <c r="C370" s="3617" t="s">
        <v>91</v>
      </c>
      <c r="D370" s="3618">
        <v>4500168078</v>
      </c>
      <c r="E370" s="959" t="s">
        <v>7219</v>
      </c>
      <c r="F370" s="959" t="s">
        <v>7220</v>
      </c>
      <c r="G370" s="959" t="s">
        <v>3520</v>
      </c>
      <c r="H370" s="3618" t="s">
        <v>6063</v>
      </c>
      <c r="I370" s="3618">
        <v>8304</v>
      </c>
      <c r="J370" s="3618">
        <v>0</v>
      </c>
      <c r="K370" s="3618">
        <v>24</v>
      </c>
      <c r="L370" s="4052">
        <f t="shared" si="227"/>
        <v>346</v>
      </c>
      <c r="M370" s="3619">
        <v>45856</v>
      </c>
      <c r="N370" s="3619">
        <v>45859</v>
      </c>
      <c r="O370" s="3618" t="s">
        <v>7215</v>
      </c>
      <c r="P370" s="959" t="s">
        <v>82</v>
      </c>
      <c r="Q370" s="959"/>
      <c r="R370" s="959"/>
      <c r="S370" s="959"/>
      <c r="T370" s="4053"/>
      <c r="U370" s="3620" t="s">
        <v>220</v>
      </c>
      <c r="V370" s="3649" t="s">
        <v>1484</v>
      </c>
      <c r="W370" s="3695"/>
      <c r="X370" s="3695" t="s">
        <v>98</v>
      </c>
      <c r="Y370" s="4091"/>
      <c r="Z370" s="3618"/>
      <c r="AA370" s="3620" t="s">
        <v>7216</v>
      </c>
      <c r="AB370" s="3624" t="s">
        <v>7217</v>
      </c>
      <c r="AC370" s="4058">
        <v>1.3001</v>
      </c>
      <c r="AD370" s="3618">
        <f t="shared" si="223"/>
        <v>10796.0304</v>
      </c>
      <c r="AE370" s="3633" t="s">
        <v>7221</v>
      </c>
      <c r="AF370" s="959" t="s">
        <v>3520</v>
      </c>
      <c r="AG370" s="3620" t="s">
        <v>416</v>
      </c>
      <c r="AH370" s="3620"/>
      <c r="AI370" s="3620"/>
      <c r="AJ370" s="3620"/>
      <c r="AK370" s="959"/>
      <c r="AL370" s="959">
        <f>I370</f>
        <v>8304</v>
      </c>
      <c r="AM370" s="959"/>
      <c r="AN370" s="959"/>
      <c r="AO370" s="3618"/>
      <c r="AP370" s="3618"/>
      <c r="AQ370" s="3618">
        <f>I370</f>
        <v>8304</v>
      </c>
      <c r="AR370" s="3626"/>
      <c r="AS370" s="3626"/>
      <c r="AT370" s="3626">
        <f>I370</f>
        <v>8304</v>
      </c>
      <c r="AU370" s="3626"/>
      <c r="AV370" s="3626"/>
      <c r="AW370" s="3626"/>
      <c r="AX370" s="3626"/>
      <c r="AY370" s="3626"/>
      <c r="AZ370" s="3626"/>
      <c r="BA370" s="3626"/>
      <c r="BB370" s="3626"/>
      <c r="BC370" s="3626"/>
      <c r="BD370" s="3626"/>
      <c r="BE370" s="3626"/>
      <c r="BF370" s="3626"/>
      <c r="BG370" s="3626"/>
      <c r="BH370" s="3626"/>
      <c r="BI370" s="3626" t="s">
        <v>89</v>
      </c>
      <c r="BJ370" s="3626">
        <f t="shared" si="228"/>
        <v>276.8</v>
      </c>
      <c r="BK370" s="3626">
        <f t="shared" si="229"/>
        <v>1384</v>
      </c>
      <c r="BL370" s="3626">
        <f t="shared" si="230"/>
        <v>1384</v>
      </c>
      <c r="BM370" s="3626">
        <f t="shared" si="231"/>
        <v>1107.2</v>
      </c>
      <c r="BN370" s="3626">
        <f t="shared" si="232"/>
        <v>1384</v>
      </c>
      <c r="BO370" s="4055">
        <f t="shared" si="233"/>
        <v>1384</v>
      </c>
      <c r="BP370" s="3627">
        <f t="shared" si="234"/>
        <v>1384</v>
      </c>
      <c r="BQ370" s="3627">
        <f>SUM(BJ370:BP370)</f>
        <v>8304</v>
      </c>
      <c r="BR370" s="3627">
        <f>I370-BQ370</f>
        <v>0</v>
      </c>
      <c r="BS370" s="4056" t="s">
        <v>4202</v>
      </c>
      <c r="BT370" s="4057">
        <v>45859</v>
      </c>
    </row>
    <row r="371" s="3566" customFormat="1" ht="50" customHeight="1" spans="1:72">
      <c r="A371" s="3635">
        <v>45817</v>
      </c>
      <c r="B371" s="3617" t="s">
        <v>6224</v>
      </c>
      <c r="C371" s="3617" t="s">
        <v>6225</v>
      </c>
      <c r="D371" s="3618">
        <v>4500169371</v>
      </c>
      <c r="E371" s="959" t="s">
        <v>7222</v>
      </c>
      <c r="F371" s="959" t="s">
        <v>7223</v>
      </c>
      <c r="G371" s="959" t="s">
        <v>6228</v>
      </c>
      <c r="H371" s="3618" t="s">
        <v>6063</v>
      </c>
      <c r="I371" s="3618">
        <v>1128</v>
      </c>
      <c r="J371" s="3618">
        <v>0</v>
      </c>
      <c r="K371" s="3618">
        <v>6</v>
      </c>
      <c r="L371" s="4052">
        <f t="shared" si="227"/>
        <v>188</v>
      </c>
      <c r="M371" s="3619">
        <v>45862</v>
      </c>
      <c r="N371" s="3619">
        <v>45863</v>
      </c>
      <c r="O371" s="3618"/>
      <c r="P371" s="959" t="s">
        <v>82</v>
      </c>
      <c r="Q371" s="959"/>
      <c r="R371" s="959"/>
      <c r="S371" s="959"/>
      <c r="T371" s="4053"/>
      <c r="U371" s="3620" t="s">
        <v>213</v>
      </c>
      <c r="V371" s="3657" t="s">
        <v>2453</v>
      </c>
      <c r="W371" s="3649"/>
      <c r="X371" s="3649" t="s">
        <v>7224</v>
      </c>
      <c r="Y371" s="4091"/>
      <c r="Z371" s="3664"/>
      <c r="AA371" s="3620" t="s">
        <v>7225</v>
      </c>
      <c r="AB371" s="3624" t="s">
        <v>424</v>
      </c>
      <c r="AC371" s="4058">
        <v>2.267</v>
      </c>
      <c r="AD371" s="3618">
        <f t="shared" si="223"/>
        <v>2557.176</v>
      </c>
      <c r="AE371" s="3633" t="s">
        <v>7226</v>
      </c>
      <c r="AF371" s="959" t="s">
        <v>6068</v>
      </c>
      <c r="AG371" s="3620" t="s">
        <v>416</v>
      </c>
      <c r="AH371" s="3620"/>
      <c r="AI371" s="3620"/>
      <c r="AJ371" s="3620"/>
      <c r="AK371" s="959"/>
      <c r="AL371" s="959"/>
      <c r="AM371" s="959"/>
      <c r="AN371" s="959">
        <f>I371</f>
        <v>1128</v>
      </c>
      <c r="AO371" s="3618"/>
      <c r="AP371" s="3618"/>
      <c r="AQ371" s="3618">
        <f>I371</f>
        <v>1128</v>
      </c>
      <c r="AR371" s="3626"/>
      <c r="AS371" s="3626"/>
      <c r="AT371" s="3626"/>
      <c r="AU371" s="3626">
        <f>I371</f>
        <v>1128</v>
      </c>
      <c r="AV371" s="3626"/>
      <c r="AW371" s="3626"/>
      <c r="AX371" s="3626"/>
      <c r="AY371" s="3626">
        <f>I371/6</f>
        <v>188</v>
      </c>
      <c r="AZ371" s="3626"/>
      <c r="BA371" s="3626"/>
      <c r="BB371" s="3626"/>
      <c r="BC371" s="3626"/>
      <c r="BD371" s="3626"/>
      <c r="BE371" s="3626"/>
      <c r="BF371" s="3626"/>
      <c r="BG371" s="3626"/>
      <c r="BH371" s="3626"/>
      <c r="BI371" s="3626" t="s">
        <v>89</v>
      </c>
      <c r="BJ371" s="3626">
        <f t="shared" si="228"/>
        <v>37.6</v>
      </c>
      <c r="BK371" s="3626">
        <f t="shared" si="229"/>
        <v>188</v>
      </c>
      <c r="BL371" s="3626">
        <f t="shared" si="230"/>
        <v>188</v>
      </c>
      <c r="BM371" s="3626">
        <f t="shared" si="231"/>
        <v>150.4</v>
      </c>
      <c r="BN371" s="3626">
        <f t="shared" si="232"/>
        <v>188</v>
      </c>
      <c r="BO371" s="4055">
        <f t="shared" si="233"/>
        <v>188</v>
      </c>
      <c r="BP371" s="3627">
        <f t="shared" si="234"/>
        <v>188</v>
      </c>
      <c r="BQ371" s="3627">
        <f>SUM(BJ371:BP371)</f>
        <v>1128</v>
      </c>
      <c r="BR371" s="3627">
        <f>I371-BQ371</f>
        <v>0</v>
      </c>
      <c r="BS371" s="4056" t="s">
        <v>4271</v>
      </c>
      <c r="BT371" s="4057">
        <v>45863</v>
      </c>
    </row>
    <row r="372" s="3566" customFormat="1" ht="50" customHeight="1" spans="1:72">
      <c r="A372" s="3635">
        <v>45821</v>
      </c>
      <c r="B372" s="3617" t="s">
        <v>1641</v>
      </c>
      <c r="C372" s="3617" t="s">
        <v>396</v>
      </c>
      <c r="D372" s="3618">
        <v>4500169971</v>
      </c>
      <c r="E372" s="959" t="s">
        <v>7227</v>
      </c>
      <c r="F372" s="959" t="s">
        <v>7228</v>
      </c>
      <c r="G372" s="959" t="s">
        <v>6091</v>
      </c>
      <c r="H372" s="3618" t="s">
        <v>6092</v>
      </c>
      <c r="I372" s="3618">
        <v>32</v>
      </c>
      <c r="J372" s="3618">
        <v>0</v>
      </c>
      <c r="K372" s="3618">
        <v>32</v>
      </c>
      <c r="L372" s="4052">
        <f t="shared" ref="L372:L379" si="235">I372/K372</f>
        <v>1</v>
      </c>
      <c r="M372" s="3619">
        <v>45856</v>
      </c>
      <c r="N372" s="3619">
        <v>45860</v>
      </c>
      <c r="O372" s="959" t="s">
        <v>7167</v>
      </c>
      <c r="P372" s="959" t="s">
        <v>82</v>
      </c>
      <c r="Q372" s="959"/>
      <c r="R372" s="959"/>
      <c r="S372" s="959"/>
      <c r="T372" s="4053"/>
      <c r="U372" s="3645" t="s">
        <v>1504</v>
      </c>
      <c r="V372" s="3649" t="s">
        <v>1479</v>
      </c>
      <c r="W372" s="3695"/>
      <c r="X372" s="3695" t="s">
        <v>98</v>
      </c>
      <c r="Y372" s="3636" t="s">
        <v>4223</v>
      </c>
      <c r="Z372" s="3618"/>
      <c r="AA372" s="3620" t="s">
        <v>7168</v>
      </c>
      <c r="AB372" s="3624" t="s">
        <v>369</v>
      </c>
      <c r="AC372" s="3618">
        <v>2.3647</v>
      </c>
      <c r="AD372" s="3618">
        <f t="shared" si="223"/>
        <v>75.6704</v>
      </c>
      <c r="AE372" s="3633"/>
      <c r="AF372" s="959" t="s">
        <v>6096</v>
      </c>
      <c r="AG372" s="3620" t="s">
        <v>416</v>
      </c>
      <c r="AH372" s="3620"/>
      <c r="AI372" s="3620"/>
      <c r="AJ372" s="3620"/>
      <c r="AK372" s="959"/>
      <c r="AL372" s="959"/>
      <c r="AM372" s="959">
        <f>I372</f>
        <v>32</v>
      </c>
      <c r="AN372" s="959"/>
      <c r="AO372" s="3618"/>
      <c r="AP372" s="3618">
        <f t="shared" ref="AP372:AP388" si="236">I372</f>
        <v>32</v>
      </c>
      <c r="AQ372" s="3618"/>
      <c r="AR372" s="3626"/>
      <c r="AS372" s="3626"/>
      <c r="AT372" s="3626"/>
      <c r="AU372" s="3626">
        <f t="shared" ref="AU372:AU383" si="237">I372</f>
        <v>32</v>
      </c>
      <c r="AV372" s="3626"/>
      <c r="AW372" s="3626"/>
      <c r="AX372" s="3626"/>
      <c r="AY372" s="3626"/>
      <c r="AZ372" s="3626"/>
      <c r="BA372" s="3626"/>
      <c r="BB372" s="3626"/>
      <c r="BC372" s="3626"/>
      <c r="BD372" s="3626"/>
      <c r="BE372" s="3626"/>
      <c r="BF372" s="3626"/>
      <c r="BG372" s="3626"/>
      <c r="BH372" s="3626"/>
      <c r="BI372" s="3626" t="s">
        <v>89</v>
      </c>
      <c r="BJ372" s="3626"/>
      <c r="BK372" s="3626"/>
      <c r="BL372" s="3626"/>
      <c r="BM372" s="3626"/>
      <c r="BN372" s="3626"/>
      <c r="BO372" s="4055">
        <f>I372</f>
        <v>32</v>
      </c>
      <c r="BP372" s="3627"/>
      <c r="BQ372" s="3627">
        <f t="shared" ref="BQ372:BQ379" si="238">SUM(BJ372:BP372)</f>
        <v>32</v>
      </c>
      <c r="BR372" s="3627">
        <f t="shared" ref="BR372:BR379" si="239">I372-BQ372</f>
        <v>0</v>
      </c>
      <c r="BS372" s="4056" t="s">
        <v>4202</v>
      </c>
      <c r="BT372" s="4057">
        <v>45860</v>
      </c>
    </row>
    <row r="373" s="3566" customFormat="1" ht="50" customHeight="1" spans="1:72">
      <c r="A373" s="3635">
        <v>45821</v>
      </c>
      <c r="B373" s="3617" t="s">
        <v>1641</v>
      </c>
      <c r="C373" s="3617" t="s">
        <v>396</v>
      </c>
      <c r="D373" s="3618">
        <v>4500169971</v>
      </c>
      <c r="E373" s="959" t="s">
        <v>7229</v>
      </c>
      <c r="F373" s="959" t="s">
        <v>7230</v>
      </c>
      <c r="G373" s="959" t="s">
        <v>6091</v>
      </c>
      <c r="H373" s="3618" t="s">
        <v>6092</v>
      </c>
      <c r="I373" s="3618">
        <v>32</v>
      </c>
      <c r="J373" s="3618">
        <v>0</v>
      </c>
      <c r="K373" s="3618">
        <v>32</v>
      </c>
      <c r="L373" s="4052">
        <f t="shared" si="235"/>
        <v>1</v>
      </c>
      <c r="M373" s="3619">
        <v>45856</v>
      </c>
      <c r="N373" s="3619">
        <v>45860</v>
      </c>
      <c r="O373" s="959" t="s">
        <v>7167</v>
      </c>
      <c r="P373" s="959" t="s">
        <v>82</v>
      </c>
      <c r="Q373" s="959"/>
      <c r="R373" s="959"/>
      <c r="S373" s="959"/>
      <c r="T373" s="4053"/>
      <c r="U373" s="3645" t="s">
        <v>1504</v>
      </c>
      <c r="V373" s="3649" t="s">
        <v>1479</v>
      </c>
      <c r="W373" s="3695"/>
      <c r="X373" s="3695" t="s">
        <v>98</v>
      </c>
      <c r="Y373" s="3636" t="s">
        <v>4223</v>
      </c>
      <c r="Z373" s="3618"/>
      <c r="AA373" s="3620" t="s">
        <v>7168</v>
      </c>
      <c r="AB373" s="3624" t="s">
        <v>369</v>
      </c>
      <c r="AC373" s="3618">
        <v>2.3647</v>
      </c>
      <c r="AD373" s="3618">
        <f t="shared" si="223"/>
        <v>75.6704</v>
      </c>
      <c r="AE373" s="3633"/>
      <c r="AF373" s="959" t="s">
        <v>6096</v>
      </c>
      <c r="AG373" s="3620" t="s">
        <v>416</v>
      </c>
      <c r="AH373" s="3620"/>
      <c r="AI373" s="3620"/>
      <c r="AJ373" s="3620"/>
      <c r="AK373" s="959"/>
      <c r="AL373" s="959"/>
      <c r="AM373" s="959">
        <f t="shared" ref="AM373:AM380" si="240">I373</f>
        <v>32</v>
      </c>
      <c r="AN373" s="959"/>
      <c r="AO373" s="3618"/>
      <c r="AP373" s="3618">
        <f t="shared" si="236"/>
        <v>32</v>
      </c>
      <c r="AQ373" s="3618"/>
      <c r="AR373" s="3626"/>
      <c r="AS373" s="3626"/>
      <c r="AT373" s="3626"/>
      <c r="AU373" s="3626">
        <f t="shared" si="237"/>
        <v>32</v>
      </c>
      <c r="AV373" s="3626"/>
      <c r="AW373" s="3626"/>
      <c r="AX373" s="3626"/>
      <c r="AY373" s="3626"/>
      <c r="AZ373" s="3626"/>
      <c r="BA373" s="3626"/>
      <c r="BB373" s="3626"/>
      <c r="BC373" s="3626"/>
      <c r="BD373" s="3626"/>
      <c r="BE373" s="3626"/>
      <c r="BF373" s="3626"/>
      <c r="BG373" s="3626"/>
      <c r="BH373" s="3626"/>
      <c r="BI373" s="3626" t="s">
        <v>89</v>
      </c>
      <c r="BJ373" s="3626"/>
      <c r="BK373" s="3626"/>
      <c r="BL373" s="3626"/>
      <c r="BM373" s="3626"/>
      <c r="BN373" s="3626"/>
      <c r="BO373" s="4055">
        <f>I373</f>
        <v>32</v>
      </c>
      <c r="BP373" s="3627"/>
      <c r="BQ373" s="3627">
        <f t="shared" si="238"/>
        <v>32</v>
      </c>
      <c r="BR373" s="3627">
        <f t="shared" si="239"/>
        <v>0</v>
      </c>
      <c r="BS373" s="4056" t="s">
        <v>4202</v>
      </c>
      <c r="BT373" s="4057">
        <v>45860</v>
      </c>
    </row>
    <row r="374" s="3566" customFormat="1" ht="50" customHeight="1" spans="1:72">
      <c r="A374" s="3635">
        <v>45821</v>
      </c>
      <c r="B374" s="3617" t="s">
        <v>1641</v>
      </c>
      <c r="C374" s="3617" t="s">
        <v>396</v>
      </c>
      <c r="D374" s="3618">
        <v>4500169971</v>
      </c>
      <c r="E374" s="959" t="s">
        <v>7231</v>
      </c>
      <c r="F374" s="959" t="s">
        <v>7232</v>
      </c>
      <c r="G374" s="959" t="s">
        <v>6091</v>
      </c>
      <c r="H374" s="3618" t="s">
        <v>6092</v>
      </c>
      <c r="I374" s="3618">
        <v>32</v>
      </c>
      <c r="J374" s="3618">
        <v>0</v>
      </c>
      <c r="K374" s="3618">
        <v>32</v>
      </c>
      <c r="L374" s="4052">
        <f t="shared" si="235"/>
        <v>1</v>
      </c>
      <c r="M374" s="3619">
        <v>45856</v>
      </c>
      <c r="N374" s="3619">
        <v>45860</v>
      </c>
      <c r="O374" s="959" t="s">
        <v>7167</v>
      </c>
      <c r="P374" s="959" t="s">
        <v>82</v>
      </c>
      <c r="Q374" s="959"/>
      <c r="R374" s="959"/>
      <c r="S374" s="959"/>
      <c r="T374" s="4053"/>
      <c r="U374" s="3645" t="s">
        <v>1504</v>
      </c>
      <c r="V374" s="3649" t="s">
        <v>1479</v>
      </c>
      <c r="W374" s="3695"/>
      <c r="X374" s="3695" t="s">
        <v>98</v>
      </c>
      <c r="Y374" s="3636" t="s">
        <v>4223</v>
      </c>
      <c r="Z374" s="3618"/>
      <c r="AA374" s="3620" t="s">
        <v>7168</v>
      </c>
      <c r="AB374" s="3624" t="s">
        <v>369</v>
      </c>
      <c r="AC374" s="3618">
        <v>2.3647</v>
      </c>
      <c r="AD374" s="3618">
        <f t="shared" si="223"/>
        <v>75.6704</v>
      </c>
      <c r="AE374" s="3633"/>
      <c r="AF374" s="959" t="s">
        <v>6096</v>
      </c>
      <c r="AG374" s="3620" t="s">
        <v>416</v>
      </c>
      <c r="AH374" s="3620"/>
      <c r="AI374" s="3620"/>
      <c r="AJ374" s="3620"/>
      <c r="AK374" s="959"/>
      <c r="AL374" s="959"/>
      <c r="AM374" s="959">
        <f t="shared" si="240"/>
        <v>32</v>
      </c>
      <c r="AN374" s="959"/>
      <c r="AO374" s="3618"/>
      <c r="AP374" s="3618">
        <f t="shared" si="236"/>
        <v>32</v>
      </c>
      <c r="AQ374" s="3618"/>
      <c r="AR374" s="3626"/>
      <c r="AS374" s="3626"/>
      <c r="AT374" s="3626"/>
      <c r="AU374" s="3626">
        <f t="shared" si="237"/>
        <v>32</v>
      </c>
      <c r="AV374" s="3626"/>
      <c r="AW374" s="3626"/>
      <c r="AX374" s="3626"/>
      <c r="AY374" s="3626"/>
      <c r="AZ374" s="3626"/>
      <c r="BA374" s="3626"/>
      <c r="BB374" s="3626"/>
      <c r="BC374" s="3626"/>
      <c r="BD374" s="3626"/>
      <c r="BE374" s="3626"/>
      <c r="BF374" s="3626"/>
      <c r="BG374" s="3626"/>
      <c r="BH374" s="3626"/>
      <c r="BI374" s="3626" t="s">
        <v>89</v>
      </c>
      <c r="BJ374" s="3626"/>
      <c r="BK374" s="3626"/>
      <c r="BL374" s="3626"/>
      <c r="BM374" s="3626"/>
      <c r="BN374" s="3626"/>
      <c r="BO374" s="4055">
        <f>I374</f>
        <v>32</v>
      </c>
      <c r="BP374" s="3627"/>
      <c r="BQ374" s="3627">
        <f t="shared" si="238"/>
        <v>32</v>
      </c>
      <c r="BR374" s="3627">
        <f t="shared" si="239"/>
        <v>0</v>
      </c>
      <c r="BS374" s="4056" t="s">
        <v>4202</v>
      </c>
      <c r="BT374" s="4057">
        <v>45860</v>
      </c>
    </row>
    <row r="375" s="3566" customFormat="1" ht="50" customHeight="1" spans="1:72">
      <c r="A375" s="3635">
        <v>45821</v>
      </c>
      <c r="B375" s="3617" t="s">
        <v>1641</v>
      </c>
      <c r="C375" s="3617" t="s">
        <v>396</v>
      </c>
      <c r="D375" s="3618">
        <v>4500169971</v>
      </c>
      <c r="E375" s="959" t="s">
        <v>7233</v>
      </c>
      <c r="F375" s="959" t="s">
        <v>7234</v>
      </c>
      <c r="G375" s="959" t="s">
        <v>7185</v>
      </c>
      <c r="H375" s="3618" t="s">
        <v>6242</v>
      </c>
      <c r="I375" s="3618">
        <v>32</v>
      </c>
      <c r="J375" s="3618">
        <v>0</v>
      </c>
      <c r="K375" s="3618">
        <v>32</v>
      </c>
      <c r="L375" s="4052">
        <f t="shared" si="235"/>
        <v>1</v>
      </c>
      <c r="M375" s="3619">
        <v>45856</v>
      </c>
      <c r="N375" s="3619">
        <v>45860</v>
      </c>
      <c r="O375" s="959" t="s">
        <v>7167</v>
      </c>
      <c r="P375" s="959" t="s">
        <v>82</v>
      </c>
      <c r="Q375" s="959"/>
      <c r="R375" s="959"/>
      <c r="S375" s="959"/>
      <c r="T375" s="4053"/>
      <c r="U375" s="3645" t="s">
        <v>1504</v>
      </c>
      <c r="V375" s="3649" t="s">
        <v>1479</v>
      </c>
      <c r="W375" s="3695"/>
      <c r="X375" s="3695" t="s">
        <v>98</v>
      </c>
      <c r="Y375" s="3636" t="s">
        <v>4223</v>
      </c>
      <c r="Z375" s="3618"/>
      <c r="AA375" s="3620" t="s">
        <v>7168</v>
      </c>
      <c r="AB375" s="3624" t="s">
        <v>369</v>
      </c>
      <c r="AC375" s="3618">
        <v>2.3647</v>
      </c>
      <c r="AD375" s="3618">
        <f t="shared" si="223"/>
        <v>75.6704</v>
      </c>
      <c r="AE375" s="3633"/>
      <c r="AF375" s="959" t="s">
        <v>7186</v>
      </c>
      <c r="AG375" s="3620" t="s">
        <v>416</v>
      </c>
      <c r="AH375" s="3620"/>
      <c r="AI375" s="3620"/>
      <c r="AJ375" s="3620"/>
      <c r="AK375" s="959"/>
      <c r="AL375" s="959"/>
      <c r="AM375" s="959">
        <f t="shared" si="240"/>
        <v>32</v>
      </c>
      <c r="AN375" s="959"/>
      <c r="AO375" s="3618"/>
      <c r="AP375" s="3618">
        <f t="shared" si="236"/>
        <v>32</v>
      </c>
      <c r="AQ375" s="3618"/>
      <c r="AR375" s="3626"/>
      <c r="AS375" s="3626"/>
      <c r="AT375" s="3626"/>
      <c r="AU375" s="3626">
        <f t="shared" si="237"/>
        <v>32</v>
      </c>
      <c r="AV375" s="3626"/>
      <c r="AW375" s="3626"/>
      <c r="AX375" s="3626"/>
      <c r="AY375" s="3626"/>
      <c r="AZ375" s="3626"/>
      <c r="BA375" s="3626"/>
      <c r="BB375" s="3626"/>
      <c r="BC375" s="3626"/>
      <c r="BD375" s="3626"/>
      <c r="BE375" s="3626"/>
      <c r="BF375" s="3626"/>
      <c r="BG375" s="3626"/>
      <c r="BH375" s="3626"/>
      <c r="BI375" s="3626" t="s">
        <v>89</v>
      </c>
      <c r="BJ375" s="3626"/>
      <c r="BK375" s="3626"/>
      <c r="BL375" s="3626"/>
      <c r="BM375" s="3626"/>
      <c r="BN375" s="3626">
        <f>I375</f>
        <v>32</v>
      </c>
      <c r="BO375" s="4055"/>
      <c r="BP375" s="3627"/>
      <c r="BQ375" s="3627">
        <f t="shared" si="238"/>
        <v>32</v>
      </c>
      <c r="BR375" s="3627">
        <f t="shared" si="239"/>
        <v>0</v>
      </c>
      <c r="BS375" s="4056" t="s">
        <v>4202</v>
      </c>
      <c r="BT375" s="4057">
        <v>45860</v>
      </c>
    </row>
    <row r="376" s="3566" customFormat="1" ht="50" customHeight="1" spans="1:72">
      <c r="A376" s="3635">
        <v>45821</v>
      </c>
      <c r="B376" s="3617" t="s">
        <v>1641</v>
      </c>
      <c r="C376" s="3617" t="s">
        <v>396</v>
      </c>
      <c r="D376" s="3618">
        <v>4500169971</v>
      </c>
      <c r="E376" s="959" t="s">
        <v>7235</v>
      </c>
      <c r="F376" s="959" t="s">
        <v>7236</v>
      </c>
      <c r="G376" s="959" t="s">
        <v>7185</v>
      </c>
      <c r="H376" s="3618" t="s">
        <v>6242</v>
      </c>
      <c r="I376" s="3618">
        <v>32</v>
      </c>
      <c r="J376" s="3618">
        <v>0</v>
      </c>
      <c r="K376" s="3618">
        <v>32</v>
      </c>
      <c r="L376" s="4052">
        <f t="shared" si="235"/>
        <v>1</v>
      </c>
      <c r="M376" s="3619">
        <v>45856</v>
      </c>
      <c r="N376" s="3619">
        <v>45860</v>
      </c>
      <c r="O376" s="959" t="s">
        <v>7167</v>
      </c>
      <c r="P376" s="959" t="s">
        <v>82</v>
      </c>
      <c r="Q376" s="959"/>
      <c r="R376" s="959"/>
      <c r="S376" s="959"/>
      <c r="T376" s="4053"/>
      <c r="U376" s="3645" t="s">
        <v>1504</v>
      </c>
      <c r="V376" s="3649" t="s">
        <v>1479</v>
      </c>
      <c r="W376" s="3695"/>
      <c r="X376" s="3695" t="s">
        <v>98</v>
      </c>
      <c r="Y376" s="3636" t="s">
        <v>4223</v>
      </c>
      <c r="Z376" s="3618"/>
      <c r="AA376" s="3620" t="s">
        <v>7168</v>
      </c>
      <c r="AB376" s="3624" t="s">
        <v>369</v>
      </c>
      <c r="AC376" s="3618">
        <v>2.3647</v>
      </c>
      <c r="AD376" s="3618">
        <f t="shared" si="223"/>
        <v>75.6704</v>
      </c>
      <c r="AE376" s="3633"/>
      <c r="AF376" s="959" t="s">
        <v>7186</v>
      </c>
      <c r="AG376" s="3620" t="s">
        <v>416</v>
      </c>
      <c r="AH376" s="3620"/>
      <c r="AI376" s="3620"/>
      <c r="AJ376" s="3620"/>
      <c r="AK376" s="959"/>
      <c r="AL376" s="959"/>
      <c r="AM376" s="959">
        <f t="shared" si="240"/>
        <v>32</v>
      </c>
      <c r="AN376" s="959"/>
      <c r="AO376" s="3618"/>
      <c r="AP376" s="3618">
        <f t="shared" si="236"/>
        <v>32</v>
      </c>
      <c r="AQ376" s="3618"/>
      <c r="AR376" s="3626"/>
      <c r="AS376" s="3626"/>
      <c r="AT376" s="3626"/>
      <c r="AU376" s="3626">
        <f t="shared" si="237"/>
        <v>32</v>
      </c>
      <c r="AV376" s="3626"/>
      <c r="AW376" s="3626"/>
      <c r="AX376" s="3626"/>
      <c r="AY376" s="3626"/>
      <c r="AZ376" s="3626"/>
      <c r="BA376" s="3626"/>
      <c r="BB376" s="3626"/>
      <c r="BC376" s="3626"/>
      <c r="BD376" s="3626"/>
      <c r="BE376" s="3626"/>
      <c r="BF376" s="3626"/>
      <c r="BG376" s="3626"/>
      <c r="BH376" s="3626"/>
      <c r="BI376" s="3626" t="s">
        <v>89</v>
      </c>
      <c r="BJ376" s="3626"/>
      <c r="BK376" s="3626"/>
      <c r="BL376" s="3626"/>
      <c r="BM376" s="3626"/>
      <c r="BN376" s="3626">
        <f>I376</f>
        <v>32</v>
      </c>
      <c r="BO376" s="4055"/>
      <c r="BP376" s="3627"/>
      <c r="BQ376" s="3627">
        <f t="shared" si="238"/>
        <v>32</v>
      </c>
      <c r="BR376" s="3627">
        <f t="shared" si="239"/>
        <v>0</v>
      </c>
      <c r="BS376" s="4056" t="s">
        <v>4202</v>
      </c>
      <c r="BT376" s="4057">
        <v>45860</v>
      </c>
    </row>
    <row r="377" s="3566" customFormat="1" ht="50" customHeight="1" spans="1:72">
      <c r="A377" s="3635">
        <v>45821</v>
      </c>
      <c r="B377" s="3617" t="s">
        <v>1641</v>
      </c>
      <c r="C377" s="3617" t="s">
        <v>396</v>
      </c>
      <c r="D377" s="3618">
        <v>4500169971</v>
      </c>
      <c r="E377" s="959" t="s">
        <v>7237</v>
      </c>
      <c r="F377" s="959" t="s">
        <v>7238</v>
      </c>
      <c r="G377" s="959" t="s">
        <v>7185</v>
      </c>
      <c r="H377" s="3618" t="s">
        <v>6242</v>
      </c>
      <c r="I377" s="3618">
        <v>32</v>
      </c>
      <c r="J377" s="3618">
        <v>0</v>
      </c>
      <c r="K377" s="3618">
        <v>32</v>
      </c>
      <c r="L377" s="4052">
        <f t="shared" si="235"/>
        <v>1</v>
      </c>
      <c r="M377" s="3619">
        <v>45856</v>
      </c>
      <c r="N377" s="3619">
        <v>45860</v>
      </c>
      <c r="O377" s="959" t="s">
        <v>7167</v>
      </c>
      <c r="P377" s="959" t="s">
        <v>82</v>
      </c>
      <c r="Q377" s="959"/>
      <c r="R377" s="959"/>
      <c r="S377" s="959"/>
      <c r="T377" s="4053"/>
      <c r="U377" s="3645" t="s">
        <v>1504</v>
      </c>
      <c r="V377" s="3649" t="s">
        <v>1479</v>
      </c>
      <c r="W377" s="3695"/>
      <c r="X377" s="3695" t="s">
        <v>98</v>
      </c>
      <c r="Y377" s="3636" t="s">
        <v>4223</v>
      </c>
      <c r="Z377" s="3618"/>
      <c r="AA377" s="3620" t="s">
        <v>7168</v>
      </c>
      <c r="AB377" s="3624" t="s">
        <v>369</v>
      </c>
      <c r="AC377" s="3618">
        <v>2.3647</v>
      </c>
      <c r="AD377" s="3618">
        <f t="shared" si="223"/>
        <v>75.6704</v>
      </c>
      <c r="AE377" s="3633"/>
      <c r="AF377" s="959" t="s">
        <v>7186</v>
      </c>
      <c r="AG377" s="3620" t="s">
        <v>416</v>
      </c>
      <c r="AH377" s="3620"/>
      <c r="AI377" s="3620"/>
      <c r="AJ377" s="3620"/>
      <c r="AK377" s="959"/>
      <c r="AL377" s="959"/>
      <c r="AM377" s="959">
        <f t="shared" si="240"/>
        <v>32</v>
      </c>
      <c r="AN377" s="959"/>
      <c r="AO377" s="3618"/>
      <c r="AP377" s="3618">
        <f t="shared" si="236"/>
        <v>32</v>
      </c>
      <c r="AQ377" s="3618"/>
      <c r="AR377" s="3626"/>
      <c r="AS377" s="3626"/>
      <c r="AT377" s="3626"/>
      <c r="AU377" s="3626">
        <f t="shared" si="237"/>
        <v>32</v>
      </c>
      <c r="AV377" s="3626"/>
      <c r="AW377" s="3626"/>
      <c r="AX377" s="3626"/>
      <c r="AY377" s="3626"/>
      <c r="AZ377" s="3626"/>
      <c r="BA377" s="3626"/>
      <c r="BB377" s="3626"/>
      <c r="BC377" s="3626"/>
      <c r="BD377" s="3626"/>
      <c r="BE377" s="3626"/>
      <c r="BF377" s="3626"/>
      <c r="BG377" s="3626"/>
      <c r="BH377" s="3626"/>
      <c r="BI377" s="3626" t="s">
        <v>89</v>
      </c>
      <c r="BJ377" s="3626"/>
      <c r="BK377" s="3626"/>
      <c r="BL377" s="3626"/>
      <c r="BM377" s="3626"/>
      <c r="BN377" s="3626">
        <f>I377</f>
        <v>32</v>
      </c>
      <c r="BO377" s="4055"/>
      <c r="BP377" s="3627"/>
      <c r="BQ377" s="3627">
        <f t="shared" si="238"/>
        <v>32</v>
      </c>
      <c r="BR377" s="3627">
        <f t="shared" si="239"/>
        <v>0</v>
      </c>
      <c r="BS377" s="4056" t="s">
        <v>4202</v>
      </c>
      <c r="BT377" s="4057">
        <v>45860</v>
      </c>
    </row>
    <row r="378" s="3566" customFormat="1" ht="50" customHeight="1" spans="1:72">
      <c r="A378" s="3635">
        <v>45821</v>
      </c>
      <c r="B378" s="3617" t="s">
        <v>1641</v>
      </c>
      <c r="C378" s="3617" t="s">
        <v>396</v>
      </c>
      <c r="D378" s="3618">
        <v>4500169971</v>
      </c>
      <c r="E378" s="959" t="s">
        <v>7239</v>
      </c>
      <c r="F378" s="959" t="s">
        <v>7240</v>
      </c>
      <c r="G378" s="959" t="s">
        <v>7185</v>
      </c>
      <c r="H378" s="3618" t="s">
        <v>6242</v>
      </c>
      <c r="I378" s="3618">
        <v>32</v>
      </c>
      <c r="J378" s="3618">
        <v>0</v>
      </c>
      <c r="K378" s="3618">
        <v>32</v>
      </c>
      <c r="L378" s="4052">
        <f t="shared" si="235"/>
        <v>1</v>
      </c>
      <c r="M378" s="3619">
        <v>45856</v>
      </c>
      <c r="N378" s="3619">
        <v>45860</v>
      </c>
      <c r="O378" s="959" t="s">
        <v>7167</v>
      </c>
      <c r="P378" s="959" t="s">
        <v>82</v>
      </c>
      <c r="Q378" s="959"/>
      <c r="R378" s="959"/>
      <c r="S378" s="959"/>
      <c r="T378" s="4053"/>
      <c r="U378" s="3645" t="s">
        <v>1504</v>
      </c>
      <c r="V378" s="3649" t="s">
        <v>1479</v>
      </c>
      <c r="W378" s="3695"/>
      <c r="X378" s="3695" t="s">
        <v>98</v>
      </c>
      <c r="Y378" s="3636" t="s">
        <v>4223</v>
      </c>
      <c r="Z378" s="3618"/>
      <c r="AA378" s="3620" t="s">
        <v>7168</v>
      </c>
      <c r="AB378" s="3624" t="s">
        <v>369</v>
      </c>
      <c r="AC378" s="3618">
        <v>2.3647</v>
      </c>
      <c r="AD378" s="3618">
        <f t="shared" si="223"/>
        <v>75.6704</v>
      </c>
      <c r="AE378" s="3633"/>
      <c r="AF378" s="959" t="s">
        <v>7186</v>
      </c>
      <c r="AG378" s="3620" t="s">
        <v>416</v>
      </c>
      <c r="AH378" s="3620"/>
      <c r="AI378" s="3620"/>
      <c r="AJ378" s="3620"/>
      <c r="AK378" s="959"/>
      <c r="AL378" s="959"/>
      <c r="AM378" s="959">
        <f t="shared" si="240"/>
        <v>32</v>
      </c>
      <c r="AN378" s="959"/>
      <c r="AO378" s="3618"/>
      <c r="AP378" s="3618">
        <f t="shared" si="236"/>
        <v>32</v>
      </c>
      <c r="AQ378" s="3618"/>
      <c r="AR378" s="3626"/>
      <c r="AS378" s="3626"/>
      <c r="AT378" s="3626"/>
      <c r="AU378" s="3626">
        <f t="shared" si="237"/>
        <v>32</v>
      </c>
      <c r="AV378" s="3626"/>
      <c r="AW378" s="3626"/>
      <c r="AX378" s="3626"/>
      <c r="AY378" s="3626"/>
      <c r="AZ378" s="3626"/>
      <c r="BA378" s="3626"/>
      <c r="BB378" s="3626"/>
      <c r="BC378" s="3626"/>
      <c r="BD378" s="3626"/>
      <c r="BE378" s="3626"/>
      <c r="BF378" s="3626"/>
      <c r="BG378" s="3626"/>
      <c r="BH378" s="3626"/>
      <c r="BI378" s="3626" t="s">
        <v>89</v>
      </c>
      <c r="BJ378" s="3626"/>
      <c r="BK378" s="3626"/>
      <c r="BL378" s="3626"/>
      <c r="BM378" s="3626"/>
      <c r="BN378" s="3626">
        <f>I378</f>
        <v>32</v>
      </c>
      <c r="BO378" s="4055"/>
      <c r="BP378" s="3627"/>
      <c r="BQ378" s="3627">
        <f t="shared" si="238"/>
        <v>32</v>
      </c>
      <c r="BR378" s="3627">
        <f t="shared" si="239"/>
        <v>0</v>
      </c>
      <c r="BS378" s="4056" t="s">
        <v>4202</v>
      </c>
      <c r="BT378" s="4057">
        <v>45860</v>
      </c>
    </row>
    <row r="379" s="3566" customFormat="1" ht="50" customHeight="1" spans="1:72">
      <c r="A379" s="3635">
        <v>45821</v>
      </c>
      <c r="B379" s="3617" t="s">
        <v>1641</v>
      </c>
      <c r="C379" s="3617" t="s">
        <v>396</v>
      </c>
      <c r="D379" s="3618">
        <v>4500169971</v>
      </c>
      <c r="E379" s="959" t="s">
        <v>7241</v>
      </c>
      <c r="F379" s="959" t="s">
        <v>7242</v>
      </c>
      <c r="G379" s="959" t="s">
        <v>7185</v>
      </c>
      <c r="H379" s="3618" t="s">
        <v>6242</v>
      </c>
      <c r="I379" s="3618">
        <v>32</v>
      </c>
      <c r="J379" s="3618">
        <v>0</v>
      </c>
      <c r="K379" s="3618">
        <v>32</v>
      </c>
      <c r="L379" s="4052">
        <f t="shared" si="235"/>
        <v>1</v>
      </c>
      <c r="M379" s="3619">
        <v>45856</v>
      </c>
      <c r="N379" s="3619">
        <v>45860</v>
      </c>
      <c r="O379" s="959" t="s">
        <v>7167</v>
      </c>
      <c r="P379" s="959" t="s">
        <v>82</v>
      </c>
      <c r="Q379" s="959"/>
      <c r="R379" s="959"/>
      <c r="S379" s="959"/>
      <c r="T379" s="4053"/>
      <c r="U379" s="3645" t="s">
        <v>1504</v>
      </c>
      <c r="V379" s="3649" t="s">
        <v>1479</v>
      </c>
      <c r="W379" s="3695"/>
      <c r="X379" s="3695" t="s">
        <v>98</v>
      </c>
      <c r="Y379" s="3636" t="s">
        <v>4223</v>
      </c>
      <c r="Z379" s="3618"/>
      <c r="AA379" s="3620" t="s">
        <v>7168</v>
      </c>
      <c r="AB379" s="3624" t="s">
        <v>369</v>
      </c>
      <c r="AC379" s="3618">
        <v>2.3647</v>
      </c>
      <c r="AD379" s="3618">
        <f t="shared" si="223"/>
        <v>75.6704</v>
      </c>
      <c r="AE379" s="3633"/>
      <c r="AF379" s="959" t="s">
        <v>7186</v>
      </c>
      <c r="AG379" s="3620" t="s">
        <v>416</v>
      </c>
      <c r="AH379" s="3620"/>
      <c r="AI379" s="3620"/>
      <c r="AJ379" s="3620"/>
      <c r="AK379" s="959"/>
      <c r="AL379" s="959"/>
      <c r="AM379" s="959">
        <f t="shared" si="240"/>
        <v>32</v>
      </c>
      <c r="AN379" s="959"/>
      <c r="AO379" s="3618"/>
      <c r="AP379" s="3618">
        <f t="shared" si="236"/>
        <v>32</v>
      </c>
      <c r="AQ379" s="3618"/>
      <c r="AR379" s="3626"/>
      <c r="AS379" s="3626"/>
      <c r="AT379" s="3626"/>
      <c r="AU379" s="3626">
        <f t="shared" si="237"/>
        <v>32</v>
      </c>
      <c r="AV379" s="3626"/>
      <c r="AW379" s="3626"/>
      <c r="AX379" s="3626"/>
      <c r="AY379" s="3626"/>
      <c r="AZ379" s="3626"/>
      <c r="BA379" s="3626"/>
      <c r="BB379" s="3626"/>
      <c r="BC379" s="3626"/>
      <c r="BD379" s="3626"/>
      <c r="BE379" s="3626"/>
      <c r="BF379" s="3626"/>
      <c r="BG379" s="3626"/>
      <c r="BH379" s="3626"/>
      <c r="BI379" s="3626" t="s">
        <v>89</v>
      </c>
      <c r="BJ379" s="3626"/>
      <c r="BK379" s="3626"/>
      <c r="BL379" s="3626"/>
      <c r="BM379" s="3626"/>
      <c r="BN379" s="3626">
        <f>I379</f>
        <v>32</v>
      </c>
      <c r="BO379" s="4055"/>
      <c r="BP379" s="3627"/>
      <c r="BQ379" s="3627">
        <f t="shared" si="238"/>
        <v>32</v>
      </c>
      <c r="BR379" s="3627">
        <f t="shared" si="239"/>
        <v>0</v>
      </c>
      <c r="BS379" s="4056" t="s">
        <v>4202</v>
      </c>
      <c r="BT379" s="4057">
        <v>45860</v>
      </c>
    </row>
    <row r="380" s="3566" customFormat="1" ht="50" customHeight="1" spans="1:72">
      <c r="A380" s="3635">
        <v>45824</v>
      </c>
      <c r="B380" s="3617" t="s">
        <v>1641</v>
      </c>
      <c r="C380" s="3617" t="s">
        <v>396</v>
      </c>
      <c r="D380" s="3618">
        <v>4500170146</v>
      </c>
      <c r="E380" s="959" t="s">
        <v>7243</v>
      </c>
      <c r="F380" s="959" t="s">
        <v>7244</v>
      </c>
      <c r="G380" s="959" t="s">
        <v>6091</v>
      </c>
      <c r="H380" s="3618" t="s">
        <v>6092</v>
      </c>
      <c r="I380" s="3618">
        <v>32</v>
      </c>
      <c r="J380" s="3618">
        <v>0</v>
      </c>
      <c r="K380" s="3618">
        <v>32</v>
      </c>
      <c r="L380" s="4052">
        <v>1</v>
      </c>
      <c r="M380" s="3619">
        <v>45859</v>
      </c>
      <c r="N380" s="3619">
        <v>45860</v>
      </c>
      <c r="O380" s="3664" t="s">
        <v>7167</v>
      </c>
      <c r="P380" s="959" t="s">
        <v>82</v>
      </c>
      <c r="Q380" s="959"/>
      <c r="R380" s="959"/>
      <c r="S380" s="959"/>
      <c r="T380" s="4053"/>
      <c r="U380" s="3645" t="s">
        <v>1504</v>
      </c>
      <c r="V380" s="3649" t="s">
        <v>4276</v>
      </c>
      <c r="W380" s="3649"/>
      <c r="X380" s="3657" t="s">
        <v>98</v>
      </c>
      <c r="Y380" s="3657" t="s">
        <v>4223</v>
      </c>
      <c r="Z380" s="3664"/>
      <c r="AA380" s="3620" t="s">
        <v>7245</v>
      </c>
      <c r="AB380" s="3624" t="s">
        <v>369</v>
      </c>
      <c r="AC380" s="3618">
        <v>2.2482</v>
      </c>
      <c r="AD380" s="3618">
        <f t="shared" si="223"/>
        <v>71.9424</v>
      </c>
      <c r="AE380" s="3633"/>
      <c r="AF380" s="959" t="s">
        <v>6096</v>
      </c>
      <c r="AG380" s="3620" t="s">
        <v>416</v>
      </c>
      <c r="AH380" s="3620"/>
      <c r="AI380" s="3620"/>
      <c r="AJ380" s="3620"/>
      <c r="AK380" s="959"/>
      <c r="AL380" s="959"/>
      <c r="AM380" s="959">
        <f t="shared" si="240"/>
        <v>32</v>
      </c>
      <c r="AN380" s="959"/>
      <c r="AO380" s="3618"/>
      <c r="AP380" s="3618">
        <f t="shared" si="236"/>
        <v>32</v>
      </c>
      <c r="AQ380" s="3618"/>
      <c r="AR380" s="3626"/>
      <c r="AS380" s="3626"/>
      <c r="AT380" s="3626"/>
      <c r="AU380" s="3626">
        <f t="shared" si="237"/>
        <v>32</v>
      </c>
      <c r="AV380" s="3626"/>
      <c r="AW380" s="3626"/>
      <c r="AX380" s="3626"/>
      <c r="AY380" s="3626"/>
      <c r="AZ380" s="3626"/>
      <c r="BA380" s="3626"/>
      <c r="BB380" s="3626"/>
      <c r="BC380" s="3626"/>
      <c r="BD380" s="3626"/>
      <c r="BE380" s="3626"/>
      <c r="BF380" s="3626"/>
      <c r="BG380" s="3626"/>
      <c r="BH380" s="3626"/>
      <c r="BI380" s="3626" t="s">
        <v>89</v>
      </c>
      <c r="BJ380" s="3626"/>
      <c r="BK380" s="3626"/>
      <c r="BL380" s="3626"/>
      <c r="BM380" s="3626"/>
      <c r="BN380" s="3626"/>
      <c r="BO380" s="4055">
        <f>I380</f>
        <v>32</v>
      </c>
      <c r="BP380" s="3627"/>
      <c r="BQ380" s="3627">
        <f t="shared" ref="BQ380:BQ443" si="241">SUM(BJ380:BP380)</f>
        <v>32</v>
      </c>
      <c r="BR380" s="3627">
        <f t="shared" ref="BR380:BR443" si="242">I380-BQ380</f>
        <v>0</v>
      </c>
      <c r="BS380" s="4056" t="s">
        <v>4338</v>
      </c>
      <c r="BT380" s="4057">
        <v>45860</v>
      </c>
    </row>
    <row r="381" s="3566" customFormat="1" ht="50" customHeight="1" spans="1:72">
      <c r="A381" s="3635">
        <v>45824</v>
      </c>
      <c r="B381" s="3617" t="s">
        <v>1641</v>
      </c>
      <c r="C381" s="3617" t="s">
        <v>396</v>
      </c>
      <c r="D381" s="3618">
        <v>4500170146</v>
      </c>
      <c r="E381" s="959" t="s">
        <v>7246</v>
      </c>
      <c r="F381" s="959" t="s">
        <v>7247</v>
      </c>
      <c r="G381" s="959" t="s">
        <v>6091</v>
      </c>
      <c r="H381" s="3618" t="s">
        <v>6092</v>
      </c>
      <c r="I381" s="3618">
        <v>32</v>
      </c>
      <c r="J381" s="3618">
        <v>0</v>
      </c>
      <c r="K381" s="3618">
        <v>32</v>
      </c>
      <c r="L381" s="4052">
        <v>1</v>
      </c>
      <c r="M381" s="3619">
        <v>45859</v>
      </c>
      <c r="N381" s="3619">
        <v>45860</v>
      </c>
      <c r="O381" s="3664" t="s">
        <v>7167</v>
      </c>
      <c r="P381" s="959" t="s">
        <v>82</v>
      </c>
      <c r="Q381" s="959"/>
      <c r="R381" s="959"/>
      <c r="S381" s="959"/>
      <c r="T381" s="4053"/>
      <c r="U381" s="3645" t="s">
        <v>1504</v>
      </c>
      <c r="V381" s="3649" t="s">
        <v>4276</v>
      </c>
      <c r="W381" s="3649"/>
      <c r="X381" s="3657" t="s">
        <v>98</v>
      </c>
      <c r="Y381" s="3657" t="s">
        <v>4223</v>
      </c>
      <c r="Z381" s="3664"/>
      <c r="AA381" s="3620" t="s">
        <v>7245</v>
      </c>
      <c r="AB381" s="3624" t="s">
        <v>369</v>
      </c>
      <c r="AC381" s="3618">
        <v>2.2482</v>
      </c>
      <c r="AD381" s="3618">
        <f t="shared" si="223"/>
        <v>71.9424</v>
      </c>
      <c r="AE381" s="3633"/>
      <c r="AF381" s="959" t="s">
        <v>6096</v>
      </c>
      <c r="AG381" s="3620" t="s">
        <v>416</v>
      </c>
      <c r="AH381" s="3620"/>
      <c r="AI381" s="3620"/>
      <c r="AJ381" s="3620"/>
      <c r="AK381" s="959"/>
      <c r="AL381" s="959"/>
      <c r="AM381" s="959">
        <f t="shared" ref="AM381:AM388" si="243">I381</f>
        <v>32</v>
      </c>
      <c r="AN381" s="959"/>
      <c r="AO381" s="3618"/>
      <c r="AP381" s="3618">
        <f t="shared" si="236"/>
        <v>32</v>
      </c>
      <c r="AQ381" s="3618"/>
      <c r="AR381" s="3626"/>
      <c r="AS381" s="3626"/>
      <c r="AT381" s="3626"/>
      <c r="AU381" s="3626">
        <f t="shared" si="237"/>
        <v>32</v>
      </c>
      <c r="AV381" s="3626"/>
      <c r="AW381" s="3626"/>
      <c r="AX381" s="3626"/>
      <c r="AY381" s="3626"/>
      <c r="AZ381" s="3626"/>
      <c r="BA381" s="3626"/>
      <c r="BB381" s="3626"/>
      <c r="BC381" s="3626"/>
      <c r="BD381" s="3626"/>
      <c r="BE381" s="3626"/>
      <c r="BF381" s="3626"/>
      <c r="BG381" s="3626"/>
      <c r="BH381" s="3626"/>
      <c r="BI381" s="3626" t="s">
        <v>89</v>
      </c>
      <c r="BJ381" s="3626"/>
      <c r="BK381" s="3626"/>
      <c r="BL381" s="3626"/>
      <c r="BM381" s="3626"/>
      <c r="BN381" s="3626"/>
      <c r="BO381" s="4055">
        <f>I381</f>
        <v>32</v>
      </c>
      <c r="BP381" s="3627"/>
      <c r="BQ381" s="3627">
        <f t="shared" si="241"/>
        <v>32</v>
      </c>
      <c r="BR381" s="3627">
        <f t="shared" si="242"/>
        <v>0</v>
      </c>
      <c r="BS381" s="4056" t="s">
        <v>4338</v>
      </c>
      <c r="BT381" s="4057">
        <v>45860</v>
      </c>
    </row>
    <row r="382" s="3566" customFormat="1" ht="50" customHeight="1" spans="1:72">
      <c r="A382" s="3635">
        <v>45824</v>
      </c>
      <c r="B382" s="3617" t="s">
        <v>1641</v>
      </c>
      <c r="C382" s="3617" t="s">
        <v>396</v>
      </c>
      <c r="D382" s="3618">
        <v>4500170146</v>
      </c>
      <c r="E382" s="959" t="s">
        <v>7248</v>
      </c>
      <c r="F382" s="959" t="s">
        <v>7249</v>
      </c>
      <c r="G382" s="959" t="s">
        <v>6091</v>
      </c>
      <c r="H382" s="3618" t="s">
        <v>6092</v>
      </c>
      <c r="I382" s="3618">
        <v>32</v>
      </c>
      <c r="J382" s="3618">
        <v>0</v>
      </c>
      <c r="K382" s="3618">
        <v>32</v>
      </c>
      <c r="L382" s="4052">
        <v>1</v>
      </c>
      <c r="M382" s="3619">
        <v>45859</v>
      </c>
      <c r="N382" s="3619">
        <v>45860</v>
      </c>
      <c r="O382" s="3664" t="s">
        <v>7167</v>
      </c>
      <c r="P382" s="959" t="s">
        <v>82</v>
      </c>
      <c r="Q382" s="959"/>
      <c r="R382" s="959"/>
      <c r="S382" s="959"/>
      <c r="T382" s="4053"/>
      <c r="U382" s="3645" t="s">
        <v>1504</v>
      </c>
      <c r="V382" s="3649" t="s">
        <v>4276</v>
      </c>
      <c r="W382" s="3649"/>
      <c r="X382" s="3657" t="s">
        <v>98</v>
      </c>
      <c r="Y382" s="3657" t="s">
        <v>4223</v>
      </c>
      <c r="Z382" s="3664"/>
      <c r="AA382" s="3620" t="s">
        <v>7245</v>
      </c>
      <c r="AB382" s="3624" t="s">
        <v>369</v>
      </c>
      <c r="AC382" s="3618">
        <v>2.2482</v>
      </c>
      <c r="AD382" s="3618">
        <f t="shared" si="223"/>
        <v>71.9424</v>
      </c>
      <c r="AE382" s="3633"/>
      <c r="AF382" s="959" t="s">
        <v>6096</v>
      </c>
      <c r="AG382" s="3620" t="s">
        <v>416</v>
      </c>
      <c r="AH382" s="3620"/>
      <c r="AI382" s="3620"/>
      <c r="AJ382" s="3620"/>
      <c r="AK382" s="959"/>
      <c r="AL382" s="959"/>
      <c r="AM382" s="959">
        <f t="shared" si="243"/>
        <v>32</v>
      </c>
      <c r="AN382" s="959"/>
      <c r="AO382" s="3618"/>
      <c r="AP382" s="3618">
        <f t="shared" si="236"/>
        <v>32</v>
      </c>
      <c r="AQ382" s="3618"/>
      <c r="AR382" s="3626"/>
      <c r="AS382" s="3626"/>
      <c r="AT382" s="3626"/>
      <c r="AU382" s="3626">
        <f t="shared" si="237"/>
        <v>32</v>
      </c>
      <c r="AV382" s="3626"/>
      <c r="AW382" s="3626"/>
      <c r="AX382" s="3626"/>
      <c r="AY382" s="3626"/>
      <c r="AZ382" s="3626"/>
      <c r="BA382" s="3626"/>
      <c r="BB382" s="3626"/>
      <c r="BC382" s="3626"/>
      <c r="BD382" s="3626"/>
      <c r="BE382" s="3626"/>
      <c r="BF382" s="3626"/>
      <c r="BG382" s="3626"/>
      <c r="BH382" s="3626"/>
      <c r="BI382" s="3626" t="s">
        <v>89</v>
      </c>
      <c r="BJ382" s="3626"/>
      <c r="BK382" s="3626"/>
      <c r="BL382" s="3626"/>
      <c r="BM382" s="3626"/>
      <c r="BN382" s="3626"/>
      <c r="BO382" s="4055">
        <f>I382</f>
        <v>32</v>
      </c>
      <c r="BP382" s="3627"/>
      <c r="BQ382" s="3627">
        <f t="shared" si="241"/>
        <v>32</v>
      </c>
      <c r="BR382" s="3627">
        <f t="shared" si="242"/>
        <v>0</v>
      </c>
      <c r="BS382" s="4056" t="s">
        <v>4338</v>
      </c>
      <c r="BT382" s="4057">
        <v>45860</v>
      </c>
    </row>
    <row r="383" s="3566" customFormat="1" ht="50" customHeight="1" spans="1:72">
      <c r="A383" s="3635">
        <v>45824</v>
      </c>
      <c r="B383" s="3617" t="s">
        <v>1641</v>
      </c>
      <c r="C383" s="3617" t="s">
        <v>396</v>
      </c>
      <c r="D383" s="3618">
        <v>4500170146</v>
      </c>
      <c r="E383" s="959" t="s">
        <v>7250</v>
      </c>
      <c r="F383" s="959" t="s">
        <v>7251</v>
      </c>
      <c r="G383" s="959" t="s">
        <v>7185</v>
      </c>
      <c r="H383" s="3618" t="s">
        <v>6242</v>
      </c>
      <c r="I383" s="3618">
        <v>32</v>
      </c>
      <c r="J383" s="3618">
        <v>0</v>
      </c>
      <c r="K383" s="3618">
        <v>32</v>
      </c>
      <c r="L383" s="4052">
        <f>I383/K383</f>
        <v>1</v>
      </c>
      <c r="M383" s="3619">
        <v>45859</v>
      </c>
      <c r="N383" s="3619">
        <v>45860</v>
      </c>
      <c r="O383" s="3664" t="s">
        <v>7167</v>
      </c>
      <c r="P383" s="959" t="s">
        <v>82</v>
      </c>
      <c r="Q383" s="959"/>
      <c r="R383" s="959"/>
      <c r="S383" s="959"/>
      <c r="T383" s="4053"/>
      <c r="U383" s="3645" t="s">
        <v>1504</v>
      </c>
      <c r="V383" s="3649" t="s">
        <v>4276</v>
      </c>
      <c r="W383" s="3649"/>
      <c r="X383" s="3657" t="s">
        <v>98</v>
      </c>
      <c r="Y383" s="3657" t="s">
        <v>4223</v>
      </c>
      <c r="Z383" s="3664"/>
      <c r="AA383" s="3620" t="s">
        <v>7245</v>
      </c>
      <c r="AB383" s="3624" t="s">
        <v>369</v>
      </c>
      <c r="AC383" s="3618">
        <v>2.2482</v>
      </c>
      <c r="AD383" s="3618">
        <f t="shared" si="223"/>
        <v>71.9424</v>
      </c>
      <c r="AE383" s="3633"/>
      <c r="AF383" s="959" t="s">
        <v>7186</v>
      </c>
      <c r="AG383" s="3620" t="s">
        <v>416</v>
      </c>
      <c r="AH383" s="3620"/>
      <c r="AI383" s="3620"/>
      <c r="AJ383" s="3620"/>
      <c r="AK383" s="959"/>
      <c r="AL383" s="959"/>
      <c r="AM383" s="959">
        <f t="shared" si="243"/>
        <v>32</v>
      </c>
      <c r="AN383" s="959"/>
      <c r="AO383" s="3618"/>
      <c r="AP383" s="3618">
        <f t="shared" si="236"/>
        <v>32</v>
      </c>
      <c r="AQ383" s="3618"/>
      <c r="AR383" s="3626"/>
      <c r="AS383" s="3626"/>
      <c r="AT383" s="3626"/>
      <c r="AU383" s="3626">
        <f t="shared" si="237"/>
        <v>32</v>
      </c>
      <c r="AV383" s="3626"/>
      <c r="AW383" s="3626"/>
      <c r="AX383" s="3626"/>
      <c r="AY383" s="3626"/>
      <c r="AZ383" s="3626"/>
      <c r="BA383" s="3626"/>
      <c r="BB383" s="3626"/>
      <c r="BC383" s="3626"/>
      <c r="BD383" s="3626"/>
      <c r="BE383" s="3626"/>
      <c r="BF383" s="3626"/>
      <c r="BG383" s="3626"/>
      <c r="BH383" s="3626"/>
      <c r="BI383" s="3626" t="s">
        <v>89</v>
      </c>
      <c r="BJ383" s="3626"/>
      <c r="BK383" s="3626"/>
      <c r="BL383" s="3626"/>
      <c r="BM383" s="3626"/>
      <c r="BN383" s="3626">
        <f>I383</f>
        <v>32</v>
      </c>
      <c r="BO383" s="4055"/>
      <c r="BP383" s="3627"/>
      <c r="BQ383" s="3627">
        <f t="shared" si="241"/>
        <v>32</v>
      </c>
      <c r="BR383" s="3627">
        <f t="shared" si="242"/>
        <v>0</v>
      </c>
      <c r="BS383" s="4056" t="s">
        <v>4338</v>
      </c>
      <c r="BT383" s="4057">
        <v>45860</v>
      </c>
    </row>
    <row r="384" s="3566" customFormat="1" ht="50" customHeight="1" spans="1:72">
      <c r="A384" s="3635">
        <v>45824</v>
      </c>
      <c r="B384" s="3617" t="s">
        <v>1641</v>
      </c>
      <c r="C384" s="3617" t="s">
        <v>396</v>
      </c>
      <c r="D384" s="3618">
        <v>4500170146</v>
      </c>
      <c r="E384" s="959" t="s">
        <v>7252</v>
      </c>
      <c r="F384" s="959" t="s">
        <v>7253</v>
      </c>
      <c r="G384" s="959" t="s">
        <v>7185</v>
      </c>
      <c r="H384" s="3618" t="s">
        <v>6242</v>
      </c>
      <c r="I384" s="3618">
        <v>32</v>
      </c>
      <c r="J384" s="3618">
        <v>0</v>
      </c>
      <c r="K384" s="3618">
        <v>32</v>
      </c>
      <c r="L384" s="4052">
        <f>I384/K384</f>
        <v>1</v>
      </c>
      <c r="M384" s="3619">
        <v>45859</v>
      </c>
      <c r="N384" s="3619">
        <v>45860</v>
      </c>
      <c r="O384" s="3664" t="s">
        <v>7167</v>
      </c>
      <c r="P384" s="959" t="s">
        <v>82</v>
      </c>
      <c r="Q384" s="959"/>
      <c r="R384" s="959"/>
      <c r="S384" s="959"/>
      <c r="T384" s="4053"/>
      <c r="U384" s="3645" t="s">
        <v>1504</v>
      </c>
      <c r="V384" s="3649" t="s">
        <v>4276</v>
      </c>
      <c r="W384" s="3649"/>
      <c r="X384" s="3657" t="s">
        <v>98</v>
      </c>
      <c r="Y384" s="3657" t="s">
        <v>4223</v>
      </c>
      <c r="Z384" s="3664"/>
      <c r="AA384" s="3620" t="s">
        <v>7245</v>
      </c>
      <c r="AB384" s="3624" t="s">
        <v>369</v>
      </c>
      <c r="AC384" s="3618">
        <v>2.2482</v>
      </c>
      <c r="AD384" s="3618">
        <f t="shared" si="223"/>
        <v>71.9424</v>
      </c>
      <c r="AE384" s="3633"/>
      <c r="AF384" s="959" t="s">
        <v>7186</v>
      </c>
      <c r="AG384" s="3620" t="s">
        <v>416</v>
      </c>
      <c r="AH384" s="3620"/>
      <c r="AI384" s="3620"/>
      <c r="AJ384" s="3620"/>
      <c r="AK384" s="959"/>
      <c r="AL384" s="959"/>
      <c r="AM384" s="959">
        <f t="shared" si="243"/>
        <v>32</v>
      </c>
      <c r="AN384" s="959"/>
      <c r="AO384" s="3618"/>
      <c r="AP384" s="3618">
        <f t="shared" si="236"/>
        <v>32</v>
      </c>
      <c r="AQ384" s="3618"/>
      <c r="AR384" s="3626"/>
      <c r="AS384" s="3626"/>
      <c r="AT384" s="3626"/>
      <c r="AU384" s="3626">
        <f t="shared" ref="AU381:AU387" si="244">I384</f>
        <v>32</v>
      </c>
      <c r="AV384" s="3626"/>
      <c r="AW384" s="3626"/>
      <c r="AX384" s="3626"/>
      <c r="AY384" s="3626"/>
      <c r="AZ384" s="3626"/>
      <c r="BA384" s="3626"/>
      <c r="BB384" s="3626"/>
      <c r="BC384" s="3626"/>
      <c r="BD384" s="3626"/>
      <c r="BE384" s="3626"/>
      <c r="BF384" s="3626"/>
      <c r="BG384" s="3626"/>
      <c r="BH384" s="3626"/>
      <c r="BI384" s="3626" t="s">
        <v>89</v>
      </c>
      <c r="BJ384" s="3626"/>
      <c r="BK384" s="3626"/>
      <c r="BL384" s="3626"/>
      <c r="BM384" s="3626"/>
      <c r="BN384" s="3626">
        <f>I384</f>
        <v>32</v>
      </c>
      <c r="BO384" s="4055"/>
      <c r="BP384" s="3627"/>
      <c r="BQ384" s="3627">
        <f t="shared" si="241"/>
        <v>32</v>
      </c>
      <c r="BR384" s="3627">
        <f t="shared" si="242"/>
        <v>0</v>
      </c>
      <c r="BS384" s="4056" t="s">
        <v>4338</v>
      </c>
      <c r="BT384" s="4057">
        <v>45860</v>
      </c>
    </row>
    <row r="385" s="3566" customFormat="1" ht="50" customHeight="1" spans="1:72">
      <c r="A385" s="3635">
        <v>45824</v>
      </c>
      <c r="B385" s="3617" t="s">
        <v>1641</v>
      </c>
      <c r="C385" s="3617" t="s">
        <v>396</v>
      </c>
      <c r="D385" s="3618">
        <v>4500170146</v>
      </c>
      <c r="E385" s="959" t="s">
        <v>7254</v>
      </c>
      <c r="F385" s="959" t="s">
        <v>7255</v>
      </c>
      <c r="G385" s="959" t="s">
        <v>7185</v>
      </c>
      <c r="H385" s="3618" t="s">
        <v>6242</v>
      </c>
      <c r="I385" s="3618">
        <v>32</v>
      </c>
      <c r="J385" s="3618">
        <v>0</v>
      </c>
      <c r="K385" s="3618">
        <v>32</v>
      </c>
      <c r="L385" s="4052">
        <f>I385/K385</f>
        <v>1</v>
      </c>
      <c r="M385" s="3619">
        <v>45859</v>
      </c>
      <c r="N385" s="3619">
        <v>45860</v>
      </c>
      <c r="O385" s="3664" t="s">
        <v>7167</v>
      </c>
      <c r="P385" s="959" t="s">
        <v>82</v>
      </c>
      <c r="Q385" s="959"/>
      <c r="R385" s="959"/>
      <c r="S385" s="959"/>
      <c r="T385" s="4053"/>
      <c r="U385" s="3645" t="s">
        <v>1504</v>
      </c>
      <c r="V385" s="3649" t="s">
        <v>4276</v>
      </c>
      <c r="W385" s="3649"/>
      <c r="X385" s="3657" t="s">
        <v>98</v>
      </c>
      <c r="Y385" s="3657" t="s">
        <v>4223</v>
      </c>
      <c r="Z385" s="3664"/>
      <c r="AA385" s="3620" t="s">
        <v>7245</v>
      </c>
      <c r="AB385" s="3624" t="s">
        <v>369</v>
      </c>
      <c r="AC385" s="3618">
        <v>2.2482</v>
      </c>
      <c r="AD385" s="3618">
        <f t="shared" si="223"/>
        <v>71.9424</v>
      </c>
      <c r="AE385" s="3633"/>
      <c r="AF385" s="959" t="s">
        <v>7186</v>
      </c>
      <c r="AG385" s="3620" t="s">
        <v>416</v>
      </c>
      <c r="AH385" s="3620"/>
      <c r="AI385" s="3620"/>
      <c r="AJ385" s="3620"/>
      <c r="AK385" s="959"/>
      <c r="AL385" s="959"/>
      <c r="AM385" s="959">
        <f t="shared" si="243"/>
        <v>32</v>
      </c>
      <c r="AN385" s="959"/>
      <c r="AO385" s="3618"/>
      <c r="AP385" s="3618">
        <f t="shared" si="236"/>
        <v>32</v>
      </c>
      <c r="AQ385" s="3618"/>
      <c r="AR385" s="3626"/>
      <c r="AS385" s="3626"/>
      <c r="AT385" s="3626"/>
      <c r="AU385" s="3626">
        <f t="shared" si="244"/>
        <v>32</v>
      </c>
      <c r="AV385" s="3626"/>
      <c r="AW385" s="3626"/>
      <c r="AX385" s="3626"/>
      <c r="AY385" s="3626"/>
      <c r="AZ385" s="3626"/>
      <c r="BA385" s="3626"/>
      <c r="BB385" s="3626"/>
      <c r="BC385" s="3626"/>
      <c r="BD385" s="3626"/>
      <c r="BE385" s="3626"/>
      <c r="BF385" s="3626"/>
      <c r="BG385" s="3626"/>
      <c r="BH385" s="3626"/>
      <c r="BI385" s="3626" t="s">
        <v>89</v>
      </c>
      <c r="BJ385" s="3626"/>
      <c r="BK385" s="3626"/>
      <c r="BL385" s="3626"/>
      <c r="BM385" s="3626"/>
      <c r="BN385" s="3626">
        <f>I385</f>
        <v>32</v>
      </c>
      <c r="BO385" s="4055"/>
      <c r="BP385" s="3627"/>
      <c r="BQ385" s="3627">
        <f t="shared" si="241"/>
        <v>32</v>
      </c>
      <c r="BR385" s="3627">
        <f t="shared" si="242"/>
        <v>0</v>
      </c>
      <c r="BS385" s="4056" t="s">
        <v>4338</v>
      </c>
      <c r="BT385" s="4057">
        <v>45860</v>
      </c>
    </row>
    <row r="386" s="3566" customFormat="1" ht="50" customHeight="1" spans="1:72">
      <c r="A386" s="3635">
        <v>45824</v>
      </c>
      <c r="B386" s="3617" t="s">
        <v>1641</v>
      </c>
      <c r="C386" s="3617" t="s">
        <v>396</v>
      </c>
      <c r="D386" s="3618">
        <v>4500170146</v>
      </c>
      <c r="E386" s="959" t="s">
        <v>7256</v>
      </c>
      <c r="F386" s="959" t="s">
        <v>7257</v>
      </c>
      <c r="G386" s="959" t="s">
        <v>7185</v>
      </c>
      <c r="H386" s="3618" t="s">
        <v>6242</v>
      </c>
      <c r="I386" s="3618">
        <v>32</v>
      </c>
      <c r="J386" s="3618">
        <v>0</v>
      </c>
      <c r="K386" s="3618">
        <v>32</v>
      </c>
      <c r="L386" s="4052">
        <f>I386/K386</f>
        <v>1</v>
      </c>
      <c r="M386" s="3619">
        <v>45859</v>
      </c>
      <c r="N386" s="3619">
        <v>45860</v>
      </c>
      <c r="O386" s="3664" t="s">
        <v>7167</v>
      </c>
      <c r="P386" s="959" t="s">
        <v>82</v>
      </c>
      <c r="Q386" s="959"/>
      <c r="R386" s="959"/>
      <c r="S386" s="959"/>
      <c r="T386" s="4053"/>
      <c r="U386" s="3645" t="s">
        <v>1504</v>
      </c>
      <c r="V386" s="3649" t="s">
        <v>4276</v>
      </c>
      <c r="W386" s="3649"/>
      <c r="X386" s="3657" t="s">
        <v>98</v>
      </c>
      <c r="Y386" s="3657" t="s">
        <v>4223</v>
      </c>
      <c r="Z386" s="3664"/>
      <c r="AA386" s="3620" t="s">
        <v>7245</v>
      </c>
      <c r="AB386" s="3624" t="s">
        <v>369</v>
      </c>
      <c r="AC386" s="3618">
        <v>2.2482</v>
      </c>
      <c r="AD386" s="3618">
        <f t="shared" si="223"/>
        <v>71.9424</v>
      </c>
      <c r="AE386" s="3633"/>
      <c r="AF386" s="959" t="s">
        <v>7186</v>
      </c>
      <c r="AG386" s="3620" t="s">
        <v>416</v>
      </c>
      <c r="AH386" s="3620"/>
      <c r="AI386" s="3620"/>
      <c r="AJ386" s="3620"/>
      <c r="AK386" s="959"/>
      <c r="AL386" s="959"/>
      <c r="AM386" s="959">
        <f t="shared" si="243"/>
        <v>32</v>
      </c>
      <c r="AN386" s="959"/>
      <c r="AO386" s="3618"/>
      <c r="AP386" s="3618">
        <f t="shared" si="236"/>
        <v>32</v>
      </c>
      <c r="AQ386" s="3618"/>
      <c r="AR386" s="3626"/>
      <c r="AS386" s="3626"/>
      <c r="AT386" s="3626"/>
      <c r="AU386" s="3626">
        <f t="shared" si="244"/>
        <v>32</v>
      </c>
      <c r="AV386" s="3626"/>
      <c r="AW386" s="3626"/>
      <c r="AX386" s="3626"/>
      <c r="AY386" s="3626"/>
      <c r="AZ386" s="3626"/>
      <c r="BA386" s="3626"/>
      <c r="BB386" s="3626"/>
      <c r="BC386" s="3626"/>
      <c r="BD386" s="3626"/>
      <c r="BE386" s="3626"/>
      <c r="BF386" s="3626"/>
      <c r="BG386" s="3626"/>
      <c r="BH386" s="3626"/>
      <c r="BI386" s="3626" t="s">
        <v>89</v>
      </c>
      <c r="BJ386" s="3626"/>
      <c r="BK386" s="3626"/>
      <c r="BL386" s="3626"/>
      <c r="BM386" s="3626"/>
      <c r="BN386" s="3626">
        <f>I386</f>
        <v>32</v>
      </c>
      <c r="BO386" s="4055"/>
      <c r="BP386" s="3627"/>
      <c r="BQ386" s="3627">
        <f t="shared" si="241"/>
        <v>32</v>
      </c>
      <c r="BR386" s="3627">
        <f t="shared" si="242"/>
        <v>0</v>
      </c>
      <c r="BS386" s="4056" t="s">
        <v>4338</v>
      </c>
      <c r="BT386" s="4057">
        <v>45860</v>
      </c>
    </row>
    <row r="387" s="3566" customFormat="1" ht="50" customHeight="1" spans="1:72">
      <c r="A387" s="3635">
        <v>45824</v>
      </c>
      <c r="B387" s="3617" t="s">
        <v>1641</v>
      </c>
      <c r="C387" s="3617" t="s">
        <v>396</v>
      </c>
      <c r="D387" s="3618">
        <v>4500170146</v>
      </c>
      <c r="E387" s="959" t="s">
        <v>7258</v>
      </c>
      <c r="F387" s="959" t="s">
        <v>7259</v>
      </c>
      <c r="G387" s="959" t="s">
        <v>7185</v>
      </c>
      <c r="H387" s="3618" t="s">
        <v>6242</v>
      </c>
      <c r="I387" s="3618">
        <v>32</v>
      </c>
      <c r="J387" s="3618">
        <v>0</v>
      </c>
      <c r="K387" s="3618">
        <v>32</v>
      </c>
      <c r="L387" s="4052">
        <f>I387/K387</f>
        <v>1</v>
      </c>
      <c r="M387" s="3619">
        <v>45859</v>
      </c>
      <c r="N387" s="3619">
        <v>45860</v>
      </c>
      <c r="O387" s="3664" t="s">
        <v>7167</v>
      </c>
      <c r="P387" s="959" t="s">
        <v>82</v>
      </c>
      <c r="Q387" s="959"/>
      <c r="R387" s="959"/>
      <c r="S387" s="959"/>
      <c r="T387" s="4053"/>
      <c r="U387" s="3645" t="s">
        <v>1504</v>
      </c>
      <c r="V387" s="3649" t="s">
        <v>4276</v>
      </c>
      <c r="W387" s="3649"/>
      <c r="X387" s="3657" t="s">
        <v>98</v>
      </c>
      <c r="Y387" s="3657" t="s">
        <v>4223</v>
      </c>
      <c r="Z387" s="3664"/>
      <c r="AA387" s="3620" t="s">
        <v>7245</v>
      </c>
      <c r="AB387" s="3624" t="s">
        <v>369</v>
      </c>
      <c r="AC387" s="3618">
        <v>2.2482</v>
      </c>
      <c r="AD387" s="3618">
        <f t="shared" si="223"/>
        <v>71.9424</v>
      </c>
      <c r="AE387" s="3633"/>
      <c r="AF387" s="959" t="s">
        <v>7186</v>
      </c>
      <c r="AG387" s="3620" t="s">
        <v>416</v>
      </c>
      <c r="AH387" s="3620"/>
      <c r="AI387" s="3620"/>
      <c r="AJ387" s="3620"/>
      <c r="AK387" s="959"/>
      <c r="AL387" s="959"/>
      <c r="AM387" s="959">
        <f t="shared" si="243"/>
        <v>32</v>
      </c>
      <c r="AN387" s="959"/>
      <c r="AO387" s="3618"/>
      <c r="AP387" s="3618">
        <f t="shared" si="236"/>
        <v>32</v>
      </c>
      <c r="AQ387" s="3618"/>
      <c r="AR387" s="3626"/>
      <c r="AS387" s="3626"/>
      <c r="AT387" s="3626"/>
      <c r="AU387" s="3626">
        <f t="shared" si="244"/>
        <v>32</v>
      </c>
      <c r="AV387" s="3626"/>
      <c r="AW387" s="3626"/>
      <c r="AX387" s="3626"/>
      <c r="AY387" s="3626"/>
      <c r="AZ387" s="3626"/>
      <c r="BA387" s="3626"/>
      <c r="BB387" s="3626"/>
      <c r="BC387" s="3626"/>
      <c r="BD387" s="3626"/>
      <c r="BE387" s="3626"/>
      <c r="BF387" s="3626"/>
      <c r="BG387" s="3626"/>
      <c r="BH387" s="3626"/>
      <c r="BI387" s="3626" t="s">
        <v>89</v>
      </c>
      <c r="BJ387" s="3626"/>
      <c r="BK387" s="3626"/>
      <c r="BL387" s="3626"/>
      <c r="BM387" s="3626"/>
      <c r="BN387" s="3626">
        <f>I387</f>
        <v>32</v>
      </c>
      <c r="BO387" s="4055"/>
      <c r="BP387" s="3627"/>
      <c r="BQ387" s="3627">
        <f t="shared" si="241"/>
        <v>32</v>
      </c>
      <c r="BR387" s="3627">
        <f t="shared" si="242"/>
        <v>0</v>
      </c>
      <c r="BS387" s="4056" t="s">
        <v>4338</v>
      </c>
      <c r="BT387" s="4057">
        <v>45860</v>
      </c>
    </row>
    <row r="388" s="3566" customFormat="1" ht="50" customHeight="1" spans="1:72">
      <c r="A388" s="3635">
        <v>45786</v>
      </c>
      <c r="B388" s="3617" t="s">
        <v>3853</v>
      </c>
      <c r="C388" s="3663" t="s">
        <v>516</v>
      </c>
      <c r="D388" s="3624">
        <v>4500165899</v>
      </c>
      <c r="E388" s="959"/>
      <c r="F388" s="3617" t="s">
        <v>7260</v>
      </c>
      <c r="G388" s="959" t="s">
        <v>6124</v>
      </c>
      <c r="H388" s="3618" t="s">
        <v>6063</v>
      </c>
      <c r="I388" s="3618">
        <v>12000</v>
      </c>
      <c r="J388" s="3618">
        <v>0</v>
      </c>
      <c r="K388" s="3618">
        <v>12</v>
      </c>
      <c r="L388" s="4052">
        <f t="shared" ref="L388:L433" si="245">I388/K388</f>
        <v>1000</v>
      </c>
      <c r="M388" s="3619">
        <v>45827</v>
      </c>
      <c r="N388" s="3659">
        <v>45859</v>
      </c>
      <c r="O388" s="3657"/>
      <c r="P388" s="3657" t="s">
        <v>82</v>
      </c>
      <c r="Q388" s="3657"/>
      <c r="R388" s="3657"/>
      <c r="S388" s="3657"/>
      <c r="T388" s="4093"/>
      <c r="U388" s="3620" t="s">
        <v>208</v>
      </c>
      <c r="V388" s="3649" t="s">
        <v>1336</v>
      </c>
      <c r="W388" s="3657"/>
      <c r="X388" s="3657" t="s">
        <v>7261</v>
      </c>
      <c r="Y388" s="3649"/>
      <c r="Z388" s="3657"/>
      <c r="AA388" s="3620" t="s">
        <v>7262</v>
      </c>
      <c r="AB388" s="3624" t="s">
        <v>3805</v>
      </c>
      <c r="AC388" s="4058">
        <v>2.2081</v>
      </c>
      <c r="AD388" s="3618">
        <f t="shared" si="223"/>
        <v>26497.2</v>
      </c>
      <c r="AE388" s="3633"/>
      <c r="AF388" s="959" t="s">
        <v>6126</v>
      </c>
      <c r="AG388" s="3620" t="s">
        <v>416</v>
      </c>
      <c r="AH388" s="3620"/>
      <c r="AI388" s="3620"/>
      <c r="AJ388" s="3620"/>
      <c r="AK388" s="959"/>
      <c r="AL388" s="959"/>
      <c r="AM388" s="959">
        <f t="shared" si="243"/>
        <v>12000</v>
      </c>
      <c r="AN388" s="959"/>
      <c r="AO388" s="959"/>
      <c r="AP388" s="3618">
        <f t="shared" si="236"/>
        <v>12000</v>
      </c>
      <c r="AQ388" s="3618"/>
      <c r="AR388" s="3626"/>
      <c r="AS388" s="3626">
        <f>I388</f>
        <v>12000</v>
      </c>
      <c r="AT388" s="3626"/>
      <c r="AU388" s="3626"/>
      <c r="AV388" s="3626"/>
      <c r="AW388" s="3626">
        <f>I388/6</f>
        <v>2000</v>
      </c>
      <c r="AX388" s="3626"/>
      <c r="AY388" s="3626"/>
      <c r="AZ388" s="3626"/>
      <c r="BA388" s="3626"/>
      <c r="BB388" s="3626"/>
      <c r="BC388" s="3626"/>
      <c r="BD388" s="3626"/>
      <c r="BE388" s="3626"/>
      <c r="BF388" s="3626"/>
      <c r="BG388" s="3626"/>
      <c r="BH388" s="3626"/>
      <c r="BI388" s="3626" t="s">
        <v>89</v>
      </c>
      <c r="BJ388" s="3626">
        <f t="shared" ref="BJ388:BJ426" si="246">I388/60*2</f>
        <v>400</v>
      </c>
      <c r="BK388" s="3626">
        <f t="shared" ref="BK388:BK425" si="247">I388/60*10</f>
        <v>2000</v>
      </c>
      <c r="BL388" s="3626">
        <f t="shared" ref="BL388:BL425" si="248">I388/60*10</f>
        <v>2000</v>
      </c>
      <c r="BM388" s="3626">
        <f t="shared" ref="BM388:BM425" si="249">I388/60*8</f>
        <v>1600</v>
      </c>
      <c r="BN388" s="3626">
        <f t="shared" ref="BN388:BN425" si="250">I388/60*10</f>
        <v>2000</v>
      </c>
      <c r="BO388" s="4055">
        <f t="shared" ref="BO388:BO425" si="251">I388/60*10</f>
        <v>2000</v>
      </c>
      <c r="BP388" s="3627">
        <f t="shared" ref="BP388:BP425" si="252">I388/60*10</f>
        <v>2000</v>
      </c>
      <c r="BQ388" s="3627">
        <f t="shared" si="241"/>
        <v>12000</v>
      </c>
      <c r="BR388" s="3627">
        <f t="shared" si="242"/>
        <v>0</v>
      </c>
      <c r="BS388" s="4056" t="s">
        <v>4197</v>
      </c>
      <c r="BT388" s="4057" t="s">
        <v>3857</v>
      </c>
    </row>
    <row r="389" s="3566" customFormat="1" ht="50" customHeight="1" spans="1:72">
      <c r="A389" s="3635">
        <v>45817</v>
      </c>
      <c r="B389" s="3617" t="s">
        <v>3905</v>
      </c>
      <c r="C389" s="3617" t="s">
        <v>1385</v>
      </c>
      <c r="D389" s="3618">
        <v>4500169407</v>
      </c>
      <c r="E389" s="959" t="s">
        <v>4314</v>
      </c>
      <c r="F389" s="959" t="s">
        <v>7263</v>
      </c>
      <c r="G389" s="959" t="s">
        <v>6195</v>
      </c>
      <c r="H389" s="3618" t="s">
        <v>6063</v>
      </c>
      <c r="I389" s="3618">
        <v>1920</v>
      </c>
      <c r="J389" s="3618">
        <v>0</v>
      </c>
      <c r="K389" s="3618">
        <v>12</v>
      </c>
      <c r="L389" s="4052">
        <f t="shared" si="245"/>
        <v>160</v>
      </c>
      <c r="M389" s="3619">
        <v>45859</v>
      </c>
      <c r="N389" s="3619">
        <v>45863</v>
      </c>
      <c r="O389" s="3618"/>
      <c r="P389" s="3657" t="s">
        <v>82</v>
      </c>
      <c r="Q389" s="3657"/>
      <c r="R389" s="3657"/>
      <c r="S389" s="3657"/>
      <c r="T389" s="4093"/>
      <c r="U389" s="3620" t="s">
        <v>1341</v>
      </c>
      <c r="V389" s="3649" t="s">
        <v>2441</v>
      </c>
      <c r="W389" s="3649"/>
      <c r="X389" s="3657" t="s">
        <v>4316</v>
      </c>
      <c r="Y389" s="4091"/>
      <c r="Z389" s="3664"/>
      <c r="AA389" s="3620" t="s">
        <v>7264</v>
      </c>
      <c r="AB389" s="3624" t="s">
        <v>448</v>
      </c>
      <c r="AC389" s="4058">
        <v>2.1958</v>
      </c>
      <c r="AD389" s="3618">
        <f t="shared" si="223"/>
        <v>4215.936</v>
      </c>
      <c r="AE389" s="3683" t="s">
        <v>4318</v>
      </c>
      <c r="AF389" s="959" t="s">
        <v>6195</v>
      </c>
      <c r="AG389" s="3620" t="s">
        <v>416</v>
      </c>
      <c r="AH389" s="3620"/>
      <c r="AI389" s="3620"/>
      <c r="AJ389" s="3620"/>
      <c r="AK389" s="959"/>
      <c r="AL389" s="959">
        <f>I389</f>
        <v>1920</v>
      </c>
      <c r="AM389" s="959"/>
      <c r="AN389" s="959"/>
      <c r="AO389" s="3618"/>
      <c r="AP389" s="3618"/>
      <c r="AQ389" s="3618">
        <f t="shared" ref="AQ389:AQ425" si="253">I389</f>
        <v>1920</v>
      </c>
      <c r="AR389" s="3626"/>
      <c r="AS389" s="3626"/>
      <c r="AT389" s="3626">
        <f>I389</f>
        <v>1920</v>
      </c>
      <c r="AU389" s="3626"/>
      <c r="AV389" s="3626"/>
      <c r="AW389" s="3626"/>
      <c r="AX389" s="3626"/>
      <c r="AY389" s="3626">
        <f>I389/6</f>
        <v>320</v>
      </c>
      <c r="AZ389" s="3626"/>
      <c r="BA389" s="3626"/>
      <c r="BB389" s="3626"/>
      <c r="BC389" s="3626"/>
      <c r="BD389" s="3626"/>
      <c r="BE389" s="3626"/>
      <c r="BF389" s="3626"/>
      <c r="BG389" s="3626"/>
      <c r="BH389" s="3626"/>
      <c r="BI389" s="3626" t="s">
        <v>89</v>
      </c>
      <c r="BJ389" s="3626">
        <f t="shared" si="246"/>
        <v>64</v>
      </c>
      <c r="BK389" s="3626">
        <f t="shared" si="247"/>
        <v>320</v>
      </c>
      <c r="BL389" s="3626">
        <f t="shared" si="248"/>
        <v>320</v>
      </c>
      <c r="BM389" s="3626">
        <f t="shared" si="249"/>
        <v>256</v>
      </c>
      <c r="BN389" s="3626">
        <f t="shared" si="250"/>
        <v>320</v>
      </c>
      <c r="BO389" s="4055">
        <f t="shared" si="251"/>
        <v>320</v>
      </c>
      <c r="BP389" s="3627">
        <f t="shared" si="252"/>
        <v>320</v>
      </c>
      <c r="BQ389" s="3627">
        <f t="shared" si="241"/>
        <v>1920</v>
      </c>
      <c r="BR389" s="3627">
        <f t="shared" si="242"/>
        <v>0</v>
      </c>
      <c r="BS389" s="4056" t="s">
        <v>4338</v>
      </c>
      <c r="BT389" s="4057">
        <v>45863</v>
      </c>
    </row>
    <row r="390" s="3566" customFormat="1" ht="50" customHeight="1" spans="1:72">
      <c r="A390" s="3635">
        <v>45789</v>
      </c>
      <c r="B390" s="3617" t="s">
        <v>737</v>
      </c>
      <c r="C390" s="3617" t="s">
        <v>738</v>
      </c>
      <c r="D390" s="3624">
        <v>4500165982</v>
      </c>
      <c r="E390" s="3618">
        <v>61971743</v>
      </c>
      <c r="F390" s="3617" t="s">
        <v>7265</v>
      </c>
      <c r="G390" s="959" t="s">
        <v>6124</v>
      </c>
      <c r="H390" s="3618" t="s">
        <v>6063</v>
      </c>
      <c r="I390" s="3618">
        <v>1608</v>
      </c>
      <c r="J390" s="3618">
        <v>0</v>
      </c>
      <c r="K390" s="3618">
        <v>12</v>
      </c>
      <c r="L390" s="4052">
        <f t="shared" si="245"/>
        <v>134</v>
      </c>
      <c r="M390" s="3619">
        <v>45863</v>
      </c>
      <c r="N390" s="3619">
        <v>45863</v>
      </c>
      <c r="O390" s="3664"/>
      <c r="P390" s="3664" t="s">
        <v>82</v>
      </c>
      <c r="Q390" s="3664"/>
      <c r="R390" s="3664"/>
      <c r="S390" s="3664"/>
      <c r="T390" s="4095"/>
      <c r="U390" s="3645" t="s">
        <v>4358</v>
      </c>
      <c r="V390" s="3649" t="s">
        <v>1628</v>
      </c>
      <c r="W390" s="3657"/>
      <c r="X390" s="3657" t="s">
        <v>7266</v>
      </c>
      <c r="Y390" s="3657"/>
      <c r="Z390" s="3661"/>
      <c r="AA390" s="3620" t="s">
        <v>7267</v>
      </c>
      <c r="AB390" s="3624" t="s">
        <v>3805</v>
      </c>
      <c r="AC390" s="4058">
        <v>2.2547</v>
      </c>
      <c r="AD390" s="3618">
        <f t="shared" si="223"/>
        <v>3625.5576</v>
      </c>
      <c r="AE390" s="3633"/>
      <c r="AF390" s="959" t="s">
        <v>6126</v>
      </c>
      <c r="AG390" s="3620" t="s">
        <v>416</v>
      </c>
      <c r="AH390" s="3620"/>
      <c r="AI390" s="3620"/>
      <c r="AJ390" s="3620"/>
      <c r="AK390" s="959"/>
      <c r="AL390" s="959"/>
      <c r="AM390" s="959"/>
      <c r="AN390" s="959">
        <f>I390</f>
        <v>1608</v>
      </c>
      <c r="AO390" s="959"/>
      <c r="AP390" s="3618"/>
      <c r="AQ390" s="3618">
        <f t="shared" si="253"/>
        <v>1608</v>
      </c>
      <c r="AR390" s="3626"/>
      <c r="AS390" s="3626">
        <f>I390</f>
        <v>1608</v>
      </c>
      <c r="AT390" s="3626"/>
      <c r="AU390" s="3626"/>
      <c r="AV390" s="3626"/>
      <c r="AW390" s="3626">
        <f>I390/6</f>
        <v>268</v>
      </c>
      <c r="AX390" s="3626"/>
      <c r="AY390" s="3626"/>
      <c r="AZ390" s="3626"/>
      <c r="BA390" s="3626"/>
      <c r="BB390" s="3626"/>
      <c r="BC390" s="3626"/>
      <c r="BD390" s="3626"/>
      <c r="BE390" s="3626"/>
      <c r="BF390" s="3626"/>
      <c r="BG390" s="3626"/>
      <c r="BH390" s="3626"/>
      <c r="BI390" s="3626" t="s">
        <v>89</v>
      </c>
      <c r="BJ390" s="3626">
        <f t="shared" si="246"/>
        <v>53.6</v>
      </c>
      <c r="BK390" s="3626">
        <f t="shared" si="247"/>
        <v>268</v>
      </c>
      <c r="BL390" s="3626">
        <f t="shared" si="248"/>
        <v>268</v>
      </c>
      <c r="BM390" s="3626">
        <f t="shared" si="249"/>
        <v>214.4</v>
      </c>
      <c r="BN390" s="3626">
        <f t="shared" si="250"/>
        <v>268</v>
      </c>
      <c r="BO390" s="4055">
        <f t="shared" si="251"/>
        <v>268</v>
      </c>
      <c r="BP390" s="3627">
        <f t="shared" si="252"/>
        <v>268</v>
      </c>
      <c r="BQ390" s="3627">
        <f t="shared" si="241"/>
        <v>1608</v>
      </c>
      <c r="BR390" s="3627">
        <f t="shared" si="242"/>
        <v>0</v>
      </c>
      <c r="BS390" s="4056" t="s">
        <v>4415</v>
      </c>
      <c r="BT390" s="4057" t="s">
        <v>4385</v>
      </c>
    </row>
    <row r="391" s="3566" customFormat="1" ht="50" customHeight="1" spans="1:72">
      <c r="A391" s="3635">
        <v>45817</v>
      </c>
      <c r="B391" s="3617" t="s">
        <v>3905</v>
      </c>
      <c r="C391" s="3617" t="s">
        <v>1385</v>
      </c>
      <c r="D391" s="3618">
        <v>4500169407</v>
      </c>
      <c r="E391" s="959" t="s">
        <v>4314</v>
      </c>
      <c r="F391" s="959" t="s">
        <v>4319</v>
      </c>
      <c r="G391" s="959" t="s">
        <v>6641</v>
      </c>
      <c r="H391" s="959" t="s">
        <v>6642</v>
      </c>
      <c r="I391" s="3618">
        <v>1400</v>
      </c>
      <c r="J391" s="3618">
        <v>0</v>
      </c>
      <c r="K391" s="3618">
        <v>1</v>
      </c>
      <c r="L391" s="4052">
        <f t="shared" si="245"/>
        <v>1400</v>
      </c>
      <c r="M391" s="3619">
        <v>45859</v>
      </c>
      <c r="N391" s="3619">
        <v>45863</v>
      </c>
      <c r="O391" s="3664" t="s">
        <v>7268</v>
      </c>
      <c r="P391" s="959" t="s">
        <v>82</v>
      </c>
      <c r="Q391" s="959"/>
      <c r="R391" s="959"/>
      <c r="S391" s="959"/>
      <c r="T391" s="4053"/>
      <c r="U391" s="3620" t="s">
        <v>1341</v>
      </c>
      <c r="V391" s="3649" t="s">
        <v>2441</v>
      </c>
      <c r="W391" s="3649"/>
      <c r="X391" s="3657" t="s">
        <v>4321</v>
      </c>
      <c r="Y391" s="4091"/>
      <c r="Z391" s="3664"/>
      <c r="AA391" s="3620" t="s">
        <v>4322</v>
      </c>
      <c r="AB391" s="3624" t="s">
        <v>448</v>
      </c>
      <c r="AC391" s="4058">
        <v>8.6706</v>
      </c>
      <c r="AD391" s="3618">
        <f t="shared" si="223"/>
        <v>12138.84</v>
      </c>
      <c r="AE391" s="3633"/>
      <c r="AF391" s="959" t="s">
        <v>3520</v>
      </c>
      <c r="AG391" s="3620" t="s">
        <v>416</v>
      </c>
      <c r="AH391" s="3620"/>
      <c r="AI391" s="3620"/>
      <c r="AJ391" s="3620"/>
      <c r="AK391" s="959"/>
      <c r="AL391" s="959">
        <f>I391</f>
        <v>1400</v>
      </c>
      <c r="AM391" s="959"/>
      <c r="AN391" s="959"/>
      <c r="AO391" s="3618"/>
      <c r="AP391" s="3618"/>
      <c r="AQ391" s="3618">
        <f t="shared" si="253"/>
        <v>1400</v>
      </c>
      <c r="AR391" s="3626"/>
      <c r="AS391" s="3626"/>
      <c r="AT391" s="3626">
        <f>I391</f>
        <v>1400</v>
      </c>
      <c r="AU391" s="3626"/>
      <c r="AV391" s="3626"/>
      <c r="AW391" s="3626"/>
      <c r="AX391" s="3626"/>
      <c r="AY391" s="3626"/>
      <c r="AZ391" s="3626"/>
      <c r="BA391" s="3626"/>
      <c r="BB391" s="3626"/>
      <c r="BC391" s="3626"/>
      <c r="BD391" s="3626"/>
      <c r="BE391" s="3626"/>
      <c r="BF391" s="3626"/>
      <c r="BG391" s="3626"/>
      <c r="BH391" s="3626"/>
      <c r="BI391" s="3626" t="s">
        <v>89</v>
      </c>
      <c r="BJ391" s="3626">
        <f t="shared" si="246"/>
        <v>46.6666666666667</v>
      </c>
      <c r="BK391" s="3626">
        <f t="shared" si="247"/>
        <v>233.333333333333</v>
      </c>
      <c r="BL391" s="3626">
        <f t="shared" si="248"/>
        <v>233.333333333333</v>
      </c>
      <c r="BM391" s="3626">
        <f t="shared" si="249"/>
        <v>186.666666666667</v>
      </c>
      <c r="BN391" s="3626">
        <f t="shared" si="250"/>
        <v>233.333333333333</v>
      </c>
      <c r="BO391" s="4055">
        <f t="shared" si="251"/>
        <v>233.333333333333</v>
      </c>
      <c r="BP391" s="3627">
        <f t="shared" si="252"/>
        <v>233.333333333333</v>
      </c>
      <c r="BQ391" s="3627">
        <f t="shared" si="241"/>
        <v>1400</v>
      </c>
      <c r="BR391" s="3627">
        <f t="shared" si="242"/>
        <v>0</v>
      </c>
      <c r="BS391" s="4056" t="s">
        <v>4338</v>
      </c>
      <c r="BT391" s="4057">
        <v>45863</v>
      </c>
    </row>
    <row r="392" s="3566" customFormat="1" ht="50" customHeight="1" spans="1:72">
      <c r="A392" s="3635">
        <v>45834</v>
      </c>
      <c r="B392" s="3617" t="s">
        <v>1057</v>
      </c>
      <c r="C392" s="3617" t="s">
        <v>396</v>
      </c>
      <c r="D392" s="3624">
        <v>4500171335</v>
      </c>
      <c r="E392" s="3618" t="s">
        <v>1575</v>
      </c>
      <c r="F392" s="3617" t="s">
        <v>7269</v>
      </c>
      <c r="G392" s="959" t="s">
        <v>6074</v>
      </c>
      <c r="H392" s="3618" t="s">
        <v>6063</v>
      </c>
      <c r="I392" s="3618">
        <v>960</v>
      </c>
      <c r="J392" s="3618">
        <v>0</v>
      </c>
      <c r="K392" s="3618">
        <v>24</v>
      </c>
      <c r="L392" s="4052">
        <f t="shared" si="245"/>
        <v>40</v>
      </c>
      <c r="M392" s="3619">
        <v>45870</v>
      </c>
      <c r="N392" s="3619">
        <v>45871</v>
      </c>
      <c r="O392" s="3664"/>
      <c r="P392" s="959" t="s">
        <v>82</v>
      </c>
      <c r="Q392" s="959"/>
      <c r="R392" s="959"/>
      <c r="S392" s="959"/>
      <c r="T392" s="4053"/>
      <c r="U392" s="3645" t="s">
        <v>211</v>
      </c>
      <c r="V392" s="3649" t="s">
        <v>1577</v>
      </c>
      <c r="W392" s="3657"/>
      <c r="X392" s="3657" t="s">
        <v>7270</v>
      </c>
      <c r="Y392" s="3657" t="s">
        <v>1578</v>
      </c>
      <c r="Z392" s="3661"/>
      <c r="AA392" s="3620" t="s">
        <v>7271</v>
      </c>
      <c r="AB392" s="3624" t="s">
        <v>405</v>
      </c>
      <c r="AC392" s="4058">
        <v>2.1973</v>
      </c>
      <c r="AD392" s="3618">
        <f t="shared" si="223"/>
        <v>2109.408</v>
      </c>
      <c r="AE392" s="3633"/>
      <c r="AF392" s="959" t="s">
        <v>6845</v>
      </c>
      <c r="AG392" s="3620" t="s">
        <v>416</v>
      </c>
      <c r="AH392" s="3620"/>
      <c r="AI392" s="3620"/>
      <c r="AJ392" s="3620"/>
      <c r="AK392" s="959"/>
      <c r="AL392" s="959"/>
      <c r="AM392" s="959"/>
      <c r="AN392" s="959">
        <f t="shared" ref="AN392:AN400" si="254">I392</f>
        <v>960</v>
      </c>
      <c r="AO392" s="959"/>
      <c r="AP392" s="3618"/>
      <c r="AQ392" s="3618">
        <f t="shared" si="253"/>
        <v>960</v>
      </c>
      <c r="AR392" s="3626"/>
      <c r="AS392" s="3626"/>
      <c r="AT392" s="3626"/>
      <c r="AU392" s="3626">
        <f t="shared" ref="AU392:AU397" si="255">I392</f>
        <v>960</v>
      </c>
      <c r="AV392" s="3626"/>
      <c r="AW392" s="3626"/>
      <c r="AX392" s="3626"/>
      <c r="AY392" s="3626"/>
      <c r="AZ392" s="3626"/>
      <c r="BA392" s="3626"/>
      <c r="BB392" s="3626"/>
      <c r="BC392" s="3626"/>
      <c r="BD392" s="3626"/>
      <c r="BE392" s="3626"/>
      <c r="BF392" s="3626"/>
      <c r="BG392" s="3626"/>
      <c r="BH392" s="3626"/>
      <c r="BI392" s="3626" t="s">
        <v>89</v>
      </c>
      <c r="BJ392" s="3626">
        <f t="shared" si="246"/>
        <v>32</v>
      </c>
      <c r="BK392" s="3626">
        <f t="shared" si="247"/>
        <v>160</v>
      </c>
      <c r="BL392" s="3626">
        <f t="shared" si="248"/>
        <v>160</v>
      </c>
      <c r="BM392" s="3626">
        <f t="shared" si="249"/>
        <v>128</v>
      </c>
      <c r="BN392" s="3626">
        <f t="shared" si="250"/>
        <v>160</v>
      </c>
      <c r="BO392" s="4055">
        <f t="shared" si="251"/>
        <v>160</v>
      </c>
      <c r="BP392" s="3627">
        <f t="shared" si="252"/>
        <v>160</v>
      </c>
      <c r="BQ392" s="3627">
        <f t="shared" si="241"/>
        <v>960</v>
      </c>
      <c r="BR392" s="3627">
        <f t="shared" si="242"/>
        <v>0</v>
      </c>
      <c r="BS392" s="4056" t="s">
        <v>4415</v>
      </c>
      <c r="BT392" s="4057">
        <v>45871</v>
      </c>
    </row>
    <row r="393" s="3566" customFormat="1" ht="50" customHeight="1" spans="1:72">
      <c r="A393" s="3635">
        <v>45834</v>
      </c>
      <c r="B393" s="3617" t="s">
        <v>1057</v>
      </c>
      <c r="C393" s="3617" t="s">
        <v>396</v>
      </c>
      <c r="D393" s="3624">
        <v>4500171335</v>
      </c>
      <c r="E393" s="3618" t="s">
        <v>1575</v>
      </c>
      <c r="F393" s="3617" t="s">
        <v>7272</v>
      </c>
      <c r="G393" s="959" t="s">
        <v>6074</v>
      </c>
      <c r="H393" s="3618" t="s">
        <v>6063</v>
      </c>
      <c r="I393" s="3618">
        <v>240</v>
      </c>
      <c r="J393" s="3618">
        <v>0</v>
      </c>
      <c r="K393" s="3618">
        <v>24</v>
      </c>
      <c r="L393" s="4052">
        <f t="shared" si="245"/>
        <v>10</v>
      </c>
      <c r="M393" s="3619">
        <v>45870</v>
      </c>
      <c r="N393" s="3619">
        <v>45871</v>
      </c>
      <c r="O393" s="3664"/>
      <c r="P393" s="959" t="s">
        <v>82</v>
      </c>
      <c r="Q393" s="959"/>
      <c r="R393" s="959"/>
      <c r="S393" s="959"/>
      <c r="T393" s="4053"/>
      <c r="U393" s="3645" t="s">
        <v>211</v>
      </c>
      <c r="V393" s="3649" t="s">
        <v>1577</v>
      </c>
      <c r="W393" s="3657"/>
      <c r="X393" s="3657" t="s">
        <v>7270</v>
      </c>
      <c r="Y393" s="3657" t="s">
        <v>1578</v>
      </c>
      <c r="Z393" s="3661"/>
      <c r="AA393" s="3620" t="s">
        <v>7271</v>
      </c>
      <c r="AB393" s="3624" t="s">
        <v>405</v>
      </c>
      <c r="AC393" s="4058">
        <v>2.1973</v>
      </c>
      <c r="AD393" s="3618">
        <f t="shared" si="223"/>
        <v>527.352</v>
      </c>
      <c r="AE393" s="3633"/>
      <c r="AF393" s="959" t="s">
        <v>6845</v>
      </c>
      <c r="AG393" s="3620" t="s">
        <v>416</v>
      </c>
      <c r="AH393" s="3620"/>
      <c r="AI393" s="3620"/>
      <c r="AJ393" s="3620"/>
      <c r="AK393" s="959"/>
      <c r="AL393" s="959"/>
      <c r="AM393" s="959"/>
      <c r="AN393" s="959">
        <f t="shared" si="254"/>
        <v>240</v>
      </c>
      <c r="AO393" s="959"/>
      <c r="AP393" s="3618"/>
      <c r="AQ393" s="3618">
        <f t="shared" si="253"/>
        <v>240</v>
      </c>
      <c r="AR393" s="3626"/>
      <c r="AS393" s="3626"/>
      <c r="AT393" s="3626"/>
      <c r="AU393" s="3626">
        <f t="shared" si="255"/>
        <v>240</v>
      </c>
      <c r="AV393" s="3626"/>
      <c r="AW393" s="3626"/>
      <c r="AX393" s="3626"/>
      <c r="AY393" s="3626"/>
      <c r="AZ393" s="3626"/>
      <c r="BA393" s="3626"/>
      <c r="BB393" s="3626"/>
      <c r="BC393" s="3626"/>
      <c r="BD393" s="3626"/>
      <c r="BE393" s="3626"/>
      <c r="BF393" s="3626"/>
      <c r="BG393" s="3626"/>
      <c r="BH393" s="3626"/>
      <c r="BI393" s="3626" t="s">
        <v>89</v>
      </c>
      <c r="BJ393" s="3626">
        <f t="shared" si="246"/>
        <v>8</v>
      </c>
      <c r="BK393" s="3626">
        <f t="shared" si="247"/>
        <v>40</v>
      </c>
      <c r="BL393" s="3626">
        <f t="shared" si="248"/>
        <v>40</v>
      </c>
      <c r="BM393" s="3626">
        <f t="shared" si="249"/>
        <v>32</v>
      </c>
      <c r="BN393" s="3626">
        <f t="shared" si="250"/>
        <v>40</v>
      </c>
      <c r="BO393" s="4055">
        <f t="shared" si="251"/>
        <v>40</v>
      </c>
      <c r="BP393" s="3627">
        <f t="shared" si="252"/>
        <v>40</v>
      </c>
      <c r="BQ393" s="3627">
        <f t="shared" si="241"/>
        <v>240</v>
      </c>
      <c r="BR393" s="3627">
        <f t="shared" si="242"/>
        <v>0</v>
      </c>
      <c r="BS393" s="4056" t="s">
        <v>4415</v>
      </c>
      <c r="BT393" s="4057">
        <v>45871</v>
      </c>
    </row>
    <row r="394" s="3566" customFormat="1" ht="50" customHeight="1" spans="1:72">
      <c r="A394" s="3635">
        <v>45834</v>
      </c>
      <c r="B394" s="3617" t="s">
        <v>1057</v>
      </c>
      <c r="C394" s="3617" t="s">
        <v>396</v>
      </c>
      <c r="D394" s="3624">
        <v>4500171335</v>
      </c>
      <c r="E394" s="3618" t="s">
        <v>1575</v>
      </c>
      <c r="F394" s="3617" t="s">
        <v>7273</v>
      </c>
      <c r="G394" s="959" t="s">
        <v>6074</v>
      </c>
      <c r="H394" s="3618" t="s">
        <v>6063</v>
      </c>
      <c r="I394" s="3618">
        <v>960</v>
      </c>
      <c r="J394" s="3618">
        <v>0</v>
      </c>
      <c r="K394" s="3618">
        <v>24</v>
      </c>
      <c r="L394" s="4052">
        <f t="shared" si="245"/>
        <v>40</v>
      </c>
      <c r="M394" s="3619">
        <v>45870</v>
      </c>
      <c r="N394" s="3619">
        <v>45871</v>
      </c>
      <c r="O394" s="3664"/>
      <c r="P394" s="959" t="s">
        <v>82</v>
      </c>
      <c r="Q394" s="959"/>
      <c r="R394" s="959"/>
      <c r="S394" s="959"/>
      <c r="T394" s="4053"/>
      <c r="U394" s="3620" t="s">
        <v>211</v>
      </c>
      <c r="V394" s="3649" t="s">
        <v>1577</v>
      </c>
      <c r="W394" s="3657"/>
      <c r="X394" s="3657" t="s">
        <v>7270</v>
      </c>
      <c r="Y394" s="3657" t="s">
        <v>1578</v>
      </c>
      <c r="Z394" s="3661"/>
      <c r="AA394" s="3620" t="s">
        <v>7271</v>
      </c>
      <c r="AB394" s="3624" t="s">
        <v>405</v>
      </c>
      <c r="AC394" s="4058">
        <v>2.145</v>
      </c>
      <c r="AD394" s="3618">
        <f t="shared" si="223"/>
        <v>2059.2</v>
      </c>
      <c r="AE394" s="3633"/>
      <c r="AF394" s="959" t="s">
        <v>6845</v>
      </c>
      <c r="AG394" s="3620" t="s">
        <v>416</v>
      </c>
      <c r="AH394" s="3620"/>
      <c r="AI394" s="3620"/>
      <c r="AJ394" s="3620"/>
      <c r="AK394" s="959"/>
      <c r="AL394" s="959"/>
      <c r="AM394" s="959"/>
      <c r="AN394" s="959">
        <f t="shared" si="254"/>
        <v>960</v>
      </c>
      <c r="AO394" s="959"/>
      <c r="AP394" s="3618"/>
      <c r="AQ394" s="3618">
        <f t="shared" si="253"/>
        <v>960</v>
      </c>
      <c r="AR394" s="3626"/>
      <c r="AS394" s="3626"/>
      <c r="AT394" s="3626"/>
      <c r="AU394" s="3626">
        <f t="shared" si="255"/>
        <v>960</v>
      </c>
      <c r="AV394" s="3626"/>
      <c r="AW394" s="3626"/>
      <c r="AX394" s="3626"/>
      <c r="AY394" s="3626"/>
      <c r="AZ394" s="3626"/>
      <c r="BA394" s="3626"/>
      <c r="BB394" s="3626"/>
      <c r="BC394" s="3626"/>
      <c r="BD394" s="3626"/>
      <c r="BE394" s="3626"/>
      <c r="BF394" s="3626"/>
      <c r="BG394" s="3626"/>
      <c r="BH394" s="3626"/>
      <c r="BI394" s="3626" t="s">
        <v>89</v>
      </c>
      <c r="BJ394" s="3626">
        <f t="shared" si="246"/>
        <v>32</v>
      </c>
      <c r="BK394" s="3626">
        <f t="shared" si="247"/>
        <v>160</v>
      </c>
      <c r="BL394" s="3626">
        <f t="shared" si="248"/>
        <v>160</v>
      </c>
      <c r="BM394" s="3626">
        <f t="shared" si="249"/>
        <v>128</v>
      </c>
      <c r="BN394" s="3626">
        <f t="shared" si="250"/>
        <v>160</v>
      </c>
      <c r="BO394" s="4055">
        <f t="shared" si="251"/>
        <v>160</v>
      </c>
      <c r="BP394" s="3627">
        <f t="shared" si="252"/>
        <v>160</v>
      </c>
      <c r="BQ394" s="3627">
        <f t="shared" si="241"/>
        <v>960</v>
      </c>
      <c r="BR394" s="3627">
        <f t="shared" si="242"/>
        <v>0</v>
      </c>
      <c r="BS394" s="4056" t="s">
        <v>4415</v>
      </c>
      <c r="BT394" s="4057">
        <v>45871</v>
      </c>
    </row>
    <row r="395" s="3566" customFormat="1" ht="50" customHeight="1" spans="1:72">
      <c r="A395" s="3635">
        <v>45834</v>
      </c>
      <c r="B395" s="3617" t="s">
        <v>1057</v>
      </c>
      <c r="C395" s="3617" t="s">
        <v>396</v>
      </c>
      <c r="D395" s="3624">
        <v>4500171335</v>
      </c>
      <c r="E395" s="3618" t="s">
        <v>1575</v>
      </c>
      <c r="F395" s="3617" t="s">
        <v>7274</v>
      </c>
      <c r="G395" s="959" t="s">
        <v>6074</v>
      </c>
      <c r="H395" s="3618" t="s">
        <v>6063</v>
      </c>
      <c r="I395" s="3618">
        <v>240</v>
      </c>
      <c r="J395" s="3618">
        <v>0</v>
      </c>
      <c r="K395" s="3618">
        <v>24</v>
      </c>
      <c r="L395" s="4052">
        <f t="shared" si="245"/>
        <v>10</v>
      </c>
      <c r="M395" s="3619">
        <v>45870</v>
      </c>
      <c r="N395" s="3619">
        <v>45871</v>
      </c>
      <c r="O395" s="3664"/>
      <c r="P395" s="959" t="s">
        <v>82</v>
      </c>
      <c r="Q395" s="959"/>
      <c r="R395" s="959"/>
      <c r="S395" s="959"/>
      <c r="T395" s="4053"/>
      <c r="U395" s="3620" t="s">
        <v>211</v>
      </c>
      <c r="V395" s="3649" t="s">
        <v>1577</v>
      </c>
      <c r="W395" s="3657"/>
      <c r="X395" s="3657" t="s">
        <v>7270</v>
      </c>
      <c r="Y395" s="3657" t="s">
        <v>1578</v>
      </c>
      <c r="Z395" s="3661"/>
      <c r="AA395" s="3620" t="s">
        <v>7271</v>
      </c>
      <c r="AB395" s="3624" t="s">
        <v>405</v>
      </c>
      <c r="AC395" s="4058">
        <v>2.1973</v>
      </c>
      <c r="AD395" s="3618">
        <f t="shared" si="223"/>
        <v>527.352</v>
      </c>
      <c r="AE395" s="3633"/>
      <c r="AF395" s="959" t="s">
        <v>6845</v>
      </c>
      <c r="AG395" s="3620" t="s">
        <v>416</v>
      </c>
      <c r="AH395" s="3620"/>
      <c r="AI395" s="3620"/>
      <c r="AJ395" s="3620"/>
      <c r="AK395" s="959"/>
      <c r="AL395" s="959"/>
      <c r="AM395" s="959"/>
      <c r="AN395" s="959">
        <f t="shared" si="254"/>
        <v>240</v>
      </c>
      <c r="AO395" s="959"/>
      <c r="AP395" s="3618"/>
      <c r="AQ395" s="3618">
        <f t="shared" si="253"/>
        <v>240</v>
      </c>
      <c r="AR395" s="3626"/>
      <c r="AS395" s="3626"/>
      <c r="AT395" s="3626"/>
      <c r="AU395" s="3626">
        <f t="shared" si="255"/>
        <v>240</v>
      </c>
      <c r="AV395" s="3626"/>
      <c r="AW395" s="3626"/>
      <c r="AX395" s="3626"/>
      <c r="AY395" s="3626"/>
      <c r="AZ395" s="3626"/>
      <c r="BA395" s="3626"/>
      <c r="BB395" s="3626"/>
      <c r="BC395" s="3626"/>
      <c r="BD395" s="3626"/>
      <c r="BE395" s="3626"/>
      <c r="BF395" s="3626"/>
      <c r="BG395" s="3626"/>
      <c r="BH395" s="3626"/>
      <c r="BI395" s="3626" t="s">
        <v>89</v>
      </c>
      <c r="BJ395" s="3626">
        <f t="shared" si="246"/>
        <v>8</v>
      </c>
      <c r="BK395" s="3626">
        <f t="shared" si="247"/>
        <v>40</v>
      </c>
      <c r="BL395" s="3626">
        <f t="shared" si="248"/>
        <v>40</v>
      </c>
      <c r="BM395" s="3626">
        <f t="shared" si="249"/>
        <v>32</v>
      </c>
      <c r="BN395" s="3626">
        <f t="shared" si="250"/>
        <v>40</v>
      </c>
      <c r="BO395" s="4055">
        <f t="shared" si="251"/>
        <v>40</v>
      </c>
      <c r="BP395" s="3627">
        <f t="shared" si="252"/>
        <v>40</v>
      </c>
      <c r="BQ395" s="3627">
        <f t="shared" si="241"/>
        <v>240</v>
      </c>
      <c r="BR395" s="3627">
        <f t="shared" si="242"/>
        <v>0</v>
      </c>
      <c r="BS395" s="4056" t="s">
        <v>4415</v>
      </c>
      <c r="BT395" s="4057">
        <v>45871</v>
      </c>
    </row>
    <row r="396" s="3566" customFormat="1" ht="50" customHeight="1" spans="1:72">
      <c r="A396" s="3635">
        <v>45834</v>
      </c>
      <c r="B396" s="3617" t="s">
        <v>1057</v>
      </c>
      <c r="C396" s="3617" t="s">
        <v>396</v>
      </c>
      <c r="D396" s="3624">
        <v>4500171342</v>
      </c>
      <c r="E396" s="3618" t="s">
        <v>1584</v>
      </c>
      <c r="F396" s="3617" t="s">
        <v>7275</v>
      </c>
      <c r="G396" s="959" t="s">
        <v>6074</v>
      </c>
      <c r="H396" s="3618" t="s">
        <v>6063</v>
      </c>
      <c r="I396" s="3618">
        <v>120</v>
      </c>
      <c r="J396" s="3618">
        <v>0</v>
      </c>
      <c r="K396" s="3618">
        <v>24</v>
      </c>
      <c r="L396" s="4052">
        <f t="shared" si="245"/>
        <v>5</v>
      </c>
      <c r="M396" s="3619">
        <v>45870</v>
      </c>
      <c r="N396" s="3619">
        <v>45871</v>
      </c>
      <c r="O396" s="3664"/>
      <c r="P396" s="959" t="s">
        <v>82</v>
      </c>
      <c r="Q396" s="959"/>
      <c r="R396" s="959"/>
      <c r="S396" s="959"/>
      <c r="T396" s="4053"/>
      <c r="U396" s="3645" t="s">
        <v>1483</v>
      </c>
      <c r="V396" s="3649" t="s">
        <v>1577</v>
      </c>
      <c r="W396" s="3657"/>
      <c r="X396" s="3657" t="s">
        <v>7270</v>
      </c>
      <c r="Y396" s="3657" t="s">
        <v>1578</v>
      </c>
      <c r="Z396" s="3661"/>
      <c r="AA396" s="3620" t="s">
        <v>7271</v>
      </c>
      <c r="AB396" s="3624" t="s">
        <v>405</v>
      </c>
      <c r="AC396" s="4058">
        <v>2.2017</v>
      </c>
      <c r="AD396" s="3618">
        <f t="shared" si="223"/>
        <v>264.204</v>
      </c>
      <c r="AE396" s="3633"/>
      <c r="AF396" s="959" t="s">
        <v>6845</v>
      </c>
      <c r="AG396" s="3620" t="s">
        <v>416</v>
      </c>
      <c r="AH396" s="3620"/>
      <c r="AI396" s="3620"/>
      <c r="AJ396" s="3620"/>
      <c r="AK396" s="959"/>
      <c r="AL396" s="959"/>
      <c r="AM396" s="959"/>
      <c r="AN396" s="959">
        <f t="shared" si="254"/>
        <v>120</v>
      </c>
      <c r="AO396" s="959"/>
      <c r="AP396" s="3618"/>
      <c r="AQ396" s="3618">
        <f t="shared" si="253"/>
        <v>120</v>
      </c>
      <c r="AR396" s="3626"/>
      <c r="AS396" s="3626"/>
      <c r="AT396" s="3626"/>
      <c r="AU396" s="3626">
        <f t="shared" si="255"/>
        <v>120</v>
      </c>
      <c r="AV396" s="3626"/>
      <c r="AW396" s="3626"/>
      <c r="AX396" s="3626"/>
      <c r="AY396" s="3626"/>
      <c r="AZ396" s="3626"/>
      <c r="BA396" s="3626"/>
      <c r="BB396" s="3626"/>
      <c r="BC396" s="3626"/>
      <c r="BD396" s="3626"/>
      <c r="BE396" s="3626"/>
      <c r="BF396" s="3626"/>
      <c r="BG396" s="3626"/>
      <c r="BH396" s="3626"/>
      <c r="BI396" s="3626" t="s">
        <v>89</v>
      </c>
      <c r="BJ396" s="3626">
        <f t="shared" si="246"/>
        <v>4</v>
      </c>
      <c r="BK396" s="3626">
        <f t="shared" si="247"/>
        <v>20</v>
      </c>
      <c r="BL396" s="3626">
        <f t="shared" si="248"/>
        <v>20</v>
      </c>
      <c r="BM396" s="3626">
        <f t="shared" si="249"/>
        <v>16</v>
      </c>
      <c r="BN396" s="3626">
        <f t="shared" si="250"/>
        <v>20</v>
      </c>
      <c r="BO396" s="4055">
        <f t="shared" si="251"/>
        <v>20</v>
      </c>
      <c r="BP396" s="3627">
        <f t="shared" si="252"/>
        <v>20</v>
      </c>
      <c r="BQ396" s="3627">
        <f t="shared" si="241"/>
        <v>120</v>
      </c>
      <c r="BR396" s="3627">
        <f t="shared" si="242"/>
        <v>0</v>
      </c>
      <c r="BS396" s="4056" t="s">
        <v>4415</v>
      </c>
      <c r="BT396" s="4057">
        <v>45871</v>
      </c>
    </row>
    <row r="397" s="3566" customFormat="1" ht="50" customHeight="1" spans="1:72">
      <c r="A397" s="3635">
        <v>45834</v>
      </c>
      <c r="B397" s="3617" t="s">
        <v>1057</v>
      </c>
      <c r="C397" s="3617" t="s">
        <v>396</v>
      </c>
      <c r="D397" s="3624">
        <v>4500171342</v>
      </c>
      <c r="E397" s="3618" t="s">
        <v>1584</v>
      </c>
      <c r="F397" s="3617" t="s">
        <v>7276</v>
      </c>
      <c r="G397" s="959" t="s">
        <v>6074</v>
      </c>
      <c r="H397" s="3618" t="s">
        <v>6063</v>
      </c>
      <c r="I397" s="3618">
        <v>120</v>
      </c>
      <c r="J397" s="3618">
        <v>0</v>
      </c>
      <c r="K397" s="3618">
        <v>24</v>
      </c>
      <c r="L397" s="4052">
        <f t="shared" si="245"/>
        <v>5</v>
      </c>
      <c r="M397" s="3619">
        <v>45870</v>
      </c>
      <c r="N397" s="3619">
        <v>45871</v>
      </c>
      <c r="O397" s="3664"/>
      <c r="P397" s="959" t="s">
        <v>82</v>
      </c>
      <c r="Q397" s="959"/>
      <c r="R397" s="959"/>
      <c r="S397" s="959"/>
      <c r="T397" s="4053"/>
      <c r="U397" s="3645" t="s">
        <v>1483</v>
      </c>
      <c r="V397" s="3649" t="s">
        <v>1577</v>
      </c>
      <c r="W397" s="3657"/>
      <c r="X397" s="3657" t="s">
        <v>7270</v>
      </c>
      <c r="Y397" s="3657" t="s">
        <v>1578</v>
      </c>
      <c r="Z397" s="3661"/>
      <c r="AA397" s="3620" t="s">
        <v>7271</v>
      </c>
      <c r="AB397" s="3624" t="s">
        <v>405</v>
      </c>
      <c r="AC397" s="4058">
        <v>2.1973</v>
      </c>
      <c r="AD397" s="3618">
        <f t="shared" si="223"/>
        <v>263.676</v>
      </c>
      <c r="AE397" s="3633"/>
      <c r="AF397" s="959" t="s">
        <v>6845</v>
      </c>
      <c r="AG397" s="3620" t="s">
        <v>416</v>
      </c>
      <c r="AH397" s="3620"/>
      <c r="AI397" s="3620"/>
      <c r="AJ397" s="3620"/>
      <c r="AK397" s="959"/>
      <c r="AL397" s="959"/>
      <c r="AM397" s="959"/>
      <c r="AN397" s="959">
        <f t="shared" si="254"/>
        <v>120</v>
      </c>
      <c r="AO397" s="959"/>
      <c r="AP397" s="3618"/>
      <c r="AQ397" s="3618">
        <f t="shared" si="253"/>
        <v>120</v>
      </c>
      <c r="AR397" s="3626"/>
      <c r="AS397" s="3626"/>
      <c r="AT397" s="3626"/>
      <c r="AU397" s="3626">
        <f t="shared" si="255"/>
        <v>120</v>
      </c>
      <c r="AV397" s="3626"/>
      <c r="AW397" s="3626"/>
      <c r="AX397" s="3626"/>
      <c r="AY397" s="3626"/>
      <c r="AZ397" s="3626"/>
      <c r="BA397" s="3626"/>
      <c r="BB397" s="3626"/>
      <c r="BC397" s="3626"/>
      <c r="BD397" s="3626"/>
      <c r="BE397" s="3626"/>
      <c r="BF397" s="3626"/>
      <c r="BG397" s="3626"/>
      <c r="BH397" s="3626"/>
      <c r="BI397" s="3626" t="s">
        <v>89</v>
      </c>
      <c r="BJ397" s="3626">
        <f t="shared" si="246"/>
        <v>4</v>
      </c>
      <c r="BK397" s="3626">
        <f t="shared" si="247"/>
        <v>20</v>
      </c>
      <c r="BL397" s="3626">
        <f t="shared" si="248"/>
        <v>20</v>
      </c>
      <c r="BM397" s="3626">
        <f t="shared" si="249"/>
        <v>16</v>
      </c>
      <c r="BN397" s="3626">
        <f t="shared" si="250"/>
        <v>20</v>
      </c>
      <c r="BO397" s="4055">
        <f t="shared" si="251"/>
        <v>20</v>
      </c>
      <c r="BP397" s="3627">
        <f t="shared" si="252"/>
        <v>20</v>
      </c>
      <c r="BQ397" s="3627">
        <f t="shared" si="241"/>
        <v>120</v>
      </c>
      <c r="BR397" s="3627">
        <f t="shared" si="242"/>
        <v>0</v>
      </c>
      <c r="BS397" s="4056" t="s">
        <v>4415</v>
      </c>
      <c r="BT397" s="4057">
        <v>45871</v>
      </c>
    </row>
    <row r="398" s="3566" customFormat="1" ht="50" customHeight="1" spans="1:72">
      <c r="A398" s="3635">
        <v>45818</v>
      </c>
      <c r="B398" s="3617" t="s">
        <v>4395</v>
      </c>
      <c r="C398" s="3617" t="s">
        <v>524</v>
      </c>
      <c r="D398" s="3618">
        <v>4500169604</v>
      </c>
      <c r="E398" s="959"/>
      <c r="F398" s="959" t="s">
        <v>7277</v>
      </c>
      <c r="G398" s="959" t="s">
        <v>6124</v>
      </c>
      <c r="H398" s="3618" t="s">
        <v>6063</v>
      </c>
      <c r="I398" s="3618">
        <v>300</v>
      </c>
      <c r="J398" s="3618">
        <v>0</v>
      </c>
      <c r="K398" s="3618">
        <v>12</v>
      </c>
      <c r="L398" s="4052">
        <f t="shared" si="245"/>
        <v>25</v>
      </c>
      <c r="M398" s="3619">
        <v>45863</v>
      </c>
      <c r="N398" s="3619">
        <v>45870</v>
      </c>
      <c r="O398" s="3664"/>
      <c r="P398" s="959" t="s">
        <v>82</v>
      </c>
      <c r="Q398" s="959"/>
      <c r="R398" s="959"/>
      <c r="S398" s="959"/>
      <c r="T398" s="4053"/>
      <c r="U398" s="3645" t="s">
        <v>211</v>
      </c>
      <c r="V398" s="3649" t="s">
        <v>4397</v>
      </c>
      <c r="W398" s="3695"/>
      <c r="X398" s="3649" t="s">
        <v>7278</v>
      </c>
      <c r="Y398" s="4091"/>
      <c r="Z398" s="3661"/>
      <c r="AA398" s="3620" t="s">
        <v>7279</v>
      </c>
      <c r="AB398" s="3624" t="s">
        <v>459</v>
      </c>
      <c r="AC398" s="4058">
        <v>2.2023</v>
      </c>
      <c r="AD398" s="3618">
        <f t="shared" si="223"/>
        <v>660.69</v>
      </c>
      <c r="AE398" s="3633"/>
      <c r="AF398" s="959" t="s">
        <v>6126</v>
      </c>
      <c r="AG398" s="3620" t="s">
        <v>416</v>
      </c>
      <c r="AH398" s="3620"/>
      <c r="AI398" s="3620"/>
      <c r="AJ398" s="3620"/>
      <c r="AK398" s="959"/>
      <c r="AL398" s="959"/>
      <c r="AM398" s="959"/>
      <c r="AN398" s="959">
        <f t="shared" si="254"/>
        <v>300</v>
      </c>
      <c r="AO398" s="959"/>
      <c r="AP398" s="3618"/>
      <c r="AQ398" s="3618">
        <f t="shared" si="253"/>
        <v>300</v>
      </c>
      <c r="AR398" s="3626"/>
      <c r="AS398" s="3626"/>
      <c r="AT398" s="3626">
        <f>I398</f>
        <v>300</v>
      </c>
      <c r="AU398" s="3626"/>
      <c r="AV398" s="3626"/>
      <c r="AW398" s="3626">
        <f>I398/6</f>
        <v>50</v>
      </c>
      <c r="AX398" s="3626"/>
      <c r="AY398" s="3626"/>
      <c r="AZ398" s="3626"/>
      <c r="BA398" s="3626"/>
      <c r="BB398" s="3626"/>
      <c r="BC398" s="3626"/>
      <c r="BD398" s="3626"/>
      <c r="BE398" s="3626"/>
      <c r="BF398" s="3626"/>
      <c r="BG398" s="3626"/>
      <c r="BH398" s="3626"/>
      <c r="BI398" s="3626" t="s">
        <v>89</v>
      </c>
      <c r="BJ398" s="3626">
        <f t="shared" si="246"/>
        <v>10</v>
      </c>
      <c r="BK398" s="3626">
        <f t="shared" si="247"/>
        <v>50</v>
      </c>
      <c r="BL398" s="3626">
        <f t="shared" si="248"/>
        <v>50</v>
      </c>
      <c r="BM398" s="3626">
        <f t="shared" si="249"/>
        <v>40</v>
      </c>
      <c r="BN398" s="3626">
        <f t="shared" si="250"/>
        <v>50</v>
      </c>
      <c r="BO398" s="4055">
        <f t="shared" si="251"/>
        <v>50</v>
      </c>
      <c r="BP398" s="3627">
        <f t="shared" si="252"/>
        <v>50</v>
      </c>
      <c r="BQ398" s="3627">
        <f t="shared" si="241"/>
        <v>300</v>
      </c>
      <c r="BR398" s="3627">
        <f t="shared" si="242"/>
        <v>0</v>
      </c>
      <c r="BS398" s="4056" t="s">
        <v>4351</v>
      </c>
      <c r="BT398" s="4057" t="s">
        <v>7280</v>
      </c>
    </row>
    <row r="399" s="3566" customFormat="1" ht="50" customHeight="1" spans="1:72">
      <c r="A399" s="3635">
        <v>45838</v>
      </c>
      <c r="B399" s="3617" t="s">
        <v>1596</v>
      </c>
      <c r="C399" s="3617" t="s">
        <v>1430</v>
      </c>
      <c r="D399" s="3624">
        <v>4500172103</v>
      </c>
      <c r="E399" s="3618"/>
      <c r="F399" s="3617" t="s">
        <v>7281</v>
      </c>
      <c r="G399" s="959" t="s">
        <v>6124</v>
      </c>
      <c r="H399" s="3618" t="s">
        <v>6063</v>
      </c>
      <c r="I399" s="3618">
        <v>600</v>
      </c>
      <c r="J399" s="3618">
        <v>0</v>
      </c>
      <c r="K399" s="3618">
        <v>12</v>
      </c>
      <c r="L399" s="4052">
        <f t="shared" si="245"/>
        <v>50</v>
      </c>
      <c r="M399" s="3619">
        <v>45874</v>
      </c>
      <c r="N399" s="3619">
        <v>45874</v>
      </c>
      <c r="O399" s="3664"/>
      <c r="P399" s="959" t="s">
        <v>82</v>
      </c>
      <c r="Q399" s="959"/>
      <c r="R399" s="959"/>
      <c r="S399" s="959"/>
      <c r="T399" s="4053"/>
      <c r="U399" s="3645" t="s">
        <v>224</v>
      </c>
      <c r="V399" s="3649" t="s">
        <v>1598</v>
      </c>
      <c r="W399" s="3657"/>
      <c r="X399" s="3657" t="s">
        <v>98</v>
      </c>
      <c r="Y399" s="3657"/>
      <c r="Z399" s="3661"/>
      <c r="AA399" s="3620" t="s">
        <v>7282</v>
      </c>
      <c r="AB399" s="3624" t="s">
        <v>1434</v>
      </c>
      <c r="AC399" s="4058">
        <v>2.2023</v>
      </c>
      <c r="AD399" s="3618">
        <f>I399*AC399</f>
        <v>1321.38</v>
      </c>
      <c r="AE399" s="3633"/>
      <c r="AF399" s="959" t="s">
        <v>6126</v>
      </c>
      <c r="AG399" s="3620" t="s">
        <v>416</v>
      </c>
      <c r="AH399" s="3620"/>
      <c r="AI399" s="3620"/>
      <c r="AJ399" s="3620"/>
      <c r="AK399" s="959"/>
      <c r="AL399" s="959"/>
      <c r="AM399" s="959"/>
      <c r="AN399" s="959">
        <f t="shared" si="254"/>
        <v>600</v>
      </c>
      <c r="AO399" s="959"/>
      <c r="AP399" s="3618"/>
      <c r="AQ399" s="3618">
        <f t="shared" si="253"/>
        <v>600</v>
      </c>
      <c r="AR399" s="3626"/>
      <c r="AS399" s="3626"/>
      <c r="AT399" s="3626">
        <f>I399</f>
        <v>600</v>
      </c>
      <c r="AU399" s="3626"/>
      <c r="AV399" s="3626"/>
      <c r="AW399" s="3626">
        <f>I399/6</f>
        <v>100</v>
      </c>
      <c r="AX399" s="3626"/>
      <c r="AY399" s="3626"/>
      <c r="AZ399" s="3626"/>
      <c r="BA399" s="3626"/>
      <c r="BB399" s="3626"/>
      <c r="BC399" s="3626"/>
      <c r="BD399" s="3626"/>
      <c r="BE399" s="3626"/>
      <c r="BF399" s="3626"/>
      <c r="BG399" s="3626"/>
      <c r="BH399" s="3626"/>
      <c r="BI399" s="3626" t="s">
        <v>89</v>
      </c>
      <c r="BJ399" s="3626">
        <f t="shared" si="246"/>
        <v>20</v>
      </c>
      <c r="BK399" s="3626">
        <f t="shared" si="247"/>
        <v>100</v>
      </c>
      <c r="BL399" s="3626">
        <f t="shared" si="248"/>
        <v>100</v>
      </c>
      <c r="BM399" s="3626">
        <f t="shared" si="249"/>
        <v>80</v>
      </c>
      <c r="BN399" s="3626">
        <f t="shared" si="250"/>
        <v>100</v>
      </c>
      <c r="BO399" s="4055">
        <f t="shared" si="251"/>
        <v>100</v>
      </c>
      <c r="BP399" s="3627">
        <f t="shared" si="252"/>
        <v>100</v>
      </c>
      <c r="BQ399" s="3627">
        <f t="shared" si="241"/>
        <v>600</v>
      </c>
      <c r="BR399" s="3627">
        <f t="shared" si="242"/>
        <v>0</v>
      </c>
      <c r="BS399" s="4056" t="s">
        <v>4470</v>
      </c>
      <c r="BT399" s="4057" t="s">
        <v>4036</v>
      </c>
    </row>
    <row r="400" s="3566" customFormat="1" ht="50" customHeight="1" spans="1:72">
      <c r="A400" s="3635">
        <v>45817</v>
      </c>
      <c r="B400" s="3617" t="s">
        <v>568</v>
      </c>
      <c r="C400" s="3617" t="s">
        <v>569</v>
      </c>
      <c r="D400" s="3618">
        <v>4500169300</v>
      </c>
      <c r="E400" s="959">
        <v>2000007049</v>
      </c>
      <c r="F400" s="959" t="s">
        <v>4330</v>
      </c>
      <c r="G400" s="959" t="s">
        <v>6643</v>
      </c>
      <c r="H400" s="3618" t="s">
        <v>3517</v>
      </c>
      <c r="I400" s="3618">
        <v>1200</v>
      </c>
      <c r="J400" s="3618">
        <v>0</v>
      </c>
      <c r="K400" s="3618">
        <v>12</v>
      </c>
      <c r="L400" s="4052">
        <f t="shared" si="245"/>
        <v>100</v>
      </c>
      <c r="M400" s="3619">
        <v>45859</v>
      </c>
      <c r="N400" s="3619">
        <v>45859</v>
      </c>
      <c r="O400" s="3664" t="s">
        <v>7283</v>
      </c>
      <c r="P400" s="4056" t="s">
        <v>82</v>
      </c>
      <c r="Q400" s="4056"/>
      <c r="R400" s="4056"/>
      <c r="S400" s="4056"/>
      <c r="T400" s="4096"/>
      <c r="U400" s="4097" t="s">
        <v>4205</v>
      </c>
      <c r="V400" s="3649" t="s">
        <v>4331</v>
      </c>
      <c r="W400" s="3649"/>
      <c r="X400" s="3657" t="s">
        <v>4332</v>
      </c>
      <c r="Y400" s="4098" t="s">
        <v>4106</v>
      </c>
      <c r="Z400" s="3664" t="s">
        <v>4333</v>
      </c>
      <c r="AA400" s="3620" t="s">
        <v>7284</v>
      </c>
      <c r="AB400" s="3624" t="s">
        <v>578</v>
      </c>
      <c r="AC400" s="3691">
        <v>4.9215</v>
      </c>
      <c r="AD400" s="3691">
        <f t="shared" ref="AD400:AD420" si="256">AC400*I400</f>
        <v>5905.8</v>
      </c>
      <c r="AE400" s="3633"/>
      <c r="AF400" s="959" t="s">
        <v>6263</v>
      </c>
      <c r="AG400" s="3620" t="s">
        <v>416</v>
      </c>
      <c r="AH400" s="3620"/>
      <c r="AI400" s="3620"/>
      <c r="AJ400" s="3620"/>
      <c r="AK400" s="959"/>
      <c r="AL400" s="959"/>
      <c r="AM400" s="959"/>
      <c r="AN400" s="959">
        <f t="shared" si="254"/>
        <v>1200</v>
      </c>
      <c r="AO400" s="3618"/>
      <c r="AP400" s="3618"/>
      <c r="AQ400" s="3618">
        <f t="shared" si="253"/>
        <v>1200</v>
      </c>
      <c r="AR400" s="3626"/>
      <c r="AS400" s="3626"/>
      <c r="AT400" s="3626">
        <f>I400</f>
        <v>1200</v>
      </c>
      <c r="AU400" s="3626"/>
      <c r="AV400" s="3626"/>
      <c r="AW400" s="3626"/>
      <c r="AX400" s="3626"/>
      <c r="AY400" s="3626"/>
      <c r="AZ400" s="3626"/>
      <c r="BA400" s="3626"/>
      <c r="BB400" s="3626"/>
      <c r="BC400" s="3626"/>
      <c r="BD400" s="3626"/>
      <c r="BE400" s="3626"/>
      <c r="BF400" s="3626"/>
      <c r="BG400" s="3626"/>
      <c r="BH400" s="3626"/>
      <c r="BI400" s="3626" t="s">
        <v>89</v>
      </c>
      <c r="BJ400" s="3626">
        <f t="shared" si="246"/>
        <v>40</v>
      </c>
      <c r="BK400" s="3626">
        <f t="shared" si="247"/>
        <v>200</v>
      </c>
      <c r="BL400" s="3626">
        <f t="shared" si="248"/>
        <v>200</v>
      </c>
      <c r="BM400" s="3626">
        <f t="shared" si="249"/>
        <v>160</v>
      </c>
      <c r="BN400" s="3626">
        <f t="shared" si="250"/>
        <v>200</v>
      </c>
      <c r="BO400" s="4055">
        <f t="shared" si="251"/>
        <v>200</v>
      </c>
      <c r="BP400" s="3627">
        <f t="shared" si="252"/>
        <v>200</v>
      </c>
      <c r="BQ400" s="3627">
        <f t="shared" si="241"/>
        <v>1200</v>
      </c>
      <c r="BR400" s="3627">
        <f t="shared" si="242"/>
        <v>0</v>
      </c>
      <c r="BS400" s="4056" t="s">
        <v>4338</v>
      </c>
      <c r="BT400" s="4057" t="s">
        <v>4036</v>
      </c>
    </row>
    <row r="401" s="3566" customFormat="1" ht="50" customHeight="1" spans="1:72">
      <c r="A401" s="3635">
        <v>45808</v>
      </c>
      <c r="B401" s="3617" t="s">
        <v>340</v>
      </c>
      <c r="C401" s="3617" t="s">
        <v>341</v>
      </c>
      <c r="D401" s="3618">
        <v>4500164564</v>
      </c>
      <c r="E401" s="959" t="s">
        <v>4387</v>
      </c>
      <c r="F401" s="3618" t="s">
        <v>4388</v>
      </c>
      <c r="G401" s="959" t="s">
        <v>6641</v>
      </c>
      <c r="H401" s="959" t="s">
        <v>6642</v>
      </c>
      <c r="I401" s="3618">
        <v>2701</v>
      </c>
      <c r="J401" s="3618">
        <v>0</v>
      </c>
      <c r="K401" s="3618">
        <v>1</v>
      </c>
      <c r="L401" s="4052">
        <f t="shared" si="245"/>
        <v>2701</v>
      </c>
      <c r="M401" s="3619">
        <v>45863</v>
      </c>
      <c r="N401" s="3619">
        <v>45863</v>
      </c>
      <c r="O401" s="3618"/>
      <c r="P401" s="959" t="s">
        <v>82</v>
      </c>
      <c r="Q401" s="959"/>
      <c r="R401" s="959"/>
      <c r="S401" s="959"/>
      <c r="T401" s="4053"/>
      <c r="U401" s="3620" t="s">
        <v>220</v>
      </c>
      <c r="V401" s="3649" t="s">
        <v>4389</v>
      </c>
      <c r="W401" s="3649"/>
      <c r="X401" s="3657" t="s">
        <v>4390</v>
      </c>
      <c r="Y401" s="4091"/>
      <c r="Z401" s="3664"/>
      <c r="AA401" s="3620" t="s">
        <v>4391</v>
      </c>
      <c r="AB401" s="3624" t="s">
        <v>4392</v>
      </c>
      <c r="AC401" s="4058">
        <v>8.8357</v>
      </c>
      <c r="AD401" s="3618">
        <f t="shared" si="256"/>
        <v>23865.2257</v>
      </c>
      <c r="AE401" s="3633"/>
      <c r="AF401" s="959" t="s">
        <v>3520</v>
      </c>
      <c r="AG401" s="3620" t="s">
        <v>416</v>
      </c>
      <c r="AH401" s="3620"/>
      <c r="AI401" s="3620"/>
      <c r="AJ401" s="3620"/>
      <c r="AK401" s="959"/>
      <c r="AL401" s="959">
        <f>I401</f>
        <v>2701</v>
      </c>
      <c r="AM401" s="959"/>
      <c r="AN401" s="959"/>
      <c r="AO401" s="3618"/>
      <c r="AP401" s="3618"/>
      <c r="AQ401" s="3618">
        <f t="shared" si="253"/>
        <v>2701</v>
      </c>
      <c r="AR401" s="3626"/>
      <c r="AS401" s="3626"/>
      <c r="AT401" s="3626">
        <f>I401</f>
        <v>2701</v>
      </c>
      <c r="AU401" s="3626"/>
      <c r="AV401" s="3626"/>
      <c r="AW401" s="3626"/>
      <c r="AX401" s="3626"/>
      <c r="AY401" s="3626"/>
      <c r="AZ401" s="3626"/>
      <c r="BA401" s="3626"/>
      <c r="BB401" s="3626"/>
      <c r="BC401" s="3626"/>
      <c r="BD401" s="3626"/>
      <c r="BE401" s="3626"/>
      <c r="BF401" s="3626"/>
      <c r="BG401" s="3626"/>
      <c r="BH401" s="3626"/>
      <c r="BI401" s="3626" t="s">
        <v>89</v>
      </c>
      <c r="BJ401" s="3626">
        <f t="shared" si="246"/>
        <v>90.0333333333333</v>
      </c>
      <c r="BK401" s="3626">
        <f t="shared" si="247"/>
        <v>450.166666666667</v>
      </c>
      <c r="BL401" s="3626">
        <f t="shared" si="248"/>
        <v>450.166666666667</v>
      </c>
      <c r="BM401" s="3626">
        <f t="shared" si="249"/>
        <v>360.133333333333</v>
      </c>
      <c r="BN401" s="3626">
        <f t="shared" si="250"/>
        <v>450.166666666667</v>
      </c>
      <c r="BO401" s="4055">
        <f t="shared" si="251"/>
        <v>450.166666666667</v>
      </c>
      <c r="BP401" s="3627">
        <f t="shared" si="252"/>
        <v>450.166666666667</v>
      </c>
      <c r="BQ401" s="3627">
        <f t="shared" si="241"/>
        <v>2701</v>
      </c>
      <c r="BR401" s="3627">
        <f t="shared" si="242"/>
        <v>0</v>
      </c>
      <c r="BS401" s="4056" t="s">
        <v>4351</v>
      </c>
      <c r="BT401" s="4057" t="s">
        <v>4036</v>
      </c>
    </row>
    <row r="402" s="3566" customFormat="1" ht="50" customHeight="1" spans="1:72">
      <c r="A402" s="3635">
        <v>45808</v>
      </c>
      <c r="B402" s="3617" t="s">
        <v>340</v>
      </c>
      <c r="C402" s="3617" t="s">
        <v>341</v>
      </c>
      <c r="D402" s="3618">
        <v>4500164564</v>
      </c>
      <c r="E402" s="959" t="s">
        <v>4393</v>
      </c>
      <c r="F402" s="3618" t="s">
        <v>4394</v>
      </c>
      <c r="G402" s="959" t="s">
        <v>6641</v>
      </c>
      <c r="H402" s="959" t="s">
        <v>6642</v>
      </c>
      <c r="I402" s="3618">
        <v>1299</v>
      </c>
      <c r="J402" s="3618">
        <v>0</v>
      </c>
      <c r="K402" s="3618">
        <v>1</v>
      </c>
      <c r="L402" s="4052">
        <f t="shared" si="245"/>
        <v>1299</v>
      </c>
      <c r="M402" s="3619">
        <v>45863</v>
      </c>
      <c r="N402" s="3619">
        <v>45863</v>
      </c>
      <c r="O402" s="3618"/>
      <c r="P402" s="959" t="s">
        <v>82</v>
      </c>
      <c r="Q402" s="959"/>
      <c r="R402" s="959"/>
      <c r="S402" s="959"/>
      <c r="T402" s="4053"/>
      <c r="U402" s="3620" t="s">
        <v>220</v>
      </c>
      <c r="V402" s="3649" t="s">
        <v>4389</v>
      </c>
      <c r="W402" s="3649"/>
      <c r="X402" s="3657" t="s">
        <v>4390</v>
      </c>
      <c r="Y402" s="4091"/>
      <c r="Z402" s="3664"/>
      <c r="AA402" s="3620" t="s">
        <v>4391</v>
      </c>
      <c r="AB402" s="3624" t="s">
        <v>4392</v>
      </c>
      <c r="AC402" s="4058">
        <v>8.9518</v>
      </c>
      <c r="AD402" s="3618">
        <f t="shared" si="256"/>
        <v>11628.3882</v>
      </c>
      <c r="AE402" s="3633"/>
      <c r="AF402" s="959" t="s">
        <v>3520</v>
      </c>
      <c r="AG402" s="3620" t="s">
        <v>416</v>
      </c>
      <c r="AH402" s="3620"/>
      <c r="AI402" s="3620"/>
      <c r="AJ402" s="3620"/>
      <c r="AK402" s="959"/>
      <c r="AL402" s="959">
        <f>I402</f>
        <v>1299</v>
      </c>
      <c r="AM402" s="959"/>
      <c r="AN402" s="959"/>
      <c r="AO402" s="3618"/>
      <c r="AP402" s="3618"/>
      <c r="AQ402" s="3618">
        <f t="shared" si="253"/>
        <v>1299</v>
      </c>
      <c r="AR402" s="3626"/>
      <c r="AS402" s="3626"/>
      <c r="AT402" s="3626">
        <f>I402</f>
        <v>1299</v>
      </c>
      <c r="AU402" s="3626"/>
      <c r="AV402" s="3626"/>
      <c r="AW402" s="3626"/>
      <c r="AX402" s="3626"/>
      <c r="AY402" s="3626"/>
      <c r="AZ402" s="3626"/>
      <c r="BA402" s="3626"/>
      <c r="BB402" s="3626"/>
      <c r="BC402" s="3626"/>
      <c r="BD402" s="3626"/>
      <c r="BE402" s="3626"/>
      <c r="BF402" s="3626"/>
      <c r="BG402" s="3626"/>
      <c r="BH402" s="3626"/>
      <c r="BI402" s="3626" t="s">
        <v>89</v>
      </c>
      <c r="BJ402" s="3626">
        <f t="shared" si="246"/>
        <v>43.3</v>
      </c>
      <c r="BK402" s="3626">
        <f t="shared" si="247"/>
        <v>216.5</v>
      </c>
      <c r="BL402" s="3626">
        <f t="shared" si="248"/>
        <v>216.5</v>
      </c>
      <c r="BM402" s="3626">
        <f t="shared" si="249"/>
        <v>173.2</v>
      </c>
      <c r="BN402" s="3626">
        <f t="shared" si="250"/>
        <v>216.5</v>
      </c>
      <c r="BO402" s="4055">
        <f t="shared" si="251"/>
        <v>216.5</v>
      </c>
      <c r="BP402" s="3627">
        <f t="shared" si="252"/>
        <v>216.5</v>
      </c>
      <c r="BQ402" s="3627">
        <f t="shared" si="241"/>
        <v>1299</v>
      </c>
      <c r="BR402" s="3627">
        <f t="shared" si="242"/>
        <v>0</v>
      </c>
      <c r="BS402" s="4056" t="s">
        <v>4351</v>
      </c>
      <c r="BT402" s="4057" t="s">
        <v>4036</v>
      </c>
    </row>
    <row r="403" s="3566" customFormat="1" ht="50" customHeight="1" spans="1:72">
      <c r="A403" s="3635">
        <v>45763</v>
      </c>
      <c r="B403" s="3689" t="s">
        <v>3657</v>
      </c>
      <c r="C403" s="3664" t="s">
        <v>341</v>
      </c>
      <c r="D403" s="3690">
        <v>4500163961</v>
      </c>
      <c r="E403" s="3664" t="s">
        <v>4335</v>
      </c>
      <c r="F403" s="4086" t="s">
        <v>4336</v>
      </c>
      <c r="G403" s="959" t="s">
        <v>3356</v>
      </c>
      <c r="H403" s="3618" t="s">
        <v>3517</v>
      </c>
      <c r="I403" s="3618">
        <v>8316</v>
      </c>
      <c r="J403" s="3618">
        <v>0</v>
      </c>
      <c r="K403" s="3618">
        <v>12</v>
      </c>
      <c r="L403" s="4052">
        <f t="shared" si="245"/>
        <v>693</v>
      </c>
      <c r="M403" s="3619">
        <v>45859</v>
      </c>
      <c r="N403" s="3619">
        <v>45866</v>
      </c>
      <c r="O403" s="959"/>
      <c r="P403" s="959" t="s">
        <v>82</v>
      </c>
      <c r="Q403" s="959"/>
      <c r="R403" s="959"/>
      <c r="S403" s="959"/>
      <c r="T403" s="4053"/>
      <c r="U403" s="3645" t="s">
        <v>208</v>
      </c>
      <c r="V403" s="3649" t="s">
        <v>1196</v>
      </c>
      <c r="W403" s="3649"/>
      <c r="X403" s="3657" t="s">
        <v>3661</v>
      </c>
      <c r="Y403" s="4091"/>
      <c r="Z403" s="3661" t="s">
        <v>6934</v>
      </c>
      <c r="AA403" s="3620" t="s">
        <v>3663</v>
      </c>
      <c r="AB403" s="3691" t="s">
        <v>1131</v>
      </c>
      <c r="AC403" s="3618">
        <v>4.4796</v>
      </c>
      <c r="AD403" s="3618">
        <f t="shared" si="256"/>
        <v>37252.3536</v>
      </c>
      <c r="AE403" s="3633"/>
      <c r="AF403" s="959" t="s">
        <v>6935</v>
      </c>
      <c r="AG403" s="3620" t="s">
        <v>416</v>
      </c>
      <c r="AH403" s="3620"/>
      <c r="AI403" s="3620"/>
      <c r="AJ403" s="3620"/>
      <c r="AK403" s="959"/>
      <c r="AL403" s="959"/>
      <c r="AM403" s="959"/>
      <c r="AN403" s="959"/>
      <c r="AO403" s="959">
        <f>I403</f>
        <v>8316</v>
      </c>
      <c r="AP403" s="3618"/>
      <c r="AQ403" s="3618">
        <f t="shared" si="253"/>
        <v>8316</v>
      </c>
      <c r="AR403" s="3626"/>
      <c r="AS403" s="3626">
        <f>I403</f>
        <v>8316</v>
      </c>
      <c r="AT403" s="3626"/>
      <c r="AU403" s="3626"/>
      <c r="AV403" s="3626"/>
      <c r="AW403" s="3626"/>
      <c r="AX403" s="3626"/>
      <c r="AY403" s="3626"/>
      <c r="AZ403" s="3626"/>
      <c r="BA403" s="3626"/>
      <c r="BB403" s="3626"/>
      <c r="BC403" s="3626"/>
      <c r="BD403" s="3626"/>
      <c r="BE403" s="3626"/>
      <c r="BF403" s="3626"/>
      <c r="BG403" s="3626"/>
      <c r="BH403" s="3626"/>
      <c r="BI403" s="3626" t="s">
        <v>89</v>
      </c>
      <c r="BJ403" s="3626">
        <f t="shared" si="246"/>
        <v>277.2</v>
      </c>
      <c r="BK403" s="3626">
        <f t="shared" si="247"/>
        <v>1386</v>
      </c>
      <c r="BL403" s="3626">
        <f t="shared" si="248"/>
        <v>1386</v>
      </c>
      <c r="BM403" s="3626">
        <f t="shared" si="249"/>
        <v>1108.8</v>
      </c>
      <c r="BN403" s="3626">
        <f t="shared" si="250"/>
        <v>1386</v>
      </c>
      <c r="BO403" s="4055">
        <f t="shared" si="251"/>
        <v>1386</v>
      </c>
      <c r="BP403" s="3627">
        <f t="shared" si="252"/>
        <v>1386</v>
      </c>
      <c r="BQ403" s="3627">
        <f t="shared" si="241"/>
        <v>8316</v>
      </c>
      <c r="BR403" s="3627">
        <f t="shared" si="242"/>
        <v>0</v>
      </c>
      <c r="BS403" s="4056" t="s">
        <v>7285</v>
      </c>
      <c r="BT403" s="4057">
        <v>45862</v>
      </c>
    </row>
    <row r="404" s="3566" customFormat="1" ht="50" customHeight="1" spans="1:72">
      <c r="A404" s="3635">
        <v>45763</v>
      </c>
      <c r="B404" s="3689" t="s">
        <v>3657</v>
      </c>
      <c r="C404" s="3664" t="s">
        <v>341</v>
      </c>
      <c r="D404" s="3690">
        <v>4500163961</v>
      </c>
      <c r="E404" s="3664" t="s">
        <v>4339</v>
      </c>
      <c r="F404" s="4086" t="s">
        <v>4340</v>
      </c>
      <c r="G404" s="959" t="s">
        <v>3356</v>
      </c>
      <c r="H404" s="3618" t="s">
        <v>3517</v>
      </c>
      <c r="I404" s="3618">
        <v>8316</v>
      </c>
      <c r="J404" s="3618">
        <v>0</v>
      </c>
      <c r="K404" s="3618">
        <v>12</v>
      </c>
      <c r="L404" s="4052">
        <f t="shared" si="245"/>
        <v>693</v>
      </c>
      <c r="M404" s="3619">
        <v>45859</v>
      </c>
      <c r="N404" s="3619">
        <v>45866</v>
      </c>
      <c r="O404" s="959"/>
      <c r="P404" s="959" t="s">
        <v>82</v>
      </c>
      <c r="Q404" s="959"/>
      <c r="R404" s="959"/>
      <c r="S404" s="959"/>
      <c r="T404" s="4053"/>
      <c r="U404" s="3645" t="s">
        <v>208</v>
      </c>
      <c r="V404" s="3649" t="s">
        <v>1196</v>
      </c>
      <c r="W404" s="3649"/>
      <c r="X404" s="3657" t="s">
        <v>3661</v>
      </c>
      <c r="Y404" s="4091"/>
      <c r="Z404" s="3661" t="s">
        <v>6934</v>
      </c>
      <c r="AA404" s="3620" t="s">
        <v>3663</v>
      </c>
      <c r="AB404" s="3691" t="s">
        <v>1131</v>
      </c>
      <c r="AC404" s="3618">
        <v>4.4796</v>
      </c>
      <c r="AD404" s="3618">
        <f t="shared" si="256"/>
        <v>37252.3536</v>
      </c>
      <c r="AE404" s="3633"/>
      <c r="AF404" s="959" t="s">
        <v>6935</v>
      </c>
      <c r="AG404" s="3620" t="s">
        <v>416</v>
      </c>
      <c r="AH404" s="3620"/>
      <c r="AI404" s="3620"/>
      <c r="AJ404" s="3620"/>
      <c r="AK404" s="959"/>
      <c r="AL404" s="959"/>
      <c r="AM404" s="959"/>
      <c r="AN404" s="959"/>
      <c r="AO404" s="959">
        <f>I404</f>
        <v>8316</v>
      </c>
      <c r="AP404" s="3618"/>
      <c r="AQ404" s="3618">
        <f t="shared" si="253"/>
        <v>8316</v>
      </c>
      <c r="AR404" s="3626"/>
      <c r="AS404" s="3626">
        <f>I404</f>
        <v>8316</v>
      </c>
      <c r="AT404" s="3626"/>
      <c r="AU404" s="3626"/>
      <c r="AV404" s="3626"/>
      <c r="AW404" s="3626"/>
      <c r="AX404" s="3626"/>
      <c r="AY404" s="3626"/>
      <c r="AZ404" s="3626"/>
      <c r="BA404" s="3626"/>
      <c r="BB404" s="3626"/>
      <c r="BC404" s="3626"/>
      <c r="BD404" s="3626"/>
      <c r="BE404" s="3626"/>
      <c r="BF404" s="3626"/>
      <c r="BG404" s="3626"/>
      <c r="BH404" s="3626"/>
      <c r="BI404" s="3626" t="s">
        <v>89</v>
      </c>
      <c r="BJ404" s="3626">
        <f t="shared" si="246"/>
        <v>277.2</v>
      </c>
      <c r="BK404" s="3626">
        <f t="shared" si="247"/>
        <v>1386</v>
      </c>
      <c r="BL404" s="3626">
        <f t="shared" si="248"/>
        <v>1386</v>
      </c>
      <c r="BM404" s="3626">
        <f t="shared" si="249"/>
        <v>1108.8</v>
      </c>
      <c r="BN404" s="3626">
        <f t="shared" si="250"/>
        <v>1386</v>
      </c>
      <c r="BO404" s="4055">
        <f t="shared" si="251"/>
        <v>1386</v>
      </c>
      <c r="BP404" s="3627">
        <f t="shared" si="252"/>
        <v>1386</v>
      </c>
      <c r="BQ404" s="3627">
        <f t="shared" si="241"/>
        <v>8316</v>
      </c>
      <c r="BR404" s="3627">
        <f t="shared" si="242"/>
        <v>0</v>
      </c>
      <c r="BS404" s="4056" t="s">
        <v>4338</v>
      </c>
      <c r="BT404" s="4057">
        <v>45862</v>
      </c>
    </row>
    <row r="405" s="3566" customFormat="1" ht="50" customHeight="1" spans="1:72">
      <c r="A405" s="3635">
        <v>45804</v>
      </c>
      <c r="B405" s="3617" t="s">
        <v>7212</v>
      </c>
      <c r="C405" s="3617" t="s">
        <v>91</v>
      </c>
      <c r="D405" s="3618">
        <v>4500168080</v>
      </c>
      <c r="E405" s="959" t="s">
        <v>7286</v>
      </c>
      <c r="F405" s="3618" t="s">
        <v>7287</v>
      </c>
      <c r="G405" s="959" t="s">
        <v>3520</v>
      </c>
      <c r="H405" s="3618" t="s">
        <v>6063</v>
      </c>
      <c r="I405" s="3618">
        <v>16632</v>
      </c>
      <c r="J405" s="3618">
        <v>0</v>
      </c>
      <c r="K405" s="3618">
        <v>24</v>
      </c>
      <c r="L405" s="4052">
        <f t="shared" si="245"/>
        <v>693</v>
      </c>
      <c r="M405" s="3619">
        <v>45863</v>
      </c>
      <c r="N405" s="3619">
        <v>45870</v>
      </c>
      <c r="O405" s="3618"/>
      <c r="P405" s="959" t="s">
        <v>82</v>
      </c>
      <c r="Q405" s="959"/>
      <c r="R405" s="959"/>
      <c r="S405" s="959"/>
      <c r="T405" s="4053"/>
      <c r="U405" s="4097" t="s">
        <v>220</v>
      </c>
      <c r="V405" s="3649" t="s">
        <v>1484</v>
      </c>
      <c r="W405" s="3649"/>
      <c r="X405" s="3695" t="s">
        <v>98</v>
      </c>
      <c r="Y405" s="4091"/>
      <c r="Z405" s="3664"/>
      <c r="AA405" s="3620" t="s">
        <v>7216</v>
      </c>
      <c r="AB405" s="3624" t="s">
        <v>7217</v>
      </c>
      <c r="AC405" s="4058">
        <v>2.1668</v>
      </c>
      <c r="AD405" s="3618">
        <f t="shared" si="256"/>
        <v>36038.2176</v>
      </c>
      <c r="AE405" s="3633" t="s">
        <v>7288</v>
      </c>
      <c r="AF405" s="959" t="s">
        <v>3520</v>
      </c>
      <c r="AG405" s="3620" t="s">
        <v>416</v>
      </c>
      <c r="AH405" s="3620"/>
      <c r="AI405" s="3620"/>
      <c r="AJ405" s="3620"/>
      <c r="AK405" s="959"/>
      <c r="AL405" s="959">
        <f>I405</f>
        <v>16632</v>
      </c>
      <c r="AM405" s="959"/>
      <c r="AN405" s="959"/>
      <c r="AO405" s="3618"/>
      <c r="AP405" s="3618"/>
      <c r="AQ405" s="3618">
        <f t="shared" si="253"/>
        <v>16632</v>
      </c>
      <c r="AR405" s="3626"/>
      <c r="AS405" s="3626"/>
      <c r="AT405" s="3626">
        <f t="shared" ref="AT405:AT423" si="257">I405</f>
        <v>16632</v>
      </c>
      <c r="AU405" s="3626"/>
      <c r="AV405" s="3626"/>
      <c r="AW405" s="3626"/>
      <c r="AX405" s="3626"/>
      <c r="AY405" s="3626"/>
      <c r="AZ405" s="3626"/>
      <c r="BA405" s="3626"/>
      <c r="BB405" s="3626"/>
      <c r="BC405" s="3626"/>
      <c r="BD405" s="3626"/>
      <c r="BE405" s="3626"/>
      <c r="BF405" s="3626"/>
      <c r="BG405" s="3626"/>
      <c r="BH405" s="3626"/>
      <c r="BI405" s="3626" t="s">
        <v>89</v>
      </c>
      <c r="BJ405" s="3626">
        <f t="shared" si="246"/>
        <v>554.4</v>
      </c>
      <c r="BK405" s="3626">
        <f t="shared" si="247"/>
        <v>2772</v>
      </c>
      <c r="BL405" s="3626">
        <f t="shared" si="248"/>
        <v>2772</v>
      </c>
      <c r="BM405" s="3626">
        <f t="shared" si="249"/>
        <v>2217.6</v>
      </c>
      <c r="BN405" s="3626">
        <f t="shared" si="250"/>
        <v>2772</v>
      </c>
      <c r="BO405" s="4055">
        <f t="shared" si="251"/>
        <v>2772</v>
      </c>
      <c r="BP405" s="3627">
        <f t="shared" si="252"/>
        <v>2772</v>
      </c>
      <c r="BQ405" s="3627">
        <f t="shared" si="241"/>
        <v>16632</v>
      </c>
      <c r="BR405" s="3627">
        <f t="shared" si="242"/>
        <v>0</v>
      </c>
      <c r="BS405" s="4056" t="s">
        <v>4351</v>
      </c>
      <c r="BT405" s="4057">
        <v>45870</v>
      </c>
    </row>
    <row r="406" s="3566" customFormat="1" ht="50" customHeight="1" spans="1:72">
      <c r="A406" s="3635">
        <v>45814</v>
      </c>
      <c r="B406" s="3617" t="s">
        <v>3599</v>
      </c>
      <c r="C406" s="3617" t="s">
        <v>2058</v>
      </c>
      <c r="D406" s="3618">
        <v>4500169285</v>
      </c>
      <c r="E406" s="959">
        <v>2000007035</v>
      </c>
      <c r="F406" s="959" t="s">
        <v>4342</v>
      </c>
      <c r="G406" s="959" t="s">
        <v>6643</v>
      </c>
      <c r="H406" s="3618" t="s">
        <v>3517</v>
      </c>
      <c r="I406" s="3618">
        <v>2508</v>
      </c>
      <c r="J406" s="3618">
        <v>0</v>
      </c>
      <c r="K406" s="3618">
        <v>12</v>
      </c>
      <c r="L406" s="4052">
        <f t="shared" si="245"/>
        <v>209</v>
      </c>
      <c r="M406" s="3619">
        <v>45859</v>
      </c>
      <c r="N406" s="3619">
        <v>45859</v>
      </c>
      <c r="O406" s="3664" t="s">
        <v>7283</v>
      </c>
      <c r="P406" s="4056" t="s">
        <v>82</v>
      </c>
      <c r="Q406" s="4056"/>
      <c r="R406" s="4056"/>
      <c r="S406" s="4056"/>
      <c r="T406" s="4096"/>
      <c r="U406" s="4097" t="s">
        <v>220</v>
      </c>
      <c r="V406" s="3649" t="s">
        <v>4331</v>
      </c>
      <c r="W406" s="3649"/>
      <c r="X406" s="3657" t="s">
        <v>4343</v>
      </c>
      <c r="Y406" s="4098" t="s">
        <v>4106</v>
      </c>
      <c r="Z406" s="3664" t="s">
        <v>4333</v>
      </c>
      <c r="AA406" s="3620" t="s">
        <v>4344</v>
      </c>
      <c r="AB406" s="3624" t="s">
        <v>578</v>
      </c>
      <c r="AC406" s="3691">
        <v>4.8893</v>
      </c>
      <c r="AD406" s="3691">
        <f t="shared" si="256"/>
        <v>12262.3644</v>
      </c>
      <c r="AE406" s="3633"/>
      <c r="AF406" s="959" t="s">
        <v>6263</v>
      </c>
      <c r="AG406" s="3620" t="s">
        <v>416</v>
      </c>
      <c r="AH406" s="3620"/>
      <c r="AI406" s="3620"/>
      <c r="AJ406" s="3620"/>
      <c r="AK406" s="959"/>
      <c r="AL406" s="959"/>
      <c r="AM406" s="959"/>
      <c r="AN406" s="959">
        <f>I406</f>
        <v>2508</v>
      </c>
      <c r="AO406" s="3618"/>
      <c r="AP406" s="3618"/>
      <c r="AQ406" s="3618">
        <f t="shared" si="253"/>
        <v>2508</v>
      </c>
      <c r="AR406" s="3626"/>
      <c r="AS406" s="3626"/>
      <c r="AT406" s="3626">
        <f t="shared" si="257"/>
        <v>2508</v>
      </c>
      <c r="AU406" s="3626"/>
      <c r="AV406" s="3626"/>
      <c r="AW406" s="3626"/>
      <c r="AX406" s="3626"/>
      <c r="AY406" s="3626"/>
      <c r="AZ406" s="3626"/>
      <c r="BA406" s="3626"/>
      <c r="BB406" s="3626"/>
      <c r="BC406" s="3626"/>
      <c r="BD406" s="3626"/>
      <c r="BE406" s="3626"/>
      <c r="BF406" s="3626"/>
      <c r="BG406" s="3626"/>
      <c r="BH406" s="3626"/>
      <c r="BI406" s="3626" t="s">
        <v>89</v>
      </c>
      <c r="BJ406" s="3626">
        <f t="shared" si="246"/>
        <v>83.6</v>
      </c>
      <c r="BK406" s="3626">
        <f t="shared" si="247"/>
        <v>418</v>
      </c>
      <c r="BL406" s="3626">
        <f t="shared" si="248"/>
        <v>418</v>
      </c>
      <c r="BM406" s="3626">
        <f t="shared" si="249"/>
        <v>334.4</v>
      </c>
      <c r="BN406" s="3626">
        <f t="shared" si="250"/>
        <v>418</v>
      </c>
      <c r="BO406" s="4055">
        <f t="shared" si="251"/>
        <v>418</v>
      </c>
      <c r="BP406" s="3627">
        <f t="shared" si="252"/>
        <v>418</v>
      </c>
      <c r="BQ406" s="3627">
        <f t="shared" si="241"/>
        <v>2508</v>
      </c>
      <c r="BR406" s="3627">
        <f t="shared" si="242"/>
        <v>0</v>
      </c>
      <c r="BS406" s="4056" t="s">
        <v>4338</v>
      </c>
      <c r="BT406" s="4057" t="s">
        <v>4036</v>
      </c>
    </row>
    <row r="407" s="3566" customFormat="1" ht="50" customHeight="1" spans="1:72">
      <c r="A407" s="3635">
        <v>45804</v>
      </c>
      <c r="B407" s="3617" t="s">
        <v>7212</v>
      </c>
      <c r="C407" s="3617" t="s">
        <v>91</v>
      </c>
      <c r="D407" s="3618">
        <v>4500168080</v>
      </c>
      <c r="E407" s="959" t="s">
        <v>7289</v>
      </c>
      <c r="F407" s="3618" t="s">
        <v>7290</v>
      </c>
      <c r="G407" s="959" t="s">
        <v>3520</v>
      </c>
      <c r="H407" s="3618" t="s">
        <v>6063</v>
      </c>
      <c r="I407" s="3618">
        <v>8304</v>
      </c>
      <c r="J407" s="3618">
        <v>0</v>
      </c>
      <c r="K407" s="3618">
        <v>24</v>
      </c>
      <c r="L407" s="4052">
        <f t="shared" si="245"/>
        <v>346</v>
      </c>
      <c r="M407" s="3619">
        <v>45863</v>
      </c>
      <c r="N407" s="3619">
        <v>45870</v>
      </c>
      <c r="O407" s="3618"/>
      <c r="P407" s="959" t="s">
        <v>82</v>
      </c>
      <c r="Q407" s="959"/>
      <c r="R407" s="959"/>
      <c r="S407" s="959"/>
      <c r="T407" s="4053"/>
      <c r="U407" s="3620" t="s">
        <v>4445</v>
      </c>
      <c r="V407" s="3649" t="s">
        <v>1484</v>
      </c>
      <c r="W407" s="3649"/>
      <c r="X407" s="3695" t="s">
        <v>98</v>
      </c>
      <c r="Y407" s="4091"/>
      <c r="Z407" s="3664"/>
      <c r="AA407" s="3620" t="s">
        <v>7216</v>
      </c>
      <c r="AB407" s="3624" t="s">
        <v>7217</v>
      </c>
      <c r="AC407" s="4058">
        <v>2.1668</v>
      </c>
      <c r="AD407" s="3618">
        <f t="shared" si="256"/>
        <v>17993.1072</v>
      </c>
      <c r="AE407" s="3633"/>
      <c r="AF407" s="959" t="s">
        <v>3520</v>
      </c>
      <c r="AG407" s="3620" t="s">
        <v>416</v>
      </c>
      <c r="AH407" s="3620"/>
      <c r="AI407" s="3620"/>
      <c r="AJ407" s="3620"/>
      <c r="AK407" s="959"/>
      <c r="AL407" s="959">
        <f>I407</f>
        <v>8304</v>
      </c>
      <c r="AM407" s="959"/>
      <c r="AN407" s="959"/>
      <c r="AO407" s="3618"/>
      <c r="AP407" s="3618"/>
      <c r="AQ407" s="3618">
        <f t="shared" si="253"/>
        <v>8304</v>
      </c>
      <c r="AR407" s="3626"/>
      <c r="AS407" s="3626"/>
      <c r="AT407" s="3626">
        <f t="shared" si="257"/>
        <v>8304</v>
      </c>
      <c r="AU407" s="3626"/>
      <c r="AV407" s="3626"/>
      <c r="AW407" s="3626"/>
      <c r="AX407" s="3626"/>
      <c r="AY407" s="3626"/>
      <c r="AZ407" s="3626"/>
      <c r="BA407" s="3626"/>
      <c r="BB407" s="3626"/>
      <c r="BC407" s="3626"/>
      <c r="BD407" s="3626"/>
      <c r="BE407" s="3626"/>
      <c r="BF407" s="3626"/>
      <c r="BG407" s="3626"/>
      <c r="BH407" s="3626"/>
      <c r="BI407" s="3626" t="s">
        <v>89</v>
      </c>
      <c r="BJ407" s="3626">
        <f t="shared" si="246"/>
        <v>276.8</v>
      </c>
      <c r="BK407" s="3626">
        <f t="shared" si="247"/>
        <v>1384</v>
      </c>
      <c r="BL407" s="3626">
        <f t="shared" si="248"/>
        <v>1384</v>
      </c>
      <c r="BM407" s="3626">
        <f t="shared" si="249"/>
        <v>1107.2</v>
      </c>
      <c r="BN407" s="3626">
        <f t="shared" si="250"/>
        <v>1384</v>
      </c>
      <c r="BO407" s="4055">
        <f t="shared" si="251"/>
        <v>1384</v>
      </c>
      <c r="BP407" s="3627">
        <f t="shared" si="252"/>
        <v>1384</v>
      </c>
      <c r="BQ407" s="3627">
        <f t="shared" si="241"/>
        <v>8304</v>
      </c>
      <c r="BR407" s="3627">
        <f t="shared" si="242"/>
        <v>0</v>
      </c>
      <c r="BS407" s="4056" t="s">
        <v>4351</v>
      </c>
      <c r="BT407" s="4057">
        <v>45870</v>
      </c>
    </row>
    <row r="408" s="3566" customFormat="1" ht="50" customHeight="1" spans="1:72">
      <c r="A408" s="3635">
        <v>45804</v>
      </c>
      <c r="B408" s="3617" t="s">
        <v>7212</v>
      </c>
      <c r="C408" s="3617" t="s">
        <v>91</v>
      </c>
      <c r="D408" s="3618">
        <v>4500168080</v>
      </c>
      <c r="E408" s="959" t="s">
        <v>7291</v>
      </c>
      <c r="F408" s="3618" t="s">
        <v>7292</v>
      </c>
      <c r="G408" s="959" t="s">
        <v>3520</v>
      </c>
      <c r="H408" s="3618" t="s">
        <v>6063</v>
      </c>
      <c r="I408" s="3618">
        <v>16632</v>
      </c>
      <c r="J408" s="3618">
        <v>0</v>
      </c>
      <c r="K408" s="3618">
        <v>24</v>
      </c>
      <c r="L408" s="4052">
        <f t="shared" si="245"/>
        <v>693</v>
      </c>
      <c r="M408" s="3619">
        <v>45863</v>
      </c>
      <c r="N408" s="3619">
        <v>45870</v>
      </c>
      <c r="O408" s="3618"/>
      <c r="P408" s="959" t="s">
        <v>82</v>
      </c>
      <c r="Q408" s="959"/>
      <c r="R408" s="959"/>
      <c r="S408" s="959"/>
      <c r="T408" s="4053"/>
      <c r="U408" s="4097" t="s">
        <v>220</v>
      </c>
      <c r="V408" s="3649" t="s">
        <v>1484</v>
      </c>
      <c r="W408" s="3649"/>
      <c r="X408" s="3695" t="s">
        <v>98</v>
      </c>
      <c r="Y408" s="4091"/>
      <c r="Z408" s="3664"/>
      <c r="AA408" s="3620" t="s">
        <v>7216</v>
      </c>
      <c r="AB408" s="3624" t="s">
        <v>7217</v>
      </c>
      <c r="AC408" s="4058">
        <v>2.1668</v>
      </c>
      <c r="AD408" s="3618">
        <f t="shared" si="256"/>
        <v>36038.2176</v>
      </c>
      <c r="AE408" s="3633" t="s">
        <v>7293</v>
      </c>
      <c r="AF408" s="959" t="s">
        <v>3520</v>
      </c>
      <c r="AG408" s="3620" t="s">
        <v>416</v>
      </c>
      <c r="AH408" s="3620"/>
      <c r="AI408" s="3620"/>
      <c r="AJ408" s="3620"/>
      <c r="AK408" s="959"/>
      <c r="AL408" s="959">
        <f>I408</f>
        <v>16632</v>
      </c>
      <c r="AM408" s="959"/>
      <c r="AN408" s="959"/>
      <c r="AO408" s="3618"/>
      <c r="AP408" s="3618"/>
      <c r="AQ408" s="3618">
        <f t="shared" si="253"/>
        <v>16632</v>
      </c>
      <c r="AR408" s="3626"/>
      <c r="AS408" s="3626"/>
      <c r="AT408" s="3626">
        <f t="shared" si="257"/>
        <v>16632</v>
      </c>
      <c r="AU408" s="3626"/>
      <c r="AV408" s="3626"/>
      <c r="AW408" s="3626"/>
      <c r="AX408" s="3626"/>
      <c r="AY408" s="3626"/>
      <c r="AZ408" s="3626"/>
      <c r="BA408" s="3626"/>
      <c r="BB408" s="3626"/>
      <c r="BC408" s="3626"/>
      <c r="BD408" s="3626"/>
      <c r="BE408" s="3626"/>
      <c r="BF408" s="3626"/>
      <c r="BG408" s="3626"/>
      <c r="BH408" s="3626"/>
      <c r="BI408" s="3626" t="s">
        <v>89</v>
      </c>
      <c r="BJ408" s="3626">
        <f t="shared" si="246"/>
        <v>554.4</v>
      </c>
      <c r="BK408" s="3626">
        <f t="shared" si="247"/>
        <v>2772</v>
      </c>
      <c r="BL408" s="3626">
        <f t="shared" si="248"/>
        <v>2772</v>
      </c>
      <c r="BM408" s="3626">
        <f t="shared" si="249"/>
        <v>2217.6</v>
      </c>
      <c r="BN408" s="3626">
        <f t="shared" si="250"/>
        <v>2772</v>
      </c>
      <c r="BO408" s="4055">
        <f t="shared" si="251"/>
        <v>2772</v>
      </c>
      <c r="BP408" s="3627">
        <f t="shared" si="252"/>
        <v>2772</v>
      </c>
      <c r="BQ408" s="3627">
        <f t="shared" si="241"/>
        <v>16632</v>
      </c>
      <c r="BR408" s="3627">
        <f t="shared" si="242"/>
        <v>0</v>
      </c>
      <c r="BS408" s="4056" t="s">
        <v>4351</v>
      </c>
      <c r="BT408" s="4057">
        <v>45870</v>
      </c>
    </row>
    <row r="409" s="3566" customFormat="1" ht="50" customHeight="1" spans="1:72">
      <c r="A409" s="3635">
        <v>45804</v>
      </c>
      <c r="B409" s="3617" t="s">
        <v>7212</v>
      </c>
      <c r="C409" s="3617" t="s">
        <v>91</v>
      </c>
      <c r="D409" s="3618">
        <v>4500168080</v>
      </c>
      <c r="E409" s="959" t="s">
        <v>7294</v>
      </c>
      <c r="F409" s="3618" t="s">
        <v>7295</v>
      </c>
      <c r="G409" s="959" t="s">
        <v>3520</v>
      </c>
      <c r="H409" s="3618" t="s">
        <v>6063</v>
      </c>
      <c r="I409" s="3618">
        <v>8304</v>
      </c>
      <c r="J409" s="3618">
        <v>0</v>
      </c>
      <c r="K409" s="3618">
        <v>24</v>
      </c>
      <c r="L409" s="4052">
        <f t="shared" si="245"/>
        <v>346</v>
      </c>
      <c r="M409" s="3619">
        <v>45863</v>
      </c>
      <c r="N409" s="3619">
        <v>45870</v>
      </c>
      <c r="O409" s="3618"/>
      <c r="P409" s="959" t="s">
        <v>82</v>
      </c>
      <c r="Q409" s="959"/>
      <c r="R409" s="959"/>
      <c r="S409" s="959"/>
      <c r="T409" s="4053"/>
      <c r="U409" s="3620" t="s">
        <v>1806</v>
      </c>
      <c r="V409" s="3649" t="s">
        <v>1484</v>
      </c>
      <c r="W409" s="3649"/>
      <c r="X409" s="3695" t="s">
        <v>98</v>
      </c>
      <c r="Y409" s="4091"/>
      <c r="Z409" s="3664"/>
      <c r="AA409" s="3620" t="s">
        <v>7216</v>
      </c>
      <c r="AB409" s="3624" t="s">
        <v>7217</v>
      </c>
      <c r="AC409" s="4058">
        <v>2.1668</v>
      </c>
      <c r="AD409" s="3618">
        <f t="shared" si="256"/>
        <v>17993.1072</v>
      </c>
      <c r="AE409" s="3633" t="s">
        <v>7296</v>
      </c>
      <c r="AF409" s="959" t="s">
        <v>3520</v>
      </c>
      <c r="AG409" s="3620" t="s">
        <v>416</v>
      </c>
      <c r="AH409" s="3620"/>
      <c r="AI409" s="3620"/>
      <c r="AJ409" s="3620"/>
      <c r="AK409" s="959"/>
      <c r="AL409" s="959">
        <f>I409</f>
        <v>8304</v>
      </c>
      <c r="AM409" s="959"/>
      <c r="AN409" s="959"/>
      <c r="AO409" s="3618"/>
      <c r="AP409" s="3618"/>
      <c r="AQ409" s="3618">
        <f t="shared" si="253"/>
        <v>8304</v>
      </c>
      <c r="AR409" s="3626"/>
      <c r="AS409" s="3626"/>
      <c r="AT409" s="3626">
        <f t="shared" si="257"/>
        <v>8304</v>
      </c>
      <c r="AU409" s="3626"/>
      <c r="AV409" s="3626"/>
      <c r="AW409" s="3626"/>
      <c r="AX409" s="3626"/>
      <c r="AY409" s="3626"/>
      <c r="AZ409" s="3626"/>
      <c r="BA409" s="3626"/>
      <c r="BB409" s="3626"/>
      <c r="BC409" s="3626"/>
      <c r="BD409" s="3626"/>
      <c r="BE409" s="3626"/>
      <c r="BF409" s="3626"/>
      <c r="BG409" s="3626"/>
      <c r="BH409" s="3626"/>
      <c r="BI409" s="3626" t="s">
        <v>89</v>
      </c>
      <c r="BJ409" s="3626">
        <f t="shared" si="246"/>
        <v>276.8</v>
      </c>
      <c r="BK409" s="3626">
        <f t="shared" si="247"/>
        <v>1384</v>
      </c>
      <c r="BL409" s="3626">
        <f t="shared" si="248"/>
        <v>1384</v>
      </c>
      <c r="BM409" s="3626">
        <f t="shared" si="249"/>
        <v>1107.2</v>
      </c>
      <c r="BN409" s="3626">
        <f t="shared" si="250"/>
        <v>1384</v>
      </c>
      <c r="BO409" s="4055">
        <f t="shared" si="251"/>
        <v>1384</v>
      </c>
      <c r="BP409" s="3627">
        <f t="shared" si="252"/>
        <v>1384</v>
      </c>
      <c r="BQ409" s="3627">
        <f t="shared" si="241"/>
        <v>8304</v>
      </c>
      <c r="BR409" s="3627">
        <f t="shared" si="242"/>
        <v>0</v>
      </c>
      <c r="BS409" s="4056" t="s">
        <v>4351</v>
      </c>
      <c r="BT409" s="4057">
        <v>45870</v>
      </c>
    </row>
    <row r="410" s="3566" customFormat="1" ht="50" customHeight="1" spans="1:72">
      <c r="A410" s="3635">
        <v>45804</v>
      </c>
      <c r="B410" s="3617" t="s">
        <v>7212</v>
      </c>
      <c r="C410" s="3617" t="s">
        <v>91</v>
      </c>
      <c r="D410" s="3618">
        <v>4500168080</v>
      </c>
      <c r="E410" s="959" t="s">
        <v>7297</v>
      </c>
      <c r="F410" s="3618" t="s">
        <v>7298</v>
      </c>
      <c r="G410" s="959" t="s">
        <v>3520</v>
      </c>
      <c r="H410" s="3618" t="s">
        <v>6063</v>
      </c>
      <c r="I410" s="3618">
        <v>16632</v>
      </c>
      <c r="J410" s="3618">
        <v>0</v>
      </c>
      <c r="K410" s="3618">
        <v>24</v>
      </c>
      <c r="L410" s="4052">
        <f t="shared" si="245"/>
        <v>693</v>
      </c>
      <c r="M410" s="3619">
        <v>45863</v>
      </c>
      <c r="N410" s="3619">
        <v>45870</v>
      </c>
      <c r="O410" s="3618"/>
      <c r="P410" s="959" t="s">
        <v>82</v>
      </c>
      <c r="Q410" s="959"/>
      <c r="R410" s="959"/>
      <c r="S410" s="959"/>
      <c r="T410" s="4053"/>
      <c r="U410" s="4097" t="s">
        <v>220</v>
      </c>
      <c r="V410" s="3649" t="s">
        <v>1484</v>
      </c>
      <c r="W410" s="3649"/>
      <c r="X410" s="3695" t="s">
        <v>98</v>
      </c>
      <c r="Y410" s="4091"/>
      <c r="Z410" s="3664"/>
      <c r="AA410" s="3620" t="s">
        <v>7216</v>
      </c>
      <c r="AB410" s="3624" t="s">
        <v>7217</v>
      </c>
      <c r="AC410" s="4058">
        <v>2.1668</v>
      </c>
      <c r="AD410" s="3618">
        <f t="shared" si="256"/>
        <v>36038.2176</v>
      </c>
      <c r="AE410" s="3633" t="s">
        <v>7299</v>
      </c>
      <c r="AF410" s="959" t="s">
        <v>3520</v>
      </c>
      <c r="AG410" s="3620" t="s">
        <v>416</v>
      </c>
      <c r="AH410" s="3620"/>
      <c r="AI410" s="3620"/>
      <c r="AJ410" s="3620"/>
      <c r="AK410" s="959"/>
      <c r="AL410" s="959">
        <f>I410</f>
        <v>16632</v>
      </c>
      <c r="AM410" s="959"/>
      <c r="AN410" s="959"/>
      <c r="AO410" s="3618"/>
      <c r="AP410" s="3618"/>
      <c r="AQ410" s="3618">
        <f t="shared" si="253"/>
        <v>16632</v>
      </c>
      <c r="AR410" s="3626"/>
      <c r="AS410" s="3626"/>
      <c r="AT410" s="3626">
        <f t="shared" si="257"/>
        <v>16632</v>
      </c>
      <c r="AU410" s="3626"/>
      <c r="AV410" s="3626"/>
      <c r="AW410" s="3626"/>
      <c r="AX410" s="3626"/>
      <c r="AY410" s="3626"/>
      <c r="AZ410" s="3626"/>
      <c r="BA410" s="3626"/>
      <c r="BB410" s="3626"/>
      <c r="BC410" s="3626"/>
      <c r="BD410" s="3626"/>
      <c r="BE410" s="3626"/>
      <c r="BF410" s="3626"/>
      <c r="BG410" s="3626"/>
      <c r="BH410" s="3626"/>
      <c r="BI410" s="3626" t="s">
        <v>89</v>
      </c>
      <c r="BJ410" s="3626">
        <f t="shared" si="246"/>
        <v>554.4</v>
      </c>
      <c r="BK410" s="3626">
        <f t="shared" si="247"/>
        <v>2772</v>
      </c>
      <c r="BL410" s="3626">
        <f t="shared" si="248"/>
        <v>2772</v>
      </c>
      <c r="BM410" s="3626">
        <f t="shared" si="249"/>
        <v>2217.6</v>
      </c>
      <c r="BN410" s="3626">
        <f t="shared" si="250"/>
        <v>2772</v>
      </c>
      <c r="BO410" s="4055">
        <f t="shared" si="251"/>
        <v>2772</v>
      </c>
      <c r="BP410" s="3627">
        <f t="shared" si="252"/>
        <v>2772</v>
      </c>
      <c r="BQ410" s="3627">
        <f t="shared" si="241"/>
        <v>16632</v>
      </c>
      <c r="BR410" s="3627">
        <f t="shared" si="242"/>
        <v>0</v>
      </c>
      <c r="BS410" s="4056" t="s">
        <v>4351</v>
      </c>
      <c r="BT410" s="4057">
        <v>45870</v>
      </c>
    </row>
    <row r="411" s="3566" customFormat="1" ht="50" customHeight="1" spans="1:72">
      <c r="A411" s="3635">
        <v>45804</v>
      </c>
      <c r="B411" s="3617" t="s">
        <v>7212</v>
      </c>
      <c r="C411" s="3617" t="s">
        <v>91</v>
      </c>
      <c r="D411" s="3618">
        <v>4500168080</v>
      </c>
      <c r="E411" s="959" t="s">
        <v>7300</v>
      </c>
      <c r="F411" s="3618" t="s">
        <v>7301</v>
      </c>
      <c r="G411" s="959" t="s">
        <v>3520</v>
      </c>
      <c r="H411" s="3618" t="s">
        <v>6063</v>
      </c>
      <c r="I411" s="3618">
        <v>8304</v>
      </c>
      <c r="J411" s="3618">
        <v>0</v>
      </c>
      <c r="K411" s="3618">
        <v>24</v>
      </c>
      <c r="L411" s="4052">
        <f t="shared" si="245"/>
        <v>346</v>
      </c>
      <c r="M411" s="3619">
        <v>45863</v>
      </c>
      <c r="N411" s="3619">
        <v>45870</v>
      </c>
      <c r="O411" s="3618"/>
      <c r="P411" s="959" t="s">
        <v>82</v>
      </c>
      <c r="Q411" s="959"/>
      <c r="R411" s="959"/>
      <c r="S411" s="959"/>
      <c r="T411" s="4053"/>
      <c r="U411" s="3620" t="s">
        <v>1806</v>
      </c>
      <c r="V411" s="3649" t="s">
        <v>1484</v>
      </c>
      <c r="W411" s="3649"/>
      <c r="X411" s="3695" t="s">
        <v>98</v>
      </c>
      <c r="Y411" s="4091"/>
      <c r="Z411" s="3664"/>
      <c r="AA411" s="3620" t="s">
        <v>7216</v>
      </c>
      <c r="AB411" s="3624" t="s">
        <v>7217</v>
      </c>
      <c r="AC411" s="4058">
        <v>2.1668</v>
      </c>
      <c r="AD411" s="3618">
        <f t="shared" si="256"/>
        <v>17993.1072</v>
      </c>
      <c r="AE411" s="3633"/>
      <c r="AF411" s="959" t="s">
        <v>3520</v>
      </c>
      <c r="AG411" s="3620" t="s">
        <v>416</v>
      </c>
      <c r="AH411" s="3620"/>
      <c r="AI411" s="3620"/>
      <c r="AJ411" s="3620"/>
      <c r="AK411" s="959"/>
      <c r="AL411" s="959">
        <f>I411</f>
        <v>8304</v>
      </c>
      <c r="AM411" s="959"/>
      <c r="AN411" s="959"/>
      <c r="AO411" s="3618"/>
      <c r="AP411" s="3618"/>
      <c r="AQ411" s="3618">
        <f t="shared" si="253"/>
        <v>8304</v>
      </c>
      <c r="AR411" s="3626"/>
      <c r="AS411" s="3626"/>
      <c r="AT411" s="3626">
        <f t="shared" si="257"/>
        <v>8304</v>
      </c>
      <c r="AU411" s="3626"/>
      <c r="AV411" s="3626"/>
      <c r="AW411" s="3626"/>
      <c r="AX411" s="3626"/>
      <c r="AY411" s="3626"/>
      <c r="AZ411" s="3626"/>
      <c r="BA411" s="3626"/>
      <c r="BB411" s="3626"/>
      <c r="BC411" s="3626"/>
      <c r="BD411" s="3626"/>
      <c r="BE411" s="3626"/>
      <c r="BF411" s="3626"/>
      <c r="BG411" s="3626"/>
      <c r="BH411" s="3626"/>
      <c r="BI411" s="3626" t="s">
        <v>89</v>
      </c>
      <c r="BJ411" s="3626">
        <f t="shared" si="246"/>
        <v>276.8</v>
      </c>
      <c r="BK411" s="3626">
        <f t="shared" si="247"/>
        <v>1384</v>
      </c>
      <c r="BL411" s="3626">
        <f t="shared" si="248"/>
        <v>1384</v>
      </c>
      <c r="BM411" s="3626">
        <f t="shared" si="249"/>
        <v>1107.2</v>
      </c>
      <c r="BN411" s="3626">
        <f t="shared" si="250"/>
        <v>1384</v>
      </c>
      <c r="BO411" s="4055">
        <f t="shared" si="251"/>
        <v>1384</v>
      </c>
      <c r="BP411" s="3627">
        <f t="shared" si="252"/>
        <v>1384</v>
      </c>
      <c r="BQ411" s="3627">
        <f t="shared" si="241"/>
        <v>8304</v>
      </c>
      <c r="BR411" s="3627">
        <f t="shared" si="242"/>
        <v>0</v>
      </c>
      <c r="BS411" s="4056" t="s">
        <v>4351</v>
      </c>
      <c r="BT411" s="4057">
        <v>45870</v>
      </c>
    </row>
    <row r="412" s="3566" customFormat="1" ht="50" customHeight="1" spans="1:72">
      <c r="A412" s="3635">
        <v>45771</v>
      </c>
      <c r="B412" s="3617" t="s">
        <v>1545</v>
      </c>
      <c r="C412" s="3617" t="s">
        <v>1546</v>
      </c>
      <c r="D412" s="3618">
        <v>4500164774</v>
      </c>
      <c r="E412" s="959" t="s">
        <v>1547</v>
      </c>
      <c r="F412" s="959" t="s">
        <v>7302</v>
      </c>
      <c r="G412" s="959" t="s">
        <v>6124</v>
      </c>
      <c r="H412" s="3618" t="s">
        <v>6063</v>
      </c>
      <c r="I412" s="3618">
        <v>288</v>
      </c>
      <c r="J412" s="3618">
        <v>0</v>
      </c>
      <c r="K412" s="3618">
        <v>12</v>
      </c>
      <c r="L412" s="4052">
        <f t="shared" si="245"/>
        <v>24</v>
      </c>
      <c r="M412" s="3619">
        <v>45859</v>
      </c>
      <c r="N412" s="3659">
        <v>45874</v>
      </c>
      <c r="O412" s="3618"/>
      <c r="P412" s="959" t="s">
        <v>82</v>
      </c>
      <c r="Q412" s="959"/>
      <c r="R412" s="959"/>
      <c r="S412" s="959"/>
      <c r="T412" s="4053"/>
      <c r="U412" s="3645" t="s">
        <v>211</v>
      </c>
      <c r="V412" s="3649" t="s">
        <v>1479</v>
      </c>
      <c r="W412" s="3649"/>
      <c r="X412" s="3657" t="s">
        <v>4346</v>
      </c>
      <c r="Y412" s="4091"/>
      <c r="Z412" s="3664" t="s">
        <v>1543</v>
      </c>
      <c r="AA412" s="3620" t="s">
        <v>7303</v>
      </c>
      <c r="AB412" s="3624" t="s">
        <v>459</v>
      </c>
      <c r="AC412" s="4058">
        <v>2.259</v>
      </c>
      <c r="AD412" s="3618">
        <f t="shared" si="256"/>
        <v>650.592</v>
      </c>
      <c r="AE412" s="3633"/>
      <c r="AF412" s="959" t="s">
        <v>6126</v>
      </c>
      <c r="AG412" s="3620" t="s">
        <v>416</v>
      </c>
      <c r="AH412" s="3620"/>
      <c r="AI412" s="3620"/>
      <c r="AJ412" s="3620"/>
      <c r="AK412" s="959"/>
      <c r="AL412" s="959"/>
      <c r="AM412" s="959"/>
      <c r="AN412" s="959">
        <f>I412</f>
        <v>288</v>
      </c>
      <c r="AO412" s="3618"/>
      <c r="AP412" s="3618"/>
      <c r="AQ412" s="3618">
        <f t="shared" si="253"/>
        <v>288</v>
      </c>
      <c r="AR412" s="3626"/>
      <c r="AS412" s="3626"/>
      <c r="AT412" s="3626">
        <f t="shared" si="257"/>
        <v>288</v>
      </c>
      <c r="AU412" s="3626"/>
      <c r="AV412" s="3626"/>
      <c r="AW412" s="3626">
        <f>I412/6</f>
        <v>48</v>
      </c>
      <c r="AX412" s="3626"/>
      <c r="AY412" s="3626"/>
      <c r="AZ412" s="3626"/>
      <c r="BA412" s="3626"/>
      <c r="BB412" s="3626"/>
      <c r="BC412" s="3626"/>
      <c r="BD412" s="3626"/>
      <c r="BE412" s="3626"/>
      <c r="BF412" s="3626"/>
      <c r="BG412" s="3626"/>
      <c r="BH412" s="3626"/>
      <c r="BI412" s="3626" t="s">
        <v>89</v>
      </c>
      <c r="BJ412" s="3626">
        <f t="shared" si="246"/>
        <v>9.6</v>
      </c>
      <c r="BK412" s="3626">
        <f t="shared" si="247"/>
        <v>48</v>
      </c>
      <c r="BL412" s="3626">
        <f t="shared" si="248"/>
        <v>48</v>
      </c>
      <c r="BM412" s="3626">
        <f t="shared" si="249"/>
        <v>38.4</v>
      </c>
      <c r="BN412" s="3626">
        <f t="shared" si="250"/>
        <v>48</v>
      </c>
      <c r="BO412" s="4055">
        <f t="shared" si="251"/>
        <v>48</v>
      </c>
      <c r="BP412" s="3627">
        <f t="shared" si="252"/>
        <v>48</v>
      </c>
      <c r="BQ412" s="3627">
        <f t="shared" si="241"/>
        <v>288</v>
      </c>
      <c r="BR412" s="3627">
        <f t="shared" si="242"/>
        <v>0</v>
      </c>
      <c r="BS412" s="4056" t="s">
        <v>4338</v>
      </c>
      <c r="BT412" s="4057">
        <v>45874</v>
      </c>
    </row>
    <row r="413" s="3566" customFormat="1" ht="50" customHeight="1" spans="1:72">
      <c r="A413" s="3635">
        <v>45771</v>
      </c>
      <c r="B413" s="3617" t="s">
        <v>1538</v>
      </c>
      <c r="C413" s="3617" t="s">
        <v>1142</v>
      </c>
      <c r="D413" s="3618">
        <v>4500159848</v>
      </c>
      <c r="E413" s="959" t="s">
        <v>1539</v>
      </c>
      <c r="F413" s="959" t="s">
        <v>7304</v>
      </c>
      <c r="G413" s="959" t="s">
        <v>6124</v>
      </c>
      <c r="H413" s="3618" t="s">
        <v>6063</v>
      </c>
      <c r="I413" s="3618">
        <v>96</v>
      </c>
      <c r="J413" s="3618">
        <v>0</v>
      </c>
      <c r="K413" s="3618">
        <v>12</v>
      </c>
      <c r="L413" s="4052">
        <f t="shared" si="245"/>
        <v>8</v>
      </c>
      <c r="M413" s="3619">
        <v>45859</v>
      </c>
      <c r="N413" s="3659">
        <v>45874</v>
      </c>
      <c r="O413" s="3618"/>
      <c r="P413" s="959" t="s">
        <v>82</v>
      </c>
      <c r="Q413" s="959"/>
      <c r="R413" s="959"/>
      <c r="S413" s="959"/>
      <c r="T413" s="4053"/>
      <c r="U413" s="3645" t="s">
        <v>7305</v>
      </c>
      <c r="V413" s="3649" t="s">
        <v>1479</v>
      </c>
      <c r="W413" s="3649"/>
      <c r="X413" s="3657" t="s">
        <v>4346</v>
      </c>
      <c r="Y413" s="3649"/>
      <c r="Z413" s="3664" t="s">
        <v>1543</v>
      </c>
      <c r="AA413" s="3620" t="s">
        <v>7306</v>
      </c>
      <c r="AB413" s="3624" t="s">
        <v>459</v>
      </c>
      <c r="AC413" s="4058">
        <v>2.259</v>
      </c>
      <c r="AD413" s="3618">
        <f t="shared" si="256"/>
        <v>216.864</v>
      </c>
      <c r="AE413" s="3633"/>
      <c r="AF413" s="959" t="s">
        <v>6126</v>
      </c>
      <c r="AG413" s="3620" t="s">
        <v>416</v>
      </c>
      <c r="AH413" s="3620"/>
      <c r="AI413" s="3620"/>
      <c r="AJ413" s="3620"/>
      <c r="AK413" s="959"/>
      <c r="AL413" s="959"/>
      <c r="AM413" s="959"/>
      <c r="AN413" s="959">
        <f>I413</f>
        <v>96</v>
      </c>
      <c r="AO413" s="3618"/>
      <c r="AP413" s="3618"/>
      <c r="AQ413" s="3618">
        <f t="shared" si="253"/>
        <v>96</v>
      </c>
      <c r="AR413" s="3626"/>
      <c r="AS413" s="3626"/>
      <c r="AT413" s="3626">
        <f t="shared" si="257"/>
        <v>96</v>
      </c>
      <c r="AU413" s="3626"/>
      <c r="AV413" s="3626"/>
      <c r="AW413" s="3626">
        <f>I413/6</f>
        <v>16</v>
      </c>
      <c r="AX413" s="3626"/>
      <c r="AY413" s="3626"/>
      <c r="AZ413" s="3626"/>
      <c r="BA413" s="3626"/>
      <c r="BB413" s="3626"/>
      <c r="BC413" s="3626"/>
      <c r="BD413" s="3626"/>
      <c r="BE413" s="3626"/>
      <c r="BF413" s="3626"/>
      <c r="BG413" s="3626"/>
      <c r="BH413" s="3626"/>
      <c r="BI413" s="3626" t="s">
        <v>89</v>
      </c>
      <c r="BJ413" s="3626">
        <f t="shared" si="246"/>
        <v>3.2</v>
      </c>
      <c r="BK413" s="3626">
        <f t="shared" si="247"/>
        <v>16</v>
      </c>
      <c r="BL413" s="3626">
        <f t="shared" si="248"/>
        <v>16</v>
      </c>
      <c r="BM413" s="3626">
        <f t="shared" si="249"/>
        <v>12.8</v>
      </c>
      <c r="BN413" s="3626">
        <f t="shared" si="250"/>
        <v>16</v>
      </c>
      <c r="BO413" s="4055">
        <f t="shared" si="251"/>
        <v>16</v>
      </c>
      <c r="BP413" s="3627">
        <f t="shared" si="252"/>
        <v>16</v>
      </c>
      <c r="BQ413" s="3627">
        <f t="shared" si="241"/>
        <v>96</v>
      </c>
      <c r="BR413" s="3627">
        <f t="shared" si="242"/>
        <v>0</v>
      </c>
      <c r="BS413" s="4056" t="s">
        <v>4338</v>
      </c>
      <c r="BT413" s="4057">
        <v>45874</v>
      </c>
    </row>
    <row r="414" s="3566" customFormat="1" ht="50" customHeight="1" spans="1:72">
      <c r="A414" s="3635">
        <v>45769</v>
      </c>
      <c r="B414" s="3617" t="s">
        <v>2285</v>
      </c>
      <c r="C414" s="3617" t="s">
        <v>351</v>
      </c>
      <c r="D414" s="3624">
        <v>4500164451</v>
      </c>
      <c r="E414" s="3618" t="s">
        <v>3330</v>
      </c>
      <c r="F414" s="3617" t="s">
        <v>7307</v>
      </c>
      <c r="G414" s="959" t="s">
        <v>6254</v>
      </c>
      <c r="H414" s="3618" t="s">
        <v>7308</v>
      </c>
      <c r="I414" s="3618">
        <v>10242</v>
      </c>
      <c r="J414" s="3618">
        <v>0</v>
      </c>
      <c r="K414" s="3618">
        <v>6</v>
      </c>
      <c r="L414" s="4052">
        <f t="shared" si="245"/>
        <v>1707</v>
      </c>
      <c r="M414" s="3619">
        <v>45873</v>
      </c>
      <c r="N414" s="3619">
        <v>45874</v>
      </c>
      <c r="O414" s="959"/>
      <c r="P414" s="959" t="s">
        <v>82</v>
      </c>
      <c r="Q414" s="959"/>
      <c r="R414" s="959"/>
      <c r="S414" s="959"/>
      <c r="T414" s="4053"/>
      <c r="U414" s="3645" t="s">
        <v>2461</v>
      </c>
      <c r="V414" s="3649" t="s">
        <v>1419</v>
      </c>
      <c r="W414" s="3657"/>
      <c r="X414" s="3657" t="s">
        <v>98</v>
      </c>
      <c r="Y414" s="3657"/>
      <c r="Z414" s="3661" t="s">
        <v>4457</v>
      </c>
      <c r="AA414" s="3620" t="s">
        <v>7309</v>
      </c>
      <c r="AB414" s="3624" t="s">
        <v>1199</v>
      </c>
      <c r="AC414" s="3618">
        <v>2.2217</v>
      </c>
      <c r="AD414" s="3618">
        <f t="shared" si="256"/>
        <v>22754.6514</v>
      </c>
      <c r="AE414" s="3633"/>
      <c r="AF414" s="959" t="s">
        <v>6620</v>
      </c>
      <c r="AG414" s="3620" t="s">
        <v>416</v>
      </c>
      <c r="AH414" s="3620"/>
      <c r="AI414" s="3620"/>
      <c r="AJ414" s="3620"/>
      <c r="AK414" s="959"/>
      <c r="AL414" s="959"/>
      <c r="AM414" s="959"/>
      <c r="AN414" s="959"/>
      <c r="AO414" s="959">
        <f>I414</f>
        <v>10242</v>
      </c>
      <c r="AP414" s="3618"/>
      <c r="AQ414" s="3618">
        <f t="shared" si="253"/>
        <v>10242</v>
      </c>
      <c r="AR414" s="3626"/>
      <c r="AS414" s="3626"/>
      <c r="AT414" s="3626">
        <f t="shared" si="257"/>
        <v>10242</v>
      </c>
      <c r="AU414" s="3626"/>
      <c r="AV414" s="3626"/>
      <c r="AW414" s="3626"/>
      <c r="AX414" s="3626"/>
      <c r="AY414" s="3626">
        <f>I414/6</f>
        <v>1707</v>
      </c>
      <c r="AZ414" s="3626"/>
      <c r="BA414" s="3626"/>
      <c r="BB414" s="3626"/>
      <c r="BC414" s="3626"/>
      <c r="BD414" s="3626"/>
      <c r="BE414" s="3626"/>
      <c r="BF414" s="3626"/>
      <c r="BG414" s="3626"/>
      <c r="BH414" s="3626"/>
      <c r="BI414" s="3626" t="s">
        <v>89</v>
      </c>
      <c r="BJ414" s="3626">
        <f t="shared" si="246"/>
        <v>341.4</v>
      </c>
      <c r="BK414" s="3626">
        <f t="shared" si="247"/>
        <v>1707</v>
      </c>
      <c r="BL414" s="3626">
        <f t="shared" si="248"/>
        <v>1707</v>
      </c>
      <c r="BM414" s="3626">
        <f t="shared" si="249"/>
        <v>1365.6</v>
      </c>
      <c r="BN414" s="3626">
        <f t="shared" si="250"/>
        <v>1707</v>
      </c>
      <c r="BO414" s="4055">
        <f t="shared" si="251"/>
        <v>1707</v>
      </c>
      <c r="BP414" s="3627">
        <f t="shared" si="252"/>
        <v>1707</v>
      </c>
      <c r="BQ414" s="3627">
        <f t="shared" si="241"/>
        <v>10242</v>
      </c>
      <c r="BR414" s="3627">
        <f t="shared" si="242"/>
        <v>0</v>
      </c>
      <c r="BS414" s="4056" t="s">
        <v>4460</v>
      </c>
      <c r="BT414" s="4057">
        <v>45874</v>
      </c>
    </row>
    <row r="415" s="3566" customFormat="1" ht="50" customHeight="1" spans="1:72">
      <c r="A415" s="3635">
        <v>45769</v>
      </c>
      <c r="B415" s="3617" t="s">
        <v>2285</v>
      </c>
      <c r="C415" s="3617" t="s">
        <v>351</v>
      </c>
      <c r="D415" s="3624">
        <v>4500164451</v>
      </c>
      <c r="E415" s="3618" t="s">
        <v>3336</v>
      </c>
      <c r="F415" s="3617" t="s">
        <v>7310</v>
      </c>
      <c r="G415" s="959" t="s">
        <v>6254</v>
      </c>
      <c r="H415" s="3618" t="s">
        <v>7308</v>
      </c>
      <c r="I415" s="3618">
        <v>3984</v>
      </c>
      <c r="J415" s="3618">
        <v>0</v>
      </c>
      <c r="K415" s="3618">
        <v>6</v>
      </c>
      <c r="L415" s="4052">
        <f t="shared" si="245"/>
        <v>664</v>
      </c>
      <c r="M415" s="3619">
        <v>45873</v>
      </c>
      <c r="N415" s="3619">
        <v>45874</v>
      </c>
      <c r="O415" s="959"/>
      <c r="P415" s="959" t="s">
        <v>82</v>
      </c>
      <c r="Q415" s="959"/>
      <c r="R415" s="959"/>
      <c r="S415" s="959"/>
      <c r="T415" s="4053"/>
      <c r="U415" s="3645" t="s">
        <v>4462</v>
      </c>
      <c r="V415" s="3649" t="s">
        <v>1419</v>
      </c>
      <c r="W415" s="3657"/>
      <c r="X415" s="3657" t="s">
        <v>98</v>
      </c>
      <c r="Y415" s="3657"/>
      <c r="Z415" s="3661" t="s">
        <v>4457</v>
      </c>
      <c r="AA415" s="3620" t="s">
        <v>7309</v>
      </c>
      <c r="AB415" s="3624" t="s">
        <v>1199</v>
      </c>
      <c r="AC415" s="3618">
        <v>2.2217</v>
      </c>
      <c r="AD415" s="3618">
        <f t="shared" si="256"/>
        <v>8851.2528</v>
      </c>
      <c r="AE415" s="3633"/>
      <c r="AF415" s="959" t="s">
        <v>6620</v>
      </c>
      <c r="AG415" s="3620" t="s">
        <v>416</v>
      </c>
      <c r="AH415" s="3620"/>
      <c r="AI415" s="3620"/>
      <c r="AJ415" s="3620"/>
      <c r="AK415" s="959"/>
      <c r="AL415" s="959"/>
      <c r="AM415" s="959"/>
      <c r="AN415" s="959"/>
      <c r="AO415" s="959">
        <f>I415</f>
        <v>3984</v>
      </c>
      <c r="AP415" s="3618"/>
      <c r="AQ415" s="3618">
        <f t="shared" si="253"/>
        <v>3984</v>
      </c>
      <c r="AR415" s="3626"/>
      <c r="AS415" s="3626"/>
      <c r="AT415" s="3626">
        <f t="shared" si="257"/>
        <v>3984</v>
      </c>
      <c r="AU415" s="3626"/>
      <c r="AV415" s="3626"/>
      <c r="AW415" s="3626"/>
      <c r="AX415" s="3626"/>
      <c r="AY415" s="3626">
        <f>I415/6</f>
        <v>664</v>
      </c>
      <c r="AZ415" s="3626"/>
      <c r="BA415" s="3626"/>
      <c r="BB415" s="3626"/>
      <c r="BC415" s="3626"/>
      <c r="BD415" s="3626"/>
      <c r="BE415" s="3626"/>
      <c r="BF415" s="3626"/>
      <c r="BG415" s="3626"/>
      <c r="BH415" s="3626"/>
      <c r="BI415" s="3626" t="s">
        <v>89</v>
      </c>
      <c r="BJ415" s="3626">
        <f t="shared" si="246"/>
        <v>132.8</v>
      </c>
      <c r="BK415" s="3626">
        <f t="shared" si="247"/>
        <v>664</v>
      </c>
      <c r="BL415" s="3626">
        <f t="shared" si="248"/>
        <v>664</v>
      </c>
      <c r="BM415" s="3626">
        <f t="shared" si="249"/>
        <v>531.2</v>
      </c>
      <c r="BN415" s="3626">
        <f t="shared" si="250"/>
        <v>664</v>
      </c>
      <c r="BO415" s="4055">
        <f t="shared" si="251"/>
        <v>664</v>
      </c>
      <c r="BP415" s="3627">
        <f t="shared" si="252"/>
        <v>664</v>
      </c>
      <c r="BQ415" s="3627">
        <f t="shared" si="241"/>
        <v>3984</v>
      </c>
      <c r="BR415" s="3627">
        <f t="shared" si="242"/>
        <v>0</v>
      </c>
      <c r="BS415" s="4056" t="s">
        <v>4460</v>
      </c>
      <c r="BT415" s="4057">
        <v>45874</v>
      </c>
    </row>
    <row r="416" s="3566" customFormat="1" ht="50" customHeight="1" spans="1:72">
      <c r="A416" s="3635">
        <v>45835</v>
      </c>
      <c r="B416" s="3617" t="s">
        <v>1682</v>
      </c>
      <c r="C416" s="3617" t="s">
        <v>91</v>
      </c>
      <c r="D416" s="3624">
        <v>4500171334</v>
      </c>
      <c r="E416" s="3618">
        <v>383742406</v>
      </c>
      <c r="F416" s="3617" t="s">
        <v>7311</v>
      </c>
      <c r="G416" s="959" t="s">
        <v>3520</v>
      </c>
      <c r="H416" s="3618" t="s">
        <v>6063</v>
      </c>
      <c r="I416" s="3618">
        <v>4800</v>
      </c>
      <c r="J416" s="3618">
        <v>0</v>
      </c>
      <c r="K416" s="3618">
        <v>24</v>
      </c>
      <c r="L416" s="4052">
        <f t="shared" si="245"/>
        <v>200</v>
      </c>
      <c r="M416" s="3619">
        <v>45868</v>
      </c>
      <c r="N416" s="3619">
        <v>45870</v>
      </c>
      <c r="O416" s="3664"/>
      <c r="P416" s="959" t="s">
        <v>82</v>
      </c>
      <c r="Q416" s="959"/>
      <c r="R416" s="959"/>
      <c r="S416" s="959"/>
      <c r="T416" s="4053"/>
      <c r="U416" s="3620" t="s">
        <v>1565</v>
      </c>
      <c r="V416" s="3649" t="s">
        <v>1644</v>
      </c>
      <c r="W416" s="3657"/>
      <c r="X416" s="3657" t="s">
        <v>1685</v>
      </c>
      <c r="Y416" s="3661"/>
      <c r="Z416" s="3661"/>
      <c r="AA416" s="3620" t="s">
        <v>4561</v>
      </c>
      <c r="AB416" s="3624" t="s">
        <v>500</v>
      </c>
      <c r="AC416" s="4058">
        <v>1.3001</v>
      </c>
      <c r="AD416" s="3618">
        <f t="shared" si="256"/>
        <v>6240.48</v>
      </c>
      <c r="AE416" s="3633" t="s">
        <v>7312</v>
      </c>
      <c r="AF416" s="959" t="s">
        <v>3520</v>
      </c>
      <c r="AG416" s="3620" t="s">
        <v>416</v>
      </c>
      <c r="AH416" s="3620"/>
      <c r="AI416" s="3620"/>
      <c r="AJ416" s="3620"/>
      <c r="AK416" s="959"/>
      <c r="AL416" s="959">
        <f>I416</f>
        <v>4800</v>
      </c>
      <c r="AM416" s="959"/>
      <c r="AN416" s="959"/>
      <c r="AO416" s="959"/>
      <c r="AP416" s="3618"/>
      <c r="AQ416" s="3618">
        <f t="shared" si="253"/>
        <v>4800</v>
      </c>
      <c r="AR416" s="3626"/>
      <c r="AS416" s="3626"/>
      <c r="AT416" s="3626">
        <f t="shared" si="257"/>
        <v>4800</v>
      </c>
      <c r="AU416" s="3626"/>
      <c r="AV416" s="3626"/>
      <c r="AW416" s="3626"/>
      <c r="AX416" s="3626"/>
      <c r="AY416" s="3626"/>
      <c r="AZ416" s="3626"/>
      <c r="BA416" s="3626"/>
      <c r="BB416" s="3626"/>
      <c r="BC416" s="3626"/>
      <c r="BD416" s="3626"/>
      <c r="BE416" s="3626"/>
      <c r="BF416" s="3626"/>
      <c r="BG416" s="3626"/>
      <c r="BH416" s="3626"/>
      <c r="BI416" s="3626" t="s">
        <v>89</v>
      </c>
      <c r="BJ416" s="3626">
        <f t="shared" si="246"/>
        <v>160</v>
      </c>
      <c r="BK416" s="3626">
        <f t="shared" si="247"/>
        <v>800</v>
      </c>
      <c r="BL416" s="3626">
        <f t="shared" si="248"/>
        <v>800</v>
      </c>
      <c r="BM416" s="3626">
        <f t="shared" si="249"/>
        <v>640</v>
      </c>
      <c r="BN416" s="3626">
        <f t="shared" si="250"/>
        <v>800</v>
      </c>
      <c r="BO416" s="4055">
        <f t="shared" si="251"/>
        <v>800</v>
      </c>
      <c r="BP416" s="3627">
        <f t="shared" si="252"/>
        <v>800</v>
      </c>
      <c r="BQ416" s="3627">
        <f t="shared" si="241"/>
        <v>4800</v>
      </c>
      <c r="BR416" s="3627">
        <f t="shared" si="242"/>
        <v>0</v>
      </c>
      <c r="BS416" s="4056" t="e">
        <v>#N/A</v>
      </c>
      <c r="BT416" s="4057">
        <v>45870</v>
      </c>
    </row>
    <row r="417" s="3566" customFormat="1" ht="50" customHeight="1" spans="1:72">
      <c r="A417" s="3635">
        <v>45796</v>
      </c>
      <c r="B417" s="3617" t="s">
        <v>7313</v>
      </c>
      <c r="C417" s="3617" t="s">
        <v>1385</v>
      </c>
      <c r="D417" s="3618">
        <v>4500165940</v>
      </c>
      <c r="E417" s="959">
        <v>4752530092</v>
      </c>
      <c r="F417" s="959" t="s">
        <v>7314</v>
      </c>
      <c r="G417" s="959" t="s">
        <v>6195</v>
      </c>
      <c r="H417" s="3618" t="s">
        <v>6063</v>
      </c>
      <c r="I417" s="3618">
        <v>468</v>
      </c>
      <c r="J417" s="3618">
        <v>0</v>
      </c>
      <c r="K417" s="3618">
        <v>12</v>
      </c>
      <c r="L417" s="4052">
        <f t="shared" si="245"/>
        <v>39</v>
      </c>
      <c r="M417" s="3619">
        <v>45875</v>
      </c>
      <c r="N417" s="3619">
        <v>45876</v>
      </c>
      <c r="O417" s="3664"/>
      <c r="P417" s="959" t="s">
        <v>82</v>
      </c>
      <c r="Q417" s="959"/>
      <c r="R417" s="959"/>
      <c r="S417" s="959"/>
      <c r="T417" s="4053"/>
      <c r="U417" s="3620" t="s">
        <v>2461</v>
      </c>
      <c r="V417" s="3657" t="s">
        <v>229</v>
      </c>
      <c r="W417" s="3695"/>
      <c r="X417" s="3649" t="s">
        <v>98</v>
      </c>
      <c r="Y417" s="4091"/>
      <c r="Z417" s="3661"/>
      <c r="AA417" s="3620" t="s">
        <v>7315</v>
      </c>
      <c r="AB417" s="3624" t="s">
        <v>448</v>
      </c>
      <c r="AC417" s="4058">
        <v>2.2766</v>
      </c>
      <c r="AD417" s="3618">
        <f t="shared" si="256"/>
        <v>1065.4488</v>
      </c>
      <c r="AE417" s="3633"/>
      <c r="AF417" s="959" t="s">
        <v>6195</v>
      </c>
      <c r="AG417" s="3620" t="s">
        <v>416</v>
      </c>
      <c r="AH417" s="3620"/>
      <c r="AI417" s="3620"/>
      <c r="AJ417" s="3620"/>
      <c r="AK417" s="959"/>
      <c r="AL417" s="959">
        <f>I417</f>
        <v>468</v>
      </c>
      <c r="AM417" s="959"/>
      <c r="AN417" s="959"/>
      <c r="AO417" s="959"/>
      <c r="AP417" s="3618"/>
      <c r="AQ417" s="3618">
        <f t="shared" si="253"/>
        <v>468</v>
      </c>
      <c r="AR417" s="3626"/>
      <c r="AS417" s="3626"/>
      <c r="AT417" s="3626">
        <f t="shared" si="257"/>
        <v>468</v>
      </c>
      <c r="AU417" s="3626"/>
      <c r="AV417" s="3626"/>
      <c r="AW417" s="3626"/>
      <c r="AX417" s="3626"/>
      <c r="AY417" s="3626">
        <f>I417/6</f>
        <v>78</v>
      </c>
      <c r="AZ417" s="3626"/>
      <c r="BA417" s="3626"/>
      <c r="BB417" s="3626"/>
      <c r="BC417" s="3626"/>
      <c r="BD417" s="3626"/>
      <c r="BE417" s="3626"/>
      <c r="BF417" s="3626"/>
      <c r="BG417" s="3626"/>
      <c r="BH417" s="3626"/>
      <c r="BI417" s="3626" t="s">
        <v>89</v>
      </c>
      <c r="BJ417" s="3626">
        <f t="shared" si="246"/>
        <v>15.6</v>
      </c>
      <c r="BK417" s="3626">
        <f t="shared" si="247"/>
        <v>78</v>
      </c>
      <c r="BL417" s="3626">
        <f t="shared" si="248"/>
        <v>78</v>
      </c>
      <c r="BM417" s="3626">
        <f t="shared" si="249"/>
        <v>62.4</v>
      </c>
      <c r="BN417" s="3626">
        <f t="shared" si="250"/>
        <v>78</v>
      </c>
      <c r="BO417" s="4055">
        <f t="shared" si="251"/>
        <v>78</v>
      </c>
      <c r="BP417" s="3627">
        <f t="shared" si="252"/>
        <v>78</v>
      </c>
      <c r="BQ417" s="3627">
        <f t="shared" si="241"/>
        <v>468</v>
      </c>
      <c r="BR417" s="3627">
        <f t="shared" si="242"/>
        <v>0</v>
      </c>
      <c r="BS417" s="4056" t="s">
        <v>7316</v>
      </c>
      <c r="BT417" s="4057">
        <v>45876</v>
      </c>
    </row>
    <row r="418" s="3566" customFormat="1" ht="50" customHeight="1" spans="1:72">
      <c r="A418" s="3635">
        <v>45826</v>
      </c>
      <c r="B418" s="3617" t="s">
        <v>7317</v>
      </c>
      <c r="C418" s="3617" t="s">
        <v>7318</v>
      </c>
      <c r="D418" s="3624">
        <v>4500170501</v>
      </c>
      <c r="E418" s="3618"/>
      <c r="F418" s="3617" t="s">
        <v>7319</v>
      </c>
      <c r="G418" s="959" t="s">
        <v>3520</v>
      </c>
      <c r="H418" s="3618" t="s">
        <v>6063</v>
      </c>
      <c r="I418" s="3618">
        <v>2400</v>
      </c>
      <c r="J418" s="3618">
        <v>0</v>
      </c>
      <c r="K418" s="3618">
        <v>24</v>
      </c>
      <c r="L418" s="4052">
        <f t="shared" si="245"/>
        <v>100</v>
      </c>
      <c r="M418" s="3619">
        <v>45866</v>
      </c>
      <c r="N418" s="3619">
        <v>45873</v>
      </c>
      <c r="O418" s="3664"/>
      <c r="P418" s="959" t="s">
        <v>82</v>
      </c>
      <c r="Q418" s="959"/>
      <c r="R418" s="959"/>
      <c r="S418" s="959"/>
      <c r="T418" s="4053"/>
      <c r="U418" s="3620" t="s">
        <v>1483</v>
      </c>
      <c r="V418" s="3649" t="s">
        <v>1571</v>
      </c>
      <c r="W418" s="3657"/>
      <c r="X418" s="3657" t="s">
        <v>7320</v>
      </c>
      <c r="Y418" s="3657"/>
      <c r="Z418" s="3661"/>
      <c r="AA418" s="3620" t="s">
        <v>7321</v>
      </c>
      <c r="AB418" s="3624" t="s">
        <v>892</v>
      </c>
      <c r="AC418" s="4058">
        <v>2.145</v>
      </c>
      <c r="AD418" s="3618">
        <f t="shared" si="256"/>
        <v>5148</v>
      </c>
      <c r="AE418" s="3633"/>
      <c r="AF418" s="959" t="s">
        <v>3520</v>
      </c>
      <c r="AG418" s="3620" t="s">
        <v>416</v>
      </c>
      <c r="AH418" s="3620"/>
      <c r="AI418" s="3620"/>
      <c r="AJ418" s="3620"/>
      <c r="AK418" s="959"/>
      <c r="AL418" s="959">
        <f>I418</f>
        <v>2400</v>
      </c>
      <c r="AM418" s="959"/>
      <c r="AN418" s="959"/>
      <c r="AO418" s="959"/>
      <c r="AP418" s="3618"/>
      <c r="AQ418" s="3618">
        <f t="shared" si="253"/>
        <v>2400</v>
      </c>
      <c r="AR418" s="3626"/>
      <c r="AS418" s="3626"/>
      <c r="AT418" s="3626">
        <f t="shared" si="257"/>
        <v>2400</v>
      </c>
      <c r="AU418" s="3626"/>
      <c r="AV418" s="3626"/>
      <c r="AW418" s="3626"/>
      <c r="AX418" s="3626"/>
      <c r="AY418" s="3626"/>
      <c r="AZ418" s="3626"/>
      <c r="BA418" s="3626"/>
      <c r="BB418" s="3626"/>
      <c r="BC418" s="3626"/>
      <c r="BD418" s="3626"/>
      <c r="BE418" s="3626"/>
      <c r="BF418" s="3626"/>
      <c r="BG418" s="3626"/>
      <c r="BH418" s="3626"/>
      <c r="BI418" s="3626" t="s">
        <v>89</v>
      </c>
      <c r="BJ418" s="3626">
        <f t="shared" si="246"/>
        <v>80</v>
      </c>
      <c r="BK418" s="3626">
        <f t="shared" si="247"/>
        <v>400</v>
      </c>
      <c r="BL418" s="3626">
        <f t="shared" si="248"/>
        <v>400</v>
      </c>
      <c r="BM418" s="3626">
        <f t="shared" si="249"/>
        <v>320</v>
      </c>
      <c r="BN418" s="3626">
        <f t="shared" si="250"/>
        <v>400</v>
      </c>
      <c r="BO418" s="4055">
        <f t="shared" si="251"/>
        <v>400</v>
      </c>
      <c r="BP418" s="3627">
        <f t="shared" si="252"/>
        <v>400</v>
      </c>
      <c r="BQ418" s="3627">
        <f t="shared" si="241"/>
        <v>2400</v>
      </c>
      <c r="BR418" s="3627">
        <f t="shared" si="242"/>
        <v>0</v>
      </c>
      <c r="BS418" s="4056" t="s">
        <v>4364</v>
      </c>
      <c r="BT418" s="4057">
        <v>45873</v>
      </c>
    </row>
    <row r="419" s="3566" customFormat="1" ht="50" customHeight="1" spans="1:72">
      <c r="A419" s="3635">
        <v>45835</v>
      </c>
      <c r="B419" s="3617" t="s">
        <v>1682</v>
      </c>
      <c r="C419" s="3617" t="s">
        <v>91</v>
      </c>
      <c r="D419" s="3624">
        <v>4500171334</v>
      </c>
      <c r="E419" s="3618">
        <v>383738506</v>
      </c>
      <c r="F419" s="3617" t="s">
        <v>7322</v>
      </c>
      <c r="G419" s="959" t="s">
        <v>3520</v>
      </c>
      <c r="H419" s="3618" t="s">
        <v>6063</v>
      </c>
      <c r="I419" s="3618">
        <v>7200</v>
      </c>
      <c r="J419" s="3618">
        <v>0</v>
      </c>
      <c r="K419" s="3618">
        <v>24</v>
      </c>
      <c r="L419" s="4052">
        <f t="shared" si="245"/>
        <v>300</v>
      </c>
      <c r="M419" s="3619">
        <v>45868</v>
      </c>
      <c r="N419" s="3619">
        <v>45870</v>
      </c>
      <c r="O419" s="3664"/>
      <c r="P419" s="959"/>
      <c r="Q419" s="959"/>
      <c r="R419" s="959"/>
      <c r="S419" s="959"/>
      <c r="T419" s="4053"/>
      <c r="U419" s="3620" t="s">
        <v>1565</v>
      </c>
      <c r="V419" s="3649" t="s">
        <v>1644</v>
      </c>
      <c r="W419" s="3657"/>
      <c r="X419" s="3657" t="s">
        <v>1685</v>
      </c>
      <c r="Y419" s="3661"/>
      <c r="Z419" s="3661"/>
      <c r="AA419" s="3620" t="s">
        <v>4561</v>
      </c>
      <c r="AB419" s="3624" t="s">
        <v>500</v>
      </c>
      <c r="AC419" s="4058">
        <v>1.3001</v>
      </c>
      <c r="AD419" s="3618">
        <f t="shared" si="256"/>
        <v>9360.72</v>
      </c>
      <c r="AE419" s="3633" t="s">
        <v>7323</v>
      </c>
      <c r="AF419" s="959" t="s">
        <v>3520</v>
      </c>
      <c r="AG419" s="3620" t="s">
        <v>416</v>
      </c>
      <c r="AH419" s="3620"/>
      <c r="AI419" s="3620"/>
      <c r="AJ419" s="3620"/>
      <c r="AK419" s="959"/>
      <c r="AL419" s="959">
        <f>I419</f>
        <v>7200</v>
      </c>
      <c r="AM419" s="959"/>
      <c r="AN419" s="959"/>
      <c r="AO419" s="959"/>
      <c r="AP419" s="3618"/>
      <c r="AQ419" s="3618">
        <f t="shared" si="253"/>
        <v>7200</v>
      </c>
      <c r="AR419" s="3626"/>
      <c r="AS419" s="3626"/>
      <c r="AT419" s="3626">
        <f t="shared" si="257"/>
        <v>7200</v>
      </c>
      <c r="AU419" s="3626"/>
      <c r="AV419" s="3626"/>
      <c r="AW419" s="3626"/>
      <c r="AX419" s="3626"/>
      <c r="AY419" s="3626"/>
      <c r="AZ419" s="3626"/>
      <c r="BA419" s="3626"/>
      <c r="BB419" s="3626"/>
      <c r="BC419" s="3626"/>
      <c r="BD419" s="3626"/>
      <c r="BE419" s="3626"/>
      <c r="BF419" s="3626"/>
      <c r="BG419" s="3626"/>
      <c r="BH419" s="3626"/>
      <c r="BI419" s="3626" t="s">
        <v>89</v>
      </c>
      <c r="BJ419" s="3626">
        <f t="shared" si="246"/>
        <v>240</v>
      </c>
      <c r="BK419" s="3626">
        <f t="shared" si="247"/>
        <v>1200</v>
      </c>
      <c r="BL419" s="3626">
        <f t="shared" si="248"/>
        <v>1200</v>
      </c>
      <c r="BM419" s="3626">
        <f t="shared" si="249"/>
        <v>960</v>
      </c>
      <c r="BN419" s="3626">
        <f t="shared" si="250"/>
        <v>1200</v>
      </c>
      <c r="BO419" s="4055">
        <f t="shared" si="251"/>
        <v>1200</v>
      </c>
      <c r="BP419" s="3627">
        <f t="shared" si="252"/>
        <v>1200</v>
      </c>
      <c r="BQ419" s="3627">
        <f t="shared" si="241"/>
        <v>7200</v>
      </c>
      <c r="BR419" s="3627">
        <f t="shared" si="242"/>
        <v>0</v>
      </c>
      <c r="BS419" s="4056" t="e">
        <v>#N/A</v>
      </c>
      <c r="BT419" s="4057">
        <v>45870</v>
      </c>
    </row>
    <row r="420" s="3566" customFormat="1" ht="50" customHeight="1" spans="1:72">
      <c r="A420" s="3635">
        <v>45828</v>
      </c>
      <c r="B420" s="3617" t="s">
        <v>4533</v>
      </c>
      <c r="C420" s="3617" t="s">
        <v>738</v>
      </c>
      <c r="D420" s="3618">
        <v>4500170750</v>
      </c>
      <c r="E420" s="959"/>
      <c r="F420" s="959" t="s">
        <v>7324</v>
      </c>
      <c r="G420" s="959" t="s">
        <v>6124</v>
      </c>
      <c r="H420" s="3618" t="s">
        <v>6063</v>
      </c>
      <c r="I420" s="3618">
        <v>504</v>
      </c>
      <c r="J420" s="3618">
        <v>0</v>
      </c>
      <c r="K420" s="3618">
        <v>12</v>
      </c>
      <c r="L420" s="4052">
        <f t="shared" si="245"/>
        <v>42</v>
      </c>
      <c r="M420" s="3619">
        <v>45877</v>
      </c>
      <c r="N420" s="3619">
        <v>45878</v>
      </c>
      <c r="O420" s="3664"/>
      <c r="P420" s="959" t="s">
        <v>82</v>
      </c>
      <c r="Q420" s="959"/>
      <c r="R420" s="959"/>
      <c r="S420" s="959"/>
      <c r="T420" s="4053"/>
      <c r="U420" s="3645" t="s">
        <v>1675</v>
      </c>
      <c r="V420" s="3649" t="s">
        <v>1644</v>
      </c>
      <c r="W420" s="3695"/>
      <c r="X420" s="3649" t="s">
        <v>4535</v>
      </c>
      <c r="Y420" s="4091"/>
      <c r="Z420" s="3661"/>
      <c r="AA420" s="3620" t="s">
        <v>7325</v>
      </c>
      <c r="AB420" s="3624" t="s">
        <v>1257</v>
      </c>
      <c r="AC420" s="4058">
        <v>2.259</v>
      </c>
      <c r="AD420" s="3618">
        <f t="shared" si="256"/>
        <v>1138.536</v>
      </c>
      <c r="AE420" s="3633"/>
      <c r="AF420" s="959" t="s">
        <v>6126</v>
      </c>
      <c r="AG420" s="3620" t="s">
        <v>416</v>
      </c>
      <c r="AH420" s="3620"/>
      <c r="AI420" s="3620"/>
      <c r="AJ420" s="3620"/>
      <c r="AK420" s="959"/>
      <c r="AL420" s="959"/>
      <c r="AM420" s="959"/>
      <c r="AN420" s="959">
        <f>I420</f>
        <v>504</v>
      </c>
      <c r="AO420" s="959"/>
      <c r="AP420" s="3618"/>
      <c r="AQ420" s="3618">
        <f t="shared" si="253"/>
        <v>504</v>
      </c>
      <c r="AR420" s="3626"/>
      <c r="AS420" s="3626"/>
      <c r="AT420" s="3626">
        <f t="shared" si="257"/>
        <v>504</v>
      </c>
      <c r="AU420" s="3626"/>
      <c r="AV420" s="3626"/>
      <c r="AW420" s="3626">
        <f>I420/6</f>
        <v>84</v>
      </c>
      <c r="AX420" s="3626"/>
      <c r="AY420" s="3626"/>
      <c r="AZ420" s="3626"/>
      <c r="BA420" s="3626"/>
      <c r="BB420" s="3626"/>
      <c r="BC420" s="3626"/>
      <c r="BD420" s="3626"/>
      <c r="BE420" s="3626"/>
      <c r="BF420" s="3626"/>
      <c r="BG420" s="3626"/>
      <c r="BH420" s="3626"/>
      <c r="BI420" s="3626" t="s">
        <v>89</v>
      </c>
      <c r="BJ420" s="3626">
        <f t="shared" si="246"/>
        <v>16.8</v>
      </c>
      <c r="BK420" s="3626">
        <f t="shared" si="247"/>
        <v>84</v>
      </c>
      <c r="BL420" s="3626">
        <f t="shared" si="248"/>
        <v>84</v>
      </c>
      <c r="BM420" s="3626">
        <f t="shared" si="249"/>
        <v>67.2</v>
      </c>
      <c r="BN420" s="3626">
        <f t="shared" si="250"/>
        <v>84</v>
      </c>
      <c r="BO420" s="4055">
        <f t="shared" si="251"/>
        <v>84</v>
      </c>
      <c r="BP420" s="3627">
        <f t="shared" si="252"/>
        <v>84</v>
      </c>
      <c r="BQ420" s="3627">
        <f t="shared" si="241"/>
        <v>504</v>
      </c>
      <c r="BR420" s="3627">
        <f t="shared" si="242"/>
        <v>0</v>
      </c>
      <c r="BS420" s="4056" t="s">
        <v>4554</v>
      </c>
      <c r="BT420" s="4057">
        <v>45878</v>
      </c>
    </row>
    <row r="421" s="3566" customFormat="1" ht="50" customHeight="1" spans="1:72">
      <c r="A421" s="3635">
        <v>45838</v>
      </c>
      <c r="B421" s="3617" t="s">
        <v>340</v>
      </c>
      <c r="C421" s="3617" t="s">
        <v>341</v>
      </c>
      <c r="D421" s="3624">
        <v>4500164221</v>
      </c>
      <c r="E421" s="3618">
        <v>240139</v>
      </c>
      <c r="F421" s="3624" t="s">
        <v>7326</v>
      </c>
      <c r="G421" s="959" t="s">
        <v>3520</v>
      </c>
      <c r="H421" s="3618" t="s">
        <v>6063</v>
      </c>
      <c r="I421" s="3618">
        <v>1008</v>
      </c>
      <c r="J421" s="3618">
        <v>0</v>
      </c>
      <c r="K421" s="3618">
        <v>24</v>
      </c>
      <c r="L421" s="4052">
        <f t="shared" si="245"/>
        <v>42</v>
      </c>
      <c r="M421" s="3619">
        <v>45870</v>
      </c>
      <c r="N421" s="3619">
        <v>45870</v>
      </c>
      <c r="O421" s="3664"/>
      <c r="P421" s="959" t="s">
        <v>82</v>
      </c>
      <c r="Q421" s="959"/>
      <c r="R421" s="959"/>
      <c r="S421" s="959"/>
      <c r="T421" s="4053"/>
      <c r="U421" s="3620" t="s">
        <v>1541</v>
      </c>
      <c r="V421" s="3649" t="s">
        <v>4543</v>
      </c>
      <c r="W421" s="3657"/>
      <c r="X421" s="3657" t="s">
        <v>7327</v>
      </c>
      <c r="Y421" s="3657"/>
      <c r="Z421" s="3661"/>
      <c r="AA421" s="3620" t="s">
        <v>7328</v>
      </c>
      <c r="AB421" s="3624" t="s">
        <v>3577</v>
      </c>
      <c r="AC421" s="4058">
        <v>2.1973</v>
      </c>
      <c r="AD421" s="3618">
        <f>I421*AC421</f>
        <v>2214.8784</v>
      </c>
      <c r="AE421" s="3633"/>
      <c r="AF421" s="959" t="s">
        <v>3520</v>
      </c>
      <c r="AG421" s="3620" t="s">
        <v>416</v>
      </c>
      <c r="AH421" s="3620"/>
      <c r="AI421" s="3620"/>
      <c r="AJ421" s="3620"/>
      <c r="AK421" s="959"/>
      <c r="AL421" s="959">
        <f>I421</f>
        <v>1008</v>
      </c>
      <c r="AM421" s="959"/>
      <c r="AN421" s="959"/>
      <c r="AO421" s="959"/>
      <c r="AP421" s="3618"/>
      <c r="AQ421" s="3618">
        <f t="shared" si="253"/>
        <v>1008</v>
      </c>
      <c r="AR421" s="3626"/>
      <c r="AS421" s="3626"/>
      <c r="AT421" s="3626">
        <f t="shared" si="257"/>
        <v>1008</v>
      </c>
      <c r="AU421" s="3626"/>
      <c r="AV421" s="3626"/>
      <c r="AW421" s="3626"/>
      <c r="AX421" s="3626"/>
      <c r="AY421" s="3626"/>
      <c r="AZ421" s="3626"/>
      <c r="BA421" s="3626"/>
      <c r="BB421" s="3626"/>
      <c r="BC421" s="3626"/>
      <c r="BD421" s="3626"/>
      <c r="BE421" s="3626"/>
      <c r="BF421" s="3626"/>
      <c r="BG421" s="3626"/>
      <c r="BH421" s="3626"/>
      <c r="BI421" s="3626" t="s">
        <v>89</v>
      </c>
      <c r="BJ421" s="3626">
        <f t="shared" si="246"/>
        <v>33.6</v>
      </c>
      <c r="BK421" s="3626">
        <f t="shared" si="247"/>
        <v>168</v>
      </c>
      <c r="BL421" s="3626">
        <f t="shared" si="248"/>
        <v>168</v>
      </c>
      <c r="BM421" s="3626">
        <f t="shared" si="249"/>
        <v>134.4</v>
      </c>
      <c r="BN421" s="3626">
        <f t="shared" si="250"/>
        <v>168</v>
      </c>
      <c r="BO421" s="4055">
        <f t="shared" si="251"/>
        <v>168</v>
      </c>
      <c r="BP421" s="3627">
        <f t="shared" si="252"/>
        <v>168</v>
      </c>
      <c r="BQ421" s="3627">
        <f t="shared" si="241"/>
        <v>1008</v>
      </c>
      <c r="BR421" s="3627">
        <f t="shared" si="242"/>
        <v>0</v>
      </c>
      <c r="BS421" s="4056" t="s">
        <v>4415</v>
      </c>
      <c r="BT421" s="4057" t="s">
        <v>4036</v>
      </c>
    </row>
    <row r="422" s="3566" customFormat="1" ht="50" customHeight="1" spans="1:72">
      <c r="A422" s="3635">
        <v>45839</v>
      </c>
      <c r="B422" s="3617" t="s">
        <v>2775</v>
      </c>
      <c r="C422" s="3617" t="s">
        <v>2776</v>
      </c>
      <c r="D422" s="3624">
        <v>4500171253</v>
      </c>
      <c r="E422" s="3618"/>
      <c r="F422" s="3624" t="s">
        <v>7329</v>
      </c>
      <c r="G422" s="959" t="s">
        <v>6124</v>
      </c>
      <c r="H422" s="3618" t="s">
        <v>6063</v>
      </c>
      <c r="I422" s="3618">
        <v>1620</v>
      </c>
      <c r="J422" s="3618">
        <v>0</v>
      </c>
      <c r="K422" s="3618">
        <v>12</v>
      </c>
      <c r="L422" s="4052">
        <f t="shared" si="245"/>
        <v>135</v>
      </c>
      <c r="M422" s="3619">
        <v>45874</v>
      </c>
      <c r="N422" s="3619">
        <v>45874</v>
      </c>
      <c r="O422" s="3664"/>
      <c r="P422" s="959" t="s">
        <v>82</v>
      </c>
      <c r="Q422" s="959"/>
      <c r="R422" s="959"/>
      <c r="S422" s="959"/>
      <c r="T422" s="4053"/>
      <c r="U422" s="3645" t="s">
        <v>224</v>
      </c>
      <c r="V422" s="3649" t="s">
        <v>4464</v>
      </c>
      <c r="W422" s="3657"/>
      <c r="X422" s="3657" t="s">
        <v>4465</v>
      </c>
      <c r="Y422" s="3657"/>
      <c r="Z422" s="3661"/>
      <c r="AA422" s="3620" t="s">
        <v>7330</v>
      </c>
      <c r="AB422" s="3624" t="s">
        <v>459</v>
      </c>
      <c r="AC422" s="4058">
        <v>2.2547</v>
      </c>
      <c r="AD422" s="3618">
        <f>AC422*I422</f>
        <v>3652.614</v>
      </c>
      <c r="AE422" s="3633"/>
      <c r="AF422" s="959" t="s">
        <v>6126</v>
      </c>
      <c r="AG422" s="3620" t="s">
        <v>416</v>
      </c>
      <c r="AH422" s="3620"/>
      <c r="AI422" s="3620"/>
      <c r="AJ422" s="3620"/>
      <c r="AK422" s="959"/>
      <c r="AL422" s="959"/>
      <c r="AM422" s="959"/>
      <c r="AN422" s="959">
        <f>I422</f>
        <v>1620</v>
      </c>
      <c r="AO422" s="959"/>
      <c r="AP422" s="3618"/>
      <c r="AQ422" s="3618">
        <f t="shared" si="253"/>
        <v>1620</v>
      </c>
      <c r="AR422" s="3626"/>
      <c r="AS422" s="3626"/>
      <c r="AT422" s="3626">
        <f t="shared" si="257"/>
        <v>1620</v>
      </c>
      <c r="AU422" s="3626"/>
      <c r="AV422" s="3626"/>
      <c r="AW422" s="3626">
        <f>I422/6</f>
        <v>270</v>
      </c>
      <c r="AX422" s="3626"/>
      <c r="AY422" s="3626"/>
      <c r="AZ422" s="3626"/>
      <c r="BA422" s="3626"/>
      <c r="BB422" s="3626"/>
      <c r="BC422" s="3626"/>
      <c r="BD422" s="3626"/>
      <c r="BE422" s="3626"/>
      <c r="BF422" s="3626"/>
      <c r="BG422" s="3626"/>
      <c r="BH422" s="3626"/>
      <c r="BI422" s="3626" t="s">
        <v>89</v>
      </c>
      <c r="BJ422" s="3626">
        <f t="shared" si="246"/>
        <v>54</v>
      </c>
      <c r="BK422" s="3626">
        <f t="shared" si="247"/>
        <v>270</v>
      </c>
      <c r="BL422" s="3626">
        <f t="shared" si="248"/>
        <v>270</v>
      </c>
      <c r="BM422" s="3626">
        <f t="shared" si="249"/>
        <v>216</v>
      </c>
      <c r="BN422" s="3626">
        <f t="shared" si="250"/>
        <v>270</v>
      </c>
      <c r="BO422" s="4055">
        <f t="shared" si="251"/>
        <v>270</v>
      </c>
      <c r="BP422" s="3627">
        <f t="shared" si="252"/>
        <v>270</v>
      </c>
      <c r="BQ422" s="3627">
        <f t="shared" si="241"/>
        <v>1620</v>
      </c>
      <c r="BR422" s="3627">
        <f t="shared" si="242"/>
        <v>0</v>
      </c>
      <c r="BS422" s="4056" t="e">
        <v>#N/A</v>
      </c>
      <c r="BT422" s="4057" t="s">
        <v>4467</v>
      </c>
    </row>
    <row r="423" s="3566" customFormat="1" ht="50" customHeight="1" spans="1:72">
      <c r="A423" s="3635">
        <v>45839</v>
      </c>
      <c r="B423" s="3617" t="s">
        <v>407</v>
      </c>
      <c r="C423" s="3617" t="s">
        <v>91</v>
      </c>
      <c r="D423" s="3624">
        <v>4500172203</v>
      </c>
      <c r="E423" s="3618">
        <v>60235975</v>
      </c>
      <c r="F423" s="3617" t="s">
        <v>7331</v>
      </c>
      <c r="G423" s="959" t="s">
        <v>3520</v>
      </c>
      <c r="H423" s="3618" t="s">
        <v>6063</v>
      </c>
      <c r="I423" s="3618">
        <v>4008</v>
      </c>
      <c r="J423" s="3618">
        <v>0</v>
      </c>
      <c r="K423" s="3618">
        <v>24</v>
      </c>
      <c r="L423" s="4052">
        <f t="shared" si="245"/>
        <v>167</v>
      </c>
      <c r="M423" s="3619">
        <v>45870</v>
      </c>
      <c r="N423" s="3619">
        <v>45875</v>
      </c>
      <c r="O423" s="3664"/>
      <c r="P423" s="959" t="s">
        <v>82</v>
      </c>
      <c r="Q423" s="959"/>
      <c r="R423" s="959"/>
      <c r="S423" s="959"/>
      <c r="T423" s="4053"/>
      <c r="U423" s="3645" t="s">
        <v>1394</v>
      </c>
      <c r="V423" s="3649" t="s">
        <v>1598</v>
      </c>
      <c r="W423" s="3649"/>
      <c r="X423" s="3657" t="s">
        <v>98</v>
      </c>
      <c r="Y423" s="3649" t="s">
        <v>1620</v>
      </c>
      <c r="Z423" s="3661"/>
      <c r="AA423" s="3620" t="s">
        <v>1621</v>
      </c>
      <c r="AB423" s="3624" t="s">
        <v>393</v>
      </c>
      <c r="AC423" s="4058">
        <v>1.2844</v>
      </c>
      <c r="AD423" s="3618">
        <f>I423*AC423</f>
        <v>5147.8752</v>
      </c>
      <c r="AE423" s="3633" t="s">
        <v>1725</v>
      </c>
      <c r="AF423" s="959" t="s">
        <v>3520</v>
      </c>
      <c r="AG423" s="3620" t="s">
        <v>416</v>
      </c>
      <c r="AH423" s="3620"/>
      <c r="AI423" s="3620"/>
      <c r="AJ423" s="3620"/>
      <c r="AK423" s="959"/>
      <c r="AL423" s="959">
        <f>I423</f>
        <v>4008</v>
      </c>
      <c r="AM423" s="959"/>
      <c r="AN423" s="959"/>
      <c r="AO423" s="959"/>
      <c r="AP423" s="3618"/>
      <c r="AQ423" s="3618">
        <f t="shared" si="253"/>
        <v>4008</v>
      </c>
      <c r="AR423" s="3626"/>
      <c r="AS423" s="3626"/>
      <c r="AT423" s="3626">
        <f t="shared" si="257"/>
        <v>4008</v>
      </c>
      <c r="AU423" s="3626"/>
      <c r="AV423" s="3626"/>
      <c r="AW423" s="3626"/>
      <c r="AX423" s="3626"/>
      <c r="AY423" s="3626"/>
      <c r="AZ423" s="3626"/>
      <c r="BA423" s="3626"/>
      <c r="BB423" s="3626"/>
      <c r="BC423" s="3626"/>
      <c r="BD423" s="3626"/>
      <c r="BE423" s="3626"/>
      <c r="BF423" s="3626"/>
      <c r="BG423" s="3626"/>
      <c r="BH423" s="3626"/>
      <c r="BI423" s="3626" t="s">
        <v>89</v>
      </c>
      <c r="BJ423" s="3626">
        <f t="shared" si="246"/>
        <v>133.6</v>
      </c>
      <c r="BK423" s="3626">
        <f t="shared" si="247"/>
        <v>668</v>
      </c>
      <c r="BL423" s="3626">
        <f t="shared" si="248"/>
        <v>668</v>
      </c>
      <c r="BM423" s="3626">
        <f t="shared" si="249"/>
        <v>534.4</v>
      </c>
      <c r="BN423" s="3626">
        <f t="shared" si="250"/>
        <v>668</v>
      </c>
      <c r="BO423" s="4055">
        <f t="shared" si="251"/>
        <v>668</v>
      </c>
      <c r="BP423" s="3627">
        <f t="shared" si="252"/>
        <v>668</v>
      </c>
      <c r="BQ423" s="3627">
        <f t="shared" si="241"/>
        <v>4008</v>
      </c>
      <c r="BR423" s="3627">
        <f t="shared" si="242"/>
        <v>0</v>
      </c>
      <c r="BS423" s="4056" t="s">
        <v>4415</v>
      </c>
      <c r="BT423" s="4057">
        <v>45875</v>
      </c>
    </row>
    <row r="424" s="3566" customFormat="1" ht="50" customHeight="1" spans="1:72">
      <c r="A424" s="3635">
        <v>45826</v>
      </c>
      <c r="B424" s="3617" t="s">
        <v>7332</v>
      </c>
      <c r="C424" s="3617" t="s">
        <v>1624</v>
      </c>
      <c r="D424" s="3624">
        <v>4500169773</v>
      </c>
      <c r="E424" s="3618" t="s">
        <v>7333</v>
      </c>
      <c r="F424" s="3617" t="s">
        <v>7334</v>
      </c>
      <c r="G424" s="959" t="s">
        <v>6228</v>
      </c>
      <c r="H424" s="3618" t="s">
        <v>6063</v>
      </c>
      <c r="I424" s="3618">
        <v>402</v>
      </c>
      <c r="J424" s="3618">
        <v>0</v>
      </c>
      <c r="K424" s="3618">
        <v>6</v>
      </c>
      <c r="L424" s="4052">
        <f t="shared" si="245"/>
        <v>67</v>
      </c>
      <c r="M424" s="3619">
        <v>45874</v>
      </c>
      <c r="N424" s="3619">
        <v>45876</v>
      </c>
      <c r="O424" s="3664"/>
      <c r="P424" s="959" t="s">
        <v>82</v>
      </c>
      <c r="Q424" s="959"/>
      <c r="R424" s="959"/>
      <c r="S424" s="959"/>
      <c r="T424" s="4053"/>
      <c r="U424" s="3620" t="s">
        <v>220</v>
      </c>
      <c r="V424" s="3649" t="s">
        <v>1571</v>
      </c>
      <c r="W424" s="3657"/>
      <c r="X424" s="3657" t="s">
        <v>98</v>
      </c>
      <c r="Y424" s="3657" t="s">
        <v>7335</v>
      </c>
      <c r="Z424" s="3661"/>
      <c r="AA424" s="3620" t="s">
        <v>7336</v>
      </c>
      <c r="AB424" s="3624" t="s">
        <v>6785</v>
      </c>
      <c r="AC424" s="4058">
        <v>2.267</v>
      </c>
      <c r="AD424" s="3618">
        <f>AC424*I424</f>
        <v>911.334</v>
      </c>
      <c r="AE424" s="3633"/>
      <c r="AF424" s="959" t="s">
        <v>6068</v>
      </c>
      <c r="AG424" s="3620" t="s">
        <v>416</v>
      </c>
      <c r="AH424" s="3620"/>
      <c r="AI424" s="3620"/>
      <c r="AJ424" s="3620"/>
      <c r="AK424" s="959"/>
      <c r="AL424" s="959"/>
      <c r="AM424" s="959"/>
      <c r="AN424" s="959">
        <f>I424</f>
        <v>402</v>
      </c>
      <c r="AO424" s="959"/>
      <c r="AP424" s="3618"/>
      <c r="AQ424" s="3618">
        <f t="shared" si="253"/>
        <v>402</v>
      </c>
      <c r="AR424" s="3626"/>
      <c r="AS424" s="3626"/>
      <c r="AT424" s="3626"/>
      <c r="AU424" s="3626">
        <f>I424</f>
        <v>402</v>
      </c>
      <c r="AV424" s="3626"/>
      <c r="AW424" s="3626"/>
      <c r="AX424" s="3626"/>
      <c r="AY424" s="3626">
        <f>I424/6</f>
        <v>67</v>
      </c>
      <c r="AZ424" s="3626"/>
      <c r="BA424" s="3626"/>
      <c r="BB424" s="3626"/>
      <c r="BC424" s="3626"/>
      <c r="BD424" s="3626"/>
      <c r="BE424" s="3626"/>
      <c r="BF424" s="3626"/>
      <c r="BG424" s="3626"/>
      <c r="BH424" s="3626"/>
      <c r="BI424" s="3626" t="s">
        <v>89</v>
      </c>
      <c r="BJ424" s="3626">
        <f t="shared" si="246"/>
        <v>13.4</v>
      </c>
      <c r="BK424" s="3626">
        <f t="shared" si="247"/>
        <v>67</v>
      </c>
      <c r="BL424" s="3626">
        <f t="shared" si="248"/>
        <v>67</v>
      </c>
      <c r="BM424" s="3626">
        <f t="shared" si="249"/>
        <v>53.6</v>
      </c>
      <c r="BN424" s="3626">
        <f t="shared" si="250"/>
        <v>67</v>
      </c>
      <c r="BO424" s="4055">
        <f t="shared" si="251"/>
        <v>67</v>
      </c>
      <c r="BP424" s="3627">
        <f t="shared" si="252"/>
        <v>67</v>
      </c>
      <c r="BQ424" s="3627">
        <f t="shared" si="241"/>
        <v>402</v>
      </c>
      <c r="BR424" s="3627">
        <f t="shared" si="242"/>
        <v>0</v>
      </c>
      <c r="BS424" s="4056" t="s">
        <v>4470</v>
      </c>
      <c r="BT424" s="4057">
        <v>45876</v>
      </c>
    </row>
    <row r="425" s="3566" customFormat="1" ht="50" customHeight="1" spans="1:72">
      <c r="A425" s="3635">
        <v>45828</v>
      </c>
      <c r="B425" s="3617" t="s">
        <v>7337</v>
      </c>
      <c r="C425" s="3617" t="s">
        <v>6225</v>
      </c>
      <c r="D425" s="3618">
        <v>4500169764</v>
      </c>
      <c r="E425" s="959" t="s">
        <v>7338</v>
      </c>
      <c r="F425" s="959" t="s">
        <v>7339</v>
      </c>
      <c r="G425" s="959" t="s">
        <v>6228</v>
      </c>
      <c r="H425" s="3618" t="s">
        <v>6063</v>
      </c>
      <c r="I425" s="3618">
        <v>960</v>
      </c>
      <c r="J425" s="3618">
        <v>0</v>
      </c>
      <c r="K425" s="3618">
        <v>6</v>
      </c>
      <c r="L425" s="4052">
        <f t="shared" si="245"/>
        <v>160</v>
      </c>
      <c r="M425" s="3619">
        <v>45877</v>
      </c>
      <c r="N425" s="3619">
        <v>45877</v>
      </c>
      <c r="O425" s="3664"/>
      <c r="P425" s="959" t="s">
        <v>82</v>
      </c>
      <c r="Q425" s="959"/>
      <c r="R425" s="959"/>
      <c r="S425" s="959"/>
      <c r="T425" s="4053"/>
      <c r="U425" s="3620" t="s">
        <v>220</v>
      </c>
      <c r="V425" s="3649" t="s">
        <v>4578</v>
      </c>
      <c r="W425" s="3695"/>
      <c r="X425" s="3649" t="s">
        <v>7335</v>
      </c>
      <c r="Y425" s="4091"/>
      <c r="Z425" s="3661"/>
      <c r="AA425" s="3620" t="s">
        <v>7340</v>
      </c>
      <c r="AB425" s="3624" t="s">
        <v>424</v>
      </c>
      <c r="AC425" s="4058">
        <v>2.2713</v>
      </c>
      <c r="AD425" s="3618">
        <f>AC425*I425</f>
        <v>2180.448</v>
      </c>
      <c r="AE425" s="3633"/>
      <c r="AF425" s="959" t="s">
        <v>6068</v>
      </c>
      <c r="AG425" s="3620" t="s">
        <v>416</v>
      </c>
      <c r="AH425" s="3620"/>
      <c r="AI425" s="3620"/>
      <c r="AJ425" s="3620"/>
      <c r="AK425" s="959"/>
      <c r="AL425" s="959"/>
      <c r="AM425" s="959"/>
      <c r="AN425" s="959">
        <f>I425</f>
        <v>960</v>
      </c>
      <c r="AO425" s="959"/>
      <c r="AP425" s="3618"/>
      <c r="AQ425" s="3618">
        <f t="shared" si="253"/>
        <v>960</v>
      </c>
      <c r="AR425" s="3626"/>
      <c r="AS425" s="3626"/>
      <c r="AT425" s="3626"/>
      <c r="AU425" s="3626">
        <f>I425</f>
        <v>960</v>
      </c>
      <c r="AV425" s="3626"/>
      <c r="AW425" s="3626"/>
      <c r="AX425" s="3626"/>
      <c r="AY425" s="3626">
        <f>I425/6</f>
        <v>160</v>
      </c>
      <c r="AZ425" s="3626"/>
      <c r="BA425" s="3626"/>
      <c r="BB425" s="3626"/>
      <c r="BC425" s="3626"/>
      <c r="BD425" s="3626"/>
      <c r="BE425" s="3626"/>
      <c r="BF425" s="3626"/>
      <c r="BG425" s="3626"/>
      <c r="BH425" s="3626"/>
      <c r="BI425" s="3626" t="s">
        <v>89</v>
      </c>
      <c r="BJ425" s="3626">
        <f t="shared" si="246"/>
        <v>32</v>
      </c>
      <c r="BK425" s="3626">
        <f t="shared" si="247"/>
        <v>160</v>
      </c>
      <c r="BL425" s="3626">
        <f t="shared" si="248"/>
        <v>160</v>
      </c>
      <c r="BM425" s="3626">
        <f t="shared" si="249"/>
        <v>128</v>
      </c>
      <c r="BN425" s="3626">
        <f t="shared" si="250"/>
        <v>160</v>
      </c>
      <c r="BO425" s="4055">
        <f t="shared" si="251"/>
        <v>160</v>
      </c>
      <c r="BP425" s="3627">
        <f t="shared" si="252"/>
        <v>160</v>
      </c>
      <c r="BQ425" s="3627">
        <f t="shared" si="241"/>
        <v>960</v>
      </c>
      <c r="BR425" s="3627">
        <f t="shared" si="242"/>
        <v>0</v>
      </c>
      <c r="BS425" s="4056" t="s">
        <v>4554</v>
      </c>
      <c r="BT425" s="4057">
        <v>45877</v>
      </c>
    </row>
    <row r="426" s="3566" customFormat="1" ht="50" customHeight="1" spans="1:72">
      <c r="A426" s="3635">
        <v>45841</v>
      </c>
      <c r="B426" s="3617" t="s">
        <v>1641</v>
      </c>
      <c r="C426" s="3617" t="s">
        <v>396</v>
      </c>
      <c r="D426" s="3618">
        <v>4500172612</v>
      </c>
      <c r="E426" s="959" t="s">
        <v>7341</v>
      </c>
      <c r="F426" s="959" t="s">
        <v>7342</v>
      </c>
      <c r="G426" s="959" t="s">
        <v>6099</v>
      </c>
      <c r="H426" s="3618" t="s">
        <v>6100</v>
      </c>
      <c r="I426" s="3618">
        <v>64</v>
      </c>
      <c r="J426" s="3618">
        <v>0</v>
      </c>
      <c r="K426" s="3618">
        <v>32</v>
      </c>
      <c r="L426" s="4052">
        <v>2</v>
      </c>
      <c r="M426" s="3619">
        <v>45877</v>
      </c>
      <c r="N426" s="3619">
        <v>45877</v>
      </c>
      <c r="O426" s="3664"/>
      <c r="P426" s="959" t="s">
        <v>82</v>
      </c>
      <c r="Q426" s="959"/>
      <c r="R426" s="959"/>
      <c r="S426" s="959"/>
      <c r="T426" s="4053"/>
      <c r="U426" s="3620" t="s">
        <v>1541</v>
      </c>
      <c r="V426" s="3649" t="s">
        <v>1644</v>
      </c>
      <c r="W426" s="3657"/>
      <c r="X426" s="3657" t="s">
        <v>98</v>
      </c>
      <c r="Y426" s="3657" t="s">
        <v>4484</v>
      </c>
      <c r="Z426" s="3661" t="s">
        <v>7343</v>
      </c>
      <c r="AA426" s="3620" t="s">
        <v>7344</v>
      </c>
      <c r="AB426" s="3624" t="s">
        <v>369</v>
      </c>
      <c r="AC426" s="3618">
        <v>2.3617</v>
      </c>
      <c r="AD426" s="3618">
        <f t="shared" ref="AD426:AD433" si="258">AC426*I426</f>
        <v>151.1488</v>
      </c>
      <c r="AE426" s="3633"/>
      <c r="AF426" s="959" t="s">
        <v>6101</v>
      </c>
      <c r="AG426" s="3620" t="s">
        <v>416</v>
      </c>
      <c r="AH426" s="3620"/>
      <c r="AI426" s="3620"/>
      <c r="AJ426" s="3620"/>
      <c r="AK426" s="959"/>
      <c r="AL426" s="959"/>
      <c r="AM426" s="959"/>
      <c r="AN426" s="959">
        <f t="shared" ref="AN426:AN444" si="259">I426</f>
        <v>64</v>
      </c>
      <c r="AO426" s="959"/>
      <c r="AP426" s="3618"/>
      <c r="AQ426" s="3618">
        <f t="shared" ref="AQ426:AQ479" si="260">I426</f>
        <v>64</v>
      </c>
      <c r="AR426" s="3626"/>
      <c r="AS426" s="3626"/>
      <c r="AT426" s="3626"/>
      <c r="AU426" s="3626">
        <f>I426</f>
        <v>64</v>
      </c>
      <c r="AV426" s="3626"/>
      <c r="AW426" s="3626"/>
      <c r="AX426" s="3626"/>
      <c r="AY426" s="3626"/>
      <c r="AZ426" s="3626"/>
      <c r="BA426" s="3626"/>
      <c r="BB426" s="3626"/>
      <c r="BC426" s="3626"/>
      <c r="BD426" s="3626"/>
      <c r="BE426" s="3626"/>
      <c r="BF426" s="3626"/>
      <c r="BG426" s="3626"/>
      <c r="BH426" s="3626"/>
      <c r="BI426" s="3626" t="s">
        <v>89</v>
      </c>
      <c r="BJ426" s="3626">
        <f t="shared" si="246"/>
        <v>2.13333333333333</v>
      </c>
      <c r="BK426" s="3626"/>
      <c r="BL426" s="3626">
        <f>I426-BJ426</f>
        <v>61.8666666666667</v>
      </c>
      <c r="BM426" s="3626"/>
      <c r="BN426" s="3626"/>
      <c r="BO426" s="4055"/>
      <c r="BP426" s="3627"/>
      <c r="BQ426" s="3627">
        <f t="shared" si="241"/>
        <v>64</v>
      </c>
      <c r="BR426" s="3627">
        <f t="shared" si="242"/>
        <v>0</v>
      </c>
      <c r="BS426" s="4056" t="e">
        <v>#N/A</v>
      </c>
      <c r="BT426" s="4057" t="s">
        <v>4467</v>
      </c>
    </row>
    <row r="427" s="3566" customFormat="1" ht="50" customHeight="1" spans="1:72">
      <c r="A427" s="3635">
        <v>45841</v>
      </c>
      <c r="B427" s="3617" t="s">
        <v>1641</v>
      </c>
      <c r="C427" s="3617" t="s">
        <v>396</v>
      </c>
      <c r="D427" s="3618">
        <v>4500172612</v>
      </c>
      <c r="E427" s="959" t="s">
        <v>7345</v>
      </c>
      <c r="F427" s="959" t="s">
        <v>7346</v>
      </c>
      <c r="G427" s="959" t="s">
        <v>6099</v>
      </c>
      <c r="H427" s="3618" t="s">
        <v>6100</v>
      </c>
      <c r="I427" s="3618">
        <v>32</v>
      </c>
      <c r="J427" s="3618">
        <v>0</v>
      </c>
      <c r="K427" s="3618">
        <v>32</v>
      </c>
      <c r="L427" s="4052">
        <v>1</v>
      </c>
      <c r="M427" s="3619">
        <v>45877</v>
      </c>
      <c r="N427" s="3619">
        <v>45877</v>
      </c>
      <c r="O427" s="3664"/>
      <c r="P427" s="959" t="s">
        <v>82</v>
      </c>
      <c r="Q427" s="959"/>
      <c r="R427" s="959"/>
      <c r="S427" s="959"/>
      <c r="T427" s="4053"/>
      <c r="U427" s="3620" t="s">
        <v>1541</v>
      </c>
      <c r="V427" s="3649" t="s">
        <v>1644</v>
      </c>
      <c r="W427" s="3657"/>
      <c r="X427" s="3657" t="s">
        <v>98</v>
      </c>
      <c r="Y427" s="3657" t="s">
        <v>4484</v>
      </c>
      <c r="Z427" s="3661" t="s">
        <v>7343</v>
      </c>
      <c r="AA427" s="3620" t="s">
        <v>7344</v>
      </c>
      <c r="AB427" s="3624" t="s">
        <v>369</v>
      </c>
      <c r="AC427" s="3618">
        <v>2.3617</v>
      </c>
      <c r="AD427" s="3618">
        <f t="shared" si="258"/>
        <v>75.5744</v>
      </c>
      <c r="AE427" s="3633"/>
      <c r="AF427" s="959" t="s">
        <v>6101</v>
      </c>
      <c r="AG427" s="3620" t="s">
        <v>416</v>
      </c>
      <c r="AH427" s="3620"/>
      <c r="AI427" s="3620"/>
      <c r="AJ427" s="3620"/>
      <c r="AK427" s="959"/>
      <c r="AL427" s="959"/>
      <c r="AM427" s="959"/>
      <c r="AN427" s="959">
        <f t="shared" si="259"/>
        <v>32</v>
      </c>
      <c r="AO427" s="959"/>
      <c r="AP427" s="3618"/>
      <c r="AQ427" s="3618">
        <f t="shared" si="260"/>
        <v>32</v>
      </c>
      <c r="AR427" s="3626"/>
      <c r="AS427" s="3626"/>
      <c r="AT427" s="3626"/>
      <c r="AU427" s="3626">
        <f t="shared" ref="AU427:AU440" si="261">I427</f>
        <v>32</v>
      </c>
      <c r="AV427" s="3626"/>
      <c r="AW427" s="3626"/>
      <c r="AX427" s="3626"/>
      <c r="AY427" s="3626"/>
      <c r="AZ427" s="3626"/>
      <c r="BA427" s="3626"/>
      <c r="BB427" s="3626"/>
      <c r="BC427" s="3626"/>
      <c r="BD427" s="3626"/>
      <c r="BE427" s="3626"/>
      <c r="BF427" s="3626"/>
      <c r="BG427" s="3626"/>
      <c r="BH427" s="3626"/>
      <c r="BI427" s="3626" t="s">
        <v>89</v>
      </c>
      <c r="BJ427" s="3626">
        <f t="shared" ref="BJ427:BJ440" si="262">I427/60*2</f>
        <v>1.06666666666667</v>
      </c>
      <c r="BK427" s="3626"/>
      <c r="BL427" s="3626">
        <f t="shared" ref="BL427:BL433" si="263">I427-BJ427</f>
        <v>30.9333333333333</v>
      </c>
      <c r="BM427" s="3626"/>
      <c r="BN427" s="3626"/>
      <c r="BO427" s="4055"/>
      <c r="BP427" s="3627"/>
      <c r="BQ427" s="3627">
        <f t="shared" si="241"/>
        <v>32</v>
      </c>
      <c r="BR427" s="3627">
        <f t="shared" si="242"/>
        <v>0</v>
      </c>
      <c r="BS427" s="4056" t="e">
        <v>#N/A</v>
      </c>
      <c r="BT427" s="4057" t="s">
        <v>4467</v>
      </c>
    </row>
    <row r="428" s="3566" customFormat="1" ht="50" customHeight="1" spans="1:72">
      <c r="A428" s="3635">
        <v>45841</v>
      </c>
      <c r="B428" s="3617" t="s">
        <v>1641</v>
      </c>
      <c r="C428" s="3617" t="s">
        <v>396</v>
      </c>
      <c r="D428" s="3618">
        <v>4500172612</v>
      </c>
      <c r="E428" s="959" t="s">
        <v>7347</v>
      </c>
      <c r="F428" s="959" t="s">
        <v>7348</v>
      </c>
      <c r="G428" s="959" t="s">
        <v>6099</v>
      </c>
      <c r="H428" s="3618" t="s">
        <v>6100</v>
      </c>
      <c r="I428" s="3618">
        <v>32</v>
      </c>
      <c r="J428" s="3618">
        <v>0</v>
      </c>
      <c r="K428" s="3618">
        <v>32</v>
      </c>
      <c r="L428" s="4052">
        <v>1</v>
      </c>
      <c r="M428" s="3619">
        <v>45877</v>
      </c>
      <c r="N428" s="3619">
        <v>45877</v>
      </c>
      <c r="O428" s="3664"/>
      <c r="P428" s="959" t="s">
        <v>82</v>
      </c>
      <c r="Q428" s="959"/>
      <c r="R428" s="959"/>
      <c r="S428" s="959"/>
      <c r="T428" s="4053"/>
      <c r="U428" s="3620" t="s">
        <v>1541</v>
      </c>
      <c r="V428" s="3649" t="s">
        <v>1644</v>
      </c>
      <c r="W428" s="3657"/>
      <c r="X428" s="3657" t="s">
        <v>98</v>
      </c>
      <c r="Y428" s="3657" t="s">
        <v>4484</v>
      </c>
      <c r="Z428" s="3661" t="s">
        <v>7343</v>
      </c>
      <c r="AA428" s="3620" t="s">
        <v>7344</v>
      </c>
      <c r="AB428" s="3624" t="s">
        <v>369</v>
      </c>
      <c r="AC428" s="3618">
        <v>2.3617</v>
      </c>
      <c r="AD428" s="3618">
        <f t="shared" si="258"/>
        <v>75.5744</v>
      </c>
      <c r="AE428" s="3633"/>
      <c r="AF428" s="959" t="s">
        <v>6101</v>
      </c>
      <c r="AG428" s="3620" t="s">
        <v>416</v>
      </c>
      <c r="AH428" s="3620"/>
      <c r="AI428" s="3620"/>
      <c r="AJ428" s="3620"/>
      <c r="AK428" s="959"/>
      <c r="AL428" s="959"/>
      <c r="AM428" s="959"/>
      <c r="AN428" s="959">
        <f t="shared" si="259"/>
        <v>32</v>
      </c>
      <c r="AO428" s="959"/>
      <c r="AP428" s="3618"/>
      <c r="AQ428" s="3618">
        <f t="shared" si="260"/>
        <v>32</v>
      </c>
      <c r="AR428" s="3626"/>
      <c r="AS428" s="3626"/>
      <c r="AT428" s="3626"/>
      <c r="AU428" s="3626">
        <f t="shared" si="261"/>
        <v>32</v>
      </c>
      <c r="AV428" s="3626"/>
      <c r="AW428" s="3626"/>
      <c r="AX428" s="3626"/>
      <c r="AY428" s="3626"/>
      <c r="AZ428" s="3626"/>
      <c r="BA428" s="3626"/>
      <c r="BB428" s="3626"/>
      <c r="BC428" s="3626"/>
      <c r="BD428" s="3626"/>
      <c r="BE428" s="3626"/>
      <c r="BF428" s="3626"/>
      <c r="BG428" s="3626"/>
      <c r="BH428" s="3626"/>
      <c r="BI428" s="3626" t="s">
        <v>89</v>
      </c>
      <c r="BJ428" s="3626">
        <f t="shared" si="262"/>
        <v>1.06666666666667</v>
      </c>
      <c r="BK428" s="3626"/>
      <c r="BL428" s="3626">
        <f t="shared" si="263"/>
        <v>30.9333333333333</v>
      </c>
      <c r="BM428" s="3626"/>
      <c r="BN428" s="3626"/>
      <c r="BO428" s="4055"/>
      <c r="BP428" s="3627"/>
      <c r="BQ428" s="3627">
        <f t="shared" si="241"/>
        <v>32</v>
      </c>
      <c r="BR428" s="3627">
        <f t="shared" si="242"/>
        <v>0</v>
      </c>
      <c r="BS428" s="4056" t="e">
        <v>#N/A</v>
      </c>
      <c r="BT428" s="4057" t="s">
        <v>4467</v>
      </c>
    </row>
    <row r="429" s="3566" customFormat="1" ht="50" customHeight="1" spans="1:72">
      <c r="A429" s="3635">
        <v>45841</v>
      </c>
      <c r="B429" s="3617" t="s">
        <v>1641</v>
      </c>
      <c r="C429" s="3617" t="s">
        <v>396</v>
      </c>
      <c r="D429" s="3618">
        <v>4500172612</v>
      </c>
      <c r="E429" s="959" t="s">
        <v>7349</v>
      </c>
      <c r="F429" s="959" t="s">
        <v>7350</v>
      </c>
      <c r="G429" s="959" t="s">
        <v>6099</v>
      </c>
      <c r="H429" s="3618" t="s">
        <v>6100</v>
      </c>
      <c r="I429" s="3618">
        <v>64</v>
      </c>
      <c r="J429" s="3618">
        <v>0</v>
      </c>
      <c r="K429" s="3618">
        <v>32</v>
      </c>
      <c r="L429" s="4052">
        <v>2</v>
      </c>
      <c r="M429" s="3619">
        <v>45877</v>
      </c>
      <c r="N429" s="3619">
        <v>45877</v>
      </c>
      <c r="O429" s="3664"/>
      <c r="P429" s="959" t="s">
        <v>82</v>
      </c>
      <c r="Q429" s="959"/>
      <c r="R429" s="959"/>
      <c r="S429" s="959"/>
      <c r="T429" s="4053"/>
      <c r="U429" s="3620" t="s">
        <v>1541</v>
      </c>
      <c r="V429" s="3649" t="s">
        <v>1644</v>
      </c>
      <c r="W429" s="3657"/>
      <c r="X429" s="3657" t="s">
        <v>98</v>
      </c>
      <c r="Y429" s="3657" t="s">
        <v>4484</v>
      </c>
      <c r="Z429" s="3661" t="s">
        <v>7343</v>
      </c>
      <c r="AA429" s="3620" t="s">
        <v>7344</v>
      </c>
      <c r="AB429" s="3624" t="s">
        <v>369</v>
      </c>
      <c r="AC429" s="3618">
        <v>2.3617</v>
      </c>
      <c r="AD429" s="3618">
        <f t="shared" si="258"/>
        <v>151.1488</v>
      </c>
      <c r="AE429" s="3633"/>
      <c r="AF429" s="959" t="s">
        <v>6101</v>
      </c>
      <c r="AG429" s="3620" t="s">
        <v>416</v>
      </c>
      <c r="AH429" s="3620"/>
      <c r="AI429" s="3620"/>
      <c r="AJ429" s="3620"/>
      <c r="AK429" s="959"/>
      <c r="AL429" s="959"/>
      <c r="AM429" s="959"/>
      <c r="AN429" s="959">
        <f t="shared" si="259"/>
        <v>64</v>
      </c>
      <c r="AO429" s="959"/>
      <c r="AP429" s="3618"/>
      <c r="AQ429" s="3618">
        <f t="shared" si="260"/>
        <v>64</v>
      </c>
      <c r="AR429" s="3626"/>
      <c r="AS429" s="3626"/>
      <c r="AT429" s="3626"/>
      <c r="AU429" s="3626">
        <f t="shared" si="261"/>
        <v>64</v>
      </c>
      <c r="AV429" s="3626"/>
      <c r="AW429" s="3626"/>
      <c r="AX429" s="3626"/>
      <c r="AY429" s="3626"/>
      <c r="AZ429" s="3626"/>
      <c r="BA429" s="3626"/>
      <c r="BB429" s="3626"/>
      <c r="BC429" s="3626"/>
      <c r="BD429" s="3626"/>
      <c r="BE429" s="3626"/>
      <c r="BF429" s="3626"/>
      <c r="BG429" s="3626"/>
      <c r="BH429" s="3626"/>
      <c r="BI429" s="3626" t="s">
        <v>89</v>
      </c>
      <c r="BJ429" s="3626">
        <f t="shared" si="262"/>
        <v>2.13333333333333</v>
      </c>
      <c r="BK429" s="3626"/>
      <c r="BL429" s="3626">
        <f t="shared" si="263"/>
        <v>61.8666666666667</v>
      </c>
      <c r="BM429" s="3626"/>
      <c r="BN429" s="3626"/>
      <c r="BO429" s="4055"/>
      <c r="BP429" s="3627"/>
      <c r="BQ429" s="3627">
        <f t="shared" si="241"/>
        <v>64</v>
      </c>
      <c r="BR429" s="3627">
        <f t="shared" si="242"/>
        <v>0</v>
      </c>
      <c r="BS429" s="4056" t="e">
        <v>#N/A</v>
      </c>
      <c r="BT429" s="4057" t="s">
        <v>4467</v>
      </c>
    </row>
    <row r="430" s="3566" customFormat="1" ht="50" customHeight="1" spans="1:72">
      <c r="A430" s="3635">
        <v>45841</v>
      </c>
      <c r="B430" s="3617" t="s">
        <v>1641</v>
      </c>
      <c r="C430" s="3617" t="s">
        <v>396</v>
      </c>
      <c r="D430" s="3618">
        <v>4500172612</v>
      </c>
      <c r="E430" s="959" t="s">
        <v>7351</v>
      </c>
      <c r="F430" s="959" t="s">
        <v>7352</v>
      </c>
      <c r="G430" s="959" t="s">
        <v>6099</v>
      </c>
      <c r="H430" s="3618" t="s">
        <v>6100</v>
      </c>
      <c r="I430" s="3618">
        <v>32</v>
      </c>
      <c r="J430" s="3618">
        <v>0</v>
      </c>
      <c r="K430" s="3618">
        <v>32</v>
      </c>
      <c r="L430" s="4052">
        <v>1</v>
      </c>
      <c r="M430" s="3619">
        <v>45877</v>
      </c>
      <c r="N430" s="3619">
        <v>45877</v>
      </c>
      <c r="O430" s="3664"/>
      <c r="P430" s="959" t="s">
        <v>82</v>
      </c>
      <c r="Q430" s="959"/>
      <c r="R430" s="959"/>
      <c r="S430" s="959"/>
      <c r="T430" s="4053"/>
      <c r="U430" s="3620" t="s">
        <v>1541</v>
      </c>
      <c r="V430" s="3649" t="s">
        <v>1644</v>
      </c>
      <c r="W430" s="3657"/>
      <c r="X430" s="3657" t="s">
        <v>98</v>
      </c>
      <c r="Y430" s="3657" t="s">
        <v>4484</v>
      </c>
      <c r="Z430" s="3661" t="s">
        <v>7343</v>
      </c>
      <c r="AA430" s="3620" t="s">
        <v>7344</v>
      </c>
      <c r="AB430" s="3624" t="s">
        <v>369</v>
      </c>
      <c r="AC430" s="3618">
        <v>2.3617</v>
      </c>
      <c r="AD430" s="3618">
        <f t="shared" si="258"/>
        <v>75.5744</v>
      </c>
      <c r="AE430" s="3633"/>
      <c r="AF430" s="959" t="s">
        <v>6101</v>
      </c>
      <c r="AG430" s="3620" t="s">
        <v>416</v>
      </c>
      <c r="AH430" s="3620"/>
      <c r="AI430" s="3620"/>
      <c r="AJ430" s="3620"/>
      <c r="AK430" s="959"/>
      <c r="AL430" s="959"/>
      <c r="AM430" s="959"/>
      <c r="AN430" s="959">
        <f t="shared" si="259"/>
        <v>32</v>
      </c>
      <c r="AO430" s="959"/>
      <c r="AP430" s="3618"/>
      <c r="AQ430" s="3618">
        <f t="shared" si="260"/>
        <v>32</v>
      </c>
      <c r="AR430" s="3626"/>
      <c r="AS430" s="3626"/>
      <c r="AT430" s="3626"/>
      <c r="AU430" s="3626">
        <f t="shared" si="261"/>
        <v>32</v>
      </c>
      <c r="AV430" s="3626"/>
      <c r="AW430" s="3626"/>
      <c r="AX430" s="3626"/>
      <c r="AY430" s="3626"/>
      <c r="AZ430" s="3626"/>
      <c r="BA430" s="3626"/>
      <c r="BB430" s="3626"/>
      <c r="BC430" s="3626"/>
      <c r="BD430" s="3626"/>
      <c r="BE430" s="3626"/>
      <c r="BF430" s="3626"/>
      <c r="BG430" s="3626"/>
      <c r="BH430" s="3626"/>
      <c r="BI430" s="3626" t="s">
        <v>89</v>
      </c>
      <c r="BJ430" s="3626">
        <f t="shared" si="262"/>
        <v>1.06666666666667</v>
      </c>
      <c r="BK430" s="3626"/>
      <c r="BL430" s="3626">
        <f t="shared" si="263"/>
        <v>30.9333333333333</v>
      </c>
      <c r="BM430" s="3626"/>
      <c r="BN430" s="3626"/>
      <c r="BO430" s="4055"/>
      <c r="BP430" s="3627"/>
      <c r="BQ430" s="3627">
        <f t="shared" si="241"/>
        <v>32</v>
      </c>
      <c r="BR430" s="3627">
        <f t="shared" si="242"/>
        <v>0</v>
      </c>
      <c r="BS430" s="4056" t="e">
        <v>#N/A</v>
      </c>
      <c r="BT430" s="4057" t="s">
        <v>4467</v>
      </c>
    </row>
    <row r="431" s="3566" customFormat="1" ht="50" customHeight="1" spans="1:72">
      <c r="A431" s="3635">
        <v>45841</v>
      </c>
      <c r="B431" s="3617" t="s">
        <v>1641</v>
      </c>
      <c r="C431" s="3617" t="s">
        <v>396</v>
      </c>
      <c r="D431" s="3618">
        <v>4500172612</v>
      </c>
      <c r="E431" s="959" t="s">
        <v>7353</v>
      </c>
      <c r="F431" s="959" t="s">
        <v>7354</v>
      </c>
      <c r="G431" s="959" t="s">
        <v>6099</v>
      </c>
      <c r="H431" s="3618" t="s">
        <v>6100</v>
      </c>
      <c r="I431" s="3618">
        <v>64</v>
      </c>
      <c r="J431" s="3618">
        <v>0</v>
      </c>
      <c r="K431" s="3618">
        <v>32</v>
      </c>
      <c r="L431" s="4052">
        <v>2</v>
      </c>
      <c r="M431" s="3619">
        <v>45877</v>
      </c>
      <c r="N431" s="3619">
        <v>45877</v>
      </c>
      <c r="O431" s="3664"/>
      <c r="P431" s="959" t="s">
        <v>82</v>
      </c>
      <c r="Q431" s="959"/>
      <c r="R431" s="959"/>
      <c r="S431" s="959"/>
      <c r="T431" s="4053"/>
      <c r="U431" s="3620" t="s">
        <v>1541</v>
      </c>
      <c r="V431" s="3649" t="s">
        <v>1644</v>
      </c>
      <c r="W431" s="3657"/>
      <c r="X431" s="3657" t="s">
        <v>98</v>
      </c>
      <c r="Y431" s="3657" t="s">
        <v>4484</v>
      </c>
      <c r="Z431" s="3661" t="s">
        <v>7343</v>
      </c>
      <c r="AA431" s="3620" t="s">
        <v>7344</v>
      </c>
      <c r="AB431" s="3624" t="s">
        <v>369</v>
      </c>
      <c r="AC431" s="3618">
        <v>2.3617</v>
      </c>
      <c r="AD431" s="3618">
        <f t="shared" si="258"/>
        <v>151.1488</v>
      </c>
      <c r="AE431" s="3633"/>
      <c r="AF431" s="959" t="s">
        <v>6101</v>
      </c>
      <c r="AG431" s="3620" t="s">
        <v>416</v>
      </c>
      <c r="AH431" s="3620"/>
      <c r="AI431" s="3620"/>
      <c r="AJ431" s="3620"/>
      <c r="AK431" s="959"/>
      <c r="AL431" s="959"/>
      <c r="AM431" s="959"/>
      <c r="AN431" s="959">
        <f t="shared" si="259"/>
        <v>64</v>
      </c>
      <c r="AO431" s="959"/>
      <c r="AP431" s="3618"/>
      <c r="AQ431" s="3618">
        <f t="shared" si="260"/>
        <v>64</v>
      </c>
      <c r="AR431" s="3626"/>
      <c r="AS431" s="3626"/>
      <c r="AT431" s="3626"/>
      <c r="AU431" s="3626">
        <f t="shared" si="261"/>
        <v>64</v>
      </c>
      <c r="AV431" s="3626"/>
      <c r="AW431" s="3626"/>
      <c r="AX431" s="3626"/>
      <c r="AY431" s="3626"/>
      <c r="AZ431" s="3626"/>
      <c r="BA431" s="3626"/>
      <c r="BB431" s="3626"/>
      <c r="BC431" s="3626"/>
      <c r="BD431" s="3626"/>
      <c r="BE431" s="3626"/>
      <c r="BF431" s="3626"/>
      <c r="BG431" s="3626"/>
      <c r="BH431" s="3626"/>
      <c r="BI431" s="3626" t="s">
        <v>89</v>
      </c>
      <c r="BJ431" s="3626">
        <f t="shared" si="262"/>
        <v>2.13333333333333</v>
      </c>
      <c r="BK431" s="3626"/>
      <c r="BL431" s="3626">
        <f t="shared" si="263"/>
        <v>61.8666666666667</v>
      </c>
      <c r="BM431" s="3626"/>
      <c r="BN431" s="3626"/>
      <c r="BO431" s="4055"/>
      <c r="BP431" s="3627"/>
      <c r="BQ431" s="3627">
        <f t="shared" si="241"/>
        <v>64</v>
      </c>
      <c r="BR431" s="3627">
        <f t="shared" si="242"/>
        <v>0</v>
      </c>
      <c r="BS431" s="4056" t="e">
        <v>#N/A</v>
      </c>
      <c r="BT431" s="4057" t="s">
        <v>4467</v>
      </c>
    </row>
    <row r="432" s="3566" customFormat="1" ht="50" customHeight="1" spans="1:72">
      <c r="A432" s="3635">
        <v>45841</v>
      </c>
      <c r="B432" s="3617" t="s">
        <v>1641</v>
      </c>
      <c r="C432" s="3617" t="s">
        <v>396</v>
      </c>
      <c r="D432" s="3618">
        <v>4500172612</v>
      </c>
      <c r="E432" s="959" t="s">
        <v>7355</v>
      </c>
      <c r="F432" s="959" t="s">
        <v>7356</v>
      </c>
      <c r="G432" s="959" t="s">
        <v>6099</v>
      </c>
      <c r="H432" s="3618" t="s">
        <v>6100</v>
      </c>
      <c r="I432" s="3618">
        <v>64</v>
      </c>
      <c r="J432" s="3618">
        <v>0</v>
      </c>
      <c r="K432" s="3618">
        <v>32</v>
      </c>
      <c r="L432" s="4052">
        <v>2</v>
      </c>
      <c r="M432" s="3619">
        <v>45877</v>
      </c>
      <c r="N432" s="3619">
        <v>45877</v>
      </c>
      <c r="O432" s="3664"/>
      <c r="P432" s="959" t="s">
        <v>82</v>
      </c>
      <c r="Q432" s="959"/>
      <c r="R432" s="959"/>
      <c r="S432" s="959"/>
      <c r="T432" s="4053"/>
      <c r="U432" s="3620" t="s">
        <v>1541</v>
      </c>
      <c r="V432" s="3649" t="s">
        <v>1644</v>
      </c>
      <c r="W432" s="3657"/>
      <c r="X432" s="3657" t="s">
        <v>98</v>
      </c>
      <c r="Y432" s="3657" t="s">
        <v>4484</v>
      </c>
      <c r="Z432" s="3661" t="s">
        <v>7343</v>
      </c>
      <c r="AA432" s="3620" t="s">
        <v>7344</v>
      </c>
      <c r="AB432" s="3624" t="s">
        <v>369</v>
      </c>
      <c r="AC432" s="3618">
        <v>2.3617</v>
      </c>
      <c r="AD432" s="3618">
        <f t="shared" si="258"/>
        <v>151.1488</v>
      </c>
      <c r="AE432" s="3633"/>
      <c r="AF432" s="959" t="s">
        <v>6101</v>
      </c>
      <c r="AG432" s="3620" t="s">
        <v>416</v>
      </c>
      <c r="AH432" s="3620"/>
      <c r="AI432" s="3620"/>
      <c r="AJ432" s="3620"/>
      <c r="AK432" s="959"/>
      <c r="AL432" s="959"/>
      <c r="AM432" s="959"/>
      <c r="AN432" s="959">
        <f t="shared" si="259"/>
        <v>64</v>
      </c>
      <c r="AO432" s="959"/>
      <c r="AP432" s="3618"/>
      <c r="AQ432" s="3618">
        <f t="shared" si="260"/>
        <v>64</v>
      </c>
      <c r="AR432" s="3626"/>
      <c r="AS432" s="3626"/>
      <c r="AT432" s="3626"/>
      <c r="AU432" s="3626">
        <f t="shared" si="261"/>
        <v>64</v>
      </c>
      <c r="AV432" s="3626"/>
      <c r="AW432" s="3626"/>
      <c r="AX432" s="3626"/>
      <c r="AY432" s="3626"/>
      <c r="AZ432" s="3626"/>
      <c r="BA432" s="3626"/>
      <c r="BB432" s="3626"/>
      <c r="BC432" s="3626"/>
      <c r="BD432" s="3626"/>
      <c r="BE432" s="3626"/>
      <c r="BF432" s="3626"/>
      <c r="BG432" s="3626"/>
      <c r="BH432" s="3626"/>
      <c r="BI432" s="3626" t="s">
        <v>89</v>
      </c>
      <c r="BJ432" s="3626">
        <f t="shared" si="262"/>
        <v>2.13333333333333</v>
      </c>
      <c r="BK432" s="3626"/>
      <c r="BL432" s="3626">
        <f t="shared" si="263"/>
        <v>61.8666666666667</v>
      </c>
      <c r="BM432" s="3626"/>
      <c r="BN432" s="3626"/>
      <c r="BO432" s="4055"/>
      <c r="BP432" s="3627"/>
      <c r="BQ432" s="3627">
        <f t="shared" si="241"/>
        <v>64</v>
      </c>
      <c r="BR432" s="3627">
        <f t="shared" si="242"/>
        <v>0</v>
      </c>
      <c r="BS432" s="4056" t="e">
        <v>#N/A</v>
      </c>
      <c r="BT432" s="4057" t="s">
        <v>4467</v>
      </c>
    </row>
    <row r="433" s="3566" customFormat="1" ht="50" customHeight="1" spans="1:72">
      <c r="A433" s="3635">
        <v>45841</v>
      </c>
      <c r="B433" s="3617" t="s">
        <v>1641</v>
      </c>
      <c r="C433" s="3617" t="s">
        <v>396</v>
      </c>
      <c r="D433" s="3618">
        <v>4500172612</v>
      </c>
      <c r="E433" s="959" t="s">
        <v>7357</v>
      </c>
      <c r="F433" s="959" t="s">
        <v>7358</v>
      </c>
      <c r="G433" s="959" t="s">
        <v>6099</v>
      </c>
      <c r="H433" s="3618" t="s">
        <v>6100</v>
      </c>
      <c r="I433" s="3618">
        <v>32</v>
      </c>
      <c r="J433" s="3618">
        <v>0</v>
      </c>
      <c r="K433" s="3618">
        <v>32</v>
      </c>
      <c r="L433" s="4052">
        <v>1</v>
      </c>
      <c r="M433" s="3619">
        <v>45877</v>
      </c>
      <c r="N433" s="3619">
        <v>45877</v>
      </c>
      <c r="O433" s="3664"/>
      <c r="P433" s="959" t="s">
        <v>82</v>
      </c>
      <c r="Q433" s="959"/>
      <c r="R433" s="959"/>
      <c r="S433" s="959"/>
      <c r="T433" s="4053"/>
      <c r="U433" s="3620" t="s">
        <v>1541</v>
      </c>
      <c r="V433" s="3649" t="s">
        <v>1644</v>
      </c>
      <c r="W433" s="3657"/>
      <c r="X433" s="3657" t="s">
        <v>98</v>
      </c>
      <c r="Y433" s="3657" t="s">
        <v>4484</v>
      </c>
      <c r="Z433" s="3661" t="s">
        <v>7343</v>
      </c>
      <c r="AA433" s="3620" t="s">
        <v>7344</v>
      </c>
      <c r="AB433" s="3624" t="s">
        <v>369</v>
      </c>
      <c r="AC433" s="3618">
        <v>2.3617</v>
      </c>
      <c r="AD433" s="3618">
        <f t="shared" si="258"/>
        <v>75.5744</v>
      </c>
      <c r="AE433" s="3633"/>
      <c r="AF433" s="959" t="s">
        <v>6101</v>
      </c>
      <c r="AG433" s="3620" t="s">
        <v>416</v>
      </c>
      <c r="AH433" s="3620"/>
      <c r="AI433" s="3620"/>
      <c r="AJ433" s="3620"/>
      <c r="AK433" s="959"/>
      <c r="AL433" s="959"/>
      <c r="AM433" s="959"/>
      <c r="AN433" s="959">
        <f t="shared" si="259"/>
        <v>32</v>
      </c>
      <c r="AO433" s="959"/>
      <c r="AP433" s="3618"/>
      <c r="AQ433" s="3618">
        <f t="shared" si="260"/>
        <v>32</v>
      </c>
      <c r="AR433" s="3626"/>
      <c r="AS433" s="3626"/>
      <c r="AT433" s="3626"/>
      <c r="AU433" s="3626">
        <f t="shared" si="261"/>
        <v>32</v>
      </c>
      <c r="AV433" s="3626"/>
      <c r="AW433" s="3626"/>
      <c r="AX433" s="3626"/>
      <c r="AY433" s="3626"/>
      <c r="AZ433" s="3626"/>
      <c r="BA433" s="3626"/>
      <c r="BB433" s="3626"/>
      <c r="BC433" s="3626"/>
      <c r="BD433" s="3626"/>
      <c r="BE433" s="3626"/>
      <c r="BF433" s="3626"/>
      <c r="BG433" s="3626"/>
      <c r="BH433" s="3626"/>
      <c r="BI433" s="3626" t="s">
        <v>89</v>
      </c>
      <c r="BJ433" s="3626">
        <f t="shared" si="262"/>
        <v>1.06666666666667</v>
      </c>
      <c r="BK433" s="3626"/>
      <c r="BL433" s="3626">
        <f t="shared" si="263"/>
        <v>30.9333333333333</v>
      </c>
      <c r="BM433" s="3626"/>
      <c r="BN433" s="3626"/>
      <c r="BO433" s="4055"/>
      <c r="BP433" s="3627"/>
      <c r="BQ433" s="3627">
        <f t="shared" si="241"/>
        <v>32</v>
      </c>
      <c r="BR433" s="3627">
        <f t="shared" si="242"/>
        <v>0</v>
      </c>
      <c r="BS433" s="4056" t="e">
        <v>#N/A</v>
      </c>
      <c r="BT433" s="4057" t="s">
        <v>4467</v>
      </c>
    </row>
    <row r="434" s="3566" customFormat="1" ht="50" customHeight="1" spans="1:72">
      <c r="A434" s="3635">
        <v>45841</v>
      </c>
      <c r="B434" s="3617" t="s">
        <v>1641</v>
      </c>
      <c r="C434" s="3617" t="s">
        <v>396</v>
      </c>
      <c r="D434" s="3618">
        <v>4500172612</v>
      </c>
      <c r="E434" s="959" t="s">
        <v>7359</v>
      </c>
      <c r="F434" s="959" t="s">
        <v>7360</v>
      </c>
      <c r="G434" s="959" t="s">
        <v>6091</v>
      </c>
      <c r="H434" s="3618" t="s">
        <v>6092</v>
      </c>
      <c r="I434" s="3618">
        <v>32</v>
      </c>
      <c r="J434" s="3618">
        <v>0</v>
      </c>
      <c r="K434" s="3618">
        <v>32</v>
      </c>
      <c r="L434" s="4052">
        <v>1</v>
      </c>
      <c r="M434" s="3619">
        <v>45877</v>
      </c>
      <c r="N434" s="3619">
        <v>45877</v>
      </c>
      <c r="O434" s="3664"/>
      <c r="P434" s="959" t="s">
        <v>82</v>
      </c>
      <c r="Q434" s="959"/>
      <c r="R434" s="959"/>
      <c r="S434" s="959"/>
      <c r="T434" s="4053"/>
      <c r="U434" s="3620" t="s">
        <v>1541</v>
      </c>
      <c r="V434" s="3649" t="s">
        <v>1644</v>
      </c>
      <c r="W434" s="3657"/>
      <c r="X434" s="3657" t="s">
        <v>98</v>
      </c>
      <c r="Y434" s="3657" t="s">
        <v>4484</v>
      </c>
      <c r="Z434" s="3661" t="s">
        <v>7343</v>
      </c>
      <c r="AA434" s="3620" t="s">
        <v>7344</v>
      </c>
      <c r="AB434" s="3624" t="s">
        <v>369</v>
      </c>
      <c r="AC434" s="3618">
        <v>2.3617</v>
      </c>
      <c r="AD434" s="3618">
        <f t="shared" ref="AD434:AD455" si="264">AC434*I434</f>
        <v>75.5744</v>
      </c>
      <c r="AE434" s="3633"/>
      <c r="AF434" s="959" t="s">
        <v>6096</v>
      </c>
      <c r="AG434" s="3620" t="s">
        <v>416</v>
      </c>
      <c r="AH434" s="3620"/>
      <c r="AI434" s="3620"/>
      <c r="AJ434" s="3620"/>
      <c r="AK434" s="959"/>
      <c r="AL434" s="959"/>
      <c r="AM434" s="959"/>
      <c r="AN434" s="959">
        <f t="shared" si="259"/>
        <v>32</v>
      </c>
      <c r="AO434" s="959"/>
      <c r="AP434" s="3618"/>
      <c r="AQ434" s="3618">
        <f t="shared" si="260"/>
        <v>32</v>
      </c>
      <c r="AR434" s="3626"/>
      <c r="AS434" s="3626"/>
      <c r="AT434" s="3626"/>
      <c r="AU434" s="3626">
        <f t="shared" si="261"/>
        <v>32</v>
      </c>
      <c r="AV434" s="3626"/>
      <c r="AW434" s="3626"/>
      <c r="AX434" s="3626"/>
      <c r="AY434" s="3626"/>
      <c r="AZ434" s="3626"/>
      <c r="BA434" s="3626"/>
      <c r="BB434" s="3626"/>
      <c r="BC434" s="3626"/>
      <c r="BD434" s="3626"/>
      <c r="BE434" s="3626"/>
      <c r="BF434" s="3626"/>
      <c r="BG434" s="3626"/>
      <c r="BH434" s="3626"/>
      <c r="BI434" s="3626" t="s">
        <v>89</v>
      </c>
      <c r="BJ434" s="3626">
        <f t="shared" si="262"/>
        <v>1.06666666666667</v>
      </c>
      <c r="BK434" s="3626"/>
      <c r="BL434" s="3626"/>
      <c r="BM434" s="3626"/>
      <c r="BN434" s="3626"/>
      <c r="BO434" s="4055">
        <f>I434-BJ434</f>
        <v>30.9333333333333</v>
      </c>
      <c r="BP434" s="3627"/>
      <c r="BQ434" s="3627">
        <f t="shared" si="241"/>
        <v>32</v>
      </c>
      <c r="BR434" s="3627">
        <f t="shared" si="242"/>
        <v>0</v>
      </c>
      <c r="BS434" s="4056" t="e">
        <v>#N/A</v>
      </c>
      <c r="BT434" s="4057" t="s">
        <v>4467</v>
      </c>
    </row>
    <row r="435" s="3566" customFormat="1" ht="50" customHeight="1" spans="1:72">
      <c r="A435" s="3635">
        <v>45841</v>
      </c>
      <c r="B435" s="3617" t="s">
        <v>1641</v>
      </c>
      <c r="C435" s="3617" t="s">
        <v>396</v>
      </c>
      <c r="D435" s="3618">
        <v>4500172612</v>
      </c>
      <c r="E435" s="959" t="s">
        <v>7361</v>
      </c>
      <c r="F435" s="959" t="s">
        <v>7362</v>
      </c>
      <c r="G435" s="959" t="s">
        <v>6091</v>
      </c>
      <c r="H435" s="3618" t="s">
        <v>6092</v>
      </c>
      <c r="I435" s="3618">
        <v>64</v>
      </c>
      <c r="J435" s="3618">
        <v>0</v>
      </c>
      <c r="K435" s="3618">
        <v>32</v>
      </c>
      <c r="L435" s="4052">
        <v>2</v>
      </c>
      <c r="M435" s="3619">
        <v>45877</v>
      </c>
      <c r="N435" s="3619">
        <v>45877</v>
      </c>
      <c r="O435" s="3664"/>
      <c r="P435" s="959" t="s">
        <v>82</v>
      </c>
      <c r="Q435" s="959"/>
      <c r="R435" s="959"/>
      <c r="S435" s="959"/>
      <c r="T435" s="4053"/>
      <c r="U435" s="3620" t="s">
        <v>1541</v>
      </c>
      <c r="V435" s="3649" t="s">
        <v>1644</v>
      </c>
      <c r="W435" s="3657"/>
      <c r="X435" s="3657" t="s">
        <v>98</v>
      </c>
      <c r="Y435" s="3657" t="s">
        <v>4484</v>
      </c>
      <c r="Z435" s="3661" t="s">
        <v>7343</v>
      </c>
      <c r="AA435" s="3620" t="s">
        <v>7344</v>
      </c>
      <c r="AB435" s="3624" t="s">
        <v>369</v>
      </c>
      <c r="AC435" s="3618">
        <v>2.3617</v>
      </c>
      <c r="AD435" s="3618">
        <f t="shared" si="264"/>
        <v>151.1488</v>
      </c>
      <c r="AE435" s="3633"/>
      <c r="AF435" s="959" t="s">
        <v>6096</v>
      </c>
      <c r="AG435" s="3620" t="s">
        <v>416</v>
      </c>
      <c r="AH435" s="3620"/>
      <c r="AI435" s="3620"/>
      <c r="AJ435" s="3620"/>
      <c r="AK435" s="959"/>
      <c r="AL435" s="959"/>
      <c r="AM435" s="959"/>
      <c r="AN435" s="959">
        <f t="shared" si="259"/>
        <v>64</v>
      </c>
      <c r="AO435" s="959"/>
      <c r="AP435" s="3618"/>
      <c r="AQ435" s="3618">
        <f t="shared" si="260"/>
        <v>64</v>
      </c>
      <c r="AR435" s="3626"/>
      <c r="AS435" s="3626"/>
      <c r="AT435" s="3626"/>
      <c r="AU435" s="3626">
        <f t="shared" si="261"/>
        <v>64</v>
      </c>
      <c r="AV435" s="3626"/>
      <c r="AW435" s="3626"/>
      <c r="AX435" s="3626"/>
      <c r="AY435" s="3626"/>
      <c r="AZ435" s="3626"/>
      <c r="BA435" s="3626"/>
      <c r="BB435" s="3626"/>
      <c r="BC435" s="3626"/>
      <c r="BD435" s="3626"/>
      <c r="BE435" s="3626"/>
      <c r="BF435" s="3626"/>
      <c r="BG435" s="3626"/>
      <c r="BH435" s="3626"/>
      <c r="BI435" s="3626" t="s">
        <v>89</v>
      </c>
      <c r="BJ435" s="3626">
        <f t="shared" si="262"/>
        <v>2.13333333333333</v>
      </c>
      <c r="BK435" s="3626"/>
      <c r="BL435" s="3626"/>
      <c r="BM435" s="3626"/>
      <c r="BN435" s="3626"/>
      <c r="BO435" s="4055">
        <f t="shared" ref="BO435:BO440" si="265">I435-BJ435</f>
        <v>61.8666666666667</v>
      </c>
      <c r="BP435" s="3627"/>
      <c r="BQ435" s="3627">
        <f t="shared" si="241"/>
        <v>64</v>
      </c>
      <c r="BR435" s="3627">
        <f t="shared" si="242"/>
        <v>0</v>
      </c>
      <c r="BS435" s="4056" t="e">
        <v>#N/A</v>
      </c>
      <c r="BT435" s="4057" t="s">
        <v>4467</v>
      </c>
    </row>
    <row r="436" s="3566" customFormat="1" ht="50" customHeight="1" spans="1:72">
      <c r="A436" s="3635">
        <v>45841</v>
      </c>
      <c r="B436" s="3617" t="s">
        <v>1641</v>
      </c>
      <c r="C436" s="3617" t="s">
        <v>396</v>
      </c>
      <c r="D436" s="3618">
        <v>4500172612</v>
      </c>
      <c r="E436" s="959" t="s">
        <v>7363</v>
      </c>
      <c r="F436" s="959" t="s">
        <v>7364</v>
      </c>
      <c r="G436" s="959" t="s">
        <v>6091</v>
      </c>
      <c r="H436" s="3618" t="s">
        <v>6092</v>
      </c>
      <c r="I436" s="3618">
        <v>64</v>
      </c>
      <c r="J436" s="3618">
        <v>0</v>
      </c>
      <c r="K436" s="3618">
        <v>32</v>
      </c>
      <c r="L436" s="4052">
        <v>2</v>
      </c>
      <c r="M436" s="3619">
        <v>45877</v>
      </c>
      <c r="N436" s="3619">
        <v>45877</v>
      </c>
      <c r="O436" s="3664"/>
      <c r="P436" s="959" t="s">
        <v>82</v>
      </c>
      <c r="Q436" s="959"/>
      <c r="R436" s="959"/>
      <c r="S436" s="959"/>
      <c r="T436" s="4053"/>
      <c r="U436" s="3620" t="s">
        <v>1541</v>
      </c>
      <c r="V436" s="3649" t="s">
        <v>1644</v>
      </c>
      <c r="W436" s="3657"/>
      <c r="X436" s="3657" t="s">
        <v>98</v>
      </c>
      <c r="Y436" s="3657" t="s">
        <v>4484</v>
      </c>
      <c r="Z436" s="3661" t="s">
        <v>7343</v>
      </c>
      <c r="AA436" s="3620" t="s">
        <v>7344</v>
      </c>
      <c r="AB436" s="3624" t="s">
        <v>369</v>
      </c>
      <c r="AC436" s="3618">
        <v>2.3617</v>
      </c>
      <c r="AD436" s="3618">
        <f t="shared" si="264"/>
        <v>151.1488</v>
      </c>
      <c r="AE436" s="3633"/>
      <c r="AF436" s="959" t="s">
        <v>6096</v>
      </c>
      <c r="AG436" s="3620" t="s">
        <v>416</v>
      </c>
      <c r="AH436" s="3620"/>
      <c r="AI436" s="3620"/>
      <c r="AJ436" s="3620"/>
      <c r="AK436" s="959"/>
      <c r="AL436" s="959"/>
      <c r="AM436" s="959"/>
      <c r="AN436" s="959">
        <f t="shared" si="259"/>
        <v>64</v>
      </c>
      <c r="AO436" s="959"/>
      <c r="AP436" s="3618"/>
      <c r="AQ436" s="3618">
        <f t="shared" si="260"/>
        <v>64</v>
      </c>
      <c r="AR436" s="3626"/>
      <c r="AS436" s="3626"/>
      <c r="AT436" s="3626"/>
      <c r="AU436" s="3626">
        <f t="shared" si="261"/>
        <v>64</v>
      </c>
      <c r="AV436" s="3626"/>
      <c r="AW436" s="3626"/>
      <c r="AX436" s="3626"/>
      <c r="AY436" s="3626"/>
      <c r="AZ436" s="3626"/>
      <c r="BA436" s="3626"/>
      <c r="BB436" s="3626"/>
      <c r="BC436" s="3626"/>
      <c r="BD436" s="3626"/>
      <c r="BE436" s="3626"/>
      <c r="BF436" s="3626"/>
      <c r="BG436" s="3626"/>
      <c r="BH436" s="3626"/>
      <c r="BI436" s="3626" t="s">
        <v>89</v>
      </c>
      <c r="BJ436" s="3626">
        <f t="shared" si="262"/>
        <v>2.13333333333333</v>
      </c>
      <c r="BK436" s="3626"/>
      <c r="BL436" s="3626"/>
      <c r="BM436" s="3626"/>
      <c r="BN436" s="3626"/>
      <c r="BO436" s="4055">
        <f t="shared" si="265"/>
        <v>61.8666666666667</v>
      </c>
      <c r="BP436" s="3627"/>
      <c r="BQ436" s="3627">
        <f t="shared" si="241"/>
        <v>64</v>
      </c>
      <c r="BR436" s="3627">
        <f t="shared" si="242"/>
        <v>0</v>
      </c>
      <c r="BS436" s="4056" t="e">
        <v>#N/A</v>
      </c>
      <c r="BT436" s="4057" t="s">
        <v>4467</v>
      </c>
    </row>
    <row r="437" s="3566" customFormat="1" ht="50" customHeight="1" spans="1:72">
      <c r="A437" s="3635">
        <v>45841</v>
      </c>
      <c r="B437" s="3617" t="s">
        <v>1641</v>
      </c>
      <c r="C437" s="3617" t="s">
        <v>396</v>
      </c>
      <c r="D437" s="3618">
        <v>4500172612</v>
      </c>
      <c r="E437" s="959" t="s">
        <v>7365</v>
      </c>
      <c r="F437" s="959" t="s">
        <v>7366</v>
      </c>
      <c r="G437" s="959" t="s">
        <v>6091</v>
      </c>
      <c r="H437" s="3618" t="s">
        <v>6092</v>
      </c>
      <c r="I437" s="3618">
        <v>32</v>
      </c>
      <c r="J437" s="3618">
        <v>0</v>
      </c>
      <c r="K437" s="3618">
        <v>32</v>
      </c>
      <c r="L437" s="4052">
        <v>1</v>
      </c>
      <c r="M437" s="3619">
        <v>45877</v>
      </c>
      <c r="N437" s="3619">
        <v>45877</v>
      </c>
      <c r="O437" s="3664"/>
      <c r="P437" s="959" t="s">
        <v>82</v>
      </c>
      <c r="Q437" s="959"/>
      <c r="R437" s="959"/>
      <c r="S437" s="959"/>
      <c r="T437" s="4053"/>
      <c r="U437" s="3620" t="s">
        <v>1541</v>
      </c>
      <c r="V437" s="3649" t="s">
        <v>1644</v>
      </c>
      <c r="W437" s="3657"/>
      <c r="X437" s="3657" t="s">
        <v>98</v>
      </c>
      <c r="Y437" s="3657" t="s">
        <v>4484</v>
      </c>
      <c r="Z437" s="3661" t="s">
        <v>7343</v>
      </c>
      <c r="AA437" s="3620" t="s">
        <v>7344</v>
      </c>
      <c r="AB437" s="3624" t="s">
        <v>369</v>
      </c>
      <c r="AC437" s="3618">
        <v>2.3617</v>
      </c>
      <c r="AD437" s="3618">
        <f t="shared" si="264"/>
        <v>75.5744</v>
      </c>
      <c r="AE437" s="3633"/>
      <c r="AF437" s="959" t="s">
        <v>6096</v>
      </c>
      <c r="AG437" s="3620" t="s">
        <v>416</v>
      </c>
      <c r="AH437" s="3620"/>
      <c r="AI437" s="3620"/>
      <c r="AJ437" s="3620"/>
      <c r="AK437" s="959"/>
      <c r="AL437" s="959"/>
      <c r="AM437" s="959"/>
      <c r="AN437" s="959">
        <f t="shared" si="259"/>
        <v>32</v>
      </c>
      <c r="AO437" s="959"/>
      <c r="AP437" s="3618"/>
      <c r="AQ437" s="3618">
        <f t="shared" si="260"/>
        <v>32</v>
      </c>
      <c r="AR437" s="3626"/>
      <c r="AS437" s="3626"/>
      <c r="AT437" s="3626"/>
      <c r="AU437" s="3626">
        <f t="shared" si="261"/>
        <v>32</v>
      </c>
      <c r="AV437" s="3626"/>
      <c r="AW437" s="3626"/>
      <c r="AX437" s="3626"/>
      <c r="AY437" s="3626"/>
      <c r="AZ437" s="3626"/>
      <c r="BA437" s="3626"/>
      <c r="BB437" s="3626"/>
      <c r="BC437" s="3626"/>
      <c r="BD437" s="3626"/>
      <c r="BE437" s="3626"/>
      <c r="BF437" s="3626"/>
      <c r="BG437" s="3626"/>
      <c r="BH437" s="3626"/>
      <c r="BI437" s="3626" t="s">
        <v>89</v>
      </c>
      <c r="BJ437" s="3626">
        <f t="shared" si="262"/>
        <v>1.06666666666667</v>
      </c>
      <c r="BK437" s="3626"/>
      <c r="BL437" s="3626"/>
      <c r="BM437" s="3626"/>
      <c r="BN437" s="3626"/>
      <c r="BO437" s="4055">
        <f t="shared" si="265"/>
        <v>30.9333333333333</v>
      </c>
      <c r="BP437" s="3627"/>
      <c r="BQ437" s="3627">
        <f t="shared" si="241"/>
        <v>32</v>
      </c>
      <c r="BR437" s="3627">
        <f t="shared" si="242"/>
        <v>0</v>
      </c>
      <c r="BS437" s="4056" t="e">
        <v>#N/A</v>
      </c>
      <c r="BT437" s="4057" t="s">
        <v>4467</v>
      </c>
    </row>
    <row r="438" s="3566" customFormat="1" ht="50" customHeight="1" spans="1:72">
      <c r="A438" s="3635">
        <v>45841</v>
      </c>
      <c r="B438" s="3617" t="s">
        <v>1641</v>
      </c>
      <c r="C438" s="3617" t="s">
        <v>396</v>
      </c>
      <c r="D438" s="3618">
        <v>4500172612</v>
      </c>
      <c r="E438" s="959" t="s">
        <v>7367</v>
      </c>
      <c r="F438" s="959" t="s">
        <v>7368</v>
      </c>
      <c r="G438" s="959" t="s">
        <v>6091</v>
      </c>
      <c r="H438" s="3618" t="s">
        <v>6092</v>
      </c>
      <c r="I438" s="3618">
        <v>32</v>
      </c>
      <c r="J438" s="3618">
        <v>0</v>
      </c>
      <c r="K438" s="3618">
        <v>32</v>
      </c>
      <c r="L438" s="4052">
        <v>1</v>
      </c>
      <c r="M438" s="3619">
        <v>45877</v>
      </c>
      <c r="N438" s="3619">
        <v>45877</v>
      </c>
      <c r="O438" s="3664"/>
      <c r="P438" s="959" t="s">
        <v>82</v>
      </c>
      <c r="Q438" s="959"/>
      <c r="R438" s="959"/>
      <c r="S438" s="959"/>
      <c r="T438" s="4053"/>
      <c r="U438" s="3620" t="s">
        <v>1541</v>
      </c>
      <c r="V438" s="3649" t="s">
        <v>1644</v>
      </c>
      <c r="W438" s="3657"/>
      <c r="X438" s="3657" t="s">
        <v>98</v>
      </c>
      <c r="Y438" s="3657" t="s">
        <v>4484</v>
      </c>
      <c r="Z438" s="3661" t="s">
        <v>7343</v>
      </c>
      <c r="AA438" s="3620" t="s">
        <v>7344</v>
      </c>
      <c r="AB438" s="3624" t="s">
        <v>369</v>
      </c>
      <c r="AC438" s="3618">
        <v>2.3617</v>
      </c>
      <c r="AD438" s="3618">
        <f t="shared" si="264"/>
        <v>75.5744</v>
      </c>
      <c r="AE438" s="3633"/>
      <c r="AF438" s="959" t="s">
        <v>6096</v>
      </c>
      <c r="AG438" s="3620" t="s">
        <v>416</v>
      </c>
      <c r="AH438" s="3620"/>
      <c r="AI438" s="3620"/>
      <c r="AJ438" s="3620"/>
      <c r="AK438" s="959"/>
      <c r="AL438" s="959"/>
      <c r="AM438" s="959"/>
      <c r="AN438" s="959">
        <f t="shared" si="259"/>
        <v>32</v>
      </c>
      <c r="AO438" s="959"/>
      <c r="AP438" s="3618"/>
      <c r="AQ438" s="3618">
        <f t="shared" si="260"/>
        <v>32</v>
      </c>
      <c r="AR438" s="3626"/>
      <c r="AS438" s="3626"/>
      <c r="AT438" s="3626"/>
      <c r="AU438" s="3626">
        <f t="shared" si="261"/>
        <v>32</v>
      </c>
      <c r="AV438" s="3626"/>
      <c r="AW438" s="3626"/>
      <c r="AX438" s="3626"/>
      <c r="AY438" s="3626"/>
      <c r="AZ438" s="3626"/>
      <c r="BA438" s="3626"/>
      <c r="BB438" s="3626"/>
      <c r="BC438" s="3626"/>
      <c r="BD438" s="3626"/>
      <c r="BE438" s="3626"/>
      <c r="BF438" s="3626"/>
      <c r="BG438" s="3626"/>
      <c r="BH438" s="3626"/>
      <c r="BI438" s="3626" t="s">
        <v>89</v>
      </c>
      <c r="BJ438" s="3626">
        <f t="shared" si="262"/>
        <v>1.06666666666667</v>
      </c>
      <c r="BK438" s="3626"/>
      <c r="BL438" s="3626"/>
      <c r="BM438" s="3626"/>
      <c r="BN438" s="3626"/>
      <c r="BO438" s="4055">
        <f t="shared" si="265"/>
        <v>30.9333333333333</v>
      </c>
      <c r="BP438" s="3627"/>
      <c r="BQ438" s="3627">
        <f t="shared" si="241"/>
        <v>32</v>
      </c>
      <c r="BR438" s="3627">
        <f t="shared" si="242"/>
        <v>0</v>
      </c>
      <c r="BS438" s="4056" t="e">
        <v>#N/A</v>
      </c>
      <c r="BT438" s="4057" t="s">
        <v>4467</v>
      </c>
    </row>
    <row r="439" s="3566" customFormat="1" ht="50" customHeight="1" spans="1:72">
      <c r="A439" s="3635">
        <v>45841</v>
      </c>
      <c r="B439" s="3617" t="s">
        <v>1641</v>
      </c>
      <c r="C439" s="3617" t="s">
        <v>396</v>
      </c>
      <c r="D439" s="3618">
        <v>4500172612</v>
      </c>
      <c r="E439" s="959" t="s">
        <v>7369</v>
      </c>
      <c r="F439" s="959" t="s">
        <v>7370</v>
      </c>
      <c r="G439" s="959" t="s">
        <v>6091</v>
      </c>
      <c r="H439" s="3618" t="s">
        <v>6092</v>
      </c>
      <c r="I439" s="3618">
        <v>32</v>
      </c>
      <c r="J439" s="3618">
        <v>0</v>
      </c>
      <c r="K439" s="3618">
        <v>32</v>
      </c>
      <c r="L439" s="4052">
        <v>1</v>
      </c>
      <c r="M439" s="3619">
        <v>45877</v>
      </c>
      <c r="N439" s="3619">
        <v>45877</v>
      </c>
      <c r="O439" s="3664"/>
      <c r="P439" s="959" t="s">
        <v>82</v>
      </c>
      <c r="Q439" s="959"/>
      <c r="R439" s="959"/>
      <c r="S439" s="959"/>
      <c r="T439" s="4053"/>
      <c r="U439" s="3620" t="s">
        <v>1541</v>
      </c>
      <c r="V439" s="3649" t="s">
        <v>1644</v>
      </c>
      <c r="W439" s="3657"/>
      <c r="X439" s="3657" t="s">
        <v>98</v>
      </c>
      <c r="Y439" s="3657" t="s">
        <v>4484</v>
      </c>
      <c r="Z439" s="3661" t="s">
        <v>7343</v>
      </c>
      <c r="AA439" s="3620" t="s">
        <v>7344</v>
      </c>
      <c r="AB439" s="3624" t="s">
        <v>369</v>
      </c>
      <c r="AC439" s="3618">
        <v>2.3617</v>
      </c>
      <c r="AD439" s="3618">
        <f t="shared" si="264"/>
        <v>75.5744</v>
      </c>
      <c r="AE439" s="3633"/>
      <c r="AF439" s="959" t="s">
        <v>6096</v>
      </c>
      <c r="AG439" s="3620" t="s">
        <v>416</v>
      </c>
      <c r="AH439" s="3620"/>
      <c r="AI439" s="3620"/>
      <c r="AJ439" s="3620"/>
      <c r="AK439" s="959"/>
      <c r="AL439" s="959"/>
      <c r="AM439" s="959"/>
      <c r="AN439" s="959">
        <f t="shared" si="259"/>
        <v>32</v>
      </c>
      <c r="AO439" s="959"/>
      <c r="AP439" s="3618"/>
      <c r="AQ439" s="3618">
        <f t="shared" si="260"/>
        <v>32</v>
      </c>
      <c r="AR439" s="3626"/>
      <c r="AS439" s="3626"/>
      <c r="AT439" s="3626"/>
      <c r="AU439" s="3626">
        <f t="shared" si="261"/>
        <v>32</v>
      </c>
      <c r="AV439" s="3626"/>
      <c r="AW439" s="3626"/>
      <c r="AX439" s="3626"/>
      <c r="AY439" s="3626"/>
      <c r="AZ439" s="3626"/>
      <c r="BA439" s="3626"/>
      <c r="BB439" s="3626"/>
      <c r="BC439" s="3626"/>
      <c r="BD439" s="3626"/>
      <c r="BE439" s="3626"/>
      <c r="BF439" s="3626"/>
      <c r="BG439" s="3626"/>
      <c r="BH439" s="3626"/>
      <c r="BI439" s="3626" t="s">
        <v>89</v>
      </c>
      <c r="BJ439" s="3626">
        <f t="shared" si="262"/>
        <v>1.06666666666667</v>
      </c>
      <c r="BK439" s="3626"/>
      <c r="BL439" s="3626"/>
      <c r="BM439" s="3626"/>
      <c r="BN439" s="3626"/>
      <c r="BO439" s="4055">
        <f t="shared" si="265"/>
        <v>30.9333333333333</v>
      </c>
      <c r="BP439" s="3627"/>
      <c r="BQ439" s="3627">
        <f t="shared" si="241"/>
        <v>32</v>
      </c>
      <c r="BR439" s="3627">
        <f t="shared" si="242"/>
        <v>0</v>
      </c>
      <c r="BS439" s="4056" t="e">
        <v>#N/A</v>
      </c>
      <c r="BT439" s="4057" t="s">
        <v>4467</v>
      </c>
    </row>
    <row r="440" s="3566" customFormat="1" ht="50" customHeight="1" spans="1:72">
      <c r="A440" s="3635">
        <v>45841</v>
      </c>
      <c r="B440" s="3617" t="s">
        <v>1641</v>
      </c>
      <c r="C440" s="3617" t="s">
        <v>396</v>
      </c>
      <c r="D440" s="3618">
        <v>4500172612</v>
      </c>
      <c r="E440" s="959" t="s">
        <v>7371</v>
      </c>
      <c r="F440" s="959" t="s">
        <v>7372</v>
      </c>
      <c r="G440" s="959" t="s">
        <v>6091</v>
      </c>
      <c r="H440" s="3618" t="s">
        <v>6092</v>
      </c>
      <c r="I440" s="3618">
        <v>32</v>
      </c>
      <c r="J440" s="3618">
        <v>0</v>
      </c>
      <c r="K440" s="3618">
        <v>32</v>
      </c>
      <c r="L440" s="4052">
        <v>1</v>
      </c>
      <c r="M440" s="3619">
        <v>45877</v>
      </c>
      <c r="N440" s="3619">
        <v>45877</v>
      </c>
      <c r="O440" s="3664"/>
      <c r="P440" s="959" t="s">
        <v>82</v>
      </c>
      <c r="Q440" s="959"/>
      <c r="R440" s="959"/>
      <c r="S440" s="959"/>
      <c r="T440" s="4053"/>
      <c r="U440" s="3620" t="s">
        <v>1541</v>
      </c>
      <c r="V440" s="3649" t="s">
        <v>1644</v>
      </c>
      <c r="W440" s="3657"/>
      <c r="X440" s="3657" t="s">
        <v>98</v>
      </c>
      <c r="Y440" s="3657" t="s">
        <v>4484</v>
      </c>
      <c r="Z440" s="3661" t="s">
        <v>7343</v>
      </c>
      <c r="AA440" s="3620" t="s">
        <v>7344</v>
      </c>
      <c r="AB440" s="3624" t="s">
        <v>369</v>
      </c>
      <c r="AC440" s="3618">
        <v>2.3617</v>
      </c>
      <c r="AD440" s="3618">
        <f t="shared" si="264"/>
        <v>75.5744</v>
      </c>
      <c r="AE440" s="3633"/>
      <c r="AF440" s="959" t="s">
        <v>6096</v>
      </c>
      <c r="AG440" s="3620" t="s">
        <v>416</v>
      </c>
      <c r="AH440" s="3620"/>
      <c r="AI440" s="3620"/>
      <c r="AJ440" s="3620"/>
      <c r="AK440" s="959"/>
      <c r="AL440" s="959"/>
      <c r="AM440" s="959"/>
      <c r="AN440" s="959">
        <f t="shared" si="259"/>
        <v>32</v>
      </c>
      <c r="AO440" s="959"/>
      <c r="AP440" s="3618"/>
      <c r="AQ440" s="3618">
        <f t="shared" si="260"/>
        <v>32</v>
      </c>
      <c r="AR440" s="3626"/>
      <c r="AS440" s="3626"/>
      <c r="AT440" s="3626"/>
      <c r="AU440" s="3626">
        <f t="shared" si="261"/>
        <v>32</v>
      </c>
      <c r="AV440" s="3626"/>
      <c r="AW440" s="3626"/>
      <c r="AX440" s="3626"/>
      <c r="AY440" s="3626"/>
      <c r="AZ440" s="3626"/>
      <c r="BA440" s="3626"/>
      <c r="BB440" s="3626"/>
      <c r="BC440" s="3626"/>
      <c r="BD440" s="3626"/>
      <c r="BE440" s="3626"/>
      <c r="BF440" s="3626"/>
      <c r="BG440" s="3626"/>
      <c r="BH440" s="3626"/>
      <c r="BI440" s="3626" t="s">
        <v>89</v>
      </c>
      <c r="BJ440" s="3626">
        <f t="shared" si="262"/>
        <v>1.06666666666667</v>
      </c>
      <c r="BK440" s="3626"/>
      <c r="BL440" s="3626"/>
      <c r="BM440" s="3626"/>
      <c r="BN440" s="3626"/>
      <c r="BO440" s="4055">
        <f t="shared" si="265"/>
        <v>30.9333333333333</v>
      </c>
      <c r="BP440" s="3627"/>
      <c r="BQ440" s="3627">
        <f t="shared" si="241"/>
        <v>32</v>
      </c>
      <c r="BR440" s="3627">
        <f t="shared" si="242"/>
        <v>0</v>
      </c>
      <c r="BS440" s="4056" t="e">
        <v>#N/A</v>
      </c>
      <c r="BT440" s="4057" t="s">
        <v>4467</v>
      </c>
    </row>
    <row r="441" s="3566" customFormat="1" ht="50" customHeight="1" spans="1:72">
      <c r="A441" s="3635">
        <v>45833</v>
      </c>
      <c r="B441" s="3617" t="s">
        <v>2171</v>
      </c>
      <c r="C441" s="3617" t="s">
        <v>471</v>
      </c>
      <c r="D441" s="3618">
        <v>4500171176</v>
      </c>
      <c r="E441" s="959" t="s">
        <v>7373</v>
      </c>
      <c r="F441" s="959" t="s">
        <v>7374</v>
      </c>
      <c r="G441" s="959" t="s">
        <v>6281</v>
      </c>
      <c r="H441" s="959" t="s">
        <v>6292</v>
      </c>
      <c r="I441" s="3618">
        <v>480</v>
      </c>
      <c r="J441" s="3618">
        <v>1</v>
      </c>
      <c r="K441" s="3618">
        <v>32</v>
      </c>
      <c r="L441" s="4052">
        <f t="shared" ref="L441:L450" si="266">I441/K441</f>
        <v>15</v>
      </c>
      <c r="M441" s="3619">
        <v>45876</v>
      </c>
      <c r="N441" s="3619">
        <v>45881</v>
      </c>
      <c r="O441" s="3664"/>
      <c r="P441" s="959" t="s">
        <v>82</v>
      </c>
      <c r="Q441" s="959"/>
      <c r="R441" s="959"/>
      <c r="S441" s="959"/>
      <c r="T441" s="4053"/>
      <c r="U441" s="3620"/>
      <c r="V441" s="3649" t="s">
        <v>7375</v>
      </c>
      <c r="W441" s="3695"/>
      <c r="X441" s="3657" t="s">
        <v>7376</v>
      </c>
      <c r="Y441" s="4091"/>
      <c r="Z441" s="3661"/>
      <c r="AA441" s="3620" t="s">
        <v>7377</v>
      </c>
      <c r="AB441" s="3624" t="s">
        <v>380</v>
      </c>
      <c r="AC441" s="4058">
        <v>2.3158</v>
      </c>
      <c r="AD441" s="3618">
        <f t="shared" si="264"/>
        <v>1111.584</v>
      </c>
      <c r="AE441" s="3633"/>
      <c r="AF441" s="959" t="s">
        <v>6106</v>
      </c>
      <c r="AG441" s="3620" t="s">
        <v>416</v>
      </c>
      <c r="AH441" s="3620"/>
      <c r="AI441" s="3620"/>
      <c r="AJ441" s="3620"/>
      <c r="AK441" s="959"/>
      <c r="AL441" s="959"/>
      <c r="AM441" s="959"/>
      <c r="AN441" s="959">
        <f t="shared" si="259"/>
        <v>480</v>
      </c>
      <c r="AO441" s="959"/>
      <c r="AP441" s="3618"/>
      <c r="AQ441" s="3618">
        <f t="shared" si="260"/>
        <v>480</v>
      </c>
      <c r="AR441" s="3626"/>
      <c r="AS441" s="3626"/>
      <c r="AT441" s="3626">
        <f t="shared" ref="AT441:AT448" si="267">I441</f>
        <v>480</v>
      </c>
      <c r="AU441" s="3626"/>
      <c r="AV441" s="3626"/>
      <c r="AW441" s="3626"/>
      <c r="AX441" s="3626"/>
      <c r="AY441" s="3626"/>
      <c r="AZ441" s="3626"/>
      <c r="BA441" s="3626"/>
      <c r="BB441" s="3626"/>
      <c r="BC441" s="3626"/>
      <c r="BD441" s="3626"/>
      <c r="BE441" s="3626"/>
      <c r="BF441" s="3626"/>
      <c r="BG441" s="3626"/>
      <c r="BH441" s="3626"/>
      <c r="BI441" s="3626" t="s">
        <v>89</v>
      </c>
      <c r="BJ441" s="3626"/>
      <c r="BK441" s="3626">
        <f>I441</f>
        <v>480</v>
      </c>
      <c r="BL441" s="3626"/>
      <c r="BM441" s="3626"/>
      <c r="BN441" s="3626"/>
      <c r="BO441" s="4055"/>
      <c r="BP441" s="3627"/>
      <c r="BQ441" s="3627">
        <f t="shared" si="241"/>
        <v>480</v>
      </c>
      <c r="BR441" s="3627">
        <f t="shared" si="242"/>
        <v>0</v>
      </c>
      <c r="BS441" s="4056" t="s">
        <v>4474</v>
      </c>
      <c r="BT441" s="4057">
        <v>45881</v>
      </c>
    </row>
    <row r="442" s="3566" customFormat="1" ht="50" customHeight="1" spans="1:72">
      <c r="A442" s="3635">
        <v>45833</v>
      </c>
      <c r="B442" s="3617" t="s">
        <v>2171</v>
      </c>
      <c r="C442" s="3617" t="s">
        <v>471</v>
      </c>
      <c r="D442" s="3618">
        <v>4500171176</v>
      </c>
      <c r="E442" s="959" t="s">
        <v>7373</v>
      </c>
      <c r="F442" s="959" t="s">
        <v>7378</v>
      </c>
      <c r="G442" s="959" t="s">
        <v>6223</v>
      </c>
      <c r="H442" s="959" t="s">
        <v>6100</v>
      </c>
      <c r="I442" s="3618">
        <v>2880</v>
      </c>
      <c r="J442" s="3618">
        <v>1</v>
      </c>
      <c r="K442" s="3618">
        <v>32</v>
      </c>
      <c r="L442" s="4052">
        <f t="shared" si="266"/>
        <v>90</v>
      </c>
      <c r="M442" s="3619">
        <v>45876</v>
      </c>
      <c r="N442" s="3619">
        <v>45881</v>
      </c>
      <c r="O442" s="3664"/>
      <c r="P442" s="959" t="s">
        <v>82</v>
      </c>
      <c r="Q442" s="959"/>
      <c r="R442" s="959"/>
      <c r="S442" s="959"/>
      <c r="T442" s="4053"/>
      <c r="U442" s="3620"/>
      <c r="V442" s="3649" t="s">
        <v>7375</v>
      </c>
      <c r="W442" s="3695"/>
      <c r="X442" s="3657" t="s">
        <v>7376</v>
      </c>
      <c r="Y442" s="4091"/>
      <c r="Z442" s="3661"/>
      <c r="AA442" s="3620" t="s">
        <v>7379</v>
      </c>
      <c r="AB442" s="3624" t="s">
        <v>380</v>
      </c>
      <c r="AC442" s="4058">
        <v>2.3115</v>
      </c>
      <c r="AD442" s="3618">
        <f t="shared" si="264"/>
        <v>6657.12</v>
      </c>
      <c r="AE442" s="3633"/>
      <c r="AF442" s="959" t="s">
        <v>6276</v>
      </c>
      <c r="AG442" s="3620" t="s">
        <v>416</v>
      </c>
      <c r="AH442" s="3620"/>
      <c r="AI442" s="3620"/>
      <c r="AJ442" s="3620"/>
      <c r="AK442" s="959"/>
      <c r="AL442" s="959"/>
      <c r="AM442" s="959"/>
      <c r="AN442" s="959">
        <f t="shared" si="259"/>
        <v>2880</v>
      </c>
      <c r="AO442" s="959"/>
      <c r="AP442" s="3618"/>
      <c r="AQ442" s="3618">
        <f t="shared" si="260"/>
        <v>2880</v>
      </c>
      <c r="AR442" s="3626"/>
      <c r="AS442" s="3626"/>
      <c r="AT442" s="3626">
        <f t="shared" si="267"/>
        <v>2880</v>
      </c>
      <c r="AU442" s="3626"/>
      <c r="AV442" s="3626"/>
      <c r="AW442" s="3626"/>
      <c r="AX442" s="3626"/>
      <c r="AY442" s="3626"/>
      <c r="AZ442" s="3626"/>
      <c r="BA442" s="3626"/>
      <c r="BB442" s="3626"/>
      <c r="BC442" s="3626"/>
      <c r="BD442" s="3626"/>
      <c r="BE442" s="3626"/>
      <c r="BF442" s="3626"/>
      <c r="BG442" s="3626"/>
      <c r="BH442" s="3626"/>
      <c r="BI442" s="3626" t="s">
        <v>89</v>
      </c>
      <c r="BJ442" s="3626"/>
      <c r="BK442" s="3626"/>
      <c r="BL442" s="3626">
        <f>I442-BJ442</f>
        <v>2880</v>
      </c>
      <c r="BM442" s="3626"/>
      <c r="BN442" s="3626"/>
      <c r="BO442" s="4055"/>
      <c r="BP442" s="3627"/>
      <c r="BQ442" s="3627">
        <f t="shared" si="241"/>
        <v>2880</v>
      </c>
      <c r="BR442" s="3627">
        <f t="shared" si="242"/>
        <v>0</v>
      </c>
      <c r="BS442" s="4056" t="s">
        <v>4474</v>
      </c>
      <c r="BT442" s="4057">
        <v>45881</v>
      </c>
    </row>
    <row r="443" s="3566" customFormat="1" ht="50" customHeight="1" spans="1:72">
      <c r="A443" s="3635">
        <v>45833</v>
      </c>
      <c r="B443" s="3617" t="s">
        <v>2171</v>
      </c>
      <c r="C443" s="3617" t="s">
        <v>471</v>
      </c>
      <c r="D443" s="3618">
        <v>4500171176</v>
      </c>
      <c r="E443" s="959" t="s">
        <v>7380</v>
      </c>
      <c r="F443" s="959" t="s">
        <v>7381</v>
      </c>
      <c r="G443" s="959" t="s">
        <v>6281</v>
      </c>
      <c r="H443" s="959" t="s">
        <v>6292</v>
      </c>
      <c r="I443" s="3618">
        <v>480</v>
      </c>
      <c r="J443" s="3618">
        <v>1</v>
      </c>
      <c r="K443" s="3618">
        <v>32</v>
      </c>
      <c r="L443" s="4052">
        <f t="shared" si="266"/>
        <v>15</v>
      </c>
      <c r="M443" s="3619">
        <v>45876</v>
      </c>
      <c r="N443" s="3619">
        <v>45881</v>
      </c>
      <c r="O443" s="3664"/>
      <c r="P443" s="959" t="s">
        <v>82</v>
      </c>
      <c r="Q443" s="959"/>
      <c r="R443" s="959"/>
      <c r="S443" s="959"/>
      <c r="T443" s="4053"/>
      <c r="U443" s="3620" t="s">
        <v>7382</v>
      </c>
      <c r="V443" s="3649" t="s">
        <v>7375</v>
      </c>
      <c r="W443" s="3695"/>
      <c r="X443" s="3657" t="s">
        <v>7376</v>
      </c>
      <c r="Y443" s="4091"/>
      <c r="Z443" s="3661"/>
      <c r="AA443" s="3620" t="s">
        <v>7377</v>
      </c>
      <c r="AB443" s="3624" t="s">
        <v>380</v>
      </c>
      <c r="AC443" s="4058">
        <v>2.3158</v>
      </c>
      <c r="AD443" s="3618">
        <f t="shared" si="264"/>
        <v>1111.584</v>
      </c>
      <c r="AE443" s="3633"/>
      <c r="AF443" s="959" t="s">
        <v>6106</v>
      </c>
      <c r="AG443" s="3620" t="s">
        <v>416</v>
      </c>
      <c r="AH443" s="3620"/>
      <c r="AI443" s="3620"/>
      <c r="AJ443" s="3620"/>
      <c r="AK443" s="959"/>
      <c r="AL443" s="959"/>
      <c r="AM443" s="959"/>
      <c r="AN443" s="959">
        <f t="shared" si="259"/>
        <v>480</v>
      </c>
      <c r="AO443" s="959"/>
      <c r="AP443" s="3618"/>
      <c r="AQ443" s="3618">
        <f t="shared" si="260"/>
        <v>480</v>
      </c>
      <c r="AR443" s="3626"/>
      <c r="AS443" s="3626"/>
      <c r="AT443" s="3626">
        <f t="shared" si="267"/>
        <v>480</v>
      </c>
      <c r="AU443" s="3626"/>
      <c r="AV443" s="3626"/>
      <c r="AW443" s="3626"/>
      <c r="AX443" s="3626"/>
      <c r="AY443" s="3626"/>
      <c r="AZ443" s="3626"/>
      <c r="BA443" s="3626"/>
      <c r="BB443" s="3626"/>
      <c r="BC443" s="3626"/>
      <c r="BD443" s="3626"/>
      <c r="BE443" s="3626"/>
      <c r="BF443" s="3626"/>
      <c r="BG443" s="3626"/>
      <c r="BH443" s="3626"/>
      <c r="BI443" s="3626" t="s">
        <v>89</v>
      </c>
      <c r="BJ443" s="3626"/>
      <c r="BK443" s="3626">
        <f>I443</f>
        <v>480</v>
      </c>
      <c r="BL443" s="3626"/>
      <c r="BM443" s="3626"/>
      <c r="BN443" s="3626"/>
      <c r="BO443" s="4055"/>
      <c r="BP443" s="3627"/>
      <c r="BQ443" s="3627">
        <f t="shared" si="241"/>
        <v>480</v>
      </c>
      <c r="BR443" s="3627">
        <f t="shared" si="242"/>
        <v>0</v>
      </c>
      <c r="BS443" s="4056" t="s">
        <v>4474</v>
      </c>
      <c r="BT443" s="4057">
        <v>45881</v>
      </c>
    </row>
    <row r="444" s="3566" customFormat="1" ht="50" customHeight="1" spans="1:72">
      <c r="A444" s="3635">
        <v>45833</v>
      </c>
      <c r="B444" s="3617" t="s">
        <v>2171</v>
      </c>
      <c r="C444" s="3617" t="s">
        <v>471</v>
      </c>
      <c r="D444" s="3618">
        <v>4500171176</v>
      </c>
      <c r="E444" s="959" t="s">
        <v>7380</v>
      </c>
      <c r="F444" s="959" t="s">
        <v>7383</v>
      </c>
      <c r="G444" s="959" t="s">
        <v>6223</v>
      </c>
      <c r="H444" s="959" t="s">
        <v>6100</v>
      </c>
      <c r="I444" s="3618">
        <v>480</v>
      </c>
      <c r="J444" s="3618">
        <v>1</v>
      </c>
      <c r="K444" s="3618">
        <v>32</v>
      </c>
      <c r="L444" s="4052">
        <f t="shared" si="266"/>
        <v>15</v>
      </c>
      <c r="M444" s="3619">
        <v>45876</v>
      </c>
      <c r="N444" s="3619">
        <v>45881</v>
      </c>
      <c r="O444" s="3664"/>
      <c r="P444" s="959" t="s">
        <v>82</v>
      </c>
      <c r="Q444" s="959"/>
      <c r="R444" s="959"/>
      <c r="S444" s="959"/>
      <c r="T444" s="4053"/>
      <c r="U444" s="3620" t="s">
        <v>7382</v>
      </c>
      <c r="V444" s="3649" t="s">
        <v>7375</v>
      </c>
      <c r="W444" s="3695"/>
      <c r="X444" s="3657" t="s">
        <v>7376</v>
      </c>
      <c r="Y444" s="4091"/>
      <c r="Z444" s="3661"/>
      <c r="AA444" s="3620" t="s">
        <v>7379</v>
      </c>
      <c r="AB444" s="3624" t="s">
        <v>380</v>
      </c>
      <c r="AC444" s="4058">
        <v>2.3158</v>
      </c>
      <c r="AD444" s="3618">
        <f t="shared" si="264"/>
        <v>1111.584</v>
      </c>
      <c r="AE444" s="3633"/>
      <c r="AF444" s="959" t="s">
        <v>6276</v>
      </c>
      <c r="AG444" s="3620" t="s">
        <v>416</v>
      </c>
      <c r="AH444" s="3620"/>
      <c r="AI444" s="3620"/>
      <c r="AJ444" s="3620"/>
      <c r="AK444" s="959"/>
      <c r="AL444" s="959"/>
      <c r="AM444" s="959"/>
      <c r="AN444" s="959">
        <f t="shared" si="259"/>
        <v>480</v>
      </c>
      <c r="AO444" s="959"/>
      <c r="AP444" s="3618"/>
      <c r="AQ444" s="3618">
        <f t="shared" si="260"/>
        <v>480</v>
      </c>
      <c r="AR444" s="3626"/>
      <c r="AS444" s="3626"/>
      <c r="AT444" s="3626">
        <f t="shared" si="267"/>
        <v>480</v>
      </c>
      <c r="AU444" s="3626"/>
      <c r="AV444" s="3626"/>
      <c r="AW444" s="3626"/>
      <c r="AX444" s="3626"/>
      <c r="AY444" s="3626"/>
      <c r="AZ444" s="3626"/>
      <c r="BA444" s="3626"/>
      <c r="BB444" s="3626"/>
      <c r="BC444" s="3626"/>
      <c r="BD444" s="3626"/>
      <c r="BE444" s="3626"/>
      <c r="BF444" s="3626"/>
      <c r="BG444" s="3626"/>
      <c r="BH444" s="3626"/>
      <c r="BI444" s="3626" t="s">
        <v>89</v>
      </c>
      <c r="BJ444" s="3626"/>
      <c r="BK444" s="3626"/>
      <c r="BL444" s="3626">
        <f>I444-BJ444</f>
        <v>480</v>
      </c>
      <c r="BM444" s="3626"/>
      <c r="BN444" s="3626"/>
      <c r="BO444" s="4055"/>
      <c r="BP444" s="3627"/>
      <c r="BQ444" s="3627">
        <f t="shared" ref="BQ444:BQ498" si="268">SUM(BJ444:BP444)</f>
        <v>480</v>
      </c>
      <c r="BR444" s="3627">
        <f t="shared" ref="BR444:BR498" si="269">I444-BQ444</f>
        <v>0</v>
      </c>
      <c r="BS444" s="4056" t="s">
        <v>4474</v>
      </c>
      <c r="BT444" s="4057">
        <v>45881</v>
      </c>
    </row>
    <row r="445" s="3566" customFormat="1" ht="50" customHeight="1" spans="1:72">
      <c r="A445" s="3635">
        <v>45769</v>
      </c>
      <c r="B445" s="3617" t="s">
        <v>2285</v>
      </c>
      <c r="C445" s="3617" t="s">
        <v>351</v>
      </c>
      <c r="D445" s="3618">
        <v>4500164457</v>
      </c>
      <c r="E445" s="959" t="s">
        <v>3330</v>
      </c>
      <c r="F445" s="959" t="s">
        <v>7384</v>
      </c>
      <c r="G445" s="959" t="s">
        <v>6254</v>
      </c>
      <c r="H445" s="3618" t="s">
        <v>7308</v>
      </c>
      <c r="I445" s="3618">
        <v>6858</v>
      </c>
      <c r="J445" s="3618">
        <v>0</v>
      </c>
      <c r="K445" s="3618">
        <v>6</v>
      </c>
      <c r="L445" s="4052">
        <f t="shared" si="266"/>
        <v>1143</v>
      </c>
      <c r="M445" s="3619">
        <v>45877</v>
      </c>
      <c r="N445" s="3619">
        <v>45880</v>
      </c>
      <c r="O445" s="3664"/>
      <c r="P445" s="959" t="s">
        <v>82</v>
      </c>
      <c r="Q445" s="959"/>
      <c r="R445" s="959"/>
      <c r="S445" s="959"/>
      <c r="T445" s="4053"/>
      <c r="U445" s="3645" t="s">
        <v>220</v>
      </c>
      <c r="V445" s="3649" t="s">
        <v>1419</v>
      </c>
      <c r="W445" s="3695"/>
      <c r="X445" s="3657" t="s">
        <v>98</v>
      </c>
      <c r="Y445" s="4091"/>
      <c r="Z445" s="3661" t="s">
        <v>4457</v>
      </c>
      <c r="AA445" s="3620" t="s">
        <v>7385</v>
      </c>
      <c r="AB445" s="3624" t="s">
        <v>1199</v>
      </c>
      <c r="AC445" s="3618">
        <v>2.2436</v>
      </c>
      <c r="AD445" s="3618">
        <f t="shared" si="264"/>
        <v>15386.6088</v>
      </c>
      <c r="AE445" s="3633"/>
      <c r="AF445" s="959" t="s">
        <v>6620</v>
      </c>
      <c r="AG445" s="3620" t="s">
        <v>416</v>
      </c>
      <c r="AH445" s="3620"/>
      <c r="AI445" s="3620"/>
      <c r="AJ445" s="3620"/>
      <c r="AK445" s="959"/>
      <c r="AL445" s="959"/>
      <c r="AM445" s="959"/>
      <c r="AN445" s="959"/>
      <c r="AO445" s="959">
        <f>I445</f>
        <v>6858</v>
      </c>
      <c r="AP445" s="3618"/>
      <c r="AQ445" s="3618">
        <f t="shared" si="260"/>
        <v>6858</v>
      </c>
      <c r="AR445" s="3626"/>
      <c r="AS445" s="3626"/>
      <c r="AT445" s="3626">
        <f t="shared" si="267"/>
        <v>6858</v>
      </c>
      <c r="AU445" s="3626"/>
      <c r="AV445" s="3626"/>
      <c r="AW445" s="3626"/>
      <c r="AX445" s="3626"/>
      <c r="AY445" s="3626"/>
      <c r="AZ445" s="3626">
        <f>I445/6</f>
        <v>1143</v>
      </c>
      <c r="BA445" s="3626"/>
      <c r="BB445" s="3626"/>
      <c r="BC445" s="3626"/>
      <c r="BD445" s="3626"/>
      <c r="BE445" s="3626"/>
      <c r="BF445" s="3626"/>
      <c r="BG445" s="3626"/>
      <c r="BH445" s="3626"/>
      <c r="BI445" s="3626" t="s">
        <v>89</v>
      </c>
      <c r="BJ445" s="3626">
        <f t="shared" ref="BJ445:BJ453" si="270">I445/60*2</f>
        <v>228.6</v>
      </c>
      <c r="BK445" s="3626">
        <f t="shared" ref="BK445:BK453" si="271">I445/60*10</f>
        <v>1143</v>
      </c>
      <c r="BL445" s="3626">
        <f t="shared" ref="BL445:BL453" si="272">I445/60*10</f>
        <v>1143</v>
      </c>
      <c r="BM445" s="3626">
        <f t="shared" ref="BM445:BM453" si="273">I445/60*8</f>
        <v>914.4</v>
      </c>
      <c r="BN445" s="3626">
        <f t="shared" ref="BN445:BN453" si="274">I445/60*10</f>
        <v>1143</v>
      </c>
      <c r="BO445" s="4055">
        <f t="shared" ref="BO445:BO453" si="275">I445/60*10</f>
        <v>1143</v>
      </c>
      <c r="BP445" s="3627">
        <f t="shared" ref="BP445:BP453" si="276">I445/60*10</f>
        <v>1143</v>
      </c>
      <c r="BQ445" s="3627">
        <f t="shared" si="268"/>
        <v>6858</v>
      </c>
      <c r="BR445" s="3627">
        <f t="shared" si="269"/>
        <v>0</v>
      </c>
      <c r="BS445" s="4056" t="s">
        <v>4554</v>
      </c>
      <c r="BT445" s="4057">
        <v>45880</v>
      </c>
    </row>
    <row r="446" s="3566" customFormat="1" ht="50" customHeight="1" spans="1:72">
      <c r="A446" s="3635">
        <v>45769</v>
      </c>
      <c r="B446" s="3617" t="s">
        <v>2285</v>
      </c>
      <c r="C446" s="3617" t="s">
        <v>351</v>
      </c>
      <c r="D446" s="3618">
        <v>4500164457</v>
      </c>
      <c r="E446" s="959" t="s">
        <v>3336</v>
      </c>
      <c r="F446" s="959" t="s">
        <v>7386</v>
      </c>
      <c r="G446" s="959" t="s">
        <v>6254</v>
      </c>
      <c r="H446" s="3618" t="s">
        <v>7308</v>
      </c>
      <c r="I446" s="3618">
        <v>2670</v>
      </c>
      <c r="J446" s="3618">
        <v>0</v>
      </c>
      <c r="K446" s="3618">
        <v>6</v>
      </c>
      <c r="L446" s="4052">
        <f t="shared" si="266"/>
        <v>445</v>
      </c>
      <c r="M446" s="3619">
        <v>45877</v>
      </c>
      <c r="N446" s="3619">
        <v>45880</v>
      </c>
      <c r="O446" s="3664"/>
      <c r="P446" s="959" t="s">
        <v>82</v>
      </c>
      <c r="Q446" s="959"/>
      <c r="R446" s="959"/>
      <c r="S446" s="959"/>
      <c r="T446" s="4053"/>
      <c r="U446" s="3645" t="s">
        <v>220</v>
      </c>
      <c r="V446" s="3649" t="s">
        <v>1419</v>
      </c>
      <c r="W446" s="3695"/>
      <c r="X446" s="3657" t="s">
        <v>98</v>
      </c>
      <c r="Y446" s="4091"/>
      <c r="Z446" s="3661" t="s">
        <v>4457</v>
      </c>
      <c r="AA446" s="3620" t="s">
        <v>7385</v>
      </c>
      <c r="AB446" s="3624" t="s">
        <v>1199</v>
      </c>
      <c r="AC446" s="3618">
        <v>2.2436</v>
      </c>
      <c r="AD446" s="3618">
        <f t="shared" si="264"/>
        <v>5990.412</v>
      </c>
      <c r="AE446" s="3633"/>
      <c r="AF446" s="959" t="s">
        <v>6620</v>
      </c>
      <c r="AG446" s="3620" t="s">
        <v>416</v>
      </c>
      <c r="AH446" s="3620"/>
      <c r="AI446" s="3620"/>
      <c r="AJ446" s="3620"/>
      <c r="AK446" s="959"/>
      <c r="AL446" s="959"/>
      <c r="AM446" s="959"/>
      <c r="AN446" s="959"/>
      <c r="AO446" s="959">
        <f>I446</f>
        <v>2670</v>
      </c>
      <c r="AP446" s="3618"/>
      <c r="AQ446" s="3618">
        <f t="shared" si="260"/>
        <v>2670</v>
      </c>
      <c r="AR446" s="3626"/>
      <c r="AS446" s="3626"/>
      <c r="AT446" s="3626">
        <f t="shared" si="267"/>
        <v>2670</v>
      </c>
      <c r="AU446" s="3626"/>
      <c r="AV446" s="3626"/>
      <c r="AW446" s="3626"/>
      <c r="AX446" s="3626"/>
      <c r="AY446" s="3626"/>
      <c r="AZ446" s="3626">
        <f>I446/6</f>
        <v>445</v>
      </c>
      <c r="BA446" s="3626"/>
      <c r="BB446" s="3626"/>
      <c r="BC446" s="3626"/>
      <c r="BD446" s="3626"/>
      <c r="BE446" s="3626"/>
      <c r="BF446" s="3626"/>
      <c r="BG446" s="3626"/>
      <c r="BH446" s="3626"/>
      <c r="BI446" s="3626" t="s">
        <v>89</v>
      </c>
      <c r="BJ446" s="3626">
        <f t="shared" si="270"/>
        <v>89</v>
      </c>
      <c r="BK446" s="3626">
        <f t="shared" si="271"/>
        <v>445</v>
      </c>
      <c r="BL446" s="3626">
        <f t="shared" si="272"/>
        <v>445</v>
      </c>
      <c r="BM446" s="3626">
        <f t="shared" si="273"/>
        <v>356</v>
      </c>
      <c r="BN446" s="3626">
        <f t="shared" si="274"/>
        <v>445</v>
      </c>
      <c r="BO446" s="4055">
        <f t="shared" si="275"/>
        <v>445</v>
      </c>
      <c r="BP446" s="3627">
        <f t="shared" si="276"/>
        <v>445</v>
      </c>
      <c r="BQ446" s="3627">
        <f t="shared" si="268"/>
        <v>2670</v>
      </c>
      <c r="BR446" s="3627">
        <f t="shared" si="269"/>
        <v>0</v>
      </c>
      <c r="BS446" s="4056" t="s">
        <v>4554</v>
      </c>
      <c r="BT446" s="4057">
        <v>45880</v>
      </c>
    </row>
    <row r="447" s="3566" customFormat="1" ht="50" customHeight="1" spans="1:72">
      <c r="A447" s="3635">
        <v>45833</v>
      </c>
      <c r="B447" s="3617" t="s">
        <v>7387</v>
      </c>
      <c r="C447" s="3617" t="s">
        <v>2756</v>
      </c>
      <c r="D447" s="3618">
        <v>4500171189</v>
      </c>
      <c r="E447" s="959" t="s">
        <v>7388</v>
      </c>
      <c r="F447" s="959" t="s">
        <v>7389</v>
      </c>
      <c r="G447" s="959" t="s">
        <v>6124</v>
      </c>
      <c r="H447" s="3618" t="s">
        <v>6063</v>
      </c>
      <c r="I447" s="3618">
        <v>1800</v>
      </c>
      <c r="J447" s="3618">
        <v>0</v>
      </c>
      <c r="K447" s="3618">
        <v>12</v>
      </c>
      <c r="L447" s="4052">
        <f t="shared" si="266"/>
        <v>150</v>
      </c>
      <c r="M447" s="3619">
        <v>45880</v>
      </c>
      <c r="N447" s="3619">
        <v>45880</v>
      </c>
      <c r="O447" s="3664"/>
      <c r="P447" s="959"/>
      <c r="Q447" s="959"/>
      <c r="R447" s="959"/>
      <c r="S447" s="959"/>
      <c r="T447" s="4053"/>
      <c r="U447" s="3620" t="s">
        <v>4550</v>
      </c>
      <c r="V447" s="3649" t="s">
        <v>1619</v>
      </c>
      <c r="W447" s="3695"/>
      <c r="X447" s="3649" t="s">
        <v>7390</v>
      </c>
      <c r="Y447" s="4091"/>
      <c r="Z447" s="3661"/>
      <c r="AA447" s="3620" t="s">
        <v>7391</v>
      </c>
      <c r="AB447" s="3624" t="s">
        <v>578</v>
      </c>
      <c r="AC447" s="4058">
        <v>2.198</v>
      </c>
      <c r="AD447" s="3618">
        <f t="shared" si="264"/>
        <v>3956.4</v>
      </c>
      <c r="AE447" s="3633"/>
      <c r="AF447" s="959" t="s">
        <v>6126</v>
      </c>
      <c r="AG447" s="3620" t="s">
        <v>416</v>
      </c>
      <c r="AH447" s="3620"/>
      <c r="AI447" s="3620"/>
      <c r="AJ447" s="3620"/>
      <c r="AK447" s="959"/>
      <c r="AL447" s="959"/>
      <c r="AM447" s="959"/>
      <c r="AN447" s="959">
        <f>I447</f>
        <v>1800</v>
      </c>
      <c r="AO447" s="959"/>
      <c r="AP447" s="3618"/>
      <c r="AQ447" s="3618">
        <f t="shared" si="260"/>
        <v>1800</v>
      </c>
      <c r="AR447" s="3626"/>
      <c r="AS447" s="3626"/>
      <c r="AT447" s="3626">
        <f t="shared" si="267"/>
        <v>1800</v>
      </c>
      <c r="AU447" s="3626"/>
      <c r="AV447" s="3626"/>
      <c r="AW447" s="3626">
        <f>I447/6</f>
        <v>300</v>
      </c>
      <c r="AX447" s="3626"/>
      <c r="AY447" s="3626"/>
      <c r="AZ447" s="3626"/>
      <c r="BA447" s="3626"/>
      <c r="BB447" s="3626"/>
      <c r="BC447" s="3626"/>
      <c r="BD447" s="3626"/>
      <c r="BE447" s="3626"/>
      <c r="BF447" s="3626"/>
      <c r="BG447" s="3626"/>
      <c r="BH447" s="3626"/>
      <c r="BI447" s="3626" t="s">
        <v>89</v>
      </c>
      <c r="BJ447" s="3626">
        <f t="shared" si="270"/>
        <v>60</v>
      </c>
      <c r="BK447" s="3626">
        <f t="shared" si="271"/>
        <v>300</v>
      </c>
      <c r="BL447" s="3626">
        <f t="shared" si="272"/>
        <v>300</v>
      </c>
      <c r="BM447" s="3626">
        <f t="shared" si="273"/>
        <v>240</v>
      </c>
      <c r="BN447" s="3626">
        <f t="shared" si="274"/>
        <v>300</v>
      </c>
      <c r="BO447" s="4055">
        <f t="shared" si="275"/>
        <v>300</v>
      </c>
      <c r="BP447" s="3627">
        <f t="shared" si="276"/>
        <v>300</v>
      </c>
      <c r="BQ447" s="3627">
        <f t="shared" si="268"/>
        <v>1800</v>
      </c>
      <c r="BR447" s="3627">
        <f t="shared" si="269"/>
        <v>0</v>
      </c>
      <c r="BS447" s="4056" t="s">
        <v>7392</v>
      </c>
      <c r="BT447" s="4057" t="s">
        <v>4036</v>
      </c>
    </row>
    <row r="448" s="3566" customFormat="1" ht="50" customHeight="1" spans="1:72">
      <c r="A448" s="3635">
        <v>45832</v>
      </c>
      <c r="B448" s="3617" t="s">
        <v>7060</v>
      </c>
      <c r="C448" s="3617" t="s">
        <v>91</v>
      </c>
      <c r="D448" s="3618">
        <v>4500169184</v>
      </c>
      <c r="E448" s="959" t="s">
        <v>7393</v>
      </c>
      <c r="F448" s="959" t="s">
        <v>7394</v>
      </c>
      <c r="G448" s="959" t="s">
        <v>6195</v>
      </c>
      <c r="H448" s="3618" t="s">
        <v>6063</v>
      </c>
      <c r="I448" s="3618">
        <v>336</v>
      </c>
      <c r="J448" s="3618">
        <v>0</v>
      </c>
      <c r="K448" s="3618">
        <v>12</v>
      </c>
      <c r="L448" s="4052">
        <f t="shared" si="266"/>
        <v>28</v>
      </c>
      <c r="M448" s="3619">
        <v>45881</v>
      </c>
      <c r="N448" s="3619">
        <v>45881</v>
      </c>
      <c r="O448" s="3664" t="s">
        <v>7395</v>
      </c>
      <c r="P448" s="959" t="s">
        <v>82</v>
      </c>
      <c r="Q448" s="959"/>
      <c r="R448" s="959"/>
      <c r="S448" s="959"/>
      <c r="T448" s="4053"/>
      <c r="U448" s="3620" t="s">
        <v>7396</v>
      </c>
      <c r="V448" s="3649" t="s">
        <v>4397</v>
      </c>
      <c r="W448" s="3695"/>
      <c r="X448" s="3640" t="s">
        <v>98</v>
      </c>
      <c r="Y448" s="4091"/>
      <c r="Z448" s="3661"/>
      <c r="AA448" s="3620" t="s">
        <v>7397</v>
      </c>
      <c r="AB448" s="3624" t="s">
        <v>7398</v>
      </c>
      <c r="AC448" s="4058">
        <v>1.3535</v>
      </c>
      <c r="AD448" s="3618">
        <f t="shared" si="264"/>
        <v>454.776</v>
      </c>
      <c r="AE448" s="3633" t="s">
        <v>7399</v>
      </c>
      <c r="AF448" s="959" t="s">
        <v>6195</v>
      </c>
      <c r="AG448" s="3620" t="s">
        <v>416</v>
      </c>
      <c r="AH448" s="3620"/>
      <c r="AI448" s="3620"/>
      <c r="AJ448" s="3620"/>
      <c r="AK448" s="959"/>
      <c r="AL448" s="959">
        <f>I448</f>
        <v>336</v>
      </c>
      <c r="AM448" s="959"/>
      <c r="AN448" s="959"/>
      <c r="AO448" s="959"/>
      <c r="AP448" s="3618"/>
      <c r="AQ448" s="3618">
        <f t="shared" si="260"/>
        <v>336</v>
      </c>
      <c r="AR448" s="3626"/>
      <c r="AS448" s="3626"/>
      <c r="AT448" s="3626">
        <f t="shared" si="267"/>
        <v>336</v>
      </c>
      <c r="AU448" s="3626"/>
      <c r="AV448" s="3626"/>
      <c r="AW448" s="3626"/>
      <c r="AX448" s="3626"/>
      <c r="AY448" s="3626"/>
      <c r="AZ448" s="3626">
        <f>I448/6</f>
        <v>56</v>
      </c>
      <c r="BA448" s="3626"/>
      <c r="BB448" s="3626"/>
      <c r="BC448" s="3626"/>
      <c r="BD448" s="3626"/>
      <c r="BE448" s="3626"/>
      <c r="BF448" s="3626"/>
      <c r="BG448" s="3626"/>
      <c r="BH448" s="3626"/>
      <c r="BI448" s="3626" t="s">
        <v>89</v>
      </c>
      <c r="BJ448" s="3626">
        <f t="shared" si="270"/>
        <v>11.2</v>
      </c>
      <c r="BK448" s="3626">
        <f t="shared" si="271"/>
        <v>56</v>
      </c>
      <c r="BL448" s="3626">
        <f t="shared" si="272"/>
        <v>56</v>
      </c>
      <c r="BM448" s="3626">
        <f t="shared" si="273"/>
        <v>44.8</v>
      </c>
      <c r="BN448" s="3626">
        <f t="shared" si="274"/>
        <v>56</v>
      </c>
      <c r="BO448" s="4055">
        <f t="shared" si="275"/>
        <v>56</v>
      </c>
      <c r="BP448" s="3627">
        <f t="shared" si="276"/>
        <v>56</v>
      </c>
      <c r="BQ448" s="3627">
        <f t="shared" si="268"/>
        <v>336</v>
      </c>
      <c r="BR448" s="3627">
        <f t="shared" si="269"/>
        <v>0</v>
      </c>
      <c r="BS448" s="4056" t="s">
        <v>7400</v>
      </c>
      <c r="BT448" s="4057" t="s">
        <v>4036</v>
      </c>
    </row>
    <row r="449" s="3566" customFormat="1" ht="50" customHeight="1" spans="1:72">
      <c r="A449" s="3635">
        <v>45841</v>
      </c>
      <c r="B449" s="3617" t="s">
        <v>2872</v>
      </c>
      <c r="C449" s="3617" t="s">
        <v>471</v>
      </c>
      <c r="D449" s="3618">
        <v>4500172499</v>
      </c>
      <c r="E449" s="959"/>
      <c r="F449" s="959" t="s">
        <v>7401</v>
      </c>
      <c r="G449" s="959" t="s">
        <v>6108</v>
      </c>
      <c r="H449" s="3618" t="s">
        <v>6063</v>
      </c>
      <c r="I449" s="3618">
        <v>1416</v>
      </c>
      <c r="J449" s="3618">
        <v>0</v>
      </c>
      <c r="K449" s="3618">
        <v>12</v>
      </c>
      <c r="L449" s="4052">
        <f t="shared" si="266"/>
        <v>118</v>
      </c>
      <c r="M449" s="3619">
        <v>45883</v>
      </c>
      <c r="N449" s="3619">
        <v>45883</v>
      </c>
      <c r="O449" s="3664"/>
      <c r="P449" s="959"/>
      <c r="Q449" s="959"/>
      <c r="R449" s="959"/>
      <c r="S449" s="959"/>
      <c r="T449" s="4053"/>
      <c r="U449" s="3645" t="s">
        <v>1767</v>
      </c>
      <c r="V449" s="3649" t="s">
        <v>4571</v>
      </c>
      <c r="W449" s="3657"/>
      <c r="X449" s="3657" t="s">
        <v>98</v>
      </c>
      <c r="Y449" s="4091"/>
      <c r="Z449" s="3661"/>
      <c r="AA449" s="3620" t="s">
        <v>7402</v>
      </c>
      <c r="AB449" s="3624" t="s">
        <v>4573</v>
      </c>
      <c r="AC449" s="4058">
        <v>2.198</v>
      </c>
      <c r="AD449" s="3618">
        <f t="shared" si="264"/>
        <v>3112.368</v>
      </c>
      <c r="AE449" s="3633"/>
      <c r="AF449" s="959" t="s">
        <v>6699</v>
      </c>
      <c r="AG449" s="3620" t="s">
        <v>416</v>
      </c>
      <c r="AH449" s="3620"/>
      <c r="AI449" s="3620"/>
      <c r="AJ449" s="3620"/>
      <c r="AK449" s="959"/>
      <c r="AL449" s="959"/>
      <c r="AM449" s="959"/>
      <c r="AN449" s="959">
        <f>I449</f>
        <v>1416</v>
      </c>
      <c r="AO449" s="959"/>
      <c r="AP449" s="3618"/>
      <c r="AQ449" s="3618">
        <f t="shared" si="260"/>
        <v>1416</v>
      </c>
      <c r="AR449" s="3626"/>
      <c r="AS449" s="3626"/>
      <c r="AT449" s="3626"/>
      <c r="AU449" s="3626">
        <f>I449</f>
        <v>1416</v>
      </c>
      <c r="AV449" s="3626"/>
      <c r="AW449" s="3626"/>
      <c r="AX449" s="3626">
        <f>I449/6</f>
        <v>236</v>
      </c>
      <c r="AY449" s="3626"/>
      <c r="AZ449" s="3626"/>
      <c r="BA449" s="3626"/>
      <c r="BB449" s="3626"/>
      <c r="BC449" s="3626"/>
      <c r="BD449" s="3626"/>
      <c r="BE449" s="3626"/>
      <c r="BF449" s="3626"/>
      <c r="BG449" s="3626"/>
      <c r="BH449" s="3626"/>
      <c r="BI449" s="3626" t="s">
        <v>89</v>
      </c>
      <c r="BJ449" s="3626">
        <f t="shared" si="270"/>
        <v>47.2</v>
      </c>
      <c r="BK449" s="3626">
        <f t="shared" si="271"/>
        <v>236</v>
      </c>
      <c r="BL449" s="3626">
        <f t="shared" si="272"/>
        <v>236</v>
      </c>
      <c r="BM449" s="3626">
        <f t="shared" si="273"/>
        <v>188.8</v>
      </c>
      <c r="BN449" s="3626">
        <f t="shared" si="274"/>
        <v>236</v>
      </c>
      <c r="BO449" s="4055">
        <f t="shared" si="275"/>
        <v>236</v>
      </c>
      <c r="BP449" s="3627">
        <f t="shared" si="276"/>
        <v>236</v>
      </c>
      <c r="BQ449" s="3627">
        <f t="shared" si="268"/>
        <v>1416</v>
      </c>
      <c r="BR449" s="3627">
        <f t="shared" si="269"/>
        <v>0</v>
      </c>
      <c r="BS449" s="4056" t="e">
        <v>#N/A</v>
      </c>
      <c r="BT449" s="4057" t="s">
        <v>4036</v>
      </c>
    </row>
    <row r="450" s="3566" customFormat="1" ht="50" customHeight="1" spans="1:72">
      <c r="A450" s="3635">
        <v>45834</v>
      </c>
      <c r="B450" s="3617" t="s">
        <v>4477</v>
      </c>
      <c r="C450" s="3617" t="s">
        <v>2813</v>
      </c>
      <c r="D450" s="3618">
        <v>4500171332</v>
      </c>
      <c r="E450" s="959"/>
      <c r="F450" s="959" t="s">
        <v>7403</v>
      </c>
      <c r="G450" s="959" t="s">
        <v>6124</v>
      </c>
      <c r="H450" s="3618" t="s">
        <v>6063</v>
      </c>
      <c r="I450" s="3618">
        <v>1080</v>
      </c>
      <c r="J450" s="3618">
        <v>0</v>
      </c>
      <c r="K450" s="3618">
        <v>12</v>
      </c>
      <c r="L450" s="4052">
        <f t="shared" si="266"/>
        <v>90</v>
      </c>
      <c r="M450" s="3619">
        <v>45876</v>
      </c>
      <c r="N450" s="3619">
        <v>45883</v>
      </c>
      <c r="O450" s="3664"/>
      <c r="P450" s="959" t="s">
        <v>82</v>
      </c>
      <c r="Q450" s="959"/>
      <c r="R450" s="959"/>
      <c r="S450" s="959"/>
      <c r="T450" s="4053"/>
      <c r="U450" s="3645" t="s">
        <v>1754</v>
      </c>
      <c r="V450" s="3649" t="s">
        <v>1571</v>
      </c>
      <c r="W450" s="3695"/>
      <c r="X450" s="3649" t="s">
        <v>4479</v>
      </c>
      <c r="Y450" s="4091"/>
      <c r="Z450" s="3661"/>
      <c r="AA450" s="3620" t="s">
        <v>7404</v>
      </c>
      <c r="AB450" s="3624" t="s">
        <v>4481</v>
      </c>
      <c r="AC450" s="4058">
        <v>2.2547</v>
      </c>
      <c r="AD450" s="3618">
        <f t="shared" si="264"/>
        <v>2435.076</v>
      </c>
      <c r="AE450" s="3633"/>
      <c r="AF450" s="959" t="s">
        <v>6126</v>
      </c>
      <c r="AG450" s="3620" t="s">
        <v>416</v>
      </c>
      <c r="AH450" s="3620"/>
      <c r="AI450" s="3620"/>
      <c r="AJ450" s="3620"/>
      <c r="AK450" s="959"/>
      <c r="AL450" s="959"/>
      <c r="AM450" s="959"/>
      <c r="AN450" s="959">
        <f>I450</f>
        <v>1080</v>
      </c>
      <c r="AO450" s="959"/>
      <c r="AP450" s="3618"/>
      <c r="AQ450" s="3618">
        <f t="shared" si="260"/>
        <v>1080</v>
      </c>
      <c r="AR450" s="3626"/>
      <c r="AS450" s="3626"/>
      <c r="AT450" s="3626">
        <f t="shared" ref="AT450:AT479" si="277">I450</f>
        <v>1080</v>
      </c>
      <c r="AU450" s="3626"/>
      <c r="AV450" s="3626"/>
      <c r="AW450" s="3626">
        <f>I450/6</f>
        <v>180</v>
      </c>
      <c r="AX450" s="3626"/>
      <c r="AY450" s="3626"/>
      <c r="AZ450" s="3626"/>
      <c r="BA450" s="3626"/>
      <c r="BB450" s="3626"/>
      <c r="BC450" s="3626"/>
      <c r="BD450" s="3626"/>
      <c r="BE450" s="3626"/>
      <c r="BF450" s="3626"/>
      <c r="BG450" s="3626"/>
      <c r="BH450" s="3626"/>
      <c r="BI450" s="3626" t="s">
        <v>89</v>
      </c>
      <c r="BJ450" s="3626">
        <f t="shared" si="270"/>
        <v>36</v>
      </c>
      <c r="BK450" s="3626">
        <f t="shared" si="271"/>
        <v>180</v>
      </c>
      <c r="BL450" s="3626">
        <f t="shared" si="272"/>
        <v>180</v>
      </c>
      <c r="BM450" s="3626">
        <f t="shared" si="273"/>
        <v>144</v>
      </c>
      <c r="BN450" s="3626">
        <f t="shared" si="274"/>
        <v>180</v>
      </c>
      <c r="BO450" s="4055">
        <f t="shared" si="275"/>
        <v>180</v>
      </c>
      <c r="BP450" s="3627">
        <f t="shared" si="276"/>
        <v>180</v>
      </c>
      <c r="BQ450" s="3627">
        <f t="shared" si="268"/>
        <v>1080</v>
      </c>
      <c r="BR450" s="3627">
        <f t="shared" si="269"/>
        <v>0</v>
      </c>
      <c r="BS450" s="4056" t="s">
        <v>4474</v>
      </c>
      <c r="BT450" s="4057">
        <v>45883</v>
      </c>
    </row>
    <row r="451" s="3566" customFormat="1" ht="50" customHeight="1" spans="1:72">
      <c r="A451" s="3635">
        <v>45838</v>
      </c>
      <c r="B451" s="3617" t="s">
        <v>340</v>
      </c>
      <c r="C451" s="3617" t="s">
        <v>341</v>
      </c>
      <c r="D451" s="3618">
        <v>4500171941</v>
      </c>
      <c r="E451" s="959" t="s">
        <v>4540</v>
      </c>
      <c r="F451" s="959" t="s">
        <v>4541</v>
      </c>
      <c r="G451" s="959" t="s">
        <v>6641</v>
      </c>
      <c r="H451" s="959" t="s">
        <v>6642</v>
      </c>
      <c r="I451" s="3618">
        <v>1299</v>
      </c>
      <c r="J451" s="3618">
        <v>0</v>
      </c>
      <c r="K451" s="3618">
        <v>1</v>
      </c>
      <c r="L451" s="4052">
        <v>1299</v>
      </c>
      <c r="M451" s="3619">
        <v>45877</v>
      </c>
      <c r="N451" s="3619">
        <v>45877</v>
      </c>
      <c r="O451" s="3664"/>
      <c r="P451" s="959" t="s">
        <v>82</v>
      </c>
      <c r="Q451" s="959"/>
      <c r="R451" s="959"/>
      <c r="S451" s="959"/>
      <c r="T451" s="4053"/>
      <c r="U451" s="3620"/>
      <c r="V451" s="3649" t="s">
        <v>4543</v>
      </c>
      <c r="W451" s="3657"/>
      <c r="X451" s="3657" t="s">
        <v>1099</v>
      </c>
      <c r="Y451" s="4091"/>
      <c r="Z451" s="3661"/>
      <c r="AA451" s="3620" t="s">
        <v>7405</v>
      </c>
      <c r="AB451" s="3624" t="s">
        <v>1459</v>
      </c>
      <c r="AC451" s="4058">
        <v>8.9518</v>
      </c>
      <c r="AD451" s="3618">
        <f t="shared" si="264"/>
        <v>11628.3882</v>
      </c>
      <c r="AE451" s="3633"/>
      <c r="AF451" s="959" t="s">
        <v>3520</v>
      </c>
      <c r="AG451" s="3620" t="s">
        <v>416</v>
      </c>
      <c r="AH451" s="3620"/>
      <c r="AI451" s="3620"/>
      <c r="AJ451" s="3620"/>
      <c r="AK451" s="959"/>
      <c r="AL451" s="959">
        <f>I451</f>
        <v>1299</v>
      </c>
      <c r="AM451" s="959"/>
      <c r="AN451" s="959"/>
      <c r="AO451" s="959"/>
      <c r="AP451" s="3618"/>
      <c r="AQ451" s="3618">
        <f t="shared" si="260"/>
        <v>1299</v>
      </c>
      <c r="AR451" s="3626"/>
      <c r="AS451" s="3626"/>
      <c r="AT451" s="3626">
        <f t="shared" si="277"/>
        <v>1299</v>
      </c>
      <c r="AU451" s="3626"/>
      <c r="AV451" s="3626"/>
      <c r="AW451" s="3626"/>
      <c r="AX451" s="3626"/>
      <c r="AY451" s="3626"/>
      <c r="AZ451" s="3626"/>
      <c r="BA451" s="3626"/>
      <c r="BB451" s="3626"/>
      <c r="BC451" s="3626"/>
      <c r="BD451" s="3626"/>
      <c r="BE451" s="3626"/>
      <c r="BF451" s="3626"/>
      <c r="BG451" s="3626"/>
      <c r="BH451" s="3626"/>
      <c r="BI451" s="3626" t="s">
        <v>89</v>
      </c>
      <c r="BJ451" s="3626">
        <f t="shared" si="270"/>
        <v>43.3</v>
      </c>
      <c r="BK451" s="3626">
        <f t="shared" si="271"/>
        <v>216.5</v>
      </c>
      <c r="BL451" s="3626">
        <f t="shared" si="272"/>
        <v>216.5</v>
      </c>
      <c r="BM451" s="3626">
        <f t="shared" si="273"/>
        <v>173.2</v>
      </c>
      <c r="BN451" s="3626">
        <f t="shared" si="274"/>
        <v>216.5</v>
      </c>
      <c r="BO451" s="4055">
        <f t="shared" si="275"/>
        <v>216.5</v>
      </c>
      <c r="BP451" s="3627">
        <f t="shared" si="276"/>
        <v>216.5</v>
      </c>
      <c r="BQ451" s="3627">
        <f t="shared" si="268"/>
        <v>1299</v>
      </c>
      <c r="BR451" s="3627">
        <f t="shared" si="269"/>
        <v>0</v>
      </c>
      <c r="BS451" s="4056" t="s">
        <v>4554</v>
      </c>
      <c r="BT451" s="4057" t="s">
        <v>4036</v>
      </c>
    </row>
    <row r="452" s="3566" customFormat="1" ht="50" customHeight="1" spans="1:72">
      <c r="A452" s="3635">
        <v>45838</v>
      </c>
      <c r="B452" s="3617" t="s">
        <v>340</v>
      </c>
      <c r="C452" s="3617" t="s">
        <v>341</v>
      </c>
      <c r="D452" s="3618">
        <v>4500171941</v>
      </c>
      <c r="E452" s="959" t="s">
        <v>4546</v>
      </c>
      <c r="F452" s="959" t="s">
        <v>4547</v>
      </c>
      <c r="G452" s="959" t="s">
        <v>6641</v>
      </c>
      <c r="H452" s="959" t="s">
        <v>6642</v>
      </c>
      <c r="I452" s="3618">
        <v>2701</v>
      </c>
      <c r="J452" s="3618">
        <v>0</v>
      </c>
      <c r="K452" s="3618">
        <v>1</v>
      </c>
      <c r="L452" s="4052">
        <v>2701</v>
      </c>
      <c r="M452" s="3619">
        <v>45877</v>
      </c>
      <c r="N452" s="3619">
        <v>45877</v>
      </c>
      <c r="O452" s="3664"/>
      <c r="P452" s="959" t="s">
        <v>82</v>
      </c>
      <c r="Q452" s="959"/>
      <c r="R452" s="959"/>
      <c r="S452" s="959"/>
      <c r="T452" s="4053"/>
      <c r="U452" s="3645" t="s">
        <v>220</v>
      </c>
      <c r="V452" s="3649" t="s">
        <v>4543</v>
      </c>
      <c r="W452" s="3657"/>
      <c r="X452" s="3657" t="s">
        <v>1099</v>
      </c>
      <c r="Y452" s="4091"/>
      <c r="Z452" s="3661"/>
      <c r="AA452" s="3620" t="s">
        <v>7405</v>
      </c>
      <c r="AB452" s="3624" t="s">
        <v>1459</v>
      </c>
      <c r="AC452" s="4058">
        <v>8.9518</v>
      </c>
      <c r="AD452" s="3618">
        <f t="shared" si="264"/>
        <v>24178.8118</v>
      </c>
      <c r="AE452" s="3633"/>
      <c r="AF452" s="959" t="s">
        <v>3520</v>
      </c>
      <c r="AG452" s="3620" t="s">
        <v>416</v>
      </c>
      <c r="AH452" s="3620"/>
      <c r="AI452" s="3620"/>
      <c r="AJ452" s="3620"/>
      <c r="AK452" s="959"/>
      <c r="AL452" s="959">
        <f>I452</f>
        <v>2701</v>
      </c>
      <c r="AM452" s="959"/>
      <c r="AN452" s="959"/>
      <c r="AO452" s="959"/>
      <c r="AP452" s="3618"/>
      <c r="AQ452" s="3618">
        <f t="shared" si="260"/>
        <v>2701</v>
      </c>
      <c r="AR452" s="3626"/>
      <c r="AS452" s="3626"/>
      <c r="AT452" s="3626">
        <f t="shared" si="277"/>
        <v>2701</v>
      </c>
      <c r="AU452" s="3626"/>
      <c r="AV452" s="3626"/>
      <c r="AW452" s="3626"/>
      <c r="AX452" s="3626"/>
      <c r="AY452" s="3626"/>
      <c r="AZ452" s="3626"/>
      <c r="BA452" s="3626"/>
      <c r="BB452" s="3626"/>
      <c r="BC452" s="3626"/>
      <c r="BD452" s="3626"/>
      <c r="BE452" s="3626"/>
      <c r="BF452" s="3626"/>
      <c r="BG452" s="3626"/>
      <c r="BH452" s="3626"/>
      <c r="BI452" s="3626" t="s">
        <v>89</v>
      </c>
      <c r="BJ452" s="3626">
        <f t="shared" si="270"/>
        <v>90.0333333333333</v>
      </c>
      <c r="BK452" s="3626">
        <f t="shared" si="271"/>
        <v>450.166666666667</v>
      </c>
      <c r="BL452" s="3626">
        <f t="shared" si="272"/>
        <v>450.166666666667</v>
      </c>
      <c r="BM452" s="3626">
        <f t="shared" si="273"/>
        <v>360.133333333333</v>
      </c>
      <c r="BN452" s="3626">
        <f t="shared" si="274"/>
        <v>450.166666666667</v>
      </c>
      <c r="BO452" s="4055">
        <f t="shared" si="275"/>
        <v>450.166666666667</v>
      </c>
      <c r="BP452" s="3627">
        <f t="shared" si="276"/>
        <v>450.166666666667</v>
      </c>
      <c r="BQ452" s="3627">
        <f t="shared" si="268"/>
        <v>2701</v>
      </c>
      <c r="BR452" s="3627">
        <f t="shared" si="269"/>
        <v>0</v>
      </c>
      <c r="BS452" s="4056" t="s">
        <v>4554</v>
      </c>
      <c r="BT452" s="4057" t="s">
        <v>4036</v>
      </c>
    </row>
    <row r="453" s="3566" customFormat="1" ht="50" customHeight="1" spans="1:72">
      <c r="A453" s="3635">
        <v>45814</v>
      </c>
      <c r="B453" s="3617" t="s">
        <v>2949</v>
      </c>
      <c r="C453" s="3617" t="s">
        <v>341</v>
      </c>
      <c r="D453" s="3618">
        <v>4500160598</v>
      </c>
      <c r="E453" s="959">
        <v>14662229</v>
      </c>
      <c r="F453" s="959" t="s">
        <v>7406</v>
      </c>
      <c r="G453" s="959" t="s">
        <v>6122</v>
      </c>
      <c r="H453" s="3618" t="s">
        <v>6063</v>
      </c>
      <c r="I453" s="3618">
        <v>2576</v>
      </c>
      <c r="J453" s="3618">
        <v>4</v>
      </c>
      <c r="K453" s="3618">
        <v>16</v>
      </c>
      <c r="L453" s="4052">
        <f t="shared" ref="L453:L477" si="278">I453/K453</f>
        <v>161</v>
      </c>
      <c r="M453" s="3619">
        <v>45877</v>
      </c>
      <c r="N453" s="3619">
        <v>45884</v>
      </c>
      <c r="O453" s="3664" t="s">
        <v>4663</v>
      </c>
      <c r="P453" s="959" t="s">
        <v>82</v>
      </c>
      <c r="Q453" s="959"/>
      <c r="R453" s="959"/>
      <c r="S453" s="959"/>
      <c r="T453" s="4053"/>
      <c r="U453" s="3620" t="s">
        <v>228</v>
      </c>
      <c r="V453" s="3657" t="s">
        <v>1550</v>
      </c>
      <c r="W453" s="3695"/>
      <c r="X453" s="3649" t="s">
        <v>1534</v>
      </c>
      <c r="Y453" s="4091"/>
      <c r="Z453" s="3661"/>
      <c r="AA453" s="3620" t="s">
        <v>6692</v>
      </c>
      <c r="AB453" s="3624" t="s">
        <v>1459</v>
      </c>
      <c r="AC453" s="3618">
        <v>2.3972</v>
      </c>
      <c r="AD453" s="3618">
        <f t="shared" si="264"/>
        <v>6175.1872</v>
      </c>
      <c r="AE453" s="3633"/>
      <c r="AF453" s="959" t="s">
        <v>6122</v>
      </c>
      <c r="AG453" s="3620" t="s">
        <v>416</v>
      </c>
      <c r="AH453" s="3620"/>
      <c r="AI453" s="3620"/>
      <c r="AJ453" s="3620"/>
      <c r="AK453" s="959"/>
      <c r="AL453" s="959">
        <f>I453</f>
        <v>2576</v>
      </c>
      <c r="AM453" s="959"/>
      <c r="AN453" s="959"/>
      <c r="AO453" s="959"/>
      <c r="AP453" s="3618"/>
      <c r="AQ453" s="3618">
        <f t="shared" si="260"/>
        <v>2576</v>
      </c>
      <c r="AR453" s="3626"/>
      <c r="AS453" s="3626"/>
      <c r="AT453" s="3626">
        <f t="shared" si="277"/>
        <v>2576</v>
      </c>
      <c r="AU453" s="3626"/>
      <c r="AV453" s="3626"/>
      <c r="AW453" s="3626"/>
      <c r="AX453" s="3626"/>
      <c r="AY453" s="3626"/>
      <c r="AZ453" s="3626"/>
      <c r="BA453" s="3626"/>
      <c r="BB453" s="3626"/>
      <c r="BC453" s="3626">
        <f>I453/4</f>
        <v>644</v>
      </c>
      <c r="BD453" s="3626"/>
      <c r="BE453" s="3626"/>
      <c r="BF453" s="3626"/>
      <c r="BG453" s="3626"/>
      <c r="BH453" s="3626"/>
      <c r="BI453" s="3626" t="s">
        <v>89</v>
      </c>
      <c r="BJ453" s="3626">
        <f t="shared" si="270"/>
        <v>85.8666666666667</v>
      </c>
      <c r="BK453" s="3626">
        <f t="shared" si="271"/>
        <v>429.333333333333</v>
      </c>
      <c r="BL453" s="3626">
        <f t="shared" si="272"/>
        <v>429.333333333333</v>
      </c>
      <c r="BM453" s="3626">
        <f t="shared" si="273"/>
        <v>343.466666666667</v>
      </c>
      <c r="BN453" s="3626">
        <f t="shared" si="274"/>
        <v>429.333333333333</v>
      </c>
      <c r="BO453" s="4055">
        <f t="shared" si="275"/>
        <v>429.333333333333</v>
      </c>
      <c r="BP453" s="3627">
        <f t="shared" si="276"/>
        <v>429.333333333333</v>
      </c>
      <c r="BQ453" s="3627">
        <f t="shared" si="268"/>
        <v>2576</v>
      </c>
      <c r="BR453" s="3627">
        <f t="shared" si="269"/>
        <v>0</v>
      </c>
      <c r="BS453" s="4056" t="s">
        <v>4554</v>
      </c>
      <c r="BT453" s="4057">
        <v>45884</v>
      </c>
    </row>
    <row r="454" s="3566" customFormat="1" ht="50" customHeight="1" spans="1:72">
      <c r="A454" s="3635">
        <v>45849</v>
      </c>
      <c r="B454" s="3617" t="s">
        <v>371</v>
      </c>
      <c r="C454" s="3617" t="s">
        <v>341</v>
      </c>
      <c r="D454" s="3624">
        <v>4500173446</v>
      </c>
      <c r="E454" s="959" t="s">
        <v>7407</v>
      </c>
      <c r="F454" s="3624" t="s">
        <v>7408</v>
      </c>
      <c r="G454" s="959" t="s">
        <v>6281</v>
      </c>
      <c r="H454" s="959" t="s">
        <v>6292</v>
      </c>
      <c r="I454" s="3618">
        <v>480</v>
      </c>
      <c r="J454" s="3618">
        <v>1</v>
      </c>
      <c r="K454" s="3618">
        <v>32</v>
      </c>
      <c r="L454" s="4052">
        <f t="shared" si="278"/>
        <v>15</v>
      </c>
      <c r="M454" s="3619">
        <v>45888</v>
      </c>
      <c r="N454" s="3619">
        <v>45884</v>
      </c>
      <c r="O454" s="3664"/>
      <c r="P454" s="959" t="s">
        <v>82</v>
      </c>
      <c r="Q454" s="959"/>
      <c r="R454" s="959"/>
      <c r="S454" s="959"/>
      <c r="T454" s="4053"/>
      <c r="U454" s="3620" t="s">
        <v>7409</v>
      </c>
      <c r="V454" s="3649" t="s">
        <v>7410</v>
      </c>
      <c r="W454" s="3695"/>
      <c r="X454" s="3649" t="s">
        <v>7411</v>
      </c>
      <c r="Y454" s="4091"/>
      <c r="Z454" s="3661"/>
      <c r="AA454" s="3620" t="s">
        <v>7412</v>
      </c>
      <c r="AB454" s="3624" t="s">
        <v>380</v>
      </c>
      <c r="AC454" s="4058">
        <v>2.3158</v>
      </c>
      <c r="AD454" s="3618">
        <f t="shared" si="264"/>
        <v>1111.584</v>
      </c>
      <c r="AE454" s="3633"/>
      <c r="AF454" s="959" t="s">
        <v>6106</v>
      </c>
      <c r="AG454" s="3620" t="s">
        <v>416</v>
      </c>
      <c r="AH454" s="3620"/>
      <c r="AI454" s="3620"/>
      <c r="AJ454" s="3620"/>
      <c r="AK454" s="959"/>
      <c r="AL454" s="959"/>
      <c r="AM454" s="959"/>
      <c r="AN454" s="959">
        <f>I454</f>
        <v>480</v>
      </c>
      <c r="AO454" s="959"/>
      <c r="AP454" s="3618"/>
      <c r="AQ454" s="3618">
        <f t="shared" si="260"/>
        <v>480</v>
      </c>
      <c r="AR454" s="3626"/>
      <c r="AS454" s="3626"/>
      <c r="AT454" s="3626">
        <f t="shared" si="277"/>
        <v>480</v>
      </c>
      <c r="AU454" s="3626"/>
      <c r="AV454" s="3626"/>
      <c r="AW454" s="3626"/>
      <c r="AX454" s="3626"/>
      <c r="AY454" s="3626"/>
      <c r="AZ454" s="3626"/>
      <c r="BA454" s="3626"/>
      <c r="BB454" s="3626"/>
      <c r="BC454" s="3626"/>
      <c r="BD454" s="3626"/>
      <c r="BE454" s="3626"/>
      <c r="BF454" s="3626"/>
      <c r="BG454" s="3626"/>
      <c r="BH454" s="3626"/>
      <c r="BI454" s="3626" t="s">
        <v>89</v>
      </c>
      <c r="BJ454" s="3626"/>
      <c r="BK454" s="3626">
        <f>I454</f>
        <v>480</v>
      </c>
      <c r="BL454" s="3626"/>
      <c r="BM454" s="3626"/>
      <c r="BN454" s="3626"/>
      <c r="BO454" s="4055"/>
      <c r="BP454" s="3627"/>
      <c r="BQ454" s="3627">
        <f t="shared" si="268"/>
        <v>480</v>
      </c>
      <c r="BR454" s="3627">
        <f t="shared" si="269"/>
        <v>0</v>
      </c>
      <c r="BS454" s="4056"/>
      <c r="BT454" s="4057"/>
    </row>
    <row r="455" s="3566" customFormat="1" ht="50" customHeight="1" spans="1:72">
      <c r="A455" s="3635">
        <v>45849</v>
      </c>
      <c r="B455" s="3617" t="s">
        <v>371</v>
      </c>
      <c r="C455" s="3617" t="s">
        <v>471</v>
      </c>
      <c r="D455" s="3624">
        <v>4500173446</v>
      </c>
      <c r="E455" s="959" t="s">
        <v>7413</v>
      </c>
      <c r="F455" s="3624" t="s">
        <v>7414</v>
      </c>
      <c r="G455" s="959" t="s">
        <v>6281</v>
      </c>
      <c r="H455" s="959" t="s">
        <v>6292</v>
      </c>
      <c r="I455" s="3618">
        <v>480</v>
      </c>
      <c r="J455" s="3618">
        <v>1</v>
      </c>
      <c r="K455" s="3618">
        <v>32</v>
      </c>
      <c r="L455" s="4052">
        <f t="shared" si="278"/>
        <v>15</v>
      </c>
      <c r="M455" s="3619">
        <v>45888</v>
      </c>
      <c r="N455" s="3619">
        <v>45884</v>
      </c>
      <c r="O455" s="3664"/>
      <c r="P455" s="959" t="s">
        <v>82</v>
      </c>
      <c r="Q455" s="959"/>
      <c r="R455" s="959"/>
      <c r="S455" s="959"/>
      <c r="T455" s="4053"/>
      <c r="U455" s="3620" t="s">
        <v>401</v>
      </c>
      <c r="V455" s="3649" t="s">
        <v>7410</v>
      </c>
      <c r="W455" s="3695"/>
      <c r="X455" s="3649" t="s">
        <v>7411</v>
      </c>
      <c r="Y455" s="4091"/>
      <c r="Z455" s="3661"/>
      <c r="AA455" s="3620" t="s">
        <v>7412</v>
      </c>
      <c r="AB455" s="3624" t="s">
        <v>380</v>
      </c>
      <c r="AC455" s="4058">
        <v>2.3158</v>
      </c>
      <c r="AD455" s="3618">
        <f t="shared" si="264"/>
        <v>1111.584</v>
      </c>
      <c r="AE455" s="3633"/>
      <c r="AF455" s="959" t="s">
        <v>6106</v>
      </c>
      <c r="AG455" s="3620" t="s">
        <v>416</v>
      </c>
      <c r="AH455" s="3620"/>
      <c r="AI455" s="3620"/>
      <c r="AJ455" s="3620"/>
      <c r="AK455" s="959"/>
      <c r="AL455" s="959"/>
      <c r="AM455" s="959"/>
      <c r="AN455" s="959">
        <f>I455</f>
        <v>480</v>
      </c>
      <c r="AO455" s="959"/>
      <c r="AP455" s="3618"/>
      <c r="AQ455" s="3618">
        <f t="shared" si="260"/>
        <v>480</v>
      </c>
      <c r="AR455" s="3626"/>
      <c r="AS455" s="3626"/>
      <c r="AT455" s="3626">
        <f t="shared" si="277"/>
        <v>480</v>
      </c>
      <c r="AU455" s="3626"/>
      <c r="AV455" s="3626"/>
      <c r="AW455" s="3626"/>
      <c r="AX455" s="3626"/>
      <c r="AY455" s="3626"/>
      <c r="AZ455" s="3626"/>
      <c r="BA455" s="3626"/>
      <c r="BB455" s="3626"/>
      <c r="BC455" s="3626"/>
      <c r="BD455" s="3626"/>
      <c r="BE455" s="3626"/>
      <c r="BF455" s="3626"/>
      <c r="BG455" s="3626"/>
      <c r="BH455" s="3626"/>
      <c r="BI455" s="3626" t="s">
        <v>89</v>
      </c>
      <c r="BJ455" s="3626"/>
      <c r="BK455" s="3626">
        <f>I455</f>
        <v>480</v>
      </c>
      <c r="BL455" s="3626"/>
      <c r="BM455" s="3626"/>
      <c r="BN455" s="3626"/>
      <c r="BO455" s="4055"/>
      <c r="BP455" s="3627"/>
      <c r="BQ455" s="3627">
        <f t="shared" si="268"/>
        <v>480</v>
      </c>
      <c r="BR455" s="3627">
        <f t="shared" si="269"/>
        <v>0</v>
      </c>
      <c r="BS455" s="4056"/>
      <c r="BT455" s="4057"/>
    </row>
    <row r="456" s="3566" customFormat="1" ht="50" customHeight="1" spans="1:72">
      <c r="A456" s="3635">
        <v>45846</v>
      </c>
      <c r="B456" s="3617" t="s">
        <v>4595</v>
      </c>
      <c r="C456" s="3617" t="s">
        <v>506</v>
      </c>
      <c r="D456" s="3618">
        <v>4500173120</v>
      </c>
      <c r="E456" s="959" t="s">
        <v>7415</v>
      </c>
      <c r="F456" s="959" t="s">
        <v>7416</v>
      </c>
      <c r="G456" s="959" t="s">
        <v>6124</v>
      </c>
      <c r="H456" s="3618" t="s">
        <v>6063</v>
      </c>
      <c r="I456" s="3618">
        <v>60</v>
      </c>
      <c r="J456" s="3618">
        <v>0</v>
      </c>
      <c r="K456" s="3618">
        <v>12</v>
      </c>
      <c r="L456" s="4052">
        <f t="shared" si="278"/>
        <v>5</v>
      </c>
      <c r="M456" s="3619">
        <v>45889</v>
      </c>
      <c r="N456" s="3619">
        <v>45885</v>
      </c>
      <c r="O456" s="959"/>
      <c r="P456" s="959" t="s">
        <v>82</v>
      </c>
      <c r="Q456" s="959"/>
      <c r="R456" s="959"/>
      <c r="S456" s="959"/>
      <c r="T456" s="4053"/>
      <c r="U456" s="3645" t="s">
        <v>1767</v>
      </c>
      <c r="V456" s="3649" t="s">
        <v>1619</v>
      </c>
      <c r="W456" s="3695"/>
      <c r="X456" s="3657" t="s">
        <v>1572</v>
      </c>
      <c r="Y456" s="4091"/>
      <c r="Z456" s="3661"/>
      <c r="AA456" s="3620" t="s">
        <v>7417</v>
      </c>
      <c r="AB456" s="3624" t="s">
        <v>3202</v>
      </c>
      <c r="AC456" s="4058">
        <v>2.2023</v>
      </c>
      <c r="AD456" s="3618">
        <f t="shared" ref="AD456:AD461" si="279">AC456*I456</f>
        <v>132.138</v>
      </c>
      <c r="AE456" s="3633"/>
      <c r="AF456" s="959" t="s">
        <v>6124</v>
      </c>
      <c r="AG456" s="3620" t="s">
        <v>416</v>
      </c>
      <c r="AH456" s="3620"/>
      <c r="AI456" s="3620"/>
      <c r="AJ456" s="3620"/>
      <c r="AK456" s="959"/>
      <c r="AL456" s="959">
        <f t="shared" ref="AL456:AL462" si="280">I456</f>
        <v>60</v>
      </c>
      <c r="AM456" s="959"/>
      <c r="AN456" s="959"/>
      <c r="AO456" s="959"/>
      <c r="AP456" s="3618"/>
      <c r="AQ456" s="3618">
        <f t="shared" si="260"/>
        <v>60</v>
      </c>
      <c r="AR456" s="3626"/>
      <c r="AS456" s="3626"/>
      <c r="AT456" s="3626">
        <f t="shared" si="277"/>
        <v>60</v>
      </c>
      <c r="AU456" s="3626"/>
      <c r="AV456" s="3626"/>
      <c r="AW456" s="3626"/>
      <c r="AX456" s="3626">
        <f>I456/6</f>
        <v>10</v>
      </c>
      <c r="AY456" s="3626"/>
      <c r="AZ456" s="3626"/>
      <c r="BA456" s="3626"/>
      <c r="BB456" s="3626"/>
      <c r="BC456" s="3626"/>
      <c r="BD456" s="3626"/>
      <c r="BE456" s="3626"/>
      <c r="BF456" s="3626"/>
      <c r="BG456" s="3626"/>
      <c r="BH456" s="3626"/>
      <c r="BI456" s="3626" t="s">
        <v>89</v>
      </c>
      <c r="BJ456" s="3626">
        <f t="shared" ref="BJ456:BJ487" si="281">I456/60*2</f>
        <v>2</v>
      </c>
      <c r="BK456" s="3626">
        <f t="shared" ref="BK456:BK487" si="282">I456/60*10</f>
        <v>10</v>
      </c>
      <c r="BL456" s="3626">
        <f t="shared" ref="BL456:BL487" si="283">I456/60*10</f>
        <v>10</v>
      </c>
      <c r="BM456" s="3626">
        <f t="shared" ref="BM456:BM487" si="284">I456/60*8</f>
        <v>8</v>
      </c>
      <c r="BN456" s="3626">
        <f t="shared" ref="BN456:BN487" si="285">I456/60*10</f>
        <v>10</v>
      </c>
      <c r="BO456" s="4055">
        <f t="shared" ref="BO456:BO487" si="286">I456/60*10</f>
        <v>10</v>
      </c>
      <c r="BP456" s="3627">
        <f t="shared" ref="BP456:BP487" si="287">I456/60*10</f>
        <v>10</v>
      </c>
      <c r="BQ456" s="3627">
        <f t="shared" si="268"/>
        <v>60</v>
      </c>
      <c r="BR456" s="3627">
        <f t="shared" si="269"/>
        <v>0</v>
      </c>
      <c r="BS456" s="4056"/>
      <c r="BT456" s="4057"/>
    </row>
    <row r="457" s="3566" customFormat="1" ht="50" customHeight="1" spans="1:72">
      <c r="A457" s="3635">
        <v>45846</v>
      </c>
      <c r="B457" s="3617" t="s">
        <v>4595</v>
      </c>
      <c r="C457" s="3617" t="s">
        <v>506</v>
      </c>
      <c r="D457" s="3618">
        <v>4500173107</v>
      </c>
      <c r="E457" s="959" t="s">
        <v>7418</v>
      </c>
      <c r="F457" s="959" t="s">
        <v>7419</v>
      </c>
      <c r="G457" s="959" t="s">
        <v>6124</v>
      </c>
      <c r="H457" s="3618" t="s">
        <v>6063</v>
      </c>
      <c r="I457" s="3618">
        <v>72</v>
      </c>
      <c r="J457" s="3618">
        <v>0</v>
      </c>
      <c r="K457" s="3618">
        <v>12</v>
      </c>
      <c r="L457" s="4052">
        <f t="shared" si="278"/>
        <v>6</v>
      </c>
      <c r="M457" s="3619">
        <v>45889</v>
      </c>
      <c r="N457" s="3619">
        <v>45885</v>
      </c>
      <c r="O457" s="959"/>
      <c r="P457" s="959" t="s">
        <v>82</v>
      </c>
      <c r="Q457" s="959"/>
      <c r="R457" s="959"/>
      <c r="S457" s="959"/>
      <c r="T457" s="4053"/>
      <c r="U457" s="3645" t="s">
        <v>1767</v>
      </c>
      <c r="V457" s="3649" t="s">
        <v>1619</v>
      </c>
      <c r="W457" s="3695"/>
      <c r="X457" s="3657" t="s">
        <v>1572</v>
      </c>
      <c r="Y457" s="4091"/>
      <c r="Z457" s="3661"/>
      <c r="AA457" s="3620" t="s">
        <v>7420</v>
      </c>
      <c r="AB457" s="3624" t="s">
        <v>3202</v>
      </c>
      <c r="AC457" s="4058">
        <v>2.2023</v>
      </c>
      <c r="AD457" s="3618">
        <f t="shared" si="279"/>
        <v>158.5656</v>
      </c>
      <c r="AE457" s="3633"/>
      <c r="AF457" s="959" t="s">
        <v>6124</v>
      </c>
      <c r="AG457" s="3620" t="s">
        <v>416</v>
      </c>
      <c r="AH457" s="3620"/>
      <c r="AI457" s="3620"/>
      <c r="AJ457" s="3620"/>
      <c r="AK457" s="959"/>
      <c r="AL457" s="959">
        <f t="shared" si="280"/>
        <v>72</v>
      </c>
      <c r="AM457" s="959"/>
      <c r="AN457" s="959"/>
      <c r="AO457" s="959"/>
      <c r="AP457" s="3618"/>
      <c r="AQ457" s="3618">
        <f t="shared" si="260"/>
        <v>72</v>
      </c>
      <c r="AR457" s="3626"/>
      <c r="AS457" s="3626"/>
      <c r="AT457" s="3626">
        <f t="shared" si="277"/>
        <v>72</v>
      </c>
      <c r="AU457" s="3626"/>
      <c r="AV457" s="3626"/>
      <c r="AW457" s="3626">
        <f>I457/6</f>
        <v>12</v>
      </c>
      <c r="AX457" s="3626"/>
      <c r="AY457" s="3626"/>
      <c r="AZ457" s="3626"/>
      <c r="BA457" s="3626"/>
      <c r="BB457" s="3626"/>
      <c r="BC457" s="3626"/>
      <c r="BD457" s="3626"/>
      <c r="BE457" s="3626"/>
      <c r="BF457" s="3626"/>
      <c r="BG457" s="3626"/>
      <c r="BH457" s="3626"/>
      <c r="BI457" s="3626" t="s">
        <v>89</v>
      </c>
      <c r="BJ457" s="3626">
        <f t="shared" si="281"/>
        <v>2.4</v>
      </c>
      <c r="BK457" s="3626">
        <f t="shared" si="282"/>
        <v>12</v>
      </c>
      <c r="BL457" s="3626">
        <f t="shared" si="283"/>
        <v>12</v>
      </c>
      <c r="BM457" s="3626">
        <f t="shared" si="284"/>
        <v>9.6</v>
      </c>
      <c r="BN457" s="3626">
        <f t="shared" si="285"/>
        <v>12</v>
      </c>
      <c r="BO457" s="4055">
        <f t="shared" si="286"/>
        <v>12</v>
      </c>
      <c r="BP457" s="3627">
        <f t="shared" si="287"/>
        <v>12</v>
      </c>
      <c r="BQ457" s="3627">
        <f t="shared" si="268"/>
        <v>72</v>
      </c>
      <c r="BR457" s="3627">
        <f t="shared" si="269"/>
        <v>0</v>
      </c>
      <c r="BS457" s="4056"/>
      <c r="BT457" s="4057"/>
    </row>
    <row r="458" s="3566" customFormat="1" ht="50" customHeight="1" spans="1:72">
      <c r="A458" s="3635">
        <v>45846</v>
      </c>
      <c r="B458" s="3617" t="s">
        <v>4595</v>
      </c>
      <c r="C458" s="3617" t="s">
        <v>506</v>
      </c>
      <c r="D458" s="3618">
        <v>4500173092</v>
      </c>
      <c r="E458" s="959" t="s">
        <v>4602</v>
      </c>
      <c r="F458" s="959" t="s">
        <v>7421</v>
      </c>
      <c r="G458" s="959" t="s">
        <v>6124</v>
      </c>
      <c r="H458" s="3618" t="s">
        <v>6063</v>
      </c>
      <c r="I458" s="3618">
        <v>72</v>
      </c>
      <c r="J458" s="3618">
        <v>0</v>
      </c>
      <c r="K458" s="3618">
        <v>12</v>
      </c>
      <c r="L458" s="4052">
        <f t="shared" si="278"/>
        <v>6</v>
      </c>
      <c r="M458" s="3619">
        <v>45889</v>
      </c>
      <c r="N458" s="3619">
        <v>45885</v>
      </c>
      <c r="O458" s="959"/>
      <c r="P458" s="959" t="s">
        <v>82</v>
      </c>
      <c r="Q458" s="959"/>
      <c r="R458" s="959"/>
      <c r="S458" s="959"/>
      <c r="T458" s="4053"/>
      <c r="U458" s="3620"/>
      <c r="V458" s="3649" t="s">
        <v>1619</v>
      </c>
      <c r="W458" s="3695"/>
      <c r="X458" s="3657" t="s">
        <v>1572</v>
      </c>
      <c r="Y458" s="4091"/>
      <c r="Z458" s="3661"/>
      <c r="AA458" s="3620" t="s">
        <v>7422</v>
      </c>
      <c r="AB458" s="3624" t="s">
        <v>3202</v>
      </c>
      <c r="AC458" s="4058">
        <v>2.259</v>
      </c>
      <c r="AD458" s="3618">
        <f t="shared" si="279"/>
        <v>162.648</v>
      </c>
      <c r="AE458" s="3633"/>
      <c r="AF458" s="959" t="s">
        <v>6124</v>
      </c>
      <c r="AG458" s="3620" t="s">
        <v>416</v>
      </c>
      <c r="AH458" s="3620"/>
      <c r="AI458" s="3620"/>
      <c r="AJ458" s="3620"/>
      <c r="AK458" s="959"/>
      <c r="AL458" s="959">
        <f t="shared" si="280"/>
        <v>72</v>
      </c>
      <c r="AM458" s="959"/>
      <c r="AN458" s="959"/>
      <c r="AO458" s="959"/>
      <c r="AP458" s="3618"/>
      <c r="AQ458" s="3618">
        <f t="shared" si="260"/>
        <v>72</v>
      </c>
      <c r="AR458" s="3626"/>
      <c r="AS458" s="3626"/>
      <c r="AT458" s="3626">
        <f t="shared" si="277"/>
        <v>72</v>
      </c>
      <c r="AU458" s="3626"/>
      <c r="AV458" s="3626"/>
      <c r="AW458" s="3626"/>
      <c r="AX458" s="3626">
        <f>I458/6</f>
        <v>12</v>
      </c>
      <c r="AY458" s="3626"/>
      <c r="AZ458" s="3626"/>
      <c r="BA458" s="3626"/>
      <c r="BB458" s="3626"/>
      <c r="BC458" s="3626"/>
      <c r="BD458" s="3626"/>
      <c r="BE458" s="3626"/>
      <c r="BF458" s="3626"/>
      <c r="BG458" s="3626"/>
      <c r="BH458" s="3626"/>
      <c r="BI458" s="3626" t="s">
        <v>89</v>
      </c>
      <c r="BJ458" s="3626">
        <f t="shared" si="281"/>
        <v>2.4</v>
      </c>
      <c r="BK458" s="3626">
        <f t="shared" si="282"/>
        <v>12</v>
      </c>
      <c r="BL458" s="3626">
        <f t="shared" si="283"/>
        <v>12</v>
      </c>
      <c r="BM458" s="3626">
        <f t="shared" si="284"/>
        <v>9.6</v>
      </c>
      <c r="BN458" s="3626">
        <f t="shared" si="285"/>
        <v>12</v>
      </c>
      <c r="BO458" s="4055">
        <f t="shared" si="286"/>
        <v>12</v>
      </c>
      <c r="BP458" s="3627">
        <f t="shared" si="287"/>
        <v>12</v>
      </c>
      <c r="BQ458" s="3627">
        <f t="shared" si="268"/>
        <v>72</v>
      </c>
      <c r="BR458" s="3627">
        <f t="shared" si="269"/>
        <v>0</v>
      </c>
      <c r="BS458" s="4056"/>
      <c r="BT458" s="4057"/>
    </row>
    <row r="459" s="3566" customFormat="1" ht="50" customHeight="1" spans="1:72">
      <c r="A459" s="3635">
        <v>45846</v>
      </c>
      <c r="B459" s="3617" t="s">
        <v>4595</v>
      </c>
      <c r="C459" s="3617" t="s">
        <v>506</v>
      </c>
      <c r="D459" s="3618">
        <v>4500173094</v>
      </c>
      <c r="E459" s="959" t="s">
        <v>7423</v>
      </c>
      <c r="F459" s="959" t="s">
        <v>7424</v>
      </c>
      <c r="G459" s="959" t="s">
        <v>6124</v>
      </c>
      <c r="H459" s="3618" t="s">
        <v>6063</v>
      </c>
      <c r="I459" s="3618">
        <v>36</v>
      </c>
      <c r="J459" s="3618">
        <v>0</v>
      </c>
      <c r="K459" s="3618">
        <v>12</v>
      </c>
      <c r="L459" s="4052">
        <f t="shared" si="278"/>
        <v>3</v>
      </c>
      <c r="M459" s="3619">
        <v>45889</v>
      </c>
      <c r="N459" s="3619">
        <v>45885</v>
      </c>
      <c r="O459" s="959"/>
      <c r="P459" s="959" t="s">
        <v>82</v>
      </c>
      <c r="Q459" s="959"/>
      <c r="R459" s="959"/>
      <c r="S459" s="959"/>
      <c r="T459" s="4053"/>
      <c r="U459" s="3645" t="s">
        <v>1767</v>
      </c>
      <c r="V459" s="3649" t="s">
        <v>1619</v>
      </c>
      <c r="W459" s="3695"/>
      <c r="X459" s="3657" t="s">
        <v>1572</v>
      </c>
      <c r="Y459" s="4091"/>
      <c r="Z459" s="3661"/>
      <c r="AA459" s="3620" t="s">
        <v>7425</v>
      </c>
      <c r="AB459" s="3624" t="s">
        <v>3202</v>
      </c>
      <c r="AC459" s="4058">
        <v>2.259</v>
      </c>
      <c r="AD459" s="3618">
        <f t="shared" si="279"/>
        <v>81.324</v>
      </c>
      <c r="AE459" s="3633"/>
      <c r="AF459" s="959" t="s">
        <v>6124</v>
      </c>
      <c r="AG459" s="3620" t="s">
        <v>416</v>
      </c>
      <c r="AH459" s="3620"/>
      <c r="AI459" s="3620"/>
      <c r="AJ459" s="3620"/>
      <c r="AK459" s="959"/>
      <c r="AL459" s="959">
        <f t="shared" si="280"/>
        <v>36</v>
      </c>
      <c r="AM459" s="959"/>
      <c r="AN459" s="959"/>
      <c r="AO459" s="959"/>
      <c r="AP459" s="3618"/>
      <c r="AQ459" s="3618">
        <f t="shared" si="260"/>
        <v>36</v>
      </c>
      <c r="AR459" s="3626"/>
      <c r="AS459" s="3626"/>
      <c r="AT459" s="3626">
        <f t="shared" si="277"/>
        <v>36</v>
      </c>
      <c r="AU459" s="3626"/>
      <c r="AV459" s="3626"/>
      <c r="AW459" s="3626"/>
      <c r="AX459" s="3626">
        <f>I459/6</f>
        <v>6</v>
      </c>
      <c r="AY459" s="3626"/>
      <c r="AZ459" s="3626"/>
      <c r="BA459" s="3626"/>
      <c r="BB459" s="3626"/>
      <c r="BC459" s="3626"/>
      <c r="BD459" s="3626"/>
      <c r="BE459" s="3626"/>
      <c r="BF459" s="3626"/>
      <c r="BG459" s="3626"/>
      <c r="BH459" s="3626"/>
      <c r="BI459" s="3626" t="s">
        <v>89</v>
      </c>
      <c r="BJ459" s="3626">
        <f t="shared" si="281"/>
        <v>1.2</v>
      </c>
      <c r="BK459" s="3626">
        <f t="shared" si="282"/>
        <v>6</v>
      </c>
      <c r="BL459" s="3626">
        <f t="shared" si="283"/>
        <v>6</v>
      </c>
      <c r="BM459" s="3626">
        <f t="shared" si="284"/>
        <v>4.8</v>
      </c>
      <c r="BN459" s="3626">
        <f t="shared" si="285"/>
        <v>6</v>
      </c>
      <c r="BO459" s="4055">
        <f t="shared" si="286"/>
        <v>6</v>
      </c>
      <c r="BP459" s="3627">
        <f t="shared" si="287"/>
        <v>6</v>
      </c>
      <c r="BQ459" s="3627">
        <f t="shared" si="268"/>
        <v>36</v>
      </c>
      <c r="BR459" s="3627">
        <f t="shared" si="269"/>
        <v>0</v>
      </c>
      <c r="BS459" s="4056"/>
      <c r="BT459" s="4057"/>
    </row>
    <row r="460" s="3566" customFormat="1" ht="50" customHeight="1" spans="1:72">
      <c r="A460" s="3635">
        <v>45846</v>
      </c>
      <c r="B460" s="3617" t="s">
        <v>4595</v>
      </c>
      <c r="C460" s="3617" t="s">
        <v>506</v>
      </c>
      <c r="D460" s="3618">
        <v>4500173087</v>
      </c>
      <c r="E460" s="959" t="s">
        <v>4608</v>
      </c>
      <c r="F460" s="959" t="s">
        <v>7426</v>
      </c>
      <c r="G460" s="959" t="s">
        <v>6124</v>
      </c>
      <c r="H460" s="3618" t="s">
        <v>6063</v>
      </c>
      <c r="I460" s="3618">
        <v>144</v>
      </c>
      <c r="J460" s="3618">
        <v>0</v>
      </c>
      <c r="K460" s="3618">
        <v>12</v>
      </c>
      <c r="L460" s="4052">
        <f t="shared" si="278"/>
        <v>12</v>
      </c>
      <c r="M460" s="3619">
        <v>45889</v>
      </c>
      <c r="N460" s="3619">
        <v>45885</v>
      </c>
      <c r="O460" s="959"/>
      <c r="P460" s="959" t="s">
        <v>82</v>
      </c>
      <c r="Q460" s="959"/>
      <c r="R460" s="959"/>
      <c r="S460" s="959"/>
      <c r="T460" s="4053"/>
      <c r="U460" s="3645" t="s">
        <v>1767</v>
      </c>
      <c r="V460" s="3649" t="s">
        <v>1619</v>
      </c>
      <c r="W460" s="3695"/>
      <c r="X460" s="3657" t="s">
        <v>1572</v>
      </c>
      <c r="Y460" s="4091"/>
      <c r="Z460" s="3661"/>
      <c r="AA460" s="3620" t="s">
        <v>7417</v>
      </c>
      <c r="AB460" s="3624" t="s">
        <v>3202</v>
      </c>
      <c r="AC460" s="4058">
        <v>2.2023</v>
      </c>
      <c r="AD460" s="3618">
        <f t="shared" si="279"/>
        <v>317.1312</v>
      </c>
      <c r="AE460" s="3633"/>
      <c r="AF460" s="959" t="s">
        <v>6124</v>
      </c>
      <c r="AG460" s="3620" t="s">
        <v>416</v>
      </c>
      <c r="AH460" s="3620"/>
      <c r="AI460" s="3620"/>
      <c r="AJ460" s="3620"/>
      <c r="AK460" s="959"/>
      <c r="AL460" s="959">
        <f t="shared" si="280"/>
        <v>144</v>
      </c>
      <c r="AM460" s="959"/>
      <c r="AN460" s="959"/>
      <c r="AO460" s="959"/>
      <c r="AP460" s="3618"/>
      <c r="AQ460" s="3618">
        <f t="shared" si="260"/>
        <v>144</v>
      </c>
      <c r="AR460" s="3626"/>
      <c r="AS460" s="3626"/>
      <c r="AT460" s="3626">
        <f t="shared" si="277"/>
        <v>144</v>
      </c>
      <c r="AU460" s="3626"/>
      <c r="AV460" s="3626"/>
      <c r="AW460" s="3626"/>
      <c r="AX460" s="3626">
        <f>I460/6</f>
        <v>24</v>
      </c>
      <c r="AY460" s="3626"/>
      <c r="AZ460" s="3626"/>
      <c r="BA460" s="3626"/>
      <c r="BB460" s="3626"/>
      <c r="BC460" s="3626"/>
      <c r="BD460" s="3626"/>
      <c r="BE460" s="3626"/>
      <c r="BF460" s="3626"/>
      <c r="BG460" s="3626"/>
      <c r="BH460" s="3626"/>
      <c r="BI460" s="3626" t="s">
        <v>89</v>
      </c>
      <c r="BJ460" s="3626">
        <f t="shared" si="281"/>
        <v>4.8</v>
      </c>
      <c r="BK460" s="3626">
        <f t="shared" si="282"/>
        <v>24</v>
      </c>
      <c r="BL460" s="3626">
        <f t="shared" si="283"/>
        <v>24</v>
      </c>
      <c r="BM460" s="3626">
        <f t="shared" si="284"/>
        <v>19.2</v>
      </c>
      <c r="BN460" s="3626">
        <f t="shared" si="285"/>
        <v>24</v>
      </c>
      <c r="BO460" s="4055">
        <f t="shared" si="286"/>
        <v>24</v>
      </c>
      <c r="BP460" s="3627">
        <f t="shared" si="287"/>
        <v>24</v>
      </c>
      <c r="BQ460" s="3627">
        <f t="shared" si="268"/>
        <v>144</v>
      </c>
      <c r="BR460" s="3627">
        <f t="shared" si="269"/>
        <v>0</v>
      </c>
      <c r="BS460" s="4056"/>
      <c r="BT460" s="4057"/>
    </row>
    <row r="461" s="3566" customFormat="1" ht="50" customHeight="1" spans="1:72">
      <c r="A461" s="3635">
        <v>45846</v>
      </c>
      <c r="B461" s="3617" t="s">
        <v>4595</v>
      </c>
      <c r="C461" s="3617" t="s">
        <v>506</v>
      </c>
      <c r="D461" s="3618">
        <v>4500173090</v>
      </c>
      <c r="E461" s="959" t="s">
        <v>7427</v>
      </c>
      <c r="F461" s="959" t="s">
        <v>7428</v>
      </c>
      <c r="G461" s="959" t="s">
        <v>6124</v>
      </c>
      <c r="H461" s="3618" t="s">
        <v>6063</v>
      </c>
      <c r="I461" s="3618">
        <v>36</v>
      </c>
      <c r="J461" s="3618">
        <v>0</v>
      </c>
      <c r="K461" s="3618">
        <v>12</v>
      </c>
      <c r="L461" s="4052">
        <f t="shared" si="278"/>
        <v>3</v>
      </c>
      <c r="M461" s="3619">
        <v>45889</v>
      </c>
      <c r="N461" s="3619">
        <v>45885</v>
      </c>
      <c r="O461" s="959"/>
      <c r="P461" s="959" t="s">
        <v>82</v>
      </c>
      <c r="Q461" s="959"/>
      <c r="R461" s="959"/>
      <c r="S461" s="959"/>
      <c r="T461" s="4053"/>
      <c r="U461" s="3620"/>
      <c r="V461" s="3649" t="s">
        <v>1619</v>
      </c>
      <c r="W461" s="3695"/>
      <c r="X461" s="3657" t="s">
        <v>1572</v>
      </c>
      <c r="Y461" s="4091"/>
      <c r="Z461" s="3661"/>
      <c r="AA461" s="3620" t="s">
        <v>7425</v>
      </c>
      <c r="AB461" s="3624" t="s">
        <v>3202</v>
      </c>
      <c r="AC461" s="4058">
        <v>2.259</v>
      </c>
      <c r="AD461" s="3618">
        <f t="shared" si="279"/>
        <v>81.324</v>
      </c>
      <c r="AE461" s="3633"/>
      <c r="AF461" s="959" t="s">
        <v>6124</v>
      </c>
      <c r="AG461" s="3620" t="s">
        <v>416</v>
      </c>
      <c r="AH461" s="3620"/>
      <c r="AI461" s="3620"/>
      <c r="AJ461" s="3620"/>
      <c r="AK461" s="959"/>
      <c r="AL461" s="959">
        <f t="shared" si="280"/>
        <v>36</v>
      </c>
      <c r="AM461" s="959"/>
      <c r="AN461" s="959"/>
      <c r="AO461" s="959"/>
      <c r="AP461" s="3618"/>
      <c r="AQ461" s="3618">
        <f t="shared" si="260"/>
        <v>36</v>
      </c>
      <c r="AR461" s="3626"/>
      <c r="AS461" s="3626"/>
      <c r="AT461" s="3626">
        <f t="shared" si="277"/>
        <v>36</v>
      </c>
      <c r="AU461" s="3626"/>
      <c r="AV461" s="3626"/>
      <c r="AW461" s="3626"/>
      <c r="AX461" s="3626">
        <f>I461/6</f>
        <v>6</v>
      </c>
      <c r="AY461" s="3626"/>
      <c r="AZ461" s="3626"/>
      <c r="BA461" s="3626"/>
      <c r="BB461" s="3626"/>
      <c r="BC461" s="3626"/>
      <c r="BD461" s="3626"/>
      <c r="BE461" s="3626"/>
      <c r="BF461" s="3626"/>
      <c r="BG461" s="3626"/>
      <c r="BH461" s="3626"/>
      <c r="BI461" s="3626" t="s">
        <v>89</v>
      </c>
      <c r="BJ461" s="3626">
        <f t="shared" si="281"/>
        <v>1.2</v>
      </c>
      <c r="BK461" s="3626">
        <f t="shared" si="282"/>
        <v>6</v>
      </c>
      <c r="BL461" s="3626">
        <f t="shared" si="283"/>
        <v>6</v>
      </c>
      <c r="BM461" s="3626">
        <f t="shared" si="284"/>
        <v>4.8</v>
      </c>
      <c r="BN461" s="3626">
        <f t="shared" si="285"/>
        <v>6</v>
      </c>
      <c r="BO461" s="4055">
        <f t="shared" si="286"/>
        <v>6</v>
      </c>
      <c r="BP461" s="3627">
        <f t="shared" si="287"/>
        <v>6</v>
      </c>
      <c r="BQ461" s="3627">
        <f t="shared" si="268"/>
        <v>36</v>
      </c>
      <c r="BR461" s="3627">
        <f t="shared" si="269"/>
        <v>0</v>
      </c>
      <c r="BS461" s="4056"/>
      <c r="BT461" s="4057"/>
    </row>
    <row r="462" s="3566" customFormat="1" ht="50" customHeight="1" spans="1:72">
      <c r="A462" s="3635">
        <v>45836</v>
      </c>
      <c r="B462" s="3617" t="s">
        <v>1617</v>
      </c>
      <c r="C462" s="3617" t="s">
        <v>91</v>
      </c>
      <c r="D462" s="3618">
        <v>4500171781</v>
      </c>
      <c r="E462" s="959" t="s">
        <v>4565</v>
      </c>
      <c r="F462" s="959" t="s">
        <v>7429</v>
      </c>
      <c r="G462" s="959" t="s">
        <v>3520</v>
      </c>
      <c r="H462" s="3618" t="s">
        <v>6063</v>
      </c>
      <c r="I462" s="3618">
        <v>1200</v>
      </c>
      <c r="J462" s="3618">
        <v>0</v>
      </c>
      <c r="K462" s="3618">
        <v>24</v>
      </c>
      <c r="L462" s="4052">
        <f t="shared" si="278"/>
        <v>50</v>
      </c>
      <c r="M462" s="3619">
        <v>45882</v>
      </c>
      <c r="N462" s="3619">
        <v>45887</v>
      </c>
      <c r="O462" s="3664"/>
      <c r="P462" s="959" t="s">
        <v>82</v>
      </c>
      <c r="Q462" s="959"/>
      <c r="R462" s="959"/>
      <c r="S462" s="959"/>
      <c r="T462" s="4053"/>
      <c r="U462" s="3620"/>
      <c r="V462" s="3649" t="s">
        <v>1936</v>
      </c>
      <c r="W462" s="3695"/>
      <c r="X462" s="3657" t="s">
        <v>98</v>
      </c>
      <c r="Y462" s="3649" t="s">
        <v>1668</v>
      </c>
      <c r="Z462" s="3661"/>
      <c r="AA462" s="3620" t="s">
        <v>1621</v>
      </c>
      <c r="AB462" s="3624" t="s">
        <v>393</v>
      </c>
      <c r="AC462" s="4058">
        <v>1.287</v>
      </c>
      <c r="AD462" s="3618">
        <f>I462*AC462</f>
        <v>1544.4</v>
      </c>
      <c r="AE462" s="3633"/>
      <c r="AF462" s="959" t="s">
        <v>3520</v>
      </c>
      <c r="AG462" s="3620" t="s">
        <v>416</v>
      </c>
      <c r="AH462" s="3620"/>
      <c r="AI462" s="3620"/>
      <c r="AJ462" s="3620"/>
      <c r="AK462" s="959"/>
      <c r="AL462" s="959">
        <f t="shared" si="280"/>
        <v>1200</v>
      </c>
      <c r="AM462" s="959"/>
      <c r="AN462" s="959"/>
      <c r="AO462" s="959"/>
      <c r="AP462" s="3618"/>
      <c r="AQ462" s="3618">
        <f t="shared" si="260"/>
        <v>1200</v>
      </c>
      <c r="AR462" s="3626"/>
      <c r="AS462" s="3626"/>
      <c r="AT462" s="3626">
        <f t="shared" si="277"/>
        <v>1200</v>
      </c>
      <c r="AU462" s="3626"/>
      <c r="AV462" s="3626"/>
      <c r="AW462" s="3626"/>
      <c r="AX462" s="3626"/>
      <c r="AY462" s="3626"/>
      <c r="AZ462" s="3626"/>
      <c r="BA462" s="3626"/>
      <c r="BB462" s="3626"/>
      <c r="BC462" s="3626"/>
      <c r="BD462" s="3626"/>
      <c r="BE462" s="3626"/>
      <c r="BF462" s="3626"/>
      <c r="BG462" s="3626"/>
      <c r="BH462" s="3626"/>
      <c r="BI462" s="3626" t="s">
        <v>89</v>
      </c>
      <c r="BJ462" s="3626">
        <f t="shared" si="281"/>
        <v>40</v>
      </c>
      <c r="BK462" s="3626">
        <f t="shared" si="282"/>
        <v>200</v>
      </c>
      <c r="BL462" s="3626">
        <f t="shared" si="283"/>
        <v>200</v>
      </c>
      <c r="BM462" s="3626">
        <f t="shared" si="284"/>
        <v>160</v>
      </c>
      <c r="BN462" s="3626">
        <f t="shared" si="285"/>
        <v>200</v>
      </c>
      <c r="BO462" s="4055">
        <f t="shared" si="286"/>
        <v>200</v>
      </c>
      <c r="BP462" s="3627">
        <f t="shared" si="287"/>
        <v>200</v>
      </c>
      <c r="BQ462" s="3627">
        <f t="shared" si="268"/>
        <v>1200</v>
      </c>
      <c r="BR462" s="3627">
        <f t="shared" si="269"/>
        <v>0</v>
      </c>
      <c r="BS462" s="4056" t="s">
        <v>7430</v>
      </c>
      <c r="BT462" s="4057">
        <v>45887</v>
      </c>
    </row>
    <row r="463" s="3566" customFormat="1" ht="50" customHeight="1" spans="1:72">
      <c r="A463" s="3635">
        <v>45855</v>
      </c>
      <c r="B463" s="3617" t="s">
        <v>1764</v>
      </c>
      <c r="C463" s="3617" t="s">
        <v>78</v>
      </c>
      <c r="D463" s="3618">
        <v>4500174183</v>
      </c>
      <c r="E463" s="959" t="s">
        <v>1765</v>
      </c>
      <c r="F463" s="959" t="s">
        <v>7431</v>
      </c>
      <c r="G463" s="959" t="s">
        <v>6124</v>
      </c>
      <c r="H463" s="3618" t="s">
        <v>6063</v>
      </c>
      <c r="I463" s="3618">
        <v>9600</v>
      </c>
      <c r="J463" s="3618">
        <v>0</v>
      </c>
      <c r="K463" s="3618">
        <v>12</v>
      </c>
      <c r="L463" s="4052">
        <f t="shared" si="278"/>
        <v>800</v>
      </c>
      <c r="M463" s="3619">
        <v>45891</v>
      </c>
      <c r="N463" s="3619">
        <v>45887</v>
      </c>
      <c r="O463" s="959"/>
      <c r="P463" s="959" t="s">
        <v>82</v>
      </c>
      <c r="Q463" s="959"/>
      <c r="R463" s="959"/>
      <c r="S463" s="959"/>
      <c r="T463" s="4053"/>
      <c r="U463" s="3645" t="s">
        <v>228</v>
      </c>
      <c r="V463" s="3649" t="s">
        <v>1768</v>
      </c>
      <c r="W463" s="3695"/>
      <c r="X463" s="3657" t="s">
        <v>7432</v>
      </c>
      <c r="Y463" s="4091"/>
      <c r="Z463" s="3661"/>
      <c r="AA463" s="3620" t="s">
        <v>7433</v>
      </c>
      <c r="AB463" s="3624" t="s">
        <v>1771</v>
      </c>
      <c r="AC463" s="4058">
        <v>2.2307</v>
      </c>
      <c r="AD463" s="3618">
        <f>AC463*I463</f>
        <v>21414.72</v>
      </c>
      <c r="AE463" s="3633"/>
      <c r="AF463" s="959" t="s">
        <v>6126</v>
      </c>
      <c r="AG463" s="3620" t="s">
        <v>416</v>
      </c>
      <c r="AH463" s="3620"/>
      <c r="AI463" s="3620"/>
      <c r="AJ463" s="3620"/>
      <c r="AK463" s="959"/>
      <c r="AL463" s="959"/>
      <c r="AM463" s="959"/>
      <c r="AN463" s="959">
        <f>I463</f>
        <v>9600</v>
      </c>
      <c r="AO463" s="959"/>
      <c r="AP463" s="3618"/>
      <c r="AQ463" s="3618">
        <f t="shared" si="260"/>
        <v>9600</v>
      </c>
      <c r="AR463" s="3626"/>
      <c r="AS463" s="3626"/>
      <c r="AT463" s="3626">
        <f t="shared" si="277"/>
        <v>9600</v>
      </c>
      <c r="AU463" s="3626"/>
      <c r="AV463" s="3626"/>
      <c r="AW463" s="3626"/>
      <c r="AX463" s="3626">
        <f>I463/6</f>
        <v>1600</v>
      </c>
      <c r="AY463" s="3626"/>
      <c r="AZ463" s="3626"/>
      <c r="BA463" s="3626"/>
      <c r="BB463" s="3626"/>
      <c r="BC463" s="3626"/>
      <c r="BD463" s="3626"/>
      <c r="BE463" s="3626"/>
      <c r="BF463" s="3626"/>
      <c r="BG463" s="3626"/>
      <c r="BH463" s="3626"/>
      <c r="BI463" s="3626" t="s">
        <v>89</v>
      </c>
      <c r="BJ463" s="3626">
        <f t="shared" si="281"/>
        <v>320</v>
      </c>
      <c r="BK463" s="3626">
        <f t="shared" si="282"/>
        <v>1600</v>
      </c>
      <c r="BL463" s="3626">
        <f t="shared" si="283"/>
        <v>1600</v>
      </c>
      <c r="BM463" s="3626">
        <f t="shared" si="284"/>
        <v>1280</v>
      </c>
      <c r="BN463" s="3626">
        <f t="shared" si="285"/>
        <v>1600</v>
      </c>
      <c r="BO463" s="4055">
        <f t="shared" si="286"/>
        <v>1600</v>
      </c>
      <c r="BP463" s="3627">
        <f t="shared" si="287"/>
        <v>1600</v>
      </c>
      <c r="BQ463" s="3627">
        <f t="shared" si="268"/>
        <v>9600</v>
      </c>
      <c r="BR463" s="3627">
        <f t="shared" si="269"/>
        <v>0</v>
      </c>
      <c r="BS463" s="4056"/>
      <c r="BT463" s="4057"/>
    </row>
    <row r="464" s="3566" customFormat="1" ht="50" customHeight="1" spans="1:72">
      <c r="A464" s="3635">
        <v>45836</v>
      </c>
      <c r="B464" s="3617" t="s">
        <v>1617</v>
      </c>
      <c r="C464" s="3617" t="s">
        <v>91</v>
      </c>
      <c r="D464" s="3624">
        <v>4500171778</v>
      </c>
      <c r="E464" s="3618">
        <v>70072654</v>
      </c>
      <c r="F464" s="3617" t="s">
        <v>7434</v>
      </c>
      <c r="G464" s="959" t="s">
        <v>3520</v>
      </c>
      <c r="H464" s="3618" t="s">
        <v>6063</v>
      </c>
      <c r="I464" s="3618">
        <v>1200</v>
      </c>
      <c r="J464" s="3618">
        <v>0</v>
      </c>
      <c r="K464" s="3618">
        <v>24</v>
      </c>
      <c r="L464" s="4052">
        <f t="shared" si="278"/>
        <v>50</v>
      </c>
      <c r="M464" s="3619">
        <v>45874</v>
      </c>
      <c r="N464" s="3619">
        <v>45880</v>
      </c>
      <c r="O464" s="3664"/>
      <c r="P464" s="959" t="s">
        <v>82</v>
      </c>
      <c r="Q464" s="959"/>
      <c r="R464" s="959"/>
      <c r="S464" s="959"/>
      <c r="T464" s="4053"/>
      <c r="U464" s="3645" t="s">
        <v>224</v>
      </c>
      <c r="V464" s="3649" t="s">
        <v>1619</v>
      </c>
      <c r="W464" s="3649"/>
      <c r="X464" s="3657" t="s">
        <v>98</v>
      </c>
      <c r="Y464" s="3649" t="s">
        <v>1620</v>
      </c>
      <c r="Z464" s="3661"/>
      <c r="AA464" s="3620" t="s">
        <v>1621</v>
      </c>
      <c r="AB464" s="3624" t="s">
        <v>393</v>
      </c>
      <c r="AC464" s="4058">
        <v>1.287</v>
      </c>
      <c r="AD464" s="3618">
        <f>I464*AC464</f>
        <v>1544.4</v>
      </c>
      <c r="AE464" s="3633" t="s">
        <v>1622</v>
      </c>
      <c r="AF464" s="959" t="s">
        <v>3520</v>
      </c>
      <c r="AG464" s="3620" t="s">
        <v>416</v>
      </c>
      <c r="AH464" s="3620"/>
      <c r="AI464" s="3620"/>
      <c r="AJ464" s="3620"/>
      <c r="AK464" s="959"/>
      <c r="AL464" s="959">
        <f t="shared" ref="AL464:AL470" si="288">I464</f>
        <v>1200</v>
      </c>
      <c r="AM464" s="959"/>
      <c r="AN464" s="959"/>
      <c r="AO464" s="959"/>
      <c r="AP464" s="3618"/>
      <c r="AQ464" s="3618">
        <f t="shared" si="260"/>
        <v>1200</v>
      </c>
      <c r="AR464" s="3626"/>
      <c r="AS464" s="3626"/>
      <c r="AT464" s="3626">
        <f t="shared" si="277"/>
        <v>1200</v>
      </c>
      <c r="AU464" s="3626"/>
      <c r="AV464" s="3626"/>
      <c r="AW464" s="3626"/>
      <c r="AX464" s="3626"/>
      <c r="AY464" s="3626"/>
      <c r="AZ464" s="3626"/>
      <c r="BA464" s="3626"/>
      <c r="BB464" s="3626"/>
      <c r="BC464" s="3626"/>
      <c r="BD464" s="3626"/>
      <c r="BE464" s="3626"/>
      <c r="BF464" s="3626"/>
      <c r="BG464" s="3626"/>
      <c r="BH464" s="3626"/>
      <c r="BI464" s="3626" t="s">
        <v>89</v>
      </c>
      <c r="BJ464" s="3626">
        <f t="shared" si="281"/>
        <v>40</v>
      </c>
      <c r="BK464" s="3626">
        <f t="shared" si="282"/>
        <v>200</v>
      </c>
      <c r="BL464" s="3626">
        <f t="shared" si="283"/>
        <v>200</v>
      </c>
      <c r="BM464" s="3626">
        <f t="shared" si="284"/>
        <v>160</v>
      </c>
      <c r="BN464" s="3626">
        <f t="shared" si="285"/>
        <v>200</v>
      </c>
      <c r="BO464" s="4055">
        <f t="shared" si="286"/>
        <v>200</v>
      </c>
      <c r="BP464" s="3627">
        <f t="shared" si="287"/>
        <v>200</v>
      </c>
      <c r="BQ464" s="3627">
        <f t="shared" si="268"/>
        <v>1200</v>
      </c>
      <c r="BR464" s="3627">
        <f t="shared" si="269"/>
        <v>0</v>
      </c>
      <c r="BS464" s="4056" t="s">
        <v>4470</v>
      </c>
      <c r="BT464" s="4057">
        <v>45880</v>
      </c>
    </row>
    <row r="465" s="3566" customFormat="1" ht="50" customHeight="1" spans="1:72">
      <c r="A465" s="3635">
        <v>45839</v>
      </c>
      <c r="B465" s="3617" t="s">
        <v>407</v>
      </c>
      <c r="C465" s="3617" t="s">
        <v>91</v>
      </c>
      <c r="D465" s="3618">
        <v>4500172224</v>
      </c>
      <c r="E465" s="959">
        <v>60235989</v>
      </c>
      <c r="F465" s="959" t="s">
        <v>7435</v>
      </c>
      <c r="G465" s="959" t="s">
        <v>3520</v>
      </c>
      <c r="H465" s="3618" t="s">
        <v>6063</v>
      </c>
      <c r="I465" s="3618">
        <v>4008</v>
      </c>
      <c r="J465" s="3618">
        <v>0</v>
      </c>
      <c r="K465" s="3618">
        <v>24</v>
      </c>
      <c r="L465" s="4052">
        <f t="shared" si="278"/>
        <v>167</v>
      </c>
      <c r="M465" s="3619">
        <v>45883</v>
      </c>
      <c r="N465" s="3619">
        <v>45888</v>
      </c>
      <c r="O465" s="3664"/>
      <c r="P465" s="959" t="s">
        <v>82</v>
      </c>
      <c r="Q465" s="959"/>
      <c r="R465" s="959"/>
      <c r="S465" s="959"/>
      <c r="T465" s="4053"/>
      <c r="U465" s="3620"/>
      <c r="V465" s="3649" t="s">
        <v>1936</v>
      </c>
      <c r="W465" s="3695"/>
      <c r="X465" s="3649" t="s">
        <v>98</v>
      </c>
      <c r="Y465" s="4091" t="s">
        <v>1818</v>
      </c>
      <c r="Z465" s="3661"/>
      <c r="AA465" s="3620" t="s">
        <v>1621</v>
      </c>
      <c r="AB465" s="3624" t="s">
        <v>393</v>
      </c>
      <c r="AC465" s="4058">
        <v>1.3159</v>
      </c>
      <c r="AD465" s="3618">
        <f>I465*AC465</f>
        <v>5274.1272</v>
      </c>
      <c r="AE465" s="3633"/>
      <c r="AF465" s="959" t="s">
        <v>3520</v>
      </c>
      <c r="AG465" s="3620" t="s">
        <v>416</v>
      </c>
      <c r="AH465" s="3620"/>
      <c r="AI465" s="3620"/>
      <c r="AJ465" s="3620"/>
      <c r="AK465" s="959"/>
      <c r="AL465" s="959">
        <f t="shared" si="288"/>
        <v>4008</v>
      </c>
      <c r="AM465" s="959"/>
      <c r="AN465" s="959"/>
      <c r="AO465" s="959"/>
      <c r="AP465" s="3618"/>
      <c r="AQ465" s="3618">
        <f t="shared" si="260"/>
        <v>4008</v>
      </c>
      <c r="AR465" s="3626"/>
      <c r="AS465" s="3626"/>
      <c r="AT465" s="3626">
        <f t="shared" si="277"/>
        <v>4008</v>
      </c>
      <c r="AU465" s="3626"/>
      <c r="AV465" s="3626"/>
      <c r="AW465" s="3626"/>
      <c r="AX465" s="3626"/>
      <c r="AY465" s="3626"/>
      <c r="AZ465" s="3626"/>
      <c r="BA465" s="3626"/>
      <c r="BB465" s="3626"/>
      <c r="BC465" s="3626"/>
      <c r="BD465" s="3626"/>
      <c r="BE465" s="3626"/>
      <c r="BF465" s="3626"/>
      <c r="BG465" s="3626"/>
      <c r="BH465" s="3626"/>
      <c r="BI465" s="3626" t="s">
        <v>89</v>
      </c>
      <c r="BJ465" s="3626">
        <f t="shared" si="281"/>
        <v>133.6</v>
      </c>
      <c r="BK465" s="3626">
        <f t="shared" si="282"/>
        <v>668</v>
      </c>
      <c r="BL465" s="3626">
        <f t="shared" si="283"/>
        <v>668</v>
      </c>
      <c r="BM465" s="3626">
        <f t="shared" si="284"/>
        <v>534.4</v>
      </c>
      <c r="BN465" s="3626">
        <f t="shared" si="285"/>
        <v>668</v>
      </c>
      <c r="BO465" s="4055">
        <f t="shared" si="286"/>
        <v>668</v>
      </c>
      <c r="BP465" s="3627">
        <f t="shared" si="287"/>
        <v>668</v>
      </c>
      <c r="BQ465" s="3627">
        <f t="shared" si="268"/>
        <v>4008</v>
      </c>
      <c r="BR465" s="3627">
        <f t="shared" si="269"/>
        <v>0</v>
      </c>
      <c r="BS465" s="4056" t="s">
        <v>7436</v>
      </c>
      <c r="BT465" s="4057">
        <v>45888</v>
      </c>
    </row>
    <row r="466" s="3566" customFormat="1" ht="50" customHeight="1" spans="1:72">
      <c r="A466" s="3635">
        <v>45854</v>
      </c>
      <c r="B466" s="3617" t="s">
        <v>6341</v>
      </c>
      <c r="C466" s="3617" t="s">
        <v>506</v>
      </c>
      <c r="D466" s="3618">
        <v>4500173962</v>
      </c>
      <c r="E466" s="959" t="s">
        <v>7437</v>
      </c>
      <c r="F466" s="959" t="s">
        <v>7438</v>
      </c>
      <c r="G466" s="959" t="s">
        <v>6124</v>
      </c>
      <c r="H466" s="3618" t="s">
        <v>6063</v>
      </c>
      <c r="I466" s="3618">
        <v>1080</v>
      </c>
      <c r="J466" s="3618">
        <v>0</v>
      </c>
      <c r="K466" s="3618">
        <v>12</v>
      </c>
      <c r="L466" s="4052">
        <f t="shared" si="278"/>
        <v>90</v>
      </c>
      <c r="M466" s="3619">
        <v>45894</v>
      </c>
      <c r="N466" s="3619">
        <v>45890</v>
      </c>
      <c r="O466" s="959"/>
      <c r="P466" s="959" t="s">
        <v>82</v>
      </c>
      <c r="Q466" s="959"/>
      <c r="R466" s="959"/>
      <c r="S466" s="959"/>
      <c r="T466" s="4053"/>
      <c r="U466" s="3620" t="s">
        <v>228</v>
      </c>
      <c r="V466" s="3649" t="s">
        <v>1739</v>
      </c>
      <c r="W466" s="3695"/>
      <c r="X466" s="3657" t="s">
        <v>6345</v>
      </c>
      <c r="Y466" s="4091"/>
      <c r="Z466" s="3661"/>
      <c r="AA466" s="3620" t="s">
        <v>7439</v>
      </c>
      <c r="AB466" s="3624" t="s">
        <v>3202</v>
      </c>
      <c r="AC466" s="4058">
        <v>2.3511</v>
      </c>
      <c r="AD466" s="3618">
        <f t="shared" ref="AD466:AD473" si="289">AC466*I466</f>
        <v>2539.188</v>
      </c>
      <c r="AE466" s="3633"/>
      <c r="AF466" s="959" t="s">
        <v>6124</v>
      </c>
      <c r="AG466" s="3620" t="s">
        <v>416</v>
      </c>
      <c r="AH466" s="3620"/>
      <c r="AI466" s="3620"/>
      <c r="AJ466" s="3620"/>
      <c r="AK466" s="959"/>
      <c r="AL466" s="959">
        <f t="shared" si="288"/>
        <v>1080</v>
      </c>
      <c r="AM466" s="959"/>
      <c r="AN466" s="959"/>
      <c r="AO466" s="959"/>
      <c r="AP466" s="3618"/>
      <c r="AQ466" s="3618">
        <f t="shared" si="260"/>
        <v>1080</v>
      </c>
      <c r="AR466" s="3626"/>
      <c r="AS466" s="3626"/>
      <c r="AT466" s="3626">
        <f t="shared" si="277"/>
        <v>1080</v>
      </c>
      <c r="AU466" s="3626"/>
      <c r="AV466" s="3626"/>
      <c r="AW466" s="3626"/>
      <c r="AX466" s="3626">
        <f>I466/6</f>
        <v>180</v>
      </c>
      <c r="AY466" s="3626"/>
      <c r="AZ466" s="3626"/>
      <c r="BA466" s="3626"/>
      <c r="BB466" s="3626"/>
      <c r="BC466" s="3626"/>
      <c r="BD466" s="3626"/>
      <c r="BE466" s="3626"/>
      <c r="BF466" s="3626"/>
      <c r="BG466" s="3626"/>
      <c r="BH466" s="3626"/>
      <c r="BI466" s="3626" t="s">
        <v>89</v>
      </c>
      <c r="BJ466" s="3626">
        <f t="shared" si="281"/>
        <v>36</v>
      </c>
      <c r="BK466" s="3626">
        <f t="shared" si="282"/>
        <v>180</v>
      </c>
      <c r="BL466" s="3626">
        <f t="shared" si="283"/>
        <v>180</v>
      </c>
      <c r="BM466" s="3626">
        <f t="shared" si="284"/>
        <v>144</v>
      </c>
      <c r="BN466" s="3626">
        <f t="shared" si="285"/>
        <v>180</v>
      </c>
      <c r="BO466" s="4055">
        <f t="shared" si="286"/>
        <v>180</v>
      </c>
      <c r="BP466" s="3627">
        <f t="shared" si="287"/>
        <v>180</v>
      </c>
      <c r="BQ466" s="3627">
        <f t="shared" si="268"/>
        <v>1080</v>
      </c>
      <c r="BR466" s="3627">
        <f t="shared" si="269"/>
        <v>0</v>
      </c>
      <c r="BS466" s="4056"/>
      <c r="BT466" s="4057"/>
    </row>
    <row r="467" s="3566" customFormat="1" ht="50" customHeight="1" spans="1:72">
      <c r="A467" s="3635">
        <v>45854</v>
      </c>
      <c r="B467" s="3617" t="s">
        <v>6341</v>
      </c>
      <c r="C467" s="3617" t="s">
        <v>506</v>
      </c>
      <c r="D467" s="3618">
        <v>4500173962</v>
      </c>
      <c r="E467" s="959" t="s">
        <v>7440</v>
      </c>
      <c r="F467" s="959" t="s">
        <v>7441</v>
      </c>
      <c r="G467" s="959" t="s">
        <v>6124</v>
      </c>
      <c r="H467" s="3618" t="s">
        <v>6063</v>
      </c>
      <c r="I467" s="3618">
        <v>1788</v>
      </c>
      <c r="J467" s="3618">
        <v>0</v>
      </c>
      <c r="K467" s="3618">
        <v>12</v>
      </c>
      <c r="L467" s="4052">
        <f t="shared" si="278"/>
        <v>149</v>
      </c>
      <c r="M467" s="3619">
        <v>45894</v>
      </c>
      <c r="N467" s="3619">
        <v>45890</v>
      </c>
      <c r="O467" s="959"/>
      <c r="P467" s="959" t="s">
        <v>82</v>
      </c>
      <c r="Q467" s="959"/>
      <c r="R467" s="959"/>
      <c r="S467" s="959"/>
      <c r="T467" s="4053"/>
      <c r="U467" s="3620" t="s">
        <v>228</v>
      </c>
      <c r="V467" s="3649" t="s">
        <v>1739</v>
      </c>
      <c r="W467" s="3695"/>
      <c r="X467" s="3657" t="s">
        <v>6345</v>
      </c>
      <c r="Y467" s="4091"/>
      <c r="Z467" s="3661"/>
      <c r="AA467" s="3620" t="s">
        <v>7439</v>
      </c>
      <c r="AB467" s="3624" t="s">
        <v>3202</v>
      </c>
      <c r="AC467" s="4058">
        <v>2.3511</v>
      </c>
      <c r="AD467" s="3618">
        <f t="shared" si="289"/>
        <v>4203.7668</v>
      </c>
      <c r="AE467" s="3633"/>
      <c r="AF467" s="959" t="s">
        <v>6124</v>
      </c>
      <c r="AG467" s="3620" t="s">
        <v>416</v>
      </c>
      <c r="AH467" s="3620"/>
      <c r="AI467" s="3620"/>
      <c r="AJ467" s="3620"/>
      <c r="AK467" s="959"/>
      <c r="AL467" s="959">
        <f t="shared" si="288"/>
        <v>1788</v>
      </c>
      <c r="AM467" s="959"/>
      <c r="AN467" s="959"/>
      <c r="AO467" s="959"/>
      <c r="AP467" s="3618"/>
      <c r="AQ467" s="3618">
        <f t="shared" si="260"/>
        <v>1788</v>
      </c>
      <c r="AR467" s="3626"/>
      <c r="AS467" s="3626"/>
      <c r="AT467" s="3626">
        <f t="shared" si="277"/>
        <v>1788</v>
      </c>
      <c r="AU467" s="3626"/>
      <c r="AV467" s="3626"/>
      <c r="AW467" s="3626"/>
      <c r="AX467" s="3626">
        <f>I467/6</f>
        <v>298</v>
      </c>
      <c r="AY467" s="3626"/>
      <c r="AZ467" s="3626"/>
      <c r="BA467" s="3626"/>
      <c r="BB467" s="3626"/>
      <c r="BC467" s="3626"/>
      <c r="BD467" s="3626"/>
      <c r="BE467" s="3626"/>
      <c r="BF467" s="3626"/>
      <c r="BG467" s="3626"/>
      <c r="BH467" s="3626"/>
      <c r="BI467" s="3626" t="s">
        <v>89</v>
      </c>
      <c r="BJ467" s="3626">
        <f t="shared" si="281"/>
        <v>59.6</v>
      </c>
      <c r="BK467" s="3626">
        <f t="shared" si="282"/>
        <v>298</v>
      </c>
      <c r="BL467" s="3626">
        <f t="shared" si="283"/>
        <v>298</v>
      </c>
      <c r="BM467" s="3626">
        <f t="shared" si="284"/>
        <v>238.4</v>
      </c>
      <c r="BN467" s="3626">
        <f t="shared" si="285"/>
        <v>298</v>
      </c>
      <c r="BO467" s="4055">
        <f t="shared" si="286"/>
        <v>298</v>
      </c>
      <c r="BP467" s="3627">
        <f t="shared" si="287"/>
        <v>298</v>
      </c>
      <c r="BQ467" s="3627">
        <f t="shared" si="268"/>
        <v>1788</v>
      </c>
      <c r="BR467" s="3627">
        <f t="shared" si="269"/>
        <v>0</v>
      </c>
      <c r="BS467" s="4056"/>
      <c r="BT467" s="4057"/>
    </row>
    <row r="468" s="3566" customFormat="1" ht="50" customHeight="1" spans="1:72">
      <c r="A468" s="3635">
        <v>45854</v>
      </c>
      <c r="B468" s="3617" t="s">
        <v>6341</v>
      </c>
      <c r="C468" s="3617" t="s">
        <v>506</v>
      </c>
      <c r="D468" s="3618">
        <v>4500173962</v>
      </c>
      <c r="E468" s="959" t="s">
        <v>7442</v>
      </c>
      <c r="F468" s="959" t="s">
        <v>7443</v>
      </c>
      <c r="G468" s="959" t="s">
        <v>6124</v>
      </c>
      <c r="H468" s="3618" t="s">
        <v>6063</v>
      </c>
      <c r="I468" s="3618">
        <v>1716</v>
      </c>
      <c r="J468" s="3618">
        <v>0</v>
      </c>
      <c r="K468" s="3618">
        <v>12</v>
      </c>
      <c r="L468" s="4052">
        <f t="shared" si="278"/>
        <v>143</v>
      </c>
      <c r="M468" s="3619">
        <v>45894</v>
      </c>
      <c r="N468" s="3619">
        <v>45890</v>
      </c>
      <c r="O468" s="959"/>
      <c r="P468" s="959" t="s">
        <v>82</v>
      </c>
      <c r="Q468" s="959"/>
      <c r="R468" s="959"/>
      <c r="S468" s="959"/>
      <c r="T468" s="4053"/>
      <c r="U468" s="3620" t="s">
        <v>228</v>
      </c>
      <c r="V468" s="3649" t="s">
        <v>1739</v>
      </c>
      <c r="W468" s="3695"/>
      <c r="X468" s="3657" t="s">
        <v>6345</v>
      </c>
      <c r="Y468" s="4091"/>
      <c r="Z468" s="3661"/>
      <c r="AA468" s="3620" t="s">
        <v>7439</v>
      </c>
      <c r="AB468" s="3624" t="s">
        <v>3202</v>
      </c>
      <c r="AC468" s="4058">
        <v>2.3511</v>
      </c>
      <c r="AD468" s="3618">
        <f t="shared" si="289"/>
        <v>4034.4876</v>
      </c>
      <c r="AE468" s="3633"/>
      <c r="AF468" s="959" t="s">
        <v>6124</v>
      </c>
      <c r="AG468" s="3620" t="s">
        <v>416</v>
      </c>
      <c r="AH468" s="3620"/>
      <c r="AI468" s="3620"/>
      <c r="AJ468" s="3620"/>
      <c r="AK468" s="959"/>
      <c r="AL468" s="959">
        <f t="shared" si="288"/>
        <v>1716</v>
      </c>
      <c r="AM468" s="959"/>
      <c r="AN468" s="959"/>
      <c r="AO468" s="959"/>
      <c r="AP468" s="3618"/>
      <c r="AQ468" s="3618">
        <f t="shared" si="260"/>
        <v>1716</v>
      </c>
      <c r="AR468" s="3626"/>
      <c r="AS468" s="3626"/>
      <c r="AT468" s="3626">
        <f t="shared" si="277"/>
        <v>1716</v>
      </c>
      <c r="AU468" s="3626"/>
      <c r="AV468" s="3626"/>
      <c r="AW468" s="3626"/>
      <c r="AX468" s="3626">
        <f>I468/6</f>
        <v>286</v>
      </c>
      <c r="AY468" s="3626"/>
      <c r="AZ468" s="3626"/>
      <c r="BA468" s="3626"/>
      <c r="BB468" s="3626"/>
      <c r="BC468" s="3626"/>
      <c r="BD468" s="3626"/>
      <c r="BE468" s="3626"/>
      <c r="BF468" s="3626"/>
      <c r="BG468" s="3626"/>
      <c r="BH468" s="3626"/>
      <c r="BI468" s="3626" t="s">
        <v>89</v>
      </c>
      <c r="BJ468" s="3626">
        <f t="shared" si="281"/>
        <v>57.2</v>
      </c>
      <c r="BK468" s="3626">
        <f t="shared" si="282"/>
        <v>286</v>
      </c>
      <c r="BL468" s="3626">
        <f t="shared" si="283"/>
        <v>286</v>
      </c>
      <c r="BM468" s="3626">
        <f t="shared" si="284"/>
        <v>228.8</v>
      </c>
      <c r="BN468" s="3626">
        <f t="shared" si="285"/>
        <v>286</v>
      </c>
      <c r="BO468" s="4055">
        <f t="shared" si="286"/>
        <v>286</v>
      </c>
      <c r="BP468" s="3627">
        <f t="shared" si="287"/>
        <v>286</v>
      </c>
      <c r="BQ468" s="3627">
        <f t="shared" si="268"/>
        <v>1716</v>
      </c>
      <c r="BR468" s="3627">
        <f t="shared" si="269"/>
        <v>0</v>
      </c>
      <c r="BS468" s="4056"/>
      <c r="BT468" s="4057"/>
    </row>
    <row r="469" s="3566" customFormat="1" ht="50" customHeight="1" spans="1:72">
      <c r="A469" s="3635">
        <v>45854</v>
      </c>
      <c r="B469" s="3617" t="s">
        <v>6341</v>
      </c>
      <c r="C469" s="3617" t="s">
        <v>506</v>
      </c>
      <c r="D469" s="3618">
        <v>4500173962</v>
      </c>
      <c r="E469" s="959" t="s">
        <v>7444</v>
      </c>
      <c r="F469" s="959" t="s">
        <v>7445</v>
      </c>
      <c r="G469" s="959" t="s">
        <v>6124</v>
      </c>
      <c r="H469" s="3618" t="s">
        <v>6063</v>
      </c>
      <c r="I469" s="3618">
        <v>564</v>
      </c>
      <c r="J469" s="3618">
        <v>0</v>
      </c>
      <c r="K469" s="3618">
        <v>12</v>
      </c>
      <c r="L469" s="4052">
        <f t="shared" si="278"/>
        <v>47</v>
      </c>
      <c r="M469" s="3619">
        <v>45894</v>
      </c>
      <c r="N469" s="3619">
        <v>45890</v>
      </c>
      <c r="O469" s="959"/>
      <c r="P469" s="959" t="s">
        <v>82</v>
      </c>
      <c r="Q469" s="959"/>
      <c r="R469" s="959"/>
      <c r="S469" s="959"/>
      <c r="T469" s="4053"/>
      <c r="U469" s="3620"/>
      <c r="V469" s="3649" t="s">
        <v>1739</v>
      </c>
      <c r="W469" s="3695"/>
      <c r="X469" s="3657" t="s">
        <v>6345</v>
      </c>
      <c r="Y469" s="4091"/>
      <c r="Z469" s="3661"/>
      <c r="AA469" s="3620" t="s">
        <v>7439</v>
      </c>
      <c r="AB469" s="3624" t="s">
        <v>3202</v>
      </c>
      <c r="AC469" s="4058">
        <v>2.3511</v>
      </c>
      <c r="AD469" s="3618">
        <f t="shared" si="289"/>
        <v>1326.0204</v>
      </c>
      <c r="AE469" s="3633"/>
      <c r="AF469" s="959" t="s">
        <v>6124</v>
      </c>
      <c r="AG469" s="3620" t="s">
        <v>416</v>
      </c>
      <c r="AH469" s="3620"/>
      <c r="AI469" s="3620"/>
      <c r="AJ469" s="3620"/>
      <c r="AK469" s="959"/>
      <c r="AL469" s="959">
        <f t="shared" si="288"/>
        <v>564</v>
      </c>
      <c r="AM469" s="959"/>
      <c r="AN469" s="959"/>
      <c r="AO469" s="959"/>
      <c r="AP469" s="3618"/>
      <c r="AQ469" s="3618">
        <f t="shared" si="260"/>
        <v>564</v>
      </c>
      <c r="AR469" s="3626"/>
      <c r="AS469" s="3626"/>
      <c r="AT469" s="3626">
        <f t="shared" si="277"/>
        <v>564</v>
      </c>
      <c r="AU469" s="3626"/>
      <c r="AV469" s="3626"/>
      <c r="AW469" s="3626"/>
      <c r="AX469" s="3626">
        <f>I469/6</f>
        <v>94</v>
      </c>
      <c r="AY469" s="3626"/>
      <c r="AZ469" s="3626"/>
      <c r="BA469" s="3626"/>
      <c r="BB469" s="3626"/>
      <c r="BC469" s="3626"/>
      <c r="BD469" s="3626"/>
      <c r="BE469" s="3626"/>
      <c r="BF469" s="3626"/>
      <c r="BG469" s="3626"/>
      <c r="BH469" s="3626"/>
      <c r="BI469" s="3626" t="s">
        <v>89</v>
      </c>
      <c r="BJ469" s="3626">
        <f t="shared" si="281"/>
        <v>18.8</v>
      </c>
      <c r="BK469" s="3626">
        <f t="shared" si="282"/>
        <v>94</v>
      </c>
      <c r="BL469" s="3626">
        <f t="shared" si="283"/>
        <v>94</v>
      </c>
      <c r="BM469" s="3626">
        <f t="shared" si="284"/>
        <v>75.2</v>
      </c>
      <c r="BN469" s="3626">
        <f t="shared" si="285"/>
        <v>94</v>
      </c>
      <c r="BO469" s="4055">
        <f t="shared" si="286"/>
        <v>94</v>
      </c>
      <c r="BP469" s="3627">
        <f t="shared" si="287"/>
        <v>94</v>
      </c>
      <c r="BQ469" s="3627">
        <f t="shared" si="268"/>
        <v>564</v>
      </c>
      <c r="BR469" s="3627">
        <f t="shared" si="269"/>
        <v>0</v>
      </c>
      <c r="BS469" s="4056"/>
      <c r="BT469" s="4057"/>
    </row>
    <row r="470" s="3566" customFormat="1" ht="50" customHeight="1" spans="1:72">
      <c r="A470" s="3635">
        <v>45786</v>
      </c>
      <c r="B470" s="3617" t="s">
        <v>4198</v>
      </c>
      <c r="C470" s="3617" t="s">
        <v>341</v>
      </c>
      <c r="D470" s="3618">
        <v>4500164512</v>
      </c>
      <c r="E470" s="959" t="s">
        <v>4653</v>
      </c>
      <c r="F470" s="959" t="s">
        <v>7446</v>
      </c>
      <c r="G470" s="959" t="s">
        <v>6298</v>
      </c>
      <c r="H470" s="3618" t="s">
        <v>6063</v>
      </c>
      <c r="I470" s="3618">
        <v>5500</v>
      </c>
      <c r="J470" s="3618">
        <v>0</v>
      </c>
      <c r="K470" s="3618">
        <v>4</v>
      </c>
      <c r="L470" s="4052">
        <f t="shared" si="278"/>
        <v>1375</v>
      </c>
      <c r="M470" s="3619">
        <v>45890</v>
      </c>
      <c r="N470" s="3619">
        <v>45891</v>
      </c>
      <c r="O470" s="3664"/>
      <c r="P470" s="959" t="s">
        <v>82</v>
      </c>
      <c r="Q470" s="959"/>
      <c r="R470" s="959"/>
      <c r="S470" s="959"/>
      <c r="T470" s="4053"/>
      <c r="U470" s="3620" t="s">
        <v>401</v>
      </c>
      <c r="V470" s="3649" t="s">
        <v>3725</v>
      </c>
      <c r="W470" s="3695"/>
      <c r="X470" s="3640" t="s">
        <v>98</v>
      </c>
      <c r="Y470" s="4091"/>
      <c r="Z470" s="3661"/>
      <c r="AA470" s="3620" t="s">
        <v>7447</v>
      </c>
      <c r="AB470" s="3624" t="s">
        <v>1245</v>
      </c>
      <c r="AC470" s="4058">
        <v>2.2959</v>
      </c>
      <c r="AD470" s="3618">
        <f t="shared" si="289"/>
        <v>12627.45</v>
      </c>
      <c r="AE470" s="3633"/>
      <c r="AF470" s="959" t="s">
        <v>6298</v>
      </c>
      <c r="AG470" s="3620" t="s">
        <v>416</v>
      </c>
      <c r="AH470" s="3620"/>
      <c r="AI470" s="3620"/>
      <c r="AJ470" s="3620"/>
      <c r="AK470" s="959"/>
      <c r="AL470" s="959">
        <f t="shared" si="288"/>
        <v>5500</v>
      </c>
      <c r="AM470" s="959"/>
      <c r="AN470" s="959"/>
      <c r="AO470" s="959"/>
      <c r="AP470" s="3618"/>
      <c r="AQ470" s="3618">
        <f t="shared" si="260"/>
        <v>5500</v>
      </c>
      <c r="AR470" s="3626"/>
      <c r="AS470" s="3626"/>
      <c r="AT470" s="3626">
        <f t="shared" si="277"/>
        <v>5500</v>
      </c>
      <c r="AU470" s="3626"/>
      <c r="AV470" s="3626"/>
      <c r="AW470" s="3626"/>
      <c r="AX470" s="3626"/>
      <c r="AY470" s="3626"/>
      <c r="AZ470" s="3626"/>
      <c r="BA470" s="3626"/>
      <c r="BB470" s="3626"/>
      <c r="BC470" s="3626">
        <f>I470/4</f>
        <v>1375</v>
      </c>
      <c r="BD470" s="3626"/>
      <c r="BE470" s="3626"/>
      <c r="BF470" s="3626"/>
      <c r="BG470" s="3626"/>
      <c r="BH470" s="3626"/>
      <c r="BI470" s="3626" t="s">
        <v>89</v>
      </c>
      <c r="BJ470" s="3626">
        <f t="shared" si="281"/>
        <v>183.333333333333</v>
      </c>
      <c r="BK470" s="3626">
        <f t="shared" si="282"/>
        <v>916.666666666667</v>
      </c>
      <c r="BL470" s="3626">
        <f t="shared" si="283"/>
        <v>916.666666666667</v>
      </c>
      <c r="BM470" s="3626">
        <f t="shared" si="284"/>
        <v>733.333333333333</v>
      </c>
      <c r="BN470" s="3626">
        <f t="shared" si="285"/>
        <v>916.666666666667</v>
      </c>
      <c r="BO470" s="4055">
        <f t="shared" si="286"/>
        <v>916.666666666667</v>
      </c>
      <c r="BP470" s="3627">
        <f t="shared" si="287"/>
        <v>916.666666666667</v>
      </c>
      <c r="BQ470" s="3627">
        <f t="shared" si="268"/>
        <v>5500</v>
      </c>
      <c r="BR470" s="3627">
        <f t="shared" si="269"/>
        <v>0</v>
      </c>
      <c r="BS470" s="4056" t="s">
        <v>7448</v>
      </c>
      <c r="BT470" s="4057">
        <v>45891</v>
      </c>
    </row>
    <row r="471" s="3566" customFormat="1" ht="50" customHeight="1" spans="1:72">
      <c r="A471" s="3635">
        <v>45769</v>
      </c>
      <c r="B471" s="3617" t="s">
        <v>2285</v>
      </c>
      <c r="C471" s="3617" t="s">
        <v>351</v>
      </c>
      <c r="D471" s="3618">
        <v>4500164464</v>
      </c>
      <c r="E471" s="959" t="s">
        <v>3330</v>
      </c>
      <c r="F471" s="959" t="s">
        <v>7449</v>
      </c>
      <c r="G471" s="959" t="s">
        <v>6254</v>
      </c>
      <c r="H471" s="3618" t="s">
        <v>7308</v>
      </c>
      <c r="I471" s="3618">
        <v>5940</v>
      </c>
      <c r="J471" s="3618">
        <v>0</v>
      </c>
      <c r="K471" s="3618">
        <v>6</v>
      </c>
      <c r="L471" s="4052">
        <f t="shared" si="278"/>
        <v>990</v>
      </c>
      <c r="M471" s="3619">
        <v>45896</v>
      </c>
      <c r="N471" s="3619">
        <v>45892</v>
      </c>
      <c r="O471" s="959"/>
      <c r="P471" s="959" t="s">
        <v>82</v>
      </c>
      <c r="Q471" s="959"/>
      <c r="R471" s="959"/>
      <c r="S471" s="959"/>
      <c r="T471" s="4053"/>
      <c r="U471" s="3620" t="s">
        <v>1853</v>
      </c>
      <c r="V471" s="3649" t="s">
        <v>1419</v>
      </c>
      <c r="W471" s="3695"/>
      <c r="X471" s="3657" t="s">
        <v>98</v>
      </c>
      <c r="Y471" s="4091"/>
      <c r="Z471" s="3661" t="s">
        <v>4457</v>
      </c>
      <c r="AA471" s="3620" t="s">
        <v>7385</v>
      </c>
      <c r="AB471" s="3624" t="s">
        <v>1199</v>
      </c>
      <c r="AC471" s="3618">
        <v>2.2436</v>
      </c>
      <c r="AD471" s="3618">
        <f t="shared" si="289"/>
        <v>13326.984</v>
      </c>
      <c r="AE471" s="3633"/>
      <c r="AF471" s="959" t="s">
        <v>6620</v>
      </c>
      <c r="AG471" s="3620" t="s">
        <v>416</v>
      </c>
      <c r="AH471" s="3620"/>
      <c r="AI471" s="3620"/>
      <c r="AJ471" s="3620"/>
      <c r="AK471" s="959"/>
      <c r="AL471" s="959"/>
      <c r="AM471" s="959"/>
      <c r="AN471" s="959"/>
      <c r="AO471" s="959">
        <f>I471</f>
        <v>5940</v>
      </c>
      <c r="AP471" s="3618"/>
      <c r="AQ471" s="3618">
        <f t="shared" si="260"/>
        <v>5940</v>
      </c>
      <c r="AR471" s="3626"/>
      <c r="AS471" s="3626"/>
      <c r="AT471" s="3626">
        <f t="shared" si="277"/>
        <v>5940</v>
      </c>
      <c r="AU471" s="3626"/>
      <c r="AV471" s="3626"/>
      <c r="AW471" s="3626"/>
      <c r="AX471" s="3626"/>
      <c r="AY471" s="3626"/>
      <c r="AZ471" s="3626">
        <f>I471/6</f>
        <v>990</v>
      </c>
      <c r="BA471" s="3626"/>
      <c r="BB471" s="3626"/>
      <c r="BC471" s="3626"/>
      <c r="BD471" s="3626"/>
      <c r="BE471" s="3626"/>
      <c r="BF471" s="3626"/>
      <c r="BG471" s="3626"/>
      <c r="BH471" s="3626"/>
      <c r="BI471" s="3626" t="s">
        <v>89</v>
      </c>
      <c r="BJ471" s="3626">
        <f t="shared" si="281"/>
        <v>198</v>
      </c>
      <c r="BK471" s="3626">
        <f t="shared" si="282"/>
        <v>990</v>
      </c>
      <c r="BL471" s="3626">
        <f t="shared" si="283"/>
        <v>990</v>
      </c>
      <c r="BM471" s="3626">
        <f t="shared" si="284"/>
        <v>792</v>
      </c>
      <c r="BN471" s="3626">
        <f t="shared" si="285"/>
        <v>990</v>
      </c>
      <c r="BO471" s="4055">
        <f t="shared" si="286"/>
        <v>990</v>
      </c>
      <c r="BP471" s="3627">
        <f t="shared" si="287"/>
        <v>990</v>
      </c>
      <c r="BQ471" s="3627">
        <f t="shared" si="268"/>
        <v>5940</v>
      </c>
      <c r="BR471" s="3627">
        <f t="shared" si="269"/>
        <v>0</v>
      </c>
      <c r="BS471" s="4056" t="e">
        <v>#N/A</v>
      </c>
      <c r="BT471" s="4057" t="s">
        <v>7450</v>
      </c>
    </row>
    <row r="472" s="3566" customFormat="1" ht="50" customHeight="1" spans="1:72">
      <c r="A472" s="3635">
        <v>45769</v>
      </c>
      <c r="B472" s="3617" t="s">
        <v>2285</v>
      </c>
      <c r="C472" s="3617" t="s">
        <v>351</v>
      </c>
      <c r="D472" s="3618">
        <v>4500164464</v>
      </c>
      <c r="E472" s="959" t="s">
        <v>3336</v>
      </c>
      <c r="F472" s="959" t="s">
        <v>7451</v>
      </c>
      <c r="G472" s="959" t="s">
        <v>6254</v>
      </c>
      <c r="H472" s="3618" t="s">
        <v>7308</v>
      </c>
      <c r="I472" s="3618">
        <v>2310</v>
      </c>
      <c r="J472" s="3618">
        <v>0</v>
      </c>
      <c r="K472" s="3618">
        <v>6</v>
      </c>
      <c r="L472" s="4052">
        <f t="shared" si="278"/>
        <v>385</v>
      </c>
      <c r="M472" s="3619">
        <v>45896</v>
      </c>
      <c r="N472" s="3619">
        <v>45892</v>
      </c>
      <c r="O472" s="959"/>
      <c r="P472" s="959" t="s">
        <v>82</v>
      </c>
      <c r="Q472" s="959"/>
      <c r="R472" s="959"/>
      <c r="S472" s="959"/>
      <c r="T472" s="4053"/>
      <c r="U472" s="3620" t="s">
        <v>228</v>
      </c>
      <c r="V472" s="3649" t="s">
        <v>1419</v>
      </c>
      <c r="W472" s="3695"/>
      <c r="X472" s="3657" t="s">
        <v>98</v>
      </c>
      <c r="Y472" s="4091"/>
      <c r="Z472" s="3661" t="s">
        <v>4457</v>
      </c>
      <c r="AA472" s="3620" t="s">
        <v>7385</v>
      </c>
      <c r="AB472" s="3624" t="s">
        <v>1199</v>
      </c>
      <c r="AC472" s="3618">
        <v>2.2436</v>
      </c>
      <c r="AD472" s="3618">
        <f t="shared" si="289"/>
        <v>5182.716</v>
      </c>
      <c r="AE472" s="3633"/>
      <c r="AF472" s="959" t="s">
        <v>6620</v>
      </c>
      <c r="AG472" s="3620" t="s">
        <v>416</v>
      </c>
      <c r="AH472" s="3620"/>
      <c r="AI472" s="3620"/>
      <c r="AJ472" s="3620"/>
      <c r="AK472" s="959"/>
      <c r="AL472" s="959"/>
      <c r="AM472" s="959"/>
      <c r="AN472" s="959"/>
      <c r="AO472" s="959">
        <f>I472</f>
        <v>2310</v>
      </c>
      <c r="AP472" s="3618"/>
      <c r="AQ472" s="3618">
        <f t="shared" si="260"/>
        <v>2310</v>
      </c>
      <c r="AR472" s="3626"/>
      <c r="AS472" s="3626"/>
      <c r="AT472" s="3626">
        <f t="shared" si="277"/>
        <v>2310</v>
      </c>
      <c r="AU472" s="3626"/>
      <c r="AV472" s="3626"/>
      <c r="AW472" s="3626"/>
      <c r="AX472" s="3626"/>
      <c r="AY472" s="3626"/>
      <c r="AZ472" s="3626">
        <f>I472/6</f>
        <v>385</v>
      </c>
      <c r="BA472" s="3626"/>
      <c r="BB472" s="3626"/>
      <c r="BC472" s="3626"/>
      <c r="BD472" s="3626"/>
      <c r="BE472" s="3626"/>
      <c r="BF472" s="3626"/>
      <c r="BG472" s="3626"/>
      <c r="BH472" s="3626"/>
      <c r="BI472" s="3626" t="s">
        <v>89</v>
      </c>
      <c r="BJ472" s="3626">
        <f t="shared" si="281"/>
        <v>77</v>
      </c>
      <c r="BK472" s="3626">
        <f t="shared" si="282"/>
        <v>385</v>
      </c>
      <c r="BL472" s="3626">
        <f t="shared" si="283"/>
        <v>385</v>
      </c>
      <c r="BM472" s="3626">
        <f t="shared" si="284"/>
        <v>308</v>
      </c>
      <c r="BN472" s="3626">
        <f t="shared" si="285"/>
        <v>385</v>
      </c>
      <c r="BO472" s="4055">
        <f t="shared" si="286"/>
        <v>385</v>
      </c>
      <c r="BP472" s="3627">
        <f t="shared" si="287"/>
        <v>385</v>
      </c>
      <c r="BQ472" s="3627">
        <f t="shared" si="268"/>
        <v>2310</v>
      </c>
      <c r="BR472" s="3627">
        <f t="shared" si="269"/>
        <v>0</v>
      </c>
      <c r="BS472" s="4056" t="e">
        <v>#N/A</v>
      </c>
      <c r="BT472" s="4057" t="s">
        <v>7450</v>
      </c>
    </row>
    <row r="473" s="3566" customFormat="1" ht="50" customHeight="1" spans="1:72">
      <c r="A473" s="3635">
        <v>45833</v>
      </c>
      <c r="B473" s="3617" t="s">
        <v>7452</v>
      </c>
      <c r="C473" s="3617" t="s">
        <v>91</v>
      </c>
      <c r="D473" s="3618">
        <v>4500171042</v>
      </c>
      <c r="E473" s="959" t="s">
        <v>7453</v>
      </c>
      <c r="F473" s="959" t="s">
        <v>7454</v>
      </c>
      <c r="G473" s="959" t="s">
        <v>6298</v>
      </c>
      <c r="H473" s="3618" t="s">
        <v>6063</v>
      </c>
      <c r="I473" s="3618">
        <v>88280</v>
      </c>
      <c r="J473" s="3618">
        <v>0</v>
      </c>
      <c r="K473" s="3618">
        <v>4</v>
      </c>
      <c r="L473" s="4052">
        <f t="shared" si="278"/>
        <v>22070</v>
      </c>
      <c r="M473" s="3619">
        <v>45889</v>
      </c>
      <c r="N473" s="3619">
        <v>45892</v>
      </c>
      <c r="O473" s="3664" t="s">
        <v>7455</v>
      </c>
      <c r="P473" s="959" t="s">
        <v>82</v>
      </c>
      <c r="Q473" s="959"/>
      <c r="R473" s="959"/>
      <c r="S473" s="959"/>
      <c r="T473" s="4053"/>
      <c r="U473" s="3620" t="s">
        <v>1806</v>
      </c>
      <c r="V473" s="3649" t="s">
        <v>1571</v>
      </c>
      <c r="W473" s="3695"/>
      <c r="X473" s="3649" t="s">
        <v>7456</v>
      </c>
      <c r="Y473" s="4091"/>
      <c r="Z473" s="4085" t="s">
        <v>7457</v>
      </c>
      <c r="AA473" s="3620" t="s">
        <v>7458</v>
      </c>
      <c r="AB473" s="3624" t="s">
        <v>6651</v>
      </c>
      <c r="AC473" s="4058">
        <v>1.3903</v>
      </c>
      <c r="AD473" s="3618">
        <f t="shared" si="289"/>
        <v>122735.684</v>
      </c>
      <c r="AE473" s="3633"/>
      <c r="AF473" s="959" t="s">
        <v>6298</v>
      </c>
      <c r="AG473" s="3620" t="s">
        <v>416</v>
      </c>
      <c r="AH473" s="3620"/>
      <c r="AI473" s="3620"/>
      <c r="AJ473" s="3620"/>
      <c r="AK473" s="959"/>
      <c r="AL473" s="959">
        <f>I473</f>
        <v>88280</v>
      </c>
      <c r="AM473" s="959"/>
      <c r="AN473" s="959"/>
      <c r="AO473" s="959"/>
      <c r="AP473" s="3618"/>
      <c r="AQ473" s="3618">
        <f t="shared" si="260"/>
        <v>88280</v>
      </c>
      <c r="AR473" s="3626"/>
      <c r="AS473" s="3626"/>
      <c r="AT473" s="3626">
        <f t="shared" si="277"/>
        <v>88280</v>
      </c>
      <c r="AU473" s="3626"/>
      <c r="AV473" s="3626"/>
      <c r="AW473" s="3626"/>
      <c r="AX473" s="3626"/>
      <c r="AY473" s="3626"/>
      <c r="AZ473" s="3626"/>
      <c r="BA473" s="3626"/>
      <c r="BB473" s="3626"/>
      <c r="BC473" s="3626"/>
      <c r="BD473" s="3626">
        <f>I473/4</f>
        <v>22070</v>
      </c>
      <c r="BE473" s="3626"/>
      <c r="BF473" s="3626"/>
      <c r="BG473" s="3626"/>
      <c r="BH473" s="3626"/>
      <c r="BI473" s="3626" t="s">
        <v>89</v>
      </c>
      <c r="BJ473" s="3626">
        <f t="shared" si="281"/>
        <v>2942.66666666667</v>
      </c>
      <c r="BK473" s="3626">
        <f t="shared" si="282"/>
        <v>14713.3333333333</v>
      </c>
      <c r="BL473" s="3626">
        <f t="shared" si="283"/>
        <v>14713.3333333333</v>
      </c>
      <c r="BM473" s="3626">
        <f t="shared" si="284"/>
        <v>11770.6666666667</v>
      </c>
      <c r="BN473" s="3626">
        <f t="shared" si="285"/>
        <v>14713.3333333333</v>
      </c>
      <c r="BO473" s="4055">
        <f t="shared" si="286"/>
        <v>14713.3333333333</v>
      </c>
      <c r="BP473" s="3627">
        <f t="shared" si="287"/>
        <v>14713.3333333333</v>
      </c>
      <c r="BQ473" s="3627">
        <f t="shared" si="268"/>
        <v>88280</v>
      </c>
      <c r="BR473" s="3627">
        <f t="shared" si="269"/>
        <v>0</v>
      </c>
      <c r="BS473" s="4056" t="s">
        <v>7448</v>
      </c>
      <c r="BT473" s="4057" t="s">
        <v>7459</v>
      </c>
    </row>
    <row r="474" s="3566" customFormat="1" ht="50" customHeight="1" spans="1:72">
      <c r="A474" s="3635">
        <v>45853</v>
      </c>
      <c r="B474" s="3617" t="s">
        <v>4674</v>
      </c>
      <c r="C474" s="3617" t="s">
        <v>1385</v>
      </c>
      <c r="D474" s="3618">
        <v>4500173241</v>
      </c>
      <c r="E474" s="959" t="s">
        <v>4675</v>
      </c>
      <c r="F474" s="959" t="s">
        <v>4678</v>
      </c>
      <c r="G474" s="959" t="s">
        <v>6643</v>
      </c>
      <c r="H474" s="3618" t="s">
        <v>3517</v>
      </c>
      <c r="I474" s="3618">
        <v>324</v>
      </c>
      <c r="J474" s="3618">
        <v>0</v>
      </c>
      <c r="K474" s="3618">
        <v>12</v>
      </c>
      <c r="L474" s="4052">
        <f t="shared" si="278"/>
        <v>27</v>
      </c>
      <c r="M474" s="3619">
        <v>45894</v>
      </c>
      <c r="N474" s="3619">
        <v>45890</v>
      </c>
      <c r="O474" s="3664"/>
      <c r="P474" s="959" t="s">
        <v>82</v>
      </c>
      <c r="Q474" s="959"/>
      <c r="R474" s="959"/>
      <c r="S474" s="959"/>
      <c r="T474" s="4053"/>
      <c r="U474" s="3645" t="s">
        <v>1806</v>
      </c>
      <c r="V474" s="3649" t="s">
        <v>1936</v>
      </c>
      <c r="W474" s="3695"/>
      <c r="X474" s="3657" t="s">
        <v>4677</v>
      </c>
      <c r="Y474" s="3649"/>
      <c r="Z474" s="3661"/>
      <c r="AA474" s="3620" t="s">
        <v>4680</v>
      </c>
      <c r="AB474" s="3624" t="s">
        <v>1434</v>
      </c>
      <c r="AC474" s="4058">
        <v>4.3796</v>
      </c>
      <c r="AD474" s="3618">
        <f>AC474*'92104'!I474</f>
        <v>1418.9904</v>
      </c>
      <c r="AE474" s="3633"/>
      <c r="AF474" s="959" t="s">
        <v>3520</v>
      </c>
      <c r="AG474" s="3620" t="s">
        <v>416</v>
      </c>
      <c r="AH474" s="3620"/>
      <c r="AI474" s="3620"/>
      <c r="AJ474" s="3620"/>
      <c r="AK474" s="959"/>
      <c r="AL474" s="959">
        <f>I474</f>
        <v>324</v>
      </c>
      <c r="AM474" s="959"/>
      <c r="AN474" s="959"/>
      <c r="AO474" s="959"/>
      <c r="AP474" s="3618"/>
      <c r="AQ474" s="3618">
        <f t="shared" si="260"/>
        <v>324</v>
      </c>
      <c r="AR474" s="3626"/>
      <c r="AS474" s="3626"/>
      <c r="AT474" s="3626">
        <f t="shared" si="277"/>
        <v>324</v>
      </c>
      <c r="AU474" s="3626"/>
      <c r="AV474" s="3626"/>
      <c r="AW474" s="3626"/>
      <c r="AX474" s="3626"/>
      <c r="AY474" s="3626"/>
      <c r="AZ474" s="3626"/>
      <c r="BA474" s="3626"/>
      <c r="BB474" s="3626"/>
      <c r="BC474" s="3626"/>
      <c r="BD474" s="3626"/>
      <c r="BE474" s="3626"/>
      <c r="BF474" s="3626"/>
      <c r="BG474" s="3626"/>
      <c r="BH474" s="3626"/>
      <c r="BI474" s="3626" t="s">
        <v>89</v>
      </c>
      <c r="BJ474" s="3626">
        <f t="shared" si="281"/>
        <v>10.8</v>
      </c>
      <c r="BK474" s="3626">
        <f t="shared" si="282"/>
        <v>54</v>
      </c>
      <c r="BL474" s="3626">
        <f t="shared" si="283"/>
        <v>54</v>
      </c>
      <c r="BM474" s="3626">
        <f t="shared" si="284"/>
        <v>43.2</v>
      </c>
      <c r="BN474" s="3626">
        <f t="shared" si="285"/>
        <v>54</v>
      </c>
      <c r="BO474" s="4055">
        <f t="shared" si="286"/>
        <v>54</v>
      </c>
      <c r="BP474" s="3627">
        <f t="shared" si="287"/>
        <v>54</v>
      </c>
      <c r="BQ474" s="3627">
        <f t="shared" si="268"/>
        <v>324</v>
      </c>
      <c r="BR474" s="3627">
        <f t="shared" si="269"/>
        <v>0</v>
      </c>
      <c r="BS474" s="4056"/>
      <c r="BT474" s="4057"/>
    </row>
    <row r="475" s="3566" customFormat="1" ht="50" customHeight="1" spans="1:72">
      <c r="A475" s="3635">
        <v>45825</v>
      </c>
      <c r="B475" s="3617" t="s">
        <v>1777</v>
      </c>
      <c r="C475" s="3617" t="s">
        <v>1142</v>
      </c>
      <c r="D475" s="3624">
        <v>4500170167</v>
      </c>
      <c r="E475" s="3618" t="s">
        <v>1778</v>
      </c>
      <c r="F475" s="3617" t="s">
        <v>7460</v>
      </c>
      <c r="G475" s="959" t="s">
        <v>6124</v>
      </c>
      <c r="H475" s="3618" t="s">
        <v>6063</v>
      </c>
      <c r="I475" s="3618">
        <v>720</v>
      </c>
      <c r="J475" s="3618">
        <v>0</v>
      </c>
      <c r="K475" s="3618">
        <v>12</v>
      </c>
      <c r="L475" s="4052">
        <f t="shared" si="278"/>
        <v>60</v>
      </c>
      <c r="M475" s="3619">
        <v>45891</v>
      </c>
      <c r="N475" s="3619">
        <v>45891</v>
      </c>
      <c r="O475" s="3664"/>
      <c r="P475" s="959" t="s">
        <v>82</v>
      </c>
      <c r="Q475" s="959"/>
      <c r="R475" s="959"/>
      <c r="S475" s="959"/>
      <c r="T475" s="4053"/>
      <c r="U475" s="3645" t="s">
        <v>1780</v>
      </c>
      <c r="V475" s="3649" t="s">
        <v>1550</v>
      </c>
      <c r="W475" s="3657"/>
      <c r="X475" s="3640" t="s">
        <v>7461</v>
      </c>
      <c r="Y475" s="3657"/>
      <c r="Z475" s="3661"/>
      <c r="AA475" s="3620" t="s">
        <v>7462</v>
      </c>
      <c r="AB475" s="3624" t="s">
        <v>459</v>
      </c>
      <c r="AC475" s="4058">
        <v>2.2023</v>
      </c>
      <c r="AD475" s="3618">
        <f>AC475*I475</f>
        <v>1585.656</v>
      </c>
      <c r="AE475" s="3633"/>
      <c r="AF475" s="959" t="s">
        <v>6126</v>
      </c>
      <c r="AG475" s="3620" t="s">
        <v>416</v>
      </c>
      <c r="AH475" s="3620"/>
      <c r="AI475" s="3620"/>
      <c r="AJ475" s="3620"/>
      <c r="AK475" s="959"/>
      <c r="AL475" s="959"/>
      <c r="AM475" s="959"/>
      <c r="AN475" s="959">
        <f>I475</f>
        <v>720</v>
      </c>
      <c r="AO475" s="959"/>
      <c r="AP475" s="3618"/>
      <c r="AQ475" s="3618">
        <f t="shared" si="260"/>
        <v>720</v>
      </c>
      <c r="AR475" s="3626"/>
      <c r="AS475" s="3626"/>
      <c r="AT475" s="3626">
        <f t="shared" si="277"/>
        <v>720</v>
      </c>
      <c r="AU475" s="3626"/>
      <c r="AV475" s="3626"/>
      <c r="AW475" s="3626"/>
      <c r="AX475" s="3626">
        <f>I475/6</f>
        <v>120</v>
      </c>
      <c r="AY475" s="3626"/>
      <c r="AZ475" s="3626"/>
      <c r="BA475" s="3626"/>
      <c r="BB475" s="3626"/>
      <c r="BC475" s="3626"/>
      <c r="BD475" s="3626"/>
      <c r="BE475" s="3626"/>
      <c r="BF475" s="3626"/>
      <c r="BG475" s="3626"/>
      <c r="BH475" s="3626"/>
      <c r="BI475" s="3626" t="s">
        <v>89</v>
      </c>
      <c r="BJ475" s="3626">
        <f t="shared" si="281"/>
        <v>24</v>
      </c>
      <c r="BK475" s="3626">
        <f t="shared" si="282"/>
        <v>120</v>
      </c>
      <c r="BL475" s="3626">
        <f t="shared" si="283"/>
        <v>120</v>
      </c>
      <c r="BM475" s="3626">
        <f t="shared" si="284"/>
        <v>96</v>
      </c>
      <c r="BN475" s="3626">
        <f t="shared" si="285"/>
        <v>120</v>
      </c>
      <c r="BO475" s="4055">
        <f t="shared" si="286"/>
        <v>120</v>
      </c>
      <c r="BP475" s="3627">
        <f t="shared" si="287"/>
        <v>120</v>
      </c>
      <c r="BQ475" s="3627">
        <f t="shared" si="268"/>
        <v>720</v>
      </c>
      <c r="BR475" s="3627">
        <f t="shared" si="269"/>
        <v>0</v>
      </c>
      <c r="BS475" s="4056" t="s">
        <v>7448</v>
      </c>
      <c r="BT475" s="4057" t="s">
        <v>4036</v>
      </c>
    </row>
    <row r="476" s="3566" customFormat="1" ht="50" customHeight="1" spans="1:72">
      <c r="A476" s="3635">
        <v>45838</v>
      </c>
      <c r="B476" s="3617" t="s">
        <v>340</v>
      </c>
      <c r="C476" s="3617" t="s">
        <v>341</v>
      </c>
      <c r="D476" s="3624">
        <v>4500164286</v>
      </c>
      <c r="E476" s="3618">
        <v>240204</v>
      </c>
      <c r="F476" s="3624" t="s">
        <v>7463</v>
      </c>
      <c r="G476" s="959" t="s">
        <v>3520</v>
      </c>
      <c r="H476" s="3618" t="s">
        <v>6063</v>
      </c>
      <c r="I476" s="3618">
        <v>408</v>
      </c>
      <c r="J476" s="3618">
        <v>0</v>
      </c>
      <c r="K476" s="3618">
        <v>24</v>
      </c>
      <c r="L476" s="4052">
        <f t="shared" si="278"/>
        <v>17</v>
      </c>
      <c r="M476" s="3619">
        <v>45891</v>
      </c>
      <c r="N476" s="3619">
        <v>45891</v>
      </c>
      <c r="O476" s="3664"/>
      <c r="P476" s="959" t="s">
        <v>82</v>
      </c>
      <c r="Q476" s="959"/>
      <c r="R476" s="959"/>
      <c r="S476" s="959"/>
      <c r="T476" s="4053"/>
      <c r="U476" s="3620" t="s">
        <v>222</v>
      </c>
      <c r="V476" s="3649" t="s">
        <v>4543</v>
      </c>
      <c r="W476" s="3649"/>
      <c r="X476" s="3657" t="s">
        <v>7327</v>
      </c>
      <c r="Y476" s="3649"/>
      <c r="Z476" s="3661"/>
      <c r="AA476" s="3620" t="s">
        <v>7464</v>
      </c>
      <c r="AB476" s="3624" t="s">
        <v>7093</v>
      </c>
      <c r="AC476" s="4058">
        <v>2.2017</v>
      </c>
      <c r="AD476" s="3618">
        <f>I476*AC476</f>
        <v>898.2936</v>
      </c>
      <c r="AE476" s="3633"/>
      <c r="AF476" s="959" t="s">
        <v>3520</v>
      </c>
      <c r="AG476" s="3620" t="s">
        <v>416</v>
      </c>
      <c r="AH476" s="3620"/>
      <c r="AI476" s="3620"/>
      <c r="AJ476" s="3620"/>
      <c r="AK476" s="959"/>
      <c r="AL476" s="959">
        <f>I476</f>
        <v>408</v>
      </c>
      <c r="AM476" s="959"/>
      <c r="AN476" s="959"/>
      <c r="AO476" s="959"/>
      <c r="AP476" s="3618"/>
      <c r="AQ476" s="3618">
        <f t="shared" si="260"/>
        <v>408</v>
      </c>
      <c r="AR476" s="3626"/>
      <c r="AS476" s="3626"/>
      <c r="AT476" s="3626">
        <f t="shared" si="277"/>
        <v>408</v>
      </c>
      <c r="AU476" s="3626"/>
      <c r="AV476" s="3626"/>
      <c r="AW476" s="3626"/>
      <c r="AX476" s="3626"/>
      <c r="AY476" s="3626"/>
      <c r="AZ476" s="3626"/>
      <c r="BA476" s="3626"/>
      <c r="BB476" s="3626"/>
      <c r="BC476" s="3626"/>
      <c r="BD476" s="3626"/>
      <c r="BE476" s="3626"/>
      <c r="BF476" s="3626"/>
      <c r="BG476" s="3626"/>
      <c r="BH476" s="3626"/>
      <c r="BI476" s="3626" t="s">
        <v>89</v>
      </c>
      <c r="BJ476" s="3626">
        <f t="shared" si="281"/>
        <v>13.6</v>
      </c>
      <c r="BK476" s="3626">
        <f t="shared" si="282"/>
        <v>68</v>
      </c>
      <c r="BL476" s="3626">
        <f t="shared" si="283"/>
        <v>68</v>
      </c>
      <c r="BM476" s="3626">
        <f t="shared" si="284"/>
        <v>54.4</v>
      </c>
      <c r="BN476" s="3626">
        <f t="shared" si="285"/>
        <v>68</v>
      </c>
      <c r="BO476" s="4055">
        <f t="shared" si="286"/>
        <v>68</v>
      </c>
      <c r="BP476" s="3627">
        <f t="shared" si="287"/>
        <v>68</v>
      </c>
      <c r="BQ476" s="3627">
        <f t="shared" si="268"/>
        <v>408</v>
      </c>
      <c r="BR476" s="3627">
        <f t="shared" si="269"/>
        <v>0</v>
      </c>
      <c r="BS476" s="4056" t="s">
        <v>7448</v>
      </c>
      <c r="BT476" s="4057" t="s">
        <v>4036</v>
      </c>
    </row>
    <row r="477" s="3566" customFormat="1" ht="50" customHeight="1" spans="1:72">
      <c r="A477" s="3635">
        <v>45841</v>
      </c>
      <c r="B477" s="3617" t="s">
        <v>3118</v>
      </c>
      <c r="C477" s="3617" t="s">
        <v>506</v>
      </c>
      <c r="D477" s="3624">
        <v>4500172669</v>
      </c>
      <c r="E477" s="959">
        <v>84443</v>
      </c>
      <c r="F477" s="3617" t="s">
        <v>7465</v>
      </c>
      <c r="G477" s="959" t="s">
        <v>6186</v>
      </c>
      <c r="H477" s="3618" t="s">
        <v>6063</v>
      </c>
      <c r="I477" s="3618">
        <v>1200</v>
      </c>
      <c r="J477" s="3618">
        <v>0</v>
      </c>
      <c r="K477" s="3618">
        <v>6</v>
      </c>
      <c r="L477" s="4052">
        <f t="shared" si="278"/>
        <v>200</v>
      </c>
      <c r="M477" s="3619">
        <v>45890</v>
      </c>
      <c r="N477" s="3619">
        <v>45890</v>
      </c>
      <c r="O477" s="3664"/>
      <c r="P477" s="959" t="s">
        <v>82</v>
      </c>
      <c r="Q477" s="959"/>
      <c r="R477" s="959"/>
      <c r="S477" s="959"/>
      <c r="T477" s="4053"/>
      <c r="U477" s="3620" t="s">
        <v>1806</v>
      </c>
      <c r="V477" s="3649" t="s">
        <v>4559</v>
      </c>
      <c r="W477" s="3657"/>
      <c r="X477" s="3640" t="s">
        <v>6719</v>
      </c>
      <c r="Y477" s="4091"/>
      <c r="Z477" s="3661"/>
      <c r="AA477" s="3620" t="s">
        <v>7466</v>
      </c>
      <c r="AB477" s="3624" t="s">
        <v>448</v>
      </c>
      <c r="AC477" s="3618">
        <v>2.2678</v>
      </c>
      <c r="AD477" s="3618">
        <f t="shared" ref="AD477:AD482" si="290">AC477*I477</f>
        <v>2721.36</v>
      </c>
      <c r="AE477" s="3633"/>
      <c r="AF477" s="959" t="s">
        <v>6186</v>
      </c>
      <c r="AG477" s="3620" t="s">
        <v>416</v>
      </c>
      <c r="AH477" s="3620"/>
      <c r="AI477" s="3620"/>
      <c r="AJ477" s="3620"/>
      <c r="AK477" s="959"/>
      <c r="AL477" s="959">
        <f>I477</f>
        <v>1200</v>
      </c>
      <c r="AM477" s="959"/>
      <c r="AN477" s="959"/>
      <c r="AO477" s="959"/>
      <c r="AP477" s="3618"/>
      <c r="AQ477" s="3618">
        <f t="shared" si="260"/>
        <v>1200</v>
      </c>
      <c r="AR477" s="3626"/>
      <c r="AS477" s="3626"/>
      <c r="AT477" s="3626">
        <f t="shared" si="277"/>
        <v>1200</v>
      </c>
      <c r="AU477" s="3626"/>
      <c r="AV477" s="3626"/>
      <c r="AW477" s="3882">
        <f>I477/6</f>
        <v>200</v>
      </c>
      <c r="AX477" s="3626"/>
      <c r="AY477" s="3626"/>
      <c r="AZ477" s="3626"/>
      <c r="BA477" s="3626"/>
      <c r="BB477" s="3626"/>
      <c r="BC477" s="3626"/>
      <c r="BD477" s="3626"/>
      <c r="BE477" s="3626"/>
      <c r="BF477" s="3626"/>
      <c r="BG477" s="3626"/>
      <c r="BH477" s="3626"/>
      <c r="BI477" s="3626" t="s">
        <v>89</v>
      </c>
      <c r="BJ477" s="3626">
        <f t="shared" si="281"/>
        <v>40</v>
      </c>
      <c r="BK477" s="3626">
        <f t="shared" si="282"/>
        <v>200</v>
      </c>
      <c r="BL477" s="3626">
        <f t="shared" si="283"/>
        <v>200</v>
      </c>
      <c r="BM477" s="3626">
        <f t="shared" si="284"/>
        <v>160</v>
      </c>
      <c r="BN477" s="3626">
        <f t="shared" si="285"/>
        <v>200</v>
      </c>
      <c r="BO477" s="4055">
        <f t="shared" si="286"/>
        <v>200</v>
      </c>
      <c r="BP477" s="3627">
        <f t="shared" si="287"/>
        <v>200</v>
      </c>
      <c r="BQ477" s="3627">
        <f t="shared" si="268"/>
        <v>1200</v>
      </c>
      <c r="BR477" s="3627">
        <f t="shared" si="269"/>
        <v>0</v>
      </c>
      <c r="BS477" s="4056" t="e">
        <v>#N/A</v>
      </c>
      <c r="BT477" s="4057" t="s">
        <v>4467</v>
      </c>
    </row>
    <row r="478" s="3566" customFormat="1" ht="50" customHeight="1" spans="1:72">
      <c r="A478" s="3635">
        <v>45855</v>
      </c>
      <c r="B478" s="3617" t="s">
        <v>1617</v>
      </c>
      <c r="C478" s="3617" t="s">
        <v>91</v>
      </c>
      <c r="D478" s="3618">
        <v>4500174443</v>
      </c>
      <c r="E478" s="959">
        <v>70072684</v>
      </c>
      <c r="F478" s="959" t="s">
        <v>7467</v>
      </c>
      <c r="G478" s="959" t="s">
        <v>3520</v>
      </c>
      <c r="H478" s="3618" t="s">
        <v>6063</v>
      </c>
      <c r="I478" s="3618">
        <v>1200</v>
      </c>
      <c r="J478" s="3618">
        <v>0</v>
      </c>
      <c r="K478" s="3618">
        <v>24</v>
      </c>
      <c r="L478" s="4052">
        <f t="shared" ref="L478:L541" si="291">I478/K478</f>
        <v>50</v>
      </c>
      <c r="M478" s="3619">
        <v>45904</v>
      </c>
      <c r="N478" s="3619">
        <v>45901</v>
      </c>
      <c r="O478" s="959"/>
      <c r="P478" s="959" t="s">
        <v>82</v>
      </c>
      <c r="Q478" s="3638"/>
      <c r="R478" s="959"/>
      <c r="S478" s="4099"/>
      <c r="T478" s="4100"/>
      <c r="U478" s="3701" t="s">
        <v>1853</v>
      </c>
      <c r="V478" s="3649" t="s">
        <v>390</v>
      </c>
      <c r="W478" s="3695"/>
      <c r="X478" s="3657" t="s">
        <v>98</v>
      </c>
      <c r="Y478" s="3649" t="s">
        <v>1818</v>
      </c>
      <c r="Z478" s="3661"/>
      <c r="AA478" s="3620" t="s">
        <v>7468</v>
      </c>
      <c r="AB478" s="3624" t="s">
        <v>1880</v>
      </c>
      <c r="AC478" s="4058">
        <v>1.3184</v>
      </c>
      <c r="AD478" s="3618">
        <f t="shared" si="290"/>
        <v>1582.08</v>
      </c>
      <c r="AE478" s="3633" t="s">
        <v>1881</v>
      </c>
      <c r="AF478" s="959" t="s">
        <v>3520</v>
      </c>
      <c r="AG478" s="3620" t="s">
        <v>416</v>
      </c>
      <c r="AH478" s="3620"/>
      <c r="AI478" s="3620"/>
      <c r="AJ478" s="3620"/>
      <c r="AK478" s="959"/>
      <c r="AL478" s="959">
        <f>I478</f>
        <v>1200</v>
      </c>
      <c r="AM478" s="959"/>
      <c r="AN478" s="959"/>
      <c r="AO478" s="959"/>
      <c r="AP478" s="3618"/>
      <c r="AQ478" s="3618">
        <f t="shared" si="260"/>
        <v>1200</v>
      </c>
      <c r="AR478" s="3626"/>
      <c r="AS478" s="3626"/>
      <c r="AT478" s="3626">
        <f t="shared" si="277"/>
        <v>1200</v>
      </c>
      <c r="AU478" s="3626"/>
      <c r="AV478" s="3626"/>
      <c r="AW478" s="3626"/>
      <c r="AX478" s="3626"/>
      <c r="AY478" s="3626"/>
      <c r="AZ478" s="3626"/>
      <c r="BA478" s="3626"/>
      <c r="BB478" s="3626"/>
      <c r="BC478" s="3626"/>
      <c r="BD478" s="3626"/>
      <c r="BE478" s="3626"/>
      <c r="BF478" s="3626"/>
      <c r="BG478" s="3626"/>
      <c r="BH478" s="3626"/>
      <c r="BI478" s="3626" t="s">
        <v>89</v>
      </c>
      <c r="BJ478" s="3626">
        <f t="shared" si="281"/>
        <v>40</v>
      </c>
      <c r="BK478" s="3626">
        <f t="shared" si="282"/>
        <v>200</v>
      </c>
      <c r="BL478" s="3626">
        <f t="shared" si="283"/>
        <v>200</v>
      </c>
      <c r="BM478" s="3626">
        <f t="shared" si="284"/>
        <v>160</v>
      </c>
      <c r="BN478" s="3626">
        <f t="shared" si="285"/>
        <v>200</v>
      </c>
      <c r="BO478" s="4055">
        <f t="shared" si="286"/>
        <v>200</v>
      </c>
      <c r="BP478" s="3627">
        <f t="shared" si="287"/>
        <v>200</v>
      </c>
      <c r="BQ478" s="3627">
        <f t="shared" si="268"/>
        <v>1200</v>
      </c>
      <c r="BR478" s="3627">
        <f t="shared" si="269"/>
        <v>0</v>
      </c>
      <c r="BS478" s="4056"/>
      <c r="BT478" s="4057"/>
    </row>
    <row r="479" s="3566" customFormat="1" ht="50" customHeight="1" spans="1:72">
      <c r="A479" s="3635">
        <v>45883</v>
      </c>
      <c r="B479" s="3617" t="s">
        <v>2285</v>
      </c>
      <c r="C479" s="3617" t="s">
        <v>351</v>
      </c>
      <c r="D479" s="3618">
        <v>4500176865</v>
      </c>
      <c r="E479" s="959" t="s">
        <v>4638</v>
      </c>
      <c r="F479" s="959" t="s">
        <v>4639</v>
      </c>
      <c r="G479" s="959" t="s">
        <v>6641</v>
      </c>
      <c r="H479" s="959" t="s">
        <v>6642</v>
      </c>
      <c r="I479" s="3618">
        <v>2121</v>
      </c>
      <c r="J479" s="3618">
        <v>0</v>
      </c>
      <c r="K479" s="3618">
        <v>1</v>
      </c>
      <c r="L479" s="4052">
        <f t="shared" si="291"/>
        <v>2121</v>
      </c>
      <c r="M479" s="3619">
        <v>45889</v>
      </c>
      <c r="N479" s="3619">
        <v>45885</v>
      </c>
      <c r="O479" s="3664" t="s">
        <v>4640</v>
      </c>
      <c r="P479" s="959" t="s">
        <v>82</v>
      </c>
      <c r="Q479" s="3638"/>
      <c r="R479" s="3638"/>
      <c r="S479" s="3638"/>
      <c r="T479" s="4101"/>
      <c r="U479" s="3645" t="s">
        <v>401</v>
      </c>
      <c r="V479" s="3649" t="s">
        <v>4641</v>
      </c>
      <c r="W479" s="3695"/>
      <c r="X479" s="3657" t="s">
        <v>7469</v>
      </c>
      <c r="Y479" s="4091"/>
      <c r="Z479" s="3661"/>
      <c r="AA479" s="3620" t="s">
        <v>4643</v>
      </c>
      <c r="AB479" s="3624" t="s">
        <v>1199</v>
      </c>
      <c r="AC479" s="4058">
        <v>8.9545</v>
      </c>
      <c r="AD479" s="3618">
        <f t="shared" si="290"/>
        <v>18992.4945</v>
      </c>
      <c r="AE479" s="3633"/>
      <c r="AF479" s="959" t="s">
        <v>3520</v>
      </c>
      <c r="AG479" s="3620" t="s">
        <v>416</v>
      </c>
      <c r="AH479" s="3620"/>
      <c r="AI479" s="3620"/>
      <c r="AJ479" s="3620"/>
      <c r="AK479" s="959">
        <f>I479</f>
        <v>2121</v>
      </c>
      <c r="AL479" s="959"/>
      <c r="AM479" s="959"/>
      <c r="AN479" s="959"/>
      <c r="AO479" s="959"/>
      <c r="AP479" s="3618">
        <f>I479</f>
        <v>2121</v>
      </c>
      <c r="AQ479" s="3618"/>
      <c r="AR479" s="3626"/>
      <c r="AS479" s="3626">
        <f>I479</f>
        <v>2121</v>
      </c>
      <c r="AT479" s="3626"/>
      <c r="AU479" s="3626"/>
      <c r="AV479" s="3626"/>
      <c r="AW479" s="3626"/>
      <c r="AX479" s="3626"/>
      <c r="AY479" s="3626"/>
      <c r="AZ479" s="3626"/>
      <c r="BA479" s="3626"/>
      <c r="BB479" s="3626"/>
      <c r="BC479" s="3626"/>
      <c r="BD479" s="3626"/>
      <c r="BE479" s="3626"/>
      <c r="BF479" s="3626"/>
      <c r="BG479" s="3626"/>
      <c r="BH479" s="3626"/>
      <c r="BI479" s="3626" t="s">
        <v>89</v>
      </c>
      <c r="BJ479" s="3626">
        <f t="shared" si="281"/>
        <v>70.7</v>
      </c>
      <c r="BK479" s="3626">
        <f t="shared" si="282"/>
        <v>353.5</v>
      </c>
      <c r="BL479" s="3626">
        <f t="shared" si="283"/>
        <v>353.5</v>
      </c>
      <c r="BM479" s="3626">
        <f t="shared" si="284"/>
        <v>282.8</v>
      </c>
      <c r="BN479" s="3626">
        <f t="shared" si="285"/>
        <v>353.5</v>
      </c>
      <c r="BO479" s="4055">
        <f t="shared" si="286"/>
        <v>353.5</v>
      </c>
      <c r="BP479" s="3627">
        <f t="shared" si="287"/>
        <v>353.5</v>
      </c>
      <c r="BQ479" s="3627">
        <f t="shared" si="268"/>
        <v>2121</v>
      </c>
      <c r="BR479" s="3627">
        <f t="shared" si="269"/>
        <v>0</v>
      </c>
      <c r="BS479" s="4056"/>
      <c r="BT479" s="4057"/>
    </row>
    <row r="480" s="3566" customFormat="1" ht="50" customHeight="1" spans="1:72">
      <c r="A480" s="3635">
        <v>45883</v>
      </c>
      <c r="B480" s="3617" t="s">
        <v>2285</v>
      </c>
      <c r="C480" s="3617" t="s">
        <v>351</v>
      </c>
      <c r="D480" s="3618">
        <v>4500176865</v>
      </c>
      <c r="E480" s="959" t="s">
        <v>4638</v>
      </c>
      <c r="F480" s="959" t="s">
        <v>4644</v>
      </c>
      <c r="G480" s="959" t="s">
        <v>6643</v>
      </c>
      <c r="H480" s="3618" t="s">
        <v>3517</v>
      </c>
      <c r="I480" s="3618">
        <v>4872</v>
      </c>
      <c r="J480" s="3618">
        <v>0</v>
      </c>
      <c r="K480" s="3618">
        <v>12</v>
      </c>
      <c r="L480" s="4052">
        <f t="shared" si="291"/>
        <v>406</v>
      </c>
      <c r="M480" s="3619">
        <v>45889</v>
      </c>
      <c r="N480" s="3619">
        <v>45885</v>
      </c>
      <c r="O480" s="3664" t="s">
        <v>4645</v>
      </c>
      <c r="P480" s="959" t="s">
        <v>82</v>
      </c>
      <c r="Q480" s="3638"/>
      <c r="R480" s="3638"/>
      <c r="S480" s="3638"/>
      <c r="T480" s="4101"/>
      <c r="U480" s="3645" t="s">
        <v>401</v>
      </c>
      <c r="V480" s="3649" t="s">
        <v>4641</v>
      </c>
      <c r="W480" s="3695"/>
      <c r="X480" s="3657" t="s">
        <v>7469</v>
      </c>
      <c r="Y480" s="4091"/>
      <c r="Z480" s="3661"/>
      <c r="AA480" s="3620" t="s">
        <v>4646</v>
      </c>
      <c r="AB480" s="3624" t="s">
        <v>1199</v>
      </c>
      <c r="AC480" s="4058">
        <v>4.8333</v>
      </c>
      <c r="AD480" s="3618">
        <f t="shared" si="290"/>
        <v>23547.8376</v>
      </c>
      <c r="AE480" s="3633"/>
      <c r="AF480" s="959" t="s">
        <v>3520</v>
      </c>
      <c r="AG480" s="3620" t="s">
        <v>416</v>
      </c>
      <c r="AH480" s="3620"/>
      <c r="AI480" s="3620"/>
      <c r="AJ480" s="3620"/>
      <c r="AK480" s="959">
        <f>I480</f>
        <v>4872</v>
      </c>
      <c r="AL480" s="959"/>
      <c r="AM480" s="959">
        <f>I480</f>
        <v>4872</v>
      </c>
      <c r="AN480" s="959"/>
      <c r="AO480" s="959"/>
      <c r="AP480" s="3618">
        <f>I480</f>
        <v>4872</v>
      </c>
      <c r="AQ480" s="3618"/>
      <c r="AR480" s="3626"/>
      <c r="AS480" s="3626">
        <f>I480</f>
        <v>4872</v>
      </c>
      <c r="AT480" s="3626"/>
      <c r="AU480" s="3626"/>
      <c r="AV480" s="3626"/>
      <c r="AW480" s="3626"/>
      <c r="AX480" s="3626"/>
      <c r="AY480" s="3626"/>
      <c r="AZ480" s="3626"/>
      <c r="BA480" s="3626"/>
      <c r="BB480" s="3626"/>
      <c r="BC480" s="3626"/>
      <c r="BD480" s="3626"/>
      <c r="BE480" s="3626"/>
      <c r="BF480" s="3626"/>
      <c r="BG480" s="3626"/>
      <c r="BH480" s="3626"/>
      <c r="BI480" s="3626" t="s">
        <v>89</v>
      </c>
      <c r="BJ480" s="3626">
        <f t="shared" si="281"/>
        <v>162.4</v>
      </c>
      <c r="BK480" s="3626">
        <f t="shared" si="282"/>
        <v>812</v>
      </c>
      <c r="BL480" s="3626">
        <f t="shared" si="283"/>
        <v>812</v>
      </c>
      <c r="BM480" s="3626">
        <f t="shared" si="284"/>
        <v>649.6</v>
      </c>
      <c r="BN480" s="3626">
        <f t="shared" si="285"/>
        <v>812</v>
      </c>
      <c r="BO480" s="4055">
        <f t="shared" si="286"/>
        <v>812</v>
      </c>
      <c r="BP480" s="3627">
        <f t="shared" si="287"/>
        <v>812</v>
      </c>
      <c r="BQ480" s="3627">
        <f t="shared" si="268"/>
        <v>4872</v>
      </c>
      <c r="BR480" s="3627">
        <f t="shared" si="269"/>
        <v>0</v>
      </c>
      <c r="BS480" s="4056"/>
      <c r="BT480" s="4057"/>
    </row>
    <row r="481" s="3566" customFormat="1" ht="50" customHeight="1" spans="1:72">
      <c r="A481" s="3635">
        <v>45883</v>
      </c>
      <c r="B481" s="3617" t="s">
        <v>2285</v>
      </c>
      <c r="C481" s="3617" t="s">
        <v>351</v>
      </c>
      <c r="D481" s="3618">
        <v>4500176865</v>
      </c>
      <c r="E481" s="959" t="s">
        <v>3336</v>
      </c>
      <c r="F481" s="959" t="s">
        <v>4647</v>
      </c>
      <c r="G481" s="959" t="s">
        <v>6641</v>
      </c>
      <c r="H481" s="959" t="s">
        <v>6642</v>
      </c>
      <c r="I481" s="3618">
        <v>759</v>
      </c>
      <c r="J481" s="3618">
        <v>0</v>
      </c>
      <c r="K481" s="3618">
        <v>1</v>
      </c>
      <c r="L481" s="4052">
        <f t="shared" si="291"/>
        <v>759</v>
      </c>
      <c r="M481" s="3619">
        <v>45889</v>
      </c>
      <c r="N481" s="3619">
        <v>45885</v>
      </c>
      <c r="O481" s="3664" t="s">
        <v>4648</v>
      </c>
      <c r="P481" s="959" t="s">
        <v>82</v>
      </c>
      <c r="Q481" s="3638"/>
      <c r="R481" s="3638"/>
      <c r="S481" s="3638"/>
      <c r="T481" s="4101"/>
      <c r="U481" s="3620"/>
      <c r="V481" s="3649" t="s">
        <v>4641</v>
      </c>
      <c r="W481" s="3695"/>
      <c r="X481" s="3657" t="s">
        <v>7469</v>
      </c>
      <c r="Y481" s="4091"/>
      <c r="Z481" s="3661"/>
      <c r="AA481" s="3620" t="s">
        <v>4643</v>
      </c>
      <c r="AB481" s="3624" t="s">
        <v>1199</v>
      </c>
      <c r="AC481" s="4058">
        <v>8.9545</v>
      </c>
      <c r="AD481" s="3618">
        <f t="shared" si="290"/>
        <v>6796.4655</v>
      </c>
      <c r="AE481" s="3633"/>
      <c r="AF481" s="959" t="s">
        <v>3520</v>
      </c>
      <c r="AG481" s="3620" t="s">
        <v>416</v>
      </c>
      <c r="AH481" s="3620"/>
      <c r="AI481" s="3620"/>
      <c r="AJ481" s="3620"/>
      <c r="AK481" s="959">
        <f>I481</f>
        <v>759</v>
      </c>
      <c r="AL481" s="959"/>
      <c r="AM481" s="959"/>
      <c r="AN481" s="959"/>
      <c r="AO481" s="959"/>
      <c r="AP481" s="3618">
        <f>I481</f>
        <v>759</v>
      </c>
      <c r="AQ481" s="3618"/>
      <c r="AR481" s="3626"/>
      <c r="AS481" s="3626">
        <f>I481</f>
        <v>759</v>
      </c>
      <c r="AT481" s="3626"/>
      <c r="AU481" s="3626"/>
      <c r="AV481" s="3626"/>
      <c r="AW481" s="3626"/>
      <c r="AX481" s="3626"/>
      <c r="AY481" s="3626"/>
      <c r="AZ481" s="3626"/>
      <c r="BA481" s="3626"/>
      <c r="BB481" s="3626"/>
      <c r="BC481" s="3626"/>
      <c r="BD481" s="3626"/>
      <c r="BE481" s="3626"/>
      <c r="BF481" s="3626"/>
      <c r="BG481" s="3626"/>
      <c r="BH481" s="3626"/>
      <c r="BI481" s="3626" t="s">
        <v>89</v>
      </c>
      <c r="BJ481" s="3626">
        <f t="shared" si="281"/>
        <v>25.3</v>
      </c>
      <c r="BK481" s="3626">
        <f t="shared" si="282"/>
        <v>126.5</v>
      </c>
      <c r="BL481" s="3626">
        <f t="shared" si="283"/>
        <v>126.5</v>
      </c>
      <c r="BM481" s="3626">
        <f t="shared" si="284"/>
        <v>101.2</v>
      </c>
      <c r="BN481" s="3626">
        <f t="shared" si="285"/>
        <v>126.5</v>
      </c>
      <c r="BO481" s="4055">
        <f t="shared" si="286"/>
        <v>126.5</v>
      </c>
      <c r="BP481" s="3627">
        <f t="shared" si="287"/>
        <v>126.5</v>
      </c>
      <c r="BQ481" s="3627">
        <f t="shared" si="268"/>
        <v>759</v>
      </c>
      <c r="BR481" s="3627">
        <f t="shared" si="269"/>
        <v>0</v>
      </c>
      <c r="BS481" s="4056"/>
      <c r="BT481" s="4057"/>
    </row>
    <row r="482" s="3566" customFormat="1" ht="50" customHeight="1" spans="1:72">
      <c r="A482" s="3635">
        <v>45883</v>
      </c>
      <c r="B482" s="3617" t="s">
        <v>2285</v>
      </c>
      <c r="C482" s="3617" t="s">
        <v>351</v>
      </c>
      <c r="D482" s="3618">
        <v>4500176865</v>
      </c>
      <c r="E482" s="959" t="s">
        <v>3336</v>
      </c>
      <c r="F482" s="959" t="s">
        <v>4649</v>
      </c>
      <c r="G482" s="959" t="s">
        <v>6643</v>
      </c>
      <c r="H482" s="3618" t="s">
        <v>3517</v>
      </c>
      <c r="I482" s="3618">
        <v>1272</v>
      </c>
      <c r="J482" s="3618">
        <v>0</v>
      </c>
      <c r="K482" s="3618">
        <v>12</v>
      </c>
      <c r="L482" s="4052">
        <f t="shared" si="291"/>
        <v>106</v>
      </c>
      <c r="M482" s="3619">
        <v>45889</v>
      </c>
      <c r="N482" s="3619">
        <v>45885</v>
      </c>
      <c r="O482" s="3664" t="s">
        <v>4650</v>
      </c>
      <c r="P482" s="959" t="s">
        <v>82</v>
      </c>
      <c r="Q482" s="3638"/>
      <c r="R482" s="3638"/>
      <c r="S482" s="3638"/>
      <c r="T482" s="4101"/>
      <c r="U482" s="3645" t="s">
        <v>228</v>
      </c>
      <c r="V482" s="3649" t="s">
        <v>4641</v>
      </c>
      <c r="W482" s="3695"/>
      <c r="X482" s="3657" t="s">
        <v>7469</v>
      </c>
      <c r="Y482" s="4091"/>
      <c r="Z482" s="3661"/>
      <c r="AA482" s="3620" t="s">
        <v>4646</v>
      </c>
      <c r="AB482" s="3624" t="s">
        <v>1199</v>
      </c>
      <c r="AC482" s="4058">
        <v>4.8333</v>
      </c>
      <c r="AD482" s="3618">
        <f t="shared" si="290"/>
        <v>6147.9576</v>
      </c>
      <c r="AE482" s="3633"/>
      <c r="AF482" s="959" t="s">
        <v>3520</v>
      </c>
      <c r="AG482" s="3620" t="s">
        <v>416</v>
      </c>
      <c r="AH482" s="3620"/>
      <c r="AI482" s="3620"/>
      <c r="AJ482" s="3620"/>
      <c r="AK482" s="959">
        <f>I482</f>
        <v>1272</v>
      </c>
      <c r="AL482" s="959"/>
      <c r="AM482" s="959">
        <f>I482</f>
        <v>1272</v>
      </c>
      <c r="AN482" s="959"/>
      <c r="AO482" s="959"/>
      <c r="AP482" s="3618">
        <f>I482</f>
        <v>1272</v>
      </c>
      <c r="AQ482" s="3618"/>
      <c r="AR482" s="3626"/>
      <c r="AS482" s="3626">
        <f>I482</f>
        <v>1272</v>
      </c>
      <c r="AT482" s="3626"/>
      <c r="AU482" s="3626"/>
      <c r="AV482" s="3626"/>
      <c r="AW482" s="3626"/>
      <c r="AX482" s="3626"/>
      <c r="AY482" s="3626"/>
      <c r="AZ482" s="3626"/>
      <c r="BA482" s="3626"/>
      <c r="BB482" s="3626"/>
      <c r="BC482" s="3626"/>
      <c r="BD482" s="3626"/>
      <c r="BE482" s="3626"/>
      <c r="BF482" s="3626"/>
      <c r="BG482" s="3626"/>
      <c r="BH482" s="3626"/>
      <c r="BI482" s="3626" t="s">
        <v>89</v>
      </c>
      <c r="BJ482" s="3626">
        <f t="shared" si="281"/>
        <v>42.4</v>
      </c>
      <c r="BK482" s="3626">
        <f t="shared" si="282"/>
        <v>212</v>
      </c>
      <c r="BL482" s="3626">
        <f t="shared" si="283"/>
        <v>212</v>
      </c>
      <c r="BM482" s="3626">
        <f t="shared" si="284"/>
        <v>169.6</v>
      </c>
      <c r="BN482" s="3626">
        <f t="shared" si="285"/>
        <v>212</v>
      </c>
      <c r="BO482" s="4055">
        <f t="shared" si="286"/>
        <v>212</v>
      </c>
      <c r="BP482" s="3627">
        <f t="shared" si="287"/>
        <v>212</v>
      </c>
      <c r="BQ482" s="3627">
        <f t="shared" si="268"/>
        <v>1272</v>
      </c>
      <c r="BR482" s="3627">
        <f t="shared" si="269"/>
        <v>0</v>
      </c>
      <c r="BS482" s="4056"/>
      <c r="BT482" s="4057"/>
    </row>
    <row r="483" s="3566" customFormat="1" ht="50" customHeight="1" spans="1:72">
      <c r="A483" s="3635">
        <v>45836</v>
      </c>
      <c r="B483" s="3617" t="s">
        <v>1617</v>
      </c>
      <c r="C483" s="3617" t="s">
        <v>91</v>
      </c>
      <c r="D483" s="3618">
        <v>4500171783</v>
      </c>
      <c r="E483" s="959" t="s">
        <v>4613</v>
      </c>
      <c r="F483" s="959" t="s">
        <v>7470</v>
      </c>
      <c r="G483" s="959" t="s">
        <v>3520</v>
      </c>
      <c r="H483" s="3618" t="s">
        <v>6063</v>
      </c>
      <c r="I483" s="3618">
        <v>1200</v>
      </c>
      <c r="J483" s="3618">
        <v>0</v>
      </c>
      <c r="K483" s="3618">
        <v>24</v>
      </c>
      <c r="L483" s="4052">
        <f t="shared" si="291"/>
        <v>50</v>
      </c>
      <c r="M483" s="3619">
        <v>45889</v>
      </c>
      <c r="N483" s="3619">
        <v>45891</v>
      </c>
      <c r="O483" s="3664"/>
      <c r="P483" s="959" t="s">
        <v>82</v>
      </c>
      <c r="Q483" s="3638"/>
      <c r="R483" s="3638"/>
      <c r="S483" s="3638"/>
      <c r="T483" s="4101"/>
      <c r="U483" s="3620" t="s">
        <v>4615</v>
      </c>
      <c r="V483" s="3649" t="s">
        <v>1895</v>
      </c>
      <c r="W483" s="3695"/>
      <c r="X483" s="3657" t="s">
        <v>98</v>
      </c>
      <c r="Y483" s="3649" t="s">
        <v>4616</v>
      </c>
      <c r="Z483" s="3661"/>
      <c r="AA483" s="3620" t="s">
        <v>1621</v>
      </c>
      <c r="AB483" s="3624" t="s">
        <v>393</v>
      </c>
      <c r="AC483" s="4058">
        <v>1.3184</v>
      </c>
      <c r="AD483" s="3618">
        <f>I483*AC483</f>
        <v>1582.08</v>
      </c>
      <c r="AE483" s="3633"/>
      <c r="AF483" s="959" t="s">
        <v>3520</v>
      </c>
      <c r="AG483" s="3620" t="s">
        <v>416</v>
      </c>
      <c r="AH483" s="3620"/>
      <c r="AI483" s="3620"/>
      <c r="AJ483" s="3620"/>
      <c r="AK483" s="959"/>
      <c r="AL483" s="959">
        <f>I483</f>
        <v>1200</v>
      </c>
      <c r="AM483" s="959"/>
      <c r="AN483" s="959"/>
      <c r="AO483" s="959"/>
      <c r="AP483" s="3618"/>
      <c r="AQ483" s="3618">
        <f t="shared" ref="AQ483:AQ503" si="292">I483</f>
        <v>1200</v>
      </c>
      <c r="AR483" s="3626"/>
      <c r="AS483" s="3626"/>
      <c r="AT483" s="3626">
        <f t="shared" ref="AT483:AT488" si="293">I483</f>
        <v>1200</v>
      </c>
      <c r="AU483" s="3626"/>
      <c r="AV483" s="3626"/>
      <c r="AW483" s="3626"/>
      <c r="AX483" s="3626"/>
      <c r="AY483" s="3626"/>
      <c r="AZ483" s="3626"/>
      <c r="BA483" s="3626"/>
      <c r="BB483" s="3626"/>
      <c r="BC483" s="3626"/>
      <c r="BD483" s="3626"/>
      <c r="BE483" s="3626"/>
      <c r="BF483" s="3626"/>
      <c r="BG483" s="3626"/>
      <c r="BH483" s="3626"/>
      <c r="BI483" s="3626" t="s">
        <v>89</v>
      </c>
      <c r="BJ483" s="3626">
        <f t="shared" si="281"/>
        <v>40</v>
      </c>
      <c r="BK483" s="3626">
        <f t="shared" si="282"/>
        <v>200</v>
      </c>
      <c r="BL483" s="3626">
        <f t="shared" si="283"/>
        <v>200</v>
      </c>
      <c r="BM483" s="3626">
        <f t="shared" si="284"/>
        <v>160</v>
      </c>
      <c r="BN483" s="3626">
        <f t="shared" si="285"/>
        <v>200</v>
      </c>
      <c r="BO483" s="4055">
        <f t="shared" si="286"/>
        <v>200</v>
      </c>
      <c r="BP483" s="3627">
        <f t="shared" si="287"/>
        <v>200</v>
      </c>
      <c r="BQ483" s="3627">
        <f t="shared" si="268"/>
        <v>1200</v>
      </c>
      <c r="BR483" s="3627">
        <f t="shared" si="269"/>
        <v>0</v>
      </c>
      <c r="BS483" s="4056" t="s">
        <v>7448</v>
      </c>
      <c r="BT483" s="4057" t="s">
        <v>7471</v>
      </c>
    </row>
    <row r="484" s="3566" customFormat="1" ht="50" customHeight="1" spans="1:72">
      <c r="A484" s="3635">
        <v>45853</v>
      </c>
      <c r="B484" s="3617" t="s">
        <v>4674</v>
      </c>
      <c r="C484" s="3617" t="s">
        <v>1385</v>
      </c>
      <c r="D484" s="3618">
        <v>4500173241</v>
      </c>
      <c r="E484" s="959" t="s">
        <v>4675</v>
      </c>
      <c r="F484" s="959" t="s">
        <v>7472</v>
      </c>
      <c r="G484" s="959" t="s">
        <v>6124</v>
      </c>
      <c r="H484" s="3618" t="s">
        <v>6063</v>
      </c>
      <c r="I484" s="3618">
        <v>108</v>
      </c>
      <c r="J484" s="3618">
        <v>0</v>
      </c>
      <c r="K484" s="3618">
        <v>12</v>
      </c>
      <c r="L484" s="4052">
        <f t="shared" si="291"/>
        <v>9</v>
      </c>
      <c r="M484" s="3619">
        <v>45894</v>
      </c>
      <c r="N484" s="3619">
        <v>45890</v>
      </c>
      <c r="O484" s="959"/>
      <c r="P484" s="959" t="s">
        <v>82</v>
      </c>
      <c r="Q484" s="3638"/>
      <c r="R484" s="3638"/>
      <c r="S484" s="3638"/>
      <c r="T484" s="4101"/>
      <c r="U484" s="3620"/>
      <c r="V484" s="3649" t="s">
        <v>1936</v>
      </c>
      <c r="W484" s="3695"/>
      <c r="X484" s="3657" t="s">
        <v>4677</v>
      </c>
      <c r="Y484" s="4091"/>
      <c r="Z484" s="3661"/>
      <c r="AA484" s="3620" t="s">
        <v>2140</v>
      </c>
      <c r="AB484" s="3624" t="s">
        <v>1434</v>
      </c>
      <c r="AC484" s="4058">
        <v>2.259</v>
      </c>
      <c r="AD484" s="3618">
        <f t="shared" ref="AD484:AD497" si="294">AC484*I484</f>
        <v>243.972</v>
      </c>
      <c r="AE484" s="3633"/>
      <c r="AF484" s="959" t="s">
        <v>6124</v>
      </c>
      <c r="AG484" s="3620" t="s">
        <v>416</v>
      </c>
      <c r="AH484" s="3620"/>
      <c r="AI484" s="3620"/>
      <c r="AJ484" s="3620"/>
      <c r="AK484" s="959"/>
      <c r="AL484" s="959">
        <f>I484</f>
        <v>108</v>
      </c>
      <c r="AM484" s="959"/>
      <c r="AN484" s="959"/>
      <c r="AO484" s="959"/>
      <c r="AP484" s="3618"/>
      <c r="AQ484" s="3618">
        <f t="shared" si="292"/>
        <v>108</v>
      </c>
      <c r="AR484" s="3626"/>
      <c r="AS484" s="3626"/>
      <c r="AT484" s="3626">
        <f t="shared" si="293"/>
        <v>108</v>
      </c>
      <c r="AU484" s="3626"/>
      <c r="AV484" s="3626"/>
      <c r="AW484" s="3626"/>
      <c r="AX484" s="3626">
        <f>I484/6</f>
        <v>18</v>
      </c>
      <c r="AY484" s="3626"/>
      <c r="AZ484" s="3626"/>
      <c r="BA484" s="3626"/>
      <c r="BB484" s="3626"/>
      <c r="BC484" s="3626"/>
      <c r="BD484" s="3626"/>
      <c r="BE484" s="3626"/>
      <c r="BF484" s="3626"/>
      <c r="BG484" s="3626"/>
      <c r="BH484" s="3626"/>
      <c r="BI484" s="3626" t="s">
        <v>89</v>
      </c>
      <c r="BJ484" s="3626">
        <f t="shared" si="281"/>
        <v>3.6</v>
      </c>
      <c r="BK484" s="3626">
        <f t="shared" si="282"/>
        <v>18</v>
      </c>
      <c r="BL484" s="3626">
        <f t="shared" si="283"/>
        <v>18</v>
      </c>
      <c r="BM484" s="3626">
        <f t="shared" si="284"/>
        <v>14.4</v>
      </c>
      <c r="BN484" s="3626">
        <f t="shared" si="285"/>
        <v>18</v>
      </c>
      <c r="BO484" s="4055">
        <f t="shared" si="286"/>
        <v>18</v>
      </c>
      <c r="BP484" s="3627">
        <f t="shared" si="287"/>
        <v>18</v>
      </c>
      <c r="BQ484" s="3627">
        <f t="shared" si="268"/>
        <v>108</v>
      </c>
      <c r="BR484" s="3627">
        <f t="shared" si="269"/>
        <v>0</v>
      </c>
      <c r="BS484" s="4056"/>
      <c r="BT484" s="4057"/>
    </row>
    <row r="485" s="3566" customFormat="1" ht="50" customHeight="1" spans="1:72">
      <c r="A485" s="3635">
        <v>45863</v>
      </c>
      <c r="B485" s="3617" t="s">
        <v>371</v>
      </c>
      <c r="C485" s="3617" t="s">
        <v>341</v>
      </c>
      <c r="D485" s="3618">
        <v>4500175025</v>
      </c>
      <c r="E485" s="959" t="s">
        <v>7473</v>
      </c>
      <c r="F485" s="3618" t="s">
        <v>7474</v>
      </c>
      <c r="G485" s="959" t="s">
        <v>6223</v>
      </c>
      <c r="H485" s="959" t="s">
        <v>6272</v>
      </c>
      <c r="I485" s="3618">
        <v>480</v>
      </c>
      <c r="J485" s="3618">
        <v>0</v>
      </c>
      <c r="K485" s="3618">
        <v>32</v>
      </c>
      <c r="L485" s="4052">
        <f t="shared" si="291"/>
        <v>15</v>
      </c>
      <c r="M485" s="3619">
        <v>45901</v>
      </c>
      <c r="N485" s="3619">
        <f>M485-4</f>
        <v>45897</v>
      </c>
      <c r="O485" s="3664" t="s">
        <v>7475</v>
      </c>
      <c r="P485" s="959" t="s">
        <v>82</v>
      </c>
      <c r="Q485" s="3638"/>
      <c r="R485" s="3638"/>
      <c r="S485" s="4102"/>
      <c r="T485" s="4103"/>
      <c r="U485" s="3701" t="s">
        <v>1838</v>
      </c>
      <c r="V485" s="3649" t="s">
        <v>7476</v>
      </c>
      <c r="W485" s="3695"/>
      <c r="X485" s="3657" t="s">
        <v>7477</v>
      </c>
      <c r="Y485" s="3649" t="s">
        <v>1840</v>
      </c>
      <c r="Z485" s="3661"/>
      <c r="AA485" s="3620" t="s">
        <v>7478</v>
      </c>
      <c r="AB485" s="3624" t="s">
        <v>380</v>
      </c>
      <c r="AC485" s="4058">
        <v>2.3158</v>
      </c>
      <c r="AD485" s="3618">
        <f t="shared" si="294"/>
        <v>1111.584</v>
      </c>
      <c r="AE485" s="3633"/>
      <c r="AF485" s="959" t="s">
        <v>6276</v>
      </c>
      <c r="AG485" s="3620" t="s">
        <v>416</v>
      </c>
      <c r="AH485" s="3620"/>
      <c r="AI485" s="3620"/>
      <c r="AJ485" s="3620"/>
      <c r="AK485" s="959"/>
      <c r="AL485" s="959"/>
      <c r="AM485" s="959"/>
      <c r="AN485" s="959">
        <f>I485</f>
        <v>480</v>
      </c>
      <c r="AO485" s="959"/>
      <c r="AP485" s="3618"/>
      <c r="AQ485" s="3618">
        <f t="shared" si="292"/>
        <v>480</v>
      </c>
      <c r="AR485" s="3626"/>
      <c r="AS485" s="3626"/>
      <c r="AT485" s="3626">
        <f t="shared" si="293"/>
        <v>480</v>
      </c>
      <c r="AU485" s="3626"/>
      <c r="AV485" s="3626"/>
      <c r="AW485" s="3626"/>
      <c r="AX485" s="3626"/>
      <c r="AY485" s="3626"/>
      <c r="AZ485" s="3626"/>
      <c r="BA485" s="3626"/>
      <c r="BB485" s="3626"/>
      <c r="BC485" s="3626"/>
      <c r="BD485" s="3626"/>
      <c r="BE485" s="3626"/>
      <c r="BF485" s="3626"/>
      <c r="BG485" s="3626"/>
      <c r="BH485" s="3626"/>
      <c r="BI485" s="3626" t="s">
        <v>89</v>
      </c>
      <c r="BJ485" s="3626"/>
      <c r="BK485" s="3626"/>
      <c r="BL485" s="3626">
        <f>I485-BJ485</f>
        <v>480</v>
      </c>
      <c r="BM485" s="3626"/>
      <c r="BN485" s="3626"/>
      <c r="BO485" s="4055"/>
      <c r="BP485" s="3627"/>
      <c r="BQ485" s="3627">
        <f t="shared" si="268"/>
        <v>480</v>
      </c>
      <c r="BR485" s="3627">
        <f t="shared" si="269"/>
        <v>0</v>
      </c>
      <c r="BS485" s="4056"/>
      <c r="BT485" s="4057"/>
    </row>
    <row r="486" s="3566" customFormat="1" ht="50" customHeight="1" spans="1:72">
      <c r="A486" s="3635">
        <v>45863</v>
      </c>
      <c r="B486" s="3617" t="s">
        <v>371</v>
      </c>
      <c r="C486" s="3617" t="s">
        <v>341</v>
      </c>
      <c r="D486" s="3618">
        <v>4500175025</v>
      </c>
      <c r="E486" s="959" t="s">
        <v>1844</v>
      </c>
      <c r="F486" s="3618" t="s">
        <v>7479</v>
      </c>
      <c r="G486" s="959" t="s">
        <v>6281</v>
      </c>
      <c r="H486" s="959" t="s">
        <v>6292</v>
      </c>
      <c r="I486" s="3618">
        <v>1280</v>
      </c>
      <c r="J486" s="3618">
        <v>0</v>
      </c>
      <c r="K486" s="3618">
        <v>32</v>
      </c>
      <c r="L486" s="4052">
        <f t="shared" si="291"/>
        <v>40</v>
      </c>
      <c r="M486" s="3619">
        <v>45901</v>
      </c>
      <c r="N486" s="3619">
        <f>M486-4</f>
        <v>45897</v>
      </c>
      <c r="O486" s="3664" t="s">
        <v>7475</v>
      </c>
      <c r="P486" s="959" t="s">
        <v>82</v>
      </c>
      <c r="Q486" s="3638"/>
      <c r="R486" s="3638"/>
      <c r="S486" s="3638"/>
      <c r="T486" s="4101"/>
      <c r="U486" s="3645" t="s">
        <v>1792</v>
      </c>
      <c r="V486" s="3649" t="s">
        <v>7476</v>
      </c>
      <c r="W486" s="3695"/>
      <c r="X486" s="3657" t="s">
        <v>7480</v>
      </c>
      <c r="Y486" s="3649" t="s">
        <v>1840</v>
      </c>
      <c r="Z486" s="3661"/>
      <c r="AA486" s="3620" t="s">
        <v>7478</v>
      </c>
      <c r="AB486" s="3624" t="s">
        <v>380</v>
      </c>
      <c r="AC486" s="4058">
        <v>2.3115</v>
      </c>
      <c r="AD486" s="3618">
        <f t="shared" si="294"/>
        <v>2958.72</v>
      </c>
      <c r="AE486" s="3633"/>
      <c r="AF486" s="959" t="s">
        <v>6106</v>
      </c>
      <c r="AG486" s="3620" t="s">
        <v>416</v>
      </c>
      <c r="AH486" s="3620"/>
      <c r="AI486" s="3620"/>
      <c r="AJ486" s="3620"/>
      <c r="AK486" s="959"/>
      <c r="AL486" s="959"/>
      <c r="AM486" s="959"/>
      <c r="AN486" s="959">
        <f>I486</f>
        <v>1280</v>
      </c>
      <c r="AO486" s="959"/>
      <c r="AP486" s="3618"/>
      <c r="AQ486" s="3618">
        <f t="shared" si="292"/>
        <v>1280</v>
      </c>
      <c r="AR486" s="3626"/>
      <c r="AS486" s="3626"/>
      <c r="AT486" s="3626">
        <f t="shared" si="293"/>
        <v>1280</v>
      </c>
      <c r="AU486" s="3626"/>
      <c r="AV486" s="3626"/>
      <c r="AW486" s="3626"/>
      <c r="AX486" s="3626"/>
      <c r="AY486" s="3626"/>
      <c r="AZ486" s="3626"/>
      <c r="BA486" s="3626"/>
      <c r="BB486" s="3626"/>
      <c r="BC486" s="3626"/>
      <c r="BD486" s="3626"/>
      <c r="BE486" s="3626"/>
      <c r="BF486" s="3626"/>
      <c r="BG486" s="3626"/>
      <c r="BH486" s="3626"/>
      <c r="BI486" s="3626" t="s">
        <v>89</v>
      </c>
      <c r="BJ486" s="3626"/>
      <c r="BK486" s="3626">
        <f>I486</f>
        <v>1280</v>
      </c>
      <c r="BL486" s="3626"/>
      <c r="BM486" s="3626"/>
      <c r="BN486" s="3626"/>
      <c r="BO486" s="4055"/>
      <c r="BP486" s="3627"/>
      <c r="BQ486" s="3627">
        <f t="shared" si="268"/>
        <v>1280</v>
      </c>
      <c r="BR486" s="3627">
        <f t="shared" si="269"/>
        <v>0</v>
      </c>
      <c r="BS486" s="4056"/>
      <c r="BT486" s="4057"/>
    </row>
    <row r="487" s="3566" customFormat="1" ht="50" customHeight="1" spans="1:72">
      <c r="A487" s="3635">
        <v>45863</v>
      </c>
      <c r="B487" s="3617" t="s">
        <v>371</v>
      </c>
      <c r="C487" s="3617" t="s">
        <v>341</v>
      </c>
      <c r="D487" s="3618">
        <v>4500175025</v>
      </c>
      <c r="E487" s="959" t="s">
        <v>1851</v>
      </c>
      <c r="F487" s="3618" t="s">
        <v>7481</v>
      </c>
      <c r="G487" s="959" t="s">
        <v>6281</v>
      </c>
      <c r="H487" s="959" t="s">
        <v>6292</v>
      </c>
      <c r="I487" s="3618">
        <v>544</v>
      </c>
      <c r="J487" s="3618">
        <v>0</v>
      </c>
      <c r="K487" s="3618">
        <v>32</v>
      </c>
      <c r="L487" s="4052">
        <f t="shared" si="291"/>
        <v>17</v>
      </c>
      <c r="M487" s="3619">
        <v>45901</v>
      </c>
      <c r="N487" s="3619">
        <f>M487-4</f>
        <v>45897</v>
      </c>
      <c r="O487" s="3664" t="s">
        <v>7475</v>
      </c>
      <c r="P487" s="959" t="s">
        <v>82</v>
      </c>
      <c r="Q487" s="3638"/>
      <c r="R487" s="3638"/>
      <c r="S487" s="3638"/>
      <c r="T487" s="4101"/>
      <c r="U487" s="3620" t="s">
        <v>1853</v>
      </c>
      <c r="V487" s="3649" t="s">
        <v>7476</v>
      </c>
      <c r="W487" s="3695"/>
      <c r="X487" s="3657" t="s">
        <v>7480</v>
      </c>
      <c r="Y487" s="3649" t="s">
        <v>1840</v>
      </c>
      <c r="Z487" s="3661"/>
      <c r="AA487" s="3620" t="s">
        <v>7478</v>
      </c>
      <c r="AB487" s="3624" t="s">
        <v>380</v>
      </c>
      <c r="AC487" s="4058">
        <v>2.3158</v>
      </c>
      <c r="AD487" s="3618">
        <f t="shared" si="294"/>
        <v>1259.7952</v>
      </c>
      <c r="AE487" s="3633"/>
      <c r="AF487" s="959" t="s">
        <v>6106</v>
      </c>
      <c r="AG487" s="3620" t="s">
        <v>416</v>
      </c>
      <c r="AH487" s="3620"/>
      <c r="AI487" s="3620"/>
      <c r="AJ487" s="3620"/>
      <c r="AK487" s="959"/>
      <c r="AL487" s="959"/>
      <c r="AM487" s="959"/>
      <c r="AN487" s="959">
        <f>I487</f>
        <v>544</v>
      </c>
      <c r="AO487" s="959"/>
      <c r="AP487" s="3618"/>
      <c r="AQ487" s="3618">
        <f t="shared" si="292"/>
        <v>544</v>
      </c>
      <c r="AR487" s="3626"/>
      <c r="AS487" s="3626"/>
      <c r="AT487" s="3626">
        <f t="shared" si="293"/>
        <v>544</v>
      </c>
      <c r="AU487" s="3626"/>
      <c r="AV487" s="3626"/>
      <c r="AW487" s="3626"/>
      <c r="AX487" s="3626"/>
      <c r="AY487" s="3626"/>
      <c r="AZ487" s="3626"/>
      <c r="BA487" s="3626"/>
      <c r="BB487" s="3626"/>
      <c r="BC487" s="3626"/>
      <c r="BD487" s="3626"/>
      <c r="BE487" s="3626"/>
      <c r="BF487" s="3626"/>
      <c r="BG487" s="3626"/>
      <c r="BH487" s="3626"/>
      <c r="BI487" s="3626" t="s">
        <v>89</v>
      </c>
      <c r="BJ487" s="3626"/>
      <c r="BK487" s="3626">
        <f>I487</f>
        <v>544</v>
      </c>
      <c r="BL487" s="3626"/>
      <c r="BM487" s="3626"/>
      <c r="BN487" s="3626"/>
      <c r="BO487" s="4055"/>
      <c r="BP487" s="3627"/>
      <c r="BQ487" s="3627">
        <f t="shared" si="268"/>
        <v>544</v>
      </c>
      <c r="BR487" s="3627">
        <f t="shared" si="269"/>
        <v>0</v>
      </c>
      <c r="BS487" s="4056"/>
      <c r="BT487" s="4057"/>
    </row>
    <row r="488" s="3566" customFormat="1" ht="50" customHeight="1" spans="1:72">
      <c r="A488" s="3635">
        <v>45860</v>
      </c>
      <c r="B488" s="3617" t="s">
        <v>7482</v>
      </c>
      <c r="C488" s="3617"/>
      <c r="D488" s="3618" t="s">
        <v>7483</v>
      </c>
      <c r="E488" s="959" t="s">
        <v>7484</v>
      </c>
      <c r="F488" s="959"/>
      <c r="G488" s="959" t="s">
        <v>3520</v>
      </c>
      <c r="H488" s="3618" t="s">
        <v>6063</v>
      </c>
      <c r="I488" s="3618">
        <v>7524</v>
      </c>
      <c r="J488" s="3618">
        <v>0</v>
      </c>
      <c r="K488" s="3618">
        <v>24</v>
      </c>
      <c r="L488" s="4052">
        <f t="shared" si="291"/>
        <v>313.5</v>
      </c>
      <c r="M488" s="3619">
        <v>45902</v>
      </c>
      <c r="N488" s="3619">
        <f>M488-4</f>
        <v>45898</v>
      </c>
      <c r="O488" s="3664"/>
      <c r="P488" s="959" t="s">
        <v>82</v>
      </c>
      <c r="Q488" s="3638"/>
      <c r="R488" s="3638"/>
      <c r="S488" s="3638"/>
      <c r="T488" s="4101"/>
      <c r="U488" s="3620"/>
      <c r="V488" s="3649" t="s">
        <v>335</v>
      </c>
      <c r="W488" s="3695"/>
      <c r="X488" s="3657" t="s">
        <v>7485</v>
      </c>
      <c r="Y488" s="3649"/>
      <c r="Z488" s="3661"/>
      <c r="AA488" s="3620" t="s">
        <v>7486</v>
      </c>
      <c r="AB488" s="3624" t="s">
        <v>7487</v>
      </c>
      <c r="AC488" s="4058">
        <v>1.81286</v>
      </c>
      <c r="AD488" s="3618">
        <f t="shared" si="294"/>
        <v>13639.95864</v>
      </c>
      <c r="AE488" s="3633" t="s">
        <v>7488</v>
      </c>
      <c r="AF488" s="959" t="s">
        <v>3520</v>
      </c>
      <c r="AG488" s="3620" t="s">
        <v>416</v>
      </c>
      <c r="AH488" s="3620"/>
      <c r="AI488" s="3620"/>
      <c r="AJ488" s="3620"/>
      <c r="AK488" s="959"/>
      <c r="AL488" s="959">
        <f>I488</f>
        <v>7524</v>
      </c>
      <c r="AM488" s="959"/>
      <c r="AN488" s="959"/>
      <c r="AO488" s="959"/>
      <c r="AP488" s="3618"/>
      <c r="AQ488" s="3618">
        <f t="shared" si="292"/>
        <v>7524</v>
      </c>
      <c r="AR488" s="3626"/>
      <c r="AS488" s="3626"/>
      <c r="AT488" s="3626">
        <f t="shared" si="293"/>
        <v>7524</v>
      </c>
      <c r="AU488" s="3626"/>
      <c r="AV488" s="3626"/>
      <c r="AW488" s="3626"/>
      <c r="AX488" s="3626"/>
      <c r="AY488" s="3626"/>
      <c r="AZ488" s="3626"/>
      <c r="BA488" s="3626"/>
      <c r="BB488" s="3626"/>
      <c r="BC488" s="3626"/>
      <c r="BD488" s="3626"/>
      <c r="BE488" s="3626"/>
      <c r="BF488" s="3626"/>
      <c r="BG488" s="3626"/>
      <c r="BH488" s="3626"/>
      <c r="BI488" s="3626" t="s">
        <v>89</v>
      </c>
      <c r="BJ488" s="3626">
        <f t="shared" ref="BJ488:BJ497" si="295">I488/60*2</f>
        <v>250.8</v>
      </c>
      <c r="BK488" s="3626">
        <f>I488/60*10</f>
        <v>1254</v>
      </c>
      <c r="BL488" s="3626">
        <f>I488/60*10</f>
        <v>1254</v>
      </c>
      <c r="BM488" s="3626">
        <f>I488/60*8</f>
        <v>1003.2</v>
      </c>
      <c r="BN488" s="3626">
        <f>I488/60*10</f>
        <v>1254</v>
      </c>
      <c r="BO488" s="4055">
        <f>I488/60*10</f>
        <v>1254</v>
      </c>
      <c r="BP488" s="3627">
        <f>I488/60*10</f>
        <v>1254</v>
      </c>
      <c r="BQ488" s="3627">
        <f t="shared" si="268"/>
        <v>7524</v>
      </c>
      <c r="BR488" s="3627">
        <f t="shared" si="269"/>
        <v>0</v>
      </c>
      <c r="BS488" s="4056"/>
      <c r="BT488" s="4057"/>
    </row>
    <row r="489" s="3566" customFormat="1" ht="50" customHeight="1" spans="1:72">
      <c r="A489" s="3635">
        <v>45863</v>
      </c>
      <c r="B489" s="3617" t="s">
        <v>1641</v>
      </c>
      <c r="C489" s="3617" t="s">
        <v>396</v>
      </c>
      <c r="D489" s="3618">
        <v>4500175043</v>
      </c>
      <c r="E489" s="3618" t="s">
        <v>7489</v>
      </c>
      <c r="F489" s="3618" t="s">
        <v>7490</v>
      </c>
      <c r="G489" s="959" t="s">
        <v>6099</v>
      </c>
      <c r="H489" s="3618" t="s">
        <v>6272</v>
      </c>
      <c r="I489" s="3618">
        <v>96</v>
      </c>
      <c r="J489" s="3618">
        <v>0</v>
      </c>
      <c r="K489" s="3618">
        <v>32</v>
      </c>
      <c r="L489" s="4052">
        <f t="shared" si="291"/>
        <v>3</v>
      </c>
      <c r="M489" s="3619">
        <v>45905</v>
      </c>
      <c r="N489" s="3619">
        <v>45901</v>
      </c>
      <c r="O489" s="959"/>
      <c r="P489" s="959" t="s">
        <v>82</v>
      </c>
      <c r="Q489" s="3638"/>
      <c r="R489" s="3638"/>
      <c r="S489" s="3638"/>
      <c r="T489" s="4101"/>
      <c r="U489" s="3620" t="s">
        <v>1858</v>
      </c>
      <c r="V489" s="3649" t="s">
        <v>1859</v>
      </c>
      <c r="W489" s="3695"/>
      <c r="X489" s="3657" t="s">
        <v>98</v>
      </c>
      <c r="Y489" s="3636" t="s">
        <v>4727</v>
      </c>
      <c r="Z489" s="3661"/>
      <c r="AA489" s="3620" t="s">
        <v>7491</v>
      </c>
      <c r="AB489" s="3624" t="s">
        <v>369</v>
      </c>
      <c r="AC489" s="3618">
        <v>2.3617</v>
      </c>
      <c r="AD489" s="3618">
        <f t="shared" si="294"/>
        <v>226.7232</v>
      </c>
      <c r="AE489" s="3633"/>
      <c r="AF489" s="959" t="s">
        <v>6101</v>
      </c>
      <c r="AG489" s="3620" t="s">
        <v>416</v>
      </c>
      <c r="AH489" s="3620"/>
      <c r="AI489" s="3620"/>
      <c r="AJ489" s="3620"/>
      <c r="AK489" s="959"/>
      <c r="AL489" s="959"/>
      <c r="AM489" s="959"/>
      <c r="AN489" s="959">
        <f t="shared" ref="AN489:AN496" si="296">I489</f>
        <v>96</v>
      </c>
      <c r="AO489" s="959"/>
      <c r="AP489" s="3618"/>
      <c r="AQ489" s="3618">
        <f t="shared" si="292"/>
        <v>96</v>
      </c>
      <c r="AR489" s="3626"/>
      <c r="AS489" s="3626"/>
      <c r="AT489" s="3626"/>
      <c r="AU489" s="3626"/>
      <c r="AV489" s="3626">
        <f t="shared" ref="AV489:AV496" si="297">I489</f>
        <v>96</v>
      </c>
      <c r="AW489" s="3626"/>
      <c r="AX489" s="3626"/>
      <c r="AY489" s="3626"/>
      <c r="AZ489" s="3626"/>
      <c r="BA489" s="3626"/>
      <c r="BB489" s="3626"/>
      <c r="BC489" s="3626"/>
      <c r="BD489" s="3626"/>
      <c r="BE489" s="3626"/>
      <c r="BF489" s="3626"/>
      <c r="BG489" s="3626"/>
      <c r="BH489" s="3626"/>
      <c r="BI489" s="3626" t="s">
        <v>89</v>
      </c>
      <c r="BJ489" s="3626">
        <f t="shared" si="295"/>
        <v>3.2</v>
      </c>
      <c r="BK489" s="3626"/>
      <c r="BL489" s="3626">
        <f>I489-BJ489</f>
        <v>92.8</v>
      </c>
      <c r="BM489" s="3626"/>
      <c r="BN489" s="3626"/>
      <c r="BO489" s="4055"/>
      <c r="BP489" s="3627"/>
      <c r="BQ489" s="3627">
        <f t="shared" si="268"/>
        <v>96</v>
      </c>
      <c r="BR489" s="3627">
        <f t="shared" si="269"/>
        <v>0</v>
      </c>
      <c r="BS489" s="4056"/>
      <c r="BT489" s="4057"/>
    </row>
    <row r="490" s="3566" customFormat="1" ht="50" customHeight="1" spans="1:72">
      <c r="A490" s="3635">
        <v>45863</v>
      </c>
      <c r="B490" s="3617" t="s">
        <v>1641</v>
      </c>
      <c r="C490" s="3617" t="s">
        <v>396</v>
      </c>
      <c r="D490" s="3618">
        <v>4500175043</v>
      </c>
      <c r="E490" s="3618" t="s">
        <v>7492</v>
      </c>
      <c r="F490" s="3618" t="s">
        <v>7493</v>
      </c>
      <c r="G490" s="959" t="s">
        <v>6099</v>
      </c>
      <c r="H490" s="3618" t="s">
        <v>6272</v>
      </c>
      <c r="I490" s="3618">
        <v>64</v>
      </c>
      <c r="J490" s="3618">
        <v>0</v>
      </c>
      <c r="K490" s="3618">
        <v>32</v>
      </c>
      <c r="L490" s="4052">
        <f t="shared" si="291"/>
        <v>2</v>
      </c>
      <c r="M490" s="3619">
        <v>45905</v>
      </c>
      <c r="N490" s="3619">
        <v>45901</v>
      </c>
      <c r="O490" s="959"/>
      <c r="P490" s="959" t="s">
        <v>82</v>
      </c>
      <c r="Q490" s="3638"/>
      <c r="R490" s="3638"/>
      <c r="S490" s="3638"/>
      <c r="T490" s="4101"/>
      <c r="U490" s="3620" t="s">
        <v>1858</v>
      </c>
      <c r="V490" s="3649" t="s">
        <v>1859</v>
      </c>
      <c r="W490" s="3695"/>
      <c r="X490" s="3657" t="s">
        <v>98</v>
      </c>
      <c r="Y490" s="3636" t="s">
        <v>4727</v>
      </c>
      <c r="Z490" s="3661"/>
      <c r="AA490" s="3620" t="s">
        <v>7491</v>
      </c>
      <c r="AB490" s="3624" t="s">
        <v>369</v>
      </c>
      <c r="AC490" s="3618">
        <v>2.3617</v>
      </c>
      <c r="AD490" s="3618">
        <f t="shared" si="294"/>
        <v>151.1488</v>
      </c>
      <c r="AE490" s="3633"/>
      <c r="AF490" s="959" t="s">
        <v>6101</v>
      </c>
      <c r="AG490" s="3620" t="s">
        <v>416</v>
      </c>
      <c r="AH490" s="3620"/>
      <c r="AI490" s="3620"/>
      <c r="AJ490" s="3620"/>
      <c r="AK490" s="959"/>
      <c r="AL490" s="959"/>
      <c r="AM490" s="959"/>
      <c r="AN490" s="959">
        <f t="shared" si="296"/>
        <v>64</v>
      </c>
      <c r="AO490" s="959"/>
      <c r="AP490" s="3618"/>
      <c r="AQ490" s="3618">
        <f t="shared" si="292"/>
        <v>64</v>
      </c>
      <c r="AR490" s="3626"/>
      <c r="AS490" s="3626"/>
      <c r="AT490" s="3626"/>
      <c r="AU490" s="3626"/>
      <c r="AV490" s="3626">
        <f t="shared" si="297"/>
        <v>64</v>
      </c>
      <c r="AW490" s="3626"/>
      <c r="AX490" s="3626"/>
      <c r="AY490" s="3626"/>
      <c r="AZ490" s="3626"/>
      <c r="BA490" s="3626"/>
      <c r="BB490" s="3626"/>
      <c r="BC490" s="3626"/>
      <c r="BD490" s="3626"/>
      <c r="BE490" s="3626"/>
      <c r="BF490" s="3626"/>
      <c r="BG490" s="3626"/>
      <c r="BH490" s="3626"/>
      <c r="BI490" s="3626" t="s">
        <v>89</v>
      </c>
      <c r="BJ490" s="3626">
        <f t="shared" si="295"/>
        <v>2.13333333333333</v>
      </c>
      <c r="BK490" s="3626"/>
      <c r="BL490" s="3626">
        <f t="shared" ref="BL490:BL495" si="298">I490-BJ490</f>
        <v>61.8666666666667</v>
      </c>
      <c r="BM490" s="3626"/>
      <c r="BN490" s="3626"/>
      <c r="BO490" s="4055"/>
      <c r="BP490" s="3627"/>
      <c r="BQ490" s="3627">
        <f t="shared" si="268"/>
        <v>64</v>
      </c>
      <c r="BR490" s="3627">
        <f t="shared" si="269"/>
        <v>0</v>
      </c>
      <c r="BS490" s="4056"/>
      <c r="BT490" s="4057"/>
    </row>
    <row r="491" s="3566" customFormat="1" ht="50" customHeight="1" spans="1:72">
      <c r="A491" s="3635">
        <v>45863</v>
      </c>
      <c r="B491" s="3617" t="s">
        <v>1641</v>
      </c>
      <c r="C491" s="3617" t="s">
        <v>396</v>
      </c>
      <c r="D491" s="3618">
        <v>4500175043</v>
      </c>
      <c r="E491" s="3618" t="s">
        <v>7494</v>
      </c>
      <c r="F491" s="3618" t="s">
        <v>7495</v>
      </c>
      <c r="G491" s="959" t="s">
        <v>6099</v>
      </c>
      <c r="H491" s="3618" t="s">
        <v>6272</v>
      </c>
      <c r="I491" s="3618">
        <v>32</v>
      </c>
      <c r="J491" s="3618">
        <v>0</v>
      </c>
      <c r="K491" s="3618">
        <v>32</v>
      </c>
      <c r="L491" s="4052">
        <f t="shared" si="291"/>
        <v>1</v>
      </c>
      <c r="M491" s="3619">
        <v>45905</v>
      </c>
      <c r="N491" s="3619">
        <v>45901</v>
      </c>
      <c r="O491" s="959"/>
      <c r="P491" s="959" t="s">
        <v>82</v>
      </c>
      <c r="Q491" s="3638"/>
      <c r="R491" s="3638"/>
      <c r="S491" s="3638"/>
      <c r="T491" s="4101"/>
      <c r="U491" s="3620" t="s">
        <v>1858</v>
      </c>
      <c r="V491" s="3649" t="s">
        <v>1859</v>
      </c>
      <c r="W491" s="3695"/>
      <c r="X491" s="3657" t="s">
        <v>98</v>
      </c>
      <c r="Y491" s="3636" t="s">
        <v>4727</v>
      </c>
      <c r="Z491" s="3661"/>
      <c r="AA491" s="3620" t="s">
        <v>7491</v>
      </c>
      <c r="AB491" s="3624" t="s">
        <v>369</v>
      </c>
      <c r="AC491" s="3618">
        <v>2.3617</v>
      </c>
      <c r="AD491" s="3618">
        <f t="shared" si="294"/>
        <v>75.5744</v>
      </c>
      <c r="AE491" s="3633"/>
      <c r="AF491" s="959" t="s">
        <v>6101</v>
      </c>
      <c r="AG491" s="3620" t="s">
        <v>416</v>
      </c>
      <c r="AH491" s="3620"/>
      <c r="AI491" s="3620"/>
      <c r="AJ491" s="3620"/>
      <c r="AK491" s="959"/>
      <c r="AL491" s="959"/>
      <c r="AM491" s="959"/>
      <c r="AN491" s="959">
        <f t="shared" si="296"/>
        <v>32</v>
      </c>
      <c r="AO491" s="959"/>
      <c r="AP491" s="3618"/>
      <c r="AQ491" s="3618">
        <f t="shared" si="292"/>
        <v>32</v>
      </c>
      <c r="AR491" s="3626"/>
      <c r="AS491" s="3626"/>
      <c r="AT491" s="3626"/>
      <c r="AU491" s="3626"/>
      <c r="AV491" s="3626">
        <f t="shared" si="297"/>
        <v>32</v>
      </c>
      <c r="AW491" s="3626"/>
      <c r="AX491" s="3626"/>
      <c r="AY491" s="3626"/>
      <c r="AZ491" s="3626"/>
      <c r="BA491" s="3626"/>
      <c r="BB491" s="3626"/>
      <c r="BC491" s="3626"/>
      <c r="BD491" s="3626"/>
      <c r="BE491" s="3626"/>
      <c r="BF491" s="3626"/>
      <c r="BG491" s="3626"/>
      <c r="BH491" s="3626"/>
      <c r="BI491" s="3626" t="s">
        <v>89</v>
      </c>
      <c r="BJ491" s="3626">
        <f t="shared" si="295"/>
        <v>1.06666666666667</v>
      </c>
      <c r="BK491" s="3626"/>
      <c r="BL491" s="3626">
        <f t="shared" si="298"/>
        <v>30.9333333333333</v>
      </c>
      <c r="BM491" s="3626"/>
      <c r="BN491" s="3626"/>
      <c r="BO491" s="4055"/>
      <c r="BP491" s="3627"/>
      <c r="BQ491" s="3627">
        <f t="shared" si="268"/>
        <v>32</v>
      </c>
      <c r="BR491" s="3627">
        <f t="shared" si="269"/>
        <v>0</v>
      </c>
      <c r="BS491" s="4056"/>
      <c r="BT491" s="4057"/>
    </row>
    <row r="492" s="3566" customFormat="1" ht="50" customHeight="1" spans="1:72">
      <c r="A492" s="3635">
        <v>45863</v>
      </c>
      <c r="B492" s="3617" t="s">
        <v>1641</v>
      </c>
      <c r="C492" s="3617" t="s">
        <v>396</v>
      </c>
      <c r="D492" s="3618">
        <v>4500175043</v>
      </c>
      <c r="E492" s="3618" t="s">
        <v>7496</v>
      </c>
      <c r="F492" s="3618" t="s">
        <v>7497</v>
      </c>
      <c r="G492" s="959" t="s">
        <v>6099</v>
      </c>
      <c r="H492" s="3618" t="s">
        <v>6272</v>
      </c>
      <c r="I492" s="3618">
        <v>128</v>
      </c>
      <c r="J492" s="3618">
        <v>0</v>
      </c>
      <c r="K492" s="3618">
        <v>32</v>
      </c>
      <c r="L492" s="4052">
        <f t="shared" si="291"/>
        <v>4</v>
      </c>
      <c r="M492" s="3619">
        <v>45905</v>
      </c>
      <c r="N492" s="3619">
        <v>45901</v>
      </c>
      <c r="O492" s="959"/>
      <c r="P492" s="959" t="s">
        <v>82</v>
      </c>
      <c r="Q492" s="3638"/>
      <c r="R492" s="3638"/>
      <c r="S492" s="3638"/>
      <c r="T492" s="4101"/>
      <c r="U492" s="3620" t="s">
        <v>1858</v>
      </c>
      <c r="V492" s="3649" t="s">
        <v>1859</v>
      </c>
      <c r="W492" s="3695"/>
      <c r="X492" s="3657" t="s">
        <v>98</v>
      </c>
      <c r="Y492" s="3636" t="s">
        <v>4727</v>
      </c>
      <c r="Z492" s="3661"/>
      <c r="AA492" s="3620" t="s">
        <v>7491</v>
      </c>
      <c r="AB492" s="3624" t="s">
        <v>369</v>
      </c>
      <c r="AC492" s="3618">
        <v>2.3617</v>
      </c>
      <c r="AD492" s="3618">
        <f t="shared" si="294"/>
        <v>302.2976</v>
      </c>
      <c r="AE492" s="3633"/>
      <c r="AF492" s="959" t="s">
        <v>6101</v>
      </c>
      <c r="AG492" s="3620" t="s">
        <v>416</v>
      </c>
      <c r="AH492" s="3620"/>
      <c r="AI492" s="3620"/>
      <c r="AJ492" s="3620"/>
      <c r="AK492" s="959"/>
      <c r="AL492" s="959"/>
      <c r="AM492" s="959"/>
      <c r="AN492" s="959">
        <f t="shared" si="296"/>
        <v>128</v>
      </c>
      <c r="AO492" s="959"/>
      <c r="AP492" s="3618"/>
      <c r="AQ492" s="3618">
        <f t="shared" si="292"/>
        <v>128</v>
      </c>
      <c r="AR492" s="3626"/>
      <c r="AS492" s="3626"/>
      <c r="AT492" s="3626"/>
      <c r="AU492" s="3626"/>
      <c r="AV492" s="3626">
        <f t="shared" si="297"/>
        <v>128</v>
      </c>
      <c r="AW492" s="3626"/>
      <c r="AX492" s="3626"/>
      <c r="AY492" s="3626"/>
      <c r="AZ492" s="3626"/>
      <c r="BA492" s="3626"/>
      <c r="BB492" s="3626"/>
      <c r="BC492" s="3626"/>
      <c r="BD492" s="3626"/>
      <c r="BE492" s="3626"/>
      <c r="BF492" s="3626"/>
      <c r="BG492" s="3626"/>
      <c r="BH492" s="3626"/>
      <c r="BI492" s="3626" t="s">
        <v>89</v>
      </c>
      <c r="BJ492" s="3626">
        <f t="shared" si="295"/>
        <v>4.26666666666667</v>
      </c>
      <c r="BK492" s="3626"/>
      <c r="BL492" s="3626">
        <f t="shared" si="298"/>
        <v>123.733333333333</v>
      </c>
      <c r="BM492" s="3626"/>
      <c r="BN492" s="3626"/>
      <c r="BO492" s="4055"/>
      <c r="BP492" s="3627"/>
      <c r="BQ492" s="3627">
        <f t="shared" si="268"/>
        <v>128</v>
      </c>
      <c r="BR492" s="3627">
        <f t="shared" si="269"/>
        <v>0</v>
      </c>
      <c r="BS492" s="4056"/>
      <c r="BT492" s="4057"/>
    </row>
    <row r="493" s="3566" customFormat="1" ht="50" customHeight="1" spans="1:72">
      <c r="A493" s="3635">
        <v>45863</v>
      </c>
      <c r="B493" s="3617" t="s">
        <v>1641</v>
      </c>
      <c r="C493" s="3617" t="s">
        <v>396</v>
      </c>
      <c r="D493" s="3618">
        <v>4500175043</v>
      </c>
      <c r="E493" s="3618" t="s">
        <v>7498</v>
      </c>
      <c r="F493" s="3618" t="s">
        <v>7499</v>
      </c>
      <c r="G493" s="959" t="s">
        <v>6099</v>
      </c>
      <c r="H493" s="3618" t="s">
        <v>6272</v>
      </c>
      <c r="I493" s="3618">
        <v>64</v>
      </c>
      <c r="J493" s="3618">
        <v>0</v>
      </c>
      <c r="K493" s="3618">
        <v>32</v>
      </c>
      <c r="L493" s="4052">
        <f t="shared" si="291"/>
        <v>2</v>
      </c>
      <c r="M493" s="3619">
        <v>45905</v>
      </c>
      <c r="N493" s="3619">
        <v>45901</v>
      </c>
      <c r="O493" s="959"/>
      <c r="P493" s="959" t="s">
        <v>82</v>
      </c>
      <c r="Q493" s="3638"/>
      <c r="R493" s="3638"/>
      <c r="S493" s="3638"/>
      <c r="T493" s="4101"/>
      <c r="U493" s="3620" t="s">
        <v>1858</v>
      </c>
      <c r="V493" s="3649" t="s">
        <v>1859</v>
      </c>
      <c r="W493" s="3695"/>
      <c r="X493" s="3657" t="s">
        <v>98</v>
      </c>
      <c r="Y493" s="3636" t="s">
        <v>4727</v>
      </c>
      <c r="Z493" s="3661"/>
      <c r="AA493" s="3620" t="s">
        <v>7491</v>
      </c>
      <c r="AB493" s="3624" t="s">
        <v>369</v>
      </c>
      <c r="AC493" s="3618">
        <v>2.3617</v>
      </c>
      <c r="AD493" s="3618">
        <f t="shared" si="294"/>
        <v>151.1488</v>
      </c>
      <c r="AE493" s="3633"/>
      <c r="AF493" s="959" t="s">
        <v>6101</v>
      </c>
      <c r="AG493" s="3620" t="s">
        <v>416</v>
      </c>
      <c r="AH493" s="3620"/>
      <c r="AI493" s="3620"/>
      <c r="AJ493" s="3620"/>
      <c r="AK493" s="959"/>
      <c r="AL493" s="959"/>
      <c r="AM493" s="959"/>
      <c r="AN493" s="959">
        <f t="shared" si="296"/>
        <v>64</v>
      </c>
      <c r="AO493" s="959"/>
      <c r="AP493" s="3618"/>
      <c r="AQ493" s="3618">
        <f t="shared" si="292"/>
        <v>64</v>
      </c>
      <c r="AR493" s="3626"/>
      <c r="AS493" s="3626"/>
      <c r="AT493" s="3626"/>
      <c r="AU493" s="3626"/>
      <c r="AV493" s="3626">
        <f t="shared" si="297"/>
        <v>64</v>
      </c>
      <c r="AW493" s="3626"/>
      <c r="AX493" s="3626"/>
      <c r="AY493" s="3626"/>
      <c r="AZ493" s="3626"/>
      <c r="BA493" s="3626"/>
      <c r="BB493" s="3626"/>
      <c r="BC493" s="3626"/>
      <c r="BD493" s="3626"/>
      <c r="BE493" s="3626"/>
      <c r="BF493" s="3626"/>
      <c r="BG493" s="3626"/>
      <c r="BH493" s="3626"/>
      <c r="BI493" s="3626" t="s">
        <v>89</v>
      </c>
      <c r="BJ493" s="3626">
        <f t="shared" si="295"/>
        <v>2.13333333333333</v>
      </c>
      <c r="BK493" s="3626"/>
      <c r="BL493" s="3626">
        <f t="shared" si="298"/>
        <v>61.8666666666667</v>
      </c>
      <c r="BM493" s="3626"/>
      <c r="BN493" s="3626"/>
      <c r="BO493" s="4055"/>
      <c r="BP493" s="3627"/>
      <c r="BQ493" s="3627">
        <f t="shared" si="268"/>
        <v>64</v>
      </c>
      <c r="BR493" s="3627">
        <f t="shared" si="269"/>
        <v>0</v>
      </c>
      <c r="BS493" s="4056"/>
      <c r="BT493" s="4057"/>
    </row>
    <row r="494" s="3566" customFormat="1" ht="50" customHeight="1" spans="1:72">
      <c r="A494" s="3635">
        <v>45863</v>
      </c>
      <c r="B494" s="3617" t="s">
        <v>1641</v>
      </c>
      <c r="C494" s="3617" t="s">
        <v>396</v>
      </c>
      <c r="D494" s="3618">
        <v>4500175043</v>
      </c>
      <c r="E494" s="3618" t="s">
        <v>7500</v>
      </c>
      <c r="F494" s="3618" t="s">
        <v>7501</v>
      </c>
      <c r="G494" s="959" t="s">
        <v>6099</v>
      </c>
      <c r="H494" s="3618" t="s">
        <v>6272</v>
      </c>
      <c r="I494" s="3618">
        <v>96</v>
      </c>
      <c r="J494" s="3618">
        <v>0</v>
      </c>
      <c r="K494" s="3618">
        <v>32</v>
      </c>
      <c r="L494" s="4052">
        <f t="shared" si="291"/>
        <v>3</v>
      </c>
      <c r="M494" s="3619">
        <v>45905</v>
      </c>
      <c r="N494" s="3619">
        <v>45901</v>
      </c>
      <c r="O494" s="959"/>
      <c r="P494" s="959" t="s">
        <v>82</v>
      </c>
      <c r="Q494" s="3638"/>
      <c r="R494" s="3638"/>
      <c r="S494" s="3638"/>
      <c r="T494" s="4101"/>
      <c r="U494" s="3620" t="s">
        <v>1858</v>
      </c>
      <c r="V494" s="3649" t="s">
        <v>1859</v>
      </c>
      <c r="W494" s="3695"/>
      <c r="X494" s="3657" t="s">
        <v>98</v>
      </c>
      <c r="Y494" s="3636" t="s">
        <v>4727</v>
      </c>
      <c r="Z494" s="3661"/>
      <c r="AA494" s="3620" t="s">
        <v>7491</v>
      </c>
      <c r="AB494" s="3624" t="s">
        <v>369</v>
      </c>
      <c r="AC494" s="3618">
        <v>2.3617</v>
      </c>
      <c r="AD494" s="3618">
        <f t="shared" si="294"/>
        <v>226.7232</v>
      </c>
      <c r="AE494" s="3633"/>
      <c r="AF494" s="959" t="s">
        <v>6101</v>
      </c>
      <c r="AG494" s="3620" t="s">
        <v>416</v>
      </c>
      <c r="AH494" s="3620"/>
      <c r="AI494" s="3620"/>
      <c r="AJ494" s="3620"/>
      <c r="AK494" s="959"/>
      <c r="AL494" s="959"/>
      <c r="AM494" s="959"/>
      <c r="AN494" s="959">
        <f t="shared" si="296"/>
        <v>96</v>
      </c>
      <c r="AO494" s="959"/>
      <c r="AP494" s="3618"/>
      <c r="AQ494" s="3618">
        <f t="shared" si="292"/>
        <v>96</v>
      </c>
      <c r="AR494" s="3626"/>
      <c r="AS494" s="3626"/>
      <c r="AT494" s="3626"/>
      <c r="AU494" s="3626"/>
      <c r="AV494" s="3626">
        <f t="shared" si="297"/>
        <v>96</v>
      </c>
      <c r="AW494" s="3626"/>
      <c r="AX494" s="3626"/>
      <c r="AY494" s="3626"/>
      <c r="AZ494" s="3626"/>
      <c r="BA494" s="3626"/>
      <c r="BB494" s="3626"/>
      <c r="BC494" s="3626"/>
      <c r="BD494" s="3626"/>
      <c r="BE494" s="3626"/>
      <c r="BF494" s="3626"/>
      <c r="BG494" s="3626"/>
      <c r="BH494" s="3626"/>
      <c r="BI494" s="3626" t="s">
        <v>89</v>
      </c>
      <c r="BJ494" s="3626">
        <f t="shared" si="295"/>
        <v>3.2</v>
      </c>
      <c r="BK494" s="3626"/>
      <c r="BL494" s="3626">
        <f t="shared" si="298"/>
        <v>92.8</v>
      </c>
      <c r="BM494" s="3626"/>
      <c r="BN494" s="3626"/>
      <c r="BO494" s="4055"/>
      <c r="BP494" s="3627"/>
      <c r="BQ494" s="3627">
        <f t="shared" si="268"/>
        <v>96</v>
      </c>
      <c r="BR494" s="3627">
        <f t="shared" si="269"/>
        <v>0</v>
      </c>
      <c r="BS494" s="4056"/>
      <c r="BT494" s="4057"/>
    </row>
    <row r="495" s="3566" customFormat="1" ht="50" customHeight="1" spans="1:72">
      <c r="A495" s="3635">
        <v>45863</v>
      </c>
      <c r="B495" s="3617" t="s">
        <v>1641</v>
      </c>
      <c r="C495" s="3617" t="s">
        <v>396</v>
      </c>
      <c r="D495" s="3618">
        <v>4500175043</v>
      </c>
      <c r="E495" s="3618" t="s">
        <v>7502</v>
      </c>
      <c r="F495" s="3618" t="s">
        <v>7503</v>
      </c>
      <c r="G495" s="959" t="s">
        <v>6099</v>
      </c>
      <c r="H495" s="3618" t="s">
        <v>6272</v>
      </c>
      <c r="I495" s="3618">
        <v>32</v>
      </c>
      <c r="J495" s="3618">
        <v>0</v>
      </c>
      <c r="K495" s="3618">
        <v>32</v>
      </c>
      <c r="L495" s="4052">
        <f t="shared" si="291"/>
        <v>1</v>
      </c>
      <c r="M495" s="3619">
        <v>45905</v>
      </c>
      <c r="N495" s="3619">
        <v>45901</v>
      </c>
      <c r="O495" s="959"/>
      <c r="P495" s="959" t="s">
        <v>82</v>
      </c>
      <c r="Q495" s="3638"/>
      <c r="R495" s="3638"/>
      <c r="S495" s="3638"/>
      <c r="T495" s="4101"/>
      <c r="U495" s="3620" t="s">
        <v>1858</v>
      </c>
      <c r="V495" s="3649" t="s">
        <v>1859</v>
      </c>
      <c r="W495" s="3695"/>
      <c r="X495" s="3657" t="s">
        <v>98</v>
      </c>
      <c r="Y495" s="3636" t="s">
        <v>4727</v>
      </c>
      <c r="Z495" s="3661"/>
      <c r="AA495" s="3620" t="s">
        <v>7491</v>
      </c>
      <c r="AB495" s="3624" t="s">
        <v>369</v>
      </c>
      <c r="AC495" s="3618">
        <v>2.3617</v>
      </c>
      <c r="AD495" s="3618">
        <f t="shared" si="294"/>
        <v>75.5744</v>
      </c>
      <c r="AE495" s="3633"/>
      <c r="AF495" s="959" t="s">
        <v>6101</v>
      </c>
      <c r="AG495" s="3620" t="s">
        <v>416</v>
      </c>
      <c r="AH495" s="3620"/>
      <c r="AI495" s="3620"/>
      <c r="AJ495" s="3620"/>
      <c r="AK495" s="959"/>
      <c r="AL495" s="959"/>
      <c r="AM495" s="959"/>
      <c r="AN495" s="959">
        <f t="shared" si="296"/>
        <v>32</v>
      </c>
      <c r="AO495" s="959"/>
      <c r="AP495" s="3618"/>
      <c r="AQ495" s="3618">
        <f t="shared" si="292"/>
        <v>32</v>
      </c>
      <c r="AR495" s="3626"/>
      <c r="AS495" s="3626"/>
      <c r="AT495" s="3626"/>
      <c r="AU495" s="3626"/>
      <c r="AV495" s="3626">
        <f t="shared" si="297"/>
        <v>32</v>
      </c>
      <c r="AW495" s="3626"/>
      <c r="AX495" s="3626"/>
      <c r="AY495" s="3626"/>
      <c r="AZ495" s="3626"/>
      <c r="BA495" s="3626"/>
      <c r="BB495" s="3626"/>
      <c r="BC495" s="3626"/>
      <c r="BD495" s="3626"/>
      <c r="BE495" s="3626"/>
      <c r="BF495" s="3626"/>
      <c r="BG495" s="3626"/>
      <c r="BH495" s="3626"/>
      <c r="BI495" s="3626" t="s">
        <v>89</v>
      </c>
      <c r="BJ495" s="3626">
        <f t="shared" si="295"/>
        <v>1.06666666666667</v>
      </c>
      <c r="BK495" s="3626"/>
      <c r="BL495" s="3626">
        <f t="shared" si="298"/>
        <v>30.9333333333333</v>
      </c>
      <c r="BM495" s="3626"/>
      <c r="BN495" s="3626"/>
      <c r="BO495" s="4055"/>
      <c r="BP495" s="3627"/>
      <c r="BQ495" s="3627">
        <f t="shared" si="268"/>
        <v>32</v>
      </c>
      <c r="BR495" s="3627">
        <f t="shared" si="269"/>
        <v>0</v>
      </c>
      <c r="BS495" s="4056"/>
      <c r="BT495" s="4057"/>
    </row>
    <row r="496" s="3566" customFormat="1" ht="50" customHeight="1" spans="1:72">
      <c r="A496" s="3635">
        <v>45855</v>
      </c>
      <c r="B496" s="3617" t="s">
        <v>7337</v>
      </c>
      <c r="C496" s="3617" t="s">
        <v>6225</v>
      </c>
      <c r="D496" s="3618">
        <v>4500174233</v>
      </c>
      <c r="E496" s="959" t="s">
        <v>7504</v>
      </c>
      <c r="F496" s="959" t="s">
        <v>7505</v>
      </c>
      <c r="G496" s="959" t="s">
        <v>6228</v>
      </c>
      <c r="H496" s="3618" t="s">
        <v>6063</v>
      </c>
      <c r="I496" s="3618">
        <v>960</v>
      </c>
      <c r="J496" s="3618">
        <v>0</v>
      </c>
      <c r="K496" s="3618">
        <v>6</v>
      </c>
      <c r="L496" s="4052">
        <f t="shared" si="291"/>
        <v>160</v>
      </c>
      <c r="M496" s="3619">
        <v>45905</v>
      </c>
      <c r="N496" s="3619">
        <v>45901</v>
      </c>
      <c r="O496" s="959"/>
      <c r="P496" s="959" t="s">
        <v>82</v>
      </c>
      <c r="Q496" s="3638"/>
      <c r="R496" s="3638"/>
      <c r="S496" s="3638"/>
      <c r="T496" s="4101"/>
      <c r="U496" s="3620" t="s">
        <v>240</v>
      </c>
      <c r="V496" s="3649" t="s">
        <v>1895</v>
      </c>
      <c r="W496" s="3695"/>
      <c r="X496" s="3657" t="s">
        <v>7506</v>
      </c>
      <c r="Y496" s="4091"/>
      <c r="Z496" s="3661"/>
      <c r="AA496" s="3620" t="s">
        <v>7507</v>
      </c>
      <c r="AB496" s="3624" t="s">
        <v>424</v>
      </c>
      <c r="AC496" s="4058">
        <v>2.2144</v>
      </c>
      <c r="AD496" s="3618">
        <f t="shared" si="294"/>
        <v>2125.824</v>
      </c>
      <c r="AE496" s="3633"/>
      <c r="AF496" s="959" t="s">
        <v>7508</v>
      </c>
      <c r="AG496" s="3620" t="s">
        <v>416</v>
      </c>
      <c r="AH496" s="3620"/>
      <c r="AI496" s="3620"/>
      <c r="AJ496" s="3620"/>
      <c r="AK496" s="959"/>
      <c r="AL496" s="959"/>
      <c r="AM496" s="959"/>
      <c r="AN496" s="959">
        <f t="shared" si="296"/>
        <v>960</v>
      </c>
      <c r="AO496" s="959"/>
      <c r="AP496" s="3618"/>
      <c r="AQ496" s="3618">
        <f t="shared" si="292"/>
        <v>960</v>
      </c>
      <c r="AR496" s="3626"/>
      <c r="AS496" s="3626"/>
      <c r="AT496" s="3626"/>
      <c r="AU496" s="3626"/>
      <c r="AV496" s="3626">
        <f t="shared" si="297"/>
        <v>960</v>
      </c>
      <c r="AW496" s="3626"/>
      <c r="AX496" s="3626"/>
      <c r="AY496" s="3626"/>
      <c r="AZ496" s="3626">
        <f>I496/6</f>
        <v>160</v>
      </c>
      <c r="BA496" s="3626"/>
      <c r="BB496" s="3626"/>
      <c r="BC496" s="3626"/>
      <c r="BD496" s="3626"/>
      <c r="BE496" s="3626"/>
      <c r="BF496" s="3626"/>
      <c r="BG496" s="3626"/>
      <c r="BH496" s="3626"/>
      <c r="BI496" s="3626" t="s">
        <v>89</v>
      </c>
      <c r="BJ496" s="3626">
        <f t="shared" si="295"/>
        <v>32</v>
      </c>
      <c r="BK496" s="3626">
        <f>I496/60*10</f>
        <v>160</v>
      </c>
      <c r="BL496" s="3626">
        <f>I496/60*10</f>
        <v>160</v>
      </c>
      <c r="BM496" s="3626">
        <f>I496/60*8</f>
        <v>128</v>
      </c>
      <c r="BN496" s="3626">
        <f>I496/60*10</f>
        <v>160</v>
      </c>
      <c r="BO496" s="4055">
        <f>I496/60*10</f>
        <v>160</v>
      </c>
      <c r="BP496" s="3627">
        <f>I496/60*10</f>
        <v>160</v>
      </c>
      <c r="BQ496" s="3627">
        <f t="shared" si="268"/>
        <v>960</v>
      </c>
      <c r="BR496" s="3627">
        <f t="shared" si="269"/>
        <v>0</v>
      </c>
      <c r="BS496" s="4056"/>
      <c r="BT496" s="4057"/>
    </row>
    <row r="497" s="3566" customFormat="1" ht="50" customHeight="1" spans="1:72">
      <c r="A497" s="3635">
        <v>45852</v>
      </c>
      <c r="B497" s="3617" t="s">
        <v>3118</v>
      </c>
      <c r="C497" s="3617" t="s">
        <v>506</v>
      </c>
      <c r="D497" s="3618">
        <v>4500173754</v>
      </c>
      <c r="E497" s="959">
        <v>84451</v>
      </c>
      <c r="F497" s="959" t="s">
        <v>7509</v>
      </c>
      <c r="G497" s="959" t="s">
        <v>6186</v>
      </c>
      <c r="H497" s="3618" t="s">
        <v>6063</v>
      </c>
      <c r="I497" s="3618">
        <v>2400</v>
      </c>
      <c r="J497" s="3618">
        <v>0</v>
      </c>
      <c r="K497" s="3618">
        <v>6</v>
      </c>
      <c r="L497" s="4052">
        <f t="shared" si="291"/>
        <v>400</v>
      </c>
      <c r="M497" s="3619">
        <v>45905</v>
      </c>
      <c r="N497" s="3619">
        <v>45901</v>
      </c>
      <c r="O497" s="959"/>
      <c r="P497" s="959" t="s">
        <v>82</v>
      </c>
      <c r="Q497" s="3638"/>
      <c r="R497" s="3638"/>
      <c r="S497" s="3638"/>
      <c r="T497" s="4101"/>
      <c r="U497" s="3620" t="s">
        <v>1875</v>
      </c>
      <c r="V497" s="3649" t="s">
        <v>7510</v>
      </c>
      <c r="W497" s="3695"/>
      <c r="X497" s="3657" t="s">
        <v>6719</v>
      </c>
      <c r="Y497" s="4091"/>
      <c r="Z497" s="3661"/>
      <c r="AA497" s="3620" t="s">
        <v>7511</v>
      </c>
      <c r="AB497" s="3624" t="s">
        <v>448</v>
      </c>
      <c r="AC497" s="3618">
        <v>2.2894</v>
      </c>
      <c r="AD497" s="3618">
        <f t="shared" si="294"/>
        <v>5494.56</v>
      </c>
      <c r="AE497" s="3633"/>
      <c r="AF497" s="959" t="s">
        <v>6186</v>
      </c>
      <c r="AG497" s="3620" t="s">
        <v>416</v>
      </c>
      <c r="AH497" s="3620"/>
      <c r="AI497" s="3620"/>
      <c r="AJ497" s="3620"/>
      <c r="AK497" s="959"/>
      <c r="AL497" s="959">
        <f>I497</f>
        <v>2400</v>
      </c>
      <c r="AM497" s="959"/>
      <c r="AN497" s="959"/>
      <c r="AO497" s="959"/>
      <c r="AP497" s="3618"/>
      <c r="AQ497" s="3618">
        <f t="shared" si="292"/>
        <v>2400</v>
      </c>
      <c r="AR497" s="3626"/>
      <c r="AS497" s="3626"/>
      <c r="AT497" s="3626">
        <f>I497</f>
        <v>2400</v>
      </c>
      <c r="AU497" s="3626"/>
      <c r="AV497" s="3626"/>
      <c r="AW497" s="3626"/>
      <c r="AX497" s="3626">
        <f>I497/6</f>
        <v>400</v>
      </c>
      <c r="AY497" s="3626"/>
      <c r="AZ497" s="3626"/>
      <c r="BA497" s="3626"/>
      <c r="BB497" s="3626"/>
      <c r="BC497" s="3626"/>
      <c r="BD497" s="3626"/>
      <c r="BE497" s="3626"/>
      <c r="BF497" s="3626"/>
      <c r="BG497" s="3626"/>
      <c r="BH497" s="3626"/>
      <c r="BI497" s="3626" t="s">
        <v>89</v>
      </c>
      <c r="BJ497" s="3626">
        <f t="shared" si="295"/>
        <v>80</v>
      </c>
      <c r="BK497" s="3626">
        <f>I497/60*10</f>
        <v>400</v>
      </c>
      <c r="BL497" s="3626">
        <f>I497/60*10</f>
        <v>400</v>
      </c>
      <c r="BM497" s="3626">
        <f>I497/60*8</f>
        <v>320</v>
      </c>
      <c r="BN497" s="3626">
        <f>I497/60*10</f>
        <v>400</v>
      </c>
      <c r="BO497" s="4055">
        <f>I497/60*10</f>
        <v>400</v>
      </c>
      <c r="BP497" s="3627">
        <f>I497/60*10</f>
        <v>400</v>
      </c>
      <c r="BQ497" s="3627">
        <f t="shared" si="268"/>
        <v>2400</v>
      </c>
      <c r="BR497" s="3627">
        <f t="shared" si="269"/>
        <v>0</v>
      </c>
      <c r="BS497" s="4056"/>
      <c r="BT497" s="4057"/>
    </row>
    <row r="498" s="3566" customFormat="1" ht="50" customHeight="1" spans="1:72">
      <c r="A498" s="3635">
        <v>45863</v>
      </c>
      <c r="B498" s="3617" t="s">
        <v>1641</v>
      </c>
      <c r="C498" s="3617" t="s">
        <v>396</v>
      </c>
      <c r="D498" s="3618">
        <v>4500175051</v>
      </c>
      <c r="E498" s="3618" t="s">
        <v>7512</v>
      </c>
      <c r="F498" s="3618" t="s">
        <v>7513</v>
      </c>
      <c r="G498" s="959" t="s">
        <v>7185</v>
      </c>
      <c r="H498" s="3618" t="s">
        <v>7514</v>
      </c>
      <c r="I498" s="3618">
        <v>32</v>
      </c>
      <c r="J498" s="3618">
        <v>0</v>
      </c>
      <c r="K498" s="3618">
        <v>32</v>
      </c>
      <c r="L498" s="4052">
        <f t="shared" si="291"/>
        <v>1</v>
      </c>
      <c r="M498" s="3619">
        <v>45905</v>
      </c>
      <c r="N498" s="3619">
        <v>45901</v>
      </c>
      <c r="O498" s="959"/>
      <c r="P498" s="959" t="s">
        <v>82</v>
      </c>
      <c r="Q498" s="3638"/>
      <c r="R498" s="3638"/>
      <c r="S498" s="3638"/>
      <c r="T498" s="4101"/>
      <c r="U498" s="3620" t="s">
        <v>1858</v>
      </c>
      <c r="V498" s="3649" t="s">
        <v>1859</v>
      </c>
      <c r="W498" s="3695"/>
      <c r="X498" s="3657" t="s">
        <v>98</v>
      </c>
      <c r="Y498" s="3636" t="s">
        <v>4727</v>
      </c>
      <c r="Z498" s="3661"/>
      <c r="AA498" s="3620" t="s">
        <v>7515</v>
      </c>
      <c r="AB498" s="3624" t="s">
        <v>369</v>
      </c>
      <c r="AC498" s="3618">
        <v>2.3647</v>
      </c>
      <c r="AD498" s="3618">
        <f t="shared" ref="AD498:AD561" si="299">AC498*I498</f>
        <v>75.6704</v>
      </c>
      <c r="AE498" s="3633"/>
      <c r="AF498" s="959" t="s">
        <v>7186</v>
      </c>
      <c r="AG498" s="3620" t="s">
        <v>416</v>
      </c>
      <c r="AH498" s="3620"/>
      <c r="AI498" s="3620"/>
      <c r="AJ498" s="3620"/>
      <c r="AK498" s="959"/>
      <c r="AL498" s="959"/>
      <c r="AM498" s="959"/>
      <c r="AN498" s="959">
        <f t="shared" ref="AN498:AN503" si="300">I498</f>
        <v>32</v>
      </c>
      <c r="AO498" s="959"/>
      <c r="AP498" s="3618"/>
      <c r="AQ498" s="3618">
        <f t="shared" si="292"/>
        <v>32</v>
      </c>
      <c r="AR498" s="3626"/>
      <c r="AS498" s="3626"/>
      <c r="AT498" s="3626"/>
      <c r="AU498" s="3626"/>
      <c r="AV498" s="3626">
        <f t="shared" ref="AV498:AV503" si="301">I498</f>
        <v>32</v>
      </c>
      <c r="AW498" s="3626"/>
      <c r="AX498" s="3626"/>
      <c r="AY498" s="3626"/>
      <c r="AZ498" s="3626"/>
      <c r="BA498" s="3626"/>
      <c r="BB498" s="3626"/>
      <c r="BC498" s="3626"/>
      <c r="BD498" s="3626"/>
      <c r="BE498" s="3626"/>
      <c r="BF498" s="3626"/>
      <c r="BG498" s="3626"/>
      <c r="BH498" s="3626"/>
      <c r="BI498" s="3626" t="s">
        <v>89</v>
      </c>
      <c r="BJ498" s="3626"/>
      <c r="BK498" s="3626"/>
      <c r="BL498" s="3626"/>
      <c r="BM498" s="3626"/>
      <c r="BN498" s="3626">
        <f t="shared" ref="BN498:BN503" si="302">I498</f>
        <v>32</v>
      </c>
      <c r="BO498" s="4055"/>
      <c r="BP498" s="3627"/>
      <c r="BQ498" s="3627">
        <f t="shared" ref="BQ498:BQ561" si="303">SUM(BJ498:BP498)</f>
        <v>32</v>
      </c>
      <c r="BR498" s="3627">
        <f t="shared" ref="BR498:BR561" si="304">I498-BQ498</f>
        <v>0</v>
      </c>
      <c r="BS498" s="4056"/>
      <c r="BT498" s="4057"/>
    </row>
    <row r="499" s="3566" customFormat="1" ht="50" customHeight="1" spans="1:72">
      <c r="A499" s="3635">
        <v>45863</v>
      </c>
      <c r="B499" s="3617" t="s">
        <v>1641</v>
      </c>
      <c r="C499" s="3617" t="s">
        <v>396</v>
      </c>
      <c r="D499" s="3618">
        <v>4500175051</v>
      </c>
      <c r="E499" s="3618" t="s">
        <v>7516</v>
      </c>
      <c r="F499" s="3618" t="s">
        <v>7517</v>
      </c>
      <c r="G499" s="959" t="s">
        <v>7185</v>
      </c>
      <c r="H499" s="3618" t="s">
        <v>7514</v>
      </c>
      <c r="I499" s="3618">
        <v>64</v>
      </c>
      <c r="J499" s="3618">
        <v>0</v>
      </c>
      <c r="K499" s="3618">
        <v>32</v>
      </c>
      <c r="L499" s="4052">
        <f t="shared" si="291"/>
        <v>2</v>
      </c>
      <c r="M499" s="3619">
        <v>45905</v>
      </c>
      <c r="N499" s="3619">
        <v>45901</v>
      </c>
      <c r="O499" s="959"/>
      <c r="P499" s="959" t="s">
        <v>82</v>
      </c>
      <c r="Q499" s="3638"/>
      <c r="R499" s="3638"/>
      <c r="S499" s="3638"/>
      <c r="T499" s="4101"/>
      <c r="U499" s="3620" t="s">
        <v>1858</v>
      </c>
      <c r="V499" s="3649" t="s">
        <v>1859</v>
      </c>
      <c r="W499" s="3695"/>
      <c r="X499" s="3657" t="s">
        <v>98</v>
      </c>
      <c r="Y499" s="3636" t="s">
        <v>4727</v>
      </c>
      <c r="Z499" s="3661"/>
      <c r="AA499" s="3620" t="s">
        <v>7515</v>
      </c>
      <c r="AB499" s="3624" t="s">
        <v>369</v>
      </c>
      <c r="AC499" s="3618">
        <v>2.3647</v>
      </c>
      <c r="AD499" s="3618">
        <f t="shared" si="299"/>
        <v>151.3408</v>
      </c>
      <c r="AE499" s="3633"/>
      <c r="AF499" s="959" t="s">
        <v>7186</v>
      </c>
      <c r="AG499" s="3620" t="s">
        <v>416</v>
      </c>
      <c r="AH499" s="3620"/>
      <c r="AI499" s="3620"/>
      <c r="AJ499" s="3620"/>
      <c r="AK499" s="959"/>
      <c r="AL499" s="959"/>
      <c r="AM499" s="959"/>
      <c r="AN499" s="959">
        <f t="shared" si="300"/>
        <v>64</v>
      </c>
      <c r="AO499" s="959"/>
      <c r="AP499" s="3618"/>
      <c r="AQ499" s="3618">
        <f t="shared" si="292"/>
        <v>64</v>
      </c>
      <c r="AR499" s="3626"/>
      <c r="AS499" s="3626"/>
      <c r="AT499" s="3626"/>
      <c r="AU499" s="3626"/>
      <c r="AV499" s="3626">
        <f t="shared" si="301"/>
        <v>64</v>
      </c>
      <c r="AW499" s="3626"/>
      <c r="AX499" s="3626"/>
      <c r="AY499" s="3626"/>
      <c r="AZ499" s="3626"/>
      <c r="BA499" s="3626"/>
      <c r="BB499" s="3626"/>
      <c r="BC499" s="3626"/>
      <c r="BD499" s="3626"/>
      <c r="BE499" s="3626"/>
      <c r="BF499" s="3626"/>
      <c r="BG499" s="3626"/>
      <c r="BH499" s="3626"/>
      <c r="BI499" s="3626" t="s">
        <v>89</v>
      </c>
      <c r="BJ499" s="3626"/>
      <c r="BK499" s="3626"/>
      <c r="BL499" s="3626"/>
      <c r="BM499" s="3626"/>
      <c r="BN499" s="3626">
        <f t="shared" si="302"/>
        <v>64</v>
      </c>
      <c r="BO499" s="4055"/>
      <c r="BP499" s="3627"/>
      <c r="BQ499" s="3627">
        <f t="shared" si="303"/>
        <v>64</v>
      </c>
      <c r="BR499" s="3627">
        <f t="shared" si="304"/>
        <v>0</v>
      </c>
      <c r="BS499" s="4056"/>
      <c r="BT499" s="4057"/>
    </row>
    <row r="500" s="3566" customFormat="1" ht="50" customHeight="1" spans="1:72">
      <c r="A500" s="3635">
        <v>45863</v>
      </c>
      <c r="B500" s="3617" t="s">
        <v>1641</v>
      </c>
      <c r="C500" s="3617" t="s">
        <v>396</v>
      </c>
      <c r="D500" s="3618">
        <v>4500175051</v>
      </c>
      <c r="E500" s="3618" t="s">
        <v>7518</v>
      </c>
      <c r="F500" s="3618" t="s">
        <v>7519</v>
      </c>
      <c r="G500" s="959" t="s">
        <v>7185</v>
      </c>
      <c r="H500" s="3618" t="s">
        <v>7514</v>
      </c>
      <c r="I500" s="3618">
        <v>192</v>
      </c>
      <c r="J500" s="3618">
        <v>0</v>
      </c>
      <c r="K500" s="3618">
        <v>32</v>
      </c>
      <c r="L500" s="4052">
        <f t="shared" si="291"/>
        <v>6</v>
      </c>
      <c r="M500" s="3619">
        <v>45905</v>
      </c>
      <c r="N500" s="3619">
        <v>45901</v>
      </c>
      <c r="O500" s="959"/>
      <c r="P500" s="959" t="s">
        <v>82</v>
      </c>
      <c r="Q500" s="3638"/>
      <c r="R500" s="3638"/>
      <c r="S500" s="3638"/>
      <c r="T500" s="4101"/>
      <c r="U500" s="3620" t="s">
        <v>1858</v>
      </c>
      <c r="V500" s="3649" t="s">
        <v>1859</v>
      </c>
      <c r="W500" s="3695"/>
      <c r="X500" s="3657" t="s">
        <v>98</v>
      </c>
      <c r="Y500" s="3636" t="s">
        <v>4727</v>
      </c>
      <c r="Z500" s="3661"/>
      <c r="AA500" s="3620" t="s">
        <v>7515</v>
      </c>
      <c r="AB500" s="3624" t="s">
        <v>369</v>
      </c>
      <c r="AC500" s="3618">
        <v>2.3647</v>
      </c>
      <c r="AD500" s="3618">
        <f t="shared" si="299"/>
        <v>454.0224</v>
      </c>
      <c r="AE500" s="3633"/>
      <c r="AF500" s="959" t="s">
        <v>7186</v>
      </c>
      <c r="AG500" s="3620" t="s">
        <v>416</v>
      </c>
      <c r="AH500" s="3620"/>
      <c r="AI500" s="3620"/>
      <c r="AJ500" s="3620"/>
      <c r="AK500" s="959"/>
      <c r="AL500" s="959"/>
      <c r="AM500" s="959"/>
      <c r="AN500" s="959">
        <f t="shared" si="300"/>
        <v>192</v>
      </c>
      <c r="AO500" s="959"/>
      <c r="AP500" s="3618"/>
      <c r="AQ500" s="3618">
        <f t="shared" si="292"/>
        <v>192</v>
      </c>
      <c r="AR500" s="3626"/>
      <c r="AS500" s="3626"/>
      <c r="AT500" s="3626"/>
      <c r="AU500" s="3626"/>
      <c r="AV500" s="3626">
        <f t="shared" si="301"/>
        <v>192</v>
      </c>
      <c r="AW500" s="3626"/>
      <c r="AX500" s="3626"/>
      <c r="AY500" s="3626"/>
      <c r="AZ500" s="3626"/>
      <c r="BA500" s="3626"/>
      <c r="BB500" s="3626"/>
      <c r="BC500" s="3626"/>
      <c r="BD500" s="3626"/>
      <c r="BE500" s="3626"/>
      <c r="BF500" s="3626"/>
      <c r="BG500" s="3626"/>
      <c r="BH500" s="3626"/>
      <c r="BI500" s="3626" t="s">
        <v>89</v>
      </c>
      <c r="BJ500" s="3626"/>
      <c r="BK500" s="3626"/>
      <c r="BL500" s="3626"/>
      <c r="BM500" s="3626"/>
      <c r="BN500" s="3626">
        <f t="shared" si="302"/>
        <v>192</v>
      </c>
      <c r="BO500" s="4055"/>
      <c r="BP500" s="3627"/>
      <c r="BQ500" s="3627">
        <f t="shared" si="303"/>
        <v>192</v>
      </c>
      <c r="BR500" s="3627">
        <f t="shared" si="304"/>
        <v>0</v>
      </c>
      <c r="BS500" s="4056"/>
      <c r="BT500" s="4057"/>
    </row>
    <row r="501" s="3566" customFormat="1" ht="50" customHeight="1" spans="1:72">
      <c r="A501" s="3635">
        <v>45863</v>
      </c>
      <c r="B501" s="3617" t="s">
        <v>1641</v>
      </c>
      <c r="C501" s="3617" t="s">
        <v>396</v>
      </c>
      <c r="D501" s="3618">
        <v>4500175051</v>
      </c>
      <c r="E501" s="3618" t="s">
        <v>7520</v>
      </c>
      <c r="F501" s="3618" t="s">
        <v>7521</v>
      </c>
      <c r="G501" s="959" t="s">
        <v>7185</v>
      </c>
      <c r="H501" s="3618" t="s">
        <v>7514</v>
      </c>
      <c r="I501" s="3618">
        <v>32</v>
      </c>
      <c r="J501" s="3618">
        <v>0</v>
      </c>
      <c r="K501" s="3618">
        <v>32</v>
      </c>
      <c r="L501" s="4052">
        <f t="shared" si="291"/>
        <v>1</v>
      </c>
      <c r="M501" s="3619">
        <v>45905</v>
      </c>
      <c r="N501" s="3619">
        <v>45901</v>
      </c>
      <c r="O501" s="959"/>
      <c r="P501" s="959" t="s">
        <v>82</v>
      </c>
      <c r="Q501" s="3638"/>
      <c r="R501" s="3638"/>
      <c r="S501" s="3638"/>
      <c r="T501" s="4101"/>
      <c r="U501" s="3620" t="s">
        <v>1858</v>
      </c>
      <c r="V501" s="3649" t="s">
        <v>1859</v>
      </c>
      <c r="W501" s="3695"/>
      <c r="X501" s="3657" t="s">
        <v>98</v>
      </c>
      <c r="Y501" s="3636" t="s">
        <v>4727</v>
      </c>
      <c r="Z501" s="3661"/>
      <c r="AA501" s="3620" t="s">
        <v>7515</v>
      </c>
      <c r="AB501" s="3624" t="s">
        <v>369</v>
      </c>
      <c r="AC501" s="3618">
        <v>2.3647</v>
      </c>
      <c r="AD501" s="3618">
        <f t="shared" si="299"/>
        <v>75.6704</v>
      </c>
      <c r="AE501" s="3633"/>
      <c r="AF501" s="959" t="s">
        <v>7186</v>
      </c>
      <c r="AG501" s="3620" t="s">
        <v>416</v>
      </c>
      <c r="AH501" s="3620"/>
      <c r="AI501" s="3620"/>
      <c r="AJ501" s="3620"/>
      <c r="AK501" s="959"/>
      <c r="AL501" s="959"/>
      <c r="AM501" s="959"/>
      <c r="AN501" s="959">
        <f t="shared" si="300"/>
        <v>32</v>
      </c>
      <c r="AO501" s="959"/>
      <c r="AP501" s="3618"/>
      <c r="AQ501" s="3618">
        <f t="shared" si="292"/>
        <v>32</v>
      </c>
      <c r="AR501" s="3626"/>
      <c r="AS501" s="3626"/>
      <c r="AT501" s="3626"/>
      <c r="AU501" s="3626"/>
      <c r="AV501" s="3626">
        <f t="shared" si="301"/>
        <v>32</v>
      </c>
      <c r="AW501" s="3626"/>
      <c r="AX501" s="3626"/>
      <c r="AY501" s="3626"/>
      <c r="AZ501" s="3626"/>
      <c r="BA501" s="3626"/>
      <c r="BB501" s="3626"/>
      <c r="BC501" s="3626"/>
      <c r="BD501" s="3626"/>
      <c r="BE501" s="3626"/>
      <c r="BF501" s="3626"/>
      <c r="BG501" s="3626"/>
      <c r="BH501" s="3626"/>
      <c r="BI501" s="3626" t="s">
        <v>89</v>
      </c>
      <c r="BJ501" s="3626"/>
      <c r="BK501" s="3626"/>
      <c r="BL501" s="3626"/>
      <c r="BM501" s="3626"/>
      <c r="BN501" s="3626">
        <f t="shared" si="302"/>
        <v>32</v>
      </c>
      <c r="BO501" s="4055"/>
      <c r="BP501" s="3627"/>
      <c r="BQ501" s="3627">
        <f t="shared" si="303"/>
        <v>32</v>
      </c>
      <c r="BR501" s="3627">
        <f t="shared" si="304"/>
        <v>0</v>
      </c>
      <c r="BS501" s="4056"/>
      <c r="BT501" s="4057"/>
    </row>
    <row r="502" s="3566" customFormat="1" ht="50" customHeight="1" spans="1:72">
      <c r="A502" s="3635">
        <v>45863</v>
      </c>
      <c r="B502" s="3617" t="s">
        <v>1641</v>
      </c>
      <c r="C502" s="3617" t="s">
        <v>396</v>
      </c>
      <c r="D502" s="3618">
        <v>4500175051</v>
      </c>
      <c r="E502" s="3618" t="s">
        <v>7522</v>
      </c>
      <c r="F502" s="3618" t="s">
        <v>7523</v>
      </c>
      <c r="G502" s="959" t="s">
        <v>7185</v>
      </c>
      <c r="H502" s="3618" t="s">
        <v>7514</v>
      </c>
      <c r="I502" s="3618">
        <v>64</v>
      </c>
      <c r="J502" s="3618">
        <v>0</v>
      </c>
      <c r="K502" s="3618">
        <v>32</v>
      </c>
      <c r="L502" s="4052">
        <f t="shared" si="291"/>
        <v>2</v>
      </c>
      <c r="M502" s="3619">
        <v>45905</v>
      </c>
      <c r="N502" s="3619">
        <v>45901</v>
      </c>
      <c r="O502" s="959"/>
      <c r="P502" s="959" t="s">
        <v>82</v>
      </c>
      <c r="Q502" s="3638"/>
      <c r="R502" s="3638"/>
      <c r="S502" s="3638"/>
      <c r="T502" s="4101"/>
      <c r="U502" s="3620" t="s">
        <v>1858</v>
      </c>
      <c r="V502" s="3649" t="s">
        <v>1859</v>
      </c>
      <c r="W502" s="3695"/>
      <c r="X502" s="3657" t="s">
        <v>98</v>
      </c>
      <c r="Y502" s="3636" t="s">
        <v>4727</v>
      </c>
      <c r="Z502" s="3661"/>
      <c r="AA502" s="3620" t="s">
        <v>7515</v>
      </c>
      <c r="AB502" s="3624" t="s">
        <v>369</v>
      </c>
      <c r="AC502" s="3618">
        <v>2.3647</v>
      </c>
      <c r="AD502" s="3618">
        <f t="shared" si="299"/>
        <v>151.3408</v>
      </c>
      <c r="AE502" s="3633"/>
      <c r="AF502" s="959" t="s">
        <v>7186</v>
      </c>
      <c r="AG502" s="3620" t="s">
        <v>416</v>
      </c>
      <c r="AH502" s="3620"/>
      <c r="AI502" s="3620"/>
      <c r="AJ502" s="3620"/>
      <c r="AK502" s="959"/>
      <c r="AL502" s="959"/>
      <c r="AM502" s="959"/>
      <c r="AN502" s="959">
        <f t="shared" si="300"/>
        <v>64</v>
      </c>
      <c r="AO502" s="959"/>
      <c r="AP502" s="3618"/>
      <c r="AQ502" s="3618">
        <f t="shared" si="292"/>
        <v>64</v>
      </c>
      <c r="AR502" s="3626"/>
      <c r="AS502" s="3626"/>
      <c r="AT502" s="3626"/>
      <c r="AU502" s="3626"/>
      <c r="AV502" s="3626">
        <f t="shared" si="301"/>
        <v>64</v>
      </c>
      <c r="AW502" s="3626"/>
      <c r="AX502" s="3626"/>
      <c r="AY502" s="3626"/>
      <c r="AZ502" s="3626"/>
      <c r="BA502" s="3626"/>
      <c r="BB502" s="3626"/>
      <c r="BC502" s="3626"/>
      <c r="BD502" s="3626"/>
      <c r="BE502" s="3626"/>
      <c r="BF502" s="3626"/>
      <c r="BG502" s="3626"/>
      <c r="BH502" s="3626"/>
      <c r="BI502" s="3626" t="s">
        <v>89</v>
      </c>
      <c r="BJ502" s="3626"/>
      <c r="BK502" s="3626"/>
      <c r="BL502" s="3626"/>
      <c r="BM502" s="3626"/>
      <c r="BN502" s="3626">
        <f t="shared" si="302"/>
        <v>64</v>
      </c>
      <c r="BO502" s="4055"/>
      <c r="BP502" s="3627"/>
      <c r="BQ502" s="3627">
        <f t="shared" si="303"/>
        <v>64</v>
      </c>
      <c r="BR502" s="3627">
        <f t="shared" si="304"/>
        <v>0</v>
      </c>
      <c r="BS502" s="4056"/>
      <c r="BT502" s="4057"/>
    </row>
    <row r="503" s="3566" customFormat="1" ht="50" customHeight="1" spans="1:72">
      <c r="A503" s="3635">
        <v>45863</v>
      </c>
      <c r="B503" s="3617" t="s">
        <v>1641</v>
      </c>
      <c r="C503" s="3617" t="s">
        <v>396</v>
      </c>
      <c r="D503" s="3618">
        <v>4500175051</v>
      </c>
      <c r="E503" s="3618" t="s">
        <v>7524</v>
      </c>
      <c r="F503" s="3618" t="s">
        <v>7525</v>
      </c>
      <c r="G503" s="959" t="s">
        <v>7185</v>
      </c>
      <c r="H503" s="3618" t="s">
        <v>7514</v>
      </c>
      <c r="I503" s="3618">
        <v>96</v>
      </c>
      <c r="J503" s="3618">
        <v>0</v>
      </c>
      <c r="K503" s="3618">
        <v>32</v>
      </c>
      <c r="L503" s="4052">
        <f t="shared" si="291"/>
        <v>3</v>
      </c>
      <c r="M503" s="3619">
        <v>45905</v>
      </c>
      <c r="N503" s="3619">
        <v>45901</v>
      </c>
      <c r="O503" s="959"/>
      <c r="P503" s="959" t="s">
        <v>82</v>
      </c>
      <c r="Q503" s="3638"/>
      <c r="R503" s="3638"/>
      <c r="S503" s="3638"/>
      <c r="T503" s="4101"/>
      <c r="U503" s="3620" t="s">
        <v>1858</v>
      </c>
      <c r="V503" s="3649" t="s">
        <v>1859</v>
      </c>
      <c r="W503" s="3695"/>
      <c r="X503" s="3657" t="s">
        <v>98</v>
      </c>
      <c r="Y503" s="3636" t="s">
        <v>4727</v>
      </c>
      <c r="Z503" s="3661"/>
      <c r="AA503" s="3620" t="s">
        <v>7515</v>
      </c>
      <c r="AB503" s="3624" t="s">
        <v>369</v>
      </c>
      <c r="AC503" s="3618">
        <v>2.3647</v>
      </c>
      <c r="AD503" s="3618">
        <f t="shared" si="299"/>
        <v>227.0112</v>
      </c>
      <c r="AE503" s="3633"/>
      <c r="AF503" s="959" t="s">
        <v>7186</v>
      </c>
      <c r="AG503" s="3620" t="s">
        <v>416</v>
      </c>
      <c r="AH503" s="3620"/>
      <c r="AI503" s="3620"/>
      <c r="AJ503" s="3620"/>
      <c r="AK503" s="959"/>
      <c r="AL503" s="959"/>
      <c r="AM503" s="959"/>
      <c r="AN503" s="959">
        <f t="shared" si="300"/>
        <v>96</v>
      </c>
      <c r="AO503" s="959"/>
      <c r="AP503" s="3618"/>
      <c r="AQ503" s="3618">
        <f t="shared" si="292"/>
        <v>96</v>
      </c>
      <c r="AR503" s="3626"/>
      <c r="AS503" s="3626"/>
      <c r="AT503" s="3626"/>
      <c r="AU503" s="3626"/>
      <c r="AV503" s="3626">
        <f t="shared" si="301"/>
        <v>96</v>
      </c>
      <c r="AW503" s="3626"/>
      <c r="AX503" s="3626"/>
      <c r="AY503" s="3626"/>
      <c r="AZ503" s="3626"/>
      <c r="BA503" s="3626"/>
      <c r="BB503" s="3626"/>
      <c r="BC503" s="3626"/>
      <c r="BD503" s="3626"/>
      <c r="BE503" s="3626"/>
      <c r="BF503" s="3626"/>
      <c r="BG503" s="3626"/>
      <c r="BH503" s="3626"/>
      <c r="BI503" s="3626" t="s">
        <v>89</v>
      </c>
      <c r="BJ503" s="3626"/>
      <c r="BK503" s="3626"/>
      <c r="BL503" s="3626"/>
      <c r="BM503" s="3626"/>
      <c r="BN503" s="3626">
        <f t="shared" si="302"/>
        <v>96</v>
      </c>
      <c r="BO503" s="4055"/>
      <c r="BP503" s="3627"/>
      <c r="BQ503" s="3627">
        <f t="shared" si="303"/>
        <v>96</v>
      </c>
      <c r="BR503" s="3627">
        <f t="shared" si="304"/>
        <v>0</v>
      </c>
      <c r="BS503" s="4056"/>
      <c r="BT503" s="4057"/>
    </row>
    <row r="504" s="3566" customFormat="1" ht="50" customHeight="1" spans="1:72">
      <c r="A504" s="3635">
        <v>45863</v>
      </c>
      <c r="B504" s="3617" t="s">
        <v>1641</v>
      </c>
      <c r="C504" s="3617" t="s">
        <v>396</v>
      </c>
      <c r="D504" s="3618">
        <v>4500175051</v>
      </c>
      <c r="E504" s="3618" t="s">
        <v>7526</v>
      </c>
      <c r="F504" s="3618" t="s">
        <v>7527</v>
      </c>
      <c r="G504" s="959" t="s">
        <v>7030</v>
      </c>
      <c r="H504" s="3618" t="s">
        <v>6166</v>
      </c>
      <c r="I504" s="3618">
        <v>32</v>
      </c>
      <c r="J504" s="3618">
        <v>0</v>
      </c>
      <c r="K504" s="3618">
        <v>32</v>
      </c>
      <c r="L504" s="4052">
        <f t="shared" si="291"/>
        <v>1</v>
      </c>
      <c r="M504" s="3619">
        <v>45905</v>
      </c>
      <c r="N504" s="3619">
        <v>45901</v>
      </c>
      <c r="O504" s="959"/>
      <c r="P504" s="959" t="s">
        <v>82</v>
      </c>
      <c r="Q504" s="3638"/>
      <c r="R504" s="3638"/>
      <c r="S504" s="3638"/>
      <c r="T504" s="4101"/>
      <c r="U504" s="3620" t="s">
        <v>1858</v>
      </c>
      <c r="V504" s="3649" t="s">
        <v>1859</v>
      </c>
      <c r="W504" s="3695"/>
      <c r="X504" s="3657" t="s">
        <v>98</v>
      </c>
      <c r="Y504" s="3636" t="s">
        <v>4727</v>
      </c>
      <c r="Z504" s="3661"/>
      <c r="AA504" s="3620" t="s">
        <v>7515</v>
      </c>
      <c r="AB504" s="3624" t="s">
        <v>369</v>
      </c>
      <c r="AC504" s="3618">
        <v>2.2482</v>
      </c>
      <c r="AD504" s="3618">
        <f t="shared" si="299"/>
        <v>71.9424</v>
      </c>
      <c r="AE504" s="3633"/>
      <c r="AF504" s="959" t="s">
        <v>7031</v>
      </c>
      <c r="AG504" s="3620" t="s">
        <v>416</v>
      </c>
      <c r="AH504" s="3620"/>
      <c r="AI504" s="3620"/>
      <c r="AJ504" s="3620"/>
      <c r="AK504" s="959"/>
      <c r="AL504" s="959"/>
      <c r="AM504" s="959"/>
      <c r="AN504" s="959">
        <f t="shared" ref="AN504:AN510" si="305">I504</f>
        <v>32</v>
      </c>
      <c r="AO504" s="959"/>
      <c r="AP504" s="3618"/>
      <c r="AQ504" s="3618">
        <f t="shared" ref="AQ504:AQ567" si="306">I504</f>
        <v>32</v>
      </c>
      <c r="AR504" s="3626"/>
      <c r="AS504" s="3626"/>
      <c r="AT504" s="3626"/>
      <c r="AU504" s="3626"/>
      <c r="AV504" s="3626">
        <f t="shared" ref="AV504:AV510" si="307">I504</f>
        <v>32</v>
      </c>
      <c r="AW504" s="3626"/>
      <c r="AX504" s="3626"/>
      <c r="AY504" s="3626"/>
      <c r="AZ504" s="3626"/>
      <c r="BA504" s="3626"/>
      <c r="BB504" s="3626"/>
      <c r="BC504" s="3626"/>
      <c r="BD504" s="3626"/>
      <c r="BE504" s="3626"/>
      <c r="BF504" s="3626"/>
      <c r="BG504" s="3626"/>
      <c r="BH504" s="3626"/>
      <c r="BI504" s="3626" t="s">
        <v>89</v>
      </c>
      <c r="BJ504" s="3626"/>
      <c r="BK504" s="3626"/>
      <c r="BL504" s="3626"/>
      <c r="BM504" s="3626"/>
      <c r="BN504" s="3626"/>
      <c r="BO504" s="4055"/>
      <c r="BP504" s="3627">
        <f>I504</f>
        <v>32</v>
      </c>
      <c r="BQ504" s="3627">
        <f t="shared" si="303"/>
        <v>32</v>
      </c>
      <c r="BR504" s="3627">
        <f t="shared" si="304"/>
        <v>0</v>
      </c>
      <c r="BS504" s="4056"/>
      <c r="BT504" s="4057"/>
    </row>
    <row r="505" s="3566" customFormat="1" ht="50" customHeight="1" spans="1:72">
      <c r="A505" s="3635">
        <v>45863</v>
      </c>
      <c r="B505" s="3617" t="s">
        <v>1641</v>
      </c>
      <c r="C505" s="3617" t="s">
        <v>396</v>
      </c>
      <c r="D505" s="3618">
        <v>4500175051</v>
      </c>
      <c r="E505" s="3618" t="s">
        <v>7528</v>
      </c>
      <c r="F505" s="3618" t="s">
        <v>7529</v>
      </c>
      <c r="G505" s="959" t="s">
        <v>7030</v>
      </c>
      <c r="H505" s="3618" t="s">
        <v>6166</v>
      </c>
      <c r="I505" s="3618">
        <v>96</v>
      </c>
      <c r="J505" s="3618">
        <v>0</v>
      </c>
      <c r="K505" s="3618">
        <v>32</v>
      </c>
      <c r="L505" s="4052">
        <f t="shared" si="291"/>
        <v>3</v>
      </c>
      <c r="M505" s="3619">
        <v>45905</v>
      </c>
      <c r="N505" s="3619">
        <v>45901</v>
      </c>
      <c r="O505" s="959"/>
      <c r="P505" s="959" t="s">
        <v>82</v>
      </c>
      <c r="Q505" s="3638"/>
      <c r="R505" s="3638"/>
      <c r="S505" s="3638"/>
      <c r="T505" s="4101"/>
      <c r="U505" s="3620" t="s">
        <v>1858</v>
      </c>
      <c r="V505" s="3649" t="s">
        <v>1859</v>
      </c>
      <c r="W505" s="3695"/>
      <c r="X505" s="3657" t="s">
        <v>98</v>
      </c>
      <c r="Y505" s="3636" t="s">
        <v>4727</v>
      </c>
      <c r="Z505" s="3661"/>
      <c r="AA505" s="3620" t="s">
        <v>7515</v>
      </c>
      <c r="AB505" s="3624" t="s">
        <v>369</v>
      </c>
      <c r="AC505" s="3618">
        <v>2.2482</v>
      </c>
      <c r="AD505" s="3618">
        <f t="shared" si="299"/>
        <v>215.8272</v>
      </c>
      <c r="AE505" s="3633"/>
      <c r="AF505" s="959" t="s">
        <v>7031</v>
      </c>
      <c r="AG505" s="3620" t="s">
        <v>416</v>
      </c>
      <c r="AH505" s="3620"/>
      <c r="AI505" s="3620"/>
      <c r="AJ505" s="3620"/>
      <c r="AK505" s="959"/>
      <c r="AL505" s="959"/>
      <c r="AM505" s="959"/>
      <c r="AN505" s="959">
        <f t="shared" si="305"/>
        <v>96</v>
      </c>
      <c r="AO505" s="959"/>
      <c r="AP505" s="3618"/>
      <c r="AQ505" s="3618">
        <f t="shared" si="306"/>
        <v>96</v>
      </c>
      <c r="AR505" s="3626"/>
      <c r="AS505" s="3626"/>
      <c r="AT505" s="3626"/>
      <c r="AU505" s="3626"/>
      <c r="AV505" s="3626">
        <f t="shared" si="307"/>
        <v>96</v>
      </c>
      <c r="AW505" s="3626"/>
      <c r="AX505" s="3626"/>
      <c r="AY505" s="3626"/>
      <c r="AZ505" s="3626"/>
      <c r="BA505" s="3626"/>
      <c r="BB505" s="3626"/>
      <c r="BC505" s="3626"/>
      <c r="BD505" s="3626"/>
      <c r="BE505" s="3626"/>
      <c r="BF505" s="3626"/>
      <c r="BG505" s="3626"/>
      <c r="BH505" s="3626"/>
      <c r="BI505" s="3626" t="s">
        <v>89</v>
      </c>
      <c r="BJ505" s="3626"/>
      <c r="BK505" s="3626"/>
      <c r="BL505" s="3626"/>
      <c r="BM505" s="3626"/>
      <c r="BN505" s="3626"/>
      <c r="BO505" s="4055"/>
      <c r="BP505" s="3627">
        <f t="shared" ref="BP505:BP510" si="308">I505</f>
        <v>96</v>
      </c>
      <c r="BQ505" s="3627">
        <f t="shared" si="303"/>
        <v>96</v>
      </c>
      <c r="BR505" s="3627">
        <f t="shared" si="304"/>
        <v>0</v>
      </c>
      <c r="BS505" s="4056"/>
      <c r="BT505" s="4057"/>
    </row>
    <row r="506" s="3566" customFormat="1" ht="50" customHeight="1" spans="1:72">
      <c r="A506" s="3635">
        <v>45863</v>
      </c>
      <c r="B506" s="3617" t="s">
        <v>1641</v>
      </c>
      <c r="C506" s="3617" t="s">
        <v>396</v>
      </c>
      <c r="D506" s="3618">
        <v>4500175051</v>
      </c>
      <c r="E506" s="3618" t="s">
        <v>7530</v>
      </c>
      <c r="F506" s="3618" t="s">
        <v>7531</v>
      </c>
      <c r="G506" s="959" t="s">
        <v>7030</v>
      </c>
      <c r="H506" s="3618" t="s">
        <v>6166</v>
      </c>
      <c r="I506" s="3618">
        <v>32</v>
      </c>
      <c r="J506" s="3618">
        <v>0</v>
      </c>
      <c r="K506" s="3618">
        <v>32</v>
      </c>
      <c r="L506" s="4052">
        <f t="shared" si="291"/>
        <v>1</v>
      </c>
      <c r="M506" s="3619">
        <v>45905</v>
      </c>
      <c r="N506" s="3619">
        <v>45901</v>
      </c>
      <c r="O506" s="959"/>
      <c r="P506" s="959" t="s">
        <v>82</v>
      </c>
      <c r="Q506" s="3638"/>
      <c r="R506" s="3638"/>
      <c r="S506" s="3638"/>
      <c r="T506" s="4101"/>
      <c r="U506" s="3620" t="s">
        <v>1858</v>
      </c>
      <c r="V506" s="3649" t="s">
        <v>1859</v>
      </c>
      <c r="W506" s="3695"/>
      <c r="X506" s="3657" t="s">
        <v>98</v>
      </c>
      <c r="Y506" s="3636" t="s">
        <v>4727</v>
      </c>
      <c r="Z506" s="3661"/>
      <c r="AA506" s="3620" t="s">
        <v>7515</v>
      </c>
      <c r="AB506" s="3624" t="s">
        <v>369</v>
      </c>
      <c r="AC506" s="3618">
        <v>2.2482</v>
      </c>
      <c r="AD506" s="3618">
        <f t="shared" si="299"/>
        <v>71.9424</v>
      </c>
      <c r="AE506" s="3633"/>
      <c r="AF506" s="959" t="s">
        <v>7031</v>
      </c>
      <c r="AG506" s="3620" t="s">
        <v>416</v>
      </c>
      <c r="AH506" s="3620"/>
      <c r="AI506" s="3620"/>
      <c r="AJ506" s="3620"/>
      <c r="AK506" s="959"/>
      <c r="AL506" s="959"/>
      <c r="AM506" s="959"/>
      <c r="AN506" s="959">
        <f t="shared" si="305"/>
        <v>32</v>
      </c>
      <c r="AO506" s="959"/>
      <c r="AP506" s="3618"/>
      <c r="AQ506" s="3618">
        <f t="shared" si="306"/>
        <v>32</v>
      </c>
      <c r="AR506" s="3626"/>
      <c r="AS506" s="3626"/>
      <c r="AT506" s="3626"/>
      <c r="AU506" s="3626"/>
      <c r="AV506" s="3626">
        <f t="shared" si="307"/>
        <v>32</v>
      </c>
      <c r="AW506" s="3626"/>
      <c r="AX506" s="3626"/>
      <c r="AY506" s="3626"/>
      <c r="AZ506" s="3626"/>
      <c r="BA506" s="3626"/>
      <c r="BB506" s="3626"/>
      <c r="BC506" s="3626"/>
      <c r="BD506" s="3626"/>
      <c r="BE506" s="3626"/>
      <c r="BF506" s="3626"/>
      <c r="BG506" s="3626"/>
      <c r="BH506" s="3626"/>
      <c r="BI506" s="3626" t="s">
        <v>89</v>
      </c>
      <c r="BJ506" s="3626"/>
      <c r="BK506" s="3626"/>
      <c r="BL506" s="3626"/>
      <c r="BM506" s="3626"/>
      <c r="BN506" s="3626"/>
      <c r="BO506" s="4055"/>
      <c r="BP506" s="3627">
        <f t="shared" si="308"/>
        <v>32</v>
      </c>
      <c r="BQ506" s="3627">
        <f t="shared" si="303"/>
        <v>32</v>
      </c>
      <c r="BR506" s="3627">
        <f t="shared" si="304"/>
        <v>0</v>
      </c>
      <c r="BS506" s="4056"/>
      <c r="BT506" s="4057"/>
    </row>
    <row r="507" s="3566" customFormat="1" ht="50" customHeight="1" spans="1:72">
      <c r="A507" s="3635">
        <v>45863</v>
      </c>
      <c r="B507" s="3617" t="s">
        <v>1641</v>
      </c>
      <c r="C507" s="3617" t="s">
        <v>396</v>
      </c>
      <c r="D507" s="3618">
        <v>4500175051</v>
      </c>
      <c r="E507" s="3618" t="s">
        <v>7532</v>
      </c>
      <c r="F507" s="3618" t="s">
        <v>7533</v>
      </c>
      <c r="G507" s="959" t="s">
        <v>7030</v>
      </c>
      <c r="H507" s="3618" t="s">
        <v>6166</v>
      </c>
      <c r="I507" s="3618">
        <v>64</v>
      </c>
      <c r="J507" s="3618">
        <v>0</v>
      </c>
      <c r="K507" s="3618">
        <v>32</v>
      </c>
      <c r="L507" s="4052">
        <f t="shared" si="291"/>
        <v>2</v>
      </c>
      <c r="M507" s="3619">
        <v>45905</v>
      </c>
      <c r="N507" s="3619">
        <v>45901</v>
      </c>
      <c r="O507" s="959"/>
      <c r="P507" s="959" t="s">
        <v>82</v>
      </c>
      <c r="Q507" s="3638"/>
      <c r="R507" s="3638"/>
      <c r="S507" s="3638"/>
      <c r="T507" s="4101"/>
      <c r="U507" s="3620" t="s">
        <v>1858</v>
      </c>
      <c r="V507" s="3649" t="s">
        <v>1859</v>
      </c>
      <c r="W507" s="3695"/>
      <c r="X507" s="3657" t="s">
        <v>98</v>
      </c>
      <c r="Y507" s="3636" t="s">
        <v>4727</v>
      </c>
      <c r="Z507" s="3661"/>
      <c r="AA507" s="3620" t="s">
        <v>7515</v>
      </c>
      <c r="AB507" s="3624" t="s">
        <v>369</v>
      </c>
      <c r="AC507" s="3618">
        <v>2.2482</v>
      </c>
      <c r="AD507" s="3618">
        <f t="shared" si="299"/>
        <v>143.8848</v>
      </c>
      <c r="AE507" s="3633"/>
      <c r="AF507" s="959" t="s">
        <v>7031</v>
      </c>
      <c r="AG507" s="3620" t="s">
        <v>416</v>
      </c>
      <c r="AH507" s="3620"/>
      <c r="AI507" s="3620"/>
      <c r="AJ507" s="3620"/>
      <c r="AK507" s="959"/>
      <c r="AL507" s="959"/>
      <c r="AM507" s="959"/>
      <c r="AN507" s="959">
        <f t="shared" si="305"/>
        <v>64</v>
      </c>
      <c r="AO507" s="959"/>
      <c r="AP507" s="3618"/>
      <c r="AQ507" s="3618">
        <f t="shared" si="306"/>
        <v>64</v>
      </c>
      <c r="AR507" s="3626"/>
      <c r="AS507" s="3626"/>
      <c r="AT507" s="3626"/>
      <c r="AU507" s="3626"/>
      <c r="AV507" s="3626">
        <f t="shared" si="307"/>
        <v>64</v>
      </c>
      <c r="AW507" s="3626"/>
      <c r="AX507" s="3626"/>
      <c r="AY507" s="3626"/>
      <c r="AZ507" s="3626"/>
      <c r="BA507" s="3626"/>
      <c r="BB507" s="3626"/>
      <c r="BC507" s="3626"/>
      <c r="BD507" s="3626"/>
      <c r="BE507" s="3626"/>
      <c r="BF507" s="3626"/>
      <c r="BG507" s="3626"/>
      <c r="BH507" s="3626"/>
      <c r="BI507" s="3626" t="s">
        <v>89</v>
      </c>
      <c r="BJ507" s="3626"/>
      <c r="BK507" s="3626"/>
      <c r="BL507" s="3626"/>
      <c r="BM507" s="3626"/>
      <c r="BN507" s="3626"/>
      <c r="BO507" s="4055"/>
      <c r="BP507" s="3627">
        <f t="shared" si="308"/>
        <v>64</v>
      </c>
      <c r="BQ507" s="3627">
        <f t="shared" si="303"/>
        <v>64</v>
      </c>
      <c r="BR507" s="3627">
        <f t="shared" si="304"/>
        <v>0</v>
      </c>
      <c r="BS507" s="4056"/>
      <c r="BT507" s="4057"/>
    </row>
    <row r="508" s="3566" customFormat="1" ht="50" customHeight="1" spans="1:72">
      <c r="A508" s="3635">
        <v>45863</v>
      </c>
      <c r="B508" s="3617" t="s">
        <v>1641</v>
      </c>
      <c r="C508" s="3617" t="s">
        <v>396</v>
      </c>
      <c r="D508" s="3618">
        <v>4500175051</v>
      </c>
      <c r="E508" s="3618" t="s">
        <v>7534</v>
      </c>
      <c r="F508" s="3618" t="s">
        <v>7535</v>
      </c>
      <c r="G508" s="959" t="s">
        <v>7030</v>
      </c>
      <c r="H508" s="3618" t="s">
        <v>6166</v>
      </c>
      <c r="I508" s="3618">
        <v>160</v>
      </c>
      <c r="J508" s="3618">
        <v>0</v>
      </c>
      <c r="K508" s="3618">
        <v>32</v>
      </c>
      <c r="L508" s="4052">
        <f t="shared" si="291"/>
        <v>5</v>
      </c>
      <c r="M508" s="3619">
        <v>45905</v>
      </c>
      <c r="N508" s="3619">
        <v>45901</v>
      </c>
      <c r="O508" s="959"/>
      <c r="P508" s="959" t="s">
        <v>82</v>
      </c>
      <c r="Q508" s="3638"/>
      <c r="R508" s="3638"/>
      <c r="S508" s="3638"/>
      <c r="T508" s="4101"/>
      <c r="U508" s="3620" t="s">
        <v>1858</v>
      </c>
      <c r="V508" s="3649" t="s">
        <v>1859</v>
      </c>
      <c r="W508" s="3695"/>
      <c r="X508" s="3657" t="s">
        <v>98</v>
      </c>
      <c r="Y508" s="3636" t="s">
        <v>4727</v>
      </c>
      <c r="Z508" s="3661"/>
      <c r="AA508" s="3620" t="s">
        <v>7515</v>
      </c>
      <c r="AB508" s="3624" t="s">
        <v>369</v>
      </c>
      <c r="AC508" s="3618">
        <v>2.2482</v>
      </c>
      <c r="AD508" s="3618">
        <f t="shared" si="299"/>
        <v>359.712</v>
      </c>
      <c r="AE508" s="3633"/>
      <c r="AF508" s="959" t="s">
        <v>7031</v>
      </c>
      <c r="AG508" s="3620" t="s">
        <v>416</v>
      </c>
      <c r="AH508" s="3620"/>
      <c r="AI508" s="3620"/>
      <c r="AJ508" s="3620"/>
      <c r="AK508" s="959"/>
      <c r="AL508" s="959"/>
      <c r="AM508" s="959"/>
      <c r="AN508" s="959">
        <f t="shared" si="305"/>
        <v>160</v>
      </c>
      <c r="AO508" s="959"/>
      <c r="AP508" s="3618"/>
      <c r="AQ508" s="3618">
        <f t="shared" si="306"/>
        <v>160</v>
      </c>
      <c r="AR508" s="3626"/>
      <c r="AS508" s="3626"/>
      <c r="AT508" s="3626"/>
      <c r="AU508" s="3626"/>
      <c r="AV508" s="3626">
        <f t="shared" si="307"/>
        <v>160</v>
      </c>
      <c r="AW508" s="3626"/>
      <c r="AX508" s="3626"/>
      <c r="AY508" s="3626"/>
      <c r="AZ508" s="3626"/>
      <c r="BA508" s="3626"/>
      <c r="BB508" s="3626"/>
      <c r="BC508" s="3626"/>
      <c r="BD508" s="3626"/>
      <c r="BE508" s="3626"/>
      <c r="BF508" s="3626"/>
      <c r="BG508" s="3626"/>
      <c r="BH508" s="3626"/>
      <c r="BI508" s="3626" t="s">
        <v>89</v>
      </c>
      <c r="BJ508" s="3626"/>
      <c r="BK508" s="3626"/>
      <c r="BL508" s="3626"/>
      <c r="BM508" s="3626"/>
      <c r="BN508" s="3626"/>
      <c r="BO508" s="4055"/>
      <c r="BP508" s="3627">
        <f t="shared" si="308"/>
        <v>160</v>
      </c>
      <c r="BQ508" s="3627">
        <f t="shared" si="303"/>
        <v>160</v>
      </c>
      <c r="BR508" s="3627">
        <f t="shared" si="304"/>
        <v>0</v>
      </c>
      <c r="BS508" s="4056"/>
      <c r="BT508" s="4057"/>
    </row>
    <row r="509" s="3566" customFormat="1" ht="50" customHeight="1" spans="1:72">
      <c r="A509" s="3635">
        <v>45863</v>
      </c>
      <c r="B509" s="3617" t="s">
        <v>1641</v>
      </c>
      <c r="C509" s="3617" t="s">
        <v>396</v>
      </c>
      <c r="D509" s="3618">
        <v>4500175051</v>
      </c>
      <c r="E509" s="3618" t="s">
        <v>7536</v>
      </c>
      <c r="F509" s="3618" t="s">
        <v>7537</v>
      </c>
      <c r="G509" s="959" t="s">
        <v>7030</v>
      </c>
      <c r="H509" s="3618" t="s">
        <v>6166</v>
      </c>
      <c r="I509" s="3618">
        <v>32</v>
      </c>
      <c r="J509" s="3618">
        <v>0</v>
      </c>
      <c r="K509" s="3618">
        <v>32</v>
      </c>
      <c r="L509" s="4052">
        <f t="shared" si="291"/>
        <v>1</v>
      </c>
      <c r="M509" s="3619">
        <v>45905</v>
      </c>
      <c r="N509" s="3619">
        <v>45901</v>
      </c>
      <c r="O509" s="959"/>
      <c r="P509" s="959" t="s">
        <v>82</v>
      </c>
      <c r="Q509" s="3638"/>
      <c r="R509" s="3638"/>
      <c r="S509" s="3638"/>
      <c r="T509" s="4101"/>
      <c r="U509" s="3620" t="s">
        <v>1858</v>
      </c>
      <c r="V509" s="3649" t="s">
        <v>1859</v>
      </c>
      <c r="W509" s="3695"/>
      <c r="X509" s="3657" t="s">
        <v>98</v>
      </c>
      <c r="Y509" s="3636" t="s">
        <v>4727</v>
      </c>
      <c r="Z509" s="3661"/>
      <c r="AA509" s="3620" t="s">
        <v>7515</v>
      </c>
      <c r="AB509" s="3624" t="s">
        <v>369</v>
      </c>
      <c r="AC509" s="3618">
        <v>2.2482</v>
      </c>
      <c r="AD509" s="3618">
        <f t="shared" si="299"/>
        <v>71.9424</v>
      </c>
      <c r="AE509" s="3633"/>
      <c r="AF509" s="959" t="s">
        <v>7031</v>
      </c>
      <c r="AG509" s="3620" t="s">
        <v>416</v>
      </c>
      <c r="AH509" s="3620"/>
      <c r="AI509" s="3620"/>
      <c r="AJ509" s="3620"/>
      <c r="AK509" s="959"/>
      <c r="AL509" s="959"/>
      <c r="AM509" s="959"/>
      <c r="AN509" s="959">
        <f t="shared" si="305"/>
        <v>32</v>
      </c>
      <c r="AO509" s="959"/>
      <c r="AP509" s="3618"/>
      <c r="AQ509" s="3618">
        <f t="shared" si="306"/>
        <v>32</v>
      </c>
      <c r="AR509" s="3626"/>
      <c r="AS509" s="3626"/>
      <c r="AT509" s="3626"/>
      <c r="AU509" s="3626"/>
      <c r="AV509" s="3626">
        <f t="shared" si="307"/>
        <v>32</v>
      </c>
      <c r="AW509" s="3626"/>
      <c r="AX509" s="3626"/>
      <c r="AY509" s="3626"/>
      <c r="AZ509" s="3626"/>
      <c r="BA509" s="3626"/>
      <c r="BB509" s="3626"/>
      <c r="BC509" s="3626"/>
      <c r="BD509" s="3626"/>
      <c r="BE509" s="3626"/>
      <c r="BF509" s="3626"/>
      <c r="BG509" s="3626"/>
      <c r="BH509" s="3626"/>
      <c r="BI509" s="3626" t="s">
        <v>89</v>
      </c>
      <c r="BJ509" s="3626"/>
      <c r="BK509" s="3626"/>
      <c r="BL509" s="3626"/>
      <c r="BM509" s="3626"/>
      <c r="BN509" s="3626"/>
      <c r="BO509" s="4055"/>
      <c r="BP509" s="3627">
        <f t="shared" si="308"/>
        <v>32</v>
      </c>
      <c r="BQ509" s="3627">
        <f t="shared" si="303"/>
        <v>32</v>
      </c>
      <c r="BR509" s="3627">
        <f t="shared" si="304"/>
        <v>0</v>
      </c>
      <c r="BS509" s="4056"/>
      <c r="BT509" s="4057"/>
    </row>
    <row r="510" s="3566" customFormat="1" ht="50" customHeight="1" spans="1:72">
      <c r="A510" s="3635">
        <v>45863</v>
      </c>
      <c r="B510" s="3617" t="s">
        <v>1641</v>
      </c>
      <c r="C510" s="3617" t="s">
        <v>396</v>
      </c>
      <c r="D510" s="3618">
        <v>4500175051</v>
      </c>
      <c r="E510" s="3618" t="s">
        <v>7538</v>
      </c>
      <c r="F510" s="3618" t="s">
        <v>7539</v>
      </c>
      <c r="G510" s="959" t="s">
        <v>7030</v>
      </c>
      <c r="H510" s="3618" t="s">
        <v>6166</v>
      </c>
      <c r="I510" s="3618">
        <v>96</v>
      </c>
      <c r="J510" s="3618">
        <v>0</v>
      </c>
      <c r="K510" s="3618">
        <v>32</v>
      </c>
      <c r="L510" s="4052">
        <f t="shared" si="291"/>
        <v>3</v>
      </c>
      <c r="M510" s="3619">
        <v>45905</v>
      </c>
      <c r="N510" s="3619">
        <v>45901</v>
      </c>
      <c r="O510" s="959"/>
      <c r="P510" s="959" t="s">
        <v>82</v>
      </c>
      <c r="Q510" s="3638"/>
      <c r="R510" s="3638"/>
      <c r="S510" s="3638"/>
      <c r="T510" s="4101"/>
      <c r="U510" s="3620" t="s">
        <v>1858</v>
      </c>
      <c r="V510" s="3649" t="s">
        <v>1859</v>
      </c>
      <c r="W510" s="3695"/>
      <c r="X510" s="3657" t="s">
        <v>98</v>
      </c>
      <c r="Y510" s="3636" t="s">
        <v>4727</v>
      </c>
      <c r="Z510" s="3661"/>
      <c r="AA510" s="3620" t="s">
        <v>7515</v>
      </c>
      <c r="AB510" s="3624" t="s">
        <v>369</v>
      </c>
      <c r="AC510" s="3618">
        <v>2.2482</v>
      </c>
      <c r="AD510" s="3618">
        <f t="shared" si="299"/>
        <v>215.8272</v>
      </c>
      <c r="AE510" s="3633"/>
      <c r="AF510" s="959" t="s">
        <v>7031</v>
      </c>
      <c r="AG510" s="3620" t="s">
        <v>416</v>
      </c>
      <c r="AH510" s="3620"/>
      <c r="AI510" s="3620"/>
      <c r="AJ510" s="3620"/>
      <c r="AK510" s="959"/>
      <c r="AL510" s="959"/>
      <c r="AM510" s="959"/>
      <c r="AN510" s="959">
        <f t="shared" si="305"/>
        <v>96</v>
      </c>
      <c r="AO510" s="959"/>
      <c r="AP510" s="3618"/>
      <c r="AQ510" s="3618">
        <f t="shared" si="306"/>
        <v>96</v>
      </c>
      <c r="AR510" s="3626"/>
      <c r="AS510" s="3626"/>
      <c r="AT510" s="3626"/>
      <c r="AU510" s="3626"/>
      <c r="AV510" s="3626">
        <f t="shared" si="307"/>
        <v>96</v>
      </c>
      <c r="AW510" s="3626"/>
      <c r="AX510" s="3626"/>
      <c r="AY510" s="3626"/>
      <c r="AZ510" s="3626"/>
      <c r="BA510" s="3626"/>
      <c r="BB510" s="3626"/>
      <c r="BC510" s="3626"/>
      <c r="BD510" s="3626"/>
      <c r="BE510" s="3626"/>
      <c r="BF510" s="3626"/>
      <c r="BG510" s="3626"/>
      <c r="BH510" s="3626"/>
      <c r="BI510" s="3626" t="s">
        <v>89</v>
      </c>
      <c r="BJ510" s="3626"/>
      <c r="BK510" s="3626"/>
      <c r="BL510" s="3626"/>
      <c r="BM510" s="3626"/>
      <c r="BN510" s="3626"/>
      <c r="BO510" s="4055"/>
      <c r="BP510" s="3627">
        <f t="shared" si="308"/>
        <v>96</v>
      </c>
      <c r="BQ510" s="3627">
        <f t="shared" si="303"/>
        <v>96</v>
      </c>
      <c r="BR510" s="3627">
        <f t="shared" si="304"/>
        <v>0</v>
      </c>
      <c r="BS510" s="4056"/>
      <c r="BT510" s="4057"/>
    </row>
    <row r="511" s="3566" customFormat="1" ht="50" customHeight="1" spans="1:72">
      <c r="A511" s="3635">
        <v>45863</v>
      </c>
      <c r="B511" s="3617" t="s">
        <v>1641</v>
      </c>
      <c r="C511" s="3617" t="s">
        <v>396</v>
      </c>
      <c r="D511" s="3618">
        <v>4500175043</v>
      </c>
      <c r="E511" s="3618" t="s">
        <v>7540</v>
      </c>
      <c r="F511" s="3618" t="s">
        <v>7541</v>
      </c>
      <c r="G511" s="959" t="s">
        <v>6091</v>
      </c>
      <c r="H511" s="3618" t="s">
        <v>6092</v>
      </c>
      <c r="I511" s="3618">
        <v>32</v>
      </c>
      <c r="J511" s="3618">
        <v>0</v>
      </c>
      <c r="K511" s="3618">
        <v>32</v>
      </c>
      <c r="L511" s="4052">
        <f t="shared" si="291"/>
        <v>1</v>
      </c>
      <c r="M511" s="3619">
        <v>45905</v>
      </c>
      <c r="N511" s="3619">
        <v>45901</v>
      </c>
      <c r="O511" s="959"/>
      <c r="P511" s="959" t="s">
        <v>82</v>
      </c>
      <c r="Q511" s="3638"/>
      <c r="R511" s="3638"/>
      <c r="S511" s="3638"/>
      <c r="T511" s="4101"/>
      <c r="U511" s="3620" t="s">
        <v>1858</v>
      </c>
      <c r="V511" s="3649" t="s">
        <v>1859</v>
      </c>
      <c r="W511" s="3695"/>
      <c r="X511" s="3657" t="s">
        <v>98</v>
      </c>
      <c r="Y511" s="3636" t="s">
        <v>4727</v>
      </c>
      <c r="Z511" s="3661"/>
      <c r="AA511" s="3620" t="s">
        <v>7491</v>
      </c>
      <c r="AB511" s="3624" t="s">
        <v>369</v>
      </c>
      <c r="AC511" s="3618">
        <v>2.3617</v>
      </c>
      <c r="AD511" s="3618">
        <f t="shared" si="299"/>
        <v>75.5744</v>
      </c>
      <c r="AE511" s="3633"/>
      <c r="AF511" s="959" t="s">
        <v>6096</v>
      </c>
      <c r="AG511" s="3620" t="s">
        <v>416</v>
      </c>
      <c r="AH511" s="3620"/>
      <c r="AI511" s="3620"/>
      <c r="AJ511" s="3620"/>
      <c r="AK511" s="959"/>
      <c r="AL511" s="959"/>
      <c r="AM511" s="959"/>
      <c r="AN511" s="959">
        <f t="shared" ref="AN511:AN518" si="309">I511</f>
        <v>32</v>
      </c>
      <c r="AO511" s="959"/>
      <c r="AP511" s="3618"/>
      <c r="AQ511" s="3618">
        <f t="shared" si="306"/>
        <v>32</v>
      </c>
      <c r="AR511" s="3626"/>
      <c r="AS511" s="3626"/>
      <c r="AT511" s="3626"/>
      <c r="AU511" s="3626"/>
      <c r="AV511" s="3626">
        <f t="shared" ref="AV511:AV518" si="310">I511</f>
        <v>32</v>
      </c>
      <c r="AW511" s="3626"/>
      <c r="AX511" s="3626"/>
      <c r="AY511" s="3626"/>
      <c r="AZ511" s="3626"/>
      <c r="BA511" s="3626"/>
      <c r="BB511" s="3626"/>
      <c r="BC511" s="3626"/>
      <c r="BD511" s="3626"/>
      <c r="BE511" s="3626"/>
      <c r="BF511" s="3626"/>
      <c r="BG511" s="3626"/>
      <c r="BH511" s="3626"/>
      <c r="BI511" s="3626" t="s">
        <v>89</v>
      </c>
      <c r="BJ511" s="3626">
        <f t="shared" ref="BJ511:BJ525" si="311">I511/60*2</f>
        <v>1.06666666666667</v>
      </c>
      <c r="BK511" s="3626"/>
      <c r="BL511" s="3626"/>
      <c r="BM511" s="3626"/>
      <c r="BN511" s="3626"/>
      <c r="BO511" s="4055">
        <f>I511-BJ511</f>
        <v>30.9333333333333</v>
      </c>
      <c r="BP511" s="3627"/>
      <c r="BQ511" s="3627">
        <f t="shared" si="303"/>
        <v>32</v>
      </c>
      <c r="BR511" s="3627">
        <f t="shared" si="304"/>
        <v>0</v>
      </c>
      <c r="BS511" s="4056"/>
      <c r="BT511" s="4057"/>
    </row>
    <row r="512" s="3566" customFormat="1" ht="50" customHeight="1" spans="1:72">
      <c r="A512" s="3635">
        <v>45863</v>
      </c>
      <c r="B512" s="3617" t="s">
        <v>1641</v>
      </c>
      <c r="C512" s="3617" t="s">
        <v>396</v>
      </c>
      <c r="D512" s="3618">
        <v>4500175043</v>
      </c>
      <c r="E512" s="3618" t="s">
        <v>7542</v>
      </c>
      <c r="F512" s="3618" t="s">
        <v>7543</v>
      </c>
      <c r="G512" s="959" t="s">
        <v>6091</v>
      </c>
      <c r="H512" s="3618" t="s">
        <v>6092</v>
      </c>
      <c r="I512" s="3618">
        <v>96</v>
      </c>
      <c r="J512" s="3618">
        <v>0</v>
      </c>
      <c r="K512" s="3618">
        <v>32</v>
      </c>
      <c r="L512" s="4052">
        <f t="shared" si="291"/>
        <v>3</v>
      </c>
      <c r="M512" s="3619">
        <v>45905</v>
      </c>
      <c r="N512" s="3619">
        <v>45901</v>
      </c>
      <c r="O512" s="959"/>
      <c r="P512" s="959" t="s">
        <v>82</v>
      </c>
      <c r="Q512" s="3638"/>
      <c r="R512" s="3638"/>
      <c r="S512" s="3638"/>
      <c r="T512" s="4101"/>
      <c r="U512" s="3620" t="s">
        <v>1858</v>
      </c>
      <c r="V512" s="3649" t="s">
        <v>1859</v>
      </c>
      <c r="W512" s="3695"/>
      <c r="X512" s="3657" t="s">
        <v>98</v>
      </c>
      <c r="Y512" s="3636" t="s">
        <v>4727</v>
      </c>
      <c r="Z512" s="3661"/>
      <c r="AA512" s="3620" t="s">
        <v>7491</v>
      </c>
      <c r="AB512" s="3624" t="s">
        <v>369</v>
      </c>
      <c r="AC512" s="3618">
        <v>2.3617</v>
      </c>
      <c r="AD512" s="3618">
        <f t="shared" si="299"/>
        <v>226.7232</v>
      </c>
      <c r="AE512" s="3633"/>
      <c r="AF512" s="959" t="s">
        <v>6096</v>
      </c>
      <c r="AG512" s="3620" t="s">
        <v>416</v>
      </c>
      <c r="AH512" s="3620"/>
      <c r="AI512" s="3620"/>
      <c r="AJ512" s="3620"/>
      <c r="AK512" s="959"/>
      <c r="AL512" s="959"/>
      <c r="AM512" s="959"/>
      <c r="AN512" s="959">
        <f t="shared" si="309"/>
        <v>96</v>
      </c>
      <c r="AO512" s="959"/>
      <c r="AP512" s="3618"/>
      <c r="AQ512" s="3618">
        <f t="shared" si="306"/>
        <v>96</v>
      </c>
      <c r="AR512" s="3626"/>
      <c r="AS512" s="3626"/>
      <c r="AT512" s="3626"/>
      <c r="AU512" s="3626"/>
      <c r="AV512" s="3626">
        <f t="shared" si="310"/>
        <v>96</v>
      </c>
      <c r="AW512" s="3626"/>
      <c r="AX512" s="3626"/>
      <c r="AY512" s="3626"/>
      <c r="AZ512" s="3626"/>
      <c r="BA512" s="3626"/>
      <c r="BB512" s="3626"/>
      <c r="BC512" s="3626"/>
      <c r="BD512" s="3626"/>
      <c r="BE512" s="3626"/>
      <c r="BF512" s="3626"/>
      <c r="BG512" s="3626"/>
      <c r="BH512" s="3626"/>
      <c r="BI512" s="3626" t="s">
        <v>89</v>
      </c>
      <c r="BJ512" s="3626">
        <f t="shared" si="311"/>
        <v>3.2</v>
      </c>
      <c r="BK512" s="3626"/>
      <c r="BL512" s="3626"/>
      <c r="BM512" s="3626"/>
      <c r="BN512" s="3626"/>
      <c r="BO512" s="4055">
        <f t="shared" ref="BO512:BO518" si="312">I512-BJ512</f>
        <v>92.8</v>
      </c>
      <c r="BP512" s="3627"/>
      <c r="BQ512" s="3627">
        <f t="shared" si="303"/>
        <v>96</v>
      </c>
      <c r="BR512" s="3627">
        <f t="shared" si="304"/>
        <v>0</v>
      </c>
      <c r="BS512" s="4056"/>
      <c r="BT512" s="4057"/>
    </row>
    <row r="513" s="3566" customFormat="1" ht="50" customHeight="1" spans="1:72">
      <c r="A513" s="3635">
        <v>45863</v>
      </c>
      <c r="B513" s="3617" t="s">
        <v>1641</v>
      </c>
      <c r="C513" s="3617" t="s">
        <v>396</v>
      </c>
      <c r="D513" s="3618">
        <v>4500175043</v>
      </c>
      <c r="E513" s="3618" t="s">
        <v>7544</v>
      </c>
      <c r="F513" s="3618" t="s">
        <v>7545</v>
      </c>
      <c r="G513" s="959" t="s">
        <v>6091</v>
      </c>
      <c r="H513" s="3618" t="s">
        <v>6092</v>
      </c>
      <c r="I513" s="3618">
        <v>32</v>
      </c>
      <c r="J513" s="3618">
        <v>0</v>
      </c>
      <c r="K513" s="3618">
        <v>32</v>
      </c>
      <c r="L513" s="4052">
        <f t="shared" si="291"/>
        <v>1</v>
      </c>
      <c r="M513" s="3619">
        <v>45905</v>
      </c>
      <c r="N513" s="3619">
        <v>45901</v>
      </c>
      <c r="O513" s="959"/>
      <c r="P513" s="959" t="s">
        <v>82</v>
      </c>
      <c r="Q513" s="3638"/>
      <c r="R513" s="3638"/>
      <c r="S513" s="3638"/>
      <c r="T513" s="4101"/>
      <c r="U513" s="3620" t="s">
        <v>1858</v>
      </c>
      <c r="V513" s="3649" t="s">
        <v>1859</v>
      </c>
      <c r="W513" s="3695"/>
      <c r="X513" s="3657" t="s">
        <v>98</v>
      </c>
      <c r="Y513" s="3636" t="s">
        <v>4727</v>
      </c>
      <c r="Z513" s="3661"/>
      <c r="AA513" s="3620" t="s">
        <v>7491</v>
      </c>
      <c r="AB513" s="3624" t="s">
        <v>369</v>
      </c>
      <c r="AC513" s="3618">
        <v>2.3617</v>
      </c>
      <c r="AD513" s="3618">
        <f t="shared" si="299"/>
        <v>75.5744</v>
      </c>
      <c r="AE513" s="3633"/>
      <c r="AF513" s="959" t="s">
        <v>6096</v>
      </c>
      <c r="AG513" s="3620" t="s">
        <v>416</v>
      </c>
      <c r="AH513" s="3620"/>
      <c r="AI513" s="3620"/>
      <c r="AJ513" s="3620"/>
      <c r="AK513" s="959"/>
      <c r="AL513" s="959"/>
      <c r="AM513" s="959"/>
      <c r="AN513" s="959">
        <f t="shared" si="309"/>
        <v>32</v>
      </c>
      <c r="AO513" s="959"/>
      <c r="AP513" s="3618"/>
      <c r="AQ513" s="3618">
        <f t="shared" si="306"/>
        <v>32</v>
      </c>
      <c r="AR513" s="3626"/>
      <c r="AS513" s="3626"/>
      <c r="AT513" s="3626"/>
      <c r="AU513" s="3626"/>
      <c r="AV513" s="3626">
        <f t="shared" si="310"/>
        <v>32</v>
      </c>
      <c r="AW513" s="3626"/>
      <c r="AX513" s="3626"/>
      <c r="AY513" s="3626"/>
      <c r="AZ513" s="3626"/>
      <c r="BA513" s="3626"/>
      <c r="BB513" s="3626"/>
      <c r="BC513" s="3626"/>
      <c r="BD513" s="3626"/>
      <c r="BE513" s="3626"/>
      <c r="BF513" s="3626"/>
      <c r="BG513" s="3626"/>
      <c r="BH513" s="3626"/>
      <c r="BI513" s="3626" t="s">
        <v>89</v>
      </c>
      <c r="BJ513" s="3626">
        <f t="shared" si="311"/>
        <v>1.06666666666667</v>
      </c>
      <c r="BK513" s="3626"/>
      <c r="BL513" s="3626"/>
      <c r="BM513" s="3626"/>
      <c r="BN513" s="3626"/>
      <c r="BO513" s="4055">
        <f t="shared" si="312"/>
        <v>30.9333333333333</v>
      </c>
      <c r="BP513" s="3627"/>
      <c r="BQ513" s="3627">
        <f t="shared" si="303"/>
        <v>32</v>
      </c>
      <c r="BR513" s="3627">
        <f t="shared" si="304"/>
        <v>0</v>
      </c>
      <c r="BS513" s="4056"/>
      <c r="BT513" s="4057"/>
    </row>
    <row r="514" s="3566" customFormat="1" ht="50" customHeight="1" spans="1:72">
      <c r="A514" s="3635">
        <v>45863</v>
      </c>
      <c r="B514" s="3617" t="s">
        <v>1641</v>
      </c>
      <c r="C514" s="3617" t="s">
        <v>396</v>
      </c>
      <c r="D514" s="3618">
        <v>4500175043</v>
      </c>
      <c r="E514" s="3618" t="s">
        <v>7546</v>
      </c>
      <c r="F514" s="3618" t="s">
        <v>7547</v>
      </c>
      <c r="G514" s="959" t="s">
        <v>6091</v>
      </c>
      <c r="H514" s="3618" t="s">
        <v>6092</v>
      </c>
      <c r="I514" s="3618">
        <v>160</v>
      </c>
      <c r="J514" s="3618">
        <v>0</v>
      </c>
      <c r="K514" s="3618">
        <v>32</v>
      </c>
      <c r="L514" s="4052">
        <f t="shared" si="291"/>
        <v>5</v>
      </c>
      <c r="M514" s="3619">
        <v>45905</v>
      </c>
      <c r="N514" s="3619">
        <v>45901</v>
      </c>
      <c r="O514" s="959"/>
      <c r="P514" s="959" t="s">
        <v>82</v>
      </c>
      <c r="Q514" s="3638"/>
      <c r="R514" s="3638"/>
      <c r="S514" s="3638"/>
      <c r="T514" s="4101"/>
      <c r="U514" s="3620" t="s">
        <v>1858</v>
      </c>
      <c r="V514" s="3649" t="s">
        <v>1859</v>
      </c>
      <c r="W514" s="3695"/>
      <c r="X514" s="3657" t="s">
        <v>98</v>
      </c>
      <c r="Y514" s="3636" t="s">
        <v>4727</v>
      </c>
      <c r="Z514" s="3661"/>
      <c r="AA514" s="3620" t="s">
        <v>7491</v>
      </c>
      <c r="AB514" s="3624" t="s">
        <v>369</v>
      </c>
      <c r="AC514" s="3618">
        <v>2.3617</v>
      </c>
      <c r="AD514" s="3618">
        <f t="shared" si="299"/>
        <v>377.872</v>
      </c>
      <c r="AE514" s="3633"/>
      <c r="AF514" s="959" t="s">
        <v>6096</v>
      </c>
      <c r="AG514" s="3620" t="s">
        <v>416</v>
      </c>
      <c r="AH514" s="3620"/>
      <c r="AI514" s="3620"/>
      <c r="AJ514" s="3620"/>
      <c r="AK514" s="959"/>
      <c r="AL514" s="959"/>
      <c r="AM514" s="959"/>
      <c r="AN514" s="959">
        <f t="shared" si="309"/>
        <v>160</v>
      </c>
      <c r="AO514" s="959"/>
      <c r="AP514" s="3618"/>
      <c r="AQ514" s="3618">
        <f t="shared" si="306"/>
        <v>160</v>
      </c>
      <c r="AR514" s="3626"/>
      <c r="AS514" s="3626"/>
      <c r="AT514" s="3626"/>
      <c r="AU514" s="3626"/>
      <c r="AV514" s="3626">
        <f t="shared" si="310"/>
        <v>160</v>
      </c>
      <c r="AW514" s="3626"/>
      <c r="AX514" s="3626"/>
      <c r="AY514" s="3626"/>
      <c r="AZ514" s="3626"/>
      <c r="BA514" s="3626"/>
      <c r="BB514" s="3626"/>
      <c r="BC514" s="3626"/>
      <c r="BD514" s="3626"/>
      <c r="BE514" s="3626"/>
      <c r="BF514" s="3626"/>
      <c r="BG514" s="3626"/>
      <c r="BH514" s="3626"/>
      <c r="BI514" s="3626" t="s">
        <v>89</v>
      </c>
      <c r="BJ514" s="3626">
        <f t="shared" si="311"/>
        <v>5.33333333333333</v>
      </c>
      <c r="BK514" s="3626"/>
      <c r="BL514" s="3626"/>
      <c r="BM514" s="3626"/>
      <c r="BN514" s="3626"/>
      <c r="BO514" s="4055">
        <f t="shared" si="312"/>
        <v>154.666666666667</v>
      </c>
      <c r="BP514" s="3627"/>
      <c r="BQ514" s="3627">
        <f t="shared" si="303"/>
        <v>160</v>
      </c>
      <c r="BR514" s="3627">
        <f t="shared" si="304"/>
        <v>0</v>
      </c>
      <c r="BS514" s="4056"/>
      <c r="BT514" s="4057"/>
    </row>
    <row r="515" s="3566" customFormat="1" ht="50" customHeight="1" spans="1:72">
      <c r="A515" s="3635">
        <v>45863</v>
      </c>
      <c r="B515" s="3617" t="s">
        <v>1641</v>
      </c>
      <c r="C515" s="3617" t="s">
        <v>396</v>
      </c>
      <c r="D515" s="3618">
        <v>4500175043</v>
      </c>
      <c r="E515" s="3618" t="s">
        <v>7548</v>
      </c>
      <c r="F515" s="3618" t="s">
        <v>7549</v>
      </c>
      <c r="G515" s="959" t="s">
        <v>6091</v>
      </c>
      <c r="H515" s="3618" t="s">
        <v>6092</v>
      </c>
      <c r="I515" s="3618">
        <v>64</v>
      </c>
      <c r="J515" s="3618">
        <v>0</v>
      </c>
      <c r="K515" s="3618">
        <v>32</v>
      </c>
      <c r="L515" s="4052">
        <f t="shared" si="291"/>
        <v>2</v>
      </c>
      <c r="M515" s="3619">
        <v>45905</v>
      </c>
      <c r="N515" s="3619">
        <v>45901</v>
      </c>
      <c r="O515" s="959"/>
      <c r="P515" s="959" t="s">
        <v>82</v>
      </c>
      <c r="Q515" s="3638"/>
      <c r="R515" s="3638"/>
      <c r="S515" s="3638"/>
      <c r="T515" s="4101"/>
      <c r="U515" s="3620" t="s">
        <v>1858</v>
      </c>
      <c r="V515" s="3649" t="s">
        <v>1859</v>
      </c>
      <c r="W515" s="3695"/>
      <c r="X515" s="3657" t="s">
        <v>98</v>
      </c>
      <c r="Y515" s="3636" t="s">
        <v>4727</v>
      </c>
      <c r="Z515" s="3661"/>
      <c r="AA515" s="3620" t="s">
        <v>7491</v>
      </c>
      <c r="AB515" s="3624" t="s">
        <v>369</v>
      </c>
      <c r="AC515" s="3618">
        <v>2.3617</v>
      </c>
      <c r="AD515" s="3618">
        <f t="shared" si="299"/>
        <v>151.1488</v>
      </c>
      <c r="AE515" s="3633"/>
      <c r="AF515" s="959" t="s">
        <v>6096</v>
      </c>
      <c r="AG515" s="3620" t="s">
        <v>416</v>
      </c>
      <c r="AH515" s="3620"/>
      <c r="AI515" s="3620"/>
      <c r="AJ515" s="3620"/>
      <c r="AK515" s="959"/>
      <c r="AL515" s="959"/>
      <c r="AM515" s="959"/>
      <c r="AN515" s="959">
        <f t="shared" si="309"/>
        <v>64</v>
      </c>
      <c r="AO515" s="959"/>
      <c r="AP515" s="3618"/>
      <c r="AQ515" s="3618">
        <f t="shared" si="306"/>
        <v>64</v>
      </c>
      <c r="AR515" s="3626"/>
      <c r="AS515" s="3626"/>
      <c r="AT515" s="3626"/>
      <c r="AU515" s="3626"/>
      <c r="AV515" s="3626">
        <f t="shared" si="310"/>
        <v>64</v>
      </c>
      <c r="AW515" s="3626"/>
      <c r="AX515" s="3626"/>
      <c r="AY515" s="3626"/>
      <c r="AZ515" s="3626"/>
      <c r="BA515" s="3626"/>
      <c r="BB515" s="3626"/>
      <c r="BC515" s="3626"/>
      <c r="BD515" s="3626"/>
      <c r="BE515" s="3626"/>
      <c r="BF515" s="3626"/>
      <c r="BG515" s="3626"/>
      <c r="BH515" s="3626"/>
      <c r="BI515" s="3626" t="s">
        <v>89</v>
      </c>
      <c r="BJ515" s="3626">
        <f t="shared" si="311"/>
        <v>2.13333333333333</v>
      </c>
      <c r="BK515" s="3626"/>
      <c r="BL515" s="3626"/>
      <c r="BM515" s="3626"/>
      <c r="BN515" s="3626"/>
      <c r="BO515" s="4055">
        <f t="shared" si="312"/>
        <v>61.8666666666667</v>
      </c>
      <c r="BP515" s="3627"/>
      <c r="BQ515" s="3627">
        <f t="shared" si="303"/>
        <v>64</v>
      </c>
      <c r="BR515" s="3627">
        <f t="shared" si="304"/>
        <v>0</v>
      </c>
      <c r="BS515" s="4056"/>
      <c r="BT515" s="4057"/>
    </row>
    <row r="516" s="3566" customFormat="1" ht="50" customHeight="1" spans="1:72">
      <c r="A516" s="3635">
        <v>45863</v>
      </c>
      <c r="B516" s="3617" t="s">
        <v>1641</v>
      </c>
      <c r="C516" s="3617" t="s">
        <v>396</v>
      </c>
      <c r="D516" s="3618">
        <v>4500175043</v>
      </c>
      <c r="E516" s="3618" t="s">
        <v>7550</v>
      </c>
      <c r="F516" s="3618" t="s">
        <v>7551</v>
      </c>
      <c r="G516" s="959" t="s">
        <v>6091</v>
      </c>
      <c r="H516" s="3618" t="s">
        <v>6092</v>
      </c>
      <c r="I516" s="3618">
        <v>96</v>
      </c>
      <c r="J516" s="3618">
        <v>0</v>
      </c>
      <c r="K516" s="3618">
        <v>32</v>
      </c>
      <c r="L516" s="4052">
        <f t="shared" si="291"/>
        <v>3</v>
      </c>
      <c r="M516" s="3619">
        <v>45905</v>
      </c>
      <c r="N516" s="3619">
        <v>45901</v>
      </c>
      <c r="O516" s="959"/>
      <c r="P516" s="959" t="s">
        <v>82</v>
      </c>
      <c r="Q516" s="3638"/>
      <c r="R516" s="3638"/>
      <c r="S516" s="3638"/>
      <c r="T516" s="4101"/>
      <c r="U516" s="3620" t="s">
        <v>1858</v>
      </c>
      <c r="V516" s="3649" t="s">
        <v>1859</v>
      </c>
      <c r="W516" s="3695"/>
      <c r="X516" s="3657" t="s">
        <v>98</v>
      </c>
      <c r="Y516" s="3636" t="s">
        <v>4727</v>
      </c>
      <c r="Z516" s="3661"/>
      <c r="AA516" s="3620" t="s">
        <v>7491</v>
      </c>
      <c r="AB516" s="3624" t="s">
        <v>369</v>
      </c>
      <c r="AC516" s="3618">
        <v>2.3617</v>
      </c>
      <c r="AD516" s="3618">
        <f t="shared" si="299"/>
        <v>226.7232</v>
      </c>
      <c r="AE516" s="3633"/>
      <c r="AF516" s="959" t="s">
        <v>6096</v>
      </c>
      <c r="AG516" s="3620" t="s">
        <v>416</v>
      </c>
      <c r="AH516" s="3620"/>
      <c r="AI516" s="3620"/>
      <c r="AJ516" s="3620"/>
      <c r="AK516" s="959"/>
      <c r="AL516" s="959"/>
      <c r="AM516" s="959"/>
      <c r="AN516" s="959">
        <f t="shared" si="309"/>
        <v>96</v>
      </c>
      <c r="AO516" s="959"/>
      <c r="AP516" s="3618"/>
      <c r="AQ516" s="3618">
        <f t="shared" si="306"/>
        <v>96</v>
      </c>
      <c r="AR516" s="3626"/>
      <c r="AS516" s="3626"/>
      <c r="AT516" s="3626"/>
      <c r="AU516" s="3626"/>
      <c r="AV516" s="3626">
        <f t="shared" si="310"/>
        <v>96</v>
      </c>
      <c r="AW516" s="3626"/>
      <c r="AX516" s="3626"/>
      <c r="AY516" s="3626"/>
      <c r="AZ516" s="3626"/>
      <c r="BA516" s="3626"/>
      <c r="BB516" s="3626"/>
      <c r="BC516" s="3626"/>
      <c r="BD516" s="3626"/>
      <c r="BE516" s="3626"/>
      <c r="BF516" s="3626"/>
      <c r="BG516" s="3626"/>
      <c r="BH516" s="3626"/>
      <c r="BI516" s="3626" t="s">
        <v>89</v>
      </c>
      <c r="BJ516" s="3626">
        <f t="shared" si="311"/>
        <v>3.2</v>
      </c>
      <c r="BK516" s="3626"/>
      <c r="BL516" s="3626"/>
      <c r="BM516" s="3626"/>
      <c r="BN516" s="3626"/>
      <c r="BO516" s="4055">
        <f t="shared" si="312"/>
        <v>92.8</v>
      </c>
      <c r="BP516" s="3627"/>
      <c r="BQ516" s="3627">
        <f t="shared" si="303"/>
        <v>96</v>
      </c>
      <c r="BR516" s="3627">
        <f t="shared" si="304"/>
        <v>0</v>
      </c>
      <c r="BS516" s="4056"/>
      <c r="BT516" s="4057"/>
    </row>
    <row r="517" s="3566" customFormat="1" ht="50" customHeight="1" spans="1:72">
      <c r="A517" s="3635">
        <v>45863</v>
      </c>
      <c r="B517" s="3617" t="s">
        <v>1641</v>
      </c>
      <c r="C517" s="3617" t="s">
        <v>396</v>
      </c>
      <c r="D517" s="3618">
        <v>4500175043</v>
      </c>
      <c r="E517" s="3618" t="s">
        <v>7552</v>
      </c>
      <c r="F517" s="3618" t="s">
        <v>7553</v>
      </c>
      <c r="G517" s="959" t="s">
        <v>6091</v>
      </c>
      <c r="H517" s="3618" t="s">
        <v>6092</v>
      </c>
      <c r="I517" s="3618">
        <v>224</v>
      </c>
      <c r="J517" s="3618">
        <v>0</v>
      </c>
      <c r="K517" s="3618">
        <v>32</v>
      </c>
      <c r="L517" s="4052">
        <f t="shared" si="291"/>
        <v>7</v>
      </c>
      <c r="M517" s="3619">
        <v>45905</v>
      </c>
      <c r="N517" s="3619">
        <v>45901</v>
      </c>
      <c r="O517" s="959"/>
      <c r="P517" s="959" t="s">
        <v>82</v>
      </c>
      <c r="Q517" s="3638"/>
      <c r="R517" s="3638"/>
      <c r="S517" s="3638"/>
      <c r="T517" s="4101"/>
      <c r="U517" s="3620" t="s">
        <v>1858</v>
      </c>
      <c r="V517" s="3649" t="s">
        <v>1859</v>
      </c>
      <c r="W517" s="3695"/>
      <c r="X517" s="3657" t="s">
        <v>98</v>
      </c>
      <c r="Y517" s="3636" t="s">
        <v>4727</v>
      </c>
      <c r="Z517" s="3661"/>
      <c r="AA517" s="3620" t="s">
        <v>7491</v>
      </c>
      <c r="AB517" s="3624" t="s">
        <v>369</v>
      </c>
      <c r="AC517" s="3618">
        <v>2.3617</v>
      </c>
      <c r="AD517" s="3618">
        <f t="shared" si="299"/>
        <v>529.0208</v>
      </c>
      <c r="AE517" s="3633"/>
      <c r="AF517" s="959" t="s">
        <v>6096</v>
      </c>
      <c r="AG517" s="3620" t="s">
        <v>416</v>
      </c>
      <c r="AH517" s="3620"/>
      <c r="AI517" s="3620"/>
      <c r="AJ517" s="3620"/>
      <c r="AK517" s="959"/>
      <c r="AL517" s="959"/>
      <c r="AM517" s="959"/>
      <c r="AN517" s="959">
        <f t="shared" si="309"/>
        <v>224</v>
      </c>
      <c r="AO517" s="959"/>
      <c r="AP517" s="3618"/>
      <c r="AQ517" s="3618">
        <f t="shared" si="306"/>
        <v>224</v>
      </c>
      <c r="AR517" s="3626"/>
      <c r="AS517" s="3626"/>
      <c r="AT517" s="3626"/>
      <c r="AU517" s="3626"/>
      <c r="AV517" s="3626">
        <f t="shared" si="310"/>
        <v>224</v>
      </c>
      <c r="AW517" s="3626"/>
      <c r="AX517" s="3626"/>
      <c r="AY517" s="3626"/>
      <c r="AZ517" s="3626"/>
      <c r="BA517" s="3626"/>
      <c r="BB517" s="3626"/>
      <c r="BC517" s="3626"/>
      <c r="BD517" s="3626"/>
      <c r="BE517" s="3626"/>
      <c r="BF517" s="3626"/>
      <c r="BG517" s="3626"/>
      <c r="BH517" s="3626"/>
      <c r="BI517" s="3626" t="s">
        <v>89</v>
      </c>
      <c r="BJ517" s="3626">
        <f t="shared" si="311"/>
        <v>7.46666666666667</v>
      </c>
      <c r="BK517" s="3626"/>
      <c r="BL517" s="3626"/>
      <c r="BM517" s="3626"/>
      <c r="BN517" s="3626"/>
      <c r="BO517" s="4055">
        <f t="shared" si="312"/>
        <v>216.533333333333</v>
      </c>
      <c r="BP517" s="3627"/>
      <c r="BQ517" s="3627">
        <f t="shared" si="303"/>
        <v>224</v>
      </c>
      <c r="BR517" s="3627">
        <f t="shared" si="304"/>
        <v>0</v>
      </c>
      <c r="BS517" s="4056"/>
      <c r="BT517" s="4057"/>
    </row>
    <row r="518" s="3566" customFormat="1" ht="50" customHeight="1" spans="1:72">
      <c r="A518" s="3635">
        <v>45863</v>
      </c>
      <c r="B518" s="3617" t="s">
        <v>1641</v>
      </c>
      <c r="C518" s="3617" t="s">
        <v>396</v>
      </c>
      <c r="D518" s="3618">
        <v>4500175043</v>
      </c>
      <c r="E518" s="3618" t="s">
        <v>7554</v>
      </c>
      <c r="F518" s="3618" t="s">
        <v>7555</v>
      </c>
      <c r="G518" s="959" t="s">
        <v>6091</v>
      </c>
      <c r="H518" s="3618" t="s">
        <v>6092</v>
      </c>
      <c r="I518" s="3618">
        <v>96</v>
      </c>
      <c r="J518" s="3618">
        <v>0</v>
      </c>
      <c r="K518" s="3618">
        <v>32</v>
      </c>
      <c r="L518" s="4052">
        <f t="shared" si="291"/>
        <v>3</v>
      </c>
      <c r="M518" s="3619">
        <v>45905</v>
      </c>
      <c r="N518" s="3619">
        <v>45901</v>
      </c>
      <c r="O518" s="959"/>
      <c r="P518" s="959" t="s">
        <v>82</v>
      </c>
      <c r="Q518" s="3638"/>
      <c r="R518" s="4104"/>
      <c r="S518" s="4104"/>
      <c r="T518" s="4105"/>
      <c r="U518" s="3620" t="s">
        <v>1858</v>
      </c>
      <c r="V518" s="3649" t="s">
        <v>1859</v>
      </c>
      <c r="W518" s="3695"/>
      <c r="X518" s="3657" t="s">
        <v>98</v>
      </c>
      <c r="Y518" s="3636" t="s">
        <v>4727</v>
      </c>
      <c r="Z518" s="3661"/>
      <c r="AA518" s="3620" t="s">
        <v>7491</v>
      </c>
      <c r="AB518" s="3624" t="s">
        <v>369</v>
      </c>
      <c r="AC518" s="3618">
        <v>2.3617</v>
      </c>
      <c r="AD518" s="3618">
        <f t="shared" si="299"/>
        <v>226.7232</v>
      </c>
      <c r="AE518" s="3633"/>
      <c r="AF518" s="959" t="s">
        <v>6096</v>
      </c>
      <c r="AG518" s="3620" t="s">
        <v>416</v>
      </c>
      <c r="AH518" s="3620"/>
      <c r="AI518" s="3620"/>
      <c r="AJ518" s="3620"/>
      <c r="AK518" s="959"/>
      <c r="AL518" s="959"/>
      <c r="AM518" s="959"/>
      <c r="AN518" s="959">
        <f t="shared" si="309"/>
        <v>96</v>
      </c>
      <c r="AO518" s="959"/>
      <c r="AP518" s="3618"/>
      <c r="AQ518" s="3618">
        <f t="shared" si="306"/>
        <v>96</v>
      </c>
      <c r="AR518" s="3626"/>
      <c r="AS518" s="3626"/>
      <c r="AT518" s="3626"/>
      <c r="AU518" s="3626"/>
      <c r="AV518" s="3626">
        <f t="shared" si="310"/>
        <v>96</v>
      </c>
      <c r="AW518" s="3626"/>
      <c r="AX518" s="3626"/>
      <c r="AY518" s="3626"/>
      <c r="AZ518" s="3626"/>
      <c r="BA518" s="3626"/>
      <c r="BB518" s="3626"/>
      <c r="BC518" s="3626"/>
      <c r="BD518" s="3626"/>
      <c r="BE518" s="3626"/>
      <c r="BF518" s="3626"/>
      <c r="BG518" s="3626"/>
      <c r="BH518" s="3626"/>
      <c r="BI518" s="3626" t="s">
        <v>89</v>
      </c>
      <c r="BJ518" s="3626">
        <f t="shared" si="311"/>
        <v>3.2</v>
      </c>
      <c r="BK518" s="3626"/>
      <c r="BL518" s="3626"/>
      <c r="BM518" s="3626"/>
      <c r="BN518" s="3626"/>
      <c r="BO518" s="4055">
        <f t="shared" si="312"/>
        <v>92.8</v>
      </c>
      <c r="BP518" s="3627"/>
      <c r="BQ518" s="3627">
        <f t="shared" si="303"/>
        <v>96</v>
      </c>
      <c r="BR518" s="3627">
        <f t="shared" si="304"/>
        <v>0</v>
      </c>
      <c r="BS518" s="4056"/>
      <c r="BT518" s="4057"/>
    </row>
    <row r="519" s="3566" customFormat="1" ht="50" customHeight="1" spans="1:72">
      <c r="A519" s="3635">
        <v>45848</v>
      </c>
      <c r="B519" s="3617" t="s">
        <v>3905</v>
      </c>
      <c r="C519" s="3617" t="s">
        <v>1385</v>
      </c>
      <c r="D519" s="3618">
        <v>4500173266</v>
      </c>
      <c r="E519" s="959" t="s">
        <v>4736</v>
      </c>
      <c r="F519" s="959" t="s">
        <v>7556</v>
      </c>
      <c r="G519" s="959" t="s">
        <v>6195</v>
      </c>
      <c r="H519" s="3618" t="s">
        <v>6063</v>
      </c>
      <c r="I519" s="3618">
        <v>1560</v>
      </c>
      <c r="J519" s="3618">
        <v>0</v>
      </c>
      <c r="K519" s="3618">
        <v>12</v>
      </c>
      <c r="L519" s="4052">
        <f t="shared" si="291"/>
        <v>130</v>
      </c>
      <c r="M519" s="3619">
        <v>45908</v>
      </c>
      <c r="N519" s="3619">
        <v>45904</v>
      </c>
      <c r="O519" s="959"/>
      <c r="P519" s="959" t="s">
        <v>82</v>
      </c>
      <c r="Q519" s="959"/>
      <c r="R519" s="4104"/>
      <c r="S519" s="4104"/>
      <c r="T519" s="4105"/>
      <c r="U519" s="3645" t="s">
        <v>1832</v>
      </c>
      <c r="V519" s="3649" t="s">
        <v>4738</v>
      </c>
      <c r="W519" s="3695"/>
      <c r="X519" s="3657" t="s">
        <v>7557</v>
      </c>
      <c r="Y519" s="4091"/>
      <c r="Z519" s="3661"/>
      <c r="AA519" s="3620" t="s">
        <v>4739</v>
      </c>
      <c r="AB519" s="3624" t="s">
        <v>448</v>
      </c>
      <c r="AC519" s="4058">
        <v>2.1958</v>
      </c>
      <c r="AD519" s="3618">
        <f t="shared" si="299"/>
        <v>3425.448</v>
      </c>
      <c r="AE519" s="3633"/>
      <c r="AF519" s="959" t="s">
        <v>6195</v>
      </c>
      <c r="AG519" s="3620" t="s">
        <v>416</v>
      </c>
      <c r="AH519" s="3620"/>
      <c r="AI519" s="3620"/>
      <c r="AJ519" s="3620"/>
      <c r="AK519" s="959"/>
      <c r="AL519" s="959">
        <f>I519</f>
        <v>1560</v>
      </c>
      <c r="AM519" s="959"/>
      <c r="AN519" s="959"/>
      <c r="AO519" s="959"/>
      <c r="AP519" s="3618"/>
      <c r="AQ519" s="3618">
        <f t="shared" si="306"/>
        <v>1560</v>
      </c>
      <c r="AR519" s="3626"/>
      <c r="AS519" s="3626"/>
      <c r="AT519" s="3626">
        <f>I519</f>
        <v>1560</v>
      </c>
      <c r="AU519" s="3626"/>
      <c r="AV519" s="3626"/>
      <c r="AW519" s="3626"/>
      <c r="AX519" s="3626"/>
      <c r="AY519" s="3626"/>
      <c r="AZ519" s="3626">
        <f>I519/6</f>
        <v>260</v>
      </c>
      <c r="BA519" s="3626"/>
      <c r="BB519" s="3626"/>
      <c r="BC519" s="3626"/>
      <c r="BD519" s="3626"/>
      <c r="BE519" s="3626"/>
      <c r="BF519" s="3626"/>
      <c r="BG519" s="3626"/>
      <c r="BH519" s="3626"/>
      <c r="BI519" s="3626" t="s">
        <v>89</v>
      </c>
      <c r="BJ519" s="3626">
        <f t="shared" si="311"/>
        <v>52</v>
      </c>
      <c r="BK519" s="3626">
        <f t="shared" ref="BK519:BK524" si="313">I519/60*10</f>
        <v>260</v>
      </c>
      <c r="BL519" s="3626">
        <f t="shared" ref="BL519:BL524" si="314">I519/60*10</f>
        <v>260</v>
      </c>
      <c r="BM519" s="3626">
        <f t="shared" ref="BM519:BM524" si="315">I519/60*8</f>
        <v>208</v>
      </c>
      <c r="BN519" s="3626">
        <f t="shared" ref="BN519:BN524" si="316">I519/60*10</f>
        <v>260</v>
      </c>
      <c r="BO519" s="4055">
        <f t="shared" ref="BO519:BO524" si="317">I519/60*10</f>
        <v>260</v>
      </c>
      <c r="BP519" s="3627">
        <f t="shared" ref="BP519:BP524" si="318">I519/60*10</f>
        <v>260</v>
      </c>
      <c r="BQ519" s="3627">
        <f t="shared" si="303"/>
        <v>1560</v>
      </c>
      <c r="BR519" s="3627">
        <f t="shared" si="304"/>
        <v>0</v>
      </c>
      <c r="BS519" s="4056"/>
      <c r="BT519" s="4057"/>
    </row>
    <row r="520" s="3566" customFormat="1" ht="50" customHeight="1" spans="1:72">
      <c r="A520" s="3635">
        <v>45862</v>
      </c>
      <c r="B520" s="3617" t="s">
        <v>1617</v>
      </c>
      <c r="C520" s="3617" t="s">
        <v>91</v>
      </c>
      <c r="D520" s="3618">
        <v>4500174767</v>
      </c>
      <c r="E520" s="959">
        <v>70072688</v>
      </c>
      <c r="F520" s="959" t="s">
        <v>7558</v>
      </c>
      <c r="G520" s="959" t="s">
        <v>3520</v>
      </c>
      <c r="H520" s="3618" t="s">
        <v>6063</v>
      </c>
      <c r="I520" s="3618">
        <v>600</v>
      </c>
      <c r="J520" s="3618">
        <v>0</v>
      </c>
      <c r="K520" s="3618">
        <v>24</v>
      </c>
      <c r="L520" s="4052">
        <f t="shared" si="291"/>
        <v>25</v>
      </c>
      <c r="M520" s="3619">
        <v>45910</v>
      </c>
      <c r="N520" s="3619">
        <v>45906</v>
      </c>
      <c r="O520" s="959"/>
      <c r="P520" s="959" t="s">
        <v>82</v>
      </c>
      <c r="Q520" s="959"/>
      <c r="R520" s="4104"/>
      <c r="S520" s="4104"/>
      <c r="T520" s="4105"/>
      <c r="U520" s="3645" t="s">
        <v>4768</v>
      </c>
      <c r="V520" s="3649" t="s">
        <v>390</v>
      </c>
      <c r="W520" s="3695"/>
      <c r="X520" s="3657" t="s">
        <v>98</v>
      </c>
      <c r="Y520" s="3657" t="s">
        <v>1885</v>
      </c>
      <c r="Z520" s="3661"/>
      <c r="AA520" s="3620" t="s">
        <v>1621</v>
      </c>
      <c r="AB520" s="3624" t="s">
        <v>1880</v>
      </c>
      <c r="AC520" s="4058">
        <v>1.3184</v>
      </c>
      <c r="AD520" s="3618">
        <f t="shared" si="299"/>
        <v>791.04</v>
      </c>
      <c r="AE520" s="3633" t="s">
        <v>4774</v>
      </c>
      <c r="AF520" s="959" t="s">
        <v>3520</v>
      </c>
      <c r="AG520" s="3620" t="s">
        <v>416</v>
      </c>
      <c r="AH520" s="3620"/>
      <c r="AI520" s="3620"/>
      <c r="AJ520" s="3620"/>
      <c r="AK520" s="959"/>
      <c r="AL520" s="959">
        <f>I520</f>
        <v>600</v>
      </c>
      <c r="AM520" s="959"/>
      <c r="AN520" s="959"/>
      <c r="AO520" s="959"/>
      <c r="AP520" s="3618"/>
      <c r="AQ520" s="3618">
        <f t="shared" si="306"/>
        <v>600</v>
      </c>
      <c r="AR520" s="3626"/>
      <c r="AS520" s="3626"/>
      <c r="AT520" s="3626">
        <f>I520</f>
        <v>600</v>
      </c>
      <c r="AU520" s="3626"/>
      <c r="AV520" s="3626"/>
      <c r="AW520" s="3626"/>
      <c r="AX520" s="3626"/>
      <c r="AY520" s="3626"/>
      <c r="AZ520" s="3626"/>
      <c r="BA520" s="3626"/>
      <c r="BB520" s="3626"/>
      <c r="BC520" s="3626"/>
      <c r="BD520" s="3626"/>
      <c r="BE520" s="3626"/>
      <c r="BF520" s="3626"/>
      <c r="BG520" s="3626"/>
      <c r="BH520" s="3626"/>
      <c r="BI520" s="3626" t="s">
        <v>89</v>
      </c>
      <c r="BJ520" s="3626">
        <f t="shared" si="311"/>
        <v>20</v>
      </c>
      <c r="BK520" s="3626">
        <f t="shared" si="313"/>
        <v>100</v>
      </c>
      <c r="BL520" s="3626">
        <f t="shared" si="314"/>
        <v>100</v>
      </c>
      <c r="BM520" s="3626">
        <f t="shared" si="315"/>
        <v>80</v>
      </c>
      <c r="BN520" s="3626">
        <f t="shared" si="316"/>
        <v>100</v>
      </c>
      <c r="BO520" s="4055">
        <f t="shared" si="317"/>
        <v>100</v>
      </c>
      <c r="BP520" s="3627">
        <f t="shared" si="318"/>
        <v>100</v>
      </c>
      <c r="BQ520" s="3627">
        <f t="shared" si="303"/>
        <v>600</v>
      </c>
      <c r="BR520" s="3627">
        <f t="shared" si="304"/>
        <v>0</v>
      </c>
      <c r="BS520" s="4056"/>
      <c r="BT520" s="4057"/>
    </row>
    <row r="521" s="3566" customFormat="1" ht="50" customHeight="1" spans="1:72">
      <c r="A521" s="3635">
        <v>45868</v>
      </c>
      <c r="B521" s="3617" t="s">
        <v>340</v>
      </c>
      <c r="C521" s="3617" t="s">
        <v>341</v>
      </c>
      <c r="D521" s="3618">
        <v>4500175498</v>
      </c>
      <c r="E521" s="3618">
        <v>387589</v>
      </c>
      <c r="F521" s="3618" t="s">
        <v>7559</v>
      </c>
      <c r="G521" s="959" t="s">
        <v>3520</v>
      </c>
      <c r="H521" s="3618" t="s">
        <v>6063</v>
      </c>
      <c r="I521" s="3618">
        <v>6000</v>
      </c>
      <c r="J521" s="3618">
        <v>0</v>
      </c>
      <c r="K521" s="3618">
        <v>24</v>
      </c>
      <c r="L521" s="4052">
        <f t="shared" si="291"/>
        <v>250</v>
      </c>
      <c r="M521" s="3619">
        <v>45905</v>
      </c>
      <c r="N521" s="3619">
        <v>45901</v>
      </c>
      <c r="O521" s="959"/>
      <c r="P521" s="959" t="s">
        <v>82</v>
      </c>
      <c r="Q521" s="959"/>
      <c r="R521" s="4104"/>
      <c r="S521" s="4104"/>
      <c r="T521" s="4105"/>
      <c r="U521" s="3620" t="s">
        <v>7560</v>
      </c>
      <c r="V521" s="3649" t="s">
        <v>7561</v>
      </c>
      <c r="W521" s="3695"/>
      <c r="X521" s="3657" t="s">
        <v>98</v>
      </c>
      <c r="Y521" s="3636" t="s">
        <v>7562</v>
      </c>
      <c r="Z521" s="3661"/>
      <c r="AA521" s="3620" t="s">
        <v>7563</v>
      </c>
      <c r="AB521" s="3624" t="s">
        <v>559</v>
      </c>
      <c r="AC521" s="4058">
        <v>2.1789</v>
      </c>
      <c r="AD521" s="3618">
        <f t="shared" si="299"/>
        <v>13073.4</v>
      </c>
      <c r="AE521" s="3633"/>
      <c r="AF521" s="959" t="s">
        <v>3520</v>
      </c>
      <c r="AG521" s="3620" t="s">
        <v>416</v>
      </c>
      <c r="AH521" s="3620"/>
      <c r="AI521" s="3620"/>
      <c r="AJ521" s="3620"/>
      <c r="AK521" s="959"/>
      <c r="AL521" s="959">
        <f>I521</f>
        <v>6000</v>
      </c>
      <c r="AM521" s="959"/>
      <c r="AN521" s="959"/>
      <c r="AO521" s="959"/>
      <c r="AP521" s="3618"/>
      <c r="AQ521" s="3618">
        <f t="shared" si="306"/>
        <v>6000</v>
      </c>
      <c r="AR521" s="3626"/>
      <c r="AS521" s="3626"/>
      <c r="AT521" s="3626">
        <f>I521</f>
        <v>6000</v>
      </c>
      <c r="AU521" s="3626"/>
      <c r="AV521" s="3626"/>
      <c r="AW521" s="3626"/>
      <c r="AX521" s="3626"/>
      <c r="AY521" s="3626"/>
      <c r="AZ521" s="3626"/>
      <c r="BA521" s="3626"/>
      <c r="BB521" s="3626"/>
      <c r="BC521" s="3626"/>
      <c r="BD521" s="3626"/>
      <c r="BE521" s="3626"/>
      <c r="BF521" s="3626"/>
      <c r="BG521" s="3626"/>
      <c r="BH521" s="3626"/>
      <c r="BI521" s="3626" t="s">
        <v>89</v>
      </c>
      <c r="BJ521" s="3626">
        <f t="shared" si="311"/>
        <v>200</v>
      </c>
      <c r="BK521" s="3626">
        <f t="shared" si="313"/>
        <v>1000</v>
      </c>
      <c r="BL521" s="3626">
        <f t="shared" si="314"/>
        <v>1000</v>
      </c>
      <c r="BM521" s="3626">
        <f t="shared" si="315"/>
        <v>800</v>
      </c>
      <c r="BN521" s="3626">
        <f t="shared" si="316"/>
        <v>1000</v>
      </c>
      <c r="BO521" s="4055">
        <f t="shared" si="317"/>
        <v>1000</v>
      </c>
      <c r="BP521" s="3627">
        <f t="shared" si="318"/>
        <v>1000</v>
      </c>
      <c r="BQ521" s="3627">
        <f t="shared" si="303"/>
        <v>6000</v>
      </c>
      <c r="BR521" s="3627">
        <f t="shared" si="304"/>
        <v>0</v>
      </c>
      <c r="BS521" s="4056"/>
      <c r="BT521" s="4057"/>
    </row>
    <row r="522" s="3566" customFormat="1" ht="50" customHeight="1" spans="1:72">
      <c r="A522" s="3635">
        <v>45870</v>
      </c>
      <c r="B522" s="3617" t="s">
        <v>6682</v>
      </c>
      <c r="C522" s="3617" t="s">
        <v>396</v>
      </c>
      <c r="D522" s="3618">
        <v>4500175732</v>
      </c>
      <c r="E522" s="3618">
        <v>2700952553</v>
      </c>
      <c r="F522" s="3618" t="s">
        <v>7564</v>
      </c>
      <c r="G522" s="959" t="s">
        <v>6684</v>
      </c>
      <c r="H522" s="3618" t="s">
        <v>6063</v>
      </c>
      <c r="I522" s="3618">
        <v>13338</v>
      </c>
      <c r="J522" s="3618">
        <v>0</v>
      </c>
      <c r="K522" s="3618">
        <v>2</v>
      </c>
      <c r="L522" s="4052">
        <f t="shared" si="291"/>
        <v>6669</v>
      </c>
      <c r="M522" s="3619">
        <v>45905</v>
      </c>
      <c r="N522" s="3619">
        <v>45901</v>
      </c>
      <c r="O522" s="959" t="s">
        <v>7565</v>
      </c>
      <c r="P522" s="959" t="s">
        <v>82</v>
      </c>
      <c r="Q522" s="959"/>
      <c r="R522" s="4104"/>
      <c r="S522" s="4104"/>
      <c r="T522" s="4105"/>
      <c r="U522" s="3620" t="s">
        <v>1965</v>
      </c>
      <c r="V522" s="3649" t="s">
        <v>7566</v>
      </c>
      <c r="W522" s="3695"/>
      <c r="X522" s="3657" t="s">
        <v>7567</v>
      </c>
      <c r="Y522" s="3636" t="s">
        <v>7568</v>
      </c>
      <c r="Z522" s="3661"/>
      <c r="AA522" s="3620" t="s">
        <v>7569</v>
      </c>
      <c r="AB522" s="3624" t="s">
        <v>7570</v>
      </c>
      <c r="AC522" s="4058">
        <v>2.2918</v>
      </c>
      <c r="AD522" s="3618">
        <f t="shared" si="299"/>
        <v>30568.0284</v>
      </c>
      <c r="AE522" s="3633"/>
      <c r="AF522" s="959" t="s">
        <v>6684</v>
      </c>
      <c r="AG522" s="3620" t="s">
        <v>416</v>
      </c>
      <c r="AH522" s="3620"/>
      <c r="AI522" s="3620"/>
      <c r="AJ522" s="3620"/>
      <c r="AK522" s="959"/>
      <c r="AL522" s="959"/>
      <c r="AM522" s="959"/>
      <c r="AN522" s="959">
        <f>I522</f>
        <v>13338</v>
      </c>
      <c r="AO522" s="959"/>
      <c r="AP522" s="3618"/>
      <c r="AQ522" s="3618">
        <f t="shared" si="306"/>
        <v>13338</v>
      </c>
      <c r="AR522" s="3626"/>
      <c r="AS522" s="3626"/>
      <c r="AT522" s="3626"/>
      <c r="AU522" s="3626"/>
      <c r="AV522" s="3626">
        <f>I522</f>
        <v>13338</v>
      </c>
      <c r="AW522" s="3626"/>
      <c r="AX522" s="3626"/>
      <c r="AY522" s="3626"/>
      <c r="AZ522" s="3626"/>
      <c r="BA522" s="3626"/>
      <c r="BB522" s="3626">
        <f>I522/2</f>
        <v>6669</v>
      </c>
      <c r="BC522" s="3626"/>
      <c r="BD522" s="3626"/>
      <c r="BE522" s="3626"/>
      <c r="BF522" s="3626"/>
      <c r="BG522" s="3626"/>
      <c r="BH522" s="3626"/>
      <c r="BI522" s="3626" t="s">
        <v>89</v>
      </c>
      <c r="BJ522" s="3626">
        <f t="shared" si="311"/>
        <v>444.6</v>
      </c>
      <c r="BK522" s="3626">
        <f t="shared" si="313"/>
        <v>2223</v>
      </c>
      <c r="BL522" s="3626">
        <f t="shared" si="314"/>
        <v>2223</v>
      </c>
      <c r="BM522" s="3626">
        <f t="shared" si="315"/>
        <v>1778.4</v>
      </c>
      <c r="BN522" s="3626">
        <f t="shared" si="316"/>
        <v>2223</v>
      </c>
      <c r="BO522" s="4055">
        <f t="shared" si="317"/>
        <v>2223</v>
      </c>
      <c r="BP522" s="3627">
        <f t="shared" si="318"/>
        <v>2223</v>
      </c>
      <c r="BQ522" s="3627">
        <f t="shared" si="303"/>
        <v>13338</v>
      </c>
      <c r="BR522" s="3627">
        <f t="shared" si="304"/>
        <v>0</v>
      </c>
      <c r="BS522" s="4056"/>
      <c r="BT522" s="4057"/>
    </row>
    <row r="523" s="3566" customFormat="1" ht="50" customHeight="1" spans="1:72">
      <c r="A523" s="3635">
        <v>45877</v>
      </c>
      <c r="B523" s="3617" t="s">
        <v>4766</v>
      </c>
      <c r="C523" s="3617" t="s">
        <v>471</v>
      </c>
      <c r="D523" s="3624">
        <v>4500176255</v>
      </c>
      <c r="E523" s="959">
        <v>5200007399</v>
      </c>
      <c r="F523" s="3624" t="s">
        <v>4767</v>
      </c>
      <c r="G523" s="959" t="s">
        <v>6062</v>
      </c>
      <c r="H523" s="3618" t="s">
        <v>6063</v>
      </c>
      <c r="I523" s="3618">
        <v>4800</v>
      </c>
      <c r="J523" s="3618">
        <v>0</v>
      </c>
      <c r="K523" s="3618">
        <v>6</v>
      </c>
      <c r="L523" s="4052">
        <f t="shared" si="291"/>
        <v>800</v>
      </c>
      <c r="M523" s="3619">
        <v>45910</v>
      </c>
      <c r="N523" s="3619">
        <v>45906</v>
      </c>
      <c r="O523" s="959"/>
      <c r="P523" s="959" t="s">
        <v>82</v>
      </c>
      <c r="Q523" s="959"/>
      <c r="R523" s="4104"/>
      <c r="S523" s="4104"/>
      <c r="T523" s="4105"/>
      <c r="U523" s="3620" t="s">
        <v>1832</v>
      </c>
      <c r="V523" s="3649" t="s">
        <v>4769</v>
      </c>
      <c r="W523" s="3695"/>
      <c r="X523" s="3657" t="s">
        <v>7571</v>
      </c>
      <c r="Y523" s="3649"/>
      <c r="Z523" s="3661"/>
      <c r="AA523" s="3620" t="s">
        <v>4771</v>
      </c>
      <c r="AB523" s="3624" t="s">
        <v>596</v>
      </c>
      <c r="AC523" s="4058">
        <v>2.2524</v>
      </c>
      <c r="AD523" s="3618">
        <f t="shared" si="299"/>
        <v>10811.52</v>
      </c>
      <c r="AE523" s="3633"/>
      <c r="AF523" s="959" t="s">
        <v>7508</v>
      </c>
      <c r="AG523" s="3620" t="s">
        <v>416</v>
      </c>
      <c r="AH523" s="3620"/>
      <c r="AI523" s="3620"/>
      <c r="AJ523" s="3620"/>
      <c r="AK523" s="959"/>
      <c r="AL523" s="959"/>
      <c r="AM523" s="959"/>
      <c r="AN523" s="959">
        <f>I523</f>
        <v>4800</v>
      </c>
      <c r="AO523" s="959"/>
      <c r="AP523" s="3618"/>
      <c r="AQ523" s="3618">
        <f t="shared" si="306"/>
        <v>4800</v>
      </c>
      <c r="AR523" s="3626"/>
      <c r="AS523" s="3626"/>
      <c r="AT523" s="3626"/>
      <c r="AU523" s="3626"/>
      <c r="AV523" s="3626">
        <f>I523</f>
        <v>4800</v>
      </c>
      <c r="AW523" s="3626"/>
      <c r="AX523" s="3626"/>
      <c r="AY523" s="3626"/>
      <c r="AZ523" s="3626">
        <f>I523/6</f>
        <v>800</v>
      </c>
      <c r="BA523" s="3626"/>
      <c r="BB523" s="3626"/>
      <c r="BC523" s="3626"/>
      <c r="BD523" s="3626"/>
      <c r="BE523" s="3626"/>
      <c r="BF523" s="3626"/>
      <c r="BG523" s="3626"/>
      <c r="BH523" s="3626"/>
      <c r="BI523" s="3626" t="s">
        <v>89</v>
      </c>
      <c r="BJ523" s="3626">
        <f t="shared" si="311"/>
        <v>160</v>
      </c>
      <c r="BK523" s="3626">
        <f t="shared" si="313"/>
        <v>800</v>
      </c>
      <c r="BL523" s="3626">
        <f t="shared" si="314"/>
        <v>800</v>
      </c>
      <c r="BM523" s="3626">
        <f t="shared" si="315"/>
        <v>640</v>
      </c>
      <c r="BN523" s="3626">
        <f t="shared" si="316"/>
        <v>800</v>
      </c>
      <c r="BO523" s="4055">
        <f t="shared" si="317"/>
        <v>800</v>
      </c>
      <c r="BP523" s="3627">
        <f t="shared" si="318"/>
        <v>800</v>
      </c>
      <c r="BQ523" s="3627">
        <f t="shared" si="303"/>
        <v>4800</v>
      </c>
      <c r="BR523" s="3627">
        <f t="shared" si="304"/>
        <v>0</v>
      </c>
      <c r="BS523" s="4056"/>
      <c r="BT523" s="4057"/>
    </row>
    <row r="524" s="3566" customFormat="1" ht="50" customHeight="1" spans="1:72">
      <c r="A524" s="3635">
        <v>45868</v>
      </c>
      <c r="B524" s="3634" t="s">
        <v>1919</v>
      </c>
      <c r="C524" s="3617" t="s">
        <v>1920</v>
      </c>
      <c r="D524" s="3629">
        <v>4500175435</v>
      </c>
      <c r="E524" s="959"/>
      <c r="F524" s="3629" t="s">
        <v>7572</v>
      </c>
      <c r="G524" s="959" t="s">
        <v>3520</v>
      </c>
      <c r="H524" s="3618" t="s">
        <v>6063</v>
      </c>
      <c r="I524" s="3618">
        <v>312</v>
      </c>
      <c r="J524" s="3618">
        <v>0</v>
      </c>
      <c r="K524" s="3618">
        <v>24</v>
      </c>
      <c r="L524" s="4052">
        <f t="shared" si="291"/>
        <v>13</v>
      </c>
      <c r="M524" s="3619">
        <v>45915</v>
      </c>
      <c r="N524" s="3659">
        <v>45911</v>
      </c>
      <c r="O524" s="959"/>
      <c r="P524" s="959" t="s">
        <v>82</v>
      </c>
      <c r="Q524" s="959"/>
      <c r="R524" s="4104"/>
      <c r="S524" s="4106"/>
      <c r="T524" s="4107"/>
      <c r="U524" s="3701" t="s">
        <v>1922</v>
      </c>
      <c r="V524" s="3649" t="s">
        <v>1884</v>
      </c>
      <c r="W524" s="3649"/>
      <c r="X524" s="3657" t="s">
        <v>1923</v>
      </c>
      <c r="Y524" s="3640"/>
      <c r="Z524" s="3618"/>
      <c r="AA524" s="3620" t="s">
        <v>7573</v>
      </c>
      <c r="AB524" s="3624" t="s">
        <v>357</v>
      </c>
      <c r="AC524" s="4058">
        <v>2.2017</v>
      </c>
      <c r="AD524" s="3618">
        <f t="shared" si="299"/>
        <v>686.9304</v>
      </c>
      <c r="AE524" s="3633"/>
      <c r="AF524" s="959" t="s">
        <v>3520</v>
      </c>
      <c r="AG524" s="3620" t="s">
        <v>416</v>
      </c>
      <c r="AH524" s="3620"/>
      <c r="AI524" s="3620"/>
      <c r="AJ524" s="3620"/>
      <c r="AK524" s="959"/>
      <c r="AL524" s="959">
        <f>I524</f>
        <v>312</v>
      </c>
      <c r="AM524" s="959"/>
      <c r="AN524" s="959"/>
      <c r="AO524" s="959"/>
      <c r="AP524" s="3618"/>
      <c r="AQ524" s="3618">
        <f t="shared" si="306"/>
        <v>312</v>
      </c>
      <c r="AR524" s="3626"/>
      <c r="AS524" s="3626"/>
      <c r="AT524" s="3626">
        <f t="shared" ref="AT524:AT569" si="319">I524</f>
        <v>312</v>
      </c>
      <c r="AU524" s="3626"/>
      <c r="AV524" s="3626"/>
      <c r="AW524" s="3626"/>
      <c r="AX524" s="3626"/>
      <c r="AY524" s="3626"/>
      <c r="AZ524" s="3626"/>
      <c r="BA524" s="3626"/>
      <c r="BB524" s="3626"/>
      <c r="BC524" s="3626"/>
      <c r="BD524" s="3626"/>
      <c r="BE524" s="3626"/>
      <c r="BF524" s="3626"/>
      <c r="BG524" s="3626"/>
      <c r="BH524" s="3626"/>
      <c r="BI524" s="3626" t="s">
        <v>89</v>
      </c>
      <c r="BJ524" s="3626">
        <f t="shared" si="311"/>
        <v>10.4</v>
      </c>
      <c r="BK524" s="3626">
        <f t="shared" si="313"/>
        <v>52</v>
      </c>
      <c r="BL524" s="3626">
        <f t="shared" si="314"/>
        <v>52</v>
      </c>
      <c r="BM524" s="3626">
        <f t="shared" si="315"/>
        <v>41.6</v>
      </c>
      <c r="BN524" s="3626">
        <f t="shared" si="316"/>
        <v>52</v>
      </c>
      <c r="BO524" s="4055">
        <f t="shared" si="317"/>
        <v>52</v>
      </c>
      <c r="BP524" s="3627">
        <f t="shared" si="318"/>
        <v>52</v>
      </c>
      <c r="BQ524" s="3627">
        <f t="shared" si="303"/>
        <v>312</v>
      </c>
      <c r="BR524" s="3627">
        <f t="shared" si="304"/>
        <v>0</v>
      </c>
      <c r="BS524" s="4056"/>
      <c r="BT524" s="4057"/>
    </row>
    <row r="525" s="3566" customFormat="1" ht="50" customHeight="1" spans="1:72">
      <c r="A525" s="3635">
        <v>45870</v>
      </c>
      <c r="B525" s="3617" t="s">
        <v>4533</v>
      </c>
      <c r="C525" s="3617" t="s">
        <v>738</v>
      </c>
      <c r="D525" s="3624">
        <v>4500175843</v>
      </c>
      <c r="E525" s="959"/>
      <c r="F525" s="3624" t="s">
        <v>7574</v>
      </c>
      <c r="G525" s="959" t="s">
        <v>7575</v>
      </c>
      <c r="H525" s="3618" t="s">
        <v>7576</v>
      </c>
      <c r="I525" s="3618">
        <v>288</v>
      </c>
      <c r="J525" s="3618">
        <v>0</v>
      </c>
      <c r="K525" s="3618">
        <v>24</v>
      </c>
      <c r="L525" s="4052">
        <f t="shared" si="291"/>
        <v>12</v>
      </c>
      <c r="M525" s="3619">
        <v>45912</v>
      </c>
      <c r="N525" s="3619">
        <v>45908</v>
      </c>
      <c r="O525" s="959"/>
      <c r="P525" s="959" t="s">
        <v>82</v>
      </c>
      <c r="Q525" s="959"/>
      <c r="R525" s="4104"/>
      <c r="S525" s="4104"/>
      <c r="T525" s="4105"/>
      <c r="U525" s="3620" t="s">
        <v>248</v>
      </c>
      <c r="V525" s="3649" t="s">
        <v>7577</v>
      </c>
      <c r="W525" s="3695"/>
      <c r="X525" s="3657" t="s">
        <v>7578</v>
      </c>
      <c r="Y525" s="3649"/>
      <c r="Z525" s="3661"/>
      <c r="AA525" s="3620" t="s">
        <v>7579</v>
      </c>
      <c r="AB525" s="3624" t="s">
        <v>1257</v>
      </c>
      <c r="AC525" s="4058">
        <v>2.0433</v>
      </c>
      <c r="AD525" s="3618">
        <f t="shared" si="299"/>
        <v>588.4704</v>
      </c>
      <c r="AE525" s="3633"/>
      <c r="AF525" s="959" t="s">
        <v>7580</v>
      </c>
      <c r="AG525" s="3620" t="s">
        <v>416</v>
      </c>
      <c r="AH525" s="3620"/>
      <c r="AI525" s="3620"/>
      <c r="AJ525" s="3620"/>
      <c r="AK525" s="959"/>
      <c r="AL525" s="959"/>
      <c r="AM525" s="959"/>
      <c r="AN525" s="959">
        <f>I525</f>
        <v>288</v>
      </c>
      <c r="AO525" s="959"/>
      <c r="AP525" s="3618"/>
      <c r="AQ525" s="3618">
        <f t="shared" si="306"/>
        <v>288</v>
      </c>
      <c r="AR525" s="3626"/>
      <c r="AS525" s="3626"/>
      <c r="AT525" s="3626">
        <f t="shared" si="319"/>
        <v>288</v>
      </c>
      <c r="AU525" s="3626"/>
      <c r="AV525" s="3626"/>
      <c r="AW525" s="3626"/>
      <c r="AX525" s="3626"/>
      <c r="AY525" s="3626"/>
      <c r="AZ525" s="3626"/>
      <c r="BA525" s="3626"/>
      <c r="BB525" s="3626"/>
      <c r="BC525" s="3626"/>
      <c r="BD525" s="3626"/>
      <c r="BE525" s="3626"/>
      <c r="BF525" s="3626"/>
      <c r="BG525" s="3626"/>
      <c r="BH525" s="3626"/>
      <c r="BI525" s="3626" t="s">
        <v>89</v>
      </c>
      <c r="BJ525" s="3626"/>
      <c r="BK525" s="3626"/>
      <c r="BL525" s="3626"/>
      <c r="BM525" s="3626"/>
      <c r="BN525" s="3626">
        <f>I525</f>
        <v>288</v>
      </c>
      <c r="BO525" s="4055"/>
      <c r="BP525" s="3627"/>
      <c r="BQ525" s="3627">
        <f t="shared" si="303"/>
        <v>288</v>
      </c>
      <c r="BR525" s="3627">
        <f t="shared" si="304"/>
        <v>0</v>
      </c>
      <c r="BS525" s="4056"/>
      <c r="BT525" s="4057"/>
    </row>
    <row r="526" s="3566" customFormat="1" ht="50" customHeight="1" spans="1:72">
      <c r="A526" s="3635">
        <v>45870</v>
      </c>
      <c r="B526" s="3617" t="s">
        <v>4533</v>
      </c>
      <c r="C526" s="3617" t="s">
        <v>738</v>
      </c>
      <c r="D526" s="3624">
        <v>4500175843</v>
      </c>
      <c r="E526" s="959"/>
      <c r="F526" s="3624" t="s">
        <v>7581</v>
      </c>
      <c r="G526" s="959" t="s">
        <v>7582</v>
      </c>
      <c r="H526" s="3618" t="s">
        <v>7583</v>
      </c>
      <c r="I526" s="3618">
        <v>288</v>
      </c>
      <c r="J526" s="3618">
        <v>0</v>
      </c>
      <c r="K526" s="3618">
        <v>24</v>
      </c>
      <c r="L526" s="4052">
        <f t="shared" si="291"/>
        <v>12</v>
      </c>
      <c r="M526" s="3619">
        <v>45912</v>
      </c>
      <c r="N526" s="3619">
        <v>45908</v>
      </c>
      <c r="O526" s="959"/>
      <c r="P526" s="959" t="s">
        <v>82</v>
      </c>
      <c r="Q526" s="959"/>
      <c r="R526" s="4104"/>
      <c r="S526" s="4104"/>
      <c r="T526" s="4105"/>
      <c r="U526" s="3620" t="s">
        <v>248</v>
      </c>
      <c r="V526" s="3649" t="s">
        <v>7577</v>
      </c>
      <c r="W526" s="3695"/>
      <c r="X526" s="3657" t="s">
        <v>7578</v>
      </c>
      <c r="Y526" s="3649"/>
      <c r="Z526" s="3661"/>
      <c r="AA526" s="3620" t="s">
        <v>7579</v>
      </c>
      <c r="AB526" s="3624" t="s">
        <v>1257</v>
      </c>
      <c r="AC526" s="4058">
        <v>2.0433</v>
      </c>
      <c r="AD526" s="3618">
        <f t="shared" si="299"/>
        <v>588.4704</v>
      </c>
      <c r="AE526" s="3633"/>
      <c r="AF526" s="959" t="s">
        <v>7584</v>
      </c>
      <c r="AG526" s="3620" t="s">
        <v>416</v>
      </c>
      <c r="AH526" s="3620"/>
      <c r="AI526" s="3620"/>
      <c r="AJ526" s="3620"/>
      <c r="AK526" s="959"/>
      <c r="AL526" s="959"/>
      <c r="AM526" s="959"/>
      <c r="AN526" s="959">
        <f>I526</f>
        <v>288</v>
      </c>
      <c r="AO526" s="959"/>
      <c r="AP526" s="3618"/>
      <c r="AQ526" s="3618">
        <f t="shared" si="306"/>
        <v>288</v>
      </c>
      <c r="AR526" s="3626"/>
      <c r="AS526" s="3626"/>
      <c r="AT526" s="3626">
        <f t="shared" si="319"/>
        <v>288</v>
      </c>
      <c r="AU526" s="3626"/>
      <c r="AV526" s="3626"/>
      <c r="AW526" s="3626"/>
      <c r="AX526" s="3626"/>
      <c r="AY526" s="3626"/>
      <c r="AZ526" s="3626"/>
      <c r="BA526" s="3626"/>
      <c r="BB526" s="3626"/>
      <c r="BC526" s="3626"/>
      <c r="BD526" s="3626"/>
      <c r="BE526" s="3626"/>
      <c r="BF526" s="3626"/>
      <c r="BG526" s="3626"/>
      <c r="BH526" s="3626"/>
      <c r="BI526" s="3626" t="s">
        <v>89</v>
      </c>
      <c r="BJ526" s="3626"/>
      <c r="BK526" s="3626"/>
      <c r="BL526" s="3626">
        <f>I526</f>
        <v>288</v>
      </c>
      <c r="BM526" s="3626"/>
      <c r="BN526" s="3626"/>
      <c r="BO526" s="4055"/>
      <c r="BP526" s="3627"/>
      <c r="BQ526" s="3627">
        <f t="shared" si="303"/>
        <v>288</v>
      </c>
      <c r="BR526" s="3627">
        <f t="shared" si="304"/>
        <v>0</v>
      </c>
      <c r="BS526" s="4056"/>
      <c r="BT526" s="4057"/>
    </row>
    <row r="527" s="3566" customFormat="1" ht="50" customHeight="1" spans="1:72">
      <c r="A527" s="3635">
        <v>45870</v>
      </c>
      <c r="B527" s="3617" t="s">
        <v>4533</v>
      </c>
      <c r="C527" s="3617" t="s">
        <v>738</v>
      </c>
      <c r="D527" s="3624">
        <v>4500175843</v>
      </c>
      <c r="E527" s="959"/>
      <c r="F527" s="3624" t="s">
        <v>7585</v>
      </c>
      <c r="G527" s="959" t="s">
        <v>7586</v>
      </c>
      <c r="H527" s="3618" t="s">
        <v>7587</v>
      </c>
      <c r="I527" s="3618">
        <v>288</v>
      </c>
      <c r="J527" s="3618">
        <v>0</v>
      </c>
      <c r="K527" s="3618">
        <v>24</v>
      </c>
      <c r="L527" s="4052">
        <f t="shared" si="291"/>
        <v>12</v>
      </c>
      <c r="M527" s="3619">
        <v>45912</v>
      </c>
      <c r="N527" s="3619">
        <v>45908</v>
      </c>
      <c r="O527" s="959"/>
      <c r="P527" s="959" t="s">
        <v>82</v>
      </c>
      <c r="Q527" s="959"/>
      <c r="R527" s="4104"/>
      <c r="S527" s="4104"/>
      <c r="T527" s="4105"/>
      <c r="U527" s="3620" t="s">
        <v>248</v>
      </c>
      <c r="V527" s="3649" t="s">
        <v>7577</v>
      </c>
      <c r="W527" s="3695"/>
      <c r="X527" s="3657" t="s">
        <v>7578</v>
      </c>
      <c r="Y527" s="3649"/>
      <c r="Z527" s="3661"/>
      <c r="AA527" s="3620" t="s">
        <v>7579</v>
      </c>
      <c r="AB527" s="3624" t="s">
        <v>1257</v>
      </c>
      <c r="AC527" s="4058">
        <v>2.0433</v>
      </c>
      <c r="AD527" s="3618">
        <f t="shared" si="299"/>
        <v>588.4704</v>
      </c>
      <c r="AE527" s="3633"/>
      <c r="AF527" s="959" t="s">
        <v>7588</v>
      </c>
      <c r="AG527" s="3620" t="s">
        <v>416</v>
      </c>
      <c r="AH527" s="3620"/>
      <c r="AI527" s="3620"/>
      <c r="AJ527" s="3620"/>
      <c r="AK527" s="959"/>
      <c r="AL527" s="959"/>
      <c r="AM527" s="959"/>
      <c r="AN527" s="959">
        <f>I527</f>
        <v>288</v>
      </c>
      <c r="AO527" s="959"/>
      <c r="AP527" s="3618"/>
      <c r="AQ527" s="3618">
        <f t="shared" si="306"/>
        <v>288</v>
      </c>
      <c r="AR527" s="3626"/>
      <c r="AS527" s="3626"/>
      <c r="AT527" s="3626">
        <f t="shared" si="319"/>
        <v>288</v>
      </c>
      <c r="AU527" s="3626"/>
      <c r="AV527" s="3626"/>
      <c r="AW527" s="3626"/>
      <c r="AX527" s="3626"/>
      <c r="AY527" s="3626"/>
      <c r="AZ527" s="3626"/>
      <c r="BA527" s="3626"/>
      <c r="BB527" s="3626"/>
      <c r="BC527" s="3626"/>
      <c r="BD527" s="3626"/>
      <c r="BE527" s="3626"/>
      <c r="BF527" s="3626"/>
      <c r="BG527" s="3626"/>
      <c r="BH527" s="3626"/>
      <c r="BI527" s="3626" t="s">
        <v>89</v>
      </c>
      <c r="BJ527" s="3626"/>
      <c r="BK527" s="3626">
        <f>I527</f>
        <v>288</v>
      </c>
      <c r="BL527" s="3626"/>
      <c r="BM527" s="3626"/>
      <c r="BN527" s="3626"/>
      <c r="BO527" s="4055"/>
      <c r="BP527" s="3627"/>
      <c r="BQ527" s="3627">
        <f t="shared" si="303"/>
        <v>288</v>
      </c>
      <c r="BR527" s="3627">
        <f t="shared" si="304"/>
        <v>0</v>
      </c>
      <c r="BS527" s="4056"/>
      <c r="BT527" s="4057"/>
    </row>
    <row r="528" s="3566" customFormat="1" ht="50" customHeight="1" spans="1:72">
      <c r="A528" s="3635">
        <v>45862</v>
      </c>
      <c r="B528" s="3617" t="s">
        <v>1617</v>
      </c>
      <c r="C528" s="3617" t="s">
        <v>91</v>
      </c>
      <c r="D528" s="3618">
        <v>4500174768</v>
      </c>
      <c r="E528" s="959">
        <v>70072691</v>
      </c>
      <c r="F528" s="959" t="s">
        <v>7589</v>
      </c>
      <c r="G528" s="959" t="s">
        <v>3520</v>
      </c>
      <c r="H528" s="3618" t="s">
        <v>6063</v>
      </c>
      <c r="I528" s="3618">
        <v>1200</v>
      </c>
      <c r="J528" s="3618">
        <v>0</v>
      </c>
      <c r="K528" s="3618">
        <v>24</v>
      </c>
      <c r="L528" s="4052">
        <f t="shared" si="291"/>
        <v>50</v>
      </c>
      <c r="M528" s="3619">
        <v>45918</v>
      </c>
      <c r="N528" s="3619">
        <v>45915</v>
      </c>
      <c r="O528" s="959"/>
      <c r="P528" s="959" t="s">
        <v>82</v>
      </c>
      <c r="Q528" s="959"/>
      <c r="R528" s="4104"/>
      <c r="S528" s="4106"/>
      <c r="T528" s="4107"/>
      <c r="U528" s="3701" t="s">
        <v>1911</v>
      </c>
      <c r="V528" s="3649" t="s">
        <v>390</v>
      </c>
      <c r="W528" s="3695"/>
      <c r="X528" s="3657" t="s">
        <v>98</v>
      </c>
      <c r="Y528" s="3649" t="s">
        <v>1885</v>
      </c>
      <c r="Z528" s="3661"/>
      <c r="AA528" s="3620" t="s">
        <v>1621</v>
      </c>
      <c r="AB528" s="3624" t="s">
        <v>1880</v>
      </c>
      <c r="AC528" s="4058">
        <v>1.3184</v>
      </c>
      <c r="AD528" s="3618">
        <f t="shared" si="299"/>
        <v>1582.08</v>
      </c>
      <c r="AE528" s="3633" t="s">
        <v>1912</v>
      </c>
      <c r="AF528" s="959" t="s">
        <v>3520</v>
      </c>
      <c r="AG528" s="3620" t="s">
        <v>416</v>
      </c>
      <c r="AH528" s="3620"/>
      <c r="AI528" s="3620"/>
      <c r="AJ528" s="3620"/>
      <c r="AK528" s="959"/>
      <c r="AL528" s="959">
        <f>I528</f>
        <v>1200</v>
      </c>
      <c r="AM528" s="959"/>
      <c r="AN528" s="959"/>
      <c r="AO528" s="959"/>
      <c r="AP528" s="3618"/>
      <c r="AQ528" s="3618">
        <f t="shared" si="306"/>
        <v>1200</v>
      </c>
      <c r="AR528" s="3626"/>
      <c r="AS528" s="3626"/>
      <c r="AT528" s="3626">
        <f t="shared" si="319"/>
        <v>1200</v>
      </c>
      <c r="AU528" s="3626"/>
      <c r="AV528" s="3626"/>
      <c r="AW528" s="3626"/>
      <c r="AX528" s="3626"/>
      <c r="AY528" s="3626"/>
      <c r="AZ528" s="3626"/>
      <c r="BA528" s="3626"/>
      <c r="BB528" s="3626"/>
      <c r="BC528" s="3626"/>
      <c r="BD528" s="3626"/>
      <c r="BE528" s="3626"/>
      <c r="BF528" s="3626"/>
      <c r="BG528" s="3626"/>
      <c r="BH528" s="3626"/>
      <c r="BI528" s="3626" t="s">
        <v>89</v>
      </c>
      <c r="BJ528" s="3626">
        <f>I528/60*2</f>
        <v>40</v>
      </c>
      <c r="BK528" s="3626">
        <f>I528/60*10</f>
        <v>200</v>
      </c>
      <c r="BL528" s="3626">
        <f>I528/60*10</f>
        <v>200</v>
      </c>
      <c r="BM528" s="3626">
        <f>I528/60*8</f>
        <v>160</v>
      </c>
      <c r="BN528" s="3626">
        <f>I528/60*10</f>
        <v>200</v>
      </c>
      <c r="BO528" s="4055">
        <f>I528/60*10</f>
        <v>200</v>
      </c>
      <c r="BP528" s="3627">
        <f>I528/60*10</f>
        <v>200</v>
      </c>
      <c r="BQ528" s="3627">
        <f t="shared" si="303"/>
        <v>1200</v>
      </c>
      <c r="BR528" s="3627">
        <f t="shared" si="304"/>
        <v>0</v>
      </c>
      <c r="BS528" s="4056"/>
      <c r="BT528" s="4057"/>
    </row>
    <row r="529" s="3566" customFormat="1" ht="50" customHeight="1" spans="1:72">
      <c r="A529" s="3635">
        <v>45817</v>
      </c>
      <c r="B529" s="3617" t="s">
        <v>7590</v>
      </c>
      <c r="C529" s="3617" t="s">
        <v>471</v>
      </c>
      <c r="D529" s="3618">
        <v>4500169388</v>
      </c>
      <c r="E529" s="959" t="s">
        <v>7591</v>
      </c>
      <c r="F529" s="959" t="s">
        <v>7592</v>
      </c>
      <c r="G529" s="959" t="s">
        <v>7593</v>
      </c>
      <c r="H529" s="3618" t="s">
        <v>6063</v>
      </c>
      <c r="I529" s="3618">
        <v>120</v>
      </c>
      <c r="J529" s="3618">
        <v>0</v>
      </c>
      <c r="K529" s="3618">
        <v>24</v>
      </c>
      <c r="L529" s="4052">
        <f t="shared" si="291"/>
        <v>5</v>
      </c>
      <c r="M529" s="3619">
        <v>45918</v>
      </c>
      <c r="N529" s="3619">
        <v>45915</v>
      </c>
      <c r="O529" s="3664"/>
      <c r="P529" s="959" t="s">
        <v>82</v>
      </c>
      <c r="Q529" s="959"/>
      <c r="R529" s="4104"/>
      <c r="S529" s="4104"/>
      <c r="T529" s="4105"/>
      <c r="U529" s="3620" t="s">
        <v>7594</v>
      </c>
      <c r="V529" s="3649" t="s">
        <v>2441</v>
      </c>
      <c r="W529" s="3695"/>
      <c r="X529" s="3657" t="s">
        <v>7595</v>
      </c>
      <c r="Y529" s="4091"/>
      <c r="Z529" s="3661"/>
      <c r="AA529" s="3620" t="s">
        <v>7596</v>
      </c>
      <c r="AB529" s="3624" t="s">
        <v>7597</v>
      </c>
      <c r="AC529" s="3618">
        <v>2.1493</v>
      </c>
      <c r="AD529" s="3618">
        <f t="shared" si="299"/>
        <v>257.916</v>
      </c>
      <c r="AE529" s="3633"/>
      <c r="AF529" s="959" t="s">
        <v>7598</v>
      </c>
      <c r="AG529" s="3620" t="s">
        <v>416</v>
      </c>
      <c r="AH529" s="3620"/>
      <c r="AI529" s="3620"/>
      <c r="AJ529" s="3620"/>
      <c r="AK529" s="959"/>
      <c r="AL529" s="959"/>
      <c r="AM529" s="959"/>
      <c r="AN529" s="959">
        <f t="shared" ref="AN529:AN534" si="320">I529</f>
        <v>120</v>
      </c>
      <c r="AO529" s="959"/>
      <c r="AP529" s="3618"/>
      <c r="AQ529" s="3618">
        <f t="shared" si="306"/>
        <v>120</v>
      </c>
      <c r="AR529" s="3626"/>
      <c r="AS529" s="3626"/>
      <c r="AT529" s="3626">
        <f t="shared" si="319"/>
        <v>120</v>
      </c>
      <c r="AU529" s="3626"/>
      <c r="AV529" s="3626"/>
      <c r="AW529" s="3626"/>
      <c r="AX529" s="3626"/>
      <c r="AY529" s="3626"/>
      <c r="AZ529" s="3626"/>
      <c r="BA529" s="3626"/>
      <c r="BB529" s="3626"/>
      <c r="BC529" s="3626"/>
      <c r="BD529" s="3626"/>
      <c r="BE529" s="3626"/>
      <c r="BF529" s="3626"/>
      <c r="BG529" s="3626"/>
      <c r="BH529" s="3626"/>
      <c r="BI529" s="3626" t="s">
        <v>89</v>
      </c>
      <c r="BJ529" s="3626"/>
      <c r="BK529" s="3626"/>
      <c r="BL529" s="3626"/>
      <c r="BM529" s="3626"/>
      <c r="BN529" s="3626"/>
      <c r="BO529" s="4055"/>
      <c r="BP529" s="3627">
        <f>I529</f>
        <v>120</v>
      </c>
      <c r="BQ529" s="3627">
        <f t="shared" si="303"/>
        <v>120</v>
      </c>
      <c r="BR529" s="3627">
        <f t="shared" si="304"/>
        <v>0</v>
      </c>
      <c r="BS529" s="4056" t="e">
        <v>#N/A</v>
      </c>
      <c r="BT529" s="4057" t="s">
        <v>7450</v>
      </c>
    </row>
    <row r="530" s="3566" customFormat="1" ht="50" customHeight="1" spans="1:72">
      <c r="A530" s="3635">
        <v>45817</v>
      </c>
      <c r="B530" s="3617" t="s">
        <v>7590</v>
      </c>
      <c r="C530" s="3617" t="s">
        <v>471</v>
      </c>
      <c r="D530" s="3618">
        <v>4500169388</v>
      </c>
      <c r="E530" s="959" t="s">
        <v>7591</v>
      </c>
      <c r="F530" s="959" t="s">
        <v>7599</v>
      </c>
      <c r="G530" s="959" t="s">
        <v>7600</v>
      </c>
      <c r="H530" s="3618" t="s">
        <v>6063</v>
      </c>
      <c r="I530" s="3618">
        <v>120</v>
      </c>
      <c r="J530" s="3618">
        <v>0</v>
      </c>
      <c r="K530" s="3618">
        <v>24</v>
      </c>
      <c r="L530" s="4052">
        <f t="shared" si="291"/>
        <v>5</v>
      </c>
      <c r="M530" s="3619">
        <v>45918</v>
      </c>
      <c r="N530" s="3619">
        <v>45915</v>
      </c>
      <c r="O530" s="3664"/>
      <c r="P530" s="959" t="s">
        <v>82</v>
      </c>
      <c r="Q530" s="959"/>
      <c r="R530" s="4104"/>
      <c r="S530" s="4104"/>
      <c r="T530" s="4105"/>
      <c r="U530" s="3620" t="s">
        <v>7594</v>
      </c>
      <c r="V530" s="3649" t="s">
        <v>2441</v>
      </c>
      <c r="W530" s="3695"/>
      <c r="X530" s="3657" t="s">
        <v>7595</v>
      </c>
      <c r="Y530" s="4091"/>
      <c r="Z530" s="3661"/>
      <c r="AA530" s="3620" t="s">
        <v>7596</v>
      </c>
      <c r="AB530" s="3624" t="s">
        <v>7597</v>
      </c>
      <c r="AC530" s="3618">
        <v>2.1493</v>
      </c>
      <c r="AD530" s="3618">
        <f t="shared" si="299"/>
        <v>257.916</v>
      </c>
      <c r="AE530" s="3633"/>
      <c r="AF530" s="959" t="s">
        <v>7601</v>
      </c>
      <c r="AG530" s="3620" t="s">
        <v>416</v>
      </c>
      <c r="AH530" s="3620"/>
      <c r="AI530" s="3620"/>
      <c r="AJ530" s="3620"/>
      <c r="AK530" s="959"/>
      <c r="AL530" s="959"/>
      <c r="AM530" s="959"/>
      <c r="AN530" s="959">
        <f t="shared" si="320"/>
        <v>120</v>
      </c>
      <c r="AO530" s="959"/>
      <c r="AP530" s="3618"/>
      <c r="AQ530" s="3618">
        <f t="shared" si="306"/>
        <v>120</v>
      </c>
      <c r="AR530" s="3626"/>
      <c r="AS530" s="3626"/>
      <c r="AT530" s="3626">
        <f t="shared" si="319"/>
        <v>120</v>
      </c>
      <c r="AU530" s="3626"/>
      <c r="AV530" s="3626"/>
      <c r="AW530" s="3626"/>
      <c r="AX530" s="3626"/>
      <c r="AY530" s="3626"/>
      <c r="AZ530" s="3626"/>
      <c r="BA530" s="3626"/>
      <c r="BB530" s="3626"/>
      <c r="BC530" s="3626"/>
      <c r="BD530" s="3626"/>
      <c r="BE530" s="3626"/>
      <c r="BF530" s="3626"/>
      <c r="BG530" s="3626"/>
      <c r="BH530" s="3626"/>
      <c r="BI530" s="3626" t="s">
        <v>89</v>
      </c>
      <c r="BJ530" s="3626"/>
      <c r="BK530" s="3626"/>
      <c r="BL530" s="3626"/>
      <c r="BM530" s="3626"/>
      <c r="BN530" s="3626"/>
      <c r="BO530" s="4055">
        <f>I530</f>
        <v>120</v>
      </c>
      <c r="BP530" s="3627"/>
      <c r="BQ530" s="3627">
        <f t="shared" si="303"/>
        <v>120</v>
      </c>
      <c r="BR530" s="3627">
        <f t="shared" si="304"/>
        <v>0</v>
      </c>
      <c r="BS530" s="4056" t="e">
        <v>#N/A</v>
      </c>
      <c r="BT530" s="4057" t="s">
        <v>7450</v>
      </c>
    </row>
    <row r="531" s="3566" customFormat="1" ht="50" customHeight="1" spans="1:72">
      <c r="A531" s="3635">
        <v>45817</v>
      </c>
      <c r="B531" s="3617" t="s">
        <v>7590</v>
      </c>
      <c r="C531" s="3617" t="s">
        <v>471</v>
      </c>
      <c r="D531" s="3618">
        <v>4500169388</v>
      </c>
      <c r="E531" s="959" t="s">
        <v>7591</v>
      </c>
      <c r="F531" s="959" t="s">
        <v>7602</v>
      </c>
      <c r="G531" s="959" t="s">
        <v>7603</v>
      </c>
      <c r="H531" s="3618" t="s">
        <v>6063</v>
      </c>
      <c r="I531" s="3618">
        <v>120</v>
      </c>
      <c r="J531" s="3618">
        <v>0</v>
      </c>
      <c r="K531" s="3618">
        <v>24</v>
      </c>
      <c r="L531" s="4052">
        <f t="shared" si="291"/>
        <v>5</v>
      </c>
      <c r="M531" s="3619">
        <v>45918</v>
      </c>
      <c r="N531" s="3619">
        <v>45915</v>
      </c>
      <c r="O531" s="3664"/>
      <c r="P531" s="959" t="s">
        <v>82</v>
      </c>
      <c r="Q531" s="959"/>
      <c r="R531" s="4104"/>
      <c r="S531" s="4104"/>
      <c r="T531" s="4105"/>
      <c r="U531" s="3620" t="s">
        <v>7594</v>
      </c>
      <c r="V531" s="3649" t="s">
        <v>2441</v>
      </c>
      <c r="W531" s="3695"/>
      <c r="X531" s="3657" t="s">
        <v>7595</v>
      </c>
      <c r="Y531" s="4091"/>
      <c r="Z531" s="3661"/>
      <c r="AA531" s="3620" t="s">
        <v>7596</v>
      </c>
      <c r="AB531" s="3624" t="s">
        <v>7597</v>
      </c>
      <c r="AC531" s="3618">
        <v>2.1493</v>
      </c>
      <c r="AD531" s="3618">
        <f t="shared" si="299"/>
        <v>257.916</v>
      </c>
      <c r="AE531" s="3633"/>
      <c r="AF531" s="959" t="s">
        <v>7580</v>
      </c>
      <c r="AG531" s="3620" t="s">
        <v>416</v>
      </c>
      <c r="AH531" s="3620"/>
      <c r="AI531" s="3620"/>
      <c r="AJ531" s="3620"/>
      <c r="AK531" s="959"/>
      <c r="AL531" s="959"/>
      <c r="AM531" s="959"/>
      <c r="AN531" s="959">
        <f t="shared" si="320"/>
        <v>120</v>
      </c>
      <c r="AO531" s="959"/>
      <c r="AP531" s="3618"/>
      <c r="AQ531" s="3618">
        <f t="shared" si="306"/>
        <v>120</v>
      </c>
      <c r="AR531" s="3626"/>
      <c r="AS531" s="3626"/>
      <c r="AT531" s="3626">
        <f t="shared" si="319"/>
        <v>120</v>
      </c>
      <c r="AU531" s="3626"/>
      <c r="AV531" s="3626"/>
      <c r="AW531" s="3626"/>
      <c r="AX531" s="3626"/>
      <c r="AY531" s="3626"/>
      <c r="AZ531" s="3626"/>
      <c r="BA531" s="3626"/>
      <c r="BB531" s="3626"/>
      <c r="BC531" s="3626"/>
      <c r="BD531" s="3626"/>
      <c r="BE531" s="3626"/>
      <c r="BF531" s="3626"/>
      <c r="BG531" s="3626"/>
      <c r="BH531" s="3626"/>
      <c r="BI531" s="3626" t="s">
        <v>89</v>
      </c>
      <c r="BJ531" s="3626"/>
      <c r="BK531" s="3626"/>
      <c r="BL531" s="3626"/>
      <c r="BM531" s="3626"/>
      <c r="BN531" s="3626">
        <f>I531</f>
        <v>120</v>
      </c>
      <c r="BO531" s="4055"/>
      <c r="BP531" s="3627"/>
      <c r="BQ531" s="3627">
        <f t="shared" si="303"/>
        <v>120</v>
      </c>
      <c r="BR531" s="3627">
        <f t="shared" si="304"/>
        <v>0</v>
      </c>
      <c r="BS531" s="4056" t="e">
        <v>#N/A</v>
      </c>
      <c r="BT531" s="4057" t="s">
        <v>7450</v>
      </c>
    </row>
    <row r="532" s="3566" customFormat="1" ht="50" customHeight="1" spans="1:72">
      <c r="A532" s="3635">
        <v>45817</v>
      </c>
      <c r="B532" s="3617" t="s">
        <v>7590</v>
      </c>
      <c r="C532" s="3617" t="s">
        <v>471</v>
      </c>
      <c r="D532" s="3618">
        <v>4500169388</v>
      </c>
      <c r="E532" s="959" t="s">
        <v>7591</v>
      </c>
      <c r="F532" s="959" t="s">
        <v>7604</v>
      </c>
      <c r="G532" s="959" t="s">
        <v>7605</v>
      </c>
      <c r="H532" s="3618" t="s">
        <v>6063</v>
      </c>
      <c r="I532" s="3618">
        <v>120</v>
      </c>
      <c r="J532" s="3618">
        <v>0</v>
      </c>
      <c r="K532" s="3618">
        <v>24</v>
      </c>
      <c r="L532" s="4052">
        <f t="shared" si="291"/>
        <v>5</v>
      </c>
      <c r="M532" s="3619">
        <v>45918</v>
      </c>
      <c r="N532" s="3619">
        <v>45915</v>
      </c>
      <c r="O532" s="3664"/>
      <c r="P532" s="959" t="s">
        <v>82</v>
      </c>
      <c r="Q532" s="959"/>
      <c r="R532" s="4104"/>
      <c r="S532" s="4104"/>
      <c r="T532" s="4105"/>
      <c r="U532" s="3620" t="s">
        <v>7594</v>
      </c>
      <c r="V532" s="3649" t="s">
        <v>2441</v>
      </c>
      <c r="W532" s="3695"/>
      <c r="X532" s="3657" t="s">
        <v>7595</v>
      </c>
      <c r="Y532" s="4091"/>
      <c r="Z532" s="3661"/>
      <c r="AA532" s="3620" t="s">
        <v>7596</v>
      </c>
      <c r="AB532" s="3624" t="s">
        <v>7597</v>
      </c>
      <c r="AC532" s="3618">
        <v>2.2017</v>
      </c>
      <c r="AD532" s="3618">
        <f t="shared" si="299"/>
        <v>264.204</v>
      </c>
      <c r="AE532" s="3633"/>
      <c r="AF532" s="959" t="s">
        <v>7606</v>
      </c>
      <c r="AG532" s="3620" t="s">
        <v>416</v>
      </c>
      <c r="AH532" s="3620"/>
      <c r="AI532" s="3620"/>
      <c r="AJ532" s="3620"/>
      <c r="AK532" s="959"/>
      <c r="AL532" s="959"/>
      <c r="AM532" s="959"/>
      <c r="AN532" s="959">
        <f t="shared" si="320"/>
        <v>120</v>
      </c>
      <c r="AO532" s="959"/>
      <c r="AP532" s="3618"/>
      <c r="AQ532" s="3618">
        <f t="shared" si="306"/>
        <v>120</v>
      </c>
      <c r="AR532" s="3626"/>
      <c r="AS532" s="3626"/>
      <c r="AT532" s="3626">
        <f t="shared" si="319"/>
        <v>120</v>
      </c>
      <c r="AU532" s="3626"/>
      <c r="AV532" s="3626"/>
      <c r="AW532" s="3626"/>
      <c r="AX532" s="3626"/>
      <c r="AY532" s="3626"/>
      <c r="AZ532" s="3626"/>
      <c r="BA532" s="3626"/>
      <c r="BB532" s="3626"/>
      <c r="BC532" s="3626"/>
      <c r="BD532" s="3626"/>
      <c r="BE532" s="3626"/>
      <c r="BF532" s="3626"/>
      <c r="BG532" s="3626"/>
      <c r="BH532" s="3626"/>
      <c r="BI532" s="3626" t="s">
        <v>89</v>
      </c>
      <c r="BJ532" s="3626"/>
      <c r="BK532" s="3626"/>
      <c r="BL532" s="3626"/>
      <c r="BM532" s="3626">
        <f>I532</f>
        <v>120</v>
      </c>
      <c r="BN532" s="3626"/>
      <c r="BO532" s="4055"/>
      <c r="BP532" s="3627"/>
      <c r="BQ532" s="3627">
        <f t="shared" si="303"/>
        <v>120</v>
      </c>
      <c r="BR532" s="3627">
        <f t="shared" si="304"/>
        <v>0</v>
      </c>
      <c r="BS532" s="4056" t="e">
        <v>#N/A</v>
      </c>
      <c r="BT532" s="4057" t="s">
        <v>7450</v>
      </c>
    </row>
    <row r="533" s="3566" customFormat="1" ht="50" customHeight="1" spans="1:72">
      <c r="A533" s="3635">
        <v>45817</v>
      </c>
      <c r="B533" s="3617" t="s">
        <v>7590</v>
      </c>
      <c r="C533" s="3617" t="s">
        <v>471</v>
      </c>
      <c r="D533" s="3618">
        <v>4500169388</v>
      </c>
      <c r="E533" s="959" t="s">
        <v>7591</v>
      </c>
      <c r="F533" s="959" t="s">
        <v>7607</v>
      </c>
      <c r="G533" s="959" t="s">
        <v>7608</v>
      </c>
      <c r="H533" s="3618" t="s">
        <v>6063</v>
      </c>
      <c r="I533" s="3618">
        <v>120</v>
      </c>
      <c r="J533" s="3618">
        <v>0</v>
      </c>
      <c r="K533" s="3618">
        <v>24</v>
      </c>
      <c r="L533" s="4052">
        <f t="shared" si="291"/>
        <v>5</v>
      </c>
      <c r="M533" s="3619">
        <v>45918</v>
      </c>
      <c r="N533" s="3619">
        <v>45915</v>
      </c>
      <c r="O533" s="3664"/>
      <c r="P533" s="959" t="s">
        <v>82</v>
      </c>
      <c r="Q533" s="959"/>
      <c r="R533" s="4104"/>
      <c r="S533" s="4104"/>
      <c r="T533" s="4105"/>
      <c r="U533" s="3620" t="s">
        <v>7594</v>
      </c>
      <c r="V533" s="3649" t="s">
        <v>2441</v>
      </c>
      <c r="W533" s="3695"/>
      <c r="X533" s="3657" t="s">
        <v>7595</v>
      </c>
      <c r="Y533" s="4091"/>
      <c r="Z533" s="3661"/>
      <c r="AA533" s="3620" t="s">
        <v>7596</v>
      </c>
      <c r="AB533" s="3624" t="s">
        <v>7597</v>
      </c>
      <c r="AC533" s="3618">
        <v>2.2017</v>
      </c>
      <c r="AD533" s="3618">
        <f t="shared" si="299"/>
        <v>264.204</v>
      </c>
      <c r="AE533" s="3633"/>
      <c r="AF533" s="959" t="s">
        <v>7584</v>
      </c>
      <c r="AG533" s="3620" t="s">
        <v>416</v>
      </c>
      <c r="AH533" s="3620"/>
      <c r="AI533" s="3620"/>
      <c r="AJ533" s="3620"/>
      <c r="AK533" s="959"/>
      <c r="AL533" s="959"/>
      <c r="AM533" s="959"/>
      <c r="AN533" s="959">
        <f t="shared" si="320"/>
        <v>120</v>
      </c>
      <c r="AO533" s="959"/>
      <c r="AP533" s="3618"/>
      <c r="AQ533" s="3618">
        <f t="shared" si="306"/>
        <v>120</v>
      </c>
      <c r="AR533" s="3626"/>
      <c r="AS533" s="3626"/>
      <c r="AT533" s="3626">
        <f t="shared" si="319"/>
        <v>120</v>
      </c>
      <c r="AU533" s="3626"/>
      <c r="AV533" s="3626"/>
      <c r="AW533" s="3626"/>
      <c r="AX533" s="3626"/>
      <c r="AY533" s="3626"/>
      <c r="AZ533" s="3626"/>
      <c r="BA533" s="3626"/>
      <c r="BB533" s="3626"/>
      <c r="BC533" s="3626"/>
      <c r="BD533" s="3626"/>
      <c r="BE533" s="3626"/>
      <c r="BF533" s="3626"/>
      <c r="BG533" s="3626"/>
      <c r="BH533" s="3626"/>
      <c r="BI533" s="3626" t="s">
        <v>89</v>
      </c>
      <c r="BJ533" s="3626"/>
      <c r="BK533" s="3626"/>
      <c r="BL533" s="3626">
        <f>I533</f>
        <v>120</v>
      </c>
      <c r="BM533" s="3626"/>
      <c r="BN533" s="3626"/>
      <c r="BO533" s="4055"/>
      <c r="BP533" s="3627"/>
      <c r="BQ533" s="3627">
        <f t="shared" si="303"/>
        <v>120</v>
      </c>
      <c r="BR533" s="3627">
        <f t="shared" si="304"/>
        <v>0</v>
      </c>
      <c r="BS533" s="4056" t="e">
        <v>#N/A</v>
      </c>
      <c r="BT533" s="4057" t="s">
        <v>7450</v>
      </c>
    </row>
    <row r="534" s="3566" customFormat="1" ht="50" customHeight="1" spans="1:72">
      <c r="A534" s="3635">
        <v>45817</v>
      </c>
      <c r="B534" s="3617" t="s">
        <v>7590</v>
      </c>
      <c r="C534" s="3617" t="s">
        <v>471</v>
      </c>
      <c r="D534" s="3618">
        <v>4500169388</v>
      </c>
      <c r="E534" s="959" t="s">
        <v>7591</v>
      </c>
      <c r="F534" s="959" t="s">
        <v>7609</v>
      </c>
      <c r="G534" s="959" t="s">
        <v>7610</v>
      </c>
      <c r="H534" s="3618" t="s">
        <v>6063</v>
      </c>
      <c r="I534" s="3618">
        <v>120</v>
      </c>
      <c r="J534" s="3618">
        <v>0</v>
      </c>
      <c r="K534" s="3618">
        <v>24</v>
      </c>
      <c r="L534" s="4052">
        <f t="shared" si="291"/>
        <v>5</v>
      </c>
      <c r="M534" s="3619">
        <v>45918</v>
      </c>
      <c r="N534" s="3619">
        <v>45915</v>
      </c>
      <c r="O534" s="3664"/>
      <c r="P534" s="959" t="s">
        <v>82</v>
      </c>
      <c r="Q534" s="959"/>
      <c r="R534" s="4104"/>
      <c r="S534" s="4104"/>
      <c r="T534" s="4105"/>
      <c r="U534" s="3620" t="s">
        <v>7594</v>
      </c>
      <c r="V534" s="3649" t="s">
        <v>2441</v>
      </c>
      <c r="W534" s="3695"/>
      <c r="X534" s="3657" t="s">
        <v>7595</v>
      </c>
      <c r="Y534" s="4091"/>
      <c r="Z534" s="3661"/>
      <c r="AA534" s="3620" t="s">
        <v>7596</v>
      </c>
      <c r="AB534" s="3624" t="s">
        <v>7597</v>
      </c>
      <c r="AC534" s="3618">
        <v>2.2017</v>
      </c>
      <c r="AD534" s="3618">
        <f t="shared" si="299"/>
        <v>264.204</v>
      </c>
      <c r="AE534" s="3633"/>
      <c r="AF534" s="959" t="s">
        <v>7588</v>
      </c>
      <c r="AG534" s="3620" t="s">
        <v>416</v>
      </c>
      <c r="AH534" s="3620"/>
      <c r="AI534" s="3620"/>
      <c r="AJ534" s="3620"/>
      <c r="AK534" s="959"/>
      <c r="AL534" s="959"/>
      <c r="AM534" s="959"/>
      <c r="AN534" s="959">
        <f t="shared" si="320"/>
        <v>120</v>
      </c>
      <c r="AO534" s="959"/>
      <c r="AP534" s="3618"/>
      <c r="AQ534" s="3618">
        <f t="shared" si="306"/>
        <v>120</v>
      </c>
      <c r="AR534" s="3626"/>
      <c r="AS534" s="3626"/>
      <c r="AT534" s="3626">
        <f t="shared" si="319"/>
        <v>120</v>
      </c>
      <c r="AU534" s="3626"/>
      <c r="AV534" s="3626"/>
      <c r="AW534" s="3626"/>
      <c r="AX534" s="3626"/>
      <c r="AY534" s="3626"/>
      <c r="AZ534" s="3626"/>
      <c r="BA534" s="3626"/>
      <c r="BB534" s="3626"/>
      <c r="BC534" s="3626"/>
      <c r="BD534" s="3626"/>
      <c r="BE534" s="3626"/>
      <c r="BF534" s="3626"/>
      <c r="BG534" s="3626"/>
      <c r="BH534" s="3626"/>
      <c r="BI534" s="3626" t="s">
        <v>89</v>
      </c>
      <c r="BJ534" s="3626"/>
      <c r="BK534" s="3626">
        <f>I534</f>
        <v>120</v>
      </c>
      <c r="BL534" s="3626"/>
      <c r="BM534" s="3626"/>
      <c r="BN534" s="3626"/>
      <c r="BO534" s="4055"/>
      <c r="BP534" s="3627"/>
      <c r="BQ534" s="3627">
        <f t="shared" si="303"/>
        <v>120</v>
      </c>
      <c r="BR534" s="3627">
        <f t="shared" si="304"/>
        <v>0</v>
      </c>
      <c r="BS534" s="4056" t="e">
        <v>#N/A</v>
      </c>
      <c r="BT534" s="4057" t="s">
        <v>7450</v>
      </c>
    </row>
    <row r="535" s="3566" customFormat="1" ht="50" customHeight="1" spans="1:72">
      <c r="A535" s="3635">
        <v>45839</v>
      </c>
      <c r="B535" s="3617" t="s">
        <v>407</v>
      </c>
      <c r="C535" s="3617" t="s">
        <v>91</v>
      </c>
      <c r="D535" s="3618">
        <v>4500172208</v>
      </c>
      <c r="E535" s="959" t="s">
        <v>4822</v>
      </c>
      <c r="F535" s="959" t="s">
        <v>7611</v>
      </c>
      <c r="G535" s="959" t="s">
        <v>3520</v>
      </c>
      <c r="H535" s="3618" t="s">
        <v>6063</v>
      </c>
      <c r="I535" s="3618">
        <v>10008</v>
      </c>
      <c r="J535" s="3618">
        <v>0</v>
      </c>
      <c r="K535" s="3618">
        <v>24</v>
      </c>
      <c r="L535" s="4052">
        <f t="shared" si="291"/>
        <v>417</v>
      </c>
      <c r="M535" s="3619">
        <v>45919</v>
      </c>
      <c r="N535" s="3619">
        <v>45915</v>
      </c>
      <c r="O535" s="3664"/>
      <c r="P535" s="959" t="s">
        <v>82</v>
      </c>
      <c r="Q535" s="959"/>
      <c r="R535" s="959"/>
      <c r="S535" s="959"/>
      <c r="T535" s="4053"/>
      <c r="U535" s="3645" t="s">
        <v>1965</v>
      </c>
      <c r="V535" s="3649" t="s">
        <v>1895</v>
      </c>
      <c r="W535" s="3695"/>
      <c r="X535" s="3657" t="s">
        <v>98</v>
      </c>
      <c r="Y535" s="3649" t="s">
        <v>1885</v>
      </c>
      <c r="Z535" s="3661"/>
      <c r="AA535" s="3620" t="s">
        <v>1621</v>
      </c>
      <c r="AB535" s="3624" t="s">
        <v>393</v>
      </c>
      <c r="AC535" s="4058">
        <v>1.2687</v>
      </c>
      <c r="AD535" s="3618">
        <f t="shared" si="299"/>
        <v>12697.1496</v>
      </c>
      <c r="AE535" s="3633" t="s">
        <v>4824</v>
      </c>
      <c r="AF535" s="959" t="s">
        <v>3520</v>
      </c>
      <c r="AG535" s="3620" t="s">
        <v>416</v>
      </c>
      <c r="AH535" s="3620"/>
      <c r="AI535" s="3620"/>
      <c r="AJ535" s="3620"/>
      <c r="AK535" s="959"/>
      <c r="AL535" s="959">
        <f t="shared" ref="AL535:AL552" si="321">I535</f>
        <v>10008</v>
      </c>
      <c r="AM535" s="959"/>
      <c r="AN535" s="959"/>
      <c r="AO535" s="959"/>
      <c r="AP535" s="3618"/>
      <c r="AQ535" s="3618">
        <f t="shared" si="306"/>
        <v>10008</v>
      </c>
      <c r="AR535" s="3626"/>
      <c r="AS535" s="3626"/>
      <c r="AT535" s="3626">
        <f t="shared" si="319"/>
        <v>10008</v>
      </c>
      <c r="AU535" s="3626"/>
      <c r="AV535" s="3626"/>
      <c r="AW535" s="3626"/>
      <c r="AX535" s="3626"/>
      <c r="AY535" s="3626"/>
      <c r="AZ535" s="3626"/>
      <c r="BA535" s="3626"/>
      <c r="BB535" s="3626"/>
      <c r="BC535" s="3626"/>
      <c r="BD535" s="3626"/>
      <c r="BE535" s="3626"/>
      <c r="BF535" s="3626"/>
      <c r="BG535" s="3626"/>
      <c r="BH535" s="3626"/>
      <c r="BI535" s="3626" t="s">
        <v>89</v>
      </c>
      <c r="BJ535" s="3626">
        <f t="shared" ref="BJ535:BJ557" si="322">I535/60*2</f>
        <v>333.6</v>
      </c>
      <c r="BK535" s="3626">
        <f t="shared" ref="BK535:BK557" si="323">I535/60*10</f>
        <v>1668</v>
      </c>
      <c r="BL535" s="3626">
        <f t="shared" ref="BL535:BL557" si="324">I535/60*10</f>
        <v>1668</v>
      </c>
      <c r="BM535" s="3626">
        <f t="shared" ref="BM535:BM557" si="325">I535/60*8</f>
        <v>1334.4</v>
      </c>
      <c r="BN535" s="3626">
        <f t="shared" ref="BN535:BN557" si="326">I535/60*10</f>
        <v>1668</v>
      </c>
      <c r="BO535" s="4055">
        <f t="shared" ref="BO535:BO557" si="327">I535/60*10</f>
        <v>1668</v>
      </c>
      <c r="BP535" s="3627">
        <f t="shared" ref="BP535:BP557" si="328">I535/60*10</f>
        <v>1668</v>
      </c>
      <c r="BQ535" s="3627">
        <f t="shared" si="303"/>
        <v>10008</v>
      </c>
      <c r="BR535" s="3627">
        <f t="shared" si="304"/>
        <v>0</v>
      </c>
      <c r="BS535" s="4056" t="e">
        <v>#N/A</v>
      </c>
      <c r="BT535" s="4057" t="s">
        <v>7450</v>
      </c>
    </row>
    <row r="536" s="3566" customFormat="1" ht="50" customHeight="1" spans="1:72">
      <c r="A536" s="3635">
        <v>45868</v>
      </c>
      <c r="B536" s="3634" t="s">
        <v>7612</v>
      </c>
      <c r="C536" s="3617" t="s">
        <v>91</v>
      </c>
      <c r="D536" s="3629">
        <v>4500175550</v>
      </c>
      <c r="E536" s="959" t="s">
        <v>7613</v>
      </c>
      <c r="F536" s="3629" t="s">
        <v>7614</v>
      </c>
      <c r="G536" s="959" t="s">
        <v>6195</v>
      </c>
      <c r="H536" s="3618" t="s">
        <v>6063</v>
      </c>
      <c r="I536" s="3618">
        <v>3528</v>
      </c>
      <c r="J536" s="3618">
        <v>0</v>
      </c>
      <c r="K536" s="3618">
        <v>12</v>
      </c>
      <c r="L536" s="4052">
        <f t="shared" si="291"/>
        <v>294</v>
      </c>
      <c r="M536" s="3619">
        <v>45917</v>
      </c>
      <c r="N536" s="3659">
        <v>45913</v>
      </c>
      <c r="O536" s="959" t="s">
        <v>7615</v>
      </c>
      <c r="P536" s="959" t="s">
        <v>82</v>
      </c>
      <c r="Q536" s="959"/>
      <c r="R536" s="4104"/>
      <c r="S536" s="4104"/>
      <c r="T536" s="4105"/>
      <c r="U536" s="3620" t="s">
        <v>4768</v>
      </c>
      <c r="V536" s="3649" t="s">
        <v>7561</v>
      </c>
      <c r="W536" s="3640"/>
      <c r="X536" s="3695" t="s">
        <v>7616</v>
      </c>
      <c r="Y536" s="3640"/>
      <c r="Z536" s="3618"/>
      <c r="AA536" s="3620" t="s">
        <v>7617</v>
      </c>
      <c r="AB536" s="3624" t="s">
        <v>6911</v>
      </c>
      <c r="AC536" s="4058">
        <v>1.3369</v>
      </c>
      <c r="AD536" s="3618">
        <f t="shared" si="299"/>
        <v>4716.5832</v>
      </c>
      <c r="AE536" s="3633" t="s">
        <v>7618</v>
      </c>
      <c r="AF536" s="959" t="s">
        <v>6195</v>
      </c>
      <c r="AG536" s="3620" t="s">
        <v>416</v>
      </c>
      <c r="AH536" s="3620"/>
      <c r="AI536" s="3620"/>
      <c r="AJ536" s="3620"/>
      <c r="AK536" s="959"/>
      <c r="AL536" s="959">
        <f t="shared" si="321"/>
        <v>3528</v>
      </c>
      <c r="AM536" s="959"/>
      <c r="AN536" s="959"/>
      <c r="AO536" s="959"/>
      <c r="AP536" s="3618"/>
      <c r="AQ536" s="3618">
        <f t="shared" si="306"/>
        <v>3528</v>
      </c>
      <c r="AR536" s="3626"/>
      <c r="AS536" s="3626"/>
      <c r="AT536" s="3626">
        <f t="shared" si="319"/>
        <v>3528</v>
      </c>
      <c r="AU536" s="3626"/>
      <c r="AV536" s="3626"/>
      <c r="AW536" s="3626"/>
      <c r="AX536" s="3626"/>
      <c r="AY536" s="3626"/>
      <c r="AZ536" s="3626">
        <f>I536/6</f>
        <v>588</v>
      </c>
      <c r="BA536" s="3626"/>
      <c r="BB536" s="3626"/>
      <c r="BC536" s="3626"/>
      <c r="BD536" s="3626"/>
      <c r="BE536" s="3626"/>
      <c r="BF536" s="3626"/>
      <c r="BG536" s="3626"/>
      <c r="BH536" s="3626"/>
      <c r="BI536" s="3626" t="s">
        <v>89</v>
      </c>
      <c r="BJ536" s="3626">
        <f t="shared" si="322"/>
        <v>117.6</v>
      </c>
      <c r="BK536" s="3626">
        <f t="shared" si="323"/>
        <v>588</v>
      </c>
      <c r="BL536" s="3626">
        <f t="shared" si="324"/>
        <v>588</v>
      </c>
      <c r="BM536" s="3626">
        <f t="shared" si="325"/>
        <v>470.4</v>
      </c>
      <c r="BN536" s="3626">
        <f t="shared" si="326"/>
        <v>588</v>
      </c>
      <c r="BO536" s="4055">
        <f t="shared" si="327"/>
        <v>588</v>
      </c>
      <c r="BP536" s="3627">
        <f t="shared" si="328"/>
        <v>588</v>
      </c>
      <c r="BQ536" s="3627">
        <f t="shared" si="303"/>
        <v>3528</v>
      </c>
      <c r="BR536" s="3627">
        <f t="shared" si="304"/>
        <v>0</v>
      </c>
      <c r="BS536" s="4056"/>
      <c r="BT536" s="4057"/>
    </row>
    <row r="537" s="3566" customFormat="1" ht="50" customHeight="1" spans="1:72">
      <c r="A537" s="3635">
        <v>45868</v>
      </c>
      <c r="B537" s="3634" t="s">
        <v>7612</v>
      </c>
      <c r="C537" s="3617" t="s">
        <v>91</v>
      </c>
      <c r="D537" s="3629">
        <v>4500175550</v>
      </c>
      <c r="E537" s="959" t="s">
        <v>7619</v>
      </c>
      <c r="F537" s="3629" t="s">
        <v>7620</v>
      </c>
      <c r="G537" s="959" t="s">
        <v>6195</v>
      </c>
      <c r="H537" s="3618" t="s">
        <v>6063</v>
      </c>
      <c r="I537" s="3618">
        <v>1512</v>
      </c>
      <c r="J537" s="3618">
        <v>0</v>
      </c>
      <c r="K537" s="3618">
        <v>12</v>
      </c>
      <c r="L537" s="4052">
        <f t="shared" si="291"/>
        <v>126</v>
      </c>
      <c r="M537" s="3619">
        <v>45917</v>
      </c>
      <c r="N537" s="3659">
        <v>45913</v>
      </c>
      <c r="O537" s="959" t="s">
        <v>7621</v>
      </c>
      <c r="P537" s="959" t="s">
        <v>82</v>
      </c>
      <c r="Q537" s="959"/>
      <c r="R537" s="4104"/>
      <c r="S537" s="4104"/>
      <c r="T537" s="4105"/>
      <c r="U537" s="3620" t="s">
        <v>4768</v>
      </c>
      <c r="V537" s="3649" t="s">
        <v>7561</v>
      </c>
      <c r="W537" s="3640"/>
      <c r="X537" s="3695" t="s">
        <v>7616</v>
      </c>
      <c r="Y537" s="3640"/>
      <c r="Z537" s="3618"/>
      <c r="AA537" s="3620" t="s">
        <v>7617</v>
      </c>
      <c r="AB537" s="3624" t="s">
        <v>6911</v>
      </c>
      <c r="AC537" s="4058">
        <v>1.3369</v>
      </c>
      <c r="AD537" s="3618">
        <f t="shared" si="299"/>
        <v>2021.3928</v>
      </c>
      <c r="AE537" s="3633" t="s">
        <v>7622</v>
      </c>
      <c r="AF537" s="959" t="s">
        <v>6195</v>
      </c>
      <c r="AG537" s="3620" t="s">
        <v>416</v>
      </c>
      <c r="AH537" s="3620"/>
      <c r="AI537" s="3620"/>
      <c r="AJ537" s="3620"/>
      <c r="AK537" s="959"/>
      <c r="AL537" s="959">
        <f t="shared" si="321"/>
        <v>1512</v>
      </c>
      <c r="AM537" s="959"/>
      <c r="AN537" s="959"/>
      <c r="AO537" s="959"/>
      <c r="AP537" s="3618"/>
      <c r="AQ537" s="3618">
        <f t="shared" si="306"/>
        <v>1512</v>
      </c>
      <c r="AR537" s="3626"/>
      <c r="AS537" s="3626"/>
      <c r="AT537" s="3626">
        <f t="shared" si="319"/>
        <v>1512</v>
      </c>
      <c r="AU537" s="3626"/>
      <c r="AV537" s="3626"/>
      <c r="AW537" s="3626"/>
      <c r="AX537" s="3626"/>
      <c r="AY537" s="3626"/>
      <c r="AZ537" s="3626">
        <f>I537/6</f>
        <v>252</v>
      </c>
      <c r="BA537" s="3626"/>
      <c r="BB537" s="3626"/>
      <c r="BC537" s="3626"/>
      <c r="BD537" s="3626"/>
      <c r="BE537" s="3626"/>
      <c r="BF537" s="3626"/>
      <c r="BG537" s="3626"/>
      <c r="BH537" s="3626"/>
      <c r="BI537" s="3626" t="s">
        <v>89</v>
      </c>
      <c r="BJ537" s="3626">
        <f t="shared" si="322"/>
        <v>50.4</v>
      </c>
      <c r="BK537" s="3626">
        <f t="shared" si="323"/>
        <v>252</v>
      </c>
      <c r="BL537" s="3626">
        <f t="shared" si="324"/>
        <v>252</v>
      </c>
      <c r="BM537" s="3626">
        <f t="shared" si="325"/>
        <v>201.6</v>
      </c>
      <c r="BN537" s="3626">
        <f t="shared" si="326"/>
        <v>252</v>
      </c>
      <c r="BO537" s="4055">
        <f t="shared" si="327"/>
        <v>252</v>
      </c>
      <c r="BP537" s="3627">
        <f t="shared" si="328"/>
        <v>252</v>
      </c>
      <c r="BQ537" s="3627">
        <f t="shared" si="303"/>
        <v>1512</v>
      </c>
      <c r="BR537" s="3627">
        <f t="shared" si="304"/>
        <v>0</v>
      </c>
      <c r="BS537" s="4056"/>
      <c r="BT537" s="4057"/>
    </row>
    <row r="538" s="3566" customFormat="1" ht="50" customHeight="1" spans="1:72">
      <c r="A538" s="3635">
        <v>45881</v>
      </c>
      <c r="B538" s="3617" t="s">
        <v>6341</v>
      </c>
      <c r="C538" s="3617" t="s">
        <v>506</v>
      </c>
      <c r="D538" s="3618">
        <v>4500176741</v>
      </c>
      <c r="E538" s="959" t="s">
        <v>7623</v>
      </c>
      <c r="F538" s="959" t="s">
        <v>7624</v>
      </c>
      <c r="G538" s="959" t="s">
        <v>6124</v>
      </c>
      <c r="H538" s="3618" t="s">
        <v>6063</v>
      </c>
      <c r="I538" s="3618">
        <v>1104</v>
      </c>
      <c r="J538" s="3618">
        <v>0</v>
      </c>
      <c r="K538" s="3618">
        <v>12</v>
      </c>
      <c r="L538" s="4052">
        <f t="shared" si="291"/>
        <v>92</v>
      </c>
      <c r="M538" s="3619">
        <v>45920</v>
      </c>
      <c r="N538" s="3619">
        <v>45916</v>
      </c>
      <c r="O538" s="959"/>
      <c r="P538" s="959" t="s">
        <v>82</v>
      </c>
      <c r="Q538" s="959"/>
      <c r="R538" s="4104"/>
      <c r="S538" s="4104"/>
      <c r="T538" s="4105"/>
      <c r="U538" s="3620" t="s">
        <v>4768</v>
      </c>
      <c r="V538" s="3649" t="s">
        <v>7625</v>
      </c>
      <c r="W538" s="3695"/>
      <c r="X538" s="3657" t="s">
        <v>6345</v>
      </c>
      <c r="Y538" s="3649"/>
      <c r="Z538" s="3661"/>
      <c r="AA538" s="3620" t="s">
        <v>7439</v>
      </c>
      <c r="AB538" s="3624" t="s">
        <v>3202</v>
      </c>
      <c r="AC538" s="4058">
        <v>2.375</v>
      </c>
      <c r="AD538" s="3618">
        <f t="shared" si="299"/>
        <v>2622</v>
      </c>
      <c r="AE538" s="3633"/>
      <c r="AF538" s="959" t="s">
        <v>6124</v>
      </c>
      <c r="AG538" s="3620" t="s">
        <v>416</v>
      </c>
      <c r="AH538" s="3620"/>
      <c r="AI538" s="3620"/>
      <c r="AJ538" s="3620"/>
      <c r="AK538" s="959"/>
      <c r="AL538" s="959">
        <f t="shared" si="321"/>
        <v>1104</v>
      </c>
      <c r="AM538" s="959"/>
      <c r="AN538" s="959"/>
      <c r="AO538" s="959"/>
      <c r="AP538" s="3618"/>
      <c r="AQ538" s="3618">
        <f t="shared" si="306"/>
        <v>1104</v>
      </c>
      <c r="AR538" s="3626"/>
      <c r="AS538" s="3626"/>
      <c r="AT538" s="3626">
        <f t="shared" si="319"/>
        <v>1104</v>
      </c>
      <c r="AU538" s="3626"/>
      <c r="AV538" s="3626"/>
      <c r="AW538" s="3626"/>
      <c r="AX538" s="3626">
        <f>I538/6</f>
        <v>184</v>
      </c>
      <c r="AY538" s="3626"/>
      <c r="AZ538" s="3626"/>
      <c r="BA538" s="3626"/>
      <c r="BB538" s="3626"/>
      <c r="BC538" s="3626"/>
      <c r="BD538" s="3626"/>
      <c r="BE538" s="3626"/>
      <c r="BF538" s="3626"/>
      <c r="BG538" s="3626"/>
      <c r="BH538" s="3626"/>
      <c r="BI538" s="3626" t="s">
        <v>89</v>
      </c>
      <c r="BJ538" s="3626">
        <f t="shared" si="322"/>
        <v>36.8</v>
      </c>
      <c r="BK538" s="3626">
        <f t="shared" si="323"/>
        <v>184</v>
      </c>
      <c r="BL538" s="3626">
        <f t="shared" si="324"/>
        <v>184</v>
      </c>
      <c r="BM538" s="3626">
        <f t="shared" si="325"/>
        <v>147.2</v>
      </c>
      <c r="BN538" s="3626">
        <f t="shared" si="326"/>
        <v>184</v>
      </c>
      <c r="BO538" s="4055">
        <f t="shared" si="327"/>
        <v>184</v>
      </c>
      <c r="BP538" s="3627">
        <f t="shared" si="328"/>
        <v>184</v>
      </c>
      <c r="BQ538" s="3627">
        <f t="shared" si="303"/>
        <v>1104</v>
      </c>
      <c r="BR538" s="3627">
        <f t="shared" si="304"/>
        <v>0</v>
      </c>
      <c r="BS538" s="4056"/>
      <c r="BT538" s="4057"/>
    </row>
    <row r="539" s="3566" customFormat="1" ht="50" customHeight="1" spans="1:72">
      <c r="A539" s="3635">
        <v>45881</v>
      </c>
      <c r="B539" s="3617" t="s">
        <v>6341</v>
      </c>
      <c r="C539" s="3617" t="s">
        <v>506</v>
      </c>
      <c r="D539" s="3618">
        <v>4500176741</v>
      </c>
      <c r="E539" s="959" t="s">
        <v>7626</v>
      </c>
      <c r="F539" s="959" t="s">
        <v>7627</v>
      </c>
      <c r="G539" s="959" t="s">
        <v>6124</v>
      </c>
      <c r="H539" s="3618" t="s">
        <v>6063</v>
      </c>
      <c r="I539" s="3618">
        <v>240</v>
      </c>
      <c r="J539" s="3618">
        <v>0</v>
      </c>
      <c r="K539" s="3618">
        <v>12</v>
      </c>
      <c r="L539" s="4052">
        <f t="shared" si="291"/>
        <v>20</v>
      </c>
      <c r="M539" s="3619">
        <v>45920</v>
      </c>
      <c r="N539" s="3619">
        <v>45916</v>
      </c>
      <c r="O539" s="959"/>
      <c r="P539" s="959" t="s">
        <v>82</v>
      </c>
      <c r="Q539" s="959"/>
      <c r="R539" s="4104"/>
      <c r="S539" s="4104"/>
      <c r="T539" s="4105"/>
      <c r="U539" s="3620" t="s">
        <v>4768</v>
      </c>
      <c r="V539" s="3649" t="s">
        <v>7625</v>
      </c>
      <c r="W539" s="3695"/>
      <c r="X539" s="3657" t="s">
        <v>6345</v>
      </c>
      <c r="Y539" s="3649"/>
      <c r="Z539" s="3661"/>
      <c r="AA539" s="3620" t="s">
        <v>7439</v>
      </c>
      <c r="AB539" s="3624" t="s">
        <v>3202</v>
      </c>
      <c r="AC539" s="4058">
        <v>2.375</v>
      </c>
      <c r="AD539" s="3618">
        <f t="shared" si="299"/>
        <v>570</v>
      </c>
      <c r="AE539" s="3633"/>
      <c r="AF539" s="959" t="s">
        <v>6124</v>
      </c>
      <c r="AG539" s="3620" t="s">
        <v>416</v>
      </c>
      <c r="AH539" s="3620"/>
      <c r="AI539" s="3620"/>
      <c r="AJ539" s="3620"/>
      <c r="AK539" s="959"/>
      <c r="AL539" s="959">
        <f t="shared" si="321"/>
        <v>240</v>
      </c>
      <c r="AM539" s="959"/>
      <c r="AN539" s="959"/>
      <c r="AO539" s="959"/>
      <c r="AP539" s="3618"/>
      <c r="AQ539" s="3618">
        <f t="shared" si="306"/>
        <v>240</v>
      </c>
      <c r="AR539" s="3626"/>
      <c r="AS539" s="3626"/>
      <c r="AT539" s="3626">
        <f t="shared" si="319"/>
        <v>240</v>
      </c>
      <c r="AU539" s="3626"/>
      <c r="AV539" s="3626"/>
      <c r="AW539" s="3626"/>
      <c r="AX539" s="3626">
        <f>I539/6</f>
        <v>40</v>
      </c>
      <c r="AY539" s="3626"/>
      <c r="AZ539" s="3626"/>
      <c r="BA539" s="3626"/>
      <c r="BB539" s="3626"/>
      <c r="BC539" s="3626"/>
      <c r="BD539" s="3626"/>
      <c r="BE539" s="3626"/>
      <c r="BF539" s="3626"/>
      <c r="BG539" s="3626"/>
      <c r="BH539" s="3626"/>
      <c r="BI539" s="3626" t="s">
        <v>89</v>
      </c>
      <c r="BJ539" s="3626">
        <f t="shared" si="322"/>
        <v>8</v>
      </c>
      <c r="BK539" s="3626">
        <f t="shared" si="323"/>
        <v>40</v>
      </c>
      <c r="BL539" s="3626">
        <f t="shared" si="324"/>
        <v>40</v>
      </c>
      <c r="BM539" s="3626">
        <f t="shared" si="325"/>
        <v>32</v>
      </c>
      <c r="BN539" s="3626">
        <f t="shared" si="326"/>
        <v>40</v>
      </c>
      <c r="BO539" s="4055">
        <f t="shared" si="327"/>
        <v>40</v>
      </c>
      <c r="BP539" s="3627">
        <f t="shared" si="328"/>
        <v>40</v>
      </c>
      <c r="BQ539" s="3627">
        <f t="shared" si="303"/>
        <v>240</v>
      </c>
      <c r="BR539" s="3627">
        <f t="shared" si="304"/>
        <v>0</v>
      </c>
      <c r="BS539" s="4056"/>
      <c r="BT539" s="4057"/>
    </row>
    <row r="540" s="3566" customFormat="1" ht="50" customHeight="1" spans="1:72">
      <c r="A540" s="3635">
        <v>45881</v>
      </c>
      <c r="B540" s="3617" t="s">
        <v>6341</v>
      </c>
      <c r="C540" s="3617" t="s">
        <v>506</v>
      </c>
      <c r="D540" s="3618">
        <v>4500176741</v>
      </c>
      <c r="E540" s="959" t="s">
        <v>7628</v>
      </c>
      <c r="F540" s="959" t="s">
        <v>7629</v>
      </c>
      <c r="G540" s="959" t="s">
        <v>6124</v>
      </c>
      <c r="H540" s="3618" t="s">
        <v>6063</v>
      </c>
      <c r="I540" s="3618">
        <v>1152</v>
      </c>
      <c r="J540" s="3618">
        <v>0</v>
      </c>
      <c r="K540" s="3618">
        <v>12</v>
      </c>
      <c r="L540" s="4052">
        <f t="shared" si="291"/>
        <v>96</v>
      </c>
      <c r="M540" s="3619">
        <v>45920</v>
      </c>
      <c r="N540" s="3619">
        <v>45916</v>
      </c>
      <c r="O540" s="959"/>
      <c r="P540" s="959" t="s">
        <v>82</v>
      </c>
      <c r="Q540" s="959"/>
      <c r="R540" s="4104"/>
      <c r="S540" s="4104"/>
      <c r="T540" s="4105"/>
      <c r="U540" s="3620" t="s">
        <v>4768</v>
      </c>
      <c r="V540" s="3649" t="s">
        <v>7625</v>
      </c>
      <c r="W540" s="3695"/>
      <c r="X540" s="3657" t="s">
        <v>6345</v>
      </c>
      <c r="Y540" s="3649"/>
      <c r="Z540" s="3661"/>
      <c r="AA540" s="3620" t="s">
        <v>7439</v>
      </c>
      <c r="AB540" s="3624" t="s">
        <v>3202</v>
      </c>
      <c r="AC540" s="4058">
        <v>2.375</v>
      </c>
      <c r="AD540" s="3618">
        <f t="shared" si="299"/>
        <v>2736</v>
      </c>
      <c r="AE540" s="3633"/>
      <c r="AF540" s="959" t="s">
        <v>6124</v>
      </c>
      <c r="AG540" s="3620" t="s">
        <v>416</v>
      </c>
      <c r="AH540" s="3620"/>
      <c r="AI540" s="3620"/>
      <c r="AJ540" s="3620"/>
      <c r="AK540" s="959"/>
      <c r="AL540" s="959">
        <f t="shared" si="321"/>
        <v>1152</v>
      </c>
      <c r="AM540" s="959"/>
      <c r="AN540" s="959"/>
      <c r="AO540" s="959"/>
      <c r="AP540" s="3618"/>
      <c r="AQ540" s="3618">
        <f t="shared" si="306"/>
        <v>1152</v>
      </c>
      <c r="AR540" s="3626"/>
      <c r="AS540" s="3626"/>
      <c r="AT540" s="3626">
        <f t="shared" si="319"/>
        <v>1152</v>
      </c>
      <c r="AU540" s="3626"/>
      <c r="AV540" s="3626"/>
      <c r="AW540" s="3626"/>
      <c r="AX540" s="3626">
        <f>I540/6</f>
        <v>192</v>
      </c>
      <c r="AY540" s="3626"/>
      <c r="AZ540" s="3626"/>
      <c r="BA540" s="3626"/>
      <c r="BB540" s="3626"/>
      <c r="BC540" s="3626"/>
      <c r="BD540" s="3626"/>
      <c r="BE540" s="3626"/>
      <c r="BF540" s="3626"/>
      <c r="BG540" s="3626"/>
      <c r="BH540" s="3626"/>
      <c r="BI540" s="3626" t="s">
        <v>89</v>
      </c>
      <c r="BJ540" s="3626">
        <f t="shared" si="322"/>
        <v>38.4</v>
      </c>
      <c r="BK540" s="3626">
        <f t="shared" si="323"/>
        <v>192</v>
      </c>
      <c r="BL540" s="3626">
        <f t="shared" si="324"/>
        <v>192</v>
      </c>
      <c r="BM540" s="3626">
        <f t="shared" si="325"/>
        <v>153.6</v>
      </c>
      <c r="BN540" s="3626">
        <f t="shared" si="326"/>
        <v>192</v>
      </c>
      <c r="BO540" s="4055">
        <f t="shared" si="327"/>
        <v>192</v>
      </c>
      <c r="BP540" s="3627">
        <f t="shared" si="328"/>
        <v>192</v>
      </c>
      <c r="BQ540" s="3627">
        <f t="shared" si="303"/>
        <v>1152</v>
      </c>
      <c r="BR540" s="3627">
        <f t="shared" si="304"/>
        <v>0</v>
      </c>
      <c r="BS540" s="4056"/>
      <c r="BT540" s="4057"/>
    </row>
    <row r="541" s="3566" customFormat="1" ht="50" customHeight="1" spans="1:72">
      <c r="A541" s="3635">
        <v>45881</v>
      </c>
      <c r="B541" s="3617" t="s">
        <v>6341</v>
      </c>
      <c r="C541" s="3617" t="s">
        <v>506</v>
      </c>
      <c r="D541" s="3618">
        <v>4500176741</v>
      </c>
      <c r="E541" s="959" t="s">
        <v>7630</v>
      </c>
      <c r="F541" s="959" t="s">
        <v>7631</v>
      </c>
      <c r="G541" s="959" t="s">
        <v>6124</v>
      </c>
      <c r="H541" s="3618" t="s">
        <v>6063</v>
      </c>
      <c r="I541" s="3618">
        <v>468</v>
      </c>
      <c r="J541" s="3618">
        <v>0</v>
      </c>
      <c r="K541" s="3618">
        <v>12</v>
      </c>
      <c r="L541" s="4052">
        <f t="shared" si="291"/>
        <v>39</v>
      </c>
      <c r="M541" s="3619">
        <v>45920</v>
      </c>
      <c r="N541" s="3619">
        <v>45916</v>
      </c>
      <c r="O541" s="959"/>
      <c r="P541" s="959" t="s">
        <v>82</v>
      </c>
      <c r="Q541" s="959"/>
      <c r="R541" s="4104"/>
      <c r="S541" s="4104"/>
      <c r="T541" s="4105"/>
      <c r="U541" s="3620" t="s">
        <v>4768</v>
      </c>
      <c r="V541" s="3649" t="s">
        <v>7625</v>
      </c>
      <c r="W541" s="3695"/>
      <c r="X541" s="3657" t="s">
        <v>6345</v>
      </c>
      <c r="Y541" s="3649"/>
      <c r="Z541" s="3661"/>
      <c r="AA541" s="3620" t="s">
        <v>7439</v>
      </c>
      <c r="AB541" s="3624" t="s">
        <v>3202</v>
      </c>
      <c r="AC541" s="4058">
        <v>2.198</v>
      </c>
      <c r="AD541" s="3618">
        <f t="shared" si="299"/>
        <v>1028.664</v>
      </c>
      <c r="AE541" s="3633"/>
      <c r="AF541" s="959" t="s">
        <v>6124</v>
      </c>
      <c r="AG541" s="3620" t="s">
        <v>416</v>
      </c>
      <c r="AH541" s="3620"/>
      <c r="AI541" s="3620"/>
      <c r="AJ541" s="3620"/>
      <c r="AK541" s="959"/>
      <c r="AL541" s="959">
        <f t="shared" si="321"/>
        <v>468</v>
      </c>
      <c r="AM541" s="959"/>
      <c r="AN541" s="959"/>
      <c r="AO541" s="959"/>
      <c r="AP541" s="3618"/>
      <c r="AQ541" s="3618">
        <f t="shared" si="306"/>
        <v>468</v>
      </c>
      <c r="AR541" s="3626"/>
      <c r="AS541" s="3626"/>
      <c r="AT541" s="3626">
        <f t="shared" si="319"/>
        <v>468</v>
      </c>
      <c r="AU541" s="3626"/>
      <c r="AV541" s="3626"/>
      <c r="AW541" s="3626"/>
      <c r="AX541" s="3626">
        <f>I541/6</f>
        <v>78</v>
      </c>
      <c r="AY541" s="3626"/>
      <c r="AZ541" s="3626"/>
      <c r="BA541" s="3626"/>
      <c r="BB541" s="3626"/>
      <c r="BC541" s="3626"/>
      <c r="BD541" s="3626"/>
      <c r="BE541" s="3626"/>
      <c r="BF541" s="3626"/>
      <c r="BG541" s="3626"/>
      <c r="BH541" s="3626"/>
      <c r="BI541" s="3626" t="s">
        <v>89</v>
      </c>
      <c r="BJ541" s="3626">
        <f t="shared" si="322"/>
        <v>15.6</v>
      </c>
      <c r="BK541" s="3626">
        <f t="shared" si="323"/>
        <v>78</v>
      </c>
      <c r="BL541" s="3626">
        <f t="shared" si="324"/>
        <v>78</v>
      </c>
      <c r="BM541" s="3626">
        <f t="shared" si="325"/>
        <v>62.4</v>
      </c>
      <c r="BN541" s="3626">
        <f t="shared" si="326"/>
        <v>78</v>
      </c>
      <c r="BO541" s="4055">
        <f t="shared" si="327"/>
        <v>78</v>
      </c>
      <c r="BP541" s="3627">
        <f t="shared" si="328"/>
        <v>78</v>
      </c>
      <c r="BQ541" s="3627">
        <f t="shared" si="303"/>
        <v>468</v>
      </c>
      <c r="BR541" s="3627">
        <f t="shared" si="304"/>
        <v>0</v>
      </c>
      <c r="BS541" s="4056"/>
      <c r="BT541" s="4057"/>
    </row>
    <row r="542" s="3566" customFormat="1" ht="50" customHeight="1" spans="1:72">
      <c r="A542" s="3635">
        <v>45876</v>
      </c>
      <c r="B542" s="3617" t="s">
        <v>7632</v>
      </c>
      <c r="C542" s="3617" t="s">
        <v>1385</v>
      </c>
      <c r="D542" s="3618">
        <v>4500176300</v>
      </c>
      <c r="E542" s="959" t="s">
        <v>7633</v>
      </c>
      <c r="F542" s="959" t="s">
        <v>7634</v>
      </c>
      <c r="G542" s="959" t="s">
        <v>6195</v>
      </c>
      <c r="H542" s="3618" t="s">
        <v>6063</v>
      </c>
      <c r="I542" s="3618">
        <v>360</v>
      </c>
      <c r="J542" s="3618">
        <v>0</v>
      </c>
      <c r="K542" s="3618">
        <v>12</v>
      </c>
      <c r="L542" s="4052">
        <f t="shared" ref="L542:L605" si="329">I542/K542</f>
        <v>30</v>
      </c>
      <c r="M542" s="3619">
        <v>45922</v>
      </c>
      <c r="N542" s="3619">
        <v>45918</v>
      </c>
      <c r="O542" s="959"/>
      <c r="P542" s="959" t="s">
        <v>82</v>
      </c>
      <c r="Q542" s="959"/>
      <c r="R542" s="4104"/>
      <c r="S542" s="4104"/>
      <c r="T542" s="4105"/>
      <c r="U542" s="3620" t="s">
        <v>250</v>
      </c>
      <c r="V542" s="3649" t="s">
        <v>7635</v>
      </c>
      <c r="W542" s="3695"/>
      <c r="X542" s="3657" t="s">
        <v>98</v>
      </c>
      <c r="Y542" s="3649"/>
      <c r="Z542" s="3661"/>
      <c r="AA542" s="3620" t="s">
        <v>7636</v>
      </c>
      <c r="AB542" s="3624" t="s">
        <v>2141</v>
      </c>
      <c r="AC542" s="4058">
        <v>2.2559</v>
      </c>
      <c r="AD542" s="3618">
        <f t="shared" si="299"/>
        <v>812.124</v>
      </c>
      <c r="AE542" s="3633"/>
      <c r="AF542" s="959" t="s">
        <v>6195</v>
      </c>
      <c r="AG542" s="3620" t="s">
        <v>416</v>
      </c>
      <c r="AH542" s="3620"/>
      <c r="AI542" s="3620"/>
      <c r="AJ542" s="3620"/>
      <c r="AK542" s="959"/>
      <c r="AL542" s="959">
        <f t="shared" si="321"/>
        <v>360</v>
      </c>
      <c r="AM542" s="959"/>
      <c r="AN542" s="959"/>
      <c r="AO542" s="959"/>
      <c r="AP542" s="3618"/>
      <c r="AQ542" s="3618">
        <f t="shared" si="306"/>
        <v>360</v>
      </c>
      <c r="AR542" s="3626"/>
      <c r="AS542" s="3626"/>
      <c r="AT542" s="3626">
        <f t="shared" si="319"/>
        <v>360</v>
      </c>
      <c r="AU542" s="3626"/>
      <c r="AV542" s="3626"/>
      <c r="AW542" s="3626"/>
      <c r="AX542" s="3626"/>
      <c r="AY542" s="3626"/>
      <c r="AZ542" s="3626">
        <f>I542/6</f>
        <v>60</v>
      </c>
      <c r="BA542" s="3626"/>
      <c r="BB542" s="3626"/>
      <c r="BC542" s="3626"/>
      <c r="BD542" s="3626"/>
      <c r="BE542" s="3626"/>
      <c r="BF542" s="3626"/>
      <c r="BG542" s="3626"/>
      <c r="BH542" s="3626"/>
      <c r="BI542" s="3626" t="s">
        <v>89</v>
      </c>
      <c r="BJ542" s="3626">
        <f t="shared" si="322"/>
        <v>12</v>
      </c>
      <c r="BK542" s="3626">
        <f t="shared" si="323"/>
        <v>60</v>
      </c>
      <c r="BL542" s="3626">
        <f t="shared" si="324"/>
        <v>60</v>
      </c>
      <c r="BM542" s="3626">
        <f t="shared" si="325"/>
        <v>48</v>
      </c>
      <c r="BN542" s="3626">
        <f t="shared" si="326"/>
        <v>60</v>
      </c>
      <c r="BO542" s="4055">
        <f t="shared" si="327"/>
        <v>60</v>
      </c>
      <c r="BP542" s="3627">
        <f t="shared" si="328"/>
        <v>60</v>
      </c>
      <c r="BQ542" s="3627">
        <f t="shared" si="303"/>
        <v>360</v>
      </c>
      <c r="BR542" s="3627">
        <f t="shared" si="304"/>
        <v>0</v>
      </c>
      <c r="BS542" s="4056"/>
      <c r="BT542" s="4057"/>
    </row>
    <row r="543" s="3566" customFormat="1" ht="50" customHeight="1" spans="1:72">
      <c r="A543" s="3635">
        <v>45873</v>
      </c>
      <c r="B543" s="3634" t="s">
        <v>505</v>
      </c>
      <c r="C543" s="3617" t="s">
        <v>506</v>
      </c>
      <c r="D543" s="3629">
        <v>4500175924</v>
      </c>
      <c r="E543" s="959">
        <v>20862073</v>
      </c>
      <c r="F543" s="3629" t="s">
        <v>4787</v>
      </c>
      <c r="G543" s="959" t="s">
        <v>6641</v>
      </c>
      <c r="H543" s="959" t="s">
        <v>6642</v>
      </c>
      <c r="I543" s="3618">
        <v>10566</v>
      </c>
      <c r="J543" s="3618">
        <v>0</v>
      </c>
      <c r="K543" s="3618">
        <v>1</v>
      </c>
      <c r="L543" s="4052">
        <f t="shared" si="329"/>
        <v>10566</v>
      </c>
      <c r="M543" s="3619">
        <v>45915</v>
      </c>
      <c r="N543" s="3659">
        <v>45911</v>
      </c>
      <c r="O543" s="959"/>
      <c r="P543" s="959" t="s">
        <v>82</v>
      </c>
      <c r="Q543" s="959"/>
      <c r="R543" s="4104"/>
      <c r="S543" s="4104"/>
      <c r="T543" s="4105"/>
      <c r="U543" s="3645" t="s">
        <v>248</v>
      </c>
      <c r="V543" s="3649" t="s">
        <v>1926</v>
      </c>
      <c r="W543" s="3640"/>
      <c r="X543" s="3657" t="s">
        <v>4776</v>
      </c>
      <c r="Y543" s="3640"/>
      <c r="Z543" s="3618"/>
      <c r="AA543" s="3620" t="s">
        <v>7637</v>
      </c>
      <c r="AB543" s="3624" t="s">
        <v>1928</v>
      </c>
      <c r="AC543" s="4058">
        <v>8.4583</v>
      </c>
      <c r="AD543" s="3618">
        <f t="shared" si="299"/>
        <v>89370.3978</v>
      </c>
      <c r="AE543" s="3633"/>
      <c r="AF543" s="959" t="s">
        <v>3520</v>
      </c>
      <c r="AG543" s="3620" t="s">
        <v>416</v>
      </c>
      <c r="AH543" s="3620"/>
      <c r="AI543" s="3620"/>
      <c r="AJ543" s="3620"/>
      <c r="AK543" s="959"/>
      <c r="AL543" s="959">
        <f t="shared" si="321"/>
        <v>10566</v>
      </c>
      <c r="AM543" s="959"/>
      <c r="AN543" s="959"/>
      <c r="AO543" s="959"/>
      <c r="AP543" s="3618"/>
      <c r="AQ543" s="3618">
        <f t="shared" si="306"/>
        <v>10566</v>
      </c>
      <c r="AR543" s="3626"/>
      <c r="AS543" s="3626"/>
      <c r="AT543" s="3626">
        <f t="shared" si="319"/>
        <v>10566</v>
      </c>
      <c r="AU543" s="3626"/>
      <c r="AV543" s="3626"/>
      <c r="AW543" s="3626"/>
      <c r="AX543" s="3626"/>
      <c r="AY543" s="3626"/>
      <c r="AZ543" s="3626"/>
      <c r="BA543" s="3626"/>
      <c r="BB543" s="3626"/>
      <c r="BC543" s="3626"/>
      <c r="BD543" s="3626"/>
      <c r="BE543" s="3626"/>
      <c r="BF543" s="3626"/>
      <c r="BG543" s="3626"/>
      <c r="BH543" s="3626"/>
      <c r="BI543" s="3626" t="s">
        <v>89</v>
      </c>
      <c r="BJ543" s="3626">
        <f t="shared" si="322"/>
        <v>352.2</v>
      </c>
      <c r="BK543" s="3626">
        <f t="shared" si="323"/>
        <v>1761</v>
      </c>
      <c r="BL543" s="3626">
        <f t="shared" si="324"/>
        <v>1761</v>
      </c>
      <c r="BM543" s="3626">
        <f t="shared" si="325"/>
        <v>1408.8</v>
      </c>
      <c r="BN543" s="3626">
        <f t="shared" si="326"/>
        <v>1761</v>
      </c>
      <c r="BO543" s="4055">
        <f t="shared" si="327"/>
        <v>1761</v>
      </c>
      <c r="BP543" s="3627">
        <f t="shared" si="328"/>
        <v>1761</v>
      </c>
      <c r="BQ543" s="3627">
        <f t="shared" si="303"/>
        <v>10566</v>
      </c>
      <c r="BR543" s="3627">
        <f t="shared" si="304"/>
        <v>0</v>
      </c>
      <c r="BS543" s="4056"/>
      <c r="BT543" s="4057"/>
    </row>
    <row r="544" s="3566" customFormat="1" ht="50" customHeight="1" spans="1:72">
      <c r="A544" s="3635">
        <v>45873</v>
      </c>
      <c r="B544" s="3634" t="s">
        <v>839</v>
      </c>
      <c r="C544" s="3617" t="s">
        <v>840</v>
      </c>
      <c r="D544" s="3629">
        <v>4500175925</v>
      </c>
      <c r="E544" s="959">
        <v>20862090</v>
      </c>
      <c r="F544" s="3629" t="s">
        <v>4785</v>
      </c>
      <c r="G544" s="959" t="s">
        <v>6641</v>
      </c>
      <c r="H544" s="959" t="s">
        <v>6642</v>
      </c>
      <c r="I544" s="3618">
        <v>1174</v>
      </c>
      <c r="J544" s="3618">
        <v>0</v>
      </c>
      <c r="K544" s="3618">
        <v>1</v>
      </c>
      <c r="L544" s="4052">
        <f t="shared" si="329"/>
        <v>1174</v>
      </c>
      <c r="M544" s="3619">
        <v>45915</v>
      </c>
      <c r="N544" s="3659">
        <v>45911</v>
      </c>
      <c r="O544" s="959"/>
      <c r="P544" s="959" t="s">
        <v>82</v>
      </c>
      <c r="Q544" s="959"/>
      <c r="R544" s="4104"/>
      <c r="S544" s="4104"/>
      <c r="T544" s="4105"/>
      <c r="U544" s="3645" t="s">
        <v>248</v>
      </c>
      <c r="V544" s="3649" t="s">
        <v>1926</v>
      </c>
      <c r="W544" s="3640"/>
      <c r="X544" s="3657" t="s">
        <v>4776</v>
      </c>
      <c r="Y544" s="3640"/>
      <c r="Z544" s="3618"/>
      <c r="AA544" s="3620" t="s">
        <v>7638</v>
      </c>
      <c r="AB544" s="3624" t="s">
        <v>1928</v>
      </c>
      <c r="AC544" s="4058">
        <v>8.7755</v>
      </c>
      <c r="AD544" s="3618">
        <f t="shared" si="299"/>
        <v>10302.437</v>
      </c>
      <c r="AE544" s="3633"/>
      <c r="AF544" s="959" t="s">
        <v>3520</v>
      </c>
      <c r="AG544" s="3620" t="s">
        <v>416</v>
      </c>
      <c r="AH544" s="3620"/>
      <c r="AI544" s="3620"/>
      <c r="AJ544" s="3620"/>
      <c r="AK544" s="959"/>
      <c r="AL544" s="959">
        <f t="shared" si="321"/>
        <v>1174</v>
      </c>
      <c r="AM544" s="959"/>
      <c r="AN544" s="959"/>
      <c r="AO544" s="959"/>
      <c r="AP544" s="3618"/>
      <c r="AQ544" s="3618">
        <f t="shared" si="306"/>
        <v>1174</v>
      </c>
      <c r="AR544" s="3626"/>
      <c r="AS544" s="3626"/>
      <c r="AT544" s="3626">
        <f t="shared" si="319"/>
        <v>1174</v>
      </c>
      <c r="AU544" s="3626"/>
      <c r="AV544" s="3626"/>
      <c r="AW544" s="3626"/>
      <c r="AX544" s="3626"/>
      <c r="AY544" s="3626"/>
      <c r="AZ544" s="3626"/>
      <c r="BA544" s="3626"/>
      <c r="BB544" s="3626"/>
      <c r="BC544" s="3626"/>
      <c r="BD544" s="3626"/>
      <c r="BE544" s="3626"/>
      <c r="BF544" s="3626"/>
      <c r="BG544" s="3626"/>
      <c r="BH544" s="3626"/>
      <c r="BI544" s="3626" t="s">
        <v>89</v>
      </c>
      <c r="BJ544" s="3626">
        <f t="shared" si="322"/>
        <v>39.1333333333333</v>
      </c>
      <c r="BK544" s="3626">
        <f t="shared" si="323"/>
        <v>195.666666666667</v>
      </c>
      <c r="BL544" s="3626">
        <f t="shared" si="324"/>
        <v>195.666666666667</v>
      </c>
      <c r="BM544" s="3626">
        <f t="shared" si="325"/>
        <v>156.533333333333</v>
      </c>
      <c r="BN544" s="3626">
        <f t="shared" si="326"/>
        <v>195.666666666667</v>
      </c>
      <c r="BO544" s="4055">
        <f t="shared" si="327"/>
        <v>195.666666666667</v>
      </c>
      <c r="BP544" s="3627">
        <f t="shared" si="328"/>
        <v>195.666666666667</v>
      </c>
      <c r="BQ544" s="3627">
        <f t="shared" si="303"/>
        <v>1174</v>
      </c>
      <c r="BR544" s="3627">
        <f t="shared" si="304"/>
        <v>0</v>
      </c>
      <c r="BS544" s="4056"/>
      <c r="BT544" s="4057"/>
    </row>
    <row r="545" s="3566" customFormat="1" ht="50" customHeight="1" spans="1:72">
      <c r="A545" s="3635">
        <v>45897</v>
      </c>
      <c r="B545" s="3617" t="s">
        <v>7317</v>
      </c>
      <c r="C545" s="3617" t="s">
        <v>7318</v>
      </c>
      <c r="D545" s="3618">
        <v>4500178095</v>
      </c>
      <c r="E545" s="959"/>
      <c r="F545" s="959" t="s">
        <v>7639</v>
      </c>
      <c r="G545" s="959" t="s">
        <v>3520</v>
      </c>
      <c r="H545" s="3618" t="s">
        <v>6063</v>
      </c>
      <c r="I545" s="3618">
        <v>5016</v>
      </c>
      <c r="J545" s="3618">
        <v>0</v>
      </c>
      <c r="K545" s="3618">
        <v>24</v>
      </c>
      <c r="L545" s="4052">
        <f t="shared" si="329"/>
        <v>209</v>
      </c>
      <c r="M545" s="3619">
        <v>45922</v>
      </c>
      <c r="N545" s="3619">
        <v>45918</v>
      </c>
      <c r="O545" s="959"/>
      <c r="P545" s="959" t="s">
        <v>82</v>
      </c>
      <c r="Q545" s="959"/>
      <c r="R545" s="4104"/>
      <c r="S545" s="4104"/>
      <c r="T545" s="4105"/>
      <c r="U545" s="3620" t="s">
        <v>1965</v>
      </c>
      <c r="V545" s="3649" t="s">
        <v>7640</v>
      </c>
      <c r="W545" s="3695"/>
      <c r="X545" s="3657" t="s">
        <v>7641</v>
      </c>
      <c r="Y545" s="3649"/>
      <c r="Z545" s="3661"/>
      <c r="AA545" s="3620" t="s">
        <v>7642</v>
      </c>
      <c r="AB545" s="3624" t="s">
        <v>892</v>
      </c>
      <c r="AC545" s="4058">
        <v>2.1789</v>
      </c>
      <c r="AD545" s="3618">
        <f t="shared" si="299"/>
        <v>10929.3624</v>
      </c>
      <c r="AE545" s="3633" t="s">
        <v>7643</v>
      </c>
      <c r="AF545" s="959" t="s">
        <v>3520</v>
      </c>
      <c r="AG545" s="3620" t="s">
        <v>416</v>
      </c>
      <c r="AH545" s="3620"/>
      <c r="AI545" s="3620"/>
      <c r="AJ545" s="3620"/>
      <c r="AK545" s="959"/>
      <c r="AL545" s="4108">
        <f t="shared" si="321"/>
        <v>5016</v>
      </c>
      <c r="AM545" s="4108"/>
      <c r="AN545" s="4108"/>
      <c r="AO545" s="959"/>
      <c r="AP545" s="3618"/>
      <c r="AQ545" s="4052">
        <f t="shared" si="306"/>
        <v>5016</v>
      </c>
      <c r="AR545" s="3626"/>
      <c r="AS545" s="3626"/>
      <c r="AT545" s="4109">
        <f t="shared" si="319"/>
        <v>5016</v>
      </c>
      <c r="AU545" s="3626"/>
      <c r="AV545" s="3626"/>
      <c r="AW545" s="3626"/>
      <c r="AX545" s="3626"/>
      <c r="AY545" s="3626"/>
      <c r="AZ545" s="3626"/>
      <c r="BA545" s="3626"/>
      <c r="BB545" s="3626"/>
      <c r="BC545" s="3626"/>
      <c r="BD545" s="3626"/>
      <c r="BE545" s="3626"/>
      <c r="BF545" s="3626"/>
      <c r="BG545" s="3626"/>
      <c r="BH545" s="3626"/>
      <c r="BI545" s="3626" t="s">
        <v>89</v>
      </c>
      <c r="BJ545" s="4109">
        <f t="shared" si="322"/>
        <v>167.2</v>
      </c>
      <c r="BK545" s="4109">
        <f t="shared" si="323"/>
        <v>836</v>
      </c>
      <c r="BL545" s="4109">
        <f t="shared" si="324"/>
        <v>836</v>
      </c>
      <c r="BM545" s="4109">
        <f t="shared" si="325"/>
        <v>668.8</v>
      </c>
      <c r="BN545" s="4109">
        <f t="shared" si="326"/>
        <v>836</v>
      </c>
      <c r="BO545" s="4079">
        <f t="shared" si="327"/>
        <v>836</v>
      </c>
      <c r="BP545" s="4110">
        <f t="shared" si="328"/>
        <v>836</v>
      </c>
      <c r="BQ545" s="4110">
        <f t="shared" si="303"/>
        <v>5016</v>
      </c>
      <c r="BR545" s="3627">
        <f t="shared" si="304"/>
        <v>0</v>
      </c>
      <c r="BS545" s="4056"/>
      <c r="BT545" s="4057"/>
    </row>
    <row r="546" s="3566" customFormat="1" ht="50" customHeight="1" spans="1:72">
      <c r="A546" s="3635">
        <v>45877</v>
      </c>
      <c r="B546" s="3617" t="s">
        <v>1978</v>
      </c>
      <c r="C546" s="3617" t="s">
        <v>873</v>
      </c>
      <c r="D546" s="3618">
        <v>4500176381</v>
      </c>
      <c r="E546" s="959"/>
      <c r="F546" s="959" t="s">
        <v>7644</v>
      </c>
      <c r="G546" s="959" t="s">
        <v>3520</v>
      </c>
      <c r="H546" s="3618" t="s">
        <v>6063</v>
      </c>
      <c r="I546" s="3618">
        <v>360</v>
      </c>
      <c r="J546" s="3618">
        <v>0</v>
      </c>
      <c r="K546" s="3618">
        <v>24</v>
      </c>
      <c r="L546" s="4052">
        <f t="shared" si="329"/>
        <v>15</v>
      </c>
      <c r="M546" s="3619">
        <v>45925</v>
      </c>
      <c r="N546" s="3619">
        <v>45922</v>
      </c>
      <c r="O546" s="3664"/>
      <c r="P546" s="959" t="s">
        <v>82</v>
      </c>
      <c r="Q546" s="959"/>
      <c r="R546" s="4104"/>
      <c r="S546" s="4104"/>
      <c r="T546" s="4105"/>
      <c r="U546" s="3620"/>
      <c r="V546" s="3649" t="s">
        <v>1947</v>
      </c>
      <c r="W546" s="3695"/>
      <c r="X546" s="3657" t="s">
        <v>1980</v>
      </c>
      <c r="Y546" s="3649"/>
      <c r="Z546" s="3661"/>
      <c r="AA546" s="3620" t="s">
        <v>1981</v>
      </c>
      <c r="AB546" s="3624" t="s">
        <v>1982</v>
      </c>
      <c r="AC546" s="4058">
        <v>2.2017</v>
      </c>
      <c r="AD546" s="3618">
        <f t="shared" si="299"/>
        <v>792.612</v>
      </c>
      <c r="AE546" s="3633" t="s">
        <v>1983</v>
      </c>
      <c r="AF546" s="959" t="s">
        <v>3520</v>
      </c>
      <c r="AG546" s="3620" t="s">
        <v>416</v>
      </c>
      <c r="AH546" s="3620"/>
      <c r="AI546" s="3620"/>
      <c r="AJ546" s="3620"/>
      <c r="AK546" s="959"/>
      <c r="AL546" s="959">
        <f t="shared" si="321"/>
        <v>360</v>
      </c>
      <c r="AM546" s="959"/>
      <c r="AN546" s="959"/>
      <c r="AO546" s="959"/>
      <c r="AP546" s="3618"/>
      <c r="AQ546" s="3618">
        <f t="shared" si="306"/>
        <v>360</v>
      </c>
      <c r="AR546" s="3626"/>
      <c r="AS546" s="3626"/>
      <c r="AT546" s="3626">
        <f t="shared" si="319"/>
        <v>360</v>
      </c>
      <c r="AU546" s="3626"/>
      <c r="AV546" s="3626"/>
      <c r="AW546" s="3626"/>
      <c r="AX546" s="3626"/>
      <c r="AY546" s="3626"/>
      <c r="AZ546" s="3626"/>
      <c r="BA546" s="3626"/>
      <c r="BB546" s="3626"/>
      <c r="BC546" s="3626"/>
      <c r="BD546" s="3626"/>
      <c r="BE546" s="3626"/>
      <c r="BF546" s="3626"/>
      <c r="BG546" s="3626"/>
      <c r="BH546" s="3626"/>
      <c r="BI546" s="3626" t="s">
        <v>89</v>
      </c>
      <c r="BJ546" s="3626">
        <f t="shared" si="322"/>
        <v>12</v>
      </c>
      <c r="BK546" s="3626">
        <f t="shared" si="323"/>
        <v>60</v>
      </c>
      <c r="BL546" s="3626">
        <f t="shared" si="324"/>
        <v>60</v>
      </c>
      <c r="BM546" s="3626">
        <f t="shared" si="325"/>
        <v>48</v>
      </c>
      <c r="BN546" s="3626">
        <f t="shared" si="326"/>
        <v>60</v>
      </c>
      <c r="BO546" s="4055">
        <f t="shared" si="327"/>
        <v>60</v>
      </c>
      <c r="BP546" s="3627">
        <f t="shared" si="328"/>
        <v>60</v>
      </c>
      <c r="BQ546" s="3627">
        <f t="shared" si="303"/>
        <v>360</v>
      </c>
      <c r="BR546" s="3627">
        <f t="shared" si="304"/>
        <v>0</v>
      </c>
      <c r="BS546" s="4056"/>
      <c r="BT546" s="4057"/>
    </row>
    <row r="547" s="3566" customFormat="1" ht="50" customHeight="1" spans="1:72">
      <c r="A547" s="3635">
        <v>45862</v>
      </c>
      <c r="B547" s="3617" t="s">
        <v>1617</v>
      </c>
      <c r="C547" s="3617" t="s">
        <v>91</v>
      </c>
      <c r="D547" s="3618">
        <v>4500174771</v>
      </c>
      <c r="E547" s="959">
        <v>70072697</v>
      </c>
      <c r="F547" s="959" t="s">
        <v>7645</v>
      </c>
      <c r="G547" s="959" t="s">
        <v>3520</v>
      </c>
      <c r="H547" s="3618" t="s">
        <v>6063</v>
      </c>
      <c r="I547" s="3618">
        <v>600</v>
      </c>
      <c r="J547" s="3618">
        <v>0</v>
      </c>
      <c r="K547" s="3618">
        <v>24</v>
      </c>
      <c r="L547" s="4052">
        <f t="shared" si="329"/>
        <v>25</v>
      </c>
      <c r="M547" s="3619">
        <v>45928</v>
      </c>
      <c r="N547" s="3619">
        <v>45924</v>
      </c>
      <c r="O547" s="3664"/>
      <c r="P547" s="959" t="s">
        <v>82</v>
      </c>
      <c r="Q547" s="959"/>
      <c r="R547" s="4104"/>
      <c r="S547" s="4106"/>
      <c r="T547" s="4107"/>
      <c r="U547" s="3701" t="s">
        <v>1990</v>
      </c>
      <c r="V547" s="3649" t="s">
        <v>390</v>
      </c>
      <c r="W547" s="3695"/>
      <c r="X547" s="3657" t="s">
        <v>98</v>
      </c>
      <c r="Y547" s="3649" t="s">
        <v>1991</v>
      </c>
      <c r="Z547" s="3661"/>
      <c r="AA547" s="3620" t="s">
        <v>1621</v>
      </c>
      <c r="AB547" s="3624" t="s">
        <v>393</v>
      </c>
      <c r="AC547" s="4058">
        <v>1.3184</v>
      </c>
      <c r="AD547" s="3618">
        <f t="shared" si="299"/>
        <v>791.04</v>
      </c>
      <c r="AE547" s="3633" t="s">
        <v>1992</v>
      </c>
      <c r="AF547" s="959" t="s">
        <v>3520</v>
      </c>
      <c r="AG547" s="3620" t="s">
        <v>416</v>
      </c>
      <c r="AH547" s="3620"/>
      <c r="AI547" s="3620"/>
      <c r="AJ547" s="3620"/>
      <c r="AK547" s="959"/>
      <c r="AL547" s="959">
        <f t="shared" si="321"/>
        <v>600</v>
      </c>
      <c r="AM547" s="959"/>
      <c r="AN547" s="959"/>
      <c r="AO547" s="959"/>
      <c r="AP547" s="3618"/>
      <c r="AQ547" s="3618">
        <f t="shared" si="306"/>
        <v>600</v>
      </c>
      <c r="AR547" s="3626"/>
      <c r="AS547" s="3626"/>
      <c r="AT547" s="3626">
        <f t="shared" si="319"/>
        <v>600</v>
      </c>
      <c r="AU547" s="3626"/>
      <c r="AV547" s="3626"/>
      <c r="AW547" s="3626"/>
      <c r="AX547" s="3626"/>
      <c r="AY547" s="3626"/>
      <c r="AZ547" s="3626"/>
      <c r="BA547" s="3626"/>
      <c r="BB547" s="3626"/>
      <c r="BC547" s="3626"/>
      <c r="BD547" s="3626"/>
      <c r="BE547" s="3626"/>
      <c r="BF547" s="3626"/>
      <c r="BG547" s="3626"/>
      <c r="BH547" s="3626"/>
      <c r="BI547" s="3626" t="s">
        <v>89</v>
      </c>
      <c r="BJ547" s="3626">
        <f t="shared" si="322"/>
        <v>20</v>
      </c>
      <c r="BK547" s="3626">
        <f t="shared" si="323"/>
        <v>100</v>
      </c>
      <c r="BL547" s="3626">
        <f t="shared" si="324"/>
        <v>100</v>
      </c>
      <c r="BM547" s="3626">
        <f t="shared" si="325"/>
        <v>80</v>
      </c>
      <c r="BN547" s="3626">
        <f t="shared" si="326"/>
        <v>100</v>
      </c>
      <c r="BO547" s="4055">
        <f t="shared" si="327"/>
        <v>100</v>
      </c>
      <c r="BP547" s="3627">
        <f t="shared" si="328"/>
        <v>100</v>
      </c>
      <c r="BQ547" s="3627">
        <f t="shared" si="303"/>
        <v>600</v>
      </c>
      <c r="BR547" s="3627">
        <f t="shared" si="304"/>
        <v>0</v>
      </c>
      <c r="BS547" s="4056"/>
      <c r="BT547" s="4057"/>
    </row>
    <row r="548" s="3566" customFormat="1" ht="50" customHeight="1" spans="1:72">
      <c r="A548" s="3635">
        <v>45876</v>
      </c>
      <c r="B548" s="3617" t="s">
        <v>1617</v>
      </c>
      <c r="C548" s="3617" t="s">
        <v>91</v>
      </c>
      <c r="D548" s="3618">
        <v>4500176177</v>
      </c>
      <c r="E548" s="959" t="s">
        <v>2010</v>
      </c>
      <c r="F548" s="959" t="s">
        <v>7646</v>
      </c>
      <c r="G548" s="959" t="s">
        <v>3520</v>
      </c>
      <c r="H548" s="3618" t="s">
        <v>6063</v>
      </c>
      <c r="I548" s="3618">
        <v>600</v>
      </c>
      <c r="J548" s="3618">
        <v>0</v>
      </c>
      <c r="K548" s="3618">
        <v>24</v>
      </c>
      <c r="L548" s="4052">
        <f t="shared" si="329"/>
        <v>25</v>
      </c>
      <c r="M548" s="3619">
        <v>45938</v>
      </c>
      <c r="N548" s="3619">
        <v>45934</v>
      </c>
      <c r="O548" s="3664"/>
      <c r="P548" s="959" t="s">
        <v>82</v>
      </c>
      <c r="Q548" s="959"/>
      <c r="R548" s="4104"/>
      <c r="S548" s="4106"/>
      <c r="T548" s="4107"/>
      <c r="U548" s="3701" t="s">
        <v>2012</v>
      </c>
      <c r="V548" s="3649" t="s">
        <v>2013</v>
      </c>
      <c r="W548" s="3695"/>
      <c r="X548" s="3657" t="s">
        <v>98</v>
      </c>
      <c r="Y548" s="3649" t="s">
        <v>1991</v>
      </c>
      <c r="Z548" s="3661"/>
      <c r="AA548" s="3620" t="s">
        <v>1621</v>
      </c>
      <c r="AB548" s="3624" t="s">
        <v>393</v>
      </c>
      <c r="AC548" s="4058">
        <v>1.3184</v>
      </c>
      <c r="AD548" s="3618">
        <f t="shared" si="299"/>
        <v>791.04</v>
      </c>
      <c r="AE548" s="3633" t="s">
        <v>2014</v>
      </c>
      <c r="AF548" s="959" t="s">
        <v>3520</v>
      </c>
      <c r="AG548" s="3620" t="s">
        <v>416</v>
      </c>
      <c r="AH548" s="3620"/>
      <c r="AI548" s="3620"/>
      <c r="AJ548" s="3620"/>
      <c r="AK548" s="959"/>
      <c r="AL548" s="959">
        <f t="shared" si="321"/>
        <v>600</v>
      </c>
      <c r="AM548" s="959"/>
      <c r="AN548" s="959"/>
      <c r="AO548" s="959"/>
      <c r="AP548" s="3618"/>
      <c r="AQ548" s="3618">
        <f t="shared" si="306"/>
        <v>600</v>
      </c>
      <c r="AR548" s="3626"/>
      <c r="AS548" s="3626"/>
      <c r="AT548" s="3626">
        <f t="shared" si="319"/>
        <v>600</v>
      </c>
      <c r="AU548" s="3626"/>
      <c r="AV548" s="3626"/>
      <c r="AW548" s="3626"/>
      <c r="AX548" s="3626"/>
      <c r="AY548" s="3626"/>
      <c r="AZ548" s="3626"/>
      <c r="BA548" s="3626"/>
      <c r="BB548" s="3626"/>
      <c r="BC548" s="3626"/>
      <c r="BD548" s="3626"/>
      <c r="BE548" s="3626"/>
      <c r="BF548" s="3626"/>
      <c r="BG548" s="3626"/>
      <c r="BH548" s="3626"/>
      <c r="BI548" s="3626" t="s">
        <v>89</v>
      </c>
      <c r="BJ548" s="3626">
        <f t="shared" si="322"/>
        <v>20</v>
      </c>
      <c r="BK548" s="3626">
        <f t="shared" si="323"/>
        <v>100</v>
      </c>
      <c r="BL548" s="3626">
        <f t="shared" si="324"/>
        <v>100</v>
      </c>
      <c r="BM548" s="3626">
        <f t="shared" si="325"/>
        <v>80</v>
      </c>
      <c r="BN548" s="3626">
        <f t="shared" si="326"/>
        <v>100</v>
      </c>
      <c r="BO548" s="4055">
        <f t="shared" si="327"/>
        <v>100</v>
      </c>
      <c r="BP548" s="3627">
        <f t="shared" si="328"/>
        <v>100</v>
      </c>
      <c r="BQ548" s="3627">
        <f t="shared" si="303"/>
        <v>600</v>
      </c>
      <c r="BR548" s="3627">
        <f t="shared" si="304"/>
        <v>0</v>
      </c>
      <c r="BS548" s="4056"/>
      <c r="BT548" s="4057"/>
    </row>
    <row r="549" s="3566" customFormat="1" ht="50" customHeight="1" spans="1:72">
      <c r="A549" s="3635">
        <v>45896</v>
      </c>
      <c r="B549" s="3617" t="s">
        <v>4913</v>
      </c>
      <c r="C549" s="3617" t="s">
        <v>91</v>
      </c>
      <c r="D549" s="3618">
        <v>4500177996</v>
      </c>
      <c r="E549" s="959" t="s">
        <v>7647</v>
      </c>
      <c r="F549" s="959" t="s">
        <v>7648</v>
      </c>
      <c r="G549" s="959" t="s">
        <v>6281</v>
      </c>
      <c r="H549" s="959" t="s">
        <v>6292</v>
      </c>
      <c r="I549" s="3618">
        <v>768</v>
      </c>
      <c r="J549" s="3618">
        <v>0</v>
      </c>
      <c r="K549" s="3618">
        <v>32</v>
      </c>
      <c r="L549" s="4052">
        <f t="shared" si="329"/>
        <v>24</v>
      </c>
      <c r="M549" s="3619">
        <v>45939</v>
      </c>
      <c r="N549" s="3619">
        <v>45936</v>
      </c>
      <c r="O549" s="3664" t="s">
        <v>7649</v>
      </c>
      <c r="P549" s="959" t="s">
        <v>82</v>
      </c>
      <c r="Q549" s="959"/>
      <c r="R549" s="4104"/>
      <c r="S549" s="4104"/>
      <c r="T549" s="4105"/>
      <c r="U549" s="3645" t="s">
        <v>4916</v>
      </c>
      <c r="V549" s="3649" t="s">
        <v>7650</v>
      </c>
      <c r="W549" s="3695"/>
      <c r="X549" s="3657" t="s">
        <v>98</v>
      </c>
      <c r="Y549" s="3657"/>
      <c r="Z549" s="3661"/>
      <c r="AA549" s="3620" t="s">
        <v>7651</v>
      </c>
      <c r="AB549" s="3624" t="s">
        <v>1024</v>
      </c>
      <c r="AC549" s="4058">
        <v>1.3895</v>
      </c>
      <c r="AD549" s="3618">
        <f t="shared" si="299"/>
        <v>1067.136</v>
      </c>
      <c r="AE549" s="3633" t="s">
        <v>4920</v>
      </c>
      <c r="AF549" s="959" t="s">
        <v>6281</v>
      </c>
      <c r="AG549" s="3620" t="s">
        <v>416</v>
      </c>
      <c r="AH549" s="3620"/>
      <c r="AI549" s="3620"/>
      <c r="AJ549" s="3620"/>
      <c r="AK549" s="959"/>
      <c r="AL549" s="4108">
        <f t="shared" si="321"/>
        <v>768</v>
      </c>
      <c r="AM549" s="4108"/>
      <c r="AN549" s="4108"/>
      <c r="AO549" s="959"/>
      <c r="AP549" s="3618"/>
      <c r="AQ549" s="4052">
        <f t="shared" si="306"/>
        <v>768</v>
      </c>
      <c r="AR549" s="3626"/>
      <c r="AS549" s="3626"/>
      <c r="AT549" s="4109">
        <f t="shared" si="319"/>
        <v>768</v>
      </c>
      <c r="AU549" s="3626"/>
      <c r="AV549" s="3626"/>
      <c r="AW549" s="3626"/>
      <c r="AX549" s="3626"/>
      <c r="AY549" s="3626"/>
      <c r="AZ549" s="3626"/>
      <c r="BA549" s="3626"/>
      <c r="BB549" s="3626"/>
      <c r="BC549" s="3626"/>
      <c r="BD549" s="3626"/>
      <c r="BE549" s="3626"/>
      <c r="BF549" s="3626"/>
      <c r="BG549" s="3626"/>
      <c r="BH549" s="3626"/>
      <c r="BI549" s="3626" t="s">
        <v>89</v>
      </c>
      <c r="BJ549" s="4109">
        <f>I549/58*2</f>
        <v>26.4827586206897</v>
      </c>
      <c r="BK549" s="4109">
        <f>I549-26</f>
        <v>742</v>
      </c>
      <c r="BL549" s="4109"/>
      <c r="BM549" s="4109"/>
      <c r="BN549" s="4109"/>
      <c r="BO549" s="4079"/>
      <c r="BP549" s="4110"/>
      <c r="BQ549" s="4110">
        <f t="shared" si="303"/>
        <v>768.48275862069</v>
      </c>
      <c r="BR549" s="3627">
        <f t="shared" si="304"/>
        <v>-0.482758620689651</v>
      </c>
      <c r="BS549" s="4056"/>
      <c r="BT549" s="4057"/>
    </row>
    <row r="550" s="3566" customFormat="1" ht="50" customHeight="1" spans="1:72">
      <c r="A550" s="3635">
        <v>45896</v>
      </c>
      <c r="B550" s="3617" t="s">
        <v>4913</v>
      </c>
      <c r="C550" s="3617" t="s">
        <v>91</v>
      </c>
      <c r="D550" s="3618">
        <v>4500178020</v>
      </c>
      <c r="E550" s="959" t="s">
        <v>7652</v>
      </c>
      <c r="F550" s="959" t="s">
        <v>7653</v>
      </c>
      <c r="G550" s="959" t="s">
        <v>6281</v>
      </c>
      <c r="H550" s="959" t="s">
        <v>6292</v>
      </c>
      <c r="I550" s="3618">
        <v>992</v>
      </c>
      <c r="J550" s="3618">
        <v>0</v>
      </c>
      <c r="K550" s="3618">
        <v>32</v>
      </c>
      <c r="L550" s="4052">
        <f t="shared" si="329"/>
        <v>31</v>
      </c>
      <c r="M550" s="3619">
        <v>45939</v>
      </c>
      <c r="N550" s="3619">
        <v>45936</v>
      </c>
      <c r="O550" s="3664" t="s">
        <v>7654</v>
      </c>
      <c r="P550" s="959" t="s">
        <v>82</v>
      </c>
      <c r="Q550" s="959"/>
      <c r="R550" s="4104"/>
      <c r="S550" s="4104"/>
      <c r="T550" s="4105"/>
      <c r="U550" s="3645" t="s">
        <v>4916</v>
      </c>
      <c r="V550" s="3649" t="s">
        <v>7650</v>
      </c>
      <c r="W550" s="3695"/>
      <c r="X550" s="3657" t="s">
        <v>98</v>
      </c>
      <c r="Y550" s="3657"/>
      <c r="Z550" s="3661"/>
      <c r="AA550" s="3620" t="s">
        <v>7651</v>
      </c>
      <c r="AB550" s="3624" t="s">
        <v>1024</v>
      </c>
      <c r="AC550" s="4058">
        <v>1.3895</v>
      </c>
      <c r="AD550" s="3618">
        <f t="shared" si="299"/>
        <v>1378.384</v>
      </c>
      <c r="AE550" s="3633" t="s">
        <v>4923</v>
      </c>
      <c r="AF550" s="959" t="s">
        <v>6281</v>
      </c>
      <c r="AG550" s="3620" t="s">
        <v>416</v>
      </c>
      <c r="AH550" s="3620"/>
      <c r="AI550" s="3620"/>
      <c r="AJ550" s="3620"/>
      <c r="AK550" s="959"/>
      <c r="AL550" s="4108">
        <f t="shared" si="321"/>
        <v>992</v>
      </c>
      <c r="AM550" s="4108"/>
      <c r="AN550" s="4108"/>
      <c r="AO550" s="959"/>
      <c r="AP550" s="3618"/>
      <c r="AQ550" s="4052">
        <f t="shared" si="306"/>
        <v>992</v>
      </c>
      <c r="AR550" s="3626"/>
      <c r="AS550" s="3626"/>
      <c r="AT550" s="4109">
        <f t="shared" si="319"/>
        <v>992</v>
      </c>
      <c r="AU550" s="3626"/>
      <c r="AV550" s="3626"/>
      <c r="AW550" s="3626"/>
      <c r="AX550" s="3626"/>
      <c r="AY550" s="3626"/>
      <c r="AZ550" s="3626"/>
      <c r="BA550" s="3626"/>
      <c r="BB550" s="3626"/>
      <c r="BC550" s="3626"/>
      <c r="BD550" s="3626"/>
      <c r="BE550" s="3626"/>
      <c r="BF550" s="3626"/>
      <c r="BG550" s="3626"/>
      <c r="BH550" s="3626"/>
      <c r="BI550" s="3626" t="s">
        <v>89</v>
      </c>
      <c r="BJ550" s="4109">
        <f>I550/58*2</f>
        <v>34.2068965517241</v>
      </c>
      <c r="BK550" s="4109">
        <f>I550-34</f>
        <v>958</v>
      </c>
      <c r="BL550" s="4109"/>
      <c r="BM550" s="4109"/>
      <c r="BN550" s="4109"/>
      <c r="BO550" s="4079"/>
      <c r="BP550" s="4110"/>
      <c r="BQ550" s="4110">
        <f t="shared" si="303"/>
        <v>992.206896551724</v>
      </c>
      <c r="BR550" s="3627">
        <f t="shared" si="304"/>
        <v>-0.206896551724185</v>
      </c>
      <c r="BS550" s="4056"/>
      <c r="BT550" s="4057"/>
    </row>
    <row r="551" s="3566" customFormat="1" ht="50" customHeight="1" spans="1:72">
      <c r="A551" s="3635">
        <v>45896</v>
      </c>
      <c r="B551" s="3617" t="s">
        <v>4913</v>
      </c>
      <c r="C551" s="3617" t="s">
        <v>91</v>
      </c>
      <c r="D551" s="3618">
        <v>4500178034</v>
      </c>
      <c r="E551" s="959" t="s">
        <v>7655</v>
      </c>
      <c r="F551" s="959" t="s">
        <v>7656</v>
      </c>
      <c r="G551" s="959" t="s">
        <v>6281</v>
      </c>
      <c r="H551" s="959" t="s">
        <v>6292</v>
      </c>
      <c r="I551" s="3618">
        <v>736</v>
      </c>
      <c r="J551" s="3618">
        <v>0</v>
      </c>
      <c r="K551" s="3618">
        <v>32</v>
      </c>
      <c r="L551" s="4052">
        <f t="shared" si="329"/>
        <v>23</v>
      </c>
      <c r="M551" s="3619">
        <v>45939</v>
      </c>
      <c r="N551" s="3619">
        <v>45936</v>
      </c>
      <c r="O551" s="3664" t="s">
        <v>7657</v>
      </c>
      <c r="P551" s="959" t="s">
        <v>82</v>
      </c>
      <c r="Q551" s="959"/>
      <c r="R551" s="4104"/>
      <c r="S551" s="4104"/>
      <c r="T551" s="4105"/>
      <c r="U551" s="3645" t="s">
        <v>1974</v>
      </c>
      <c r="V551" s="3649" t="s">
        <v>7650</v>
      </c>
      <c r="W551" s="3695"/>
      <c r="X551" s="3657" t="s">
        <v>98</v>
      </c>
      <c r="Y551" s="3657"/>
      <c r="Z551" s="3661"/>
      <c r="AA551" s="3620" t="s">
        <v>7651</v>
      </c>
      <c r="AB551" s="3624" t="s">
        <v>1024</v>
      </c>
      <c r="AC551" s="4058">
        <v>1.3895</v>
      </c>
      <c r="AD551" s="3618">
        <f t="shared" si="299"/>
        <v>1022.672</v>
      </c>
      <c r="AE551" s="3633" t="s">
        <v>7658</v>
      </c>
      <c r="AF551" s="959" t="s">
        <v>6281</v>
      </c>
      <c r="AG551" s="3620" t="s">
        <v>416</v>
      </c>
      <c r="AH551" s="3620"/>
      <c r="AI551" s="3620"/>
      <c r="AJ551" s="3620"/>
      <c r="AK551" s="959"/>
      <c r="AL551" s="4108">
        <f t="shared" si="321"/>
        <v>736</v>
      </c>
      <c r="AM551" s="4108"/>
      <c r="AN551" s="4108"/>
      <c r="AO551" s="959"/>
      <c r="AP551" s="3618"/>
      <c r="AQ551" s="4052">
        <f t="shared" si="306"/>
        <v>736</v>
      </c>
      <c r="AR551" s="3626"/>
      <c r="AS551" s="3626"/>
      <c r="AT551" s="4109">
        <f t="shared" si="319"/>
        <v>736</v>
      </c>
      <c r="AU551" s="3626"/>
      <c r="AV551" s="3626"/>
      <c r="AW551" s="3626"/>
      <c r="AX551" s="3626"/>
      <c r="AY551" s="3626"/>
      <c r="AZ551" s="3626"/>
      <c r="BA551" s="3626"/>
      <c r="BB551" s="3626"/>
      <c r="BC551" s="3626"/>
      <c r="BD551" s="3626"/>
      <c r="BE551" s="3626"/>
      <c r="BF551" s="3626"/>
      <c r="BG551" s="3626"/>
      <c r="BH551" s="3626"/>
      <c r="BI551" s="3626" t="s">
        <v>89</v>
      </c>
      <c r="BJ551" s="4109">
        <f>I551/58*2</f>
        <v>25.3793103448276</v>
      </c>
      <c r="BK551" s="4109">
        <f>I551-25</f>
        <v>711</v>
      </c>
      <c r="BL551" s="4109"/>
      <c r="BM551" s="4109"/>
      <c r="BN551" s="4109"/>
      <c r="BO551" s="4079"/>
      <c r="BP551" s="4110"/>
      <c r="BQ551" s="4110">
        <f t="shared" si="303"/>
        <v>736.379310344828</v>
      </c>
      <c r="BR551" s="3627">
        <f t="shared" si="304"/>
        <v>-0.379310344827559</v>
      </c>
      <c r="BS551" s="4056"/>
      <c r="BT551" s="4057"/>
    </row>
    <row r="552" s="3566" customFormat="1" ht="50" customHeight="1" spans="1:72">
      <c r="A552" s="3635">
        <v>45896</v>
      </c>
      <c r="B552" s="3617" t="s">
        <v>4913</v>
      </c>
      <c r="C552" s="3617" t="s">
        <v>91</v>
      </c>
      <c r="D552" s="3618">
        <v>4500178034</v>
      </c>
      <c r="E552" s="959" t="s">
        <v>7659</v>
      </c>
      <c r="F552" s="959" t="s">
        <v>7660</v>
      </c>
      <c r="G552" s="959" t="s">
        <v>6281</v>
      </c>
      <c r="H552" s="959" t="s">
        <v>6292</v>
      </c>
      <c r="I552" s="3618">
        <v>448</v>
      </c>
      <c r="J552" s="3618">
        <v>0</v>
      </c>
      <c r="K552" s="3618">
        <v>32</v>
      </c>
      <c r="L552" s="4052">
        <f t="shared" si="329"/>
        <v>14</v>
      </c>
      <c r="M552" s="3619">
        <v>45939</v>
      </c>
      <c r="N552" s="3619">
        <v>45936</v>
      </c>
      <c r="O552" s="3664" t="s">
        <v>7657</v>
      </c>
      <c r="P552" s="959" t="s">
        <v>82</v>
      </c>
      <c r="Q552" s="959"/>
      <c r="R552" s="4104"/>
      <c r="S552" s="4104"/>
      <c r="T552" s="4105"/>
      <c r="U552" s="3645" t="s">
        <v>1974</v>
      </c>
      <c r="V552" s="3649" t="s">
        <v>7650</v>
      </c>
      <c r="W552" s="3695"/>
      <c r="X552" s="3657" t="s">
        <v>98</v>
      </c>
      <c r="Y552" s="3657"/>
      <c r="Z552" s="3661"/>
      <c r="AA552" s="3620" t="s">
        <v>7651</v>
      </c>
      <c r="AB552" s="3624" t="s">
        <v>1024</v>
      </c>
      <c r="AC552" s="4058">
        <v>1.3895</v>
      </c>
      <c r="AD552" s="3618">
        <f t="shared" si="299"/>
        <v>622.496</v>
      </c>
      <c r="AE552" s="3633" t="s">
        <v>7658</v>
      </c>
      <c r="AF552" s="959" t="s">
        <v>6281</v>
      </c>
      <c r="AG552" s="3620" t="s">
        <v>416</v>
      </c>
      <c r="AH552" s="3620"/>
      <c r="AI552" s="3620"/>
      <c r="AJ552" s="3620"/>
      <c r="AK552" s="959"/>
      <c r="AL552" s="4108">
        <f t="shared" si="321"/>
        <v>448</v>
      </c>
      <c r="AM552" s="4108"/>
      <c r="AN552" s="4108"/>
      <c r="AO552" s="959"/>
      <c r="AP552" s="3618"/>
      <c r="AQ552" s="4052">
        <f t="shared" si="306"/>
        <v>448</v>
      </c>
      <c r="AR552" s="3626"/>
      <c r="AS552" s="3626"/>
      <c r="AT552" s="4109">
        <f t="shared" si="319"/>
        <v>448</v>
      </c>
      <c r="AU552" s="3626"/>
      <c r="AV552" s="3626"/>
      <c r="AW552" s="3626"/>
      <c r="AX552" s="3626"/>
      <c r="AY552" s="3626"/>
      <c r="AZ552" s="3626"/>
      <c r="BA552" s="3626"/>
      <c r="BB552" s="3626"/>
      <c r="BC552" s="3626"/>
      <c r="BD552" s="3626"/>
      <c r="BE552" s="3626"/>
      <c r="BF552" s="3626"/>
      <c r="BG552" s="3626"/>
      <c r="BH552" s="3626"/>
      <c r="BI552" s="3626" t="s">
        <v>89</v>
      </c>
      <c r="BJ552" s="4109">
        <f>I552/58*2</f>
        <v>15.448275862069</v>
      </c>
      <c r="BK552" s="4109">
        <f>I552-15</f>
        <v>433</v>
      </c>
      <c r="BL552" s="4109"/>
      <c r="BM552" s="4109"/>
      <c r="BN552" s="4109"/>
      <c r="BO552" s="4079"/>
      <c r="BP552" s="4110"/>
      <c r="BQ552" s="4110">
        <f t="shared" si="303"/>
        <v>448.448275862069</v>
      </c>
      <c r="BR552" s="3627">
        <f t="shared" si="304"/>
        <v>-0.448275862068954</v>
      </c>
      <c r="BS552" s="4056"/>
      <c r="BT552" s="4057"/>
    </row>
    <row r="553" s="3566" customFormat="1" ht="50" customHeight="1" spans="1:72">
      <c r="A553" s="3635">
        <v>45898</v>
      </c>
      <c r="B553" s="3617" t="s">
        <v>6506</v>
      </c>
      <c r="C553" s="3617" t="s">
        <v>738</v>
      </c>
      <c r="D553" s="3618">
        <v>4500178210</v>
      </c>
      <c r="E553" s="959"/>
      <c r="F553" s="959" t="s">
        <v>7661</v>
      </c>
      <c r="G553" s="959" t="s">
        <v>6124</v>
      </c>
      <c r="H553" s="3618" t="s">
        <v>6063</v>
      </c>
      <c r="I553" s="3618">
        <v>1368</v>
      </c>
      <c r="J553" s="3618">
        <v>0</v>
      </c>
      <c r="K553" s="3618">
        <v>12</v>
      </c>
      <c r="L553" s="4052">
        <f t="shared" si="329"/>
        <v>114</v>
      </c>
      <c r="M553" s="3619">
        <v>45929</v>
      </c>
      <c r="N553" s="3619">
        <v>45925</v>
      </c>
      <c r="O553" s="3664"/>
      <c r="P553" s="959" t="s">
        <v>82</v>
      </c>
      <c r="Q553" s="959"/>
      <c r="R553" s="4104"/>
      <c r="S553" s="4104"/>
      <c r="T553" s="4105"/>
      <c r="U553" s="3620" t="s">
        <v>256</v>
      </c>
      <c r="V553" s="3649" t="s">
        <v>7662</v>
      </c>
      <c r="W553" s="3695"/>
      <c r="X553" s="3657" t="s">
        <v>7663</v>
      </c>
      <c r="Y553" s="3657"/>
      <c r="Z553" s="3661"/>
      <c r="AA553" s="3620" t="s">
        <v>7664</v>
      </c>
      <c r="AB553" s="3624" t="s">
        <v>459</v>
      </c>
      <c r="AC553" s="4058">
        <v>2.198</v>
      </c>
      <c r="AD553" s="3618">
        <f t="shared" si="299"/>
        <v>3006.864</v>
      </c>
      <c r="AE553" s="3633"/>
      <c r="AF553" s="959" t="s">
        <v>6126</v>
      </c>
      <c r="AG553" s="3620" t="s">
        <v>416</v>
      </c>
      <c r="AH553" s="3620"/>
      <c r="AI553" s="3620"/>
      <c r="AJ553" s="3620"/>
      <c r="AK553" s="959"/>
      <c r="AL553" s="4108"/>
      <c r="AM553" s="4108"/>
      <c r="AN553" s="4108">
        <f>I553</f>
        <v>1368</v>
      </c>
      <c r="AO553" s="959"/>
      <c r="AP553" s="3618"/>
      <c r="AQ553" s="4052">
        <f t="shared" si="306"/>
        <v>1368</v>
      </c>
      <c r="AR553" s="3626"/>
      <c r="AS553" s="3626"/>
      <c r="AT553" s="4109">
        <f t="shared" si="319"/>
        <v>1368</v>
      </c>
      <c r="AU553" s="3626"/>
      <c r="AV553" s="3626"/>
      <c r="AW553" s="3626"/>
      <c r="AX553" s="4109">
        <f>I553/6</f>
        <v>228</v>
      </c>
      <c r="AY553" s="3626"/>
      <c r="AZ553" s="3626"/>
      <c r="BA553" s="3626"/>
      <c r="BB553" s="3626"/>
      <c r="BC553" s="3626"/>
      <c r="BD553" s="3626"/>
      <c r="BE553" s="3626"/>
      <c r="BF553" s="3626"/>
      <c r="BG553" s="3626"/>
      <c r="BH553" s="3626"/>
      <c r="BI553" s="3626" t="s">
        <v>89</v>
      </c>
      <c r="BJ553" s="4109">
        <f t="shared" ref="BJ553:BJ578" si="330">I553/60*2</f>
        <v>45.6</v>
      </c>
      <c r="BK553" s="4109">
        <f t="shared" ref="BK553:BK578" si="331">I553/60*10</f>
        <v>228</v>
      </c>
      <c r="BL553" s="4109">
        <f t="shared" ref="BL553:BL578" si="332">I553/60*10</f>
        <v>228</v>
      </c>
      <c r="BM553" s="4109">
        <f t="shared" ref="BM553:BM578" si="333">I553/60*8</f>
        <v>182.4</v>
      </c>
      <c r="BN553" s="4109">
        <f t="shared" ref="BN553:BN578" si="334">I553/60*10</f>
        <v>228</v>
      </c>
      <c r="BO553" s="4079">
        <f t="shared" ref="BO553:BO578" si="335">I553/60*10</f>
        <v>228</v>
      </c>
      <c r="BP553" s="4110">
        <f t="shared" ref="BP553:BP578" si="336">I553/60*10</f>
        <v>228</v>
      </c>
      <c r="BQ553" s="4110">
        <f t="shared" si="303"/>
        <v>1368</v>
      </c>
      <c r="BR553" s="3627">
        <f t="shared" si="304"/>
        <v>0</v>
      </c>
      <c r="BS553" s="4056"/>
      <c r="BT553" s="4057"/>
    </row>
    <row r="554" s="3566" customFormat="1" ht="50" customHeight="1" spans="1:72">
      <c r="A554" s="3635">
        <v>45862</v>
      </c>
      <c r="B554" s="3617" t="s">
        <v>407</v>
      </c>
      <c r="C554" s="3617" t="s">
        <v>91</v>
      </c>
      <c r="D554" s="3618">
        <v>4500173508</v>
      </c>
      <c r="E554" s="959">
        <v>60235931</v>
      </c>
      <c r="F554" s="959" t="s">
        <v>7665</v>
      </c>
      <c r="G554" s="959" t="s">
        <v>3520</v>
      </c>
      <c r="H554" s="3618" t="s">
        <v>6063</v>
      </c>
      <c r="I554" s="3618">
        <v>14016</v>
      </c>
      <c r="J554" s="3618">
        <v>0</v>
      </c>
      <c r="K554" s="3618">
        <v>24</v>
      </c>
      <c r="L554" s="4052">
        <f t="shared" si="329"/>
        <v>584</v>
      </c>
      <c r="M554" s="3619">
        <v>45925</v>
      </c>
      <c r="N554" s="3619">
        <v>45922</v>
      </c>
      <c r="O554" s="3664"/>
      <c r="P554" s="959" t="s">
        <v>82</v>
      </c>
      <c r="Q554" s="959"/>
      <c r="R554" s="4104"/>
      <c r="S554" s="4104"/>
      <c r="T554" s="4105"/>
      <c r="U554" s="3645" t="s">
        <v>1990</v>
      </c>
      <c r="V554" s="3649" t="s">
        <v>390</v>
      </c>
      <c r="W554" s="3695"/>
      <c r="X554" s="3657" t="s">
        <v>98</v>
      </c>
      <c r="Y554" s="3649" t="s">
        <v>1991</v>
      </c>
      <c r="Z554" s="3661"/>
      <c r="AA554" s="3620" t="s">
        <v>1621</v>
      </c>
      <c r="AB554" s="3624" t="s">
        <v>1880</v>
      </c>
      <c r="AC554" s="4058">
        <v>1.2687</v>
      </c>
      <c r="AD554" s="3618">
        <f t="shared" si="299"/>
        <v>17782.0992</v>
      </c>
      <c r="AE554" s="3633" t="s">
        <v>7666</v>
      </c>
      <c r="AF554" s="959" t="s">
        <v>3520</v>
      </c>
      <c r="AG554" s="3620" t="s">
        <v>416</v>
      </c>
      <c r="AH554" s="3620"/>
      <c r="AI554" s="3620"/>
      <c r="AJ554" s="3620"/>
      <c r="AK554" s="959"/>
      <c r="AL554" s="959">
        <f t="shared" ref="AL554:AL567" si="337">I554</f>
        <v>14016</v>
      </c>
      <c r="AM554" s="959"/>
      <c r="AN554" s="959"/>
      <c r="AO554" s="959"/>
      <c r="AP554" s="3618"/>
      <c r="AQ554" s="3618">
        <f t="shared" si="306"/>
        <v>14016</v>
      </c>
      <c r="AR554" s="3626"/>
      <c r="AS554" s="3626"/>
      <c r="AT554" s="3626">
        <f t="shared" si="319"/>
        <v>14016</v>
      </c>
      <c r="AU554" s="3626"/>
      <c r="AV554" s="3626"/>
      <c r="AW554" s="3626"/>
      <c r="AX554" s="3626"/>
      <c r="AY554" s="3626"/>
      <c r="AZ554" s="3626"/>
      <c r="BA554" s="3626"/>
      <c r="BB554" s="3626"/>
      <c r="BC554" s="3626"/>
      <c r="BD554" s="3626"/>
      <c r="BE554" s="3626"/>
      <c r="BF554" s="3626"/>
      <c r="BG554" s="3626"/>
      <c r="BH554" s="3626"/>
      <c r="BI554" s="3626" t="s">
        <v>89</v>
      </c>
      <c r="BJ554" s="3626">
        <f t="shared" si="330"/>
        <v>467.2</v>
      </c>
      <c r="BK554" s="3626">
        <f t="shared" si="331"/>
        <v>2336</v>
      </c>
      <c r="BL554" s="3626">
        <f t="shared" si="332"/>
        <v>2336</v>
      </c>
      <c r="BM554" s="3626">
        <f t="shared" si="333"/>
        <v>1868.8</v>
      </c>
      <c r="BN554" s="3626">
        <f t="shared" si="334"/>
        <v>2336</v>
      </c>
      <c r="BO554" s="4055">
        <f t="shared" si="335"/>
        <v>2336</v>
      </c>
      <c r="BP554" s="3627">
        <f t="shared" si="336"/>
        <v>2336</v>
      </c>
      <c r="BQ554" s="3627">
        <f t="shared" si="303"/>
        <v>14016</v>
      </c>
      <c r="BR554" s="3627">
        <f t="shared" si="304"/>
        <v>0</v>
      </c>
      <c r="BS554" s="4056"/>
      <c r="BT554" s="4057"/>
    </row>
    <row r="555" s="3566" customFormat="1" ht="50" customHeight="1" spans="1:72">
      <c r="A555" s="3635">
        <v>45883</v>
      </c>
      <c r="B555" s="3617" t="s">
        <v>2285</v>
      </c>
      <c r="C555" s="3617" t="s">
        <v>351</v>
      </c>
      <c r="D555" s="3618">
        <v>4500176870</v>
      </c>
      <c r="E555" s="959" t="s">
        <v>4869</v>
      </c>
      <c r="F555" s="959" t="s">
        <v>4870</v>
      </c>
      <c r="G555" s="959" t="s">
        <v>6641</v>
      </c>
      <c r="H555" s="959" t="s">
        <v>6642</v>
      </c>
      <c r="I555" s="4052">
        <f>3132</f>
        <v>3132</v>
      </c>
      <c r="J555" s="3618">
        <v>0</v>
      </c>
      <c r="K555" s="3618">
        <v>1</v>
      </c>
      <c r="L555" s="4052">
        <f t="shared" si="329"/>
        <v>3132</v>
      </c>
      <c r="M555" s="3659">
        <v>45929</v>
      </c>
      <c r="N555" s="4111">
        <v>45925</v>
      </c>
      <c r="O555" s="3664" t="s">
        <v>4871</v>
      </c>
      <c r="P555" s="959" t="s">
        <v>82</v>
      </c>
      <c r="Q555" s="959"/>
      <c r="R555" s="4104"/>
      <c r="S555" s="4104"/>
      <c r="T555" s="4105"/>
      <c r="U555" s="3645" t="s">
        <v>4800</v>
      </c>
      <c r="V555" s="3649" t="s">
        <v>4641</v>
      </c>
      <c r="W555" s="3695"/>
      <c r="X555" s="3657" t="s">
        <v>4677</v>
      </c>
      <c r="Y555" s="3649"/>
      <c r="Z555" s="3661"/>
      <c r="AA555" s="3620" t="s">
        <v>4872</v>
      </c>
      <c r="AB555" s="3624" t="s">
        <v>1199</v>
      </c>
      <c r="AC555" s="4058">
        <v>8.9518</v>
      </c>
      <c r="AD555" s="3618">
        <f t="shared" si="299"/>
        <v>28037.0376</v>
      </c>
      <c r="AE555" s="3633"/>
      <c r="AF555" s="959" t="s">
        <v>3520</v>
      </c>
      <c r="AG555" s="3620" t="s">
        <v>416</v>
      </c>
      <c r="AH555" s="3620"/>
      <c r="AI555" s="3620"/>
      <c r="AJ555" s="3620"/>
      <c r="AK555" s="4108"/>
      <c r="AL555" s="959">
        <f t="shared" si="337"/>
        <v>3132</v>
      </c>
      <c r="AM555" s="959"/>
      <c r="AN555" s="959"/>
      <c r="AO555" s="959"/>
      <c r="AP555" s="4052"/>
      <c r="AQ555" s="3618">
        <f t="shared" si="306"/>
        <v>3132</v>
      </c>
      <c r="AR555" s="3626"/>
      <c r="AS555" s="4109"/>
      <c r="AT555" s="3626">
        <f t="shared" si="319"/>
        <v>3132</v>
      </c>
      <c r="AU555" s="3626"/>
      <c r="AV555" s="3626"/>
      <c r="AW555" s="3626"/>
      <c r="AX555" s="3626"/>
      <c r="AY555" s="3626"/>
      <c r="AZ555" s="3626"/>
      <c r="BA555" s="3626"/>
      <c r="BB555" s="3626"/>
      <c r="BC555" s="3626"/>
      <c r="BD555" s="3626"/>
      <c r="BE555" s="3626"/>
      <c r="BF555" s="3626"/>
      <c r="BG555" s="3626"/>
      <c r="BH555" s="3626"/>
      <c r="BI555" s="3626" t="s">
        <v>89</v>
      </c>
      <c r="BJ555" s="3626">
        <f t="shared" si="330"/>
        <v>104.4</v>
      </c>
      <c r="BK555" s="3626">
        <f t="shared" si="331"/>
        <v>522</v>
      </c>
      <c r="BL555" s="3626">
        <f t="shared" si="332"/>
        <v>522</v>
      </c>
      <c r="BM555" s="3626">
        <f t="shared" si="333"/>
        <v>417.6</v>
      </c>
      <c r="BN555" s="3626">
        <f t="shared" si="334"/>
        <v>522</v>
      </c>
      <c r="BO555" s="4055">
        <f t="shared" si="335"/>
        <v>522</v>
      </c>
      <c r="BP555" s="3627">
        <f t="shared" si="336"/>
        <v>522</v>
      </c>
      <c r="BQ555" s="3627">
        <f t="shared" si="303"/>
        <v>3132</v>
      </c>
      <c r="BR555" s="3627">
        <f t="shared" si="304"/>
        <v>0</v>
      </c>
      <c r="BS555" s="4056"/>
      <c r="BT555" s="4057"/>
    </row>
    <row r="556" s="3566" customFormat="1" ht="50" customHeight="1" spans="1:72">
      <c r="A556" s="3635">
        <v>45883</v>
      </c>
      <c r="B556" s="3617" t="s">
        <v>2285</v>
      </c>
      <c r="C556" s="3617" t="s">
        <v>351</v>
      </c>
      <c r="D556" s="3618">
        <v>4500176870</v>
      </c>
      <c r="E556" s="959" t="s">
        <v>4869</v>
      </c>
      <c r="F556" s="959" t="s">
        <v>4873</v>
      </c>
      <c r="G556" s="959" t="s">
        <v>6641</v>
      </c>
      <c r="H556" s="959" t="s">
        <v>6642</v>
      </c>
      <c r="I556" s="4052">
        <f>1120</f>
        <v>1120</v>
      </c>
      <c r="J556" s="3618">
        <v>0</v>
      </c>
      <c r="K556" s="3618">
        <v>1</v>
      </c>
      <c r="L556" s="4052">
        <f t="shared" si="329"/>
        <v>1120</v>
      </c>
      <c r="M556" s="3659">
        <v>45929</v>
      </c>
      <c r="N556" s="4111">
        <v>45925</v>
      </c>
      <c r="O556" s="3664" t="s">
        <v>4874</v>
      </c>
      <c r="P556" s="959" t="s">
        <v>82</v>
      </c>
      <c r="Q556" s="959"/>
      <c r="R556" s="4104"/>
      <c r="S556" s="4104"/>
      <c r="T556" s="4105"/>
      <c r="U556" s="3645" t="s">
        <v>4800</v>
      </c>
      <c r="V556" s="3649" t="s">
        <v>1926</v>
      </c>
      <c r="W556" s="3695"/>
      <c r="X556" s="3657" t="s">
        <v>4677</v>
      </c>
      <c r="Y556" s="3649"/>
      <c r="Z556" s="3661"/>
      <c r="AA556" s="3620" t="s">
        <v>4872</v>
      </c>
      <c r="AB556" s="3624" t="s">
        <v>1199</v>
      </c>
      <c r="AC556" s="4058">
        <v>8.9518</v>
      </c>
      <c r="AD556" s="3618">
        <f t="shared" si="299"/>
        <v>10026.016</v>
      </c>
      <c r="AE556" s="3633"/>
      <c r="AF556" s="959" t="s">
        <v>3520</v>
      </c>
      <c r="AG556" s="3620" t="s">
        <v>416</v>
      </c>
      <c r="AH556" s="3620"/>
      <c r="AI556" s="3620"/>
      <c r="AJ556" s="3620"/>
      <c r="AK556" s="959"/>
      <c r="AL556" s="959">
        <f t="shared" si="337"/>
        <v>1120</v>
      </c>
      <c r="AM556" s="959"/>
      <c r="AN556" s="959"/>
      <c r="AO556" s="959"/>
      <c r="AP556" s="3618"/>
      <c r="AQ556" s="3618">
        <f t="shared" si="306"/>
        <v>1120</v>
      </c>
      <c r="AR556" s="3626"/>
      <c r="AS556" s="3626"/>
      <c r="AT556" s="3626">
        <f t="shared" si="319"/>
        <v>1120</v>
      </c>
      <c r="AU556" s="3626"/>
      <c r="AV556" s="3626"/>
      <c r="AW556" s="3626"/>
      <c r="AX556" s="3626"/>
      <c r="AY556" s="3626"/>
      <c r="AZ556" s="3626"/>
      <c r="BA556" s="3626"/>
      <c r="BB556" s="3626"/>
      <c r="BC556" s="3626"/>
      <c r="BD556" s="3626"/>
      <c r="BE556" s="3626"/>
      <c r="BF556" s="3626"/>
      <c r="BG556" s="3626"/>
      <c r="BH556" s="3626"/>
      <c r="BI556" s="3626" t="s">
        <v>89</v>
      </c>
      <c r="BJ556" s="3626">
        <f t="shared" si="330"/>
        <v>37.3333333333333</v>
      </c>
      <c r="BK556" s="3626">
        <f t="shared" si="331"/>
        <v>186.666666666667</v>
      </c>
      <c r="BL556" s="3626">
        <f t="shared" si="332"/>
        <v>186.666666666667</v>
      </c>
      <c r="BM556" s="3626">
        <f t="shared" si="333"/>
        <v>149.333333333333</v>
      </c>
      <c r="BN556" s="3626">
        <f t="shared" si="334"/>
        <v>186.666666666667</v>
      </c>
      <c r="BO556" s="4055">
        <f t="shared" si="335"/>
        <v>186.666666666667</v>
      </c>
      <c r="BP556" s="3627">
        <f t="shared" si="336"/>
        <v>186.666666666667</v>
      </c>
      <c r="BQ556" s="3627">
        <f t="shared" si="303"/>
        <v>1120</v>
      </c>
      <c r="BR556" s="3627">
        <f t="shared" si="304"/>
        <v>0</v>
      </c>
      <c r="BS556" s="4056"/>
      <c r="BT556" s="4057"/>
    </row>
    <row r="557" s="3566" customFormat="1" ht="50" customHeight="1" spans="1:72">
      <c r="A557" s="3635">
        <v>45883</v>
      </c>
      <c r="B557" s="3617" t="s">
        <v>2285</v>
      </c>
      <c r="C557" s="3617" t="s">
        <v>351</v>
      </c>
      <c r="D557" s="3618">
        <v>4500176870</v>
      </c>
      <c r="E557" s="959" t="s">
        <v>4869</v>
      </c>
      <c r="F557" s="959" t="s">
        <v>4875</v>
      </c>
      <c r="G557" s="959" t="s">
        <v>6643</v>
      </c>
      <c r="H557" s="3618" t="s">
        <v>3517</v>
      </c>
      <c r="I557" s="4052">
        <f>4512</f>
        <v>4512</v>
      </c>
      <c r="J557" s="3618">
        <v>0</v>
      </c>
      <c r="K557" s="3618">
        <v>12</v>
      </c>
      <c r="L557" s="4052">
        <f t="shared" si="329"/>
        <v>376</v>
      </c>
      <c r="M557" s="3659">
        <v>45929</v>
      </c>
      <c r="N557" s="4111">
        <v>45925</v>
      </c>
      <c r="O557" s="3664" t="s">
        <v>4874</v>
      </c>
      <c r="P557" s="959" t="s">
        <v>82</v>
      </c>
      <c r="Q557" s="959"/>
      <c r="R557" s="4104"/>
      <c r="S557" s="4104"/>
      <c r="T557" s="4105"/>
      <c r="U557" s="3645" t="s">
        <v>4800</v>
      </c>
      <c r="V557" s="3649" t="s">
        <v>1926</v>
      </c>
      <c r="W557" s="3695"/>
      <c r="X557" s="3657" t="s">
        <v>4677</v>
      </c>
      <c r="Y557" s="3649"/>
      <c r="Z557" s="3661"/>
      <c r="AA557" s="3620" t="s">
        <v>7667</v>
      </c>
      <c r="AB557" s="3624" t="s">
        <v>1199</v>
      </c>
      <c r="AC557" s="4058">
        <v>4.8085</v>
      </c>
      <c r="AD557" s="3618">
        <f t="shared" si="299"/>
        <v>21695.952</v>
      </c>
      <c r="AE557" s="3633"/>
      <c r="AF557" s="959" t="s">
        <v>3520</v>
      </c>
      <c r="AG557" s="3620" t="s">
        <v>416</v>
      </c>
      <c r="AH557" s="3620"/>
      <c r="AI557" s="3620"/>
      <c r="AJ557" s="3620"/>
      <c r="AK557" s="959"/>
      <c r="AL557" s="959">
        <f t="shared" si="337"/>
        <v>4512</v>
      </c>
      <c r="AM557" s="959"/>
      <c r="AN557" s="959"/>
      <c r="AO557" s="959"/>
      <c r="AP557" s="3618"/>
      <c r="AQ557" s="3618">
        <f t="shared" si="306"/>
        <v>4512</v>
      </c>
      <c r="AR557" s="3626"/>
      <c r="AS557" s="3626"/>
      <c r="AT557" s="3626">
        <f t="shared" si="319"/>
        <v>4512</v>
      </c>
      <c r="AU557" s="3626"/>
      <c r="AV557" s="3626"/>
      <c r="AW557" s="3626"/>
      <c r="AX557" s="3626"/>
      <c r="AY557" s="3626"/>
      <c r="AZ557" s="3626"/>
      <c r="BA557" s="3626"/>
      <c r="BB557" s="3626"/>
      <c r="BC557" s="3626"/>
      <c r="BD557" s="3626"/>
      <c r="BE557" s="3626"/>
      <c r="BF557" s="3626"/>
      <c r="BG557" s="3626"/>
      <c r="BH557" s="3626"/>
      <c r="BI557" s="3626" t="s">
        <v>89</v>
      </c>
      <c r="BJ557" s="3626">
        <f t="shared" si="330"/>
        <v>150.4</v>
      </c>
      <c r="BK557" s="3626">
        <f t="shared" si="331"/>
        <v>752</v>
      </c>
      <c r="BL557" s="3626">
        <f t="shared" si="332"/>
        <v>752</v>
      </c>
      <c r="BM557" s="3626">
        <f t="shared" si="333"/>
        <v>601.6</v>
      </c>
      <c r="BN557" s="3626">
        <f t="shared" si="334"/>
        <v>752</v>
      </c>
      <c r="BO557" s="4055">
        <f t="shared" si="335"/>
        <v>752</v>
      </c>
      <c r="BP557" s="3627">
        <f t="shared" si="336"/>
        <v>752</v>
      </c>
      <c r="BQ557" s="3627">
        <f t="shared" si="303"/>
        <v>4512</v>
      </c>
      <c r="BR557" s="3627">
        <f t="shared" si="304"/>
        <v>0</v>
      </c>
      <c r="BS557" s="4056"/>
      <c r="BT557" s="4057"/>
    </row>
    <row r="558" s="3566" customFormat="1" ht="50" customHeight="1" spans="1:72">
      <c r="A558" s="3635">
        <v>45897</v>
      </c>
      <c r="B558" s="3617" t="s">
        <v>6885</v>
      </c>
      <c r="C558" s="3617" t="s">
        <v>7668</v>
      </c>
      <c r="D558" s="3618">
        <v>4500178155</v>
      </c>
      <c r="E558" s="959"/>
      <c r="F558" s="959" t="s">
        <v>7669</v>
      </c>
      <c r="G558" s="959" t="s">
        <v>3520</v>
      </c>
      <c r="H558" s="3618" t="s">
        <v>6063</v>
      </c>
      <c r="I558" s="3618">
        <v>3504</v>
      </c>
      <c r="J558" s="3618">
        <v>0</v>
      </c>
      <c r="K558" s="3618">
        <v>24</v>
      </c>
      <c r="L558" s="3618">
        <f t="shared" si="329"/>
        <v>146</v>
      </c>
      <c r="M558" s="3619">
        <v>45944</v>
      </c>
      <c r="N558" s="3619">
        <v>45940</v>
      </c>
      <c r="O558" s="3664"/>
      <c r="P558" s="959" t="s">
        <v>82</v>
      </c>
      <c r="Q558" s="959"/>
      <c r="R558" s="4104"/>
      <c r="S558" s="4104"/>
      <c r="T558" s="4105"/>
      <c r="U558" s="3620" t="s">
        <v>7670</v>
      </c>
      <c r="V558" s="3649" t="s">
        <v>7640</v>
      </c>
      <c r="W558" s="3695"/>
      <c r="X558" s="3657" t="s">
        <v>6889</v>
      </c>
      <c r="Y558" s="3657"/>
      <c r="Z558" s="3661"/>
      <c r="AA558" s="3620" t="s">
        <v>7671</v>
      </c>
      <c r="AB558" s="3624" t="s">
        <v>1326</v>
      </c>
      <c r="AC558" s="4058">
        <v>2.1931</v>
      </c>
      <c r="AD558" s="3618">
        <f t="shared" si="299"/>
        <v>7684.6224</v>
      </c>
      <c r="AE558" s="3633" t="s">
        <v>7672</v>
      </c>
      <c r="AF558" s="959" t="s">
        <v>3520</v>
      </c>
      <c r="AG558" s="3620" t="s">
        <v>416</v>
      </c>
      <c r="AH558" s="3620"/>
      <c r="AI558" s="3620"/>
      <c r="AJ558" s="3620"/>
      <c r="AK558" s="959"/>
      <c r="AL558" s="4108">
        <f t="shared" si="337"/>
        <v>3504</v>
      </c>
      <c r="AM558" s="4108"/>
      <c r="AN558" s="4108"/>
      <c r="AO558" s="959"/>
      <c r="AP558" s="3618"/>
      <c r="AQ558" s="4052">
        <f t="shared" si="306"/>
        <v>3504</v>
      </c>
      <c r="AR558" s="3626"/>
      <c r="AS558" s="3626"/>
      <c r="AT558" s="4109">
        <f t="shared" si="319"/>
        <v>3504</v>
      </c>
      <c r="AU558" s="3626"/>
      <c r="AV558" s="3626"/>
      <c r="AW558" s="3626"/>
      <c r="AX558" s="3626"/>
      <c r="AY558" s="3626"/>
      <c r="AZ558" s="3626"/>
      <c r="BA558" s="3626"/>
      <c r="BB558" s="3626"/>
      <c r="BC558" s="3626"/>
      <c r="BD558" s="3626"/>
      <c r="BE558" s="3626"/>
      <c r="BF558" s="3626"/>
      <c r="BG558" s="3626"/>
      <c r="BH558" s="3626"/>
      <c r="BI558" s="3626" t="s">
        <v>89</v>
      </c>
      <c r="BJ558" s="4109">
        <f t="shared" si="330"/>
        <v>116.8</v>
      </c>
      <c r="BK558" s="4109">
        <f t="shared" si="331"/>
        <v>584</v>
      </c>
      <c r="BL558" s="4109">
        <f t="shared" si="332"/>
        <v>584</v>
      </c>
      <c r="BM558" s="4109">
        <f t="shared" si="333"/>
        <v>467.2</v>
      </c>
      <c r="BN558" s="4109">
        <f t="shared" si="334"/>
        <v>584</v>
      </c>
      <c r="BO558" s="4079">
        <f t="shared" si="335"/>
        <v>584</v>
      </c>
      <c r="BP558" s="4110">
        <f t="shared" si="336"/>
        <v>584</v>
      </c>
      <c r="BQ558" s="4110">
        <f t="shared" si="303"/>
        <v>3504</v>
      </c>
      <c r="BR558" s="3627">
        <f t="shared" si="304"/>
        <v>0</v>
      </c>
      <c r="BS558" s="4056"/>
      <c r="BT558" s="4057"/>
    </row>
    <row r="559" s="3566" customFormat="1" ht="50" customHeight="1" spans="1:72">
      <c r="A559" s="3635">
        <v>45863</v>
      </c>
      <c r="B559" s="3617" t="s">
        <v>4670</v>
      </c>
      <c r="C559" s="3617" t="s">
        <v>341</v>
      </c>
      <c r="D559" s="3618">
        <v>4500175110</v>
      </c>
      <c r="E559" s="959" t="s">
        <v>7673</v>
      </c>
      <c r="F559" s="959" t="s">
        <v>7674</v>
      </c>
      <c r="G559" s="959" t="s">
        <v>6753</v>
      </c>
      <c r="H559" s="3618" t="s">
        <v>6063</v>
      </c>
      <c r="I559" s="3618">
        <v>504</v>
      </c>
      <c r="J559" s="3618">
        <v>6</v>
      </c>
      <c r="K559" s="3618">
        <v>12</v>
      </c>
      <c r="L559" s="4052">
        <f t="shared" si="329"/>
        <v>42</v>
      </c>
      <c r="M559" s="3619">
        <v>45939</v>
      </c>
      <c r="N559" s="3619">
        <v>45934</v>
      </c>
      <c r="O559" s="3664" t="s">
        <v>7675</v>
      </c>
      <c r="P559" s="959" t="s">
        <v>82</v>
      </c>
      <c r="Q559" s="959"/>
      <c r="R559" s="4104"/>
      <c r="S559" s="4104"/>
      <c r="T559" s="4105"/>
      <c r="U559" s="3645" t="s">
        <v>401</v>
      </c>
      <c r="V559" s="3649" t="s">
        <v>1966</v>
      </c>
      <c r="W559" s="3695"/>
      <c r="X559" s="3657" t="s">
        <v>98</v>
      </c>
      <c r="Y559" s="3649"/>
      <c r="Z559" s="3661"/>
      <c r="AA559" s="3620" t="s">
        <v>7676</v>
      </c>
      <c r="AB559" s="3624" t="s">
        <v>4665</v>
      </c>
      <c r="AC559" s="4058">
        <v>2.3486</v>
      </c>
      <c r="AD559" s="3618">
        <f t="shared" si="299"/>
        <v>1183.6944</v>
      </c>
      <c r="AE559" s="3633" t="s">
        <v>7677</v>
      </c>
      <c r="AF559" s="959" t="s">
        <v>6753</v>
      </c>
      <c r="AG559" s="3620" t="s">
        <v>416</v>
      </c>
      <c r="AH559" s="3620"/>
      <c r="AI559" s="3620"/>
      <c r="AJ559" s="3620"/>
      <c r="AK559" s="959"/>
      <c r="AL559" s="959">
        <f t="shared" si="337"/>
        <v>504</v>
      </c>
      <c r="AM559" s="959"/>
      <c r="AN559" s="959"/>
      <c r="AO559" s="959"/>
      <c r="AP559" s="3618"/>
      <c r="AQ559" s="3618">
        <f t="shared" si="306"/>
        <v>504</v>
      </c>
      <c r="AR559" s="3626"/>
      <c r="AS559" s="3626"/>
      <c r="AT559" s="3626">
        <f t="shared" si="319"/>
        <v>504</v>
      </c>
      <c r="AU559" s="3626"/>
      <c r="AV559" s="3626"/>
      <c r="AW559" s="3626"/>
      <c r="AX559" s="3626">
        <f>I559/6</f>
        <v>84</v>
      </c>
      <c r="AY559" s="3626"/>
      <c r="AZ559" s="3626"/>
      <c r="BA559" s="3626"/>
      <c r="BB559" s="3626"/>
      <c r="BC559" s="3626"/>
      <c r="BD559" s="3626"/>
      <c r="BE559" s="3626"/>
      <c r="BF559" s="3626"/>
      <c r="BG559" s="3626"/>
      <c r="BH559" s="3626"/>
      <c r="BI559" s="3626" t="s">
        <v>89</v>
      </c>
      <c r="BJ559" s="3626">
        <f t="shared" si="330"/>
        <v>16.8</v>
      </c>
      <c r="BK559" s="3626">
        <f t="shared" si="331"/>
        <v>84</v>
      </c>
      <c r="BL559" s="3626">
        <f t="shared" si="332"/>
        <v>84</v>
      </c>
      <c r="BM559" s="3626">
        <f t="shared" si="333"/>
        <v>67.2</v>
      </c>
      <c r="BN559" s="3626">
        <f t="shared" si="334"/>
        <v>84</v>
      </c>
      <c r="BO559" s="4055">
        <f t="shared" si="335"/>
        <v>84</v>
      </c>
      <c r="BP559" s="3627">
        <f t="shared" si="336"/>
        <v>84</v>
      </c>
      <c r="BQ559" s="3627">
        <f t="shared" si="303"/>
        <v>504</v>
      </c>
      <c r="BR559" s="3627">
        <f t="shared" si="304"/>
        <v>0</v>
      </c>
      <c r="BS559" s="4056"/>
      <c r="BT559" s="4057"/>
    </row>
    <row r="560" s="3566" customFormat="1" ht="50" customHeight="1" spans="1:72">
      <c r="A560" s="3635">
        <v>45876</v>
      </c>
      <c r="B560" s="3617" t="s">
        <v>1617</v>
      </c>
      <c r="C560" s="3617" t="s">
        <v>91</v>
      </c>
      <c r="D560" s="3618">
        <v>4500176184</v>
      </c>
      <c r="E560" s="959" t="s">
        <v>2036</v>
      </c>
      <c r="F560" s="959" t="s">
        <v>7678</v>
      </c>
      <c r="G560" s="959" t="s">
        <v>3520</v>
      </c>
      <c r="H560" s="3618" t="s">
        <v>6063</v>
      </c>
      <c r="I560" s="3618">
        <v>1008</v>
      </c>
      <c r="J560" s="3618">
        <v>0</v>
      </c>
      <c r="K560" s="3618">
        <v>24</v>
      </c>
      <c r="L560" s="3618">
        <f t="shared" si="329"/>
        <v>42</v>
      </c>
      <c r="M560" s="3619">
        <v>45943</v>
      </c>
      <c r="N560" s="3619">
        <v>45939</v>
      </c>
      <c r="O560" s="3664"/>
      <c r="P560" s="959" t="s">
        <v>82</v>
      </c>
      <c r="Q560" s="959"/>
      <c r="R560" s="4104"/>
      <c r="S560" s="4106"/>
      <c r="T560" s="4107"/>
      <c r="U560" s="3701" t="s">
        <v>2038</v>
      </c>
      <c r="V560" s="3649" t="s">
        <v>2013</v>
      </c>
      <c r="W560" s="3695"/>
      <c r="X560" s="3657" t="s">
        <v>98</v>
      </c>
      <c r="Y560" s="3649" t="s">
        <v>1991</v>
      </c>
      <c r="Z560" s="3661"/>
      <c r="AA560" s="3620" t="s">
        <v>2039</v>
      </c>
      <c r="AB560" s="3624" t="s">
        <v>393</v>
      </c>
      <c r="AC560" s="4058">
        <v>1.3184</v>
      </c>
      <c r="AD560" s="3618">
        <f t="shared" si="299"/>
        <v>1328.9472</v>
      </c>
      <c r="AE560" s="3633" t="s">
        <v>2040</v>
      </c>
      <c r="AF560" s="959" t="s">
        <v>3520</v>
      </c>
      <c r="AG560" s="3620" t="s">
        <v>416</v>
      </c>
      <c r="AH560" s="3620"/>
      <c r="AI560" s="3620"/>
      <c r="AJ560" s="3620"/>
      <c r="AK560" s="959"/>
      <c r="AL560" s="959">
        <f t="shared" si="337"/>
        <v>1008</v>
      </c>
      <c r="AM560" s="959"/>
      <c r="AN560" s="959"/>
      <c r="AO560" s="959"/>
      <c r="AP560" s="3618"/>
      <c r="AQ560" s="3618">
        <f t="shared" si="306"/>
        <v>1008</v>
      </c>
      <c r="AR560" s="3626"/>
      <c r="AS560" s="3626"/>
      <c r="AT560" s="3626">
        <f t="shared" si="319"/>
        <v>1008</v>
      </c>
      <c r="AU560" s="3626"/>
      <c r="AV560" s="3626"/>
      <c r="AW560" s="3626"/>
      <c r="AX560" s="3626"/>
      <c r="AY560" s="3626"/>
      <c r="AZ560" s="3626"/>
      <c r="BA560" s="3626"/>
      <c r="BB560" s="3626"/>
      <c r="BC560" s="3626"/>
      <c r="BD560" s="3626"/>
      <c r="BE560" s="3626"/>
      <c r="BF560" s="3626"/>
      <c r="BG560" s="3626"/>
      <c r="BH560" s="3626"/>
      <c r="BI560" s="3626" t="s">
        <v>89</v>
      </c>
      <c r="BJ560" s="3626">
        <f t="shared" si="330"/>
        <v>33.6</v>
      </c>
      <c r="BK560" s="3626">
        <f t="shared" si="331"/>
        <v>168</v>
      </c>
      <c r="BL560" s="3626">
        <f t="shared" si="332"/>
        <v>168</v>
      </c>
      <c r="BM560" s="3626">
        <f t="shared" si="333"/>
        <v>134.4</v>
      </c>
      <c r="BN560" s="3626">
        <f t="shared" si="334"/>
        <v>168</v>
      </c>
      <c r="BO560" s="4055">
        <f t="shared" si="335"/>
        <v>168</v>
      </c>
      <c r="BP560" s="3627">
        <f t="shared" si="336"/>
        <v>168</v>
      </c>
      <c r="BQ560" s="3627">
        <f t="shared" si="303"/>
        <v>1008</v>
      </c>
      <c r="BR560" s="3627">
        <f t="shared" si="304"/>
        <v>0</v>
      </c>
      <c r="BS560" s="4056"/>
      <c r="BT560" s="4057"/>
    </row>
    <row r="561" s="3566" customFormat="1" ht="50" customHeight="1" spans="1:72">
      <c r="A561" s="3635">
        <v>45883</v>
      </c>
      <c r="B561" s="3617" t="s">
        <v>2285</v>
      </c>
      <c r="C561" s="3617" t="s">
        <v>351</v>
      </c>
      <c r="D561" s="3618">
        <v>4500176870</v>
      </c>
      <c r="E561" s="959" t="s">
        <v>4869</v>
      </c>
      <c r="F561" s="959" t="s">
        <v>4904</v>
      </c>
      <c r="G561" s="959" t="s">
        <v>6643</v>
      </c>
      <c r="H561" s="3618" t="s">
        <v>3517</v>
      </c>
      <c r="I561" s="4052">
        <f>11316</f>
        <v>11316</v>
      </c>
      <c r="J561" s="3618">
        <v>0</v>
      </c>
      <c r="K561" s="3618">
        <v>12</v>
      </c>
      <c r="L561" s="4052">
        <f t="shared" si="329"/>
        <v>943</v>
      </c>
      <c r="M561" s="3659">
        <v>45929</v>
      </c>
      <c r="N561" s="4111">
        <v>45925</v>
      </c>
      <c r="O561" s="3664" t="s">
        <v>7679</v>
      </c>
      <c r="P561" s="959" t="s">
        <v>82</v>
      </c>
      <c r="Q561" s="959"/>
      <c r="R561" s="4104"/>
      <c r="S561" s="4104"/>
      <c r="T561" s="4105"/>
      <c r="U561" s="3645" t="s">
        <v>4800</v>
      </c>
      <c r="V561" s="3649" t="s">
        <v>4641</v>
      </c>
      <c r="W561" s="3695"/>
      <c r="X561" s="3657" t="s">
        <v>4677</v>
      </c>
      <c r="Y561" s="3649"/>
      <c r="Z561" s="3661"/>
      <c r="AA561" s="3620" t="s">
        <v>7667</v>
      </c>
      <c r="AB561" s="3624" t="s">
        <v>1199</v>
      </c>
      <c r="AC561" s="4058">
        <v>4.8085</v>
      </c>
      <c r="AD561" s="3618">
        <f t="shared" si="299"/>
        <v>54412.986</v>
      </c>
      <c r="AE561" s="3633"/>
      <c r="AF561" s="959" t="s">
        <v>3520</v>
      </c>
      <c r="AG561" s="3620" t="s">
        <v>416</v>
      </c>
      <c r="AH561" s="3620"/>
      <c r="AI561" s="3620"/>
      <c r="AJ561" s="3620"/>
      <c r="AK561" s="4108"/>
      <c r="AL561" s="959">
        <f t="shared" si="337"/>
        <v>11316</v>
      </c>
      <c r="AM561" s="959"/>
      <c r="AN561" s="959"/>
      <c r="AO561" s="959"/>
      <c r="AP561" s="4052"/>
      <c r="AQ561" s="3618">
        <f t="shared" si="306"/>
        <v>11316</v>
      </c>
      <c r="AR561" s="3626"/>
      <c r="AS561" s="4109"/>
      <c r="AT561" s="3626">
        <f t="shared" si="319"/>
        <v>11316</v>
      </c>
      <c r="AU561" s="3626"/>
      <c r="AV561" s="3626"/>
      <c r="AW561" s="3626"/>
      <c r="AX561" s="3626"/>
      <c r="AY561" s="3626"/>
      <c r="AZ561" s="3626"/>
      <c r="BA561" s="3626"/>
      <c r="BB561" s="3626"/>
      <c r="BC561" s="3626"/>
      <c r="BD561" s="3626"/>
      <c r="BE561" s="3626"/>
      <c r="BF561" s="3626"/>
      <c r="BG561" s="3626"/>
      <c r="BH561" s="3626"/>
      <c r="BI561" s="3626" t="s">
        <v>89</v>
      </c>
      <c r="BJ561" s="3626">
        <f t="shared" si="330"/>
        <v>377.2</v>
      </c>
      <c r="BK561" s="3626">
        <f t="shared" si="331"/>
        <v>1886</v>
      </c>
      <c r="BL561" s="3626">
        <f t="shared" si="332"/>
        <v>1886</v>
      </c>
      <c r="BM561" s="3626">
        <f t="shared" si="333"/>
        <v>1508.8</v>
      </c>
      <c r="BN561" s="3626">
        <f t="shared" si="334"/>
        <v>1886</v>
      </c>
      <c r="BO561" s="4055">
        <f t="shared" si="335"/>
        <v>1886</v>
      </c>
      <c r="BP561" s="3627">
        <f t="shared" si="336"/>
        <v>1886</v>
      </c>
      <c r="BQ561" s="3627">
        <f t="shared" si="303"/>
        <v>11316</v>
      </c>
      <c r="BR561" s="3627">
        <f t="shared" si="304"/>
        <v>0</v>
      </c>
      <c r="BS561" s="4056"/>
      <c r="BT561" s="4057"/>
    </row>
    <row r="562" s="3567" customFormat="1" ht="50" customHeight="1" spans="1:72">
      <c r="A562" s="4112">
        <v>45904</v>
      </c>
      <c r="B562" s="3766" t="s">
        <v>6341</v>
      </c>
      <c r="C562" s="3766" t="s">
        <v>506</v>
      </c>
      <c r="D562" s="3699">
        <v>4500178852</v>
      </c>
      <c r="E562" s="3700" t="s">
        <v>7680</v>
      </c>
      <c r="F562" s="3699" t="s">
        <v>7681</v>
      </c>
      <c r="G562" s="3700" t="s">
        <v>6124</v>
      </c>
      <c r="H562" s="3699" t="s">
        <v>6063</v>
      </c>
      <c r="I562" s="3699">
        <v>468</v>
      </c>
      <c r="J562" s="3699">
        <v>0</v>
      </c>
      <c r="K562" s="3699">
        <v>12</v>
      </c>
      <c r="L562" s="4113">
        <f t="shared" si="329"/>
        <v>39</v>
      </c>
      <c r="M562" s="3707">
        <v>45950</v>
      </c>
      <c r="N562" s="3707">
        <v>45946</v>
      </c>
      <c r="O562" s="3708"/>
      <c r="P562" s="959" t="s">
        <v>82</v>
      </c>
      <c r="Q562" s="3700"/>
      <c r="R562" s="4114"/>
      <c r="S562" s="4114"/>
      <c r="T562" s="4115"/>
      <c r="U562" s="3680" t="s">
        <v>2038</v>
      </c>
      <c r="V562" s="3709" t="s">
        <v>2013</v>
      </c>
      <c r="W562" s="4116"/>
      <c r="X562" s="3711" t="s">
        <v>6345</v>
      </c>
      <c r="Y562" s="3711"/>
      <c r="Z562" s="4117" t="s">
        <v>7682</v>
      </c>
      <c r="AA562" s="3680" t="s">
        <v>7683</v>
      </c>
      <c r="AB562" s="3769" t="s">
        <v>3202</v>
      </c>
      <c r="AC562" s="4118">
        <v>2.375</v>
      </c>
      <c r="AD562" s="3699">
        <f t="shared" ref="AD562:AD579" si="338">AC562*I562</f>
        <v>1111.5</v>
      </c>
      <c r="AE562" s="3715" t="s">
        <v>7684</v>
      </c>
      <c r="AF562" s="3700" t="s">
        <v>6124</v>
      </c>
      <c r="AG562" s="3680" t="s">
        <v>416</v>
      </c>
      <c r="AH562" s="3680"/>
      <c r="AI562" s="3680"/>
      <c r="AJ562" s="3680"/>
      <c r="AK562" s="3700"/>
      <c r="AL562" s="4119">
        <f t="shared" si="337"/>
        <v>468</v>
      </c>
      <c r="AM562" s="4119"/>
      <c r="AN562" s="4119"/>
      <c r="AO562" s="3700"/>
      <c r="AP562" s="3699"/>
      <c r="AQ562" s="4113">
        <f t="shared" si="306"/>
        <v>468</v>
      </c>
      <c r="AR562" s="3759"/>
      <c r="AS562" s="3759"/>
      <c r="AT562" s="4120">
        <f t="shared" si="319"/>
        <v>468</v>
      </c>
      <c r="AU562" s="3759"/>
      <c r="AV562" s="3759"/>
      <c r="AW562" s="3759"/>
      <c r="AX562" s="4120">
        <f>I562/6</f>
        <v>78</v>
      </c>
      <c r="AY562" s="3759"/>
      <c r="AZ562" s="3759"/>
      <c r="BA562" s="3759"/>
      <c r="BB562" s="3759"/>
      <c r="BC562" s="3759"/>
      <c r="BD562" s="3759"/>
      <c r="BE562" s="3759"/>
      <c r="BF562" s="3759"/>
      <c r="BG562" s="3759"/>
      <c r="BH562" s="3759"/>
      <c r="BI562" s="3759" t="s">
        <v>89</v>
      </c>
      <c r="BJ562" s="4120">
        <f t="shared" si="330"/>
        <v>15.6</v>
      </c>
      <c r="BK562" s="4120">
        <f t="shared" si="331"/>
        <v>78</v>
      </c>
      <c r="BL562" s="4120">
        <f t="shared" si="332"/>
        <v>78</v>
      </c>
      <c r="BM562" s="4120">
        <f t="shared" si="333"/>
        <v>62.4</v>
      </c>
      <c r="BN562" s="4120">
        <f t="shared" si="334"/>
        <v>78</v>
      </c>
      <c r="BO562" s="4121">
        <f t="shared" si="335"/>
        <v>78</v>
      </c>
      <c r="BP562" s="4122">
        <f t="shared" si="336"/>
        <v>78</v>
      </c>
      <c r="BQ562" s="4122">
        <f t="shared" ref="BQ562:BQ625" si="339">SUM(BJ562:BP562)</f>
        <v>468</v>
      </c>
      <c r="BR562" s="3721">
        <f t="shared" ref="BR562:BR625" si="340">I562-BQ562</f>
        <v>0</v>
      </c>
      <c r="BS562" s="4123"/>
      <c r="BT562" s="4124"/>
    </row>
    <row r="563" s="3567" customFormat="1" ht="50" customHeight="1" spans="1:72">
      <c r="A563" s="4112">
        <v>45904</v>
      </c>
      <c r="B563" s="3766" t="s">
        <v>6341</v>
      </c>
      <c r="C563" s="3766" t="s">
        <v>506</v>
      </c>
      <c r="D563" s="3699">
        <v>4500178852</v>
      </c>
      <c r="E563" s="3700" t="s">
        <v>7685</v>
      </c>
      <c r="F563" s="3699" t="s">
        <v>7686</v>
      </c>
      <c r="G563" s="3700" t="s">
        <v>6124</v>
      </c>
      <c r="H563" s="3699" t="s">
        <v>6063</v>
      </c>
      <c r="I563" s="3699">
        <v>444</v>
      </c>
      <c r="J563" s="3699">
        <v>0</v>
      </c>
      <c r="K563" s="3699">
        <v>12</v>
      </c>
      <c r="L563" s="4113">
        <f t="shared" si="329"/>
        <v>37</v>
      </c>
      <c r="M563" s="3707">
        <v>45950</v>
      </c>
      <c r="N563" s="3707">
        <v>45946</v>
      </c>
      <c r="O563" s="3708"/>
      <c r="P563" s="959" t="s">
        <v>82</v>
      </c>
      <c r="Q563" s="3700"/>
      <c r="R563" s="4114"/>
      <c r="S563" s="4114"/>
      <c r="T563" s="4115"/>
      <c r="U563" s="3680" t="s">
        <v>2038</v>
      </c>
      <c r="V563" s="3709" t="s">
        <v>2013</v>
      </c>
      <c r="W563" s="4116"/>
      <c r="X563" s="3711" t="s">
        <v>6345</v>
      </c>
      <c r="Y563" s="3711"/>
      <c r="Z563" s="4117" t="s">
        <v>7682</v>
      </c>
      <c r="AA563" s="3680" t="s">
        <v>7683</v>
      </c>
      <c r="AB563" s="3769" t="s">
        <v>3202</v>
      </c>
      <c r="AC563" s="4118">
        <v>2.375</v>
      </c>
      <c r="AD563" s="3699">
        <f t="shared" si="338"/>
        <v>1054.5</v>
      </c>
      <c r="AE563" s="3715" t="s">
        <v>7684</v>
      </c>
      <c r="AF563" s="3700" t="s">
        <v>6124</v>
      </c>
      <c r="AG563" s="3680" t="s">
        <v>416</v>
      </c>
      <c r="AH563" s="3680"/>
      <c r="AI563" s="3680"/>
      <c r="AJ563" s="3680"/>
      <c r="AK563" s="3700"/>
      <c r="AL563" s="4119">
        <f t="shared" si="337"/>
        <v>444</v>
      </c>
      <c r="AM563" s="4119"/>
      <c r="AN563" s="4119"/>
      <c r="AO563" s="3700"/>
      <c r="AP563" s="3699"/>
      <c r="AQ563" s="4113">
        <f t="shared" si="306"/>
        <v>444</v>
      </c>
      <c r="AR563" s="3759"/>
      <c r="AS563" s="3759"/>
      <c r="AT563" s="4120">
        <f t="shared" si="319"/>
        <v>444</v>
      </c>
      <c r="AU563" s="3759"/>
      <c r="AV563" s="3759"/>
      <c r="AW563" s="3759"/>
      <c r="AX563" s="4120">
        <f>I563/6</f>
        <v>74</v>
      </c>
      <c r="AY563" s="3759"/>
      <c r="AZ563" s="3759"/>
      <c r="BA563" s="3759"/>
      <c r="BB563" s="3759"/>
      <c r="BC563" s="3759"/>
      <c r="BD563" s="3759"/>
      <c r="BE563" s="3759"/>
      <c r="BF563" s="3759"/>
      <c r="BG563" s="3759"/>
      <c r="BH563" s="3759"/>
      <c r="BI563" s="3759" t="s">
        <v>89</v>
      </c>
      <c r="BJ563" s="4120">
        <f t="shared" si="330"/>
        <v>14.8</v>
      </c>
      <c r="BK563" s="4120">
        <f t="shared" si="331"/>
        <v>74</v>
      </c>
      <c r="BL563" s="4120">
        <f t="shared" si="332"/>
        <v>74</v>
      </c>
      <c r="BM563" s="4120">
        <f t="shared" si="333"/>
        <v>59.2</v>
      </c>
      <c r="BN563" s="4120">
        <f t="shared" si="334"/>
        <v>74</v>
      </c>
      <c r="BO563" s="4121">
        <f t="shared" si="335"/>
        <v>74</v>
      </c>
      <c r="BP563" s="4122">
        <f t="shared" si="336"/>
        <v>74</v>
      </c>
      <c r="BQ563" s="4122">
        <f t="shared" si="339"/>
        <v>444</v>
      </c>
      <c r="BR563" s="3721">
        <f t="shared" si="340"/>
        <v>0</v>
      </c>
      <c r="BS563" s="4123"/>
      <c r="BT563" s="4124"/>
    </row>
    <row r="564" s="3567" customFormat="1" ht="50" customHeight="1" spans="1:72">
      <c r="A564" s="4112">
        <v>45904</v>
      </c>
      <c r="B564" s="3766" t="s">
        <v>6341</v>
      </c>
      <c r="C564" s="3766" t="s">
        <v>506</v>
      </c>
      <c r="D564" s="3699">
        <v>4500178852</v>
      </c>
      <c r="E564" s="3700" t="s">
        <v>7687</v>
      </c>
      <c r="F564" s="3699" t="s">
        <v>7688</v>
      </c>
      <c r="G564" s="3700" t="s">
        <v>6124</v>
      </c>
      <c r="H564" s="3699" t="s">
        <v>6063</v>
      </c>
      <c r="I564" s="3699">
        <v>564</v>
      </c>
      <c r="J564" s="3699">
        <v>0</v>
      </c>
      <c r="K564" s="3699">
        <v>12</v>
      </c>
      <c r="L564" s="4113">
        <f t="shared" si="329"/>
        <v>47</v>
      </c>
      <c r="M564" s="3707">
        <v>45950</v>
      </c>
      <c r="N564" s="3707">
        <v>45946</v>
      </c>
      <c r="O564" s="3708"/>
      <c r="P564" s="959" t="s">
        <v>82</v>
      </c>
      <c r="Q564" s="3700"/>
      <c r="R564" s="4114"/>
      <c r="S564" s="4114"/>
      <c r="T564" s="4115"/>
      <c r="U564" s="3680" t="s">
        <v>2038</v>
      </c>
      <c r="V564" s="3709" t="s">
        <v>2013</v>
      </c>
      <c r="W564" s="4116"/>
      <c r="X564" s="3711" t="s">
        <v>6345</v>
      </c>
      <c r="Y564" s="3711"/>
      <c r="Z564" s="4117" t="s">
        <v>7682</v>
      </c>
      <c r="AA564" s="3680" t="s">
        <v>7683</v>
      </c>
      <c r="AB564" s="3769" t="s">
        <v>3202</v>
      </c>
      <c r="AC564" s="4118">
        <v>2.375</v>
      </c>
      <c r="AD564" s="3699">
        <f t="shared" si="338"/>
        <v>1339.5</v>
      </c>
      <c r="AE564" s="3715" t="s">
        <v>7684</v>
      </c>
      <c r="AF564" s="3700" t="s">
        <v>6124</v>
      </c>
      <c r="AG564" s="3680" t="s">
        <v>416</v>
      </c>
      <c r="AH564" s="3680"/>
      <c r="AI564" s="3680"/>
      <c r="AJ564" s="3680"/>
      <c r="AK564" s="3700"/>
      <c r="AL564" s="4119">
        <f t="shared" si="337"/>
        <v>564</v>
      </c>
      <c r="AM564" s="4119"/>
      <c r="AN564" s="4119"/>
      <c r="AO564" s="3700"/>
      <c r="AP564" s="3699"/>
      <c r="AQ564" s="4113">
        <f t="shared" si="306"/>
        <v>564</v>
      </c>
      <c r="AR564" s="3759"/>
      <c r="AS564" s="3759"/>
      <c r="AT564" s="4120">
        <f t="shared" si="319"/>
        <v>564</v>
      </c>
      <c r="AU564" s="3759"/>
      <c r="AV564" s="3759"/>
      <c r="AW564" s="3759"/>
      <c r="AX564" s="4120">
        <f>I564/6</f>
        <v>94</v>
      </c>
      <c r="AY564" s="3759"/>
      <c r="AZ564" s="3759"/>
      <c r="BA564" s="3759"/>
      <c r="BB564" s="3759"/>
      <c r="BC564" s="3759"/>
      <c r="BD564" s="3759"/>
      <c r="BE564" s="3759"/>
      <c r="BF564" s="3759"/>
      <c r="BG564" s="3759"/>
      <c r="BH564" s="3759"/>
      <c r="BI564" s="3759" t="s">
        <v>89</v>
      </c>
      <c r="BJ564" s="4120">
        <f t="shared" si="330"/>
        <v>18.8</v>
      </c>
      <c r="BK564" s="4120">
        <f t="shared" si="331"/>
        <v>94</v>
      </c>
      <c r="BL564" s="4120">
        <f t="shared" si="332"/>
        <v>94</v>
      </c>
      <c r="BM564" s="4120">
        <f t="shared" si="333"/>
        <v>75.2</v>
      </c>
      <c r="BN564" s="4120">
        <f t="shared" si="334"/>
        <v>94</v>
      </c>
      <c r="BO564" s="4121">
        <f t="shared" si="335"/>
        <v>94</v>
      </c>
      <c r="BP564" s="4122">
        <f t="shared" si="336"/>
        <v>94</v>
      </c>
      <c r="BQ564" s="4122">
        <f t="shared" si="339"/>
        <v>564</v>
      </c>
      <c r="BR564" s="3721">
        <f t="shared" si="340"/>
        <v>0</v>
      </c>
      <c r="BS564" s="4123"/>
      <c r="BT564" s="4124"/>
    </row>
    <row r="565" s="3567" customFormat="1" ht="50" customHeight="1" spans="1:72">
      <c r="A565" s="4112">
        <v>45904</v>
      </c>
      <c r="B565" s="3766" t="s">
        <v>6341</v>
      </c>
      <c r="C565" s="3766" t="s">
        <v>506</v>
      </c>
      <c r="D565" s="3699">
        <v>4500178852</v>
      </c>
      <c r="E565" s="3700" t="s">
        <v>7689</v>
      </c>
      <c r="F565" s="3699" t="s">
        <v>7690</v>
      </c>
      <c r="G565" s="3700" t="s">
        <v>6124</v>
      </c>
      <c r="H565" s="3699" t="s">
        <v>6063</v>
      </c>
      <c r="I565" s="3699">
        <v>180</v>
      </c>
      <c r="J565" s="3699">
        <v>0</v>
      </c>
      <c r="K565" s="3699">
        <v>12</v>
      </c>
      <c r="L565" s="4113">
        <f t="shared" si="329"/>
        <v>15</v>
      </c>
      <c r="M565" s="3707">
        <v>45950</v>
      </c>
      <c r="N565" s="3707">
        <v>45946</v>
      </c>
      <c r="O565" s="3708"/>
      <c r="P565" s="959" t="s">
        <v>82</v>
      </c>
      <c r="Q565" s="3700"/>
      <c r="R565" s="4114"/>
      <c r="S565" s="4114"/>
      <c r="T565" s="4115"/>
      <c r="U565" s="3680" t="s">
        <v>4954</v>
      </c>
      <c r="V565" s="3709" t="s">
        <v>2013</v>
      </c>
      <c r="W565" s="4116"/>
      <c r="X565" s="3711" t="s">
        <v>6345</v>
      </c>
      <c r="Y565" s="3711"/>
      <c r="Z565" s="4117" t="s">
        <v>7682</v>
      </c>
      <c r="AA565" s="3680" t="s">
        <v>7683</v>
      </c>
      <c r="AB565" s="3769" t="s">
        <v>3202</v>
      </c>
      <c r="AC565" s="4118">
        <v>2.375</v>
      </c>
      <c r="AD565" s="3699">
        <f t="shared" si="338"/>
        <v>427.5</v>
      </c>
      <c r="AE565" s="3715" t="s">
        <v>7691</v>
      </c>
      <c r="AF565" s="3700" t="s">
        <v>6124</v>
      </c>
      <c r="AG565" s="3680" t="s">
        <v>416</v>
      </c>
      <c r="AH565" s="3680"/>
      <c r="AI565" s="3680"/>
      <c r="AJ565" s="3680"/>
      <c r="AK565" s="3700"/>
      <c r="AL565" s="4119">
        <f t="shared" si="337"/>
        <v>180</v>
      </c>
      <c r="AM565" s="4119"/>
      <c r="AN565" s="4119"/>
      <c r="AO565" s="3700"/>
      <c r="AP565" s="3699"/>
      <c r="AQ565" s="4113">
        <f t="shared" si="306"/>
        <v>180</v>
      </c>
      <c r="AR565" s="3759"/>
      <c r="AS565" s="3759"/>
      <c r="AT565" s="4120">
        <f t="shared" si="319"/>
        <v>180</v>
      </c>
      <c r="AU565" s="3759"/>
      <c r="AV565" s="3759"/>
      <c r="AW565" s="3759"/>
      <c r="AX565" s="4120">
        <f>I565/6</f>
        <v>30</v>
      </c>
      <c r="AY565" s="3759"/>
      <c r="AZ565" s="3759"/>
      <c r="BA565" s="3759"/>
      <c r="BB565" s="3759"/>
      <c r="BC565" s="3759"/>
      <c r="BD565" s="3759"/>
      <c r="BE565" s="3759"/>
      <c r="BF565" s="3759"/>
      <c r="BG565" s="3759"/>
      <c r="BH565" s="3759"/>
      <c r="BI565" s="3759" t="s">
        <v>89</v>
      </c>
      <c r="BJ565" s="4120">
        <f t="shared" si="330"/>
        <v>6</v>
      </c>
      <c r="BK565" s="4120">
        <f t="shared" si="331"/>
        <v>30</v>
      </c>
      <c r="BL565" s="4120">
        <f t="shared" si="332"/>
        <v>30</v>
      </c>
      <c r="BM565" s="4120">
        <f t="shared" si="333"/>
        <v>24</v>
      </c>
      <c r="BN565" s="4120">
        <f t="shared" si="334"/>
        <v>30</v>
      </c>
      <c r="BO565" s="4121">
        <f t="shared" si="335"/>
        <v>30</v>
      </c>
      <c r="BP565" s="4122">
        <f t="shared" si="336"/>
        <v>30</v>
      </c>
      <c r="BQ565" s="4122">
        <f t="shared" si="339"/>
        <v>180</v>
      </c>
      <c r="BR565" s="3721">
        <f t="shared" si="340"/>
        <v>0</v>
      </c>
      <c r="BS565" s="4123"/>
      <c r="BT565" s="4124"/>
    </row>
    <row r="566" s="3568" customFormat="1" ht="50" customHeight="1" spans="1:72">
      <c r="A566" s="4125">
        <v>45918</v>
      </c>
      <c r="B566" s="3821" t="s">
        <v>7692</v>
      </c>
      <c r="C566" s="3821"/>
      <c r="D566" s="3736" t="s">
        <v>7693</v>
      </c>
      <c r="E566" s="3735"/>
      <c r="F566" s="3736"/>
      <c r="G566" s="3735" t="s">
        <v>3520</v>
      </c>
      <c r="H566" s="3736" t="s">
        <v>6063</v>
      </c>
      <c r="I566" s="3736">
        <v>3000</v>
      </c>
      <c r="J566" s="3736">
        <v>0</v>
      </c>
      <c r="K566" s="3736">
        <v>24</v>
      </c>
      <c r="L566" s="3736">
        <f t="shared" si="329"/>
        <v>125</v>
      </c>
      <c r="M566" s="3737">
        <v>45950</v>
      </c>
      <c r="N566" s="3737">
        <v>45946</v>
      </c>
      <c r="O566" s="905"/>
      <c r="P566" s="959" t="s">
        <v>82</v>
      </c>
      <c r="Q566" s="3735"/>
      <c r="R566" s="4126"/>
      <c r="S566" s="4126"/>
      <c r="T566" s="4127"/>
      <c r="U566" s="3625"/>
      <c r="V566" s="3738" t="s">
        <v>98</v>
      </c>
      <c r="W566" s="4128"/>
      <c r="X566" s="3739" t="s">
        <v>7694</v>
      </c>
      <c r="Y566" s="3739"/>
      <c r="Z566" s="4129"/>
      <c r="AA566" s="3625" t="s">
        <v>7695</v>
      </c>
      <c r="AB566" s="3821" t="s">
        <v>7696</v>
      </c>
      <c r="AC566" s="4130">
        <v>2.1075</v>
      </c>
      <c r="AD566" s="3736">
        <f t="shared" si="338"/>
        <v>6322.5</v>
      </c>
      <c r="AE566" s="3742" t="s">
        <v>7697</v>
      </c>
      <c r="AF566" s="3735" t="s">
        <v>3520</v>
      </c>
      <c r="AG566" s="3625" t="s">
        <v>416</v>
      </c>
      <c r="AH566" s="3625"/>
      <c r="AI566" s="3625"/>
      <c r="AJ566" s="3625"/>
      <c r="AK566" s="3735"/>
      <c r="AL566" s="4131">
        <f t="shared" si="337"/>
        <v>3000</v>
      </c>
      <c r="AM566" s="4131"/>
      <c r="AN566" s="4131"/>
      <c r="AO566" s="3735"/>
      <c r="AP566" s="3736"/>
      <c r="AQ566" s="4132">
        <f t="shared" si="306"/>
        <v>3000</v>
      </c>
      <c r="AR566" s="3750"/>
      <c r="AS566" s="3750"/>
      <c r="AT566" s="4133">
        <f t="shared" si="319"/>
        <v>3000</v>
      </c>
      <c r="AU566" s="3750"/>
      <c r="AV566" s="3750"/>
      <c r="AW566" s="3750"/>
      <c r="AX566" s="4133"/>
      <c r="AY566" s="3750"/>
      <c r="AZ566" s="3750"/>
      <c r="BA566" s="3750"/>
      <c r="BB566" s="3750"/>
      <c r="BC566" s="3750"/>
      <c r="BD566" s="3750"/>
      <c r="BE566" s="3750"/>
      <c r="BF566" s="3750"/>
      <c r="BG566" s="3750"/>
      <c r="BH566" s="3750"/>
      <c r="BI566" s="3750" t="s">
        <v>89</v>
      </c>
      <c r="BJ566" s="4133">
        <f t="shared" si="330"/>
        <v>100</v>
      </c>
      <c r="BK566" s="4133">
        <f t="shared" si="331"/>
        <v>500</v>
      </c>
      <c r="BL566" s="4133">
        <f t="shared" si="332"/>
        <v>500</v>
      </c>
      <c r="BM566" s="4133">
        <f t="shared" si="333"/>
        <v>400</v>
      </c>
      <c r="BN566" s="4133">
        <f t="shared" si="334"/>
        <v>500</v>
      </c>
      <c r="BO566" s="4134">
        <f t="shared" si="335"/>
        <v>500</v>
      </c>
      <c r="BP566" s="4135">
        <f t="shared" si="336"/>
        <v>500</v>
      </c>
      <c r="BQ566" s="4135">
        <f t="shared" si="339"/>
        <v>3000</v>
      </c>
      <c r="BR566" s="3748">
        <f t="shared" si="340"/>
        <v>0</v>
      </c>
      <c r="BS566" s="4136"/>
      <c r="BT566" s="4137"/>
    </row>
    <row r="567" s="3568" customFormat="1" ht="50" customHeight="1" spans="1:72">
      <c r="A567" s="4125">
        <v>45876</v>
      </c>
      <c r="B567" s="3821" t="s">
        <v>1617</v>
      </c>
      <c r="C567" s="3821" t="s">
        <v>91</v>
      </c>
      <c r="D567" s="3736">
        <v>4500176188</v>
      </c>
      <c r="E567" s="3735" t="s">
        <v>2101</v>
      </c>
      <c r="F567" s="3735" t="s">
        <v>7698</v>
      </c>
      <c r="G567" s="3735" t="s">
        <v>3520</v>
      </c>
      <c r="H567" s="3736" t="s">
        <v>6063</v>
      </c>
      <c r="I567" s="3736">
        <v>504</v>
      </c>
      <c r="J567" s="3736">
        <v>0</v>
      </c>
      <c r="K567" s="3736">
        <v>24</v>
      </c>
      <c r="L567" s="3736">
        <f t="shared" si="329"/>
        <v>21</v>
      </c>
      <c r="M567" s="3737">
        <v>45958</v>
      </c>
      <c r="N567" s="3737">
        <v>45954</v>
      </c>
      <c r="O567" s="905"/>
      <c r="P567" s="959" t="s">
        <v>82</v>
      </c>
      <c r="Q567" s="3735"/>
      <c r="R567" s="4126"/>
      <c r="S567" s="4138"/>
      <c r="T567" s="4139"/>
      <c r="U567" s="4140" t="s">
        <v>269</v>
      </c>
      <c r="V567" s="3738" t="s">
        <v>2013</v>
      </c>
      <c r="W567" s="4128"/>
      <c r="X567" s="3739" t="s">
        <v>98</v>
      </c>
      <c r="Y567" s="3739" t="s">
        <v>2103</v>
      </c>
      <c r="Z567" s="3740"/>
      <c r="AA567" s="3625" t="s">
        <v>1621</v>
      </c>
      <c r="AB567" s="3823" t="s">
        <v>393</v>
      </c>
      <c r="AC567" s="4130">
        <v>1.321</v>
      </c>
      <c r="AD567" s="3736">
        <f t="shared" si="338"/>
        <v>665.784</v>
      </c>
      <c r="AE567" s="3742" t="s">
        <v>2104</v>
      </c>
      <c r="AF567" s="3735" t="s">
        <v>3520</v>
      </c>
      <c r="AG567" s="3625" t="s">
        <v>416</v>
      </c>
      <c r="AH567" s="3625"/>
      <c r="AI567" s="3625"/>
      <c r="AJ567" s="3625"/>
      <c r="AK567" s="3735"/>
      <c r="AL567" s="3735">
        <f t="shared" si="337"/>
        <v>504</v>
      </c>
      <c r="AM567" s="3735"/>
      <c r="AN567" s="3735"/>
      <c r="AO567" s="3735"/>
      <c r="AP567" s="3736"/>
      <c r="AQ567" s="3736">
        <f t="shared" si="306"/>
        <v>504</v>
      </c>
      <c r="AR567" s="3750"/>
      <c r="AS567" s="3750"/>
      <c r="AT567" s="3750">
        <f t="shared" si="319"/>
        <v>504</v>
      </c>
      <c r="AU567" s="3750"/>
      <c r="AV567" s="3750"/>
      <c r="AW567" s="3750"/>
      <c r="AX567" s="3750"/>
      <c r="AY567" s="3750"/>
      <c r="AZ567" s="3750"/>
      <c r="BA567" s="3750"/>
      <c r="BB567" s="3750"/>
      <c r="BC567" s="3750"/>
      <c r="BD567" s="3750"/>
      <c r="BE567" s="3750"/>
      <c r="BF567" s="3750"/>
      <c r="BG567" s="3750"/>
      <c r="BH567" s="3750"/>
      <c r="BI567" s="3750" t="s">
        <v>89</v>
      </c>
      <c r="BJ567" s="3750">
        <f t="shared" si="330"/>
        <v>16.8</v>
      </c>
      <c r="BK567" s="3750">
        <f t="shared" si="331"/>
        <v>84</v>
      </c>
      <c r="BL567" s="3750">
        <f t="shared" si="332"/>
        <v>84</v>
      </c>
      <c r="BM567" s="3750">
        <f t="shared" si="333"/>
        <v>67.2</v>
      </c>
      <c r="BN567" s="3750">
        <f t="shared" si="334"/>
        <v>84</v>
      </c>
      <c r="BO567" s="4141">
        <f t="shared" si="335"/>
        <v>84</v>
      </c>
      <c r="BP567" s="3748">
        <f t="shared" si="336"/>
        <v>84</v>
      </c>
      <c r="BQ567" s="3748">
        <f t="shared" si="339"/>
        <v>504</v>
      </c>
      <c r="BR567" s="3748">
        <f t="shared" si="340"/>
        <v>0</v>
      </c>
      <c r="BS567" s="4136"/>
      <c r="BT567" s="4137"/>
    </row>
    <row r="568" s="3568" customFormat="1" ht="50" customHeight="1" spans="1:72">
      <c r="A568" s="4125">
        <v>45895</v>
      </c>
      <c r="B568" s="3821" t="s">
        <v>5013</v>
      </c>
      <c r="C568" s="3821" t="s">
        <v>738</v>
      </c>
      <c r="D568" s="3736">
        <v>4500177865</v>
      </c>
      <c r="E568" s="3735" t="s">
        <v>5014</v>
      </c>
      <c r="F568" s="3735" t="s">
        <v>7699</v>
      </c>
      <c r="G568" s="3735" t="s">
        <v>6124</v>
      </c>
      <c r="H568" s="3736" t="s">
        <v>6063</v>
      </c>
      <c r="I568" s="3736">
        <v>1356</v>
      </c>
      <c r="J568" s="3736">
        <v>0</v>
      </c>
      <c r="K568" s="3736">
        <v>12</v>
      </c>
      <c r="L568" s="3736">
        <f t="shared" si="329"/>
        <v>113</v>
      </c>
      <c r="M568" s="3737">
        <v>45958</v>
      </c>
      <c r="N568" s="3737">
        <v>45954</v>
      </c>
      <c r="O568" s="905"/>
      <c r="P568" s="959" t="s">
        <v>82</v>
      </c>
      <c r="Q568" s="3735"/>
      <c r="R568" s="3735"/>
      <c r="S568" s="3735"/>
      <c r="T568" s="4142"/>
      <c r="U568" s="3625" t="s">
        <v>7670</v>
      </c>
      <c r="V568" s="3738" t="s">
        <v>5016</v>
      </c>
      <c r="W568" s="4128"/>
      <c r="X568" s="3739" t="s">
        <v>7700</v>
      </c>
      <c r="Y568" s="3739"/>
      <c r="Z568" s="3740"/>
      <c r="AA568" s="3625" t="s">
        <v>7701</v>
      </c>
      <c r="AB568" s="3823" t="s">
        <v>1257</v>
      </c>
      <c r="AC568" s="4130">
        <v>2.2547</v>
      </c>
      <c r="AD568" s="3736">
        <f t="shared" si="338"/>
        <v>3057.3732</v>
      </c>
      <c r="AE568" s="3742" t="s">
        <v>7702</v>
      </c>
      <c r="AF568" s="3735" t="s">
        <v>6126</v>
      </c>
      <c r="AG568" s="3625" t="s">
        <v>416</v>
      </c>
      <c r="AH568" s="3625"/>
      <c r="AI568" s="3625"/>
      <c r="AJ568" s="3625"/>
      <c r="AK568" s="3735"/>
      <c r="AL568" s="4131"/>
      <c r="AM568" s="4131"/>
      <c r="AN568" s="4131">
        <f>I568</f>
        <v>1356</v>
      </c>
      <c r="AO568" s="3735"/>
      <c r="AP568" s="3736"/>
      <c r="AQ568" s="4132">
        <f t="shared" ref="AQ568:AQ577" si="341">I568</f>
        <v>1356</v>
      </c>
      <c r="AR568" s="3750"/>
      <c r="AS568" s="3750"/>
      <c r="AT568" s="4133">
        <f t="shared" si="319"/>
        <v>1356</v>
      </c>
      <c r="AU568" s="3750"/>
      <c r="AV568" s="3750"/>
      <c r="AW568" s="3750"/>
      <c r="AX568" s="4133">
        <f>I568/6</f>
        <v>226</v>
      </c>
      <c r="AY568" s="3750"/>
      <c r="AZ568" s="3750"/>
      <c r="BA568" s="3750"/>
      <c r="BB568" s="3750"/>
      <c r="BC568" s="3750"/>
      <c r="BD568" s="3750"/>
      <c r="BE568" s="3750"/>
      <c r="BF568" s="3750"/>
      <c r="BG568" s="3750"/>
      <c r="BH568" s="3750"/>
      <c r="BI568" s="3750" t="s">
        <v>89</v>
      </c>
      <c r="BJ568" s="4133">
        <f t="shared" si="330"/>
        <v>45.2</v>
      </c>
      <c r="BK568" s="4133">
        <f t="shared" si="331"/>
        <v>226</v>
      </c>
      <c r="BL568" s="4133">
        <f t="shared" si="332"/>
        <v>226</v>
      </c>
      <c r="BM568" s="4133">
        <f t="shared" si="333"/>
        <v>180.8</v>
      </c>
      <c r="BN568" s="4133">
        <f t="shared" si="334"/>
        <v>226</v>
      </c>
      <c r="BO568" s="4134">
        <f t="shared" si="335"/>
        <v>226</v>
      </c>
      <c r="BP568" s="4135">
        <f t="shared" si="336"/>
        <v>226</v>
      </c>
      <c r="BQ568" s="4135">
        <f t="shared" si="339"/>
        <v>1356</v>
      </c>
      <c r="BR568" s="3748">
        <f t="shared" si="340"/>
        <v>0</v>
      </c>
      <c r="BS568" s="4136"/>
      <c r="BT568" s="4137"/>
    </row>
    <row r="569" s="3568" customFormat="1" ht="50" customHeight="1" spans="1:72">
      <c r="A569" s="4125">
        <v>45917</v>
      </c>
      <c r="B569" s="3821" t="s">
        <v>7703</v>
      </c>
      <c r="C569" s="3821" t="s">
        <v>6969</v>
      </c>
      <c r="D569" s="3736">
        <v>4500179713</v>
      </c>
      <c r="E569" s="3735"/>
      <c r="F569" s="3735" t="s">
        <v>7704</v>
      </c>
      <c r="G569" s="3735" t="s">
        <v>6228</v>
      </c>
      <c r="H569" s="3736" t="s">
        <v>6063</v>
      </c>
      <c r="I569" s="3736">
        <v>300</v>
      </c>
      <c r="J569" s="3736">
        <v>0</v>
      </c>
      <c r="K569" s="3736">
        <v>6</v>
      </c>
      <c r="L569" s="4132">
        <f t="shared" si="329"/>
        <v>50</v>
      </c>
      <c r="M569" s="3737">
        <v>45966</v>
      </c>
      <c r="N569" s="3737">
        <v>45962</v>
      </c>
      <c r="O569" s="905"/>
      <c r="P569" s="959" t="s">
        <v>82</v>
      </c>
      <c r="Q569" s="3735"/>
      <c r="R569" s="3735"/>
      <c r="S569" s="3735"/>
      <c r="T569" s="4142"/>
      <c r="U569" s="3625" t="s">
        <v>7705</v>
      </c>
      <c r="V569" s="3738" t="s">
        <v>7706</v>
      </c>
      <c r="W569" s="4128"/>
      <c r="X569" s="3739" t="s">
        <v>7335</v>
      </c>
      <c r="Y569" s="3739"/>
      <c r="Z569" s="3740"/>
      <c r="AA569" s="3625" t="s">
        <v>7707</v>
      </c>
      <c r="AB569" s="3823" t="s">
        <v>6785</v>
      </c>
      <c r="AC569" s="4130">
        <v>2.2144</v>
      </c>
      <c r="AD569" s="3736">
        <f t="shared" si="338"/>
        <v>664.32</v>
      </c>
      <c r="AE569" s="3742" t="s">
        <v>7708</v>
      </c>
      <c r="AF569" s="3735" t="s">
        <v>7508</v>
      </c>
      <c r="AG569" s="3625" t="s">
        <v>416</v>
      </c>
      <c r="AH569" s="3625"/>
      <c r="AI569" s="3625"/>
      <c r="AJ569" s="3625"/>
      <c r="AK569" s="3735"/>
      <c r="AL569" s="4131"/>
      <c r="AM569" s="4131"/>
      <c r="AN569" s="4131">
        <f>I569</f>
        <v>300</v>
      </c>
      <c r="AO569" s="3735"/>
      <c r="AP569" s="3736"/>
      <c r="AQ569" s="4132">
        <f t="shared" si="341"/>
        <v>300</v>
      </c>
      <c r="AR569" s="3750"/>
      <c r="AS569" s="3750"/>
      <c r="AT569" s="4133"/>
      <c r="AU569" s="3750"/>
      <c r="AV569" s="4133">
        <f>I569</f>
        <v>300</v>
      </c>
      <c r="AW569" s="3750"/>
      <c r="AX569" s="4133"/>
      <c r="AY569" s="3750"/>
      <c r="AZ569" s="3750">
        <f>I569/6</f>
        <v>50</v>
      </c>
      <c r="BA569" s="3750"/>
      <c r="BB569" s="3750"/>
      <c r="BC569" s="3750"/>
      <c r="BD569" s="3750"/>
      <c r="BE569" s="3750"/>
      <c r="BF569" s="3750"/>
      <c r="BG569" s="3750"/>
      <c r="BH569" s="3750"/>
      <c r="BI569" s="3750" t="s">
        <v>89</v>
      </c>
      <c r="BJ569" s="3750">
        <f t="shared" si="330"/>
        <v>10</v>
      </c>
      <c r="BK569" s="3750">
        <f t="shared" si="331"/>
        <v>50</v>
      </c>
      <c r="BL569" s="3750">
        <f t="shared" si="332"/>
        <v>50</v>
      </c>
      <c r="BM569" s="3750">
        <f t="shared" si="333"/>
        <v>40</v>
      </c>
      <c r="BN569" s="3750">
        <f t="shared" si="334"/>
        <v>50</v>
      </c>
      <c r="BO569" s="4141">
        <f t="shared" si="335"/>
        <v>50</v>
      </c>
      <c r="BP569" s="3748">
        <f t="shared" si="336"/>
        <v>50</v>
      </c>
      <c r="BQ569" s="3748">
        <f t="shared" si="339"/>
        <v>300</v>
      </c>
      <c r="BR569" s="3748">
        <f t="shared" si="340"/>
        <v>0</v>
      </c>
      <c r="BS569" s="4136"/>
      <c r="BT569" s="4137"/>
    </row>
    <row r="570" s="3568" customFormat="1" ht="50" customHeight="1" spans="1:72">
      <c r="A570" s="4125">
        <v>45917</v>
      </c>
      <c r="B570" s="3821" t="s">
        <v>6815</v>
      </c>
      <c r="C570" s="3821" t="s">
        <v>6781</v>
      </c>
      <c r="D570" s="3736">
        <v>4500179668</v>
      </c>
      <c r="E570" s="3735">
        <v>32693010</v>
      </c>
      <c r="F570" s="3735" t="s">
        <v>7709</v>
      </c>
      <c r="G570" s="3735" t="s">
        <v>6228</v>
      </c>
      <c r="H570" s="3736" t="s">
        <v>6063</v>
      </c>
      <c r="I570" s="3736">
        <v>516</v>
      </c>
      <c r="J570" s="3736">
        <v>0</v>
      </c>
      <c r="K570" s="3736">
        <v>6</v>
      </c>
      <c r="L570" s="4132">
        <f t="shared" si="329"/>
        <v>86</v>
      </c>
      <c r="M570" s="3737">
        <v>45960</v>
      </c>
      <c r="N570" s="3737">
        <v>45957</v>
      </c>
      <c r="O570" s="905"/>
      <c r="P570" s="959" t="s">
        <v>82</v>
      </c>
      <c r="Q570" s="3735"/>
      <c r="R570" s="3735"/>
      <c r="S570" s="3735"/>
      <c r="T570" s="4142"/>
      <c r="U570" s="3625" t="s">
        <v>4998</v>
      </c>
      <c r="V570" s="3738" t="s">
        <v>4977</v>
      </c>
      <c r="W570" s="4128"/>
      <c r="X570" s="3739" t="s">
        <v>7710</v>
      </c>
      <c r="Y570" s="3739"/>
      <c r="Z570" s="3740"/>
      <c r="AA570" s="3625" t="s">
        <v>7711</v>
      </c>
      <c r="AB570" s="3823" t="s">
        <v>4665</v>
      </c>
      <c r="AC570" s="4130">
        <v>2.2144</v>
      </c>
      <c r="AD570" s="3736">
        <f t="shared" si="338"/>
        <v>1142.6304</v>
      </c>
      <c r="AE570" s="3742" t="s">
        <v>7712</v>
      </c>
      <c r="AF570" s="3735" t="s">
        <v>7508</v>
      </c>
      <c r="AG570" s="3625" t="s">
        <v>416</v>
      </c>
      <c r="AH570" s="3625"/>
      <c r="AI570" s="3625"/>
      <c r="AJ570" s="3625"/>
      <c r="AK570" s="3735"/>
      <c r="AL570" s="4131"/>
      <c r="AM570" s="4131"/>
      <c r="AN570" s="4131">
        <f>I570</f>
        <v>516</v>
      </c>
      <c r="AO570" s="3735"/>
      <c r="AP570" s="3736"/>
      <c r="AQ570" s="4132">
        <f t="shared" si="341"/>
        <v>516</v>
      </c>
      <c r="AR570" s="3750"/>
      <c r="AS570" s="3750"/>
      <c r="AT570" s="4133"/>
      <c r="AU570" s="3750"/>
      <c r="AV570" s="4133">
        <f>I570</f>
        <v>516</v>
      </c>
      <c r="AW570" s="3750"/>
      <c r="AX570" s="4133"/>
      <c r="AY570" s="3750"/>
      <c r="AZ570" s="3750">
        <f>I570/6</f>
        <v>86</v>
      </c>
      <c r="BA570" s="3750"/>
      <c r="BB570" s="3750"/>
      <c r="BC570" s="3750"/>
      <c r="BD570" s="3750"/>
      <c r="BE570" s="3750"/>
      <c r="BF570" s="3750"/>
      <c r="BG570" s="3750"/>
      <c r="BH570" s="3750"/>
      <c r="BI570" s="3750" t="s">
        <v>89</v>
      </c>
      <c r="BJ570" s="3750">
        <f t="shared" si="330"/>
        <v>17.2</v>
      </c>
      <c r="BK570" s="3750">
        <f t="shared" si="331"/>
        <v>86</v>
      </c>
      <c r="BL570" s="3750">
        <f t="shared" si="332"/>
        <v>86</v>
      </c>
      <c r="BM570" s="3750">
        <f t="shared" si="333"/>
        <v>68.8</v>
      </c>
      <c r="BN570" s="3750">
        <f t="shared" si="334"/>
        <v>86</v>
      </c>
      <c r="BO570" s="4141">
        <f t="shared" si="335"/>
        <v>86</v>
      </c>
      <c r="BP570" s="3748">
        <f t="shared" si="336"/>
        <v>86</v>
      </c>
      <c r="BQ570" s="3748">
        <f t="shared" si="339"/>
        <v>516</v>
      </c>
      <c r="BR570" s="3748">
        <f t="shared" si="340"/>
        <v>0</v>
      </c>
      <c r="BS570" s="4136"/>
      <c r="BT570" s="4137"/>
    </row>
    <row r="571" s="3568" customFormat="1" ht="50" customHeight="1" spans="1:72">
      <c r="A571" s="4125">
        <v>45905</v>
      </c>
      <c r="B571" s="3821" t="s">
        <v>7452</v>
      </c>
      <c r="C571" s="3821" t="s">
        <v>91</v>
      </c>
      <c r="D571" s="3736">
        <v>4500178900</v>
      </c>
      <c r="E571" s="3735" t="s">
        <v>7713</v>
      </c>
      <c r="F571" s="3736" t="s">
        <v>7714</v>
      </c>
      <c r="G571" s="3735" t="s">
        <v>6298</v>
      </c>
      <c r="H571" s="3736" t="s">
        <v>6063</v>
      </c>
      <c r="I571" s="3736">
        <v>68000</v>
      </c>
      <c r="J571" s="3736">
        <v>0</v>
      </c>
      <c r="K571" s="3736">
        <v>4</v>
      </c>
      <c r="L571" s="4132">
        <f t="shared" si="329"/>
        <v>17000</v>
      </c>
      <c r="M571" s="3737">
        <v>45953</v>
      </c>
      <c r="N571" s="3737">
        <v>45950</v>
      </c>
      <c r="O571" s="905" t="s">
        <v>7715</v>
      </c>
      <c r="P571" s="959" t="s">
        <v>82</v>
      </c>
      <c r="Q571" s="3735"/>
      <c r="R571" s="4126"/>
      <c r="S571" s="4126"/>
      <c r="T571" s="4127"/>
      <c r="U571" s="3625"/>
      <c r="V571" s="3738" t="s">
        <v>2096</v>
      </c>
      <c r="W571" s="4143"/>
      <c r="X571" s="3739" t="s">
        <v>7716</v>
      </c>
      <c r="Y571" s="3739"/>
      <c r="Z571" s="3739" t="s">
        <v>7717</v>
      </c>
      <c r="AA571" s="3625" t="s">
        <v>7718</v>
      </c>
      <c r="AB571" s="3823" t="s">
        <v>6651</v>
      </c>
      <c r="AC571" s="4130">
        <v>1.3216</v>
      </c>
      <c r="AD571" s="3736">
        <f t="shared" si="338"/>
        <v>89868.8</v>
      </c>
      <c r="AE571" s="4144" t="s">
        <v>7719</v>
      </c>
      <c r="AF571" s="3735" t="s">
        <v>6298</v>
      </c>
      <c r="AG571" s="3625" t="s">
        <v>416</v>
      </c>
      <c r="AH571" s="3625"/>
      <c r="AI571" s="3625"/>
      <c r="AJ571" s="3625"/>
      <c r="AK571" s="3735"/>
      <c r="AL571" s="4131">
        <f>I571</f>
        <v>68000</v>
      </c>
      <c r="AM571" s="4131"/>
      <c r="AN571" s="4131"/>
      <c r="AO571" s="3735"/>
      <c r="AP571" s="3736"/>
      <c r="AQ571" s="4132">
        <f t="shared" si="341"/>
        <v>68000</v>
      </c>
      <c r="AR571" s="3750"/>
      <c r="AS571" s="3750"/>
      <c r="AT571" s="4133">
        <f t="shared" ref="AT571:AT576" si="342">I571</f>
        <v>68000</v>
      </c>
      <c r="AU571" s="3750"/>
      <c r="AV571" s="3750"/>
      <c r="AW571" s="3750"/>
      <c r="AX571" s="4133"/>
      <c r="AY571" s="3750"/>
      <c r="AZ571" s="3750"/>
      <c r="BA571" s="3750"/>
      <c r="BB571" s="3750"/>
      <c r="BC571" s="3750"/>
      <c r="BD571" s="4133">
        <f>I571/4</f>
        <v>17000</v>
      </c>
      <c r="BE571" s="3750"/>
      <c r="BF571" s="3750"/>
      <c r="BG571" s="3750"/>
      <c r="BH571" s="3750"/>
      <c r="BI571" s="3750" t="s">
        <v>89</v>
      </c>
      <c r="BJ571" s="4133">
        <f t="shared" si="330"/>
        <v>2266.66666666667</v>
      </c>
      <c r="BK571" s="4133">
        <f t="shared" si="331"/>
        <v>11333.3333333333</v>
      </c>
      <c r="BL571" s="4133">
        <f t="shared" si="332"/>
        <v>11333.3333333333</v>
      </c>
      <c r="BM571" s="4133">
        <f t="shared" si="333"/>
        <v>9066.66666666667</v>
      </c>
      <c r="BN571" s="4133">
        <f t="shared" si="334"/>
        <v>11333.3333333333</v>
      </c>
      <c r="BO571" s="4134">
        <f t="shared" si="335"/>
        <v>11333.3333333333</v>
      </c>
      <c r="BP571" s="4135">
        <f t="shared" si="336"/>
        <v>11333.3333333333</v>
      </c>
      <c r="BQ571" s="4135">
        <f t="shared" si="339"/>
        <v>68000</v>
      </c>
      <c r="BR571" s="4135">
        <f t="shared" si="340"/>
        <v>0</v>
      </c>
      <c r="BS571" s="4136"/>
      <c r="BT571" s="4137"/>
    </row>
    <row r="572" s="3568" customFormat="1" ht="50" customHeight="1" spans="1:72">
      <c r="A572" s="4125">
        <v>45922</v>
      </c>
      <c r="B572" s="3821" t="s">
        <v>2908</v>
      </c>
      <c r="C572" s="3821" t="s">
        <v>341</v>
      </c>
      <c r="D572" s="3736">
        <v>4500180115</v>
      </c>
      <c r="E572" s="3735"/>
      <c r="F572" s="3735" t="s">
        <v>7720</v>
      </c>
      <c r="G572" s="3735" t="s">
        <v>6298</v>
      </c>
      <c r="H572" s="3736" t="s">
        <v>6063</v>
      </c>
      <c r="I572" s="3736">
        <v>2000</v>
      </c>
      <c r="J572" s="3736">
        <v>0</v>
      </c>
      <c r="K572" s="3736">
        <v>4</v>
      </c>
      <c r="L572" s="4132">
        <f t="shared" si="329"/>
        <v>500</v>
      </c>
      <c r="M572" s="3737">
        <v>45960</v>
      </c>
      <c r="N572" s="3737">
        <v>45957</v>
      </c>
      <c r="O572" s="905"/>
      <c r="P572" s="959" t="s">
        <v>82</v>
      </c>
      <c r="Q572" s="3735"/>
      <c r="R572" s="3735"/>
      <c r="S572" s="3735"/>
      <c r="T572" s="4142"/>
      <c r="U572" s="3625" t="s">
        <v>4983</v>
      </c>
      <c r="V572" s="3738" t="s">
        <v>5023</v>
      </c>
      <c r="W572" s="4128"/>
      <c r="X572" s="3739" t="s">
        <v>98</v>
      </c>
      <c r="Y572" s="3739"/>
      <c r="Z572" s="3740"/>
      <c r="AA572" s="3625" t="s">
        <v>7721</v>
      </c>
      <c r="AB572" s="3823" t="s">
        <v>4665</v>
      </c>
      <c r="AC572" s="4130">
        <v>2.2441</v>
      </c>
      <c r="AD572" s="3736">
        <f t="shared" si="338"/>
        <v>4488.2</v>
      </c>
      <c r="AE572" s="3742" t="s">
        <v>7722</v>
      </c>
      <c r="AF572" s="3735" t="s">
        <v>6298</v>
      </c>
      <c r="AG572" s="3625" t="s">
        <v>416</v>
      </c>
      <c r="AH572" s="3625"/>
      <c r="AI572" s="3625"/>
      <c r="AJ572" s="3625"/>
      <c r="AK572" s="3735"/>
      <c r="AL572" s="4131">
        <f>I572</f>
        <v>2000</v>
      </c>
      <c r="AM572" s="4131"/>
      <c r="AN572" s="4131"/>
      <c r="AO572" s="3735"/>
      <c r="AP572" s="3736"/>
      <c r="AQ572" s="4132">
        <f t="shared" si="341"/>
        <v>2000</v>
      </c>
      <c r="AR572" s="3750"/>
      <c r="AS572" s="3750"/>
      <c r="AT572" s="4133">
        <f t="shared" si="342"/>
        <v>2000</v>
      </c>
      <c r="AU572" s="3750"/>
      <c r="AV572" s="4133"/>
      <c r="AW572" s="3750"/>
      <c r="AX572" s="4133"/>
      <c r="AY572" s="3750"/>
      <c r="AZ572" s="3750"/>
      <c r="BA572" s="3750"/>
      <c r="BB572" s="3750"/>
      <c r="BC572" s="3750"/>
      <c r="BD572" s="3750">
        <f>I572/4</f>
        <v>500</v>
      </c>
      <c r="BE572" s="3750"/>
      <c r="BF572" s="3750"/>
      <c r="BG572" s="3750"/>
      <c r="BH572" s="3750"/>
      <c r="BI572" s="3750" t="s">
        <v>89</v>
      </c>
      <c r="BJ572" s="4133">
        <f t="shared" si="330"/>
        <v>66.6666666666667</v>
      </c>
      <c r="BK572" s="4133">
        <f t="shared" si="331"/>
        <v>333.333333333333</v>
      </c>
      <c r="BL572" s="4133">
        <f t="shared" si="332"/>
        <v>333.333333333333</v>
      </c>
      <c r="BM572" s="4133">
        <f t="shared" si="333"/>
        <v>266.666666666667</v>
      </c>
      <c r="BN572" s="4133">
        <f t="shared" si="334"/>
        <v>333.333333333333</v>
      </c>
      <c r="BO572" s="4134">
        <f t="shared" si="335"/>
        <v>333.333333333333</v>
      </c>
      <c r="BP572" s="4135">
        <f t="shared" si="336"/>
        <v>333.333333333333</v>
      </c>
      <c r="BQ572" s="4135">
        <f t="shared" si="339"/>
        <v>2000</v>
      </c>
      <c r="BR572" s="4135">
        <f t="shared" si="340"/>
        <v>0</v>
      </c>
      <c r="BS572" s="4136"/>
      <c r="BT572" s="4137"/>
    </row>
    <row r="573" s="3567" customFormat="1" ht="50" customHeight="1" spans="1:72">
      <c r="A573" s="4112">
        <v>45924</v>
      </c>
      <c r="B573" s="3766" t="s">
        <v>340</v>
      </c>
      <c r="C573" s="3766" t="s">
        <v>341</v>
      </c>
      <c r="D573" s="3699">
        <v>4500180247</v>
      </c>
      <c r="E573" s="3700">
        <v>135361</v>
      </c>
      <c r="F573" s="3700" t="s">
        <v>7723</v>
      </c>
      <c r="G573" s="3700" t="s">
        <v>3520</v>
      </c>
      <c r="H573" s="3699" t="s">
        <v>6063</v>
      </c>
      <c r="I573" s="3699">
        <v>3000</v>
      </c>
      <c r="J573" s="3699">
        <v>0</v>
      </c>
      <c r="K573" s="3699">
        <v>24</v>
      </c>
      <c r="L573" s="3699">
        <f t="shared" si="329"/>
        <v>125</v>
      </c>
      <c r="M573" s="3707">
        <v>45961</v>
      </c>
      <c r="N573" s="3707">
        <v>45957</v>
      </c>
      <c r="O573" s="3708"/>
      <c r="P573" s="959" t="s">
        <v>82</v>
      </c>
      <c r="Q573" s="3700"/>
      <c r="R573" s="3700"/>
      <c r="S573" s="3700"/>
      <c r="T573" s="4145"/>
      <c r="U573" s="3680" t="s">
        <v>267</v>
      </c>
      <c r="V573" s="3709" t="s">
        <v>5028</v>
      </c>
      <c r="W573" s="3710"/>
      <c r="X573" s="3711" t="s">
        <v>7724</v>
      </c>
      <c r="Y573" s="3711"/>
      <c r="Z573" s="3712"/>
      <c r="AA573" s="3680" t="s">
        <v>7725</v>
      </c>
      <c r="AB573" s="3769" t="s">
        <v>559</v>
      </c>
      <c r="AC573" s="4118">
        <v>2.1931</v>
      </c>
      <c r="AD573" s="3699">
        <f t="shared" si="338"/>
        <v>6579.3</v>
      </c>
      <c r="AE573" s="3715" t="s">
        <v>7726</v>
      </c>
      <c r="AF573" s="3700" t="s">
        <v>3520</v>
      </c>
      <c r="AG573" s="3680" t="s">
        <v>416</v>
      </c>
      <c r="AH573" s="3680"/>
      <c r="AI573" s="3680"/>
      <c r="AJ573" s="3680"/>
      <c r="AK573" s="3700"/>
      <c r="AL573" s="4119">
        <f>I573</f>
        <v>3000</v>
      </c>
      <c r="AM573" s="4119"/>
      <c r="AN573" s="4119"/>
      <c r="AO573" s="3700"/>
      <c r="AP573" s="3699"/>
      <c r="AQ573" s="4113">
        <f t="shared" si="341"/>
        <v>3000</v>
      </c>
      <c r="AR573" s="3759"/>
      <c r="AS573" s="3759"/>
      <c r="AT573" s="4120">
        <f t="shared" si="342"/>
        <v>3000</v>
      </c>
      <c r="AU573" s="3759"/>
      <c r="AV573" s="4120"/>
      <c r="AW573" s="3759"/>
      <c r="AX573" s="4120"/>
      <c r="AY573" s="3759"/>
      <c r="AZ573" s="3759"/>
      <c r="BA573" s="3759"/>
      <c r="BB573" s="3759"/>
      <c r="BC573" s="3759"/>
      <c r="BD573" s="3759"/>
      <c r="BE573" s="3759"/>
      <c r="BF573" s="3759"/>
      <c r="BG573" s="3759"/>
      <c r="BH573" s="3759"/>
      <c r="BI573" s="3759" t="s">
        <v>89</v>
      </c>
      <c r="BJ573" s="3759">
        <f t="shared" si="330"/>
        <v>100</v>
      </c>
      <c r="BK573" s="3759">
        <f t="shared" si="331"/>
        <v>500</v>
      </c>
      <c r="BL573" s="3759">
        <f t="shared" si="332"/>
        <v>500</v>
      </c>
      <c r="BM573" s="3759">
        <f t="shared" si="333"/>
        <v>400</v>
      </c>
      <c r="BN573" s="3759">
        <f t="shared" si="334"/>
        <v>500</v>
      </c>
      <c r="BO573" s="4146">
        <f t="shared" si="335"/>
        <v>500</v>
      </c>
      <c r="BP573" s="3721">
        <f t="shared" si="336"/>
        <v>500</v>
      </c>
      <c r="BQ573" s="3721">
        <f t="shared" si="339"/>
        <v>3000</v>
      </c>
      <c r="BR573" s="3721">
        <f t="shared" si="340"/>
        <v>0</v>
      </c>
      <c r="BS573" s="4123"/>
      <c r="BT573" s="4124"/>
    </row>
    <row r="574" s="3568" customFormat="1" ht="50" customHeight="1" spans="1:72">
      <c r="A574" s="4125">
        <v>45925</v>
      </c>
      <c r="B574" s="3821" t="s">
        <v>4670</v>
      </c>
      <c r="C574" s="3821" t="s">
        <v>341</v>
      </c>
      <c r="D574" s="3736">
        <v>4500180233</v>
      </c>
      <c r="E574" s="3735" t="s">
        <v>5045</v>
      </c>
      <c r="F574" s="3735" t="s">
        <v>7727</v>
      </c>
      <c r="G574" s="3735" t="s">
        <v>6753</v>
      </c>
      <c r="H574" s="3736" t="s">
        <v>6063</v>
      </c>
      <c r="I574" s="3736">
        <v>720</v>
      </c>
      <c r="J574" s="3736">
        <v>6</v>
      </c>
      <c r="K574" s="3736">
        <v>12</v>
      </c>
      <c r="L574" s="4132">
        <f t="shared" si="329"/>
        <v>60</v>
      </c>
      <c r="M574" s="3737">
        <v>45967</v>
      </c>
      <c r="N574" s="3737">
        <v>45965</v>
      </c>
      <c r="O574" s="905"/>
      <c r="P574" s="959" t="s">
        <v>82</v>
      </c>
      <c r="Q574" s="3735"/>
      <c r="R574" s="3735"/>
      <c r="S574" s="3735"/>
      <c r="T574" s="4142"/>
      <c r="U574" s="3625"/>
      <c r="V574" s="3738" t="s">
        <v>5006</v>
      </c>
      <c r="W574" s="4128"/>
      <c r="X574" s="3739" t="s">
        <v>98</v>
      </c>
      <c r="Y574" s="3739"/>
      <c r="Z574" s="3740"/>
      <c r="AA574" s="3625" t="s">
        <v>7728</v>
      </c>
      <c r="AB574" s="3823" t="s">
        <v>4665</v>
      </c>
      <c r="AC574" s="4130">
        <v>2.3486</v>
      </c>
      <c r="AD574" s="3736">
        <f t="shared" si="338"/>
        <v>1690.992</v>
      </c>
      <c r="AE574" s="4147" t="s">
        <v>5049</v>
      </c>
      <c r="AF574" s="3735" t="s">
        <v>6753</v>
      </c>
      <c r="AG574" s="3625" t="s">
        <v>416</v>
      </c>
      <c r="AH574" s="3625"/>
      <c r="AI574" s="3625"/>
      <c r="AJ574" s="3625"/>
      <c r="AK574" s="3735"/>
      <c r="AL574" s="4131">
        <f>I574</f>
        <v>720</v>
      </c>
      <c r="AM574" s="4131"/>
      <c r="AN574" s="4131"/>
      <c r="AO574" s="3735"/>
      <c r="AP574" s="3736"/>
      <c r="AQ574" s="4132">
        <f t="shared" si="341"/>
        <v>720</v>
      </c>
      <c r="AR574" s="3750"/>
      <c r="AS574" s="3750"/>
      <c r="AT574" s="4133">
        <f t="shared" si="342"/>
        <v>720</v>
      </c>
      <c r="AU574" s="3750"/>
      <c r="AV574" s="4133"/>
      <c r="AW574" s="3750"/>
      <c r="AX574" s="4133">
        <f>I574/6</f>
        <v>120</v>
      </c>
      <c r="AY574" s="3750"/>
      <c r="AZ574" s="3750"/>
      <c r="BA574" s="3750"/>
      <c r="BB574" s="3750"/>
      <c r="BC574" s="3750"/>
      <c r="BD574" s="3750"/>
      <c r="BE574" s="3750"/>
      <c r="BF574" s="3750"/>
      <c r="BG574" s="3750"/>
      <c r="BH574" s="3750"/>
      <c r="BI574" s="3750" t="s">
        <v>89</v>
      </c>
      <c r="BJ574" s="3750">
        <f t="shared" si="330"/>
        <v>24</v>
      </c>
      <c r="BK574" s="3750">
        <f t="shared" si="331"/>
        <v>120</v>
      </c>
      <c r="BL574" s="3750">
        <f t="shared" si="332"/>
        <v>120</v>
      </c>
      <c r="BM574" s="3750">
        <f t="shared" si="333"/>
        <v>96</v>
      </c>
      <c r="BN574" s="3750">
        <f t="shared" si="334"/>
        <v>120</v>
      </c>
      <c r="BO574" s="4141">
        <f t="shared" si="335"/>
        <v>120</v>
      </c>
      <c r="BP574" s="3748">
        <f t="shared" si="336"/>
        <v>120</v>
      </c>
      <c r="BQ574" s="3748">
        <f t="shared" si="339"/>
        <v>720</v>
      </c>
      <c r="BR574" s="3748">
        <f t="shared" si="340"/>
        <v>0</v>
      </c>
      <c r="BS574" s="4136"/>
      <c r="BT574" s="4137"/>
    </row>
    <row r="575" s="3567" customFormat="1" ht="50" customHeight="1" spans="1:72">
      <c r="A575" s="4112">
        <v>45910</v>
      </c>
      <c r="B575" s="3766" t="s">
        <v>2005</v>
      </c>
      <c r="C575" s="3766" t="s">
        <v>673</v>
      </c>
      <c r="D575" s="3700">
        <v>4500179209</v>
      </c>
      <c r="E575" s="3700">
        <v>5000001996</v>
      </c>
      <c r="F575" s="3700" t="s">
        <v>7729</v>
      </c>
      <c r="G575" s="3700" t="s">
        <v>6254</v>
      </c>
      <c r="H575" s="3699" t="s">
        <v>6063</v>
      </c>
      <c r="I575" s="3699">
        <v>720</v>
      </c>
      <c r="J575" s="3699">
        <v>0</v>
      </c>
      <c r="K575" s="3699">
        <v>6</v>
      </c>
      <c r="L575" s="4113">
        <f t="shared" si="329"/>
        <v>120</v>
      </c>
      <c r="M575" s="3707">
        <v>45968</v>
      </c>
      <c r="N575" s="3707">
        <v>45964</v>
      </c>
      <c r="O575" s="3708"/>
      <c r="P575" s="959" t="s">
        <v>82</v>
      </c>
      <c r="Q575" s="3700"/>
      <c r="R575" s="3700"/>
      <c r="S575" s="3700"/>
      <c r="T575" s="4145"/>
      <c r="U575" s="3680" t="s">
        <v>4991</v>
      </c>
      <c r="V575" s="3709" t="s">
        <v>7730</v>
      </c>
      <c r="W575" s="3710"/>
      <c r="X575" s="3709" t="s">
        <v>7731</v>
      </c>
      <c r="Y575" s="3711" t="s">
        <v>7732</v>
      </c>
      <c r="Z575" s="3712"/>
      <c r="AA575" s="3680" t="s">
        <v>7733</v>
      </c>
      <c r="AB575" s="3769" t="s">
        <v>993</v>
      </c>
      <c r="AC575" s="3699">
        <v>2.2144</v>
      </c>
      <c r="AD575" s="3699">
        <f t="shared" si="338"/>
        <v>1594.368</v>
      </c>
      <c r="AE575" s="3715" t="s">
        <v>5056</v>
      </c>
      <c r="AF575" s="3700" t="s">
        <v>6260</v>
      </c>
      <c r="AG575" s="3680" t="s">
        <v>416</v>
      </c>
      <c r="AH575" s="3680"/>
      <c r="AI575" s="3680"/>
      <c r="AJ575" s="3680"/>
      <c r="AK575" s="3700"/>
      <c r="AL575" s="3700"/>
      <c r="AM575" s="3700"/>
      <c r="AN575" s="3700"/>
      <c r="AO575" s="3700">
        <f>I575</f>
        <v>720</v>
      </c>
      <c r="AP575" s="3699"/>
      <c r="AQ575" s="3699"/>
      <c r="AR575" s="3759">
        <f>I575</f>
        <v>720</v>
      </c>
      <c r="AS575" s="3759"/>
      <c r="AT575" s="3759">
        <f t="shared" si="342"/>
        <v>720</v>
      </c>
      <c r="AU575" s="3759"/>
      <c r="AV575" s="3759"/>
      <c r="AW575" s="3759"/>
      <c r="AX575" s="3759"/>
      <c r="AY575" s="3759"/>
      <c r="AZ575" s="4120">
        <f>I575/6</f>
        <v>120</v>
      </c>
      <c r="BA575" s="3759"/>
      <c r="BB575" s="3759"/>
      <c r="BC575" s="3759"/>
      <c r="BD575" s="3759"/>
      <c r="BE575" s="3759"/>
      <c r="BF575" s="3759"/>
      <c r="BG575" s="3759"/>
      <c r="BH575" s="3759"/>
      <c r="BI575" s="3759" t="s">
        <v>89</v>
      </c>
      <c r="BJ575" s="3759">
        <f t="shared" si="330"/>
        <v>24</v>
      </c>
      <c r="BK575" s="3759">
        <f t="shared" si="331"/>
        <v>120</v>
      </c>
      <c r="BL575" s="3759">
        <f t="shared" si="332"/>
        <v>120</v>
      </c>
      <c r="BM575" s="3759">
        <f t="shared" si="333"/>
        <v>96</v>
      </c>
      <c r="BN575" s="3759">
        <f t="shared" si="334"/>
        <v>120</v>
      </c>
      <c r="BO575" s="4146">
        <f t="shared" si="335"/>
        <v>120</v>
      </c>
      <c r="BP575" s="3721">
        <f t="shared" si="336"/>
        <v>120</v>
      </c>
      <c r="BQ575" s="3721">
        <f t="shared" si="339"/>
        <v>720</v>
      </c>
      <c r="BR575" s="3721">
        <f t="shared" si="340"/>
        <v>0</v>
      </c>
      <c r="BS575" s="4123"/>
      <c r="BT575" s="4124"/>
    </row>
    <row r="576" s="3567" customFormat="1" ht="50" customHeight="1" spans="1:72">
      <c r="A576" s="4112">
        <v>45918</v>
      </c>
      <c r="B576" s="3766" t="s">
        <v>1789</v>
      </c>
      <c r="C576" s="3766" t="s">
        <v>569</v>
      </c>
      <c r="D576" s="3699">
        <v>4500179692</v>
      </c>
      <c r="E576" s="3700" t="s">
        <v>7734</v>
      </c>
      <c r="F576" s="3700" t="s">
        <v>7735</v>
      </c>
      <c r="G576" s="3700" t="s">
        <v>6281</v>
      </c>
      <c r="H576" s="3700" t="s">
        <v>6292</v>
      </c>
      <c r="I576" s="3699">
        <v>576</v>
      </c>
      <c r="J576" s="3699">
        <v>0</v>
      </c>
      <c r="K576" s="3699">
        <v>32</v>
      </c>
      <c r="L576" s="4113">
        <f t="shared" si="329"/>
        <v>18</v>
      </c>
      <c r="M576" s="3707">
        <v>45968</v>
      </c>
      <c r="N576" s="3707">
        <v>45966</v>
      </c>
      <c r="O576" s="3708"/>
      <c r="P576" s="959" t="s">
        <v>82</v>
      </c>
      <c r="Q576" s="3700"/>
      <c r="R576" s="3700"/>
      <c r="S576" s="3700"/>
      <c r="T576" s="4145"/>
      <c r="U576" s="3726" t="s">
        <v>2107</v>
      </c>
      <c r="V576" s="3709" t="s">
        <v>1262</v>
      </c>
      <c r="W576" s="3710"/>
      <c r="X576" s="3711" t="s">
        <v>7736</v>
      </c>
      <c r="Y576" s="3709"/>
      <c r="Z576" s="3712"/>
      <c r="AA576" s="3680" t="s">
        <v>7737</v>
      </c>
      <c r="AB576" s="3769" t="s">
        <v>1285</v>
      </c>
      <c r="AC576" s="4118">
        <v>2.4608</v>
      </c>
      <c r="AD576" s="3699">
        <f t="shared" si="338"/>
        <v>1417.4208</v>
      </c>
      <c r="AE576" s="3715" t="s">
        <v>7738</v>
      </c>
      <c r="AF576" s="3700" t="s">
        <v>6106</v>
      </c>
      <c r="AG576" s="3680" t="s">
        <v>416</v>
      </c>
      <c r="AH576" s="3680"/>
      <c r="AI576" s="3680"/>
      <c r="AJ576" s="3680"/>
      <c r="AK576" s="3700"/>
      <c r="AL576" s="3700"/>
      <c r="AM576" s="4119"/>
      <c r="AN576" s="4119">
        <f t="shared" ref="AN576:AN581" si="343">I576</f>
        <v>576</v>
      </c>
      <c r="AO576" s="3700"/>
      <c r="AP576" s="3699"/>
      <c r="AQ576" s="4113">
        <f t="shared" ref="AQ576:AQ639" si="344">I576</f>
        <v>576</v>
      </c>
      <c r="AR576" s="3759"/>
      <c r="AS576" s="3759"/>
      <c r="AT576" s="4120">
        <f t="shared" si="342"/>
        <v>576</v>
      </c>
      <c r="AU576" s="3759"/>
      <c r="AV576" s="3759"/>
      <c r="AW576" s="3759"/>
      <c r="AX576" s="3759"/>
      <c r="AY576" s="3759"/>
      <c r="AZ576" s="4120"/>
      <c r="BA576" s="3759"/>
      <c r="BB576" s="3759"/>
      <c r="BC576" s="3759"/>
      <c r="BD576" s="3759"/>
      <c r="BE576" s="3759"/>
      <c r="BF576" s="3759"/>
      <c r="BG576" s="3759"/>
      <c r="BH576" s="3759"/>
      <c r="BI576" s="3759" t="s">
        <v>89</v>
      </c>
      <c r="BJ576" s="4120"/>
      <c r="BK576" s="4120">
        <f>I576</f>
        <v>576</v>
      </c>
      <c r="BL576" s="4120"/>
      <c r="BM576" s="4120"/>
      <c r="BN576" s="4120"/>
      <c r="BO576" s="4121"/>
      <c r="BP576" s="4122"/>
      <c r="BQ576" s="4122">
        <f t="shared" si="339"/>
        <v>576</v>
      </c>
      <c r="BR576" s="3721">
        <f t="shared" si="340"/>
        <v>0</v>
      </c>
      <c r="BS576" s="4123"/>
      <c r="BT576" s="4124"/>
    </row>
    <row r="577" s="3568" customFormat="1" ht="50" customHeight="1" spans="1:72">
      <c r="A577" s="4125">
        <v>45928</v>
      </c>
      <c r="B577" s="3821" t="s">
        <v>6682</v>
      </c>
      <c r="C577" s="3821" t="s">
        <v>396</v>
      </c>
      <c r="D577" s="3736">
        <v>4500180826</v>
      </c>
      <c r="E577" s="3735">
        <v>9900929910</v>
      </c>
      <c r="F577" s="3735" t="s">
        <v>7739</v>
      </c>
      <c r="G577" s="3735" t="s">
        <v>6684</v>
      </c>
      <c r="H577" s="3736" t="s">
        <v>6063</v>
      </c>
      <c r="I577" s="3736">
        <v>2000</v>
      </c>
      <c r="J577" s="3736">
        <v>0</v>
      </c>
      <c r="K577" s="3736">
        <v>2</v>
      </c>
      <c r="L577" s="4132">
        <f t="shared" si="329"/>
        <v>1000</v>
      </c>
      <c r="M577" s="3737">
        <v>45964</v>
      </c>
      <c r="N577" s="3737">
        <f>M577-4</f>
        <v>45960</v>
      </c>
      <c r="O577" s="905" t="s">
        <v>7740</v>
      </c>
      <c r="P577" s="959" t="s">
        <v>82</v>
      </c>
      <c r="Q577" s="3735"/>
      <c r="R577" s="3735"/>
      <c r="S577" s="3735"/>
      <c r="T577" s="4142"/>
      <c r="U577" s="3625" t="s">
        <v>7741</v>
      </c>
      <c r="V577" s="3738" t="s">
        <v>7742</v>
      </c>
      <c r="W577" s="4128"/>
      <c r="X577" s="3739" t="s">
        <v>7743</v>
      </c>
      <c r="Y577" s="3739"/>
      <c r="Z577" s="3740"/>
      <c r="AA577" s="3625" t="s">
        <v>7744</v>
      </c>
      <c r="AB577" s="3823" t="s">
        <v>7570</v>
      </c>
      <c r="AC577" s="4130">
        <v>2.3634</v>
      </c>
      <c r="AD577" s="3736">
        <f t="shared" si="338"/>
        <v>4726.8</v>
      </c>
      <c r="AE577" s="3742" t="s">
        <v>7745</v>
      </c>
      <c r="AF577" s="3735" t="s">
        <v>6684</v>
      </c>
      <c r="AG577" s="3625" t="s">
        <v>416</v>
      </c>
      <c r="AH577" s="3625"/>
      <c r="AI577" s="3625"/>
      <c r="AJ577" s="3625"/>
      <c r="AK577" s="3735"/>
      <c r="AL577" s="4131"/>
      <c r="AM577" s="4131"/>
      <c r="AN577" s="4131">
        <f t="shared" si="343"/>
        <v>2000</v>
      </c>
      <c r="AO577" s="3735"/>
      <c r="AP577" s="3736"/>
      <c r="AQ577" s="4132">
        <f t="shared" si="344"/>
        <v>2000</v>
      </c>
      <c r="AR577" s="3750"/>
      <c r="AS577" s="3750"/>
      <c r="AT577" s="4133"/>
      <c r="AU577" s="3750"/>
      <c r="AV577" s="4133">
        <f>I577</f>
        <v>2000</v>
      </c>
      <c r="AW577" s="3750"/>
      <c r="AX577" s="4133"/>
      <c r="AY577" s="3750"/>
      <c r="AZ577" s="3750"/>
      <c r="BA577" s="3750"/>
      <c r="BB577" s="4133">
        <f>I577/2</f>
        <v>1000</v>
      </c>
      <c r="BC577" s="3750"/>
      <c r="BD577" s="3750"/>
      <c r="BE577" s="3750"/>
      <c r="BF577" s="3750"/>
      <c r="BG577" s="3750"/>
      <c r="BH577" s="3750"/>
      <c r="BI577" s="3750" t="s">
        <v>89</v>
      </c>
      <c r="BJ577" s="3750">
        <f>I577/60*2</f>
        <v>66.6666666666667</v>
      </c>
      <c r="BK577" s="3750">
        <f>I577/60*10</f>
        <v>333.333333333333</v>
      </c>
      <c r="BL577" s="3750">
        <f>I577/60*10</f>
        <v>333.333333333333</v>
      </c>
      <c r="BM577" s="3750">
        <f>I577/60*8</f>
        <v>266.666666666667</v>
      </c>
      <c r="BN577" s="3750">
        <f>I577/60*10</f>
        <v>333.333333333333</v>
      </c>
      <c r="BO577" s="4141">
        <f>I577/60*10</f>
        <v>333.333333333333</v>
      </c>
      <c r="BP577" s="3748">
        <f>I577/60*10</f>
        <v>333.333333333333</v>
      </c>
      <c r="BQ577" s="3748">
        <f t="shared" si="339"/>
        <v>2000</v>
      </c>
      <c r="BR577" s="3748">
        <f t="shared" si="340"/>
        <v>0</v>
      </c>
      <c r="BS577" s="4136"/>
      <c r="BT577" s="4137"/>
    </row>
    <row r="578" s="3568" customFormat="1" ht="50" customHeight="1" spans="1:72">
      <c r="A578" s="4125">
        <v>45918</v>
      </c>
      <c r="B578" s="3821" t="s">
        <v>1789</v>
      </c>
      <c r="C578" s="3821" t="s">
        <v>569</v>
      </c>
      <c r="D578" s="3736">
        <v>4500179692</v>
      </c>
      <c r="E578" s="3735" t="s">
        <v>2105</v>
      </c>
      <c r="F578" s="3735" t="s">
        <v>7746</v>
      </c>
      <c r="G578" s="3735" t="s">
        <v>6165</v>
      </c>
      <c r="H578" s="3736" t="s">
        <v>6166</v>
      </c>
      <c r="I578" s="3736">
        <v>480</v>
      </c>
      <c r="J578" s="3736">
        <v>1</v>
      </c>
      <c r="K578" s="3736">
        <v>32</v>
      </c>
      <c r="L578" s="4132">
        <f t="shared" si="329"/>
        <v>15</v>
      </c>
      <c r="M578" s="3737">
        <v>45968</v>
      </c>
      <c r="N578" s="3737">
        <v>45966</v>
      </c>
      <c r="O578" s="905"/>
      <c r="P578" s="959" t="s">
        <v>82</v>
      </c>
      <c r="Q578" s="3735"/>
      <c r="R578" s="3735"/>
      <c r="S578" s="3735"/>
      <c r="T578" s="4142"/>
      <c r="U578" s="3726" t="s">
        <v>2107</v>
      </c>
      <c r="V578" s="3738" t="s">
        <v>1262</v>
      </c>
      <c r="W578" s="4128"/>
      <c r="X578" s="3739" t="s">
        <v>7736</v>
      </c>
      <c r="Y578" s="3739"/>
      <c r="Z578" s="3740"/>
      <c r="AA578" s="3625" t="s">
        <v>7747</v>
      </c>
      <c r="AB578" s="3823" t="s">
        <v>1285</v>
      </c>
      <c r="AC578" s="4130">
        <v>2.4608</v>
      </c>
      <c r="AD578" s="3736">
        <f t="shared" si="338"/>
        <v>1181.184</v>
      </c>
      <c r="AE578" s="3742" t="s">
        <v>2111</v>
      </c>
      <c r="AF578" s="3735" t="s">
        <v>6601</v>
      </c>
      <c r="AG578" s="3625" t="s">
        <v>416</v>
      </c>
      <c r="AH578" s="3625"/>
      <c r="AI578" s="3625"/>
      <c r="AJ578" s="3625"/>
      <c r="AK578" s="3735"/>
      <c r="AL578" s="4131"/>
      <c r="AM578" s="4131"/>
      <c r="AN578" s="4131">
        <f t="shared" si="343"/>
        <v>480</v>
      </c>
      <c r="AO578" s="3735"/>
      <c r="AP578" s="3736"/>
      <c r="AQ578" s="4132">
        <f t="shared" si="344"/>
        <v>480</v>
      </c>
      <c r="AR578" s="3750"/>
      <c r="AS578" s="3750"/>
      <c r="AT578" s="4133">
        <f>I578</f>
        <v>480</v>
      </c>
      <c r="AU578" s="3750"/>
      <c r="AV578" s="3750"/>
      <c r="AW578" s="3750"/>
      <c r="AX578" s="4133"/>
      <c r="AY578" s="3750"/>
      <c r="AZ578" s="3750"/>
      <c r="BA578" s="3750"/>
      <c r="BB578" s="3750"/>
      <c r="BC578" s="3750"/>
      <c r="BD578" s="3750"/>
      <c r="BE578" s="3750"/>
      <c r="BF578" s="3750"/>
      <c r="BG578" s="3750"/>
      <c r="BH578" s="3750"/>
      <c r="BI578" s="3750" t="s">
        <v>89</v>
      </c>
      <c r="BJ578" s="3750"/>
      <c r="BK578" s="3750"/>
      <c r="BL578" s="3750"/>
      <c r="BM578" s="3750"/>
      <c r="BN578" s="3750"/>
      <c r="BO578" s="4141"/>
      <c r="BP578" s="3748">
        <f>I578-BJ578</f>
        <v>480</v>
      </c>
      <c r="BQ578" s="3748">
        <f t="shared" si="339"/>
        <v>480</v>
      </c>
      <c r="BR578" s="3748">
        <f t="shared" si="340"/>
        <v>0</v>
      </c>
      <c r="BS578" s="4136"/>
      <c r="BT578" s="4137"/>
    </row>
    <row r="579" s="3568" customFormat="1" ht="50" customHeight="1" spans="1:72">
      <c r="A579" s="4125">
        <v>45925</v>
      </c>
      <c r="B579" s="3821" t="s">
        <v>1789</v>
      </c>
      <c r="C579" s="3821" t="s">
        <v>1279</v>
      </c>
      <c r="D579" s="3736">
        <v>4500180299</v>
      </c>
      <c r="E579" s="3735" t="s">
        <v>7748</v>
      </c>
      <c r="F579" s="3735" t="s">
        <v>7749</v>
      </c>
      <c r="G579" s="3735" t="s">
        <v>6281</v>
      </c>
      <c r="H579" s="3735" t="s">
        <v>6292</v>
      </c>
      <c r="I579" s="3736">
        <v>480</v>
      </c>
      <c r="J579" s="3736">
        <v>0</v>
      </c>
      <c r="K579" s="3736">
        <v>32</v>
      </c>
      <c r="L579" s="4132">
        <f t="shared" si="329"/>
        <v>15</v>
      </c>
      <c r="M579" s="3737">
        <v>45975</v>
      </c>
      <c r="N579" s="3737">
        <v>45971</v>
      </c>
      <c r="O579" s="905"/>
      <c r="P579" s="959" t="s">
        <v>82</v>
      </c>
      <c r="Q579" s="3735"/>
      <c r="R579" s="3735"/>
      <c r="S579" s="3735"/>
      <c r="T579" s="4142"/>
      <c r="U579" s="3625" t="s">
        <v>7750</v>
      </c>
      <c r="V579" s="3738" t="s">
        <v>1307</v>
      </c>
      <c r="W579" s="4128"/>
      <c r="X579" s="3739" t="s">
        <v>7751</v>
      </c>
      <c r="Y579" s="3738"/>
      <c r="Z579" s="3740"/>
      <c r="AA579" s="3625" t="s">
        <v>7752</v>
      </c>
      <c r="AB579" s="3823" t="s">
        <v>1285</v>
      </c>
      <c r="AC579" s="4130">
        <v>2.4608</v>
      </c>
      <c r="AD579" s="3736">
        <f t="shared" si="338"/>
        <v>1181.184</v>
      </c>
      <c r="AE579" s="3742" t="s">
        <v>7753</v>
      </c>
      <c r="AF579" s="3735" t="s">
        <v>6106</v>
      </c>
      <c r="AG579" s="3625" t="s">
        <v>416</v>
      </c>
      <c r="AH579" s="3625"/>
      <c r="AI579" s="3625"/>
      <c r="AJ579" s="3625"/>
      <c r="AK579" s="3735"/>
      <c r="AL579" s="3735"/>
      <c r="AM579" s="4131"/>
      <c r="AN579" s="4131">
        <f t="shared" si="343"/>
        <v>480</v>
      </c>
      <c r="AO579" s="3735"/>
      <c r="AP579" s="3736"/>
      <c r="AQ579" s="4132">
        <f t="shared" si="344"/>
        <v>480</v>
      </c>
      <c r="AR579" s="3750"/>
      <c r="AS579" s="3750"/>
      <c r="AT579" s="4133">
        <f>I579</f>
        <v>480</v>
      </c>
      <c r="AU579" s="3750"/>
      <c r="AV579" s="3750"/>
      <c r="AW579" s="3750"/>
      <c r="AX579" s="3750"/>
      <c r="AY579" s="3750"/>
      <c r="AZ579" s="4133"/>
      <c r="BA579" s="3750"/>
      <c r="BB579" s="3750"/>
      <c r="BC579" s="3750"/>
      <c r="BD579" s="3750"/>
      <c r="BE579" s="3750"/>
      <c r="BF579" s="3750"/>
      <c r="BG579" s="3750"/>
      <c r="BH579" s="3750"/>
      <c r="BI579" s="3750" t="s">
        <v>89</v>
      </c>
      <c r="BJ579" s="4133"/>
      <c r="BK579" s="4133">
        <f>I579</f>
        <v>480</v>
      </c>
      <c r="BL579" s="4133"/>
      <c r="BM579" s="4133"/>
      <c r="BN579" s="4133"/>
      <c r="BO579" s="4134"/>
      <c r="BP579" s="4135"/>
      <c r="BQ579" s="4135">
        <f t="shared" si="339"/>
        <v>480</v>
      </c>
      <c r="BR579" s="3748">
        <f t="shared" si="340"/>
        <v>0</v>
      </c>
      <c r="BS579" s="4136"/>
      <c r="BT579" s="4137"/>
    </row>
    <row r="580" s="3566" customFormat="1" ht="50" customHeight="1" spans="1:72">
      <c r="A580" s="3635">
        <v>45917</v>
      </c>
      <c r="B580" s="3617" t="s">
        <v>4766</v>
      </c>
      <c r="C580" s="3617" t="s">
        <v>471</v>
      </c>
      <c r="D580" s="3618">
        <v>4500179716</v>
      </c>
      <c r="E580" s="959"/>
      <c r="F580" s="959" t="s">
        <v>5038</v>
      </c>
      <c r="G580" s="959" t="s">
        <v>7754</v>
      </c>
      <c r="H580" s="3618" t="s">
        <v>7755</v>
      </c>
      <c r="I580" s="3618">
        <v>10800</v>
      </c>
      <c r="J580" s="3618">
        <v>0</v>
      </c>
      <c r="K580" s="3618">
        <v>6</v>
      </c>
      <c r="L580" s="4052">
        <f t="shared" si="329"/>
        <v>1800</v>
      </c>
      <c r="M580" s="3619">
        <v>45966</v>
      </c>
      <c r="N580" s="3619">
        <v>45962</v>
      </c>
      <c r="O580" s="3664"/>
      <c r="P580" s="959" t="s">
        <v>82</v>
      </c>
      <c r="Q580" s="959"/>
      <c r="R580" s="959"/>
      <c r="S580" s="959"/>
      <c r="T580" s="4053"/>
      <c r="U580" s="3645" t="s">
        <v>269</v>
      </c>
      <c r="V580" s="3649" t="s">
        <v>5041</v>
      </c>
      <c r="W580" s="3695"/>
      <c r="X580" s="3657" t="s">
        <v>7756</v>
      </c>
      <c r="Y580" s="3657"/>
      <c r="Z580" s="3661"/>
      <c r="AA580" s="3620" t="s">
        <v>7757</v>
      </c>
      <c r="AB580" s="3624" t="s">
        <v>2149</v>
      </c>
      <c r="AC580" s="4058">
        <v>383.8155</v>
      </c>
      <c r="AD580" s="3618">
        <f>AC580*L580</f>
        <v>690867.9</v>
      </c>
      <c r="AE580" s="3645" t="s">
        <v>7758</v>
      </c>
      <c r="AF580" s="959" t="s">
        <v>7759</v>
      </c>
      <c r="AG580" s="3620" t="s">
        <v>416</v>
      </c>
      <c r="AH580" s="3620"/>
      <c r="AI580" s="3620"/>
      <c r="AJ580" s="3620"/>
      <c r="AK580" s="959"/>
      <c r="AL580" s="4108"/>
      <c r="AM580" s="4108"/>
      <c r="AN580" s="4108">
        <f t="shared" si="343"/>
        <v>10800</v>
      </c>
      <c r="AO580" s="959"/>
      <c r="AP580" s="3618"/>
      <c r="AQ580" s="4052">
        <f t="shared" si="344"/>
        <v>10800</v>
      </c>
      <c r="AR580" s="3626"/>
      <c r="AS580" s="3626"/>
      <c r="AT580" s="4109"/>
      <c r="AU580" s="3626"/>
      <c r="AV580" s="4109">
        <f>I580</f>
        <v>10800</v>
      </c>
      <c r="AW580" s="3626"/>
      <c r="AX580" s="4109"/>
      <c r="AY580" s="3626"/>
      <c r="AZ580" s="3626"/>
      <c r="BA580" s="3626"/>
      <c r="BB580" s="3626"/>
      <c r="BC580" s="3626"/>
      <c r="BD580" s="3626"/>
      <c r="BE580" s="3626"/>
      <c r="BF580" s="3626"/>
      <c r="BG580" s="3626"/>
      <c r="BH580" s="3626"/>
      <c r="BI580" s="3626" t="s">
        <v>89</v>
      </c>
      <c r="BJ580" s="3626">
        <f t="shared" ref="BJ580:BJ592" si="345">I580/60*2</f>
        <v>360</v>
      </c>
      <c r="BK580" s="3626">
        <f t="shared" ref="BK580:BK592" si="346">I580/60*10</f>
        <v>1800</v>
      </c>
      <c r="BL580" s="3626">
        <f t="shared" ref="BL580:BL592" si="347">I580/60*10</f>
        <v>1800</v>
      </c>
      <c r="BM580" s="3626">
        <f t="shared" ref="BM580:BM592" si="348">I580/60*8</f>
        <v>1440</v>
      </c>
      <c r="BN580" s="3626">
        <f t="shared" ref="BN580:BN592" si="349">I580/60*10</f>
        <v>1800</v>
      </c>
      <c r="BO580" s="4055">
        <f t="shared" ref="BO580:BO592" si="350">I580/60*10</f>
        <v>1800</v>
      </c>
      <c r="BP580" s="3627">
        <f t="shared" ref="BP580:BP592" si="351">I580/60*10</f>
        <v>1800</v>
      </c>
      <c r="BQ580" s="3627">
        <f t="shared" si="339"/>
        <v>10800</v>
      </c>
      <c r="BR580" s="3627">
        <f t="shared" si="340"/>
        <v>0</v>
      </c>
      <c r="BS580" s="4056"/>
      <c r="BT580" s="4057"/>
    </row>
    <row r="581" s="3566" customFormat="1" ht="50" customHeight="1" spans="1:72">
      <c r="A581" s="3635">
        <v>45894</v>
      </c>
      <c r="B581" s="3617" t="s">
        <v>7760</v>
      </c>
      <c r="C581" s="3617" t="s">
        <v>1624</v>
      </c>
      <c r="D581" s="3618">
        <v>4500177426</v>
      </c>
      <c r="E581" s="959">
        <v>255848</v>
      </c>
      <c r="F581" s="959" t="s">
        <v>7761</v>
      </c>
      <c r="G581" s="959" t="s">
        <v>6228</v>
      </c>
      <c r="H581" s="3618" t="s">
        <v>6063</v>
      </c>
      <c r="I581" s="3618">
        <v>402</v>
      </c>
      <c r="J581" s="3618">
        <v>0</v>
      </c>
      <c r="K581" s="3618">
        <v>6</v>
      </c>
      <c r="L581" s="3618">
        <f t="shared" si="329"/>
        <v>67</v>
      </c>
      <c r="M581" s="3619">
        <v>45978</v>
      </c>
      <c r="N581" s="3619">
        <v>45974</v>
      </c>
      <c r="O581" s="3664"/>
      <c r="P581" s="959" t="s">
        <v>82</v>
      </c>
      <c r="Q581" s="959"/>
      <c r="R581" s="959"/>
      <c r="S581" s="959"/>
      <c r="T581" s="4053"/>
      <c r="U581" s="3620" t="s">
        <v>2120</v>
      </c>
      <c r="V581" s="3649" t="s">
        <v>4977</v>
      </c>
      <c r="W581" s="3695"/>
      <c r="X581" s="3657" t="s">
        <v>7335</v>
      </c>
      <c r="Y581" s="3649"/>
      <c r="Z581" s="3661"/>
      <c r="AA581" s="3620" t="s">
        <v>7762</v>
      </c>
      <c r="AB581" s="3624" t="s">
        <v>6785</v>
      </c>
      <c r="AC581" s="4058">
        <v>2.2713</v>
      </c>
      <c r="AD581" s="3618">
        <f t="shared" ref="AD581:AD644" si="352">AC581*I581</f>
        <v>913.0626</v>
      </c>
      <c r="AE581" s="3633" t="s">
        <v>7763</v>
      </c>
      <c r="AF581" s="959" t="s">
        <v>7508</v>
      </c>
      <c r="AG581" s="3620" t="s">
        <v>416</v>
      </c>
      <c r="AH581" s="3620"/>
      <c r="AI581" s="3620"/>
      <c r="AJ581" s="3620"/>
      <c r="AK581" s="959"/>
      <c r="AL581" s="4108"/>
      <c r="AM581" s="4108"/>
      <c r="AN581" s="4108">
        <f t="shared" si="343"/>
        <v>402</v>
      </c>
      <c r="AO581" s="959"/>
      <c r="AP581" s="3618"/>
      <c r="AQ581" s="4052">
        <f t="shared" si="344"/>
        <v>402</v>
      </c>
      <c r="AR581" s="3626"/>
      <c r="AS581" s="3626"/>
      <c r="AT581" s="4109"/>
      <c r="AU581" s="3626"/>
      <c r="AV581" s="4109">
        <f>I581</f>
        <v>402</v>
      </c>
      <c r="AW581" s="3626"/>
      <c r="AX581" s="3626"/>
      <c r="AY581" s="3626"/>
      <c r="AZ581" s="4109">
        <f>I581/6</f>
        <v>67</v>
      </c>
      <c r="BA581" s="3626"/>
      <c r="BB581" s="3626"/>
      <c r="BC581" s="3626"/>
      <c r="BD581" s="3626"/>
      <c r="BE581" s="3626"/>
      <c r="BF581" s="3626"/>
      <c r="BG581" s="3626"/>
      <c r="BH581" s="3626"/>
      <c r="BI581" s="3626" t="s">
        <v>89</v>
      </c>
      <c r="BJ581" s="4109">
        <f t="shared" si="345"/>
        <v>13.4</v>
      </c>
      <c r="BK581" s="4109">
        <f t="shared" si="346"/>
        <v>67</v>
      </c>
      <c r="BL581" s="4109">
        <f t="shared" si="347"/>
        <v>67</v>
      </c>
      <c r="BM581" s="4109">
        <f t="shared" si="348"/>
        <v>53.6</v>
      </c>
      <c r="BN581" s="4109">
        <f t="shared" si="349"/>
        <v>67</v>
      </c>
      <c r="BO581" s="4079">
        <f t="shared" si="350"/>
        <v>67</v>
      </c>
      <c r="BP581" s="4110">
        <f t="shared" si="351"/>
        <v>67</v>
      </c>
      <c r="BQ581" s="4110">
        <f t="shared" si="339"/>
        <v>402</v>
      </c>
      <c r="BR581" s="3627">
        <f t="shared" si="340"/>
        <v>0</v>
      </c>
      <c r="BS581" s="4056"/>
      <c r="BT581" s="4057"/>
    </row>
    <row r="582" s="3568" customFormat="1" ht="50" customHeight="1" spans="1:72">
      <c r="A582" s="4125">
        <v>45880</v>
      </c>
      <c r="B582" s="3821" t="s">
        <v>1617</v>
      </c>
      <c r="C582" s="3821" t="s">
        <v>91</v>
      </c>
      <c r="D582" s="3736">
        <v>4500176585</v>
      </c>
      <c r="E582" s="3735">
        <v>70072748</v>
      </c>
      <c r="F582" s="3735" t="s">
        <v>7764</v>
      </c>
      <c r="G582" s="3735" t="s">
        <v>3520</v>
      </c>
      <c r="H582" s="3736" t="s">
        <v>6063</v>
      </c>
      <c r="I582" s="3736">
        <v>816</v>
      </c>
      <c r="J582" s="3736">
        <v>0</v>
      </c>
      <c r="K582" s="3736">
        <v>24</v>
      </c>
      <c r="L582" s="3736">
        <f t="shared" si="329"/>
        <v>34</v>
      </c>
      <c r="M582" s="3737">
        <v>45981</v>
      </c>
      <c r="N582" s="3737">
        <v>45978</v>
      </c>
      <c r="O582" s="905"/>
      <c r="P582" s="959" t="s">
        <v>82</v>
      </c>
      <c r="Q582" s="3735"/>
      <c r="R582" s="3735"/>
      <c r="S582" s="3735"/>
      <c r="T582" s="4142"/>
      <c r="U582" s="4148" t="s">
        <v>5088</v>
      </c>
      <c r="V582" s="3738" t="s">
        <v>5089</v>
      </c>
      <c r="W582" s="4128"/>
      <c r="X582" s="3739" t="s">
        <v>98</v>
      </c>
      <c r="Y582" s="3738" t="s">
        <v>2127</v>
      </c>
      <c r="Z582" s="3740"/>
      <c r="AA582" s="3625" t="s">
        <v>1621</v>
      </c>
      <c r="AB582" s="3823" t="s">
        <v>393</v>
      </c>
      <c r="AC582" s="4130">
        <v>1.3159</v>
      </c>
      <c r="AD582" s="3736">
        <f t="shared" si="352"/>
        <v>1073.7744</v>
      </c>
      <c r="AE582" s="3742" t="s">
        <v>5090</v>
      </c>
      <c r="AF582" s="3735" t="s">
        <v>3520</v>
      </c>
      <c r="AG582" s="3625" t="s">
        <v>416</v>
      </c>
      <c r="AH582" s="3625"/>
      <c r="AI582" s="3625"/>
      <c r="AJ582" s="3625"/>
      <c r="AK582" s="3735"/>
      <c r="AL582" s="3735">
        <f>I582</f>
        <v>816</v>
      </c>
      <c r="AM582" s="3735"/>
      <c r="AN582" s="3735"/>
      <c r="AO582" s="3735"/>
      <c r="AP582" s="3736"/>
      <c r="AQ582" s="3736">
        <f t="shared" si="344"/>
        <v>816</v>
      </c>
      <c r="AR582" s="3750"/>
      <c r="AS582" s="3750"/>
      <c r="AT582" s="3750">
        <f>I582</f>
        <v>816</v>
      </c>
      <c r="AU582" s="3750"/>
      <c r="AV582" s="3750"/>
      <c r="AW582" s="3750"/>
      <c r="AX582" s="3750"/>
      <c r="AY582" s="3750"/>
      <c r="AZ582" s="3750"/>
      <c r="BA582" s="3750"/>
      <c r="BB582" s="3750"/>
      <c r="BC582" s="3750"/>
      <c r="BD582" s="3750"/>
      <c r="BE582" s="3750"/>
      <c r="BF582" s="3750"/>
      <c r="BG582" s="3750"/>
      <c r="BH582" s="3750"/>
      <c r="BI582" s="3750" t="s">
        <v>89</v>
      </c>
      <c r="BJ582" s="3750">
        <f t="shared" si="345"/>
        <v>27.2</v>
      </c>
      <c r="BK582" s="3750">
        <f t="shared" si="346"/>
        <v>136</v>
      </c>
      <c r="BL582" s="3750">
        <f t="shared" si="347"/>
        <v>136</v>
      </c>
      <c r="BM582" s="3750">
        <f t="shared" si="348"/>
        <v>108.8</v>
      </c>
      <c r="BN582" s="3750">
        <f t="shared" si="349"/>
        <v>136</v>
      </c>
      <c r="BO582" s="4141">
        <f t="shared" si="350"/>
        <v>136</v>
      </c>
      <c r="BP582" s="3748">
        <f t="shared" si="351"/>
        <v>136</v>
      </c>
      <c r="BQ582" s="3748">
        <f t="shared" si="339"/>
        <v>816</v>
      </c>
      <c r="BR582" s="3748">
        <f t="shared" si="340"/>
        <v>0</v>
      </c>
      <c r="BS582" s="4136"/>
      <c r="BT582" s="4137"/>
    </row>
    <row r="583" s="3568" customFormat="1" ht="50" customHeight="1" spans="1:72">
      <c r="A583" s="4125">
        <v>45876</v>
      </c>
      <c r="B583" s="3821" t="s">
        <v>407</v>
      </c>
      <c r="C583" s="3821" t="s">
        <v>91</v>
      </c>
      <c r="D583" s="3736">
        <v>4500176156</v>
      </c>
      <c r="E583" s="3735" t="s">
        <v>5091</v>
      </c>
      <c r="F583" s="3735" t="s">
        <v>7765</v>
      </c>
      <c r="G583" s="3735" t="s">
        <v>3520</v>
      </c>
      <c r="H583" s="3736" t="s">
        <v>6063</v>
      </c>
      <c r="I583" s="3736">
        <v>4008</v>
      </c>
      <c r="J583" s="3736">
        <v>0</v>
      </c>
      <c r="K583" s="3736">
        <v>24</v>
      </c>
      <c r="L583" s="3736">
        <f t="shared" si="329"/>
        <v>167</v>
      </c>
      <c r="M583" s="3737">
        <v>45981</v>
      </c>
      <c r="N583" s="3737">
        <v>45978</v>
      </c>
      <c r="O583" s="905"/>
      <c r="P583" s="959" t="s">
        <v>82</v>
      </c>
      <c r="Q583" s="3735"/>
      <c r="R583" s="3735"/>
      <c r="S583" s="3735"/>
      <c r="T583" s="4142"/>
      <c r="U583" s="4148" t="s">
        <v>5088</v>
      </c>
      <c r="V583" s="3738" t="s">
        <v>2013</v>
      </c>
      <c r="W583" s="4128"/>
      <c r="X583" s="3739" t="s">
        <v>98</v>
      </c>
      <c r="Y583" s="3738" t="s">
        <v>2127</v>
      </c>
      <c r="Z583" s="3740"/>
      <c r="AA583" s="3625" t="s">
        <v>1621</v>
      </c>
      <c r="AB583" s="3823" t="s">
        <v>1880</v>
      </c>
      <c r="AC583" s="4130">
        <v>1.3159</v>
      </c>
      <c r="AD583" s="3736">
        <f t="shared" si="352"/>
        <v>5274.1272</v>
      </c>
      <c r="AE583" s="3742" t="s">
        <v>5093</v>
      </c>
      <c r="AF583" s="3735" t="s">
        <v>3520</v>
      </c>
      <c r="AG583" s="3625" t="s">
        <v>416</v>
      </c>
      <c r="AH583" s="3625"/>
      <c r="AI583" s="3625"/>
      <c r="AJ583" s="3625"/>
      <c r="AK583" s="3735"/>
      <c r="AL583" s="3735">
        <f>I583</f>
        <v>4008</v>
      </c>
      <c r="AM583" s="3735"/>
      <c r="AN583" s="3735"/>
      <c r="AO583" s="3735"/>
      <c r="AP583" s="3736"/>
      <c r="AQ583" s="3736">
        <f t="shared" si="344"/>
        <v>4008</v>
      </c>
      <c r="AR583" s="3750"/>
      <c r="AS583" s="3750"/>
      <c r="AT583" s="3750">
        <f>I583</f>
        <v>4008</v>
      </c>
      <c r="AU583" s="3750"/>
      <c r="AV583" s="3750"/>
      <c r="AW583" s="3750"/>
      <c r="AX583" s="3750"/>
      <c r="AY583" s="3750"/>
      <c r="AZ583" s="3750"/>
      <c r="BA583" s="3750"/>
      <c r="BB583" s="3750"/>
      <c r="BC583" s="3750"/>
      <c r="BD583" s="3750"/>
      <c r="BE583" s="3750"/>
      <c r="BF583" s="3750"/>
      <c r="BG583" s="3750"/>
      <c r="BH583" s="3750"/>
      <c r="BI583" s="3750" t="s">
        <v>89</v>
      </c>
      <c r="BJ583" s="3750">
        <f t="shared" si="345"/>
        <v>133.6</v>
      </c>
      <c r="BK583" s="3750">
        <f t="shared" si="346"/>
        <v>668</v>
      </c>
      <c r="BL583" s="3750">
        <f t="shared" si="347"/>
        <v>668</v>
      </c>
      <c r="BM583" s="3750">
        <f t="shared" si="348"/>
        <v>534.4</v>
      </c>
      <c r="BN583" s="3750">
        <f t="shared" si="349"/>
        <v>668</v>
      </c>
      <c r="BO583" s="4141">
        <f t="shared" si="350"/>
        <v>668</v>
      </c>
      <c r="BP583" s="3748">
        <f t="shared" si="351"/>
        <v>668</v>
      </c>
      <c r="BQ583" s="3748">
        <f t="shared" si="339"/>
        <v>4008</v>
      </c>
      <c r="BR583" s="3748">
        <f t="shared" si="340"/>
        <v>0</v>
      </c>
      <c r="BS583" s="4136"/>
      <c r="BT583" s="4137"/>
    </row>
    <row r="584" s="3568" customFormat="1" ht="50" customHeight="1" spans="1:72">
      <c r="A584" s="4125">
        <v>45912</v>
      </c>
      <c r="B584" s="3821" t="s">
        <v>407</v>
      </c>
      <c r="C584" s="3821" t="s">
        <v>91</v>
      </c>
      <c r="D584" s="3736">
        <v>4500179381</v>
      </c>
      <c r="E584" s="3735">
        <v>60253166</v>
      </c>
      <c r="F584" s="3735" t="s">
        <v>7766</v>
      </c>
      <c r="G584" s="3735" t="s">
        <v>3520</v>
      </c>
      <c r="H584" s="3736" t="s">
        <v>6063</v>
      </c>
      <c r="I584" s="3736">
        <v>3000</v>
      </c>
      <c r="J584" s="3736">
        <v>0</v>
      </c>
      <c r="K584" s="3736">
        <v>24</v>
      </c>
      <c r="L584" s="3736">
        <f t="shared" si="329"/>
        <v>125</v>
      </c>
      <c r="M584" s="3737">
        <v>45968</v>
      </c>
      <c r="N584" s="3737">
        <v>45964</v>
      </c>
      <c r="O584" s="905"/>
      <c r="P584" s="959" t="s">
        <v>82</v>
      </c>
      <c r="Q584" s="3735"/>
      <c r="R584" s="3735"/>
      <c r="S584" s="3735"/>
      <c r="T584" s="4142"/>
      <c r="U584" s="4148" t="s">
        <v>2126</v>
      </c>
      <c r="V584" s="3738" t="s">
        <v>2050</v>
      </c>
      <c r="W584" s="4128"/>
      <c r="X584" s="3739" t="s">
        <v>98</v>
      </c>
      <c r="Y584" s="3739" t="s">
        <v>2127</v>
      </c>
      <c r="Z584" s="3740"/>
      <c r="AA584" s="3625" t="s">
        <v>1621</v>
      </c>
      <c r="AB584" s="3823" t="s">
        <v>393</v>
      </c>
      <c r="AC584" s="4130">
        <v>1.3159</v>
      </c>
      <c r="AD584" s="3736">
        <f t="shared" si="352"/>
        <v>3947.7</v>
      </c>
      <c r="AE584" s="3742" t="s">
        <v>2129</v>
      </c>
      <c r="AF584" s="3735" t="s">
        <v>3520</v>
      </c>
      <c r="AG584" s="3625" t="s">
        <v>416</v>
      </c>
      <c r="AH584" s="3625"/>
      <c r="AI584" s="3625"/>
      <c r="AJ584" s="3625"/>
      <c r="AK584" s="3735"/>
      <c r="AL584" s="3735">
        <f>I584</f>
        <v>3000</v>
      </c>
      <c r="AM584" s="3735"/>
      <c r="AN584" s="3735"/>
      <c r="AO584" s="3735"/>
      <c r="AP584" s="3736"/>
      <c r="AQ584" s="3736">
        <f t="shared" si="344"/>
        <v>3000</v>
      </c>
      <c r="AR584" s="3750"/>
      <c r="AS584" s="3750"/>
      <c r="AT584" s="3750">
        <f>I584</f>
        <v>3000</v>
      </c>
      <c r="AU584" s="3750"/>
      <c r="AV584" s="4133"/>
      <c r="AW584" s="3750"/>
      <c r="AX584" s="3750"/>
      <c r="AY584" s="3750"/>
      <c r="AZ584" s="3750"/>
      <c r="BA584" s="3750"/>
      <c r="BB584" s="3750"/>
      <c r="BC584" s="3750"/>
      <c r="BD584" s="3750"/>
      <c r="BE584" s="3750"/>
      <c r="BF584" s="3750"/>
      <c r="BG584" s="3750"/>
      <c r="BH584" s="3750"/>
      <c r="BI584" s="3750" t="s">
        <v>89</v>
      </c>
      <c r="BJ584" s="3750">
        <f t="shared" si="345"/>
        <v>100</v>
      </c>
      <c r="BK584" s="3750">
        <f t="shared" si="346"/>
        <v>500</v>
      </c>
      <c r="BL584" s="3750">
        <f t="shared" si="347"/>
        <v>500</v>
      </c>
      <c r="BM584" s="3750">
        <f t="shared" si="348"/>
        <v>400</v>
      </c>
      <c r="BN584" s="3750">
        <f t="shared" si="349"/>
        <v>500</v>
      </c>
      <c r="BO584" s="4141">
        <f t="shared" si="350"/>
        <v>500</v>
      </c>
      <c r="BP584" s="3748">
        <f t="shared" si="351"/>
        <v>500</v>
      </c>
      <c r="BQ584" s="3748">
        <f t="shared" si="339"/>
        <v>3000</v>
      </c>
      <c r="BR584" s="3748">
        <f t="shared" si="340"/>
        <v>0</v>
      </c>
      <c r="BS584" s="4136"/>
      <c r="BT584" s="4137"/>
    </row>
    <row r="585" s="3568" customFormat="1" ht="50" customHeight="1" spans="1:72">
      <c r="A585" s="4125">
        <v>45945</v>
      </c>
      <c r="B585" s="3821" t="s">
        <v>7767</v>
      </c>
      <c r="C585" s="3821" t="s">
        <v>6781</v>
      </c>
      <c r="D585" s="3736">
        <v>4500181980</v>
      </c>
      <c r="E585" s="3735" t="s">
        <v>7768</v>
      </c>
      <c r="F585" s="3735" t="s">
        <v>7769</v>
      </c>
      <c r="G585" s="3735" t="s">
        <v>6228</v>
      </c>
      <c r="H585" s="3736" t="s">
        <v>6063</v>
      </c>
      <c r="I585" s="3736">
        <v>300</v>
      </c>
      <c r="J585" s="3736">
        <v>0</v>
      </c>
      <c r="K585" s="3736">
        <v>6</v>
      </c>
      <c r="L585" s="3736">
        <f t="shared" si="329"/>
        <v>50</v>
      </c>
      <c r="M585" s="3737">
        <v>45981</v>
      </c>
      <c r="N585" s="3737">
        <v>45979</v>
      </c>
      <c r="O585" s="905"/>
      <c r="P585" s="959" t="s">
        <v>82</v>
      </c>
      <c r="Q585" s="3735"/>
      <c r="R585" s="3735"/>
      <c r="S585" s="3735"/>
      <c r="T585" s="4142"/>
      <c r="U585" s="3625" t="s">
        <v>5069</v>
      </c>
      <c r="V585" s="3739" t="s">
        <v>456</v>
      </c>
      <c r="W585" s="4128"/>
      <c r="X585" s="3739" t="s">
        <v>7770</v>
      </c>
      <c r="Y585" s="3738"/>
      <c r="Z585" s="3740"/>
      <c r="AA585" s="3625" t="s">
        <v>7771</v>
      </c>
      <c r="AB585" s="3823" t="s">
        <v>4665</v>
      </c>
      <c r="AC585" s="4130">
        <v>2.2713</v>
      </c>
      <c r="AD585" s="3736">
        <f t="shared" si="352"/>
        <v>681.39</v>
      </c>
      <c r="AE585" s="4149" t="s">
        <v>7772</v>
      </c>
      <c r="AF585" s="3735" t="s">
        <v>7508</v>
      </c>
      <c r="AG585" s="3625" t="s">
        <v>416</v>
      </c>
      <c r="AH585" s="3625"/>
      <c r="AI585" s="3625"/>
      <c r="AJ585" s="3625"/>
      <c r="AK585" s="3735"/>
      <c r="AL585" s="3735"/>
      <c r="AM585" s="3735"/>
      <c r="AN585" s="4131">
        <f>I585</f>
        <v>300</v>
      </c>
      <c r="AO585" s="3735"/>
      <c r="AP585" s="3736"/>
      <c r="AQ585" s="4132">
        <f t="shared" si="344"/>
        <v>300</v>
      </c>
      <c r="AR585" s="3750"/>
      <c r="AS585" s="3750"/>
      <c r="AT585" s="3750"/>
      <c r="AU585" s="3750"/>
      <c r="AV585" s="4133">
        <f>I585</f>
        <v>300</v>
      </c>
      <c r="AW585" s="3750"/>
      <c r="AX585" s="3750"/>
      <c r="AY585" s="3750"/>
      <c r="AZ585" s="4133">
        <f>I585/6</f>
        <v>50</v>
      </c>
      <c r="BA585" s="3750"/>
      <c r="BB585" s="3750"/>
      <c r="BC585" s="3750"/>
      <c r="BD585" s="3750"/>
      <c r="BE585" s="3750"/>
      <c r="BF585" s="3750"/>
      <c r="BG585" s="3750"/>
      <c r="BH585" s="3750"/>
      <c r="BI585" s="3750" t="s">
        <v>89</v>
      </c>
      <c r="BJ585" s="4133">
        <f t="shared" si="345"/>
        <v>10</v>
      </c>
      <c r="BK585" s="4133">
        <f t="shared" si="346"/>
        <v>50</v>
      </c>
      <c r="BL585" s="4133">
        <f t="shared" si="347"/>
        <v>50</v>
      </c>
      <c r="BM585" s="4133">
        <f t="shared" si="348"/>
        <v>40</v>
      </c>
      <c r="BN585" s="4133">
        <f t="shared" si="349"/>
        <v>50</v>
      </c>
      <c r="BO585" s="4134">
        <f t="shared" si="350"/>
        <v>50</v>
      </c>
      <c r="BP585" s="4135">
        <f t="shared" si="351"/>
        <v>50</v>
      </c>
      <c r="BQ585" s="4135">
        <f t="shared" si="339"/>
        <v>300</v>
      </c>
      <c r="BR585" s="3748">
        <f t="shared" si="340"/>
        <v>0</v>
      </c>
      <c r="BS585" s="4136"/>
      <c r="BT585" s="4137"/>
    </row>
    <row r="586" s="3568" customFormat="1" ht="50" customHeight="1" spans="1:72">
      <c r="A586" s="4125">
        <v>45925</v>
      </c>
      <c r="B586" s="3821" t="s">
        <v>7332</v>
      </c>
      <c r="C586" s="3821" t="s">
        <v>1624</v>
      </c>
      <c r="D586" s="3736">
        <v>4500180060</v>
      </c>
      <c r="E586" s="3735"/>
      <c r="F586" s="3735" t="s">
        <v>7773</v>
      </c>
      <c r="G586" s="3735" t="s">
        <v>6228</v>
      </c>
      <c r="H586" s="3736" t="s">
        <v>6063</v>
      </c>
      <c r="I586" s="3736">
        <v>900</v>
      </c>
      <c r="J586" s="3736">
        <v>0</v>
      </c>
      <c r="K586" s="3736">
        <v>6</v>
      </c>
      <c r="L586" s="3736">
        <f t="shared" si="329"/>
        <v>150</v>
      </c>
      <c r="M586" s="3737">
        <v>45985</v>
      </c>
      <c r="N586" s="3737">
        <v>45981</v>
      </c>
      <c r="O586" s="905"/>
      <c r="P586" s="959" t="s">
        <v>82</v>
      </c>
      <c r="Q586" s="3735"/>
      <c r="R586" s="3735"/>
      <c r="S586" s="3735"/>
      <c r="T586" s="4142"/>
      <c r="U586" s="3625" t="s">
        <v>5138</v>
      </c>
      <c r="V586" s="3739" t="s">
        <v>7774</v>
      </c>
      <c r="W586" s="4128"/>
      <c r="X586" s="3739" t="s">
        <v>7775</v>
      </c>
      <c r="Y586" s="3738"/>
      <c r="Z586" s="3740"/>
      <c r="AA586" s="3625" t="s">
        <v>7776</v>
      </c>
      <c r="AB586" s="3823" t="s">
        <v>6785</v>
      </c>
      <c r="AC586" s="4130">
        <v>2.2713</v>
      </c>
      <c r="AD586" s="3736">
        <f t="shared" si="352"/>
        <v>2044.17</v>
      </c>
      <c r="AE586" s="3742" t="s">
        <v>7777</v>
      </c>
      <c r="AF586" s="3735" t="s">
        <v>7508</v>
      </c>
      <c r="AG586" s="3625" t="s">
        <v>416</v>
      </c>
      <c r="AH586" s="3625"/>
      <c r="AI586" s="3625"/>
      <c r="AJ586" s="3625"/>
      <c r="AK586" s="3735"/>
      <c r="AL586" s="3735"/>
      <c r="AM586" s="3735"/>
      <c r="AN586" s="4131">
        <f>I586</f>
        <v>900</v>
      </c>
      <c r="AO586" s="3735"/>
      <c r="AP586" s="3736"/>
      <c r="AQ586" s="4132">
        <f t="shared" si="344"/>
        <v>900</v>
      </c>
      <c r="AR586" s="3750"/>
      <c r="AS586" s="3750"/>
      <c r="AT586" s="3750"/>
      <c r="AU586" s="3750"/>
      <c r="AV586" s="4133">
        <f>I586</f>
        <v>900</v>
      </c>
      <c r="AW586" s="3750"/>
      <c r="AX586" s="3750"/>
      <c r="AY586" s="3750"/>
      <c r="AZ586" s="4133">
        <f>I586/6</f>
        <v>150</v>
      </c>
      <c r="BA586" s="3750"/>
      <c r="BB586" s="3750"/>
      <c r="BC586" s="3750"/>
      <c r="BD586" s="3750"/>
      <c r="BE586" s="3750"/>
      <c r="BF586" s="3750"/>
      <c r="BG586" s="3750"/>
      <c r="BH586" s="3750"/>
      <c r="BI586" s="3750" t="s">
        <v>89</v>
      </c>
      <c r="BJ586" s="4133">
        <f t="shared" si="345"/>
        <v>30</v>
      </c>
      <c r="BK586" s="4133">
        <f t="shared" si="346"/>
        <v>150</v>
      </c>
      <c r="BL586" s="4133">
        <f t="shared" si="347"/>
        <v>150</v>
      </c>
      <c r="BM586" s="4133">
        <f t="shared" si="348"/>
        <v>120</v>
      </c>
      <c r="BN586" s="4133">
        <f t="shared" si="349"/>
        <v>150</v>
      </c>
      <c r="BO586" s="4134">
        <f t="shared" si="350"/>
        <v>150</v>
      </c>
      <c r="BP586" s="4135">
        <f t="shared" si="351"/>
        <v>150</v>
      </c>
      <c r="BQ586" s="4135">
        <f t="shared" si="339"/>
        <v>900</v>
      </c>
      <c r="BR586" s="3748">
        <f t="shared" si="340"/>
        <v>0</v>
      </c>
      <c r="BS586" s="4136"/>
      <c r="BT586" s="4137"/>
    </row>
    <row r="587" s="3568" customFormat="1" ht="50" customHeight="1" spans="1:72">
      <c r="A587" s="4125">
        <v>45940</v>
      </c>
      <c r="B587" s="3821" t="s">
        <v>6341</v>
      </c>
      <c r="C587" s="3821" t="s">
        <v>506</v>
      </c>
      <c r="D587" s="3736">
        <v>4500181348</v>
      </c>
      <c r="E587" s="3735" t="s">
        <v>7778</v>
      </c>
      <c r="F587" s="3736" t="s">
        <v>7779</v>
      </c>
      <c r="G587" s="3735" t="s">
        <v>6124</v>
      </c>
      <c r="H587" s="3736" t="s">
        <v>6063</v>
      </c>
      <c r="I587" s="3736">
        <v>360</v>
      </c>
      <c r="J587" s="3736">
        <v>0</v>
      </c>
      <c r="K587" s="3736">
        <v>12</v>
      </c>
      <c r="L587" s="3736">
        <f t="shared" si="329"/>
        <v>30</v>
      </c>
      <c r="M587" s="3737">
        <v>45985</v>
      </c>
      <c r="N587" s="3737">
        <v>45981</v>
      </c>
      <c r="O587" s="905"/>
      <c r="P587" s="959" t="s">
        <v>82</v>
      </c>
      <c r="Q587" s="3735"/>
      <c r="R587" s="3735"/>
      <c r="S587" s="3735"/>
      <c r="T587" s="4142"/>
      <c r="U587" s="3625" t="s">
        <v>5076</v>
      </c>
      <c r="V587" s="3739" t="s">
        <v>7774</v>
      </c>
      <c r="W587" s="4128"/>
      <c r="X587" s="3739" t="s">
        <v>6345</v>
      </c>
      <c r="Y587" s="3738"/>
      <c r="Z587" s="3740"/>
      <c r="AA587" s="3625" t="s">
        <v>7683</v>
      </c>
      <c r="AB587" s="3823" t="s">
        <v>3202</v>
      </c>
      <c r="AC587" s="4130">
        <v>2.375</v>
      </c>
      <c r="AD587" s="3736">
        <f t="shared" si="352"/>
        <v>855</v>
      </c>
      <c r="AE587" s="3742" t="s">
        <v>7780</v>
      </c>
      <c r="AF587" s="3735" t="s">
        <v>6124</v>
      </c>
      <c r="AG587" s="3625" t="s">
        <v>416</v>
      </c>
      <c r="AH587" s="3625"/>
      <c r="AI587" s="3625"/>
      <c r="AJ587" s="3625"/>
      <c r="AK587" s="3735"/>
      <c r="AL587" s="3735">
        <f>I587</f>
        <v>360</v>
      </c>
      <c r="AM587" s="3735"/>
      <c r="AN587" s="4131"/>
      <c r="AO587" s="3735"/>
      <c r="AP587" s="3736"/>
      <c r="AQ587" s="4132">
        <f t="shared" si="344"/>
        <v>360</v>
      </c>
      <c r="AR587" s="3750"/>
      <c r="AS587" s="3750"/>
      <c r="AT587" s="3750">
        <f>I587</f>
        <v>360</v>
      </c>
      <c r="AU587" s="3750"/>
      <c r="AV587" s="4133"/>
      <c r="AW587" s="3750"/>
      <c r="AX587" s="3750">
        <f>I587</f>
        <v>360</v>
      </c>
      <c r="AY587" s="3750"/>
      <c r="AZ587" s="4133"/>
      <c r="BA587" s="3750"/>
      <c r="BB587" s="3750"/>
      <c r="BC587" s="3750"/>
      <c r="BD587" s="3750"/>
      <c r="BE587" s="3750"/>
      <c r="BF587" s="3750"/>
      <c r="BG587" s="3750"/>
      <c r="BH587" s="3750"/>
      <c r="BI587" s="3750" t="s">
        <v>89</v>
      </c>
      <c r="BJ587" s="4133">
        <f t="shared" si="345"/>
        <v>12</v>
      </c>
      <c r="BK587" s="4133">
        <f t="shared" si="346"/>
        <v>60</v>
      </c>
      <c r="BL587" s="4133">
        <f t="shared" si="347"/>
        <v>60</v>
      </c>
      <c r="BM587" s="4133">
        <f t="shared" si="348"/>
        <v>48</v>
      </c>
      <c r="BN587" s="4133">
        <f t="shared" si="349"/>
        <v>60</v>
      </c>
      <c r="BO587" s="4134">
        <f t="shared" si="350"/>
        <v>60</v>
      </c>
      <c r="BP587" s="4135">
        <f t="shared" si="351"/>
        <v>60</v>
      </c>
      <c r="BQ587" s="4135">
        <f t="shared" si="339"/>
        <v>360</v>
      </c>
      <c r="BR587" s="3748">
        <f t="shared" si="340"/>
        <v>0</v>
      </c>
      <c r="BS587" s="4136"/>
      <c r="BT587" s="4137"/>
    </row>
    <row r="588" s="3568" customFormat="1" ht="50" customHeight="1" spans="1:72">
      <c r="A588" s="4125">
        <v>45940</v>
      </c>
      <c r="B588" s="3821" t="s">
        <v>6341</v>
      </c>
      <c r="C588" s="3821" t="s">
        <v>506</v>
      </c>
      <c r="D588" s="3736">
        <v>4500181348</v>
      </c>
      <c r="E588" s="3735" t="s">
        <v>7781</v>
      </c>
      <c r="F588" s="3736" t="s">
        <v>7782</v>
      </c>
      <c r="G588" s="3735" t="s">
        <v>6124</v>
      </c>
      <c r="H588" s="3736" t="s">
        <v>6063</v>
      </c>
      <c r="I588" s="3736">
        <v>648</v>
      </c>
      <c r="J588" s="3736">
        <v>0</v>
      </c>
      <c r="K588" s="3736">
        <v>12</v>
      </c>
      <c r="L588" s="3736">
        <f t="shared" si="329"/>
        <v>54</v>
      </c>
      <c r="M588" s="3737">
        <v>45985</v>
      </c>
      <c r="N588" s="3737">
        <v>45981</v>
      </c>
      <c r="O588" s="905"/>
      <c r="P588" s="959" t="s">
        <v>82</v>
      </c>
      <c r="Q588" s="3735"/>
      <c r="R588" s="3735"/>
      <c r="S588" s="3735"/>
      <c r="T588" s="4142"/>
      <c r="U588" s="3625" t="s">
        <v>5103</v>
      </c>
      <c r="V588" s="3739" t="s">
        <v>7774</v>
      </c>
      <c r="W588" s="4128"/>
      <c r="X588" s="3739" t="s">
        <v>6345</v>
      </c>
      <c r="Y588" s="3738"/>
      <c r="Z588" s="3740"/>
      <c r="AA588" s="3625" t="s">
        <v>7683</v>
      </c>
      <c r="AB588" s="3823" t="s">
        <v>3202</v>
      </c>
      <c r="AC588" s="4130">
        <v>2.375</v>
      </c>
      <c r="AD588" s="3736">
        <f t="shared" si="352"/>
        <v>1539</v>
      </c>
      <c r="AE588" s="3742" t="s">
        <v>7783</v>
      </c>
      <c r="AF588" s="3735" t="s">
        <v>6124</v>
      </c>
      <c r="AG588" s="3625" t="s">
        <v>416</v>
      </c>
      <c r="AH588" s="3625"/>
      <c r="AI588" s="3625"/>
      <c r="AJ588" s="3625"/>
      <c r="AK588" s="3735"/>
      <c r="AL588" s="3735">
        <f>I588</f>
        <v>648</v>
      </c>
      <c r="AM588" s="3735"/>
      <c r="AN588" s="4131"/>
      <c r="AO588" s="3735"/>
      <c r="AP588" s="3736"/>
      <c r="AQ588" s="4132">
        <f t="shared" si="344"/>
        <v>648</v>
      </c>
      <c r="AR588" s="3750"/>
      <c r="AS588" s="3750"/>
      <c r="AT588" s="3750">
        <f>I588</f>
        <v>648</v>
      </c>
      <c r="AU588" s="3750"/>
      <c r="AV588" s="4133"/>
      <c r="AW588" s="3750"/>
      <c r="AX588" s="3750">
        <f>I588</f>
        <v>648</v>
      </c>
      <c r="AY588" s="3750"/>
      <c r="AZ588" s="4133"/>
      <c r="BA588" s="3750"/>
      <c r="BB588" s="3750"/>
      <c r="BC588" s="3750"/>
      <c r="BD588" s="3750"/>
      <c r="BE588" s="3750"/>
      <c r="BF588" s="3750"/>
      <c r="BG588" s="3750"/>
      <c r="BH588" s="3750"/>
      <c r="BI588" s="3750" t="s">
        <v>89</v>
      </c>
      <c r="BJ588" s="4133">
        <f t="shared" si="345"/>
        <v>21.6</v>
      </c>
      <c r="BK588" s="4133">
        <f t="shared" si="346"/>
        <v>108</v>
      </c>
      <c r="BL588" s="4133">
        <f t="shared" si="347"/>
        <v>108</v>
      </c>
      <c r="BM588" s="4133">
        <f t="shared" si="348"/>
        <v>86.4</v>
      </c>
      <c r="BN588" s="4133">
        <f t="shared" si="349"/>
        <v>108</v>
      </c>
      <c r="BO588" s="4134">
        <f t="shared" si="350"/>
        <v>108</v>
      </c>
      <c r="BP588" s="4135">
        <f t="shared" si="351"/>
        <v>108</v>
      </c>
      <c r="BQ588" s="4135">
        <f t="shared" si="339"/>
        <v>648</v>
      </c>
      <c r="BR588" s="3748">
        <f t="shared" si="340"/>
        <v>0</v>
      </c>
      <c r="BS588" s="4136"/>
      <c r="BT588" s="4137"/>
    </row>
    <row r="589" s="3568" customFormat="1" ht="50" customHeight="1" spans="1:72">
      <c r="A589" s="4125">
        <v>45940</v>
      </c>
      <c r="B589" s="3821" t="s">
        <v>6341</v>
      </c>
      <c r="C589" s="3821" t="s">
        <v>506</v>
      </c>
      <c r="D589" s="3736">
        <v>4500181348</v>
      </c>
      <c r="E589" s="3735" t="s">
        <v>7784</v>
      </c>
      <c r="F589" s="3736" t="s">
        <v>7785</v>
      </c>
      <c r="G589" s="3735" t="s">
        <v>6124</v>
      </c>
      <c r="H589" s="3736" t="s">
        <v>6063</v>
      </c>
      <c r="I589" s="3736">
        <v>564</v>
      </c>
      <c r="J589" s="3736">
        <v>0</v>
      </c>
      <c r="K589" s="3736">
        <v>12</v>
      </c>
      <c r="L589" s="3736">
        <f t="shared" si="329"/>
        <v>47</v>
      </c>
      <c r="M589" s="3737">
        <v>45985</v>
      </c>
      <c r="N589" s="3737">
        <v>45981</v>
      </c>
      <c r="O589" s="905"/>
      <c r="P589" s="959" t="s">
        <v>82</v>
      </c>
      <c r="Q589" s="3735"/>
      <c r="R589" s="3735"/>
      <c r="S589" s="3735"/>
      <c r="T589" s="4142"/>
      <c r="U589" s="3625" t="s">
        <v>5103</v>
      </c>
      <c r="V589" s="3739" t="s">
        <v>7774</v>
      </c>
      <c r="W589" s="4128"/>
      <c r="X589" s="3739" t="s">
        <v>6345</v>
      </c>
      <c r="Y589" s="3738"/>
      <c r="Z589" s="3740"/>
      <c r="AA589" s="3625" t="s">
        <v>7683</v>
      </c>
      <c r="AB589" s="3823" t="s">
        <v>3202</v>
      </c>
      <c r="AC589" s="4130">
        <v>2.375</v>
      </c>
      <c r="AD589" s="3736">
        <f t="shared" si="352"/>
        <v>1339.5</v>
      </c>
      <c r="AE589" s="3742" t="s">
        <v>7783</v>
      </c>
      <c r="AF589" s="3735" t="s">
        <v>6124</v>
      </c>
      <c r="AG589" s="3625" t="s">
        <v>416</v>
      </c>
      <c r="AH589" s="3625"/>
      <c r="AI589" s="3625"/>
      <c r="AJ589" s="3625"/>
      <c r="AK589" s="3735"/>
      <c r="AL589" s="3735">
        <f>I589</f>
        <v>564</v>
      </c>
      <c r="AM589" s="3735"/>
      <c r="AN589" s="4131"/>
      <c r="AO589" s="3735"/>
      <c r="AP589" s="3736"/>
      <c r="AQ589" s="4132">
        <f t="shared" si="344"/>
        <v>564</v>
      </c>
      <c r="AR589" s="3750"/>
      <c r="AS589" s="3750"/>
      <c r="AT589" s="3750">
        <f>I589</f>
        <v>564</v>
      </c>
      <c r="AU589" s="3750"/>
      <c r="AV589" s="4133"/>
      <c r="AW589" s="3750"/>
      <c r="AX589" s="3750">
        <f>I589</f>
        <v>564</v>
      </c>
      <c r="AY589" s="3750"/>
      <c r="AZ589" s="4133"/>
      <c r="BA589" s="3750"/>
      <c r="BB589" s="3750"/>
      <c r="BC589" s="3750"/>
      <c r="BD589" s="3750"/>
      <c r="BE589" s="3750"/>
      <c r="BF589" s="3750"/>
      <c r="BG589" s="3750"/>
      <c r="BH589" s="3750"/>
      <c r="BI589" s="3750" t="s">
        <v>89</v>
      </c>
      <c r="BJ589" s="4133">
        <f t="shared" si="345"/>
        <v>18.8</v>
      </c>
      <c r="BK589" s="4133">
        <f t="shared" si="346"/>
        <v>94</v>
      </c>
      <c r="BL589" s="4133">
        <f t="shared" si="347"/>
        <v>94</v>
      </c>
      <c r="BM589" s="4133">
        <f t="shared" si="348"/>
        <v>75.2</v>
      </c>
      <c r="BN589" s="4133">
        <f t="shared" si="349"/>
        <v>94</v>
      </c>
      <c r="BO589" s="4134">
        <f t="shared" si="350"/>
        <v>94</v>
      </c>
      <c r="BP589" s="4135">
        <f t="shared" si="351"/>
        <v>94</v>
      </c>
      <c r="BQ589" s="4135">
        <f t="shared" si="339"/>
        <v>564</v>
      </c>
      <c r="BR589" s="3748">
        <f t="shared" si="340"/>
        <v>0</v>
      </c>
      <c r="BS589" s="4136"/>
      <c r="BT589" s="4137"/>
    </row>
    <row r="590" s="3568" customFormat="1" ht="50" customHeight="1" spans="1:72">
      <c r="A590" s="4125">
        <v>45929</v>
      </c>
      <c r="B590" s="3821" t="s">
        <v>5074</v>
      </c>
      <c r="C590" s="3821" t="s">
        <v>471</v>
      </c>
      <c r="D590" s="3736">
        <v>4500180918</v>
      </c>
      <c r="E590" s="3735">
        <v>249727</v>
      </c>
      <c r="F590" s="3735" t="s">
        <v>7786</v>
      </c>
      <c r="G590" s="3735" t="s">
        <v>6108</v>
      </c>
      <c r="H590" s="3736" t="s">
        <v>6063</v>
      </c>
      <c r="I590" s="3736">
        <v>2400</v>
      </c>
      <c r="J590" s="3736">
        <v>0</v>
      </c>
      <c r="K590" s="3736">
        <v>12</v>
      </c>
      <c r="L590" s="4132">
        <f t="shared" si="329"/>
        <v>200</v>
      </c>
      <c r="M590" s="3737">
        <v>45979</v>
      </c>
      <c r="N590" s="3737">
        <v>45975</v>
      </c>
      <c r="O590" s="905"/>
      <c r="P590" s="959" t="s">
        <v>82</v>
      </c>
      <c r="Q590" s="3735"/>
      <c r="R590" s="3735"/>
      <c r="S590" s="3735"/>
      <c r="T590" s="4142"/>
      <c r="U590" s="3645" t="s">
        <v>5076</v>
      </c>
      <c r="V590" s="3739" t="s">
        <v>2253</v>
      </c>
      <c r="W590" s="3739"/>
      <c r="X590" s="3739" t="s">
        <v>5077</v>
      </c>
      <c r="Y590" s="3739" t="s">
        <v>7787</v>
      </c>
      <c r="Z590" s="3740"/>
      <c r="AA590" s="3625" t="s">
        <v>7788</v>
      </c>
      <c r="AB590" s="3823" t="s">
        <v>5080</v>
      </c>
      <c r="AC590" s="4130">
        <v>2.2547</v>
      </c>
      <c r="AD590" s="3736">
        <f t="shared" si="352"/>
        <v>5411.28</v>
      </c>
      <c r="AE590" s="3645" t="s">
        <v>5081</v>
      </c>
      <c r="AF590" s="3735" t="s">
        <v>6699</v>
      </c>
      <c r="AG590" s="3625" t="s">
        <v>416</v>
      </c>
      <c r="AH590" s="3625"/>
      <c r="AI590" s="3625"/>
      <c r="AJ590" s="3625"/>
      <c r="AK590" s="3735"/>
      <c r="AL590" s="4131"/>
      <c r="AM590" s="4131"/>
      <c r="AN590" s="4131">
        <f>I590</f>
        <v>2400</v>
      </c>
      <c r="AO590" s="3735"/>
      <c r="AP590" s="3736"/>
      <c r="AQ590" s="4132">
        <f t="shared" si="344"/>
        <v>2400</v>
      </c>
      <c r="AR590" s="3750"/>
      <c r="AS590" s="3750"/>
      <c r="AT590" s="4133"/>
      <c r="AU590" s="3750"/>
      <c r="AV590" s="4133">
        <f>I590</f>
        <v>2400</v>
      </c>
      <c r="AW590" s="3750"/>
      <c r="AX590" s="4133">
        <f>I590/6</f>
        <v>400</v>
      </c>
      <c r="AY590" s="3750"/>
      <c r="AZ590" s="4133"/>
      <c r="BA590" s="3750"/>
      <c r="BB590" s="3750"/>
      <c r="BC590" s="3750"/>
      <c r="BD590" s="3750"/>
      <c r="BE590" s="3750"/>
      <c r="BF590" s="3750"/>
      <c r="BG590" s="3750"/>
      <c r="BH590" s="3750"/>
      <c r="BI590" s="3750" t="s">
        <v>682</v>
      </c>
      <c r="BJ590" s="3750">
        <f t="shared" si="345"/>
        <v>80</v>
      </c>
      <c r="BK590" s="3750">
        <f t="shared" si="346"/>
        <v>400</v>
      </c>
      <c r="BL590" s="3750">
        <f t="shared" si="347"/>
        <v>400</v>
      </c>
      <c r="BM590" s="3750">
        <f t="shared" si="348"/>
        <v>320</v>
      </c>
      <c r="BN590" s="3750">
        <f t="shared" si="349"/>
        <v>400</v>
      </c>
      <c r="BO590" s="4141">
        <f t="shared" si="350"/>
        <v>400</v>
      </c>
      <c r="BP590" s="3748">
        <f t="shared" si="351"/>
        <v>400</v>
      </c>
      <c r="BQ590" s="3748">
        <f t="shared" si="339"/>
        <v>2400</v>
      </c>
      <c r="BR590" s="3748">
        <f t="shared" si="340"/>
        <v>0</v>
      </c>
      <c r="BS590" s="4136"/>
      <c r="BT590" s="4137"/>
    </row>
    <row r="591" s="3568" customFormat="1" ht="50" customHeight="1" spans="1:72">
      <c r="A591" s="4125">
        <v>45947</v>
      </c>
      <c r="B591" s="3821" t="s">
        <v>1477</v>
      </c>
      <c r="C591" s="3821" t="s">
        <v>351</v>
      </c>
      <c r="D591" s="3736">
        <v>4500181871</v>
      </c>
      <c r="E591" s="3735"/>
      <c r="F591" s="3736" t="s">
        <v>7789</v>
      </c>
      <c r="G591" s="3735" t="s">
        <v>3520</v>
      </c>
      <c r="H591" s="3736" t="s">
        <v>6063</v>
      </c>
      <c r="I591" s="3736">
        <v>2448</v>
      </c>
      <c r="J591" s="3736">
        <v>0</v>
      </c>
      <c r="K591" s="3736">
        <v>24</v>
      </c>
      <c r="L591" s="3736">
        <f t="shared" si="329"/>
        <v>102</v>
      </c>
      <c r="M591" s="3737">
        <v>45987</v>
      </c>
      <c r="N591" s="3737">
        <v>45983</v>
      </c>
      <c r="O591" s="905"/>
      <c r="P591" s="959" t="s">
        <v>82</v>
      </c>
      <c r="Q591" s="3615"/>
      <c r="R591" s="3615"/>
      <c r="S591" s="3615"/>
      <c r="T591" s="4150"/>
      <c r="U591" s="3625" t="s">
        <v>5138</v>
      </c>
      <c r="V591" s="3739" t="s">
        <v>5139</v>
      </c>
      <c r="W591" s="4128"/>
      <c r="X591" s="3739" t="s">
        <v>7790</v>
      </c>
      <c r="Y591" s="3738"/>
      <c r="Z591" s="3740"/>
      <c r="AA591" s="3625" t="s">
        <v>7791</v>
      </c>
      <c r="AB591" s="3823" t="s">
        <v>357</v>
      </c>
      <c r="AC591" s="4130">
        <v>2.1973</v>
      </c>
      <c r="AD591" s="3736">
        <f t="shared" si="352"/>
        <v>5378.9904</v>
      </c>
      <c r="AE591" s="3742" t="s">
        <v>7792</v>
      </c>
      <c r="AF591" s="3735" t="s">
        <v>3520</v>
      </c>
      <c r="AG591" s="3625" t="s">
        <v>416</v>
      </c>
      <c r="AH591" s="3625"/>
      <c r="AI591" s="3625"/>
      <c r="AJ591" s="3625"/>
      <c r="AK591" s="3735"/>
      <c r="AL591" s="3735">
        <f>I591</f>
        <v>2448</v>
      </c>
      <c r="AM591" s="3735"/>
      <c r="AN591" s="4131"/>
      <c r="AO591" s="3735"/>
      <c r="AP591" s="3736"/>
      <c r="AQ591" s="4132">
        <f t="shared" si="344"/>
        <v>2448</v>
      </c>
      <c r="AR591" s="3750"/>
      <c r="AS591" s="3750"/>
      <c r="AT591" s="3750">
        <f>I591</f>
        <v>2448</v>
      </c>
      <c r="AU591" s="3750"/>
      <c r="AV591" s="4133"/>
      <c r="AW591" s="3750"/>
      <c r="AX591" s="3750"/>
      <c r="AY591" s="3750"/>
      <c r="AZ591" s="4133"/>
      <c r="BA591" s="3750"/>
      <c r="BB591" s="3750"/>
      <c r="BC591" s="3750"/>
      <c r="BD591" s="3750"/>
      <c r="BE591" s="3750"/>
      <c r="BF591" s="3750"/>
      <c r="BG591" s="3750"/>
      <c r="BH591" s="3750"/>
      <c r="BI591" s="3750" t="s">
        <v>89</v>
      </c>
      <c r="BJ591" s="3750">
        <f t="shared" si="345"/>
        <v>81.6</v>
      </c>
      <c r="BK591" s="3750">
        <f t="shared" si="346"/>
        <v>408</v>
      </c>
      <c r="BL591" s="3750">
        <f t="shared" si="347"/>
        <v>408</v>
      </c>
      <c r="BM591" s="3750">
        <f t="shared" si="348"/>
        <v>326.4</v>
      </c>
      <c r="BN591" s="3750">
        <f t="shared" si="349"/>
        <v>408</v>
      </c>
      <c r="BO591" s="4141">
        <f t="shared" si="350"/>
        <v>408</v>
      </c>
      <c r="BP591" s="3748">
        <f t="shared" si="351"/>
        <v>408</v>
      </c>
      <c r="BQ591" s="3748">
        <f t="shared" si="339"/>
        <v>2448</v>
      </c>
      <c r="BR591" s="3748">
        <f t="shared" si="340"/>
        <v>0</v>
      </c>
      <c r="BS591" s="4136"/>
      <c r="BT591" s="4137"/>
    </row>
    <row r="592" s="3566" customFormat="1" ht="50" customHeight="1" spans="1:72">
      <c r="A592" s="3635">
        <v>45941</v>
      </c>
      <c r="B592" s="3617" t="s">
        <v>2143</v>
      </c>
      <c r="C592" s="3617" t="s">
        <v>1624</v>
      </c>
      <c r="D592" s="3618">
        <v>4500181278</v>
      </c>
      <c r="E592" s="959">
        <v>5200007921</v>
      </c>
      <c r="F592" s="959" t="s">
        <v>7793</v>
      </c>
      <c r="G592" s="959" t="s">
        <v>6062</v>
      </c>
      <c r="H592" s="3618" t="s">
        <v>6063</v>
      </c>
      <c r="I592" s="3618">
        <v>756</v>
      </c>
      <c r="J592" s="3618">
        <v>0</v>
      </c>
      <c r="K592" s="3618">
        <v>6</v>
      </c>
      <c r="L592" s="3618">
        <f t="shared" si="329"/>
        <v>126</v>
      </c>
      <c r="M592" s="3619">
        <v>45981</v>
      </c>
      <c r="N592" s="3619">
        <v>45979</v>
      </c>
      <c r="O592" s="3664"/>
      <c r="P592" s="959" t="s">
        <v>82</v>
      </c>
      <c r="Q592" s="959"/>
      <c r="R592" s="959"/>
      <c r="S592" s="959"/>
      <c r="T592" s="4053"/>
      <c r="U592" s="3620"/>
      <c r="V592" s="3657" t="s">
        <v>2146</v>
      </c>
      <c r="W592" s="3695"/>
      <c r="X592" s="3657" t="s">
        <v>7794</v>
      </c>
      <c r="Y592" s="3649"/>
      <c r="Z592" s="3661"/>
      <c r="AA592" s="3620" t="s">
        <v>7795</v>
      </c>
      <c r="AB592" s="3624" t="s">
        <v>2149</v>
      </c>
      <c r="AC592" s="4058">
        <v>2.2713</v>
      </c>
      <c r="AD592" s="3618">
        <f t="shared" si="352"/>
        <v>1717.1028</v>
      </c>
      <c r="AE592" s="3633" t="s">
        <v>2150</v>
      </c>
      <c r="AF592" s="959" t="s">
        <v>7508</v>
      </c>
      <c r="AG592" s="3620" t="s">
        <v>416</v>
      </c>
      <c r="AH592" s="3620"/>
      <c r="AI592" s="3620"/>
      <c r="AJ592" s="3620"/>
      <c r="AK592" s="959"/>
      <c r="AL592" s="959"/>
      <c r="AM592" s="959"/>
      <c r="AN592" s="4108">
        <f>I592</f>
        <v>756</v>
      </c>
      <c r="AO592" s="959"/>
      <c r="AP592" s="3618"/>
      <c r="AQ592" s="4052">
        <f t="shared" si="344"/>
        <v>756</v>
      </c>
      <c r="AR592" s="3626"/>
      <c r="AS592" s="3626"/>
      <c r="AT592" s="3626"/>
      <c r="AU592" s="3626"/>
      <c r="AV592" s="4109">
        <f>I592</f>
        <v>756</v>
      </c>
      <c r="AW592" s="3626"/>
      <c r="AX592" s="3626"/>
      <c r="AY592" s="3626"/>
      <c r="AZ592" s="4109">
        <f>I592/6</f>
        <v>126</v>
      </c>
      <c r="BA592" s="3626"/>
      <c r="BB592" s="3626"/>
      <c r="BC592" s="3626"/>
      <c r="BD592" s="3626"/>
      <c r="BE592" s="3626"/>
      <c r="BF592" s="3626"/>
      <c r="BG592" s="3626"/>
      <c r="BH592" s="3626"/>
      <c r="BI592" s="3626" t="s">
        <v>89</v>
      </c>
      <c r="BJ592" s="3626">
        <f t="shared" si="345"/>
        <v>25.2</v>
      </c>
      <c r="BK592" s="3626">
        <f t="shared" si="346"/>
        <v>126</v>
      </c>
      <c r="BL592" s="3626">
        <f t="shared" si="347"/>
        <v>126</v>
      </c>
      <c r="BM592" s="3626">
        <f t="shared" si="348"/>
        <v>100.8</v>
      </c>
      <c r="BN592" s="3626">
        <f t="shared" si="349"/>
        <v>126</v>
      </c>
      <c r="BO592" s="4055">
        <f t="shared" si="350"/>
        <v>126</v>
      </c>
      <c r="BP592" s="3627">
        <f t="shared" si="351"/>
        <v>126</v>
      </c>
      <c r="BQ592" s="3627">
        <f t="shared" si="339"/>
        <v>756</v>
      </c>
      <c r="BR592" s="3627">
        <f t="shared" si="340"/>
        <v>0</v>
      </c>
      <c r="BS592" s="4056"/>
      <c r="BT592" s="4057"/>
    </row>
    <row r="593" s="3566" customFormat="1" ht="50" customHeight="1" spans="1:72">
      <c r="A593" s="3635">
        <v>45928</v>
      </c>
      <c r="B593" s="3617" t="s">
        <v>371</v>
      </c>
      <c r="C593" s="3617" t="s">
        <v>2058</v>
      </c>
      <c r="D593" s="3618">
        <v>4500180750</v>
      </c>
      <c r="E593" s="959" t="s">
        <v>7796</v>
      </c>
      <c r="F593" s="959" t="s">
        <v>7797</v>
      </c>
      <c r="G593" s="959" t="s">
        <v>6281</v>
      </c>
      <c r="H593" s="959" t="s">
        <v>6292</v>
      </c>
      <c r="I593" s="3618">
        <v>480</v>
      </c>
      <c r="J593" s="3618">
        <v>0</v>
      </c>
      <c r="K593" s="3618">
        <v>32</v>
      </c>
      <c r="L593" s="4052">
        <f t="shared" si="329"/>
        <v>15</v>
      </c>
      <c r="M593" s="3619">
        <v>45989</v>
      </c>
      <c r="N593" s="3619">
        <v>45985</v>
      </c>
      <c r="O593" s="3664"/>
      <c r="P593" s="959" t="s">
        <v>82</v>
      </c>
      <c r="Q593" s="959"/>
      <c r="R593" s="959"/>
      <c r="S593" s="959"/>
      <c r="T593" s="4053"/>
      <c r="U593" s="3620" t="s">
        <v>7798</v>
      </c>
      <c r="V593" s="3657" t="s">
        <v>1793</v>
      </c>
      <c r="W593" s="3695"/>
      <c r="X593" s="3657" t="s">
        <v>7799</v>
      </c>
      <c r="Y593" s="3649"/>
      <c r="Z593" s="3661"/>
      <c r="AA593" s="3620" t="s">
        <v>7800</v>
      </c>
      <c r="AB593" s="3624" t="s">
        <v>380</v>
      </c>
      <c r="AC593" s="4058">
        <v>2.3158</v>
      </c>
      <c r="AD593" s="3618">
        <f t="shared" si="352"/>
        <v>1111.584</v>
      </c>
      <c r="AE593" s="3633"/>
      <c r="AF593" s="959" t="s">
        <v>6106</v>
      </c>
      <c r="AG593" s="3620" t="s">
        <v>416</v>
      </c>
      <c r="AH593" s="3620"/>
      <c r="AI593" s="3620"/>
      <c r="AJ593" s="3620"/>
      <c r="AK593" s="959"/>
      <c r="AL593" s="959"/>
      <c r="AM593" s="4108"/>
      <c r="AN593" s="4108">
        <f>I593</f>
        <v>480</v>
      </c>
      <c r="AO593" s="959"/>
      <c r="AP593" s="3618"/>
      <c r="AQ593" s="4052">
        <f t="shared" si="344"/>
        <v>480</v>
      </c>
      <c r="AR593" s="3626"/>
      <c r="AS593" s="3626"/>
      <c r="AT593" s="4109">
        <f>I593</f>
        <v>480</v>
      </c>
      <c r="AU593" s="3626"/>
      <c r="AV593" s="3626"/>
      <c r="AW593" s="3626"/>
      <c r="AX593" s="3626"/>
      <c r="AY593" s="3626"/>
      <c r="AZ593" s="4109"/>
      <c r="BA593" s="3626"/>
      <c r="BB593" s="3626"/>
      <c r="BC593" s="3626"/>
      <c r="BD593" s="3626"/>
      <c r="BE593" s="3626"/>
      <c r="BF593" s="3626"/>
      <c r="BG593" s="3626"/>
      <c r="BH593" s="3626"/>
      <c r="BI593" s="3626" t="s">
        <v>89</v>
      </c>
      <c r="BJ593" s="4109"/>
      <c r="BK593" s="4109">
        <f>I593</f>
        <v>480</v>
      </c>
      <c r="BL593" s="4109"/>
      <c r="BM593" s="4109"/>
      <c r="BN593" s="4109"/>
      <c r="BO593" s="4079"/>
      <c r="BP593" s="4110"/>
      <c r="BQ593" s="4110">
        <f t="shared" si="339"/>
        <v>480</v>
      </c>
      <c r="BR593" s="3627">
        <f t="shared" si="340"/>
        <v>0</v>
      </c>
      <c r="BS593" s="4056"/>
      <c r="BT593" s="4057"/>
    </row>
    <row r="594" s="3568" customFormat="1" ht="50" customHeight="1" spans="1:72">
      <c r="A594" s="4125">
        <v>45950</v>
      </c>
      <c r="B594" s="3821" t="s">
        <v>2770</v>
      </c>
      <c r="C594" s="3821" t="s">
        <v>2723</v>
      </c>
      <c r="D594" s="3736">
        <v>4500182488</v>
      </c>
      <c r="E594" s="3735"/>
      <c r="F594" s="3735" t="s">
        <v>7801</v>
      </c>
      <c r="G594" s="3735" t="s">
        <v>6186</v>
      </c>
      <c r="H594" s="3736" t="s">
        <v>6063</v>
      </c>
      <c r="I594" s="3736">
        <v>624</v>
      </c>
      <c r="J594" s="3736">
        <v>0</v>
      </c>
      <c r="K594" s="3736">
        <v>6</v>
      </c>
      <c r="L594" s="4132">
        <f t="shared" si="329"/>
        <v>104</v>
      </c>
      <c r="M594" s="3737">
        <v>45989</v>
      </c>
      <c r="N594" s="3737">
        <v>45985</v>
      </c>
      <c r="O594" s="905"/>
      <c r="P594" s="959" t="s">
        <v>82</v>
      </c>
      <c r="Q594" s="3735"/>
      <c r="R594" s="3735"/>
      <c r="S594" s="3735"/>
      <c r="T594" s="4142"/>
      <c r="U594" s="3625"/>
      <c r="V594" s="3738" t="s">
        <v>7802</v>
      </c>
      <c r="W594" s="4128"/>
      <c r="X594" s="3739" t="s">
        <v>98</v>
      </c>
      <c r="Y594" s="3738"/>
      <c r="Z594" s="3740"/>
      <c r="AA594" s="3625" t="s">
        <v>7803</v>
      </c>
      <c r="AB594" s="3823" t="s">
        <v>559</v>
      </c>
      <c r="AC594" s="3736">
        <v>2.2722</v>
      </c>
      <c r="AD594" s="3736">
        <f t="shared" si="352"/>
        <v>1417.8528</v>
      </c>
      <c r="AE594" s="3742" t="s">
        <v>7804</v>
      </c>
      <c r="AF594" s="3735" t="s">
        <v>6252</v>
      </c>
      <c r="AG594" s="3625" t="s">
        <v>416</v>
      </c>
      <c r="AH594" s="3625"/>
      <c r="AI594" s="3625"/>
      <c r="AJ594" s="3625"/>
      <c r="AK594" s="3735"/>
      <c r="AL594" s="3735"/>
      <c r="AM594" s="4131"/>
      <c r="AN594" s="4131">
        <f>I594</f>
        <v>624</v>
      </c>
      <c r="AO594" s="3735"/>
      <c r="AP594" s="3736"/>
      <c r="AQ594" s="4132">
        <f t="shared" si="344"/>
        <v>624</v>
      </c>
      <c r="AR594" s="3750"/>
      <c r="AS594" s="3750"/>
      <c r="AT594" s="4133">
        <f>I594</f>
        <v>624</v>
      </c>
      <c r="AU594" s="3750"/>
      <c r="AV594" s="3750"/>
      <c r="AW594" s="3750"/>
      <c r="AX594" s="3750">
        <f>I594/6</f>
        <v>104</v>
      </c>
      <c r="AY594" s="3750"/>
      <c r="AZ594" s="4133"/>
      <c r="BA594" s="3750"/>
      <c r="BB594" s="3750"/>
      <c r="BC594" s="3750"/>
      <c r="BD594" s="3750"/>
      <c r="BE594" s="3750"/>
      <c r="BF594" s="3750"/>
      <c r="BG594" s="3750"/>
      <c r="BH594" s="3750"/>
      <c r="BI594" s="3750" t="s">
        <v>89</v>
      </c>
      <c r="BJ594" s="3750">
        <f t="shared" ref="BJ594:BJ610" si="353">I594/60*2</f>
        <v>20.8</v>
      </c>
      <c r="BK594" s="3750">
        <f t="shared" ref="BK594:BK610" si="354">I594/60*10</f>
        <v>104</v>
      </c>
      <c r="BL594" s="3750">
        <f t="shared" ref="BL594:BL610" si="355">I594/60*10</f>
        <v>104</v>
      </c>
      <c r="BM594" s="3750">
        <f t="shared" ref="BM594:BM610" si="356">I594/60*8</f>
        <v>83.2</v>
      </c>
      <c r="BN594" s="3750">
        <f t="shared" ref="BN594:BN610" si="357">I594/60*10</f>
        <v>104</v>
      </c>
      <c r="BO594" s="4141">
        <f t="shared" ref="BO594:BO610" si="358">I594/60*10</f>
        <v>104</v>
      </c>
      <c r="BP594" s="3748">
        <f t="shared" ref="BP594:BP610" si="359">I594/60*10</f>
        <v>104</v>
      </c>
      <c r="BQ594" s="3748">
        <f t="shared" si="339"/>
        <v>624</v>
      </c>
      <c r="BR594" s="3748">
        <f t="shared" si="340"/>
        <v>0</v>
      </c>
      <c r="BS594" s="4136"/>
      <c r="BT594" s="4137"/>
    </row>
    <row r="595" s="3568" customFormat="1" ht="50" customHeight="1" spans="1:72">
      <c r="A595" s="4125">
        <v>45952</v>
      </c>
      <c r="B595" s="3821" t="s">
        <v>7805</v>
      </c>
      <c r="C595" s="3821" t="s">
        <v>2723</v>
      </c>
      <c r="D595" s="3736">
        <v>4500182640</v>
      </c>
      <c r="E595" s="5461" t="s">
        <v>7806</v>
      </c>
      <c r="F595" s="3735" t="s">
        <v>7807</v>
      </c>
      <c r="G595" s="3735" t="s">
        <v>6186</v>
      </c>
      <c r="H595" s="3736" t="s">
        <v>6063</v>
      </c>
      <c r="I595" s="3736">
        <v>960</v>
      </c>
      <c r="J595" s="3736">
        <v>0</v>
      </c>
      <c r="K595" s="3736">
        <v>6</v>
      </c>
      <c r="L595" s="4132">
        <f t="shared" si="329"/>
        <v>160</v>
      </c>
      <c r="M595" s="3737">
        <v>45993</v>
      </c>
      <c r="N595" s="3737">
        <f>M595-4</f>
        <v>45989</v>
      </c>
      <c r="O595" s="905"/>
      <c r="P595" s="959" t="s">
        <v>82</v>
      </c>
      <c r="Q595" s="3735"/>
      <c r="R595" s="3735"/>
      <c r="S595" s="3735"/>
      <c r="T595" s="4142"/>
      <c r="U595" s="3625" t="s">
        <v>2592</v>
      </c>
      <c r="V595" s="3738" t="s">
        <v>7802</v>
      </c>
      <c r="W595" s="4128"/>
      <c r="X595" s="3739" t="s">
        <v>98</v>
      </c>
      <c r="Y595" s="3738"/>
      <c r="Z595" s="3740"/>
      <c r="AA595" s="3625" t="s">
        <v>7808</v>
      </c>
      <c r="AB595" s="3823" t="s">
        <v>559</v>
      </c>
      <c r="AC595" s="3736">
        <v>2.2722</v>
      </c>
      <c r="AD595" s="3736">
        <f t="shared" si="352"/>
        <v>2181.312</v>
      </c>
      <c r="AE595" s="3742" t="s">
        <v>7809</v>
      </c>
      <c r="AF595" s="3735" t="s">
        <v>6252</v>
      </c>
      <c r="AG595" s="3625" t="s">
        <v>416</v>
      </c>
      <c r="AH595" s="3625"/>
      <c r="AI595" s="3625"/>
      <c r="AJ595" s="3625"/>
      <c r="AK595" s="3735"/>
      <c r="AL595" s="3735"/>
      <c r="AM595" s="4131"/>
      <c r="AN595" s="4131">
        <f>I595</f>
        <v>960</v>
      </c>
      <c r="AO595" s="3735"/>
      <c r="AP595" s="3736"/>
      <c r="AQ595" s="4132">
        <f t="shared" si="344"/>
        <v>960</v>
      </c>
      <c r="AR595" s="3750"/>
      <c r="AS595" s="3750"/>
      <c r="AT595" s="4133">
        <f>I595</f>
        <v>960</v>
      </c>
      <c r="AU595" s="3750"/>
      <c r="AV595" s="3750"/>
      <c r="AW595" s="3750"/>
      <c r="AX595" s="3750">
        <f>I595/6</f>
        <v>160</v>
      </c>
      <c r="AY595" s="3750"/>
      <c r="AZ595" s="4133"/>
      <c r="BA595" s="3750"/>
      <c r="BB595" s="3750"/>
      <c r="BC595" s="3750"/>
      <c r="BD595" s="3750"/>
      <c r="BE595" s="3750"/>
      <c r="BF595" s="3750"/>
      <c r="BG595" s="3750"/>
      <c r="BH595" s="3750"/>
      <c r="BI595" s="3750" t="s">
        <v>89</v>
      </c>
      <c r="BJ595" s="3750">
        <f t="shared" si="353"/>
        <v>32</v>
      </c>
      <c r="BK595" s="3750">
        <f t="shared" si="354"/>
        <v>160</v>
      </c>
      <c r="BL595" s="3750">
        <f t="shared" si="355"/>
        <v>160</v>
      </c>
      <c r="BM595" s="3750">
        <f t="shared" si="356"/>
        <v>128</v>
      </c>
      <c r="BN595" s="3750">
        <f t="shared" si="357"/>
        <v>160</v>
      </c>
      <c r="BO595" s="4141">
        <f t="shared" si="358"/>
        <v>160</v>
      </c>
      <c r="BP595" s="3748">
        <f t="shared" si="359"/>
        <v>160</v>
      </c>
      <c r="BQ595" s="3748">
        <f t="shared" si="339"/>
        <v>960</v>
      </c>
      <c r="BR595" s="3748">
        <f t="shared" si="340"/>
        <v>0</v>
      </c>
      <c r="BS595" s="4136"/>
      <c r="BT595" s="4137"/>
    </row>
    <row r="596" s="3568" customFormat="1" ht="50" customHeight="1" spans="1:72">
      <c r="A596" s="4125">
        <v>45957</v>
      </c>
      <c r="B596" s="3821" t="s">
        <v>5122</v>
      </c>
      <c r="C596" s="3821" t="s">
        <v>471</v>
      </c>
      <c r="D596" s="3736">
        <v>4500183188</v>
      </c>
      <c r="E596" s="3735" t="s">
        <v>5123</v>
      </c>
      <c r="F596" s="3735" t="s">
        <v>7810</v>
      </c>
      <c r="G596" s="3735" t="s">
        <v>7117</v>
      </c>
      <c r="H596" s="3736" t="s">
        <v>6800</v>
      </c>
      <c r="I596" s="3736">
        <v>4512</v>
      </c>
      <c r="J596" s="3736">
        <v>0</v>
      </c>
      <c r="K596" s="3736">
        <v>24</v>
      </c>
      <c r="L596" s="4132">
        <f t="shared" si="329"/>
        <v>188</v>
      </c>
      <c r="M596" s="3737">
        <v>45992</v>
      </c>
      <c r="N596" s="3737">
        <f>M596-4</f>
        <v>45988</v>
      </c>
      <c r="O596" s="905" t="s">
        <v>5125</v>
      </c>
      <c r="P596" s="959" t="s">
        <v>82</v>
      </c>
      <c r="Q596" s="3735"/>
      <c r="R596" s="3735"/>
      <c r="S596" s="3735"/>
      <c r="T596" s="4142"/>
      <c r="U596" s="3625" t="s">
        <v>2186</v>
      </c>
      <c r="V596" s="3738" t="s">
        <v>2243</v>
      </c>
      <c r="W596" s="4128"/>
      <c r="X596" s="3739" t="s">
        <v>7118</v>
      </c>
      <c r="Y596" s="3738"/>
      <c r="Z596" s="3740"/>
      <c r="AA596" s="3625" t="s">
        <v>7811</v>
      </c>
      <c r="AB596" s="3823" t="s">
        <v>2624</v>
      </c>
      <c r="AC596" s="3736">
        <v>2.196</v>
      </c>
      <c r="AD596" s="3736">
        <f t="shared" si="352"/>
        <v>9908.352</v>
      </c>
      <c r="AE596" s="3742"/>
      <c r="AF596" s="3735" t="s">
        <v>7120</v>
      </c>
      <c r="AG596" s="3625" t="s">
        <v>416</v>
      </c>
      <c r="AH596" s="3625"/>
      <c r="AI596" s="3625"/>
      <c r="AJ596" s="3625"/>
      <c r="AK596" s="3735"/>
      <c r="AL596" s="3735">
        <f>I596</f>
        <v>4512</v>
      </c>
      <c r="AM596" s="4131"/>
      <c r="AN596" s="4131"/>
      <c r="AO596" s="3735"/>
      <c r="AP596" s="3736"/>
      <c r="AQ596" s="4132">
        <f t="shared" si="344"/>
        <v>4512</v>
      </c>
      <c r="AR596" s="3750"/>
      <c r="AS596" s="3750"/>
      <c r="AT596" s="4133"/>
      <c r="AU596" s="3750"/>
      <c r="AV596" s="3750">
        <f>I596</f>
        <v>4512</v>
      </c>
      <c r="AW596" s="3750"/>
      <c r="AX596" s="3750"/>
      <c r="AY596" s="3750"/>
      <c r="AZ596" s="4133"/>
      <c r="BA596" s="3750"/>
      <c r="BB596" s="3750"/>
      <c r="BC596" s="3750"/>
      <c r="BD596" s="3750"/>
      <c r="BE596" s="3750"/>
      <c r="BF596" s="3750"/>
      <c r="BG596" s="3750"/>
      <c r="BH596" s="3750"/>
      <c r="BI596" s="3750" t="s">
        <v>89</v>
      </c>
      <c r="BJ596" s="3750">
        <f t="shared" si="353"/>
        <v>150.4</v>
      </c>
      <c r="BK596" s="3750">
        <f t="shared" si="354"/>
        <v>752</v>
      </c>
      <c r="BL596" s="3750">
        <f t="shared" si="355"/>
        <v>752</v>
      </c>
      <c r="BM596" s="3750">
        <f t="shared" si="356"/>
        <v>601.6</v>
      </c>
      <c r="BN596" s="3750">
        <f t="shared" si="357"/>
        <v>752</v>
      </c>
      <c r="BO596" s="4141">
        <f t="shared" si="358"/>
        <v>752</v>
      </c>
      <c r="BP596" s="3748">
        <f t="shared" si="359"/>
        <v>752</v>
      </c>
      <c r="BQ596" s="3748">
        <f t="shared" si="339"/>
        <v>4512</v>
      </c>
      <c r="BR596" s="3748">
        <f t="shared" si="340"/>
        <v>0</v>
      </c>
      <c r="BS596" s="4136"/>
      <c r="BT596" s="4137"/>
    </row>
    <row r="597" s="3568" customFormat="1" ht="50" customHeight="1" spans="1:72">
      <c r="A597" s="4125">
        <v>45951</v>
      </c>
      <c r="B597" s="3821" t="s">
        <v>6858</v>
      </c>
      <c r="C597" s="3821" t="s">
        <v>569</v>
      </c>
      <c r="D597" s="3736">
        <v>4500182432</v>
      </c>
      <c r="E597" s="3735"/>
      <c r="F597" s="3735" t="s">
        <v>7812</v>
      </c>
      <c r="G597" s="3735" t="s">
        <v>6108</v>
      </c>
      <c r="H597" s="3736" t="s">
        <v>6063</v>
      </c>
      <c r="I597" s="3736">
        <v>2400</v>
      </c>
      <c r="J597" s="3736">
        <v>0</v>
      </c>
      <c r="K597" s="3736">
        <v>12</v>
      </c>
      <c r="L597" s="4132">
        <f t="shared" si="329"/>
        <v>200</v>
      </c>
      <c r="M597" s="3737">
        <v>45996</v>
      </c>
      <c r="N597" s="3737">
        <v>45992</v>
      </c>
      <c r="O597" s="905"/>
      <c r="P597" s="959" t="s">
        <v>82</v>
      </c>
      <c r="Q597" s="3735"/>
      <c r="R597" s="3735"/>
      <c r="S597" s="3735"/>
      <c r="T597" s="4142"/>
      <c r="U597" s="3625" t="s">
        <v>2210</v>
      </c>
      <c r="V597" s="3738" t="s">
        <v>2195</v>
      </c>
      <c r="W597" s="4128"/>
      <c r="X597" s="3739" t="s">
        <v>7813</v>
      </c>
      <c r="Y597" s="3738"/>
      <c r="Z597" s="3740"/>
      <c r="AA597" s="3625" t="s">
        <v>7814</v>
      </c>
      <c r="AB597" s="3823" t="s">
        <v>578</v>
      </c>
      <c r="AC597" s="4130">
        <v>2.2547</v>
      </c>
      <c r="AD597" s="3736">
        <f t="shared" si="352"/>
        <v>5411.28</v>
      </c>
      <c r="AE597" s="3742"/>
      <c r="AF597" s="3735" t="s">
        <v>6699</v>
      </c>
      <c r="AG597" s="3625" t="s">
        <v>6670</v>
      </c>
      <c r="AH597" s="3625"/>
      <c r="AI597" s="3625"/>
      <c r="AJ597" s="3625"/>
      <c r="AK597" s="3735"/>
      <c r="AL597" s="3735"/>
      <c r="AM597" s="4131"/>
      <c r="AN597" s="4131">
        <f>I597</f>
        <v>2400</v>
      </c>
      <c r="AO597" s="3735"/>
      <c r="AP597" s="3736"/>
      <c r="AQ597" s="4132">
        <f t="shared" si="344"/>
        <v>2400</v>
      </c>
      <c r="AR597" s="3750"/>
      <c r="AS597" s="3750"/>
      <c r="AT597" s="4133"/>
      <c r="AU597" s="3750"/>
      <c r="AV597" s="3750">
        <f>I597</f>
        <v>2400</v>
      </c>
      <c r="AW597" s="3750"/>
      <c r="AX597" s="3750">
        <f>I597/6</f>
        <v>400</v>
      </c>
      <c r="AY597" s="3750"/>
      <c r="AZ597" s="4133"/>
      <c r="BA597" s="3750"/>
      <c r="BB597" s="3750"/>
      <c r="BC597" s="3750"/>
      <c r="BD597" s="3750"/>
      <c r="BE597" s="3750"/>
      <c r="BF597" s="3750"/>
      <c r="BG597" s="3750"/>
      <c r="BH597" s="3750"/>
      <c r="BI597" s="3750" t="s">
        <v>89</v>
      </c>
      <c r="BJ597" s="3750">
        <f t="shared" si="353"/>
        <v>80</v>
      </c>
      <c r="BK597" s="3750">
        <f t="shared" si="354"/>
        <v>400</v>
      </c>
      <c r="BL597" s="3750">
        <f t="shared" si="355"/>
        <v>400</v>
      </c>
      <c r="BM597" s="3750">
        <f t="shared" si="356"/>
        <v>320</v>
      </c>
      <c r="BN597" s="3750">
        <f t="shared" si="357"/>
        <v>400</v>
      </c>
      <c r="BO597" s="4141">
        <f t="shared" si="358"/>
        <v>400</v>
      </c>
      <c r="BP597" s="3748">
        <f t="shared" si="359"/>
        <v>400</v>
      </c>
      <c r="BQ597" s="3748">
        <f t="shared" si="339"/>
        <v>2400</v>
      </c>
      <c r="BR597" s="3748">
        <f t="shared" si="340"/>
        <v>0</v>
      </c>
      <c r="BS597" s="4136"/>
      <c r="BT597" s="4137"/>
    </row>
    <row r="598" s="3568" customFormat="1" ht="50" customHeight="1" spans="1:72">
      <c r="A598" s="4125">
        <v>45960</v>
      </c>
      <c r="B598" s="3821" t="s">
        <v>2189</v>
      </c>
      <c r="C598" s="3821" t="s">
        <v>91</v>
      </c>
      <c r="D598" s="3736">
        <v>4500183798</v>
      </c>
      <c r="E598" s="3735" t="s">
        <v>7815</v>
      </c>
      <c r="F598" s="3735" t="s">
        <v>7816</v>
      </c>
      <c r="G598" s="3735" t="s">
        <v>3520</v>
      </c>
      <c r="H598" s="3736" t="s">
        <v>6063</v>
      </c>
      <c r="I598" s="3736">
        <v>1200</v>
      </c>
      <c r="J598" s="3736">
        <v>0</v>
      </c>
      <c r="K598" s="3736">
        <v>24</v>
      </c>
      <c r="L598" s="3736">
        <f t="shared" si="329"/>
        <v>50</v>
      </c>
      <c r="M598" s="3737">
        <v>45996</v>
      </c>
      <c r="N598" s="3737">
        <v>45992</v>
      </c>
      <c r="O598" s="905"/>
      <c r="P598" s="959" t="s">
        <v>82</v>
      </c>
      <c r="Q598" s="3735"/>
      <c r="R598" s="3735"/>
      <c r="S598" s="3735"/>
      <c r="T598" s="4142"/>
      <c r="U598" s="3739" t="s">
        <v>2192</v>
      </c>
      <c r="V598" s="906" t="s">
        <v>97</v>
      </c>
      <c r="W598" s="4151"/>
      <c r="X598" s="3739" t="s">
        <v>98</v>
      </c>
      <c r="Y598" s="3739" t="s">
        <v>2206</v>
      </c>
      <c r="Z598" s="3740"/>
      <c r="AA598" s="3625" t="s">
        <v>2188</v>
      </c>
      <c r="AB598" s="3823" t="s">
        <v>653</v>
      </c>
      <c r="AC598" s="4130">
        <v>1.3184</v>
      </c>
      <c r="AD598" s="3736">
        <f t="shared" si="352"/>
        <v>1582.08</v>
      </c>
      <c r="AE598" s="3742"/>
      <c r="AF598" s="3735" t="s">
        <v>3520</v>
      </c>
      <c r="AG598" s="3625" t="s">
        <v>416</v>
      </c>
      <c r="AH598" s="3625"/>
      <c r="AI598" s="3625"/>
      <c r="AJ598" s="3625"/>
      <c r="AK598" s="3735"/>
      <c r="AL598" s="3735">
        <f>I598</f>
        <v>1200</v>
      </c>
      <c r="AM598" s="4131"/>
      <c r="AN598" s="4131"/>
      <c r="AO598" s="3735"/>
      <c r="AP598" s="3736"/>
      <c r="AQ598" s="4132">
        <f t="shared" si="344"/>
        <v>1200</v>
      </c>
      <c r="AR598" s="3750"/>
      <c r="AS598" s="3750"/>
      <c r="AT598" s="4133">
        <f>I598</f>
        <v>1200</v>
      </c>
      <c r="AU598" s="3750"/>
      <c r="AV598" s="3750"/>
      <c r="AW598" s="3750"/>
      <c r="AX598" s="3750"/>
      <c r="AY598" s="3750"/>
      <c r="AZ598" s="4133"/>
      <c r="BA598" s="3750"/>
      <c r="BB598" s="3750"/>
      <c r="BC598" s="3750"/>
      <c r="BD598" s="3750"/>
      <c r="BE598" s="3750"/>
      <c r="BF598" s="3750"/>
      <c r="BG598" s="3750"/>
      <c r="BH598" s="3750"/>
      <c r="BI598" s="3750" t="s">
        <v>89</v>
      </c>
      <c r="BJ598" s="3750">
        <f t="shared" si="353"/>
        <v>40</v>
      </c>
      <c r="BK598" s="3750">
        <f t="shared" si="354"/>
        <v>200</v>
      </c>
      <c r="BL598" s="3750">
        <f t="shared" si="355"/>
        <v>200</v>
      </c>
      <c r="BM598" s="3750">
        <f t="shared" si="356"/>
        <v>160</v>
      </c>
      <c r="BN598" s="3750">
        <f t="shared" si="357"/>
        <v>200</v>
      </c>
      <c r="BO598" s="4141">
        <f t="shared" si="358"/>
        <v>200</v>
      </c>
      <c r="BP598" s="3748">
        <f t="shared" si="359"/>
        <v>200</v>
      </c>
      <c r="BQ598" s="3748">
        <f t="shared" si="339"/>
        <v>1200</v>
      </c>
      <c r="BR598" s="3748">
        <f t="shared" si="340"/>
        <v>0</v>
      </c>
      <c r="BS598" s="4136"/>
      <c r="BT598" s="4137"/>
    </row>
    <row r="599" s="3568" customFormat="1" ht="50" customHeight="1" spans="1:72">
      <c r="A599" s="4125">
        <v>45960</v>
      </c>
      <c r="B599" s="3821" t="s">
        <v>90</v>
      </c>
      <c r="C599" s="3821" t="s">
        <v>91</v>
      </c>
      <c r="D599" s="3736">
        <v>4500183797</v>
      </c>
      <c r="E599" s="3735" t="s">
        <v>7817</v>
      </c>
      <c r="F599" s="3735" t="s">
        <v>7818</v>
      </c>
      <c r="G599" s="3735" t="s">
        <v>3520</v>
      </c>
      <c r="H599" s="3736" t="s">
        <v>6063</v>
      </c>
      <c r="I599" s="3736">
        <v>1008</v>
      </c>
      <c r="J599" s="3736">
        <v>0</v>
      </c>
      <c r="K599" s="3736">
        <v>24</v>
      </c>
      <c r="L599" s="3736">
        <f t="shared" si="329"/>
        <v>42</v>
      </c>
      <c r="M599" s="3737">
        <v>45996</v>
      </c>
      <c r="N599" s="3737">
        <v>45992</v>
      </c>
      <c r="O599" s="905"/>
      <c r="P599" s="959" t="s">
        <v>82</v>
      </c>
      <c r="Q599" s="3735"/>
      <c r="R599" s="3735"/>
      <c r="S599" s="3735"/>
      <c r="T599" s="4142"/>
      <c r="U599" s="3739" t="s">
        <v>2186</v>
      </c>
      <c r="V599" s="906" t="s">
        <v>97</v>
      </c>
      <c r="W599" s="4151"/>
      <c r="X599" s="3739" t="s">
        <v>98</v>
      </c>
      <c r="Y599" s="3739" t="s">
        <v>2206</v>
      </c>
      <c r="Z599" s="3740"/>
      <c r="AA599" s="3625" t="s">
        <v>2188</v>
      </c>
      <c r="AB599" s="3823" t="s">
        <v>653</v>
      </c>
      <c r="AC599" s="4130">
        <v>1.3184</v>
      </c>
      <c r="AD599" s="3736">
        <f t="shared" si="352"/>
        <v>1328.9472</v>
      </c>
      <c r="AE599" s="3742"/>
      <c r="AF599" s="3735" t="s">
        <v>3520</v>
      </c>
      <c r="AG599" s="3625" t="s">
        <v>416</v>
      </c>
      <c r="AH599" s="3625"/>
      <c r="AI599" s="3625"/>
      <c r="AJ599" s="3625"/>
      <c r="AK599" s="3735"/>
      <c r="AL599" s="3735">
        <f>I599</f>
        <v>1008</v>
      </c>
      <c r="AM599" s="4131"/>
      <c r="AN599" s="4131"/>
      <c r="AO599" s="3735"/>
      <c r="AP599" s="3736"/>
      <c r="AQ599" s="4132">
        <f t="shared" si="344"/>
        <v>1008</v>
      </c>
      <c r="AR599" s="3750"/>
      <c r="AS599" s="3750"/>
      <c r="AT599" s="4133">
        <f>I599</f>
        <v>1008</v>
      </c>
      <c r="AU599" s="3750"/>
      <c r="AV599" s="3750"/>
      <c r="AW599" s="3750"/>
      <c r="AX599" s="3750"/>
      <c r="AY599" s="3750"/>
      <c r="AZ599" s="4133"/>
      <c r="BA599" s="3750"/>
      <c r="BB599" s="3750"/>
      <c r="BC599" s="3750"/>
      <c r="BD599" s="3750"/>
      <c r="BE599" s="3750"/>
      <c r="BF599" s="3750"/>
      <c r="BG599" s="3750"/>
      <c r="BH599" s="3750"/>
      <c r="BI599" s="3750" t="s">
        <v>89</v>
      </c>
      <c r="BJ599" s="3750">
        <f t="shared" si="353"/>
        <v>33.6</v>
      </c>
      <c r="BK599" s="3750">
        <f t="shared" si="354"/>
        <v>168</v>
      </c>
      <c r="BL599" s="3750">
        <f t="shared" si="355"/>
        <v>168</v>
      </c>
      <c r="BM599" s="3750">
        <f t="shared" si="356"/>
        <v>134.4</v>
      </c>
      <c r="BN599" s="3750">
        <f t="shared" si="357"/>
        <v>168</v>
      </c>
      <c r="BO599" s="4141">
        <f t="shared" si="358"/>
        <v>168</v>
      </c>
      <c r="BP599" s="3748">
        <f t="shared" si="359"/>
        <v>168</v>
      </c>
      <c r="BQ599" s="3748">
        <f t="shared" si="339"/>
        <v>1008</v>
      </c>
      <c r="BR599" s="3748">
        <f t="shared" si="340"/>
        <v>0</v>
      </c>
      <c r="BS599" s="4136"/>
      <c r="BT599" s="4137"/>
    </row>
    <row r="600" s="3568" customFormat="1" ht="50" customHeight="1" spans="1:72">
      <c r="A600" s="4125">
        <v>45968</v>
      </c>
      <c r="B600" s="3821" t="s">
        <v>5160</v>
      </c>
      <c r="C600" s="3821" t="s">
        <v>3913</v>
      </c>
      <c r="D600" s="3736">
        <v>4500184755</v>
      </c>
      <c r="E600" s="3735" t="s">
        <v>5161</v>
      </c>
      <c r="F600" s="3735" t="s">
        <v>7819</v>
      </c>
      <c r="G600" s="3735" t="s">
        <v>6578</v>
      </c>
      <c r="H600" s="3736" t="s">
        <v>6579</v>
      </c>
      <c r="I600" s="3736">
        <v>600</v>
      </c>
      <c r="J600" s="3736">
        <v>0</v>
      </c>
      <c r="K600" s="3736">
        <v>24</v>
      </c>
      <c r="L600" s="4132">
        <f t="shared" si="329"/>
        <v>25</v>
      </c>
      <c r="M600" s="3737">
        <v>46003</v>
      </c>
      <c r="N600" s="3737">
        <v>45999</v>
      </c>
      <c r="O600" s="905"/>
      <c r="P600" s="959" t="s">
        <v>82</v>
      </c>
      <c r="Q600" s="3735"/>
      <c r="R600" s="3735"/>
      <c r="S600" s="3735"/>
      <c r="T600" s="4142"/>
      <c r="U600" s="3625" t="s">
        <v>344</v>
      </c>
      <c r="V600" s="906" t="s">
        <v>2162</v>
      </c>
      <c r="W600" s="4128"/>
      <c r="X600" s="3739" t="s">
        <v>7820</v>
      </c>
      <c r="Y600" s="3738"/>
      <c r="Z600" s="3740"/>
      <c r="AA600" s="3625" t="s">
        <v>7821</v>
      </c>
      <c r="AB600" s="3823" t="s">
        <v>892</v>
      </c>
      <c r="AC600" s="4130">
        <v>2.2491</v>
      </c>
      <c r="AD600" s="3736">
        <f t="shared" si="352"/>
        <v>1349.46</v>
      </c>
      <c r="AE600" s="3742"/>
      <c r="AF600" s="3735" t="s">
        <v>6578</v>
      </c>
      <c r="AG600" s="3625" t="s">
        <v>416</v>
      </c>
      <c r="AH600" s="3625"/>
      <c r="AI600" s="3625"/>
      <c r="AJ600" s="3625"/>
      <c r="AK600" s="3735"/>
      <c r="AL600" s="3735">
        <f>I600</f>
        <v>600</v>
      </c>
      <c r="AM600" s="4131"/>
      <c r="AN600" s="4131"/>
      <c r="AO600" s="3735"/>
      <c r="AP600" s="3736"/>
      <c r="AQ600" s="4132">
        <f t="shared" si="344"/>
        <v>600</v>
      </c>
      <c r="AR600" s="3750"/>
      <c r="AS600" s="3750"/>
      <c r="AT600" s="4133">
        <f>I600</f>
        <v>600</v>
      </c>
      <c r="AU600" s="3750"/>
      <c r="AV600" s="3750"/>
      <c r="AW600" s="3750"/>
      <c r="AX600" s="3750"/>
      <c r="AY600" s="3750"/>
      <c r="AZ600" s="4133"/>
      <c r="BA600" s="3750"/>
      <c r="BB600" s="3750"/>
      <c r="BC600" s="3750"/>
      <c r="BD600" s="3750"/>
      <c r="BE600" s="3750"/>
      <c r="BF600" s="3750"/>
      <c r="BG600" s="3750"/>
      <c r="BH600" s="3750"/>
      <c r="BI600" s="3750" t="s">
        <v>89</v>
      </c>
      <c r="BJ600" s="3750">
        <f t="shared" si="353"/>
        <v>20</v>
      </c>
      <c r="BK600" s="3750">
        <f t="shared" si="354"/>
        <v>100</v>
      </c>
      <c r="BL600" s="3750">
        <f t="shared" si="355"/>
        <v>100</v>
      </c>
      <c r="BM600" s="3750">
        <f t="shared" si="356"/>
        <v>80</v>
      </c>
      <c r="BN600" s="3750">
        <f t="shared" si="357"/>
        <v>100</v>
      </c>
      <c r="BO600" s="4141">
        <f t="shared" si="358"/>
        <v>100</v>
      </c>
      <c r="BP600" s="3748">
        <f t="shared" si="359"/>
        <v>100</v>
      </c>
      <c r="BQ600" s="3748">
        <f t="shared" si="339"/>
        <v>600</v>
      </c>
      <c r="BR600" s="3748">
        <f t="shared" si="340"/>
        <v>0</v>
      </c>
      <c r="BS600" s="4136"/>
      <c r="BT600" s="4137"/>
    </row>
    <row r="601" s="3568" customFormat="1" ht="50" customHeight="1" spans="1:72">
      <c r="A601" s="4125">
        <v>45964</v>
      </c>
      <c r="B601" s="3821" t="s">
        <v>7822</v>
      </c>
      <c r="C601" s="3821" t="s">
        <v>6225</v>
      </c>
      <c r="D601" s="3736">
        <v>4500183825</v>
      </c>
      <c r="E601" s="3736">
        <v>157056</v>
      </c>
      <c r="F601" s="3735" t="s">
        <v>7823</v>
      </c>
      <c r="G601" s="3735" t="s">
        <v>6228</v>
      </c>
      <c r="H601" s="3736" t="s">
        <v>6063</v>
      </c>
      <c r="I601" s="3736">
        <v>504</v>
      </c>
      <c r="J601" s="3736">
        <v>0</v>
      </c>
      <c r="K601" s="3736">
        <v>6</v>
      </c>
      <c r="L601" s="3736">
        <f t="shared" si="329"/>
        <v>84</v>
      </c>
      <c r="M601" s="3737">
        <v>46001</v>
      </c>
      <c r="N601" s="3737">
        <v>45997</v>
      </c>
      <c r="O601" s="905"/>
      <c r="P601" s="959" t="s">
        <v>82</v>
      </c>
      <c r="Q601" s="3735"/>
      <c r="R601" s="3735"/>
      <c r="S601" s="3735"/>
      <c r="T601" s="4142"/>
      <c r="U601" s="3625" t="s">
        <v>5284</v>
      </c>
      <c r="V601" s="3738" t="s">
        <v>2201</v>
      </c>
      <c r="W601" s="4128"/>
      <c r="X601" s="3739" t="s">
        <v>7824</v>
      </c>
      <c r="Y601" s="3738"/>
      <c r="Z601" s="3740"/>
      <c r="AA601" s="3625" t="s">
        <v>7825</v>
      </c>
      <c r="AB601" s="3823" t="s">
        <v>7826</v>
      </c>
      <c r="AC601" s="4130">
        <v>2.2713</v>
      </c>
      <c r="AD601" s="3736">
        <f t="shared" si="352"/>
        <v>1144.7352</v>
      </c>
      <c r="AE601" s="3742"/>
      <c r="AF601" s="3735" t="s">
        <v>7508</v>
      </c>
      <c r="AG601" s="3625" t="s">
        <v>416</v>
      </c>
      <c r="AH601" s="3625"/>
      <c r="AI601" s="3625"/>
      <c r="AJ601" s="3625"/>
      <c r="AK601" s="3735"/>
      <c r="AL601" s="3735"/>
      <c r="AM601" s="4131"/>
      <c r="AN601" s="4131">
        <f>I601</f>
        <v>504</v>
      </c>
      <c r="AO601" s="3735"/>
      <c r="AP601" s="3736"/>
      <c r="AQ601" s="4132">
        <f t="shared" si="344"/>
        <v>504</v>
      </c>
      <c r="AR601" s="3750"/>
      <c r="AS601" s="3750"/>
      <c r="AT601" s="4133"/>
      <c r="AU601" s="3750"/>
      <c r="AV601" s="3750">
        <f>I601</f>
        <v>504</v>
      </c>
      <c r="AW601" s="3750"/>
      <c r="AX601" s="3750"/>
      <c r="AY601" s="3750"/>
      <c r="AZ601" s="4133">
        <f>I601/6</f>
        <v>84</v>
      </c>
      <c r="BA601" s="3750"/>
      <c r="BB601" s="3750"/>
      <c r="BC601" s="3750"/>
      <c r="BD601" s="3750"/>
      <c r="BE601" s="3750"/>
      <c r="BF601" s="3750"/>
      <c r="BG601" s="3750"/>
      <c r="BH601" s="3750"/>
      <c r="BI601" s="3750" t="s">
        <v>89</v>
      </c>
      <c r="BJ601" s="4133">
        <f t="shared" si="353"/>
        <v>16.8</v>
      </c>
      <c r="BK601" s="4133">
        <f t="shared" si="354"/>
        <v>84</v>
      </c>
      <c r="BL601" s="4133">
        <f t="shared" si="355"/>
        <v>84</v>
      </c>
      <c r="BM601" s="4133">
        <f t="shared" si="356"/>
        <v>67.2</v>
      </c>
      <c r="BN601" s="4133">
        <f t="shared" si="357"/>
        <v>84</v>
      </c>
      <c r="BO601" s="4134">
        <f t="shared" si="358"/>
        <v>84</v>
      </c>
      <c r="BP601" s="4135">
        <f t="shared" si="359"/>
        <v>84</v>
      </c>
      <c r="BQ601" s="4135">
        <f t="shared" si="339"/>
        <v>504</v>
      </c>
      <c r="BR601" s="3748">
        <f t="shared" si="340"/>
        <v>0</v>
      </c>
      <c r="BS601" s="4136"/>
      <c r="BT601" s="4137"/>
    </row>
    <row r="602" s="3568" customFormat="1" ht="50" customHeight="1" spans="1:72">
      <c r="A602" s="4125">
        <v>45959</v>
      </c>
      <c r="B602" s="3821" t="s">
        <v>3901</v>
      </c>
      <c r="C602" s="3821" t="s">
        <v>1316</v>
      </c>
      <c r="D602" s="3736">
        <v>4500183478</v>
      </c>
      <c r="E602" s="3735" t="s">
        <v>7827</v>
      </c>
      <c r="F602" s="3735" t="s">
        <v>7828</v>
      </c>
      <c r="G602" s="3735" t="s">
        <v>3520</v>
      </c>
      <c r="H602" s="3736" t="s">
        <v>6063</v>
      </c>
      <c r="I602" s="3736">
        <v>4056</v>
      </c>
      <c r="J602" s="3736">
        <v>0</v>
      </c>
      <c r="K602" s="3736">
        <v>24</v>
      </c>
      <c r="L602" s="3736">
        <f t="shared" si="329"/>
        <v>169</v>
      </c>
      <c r="M602" s="3737">
        <v>46001</v>
      </c>
      <c r="N602" s="3737">
        <v>45999</v>
      </c>
      <c r="O602" s="905"/>
      <c r="P602" s="959" t="s">
        <v>82</v>
      </c>
      <c r="Q602" s="3735"/>
      <c r="R602" s="3735"/>
      <c r="S602" s="3735"/>
      <c r="T602" s="4142"/>
      <c r="U602" s="3625" t="s">
        <v>7829</v>
      </c>
      <c r="V602" s="3738" t="s">
        <v>5245</v>
      </c>
      <c r="W602" s="4128"/>
      <c r="X602" s="3739" t="s">
        <v>7830</v>
      </c>
      <c r="Y602" s="3738"/>
      <c r="Z602" s="3740"/>
      <c r="AA602" s="3625" t="s">
        <v>7831</v>
      </c>
      <c r="AB602" s="3823" t="s">
        <v>4481</v>
      </c>
      <c r="AC602" s="4130">
        <v>2.1931</v>
      </c>
      <c r="AD602" s="3736">
        <f t="shared" si="352"/>
        <v>8895.2136</v>
      </c>
      <c r="AE602" s="3742"/>
      <c r="AF602" s="3735" t="s">
        <v>6263</v>
      </c>
      <c r="AG602" s="3625" t="s">
        <v>416</v>
      </c>
      <c r="AH602" s="3625"/>
      <c r="AI602" s="3625"/>
      <c r="AJ602" s="3625"/>
      <c r="AK602" s="3735"/>
      <c r="AL602" s="3735"/>
      <c r="AM602" s="4131"/>
      <c r="AN602" s="4131">
        <f>I602</f>
        <v>4056</v>
      </c>
      <c r="AO602" s="3735"/>
      <c r="AP602" s="3736"/>
      <c r="AQ602" s="4132">
        <f t="shared" si="344"/>
        <v>4056</v>
      </c>
      <c r="AR602" s="3750"/>
      <c r="AS602" s="3750"/>
      <c r="AT602" s="4133">
        <f t="shared" ref="AT602:AT607" si="360">I602</f>
        <v>4056</v>
      </c>
      <c r="AU602" s="3750"/>
      <c r="AV602" s="3750"/>
      <c r="AW602" s="3750"/>
      <c r="AX602" s="3750"/>
      <c r="AY602" s="3750"/>
      <c r="AZ602" s="4133"/>
      <c r="BA602" s="3750"/>
      <c r="BB602" s="3750"/>
      <c r="BC602" s="3750"/>
      <c r="BD602" s="3750"/>
      <c r="BE602" s="3750"/>
      <c r="BF602" s="3750"/>
      <c r="BG602" s="3750"/>
      <c r="BH602" s="3750"/>
      <c r="BI602" s="3750" t="s">
        <v>89</v>
      </c>
      <c r="BJ602" s="3750">
        <f t="shared" si="353"/>
        <v>135.2</v>
      </c>
      <c r="BK602" s="3750">
        <f t="shared" si="354"/>
        <v>676</v>
      </c>
      <c r="BL602" s="3750">
        <f t="shared" si="355"/>
        <v>676</v>
      </c>
      <c r="BM602" s="3750">
        <f t="shared" si="356"/>
        <v>540.8</v>
      </c>
      <c r="BN602" s="3750">
        <f t="shared" si="357"/>
        <v>676</v>
      </c>
      <c r="BO602" s="4141">
        <f t="shared" si="358"/>
        <v>676</v>
      </c>
      <c r="BP602" s="3748">
        <f t="shared" si="359"/>
        <v>676</v>
      </c>
      <c r="BQ602" s="3748">
        <f t="shared" si="339"/>
        <v>4056</v>
      </c>
      <c r="BR602" s="3748">
        <f t="shared" si="340"/>
        <v>0</v>
      </c>
      <c r="BS602" s="4136"/>
      <c r="BT602" s="4137"/>
    </row>
    <row r="603" s="3568" customFormat="1" ht="50" customHeight="1" spans="1:72">
      <c r="A603" s="4125">
        <v>45954</v>
      </c>
      <c r="B603" s="3821" t="s">
        <v>1172</v>
      </c>
      <c r="C603" s="3821" t="s">
        <v>91</v>
      </c>
      <c r="D603" s="3736">
        <v>4500183101</v>
      </c>
      <c r="E603" s="3735" t="s">
        <v>7832</v>
      </c>
      <c r="F603" s="3735" t="s">
        <v>7833</v>
      </c>
      <c r="G603" s="3735" t="s">
        <v>6195</v>
      </c>
      <c r="H603" s="3736" t="s">
        <v>6063</v>
      </c>
      <c r="I603" s="3736">
        <v>600</v>
      </c>
      <c r="J603" s="3736">
        <v>0</v>
      </c>
      <c r="K603" s="3736">
        <v>12</v>
      </c>
      <c r="L603" s="4132">
        <f t="shared" si="329"/>
        <v>50</v>
      </c>
      <c r="M603" s="3737">
        <v>46002</v>
      </c>
      <c r="N603" s="3737">
        <v>45999</v>
      </c>
      <c r="O603" s="905"/>
      <c r="P603" s="959" t="s">
        <v>82</v>
      </c>
      <c r="Q603" s="3735"/>
      <c r="R603" s="3735"/>
      <c r="S603" s="3735"/>
      <c r="T603" s="4142"/>
      <c r="U603" s="3625" t="s">
        <v>7834</v>
      </c>
      <c r="V603" s="3738" t="s">
        <v>2231</v>
      </c>
      <c r="W603" s="4128"/>
      <c r="X603" s="3739" t="s">
        <v>98</v>
      </c>
      <c r="Y603" s="3738"/>
      <c r="Z603" s="3740"/>
      <c r="AA603" s="3625" t="s">
        <v>1916</v>
      </c>
      <c r="AB603" s="3823" t="s">
        <v>1917</v>
      </c>
      <c r="AC603" s="4130">
        <v>1.3535</v>
      </c>
      <c r="AD603" s="3736">
        <f t="shared" si="352"/>
        <v>812.1</v>
      </c>
      <c r="AE603" s="3742"/>
      <c r="AF603" s="3735" t="s">
        <v>6195</v>
      </c>
      <c r="AG603" s="3625" t="s">
        <v>416</v>
      </c>
      <c r="AH603" s="3625"/>
      <c r="AI603" s="3625"/>
      <c r="AJ603" s="3625"/>
      <c r="AK603" s="3735"/>
      <c r="AL603" s="3735">
        <f>I603</f>
        <v>600</v>
      </c>
      <c r="AM603" s="4131"/>
      <c r="AN603" s="4131"/>
      <c r="AO603" s="3735"/>
      <c r="AP603" s="3736"/>
      <c r="AQ603" s="4132">
        <f t="shared" si="344"/>
        <v>600</v>
      </c>
      <c r="AR603" s="3750"/>
      <c r="AS603" s="3750"/>
      <c r="AT603" s="4133">
        <f t="shared" si="360"/>
        <v>600</v>
      </c>
      <c r="AU603" s="3750"/>
      <c r="AV603" s="3750"/>
      <c r="AW603" s="3750"/>
      <c r="AX603" s="3750"/>
      <c r="AY603" s="3750"/>
      <c r="AZ603" s="4133">
        <f>I603/6</f>
        <v>100</v>
      </c>
      <c r="BA603" s="3750"/>
      <c r="BB603" s="3750"/>
      <c r="BC603" s="3750"/>
      <c r="BD603" s="3750"/>
      <c r="BE603" s="3750"/>
      <c r="BF603" s="3750"/>
      <c r="BG603" s="3750"/>
      <c r="BH603" s="3750"/>
      <c r="BI603" s="3750" t="s">
        <v>89</v>
      </c>
      <c r="BJ603" s="3750">
        <f t="shared" si="353"/>
        <v>20</v>
      </c>
      <c r="BK603" s="3750">
        <f t="shared" si="354"/>
        <v>100</v>
      </c>
      <c r="BL603" s="3750">
        <f t="shared" si="355"/>
        <v>100</v>
      </c>
      <c r="BM603" s="3750">
        <f t="shared" si="356"/>
        <v>80</v>
      </c>
      <c r="BN603" s="3750">
        <f t="shared" si="357"/>
        <v>100</v>
      </c>
      <c r="BO603" s="4141">
        <f t="shared" si="358"/>
        <v>100</v>
      </c>
      <c r="BP603" s="3748">
        <f t="shared" si="359"/>
        <v>100</v>
      </c>
      <c r="BQ603" s="3748">
        <f t="shared" si="339"/>
        <v>600</v>
      </c>
      <c r="BR603" s="3748">
        <f t="shared" si="340"/>
        <v>0</v>
      </c>
      <c r="BS603" s="4136"/>
      <c r="BT603" s="4137"/>
    </row>
    <row r="604" s="3568" customFormat="1" ht="50" customHeight="1" spans="1:72">
      <c r="A604" s="4125">
        <v>45897</v>
      </c>
      <c r="B604" s="3821" t="s">
        <v>5234</v>
      </c>
      <c r="C604" s="3821" t="s">
        <v>738</v>
      </c>
      <c r="D604" s="3736">
        <v>4500177857</v>
      </c>
      <c r="E604" s="3735">
        <v>62007522</v>
      </c>
      <c r="F604" s="3735" t="s">
        <v>7835</v>
      </c>
      <c r="G604" s="3735" t="s">
        <v>6124</v>
      </c>
      <c r="H604" s="3736" t="s">
        <v>6063</v>
      </c>
      <c r="I604" s="3736">
        <v>1200</v>
      </c>
      <c r="J604" s="3736">
        <v>0</v>
      </c>
      <c r="K604" s="3736">
        <v>12</v>
      </c>
      <c r="L604" s="3736">
        <f t="shared" si="329"/>
        <v>100</v>
      </c>
      <c r="M604" s="3737">
        <v>46006</v>
      </c>
      <c r="N604" s="3737">
        <v>46002</v>
      </c>
      <c r="O604" s="905"/>
      <c r="P604" s="959" t="s">
        <v>82</v>
      </c>
      <c r="Q604" s="3735"/>
      <c r="R604" s="3735"/>
      <c r="S604" s="3735"/>
      <c r="T604" s="4142"/>
      <c r="U604" s="3625" t="s">
        <v>455</v>
      </c>
      <c r="V604" s="3738" t="s">
        <v>5104</v>
      </c>
      <c r="W604" s="4128"/>
      <c r="X604" s="3739" t="s">
        <v>5236</v>
      </c>
      <c r="Y604" s="3738"/>
      <c r="Z604" s="3740"/>
      <c r="AA604" s="3625" t="s">
        <v>7836</v>
      </c>
      <c r="AB604" s="3823" t="s">
        <v>459</v>
      </c>
      <c r="AC604" s="4130">
        <v>2.2547</v>
      </c>
      <c r="AD604" s="3736">
        <f t="shared" si="352"/>
        <v>2705.64</v>
      </c>
      <c r="AE604" s="3742"/>
      <c r="AF604" s="3735" t="s">
        <v>6126</v>
      </c>
      <c r="AG604" s="3625" t="s">
        <v>416</v>
      </c>
      <c r="AH604" s="3625"/>
      <c r="AI604" s="3625"/>
      <c r="AJ604" s="3625"/>
      <c r="AK604" s="3735"/>
      <c r="AL604" s="3735"/>
      <c r="AM604" s="3735"/>
      <c r="AN604" s="4131">
        <f>I604</f>
        <v>1200</v>
      </c>
      <c r="AO604" s="3735"/>
      <c r="AP604" s="3736"/>
      <c r="AQ604" s="4132">
        <f t="shared" si="344"/>
        <v>1200</v>
      </c>
      <c r="AR604" s="3750"/>
      <c r="AS604" s="3750"/>
      <c r="AT604" s="4133">
        <f t="shared" si="360"/>
        <v>1200</v>
      </c>
      <c r="AU604" s="3750"/>
      <c r="AV604" s="3750"/>
      <c r="AW604" s="3750"/>
      <c r="AX604" s="4133">
        <f>I604/6</f>
        <v>200</v>
      </c>
      <c r="AY604" s="3750"/>
      <c r="AZ604" s="3750"/>
      <c r="BA604" s="3750"/>
      <c r="BB604" s="3750"/>
      <c r="BC604" s="3750"/>
      <c r="BD604" s="3750"/>
      <c r="BE604" s="3750"/>
      <c r="BF604" s="3750"/>
      <c r="BG604" s="3750"/>
      <c r="BH604" s="3750"/>
      <c r="BI604" s="3750" t="s">
        <v>89</v>
      </c>
      <c r="BJ604" s="4133">
        <f t="shared" si="353"/>
        <v>40</v>
      </c>
      <c r="BK604" s="4133">
        <f t="shared" si="354"/>
        <v>200</v>
      </c>
      <c r="BL604" s="4133">
        <f t="shared" si="355"/>
        <v>200</v>
      </c>
      <c r="BM604" s="4133">
        <f t="shared" si="356"/>
        <v>160</v>
      </c>
      <c r="BN604" s="4133">
        <f t="shared" si="357"/>
        <v>200</v>
      </c>
      <c r="BO604" s="4134">
        <f t="shared" si="358"/>
        <v>200</v>
      </c>
      <c r="BP604" s="4135">
        <f t="shared" si="359"/>
        <v>200</v>
      </c>
      <c r="BQ604" s="4135">
        <f t="shared" si="339"/>
        <v>1200</v>
      </c>
      <c r="BR604" s="3748">
        <f t="shared" si="340"/>
        <v>0</v>
      </c>
      <c r="BS604" s="4136"/>
      <c r="BT604" s="4137"/>
    </row>
    <row r="605" s="3568" customFormat="1" ht="50" customHeight="1" spans="1:72">
      <c r="A605" s="4125">
        <v>45952</v>
      </c>
      <c r="B605" s="3821" t="s">
        <v>5234</v>
      </c>
      <c r="C605" s="3821" t="s">
        <v>738</v>
      </c>
      <c r="D605" s="3736">
        <v>4500182578</v>
      </c>
      <c r="E605" s="3735">
        <v>62050798</v>
      </c>
      <c r="F605" s="3735" t="s">
        <v>7837</v>
      </c>
      <c r="G605" s="3735" t="s">
        <v>6124</v>
      </c>
      <c r="H605" s="3736" t="s">
        <v>6063</v>
      </c>
      <c r="I605" s="3736">
        <v>216</v>
      </c>
      <c r="J605" s="3736">
        <v>0</v>
      </c>
      <c r="K605" s="3736">
        <v>12</v>
      </c>
      <c r="L605" s="3736">
        <f t="shared" si="329"/>
        <v>18</v>
      </c>
      <c r="M605" s="3737">
        <v>46006</v>
      </c>
      <c r="N605" s="3737">
        <v>46002</v>
      </c>
      <c r="O605" s="905"/>
      <c r="P605" s="959" t="s">
        <v>82</v>
      </c>
      <c r="Q605" s="3735"/>
      <c r="R605" s="3735"/>
      <c r="S605" s="3735"/>
      <c r="T605" s="4142"/>
      <c r="U605" s="3625" t="s">
        <v>127</v>
      </c>
      <c r="V605" s="3738" t="s">
        <v>2231</v>
      </c>
      <c r="W605" s="4128"/>
      <c r="X605" s="3739" t="s">
        <v>5236</v>
      </c>
      <c r="Y605" s="3738"/>
      <c r="Z605" s="3740"/>
      <c r="AA605" s="3625" t="s">
        <v>7838</v>
      </c>
      <c r="AB605" s="3823" t="s">
        <v>459</v>
      </c>
      <c r="AC605" s="4130">
        <v>2.2023</v>
      </c>
      <c r="AD605" s="3736">
        <f t="shared" si="352"/>
        <v>475.6968</v>
      </c>
      <c r="AE605" s="3742" t="s">
        <v>5238</v>
      </c>
      <c r="AF605" s="3735" t="s">
        <v>6126</v>
      </c>
      <c r="AG605" s="3625" t="s">
        <v>416</v>
      </c>
      <c r="AH605" s="3625"/>
      <c r="AI605" s="3625"/>
      <c r="AJ605" s="3625"/>
      <c r="AK605" s="3735"/>
      <c r="AL605" s="3735"/>
      <c r="AM605" s="3735"/>
      <c r="AN605" s="4131">
        <f>I605</f>
        <v>216</v>
      </c>
      <c r="AO605" s="3735"/>
      <c r="AP605" s="3736"/>
      <c r="AQ605" s="4132">
        <f t="shared" si="344"/>
        <v>216</v>
      </c>
      <c r="AR605" s="3750"/>
      <c r="AS605" s="3750"/>
      <c r="AT605" s="4133">
        <f t="shared" si="360"/>
        <v>216</v>
      </c>
      <c r="AU605" s="3750"/>
      <c r="AV605" s="3750"/>
      <c r="AW605" s="3750"/>
      <c r="AX605" s="4133">
        <f>I605/6</f>
        <v>36</v>
      </c>
      <c r="AY605" s="3750"/>
      <c r="AZ605" s="3750"/>
      <c r="BA605" s="3750"/>
      <c r="BB605" s="3750"/>
      <c r="BC605" s="3750"/>
      <c r="BD605" s="3750"/>
      <c r="BE605" s="3750"/>
      <c r="BF605" s="3750"/>
      <c r="BG605" s="3750"/>
      <c r="BH605" s="3750"/>
      <c r="BI605" s="3750" t="s">
        <v>89</v>
      </c>
      <c r="BJ605" s="4133">
        <f t="shared" si="353"/>
        <v>7.2</v>
      </c>
      <c r="BK605" s="4133">
        <f t="shared" si="354"/>
        <v>36</v>
      </c>
      <c r="BL605" s="4133">
        <f t="shared" si="355"/>
        <v>36</v>
      </c>
      <c r="BM605" s="4133">
        <f t="shared" si="356"/>
        <v>28.8</v>
      </c>
      <c r="BN605" s="4133">
        <f t="shared" si="357"/>
        <v>36</v>
      </c>
      <c r="BO605" s="4134">
        <f t="shared" si="358"/>
        <v>36</v>
      </c>
      <c r="BP605" s="4135">
        <f t="shared" si="359"/>
        <v>36</v>
      </c>
      <c r="BQ605" s="4135">
        <f t="shared" si="339"/>
        <v>216</v>
      </c>
      <c r="BR605" s="3748">
        <f t="shared" si="340"/>
        <v>0</v>
      </c>
      <c r="BS605" s="4136"/>
      <c r="BT605" s="4137"/>
    </row>
    <row r="606" s="3568" customFormat="1" ht="50" customHeight="1" spans="1:72">
      <c r="A606" s="4125">
        <v>45960</v>
      </c>
      <c r="B606" s="3821" t="s">
        <v>6341</v>
      </c>
      <c r="C606" s="3821" t="s">
        <v>506</v>
      </c>
      <c r="D606" s="3736">
        <v>4500183726</v>
      </c>
      <c r="E606" s="3735">
        <v>47885583</v>
      </c>
      <c r="F606" s="3735" t="s">
        <v>7839</v>
      </c>
      <c r="G606" s="3735" t="s">
        <v>6124</v>
      </c>
      <c r="H606" s="3736" t="s">
        <v>6063</v>
      </c>
      <c r="I606" s="3736">
        <v>960</v>
      </c>
      <c r="J606" s="3736">
        <v>0</v>
      </c>
      <c r="K606" s="3736">
        <v>12</v>
      </c>
      <c r="L606" s="3736">
        <f t="shared" ref="L606:L659" si="361">I606/K606</f>
        <v>80</v>
      </c>
      <c r="M606" s="3737">
        <v>46006</v>
      </c>
      <c r="N606" s="3737">
        <v>46002</v>
      </c>
      <c r="O606" s="905"/>
      <c r="P606" s="959" t="s">
        <v>82</v>
      </c>
      <c r="Q606" s="3735"/>
      <c r="R606" s="3735"/>
      <c r="S606" s="3735"/>
      <c r="T606" s="4142"/>
      <c r="U606" s="3625" t="s">
        <v>7829</v>
      </c>
      <c r="V606" s="3738" t="s">
        <v>5108</v>
      </c>
      <c r="W606" s="4128"/>
      <c r="X606" s="3739" t="s">
        <v>6345</v>
      </c>
      <c r="Y606" s="3738"/>
      <c r="Z606" s="3740"/>
      <c r="AA606" s="3625" t="s">
        <v>7840</v>
      </c>
      <c r="AB606" s="3823" t="s">
        <v>3202</v>
      </c>
      <c r="AC606" s="4130">
        <v>2.375</v>
      </c>
      <c r="AD606" s="3736">
        <f t="shared" si="352"/>
        <v>2280</v>
      </c>
      <c r="AE606" s="3742"/>
      <c r="AF606" s="3735" t="s">
        <v>6124</v>
      </c>
      <c r="AG606" s="3625" t="s">
        <v>416</v>
      </c>
      <c r="AH606" s="3625"/>
      <c r="AI606" s="3625"/>
      <c r="AJ606" s="3625"/>
      <c r="AK606" s="3735"/>
      <c r="AL606" s="3735">
        <f>I606</f>
        <v>960</v>
      </c>
      <c r="AM606" s="3735"/>
      <c r="AN606" s="4131"/>
      <c r="AO606" s="3735"/>
      <c r="AP606" s="3736"/>
      <c r="AQ606" s="4132">
        <f t="shared" si="344"/>
        <v>960</v>
      </c>
      <c r="AR606" s="3750"/>
      <c r="AS606" s="3750"/>
      <c r="AT606" s="4133">
        <f t="shared" si="360"/>
        <v>960</v>
      </c>
      <c r="AU606" s="3750"/>
      <c r="AV606" s="3750"/>
      <c r="AW606" s="3750"/>
      <c r="AX606" s="4133">
        <f>I606/6</f>
        <v>160</v>
      </c>
      <c r="AY606" s="3750"/>
      <c r="AZ606" s="3750"/>
      <c r="BA606" s="3750"/>
      <c r="BB606" s="3750"/>
      <c r="BC606" s="3750"/>
      <c r="BD606" s="3750"/>
      <c r="BE606" s="3750"/>
      <c r="BF606" s="3750"/>
      <c r="BG606" s="3750"/>
      <c r="BH606" s="3750"/>
      <c r="BI606" s="3750" t="s">
        <v>89</v>
      </c>
      <c r="BJ606" s="4133">
        <f t="shared" si="353"/>
        <v>32</v>
      </c>
      <c r="BK606" s="4133">
        <f t="shared" si="354"/>
        <v>160</v>
      </c>
      <c r="BL606" s="4133">
        <f t="shared" si="355"/>
        <v>160</v>
      </c>
      <c r="BM606" s="4133">
        <f t="shared" si="356"/>
        <v>128</v>
      </c>
      <c r="BN606" s="4133">
        <f t="shared" si="357"/>
        <v>160</v>
      </c>
      <c r="BO606" s="4134">
        <f t="shared" si="358"/>
        <v>160</v>
      </c>
      <c r="BP606" s="4135">
        <f t="shared" si="359"/>
        <v>160</v>
      </c>
      <c r="BQ606" s="4135">
        <f t="shared" si="339"/>
        <v>960</v>
      </c>
      <c r="BR606" s="3748">
        <f t="shared" si="340"/>
        <v>0</v>
      </c>
      <c r="BS606" s="4136"/>
      <c r="BT606" s="4137"/>
    </row>
    <row r="607" s="3568" customFormat="1" ht="50" customHeight="1" spans="1:72">
      <c r="A607" s="4125">
        <v>45960</v>
      </c>
      <c r="B607" s="3821" t="s">
        <v>6341</v>
      </c>
      <c r="C607" s="3821" t="s">
        <v>506</v>
      </c>
      <c r="D607" s="3736">
        <v>4500183726</v>
      </c>
      <c r="E607" s="3735">
        <v>47886807</v>
      </c>
      <c r="F607" s="3735" t="s">
        <v>7841</v>
      </c>
      <c r="G607" s="3735" t="s">
        <v>6124</v>
      </c>
      <c r="H607" s="3736" t="s">
        <v>6063</v>
      </c>
      <c r="I607" s="3736">
        <v>540</v>
      </c>
      <c r="J607" s="3736">
        <v>0</v>
      </c>
      <c r="K607" s="3736">
        <v>12</v>
      </c>
      <c r="L607" s="3736">
        <f t="shared" si="361"/>
        <v>45</v>
      </c>
      <c r="M607" s="3737">
        <v>46006</v>
      </c>
      <c r="N607" s="3737">
        <v>46002</v>
      </c>
      <c r="O607" s="905"/>
      <c r="P607" s="959" t="s">
        <v>82</v>
      </c>
      <c r="Q607" s="3735"/>
      <c r="R607" s="3735"/>
      <c r="S607" s="3735"/>
      <c r="T607" s="4142"/>
      <c r="U607" s="3625" t="s">
        <v>7829</v>
      </c>
      <c r="V607" s="3738" t="s">
        <v>5108</v>
      </c>
      <c r="W607" s="4128"/>
      <c r="X607" s="3739" t="s">
        <v>6345</v>
      </c>
      <c r="Y607" s="3738"/>
      <c r="Z607" s="3740"/>
      <c r="AA607" s="3625" t="s">
        <v>7840</v>
      </c>
      <c r="AB607" s="3823" t="s">
        <v>3202</v>
      </c>
      <c r="AC607" s="4130">
        <v>2.375</v>
      </c>
      <c r="AD607" s="3736">
        <f t="shared" si="352"/>
        <v>1282.5</v>
      </c>
      <c r="AE607" s="3742"/>
      <c r="AF607" s="3735" t="s">
        <v>6124</v>
      </c>
      <c r="AG607" s="3625" t="s">
        <v>416</v>
      </c>
      <c r="AH607" s="3625"/>
      <c r="AI607" s="3625"/>
      <c r="AJ607" s="3625"/>
      <c r="AK607" s="3735"/>
      <c r="AL607" s="3735">
        <f>I607</f>
        <v>540</v>
      </c>
      <c r="AM607" s="3735"/>
      <c r="AN607" s="4131"/>
      <c r="AO607" s="3735"/>
      <c r="AP607" s="3736"/>
      <c r="AQ607" s="4132">
        <f t="shared" si="344"/>
        <v>540</v>
      </c>
      <c r="AR607" s="3750"/>
      <c r="AS607" s="3750"/>
      <c r="AT607" s="4133">
        <f t="shared" si="360"/>
        <v>540</v>
      </c>
      <c r="AU607" s="3750"/>
      <c r="AV607" s="3750"/>
      <c r="AW607" s="3750"/>
      <c r="AX607" s="4133">
        <f>I607/6</f>
        <v>90</v>
      </c>
      <c r="AY607" s="3750"/>
      <c r="AZ607" s="3750"/>
      <c r="BA607" s="3750"/>
      <c r="BB607" s="3750"/>
      <c r="BC607" s="3750"/>
      <c r="BD607" s="3750"/>
      <c r="BE607" s="3750"/>
      <c r="BF607" s="3750"/>
      <c r="BG607" s="3750"/>
      <c r="BH607" s="3750"/>
      <c r="BI607" s="3750" t="s">
        <v>89</v>
      </c>
      <c r="BJ607" s="4133">
        <f t="shared" si="353"/>
        <v>18</v>
      </c>
      <c r="BK607" s="4133">
        <f t="shared" si="354"/>
        <v>90</v>
      </c>
      <c r="BL607" s="4133">
        <f t="shared" si="355"/>
        <v>90</v>
      </c>
      <c r="BM607" s="4133">
        <f t="shared" si="356"/>
        <v>72</v>
      </c>
      <c r="BN607" s="4133">
        <f t="shared" si="357"/>
        <v>90</v>
      </c>
      <c r="BO607" s="4134">
        <f t="shared" si="358"/>
        <v>90</v>
      </c>
      <c r="BP607" s="4135">
        <f t="shared" si="359"/>
        <v>90</v>
      </c>
      <c r="BQ607" s="4135">
        <f t="shared" si="339"/>
        <v>540</v>
      </c>
      <c r="BR607" s="3748">
        <f t="shared" si="340"/>
        <v>0</v>
      </c>
      <c r="BS607" s="4136"/>
      <c r="BT607" s="4137"/>
    </row>
    <row r="608" s="3568" customFormat="1" ht="50" customHeight="1" spans="1:72">
      <c r="A608" s="4125">
        <v>45971</v>
      </c>
      <c r="B608" s="3821" t="s">
        <v>2697</v>
      </c>
      <c r="C608" s="3821" t="s">
        <v>2698</v>
      </c>
      <c r="D608" s="3736">
        <v>4500184922</v>
      </c>
      <c r="E608" s="3735" t="s">
        <v>7842</v>
      </c>
      <c r="F608" s="3735" t="s">
        <v>7843</v>
      </c>
      <c r="G608" s="3735" t="s">
        <v>6108</v>
      </c>
      <c r="H608" s="3736" t="s">
        <v>6063</v>
      </c>
      <c r="I608" s="3736">
        <v>10008</v>
      </c>
      <c r="J608" s="3736">
        <v>0</v>
      </c>
      <c r="K608" s="3736">
        <v>12</v>
      </c>
      <c r="L608" s="4132">
        <f t="shared" si="361"/>
        <v>834</v>
      </c>
      <c r="M608" s="3737">
        <v>46003</v>
      </c>
      <c r="N608" s="3737">
        <v>45999</v>
      </c>
      <c r="O608" s="905"/>
      <c r="P608" s="959" t="s">
        <v>82</v>
      </c>
      <c r="Q608" s="3735"/>
      <c r="R608" s="3735"/>
      <c r="S608" s="3735"/>
      <c r="T608" s="4142"/>
      <c r="U608" s="3625" t="s">
        <v>427</v>
      </c>
      <c r="V608" s="906" t="s">
        <v>5290</v>
      </c>
      <c r="W608" s="4128"/>
      <c r="X608" s="3739" t="s">
        <v>7844</v>
      </c>
      <c r="Y608" s="3738"/>
      <c r="Z608" s="3740"/>
      <c r="AA608" s="3625" t="s">
        <v>7845</v>
      </c>
      <c r="AB608" s="3823" t="s">
        <v>4965</v>
      </c>
      <c r="AC608" s="4130">
        <v>2.1514</v>
      </c>
      <c r="AD608" s="3736">
        <f t="shared" si="352"/>
        <v>21531.2112</v>
      </c>
      <c r="AE608" s="3742" t="s">
        <v>7846</v>
      </c>
      <c r="AF608" s="3735" t="s">
        <v>6108</v>
      </c>
      <c r="AG608" s="3625" t="s">
        <v>416</v>
      </c>
      <c r="AH608" s="3625"/>
      <c r="AI608" s="3625"/>
      <c r="AJ608" s="3625"/>
      <c r="AK608" s="3735"/>
      <c r="AL608" s="3735">
        <f>I608</f>
        <v>10008</v>
      </c>
      <c r="AM608" s="4131"/>
      <c r="AN608" s="4131"/>
      <c r="AO608" s="3735"/>
      <c r="AP608" s="3736"/>
      <c r="AQ608" s="4132">
        <f t="shared" si="344"/>
        <v>10008</v>
      </c>
      <c r="AR608" s="3750"/>
      <c r="AS608" s="3750"/>
      <c r="AT608" s="4133"/>
      <c r="AU608" s="3750"/>
      <c r="AV608" s="3750">
        <f>I608</f>
        <v>10008</v>
      </c>
      <c r="AW608" s="3750"/>
      <c r="AX608" s="3750">
        <f>I608/6</f>
        <v>1668</v>
      </c>
      <c r="AY608" s="3750"/>
      <c r="AZ608" s="4133"/>
      <c r="BA608" s="3750"/>
      <c r="BB608" s="3750"/>
      <c r="BC608" s="3750"/>
      <c r="BD608" s="3750"/>
      <c r="BE608" s="3750"/>
      <c r="BF608" s="3750"/>
      <c r="BG608" s="3750"/>
      <c r="BH608" s="3750"/>
      <c r="BI608" s="3750" t="s">
        <v>89</v>
      </c>
      <c r="BJ608" s="3750">
        <f t="shared" si="353"/>
        <v>333.6</v>
      </c>
      <c r="BK608" s="3750">
        <f t="shared" si="354"/>
        <v>1668</v>
      </c>
      <c r="BL608" s="3750">
        <f t="shared" si="355"/>
        <v>1668</v>
      </c>
      <c r="BM608" s="3750">
        <f t="shared" si="356"/>
        <v>1334.4</v>
      </c>
      <c r="BN608" s="3750">
        <f t="shared" si="357"/>
        <v>1668</v>
      </c>
      <c r="BO608" s="4141">
        <f t="shared" si="358"/>
        <v>1668</v>
      </c>
      <c r="BP608" s="3748">
        <f t="shared" si="359"/>
        <v>1668</v>
      </c>
      <c r="BQ608" s="3748">
        <f t="shared" si="339"/>
        <v>10008</v>
      </c>
      <c r="BR608" s="3748">
        <f t="shared" si="340"/>
        <v>0</v>
      </c>
      <c r="BS608" s="4136"/>
      <c r="BT608" s="4137"/>
    </row>
    <row r="609" s="3566" customFormat="1" ht="50" customHeight="1" spans="1:72">
      <c r="A609" s="3635">
        <v>45959</v>
      </c>
      <c r="B609" s="3617" t="s">
        <v>5258</v>
      </c>
      <c r="C609" s="3617" t="s">
        <v>569</v>
      </c>
      <c r="D609" s="3618">
        <v>4500183322</v>
      </c>
      <c r="E609" s="959">
        <v>2000008239</v>
      </c>
      <c r="F609" s="959" t="s">
        <v>5259</v>
      </c>
      <c r="G609" s="959" t="s">
        <v>6643</v>
      </c>
      <c r="H609" s="3618" t="s">
        <v>3517</v>
      </c>
      <c r="I609" s="3618">
        <v>1056</v>
      </c>
      <c r="J609" s="3618">
        <v>0</v>
      </c>
      <c r="K609" s="3618">
        <v>12</v>
      </c>
      <c r="L609" s="3618">
        <f t="shared" si="361"/>
        <v>88</v>
      </c>
      <c r="M609" s="3619">
        <v>46006</v>
      </c>
      <c r="N609" s="3619">
        <v>46002</v>
      </c>
      <c r="O609" s="3664"/>
      <c r="P609" s="959" t="s">
        <v>82</v>
      </c>
      <c r="Q609" s="959"/>
      <c r="R609" s="959"/>
      <c r="S609" s="959"/>
      <c r="T609" s="4053"/>
      <c r="U609" s="3620" t="s">
        <v>2242</v>
      </c>
      <c r="V609" s="3649" t="s">
        <v>5245</v>
      </c>
      <c r="W609" s="3657"/>
      <c r="X609" s="3657" t="s">
        <v>5261</v>
      </c>
      <c r="Y609" s="3649"/>
      <c r="Z609" s="3661"/>
      <c r="AA609" s="3620" t="s">
        <v>7847</v>
      </c>
      <c r="AB609" s="3624" t="s">
        <v>1298</v>
      </c>
      <c r="AC609" s="4058">
        <v>4.9215</v>
      </c>
      <c r="AD609" s="3618">
        <f t="shared" si="352"/>
        <v>5197.104</v>
      </c>
      <c r="AE609" s="3633"/>
      <c r="AF609" s="959" t="s">
        <v>6263</v>
      </c>
      <c r="AG609" s="3645" t="s">
        <v>416</v>
      </c>
      <c r="AH609" s="3620"/>
      <c r="AI609" s="3620"/>
      <c r="AJ609" s="3620"/>
      <c r="AK609" s="959"/>
      <c r="AL609" s="959"/>
      <c r="AM609" s="959"/>
      <c r="AN609" s="4108">
        <f>I609</f>
        <v>1056</v>
      </c>
      <c r="AO609" s="959"/>
      <c r="AP609" s="3618"/>
      <c r="AQ609" s="4052">
        <f t="shared" si="344"/>
        <v>1056</v>
      </c>
      <c r="AR609" s="3626"/>
      <c r="AS609" s="3626"/>
      <c r="AT609" s="4109"/>
      <c r="AU609" s="3626"/>
      <c r="AV609" s="4109">
        <f>I609</f>
        <v>1056</v>
      </c>
      <c r="AW609" s="3626"/>
      <c r="AX609" s="4109"/>
      <c r="AY609" s="3626"/>
      <c r="AZ609" s="3626"/>
      <c r="BA609" s="3626"/>
      <c r="BB609" s="3626"/>
      <c r="BC609" s="3626"/>
      <c r="BD609" s="3626"/>
      <c r="BE609" s="3626"/>
      <c r="BF609" s="3626"/>
      <c r="BG609" s="3626"/>
      <c r="BH609" s="3626"/>
      <c r="BI609" s="3626" t="s">
        <v>89</v>
      </c>
      <c r="BJ609" s="3626">
        <f t="shared" si="353"/>
        <v>35.2</v>
      </c>
      <c r="BK609" s="3626">
        <f t="shared" si="354"/>
        <v>176</v>
      </c>
      <c r="BL609" s="3626">
        <f t="shared" si="355"/>
        <v>176</v>
      </c>
      <c r="BM609" s="3626">
        <f t="shared" si="356"/>
        <v>140.8</v>
      </c>
      <c r="BN609" s="3626">
        <f t="shared" si="357"/>
        <v>176</v>
      </c>
      <c r="BO609" s="4055">
        <f t="shared" si="358"/>
        <v>176</v>
      </c>
      <c r="BP609" s="3627">
        <f t="shared" si="359"/>
        <v>176</v>
      </c>
      <c r="BQ609" s="3627">
        <f t="shared" si="339"/>
        <v>1056</v>
      </c>
      <c r="BR609" s="3627">
        <f t="shared" si="340"/>
        <v>0</v>
      </c>
      <c r="BS609" s="4056"/>
      <c r="BT609" s="4057"/>
    </row>
    <row r="610" s="3566" customFormat="1" ht="50" customHeight="1" spans="1:72">
      <c r="A610" s="3635">
        <v>45960</v>
      </c>
      <c r="B610" s="3617" t="s">
        <v>5252</v>
      </c>
      <c r="C610" s="3617" t="s">
        <v>2058</v>
      </c>
      <c r="D610" s="3618">
        <v>4500183306</v>
      </c>
      <c r="E610" s="959">
        <v>2000008395</v>
      </c>
      <c r="F610" s="959" t="s">
        <v>5253</v>
      </c>
      <c r="G610" s="959" t="s">
        <v>6643</v>
      </c>
      <c r="H610" s="3618" t="s">
        <v>3517</v>
      </c>
      <c r="I610" s="3618">
        <v>1500</v>
      </c>
      <c r="J610" s="3618">
        <v>0</v>
      </c>
      <c r="K610" s="3618">
        <v>12</v>
      </c>
      <c r="L610" s="3618">
        <f t="shared" si="361"/>
        <v>125</v>
      </c>
      <c r="M610" s="3619">
        <v>46006</v>
      </c>
      <c r="N610" s="3619">
        <v>46002</v>
      </c>
      <c r="O610" s="3664"/>
      <c r="P610" s="959" t="s">
        <v>82</v>
      </c>
      <c r="Q610" s="959"/>
      <c r="R610" s="959"/>
      <c r="S610" s="959"/>
      <c r="T610" s="4053"/>
      <c r="U610" s="3620" t="s">
        <v>389</v>
      </c>
      <c r="V610" s="3649" t="s">
        <v>5108</v>
      </c>
      <c r="W610" s="3657"/>
      <c r="X610" s="3657" t="s">
        <v>5255</v>
      </c>
      <c r="Y610" s="3649"/>
      <c r="Z610" s="3661"/>
      <c r="AA610" s="3620" t="s">
        <v>7848</v>
      </c>
      <c r="AB610" s="3624" t="s">
        <v>1298</v>
      </c>
      <c r="AC610" s="3618">
        <v>4.9215</v>
      </c>
      <c r="AD610" s="3618">
        <f t="shared" si="352"/>
        <v>7382.25</v>
      </c>
      <c r="AE610" s="3633"/>
      <c r="AF610" s="959" t="s">
        <v>6263</v>
      </c>
      <c r="AG610" s="3620" t="s">
        <v>416</v>
      </c>
      <c r="AH610" s="3620"/>
      <c r="AI610" s="3620"/>
      <c r="AJ610" s="3620"/>
      <c r="AK610" s="959"/>
      <c r="AL610" s="959"/>
      <c r="AM610" s="959"/>
      <c r="AN610" s="4108">
        <f>I610</f>
        <v>1500</v>
      </c>
      <c r="AO610" s="959"/>
      <c r="AP610" s="3618"/>
      <c r="AQ610" s="4052">
        <f t="shared" si="344"/>
        <v>1500</v>
      </c>
      <c r="AR610" s="3626"/>
      <c r="AS610" s="3626"/>
      <c r="AT610" s="4109">
        <f t="shared" ref="AT610:AT664" si="362">I610</f>
        <v>1500</v>
      </c>
      <c r="AU610" s="3626"/>
      <c r="AV610" s="3626"/>
      <c r="AW610" s="3626"/>
      <c r="AX610" s="4109"/>
      <c r="AY610" s="3626"/>
      <c r="AZ610" s="3626"/>
      <c r="BA610" s="3626"/>
      <c r="BB610" s="3626"/>
      <c r="BC610" s="3626"/>
      <c r="BD610" s="3626"/>
      <c r="BE610" s="3626"/>
      <c r="BF610" s="3626"/>
      <c r="BG610" s="3626"/>
      <c r="BH610" s="3626"/>
      <c r="BI610" s="3626" t="s">
        <v>89</v>
      </c>
      <c r="BJ610" s="3626">
        <f t="shared" si="353"/>
        <v>50</v>
      </c>
      <c r="BK610" s="3626">
        <f t="shared" si="354"/>
        <v>250</v>
      </c>
      <c r="BL610" s="3626">
        <f t="shared" si="355"/>
        <v>250</v>
      </c>
      <c r="BM610" s="3626">
        <f t="shared" si="356"/>
        <v>200</v>
      </c>
      <c r="BN610" s="3626">
        <f t="shared" si="357"/>
        <v>250</v>
      </c>
      <c r="BO610" s="4055">
        <f t="shared" si="358"/>
        <v>250</v>
      </c>
      <c r="BP610" s="3627">
        <f t="shared" si="359"/>
        <v>250</v>
      </c>
      <c r="BQ610" s="3627">
        <f t="shared" si="339"/>
        <v>1500</v>
      </c>
      <c r="BR610" s="3627">
        <f t="shared" si="340"/>
        <v>0</v>
      </c>
      <c r="BS610" s="4056"/>
      <c r="BT610" s="4057"/>
    </row>
    <row r="611" s="3566" customFormat="1" ht="50" customHeight="1" spans="1:72">
      <c r="A611" s="3635">
        <v>45961</v>
      </c>
      <c r="B611" s="3617" t="s">
        <v>2171</v>
      </c>
      <c r="C611" s="3617" t="s">
        <v>471</v>
      </c>
      <c r="D611" s="3618">
        <v>4500183904</v>
      </c>
      <c r="E611" s="959" t="s">
        <v>7849</v>
      </c>
      <c r="F611" s="959" t="s">
        <v>7850</v>
      </c>
      <c r="G611" s="959" t="s">
        <v>6281</v>
      </c>
      <c r="H611" s="959" t="s">
        <v>6292</v>
      </c>
      <c r="I611" s="3618">
        <v>480</v>
      </c>
      <c r="J611" s="3618">
        <v>0</v>
      </c>
      <c r="K611" s="3618">
        <v>32</v>
      </c>
      <c r="L611" s="4052">
        <f t="shared" si="361"/>
        <v>15</v>
      </c>
      <c r="M611" s="3619">
        <v>46009</v>
      </c>
      <c r="N611" s="3619">
        <v>46006</v>
      </c>
      <c r="O611" s="3664"/>
      <c r="P611" s="959" t="s">
        <v>82</v>
      </c>
      <c r="Q611" s="959"/>
      <c r="R611" s="959"/>
      <c r="S611" s="959"/>
      <c r="T611" s="4053"/>
      <c r="U611" s="3620" t="s">
        <v>7851</v>
      </c>
      <c r="V611" s="3649" t="s">
        <v>1307</v>
      </c>
      <c r="W611" s="3695"/>
      <c r="X611" s="3657" t="s">
        <v>7852</v>
      </c>
      <c r="Y611" s="3649"/>
      <c r="Z611" s="3661"/>
      <c r="AA611" s="3620" t="s">
        <v>7853</v>
      </c>
      <c r="AB611" s="3624" t="s">
        <v>380</v>
      </c>
      <c r="AC611" s="4058">
        <v>2.3158</v>
      </c>
      <c r="AD611" s="3618">
        <f t="shared" si="352"/>
        <v>1111.584</v>
      </c>
      <c r="AE611" s="3633"/>
      <c r="AF611" s="959" t="s">
        <v>6106</v>
      </c>
      <c r="AG611" s="3620" t="s">
        <v>416</v>
      </c>
      <c r="AH611" s="3620"/>
      <c r="AI611" s="3620"/>
      <c r="AJ611" s="3620"/>
      <c r="AK611" s="959"/>
      <c r="AL611" s="959"/>
      <c r="AM611" s="959"/>
      <c r="AN611" s="4108">
        <f>I611</f>
        <v>480</v>
      </c>
      <c r="AO611" s="959"/>
      <c r="AP611" s="3618"/>
      <c r="AQ611" s="4052">
        <f t="shared" si="344"/>
        <v>480</v>
      </c>
      <c r="AR611" s="3626"/>
      <c r="AS611" s="3626"/>
      <c r="AT611" s="4109">
        <f t="shared" si="362"/>
        <v>480</v>
      </c>
      <c r="AU611" s="3626"/>
      <c r="AV611" s="3626"/>
      <c r="AW611" s="3626"/>
      <c r="AX611" s="4109"/>
      <c r="AY611" s="3626"/>
      <c r="AZ611" s="3626"/>
      <c r="BA611" s="3626"/>
      <c r="BB611" s="3626"/>
      <c r="BC611" s="3626"/>
      <c r="BD611" s="3626"/>
      <c r="BE611" s="3626"/>
      <c r="BF611" s="3626"/>
      <c r="BG611" s="3626"/>
      <c r="BH611" s="3626"/>
      <c r="BI611" s="3626" t="s">
        <v>89</v>
      </c>
      <c r="BJ611" s="4109"/>
      <c r="BK611" s="4109">
        <f>I611</f>
        <v>480</v>
      </c>
      <c r="BL611" s="4109"/>
      <c r="BM611" s="4109"/>
      <c r="BN611" s="4109"/>
      <c r="BO611" s="4079"/>
      <c r="BP611" s="4110"/>
      <c r="BQ611" s="4110">
        <f t="shared" si="339"/>
        <v>480</v>
      </c>
      <c r="BR611" s="3627">
        <f t="shared" si="340"/>
        <v>0</v>
      </c>
      <c r="BS611" s="4056"/>
      <c r="BT611" s="4057"/>
    </row>
    <row r="612" s="3568" customFormat="1" ht="50" customHeight="1" spans="1:72">
      <c r="A612" s="4125">
        <v>45973</v>
      </c>
      <c r="B612" s="3821" t="s">
        <v>7854</v>
      </c>
      <c r="C612" s="3821"/>
      <c r="D612" s="3736" t="s">
        <v>7855</v>
      </c>
      <c r="E612" s="3735"/>
      <c r="F612" s="3735"/>
      <c r="G612" s="3735">
        <v>92104</v>
      </c>
      <c r="H612" s="3736" t="s">
        <v>6063</v>
      </c>
      <c r="I612" s="3736">
        <v>8250</v>
      </c>
      <c r="J612" s="3736">
        <v>0</v>
      </c>
      <c r="K612" s="3736">
        <v>15</v>
      </c>
      <c r="L612" s="3736">
        <f t="shared" si="361"/>
        <v>550</v>
      </c>
      <c r="M612" s="3737">
        <v>46010</v>
      </c>
      <c r="N612" s="3737">
        <v>46006</v>
      </c>
      <c r="O612" s="905" t="s">
        <v>7856</v>
      </c>
      <c r="P612" s="959" t="s">
        <v>82</v>
      </c>
      <c r="Q612" s="3735"/>
      <c r="R612" s="3735"/>
      <c r="S612" s="3735"/>
      <c r="T612" s="4142"/>
      <c r="U612" s="3625" t="s">
        <v>5405</v>
      </c>
      <c r="V612" s="4152" t="s">
        <v>335</v>
      </c>
      <c r="W612" s="3739"/>
      <c r="X612" s="3739" t="s">
        <v>98</v>
      </c>
      <c r="Y612" s="3738"/>
      <c r="Z612" s="3740" t="s">
        <v>7857</v>
      </c>
      <c r="AA612" s="3625" t="s">
        <v>7858</v>
      </c>
      <c r="AB612" s="3823" t="s">
        <v>6120</v>
      </c>
      <c r="AC612" s="4130">
        <v>2.1266</v>
      </c>
      <c r="AD612" s="3736">
        <f t="shared" si="352"/>
        <v>17544.45</v>
      </c>
      <c r="AE612" s="3742"/>
      <c r="AF612" s="3735" t="s">
        <v>5400</v>
      </c>
      <c r="AG612" s="3735" t="s">
        <v>5400</v>
      </c>
      <c r="AH612" s="3625"/>
      <c r="AI612" s="3625"/>
      <c r="AJ612" s="3625"/>
      <c r="AK612" s="3735"/>
      <c r="AL612" s="3735">
        <f>I612</f>
        <v>8250</v>
      </c>
      <c r="AM612" s="3735"/>
      <c r="AN612" s="4131"/>
      <c r="AO612" s="3735"/>
      <c r="AP612" s="3736"/>
      <c r="AQ612" s="4132">
        <f t="shared" si="344"/>
        <v>8250</v>
      </c>
      <c r="AR612" s="3750"/>
      <c r="AS612" s="3750"/>
      <c r="AT612" s="4133">
        <f t="shared" si="362"/>
        <v>8250</v>
      </c>
      <c r="AU612" s="3750"/>
      <c r="AV612" s="3750"/>
      <c r="AW612" s="3750"/>
      <c r="AX612" s="4133"/>
      <c r="AY612" s="3750"/>
      <c r="AZ612" s="3750"/>
      <c r="BA612" s="3750"/>
      <c r="BB612" s="3750"/>
      <c r="BC612" s="3750"/>
      <c r="BD612" s="3750"/>
      <c r="BE612" s="3750"/>
      <c r="BF612" s="3750"/>
      <c r="BG612" s="3750"/>
      <c r="BH612" s="3750"/>
      <c r="BI612" s="3750" t="s">
        <v>89</v>
      </c>
      <c r="BJ612" s="4133">
        <f t="shared" ref="BJ612:BJ650" si="363">I612/60*2</f>
        <v>275</v>
      </c>
      <c r="BK612" s="4133">
        <f t="shared" ref="BK612:BK650" si="364">I612/60*10</f>
        <v>1375</v>
      </c>
      <c r="BL612" s="4133">
        <f t="shared" ref="BL612:BL650" si="365">I612/60*10</f>
        <v>1375</v>
      </c>
      <c r="BM612" s="4133">
        <f t="shared" ref="BM612:BM650" si="366">I612/60*8</f>
        <v>1100</v>
      </c>
      <c r="BN612" s="4133">
        <f t="shared" ref="BN612:BN650" si="367">I612/60*10</f>
        <v>1375</v>
      </c>
      <c r="BO612" s="4134">
        <f t="shared" ref="BO612:BO650" si="368">I612/60*10</f>
        <v>1375</v>
      </c>
      <c r="BP612" s="4135">
        <f t="shared" ref="BP612:BP650" si="369">I612/60*10</f>
        <v>1375</v>
      </c>
      <c r="BQ612" s="4135">
        <f t="shared" si="339"/>
        <v>8250</v>
      </c>
      <c r="BR612" s="3748">
        <f t="shared" si="340"/>
        <v>0</v>
      </c>
      <c r="BS612" s="4136"/>
      <c r="BT612" s="4137"/>
    </row>
    <row r="613" s="3568" customFormat="1" ht="50" customHeight="1" spans="1:72">
      <c r="A613" s="4125">
        <v>45965</v>
      </c>
      <c r="B613" s="3821" t="s">
        <v>5224</v>
      </c>
      <c r="C613" s="3821" t="s">
        <v>3428</v>
      </c>
      <c r="D613" s="3736">
        <v>4500184422</v>
      </c>
      <c r="E613" s="3735">
        <v>5907187951</v>
      </c>
      <c r="F613" s="3735" t="s">
        <v>7859</v>
      </c>
      <c r="G613" s="3735" t="s">
        <v>6124</v>
      </c>
      <c r="H613" s="3736" t="s">
        <v>6063</v>
      </c>
      <c r="I613" s="3736">
        <v>252</v>
      </c>
      <c r="J613" s="3736">
        <v>0</v>
      </c>
      <c r="K613" s="3736">
        <v>12</v>
      </c>
      <c r="L613" s="3736">
        <f t="shared" si="361"/>
        <v>21</v>
      </c>
      <c r="M613" s="3737">
        <v>46009</v>
      </c>
      <c r="N613" s="3737">
        <v>46006</v>
      </c>
      <c r="O613" s="905"/>
      <c r="P613" s="959" t="s">
        <v>82</v>
      </c>
      <c r="Q613" s="3735"/>
      <c r="R613" s="3735"/>
      <c r="S613" s="3735"/>
      <c r="T613" s="4142"/>
      <c r="U613" s="4148" t="s">
        <v>96</v>
      </c>
      <c r="V613" s="906" t="s">
        <v>5226</v>
      </c>
      <c r="W613" s="3739"/>
      <c r="X613" s="3739" t="s">
        <v>3618</v>
      </c>
      <c r="Y613" s="3738"/>
      <c r="Z613" s="3740"/>
      <c r="AA613" s="3625" t="s">
        <v>7860</v>
      </c>
      <c r="AB613" s="3823" t="s">
        <v>1257</v>
      </c>
      <c r="AC613" s="4130">
        <v>2.259</v>
      </c>
      <c r="AD613" s="3736">
        <f t="shared" si="352"/>
        <v>569.268</v>
      </c>
      <c r="AE613" s="3742"/>
      <c r="AF613" s="3735" t="s">
        <v>6126</v>
      </c>
      <c r="AG613" s="3625" t="s">
        <v>416</v>
      </c>
      <c r="AH613" s="3625"/>
      <c r="AI613" s="3625"/>
      <c r="AJ613" s="3625"/>
      <c r="AK613" s="3735"/>
      <c r="AL613" s="3735"/>
      <c r="AM613" s="3735"/>
      <c r="AN613" s="4131">
        <f>I613</f>
        <v>252</v>
      </c>
      <c r="AO613" s="3735"/>
      <c r="AP613" s="3736"/>
      <c r="AQ613" s="4132">
        <f t="shared" si="344"/>
        <v>252</v>
      </c>
      <c r="AR613" s="3750"/>
      <c r="AS613" s="3750"/>
      <c r="AT613" s="4133">
        <f t="shared" si="362"/>
        <v>252</v>
      </c>
      <c r="AU613" s="3750"/>
      <c r="AV613" s="3750"/>
      <c r="AW613" s="3750"/>
      <c r="AX613" s="4133">
        <f>I613/6</f>
        <v>42</v>
      </c>
      <c r="AY613" s="3750"/>
      <c r="AZ613" s="3750"/>
      <c r="BA613" s="3750"/>
      <c r="BB613" s="3750"/>
      <c r="BC613" s="3750"/>
      <c r="BD613" s="3750"/>
      <c r="BE613" s="3750"/>
      <c r="BF613" s="3750"/>
      <c r="BG613" s="3750"/>
      <c r="BH613" s="3750"/>
      <c r="BI613" s="3750" t="s">
        <v>89</v>
      </c>
      <c r="BJ613" s="4133">
        <f t="shared" si="363"/>
        <v>8.4</v>
      </c>
      <c r="BK613" s="4133">
        <f t="shared" si="364"/>
        <v>42</v>
      </c>
      <c r="BL613" s="4133">
        <f t="shared" si="365"/>
        <v>42</v>
      </c>
      <c r="BM613" s="4133">
        <f t="shared" si="366"/>
        <v>33.6</v>
      </c>
      <c r="BN613" s="4133">
        <f t="shared" si="367"/>
        <v>42</v>
      </c>
      <c r="BO613" s="4134">
        <f t="shared" si="368"/>
        <v>42</v>
      </c>
      <c r="BP613" s="4135">
        <f t="shared" si="369"/>
        <v>42</v>
      </c>
      <c r="BQ613" s="4135">
        <f t="shared" si="339"/>
        <v>252</v>
      </c>
      <c r="BR613" s="3748">
        <f t="shared" si="340"/>
        <v>0</v>
      </c>
      <c r="BS613" s="4136"/>
      <c r="BT613" s="4137"/>
    </row>
    <row r="614" s="3568" customFormat="1" ht="50" customHeight="1" spans="1:72">
      <c r="A614" s="4125">
        <v>45965</v>
      </c>
      <c r="B614" s="3821" t="s">
        <v>5228</v>
      </c>
      <c r="C614" s="3821" t="s">
        <v>3417</v>
      </c>
      <c r="D614" s="3736">
        <v>4500184355</v>
      </c>
      <c r="E614" s="3735">
        <v>4407187950</v>
      </c>
      <c r="F614" s="3735" t="s">
        <v>7861</v>
      </c>
      <c r="G614" s="3735" t="s">
        <v>6124</v>
      </c>
      <c r="H614" s="3736" t="s">
        <v>6063</v>
      </c>
      <c r="I614" s="3736">
        <v>216</v>
      </c>
      <c r="J614" s="3736">
        <v>0</v>
      </c>
      <c r="K614" s="3736">
        <v>12</v>
      </c>
      <c r="L614" s="3736">
        <f t="shared" si="361"/>
        <v>18</v>
      </c>
      <c r="M614" s="3737">
        <v>46009</v>
      </c>
      <c r="N614" s="3737">
        <v>46006</v>
      </c>
      <c r="O614" s="905"/>
      <c r="P614" s="959" t="s">
        <v>82</v>
      </c>
      <c r="Q614" s="3735"/>
      <c r="R614" s="3735"/>
      <c r="S614" s="3735"/>
      <c r="T614" s="4142"/>
      <c r="U614" s="3625" t="s">
        <v>2242</v>
      </c>
      <c r="V614" s="906" t="s">
        <v>5226</v>
      </c>
      <c r="W614" s="3739"/>
      <c r="X614" s="3739" t="s">
        <v>3618</v>
      </c>
      <c r="Y614" s="3738"/>
      <c r="Z614" s="3740"/>
      <c r="AA614" s="3625" t="s">
        <v>7860</v>
      </c>
      <c r="AB614" s="3823" t="s">
        <v>1257</v>
      </c>
      <c r="AC614" s="4130">
        <v>2.259</v>
      </c>
      <c r="AD614" s="3736">
        <f t="shared" si="352"/>
        <v>487.944</v>
      </c>
      <c r="AE614" s="3742"/>
      <c r="AF614" s="3735" t="s">
        <v>6126</v>
      </c>
      <c r="AG614" s="3625" t="s">
        <v>416</v>
      </c>
      <c r="AH614" s="3625"/>
      <c r="AI614" s="3625"/>
      <c r="AJ614" s="3625"/>
      <c r="AK614" s="3735"/>
      <c r="AL614" s="3735"/>
      <c r="AM614" s="3735"/>
      <c r="AN614" s="4131">
        <f>I614</f>
        <v>216</v>
      </c>
      <c r="AO614" s="3735"/>
      <c r="AP614" s="3736"/>
      <c r="AQ614" s="4132">
        <f t="shared" si="344"/>
        <v>216</v>
      </c>
      <c r="AR614" s="3750"/>
      <c r="AS614" s="3750"/>
      <c r="AT614" s="4133">
        <f t="shared" si="362"/>
        <v>216</v>
      </c>
      <c r="AU614" s="3750"/>
      <c r="AV614" s="3750"/>
      <c r="AW614" s="3750"/>
      <c r="AX614" s="4133">
        <f>I614/6</f>
        <v>36</v>
      </c>
      <c r="AY614" s="3750"/>
      <c r="AZ614" s="3750"/>
      <c r="BA614" s="3750"/>
      <c r="BB614" s="3750"/>
      <c r="BC614" s="3750"/>
      <c r="BD614" s="3750"/>
      <c r="BE614" s="3750"/>
      <c r="BF614" s="3750"/>
      <c r="BG614" s="3750"/>
      <c r="BH614" s="3750"/>
      <c r="BI614" s="3750" t="s">
        <v>89</v>
      </c>
      <c r="BJ614" s="4133">
        <f t="shared" si="363"/>
        <v>7.2</v>
      </c>
      <c r="BK614" s="4133">
        <f t="shared" si="364"/>
        <v>36</v>
      </c>
      <c r="BL614" s="4133">
        <f t="shared" si="365"/>
        <v>36</v>
      </c>
      <c r="BM614" s="4133">
        <f t="shared" si="366"/>
        <v>28.8</v>
      </c>
      <c r="BN614" s="4133">
        <f t="shared" si="367"/>
        <v>36</v>
      </c>
      <c r="BO614" s="4134">
        <f t="shared" si="368"/>
        <v>36</v>
      </c>
      <c r="BP614" s="4135">
        <f t="shared" si="369"/>
        <v>36</v>
      </c>
      <c r="BQ614" s="4135">
        <f t="shared" si="339"/>
        <v>216</v>
      </c>
      <c r="BR614" s="3748">
        <f t="shared" si="340"/>
        <v>0</v>
      </c>
      <c r="BS614" s="4136"/>
      <c r="BT614" s="4137"/>
    </row>
    <row r="615" s="3568" customFormat="1" ht="50" customHeight="1" spans="1:72">
      <c r="A615" s="4125">
        <v>45965</v>
      </c>
      <c r="B615" s="3821" t="s">
        <v>5231</v>
      </c>
      <c r="C615" s="3821" t="s">
        <v>1332</v>
      </c>
      <c r="D615" s="3736">
        <v>4500184316</v>
      </c>
      <c r="E615" s="3735">
        <v>8807187952</v>
      </c>
      <c r="F615" s="3735" t="s">
        <v>7862</v>
      </c>
      <c r="G615" s="3735" t="s">
        <v>6124</v>
      </c>
      <c r="H615" s="3736" t="s">
        <v>6063</v>
      </c>
      <c r="I615" s="3736">
        <v>300</v>
      </c>
      <c r="J615" s="3736">
        <v>0</v>
      </c>
      <c r="K615" s="3736">
        <v>12</v>
      </c>
      <c r="L615" s="3736">
        <f t="shared" si="361"/>
        <v>25</v>
      </c>
      <c r="M615" s="3737">
        <v>46009</v>
      </c>
      <c r="N615" s="3737">
        <v>46006</v>
      </c>
      <c r="O615" s="905"/>
      <c r="P615" s="959" t="s">
        <v>82</v>
      </c>
      <c r="Q615" s="3735"/>
      <c r="R615" s="3735"/>
      <c r="S615" s="3735"/>
      <c r="T615" s="4142"/>
      <c r="U615" s="3625" t="s">
        <v>5233</v>
      </c>
      <c r="V615" s="906" t="s">
        <v>5226</v>
      </c>
      <c r="W615" s="3739"/>
      <c r="X615" s="3739" t="s">
        <v>3618</v>
      </c>
      <c r="Y615" s="3738"/>
      <c r="Z615" s="3740"/>
      <c r="AA615" s="3625" t="s">
        <v>7860</v>
      </c>
      <c r="AB615" s="3823" t="s">
        <v>1257</v>
      </c>
      <c r="AC615" s="4130">
        <v>2.259</v>
      </c>
      <c r="AD615" s="3736">
        <f t="shared" si="352"/>
        <v>677.7</v>
      </c>
      <c r="AE615" s="3742"/>
      <c r="AF615" s="3735" t="s">
        <v>6126</v>
      </c>
      <c r="AG615" s="3625" t="s">
        <v>416</v>
      </c>
      <c r="AH615" s="3625"/>
      <c r="AI615" s="3625"/>
      <c r="AJ615" s="3625"/>
      <c r="AK615" s="3735"/>
      <c r="AL615" s="3735"/>
      <c r="AM615" s="3735"/>
      <c r="AN615" s="4131">
        <f>I615</f>
        <v>300</v>
      </c>
      <c r="AO615" s="3735"/>
      <c r="AP615" s="3736"/>
      <c r="AQ615" s="4132">
        <f t="shared" si="344"/>
        <v>300</v>
      </c>
      <c r="AR615" s="3750"/>
      <c r="AS615" s="3750"/>
      <c r="AT615" s="4133">
        <f t="shared" si="362"/>
        <v>300</v>
      </c>
      <c r="AU615" s="3750"/>
      <c r="AV615" s="3750"/>
      <c r="AW615" s="3750"/>
      <c r="AX615" s="4133">
        <f>I615/6</f>
        <v>50</v>
      </c>
      <c r="AY615" s="3750"/>
      <c r="AZ615" s="3750"/>
      <c r="BA615" s="3750"/>
      <c r="BB615" s="3750"/>
      <c r="BC615" s="3750"/>
      <c r="BD615" s="3750"/>
      <c r="BE615" s="3750"/>
      <c r="BF615" s="3750"/>
      <c r="BG615" s="3750"/>
      <c r="BH615" s="3750"/>
      <c r="BI615" s="3750" t="s">
        <v>89</v>
      </c>
      <c r="BJ615" s="4133">
        <f t="shared" si="363"/>
        <v>10</v>
      </c>
      <c r="BK615" s="4133">
        <f t="shared" si="364"/>
        <v>50</v>
      </c>
      <c r="BL615" s="4133">
        <f t="shared" si="365"/>
        <v>50</v>
      </c>
      <c r="BM615" s="4133">
        <f t="shared" si="366"/>
        <v>40</v>
      </c>
      <c r="BN615" s="4133">
        <f t="shared" si="367"/>
        <v>50</v>
      </c>
      <c r="BO615" s="4134">
        <f t="shared" si="368"/>
        <v>50</v>
      </c>
      <c r="BP615" s="4135">
        <f t="shared" si="369"/>
        <v>50</v>
      </c>
      <c r="BQ615" s="4135">
        <f t="shared" si="339"/>
        <v>300</v>
      </c>
      <c r="BR615" s="3748">
        <f t="shared" si="340"/>
        <v>0</v>
      </c>
      <c r="BS615" s="4136"/>
      <c r="BT615" s="4137"/>
    </row>
    <row r="616" s="3568" customFormat="1" ht="50" customHeight="1" spans="1:72">
      <c r="A616" s="4125">
        <v>45939</v>
      </c>
      <c r="B616" s="3821" t="s">
        <v>3657</v>
      </c>
      <c r="C616" s="3821" t="s">
        <v>341</v>
      </c>
      <c r="D616" s="3736">
        <v>4500181202</v>
      </c>
      <c r="E616" s="3735" t="s">
        <v>5282</v>
      </c>
      <c r="F616" s="3735" t="s">
        <v>5283</v>
      </c>
      <c r="G616" s="3735" t="s">
        <v>6643</v>
      </c>
      <c r="H616" s="3736" t="s">
        <v>3517</v>
      </c>
      <c r="I616" s="3736">
        <v>8316</v>
      </c>
      <c r="J616" s="3736">
        <v>0</v>
      </c>
      <c r="K616" s="3736">
        <v>12</v>
      </c>
      <c r="L616" s="3736">
        <f t="shared" si="361"/>
        <v>693</v>
      </c>
      <c r="M616" s="3737">
        <v>46010</v>
      </c>
      <c r="N616" s="3737">
        <v>46006</v>
      </c>
      <c r="O616" s="905"/>
      <c r="P616" s="959" t="s">
        <v>82</v>
      </c>
      <c r="Q616" s="3735"/>
      <c r="R616" s="3735"/>
      <c r="S616" s="3735"/>
      <c r="T616" s="4142"/>
      <c r="U616" s="3625" t="s">
        <v>5284</v>
      </c>
      <c r="V616" s="3738" t="s">
        <v>128</v>
      </c>
      <c r="W616" s="3739"/>
      <c r="X616" s="3739" t="s">
        <v>5285</v>
      </c>
      <c r="Y616" s="3738"/>
      <c r="Z616" s="3740"/>
      <c r="AA616" s="3625" t="s">
        <v>7863</v>
      </c>
      <c r="AB616" s="3823" t="s">
        <v>1131</v>
      </c>
      <c r="AC616" s="4130">
        <v>4.8333</v>
      </c>
      <c r="AD616" s="3736">
        <f t="shared" si="352"/>
        <v>40193.7228</v>
      </c>
      <c r="AE616" s="3742"/>
      <c r="AF616" s="3735" t="s">
        <v>3520</v>
      </c>
      <c r="AG616" s="3625" t="s">
        <v>416</v>
      </c>
      <c r="AH616" s="3625"/>
      <c r="AI616" s="3625"/>
      <c r="AJ616" s="3625"/>
      <c r="AK616" s="3735"/>
      <c r="AL616" s="3735">
        <f>I616</f>
        <v>8316</v>
      </c>
      <c r="AM616" s="4131"/>
      <c r="AN616" s="4131"/>
      <c r="AO616" s="3735"/>
      <c r="AP616" s="3736"/>
      <c r="AQ616" s="4132">
        <f t="shared" si="344"/>
        <v>8316</v>
      </c>
      <c r="AR616" s="3750"/>
      <c r="AS616" s="3750"/>
      <c r="AT616" s="4133">
        <f t="shared" si="362"/>
        <v>8316</v>
      </c>
      <c r="AU616" s="3750"/>
      <c r="AV616" s="3750"/>
      <c r="AW616" s="3750"/>
      <c r="AX616" s="3750"/>
      <c r="AY616" s="3750"/>
      <c r="AZ616" s="4133"/>
      <c r="BA616" s="3750"/>
      <c r="BB616" s="3750"/>
      <c r="BC616" s="3750"/>
      <c r="BD616" s="3750"/>
      <c r="BE616" s="3750"/>
      <c r="BF616" s="3750"/>
      <c r="BG616" s="3750"/>
      <c r="BH616" s="3750"/>
      <c r="BI616" s="3750" t="s">
        <v>89</v>
      </c>
      <c r="BJ616" s="3750">
        <f t="shared" si="363"/>
        <v>277.2</v>
      </c>
      <c r="BK616" s="3750">
        <f t="shared" si="364"/>
        <v>1386</v>
      </c>
      <c r="BL616" s="3750">
        <f t="shared" si="365"/>
        <v>1386</v>
      </c>
      <c r="BM616" s="3750">
        <f t="shared" si="366"/>
        <v>1108.8</v>
      </c>
      <c r="BN616" s="3750">
        <f t="shared" si="367"/>
        <v>1386</v>
      </c>
      <c r="BO616" s="4141">
        <f t="shared" si="368"/>
        <v>1386</v>
      </c>
      <c r="BP616" s="3748">
        <f t="shared" si="369"/>
        <v>1386</v>
      </c>
      <c r="BQ616" s="3748">
        <f t="shared" si="339"/>
        <v>8316</v>
      </c>
      <c r="BR616" s="3748">
        <f t="shared" si="340"/>
        <v>0</v>
      </c>
      <c r="BS616" s="4136"/>
      <c r="BT616" s="4137"/>
    </row>
    <row r="617" s="3568" customFormat="1" ht="50" customHeight="1" spans="1:72">
      <c r="A617" s="4125">
        <v>45939</v>
      </c>
      <c r="B617" s="3821" t="s">
        <v>3657</v>
      </c>
      <c r="C617" s="3821" t="s">
        <v>341</v>
      </c>
      <c r="D617" s="3736">
        <v>4500181202</v>
      </c>
      <c r="E617" s="3735" t="s">
        <v>5287</v>
      </c>
      <c r="F617" s="3735" t="s">
        <v>5288</v>
      </c>
      <c r="G617" s="3735" t="s">
        <v>6643</v>
      </c>
      <c r="H617" s="3736" t="s">
        <v>3517</v>
      </c>
      <c r="I617" s="3736">
        <v>8316</v>
      </c>
      <c r="J617" s="3736">
        <v>0</v>
      </c>
      <c r="K617" s="3736">
        <v>12</v>
      </c>
      <c r="L617" s="3736">
        <f t="shared" si="361"/>
        <v>693</v>
      </c>
      <c r="M617" s="3737">
        <v>46010</v>
      </c>
      <c r="N617" s="3737">
        <v>46006</v>
      </c>
      <c r="O617" s="905"/>
      <c r="P617" s="959" t="s">
        <v>82</v>
      </c>
      <c r="Q617" s="3735"/>
      <c r="R617" s="3735"/>
      <c r="S617" s="3735"/>
      <c r="T617" s="4142"/>
      <c r="U617" s="3625" t="s">
        <v>5284</v>
      </c>
      <c r="V617" s="3739" t="s">
        <v>128</v>
      </c>
      <c r="W617" s="3739"/>
      <c r="X617" s="3739" t="s">
        <v>5285</v>
      </c>
      <c r="Y617" s="3738"/>
      <c r="Z617" s="3740"/>
      <c r="AA617" s="3625" t="s">
        <v>7863</v>
      </c>
      <c r="AB617" s="3823" t="s">
        <v>1131</v>
      </c>
      <c r="AC617" s="4130">
        <v>4.8333</v>
      </c>
      <c r="AD617" s="3736">
        <f t="shared" si="352"/>
        <v>40193.7228</v>
      </c>
      <c r="AE617" s="3742"/>
      <c r="AF617" s="3735" t="s">
        <v>3520</v>
      </c>
      <c r="AG617" s="3625" t="s">
        <v>416</v>
      </c>
      <c r="AH617" s="3625"/>
      <c r="AI617" s="3625"/>
      <c r="AJ617" s="3625"/>
      <c r="AK617" s="3735"/>
      <c r="AL617" s="3735">
        <f>I617</f>
        <v>8316</v>
      </c>
      <c r="AM617" s="4131"/>
      <c r="AN617" s="4131"/>
      <c r="AO617" s="3735"/>
      <c r="AP617" s="3736"/>
      <c r="AQ617" s="4132">
        <f t="shared" si="344"/>
        <v>8316</v>
      </c>
      <c r="AR617" s="3750"/>
      <c r="AS617" s="3750"/>
      <c r="AT617" s="4133">
        <f t="shared" si="362"/>
        <v>8316</v>
      </c>
      <c r="AU617" s="3750"/>
      <c r="AV617" s="3750"/>
      <c r="AW617" s="3750"/>
      <c r="AX617" s="3750"/>
      <c r="AY617" s="3750"/>
      <c r="AZ617" s="4133"/>
      <c r="BA617" s="3750"/>
      <c r="BB617" s="3750"/>
      <c r="BC617" s="3750"/>
      <c r="BD617" s="3750"/>
      <c r="BE617" s="3750"/>
      <c r="BF617" s="3750"/>
      <c r="BG617" s="3750"/>
      <c r="BH617" s="3750"/>
      <c r="BI617" s="3750" t="s">
        <v>89</v>
      </c>
      <c r="BJ617" s="3750">
        <f t="shared" si="363"/>
        <v>277.2</v>
      </c>
      <c r="BK617" s="3750">
        <f t="shared" si="364"/>
        <v>1386</v>
      </c>
      <c r="BL617" s="3750">
        <f t="shared" si="365"/>
        <v>1386</v>
      </c>
      <c r="BM617" s="3750">
        <f t="shared" si="366"/>
        <v>1108.8</v>
      </c>
      <c r="BN617" s="3750">
        <f t="shared" si="367"/>
        <v>1386</v>
      </c>
      <c r="BO617" s="4141">
        <f t="shared" si="368"/>
        <v>1386</v>
      </c>
      <c r="BP617" s="3748">
        <f t="shared" si="369"/>
        <v>1386</v>
      </c>
      <c r="BQ617" s="3748">
        <f t="shared" si="339"/>
        <v>8316</v>
      </c>
      <c r="BR617" s="3748">
        <f t="shared" si="340"/>
        <v>0</v>
      </c>
      <c r="BS617" s="4136"/>
      <c r="BT617" s="4137"/>
    </row>
    <row r="618" s="3568" customFormat="1" ht="50" customHeight="1" spans="1:72">
      <c r="A618" s="4125">
        <v>45965</v>
      </c>
      <c r="B618" s="3821" t="s">
        <v>2914</v>
      </c>
      <c r="C618" s="3821" t="s">
        <v>341</v>
      </c>
      <c r="D618" s="3736">
        <v>4500184385</v>
      </c>
      <c r="E618" s="3735" t="s">
        <v>7864</v>
      </c>
      <c r="F618" s="3736" t="s">
        <v>7865</v>
      </c>
      <c r="G618" s="3735" t="s">
        <v>6116</v>
      </c>
      <c r="H618" s="3736" t="s">
        <v>6063</v>
      </c>
      <c r="I618" s="3736">
        <v>6400</v>
      </c>
      <c r="J618" s="3736">
        <v>0</v>
      </c>
      <c r="K618" s="3736">
        <v>16</v>
      </c>
      <c r="L618" s="4132">
        <f t="shared" si="361"/>
        <v>400</v>
      </c>
      <c r="M618" s="3737">
        <v>46014</v>
      </c>
      <c r="N618" s="3737">
        <v>46010</v>
      </c>
      <c r="O618" s="905"/>
      <c r="P618" s="959" t="s">
        <v>82</v>
      </c>
      <c r="Q618" s="3735"/>
      <c r="R618" s="3735"/>
      <c r="S618" s="3735"/>
      <c r="T618" s="4142"/>
      <c r="U618" s="3625" t="s">
        <v>2223</v>
      </c>
      <c r="V618" s="3739" t="s">
        <v>97</v>
      </c>
      <c r="W618" s="4128"/>
      <c r="X618" s="3739" t="s">
        <v>6118</v>
      </c>
      <c r="Y618" s="3738"/>
      <c r="Z618" s="3740"/>
      <c r="AA618" s="3625" t="s">
        <v>7866</v>
      </c>
      <c r="AB618" s="3823" t="s">
        <v>5106</v>
      </c>
      <c r="AC618" s="4130">
        <v>2.2214</v>
      </c>
      <c r="AD618" s="3736">
        <f t="shared" si="352"/>
        <v>14216.96</v>
      </c>
      <c r="AE618" s="3742"/>
      <c r="AF618" s="3735" t="s">
        <v>6116</v>
      </c>
      <c r="AG618" s="3625" t="s">
        <v>416</v>
      </c>
      <c r="AH618" s="3625"/>
      <c r="AI618" s="3625"/>
      <c r="AJ618" s="3625"/>
      <c r="AK618" s="3735"/>
      <c r="AL618" s="3735">
        <f>I618</f>
        <v>6400</v>
      </c>
      <c r="AM618" s="3735"/>
      <c r="AN618" s="4131"/>
      <c r="AO618" s="3735"/>
      <c r="AP618" s="3736"/>
      <c r="AQ618" s="4132">
        <f t="shared" si="344"/>
        <v>6400</v>
      </c>
      <c r="AR618" s="3750"/>
      <c r="AS618" s="3750"/>
      <c r="AT618" s="4133">
        <f t="shared" si="362"/>
        <v>6400</v>
      </c>
      <c r="AU618" s="3750"/>
      <c r="AV618" s="3750"/>
      <c r="AW618" s="3750"/>
      <c r="AX618" s="4133"/>
      <c r="AY618" s="3750"/>
      <c r="AZ618" s="3750"/>
      <c r="BA618" s="3750"/>
      <c r="BB618" s="3750"/>
      <c r="BC618" s="3750"/>
      <c r="BD618" s="3750">
        <f>I618/4</f>
        <v>1600</v>
      </c>
      <c r="BE618" s="3750"/>
      <c r="BF618" s="3750"/>
      <c r="BG618" s="3750"/>
      <c r="BH618" s="3750"/>
      <c r="BI618" s="3750" t="s">
        <v>89</v>
      </c>
      <c r="BJ618" s="3750">
        <f t="shared" si="363"/>
        <v>213.333333333333</v>
      </c>
      <c r="BK618" s="3750">
        <f t="shared" si="364"/>
        <v>1066.66666666667</v>
      </c>
      <c r="BL618" s="3750">
        <f t="shared" si="365"/>
        <v>1066.66666666667</v>
      </c>
      <c r="BM618" s="3750">
        <f t="shared" si="366"/>
        <v>853.333333333333</v>
      </c>
      <c r="BN618" s="3750">
        <f t="shared" si="367"/>
        <v>1066.66666666667</v>
      </c>
      <c r="BO618" s="4141">
        <f t="shared" si="368"/>
        <v>1066.66666666667</v>
      </c>
      <c r="BP618" s="3748">
        <f t="shared" si="369"/>
        <v>1066.66666666667</v>
      </c>
      <c r="BQ618" s="3748">
        <f t="shared" si="339"/>
        <v>6400</v>
      </c>
      <c r="BR618" s="3748">
        <f t="shared" si="340"/>
        <v>0</v>
      </c>
      <c r="BS618" s="4136"/>
      <c r="BT618" s="4137"/>
    </row>
    <row r="619" s="3567" customFormat="1" ht="50" customHeight="1" spans="1:72">
      <c r="A619" s="4112">
        <v>45976</v>
      </c>
      <c r="B619" s="3766" t="s">
        <v>3555</v>
      </c>
      <c r="C619" s="3766" t="s">
        <v>1385</v>
      </c>
      <c r="D619" s="3699">
        <v>4500185825</v>
      </c>
      <c r="E619" s="3700"/>
      <c r="F619" s="3699" t="s">
        <v>7867</v>
      </c>
      <c r="G619" s="3700" t="s">
        <v>6195</v>
      </c>
      <c r="H619" s="3699" t="s">
        <v>6063</v>
      </c>
      <c r="I619" s="3699">
        <v>1200</v>
      </c>
      <c r="J619" s="3699">
        <v>0</v>
      </c>
      <c r="K619" s="3699">
        <v>12</v>
      </c>
      <c r="L619" s="4113">
        <f t="shared" si="361"/>
        <v>100</v>
      </c>
      <c r="M619" s="3707">
        <v>46014</v>
      </c>
      <c r="N619" s="4153">
        <f>M619-4</f>
        <v>46010</v>
      </c>
      <c r="O619" s="3708"/>
      <c r="P619" s="959" t="s">
        <v>82</v>
      </c>
      <c r="Q619" s="3700"/>
      <c r="R619" s="3700"/>
      <c r="S619" s="3700"/>
      <c r="T619" s="4145"/>
      <c r="U619" s="3726" t="s">
        <v>2227</v>
      </c>
      <c r="V619" s="3711" t="s">
        <v>5265</v>
      </c>
      <c r="W619" s="3711"/>
      <c r="X619" s="3711" t="s">
        <v>98</v>
      </c>
      <c r="Y619" s="3709"/>
      <c r="Z619" s="3712"/>
      <c r="AA619" s="3680" t="s">
        <v>5266</v>
      </c>
      <c r="AB619" s="3769" t="s">
        <v>448</v>
      </c>
      <c r="AC619" s="4118">
        <v>2.2515</v>
      </c>
      <c r="AD619" s="3699">
        <f t="shared" si="352"/>
        <v>2701.8</v>
      </c>
      <c r="AE619" s="3715"/>
      <c r="AF619" s="3700" t="s">
        <v>6195</v>
      </c>
      <c r="AG619" s="3680" t="s">
        <v>416</v>
      </c>
      <c r="AH619" s="3680"/>
      <c r="AI619" s="3680"/>
      <c r="AJ619" s="3680"/>
      <c r="AK619" s="3700"/>
      <c r="AL619" s="3700">
        <f>I619</f>
        <v>1200</v>
      </c>
      <c r="AM619" s="4119"/>
      <c r="AN619" s="4119"/>
      <c r="AO619" s="3700"/>
      <c r="AP619" s="3699"/>
      <c r="AQ619" s="4113">
        <f t="shared" si="344"/>
        <v>1200</v>
      </c>
      <c r="AR619" s="3759"/>
      <c r="AS619" s="3759"/>
      <c r="AT619" s="4120">
        <f t="shared" si="362"/>
        <v>1200</v>
      </c>
      <c r="AU619" s="3759"/>
      <c r="AV619" s="3759"/>
      <c r="AW619" s="3759"/>
      <c r="AX619" s="3759"/>
      <c r="AY619" s="3759"/>
      <c r="AZ619" s="4120">
        <f>I619/6</f>
        <v>200</v>
      </c>
      <c r="BA619" s="3759"/>
      <c r="BB619" s="3759"/>
      <c r="BC619" s="3759"/>
      <c r="BD619" s="3759"/>
      <c r="BE619" s="3759"/>
      <c r="BF619" s="3759"/>
      <c r="BG619" s="3759"/>
      <c r="BH619" s="3759"/>
      <c r="BI619" s="3759" t="s">
        <v>89</v>
      </c>
      <c r="BJ619" s="3759">
        <f t="shared" si="363"/>
        <v>40</v>
      </c>
      <c r="BK619" s="3759">
        <f t="shared" si="364"/>
        <v>200</v>
      </c>
      <c r="BL619" s="3759">
        <f t="shared" si="365"/>
        <v>200</v>
      </c>
      <c r="BM619" s="3759">
        <f t="shared" si="366"/>
        <v>160</v>
      </c>
      <c r="BN619" s="3759">
        <f t="shared" si="367"/>
        <v>200</v>
      </c>
      <c r="BO619" s="4146">
        <f t="shared" si="368"/>
        <v>200</v>
      </c>
      <c r="BP619" s="3721">
        <f t="shared" si="369"/>
        <v>200</v>
      </c>
      <c r="BQ619" s="3721">
        <f t="shared" si="339"/>
        <v>1200</v>
      </c>
      <c r="BR619" s="3721">
        <f t="shared" si="340"/>
        <v>0</v>
      </c>
      <c r="BS619" s="4123"/>
      <c r="BT619" s="4124"/>
    </row>
    <row r="620" s="3567" customFormat="1" ht="50" customHeight="1" spans="1:72">
      <c r="A620" s="4112">
        <v>45968</v>
      </c>
      <c r="B620" s="3766" t="s">
        <v>6506</v>
      </c>
      <c r="C620" s="3766" t="s">
        <v>738</v>
      </c>
      <c r="D620" s="3699">
        <v>4500184791</v>
      </c>
      <c r="E620" s="3700">
        <v>50212600121</v>
      </c>
      <c r="F620" s="3699" t="s">
        <v>7868</v>
      </c>
      <c r="G620" s="3700" t="s">
        <v>6124</v>
      </c>
      <c r="H620" s="3699" t="s">
        <v>6063</v>
      </c>
      <c r="I620" s="3699">
        <v>1320</v>
      </c>
      <c r="J620" s="3699">
        <v>0</v>
      </c>
      <c r="K620" s="3699">
        <v>12</v>
      </c>
      <c r="L620" s="3699">
        <f t="shared" si="361"/>
        <v>110</v>
      </c>
      <c r="M620" s="3707">
        <v>46015</v>
      </c>
      <c r="N620" s="3707">
        <v>46011</v>
      </c>
      <c r="O620" s="3708"/>
      <c r="P620" s="959" t="s">
        <v>82</v>
      </c>
      <c r="Q620" s="3700"/>
      <c r="R620" s="3700"/>
      <c r="S620" s="3700"/>
      <c r="T620" s="4145"/>
      <c r="U620" s="3680" t="s">
        <v>2257</v>
      </c>
      <c r="V620" s="4154" t="s">
        <v>2669</v>
      </c>
      <c r="W620" s="3709"/>
      <c r="X620" s="3711" t="s">
        <v>7869</v>
      </c>
      <c r="Y620" s="3709"/>
      <c r="Z620" s="3712"/>
      <c r="AA620" s="3680" t="s">
        <v>7870</v>
      </c>
      <c r="AB620" s="3769" t="s">
        <v>459</v>
      </c>
      <c r="AC620" s="4118">
        <v>2.2547</v>
      </c>
      <c r="AD620" s="3699">
        <f t="shared" si="352"/>
        <v>2976.204</v>
      </c>
      <c r="AE620" s="3715"/>
      <c r="AF620" s="3700" t="s">
        <v>6126</v>
      </c>
      <c r="AG620" s="3680" t="s">
        <v>416</v>
      </c>
      <c r="AH620" s="3680"/>
      <c r="AI620" s="3680"/>
      <c r="AJ620" s="3680"/>
      <c r="AK620" s="3700"/>
      <c r="AL620" s="3700"/>
      <c r="AM620" s="4119"/>
      <c r="AN620" s="4119">
        <f>I620</f>
        <v>1320</v>
      </c>
      <c r="AO620" s="3700"/>
      <c r="AP620" s="3699"/>
      <c r="AQ620" s="4113">
        <f t="shared" si="344"/>
        <v>1320</v>
      </c>
      <c r="AR620" s="3759"/>
      <c r="AS620" s="3759"/>
      <c r="AT620" s="4120">
        <f t="shared" si="362"/>
        <v>1320</v>
      </c>
      <c r="AU620" s="3759"/>
      <c r="AV620" s="3759"/>
      <c r="AW620" s="3759"/>
      <c r="AX620" s="4120">
        <f>I620/6</f>
        <v>220</v>
      </c>
      <c r="AY620" s="3759"/>
      <c r="AZ620" s="4120"/>
      <c r="BA620" s="3759"/>
      <c r="BB620" s="3759"/>
      <c r="BC620" s="3759"/>
      <c r="BD620" s="3759"/>
      <c r="BE620" s="3759"/>
      <c r="BF620" s="3759"/>
      <c r="BG620" s="3759"/>
      <c r="BH620" s="3759"/>
      <c r="BI620" s="3759" t="s">
        <v>89</v>
      </c>
      <c r="BJ620" s="4120">
        <f t="shared" si="363"/>
        <v>44</v>
      </c>
      <c r="BK620" s="4120">
        <f t="shared" si="364"/>
        <v>220</v>
      </c>
      <c r="BL620" s="4120">
        <f t="shared" si="365"/>
        <v>220</v>
      </c>
      <c r="BM620" s="4120">
        <f t="shared" si="366"/>
        <v>176</v>
      </c>
      <c r="BN620" s="4120">
        <f t="shared" si="367"/>
        <v>220</v>
      </c>
      <c r="BO620" s="4121">
        <f t="shared" si="368"/>
        <v>220</v>
      </c>
      <c r="BP620" s="4122">
        <f t="shared" si="369"/>
        <v>220</v>
      </c>
      <c r="BQ620" s="4122">
        <f t="shared" si="339"/>
        <v>1320</v>
      </c>
      <c r="BR620" s="3721">
        <f t="shared" si="340"/>
        <v>0</v>
      </c>
      <c r="BS620" s="4123"/>
      <c r="BT620" s="4124"/>
    </row>
    <row r="621" s="3567" customFormat="1" ht="50" customHeight="1" spans="1:72">
      <c r="A621" s="4112">
        <v>45978</v>
      </c>
      <c r="B621" s="3766" t="s">
        <v>1172</v>
      </c>
      <c r="C621" s="3766" t="s">
        <v>91</v>
      </c>
      <c r="D621" s="3699">
        <v>4500185895</v>
      </c>
      <c r="E621" s="3700">
        <v>36012</v>
      </c>
      <c r="F621" s="3699" t="s">
        <v>7871</v>
      </c>
      <c r="G621" s="3700" t="s">
        <v>6195</v>
      </c>
      <c r="H621" s="3699" t="s">
        <v>6063</v>
      </c>
      <c r="I621" s="3699">
        <v>1440</v>
      </c>
      <c r="J621" s="3699">
        <v>0</v>
      </c>
      <c r="K621" s="3699">
        <v>12</v>
      </c>
      <c r="L621" s="4113">
        <f t="shared" si="361"/>
        <v>120</v>
      </c>
      <c r="M621" s="3707">
        <v>46015</v>
      </c>
      <c r="N621" s="3707">
        <v>46011</v>
      </c>
      <c r="O621" s="3708"/>
      <c r="P621" s="959" t="s">
        <v>82</v>
      </c>
      <c r="Q621" s="3700"/>
      <c r="R621" s="3700"/>
      <c r="S621" s="3700"/>
      <c r="T621" s="4145"/>
      <c r="U621" s="3726" t="s">
        <v>2235</v>
      </c>
      <c r="V621" s="4154" t="s">
        <v>2236</v>
      </c>
      <c r="W621" s="3709"/>
      <c r="X621" s="3711" t="s">
        <v>98</v>
      </c>
      <c r="Y621" s="3709"/>
      <c r="Z621" s="3712"/>
      <c r="AA621" s="3680" t="s">
        <v>1916</v>
      </c>
      <c r="AB621" s="3769" t="s">
        <v>1917</v>
      </c>
      <c r="AC621" s="4118">
        <v>1.3509</v>
      </c>
      <c r="AD621" s="3699">
        <f t="shared" si="352"/>
        <v>1945.296</v>
      </c>
      <c r="AE621" s="3715"/>
      <c r="AF621" s="3700" t="s">
        <v>6195</v>
      </c>
      <c r="AG621" s="3680" t="s">
        <v>416</v>
      </c>
      <c r="AH621" s="3680"/>
      <c r="AI621" s="3680"/>
      <c r="AJ621" s="3680"/>
      <c r="AK621" s="3700"/>
      <c r="AL621" s="3700">
        <f>I621</f>
        <v>1440</v>
      </c>
      <c r="AM621" s="4119"/>
      <c r="AN621" s="4119"/>
      <c r="AO621" s="3700"/>
      <c r="AP621" s="3699"/>
      <c r="AQ621" s="4113">
        <f t="shared" si="344"/>
        <v>1440</v>
      </c>
      <c r="AR621" s="3759"/>
      <c r="AS621" s="3759"/>
      <c r="AT621" s="4120">
        <f t="shared" si="362"/>
        <v>1440</v>
      </c>
      <c r="AU621" s="3759"/>
      <c r="AV621" s="3759"/>
      <c r="AW621" s="3759"/>
      <c r="AX621" s="3759"/>
      <c r="AY621" s="3759"/>
      <c r="AZ621" s="4120">
        <f>I621/6</f>
        <v>240</v>
      </c>
      <c r="BA621" s="3759"/>
      <c r="BB621" s="3759"/>
      <c r="BC621" s="3759"/>
      <c r="BD621" s="3759"/>
      <c r="BE621" s="3759"/>
      <c r="BF621" s="3759"/>
      <c r="BG621" s="3759"/>
      <c r="BH621" s="3759"/>
      <c r="BI621" s="3759" t="s">
        <v>89</v>
      </c>
      <c r="BJ621" s="3759">
        <f t="shared" si="363"/>
        <v>48</v>
      </c>
      <c r="BK621" s="3759">
        <f t="shared" si="364"/>
        <v>240</v>
      </c>
      <c r="BL621" s="3759">
        <f t="shared" si="365"/>
        <v>240</v>
      </c>
      <c r="BM621" s="3759">
        <f t="shared" si="366"/>
        <v>192</v>
      </c>
      <c r="BN621" s="3759">
        <f t="shared" si="367"/>
        <v>240</v>
      </c>
      <c r="BO621" s="4146">
        <f t="shared" si="368"/>
        <v>240</v>
      </c>
      <c r="BP621" s="3721">
        <f t="shared" si="369"/>
        <v>240</v>
      </c>
      <c r="BQ621" s="3721">
        <f t="shared" si="339"/>
        <v>1440</v>
      </c>
      <c r="BR621" s="3721">
        <f t="shared" si="340"/>
        <v>0</v>
      </c>
      <c r="BS621" s="4123"/>
      <c r="BT621" s="4124"/>
    </row>
    <row r="622" s="3567" customFormat="1" ht="50" customHeight="1" spans="1:72">
      <c r="A622" s="4112">
        <v>45964</v>
      </c>
      <c r="B622" s="3766" t="s">
        <v>5303</v>
      </c>
      <c r="C622" s="3766" t="s">
        <v>1279</v>
      </c>
      <c r="D622" s="3699">
        <v>4500183350</v>
      </c>
      <c r="E622" s="3700">
        <v>2000008516</v>
      </c>
      <c r="F622" s="3699" t="s">
        <v>5304</v>
      </c>
      <c r="G622" s="3700" t="s">
        <v>6643</v>
      </c>
      <c r="H622" s="3699" t="s">
        <v>3517</v>
      </c>
      <c r="I622" s="3699">
        <v>804</v>
      </c>
      <c r="J622" s="3699">
        <v>0</v>
      </c>
      <c r="K622" s="3699">
        <v>12</v>
      </c>
      <c r="L622" s="3699">
        <f t="shared" si="361"/>
        <v>67</v>
      </c>
      <c r="M622" s="3707">
        <v>46016</v>
      </c>
      <c r="N622" s="3707">
        <v>46013</v>
      </c>
      <c r="O622" s="3708"/>
      <c r="P622" s="959" t="s">
        <v>82</v>
      </c>
      <c r="Q622" s="3700"/>
      <c r="R622" s="3700"/>
      <c r="S622" s="3700"/>
      <c r="T622" s="4145"/>
      <c r="U622" s="3726" t="s">
        <v>138</v>
      </c>
      <c r="V622" s="4154" t="s">
        <v>497</v>
      </c>
      <c r="W622" s="3711"/>
      <c r="X622" s="3711" t="s">
        <v>5306</v>
      </c>
      <c r="Y622" s="3709"/>
      <c r="Z622" s="3712"/>
      <c r="AA622" s="3680" t="s">
        <v>7872</v>
      </c>
      <c r="AB622" s="3769" t="s">
        <v>1298</v>
      </c>
      <c r="AC622" s="4118">
        <v>4.9949</v>
      </c>
      <c r="AD622" s="3699">
        <f t="shared" si="352"/>
        <v>4015.8996</v>
      </c>
      <c r="AE622" s="3715"/>
      <c r="AF622" s="3700" t="s">
        <v>6263</v>
      </c>
      <c r="AG622" s="3680" t="s">
        <v>416</v>
      </c>
      <c r="AH622" s="3680"/>
      <c r="AI622" s="3680"/>
      <c r="AJ622" s="3680"/>
      <c r="AK622" s="3700"/>
      <c r="AL622" s="3700"/>
      <c r="AM622" s="4119"/>
      <c r="AN622" s="4119">
        <f>I622</f>
        <v>804</v>
      </c>
      <c r="AO622" s="3700"/>
      <c r="AP622" s="3699"/>
      <c r="AQ622" s="4113">
        <f t="shared" si="344"/>
        <v>804</v>
      </c>
      <c r="AR622" s="3759"/>
      <c r="AS622" s="3759"/>
      <c r="AT622" s="4120">
        <f t="shared" si="362"/>
        <v>804</v>
      </c>
      <c r="AU622" s="3759"/>
      <c r="AV622" s="3759"/>
      <c r="AW622" s="3759"/>
      <c r="AX622" s="3759"/>
      <c r="AY622" s="3759"/>
      <c r="AZ622" s="4120"/>
      <c r="BA622" s="3759"/>
      <c r="BB622" s="3759"/>
      <c r="BC622" s="3759"/>
      <c r="BD622" s="3759"/>
      <c r="BE622" s="3759"/>
      <c r="BF622" s="3759"/>
      <c r="BG622" s="3759"/>
      <c r="BH622" s="3759"/>
      <c r="BI622" s="3759" t="s">
        <v>89</v>
      </c>
      <c r="BJ622" s="3759">
        <f t="shared" si="363"/>
        <v>26.8</v>
      </c>
      <c r="BK622" s="3759">
        <f t="shared" si="364"/>
        <v>134</v>
      </c>
      <c r="BL622" s="3759">
        <f t="shared" si="365"/>
        <v>134</v>
      </c>
      <c r="BM622" s="3759">
        <f t="shared" si="366"/>
        <v>107.2</v>
      </c>
      <c r="BN622" s="3759">
        <f t="shared" si="367"/>
        <v>134</v>
      </c>
      <c r="BO622" s="4146">
        <f t="shared" si="368"/>
        <v>134</v>
      </c>
      <c r="BP622" s="3721">
        <f t="shared" si="369"/>
        <v>134</v>
      </c>
      <c r="BQ622" s="3721">
        <f t="shared" si="339"/>
        <v>804</v>
      </c>
      <c r="BR622" s="3721">
        <f t="shared" si="340"/>
        <v>0</v>
      </c>
      <c r="BS622" s="4123"/>
      <c r="BT622" s="4124"/>
    </row>
    <row r="623" s="3567" customFormat="1" ht="50" customHeight="1" spans="1:72">
      <c r="A623" s="4112">
        <v>45961</v>
      </c>
      <c r="B623" s="3766" t="s">
        <v>2240</v>
      </c>
      <c r="C623" s="3766" t="s">
        <v>873</v>
      </c>
      <c r="D623" s="3699">
        <v>4500183736</v>
      </c>
      <c r="E623" s="3700"/>
      <c r="F623" s="3700" t="s">
        <v>7873</v>
      </c>
      <c r="G623" s="3700" t="s">
        <v>3520</v>
      </c>
      <c r="H623" s="3699" t="s">
        <v>6063</v>
      </c>
      <c r="I623" s="3699">
        <v>168</v>
      </c>
      <c r="J623" s="3699">
        <v>0</v>
      </c>
      <c r="K623" s="3699">
        <v>24</v>
      </c>
      <c r="L623" s="3699">
        <f t="shared" si="361"/>
        <v>7</v>
      </c>
      <c r="M623" s="3707">
        <v>46017</v>
      </c>
      <c r="N623" s="3707">
        <v>46013</v>
      </c>
      <c r="O623" s="3708"/>
      <c r="P623" s="959" t="s">
        <v>82</v>
      </c>
      <c r="Q623" s="3700"/>
      <c r="R623" s="3700"/>
      <c r="S623" s="3700"/>
      <c r="T623" s="4145"/>
      <c r="U623" s="3680" t="s">
        <v>2242</v>
      </c>
      <c r="V623" s="3711" t="s">
        <v>2243</v>
      </c>
      <c r="W623" s="3711"/>
      <c r="X623" s="3711" t="s">
        <v>2244</v>
      </c>
      <c r="Y623" s="3709"/>
      <c r="Z623" s="3712"/>
      <c r="AA623" s="3680" t="s">
        <v>1981</v>
      </c>
      <c r="AB623" s="3769" t="s">
        <v>1982</v>
      </c>
      <c r="AC623" s="4118">
        <v>2.2017</v>
      </c>
      <c r="AD623" s="3699">
        <f t="shared" si="352"/>
        <v>369.8856</v>
      </c>
      <c r="AE623" s="3715" t="s">
        <v>2245</v>
      </c>
      <c r="AF623" s="3700" t="s">
        <v>3520</v>
      </c>
      <c r="AG623" s="3680" t="s">
        <v>416</v>
      </c>
      <c r="AH623" s="3680"/>
      <c r="AI623" s="3680"/>
      <c r="AJ623" s="3680"/>
      <c r="AK623" s="3700"/>
      <c r="AL623" s="3700">
        <f t="shared" ref="AL623:AL628" si="370">I623</f>
        <v>168</v>
      </c>
      <c r="AM623" s="3700"/>
      <c r="AN623" s="4119"/>
      <c r="AO623" s="3700"/>
      <c r="AP623" s="3699"/>
      <c r="AQ623" s="4113">
        <f t="shared" si="344"/>
        <v>168</v>
      </c>
      <c r="AR623" s="3759"/>
      <c r="AS623" s="3759"/>
      <c r="AT623" s="4120">
        <f t="shared" si="362"/>
        <v>168</v>
      </c>
      <c r="AU623" s="3759"/>
      <c r="AV623" s="3759"/>
      <c r="AW623" s="3759"/>
      <c r="AX623" s="4120"/>
      <c r="AY623" s="3759"/>
      <c r="AZ623" s="3759"/>
      <c r="BA623" s="3759"/>
      <c r="BB623" s="3759"/>
      <c r="BC623" s="3759"/>
      <c r="BD623" s="3759"/>
      <c r="BE623" s="3759"/>
      <c r="BF623" s="3759"/>
      <c r="BG623" s="3759"/>
      <c r="BH623" s="3759"/>
      <c r="BI623" s="3759" t="s">
        <v>89</v>
      </c>
      <c r="BJ623" s="3759">
        <f t="shared" si="363"/>
        <v>5.6</v>
      </c>
      <c r="BK623" s="3759">
        <f t="shared" si="364"/>
        <v>28</v>
      </c>
      <c r="BL623" s="3759">
        <f t="shared" si="365"/>
        <v>28</v>
      </c>
      <c r="BM623" s="3759">
        <f t="shared" si="366"/>
        <v>22.4</v>
      </c>
      <c r="BN623" s="3759">
        <f t="shared" si="367"/>
        <v>28</v>
      </c>
      <c r="BO623" s="4146">
        <f t="shared" si="368"/>
        <v>28</v>
      </c>
      <c r="BP623" s="3721">
        <f t="shared" si="369"/>
        <v>28</v>
      </c>
      <c r="BQ623" s="3721">
        <f t="shared" si="339"/>
        <v>168</v>
      </c>
      <c r="BR623" s="3721">
        <f t="shared" si="340"/>
        <v>0</v>
      </c>
      <c r="BS623" s="4123"/>
      <c r="BT623" s="4124"/>
    </row>
    <row r="624" s="3567" customFormat="1" ht="50" customHeight="1" spans="1:72">
      <c r="A624" s="4112">
        <v>45985</v>
      </c>
      <c r="B624" s="3766" t="s">
        <v>1409</v>
      </c>
      <c r="C624" s="3766" t="s">
        <v>1410</v>
      </c>
      <c r="D624" s="3699">
        <v>4500186722</v>
      </c>
      <c r="E624" s="3700" t="s">
        <v>2237</v>
      </c>
      <c r="F624" s="3700" t="s">
        <v>7874</v>
      </c>
      <c r="G624" s="3700" t="s">
        <v>3520</v>
      </c>
      <c r="H624" s="3699" t="s">
        <v>6063</v>
      </c>
      <c r="I624" s="3699">
        <v>480</v>
      </c>
      <c r="J624" s="3699">
        <v>0</v>
      </c>
      <c r="K624" s="3699">
        <v>24</v>
      </c>
      <c r="L624" s="3699">
        <f t="shared" si="361"/>
        <v>20</v>
      </c>
      <c r="M624" s="3707">
        <v>46018</v>
      </c>
      <c r="N624" s="3707">
        <v>46014</v>
      </c>
      <c r="O624" s="3708"/>
      <c r="P624" s="959" t="s">
        <v>82</v>
      </c>
      <c r="Q624" s="3700"/>
      <c r="R624" s="3700"/>
      <c r="S624" s="3700"/>
      <c r="T624" s="4145"/>
      <c r="U624" s="3726" t="s">
        <v>104</v>
      </c>
      <c r="V624" s="3711" t="s">
        <v>2236</v>
      </c>
      <c r="W624" s="3711"/>
      <c r="X624" s="3711" t="s">
        <v>98</v>
      </c>
      <c r="Y624" s="3709"/>
      <c r="Z624" s="3712"/>
      <c r="AA624" s="3680" t="s">
        <v>7875</v>
      </c>
      <c r="AB624" s="3769" t="s">
        <v>892</v>
      </c>
      <c r="AC624" s="4118">
        <v>2.2017</v>
      </c>
      <c r="AD624" s="3699">
        <f t="shared" si="352"/>
        <v>1056.816</v>
      </c>
      <c r="AE624" s="3715"/>
      <c r="AF624" s="3700" t="s">
        <v>3520</v>
      </c>
      <c r="AG624" s="3680" t="s">
        <v>416</v>
      </c>
      <c r="AH624" s="3680"/>
      <c r="AI624" s="3680"/>
      <c r="AJ624" s="3680"/>
      <c r="AK624" s="3700"/>
      <c r="AL624" s="3700">
        <f t="shared" si="370"/>
        <v>480</v>
      </c>
      <c r="AM624" s="3700"/>
      <c r="AN624" s="4119"/>
      <c r="AO624" s="3700"/>
      <c r="AP624" s="3699"/>
      <c r="AQ624" s="4113">
        <f t="shared" si="344"/>
        <v>480</v>
      </c>
      <c r="AR624" s="3759"/>
      <c r="AS624" s="3759"/>
      <c r="AT624" s="4120">
        <f t="shared" si="362"/>
        <v>480</v>
      </c>
      <c r="AU624" s="3759"/>
      <c r="AV624" s="3759"/>
      <c r="AW624" s="3759"/>
      <c r="AX624" s="4120"/>
      <c r="AY624" s="3759"/>
      <c r="AZ624" s="3759"/>
      <c r="BA624" s="3759"/>
      <c r="BB624" s="3759"/>
      <c r="BC624" s="3759"/>
      <c r="BD624" s="3759"/>
      <c r="BE624" s="3759"/>
      <c r="BF624" s="3759"/>
      <c r="BG624" s="3759"/>
      <c r="BH624" s="3759"/>
      <c r="BI624" s="3759" t="s">
        <v>89</v>
      </c>
      <c r="BJ624" s="3759">
        <f t="shared" si="363"/>
        <v>16</v>
      </c>
      <c r="BK624" s="3759">
        <f t="shared" si="364"/>
        <v>80</v>
      </c>
      <c r="BL624" s="3759">
        <f t="shared" si="365"/>
        <v>80</v>
      </c>
      <c r="BM624" s="3759">
        <f t="shared" si="366"/>
        <v>64</v>
      </c>
      <c r="BN624" s="3759">
        <f t="shared" si="367"/>
        <v>80</v>
      </c>
      <c r="BO624" s="4146">
        <f t="shared" si="368"/>
        <v>80</v>
      </c>
      <c r="BP624" s="3721">
        <f t="shared" si="369"/>
        <v>80</v>
      </c>
      <c r="BQ624" s="3721">
        <f t="shared" si="339"/>
        <v>480</v>
      </c>
      <c r="BR624" s="3721">
        <f t="shared" si="340"/>
        <v>0</v>
      </c>
      <c r="BS624" s="4123"/>
      <c r="BT624" s="4124"/>
    </row>
    <row r="625" s="3567" customFormat="1" ht="50" customHeight="1" spans="1:72">
      <c r="A625" s="4112">
        <v>45972</v>
      </c>
      <c r="B625" s="3766" t="s">
        <v>2908</v>
      </c>
      <c r="C625" s="3766" t="s">
        <v>341</v>
      </c>
      <c r="D625" s="3699">
        <v>4500185215</v>
      </c>
      <c r="E625" s="3700">
        <v>2769583</v>
      </c>
      <c r="F625" s="3699" t="s">
        <v>7876</v>
      </c>
      <c r="G625" s="3700" t="s">
        <v>6298</v>
      </c>
      <c r="H625" s="3699" t="s">
        <v>6063</v>
      </c>
      <c r="I625" s="3699">
        <v>1600</v>
      </c>
      <c r="J625" s="3699">
        <v>0</v>
      </c>
      <c r="K625" s="3699">
        <v>4</v>
      </c>
      <c r="L625" s="4113">
        <f t="shared" si="361"/>
        <v>400</v>
      </c>
      <c r="M625" s="3707">
        <v>46017</v>
      </c>
      <c r="N625" s="3707">
        <v>46013</v>
      </c>
      <c r="O625" s="3708"/>
      <c r="P625" s="959" t="s">
        <v>82</v>
      </c>
      <c r="Q625" s="3700"/>
      <c r="R625" s="3700"/>
      <c r="S625" s="3700"/>
      <c r="T625" s="4145"/>
      <c r="U625" s="3680" t="s">
        <v>7877</v>
      </c>
      <c r="V625" s="4154" t="s">
        <v>2201</v>
      </c>
      <c r="W625" s="3711"/>
      <c r="X625" s="3711" t="s">
        <v>98</v>
      </c>
      <c r="Y625" s="3709"/>
      <c r="Z625" s="3712"/>
      <c r="AA625" s="3680" t="s">
        <v>7721</v>
      </c>
      <c r="AB625" s="3769" t="s">
        <v>4665</v>
      </c>
      <c r="AC625" s="4118">
        <v>2.2441</v>
      </c>
      <c r="AD625" s="3699">
        <f t="shared" si="352"/>
        <v>3590.56</v>
      </c>
      <c r="AE625" s="3715" t="s">
        <v>7878</v>
      </c>
      <c r="AF625" s="3700" t="s">
        <v>6298</v>
      </c>
      <c r="AG625" s="3680" t="s">
        <v>416</v>
      </c>
      <c r="AH625" s="3680"/>
      <c r="AI625" s="3680"/>
      <c r="AJ625" s="3680"/>
      <c r="AK625" s="3700"/>
      <c r="AL625" s="4119">
        <f t="shared" si="370"/>
        <v>1600</v>
      </c>
      <c r="AM625" s="4119"/>
      <c r="AN625" s="4119"/>
      <c r="AO625" s="3700"/>
      <c r="AP625" s="3699"/>
      <c r="AQ625" s="4113">
        <f t="shared" si="344"/>
        <v>1600</v>
      </c>
      <c r="AR625" s="3759"/>
      <c r="AS625" s="3759"/>
      <c r="AT625" s="4120">
        <f t="shared" si="362"/>
        <v>1600</v>
      </c>
      <c r="AU625" s="3759"/>
      <c r="AV625" s="3759"/>
      <c r="AW625" s="3759"/>
      <c r="AX625" s="3759"/>
      <c r="AY625" s="3759"/>
      <c r="AZ625" s="4120"/>
      <c r="BA625" s="3759"/>
      <c r="BB625" s="3759"/>
      <c r="BC625" s="3759"/>
      <c r="BD625" s="3759">
        <f>I625/4</f>
        <v>400</v>
      </c>
      <c r="BE625" s="3759"/>
      <c r="BF625" s="3759"/>
      <c r="BG625" s="3759"/>
      <c r="BH625" s="3759"/>
      <c r="BI625" s="3759" t="s">
        <v>89</v>
      </c>
      <c r="BJ625" s="4120">
        <f t="shared" si="363"/>
        <v>53.3333333333333</v>
      </c>
      <c r="BK625" s="4120">
        <f t="shared" si="364"/>
        <v>266.666666666667</v>
      </c>
      <c r="BL625" s="4120">
        <f t="shared" si="365"/>
        <v>266.666666666667</v>
      </c>
      <c r="BM625" s="4120">
        <f t="shared" si="366"/>
        <v>213.333333333333</v>
      </c>
      <c r="BN625" s="4120">
        <f t="shared" si="367"/>
        <v>266.666666666667</v>
      </c>
      <c r="BO625" s="4121">
        <f t="shared" si="368"/>
        <v>266.666666666667</v>
      </c>
      <c r="BP625" s="4122">
        <f t="shared" si="369"/>
        <v>266.666666666667</v>
      </c>
      <c r="BQ625" s="4122">
        <f t="shared" si="339"/>
        <v>1600</v>
      </c>
      <c r="BR625" s="4122">
        <f t="shared" si="340"/>
        <v>0</v>
      </c>
      <c r="BS625" s="4123"/>
      <c r="BT625" s="4124"/>
    </row>
    <row r="626" s="3567" customFormat="1" ht="50" customHeight="1" spans="1:72">
      <c r="A626" s="4112">
        <v>45978</v>
      </c>
      <c r="B626" s="3766" t="s">
        <v>340</v>
      </c>
      <c r="C626" s="3766" t="s">
        <v>341</v>
      </c>
      <c r="D626" s="3699">
        <v>4500185851</v>
      </c>
      <c r="E626" s="3700">
        <v>140014</v>
      </c>
      <c r="F626" s="3700" t="s">
        <v>7879</v>
      </c>
      <c r="G626" s="3700" t="s">
        <v>3520</v>
      </c>
      <c r="H626" s="3699" t="s">
        <v>6063</v>
      </c>
      <c r="I626" s="3699">
        <v>3000</v>
      </c>
      <c r="J626" s="3699">
        <v>0</v>
      </c>
      <c r="K626" s="3699">
        <v>24</v>
      </c>
      <c r="L626" s="3699">
        <f t="shared" si="361"/>
        <v>125</v>
      </c>
      <c r="M626" s="3707">
        <v>46020</v>
      </c>
      <c r="N626" s="3707">
        <v>46016</v>
      </c>
      <c r="O626" s="4117"/>
      <c r="P626" s="959" t="s">
        <v>82</v>
      </c>
      <c r="Q626" s="3700"/>
      <c r="R626" s="3700"/>
      <c r="S626" s="3700"/>
      <c r="T626" s="4145"/>
      <c r="U626" s="3726" t="s">
        <v>518</v>
      </c>
      <c r="V626" s="3708" t="s">
        <v>5290</v>
      </c>
      <c r="W626" s="3711"/>
      <c r="X626" s="3711" t="s">
        <v>5291</v>
      </c>
      <c r="Y626" s="3709"/>
      <c r="Z626" s="3712"/>
      <c r="AA626" s="3680" t="s">
        <v>7880</v>
      </c>
      <c r="AB626" s="3769" t="s">
        <v>559</v>
      </c>
      <c r="AC626" s="4118">
        <v>2.1931</v>
      </c>
      <c r="AD626" s="3699">
        <f t="shared" si="352"/>
        <v>6579.3</v>
      </c>
      <c r="AE626" s="3715" t="s">
        <v>5293</v>
      </c>
      <c r="AF626" s="3700" t="s">
        <v>3520</v>
      </c>
      <c r="AG626" s="3680" t="s">
        <v>416</v>
      </c>
      <c r="AH626" s="3680"/>
      <c r="AI626" s="3680"/>
      <c r="AJ626" s="3680"/>
      <c r="AK626" s="3700"/>
      <c r="AL626" s="3700">
        <f t="shared" si="370"/>
        <v>3000</v>
      </c>
      <c r="AM626" s="3700"/>
      <c r="AN626" s="4119"/>
      <c r="AO626" s="3700"/>
      <c r="AP626" s="3699"/>
      <c r="AQ626" s="4113">
        <f t="shared" si="344"/>
        <v>3000</v>
      </c>
      <c r="AR626" s="3759"/>
      <c r="AS626" s="3759"/>
      <c r="AT626" s="4120">
        <f t="shared" si="362"/>
        <v>3000</v>
      </c>
      <c r="AU626" s="3759"/>
      <c r="AV626" s="3759"/>
      <c r="AW626" s="3759"/>
      <c r="AX626" s="4120"/>
      <c r="AY626" s="3759"/>
      <c r="AZ626" s="3759"/>
      <c r="BA626" s="3759"/>
      <c r="BB626" s="3759"/>
      <c r="BC626" s="3759"/>
      <c r="BD626" s="3759"/>
      <c r="BE626" s="3759"/>
      <c r="BF626" s="3759"/>
      <c r="BG626" s="3759"/>
      <c r="BH626" s="3759"/>
      <c r="BI626" s="3759" t="s">
        <v>89</v>
      </c>
      <c r="BJ626" s="3759">
        <f t="shared" si="363"/>
        <v>100</v>
      </c>
      <c r="BK626" s="3759">
        <f t="shared" si="364"/>
        <v>500</v>
      </c>
      <c r="BL626" s="3759">
        <f t="shared" si="365"/>
        <v>500</v>
      </c>
      <c r="BM626" s="3759">
        <f t="shared" si="366"/>
        <v>400</v>
      </c>
      <c r="BN626" s="3759">
        <f t="shared" si="367"/>
        <v>500</v>
      </c>
      <c r="BO626" s="4146">
        <f t="shared" si="368"/>
        <v>500</v>
      </c>
      <c r="BP626" s="3721">
        <f t="shared" si="369"/>
        <v>500</v>
      </c>
      <c r="BQ626" s="3721">
        <f t="shared" ref="BQ626:BQ667" si="371">SUM(BJ626:BP626)</f>
        <v>3000</v>
      </c>
      <c r="BR626" s="3721">
        <f t="shared" ref="BR626:BR658" si="372">I626-BQ626</f>
        <v>0</v>
      </c>
      <c r="BS626" s="4123"/>
      <c r="BT626" s="4124"/>
    </row>
    <row r="627" s="3567" customFormat="1" ht="50" customHeight="1" spans="1:72">
      <c r="A627" s="4112">
        <v>45967</v>
      </c>
      <c r="B627" s="3766" t="s">
        <v>2285</v>
      </c>
      <c r="C627" s="3766" t="s">
        <v>351</v>
      </c>
      <c r="D627" s="3699">
        <v>4500184619</v>
      </c>
      <c r="E627" s="3700" t="s">
        <v>4638</v>
      </c>
      <c r="F627" s="3700" t="s">
        <v>7881</v>
      </c>
      <c r="G627" s="3700" t="s">
        <v>6254</v>
      </c>
      <c r="H627" s="3699" t="s">
        <v>6063</v>
      </c>
      <c r="I627" s="3699">
        <v>6540</v>
      </c>
      <c r="J627" s="3699">
        <v>0</v>
      </c>
      <c r="K627" s="3699">
        <v>6</v>
      </c>
      <c r="L627" s="4113">
        <f t="shared" si="361"/>
        <v>1090</v>
      </c>
      <c r="M627" s="3707">
        <v>46020</v>
      </c>
      <c r="N627" s="3707">
        <v>46016</v>
      </c>
      <c r="O627" s="4117" t="s">
        <v>5355</v>
      </c>
      <c r="P627" s="959" t="s">
        <v>82</v>
      </c>
      <c r="Q627" s="3700"/>
      <c r="R627" s="3700"/>
      <c r="S627" s="3700"/>
      <c r="T627" s="4145"/>
      <c r="U627" s="3726" t="s">
        <v>518</v>
      </c>
      <c r="V627" s="3708" t="s">
        <v>5356</v>
      </c>
      <c r="W627" s="3711"/>
      <c r="X627" s="3711" t="s">
        <v>7882</v>
      </c>
      <c r="Y627" s="3709"/>
      <c r="Z627" s="3712"/>
      <c r="AA627" s="3680" t="s">
        <v>5358</v>
      </c>
      <c r="AB627" s="3769" t="s">
        <v>1199</v>
      </c>
      <c r="AC627" s="3699">
        <v>2.2436</v>
      </c>
      <c r="AD627" s="3699">
        <f t="shared" si="352"/>
        <v>14673.144</v>
      </c>
      <c r="AE627" s="3715" t="s">
        <v>7883</v>
      </c>
      <c r="AF627" s="3700" t="s">
        <v>6254</v>
      </c>
      <c r="AG627" s="3680" t="s">
        <v>416</v>
      </c>
      <c r="AH627" s="3680"/>
      <c r="AI627" s="3680"/>
      <c r="AJ627" s="3680"/>
      <c r="AK627" s="3700"/>
      <c r="AL627" s="3700">
        <f t="shared" si="370"/>
        <v>6540</v>
      </c>
      <c r="AM627" s="3700"/>
      <c r="AN627" s="4119"/>
      <c r="AO627" s="3700"/>
      <c r="AP627" s="3699"/>
      <c r="AQ627" s="4113">
        <f t="shared" si="344"/>
        <v>6540</v>
      </c>
      <c r="AR627" s="3759"/>
      <c r="AS627" s="3759"/>
      <c r="AT627" s="4120">
        <f t="shared" si="362"/>
        <v>6540</v>
      </c>
      <c r="AU627" s="3759"/>
      <c r="AV627" s="3759"/>
      <c r="AW627" s="3759"/>
      <c r="AX627" s="4120"/>
      <c r="AY627" s="3759"/>
      <c r="AZ627" s="3759">
        <f>I627/6</f>
        <v>1090</v>
      </c>
      <c r="BA627" s="3759"/>
      <c r="BB627" s="3759"/>
      <c r="BC627" s="3759"/>
      <c r="BD627" s="3759"/>
      <c r="BE627" s="3759"/>
      <c r="BF627" s="3759"/>
      <c r="BG627" s="3759"/>
      <c r="BH627" s="3759"/>
      <c r="BI627" s="3759" t="s">
        <v>89</v>
      </c>
      <c r="BJ627" s="3759">
        <f t="shared" si="363"/>
        <v>218</v>
      </c>
      <c r="BK627" s="3759">
        <f t="shared" si="364"/>
        <v>1090</v>
      </c>
      <c r="BL627" s="3759">
        <f t="shared" si="365"/>
        <v>1090</v>
      </c>
      <c r="BM627" s="3759">
        <f t="shared" si="366"/>
        <v>872</v>
      </c>
      <c r="BN627" s="3759">
        <f t="shared" si="367"/>
        <v>1090</v>
      </c>
      <c r="BO627" s="4146">
        <f t="shared" si="368"/>
        <v>1090</v>
      </c>
      <c r="BP627" s="3721">
        <f t="shared" si="369"/>
        <v>1090</v>
      </c>
      <c r="BQ627" s="3721">
        <f t="shared" si="371"/>
        <v>6540</v>
      </c>
      <c r="BR627" s="3721">
        <f t="shared" si="372"/>
        <v>0</v>
      </c>
      <c r="BS627" s="4123"/>
      <c r="BT627" s="4124"/>
    </row>
    <row r="628" s="3567" customFormat="1" ht="50" customHeight="1" spans="1:72">
      <c r="A628" s="4112">
        <v>45967</v>
      </c>
      <c r="B628" s="3766" t="s">
        <v>2285</v>
      </c>
      <c r="C628" s="3766" t="s">
        <v>351</v>
      </c>
      <c r="D628" s="3699">
        <v>4500184619</v>
      </c>
      <c r="E628" s="3700" t="s">
        <v>3336</v>
      </c>
      <c r="F628" s="3700" t="s">
        <v>7884</v>
      </c>
      <c r="G628" s="3700" t="s">
        <v>6254</v>
      </c>
      <c r="H628" s="3699" t="s">
        <v>6063</v>
      </c>
      <c r="I628" s="3699">
        <v>3276</v>
      </c>
      <c r="J628" s="3699">
        <v>0</v>
      </c>
      <c r="K628" s="3699">
        <v>6</v>
      </c>
      <c r="L628" s="4113">
        <f t="shared" si="361"/>
        <v>546</v>
      </c>
      <c r="M628" s="3707">
        <v>46020</v>
      </c>
      <c r="N628" s="3707">
        <v>46016</v>
      </c>
      <c r="O628" s="4117" t="s">
        <v>5355</v>
      </c>
      <c r="P628" s="959" t="s">
        <v>82</v>
      </c>
      <c r="Q628" s="3700"/>
      <c r="R628" s="3700"/>
      <c r="S628" s="3700"/>
      <c r="T628" s="4145"/>
      <c r="U628" s="3726" t="s">
        <v>518</v>
      </c>
      <c r="V628" s="3708" t="s">
        <v>5356</v>
      </c>
      <c r="W628" s="3711"/>
      <c r="X628" s="3711" t="s">
        <v>7882</v>
      </c>
      <c r="Y628" s="3709"/>
      <c r="Z628" s="3712"/>
      <c r="AA628" s="3680" t="s">
        <v>5358</v>
      </c>
      <c r="AB628" s="3769" t="s">
        <v>1199</v>
      </c>
      <c r="AC628" s="3699">
        <v>2.2436</v>
      </c>
      <c r="AD628" s="3699">
        <f t="shared" si="352"/>
        <v>7350.0336</v>
      </c>
      <c r="AE628" s="3715" t="s">
        <v>7883</v>
      </c>
      <c r="AF628" s="3700" t="s">
        <v>6254</v>
      </c>
      <c r="AG628" s="3680" t="s">
        <v>416</v>
      </c>
      <c r="AH628" s="3680"/>
      <c r="AI628" s="3680"/>
      <c r="AJ628" s="3680"/>
      <c r="AK628" s="3700"/>
      <c r="AL628" s="3700">
        <f t="shared" si="370"/>
        <v>3276</v>
      </c>
      <c r="AM628" s="3700"/>
      <c r="AN628" s="4119"/>
      <c r="AO628" s="3700"/>
      <c r="AP628" s="3699"/>
      <c r="AQ628" s="4113">
        <f t="shared" si="344"/>
        <v>3276</v>
      </c>
      <c r="AR628" s="3759"/>
      <c r="AS628" s="3759"/>
      <c r="AT628" s="4120">
        <f t="shared" si="362"/>
        <v>3276</v>
      </c>
      <c r="AU628" s="3759"/>
      <c r="AV628" s="3759"/>
      <c r="AW628" s="3759"/>
      <c r="AX628" s="4120"/>
      <c r="AY628" s="3759"/>
      <c r="AZ628" s="3759">
        <f>I628/6</f>
        <v>546</v>
      </c>
      <c r="BA628" s="3759"/>
      <c r="BB628" s="3759"/>
      <c r="BC628" s="3759"/>
      <c r="BD628" s="3759"/>
      <c r="BE628" s="3759"/>
      <c r="BF628" s="3759"/>
      <c r="BG628" s="3759"/>
      <c r="BH628" s="3759"/>
      <c r="BI628" s="3759" t="s">
        <v>89</v>
      </c>
      <c r="BJ628" s="3759">
        <f t="shared" si="363"/>
        <v>109.2</v>
      </c>
      <c r="BK628" s="3759">
        <f t="shared" si="364"/>
        <v>546</v>
      </c>
      <c r="BL628" s="3759">
        <f t="shared" si="365"/>
        <v>546</v>
      </c>
      <c r="BM628" s="3759">
        <f t="shared" si="366"/>
        <v>436.8</v>
      </c>
      <c r="BN628" s="3759">
        <f t="shared" si="367"/>
        <v>546</v>
      </c>
      <c r="BO628" s="4146">
        <f t="shared" si="368"/>
        <v>546</v>
      </c>
      <c r="BP628" s="3721">
        <f t="shared" si="369"/>
        <v>546</v>
      </c>
      <c r="BQ628" s="3721">
        <f t="shared" si="371"/>
        <v>3276</v>
      </c>
      <c r="BR628" s="3721">
        <f t="shared" si="372"/>
        <v>0</v>
      </c>
      <c r="BS628" s="4123"/>
      <c r="BT628" s="4124"/>
    </row>
    <row r="629" s="3567" customFormat="1" ht="50" customHeight="1" spans="1:72">
      <c r="A629" s="4112">
        <v>45966</v>
      </c>
      <c r="B629" s="3766" t="s">
        <v>3608</v>
      </c>
      <c r="C629" s="3766" t="s">
        <v>738</v>
      </c>
      <c r="D629" s="3699">
        <v>4500184485</v>
      </c>
      <c r="E629" s="3700">
        <v>5251217834</v>
      </c>
      <c r="F629" s="3699" t="s">
        <v>7885</v>
      </c>
      <c r="G629" s="3700" t="s">
        <v>6159</v>
      </c>
      <c r="H629" s="3699" t="s">
        <v>6800</v>
      </c>
      <c r="I629" s="3699">
        <v>3960</v>
      </c>
      <c r="J629" s="3699">
        <v>0</v>
      </c>
      <c r="K629" s="3699">
        <v>6</v>
      </c>
      <c r="L629" s="4113">
        <f t="shared" si="361"/>
        <v>660</v>
      </c>
      <c r="M629" s="3707">
        <v>46013</v>
      </c>
      <c r="N629" s="3707">
        <v>46009</v>
      </c>
      <c r="O629" s="3708"/>
      <c r="P629" s="959" t="s">
        <v>82</v>
      </c>
      <c r="Q629" s="3700"/>
      <c r="R629" s="3700"/>
      <c r="S629" s="3700"/>
      <c r="T629" s="4145"/>
      <c r="U629" s="3680" t="s">
        <v>2242</v>
      </c>
      <c r="V629" s="3711" t="s">
        <v>2195</v>
      </c>
      <c r="W629" s="3710"/>
      <c r="X629" s="3711" t="s">
        <v>7886</v>
      </c>
      <c r="Y629" s="3709"/>
      <c r="Z629" s="3712"/>
      <c r="AA629" s="3680" t="s">
        <v>7887</v>
      </c>
      <c r="AB629" s="3769" t="s">
        <v>1257</v>
      </c>
      <c r="AC629" s="4118">
        <v>2.2405</v>
      </c>
      <c r="AD629" s="3699">
        <f t="shared" si="352"/>
        <v>8872.38</v>
      </c>
      <c r="AE629" s="3715"/>
      <c r="AF629" s="3700" t="s">
        <v>7888</v>
      </c>
      <c r="AG629" s="3680" t="s">
        <v>416</v>
      </c>
      <c r="AH629" s="3680"/>
      <c r="AI629" s="3680"/>
      <c r="AJ629" s="3680"/>
      <c r="AK629" s="3700"/>
      <c r="AL629" s="3700"/>
      <c r="AM629" s="3700"/>
      <c r="AN629" s="4119">
        <f>I629</f>
        <v>3960</v>
      </c>
      <c r="AO629" s="3700"/>
      <c r="AP629" s="3699"/>
      <c r="AQ629" s="4113">
        <f t="shared" si="344"/>
        <v>3960</v>
      </c>
      <c r="AR629" s="3759"/>
      <c r="AS629" s="3759"/>
      <c r="AT629" s="4120">
        <f t="shared" si="362"/>
        <v>3960</v>
      </c>
      <c r="AU629" s="3759"/>
      <c r="AV629" s="3759"/>
      <c r="AW629" s="3759"/>
      <c r="AX629" s="4120"/>
      <c r="AY629" s="3759"/>
      <c r="AZ629" s="3759"/>
      <c r="BA629" s="3759"/>
      <c r="BB629" s="3759"/>
      <c r="BC629" s="3759"/>
      <c r="BD629" s="3759"/>
      <c r="BE629" s="3759"/>
      <c r="BF629" s="3759"/>
      <c r="BG629" s="3759"/>
      <c r="BH629" s="3759"/>
      <c r="BI629" s="3759" t="s">
        <v>89</v>
      </c>
      <c r="BJ629" s="3759">
        <f t="shared" si="363"/>
        <v>132</v>
      </c>
      <c r="BK629" s="3759">
        <f t="shared" si="364"/>
        <v>660</v>
      </c>
      <c r="BL629" s="3759">
        <f t="shared" si="365"/>
        <v>660</v>
      </c>
      <c r="BM629" s="3759">
        <f t="shared" si="366"/>
        <v>528</v>
      </c>
      <c r="BN629" s="3759">
        <f t="shared" si="367"/>
        <v>660</v>
      </c>
      <c r="BO629" s="4146">
        <f t="shared" si="368"/>
        <v>660</v>
      </c>
      <c r="BP629" s="3721">
        <f t="shared" si="369"/>
        <v>660</v>
      </c>
      <c r="BQ629" s="3721">
        <f t="shared" si="371"/>
        <v>3960</v>
      </c>
      <c r="BR629" s="3721">
        <f t="shared" si="372"/>
        <v>0</v>
      </c>
      <c r="BS629" s="4123"/>
      <c r="BT629" s="4124"/>
    </row>
    <row r="630" s="3567" customFormat="1" ht="50" customHeight="1" spans="1:72">
      <c r="A630" s="4112">
        <v>45966</v>
      </c>
      <c r="B630" s="3766" t="s">
        <v>3608</v>
      </c>
      <c r="C630" s="3766" t="s">
        <v>738</v>
      </c>
      <c r="D630" s="3699">
        <v>4500184485</v>
      </c>
      <c r="E630" s="3700">
        <v>5251217881</v>
      </c>
      <c r="F630" s="3699" t="s">
        <v>7889</v>
      </c>
      <c r="G630" s="3700" t="s">
        <v>6159</v>
      </c>
      <c r="H630" s="3699" t="s">
        <v>6800</v>
      </c>
      <c r="I630" s="3699">
        <v>3000</v>
      </c>
      <c r="J630" s="3699">
        <v>0</v>
      </c>
      <c r="K630" s="3699">
        <v>6</v>
      </c>
      <c r="L630" s="4113">
        <f t="shared" si="361"/>
        <v>500</v>
      </c>
      <c r="M630" s="3707">
        <v>46013</v>
      </c>
      <c r="N630" s="3707">
        <v>46009</v>
      </c>
      <c r="O630" s="3708"/>
      <c r="P630" s="959" t="s">
        <v>82</v>
      </c>
      <c r="Q630" s="3700"/>
      <c r="R630" s="3700"/>
      <c r="S630" s="3700"/>
      <c r="T630" s="4145"/>
      <c r="U630" s="3680" t="s">
        <v>2242</v>
      </c>
      <c r="V630" s="3711" t="s">
        <v>2195</v>
      </c>
      <c r="W630" s="3710"/>
      <c r="X630" s="3711" t="s">
        <v>7886</v>
      </c>
      <c r="Y630" s="3709"/>
      <c r="Z630" s="3712"/>
      <c r="AA630" s="3680" t="s">
        <v>7887</v>
      </c>
      <c r="AB630" s="3769" t="s">
        <v>1257</v>
      </c>
      <c r="AC630" s="4118">
        <v>2.2405</v>
      </c>
      <c r="AD630" s="3699">
        <f t="shared" si="352"/>
        <v>6721.5</v>
      </c>
      <c r="AE630" s="3715"/>
      <c r="AF630" s="3700" t="s">
        <v>7888</v>
      </c>
      <c r="AG630" s="3680" t="s">
        <v>416</v>
      </c>
      <c r="AH630" s="3680"/>
      <c r="AI630" s="3680"/>
      <c r="AJ630" s="3680"/>
      <c r="AK630" s="3700"/>
      <c r="AL630" s="3700"/>
      <c r="AM630" s="3700"/>
      <c r="AN630" s="4119">
        <f>I630</f>
        <v>3000</v>
      </c>
      <c r="AO630" s="3700"/>
      <c r="AP630" s="3699"/>
      <c r="AQ630" s="4113">
        <f t="shared" si="344"/>
        <v>3000</v>
      </c>
      <c r="AR630" s="3759"/>
      <c r="AS630" s="3759"/>
      <c r="AT630" s="4120">
        <f t="shared" si="362"/>
        <v>3000</v>
      </c>
      <c r="AU630" s="3759"/>
      <c r="AV630" s="3759"/>
      <c r="AW630" s="3759"/>
      <c r="AX630" s="4120"/>
      <c r="AY630" s="3759"/>
      <c r="AZ630" s="3759"/>
      <c r="BA630" s="3759"/>
      <c r="BB630" s="3759"/>
      <c r="BC630" s="3759"/>
      <c r="BD630" s="3759"/>
      <c r="BE630" s="3759"/>
      <c r="BF630" s="3759"/>
      <c r="BG630" s="3759"/>
      <c r="BH630" s="3759"/>
      <c r="BI630" s="3759" t="s">
        <v>89</v>
      </c>
      <c r="BJ630" s="3759">
        <f t="shared" si="363"/>
        <v>100</v>
      </c>
      <c r="BK630" s="3759">
        <f t="shared" si="364"/>
        <v>500</v>
      </c>
      <c r="BL630" s="3759">
        <f t="shared" si="365"/>
        <v>500</v>
      </c>
      <c r="BM630" s="3759">
        <f t="shared" si="366"/>
        <v>400</v>
      </c>
      <c r="BN630" s="3759">
        <f t="shared" si="367"/>
        <v>500</v>
      </c>
      <c r="BO630" s="4146">
        <f t="shared" si="368"/>
        <v>500</v>
      </c>
      <c r="BP630" s="3721">
        <f t="shared" si="369"/>
        <v>500</v>
      </c>
      <c r="BQ630" s="3721">
        <f t="shared" si="371"/>
        <v>3000</v>
      </c>
      <c r="BR630" s="3721">
        <f t="shared" si="372"/>
        <v>0</v>
      </c>
      <c r="BS630" s="4123"/>
      <c r="BT630" s="4124"/>
    </row>
    <row r="631" s="3567" customFormat="1" ht="50" customHeight="1" spans="1:72">
      <c r="A631" s="4112">
        <v>45965</v>
      </c>
      <c r="B631" s="3766" t="s">
        <v>2914</v>
      </c>
      <c r="C631" s="3766" t="s">
        <v>341</v>
      </c>
      <c r="D631" s="3699">
        <v>4500184385</v>
      </c>
      <c r="E631" s="3700" t="s">
        <v>7890</v>
      </c>
      <c r="F631" s="3699" t="s">
        <v>7891</v>
      </c>
      <c r="G631" s="3700" t="s">
        <v>6116</v>
      </c>
      <c r="H631" s="3699" t="s">
        <v>6063</v>
      </c>
      <c r="I631" s="3699">
        <v>8000</v>
      </c>
      <c r="J631" s="3699">
        <v>0</v>
      </c>
      <c r="K631" s="3699">
        <v>16</v>
      </c>
      <c r="L631" s="4113">
        <f t="shared" si="361"/>
        <v>500</v>
      </c>
      <c r="M631" s="3707">
        <v>46017</v>
      </c>
      <c r="N631" s="3707">
        <v>46013</v>
      </c>
      <c r="O631" s="3708"/>
      <c r="P631" s="959" t="s">
        <v>82</v>
      </c>
      <c r="Q631" s="3700"/>
      <c r="R631" s="3700"/>
      <c r="S631" s="3700"/>
      <c r="T631" s="4145"/>
      <c r="U631" s="3680" t="s">
        <v>2257</v>
      </c>
      <c r="V631" s="3711" t="s">
        <v>97</v>
      </c>
      <c r="W631" s="3711"/>
      <c r="X631" s="3711" t="s">
        <v>6118</v>
      </c>
      <c r="Y631" s="3709"/>
      <c r="Z631" s="3712"/>
      <c r="AA631" s="3680" t="s">
        <v>7866</v>
      </c>
      <c r="AB631" s="3769" t="s">
        <v>5106</v>
      </c>
      <c r="AC631" s="4118">
        <v>2.2214</v>
      </c>
      <c r="AD631" s="3699">
        <f t="shared" si="352"/>
        <v>17771.2</v>
      </c>
      <c r="AE631" s="3715"/>
      <c r="AF631" s="3700" t="s">
        <v>6116</v>
      </c>
      <c r="AG631" s="3680" t="s">
        <v>416</v>
      </c>
      <c r="AH631" s="3680"/>
      <c r="AI631" s="3680"/>
      <c r="AJ631" s="3680"/>
      <c r="AK631" s="3700"/>
      <c r="AL631" s="3700">
        <f>I631</f>
        <v>8000</v>
      </c>
      <c r="AM631" s="4119"/>
      <c r="AN631" s="4119"/>
      <c r="AO631" s="3700"/>
      <c r="AP631" s="3699"/>
      <c r="AQ631" s="4113">
        <f t="shared" si="344"/>
        <v>8000</v>
      </c>
      <c r="AR631" s="3759"/>
      <c r="AS631" s="3759"/>
      <c r="AT631" s="4120">
        <f t="shared" si="362"/>
        <v>8000</v>
      </c>
      <c r="AU631" s="3759"/>
      <c r="AV631" s="3759"/>
      <c r="AW631" s="3759"/>
      <c r="AX631" s="3759"/>
      <c r="AY631" s="3759"/>
      <c r="AZ631" s="4120"/>
      <c r="BA631" s="3759"/>
      <c r="BB631" s="3759"/>
      <c r="BC631" s="3759"/>
      <c r="BD631" s="3759">
        <f>I631/4</f>
        <v>2000</v>
      </c>
      <c r="BE631" s="3759"/>
      <c r="BF631" s="3759"/>
      <c r="BG631" s="3759"/>
      <c r="BH631" s="3759"/>
      <c r="BI631" s="3759" t="s">
        <v>89</v>
      </c>
      <c r="BJ631" s="3759">
        <f t="shared" si="363"/>
        <v>266.666666666667</v>
      </c>
      <c r="BK631" s="3759">
        <f t="shared" si="364"/>
        <v>1333.33333333333</v>
      </c>
      <c r="BL631" s="3759">
        <f t="shared" si="365"/>
        <v>1333.33333333333</v>
      </c>
      <c r="BM631" s="3759">
        <f t="shared" si="366"/>
        <v>1066.66666666667</v>
      </c>
      <c r="BN631" s="3759">
        <f t="shared" si="367"/>
        <v>1333.33333333333</v>
      </c>
      <c r="BO631" s="4146">
        <f t="shared" si="368"/>
        <v>1333.33333333333</v>
      </c>
      <c r="BP631" s="3721">
        <f t="shared" si="369"/>
        <v>1333.33333333333</v>
      </c>
      <c r="BQ631" s="3721">
        <f t="shared" si="371"/>
        <v>8000</v>
      </c>
      <c r="BR631" s="3721">
        <f t="shared" si="372"/>
        <v>0</v>
      </c>
      <c r="BS631" s="4123"/>
      <c r="BT631" s="4124"/>
    </row>
    <row r="632" s="3567" customFormat="1" ht="50" customHeight="1" spans="1:72">
      <c r="A632" s="4112">
        <v>45960</v>
      </c>
      <c r="B632" s="3766" t="s">
        <v>2189</v>
      </c>
      <c r="C632" s="3766" t="s">
        <v>91</v>
      </c>
      <c r="D632" s="3699">
        <v>4500183805</v>
      </c>
      <c r="E632" s="3700" t="s">
        <v>7892</v>
      </c>
      <c r="F632" s="3700" t="s">
        <v>7893</v>
      </c>
      <c r="G632" s="3700" t="s">
        <v>3520</v>
      </c>
      <c r="H632" s="3699" t="s">
        <v>6063</v>
      </c>
      <c r="I632" s="3699">
        <v>1008</v>
      </c>
      <c r="J632" s="3699">
        <v>0</v>
      </c>
      <c r="K632" s="3699">
        <v>24</v>
      </c>
      <c r="L632" s="3699">
        <f t="shared" si="361"/>
        <v>42</v>
      </c>
      <c r="M632" s="3707">
        <v>46022</v>
      </c>
      <c r="N632" s="3707">
        <v>46018</v>
      </c>
      <c r="O632" s="3708"/>
      <c r="P632" s="959" t="s">
        <v>82</v>
      </c>
      <c r="Q632" s="3700"/>
      <c r="R632" s="3700"/>
      <c r="S632" s="3700"/>
      <c r="T632" s="4145"/>
      <c r="U632" s="3726" t="s">
        <v>110</v>
      </c>
      <c r="V632" s="4154" t="s">
        <v>97</v>
      </c>
      <c r="W632" s="4155"/>
      <c r="X632" s="3711" t="s">
        <v>98</v>
      </c>
      <c r="Y632" s="3711" t="s">
        <v>2261</v>
      </c>
      <c r="Z632" s="3712"/>
      <c r="AA632" s="3680" t="s">
        <v>2188</v>
      </c>
      <c r="AB632" s="3769" t="s">
        <v>653</v>
      </c>
      <c r="AC632" s="4118">
        <v>1.3184</v>
      </c>
      <c r="AD632" s="3699">
        <f t="shared" si="352"/>
        <v>1328.9472</v>
      </c>
      <c r="AE632" s="3715"/>
      <c r="AF632" s="3700" t="s">
        <v>3520</v>
      </c>
      <c r="AG632" s="3680" t="s">
        <v>416</v>
      </c>
      <c r="AH632" s="3680"/>
      <c r="AI632" s="3680"/>
      <c r="AJ632" s="3680"/>
      <c r="AK632" s="3700"/>
      <c r="AL632" s="3700">
        <f>I632</f>
        <v>1008</v>
      </c>
      <c r="AM632" s="3700"/>
      <c r="AN632" s="4119"/>
      <c r="AO632" s="3700"/>
      <c r="AP632" s="3699"/>
      <c r="AQ632" s="4113">
        <f t="shared" si="344"/>
        <v>1008</v>
      </c>
      <c r="AR632" s="3759"/>
      <c r="AS632" s="3759"/>
      <c r="AT632" s="4120">
        <f t="shared" si="362"/>
        <v>1008</v>
      </c>
      <c r="AU632" s="3759"/>
      <c r="AV632" s="3759"/>
      <c r="AW632" s="3759"/>
      <c r="AX632" s="4120"/>
      <c r="AY632" s="3759"/>
      <c r="AZ632" s="3759"/>
      <c r="BA632" s="3759"/>
      <c r="BB632" s="3759"/>
      <c r="BC632" s="3759"/>
      <c r="BD632" s="3759"/>
      <c r="BE632" s="3759"/>
      <c r="BF632" s="3759"/>
      <c r="BG632" s="3759"/>
      <c r="BH632" s="3759"/>
      <c r="BI632" s="3759" t="s">
        <v>89</v>
      </c>
      <c r="BJ632" s="3759">
        <f t="shared" si="363"/>
        <v>33.6</v>
      </c>
      <c r="BK632" s="3759">
        <f t="shared" si="364"/>
        <v>168</v>
      </c>
      <c r="BL632" s="3759">
        <f t="shared" si="365"/>
        <v>168</v>
      </c>
      <c r="BM632" s="3759">
        <f t="shared" si="366"/>
        <v>134.4</v>
      </c>
      <c r="BN632" s="3759">
        <f t="shared" si="367"/>
        <v>168</v>
      </c>
      <c r="BO632" s="4146">
        <f t="shared" si="368"/>
        <v>168</v>
      </c>
      <c r="BP632" s="3721">
        <f t="shared" si="369"/>
        <v>168</v>
      </c>
      <c r="BQ632" s="3721">
        <f t="shared" si="371"/>
        <v>1008</v>
      </c>
      <c r="BR632" s="3721">
        <f t="shared" si="372"/>
        <v>0</v>
      </c>
      <c r="BS632" s="4123"/>
      <c r="BT632" s="4124"/>
    </row>
    <row r="633" s="3567" customFormat="1" ht="50" customHeight="1" spans="1:72">
      <c r="A633" s="4112">
        <v>45960</v>
      </c>
      <c r="B633" s="3766" t="s">
        <v>2189</v>
      </c>
      <c r="C633" s="3766" t="s">
        <v>91</v>
      </c>
      <c r="D633" s="3699">
        <v>4500183809</v>
      </c>
      <c r="E633" s="3700" t="s">
        <v>7894</v>
      </c>
      <c r="F633" s="3700" t="s">
        <v>7895</v>
      </c>
      <c r="G633" s="3700" t="s">
        <v>3520</v>
      </c>
      <c r="H633" s="3699" t="s">
        <v>6063</v>
      </c>
      <c r="I633" s="3699">
        <v>1200</v>
      </c>
      <c r="J633" s="3699">
        <v>0</v>
      </c>
      <c r="K633" s="3699">
        <v>24</v>
      </c>
      <c r="L633" s="3699">
        <f t="shared" si="361"/>
        <v>50</v>
      </c>
      <c r="M633" s="3707">
        <v>46022</v>
      </c>
      <c r="N633" s="3707">
        <v>46018</v>
      </c>
      <c r="O633" s="3708"/>
      <c r="P633" s="959" t="s">
        <v>82</v>
      </c>
      <c r="Q633" s="3700"/>
      <c r="R633" s="3700"/>
      <c r="S633" s="3700"/>
      <c r="T633" s="4145"/>
      <c r="U633" s="3726" t="s">
        <v>110</v>
      </c>
      <c r="V633" s="4154" t="s">
        <v>97</v>
      </c>
      <c r="W633" s="3710"/>
      <c r="X633" s="3711" t="s">
        <v>98</v>
      </c>
      <c r="Y633" s="3711" t="s">
        <v>2261</v>
      </c>
      <c r="Z633" s="3712"/>
      <c r="AA633" s="3680" t="s">
        <v>2188</v>
      </c>
      <c r="AB633" s="3769" t="s">
        <v>653</v>
      </c>
      <c r="AC633" s="4118">
        <v>1.3184</v>
      </c>
      <c r="AD633" s="3699">
        <f t="shared" si="352"/>
        <v>1582.08</v>
      </c>
      <c r="AE633" s="3715"/>
      <c r="AF633" s="3700" t="s">
        <v>3520</v>
      </c>
      <c r="AG633" s="3680" t="s">
        <v>416</v>
      </c>
      <c r="AH633" s="3680"/>
      <c r="AI633" s="3680"/>
      <c r="AJ633" s="3680"/>
      <c r="AK633" s="3700"/>
      <c r="AL633" s="3700">
        <f>I633</f>
        <v>1200</v>
      </c>
      <c r="AM633" s="3700"/>
      <c r="AN633" s="4119"/>
      <c r="AO633" s="3700"/>
      <c r="AP633" s="3699"/>
      <c r="AQ633" s="4113">
        <f t="shared" si="344"/>
        <v>1200</v>
      </c>
      <c r="AR633" s="3759"/>
      <c r="AS633" s="3759"/>
      <c r="AT633" s="4120">
        <f t="shared" si="362"/>
        <v>1200</v>
      </c>
      <c r="AU633" s="3759"/>
      <c r="AV633" s="3759"/>
      <c r="AW633" s="3759"/>
      <c r="AX633" s="4120"/>
      <c r="AY633" s="3759"/>
      <c r="AZ633" s="3759"/>
      <c r="BA633" s="3759"/>
      <c r="BB633" s="3759"/>
      <c r="BC633" s="3759"/>
      <c r="BD633" s="3759"/>
      <c r="BE633" s="3759"/>
      <c r="BF633" s="3759"/>
      <c r="BG633" s="3759"/>
      <c r="BH633" s="3759"/>
      <c r="BI633" s="3759" t="s">
        <v>89</v>
      </c>
      <c r="BJ633" s="3759">
        <f t="shared" si="363"/>
        <v>40</v>
      </c>
      <c r="BK633" s="3759">
        <f t="shared" si="364"/>
        <v>200</v>
      </c>
      <c r="BL633" s="3759">
        <f t="shared" si="365"/>
        <v>200</v>
      </c>
      <c r="BM633" s="3759">
        <f t="shared" si="366"/>
        <v>160</v>
      </c>
      <c r="BN633" s="3759">
        <f t="shared" si="367"/>
        <v>200</v>
      </c>
      <c r="BO633" s="4146">
        <f t="shared" si="368"/>
        <v>200</v>
      </c>
      <c r="BP633" s="3721">
        <f t="shared" si="369"/>
        <v>200</v>
      </c>
      <c r="BQ633" s="3721">
        <f t="shared" si="371"/>
        <v>1200</v>
      </c>
      <c r="BR633" s="3721">
        <f t="shared" si="372"/>
        <v>0</v>
      </c>
      <c r="BS633" s="4123"/>
      <c r="BT633" s="4124"/>
    </row>
    <row r="634" s="3567" customFormat="1" ht="50" customHeight="1" spans="1:72">
      <c r="A634" s="4112">
        <v>45982</v>
      </c>
      <c r="B634" s="3766" t="s">
        <v>331</v>
      </c>
      <c r="C634" s="3766" t="s">
        <v>7896</v>
      </c>
      <c r="D634" s="3699">
        <v>4500186548</v>
      </c>
      <c r="E634" s="3700" t="s">
        <v>7897</v>
      </c>
      <c r="F634" s="3700" t="s">
        <v>7898</v>
      </c>
      <c r="G634" s="3700" t="s">
        <v>6298</v>
      </c>
      <c r="H634" s="3699" t="s">
        <v>6063</v>
      </c>
      <c r="I634" s="3699">
        <v>6000</v>
      </c>
      <c r="J634" s="3699">
        <v>0</v>
      </c>
      <c r="K634" s="3699">
        <v>4</v>
      </c>
      <c r="L634" s="4113">
        <f t="shared" si="361"/>
        <v>1500</v>
      </c>
      <c r="M634" s="3707">
        <v>46017</v>
      </c>
      <c r="N634" s="3707">
        <v>46013</v>
      </c>
      <c r="O634" s="3708"/>
      <c r="P634" s="959" t="s">
        <v>82</v>
      </c>
      <c r="Q634" s="3700"/>
      <c r="R634" s="3700"/>
      <c r="S634" s="3700"/>
      <c r="T634" s="4145"/>
      <c r="U634" s="3680" t="s">
        <v>5405</v>
      </c>
      <c r="V634" s="3711" t="s">
        <v>2694</v>
      </c>
      <c r="W634" s="3711"/>
      <c r="X634" s="3711" t="s">
        <v>7899</v>
      </c>
      <c r="Y634" s="3709"/>
      <c r="Z634" s="3712"/>
      <c r="AA634" s="3680" t="s">
        <v>7900</v>
      </c>
      <c r="AB634" s="3769" t="s">
        <v>5135</v>
      </c>
      <c r="AC634" s="4118">
        <v>2.2484</v>
      </c>
      <c r="AD634" s="3699">
        <f t="shared" si="352"/>
        <v>13490.4</v>
      </c>
      <c r="AE634" s="3715" t="s">
        <v>7901</v>
      </c>
      <c r="AF634" s="3700" t="s">
        <v>6298</v>
      </c>
      <c r="AG634" s="3680" t="s">
        <v>416</v>
      </c>
      <c r="AH634" s="3680"/>
      <c r="AI634" s="3680"/>
      <c r="AJ634" s="3680"/>
      <c r="AK634" s="3700"/>
      <c r="AL634" s="3700">
        <f>I634</f>
        <v>6000</v>
      </c>
      <c r="AM634" s="3700"/>
      <c r="AN634" s="4119"/>
      <c r="AO634" s="3700"/>
      <c r="AP634" s="3699"/>
      <c r="AQ634" s="4113">
        <f t="shared" si="344"/>
        <v>6000</v>
      </c>
      <c r="AR634" s="3759"/>
      <c r="AS634" s="3759"/>
      <c r="AT634" s="4120">
        <f t="shared" si="362"/>
        <v>6000</v>
      </c>
      <c r="AU634" s="3759"/>
      <c r="AV634" s="3759"/>
      <c r="AW634" s="3759"/>
      <c r="AX634" s="4120"/>
      <c r="AY634" s="3759"/>
      <c r="AZ634" s="3759"/>
      <c r="BA634" s="3759"/>
      <c r="BB634" s="3759"/>
      <c r="BC634" s="3759"/>
      <c r="BD634" s="3759">
        <f>I634/4</f>
        <v>1500</v>
      </c>
      <c r="BE634" s="3759"/>
      <c r="BF634" s="3759"/>
      <c r="BG634" s="3759"/>
      <c r="BH634" s="3759"/>
      <c r="BI634" s="3759" t="s">
        <v>89</v>
      </c>
      <c r="BJ634" s="4120">
        <f t="shared" si="363"/>
        <v>200</v>
      </c>
      <c r="BK634" s="4120">
        <f t="shared" si="364"/>
        <v>1000</v>
      </c>
      <c r="BL634" s="4120">
        <f t="shared" si="365"/>
        <v>1000</v>
      </c>
      <c r="BM634" s="4120">
        <f t="shared" si="366"/>
        <v>800</v>
      </c>
      <c r="BN634" s="4120">
        <f t="shared" si="367"/>
        <v>1000</v>
      </c>
      <c r="BO634" s="4121">
        <f t="shared" si="368"/>
        <v>1000</v>
      </c>
      <c r="BP634" s="4122">
        <f t="shared" si="369"/>
        <v>1000</v>
      </c>
      <c r="BQ634" s="4122">
        <f t="shared" si="371"/>
        <v>6000</v>
      </c>
      <c r="BR634" s="4122">
        <f t="shared" si="372"/>
        <v>0</v>
      </c>
      <c r="BS634" s="4123"/>
      <c r="BT634" s="4124"/>
    </row>
    <row r="635" s="3567" customFormat="1" ht="50" customHeight="1" spans="1:72">
      <c r="A635" s="4112">
        <v>45972</v>
      </c>
      <c r="B635" s="3766" t="s">
        <v>2775</v>
      </c>
      <c r="C635" s="3766" t="s">
        <v>2776</v>
      </c>
      <c r="D635" s="3699">
        <v>4500185070</v>
      </c>
      <c r="E635" s="3700"/>
      <c r="F635" s="3700" t="s">
        <v>7902</v>
      </c>
      <c r="G635" s="3700" t="s">
        <v>6124</v>
      </c>
      <c r="H635" s="3699" t="s">
        <v>6063</v>
      </c>
      <c r="I635" s="3699">
        <v>5400</v>
      </c>
      <c r="J635" s="3699">
        <v>0</v>
      </c>
      <c r="K635" s="3699">
        <v>12</v>
      </c>
      <c r="L635" s="3699">
        <f t="shared" si="361"/>
        <v>450</v>
      </c>
      <c r="M635" s="3707">
        <v>46021</v>
      </c>
      <c r="N635" s="3707">
        <v>46017</v>
      </c>
      <c r="O635" s="4117"/>
      <c r="P635" s="959" t="s">
        <v>82</v>
      </c>
      <c r="Q635" s="3700"/>
      <c r="R635" s="3700"/>
      <c r="S635" s="3700"/>
      <c r="T635" s="4145"/>
      <c r="U635" s="3726" t="s">
        <v>110</v>
      </c>
      <c r="V635" s="3708" t="s">
        <v>384</v>
      </c>
      <c r="W635" s="3711"/>
      <c r="X635" s="3711" t="s">
        <v>5312</v>
      </c>
      <c r="Y635" s="3709"/>
      <c r="Z635" s="3712"/>
      <c r="AA635" s="3680" t="s">
        <v>7903</v>
      </c>
      <c r="AB635" s="3769" t="s">
        <v>1434</v>
      </c>
      <c r="AC635" s="4118">
        <v>2.2307</v>
      </c>
      <c r="AD635" s="3699">
        <f t="shared" si="352"/>
        <v>12045.78</v>
      </c>
      <c r="AE635" s="3715"/>
      <c r="AF635" s="3700" t="s">
        <v>6126</v>
      </c>
      <c r="AG635" s="3680" t="s">
        <v>416</v>
      </c>
      <c r="AH635" s="3680"/>
      <c r="AI635" s="3680"/>
      <c r="AJ635" s="3680"/>
      <c r="AK635" s="3700"/>
      <c r="AL635" s="3700"/>
      <c r="AM635" s="3700"/>
      <c r="AN635" s="4119">
        <f>I635</f>
        <v>5400</v>
      </c>
      <c r="AO635" s="3700"/>
      <c r="AP635" s="3699"/>
      <c r="AQ635" s="4113">
        <f t="shared" si="344"/>
        <v>5400</v>
      </c>
      <c r="AR635" s="3759"/>
      <c r="AS635" s="3759"/>
      <c r="AT635" s="4120">
        <f t="shared" si="362"/>
        <v>5400</v>
      </c>
      <c r="AU635" s="3759"/>
      <c r="AV635" s="3759"/>
      <c r="AW635" s="3759"/>
      <c r="AX635" s="4120">
        <f>I635/6</f>
        <v>900</v>
      </c>
      <c r="AY635" s="3759"/>
      <c r="AZ635" s="3759"/>
      <c r="BA635" s="3759"/>
      <c r="BB635" s="3759"/>
      <c r="BC635" s="3759"/>
      <c r="BD635" s="3759"/>
      <c r="BE635" s="3759"/>
      <c r="BF635" s="3759"/>
      <c r="BG635" s="3759"/>
      <c r="BH635" s="3759"/>
      <c r="BI635" s="3759" t="s">
        <v>89</v>
      </c>
      <c r="BJ635" s="4120">
        <f t="shared" si="363"/>
        <v>180</v>
      </c>
      <c r="BK635" s="4120">
        <f t="shared" si="364"/>
        <v>900</v>
      </c>
      <c r="BL635" s="4120">
        <f t="shared" si="365"/>
        <v>900</v>
      </c>
      <c r="BM635" s="4120">
        <f t="shared" si="366"/>
        <v>720</v>
      </c>
      <c r="BN635" s="4120">
        <f t="shared" si="367"/>
        <v>900</v>
      </c>
      <c r="BO635" s="4121">
        <f t="shared" si="368"/>
        <v>900</v>
      </c>
      <c r="BP635" s="4122">
        <f t="shared" si="369"/>
        <v>900</v>
      </c>
      <c r="BQ635" s="4122">
        <f t="shared" si="371"/>
        <v>5400</v>
      </c>
      <c r="BR635" s="3721">
        <f t="shared" si="372"/>
        <v>0</v>
      </c>
      <c r="BS635" s="4123"/>
      <c r="BT635" s="4124"/>
    </row>
    <row r="636" s="3567" customFormat="1" ht="50" customHeight="1" spans="1:72">
      <c r="A636" s="4112">
        <v>45982</v>
      </c>
      <c r="B636" s="3766" t="s">
        <v>1682</v>
      </c>
      <c r="C636" s="3766" t="s">
        <v>91</v>
      </c>
      <c r="D636" s="3699">
        <v>4500186619</v>
      </c>
      <c r="E636" s="3700">
        <v>384258404</v>
      </c>
      <c r="F636" s="3700" t="s">
        <v>7904</v>
      </c>
      <c r="G636" s="3700" t="s">
        <v>6159</v>
      </c>
      <c r="H636" s="3699" t="s">
        <v>6063</v>
      </c>
      <c r="I636" s="3699">
        <v>1800</v>
      </c>
      <c r="J636" s="3699">
        <v>0</v>
      </c>
      <c r="K636" s="3699">
        <v>6</v>
      </c>
      <c r="L636" s="4113">
        <f t="shared" si="361"/>
        <v>300</v>
      </c>
      <c r="M636" s="3707">
        <v>46020</v>
      </c>
      <c r="N636" s="3707">
        <v>46016</v>
      </c>
      <c r="O636" s="3708"/>
      <c r="P636" s="959" t="s">
        <v>82</v>
      </c>
      <c r="Q636" s="3700"/>
      <c r="R636" s="3700"/>
      <c r="S636" s="3700"/>
      <c r="T636" s="4145"/>
      <c r="U636" s="3726" t="s">
        <v>518</v>
      </c>
      <c r="V636" s="3711" t="s">
        <v>384</v>
      </c>
      <c r="W636" s="3711"/>
      <c r="X636" s="3711" t="s">
        <v>5312</v>
      </c>
      <c r="Y636" s="3709"/>
      <c r="Z636" s="3712"/>
      <c r="AA636" s="3680" t="s">
        <v>5313</v>
      </c>
      <c r="AB636" s="3769" t="s">
        <v>500</v>
      </c>
      <c r="AC636" s="4118">
        <v>1.3556</v>
      </c>
      <c r="AD636" s="3699">
        <f t="shared" si="352"/>
        <v>2440.08</v>
      </c>
      <c r="AE636" s="3715"/>
      <c r="AF636" s="3700" t="s">
        <v>3520</v>
      </c>
      <c r="AG636" s="3680" t="s">
        <v>416</v>
      </c>
      <c r="AH636" s="3680"/>
      <c r="AI636" s="3680"/>
      <c r="AJ636" s="3680"/>
      <c r="AK636" s="3700"/>
      <c r="AL636" s="3700">
        <f>I636</f>
        <v>1800</v>
      </c>
      <c r="AM636" s="3700"/>
      <c r="AN636" s="4119"/>
      <c r="AO636" s="3700"/>
      <c r="AP636" s="3699"/>
      <c r="AQ636" s="4113">
        <f t="shared" si="344"/>
        <v>1800</v>
      </c>
      <c r="AR636" s="3759"/>
      <c r="AS636" s="3759"/>
      <c r="AT636" s="4120">
        <f t="shared" si="362"/>
        <v>1800</v>
      </c>
      <c r="AU636" s="3759"/>
      <c r="AV636" s="3759"/>
      <c r="AW636" s="3759"/>
      <c r="AX636" s="4120"/>
      <c r="AY636" s="3759"/>
      <c r="AZ636" s="3759"/>
      <c r="BA636" s="3759"/>
      <c r="BB636" s="3759"/>
      <c r="BC636" s="3759"/>
      <c r="BD636" s="3759"/>
      <c r="BE636" s="3759"/>
      <c r="BF636" s="3759"/>
      <c r="BG636" s="3759"/>
      <c r="BH636" s="3759"/>
      <c r="BI636" s="3759" t="s">
        <v>89</v>
      </c>
      <c r="BJ636" s="3759">
        <f t="shared" si="363"/>
        <v>60</v>
      </c>
      <c r="BK636" s="3759">
        <f t="shared" si="364"/>
        <v>300</v>
      </c>
      <c r="BL636" s="3759">
        <f t="shared" si="365"/>
        <v>300</v>
      </c>
      <c r="BM636" s="3759">
        <f t="shared" si="366"/>
        <v>240</v>
      </c>
      <c r="BN636" s="3759">
        <f t="shared" si="367"/>
        <v>300</v>
      </c>
      <c r="BO636" s="4146">
        <f t="shared" si="368"/>
        <v>300</v>
      </c>
      <c r="BP636" s="3721">
        <f t="shared" si="369"/>
        <v>300</v>
      </c>
      <c r="BQ636" s="3721">
        <f t="shared" si="371"/>
        <v>1800</v>
      </c>
      <c r="BR636" s="3721">
        <f t="shared" si="372"/>
        <v>0</v>
      </c>
      <c r="BS636" s="4123"/>
      <c r="BT636" s="4124"/>
    </row>
    <row r="637" s="3567" customFormat="1" ht="50" customHeight="1" spans="1:72">
      <c r="A637" s="4112">
        <v>45982</v>
      </c>
      <c r="B637" s="3766" t="s">
        <v>1682</v>
      </c>
      <c r="C637" s="3766" t="s">
        <v>91</v>
      </c>
      <c r="D637" s="3699">
        <v>4500186619</v>
      </c>
      <c r="E637" s="3700">
        <v>384258803</v>
      </c>
      <c r="F637" s="3700" t="s">
        <v>7905</v>
      </c>
      <c r="G637" s="3700" t="s">
        <v>6159</v>
      </c>
      <c r="H637" s="3699" t="s">
        <v>6063</v>
      </c>
      <c r="I637" s="3699">
        <v>1800</v>
      </c>
      <c r="J637" s="3699">
        <v>0</v>
      </c>
      <c r="K637" s="3699">
        <v>6</v>
      </c>
      <c r="L637" s="4113">
        <f t="shared" si="361"/>
        <v>300</v>
      </c>
      <c r="M637" s="3707">
        <v>46020</v>
      </c>
      <c r="N637" s="3707">
        <v>46016</v>
      </c>
      <c r="O637" s="3708"/>
      <c r="P637" s="959" t="s">
        <v>82</v>
      </c>
      <c r="Q637" s="3700"/>
      <c r="R637" s="3700"/>
      <c r="S637" s="3700"/>
      <c r="T637" s="4145"/>
      <c r="U637" s="3680" t="s">
        <v>389</v>
      </c>
      <c r="V637" s="3711" t="s">
        <v>384</v>
      </c>
      <c r="W637" s="3711"/>
      <c r="X637" s="3711" t="s">
        <v>5312</v>
      </c>
      <c r="Y637" s="3709"/>
      <c r="Z637" s="3712"/>
      <c r="AA637" s="3680" t="s">
        <v>5313</v>
      </c>
      <c r="AB637" s="3769" t="s">
        <v>500</v>
      </c>
      <c r="AC637" s="4118">
        <v>1.3556</v>
      </c>
      <c r="AD637" s="3699">
        <f t="shared" si="352"/>
        <v>2440.08</v>
      </c>
      <c r="AE637" s="3715"/>
      <c r="AF637" s="3700" t="s">
        <v>6159</v>
      </c>
      <c r="AG637" s="3680" t="s">
        <v>416</v>
      </c>
      <c r="AH637" s="3680"/>
      <c r="AI637" s="3680"/>
      <c r="AJ637" s="3680"/>
      <c r="AK637" s="3700"/>
      <c r="AL637" s="3700">
        <f>I637</f>
        <v>1800</v>
      </c>
      <c r="AM637" s="3700"/>
      <c r="AN637" s="4119"/>
      <c r="AO637" s="3700"/>
      <c r="AP637" s="3699"/>
      <c r="AQ637" s="4113">
        <f t="shared" si="344"/>
        <v>1800</v>
      </c>
      <c r="AR637" s="3759"/>
      <c r="AS637" s="3759"/>
      <c r="AT637" s="4120">
        <f t="shared" si="362"/>
        <v>1800</v>
      </c>
      <c r="AU637" s="3759"/>
      <c r="AV637" s="3759"/>
      <c r="AW637" s="3759"/>
      <c r="AX637" s="4120"/>
      <c r="AY637" s="3759"/>
      <c r="AZ637" s="3759"/>
      <c r="BA637" s="3759"/>
      <c r="BB637" s="3759"/>
      <c r="BC637" s="3759"/>
      <c r="BD637" s="3759"/>
      <c r="BE637" s="3759"/>
      <c r="BF637" s="3759"/>
      <c r="BG637" s="3759"/>
      <c r="BH637" s="3759"/>
      <c r="BI637" s="3759" t="s">
        <v>89</v>
      </c>
      <c r="BJ637" s="3759">
        <f t="shared" si="363"/>
        <v>60</v>
      </c>
      <c r="BK637" s="3759">
        <f t="shared" si="364"/>
        <v>300</v>
      </c>
      <c r="BL637" s="3759">
        <f t="shared" si="365"/>
        <v>300</v>
      </c>
      <c r="BM637" s="3759">
        <f t="shared" si="366"/>
        <v>240</v>
      </c>
      <c r="BN637" s="3759">
        <f t="shared" si="367"/>
        <v>300</v>
      </c>
      <c r="BO637" s="4146">
        <f t="shared" si="368"/>
        <v>300</v>
      </c>
      <c r="BP637" s="3721">
        <f t="shared" si="369"/>
        <v>300</v>
      </c>
      <c r="BQ637" s="3721">
        <f t="shared" si="371"/>
        <v>1800</v>
      </c>
      <c r="BR637" s="3721">
        <f t="shared" si="372"/>
        <v>0</v>
      </c>
      <c r="BS637" s="4123"/>
      <c r="BT637" s="4124"/>
    </row>
    <row r="638" s="3567" customFormat="1" ht="50" customHeight="1" spans="1:72">
      <c r="A638" s="4112">
        <v>45980</v>
      </c>
      <c r="B638" s="3766" t="s">
        <v>7906</v>
      </c>
      <c r="C638" s="3766" t="s">
        <v>78</v>
      </c>
      <c r="D638" s="3699">
        <v>4500185039</v>
      </c>
      <c r="E638" s="3700">
        <v>4500157038</v>
      </c>
      <c r="F638" s="3700" t="s">
        <v>7907</v>
      </c>
      <c r="G638" s="3700" t="s">
        <v>6186</v>
      </c>
      <c r="H638" s="3699" t="s">
        <v>6063</v>
      </c>
      <c r="I638" s="3699">
        <v>3732</v>
      </c>
      <c r="J638" s="3699">
        <v>0</v>
      </c>
      <c r="K638" s="3699">
        <v>6</v>
      </c>
      <c r="L638" s="4113">
        <f t="shared" si="361"/>
        <v>622</v>
      </c>
      <c r="M638" s="3707">
        <v>46028</v>
      </c>
      <c r="N638" s="3707">
        <v>46024</v>
      </c>
      <c r="O638" s="3708"/>
      <c r="P638" s="959" t="s">
        <v>82</v>
      </c>
      <c r="Q638" s="4156">
        <v>3732</v>
      </c>
      <c r="R638" s="4157">
        <f>Q638-I638</f>
        <v>0</v>
      </c>
      <c r="S638" s="3700" t="s">
        <v>2297</v>
      </c>
      <c r="T638" s="4145" t="s">
        <v>321</v>
      </c>
      <c r="U638" s="3680" t="s">
        <v>5405</v>
      </c>
      <c r="V638" s="4154" t="s">
        <v>3332</v>
      </c>
      <c r="W638" s="3710"/>
      <c r="X638" s="3711" t="s">
        <v>7908</v>
      </c>
      <c r="Y638" s="3711"/>
      <c r="Z638" s="3712"/>
      <c r="AA638" s="3680" t="s">
        <v>7909</v>
      </c>
      <c r="AB638" s="3769" t="s">
        <v>559</v>
      </c>
      <c r="AC638" s="3699">
        <v>2.2636</v>
      </c>
      <c r="AD638" s="3699">
        <f t="shared" si="352"/>
        <v>8447.7552</v>
      </c>
      <c r="AE638" s="3715"/>
      <c r="AF638" s="3700" t="s">
        <v>6252</v>
      </c>
      <c r="AG638" s="3680" t="s">
        <v>416</v>
      </c>
      <c r="AH638" s="3680"/>
      <c r="AI638" s="3680"/>
      <c r="AJ638" s="3680"/>
      <c r="AK638" s="3700"/>
      <c r="AL638" s="3700"/>
      <c r="AM638" s="3700"/>
      <c r="AN638" s="4119">
        <f>I638</f>
        <v>3732</v>
      </c>
      <c r="AO638" s="3700"/>
      <c r="AP638" s="3699"/>
      <c r="AQ638" s="4113">
        <f t="shared" si="344"/>
        <v>3732</v>
      </c>
      <c r="AR638" s="3759"/>
      <c r="AS638" s="3759"/>
      <c r="AT638" s="4120">
        <f t="shared" si="362"/>
        <v>3732</v>
      </c>
      <c r="AU638" s="3759"/>
      <c r="AV638" s="3759"/>
      <c r="AW638" s="3759"/>
      <c r="AX638" s="4120">
        <f>I638/6</f>
        <v>622</v>
      </c>
      <c r="AY638" s="3759"/>
      <c r="AZ638" s="3759"/>
      <c r="BA638" s="3759"/>
      <c r="BB638" s="3759"/>
      <c r="BC638" s="3759"/>
      <c r="BD638" s="3759"/>
      <c r="BE638" s="3759"/>
      <c r="BF638" s="3759"/>
      <c r="BG638" s="3759"/>
      <c r="BH638" s="3759"/>
      <c r="BI638" s="3759" t="s">
        <v>89</v>
      </c>
      <c r="BJ638" s="3759">
        <f t="shared" si="363"/>
        <v>124.4</v>
      </c>
      <c r="BK638" s="3759">
        <f t="shared" si="364"/>
        <v>622</v>
      </c>
      <c r="BL638" s="3759">
        <f t="shared" si="365"/>
        <v>622</v>
      </c>
      <c r="BM638" s="3759">
        <f t="shared" si="366"/>
        <v>497.6</v>
      </c>
      <c r="BN638" s="3759">
        <f t="shared" si="367"/>
        <v>622</v>
      </c>
      <c r="BO638" s="4146">
        <f t="shared" si="368"/>
        <v>622</v>
      </c>
      <c r="BP638" s="3721">
        <f t="shared" si="369"/>
        <v>622</v>
      </c>
      <c r="BQ638" s="3721">
        <f t="shared" si="371"/>
        <v>3732</v>
      </c>
      <c r="BR638" s="3721">
        <f t="shared" si="372"/>
        <v>0</v>
      </c>
      <c r="BS638" s="4123"/>
      <c r="BT638" s="4124"/>
    </row>
    <row r="639" s="3567" customFormat="1" ht="50" customHeight="1" spans="1:72">
      <c r="A639" s="4112">
        <v>45988</v>
      </c>
      <c r="B639" s="3766" t="s">
        <v>90</v>
      </c>
      <c r="C639" s="3766" t="s">
        <v>91</v>
      </c>
      <c r="D639" s="3699">
        <v>4500187228</v>
      </c>
      <c r="E639" s="3700">
        <v>765819</v>
      </c>
      <c r="F639" s="3700" t="s">
        <v>7910</v>
      </c>
      <c r="G639" s="3700" t="s">
        <v>3520</v>
      </c>
      <c r="H639" s="3699" t="s">
        <v>6063</v>
      </c>
      <c r="I639" s="3699">
        <v>1008</v>
      </c>
      <c r="J639" s="3699">
        <v>0</v>
      </c>
      <c r="K639" s="3699">
        <v>24</v>
      </c>
      <c r="L639" s="4113">
        <f t="shared" si="361"/>
        <v>42</v>
      </c>
      <c r="M639" s="3707">
        <v>46029</v>
      </c>
      <c r="N639" s="3707">
        <v>46025</v>
      </c>
      <c r="O639" s="3708"/>
      <c r="P639" s="959" t="s">
        <v>82</v>
      </c>
      <c r="Q639" s="4145">
        <v>1008</v>
      </c>
      <c r="R639" s="4157">
        <f t="shared" ref="R639:R697" si="373">Q639-I639</f>
        <v>0</v>
      </c>
      <c r="S639" s="4158" t="s">
        <v>2297</v>
      </c>
      <c r="T639" s="4145" t="s">
        <v>321</v>
      </c>
      <c r="U639" s="3680" t="s">
        <v>116</v>
      </c>
      <c r="V639" s="3711" t="s">
        <v>384</v>
      </c>
      <c r="W639" s="3569"/>
      <c r="X639" s="3711" t="s">
        <v>98</v>
      </c>
      <c r="Y639" s="3711" t="s">
        <v>5350</v>
      </c>
      <c r="Z639" s="3569"/>
      <c r="AA639" s="3680" t="s">
        <v>7911</v>
      </c>
      <c r="AB639" s="3769" t="s">
        <v>101</v>
      </c>
      <c r="AC639" s="4118">
        <v>1.3184</v>
      </c>
      <c r="AD639" s="3699">
        <f t="shared" si="352"/>
        <v>1328.9472</v>
      </c>
      <c r="AE639" s="3715"/>
      <c r="AF639" s="3700" t="s">
        <v>3520</v>
      </c>
      <c r="AG639" s="3680" t="s">
        <v>416</v>
      </c>
      <c r="AH639" s="3680"/>
      <c r="AI639" s="4122"/>
      <c r="AJ639" s="3680"/>
      <c r="AK639" s="3700"/>
      <c r="AL639" s="3700">
        <f>I639</f>
        <v>1008</v>
      </c>
      <c r="AM639" s="3700"/>
      <c r="AN639" s="4119"/>
      <c r="AO639" s="3700"/>
      <c r="AP639" s="3699"/>
      <c r="AQ639" s="4113">
        <f t="shared" si="344"/>
        <v>1008</v>
      </c>
      <c r="AR639" s="3759"/>
      <c r="AS639" s="3759"/>
      <c r="AT639" s="4120">
        <f t="shared" si="362"/>
        <v>1008</v>
      </c>
      <c r="AU639" s="3759"/>
      <c r="AV639" s="3759"/>
      <c r="AW639" s="3759"/>
      <c r="AX639" s="4120"/>
      <c r="AY639" s="3759"/>
      <c r="AZ639" s="3759"/>
      <c r="BA639" s="3759"/>
      <c r="BB639" s="3759"/>
      <c r="BC639" s="3759"/>
      <c r="BD639" s="3759"/>
      <c r="BE639" s="3759"/>
      <c r="BF639" s="3759"/>
      <c r="BG639" s="3759"/>
      <c r="BH639" s="3759"/>
      <c r="BI639" s="3759" t="s">
        <v>89</v>
      </c>
      <c r="BJ639" s="3759">
        <f t="shared" si="363"/>
        <v>33.6</v>
      </c>
      <c r="BK639" s="3759">
        <f t="shared" si="364"/>
        <v>168</v>
      </c>
      <c r="BL639" s="3759">
        <f t="shared" si="365"/>
        <v>168</v>
      </c>
      <c r="BM639" s="3759">
        <f t="shared" si="366"/>
        <v>134.4</v>
      </c>
      <c r="BN639" s="3759">
        <f t="shared" si="367"/>
        <v>168</v>
      </c>
      <c r="BO639" s="4146">
        <f t="shared" si="368"/>
        <v>168</v>
      </c>
      <c r="BP639" s="3721">
        <f t="shared" si="369"/>
        <v>168</v>
      </c>
      <c r="BQ639" s="3721">
        <f t="shared" si="371"/>
        <v>1008</v>
      </c>
      <c r="BR639" s="3721">
        <f t="shared" si="372"/>
        <v>0</v>
      </c>
      <c r="BS639" s="4123"/>
      <c r="BT639" s="4124"/>
    </row>
    <row r="640" s="3567" customFormat="1" ht="50" customHeight="1" spans="1:72">
      <c r="A640" s="4112">
        <v>45988</v>
      </c>
      <c r="B640" s="3766" t="s">
        <v>90</v>
      </c>
      <c r="C640" s="3766" t="s">
        <v>91</v>
      </c>
      <c r="D640" s="3699">
        <v>4500187232</v>
      </c>
      <c r="E640" s="3700" t="s">
        <v>7912</v>
      </c>
      <c r="F640" s="3700" t="s">
        <v>7913</v>
      </c>
      <c r="G640" s="3700" t="s">
        <v>3520</v>
      </c>
      <c r="H640" s="3699" t="s">
        <v>6063</v>
      </c>
      <c r="I640" s="3699">
        <v>1200</v>
      </c>
      <c r="J640" s="3699">
        <v>0</v>
      </c>
      <c r="K640" s="3699">
        <v>24</v>
      </c>
      <c r="L640" s="4113">
        <f t="shared" si="361"/>
        <v>50</v>
      </c>
      <c r="M640" s="3707">
        <v>46029</v>
      </c>
      <c r="N640" s="3707">
        <v>46025</v>
      </c>
      <c r="O640" s="3708"/>
      <c r="P640" s="959" t="s">
        <v>82</v>
      </c>
      <c r="Q640" s="4145">
        <v>1200</v>
      </c>
      <c r="R640" s="4157">
        <f t="shared" si="373"/>
        <v>0</v>
      </c>
      <c r="S640" s="4158" t="s">
        <v>2297</v>
      </c>
      <c r="T640" s="4145" t="s">
        <v>321</v>
      </c>
      <c r="U640" s="3680" t="s">
        <v>116</v>
      </c>
      <c r="V640" s="3711" t="s">
        <v>384</v>
      </c>
      <c r="W640" s="3569"/>
      <c r="X640" s="3711" t="s">
        <v>98</v>
      </c>
      <c r="Y640" s="3711" t="s">
        <v>5350</v>
      </c>
      <c r="Z640" s="3569"/>
      <c r="AA640" s="3680" t="s">
        <v>7914</v>
      </c>
      <c r="AB640" s="3769" t="s">
        <v>101</v>
      </c>
      <c r="AC640" s="4118">
        <v>1.287</v>
      </c>
      <c r="AD640" s="3699">
        <f t="shared" si="352"/>
        <v>1544.4</v>
      </c>
      <c r="AE640" s="3715"/>
      <c r="AF640" s="3700" t="s">
        <v>3520</v>
      </c>
      <c r="AG640" s="3680" t="s">
        <v>416</v>
      </c>
      <c r="AH640" s="3680"/>
      <c r="AI640" s="4122"/>
      <c r="AJ640" s="3680"/>
      <c r="AK640" s="3700"/>
      <c r="AL640" s="3700">
        <f>I640</f>
        <v>1200</v>
      </c>
      <c r="AM640" s="3700"/>
      <c r="AN640" s="4119"/>
      <c r="AO640" s="3700"/>
      <c r="AP640" s="3699"/>
      <c r="AQ640" s="4113">
        <f>I640</f>
        <v>1200</v>
      </c>
      <c r="AR640" s="3759"/>
      <c r="AS640" s="3759"/>
      <c r="AT640" s="4120">
        <f t="shared" si="362"/>
        <v>1200</v>
      </c>
      <c r="AU640" s="3759"/>
      <c r="AV640" s="3759"/>
      <c r="AW640" s="3759"/>
      <c r="AX640" s="4120"/>
      <c r="AY640" s="3759"/>
      <c r="AZ640" s="3759"/>
      <c r="BA640" s="3759"/>
      <c r="BB640" s="3759"/>
      <c r="BC640" s="3759"/>
      <c r="BD640" s="3759"/>
      <c r="BE640" s="3759"/>
      <c r="BF640" s="3759"/>
      <c r="BG640" s="3759"/>
      <c r="BH640" s="3759"/>
      <c r="BI640" s="3759" t="s">
        <v>89</v>
      </c>
      <c r="BJ640" s="3759">
        <f t="shared" si="363"/>
        <v>40</v>
      </c>
      <c r="BK640" s="3759">
        <f t="shared" si="364"/>
        <v>200</v>
      </c>
      <c r="BL640" s="3759">
        <f t="shared" si="365"/>
        <v>200</v>
      </c>
      <c r="BM640" s="3759">
        <f t="shared" si="366"/>
        <v>160</v>
      </c>
      <c r="BN640" s="3759">
        <f t="shared" si="367"/>
        <v>200</v>
      </c>
      <c r="BO640" s="4146">
        <f t="shared" si="368"/>
        <v>200</v>
      </c>
      <c r="BP640" s="3721">
        <f t="shared" si="369"/>
        <v>200</v>
      </c>
      <c r="BQ640" s="3721">
        <f t="shared" si="371"/>
        <v>1200</v>
      </c>
      <c r="BR640" s="3721">
        <f t="shared" si="372"/>
        <v>0</v>
      </c>
      <c r="BS640" s="4123"/>
      <c r="BT640" s="4124"/>
    </row>
    <row r="641" s="3567" customFormat="1" ht="50" customHeight="1" spans="1:72">
      <c r="A641" s="4112">
        <v>45980</v>
      </c>
      <c r="B641" s="3766" t="s">
        <v>809</v>
      </c>
      <c r="C641" s="3766" t="s">
        <v>738</v>
      </c>
      <c r="D641" s="3699">
        <v>4500186234</v>
      </c>
      <c r="E641" s="3700">
        <v>17242705</v>
      </c>
      <c r="F641" s="3700" t="s">
        <v>7915</v>
      </c>
      <c r="G641" s="3700" t="s">
        <v>6124</v>
      </c>
      <c r="H641" s="3699" t="s">
        <v>6063</v>
      </c>
      <c r="I641" s="3699">
        <v>600</v>
      </c>
      <c r="J641" s="3699">
        <v>0</v>
      </c>
      <c r="K641" s="3699">
        <v>12</v>
      </c>
      <c r="L641" s="3699">
        <f t="shared" si="361"/>
        <v>50</v>
      </c>
      <c r="M641" s="3707">
        <v>46030</v>
      </c>
      <c r="N641" s="3707">
        <v>46027</v>
      </c>
      <c r="O641" s="3708"/>
      <c r="P641" s="959" t="s">
        <v>82</v>
      </c>
      <c r="Q641" s="4145">
        <v>600</v>
      </c>
      <c r="R641" s="4157">
        <f t="shared" si="373"/>
        <v>0</v>
      </c>
      <c r="S641" s="4145" t="s">
        <v>2297</v>
      </c>
      <c r="T641" s="4145" t="s">
        <v>321</v>
      </c>
      <c r="U641" s="3680" t="s">
        <v>127</v>
      </c>
      <c r="V641" s="4154" t="s">
        <v>7916</v>
      </c>
      <c r="W641" s="3710"/>
      <c r="X641" s="3711" t="s">
        <v>7917</v>
      </c>
      <c r="Y641" s="3711"/>
      <c r="Z641" s="3712"/>
      <c r="AA641" s="3680" t="s">
        <v>7918</v>
      </c>
      <c r="AB641" s="3769" t="s">
        <v>1257</v>
      </c>
      <c r="AC641" s="4118">
        <v>2.2023</v>
      </c>
      <c r="AD641" s="3699">
        <f t="shared" si="352"/>
        <v>1321.38</v>
      </c>
      <c r="AE641" s="3715"/>
      <c r="AF641" s="3700" t="s">
        <v>6126</v>
      </c>
      <c r="AG641" s="3680" t="s">
        <v>416</v>
      </c>
      <c r="AH641" s="3680"/>
      <c r="AI641" s="3680"/>
      <c r="AJ641" s="3680"/>
      <c r="AK641" s="3700"/>
      <c r="AL641" s="3700"/>
      <c r="AM641" s="3700"/>
      <c r="AN641" s="4119">
        <f>I641</f>
        <v>600</v>
      </c>
      <c r="AO641" s="3700"/>
      <c r="AP641" s="3699"/>
      <c r="AQ641" s="4113">
        <f>I641</f>
        <v>600</v>
      </c>
      <c r="AR641" s="3759"/>
      <c r="AS641" s="3759"/>
      <c r="AT641" s="4120">
        <f t="shared" si="362"/>
        <v>600</v>
      </c>
      <c r="AU641" s="3759"/>
      <c r="AV641" s="3759"/>
      <c r="AW641" s="3759"/>
      <c r="AX641" s="4120">
        <f>I641/6</f>
        <v>100</v>
      </c>
      <c r="AY641" s="3759"/>
      <c r="AZ641" s="3759"/>
      <c r="BA641" s="3759"/>
      <c r="BB641" s="3759"/>
      <c r="BC641" s="3759"/>
      <c r="BD641" s="3759"/>
      <c r="BE641" s="3759"/>
      <c r="BF641" s="3759"/>
      <c r="BG641" s="3759"/>
      <c r="BH641" s="3759"/>
      <c r="BI641" s="3759" t="s">
        <v>89</v>
      </c>
      <c r="BJ641" s="4120">
        <f t="shared" si="363"/>
        <v>20</v>
      </c>
      <c r="BK641" s="4120">
        <f t="shared" si="364"/>
        <v>100</v>
      </c>
      <c r="BL641" s="4120">
        <f t="shared" si="365"/>
        <v>100</v>
      </c>
      <c r="BM641" s="4120">
        <f t="shared" si="366"/>
        <v>80</v>
      </c>
      <c r="BN641" s="4120">
        <f t="shared" si="367"/>
        <v>100</v>
      </c>
      <c r="BO641" s="4121">
        <f t="shared" si="368"/>
        <v>100</v>
      </c>
      <c r="BP641" s="4122">
        <f t="shared" si="369"/>
        <v>100</v>
      </c>
      <c r="BQ641" s="4122">
        <f t="shared" si="371"/>
        <v>600</v>
      </c>
      <c r="BR641" s="3721">
        <f t="shared" si="372"/>
        <v>0</v>
      </c>
      <c r="BS641" s="4123"/>
      <c r="BT641" s="4124"/>
    </row>
    <row r="642" s="3567" customFormat="1" ht="50" customHeight="1" spans="1:72">
      <c r="A642" s="4112">
        <v>45994</v>
      </c>
      <c r="B642" s="3766" t="s">
        <v>2903</v>
      </c>
      <c r="C642" s="3766" t="s">
        <v>1279</v>
      </c>
      <c r="D642" s="3699">
        <v>4500187838</v>
      </c>
      <c r="E642" s="3700"/>
      <c r="F642" s="3699" t="s">
        <v>7919</v>
      </c>
      <c r="G642" s="3700" t="s">
        <v>6124</v>
      </c>
      <c r="H642" s="3699" t="s">
        <v>6063</v>
      </c>
      <c r="I642" s="3699">
        <v>240</v>
      </c>
      <c r="J642" s="3699">
        <v>0</v>
      </c>
      <c r="K642" s="3699">
        <v>12</v>
      </c>
      <c r="L642" s="3699">
        <f t="shared" si="361"/>
        <v>20</v>
      </c>
      <c r="M642" s="3707">
        <v>46031</v>
      </c>
      <c r="N642" s="3707">
        <v>46027</v>
      </c>
      <c r="O642" s="3708"/>
      <c r="P642" s="959" t="s">
        <v>82</v>
      </c>
      <c r="Q642" s="4145">
        <v>240</v>
      </c>
      <c r="R642" s="4157">
        <f t="shared" si="373"/>
        <v>0</v>
      </c>
      <c r="S642" s="4159" t="s">
        <v>2297</v>
      </c>
      <c r="T642" s="4145" t="s">
        <v>321</v>
      </c>
      <c r="U642" s="4160" t="s">
        <v>2599</v>
      </c>
      <c r="V642" s="4154" t="s">
        <v>510</v>
      </c>
      <c r="W642" s="3680"/>
      <c r="X642" s="3711" t="s">
        <v>7920</v>
      </c>
      <c r="Y642" s="3711"/>
      <c r="Z642" s="3712"/>
      <c r="AA642" s="3680" t="s">
        <v>7921</v>
      </c>
      <c r="AB642" s="3769" t="s">
        <v>3224</v>
      </c>
      <c r="AC642" s="4118">
        <v>2.259</v>
      </c>
      <c r="AD642" s="3699">
        <f t="shared" si="352"/>
        <v>542.16</v>
      </c>
      <c r="AE642" s="4161" t="s">
        <v>5387</v>
      </c>
      <c r="AF642" s="3700" t="s">
        <v>6126</v>
      </c>
      <c r="AG642" s="3680" t="s">
        <v>416</v>
      </c>
      <c r="AH642" s="3680"/>
      <c r="AI642" s="3680"/>
      <c r="AJ642" s="3680"/>
      <c r="AK642" s="3700"/>
      <c r="AL642" s="3700"/>
      <c r="AM642" s="3700"/>
      <c r="AN642" s="4119">
        <f>I642</f>
        <v>240</v>
      </c>
      <c r="AO642" s="3700"/>
      <c r="AP642" s="3699"/>
      <c r="AQ642" s="4113">
        <f>I642</f>
        <v>240</v>
      </c>
      <c r="AR642" s="3759"/>
      <c r="AS642" s="3759"/>
      <c r="AT642" s="4120">
        <f t="shared" si="362"/>
        <v>240</v>
      </c>
      <c r="AU642" s="3759"/>
      <c r="AV642" s="3759"/>
      <c r="AW642" s="3759"/>
      <c r="AX642" s="4120">
        <f>I642/6</f>
        <v>40</v>
      </c>
      <c r="AY642" s="3759"/>
      <c r="AZ642" s="3759"/>
      <c r="BA642" s="3759"/>
      <c r="BB642" s="3759"/>
      <c r="BC642" s="3759"/>
      <c r="BD642" s="3759"/>
      <c r="BE642" s="3759"/>
      <c r="BF642" s="3759"/>
      <c r="BG642" s="3759"/>
      <c r="BH642" s="3759"/>
      <c r="BI642" s="3759" t="s">
        <v>89</v>
      </c>
      <c r="BJ642" s="4120">
        <f t="shared" si="363"/>
        <v>8</v>
      </c>
      <c r="BK642" s="4120">
        <f t="shared" si="364"/>
        <v>40</v>
      </c>
      <c r="BL642" s="4120">
        <f t="shared" si="365"/>
        <v>40</v>
      </c>
      <c r="BM642" s="4120">
        <f t="shared" si="366"/>
        <v>32</v>
      </c>
      <c r="BN642" s="4120">
        <f t="shared" si="367"/>
        <v>40</v>
      </c>
      <c r="BO642" s="4121">
        <f t="shared" si="368"/>
        <v>40</v>
      </c>
      <c r="BP642" s="4122">
        <f t="shared" si="369"/>
        <v>40</v>
      </c>
      <c r="BQ642" s="4122">
        <f t="shared" si="371"/>
        <v>240</v>
      </c>
      <c r="BR642" s="3721">
        <f t="shared" si="372"/>
        <v>0</v>
      </c>
      <c r="BS642" s="4123"/>
      <c r="BT642" s="4124"/>
    </row>
    <row r="643" s="3567" customFormat="1" ht="50" customHeight="1" spans="1:72">
      <c r="A643" s="4112">
        <v>45928</v>
      </c>
      <c r="B643" s="3766" t="s">
        <v>5388</v>
      </c>
      <c r="C643" s="3766" t="s">
        <v>3772</v>
      </c>
      <c r="D643" s="3699">
        <v>4500180717</v>
      </c>
      <c r="E643" s="3700" t="s">
        <v>5389</v>
      </c>
      <c r="F643" s="3700" t="s">
        <v>7922</v>
      </c>
      <c r="G643" s="3700" t="s">
        <v>6124</v>
      </c>
      <c r="H643" s="3699" t="s">
        <v>6063</v>
      </c>
      <c r="I643" s="3699">
        <v>4224</v>
      </c>
      <c r="J643" s="3699">
        <v>0</v>
      </c>
      <c r="K643" s="3699">
        <v>12</v>
      </c>
      <c r="L643" s="3699">
        <f t="shared" si="361"/>
        <v>352</v>
      </c>
      <c r="M643" s="3707">
        <v>46006</v>
      </c>
      <c r="N643" s="3707">
        <v>46028</v>
      </c>
      <c r="O643" s="3708"/>
      <c r="P643" s="959" t="s">
        <v>82</v>
      </c>
      <c r="Q643" s="4145">
        <v>4224</v>
      </c>
      <c r="R643" s="4157">
        <f t="shared" si="373"/>
        <v>0</v>
      </c>
      <c r="S643" s="4162" t="s">
        <v>2297</v>
      </c>
      <c r="T643" s="4145" t="s">
        <v>321</v>
      </c>
      <c r="U643" s="3726" t="s">
        <v>110</v>
      </c>
      <c r="V643" s="3711" t="s">
        <v>5226</v>
      </c>
      <c r="W643" s="3710"/>
      <c r="X643" s="3711" t="s">
        <v>5391</v>
      </c>
      <c r="Y643" s="3709"/>
      <c r="Z643" s="3712"/>
      <c r="AA643" s="3680" t="s">
        <v>7923</v>
      </c>
      <c r="AB643" s="3769" t="s">
        <v>4965</v>
      </c>
      <c r="AC643" s="4118">
        <v>2.198</v>
      </c>
      <c r="AD643" s="3699">
        <f t="shared" si="352"/>
        <v>9284.352</v>
      </c>
      <c r="AE643" s="3715"/>
      <c r="AF643" s="3700" t="s">
        <v>7924</v>
      </c>
      <c r="AG643" s="3680" t="s">
        <v>416</v>
      </c>
      <c r="AH643" s="3680"/>
      <c r="AI643" s="3680"/>
      <c r="AJ643" s="3680"/>
      <c r="AK643" s="3700"/>
      <c r="AL643" s="3700"/>
      <c r="AM643" s="4119"/>
      <c r="AN643" s="4119"/>
      <c r="AO643" s="4119">
        <f>I643</f>
        <v>4224</v>
      </c>
      <c r="AP643" s="3699"/>
      <c r="AQ643" s="4113"/>
      <c r="AR643" s="4120">
        <f>I643</f>
        <v>4224</v>
      </c>
      <c r="AS643" s="3759"/>
      <c r="AT643" s="4120">
        <f t="shared" si="362"/>
        <v>4224</v>
      </c>
      <c r="AU643" s="3759"/>
      <c r="AV643" s="3759"/>
      <c r="AW643" s="3759"/>
      <c r="AX643" s="3759"/>
      <c r="AY643" s="3759"/>
      <c r="AZ643" s="4120"/>
      <c r="BA643" s="3759"/>
      <c r="BB643" s="3759"/>
      <c r="BC643" s="3759"/>
      <c r="BD643" s="3759"/>
      <c r="BE643" s="3759"/>
      <c r="BF643" s="4120">
        <f>I643/6</f>
        <v>704</v>
      </c>
      <c r="BG643" s="3759"/>
      <c r="BH643" s="3759"/>
      <c r="BI643" s="3759" t="s">
        <v>89</v>
      </c>
      <c r="BJ643" s="4120">
        <f t="shared" si="363"/>
        <v>140.8</v>
      </c>
      <c r="BK643" s="4120">
        <f t="shared" si="364"/>
        <v>704</v>
      </c>
      <c r="BL643" s="4120">
        <f t="shared" si="365"/>
        <v>704</v>
      </c>
      <c r="BM643" s="4120">
        <f t="shared" si="366"/>
        <v>563.2</v>
      </c>
      <c r="BN643" s="4120">
        <f t="shared" si="367"/>
        <v>704</v>
      </c>
      <c r="BO643" s="4121">
        <f t="shared" si="368"/>
        <v>704</v>
      </c>
      <c r="BP643" s="4122">
        <f t="shared" si="369"/>
        <v>704</v>
      </c>
      <c r="BQ643" s="4122">
        <f t="shared" si="371"/>
        <v>4224</v>
      </c>
      <c r="BR643" s="3721">
        <f t="shared" si="372"/>
        <v>0</v>
      </c>
      <c r="BS643" s="4123"/>
      <c r="BT643" s="4124"/>
    </row>
    <row r="644" s="3567" customFormat="1" ht="50" customHeight="1" spans="1:72">
      <c r="A644" s="4112">
        <v>46013</v>
      </c>
      <c r="B644" s="4163" t="s">
        <v>5394</v>
      </c>
      <c r="C644" s="4164" t="s">
        <v>5395</v>
      </c>
      <c r="D644" s="3699">
        <v>4500189510</v>
      </c>
      <c r="E644" s="3700"/>
      <c r="F644" s="4165" t="s">
        <v>7925</v>
      </c>
      <c r="G644" s="3700" t="s">
        <v>6124</v>
      </c>
      <c r="H644" s="3699" t="s">
        <v>6063</v>
      </c>
      <c r="I644" s="3699">
        <v>720</v>
      </c>
      <c r="J644" s="3699">
        <v>0</v>
      </c>
      <c r="K644" s="3699">
        <v>12</v>
      </c>
      <c r="L644" s="3699">
        <f t="shared" si="361"/>
        <v>60</v>
      </c>
      <c r="M644" s="3707">
        <v>46006</v>
      </c>
      <c r="N644" s="3707">
        <v>46028</v>
      </c>
      <c r="O644" s="3708" t="s">
        <v>5397</v>
      </c>
      <c r="P644" s="959" t="s">
        <v>82</v>
      </c>
      <c r="Q644" s="4145">
        <v>720</v>
      </c>
      <c r="R644" s="4157">
        <f t="shared" si="373"/>
        <v>0</v>
      </c>
      <c r="S644" s="4162"/>
      <c r="T644" s="4145" t="s">
        <v>321</v>
      </c>
      <c r="U644" s="3726" t="s">
        <v>5398</v>
      </c>
      <c r="V644" s="3711" t="s">
        <v>5226</v>
      </c>
      <c r="W644" s="3710"/>
      <c r="X644" s="3711" t="s">
        <v>5391</v>
      </c>
      <c r="Y644" s="3709"/>
      <c r="Z644" s="3712"/>
      <c r="AA644" s="3680" t="s">
        <v>7923</v>
      </c>
      <c r="AB644" s="4166" t="s">
        <v>4965</v>
      </c>
      <c r="AC644" s="4118">
        <v>2.2547</v>
      </c>
      <c r="AD644" s="3699">
        <f t="shared" si="352"/>
        <v>1623.384</v>
      </c>
      <c r="AE644" s="3715"/>
      <c r="AF644" s="3700" t="s">
        <v>7924</v>
      </c>
      <c r="AG644" s="3680" t="s">
        <v>416</v>
      </c>
      <c r="AH644" s="3680"/>
      <c r="AI644" s="3680"/>
      <c r="AJ644" s="3680"/>
      <c r="AK644" s="3700"/>
      <c r="AL644" s="3700"/>
      <c r="AM644" s="4119"/>
      <c r="AN644" s="4119"/>
      <c r="AO644" s="3700">
        <f>I644</f>
        <v>720</v>
      </c>
      <c r="AP644" s="3699"/>
      <c r="AQ644" s="4113"/>
      <c r="AR644" s="3759">
        <f>I644</f>
        <v>720</v>
      </c>
      <c r="AS644" s="3759"/>
      <c r="AT644" s="4120">
        <f t="shared" si="362"/>
        <v>720</v>
      </c>
      <c r="AU644" s="3759"/>
      <c r="AV644" s="3759"/>
      <c r="AW644" s="3759"/>
      <c r="AX644" s="3759"/>
      <c r="AY644" s="3759"/>
      <c r="AZ644" s="4120"/>
      <c r="BA644" s="3759"/>
      <c r="BB644" s="3759"/>
      <c r="BC644" s="3759"/>
      <c r="BD644" s="3759"/>
      <c r="BE644" s="3759"/>
      <c r="BF644" s="4120">
        <f>I644/6</f>
        <v>120</v>
      </c>
      <c r="BG644" s="3759"/>
      <c r="BH644" s="3759"/>
      <c r="BI644" s="3759" t="s">
        <v>89</v>
      </c>
      <c r="BJ644" s="4120">
        <f t="shared" si="363"/>
        <v>24</v>
      </c>
      <c r="BK644" s="4120">
        <f t="shared" si="364"/>
        <v>120</v>
      </c>
      <c r="BL644" s="4120">
        <f t="shared" si="365"/>
        <v>120</v>
      </c>
      <c r="BM644" s="4120">
        <f t="shared" si="366"/>
        <v>96</v>
      </c>
      <c r="BN644" s="4120">
        <f t="shared" si="367"/>
        <v>120</v>
      </c>
      <c r="BO644" s="4121">
        <f t="shared" si="368"/>
        <v>120</v>
      </c>
      <c r="BP644" s="4122">
        <f t="shared" si="369"/>
        <v>120</v>
      </c>
      <c r="BQ644" s="4122">
        <f t="shared" si="371"/>
        <v>720</v>
      </c>
      <c r="BR644" s="3721">
        <f t="shared" si="372"/>
        <v>0</v>
      </c>
      <c r="BS644" s="4123"/>
      <c r="BT644" s="4124"/>
    </row>
    <row r="645" s="3567" customFormat="1" ht="50" customHeight="1" spans="1:72">
      <c r="A645" s="4167">
        <v>46013</v>
      </c>
      <c r="B645" s="4163" t="s">
        <v>5401</v>
      </c>
      <c r="C645" s="4164" t="s">
        <v>7926</v>
      </c>
      <c r="D645" s="3699">
        <v>4500189525</v>
      </c>
      <c r="E645" s="3700"/>
      <c r="F645" s="4165" t="s">
        <v>7927</v>
      </c>
      <c r="G645" s="3700" t="s">
        <v>6124</v>
      </c>
      <c r="H645" s="3699" t="s">
        <v>6063</v>
      </c>
      <c r="I645" s="3699">
        <v>600</v>
      </c>
      <c r="J645" s="3699">
        <v>0</v>
      </c>
      <c r="K645" s="3699">
        <v>12</v>
      </c>
      <c r="L645" s="3699">
        <f t="shared" si="361"/>
        <v>50</v>
      </c>
      <c r="M645" s="3707">
        <v>46006</v>
      </c>
      <c r="N645" s="3707">
        <v>46028</v>
      </c>
      <c r="O645" s="3708" t="s">
        <v>5397</v>
      </c>
      <c r="P645" s="959" t="s">
        <v>82</v>
      </c>
      <c r="Q645" s="4145">
        <v>600</v>
      </c>
      <c r="R645" s="4157">
        <f t="shared" si="373"/>
        <v>0</v>
      </c>
      <c r="S645" s="4162"/>
      <c r="T645" s="4145" t="s">
        <v>321</v>
      </c>
      <c r="U645" s="3680" t="s">
        <v>2333</v>
      </c>
      <c r="V645" s="3711" t="s">
        <v>5226</v>
      </c>
      <c r="W645" s="3710"/>
      <c r="X645" s="3711" t="s">
        <v>5391</v>
      </c>
      <c r="Y645" s="3709"/>
      <c r="Z645" s="3712"/>
      <c r="AA645" s="3680" t="s">
        <v>7923</v>
      </c>
      <c r="AB645" s="4166" t="s">
        <v>4965</v>
      </c>
      <c r="AC645" s="4118">
        <v>2.259</v>
      </c>
      <c r="AD645" s="3699">
        <f t="shared" ref="AD645:AD654" si="374">AC645*I645</f>
        <v>1355.4</v>
      </c>
      <c r="AE645" s="3715"/>
      <c r="AF645" s="3700" t="s">
        <v>7924</v>
      </c>
      <c r="AG645" s="3680" t="s">
        <v>416</v>
      </c>
      <c r="AH645" s="3680"/>
      <c r="AI645" s="3680"/>
      <c r="AJ645" s="3680"/>
      <c r="AK645" s="3700"/>
      <c r="AL645" s="3700"/>
      <c r="AM645" s="4119"/>
      <c r="AN645" s="4119"/>
      <c r="AO645" s="3700">
        <f>I645</f>
        <v>600</v>
      </c>
      <c r="AP645" s="3699"/>
      <c r="AQ645" s="4113"/>
      <c r="AR645" s="3759">
        <f>I645</f>
        <v>600</v>
      </c>
      <c r="AS645" s="3759"/>
      <c r="AT645" s="4120">
        <f t="shared" si="362"/>
        <v>600</v>
      </c>
      <c r="AU645" s="3759"/>
      <c r="AV645" s="3759"/>
      <c r="AW645" s="3759"/>
      <c r="AX645" s="3759"/>
      <c r="AY645" s="3759"/>
      <c r="AZ645" s="4120"/>
      <c r="BA645" s="3759"/>
      <c r="BB645" s="3759"/>
      <c r="BC645" s="3759"/>
      <c r="BD645" s="3759"/>
      <c r="BE645" s="3759"/>
      <c r="BF645" s="4120">
        <f>I645/6</f>
        <v>100</v>
      </c>
      <c r="BG645" s="3759"/>
      <c r="BH645" s="3759"/>
      <c r="BI645" s="3759" t="s">
        <v>89</v>
      </c>
      <c r="BJ645" s="4120">
        <f t="shared" si="363"/>
        <v>20</v>
      </c>
      <c r="BK645" s="4120">
        <f t="shared" si="364"/>
        <v>100</v>
      </c>
      <c r="BL645" s="4120">
        <f t="shared" si="365"/>
        <v>100</v>
      </c>
      <c r="BM645" s="4120">
        <f t="shared" si="366"/>
        <v>80</v>
      </c>
      <c r="BN645" s="4120">
        <f t="shared" si="367"/>
        <v>100</v>
      </c>
      <c r="BO645" s="4121">
        <f t="shared" si="368"/>
        <v>100</v>
      </c>
      <c r="BP645" s="4122">
        <f t="shared" si="369"/>
        <v>100</v>
      </c>
      <c r="BQ645" s="4122">
        <f t="shared" si="371"/>
        <v>600</v>
      </c>
      <c r="BR645" s="3721">
        <f t="shared" si="372"/>
        <v>0</v>
      </c>
      <c r="BS645" s="4123"/>
      <c r="BT645" s="4124"/>
    </row>
    <row r="646" s="3567" customFormat="1" ht="50" customHeight="1" spans="1:72">
      <c r="A646" s="4112">
        <v>45928</v>
      </c>
      <c r="B646" s="3766" t="s">
        <v>5401</v>
      </c>
      <c r="C646" s="3766" t="s">
        <v>5402</v>
      </c>
      <c r="D646" s="3699">
        <v>4500180735</v>
      </c>
      <c r="E646" s="3700" t="s">
        <v>5403</v>
      </c>
      <c r="F646" s="3700" t="s">
        <v>7928</v>
      </c>
      <c r="G646" s="3700" t="s">
        <v>6124</v>
      </c>
      <c r="H646" s="3699" t="s">
        <v>6063</v>
      </c>
      <c r="I646" s="3699">
        <v>2232</v>
      </c>
      <c r="J646" s="3699">
        <v>0</v>
      </c>
      <c r="K646" s="3699">
        <v>12</v>
      </c>
      <c r="L646" s="3699">
        <f t="shared" si="361"/>
        <v>186</v>
      </c>
      <c r="M646" s="3707">
        <v>46006</v>
      </c>
      <c r="N646" s="3707">
        <v>46028</v>
      </c>
      <c r="O646" s="3708"/>
      <c r="P646" s="959" t="s">
        <v>82</v>
      </c>
      <c r="Q646" s="4145">
        <v>2232</v>
      </c>
      <c r="R646" s="4157">
        <f t="shared" si="373"/>
        <v>0</v>
      </c>
      <c r="S646" s="4162"/>
      <c r="T646" s="4145" t="s">
        <v>321</v>
      </c>
      <c r="U646" s="3726" t="s">
        <v>5405</v>
      </c>
      <c r="V646" s="3711" t="s">
        <v>5226</v>
      </c>
      <c r="W646" s="3710"/>
      <c r="X646" s="3711" t="s">
        <v>5391</v>
      </c>
      <c r="Y646" s="3709"/>
      <c r="Z646" s="3712"/>
      <c r="AA646" s="3680" t="s">
        <v>7929</v>
      </c>
      <c r="AB646" s="3769" t="s">
        <v>4965</v>
      </c>
      <c r="AC646" s="4118">
        <v>2.198</v>
      </c>
      <c r="AD646" s="3699">
        <f t="shared" si="374"/>
        <v>4905.936</v>
      </c>
      <c r="AE646" s="3715"/>
      <c r="AF646" s="3700" t="s">
        <v>7924</v>
      </c>
      <c r="AG646" s="3680" t="s">
        <v>416</v>
      </c>
      <c r="AH646" s="3680"/>
      <c r="AI646" s="3680"/>
      <c r="AJ646" s="3680"/>
      <c r="AK646" s="3700"/>
      <c r="AL646" s="3700"/>
      <c r="AM646" s="4119"/>
      <c r="AN646" s="4119"/>
      <c r="AO646" s="4119">
        <f>I646</f>
        <v>2232</v>
      </c>
      <c r="AP646" s="3699"/>
      <c r="AQ646" s="4113"/>
      <c r="AR646" s="4120">
        <f>I646</f>
        <v>2232</v>
      </c>
      <c r="AS646" s="3759"/>
      <c r="AT646" s="4120">
        <f t="shared" si="362"/>
        <v>2232</v>
      </c>
      <c r="AU646" s="3759"/>
      <c r="AV646" s="3759"/>
      <c r="AW646" s="3759"/>
      <c r="AX646" s="3759"/>
      <c r="AY646" s="3759"/>
      <c r="AZ646" s="4120"/>
      <c r="BA646" s="3759"/>
      <c r="BB646" s="3759"/>
      <c r="BC646" s="3759"/>
      <c r="BD646" s="3759"/>
      <c r="BE646" s="3759"/>
      <c r="BF646" s="4120">
        <f>I646/6</f>
        <v>372</v>
      </c>
      <c r="BG646" s="3759"/>
      <c r="BH646" s="3759"/>
      <c r="BI646" s="3759" t="s">
        <v>89</v>
      </c>
      <c r="BJ646" s="4120">
        <f t="shared" si="363"/>
        <v>74.4</v>
      </c>
      <c r="BK646" s="4120">
        <f t="shared" si="364"/>
        <v>372</v>
      </c>
      <c r="BL646" s="4120">
        <f t="shared" si="365"/>
        <v>372</v>
      </c>
      <c r="BM646" s="4120">
        <f t="shared" si="366"/>
        <v>297.6</v>
      </c>
      <c r="BN646" s="4120">
        <f t="shared" si="367"/>
        <v>372</v>
      </c>
      <c r="BO646" s="4121">
        <f t="shared" si="368"/>
        <v>372</v>
      </c>
      <c r="BP646" s="4122">
        <f t="shared" si="369"/>
        <v>372</v>
      </c>
      <c r="BQ646" s="4122">
        <f t="shared" si="371"/>
        <v>2232</v>
      </c>
      <c r="BR646" s="3721">
        <f t="shared" si="372"/>
        <v>0</v>
      </c>
      <c r="BS646" s="4123"/>
      <c r="BT646" s="4124"/>
    </row>
    <row r="647" s="3567" customFormat="1" ht="50" customHeight="1" spans="1:72">
      <c r="A647" s="4112">
        <v>45928</v>
      </c>
      <c r="B647" s="3766" t="s">
        <v>5401</v>
      </c>
      <c r="C647" s="3766" t="s">
        <v>5408</v>
      </c>
      <c r="D647" s="3699">
        <v>4500180758</v>
      </c>
      <c r="E647" s="3700" t="s">
        <v>5409</v>
      </c>
      <c r="F647" s="3700" t="s">
        <v>7930</v>
      </c>
      <c r="G647" s="3700" t="s">
        <v>6124</v>
      </c>
      <c r="H647" s="3699" t="s">
        <v>6063</v>
      </c>
      <c r="I647" s="3699">
        <v>2232</v>
      </c>
      <c r="J647" s="3699">
        <v>0</v>
      </c>
      <c r="K647" s="3699">
        <v>12</v>
      </c>
      <c r="L647" s="3699">
        <f t="shared" si="361"/>
        <v>186</v>
      </c>
      <c r="M647" s="3707">
        <v>46016</v>
      </c>
      <c r="N647" s="3707">
        <v>46028</v>
      </c>
      <c r="O647" s="3708"/>
      <c r="P647" s="959" t="s">
        <v>82</v>
      </c>
      <c r="Q647" s="4145">
        <v>2232</v>
      </c>
      <c r="R647" s="4157">
        <f t="shared" si="373"/>
        <v>0</v>
      </c>
      <c r="S647" s="4162"/>
      <c r="T647" s="4145" t="s">
        <v>321</v>
      </c>
      <c r="U647" s="3680"/>
      <c r="V647" s="3711" t="s">
        <v>5226</v>
      </c>
      <c r="W647" s="3710"/>
      <c r="X647" s="3711" t="s">
        <v>5391</v>
      </c>
      <c r="Y647" s="3709"/>
      <c r="Z647" s="3712"/>
      <c r="AA647" s="3680" t="s">
        <v>7923</v>
      </c>
      <c r="AB647" s="3769" t="s">
        <v>4965</v>
      </c>
      <c r="AC647" s="4118">
        <v>2.198</v>
      </c>
      <c r="AD647" s="3699">
        <f t="shared" si="374"/>
        <v>4905.936</v>
      </c>
      <c r="AE647" s="3715"/>
      <c r="AF647" s="3700" t="s">
        <v>7924</v>
      </c>
      <c r="AG647" s="3680" t="s">
        <v>416</v>
      </c>
      <c r="AH647" s="3680"/>
      <c r="AI647" s="3680"/>
      <c r="AJ647" s="3680"/>
      <c r="AK647" s="3700"/>
      <c r="AL647" s="3700"/>
      <c r="AM647" s="4119"/>
      <c r="AN647" s="4119"/>
      <c r="AO647" s="4119">
        <f>I647</f>
        <v>2232</v>
      </c>
      <c r="AP647" s="3699"/>
      <c r="AQ647" s="4113"/>
      <c r="AR647" s="4120">
        <f>I647</f>
        <v>2232</v>
      </c>
      <c r="AS647" s="3759"/>
      <c r="AT647" s="4120">
        <f t="shared" si="362"/>
        <v>2232</v>
      </c>
      <c r="AU647" s="3759"/>
      <c r="AV647" s="3759"/>
      <c r="AW647" s="3759"/>
      <c r="AX647" s="3759"/>
      <c r="AY647" s="3759"/>
      <c r="AZ647" s="4120"/>
      <c r="BA647" s="3759"/>
      <c r="BB647" s="3759"/>
      <c r="BC647" s="3759"/>
      <c r="BD647" s="3759"/>
      <c r="BE647" s="3759"/>
      <c r="BF647" s="4120">
        <f>I647/6</f>
        <v>372</v>
      </c>
      <c r="BG647" s="3759"/>
      <c r="BH647" s="3759"/>
      <c r="BI647" s="3759" t="s">
        <v>89</v>
      </c>
      <c r="BJ647" s="4120">
        <f t="shared" si="363"/>
        <v>74.4</v>
      </c>
      <c r="BK647" s="4120">
        <f t="shared" si="364"/>
        <v>372</v>
      </c>
      <c r="BL647" s="4120">
        <f t="shared" si="365"/>
        <v>372</v>
      </c>
      <c r="BM647" s="4120">
        <f t="shared" si="366"/>
        <v>297.6</v>
      </c>
      <c r="BN647" s="4120">
        <f t="shared" si="367"/>
        <v>372</v>
      </c>
      <c r="BO647" s="4121">
        <f t="shared" si="368"/>
        <v>372</v>
      </c>
      <c r="BP647" s="4122">
        <f t="shared" si="369"/>
        <v>372</v>
      </c>
      <c r="BQ647" s="4122">
        <f t="shared" si="371"/>
        <v>2232</v>
      </c>
      <c r="BR647" s="3721">
        <f t="shared" si="372"/>
        <v>0</v>
      </c>
      <c r="BS647" s="4123"/>
      <c r="BT647" s="4124"/>
    </row>
    <row r="648" s="3567" customFormat="1" ht="50" customHeight="1" spans="1:72">
      <c r="A648" s="4112">
        <v>45999</v>
      </c>
      <c r="B648" s="3766" t="s">
        <v>4730</v>
      </c>
      <c r="C648" s="3766" t="s">
        <v>738</v>
      </c>
      <c r="D648" s="3699">
        <v>4500188366</v>
      </c>
      <c r="E648" s="3700" t="s">
        <v>7931</v>
      </c>
      <c r="F648" s="3699" t="s">
        <v>7932</v>
      </c>
      <c r="G648" s="3700" t="s">
        <v>6223</v>
      </c>
      <c r="H648" s="3700" t="s">
        <v>6272</v>
      </c>
      <c r="I648" s="3699">
        <v>32</v>
      </c>
      <c r="J648" s="3699">
        <v>0</v>
      </c>
      <c r="K648" s="3699">
        <v>32</v>
      </c>
      <c r="L648" s="3699">
        <f t="shared" si="361"/>
        <v>1</v>
      </c>
      <c r="M648" s="3707">
        <v>46030</v>
      </c>
      <c r="N648" s="3707">
        <v>46027</v>
      </c>
      <c r="O648" s="3708"/>
      <c r="P648" s="959" t="s">
        <v>82</v>
      </c>
      <c r="Q648" s="4145">
        <v>32</v>
      </c>
      <c r="R648" s="4157">
        <f t="shared" si="373"/>
        <v>0</v>
      </c>
      <c r="S648" s="4145" t="s">
        <v>2297</v>
      </c>
      <c r="T648" s="4145" t="s">
        <v>321</v>
      </c>
      <c r="U648" s="3680" t="s">
        <v>2298</v>
      </c>
      <c r="V648" s="3708" t="s">
        <v>7933</v>
      </c>
      <c r="W648" s="3710"/>
      <c r="X648" s="3711" t="s">
        <v>7934</v>
      </c>
      <c r="Y648" s="3711"/>
      <c r="Z648" s="3712"/>
      <c r="AA648" s="3680" t="s">
        <v>7935</v>
      </c>
      <c r="AB648" s="3769" t="s">
        <v>7936</v>
      </c>
      <c r="AC648" s="4118">
        <v>2.2475</v>
      </c>
      <c r="AD648" s="3699">
        <f t="shared" si="374"/>
        <v>71.92</v>
      </c>
      <c r="AE648" s="3700" t="s">
        <v>7937</v>
      </c>
      <c r="AF648" s="3700" t="s">
        <v>6276</v>
      </c>
      <c r="AG648" s="3680" t="s">
        <v>416</v>
      </c>
      <c r="AH648" s="3680"/>
      <c r="AI648" s="3680"/>
      <c r="AJ648" s="3680"/>
      <c r="AK648" s="3700"/>
      <c r="AL648" s="3700"/>
      <c r="AM648" s="3700"/>
      <c r="AN648" s="3700">
        <f>I648</f>
        <v>32</v>
      </c>
      <c r="AO648" s="3700"/>
      <c r="AP648" s="3699"/>
      <c r="AQ648" s="3699">
        <f t="shared" ref="AQ648:AQ658" si="375">I648</f>
        <v>32</v>
      </c>
      <c r="AR648" s="3759"/>
      <c r="AS648" s="3759"/>
      <c r="AT648" s="4120">
        <f t="shared" si="362"/>
        <v>32</v>
      </c>
      <c r="AU648" s="3759"/>
      <c r="AV648" s="3759"/>
      <c r="AW648" s="3759"/>
      <c r="AX648" s="4120"/>
      <c r="AY648" s="3759"/>
      <c r="AZ648" s="3759"/>
      <c r="BA648" s="3759"/>
      <c r="BB648" s="3759"/>
      <c r="BC648" s="3759"/>
      <c r="BD648" s="3759"/>
      <c r="BE648" s="3759"/>
      <c r="BF648" s="3759"/>
      <c r="BG648" s="3759"/>
      <c r="BH648" s="3759"/>
      <c r="BI648" s="3759" t="s">
        <v>89</v>
      </c>
      <c r="BJ648" s="4120"/>
      <c r="BK648" s="4120"/>
      <c r="BL648" s="3759">
        <f>I648-BJ648</f>
        <v>32</v>
      </c>
      <c r="BM648" s="4120"/>
      <c r="BN648" s="4120"/>
      <c r="BO648" s="4121"/>
      <c r="BP648" s="3721"/>
      <c r="BQ648" s="3721">
        <f t="shared" si="371"/>
        <v>32</v>
      </c>
      <c r="BR648" s="3721">
        <f t="shared" si="372"/>
        <v>0</v>
      </c>
      <c r="BS648" s="4123"/>
      <c r="BT648" s="4124"/>
    </row>
    <row r="649" s="3567" customFormat="1" ht="50" customHeight="1" spans="1:72">
      <c r="A649" s="4112">
        <v>45999</v>
      </c>
      <c r="B649" s="3766" t="s">
        <v>4730</v>
      </c>
      <c r="C649" s="3766" t="s">
        <v>738</v>
      </c>
      <c r="D649" s="3699">
        <v>4500188366</v>
      </c>
      <c r="E649" s="3700" t="s">
        <v>7931</v>
      </c>
      <c r="F649" s="3699" t="s">
        <v>7938</v>
      </c>
      <c r="G649" s="3700" t="s">
        <v>6218</v>
      </c>
      <c r="H649" s="3699" t="s">
        <v>6092</v>
      </c>
      <c r="I649" s="3699">
        <v>32</v>
      </c>
      <c r="J649" s="3699">
        <v>0</v>
      </c>
      <c r="K649" s="3699">
        <v>32</v>
      </c>
      <c r="L649" s="3699">
        <f t="shared" si="361"/>
        <v>1</v>
      </c>
      <c r="M649" s="3707">
        <v>46030</v>
      </c>
      <c r="N649" s="3707">
        <v>46027</v>
      </c>
      <c r="O649" s="3708"/>
      <c r="P649" s="959" t="s">
        <v>82</v>
      </c>
      <c r="Q649" s="4145">
        <v>32</v>
      </c>
      <c r="R649" s="4157">
        <f t="shared" si="373"/>
        <v>0</v>
      </c>
      <c r="S649" s="4145" t="s">
        <v>2297</v>
      </c>
      <c r="T649" s="4145" t="s">
        <v>321</v>
      </c>
      <c r="U649" s="3680" t="s">
        <v>2298</v>
      </c>
      <c r="V649" s="3708" t="s">
        <v>7933</v>
      </c>
      <c r="W649" s="3710"/>
      <c r="X649" s="3711" t="s">
        <v>7934</v>
      </c>
      <c r="Y649" s="3711"/>
      <c r="Z649" s="3712"/>
      <c r="AA649" s="3680" t="s">
        <v>7939</v>
      </c>
      <c r="AB649" s="3769" t="s">
        <v>7936</v>
      </c>
      <c r="AC649" s="4118">
        <v>2.2475</v>
      </c>
      <c r="AD649" s="3699">
        <f t="shared" si="374"/>
        <v>71.92</v>
      </c>
      <c r="AE649" s="3700" t="s">
        <v>7937</v>
      </c>
      <c r="AF649" s="3700" t="s">
        <v>7940</v>
      </c>
      <c r="AG649" s="3680" t="s">
        <v>416</v>
      </c>
      <c r="AH649" s="3680"/>
      <c r="AI649" s="3680"/>
      <c r="AJ649" s="3680"/>
      <c r="AK649" s="3700"/>
      <c r="AL649" s="3700"/>
      <c r="AM649" s="3700"/>
      <c r="AN649" s="3700">
        <f>I649</f>
        <v>32</v>
      </c>
      <c r="AO649" s="3700"/>
      <c r="AP649" s="3699"/>
      <c r="AQ649" s="4113">
        <f t="shared" si="375"/>
        <v>32</v>
      </c>
      <c r="AR649" s="3759"/>
      <c r="AS649" s="3759"/>
      <c r="AT649" s="4120">
        <f t="shared" si="362"/>
        <v>32</v>
      </c>
      <c r="AU649" s="3759"/>
      <c r="AV649" s="3759"/>
      <c r="AW649" s="3759"/>
      <c r="AX649" s="4120"/>
      <c r="AY649" s="3759"/>
      <c r="AZ649" s="3759"/>
      <c r="BA649" s="3759"/>
      <c r="BB649" s="3759"/>
      <c r="BC649" s="3759"/>
      <c r="BD649" s="3759"/>
      <c r="BE649" s="3759"/>
      <c r="BF649" s="3759"/>
      <c r="BG649" s="3759"/>
      <c r="BH649" s="3759"/>
      <c r="BI649" s="3759" t="s">
        <v>89</v>
      </c>
      <c r="BJ649" s="4120"/>
      <c r="BK649" s="4120"/>
      <c r="BL649" s="4120"/>
      <c r="BM649" s="4120"/>
      <c r="BN649" s="4120"/>
      <c r="BO649" s="4146">
        <f>I649-BJ649</f>
        <v>32</v>
      </c>
      <c r="BP649" s="3721"/>
      <c r="BQ649" s="3721">
        <f t="shared" si="371"/>
        <v>32</v>
      </c>
      <c r="BR649" s="3721">
        <f t="shared" si="372"/>
        <v>0</v>
      </c>
      <c r="BS649" s="4123"/>
      <c r="BT649" s="4124"/>
    </row>
    <row r="650" s="3567" customFormat="1" ht="50" customHeight="1" spans="1:72">
      <c r="A650" s="4112">
        <v>45999</v>
      </c>
      <c r="B650" s="3766" t="s">
        <v>4730</v>
      </c>
      <c r="C650" s="3766" t="s">
        <v>738</v>
      </c>
      <c r="D650" s="3699">
        <v>4500188366</v>
      </c>
      <c r="E650" s="3700" t="s">
        <v>7931</v>
      </c>
      <c r="F650" s="3699" t="s">
        <v>7941</v>
      </c>
      <c r="G650" s="3700" t="s">
        <v>6281</v>
      </c>
      <c r="H650" s="3700" t="s">
        <v>6292</v>
      </c>
      <c r="I650" s="3699">
        <v>96</v>
      </c>
      <c r="J650" s="3699">
        <v>0</v>
      </c>
      <c r="K650" s="3699">
        <v>32</v>
      </c>
      <c r="L650" s="3699">
        <f t="shared" si="361"/>
        <v>3</v>
      </c>
      <c r="M650" s="3707">
        <v>46030</v>
      </c>
      <c r="N650" s="3707">
        <v>46027</v>
      </c>
      <c r="O650" s="3708"/>
      <c r="P650" s="959" t="s">
        <v>82</v>
      </c>
      <c r="Q650" s="4145">
        <v>96</v>
      </c>
      <c r="R650" s="4157">
        <f t="shared" si="373"/>
        <v>0</v>
      </c>
      <c r="S650" s="4145" t="s">
        <v>2297</v>
      </c>
      <c r="T650" s="4145" t="s">
        <v>321</v>
      </c>
      <c r="U650" s="3680" t="s">
        <v>2298</v>
      </c>
      <c r="V650" s="3708" t="s">
        <v>7933</v>
      </c>
      <c r="W650" s="3710"/>
      <c r="X650" s="3711" t="s">
        <v>7934</v>
      </c>
      <c r="Y650" s="3711"/>
      <c r="Z650" s="3712"/>
      <c r="AA650" s="3680" t="s">
        <v>7939</v>
      </c>
      <c r="AB650" s="3769" t="s">
        <v>7936</v>
      </c>
      <c r="AC650" s="4118">
        <v>2.4608</v>
      </c>
      <c r="AD650" s="3699">
        <f t="shared" si="374"/>
        <v>236.2368</v>
      </c>
      <c r="AE650" s="3700" t="s">
        <v>7937</v>
      </c>
      <c r="AF650" s="3700" t="s">
        <v>6106</v>
      </c>
      <c r="AG650" s="3680" t="s">
        <v>416</v>
      </c>
      <c r="AH650" s="3680"/>
      <c r="AI650" s="3680"/>
      <c r="AJ650" s="3680"/>
      <c r="AK650" s="3700"/>
      <c r="AL650" s="3700"/>
      <c r="AM650" s="3700"/>
      <c r="AN650" s="4119">
        <f>I650</f>
        <v>96</v>
      </c>
      <c r="AO650" s="3700"/>
      <c r="AP650" s="3699"/>
      <c r="AQ650" s="4113">
        <f t="shared" si="375"/>
        <v>96</v>
      </c>
      <c r="AR650" s="3759"/>
      <c r="AS650" s="3759"/>
      <c r="AT650" s="4120">
        <f t="shared" si="362"/>
        <v>96</v>
      </c>
      <c r="AU650" s="3759"/>
      <c r="AV650" s="3759"/>
      <c r="AW650" s="3759"/>
      <c r="AX650" s="4120"/>
      <c r="AY650" s="3759"/>
      <c r="AZ650" s="3759"/>
      <c r="BA650" s="3759"/>
      <c r="BB650" s="3759"/>
      <c r="BC650" s="3759"/>
      <c r="BD650" s="3759"/>
      <c r="BE650" s="3759"/>
      <c r="BF650" s="3759"/>
      <c r="BG650" s="3759"/>
      <c r="BH650" s="3759"/>
      <c r="BI650" s="3759" t="s">
        <v>89</v>
      </c>
      <c r="BJ650" s="4120"/>
      <c r="BK650" s="4120">
        <f>I650</f>
        <v>96</v>
      </c>
      <c r="BL650" s="4120"/>
      <c r="BM650" s="4120"/>
      <c r="BN650" s="4120"/>
      <c r="BO650" s="4121"/>
      <c r="BP650" s="4122"/>
      <c r="BQ650" s="4122">
        <f t="shared" si="371"/>
        <v>96</v>
      </c>
      <c r="BR650" s="3721">
        <f t="shared" si="372"/>
        <v>0</v>
      </c>
      <c r="BS650" s="4123"/>
      <c r="BT650" s="4124"/>
    </row>
    <row r="651" s="3567" customFormat="1" ht="50" customHeight="1" spans="1:72">
      <c r="A651" s="4112">
        <v>45968</v>
      </c>
      <c r="B651" s="3766" t="s">
        <v>1331</v>
      </c>
      <c r="C651" s="3766" t="s">
        <v>1332</v>
      </c>
      <c r="D651" s="3699">
        <v>4500183616</v>
      </c>
      <c r="E651" s="3700" t="s">
        <v>5378</v>
      </c>
      <c r="F651" s="3700" t="s">
        <v>7942</v>
      </c>
      <c r="G651" s="3700" t="s">
        <v>6124</v>
      </c>
      <c r="H651" s="3699" t="s">
        <v>6063</v>
      </c>
      <c r="I651" s="3699">
        <v>504</v>
      </c>
      <c r="J651" s="3699">
        <v>0</v>
      </c>
      <c r="K651" s="3699">
        <v>12</v>
      </c>
      <c r="L651" s="3699">
        <f t="shared" si="361"/>
        <v>42</v>
      </c>
      <c r="M651" s="3707">
        <v>46031</v>
      </c>
      <c r="N651" s="3707">
        <v>46027</v>
      </c>
      <c r="O651" s="3708"/>
      <c r="P651" s="959" t="s">
        <v>82</v>
      </c>
      <c r="Q651" s="4145">
        <v>504</v>
      </c>
      <c r="R651" s="4157">
        <f t="shared" si="373"/>
        <v>0</v>
      </c>
      <c r="S651" s="4159" t="s">
        <v>2297</v>
      </c>
      <c r="T651" s="4145" t="s">
        <v>321</v>
      </c>
      <c r="U651" s="3726" t="s">
        <v>427</v>
      </c>
      <c r="V651" s="3711" t="s">
        <v>2299</v>
      </c>
      <c r="W651" s="3710"/>
      <c r="X651" s="3711" t="s">
        <v>5380</v>
      </c>
      <c r="Y651" s="3711"/>
      <c r="Z651" s="3712"/>
      <c r="AA651" s="3680" t="s">
        <v>5381</v>
      </c>
      <c r="AB651" s="3769" t="s">
        <v>459</v>
      </c>
      <c r="AC651" s="4118">
        <v>2.259</v>
      </c>
      <c r="AD651" s="3699">
        <f t="shared" si="374"/>
        <v>1138.536</v>
      </c>
      <c r="AE651" s="3699" t="s">
        <v>5382</v>
      </c>
      <c r="AF651" s="3700" t="s">
        <v>6126</v>
      </c>
      <c r="AG651" s="3680" t="s">
        <v>416</v>
      </c>
      <c r="AH651" s="3680"/>
      <c r="AI651" s="3680"/>
      <c r="AJ651" s="3680"/>
      <c r="AK651" s="3700"/>
      <c r="AL651" s="3700"/>
      <c r="AM651" s="3700"/>
      <c r="AN651" s="4119">
        <f>I651</f>
        <v>504</v>
      </c>
      <c r="AO651" s="3700"/>
      <c r="AP651" s="3699"/>
      <c r="AQ651" s="4113">
        <f t="shared" si="375"/>
        <v>504</v>
      </c>
      <c r="AR651" s="3759"/>
      <c r="AS651" s="3759"/>
      <c r="AT651" s="4120">
        <f t="shared" si="362"/>
        <v>504</v>
      </c>
      <c r="AU651" s="3759"/>
      <c r="AV651" s="3759"/>
      <c r="AW651" s="3759"/>
      <c r="AX651" s="4120">
        <f>I651/6</f>
        <v>84</v>
      </c>
      <c r="AY651" s="3759"/>
      <c r="AZ651" s="3759"/>
      <c r="BA651" s="3759"/>
      <c r="BB651" s="3759"/>
      <c r="BC651" s="3759"/>
      <c r="BD651" s="3759"/>
      <c r="BE651" s="3759"/>
      <c r="BF651" s="3759"/>
      <c r="BG651" s="3759"/>
      <c r="BH651" s="3759"/>
      <c r="BI651" s="3759" t="s">
        <v>89</v>
      </c>
      <c r="BJ651" s="4120">
        <f>I651/60*2</f>
        <v>16.8</v>
      </c>
      <c r="BK651" s="4120">
        <f>I651/60*10</f>
        <v>84</v>
      </c>
      <c r="BL651" s="4120">
        <f>I651/60*10</f>
        <v>84</v>
      </c>
      <c r="BM651" s="4120">
        <f>I651/60*8</f>
        <v>67.2</v>
      </c>
      <c r="BN651" s="4120">
        <f>I651/60*10</f>
        <v>84</v>
      </c>
      <c r="BO651" s="4121">
        <f>I651/60*10</f>
        <v>84</v>
      </c>
      <c r="BP651" s="4122">
        <f>I651/60*10</f>
        <v>84</v>
      </c>
      <c r="BQ651" s="4122">
        <f t="shared" si="371"/>
        <v>504</v>
      </c>
      <c r="BR651" s="3721">
        <f t="shared" si="372"/>
        <v>0</v>
      </c>
      <c r="BS651" s="4123"/>
      <c r="BT651" s="4124"/>
    </row>
    <row r="652" s="3567" customFormat="1" ht="50" customHeight="1" spans="1:72">
      <c r="A652" s="4112">
        <v>45986</v>
      </c>
      <c r="B652" s="3766" t="s">
        <v>2914</v>
      </c>
      <c r="C652" s="3766" t="s">
        <v>341</v>
      </c>
      <c r="D652" s="3699">
        <v>4500186899</v>
      </c>
      <c r="E652" s="3700" t="s">
        <v>7943</v>
      </c>
      <c r="F652" s="3700" t="s">
        <v>7944</v>
      </c>
      <c r="G652" s="3700" t="s">
        <v>6116</v>
      </c>
      <c r="H652" s="3699" t="s">
        <v>6063</v>
      </c>
      <c r="I652" s="3699">
        <v>6000</v>
      </c>
      <c r="J652" s="3699">
        <v>0</v>
      </c>
      <c r="K652" s="3699">
        <v>16</v>
      </c>
      <c r="L652" s="4113">
        <f t="shared" si="361"/>
        <v>375</v>
      </c>
      <c r="M652" s="3707">
        <v>46028</v>
      </c>
      <c r="N652" s="3707">
        <v>46024</v>
      </c>
      <c r="O652" s="3708"/>
      <c r="P652" s="959" t="s">
        <v>82</v>
      </c>
      <c r="Q652" s="4145">
        <v>6000</v>
      </c>
      <c r="R652" s="4157">
        <f t="shared" si="373"/>
        <v>0</v>
      </c>
      <c r="S652" s="4145" t="s">
        <v>2297</v>
      </c>
      <c r="T652" s="4145" t="s">
        <v>321</v>
      </c>
      <c r="U652" s="3680" t="s">
        <v>427</v>
      </c>
      <c r="V652" s="3711" t="s">
        <v>402</v>
      </c>
      <c r="W652" s="3711"/>
      <c r="X652" s="3711" t="s">
        <v>7945</v>
      </c>
      <c r="Y652" s="3709"/>
      <c r="Z652" s="3712"/>
      <c r="AA652" s="3680" t="s">
        <v>7946</v>
      </c>
      <c r="AB652" s="3769" t="s">
        <v>5106</v>
      </c>
      <c r="AC652" s="4118">
        <v>2.2214</v>
      </c>
      <c r="AD652" s="3699">
        <f t="shared" si="374"/>
        <v>13328.4</v>
      </c>
      <c r="AE652" s="3715"/>
      <c r="AF652" s="3700" t="s">
        <v>6116</v>
      </c>
      <c r="AG652" s="3680" t="s">
        <v>416</v>
      </c>
      <c r="AH652" s="3680"/>
      <c r="AI652" s="3680"/>
      <c r="AJ652" s="3680"/>
      <c r="AK652" s="3700"/>
      <c r="AL652" s="3700">
        <f>I652</f>
        <v>6000</v>
      </c>
      <c r="AM652" s="3700"/>
      <c r="AN652" s="4119"/>
      <c r="AO652" s="3700"/>
      <c r="AP652" s="3699"/>
      <c r="AQ652" s="4113">
        <f t="shared" si="375"/>
        <v>6000</v>
      </c>
      <c r="AR652" s="3759"/>
      <c r="AS652" s="3759"/>
      <c r="AT652" s="4120">
        <f t="shared" si="362"/>
        <v>6000</v>
      </c>
      <c r="AU652" s="3759"/>
      <c r="AV652" s="3759"/>
      <c r="AW652" s="3759"/>
      <c r="AX652" s="4120"/>
      <c r="AY652" s="3759"/>
      <c r="AZ652" s="3759"/>
      <c r="BA652" s="3759"/>
      <c r="BB652" s="3759"/>
      <c r="BC652" s="3759"/>
      <c r="BD652" s="3759">
        <f>I652/4</f>
        <v>1500</v>
      </c>
      <c r="BE652" s="3759"/>
      <c r="BF652" s="3759"/>
      <c r="BG652" s="3759"/>
      <c r="BH652" s="3759"/>
      <c r="BI652" s="3759" t="s">
        <v>89</v>
      </c>
      <c r="BJ652" s="3759">
        <f>I652/60*2</f>
        <v>200</v>
      </c>
      <c r="BK652" s="3759">
        <f>I652/60*10</f>
        <v>1000</v>
      </c>
      <c r="BL652" s="3759">
        <f>I652/60*10</f>
        <v>1000</v>
      </c>
      <c r="BM652" s="3759">
        <f>I652/60*8</f>
        <v>800</v>
      </c>
      <c r="BN652" s="3759">
        <f>I652/60*10</f>
        <v>1000</v>
      </c>
      <c r="BO652" s="4146">
        <f>I652/60*10</f>
        <v>1000</v>
      </c>
      <c r="BP652" s="3721">
        <f>I652/60*10</f>
        <v>1000</v>
      </c>
      <c r="BQ652" s="3721">
        <f t="shared" si="371"/>
        <v>6000</v>
      </c>
      <c r="BR652" s="3721">
        <f t="shared" si="372"/>
        <v>0</v>
      </c>
      <c r="BS652" s="4123"/>
      <c r="BT652" s="4124"/>
    </row>
    <row r="653" s="3567" customFormat="1" ht="50" customHeight="1" spans="1:72">
      <c r="A653" s="4112">
        <v>45994</v>
      </c>
      <c r="B653" s="3766" t="s">
        <v>6341</v>
      </c>
      <c r="C653" s="3766" t="s">
        <v>506</v>
      </c>
      <c r="D653" s="3699">
        <v>4500187780</v>
      </c>
      <c r="E653" s="3700">
        <v>47896646</v>
      </c>
      <c r="F653" s="3699" t="s">
        <v>7947</v>
      </c>
      <c r="G653" s="3700" t="s">
        <v>6124</v>
      </c>
      <c r="H653" s="3699" t="s">
        <v>6063</v>
      </c>
      <c r="I653" s="3699">
        <v>1032</v>
      </c>
      <c r="J653" s="3699">
        <v>0</v>
      </c>
      <c r="K653" s="3699">
        <v>12</v>
      </c>
      <c r="L653" s="3699">
        <f t="shared" si="361"/>
        <v>86</v>
      </c>
      <c r="M653" s="3707">
        <v>46034</v>
      </c>
      <c r="N653" s="3707">
        <v>46030</v>
      </c>
      <c r="O653" s="3708"/>
      <c r="P653" s="959" t="s">
        <v>82</v>
      </c>
      <c r="Q653" s="4145">
        <v>1032</v>
      </c>
      <c r="R653" s="4157">
        <f t="shared" si="373"/>
        <v>0</v>
      </c>
      <c r="S653" s="4168" t="s">
        <v>2297</v>
      </c>
      <c r="T653" s="4145" t="s">
        <v>321</v>
      </c>
      <c r="U653" s="3680" t="s">
        <v>5405</v>
      </c>
      <c r="V653" s="4154" t="s">
        <v>510</v>
      </c>
      <c r="W653" s="3710"/>
      <c r="X653" s="3711" t="s">
        <v>6345</v>
      </c>
      <c r="Y653" s="3711"/>
      <c r="Z653" s="3712"/>
      <c r="AA653" s="3680" t="s">
        <v>7439</v>
      </c>
      <c r="AB653" s="3769" t="s">
        <v>3202</v>
      </c>
      <c r="AC653" s="4118">
        <v>2.375</v>
      </c>
      <c r="AD653" s="3699">
        <f t="shared" si="374"/>
        <v>2451</v>
      </c>
      <c r="AE653" s="3715" t="s">
        <v>7948</v>
      </c>
      <c r="AF653" s="3700" t="s">
        <v>6124</v>
      </c>
      <c r="AG653" s="3680" t="s">
        <v>416</v>
      </c>
      <c r="AH653" s="3680"/>
      <c r="AI653" s="3680"/>
      <c r="AJ653" s="3680"/>
      <c r="AK653" s="3700"/>
      <c r="AL653" s="3700">
        <f>I653</f>
        <v>1032</v>
      </c>
      <c r="AM653" s="3700"/>
      <c r="AN653" s="4119"/>
      <c r="AO653" s="3700"/>
      <c r="AP653" s="3699"/>
      <c r="AQ653" s="4113">
        <f t="shared" si="375"/>
        <v>1032</v>
      </c>
      <c r="AR653" s="3759"/>
      <c r="AS653" s="3759"/>
      <c r="AT653" s="4120">
        <f t="shared" si="362"/>
        <v>1032</v>
      </c>
      <c r="AU653" s="3759"/>
      <c r="AV653" s="3759"/>
      <c r="AW653" s="3759"/>
      <c r="AX653" s="4120">
        <f>I653/6</f>
        <v>172</v>
      </c>
      <c r="AY653" s="3759"/>
      <c r="AZ653" s="3759"/>
      <c r="BA653" s="3759"/>
      <c r="BB653" s="3759"/>
      <c r="BC653" s="3759"/>
      <c r="BD653" s="3759"/>
      <c r="BE653" s="3759"/>
      <c r="BF653" s="3759"/>
      <c r="BG653" s="3759"/>
      <c r="BH653" s="3759"/>
      <c r="BI653" s="3759" t="s">
        <v>89</v>
      </c>
      <c r="BJ653" s="4120">
        <f>I653/60*2</f>
        <v>34.4</v>
      </c>
      <c r="BK653" s="4120">
        <f>I653/60*10</f>
        <v>172</v>
      </c>
      <c r="BL653" s="4120">
        <f>I653/60*10</f>
        <v>172</v>
      </c>
      <c r="BM653" s="4120">
        <f>I653/60*8</f>
        <v>137.6</v>
      </c>
      <c r="BN653" s="4120">
        <f>I653/60*10</f>
        <v>172</v>
      </c>
      <c r="BO653" s="4121">
        <f>I653/60*10</f>
        <v>172</v>
      </c>
      <c r="BP653" s="4122">
        <f>I653/60*10</f>
        <v>172</v>
      </c>
      <c r="BQ653" s="4122">
        <f t="shared" si="371"/>
        <v>1032</v>
      </c>
      <c r="BR653" s="3721">
        <f t="shared" si="372"/>
        <v>0</v>
      </c>
      <c r="BS653" s="4123"/>
      <c r="BT653" s="4124"/>
    </row>
    <row r="654" s="3567" customFormat="1" ht="50" customHeight="1" spans="1:72">
      <c r="A654" s="4112">
        <v>45994</v>
      </c>
      <c r="B654" s="3766" t="s">
        <v>6341</v>
      </c>
      <c r="C654" s="3766" t="s">
        <v>506</v>
      </c>
      <c r="D654" s="3699">
        <v>4500187780</v>
      </c>
      <c r="E654" s="3700">
        <v>47907569</v>
      </c>
      <c r="F654" s="3699" t="s">
        <v>7949</v>
      </c>
      <c r="G654" s="3700" t="s">
        <v>6124</v>
      </c>
      <c r="H654" s="3699" t="s">
        <v>6063</v>
      </c>
      <c r="I654" s="3699">
        <v>468</v>
      </c>
      <c r="J654" s="3699">
        <v>0</v>
      </c>
      <c r="K654" s="3699">
        <v>12</v>
      </c>
      <c r="L654" s="3699">
        <f t="shared" si="361"/>
        <v>39</v>
      </c>
      <c r="M654" s="3707">
        <v>46034</v>
      </c>
      <c r="N654" s="3707">
        <v>46030</v>
      </c>
      <c r="O654" s="3708"/>
      <c r="P654" s="959" t="s">
        <v>82</v>
      </c>
      <c r="Q654" s="4145">
        <v>468</v>
      </c>
      <c r="R654" s="4157">
        <f t="shared" si="373"/>
        <v>0</v>
      </c>
      <c r="S654" s="4169"/>
      <c r="T654" s="4145" t="s">
        <v>321</v>
      </c>
      <c r="U654" s="3680" t="s">
        <v>5405</v>
      </c>
      <c r="V654" s="4154" t="s">
        <v>510</v>
      </c>
      <c r="W654" s="3710"/>
      <c r="X654" s="3711" t="s">
        <v>6345</v>
      </c>
      <c r="Y654" s="3711"/>
      <c r="Z654" s="3712"/>
      <c r="AA654" s="3680" t="s">
        <v>7439</v>
      </c>
      <c r="AB654" s="3769" t="s">
        <v>3202</v>
      </c>
      <c r="AC654" s="4118">
        <v>2.375</v>
      </c>
      <c r="AD654" s="3699">
        <f t="shared" si="374"/>
        <v>1111.5</v>
      </c>
      <c r="AE654" s="3715" t="s">
        <v>7948</v>
      </c>
      <c r="AF654" s="3700" t="s">
        <v>6124</v>
      </c>
      <c r="AG654" s="3680" t="s">
        <v>416</v>
      </c>
      <c r="AH654" s="3680"/>
      <c r="AI654" s="3680"/>
      <c r="AJ654" s="3680"/>
      <c r="AK654" s="3700"/>
      <c r="AL654" s="3700">
        <f>I654</f>
        <v>468</v>
      </c>
      <c r="AM654" s="3700"/>
      <c r="AN654" s="4119"/>
      <c r="AO654" s="3700"/>
      <c r="AP654" s="3699"/>
      <c r="AQ654" s="4113">
        <f t="shared" si="375"/>
        <v>468</v>
      </c>
      <c r="AR654" s="3759"/>
      <c r="AS654" s="3759"/>
      <c r="AT654" s="4120">
        <f t="shared" si="362"/>
        <v>468</v>
      </c>
      <c r="AU654" s="3759"/>
      <c r="AV654" s="3759"/>
      <c r="AW654" s="3759"/>
      <c r="AX654" s="4120">
        <f>I654/6</f>
        <v>78</v>
      </c>
      <c r="AY654" s="3759"/>
      <c r="AZ654" s="3759"/>
      <c r="BA654" s="3759"/>
      <c r="BB654" s="3759"/>
      <c r="BC654" s="3759"/>
      <c r="BD654" s="3759"/>
      <c r="BE654" s="3759"/>
      <c r="BF654" s="3759"/>
      <c r="BG654" s="3759"/>
      <c r="BH654" s="3759"/>
      <c r="BI654" s="3759" t="s">
        <v>89</v>
      </c>
      <c r="BJ654" s="4120">
        <f>I654/60*2</f>
        <v>15.6</v>
      </c>
      <c r="BK654" s="4120">
        <f>I654/60*10</f>
        <v>78</v>
      </c>
      <c r="BL654" s="4120">
        <f>I654/60*10</f>
        <v>78</v>
      </c>
      <c r="BM654" s="4120">
        <f>I654/60*8</f>
        <v>62.4</v>
      </c>
      <c r="BN654" s="4120">
        <f>I654/60*10</f>
        <v>78</v>
      </c>
      <c r="BO654" s="4121">
        <f>I654/60*10</f>
        <v>78</v>
      </c>
      <c r="BP654" s="4122">
        <f>I654/60*10</f>
        <v>78</v>
      </c>
      <c r="BQ654" s="4122">
        <f t="shared" si="371"/>
        <v>468</v>
      </c>
      <c r="BR654" s="3721">
        <f t="shared" si="372"/>
        <v>0</v>
      </c>
      <c r="BS654" s="4123"/>
      <c r="BT654" s="4124"/>
    </row>
    <row r="655" s="3567" customFormat="1" ht="50" customHeight="1" spans="1:72">
      <c r="A655" s="4112">
        <v>45988</v>
      </c>
      <c r="B655" s="3766" t="s">
        <v>2846</v>
      </c>
      <c r="C655" s="3766" t="s">
        <v>91</v>
      </c>
      <c r="D655" s="3699">
        <v>4500187280</v>
      </c>
      <c r="E655" s="3700">
        <v>274124</v>
      </c>
      <c r="F655" s="3700" t="s">
        <v>7950</v>
      </c>
      <c r="G655" s="3700" t="s">
        <v>7951</v>
      </c>
      <c r="H655" s="3699" t="s">
        <v>7952</v>
      </c>
      <c r="I655" s="3699">
        <v>5016</v>
      </c>
      <c r="J655" s="3699">
        <v>0</v>
      </c>
      <c r="K655" s="3699">
        <v>24</v>
      </c>
      <c r="L655" s="4113">
        <f t="shared" si="361"/>
        <v>209</v>
      </c>
      <c r="M655" s="3707">
        <v>46028</v>
      </c>
      <c r="N655" s="3707">
        <v>46024</v>
      </c>
      <c r="O655" s="3708" t="s">
        <v>7953</v>
      </c>
      <c r="P655" s="959" t="s">
        <v>82</v>
      </c>
      <c r="Q655" s="4145">
        <v>5016</v>
      </c>
      <c r="R655" s="4157">
        <f t="shared" si="373"/>
        <v>0</v>
      </c>
      <c r="S655" s="4145" t="s">
        <v>2297</v>
      </c>
      <c r="T655" s="4145" t="s">
        <v>321</v>
      </c>
      <c r="U655" s="3680" t="s">
        <v>556</v>
      </c>
      <c r="V655" s="3711" t="s">
        <v>510</v>
      </c>
      <c r="W655" s="3711"/>
      <c r="X655" s="3711" t="s">
        <v>7954</v>
      </c>
      <c r="Y655" s="3709"/>
      <c r="Z655" s="3712"/>
      <c r="AA655" s="3680" t="s">
        <v>7955</v>
      </c>
      <c r="AB655" s="3769" t="s">
        <v>1880</v>
      </c>
      <c r="AC655" s="4118">
        <v>1.374</v>
      </c>
      <c r="AD655" s="3699">
        <f t="shared" ref="AD645:AD694" si="376">AC655*I655</f>
        <v>6891.984</v>
      </c>
      <c r="AE655" s="3715"/>
      <c r="AF655" s="3700" t="s">
        <v>7956</v>
      </c>
      <c r="AG655" s="3680" t="s">
        <v>416</v>
      </c>
      <c r="AH655" s="3680"/>
      <c r="AI655" s="3680"/>
      <c r="AJ655" s="3680"/>
      <c r="AK655" s="3700"/>
      <c r="AL655" s="3700">
        <f t="shared" ref="AL655:AL662" si="377">I655</f>
        <v>5016</v>
      </c>
      <c r="AM655" s="3700"/>
      <c r="AN655" s="4119"/>
      <c r="AO655" s="3700"/>
      <c r="AP655" s="3699"/>
      <c r="AQ655" s="4113">
        <f t="shared" si="375"/>
        <v>5016</v>
      </c>
      <c r="AR655" s="3759"/>
      <c r="AS655" s="3759"/>
      <c r="AT655" s="4120">
        <f t="shared" si="362"/>
        <v>5016</v>
      </c>
      <c r="AU655" s="3759"/>
      <c r="AV655" s="3759"/>
      <c r="AW655" s="3759"/>
      <c r="AX655" s="4120"/>
      <c r="AY655" s="3759"/>
      <c r="AZ655" s="3759"/>
      <c r="BA655" s="3759"/>
      <c r="BB655" s="3759"/>
      <c r="BC655" s="3759"/>
      <c r="BD655" s="3759"/>
      <c r="BE655" s="3759"/>
      <c r="BF655" s="3759"/>
      <c r="BG655" s="3759"/>
      <c r="BH655" s="3759"/>
      <c r="BI655" s="3759" t="s">
        <v>89</v>
      </c>
      <c r="BJ655" s="3759">
        <f t="shared" ref="BJ647:BJ667" si="378">I655/60*2</f>
        <v>167.2</v>
      </c>
      <c r="BK655" s="3759">
        <f t="shared" ref="BK647:BK667" si="379">I655/60*10</f>
        <v>836</v>
      </c>
      <c r="BL655" s="3759">
        <f t="shared" ref="BL647:BL667" si="380">I655/60*10</f>
        <v>836</v>
      </c>
      <c r="BM655" s="3759">
        <f t="shared" ref="BM647:BM667" si="381">I655/60*8</f>
        <v>668.8</v>
      </c>
      <c r="BN655" s="3759">
        <f t="shared" ref="BN647:BN667" si="382">I655/60*10</f>
        <v>836</v>
      </c>
      <c r="BO655" s="4146">
        <f t="shared" ref="BO647:BO667" si="383">I655/60*10</f>
        <v>836</v>
      </c>
      <c r="BP655" s="3721">
        <f t="shared" ref="BP647:BP667" si="384">I655/60*10</f>
        <v>836</v>
      </c>
      <c r="BQ655" s="3721">
        <f t="shared" si="371"/>
        <v>5016</v>
      </c>
      <c r="BR655" s="3721">
        <f t="shared" si="372"/>
        <v>0</v>
      </c>
      <c r="BS655" s="4123"/>
      <c r="BT655" s="4124"/>
    </row>
    <row r="656" s="3567" customFormat="1" ht="50" customHeight="1" spans="1:72">
      <c r="A656" s="4112">
        <v>45999</v>
      </c>
      <c r="B656" s="3766" t="s">
        <v>4694</v>
      </c>
      <c r="C656" s="3766" t="s">
        <v>506</v>
      </c>
      <c r="D656" s="3699">
        <v>4500188305</v>
      </c>
      <c r="E656" s="3700">
        <v>1038619</v>
      </c>
      <c r="F656" s="3699" t="s">
        <v>7957</v>
      </c>
      <c r="G656" s="3700" t="s">
        <v>6124</v>
      </c>
      <c r="H656" s="3699" t="s">
        <v>6063</v>
      </c>
      <c r="I656" s="3699">
        <v>360</v>
      </c>
      <c r="J656" s="3699">
        <v>0</v>
      </c>
      <c r="K656" s="3699">
        <v>12</v>
      </c>
      <c r="L656" s="3699">
        <f t="shared" si="361"/>
        <v>30</v>
      </c>
      <c r="M656" s="3707">
        <v>46034</v>
      </c>
      <c r="N656" s="3707">
        <v>46030</v>
      </c>
      <c r="O656" s="3708"/>
      <c r="P656" s="959" t="s">
        <v>82</v>
      </c>
      <c r="Q656" s="4145">
        <v>360</v>
      </c>
      <c r="R656" s="4157">
        <f t="shared" si="373"/>
        <v>0</v>
      </c>
      <c r="S656" s="4168" t="s">
        <v>98</v>
      </c>
      <c r="T656" s="4145" t="s">
        <v>321</v>
      </c>
      <c r="U656" s="3680" t="s">
        <v>573</v>
      </c>
      <c r="V656" s="4154" t="s">
        <v>2807</v>
      </c>
      <c r="W656" s="3710"/>
      <c r="X656" s="3711" t="s">
        <v>98</v>
      </c>
      <c r="Y656" s="3711"/>
      <c r="Z656" s="3712"/>
      <c r="AA656" s="3680" t="s">
        <v>7958</v>
      </c>
      <c r="AB656" s="3769" t="s">
        <v>3202</v>
      </c>
      <c r="AC656" s="4118">
        <v>2.259</v>
      </c>
      <c r="AD656" s="3699">
        <f t="shared" si="376"/>
        <v>813.24</v>
      </c>
      <c r="AE656" s="3715"/>
      <c r="AF656" s="3700" t="s">
        <v>6124</v>
      </c>
      <c r="AG656" s="3680" t="s">
        <v>416</v>
      </c>
      <c r="AH656" s="3680"/>
      <c r="AI656" s="3680"/>
      <c r="AJ656" s="3680"/>
      <c r="AK656" s="3700"/>
      <c r="AL656" s="3700">
        <f t="shared" si="377"/>
        <v>360</v>
      </c>
      <c r="AM656" s="3700"/>
      <c r="AN656" s="4119"/>
      <c r="AO656" s="3700"/>
      <c r="AP656" s="3699"/>
      <c r="AQ656" s="4113">
        <f t="shared" si="375"/>
        <v>360</v>
      </c>
      <c r="AR656" s="3759"/>
      <c r="AS656" s="3759"/>
      <c r="AT656" s="4120">
        <f t="shared" si="362"/>
        <v>360</v>
      </c>
      <c r="AU656" s="3759"/>
      <c r="AV656" s="3759"/>
      <c r="AW656" s="3759"/>
      <c r="AX656" s="4120">
        <f>I656/6</f>
        <v>60</v>
      </c>
      <c r="AY656" s="3759"/>
      <c r="AZ656" s="3759"/>
      <c r="BA656" s="3759"/>
      <c r="BB656" s="3759"/>
      <c r="BC656" s="3759"/>
      <c r="BD656" s="3759"/>
      <c r="BE656" s="3759"/>
      <c r="BF656" s="3759"/>
      <c r="BG656" s="3759"/>
      <c r="BH656" s="3759"/>
      <c r="BI656" s="3759" t="s">
        <v>89</v>
      </c>
      <c r="BJ656" s="4120">
        <f t="shared" si="378"/>
        <v>12</v>
      </c>
      <c r="BK656" s="4120">
        <f t="shared" si="379"/>
        <v>60</v>
      </c>
      <c r="BL656" s="4120">
        <f t="shared" si="380"/>
        <v>60</v>
      </c>
      <c r="BM656" s="4120">
        <f t="shared" si="381"/>
        <v>48</v>
      </c>
      <c r="BN656" s="4120">
        <f t="shared" si="382"/>
        <v>60</v>
      </c>
      <c r="BO656" s="4121">
        <f t="shared" si="383"/>
        <v>60</v>
      </c>
      <c r="BP656" s="4122">
        <f t="shared" si="384"/>
        <v>60</v>
      </c>
      <c r="BQ656" s="4122">
        <f t="shared" si="371"/>
        <v>360</v>
      </c>
      <c r="BR656" s="3721">
        <f t="shared" si="372"/>
        <v>0</v>
      </c>
      <c r="BS656" s="4123"/>
      <c r="BT656" s="4124"/>
    </row>
    <row r="657" s="3567" customFormat="1" ht="50" customHeight="1" spans="1:72">
      <c r="A657" s="4112">
        <v>45999</v>
      </c>
      <c r="B657" s="3766" t="s">
        <v>4694</v>
      </c>
      <c r="C657" s="3766" t="s">
        <v>506</v>
      </c>
      <c r="D657" s="3699">
        <v>4500188305</v>
      </c>
      <c r="E657" s="3700">
        <v>1038629</v>
      </c>
      <c r="F657" s="3699" t="s">
        <v>7959</v>
      </c>
      <c r="G657" s="3700" t="s">
        <v>6124</v>
      </c>
      <c r="H657" s="3699" t="s">
        <v>6063</v>
      </c>
      <c r="I657" s="3699">
        <v>360</v>
      </c>
      <c r="J657" s="3699">
        <v>0</v>
      </c>
      <c r="K657" s="3699">
        <v>12</v>
      </c>
      <c r="L657" s="3699">
        <f t="shared" si="361"/>
        <v>30</v>
      </c>
      <c r="M657" s="3707">
        <v>46034</v>
      </c>
      <c r="N657" s="3707">
        <v>46030</v>
      </c>
      <c r="O657" s="3708"/>
      <c r="P657" s="959" t="s">
        <v>82</v>
      </c>
      <c r="Q657" s="4145">
        <v>360</v>
      </c>
      <c r="R657" s="4157">
        <f t="shared" si="373"/>
        <v>0</v>
      </c>
      <c r="S657" s="1047"/>
      <c r="T657" s="4145" t="s">
        <v>321</v>
      </c>
      <c r="U657" s="3680" t="s">
        <v>573</v>
      </c>
      <c r="V657" s="4154" t="s">
        <v>2807</v>
      </c>
      <c r="W657" s="3710"/>
      <c r="X657" s="3711" t="s">
        <v>98</v>
      </c>
      <c r="Y657" s="3709"/>
      <c r="Z657" s="3712"/>
      <c r="AA657" s="3680" t="s">
        <v>7958</v>
      </c>
      <c r="AB657" s="3769" t="s">
        <v>3202</v>
      </c>
      <c r="AC657" s="4118">
        <v>2.259</v>
      </c>
      <c r="AD657" s="3699">
        <f t="shared" si="376"/>
        <v>813.24</v>
      </c>
      <c r="AE657" s="3715"/>
      <c r="AF657" s="3700" t="s">
        <v>6124</v>
      </c>
      <c r="AG657" s="3680" t="s">
        <v>416</v>
      </c>
      <c r="AH657" s="3680"/>
      <c r="AI657" s="3680"/>
      <c r="AJ657" s="3680"/>
      <c r="AK657" s="3700"/>
      <c r="AL657" s="3700">
        <f t="shared" si="377"/>
        <v>360</v>
      </c>
      <c r="AM657" s="3700"/>
      <c r="AN657" s="4119"/>
      <c r="AO657" s="3700"/>
      <c r="AP657" s="3699"/>
      <c r="AQ657" s="4113">
        <f t="shared" si="375"/>
        <v>360</v>
      </c>
      <c r="AR657" s="3759"/>
      <c r="AS657" s="3759"/>
      <c r="AT657" s="4120">
        <f t="shared" si="362"/>
        <v>360</v>
      </c>
      <c r="AU657" s="3759"/>
      <c r="AV657" s="3759"/>
      <c r="AW657" s="3759"/>
      <c r="AX657" s="4120">
        <f>I657/6</f>
        <v>60</v>
      </c>
      <c r="AY657" s="3759"/>
      <c r="AZ657" s="3759"/>
      <c r="BA657" s="3759"/>
      <c r="BB657" s="3759"/>
      <c r="BC657" s="3759"/>
      <c r="BD657" s="3759"/>
      <c r="BE657" s="3759"/>
      <c r="BF657" s="3759"/>
      <c r="BG657" s="3759"/>
      <c r="BH657" s="3759"/>
      <c r="BI657" s="3759" t="s">
        <v>89</v>
      </c>
      <c r="BJ657" s="4120">
        <f t="shared" si="378"/>
        <v>12</v>
      </c>
      <c r="BK657" s="4120">
        <f t="shared" si="379"/>
        <v>60</v>
      </c>
      <c r="BL657" s="4120">
        <f t="shared" si="380"/>
        <v>60</v>
      </c>
      <c r="BM657" s="4120">
        <f t="shared" si="381"/>
        <v>48</v>
      </c>
      <c r="BN657" s="4120">
        <f t="shared" si="382"/>
        <v>60</v>
      </c>
      <c r="BO657" s="4121">
        <f t="shared" si="383"/>
        <v>60</v>
      </c>
      <c r="BP657" s="4122">
        <f t="shared" si="384"/>
        <v>60</v>
      </c>
      <c r="BQ657" s="4122">
        <f t="shared" si="371"/>
        <v>360</v>
      </c>
      <c r="BR657" s="3721">
        <f t="shared" si="372"/>
        <v>0</v>
      </c>
      <c r="BS657" s="4123"/>
      <c r="BT657" s="4124"/>
    </row>
    <row r="658" s="3567" customFormat="1" ht="50" customHeight="1" spans="1:72">
      <c r="A658" s="4112">
        <v>45999</v>
      </c>
      <c r="B658" s="3766" t="s">
        <v>4694</v>
      </c>
      <c r="C658" s="3766" t="s">
        <v>506</v>
      </c>
      <c r="D658" s="3699">
        <v>4500188305</v>
      </c>
      <c r="E658" s="3700">
        <v>1038635</v>
      </c>
      <c r="F658" s="3699" t="s">
        <v>7960</v>
      </c>
      <c r="G658" s="3700" t="s">
        <v>6124</v>
      </c>
      <c r="H658" s="3699" t="s">
        <v>6063</v>
      </c>
      <c r="I658" s="3699">
        <v>240</v>
      </c>
      <c r="J658" s="3699">
        <v>0</v>
      </c>
      <c r="K658" s="3699">
        <v>12</v>
      </c>
      <c r="L658" s="3699">
        <f t="shared" si="361"/>
        <v>20</v>
      </c>
      <c r="M658" s="3707">
        <v>46034</v>
      </c>
      <c r="N658" s="3707">
        <v>46030</v>
      </c>
      <c r="O658" s="3708"/>
      <c r="P658" s="959" t="s">
        <v>82</v>
      </c>
      <c r="Q658" s="4145">
        <v>240</v>
      </c>
      <c r="R658" s="4157">
        <f t="shared" si="373"/>
        <v>0</v>
      </c>
      <c r="S658" s="4169"/>
      <c r="T658" s="4145" t="s">
        <v>321</v>
      </c>
      <c r="U658" s="3680" t="s">
        <v>573</v>
      </c>
      <c r="V658" s="4154" t="s">
        <v>2807</v>
      </c>
      <c r="W658" s="3710"/>
      <c r="X658" s="3711" t="s">
        <v>98</v>
      </c>
      <c r="Y658" s="3709"/>
      <c r="Z658" s="3712"/>
      <c r="AA658" s="3680" t="s">
        <v>7958</v>
      </c>
      <c r="AB658" s="3769" t="s">
        <v>3202</v>
      </c>
      <c r="AC658" s="4118">
        <v>2.259</v>
      </c>
      <c r="AD658" s="3699">
        <f t="shared" si="376"/>
        <v>542.16</v>
      </c>
      <c r="AE658" s="3715"/>
      <c r="AF658" s="3700" t="s">
        <v>6124</v>
      </c>
      <c r="AG658" s="3680" t="s">
        <v>416</v>
      </c>
      <c r="AH658" s="3680"/>
      <c r="AI658" s="3680"/>
      <c r="AJ658" s="3680"/>
      <c r="AK658" s="3700"/>
      <c r="AL658" s="3700">
        <f t="shared" si="377"/>
        <v>240</v>
      </c>
      <c r="AM658" s="3700"/>
      <c r="AN658" s="4119"/>
      <c r="AO658" s="3700"/>
      <c r="AP658" s="3699"/>
      <c r="AQ658" s="4113">
        <f t="shared" si="375"/>
        <v>240</v>
      </c>
      <c r="AR658" s="3759"/>
      <c r="AS658" s="3759"/>
      <c r="AT658" s="4120">
        <f t="shared" si="362"/>
        <v>240</v>
      </c>
      <c r="AU658" s="3759"/>
      <c r="AV658" s="3759"/>
      <c r="AW658" s="3759"/>
      <c r="AX658" s="4120">
        <f>I658/6</f>
        <v>40</v>
      </c>
      <c r="AY658" s="3759"/>
      <c r="AZ658" s="3759"/>
      <c r="BA658" s="3759"/>
      <c r="BB658" s="3759"/>
      <c r="BC658" s="3759"/>
      <c r="BD658" s="3759"/>
      <c r="BE658" s="3759"/>
      <c r="BF658" s="3759"/>
      <c r="BG658" s="3759"/>
      <c r="BH658" s="3759"/>
      <c r="BI658" s="3759" t="s">
        <v>89</v>
      </c>
      <c r="BJ658" s="4120">
        <f t="shared" si="378"/>
        <v>8</v>
      </c>
      <c r="BK658" s="4120">
        <f t="shared" si="379"/>
        <v>40</v>
      </c>
      <c r="BL658" s="4120">
        <f t="shared" si="380"/>
        <v>40</v>
      </c>
      <c r="BM658" s="4120">
        <f t="shared" si="381"/>
        <v>32</v>
      </c>
      <c r="BN658" s="4120">
        <f t="shared" si="382"/>
        <v>40</v>
      </c>
      <c r="BO658" s="4121">
        <f t="shared" si="383"/>
        <v>40</v>
      </c>
      <c r="BP658" s="4122">
        <f t="shared" si="384"/>
        <v>40</v>
      </c>
      <c r="BQ658" s="4122">
        <f t="shared" si="371"/>
        <v>240</v>
      </c>
      <c r="BR658" s="3721">
        <f t="shared" si="372"/>
        <v>0</v>
      </c>
      <c r="BS658" s="4123"/>
      <c r="BT658" s="4124"/>
    </row>
    <row r="659" s="3567" customFormat="1" ht="50" customHeight="1" spans="1:72">
      <c r="A659" s="4112">
        <v>45993</v>
      </c>
      <c r="B659" s="3766" t="s">
        <v>2914</v>
      </c>
      <c r="C659" s="3766" t="s">
        <v>341</v>
      </c>
      <c r="D659" s="3699">
        <v>4500187663</v>
      </c>
      <c r="E659" s="3700" t="s">
        <v>7961</v>
      </c>
      <c r="F659" s="3700" t="s">
        <v>7962</v>
      </c>
      <c r="G659" s="3700" t="s">
        <v>6116</v>
      </c>
      <c r="H659" s="3699" t="s">
        <v>6063</v>
      </c>
      <c r="I659" s="3699">
        <v>6000</v>
      </c>
      <c r="J659" s="3699">
        <v>0</v>
      </c>
      <c r="K659" s="3699">
        <v>16</v>
      </c>
      <c r="L659" s="4113">
        <f t="shared" ref="L642:L690" si="385">I659/K659</f>
        <v>375</v>
      </c>
      <c r="M659" s="3707">
        <v>46038</v>
      </c>
      <c r="N659" s="3707">
        <v>46034</v>
      </c>
      <c r="O659" s="3708"/>
      <c r="P659" s="959" t="s">
        <v>82</v>
      </c>
      <c r="Q659" s="4145">
        <v>6000</v>
      </c>
      <c r="R659" s="4157">
        <f t="shared" si="373"/>
        <v>0</v>
      </c>
      <c r="S659" s="4159" t="s">
        <v>2297</v>
      </c>
      <c r="T659" s="4145" t="s">
        <v>321</v>
      </c>
      <c r="U659" s="3680" t="s">
        <v>138</v>
      </c>
      <c r="V659" s="3711" t="s">
        <v>729</v>
      </c>
      <c r="W659" s="3710"/>
      <c r="X659" s="3711" t="s">
        <v>7945</v>
      </c>
      <c r="Y659" s="3709"/>
      <c r="Z659" s="3712"/>
      <c r="AA659" s="3680" t="s">
        <v>7963</v>
      </c>
      <c r="AB659" s="3769" t="s">
        <v>5106</v>
      </c>
      <c r="AC659" s="4118">
        <v>2.2214</v>
      </c>
      <c r="AD659" s="3699">
        <f t="shared" si="376"/>
        <v>13328.4</v>
      </c>
      <c r="AE659" s="3715"/>
      <c r="AF659" s="3700" t="s">
        <v>6116</v>
      </c>
      <c r="AG659" s="3680" t="s">
        <v>416</v>
      </c>
      <c r="AH659" s="3680"/>
      <c r="AI659" s="3680"/>
      <c r="AJ659" s="3680"/>
      <c r="AK659" s="3700"/>
      <c r="AL659" s="3700">
        <f t="shared" si="377"/>
        <v>6000</v>
      </c>
      <c r="AM659" s="3700"/>
      <c r="AN659" s="4119"/>
      <c r="AO659" s="3700"/>
      <c r="AP659" s="3699"/>
      <c r="AQ659" s="4113">
        <f t="shared" ref="AQ646:AQ722" si="386">I659</f>
        <v>6000</v>
      </c>
      <c r="AR659" s="3759"/>
      <c r="AS659" s="3759"/>
      <c r="AT659" s="4120">
        <f t="shared" si="362"/>
        <v>6000</v>
      </c>
      <c r="AU659" s="3759"/>
      <c r="AV659" s="3759"/>
      <c r="AW659" s="3759"/>
      <c r="AX659" s="4120"/>
      <c r="AY659" s="3759"/>
      <c r="AZ659" s="3759"/>
      <c r="BA659" s="3759"/>
      <c r="BB659" s="3759"/>
      <c r="BC659" s="3759"/>
      <c r="BD659" s="3759">
        <f>I659/4</f>
        <v>1500</v>
      </c>
      <c r="BE659" s="3759"/>
      <c r="BF659" s="3759"/>
      <c r="BG659" s="3759"/>
      <c r="BH659" s="3759"/>
      <c r="BI659" s="3759" t="s">
        <v>89</v>
      </c>
      <c r="BJ659" s="3759">
        <f t="shared" si="378"/>
        <v>200</v>
      </c>
      <c r="BK659" s="3759">
        <f t="shared" si="379"/>
        <v>1000</v>
      </c>
      <c r="BL659" s="3759">
        <f t="shared" si="380"/>
        <v>1000</v>
      </c>
      <c r="BM659" s="3759">
        <f t="shared" si="381"/>
        <v>800</v>
      </c>
      <c r="BN659" s="3759">
        <f t="shared" si="382"/>
        <v>1000</v>
      </c>
      <c r="BO659" s="4146">
        <f t="shared" si="383"/>
        <v>1000</v>
      </c>
      <c r="BP659" s="3721">
        <f t="shared" si="384"/>
        <v>1000</v>
      </c>
      <c r="BQ659" s="3721">
        <f t="shared" si="371"/>
        <v>6000</v>
      </c>
      <c r="BR659" s="3721">
        <f t="shared" ref="BR642:BR689" si="387">I659-BQ659</f>
        <v>0</v>
      </c>
      <c r="BS659" s="4123"/>
      <c r="BT659" s="4124"/>
    </row>
    <row r="660" s="3567" customFormat="1" ht="50" customHeight="1" spans="1:72">
      <c r="A660" s="4112">
        <v>46003</v>
      </c>
      <c r="B660" s="3766" t="s">
        <v>4061</v>
      </c>
      <c r="C660" s="3766" t="s">
        <v>840</v>
      </c>
      <c r="D660" s="3699">
        <v>4500188835</v>
      </c>
      <c r="E660" s="3700">
        <v>3026</v>
      </c>
      <c r="F660" s="3700" t="s">
        <v>7964</v>
      </c>
      <c r="G660" s="3700" t="s">
        <v>6186</v>
      </c>
      <c r="H660" s="3699" t="s">
        <v>6063</v>
      </c>
      <c r="I660" s="3699">
        <v>480</v>
      </c>
      <c r="J660" s="3699">
        <v>0</v>
      </c>
      <c r="K660" s="3699">
        <v>6</v>
      </c>
      <c r="L660" s="4113">
        <f t="shared" si="385"/>
        <v>80</v>
      </c>
      <c r="M660" s="3707">
        <v>46038</v>
      </c>
      <c r="N660" s="3707">
        <v>46034</v>
      </c>
      <c r="O660" s="3708"/>
      <c r="P660" s="959" t="s">
        <v>82</v>
      </c>
      <c r="Q660" s="4145">
        <v>480</v>
      </c>
      <c r="R660" s="4157">
        <f t="shared" si="373"/>
        <v>0</v>
      </c>
      <c r="S660" s="4170" t="s">
        <v>98</v>
      </c>
      <c r="T660" s="4170" t="s">
        <v>321</v>
      </c>
      <c r="U660" s="3726" t="s">
        <v>2362</v>
      </c>
      <c r="V660" s="3711" t="s">
        <v>2807</v>
      </c>
      <c r="W660" s="3711"/>
      <c r="X660" s="4154" t="s">
        <v>98</v>
      </c>
      <c r="Y660" s="3680"/>
      <c r="Z660" s="3769"/>
      <c r="AA660" s="3700" t="s">
        <v>7965</v>
      </c>
      <c r="AB660" s="3699" t="s">
        <v>4141</v>
      </c>
      <c r="AC660" s="3715">
        <v>2.2938</v>
      </c>
      <c r="AD660" s="3699">
        <f t="shared" si="376"/>
        <v>1101.024</v>
      </c>
      <c r="AE660" s="3680"/>
      <c r="AF660" s="3700" t="s">
        <v>6186</v>
      </c>
      <c r="AG660" s="3680" t="s">
        <v>416</v>
      </c>
      <c r="AH660" s="3680"/>
      <c r="AI660" s="3700"/>
      <c r="AJ660" s="3700"/>
      <c r="AK660" s="3700"/>
      <c r="AL660" s="4119">
        <f t="shared" si="377"/>
        <v>480</v>
      </c>
      <c r="AM660" s="3700"/>
      <c r="AN660" s="3699"/>
      <c r="AO660" s="4113"/>
      <c r="AP660" s="3759"/>
      <c r="AQ660" s="3759">
        <f t="shared" si="386"/>
        <v>480</v>
      </c>
      <c r="AR660" s="4120"/>
      <c r="AS660" s="3759"/>
      <c r="AT660" s="3759">
        <f t="shared" si="362"/>
        <v>480</v>
      </c>
      <c r="AU660" s="3759"/>
      <c r="AV660" s="4120"/>
      <c r="AW660" s="3759"/>
      <c r="AX660" s="4120">
        <f>I660/6</f>
        <v>80</v>
      </c>
      <c r="AY660" s="3759"/>
      <c r="AZ660" s="3759"/>
      <c r="BA660" s="3759"/>
      <c r="BB660" s="3759"/>
      <c r="BC660" s="3759"/>
      <c r="BD660" s="3759"/>
      <c r="BE660" s="3759"/>
      <c r="BF660" s="3759"/>
      <c r="BG660" s="3759"/>
      <c r="BH660" s="3759"/>
      <c r="BI660" s="3759" t="s">
        <v>89</v>
      </c>
      <c r="BJ660" s="3759">
        <f t="shared" si="378"/>
        <v>16</v>
      </c>
      <c r="BK660" s="3759">
        <f t="shared" si="379"/>
        <v>80</v>
      </c>
      <c r="BL660" s="3759">
        <f t="shared" si="380"/>
        <v>80</v>
      </c>
      <c r="BM660" s="4146">
        <f t="shared" si="381"/>
        <v>64</v>
      </c>
      <c r="BN660" s="3721">
        <f t="shared" si="382"/>
        <v>80</v>
      </c>
      <c r="BO660" s="3721">
        <f t="shared" si="383"/>
        <v>80</v>
      </c>
      <c r="BP660" s="3721">
        <f t="shared" si="384"/>
        <v>80</v>
      </c>
      <c r="BQ660" s="3724">
        <f t="shared" si="371"/>
        <v>480</v>
      </c>
      <c r="BR660" s="3721">
        <f t="shared" si="387"/>
        <v>0</v>
      </c>
      <c r="BS660" s="4123"/>
    </row>
    <row r="661" s="4026" customFormat="1" ht="50" customHeight="1" spans="1:72">
      <c r="A661" s="4112">
        <v>46006</v>
      </c>
      <c r="B661" s="3766" t="s">
        <v>7482</v>
      </c>
      <c r="C661" s="3766" t="s">
        <v>91</v>
      </c>
      <c r="D661" s="3699">
        <v>4500188455</v>
      </c>
      <c r="E661" s="3700" t="s">
        <v>7966</v>
      </c>
      <c r="F661" s="3699" t="s">
        <v>7967</v>
      </c>
      <c r="G661" s="3700" t="s">
        <v>7968</v>
      </c>
      <c r="H661" s="3699" t="s">
        <v>7969</v>
      </c>
      <c r="I661" s="3699">
        <v>2700</v>
      </c>
      <c r="J661" s="3699">
        <v>0</v>
      </c>
      <c r="K661" s="3699">
        <v>12</v>
      </c>
      <c r="L661" s="4113">
        <f t="shared" si="385"/>
        <v>225</v>
      </c>
      <c r="M661" s="3707">
        <v>46045</v>
      </c>
      <c r="N661" s="3707">
        <v>46041</v>
      </c>
      <c r="O661" s="3708" t="s">
        <v>7970</v>
      </c>
      <c r="P661" s="959" t="s">
        <v>82</v>
      </c>
      <c r="Q661" s="4145">
        <v>2700</v>
      </c>
      <c r="R661" s="4157">
        <f t="shared" si="373"/>
        <v>0</v>
      </c>
      <c r="S661" s="4145" t="s">
        <v>2297</v>
      </c>
      <c r="T661" s="4145" t="s">
        <v>321</v>
      </c>
      <c r="U661" s="3726" t="s">
        <v>2362</v>
      </c>
      <c r="V661" s="3711" t="s">
        <v>7971</v>
      </c>
      <c r="W661" s="3876"/>
      <c r="X661" s="4154" t="s">
        <v>7972</v>
      </c>
      <c r="Y661" s="3711"/>
      <c r="Z661" s="3712"/>
      <c r="AA661" s="3680" t="s">
        <v>7973</v>
      </c>
      <c r="AB661" s="3769" t="s">
        <v>7217</v>
      </c>
      <c r="AC661" s="4118">
        <v>15.8126</v>
      </c>
      <c r="AD661" s="3699">
        <f t="shared" si="376"/>
        <v>42694.02</v>
      </c>
      <c r="AE661" s="3715"/>
      <c r="AF661" s="3700" t="s">
        <v>7968</v>
      </c>
      <c r="AG661" s="3680" t="s">
        <v>416</v>
      </c>
      <c r="AH661" s="3680"/>
      <c r="AI661" s="3680"/>
      <c r="AJ661" s="3680"/>
      <c r="AK661" s="3700"/>
      <c r="AL661" s="4119">
        <f t="shared" si="377"/>
        <v>2700</v>
      </c>
      <c r="AM661" s="3700"/>
      <c r="AN661" s="4119"/>
      <c r="AO661" s="3700"/>
      <c r="AP661" s="3699"/>
      <c r="AQ661" s="4120">
        <f t="shared" si="386"/>
        <v>2700</v>
      </c>
      <c r="AR661" s="3759"/>
      <c r="AS661" s="3759"/>
      <c r="AT661" s="4120">
        <f t="shared" si="362"/>
        <v>2700</v>
      </c>
      <c r="AU661" s="3759"/>
      <c r="AV661" s="3759"/>
      <c r="AW661" s="3759"/>
      <c r="AX661" s="4120"/>
      <c r="AY661" s="3759"/>
      <c r="AZ661" s="3759"/>
      <c r="BA661" s="3759"/>
      <c r="BB661" s="3759"/>
      <c r="BC661" s="3759"/>
      <c r="BD661" s="3759"/>
      <c r="BE661" s="3759"/>
      <c r="BF661" s="3759"/>
      <c r="BG661" s="3759"/>
      <c r="BH661" s="3759"/>
      <c r="BI661" s="3759" t="s">
        <v>89</v>
      </c>
      <c r="BJ661" s="4120">
        <f t="shared" si="378"/>
        <v>90</v>
      </c>
      <c r="BK661" s="4120">
        <f t="shared" si="379"/>
        <v>450</v>
      </c>
      <c r="BL661" s="4120">
        <f t="shared" si="380"/>
        <v>450</v>
      </c>
      <c r="BM661" s="4120">
        <f t="shared" si="381"/>
        <v>360</v>
      </c>
      <c r="BN661" s="4120">
        <f t="shared" si="382"/>
        <v>450</v>
      </c>
      <c r="BO661" s="4121">
        <f t="shared" si="383"/>
        <v>450</v>
      </c>
      <c r="BP661" s="4122">
        <f t="shared" si="384"/>
        <v>450</v>
      </c>
      <c r="BQ661" s="4122">
        <f t="shared" si="371"/>
        <v>2700</v>
      </c>
      <c r="BR661" s="3721">
        <f t="shared" si="387"/>
        <v>0</v>
      </c>
      <c r="BS661" s="4123"/>
      <c r="BT661" s="4124"/>
    </row>
    <row r="662" s="4026" customFormat="1" ht="50" customHeight="1" spans="1:72">
      <c r="A662" s="4112">
        <v>46008</v>
      </c>
      <c r="B662" s="3766" t="s">
        <v>2342</v>
      </c>
      <c r="C662" s="3766" t="s">
        <v>2343</v>
      </c>
      <c r="D662" s="3699">
        <v>4500189283</v>
      </c>
      <c r="E662" s="3700"/>
      <c r="F662" s="3699" t="s">
        <v>7974</v>
      </c>
      <c r="G662" s="3700" t="s">
        <v>3520</v>
      </c>
      <c r="H662" s="3699" t="s">
        <v>6063</v>
      </c>
      <c r="I662" s="3699">
        <v>504</v>
      </c>
      <c r="J662" s="3699">
        <v>0</v>
      </c>
      <c r="K662" s="3699">
        <v>24</v>
      </c>
      <c r="L662" s="4113">
        <f t="shared" si="385"/>
        <v>21</v>
      </c>
      <c r="M662" s="3707">
        <v>46043</v>
      </c>
      <c r="N662" s="3707">
        <v>46039</v>
      </c>
      <c r="O662" s="3708"/>
      <c r="P662" s="959" t="s">
        <v>82</v>
      </c>
      <c r="Q662" s="4145">
        <f>480+24</f>
        <v>504</v>
      </c>
      <c r="R662" s="4157">
        <f t="shared" si="373"/>
        <v>0</v>
      </c>
      <c r="S662" s="4159" t="s">
        <v>2297</v>
      </c>
      <c r="T662" s="4145" t="s">
        <v>321</v>
      </c>
      <c r="U662" s="3726" t="s">
        <v>2345</v>
      </c>
      <c r="V662" s="3711" t="s">
        <v>2346</v>
      </c>
      <c r="W662" s="3710"/>
      <c r="X662" s="3711" t="s">
        <v>2347</v>
      </c>
      <c r="Y662" s="3709"/>
      <c r="Z662" s="3712"/>
      <c r="AA662" s="3680" t="s">
        <v>7975</v>
      </c>
      <c r="AB662" s="3769" t="s">
        <v>892</v>
      </c>
      <c r="AC662" s="4118">
        <v>2.2212</v>
      </c>
      <c r="AD662" s="3699">
        <f t="shared" si="376"/>
        <v>1119.4848</v>
      </c>
      <c r="AE662" s="3715"/>
      <c r="AF662" s="3700" t="s">
        <v>3520</v>
      </c>
      <c r="AG662" s="3680" t="s">
        <v>416</v>
      </c>
      <c r="AH662" s="3680"/>
      <c r="AI662" s="3680"/>
      <c r="AJ662" s="3680"/>
      <c r="AK662" s="3700"/>
      <c r="AL662" s="3700">
        <f t="shared" si="377"/>
        <v>504</v>
      </c>
      <c r="AM662" s="3700"/>
      <c r="AN662" s="4119"/>
      <c r="AO662" s="3700"/>
      <c r="AP662" s="3699"/>
      <c r="AQ662" s="4113">
        <f t="shared" si="386"/>
        <v>504</v>
      </c>
      <c r="AR662" s="3759"/>
      <c r="AS662" s="3759"/>
      <c r="AT662" s="4120">
        <f t="shared" si="362"/>
        <v>504</v>
      </c>
      <c r="AU662" s="3759"/>
      <c r="AV662" s="3759"/>
      <c r="AW662" s="3759"/>
      <c r="AX662" s="4120"/>
      <c r="AY662" s="3759"/>
      <c r="AZ662" s="3759"/>
      <c r="BA662" s="3759"/>
      <c r="BB662" s="3759"/>
      <c r="BC662" s="3759"/>
      <c r="BD662" s="3759"/>
      <c r="BE662" s="3759"/>
      <c r="BF662" s="3759"/>
      <c r="BG662" s="3759"/>
      <c r="BH662" s="3759"/>
      <c r="BI662" s="3759" t="s">
        <v>89</v>
      </c>
      <c r="BJ662" s="3759">
        <f t="shared" si="378"/>
        <v>16.8</v>
      </c>
      <c r="BK662" s="3759">
        <f t="shared" si="379"/>
        <v>84</v>
      </c>
      <c r="BL662" s="3759">
        <f t="shared" si="380"/>
        <v>84</v>
      </c>
      <c r="BM662" s="3759">
        <f t="shared" si="381"/>
        <v>67.2</v>
      </c>
      <c r="BN662" s="3759">
        <f t="shared" si="382"/>
        <v>84</v>
      </c>
      <c r="BO662" s="4146">
        <f t="shared" si="383"/>
        <v>84</v>
      </c>
      <c r="BP662" s="3721">
        <f t="shared" si="384"/>
        <v>84</v>
      </c>
      <c r="BQ662" s="3721">
        <f t="shared" si="371"/>
        <v>504</v>
      </c>
      <c r="BR662" s="3721">
        <f t="shared" si="387"/>
        <v>0</v>
      </c>
      <c r="BS662" s="4123"/>
      <c r="BT662" s="4124"/>
    </row>
    <row r="663" s="3567" customFormat="1" ht="50" customHeight="1" spans="1:72">
      <c r="A663" s="4112">
        <v>45985</v>
      </c>
      <c r="B663" s="3766" t="s">
        <v>3599</v>
      </c>
      <c r="C663" s="3766" t="s">
        <v>2058</v>
      </c>
      <c r="D663" s="3699">
        <v>4500183456</v>
      </c>
      <c r="E663" s="3700">
        <v>2000008399</v>
      </c>
      <c r="F663" s="3700" t="s">
        <v>5457</v>
      </c>
      <c r="G663" s="3700" t="s">
        <v>6643</v>
      </c>
      <c r="H663" s="3699" t="s">
        <v>3517</v>
      </c>
      <c r="I663" s="3699">
        <v>1296</v>
      </c>
      <c r="J663" s="3699">
        <v>0</v>
      </c>
      <c r="K663" s="3699">
        <v>12</v>
      </c>
      <c r="L663" s="3699">
        <f t="shared" si="385"/>
        <v>108</v>
      </c>
      <c r="M663" s="3707">
        <v>46041</v>
      </c>
      <c r="N663" s="3707">
        <v>46037</v>
      </c>
      <c r="O663" s="3708"/>
      <c r="P663" s="959" t="s">
        <v>82</v>
      </c>
      <c r="Q663" s="4145">
        <v>1296</v>
      </c>
      <c r="R663" s="4157">
        <f t="shared" si="373"/>
        <v>0</v>
      </c>
      <c r="S663" s="4159" t="s">
        <v>2297</v>
      </c>
      <c r="T663" s="4145" t="s">
        <v>321</v>
      </c>
      <c r="U663" s="3680" t="s">
        <v>5337</v>
      </c>
      <c r="V663" s="3711" t="s">
        <v>353</v>
      </c>
      <c r="W663" s="3710"/>
      <c r="X663" s="3711" t="s">
        <v>5255</v>
      </c>
      <c r="Y663" s="3709"/>
      <c r="Z663" s="3712"/>
      <c r="AA663" s="3680" t="s">
        <v>5459</v>
      </c>
      <c r="AB663" s="3769" t="s">
        <v>1298</v>
      </c>
      <c r="AC663" s="4118">
        <v>4.9215</v>
      </c>
      <c r="AD663" s="3699">
        <f t="shared" si="376"/>
        <v>6378.264</v>
      </c>
      <c r="AE663" s="3715"/>
      <c r="AF663" s="3700" t="s">
        <v>6263</v>
      </c>
      <c r="AG663" s="3680" t="s">
        <v>416</v>
      </c>
      <c r="AH663" s="3680"/>
      <c r="AI663" s="3680"/>
      <c r="AJ663" s="3680"/>
      <c r="AK663" s="3700"/>
      <c r="AL663" s="3700"/>
      <c r="AM663" s="3700"/>
      <c r="AN663" s="4119">
        <f>I663</f>
        <v>1296</v>
      </c>
      <c r="AO663" s="3700"/>
      <c r="AP663" s="3699"/>
      <c r="AQ663" s="4113">
        <f t="shared" si="386"/>
        <v>1296</v>
      </c>
      <c r="AR663" s="3759"/>
      <c r="AS663" s="3759"/>
      <c r="AT663" s="4120">
        <f t="shared" si="362"/>
        <v>1296</v>
      </c>
      <c r="AU663" s="3759"/>
      <c r="AV663" s="3759"/>
      <c r="AW663" s="3759"/>
      <c r="AX663" s="4120"/>
      <c r="AY663" s="3759"/>
      <c r="AZ663" s="3759"/>
      <c r="BA663" s="3759"/>
      <c r="BB663" s="3759"/>
      <c r="BC663" s="3759"/>
      <c r="BD663" s="3759"/>
      <c r="BE663" s="3759"/>
      <c r="BF663" s="3759"/>
      <c r="BG663" s="3759"/>
      <c r="BH663" s="3759"/>
      <c r="BI663" s="3759" t="s">
        <v>89</v>
      </c>
      <c r="BJ663" s="3759">
        <f t="shared" si="378"/>
        <v>43.2</v>
      </c>
      <c r="BK663" s="3759">
        <f t="shared" si="379"/>
        <v>216</v>
      </c>
      <c r="BL663" s="3759">
        <f t="shared" si="380"/>
        <v>216</v>
      </c>
      <c r="BM663" s="3759">
        <f t="shared" si="381"/>
        <v>172.8</v>
      </c>
      <c r="BN663" s="3759">
        <f t="shared" si="382"/>
        <v>216</v>
      </c>
      <c r="BO663" s="4146">
        <f t="shared" si="383"/>
        <v>216</v>
      </c>
      <c r="BP663" s="3721">
        <f t="shared" si="384"/>
        <v>216</v>
      </c>
      <c r="BQ663" s="3721">
        <f t="shared" si="371"/>
        <v>1296</v>
      </c>
      <c r="BR663" s="3721">
        <f t="shared" si="387"/>
        <v>0</v>
      </c>
      <c r="BS663" s="4123"/>
      <c r="BT663" s="4124"/>
    </row>
    <row r="664" s="3567" customFormat="1" ht="50" customHeight="1" spans="1:72">
      <c r="A664" s="4112">
        <v>45993</v>
      </c>
      <c r="B664" s="3766" t="s">
        <v>5560</v>
      </c>
      <c r="C664" s="3766" t="s">
        <v>562</v>
      </c>
      <c r="D664" s="3699">
        <v>4500187657</v>
      </c>
      <c r="E664" s="3700"/>
      <c r="F664" s="3700" t="s">
        <v>7976</v>
      </c>
      <c r="G664" s="3700" t="s">
        <v>3520</v>
      </c>
      <c r="H664" s="3699" t="s">
        <v>6063</v>
      </c>
      <c r="I664" s="3699">
        <v>816</v>
      </c>
      <c r="J664" s="3699">
        <v>0</v>
      </c>
      <c r="K664" s="3699">
        <v>24</v>
      </c>
      <c r="L664" s="4113">
        <f t="shared" si="385"/>
        <v>34</v>
      </c>
      <c r="M664" s="3707">
        <v>46051</v>
      </c>
      <c r="N664" s="3707">
        <v>46048</v>
      </c>
      <c r="O664" s="3708"/>
      <c r="P664" s="959" t="s">
        <v>82</v>
      </c>
      <c r="Q664" s="4145">
        <f>792+24</f>
        <v>816</v>
      </c>
      <c r="R664" s="4157">
        <f t="shared" si="373"/>
        <v>0</v>
      </c>
      <c r="S664" s="4171" t="s">
        <v>2297</v>
      </c>
      <c r="T664" s="4145" t="s">
        <v>321</v>
      </c>
      <c r="U664" s="3680" t="s">
        <v>5337</v>
      </c>
      <c r="V664" s="3711" t="s">
        <v>5562</v>
      </c>
      <c r="W664" s="3710"/>
      <c r="X664" s="3711" t="s">
        <v>5563</v>
      </c>
      <c r="Y664" s="3709"/>
      <c r="Z664" s="3712"/>
      <c r="AA664" s="3680" t="s">
        <v>5564</v>
      </c>
      <c r="AB664" s="3769" t="s">
        <v>459</v>
      </c>
      <c r="AC664" s="4118">
        <v>2.1493</v>
      </c>
      <c r="AD664" s="3699">
        <f t="shared" si="376"/>
        <v>1753.8288</v>
      </c>
      <c r="AE664" s="3715"/>
      <c r="AF664" s="3700" t="s">
        <v>6263</v>
      </c>
      <c r="AG664" s="3680" t="s">
        <v>416</v>
      </c>
      <c r="AH664" s="3680"/>
      <c r="AI664" s="3680"/>
      <c r="AJ664" s="3680"/>
      <c r="AK664" s="3700"/>
      <c r="AL664" s="3700"/>
      <c r="AM664" s="3700"/>
      <c r="AN664" s="4119">
        <f>I664</f>
        <v>816</v>
      </c>
      <c r="AO664" s="3700"/>
      <c r="AP664" s="3699"/>
      <c r="AQ664" s="4113">
        <f t="shared" si="386"/>
        <v>816</v>
      </c>
      <c r="AR664" s="3759"/>
      <c r="AS664" s="3759"/>
      <c r="AT664" s="4120">
        <f t="shared" si="362"/>
        <v>816</v>
      </c>
      <c r="AU664" s="3759"/>
      <c r="AV664" s="3759"/>
      <c r="AW664" s="3759"/>
      <c r="AX664" s="4120"/>
      <c r="AY664" s="3759"/>
      <c r="AZ664" s="3759"/>
      <c r="BA664" s="3759"/>
      <c r="BB664" s="3759"/>
      <c r="BC664" s="3759"/>
      <c r="BD664" s="3759"/>
      <c r="BE664" s="3759"/>
      <c r="BF664" s="3759"/>
      <c r="BG664" s="3759"/>
      <c r="BH664" s="3759"/>
      <c r="BI664" s="3759" t="s">
        <v>89</v>
      </c>
      <c r="BJ664" s="3759">
        <f t="shared" si="378"/>
        <v>27.2</v>
      </c>
      <c r="BK664" s="3759">
        <f t="shared" si="379"/>
        <v>136</v>
      </c>
      <c r="BL664" s="3759">
        <f t="shared" si="380"/>
        <v>136</v>
      </c>
      <c r="BM664" s="3759">
        <f t="shared" si="381"/>
        <v>108.8</v>
      </c>
      <c r="BN664" s="3759">
        <f t="shared" si="382"/>
        <v>136</v>
      </c>
      <c r="BO664" s="4146">
        <f t="shared" si="383"/>
        <v>136</v>
      </c>
      <c r="BP664" s="3721">
        <f t="shared" si="384"/>
        <v>136</v>
      </c>
      <c r="BQ664" s="3721">
        <f t="shared" si="371"/>
        <v>816</v>
      </c>
      <c r="BR664" s="3721">
        <f t="shared" si="387"/>
        <v>0</v>
      </c>
      <c r="BS664" s="4123"/>
      <c r="BT664" s="4124"/>
    </row>
    <row r="665" s="3567" customFormat="1" ht="50" customHeight="1" spans="1:72">
      <c r="A665" s="4112">
        <v>46015</v>
      </c>
      <c r="B665" s="3766" t="s">
        <v>3542</v>
      </c>
      <c r="C665" s="3766" t="s">
        <v>471</v>
      </c>
      <c r="D665" s="3699">
        <v>4500189626</v>
      </c>
      <c r="E665" s="3700" t="s">
        <v>5475</v>
      </c>
      <c r="F665" s="3700" t="s">
        <v>7977</v>
      </c>
      <c r="G665" s="3700" t="s">
        <v>6108</v>
      </c>
      <c r="H665" s="3699" t="s">
        <v>6063</v>
      </c>
      <c r="I665" s="3699">
        <v>600</v>
      </c>
      <c r="J665" s="3699">
        <v>0</v>
      </c>
      <c r="K665" s="3699">
        <v>12</v>
      </c>
      <c r="L665" s="4113">
        <f t="shared" si="385"/>
        <v>50</v>
      </c>
      <c r="M665" s="3707">
        <v>46048</v>
      </c>
      <c r="N665" s="3707">
        <v>46044</v>
      </c>
      <c r="O665" s="3708"/>
      <c r="P665" s="959" t="s">
        <v>82</v>
      </c>
      <c r="Q665" s="4145">
        <v>600</v>
      </c>
      <c r="R665" s="4157">
        <f t="shared" si="373"/>
        <v>0</v>
      </c>
      <c r="S665" s="4172" t="s">
        <v>2297</v>
      </c>
      <c r="T665" s="4145" t="s">
        <v>321</v>
      </c>
      <c r="U665" s="3726" t="s">
        <v>5341</v>
      </c>
      <c r="V665" s="3711" t="s">
        <v>619</v>
      </c>
      <c r="W665" s="3711"/>
      <c r="X665" s="3711" t="s">
        <v>98</v>
      </c>
      <c r="Y665" s="3711" t="s">
        <v>2387</v>
      </c>
      <c r="Z665" s="3712"/>
      <c r="AA665" s="3680" t="s">
        <v>7978</v>
      </c>
      <c r="AB665" s="3769" t="s">
        <v>4573</v>
      </c>
      <c r="AC665" s="4118">
        <v>2.259</v>
      </c>
      <c r="AD665" s="3699">
        <f t="shared" si="376"/>
        <v>1355.4</v>
      </c>
      <c r="AE665" s="3715"/>
      <c r="AF665" s="3700" t="s">
        <v>6699</v>
      </c>
      <c r="AG665" s="3680" t="s">
        <v>416</v>
      </c>
      <c r="AH665" s="3680"/>
      <c r="AI665" s="3680"/>
      <c r="AJ665" s="3680"/>
      <c r="AK665" s="3700"/>
      <c r="AL665" s="3700"/>
      <c r="AM665" s="3700"/>
      <c r="AN665" s="4119">
        <f>I665</f>
        <v>600</v>
      </c>
      <c r="AO665" s="3700"/>
      <c r="AP665" s="3699"/>
      <c r="AQ665" s="4113">
        <f t="shared" si="386"/>
        <v>600</v>
      </c>
      <c r="AR665" s="3759"/>
      <c r="AS665" s="3759"/>
      <c r="AT665" s="4120"/>
      <c r="AU665" s="3759"/>
      <c r="AV665" s="3759">
        <f>I665</f>
        <v>600</v>
      </c>
      <c r="AW665" s="3759"/>
      <c r="AX665" s="4120">
        <f>I665/6</f>
        <v>100</v>
      </c>
      <c r="AY665" s="3759"/>
      <c r="AZ665" s="3759"/>
      <c r="BA665" s="3759"/>
      <c r="BB665" s="3759"/>
      <c r="BC665" s="3759"/>
      <c r="BD665" s="3759"/>
      <c r="BE665" s="3759"/>
      <c r="BF665" s="3759"/>
      <c r="BG665" s="3759"/>
      <c r="BH665" s="3759"/>
      <c r="BI665" s="3759" t="s">
        <v>89</v>
      </c>
      <c r="BJ665" s="3759">
        <f t="shared" si="378"/>
        <v>20</v>
      </c>
      <c r="BK665" s="3759">
        <f t="shared" si="379"/>
        <v>100</v>
      </c>
      <c r="BL665" s="3759">
        <f t="shared" si="380"/>
        <v>100</v>
      </c>
      <c r="BM665" s="3759">
        <f t="shared" si="381"/>
        <v>80</v>
      </c>
      <c r="BN665" s="3759">
        <f t="shared" si="382"/>
        <v>100</v>
      </c>
      <c r="BO665" s="4146">
        <f t="shared" si="383"/>
        <v>100</v>
      </c>
      <c r="BP665" s="3721">
        <f t="shared" si="384"/>
        <v>100</v>
      </c>
      <c r="BQ665" s="3721">
        <f t="shared" si="371"/>
        <v>600</v>
      </c>
      <c r="BR665" s="3721">
        <f t="shared" si="387"/>
        <v>0</v>
      </c>
      <c r="BS665" s="4123"/>
      <c r="BT665" s="4124"/>
    </row>
    <row r="666" s="3567" customFormat="1" ht="50" customHeight="1" spans="1:72">
      <c r="A666" s="4112">
        <v>45999</v>
      </c>
      <c r="B666" s="3766" t="s">
        <v>1596</v>
      </c>
      <c r="C666" s="3766" t="s">
        <v>1430</v>
      </c>
      <c r="D666" s="3699">
        <v>4500188248</v>
      </c>
      <c r="E666" s="3700"/>
      <c r="F666" s="3700" t="s">
        <v>7979</v>
      </c>
      <c r="G666" s="3700" t="s">
        <v>6124</v>
      </c>
      <c r="H666" s="3699" t="s">
        <v>6063</v>
      </c>
      <c r="I666" s="3699">
        <v>504</v>
      </c>
      <c r="J666" s="3699">
        <v>0</v>
      </c>
      <c r="K666" s="3699">
        <v>12</v>
      </c>
      <c r="L666" s="3699">
        <f t="shared" si="385"/>
        <v>42</v>
      </c>
      <c r="M666" s="3707">
        <v>46052</v>
      </c>
      <c r="N666" s="3707">
        <v>46048</v>
      </c>
      <c r="O666" s="3708"/>
      <c r="P666" s="959" t="s">
        <v>82</v>
      </c>
      <c r="Q666" s="4145">
        <v>504</v>
      </c>
      <c r="R666" s="4157">
        <f t="shared" si="373"/>
        <v>0</v>
      </c>
      <c r="S666" s="4145" t="s">
        <v>2297</v>
      </c>
      <c r="T666" s="4145" t="s">
        <v>321</v>
      </c>
      <c r="U666" s="3680" t="s">
        <v>2362</v>
      </c>
      <c r="V666" s="3711" t="s">
        <v>2350</v>
      </c>
      <c r="W666" s="3710"/>
      <c r="X666" s="4154" t="s">
        <v>7980</v>
      </c>
      <c r="Y666" s="3709"/>
      <c r="Z666" s="3712"/>
      <c r="AA666" s="3680" t="s">
        <v>7981</v>
      </c>
      <c r="AB666" s="3769" t="s">
        <v>1434</v>
      </c>
      <c r="AC666" s="4118">
        <v>2.259</v>
      </c>
      <c r="AD666" s="3699">
        <f t="shared" si="376"/>
        <v>1138.536</v>
      </c>
      <c r="AE666" s="3715"/>
      <c r="AF666" s="3700" t="s">
        <v>6124</v>
      </c>
      <c r="AG666" s="3680" t="s">
        <v>416</v>
      </c>
      <c r="AH666" s="3680"/>
      <c r="AI666" s="3680"/>
      <c r="AJ666" s="3680"/>
      <c r="AK666" s="3700"/>
      <c r="AL666" s="4119">
        <f>I666</f>
        <v>504</v>
      </c>
      <c r="AM666" s="3700"/>
      <c r="AN666" s="4119"/>
      <c r="AO666" s="3700"/>
      <c r="AP666" s="3699"/>
      <c r="AQ666" s="3759">
        <f t="shared" si="386"/>
        <v>504</v>
      </c>
      <c r="AR666" s="3759"/>
      <c r="AS666" s="3759"/>
      <c r="AT666" s="3759">
        <f t="shared" ref="AT666:AT673" si="388">I666</f>
        <v>504</v>
      </c>
      <c r="AU666" s="3759"/>
      <c r="AV666" s="3759"/>
      <c r="AW666" s="3759"/>
      <c r="AX666" s="4120">
        <f>I666/6</f>
        <v>84</v>
      </c>
      <c r="AY666" s="3759"/>
      <c r="AZ666" s="3759"/>
      <c r="BA666" s="3759"/>
      <c r="BB666" s="3759"/>
      <c r="BC666" s="3759"/>
      <c r="BD666" s="3759"/>
      <c r="BE666" s="3759"/>
      <c r="BF666" s="3759"/>
      <c r="BG666" s="3759"/>
      <c r="BH666" s="3759"/>
      <c r="BI666" s="3759" t="s">
        <v>89</v>
      </c>
      <c r="BJ666" s="4120">
        <f t="shared" si="378"/>
        <v>16.8</v>
      </c>
      <c r="BK666" s="4120">
        <f t="shared" si="379"/>
        <v>84</v>
      </c>
      <c r="BL666" s="4120">
        <f t="shared" si="380"/>
        <v>84</v>
      </c>
      <c r="BM666" s="4120">
        <f t="shared" si="381"/>
        <v>67.2</v>
      </c>
      <c r="BN666" s="4120">
        <f t="shared" si="382"/>
        <v>84</v>
      </c>
      <c r="BO666" s="4121">
        <f t="shared" si="383"/>
        <v>84</v>
      </c>
      <c r="BP666" s="4122">
        <f t="shared" si="384"/>
        <v>84</v>
      </c>
      <c r="BQ666" s="4122">
        <f t="shared" si="371"/>
        <v>504</v>
      </c>
      <c r="BR666" s="3721">
        <f t="shared" si="387"/>
        <v>0</v>
      </c>
      <c r="BS666" s="4123"/>
      <c r="BT666" s="4124"/>
    </row>
    <row r="667" s="4026" customFormat="1" ht="50" customHeight="1" spans="1:72">
      <c r="A667" s="4112">
        <v>46006</v>
      </c>
      <c r="B667" s="3766" t="s">
        <v>1200</v>
      </c>
      <c r="C667" s="3766" t="s">
        <v>1142</v>
      </c>
      <c r="D667" s="3699">
        <v>4500188900</v>
      </c>
      <c r="E667" s="3700" t="s">
        <v>5497</v>
      </c>
      <c r="F667" s="3699" t="s">
        <v>7982</v>
      </c>
      <c r="G667" s="3700" t="s">
        <v>6124</v>
      </c>
      <c r="H667" s="3699" t="s">
        <v>6063</v>
      </c>
      <c r="I667" s="3699">
        <v>960</v>
      </c>
      <c r="J667" s="3699">
        <v>0</v>
      </c>
      <c r="K667" s="3699">
        <v>12</v>
      </c>
      <c r="L667" s="3699">
        <f t="shared" si="385"/>
        <v>80</v>
      </c>
      <c r="M667" s="3707">
        <v>46052</v>
      </c>
      <c r="N667" s="3707">
        <f>M667-4</f>
        <v>46048</v>
      </c>
      <c r="O667" s="3708"/>
      <c r="P667" s="959" t="s">
        <v>82</v>
      </c>
      <c r="Q667" s="4145">
        <v>960</v>
      </c>
      <c r="R667" s="4157">
        <f t="shared" si="373"/>
        <v>0</v>
      </c>
      <c r="S667" s="4173" t="s">
        <v>2297</v>
      </c>
      <c r="T667" s="4145" t="s">
        <v>321</v>
      </c>
      <c r="U667" s="3680" t="s">
        <v>401</v>
      </c>
      <c r="V667" s="3711" t="s">
        <v>5499</v>
      </c>
      <c r="W667" s="3710"/>
      <c r="X667" s="3711" t="s">
        <v>5500</v>
      </c>
      <c r="Y667" s="3709"/>
      <c r="Z667" s="3712"/>
      <c r="AA667" s="3680" t="s">
        <v>7983</v>
      </c>
      <c r="AB667" s="3769" t="s">
        <v>1434</v>
      </c>
      <c r="AC667" s="4118">
        <v>2.2023</v>
      </c>
      <c r="AD667" s="3699">
        <f t="shared" si="376"/>
        <v>2114.208</v>
      </c>
      <c r="AE667" s="3715"/>
      <c r="AF667" s="3700" t="s">
        <v>6126</v>
      </c>
      <c r="AG667" s="3680" t="s">
        <v>416</v>
      </c>
      <c r="AH667" s="3680"/>
      <c r="AI667" s="3680"/>
      <c r="AJ667" s="3680"/>
      <c r="AK667" s="3700"/>
      <c r="AL667" s="4119"/>
      <c r="AM667" s="3700"/>
      <c r="AN667" s="4119">
        <f t="shared" ref="AN667:AN678" si="389">I667</f>
        <v>960</v>
      </c>
      <c r="AO667" s="3700"/>
      <c r="AP667" s="3699"/>
      <c r="AQ667" s="4113">
        <f t="shared" si="386"/>
        <v>960</v>
      </c>
      <c r="AR667" s="3759"/>
      <c r="AS667" s="3759"/>
      <c r="AT667" s="3759">
        <f t="shared" si="388"/>
        <v>960</v>
      </c>
      <c r="AU667" s="3759"/>
      <c r="AV667" s="3759"/>
      <c r="AW667" s="3759"/>
      <c r="AX667" s="4120">
        <f>I667/6</f>
        <v>160</v>
      </c>
      <c r="AY667" s="3759"/>
      <c r="AZ667" s="3759"/>
      <c r="BA667" s="3759"/>
      <c r="BB667" s="3759"/>
      <c r="BC667" s="3759"/>
      <c r="BD667" s="3759"/>
      <c r="BE667" s="3759"/>
      <c r="BF667" s="3759"/>
      <c r="BG667" s="3759"/>
      <c r="BH667" s="3759"/>
      <c r="BI667" s="3759" t="s">
        <v>89</v>
      </c>
      <c r="BJ667" s="4120">
        <f t="shared" si="378"/>
        <v>32</v>
      </c>
      <c r="BK667" s="4120">
        <f t="shared" si="379"/>
        <v>160</v>
      </c>
      <c r="BL667" s="4120">
        <f t="shared" si="380"/>
        <v>160</v>
      </c>
      <c r="BM667" s="4120">
        <f t="shared" si="381"/>
        <v>128</v>
      </c>
      <c r="BN667" s="4120">
        <f t="shared" si="382"/>
        <v>160</v>
      </c>
      <c r="BO667" s="4121">
        <f t="shared" si="383"/>
        <v>160</v>
      </c>
      <c r="BP667" s="4122">
        <f t="shared" si="384"/>
        <v>160</v>
      </c>
      <c r="BQ667" s="4122">
        <f t="shared" si="371"/>
        <v>960</v>
      </c>
      <c r="BR667" s="3721">
        <f t="shared" si="387"/>
        <v>0</v>
      </c>
      <c r="BS667" s="4123"/>
      <c r="BT667" s="4124"/>
    </row>
    <row r="668" s="3567" customFormat="1" ht="50" customHeight="1" spans="1:72">
      <c r="A668" s="4112">
        <v>46016</v>
      </c>
      <c r="B668" s="3766" t="s">
        <v>4730</v>
      </c>
      <c r="C668" s="3766" t="s">
        <v>738</v>
      </c>
      <c r="D668" s="3699">
        <v>4500189841</v>
      </c>
      <c r="E668" s="3700" t="s">
        <v>7984</v>
      </c>
      <c r="F668" s="3700" t="s">
        <v>7985</v>
      </c>
      <c r="G668" s="3700" t="s">
        <v>6223</v>
      </c>
      <c r="H668" s="3700" t="s">
        <v>6272</v>
      </c>
      <c r="I668" s="3699">
        <v>32</v>
      </c>
      <c r="J668" s="3699">
        <v>0</v>
      </c>
      <c r="K668" s="3699">
        <v>32</v>
      </c>
      <c r="L668" s="3699">
        <f t="shared" si="385"/>
        <v>1</v>
      </c>
      <c r="M668" s="3707">
        <v>46048</v>
      </c>
      <c r="N668" s="3707">
        <v>46044</v>
      </c>
      <c r="O668" s="3708" t="s">
        <v>7986</v>
      </c>
      <c r="P668" s="959" t="s">
        <v>82</v>
      </c>
      <c r="Q668" s="4145">
        <v>32</v>
      </c>
      <c r="R668" s="4157">
        <f t="shared" si="373"/>
        <v>0</v>
      </c>
      <c r="S668" s="4145" t="s">
        <v>2297</v>
      </c>
      <c r="T668" s="4145" t="s">
        <v>321</v>
      </c>
      <c r="U668" s="3680" t="s">
        <v>7987</v>
      </c>
      <c r="V668" s="3711" t="s">
        <v>7933</v>
      </c>
      <c r="W668" s="3710"/>
      <c r="X668" s="3711" t="s">
        <v>7988</v>
      </c>
      <c r="Y668" s="3709" t="s">
        <v>7989</v>
      </c>
      <c r="Z668" s="3712"/>
      <c r="AA668" s="3680" t="s">
        <v>7990</v>
      </c>
      <c r="AB668" s="3769" t="s">
        <v>7936</v>
      </c>
      <c r="AC668" s="4118">
        <v>2.4608</v>
      </c>
      <c r="AD668" s="3699">
        <f t="shared" si="376"/>
        <v>78.7456</v>
      </c>
      <c r="AE668" s="3715"/>
      <c r="AF668" s="3700" t="s">
        <v>6276</v>
      </c>
      <c r="AG668" s="3680" t="s">
        <v>416</v>
      </c>
      <c r="AH668" s="3680"/>
      <c r="AI668" s="3680"/>
      <c r="AJ668" s="3680"/>
      <c r="AK668" s="3700"/>
      <c r="AL668" s="3700"/>
      <c r="AM668" s="3700"/>
      <c r="AN668" s="4119">
        <f t="shared" si="389"/>
        <v>32</v>
      </c>
      <c r="AO668" s="3700"/>
      <c r="AP668" s="3699"/>
      <c r="AQ668" s="4113">
        <f t="shared" si="386"/>
        <v>32</v>
      </c>
      <c r="AR668" s="3759"/>
      <c r="AS668" s="3759"/>
      <c r="AT668" s="4120">
        <f t="shared" si="388"/>
        <v>32</v>
      </c>
      <c r="AU668" s="3759"/>
      <c r="AV668" s="3759"/>
      <c r="AW668" s="3759"/>
      <c r="AX668" s="4120"/>
      <c r="AY668" s="3759"/>
      <c r="AZ668" s="3759"/>
      <c r="BA668" s="3759"/>
      <c r="BB668" s="3759"/>
      <c r="BC668" s="3759"/>
      <c r="BD668" s="3759"/>
      <c r="BE668" s="3759"/>
      <c r="BF668" s="3759"/>
      <c r="BG668" s="3759"/>
      <c r="BH668" s="3759"/>
      <c r="BI668" s="3759" t="s">
        <v>89</v>
      </c>
      <c r="BJ668" s="3759"/>
      <c r="BK668" s="3759"/>
      <c r="BL668" s="3759">
        <f>I668-BJ668</f>
        <v>32</v>
      </c>
      <c r="BM668" s="3759"/>
      <c r="BN668" s="3759"/>
      <c r="BO668" s="4146"/>
      <c r="BP668" s="3721"/>
      <c r="BQ668" s="3721">
        <f>SUBTOTAL(9,BJ668:BP668)</f>
        <v>32</v>
      </c>
      <c r="BR668" s="3721">
        <f t="shared" si="387"/>
        <v>0</v>
      </c>
      <c r="BS668" s="4123"/>
      <c r="BT668" s="4124"/>
    </row>
    <row r="669" s="3567" customFormat="1" ht="50" customHeight="1" spans="1:72">
      <c r="A669" s="4112">
        <v>46027</v>
      </c>
      <c r="B669" s="4163" t="s">
        <v>2597</v>
      </c>
      <c r="C669" s="4164" t="s">
        <v>738</v>
      </c>
      <c r="D669" s="3699">
        <v>4500181047</v>
      </c>
      <c r="E669" s="3700">
        <v>137121075</v>
      </c>
      <c r="F669" s="4165" t="s">
        <v>7991</v>
      </c>
      <c r="G669" s="3700" t="s">
        <v>6124</v>
      </c>
      <c r="H669" s="3699" t="s">
        <v>6063</v>
      </c>
      <c r="I669" s="3699">
        <v>576</v>
      </c>
      <c r="J669" s="3699">
        <v>0</v>
      </c>
      <c r="K669" s="3699">
        <v>12</v>
      </c>
      <c r="L669" s="3699">
        <f t="shared" si="385"/>
        <v>48</v>
      </c>
      <c r="M669" s="3707">
        <v>46055</v>
      </c>
      <c r="N669" s="3707">
        <f t="shared" ref="N669:N680" si="390">M669-4</f>
        <v>46051</v>
      </c>
      <c r="O669" s="3708" t="s">
        <v>5566</v>
      </c>
      <c r="P669" s="959" t="s">
        <v>82</v>
      </c>
      <c r="Q669" s="4145">
        <v>576</v>
      </c>
      <c r="R669" s="4157">
        <f t="shared" si="373"/>
        <v>0</v>
      </c>
      <c r="S669" s="4174" t="s">
        <v>2297</v>
      </c>
      <c r="T669" s="4145" t="s">
        <v>321</v>
      </c>
      <c r="U669" s="3726" t="s">
        <v>2362</v>
      </c>
      <c r="V669" s="3711" t="s">
        <v>5567</v>
      </c>
      <c r="W669" s="3709"/>
      <c r="X669" s="3712" t="s">
        <v>7992</v>
      </c>
      <c r="Y669" s="3680"/>
      <c r="Z669" s="4166"/>
      <c r="AA669" s="3680" t="s">
        <v>7993</v>
      </c>
      <c r="AB669" s="3699" t="s">
        <v>1257</v>
      </c>
      <c r="AC669" s="3715">
        <v>2.2547</v>
      </c>
      <c r="AD669" s="3699">
        <f t="shared" si="376"/>
        <v>1298.7072</v>
      </c>
      <c r="AE669" s="3680"/>
      <c r="AF669" s="3700" t="s">
        <v>6126</v>
      </c>
      <c r="AG669" s="3680" t="s">
        <v>416</v>
      </c>
      <c r="AH669" s="3680"/>
      <c r="AI669" s="3700"/>
      <c r="AJ669" s="3700"/>
      <c r="AK669" s="4119"/>
      <c r="AL669" s="4119"/>
      <c r="AM669" s="3700"/>
      <c r="AN669" s="3699">
        <f t="shared" si="389"/>
        <v>576</v>
      </c>
      <c r="AO669" s="4113"/>
      <c r="AP669" s="3759"/>
      <c r="AQ669" s="3759">
        <f t="shared" si="386"/>
        <v>576</v>
      </c>
      <c r="AR669" s="4120"/>
      <c r="AS669" s="3759"/>
      <c r="AT669" s="3759">
        <f t="shared" si="388"/>
        <v>576</v>
      </c>
      <c r="AU669" s="3759"/>
      <c r="AV669" s="3759"/>
      <c r="AW669" s="3759"/>
      <c r="AX669" s="4120">
        <f t="shared" ref="AX669:AX674" si="391">I669/6</f>
        <v>96</v>
      </c>
      <c r="AY669" s="3759"/>
      <c r="AZ669" s="3759"/>
      <c r="BA669" s="3759"/>
      <c r="BB669" s="3759"/>
      <c r="BC669" s="3759"/>
      <c r="BD669" s="4120"/>
      <c r="BE669" s="3759"/>
      <c r="BF669" s="3759"/>
      <c r="BG669" s="3759"/>
      <c r="BH669" s="4120"/>
      <c r="BI669" s="4120" t="s">
        <v>89</v>
      </c>
      <c r="BJ669" s="4120">
        <f t="shared" ref="BJ669:BJ675" si="392">I669/60*2</f>
        <v>19.2</v>
      </c>
      <c r="BK669" s="4120">
        <f t="shared" ref="BK669:BK674" si="393">I669/60*10</f>
        <v>96</v>
      </c>
      <c r="BL669" s="4120">
        <f t="shared" ref="BL669:BL674" si="394">I669/60*10</f>
        <v>96</v>
      </c>
      <c r="BM669" s="4121">
        <f t="shared" ref="BM669:BM674" si="395">I669/60*8</f>
        <v>76.8</v>
      </c>
      <c r="BN669" s="4122">
        <f t="shared" ref="BN669:BN674" si="396">I669/60*10</f>
        <v>96</v>
      </c>
      <c r="BO669" s="4122">
        <f t="shared" ref="BO669:BO674" si="397">I669/60*10</f>
        <v>96</v>
      </c>
      <c r="BP669" s="3721">
        <f t="shared" ref="BP669:BP674" si="398">I669/60*10</f>
        <v>96</v>
      </c>
      <c r="BQ669" s="3724">
        <f>SUM(BJ669:BP669)</f>
        <v>576</v>
      </c>
      <c r="BR669" s="3627">
        <f t="shared" si="387"/>
        <v>0</v>
      </c>
      <c r="BS669" s="4123"/>
    </row>
    <row r="670" s="3567" customFormat="1" ht="50" customHeight="1" spans="1:72">
      <c r="A670" s="4112">
        <v>46027</v>
      </c>
      <c r="B670" s="4163" t="s">
        <v>2597</v>
      </c>
      <c r="C670" s="4164" t="s">
        <v>738</v>
      </c>
      <c r="D670" s="3699">
        <v>4500181047</v>
      </c>
      <c r="E670" s="3700">
        <v>137121646</v>
      </c>
      <c r="F670" s="4165" t="s">
        <v>7994</v>
      </c>
      <c r="G670" s="3700" t="s">
        <v>6124</v>
      </c>
      <c r="H670" s="3699" t="s">
        <v>6063</v>
      </c>
      <c r="I670" s="3699">
        <v>624</v>
      </c>
      <c r="J670" s="3699">
        <v>0</v>
      </c>
      <c r="K670" s="3699">
        <v>12</v>
      </c>
      <c r="L670" s="3699">
        <f t="shared" si="385"/>
        <v>52</v>
      </c>
      <c r="M670" s="3707">
        <v>46055</v>
      </c>
      <c r="N670" s="3707">
        <f t="shared" si="390"/>
        <v>46051</v>
      </c>
      <c r="O670" s="3708" t="s">
        <v>5566</v>
      </c>
      <c r="P670" s="959" t="s">
        <v>82</v>
      </c>
      <c r="Q670" s="4145">
        <v>624</v>
      </c>
      <c r="R670" s="4157">
        <f t="shared" si="373"/>
        <v>0</v>
      </c>
      <c r="S670" s="4162"/>
      <c r="T670" s="4145" t="s">
        <v>321</v>
      </c>
      <c r="U670" s="3726" t="s">
        <v>2362</v>
      </c>
      <c r="V670" s="3711" t="s">
        <v>5567</v>
      </c>
      <c r="W670" s="3709"/>
      <c r="X670" s="3712" t="s">
        <v>7992</v>
      </c>
      <c r="Y670" s="3680"/>
      <c r="Z670" s="4166"/>
      <c r="AA670" s="3680" t="s">
        <v>7993</v>
      </c>
      <c r="AB670" s="3699" t="s">
        <v>1257</v>
      </c>
      <c r="AC670" s="3715">
        <v>2.2547</v>
      </c>
      <c r="AD670" s="3699">
        <f t="shared" si="376"/>
        <v>1406.9328</v>
      </c>
      <c r="AE670" s="3699"/>
      <c r="AF670" s="3700" t="s">
        <v>6126</v>
      </c>
      <c r="AG670" s="3680" t="s">
        <v>416</v>
      </c>
      <c r="AH670" s="3680"/>
      <c r="AI670" s="3700"/>
      <c r="AJ670" s="3700"/>
      <c r="AK670" s="4119"/>
      <c r="AL670" s="4119"/>
      <c r="AM670" s="3700"/>
      <c r="AN670" s="3699">
        <f t="shared" si="389"/>
        <v>624</v>
      </c>
      <c r="AO670" s="4113"/>
      <c r="AP670" s="3759"/>
      <c r="AQ670" s="3759">
        <f t="shared" si="386"/>
        <v>624</v>
      </c>
      <c r="AR670" s="4120"/>
      <c r="AS670" s="3759"/>
      <c r="AT670" s="3759">
        <f t="shared" si="388"/>
        <v>624</v>
      </c>
      <c r="AU670" s="3759"/>
      <c r="AV670" s="3759"/>
      <c r="AW670" s="3759"/>
      <c r="AX670" s="4120">
        <f t="shared" si="391"/>
        <v>104</v>
      </c>
      <c r="AY670" s="3759"/>
      <c r="AZ670" s="3759"/>
      <c r="BA670" s="3759"/>
      <c r="BB670" s="3759"/>
      <c r="BC670" s="3759"/>
      <c r="BD670" s="4120"/>
      <c r="BE670" s="3759"/>
      <c r="BF670" s="3759"/>
      <c r="BG670" s="3759"/>
      <c r="BH670" s="4120"/>
      <c r="BI670" s="4120" t="s">
        <v>89</v>
      </c>
      <c r="BJ670" s="4120">
        <f t="shared" si="392"/>
        <v>20.8</v>
      </c>
      <c r="BK670" s="4120">
        <f t="shared" si="393"/>
        <v>104</v>
      </c>
      <c r="BL670" s="4120">
        <f t="shared" si="394"/>
        <v>104</v>
      </c>
      <c r="BM670" s="4121">
        <f t="shared" si="395"/>
        <v>83.2</v>
      </c>
      <c r="BN670" s="4122">
        <f t="shared" si="396"/>
        <v>104</v>
      </c>
      <c r="BO670" s="4122">
        <f t="shared" si="397"/>
        <v>104</v>
      </c>
      <c r="BP670" s="3721">
        <f t="shared" si="398"/>
        <v>104</v>
      </c>
      <c r="BQ670" s="3724">
        <f>SUM(BJ670:BP670)</f>
        <v>624</v>
      </c>
      <c r="BR670" s="3627">
        <f t="shared" si="387"/>
        <v>0</v>
      </c>
      <c r="BS670" s="4123"/>
    </row>
    <row r="671" s="3567" customFormat="1" ht="50" customHeight="1" spans="1:72">
      <c r="A671" s="4112">
        <v>45930</v>
      </c>
      <c r="B671" s="3766" t="s">
        <v>2597</v>
      </c>
      <c r="C671" s="3766" t="s">
        <v>738</v>
      </c>
      <c r="D671" s="3699">
        <v>4500181047</v>
      </c>
      <c r="E671" s="3700">
        <v>137110638</v>
      </c>
      <c r="F671" s="3700" t="s">
        <v>7995</v>
      </c>
      <c r="G671" s="3700" t="s">
        <v>6124</v>
      </c>
      <c r="H671" s="3699" t="s">
        <v>6063</v>
      </c>
      <c r="I671" s="3699">
        <v>804</v>
      </c>
      <c r="J671" s="3699">
        <v>0</v>
      </c>
      <c r="K671" s="3699">
        <v>12</v>
      </c>
      <c r="L671" s="3699">
        <f t="shared" si="385"/>
        <v>67</v>
      </c>
      <c r="M671" s="3707">
        <v>46055</v>
      </c>
      <c r="N671" s="3707">
        <f t="shared" si="390"/>
        <v>46051</v>
      </c>
      <c r="O671" s="3708" t="s">
        <v>5566</v>
      </c>
      <c r="P671" s="959" t="s">
        <v>82</v>
      </c>
      <c r="Q671" s="4145">
        <v>804</v>
      </c>
      <c r="R671" s="4157">
        <f t="shared" si="373"/>
        <v>0</v>
      </c>
      <c r="S671" s="4162"/>
      <c r="T671" s="4145" t="s">
        <v>321</v>
      </c>
      <c r="U671" s="3726" t="s">
        <v>2362</v>
      </c>
      <c r="V671" s="3711" t="s">
        <v>5567</v>
      </c>
      <c r="W671" s="3710"/>
      <c r="X671" s="3711" t="s">
        <v>5568</v>
      </c>
      <c r="Y671" s="3709"/>
      <c r="Z671" s="3712"/>
      <c r="AA671" s="3680" t="s">
        <v>7993</v>
      </c>
      <c r="AB671" s="3769" t="s">
        <v>1257</v>
      </c>
      <c r="AC671" s="4118">
        <v>2.198</v>
      </c>
      <c r="AD671" s="3699">
        <f t="shared" si="376"/>
        <v>1767.192</v>
      </c>
      <c r="AE671" s="3715"/>
      <c r="AF671" s="3700" t="s">
        <v>6126</v>
      </c>
      <c r="AG671" s="3680" t="s">
        <v>416</v>
      </c>
      <c r="AH671" s="3680"/>
      <c r="AI671" s="3680"/>
      <c r="AJ671" s="3680"/>
      <c r="AK671" s="3700"/>
      <c r="AL671" s="3700"/>
      <c r="AM671" s="4119"/>
      <c r="AN671" s="4119">
        <f t="shared" si="389"/>
        <v>804</v>
      </c>
      <c r="AO671" s="3700"/>
      <c r="AP671" s="3699"/>
      <c r="AQ671" s="4113">
        <f t="shared" si="386"/>
        <v>804</v>
      </c>
      <c r="AR671" s="3759"/>
      <c r="AS671" s="3759"/>
      <c r="AT671" s="4120">
        <f t="shared" si="388"/>
        <v>804</v>
      </c>
      <c r="AU671" s="3759"/>
      <c r="AV671" s="3759"/>
      <c r="AW671" s="3759"/>
      <c r="AX671" s="3759">
        <f t="shared" si="391"/>
        <v>134</v>
      </c>
      <c r="AY671" s="3759"/>
      <c r="AZ671" s="4120"/>
      <c r="BA671" s="3759"/>
      <c r="BB671" s="3759"/>
      <c r="BC671" s="3759"/>
      <c r="BD671" s="3759"/>
      <c r="BE671" s="3759"/>
      <c r="BF671" s="3759"/>
      <c r="BG671" s="3759"/>
      <c r="BH671" s="3759"/>
      <c r="BI671" s="3759" t="s">
        <v>89</v>
      </c>
      <c r="BJ671" s="4120">
        <f t="shared" si="392"/>
        <v>26.8</v>
      </c>
      <c r="BK671" s="4120">
        <f t="shared" si="393"/>
        <v>134</v>
      </c>
      <c r="BL671" s="4120">
        <f t="shared" si="394"/>
        <v>134</v>
      </c>
      <c r="BM671" s="4120">
        <f t="shared" si="395"/>
        <v>107.2</v>
      </c>
      <c r="BN671" s="4120">
        <f t="shared" si="396"/>
        <v>134</v>
      </c>
      <c r="BO671" s="4121">
        <f t="shared" si="397"/>
        <v>134</v>
      </c>
      <c r="BP671" s="4122">
        <f t="shared" si="398"/>
        <v>134</v>
      </c>
      <c r="BQ671" s="4122">
        <f>SUM(BJ671:BP671)</f>
        <v>804</v>
      </c>
      <c r="BR671" s="3721">
        <f t="shared" si="387"/>
        <v>0</v>
      </c>
      <c r="BS671" s="4123"/>
      <c r="BT671" s="4124"/>
    </row>
    <row r="672" s="3567" customFormat="1" ht="50" customHeight="1" spans="1:72">
      <c r="A672" s="4112">
        <v>46015</v>
      </c>
      <c r="B672" s="3766" t="s">
        <v>7996</v>
      </c>
      <c r="C672" s="3766" t="s">
        <v>453</v>
      </c>
      <c r="D672" s="3699">
        <v>4500189773</v>
      </c>
      <c r="E672" s="3700" t="s">
        <v>7997</v>
      </c>
      <c r="F672" s="3700" t="s">
        <v>7998</v>
      </c>
      <c r="G672" s="3700" t="s">
        <v>6124</v>
      </c>
      <c r="H672" s="3699" t="s">
        <v>6063</v>
      </c>
      <c r="I672" s="4175">
        <v>2808</v>
      </c>
      <c r="J672" s="3699">
        <v>0</v>
      </c>
      <c r="K672" s="3699">
        <v>12</v>
      </c>
      <c r="L672" s="3699">
        <f t="shared" si="385"/>
        <v>234</v>
      </c>
      <c r="M672" s="3707">
        <v>46080</v>
      </c>
      <c r="N672" s="3707">
        <f t="shared" si="390"/>
        <v>46076</v>
      </c>
      <c r="O672" s="3708"/>
      <c r="P672" s="959" t="s">
        <v>82</v>
      </c>
      <c r="Q672" s="4145">
        <v>2808</v>
      </c>
      <c r="R672" s="4157">
        <f t="shared" si="373"/>
        <v>0</v>
      </c>
      <c r="S672" s="4145" t="s">
        <v>2297</v>
      </c>
      <c r="T672" s="4145" t="s">
        <v>321</v>
      </c>
      <c r="U672" s="3680" t="s">
        <v>2392</v>
      </c>
      <c r="V672" s="3711" t="s">
        <v>5499</v>
      </c>
      <c r="W672" s="3710"/>
      <c r="X672" s="3711" t="s">
        <v>7999</v>
      </c>
      <c r="Y672" s="3709"/>
      <c r="Z672" s="3712"/>
      <c r="AA672" s="3680" t="s">
        <v>5504</v>
      </c>
      <c r="AB672" s="3769" t="s">
        <v>459</v>
      </c>
      <c r="AC672" s="4118">
        <v>2.2547</v>
      </c>
      <c r="AD672" s="3699">
        <f t="shared" si="376"/>
        <v>6331.1976</v>
      </c>
      <c r="AE672" s="3715"/>
      <c r="AF672" s="3700" t="s">
        <v>7968</v>
      </c>
      <c r="AG672" s="3680" t="s">
        <v>416</v>
      </c>
      <c r="AH672" s="3680"/>
      <c r="AI672" s="3680"/>
      <c r="AJ672" s="3680"/>
      <c r="AK672" s="3700"/>
      <c r="AL672" s="3700"/>
      <c r="AM672" s="3700"/>
      <c r="AN672" s="4119">
        <f t="shared" si="389"/>
        <v>2808</v>
      </c>
      <c r="AO672" s="3700"/>
      <c r="AP672" s="3699"/>
      <c r="AQ672" s="4113">
        <f t="shared" si="386"/>
        <v>2808</v>
      </c>
      <c r="AR672" s="3759"/>
      <c r="AS672" s="3759"/>
      <c r="AT672" s="4120">
        <f t="shared" si="388"/>
        <v>2808</v>
      </c>
      <c r="AU672" s="3759"/>
      <c r="AV672" s="3759"/>
      <c r="AW672" s="3759"/>
      <c r="AX672" s="4120">
        <f t="shared" si="391"/>
        <v>468</v>
      </c>
      <c r="AY672" s="3759"/>
      <c r="AZ672" s="3759"/>
      <c r="BA672" s="3759"/>
      <c r="BB672" s="3759"/>
      <c r="BC672" s="3759"/>
      <c r="BD672" s="3759"/>
      <c r="BE672" s="3759"/>
      <c r="BF672" s="3759"/>
      <c r="BG672" s="3759"/>
      <c r="BH672" s="3759"/>
      <c r="BI672" s="3759" t="s">
        <v>89</v>
      </c>
      <c r="BJ672" s="4120">
        <f t="shared" si="392"/>
        <v>93.6</v>
      </c>
      <c r="BK672" s="4120">
        <f t="shared" si="393"/>
        <v>468</v>
      </c>
      <c r="BL672" s="4120">
        <f t="shared" si="394"/>
        <v>468</v>
      </c>
      <c r="BM672" s="4120">
        <f t="shared" si="395"/>
        <v>374.4</v>
      </c>
      <c r="BN672" s="4120">
        <f t="shared" si="396"/>
        <v>468</v>
      </c>
      <c r="BO672" s="4121">
        <f t="shared" si="397"/>
        <v>468</v>
      </c>
      <c r="BP672" s="4122">
        <f t="shared" si="398"/>
        <v>468</v>
      </c>
      <c r="BQ672" s="4122">
        <f>SUM(BJ672:BP672)</f>
        <v>2808</v>
      </c>
      <c r="BR672" s="3721">
        <f t="shared" si="387"/>
        <v>0</v>
      </c>
      <c r="BS672" s="4123"/>
      <c r="BT672" s="4124"/>
    </row>
    <row r="673" s="3567" customFormat="1" ht="50" customHeight="1" spans="1:72">
      <c r="A673" s="4112">
        <v>46015</v>
      </c>
      <c r="B673" s="3766" t="s">
        <v>395</v>
      </c>
      <c r="C673" s="3766" t="s">
        <v>396</v>
      </c>
      <c r="D673" s="3699">
        <v>4500189941</v>
      </c>
      <c r="E673" s="3700" t="s">
        <v>8000</v>
      </c>
      <c r="F673" s="3700" t="s">
        <v>8001</v>
      </c>
      <c r="G673" s="3700" t="s">
        <v>6087</v>
      </c>
      <c r="H673" s="3699" t="s">
        <v>6063</v>
      </c>
      <c r="I673" s="4175">
        <v>132</v>
      </c>
      <c r="J673" s="3699">
        <v>0</v>
      </c>
      <c r="K673" s="3699">
        <v>6</v>
      </c>
      <c r="L673" s="3699">
        <f t="shared" si="385"/>
        <v>22</v>
      </c>
      <c r="M673" s="3707">
        <v>46055</v>
      </c>
      <c r="N673" s="3707">
        <f t="shared" si="390"/>
        <v>46051</v>
      </c>
      <c r="O673" s="3708"/>
      <c r="P673" s="959" t="s">
        <v>82</v>
      </c>
      <c r="Q673" s="4145">
        <v>132</v>
      </c>
      <c r="R673" s="4157">
        <f t="shared" si="373"/>
        <v>0</v>
      </c>
      <c r="S673" s="4145" t="s">
        <v>2297</v>
      </c>
      <c r="T673" s="4145" t="s">
        <v>321</v>
      </c>
      <c r="U673" s="3680" t="s">
        <v>5333</v>
      </c>
      <c r="V673" s="3711" t="s">
        <v>5567</v>
      </c>
      <c r="W673" s="3710"/>
      <c r="X673" s="3711" t="s">
        <v>8002</v>
      </c>
      <c r="Y673" s="3709"/>
      <c r="Z673" s="3712"/>
      <c r="AA673" s="3680" t="s">
        <v>8003</v>
      </c>
      <c r="AB673" s="3769" t="s">
        <v>4866</v>
      </c>
      <c r="AC673" s="4118">
        <v>2.2722</v>
      </c>
      <c r="AD673" s="3699">
        <f t="shared" si="376"/>
        <v>299.9304</v>
      </c>
      <c r="AE673" s="3715"/>
      <c r="AF673" s="3700" t="s">
        <v>6106</v>
      </c>
      <c r="AG673" s="3680" t="s">
        <v>416</v>
      </c>
      <c r="AH673" s="3680"/>
      <c r="AI673" s="3680"/>
      <c r="AJ673" s="3680"/>
      <c r="AK673" s="3700"/>
      <c r="AL673" s="3700"/>
      <c r="AM673" s="3700"/>
      <c r="AN673" s="4119">
        <f t="shared" si="389"/>
        <v>132</v>
      </c>
      <c r="AO673" s="3700"/>
      <c r="AP673" s="3699"/>
      <c r="AQ673" s="4113">
        <f t="shared" si="386"/>
        <v>132</v>
      </c>
      <c r="AR673" s="3759"/>
      <c r="AS673" s="3759"/>
      <c r="AT673" s="4120"/>
      <c r="AU673" s="3759"/>
      <c r="AV673" s="4120">
        <f>I673</f>
        <v>132</v>
      </c>
      <c r="AW673" s="3759"/>
      <c r="AX673" s="4120">
        <f t="shared" si="391"/>
        <v>22</v>
      </c>
      <c r="AY673" s="3759"/>
      <c r="AZ673" s="3759"/>
      <c r="BA673" s="3759"/>
      <c r="BB673" s="3759"/>
      <c r="BC673" s="3759"/>
      <c r="BD673" s="3759"/>
      <c r="BE673" s="3759"/>
      <c r="BF673" s="3759"/>
      <c r="BG673" s="3759"/>
      <c r="BH673" s="3759"/>
      <c r="BI673" s="3759" t="s">
        <v>89</v>
      </c>
      <c r="BJ673" s="4120">
        <f t="shared" si="392"/>
        <v>4.4</v>
      </c>
      <c r="BK673" s="4120">
        <f t="shared" si="393"/>
        <v>22</v>
      </c>
      <c r="BL673" s="4120">
        <f t="shared" si="394"/>
        <v>22</v>
      </c>
      <c r="BM673" s="4120">
        <f t="shared" si="395"/>
        <v>17.6</v>
      </c>
      <c r="BN673" s="4120">
        <f t="shared" si="396"/>
        <v>22</v>
      </c>
      <c r="BO673" s="4121">
        <f t="shared" si="397"/>
        <v>22</v>
      </c>
      <c r="BP673" s="4122">
        <f t="shared" si="398"/>
        <v>22</v>
      </c>
      <c r="BQ673" s="4122">
        <f>SUM(BJ673:BP673)</f>
        <v>132</v>
      </c>
      <c r="BR673" s="4122">
        <f t="shared" si="387"/>
        <v>0</v>
      </c>
      <c r="BS673" s="4123"/>
      <c r="BT673" s="4124"/>
    </row>
    <row r="674" s="3567" customFormat="1" ht="50" customHeight="1" spans="1:72">
      <c r="A674" s="4112">
        <v>46016</v>
      </c>
      <c r="B674" s="4176" t="s">
        <v>4533</v>
      </c>
      <c r="C674" s="4177" t="s">
        <v>738</v>
      </c>
      <c r="D674" s="3699">
        <v>4500190045</v>
      </c>
      <c r="E674" s="3700"/>
      <c r="F674" s="3700" t="s">
        <v>8004</v>
      </c>
      <c r="G674" s="3700" t="s">
        <v>6124</v>
      </c>
      <c r="H674" s="3699" t="s">
        <v>6063</v>
      </c>
      <c r="I674" s="4175">
        <v>408</v>
      </c>
      <c r="J674" s="3699">
        <v>0</v>
      </c>
      <c r="K674" s="3699">
        <v>12</v>
      </c>
      <c r="L674" s="3699">
        <f t="shared" si="385"/>
        <v>34</v>
      </c>
      <c r="M674" s="3707">
        <v>46055</v>
      </c>
      <c r="N674" s="3707">
        <f t="shared" si="390"/>
        <v>46051</v>
      </c>
      <c r="O674" s="3708"/>
      <c r="P674" s="959" t="s">
        <v>82</v>
      </c>
      <c r="Q674" s="4145">
        <v>408</v>
      </c>
      <c r="R674" s="4157">
        <f t="shared" si="373"/>
        <v>0</v>
      </c>
      <c r="S674" s="4145" t="s">
        <v>2297</v>
      </c>
      <c r="T674" s="4145" t="s">
        <v>321</v>
      </c>
      <c r="U674" s="3680" t="s">
        <v>540</v>
      </c>
      <c r="V674" s="3711" t="s">
        <v>2350</v>
      </c>
      <c r="W674" s="3710"/>
      <c r="X674" s="3711" t="s">
        <v>8005</v>
      </c>
      <c r="Y674" s="3709"/>
      <c r="Z674" s="3712"/>
      <c r="AA674" s="3680" t="s">
        <v>8006</v>
      </c>
      <c r="AB674" s="4178" t="s">
        <v>1257</v>
      </c>
      <c r="AC674" s="4118">
        <v>2.259</v>
      </c>
      <c r="AD674" s="3699">
        <f t="shared" si="376"/>
        <v>921.672</v>
      </c>
      <c r="AE674" s="3715"/>
      <c r="AF674" s="3700" t="s">
        <v>6126</v>
      </c>
      <c r="AG674" s="3680" t="s">
        <v>416</v>
      </c>
      <c r="AH674" s="3680"/>
      <c r="AI674" s="3680"/>
      <c r="AJ674" s="3680"/>
      <c r="AK674" s="3700"/>
      <c r="AL674" s="3700"/>
      <c r="AM674" s="3700"/>
      <c r="AN674" s="4119">
        <f t="shared" si="389"/>
        <v>408</v>
      </c>
      <c r="AO674" s="3700"/>
      <c r="AP674" s="3699"/>
      <c r="AQ674" s="4113">
        <f t="shared" si="386"/>
        <v>408</v>
      </c>
      <c r="AR674" s="3759"/>
      <c r="AS674" s="3759"/>
      <c r="AT674" s="4120">
        <f>I674</f>
        <v>408</v>
      </c>
      <c r="AU674" s="3759"/>
      <c r="AV674" s="3759"/>
      <c r="AW674" s="3759"/>
      <c r="AX674" s="4120">
        <f t="shared" si="391"/>
        <v>68</v>
      </c>
      <c r="AY674" s="3759"/>
      <c r="AZ674" s="3759"/>
      <c r="BA674" s="3759"/>
      <c r="BB674" s="3759"/>
      <c r="BC674" s="3759"/>
      <c r="BD674" s="3759"/>
      <c r="BE674" s="3759"/>
      <c r="BF674" s="3759"/>
      <c r="BG674" s="3759"/>
      <c r="BH674" s="3759"/>
      <c r="BI674" s="3759" t="s">
        <v>89</v>
      </c>
      <c r="BJ674" s="4120">
        <f t="shared" si="392"/>
        <v>13.6</v>
      </c>
      <c r="BK674" s="4120">
        <f t="shared" si="393"/>
        <v>68</v>
      </c>
      <c r="BL674" s="4120">
        <f t="shared" si="394"/>
        <v>68</v>
      </c>
      <c r="BM674" s="4120">
        <f t="shared" si="395"/>
        <v>54.4</v>
      </c>
      <c r="BN674" s="4120">
        <f t="shared" si="396"/>
        <v>68</v>
      </c>
      <c r="BO674" s="4121">
        <f t="shared" si="397"/>
        <v>68</v>
      </c>
      <c r="BP674" s="4122">
        <f t="shared" si="398"/>
        <v>68</v>
      </c>
      <c r="BQ674" s="4122">
        <f>SUBTOTAL(9,BJ674:BP674)</f>
        <v>408</v>
      </c>
      <c r="BR674" s="3721">
        <f t="shared" si="387"/>
        <v>0</v>
      </c>
      <c r="BS674" s="4123"/>
      <c r="BT674" s="4124"/>
    </row>
    <row r="675" s="3567" customFormat="1" ht="50" customHeight="1" spans="1:72">
      <c r="A675" s="4112">
        <v>46020</v>
      </c>
      <c r="B675" s="4176" t="s">
        <v>8007</v>
      </c>
      <c r="C675" s="4177" t="s">
        <v>471</v>
      </c>
      <c r="D675" s="3699">
        <v>4500190188</v>
      </c>
      <c r="E675" s="3700" t="s">
        <v>8008</v>
      </c>
      <c r="F675" s="3700" t="s">
        <v>8009</v>
      </c>
      <c r="G675" s="3700" t="s">
        <v>6091</v>
      </c>
      <c r="H675" s="3699" t="s">
        <v>6092</v>
      </c>
      <c r="I675" s="4175">
        <v>320</v>
      </c>
      <c r="J675" s="3699">
        <v>0</v>
      </c>
      <c r="K675" s="3699">
        <v>32</v>
      </c>
      <c r="L675" s="3699">
        <f t="shared" si="385"/>
        <v>10</v>
      </c>
      <c r="M675" s="3707">
        <v>46055</v>
      </c>
      <c r="N675" s="3707">
        <f t="shared" si="390"/>
        <v>46051</v>
      </c>
      <c r="O675" s="3708" t="s">
        <v>8010</v>
      </c>
      <c r="P675" s="959" t="s">
        <v>82</v>
      </c>
      <c r="Q675" s="4145">
        <v>320</v>
      </c>
      <c r="R675" s="4157">
        <f t="shared" si="373"/>
        <v>0</v>
      </c>
      <c r="S675" s="4168" t="s">
        <v>2297</v>
      </c>
      <c r="T675" s="4145" t="s">
        <v>321</v>
      </c>
      <c r="U675" s="3680" t="s">
        <v>5343</v>
      </c>
      <c r="V675" s="3711" t="s">
        <v>2363</v>
      </c>
      <c r="W675" s="3710"/>
      <c r="X675" s="3711" t="s">
        <v>8011</v>
      </c>
      <c r="Y675" s="3709"/>
      <c r="Z675" s="3712"/>
      <c r="AA675" s="3680" t="s">
        <v>8012</v>
      </c>
      <c r="AB675" s="4178" t="s">
        <v>7597</v>
      </c>
      <c r="AC675" s="4118">
        <v>2.3413</v>
      </c>
      <c r="AD675" s="3699">
        <f t="shared" si="376"/>
        <v>749.216</v>
      </c>
      <c r="AE675" s="3715"/>
      <c r="AF675" s="3700" t="s">
        <v>6096</v>
      </c>
      <c r="AG675" s="3680" t="s">
        <v>416</v>
      </c>
      <c r="AH675" s="3680"/>
      <c r="AI675" s="3680"/>
      <c r="AJ675" s="3680"/>
      <c r="AK675" s="3700"/>
      <c r="AL675" s="3700"/>
      <c r="AM675" s="3700"/>
      <c r="AN675" s="4119">
        <f t="shared" si="389"/>
        <v>320</v>
      </c>
      <c r="AO675" s="3700"/>
      <c r="AP675" s="3699"/>
      <c r="AQ675" s="4113">
        <f t="shared" si="386"/>
        <v>320</v>
      </c>
      <c r="AR675" s="3759"/>
      <c r="AS675" s="3759"/>
      <c r="AT675" s="4120"/>
      <c r="AU675" s="3759"/>
      <c r="AV675" s="3759">
        <f>I675</f>
        <v>320</v>
      </c>
      <c r="AW675" s="3759"/>
      <c r="AX675" s="4120"/>
      <c r="AY675" s="3759"/>
      <c r="AZ675" s="3759"/>
      <c r="BA675" s="3759"/>
      <c r="BB675" s="3759"/>
      <c r="BC675" s="3759"/>
      <c r="BD675" s="3759"/>
      <c r="BE675" s="3759"/>
      <c r="BF675" s="3759"/>
      <c r="BG675" s="3759"/>
      <c r="BH675" s="3759"/>
      <c r="BI675" s="3759" t="s">
        <v>89</v>
      </c>
      <c r="BJ675" s="3759">
        <f t="shared" si="392"/>
        <v>10.6666666666667</v>
      </c>
      <c r="BK675" s="4120"/>
      <c r="BL675" s="4120"/>
      <c r="BM675" s="4120"/>
      <c r="BN675" s="4120"/>
      <c r="BO675" s="4146">
        <f>I675-BJ675</f>
        <v>309.333333333333</v>
      </c>
      <c r="BP675" s="3721"/>
      <c r="BQ675" s="3721">
        <f t="shared" ref="BQ675:BQ680" si="399">SUM(BJ675:BP675)</f>
        <v>320</v>
      </c>
      <c r="BR675" s="3721">
        <f t="shared" si="387"/>
        <v>0</v>
      </c>
      <c r="BS675" s="4123"/>
      <c r="BT675" s="4124"/>
    </row>
    <row r="676" s="3567" customFormat="1" ht="50" customHeight="1" spans="1:72">
      <c r="A676" s="4112">
        <v>46020</v>
      </c>
      <c r="B676" s="4176" t="s">
        <v>8007</v>
      </c>
      <c r="C676" s="4177" t="s">
        <v>471</v>
      </c>
      <c r="D676" s="3699">
        <v>4500190188</v>
      </c>
      <c r="E676" s="3700" t="s">
        <v>8008</v>
      </c>
      <c r="F676" s="3700" t="s">
        <v>8013</v>
      </c>
      <c r="G676" s="3700" t="s">
        <v>7185</v>
      </c>
      <c r="H676" s="3699" t="s">
        <v>7514</v>
      </c>
      <c r="I676" s="4175">
        <v>320</v>
      </c>
      <c r="J676" s="3699">
        <v>0</v>
      </c>
      <c r="K676" s="3699">
        <v>32</v>
      </c>
      <c r="L676" s="3699">
        <f t="shared" si="385"/>
        <v>10</v>
      </c>
      <c r="M676" s="3707">
        <v>46055</v>
      </c>
      <c r="N676" s="3707">
        <f t="shared" si="390"/>
        <v>46051</v>
      </c>
      <c r="O676" s="3708" t="s">
        <v>8010</v>
      </c>
      <c r="P676" s="959" t="s">
        <v>82</v>
      </c>
      <c r="Q676" s="4145">
        <v>320</v>
      </c>
      <c r="R676" s="4157">
        <f t="shared" si="373"/>
        <v>0</v>
      </c>
      <c r="S676" s="4169"/>
      <c r="T676" s="4145" t="s">
        <v>321</v>
      </c>
      <c r="U676" s="3680" t="s">
        <v>5343</v>
      </c>
      <c r="V676" s="3711" t="s">
        <v>2363</v>
      </c>
      <c r="W676" s="3710"/>
      <c r="X676" s="3711" t="s">
        <v>8011</v>
      </c>
      <c r="Y676" s="3709"/>
      <c r="Z676" s="3712"/>
      <c r="AA676" s="3680" t="s">
        <v>8012</v>
      </c>
      <c r="AB676" s="4178" t="s">
        <v>7597</v>
      </c>
      <c r="AC676" s="4118">
        <v>2.3413</v>
      </c>
      <c r="AD676" s="3699">
        <f t="shared" si="376"/>
        <v>749.216</v>
      </c>
      <c r="AE676" s="3715"/>
      <c r="AF676" s="3700" t="s">
        <v>7186</v>
      </c>
      <c r="AG676" s="3680" t="s">
        <v>416</v>
      </c>
      <c r="AH676" s="3680"/>
      <c r="AI676" s="3680"/>
      <c r="AJ676" s="3680"/>
      <c r="AK676" s="3700"/>
      <c r="AL676" s="3700"/>
      <c r="AM676" s="3700"/>
      <c r="AN676" s="4119">
        <f t="shared" si="389"/>
        <v>320</v>
      </c>
      <c r="AO676" s="3700"/>
      <c r="AP676" s="3699"/>
      <c r="AQ676" s="4113">
        <f t="shared" si="386"/>
        <v>320</v>
      </c>
      <c r="AR676" s="3759"/>
      <c r="AS676" s="3759"/>
      <c r="AT676" s="4120"/>
      <c r="AU676" s="3759"/>
      <c r="AV676" s="3759">
        <f>I676</f>
        <v>320</v>
      </c>
      <c r="AW676" s="3759"/>
      <c r="AX676" s="4120"/>
      <c r="AY676" s="3759"/>
      <c r="AZ676" s="3759"/>
      <c r="BA676" s="3759"/>
      <c r="BB676" s="3759"/>
      <c r="BC676" s="3759"/>
      <c r="BD676" s="3759"/>
      <c r="BE676" s="3759"/>
      <c r="BF676" s="3759"/>
      <c r="BG676" s="3759"/>
      <c r="BH676" s="3759"/>
      <c r="BI676" s="3759" t="s">
        <v>89</v>
      </c>
      <c r="BJ676" s="4120"/>
      <c r="BK676" s="4120"/>
      <c r="BL676" s="4120"/>
      <c r="BM676" s="4120"/>
      <c r="BN676" s="3759">
        <f>I676</f>
        <v>320</v>
      </c>
      <c r="BO676" s="4146"/>
      <c r="BP676" s="3721"/>
      <c r="BQ676" s="3721">
        <f t="shared" si="399"/>
        <v>320</v>
      </c>
      <c r="BR676" s="3721">
        <f t="shared" si="387"/>
        <v>0</v>
      </c>
      <c r="BS676" s="4123"/>
      <c r="BT676" s="4124"/>
    </row>
    <row r="677" s="3567" customFormat="1" ht="50" customHeight="1" spans="1:72">
      <c r="A677" s="4112">
        <v>46020</v>
      </c>
      <c r="B677" s="4179" t="s">
        <v>4533</v>
      </c>
      <c r="C677" s="4180" t="s">
        <v>738</v>
      </c>
      <c r="D677" s="3699">
        <v>4500190245</v>
      </c>
      <c r="E677" s="3700"/>
      <c r="F677" s="3699" t="s">
        <v>8014</v>
      </c>
      <c r="G677" s="3700" t="s">
        <v>7575</v>
      </c>
      <c r="H677" s="3699" t="s">
        <v>8015</v>
      </c>
      <c r="I677" s="4175">
        <v>144</v>
      </c>
      <c r="J677" s="3699">
        <v>0</v>
      </c>
      <c r="K677" s="3699">
        <v>24</v>
      </c>
      <c r="L677" s="3699">
        <f t="shared" si="385"/>
        <v>6</v>
      </c>
      <c r="M677" s="3707">
        <v>46055</v>
      </c>
      <c r="N677" s="3707">
        <f t="shared" si="390"/>
        <v>46051</v>
      </c>
      <c r="O677" s="3708"/>
      <c r="P677" s="959" t="s">
        <v>82</v>
      </c>
      <c r="Q677" s="4145">
        <v>144</v>
      </c>
      <c r="R677" s="4157">
        <f t="shared" si="373"/>
        <v>0</v>
      </c>
      <c r="S677" s="4145" t="s">
        <v>2297</v>
      </c>
      <c r="T677" s="4145" t="s">
        <v>321</v>
      </c>
      <c r="U677" s="3680" t="s">
        <v>153</v>
      </c>
      <c r="V677" s="3711" t="s">
        <v>2363</v>
      </c>
      <c r="W677" s="3710"/>
      <c r="X677" s="3711" t="s">
        <v>8016</v>
      </c>
      <c r="Y677" s="3709"/>
      <c r="Z677" s="3712"/>
      <c r="AA677" s="3680" t="s">
        <v>8017</v>
      </c>
      <c r="AB677" s="4181" t="s">
        <v>1257</v>
      </c>
      <c r="AC677" s="4118">
        <v>2.1773</v>
      </c>
      <c r="AD677" s="3699">
        <f t="shared" si="376"/>
        <v>313.5312</v>
      </c>
      <c r="AE677" s="3715"/>
      <c r="AF677" s="3700" t="s">
        <v>7580</v>
      </c>
      <c r="AG677" s="3680" t="s">
        <v>416</v>
      </c>
      <c r="AH677" s="3680"/>
      <c r="AI677" s="3680"/>
      <c r="AJ677" s="3680"/>
      <c r="AK677" s="3700"/>
      <c r="AL677" s="3700"/>
      <c r="AM677" s="3700"/>
      <c r="AN677" s="3700">
        <f t="shared" si="389"/>
        <v>144</v>
      </c>
      <c r="AO677" s="3700"/>
      <c r="AP677" s="3699"/>
      <c r="AQ677" s="3699">
        <f t="shared" si="386"/>
        <v>144</v>
      </c>
      <c r="AR677" s="3759"/>
      <c r="AS677" s="3759"/>
      <c r="AT677" s="4120">
        <f t="shared" ref="AT677:AT684" si="400">I677</f>
        <v>144</v>
      </c>
      <c r="AU677" s="3759"/>
      <c r="AV677" s="3759"/>
      <c r="AW677" s="3759"/>
      <c r="AX677" s="4120"/>
      <c r="AY677" s="3759"/>
      <c r="AZ677" s="3759"/>
      <c r="BA677" s="3759"/>
      <c r="BB677" s="3759"/>
      <c r="BC677" s="3759"/>
      <c r="BD677" s="3759"/>
      <c r="BE677" s="3759"/>
      <c r="BF677" s="3759"/>
      <c r="BG677" s="3759"/>
      <c r="BH677" s="3759"/>
      <c r="BI677" s="3759" t="s">
        <v>89</v>
      </c>
      <c r="BJ677" s="4120"/>
      <c r="BK677" s="4120"/>
      <c r="BL677" s="4120"/>
      <c r="BM677" s="4120"/>
      <c r="BN677" s="3759">
        <f>I677</f>
        <v>144</v>
      </c>
      <c r="BO677" s="4146"/>
      <c r="BP677" s="3721"/>
      <c r="BQ677" s="3721">
        <f t="shared" si="399"/>
        <v>144</v>
      </c>
      <c r="BR677" s="3721">
        <f t="shared" si="387"/>
        <v>0</v>
      </c>
      <c r="BS677" s="4123"/>
      <c r="BT677" s="4124"/>
    </row>
    <row r="678" s="3567" customFormat="1" ht="50" customHeight="1" spans="1:72">
      <c r="A678" s="4112">
        <v>46020</v>
      </c>
      <c r="B678" s="4179" t="s">
        <v>4533</v>
      </c>
      <c r="C678" s="4180" t="s">
        <v>738</v>
      </c>
      <c r="D678" s="3699">
        <v>4500190245</v>
      </c>
      <c r="E678" s="3700"/>
      <c r="F678" s="3699" t="s">
        <v>8018</v>
      </c>
      <c r="G678" s="3700" t="s">
        <v>7582</v>
      </c>
      <c r="H678" s="3699" t="s">
        <v>8019</v>
      </c>
      <c r="I678" s="4175">
        <v>144</v>
      </c>
      <c r="J678" s="3699">
        <v>0</v>
      </c>
      <c r="K678" s="3699">
        <v>24</v>
      </c>
      <c r="L678" s="3699">
        <f t="shared" si="385"/>
        <v>6</v>
      </c>
      <c r="M678" s="3707">
        <v>46055</v>
      </c>
      <c r="N678" s="3707">
        <f t="shared" si="390"/>
        <v>46051</v>
      </c>
      <c r="O678" s="3708"/>
      <c r="P678" s="959" t="s">
        <v>82</v>
      </c>
      <c r="Q678" s="4145">
        <v>144</v>
      </c>
      <c r="R678" s="4157">
        <f t="shared" si="373"/>
        <v>0</v>
      </c>
      <c r="S678" s="4145" t="s">
        <v>2297</v>
      </c>
      <c r="T678" s="4145" t="s">
        <v>321</v>
      </c>
      <c r="U678" s="3680" t="s">
        <v>153</v>
      </c>
      <c r="V678" s="3711" t="s">
        <v>2363</v>
      </c>
      <c r="W678" s="3710"/>
      <c r="X678" s="3711" t="s">
        <v>8016</v>
      </c>
      <c r="Y678" s="3709"/>
      <c r="Z678" s="3712"/>
      <c r="AA678" s="3680" t="s">
        <v>8020</v>
      </c>
      <c r="AB678" s="4181" t="s">
        <v>1257</v>
      </c>
      <c r="AC678" s="4118">
        <v>2.2296</v>
      </c>
      <c r="AD678" s="3699">
        <f t="shared" si="376"/>
        <v>321.0624</v>
      </c>
      <c r="AE678" s="3715"/>
      <c r="AF678" s="3700" t="s">
        <v>7584</v>
      </c>
      <c r="AG678" s="3680" t="s">
        <v>416</v>
      </c>
      <c r="AH678" s="3680"/>
      <c r="AI678" s="3680"/>
      <c r="AJ678" s="3680"/>
      <c r="AK678" s="3700"/>
      <c r="AL678" s="3700"/>
      <c r="AM678" s="3700"/>
      <c r="AN678" s="3700">
        <f t="shared" si="389"/>
        <v>144</v>
      </c>
      <c r="AO678" s="3700"/>
      <c r="AP678" s="3699"/>
      <c r="AQ678" s="3699">
        <f t="shared" si="386"/>
        <v>144</v>
      </c>
      <c r="AR678" s="3759"/>
      <c r="AS678" s="3759"/>
      <c r="AT678" s="4120">
        <f t="shared" si="400"/>
        <v>144</v>
      </c>
      <c r="AU678" s="3759"/>
      <c r="AV678" s="3759"/>
      <c r="AW678" s="3759"/>
      <c r="AX678" s="4120"/>
      <c r="AY678" s="3759"/>
      <c r="AZ678" s="3759"/>
      <c r="BA678" s="3759"/>
      <c r="BB678" s="3759"/>
      <c r="BC678" s="3759"/>
      <c r="BD678" s="3759"/>
      <c r="BE678" s="3759"/>
      <c r="BF678" s="3759"/>
      <c r="BG678" s="3759"/>
      <c r="BH678" s="3759"/>
      <c r="BI678" s="3759" t="s">
        <v>89</v>
      </c>
      <c r="BJ678" s="4120"/>
      <c r="BK678" s="4120"/>
      <c r="BL678" s="3759">
        <f>I678</f>
        <v>144</v>
      </c>
      <c r="BM678" s="4120"/>
      <c r="BN678" s="3759"/>
      <c r="BO678" s="4146"/>
      <c r="BP678" s="3721"/>
      <c r="BQ678" s="3721">
        <f t="shared" si="399"/>
        <v>144</v>
      </c>
      <c r="BR678" s="3721">
        <f t="shared" si="387"/>
        <v>0</v>
      </c>
      <c r="BS678" s="4123"/>
      <c r="BT678" s="4124"/>
    </row>
    <row r="679" s="3567" customFormat="1" ht="50" customHeight="1" spans="1:72">
      <c r="A679" s="4112">
        <v>46015</v>
      </c>
      <c r="B679" s="3766" t="s">
        <v>90</v>
      </c>
      <c r="C679" s="3766" t="s">
        <v>91</v>
      </c>
      <c r="D679" s="3699">
        <v>4500189850</v>
      </c>
      <c r="E679" s="3700">
        <v>951854</v>
      </c>
      <c r="F679" s="3700" t="s">
        <v>8021</v>
      </c>
      <c r="G679" s="3700" t="s">
        <v>3520</v>
      </c>
      <c r="H679" s="3699" t="s">
        <v>6063</v>
      </c>
      <c r="I679" s="4175">
        <v>1008</v>
      </c>
      <c r="J679" s="3699">
        <v>0</v>
      </c>
      <c r="K679" s="3699">
        <v>24</v>
      </c>
      <c r="L679" s="4113">
        <f t="shared" si="385"/>
        <v>42</v>
      </c>
      <c r="M679" s="3707">
        <v>46058</v>
      </c>
      <c r="N679" s="3707">
        <v>46055</v>
      </c>
      <c r="O679" s="3708"/>
      <c r="P679" s="959" t="s">
        <v>82</v>
      </c>
      <c r="Q679" s="4145">
        <v>1008</v>
      </c>
      <c r="R679" s="4157">
        <f t="shared" si="373"/>
        <v>0</v>
      </c>
      <c r="S679" s="4173" t="s">
        <v>2297</v>
      </c>
      <c r="T679" s="4145" t="s">
        <v>321</v>
      </c>
      <c r="U679" s="3726" t="s">
        <v>401</v>
      </c>
      <c r="V679" s="3711" t="s">
        <v>2386</v>
      </c>
      <c r="W679" s="3711"/>
      <c r="X679" s="3711" t="s">
        <v>98</v>
      </c>
      <c r="Y679" s="3711" t="s">
        <v>2387</v>
      </c>
      <c r="Z679" s="3712"/>
      <c r="AA679" s="3680" t="s">
        <v>8022</v>
      </c>
      <c r="AB679" s="3769" t="s">
        <v>101</v>
      </c>
      <c r="AC679" s="4118">
        <v>1.3184</v>
      </c>
      <c r="AD679" s="3699">
        <f t="shared" si="376"/>
        <v>1328.9472</v>
      </c>
      <c r="AE679" s="3715"/>
      <c r="AF679" s="3700" t="s">
        <v>6126</v>
      </c>
      <c r="AG679" s="3680" t="s">
        <v>416</v>
      </c>
      <c r="AH679" s="3680"/>
      <c r="AI679" s="3680"/>
      <c r="AJ679" s="3680"/>
      <c r="AK679" s="3700"/>
      <c r="AL679" s="3700">
        <f>I679</f>
        <v>1008</v>
      </c>
      <c r="AM679" s="3700"/>
      <c r="AN679" s="4119"/>
      <c r="AO679" s="3700"/>
      <c r="AP679" s="3699"/>
      <c r="AQ679" s="4113">
        <f t="shared" si="386"/>
        <v>1008</v>
      </c>
      <c r="AR679" s="3759"/>
      <c r="AS679" s="3759"/>
      <c r="AT679" s="4120">
        <f t="shared" si="400"/>
        <v>1008</v>
      </c>
      <c r="AU679" s="3759"/>
      <c r="AV679" s="3759"/>
      <c r="AW679" s="3759"/>
      <c r="AX679" s="4120"/>
      <c r="AY679" s="3759"/>
      <c r="AZ679" s="3759"/>
      <c r="BA679" s="3759"/>
      <c r="BB679" s="3759"/>
      <c r="BC679" s="3759"/>
      <c r="BD679" s="3759"/>
      <c r="BE679" s="3759"/>
      <c r="BF679" s="3759"/>
      <c r="BG679" s="3759"/>
      <c r="BH679" s="3759"/>
      <c r="BI679" s="3759" t="s">
        <v>89</v>
      </c>
      <c r="BJ679" s="3759">
        <f t="shared" ref="BJ679:BJ690" si="401">I679/60*2</f>
        <v>33.6</v>
      </c>
      <c r="BK679" s="3759">
        <f t="shared" ref="BK679:BK690" si="402">I679/60*10</f>
        <v>168</v>
      </c>
      <c r="BL679" s="3759">
        <f t="shared" ref="BL679:BL690" si="403">I679/60*10</f>
        <v>168</v>
      </c>
      <c r="BM679" s="3759">
        <f t="shared" ref="BM679:BM690" si="404">I679/60*8</f>
        <v>134.4</v>
      </c>
      <c r="BN679" s="3759">
        <f t="shared" ref="BN679:BN690" si="405">I679/60*10</f>
        <v>168</v>
      </c>
      <c r="BO679" s="4146">
        <f t="shared" ref="BO679:BO690" si="406">I679/60*10</f>
        <v>168</v>
      </c>
      <c r="BP679" s="3721">
        <f t="shared" ref="BP679:BP690" si="407">I679/60*10</f>
        <v>168</v>
      </c>
      <c r="BQ679" s="3721">
        <f t="shared" si="399"/>
        <v>1008</v>
      </c>
      <c r="BR679" s="3721">
        <f t="shared" si="387"/>
        <v>0</v>
      </c>
      <c r="BS679" s="4123"/>
      <c r="BT679" s="4124"/>
    </row>
    <row r="680" s="3567" customFormat="1" ht="50" customHeight="1" spans="1:72">
      <c r="A680" s="4112">
        <v>46015</v>
      </c>
      <c r="B680" s="3766" t="s">
        <v>90</v>
      </c>
      <c r="C680" s="3766" t="s">
        <v>91</v>
      </c>
      <c r="D680" s="3699">
        <v>4500189851</v>
      </c>
      <c r="E680" s="3700" t="s">
        <v>8023</v>
      </c>
      <c r="F680" s="3700" t="s">
        <v>8024</v>
      </c>
      <c r="G680" s="3700" t="s">
        <v>3520</v>
      </c>
      <c r="H680" s="3699" t="s">
        <v>6063</v>
      </c>
      <c r="I680" s="4175">
        <v>1200</v>
      </c>
      <c r="J680" s="3699">
        <v>0</v>
      </c>
      <c r="K680" s="3699">
        <v>24</v>
      </c>
      <c r="L680" s="4113">
        <f t="shared" si="385"/>
        <v>50</v>
      </c>
      <c r="M680" s="3707">
        <v>46058</v>
      </c>
      <c r="N680" s="3707">
        <v>46055</v>
      </c>
      <c r="O680" s="3708"/>
      <c r="P680" s="959" t="s">
        <v>82</v>
      </c>
      <c r="Q680" s="4145">
        <f>1176+24</f>
        <v>1200</v>
      </c>
      <c r="R680" s="4157">
        <f t="shared" si="373"/>
        <v>0</v>
      </c>
      <c r="S680" s="4173" t="s">
        <v>2297</v>
      </c>
      <c r="T680" s="4145" t="s">
        <v>321</v>
      </c>
      <c r="U680" s="3726" t="s">
        <v>2931</v>
      </c>
      <c r="V680" s="3711" t="s">
        <v>2386</v>
      </c>
      <c r="W680" s="3711"/>
      <c r="X680" s="3711" t="s">
        <v>98</v>
      </c>
      <c r="Y680" s="3711" t="s">
        <v>2387</v>
      </c>
      <c r="Z680" s="3712"/>
      <c r="AA680" s="3680" t="s">
        <v>8025</v>
      </c>
      <c r="AB680" s="3769" t="s">
        <v>101</v>
      </c>
      <c r="AC680" s="4118">
        <v>1.3184</v>
      </c>
      <c r="AD680" s="3699">
        <f t="shared" si="376"/>
        <v>1582.08</v>
      </c>
      <c r="AE680" s="3715"/>
      <c r="AF680" s="3700" t="s">
        <v>3520</v>
      </c>
      <c r="AG680" s="3680" t="s">
        <v>416</v>
      </c>
      <c r="AH680" s="3680"/>
      <c r="AI680" s="3680"/>
      <c r="AJ680" s="3680"/>
      <c r="AK680" s="3700"/>
      <c r="AL680" s="3700">
        <f>I680</f>
        <v>1200</v>
      </c>
      <c r="AM680" s="3700"/>
      <c r="AN680" s="4119"/>
      <c r="AO680" s="3700"/>
      <c r="AP680" s="3699"/>
      <c r="AQ680" s="4113">
        <f t="shared" si="386"/>
        <v>1200</v>
      </c>
      <c r="AR680" s="3759"/>
      <c r="AS680" s="3759"/>
      <c r="AT680" s="4120">
        <f t="shared" si="400"/>
        <v>1200</v>
      </c>
      <c r="AU680" s="3759"/>
      <c r="AV680" s="3759"/>
      <c r="AW680" s="3759"/>
      <c r="AX680" s="4120"/>
      <c r="AY680" s="3759"/>
      <c r="AZ680" s="3759"/>
      <c r="BA680" s="3759"/>
      <c r="BB680" s="3759"/>
      <c r="BC680" s="3759"/>
      <c r="BD680" s="3759"/>
      <c r="BE680" s="3759"/>
      <c r="BF680" s="3759"/>
      <c r="BG680" s="3759"/>
      <c r="BH680" s="3759"/>
      <c r="BI680" s="3759" t="s">
        <v>89</v>
      </c>
      <c r="BJ680" s="3759">
        <f t="shared" si="401"/>
        <v>40</v>
      </c>
      <c r="BK680" s="3759">
        <f t="shared" si="402"/>
        <v>200</v>
      </c>
      <c r="BL680" s="3759">
        <f t="shared" si="403"/>
        <v>200</v>
      </c>
      <c r="BM680" s="3759">
        <f t="shared" si="404"/>
        <v>160</v>
      </c>
      <c r="BN680" s="3759">
        <f t="shared" si="405"/>
        <v>200</v>
      </c>
      <c r="BO680" s="4146">
        <f t="shared" si="406"/>
        <v>200</v>
      </c>
      <c r="BP680" s="3721">
        <f t="shared" si="407"/>
        <v>200</v>
      </c>
      <c r="BQ680" s="3721">
        <f t="shared" si="399"/>
        <v>1200</v>
      </c>
      <c r="BR680" s="3721">
        <f t="shared" si="387"/>
        <v>0</v>
      </c>
      <c r="BS680" s="4123"/>
      <c r="BT680" s="4124"/>
    </row>
    <row r="681" s="3567" customFormat="1" ht="50" customHeight="1" spans="1:72">
      <c r="A681" s="4112">
        <v>46027</v>
      </c>
      <c r="B681" s="3766" t="s">
        <v>2818</v>
      </c>
      <c r="C681" s="3766" t="s">
        <v>738</v>
      </c>
      <c r="D681" s="3699">
        <v>4500190462</v>
      </c>
      <c r="E681" s="3700"/>
      <c r="F681" s="3700" t="s">
        <v>8026</v>
      </c>
      <c r="G681" s="3700" t="s">
        <v>6124</v>
      </c>
      <c r="H681" s="3699" t="s">
        <v>6063</v>
      </c>
      <c r="I681" s="4175">
        <v>1512</v>
      </c>
      <c r="J681" s="3699">
        <v>0</v>
      </c>
      <c r="K681" s="3699">
        <v>12</v>
      </c>
      <c r="L681" s="3699">
        <f t="shared" si="385"/>
        <v>126</v>
      </c>
      <c r="M681" s="3707">
        <v>46058</v>
      </c>
      <c r="N681" s="3707">
        <v>46055</v>
      </c>
      <c r="O681" s="3708"/>
      <c r="P681" s="959" t="s">
        <v>82</v>
      </c>
      <c r="Q681" s="4145">
        <f>1500+12</f>
        <v>1512</v>
      </c>
      <c r="R681" s="4157">
        <f t="shared" si="373"/>
        <v>0</v>
      </c>
      <c r="S681" s="4173" t="s">
        <v>2297</v>
      </c>
      <c r="T681" s="4145" t="s">
        <v>321</v>
      </c>
      <c r="U681" s="3680" t="s">
        <v>5525</v>
      </c>
      <c r="V681" s="3711" t="s">
        <v>5526</v>
      </c>
      <c r="W681" s="3709"/>
      <c r="X681" s="3711" t="s">
        <v>5527</v>
      </c>
      <c r="Y681" s="3709"/>
      <c r="Z681" s="3712"/>
      <c r="AA681" s="3680" t="s">
        <v>5528</v>
      </c>
      <c r="AB681" s="4181" t="s">
        <v>1434</v>
      </c>
      <c r="AC681" s="4118">
        <v>2.198</v>
      </c>
      <c r="AD681" s="3699">
        <f t="shared" si="376"/>
        <v>3323.376</v>
      </c>
      <c r="AE681" s="3715"/>
      <c r="AF681" s="3700" t="s">
        <v>6126</v>
      </c>
      <c r="AG681" s="3680" t="s">
        <v>416</v>
      </c>
      <c r="AH681" s="3680"/>
      <c r="AI681" s="3680"/>
      <c r="AJ681" s="3680"/>
      <c r="AK681" s="3700"/>
      <c r="AL681" s="3700"/>
      <c r="AM681" s="3700"/>
      <c r="AN681" s="4119">
        <f>I681</f>
        <v>1512</v>
      </c>
      <c r="AO681" s="3700"/>
      <c r="AP681" s="3699"/>
      <c r="AQ681" s="4113">
        <f t="shared" si="386"/>
        <v>1512</v>
      </c>
      <c r="AR681" s="3759"/>
      <c r="AS681" s="3759"/>
      <c r="AT681" s="4120">
        <f t="shared" si="400"/>
        <v>1512</v>
      </c>
      <c r="AU681" s="3759"/>
      <c r="AV681" s="3759"/>
      <c r="AW681" s="3759"/>
      <c r="AX681" s="4120">
        <f t="shared" ref="AX681:AX689" si="408">I681/6</f>
        <v>252</v>
      </c>
      <c r="AY681" s="3759"/>
      <c r="AZ681" s="3759"/>
      <c r="BA681" s="3759"/>
      <c r="BB681" s="3759"/>
      <c r="BC681" s="3759"/>
      <c r="BD681" s="3759"/>
      <c r="BE681" s="3759"/>
      <c r="BF681" s="3759"/>
      <c r="BG681" s="3759"/>
      <c r="BH681" s="3759"/>
      <c r="BI681" s="3759" t="s">
        <v>89</v>
      </c>
      <c r="BJ681" s="4120">
        <f t="shared" si="401"/>
        <v>50.4</v>
      </c>
      <c r="BK681" s="4120">
        <f t="shared" si="402"/>
        <v>252</v>
      </c>
      <c r="BL681" s="4120">
        <f t="shared" si="403"/>
        <v>252</v>
      </c>
      <c r="BM681" s="4120">
        <f t="shared" si="404"/>
        <v>201.6</v>
      </c>
      <c r="BN681" s="4120">
        <f t="shared" si="405"/>
        <v>252</v>
      </c>
      <c r="BO681" s="4121">
        <f t="shared" si="406"/>
        <v>252</v>
      </c>
      <c r="BP681" s="4122">
        <f t="shared" si="407"/>
        <v>252</v>
      </c>
      <c r="BQ681" s="4122">
        <f>SUBTOTAL(9,BJ681:BP681)</f>
        <v>1512</v>
      </c>
      <c r="BR681" s="3721">
        <f t="shared" si="387"/>
        <v>0</v>
      </c>
      <c r="BS681" s="4123"/>
      <c r="BT681" s="4124"/>
    </row>
    <row r="682" s="3567" customFormat="1" ht="50" customHeight="1" spans="1:72">
      <c r="A682" s="4112">
        <v>46387</v>
      </c>
      <c r="B682" s="4179" t="s">
        <v>2891</v>
      </c>
      <c r="C682" s="4180" t="s">
        <v>1279</v>
      </c>
      <c r="D682" s="3699">
        <v>4500190510</v>
      </c>
      <c r="E682" s="3700"/>
      <c r="F682" s="3699" t="s">
        <v>8027</v>
      </c>
      <c r="G682" s="3700" t="s">
        <v>6186</v>
      </c>
      <c r="H682" s="3699" t="s">
        <v>6063</v>
      </c>
      <c r="I682" s="3699">
        <v>960</v>
      </c>
      <c r="J682" s="3699">
        <v>0</v>
      </c>
      <c r="K682" s="3699">
        <v>6</v>
      </c>
      <c r="L682" s="4113">
        <f t="shared" si="385"/>
        <v>160</v>
      </c>
      <c r="M682" s="3707">
        <v>46084</v>
      </c>
      <c r="N682" s="3707">
        <v>46080</v>
      </c>
      <c r="O682" s="3708"/>
      <c r="P682" s="3700" t="s">
        <v>82</v>
      </c>
      <c r="Q682" s="4145">
        <v>960</v>
      </c>
      <c r="R682" s="4157">
        <f t="shared" si="373"/>
        <v>0</v>
      </c>
      <c r="S682" s="4173" t="s">
        <v>2297</v>
      </c>
      <c r="T682" s="4145" t="s">
        <v>321</v>
      </c>
      <c r="U682" s="3680" t="s">
        <v>2392</v>
      </c>
      <c r="V682" s="3711" t="s">
        <v>2379</v>
      </c>
      <c r="W682" s="3711"/>
      <c r="X682" s="3711" t="s">
        <v>787</v>
      </c>
      <c r="Y682" s="3709"/>
      <c r="Z682" s="3712"/>
      <c r="AA682" s="3680" t="s">
        <v>8028</v>
      </c>
      <c r="AB682" s="4181" t="s">
        <v>3720</v>
      </c>
      <c r="AC682" s="4118">
        <v>2.2722</v>
      </c>
      <c r="AD682" s="3699">
        <f t="shared" si="376"/>
        <v>2181.312</v>
      </c>
      <c r="AE682" s="3715"/>
      <c r="AF682" s="3700" t="s">
        <v>6252</v>
      </c>
      <c r="AG682" s="3680" t="s">
        <v>416</v>
      </c>
      <c r="AH682" s="3680"/>
      <c r="AI682" s="3680"/>
      <c r="AJ682" s="3680"/>
      <c r="AK682" s="3700"/>
      <c r="AL682" s="3700"/>
      <c r="AM682" s="3700"/>
      <c r="AN682" s="4119">
        <f>I682</f>
        <v>960</v>
      </c>
      <c r="AO682" s="3700"/>
      <c r="AP682" s="3699"/>
      <c r="AQ682" s="3759">
        <f t="shared" si="386"/>
        <v>960</v>
      </c>
      <c r="AR682" s="3759"/>
      <c r="AS682" s="3759"/>
      <c r="AT682" s="4120">
        <f t="shared" si="400"/>
        <v>960</v>
      </c>
      <c r="AU682" s="3759"/>
      <c r="AV682" s="3759"/>
      <c r="AW682" s="3759"/>
      <c r="AX682" s="4120">
        <f t="shared" si="408"/>
        <v>160</v>
      </c>
      <c r="AY682" s="3759"/>
      <c r="AZ682" s="3759"/>
      <c r="BA682" s="3759"/>
      <c r="BB682" s="3759"/>
      <c r="BC682" s="3759"/>
      <c r="BD682" s="3759"/>
      <c r="BE682" s="3759"/>
      <c r="BF682" s="3759"/>
      <c r="BG682" s="3759"/>
      <c r="BH682" s="3759"/>
      <c r="BI682" s="3759" t="s">
        <v>89</v>
      </c>
      <c r="BJ682" s="3759">
        <f t="shared" si="401"/>
        <v>32</v>
      </c>
      <c r="BK682" s="3759">
        <f t="shared" si="402"/>
        <v>160</v>
      </c>
      <c r="BL682" s="3759">
        <f t="shared" si="403"/>
        <v>160</v>
      </c>
      <c r="BM682" s="4146">
        <f t="shared" si="404"/>
        <v>128</v>
      </c>
      <c r="BN682" s="3721">
        <f t="shared" si="405"/>
        <v>160</v>
      </c>
      <c r="BO682" s="3721">
        <f t="shared" si="406"/>
        <v>160</v>
      </c>
      <c r="BP682" s="3721">
        <f t="shared" si="407"/>
        <v>160</v>
      </c>
      <c r="BQ682" s="3724">
        <f t="shared" ref="BQ682:BQ690" si="409">SUM(BJ682:BP682)</f>
        <v>960</v>
      </c>
      <c r="BR682" s="3721">
        <f t="shared" si="387"/>
        <v>0</v>
      </c>
      <c r="BS682" s="4123"/>
      <c r="BT682" s="4124"/>
    </row>
    <row r="683" s="3567" customFormat="1" ht="50" customHeight="1" spans="1:72">
      <c r="A683" s="4112">
        <v>46013</v>
      </c>
      <c r="B683" s="3766" t="s">
        <v>1569</v>
      </c>
      <c r="C683" s="3766" t="s">
        <v>581</v>
      </c>
      <c r="D683" s="3699">
        <v>4500189593</v>
      </c>
      <c r="E683" s="3700"/>
      <c r="F683" s="3700" t="s">
        <v>8029</v>
      </c>
      <c r="G683" s="3700" t="s">
        <v>6124</v>
      </c>
      <c r="H683" s="3699" t="s">
        <v>6063</v>
      </c>
      <c r="I683" s="3699">
        <v>6000</v>
      </c>
      <c r="J683" s="3699">
        <v>0</v>
      </c>
      <c r="K683" s="3699">
        <v>12</v>
      </c>
      <c r="L683" s="3699">
        <f t="shared" si="385"/>
        <v>500</v>
      </c>
      <c r="M683" s="3707">
        <v>46055</v>
      </c>
      <c r="N683" s="3707">
        <f t="shared" ref="N683:N690" si="410">M683-4</f>
        <v>46051</v>
      </c>
      <c r="O683" s="3708"/>
      <c r="P683" s="3700" t="s">
        <v>82</v>
      </c>
      <c r="Q683" s="4145">
        <v>6000</v>
      </c>
      <c r="R683" s="4157">
        <f t="shared" si="373"/>
        <v>0</v>
      </c>
      <c r="S683" s="4173" t="s">
        <v>2297</v>
      </c>
      <c r="T683" s="4145" t="s">
        <v>321</v>
      </c>
      <c r="U683" s="3726" t="s">
        <v>5341</v>
      </c>
      <c r="V683" s="3711" t="s">
        <v>2350</v>
      </c>
      <c r="W683" s="3710"/>
      <c r="X683" s="3711" t="s">
        <v>5574</v>
      </c>
      <c r="Y683" s="3709"/>
      <c r="Z683" s="3712"/>
      <c r="AA683" s="3680" t="s">
        <v>8030</v>
      </c>
      <c r="AB683" s="3769" t="s">
        <v>459</v>
      </c>
      <c r="AC683" s="4118">
        <v>2.174</v>
      </c>
      <c r="AD683" s="3699">
        <f t="shared" si="376"/>
        <v>13044</v>
      </c>
      <c r="AE683" s="3715"/>
      <c r="AF683" s="3700" t="s">
        <v>6252</v>
      </c>
      <c r="AG683" s="3680" t="s">
        <v>416</v>
      </c>
      <c r="AH683" s="3680"/>
      <c r="AI683" s="3680"/>
      <c r="AJ683" s="3680"/>
      <c r="AK683" s="3700"/>
      <c r="AL683" s="3700">
        <f>I683</f>
        <v>6000</v>
      </c>
      <c r="AM683" s="3700"/>
      <c r="AN683" s="4119"/>
      <c r="AO683" s="3700"/>
      <c r="AP683" s="3699"/>
      <c r="AQ683" s="4113">
        <f t="shared" si="386"/>
        <v>6000</v>
      </c>
      <c r="AR683" s="3759"/>
      <c r="AS683" s="3759"/>
      <c r="AT683" s="4120">
        <f t="shared" si="400"/>
        <v>6000</v>
      </c>
      <c r="AU683" s="3759"/>
      <c r="AV683" s="3759"/>
      <c r="AW683" s="3759"/>
      <c r="AX683" s="4120">
        <f t="shared" si="408"/>
        <v>1000</v>
      </c>
      <c r="AY683" s="3759"/>
      <c r="AZ683" s="3759"/>
      <c r="BA683" s="3759"/>
      <c r="BB683" s="3759"/>
      <c r="BC683" s="3759"/>
      <c r="BD683" s="3759"/>
      <c r="BE683" s="3759"/>
      <c r="BF683" s="3759"/>
      <c r="BG683" s="3759"/>
      <c r="BH683" s="3759"/>
      <c r="BI683" s="3759" t="s">
        <v>89</v>
      </c>
      <c r="BJ683" s="4120">
        <f t="shared" si="401"/>
        <v>200</v>
      </c>
      <c r="BK683" s="4120">
        <f t="shared" si="402"/>
        <v>1000</v>
      </c>
      <c r="BL683" s="4120">
        <f t="shared" si="403"/>
        <v>1000</v>
      </c>
      <c r="BM683" s="4120">
        <f t="shared" si="404"/>
        <v>800</v>
      </c>
      <c r="BN683" s="4120">
        <f t="shared" si="405"/>
        <v>1000</v>
      </c>
      <c r="BO683" s="4121">
        <f t="shared" si="406"/>
        <v>1000</v>
      </c>
      <c r="BP683" s="4122">
        <f t="shared" si="407"/>
        <v>1000</v>
      </c>
      <c r="BQ683" s="4122">
        <f t="shared" si="409"/>
        <v>6000</v>
      </c>
      <c r="BR683" s="3721">
        <f t="shared" si="387"/>
        <v>0</v>
      </c>
      <c r="BS683" s="4123"/>
      <c r="BT683" s="4124"/>
    </row>
    <row r="684" s="3567" customFormat="1" ht="50" customHeight="1" spans="1:72">
      <c r="A684" s="4112">
        <v>46031</v>
      </c>
      <c r="B684" s="3766" t="s">
        <v>2377</v>
      </c>
      <c r="C684" s="3766" t="s">
        <v>1316</v>
      </c>
      <c r="D684" s="3699">
        <v>4500191077</v>
      </c>
      <c r="E684" s="3700"/>
      <c r="F684" s="3700" t="s">
        <v>2378</v>
      </c>
      <c r="G684" s="3700" t="s">
        <v>6108</v>
      </c>
      <c r="H684" s="3699" t="s">
        <v>6063</v>
      </c>
      <c r="I684" s="3699">
        <v>9000</v>
      </c>
      <c r="J684" s="3699">
        <v>0</v>
      </c>
      <c r="K684" s="3699">
        <v>12</v>
      </c>
      <c r="L684" s="4113">
        <f t="shared" si="385"/>
        <v>750</v>
      </c>
      <c r="M684" s="3707">
        <v>46059</v>
      </c>
      <c r="N684" s="3707">
        <f t="shared" si="410"/>
        <v>46055</v>
      </c>
      <c r="O684" s="3708"/>
      <c r="P684" s="3700" t="s">
        <v>82</v>
      </c>
      <c r="Q684" s="4145">
        <f>2376+2316+60+4248</f>
        <v>9000</v>
      </c>
      <c r="R684" s="4157">
        <f t="shared" si="373"/>
        <v>0</v>
      </c>
      <c r="S684" s="4182" t="s">
        <v>2297</v>
      </c>
      <c r="T684" s="4145" t="s">
        <v>321</v>
      </c>
      <c r="U684" s="3711" t="s">
        <v>2333</v>
      </c>
      <c r="V684" s="3711" t="s">
        <v>2379</v>
      </c>
      <c r="W684" s="3711"/>
      <c r="X684" s="3711" t="s">
        <v>2380</v>
      </c>
      <c r="Y684" s="3726"/>
      <c r="Z684" s="3769"/>
      <c r="AA684" s="3680" t="s">
        <v>8031</v>
      </c>
      <c r="AB684" s="3699" t="s">
        <v>2382</v>
      </c>
      <c r="AC684" s="3715">
        <v>2.2307</v>
      </c>
      <c r="AD684" s="3699">
        <f t="shared" si="376"/>
        <v>20076.3</v>
      </c>
      <c r="AE684" s="3680"/>
      <c r="AF684" s="3700" t="s">
        <v>6108</v>
      </c>
      <c r="AG684" s="3680" t="s">
        <v>416</v>
      </c>
      <c r="AH684" s="3680"/>
      <c r="AI684" s="3700"/>
      <c r="AJ684" s="3700"/>
      <c r="AK684" s="3700"/>
      <c r="AL684" s="4119">
        <f>I684</f>
        <v>9000</v>
      </c>
      <c r="AM684" s="3700"/>
      <c r="AN684" s="3699"/>
      <c r="AO684" s="4113"/>
      <c r="AP684" s="3759"/>
      <c r="AQ684" s="3759">
        <f t="shared" si="386"/>
        <v>9000</v>
      </c>
      <c r="AR684" s="4120"/>
      <c r="AS684" s="3759"/>
      <c r="AT684" s="3759"/>
      <c r="AU684" s="3759"/>
      <c r="AV684" s="4120">
        <f>I684</f>
        <v>9000</v>
      </c>
      <c r="AW684" s="3759"/>
      <c r="AX684" s="3759">
        <f t="shared" si="408"/>
        <v>1500</v>
      </c>
      <c r="AY684" s="3759"/>
      <c r="AZ684" s="3759"/>
      <c r="BA684" s="3759"/>
      <c r="BB684" s="3759"/>
      <c r="BC684" s="3759"/>
      <c r="BD684" s="3759"/>
      <c r="BE684" s="3759"/>
      <c r="BF684" s="3759"/>
      <c r="BG684" s="3759"/>
      <c r="BH684" s="3759"/>
      <c r="BI684" s="3759" t="s">
        <v>89</v>
      </c>
      <c r="BJ684" s="3759">
        <f t="shared" si="401"/>
        <v>300</v>
      </c>
      <c r="BK684" s="3759">
        <f t="shared" si="402"/>
        <v>1500</v>
      </c>
      <c r="BL684" s="3759">
        <f t="shared" si="403"/>
        <v>1500</v>
      </c>
      <c r="BM684" s="4146">
        <f t="shared" si="404"/>
        <v>1200</v>
      </c>
      <c r="BN684" s="3721">
        <f t="shared" si="405"/>
        <v>1500</v>
      </c>
      <c r="BO684" s="3721">
        <f t="shared" si="406"/>
        <v>1500</v>
      </c>
      <c r="BP684" s="3721">
        <f t="shared" si="407"/>
        <v>1500</v>
      </c>
      <c r="BQ684" s="3724">
        <f t="shared" si="409"/>
        <v>9000</v>
      </c>
      <c r="BR684" s="3627">
        <f t="shared" si="387"/>
        <v>0</v>
      </c>
      <c r="BS684" s="4123"/>
    </row>
    <row r="685" s="3567" customFormat="1" ht="50" customHeight="1" spans="1:72">
      <c r="A685" s="4112">
        <v>46387</v>
      </c>
      <c r="B685" s="4179" t="s">
        <v>1777</v>
      </c>
      <c r="C685" s="4180" t="s">
        <v>1142</v>
      </c>
      <c r="D685" s="3699">
        <v>4500190081</v>
      </c>
      <c r="E685" s="3700" t="s">
        <v>5515</v>
      </c>
      <c r="F685" s="3699" t="s">
        <v>8032</v>
      </c>
      <c r="G685" s="3700" t="s">
        <v>6124</v>
      </c>
      <c r="H685" s="3699" t="s">
        <v>6063</v>
      </c>
      <c r="I685" s="4175">
        <v>1440</v>
      </c>
      <c r="J685" s="3699">
        <v>0</v>
      </c>
      <c r="K685" s="3699">
        <v>12</v>
      </c>
      <c r="L685" s="3699">
        <f t="shared" si="385"/>
        <v>120</v>
      </c>
      <c r="M685" s="3707">
        <v>46055</v>
      </c>
      <c r="N685" s="3707">
        <f t="shared" si="410"/>
        <v>46051</v>
      </c>
      <c r="O685" s="3708"/>
      <c r="P685" s="3700" t="s">
        <v>82</v>
      </c>
      <c r="Q685" s="4145">
        <f>1344+96</f>
        <v>1440</v>
      </c>
      <c r="R685" s="4157">
        <f t="shared" si="373"/>
        <v>0</v>
      </c>
      <c r="S685" s="4157" t="s">
        <v>2297</v>
      </c>
      <c r="T685" s="4145" t="s">
        <v>321</v>
      </c>
      <c r="U685" s="3726" t="s">
        <v>2333</v>
      </c>
      <c r="V685" s="3711" t="s">
        <v>5499</v>
      </c>
      <c r="W685" s="3710"/>
      <c r="X685" s="3711" t="s">
        <v>5517</v>
      </c>
      <c r="Y685" s="3709"/>
      <c r="Z685" s="3712"/>
      <c r="AA685" s="3680" t="s">
        <v>8033</v>
      </c>
      <c r="AB685" s="4181" t="s">
        <v>1434</v>
      </c>
      <c r="AC685" s="4118">
        <v>2.2547</v>
      </c>
      <c r="AD685" s="3699">
        <f t="shared" si="376"/>
        <v>3246.768</v>
      </c>
      <c r="AE685" s="3715"/>
      <c r="AF685" s="3700" t="s">
        <v>6126</v>
      </c>
      <c r="AG685" s="3680" t="s">
        <v>416</v>
      </c>
      <c r="AH685" s="3680"/>
      <c r="AI685" s="3680"/>
      <c r="AJ685" s="3680"/>
      <c r="AK685" s="3700"/>
      <c r="AL685" s="3700"/>
      <c r="AM685" s="3700"/>
      <c r="AN685" s="4119">
        <f>I685</f>
        <v>1440</v>
      </c>
      <c r="AO685" s="3700"/>
      <c r="AP685" s="3699"/>
      <c r="AQ685" s="4113">
        <f t="shared" si="386"/>
        <v>1440</v>
      </c>
      <c r="AR685" s="3759"/>
      <c r="AS685" s="3759"/>
      <c r="AT685" s="4120">
        <f t="shared" ref="AT685:AT690" si="411">I685</f>
        <v>1440</v>
      </c>
      <c r="AU685" s="3759"/>
      <c r="AV685" s="3759"/>
      <c r="AW685" s="3759"/>
      <c r="AX685" s="4120">
        <f t="shared" si="408"/>
        <v>240</v>
      </c>
      <c r="AY685" s="3759"/>
      <c r="AZ685" s="3759"/>
      <c r="BA685" s="3759"/>
      <c r="BB685" s="3759"/>
      <c r="BC685" s="3759"/>
      <c r="BD685" s="3759"/>
      <c r="BE685" s="3759"/>
      <c r="BF685" s="3759"/>
      <c r="BG685" s="3759"/>
      <c r="BH685" s="3759"/>
      <c r="BI685" s="3759" t="s">
        <v>89</v>
      </c>
      <c r="BJ685" s="4120">
        <f t="shared" si="401"/>
        <v>48</v>
      </c>
      <c r="BK685" s="4120">
        <f t="shared" si="402"/>
        <v>240</v>
      </c>
      <c r="BL685" s="4120">
        <f t="shared" si="403"/>
        <v>240</v>
      </c>
      <c r="BM685" s="4120">
        <f t="shared" si="404"/>
        <v>192</v>
      </c>
      <c r="BN685" s="4120">
        <f t="shared" si="405"/>
        <v>240</v>
      </c>
      <c r="BO685" s="4121">
        <f t="shared" si="406"/>
        <v>240</v>
      </c>
      <c r="BP685" s="4122">
        <f t="shared" si="407"/>
        <v>240</v>
      </c>
      <c r="BQ685" s="4122">
        <f t="shared" si="409"/>
        <v>1440</v>
      </c>
      <c r="BR685" s="3627">
        <f t="shared" si="387"/>
        <v>0</v>
      </c>
      <c r="BS685" s="4123"/>
      <c r="BT685" s="4124"/>
    </row>
    <row r="686" s="3567" customFormat="1" ht="50" customHeight="1" spans="1:72">
      <c r="A686" s="4112">
        <v>46016</v>
      </c>
      <c r="B686" s="4176" t="s">
        <v>6341</v>
      </c>
      <c r="C686" s="4177" t="s">
        <v>506</v>
      </c>
      <c r="D686" s="3699">
        <v>4500189819</v>
      </c>
      <c r="E686" s="3700">
        <v>47904485</v>
      </c>
      <c r="F686" s="3700" t="s">
        <v>8034</v>
      </c>
      <c r="G686" s="3700" t="s">
        <v>6124</v>
      </c>
      <c r="H686" s="3699" t="s">
        <v>6063</v>
      </c>
      <c r="I686" s="4175">
        <v>180</v>
      </c>
      <c r="J686" s="3699">
        <v>0</v>
      </c>
      <c r="K686" s="3699">
        <v>12</v>
      </c>
      <c r="L686" s="3699">
        <f t="shared" si="385"/>
        <v>15</v>
      </c>
      <c r="M686" s="3707">
        <v>46083</v>
      </c>
      <c r="N686" s="3707">
        <f t="shared" si="410"/>
        <v>46079</v>
      </c>
      <c r="O686" s="3708"/>
      <c r="P686" s="3700" t="s">
        <v>82</v>
      </c>
      <c r="Q686" s="4145">
        <v>180</v>
      </c>
      <c r="R686" s="4157">
        <f t="shared" si="373"/>
        <v>0</v>
      </c>
      <c r="S686" s="4183" t="s">
        <v>2297</v>
      </c>
      <c r="T686" s="4145" t="s">
        <v>321</v>
      </c>
      <c r="U686" s="3710" t="s">
        <v>2385</v>
      </c>
      <c r="V686" s="3711" t="s">
        <v>619</v>
      </c>
      <c r="W686" s="3709"/>
      <c r="X686" s="3712" t="s">
        <v>6345</v>
      </c>
      <c r="Y686" s="3726"/>
      <c r="Z686" s="4178"/>
      <c r="AA686" s="3680" t="s">
        <v>7439</v>
      </c>
      <c r="AB686" s="3699" t="s">
        <v>3202</v>
      </c>
      <c r="AC686" s="3715">
        <v>2.198</v>
      </c>
      <c r="AD686" s="3699">
        <f t="shared" si="376"/>
        <v>395.64</v>
      </c>
      <c r="AE686" s="3680"/>
      <c r="AF686" s="3700" t="s">
        <v>6124</v>
      </c>
      <c r="AG686" s="3680" t="s">
        <v>416</v>
      </c>
      <c r="AH686" s="3680"/>
      <c r="AI686" s="3700"/>
      <c r="AJ686" s="3700"/>
      <c r="AK686" s="3700"/>
      <c r="AL686" s="4119">
        <f>I686</f>
        <v>180</v>
      </c>
      <c r="AM686" s="3700"/>
      <c r="AN686" s="3699"/>
      <c r="AO686" s="4113"/>
      <c r="AP686" s="3759"/>
      <c r="AQ686" s="4113">
        <f t="shared" si="386"/>
        <v>180</v>
      </c>
      <c r="AR686" s="4120"/>
      <c r="AS686" s="3759"/>
      <c r="AT686" s="4120">
        <f t="shared" si="411"/>
        <v>180</v>
      </c>
      <c r="AU686" s="3759"/>
      <c r="AV686" s="4120"/>
      <c r="AW686" s="3759"/>
      <c r="AX686" s="4120">
        <f t="shared" si="408"/>
        <v>30</v>
      </c>
      <c r="AY686" s="3759"/>
      <c r="AZ686" s="3759"/>
      <c r="BA686" s="3759"/>
      <c r="BB686" s="3759"/>
      <c r="BC686" s="3759"/>
      <c r="BD686" s="3759"/>
      <c r="BE686" s="3759"/>
      <c r="BF686" s="3759"/>
      <c r="BG686" s="3759"/>
      <c r="BH686" s="4120"/>
      <c r="BI686" s="3759" t="s">
        <v>89</v>
      </c>
      <c r="BJ686" s="4120">
        <f t="shared" si="401"/>
        <v>6</v>
      </c>
      <c r="BK686" s="4120">
        <f t="shared" si="402"/>
        <v>30</v>
      </c>
      <c r="BL686" s="4120">
        <f t="shared" si="403"/>
        <v>30</v>
      </c>
      <c r="BM686" s="4120">
        <f t="shared" si="404"/>
        <v>24</v>
      </c>
      <c r="BN686" s="4120">
        <f t="shared" si="405"/>
        <v>30</v>
      </c>
      <c r="BO686" s="4121">
        <f t="shared" si="406"/>
        <v>30</v>
      </c>
      <c r="BP686" s="4122">
        <f t="shared" si="407"/>
        <v>30</v>
      </c>
      <c r="BQ686" s="4122">
        <f t="shared" si="409"/>
        <v>180</v>
      </c>
      <c r="BR686" s="3627">
        <f t="shared" si="387"/>
        <v>0</v>
      </c>
      <c r="BS686" s="4123"/>
    </row>
    <row r="687" s="3567" customFormat="1" ht="50" customHeight="1" spans="1:72">
      <c r="A687" s="4112">
        <v>46016</v>
      </c>
      <c r="B687" s="4176" t="s">
        <v>6341</v>
      </c>
      <c r="C687" s="4177" t="s">
        <v>506</v>
      </c>
      <c r="D687" s="3699">
        <v>4500189819</v>
      </c>
      <c r="E687" s="3700">
        <v>47904951</v>
      </c>
      <c r="F687" s="3700" t="s">
        <v>8035</v>
      </c>
      <c r="G687" s="3700" t="s">
        <v>6124</v>
      </c>
      <c r="H687" s="3699" t="s">
        <v>6063</v>
      </c>
      <c r="I687" s="4175">
        <v>372</v>
      </c>
      <c r="J687" s="3699">
        <v>0</v>
      </c>
      <c r="K687" s="3699">
        <v>12</v>
      </c>
      <c r="L687" s="3699">
        <f t="shared" si="385"/>
        <v>31</v>
      </c>
      <c r="M687" s="3707">
        <v>46083</v>
      </c>
      <c r="N687" s="3707">
        <f t="shared" si="410"/>
        <v>46079</v>
      </c>
      <c r="O687" s="3708"/>
      <c r="P687" s="3700" t="s">
        <v>82</v>
      </c>
      <c r="Q687" s="4145">
        <v>372</v>
      </c>
      <c r="R687" s="4157">
        <f t="shared" si="373"/>
        <v>0</v>
      </c>
      <c r="S687" s="4184"/>
      <c r="T687" s="4145" t="s">
        <v>321</v>
      </c>
      <c r="U687" s="3710" t="s">
        <v>2385</v>
      </c>
      <c r="V687" s="3711" t="s">
        <v>619</v>
      </c>
      <c r="W687" s="3709"/>
      <c r="X687" s="3712" t="s">
        <v>6345</v>
      </c>
      <c r="Y687" s="3726"/>
      <c r="Z687" s="4178"/>
      <c r="AA687" s="3680" t="s">
        <v>7439</v>
      </c>
      <c r="AB687" s="3699" t="s">
        <v>3202</v>
      </c>
      <c r="AC687" s="3715">
        <v>2.198</v>
      </c>
      <c r="AD687" s="3699">
        <f t="shared" si="376"/>
        <v>817.656</v>
      </c>
      <c r="AE687" s="3680"/>
      <c r="AF687" s="3700" t="s">
        <v>6124</v>
      </c>
      <c r="AG687" s="3680" t="s">
        <v>416</v>
      </c>
      <c r="AH687" s="3680"/>
      <c r="AI687" s="3700"/>
      <c r="AJ687" s="3700"/>
      <c r="AK687" s="3700"/>
      <c r="AL687" s="4119">
        <f>I687</f>
        <v>372</v>
      </c>
      <c r="AM687" s="3700"/>
      <c r="AN687" s="3699"/>
      <c r="AO687" s="4113"/>
      <c r="AP687" s="3759"/>
      <c r="AQ687" s="4113">
        <f t="shared" si="386"/>
        <v>372</v>
      </c>
      <c r="AR687" s="4120"/>
      <c r="AS687" s="3759"/>
      <c r="AT687" s="4120">
        <f t="shared" si="411"/>
        <v>372</v>
      </c>
      <c r="AU687" s="3759"/>
      <c r="AV687" s="4120"/>
      <c r="AW687" s="3759"/>
      <c r="AX687" s="4120">
        <f t="shared" si="408"/>
        <v>62</v>
      </c>
      <c r="AY687" s="3759"/>
      <c r="AZ687" s="3759"/>
      <c r="BA687" s="3759"/>
      <c r="BB687" s="3759"/>
      <c r="BC687" s="3759"/>
      <c r="BD687" s="3759"/>
      <c r="BE687" s="3759"/>
      <c r="BF687" s="3759"/>
      <c r="BG687" s="3759"/>
      <c r="BH687" s="4120"/>
      <c r="BI687" s="3759" t="s">
        <v>89</v>
      </c>
      <c r="BJ687" s="4120">
        <f t="shared" si="401"/>
        <v>12.4</v>
      </c>
      <c r="BK687" s="4120">
        <f t="shared" si="402"/>
        <v>62</v>
      </c>
      <c r="BL687" s="4120">
        <f t="shared" si="403"/>
        <v>62</v>
      </c>
      <c r="BM687" s="4120">
        <f t="shared" si="404"/>
        <v>49.6</v>
      </c>
      <c r="BN687" s="4120">
        <f t="shared" si="405"/>
        <v>62</v>
      </c>
      <c r="BO687" s="4121">
        <f t="shared" si="406"/>
        <v>62</v>
      </c>
      <c r="BP687" s="4122">
        <f t="shared" si="407"/>
        <v>62</v>
      </c>
      <c r="BQ687" s="4122">
        <f t="shared" si="409"/>
        <v>372</v>
      </c>
      <c r="BR687" s="3627">
        <f t="shared" si="387"/>
        <v>0</v>
      </c>
      <c r="BS687" s="4123"/>
    </row>
    <row r="688" s="3567" customFormat="1" ht="50" customHeight="1" spans="1:72">
      <c r="A688" s="4112">
        <v>46016</v>
      </c>
      <c r="B688" s="4176" t="s">
        <v>6341</v>
      </c>
      <c r="C688" s="4177" t="s">
        <v>506</v>
      </c>
      <c r="D688" s="3699">
        <v>4500189819</v>
      </c>
      <c r="E688" s="3700">
        <v>47905011</v>
      </c>
      <c r="F688" s="3700" t="s">
        <v>8036</v>
      </c>
      <c r="G688" s="3700" t="s">
        <v>6124</v>
      </c>
      <c r="H688" s="3699" t="s">
        <v>6063</v>
      </c>
      <c r="I688" s="4175">
        <v>564</v>
      </c>
      <c r="J688" s="3699">
        <v>0</v>
      </c>
      <c r="K688" s="3699">
        <v>12</v>
      </c>
      <c r="L688" s="3699">
        <f t="shared" si="385"/>
        <v>47</v>
      </c>
      <c r="M688" s="3707">
        <v>46083</v>
      </c>
      <c r="N688" s="3707">
        <f t="shared" si="410"/>
        <v>46079</v>
      </c>
      <c r="O688" s="3708"/>
      <c r="P688" s="3700" t="s">
        <v>82</v>
      </c>
      <c r="Q688" s="4145">
        <v>564</v>
      </c>
      <c r="R688" s="4157">
        <f t="shared" si="373"/>
        <v>0</v>
      </c>
      <c r="S688" s="4184"/>
      <c r="T688" s="4145" t="s">
        <v>321</v>
      </c>
      <c r="U688" s="3710" t="s">
        <v>2385</v>
      </c>
      <c r="V688" s="3711" t="s">
        <v>619</v>
      </c>
      <c r="W688" s="3709"/>
      <c r="X688" s="3712" t="s">
        <v>6345</v>
      </c>
      <c r="Y688" s="3726"/>
      <c r="Z688" s="4178"/>
      <c r="AA688" s="3680" t="s">
        <v>7439</v>
      </c>
      <c r="AB688" s="3699" t="s">
        <v>3202</v>
      </c>
      <c r="AC688" s="3715">
        <v>2.375</v>
      </c>
      <c r="AD688" s="3699">
        <f t="shared" si="376"/>
        <v>1339.5</v>
      </c>
      <c r="AE688" s="3680"/>
      <c r="AF688" s="3700" t="s">
        <v>6124</v>
      </c>
      <c r="AG688" s="3680" t="s">
        <v>416</v>
      </c>
      <c r="AH688" s="3680"/>
      <c r="AI688" s="3700"/>
      <c r="AJ688" s="3700"/>
      <c r="AK688" s="3700"/>
      <c r="AL688" s="4119">
        <f>I688</f>
        <v>564</v>
      </c>
      <c r="AM688" s="3700"/>
      <c r="AN688" s="3699"/>
      <c r="AO688" s="4113"/>
      <c r="AP688" s="3759"/>
      <c r="AQ688" s="4113">
        <f t="shared" si="386"/>
        <v>564</v>
      </c>
      <c r="AR688" s="4120"/>
      <c r="AS688" s="3759"/>
      <c r="AT688" s="4120">
        <f t="shared" si="411"/>
        <v>564</v>
      </c>
      <c r="AU688" s="3759"/>
      <c r="AV688" s="4120"/>
      <c r="AW688" s="3759"/>
      <c r="AX688" s="4120">
        <f t="shared" si="408"/>
        <v>94</v>
      </c>
      <c r="AY688" s="3759"/>
      <c r="AZ688" s="3759"/>
      <c r="BA688" s="3759"/>
      <c r="BB688" s="3759"/>
      <c r="BC688" s="3759"/>
      <c r="BD688" s="3759"/>
      <c r="BE688" s="3759"/>
      <c r="BF688" s="3759"/>
      <c r="BG688" s="3759"/>
      <c r="BH688" s="4120"/>
      <c r="BI688" s="3759" t="s">
        <v>89</v>
      </c>
      <c r="BJ688" s="4120">
        <f t="shared" si="401"/>
        <v>18.8</v>
      </c>
      <c r="BK688" s="4120">
        <f t="shared" si="402"/>
        <v>94</v>
      </c>
      <c r="BL688" s="4120">
        <f t="shared" si="403"/>
        <v>94</v>
      </c>
      <c r="BM688" s="4120">
        <f t="shared" si="404"/>
        <v>75.2</v>
      </c>
      <c r="BN688" s="4120">
        <f t="shared" si="405"/>
        <v>94</v>
      </c>
      <c r="BO688" s="4121">
        <f t="shared" si="406"/>
        <v>94</v>
      </c>
      <c r="BP688" s="4122">
        <f t="shared" si="407"/>
        <v>94</v>
      </c>
      <c r="BQ688" s="4122">
        <f t="shared" si="409"/>
        <v>564</v>
      </c>
      <c r="BR688" s="3627">
        <f t="shared" si="387"/>
        <v>0</v>
      </c>
      <c r="BS688" s="4123"/>
    </row>
    <row r="689" s="3567" customFormat="1" ht="50" customHeight="1" spans="1:314">
      <c r="A689" s="4112">
        <v>46016</v>
      </c>
      <c r="B689" s="4176" t="s">
        <v>6341</v>
      </c>
      <c r="C689" s="4177" t="s">
        <v>506</v>
      </c>
      <c r="D689" s="3699">
        <v>4500189819</v>
      </c>
      <c r="E689" s="3700">
        <v>47905092</v>
      </c>
      <c r="F689" s="3700" t="s">
        <v>8037</v>
      </c>
      <c r="G689" s="3700" t="s">
        <v>6124</v>
      </c>
      <c r="H689" s="3699" t="s">
        <v>6063</v>
      </c>
      <c r="I689" s="4175">
        <v>468</v>
      </c>
      <c r="J689" s="3699">
        <v>0</v>
      </c>
      <c r="K689" s="3699">
        <v>12</v>
      </c>
      <c r="L689" s="3699">
        <f t="shared" si="385"/>
        <v>39</v>
      </c>
      <c r="M689" s="3707">
        <v>46083</v>
      </c>
      <c r="N689" s="3707">
        <f t="shared" si="410"/>
        <v>46079</v>
      </c>
      <c r="O689" s="3708"/>
      <c r="P689" s="3700" t="s">
        <v>82</v>
      </c>
      <c r="Q689" s="4145">
        <v>468</v>
      </c>
      <c r="R689" s="4157">
        <f t="shared" si="373"/>
        <v>0</v>
      </c>
      <c r="S689" s="4185"/>
      <c r="T689" s="4145" t="s">
        <v>321</v>
      </c>
      <c r="U689" s="3710" t="s">
        <v>2385</v>
      </c>
      <c r="V689" s="3711" t="s">
        <v>619</v>
      </c>
      <c r="W689" s="3711"/>
      <c r="X689" s="3712" t="s">
        <v>6345</v>
      </c>
      <c r="Y689" s="3726"/>
      <c r="Z689" s="4178"/>
      <c r="AA689" s="3680" t="s">
        <v>7439</v>
      </c>
      <c r="AB689" s="3699" t="s">
        <v>3202</v>
      </c>
      <c r="AC689" s="3715">
        <v>2.375</v>
      </c>
      <c r="AD689" s="3699">
        <f t="shared" si="376"/>
        <v>1111.5</v>
      </c>
      <c r="AE689" s="3680"/>
      <c r="AF689" s="3700" t="s">
        <v>6124</v>
      </c>
      <c r="AG689" s="3680" t="s">
        <v>416</v>
      </c>
      <c r="AH689" s="3680"/>
      <c r="AI689" s="3700"/>
      <c r="AJ689" s="3700"/>
      <c r="AK689" s="3700"/>
      <c r="AL689" s="4119">
        <f>I689</f>
        <v>468</v>
      </c>
      <c r="AM689" s="3700"/>
      <c r="AN689" s="3699"/>
      <c r="AO689" s="4113"/>
      <c r="AP689" s="3759"/>
      <c r="AQ689" s="4113">
        <f t="shared" si="386"/>
        <v>468</v>
      </c>
      <c r="AR689" s="4120"/>
      <c r="AS689" s="3759"/>
      <c r="AT689" s="4120">
        <f t="shared" si="411"/>
        <v>468</v>
      </c>
      <c r="AU689" s="3759"/>
      <c r="AV689" s="4120"/>
      <c r="AW689" s="3759"/>
      <c r="AX689" s="4120">
        <f t="shared" si="408"/>
        <v>78</v>
      </c>
      <c r="AY689" s="3759"/>
      <c r="AZ689" s="3759"/>
      <c r="BA689" s="3759"/>
      <c r="BB689" s="3759"/>
      <c r="BC689" s="3759"/>
      <c r="BD689" s="3759"/>
      <c r="BE689" s="3759"/>
      <c r="BF689" s="3759"/>
      <c r="BG689" s="3759"/>
      <c r="BH689" s="4120"/>
      <c r="BI689" s="3759" t="s">
        <v>89</v>
      </c>
      <c r="BJ689" s="4120">
        <f t="shared" si="401"/>
        <v>15.6</v>
      </c>
      <c r="BK689" s="4120">
        <f t="shared" si="402"/>
        <v>78</v>
      </c>
      <c r="BL689" s="4120">
        <f t="shared" si="403"/>
        <v>78</v>
      </c>
      <c r="BM689" s="4120">
        <f t="shared" si="404"/>
        <v>62.4</v>
      </c>
      <c r="BN689" s="4120">
        <f t="shared" si="405"/>
        <v>78</v>
      </c>
      <c r="BO689" s="4121">
        <f t="shared" si="406"/>
        <v>78</v>
      </c>
      <c r="BP689" s="4122">
        <f t="shared" si="407"/>
        <v>78</v>
      </c>
      <c r="BQ689" s="4122">
        <f t="shared" si="409"/>
        <v>468</v>
      </c>
      <c r="BR689" s="3627">
        <f t="shared" si="387"/>
        <v>0</v>
      </c>
      <c r="BS689" s="4123"/>
    </row>
    <row r="690" s="3567" customFormat="1" ht="50" customHeight="1" spans="1:314">
      <c r="A690" s="4112">
        <v>46035</v>
      </c>
      <c r="B690" s="3766" t="s">
        <v>2804</v>
      </c>
      <c r="C690" s="3766" t="s">
        <v>91</v>
      </c>
      <c r="D690" s="3699">
        <v>4500191213</v>
      </c>
      <c r="E690" s="3700">
        <v>33826</v>
      </c>
      <c r="F690" s="3699" t="s">
        <v>8038</v>
      </c>
      <c r="G690" s="3700" t="s">
        <v>6195</v>
      </c>
      <c r="H690" s="3699" t="s">
        <v>6063</v>
      </c>
      <c r="I690" s="3699">
        <v>600</v>
      </c>
      <c r="J690" s="3699">
        <v>0</v>
      </c>
      <c r="K690" s="3699">
        <v>12</v>
      </c>
      <c r="L690" s="4113">
        <f t="shared" si="385"/>
        <v>50</v>
      </c>
      <c r="M690" s="3707">
        <v>46083</v>
      </c>
      <c r="N690" s="3707">
        <f t="shared" si="410"/>
        <v>46079</v>
      </c>
      <c r="O690" s="3708"/>
      <c r="P690" s="3700" t="s">
        <v>82</v>
      </c>
      <c r="Q690" s="4145">
        <v>600</v>
      </c>
      <c r="R690" s="4157">
        <f t="shared" si="373"/>
        <v>0</v>
      </c>
      <c r="S690" s="4186" t="s">
        <v>98</v>
      </c>
      <c r="T690" s="4145" t="s">
        <v>321</v>
      </c>
      <c r="U690" s="3709" t="s">
        <v>5548</v>
      </c>
      <c r="V690" s="3711" t="s">
        <v>2397</v>
      </c>
      <c r="W690" s="3709"/>
      <c r="X690" s="4154" t="s">
        <v>98</v>
      </c>
      <c r="Y690" s="3680"/>
      <c r="Z690" s="3769"/>
      <c r="AA690" s="3680" t="s">
        <v>8039</v>
      </c>
      <c r="AB690" s="3699" t="s">
        <v>1917</v>
      </c>
      <c r="AC690" s="3715">
        <v>1.3201</v>
      </c>
      <c r="AD690" s="3699">
        <f t="shared" si="376"/>
        <v>792.06</v>
      </c>
      <c r="AE690" s="3680"/>
      <c r="AF690" s="3700" t="s">
        <v>6195</v>
      </c>
      <c r="AG690" s="3680" t="s">
        <v>416</v>
      </c>
      <c r="AH690" s="3680"/>
      <c r="AI690" s="3700"/>
      <c r="AJ690" s="3700"/>
      <c r="AK690" s="4119"/>
      <c r="AL690" s="4119">
        <f>I690</f>
        <v>600</v>
      </c>
      <c r="AM690" s="3700"/>
      <c r="AN690" s="3699"/>
      <c r="AO690" s="4113"/>
      <c r="AP690" s="3759"/>
      <c r="AQ690" s="3759">
        <f t="shared" si="386"/>
        <v>600</v>
      </c>
      <c r="AR690" s="4120"/>
      <c r="AS690" s="3759"/>
      <c r="AT690" s="3759">
        <f t="shared" si="411"/>
        <v>600</v>
      </c>
      <c r="AU690" s="3759"/>
      <c r="AV690" s="3759"/>
      <c r="AW690" s="3759"/>
      <c r="AX690" s="4120"/>
      <c r="AY690" s="3759"/>
      <c r="AZ690" s="3759">
        <f>I690/6</f>
        <v>100</v>
      </c>
      <c r="BA690" s="3759"/>
      <c r="BB690" s="3759"/>
      <c r="BC690" s="3759"/>
      <c r="BD690" s="3759"/>
      <c r="BE690" s="3759"/>
      <c r="BF690" s="3759"/>
      <c r="BG690" s="3759"/>
      <c r="BH690" s="3759"/>
      <c r="BI690" s="3759" t="s">
        <v>89</v>
      </c>
      <c r="BJ690" s="3759">
        <f t="shared" si="401"/>
        <v>20</v>
      </c>
      <c r="BK690" s="3759">
        <f t="shared" si="402"/>
        <v>100</v>
      </c>
      <c r="BL690" s="3759">
        <f t="shared" si="403"/>
        <v>100</v>
      </c>
      <c r="BM690" s="4146">
        <f t="shared" si="404"/>
        <v>80</v>
      </c>
      <c r="BN690" s="3721">
        <f t="shared" si="405"/>
        <v>100</v>
      </c>
      <c r="BO690" s="3721">
        <f t="shared" si="406"/>
        <v>100</v>
      </c>
      <c r="BP690" s="3721">
        <f t="shared" si="407"/>
        <v>100</v>
      </c>
      <c r="BQ690" s="3724">
        <f t="shared" si="409"/>
        <v>600</v>
      </c>
      <c r="BR690" s="3721">
        <v>0</v>
      </c>
      <c r="BS690" s="4187"/>
      <c r="BT690" s="3774"/>
      <c r="BU690" s="3774"/>
      <c r="BV690" s="3774"/>
      <c r="BW690" s="3774"/>
      <c r="BX690" s="3774"/>
      <c r="BY690" s="3774"/>
      <c r="BZ690" s="3774"/>
      <c r="CA690" s="3774"/>
      <c r="CB690" s="3774"/>
      <c r="CC690" s="3774"/>
      <c r="CD690" s="3774"/>
      <c r="CE690" s="3774"/>
      <c r="CF690" s="3774"/>
      <c r="CG690" s="3774"/>
      <c r="CH690" s="3774"/>
      <c r="CI690" s="3774"/>
      <c r="CJ690" s="3774"/>
      <c r="CK690" s="3774"/>
      <c r="CL690" s="3774"/>
      <c r="CM690" s="3774"/>
      <c r="CN690" s="3774"/>
      <c r="CO690" s="3774"/>
      <c r="CP690" s="3774"/>
      <c r="CQ690" s="3774"/>
      <c r="CR690" s="3774"/>
      <c r="CS690" s="3774"/>
      <c r="CT690" s="3774"/>
      <c r="CU690" s="3774"/>
      <c r="CV690" s="3774"/>
      <c r="CW690" s="3774"/>
      <c r="CX690" s="3774"/>
      <c r="CY690" s="3774"/>
      <c r="CZ690" s="3774"/>
      <c r="DA690" s="3774"/>
      <c r="DB690" s="3774"/>
      <c r="DC690" s="3774"/>
      <c r="DD690" s="3774"/>
      <c r="DE690" s="3774"/>
      <c r="DF690" s="3774"/>
      <c r="DG690" s="3774"/>
      <c r="DH690" s="3774"/>
      <c r="DI690" s="3774"/>
      <c r="DJ690" s="3774"/>
      <c r="DK690" s="3774"/>
      <c r="DL690" s="3774"/>
      <c r="DM690" s="3774"/>
      <c r="DN690" s="3774"/>
      <c r="DO690" s="3774"/>
      <c r="DP690" s="3774"/>
      <c r="DQ690" s="3774"/>
      <c r="DR690" s="3774"/>
      <c r="DS690" s="3774"/>
      <c r="DT690" s="3774"/>
      <c r="DU690" s="3774"/>
      <c r="DV690" s="3774"/>
      <c r="DW690" s="3774"/>
      <c r="DX690" s="3774"/>
      <c r="DY690" s="3774"/>
      <c r="DZ690" s="3774"/>
      <c r="EA690" s="3774"/>
      <c r="EB690" s="3774"/>
      <c r="EC690" s="3774"/>
      <c r="ED690" s="3774"/>
      <c r="EE690" s="3774"/>
      <c r="EF690" s="3774"/>
      <c r="EG690" s="3774"/>
      <c r="EH690" s="3774"/>
      <c r="EI690" s="3774"/>
      <c r="EJ690" s="3774"/>
      <c r="EK690" s="3774"/>
      <c r="EL690" s="3774"/>
      <c r="EM690" s="3774"/>
      <c r="EN690" s="3774"/>
      <c r="EO690" s="3774"/>
      <c r="EP690" s="3774"/>
      <c r="EQ690" s="3774"/>
      <c r="ER690" s="3774"/>
      <c r="ES690" s="3774"/>
      <c r="ET690" s="3774"/>
      <c r="EU690" s="3774"/>
      <c r="EV690" s="3774"/>
      <c r="EW690" s="3774"/>
      <c r="EX690" s="3774"/>
      <c r="EY690" s="3774"/>
      <c r="EZ690" s="3774"/>
      <c r="FA690" s="3774"/>
      <c r="FB690" s="3774"/>
      <c r="FC690" s="3774"/>
      <c r="FD690" s="3774"/>
      <c r="FE690" s="3774"/>
      <c r="FF690" s="3774"/>
      <c r="FG690" s="3774"/>
      <c r="FH690" s="3774"/>
      <c r="FI690" s="3774"/>
      <c r="FJ690" s="3774"/>
      <c r="FK690" s="3774"/>
      <c r="FL690" s="3774"/>
      <c r="FM690" s="3774"/>
      <c r="FN690" s="3774"/>
      <c r="FO690" s="3774"/>
      <c r="FP690" s="3774"/>
      <c r="FQ690" s="3774"/>
      <c r="FR690" s="3774"/>
      <c r="FS690" s="3774"/>
      <c r="FT690" s="3774"/>
      <c r="FU690" s="3774"/>
      <c r="FV690" s="3774"/>
      <c r="FW690" s="3774"/>
      <c r="FX690" s="3774"/>
      <c r="FY690" s="3774"/>
      <c r="FZ690" s="3774"/>
      <c r="GA690" s="3774"/>
      <c r="GB690" s="3774"/>
      <c r="GC690" s="3774"/>
      <c r="GD690" s="3774"/>
      <c r="GE690" s="3774"/>
      <c r="GF690" s="3774"/>
      <c r="GG690" s="3774"/>
      <c r="GH690" s="3774"/>
      <c r="GI690" s="3774"/>
      <c r="GJ690" s="3774"/>
      <c r="GK690" s="3774"/>
      <c r="GL690" s="3774"/>
      <c r="GM690" s="3774"/>
      <c r="GN690" s="3774"/>
      <c r="GO690" s="3774"/>
      <c r="GP690" s="3774"/>
      <c r="GQ690" s="3774"/>
      <c r="GR690" s="3774"/>
      <c r="GS690" s="3774"/>
      <c r="GT690" s="3774"/>
      <c r="GU690" s="3774"/>
      <c r="GV690" s="3774"/>
      <c r="GW690" s="3774"/>
      <c r="GX690" s="3774"/>
      <c r="GY690" s="3774"/>
      <c r="GZ690" s="3774"/>
      <c r="HA690" s="3774"/>
      <c r="HB690" s="3774"/>
      <c r="HC690" s="3774"/>
      <c r="HD690" s="3774"/>
      <c r="HE690" s="3774"/>
      <c r="HF690" s="3774"/>
      <c r="HG690" s="3774"/>
      <c r="HH690" s="3774"/>
      <c r="HI690" s="3774"/>
      <c r="HJ690" s="3774"/>
      <c r="HK690" s="3774"/>
      <c r="HL690" s="3774"/>
      <c r="HM690" s="3774"/>
      <c r="HN690" s="3774"/>
      <c r="HO690" s="3774"/>
      <c r="HP690" s="3774"/>
      <c r="HQ690" s="3774"/>
      <c r="HR690" s="3774"/>
      <c r="HS690" s="3774"/>
      <c r="HT690" s="3774"/>
      <c r="HU690" s="3774"/>
      <c r="HV690" s="3774"/>
      <c r="HW690" s="3774"/>
      <c r="HX690" s="3774"/>
      <c r="HY690" s="3774"/>
      <c r="HZ690" s="3774"/>
      <c r="IA690" s="3774"/>
      <c r="IB690" s="3774"/>
      <c r="IC690" s="3774"/>
      <c r="ID690" s="3774"/>
      <c r="IE690" s="3774"/>
      <c r="IF690" s="3774"/>
      <c r="IG690" s="3774"/>
      <c r="IH690" s="3774"/>
      <c r="II690" s="3774"/>
      <c r="IJ690" s="3774"/>
      <c r="IK690" s="3774"/>
      <c r="IL690" s="3774"/>
      <c r="IM690" s="3774"/>
      <c r="IN690" s="3774"/>
      <c r="IO690" s="3774"/>
      <c r="IP690" s="3774"/>
      <c r="IQ690" s="3774"/>
      <c r="IR690" s="3774"/>
      <c r="IS690" s="3774"/>
      <c r="IT690" s="3774"/>
      <c r="IU690" s="3774"/>
      <c r="IV690" s="3774"/>
      <c r="IW690" s="3774"/>
      <c r="IX690" s="3774"/>
      <c r="IY690" s="3774"/>
      <c r="IZ690" s="3774"/>
      <c r="JA690" s="3774"/>
      <c r="JB690" s="3774"/>
      <c r="JC690" s="3774"/>
      <c r="JD690" s="3774"/>
      <c r="JE690" s="3774"/>
      <c r="JF690" s="3774"/>
      <c r="JG690" s="3774"/>
      <c r="JH690" s="3774"/>
      <c r="JI690" s="3774"/>
      <c r="JJ690" s="3774"/>
      <c r="JK690" s="3774"/>
      <c r="JL690" s="3774"/>
      <c r="JM690" s="3774"/>
      <c r="JN690" s="3774"/>
      <c r="JO690" s="3774"/>
      <c r="JP690" s="3774"/>
      <c r="JQ690" s="3774"/>
      <c r="JR690" s="3774"/>
      <c r="JS690" s="3774"/>
      <c r="JT690" s="3774"/>
      <c r="JU690" s="3774"/>
      <c r="JV690" s="3774"/>
      <c r="JW690" s="3774"/>
      <c r="JX690" s="3774"/>
      <c r="JY690" s="3774"/>
      <c r="JZ690" s="3774"/>
      <c r="KA690" s="3774"/>
      <c r="KB690" s="3774"/>
      <c r="KC690" s="3774"/>
      <c r="KD690" s="3774"/>
      <c r="KE690" s="3774"/>
      <c r="KF690" s="3774"/>
      <c r="KG690" s="3774"/>
      <c r="KH690" s="3774"/>
      <c r="KI690" s="3774"/>
      <c r="KJ690" s="3774"/>
      <c r="KK690" s="3774"/>
      <c r="KL690" s="3774"/>
      <c r="KM690" s="3774"/>
      <c r="KN690" s="3774"/>
      <c r="KO690" s="3774"/>
      <c r="KP690" s="3774"/>
      <c r="KQ690" s="3774"/>
      <c r="KR690" s="3774"/>
      <c r="KS690" s="3774"/>
      <c r="KT690" s="3774"/>
      <c r="KU690" s="3774"/>
      <c r="KV690" s="3774"/>
      <c r="KW690" s="3774"/>
      <c r="KX690" s="3774"/>
      <c r="KY690" s="3774"/>
      <c r="KZ690" s="3774"/>
      <c r="LA690" s="3774"/>
    </row>
    <row r="691" s="3567" customFormat="1" ht="50" customHeight="1" spans="1:314">
      <c r="A691" s="4112">
        <v>45979</v>
      </c>
      <c r="B691" s="3766" t="s">
        <v>5258</v>
      </c>
      <c r="C691" s="3766" t="s">
        <v>569</v>
      </c>
      <c r="D691" s="3699">
        <v>4500183333</v>
      </c>
      <c r="E691" s="3700">
        <v>2000008240</v>
      </c>
      <c r="F691" s="3700" t="s">
        <v>5602</v>
      </c>
      <c r="G691" s="3700" t="s">
        <v>6643</v>
      </c>
      <c r="H691" s="3699" t="s">
        <v>3517</v>
      </c>
      <c r="I691" s="4113">
        <v>1044</v>
      </c>
      <c r="J691" s="3699">
        <v>0</v>
      </c>
      <c r="K691" s="3699">
        <v>12</v>
      </c>
      <c r="L691" s="3699">
        <v>87</v>
      </c>
      <c r="M691" s="3707">
        <v>46083</v>
      </c>
      <c r="N691" s="3707">
        <v>46079</v>
      </c>
      <c r="O691" s="3708"/>
      <c r="P691" s="3700" t="s">
        <v>82</v>
      </c>
      <c r="Q691" s="4157">
        <v>1044</v>
      </c>
      <c r="R691" s="4157">
        <f t="shared" si="373"/>
        <v>0</v>
      </c>
      <c r="S691" s="4145" t="s">
        <v>2297</v>
      </c>
      <c r="T691" s="4145" t="s">
        <v>321</v>
      </c>
      <c r="U691" s="3680"/>
      <c r="V691" s="3711" t="s">
        <v>2370</v>
      </c>
      <c r="W691" s="3711"/>
      <c r="X691" s="3711" t="s">
        <v>5261</v>
      </c>
      <c r="Y691" s="3709"/>
      <c r="Z691" s="3712"/>
      <c r="AA691" s="3680" t="s">
        <v>5603</v>
      </c>
      <c r="AB691" s="3769" t="s">
        <v>1298</v>
      </c>
      <c r="AC691" s="4118">
        <v>4.9215</v>
      </c>
      <c r="AD691" s="3699">
        <v>5138.046</v>
      </c>
      <c r="AE691" s="3715"/>
      <c r="AF691" s="3700" t="s">
        <v>6263</v>
      </c>
      <c r="AG691" s="3680" t="s">
        <v>416</v>
      </c>
      <c r="AH691" s="3680"/>
      <c r="AI691" s="3680"/>
      <c r="AJ691" s="3680"/>
      <c r="AK691" s="3700"/>
      <c r="AL691" s="3700"/>
      <c r="AM691" s="3700"/>
      <c r="AN691" s="4119">
        <f>I691</f>
        <v>1044</v>
      </c>
      <c r="AO691" s="3700"/>
      <c r="AP691" s="3699"/>
      <c r="AQ691" s="4113">
        <f t="shared" si="386"/>
        <v>1044</v>
      </c>
      <c r="AR691" s="3759"/>
      <c r="AS691" s="3759"/>
      <c r="AT691" s="4120"/>
      <c r="AU691" s="3759"/>
      <c r="AV691" s="4120">
        <f>I691</f>
        <v>1044</v>
      </c>
      <c r="AW691" s="3759"/>
      <c r="AX691" s="4120"/>
      <c r="AY691" s="3759"/>
      <c r="AZ691" s="3759"/>
      <c r="BA691" s="3759"/>
      <c r="BB691" s="3759"/>
      <c r="BC691" s="3759"/>
      <c r="BD691" s="3759"/>
      <c r="BE691" s="3759"/>
      <c r="BF691" s="3759"/>
      <c r="BG691" s="3759"/>
      <c r="BH691" s="3759"/>
      <c r="BI691" s="3759" t="s">
        <v>89</v>
      </c>
      <c r="BJ691" s="3759">
        <v>34.8</v>
      </c>
      <c r="BK691" s="3759">
        <v>174</v>
      </c>
      <c r="BL691" s="3759">
        <v>174</v>
      </c>
      <c r="BM691" s="3759">
        <v>139.2</v>
      </c>
      <c r="BN691" s="3759">
        <v>174</v>
      </c>
      <c r="BO691" s="4146">
        <v>174</v>
      </c>
      <c r="BP691" s="3721">
        <v>174</v>
      </c>
      <c r="BQ691" s="3721">
        <v>1044</v>
      </c>
      <c r="BR691" s="3721">
        <v>0</v>
      </c>
      <c r="BS691" s="4123"/>
      <c r="BT691" s="4124"/>
    </row>
    <row r="692" s="3567" customFormat="1" ht="50" customHeight="1" spans="1:314">
      <c r="A692" s="4112">
        <v>46015</v>
      </c>
      <c r="B692" s="3766" t="s">
        <v>331</v>
      </c>
      <c r="C692" s="3766" t="s">
        <v>7896</v>
      </c>
      <c r="D692" s="3699">
        <v>4500189742</v>
      </c>
      <c r="E692" s="3700" t="s">
        <v>8040</v>
      </c>
      <c r="F692" s="3700" t="s">
        <v>8041</v>
      </c>
      <c r="G692" s="3700" t="s">
        <v>6298</v>
      </c>
      <c r="H692" s="3699" t="s">
        <v>6063</v>
      </c>
      <c r="I692" s="4175">
        <v>4000</v>
      </c>
      <c r="J692" s="3699">
        <v>0</v>
      </c>
      <c r="K692" s="3699">
        <v>4</v>
      </c>
      <c r="L692" s="4113">
        <f t="shared" ref="L692:L755" si="412">I692/K692</f>
        <v>1000</v>
      </c>
      <c r="M692" s="3707">
        <v>46080</v>
      </c>
      <c r="N692" s="3707">
        <v>46076</v>
      </c>
      <c r="O692" s="3708" t="s">
        <v>8042</v>
      </c>
      <c r="P692" s="3700" t="s">
        <v>82</v>
      </c>
      <c r="Q692" s="4145">
        <v>4000</v>
      </c>
      <c r="R692" s="4157">
        <f t="shared" si="373"/>
        <v>0</v>
      </c>
      <c r="S692" s="4145" t="s">
        <v>2297</v>
      </c>
      <c r="T692" s="4145" t="s">
        <v>321</v>
      </c>
      <c r="U692" s="3680" t="s">
        <v>5670</v>
      </c>
      <c r="V692" s="3711" t="s">
        <v>3121</v>
      </c>
      <c r="W692" s="3710"/>
      <c r="X692" s="3711" t="s">
        <v>8043</v>
      </c>
      <c r="Y692" s="3709"/>
      <c r="Z692" s="3712"/>
      <c r="AA692" s="3680" t="s">
        <v>8044</v>
      </c>
      <c r="AB692" s="3769" t="s">
        <v>5135</v>
      </c>
      <c r="AC692" s="4118">
        <v>2.2409</v>
      </c>
      <c r="AD692" s="3699">
        <f t="shared" ref="AD692:AD697" si="413">AC692*I692</f>
        <v>8963.6</v>
      </c>
      <c r="AE692" s="3715"/>
      <c r="AF692" s="3700" t="s">
        <v>6298</v>
      </c>
      <c r="AG692" s="3680" t="s">
        <v>416</v>
      </c>
      <c r="AH692" s="3680"/>
      <c r="AI692" s="3680"/>
      <c r="AJ692" s="3680"/>
      <c r="AK692" s="3700"/>
      <c r="AL692" s="4119">
        <f>I692</f>
        <v>4000</v>
      </c>
      <c r="AM692" s="3700"/>
      <c r="AN692" s="4119"/>
      <c r="AO692" s="3700"/>
      <c r="AP692" s="3699"/>
      <c r="AQ692" s="4113">
        <f t="shared" si="386"/>
        <v>4000</v>
      </c>
      <c r="AR692" s="3759"/>
      <c r="AS692" s="3759"/>
      <c r="AT692" s="4120">
        <f>I692</f>
        <v>4000</v>
      </c>
      <c r="AU692" s="3759"/>
      <c r="AV692" s="3759"/>
      <c r="AW692" s="3759"/>
      <c r="AX692" s="4120"/>
      <c r="AY692" s="3759"/>
      <c r="AZ692" s="3759"/>
      <c r="BA692" s="3759"/>
      <c r="BB692" s="3759"/>
      <c r="BC692" s="3759"/>
      <c r="BD692" s="4120">
        <f>I692/4</f>
        <v>1000</v>
      </c>
      <c r="BE692" s="3759"/>
      <c r="BF692" s="3759"/>
      <c r="BG692" s="3759"/>
      <c r="BH692" s="3759"/>
      <c r="BI692" s="3759" t="s">
        <v>89</v>
      </c>
      <c r="BJ692" s="4120">
        <f>I692/60*2</f>
        <v>133.333333333333</v>
      </c>
      <c r="BK692" s="4120">
        <f>I692/60*10</f>
        <v>666.666666666667</v>
      </c>
      <c r="BL692" s="4120">
        <f>I692/60*10</f>
        <v>666.666666666667</v>
      </c>
      <c r="BM692" s="4120">
        <f>I692/60*8</f>
        <v>533.333333333333</v>
      </c>
      <c r="BN692" s="4120">
        <f>I692/60*10</f>
        <v>666.666666666667</v>
      </c>
      <c r="BO692" s="4121">
        <f>I692/60*10</f>
        <v>666.666666666667</v>
      </c>
      <c r="BP692" s="4122">
        <f>I692/60*10</f>
        <v>666.666666666667</v>
      </c>
      <c r="BQ692" s="4122">
        <f t="shared" ref="BQ692:BQ755" si="414">SUM(BJ692:BP692)</f>
        <v>4000</v>
      </c>
      <c r="BR692" s="4122">
        <f t="shared" ref="BR692:BR697" si="415">I692-BQ692</f>
        <v>0</v>
      </c>
      <c r="BS692" s="4123"/>
      <c r="BT692" s="4124"/>
    </row>
    <row r="693" s="3567" customFormat="1" ht="50" customHeight="1" spans="1:314">
      <c r="A693" s="4112">
        <v>46000</v>
      </c>
      <c r="B693" s="3766" t="s">
        <v>4670</v>
      </c>
      <c r="C693" s="3766" t="s">
        <v>341</v>
      </c>
      <c r="D693" s="3699">
        <v>4500187028</v>
      </c>
      <c r="E693" s="3700" t="s">
        <v>8045</v>
      </c>
      <c r="F693" s="3700" t="s">
        <v>8046</v>
      </c>
      <c r="G693" s="3700" t="s">
        <v>6753</v>
      </c>
      <c r="H693" s="3699" t="s">
        <v>6063</v>
      </c>
      <c r="I693" s="3699">
        <v>504</v>
      </c>
      <c r="J693" s="3699">
        <v>6</v>
      </c>
      <c r="K693" s="3699">
        <v>12</v>
      </c>
      <c r="L693" s="4113">
        <f t="shared" si="412"/>
        <v>42</v>
      </c>
      <c r="M693" s="3707">
        <v>46090</v>
      </c>
      <c r="N693" s="3707">
        <v>46086</v>
      </c>
      <c r="O693" s="3708"/>
      <c r="P693" s="3700" t="s">
        <v>82</v>
      </c>
      <c r="Q693" s="4145">
        <v>504</v>
      </c>
      <c r="R693" s="4157">
        <f t="shared" si="373"/>
        <v>0</v>
      </c>
      <c r="S693" s="4168" t="s">
        <v>98</v>
      </c>
      <c r="T693" s="4145" t="s">
        <v>321</v>
      </c>
      <c r="U693" s="3716" t="s">
        <v>5548</v>
      </c>
      <c r="V693" s="3709" t="s">
        <v>7916</v>
      </c>
      <c r="W693" s="3710"/>
      <c r="X693" s="4154" t="s">
        <v>98</v>
      </c>
      <c r="Y693" s="3711"/>
      <c r="Z693" s="3712"/>
      <c r="AA693" s="3716" t="s">
        <v>8047</v>
      </c>
      <c r="AB693" s="3802" t="s">
        <v>4665</v>
      </c>
      <c r="AC693" s="4188">
        <v>2.3486</v>
      </c>
      <c r="AD693" s="3802">
        <f t="shared" si="413"/>
        <v>1183.6944</v>
      </c>
      <c r="AE693" s="4189"/>
      <c r="AF693" s="3700" t="s">
        <v>6106</v>
      </c>
      <c r="AG693" s="3716" t="s">
        <v>416</v>
      </c>
      <c r="AH693" s="3716"/>
      <c r="AI693" s="3716"/>
      <c r="AJ693" s="3716"/>
      <c r="AK693" s="3801"/>
      <c r="AL693" s="4190">
        <f>I693</f>
        <v>504</v>
      </c>
      <c r="AM693" s="3801"/>
      <c r="AN693" s="4190"/>
      <c r="AO693" s="3801"/>
      <c r="AP693" s="3802"/>
      <c r="AQ693" s="4191">
        <f t="shared" si="386"/>
        <v>504</v>
      </c>
      <c r="AR693" s="3718"/>
      <c r="AS693" s="3718"/>
      <c r="AT693" s="3718">
        <f>I693</f>
        <v>504</v>
      </c>
      <c r="AU693" s="3718"/>
      <c r="AV693" s="3718"/>
      <c r="AW693" s="3718"/>
      <c r="AX693" s="4192">
        <f>I693/6</f>
        <v>84</v>
      </c>
      <c r="AY693" s="3718"/>
      <c r="AZ693" s="3718"/>
      <c r="BA693" s="3718"/>
      <c r="BB693" s="3718"/>
      <c r="BC693" s="3718"/>
      <c r="BD693" s="3718"/>
      <c r="BE693" s="3718"/>
      <c r="BF693" s="3718"/>
      <c r="BG693" s="3718"/>
      <c r="BH693" s="3718"/>
      <c r="BI693" s="3718" t="s">
        <v>89</v>
      </c>
      <c r="BJ693" s="3718">
        <f>I693/60*2</f>
        <v>16.8</v>
      </c>
      <c r="BK693" s="3718">
        <f>I693/60*10</f>
        <v>84</v>
      </c>
      <c r="BL693" s="3718">
        <f>I693/60*10</f>
        <v>84</v>
      </c>
      <c r="BM693" s="3718">
        <f>I693/60*8</f>
        <v>67.2</v>
      </c>
      <c r="BN693" s="3718">
        <f>I693/60*10</f>
        <v>84</v>
      </c>
      <c r="BO693" s="4193">
        <f>I693/60*10</f>
        <v>84</v>
      </c>
      <c r="BP693" s="3721">
        <f>I693/60*10</f>
        <v>84</v>
      </c>
      <c r="BQ693" s="3721">
        <f t="shared" si="414"/>
        <v>504</v>
      </c>
      <c r="BR693" s="3721">
        <f t="shared" si="415"/>
        <v>0</v>
      </c>
      <c r="BS693" s="4123"/>
      <c r="BT693" s="4124"/>
    </row>
    <row r="694" s="3567" customFormat="1" ht="50" customHeight="1" spans="1:314">
      <c r="A694" s="4112">
        <v>46036</v>
      </c>
      <c r="B694" s="3766" t="s">
        <v>1971</v>
      </c>
      <c r="C694" s="3766" t="s">
        <v>886</v>
      </c>
      <c r="D694" s="3699">
        <v>4500191314</v>
      </c>
      <c r="E694" s="3700" t="s">
        <v>8048</v>
      </c>
      <c r="F694" s="3700" t="s">
        <v>8049</v>
      </c>
      <c r="G694" s="3700" t="s">
        <v>3520</v>
      </c>
      <c r="H694" s="3699" t="s">
        <v>6063</v>
      </c>
      <c r="I694" s="4175">
        <v>600</v>
      </c>
      <c r="J694" s="3699">
        <v>0</v>
      </c>
      <c r="K694" s="3699">
        <v>24</v>
      </c>
      <c r="L694" s="4113">
        <f t="shared" si="412"/>
        <v>25</v>
      </c>
      <c r="M694" s="3707">
        <v>46091</v>
      </c>
      <c r="N694" s="3707">
        <v>46087</v>
      </c>
      <c r="O694" s="3708"/>
      <c r="P694" s="3700" t="s">
        <v>82</v>
      </c>
      <c r="Q694" s="4145">
        <v>600</v>
      </c>
      <c r="R694" s="4157">
        <f t="shared" si="373"/>
        <v>0</v>
      </c>
      <c r="S694" s="4182" t="s">
        <v>98</v>
      </c>
      <c r="T694" s="4182" t="s">
        <v>321</v>
      </c>
      <c r="U694" s="3711" t="s">
        <v>817</v>
      </c>
      <c r="V694" s="3711" t="s">
        <v>829</v>
      </c>
      <c r="W694" s="3711"/>
      <c r="X694" s="4154" t="s">
        <v>98</v>
      </c>
      <c r="Y694" s="3726"/>
      <c r="Z694" s="3699"/>
      <c r="AA694" s="3680" t="s">
        <v>8050</v>
      </c>
      <c r="AB694" s="3699" t="s">
        <v>892</v>
      </c>
      <c r="AC694" s="3715">
        <v>2.2017</v>
      </c>
      <c r="AD694" s="3699">
        <f t="shared" si="413"/>
        <v>1321.02</v>
      </c>
      <c r="AE694" s="3680"/>
      <c r="AF694" s="3700" t="s">
        <v>3520</v>
      </c>
      <c r="AG694" s="3680" t="s">
        <v>416</v>
      </c>
      <c r="AH694" s="3680"/>
      <c r="AI694" s="3700"/>
      <c r="AJ694" s="3700"/>
      <c r="AK694" s="3700"/>
      <c r="AL694" s="4119">
        <f>I694</f>
        <v>600</v>
      </c>
      <c r="AM694" s="3700"/>
      <c r="AN694" s="3699"/>
      <c r="AO694" s="4113"/>
      <c r="AP694" s="3759"/>
      <c r="AQ694" s="3759">
        <f t="shared" si="386"/>
        <v>600</v>
      </c>
      <c r="AR694" s="4120"/>
      <c r="AS694" s="3759"/>
      <c r="AT694" s="3759">
        <f>I694</f>
        <v>600</v>
      </c>
      <c r="AU694" s="3759"/>
      <c r="AV694" s="4120"/>
      <c r="AW694" s="3759"/>
      <c r="AX694" s="3759"/>
      <c r="AY694" s="3759"/>
      <c r="AZ694" s="3759"/>
      <c r="BA694" s="3759"/>
      <c r="BB694" s="3759"/>
      <c r="BC694" s="3759"/>
      <c r="BD694" s="3759"/>
      <c r="BE694" s="3759"/>
      <c r="BF694" s="3759"/>
      <c r="BG694" s="3759"/>
      <c r="BH694" s="3759"/>
      <c r="BI694" s="3759" t="s">
        <v>89</v>
      </c>
      <c r="BJ694" s="3759">
        <f>I694/60*2</f>
        <v>20</v>
      </c>
      <c r="BK694" s="3759">
        <f>I694/60*10</f>
        <v>100</v>
      </c>
      <c r="BL694" s="3759">
        <f>I694/60*10</f>
        <v>100</v>
      </c>
      <c r="BM694" s="4146">
        <f>I694/60*8</f>
        <v>80</v>
      </c>
      <c r="BN694" s="3721">
        <f>I694/60*10</f>
        <v>100</v>
      </c>
      <c r="BO694" s="3791">
        <f>I694/60*10</f>
        <v>100</v>
      </c>
      <c r="BP694" s="3721">
        <f>I694/60*10</f>
        <v>100</v>
      </c>
      <c r="BQ694" s="3724">
        <f t="shared" si="414"/>
        <v>600</v>
      </c>
      <c r="BR694" s="3721">
        <f t="shared" si="415"/>
        <v>0</v>
      </c>
      <c r="BS694" s="4187"/>
      <c r="BT694" s="3774"/>
      <c r="BU694" s="3774"/>
      <c r="BV694" s="3774"/>
      <c r="BW694" s="3774"/>
      <c r="BX694" s="3774"/>
      <c r="BY694" s="3774"/>
      <c r="BZ694" s="3774"/>
      <c r="CA694" s="3774"/>
      <c r="CB694" s="3774"/>
      <c r="CC694" s="3774"/>
      <c r="CD694" s="3774"/>
      <c r="CE694" s="3774"/>
      <c r="CF694" s="3774"/>
      <c r="CG694" s="3774"/>
      <c r="CH694" s="3774"/>
      <c r="CI694" s="3774"/>
      <c r="CJ694" s="3774"/>
      <c r="CK694" s="3774"/>
      <c r="CL694" s="3774"/>
      <c r="CM694" s="3774"/>
      <c r="CN694" s="3774"/>
      <c r="CO694" s="3774"/>
      <c r="CP694" s="3774"/>
      <c r="CQ694" s="3774"/>
      <c r="CR694" s="3774"/>
      <c r="CS694" s="3774"/>
      <c r="CT694" s="3774"/>
      <c r="CU694" s="3774"/>
      <c r="CV694" s="3774"/>
      <c r="CW694" s="3774"/>
      <c r="CX694" s="3774"/>
      <c r="CY694" s="3774"/>
      <c r="CZ694" s="3774"/>
      <c r="DA694" s="3774"/>
      <c r="DB694" s="3774"/>
      <c r="DC694" s="3774"/>
      <c r="DD694" s="3774"/>
      <c r="DE694" s="3774"/>
      <c r="DF694" s="3774"/>
      <c r="DG694" s="3774"/>
      <c r="DH694" s="3774"/>
      <c r="DI694" s="3774"/>
      <c r="DJ694" s="3774"/>
      <c r="DK694" s="3774"/>
      <c r="DL694" s="3774"/>
      <c r="DM694" s="3774"/>
      <c r="DN694" s="3774"/>
      <c r="DO694" s="3774"/>
      <c r="DP694" s="3774"/>
      <c r="DQ694" s="3774"/>
      <c r="DR694" s="3774"/>
      <c r="DS694" s="3774"/>
      <c r="DT694" s="3774"/>
      <c r="DU694" s="3774"/>
      <c r="DV694" s="3774"/>
      <c r="DW694" s="3774"/>
      <c r="DX694" s="3774"/>
      <c r="DY694" s="3774"/>
      <c r="DZ694" s="3774"/>
      <c r="EA694" s="3774"/>
      <c r="EB694" s="3774"/>
      <c r="EC694" s="3774"/>
      <c r="ED694" s="3774"/>
      <c r="EE694" s="3774"/>
      <c r="EF694" s="3774"/>
      <c r="EG694" s="3774"/>
      <c r="EH694" s="3774"/>
      <c r="EI694" s="3774"/>
      <c r="EJ694" s="3774"/>
      <c r="EK694" s="3774"/>
      <c r="EL694" s="3774"/>
      <c r="EM694" s="3774"/>
      <c r="EN694" s="3774"/>
      <c r="EO694" s="3774"/>
      <c r="EP694" s="3774"/>
      <c r="EQ694" s="3774"/>
      <c r="ER694" s="3774"/>
      <c r="ES694" s="3774"/>
      <c r="ET694" s="3774"/>
      <c r="EU694" s="3774"/>
      <c r="EV694" s="3774"/>
      <c r="EW694" s="3774"/>
      <c r="EX694" s="3774"/>
      <c r="EY694" s="3774"/>
      <c r="EZ694" s="3774"/>
      <c r="FA694" s="3774"/>
      <c r="FB694" s="3774"/>
      <c r="FC694" s="3774"/>
      <c r="FD694" s="3774"/>
      <c r="FE694" s="3774"/>
      <c r="FF694" s="3774"/>
      <c r="FG694" s="3774"/>
      <c r="FH694" s="3774"/>
      <c r="FI694" s="3774"/>
      <c r="FJ694" s="3774"/>
      <c r="FK694" s="3774"/>
      <c r="FL694" s="3774"/>
      <c r="FM694" s="3774"/>
      <c r="FN694" s="3774"/>
      <c r="FO694" s="3774"/>
      <c r="FP694" s="3774"/>
      <c r="FQ694" s="3774"/>
      <c r="FR694" s="3774"/>
      <c r="FS694" s="3774"/>
      <c r="FT694" s="3774"/>
      <c r="FU694" s="3774"/>
      <c r="FV694" s="3774"/>
      <c r="FW694" s="3774"/>
      <c r="FX694" s="3774"/>
      <c r="FY694" s="3774"/>
      <c r="FZ694" s="3774"/>
      <c r="GA694" s="3774"/>
      <c r="GB694" s="3774"/>
      <c r="GC694" s="3774"/>
      <c r="GD694" s="3774"/>
      <c r="GE694" s="3774"/>
      <c r="GF694" s="3774"/>
      <c r="GG694" s="3774"/>
      <c r="GH694" s="3774"/>
      <c r="GI694" s="3774"/>
      <c r="GJ694" s="3774"/>
      <c r="GK694" s="3774"/>
      <c r="GL694" s="3774"/>
      <c r="GM694" s="3774"/>
      <c r="GN694" s="3774"/>
      <c r="GO694" s="3774"/>
      <c r="GP694" s="3774"/>
      <c r="GQ694" s="3774"/>
      <c r="GR694" s="3774"/>
      <c r="GS694" s="3774"/>
      <c r="GT694" s="3774"/>
      <c r="GU694" s="3774"/>
      <c r="GV694" s="3774"/>
      <c r="GW694" s="3774"/>
      <c r="GX694" s="3774"/>
      <c r="GY694" s="3774"/>
      <c r="GZ694" s="3774"/>
      <c r="HA694" s="3774"/>
      <c r="HB694" s="3774"/>
      <c r="HC694" s="3774"/>
      <c r="HD694" s="3774"/>
      <c r="HE694" s="3774"/>
      <c r="HF694" s="3774"/>
      <c r="HG694" s="3774"/>
      <c r="HH694" s="3774"/>
      <c r="HI694" s="3774"/>
      <c r="HJ694" s="3774"/>
      <c r="HK694" s="3774"/>
      <c r="HL694" s="3774"/>
      <c r="HM694" s="3774"/>
      <c r="HN694" s="3774"/>
      <c r="HO694" s="3774"/>
      <c r="HP694" s="3774"/>
      <c r="HQ694" s="3774"/>
      <c r="HR694" s="3774"/>
      <c r="HS694" s="3774"/>
      <c r="HT694" s="3774"/>
      <c r="HU694" s="3774"/>
      <c r="HV694" s="3774"/>
      <c r="HW694" s="3774"/>
      <c r="HX694" s="3774"/>
      <c r="HY694" s="3774"/>
      <c r="HZ694" s="3774"/>
      <c r="IA694" s="3774"/>
      <c r="IB694" s="3774"/>
      <c r="IC694" s="3774"/>
      <c r="ID694" s="3774"/>
      <c r="IE694" s="3774"/>
      <c r="IF694" s="3774"/>
      <c r="IG694" s="3774"/>
      <c r="IH694" s="3774"/>
      <c r="II694" s="3774"/>
      <c r="IJ694" s="3774"/>
      <c r="IK694" s="3774"/>
      <c r="IL694" s="3774"/>
      <c r="IM694" s="3774"/>
      <c r="IN694" s="3774"/>
      <c r="IO694" s="3774"/>
      <c r="IP694" s="3774"/>
      <c r="IQ694" s="3774"/>
      <c r="IR694" s="3774"/>
      <c r="IS694" s="3774"/>
      <c r="IT694" s="3774"/>
      <c r="IU694" s="3774"/>
      <c r="IV694" s="3774"/>
      <c r="IW694" s="3774"/>
      <c r="IX694" s="3774"/>
      <c r="IY694" s="3774"/>
      <c r="IZ694" s="3774"/>
      <c r="JA694" s="3774"/>
      <c r="JB694" s="3774"/>
      <c r="JC694" s="3774"/>
      <c r="JD694" s="3774"/>
      <c r="JE694" s="3774"/>
      <c r="JF694" s="3774"/>
      <c r="JG694" s="3774"/>
      <c r="JH694" s="3774"/>
      <c r="JI694" s="3774"/>
      <c r="JJ694" s="3774"/>
      <c r="JK694" s="3774"/>
      <c r="JL694" s="3774"/>
      <c r="JM694" s="3774"/>
      <c r="JN694" s="3774"/>
      <c r="JO694" s="3774"/>
      <c r="JP694" s="3774"/>
      <c r="JQ694" s="3774"/>
      <c r="JR694" s="3774"/>
      <c r="JS694" s="3774"/>
      <c r="JT694" s="3774"/>
      <c r="JU694" s="3774"/>
      <c r="JV694" s="3774"/>
      <c r="JW694" s="3774"/>
      <c r="JX694" s="3774"/>
      <c r="JY694" s="3774"/>
      <c r="JZ694" s="3774"/>
      <c r="KA694" s="3774"/>
      <c r="KB694" s="3774"/>
      <c r="KC694" s="3774"/>
      <c r="KD694" s="3774"/>
      <c r="KE694" s="3774"/>
      <c r="KF694" s="3774"/>
      <c r="KG694" s="3774"/>
      <c r="KH694" s="3774"/>
      <c r="KI694" s="3774"/>
      <c r="KJ694" s="3774"/>
      <c r="KK694" s="3774"/>
      <c r="KL694" s="3774"/>
      <c r="KM694" s="3774"/>
      <c r="KN694" s="3774"/>
      <c r="KO694" s="3774"/>
      <c r="KP694" s="3774"/>
      <c r="KQ694" s="3774"/>
      <c r="KR694" s="3774"/>
      <c r="KS694" s="3774"/>
      <c r="KT694" s="3774"/>
      <c r="KU694" s="3774"/>
      <c r="KV694" s="3774"/>
      <c r="KW694" s="3774"/>
      <c r="KX694" s="3774"/>
      <c r="KY694" s="3774"/>
      <c r="KZ694" s="3774"/>
      <c r="LA694" s="3774"/>
    </row>
    <row r="695" s="3567" customFormat="1" ht="50" customHeight="1" spans="1:314">
      <c r="A695" s="4112">
        <v>46030</v>
      </c>
      <c r="B695" s="3766" t="s">
        <v>2171</v>
      </c>
      <c r="C695" s="3766" t="s">
        <v>471</v>
      </c>
      <c r="D695" s="3699">
        <v>4500190813</v>
      </c>
      <c r="E695" s="3700" t="s">
        <v>8051</v>
      </c>
      <c r="F695" s="3700" t="s">
        <v>8052</v>
      </c>
      <c r="G695" s="3700" t="s">
        <v>6281</v>
      </c>
      <c r="H695" s="3700" t="s">
        <v>6292</v>
      </c>
      <c r="I695" s="3699">
        <v>480</v>
      </c>
      <c r="J695" s="3699">
        <v>0</v>
      </c>
      <c r="K695" s="3699">
        <v>32</v>
      </c>
      <c r="L695" s="3699">
        <f t="shared" si="412"/>
        <v>15</v>
      </c>
      <c r="M695" s="3707">
        <v>46094</v>
      </c>
      <c r="N695" s="3707">
        <v>46090</v>
      </c>
      <c r="O695" s="3708"/>
      <c r="P695" s="3700" t="s">
        <v>82</v>
      </c>
      <c r="Q695" s="4145">
        <v>480</v>
      </c>
      <c r="R695" s="4157">
        <f t="shared" si="373"/>
        <v>0</v>
      </c>
      <c r="S695" s="4184" t="s">
        <v>2297</v>
      </c>
      <c r="T695" s="4145" t="s">
        <v>321</v>
      </c>
      <c r="U695" s="4194" t="s">
        <v>8053</v>
      </c>
      <c r="V695" s="4195" t="s">
        <v>1793</v>
      </c>
      <c r="W695" s="3780"/>
      <c r="X695" s="4195" t="s">
        <v>8054</v>
      </c>
      <c r="Y695" s="4196"/>
      <c r="Z695" s="3769"/>
      <c r="AA695" s="3794" t="s">
        <v>8055</v>
      </c>
      <c r="AB695" s="3769" t="s">
        <v>1631</v>
      </c>
      <c r="AC695" s="4197">
        <v>2.3158</v>
      </c>
      <c r="AD695" s="3699">
        <f t="shared" si="413"/>
        <v>1111.584</v>
      </c>
      <c r="AE695" s="3794"/>
      <c r="AF695" s="3700" t="s">
        <v>6106</v>
      </c>
      <c r="AG695" s="3794" t="s">
        <v>416</v>
      </c>
      <c r="AH695" s="3794"/>
      <c r="AI695" s="3766"/>
      <c r="AJ695" s="3766"/>
      <c r="AK695" s="3766"/>
      <c r="AL695" s="4198"/>
      <c r="AM695" s="3766"/>
      <c r="AN695" s="4119">
        <f>I695</f>
        <v>480</v>
      </c>
      <c r="AO695" s="4199"/>
      <c r="AP695" s="3797"/>
      <c r="AQ695" s="4191">
        <f t="shared" si="386"/>
        <v>480</v>
      </c>
      <c r="AR695" s="4200"/>
      <c r="AS695" s="3797"/>
      <c r="AT695" s="3797"/>
      <c r="AU695" s="3797"/>
      <c r="AV695" s="4200"/>
      <c r="AW695" s="3797"/>
      <c r="AX695" s="3797"/>
      <c r="AY695" s="3797"/>
      <c r="AZ695" s="3797"/>
      <c r="BA695" s="3797"/>
      <c r="BB695" s="3797"/>
      <c r="BC695" s="3797"/>
      <c r="BD695" s="3797"/>
      <c r="BE695" s="3797"/>
      <c r="BF695" s="3797"/>
      <c r="BG695" s="3797"/>
      <c r="BH695" s="3797"/>
      <c r="BI695" s="4200" t="s">
        <v>89</v>
      </c>
      <c r="BJ695" s="4200"/>
      <c r="BK695" s="4200">
        <f>I695</f>
        <v>480</v>
      </c>
      <c r="BL695" s="4200"/>
      <c r="BM695" s="4201"/>
      <c r="BN695" s="4202"/>
      <c r="BO695" s="4203"/>
      <c r="BP695" s="3721"/>
      <c r="BQ695" s="3724">
        <f t="shared" si="414"/>
        <v>480</v>
      </c>
      <c r="BR695" s="3721">
        <f t="shared" si="415"/>
        <v>0</v>
      </c>
      <c r="BS695" s="4123"/>
    </row>
    <row r="696" s="3569" customFormat="1" ht="50" customHeight="1" spans="1:314">
      <c r="A696" s="4204">
        <v>46035</v>
      </c>
      <c r="B696" s="3700" t="s">
        <v>1641</v>
      </c>
      <c r="C696" s="3700" t="s">
        <v>396</v>
      </c>
      <c r="D696" s="3699">
        <v>4500191206</v>
      </c>
      <c r="E696" s="3700" t="s">
        <v>8056</v>
      </c>
      <c r="F696" s="3699" t="s">
        <v>8057</v>
      </c>
      <c r="G696" s="3700" t="s">
        <v>7185</v>
      </c>
      <c r="H696" s="3699" t="s">
        <v>7514</v>
      </c>
      <c r="I696" s="3699">
        <v>32</v>
      </c>
      <c r="J696" s="3699">
        <v>0</v>
      </c>
      <c r="K696" s="3699">
        <v>32</v>
      </c>
      <c r="L696" s="4113">
        <f t="shared" si="412"/>
        <v>1</v>
      </c>
      <c r="M696" s="3707">
        <v>46092</v>
      </c>
      <c r="N696" s="3707">
        <v>46088</v>
      </c>
      <c r="O696" s="3708" t="s">
        <v>8058</v>
      </c>
      <c r="P696" s="3700" t="s">
        <v>82</v>
      </c>
      <c r="Q696" s="4145">
        <v>32</v>
      </c>
      <c r="R696" s="4157">
        <f t="shared" si="373"/>
        <v>0</v>
      </c>
      <c r="S696" s="4145" t="s">
        <v>2297</v>
      </c>
      <c r="T696" s="4145" t="s">
        <v>321</v>
      </c>
      <c r="U696" s="3680"/>
      <c r="V696" s="3711" t="s">
        <v>5526</v>
      </c>
      <c r="W696" s="3876"/>
      <c r="X696" s="4154" t="s">
        <v>98</v>
      </c>
      <c r="Y696" s="3711" t="s">
        <v>5618</v>
      </c>
      <c r="Z696" s="3712"/>
      <c r="AA696" s="3680" t="s">
        <v>8059</v>
      </c>
      <c r="AB696" s="3699" t="s">
        <v>369</v>
      </c>
      <c r="AC696" s="3699">
        <v>2.4608</v>
      </c>
      <c r="AD696" s="3699">
        <f t="shared" si="413"/>
        <v>78.7456</v>
      </c>
      <c r="AE696" s="3715"/>
      <c r="AF696" s="3700" t="s">
        <v>7186</v>
      </c>
      <c r="AG696" s="3680" t="s">
        <v>416</v>
      </c>
      <c r="AH696" s="3680"/>
      <c r="AI696" s="3680"/>
      <c r="AJ696" s="3680"/>
      <c r="AK696" s="3700"/>
      <c r="AL696" s="4119"/>
      <c r="AM696" s="3700"/>
      <c r="AN696" s="4119">
        <f>I696</f>
        <v>32</v>
      </c>
      <c r="AO696" s="3700"/>
      <c r="AP696" s="3699"/>
      <c r="AQ696" s="4113">
        <f t="shared" si="386"/>
        <v>32</v>
      </c>
      <c r="AR696" s="3759"/>
      <c r="AS696" s="3759"/>
      <c r="AT696" s="3759"/>
      <c r="AU696" s="3759"/>
      <c r="AV696" s="3759">
        <f>I696</f>
        <v>32</v>
      </c>
      <c r="AW696" s="3759"/>
      <c r="AX696" s="4120"/>
      <c r="AY696" s="3759"/>
      <c r="AZ696" s="3759"/>
      <c r="BA696" s="3759"/>
      <c r="BB696" s="3759"/>
      <c r="BC696" s="3759"/>
      <c r="BD696" s="3759"/>
      <c r="BE696" s="3759"/>
      <c r="BF696" s="3759"/>
      <c r="BG696" s="3759"/>
      <c r="BH696" s="3759"/>
      <c r="BI696" s="3759" t="s">
        <v>89</v>
      </c>
      <c r="BJ696" s="3759"/>
      <c r="BK696" s="3759"/>
      <c r="BL696" s="3759"/>
      <c r="BM696" s="3759"/>
      <c r="BN696" s="3759">
        <f>I696</f>
        <v>32</v>
      </c>
      <c r="BO696" s="4146"/>
      <c r="BP696" s="3721"/>
      <c r="BQ696" s="3721">
        <f t="shared" si="414"/>
        <v>32</v>
      </c>
      <c r="BR696" s="3721">
        <f t="shared" si="415"/>
        <v>0</v>
      </c>
      <c r="BS696" s="4187"/>
      <c r="BT696" s="4205"/>
      <c r="BU696" s="3774"/>
      <c r="BV696" s="3774"/>
      <c r="BW696" s="3774"/>
      <c r="BX696" s="3774"/>
      <c r="BY696" s="3774"/>
      <c r="BZ696" s="3774"/>
      <c r="CA696" s="3774"/>
      <c r="CB696" s="3774"/>
      <c r="CC696" s="3774"/>
      <c r="CD696" s="3774"/>
      <c r="CE696" s="3774"/>
      <c r="CF696" s="3774"/>
      <c r="CG696" s="3774"/>
      <c r="CH696" s="3774"/>
      <c r="CI696" s="3774"/>
      <c r="CJ696" s="3774"/>
      <c r="CK696" s="3774"/>
      <c r="CL696" s="3774"/>
      <c r="CM696" s="3774"/>
      <c r="CN696" s="3774"/>
      <c r="CO696" s="3774"/>
      <c r="CP696" s="3774"/>
      <c r="CQ696" s="3774"/>
      <c r="CR696" s="3774"/>
      <c r="CS696" s="3774"/>
      <c r="CT696" s="3774"/>
      <c r="CU696" s="3774"/>
      <c r="CV696" s="3774"/>
      <c r="CW696" s="3774"/>
      <c r="CX696" s="3774"/>
      <c r="CY696" s="3774"/>
      <c r="CZ696" s="3774"/>
      <c r="DA696" s="3774"/>
      <c r="DB696" s="3774"/>
      <c r="DC696" s="3774"/>
      <c r="DD696" s="3774"/>
      <c r="DE696" s="3774"/>
      <c r="DF696" s="3774"/>
      <c r="DG696" s="3774"/>
      <c r="DH696" s="3774"/>
      <c r="DI696" s="3774"/>
      <c r="DJ696" s="3774"/>
      <c r="DK696" s="3774"/>
      <c r="DL696" s="3774"/>
      <c r="DM696" s="3774"/>
      <c r="DN696" s="3774"/>
      <c r="DO696" s="3774"/>
      <c r="DP696" s="3774"/>
      <c r="DQ696" s="3774"/>
      <c r="DR696" s="3774"/>
      <c r="DS696" s="3774"/>
      <c r="DT696" s="3774"/>
      <c r="DU696" s="3774"/>
      <c r="DV696" s="3774"/>
      <c r="DW696" s="3774"/>
      <c r="DX696" s="3774"/>
      <c r="DY696" s="3774"/>
      <c r="DZ696" s="3774"/>
      <c r="EA696" s="3774"/>
      <c r="EB696" s="3774"/>
      <c r="EC696" s="3774"/>
      <c r="ED696" s="3774"/>
      <c r="EE696" s="3774"/>
      <c r="EF696" s="3774"/>
      <c r="EG696" s="3774"/>
      <c r="EH696" s="3774"/>
      <c r="EI696" s="3774"/>
      <c r="EJ696" s="3774"/>
      <c r="EK696" s="3774"/>
      <c r="EL696" s="3774"/>
      <c r="EM696" s="3774"/>
      <c r="EN696" s="3774"/>
      <c r="EO696" s="3774"/>
      <c r="EP696" s="3774"/>
      <c r="EQ696" s="3774"/>
      <c r="ER696" s="3774"/>
      <c r="ES696" s="3774"/>
      <c r="ET696" s="3774"/>
      <c r="EU696" s="3774"/>
      <c r="EV696" s="3774"/>
      <c r="EW696" s="3774"/>
      <c r="EX696" s="3774"/>
      <c r="EY696" s="3774"/>
      <c r="EZ696" s="3774"/>
      <c r="FA696" s="3774"/>
      <c r="FB696" s="3774"/>
      <c r="FC696" s="3774"/>
      <c r="FD696" s="3774"/>
      <c r="FE696" s="3774"/>
      <c r="FF696" s="3774"/>
      <c r="FG696" s="3774"/>
      <c r="FH696" s="3774"/>
      <c r="FI696" s="3774"/>
      <c r="FJ696" s="3774"/>
      <c r="FK696" s="3774"/>
      <c r="FL696" s="3774"/>
      <c r="FM696" s="3774"/>
      <c r="FN696" s="3774"/>
      <c r="FO696" s="3774"/>
      <c r="FP696" s="3774"/>
      <c r="FQ696" s="3774"/>
      <c r="FR696" s="3774"/>
      <c r="FS696" s="3774"/>
      <c r="FT696" s="3774"/>
      <c r="FU696" s="3774"/>
      <c r="FV696" s="3774"/>
      <c r="FW696" s="3774"/>
      <c r="FX696" s="3774"/>
      <c r="FY696" s="3774"/>
      <c r="FZ696" s="3774"/>
      <c r="GA696" s="3774"/>
      <c r="GB696" s="3774"/>
      <c r="GC696" s="3774"/>
      <c r="GD696" s="3774"/>
      <c r="GE696" s="3774"/>
      <c r="GF696" s="3774"/>
      <c r="GG696" s="3774"/>
      <c r="GH696" s="3774"/>
      <c r="GI696" s="3774"/>
      <c r="GJ696" s="3774"/>
      <c r="GK696" s="3774"/>
      <c r="GL696" s="3774"/>
      <c r="GM696" s="3774"/>
      <c r="GN696" s="3774"/>
      <c r="GO696" s="3774"/>
      <c r="GP696" s="3774"/>
      <c r="GQ696" s="3774"/>
      <c r="GR696" s="3774"/>
      <c r="GS696" s="3774"/>
      <c r="GT696" s="3774"/>
      <c r="GU696" s="3774"/>
      <c r="GV696" s="3774"/>
      <c r="GW696" s="3774"/>
      <c r="GX696" s="3774"/>
      <c r="GY696" s="3774"/>
      <c r="GZ696" s="3774"/>
      <c r="HA696" s="3774"/>
      <c r="HB696" s="3774"/>
      <c r="HC696" s="3774"/>
      <c r="HD696" s="3774"/>
      <c r="HE696" s="3774"/>
      <c r="HF696" s="3774"/>
      <c r="HG696" s="3774"/>
      <c r="HH696" s="3774"/>
      <c r="HI696" s="3774"/>
      <c r="HJ696" s="3774"/>
      <c r="HK696" s="3774"/>
      <c r="HL696" s="3774"/>
      <c r="HM696" s="3774"/>
      <c r="HN696" s="3774"/>
      <c r="HO696" s="3774"/>
      <c r="HP696" s="3774"/>
      <c r="HQ696" s="3774"/>
      <c r="HR696" s="3774"/>
      <c r="HS696" s="3774"/>
      <c r="HT696" s="3774"/>
      <c r="HU696" s="3774"/>
      <c r="HV696" s="3774"/>
      <c r="HW696" s="3774"/>
      <c r="HX696" s="3774"/>
      <c r="HY696" s="3774"/>
      <c r="HZ696" s="3774"/>
      <c r="IA696" s="3774"/>
      <c r="IB696" s="3774"/>
      <c r="IC696" s="3774"/>
      <c r="ID696" s="3774"/>
      <c r="IE696" s="3774"/>
      <c r="IF696" s="3774"/>
      <c r="IG696" s="3774"/>
      <c r="IH696" s="3774"/>
      <c r="II696" s="3774"/>
      <c r="IJ696" s="3774"/>
      <c r="IK696" s="3774"/>
      <c r="IL696" s="3774"/>
      <c r="IM696" s="3774"/>
      <c r="IN696" s="3774"/>
      <c r="IO696" s="3774"/>
      <c r="IP696" s="3774"/>
      <c r="IQ696" s="3774"/>
      <c r="IR696" s="3774"/>
      <c r="IS696" s="3774"/>
      <c r="IT696" s="3774"/>
      <c r="IU696" s="3774"/>
      <c r="IV696" s="3774"/>
      <c r="IW696" s="3774"/>
      <c r="IX696" s="3774"/>
      <c r="IY696" s="3774"/>
      <c r="IZ696" s="3774"/>
      <c r="JA696" s="3774"/>
      <c r="JB696" s="3774"/>
      <c r="JC696" s="3774"/>
      <c r="JD696" s="3774"/>
      <c r="JE696" s="3774"/>
      <c r="JF696" s="3774"/>
      <c r="JG696" s="3774"/>
      <c r="JH696" s="3774"/>
      <c r="JI696" s="3774"/>
      <c r="JJ696" s="3774"/>
      <c r="JK696" s="3774"/>
      <c r="JL696" s="3774"/>
      <c r="JM696" s="3774"/>
      <c r="JN696" s="3774"/>
      <c r="JO696" s="3774"/>
      <c r="JP696" s="3774"/>
      <c r="JQ696" s="3774"/>
      <c r="JR696" s="3774"/>
      <c r="JS696" s="3774"/>
      <c r="JT696" s="3774"/>
      <c r="JU696" s="3774"/>
      <c r="JV696" s="3774"/>
      <c r="JW696" s="3774"/>
      <c r="JX696" s="3774"/>
      <c r="JY696" s="3774"/>
      <c r="JZ696" s="3774"/>
      <c r="KA696" s="3774"/>
      <c r="KB696" s="3774"/>
      <c r="KC696" s="3774"/>
      <c r="KD696" s="3774"/>
      <c r="KE696" s="3774"/>
      <c r="KF696" s="3774"/>
      <c r="KG696" s="3774"/>
      <c r="KH696" s="3774"/>
      <c r="KI696" s="3774"/>
      <c r="KJ696" s="3774"/>
      <c r="KK696" s="3774"/>
      <c r="KL696" s="3774"/>
      <c r="KM696" s="3774"/>
      <c r="KN696" s="3774"/>
      <c r="KO696" s="3774"/>
      <c r="KP696" s="3774"/>
      <c r="KQ696" s="3774"/>
      <c r="KR696" s="3774"/>
      <c r="KS696" s="3774"/>
      <c r="KT696" s="3774"/>
      <c r="KU696" s="3774"/>
      <c r="KV696" s="3774"/>
      <c r="KW696" s="3774"/>
      <c r="KX696" s="3774"/>
      <c r="KY696" s="3774"/>
      <c r="KZ696" s="3774"/>
      <c r="LA696" s="3774"/>
      <c r="LB696" s="3775"/>
    </row>
    <row r="697" s="3569" customFormat="1" ht="50" customHeight="1" spans="1:314">
      <c r="A697" s="4204">
        <v>46035</v>
      </c>
      <c r="B697" s="3700" t="s">
        <v>1641</v>
      </c>
      <c r="C697" s="3700" t="s">
        <v>396</v>
      </c>
      <c r="D697" s="3699">
        <v>4500191206</v>
      </c>
      <c r="E697" s="3700" t="s">
        <v>8060</v>
      </c>
      <c r="F697" s="3699" t="s">
        <v>8061</v>
      </c>
      <c r="G697" s="3700" t="s">
        <v>7185</v>
      </c>
      <c r="H697" s="3699" t="s">
        <v>7514</v>
      </c>
      <c r="I697" s="3699">
        <v>32</v>
      </c>
      <c r="J697" s="3699">
        <v>0</v>
      </c>
      <c r="K697" s="3699">
        <v>32</v>
      </c>
      <c r="L697" s="4113">
        <f t="shared" si="412"/>
        <v>1</v>
      </c>
      <c r="M697" s="3707">
        <v>46092</v>
      </c>
      <c r="N697" s="3707">
        <v>46088</v>
      </c>
      <c r="O697" s="3708" t="s">
        <v>8058</v>
      </c>
      <c r="P697" s="3700" t="s">
        <v>82</v>
      </c>
      <c r="Q697" s="4145">
        <v>32</v>
      </c>
      <c r="R697" s="4157">
        <f t="shared" si="373"/>
        <v>0</v>
      </c>
      <c r="S697" s="4145" t="s">
        <v>2297</v>
      </c>
      <c r="T697" s="4145" t="s">
        <v>321</v>
      </c>
      <c r="U697" s="3680"/>
      <c r="V697" s="3711" t="s">
        <v>5526</v>
      </c>
      <c r="W697" s="3876"/>
      <c r="X697" s="4154" t="s">
        <v>98</v>
      </c>
      <c r="Y697" s="3711" t="s">
        <v>5618</v>
      </c>
      <c r="Z697" s="3712"/>
      <c r="AA697" s="3680" t="s">
        <v>8059</v>
      </c>
      <c r="AB697" s="3699" t="s">
        <v>369</v>
      </c>
      <c r="AC697" s="3699">
        <v>2.4608</v>
      </c>
      <c r="AD697" s="3699">
        <f t="shared" si="413"/>
        <v>78.7456</v>
      </c>
      <c r="AE697" s="3715"/>
      <c r="AF697" s="3700" t="s">
        <v>7186</v>
      </c>
      <c r="AG697" s="3680" t="s">
        <v>416</v>
      </c>
      <c r="AH697" s="3680"/>
      <c r="AI697" s="3680"/>
      <c r="AJ697" s="3680"/>
      <c r="AK697" s="3700"/>
      <c r="AL697" s="4119"/>
      <c r="AM697" s="3700"/>
      <c r="AN697" s="4119">
        <f>I697</f>
        <v>32</v>
      </c>
      <c r="AO697" s="3700"/>
      <c r="AP697" s="3699"/>
      <c r="AQ697" s="4113">
        <f t="shared" si="386"/>
        <v>32</v>
      </c>
      <c r="AR697" s="3759"/>
      <c r="AS697" s="3759"/>
      <c r="AT697" s="3759"/>
      <c r="AU697" s="3759"/>
      <c r="AV697" s="3759">
        <f>I697</f>
        <v>32</v>
      </c>
      <c r="AW697" s="3759"/>
      <c r="AX697" s="4120"/>
      <c r="AY697" s="3759"/>
      <c r="AZ697" s="3759"/>
      <c r="BA697" s="3759"/>
      <c r="BB697" s="3759"/>
      <c r="BC697" s="3759"/>
      <c r="BD697" s="3759"/>
      <c r="BE697" s="3759"/>
      <c r="BF697" s="3759"/>
      <c r="BG697" s="3759"/>
      <c r="BH697" s="3759"/>
      <c r="BI697" s="3759" t="s">
        <v>89</v>
      </c>
      <c r="BJ697" s="3759"/>
      <c r="BK697" s="3759"/>
      <c r="BL697" s="3759"/>
      <c r="BM697" s="3759"/>
      <c r="BN697" s="3759">
        <f>I697</f>
        <v>32</v>
      </c>
      <c r="BO697" s="4146"/>
      <c r="BP697" s="3721"/>
      <c r="BQ697" s="3721">
        <f t="shared" si="414"/>
        <v>32</v>
      </c>
      <c r="BR697" s="3721">
        <f t="shared" si="415"/>
        <v>0</v>
      </c>
      <c r="BS697" s="4187"/>
      <c r="BT697" s="4205"/>
      <c r="BU697" s="3774"/>
      <c r="BV697" s="3774"/>
      <c r="BW697" s="3774"/>
      <c r="BX697" s="3774"/>
      <c r="BY697" s="3774"/>
      <c r="BZ697" s="3774"/>
      <c r="CA697" s="3774"/>
      <c r="CB697" s="3774"/>
      <c r="CC697" s="3774"/>
      <c r="CD697" s="3774"/>
      <c r="CE697" s="3774"/>
      <c r="CF697" s="3774"/>
      <c r="CG697" s="3774"/>
      <c r="CH697" s="3774"/>
      <c r="CI697" s="3774"/>
      <c r="CJ697" s="3774"/>
      <c r="CK697" s="3774"/>
      <c r="CL697" s="3774"/>
      <c r="CM697" s="3774"/>
      <c r="CN697" s="3774"/>
      <c r="CO697" s="3774"/>
      <c r="CP697" s="3774"/>
      <c r="CQ697" s="3774"/>
      <c r="CR697" s="3774"/>
      <c r="CS697" s="3774"/>
      <c r="CT697" s="3774"/>
      <c r="CU697" s="3774"/>
      <c r="CV697" s="3774"/>
      <c r="CW697" s="3774"/>
      <c r="CX697" s="3774"/>
      <c r="CY697" s="3774"/>
      <c r="CZ697" s="3774"/>
      <c r="DA697" s="3774"/>
      <c r="DB697" s="3774"/>
      <c r="DC697" s="3774"/>
      <c r="DD697" s="3774"/>
      <c r="DE697" s="3774"/>
      <c r="DF697" s="3774"/>
      <c r="DG697" s="3774"/>
      <c r="DH697" s="3774"/>
      <c r="DI697" s="3774"/>
      <c r="DJ697" s="3774"/>
      <c r="DK697" s="3774"/>
      <c r="DL697" s="3774"/>
      <c r="DM697" s="3774"/>
      <c r="DN697" s="3774"/>
      <c r="DO697" s="3774"/>
      <c r="DP697" s="3774"/>
      <c r="DQ697" s="3774"/>
      <c r="DR697" s="3774"/>
      <c r="DS697" s="3774"/>
      <c r="DT697" s="3774"/>
      <c r="DU697" s="3774"/>
      <c r="DV697" s="3774"/>
      <c r="DW697" s="3774"/>
      <c r="DX697" s="3774"/>
      <c r="DY697" s="3774"/>
      <c r="DZ697" s="3774"/>
      <c r="EA697" s="3774"/>
      <c r="EB697" s="3774"/>
      <c r="EC697" s="3774"/>
      <c r="ED697" s="3774"/>
      <c r="EE697" s="3774"/>
      <c r="EF697" s="3774"/>
      <c r="EG697" s="3774"/>
      <c r="EH697" s="3774"/>
      <c r="EI697" s="3774"/>
      <c r="EJ697" s="3774"/>
      <c r="EK697" s="3774"/>
      <c r="EL697" s="3774"/>
      <c r="EM697" s="3774"/>
      <c r="EN697" s="3774"/>
      <c r="EO697" s="3774"/>
      <c r="EP697" s="3774"/>
      <c r="EQ697" s="3774"/>
      <c r="ER697" s="3774"/>
      <c r="ES697" s="3774"/>
      <c r="ET697" s="3774"/>
      <c r="EU697" s="3774"/>
      <c r="EV697" s="3774"/>
      <c r="EW697" s="3774"/>
      <c r="EX697" s="3774"/>
      <c r="EY697" s="3774"/>
      <c r="EZ697" s="3774"/>
      <c r="FA697" s="3774"/>
      <c r="FB697" s="3774"/>
      <c r="FC697" s="3774"/>
      <c r="FD697" s="3774"/>
      <c r="FE697" s="3774"/>
      <c r="FF697" s="3774"/>
      <c r="FG697" s="3774"/>
      <c r="FH697" s="3774"/>
      <c r="FI697" s="3774"/>
      <c r="FJ697" s="3774"/>
      <c r="FK697" s="3774"/>
      <c r="FL697" s="3774"/>
      <c r="FM697" s="3774"/>
      <c r="FN697" s="3774"/>
      <c r="FO697" s="3774"/>
      <c r="FP697" s="3774"/>
      <c r="FQ697" s="3774"/>
      <c r="FR697" s="3774"/>
      <c r="FS697" s="3774"/>
      <c r="FT697" s="3774"/>
      <c r="FU697" s="3774"/>
      <c r="FV697" s="3774"/>
      <c r="FW697" s="3774"/>
      <c r="FX697" s="3774"/>
      <c r="FY697" s="3774"/>
      <c r="FZ697" s="3774"/>
      <c r="GA697" s="3774"/>
      <c r="GB697" s="3774"/>
      <c r="GC697" s="3774"/>
      <c r="GD697" s="3774"/>
      <c r="GE697" s="3774"/>
      <c r="GF697" s="3774"/>
      <c r="GG697" s="3774"/>
      <c r="GH697" s="3774"/>
      <c r="GI697" s="3774"/>
      <c r="GJ697" s="3774"/>
      <c r="GK697" s="3774"/>
      <c r="GL697" s="3774"/>
      <c r="GM697" s="3774"/>
      <c r="GN697" s="3774"/>
      <c r="GO697" s="3774"/>
      <c r="GP697" s="3774"/>
      <c r="GQ697" s="3774"/>
      <c r="GR697" s="3774"/>
      <c r="GS697" s="3774"/>
      <c r="GT697" s="3774"/>
      <c r="GU697" s="3774"/>
      <c r="GV697" s="3774"/>
      <c r="GW697" s="3774"/>
      <c r="GX697" s="3774"/>
      <c r="GY697" s="3774"/>
      <c r="GZ697" s="3774"/>
      <c r="HA697" s="3774"/>
      <c r="HB697" s="3774"/>
      <c r="HC697" s="3774"/>
      <c r="HD697" s="3774"/>
      <c r="HE697" s="3774"/>
      <c r="HF697" s="3774"/>
      <c r="HG697" s="3774"/>
      <c r="HH697" s="3774"/>
      <c r="HI697" s="3774"/>
      <c r="HJ697" s="3774"/>
      <c r="HK697" s="3774"/>
      <c r="HL697" s="3774"/>
      <c r="HM697" s="3774"/>
      <c r="HN697" s="3774"/>
      <c r="HO697" s="3774"/>
      <c r="HP697" s="3774"/>
      <c r="HQ697" s="3774"/>
      <c r="HR697" s="3774"/>
      <c r="HS697" s="3774"/>
      <c r="HT697" s="3774"/>
      <c r="HU697" s="3774"/>
      <c r="HV697" s="3774"/>
      <c r="HW697" s="3774"/>
      <c r="HX697" s="3774"/>
      <c r="HY697" s="3774"/>
      <c r="HZ697" s="3774"/>
      <c r="IA697" s="3774"/>
      <c r="IB697" s="3774"/>
      <c r="IC697" s="3774"/>
      <c r="ID697" s="3774"/>
      <c r="IE697" s="3774"/>
      <c r="IF697" s="3774"/>
      <c r="IG697" s="3774"/>
      <c r="IH697" s="3774"/>
      <c r="II697" s="3774"/>
      <c r="IJ697" s="3774"/>
      <c r="IK697" s="3774"/>
      <c r="IL697" s="3774"/>
      <c r="IM697" s="3774"/>
      <c r="IN697" s="3774"/>
      <c r="IO697" s="3774"/>
      <c r="IP697" s="3774"/>
      <c r="IQ697" s="3774"/>
      <c r="IR697" s="3774"/>
      <c r="IS697" s="3774"/>
      <c r="IT697" s="3774"/>
      <c r="IU697" s="3774"/>
      <c r="IV697" s="3774"/>
      <c r="IW697" s="3774"/>
      <c r="IX697" s="3774"/>
      <c r="IY697" s="3774"/>
      <c r="IZ697" s="3774"/>
      <c r="JA697" s="3774"/>
      <c r="JB697" s="3774"/>
      <c r="JC697" s="3774"/>
      <c r="JD697" s="3774"/>
      <c r="JE697" s="3774"/>
      <c r="JF697" s="3774"/>
      <c r="JG697" s="3774"/>
      <c r="JH697" s="3774"/>
      <c r="JI697" s="3774"/>
      <c r="JJ697" s="3774"/>
      <c r="JK697" s="3774"/>
      <c r="JL697" s="3774"/>
      <c r="JM697" s="3774"/>
      <c r="JN697" s="3774"/>
      <c r="JO697" s="3774"/>
      <c r="JP697" s="3774"/>
      <c r="JQ697" s="3774"/>
      <c r="JR697" s="3774"/>
      <c r="JS697" s="3774"/>
      <c r="JT697" s="3774"/>
      <c r="JU697" s="3774"/>
      <c r="JV697" s="3774"/>
      <c r="JW697" s="3774"/>
      <c r="JX697" s="3774"/>
      <c r="JY697" s="3774"/>
      <c r="JZ697" s="3774"/>
      <c r="KA697" s="3774"/>
      <c r="KB697" s="3774"/>
      <c r="KC697" s="3774"/>
      <c r="KD697" s="3774"/>
      <c r="KE697" s="3774"/>
      <c r="KF697" s="3774"/>
      <c r="KG697" s="3774"/>
      <c r="KH697" s="3774"/>
      <c r="KI697" s="3774"/>
      <c r="KJ697" s="3774"/>
      <c r="KK697" s="3774"/>
      <c r="KL697" s="3774"/>
      <c r="KM697" s="3774"/>
      <c r="KN697" s="3774"/>
      <c r="KO697" s="3774"/>
      <c r="KP697" s="3774"/>
      <c r="KQ697" s="3774"/>
      <c r="KR697" s="3774"/>
      <c r="KS697" s="3774"/>
      <c r="KT697" s="3774"/>
      <c r="KU697" s="3774"/>
      <c r="KV697" s="3774"/>
      <c r="KW697" s="3774"/>
      <c r="KX697" s="3774"/>
      <c r="KY697" s="3774"/>
      <c r="KZ697" s="3774"/>
      <c r="LA697" s="3774"/>
      <c r="LB697" s="3775"/>
    </row>
    <row r="698" s="3567" customFormat="1" ht="50" customHeight="1" spans="1:314">
      <c r="A698" s="4112">
        <v>46016</v>
      </c>
      <c r="B698" s="3766" t="s">
        <v>1641</v>
      </c>
      <c r="C698" s="3766" t="s">
        <v>396</v>
      </c>
      <c r="D698" s="3699">
        <v>4500190063</v>
      </c>
      <c r="E698" s="3700" t="s">
        <v>8062</v>
      </c>
      <c r="F698" s="3700" t="s">
        <v>8063</v>
      </c>
      <c r="G698" s="3700" t="s">
        <v>7185</v>
      </c>
      <c r="H698" s="3699" t="s">
        <v>7514</v>
      </c>
      <c r="I698" s="3699">
        <v>32</v>
      </c>
      <c r="J698" s="3699">
        <v>0</v>
      </c>
      <c r="K698" s="3699">
        <v>32</v>
      </c>
      <c r="L698" s="4113">
        <f t="shared" si="412"/>
        <v>1</v>
      </c>
      <c r="M698" s="3707">
        <v>46059</v>
      </c>
      <c r="N698" s="3707">
        <f t="shared" ref="N698:N703" si="416">M698-4</f>
        <v>46055</v>
      </c>
      <c r="O698" s="3708" t="s">
        <v>8064</v>
      </c>
      <c r="P698" s="3700" t="s">
        <v>82</v>
      </c>
      <c r="Q698" s="4145">
        <v>32</v>
      </c>
      <c r="R698" s="4157">
        <f t="shared" ref="R698:R714" si="417">Q698-I698</f>
        <v>0</v>
      </c>
      <c r="S698" s="4168" t="s">
        <v>2297</v>
      </c>
      <c r="T698" s="4145" t="s">
        <v>321</v>
      </c>
      <c r="U698" s="3680" t="s">
        <v>740</v>
      </c>
      <c r="V698" s="3711" t="s">
        <v>619</v>
      </c>
      <c r="W698" s="3710"/>
      <c r="X698" s="3711" t="s">
        <v>98</v>
      </c>
      <c r="Y698" s="3700" t="s">
        <v>5531</v>
      </c>
      <c r="Z698" s="3712"/>
      <c r="AA698" s="3680" t="s">
        <v>8065</v>
      </c>
      <c r="AB698" s="3769" t="s">
        <v>369</v>
      </c>
      <c r="AC698" s="3699">
        <v>2.4608</v>
      </c>
      <c r="AD698" s="3699">
        <f t="shared" ref="AD698:AD705" si="418">AC698*I698</f>
        <v>78.7456</v>
      </c>
      <c r="AE698" s="3715"/>
      <c r="AF698" s="3700" t="s">
        <v>7186</v>
      </c>
      <c r="AG698" s="3680" t="s">
        <v>416</v>
      </c>
      <c r="AH698" s="3680"/>
      <c r="AI698" s="3680"/>
      <c r="AJ698" s="3680"/>
      <c r="AK698" s="3700"/>
      <c r="AL698" s="3700"/>
      <c r="AM698" s="3700"/>
      <c r="AN698" s="4119">
        <f t="shared" ref="AN698:AN704" si="419">I698</f>
        <v>32</v>
      </c>
      <c r="AO698" s="3700"/>
      <c r="AP698" s="3699"/>
      <c r="AQ698" s="4113">
        <f t="shared" si="386"/>
        <v>32</v>
      </c>
      <c r="AR698" s="3759"/>
      <c r="AS698" s="3759"/>
      <c r="AT698" s="4120"/>
      <c r="AU698" s="3759"/>
      <c r="AV698" s="4120">
        <f t="shared" ref="AV698:AV703" si="420">I698</f>
        <v>32</v>
      </c>
      <c r="AW698" s="3759"/>
      <c r="AX698" s="4120"/>
      <c r="AY698" s="3759"/>
      <c r="AZ698" s="3759"/>
      <c r="BA698" s="3759"/>
      <c r="BB698" s="3759"/>
      <c r="BC698" s="3759"/>
      <c r="BD698" s="3759"/>
      <c r="BE698" s="3759"/>
      <c r="BF698" s="3759"/>
      <c r="BG698" s="3759"/>
      <c r="BH698" s="3759"/>
      <c r="BI698" s="3759" t="s">
        <v>89</v>
      </c>
      <c r="BJ698" s="3759"/>
      <c r="BK698" s="3759"/>
      <c r="BL698" s="3759"/>
      <c r="BM698" s="3759"/>
      <c r="BN698" s="3759">
        <f t="shared" ref="BN698:BN703" si="421">I698</f>
        <v>32</v>
      </c>
      <c r="BO698" s="4146"/>
      <c r="BP698" s="3721"/>
      <c r="BQ698" s="3721">
        <f t="shared" si="414"/>
        <v>32</v>
      </c>
      <c r="BR698" s="3721">
        <f t="shared" ref="BR698:BR708" si="422">I698-BQ698</f>
        <v>0</v>
      </c>
      <c r="BS698" s="4123"/>
      <c r="BT698" s="4124"/>
    </row>
    <row r="699" s="3567" customFormat="1" ht="50" customHeight="1" spans="1:314">
      <c r="A699" s="4112">
        <v>46016</v>
      </c>
      <c r="B699" s="3766" t="s">
        <v>1641</v>
      </c>
      <c r="C699" s="3766" t="s">
        <v>396</v>
      </c>
      <c r="D699" s="3699">
        <v>4500190063</v>
      </c>
      <c r="E699" s="3700" t="s">
        <v>8066</v>
      </c>
      <c r="F699" s="3700" t="s">
        <v>8067</v>
      </c>
      <c r="G699" s="3700" t="s">
        <v>7185</v>
      </c>
      <c r="H699" s="3699" t="s">
        <v>7514</v>
      </c>
      <c r="I699" s="3699">
        <v>32</v>
      </c>
      <c r="J699" s="3699">
        <v>0</v>
      </c>
      <c r="K699" s="3699">
        <v>32</v>
      </c>
      <c r="L699" s="4113">
        <f t="shared" si="412"/>
        <v>1</v>
      </c>
      <c r="M699" s="3707">
        <v>46059</v>
      </c>
      <c r="N699" s="3707">
        <f t="shared" si="416"/>
        <v>46055</v>
      </c>
      <c r="O699" s="3708" t="s">
        <v>8064</v>
      </c>
      <c r="P699" s="3700" t="s">
        <v>82</v>
      </c>
      <c r="Q699" s="4145">
        <v>32</v>
      </c>
      <c r="R699" s="4157">
        <f t="shared" si="417"/>
        <v>0</v>
      </c>
      <c r="S699" s="1047"/>
      <c r="T699" s="4145" t="s">
        <v>321</v>
      </c>
      <c r="U699" s="3680" t="s">
        <v>740</v>
      </c>
      <c r="V699" s="3711" t="s">
        <v>619</v>
      </c>
      <c r="W699" s="3710"/>
      <c r="X699" s="3711" t="s">
        <v>98</v>
      </c>
      <c r="Y699" s="3700" t="s">
        <v>5531</v>
      </c>
      <c r="Z699" s="3712"/>
      <c r="AA699" s="3680" t="s">
        <v>8065</v>
      </c>
      <c r="AB699" s="3769" t="s">
        <v>369</v>
      </c>
      <c r="AC699" s="3699">
        <v>2.4608</v>
      </c>
      <c r="AD699" s="3699">
        <f t="shared" si="418"/>
        <v>78.7456</v>
      </c>
      <c r="AE699" s="3715"/>
      <c r="AF699" s="3700" t="s">
        <v>7186</v>
      </c>
      <c r="AG699" s="3680" t="s">
        <v>416</v>
      </c>
      <c r="AH699" s="3680"/>
      <c r="AI699" s="3680"/>
      <c r="AJ699" s="3680"/>
      <c r="AK699" s="3700"/>
      <c r="AL699" s="3700"/>
      <c r="AM699" s="3700"/>
      <c r="AN699" s="4119">
        <f t="shared" si="419"/>
        <v>32</v>
      </c>
      <c r="AO699" s="3700"/>
      <c r="AP699" s="3699"/>
      <c r="AQ699" s="4113">
        <f t="shared" si="386"/>
        <v>32</v>
      </c>
      <c r="AR699" s="3759"/>
      <c r="AS699" s="3759"/>
      <c r="AT699" s="4120"/>
      <c r="AU699" s="3759"/>
      <c r="AV699" s="4120">
        <f t="shared" si="420"/>
        <v>32</v>
      </c>
      <c r="AW699" s="3759"/>
      <c r="AX699" s="4120"/>
      <c r="AY699" s="3759"/>
      <c r="AZ699" s="3759"/>
      <c r="BA699" s="3759"/>
      <c r="BB699" s="3759"/>
      <c r="BC699" s="3759"/>
      <c r="BD699" s="3759"/>
      <c r="BE699" s="3759"/>
      <c r="BF699" s="3759"/>
      <c r="BG699" s="3759"/>
      <c r="BH699" s="3759"/>
      <c r="BI699" s="3759" t="s">
        <v>89</v>
      </c>
      <c r="BJ699" s="3759"/>
      <c r="BK699" s="3759"/>
      <c r="BL699" s="3759"/>
      <c r="BM699" s="3759"/>
      <c r="BN699" s="3759">
        <f t="shared" si="421"/>
        <v>32</v>
      </c>
      <c r="BO699" s="4146"/>
      <c r="BP699" s="3721"/>
      <c r="BQ699" s="3721">
        <f t="shared" si="414"/>
        <v>32</v>
      </c>
      <c r="BR699" s="3721">
        <f t="shared" si="422"/>
        <v>0</v>
      </c>
      <c r="BS699" s="4123"/>
      <c r="BT699" s="4124"/>
    </row>
    <row r="700" s="3567" customFormat="1" ht="50" customHeight="1" spans="1:314">
      <c r="A700" s="4112">
        <v>46016</v>
      </c>
      <c r="B700" s="3766" t="s">
        <v>1641</v>
      </c>
      <c r="C700" s="3766" t="s">
        <v>396</v>
      </c>
      <c r="D700" s="3699">
        <v>4500190063</v>
      </c>
      <c r="E700" s="3700" t="s">
        <v>8068</v>
      </c>
      <c r="F700" s="3700" t="s">
        <v>8069</v>
      </c>
      <c r="G700" s="3700" t="s">
        <v>7185</v>
      </c>
      <c r="H700" s="3699" t="s">
        <v>7514</v>
      </c>
      <c r="I700" s="3699">
        <v>32</v>
      </c>
      <c r="J700" s="3699">
        <v>0</v>
      </c>
      <c r="K700" s="3699">
        <v>32</v>
      </c>
      <c r="L700" s="4113">
        <f t="shared" si="412"/>
        <v>1</v>
      </c>
      <c r="M700" s="3707">
        <v>46059</v>
      </c>
      <c r="N700" s="3707">
        <f t="shared" si="416"/>
        <v>46055</v>
      </c>
      <c r="O700" s="3708" t="s">
        <v>8064</v>
      </c>
      <c r="P700" s="3700" t="s">
        <v>82</v>
      </c>
      <c r="Q700" s="4145">
        <v>32</v>
      </c>
      <c r="R700" s="4157">
        <f t="shared" si="417"/>
        <v>0</v>
      </c>
      <c r="S700" s="1047"/>
      <c r="T700" s="4145" t="s">
        <v>321</v>
      </c>
      <c r="U700" s="3680" t="s">
        <v>740</v>
      </c>
      <c r="V700" s="3711" t="s">
        <v>619</v>
      </c>
      <c r="W700" s="3710"/>
      <c r="X700" s="3711" t="s">
        <v>98</v>
      </c>
      <c r="Y700" s="3700" t="s">
        <v>5531</v>
      </c>
      <c r="Z700" s="3712"/>
      <c r="AA700" s="3680" t="s">
        <v>8065</v>
      </c>
      <c r="AB700" s="3769" t="s">
        <v>369</v>
      </c>
      <c r="AC700" s="3699">
        <v>2.4608</v>
      </c>
      <c r="AD700" s="3699">
        <f t="shared" si="418"/>
        <v>78.7456</v>
      </c>
      <c r="AE700" s="3715"/>
      <c r="AF700" s="3700" t="s">
        <v>7186</v>
      </c>
      <c r="AG700" s="3680" t="s">
        <v>416</v>
      </c>
      <c r="AH700" s="3680"/>
      <c r="AI700" s="3680"/>
      <c r="AJ700" s="3680"/>
      <c r="AK700" s="3700"/>
      <c r="AL700" s="3700"/>
      <c r="AM700" s="3700"/>
      <c r="AN700" s="4119">
        <f t="shared" si="419"/>
        <v>32</v>
      </c>
      <c r="AO700" s="3700"/>
      <c r="AP700" s="3699"/>
      <c r="AQ700" s="4113">
        <f t="shared" si="386"/>
        <v>32</v>
      </c>
      <c r="AR700" s="3759"/>
      <c r="AS700" s="3759"/>
      <c r="AT700" s="4120"/>
      <c r="AU700" s="3759"/>
      <c r="AV700" s="4120">
        <f t="shared" si="420"/>
        <v>32</v>
      </c>
      <c r="AW700" s="3759"/>
      <c r="AX700" s="4120"/>
      <c r="AY700" s="3759"/>
      <c r="AZ700" s="3759"/>
      <c r="BA700" s="3759"/>
      <c r="BB700" s="3759"/>
      <c r="BC700" s="3759"/>
      <c r="BD700" s="3759"/>
      <c r="BE700" s="3759"/>
      <c r="BF700" s="3759"/>
      <c r="BG700" s="3759"/>
      <c r="BH700" s="3759"/>
      <c r="BI700" s="3759" t="s">
        <v>89</v>
      </c>
      <c r="BJ700" s="3759"/>
      <c r="BK700" s="3759"/>
      <c r="BL700" s="3759"/>
      <c r="BM700" s="3759"/>
      <c r="BN700" s="3759">
        <f t="shared" si="421"/>
        <v>32</v>
      </c>
      <c r="BO700" s="4146"/>
      <c r="BP700" s="3721"/>
      <c r="BQ700" s="3721">
        <f t="shared" si="414"/>
        <v>32</v>
      </c>
      <c r="BR700" s="3721">
        <f t="shared" si="422"/>
        <v>0</v>
      </c>
      <c r="BS700" s="4123"/>
      <c r="BT700" s="4124"/>
    </row>
    <row r="701" s="3567" customFormat="1" ht="50" customHeight="1" spans="1:314">
      <c r="A701" s="4112">
        <v>46016</v>
      </c>
      <c r="B701" s="3766" t="s">
        <v>1641</v>
      </c>
      <c r="C701" s="3766" t="s">
        <v>396</v>
      </c>
      <c r="D701" s="3699">
        <v>4500190063</v>
      </c>
      <c r="E701" s="3700" t="s">
        <v>8070</v>
      </c>
      <c r="F701" s="3700" t="s">
        <v>8071</v>
      </c>
      <c r="G701" s="3700" t="s">
        <v>7185</v>
      </c>
      <c r="H701" s="3699" t="s">
        <v>7514</v>
      </c>
      <c r="I701" s="3699">
        <v>32</v>
      </c>
      <c r="J701" s="3699">
        <v>0</v>
      </c>
      <c r="K701" s="3699">
        <v>32</v>
      </c>
      <c r="L701" s="4113">
        <f t="shared" si="412"/>
        <v>1</v>
      </c>
      <c r="M701" s="3707">
        <v>46059</v>
      </c>
      <c r="N701" s="3707">
        <f t="shared" si="416"/>
        <v>46055</v>
      </c>
      <c r="O701" s="3708" t="s">
        <v>8064</v>
      </c>
      <c r="P701" s="3700" t="s">
        <v>82</v>
      </c>
      <c r="Q701" s="4145">
        <v>32</v>
      </c>
      <c r="R701" s="4157">
        <f t="shared" si="417"/>
        <v>0</v>
      </c>
      <c r="S701" s="1047"/>
      <c r="T701" s="4145" t="s">
        <v>321</v>
      </c>
      <c r="U701" s="3680" t="s">
        <v>740</v>
      </c>
      <c r="V701" s="3711" t="s">
        <v>619</v>
      </c>
      <c r="W701" s="3710"/>
      <c r="X701" s="3711" t="s">
        <v>98</v>
      </c>
      <c r="Y701" s="3700" t="s">
        <v>5531</v>
      </c>
      <c r="Z701" s="3712"/>
      <c r="AA701" s="3680" t="s">
        <v>8065</v>
      </c>
      <c r="AB701" s="3769" t="s">
        <v>369</v>
      </c>
      <c r="AC701" s="3699">
        <v>2.4608</v>
      </c>
      <c r="AD701" s="3699">
        <f t="shared" si="418"/>
        <v>78.7456</v>
      </c>
      <c r="AE701" s="3715"/>
      <c r="AF701" s="3700" t="s">
        <v>7186</v>
      </c>
      <c r="AG701" s="3680" t="s">
        <v>416</v>
      </c>
      <c r="AH701" s="3680"/>
      <c r="AI701" s="3680"/>
      <c r="AJ701" s="3680"/>
      <c r="AK701" s="3700"/>
      <c r="AL701" s="3700"/>
      <c r="AM701" s="3700"/>
      <c r="AN701" s="4119">
        <f t="shared" si="419"/>
        <v>32</v>
      </c>
      <c r="AO701" s="3700"/>
      <c r="AP701" s="3699"/>
      <c r="AQ701" s="4113">
        <f t="shared" si="386"/>
        <v>32</v>
      </c>
      <c r="AR701" s="3759"/>
      <c r="AS701" s="3759"/>
      <c r="AT701" s="4120"/>
      <c r="AU701" s="3759"/>
      <c r="AV701" s="4120">
        <f t="shared" si="420"/>
        <v>32</v>
      </c>
      <c r="AW701" s="3759"/>
      <c r="AX701" s="4120"/>
      <c r="AY701" s="3759"/>
      <c r="AZ701" s="3759"/>
      <c r="BA701" s="3759"/>
      <c r="BB701" s="3759"/>
      <c r="BC701" s="3759"/>
      <c r="BD701" s="3759"/>
      <c r="BE701" s="3759"/>
      <c r="BF701" s="3759"/>
      <c r="BG701" s="3759"/>
      <c r="BH701" s="3759"/>
      <c r="BI701" s="3759" t="s">
        <v>89</v>
      </c>
      <c r="BJ701" s="3759"/>
      <c r="BK701" s="3759"/>
      <c r="BL701" s="3759"/>
      <c r="BM701" s="3759"/>
      <c r="BN701" s="3759">
        <f t="shared" si="421"/>
        <v>32</v>
      </c>
      <c r="BO701" s="4146"/>
      <c r="BP701" s="3721"/>
      <c r="BQ701" s="3721">
        <f t="shared" si="414"/>
        <v>32</v>
      </c>
      <c r="BR701" s="3721">
        <f t="shared" si="422"/>
        <v>0</v>
      </c>
      <c r="BS701" s="4123"/>
      <c r="BT701" s="4124"/>
    </row>
    <row r="702" s="3567" customFormat="1" ht="50" customHeight="1" spans="1:314">
      <c r="A702" s="4112">
        <v>46016</v>
      </c>
      <c r="B702" s="3766" t="s">
        <v>1641</v>
      </c>
      <c r="C702" s="3766" t="s">
        <v>396</v>
      </c>
      <c r="D702" s="3699">
        <v>4500190063</v>
      </c>
      <c r="E702" s="3700" t="s">
        <v>8072</v>
      </c>
      <c r="F702" s="3700" t="s">
        <v>8073</v>
      </c>
      <c r="G702" s="3700" t="s">
        <v>7185</v>
      </c>
      <c r="H702" s="3699" t="s">
        <v>7514</v>
      </c>
      <c r="I702" s="3699">
        <v>32</v>
      </c>
      <c r="J702" s="3699">
        <v>0</v>
      </c>
      <c r="K702" s="3699">
        <v>32</v>
      </c>
      <c r="L702" s="4113">
        <f t="shared" si="412"/>
        <v>1</v>
      </c>
      <c r="M702" s="3707">
        <v>46059</v>
      </c>
      <c r="N702" s="3707">
        <f t="shared" si="416"/>
        <v>46055</v>
      </c>
      <c r="O702" s="3708" t="s">
        <v>8064</v>
      </c>
      <c r="P702" s="3700" t="s">
        <v>82</v>
      </c>
      <c r="Q702" s="4145">
        <v>32</v>
      </c>
      <c r="R702" s="4157">
        <f t="shared" si="417"/>
        <v>0</v>
      </c>
      <c r="S702" s="1047"/>
      <c r="T702" s="4145" t="s">
        <v>321</v>
      </c>
      <c r="U702" s="3680" t="s">
        <v>740</v>
      </c>
      <c r="V702" s="3711" t="s">
        <v>619</v>
      </c>
      <c r="W702" s="3710"/>
      <c r="X702" s="3711" t="s">
        <v>98</v>
      </c>
      <c r="Y702" s="3700" t="s">
        <v>5531</v>
      </c>
      <c r="Z702" s="3712"/>
      <c r="AA702" s="3680" t="s">
        <v>8065</v>
      </c>
      <c r="AB702" s="3769" t="s">
        <v>369</v>
      </c>
      <c r="AC702" s="3699">
        <v>2.4608</v>
      </c>
      <c r="AD702" s="3699">
        <f t="shared" si="418"/>
        <v>78.7456</v>
      </c>
      <c r="AE702" s="3715"/>
      <c r="AF702" s="3700" t="s">
        <v>7186</v>
      </c>
      <c r="AG702" s="3680" t="s">
        <v>416</v>
      </c>
      <c r="AH702" s="3680"/>
      <c r="AI702" s="3680"/>
      <c r="AJ702" s="3680"/>
      <c r="AK702" s="3700"/>
      <c r="AL702" s="3700"/>
      <c r="AM702" s="3700"/>
      <c r="AN702" s="4119">
        <f t="shared" si="419"/>
        <v>32</v>
      </c>
      <c r="AO702" s="3700"/>
      <c r="AP702" s="3699"/>
      <c r="AQ702" s="4113">
        <f t="shared" si="386"/>
        <v>32</v>
      </c>
      <c r="AR702" s="3759"/>
      <c r="AS702" s="3759"/>
      <c r="AT702" s="4120"/>
      <c r="AU702" s="3759"/>
      <c r="AV702" s="4120">
        <f t="shared" si="420"/>
        <v>32</v>
      </c>
      <c r="AW702" s="3759"/>
      <c r="AX702" s="4120"/>
      <c r="AY702" s="3759"/>
      <c r="AZ702" s="3759"/>
      <c r="BA702" s="3759"/>
      <c r="BB702" s="3759"/>
      <c r="BC702" s="3759"/>
      <c r="BD702" s="3759"/>
      <c r="BE702" s="3759"/>
      <c r="BF702" s="3759"/>
      <c r="BG702" s="3759"/>
      <c r="BH702" s="3759"/>
      <c r="BI702" s="3759" t="s">
        <v>89</v>
      </c>
      <c r="BJ702" s="3759"/>
      <c r="BK702" s="3759"/>
      <c r="BL702" s="3759"/>
      <c r="BM702" s="3759"/>
      <c r="BN702" s="3759">
        <f t="shared" si="421"/>
        <v>32</v>
      </c>
      <c r="BO702" s="4146"/>
      <c r="BP702" s="3721"/>
      <c r="BQ702" s="3721">
        <f t="shared" si="414"/>
        <v>32</v>
      </c>
      <c r="BR702" s="3721">
        <f t="shared" si="422"/>
        <v>0</v>
      </c>
      <c r="BS702" s="4123"/>
      <c r="BT702" s="4124"/>
    </row>
    <row r="703" s="3567" customFormat="1" ht="50" customHeight="1" spans="1:314">
      <c r="A703" s="4112">
        <v>46016</v>
      </c>
      <c r="B703" s="3766" t="s">
        <v>1641</v>
      </c>
      <c r="C703" s="3766" t="s">
        <v>396</v>
      </c>
      <c r="D703" s="3699">
        <v>4500190063</v>
      </c>
      <c r="E703" s="3700" t="s">
        <v>8074</v>
      </c>
      <c r="F703" s="3700" t="s">
        <v>8075</v>
      </c>
      <c r="G703" s="3700" t="s">
        <v>7185</v>
      </c>
      <c r="H703" s="3699" t="s">
        <v>7514</v>
      </c>
      <c r="I703" s="3699">
        <v>32</v>
      </c>
      <c r="J703" s="3699">
        <v>0</v>
      </c>
      <c r="K703" s="3699">
        <v>32</v>
      </c>
      <c r="L703" s="4113">
        <f t="shared" si="412"/>
        <v>1</v>
      </c>
      <c r="M703" s="3707">
        <v>46059</v>
      </c>
      <c r="N703" s="3707">
        <f t="shared" si="416"/>
        <v>46055</v>
      </c>
      <c r="O703" s="3708" t="s">
        <v>8064</v>
      </c>
      <c r="P703" s="3700" t="s">
        <v>82</v>
      </c>
      <c r="Q703" s="4145">
        <v>32</v>
      </c>
      <c r="R703" s="4157">
        <f t="shared" si="417"/>
        <v>0</v>
      </c>
      <c r="S703" s="4169"/>
      <c r="T703" s="4145" t="s">
        <v>321</v>
      </c>
      <c r="U703" s="3680" t="s">
        <v>740</v>
      </c>
      <c r="V703" s="3711" t="s">
        <v>619</v>
      </c>
      <c r="W703" s="3710"/>
      <c r="X703" s="3711" t="s">
        <v>98</v>
      </c>
      <c r="Y703" s="3700" t="s">
        <v>5531</v>
      </c>
      <c r="Z703" s="3712"/>
      <c r="AA703" s="3680" t="s">
        <v>8065</v>
      </c>
      <c r="AB703" s="3769" t="s">
        <v>369</v>
      </c>
      <c r="AC703" s="3699">
        <v>2.4608</v>
      </c>
      <c r="AD703" s="3699">
        <f t="shared" si="418"/>
        <v>78.7456</v>
      </c>
      <c r="AE703" s="3715"/>
      <c r="AF703" s="3700" t="s">
        <v>7186</v>
      </c>
      <c r="AG703" s="3680" t="s">
        <v>416</v>
      </c>
      <c r="AH703" s="3680"/>
      <c r="AI703" s="3680"/>
      <c r="AJ703" s="3680"/>
      <c r="AK703" s="3700"/>
      <c r="AL703" s="3700"/>
      <c r="AM703" s="3700"/>
      <c r="AN703" s="4119">
        <f t="shared" si="419"/>
        <v>32</v>
      </c>
      <c r="AO703" s="3700"/>
      <c r="AP703" s="3699"/>
      <c r="AQ703" s="4113">
        <f t="shared" si="386"/>
        <v>32</v>
      </c>
      <c r="AR703" s="3759"/>
      <c r="AS703" s="3759"/>
      <c r="AT703" s="4120"/>
      <c r="AU703" s="3759"/>
      <c r="AV703" s="4120">
        <f t="shared" si="420"/>
        <v>32</v>
      </c>
      <c r="AW703" s="3759"/>
      <c r="AX703" s="4120"/>
      <c r="AY703" s="3759"/>
      <c r="AZ703" s="3759"/>
      <c r="BA703" s="3759"/>
      <c r="BB703" s="3759"/>
      <c r="BC703" s="3759"/>
      <c r="BD703" s="3759"/>
      <c r="BE703" s="3759"/>
      <c r="BF703" s="3759"/>
      <c r="BG703" s="3759"/>
      <c r="BH703" s="3759"/>
      <c r="BI703" s="3759" t="s">
        <v>89</v>
      </c>
      <c r="BJ703" s="3759"/>
      <c r="BK703" s="3759"/>
      <c r="BL703" s="3759"/>
      <c r="BM703" s="3759"/>
      <c r="BN703" s="3759">
        <f t="shared" si="421"/>
        <v>32</v>
      </c>
      <c r="BO703" s="4146"/>
      <c r="BP703" s="3721"/>
      <c r="BQ703" s="3721">
        <f t="shared" si="414"/>
        <v>32</v>
      </c>
      <c r="BR703" s="3721">
        <f t="shared" si="422"/>
        <v>0</v>
      </c>
      <c r="BS703" s="4123"/>
      <c r="BT703" s="4124"/>
    </row>
    <row r="704" s="3567" customFormat="1" ht="50" customHeight="1" spans="1:314">
      <c r="A704" s="4112">
        <v>46016</v>
      </c>
      <c r="B704" s="3766" t="s">
        <v>2171</v>
      </c>
      <c r="C704" s="3766" t="s">
        <v>471</v>
      </c>
      <c r="D704" s="3699">
        <v>4500190053</v>
      </c>
      <c r="E704" s="3700" t="s">
        <v>8076</v>
      </c>
      <c r="F704" s="3700" t="s">
        <v>8077</v>
      </c>
      <c r="G704" s="3700" t="s">
        <v>6281</v>
      </c>
      <c r="H704" s="3700" t="s">
        <v>6292</v>
      </c>
      <c r="I704" s="3699">
        <v>960</v>
      </c>
      <c r="J704" s="3699">
        <v>0</v>
      </c>
      <c r="K704" s="3699">
        <v>32</v>
      </c>
      <c r="L704" s="3699">
        <f t="shared" si="412"/>
        <v>30</v>
      </c>
      <c r="M704" s="3707">
        <v>46079</v>
      </c>
      <c r="N704" s="3707">
        <v>46076</v>
      </c>
      <c r="O704" s="3708"/>
      <c r="P704" s="3700" t="s">
        <v>82</v>
      </c>
      <c r="Q704" s="4145">
        <v>960</v>
      </c>
      <c r="R704" s="4157">
        <f t="shared" si="417"/>
        <v>0</v>
      </c>
      <c r="S704" s="4145" t="s">
        <v>2297</v>
      </c>
      <c r="T704" s="4145" t="s">
        <v>321</v>
      </c>
      <c r="U704" s="3680" t="s">
        <v>3071</v>
      </c>
      <c r="V704" s="3711" t="s">
        <v>6471</v>
      </c>
      <c r="W704" s="3710"/>
      <c r="X704" s="3711" t="s">
        <v>98</v>
      </c>
      <c r="Y704" s="3709" t="s">
        <v>8078</v>
      </c>
      <c r="Z704" s="3712"/>
      <c r="AA704" s="3680" t="s">
        <v>8079</v>
      </c>
      <c r="AB704" s="3769" t="s">
        <v>1631</v>
      </c>
      <c r="AC704" s="4118">
        <v>2.2475</v>
      </c>
      <c r="AD704" s="3699">
        <f t="shared" si="418"/>
        <v>2157.6</v>
      </c>
      <c r="AE704" s="3715"/>
      <c r="AF704" s="3700" t="s">
        <v>6106</v>
      </c>
      <c r="AG704" s="3680" t="s">
        <v>416</v>
      </c>
      <c r="AH704" s="3680"/>
      <c r="AI704" s="3680"/>
      <c r="AJ704" s="3680"/>
      <c r="AK704" s="3700"/>
      <c r="AL704" s="3700"/>
      <c r="AM704" s="3700"/>
      <c r="AN704" s="4119">
        <f t="shared" si="419"/>
        <v>960</v>
      </c>
      <c r="AO704" s="3700"/>
      <c r="AP704" s="3699"/>
      <c r="AQ704" s="4113">
        <f t="shared" si="386"/>
        <v>960</v>
      </c>
      <c r="AR704" s="3759"/>
      <c r="AS704" s="3759"/>
      <c r="AT704" s="4120">
        <f>I704</f>
        <v>960</v>
      </c>
      <c r="AU704" s="3759"/>
      <c r="AV704" s="3759"/>
      <c r="AW704" s="3759"/>
      <c r="AX704" s="4120"/>
      <c r="AY704" s="3759"/>
      <c r="AZ704" s="3759"/>
      <c r="BA704" s="3759"/>
      <c r="BB704" s="3759"/>
      <c r="BC704" s="3759"/>
      <c r="BD704" s="3759"/>
      <c r="BE704" s="3759"/>
      <c r="BF704" s="3759"/>
      <c r="BG704" s="3759"/>
      <c r="BH704" s="3759"/>
      <c r="BI704" s="3759" t="s">
        <v>89</v>
      </c>
      <c r="BJ704" s="3759"/>
      <c r="BK704" s="4120">
        <f>I704</f>
        <v>960</v>
      </c>
      <c r="BL704" s="4120"/>
      <c r="BM704" s="4120"/>
      <c r="BN704" s="4120"/>
      <c r="BO704" s="4121"/>
      <c r="BP704" s="4122"/>
      <c r="BQ704" s="4122">
        <f t="shared" si="414"/>
        <v>960</v>
      </c>
      <c r="BR704" s="3721">
        <f t="shared" si="422"/>
        <v>0</v>
      </c>
      <c r="BS704" s="4123"/>
      <c r="BT704" s="4124"/>
    </row>
    <row r="705" s="3567" customFormat="1" ht="50" customHeight="1" spans="1:313">
      <c r="A705" s="4112">
        <v>45968</v>
      </c>
      <c r="B705" s="3766" t="s">
        <v>5122</v>
      </c>
      <c r="C705" s="3766" t="s">
        <v>471</v>
      </c>
      <c r="D705" s="3699">
        <v>4500184740</v>
      </c>
      <c r="E705" s="3700" t="s">
        <v>5554</v>
      </c>
      <c r="F705" s="3699" t="s">
        <v>8080</v>
      </c>
      <c r="G705" s="3700" t="s">
        <v>7117</v>
      </c>
      <c r="H705" s="3699" t="s">
        <v>6800</v>
      </c>
      <c r="I705" s="3699">
        <v>3000</v>
      </c>
      <c r="J705" s="3699">
        <v>0</v>
      </c>
      <c r="K705" s="3699">
        <v>24</v>
      </c>
      <c r="L705" s="4113">
        <f t="shared" si="412"/>
        <v>125</v>
      </c>
      <c r="M705" s="3707">
        <v>46080</v>
      </c>
      <c r="N705" s="3707">
        <v>46076</v>
      </c>
      <c r="O705" s="3708"/>
      <c r="P705" s="3700" t="s">
        <v>82</v>
      </c>
      <c r="Q705" s="4145">
        <v>3000</v>
      </c>
      <c r="R705" s="4157">
        <f t="shared" si="417"/>
        <v>0</v>
      </c>
      <c r="S705" s="4145" t="s">
        <v>2297</v>
      </c>
      <c r="T705" s="4145" t="s">
        <v>321</v>
      </c>
      <c r="U705" s="3680" t="s">
        <v>3120</v>
      </c>
      <c r="V705" s="3711" t="s">
        <v>2354</v>
      </c>
      <c r="W705" s="3711"/>
      <c r="X705" s="3711" t="s">
        <v>8081</v>
      </c>
      <c r="Y705" s="3709"/>
      <c r="Z705" s="3712"/>
      <c r="AA705" s="3680" t="s">
        <v>8082</v>
      </c>
      <c r="AB705" s="3769" t="s">
        <v>2624</v>
      </c>
      <c r="AC705" s="3699">
        <v>2.1962</v>
      </c>
      <c r="AD705" s="3699">
        <f t="shared" si="418"/>
        <v>6588.6</v>
      </c>
      <c r="AE705" s="3715"/>
      <c r="AF705" s="3700" t="s">
        <v>7120</v>
      </c>
      <c r="AG705" s="3680" t="s">
        <v>416</v>
      </c>
      <c r="AH705" s="3680"/>
      <c r="AI705" s="3680"/>
      <c r="AJ705" s="3680"/>
      <c r="AK705" s="3700"/>
      <c r="AL705" s="3700">
        <f>I705</f>
        <v>3000</v>
      </c>
      <c r="AM705" s="4119"/>
      <c r="AN705" s="4119"/>
      <c r="AO705" s="3700"/>
      <c r="AP705" s="3699"/>
      <c r="AQ705" s="4113">
        <f t="shared" si="386"/>
        <v>3000</v>
      </c>
      <c r="AR705" s="3759"/>
      <c r="AS705" s="3759"/>
      <c r="AT705" s="4120"/>
      <c r="AU705" s="3759"/>
      <c r="AV705" s="3759">
        <f>I705</f>
        <v>3000</v>
      </c>
      <c r="AW705" s="3759"/>
      <c r="AX705" s="3759"/>
      <c r="AY705" s="3759"/>
      <c r="AZ705" s="4120"/>
      <c r="BA705" s="3759"/>
      <c r="BB705" s="3759"/>
      <c r="BC705" s="3759"/>
      <c r="BD705" s="3759"/>
      <c r="BE705" s="3759"/>
      <c r="BF705" s="3759"/>
      <c r="BG705" s="3759"/>
      <c r="BH705" s="3759"/>
      <c r="BI705" s="3759" t="s">
        <v>89</v>
      </c>
      <c r="BJ705" s="3759">
        <f>I705/60*2</f>
        <v>100</v>
      </c>
      <c r="BK705" s="3759">
        <f>I705/60*10</f>
        <v>500</v>
      </c>
      <c r="BL705" s="3759">
        <f>I705/60*10</f>
        <v>500</v>
      </c>
      <c r="BM705" s="3759">
        <f>I705/60*8</f>
        <v>400</v>
      </c>
      <c r="BN705" s="3759">
        <f>I705/60*10</f>
        <v>500</v>
      </c>
      <c r="BO705" s="4146">
        <f>I705/60*10</f>
        <v>500</v>
      </c>
      <c r="BP705" s="3721">
        <f>I705/60*10</f>
        <v>500</v>
      </c>
      <c r="BQ705" s="3721">
        <f t="shared" si="414"/>
        <v>3000</v>
      </c>
      <c r="BR705" s="3721">
        <f t="shared" si="422"/>
        <v>0</v>
      </c>
      <c r="BS705" s="4123"/>
      <c r="BT705" s="4124"/>
    </row>
    <row r="706" s="3567" customFormat="1" ht="50" customHeight="1" spans="1:313">
      <c r="A706" s="4112">
        <v>46026</v>
      </c>
      <c r="B706" s="3766" t="s">
        <v>7482</v>
      </c>
      <c r="C706" s="3766" t="s">
        <v>91</v>
      </c>
      <c r="D706" s="3699">
        <v>4500190547</v>
      </c>
      <c r="E706" s="3700" t="s">
        <v>8083</v>
      </c>
      <c r="F706" s="3699" t="s">
        <v>8084</v>
      </c>
      <c r="G706" s="3700" t="s">
        <v>7968</v>
      </c>
      <c r="H706" s="3699" t="s">
        <v>7969</v>
      </c>
      <c r="I706" s="3699">
        <v>2400</v>
      </c>
      <c r="J706" s="3699">
        <v>0</v>
      </c>
      <c r="K706" s="3699">
        <v>12</v>
      </c>
      <c r="L706" s="4113">
        <f t="shared" si="412"/>
        <v>200</v>
      </c>
      <c r="M706" s="3707">
        <v>46087</v>
      </c>
      <c r="N706" s="3707">
        <v>46083</v>
      </c>
      <c r="O706" s="3708" t="s">
        <v>8085</v>
      </c>
      <c r="P706" s="3700" t="s">
        <v>82</v>
      </c>
      <c r="Q706" s="4145">
        <v>2400</v>
      </c>
      <c r="R706" s="4157">
        <f t="shared" si="417"/>
        <v>0</v>
      </c>
      <c r="S706" s="4182" t="s">
        <v>2297</v>
      </c>
      <c r="T706" s="4145" t="s">
        <v>321</v>
      </c>
      <c r="U706" s="3876"/>
      <c r="V706" s="4154" t="s">
        <v>770</v>
      </c>
      <c r="W706" s="3711"/>
      <c r="X706" s="3712" t="s">
        <v>8086</v>
      </c>
      <c r="Y706" s="3726"/>
      <c r="Z706" s="3769"/>
      <c r="AA706" s="3680" t="s">
        <v>8087</v>
      </c>
      <c r="AB706" s="3699" t="s">
        <v>614</v>
      </c>
      <c r="AC706" s="3715">
        <v>30.9974</v>
      </c>
      <c r="AD706" s="3699">
        <f>AC706*L706</f>
        <v>6199.48</v>
      </c>
      <c r="AE706" s="3680"/>
      <c r="AF706" s="3700" t="s">
        <v>7968</v>
      </c>
      <c r="AG706" s="3680" t="s">
        <v>416</v>
      </c>
      <c r="AH706" s="3680"/>
      <c r="AI706" s="3700"/>
      <c r="AJ706" s="4119"/>
      <c r="AK706" s="3700"/>
      <c r="AL706" s="4119">
        <f>I706</f>
        <v>2400</v>
      </c>
      <c r="AM706" s="3700"/>
      <c r="AN706" s="3699"/>
      <c r="AO706" s="4120"/>
      <c r="AP706" s="3759"/>
      <c r="AQ706" s="3759">
        <f t="shared" si="386"/>
        <v>2400</v>
      </c>
      <c r="AR706" s="4120"/>
      <c r="AS706" s="3759"/>
      <c r="AT706" s="3759">
        <f>I706</f>
        <v>2400</v>
      </c>
      <c r="AU706" s="3759"/>
      <c r="AV706" s="4120"/>
      <c r="AW706" s="3759"/>
      <c r="AX706" s="3759"/>
      <c r="AY706" s="3759"/>
      <c r="AZ706" s="3759"/>
      <c r="BA706" s="3759"/>
      <c r="BB706" s="3759"/>
      <c r="BC706" s="3759"/>
      <c r="BD706" s="3759"/>
      <c r="BE706" s="3759"/>
      <c r="BF706" s="3759"/>
      <c r="BG706" s="3759"/>
      <c r="BH706" s="4120"/>
      <c r="BI706" s="4120" t="s">
        <v>89</v>
      </c>
      <c r="BJ706" s="4120">
        <f>I706/60*2</f>
        <v>80</v>
      </c>
      <c r="BK706" s="4120">
        <f>I706/60*10</f>
        <v>400</v>
      </c>
      <c r="BL706" s="4120">
        <f>I706/60*10</f>
        <v>400</v>
      </c>
      <c r="BM706" s="4120">
        <f>I706/60*8</f>
        <v>320</v>
      </c>
      <c r="BN706" s="4120">
        <f>I706/60*10</f>
        <v>400</v>
      </c>
      <c r="BO706" s="4121">
        <f>I706/60*10</f>
        <v>400</v>
      </c>
      <c r="BP706" s="4122">
        <f>I706/60*10</f>
        <v>400</v>
      </c>
      <c r="BQ706" s="4122">
        <f t="shared" si="414"/>
        <v>2400</v>
      </c>
      <c r="BR706" s="3721">
        <f t="shared" si="422"/>
        <v>0</v>
      </c>
      <c r="BS706" s="4123"/>
    </row>
    <row r="707" s="3567" customFormat="1" ht="50" customHeight="1" spans="1:313">
      <c r="A707" s="4112">
        <v>46027</v>
      </c>
      <c r="B707" s="4176" t="s">
        <v>7996</v>
      </c>
      <c r="C707" s="4177" t="s">
        <v>453</v>
      </c>
      <c r="D707" s="3699">
        <v>4500190606</v>
      </c>
      <c r="E707" s="3700" t="s">
        <v>7997</v>
      </c>
      <c r="F707" s="3700" t="s">
        <v>8088</v>
      </c>
      <c r="G707" s="3700" t="s">
        <v>6124</v>
      </c>
      <c r="H707" s="3699" t="s">
        <v>6063</v>
      </c>
      <c r="I707" s="4175">
        <v>2796</v>
      </c>
      <c r="J707" s="3699">
        <v>0</v>
      </c>
      <c r="K707" s="3699">
        <v>12</v>
      </c>
      <c r="L707" s="3699">
        <f t="shared" si="412"/>
        <v>233</v>
      </c>
      <c r="M707" s="3707">
        <v>46097</v>
      </c>
      <c r="N707" s="3707">
        <v>46093</v>
      </c>
      <c r="O707" s="3708"/>
      <c r="P707" s="3700" t="s">
        <v>82</v>
      </c>
      <c r="Q707" s="4145">
        <f>2784+12</f>
        <v>2796</v>
      </c>
      <c r="R707" s="4157">
        <f t="shared" si="417"/>
        <v>0</v>
      </c>
      <c r="S707" s="4182" t="s">
        <v>2297</v>
      </c>
      <c r="T707" s="4145" t="s">
        <v>321</v>
      </c>
      <c r="U707" s="3711" t="s">
        <v>3114</v>
      </c>
      <c r="V707" s="4154" t="s">
        <v>3121</v>
      </c>
      <c r="W707" s="3726"/>
      <c r="X707" s="3711" t="s">
        <v>8089</v>
      </c>
      <c r="Y707" s="3726"/>
      <c r="Z707" s="3699"/>
      <c r="AA707" s="3715" t="s">
        <v>8090</v>
      </c>
      <c r="AB707" s="3699" t="s">
        <v>459</v>
      </c>
      <c r="AC707" s="3715">
        <v>2.2547</v>
      </c>
      <c r="AD707" s="3699">
        <f t="shared" ref="AD707:AD713" si="423">AC707*I707</f>
        <v>6304.1412</v>
      </c>
      <c r="AE707" s="3680"/>
      <c r="AF707" s="3700" t="s">
        <v>6126</v>
      </c>
      <c r="AG707" s="3680" t="s">
        <v>416</v>
      </c>
      <c r="AH707" s="3700"/>
      <c r="AI707" s="3700"/>
      <c r="AJ707" s="4119"/>
      <c r="AK707" s="3700"/>
      <c r="AL707" s="3699"/>
      <c r="AM707" s="4113"/>
      <c r="AN707" s="3759">
        <f>I707</f>
        <v>2796</v>
      </c>
      <c r="AO707" s="4113"/>
      <c r="AP707" s="4120"/>
      <c r="AQ707" s="3759">
        <f t="shared" si="386"/>
        <v>2796</v>
      </c>
      <c r="AR707" s="4120"/>
      <c r="AS707" s="3759"/>
      <c r="AT707" s="4120">
        <f t="shared" ref="AT707:AT715" si="424">I707</f>
        <v>2796</v>
      </c>
      <c r="AU707" s="3759"/>
      <c r="AV707" s="4120"/>
      <c r="AW707" s="3759"/>
      <c r="AX707" s="3759">
        <f>I707/6</f>
        <v>466</v>
      </c>
      <c r="AY707" s="3759"/>
      <c r="AZ707" s="3759"/>
      <c r="BA707" s="3759"/>
      <c r="BB707" s="3759"/>
      <c r="BC707" s="3759"/>
      <c r="BD707" s="3759"/>
      <c r="BE707" s="3759"/>
      <c r="BF707" s="4120"/>
      <c r="BG707" s="3759"/>
      <c r="BH707" s="3759"/>
      <c r="BI707" s="3759" t="s">
        <v>89</v>
      </c>
      <c r="BJ707" s="3765">
        <f>I707/60*9</f>
        <v>419.4</v>
      </c>
      <c r="BK707" s="3765">
        <f>I707/60*2</f>
        <v>93.2</v>
      </c>
      <c r="BL707" s="3765">
        <f>I707/60*5</f>
        <v>233</v>
      </c>
      <c r="BM707" s="4206">
        <f>I707/60*9</f>
        <v>419.4</v>
      </c>
      <c r="BN707" s="3760">
        <f>I707/60*12</f>
        <v>559.2</v>
      </c>
      <c r="BO707" s="4207">
        <f>I707/60*15</f>
        <v>699</v>
      </c>
      <c r="BP707" s="3760">
        <f>I707/60*8</f>
        <v>372.8</v>
      </c>
      <c r="BQ707" s="3879">
        <f t="shared" si="414"/>
        <v>2796</v>
      </c>
      <c r="BR707" s="3879">
        <f t="shared" si="422"/>
        <v>0</v>
      </c>
    </row>
    <row r="708" s="3567" customFormat="1" ht="50" customHeight="1" spans="1:313">
      <c r="A708" s="4112">
        <v>46036</v>
      </c>
      <c r="B708" s="4176" t="s">
        <v>4533</v>
      </c>
      <c r="C708" s="4177" t="s">
        <v>738</v>
      </c>
      <c r="D708" s="3699">
        <v>4500191234</v>
      </c>
      <c r="E708" s="3700"/>
      <c r="F708" s="3700" t="s">
        <v>8091</v>
      </c>
      <c r="G708" s="3700" t="s">
        <v>8092</v>
      </c>
      <c r="H708" s="3699" t="s">
        <v>8093</v>
      </c>
      <c r="I708" s="4175">
        <v>144</v>
      </c>
      <c r="J708" s="3699">
        <v>0</v>
      </c>
      <c r="K708" s="3699">
        <v>24</v>
      </c>
      <c r="L708" s="3699">
        <f t="shared" si="412"/>
        <v>6</v>
      </c>
      <c r="M708" s="3707">
        <v>46097</v>
      </c>
      <c r="N708" s="3707">
        <v>46093</v>
      </c>
      <c r="O708" s="3708"/>
      <c r="P708" s="3700" t="s">
        <v>82</v>
      </c>
      <c r="Q708" s="4145">
        <f>120+24</f>
        <v>144</v>
      </c>
      <c r="R708" s="4157">
        <f t="shared" si="417"/>
        <v>0</v>
      </c>
      <c r="S708" s="4182" t="s">
        <v>2297</v>
      </c>
      <c r="T708" s="4145" t="s">
        <v>321</v>
      </c>
      <c r="U708" s="3680" t="s">
        <v>172</v>
      </c>
      <c r="V708" s="4154" t="s">
        <v>786</v>
      </c>
      <c r="W708" s="3726"/>
      <c r="X708" s="3711" t="s">
        <v>5637</v>
      </c>
      <c r="Y708" s="3726"/>
      <c r="Z708" s="3699"/>
      <c r="AA708" s="3715" t="s">
        <v>8094</v>
      </c>
      <c r="AB708" s="3699" t="s">
        <v>1257</v>
      </c>
      <c r="AC708" s="3715">
        <v>2.2296</v>
      </c>
      <c r="AD708" s="3699">
        <f t="shared" si="423"/>
        <v>321.0624</v>
      </c>
      <c r="AE708" s="3680"/>
      <c r="AF708" s="3700" t="s">
        <v>7601</v>
      </c>
      <c r="AG708" s="3680" t="s">
        <v>416</v>
      </c>
      <c r="AH708" s="3700"/>
      <c r="AI708" s="3700"/>
      <c r="AJ708" s="4119"/>
      <c r="AK708" s="3700"/>
      <c r="AL708" s="3699"/>
      <c r="AM708" s="4113"/>
      <c r="AN708" s="3759">
        <f>I708</f>
        <v>144</v>
      </c>
      <c r="AO708" s="4113"/>
      <c r="AP708" s="4120"/>
      <c r="AQ708" s="3759">
        <f t="shared" si="386"/>
        <v>144</v>
      </c>
      <c r="AR708" s="4120"/>
      <c r="AS708" s="3759"/>
      <c r="AT708" s="4120">
        <f t="shared" si="424"/>
        <v>144</v>
      </c>
      <c r="AU708" s="3759"/>
      <c r="AV708" s="4120"/>
      <c r="AW708" s="3759"/>
      <c r="AX708" s="3759"/>
      <c r="AY708" s="3759"/>
      <c r="AZ708" s="3759"/>
      <c r="BA708" s="3759"/>
      <c r="BB708" s="3759"/>
      <c r="BC708" s="3759"/>
      <c r="BD708" s="3759"/>
      <c r="BE708" s="3759"/>
      <c r="BF708" s="4120"/>
      <c r="BG708" s="3759"/>
      <c r="BH708" s="3759"/>
      <c r="BI708" s="3759" t="s">
        <v>89</v>
      </c>
      <c r="BJ708" s="3765"/>
      <c r="BK708" s="3765"/>
      <c r="BL708" s="3765"/>
      <c r="BM708" s="4206"/>
      <c r="BN708" s="3760"/>
      <c r="BO708" s="4207">
        <f>I708</f>
        <v>144</v>
      </c>
      <c r="BP708" s="3760"/>
      <c r="BQ708" s="3879">
        <f t="shared" si="414"/>
        <v>144</v>
      </c>
      <c r="BR708" s="3879">
        <f t="shared" si="422"/>
        <v>0</v>
      </c>
    </row>
    <row r="709" s="3567" customFormat="1" ht="50" customHeight="1" spans="1:313">
      <c r="A709" s="4112">
        <v>46037</v>
      </c>
      <c r="B709" s="4176" t="s">
        <v>5643</v>
      </c>
      <c r="C709" s="4177" t="s">
        <v>1332</v>
      </c>
      <c r="D709" s="3699">
        <v>4500191577</v>
      </c>
      <c r="E709" s="3700"/>
      <c r="F709" s="3700" t="s">
        <v>8095</v>
      </c>
      <c r="G709" s="3700" t="s">
        <v>6124</v>
      </c>
      <c r="H709" s="3699" t="s">
        <v>6063</v>
      </c>
      <c r="I709" s="4175">
        <v>240</v>
      </c>
      <c r="J709" s="3699">
        <v>0</v>
      </c>
      <c r="K709" s="3699">
        <v>12</v>
      </c>
      <c r="L709" s="3699">
        <f t="shared" si="412"/>
        <v>20</v>
      </c>
      <c r="M709" s="3707">
        <v>46101</v>
      </c>
      <c r="N709" s="3707">
        <v>46097</v>
      </c>
      <c r="O709" s="3708"/>
      <c r="P709" s="3700" t="s">
        <v>82</v>
      </c>
      <c r="Q709" s="4145">
        <v>240</v>
      </c>
      <c r="R709" s="4157">
        <f t="shared" si="417"/>
        <v>0</v>
      </c>
      <c r="S709" s="4173" t="s">
        <v>2297</v>
      </c>
      <c r="T709" s="4145" t="s">
        <v>321</v>
      </c>
      <c r="U709" s="3726" t="s">
        <v>989</v>
      </c>
      <c r="V709" s="3711" t="s">
        <v>5645</v>
      </c>
      <c r="W709" s="3711"/>
      <c r="X709" s="3711" t="s">
        <v>5646</v>
      </c>
      <c r="Y709" s="3715"/>
      <c r="Z709" s="3699"/>
      <c r="AA709" s="3715" t="s">
        <v>8096</v>
      </c>
      <c r="AB709" s="3699" t="s">
        <v>459</v>
      </c>
      <c r="AC709" s="4208">
        <v>2.259</v>
      </c>
      <c r="AD709" s="4208">
        <f t="shared" si="423"/>
        <v>542.16</v>
      </c>
      <c r="AE709" s="3700"/>
      <c r="AF709" s="3700" t="s">
        <v>6126</v>
      </c>
      <c r="AG709" s="3700" t="s">
        <v>416</v>
      </c>
      <c r="AH709" s="4119"/>
      <c r="AI709" s="3700"/>
      <c r="AJ709" s="3699"/>
      <c r="AK709" s="4113"/>
      <c r="AL709" s="3759"/>
      <c r="AM709" s="4113"/>
      <c r="AN709" s="4120">
        <f>I709</f>
        <v>240</v>
      </c>
      <c r="AO709" s="3759"/>
      <c r="AP709" s="4120"/>
      <c r="AQ709" s="3759">
        <f t="shared" si="386"/>
        <v>240</v>
      </c>
      <c r="AR709" s="4120"/>
      <c r="AS709" s="3759"/>
      <c r="AT709" s="4120">
        <f t="shared" si="424"/>
        <v>240</v>
      </c>
      <c r="AU709" s="3759"/>
      <c r="AV709" s="3759"/>
      <c r="AW709" s="3759"/>
      <c r="AX709" s="3759">
        <f t="shared" ref="AX709:AX715" si="425">I709/6</f>
        <v>40</v>
      </c>
      <c r="AY709" s="3759"/>
      <c r="AZ709" s="3759"/>
      <c r="BA709" s="3759"/>
      <c r="BB709" s="3759"/>
      <c r="BC709" s="3759"/>
      <c r="BD709" s="4120"/>
      <c r="BE709" s="3759"/>
      <c r="BF709" s="3759"/>
      <c r="BG709" s="3759"/>
      <c r="BH709" s="3759"/>
      <c r="BI709" s="3759" t="s">
        <v>89</v>
      </c>
      <c r="BJ709" s="3765">
        <f>I709/60*9</f>
        <v>36</v>
      </c>
      <c r="BK709" s="3765">
        <f>I709/60*2</f>
        <v>8</v>
      </c>
      <c r="BL709" s="3765">
        <f>I709/60*5</f>
        <v>20</v>
      </c>
      <c r="BM709" s="4206">
        <f>I709/60*9</f>
        <v>36</v>
      </c>
      <c r="BN709" s="3760">
        <f>I709/60*12</f>
        <v>48</v>
      </c>
      <c r="BO709" s="4207">
        <f>I709/60*15</f>
        <v>60</v>
      </c>
      <c r="BP709" s="3760">
        <f>I709/60*8</f>
        <v>32</v>
      </c>
      <c r="BQ709" s="3879">
        <f t="shared" si="414"/>
        <v>240</v>
      </c>
      <c r="BR709" s="3879">
        <v>0</v>
      </c>
      <c r="BS709" s="3774"/>
      <c r="BT709" s="3774"/>
      <c r="BU709" s="3774"/>
      <c r="BV709" s="3774"/>
      <c r="BW709" s="3774"/>
      <c r="BX709" s="3774"/>
      <c r="BY709" s="3774"/>
      <c r="BZ709" s="3774"/>
      <c r="CA709" s="3774"/>
      <c r="CB709" s="3774"/>
      <c r="CC709" s="3774"/>
      <c r="CD709" s="3774"/>
      <c r="CE709" s="3774"/>
      <c r="CF709" s="3774"/>
      <c r="CG709" s="3774"/>
      <c r="CH709" s="3774"/>
      <c r="CI709" s="3774"/>
      <c r="CJ709" s="3774"/>
      <c r="CK709" s="3774"/>
      <c r="CL709" s="3774"/>
      <c r="CM709" s="3774"/>
      <c r="CN709" s="3774"/>
      <c r="CO709" s="3774"/>
      <c r="CP709" s="3774"/>
      <c r="CQ709" s="3774"/>
      <c r="CR709" s="3774"/>
      <c r="CS709" s="3774"/>
      <c r="CT709" s="3774"/>
      <c r="CU709" s="3774"/>
      <c r="CV709" s="3774"/>
      <c r="CW709" s="3774"/>
      <c r="CX709" s="3774"/>
      <c r="CY709" s="3774"/>
      <c r="CZ709" s="3774"/>
      <c r="DA709" s="3774"/>
      <c r="DB709" s="3774"/>
      <c r="DC709" s="3774"/>
      <c r="DD709" s="3774"/>
      <c r="DE709" s="3774"/>
      <c r="DF709" s="3774"/>
      <c r="DG709" s="3774"/>
      <c r="DH709" s="3774"/>
      <c r="DI709" s="3774"/>
      <c r="DJ709" s="3774"/>
      <c r="DK709" s="3774"/>
      <c r="DL709" s="3774"/>
      <c r="DM709" s="3774"/>
      <c r="DN709" s="3774"/>
      <c r="DO709" s="3774"/>
      <c r="DP709" s="3774"/>
      <c r="DQ709" s="3774"/>
      <c r="DR709" s="3774"/>
      <c r="DS709" s="3774"/>
      <c r="DT709" s="3774"/>
      <c r="DU709" s="3774"/>
      <c r="DV709" s="3774"/>
      <c r="DW709" s="3774"/>
      <c r="DX709" s="3774"/>
      <c r="DY709" s="3774"/>
      <c r="DZ709" s="3774"/>
      <c r="EA709" s="3774"/>
      <c r="EB709" s="3774"/>
      <c r="EC709" s="3774"/>
      <c r="ED709" s="3774"/>
      <c r="EE709" s="3774"/>
      <c r="EF709" s="3774"/>
      <c r="EG709" s="3774"/>
      <c r="EH709" s="3774"/>
      <c r="EI709" s="3774"/>
      <c r="EJ709" s="3774"/>
      <c r="EK709" s="3774"/>
      <c r="EL709" s="3774"/>
      <c r="EM709" s="3774"/>
      <c r="EN709" s="3774"/>
      <c r="EO709" s="3774"/>
      <c r="EP709" s="3774"/>
      <c r="EQ709" s="3774"/>
      <c r="ER709" s="3774"/>
      <c r="ES709" s="3774"/>
      <c r="ET709" s="3774"/>
      <c r="EU709" s="3774"/>
      <c r="EV709" s="3774"/>
      <c r="EW709" s="3774"/>
      <c r="EX709" s="3774"/>
      <c r="EY709" s="3774"/>
      <c r="EZ709" s="3774"/>
      <c r="FA709" s="3774"/>
      <c r="FB709" s="3774"/>
      <c r="FC709" s="3774"/>
      <c r="FD709" s="3774"/>
      <c r="FE709" s="3774"/>
      <c r="FF709" s="3774"/>
      <c r="FG709" s="3774"/>
      <c r="FH709" s="3774"/>
      <c r="FI709" s="3774"/>
      <c r="FJ709" s="3774"/>
      <c r="FK709" s="3774"/>
      <c r="FL709" s="3774"/>
      <c r="FM709" s="3774"/>
      <c r="FN709" s="3774"/>
      <c r="FO709" s="3774"/>
      <c r="FP709" s="3774"/>
      <c r="FQ709" s="3774"/>
      <c r="FR709" s="3774"/>
      <c r="FS709" s="3774"/>
      <c r="FT709" s="3774"/>
      <c r="FU709" s="3774"/>
      <c r="FV709" s="3774"/>
      <c r="FW709" s="3774"/>
      <c r="FX709" s="3774"/>
      <c r="FY709" s="3774"/>
      <c r="FZ709" s="3774"/>
      <c r="GA709" s="3774"/>
      <c r="GB709" s="3774"/>
      <c r="GC709" s="3774"/>
      <c r="GD709" s="3774"/>
      <c r="GE709" s="3774"/>
      <c r="GF709" s="3774"/>
      <c r="GG709" s="3774"/>
      <c r="GH709" s="3774"/>
      <c r="GI709" s="3774"/>
      <c r="GJ709" s="3774"/>
      <c r="GK709" s="3774"/>
      <c r="GL709" s="3774"/>
      <c r="GM709" s="3774"/>
      <c r="GN709" s="3774"/>
      <c r="GO709" s="3774"/>
      <c r="GP709" s="3774"/>
      <c r="GQ709" s="3774"/>
      <c r="GR709" s="3774"/>
      <c r="GS709" s="3774"/>
      <c r="GT709" s="3774"/>
      <c r="GU709" s="3774"/>
      <c r="GV709" s="3774"/>
      <c r="GW709" s="3774"/>
      <c r="GX709" s="3774"/>
      <c r="GY709" s="3774"/>
      <c r="GZ709" s="3774"/>
      <c r="HA709" s="3774"/>
      <c r="HB709" s="3774"/>
      <c r="HC709" s="3774"/>
      <c r="HD709" s="3774"/>
      <c r="HE709" s="3774"/>
      <c r="HF709" s="3774"/>
      <c r="HG709" s="3774"/>
      <c r="HH709" s="3774"/>
      <c r="HI709" s="3774"/>
      <c r="HJ709" s="3774"/>
      <c r="HK709" s="3774"/>
      <c r="HL709" s="3774"/>
      <c r="HM709" s="3774"/>
      <c r="HN709" s="3774"/>
      <c r="HO709" s="3774"/>
      <c r="HP709" s="3774"/>
      <c r="HQ709" s="3774"/>
      <c r="HR709" s="3774"/>
      <c r="HS709" s="3774"/>
      <c r="HT709" s="3774"/>
      <c r="HU709" s="3774"/>
      <c r="HV709" s="3774"/>
      <c r="HW709" s="3774"/>
      <c r="HX709" s="3774"/>
      <c r="HY709" s="3774"/>
      <c r="HZ709" s="3774"/>
      <c r="IA709" s="3774"/>
      <c r="IB709" s="3774"/>
      <c r="IC709" s="3774"/>
      <c r="ID709" s="3774"/>
      <c r="IE709" s="3774"/>
      <c r="IF709" s="3774"/>
      <c r="IG709" s="3774"/>
      <c r="IH709" s="3774"/>
      <c r="II709" s="3774"/>
      <c r="IJ709" s="3774"/>
      <c r="IK709" s="3774"/>
      <c r="IL709" s="3774"/>
      <c r="IM709" s="3774"/>
      <c r="IN709" s="3774"/>
      <c r="IO709" s="3774"/>
      <c r="IP709" s="3774"/>
      <c r="IQ709" s="3774"/>
      <c r="IR709" s="3774"/>
      <c r="IS709" s="3774"/>
      <c r="IT709" s="3774"/>
      <c r="IU709" s="3774"/>
      <c r="IV709" s="3774"/>
      <c r="IW709" s="3774"/>
      <c r="IX709" s="3774"/>
      <c r="IY709" s="3774"/>
      <c r="IZ709" s="3774"/>
      <c r="JA709" s="3774"/>
      <c r="JB709" s="3774"/>
      <c r="JC709" s="3774"/>
      <c r="JD709" s="3774"/>
      <c r="JE709" s="3774"/>
      <c r="JF709" s="3774"/>
      <c r="JG709" s="3774"/>
      <c r="JH709" s="3774"/>
      <c r="JI709" s="3774"/>
      <c r="JJ709" s="3774"/>
      <c r="JK709" s="3774"/>
      <c r="JL709" s="3774"/>
      <c r="JM709" s="3774"/>
      <c r="JN709" s="3774"/>
      <c r="JO709" s="3774"/>
      <c r="JP709" s="3774"/>
      <c r="JQ709" s="3774"/>
      <c r="JR709" s="3774"/>
      <c r="JS709" s="3774"/>
      <c r="JT709" s="3774"/>
      <c r="JU709" s="3774"/>
      <c r="JV709" s="3774"/>
      <c r="JW709" s="3774"/>
      <c r="JX709" s="3774"/>
      <c r="JY709" s="3774"/>
      <c r="JZ709" s="3774"/>
      <c r="KA709" s="3774"/>
      <c r="KB709" s="3774"/>
      <c r="KC709" s="3774"/>
      <c r="KD709" s="3774"/>
      <c r="KE709" s="3774"/>
      <c r="KF709" s="3774"/>
      <c r="KG709" s="3774"/>
      <c r="KH709" s="3774"/>
      <c r="KI709" s="3774"/>
      <c r="KJ709" s="3774"/>
      <c r="KK709" s="3774"/>
      <c r="KL709" s="3774"/>
      <c r="KM709" s="3774"/>
      <c r="KN709" s="3774"/>
      <c r="KO709" s="3774"/>
      <c r="KP709" s="3774"/>
      <c r="KQ709" s="3774"/>
      <c r="KR709" s="3774"/>
      <c r="KS709" s="3774"/>
      <c r="KT709" s="3774"/>
      <c r="KU709" s="3774"/>
      <c r="KV709" s="3774"/>
      <c r="KW709" s="3774"/>
      <c r="KX709" s="3774"/>
      <c r="KY709" s="3774"/>
      <c r="KZ709" s="3774"/>
      <c r="LA709" s="3774"/>
    </row>
    <row r="710" s="3567" customFormat="1" ht="50" customHeight="1" spans="1:313">
      <c r="A710" s="4112">
        <v>46056</v>
      </c>
      <c r="B710" s="4176" t="s">
        <v>6341</v>
      </c>
      <c r="C710" s="4177" t="s">
        <v>506</v>
      </c>
      <c r="D710" s="3699">
        <v>4500192991</v>
      </c>
      <c r="E710" s="3700">
        <v>47908905</v>
      </c>
      <c r="F710" s="3700" t="s">
        <v>8097</v>
      </c>
      <c r="G710" s="3700" t="s">
        <v>6124</v>
      </c>
      <c r="H710" s="3699" t="s">
        <v>6063</v>
      </c>
      <c r="I710" s="4175">
        <v>468</v>
      </c>
      <c r="J710" s="3699">
        <v>0</v>
      </c>
      <c r="K710" s="3699">
        <v>12</v>
      </c>
      <c r="L710" s="3699">
        <f t="shared" si="412"/>
        <v>39</v>
      </c>
      <c r="M710" s="3707">
        <v>46111</v>
      </c>
      <c r="N710" s="3707">
        <v>46107</v>
      </c>
      <c r="O710" s="3708"/>
      <c r="P710" s="3700" t="s">
        <v>82</v>
      </c>
      <c r="Q710" s="4145">
        <v>468</v>
      </c>
      <c r="R710" s="4157">
        <f t="shared" si="417"/>
        <v>0</v>
      </c>
      <c r="S710" s="4186" t="s">
        <v>2297</v>
      </c>
      <c r="T710" s="4145" t="s">
        <v>321</v>
      </c>
      <c r="U710" s="3726"/>
      <c r="V710" s="3711" t="s">
        <v>8098</v>
      </c>
      <c r="W710" s="3711"/>
      <c r="X710" s="3711" t="s">
        <v>8099</v>
      </c>
      <c r="Y710" s="3715"/>
      <c r="Z710" s="3699"/>
      <c r="AA710" s="3715" t="s">
        <v>8100</v>
      </c>
      <c r="AB710" s="3699" t="s">
        <v>3202</v>
      </c>
      <c r="AC710" s="4208">
        <v>2.198</v>
      </c>
      <c r="AD710" s="4208">
        <f t="shared" si="423"/>
        <v>1028.664</v>
      </c>
      <c r="AE710" s="3700"/>
      <c r="AF710" s="3700" t="s">
        <v>6124</v>
      </c>
      <c r="AG710" s="3700" t="s">
        <v>6670</v>
      </c>
      <c r="AH710" s="4119"/>
      <c r="AI710" s="3700"/>
      <c r="AJ710" s="3699"/>
      <c r="AK710" s="4113"/>
      <c r="AL710" s="3759">
        <f>I710</f>
        <v>468</v>
      </c>
      <c r="AM710" s="4113"/>
      <c r="AN710" s="4120"/>
      <c r="AO710" s="3759"/>
      <c r="AP710" s="4120"/>
      <c r="AQ710" s="3759">
        <f t="shared" si="386"/>
        <v>468</v>
      </c>
      <c r="AR710" s="4120"/>
      <c r="AS710" s="3759"/>
      <c r="AT710" s="4120">
        <f t="shared" si="424"/>
        <v>468</v>
      </c>
      <c r="AU710" s="3759"/>
      <c r="AV710" s="3759"/>
      <c r="AW710" s="3759"/>
      <c r="AX710" s="3759">
        <f t="shared" si="425"/>
        <v>78</v>
      </c>
      <c r="AY710" s="3759"/>
      <c r="AZ710" s="3759"/>
      <c r="BA710" s="3759"/>
      <c r="BB710" s="3759"/>
      <c r="BC710" s="3759"/>
      <c r="BD710" s="4120"/>
      <c r="BE710" s="3759"/>
      <c r="BF710" s="3759"/>
      <c r="BG710" s="3759"/>
      <c r="BH710" s="3759"/>
      <c r="BI710" s="3759" t="s">
        <v>89</v>
      </c>
      <c r="BJ710" s="3759">
        <f>I710/60*9</f>
        <v>70.2</v>
      </c>
      <c r="BK710" s="3759">
        <f>I710/60*2</f>
        <v>15.6</v>
      </c>
      <c r="BL710" s="3759">
        <f>I710/60*5</f>
        <v>39</v>
      </c>
      <c r="BM710" s="4146">
        <f>I710/60*9</f>
        <v>70.2</v>
      </c>
      <c r="BN710" s="3721">
        <f>I710/60*12</f>
        <v>93.6</v>
      </c>
      <c r="BO710" s="3791">
        <f>I710/60*15</f>
        <v>117</v>
      </c>
      <c r="BP710" s="3721">
        <f>I710/60*8</f>
        <v>62.4</v>
      </c>
      <c r="BQ710" s="3724">
        <f t="shared" si="414"/>
        <v>468</v>
      </c>
      <c r="BR710" s="3724">
        <v>0</v>
      </c>
      <c r="BS710" s="3774"/>
      <c r="BT710" s="3774"/>
      <c r="BU710" s="3774"/>
      <c r="BV710" s="3774"/>
      <c r="BW710" s="3774"/>
      <c r="BX710" s="3774"/>
      <c r="BY710" s="3774"/>
      <c r="BZ710" s="3774"/>
      <c r="CA710" s="3774"/>
      <c r="CB710" s="3774"/>
      <c r="CC710" s="3774"/>
      <c r="CD710" s="3774"/>
      <c r="CE710" s="3774"/>
      <c r="CF710" s="3774"/>
      <c r="CG710" s="3774"/>
      <c r="CH710" s="3774"/>
      <c r="CI710" s="3774"/>
      <c r="CJ710" s="3774"/>
      <c r="CK710" s="3774"/>
      <c r="CL710" s="3774"/>
      <c r="CM710" s="3774"/>
      <c r="CN710" s="3774"/>
      <c r="CO710" s="3774"/>
      <c r="CP710" s="3774"/>
      <c r="CQ710" s="3774"/>
      <c r="CR710" s="3774"/>
      <c r="CS710" s="3774"/>
      <c r="CT710" s="3774"/>
      <c r="CU710" s="3774"/>
      <c r="CV710" s="3774"/>
      <c r="CW710" s="3774"/>
      <c r="CX710" s="3774"/>
      <c r="CY710" s="3774"/>
      <c r="CZ710" s="3774"/>
      <c r="DA710" s="3774"/>
      <c r="DB710" s="3774"/>
      <c r="DC710" s="3774"/>
      <c r="DD710" s="3774"/>
      <c r="DE710" s="3774"/>
      <c r="DF710" s="3774"/>
      <c r="DG710" s="3774"/>
      <c r="DH710" s="3774"/>
      <c r="DI710" s="3774"/>
      <c r="DJ710" s="3774"/>
      <c r="DK710" s="3774"/>
      <c r="DL710" s="3774"/>
      <c r="DM710" s="3774"/>
      <c r="DN710" s="3774"/>
      <c r="DO710" s="3774"/>
      <c r="DP710" s="3774"/>
      <c r="DQ710" s="3774"/>
      <c r="DR710" s="3774"/>
      <c r="DS710" s="3774"/>
      <c r="DT710" s="3774"/>
      <c r="DU710" s="3774"/>
      <c r="DV710" s="3774"/>
      <c r="DW710" s="3774"/>
      <c r="DX710" s="3774"/>
      <c r="DY710" s="3774"/>
      <c r="DZ710" s="3774"/>
      <c r="EA710" s="3774"/>
      <c r="EB710" s="3774"/>
      <c r="EC710" s="3774"/>
      <c r="ED710" s="3774"/>
      <c r="EE710" s="3774"/>
      <c r="EF710" s="3774"/>
      <c r="EG710" s="3774"/>
      <c r="EH710" s="3774"/>
      <c r="EI710" s="3774"/>
      <c r="EJ710" s="3774"/>
      <c r="EK710" s="3774"/>
      <c r="EL710" s="3774"/>
      <c r="EM710" s="3774"/>
      <c r="EN710" s="3774"/>
      <c r="EO710" s="3774"/>
      <c r="EP710" s="3774"/>
      <c r="EQ710" s="3774"/>
      <c r="ER710" s="3774"/>
      <c r="ES710" s="3774"/>
      <c r="ET710" s="3774"/>
      <c r="EU710" s="3774"/>
      <c r="EV710" s="3774"/>
      <c r="EW710" s="3774"/>
      <c r="EX710" s="3774"/>
      <c r="EY710" s="3774"/>
      <c r="EZ710" s="3774"/>
      <c r="FA710" s="3774"/>
      <c r="FB710" s="3774"/>
      <c r="FC710" s="3774"/>
      <c r="FD710" s="3774"/>
      <c r="FE710" s="3774"/>
      <c r="FF710" s="3774"/>
      <c r="FG710" s="3774"/>
      <c r="FH710" s="3774"/>
      <c r="FI710" s="3774"/>
      <c r="FJ710" s="3774"/>
      <c r="FK710" s="3774"/>
      <c r="FL710" s="3774"/>
      <c r="FM710" s="3774"/>
      <c r="FN710" s="3774"/>
      <c r="FO710" s="3774"/>
      <c r="FP710" s="3774"/>
      <c r="FQ710" s="3774"/>
      <c r="FR710" s="3774"/>
      <c r="FS710" s="3774"/>
      <c r="FT710" s="3774"/>
      <c r="FU710" s="3774"/>
      <c r="FV710" s="3774"/>
      <c r="FW710" s="3774"/>
      <c r="FX710" s="3774"/>
      <c r="FY710" s="3774"/>
      <c r="FZ710" s="3774"/>
      <c r="GA710" s="3774"/>
      <c r="GB710" s="3774"/>
      <c r="GC710" s="3774"/>
      <c r="GD710" s="3774"/>
      <c r="GE710" s="3774"/>
      <c r="GF710" s="3774"/>
      <c r="GG710" s="3774"/>
      <c r="GH710" s="3774"/>
      <c r="GI710" s="3774"/>
      <c r="GJ710" s="3774"/>
      <c r="GK710" s="3774"/>
      <c r="GL710" s="3774"/>
      <c r="GM710" s="3774"/>
      <c r="GN710" s="3774"/>
      <c r="GO710" s="3774"/>
      <c r="GP710" s="3774"/>
      <c r="GQ710" s="3774"/>
      <c r="GR710" s="3774"/>
      <c r="GS710" s="3774"/>
      <c r="GT710" s="3774"/>
      <c r="GU710" s="3774"/>
      <c r="GV710" s="3774"/>
      <c r="GW710" s="3774"/>
      <c r="GX710" s="3774"/>
      <c r="GY710" s="3774"/>
      <c r="GZ710" s="3774"/>
      <c r="HA710" s="3774"/>
      <c r="HB710" s="3774"/>
      <c r="HC710" s="3774"/>
      <c r="HD710" s="3774"/>
      <c r="HE710" s="3774"/>
      <c r="HF710" s="3774"/>
      <c r="HG710" s="3774"/>
      <c r="HH710" s="3774"/>
      <c r="HI710" s="3774"/>
      <c r="HJ710" s="3774"/>
      <c r="HK710" s="3774"/>
      <c r="HL710" s="3774"/>
      <c r="HM710" s="3774"/>
      <c r="HN710" s="3774"/>
      <c r="HO710" s="3774"/>
      <c r="HP710" s="3774"/>
      <c r="HQ710" s="3774"/>
      <c r="HR710" s="3774"/>
      <c r="HS710" s="3774"/>
      <c r="HT710" s="3774"/>
      <c r="HU710" s="3774"/>
      <c r="HV710" s="3774"/>
      <c r="HW710" s="3774"/>
      <c r="HX710" s="3774"/>
      <c r="HY710" s="3774"/>
      <c r="HZ710" s="3774"/>
      <c r="IA710" s="3774"/>
      <c r="IB710" s="3774"/>
      <c r="IC710" s="3774"/>
      <c r="ID710" s="3774"/>
      <c r="IE710" s="3774"/>
      <c r="IF710" s="3774"/>
      <c r="IG710" s="3774"/>
      <c r="IH710" s="3774"/>
      <c r="II710" s="3774"/>
      <c r="IJ710" s="3774"/>
      <c r="IK710" s="3774"/>
      <c r="IL710" s="3774"/>
      <c r="IM710" s="3774"/>
      <c r="IN710" s="3774"/>
      <c r="IO710" s="3774"/>
      <c r="IP710" s="3774"/>
      <c r="IQ710" s="3774"/>
      <c r="IR710" s="3774"/>
      <c r="IS710" s="3774"/>
      <c r="IT710" s="3774"/>
      <c r="IU710" s="3774"/>
      <c r="IV710" s="3774"/>
      <c r="IW710" s="3774"/>
      <c r="IX710" s="3774"/>
      <c r="IY710" s="3774"/>
      <c r="IZ710" s="3774"/>
      <c r="JA710" s="3774"/>
      <c r="JB710" s="3774"/>
      <c r="JC710" s="3774"/>
      <c r="JD710" s="3774"/>
      <c r="JE710" s="3774"/>
      <c r="JF710" s="3774"/>
      <c r="JG710" s="3774"/>
      <c r="JH710" s="3774"/>
      <c r="JI710" s="3774"/>
      <c r="JJ710" s="3774"/>
      <c r="JK710" s="3774"/>
      <c r="JL710" s="3774"/>
      <c r="JM710" s="3774"/>
      <c r="JN710" s="3774"/>
      <c r="JO710" s="3774"/>
      <c r="JP710" s="3774"/>
      <c r="JQ710" s="3774"/>
      <c r="JR710" s="3774"/>
      <c r="JS710" s="3774"/>
      <c r="JT710" s="3774"/>
      <c r="JU710" s="3774"/>
      <c r="JV710" s="3774"/>
      <c r="JW710" s="3774"/>
      <c r="JX710" s="3774"/>
      <c r="JY710" s="3774"/>
      <c r="JZ710" s="3774"/>
      <c r="KA710" s="3774"/>
      <c r="KB710" s="3774"/>
      <c r="KC710" s="3774"/>
      <c r="KD710" s="3774"/>
      <c r="KE710" s="3774"/>
      <c r="KF710" s="3774"/>
      <c r="KG710" s="3774"/>
      <c r="KH710" s="3774"/>
      <c r="KI710" s="3774"/>
      <c r="KJ710" s="3774"/>
      <c r="KK710" s="3774"/>
      <c r="KL710" s="3774"/>
      <c r="KM710" s="3774"/>
      <c r="KN710" s="3774"/>
      <c r="KO710" s="3774"/>
      <c r="KP710" s="3774"/>
      <c r="KQ710" s="3774"/>
      <c r="KR710" s="3774"/>
      <c r="KS710" s="3774"/>
      <c r="KT710" s="3774"/>
      <c r="KU710" s="3774"/>
      <c r="KV710" s="3774"/>
      <c r="KW710" s="3774"/>
      <c r="KX710" s="3774"/>
      <c r="KY710" s="3774"/>
      <c r="KZ710" s="3774"/>
      <c r="LA710" s="3774"/>
    </row>
    <row r="711" s="3567" customFormat="1" ht="50" customHeight="1" spans="1:313">
      <c r="A711" s="4112">
        <v>46056</v>
      </c>
      <c r="B711" s="4176" t="s">
        <v>6341</v>
      </c>
      <c r="C711" s="4177" t="s">
        <v>506</v>
      </c>
      <c r="D711" s="3699">
        <v>4500192991</v>
      </c>
      <c r="E711" s="3700">
        <v>47908955</v>
      </c>
      <c r="F711" s="3700" t="s">
        <v>8101</v>
      </c>
      <c r="G711" s="3700" t="s">
        <v>6124</v>
      </c>
      <c r="H711" s="3699" t="s">
        <v>6063</v>
      </c>
      <c r="I711" s="4175">
        <v>564</v>
      </c>
      <c r="J711" s="3699">
        <v>0</v>
      </c>
      <c r="K711" s="3699">
        <v>12</v>
      </c>
      <c r="L711" s="3699">
        <f t="shared" si="412"/>
        <v>47</v>
      </c>
      <c r="M711" s="3707">
        <v>46111</v>
      </c>
      <c r="N711" s="3707">
        <v>46107</v>
      </c>
      <c r="O711" s="3708"/>
      <c r="P711" s="3700" t="s">
        <v>82</v>
      </c>
      <c r="Q711" s="4145">
        <v>564</v>
      </c>
      <c r="R711" s="4157">
        <f t="shared" si="417"/>
        <v>0</v>
      </c>
      <c r="S711" s="4209"/>
      <c r="T711" s="4145" t="s">
        <v>321</v>
      </c>
      <c r="U711" s="3726" t="s">
        <v>935</v>
      </c>
      <c r="V711" s="3711" t="s">
        <v>8098</v>
      </c>
      <c r="W711" s="3711"/>
      <c r="X711" s="3711" t="s">
        <v>8099</v>
      </c>
      <c r="Y711" s="3715"/>
      <c r="Z711" s="3699"/>
      <c r="AA711" s="3715" t="s">
        <v>8100</v>
      </c>
      <c r="AB711" s="3699" t="s">
        <v>3202</v>
      </c>
      <c r="AC711" s="4208">
        <v>2.198</v>
      </c>
      <c r="AD711" s="4208">
        <f t="shared" si="423"/>
        <v>1239.672</v>
      </c>
      <c r="AE711" s="3700"/>
      <c r="AF711" s="3700" t="s">
        <v>6124</v>
      </c>
      <c r="AG711" s="3700" t="s">
        <v>6670</v>
      </c>
      <c r="AH711" s="4119"/>
      <c r="AI711" s="3700"/>
      <c r="AJ711" s="3699"/>
      <c r="AK711" s="4113"/>
      <c r="AL711" s="3759">
        <f>I711</f>
        <v>564</v>
      </c>
      <c r="AM711" s="4113"/>
      <c r="AN711" s="4120"/>
      <c r="AO711" s="3759"/>
      <c r="AP711" s="4120"/>
      <c r="AQ711" s="3759">
        <f t="shared" si="386"/>
        <v>564</v>
      </c>
      <c r="AR711" s="4120"/>
      <c r="AS711" s="3759"/>
      <c r="AT711" s="4120">
        <f t="shared" si="424"/>
        <v>564</v>
      </c>
      <c r="AU711" s="3759"/>
      <c r="AV711" s="3759"/>
      <c r="AW711" s="3759"/>
      <c r="AX711" s="3759">
        <f t="shared" si="425"/>
        <v>94</v>
      </c>
      <c r="AY711" s="3759"/>
      <c r="AZ711" s="3759"/>
      <c r="BA711" s="3759"/>
      <c r="BB711" s="3759"/>
      <c r="BC711" s="3759"/>
      <c r="BD711" s="4120"/>
      <c r="BE711" s="3759"/>
      <c r="BF711" s="3759"/>
      <c r="BG711" s="3759"/>
      <c r="BH711" s="3759"/>
      <c r="BI711" s="3759" t="s">
        <v>89</v>
      </c>
      <c r="BJ711" s="3759">
        <f>I711/60*9</f>
        <v>84.6</v>
      </c>
      <c r="BK711" s="3759">
        <f>I711/60*2</f>
        <v>18.8</v>
      </c>
      <c r="BL711" s="3759">
        <f>I711/60*5</f>
        <v>47</v>
      </c>
      <c r="BM711" s="4146">
        <f>I711/60*9</f>
        <v>84.6</v>
      </c>
      <c r="BN711" s="3721">
        <f>I711/60*12</f>
        <v>112.8</v>
      </c>
      <c r="BO711" s="3791">
        <f>I711/60*15</f>
        <v>141</v>
      </c>
      <c r="BP711" s="3721">
        <f>I711/60*8</f>
        <v>75.2</v>
      </c>
      <c r="BQ711" s="3724">
        <f t="shared" si="414"/>
        <v>564</v>
      </c>
      <c r="BR711" s="3724">
        <v>0</v>
      </c>
      <c r="BS711" s="3774"/>
      <c r="BT711" s="3774"/>
      <c r="BU711" s="3774"/>
      <c r="BV711" s="3774"/>
      <c r="BW711" s="3774"/>
      <c r="BX711" s="3774"/>
      <c r="BY711" s="3774"/>
      <c r="BZ711" s="3774"/>
      <c r="CA711" s="3774"/>
      <c r="CB711" s="3774"/>
      <c r="CC711" s="3774"/>
      <c r="CD711" s="3774"/>
      <c r="CE711" s="3774"/>
      <c r="CF711" s="3774"/>
      <c r="CG711" s="3774"/>
      <c r="CH711" s="3774"/>
      <c r="CI711" s="3774"/>
      <c r="CJ711" s="3774"/>
      <c r="CK711" s="3774"/>
      <c r="CL711" s="3774"/>
      <c r="CM711" s="3774"/>
      <c r="CN711" s="3774"/>
      <c r="CO711" s="3774"/>
      <c r="CP711" s="3774"/>
      <c r="CQ711" s="3774"/>
      <c r="CR711" s="3774"/>
      <c r="CS711" s="3774"/>
      <c r="CT711" s="3774"/>
      <c r="CU711" s="3774"/>
      <c r="CV711" s="3774"/>
      <c r="CW711" s="3774"/>
      <c r="CX711" s="3774"/>
      <c r="CY711" s="3774"/>
      <c r="CZ711" s="3774"/>
      <c r="DA711" s="3774"/>
      <c r="DB711" s="3774"/>
      <c r="DC711" s="3774"/>
      <c r="DD711" s="3774"/>
      <c r="DE711" s="3774"/>
      <c r="DF711" s="3774"/>
      <c r="DG711" s="3774"/>
      <c r="DH711" s="3774"/>
      <c r="DI711" s="3774"/>
      <c r="DJ711" s="3774"/>
      <c r="DK711" s="3774"/>
      <c r="DL711" s="3774"/>
      <c r="DM711" s="3774"/>
      <c r="DN711" s="3774"/>
      <c r="DO711" s="3774"/>
      <c r="DP711" s="3774"/>
      <c r="DQ711" s="3774"/>
      <c r="DR711" s="3774"/>
      <c r="DS711" s="3774"/>
      <c r="DT711" s="3774"/>
      <c r="DU711" s="3774"/>
      <c r="DV711" s="3774"/>
      <c r="DW711" s="3774"/>
      <c r="DX711" s="3774"/>
      <c r="DY711" s="3774"/>
      <c r="DZ711" s="3774"/>
      <c r="EA711" s="3774"/>
      <c r="EB711" s="3774"/>
      <c r="EC711" s="3774"/>
      <c r="ED711" s="3774"/>
      <c r="EE711" s="3774"/>
      <c r="EF711" s="3774"/>
      <c r="EG711" s="3774"/>
      <c r="EH711" s="3774"/>
      <c r="EI711" s="3774"/>
      <c r="EJ711" s="3774"/>
      <c r="EK711" s="3774"/>
      <c r="EL711" s="3774"/>
      <c r="EM711" s="3774"/>
      <c r="EN711" s="3774"/>
      <c r="EO711" s="3774"/>
      <c r="EP711" s="3774"/>
      <c r="EQ711" s="3774"/>
      <c r="ER711" s="3774"/>
      <c r="ES711" s="3774"/>
      <c r="ET711" s="3774"/>
      <c r="EU711" s="3774"/>
      <c r="EV711" s="3774"/>
      <c r="EW711" s="3774"/>
      <c r="EX711" s="3774"/>
      <c r="EY711" s="3774"/>
      <c r="EZ711" s="3774"/>
      <c r="FA711" s="3774"/>
      <c r="FB711" s="3774"/>
      <c r="FC711" s="3774"/>
      <c r="FD711" s="3774"/>
      <c r="FE711" s="3774"/>
      <c r="FF711" s="3774"/>
      <c r="FG711" s="3774"/>
      <c r="FH711" s="3774"/>
      <c r="FI711" s="3774"/>
      <c r="FJ711" s="3774"/>
      <c r="FK711" s="3774"/>
      <c r="FL711" s="3774"/>
      <c r="FM711" s="3774"/>
      <c r="FN711" s="3774"/>
      <c r="FO711" s="3774"/>
      <c r="FP711" s="3774"/>
      <c r="FQ711" s="3774"/>
      <c r="FR711" s="3774"/>
      <c r="FS711" s="3774"/>
      <c r="FT711" s="3774"/>
      <c r="FU711" s="3774"/>
      <c r="FV711" s="3774"/>
      <c r="FW711" s="3774"/>
      <c r="FX711" s="3774"/>
      <c r="FY711" s="3774"/>
      <c r="FZ711" s="3774"/>
      <c r="GA711" s="3774"/>
      <c r="GB711" s="3774"/>
      <c r="GC711" s="3774"/>
      <c r="GD711" s="3774"/>
      <c r="GE711" s="3774"/>
      <c r="GF711" s="3774"/>
      <c r="GG711" s="3774"/>
      <c r="GH711" s="3774"/>
      <c r="GI711" s="3774"/>
      <c r="GJ711" s="3774"/>
      <c r="GK711" s="3774"/>
      <c r="GL711" s="3774"/>
      <c r="GM711" s="3774"/>
      <c r="GN711" s="3774"/>
      <c r="GO711" s="3774"/>
      <c r="GP711" s="3774"/>
      <c r="GQ711" s="3774"/>
      <c r="GR711" s="3774"/>
      <c r="GS711" s="3774"/>
      <c r="GT711" s="3774"/>
      <c r="GU711" s="3774"/>
      <c r="GV711" s="3774"/>
      <c r="GW711" s="3774"/>
      <c r="GX711" s="3774"/>
      <c r="GY711" s="3774"/>
      <c r="GZ711" s="3774"/>
      <c r="HA711" s="3774"/>
      <c r="HB711" s="3774"/>
      <c r="HC711" s="3774"/>
      <c r="HD711" s="3774"/>
      <c r="HE711" s="3774"/>
      <c r="HF711" s="3774"/>
      <c r="HG711" s="3774"/>
      <c r="HH711" s="3774"/>
      <c r="HI711" s="3774"/>
      <c r="HJ711" s="3774"/>
      <c r="HK711" s="3774"/>
      <c r="HL711" s="3774"/>
      <c r="HM711" s="3774"/>
      <c r="HN711" s="3774"/>
      <c r="HO711" s="3774"/>
      <c r="HP711" s="3774"/>
      <c r="HQ711" s="3774"/>
      <c r="HR711" s="3774"/>
      <c r="HS711" s="3774"/>
      <c r="HT711" s="3774"/>
      <c r="HU711" s="3774"/>
      <c r="HV711" s="3774"/>
      <c r="HW711" s="3774"/>
      <c r="HX711" s="3774"/>
      <c r="HY711" s="3774"/>
      <c r="HZ711" s="3774"/>
      <c r="IA711" s="3774"/>
      <c r="IB711" s="3774"/>
      <c r="IC711" s="3774"/>
      <c r="ID711" s="3774"/>
      <c r="IE711" s="3774"/>
      <c r="IF711" s="3774"/>
      <c r="IG711" s="3774"/>
      <c r="IH711" s="3774"/>
      <c r="II711" s="3774"/>
      <c r="IJ711" s="3774"/>
      <c r="IK711" s="3774"/>
      <c r="IL711" s="3774"/>
      <c r="IM711" s="3774"/>
      <c r="IN711" s="3774"/>
      <c r="IO711" s="3774"/>
      <c r="IP711" s="3774"/>
      <c r="IQ711" s="3774"/>
      <c r="IR711" s="3774"/>
      <c r="IS711" s="3774"/>
      <c r="IT711" s="3774"/>
      <c r="IU711" s="3774"/>
      <c r="IV711" s="3774"/>
      <c r="IW711" s="3774"/>
      <c r="IX711" s="3774"/>
      <c r="IY711" s="3774"/>
      <c r="IZ711" s="3774"/>
      <c r="JA711" s="3774"/>
      <c r="JB711" s="3774"/>
      <c r="JC711" s="3774"/>
      <c r="JD711" s="3774"/>
      <c r="JE711" s="3774"/>
      <c r="JF711" s="3774"/>
      <c r="JG711" s="3774"/>
      <c r="JH711" s="3774"/>
      <c r="JI711" s="3774"/>
      <c r="JJ711" s="3774"/>
      <c r="JK711" s="3774"/>
      <c r="JL711" s="3774"/>
      <c r="JM711" s="3774"/>
      <c r="JN711" s="3774"/>
      <c r="JO711" s="3774"/>
      <c r="JP711" s="3774"/>
      <c r="JQ711" s="3774"/>
      <c r="JR711" s="3774"/>
      <c r="JS711" s="3774"/>
      <c r="JT711" s="3774"/>
      <c r="JU711" s="3774"/>
      <c r="JV711" s="3774"/>
      <c r="JW711" s="3774"/>
      <c r="JX711" s="3774"/>
      <c r="JY711" s="3774"/>
      <c r="JZ711" s="3774"/>
      <c r="KA711" s="3774"/>
      <c r="KB711" s="3774"/>
      <c r="KC711" s="3774"/>
      <c r="KD711" s="3774"/>
      <c r="KE711" s="3774"/>
      <c r="KF711" s="3774"/>
      <c r="KG711" s="3774"/>
      <c r="KH711" s="3774"/>
      <c r="KI711" s="3774"/>
      <c r="KJ711" s="3774"/>
      <c r="KK711" s="3774"/>
      <c r="KL711" s="3774"/>
      <c r="KM711" s="3774"/>
      <c r="KN711" s="3774"/>
      <c r="KO711" s="3774"/>
      <c r="KP711" s="3774"/>
      <c r="KQ711" s="3774"/>
      <c r="KR711" s="3774"/>
      <c r="KS711" s="3774"/>
      <c r="KT711" s="3774"/>
      <c r="KU711" s="3774"/>
      <c r="KV711" s="3774"/>
      <c r="KW711" s="3774"/>
      <c r="KX711" s="3774"/>
      <c r="KY711" s="3774"/>
      <c r="KZ711" s="3774"/>
      <c r="LA711" s="3774"/>
    </row>
    <row r="712" s="3567" customFormat="1" ht="50" customHeight="1" spans="1:313">
      <c r="A712" s="4112">
        <v>46056</v>
      </c>
      <c r="B712" s="4176" t="s">
        <v>6341</v>
      </c>
      <c r="C712" s="4177" t="s">
        <v>506</v>
      </c>
      <c r="D712" s="3699">
        <v>4500192991</v>
      </c>
      <c r="E712" s="3700">
        <v>47909096</v>
      </c>
      <c r="F712" s="3700" t="s">
        <v>8102</v>
      </c>
      <c r="G712" s="3700" t="s">
        <v>6124</v>
      </c>
      <c r="H712" s="3699" t="s">
        <v>6063</v>
      </c>
      <c r="I712" s="4175">
        <v>180</v>
      </c>
      <c r="J712" s="3699">
        <v>0</v>
      </c>
      <c r="K712" s="3699">
        <v>12</v>
      </c>
      <c r="L712" s="3699">
        <f t="shared" si="412"/>
        <v>15</v>
      </c>
      <c r="M712" s="3707">
        <v>46111</v>
      </c>
      <c r="N712" s="3707">
        <v>46107</v>
      </c>
      <c r="O712" s="3708"/>
      <c r="P712" s="3700" t="s">
        <v>82</v>
      </c>
      <c r="Q712" s="4145">
        <v>180</v>
      </c>
      <c r="R712" s="4157">
        <f t="shared" si="417"/>
        <v>0</v>
      </c>
      <c r="S712" s="4209"/>
      <c r="T712" s="4145" t="s">
        <v>321</v>
      </c>
      <c r="U712" s="3726" t="s">
        <v>935</v>
      </c>
      <c r="V712" s="3711" t="s">
        <v>8098</v>
      </c>
      <c r="W712" s="3711"/>
      <c r="X712" s="3711" t="s">
        <v>8099</v>
      </c>
      <c r="Y712" s="3715"/>
      <c r="Z712" s="3699"/>
      <c r="AA712" s="3715" t="s">
        <v>8100</v>
      </c>
      <c r="AB712" s="3699" t="s">
        <v>3202</v>
      </c>
      <c r="AC712" s="4208">
        <v>2.198</v>
      </c>
      <c r="AD712" s="4208">
        <f t="shared" si="423"/>
        <v>395.64</v>
      </c>
      <c r="AE712" s="3700"/>
      <c r="AF712" s="3700" t="s">
        <v>6124</v>
      </c>
      <c r="AG712" s="3700" t="s">
        <v>6670</v>
      </c>
      <c r="AH712" s="4119"/>
      <c r="AI712" s="3700"/>
      <c r="AJ712" s="3699"/>
      <c r="AK712" s="4113"/>
      <c r="AL712" s="3759">
        <f>I712</f>
        <v>180</v>
      </c>
      <c r="AM712" s="4113"/>
      <c r="AN712" s="4120"/>
      <c r="AO712" s="3759"/>
      <c r="AP712" s="4120"/>
      <c r="AQ712" s="3759">
        <f t="shared" si="386"/>
        <v>180</v>
      </c>
      <c r="AR712" s="4120"/>
      <c r="AS712" s="3759"/>
      <c r="AT712" s="4120">
        <f t="shared" si="424"/>
        <v>180</v>
      </c>
      <c r="AU712" s="3759"/>
      <c r="AV712" s="3759"/>
      <c r="AW712" s="3759"/>
      <c r="AX712" s="3759">
        <f t="shared" si="425"/>
        <v>30</v>
      </c>
      <c r="AY712" s="3759"/>
      <c r="AZ712" s="3759"/>
      <c r="BA712" s="3759"/>
      <c r="BB712" s="3759"/>
      <c r="BC712" s="3759"/>
      <c r="BD712" s="4120"/>
      <c r="BE712" s="3759"/>
      <c r="BF712" s="3759"/>
      <c r="BG712" s="3759"/>
      <c r="BH712" s="3759"/>
      <c r="BI712" s="3759" t="s">
        <v>89</v>
      </c>
      <c r="BJ712" s="3759">
        <f>I712/60*9</f>
        <v>27</v>
      </c>
      <c r="BK712" s="3759">
        <f>I712/60*2</f>
        <v>6</v>
      </c>
      <c r="BL712" s="3759">
        <f>I712/60*5</f>
        <v>15</v>
      </c>
      <c r="BM712" s="4146">
        <f>I712/60*9</f>
        <v>27</v>
      </c>
      <c r="BN712" s="3721">
        <f>I712/60*12</f>
        <v>36</v>
      </c>
      <c r="BO712" s="3791">
        <f>I712/60*15</f>
        <v>45</v>
      </c>
      <c r="BP712" s="3721">
        <f>I712/60*8</f>
        <v>24</v>
      </c>
      <c r="BQ712" s="3724">
        <f t="shared" si="414"/>
        <v>180</v>
      </c>
      <c r="BR712" s="3724">
        <v>0</v>
      </c>
      <c r="BS712" s="3774"/>
      <c r="BT712" s="3774"/>
      <c r="BU712" s="3774"/>
      <c r="BV712" s="3774"/>
      <c r="BW712" s="3774"/>
      <c r="BX712" s="3774"/>
      <c r="BY712" s="3774"/>
      <c r="BZ712" s="3774"/>
      <c r="CA712" s="3774"/>
      <c r="CB712" s="3774"/>
      <c r="CC712" s="3774"/>
      <c r="CD712" s="3774"/>
      <c r="CE712" s="3774"/>
      <c r="CF712" s="3774"/>
      <c r="CG712" s="3774"/>
      <c r="CH712" s="3774"/>
      <c r="CI712" s="3774"/>
      <c r="CJ712" s="3774"/>
      <c r="CK712" s="3774"/>
      <c r="CL712" s="3774"/>
      <c r="CM712" s="3774"/>
      <c r="CN712" s="3774"/>
      <c r="CO712" s="3774"/>
      <c r="CP712" s="3774"/>
      <c r="CQ712" s="3774"/>
      <c r="CR712" s="3774"/>
      <c r="CS712" s="3774"/>
      <c r="CT712" s="3774"/>
      <c r="CU712" s="3774"/>
      <c r="CV712" s="3774"/>
      <c r="CW712" s="3774"/>
      <c r="CX712" s="3774"/>
      <c r="CY712" s="3774"/>
      <c r="CZ712" s="3774"/>
      <c r="DA712" s="3774"/>
      <c r="DB712" s="3774"/>
      <c r="DC712" s="3774"/>
      <c r="DD712" s="3774"/>
      <c r="DE712" s="3774"/>
      <c r="DF712" s="3774"/>
      <c r="DG712" s="3774"/>
      <c r="DH712" s="3774"/>
      <c r="DI712" s="3774"/>
      <c r="DJ712" s="3774"/>
      <c r="DK712" s="3774"/>
      <c r="DL712" s="3774"/>
      <c r="DM712" s="3774"/>
      <c r="DN712" s="3774"/>
      <c r="DO712" s="3774"/>
      <c r="DP712" s="3774"/>
      <c r="DQ712" s="3774"/>
      <c r="DR712" s="3774"/>
      <c r="DS712" s="3774"/>
      <c r="DT712" s="3774"/>
      <c r="DU712" s="3774"/>
      <c r="DV712" s="3774"/>
      <c r="DW712" s="3774"/>
      <c r="DX712" s="3774"/>
      <c r="DY712" s="3774"/>
      <c r="DZ712" s="3774"/>
      <c r="EA712" s="3774"/>
      <c r="EB712" s="3774"/>
      <c r="EC712" s="3774"/>
      <c r="ED712" s="3774"/>
      <c r="EE712" s="3774"/>
      <c r="EF712" s="3774"/>
      <c r="EG712" s="3774"/>
      <c r="EH712" s="3774"/>
      <c r="EI712" s="3774"/>
      <c r="EJ712" s="3774"/>
      <c r="EK712" s="3774"/>
      <c r="EL712" s="3774"/>
      <c r="EM712" s="3774"/>
      <c r="EN712" s="3774"/>
      <c r="EO712" s="3774"/>
      <c r="EP712" s="3774"/>
      <c r="EQ712" s="3774"/>
      <c r="ER712" s="3774"/>
      <c r="ES712" s="3774"/>
      <c r="ET712" s="3774"/>
      <c r="EU712" s="3774"/>
      <c r="EV712" s="3774"/>
      <c r="EW712" s="3774"/>
      <c r="EX712" s="3774"/>
      <c r="EY712" s="3774"/>
      <c r="EZ712" s="3774"/>
      <c r="FA712" s="3774"/>
      <c r="FB712" s="3774"/>
      <c r="FC712" s="3774"/>
      <c r="FD712" s="3774"/>
      <c r="FE712" s="3774"/>
      <c r="FF712" s="3774"/>
      <c r="FG712" s="3774"/>
      <c r="FH712" s="3774"/>
      <c r="FI712" s="3774"/>
      <c r="FJ712" s="3774"/>
      <c r="FK712" s="3774"/>
      <c r="FL712" s="3774"/>
      <c r="FM712" s="3774"/>
      <c r="FN712" s="3774"/>
      <c r="FO712" s="3774"/>
      <c r="FP712" s="3774"/>
      <c r="FQ712" s="3774"/>
      <c r="FR712" s="3774"/>
      <c r="FS712" s="3774"/>
      <c r="FT712" s="3774"/>
      <c r="FU712" s="3774"/>
      <c r="FV712" s="3774"/>
      <c r="FW712" s="3774"/>
      <c r="FX712" s="3774"/>
      <c r="FY712" s="3774"/>
      <c r="FZ712" s="3774"/>
      <c r="GA712" s="3774"/>
      <c r="GB712" s="3774"/>
      <c r="GC712" s="3774"/>
      <c r="GD712" s="3774"/>
      <c r="GE712" s="3774"/>
      <c r="GF712" s="3774"/>
      <c r="GG712" s="3774"/>
      <c r="GH712" s="3774"/>
      <c r="GI712" s="3774"/>
      <c r="GJ712" s="3774"/>
      <c r="GK712" s="3774"/>
      <c r="GL712" s="3774"/>
      <c r="GM712" s="3774"/>
      <c r="GN712" s="3774"/>
      <c r="GO712" s="3774"/>
      <c r="GP712" s="3774"/>
      <c r="GQ712" s="3774"/>
      <c r="GR712" s="3774"/>
      <c r="GS712" s="3774"/>
      <c r="GT712" s="3774"/>
      <c r="GU712" s="3774"/>
      <c r="GV712" s="3774"/>
      <c r="GW712" s="3774"/>
      <c r="GX712" s="3774"/>
      <c r="GY712" s="3774"/>
      <c r="GZ712" s="3774"/>
      <c r="HA712" s="3774"/>
      <c r="HB712" s="3774"/>
      <c r="HC712" s="3774"/>
      <c r="HD712" s="3774"/>
      <c r="HE712" s="3774"/>
      <c r="HF712" s="3774"/>
      <c r="HG712" s="3774"/>
      <c r="HH712" s="3774"/>
      <c r="HI712" s="3774"/>
      <c r="HJ712" s="3774"/>
      <c r="HK712" s="3774"/>
      <c r="HL712" s="3774"/>
      <c r="HM712" s="3774"/>
      <c r="HN712" s="3774"/>
      <c r="HO712" s="3774"/>
      <c r="HP712" s="3774"/>
      <c r="HQ712" s="3774"/>
      <c r="HR712" s="3774"/>
      <c r="HS712" s="3774"/>
      <c r="HT712" s="3774"/>
      <c r="HU712" s="3774"/>
      <c r="HV712" s="3774"/>
      <c r="HW712" s="3774"/>
      <c r="HX712" s="3774"/>
      <c r="HY712" s="3774"/>
      <c r="HZ712" s="3774"/>
      <c r="IA712" s="3774"/>
      <c r="IB712" s="3774"/>
      <c r="IC712" s="3774"/>
      <c r="ID712" s="3774"/>
      <c r="IE712" s="3774"/>
      <c r="IF712" s="3774"/>
      <c r="IG712" s="3774"/>
      <c r="IH712" s="3774"/>
      <c r="II712" s="3774"/>
      <c r="IJ712" s="3774"/>
      <c r="IK712" s="3774"/>
      <c r="IL712" s="3774"/>
      <c r="IM712" s="3774"/>
      <c r="IN712" s="3774"/>
      <c r="IO712" s="3774"/>
      <c r="IP712" s="3774"/>
      <c r="IQ712" s="3774"/>
      <c r="IR712" s="3774"/>
      <c r="IS712" s="3774"/>
      <c r="IT712" s="3774"/>
      <c r="IU712" s="3774"/>
      <c r="IV712" s="3774"/>
      <c r="IW712" s="3774"/>
      <c r="IX712" s="3774"/>
      <c r="IY712" s="3774"/>
      <c r="IZ712" s="3774"/>
      <c r="JA712" s="3774"/>
      <c r="JB712" s="3774"/>
      <c r="JC712" s="3774"/>
      <c r="JD712" s="3774"/>
      <c r="JE712" s="3774"/>
      <c r="JF712" s="3774"/>
      <c r="JG712" s="3774"/>
      <c r="JH712" s="3774"/>
      <c r="JI712" s="3774"/>
      <c r="JJ712" s="3774"/>
      <c r="JK712" s="3774"/>
      <c r="JL712" s="3774"/>
      <c r="JM712" s="3774"/>
      <c r="JN712" s="3774"/>
      <c r="JO712" s="3774"/>
      <c r="JP712" s="3774"/>
      <c r="JQ712" s="3774"/>
      <c r="JR712" s="3774"/>
      <c r="JS712" s="3774"/>
      <c r="JT712" s="3774"/>
      <c r="JU712" s="3774"/>
      <c r="JV712" s="3774"/>
      <c r="JW712" s="3774"/>
      <c r="JX712" s="3774"/>
      <c r="JY712" s="3774"/>
      <c r="JZ712" s="3774"/>
      <c r="KA712" s="3774"/>
      <c r="KB712" s="3774"/>
      <c r="KC712" s="3774"/>
      <c r="KD712" s="3774"/>
      <c r="KE712" s="3774"/>
      <c r="KF712" s="3774"/>
      <c r="KG712" s="3774"/>
      <c r="KH712" s="3774"/>
      <c r="KI712" s="3774"/>
      <c r="KJ712" s="3774"/>
      <c r="KK712" s="3774"/>
      <c r="KL712" s="3774"/>
      <c r="KM712" s="3774"/>
      <c r="KN712" s="3774"/>
      <c r="KO712" s="3774"/>
      <c r="KP712" s="3774"/>
      <c r="KQ712" s="3774"/>
      <c r="KR712" s="3774"/>
      <c r="KS712" s="3774"/>
      <c r="KT712" s="3774"/>
      <c r="KU712" s="3774"/>
      <c r="KV712" s="3774"/>
      <c r="KW712" s="3774"/>
      <c r="KX712" s="3774"/>
      <c r="KY712" s="3774"/>
      <c r="KZ712" s="3774"/>
      <c r="LA712" s="3774"/>
    </row>
    <row r="713" s="3567" customFormat="1" ht="50" customHeight="1" spans="1:313">
      <c r="A713" s="4112">
        <v>46056</v>
      </c>
      <c r="B713" s="4176" t="s">
        <v>6341</v>
      </c>
      <c r="C713" s="4177" t="s">
        <v>506</v>
      </c>
      <c r="D713" s="3699">
        <v>4500192991</v>
      </c>
      <c r="E713" s="3700">
        <v>47909100</v>
      </c>
      <c r="F713" s="3700" t="s">
        <v>8103</v>
      </c>
      <c r="G713" s="3700" t="s">
        <v>6124</v>
      </c>
      <c r="H713" s="3699" t="s">
        <v>6063</v>
      </c>
      <c r="I713" s="4175">
        <v>540</v>
      </c>
      <c r="J713" s="3699">
        <v>0</v>
      </c>
      <c r="K713" s="3699">
        <v>12</v>
      </c>
      <c r="L713" s="3699">
        <f t="shared" si="412"/>
        <v>45</v>
      </c>
      <c r="M713" s="3707">
        <v>46111</v>
      </c>
      <c r="N713" s="3707">
        <v>46107</v>
      </c>
      <c r="O713" s="3708"/>
      <c r="P713" s="3700" t="s">
        <v>82</v>
      </c>
      <c r="Q713" s="4145">
        <v>540</v>
      </c>
      <c r="R713" s="4157">
        <f t="shared" si="417"/>
        <v>0</v>
      </c>
      <c r="S713" s="4210"/>
      <c r="T713" s="4145" t="s">
        <v>321</v>
      </c>
      <c r="U713" s="3726" t="s">
        <v>935</v>
      </c>
      <c r="V713" s="3711" t="s">
        <v>8098</v>
      </c>
      <c r="W713" s="3711"/>
      <c r="X713" s="3711" t="s">
        <v>8099</v>
      </c>
      <c r="Y713" s="3715"/>
      <c r="Z713" s="3699"/>
      <c r="AA713" s="3715" t="s">
        <v>8100</v>
      </c>
      <c r="AB713" s="3699" t="s">
        <v>3202</v>
      </c>
      <c r="AC713" s="4208">
        <v>2.375</v>
      </c>
      <c r="AD713" s="4208">
        <f t="shared" si="423"/>
        <v>1282.5</v>
      </c>
      <c r="AE713" s="3700"/>
      <c r="AF713" s="3700" t="s">
        <v>6124</v>
      </c>
      <c r="AG713" s="3700" t="s">
        <v>6670</v>
      </c>
      <c r="AH713" s="4119"/>
      <c r="AI713" s="3700"/>
      <c r="AJ713" s="3699"/>
      <c r="AK713" s="4113"/>
      <c r="AL713" s="3759">
        <f>I713</f>
        <v>540</v>
      </c>
      <c r="AM713" s="4113"/>
      <c r="AN713" s="4120"/>
      <c r="AO713" s="3759"/>
      <c r="AP713" s="4120"/>
      <c r="AQ713" s="3759">
        <f t="shared" si="386"/>
        <v>540</v>
      </c>
      <c r="AR713" s="4120"/>
      <c r="AS713" s="3759"/>
      <c r="AT713" s="4120">
        <f t="shared" si="424"/>
        <v>540</v>
      </c>
      <c r="AU713" s="3759"/>
      <c r="AV713" s="3759"/>
      <c r="AW713" s="3759"/>
      <c r="AX713" s="3759">
        <f t="shared" si="425"/>
        <v>90</v>
      </c>
      <c r="AY713" s="3759"/>
      <c r="AZ713" s="3759"/>
      <c r="BA713" s="3759"/>
      <c r="BB713" s="3759"/>
      <c r="BC713" s="3759"/>
      <c r="BD713" s="4120"/>
      <c r="BE713" s="3759"/>
      <c r="BF713" s="3759"/>
      <c r="BG713" s="3759"/>
      <c r="BH713" s="3759"/>
      <c r="BI713" s="3759" t="s">
        <v>89</v>
      </c>
      <c r="BJ713" s="3759">
        <f>I713/60*9</f>
        <v>81</v>
      </c>
      <c r="BK713" s="3759">
        <f>I713/60*2</f>
        <v>18</v>
      </c>
      <c r="BL713" s="3759">
        <f>I713/60*5</f>
        <v>45</v>
      </c>
      <c r="BM713" s="4146">
        <f>I713/60*9</f>
        <v>81</v>
      </c>
      <c r="BN713" s="3721">
        <f>I713/60*12</f>
        <v>108</v>
      </c>
      <c r="BO713" s="3791">
        <f>I713/60*15</f>
        <v>135</v>
      </c>
      <c r="BP713" s="3721">
        <f>I713/60*8</f>
        <v>72</v>
      </c>
      <c r="BQ713" s="3724">
        <f t="shared" si="414"/>
        <v>540</v>
      </c>
      <c r="BR713" s="3724">
        <v>0</v>
      </c>
      <c r="BS713" s="3774"/>
      <c r="BT713" s="3774"/>
      <c r="BU713" s="3774"/>
      <c r="BV713" s="3774"/>
      <c r="BW713" s="3774"/>
      <c r="BX713" s="3774"/>
      <c r="BY713" s="3774"/>
      <c r="BZ713" s="3774"/>
      <c r="CA713" s="3774"/>
      <c r="CB713" s="3774"/>
      <c r="CC713" s="3774"/>
      <c r="CD713" s="3774"/>
      <c r="CE713" s="3774"/>
      <c r="CF713" s="3774"/>
      <c r="CG713" s="3774"/>
      <c r="CH713" s="3774"/>
      <c r="CI713" s="3774"/>
      <c r="CJ713" s="3774"/>
      <c r="CK713" s="3774"/>
      <c r="CL713" s="3774"/>
      <c r="CM713" s="3774"/>
      <c r="CN713" s="3774"/>
      <c r="CO713" s="3774"/>
      <c r="CP713" s="3774"/>
      <c r="CQ713" s="3774"/>
      <c r="CR713" s="3774"/>
      <c r="CS713" s="3774"/>
      <c r="CT713" s="3774"/>
      <c r="CU713" s="3774"/>
      <c r="CV713" s="3774"/>
      <c r="CW713" s="3774"/>
      <c r="CX713" s="3774"/>
      <c r="CY713" s="3774"/>
      <c r="CZ713" s="3774"/>
      <c r="DA713" s="3774"/>
      <c r="DB713" s="3774"/>
      <c r="DC713" s="3774"/>
      <c r="DD713" s="3774"/>
      <c r="DE713" s="3774"/>
      <c r="DF713" s="3774"/>
      <c r="DG713" s="3774"/>
      <c r="DH713" s="3774"/>
      <c r="DI713" s="3774"/>
      <c r="DJ713" s="3774"/>
      <c r="DK713" s="3774"/>
      <c r="DL713" s="3774"/>
      <c r="DM713" s="3774"/>
      <c r="DN713" s="3774"/>
      <c r="DO713" s="3774"/>
      <c r="DP713" s="3774"/>
      <c r="DQ713" s="3774"/>
      <c r="DR713" s="3774"/>
      <c r="DS713" s="3774"/>
      <c r="DT713" s="3774"/>
      <c r="DU713" s="3774"/>
      <c r="DV713" s="3774"/>
      <c r="DW713" s="3774"/>
      <c r="DX713" s="3774"/>
      <c r="DY713" s="3774"/>
      <c r="DZ713" s="3774"/>
      <c r="EA713" s="3774"/>
      <c r="EB713" s="3774"/>
      <c r="EC713" s="3774"/>
      <c r="ED713" s="3774"/>
      <c r="EE713" s="3774"/>
      <c r="EF713" s="3774"/>
      <c r="EG713" s="3774"/>
      <c r="EH713" s="3774"/>
      <c r="EI713" s="3774"/>
      <c r="EJ713" s="3774"/>
      <c r="EK713" s="3774"/>
      <c r="EL713" s="3774"/>
      <c r="EM713" s="3774"/>
      <c r="EN713" s="3774"/>
      <c r="EO713" s="3774"/>
      <c r="EP713" s="3774"/>
      <c r="EQ713" s="3774"/>
      <c r="ER713" s="3774"/>
      <c r="ES713" s="3774"/>
      <c r="ET713" s="3774"/>
      <c r="EU713" s="3774"/>
      <c r="EV713" s="3774"/>
      <c r="EW713" s="3774"/>
      <c r="EX713" s="3774"/>
      <c r="EY713" s="3774"/>
      <c r="EZ713" s="3774"/>
      <c r="FA713" s="3774"/>
      <c r="FB713" s="3774"/>
      <c r="FC713" s="3774"/>
      <c r="FD713" s="3774"/>
      <c r="FE713" s="3774"/>
      <c r="FF713" s="3774"/>
      <c r="FG713" s="3774"/>
      <c r="FH713" s="3774"/>
      <c r="FI713" s="3774"/>
      <c r="FJ713" s="3774"/>
      <c r="FK713" s="3774"/>
      <c r="FL713" s="3774"/>
      <c r="FM713" s="3774"/>
      <c r="FN713" s="3774"/>
      <c r="FO713" s="3774"/>
      <c r="FP713" s="3774"/>
      <c r="FQ713" s="3774"/>
      <c r="FR713" s="3774"/>
      <c r="FS713" s="3774"/>
      <c r="FT713" s="3774"/>
      <c r="FU713" s="3774"/>
      <c r="FV713" s="3774"/>
      <c r="FW713" s="3774"/>
      <c r="FX713" s="3774"/>
      <c r="FY713" s="3774"/>
      <c r="FZ713" s="3774"/>
      <c r="GA713" s="3774"/>
      <c r="GB713" s="3774"/>
      <c r="GC713" s="3774"/>
      <c r="GD713" s="3774"/>
      <c r="GE713" s="3774"/>
      <c r="GF713" s="3774"/>
      <c r="GG713" s="3774"/>
      <c r="GH713" s="3774"/>
      <c r="GI713" s="3774"/>
      <c r="GJ713" s="3774"/>
      <c r="GK713" s="3774"/>
      <c r="GL713" s="3774"/>
      <c r="GM713" s="3774"/>
      <c r="GN713" s="3774"/>
      <c r="GO713" s="3774"/>
      <c r="GP713" s="3774"/>
      <c r="GQ713" s="3774"/>
      <c r="GR713" s="3774"/>
      <c r="GS713" s="3774"/>
      <c r="GT713" s="3774"/>
      <c r="GU713" s="3774"/>
      <c r="GV713" s="3774"/>
      <c r="GW713" s="3774"/>
      <c r="GX713" s="3774"/>
      <c r="GY713" s="3774"/>
      <c r="GZ713" s="3774"/>
      <c r="HA713" s="3774"/>
      <c r="HB713" s="3774"/>
      <c r="HC713" s="3774"/>
      <c r="HD713" s="3774"/>
      <c r="HE713" s="3774"/>
      <c r="HF713" s="3774"/>
      <c r="HG713" s="3774"/>
      <c r="HH713" s="3774"/>
      <c r="HI713" s="3774"/>
      <c r="HJ713" s="3774"/>
      <c r="HK713" s="3774"/>
      <c r="HL713" s="3774"/>
      <c r="HM713" s="3774"/>
      <c r="HN713" s="3774"/>
      <c r="HO713" s="3774"/>
      <c r="HP713" s="3774"/>
      <c r="HQ713" s="3774"/>
      <c r="HR713" s="3774"/>
      <c r="HS713" s="3774"/>
      <c r="HT713" s="3774"/>
      <c r="HU713" s="3774"/>
      <c r="HV713" s="3774"/>
      <c r="HW713" s="3774"/>
      <c r="HX713" s="3774"/>
      <c r="HY713" s="3774"/>
      <c r="HZ713" s="3774"/>
      <c r="IA713" s="3774"/>
      <c r="IB713" s="3774"/>
      <c r="IC713" s="3774"/>
      <c r="ID713" s="3774"/>
      <c r="IE713" s="3774"/>
      <c r="IF713" s="3774"/>
      <c r="IG713" s="3774"/>
      <c r="IH713" s="3774"/>
      <c r="II713" s="3774"/>
      <c r="IJ713" s="3774"/>
      <c r="IK713" s="3774"/>
      <c r="IL713" s="3774"/>
      <c r="IM713" s="3774"/>
      <c r="IN713" s="3774"/>
      <c r="IO713" s="3774"/>
      <c r="IP713" s="3774"/>
      <c r="IQ713" s="3774"/>
      <c r="IR713" s="3774"/>
      <c r="IS713" s="3774"/>
      <c r="IT713" s="3774"/>
      <c r="IU713" s="3774"/>
      <c r="IV713" s="3774"/>
      <c r="IW713" s="3774"/>
      <c r="IX713" s="3774"/>
      <c r="IY713" s="3774"/>
      <c r="IZ713" s="3774"/>
      <c r="JA713" s="3774"/>
      <c r="JB713" s="3774"/>
      <c r="JC713" s="3774"/>
      <c r="JD713" s="3774"/>
      <c r="JE713" s="3774"/>
      <c r="JF713" s="3774"/>
      <c r="JG713" s="3774"/>
      <c r="JH713" s="3774"/>
      <c r="JI713" s="3774"/>
      <c r="JJ713" s="3774"/>
      <c r="JK713" s="3774"/>
      <c r="JL713" s="3774"/>
      <c r="JM713" s="3774"/>
      <c r="JN713" s="3774"/>
      <c r="JO713" s="3774"/>
      <c r="JP713" s="3774"/>
      <c r="JQ713" s="3774"/>
      <c r="JR713" s="3774"/>
      <c r="JS713" s="3774"/>
      <c r="JT713" s="3774"/>
      <c r="JU713" s="3774"/>
      <c r="JV713" s="3774"/>
      <c r="JW713" s="3774"/>
      <c r="JX713" s="3774"/>
      <c r="JY713" s="3774"/>
      <c r="JZ713" s="3774"/>
      <c r="KA713" s="3774"/>
      <c r="KB713" s="3774"/>
      <c r="KC713" s="3774"/>
      <c r="KD713" s="3774"/>
      <c r="KE713" s="3774"/>
      <c r="KF713" s="3774"/>
      <c r="KG713" s="3774"/>
      <c r="KH713" s="3774"/>
      <c r="KI713" s="3774"/>
      <c r="KJ713" s="3774"/>
      <c r="KK713" s="3774"/>
      <c r="KL713" s="3774"/>
      <c r="KM713" s="3774"/>
      <c r="KN713" s="3774"/>
      <c r="KO713" s="3774"/>
      <c r="KP713" s="3774"/>
      <c r="KQ713" s="3774"/>
      <c r="KR713" s="3774"/>
      <c r="KS713" s="3774"/>
      <c r="KT713" s="3774"/>
      <c r="KU713" s="3774"/>
      <c r="KV713" s="3774"/>
      <c r="KW713" s="3774"/>
      <c r="KX713" s="3774"/>
      <c r="KY713" s="3774"/>
      <c r="KZ713" s="3774"/>
      <c r="LA713" s="3774"/>
    </row>
    <row r="714" s="3567" customFormat="1" ht="50" customHeight="1" spans="1:313">
      <c r="A714" s="4112">
        <v>46029</v>
      </c>
      <c r="B714" s="4176" t="s">
        <v>5691</v>
      </c>
      <c r="C714" s="4177" t="s">
        <v>471</v>
      </c>
      <c r="D714" s="3699">
        <v>4500189376</v>
      </c>
      <c r="E714" s="3700" t="s">
        <v>8104</v>
      </c>
      <c r="F714" s="3700" t="s">
        <v>8105</v>
      </c>
      <c r="G714" s="3700" t="s">
        <v>6186</v>
      </c>
      <c r="H714" s="3699" t="s">
        <v>6063</v>
      </c>
      <c r="I714" s="4175">
        <v>2400</v>
      </c>
      <c r="J714" s="3699">
        <v>0</v>
      </c>
      <c r="K714" s="3699">
        <v>6</v>
      </c>
      <c r="L714" s="3699">
        <f t="shared" si="412"/>
        <v>400</v>
      </c>
      <c r="M714" s="3707">
        <v>46120</v>
      </c>
      <c r="N714" s="3707">
        <v>46116</v>
      </c>
      <c r="O714" s="3708"/>
      <c r="P714" s="3700" t="s">
        <v>82</v>
      </c>
      <c r="Q714" s="4145">
        <v>2400</v>
      </c>
      <c r="R714" s="4157">
        <f t="shared" si="417"/>
        <v>0</v>
      </c>
      <c r="S714" s="4170" t="s">
        <v>2297</v>
      </c>
      <c r="T714" s="4145" t="s">
        <v>321</v>
      </c>
      <c r="U714" s="3726" t="s">
        <v>180</v>
      </c>
      <c r="V714" s="3711" t="s">
        <v>5694</v>
      </c>
      <c r="W714" s="3726"/>
      <c r="X714" s="3711" t="s">
        <v>8106</v>
      </c>
      <c r="Y714" s="3711" t="s">
        <v>5695</v>
      </c>
      <c r="Z714" s="3699"/>
      <c r="AA714" s="3715" t="s">
        <v>8107</v>
      </c>
      <c r="AB714" s="3699" t="s">
        <v>5080</v>
      </c>
      <c r="AC714" s="4208">
        <v>2.2678</v>
      </c>
      <c r="AD714" s="4208">
        <f t="shared" ref="AD714:AD727" si="426">AC714*I714</f>
        <v>5442.72</v>
      </c>
      <c r="AE714" s="3700"/>
      <c r="AF714" s="3700" t="s">
        <v>6126</v>
      </c>
      <c r="AG714" s="3700" t="s">
        <v>416</v>
      </c>
      <c r="AH714" s="4119"/>
      <c r="AI714" s="3700"/>
      <c r="AJ714" s="3699"/>
      <c r="AK714" s="4113"/>
      <c r="AL714" s="3759"/>
      <c r="AM714" s="4113"/>
      <c r="AN714" s="4120">
        <f>I714</f>
        <v>2400</v>
      </c>
      <c r="AO714" s="3759"/>
      <c r="AP714" s="4120"/>
      <c r="AQ714" s="3759">
        <f t="shared" si="386"/>
        <v>2400</v>
      </c>
      <c r="AR714" s="4120"/>
      <c r="AS714" s="3759"/>
      <c r="AT714" s="4120">
        <f t="shared" si="424"/>
        <v>2400</v>
      </c>
      <c r="AU714" s="3759"/>
      <c r="AV714" s="3759"/>
      <c r="AW714" s="3759"/>
      <c r="AX714" s="3759">
        <f t="shared" si="425"/>
        <v>400</v>
      </c>
      <c r="AY714" s="3759"/>
      <c r="AZ714" s="3759"/>
      <c r="BA714" s="3759"/>
      <c r="BB714" s="3759"/>
      <c r="BC714" s="3759"/>
      <c r="BD714" s="4120"/>
      <c r="BE714" s="3759"/>
      <c r="BF714" s="3759"/>
      <c r="BG714" s="3759"/>
      <c r="BH714" s="3759"/>
      <c r="BI714" s="3759" t="s">
        <v>89</v>
      </c>
      <c r="BJ714" s="3759">
        <f>I714/60*2</f>
        <v>80</v>
      </c>
      <c r="BK714" s="3759">
        <f>I714/60*10</f>
        <v>400</v>
      </c>
      <c r="BL714" s="3759">
        <f>I714/60*10</f>
        <v>400</v>
      </c>
      <c r="BM714" s="4146">
        <f>I714/60*8</f>
        <v>320</v>
      </c>
      <c r="BN714" s="3721">
        <f>I714/60*10</f>
        <v>400</v>
      </c>
      <c r="BO714" s="3721">
        <f>I714/60*10</f>
        <v>400</v>
      </c>
      <c r="BP714" s="3721">
        <f>I714/60*10</f>
        <v>400</v>
      </c>
      <c r="BQ714" s="3724">
        <f t="shared" si="414"/>
        <v>2400</v>
      </c>
      <c r="BR714" s="3721">
        <f>I714-BQ714</f>
        <v>0</v>
      </c>
      <c r="BS714" s="3774"/>
      <c r="BT714" s="3774"/>
      <c r="BU714" s="3774"/>
      <c r="BV714" s="3774"/>
      <c r="BW714" s="3774"/>
      <c r="BX714" s="3774"/>
      <c r="BY714" s="3774"/>
      <c r="BZ714" s="3774"/>
      <c r="CA714" s="3774"/>
      <c r="CB714" s="3774"/>
      <c r="CC714" s="3774"/>
      <c r="CD714" s="3774"/>
      <c r="CE714" s="3774"/>
      <c r="CF714" s="3774"/>
      <c r="CG714" s="3774"/>
      <c r="CH714" s="3774"/>
      <c r="CI714" s="3774"/>
      <c r="CJ714" s="3774"/>
      <c r="CK714" s="3774"/>
      <c r="CL714" s="3774"/>
      <c r="CM714" s="3774"/>
      <c r="CN714" s="3774"/>
      <c r="CO714" s="3774"/>
      <c r="CP714" s="3774"/>
      <c r="CQ714" s="3774"/>
      <c r="CR714" s="3774"/>
      <c r="CS714" s="3774"/>
      <c r="CT714" s="3774"/>
      <c r="CU714" s="3774"/>
      <c r="CV714" s="3774"/>
      <c r="CW714" s="3774"/>
      <c r="CX714" s="3774"/>
      <c r="CY714" s="3774"/>
      <c r="CZ714" s="3774"/>
      <c r="DA714" s="3774"/>
      <c r="DB714" s="3774"/>
      <c r="DC714" s="3774"/>
      <c r="DD714" s="3774"/>
      <c r="DE714" s="3774"/>
      <c r="DF714" s="3774"/>
      <c r="DG714" s="3774"/>
      <c r="DH714" s="3774"/>
      <c r="DI714" s="3774"/>
      <c r="DJ714" s="3774"/>
      <c r="DK714" s="3774"/>
      <c r="DL714" s="3774"/>
      <c r="DM714" s="3774"/>
      <c r="DN714" s="3774"/>
      <c r="DO714" s="3774"/>
      <c r="DP714" s="3774"/>
      <c r="DQ714" s="3774"/>
      <c r="DR714" s="3774"/>
      <c r="DS714" s="3774"/>
      <c r="DT714" s="3774"/>
      <c r="DU714" s="3774"/>
      <c r="DV714" s="3774"/>
      <c r="DW714" s="3774"/>
      <c r="DX714" s="3774"/>
      <c r="DY714" s="3774"/>
      <c r="DZ714" s="3774"/>
      <c r="EA714" s="3774"/>
      <c r="EB714" s="3774"/>
      <c r="EC714" s="3774"/>
      <c r="ED714" s="3774"/>
      <c r="EE714" s="3774"/>
      <c r="EF714" s="3774"/>
      <c r="EG714" s="3774"/>
      <c r="EH714" s="3774"/>
      <c r="EI714" s="3774"/>
      <c r="EJ714" s="3774"/>
      <c r="EK714" s="3774"/>
      <c r="EL714" s="3774"/>
      <c r="EM714" s="3774"/>
      <c r="EN714" s="3774"/>
      <c r="EO714" s="3774"/>
      <c r="EP714" s="3774"/>
      <c r="EQ714" s="3774"/>
      <c r="ER714" s="3774"/>
      <c r="ES714" s="3774"/>
      <c r="ET714" s="3774"/>
      <c r="EU714" s="3774"/>
      <c r="EV714" s="3774"/>
      <c r="EW714" s="3774"/>
      <c r="EX714" s="3774"/>
      <c r="EY714" s="3774"/>
      <c r="EZ714" s="3774"/>
      <c r="FA714" s="3774"/>
      <c r="FB714" s="3774"/>
      <c r="FC714" s="3774"/>
      <c r="FD714" s="3774"/>
      <c r="FE714" s="3774"/>
      <c r="FF714" s="3774"/>
      <c r="FG714" s="3774"/>
      <c r="FH714" s="3774"/>
      <c r="FI714" s="3774"/>
      <c r="FJ714" s="3774"/>
      <c r="FK714" s="3774"/>
      <c r="FL714" s="3774"/>
      <c r="FM714" s="3774"/>
      <c r="FN714" s="3774"/>
      <c r="FO714" s="3774"/>
      <c r="FP714" s="3774"/>
      <c r="FQ714" s="3774"/>
      <c r="FR714" s="3774"/>
      <c r="FS714" s="3774"/>
      <c r="FT714" s="3774"/>
      <c r="FU714" s="3774"/>
      <c r="FV714" s="3774"/>
      <c r="FW714" s="3774"/>
      <c r="FX714" s="3774"/>
      <c r="FY714" s="3774"/>
      <c r="FZ714" s="3774"/>
      <c r="GA714" s="3774"/>
      <c r="GB714" s="3774"/>
      <c r="GC714" s="3774"/>
      <c r="GD714" s="3774"/>
      <c r="GE714" s="3774"/>
      <c r="GF714" s="3774"/>
      <c r="GG714" s="3774"/>
      <c r="GH714" s="3774"/>
      <c r="GI714" s="3774"/>
      <c r="GJ714" s="3774"/>
      <c r="GK714" s="3774"/>
      <c r="GL714" s="3774"/>
      <c r="GM714" s="3774"/>
      <c r="GN714" s="3774"/>
      <c r="GO714" s="3774"/>
      <c r="GP714" s="3774"/>
      <c r="GQ714" s="3774"/>
      <c r="GR714" s="3774"/>
      <c r="GS714" s="3774"/>
      <c r="GT714" s="3774"/>
      <c r="GU714" s="3774"/>
      <c r="GV714" s="3774"/>
      <c r="GW714" s="3774"/>
      <c r="GX714" s="3774"/>
      <c r="GY714" s="3774"/>
      <c r="GZ714" s="3774"/>
      <c r="HA714" s="3774"/>
      <c r="HB714" s="3774"/>
      <c r="HC714" s="3774"/>
      <c r="HD714" s="3774"/>
      <c r="HE714" s="3774"/>
      <c r="HF714" s="3774"/>
      <c r="HG714" s="3774"/>
      <c r="HH714" s="3774"/>
      <c r="HI714" s="3774"/>
      <c r="HJ714" s="3774"/>
      <c r="HK714" s="3774"/>
      <c r="HL714" s="3774"/>
      <c r="HM714" s="3774"/>
      <c r="HN714" s="3774"/>
      <c r="HO714" s="3774"/>
      <c r="HP714" s="3774"/>
      <c r="HQ714" s="3774"/>
      <c r="HR714" s="3774"/>
      <c r="HS714" s="3774"/>
      <c r="HT714" s="3774"/>
      <c r="HU714" s="3774"/>
      <c r="HV714" s="3774"/>
      <c r="HW714" s="3774"/>
      <c r="HX714" s="3774"/>
      <c r="HY714" s="3774"/>
      <c r="HZ714" s="3774"/>
      <c r="IA714" s="3774"/>
      <c r="IB714" s="3774"/>
      <c r="IC714" s="3774"/>
      <c r="ID714" s="3774"/>
      <c r="IE714" s="3774"/>
      <c r="IF714" s="3774"/>
      <c r="IG714" s="3774"/>
      <c r="IH714" s="3774"/>
      <c r="II714" s="3774"/>
      <c r="IJ714" s="3774"/>
      <c r="IK714" s="3774"/>
      <c r="IL714" s="3774"/>
      <c r="IM714" s="3774"/>
      <c r="IN714" s="3774"/>
      <c r="IO714" s="3774"/>
      <c r="IP714" s="3774"/>
      <c r="IQ714" s="3774"/>
      <c r="IR714" s="3774"/>
      <c r="IS714" s="3774"/>
      <c r="IT714" s="3774"/>
      <c r="IU714" s="3774"/>
      <c r="IV714" s="3774"/>
      <c r="IW714" s="3774"/>
      <c r="IX714" s="3774"/>
      <c r="IY714" s="3774"/>
      <c r="IZ714" s="3774"/>
      <c r="JA714" s="3774"/>
      <c r="JB714" s="3774"/>
      <c r="JC714" s="3774"/>
      <c r="JD714" s="3774"/>
      <c r="JE714" s="3774"/>
      <c r="JF714" s="3774"/>
      <c r="JG714" s="3774"/>
      <c r="JH714" s="3774"/>
      <c r="JI714" s="3774"/>
      <c r="JJ714" s="3774"/>
      <c r="JK714" s="3774"/>
      <c r="JL714" s="3774"/>
      <c r="JM714" s="3774"/>
      <c r="JN714" s="3774"/>
      <c r="JO714" s="3774"/>
      <c r="JP714" s="3774"/>
      <c r="JQ714" s="3774"/>
      <c r="JR714" s="3774"/>
      <c r="JS714" s="3774"/>
      <c r="JT714" s="3774"/>
      <c r="JU714" s="3774"/>
      <c r="JV714" s="3774"/>
      <c r="JW714" s="3774"/>
      <c r="JX714" s="3774"/>
      <c r="JY714" s="3774"/>
      <c r="JZ714" s="3774"/>
      <c r="KA714" s="3774"/>
      <c r="KB714" s="3774"/>
      <c r="KC714" s="3774"/>
      <c r="KD714" s="3774"/>
      <c r="KE714" s="3774"/>
      <c r="KF714" s="3774"/>
      <c r="KG714" s="3774"/>
      <c r="KH714" s="3774"/>
      <c r="KI714" s="3774"/>
      <c r="KJ714" s="3774"/>
      <c r="KK714" s="3774"/>
      <c r="KL714" s="3774"/>
      <c r="KM714" s="3774"/>
      <c r="KN714" s="3774"/>
      <c r="KO714" s="3774"/>
      <c r="KP714" s="3774"/>
      <c r="KQ714" s="3774"/>
      <c r="KR714" s="3774"/>
      <c r="KS714" s="3774"/>
      <c r="KT714" s="3774"/>
      <c r="KU714" s="3774"/>
      <c r="KV714" s="3774"/>
      <c r="KW714" s="3774"/>
      <c r="KX714" s="3774"/>
      <c r="KY714" s="3774"/>
      <c r="KZ714" s="3774"/>
      <c r="LA714" s="3774"/>
    </row>
    <row r="715" s="3567" customFormat="1" ht="50" customHeight="1" spans="1:313">
      <c r="A715" s="4112">
        <v>46042</v>
      </c>
      <c r="B715" s="4176" t="s">
        <v>5682</v>
      </c>
      <c r="C715" s="4177" t="s">
        <v>524</v>
      </c>
      <c r="D715" s="3699">
        <v>4500191880</v>
      </c>
      <c r="E715" s="3700"/>
      <c r="F715" s="3700" t="s">
        <v>8108</v>
      </c>
      <c r="G715" s="3700" t="s">
        <v>6124</v>
      </c>
      <c r="H715" s="3699" t="s">
        <v>6063</v>
      </c>
      <c r="I715" s="4175">
        <v>120</v>
      </c>
      <c r="J715" s="3699">
        <v>0</v>
      </c>
      <c r="K715" s="3699">
        <v>12</v>
      </c>
      <c r="L715" s="3699">
        <f t="shared" si="412"/>
        <v>10</v>
      </c>
      <c r="M715" s="3707">
        <v>46112</v>
      </c>
      <c r="N715" s="3707">
        <v>46108</v>
      </c>
      <c r="O715" s="3708"/>
      <c r="P715" s="3700" t="s">
        <v>82</v>
      </c>
      <c r="Q715" s="4145">
        <v>120</v>
      </c>
      <c r="R715" s="4157">
        <f t="shared" ref="R715:R769" si="427">Q715-I715</f>
        <v>0</v>
      </c>
      <c r="S715" s="4170" t="s">
        <v>2297</v>
      </c>
      <c r="T715" s="4145" t="s">
        <v>321</v>
      </c>
      <c r="U715" s="3726" t="s">
        <v>982</v>
      </c>
      <c r="V715" s="3711" t="s">
        <v>3221</v>
      </c>
      <c r="W715" s="3726"/>
      <c r="X715" s="3711" t="s">
        <v>5684</v>
      </c>
      <c r="Y715" s="3715"/>
      <c r="Z715" s="3699"/>
      <c r="AA715" s="3715" t="s">
        <v>8109</v>
      </c>
      <c r="AB715" s="3699" t="s">
        <v>459</v>
      </c>
      <c r="AC715" s="4208">
        <v>2.2023</v>
      </c>
      <c r="AD715" s="4208">
        <f t="shared" si="426"/>
        <v>264.276</v>
      </c>
      <c r="AE715" s="3700"/>
      <c r="AF715" s="3700" t="s">
        <v>6126</v>
      </c>
      <c r="AG715" s="3700" t="s">
        <v>416</v>
      </c>
      <c r="AH715" s="4119"/>
      <c r="AI715" s="3700"/>
      <c r="AJ715" s="3699"/>
      <c r="AK715" s="4113"/>
      <c r="AL715" s="3759"/>
      <c r="AM715" s="4113"/>
      <c r="AN715" s="4120">
        <f>I715</f>
        <v>120</v>
      </c>
      <c r="AO715" s="3759"/>
      <c r="AP715" s="4120"/>
      <c r="AQ715" s="3759">
        <f t="shared" si="386"/>
        <v>120</v>
      </c>
      <c r="AR715" s="4120"/>
      <c r="AS715" s="3759"/>
      <c r="AT715" s="4120">
        <f t="shared" si="424"/>
        <v>120</v>
      </c>
      <c r="AU715" s="3759"/>
      <c r="AV715" s="3759"/>
      <c r="AW715" s="3759"/>
      <c r="AX715" s="3759">
        <f t="shared" si="425"/>
        <v>20</v>
      </c>
      <c r="AY715" s="3759"/>
      <c r="AZ715" s="3759"/>
      <c r="BA715" s="3759"/>
      <c r="BB715" s="3759"/>
      <c r="BC715" s="3759"/>
      <c r="BD715" s="4120"/>
      <c r="BE715" s="3759"/>
      <c r="BF715" s="3759"/>
      <c r="BG715" s="3759"/>
      <c r="BH715" s="3759"/>
      <c r="BI715" s="3759" t="s">
        <v>89</v>
      </c>
      <c r="BJ715" s="3759">
        <f>I715/60*9</f>
        <v>18</v>
      </c>
      <c r="BK715" s="3759">
        <f>I715/60*2</f>
        <v>4</v>
      </c>
      <c r="BL715" s="3759">
        <f>I715/60*5</f>
        <v>10</v>
      </c>
      <c r="BM715" s="4146">
        <f>I715/60*9</f>
        <v>18</v>
      </c>
      <c r="BN715" s="3721">
        <f>I715/60*12</f>
        <v>24</v>
      </c>
      <c r="BO715" s="3791">
        <f>I715/60*15</f>
        <v>30</v>
      </c>
      <c r="BP715" s="3721">
        <f>I715/60*8</f>
        <v>16</v>
      </c>
      <c r="BQ715" s="3724">
        <f t="shared" si="414"/>
        <v>120</v>
      </c>
      <c r="BR715" s="3724">
        <v>0</v>
      </c>
      <c r="BS715" s="3774"/>
      <c r="BT715" s="3774"/>
      <c r="BU715" s="3774"/>
      <c r="BV715" s="3774"/>
      <c r="BW715" s="3774"/>
      <c r="BX715" s="3774"/>
      <c r="BY715" s="3774"/>
      <c r="BZ715" s="3774"/>
      <c r="CA715" s="3774"/>
      <c r="CB715" s="3774"/>
      <c r="CC715" s="3774"/>
      <c r="CD715" s="3774"/>
      <c r="CE715" s="3774"/>
      <c r="CF715" s="3774"/>
      <c r="CG715" s="3774"/>
      <c r="CH715" s="3774"/>
      <c r="CI715" s="3774"/>
      <c r="CJ715" s="3774"/>
      <c r="CK715" s="3774"/>
      <c r="CL715" s="3774"/>
      <c r="CM715" s="3774"/>
      <c r="CN715" s="3774"/>
      <c r="CO715" s="3774"/>
      <c r="CP715" s="3774"/>
      <c r="CQ715" s="3774"/>
      <c r="CR715" s="3774"/>
      <c r="CS715" s="3774"/>
      <c r="CT715" s="3774"/>
      <c r="CU715" s="3774"/>
      <c r="CV715" s="3774"/>
      <c r="CW715" s="3774"/>
      <c r="CX715" s="3774"/>
      <c r="CY715" s="3774"/>
      <c r="CZ715" s="3774"/>
      <c r="DA715" s="3774"/>
      <c r="DB715" s="3774"/>
      <c r="DC715" s="3774"/>
      <c r="DD715" s="3774"/>
      <c r="DE715" s="3774"/>
      <c r="DF715" s="3774"/>
      <c r="DG715" s="3774"/>
      <c r="DH715" s="3774"/>
      <c r="DI715" s="3774"/>
      <c r="DJ715" s="3774"/>
      <c r="DK715" s="3774"/>
      <c r="DL715" s="3774"/>
      <c r="DM715" s="3774"/>
      <c r="DN715" s="3774"/>
      <c r="DO715" s="3774"/>
      <c r="DP715" s="3774"/>
      <c r="DQ715" s="3774"/>
      <c r="DR715" s="3774"/>
      <c r="DS715" s="3774"/>
      <c r="DT715" s="3774"/>
      <c r="DU715" s="3774"/>
      <c r="DV715" s="3774"/>
      <c r="DW715" s="3774"/>
      <c r="DX715" s="3774"/>
      <c r="DY715" s="3774"/>
      <c r="DZ715" s="3774"/>
      <c r="EA715" s="3774"/>
      <c r="EB715" s="3774"/>
      <c r="EC715" s="3774"/>
      <c r="ED715" s="3774"/>
      <c r="EE715" s="3774"/>
      <c r="EF715" s="3774"/>
      <c r="EG715" s="3774"/>
      <c r="EH715" s="3774"/>
      <c r="EI715" s="3774"/>
      <c r="EJ715" s="3774"/>
      <c r="EK715" s="3774"/>
      <c r="EL715" s="3774"/>
      <c r="EM715" s="3774"/>
      <c r="EN715" s="3774"/>
      <c r="EO715" s="3774"/>
      <c r="EP715" s="3774"/>
      <c r="EQ715" s="3774"/>
      <c r="ER715" s="3774"/>
      <c r="ES715" s="3774"/>
      <c r="ET715" s="3774"/>
      <c r="EU715" s="3774"/>
      <c r="EV715" s="3774"/>
      <c r="EW715" s="3774"/>
      <c r="EX715" s="3774"/>
      <c r="EY715" s="3774"/>
      <c r="EZ715" s="3774"/>
      <c r="FA715" s="3774"/>
      <c r="FB715" s="3774"/>
      <c r="FC715" s="3774"/>
      <c r="FD715" s="3774"/>
      <c r="FE715" s="3774"/>
      <c r="FF715" s="3774"/>
      <c r="FG715" s="3774"/>
      <c r="FH715" s="3774"/>
      <c r="FI715" s="3774"/>
      <c r="FJ715" s="3774"/>
      <c r="FK715" s="3774"/>
      <c r="FL715" s="3774"/>
      <c r="FM715" s="3774"/>
      <c r="FN715" s="3774"/>
      <c r="FO715" s="3774"/>
      <c r="FP715" s="3774"/>
      <c r="FQ715" s="3774"/>
      <c r="FR715" s="3774"/>
      <c r="FS715" s="3774"/>
      <c r="FT715" s="3774"/>
      <c r="FU715" s="3774"/>
      <c r="FV715" s="3774"/>
      <c r="FW715" s="3774"/>
      <c r="FX715" s="3774"/>
      <c r="FY715" s="3774"/>
      <c r="FZ715" s="3774"/>
      <c r="GA715" s="3774"/>
      <c r="GB715" s="3774"/>
      <c r="GC715" s="3774"/>
      <c r="GD715" s="3774"/>
      <c r="GE715" s="3774"/>
      <c r="GF715" s="3774"/>
      <c r="GG715" s="3774"/>
      <c r="GH715" s="3774"/>
      <c r="GI715" s="3774"/>
      <c r="GJ715" s="3774"/>
      <c r="GK715" s="3774"/>
      <c r="GL715" s="3774"/>
      <c r="GM715" s="3774"/>
      <c r="GN715" s="3774"/>
      <c r="GO715" s="3774"/>
      <c r="GP715" s="3774"/>
      <c r="GQ715" s="3774"/>
      <c r="GR715" s="3774"/>
      <c r="GS715" s="3774"/>
      <c r="GT715" s="3774"/>
      <c r="GU715" s="3774"/>
      <c r="GV715" s="3774"/>
      <c r="GW715" s="3774"/>
      <c r="GX715" s="3774"/>
      <c r="GY715" s="3774"/>
      <c r="GZ715" s="3774"/>
      <c r="HA715" s="3774"/>
      <c r="HB715" s="3774"/>
      <c r="HC715" s="3774"/>
      <c r="HD715" s="3774"/>
      <c r="HE715" s="3774"/>
      <c r="HF715" s="3774"/>
      <c r="HG715" s="3774"/>
      <c r="HH715" s="3774"/>
      <c r="HI715" s="3774"/>
      <c r="HJ715" s="3774"/>
      <c r="HK715" s="3774"/>
      <c r="HL715" s="3774"/>
      <c r="HM715" s="3774"/>
      <c r="HN715" s="3774"/>
      <c r="HO715" s="3774"/>
      <c r="HP715" s="3774"/>
      <c r="HQ715" s="3774"/>
      <c r="HR715" s="3774"/>
      <c r="HS715" s="3774"/>
      <c r="HT715" s="3774"/>
      <c r="HU715" s="3774"/>
      <c r="HV715" s="3774"/>
      <c r="HW715" s="3774"/>
      <c r="HX715" s="3774"/>
      <c r="HY715" s="3774"/>
      <c r="HZ715" s="3774"/>
      <c r="IA715" s="3774"/>
      <c r="IB715" s="3774"/>
      <c r="IC715" s="3774"/>
      <c r="ID715" s="3774"/>
      <c r="IE715" s="3774"/>
      <c r="IF715" s="3774"/>
      <c r="IG715" s="3774"/>
      <c r="IH715" s="3774"/>
      <c r="II715" s="3774"/>
      <c r="IJ715" s="3774"/>
      <c r="IK715" s="3774"/>
      <c r="IL715" s="3774"/>
      <c r="IM715" s="3774"/>
      <c r="IN715" s="3774"/>
      <c r="IO715" s="3774"/>
      <c r="IP715" s="3774"/>
      <c r="IQ715" s="3774"/>
      <c r="IR715" s="3774"/>
      <c r="IS715" s="3774"/>
      <c r="IT715" s="3774"/>
      <c r="IU715" s="3774"/>
      <c r="IV715" s="3774"/>
      <c r="IW715" s="3774"/>
      <c r="IX715" s="3774"/>
      <c r="IY715" s="3774"/>
      <c r="IZ715" s="3774"/>
      <c r="JA715" s="3774"/>
      <c r="JB715" s="3774"/>
      <c r="JC715" s="3774"/>
      <c r="JD715" s="3774"/>
      <c r="JE715" s="3774"/>
      <c r="JF715" s="3774"/>
      <c r="JG715" s="3774"/>
      <c r="JH715" s="3774"/>
      <c r="JI715" s="3774"/>
      <c r="JJ715" s="3774"/>
      <c r="JK715" s="3774"/>
      <c r="JL715" s="3774"/>
      <c r="JM715" s="3774"/>
      <c r="JN715" s="3774"/>
      <c r="JO715" s="3774"/>
      <c r="JP715" s="3774"/>
      <c r="JQ715" s="3774"/>
      <c r="JR715" s="3774"/>
      <c r="JS715" s="3774"/>
      <c r="JT715" s="3774"/>
      <c r="JU715" s="3774"/>
      <c r="JV715" s="3774"/>
      <c r="JW715" s="3774"/>
      <c r="JX715" s="3774"/>
      <c r="JY715" s="3774"/>
      <c r="JZ715" s="3774"/>
      <c r="KA715" s="3774"/>
      <c r="KB715" s="3774"/>
      <c r="KC715" s="3774"/>
      <c r="KD715" s="3774"/>
      <c r="KE715" s="3774"/>
      <c r="KF715" s="3774"/>
      <c r="KG715" s="3774"/>
      <c r="KH715" s="3774"/>
      <c r="KI715" s="3774"/>
      <c r="KJ715" s="3774"/>
      <c r="KK715" s="3774"/>
      <c r="KL715" s="3774"/>
      <c r="KM715" s="3774"/>
      <c r="KN715" s="3774"/>
      <c r="KO715" s="3774"/>
      <c r="KP715" s="3774"/>
      <c r="KQ715" s="3774"/>
      <c r="KR715" s="3774"/>
      <c r="KS715" s="3774"/>
      <c r="KT715" s="3774"/>
      <c r="KU715" s="3774"/>
      <c r="KV715" s="3774"/>
      <c r="KW715" s="3774"/>
      <c r="KX715" s="3774"/>
      <c r="KY715" s="3774"/>
      <c r="KZ715" s="3774"/>
      <c r="LA715" s="3774"/>
    </row>
    <row r="716" s="3567" customFormat="1" ht="50" customHeight="1" spans="1:313">
      <c r="A716" s="4112">
        <v>46052</v>
      </c>
      <c r="B716" s="3766" t="s">
        <v>7822</v>
      </c>
      <c r="C716" s="3766" t="s">
        <v>6225</v>
      </c>
      <c r="D716" s="3699">
        <v>4500192711</v>
      </c>
      <c r="E716" s="3699">
        <v>160646</v>
      </c>
      <c r="F716" s="3700" t="s">
        <v>8110</v>
      </c>
      <c r="G716" s="3700" t="s">
        <v>6228</v>
      </c>
      <c r="H716" s="3699" t="s">
        <v>6063</v>
      </c>
      <c r="I716" s="3699">
        <v>510</v>
      </c>
      <c r="J716" s="3699">
        <v>0</v>
      </c>
      <c r="K716" s="3699">
        <v>6</v>
      </c>
      <c r="L716" s="3699">
        <f t="shared" si="412"/>
        <v>85</v>
      </c>
      <c r="M716" s="3707">
        <v>46118</v>
      </c>
      <c r="N716" s="3707">
        <v>46114</v>
      </c>
      <c r="O716" s="3708"/>
      <c r="P716" s="3700" t="s">
        <v>82</v>
      </c>
      <c r="Q716" s="4145">
        <v>510</v>
      </c>
      <c r="R716" s="4157">
        <f t="shared" si="427"/>
        <v>0</v>
      </c>
      <c r="S716" s="4170" t="s">
        <v>2297</v>
      </c>
      <c r="T716" s="4145" t="s">
        <v>321</v>
      </c>
      <c r="U716" s="3726" t="s">
        <v>8111</v>
      </c>
      <c r="V716" s="3711" t="s">
        <v>8112</v>
      </c>
      <c r="W716" s="3726"/>
      <c r="X716" s="3711" t="s">
        <v>8113</v>
      </c>
      <c r="Y716" s="3715"/>
      <c r="Z716" s="3699"/>
      <c r="AA716" s="3715" t="s">
        <v>8114</v>
      </c>
      <c r="AB716" s="4211" t="s">
        <v>6785</v>
      </c>
      <c r="AC716" s="4118">
        <v>2.2713</v>
      </c>
      <c r="AD716" s="3699">
        <f t="shared" si="426"/>
        <v>1158.363</v>
      </c>
      <c r="AE716" s="3700"/>
      <c r="AF716" s="3700" t="s">
        <v>7508</v>
      </c>
      <c r="AG716" s="3700" t="s">
        <v>6670</v>
      </c>
      <c r="AH716" s="4119"/>
      <c r="AI716" s="3700"/>
      <c r="AJ716" s="3699"/>
      <c r="AK716" s="4113"/>
      <c r="AL716" s="3759"/>
      <c r="AM716" s="4113"/>
      <c r="AN716" s="4120">
        <f>I716</f>
        <v>510</v>
      </c>
      <c r="AO716" s="3759"/>
      <c r="AP716" s="4120"/>
      <c r="AQ716" s="3759">
        <f t="shared" si="386"/>
        <v>510</v>
      </c>
      <c r="AR716" s="4120"/>
      <c r="AS716" s="3759"/>
      <c r="AT716" s="4120"/>
      <c r="AU716" s="3759"/>
      <c r="AV716" s="3759">
        <f>I716</f>
        <v>510</v>
      </c>
      <c r="AW716" s="3759"/>
      <c r="AX716" s="3759"/>
      <c r="AY716" s="3759"/>
      <c r="AZ716" s="3759">
        <f>I716/6</f>
        <v>85</v>
      </c>
      <c r="BA716" s="3759"/>
      <c r="BB716" s="3759"/>
      <c r="BC716" s="3759"/>
      <c r="BD716" s="4120"/>
      <c r="BE716" s="3759"/>
      <c r="BF716" s="3759"/>
      <c r="BG716" s="3759"/>
      <c r="BH716" s="3759"/>
      <c r="BI716" s="3759" t="s">
        <v>89</v>
      </c>
      <c r="BJ716" s="3759">
        <f>I716/60*9</f>
        <v>76.5</v>
      </c>
      <c r="BK716" s="3759">
        <f>I716/60*2</f>
        <v>17</v>
      </c>
      <c r="BL716" s="3759">
        <f>I716/60*5</f>
        <v>42.5</v>
      </c>
      <c r="BM716" s="4146">
        <f>I716/60*9</f>
        <v>76.5</v>
      </c>
      <c r="BN716" s="3721">
        <f>I716/60*12</f>
        <v>102</v>
      </c>
      <c r="BO716" s="3791">
        <f>I716/60*15</f>
        <v>127.5</v>
      </c>
      <c r="BP716" s="3721">
        <f>I716/60*8</f>
        <v>68</v>
      </c>
      <c r="BQ716" s="3724">
        <f t="shared" si="414"/>
        <v>510</v>
      </c>
      <c r="BR716" s="3721">
        <f>I716-BQ716</f>
        <v>0</v>
      </c>
      <c r="BS716" s="3774"/>
      <c r="BT716" s="3774"/>
      <c r="BU716" s="3774"/>
      <c r="BV716" s="3774"/>
      <c r="BW716" s="3774"/>
      <c r="BX716" s="3774"/>
      <c r="BY716" s="3774"/>
      <c r="BZ716" s="3774"/>
      <c r="CA716" s="3774"/>
      <c r="CB716" s="3774"/>
      <c r="CC716" s="3774"/>
      <c r="CD716" s="3774"/>
      <c r="CE716" s="3774"/>
      <c r="CF716" s="3774"/>
      <c r="CG716" s="3774"/>
      <c r="CH716" s="3774"/>
      <c r="CI716" s="3774"/>
      <c r="CJ716" s="3774"/>
      <c r="CK716" s="3774"/>
      <c r="CL716" s="3774"/>
      <c r="CM716" s="3774"/>
      <c r="CN716" s="3774"/>
      <c r="CO716" s="3774"/>
      <c r="CP716" s="3774"/>
      <c r="CQ716" s="3774"/>
      <c r="CR716" s="3774"/>
      <c r="CS716" s="3774"/>
      <c r="CT716" s="3774"/>
      <c r="CU716" s="3774"/>
      <c r="CV716" s="3774"/>
      <c r="CW716" s="3774"/>
      <c r="CX716" s="3774"/>
      <c r="CY716" s="3774"/>
      <c r="CZ716" s="3774"/>
      <c r="DA716" s="3774"/>
      <c r="DB716" s="3774"/>
      <c r="DC716" s="3774"/>
      <c r="DD716" s="3774"/>
      <c r="DE716" s="3774"/>
      <c r="DF716" s="3774"/>
      <c r="DG716" s="3774"/>
      <c r="DH716" s="3774"/>
      <c r="DI716" s="3774"/>
      <c r="DJ716" s="3774"/>
      <c r="DK716" s="3774"/>
      <c r="DL716" s="3774"/>
      <c r="DM716" s="3774"/>
      <c r="DN716" s="3774"/>
      <c r="DO716" s="3774"/>
      <c r="DP716" s="3774"/>
      <c r="DQ716" s="3774"/>
      <c r="DR716" s="3774"/>
      <c r="DS716" s="3774"/>
      <c r="DT716" s="3774"/>
      <c r="DU716" s="3774"/>
      <c r="DV716" s="3774"/>
      <c r="DW716" s="3774"/>
      <c r="DX716" s="3774"/>
      <c r="DY716" s="3774"/>
      <c r="DZ716" s="3774"/>
      <c r="EA716" s="3774"/>
      <c r="EB716" s="3774"/>
      <c r="EC716" s="3774"/>
      <c r="ED716" s="3774"/>
      <c r="EE716" s="3774"/>
      <c r="EF716" s="3774"/>
      <c r="EG716" s="3774"/>
      <c r="EH716" s="3774"/>
      <c r="EI716" s="3774"/>
      <c r="EJ716" s="3774"/>
      <c r="EK716" s="3774"/>
      <c r="EL716" s="3774"/>
      <c r="EM716" s="3774"/>
      <c r="EN716" s="3774"/>
      <c r="EO716" s="3774"/>
      <c r="EP716" s="3774"/>
      <c r="EQ716" s="3774"/>
      <c r="ER716" s="3774"/>
      <c r="ES716" s="3774"/>
      <c r="ET716" s="3774"/>
      <c r="EU716" s="3774"/>
      <c r="EV716" s="3774"/>
      <c r="EW716" s="3774"/>
      <c r="EX716" s="3774"/>
      <c r="EY716" s="3774"/>
      <c r="EZ716" s="3774"/>
      <c r="FA716" s="3774"/>
      <c r="FB716" s="3774"/>
      <c r="FC716" s="3774"/>
      <c r="FD716" s="3774"/>
      <c r="FE716" s="3774"/>
      <c r="FF716" s="3774"/>
      <c r="FG716" s="3774"/>
      <c r="FH716" s="3774"/>
      <c r="FI716" s="3774"/>
      <c r="FJ716" s="3774"/>
      <c r="FK716" s="3774"/>
      <c r="FL716" s="3774"/>
      <c r="FM716" s="3774"/>
      <c r="FN716" s="3774"/>
      <c r="FO716" s="3774"/>
      <c r="FP716" s="3774"/>
      <c r="FQ716" s="3774"/>
      <c r="FR716" s="3774"/>
      <c r="FS716" s="3774"/>
      <c r="FT716" s="3774"/>
      <c r="FU716" s="3774"/>
      <c r="FV716" s="3774"/>
      <c r="FW716" s="3774"/>
      <c r="FX716" s="3774"/>
      <c r="FY716" s="3774"/>
      <c r="FZ716" s="3774"/>
      <c r="GA716" s="3774"/>
      <c r="GB716" s="3774"/>
      <c r="GC716" s="3774"/>
      <c r="GD716" s="3774"/>
      <c r="GE716" s="3774"/>
      <c r="GF716" s="3774"/>
      <c r="GG716" s="3774"/>
      <c r="GH716" s="3774"/>
      <c r="GI716" s="3774"/>
      <c r="GJ716" s="3774"/>
      <c r="GK716" s="3774"/>
      <c r="GL716" s="3774"/>
      <c r="GM716" s="3774"/>
      <c r="GN716" s="3774"/>
      <c r="GO716" s="3774"/>
      <c r="GP716" s="3774"/>
      <c r="GQ716" s="3774"/>
      <c r="GR716" s="3774"/>
      <c r="GS716" s="3774"/>
      <c r="GT716" s="3774"/>
      <c r="GU716" s="3774"/>
      <c r="GV716" s="3774"/>
      <c r="GW716" s="3774"/>
      <c r="GX716" s="3774"/>
      <c r="GY716" s="3774"/>
      <c r="GZ716" s="3774"/>
      <c r="HA716" s="3774"/>
      <c r="HB716" s="3774"/>
      <c r="HC716" s="3774"/>
      <c r="HD716" s="3774"/>
      <c r="HE716" s="3774"/>
      <c r="HF716" s="3774"/>
      <c r="HG716" s="3774"/>
      <c r="HH716" s="3774"/>
      <c r="HI716" s="3774"/>
      <c r="HJ716" s="3774"/>
      <c r="HK716" s="3774"/>
      <c r="HL716" s="3774"/>
      <c r="HM716" s="3774"/>
      <c r="HN716" s="3774"/>
      <c r="HO716" s="3774"/>
      <c r="HP716" s="3774"/>
      <c r="HQ716" s="3774"/>
      <c r="HR716" s="3774"/>
      <c r="HS716" s="3774"/>
      <c r="HT716" s="3774"/>
      <c r="HU716" s="3774"/>
      <c r="HV716" s="3774"/>
      <c r="HW716" s="3774"/>
      <c r="HX716" s="3774"/>
      <c r="HY716" s="3774"/>
      <c r="HZ716" s="3774"/>
      <c r="IA716" s="3774"/>
      <c r="IB716" s="3774"/>
      <c r="IC716" s="3774"/>
      <c r="ID716" s="3774"/>
      <c r="IE716" s="3774"/>
      <c r="IF716" s="3774"/>
      <c r="IG716" s="3774"/>
      <c r="IH716" s="3774"/>
      <c r="II716" s="3774"/>
      <c r="IJ716" s="3774"/>
      <c r="IK716" s="3774"/>
      <c r="IL716" s="3774"/>
      <c r="IM716" s="3774"/>
      <c r="IN716" s="3774"/>
      <c r="IO716" s="3774"/>
      <c r="IP716" s="3774"/>
      <c r="IQ716" s="3774"/>
      <c r="IR716" s="3774"/>
      <c r="IS716" s="3774"/>
      <c r="IT716" s="3774"/>
      <c r="IU716" s="3774"/>
      <c r="IV716" s="3774"/>
      <c r="IW716" s="3774"/>
      <c r="IX716" s="3774"/>
      <c r="IY716" s="3774"/>
      <c r="IZ716" s="3774"/>
      <c r="JA716" s="3774"/>
      <c r="JB716" s="3774"/>
      <c r="JC716" s="3774"/>
      <c r="JD716" s="3774"/>
      <c r="JE716" s="3774"/>
      <c r="JF716" s="3774"/>
      <c r="JG716" s="3774"/>
      <c r="JH716" s="3774"/>
      <c r="JI716" s="3774"/>
      <c r="JJ716" s="3774"/>
      <c r="JK716" s="3774"/>
      <c r="JL716" s="3774"/>
      <c r="JM716" s="3774"/>
      <c r="JN716" s="3774"/>
      <c r="JO716" s="3774"/>
      <c r="JP716" s="3774"/>
      <c r="JQ716" s="3774"/>
      <c r="JR716" s="3774"/>
      <c r="JS716" s="3774"/>
      <c r="JT716" s="3774"/>
      <c r="JU716" s="3774"/>
      <c r="JV716" s="3774"/>
      <c r="JW716" s="3774"/>
      <c r="JX716" s="3774"/>
      <c r="JY716" s="3774"/>
      <c r="JZ716" s="3774"/>
      <c r="KA716" s="3774"/>
      <c r="KB716" s="3774"/>
      <c r="KC716" s="3774"/>
      <c r="KD716" s="3774"/>
      <c r="KE716" s="3774"/>
      <c r="KF716" s="3774"/>
      <c r="KG716" s="3774"/>
      <c r="KH716" s="3774"/>
      <c r="KI716" s="3774"/>
      <c r="KJ716" s="3774"/>
      <c r="KK716" s="3774"/>
      <c r="KL716" s="3774"/>
      <c r="KM716" s="3774"/>
      <c r="KN716" s="3774"/>
      <c r="KO716" s="3774"/>
      <c r="KP716" s="3774"/>
      <c r="KQ716" s="3774"/>
      <c r="KR716" s="3774"/>
      <c r="KS716" s="3774"/>
      <c r="KT716" s="3774"/>
      <c r="KU716" s="3774"/>
      <c r="KV716" s="3774"/>
      <c r="KW716" s="3774"/>
      <c r="KX716" s="3774"/>
      <c r="KY716" s="3774"/>
      <c r="KZ716" s="3774"/>
      <c r="LA716" s="3774"/>
    </row>
    <row r="717" s="3567" customFormat="1" ht="50" customHeight="1" spans="1:313">
      <c r="A717" s="4112">
        <v>46063</v>
      </c>
      <c r="B717" s="3766" t="s">
        <v>5160</v>
      </c>
      <c r="C717" s="3766" t="s">
        <v>3913</v>
      </c>
      <c r="D717" s="3699">
        <v>4500193594</v>
      </c>
      <c r="E717" s="3699" t="s">
        <v>5700</v>
      </c>
      <c r="F717" s="3700" t="s">
        <v>8115</v>
      </c>
      <c r="G717" s="3700" t="s">
        <v>6578</v>
      </c>
      <c r="H717" s="3699" t="s">
        <v>6579</v>
      </c>
      <c r="I717" s="3699">
        <v>720</v>
      </c>
      <c r="J717" s="3699">
        <v>0</v>
      </c>
      <c r="K717" s="3699">
        <v>24</v>
      </c>
      <c r="L717" s="4113">
        <f t="shared" si="412"/>
        <v>30</v>
      </c>
      <c r="M717" s="3707">
        <v>46119</v>
      </c>
      <c r="N717" s="3707">
        <v>46115</v>
      </c>
      <c r="O717" s="3708"/>
      <c r="P717" s="3700" t="s">
        <v>82</v>
      </c>
      <c r="Q717" s="4145">
        <f>696+24</f>
        <v>720</v>
      </c>
      <c r="R717" s="4157">
        <f t="shared" si="427"/>
        <v>0</v>
      </c>
      <c r="S717" s="4173" t="s">
        <v>2297</v>
      </c>
      <c r="T717" s="4145" t="s">
        <v>321</v>
      </c>
      <c r="U717" s="3726" t="s">
        <v>5702</v>
      </c>
      <c r="V717" s="3711" t="s">
        <v>846</v>
      </c>
      <c r="W717" s="3726"/>
      <c r="X717" s="3711" t="s">
        <v>5703</v>
      </c>
      <c r="Y717" s="3715"/>
      <c r="Z717" s="3699"/>
      <c r="AA717" s="3715" t="s">
        <v>8116</v>
      </c>
      <c r="AB717" s="4211" t="s">
        <v>892</v>
      </c>
      <c r="AC717" s="4118">
        <v>2.2296</v>
      </c>
      <c r="AD717" s="3699">
        <f t="shared" si="426"/>
        <v>1605.312</v>
      </c>
      <c r="AE717" s="3700"/>
      <c r="AF717" s="3700" t="s">
        <v>6578</v>
      </c>
      <c r="AG717" s="3700" t="s">
        <v>416</v>
      </c>
      <c r="AH717" s="4119"/>
      <c r="AI717" s="3700"/>
      <c r="AJ717" s="3699"/>
      <c r="AK717" s="4113"/>
      <c r="AL717" s="3759">
        <f>I717</f>
        <v>720</v>
      </c>
      <c r="AM717" s="4113"/>
      <c r="AN717" s="4120"/>
      <c r="AO717" s="3759"/>
      <c r="AP717" s="4120"/>
      <c r="AQ717" s="3759">
        <f t="shared" si="386"/>
        <v>720</v>
      </c>
      <c r="AR717" s="4120"/>
      <c r="AS717" s="3759"/>
      <c r="AT717" s="4120">
        <f t="shared" ref="AT717:AT722" si="428">I717</f>
        <v>720</v>
      </c>
      <c r="AU717" s="3759"/>
      <c r="AV717" s="3759"/>
      <c r="AW717" s="3759"/>
      <c r="AX717" s="3759"/>
      <c r="AY717" s="3759"/>
      <c r="AZ717" s="3759"/>
      <c r="BA717" s="3759"/>
      <c r="BB717" s="3759"/>
      <c r="BC717" s="3759"/>
      <c r="BD717" s="4120"/>
      <c r="BE717" s="3759"/>
      <c r="BF717" s="3759"/>
      <c r="BG717" s="3759"/>
      <c r="BH717" s="3759"/>
      <c r="BI717" s="3759" t="s">
        <v>89</v>
      </c>
      <c r="BJ717" s="3759">
        <f>I717/60*2</f>
        <v>24</v>
      </c>
      <c r="BK717" s="3759">
        <f>I717/60*10</f>
        <v>120</v>
      </c>
      <c r="BL717" s="3759">
        <f>I717/60*10</f>
        <v>120</v>
      </c>
      <c r="BM717" s="3759">
        <f>I717/60*8</f>
        <v>96</v>
      </c>
      <c r="BN717" s="3759">
        <f>I717/60*10</f>
        <v>120</v>
      </c>
      <c r="BO717" s="4146">
        <f>I717/60*10</f>
        <v>120</v>
      </c>
      <c r="BP717" s="3721">
        <f>I717/60*10</f>
        <v>120</v>
      </c>
      <c r="BQ717" s="3721">
        <f t="shared" si="414"/>
        <v>720</v>
      </c>
      <c r="BR717" s="3721">
        <f>I717-BQ717</f>
        <v>0</v>
      </c>
      <c r="BS717" s="3774"/>
      <c r="BT717" s="3774"/>
      <c r="BU717" s="3774"/>
      <c r="BV717" s="3774"/>
      <c r="BW717" s="3774"/>
      <c r="BX717" s="3774"/>
      <c r="BY717" s="3774"/>
      <c r="BZ717" s="3774"/>
      <c r="CA717" s="3774"/>
      <c r="CB717" s="3774"/>
      <c r="CC717" s="3774"/>
      <c r="CD717" s="3774"/>
      <c r="CE717" s="3774"/>
      <c r="CF717" s="3774"/>
      <c r="CG717" s="3774"/>
      <c r="CH717" s="3774"/>
      <c r="CI717" s="3774"/>
      <c r="CJ717" s="3774"/>
      <c r="CK717" s="3774"/>
      <c r="CL717" s="3774"/>
      <c r="CM717" s="3774"/>
      <c r="CN717" s="3774"/>
      <c r="CO717" s="3774"/>
      <c r="CP717" s="3774"/>
      <c r="CQ717" s="3774"/>
      <c r="CR717" s="3774"/>
      <c r="CS717" s="3774"/>
      <c r="CT717" s="3774"/>
      <c r="CU717" s="3774"/>
      <c r="CV717" s="3774"/>
      <c r="CW717" s="3774"/>
      <c r="CX717" s="3774"/>
      <c r="CY717" s="3774"/>
      <c r="CZ717" s="3774"/>
      <c r="DA717" s="3774"/>
      <c r="DB717" s="3774"/>
      <c r="DC717" s="3774"/>
      <c r="DD717" s="3774"/>
      <c r="DE717" s="3774"/>
      <c r="DF717" s="3774"/>
      <c r="DG717" s="3774"/>
      <c r="DH717" s="3774"/>
      <c r="DI717" s="3774"/>
      <c r="DJ717" s="3774"/>
      <c r="DK717" s="3774"/>
      <c r="DL717" s="3774"/>
      <c r="DM717" s="3774"/>
      <c r="DN717" s="3774"/>
      <c r="DO717" s="3774"/>
      <c r="DP717" s="3774"/>
      <c r="DQ717" s="3774"/>
      <c r="DR717" s="3774"/>
      <c r="DS717" s="3774"/>
      <c r="DT717" s="3774"/>
      <c r="DU717" s="3774"/>
      <c r="DV717" s="3774"/>
      <c r="DW717" s="3774"/>
      <c r="DX717" s="3774"/>
      <c r="DY717" s="3774"/>
      <c r="DZ717" s="3774"/>
      <c r="EA717" s="3774"/>
      <c r="EB717" s="3774"/>
      <c r="EC717" s="3774"/>
      <c r="ED717" s="3774"/>
      <c r="EE717" s="3774"/>
      <c r="EF717" s="3774"/>
      <c r="EG717" s="3774"/>
      <c r="EH717" s="3774"/>
      <c r="EI717" s="3774"/>
      <c r="EJ717" s="3774"/>
      <c r="EK717" s="3774"/>
      <c r="EL717" s="3774"/>
      <c r="EM717" s="3774"/>
      <c r="EN717" s="3774"/>
      <c r="EO717" s="3774"/>
      <c r="EP717" s="3774"/>
      <c r="EQ717" s="3774"/>
      <c r="ER717" s="3774"/>
      <c r="ES717" s="3774"/>
      <c r="ET717" s="3774"/>
      <c r="EU717" s="3774"/>
      <c r="EV717" s="3774"/>
      <c r="EW717" s="3774"/>
      <c r="EX717" s="3774"/>
      <c r="EY717" s="3774"/>
      <c r="EZ717" s="3774"/>
      <c r="FA717" s="3774"/>
      <c r="FB717" s="3774"/>
      <c r="FC717" s="3774"/>
      <c r="FD717" s="3774"/>
      <c r="FE717" s="3774"/>
      <c r="FF717" s="3774"/>
      <c r="FG717" s="3774"/>
      <c r="FH717" s="3774"/>
      <c r="FI717" s="3774"/>
      <c r="FJ717" s="3774"/>
      <c r="FK717" s="3774"/>
      <c r="FL717" s="3774"/>
      <c r="FM717" s="3774"/>
      <c r="FN717" s="3774"/>
      <c r="FO717" s="3774"/>
      <c r="FP717" s="3774"/>
      <c r="FQ717" s="3774"/>
      <c r="FR717" s="3774"/>
      <c r="FS717" s="3774"/>
      <c r="FT717" s="3774"/>
      <c r="FU717" s="3774"/>
      <c r="FV717" s="3774"/>
      <c r="FW717" s="3774"/>
      <c r="FX717" s="3774"/>
      <c r="FY717" s="3774"/>
      <c r="FZ717" s="3774"/>
      <c r="GA717" s="3774"/>
      <c r="GB717" s="3774"/>
      <c r="GC717" s="3774"/>
      <c r="GD717" s="3774"/>
      <c r="GE717" s="3774"/>
      <c r="GF717" s="3774"/>
      <c r="GG717" s="3774"/>
      <c r="GH717" s="3774"/>
      <c r="GI717" s="3774"/>
      <c r="GJ717" s="3774"/>
      <c r="GK717" s="3774"/>
      <c r="GL717" s="3774"/>
      <c r="GM717" s="3774"/>
      <c r="GN717" s="3774"/>
      <c r="GO717" s="3774"/>
      <c r="GP717" s="3774"/>
      <c r="GQ717" s="3774"/>
      <c r="GR717" s="3774"/>
      <c r="GS717" s="3774"/>
      <c r="GT717" s="3774"/>
      <c r="GU717" s="3774"/>
      <c r="GV717" s="3774"/>
      <c r="GW717" s="3774"/>
      <c r="GX717" s="3774"/>
      <c r="GY717" s="3774"/>
      <c r="GZ717" s="3774"/>
      <c r="HA717" s="3774"/>
      <c r="HB717" s="3774"/>
      <c r="HC717" s="3774"/>
      <c r="HD717" s="3774"/>
      <c r="HE717" s="3774"/>
      <c r="HF717" s="3774"/>
      <c r="HG717" s="3774"/>
      <c r="HH717" s="3774"/>
      <c r="HI717" s="3774"/>
      <c r="HJ717" s="3774"/>
      <c r="HK717" s="3774"/>
      <c r="HL717" s="3774"/>
      <c r="HM717" s="3774"/>
      <c r="HN717" s="3774"/>
      <c r="HO717" s="3774"/>
      <c r="HP717" s="3774"/>
      <c r="HQ717" s="3774"/>
      <c r="HR717" s="3774"/>
      <c r="HS717" s="3774"/>
      <c r="HT717" s="3774"/>
      <c r="HU717" s="3774"/>
      <c r="HV717" s="3774"/>
      <c r="HW717" s="3774"/>
      <c r="HX717" s="3774"/>
      <c r="HY717" s="3774"/>
      <c r="HZ717" s="3774"/>
      <c r="IA717" s="3774"/>
      <c r="IB717" s="3774"/>
      <c r="IC717" s="3774"/>
      <c r="ID717" s="3774"/>
      <c r="IE717" s="3774"/>
      <c r="IF717" s="3774"/>
      <c r="IG717" s="3774"/>
      <c r="IH717" s="3774"/>
      <c r="II717" s="3774"/>
      <c r="IJ717" s="3774"/>
      <c r="IK717" s="3774"/>
      <c r="IL717" s="3774"/>
      <c r="IM717" s="3774"/>
      <c r="IN717" s="3774"/>
      <c r="IO717" s="3774"/>
      <c r="IP717" s="3774"/>
      <c r="IQ717" s="3774"/>
      <c r="IR717" s="3774"/>
      <c r="IS717" s="3774"/>
      <c r="IT717" s="3774"/>
      <c r="IU717" s="3774"/>
      <c r="IV717" s="3774"/>
      <c r="IW717" s="3774"/>
      <c r="IX717" s="3774"/>
      <c r="IY717" s="3774"/>
      <c r="IZ717" s="3774"/>
      <c r="JA717" s="3774"/>
      <c r="JB717" s="3774"/>
      <c r="JC717" s="3774"/>
      <c r="JD717" s="3774"/>
      <c r="JE717" s="3774"/>
      <c r="JF717" s="3774"/>
      <c r="JG717" s="3774"/>
      <c r="JH717" s="3774"/>
      <c r="JI717" s="3774"/>
      <c r="JJ717" s="3774"/>
      <c r="JK717" s="3774"/>
      <c r="JL717" s="3774"/>
      <c r="JM717" s="3774"/>
      <c r="JN717" s="3774"/>
      <c r="JO717" s="3774"/>
      <c r="JP717" s="3774"/>
      <c r="JQ717" s="3774"/>
      <c r="JR717" s="3774"/>
      <c r="JS717" s="3774"/>
      <c r="JT717" s="3774"/>
      <c r="JU717" s="3774"/>
      <c r="JV717" s="3774"/>
      <c r="JW717" s="3774"/>
      <c r="JX717" s="3774"/>
      <c r="JY717" s="3774"/>
      <c r="JZ717" s="3774"/>
      <c r="KA717" s="3774"/>
      <c r="KB717" s="3774"/>
      <c r="KC717" s="3774"/>
      <c r="KD717" s="3774"/>
      <c r="KE717" s="3774"/>
      <c r="KF717" s="3774"/>
      <c r="KG717" s="3774"/>
      <c r="KH717" s="3774"/>
      <c r="KI717" s="3774"/>
      <c r="KJ717" s="3774"/>
      <c r="KK717" s="3774"/>
      <c r="KL717" s="3774"/>
      <c r="KM717" s="3774"/>
      <c r="KN717" s="3774"/>
      <c r="KO717" s="3774"/>
      <c r="KP717" s="3774"/>
      <c r="KQ717" s="3774"/>
      <c r="KR717" s="3774"/>
      <c r="KS717" s="3774"/>
      <c r="KT717" s="3774"/>
      <c r="KU717" s="3774"/>
      <c r="KV717" s="3774"/>
      <c r="KW717" s="3774"/>
      <c r="KX717" s="3774"/>
      <c r="KY717" s="3774"/>
      <c r="KZ717" s="3774"/>
      <c r="LA717" s="3774"/>
    </row>
    <row r="718" s="3567" customFormat="1" ht="50" customHeight="1" spans="1:313">
      <c r="A718" s="4112">
        <v>46038</v>
      </c>
      <c r="B718" s="3766" t="s">
        <v>1682</v>
      </c>
      <c r="C718" s="3766" t="s">
        <v>91</v>
      </c>
      <c r="D718" s="3699">
        <v>4500191650</v>
      </c>
      <c r="E718" s="3700">
        <v>384464404</v>
      </c>
      <c r="F718" s="3700" t="s">
        <v>8117</v>
      </c>
      <c r="G718" s="3700" t="s">
        <v>6159</v>
      </c>
      <c r="H718" s="3699" t="s">
        <v>6063</v>
      </c>
      <c r="I718" s="3699">
        <v>1200</v>
      </c>
      <c r="J718" s="3699">
        <v>0</v>
      </c>
      <c r="K718" s="3699">
        <v>6</v>
      </c>
      <c r="L718" s="4113">
        <f t="shared" si="412"/>
        <v>200</v>
      </c>
      <c r="M718" s="3707">
        <v>46122</v>
      </c>
      <c r="N718" s="3707">
        <v>46118</v>
      </c>
      <c r="O718" s="3708"/>
      <c r="P718" s="3700" t="s">
        <v>82</v>
      </c>
      <c r="Q718" s="4145">
        <v>1200</v>
      </c>
      <c r="R718" s="4157">
        <f t="shared" si="427"/>
        <v>0</v>
      </c>
      <c r="S718" s="4173" t="s">
        <v>2297</v>
      </c>
      <c r="T718" s="4145" t="s">
        <v>321</v>
      </c>
      <c r="U718" s="3726" t="s">
        <v>5706</v>
      </c>
      <c r="V718" s="3709" t="s">
        <v>1063</v>
      </c>
      <c r="W718" s="4212"/>
      <c r="X718" s="3711" t="s">
        <v>98</v>
      </c>
      <c r="Y718" s="3711" t="s">
        <v>5707</v>
      </c>
      <c r="Z718" s="3699"/>
      <c r="AA718" s="3715" t="s">
        <v>5708</v>
      </c>
      <c r="AB718" s="3769" t="s">
        <v>500</v>
      </c>
      <c r="AC718" s="4118">
        <v>1.2946</v>
      </c>
      <c r="AD718" s="3699">
        <f t="shared" si="426"/>
        <v>1553.52</v>
      </c>
      <c r="AE718" s="3700"/>
      <c r="AF718" s="3700" t="s">
        <v>6159</v>
      </c>
      <c r="AG718" s="3700" t="s">
        <v>416</v>
      </c>
      <c r="AH718" s="4119"/>
      <c r="AI718" s="3700"/>
      <c r="AJ718" s="3699"/>
      <c r="AK718" s="4113"/>
      <c r="AL718" s="3759">
        <f>I718</f>
        <v>1200</v>
      </c>
      <c r="AM718" s="4113"/>
      <c r="AN718" s="4120"/>
      <c r="AO718" s="3759"/>
      <c r="AP718" s="4120"/>
      <c r="AQ718" s="3759">
        <f t="shared" si="386"/>
        <v>1200</v>
      </c>
      <c r="AR718" s="4120"/>
      <c r="AS718" s="3759"/>
      <c r="AT718" s="4120">
        <f t="shared" si="428"/>
        <v>1200</v>
      </c>
      <c r="AU718" s="3759"/>
      <c r="AV718" s="3759"/>
      <c r="AW718" s="3759"/>
      <c r="AX718" s="3759"/>
      <c r="AY718" s="3759"/>
      <c r="AZ718" s="3759"/>
      <c r="BA718" s="3759"/>
      <c r="BB718" s="3759"/>
      <c r="BC718" s="3759"/>
      <c r="BD718" s="4120"/>
      <c r="BE718" s="3759"/>
      <c r="BF718" s="3759"/>
      <c r="BG718" s="3759"/>
      <c r="BH718" s="3759"/>
      <c r="BI718" s="3759" t="s">
        <v>89</v>
      </c>
      <c r="BJ718" s="3765">
        <f t="shared" ref="BJ718:BJ723" si="429">I718/60*9</f>
        <v>180</v>
      </c>
      <c r="BK718" s="3765">
        <f t="shared" ref="BK718:BK723" si="430">I718/60*2</f>
        <v>40</v>
      </c>
      <c r="BL718" s="3765">
        <f t="shared" ref="BL718:BL723" si="431">I718/60*5</f>
        <v>100</v>
      </c>
      <c r="BM718" s="4206">
        <f t="shared" ref="BM718:BM723" si="432">I718/60*9</f>
        <v>180</v>
      </c>
      <c r="BN718" s="3760">
        <f t="shared" ref="BN718:BN723" si="433">I718/60*12</f>
        <v>240</v>
      </c>
      <c r="BO718" s="4207">
        <f t="shared" ref="BO718:BO723" si="434">I718/60*15</f>
        <v>300</v>
      </c>
      <c r="BP718" s="3760">
        <f t="shared" ref="BP718:BP723" si="435">I718/60*8</f>
        <v>160</v>
      </c>
      <c r="BQ718" s="3879">
        <f t="shared" si="414"/>
        <v>1200</v>
      </c>
      <c r="BR718" s="3760">
        <f>I718-BQ718</f>
        <v>0</v>
      </c>
    </row>
    <row r="719" s="3567" customFormat="1" ht="50" customHeight="1" spans="1:313">
      <c r="A719" s="4112">
        <v>46038</v>
      </c>
      <c r="B719" s="3766" t="s">
        <v>1682</v>
      </c>
      <c r="C719" s="3766" t="s">
        <v>91</v>
      </c>
      <c r="D719" s="3699">
        <v>4500191650</v>
      </c>
      <c r="E719" s="3700">
        <v>384464508</v>
      </c>
      <c r="F719" s="3700" t="s">
        <v>8118</v>
      </c>
      <c r="G719" s="3700" t="s">
        <v>6159</v>
      </c>
      <c r="H719" s="3699" t="s">
        <v>6063</v>
      </c>
      <c r="I719" s="3699">
        <v>1200</v>
      </c>
      <c r="J719" s="3699">
        <v>0</v>
      </c>
      <c r="K719" s="3699">
        <v>6</v>
      </c>
      <c r="L719" s="4113">
        <f t="shared" si="412"/>
        <v>200</v>
      </c>
      <c r="M719" s="3707">
        <v>46122</v>
      </c>
      <c r="N719" s="3707">
        <v>46118</v>
      </c>
      <c r="O719" s="3708"/>
      <c r="P719" s="3700" t="s">
        <v>82</v>
      </c>
      <c r="Q719" s="4145">
        <v>1200</v>
      </c>
      <c r="R719" s="4157">
        <f t="shared" si="427"/>
        <v>0</v>
      </c>
      <c r="S719" s="4173" t="s">
        <v>2297</v>
      </c>
      <c r="T719" s="4145" t="s">
        <v>321</v>
      </c>
      <c r="U719" s="3726" t="s">
        <v>5706</v>
      </c>
      <c r="V719" s="3709" t="s">
        <v>1063</v>
      </c>
      <c r="W719" s="4212"/>
      <c r="X719" s="3711" t="s">
        <v>98</v>
      </c>
      <c r="Y719" s="3711" t="s">
        <v>5707</v>
      </c>
      <c r="Z719" s="3699"/>
      <c r="AA719" s="3715" t="s">
        <v>5708</v>
      </c>
      <c r="AB719" s="3769" t="s">
        <v>500</v>
      </c>
      <c r="AC719" s="4118">
        <v>1.3275</v>
      </c>
      <c r="AD719" s="3699">
        <f t="shared" si="426"/>
        <v>1593</v>
      </c>
      <c r="AE719" s="3700"/>
      <c r="AF719" s="3700" t="s">
        <v>6159</v>
      </c>
      <c r="AG719" s="3700" t="s">
        <v>416</v>
      </c>
      <c r="AH719" s="4119"/>
      <c r="AI719" s="3700"/>
      <c r="AJ719" s="3699"/>
      <c r="AK719" s="4113"/>
      <c r="AL719" s="3759">
        <f>I719</f>
        <v>1200</v>
      </c>
      <c r="AM719" s="4113"/>
      <c r="AN719" s="4120"/>
      <c r="AO719" s="3759"/>
      <c r="AP719" s="4120"/>
      <c r="AQ719" s="3759">
        <f t="shared" si="386"/>
        <v>1200</v>
      </c>
      <c r="AR719" s="4120"/>
      <c r="AS719" s="3759"/>
      <c r="AT719" s="4120">
        <f t="shared" si="428"/>
        <v>1200</v>
      </c>
      <c r="AU719" s="3759"/>
      <c r="AV719" s="3759"/>
      <c r="AW719" s="3759"/>
      <c r="AX719" s="3759"/>
      <c r="AY719" s="3759"/>
      <c r="AZ719" s="3759"/>
      <c r="BA719" s="3759"/>
      <c r="BB719" s="3759"/>
      <c r="BC719" s="3759"/>
      <c r="BD719" s="4120"/>
      <c r="BE719" s="3759"/>
      <c r="BF719" s="3759"/>
      <c r="BG719" s="3759"/>
      <c r="BH719" s="3759"/>
      <c r="BI719" s="3759" t="s">
        <v>89</v>
      </c>
      <c r="BJ719" s="3765">
        <f t="shared" si="429"/>
        <v>180</v>
      </c>
      <c r="BK719" s="3765">
        <f t="shared" si="430"/>
        <v>40</v>
      </c>
      <c r="BL719" s="3765">
        <f t="shared" si="431"/>
        <v>100</v>
      </c>
      <c r="BM719" s="4206">
        <f t="shared" si="432"/>
        <v>180</v>
      </c>
      <c r="BN719" s="3760">
        <f t="shared" si="433"/>
        <v>240</v>
      </c>
      <c r="BO719" s="4207">
        <f t="shared" si="434"/>
        <v>300</v>
      </c>
      <c r="BP719" s="3760">
        <f t="shared" si="435"/>
        <v>160</v>
      </c>
      <c r="BQ719" s="3879">
        <f t="shared" si="414"/>
        <v>1200</v>
      </c>
      <c r="BR719" s="3760">
        <f>I719-BQ719</f>
        <v>0</v>
      </c>
    </row>
    <row r="720" s="3567" customFormat="1" ht="50" customHeight="1" spans="1:313">
      <c r="A720" s="4112">
        <v>46078</v>
      </c>
      <c r="B720" s="3766" t="s">
        <v>5710</v>
      </c>
      <c r="C720" s="3766" t="s">
        <v>3460</v>
      </c>
      <c r="D720" s="3699">
        <v>4500194168</v>
      </c>
      <c r="E720" s="3699"/>
      <c r="F720" s="3700" t="s">
        <v>8119</v>
      </c>
      <c r="G720" s="3700" t="s">
        <v>6124</v>
      </c>
      <c r="H720" s="3699" t="s">
        <v>6063</v>
      </c>
      <c r="I720" s="4175">
        <v>180</v>
      </c>
      <c r="J720" s="3699">
        <v>0</v>
      </c>
      <c r="K720" s="3699">
        <v>12</v>
      </c>
      <c r="L720" s="3699">
        <f t="shared" si="412"/>
        <v>15</v>
      </c>
      <c r="M720" s="3707">
        <v>46122</v>
      </c>
      <c r="N720" s="3707">
        <v>46118</v>
      </c>
      <c r="O720" s="3708"/>
      <c r="P720" s="3700" t="s">
        <v>82</v>
      </c>
      <c r="Q720" s="4145">
        <f>168+12</f>
        <v>180</v>
      </c>
      <c r="R720" s="4157">
        <f t="shared" si="427"/>
        <v>0</v>
      </c>
      <c r="S720" s="4170" t="s">
        <v>2297</v>
      </c>
      <c r="T720" s="4145" t="s">
        <v>321</v>
      </c>
      <c r="U720" s="3726" t="s">
        <v>964</v>
      </c>
      <c r="V720" s="3711" t="s">
        <v>924</v>
      </c>
      <c r="W720" s="3726"/>
      <c r="X720" s="3711" t="s">
        <v>5712</v>
      </c>
      <c r="Y720" s="3715"/>
      <c r="Z720" s="3699"/>
      <c r="AA720" s="3715" t="s">
        <v>5713</v>
      </c>
      <c r="AB720" s="4211" t="s">
        <v>459</v>
      </c>
      <c r="AC720" s="4208">
        <v>2.259</v>
      </c>
      <c r="AD720" s="4208">
        <f t="shared" si="426"/>
        <v>406.62</v>
      </c>
      <c r="AE720" s="3700"/>
      <c r="AF720" s="3700" t="s">
        <v>6126</v>
      </c>
      <c r="AG720" s="3700" t="s">
        <v>6670</v>
      </c>
      <c r="AH720" s="4119"/>
      <c r="AI720" s="3700"/>
      <c r="AJ720" s="3699"/>
      <c r="AK720" s="4113"/>
      <c r="AL720" s="3759"/>
      <c r="AM720" s="4113"/>
      <c r="AN720" s="4120">
        <f>I720</f>
        <v>180</v>
      </c>
      <c r="AO720" s="3759"/>
      <c r="AP720" s="4120"/>
      <c r="AQ720" s="3759">
        <f t="shared" si="386"/>
        <v>180</v>
      </c>
      <c r="AR720" s="4120"/>
      <c r="AS720" s="3759"/>
      <c r="AT720" s="4120">
        <f t="shared" si="428"/>
        <v>180</v>
      </c>
      <c r="AU720" s="3759"/>
      <c r="AV720" s="3759"/>
      <c r="AW720" s="3759"/>
      <c r="AX720" s="3759">
        <f>I720/6</f>
        <v>30</v>
      </c>
      <c r="AY720" s="3759"/>
      <c r="AZ720" s="3759"/>
      <c r="BA720" s="3759"/>
      <c r="BB720" s="3759"/>
      <c r="BC720" s="3759"/>
      <c r="BD720" s="4120"/>
      <c r="BE720" s="3759"/>
      <c r="BF720" s="3759"/>
      <c r="BG720" s="3759"/>
      <c r="BH720" s="3759"/>
      <c r="BI720" s="3759" t="s">
        <v>89</v>
      </c>
      <c r="BJ720" s="3765">
        <f t="shared" si="429"/>
        <v>27</v>
      </c>
      <c r="BK720" s="3765">
        <f t="shared" si="430"/>
        <v>6</v>
      </c>
      <c r="BL720" s="3765">
        <f t="shared" si="431"/>
        <v>15</v>
      </c>
      <c r="BM720" s="4206">
        <f t="shared" si="432"/>
        <v>27</v>
      </c>
      <c r="BN720" s="3760">
        <f t="shared" si="433"/>
        <v>36</v>
      </c>
      <c r="BO720" s="4207">
        <f t="shared" si="434"/>
        <v>45</v>
      </c>
      <c r="BP720" s="3760">
        <f t="shared" si="435"/>
        <v>24</v>
      </c>
      <c r="BQ720" s="3724">
        <f t="shared" si="414"/>
        <v>180</v>
      </c>
      <c r="BR720" s="3724">
        <v>0</v>
      </c>
      <c r="BS720" s="3774"/>
      <c r="BT720" s="3774"/>
      <c r="BU720" s="3774"/>
      <c r="BV720" s="3774"/>
      <c r="BW720" s="3774"/>
      <c r="BX720" s="3774"/>
      <c r="BY720" s="3774"/>
      <c r="BZ720" s="3774"/>
      <c r="CA720" s="3774"/>
      <c r="CB720" s="3774"/>
      <c r="CC720" s="3774"/>
      <c r="CD720" s="3774"/>
      <c r="CE720" s="3774"/>
      <c r="CF720" s="3774"/>
      <c r="CG720" s="3774"/>
      <c r="CH720" s="3774"/>
      <c r="CI720" s="3774"/>
      <c r="CJ720" s="3774"/>
      <c r="CK720" s="3774"/>
      <c r="CL720" s="3774"/>
      <c r="CM720" s="3774"/>
      <c r="CN720" s="3774"/>
      <c r="CO720" s="3774"/>
      <c r="CP720" s="3774"/>
      <c r="CQ720" s="3774"/>
      <c r="CR720" s="3774"/>
      <c r="CS720" s="3774"/>
      <c r="CT720" s="3774"/>
      <c r="CU720" s="3774"/>
      <c r="CV720" s="3774"/>
      <c r="CW720" s="3774"/>
      <c r="CX720" s="3774"/>
      <c r="CY720" s="3774"/>
      <c r="CZ720" s="3774"/>
      <c r="DA720" s="3774"/>
      <c r="DB720" s="3774"/>
      <c r="DC720" s="3774"/>
      <c r="DD720" s="3774"/>
      <c r="DE720" s="3774"/>
      <c r="DF720" s="3774"/>
      <c r="DG720" s="3774"/>
      <c r="DH720" s="3774"/>
      <c r="DI720" s="3774"/>
      <c r="DJ720" s="3774"/>
      <c r="DK720" s="3774"/>
      <c r="DL720" s="3774"/>
      <c r="DM720" s="3774"/>
      <c r="DN720" s="3774"/>
      <c r="DO720" s="3774"/>
      <c r="DP720" s="3774"/>
      <c r="DQ720" s="3774"/>
      <c r="DR720" s="3774"/>
      <c r="DS720" s="3774"/>
      <c r="DT720" s="3774"/>
      <c r="DU720" s="3774"/>
      <c r="DV720" s="3774"/>
      <c r="DW720" s="3774"/>
      <c r="DX720" s="3774"/>
      <c r="DY720" s="3774"/>
      <c r="DZ720" s="3774"/>
      <c r="EA720" s="3774"/>
      <c r="EB720" s="3774"/>
      <c r="EC720" s="3774"/>
      <c r="ED720" s="3774"/>
      <c r="EE720" s="3774"/>
      <c r="EF720" s="3774"/>
      <c r="EG720" s="3774"/>
      <c r="EH720" s="3774"/>
      <c r="EI720" s="3774"/>
      <c r="EJ720" s="3774"/>
      <c r="EK720" s="3774"/>
      <c r="EL720" s="3774"/>
      <c r="EM720" s="3774"/>
      <c r="EN720" s="3774"/>
      <c r="EO720" s="3774"/>
      <c r="EP720" s="3774"/>
      <c r="EQ720" s="3774"/>
      <c r="ER720" s="3774"/>
      <c r="ES720" s="3774"/>
      <c r="ET720" s="3774"/>
      <c r="EU720" s="3774"/>
      <c r="EV720" s="3774"/>
      <c r="EW720" s="3774"/>
      <c r="EX720" s="3774"/>
      <c r="EY720" s="3774"/>
      <c r="EZ720" s="3774"/>
      <c r="FA720" s="3774"/>
      <c r="FB720" s="3774"/>
      <c r="FC720" s="3774"/>
      <c r="FD720" s="3774"/>
      <c r="FE720" s="3774"/>
      <c r="FF720" s="3774"/>
      <c r="FG720" s="3774"/>
      <c r="FH720" s="3774"/>
      <c r="FI720" s="3774"/>
      <c r="FJ720" s="3774"/>
      <c r="FK720" s="3774"/>
      <c r="FL720" s="3774"/>
      <c r="FM720" s="3774"/>
      <c r="FN720" s="3774"/>
      <c r="FO720" s="3774"/>
      <c r="FP720" s="3774"/>
      <c r="FQ720" s="3774"/>
      <c r="FR720" s="3774"/>
      <c r="FS720" s="3774"/>
      <c r="FT720" s="3774"/>
      <c r="FU720" s="3774"/>
      <c r="FV720" s="3774"/>
      <c r="FW720" s="3774"/>
      <c r="FX720" s="3774"/>
      <c r="FY720" s="3774"/>
      <c r="FZ720" s="3774"/>
      <c r="GA720" s="3774"/>
      <c r="GB720" s="3774"/>
      <c r="GC720" s="3774"/>
      <c r="GD720" s="3774"/>
      <c r="GE720" s="3774"/>
      <c r="GF720" s="3774"/>
      <c r="GG720" s="3774"/>
      <c r="GH720" s="3774"/>
      <c r="GI720" s="3774"/>
      <c r="GJ720" s="3774"/>
      <c r="GK720" s="3774"/>
      <c r="GL720" s="3774"/>
      <c r="GM720" s="3774"/>
      <c r="GN720" s="3774"/>
      <c r="GO720" s="3774"/>
      <c r="GP720" s="3774"/>
      <c r="GQ720" s="3774"/>
      <c r="GR720" s="3774"/>
      <c r="GS720" s="3774"/>
      <c r="GT720" s="3774"/>
      <c r="GU720" s="3774"/>
      <c r="GV720" s="3774"/>
      <c r="GW720" s="3774"/>
      <c r="GX720" s="3774"/>
      <c r="GY720" s="3774"/>
      <c r="GZ720" s="3774"/>
      <c r="HA720" s="3774"/>
      <c r="HB720" s="3774"/>
      <c r="HC720" s="3774"/>
      <c r="HD720" s="3774"/>
      <c r="HE720" s="3774"/>
      <c r="HF720" s="3774"/>
      <c r="HG720" s="3774"/>
      <c r="HH720" s="3774"/>
      <c r="HI720" s="3774"/>
      <c r="HJ720" s="3774"/>
      <c r="HK720" s="3774"/>
      <c r="HL720" s="3774"/>
      <c r="HM720" s="3774"/>
      <c r="HN720" s="3774"/>
      <c r="HO720" s="3774"/>
      <c r="HP720" s="3774"/>
      <c r="HQ720" s="3774"/>
      <c r="HR720" s="3774"/>
      <c r="HS720" s="3774"/>
      <c r="HT720" s="3774"/>
      <c r="HU720" s="3774"/>
      <c r="HV720" s="3774"/>
      <c r="HW720" s="3774"/>
      <c r="HX720" s="3774"/>
      <c r="HY720" s="3774"/>
      <c r="HZ720" s="3774"/>
      <c r="IA720" s="3774"/>
      <c r="IB720" s="3774"/>
      <c r="IC720" s="3774"/>
      <c r="ID720" s="3774"/>
      <c r="IE720" s="3774"/>
      <c r="IF720" s="3774"/>
      <c r="IG720" s="3774"/>
      <c r="IH720" s="3774"/>
      <c r="II720" s="3774"/>
      <c r="IJ720" s="3774"/>
      <c r="IK720" s="3774"/>
      <c r="IL720" s="3774"/>
      <c r="IM720" s="3774"/>
      <c r="IN720" s="3774"/>
      <c r="IO720" s="3774"/>
      <c r="IP720" s="3774"/>
      <c r="IQ720" s="3774"/>
      <c r="IR720" s="3774"/>
      <c r="IS720" s="3774"/>
      <c r="IT720" s="3774"/>
      <c r="IU720" s="3774"/>
      <c r="IV720" s="3774"/>
      <c r="IW720" s="3774"/>
      <c r="IX720" s="3774"/>
      <c r="IY720" s="3774"/>
      <c r="IZ720" s="3774"/>
      <c r="JA720" s="3774"/>
      <c r="JB720" s="3774"/>
      <c r="JC720" s="3774"/>
      <c r="JD720" s="3774"/>
      <c r="JE720" s="3774"/>
      <c r="JF720" s="3774"/>
      <c r="JG720" s="3774"/>
      <c r="JH720" s="3774"/>
      <c r="JI720" s="3774"/>
      <c r="JJ720" s="3774"/>
      <c r="JK720" s="3774"/>
      <c r="JL720" s="3774"/>
      <c r="JM720" s="3774"/>
      <c r="JN720" s="3774"/>
      <c r="JO720" s="3774"/>
      <c r="JP720" s="3774"/>
      <c r="JQ720" s="3774"/>
      <c r="JR720" s="3774"/>
      <c r="JS720" s="3774"/>
      <c r="JT720" s="3774"/>
      <c r="JU720" s="3774"/>
      <c r="JV720" s="3774"/>
      <c r="JW720" s="3774"/>
      <c r="JX720" s="3774"/>
      <c r="JY720" s="3774"/>
      <c r="JZ720" s="3774"/>
      <c r="KA720" s="3774"/>
      <c r="KB720" s="3774"/>
      <c r="KC720" s="3774"/>
      <c r="KD720" s="3774"/>
      <c r="KE720" s="3774"/>
      <c r="KF720" s="3774"/>
      <c r="KG720" s="3774"/>
      <c r="KH720" s="3774"/>
      <c r="KI720" s="3774"/>
      <c r="KJ720" s="3774"/>
      <c r="KK720" s="3774"/>
      <c r="KL720" s="3774"/>
      <c r="KM720" s="3774"/>
      <c r="KN720" s="3774"/>
      <c r="KO720" s="3774"/>
      <c r="KP720" s="3774"/>
      <c r="KQ720" s="3774"/>
      <c r="KR720" s="3774"/>
      <c r="KS720" s="3774"/>
      <c r="KT720" s="3774"/>
      <c r="KU720" s="3774"/>
      <c r="KV720" s="3774"/>
      <c r="KW720" s="3774"/>
      <c r="KX720" s="3774"/>
      <c r="KY720" s="3774"/>
      <c r="KZ720" s="3774"/>
      <c r="LA720" s="3774"/>
    </row>
    <row r="721" s="3567" customFormat="1" ht="50" customHeight="1" spans="1:70">
      <c r="A721" s="4112">
        <v>46090</v>
      </c>
      <c r="B721" s="3766" t="s">
        <v>7482</v>
      </c>
      <c r="C721" s="3766" t="s">
        <v>91</v>
      </c>
      <c r="D721" s="3699">
        <v>4500194715</v>
      </c>
      <c r="E721" s="3699" t="s">
        <v>8120</v>
      </c>
      <c r="F721" s="3699" t="s">
        <v>8121</v>
      </c>
      <c r="G721" s="3700" t="s">
        <v>7968</v>
      </c>
      <c r="H721" s="3699" t="s">
        <v>7969</v>
      </c>
      <c r="I721" s="3699">
        <v>1200</v>
      </c>
      <c r="J721" s="3699">
        <v>0</v>
      </c>
      <c r="K721" s="3699">
        <v>12</v>
      </c>
      <c r="L721" s="4113">
        <f t="shared" si="412"/>
        <v>100</v>
      </c>
      <c r="M721" s="3707">
        <v>46132</v>
      </c>
      <c r="N721" s="3707">
        <v>46128</v>
      </c>
      <c r="O721" s="3708" t="s">
        <v>8122</v>
      </c>
      <c r="P721" s="3700" t="s">
        <v>82</v>
      </c>
      <c r="Q721" s="4145">
        <v>1200</v>
      </c>
      <c r="R721" s="4157">
        <f t="shared" si="427"/>
        <v>0</v>
      </c>
      <c r="S721" s="4170" t="s">
        <v>2297</v>
      </c>
      <c r="T721" s="4145" t="s">
        <v>321</v>
      </c>
      <c r="U721" s="3726" t="s">
        <v>5762</v>
      </c>
      <c r="V721" s="3709" t="s">
        <v>8123</v>
      </c>
      <c r="W721" s="4212"/>
      <c r="X721" s="3711" t="s">
        <v>98</v>
      </c>
      <c r="Y721" s="3709" t="s">
        <v>937</v>
      </c>
      <c r="Z721" s="3699"/>
      <c r="AA721" s="3715" t="s">
        <v>8124</v>
      </c>
      <c r="AB721" s="4213" t="s">
        <v>614</v>
      </c>
      <c r="AC721" s="3715">
        <v>31.3876</v>
      </c>
      <c r="AD721" s="3699">
        <f>AC721*L721</f>
        <v>3138.76</v>
      </c>
      <c r="AE721" s="3700"/>
      <c r="AF721" s="3700" t="s">
        <v>7968</v>
      </c>
      <c r="AG721" s="3700" t="s">
        <v>416</v>
      </c>
      <c r="AH721" s="4119"/>
      <c r="AI721" s="3700"/>
      <c r="AJ721" s="3699"/>
      <c r="AK721" s="4113"/>
      <c r="AL721" s="3759">
        <f>I721</f>
        <v>1200</v>
      </c>
      <c r="AM721" s="4113"/>
      <c r="AN721" s="4120"/>
      <c r="AO721" s="3759"/>
      <c r="AP721" s="4120"/>
      <c r="AQ721" s="3759">
        <f t="shared" si="386"/>
        <v>1200</v>
      </c>
      <c r="AR721" s="4120"/>
      <c r="AS721" s="3759"/>
      <c r="AT721" s="4120">
        <f t="shared" si="428"/>
        <v>1200</v>
      </c>
      <c r="AU721" s="3759"/>
      <c r="AV721" s="3759"/>
      <c r="AW721" s="3759"/>
      <c r="AX721" s="3759"/>
      <c r="AY721" s="3759"/>
      <c r="AZ721" s="3759"/>
      <c r="BA721" s="3759"/>
      <c r="BB721" s="3759"/>
      <c r="BC721" s="3759"/>
      <c r="BD721" s="4120"/>
      <c r="BE721" s="3759"/>
      <c r="BF721" s="3759"/>
      <c r="BG721" s="3759"/>
      <c r="BH721" s="3759"/>
      <c r="BI721" s="3759" t="s">
        <v>89</v>
      </c>
      <c r="BJ721" s="3765">
        <f t="shared" si="429"/>
        <v>180</v>
      </c>
      <c r="BK721" s="3765">
        <f t="shared" si="430"/>
        <v>40</v>
      </c>
      <c r="BL721" s="3765">
        <f t="shared" si="431"/>
        <v>100</v>
      </c>
      <c r="BM721" s="4206">
        <f t="shared" si="432"/>
        <v>180</v>
      </c>
      <c r="BN721" s="3760">
        <f t="shared" si="433"/>
        <v>240</v>
      </c>
      <c r="BO721" s="4207">
        <f t="shared" si="434"/>
        <v>300</v>
      </c>
      <c r="BP721" s="3760">
        <f t="shared" si="435"/>
        <v>160</v>
      </c>
      <c r="BQ721" s="4122">
        <f t="shared" si="414"/>
        <v>1200</v>
      </c>
      <c r="BR721" s="3721">
        <f t="shared" ref="BR721:BR741" si="436">I721-BQ721</f>
        <v>0</v>
      </c>
    </row>
    <row r="722" s="3567" customFormat="1" ht="50" customHeight="1" spans="1:70">
      <c r="A722" s="4112">
        <v>46091</v>
      </c>
      <c r="B722" s="3766" t="s">
        <v>7060</v>
      </c>
      <c r="C722" s="3766" t="s">
        <v>91</v>
      </c>
      <c r="D722" s="3699">
        <v>4500195786</v>
      </c>
      <c r="E722" s="3699" t="s">
        <v>8125</v>
      </c>
      <c r="F722" s="3699" t="s">
        <v>8126</v>
      </c>
      <c r="G722" s="3700" t="s">
        <v>6254</v>
      </c>
      <c r="H722" s="3699" t="s">
        <v>6063</v>
      </c>
      <c r="I722" s="4175">
        <v>1536</v>
      </c>
      <c r="J722" s="3699">
        <v>0</v>
      </c>
      <c r="K722" s="3699">
        <v>6</v>
      </c>
      <c r="L722" s="4113">
        <f t="shared" si="412"/>
        <v>256</v>
      </c>
      <c r="M722" s="3707">
        <v>46132</v>
      </c>
      <c r="N722" s="3707">
        <v>46128</v>
      </c>
      <c r="O722" s="3708"/>
      <c r="P722" s="3700" t="s">
        <v>82</v>
      </c>
      <c r="Q722" s="4145">
        <v>1536</v>
      </c>
      <c r="R722" s="4157">
        <f t="shared" si="427"/>
        <v>0</v>
      </c>
      <c r="S722" s="4170" t="s">
        <v>98</v>
      </c>
      <c r="T722" s="4145" t="s">
        <v>321</v>
      </c>
      <c r="U722" s="3726" t="s">
        <v>8127</v>
      </c>
      <c r="V722" s="3709" t="s">
        <v>3462</v>
      </c>
      <c r="W722" s="4212"/>
      <c r="X722" s="3711" t="s">
        <v>98</v>
      </c>
      <c r="Y722" s="3709"/>
      <c r="Z722" s="3699"/>
      <c r="AA722" s="3715" t="s">
        <v>8128</v>
      </c>
      <c r="AB722" s="4213" t="s">
        <v>2802</v>
      </c>
      <c r="AC722" s="3699">
        <v>1.3889</v>
      </c>
      <c r="AD722" s="3699">
        <f t="shared" ref="AD722:AD752" si="437">AC722*I722</f>
        <v>2133.3504</v>
      </c>
      <c r="AE722" s="3700"/>
      <c r="AF722" s="3700" t="s">
        <v>6254</v>
      </c>
      <c r="AG722" s="3700" t="s">
        <v>416</v>
      </c>
      <c r="AH722" s="4119"/>
      <c r="AI722" s="3700"/>
      <c r="AJ722" s="3699"/>
      <c r="AK722" s="4113"/>
      <c r="AL722" s="3759">
        <f>I722</f>
        <v>1536</v>
      </c>
      <c r="AM722" s="4113"/>
      <c r="AN722" s="4120"/>
      <c r="AO722" s="3759"/>
      <c r="AP722" s="4120"/>
      <c r="AQ722" s="3759">
        <f t="shared" si="386"/>
        <v>1536</v>
      </c>
      <c r="AR722" s="4120"/>
      <c r="AS722" s="3759"/>
      <c r="AT722" s="4120">
        <f t="shared" si="428"/>
        <v>1536</v>
      </c>
      <c r="AU722" s="3759"/>
      <c r="AV722" s="3759"/>
      <c r="AW722" s="3759"/>
      <c r="AX722" s="3759"/>
      <c r="AY722" s="3759"/>
      <c r="AZ722" s="3759">
        <f>I722/6</f>
        <v>256</v>
      </c>
      <c r="BA722" s="3759"/>
      <c r="BB722" s="3759"/>
      <c r="BC722" s="3759"/>
      <c r="BD722" s="4120"/>
      <c r="BE722" s="3759"/>
      <c r="BF722" s="3759"/>
      <c r="BG722" s="3759"/>
      <c r="BH722" s="3759"/>
      <c r="BI722" s="3759" t="s">
        <v>89</v>
      </c>
      <c r="BJ722" s="3765">
        <f t="shared" si="429"/>
        <v>230.4</v>
      </c>
      <c r="BK722" s="3765">
        <f t="shared" si="430"/>
        <v>51.2</v>
      </c>
      <c r="BL722" s="3765">
        <f t="shared" si="431"/>
        <v>128</v>
      </c>
      <c r="BM722" s="4206">
        <f t="shared" si="432"/>
        <v>230.4</v>
      </c>
      <c r="BN722" s="3760">
        <f t="shared" si="433"/>
        <v>307.2</v>
      </c>
      <c r="BO722" s="4207">
        <f t="shared" si="434"/>
        <v>384</v>
      </c>
      <c r="BP722" s="3760">
        <f t="shared" si="435"/>
        <v>204.8</v>
      </c>
      <c r="BQ722" s="3721">
        <f t="shared" si="414"/>
        <v>1536</v>
      </c>
      <c r="BR722" s="3721">
        <f t="shared" si="436"/>
        <v>0</v>
      </c>
    </row>
    <row r="723" s="3567" customFormat="1" ht="50" customHeight="1" spans="1:70">
      <c r="A723" s="4112">
        <v>46091</v>
      </c>
      <c r="B723" s="3766" t="s">
        <v>7822</v>
      </c>
      <c r="C723" s="3766" t="s">
        <v>6225</v>
      </c>
      <c r="D723" s="3699">
        <v>4500195859</v>
      </c>
      <c r="E723" s="3699"/>
      <c r="F723" s="3699" t="s">
        <v>8129</v>
      </c>
      <c r="G723" s="3700" t="s">
        <v>6228</v>
      </c>
      <c r="H723" s="3699" t="s">
        <v>6063</v>
      </c>
      <c r="I723" s="4175">
        <v>888</v>
      </c>
      <c r="J723" s="3699">
        <v>0</v>
      </c>
      <c r="K723" s="3699">
        <v>6</v>
      </c>
      <c r="L723" s="4113">
        <f t="shared" si="412"/>
        <v>148</v>
      </c>
      <c r="M723" s="3707">
        <v>46132</v>
      </c>
      <c r="N723" s="3707">
        <v>46128</v>
      </c>
      <c r="O723" s="3708"/>
      <c r="P723" s="3700" t="s">
        <v>82</v>
      </c>
      <c r="Q723" s="4145">
        <v>888</v>
      </c>
      <c r="R723" s="4157">
        <f t="shared" si="427"/>
        <v>0</v>
      </c>
      <c r="S723" s="4170" t="s">
        <v>2297</v>
      </c>
      <c r="T723" s="4145" t="s">
        <v>321</v>
      </c>
      <c r="U723" s="3726" t="s">
        <v>1115</v>
      </c>
      <c r="V723" s="3709" t="s">
        <v>8123</v>
      </c>
      <c r="W723" s="4212"/>
      <c r="X723" s="3711" t="s">
        <v>8130</v>
      </c>
      <c r="Y723" s="3709"/>
      <c r="Z723" s="3699"/>
      <c r="AA723" s="3715" t="s">
        <v>8131</v>
      </c>
      <c r="AB723" s="4213" t="s">
        <v>6785</v>
      </c>
      <c r="AC723" s="3699">
        <v>2.2713</v>
      </c>
      <c r="AD723" s="3699">
        <f t="shared" si="437"/>
        <v>2016.9144</v>
      </c>
      <c r="AE723" s="3700"/>
      <c r="AF723" s="3700" t="s">
        <v>7508</v>
      </c>
      <c r="AG723" s="3700" t="s">
        <v>416</v>
      </c>
      <c r="AH723" s="4119"/>
      <c r="AI723" s="3700"/>
      <c r="AJ723" s="3699"/>
      <c r="AK723" s="4113"/>
      <c r="AL723" s="3759"/>
      <c r="AM723" s="4113"/>
      <c r="AN723" s="4120">
        <f>I723</f>
        <v>888</v>
      </c>
      <c r="AO723" s="3759"/>
      <c r="AP723" s="4120"/>
      <c r="AQ723" s="3759">
        <f t="shared" ref="AQ723:AQ758" si="438">I723</f>
        <v>888</v>
      </c>
      <c r="AR723" s="4120"/>
      <c r="AS723" s="3759"/>
      <c r="AT723" s="4120"/>
      <c r="AU723" s="3759"/>
      <c r="AV723" s="3759">
        <f>I723</f>
        <v>888</v>
      </c>
      <c r="AW723" s="3759"/>
      <c r="AX723" s="3759"/>
      <c r="AY723" s="3759"/>
      <c r="AZ723" s="3759">
        <f>I723/6</f>
        <v>148</v>
      </c>
      <c r="BA723" s="3759"/>
      <c r="BB723" s="3759"/>
      <c r="BC723" s="3759"/>
      <c r="BD723" s="4120"/>
      <c r="BE723" s="3759"/>
      <c r="BF723" s="3759"/>
      <c r="BG723" s="3759"/>
      <c r="BH723" s="3759"/>
      <c r="BI723" s="3759" t="s">
        <v>89</v>
      </c>
      <c r="BJ723" s="3765">
        <f t="shared" si="429"/>
        <v>133.2</v>
      </c>
      <c r="BK723" s="3765">
        <f t="shared" si="430"/>
        <v>29.6</v>
      </c>
      <c r="BL723" s="3765">
        <f t="shared" si="431"/>
        <v>74</v>
      </c>
      <c r="BM723" s="4206">
        <f t="shared" si="432"/>
        <v>133.2</v>
      </c>
      <c r="BN723" s="3760">
        <f t="shared" si="433"/>
        <v>177.6</v>
      </c>
      <c r="BO723" s="4207">
        <f t="shared" si="434"/>
        <v>222</v>
      </c>
      <c r="BP723" s="3760">
        <f t="shared" si="435"/>
        <v>118.4</v>
      </c>
      <c r="BQ723" s="3724">
        <f t="shared" si="414"/>
        <v>888</v>
      </c>
      <c r="BR723" s="3721">
        <f t="shared" si="436"/>
        <v>0</v>
      </c>
    </row>
    <row r="724" s="3567" customFormat="1" ht="50" customHeight="1" spans="1:70">
      <c r="A724" s="4112">
        <v>46101</v>
      </c>
      <c r="B724" s="3766" t="s">
        <v>7632</v>
      </c>
      <c r="C724" s="3700" t="s">
        <v>1385</v>
      </c>
      <c r="D724" s="3699">
        <v>4500197857</v>
      </c>
      <c r="E724" s="3699"/>
      <c r="F724" s="3700" t="s">
        <v>8132</v>
      </c>
      <c r="G724" s="3700" t="s">
        <v>6195</v>
      </c>
      <c r="H724" s="3699" t="s">
        <v>6063</v>
      </c>
      <c r="I724" s="3699">
        <v>720</v>
      </c>
      <c r="J724" s="3699">
        <v>0</v>
      </c>
      <c r="K724" s="3699">
        <v>12</v>
      </c>
      <c r="L724" s="4113">
        <f t="shared" si="412"/>
        <v>60</v>
      </c>
      <c r="M724" s="3707">
        <v>46136</v>
      </c>
      <c r="N724" s="3707">
        <v>46132</v>
      </c>
      <c r="O724" s="3699"/>
      <c r="P724" s="3700" t="s">
        <v>82</v>
      </c>
      <c r="Q724" s="4145">
        <v>720</v>
      </c>
      <c r="R724" s="4157">
        <f t="shared" si="427"/>
        <v>0</v>
      </c>
      <c r="S724" s="4145" t="s">
        <v>98</v>
      </c>
      <c r="T724" s="4145" t="s">
        <v>321</v>
      </c>
      <c r="U724" s="3680" t="s">
        <v>1004</v>
      </c>
      <c r="V724" s="4214" t="s">
        <v>3462</v>
      </c>
      <c r="W724" s="4214"/>
      <c r="X724" s="4214" t="s">
        <v>98</v>
      </c>
      <c r="Y724" s="4214"/>
      <c r="Z724" s="3700"/>
      <c r="AA724" s="3713" t="s">
        <v>8133</v>
      </c>
      <c r="AB724" s="2958" t="s">
        <v>2141</v>
      </c>
      <c r="AC724" s="3770">
        <v>2.31</v>
      </c>
      <c r="AD724" s="3699">
        <f t="shared" si="437"/>
        <v>1663.2</v>
      </c>
      <c r="AE724" s="3715"/>
      <c r="AF724" s="3700" t="s">
        <v>6195</v>
      </c>
      <c r="AG724" s="3680" t="s">
        <v>416</v>
      </c>
      <c r="AH724" s="3680"/>
      <c r="AI724" s="3680"/>
      <c r="AJ724" s="3680"/>
      <c r="AK724" s="3700"/>
      <c r="AL724" s="3700">
        <f>I724</f>
        <v>720</v>
      </c>
      <c r="AM724" s="3700"/>
      <c r="AN724" s="3700"/>
      <c r="AO724" s="3700"/>
      <c r="AP724" s="3699"/>
      <c r="AQ724" s="3699">
        <f t="shared" si="438"/>
        <v>720</v>
      </c>
      <c r="AR724" s="3759"/>
      <c r="AS724" s="3759"/>
      <c r="AT724" s="3759">
        <f>I724</f>
        <v>720</v>
      </c>
      <c r="AU724" s="3759"/>
      <c r="AV724" s="3759"/>
      <c r="AW724" s="3759"/>
      <c r="AX724" s="3759"/>
      <c r="AY724" s="3759"/>
      <c r="AZ724" s="3759">
        <f>I724/6</f>
        <v>120</v>
      </c>
      <c r="BA724" s="3759"/>
      <c r="BB724" s="3759"/>
      <c r="BC724" s="3759"/>
      <c r="BD724" s="4120"/>
      <c r="BE724" s="3759"/>
      <c r="BF724" s="3759"/>
      <c r="BG724" s="3759"/>
      <c r="BH724" s="3759"/>
      <c r="BI724" s="3759" t="s">
        <v>89</v>
      </c>
      <c r="BJ724" s="3759">
        <f>I724/60*2</f>
        <v>24</v>
      </c>
      <c r="BK724" s="3759">
        <f>I724/60*10</f>
        <v>120</v>
      </c>
      <c r="BL724" s="3759">
        <f>I724/60*10</f>
        <v>120</v>
      </c>
      <c r="BM724" s="3759">
        <f>I724/60*8</f>
        <v>96</v>
      </c>
      <c r="BN724" s="3721">
        <f>I724/60*10</f>
        <v>120</v>
      </c>
      <c r="BO724" s="3791">
        <f>I724/60*10</f>
        <v>120</v>
      </c>
      <c r="BP724" s="3721">
        <f>I724/60*10</f>
        <v>120</v>
      </c>
      <c r="BQ724" s="3721">
        <f t="shared" si="414"/>
        <v>720</v>
      </c>
      <c r="BR724" s="3721">
        <f t="shared" si="436"/>
        <v>0</v>
      </c>
    </row>
    <row r="725" s="3567" customFormat="1" ht="50" customHeight="1" spans="1:70">
      <c r="A725" s="4112">
        <v>46094</v>
      </c>
      <c r="B725" s="3766" t="s">
        <v>1409</v>
      </c>
      <c r="C725" s="3766" t="s">
        <v>1410</v>
      </c>
      <c r="D725" s="3699">
        <v>4500196664</v>
      </c>
      <c r="E725" s="3700" t="s">
        <v>5773</v>
      </c>
      <c r="F725" s="3699" t="s">
        <v>8134</v>
      </c>
      <c r="G725" s="3700" t="s">
        <v>3520</v>
      </c>
      <c r="H725" s="3699" t="s">
        <v>6063</v>
      </c>
      <c r="I725" s="4175">
        <v>576</v>
      </c>
      <c r="J725" s="3699">
        <v>0</v>
      </c>
      <c r="K725" s="3699">
        <v>24</v>
      </c>
      <c r="L725" s="4113">
        <f t="shared" si="412"/>
        <v>24</v>
      </c>
      <c r="M725" s="3707">
        <v>46139</v>
      </c>
      <c r="N725" s="3707">
        <v>46135</v>
      </c>
      <c r="O725" s="3708"/>
      <c r="P725" s="3700" t="s">
        <v>82</v>
      </c>
      <c r="Q725" s="4145">
        <v>576</v>
      </c>
      <c r="R725" s="4157">
        <f t="shared" si="427"/>
        <v>0</v>
      </c>
      <c r="S725" s="4145" t="s">
        <v>98</v>
      </c>
      <c r="T725" s="4145" t="s">
        <v>321</v>
      </c>
      <c r="U725" s="3726" t="s">
        <v>3367</v>
      </c>
      <c r="V725" s="3711" t="s">
        <v>1124</v>
      </c>
      <c r="W725" s="4212"/>
      <c r="X725" s="3711" t="s">
        <v>98</v>
      </c>
      <c r="Y725" s="3709"/>
      <c r="Z725" s="3699"/>
      <c r="AA725" s="3715" t="s">
        <v>8135</v>
      </c>
      <c r="AB725" s="4213" t="s">
        <v>892</v>
      </c>
      <c r="AC725" s="3715">
        <v>2.2545</v>
      </c>
      <c r="AD725" s="3699">
        <f t="shared" si="437"/>
        <v>1298.592</v>
      </c>
      <c r="AE725" s="3700"/>
      <c r="AF725" s="3700" t="s">
        <v>3520</v>
      </c>
      <c r="AG725" s="3700" t="s">
        <v>416</v>
      </c>
      <c r="AH725" s="4119"/>
      <c r="AI725" s="3700"/>
      <c r="AJ725" s="3699"/>
      <c r="AK725" s="4113"/>
      <c r="AL725" s="3759">
        <f>I725</f>
        <v>576</v>
      </c>
      <c r="AM725" s="4113"/>
      <c r="AN725" s="4120"/>
      <c r="AO725" s="3759"/>
      <c r="AP725" s="4120"/>
      <c r="AQ725" s="3759">
        <f t="shared" si="438"/>
        <v>576</v>
      </c>
      <c r="AR725" s="4120"/>
      <c r="AS725" s="3759"/>
      <c r="AT725" s="4120">
        <f>I725</f>
        <v>576</v>
      </c>
      <c r="AU725" s="3759"/>
      <c r="AV725" s="3759"/>
      <c r="AW725" s="3759"/>
      <c r="AX725" s="3759"/>
      <c r="AY725" s="3759"/>
      <c r="AZ725" s="3759"/>
      <c r="BA725" s="3759"/>
      <c r="BB725" s="3759"/>
      <c r="BC725" s="3759"/>
      <c r="BD725" s="4120"/>
      <c r="BE725" s="3759"/>
      <c r="BF725" s="3759"/>
      <c r="BG725" s="3759"/>
      <c r="BH725" s="3759"/>
      <c r="BI725" s="3759" t="s">
        <v>89</v>
      </c>
      <c r="BJ725" s="3759">
        <f>I725/60*2</f>
        <v>19.2</v>
      </c>
      <c r="BK725" s="3759">
        <f>I725/60*10</f>
        <v>96</v>
      </c>
      <c r="BL725" s="3759">
        <f>I725/60*10</f>
        <v>96</v>
      </c>
      <c r="BM725" s="4146">
        <f>I725/60*8</f>
        <v>76.8</v>
      </c>
      <c r="BN725" s="3721">
        <f>I725/60*10</f>
        <v>96</v>
      </c>
      <c r="BO725" s="3791">
        <f>I725/60*10</f>
        <v>96</v>
      </c>
      <c r="BP725" s="3721">
        <f>I725/60*10</f>
        <v>96</v>
      </c>
      <c r="BQ725" s="3724">
        <f t="shared" si="414"/>
        <v>576</v>
      </c>
      <c r="BR725" s="3721">
        <f t="shared" si="436"/>
        <v>0</v>
      </c>
    </row>
    <row r="726" s="3567" customFormat="1" ht="50" customHeight="1" spans="1:70">
      <c r="A726" s="4112">
        <v>46080</v>
      </c>
      <c r="B726" s="3766" t="s">
        <v>4913</v>
      </c>
      <c r="C726" s="3766" t="s">
        <v>91</v>
      </c>
      <c r="D726" s="3699">
        <v>4500194509</v>
      </c>
      <c r="E726" s="3699" t="s">
        <v>8136</v>
      </c>
      <c r="F726" s="3700" t="s">
        <v>8137</v>
      </c>
      <c r="G726" s="3700" t="s">
        <v>6528</v>
      </c>
      <c r="H726" s="3700" t="s">
        <v>6529</v>
      </c>
      <c r="I726" s="3699">
        <v>96</v>
      </c>
      <c r="J726" s="3699">
        <v>0</v>
      </c>
      <c r="K726" s="3699">
        <v>32</v>
      </c>
      <c r="L726" s="4113">
        <f t="shared" si="412"/>
        <v>3</v>
      </c>
      <c r="M726" s="3707">
        <v>46135</v>
      </c>
      <c r="N726" s="3707">
        <v>46132</v>
      </c>
      <c r="O726" s="3708" t="s">
        <v>8138</v>
      </c>
      <c r="P726" s="3700" t="s">
        <v>82</v>
      </c>
      <c r="Q726" s="4145">
        <v>96</v>
      </c>
      <c r="R726" s="4157">
        <f t="shared" si="427"/>
        <v>0</v>
      </c>
      <c r="S726" s="4170" t="s">
        <v>2297</v>
      </c>
      <c r="T726" s="4145" t="s">
        <v>321</v>
      </c>
      <c r="U726" s="3726" t="s">
        <v>1050</v>
      </c>
      <c r="V726" s="3709" t="s">
        <v>999</v>
      </c>
      <c r="W726" s="4212"/>
      <c r="X726" s="3711" t="s">
        <v>98</v>
      </c>
      <c r="Y726" s="3711" t="s">
        <v>8139</v>
      </c>
      <c r="Z726" s="3699"/>
      <c r="AA726" s="3715" t="s">
        <v>8140</v>
      </c>
      <c r="AB726" s="4213" t="s">
        <v>1024</v>
      </c>
      <c r="AC726" s="3714">
        <v>1.3895</v>
      </c>
      <c r="AD726" s="3699">
        <f t="shared" si="437"/>
        <v>133.392</v>
      </c>
      <c r="AE726" s="3700"/>
      <c r="AF726" s="3700" t="s">
        <v>6528</v>
      </c>
      <c r="AG726" s="3700" t="s">
        <v>416</v>
      </c>
      <c r="AH726" s="4119"/>
      <c r="AI726" s="3700"/>
      <c r="AJ726" s="3699"/>
      <c r="AK726" s="4113"/>
      <c r="AL726" s="3759">
        <f t="shared" ref="AL726:AL732" si="439">I726</f>
        <v>96</v>
      </c>
      <c r="AM726" s="4113"/>
      <c r="AN726" s="4120"/>
      <c r="AO726" s="3759"/>
      <c r="AP726" s="4120"/>
      <c r="AQ726" s="3759">
        <f t="shared" si="438"/>
        <v>96</v>
      </c>
      <c r="AR726" s="4120"/>
      <c r="AS726" s="3759"/>
      <c r="AT726" s="4120">
        <f t="shared" ref="AT726:AT732" si="440">I726</f>
        <v>96</v>
      </c>
      <c r="AU726" s="3759"/>
      <c r="AV726" s="3759"/>
      <c r="AW726" s="3759"/>
      <c r="AX726" s="3759"/>
      <c r="AY726" s="3759"/>
      <c r="AZ726" s="3759"/>
      <c r="BA726" s="3759"/>
      <c r="BB726" s="3759"/>
      <c r="BC726" s="3759"/>
      <c r="BD726" s="4120"/>
      <c r="BE726" s="3759"/>
      <c r="BF726" s="3759"/>
      <c r="BG726" s="3759"/>
      <c r="BH726" s="3759"/>
      <c r="BI726" s="3759" t="s">
        <v>89</v>
      </c>
      <c r="BJ726" s="3759">
        <f t="shared" ref="BJ726:BJ731" si="441">I726/60*2</f>
        <v>3.2</v>
      </c>
      <c r="BK726" s="3759"/>
      <c r="BL726" s="3759"/>
      <c r="BM726" s="3759">
        <f t="shared" ref="BM726:BM731" si="442">I726-BJ726</f>
        <v>92.8</v>
      </c>
      <c r="BN726" s="3721"/>
      <c r="BO726" s="3791"/>
      <c r="BP726" s="3721"/>
      <c r="BQ726" s="3721">
        <f t="shared" si="414"/>
        <v>96</v>
      </c>
      <c r="BR726" s="3721">
        <f t="shared" si="436"/>
        <v>0</v>
      </c>
    </row>
    <row r="727" s="3567" customFormat="1" ht="50" customHeight="1" spans="1:70">
      <c r="A727" s="4112">
        <v>46080</v>
      </c>
      <c r="B727" s="3766" t="s">
        <v>4913</v>
      </c>
      <c r="C727" s="3766" t="s">
        <v>91</v>
      </c>
      <c r="D727" s="3699">
        <v>4500194511</v>
      </c>
      <c r="E727" s="3699" t="s">
        <v>8141</v>
      </c>
      <c r="F727" s="3700" t="s">
        <v>8142</v>
      </c>
      <c r="G727" s="3700" t="s">
        <v>6528</v>
      </c>
      <c r="H727" s="3700" t="s">
        <v>6529</v>
      </c>
      <c r="I727" s="3699">
        <v>128</v>
      </c>
      <c r="J727" s="3699">
        <v>0</v>
      </c>
      <c r="K727" s="3699">
        <v>32</v>
      </c>
      <c r="L727" s="4113">
        <f t="shared" si="412"/>
        <v>4</v>
      </c>
      <c r="M727" s="3707">
        <v>46135</v>
      </c>
      <c r="N727" s="3707">
        <v>46132</v>
      </c>
      <c r="O727" s="3708" t="s">
        <v>8138</v>
      </c>
      <c r="P727" s="3700" t="s">
        <v>82</v>
      </c>
      <c r="Q727" s="4145">
        <v>128</v>
      </c>
      <c r="R727" s="4157">
        <f t="shared" si="427"/>
        <v>0</v>
      </c>
      <c r="S727" s="4170" t="s">
        <v>2297</v>
      </c>
      <c r="T727" s="4145" t="s">
        <v>321</v>
      </c>
      <c r="U727" s="3726" t="s">
        <v>1050</v>
      </c>
      <c r="V727" s="3709" t="s">
        <v>999</v>
      </c>
      <c r="W727" s="4212"/>
      <c r="X727" s="3711" t="s">
        <v>98</v>
      </c>
      <c r="Y727" s="3711" t="s">
        <v>8139</v>
      </c>
      <c r="Z727" s="3699"/>
      <c r="AA727" s="3715" t="s">
        <v>8140</v>
      </c>
      <c r="AB727" s="4213" t="s">
        <v>1024</v>
      </c>
      <c r="AC727" s="3714">
        <v>1.3895</v>
      </c>
      <c r="AD727" s="3699">
        <f t="shared" si="437"/>
        <v>177.856</v>
      </c>
      <c r="AE727" s="3700"/>
      <c r="AF727" s="3700" t="s">
        <v>6528</v>
      </c>
      <c r="AG727" s="3700" t="s">
        <v>416</v>
      </c>
      <c r="AH727" s="4119"/>
      <c r="AI727" s="3700"/>
      <c r="AJ727" s="3699"/>
      <c r="AK727" s="4113"/>
      <c r="AL727" s="3759">
        <f t="shared" si="439"/>
        <v>128</v>
      </c>
      <c r="AM727" s="4113"/>
      <c r="AN727" s="4120"/>
      <c r="AO727" s="3759"/>
      <c r="AP727" s="4120"/>
      <c r="AQ727" s="3759">
        <f t="shared" si="438"/>
        <v>128</v>
      </c>
      <c r="AR727" s="4120"/>
      <c r="AS727" s="3759"/>
      <c r="AT727" s="4120">
        <f t="shared" si="440"/>
        <v>128</v>
      </c>
      <c r="AU727" s="3759"/>
      <c r="AV727" s="3759"/>
      <c r="AW727" s="3759"/>
      <c r="AX727" s="3759"/>
      <c r="AY727" s="3759"/>
      <c r="AZ727" s="3759"/>
      <c r="BA727" s="3759"/>
      <c r="BB727" s="3759"/>
      <c r="BC727" s="3759"/>
      <c r="BD727" s="4120"/>
      <c r="BE727" s="3759"/>
      <c r="BF727" s="3759"/>
      <c r="BG727" s="3759"/>
      <c r="BH727" s="3759"/>
      <c r="BI727" s="3759" t="s">
        <v>89</v>
      </c>
      <c r="BJ727" s="3759">
        <f t="shared" si="441"/>
        <v>4.26666666666667</v>
      </c>
      <c r="BK727" s="3759"/>
      <c r="BL727" s="3759"/>
      <c r="BM727" s="3759">
        <f t="shared" si="442"/>
        <v>123.733333333333</v>
      </c>
      <c r="BN727" s="3721"/>
      <c r="BO727" s="3791"/>
      <c r="BP727" s="3721"/>
      <c r="BQ727" s="3721">
        <f t="shared" si="414"/>
        <v>128</v>
      </c>
      <c r="BR727" s="3721">
        <f t="shared" si="436"/>
        <v>0</v>
      </c>
    </row>
    <row r="728" s="3567" customFormat="1" ht="50" customHeight="1" spans="1:70">
      <c r="A728" s="4112">
        <v>46080</v>
      </c>
      <c r="B728" s="3766" t="s">
        <v>4913</v>
      </c>
      <c r="C728" s="3766" t="s">
        <v>91</v>
      </c>
      <c r="D728" s="3699">
        <v>4500194504</v>
      </c>
      <c r="E728" s="3699" t="s">
        <v>8143</v>
      </c>
      <c r="F728" s="3700" t="s">
        <v>8144</v>
      </c>
      <c r="G728" s="3700" t="s">
        <v>6528</v>
      </c>
      <c r="H728" s="3700" t="s">
        <v>6529</v>
      </c>
      <c r="I728" s="3699">
        <v>192</v>
      </c>
      <c r="J728" s="3699">
        <v>0</v>
      </c>
      <c r="K728" s="3699">
        <v>32</v>
      </c>
      <c r="L728" s="4113">
        <f t="shared" si="412"/>
        <v>6</v>
      </c>
      <c r="M728" s="3707">
        <v>46135</v>
      </c>
      <c r="N728" s="3707">
        <v>46132</v>
      </c>
      <c r="O728" s="3708" t="s">
        <v>8138</v>
      </c>
      <c r="P728" s="3700" t="s">
        <v>82</v>
      </c>
      <c r="Q728" s="4145">
        <v>192</v>
      </c>
      <c r="R728" s="4157">
        <f t="shared" si="427"/>
        <v>0</v>
      </c>
      <c r="S728" s="4170" t="s">
        <v>2297</v>
      </c>
      <c r="T728" s="4145" t="s">
        <v>321</v>
      </c>
      <c r="U728" s="3726" t="s">
        <v>5762</v>
      </c>
      <c r="V728" s="3709" t="s">
        <v>999</v>
      </c>
      <c r="W728" s="4212"/>
      <c r="X728" s="3711" t="s">
        <v>98</v>
      </c>
      <c r="Y728" s="3711" t="s">
        <v>8139</v>
      </c>
      <c r="Z728" s="3699"/>
      <c r="AA728" s="3715" t="s">
        <v>7651</v>
      </c>
      <c r="AB728" s="4213" t="s">
        <v>1024</v>
      </c>
      <c r="AC728" s="3714">
        <v>1.3895</v>
      </c>
      <c r="AD728" s="3699">
        <f t="shared" si="437"/>
        <v>266.784</v>
      </c>
      <c r="AE728" s="3700"/>
      <c r="AF728" s="3700" t="s">
        <v>6528</v>
      </c>
      <c r="AG728" s="3700" t="s">
        <v>416</v>
      </c>
      <c r="AH728" s="4119"/>
      <c r="AI728" s="3700"/>
      <c r="AJ728" s="3699"/>
      <c r="AK728" s="4113"/>
      <c r="AL728" s="3759">
        <f t="shared" si="439"/>
        <v>192</v>
      </c>
      <c r="AM728" s="4113"/>
      <c r="AN728" s="4120"/>
      <c r="AO728" s="3759"/>
      <c r="AP728" s="4120"/>
      <c r="AQ728" s="3759">
        <f t="shared" si="438"/>
        <v>192</v>
      </c>
      <c r="AR728" s="4120"/>
      <c r="AS728" s="3759"/>
      <c r="AT728" s="4120">
        <f t="shared" si="440"/>
        <v>192</v>
      </c>
      <c r="AU728" s="3759"/>
      <c r="AV728" s="3759"/>
      <c r="AW728" s="3759"/>
      <c r="AX728" s="3759"/>
      <c r="AY728" s="3759"/>
      <c r="AZ728" s="3759"/>
      <c r="BA728" s="3759"/>
      <c r="BB728" s="3759"/>
      <c r="BC728" s="3759"/>
      <c r="BD728" s="4120"/>
      <c r="BE728" s="3759"/>
      <c r="BF728" s="3759"/>
      <c r="BG728" s="3759"/>
      <c r="BH728" s="3759"/>
      <c r="BI728" s="3759" t="s">
        <v>89</v>
      </c>
      <c r="BJ728" s="3759">
        <f t="shared" si="441"/>
        <v>6.4</v>
      </c>
      <c r="BK728" s="3759"/>
      <c r="BL728" s="3759"/>
      <c r="BM728" s="3759">
        <f t="shared" si="442"/>
        <v>185.6</v>
      </c>
      <c r="BN728" s="3721"/>
      <c r="BO728" s="3791"/>
      <c r="BP728" s="3721"/>
      <c r="BQ728" s="3721">
        <f t="shared" si="414"/>
        <v>192</v>
      </c>
      <c r="BR728" s="3721">
        <f t="shared" si="436"/>
        <v>0</v>
      </c>
    </row>
    <row r="729" s="3567" customFormat="1" ht="50" customHeight="1" spans="1:70">
      <c r="A729" s="4112">
        <v>46080</v>
      </c>
      <c r="B729" s="3766" t="s">
        <v>4913</v>
      </c>
      <c r="C729" s="3766" t="s">
        <v>91</v>
      </c>
      <c r="D729" s="3699">
        <v>4500194497</v>
      </c>
      <c r="E729" s="3699" t="s">
        <v>8145</v>
      </c>
      <c r="F729" s="3700" t="s">
        <v>8146</v>
      </c>
      <c r="G729" s="3700" t="s">
        <v>6528</v>
      </c>
      <c r="H729" s="3700" t="s">
        <v>6529</v>
      </c>
      <c r="I729" s="3699">
        <v>128</v>
      </c>
      <c r="J729" s="3699">
        <v>0</v>
      </c>
      <c r="K729" s="3699">
        <v>32</v>
      </c>
      <c r="L729" s="4113">
        <f t="shared" si="412"/>
        <v>4</v>
      </c>
      <c r="M729" s="3707">
        <v>46135</v>
      </c>
      <c r="N729" s="3707">
        <v>46132</v>
      </c>
      <c r="O729" s="3708" t="s">
        <v>8138</v>
      </c>
      <c r="P729" s="3700" t="s">
        <v>82</v>
      </c>
      <c r="Q729" s="4145">
        <v>128</v>
      </c>
      <c r="R729" s="4157">
        <f t="shared" si="427"/>
        <v>0</v>
      </c>
      <c r="S729" s="4170" t="s">
        <v>2297</v>
      </c>
      <c r="T729" s="4145" t="s">
        <v>321</v>
      </c>
      <c r="U729" s="3726" t="s">
        <v>5762</v>
      </c>
      <c r="V729" s="3709" t="s">
        <v>999</v>
      </c>
      <c r="W729" s="4212"/>
      <c r="X729" s="3711" t="s">
        <v>98</v>
      </c>
      <c r="Y729" s="3711" t="s">
        <v>8139</v>
      </c>
      <c r="Z729" s="3699"/>
      <c r="AA729" s="3715" t="s">
        <v>7651</v>
      </c>
      <c r="AB729" s="4213" t="s">
        <v>1024</v>
      </c>
      <c r="AC729" s="3714">
        <v>1.3895</v>
      </c>
      <c r="AD729" s="3699">
        <f t="shared" si="437"/>
        <v>177.856</v>
      </c>
      <c r="AE729" s="3700"/>
      <c r="AF729" s="3700" t="s">
        <v>6528</v>
      </c>
      <c r="AG729" s="3700" t="s">
        <v>416</v>
      </c>
      <c r="AH729" s="4119"/>
      <c r="AI729" s="3700"/>
      <c r="AJ729" s="3699"/>
      <c r="AK729" s="4113"/>
      <c r="AL729" s="3759">
        <f t="shared" si="439"/>
        <v>128</v>
      </c>
      <c r="AM729" s="4113"/>
      <c r="AN729" s="4120"/>
      <c r="AO729" s="3759"/>
      <c r="AP729" s="4120"/>
      <c r="AQ729" s="3759">
        <f t="shared" si="438"/>
        <v>128</v>
      </c>
      <c r="AR729" s="4120"/>
      <c r="AS729" s="3759"/>
      <c r="AT729" s="4120">
        <f t="shared" si="440"/>
        <v>128</v>
      </c>
      <c r="AU729" s="3759"/>
      <c r="AV729" s="3759"/>
      <c r="AW729" s="3759"/>
      <c r="AX729" s="3759"/>
      <c r="AY729" s="3759"/>
      <c r="AZ729" s="3759"/>
      <c r="BA729" s="3759"/>
      <c r="BB729" s="3759"/>
      <c r="BC729" s="3759"/>
      <c r="BD729" s="4120"/>
      <c r="BE729" s="3759"/>
      <c r="BF729" s="3759"/>
      <c r="BG729" s="3759"/>
      <c r="BH729" s="3759"/>
      <c r="BI729" s="3759" t="s">
        <v>89</v>
      </c>
      <c r="BJ729" s="3759">
        <f t="shared" si="441"/>
        <v>4.26666666666667</v>
      </c>
      <c r="BK729" s="3759"/>
      <c r="BL729" s="3759"/>
      <c r="BM729" s="3759">
        <f t="shared" si="442"/>
        <v>123.733333333333</v>
      </c>
      <c r="BN729" s="3721"/>
      <c r="BO729" s="3791"/>
      <c r="BP729" s="3721"/>
      <c r="BQ729" s="3721">
        <f t="shared" si="414"/>
        <v>128</v>
      </c>
      <c r="BR729" s="3721">
        <f t="shared" si="436"/>
        <v>0</v>
      </c>
    </row>
    <row r="730" s="3567" customFormat="1" ht="50" customHeight="1" spans="1:70">
      <c r="A730" s="4112">
        <v>46080</v>
      </c>
      <c r="B730" s="3766" t="s">
        <v>4913</v>
      </c>
      <c r="C730" s="3766" t="s">
        <v>91</v>
      </c>
      <c r="D730" s="3699">
        <v>4500194506</v>
      </c>
      <c r="E730" s="3699" t="s">
        <v>8147</v>
      </c>
      <c r="F730" s="3700" t="s">
        <v>8148</v>
      </c>
      <c r="G730" s="3700" t="s">
        <v>6528</v>
      </c>
      <c r="H730" s="3700" t="s">
        <v>6529</v>
      </c>
      <c r="I730" s="3699">
        <v>96</v>
      </c>
      <c r="J730" s="3699">
        <v>0</v>
      </c>
      <c r="K730" s="3699">
        <v>32</v>
      </c>
      <c r="L730" s="4113">
        <f t="shared" si="412"/>
        <v>3</v>
      </c>
      <c r="M730" s="3707">
        <v>46135</v>
      </c>
      <c r="N730" s="3707">
        <v>46132</v>
      </c>
      <c r="O730" s="3708" t="s">
        <v>8138</v>
      </c>
      <c r="P730" s="3700" t="s">
        <v>82</v>
      </c>
      <c r="Q730" s="4145">
        <v>96</v>
      </c>
      <c r="R730" s="4157">
        <f t="shared" si="427"/>
        <v>0</v>
      </c>
      <c r="S730" s="4170" t="s">
        <v>2297</v>
      </c>
      <c r="T730" s="4145" t="s">
        <v>321</v>
      </c>
      <c r="U730" s="3726" t="s">
        <v>1054</v>
      </c>
      <c r="V730" s="3709" t="s">
        <v>999</v>
      </c>
      <c r="W730" s="4212"/>
      <c r="X730" s="3711" t="s">
        <v>98</v>
      </c>
      <c r="Y730" s="3711" t="s">
        <v>8139</v>
      </c>
      <c r="Z730" s="3699"/>
      <c r="AA730" s="3715" t="s">
        <v>7651</v>
      </c>
      <c r="AB730" s="4213" t="s">
        <v>1024</v>
      </c>
      <c r="AC730" s="3714">
        <v>1.3895</v>
      </c>
      <c r="AD730" s="3699">
        <f t="shared" si="437"/>
        <v>133.392</v>
      </c>
      <c r="AE730" s="3700"/>
      <c r="AF730" s="3700" t="s">
        <v>6528</v>
      </c>
      <c r="AG730" s="3700" t="s">
        <v>416</v>
      </c>
      <c r="AH730" s="4119"/>
      <c r="AI730" s="3700"/>
      <c r="AJ730" s="3699"/>
      <c r="AK730" s="4113"/>
      <c r="AL730" s="3759">
        <f t="shared" si="439"/>
        <v>96</v>
      </c>
      <c r="AM730" s="4113"/>
      <c r="AN730" s="4120"/>
      <c r="AO730" s="3759"/>
      <c r="AP730" s="4120"/>
      <c r="AQ730" s="3759">
        <f t="shared" si="438"/>
        <v>96</v>
      </c>
      <c r="AR730" s="4120"/>
      <c r="AS730" s="3759"/>
      <c r="AT730" s="4120">
        <f t="shared" si="440"/>
        <v>96</v>
      </c>
      <c r="AU730" s="3759"/>
      <c r="AV730" s="3759"/>
      <c r="AW730" s="3759"/>
      <c r="AX730" s="3759"/>
      <c r="AY730" s="3759"/>
      <c r="AZ730" s="3759"/>
      <c r="BA730" s="3759"/>
      <c r="BB730" s="3759"/>
      <c r="BC730" s="3759"/>
      <c r="BD730" s="4120"/>
      <c r="BE730" s="3759"/>
      <c r="BF730" s="3759"/>
      <c r="BG730" s="3759"/>
      <c r="BH730" s="3759"/>
      <c r="BI730" s="3759" t="s">
        <v>89</v>
      </c>
      <c r="BJ730" s="3759">
        <f t="shared" si="441"/>
        <v>3.2</v>
      </c>
      <c r="BK730" s="3759"/>
      <c r="BL730" s="3759"/>
      <c r="BM730" s="3759">
        <f t="shared" si="442"/>
        <v>92.8</v>
      </c>
      <c r="BN730" s="3721"/>
      <c r="BO730" s="3791"/>
      <c r="BP730" s="3721"/>
      <c r="BQ730" s="3721">
        <f t="shared" si="414"/>
        <v>96</v>
      </c>
      <c r="BR730" s="3721">
        <f t="shared" si="436"/>
        <v>0</v>
      </c>
    </row>
    <row r="731" s="3567" customFormat="1" ht="50" customHeight="1" spans="1:70">
      <c r="A731" s="4112">
        <v>46080</v>
      </c>
      <c r="B731" s="3766" t="s">
        <v>4913</v>
      </c>
      <c r="C731" s="3766" t="s">
        <v>91</v>
      </c>
      <c r="D731" s="3699">
        <v>4500194501</v>
      </c>
      <c r="E731" s="3699" t="s">
        <v>8149</v>
      </c>
      <c r="F731" s="3700" t="s">
        <v>8150</v>
      </c>
      <c r="G731" s="3700" t="s">
        <v>6528</v>
      </c>
      <c r="H731" s="3700" t="s">
        <v>6529</v>
      </c>
      <c r="I731" s="3699">
        <v>160</v>
      </c>
      <c r="J731" s="3699">
        <v>0</v>
      </c>
      <c r="K731" s="3699">
        <v>32</v>
      </c>
      <c r="L731" s="4113">
        <f t="shared" si="412"/>
        <v>5</v>
      </c>
      <c r="M731" s="3707">
        <v>46135</v>
      </c>
      <c r="N731" s="3707">
        <v>46132</v>
      </c>
      <c r="O731" s="3708" t="s">
        <v>8138</v>
      </c>
      <c r="P731" s="3700" t="s">
        <v>82</v>
      </c>
      <c r="Q731" s="4145">
        <v>160</v>
      </c>
      <c r="R731" s="4157">
        <f t="shared" si="427"/>
        <v>0</v>
      </c>
      <c r="S731" s="4170" t="s">
        <v>2297</v>
      </c>
      <c r="T731" s="4145" t="s">
        <v>321</v>
      </c>
      <c r="U731" s="3726" t="s">
        <v>5762</v>
      </c>
      <c r="V731" s="3709" t="s">
        <v>999</v>
      </c>
      <c r="W731" s="4212"/>
      <c r="X731" s="3711" t="s">
        <v>98</v>
      </c>
      <c r="Y731" s="3711" t="s">
        <v>8139</v>
      </c>
      <c r="Z731" s="3699"/>
      <c r="AA731" s="3715" t="s">
        <v>7651</v>
      </c>
      <c r="AB731" s="4213" t="s">
        <v>1024</v>
      </c>
      <c r="AC731" s="3714">
        <v>1.3895</v>
      </c>
      <c r="AD731" s="3699">
        <f t="shared" si="437"/>
        <v>222.32</v>
      </c>
      <c r="AE731" s="3700"/>
      <c r="AF731" s="3700" t="s">
        <v>6528</v>
      </c>
      <c r="AG731" s="3700" t="s">
        <v>416</v>
      </c>
      <c r="AH731" s="4119"/>
      <c r="AI731" s="3700"/>
      <c r="AJ731" s="3699"/>
      <c r="AK731" s="4113"/>
      <c r="AL731" s="3759">
        <f t="shared" si="439"/>
        <v>160</v>
      </c>
      <c r="AM731" s="4113"/>
      <c r="AN731" s="4120"/>
      <c r="AO731" s="3759"/>
      <c r="AP731" s="4120"/>
      <c r="AQ731" s="3759">
        <f t="shared" si="438"/>
        <v>160</v>
      </c>
      <c r="AR731" s="4120"/>
      <c r="AS731" s="3759"/>
      <c r="AT731" s="4120">
        <f t="shared" si="440"/>
        <v>160</v>
      </c>
      <c r="AU731" s="3759"/>
      <c r="AV731" s="3759"/>
      <c r="AW731" s="3759"/>
      <c r="AX731" s="3759"/>
      <c r="AY731" s="3759"/>
      <c r="AZ731" s="3759"/>
      <c r="BA731" s="3759"/>
      <c r="BB731" s="3759"/>
      <c r="BC731" s="3759"/>
      <c r="BD731" s="4120"/>
      <c r="BE731" s="3759"/>
      <c r="BF731" s="3759"/>
      <c r="BG731" s="3759"/>
      <c r="BH731" s="3759"/>
      <c r="BI731" s="3759" t="s">
        <v>89</v>
      </c>
      <c r="BJ731" s="3759">
        <f t="shared" si="441"/>
        <v>5.33333333333333</v>
      </c>
      <c r="BK731" s="3759"/>
      <c r="BL731" s="3759"/>
      <c r="BM731" s="3759">
        <f t="shared" si="442"/>
        <v>154.666666666667</v>
      </c>
      <c r="BN731" s="3721"/>
      <c r="BO731" s="3791"/>
      <c r="BP731" s="3721"/>
      <c r="BQ731" s="3721">
        <f t="shared" si="414"/>
        <v>160</v>
      </c>
      <c r="BR731" s="3721">
        <f t="shared" si="436"/>
        <v>0</v>
      </c>
    </row>
    <row r="732" s="3567" customFormat="1" ht="50" customHeight="1" spans="1:70">
      <c r="A732" s="4112">
        <v>46115</v>
      </c>
      <c r="B732" s="3766" t="s">
        <v>7482</v>
      </c>
      <c r="C732" s="3766" t="s">
        <v>91</v>
      </c>
      <c r="D732" s="3699" t="s">
        <v>8151</v>
      </c>
      <c r="E732" s="3699" t="s">
        <v>8152</v>
      </c>
      <c r="F732" s="3699" t="s">
        <v>8153</v>
      </c>
      <c r="G732" s="3700" t="s">
        <v>7968</v>
      </c>
      <c r="H732" s="3699" t="s">
        <v>7969</v>
      </c>
      <c r="I732" s="3699">
        <v>3000</v>
      </c>
      <c r="J732" s="3699">
        <v>0</v>
      </c>
      <c r="K732" s="3699">
        <v>12</v>
      </c>
      <c r="L732" s="4113">
        <f t="shared" si="412"/>
        <v>250</v>
      </c>
      <c r="M732" s="3707">
        <v>46155</v>
      </c>
      <c r="N732" s="3707">
        <v>46151</v>
      </c>
      <c r="O732" s="3708" t="s">
        <v>8154</v>
      </c>
      <c r="P732" s="4215" t="s">
        <v>82</v>
      </c>
      <c r="Q732" s="4216">
        <v>3000</v>
      </c>
      <c r="R732" s="4217">
        <f t="shared" si="427"/>
        <v>0</v>
      </c>
      <c r="S732" s="4218"/>
      <c r="T732" s="4216" t="s">
        <v>321</v>
      </c>
      <c r="U732" s="3726" t="s">
        <v>5881</v>
      </c>
      <c r="V732" s="3709" t="s">
        <v>1167</v>
      </c>
      <c r="W732" s="4212"/>
      <c r="X732" s="3711" t="s">
        <v>98</v>
      </c>
      <c r="Y732" s="3709" t="s">
        <v>8155</v>
      </c>
      <c r="Z732" s="3699"/>
      <c r="AA732" s="3715" t="s">
        <v>8156</v>
      </c>
      <c r="AB732" s="4213" t="s">
        <v>614</v>
      </c>
      <c r="AC732" s="3715">
        <v>31.3876</v>
      </c>
      <c r="AD732" s="3699">
        <f t="shared" si="437"/>
        <v>94162.8</v>
      </c>
      <c r="AE732" s="3700"/>
      <c r="AF732" s="3700" t="s">
        <v>7968</v>
      </c>
      <c r="AG732" s="3700" t="s">
        <v>416</v>
      </c>
      <c r="AH732" s="4119"/>
      <c r="AI732" s="3700"/>
      <c r="AJ732" s="3699"/>
      <c r="AK732" s="4113"/>
      <c r="AL732" s="3759">
        <f t="shared" si="439"/>
        <v>3000</v>
      </c>
      <c r="AM732" s="4113"/>
      <c r="AN732" s="4120"/>
      <c r="AO732" s="3759"/>
      <c r="AP732" s="4120"/>
      <c r="AQ732" s="3759">
        <f t="shared" si="438"/>
        <v>3000</v>
      </c>
      <c r="AR732" s="4120"/>
      <c r="AS732" s="3759"/>
      <c r="AT732" s="4120">
        <f t="shared" si="440"/>
        <v>3000</v>
      </c>
      <c r="AU732" s="3759"/>
      <c r="AV732" s="3759"/>
      <c r="AW732" s="3759"/>
      <c r="AX732" s="3759"/>
      <c r="AY732" s="3759"/>
      <c r="AZ732" s="3759"/>
      <c r="BA732" s="3759"/>
      <c r="BB732" s="3759"/>
      <c r="BC732" s="3759"/>
      <c r="BD732" s="4120"/>
      <c r="BE732" s="3759"/>
      <c r="BF732" s="3759"/>
      <c r="BG732" s="3759"/>
      <c r="BH732" s="3759"/>
      <c r="BI732" s="3759" t="s">
        <v>89</v>
      </c>
      <c r="BJ732" s="3759">
        <f>I732/60*9</f>
        <v>450</v>
      </c>
      <c r="BK732" s="3759">
        <f>I732/60*2</f>
        <v>100</v>
      </c>
      <c r="BL732" s="3759">
        <f>I732/60*5</f>
        <v>250</v>
      </c>
      <c r="BM732" s="4146">
        <f>I732/60*9</f>
        <v>450</v>
      </c>
      <c r="BN732" s="3721">
        <f>I732/60*12</f>
        <v>600</v>
      </c>
      <c r="BO732" s="3791">
        <f>I732/60*15</f>
        <v>750</v>
      </c>
      <c r="BP732" s="3721">
        <f>I732/60*8</f>
        <v>400</v>
      </c>
      <c r="BQ732" s="4122">
        <f t="shared" si="414"/>
        <v>3000</v>
      </c>
      <c r="BR732" s="3721">
        <f t="shared" si="436"/>
        <v>0</v>
      </c>
    </row>
    <row r="733" s="3567" customFormat="1" ht="50" customHeight="1" spans="1:70">
      <c r="A733" s="4112">
        <v>46114</v>
      </c>
      <c r="B733" s="3766" t="s">
        <v>8157</v>
      </c>
      <c r="C733" s="3766" t="s">
        <v>6781</v>
      </c>
      <c r="D733" s="3699" t="s">
        <v>8158</v>
      </c>
      <c r="E733" s="3700" t="s">
        <v>8159</v>
      </c>
      <c r="F733" s="3699" t="s">
        <v>8160</v>
      </c>
      <c r="G733" s="3700" t="s">
        <v>6228</v>
      </c>
      <c r="H733" s="3700" t="s">
        <v>6063</v>
      </c>
      <c r="I733" s="3699">
        <v>720</v>
      </c>
      <c r="J733" s="4175">
        <v>0</v>
      </c>
      <c r="K733" s="3699">
        <v>6</v>
      </c>
      <c r="L733" s="4113">
        <f t="shared" si="412"/>
        <v>120</v>
      </c>
      <c r="M733" s="3707">
        <v>46148</v>
      </c>
      <c r="N733" s="3707">
        <v>46144</v>
      </c>
      <c r="O733" s="3708"/>
      <c r="P733" s="3700" t="s">
        <v>82</v>
      </c>
      <c r="Q733" s="4145">
        <v>720</v>
      </c>
      <c r="R733" s="4157">
        <f t="shared" si="427"/>
        <v>0</v>
      </c>
      <c r="S733" s="4170" t="s">
        <v>2297</v>
      </c>
      <c r="T733" s="4145" t="s">
        <v>321</v>
      </c>
      <c r="U733" s="3726" t="s">
        <v>2406</v>
      </c>
      <c r="V733" s="3711" t="s">
        <v>1322</v>
      </c>
      <c r="W733" s="4212"/>
      <c r="X733" s="3711" t="s">
        <v>8161</v>
      </c>
      <c r="Y733" s="3709"/>
      <c r="Z733" s="3699"/>
      <c r="AA733" s="3715" t="s">
        <v>8162</v>
      </c>
      <c r="AB733" s="4213" t="s">
        <v>4665</v>
      </c>
      <c r="AC733" s="3715">
        <v>2.2713</v>
      </c>
      <c r="AD733" s="3699">
        <f t="shared" si="437"/>
        <v>1635.336</v>
      </c>
      <c r="AE733" s="3700"/>
      <c r="AF733" s="3700" t="s">
        <v>7508</v>
      </c>
      <c r="AG733" s="3700" t="s">
        <v>416</v>
      </c>
      <c r="AH733" s="4119"/>
      <c r="AI733" s="3700"/>
      <c r="AJ733" s="3699"/>
      <c r="AK733" s="4113"/>
      <c r="AL733" s="3759"/>
      <c r="AM733" s="4113"/>
      <c r="AN733" s="4120">
        <f>I733</f>
        <v>720</v>
      </c>
      <c r="AO733" s="3759"/>
      <c r="AP733" s="4120"/>
      <c r="AQ733" s="3759">
        <f t="shared" si="438"/>
        <v>720</v>
      </c>
      <c r="AR733" s="4120"/>
      <c r="AS733" s="3759"/>
      <c r="AT733" s="4120"/>
      <c r="AU733" s="3759"/>
      <c r="AV733" s="3759">
        <f>I733</f>
        <v>720</v>
      </c>
      <c r="AW733" s="3759"/>
      <c r="AX733" s="3759"/>
      <c r="AY733" s="3759"/>
      <c r="AZ733" s="3759">
        <f>I733/6</f>
        <v>120</v>
      </c>
      <c r="BA733" s="3759"/>
      <c r="BB733" s="3759"/>
      <c r="BC733" s="3759"/>
      <c r="BD733" s="4120"/>
      <c r="BE733" s="3759"/>
      <c r="BF733" s="3759"/>
      <c r="BG733" s="3759"/>
      <c r="BH733" s="3759"/>
      <c r="BI733" s="3759" t="s">
        <v>89</v>
      </c>
      <c r="BJ733" s="3759">
        <f>I733/60*9</f>
        <v>108</v>
      </c>
      <c r="BK733" s="3759">
        <f>I733/60*2</f>
        <v>24</v>
      </c>
      <c r="BL733" s="3759">
        <f>I733/60*5</f>
        <v>60</v>
      </c>
      <c r="BM733" s="4146">
        <f>I733/60*9</f>
        <v>108</v>
      </c>
      <c r="BN733" s="3721">
        <f>I733/60*12</f>
        <v>144</v>
      </c>
      <c r="BO733" s="3791">
        <f>I733/60*15</f>
        <v>180</v>
      </c>
      <c r="BP733" s="3721">
        <f>I733/60*8</f>
        <v>96</v>
      </c>
      <c r="BQ733" s="3724">
        <f t="shared" si="414"/>
        <v>720</v>
      </c>
      <c r="BR733" s="3721">
        <f t="shared" si="436"/>
        <v>0</v>
      </c>
    </row>
    <row r="734" s="3567" customFormat="1" ht="50" customHeight="1" spans="1:70">
      <c r="A734" s="4112">
        <v>46100</v>
      </c>
      <c r="B734" s="3766" t="s">
        <v>5806</v>
      </c>
      <c r="C734" s="3766" t="s">
        <v>793</v>
      </c>
      <c r="D734" s="3699">
        <v>4500197647</v>
      </c>
      <c r="E734" s="3700" t="s">
        <v>5807</v>
      </c>
      <c r="F734" s="3699" t="s">
        <v>5808</v>
      </c>
      <c r="G734" s="3700" t="s">
        <v>4110</v>
      </c>
      <c r="H734" s="3699" t="s">
        <v>3517</v>
      </c>
      <c r="I734" s="4175">
        <v>1500</v>
      </c>
      <c r="J734" s="3699">
        <v>0</v>
      </c>
      <c r="K734" s="3699">
        <v>6</v>
      </c>
      <c r="L734" s="4113">
        <f t="shared" si="412"/>
        <v>250</v>
      </c>
      <c r="M734" s="3707">
        <v>46150</v>
      </c>
      <c r="N734" s="3707">
        <v>46146</v>
      </c>
      <c r="O734" s="3708"/>
      <c r="P734" s="3700" t="s">
        <v>82</v>
      </c>
      <c r="Q734" s="4157">
        <v>1500</v>
      </c>
      <c r="R734" s="4157">
        <f t="shared" si="427"/>
        <v>0</v>
      </c>
      <c r="S734" s="4219" t="s">
        <v>2297</v>
      </c>
      <c r="T734" s="4145" t="s">
        <v>321</v>
      </c>
      <c r="U734" s="3726"/>
      <c r="V734" s="3711" t="s">
        <v>3462</v>
      </c>
      <c r="W734" s="4212"/>
      <c r="X734" s="3711" t="s">
        <v>5810</v>
      </c>
      <c r="Y734" s="3709"/>
      <c r="Z734" s="3699"/>
      <c r="AA734" s="3715" t="s">
        <v>8163</v>
      </c>
      <c r="AB734" s="4213" t="s">
        <v>5812</v>
      </c>
      <c r="AC734" s="3715">
        <v>4.7912</v>
      </c>
      <c r="AD734" s="4154">
        <f t="shared" si="437"/>
        <v>7186.8</v>
      </c>
      <c r="AE734" s="3700"/>
      <c r="AF734" s="3700" t="s">
        <v>4110</v>
      </c>
      <c r="AG734" s="3700" t="s">
        <v>416</v>
      </c>
      <c r="AH734" s="4119"/>
      <c r="AI734" s="3700"/>
      <c r="AJ734" s="3699"/>
      <c r="AK734" s="4113"/>
      <c r="AL734" s="3759">
        <f>I734</f>
        <v>1500</v>
      </c>
      <c r="AM734" s="4113"/>
      <c r="AN734" s="4120"/>
      <c r="AO734" s="3759"/>
      <c r="AP734" s="4120"/>
      <c r="AQ734" s="3759">
        <f t="shared" si="438"/>
        <v>1500</v>
      </c>
      <c r="AR734" s="4120"/>
      <c r="AS734" s="3759"/>
      <c r="AT734" s="4120">
        <f>I734</f>
        <v>1500</v>
      </c>
      <c r="AU734" s="3759"/>
      <c r="AV734" s="3759"/>
      <c r="AW734" s="3759"/>
      <c r="AX734" s="3759"/>
      <c r="AY734" s="3759"/>
      <c r="AZ734" s="3759"/>
      <c r="BA734" s="3759"/>
      <c r="BB734" s="3759"/>
      <c r="BC734" s="3759"/>
      <c r="BD734" s="4120"/>
      <c r="BE734" s="3759"/>
      <c r="BF734" s="3759"/>
      <c r="BG734" s="3759"/>
      <c r="BH734" s="3759"/>
      <c r="BI734" s="3759" t="s">
        <v>89</v>
      </c>
      <c r="BJ734" s="3759">
        <f>I734/60*9</f>
        <v>225</v>
      </c>
      <c r="BK734" s="3759">
        <f>I734/60*2</f>
        <v>50</v>
      </c>
      <c r="BL734" s="3759">
        <f>I734/60*5</f>
        <v>125</v>
      </c>
      <c r="BM734" s="3759">
        <f>I734/60*9</f>
        <v>225</v>
      </c>
      <c r="BN734" s="3759">
        <f>I734/60*12</f>
        <v>300</v>
      </c>
      <c r="BO734" s="4146">
        <f>I734/60*15</f>
        <v>375</v>
      </c>
      <c r="BP734" s="3721">
        <f>I734/60*8</f>
        <v>200</v>
      </c>
      <c r="BQ734" s="3721">
        <f t="shared" si="414"/>
        <v>1500</v>
      </c>
      <c r="BR734" s="3721">
        <f t="shared" si="436"/>
        <v>0</v>
      </c>
    </row>
    <row r="735" s="3567" customFormat="1" ht="50" customHeight="1" spans="1:70">
      <c r="A735" s="4112">
        <v>46125</v>
      </c>
      <c r="B735" s="3766" t="s">
        <v>5160</v>
      </c>
      <c r="C735" s="3766" t="s">
        <v>3913</v>
      </c>
      <c r="D735" s="3699">
        <v>4500201649</v>
      </c>
      <c r="E735" s="3699" t="s">
        <v>5844</v>
      </c>
      <c r="F735" s="3699" t="s">
        <v>8164</v>
      </c>
      <c r="G735" s="3700" t="s">
        <v>6578</v>
      </c>
      <c r="H735" s="3699" t="s">
        <v>6579</v>
      </c>
      <c r="I735" s="3699">
        <v>720</v>
      </c>
      <c r="J735" s="3699">
        <v>0</v>
      </c>
      <c r="K735" s="3699">
        <v>24</v>
      </c>
      <c r="L735" s="4113">
        <f t="shared" si="412"/>
        <v>30</v>
      </c>
      <c r="M735" s="3707">
        <v>46162</v>
      </c>
      <c r="N735" s="3707">
        <v>46158</v>
      </c>
      <c r="O735" s="3708"/>
      <c r="P735" s="3700" t="s">
        <v>82</v>
      </c>
      <c r="Q735" s="4145">
        <v>720</v>
      </c>
      <c r="R735" s="4157">
        <f t="shared" si="427"/>
        <v>0</v>
      </c>
      <c r="S735" s="4170"/>
      <c r="T735" s="4145" t="s">
        <v>321</v>
      </c>
      <c r="U735" s="3726"/>
      <c r="V735" s="3711" t="s">
        <v>5848</v>
      </c>
      <c r="W735" s="3711"/>
      <c r="X735" s="3711" t="s">
        <v>5849</v>
      </c>
      <c r="Y735" s="3711"/>
      <c r="Z735" s="3699"/>
      <c r="AA735" s="3715" t="s">
        <v>5850</v>
      </c>
      <c r="AB735" s="4213" t="s">
        <v>892</v>
      </c>
      <c r="AC735" s="3715">
        <v>2.2491</v>
      </c>
      <c r="AD735" s="3699">
        <f t="shared" si="437"/>
        <v>1619.352</v>
      </c>
      <c r="AE735" s="3700"/>
      <c r="AF735" s="3700" t="s">
        <v>6578</v>
      </c>
      <c r="AG735" s="3700" t="s">
        <v>416</v>
      </c>
      <c r="AH735" s="4119"/>
      <c r="AI735" s="3700"/>
      <c r="AJ735" s="3699"/>
      <c r="AK735" s="4113"/>
      <c r="AL735" s="3759">
        <f>I735</f>
        <v>720</v>
      </c>
      <c r="AM735" s="4113"/>
      <c r="AN735" s="4120"/>
      <c r="AO735" s="3759"/>
      <c r="AP735" s="4120"/>
      <c r="AQ735" s="3759">
        <f t="shared" si="438"/>
        <v>720</v>
      </c>
      <c r="AR735" s="4120"/>
      <c r="AS735" s="3759"/>
      <c r="AT735" s="4120">
        <f>I735</f>
        <v>720</v>
      </c>
      <c r="AU735" s="3759"/>
      <c r="AV735" s="3759"/>
      <c r="AW735" s="3759"/>
      <c r="AX735" s="3759"/>
      <c r="AY735" s="3759"/>
      <c r="AZ735" s="3759"/>
      <c r="BA735" s="3759"/>
      <c r="BB735" s="3759"/>
      <c r="BC735" s="3759"/>
      <c r="BD735" s="4120"/>
      <c r="BE735" s="3759"/>
      <c r="BF735" s="3759"/>
      <c r="BG735" s="3759"/>
      <c r="BH735" s="3759"/>
      <c r="BI735" s="3759" t="s">
        <v>89</v>
      </c>
      <c r="BJ735" s="3759">
        <f>I735/60*2</f>
        <v>24</v>
      </c>
      <c r="BK735" s="3759">
        <f>I735/60*10</f>
        <v>120</v>
      </c>
      <c r="BL735" s="3759">
        <f>I735/60*10</f>
        <v>120</v>
      </c>
      <c r="BM735" s="4146">
        <f>I735/60*8</f>
        <v>96</v>
      </c>
      <c r="BN735" s="3721">
        <f>I735/60*10</f>
        <v>120</v>
      </c>
      <c r="BO735" s="3791">
        <f>I735/60*10</f>
        <v>120</v>
      </c>
      <c r="BP735" s="3721">
        <f>I735/60*10</f>
        <v>120</v>
      </c>
      <c r="BQ735" s="4122">
        <f t="shared" si="414"/>
        <v>720</v>
      </c>
      <c r="BR735" s="3721">
        <f t="shared" si="436"/>
        <v>0</v>
      </c>
    </row>
    <row r="736" s="3567" customFormat="1" ht="50" customHeight="1" spans="1:70">
      <c r="A736" s="4112">
        <v>46107</v>
      </c>
      <c r="B736" s="3766" t="s">
        <v>3811</v>
      </c>
      <c r="C736" s="3700" t="s">
        <v>3812</v>
      </c>
      <c r="D736" s="3699">
        <v>4500198705</v>
      </c>
      <c r="E736" s="3699"/>
      <c r="F736" s="3700" t="s">
        <v>8165</v>
      </c>
      <c r="G736" s="3700" t="s">
        <v>6124</v>
      </c>
      <c r="H736" s="3699" t="s">
        <v>6063</v>
      </c>
      <c r="I736" s="3699">
        <v>3000</v>
      </c>
      <c r="J736" s="3699">
        <v>0</v>
      </c>
      <c r="K736" s="3699">
        <v>12</v>
      </c>
      <c r="L736" s="4113">
        <f t="shared" si="412"/>
        <v>250</v>
      </c>
      <c r="M736" s="3707">
        <v>46157</v>
      </c>
      <c r="N736" s="3707">
        <v>46153</v>
      </c>
      <c r="O736" s="3699"/>
      <c r="P736" s="3700" t="s">
        <v>82</v>
      </c>
      <c r="Q736" s="4145">
        <v>3000</v>
      </c>
      <c r="R736" s="4157">
        <f t="shared" si="427"/>
        <v>0</v>
      </c>
      <c r="S736" s="3700"/>
      <c r="T736" s="4145" t="s">
        <v>321</v>
      </c>
      <c r="U736" s="3680" t="s">
        <v>277</v>
      </c>
      <c r="V736" s="4214" t="s">
        <v>1186</v>
      </c>
      <c r="W736" s="4214"/>
      <c r="X736" s="4214" t="s">
        <v>8166</v>
      </c>
      <c r="Y736" s="4214"/>
      <c r="Z736" s="3699"/>
      <c r="AA736" s="3680" t="s">
        <v>8167</v>
      </c>
      <c r="AB736" s="3769" t="s">
        <v>459</v>
      </c>
      <c r="AC736" s="3770">
        <v>2.3045</v>
      </c>
      <c r="AD736" s="3699">
        <f t="shared" si="437"/>
        <v>6913.5</v>
      </c>
      <c r="AE736" s="3715"/>
      <c r="AF736" s="3700" t="s">
        <v>6126</v>
      </c>
      <c r="AG736" s="3680" t="s">
        <v>416</v>
      </c>
      <c r="AH736" s="3680"/>
      <c r="AI736" s="3680"/>
      <c r="AJ736" s="3680"/>
      <c r="AK736" s="3700"/>
      <c r="AL736" s="3700"/>
      <c r="AM736" s="3700"/>
      <c r="AN736" s="3700">
        <f t="shared" ref="AN736:AN743" si="443">I736</f>
        <v>3000</v>
      </c>
      <c r="AO736" s="3700"/>
      <c r="AP736" s="3699"/>
      <c r="AQ736" s="3699">
        <f t="shared" si="438"/>
        <v>3000</v>
      </c>
      <c r="AR736" s="3759"/>
      <c r="AS736" s="3759"/>
      <c r="AT736" s="3759">
        <f>I736</f>
        <v>3000</v>
      </c>
      <c r="AU736" s="3759"/>
      <c r="AV736" s="3759"/>
      <c r="AW736" s="3759"/>
      <c r="AX736" s="3759">
        <f>I736/6</f>
        <v>500</v>
      </c>
      <c r="AY736" s="3759"/>
      <c r="AZ736" s="3759"/>
      <c r="BA736" s="3759"/>
      <c r="BB736" s="3759"/>
      <c r="BC736" s="3759"/>
      <c r="BD736" s="4120"/>
      <c r="BE736" s="3759"/>
      <c r="BF736" s="3759"/>
      <c r="BG736" s="3759"/>
      <c r="BH736" s="3759"/>
      <c r="BI736" s="3759" t="s">
        <v>89</v>
      </c>
      <c r="BJ736" s="3759">
        <f>I736/60*9</f>
        <v>450</v>
      </c>
      <c r="BK736" s="3759">
        <f>I736/60*2</f>
        <v>100</v>
      </c>
      <c r="BL736" s="3759">
        <f>I736/60*5</f>
        <v>250</v>
      </c>
      <c r="BM736" s="3759">
        <f>I736/60*9</f>
        <v>450</v>
      </c>
      <c r="BN736" s="3759">
        <f>I736/60*12</f>
        <v>600</v>
      </c>
      <c r="BO736" s="4146">
        <f>I736/60*15</f>
        <v>750</v>
      </c>
      <c r="BP736" s="3721">
        <f>I736/60*8</f>
        <v>400</v>
      </c>
      <c r="BQ736" s="3724">
        <f t="shared" si="414"/>
        <v>3000</v>
      </c>
      <c r="BR736" s="3721">
        <f t="shared" si="436"/>
        <v>0</v>
      </c>
    </row>
    <row r="737" s="3567" customFormat="1" ht="50" customHeight="1" spans="1:72">
      <c r="A737" s="4112">
        <v>46107</v>
      </c>
      <c r="B737" s="3766" t="s">
        <v>3608</v>
      </c>
      <c r="C737" s="3766" t="s">
        <v>738</v>
      </c>
      <c r="D737" s="3699">
        <v>4500198544</v>
      </c>
      <c r="E737" s="3700">
        <v>5251219672</v>
      </c>
      <c r="F737" s="3700" t="s">
        <v>8168</v>
      </c>
      <c r="G737" s="3700" t="s">
        <v>6159</v>
      </c>
      <c r="H737" s="3699" t="s">
        <v>8169</v>
      </c>
      <c r="I737" s="3699">
        <v>3858</v>
      </c>
      <c r="J737" s="3699">
        <v>0</v>
      </c>
      <c r="K737" s="3699">
        <v>6</v>
      </c>
      <c r="L737" s="4113">
        <f t="shared" si="412"/>
        <v>643</v>
      </c>
      <c r="M737" s="3707">
        <v>46163</v>
      </c>
      <c r="N737" s="3707">
        <v>46160</v>
      </c>
      <c r="O737" s="3708"/>
      <c r="P737" s="3700" t="s">
        <v>82</v>
      </c>
      <c r="Q737" s="4145">
        <f>1170+2688</f>
        <v>3858</v>
      </c>
      <c r="R737" s="4157">
        <f t="shared" si="427"/>
        <v>0</v>
      </c>
      <c r="S737" s="4173"/>
      <c r="T737" s="4145" t="s">
        <v>321</v>
      </c>
      <c r="U737" s="3726" t="s">
        <v>5827</v>
      </c>
      <c r="V737" s="3711" t="s">
        <v>5852</v>
      </c>
      <c r="W737" s="3711"/>
      <c r="X737" s="3709" t="s">
        <v>8170</v>
      </c>
      <c r="Y737" s="3711"/>
      <c r="Z737" s="3699"/>
      <c r="AA737" s="3715" t="s">
        <v>8171</v>
      </c>
      <c r="AB737" s="3769" t="s">
        <v>1257</v>
      </c>
      <c r="AC737" s="3770">
        <v>2.1941</v>
      </c>
      <c r="AD737" s="3699">
        <f t="shared" si="437"/>
        <v>8464.8378</v>
      </c>
      <c r="AE737" s="3700"/>
      <c r="AF737" s="3700" t="s">
        <v>7888</v>
      </c>
      <c r="AG737" s="3700" t="s">
        <v>416</v>
      </c>
      <c r="AH737" s="4119"/>
      <c r="AI737" s="3700"/>
      <c r="AJ737" s="3699"/>
      <c r="AK737" s="4113"/>
      <c r="AL737" s="3759"/>
      <c r="AM737" s="4113"/>
      <c r="AN737" s="3700">
        <f t="shared" si="443"/>
        <v>3858</v>
      </c>
      <c r="AO737" s="3759"/>
      <c r="AP737" s="4120"/>
      <c r="AQ737" s="3699">
        <f t="shared" si="438"/>
        <v>3858</v>
      </c>
      <c r="AR737" s="4120"/>
      <c r="AS737" s="3759"/>
      <c r="AT737" s="4120">
        <f>I737</f>
        <v>3858</v>
      </c>
      <c r="AU737" s="3759"/>
      <c r="AV737" s="3759"/>
      <c r="AW737" s="3759"/>
      <c r="AX737" s="3759"/>
      <c r="AY737" s="3759"/>
      <c r="AZ737" s="3759"/>
      <c r="BA737" s="3759"/>
      <c r="BB737" s="3759"/>
      <c r="BC737" s="3759"/>
      <c r="BD737" s="4120"/>
      <c r="BE737" s="3759"/>
      <c r="BF737" s="3759"/>
      <c r="BG737" s="3759"/>
      <c r="BH737" s="3759"/>
      <c r="BI737" s="3759" t="s">
        <v>89</v>
      </c>
      <c r="BJ737" s="3759">
        <f>I737/60*2</f>
        <v>128.6</v>
      </c>
      <c r="BK737" s="3759">
        <f>I737/60*10</f>
        <v>643</v>
      </c>
      <c r="BL737" s="3759">
        <f>I737/60*10</f>
        <v>643</v>
      </c>
      <c r="BM737" s="3759">
        <f>I737/60*8</f>
        <v>514.4</v>
      </c>
      <c r="BN737" s="3721">
        <f>I737/60*10</f>
        <v>643</v>
      </c>
      <c r="BO737" s="3791">
        <f>I737/60*10</f>
        <v>643</v>
      </c>
      <c r="BP737" s="3721">
        <f>I737/60*10</f>
        <v>643</v>
      </c>
      <c r="BQ737" s="3721">
        <f t="shared" si="414"/>
        <v>3858</v>
      </c>
      <c r="BR737" s="3721">
        <f t="shared" si="436"/>
        <v>0</v>
      </c>
    </row>
    <row r="738" s="3567" customFormat="1" ht="50" customHeight="1" spans="1:72">
      <c r="A738" s="4112">
        <v>46107</v>
      </c>
      <c r="B738" s="3766" t="s">
        <v>3608</v>
      </c>
      <c r="C738" s="3766" t="s">
        <v>738</v>
      </c>
      <c r="D738" s="3699">
        <v>4500198544</v>
      </c>
      <c r="E738" s="3700">
        <v>5251219673</v>
      </c>
      <c r="F738" s="3700" t="s">
        <v>8172</v>
      </c>
      <c r="G738" s="3700" t="s">
        <v>6159</v>
      </c>
      <c r="H738" s="3699" t="s">
        <v>8169</v>
      </c>
      <c r="I738" s="3699">
        <v>3960</v>
      </c>
      <c r="J738" s="3699">
        <v>0</v>
      </c>
      <c r="K738" s="3699">
        <v>6</v>
      </c>
      <c r="L738" s="4113">
        <f t="shared" si="412"/>
        <v>660</v>
      </c>
      <c r="M738" s="3707">
        <v>46163</v>
      </c>
      <c r="N738" s="3707">
        <v>46160</v>
      </c>
      <c r="O738" s="3708"/>
      <c r="P738" s="3700" t="s">
        <v>82</v>
      </c>
      <c r="Q738" s="4145">
        <f>216+3744</f>
        <v>3960</v>
      </c>
      <c r="R738" s="4157">
        <f t="shared" si="427"/>
        <v>0</v>
      </c>
      <c r="S738" s="4173"/>
      <c r="T738" s="4145" t="s">
        <v>321</v>
      </c>
      <c r="U738" s="3726" t="s">
        <v>5827</v>
      </c>
      <c r="V738" s="3711" t="s">
        <v>5852</v>
      </c>
      <c r="W738" s="3711"/>
      <c r="X738" s="3709" t="s">
        <v>8170</v>
      </c>
      <c r="Y738" s="3711"/>
      <c r="Z738" s="3699"/>
      <c r="AA738" s="3715" t="s">
        <v>8171</v>
      </c>
      <c r="AB738" s="3769" t="s">
        <v>1257</v>
      </c>
      <c r="AC738" s="3770">
        <v>2.1941</v>
      </c>
      <c r="AD738" s="3699">
        <f t="shared" si="437"/>
        <v>8688.636</v>
      </c>
      <c r="AE738" s="3700"/>
      <c r="AF738" s="3700" t="s">
        <v>7888</v>
      </c>
      <c r="AG738" s="3700" t="s">
        <v>416</v>
      </c>
      <c r="AH738" s="4119"/>
      <c r="AI738" s="3700"/>
      <c r="AJ738" s="3699"/>
      <c r="AK738" s="4113"/>
      <c r="AL738" s="3759"/>
      <c r="AM738" s="4113"/>
      <c r="AN738" s="3700">
        <f t="shared" si="443"/>
        <v>3960</v>
      </c>
      <c r="AO738" s="3759"/>
      <c r="AP738" s="4120"/>
      <c r="AQ738" s="3699">
        <f t="shared" si="438"/>
        <v>3960</v>
      </c>
      <c r="AR738" s="4120"/>
      <c r="AS738" s="3759"/>
      <c r="AT738" s="4120">
        <f>I738</f>
        <v>3960</v>
      </c>
      <c r="AU738" s="3759"/>
      <c r="AV738" s="3759"/>
      <c r="AW738" s="3759"/>
      <c r="AX738" s="3759"/>
      <c r="AY738" s="3759"/>
      <c r="AZ738" s="3759"/>
      <c r="BA738" s="3759"/>
      <c r="BB738" s="3759"/>
      <c r="BC738" s="3759"/>
      <c r="BD738" s="4120"/>
      <c r="BE738" s="3759"/>
      <c r="BF738" s="3759"/>
      <c r="BG738" s="3759"/>
      <c r="BH738" s="3759"/>
      <c r="BI738" s="3759" t="s">
        <v>89</v>
      </c>
      <c r="BJ738" s="3759">
        <f>I738/60*2</f>
        <v>132</v>
      </c>
      <c r="BK738" s="3759">
        <f>I738/60*10</f>
        <v>660</v>
      </c>
      <c r="BL738" s="3759">
        <f>I738/60*10</f>
        <v>660</v>
      </c>
      <c r="BM738" s="3759">
        <f>I738/60*8</f>
        <v>528</v>
      </c>
      <c r="BN738" s="3721">
        <f>I738/60*10</f>
        <v>660</v>
      </c>
      <c r="BO738" s="3791">
        <f>I738/60*10</f>
        <v>660</v>
      </c>
      <c r="BP738" s="3721">
        <f>I738/60*10</f>
        <v>660</v>
      </c>
      <c r="BQ738" s="3721">
        <f t="shared" si="414"/>
        <v>3960</v>
      </c>
      <c r="BR738" s="3721">
        <f t="shared" si="436"/>
        <v>0</v>
      </c>
    </row>
    <row r="739" s="3567" customFormat="1" ht="50" customHeight="1" spans="1:72">
      <c r="A739" s="4112">
        <v>46107</v>
      </c>
      <c r="B739" s="3766" t="s">
        <v>7760</v>
      </c>
      <c r="C739" s="3700" t="s">
        <v>1624</v>
      </c>
      <c r="D739" s="3699">
        <v>4500198652</v>
      </c>
      <c r="E739" s="3699" t="s">
        <v>8173</v>
      </c>
      <c r="F739" s="3700" t="s">
        <v>8174</v>
      </c>
      <c r="G739" s="3700" t="s">
        <v>6228</v>
      </c>
      <c r="H739" s="3699" t="s">
        <v>6063</v>
      </c>
      <c r="I739" s="3699">
        <v>300</v>
      </c>
      <c r="J739" s="3699">
        <v>0</v>
      </c>
      <c r="K739" s="3699">
        <v>6</v>
      </c>
      <c r="L739" s="4113">
        <f t="shared" si="412"/>
        <v>50</v>
      </c>
      <c r="M739" s="3707">
        <v>46160</v>
      </c>
      <c r="N739" s="3707">
        <v>46156</v>
      </c>
      <c r="O739" s="3699"/>
      <c r="P739" s="3700" t="s">
        <v>82</v>
      </c>
      <c r="Q739" s="4145">
        <v>300</v>
      </c>
      <c r="R739" s="4157">
        <f t="shared" si="427"/>
        <v>0</v>
      </c>
      <c r="S739" s="3700"/>
      <c r="T739" s="4145" t="s">
        <v>321</v>
      </c>
      <c r="U739" s="3680" t="s">
        <v>1162</v>
      </c>
      <c r="V739" s="4214" t="s">
        <v>3575</v>
      </c>
      <c r="W739" s="4214"/>
      <c r="X739" s="4214" t="s">
        <v>8175</v>
      </c>
      <c r="Y739" s="4214"/>
      <c r="Z739" s="3700"/>
      <c r="AA739" s="3713" t="s">
        <v>8176</v>
      </c>
      <c r="AB739" s="2958" t="s">
        <v>4665</v>
      </c>
      <c r="AC739" s="3770">
        <v>2.2713</v>
      </c>
      <c r="AD739" s="3699">
        <f t="shared" si="437"/>
        <v>681.39</v>
      </c>
      <c r="AE739" s="3715"/>
      <c r="AF739" s="3700" t="s">
        <v>7508</v>
      </c>
      <c r="AG739" s="3680" t="s">
        <v>416</v>
      </c>
      <c r="AH739" s="3680"/>
      <c r="AI739" s="3680"/>
      <c r="AJ739" s="3680"/>
      <c r="AK739" s="3700"/>
      <c r="AL739" s="3700"/>
      <c r="AM739" s="3700"/>
      <c r="AN739" s="3700">
        <f t="shared" si="443"/>
        <v>300</v>
      </c>
      <c r="AO739" s="3700"/>
      <c r="AP739" s="3699"/>
      <c r="AQ739" s="3699">
        <f t="shared" si="438"/>
        <v>300</v>
      </c>
      <c r="AR739" s="3759"/>
      <c r="AS739" s="3759"/>
      <c r="AT739" s="3759"/>
      <c r="AU739" s="3759"/>
      <c r="AV739" s="3759">
        <f>I739</f>
        <v>300</v>
      </c>
      <c r="AW739" s="3759"/>
      <c r="AX739" s="3759"/>
      <c r="AY739" s="3759"/>
      <c r="AZ739" s="3759">
        <f>I739/6</f>
        <v>50</v>
      </c>
      <c r="BA739" s="3759"/>
      <c r="BB739" s="3759"/>
      <c r="BC739" s="3759"/>
      <c r="BD739" s="4120"/>
      <c r="BE739" s="3759"/>
      <c r="BF739" s="3759"/>
      <c r="BG739" s="3759"/>
      <c r="BH739" s="3759"/>
      <c r="BI739" s="3759" t="s">
        <v>89</v>
      </c>
      <c r="BJ739" s="3759">
        <f t="shared" ref="BJ739:BJ752" si="444">I739/60*9</f>
        <v>45</v>
      </c>
      <c r="BK739" s="3759">
        <f t="shared" ref="BK739:BK752" si="445">I739/60*2</f>
        <v>10</v>
      </c>
      <c r="BL739" s="3759">
        <f t="shared" ref="BL739:BL752" si="446">I739/60*5</f>
        <v>25</v>
      </c>
      <c r="BM739" s="3759">
        <f t="shared" ref="BM739:BM752" si="447">I739/60*9</f>
        <v>45</v>
      </c>
      <c r="BN739" s="3759">
        <f t="shared" ref="BN739:BN752" si="448">I739/60*12</f>
        <v>60</v>
      </c>
      <c r="BO739" s="4146">
        <f t="shared" ref="BO739:BO752" si="449">I739/60*15</f>
        <v>75</v>
      </c>
      <c r="BP739" s="3721">
        <f t="shared" ref="BP739:BP752" si="450">I739/60*8</f>
        <v>40</v>
      </c>
      <c r="BQ739" s="3724">
        <f t="shared" si="414"/>
        <v>300</v>
      </c>
      <c r="BR739" s="3721">
        <f t="shared" si="436"/>
        <v>0</v>
      </c>
    </row>
    <row r="740" s="3567" customFormat="1" ht="50" customHeight="1" spans="1:72">
      <c r="A740" s="4112">
        <v>46098</v>
      </c>
      <c r="B740" s="3766" t="s">
        <v>8177</v>
      </c>
      <c r="C740" s="3700" t="s">
        <v>2058</v>
      </c>
      <c r="D740" s="3699">
        <v>4500197249</v>
      </c>
      <c r="E740" s="3699">
        <v>4500099130</v>
      </c>
      <c r="F740" s="3700" t="s">
        <v>8178</v>
      </c>
      <c r="G740" s="3700" t="s">
        <v>6186</v>
      </c>
      <c r="H740" s="3699" t="s">
        <v>6063</v>
      </c>
      <c r="I740" s="3699">
        <v>6000</v>
      </c>
      <c r="J740" s="3699">
        <v>0</v>
      </c>
      <c r="K740" s="3699">
        <v>6</v>
      </c>
      <c r="L740" s="4113">
        <f t="shared" si="412"/>
        <v>1000</v>
      </c>
      <c r="M740" s="3707">
        <v>46160</v>
      </c>
      <c r="N740" s="3707">
        <v>46156</v>
      </c>
      <c r="O740" s="3699"/>
      <c r="P740" s="3700" t="s">
        <v>82</v>
      </c>
      <c r="Q740" s="4145">
        <v>6000</v>
      </c>
      <c r="R740" s="4157">
        <f t="shared" si="427"/>
        <v>0</v>
      </c>
      <c r="S740" s="3700"/>
      <c r="T740" s="4145" t="s">
        <v>321</v>
      </c>
      <c r="U740" s="3680" t="s">
        <v>8179</v>
      </c>
      <c r="V740" s="4214" t="s">
        <v>3575</v>
      </c>
      <c r="W740" s="4214"/>
      <c r="X740" s="4214" t="s">
        <v>98</v>
      </c>
      <c r="Y740" s="4214"/>
      <c r="Z740" s="3699"/>
      <c r="AA740" s="3680" t="s">
        <v>8180</v>
      </c>
      <c r="AB740" s="3769" t="s">
        <v>8181</v>
      </c>
      <c r="AC740" s="3770">
        <v>2.2977</v>
      </c>
      <c r="AD740" s="3699">
        <f t="shared" si="437"/>
        <v>13786.2</v>
      </c>
      <c r="AE740" s="3715"/>
      <c r="AF740" s="3700" t="s">
        <v>6126</v>
      </c>
      <c r="AG740" s="3680" t="s">
        <v>416</v>
      </c>
      <c r="AH740" s="3680"/>
      <c r="AI740" s="3680"/>
      <c r="AJ740" s="3680"/>
      <c r="AK740" s="3700"/>
      <c r="AL740" s="3700"/>
      <c r="AM740" s="3700"/>
      <c r="AN740" s="3700">
        <f t="shared" si="443"/>
        <v>6000</v>
      </c>
      <c r="AO740" s="3700"/>
      <c r="AP740" s="3699"/>
      <c r="AQ740" s="3699">
        <f t="shared" si="438"/>
        <v>6000</v>
      </c>
      <c r="AR740" s="3759"/>
      <c r="AS740" s="3759"/>
      <c r="AT740" s="3759">
        <f>I740</f>
        <v>6000</v>
      </c>
      <c r="AU740" s="3759"/>
      <c r="AV740" s="3759"/>
      <c r="AW740" s="3759"/>
      <c r="AX740" s="3759">
        <f>I740/6</f>
        <v>1000</v>
      </c>
      <c r="AY740" s="3759"/>
      <c r="AZ740" s="3759"/>
      <c r="BA740" s="3759"/>
      <c r="BB740" s="3759"/>
      <c r="BC740" s="3759"/>
      <c r="BD740" s="4120"/>
      <c r="BE740" s="3759"/>
      <c r="BF740" s="3759"/>
      <c r="BG740" s="3759"/>
      <c r="BH740" s="3759"/>
      <c r="BI740" s="3759" t="s">
        <v>89</v>
      </c>
      <c r="BJ740" s="3759">
        <f t="shared" si="444"/>
        <v>900</v>
      </c>
      <c r="BK740" s="3759">
        <f t="shared" si="445"/>
        <v>200</v>
      </c>
      <c r="BL740" s="3759">
        <f t="shared" si="446"/>
        <v>500</v>
      </c>
      <c r="BM740" s="3759">
        <f t="shared" si="447"/>
        <v>900</v>
      </c>
      <c r="BN740" s="3759">
        <f t="shared" si="448"/>
        <v>1200</v>
      </c>
      <c r="BO740" s="4146">
        <f t="shared" si="449"/>
        <v>1500</v>
      </c>
      <c r="BP740" s="3721">
        <f t="shared" si="450"/>
        <v>800</v>
      </c>
      <c r="BQ740" s="3724">
        <f t="shared" si="414"/>
        <v>6000</v>
      </c>
      <c r="BR740" s="3721">
        <f t="shared" si="436"/>
        <v>0</v>
      </c>
    </row>
    <row r="741" s="3567" customFormat="1" ht="50" customHeight="1" spans="1:72">
      <c r="A741" s="4112">
        <v>46101</v>
      </c>
      <c r="B741" s="3766" t="s">
        <v>8182</v>
      </c>
      <c r="C741" s="3700" t="s">
        <v>6781</v>
      </c>
      <c r="D741" s="3699">
        <v>4500197359</v>
      </c>
      <c r="E741" s="3699">
        <v>28058</v>
      </c>
      <c r="F741" s="3700" t="s">
        <v>8183</v>
      </c>
      <c r="G741" s="3700" t="s">
        <v>6228</v>
      </c>
      <c r="H741" s="3699" t="s">
        <v>6063</v>
      </c>
      <c r="I741" s="3699">
        <v>1452</v>
      </c>
      <c r="J741" s="3699">
        <v>0</v>
      </c>
      <c r="K741" s="3699">
        <v>6</v>
      </c>
      <c r="L741" s="4113">
        <f t="shared" si="412"/>
        <v>242</v>
      </c>
      <c r="M741" s="3707">
        <v>46161</v>
      </c>
      <c r="N741" s="3707">
        <v>46157</v>
      </c>
      <c r="O741" s="3699"/>
      <c r="P741" s="3700" t="s">
        <v>82</v>
      </c>
      <c r="Q741" s="4145">
        <v>1452</v>
      </c>
      <c r="R741" s="4157">
        <f t="shared" si="427"/>
        <v>0</v>
      </c>
      <c r="S741" s="3700"/>
      <c r="T741" s="4145" t="s">
        <v>321</v>
      </c>
      <c r="U741" s="3680" t="s">
        <v>5881</v>
      </c>
      <c r="V741" s="4214" t="s">
        <v>1322</v>
      </c>
      <c r="W741" s="4214"/>
      <c r="X741" s="4214" t="s">
        <v>8184</v>
      </c>
      <c r="Y741" s="4214"/>
      <c r="Z741" s="3700"/>
      <c r="AA741" s="3713" t="s">
        <v>8185</v>
      </c>
      <c r="AB741" s="2958" t="s">
        <v>6785</v>
      </c>
      <c r="AC741" s="3770">
        <v>2.21</v>
      </c>
      <c r="AD741" s="3699">
        <f t="shared" si="437"/>
        <v>3208.92</v>
      </c>
      <c r="AE741" s="3715"/>
      <c r="AF741" s="3700" t="s">
        <v>7508</v>
      </c>
      <c r="AG741" s="3680" t="s">
        <v>416</v>
      </c>
      <c r="AH741" s="3680"/>
      <c r="AI741" s="3680"/>
      <c r="AJ741" s="3680"/>
      <c r="AK741" s="3700"/>
      <c r="AL741" s="3700"/>
      <c r="AM741" s="3700"/>
      <c r="AN741" s="3700">
        <f t="shared" si="443"/>
        <v>1452</v>
      </c>
      <c r="AO741" s="3700"/>
      <c r="AP741" s="3699"/>
      <c r="AQ741" s="3699">
        <f t="shared" si="438"/>
        <v>1452</v>
      </c>
      <c r="AR741" s="3759"/>
      <c r="AS741" s="3759"/>
      <c r="AT741" s="3759"/>
      <c r="AU741" s="3759"/>
      <c r="AV741" s="3759">
        <f>I741</f>
        <v>1452</v>
      </c>
      <c r="AW741" s="3759"/>
      <c r="AX741" s="3759"/>
      <c r="AY741" s="3759"/>
      <c r="AZ741" s="3759">
        <f>I741/6</f>
        <v>242</v>
      </c>
      <c r="BA741" s="3759"/>
      <c r="BB741" s="3759"/>
      <c r="BC741" s="3759"/>
      <c r="BD741" s="4120"/>
      <c r="BE741" s="3759"/>
      <c r="BF741" s="3759"/>
      <c r="BG741" s="3759"/>
      <c r="BH741" s="3759"/>
      <c r="BI741" s="3759" t="s">
        <v>89</v>
      </c>
      <c r="BJ741" s="3759">
        <f t="shared" si="444"/>
        <v>217.8</v>
      </c>
      <c r="BK741" s="3759">
        <f t="shared" si="445"/>
        <v>48.4</v>
      </c>
      <c r="BL741" s="3759">
        <f t="shared" si="446"/>
        <v>121</v>
      </c>
      <c r="BM741" s="3759">
        <f t="shared" si="447"/>
        <v>217.8</v>
      </c>
      <c r="BN741" s="3759">
        <f t="shared" si="448"/>
        <v>290.4</v>
      </c>
      <c r="BO741" s="4146">
        <f t="shared" si="449"/>
        <v>363</v>
      </c>
      <c r="BP741" s="3721">
        <f t="shared" si="450"/>
        <v>193.6</v>
      </c>
      <c r="BQ741" s="3724">
        <f t="shared" si="414"/>
        <v>1452</v>
      </c>
      <c r="BR741" s="3721">
        <f t="shared" si="436"/>
        <v>0</v>
      </c>
    </row>
    <row r="742" s="3567" customFormat="1" ht="50" customHeight="1" spans="1:72">
      <c r="A742" s="4112">
        <v>46115</v>
      </c>
      <c r="B742" s="3766" t="s">
        <v>5234</v>
      </c>
      <c r="C742" s="3766" t="s">
        <v>738</v>
      </c>
      <c r="D742" s="3699" t="s">
        <v>8186</v>
      </c>
      <c r="E742" s="3700">
        <v>62106764</v>
      </c>
      <c r="F742" s="3699" t="s">
        <v>8187</v>
      </c>
      <c r="G742" s="3700" t="s">
        <v>6124</v>
      </c>
      <c r="H742" s="3700" t="s">
        <v>6063</v>
      </c>
      <c r="I742" s="3699">
        <v>4008</v>
      </c>
      <c r="J742" s="4175">
        <v>0</v>
      </c>
      <c r="K742" s="3699">
        <v>12</v>
      </c>
      <c r="L742" s="4113">
        <f t="shared" si="412"/>
        <v>334</v>
      </c>
      <c r="M742" s="3707">
        <v>46167</v>
      </c>
      <c r="N742" s="3707">
        <v>46163</v>
      </c>
      <c r="O742" s="3708"/>
      <c r="P742" s="3700" t="s">
        <v>82</v>
      </c>
      <c r="Q742" s="4145">
        <v>4008</v>
      </c>
      <c r="R742" s="4157">
        <f t="shared" si="427"/>
        <v>0</v>
      </c>
      <c r="S742" s="4170"/>
      <c r="T742" s="4145" t="s">
        <v>321</v>
      </c>
      <c r="U742" s="3726"/>
      <c r="V742" s="3711" t="s">
        <v>1267</v>
      </c>
      <c r="W742" s="4212"/>
      <c r="X742" s="3711" t="s">
        <v>8188</v>
      </c>
      <c r="Y742" s="3709"/>
      <c r="Z742" s="3699"/>
      <c r="AA742" s="4220" t="s">
        <v>8189</v>
      </c>
      <c r="AB742" s="4213" t="s">
        <v>459</v>
      </c>
      <c r="AC742" s="3715">
        <v>2.3045</v>
      </c>
      <c r="AD742" s="3699">
        <f t="shared" si="437"/>
        <v>9236.436</v>
      </c>
      <c r="AE742" s="3700"/>
      <c r="AF742" s="3700" t="s">
        <v>6126</v>
      </c>
      <c r="AG742" s="3700" t="s">
        <v>416</v>
      </c>
      <c r="AH742" s="4119"/>
      <c r="AI742" s="3700"/>
      <c r="AJ742" s="3699"/>
      <c r="AK742" s="4113"/>
      <c r="AL742" s="3759"/>
      <c r="AM742" s="4113"/>
      <c r="AN742" s="4120">
        <f t="shared" si="443"/>
        <v>4008</v>
      </c>
      <c r="AO742" s="3759"/>
      <c r="AP742" s="4120"/>
      <c r="AQ742" s="3759">
        <f t="shared" si="438"/>
        <v>4008</v>
      </c>
      <c r="AR742" s="4120"/>
      <c r="AS742" s="3759"/>
      <c r="AT742" s="4120">
        <f>I742</f>
        <v>4008</v>
      </c>
      <c r="AU742" s="3759"/>
      <c r="AV742" s="3759"/>
      <c r="AW742" s="3759"/>
      <c r="AX742" s="3759">
        <f>I742/6</f>
        <v>668</v>
      </c>
      <c r="AY742" s="3759"/>
      <c r="AZ742" s="3759"/>
      <c r="BA742" s="3759"/>
      <c r="BB742" s="3759"/>
      <c r="BC742" s="3759"/>
      <c r="BD742" s="4120"/>
      <c r="BE742" s="3759"/>
      <c r="BF742" s="3759"/>
      <c r="BG742" s="3759"/>
      <c r="BH742" s="3759"/>
      <c r="BI742" s="3759" t="s">
        <v>89</v>
      </c>
      <c r="BJ742" s="3759">
        <f t="shared" si="444"/>
        <v>601.2</v>
      </c>
      <c r="BK742" s="3759">
        <f t="shared" si="445"/>
        <v>133.6</v>
      </c>
      <c r="BL742" s="3759">
        <f t="shared" si="446"/>
        <v>334</v>
      </c>
      <c r="BM742" s="4146">
        <f t="shared" si="447"/>
        <v>601.2</v>
      </c>
      <c r="BN742" s="3721">
        <f t="shared" si="448"/>
        <v>801.6</v>
      </c>
      <c r="BO742" s="3791">
        <f t="shared" si="449"/>
        <v>1002</v>
      </c>
      <c r="BP742" s="3721">
        <f t="shared" si="450"/>
        <v>534.4</v>
      </c>
      <c r="BQ742" s="3724">
        <f t="shared" si="414"/>
        <v>4008</v>
      </c>
      <c r="BR742" s="3724">
        <v>0</v>
      </c>
    </row>
    <row r="743" s="3566" customFormat="1" ht="50" customHeight="1" spans="1:72">
      <c r="A743" s="3635">
        <v>46120</v>
      </c>
      <c r="B743" s="3617" t="s">
        <v>515</v>
      </c>
      <c r="C743" s="3617" t="s">
        <v>516</v>
      </c>
      <c r="D743" s="3618" t="s">
        <v>8190</v>
      </c>
      <c r="E743" s="3618" t="s">
        <v>2434</v>
      </c>
      <c r="F743" s="3618" t="s">
        <v>8191</v>
      </c>
      <c r="G743" s="959" t="s">
        <v>6124</v>
      </c>
      <c r="H743" s="3618" t="s">
        <v>6063</v>
      </c>
      <c r="I743" s="3618">
        <v>7920</v>
      </c>
      <c r="J743" s="3618">
        <v>0</v>
      </c>
      <c r="K743" s="3618">
        <v>12</v>
      </c>
      <c r="L743" s="4052">
        <f t="shared" si="412"/>
        <v>660</v>
      </c>
      <c r="M743" s="3619">
        <v>46162</v>
      </c>
      <c r="N743" s="3619">
        <v>46167</v>
      </c>
      <c r="O743" s="3664"/>
      <c r="P743" s="3700" t="s">
        <v>82</v>
      </c>
      <c r="Q743" s="4053">
        <v>7920</v>
      </c>
      <c r="R743" s="4101">
        <f t="shared" si="427"/>
        <v>0</v>
      </c>
      <c r="S743" s="4094"/>
      <c r="T743" s="4053" t="s">
        <v>321</v>
      </c>
      <c r="U743" s="3645" t="s">
        <v>1208</v>
      </c>
      <c r="V743" s="3657" t="s">
        <v>1196</v>
      </c>
      <c r="W743" s="4221"/>
      <c r="X743" s="3657" t="s">
        <v>8166</v>
      </c>
      <c r="Y743" s="3649"/>
      <c r="Z743" s="3618"/>
      <c r="AA743" s="3633" t="s">
        <v>8192</v>
      </c>
      <c r="AB743" s="4222" t="s">
        <v>459</v>
      </c>
      <c r="AC743" s="3633">
        <v>2.259</v>
      </c>
      <c r="AD743" s="3618">
        <f t="shared" si="437"/>
        <v>17891.28</v>
      </c>
      <c r="AE743" s="959"/>
      <c r="AF743" s="959" t="s">
        <v>6126</v>
      </c>
      <c r="AG743" s="959" t="s">
        <v>416</v>
      </c>
      <c r="AH743" s="4108"/>
      <c r="AI743" s="959"/>
      <c r="AJ743" s="3618"/>
      <c r="AK743" s="4052"/>
      <c r="AL743" s="3626"/>
      <c r="AM743" s="4052"/>
      <c r="AN743" s="4109">
        <f t="shared" si="443"/>
        <v>7920</v>
      </c>
      <c r="AO743" s="3626"/>
      <c r="AP743" s="4109"/>
      <c r="AQ743" s="3626">
        <f t="shared" si="438"/>
        <v>7920</v>
      </c>
      <c r="AR743" s="4109"/>
      <c r="AS743" s="3626"/>
      <c r="AT743" s="4109">
        <f>I743</f>
        <v>7920</v>
      </c>
      <c r="AU743" s="3626"/>
      <c r="AV743" s="3626"/>
      <c r="AW743" s="3626"/>
      <c r="AX743" s="3626">
        <f>I743/6</f>
        <v>1320</v>
      </c>
      <c r="AY743" s="3626"/>
      <c r="AZ743" s="3626"/>
      <c r="BA743" s="3626"/>
      <c r="BB743" s="3626"/>
      <c r="BC743" s="3626"/>
      <c r="BD743" s="4109"/>
      <c r="BE743" s="3626"/>
      <c r="BF743" s="3626"/>
      <c r="BG743" s="3626"/>
      <c r="BH743" s="3626"/>
      <c r="BI743" s="3626" t="s">
        <v>89</v>
      </c>
      <c r="BJ743" s="3626">
        <f t="shared" si="444"/>
        <v>1188</v>
      </c>
      <c r="BK743" s="3626">
        <f t="shared" si="445"/>
        <v>264</v>
      </c>
      <c r="BL743" s="3626">
        <f t="shared" si="446"/>
        <v>660</v>
      </c>
      <c r="BM743" s="4055">
        <f t="shared" si="447"/>
        <v>1188</v>
      </c>
      <c r="BN743" s="3627">
        <f t="shared" si="448"/>
        <v>1584</v>
      </c>
      <c r="BO743" s="4223">
        <f t="shared" si="449"/>
        <v>1980</v>
      </c>
      <c r="BP743" s="3627">
        <f t="shared" si="450"/>
        <v>1056</v>
      </c>
      <c r="BQ743" s="4110">
        <f t="shared" si="414"/>
        <v>7920</v>
      </c>
      <c r="BR743" s="3627">
        <v>0</v>
      </c>
    </row>
    <row r="744" s="3566" customFormat="1" ht="50" customHeight="1" spans="1:72">
      <c r="A744" s="3635">
        <v>46121</v>
      </c>
      <c r="B744" s="3617" t="s">
        <v>331</v>
      </c>
      <c r="C744" s="3617" t="s">
        <v>793</v>
      </c>
      <c r="D744" s="3618" t="s">
        <v>8193</v>
      </c>
      <c r="E744" s="959" t="s">
        <v>8194</v>
      </c>
      <c r="F744" s="959" t="s">
        <v>8195</v>
      </c>
      <c r="G744" s="959" t="s">
        <v>6298</v>
      </c>
      <c r="H744" s="3618" t="s">
        <v>6063</v>
      </c>
      <c r="I744" s="4224">
        <v>19000</v>
      </c>
      <c r="J744" s="3618">
        <v>0</v>
      </c>
      <c r="K744" s="3618">
        <v>4</v>
      </c>
      <c r="L744" s="4052">
        <f t="shared" si="412"/>
        <v>4750</v>
      </c>
      <c r="M744" s="3619">
        <v>46167</v>
      </c>
      <c r="N744" s="3619">
        <v>46163</v>
      </c>
      <c r="O744" s="3664"/>
      <c r="P744" s="3700" t="s">
        <v>82</v>
      </c>
      <c r="Q744" s="4053">
        <v>19000</v>
      </c>
      <c r="R744" s="4101">
        <f t="shared" si="427"/>
        <v>0</v>
      </c>
      <c r="S744" s="4053"/>
      <c r="T744" s="4053" t="s">
        <v>321</v>
      </c>
      <c r="U744" s="3620" t="s">
        <v>5815</v>
      </c>
      <c r="V744" s="3657" t="s">
        <v>1249</v>
      </c>
      <c r="W744" s="3695"/>
      <c r="X744" s="3657" t="s">
        <v>8196</v>
      </c>
      <c r="Y744" s="3649"/>
      <c r="Z744" s="3661"/>
      <c r="AA744" s="3620" t="s">
        <v>8197</v>
      </c>
      <c r="AB744" s="3624" t="s">
        <v>8198</v>
      </c>
      <c r="AC744" s="4058">
        <v>2.2813</v>
      </c>
      <c r="AD744" s="3618">
        <f t="shared" si="437"/>
        <v>43344.7</v>
      </c>
      <c r="AE744" s="3633"/>
      <c r="AF744" s="959" t="s">
        <v>6298</v>
      </c>
      <c r="AG744" s="3620" t="s">
        <v>416</v>
      </c>
      <c r="AH744" s="3620"/>
      <c r="AI744" s="3620"/>
      <c r="AJ744" s="3620"/>
      <c r="AK744" s="959"/>
      <c r="AL744" s="4108">
        <f>I744</f>
        <v>19000</v>
      </c>
      <c r="AM744" s="959"/>
      <c r="AN744" s="4108"/>
      <c r="AO744" s="959"/>
      <c r="AP744" s="3618"/>
      <c r="AQ744" s="4052">
        <f t="shared" si="438"/>
        <v>19000</v>
      </c>
      <c r="AR744" s="3626"/>
      <c r="AS744" s="3626"/>
      <c r="AT744" s="4109">
        <f>I744</f>
        <v>19000</v>
      </c>
      <c r="AU744" s="3626"/>
      <c r="AV744" s="3626"/>
      <c r="AW744" s="3626"/>
      <c r="AX744" s="4109"/>
      <c r="AY744" s="3626"/>
      <c r="AZ744" s="3626"/>
      <c r="BA744" s="3626"/>
      <c r="BB744" s="3626"/>
      <c r="BC744" s="3626"/>
      <c r="BD744" s="4109">
        <f>I744/4</f>
        <v>4750</v>
      </c>
      <c r="BE744" s="3626"/>
      <c r="BF744" s="3626"/>
      <c r="BG744" s="3626"/>
      <c r="BH744" s="3626"/>
      <c r="BI744" s="3626" t="s">
        <v>89</v>
      </c>
      <c r="BJ744" s="3626">
        <f t="shared" si="444"/>
        <v>2850</v>
      </c>
      <c r="BK744" s="3626">
        <f t="shared" si="445"/>
        <v>633.333333333333</v>
      </c>
      <c r="BL744" s="3626">
        <f t="shared" si="446"/>
        <v>1583.33333333333</v>
      </c>
      <c r="BM744" s="4055">
        <f t="shared" si="447"/>
        <v>2850</v>
      </c>
      <c r="BN744" s="3627">
        <f t="shared" si="448"/>
        <v>3800</v>
      </c>
      <c r="BO744" s="4223">
        <f t="shared" si="449"/>
        <v>4750</v>
      </c>
      <c r="BP744" s="3627">
        <f t="shared" si="450"/>
        <v>2533.33333333333</v>
      </c>
      <c r="BQ744" s="4110">
        <f t="shared" si="414"/>
        <v>19000</v>
      </c>
      <c r="BR744" s="4110">
        <f>I744-BQ744</f>
        <v>0</v>
      </c>
      <c r="BS744" s="4056"/>
      <c r="BT744" s="4057"/>
    </row>
    <row r="745" s="4027" customFormat="1" ht="50" customHeight="1" spans="1:72">
      <c r="A745" s="3635">
        <v>46121</v>
      </c>
      <c r="B745" s="3617" t="s">
        <v>3555</v>
      </c>
      <c r="C745" s="3617" t="s">
        <v>1385</v>
      </c>
      <c r="D745" s="3618" t="s">
        <v>8199</v>
      </c>
      <c r="E745" s="959" t="s">
        <v>2434</v>
      </c>
      <c r="F745" s="3618" t="s">
        <v>8200</v>
      </c>
      <c r="G745" s="959" t="s">
        <v>6195</v>
      </c>
      <c r="H745" s="3618" t="s">
        <v>6063</v>
      </c>
      <c r="I745" s="3618">
        <v>3600</v>
      </c>
      <c r="J745" s="3618">
        <v>0</v>
      </c>
      <c r="K745" s="3618">
        <v>12</v>
      </c>
      <c r="L745" s="3618">
        <f t="shared" si="412"/>
        <v>300</v>
      </c>
      <c r="M745" s="3619">
        <v>46175</v>
      </c>
      <c r="N745" s="3619">
        <v>46171</v>
      </c>
      <c r="O745" s="3664"/>
      <c r="P745" s="3700" t="s">
        <v>82</v>
      </c>
      <c r="Q745" s="4225">
        <v>3600</v>
      </c>
      <c r="R745" s="4101">
        <f t="shared" si="427"/>
        <v>0</v>
      </c>
      <c r="S745" s="4226"/>
      <c r="T745" s="4053" t="s">
        <v>321</v>
      </c>
      <c r="U745" s="3645" t="s">
        <v>401</v>
      </c>
      <c r="V745" s="3657" t="s">
        <v>1209</v>
      </c>
      <c r="W745" s="4227"/>
      <c r="X745" s="3657" t="s">
        <v>98</v>
      </c>
      <c r="Y745" s="3571"/>
      <c r="Z745" s="3571"/>
      <c r="AA745" s="3620" t="s">
        <v>8201</v>
      </c>
      <c r="AB745" s="3624" t="s">
        <v>448</v>
      </c>
      <c r="AC745" s="4058">
        <v>2.3012</v>
      </c>
      <c r="AD745" s="3618">
        <f t="shared" si="437"/>
        <v>8284.32</v>
      </c>
      <c r="AE745" s="3620"/>
      <c r="AF745" s="959" t="s">
        <v>6195</v>
      </c>
      <c r="AG745" s="3618" t="s">
        <v>416</v>
      </c>
      <c r="AH745" s="3620"/>
      <c r="AI745" s="959"/>
      <c r="AJ745" s="959"/>
      <c r="AK745" s="4110"/>
      <c r="AL745" s="4108">
        <f>I745</f>
        <v>3600</v>
      </c>
      <c r="AM745" s="959"/>
      <c r="AN745" s="4108"/>
      <c r="AO745" s="4052"/>
      <c r="AP745" s="4108"/>
      <c r="AQ745" s="3626">
        <f t="shared" si="438"/>
        <v>3600</v>
      </c>
      <c r="AR745" s="4109"/>
      <c r="AS745" s="4109"/>
      <c r="AT745" s="3626">
        <f>I745</f>
        <v>3600</v>
      </c>
      <c r="AU745" s="3626"/>
      <c r="AV745" s="4109"/>
      <c r="AW745" s="3626"/>
      <c r="AX745" s="3626"/>
      <c r="AY745" s="3626"/>
      <c r="AZ745" s="3626">
        <f>I745/6</f>
        <v>600</v>
      </c>
      <c r="BA745" s="3626"/>
      <c r="BB745" s="3626"/>
      <c r="BC745" s="3626"/>
      <c r="BD745" s="3626"/>
      <c r="BE745" s="3626"/>
      <c r="BF745" s="4055"/>
      <c r="BG745" s="3627"/>
      <c r="BH745" s="3627"/>
      <c r="BI745" s="3626" t="s">
        <v>89</v>
      </c>
      <c r="BJ745" s="3626">
        <f t="shared" si="444"/>
        <v>540</v>
      </c>
      <c r="BK745" s="3626">
        <f t="shared" si="445"/>
        <v>120</v>
      </c>
      <c r="BL745" s="3626">
        <f t="shared" si="446"/>
        <v>300</v>
      </c>
      <c r="BM745" s="4055">
        <f t="shared" si="447"/>
        <v>540</v>
      </c>
      <c r="BN745" s="3627">
        <f t="shared" si="448"/>
        <v>720</v>
      </c>
      <c r="BO745" s="4223">
        <f t="shared" si="449"/>
        <v>900</v>
      </c>
      <c r="BP745" s="3627">
        <f t="shared" si="450"/>
        <v>480</v>
      </c>
      <c r="BQ745" s="4110">
        <f t="shared" si="414"/>
        <v>3600</v>
      </c>
      <c r="BR745" s="3627">
        <f>I745-BQ745</f>
        <v>0</v>
      </c>
      <c r="BS745" s="4056"/>
    </row>
    <row r="746" s="3566" customFormat="1" ht="50" customHeight="1" spans="1:72">
      <c r="A746" s="3635">
        <v>46120</v>
      </c>
      <c r="B746" s="3617" t="s">
        <v>5860</v>
      </c>
      <c r="C746" s="3617" t="s">
        <v>1193</v>
      </c>
      <c r="D746" s="3618" t="s">
        <v>5861</v>
      </c>
      <c r="E746" s="3618" t="s">
        <v>2434</v>
      </c>
      <c r="F746" s="3618" t="s">
        <v>8202</v>
      </c>
      <c r="G746" s="959" t="s">
        <v>3520</v>
      </c>
      <c r="H746" s="3618" t="s">
        <v>6063</v>
      </c>
      <c r="I746" s="3618">
        <v>240</v>
      </c>
      <c r="J746" s="3618">
        <v>0</v>
      </c>
      <c r="K746" s="3618">
        <v>24</v>
      </c>
      <c r="L746" s="4052">
        <f t="shared" si="412"/>
        <v>10</v>
      </c>
      <c r="M746" s="3619">
        <v>46169</v>
      </c>
      <c r="N746" s="3619">
        <v>46165</v>
      </c>
      <c r="O746" s="3664"/>
      <c r="P746" s="3700" t="s">
        <v>82</v>
      </c>
      <c r="Q746" s="4228">
        <v>240</v>
      </c>
      <c r="R746" s="4229">
        <f t="shared" si="427"/>
        <v>0</v>
      </c>
      <c r="S746" s="4230"/>
      <c r="T746" s="4228" t="s">
        <v>321</v>
      </c>
      <c r="U746" s="3645" t="s">
        <v>5863</v>
      </c>
      <c r="V746" s="3657" t="s">
        <v>5848</v>
      </c>
      <c r="W746" s="4221"/>
      <c r="X746" s="3657" t="s">
        <v>2414</v>
      </c>
      <c r="Y746" s="3649"/>
      <c r="Z746" s="3618"/>
      <c r="AA746" s="3633" t="s">
        <v>5865</v>
      </c>
      <c r="AB746" s="4222" t="s">
        <v>357</v>
      </c>
      <c r="AC746" s="3633">
        <v>2.2009</v>
      </c>
      <c r="AD746" s="3618">
        <f t="shared" si="437"/>
        <v>528.216</v>
      </c>
      <c r="AE746" s="959"/>
      <c r="AF746" s="959" t="s">
        <v>3520</v>
      </c>
      <c r="AG746" s="959" t="s">
        <v>416</v>
      </c>
      <c r="AH746" s="4108"/>
      <c r="AI746" s="959"/>
      <c r="AJ746" s="3618"/>
      <c r="AK746" s="4052"/>
      <c r="AL746" s="3626">
        <f>I746</f>
        <v>240</v>
      </c>
      <c r="AM746" s="4052"/>
      <c r="AN746" s="4109"/>
      <c r="AO746" s="3626"/>
      <c r="AP746" s="4109"/>
      <c r="AQ746" s="3626">
        <f t="shared" si="438"/>
        <v>240</v>
      </c>
      <c r="AR746" s="4109"/>
      <c r="AS746" s="3626"/>
      <c r="AT746" s="4109">
        <f>I746</f>
        <v>240</v>
      </c>
      <c r="AU746" s="3626"/>
      <c r="AV746" s="3626"/>
      <c r="AW746" s="3626"/>
      <c r="AX746" s="3626"/>
      <c r="AY746" s="3626"/>
      <c r="AZ746" s="3626"/>
      <c r="BA746" s="3626"/>
      <c r="BB746" s="3626"/>
      <c r="BC746" s="3626"/>
      <c r="BD746" s="4109"/>
      <c r="BE746" s="3626"/>
      <c r="BF746" s="3626"/>
      <c r="BG746" s="3626"/>
      <c r="BH746" s="3626"/>
      <c r="BI746" s="3626" t="s">
        <v>89</v>
      </c>
      <c r="BJ746" s="3626">
        <f t="shared" si="444"/>
        <v>36</v>
      </c>
      <c r="BK746" s="3626">
        <f t="shared" si="445"/>
        <v>8</v>
      </c>
      <c r="BL746" s="3626">
        <f t="shared" si="446"/>
        <v>20</v>
      </c>
      <c r="BM746" s="4055">
        <f t="shared" si="447"/>
        <v>36</v>
      </c>
      <c r="BN746" s="3627">
        <f t="shared" si="448"/>
        <v>48</v>
      </c>
      <c r="BO746" s="4223">
        <f t="shared" si="449"/>
        <v>60</v>
      </c>
      <c r="BP746" s="3627">
        <f t="shared" si="450"/>
        <v>32</v>
      </c>
      <c r="BQ746" s="4110">
        <f t="shared" si="414"/>
        <v>240</v>
      </c>
      <c r="BR746" s="3627">
        <f>I746-BQ746</f>
        <v>0</v>
      </c>
    </row>
    <row r="747" s="4028" customFormat="1" ht="50" customHeight="1" spans="1:72">
      <c r="A747" s="3635">
        <v>46128</v>
      </c>
      <c r="B747" s="3617" t="s">
        <v>2872</v>
      </c>
      <c r="C747" s="3617" t="s">
        <v>471</v>
      </c>
      <c r="D747" s="3618">
        <v>4500202309</v>
      </c>
      <c r="E747" s="5462" t="s">
        <v>8203</v>
      </c>
      <c r="F747" s="3618" t="s">
        <v>8204</v>
      </c>
      <c r="G747" s="959" t="s">
        <v>6108</v>
      </c>
      <c r="H747" s="3618" t="s">
        <v>6063</v>
      </c>
      <c r="I747" s="3618">
        <v>1800</v>
      </c>
      <c r="J747" s="3618">
        <v>0</v>
      </c>
      <c r="K747" s="3618">
        <v>12</v>
      </c>
      <c r="L747" s="4052">
        <f t="shared" si="412"/>
        <v>150</v>
      </c>
      <c r="M747" s="3619">
        <v>46171</v>
      </c>
      <c r="N747" s="3619">
        <v>46167</v>
      </c>
      <c r="O747" s="3664"/>
      <c r="P747" s="3700" t="s">
        <v>82</v>
      </c>
      <c r="Q747" s="4053">
        <v>1800</v>
      </c>
      <c r="R747" s="4101">
        <f t="shared" si="427"/>
        <v>0</v>
      </c>
      <c r="S747" s="4094"/>
      <c r="T747" s="4053" t="s">
        <v>321</v>
      </c>
      <c r="U747" s="3645" t="s">
        <v>279</v>
      </c>
      <c r="V747" s="3657" t="s">
        <v>3709</v>
      </c>
      <c r="W747" s="3645"/>
      <c r="X747" s="3657" t="s">
        <v>98</v>
      </c>
      <c r="Y747" s="3657"/>
      <c r="Z747" s="3618"/>
      <c r="AA747" s="3633" t="s">
        <v>8205</v>
      </c>
      <c r="AB747" s="4222" t="s">
        <v>4573</v>
      </c>
      <c r="AC747" s="3633">
        <v>2.2547</v>
      </c>
      <c r="AD747" s="3618">
        <f t="shared" si="437"/>
        <v>4058.46</v>
      </c>
      <c r="AE747" s="959"/>
      <c r="AF747" s="959" t="s">
        <v>6699</v>
      </c>
      <c r="AG747" s="959" t="s">
        <v>416</v>
      </c>
      <c r="AH747" s="4108"/>
      <c r="AI747" s="959"/>
      <c r="AJ747" s="3618"/>
      <c r="AK747" s="4052"/>
      <c r="AL747" s="3626"/>
      <c r="AM747" s="4052"/>
      <c r="AN747" s="4109">
        <f>I747</f>
        <v>1800</v>
      </c>
      <c r="AO747" s="3626"/>
      <c r="AP747" s="4109"/>
      <c r="AQ747" s="3626">
        <f t="shared" si="438"/>
        <v>1800</v>
      </c>
      <c r="AR747" s="4109"/>
      <c r="AS747" s="3626"/>
      <c r="AT747" s="4109"/>
      <c r="AU747" s="3626"/>
      <c r="AV747" s="3626">
        <f>I747</f>
        <v>1800</v>
      </c>
      <c r="AW747" s="3626"/>
      <c r="AX747" s="3626">
        <f>I747/6</f>
        <v>300</v>
      </c>
      <c r="AY747" s="3626"/>
      <c r="AZ747" s="3626"/>
      <c r="BA747" s="3626"/>
      <c r="BB747" s="3626"/>
      <c r="BC747" s="3626"/>
      <c r="BD747" s="4109"/>
      <c r="BE747" s="3626"/>
      <c r="BF747" s="3626"/>
      <c r="BG747" s="3626"/>
      <c r="BH747" s="3626"/>
      <c r="BI747" s="3626" t="s">
        <v>89</v>
      </c>
      <c r="BJ747" s="3626">
        <f t="shared" si="444"/>
        <v>270</v>
      </c>
      <c r="BK747" s="3626">
        <f t="shared" si="445"/>
        <v>60</v>
      </c>
      <c r="BL747" s="3626">
        <f t="shared" si="446"/>
        <v>150</v>
      </c>
      <c r="BM747" s="4055">
        <f t="shared" si="447"/>
        <v>270</v>
      </c>
      <c r="BN747" s="3627">
        <f t="shared" si="448"/>
        <v>360</v>
      </c>
      <c r="BO747" s="4223">
        <f t="shared" si="449"/>
        <v>450</v>
      </c>
      <c r="BP747" s="3627">
        <f t="shared" si="450"/>
        <v>240</v>
      </c>
      <c r="BQ747" s="4110">
        <f t="shared" si="414"/>
        <v>1800</v>
      </c>
      <c r="BR747" s="3627">
        <f>I747-BQ747</f>
        <v>0</v>
      </c>
      <c r="BS747" s="3566"/>
      <c r="BT747" s="3566"/>
    </row>
    <row r="748" s="3567" customFormat="1" ht="50" customHeight="1" spans="1:72">
      <c r="A748" s="4112">
        <v>46133</v>
      </c>
      <c r="B748" s="3766" t="s">
        <v>1682</v>
      </c>
      <c r="C748" s="3766" t="s">
        <v>91</v>
      </c>
      <c r="D748" s="3699" t="s">
        <v>5871</v>
      </c>
      <c r="E748" s="3700">
        <v>384837301</v>
      </c>
      <c r="F748" s="3700" t="s">
        <v>8206</v>
      </c>
      <c r="G748" s="3700" t="s">
        <v>6159</v>
      </c>
      <c r="H748" s="3699" t="s">
        <v>6063</v>
      </c>
      <c r="I748" s="3699">
        <v>2004</v>
      </c>
      <c r="J748" s="3699">
        <v>0</v>
      </c>
      <c r="K748" s="3699">
        <v>6</v>
      </c>
      <c r="L748" s="4113">
        <f t="shared" si="412"/>
        <v>334</v>
      </c>
      <c r="M748" s="3707">
        <v>46175</v>
      </c>
      <c r="N748" s="3707">
        <v>46171</v>
      </c>
      <c r="O748" s="3708"/>
      <c r="P748" s="3700" t="s">
        <v>82</v>
      </c>
      <c r="Q748" s="4145">
        <v>2004</v>
      </c>
      <c r="R748" s="4157">
        <f t="shared" si="427"/>
        <v>0</v>
      </c>
      <c r="S748" s="4173"/>
      <c r="T748" s="4145" t="s">
        <v>321</v>
      </c>
      <c r="U748" s="3680" t="s">
        <v>5868</v>
      </c>
      <c r="V748" s="3711" t="s">
        <v>1267</v>
      </c>
      <c r="W748" s="3711"/>
      <c r="X748" s="3711" t="s">
        <v>5869</v>
      </c>
      <c r="Y748" s="3711"/>
      <c r="Z748" s="3699"/>
      <c r="AA748" s="3715" t="s">
        <v>8207</v>
      </c>
      <c r="AB748" s="3769" t="s">
        <v>500</v>
      </c>
      <c r="AC748" s="3770">
        <v>1.3275</v>
      </c>
      <c r="AD748" s="3699">
        <f t="shared" si="437"/>
        <v>2660.31</v>
      </c>
      <c r="AE748" s="3700"/>
      <c r="AF748" s="3700" t="s">
        <v>6159</v>
      </c>
      <c r="AG748" s="3700" t="s">
        <v>416</v>
      </c>
      <c r="AH748" s="4119"/>
      <c r="AI748" s="3700"/>
      <c r="AJ748" s="3699"/>
      <c r="AK748" s="4113"/>
      <c r="AL748" s="3759">
        <f>I748</f>
        <v>2004</v>
      </c>
      <c r="AM748" s="4113"/>
      <c r="AN748" s="3700"/>
      <c r="AO748" s="3759"/>
      <c r="AP748" s="4120"/>
      <c r="AQ748" s="3699">
        <f t="shared" si="438"/>
        <v>2004</v>
      </c>
      <c r="AR748" s="4120"/>
      <c r="AS748" s="3759"/>
      <c r="AT748" s="4120">
        <f t="shared" ref="AT748:AT754" si="451">I748</f>
        <v>2004</v>
      </c>
      <c r="AU748" s="3759"/>
      <c r="AV748" s="3759"/>
      <c r="AW748" s="3759"/>
      <c r="AX748" s="3759"/>
      <c r="AY748" s="3759"/>
      <c r="AZ748" s="3759"/>
      <c r="BA748" s="3759"/>
      <c r="BB748" s="3759"/>
      <c r="BC748" s="3759"/>
      <c r="BD748" s="4120"/>
      <c r="BE748" s="3759"/>
      <c r="BF748" s="3759"/>
      <c r="BG748" s="3759"/>
      <c r="BH748" s="3759"/>
      <c r="BI748" s="3759" t="s">
        <v>89</v>
      </c>
      <c r="BJ748" s="3759">
        <f t="shared" si="444"/>
        <v>300.6</v>
      </c>
      <c r="BK748" s="3759">
        <f t="shared" si="445"/>
        <v>66.8</v>
      </c>
      <c r="BL748" s="3759">
        <f t="shared" si="446"/>
        <v>167</v>
      </c>
      <c r="BM748" s="4146">
        <f t="shared" si="447"/>
        <v>300.6</v>
      </c>
      <c r="BN748" s="3721">
        <f t="shared" si="448"/>
        <v>400.8</v>
      </c>
      <c r="BO748" s="3791">
        <f t="shared" si="449"/>
        <v>501</v>
      </c>
      <c r="BP748" s="3721">
        <f t="shared" si="450"/>
        <v>267.2</v>
      </c>
      <c r="BQ748" s="3721">
        <f t="shared" si="414"/>
        <v>2004</v>
      </c>
      <c r="BR748" s="3721">
        <f>I748-BQ748</f>
        <v>0</v>
      </c>
    </row>
    <row r="749" s="3567" customFormat="1" ht="50" customHeight="1" spans="1:72">
      <c r="A749" s="4112">
        <v>46134</v>
      </c>
      <c r="B749" s="3766" t="s">
        <v>8208</v>
      </c>
      <c r="C749" s="3766" t="s">
        <v>581</v>
      </c>
      <c r="D749" s="3699" t="s">
        <v>8209</v>
      </c>
      <c r="E749" s="3699" t="s">
        <v>8210</v>
      </c>
      <c r="F749" s="3699" t="s">
        <v>8211</v>
      </c>
      <c r="G749" s="3700" t="s">
        <v>6124</v>
      </c>
      <c r="H749" s="3699" t="s">
        <v>6063</v>
      </c>
      <c r="I749" s="3699">
        <v>3204</v>
      </c>
      <c r="J749" s="3699">
        <v>0</v>
      </c>
      <c r="K749" s="3699">
        <v>12</v>
      </c>
      <c r="L749" s="4113">
        <f t="shared" si="412"/>
        <v>267</v>
      </c>
      <c r="M749" s="3707">
        <v>46178</v>
      </c>
      <c r="N749" s="3707">
        <v>46174</v>
      </c>
      <c r="O749" s="3708"/>
      <c r="P749" s="3700" t="s">
        <v>82</v>
      </c>
      <c r="Q749" s="4145">
        <f>2376+828</f>
        <v>3204</v>
      </c>
      <c r="R749" s="4157">
        <f t="shared" si="427"/>
        <v>0</v>
      </c>
      <c r="S749" s="4170"/>
      <c r="T749" s="4145" t="s">
        <v>321</v>
      </c>
      <c r="U749" s="3726" t="s">
        <v>5815</v>
      </c>
      <c r="V749" s="3711" t="s">
        <v>1216</v>
      </c>
      <c r="W749" s="3711"/>
      <c r="X749" s="3711" t="s">
        <v>8212</v>
      </c>
      <c r="Y749" s="3711"/>
      <c r="Z749" s="3699"/>
      <c r="AA749" s="3715" t="s">
        <v>8213</v>
      </c>
      <c r="AB749" s="4213" t="s">
        <v>459</v>
      </c>
      <c r="AC749" s="3715">
        <v>2.2464</v>
      </c>
      <c r="AD749" s="3699">
        <f t="shared" si="437"/>
        <v>7197.4656</v>
      </c>
      <c r="AE749" s="3700"/>
      <c r="AF749" s="3700" t="s">
        <v>6124</v>
      </c>
      <c r="AG749" s="3700" t="s">
        <v>416</v>
      </c>
      <c r="AH749" s="4119"/>
      <c r="AI749" s="3700"/>
      <c r="AJ749" s="3699"/>
      <c r="AK749" s="4113"/>
      <c r="AL749" s="3759">
        <f>I749</f>
        <v>3204</v>
      </c>
      <c r="AM749" s="4113"/>
      <c r="AN749" s="4120"/>
      <c r="AO749" s="3759"/>
      <c r="AP749" s="4120"/>
      <c r="AQ749" s="3759">
        <f t="shared" si="438"/>
        <v>3204</v>
      </c>
      <c r="AR749" s="4120"/>
      <c r="AS749" s="3759"/>
      <c r="AT749" s="4120">
        <f t="shared" si="451"/>
        <v>3204</v>
      </c>
      <c r="AU749" s="3759"/>
      <c r="AV749" s="3759"/>
      <c r="AW749" s="3759"/>
      <c r="AX749" s="3759">
        <f>I749/6</f>
        <v>534</v>
      </c>
      <c r="AY749" s="3759"/>
      <c r="AZ749" s="3759"/>
      <c r="BA749" s="3759"/>
      <c r="BB749" s="3759"/>
      <c r="BC749" s="3759"/>
      <c r="BD749" s="4120"/>
      <c r="BE749" s="3759"/>
      <c r="BF749" s="3759"/>
      <c r="BG749" s="3759"/>
      <c r="BH749" s="3759"/>
      <c r="BI749" s="3759" t="s">
        <v>89</v>
      </c>
      <c r="BJ749" s="3759">
        <f t="shared" si="444"/>
        <v>480.6</v>
      </c>
      <c r="BK749" s="3759">
        <f t="shared" si="445"/>
        <v>106.8</v>
      </c>
      <c r="BL749" s="3759">
        <f t="shared" si="446"/>
        <v>267</v>
      </c>
      <c r="BM749" s="4146">
        <f t="shared" si="447"/>
        <v>480.6</v>
      </c>
      <c r="BN749" s="3721">
        <f t="shared" si="448"/>
        <v>640.8</v>
      </c>
      <c r="BO749" s="3791">
        <f t="shared" si="449"/>
        <v>801</v>
      </c>
      <c r="BP749" s="3721">
        <f t="shared" si="450"/>
        <v>427.2</v>
      </c>
      <c r="BQ749" s="4122">
        <f t="shared" si="414"/>
        <v>3204</v>
      </c>
      <c r="BR749" s="3721">
        <v>0</v>
      </c>
    </row>
    <row r="750" s="3567" customFormat="1" ht="50" customHeight="1" spans="1:72">
      <c r="A750" s="4112">
        <v>46121</v>
      </c>
      <c r="B750" s="3766" t="s">
        <v>331</v>
      </c>
      <c r="C750" s="3766" t="s">
        <v>793</v>
      </c>
      <c r="D750" s="3699" t="s">
        <v>8193</v>
      </c>
      <c r="E750" s="3700" t="s">
        <v>8214</v>
      </c>
      <c r="F750" s="3700" t="s">
        <v>8215</v>
      </c>
      <c r="G750" s="3700" t="s">
        <v>6298</v>
      </c>
      <c r="H750" s="3699" t="s">
        <v>6063</v>
      </c>
      <c r="I750" s="4175">
        <v>3000</v>
      </c>
      <c r="J750" s="3699">
        <v>0</v>
      </c>
      <c r="K750" s="3699">
        <v>4</v>
      </c>
      <c r="L750" s="4113">
        <f t="shared" si="412"/>
        <v>750</v>
      </c>
      <c r="M750" s="3707">
        <v>46178</v>
      </c>
      <c r="N750" s="3707">
        <v>46174</v>
      </c>
      <c r="O750" s="3708" t="s">
        <v>8216</v>
      </c>
      <c r="P750" s="3700" t="s">
        <v>82</v>
      </c>
      <c r="Q750" s="4145">
        <v>3000</v>
      </c>
      <c r="R750" s="4157">
        <f t="shared" si="427"/>
        <v>0</v>
      </c>
      <c r="S750" s="4145"/>
      <c r="T750" s="4145" t="s">
        <v>321</v>
      </c>
      <c r="U750" s="3620" t="s">
        <v>5815</v>
      </c>
      <c r="V750" s="3711" t="s">
        <v>1249</v>
      </c>
      <c r="W750" s="3710"/>
      <c r="X750" s="3711" t="s">
        <v>8196</v>
      </c>
      <c r="Y750" s="3709"/>
      <c r="Z750" s="3712"/>
      <c r="AA750" s="3680" t="s">
        <v>8197</v>
      </c>
      <c r="AB750" s="3769" t="s">
        <v>8198</v>
      </c>
      <c r="AC750" s="4118">
        <v>2.2809</v>
      </c>
      <c r="AD750" s="3699">
        <f t="shared" si="437"/>
        <v>6842.7</v>
      </c>
      <c r="AE750" s="3715"/>
      <c r="AF750" s="3700" t="s">
        <v>6298</v>
      </c>
      <c r="AG750" s="3680" t="s">
        <v>416</v>
      </c>
      <c r="AH750" s="3680"/>
      <c r="AI750" s="3680"/>
      <c r="AJ750" s="3680"/>
      <c r="AK750" s="3700"/>
      <c r="AL750" s="4119">
        <f>I750</f>
        <v>3000</v>
      </c>
      <c r="AM750" s="3700"/>
      <c r="AN750" s="4119"/>
      <c r="AO750" s="3700"/>
      <c r="AP750" s="3699"/>
      <c r="AQ750" s="4113">
        <f t="shared" si="438"/>
        <v>3000</v>
      </c>
      <c r="AR750" s="3759"/>
      <c r="AS750" s="3759"/>
      <c r="AT750" s="4120">
        <f t="shared" si="451"/>
        <v>3000</v>
      </c>
      <c r="AU750" s="3759"/>
      <c r="AV750" s="3759"/>
      <c r="AW750" s="3759"/>
      <c r="AX750" s="4120"/>
      <c r="AY750" s="3759"/>
      <c r="AZ750" s="3759"/>
      <c r="BA750" s="3759"/>
      <c r="BB750" s="3759"/>
      <c r="BC750" s="3759"/>
      <c r="BD750" s="4120">
        <f>I750/4</f>
        <v>750</v>
      </c>
      <c r="BE750" s="3759"/>
      <c r="BF750" s="3759"/>
      <c r="BG750" s="3759"/>
      <c r="BH750" s="3759"/>
      <c r="BI750" s="3759" t="s">
        <v>89</v>
      </c>
      <c r="BJ750" s="3759">
        <f t="shared" si="444"/>
        <v>450</v>
      </c>
      <c r="BK750" s="3759">
        <f t="shared" si="445"/>
        <v>100</v>
      </c>
      <c r="BL750" s="3759">
        <f t="shared" si="446"/>
        <v>250</v>
      </c>
      <c r="BM750" s="4146">
        <f t="shared" si="447"/>
        <v>450</v>
      </c>
      <c r="BN750" s="3721">
        <f t="shared" si="448"/>
        <v>600</v>
      </c>
      <c r="BO750" s="3791">
        <f t="shared" si="449"/>
        <v>750</v>
      </c>
      <c r="BP750" s="3721">
        <f t="shared" si="450"/>
        <v>400</v>
      </c>
      <c r="BQ750" s="4122">
        <f t="shared" si="414"/>
        <v>3000</v>
      </c>
      <c r="BR750" s="4122">
        <f>I750-BQ750</f>
        <v>0</v>
      </c>
      <c r="BS750" s="4123"/>
      <c r="BT750" s="4124"/>
    </row>
    <row r="751" s="3567" customFormat="1" ht="50" customHeight="1" spans="1:72">
      <c r="A751" s="4112">
        <v>46108</v>
      </c>
      <c r="B751" s="3766" t="s">
        <v>2171</v>
      </c>
      <c r="C751" s="3766" t="s">
        <v>471</v>
      </c>
      <c r="D751" s="3699">
        <v>4500198659</v>
      </c>
      <c r="E751" s="3700" t="s">
        <v>8217</v>
      </c>
      <c r="F751" s="3700" t="s">
        <v>8218</v>
      </c>
      <c r="G751" s="3700" t="s">
        <v>6281</v>
      </c>
      <c r="H751" s="3699" t="s">
        <v>6292</v>
      </c>
      <c r="I751" s="3699">
        <v>480</v>
      </c>
      <c r="J751" s="3699">
        <v>0</v>
      </c>
      <c r="K751" s="3699">
        <v>32</v>
      </c>
      <c r="L751" s="4113">
        <f t="shared" si="412"/>
        <v>15</v>
      </c>
      <c r="M751" s="3707">
        <v>46175</v>
      </c>
      <c r="N751" s="3707">
        <v>46171</v>
      </c>
      <c r="O751" s="3708"/>
      <c r="P751" s="3700" t="s">
        <v>82</v>
      </c>
      <c r="Q751" s="4145">
        <v>480</v>
      </c>
      <c r="R751" s="4157">
        <f t="shared" si="427"/>
        <v>0</v>
      </c>
      <c r="S751" s="4173"/>
      <c r="T751" s="4145" t="s">
        <v>321</v>
      </c>
      <c r="U751" s="3726" t="s">
        <v>8219</v>
      </c>
      <c r="V751" s="3709" t="s">
        <v>1793</v>
      </c>
      <c r="W751" s="3709"/>
      <c r="X751" s="3709" t="s">
        <v>98</v>
      </c>
      <c r="Y751" s="3709" t="s">
        <v>8220</v>
      </c>
      <c r="Z751" s="3699"/>
      <c r="AA751" s="3680" t="s">
        <v>8221</v>
      </c>
      <c r="AB751" s="3769" t="s">
        <v>1631</v>
      </c>
      <c r="AC751" s="4118">
        <v>2.3158</v>
      </c>
      <c r="AD751" s="3699">
        <f>AC751*L751</f>
        <v>34.737</v>
      </c>
      <c r="AE751" s="3700"/>
      <c r="AF751" s="3700" t="s">
        <v>6106</v>
      </c>
      <c r="AG751" s="3700" t="s">
        <v>416</v>
      </c>
      <c r="AH751" s="4119"/>
      <c r="AI751" s="3700"/>
      <c r="AJ751" s="3699"/>
      <c r="AK751" s="4113"/>
      <c r="AL751" s="3759"/>
      <c r="AM751" s="4113"/>
      <c r="AN751" s="3700">
        <f t="shared" ref="AN751:AN758" si="452">I751</f>
        <v>480</v>
      </c>
      <c r="AO751" s="3759"/>
      <c r="AP751" s="4120"/>
      <c r="AQ751" s="3699">
        <f t="shared" si="438"/>
        <v>480</v>
      </c>
      <c r="AR751" s="4120"/>
      <c r="AS751" s="3759"/>
      <c r="AT751" s="4120">
        <f t="shared" si="451"/>
        <v>480</v>
      </c>
      <c r="AU751" s="3759"/>
      <c r="AV751" s="3759"/>
      <c r="AW751" s="3759"/>
      <c r="AX751" s="3759">
        <f>I751/6</f>
        <v>80</v>
      </c>
      <c r="AY751" s="3759"/>
      <c r="AZ751" s="3759"/>
      <c r="BA751" s="3759"/>
      <c r="BB751" s="3759"/>
      <c r="BC751" s="3759"/>
      <c r="BD751" s="4120"/>
      <c r="BE751" s="3759"/>
      <c r="BF751" s="3759"/>
      <c r="BG751" s="3759"/>
      <c r="BH751" s="3759"/>
      <c r="BI751" s="3759" t="s">
        <v>89</v>
      </c>
      <c r="BJ751" s="3759"/>
      <c r="BK751" s="3759">
        <f>I751</f>
        <v>480</v>
      </c>
      <c r="BL751" s="3759"/>
      <c r="BM751" s="4146"/>
      <c r="BN751" s="3721"/>
      <c r="BO751" s="3791"/>
      <c r="BP751" s="3721"/>
      <c r="BQ751" s="4231">
        <f t="shared" si="414"/>
        <v>480</v>
      </c>
      <c r="BR751" s="3724">
        <v>0</v>
      </c>
    </row>
    <row r="752" s="3567" customFormat="1" ht="50" customHeight="1" spans="1:72">
      <c r="A752" s="4112">
        <v>46129</v>
      </c>
      <c r="B752" s="3766" t="s">
        <v>371</v>
      </c>
      <c r="C752" s="3766" t="s">
        <v>341</v>
      </c>
      <c r="D752" s="3699" t="s">
        <v>8222</v>
      </c>
      <c r="E752" s="3699" t="s">
        <v>8223</v>
      </c>
      <c r="F752" s="3699" t="s">
        <v>8224</v>
      </c>
      <c r="G752" s="3700" t="s">
        <v>6281</v>
      </c>
      <c r="H752" s="3699" t="s">
        <v>6292</v>
      </c>
      <c r="I752" s="3699">
        <v>480</v>
      </c>
      <c r="J752" s="3699">
        <v>0</v>
      </c>
      <c r="K752" s="3699">
        <v>32</v>
      </c>
      <c r="L752" s="4113">
        <f t="shared" si="412"/>
        <v>15</v>
      </c>
      <c r="M752" s="3707">
        <v>46184</v>
      </c>
      <c r="N752" s="3707">
        <v>46181</v>
      </c>
      <c r="O752" s="3708"/>
      <c r="P752" s="3700" t="s">
        <v>82</v>
      </c>
      <c r="Q752" s="4145">
        <v>480</v>
      </c>
      <c r="R752" s="4157">
        <f t="shared" si="427"/>
        <v>0</v>
      </c>
      <c r="S752" s="4170"/>
      <c r="T752" s="4145" t="s">
        <v>321</v>
      </c>
      <c r="U752" s="3726" t="s">
        <v>3839</v>
      </c>
      <c r="V752" s="3711" t="s">
        <v>7375</v>
      </c>
      <c r="W752" s="3726"/>
      <c r="X752" s="3711" t="s">
        <v>8225</v>
      </c>
      <c r="Y752" s="3711"/>
      <c r="Z752" s="3699"/>
      <c r="AA752" s="3715" t="s">
        <v>8226</v>
      </c>
      <c r="AB752" s="4213" t="s">
        <v>1631</v>
      </c>
      <c r="AC752" s="3715">
        <v>2.3015</v>
      </c>
      <c r="AD752" s="3699">
        <f>AC752*L752</f>
        <v>34.5225</v>
      </c>
      <c r="AE752" s="3700"/>
      <c r="AF752" s="3700" t="s">
        <v>6106</v>
      </c>
      <c r="AG752" s="3700" t="s">
        <v>416</v>
      </c>
      <c r="AH752" s="4119"/>
      <c r="AI752" s="3700"/>
      <c r="AJ752" s="3699"/>
      <c r="AK752" s="4113"/>
      <c r="AL752" s="3759"/>
      <c r="AM752" s="4113"/>
      <c r="AN752" s="4120">
        <f t="shared" si="452"/>
        <v>480</v>
      </c>
      <c r="AO752" s="3759"/>
      <c r="AP752" s="4120"/>
      <c r="AQ752" s="3759">
        <f t="shared" si="438"/>
        <v>480</v>
      </c>
      <c r="AR752" s="4120"/>
      <c r="AS752" s="3759"/>
      <c r="AT752" s="4120">
        <f t="shared" si="451"/>
        <v>480</v>
      </c>
      <c r="AU752" s="3759"/>
      <c r="AV752" s="3759"/>
      <c r="AW752" s="3759"/>
      <c r="AX752" s="3759"/>
      <c r="AY752" s="3759"/>
      <c r="AZ752" s="3759"/>
      <c r="BA752" s="3759"/>
      <c r="BB752" s="3759"/>
      <c r="BC752" s="3759"/>
      <c r="BD752" s="4120"/>
      <c r="BE752" s="3759"/>
      <c r="BF752" s="3759"/>
      <c r="BG752" s="3759"/>
      <c r="BH752" s="3759"/>
      <c r="BI752" s="3759" t="s">
        <v>89</v>
      </c>
      <c r="BJ752" s="3759"/>
      <c r="BK752" s="3759">
        <f>I752</f>
        <v>480</v>
      </c>
      <c r="BL752" s="3759"/>
      <c r="BM752" s="4146"/>
      <c r="BN752" s="3721"/>
      <c r="BO752" s="3791"/>
      <c r="BP752" s="3721"/>
      <c r="BQ752" s="4122">
        <f t="shared" si="414"/>
        <v>480</v>
      </c>
      <c r="BR752" s="3721">
        <f>I752-BQ752</f>
        <v>0</v>
      </c>
    </row>
    <row r="753" s="3567" customFormat="1" ht="50" customHeight="1" spans="1:70">
      <c r="A753" s="4112">
        <v>46137</v>
      </c>
      <c r="B753" s="3766" t="s">
        <v>5907</v>
      </c>
      <c r="C753" s="3766" t="s">
        <v>738</v>
      </c>
      <c r="D753" s="3699" t="s">
        <v>5908</v>
      </c>
      <c r="E753" s="3699" t="s">
        <v>5909</v>
      </c>
      <c r="F753" s="3699" t="s">
        <v>8227</v>
      </c>
      <c r="G753" s="3700" t="s">
        <v>6124</v>
      </c>
      <c r="H753" s="3699" t="s">
        <v>6063</v>
      </c>
      <c r="I753" s="3699">
        <v>480</v>
      </c>
      <c r="J753" s="3699">
        <v>0</v>
      </c>
      <c r="K753" s="3699">
        <v>12</v>
      </c>
      <c r="L753" s="4113">
        <f t="shared" si="412"/>
        <v>40</v>
      </c>
      <c r="M753" s="3707">
        <v>46185</v>
      </c>
      <c r="N753" s="3707">
        <v>46181</v>
      </c>
      <c r="O753" s="3708"/>
      <c r="P753" s="3700" t="s">
        <v>82</v>
      </c>
      <c r="Q753" s="4145">
        <f>468+12</f>
        <v>480</v>
      </c>
      <c r="R753" s="4157">
        <f t="shared" si="427"/>
        <v>0</v>
      </c>
      <c r="S753" s="4170"/>
      <c r="T753" s="4145" t="s">
        <v>321</v>
      </c>
      <c r="U753" s="3680" t="s">
        <v>3702</v>
      </c>
      <c r="V753" s="3711" t="s">
        <v>3909</v>
      </c>
      <c r="W753" s="4212"/>
      <c r="X753" s="3711" t="s">
        <v>5911</v>
      </c>
      <c r="Y753" s="3709"/>
      <c r="Z753" s="3699"/>
      <c r="AA753" s="3715" t="s">
        <v>5912</v>
      </c>
      <c r="AB753" s="4213" t="s">
        <v>1257</v>
      </c>
      <c r="AC753" s="3715">
        <v>2.3133</v>
      </c>
      <c r="AD753" s="3699">
        <f t="shared" ref="AD753:AD770" si="453">AC753*I753</f>
        <v>1110.384</v>
      </c>
      <c r="AE753" s="3700"/>
      <c r="AF753" s="3700" t="s">
        <v>6126</v>
      </c>
      <c r="AG753" s="3700" t="s">
        <v>416</v>
      </c>
      <c r="AH753" s="4119"/>
      <c r="AI753" s="3700"/>
      <c r="AJ753" s="3699"/>
      <c r="AK753" s="4113"/>
      <c r="AL753" s="3759"/>
      <c r="AM753" s="4113"/>
      <c r="AN753" s="4120">
        <f t="shared" si="452"/>
        <v>480</v>
      </c>
      <c r="AO753" s="3759"/>
      <c r="AP753" s="4120"/>
      <c r="AQ753" s="3759">
        <f t="shared" si="438"/>
        <v>480</v>
      </c>
      <c r="AR753" s="4120"/>
      <c r="AS753" s="3759"/>
      <c r="AT753" s="4120">
        <f t="shared" si="451"/>
        <v>480</v>
      </c>
      <c r="AU753" s="3759"/>
      <c r="AV753" s="3759"/>
      <c r="AW753" s="3759"/>
      <c r="AX753" s="3759">
        <f>I753/6</f>
        <v>80</v>
      </c>
      <c r="AY753" s="3759"/>
      <c r="AZ753" s="3759"/>
      <c r="BA753" s="3759"/>
      <c r="BB753" s="3759"/>
      <c r="BC753" s="3759"/>
      <c r="BD753" s="4120"/>
      <c r="BE753" s="3759"/>
      <c r="BF753" s="3759"/>
      <c r="BG753" s="3759"/>
      <c r="BH753" s="3759"/>
      <c r="BI753" s="3759" t="s">
        <v>89</v>
      </c>
      <c r="BJ753" s="3759">
        <f t="shared" ref="BJ753:BJ769" si="454">I753/60*9</f>
        <v>72</v>
      </c>
      <c r="BK753" s="3759">
        <f t="shared" ref="BK753:BK769" si="455">I753/60*2</f>
        <v>16</v>
      </c>
      <c r="BL753" s="3759">
        <f t="shared" ref="BL753:BL769" si="456">I753/60*5</f>
        <v>40</v>
      </c>
      <c r="BM753" s="4146">
        <f t="shared" ref="BM753:BM769" si="457">I753/60*9</f>
        <v>72</v>
      </c>
      <c r="BN753" s="3721">
        <f t="shared" ref="BN753:BN769" si="458">I753/60*12</f>
        <v>96</v>
      </c>
      <c r="BO753" s="3791">
        <f t="shared" ref="BO753:BO769" si="459">I753/60*15</f>
        <v>120</v>
      </c>
      <c r="BP753" s="3721">
        <f t="shared" ref="BP753:BP769" si="460">I753/60*8</f>
        <v>64</v>
      </c>
      <c r="BQ753" s="4122">
        <f t="shared" si="414"/>
        <v>480</v>
      </c>
      <c r="BR753" s="3721">
        <v>0</v>
      </c>
    </row>
    <row r="754" s="3567" customFormat="1" ht="50" customHeight="1" spans="1:70">
      <c r="A754" s="4112">
        <v>46133</v>
      </c>
      <c r="B754" s="3766" t="s">
        <v>8228</v>
      </c>
      <c r="C754" s="3700" t="s">
        <v>1624</v>
      </c>
      <c r="D754" s="3699" t="s">
        <v>8229</v>
      </c>
      <c r="E754" s="3699" t="s">
        <v>8230</v>
      </c>
      <c r="F754" s="3700" t="s">
        <v>8231</v>
      </c>
      <c r="G754" s="3700" t="s">
        <v>6228</v>
      </c>
      <c r="H754" s="3699" t="s">
        <v>6063</v>
      </c>
      <c r="I754" s="3699">
        <v>378</v>
      </c>
      <c r="J754" s="3699">
        <v>0</v>
      </c>
      <c r="K754" s="3699">
        <v>6</v>
      </c>
      <c r="L754" s="4113">
        <f t="shared" si="412"/>
        <v>63</v>
      </c>
      <c r="M754" s="3707">
        <v>46191</v>
      </c>
      <c r="N754" s="3707">
        <v>46188</v>
      </c>
      <c r="O754" s="3699"/>
      <c r="P754" s="3700" t="s">
        <v>82</v>
      </c>
      <c r="Q754" s="4145">
        <v>378</v>
      </c>
      <c r="R754" s="4157">
        <f t="shared" si="427"/>
        <v>0</v>
      </c>
      <c r="S754" s="3700"/>
      <c r="T754" s="4145" t="s">
        <v>321</v>
      </c>
      <c r="U754" s="3680" t="s">
        <v>3825</v>
      </c>
      <c r="V754" s="3711" t="s">
        <v>8232</v>
      </c>
      <c r="W754" s="4214"/>
      <c r="X754" s="4214" t="s">
        <v>8233</v>
      </c>
      <c r="Y754" s="4214"/>
      <c r="Z754" s="3700"/>
      <c r="AA754" s="3713" t="s">
        <v>8234</v>
      </c>
      <c r="AB754" s="2958" t="s">
        <v>6785</v>
      </c>
      <c r="AC754" s="3770">
        <v>2.2144</v>
      </c>
      <c r="AD754" s="3699">
        <f t="shared" si="453"/>
        <v>837.0432</v>
      </c>
      <c r="AE754" s="3715"/>
      <c r="AF754" s="3700" t="s">
        <v>7508</v>
      </c>
      <c r="AG754" s="3680" t="s">
        <v>416</v>
      </c>
      <c r="AH754" s="3680"/>
      <c r="AI754" s="3680"/>
      <c r="AJ754" s="3680"/>
      <c r="AK754" s="3700"/>
      <c r="AL754" s="3700"/>
      <c r="AM754" s="3700"/>
      <c r="AN754" s="3700">
        <f t="shared" si="452"/>
        <v>378</v>
      </c>
      <c r="AO754" s="3700"/>
      <c r="AP754" s="3699"/>
      <c r="AQ754" s="3759">
        <f t="shared" si="438"/>
        <v>378</v>
      </c>
      <c r="AR754" s="3759"/>
      <c r="AS754" s="3759"/>
      <c r="AT754" s="3759"/>
      <c r="AU754" s="3759"/>
      <c r="AV754" s="3759">
        <f>I754</f>
        <v>378</v>
      </c>
      <c r="AW754" s="3759"/>
      <c r="AX754" s="3759"/>
      <c r="AY754" s="3759"/>
      <c r="AZ754" s="3759">
        <f>I754/6</f>
        <v>63</v>
      </c>
      <c r="BA754" s="3759"/>
      <c r="BB754" s="3759"/>
      <c r="BC754" s="3759"/>
      <c r="BD754" s="4120"/>
      <c r="BE754" s="3759"/>
      <c r="BF754" s="3759"/>
      <c r="BG754" s="3759"/>
      <c r="BH754" s="3759"/>
      <c r="BI754" s="3759" t="s">
        <v>89</v>
      </c>
      <c r="BJ754" s="3759">
        <f t="shared" si="454"/>
        <v>56.7</v>
      </c>
      <c r="BK754" s="3759">
        <f t="shared" si="455"/>
        <v>12.6</v>
      </c>
      <c r="BL754" s="3759">
        <f t="shared" si="456"/>
        <v>31.5</v>
      </c>
      <c r="BM754" s="3759">
        <f t="shared" si="457"/>
        <v>56.7</v>
      </c>
      <c r="BN754" s="3759">
        <f t="shared" si="458"/>
        <v>75.6</v>
      </c>
      <c r="BO754" s="4146">
        <f t="shared" si="459"/>
        <v>94.5</v>
      </c>
      <c r="BP754" s="3721">
        <f t="shared" si="460"/>
        <v>50.4</v>
      </c>
      <c r="BQ754" s="3724">
        <f t="shared" si="414"/>
        <v>378</v>
      </c>
      <c r="BR754" s="3721">
        <f>I754-BQ754</f>
        <v>0</v>
      </c>
    </row>
    <row r="755" s="3567" customFormat="1" ht="50" customHeight="1" spans="1:70">
      <c r="A755" s="4112">
        <v>46121</v>
      </c>
      <c r="B755" s="3766" t="s">
        <v>515</v>
      </c>
      <c r="C755" s="3766" t="s">
        <v>516</v>
      </c>
      <c r="D755" s="3699" t="s">
        <v>8235</v>
      </c>
      <c r="E755" s="3699" t="s">
        <v>2434</v>
      </c>
      <c r="F755" s="3699" t="s">
        <v>8236</v>
      </c>
      <c r="G755" s="3700" t="s">
        <v>6124</v>
      </c>
      <c r="H755" s="3699" t="s">
        <v>6063</v>
      </c>
      <c r="I755" s="3699">
        <v>5280</v>
      </c>
      <c r="J755" s="3699">
        <v>0</v>
      </c>
      <c r="K755" s="3699">
        <v>12</v>
      </c>
      <c r="L755" s="4113">
        <f t="shared" si="412"/>
        <v>440</v>
      </c>
      <c r="M755" s="3707">
        <v>46195</v>
      </c>
      <c r="N755" s="3707">
        <v>46191</v>
      </c>
      <c r="O755" s="3708"/>
      <c r="P755" s="3700" t="s">
        <v>82</v>
      </c>
      <c r="Q755" s="4145">
        <v>5280</v>
      </c>
      <c r="R755" s="4157">
        <f t="shared" si="427"/>
        <v>0</v>
      </c>
      <c r="S755" s="4170"/>
      <c r="T755" s="4145" t="s">
        <v>321</v>
      </c>
      <c r="U755" s="3726"/>
      <c r="V755" s="3711" t="s">
        <v>1196</v>
      </c>
      <c r="W755" s="4212"/>
      <c r="X755" s="3711" t="s">
        <v>8237</v>
      </c>
      <c r="Y755" s="3709"/>
      <c r="Z755" s="3699"/>
      <c r="AA755" s="3715" t="s">
        <v>8238</v>
      </c>
      <c r="AB755" s="4213" t="s">
        <v>459</v>
      </c>
      <c r="AC755" s="3715">
        <v>2.2843</v>
      </c>
      <c r="AD755" s="3699">
        <f t="shared" si="453"/>
        <v>12061.104</v>
      </c>
      <c r="AE755" s="3700"/>
      <c r="AF755" s="3700" t="s">
        <v>6126</v>
      </c>
      <c r="AG755" s="3700" t="s">
        <v>416</v>
      </c>
      <c r="AH755" s="4119"/>
      <c r="AI755" s="3700"/>
      <c r="AJ755" s="3699"/>
      <c r="AK755" s="4113"/>
      <c r="AL755" s="3759"/>
      <c r="AM755" s="4113"/>
      <c r="AN755" s="4120">
        <f t="shared" si="452"/>
        <v>5280</v>
      </c>
      <c r="AO755" s="3759"/>
      <c r="AP755" s="4120"/>
      <c r="AQ755" s="3759">
        <f t="shared" si="438"/>
        <v>5280</v>
      </c>
      <c r="AR755" s="4120"/>
      <c r="AS755" s="3759"/>
      <c r="AT755" s="4120">
        <f t="shared" ref="AT755:AT769" si="461">I755</f>
        <v>5280</v>
      </c>
      <c r="AU755" s="3759"/>
      <c r="AV755" s="3759"/>
      <c r="AW755" s="3759"/>
      <c r="AX755" s="3759">
        <f>I755/6</f>
        <v>880</v>
      </c>
      <c r="AY755" s="3759"/>
      <c r="AZ755" s="3759"/>
      <c r="BA755" s="3759"/>
      <c r="BB755" s="3759"/>
      <c r="BC755" s="3759"/>
      <c r="BD755" s="4120"/>
      <c r="BE755" s="3759"/>
      <c r="BF755" s="3759"/>
      <c r="BG755" s="3759"/>
      <c r="BH755" s="3759"/>
      <c r="BI755" s="3759" t="s">
        <v>89</v>
      </c>
      <c r="BJ755" s="3759">
        <f t="shared" si="454"/>
        <v>792</v>
      </c>
      <c r="BK755" s="3759">
        <f t="shared" si="455"/>
        <v>176</v>
      </c>
      <c r="BL755" s="3759">
        <f t="shared" si="456"/>
        <v>440</v>
      </c>
      <c r="BM755" s="4146">
        <f t="shared" si="457"/>
        <v>792</v>
      </c>
      <c r="BN755" s="3721">
        <f t="shared" si="458"/>
        <v>1056</v>
      </c>
      <c r="BO755" s="3791">
        <f t="shared" si="459"/>
        <v>1320</v>
      </c>
      <c r="BP755" s="3721">
        <f t="shared" si="460"/>
        <v>704</v>
      </c>
      <c r="BQ755" s="4122">
        <f t="shared" si="414"/>
        <v>5280</v>
      </c>
      <c r="BR755" s="3721">
        <v>0</v>
      </c>
    </row>
    <row r="756" s="3568" customFormat="1" ht="50" customHeight="1" spans="1:70">
      <c r="A756" s="4125">
        <v>46115</v>
      </c>
      <c r="B756" s="3821" t="s">
        <v>8239</v>
      </c>
      <c r="C756" s="3821" t="s">
        <v>3286</v>
      </c>
      <c r="D756" s="3736" t="s">
        <v>8240</v>
      </c>
      <c r="E756" s="3736" t="s">
        <v>2434</v>
      </c>
      <c r="F756" s="3736" t="s">
        <v>8241</v>
      </c>
      <c r="G756" s="3735" t="s">
        <v>6124</v>
      </c>
      <c r="H756" s="3736" t="s">
        <v>6063</v>
      </c>
      <c r="I756" s="3736">
        <v>120</v>
      </c>
      <c r="J756" s="3736">
        <v>0</v>
      </c>
      <c r="K756" s="3736">
        <v>12</v>
      </c>
      <c r="L756" s="4132">
        <f t="shared" ref="L756:L770" si="462">I756/K756</f>
        <v>10</v>
      </c>
      <c r="M756" s="3737">
        <v>46195</v>
      </c>
      <c r="N756" s="3737">
        <v>46191</v>
      </c>
      <c r="O756" s="905"/>
      <c r="P756" s="3700" t="s">
        <v>82</v>
      </c>
      <c r="Q756" s="4142">
        <v>120</v>
      </c>
      <c r="R756" s="4156">
        <f t="shared" si="427"/>
        <v>0</v>
      </c>
      <c r="S756" s="4232" t="s">
        <v>2297</v>
      </c>
      <c r="T756" s="4142" t="s">
        <v>321</v>
      </c>
      <c r="U756" s="3625" t="s">
        <v>3759</v>
      </c>
      <c r="V756" s="3739" t="s">
        <v>1336</v>
      </c>
      <c r="W756" s="4148"/>
      <c r="X756" s="3820" t="s">
        <v>8242</v>
      </c>
      <c r="Y756" s="3739"/>
      <c r="Z756" s="3736"/>
      <c r="AA756" s="3742" t="s">
        <v>8243</v>
      </c>
      <c r="AB756" s="4233" t="s">
        <v>459</v>
      </c>
      <c r="AC756" s="3742">
        <v>2.259</v>
      </c>
      <c r="AD756" s="3736">
        <f t="shared" si="453"/>
        <v>271.08</v>
      </c>
      <c r="AE756" s="3735"/>
      <c r="AF756" s="3735" t="s">
        <v>6126</v>
      </c>
      <c r="AG756" s="3735" t="s">
        <v>416</v>
      </c>
      <c r="AH756" s="4131"/>
      <c r="AI756" s="3735"/>
      <c r="AJ756" s="3736"/>
      <c r="AK756" s="4132"/>
      <c r="AL756" s="3750"/>
      <c r="AM756" s="4132"/>
      <c r="AN756" s="4133">
        <f t="shared" si="452"/>
        <v>120</v>
      </c>
      <c r="AO756" s="3750"/>
      <c r="AP756" s="4133"/>
      <c r="AQ756" s="3750">
        <f t="shared" si="438"/>
        <v>120</v>
      </c>
      <c r="AR756" s="4133"/>
      <c r="AS756" s="3750"/>
      <c r="AT756" s="4133">
        <f t="shared" si="461"/>
        <v>120</v>
      </c>
      <c r="AU756" s="3750"/>
      <c r="AV756" s="3750"/>
      <c r="AW756" s="3750"/>
      <c r="AX756" s="3750">
        <f>I756/6</f>
        <v>20</v>
      </c>
      <c r="AY756" s="3750"/>
      <c r="AZ756" s="3750"/>
      <c r="BA756" s="3750"/>
      <c r="BB756" s="3750"/>
      <c r="BC756" s="3750"/>
      <c r="BD756" s="4133"/>
      <c r="BE756" s="3750"/>
      <c r="BF756" s="3750"/>
      <c r="BG756" s="3750"/>
      <c r="BH756" s="3750"/>
      <c r="BI756" s="3750" t="s">
        <v>89</v>
      </c>
      <c r="BJ756" s="3750">
        <f t="shared" si="454"/>
        <v>18</v>
      </c>
      <c r="BK756" s="3750">
        <f t="shared" si="455"/>
        <v>4</v>
      </c>
      <c r="BL756" s="3750">
        <f t="shared" si="456"/>
        <v>10</v>
      </c>
      <c r="BM756" s="4141">
        <f t="shared" si="457"/>
        <v>18</v>
      </c>
      <c r="BN756" s="3748">
        <f t="shared" si="458"/>
        <v>24</v>
      </c>
      <c r="BO756" s="4234">
        <f t="shared" si="459"/>
        <v>30</v>
      </c>
      <c r="BP756" s="3748">
        <f t="shared" si="460"/>
        <v>16</v>
      </c>
      <c r="BQ756" s="4135">
        <f t="shared" ref="BQ756:BQ770" si="463">SUM(BJ756:BP756)</f>
        <v>120</v>
      </c>
      <c r="BR756" s="3748">
        <v>0</v>
      </c>
    </row>
    <row r="757" s="3568" customFormat="1" ht="50" customHeight="1" spans="1:70">
      <c r="A757" s="4125">
        <v>46129</v>
      </c>
      <c r="B757" s="3821" t="s">
        <v>5388</v>
      </c>
      <c r="C757" s="4235" t="s">
        <v>3772</v>
      </c>
      <c r="D757" s="3736" t="s">
        <v>5922</v>
      </c>
      <c r="E757" s="3736" t="s">
        <v>2434</v>
      </c>
      <c r="F757" s="3736" t="s">
        <v>8244</v>
      </c>
      <c r="G757" s="3735" t="s">
        <v>6124</v>
      </c>
      <c r="H757" s="3736" t="s">
        <v>6063</v>
      </c>
      <c r="I757" s="3736">
        <v>1800</v>
      </c>
      <c r="J757" s="3736">
        <v>0</v>
      </c>
      <c r="K757" s="3736">
        <v>12</v>
      </c>
      <c r="L757" s="4132">
        <f t="shared" si="462"/>
        <v>150</v>
      </c>
      <c r="M757" s="3737">
        <v>46171</v>
      </c>
      <c r="N757" s="3737">
        <v>46195</v>
      </c>
      <c r="O757" s="905"/>
      <c r="P757" s="3700" t="s">
        <v>82</v>
      </c>
      <c r="Q757" s="4142">
        <v>1800</v>
      </c>
      <c r="R757" s="4156">
        <f t="shared" si="427"/>
        <v>0</v>
      </c>
      <c r="S757" s="4236" t="s">
        <v>2297</v>
      </c>
      <c r="T757" s="4142" t="s">
        <v>321</v>
      </c>
      <c r="U757" s="4148"/>
      <c r="V757" s="3739" t="s">
        <v>5852</v>
      </c>
      <c r="W757" s="3739"/>
      <c r="X757" s="3739" t="s">
        <v>8245</v>
      </c>
      <c r="Y757" s="3739"/>
      <c r="Z757" s="3736"/>
      <c r="AA757" s="3742" t="s">
        <v>8246</v>
      </c>
      <c r="AB757" s="4233" t="s">
        <v>448</v>
      </c>
      <c r="AC757" s="3742">
        <v>2.3088</v>
      </c>
      <c r="AD757" s="3736">
        <f t="shared" si="453"/>
        <v>4155.84</v>
      </c>
      <c r="AE757" s="3735"/>
      <c r="AF757" s="3735" t="s">
        <v>7924</v>
      </c>
      <c r="AG757" s="3735" t="s">
        <v>416</v>
      </c>
      <c r="AH757" s="4131"/>
      <c r="AI757" s="3735"/>
      <c r="AJ757" s="3736"/>
      <c r="AK757" s="4132"/>
      <c r="AL757" s="3750"/>
      <c r="AM757" s="4132"/>
      <c r="AN757" s="4133"/>
      <c r="AO757" s="3750">
        <f>I757</f>
        <v>1800</v>
      </c>
      <c r="AP757" s="4133"/>
      <c r="AQ757" s="3750"/>
      <c r="AR757" s="4133">
        <f>I757</f>
        <v>1800</v>
      </c>
      <c r="AS757" s="3750"/>
      <c r="AT757" s="4133">
        <f t="shared" si="461"/>
        <v>1800</v>
      </c>
      <c r="AU757" s="3750"/>
      <c r="AV757" s="3750"/>
      <c r="AW757" s="3750"/>
      <c r="AX757" s="3750"/>
      <c r="AY757" s="3750"/>
      <c r="AZ757" s="3750"/>
      <c r="BA757" s="3750"/>
      <c r="BB757" s="3750"/>
      <c r="BC757" s="3750"/>
      <c r="BD757" s="4133"/>
      <c r="BE757" s="3750"/>
      <c r="BF757" s="3750">
        <f>I757/6</f>
        <v>300</v>
      </c>
      <c r="BG757" s="3750"/>
      <c r="BH757" s="3750"/>
      <c r="BI757" s="3750" t="s">
        <v>89</v>
      </c>
      <c r="BJ757" s="3750">
        <f t="shared" si="454"/>
        <v>270</v>
      </c>
      <c r="BK757" s="3750">
        <f t="shared" si="455"/>
        <v>60</v>
      </c>
      <c r="BL757" s="3750">
        <f t="shared" si="456"/>
        <v>150</v>
      </c>
      <c r="BM757" s="4141">
        <f t="shared" si="457"/>
        <v>270</v>
      </c>
      <c r="BN757" s="3748">
        <f t="shared" si="458"/>
        <v>360</v>
      </c>
      <c r="BO757" s="4234">
        <f t="shared" si="459"/>
        <v>450</v>
      </c>
      <c r="BP757" s="3748">
        <f t="shared" si="460"/>
        <v>240</v>
      </c>
      <c r="BQ757" s="4135">
        <f t="shared" si="463"/>
        <v>1800</v>
      </c>
      <c r="BR757" s="3748">
        <v>0</v>
      </c>
    </row>
    <row r="758" s="3568" customFormat="1" ht="50" customHeight="1" spans="1:70">
      <c r="A758" s="4125">
        <v>46129</v>
      </c>
      <c r="B758" s="3821" t="s">
        <v>5401</v>
      </c>
      <c r="C758" s="3821" t="s">
        <v>5927</v>
      </c>
      <c r="D758" s="3736" t="s">
        <v>8247</v>
      </c>
      <c r="E758" s="3736" t="s">
        <v>2434</v>
      </c>
      <c r="F758" s="3736" t="s">
        <v>8248</v>
      </c>
      <c r="G758" s="3735" t="s">
        <v>6124</v>
      </c>
      <c r="H758" s="3736" t="s">
        <v>6063</v>
      </c>
      <c r="I758" s="3736">
        <v>1200</v>
      </c>
      <c r="J758" s="3736">
        <v>0</v>
      </c>
      <c r="K758" s="3736">
        <v>12</v>
      </c>
      <c r="L758" s="4132">
        <f t="shared" si="462"/>
        <v>100</v>
      </c>
      <c r="M758" s="3737">
        <v>46171</v>
      </c>
      <c r="N758" s="3737">
        <v>46195</v>
      </c>
      <c r="O758" s="905"/>
      <c r="P758" s="3700" t="s">
        <v>82</v>
      </c>
      <c r="Q758" s="4142">
        <v>1200</v>
      </c>
      <c r="R758" s="4156">
        <f t="shared" si="427"/>
        <v>0</v>
      </c>
      <c r="S758" s="4237" t="s">
        <v>2297</v>
      </c>
      <c r="T758" s="4142" t="s">
        <v>321</v>
      </c>
      <c r="U758" s="3680" t="s">
        <v>5929</v>
      </c>
      <c r="V758" s="3739" t="s">
        <v>5852</v>
      </c>
      <c r="W758" s="3739"/>
      <c r="X758" s="3739" t="s">
        <v>8245</v>
      </c>
      <c r="Y758" s="3739"/>
      <c r="Z758" s="3736"/>
      <c r="AA758" s="3742" t="s">
        <v>8249</v>
      </c>
      <c r="AB758" s="4233" t="s">
        <v>448</v>
      </c>
      <c r="AC758" s="3742">
        <v>2.3088</v>
      </c>
      <c r="AD758" s="3736">
        <f t="shared" si="453"/>
        <v>2770.56</v>
      </c>
      <c r="AE758" s="3735"/>
      <c r="AF758" s="3735" t="s">
        <v>7924</v>
      </c>
      <c r="AG758" s="3735" t="s">
        <v>416</v>
      </c>
      <c r="AH758" s="4131"/>
      <c r="AI758" s="3735"/>
      <c r="AJ758" s="3736"/>
      <c r="AK758" s="4132"/>
      <c r="AL758" s="3750"/>
      <c r="AM758" s="4132"/>
      <c r="AN758" s="4133"/>
      <c r="AO758" s="3750">
        <f>I758</f>
        <v>1200</v>
      </c>
      <c r="AP758" s="4133"/>
      <c r="AQ758" s="3750"/>
      <c r="AR758" s="4133">
        <f>I758</f>
        <v>1200</v>
      </c>
      <c r="AS758" s="3750"/>
      <c r="AT758" s="4133">
        <f t="shared" si="461"/>
        <v>1200</v>
      </c>
      <c r="AU758" s="3750"/>
      <c r="AV758" s="3750"/>
      <c r="AW758" s="3750"/>
      <c r="AX758" s="3750"/>
      <c r="AY758" s="3750"/>
      <c r="AZ758" s="3750"/>
      <c r="BA758" s="3750"/>
      <c r="BB758" s="3750"/>
      <c r="BC758" s="3750"/>
      <c r="BD758" s="4133"/>
      <c r="BE758" s="3750"/>
      <c r="BF758" s="3750">
        <f>I758/6</f>
        <v>200</v>
      </c>
      <c r="BG758" s="3750"/>
      <c r="BH758" s="3750"/>
      <c r="BI758" s="3750" t="s">
        <v>89</v>
      </c>
      <c r="BJ758" s="3750">
        <f t="shared" si="454"/>
        <v>180</v>
      </c>
      <c r="BK758" s="3750">
        <f t="shared" si="455"/>
        <v>40</v>
      </c>
      <c r="BL758" s="3750">
        <f t="shared" si="456"/>
        <v>100</v>
      </c>
      <c r="BM758" s="4141">
        <f t="shared" si="457"/>
        <v>180</v>
      </c>
      <c r="BN758" s="3748">
        <f t="shared" si="458"/>
        <v>240</v>
      </c>
      <c r="BO758" s="4234">
        <f t="shared" si="459"/>
        <v>300</v>
      </c>
      <c r="BP758" s="3748">
        <f t="shared" si="460"/>
        <v>160</v>
      </c>
      <c r="BQ758" s="4135">
        <f t="shared" si="463"/>
        <v>1200</v>
      </c>
      <c r="BR758" s="3748">
        <v>0</v>
      </c>
    </row>
    <row r="759" s="3568" customFormat="1" ht="50" customHeight="1" spans="1:70">
      <c r="A759" s="4125">
        <v>46134</v>
      </c>
      <c r="B759" s="3821" t="s">
        <v>8250</v>
      </c>
      <c r="C759" s="3821" t="s">
        <v>738</v>
      </c>
      <c r="D759" s="3736" t="s">
        <v>8251</v>
      </c>
      <c r="E759" s="3736" t="s">
        <v>8252</v>
      </c>
      <c r="F759" s="3736" t="s">
        <v>8253</v>
      </c>
      <c r="G759" s="3735" t="s">
        <v>3520</v>
      </c>
      <c r="H759" s="3736" t="s">
        <v>6063</v>
      </c>
      <c r="I759" s="3736">
        <v>480</v>
      </c>
      <c r="J759" s="3736">
        <v>0</v>
      </c>
      <c r="K759" s="3736">
        <v>24</v>
      </c>
      <c r="L759" s="4132">
        <f t="shared" si="462"/>
        <v>20</v>
      </c>
      <c r="M759" s="3737">
        <v>46218</v>
      </c>
      <c r="N759" s="3737">
        <f>M759-4</f>
        <v>46214</v>
      </c>
      <c r="O759" s="905"/>
      <c r="P759" s="3700" t="s">
        <v>82</v>
      </c>
      <c r="Q759" s="4142">
        <v>480</v>
      </c>
      <c r="R759" s="4238">
        <f t="shared" si="427"/>
        <v>0</v>
      </c>
      <c r="S759" s="4239" t="s">
        <v>2297</v>
      </c>
      <c r="T759" s="4240" t="s">
        <v>321</v>
      </c>
      <c r="U759" s="3625" t="s">
        <v>213</v>
      </c>
      <c r="V759" s="3739" t="s">
        <v>1349</v>
      </c>
      <c r="W759" s="4241"/>
      <c r="X759" s="3820" t="s">
        <v>8254</v>
      </c>
      <c r="Y759" s="3738"/>
      <c r="Z759" s="3736"/>
      <c r="AA759" s="3742" t="s">
        <v>8255</v>
      </c>
      <c r="AB759" s="4233" t="s">
        <v>7936</v>
      </c>
      <c r="AC759" s="3742">
        <v>2.2501</v>
      </c>
      <c r="AD759" s="3736">
        <f t="shared" si="453"/>
        <v>1080.048</v>
      </c>
      <c r="AE759" s="3735"/>
      <c r="AF759" s="3735" t="s">
        <v>6263</v>
      </c>
      <c r="AG759" s="3735" t="s">
        <v>416</v>
      </c>
      <c r="AH759" s="4131"/>
      <c r="AI759" s="3735"/>
      <c r="AJ759" s="3736"/>
      <c r="AK759" s="4132"/>
      <c r="AL759" s="3750"/>
      <c r="AM759" s="4132"/>
      <c r="AN759" s="4133">
        <f t="shared" ref="AN759:AN765" si="464">I759</f>
        <v>480</v>
      </c>
      <c r="AO759" s="3750"/>
      <c r="AP759" s="4133"/>
      <c r="AQ759" s="3750">
        <f t="shared" ref="AQ759:AQ765" si="465">I759</f>
        <v>480</v>
      </c>
      <c r="AR759" s="4133"/>
      <c r="AS759" s="3750"/>
      <c r="AT759" s="4133">
        <f t="shared" si="461"/>
        <v>480</v>
      </c>
      <c r="AU759" s="3750"/>
      <c r="AV759" s="3750"/>
      <c r="AW759" s="3750"/>
      <c r="AX759" s="3750"/>
      <c r="AY759" s="3750"/>
      <c r="AZ759" s="3750"/>
      <c r="BA759" s="3750"/>
      <c r="BB759" s="3750"/>
      <c r="BC759" s="3750"/>
      <c r="BD759" s="4133"/>
      <c r="BE759" s="3750"/>
      <c r="BF759" s="3750"/>
      <c r="BG759" s="3750"/>
      <c r="BH759" s="3750"/>
      <c r="BI759" s="3750" t="s">
        <v>89</v>
      </c>
      <c r="BJ759" s="3750">
        <f t="shared" si="454"/>
        <v>72</v>
      </c>
      <c r="BK759" s="3750">
        <f t="shared" si="455"/>
        <v>16</v>
      </c>
      <c r="BL759" s="3750">
        <f t="shared" si="456"/>
        <v>40</v>
      </c>
      <c r="BM759" s="4141">
        <f t="shared" si="457"/>
        <v>72</v>
      </c>
      <c r="BN759" s="3748">
        <f t="shared" si="458"/>
        <v>96</v>
      </c>
      <c r="BO759" s="4234">
        <f t="shared" si="459"/>
        <v>120</v>
      </c>
      <c r="BP759" s="3748">
        <f t="shared" si="460"/>
        <v>64</v>
      </c>
      <c r="BQ759" s="4135">
        <f t="shared" si="463"/>
        <v>480</v>
      </c>
      <c r="BR759" s="3748">
        <f>I759-BQ759</f>
        <v>0</v>
      </c>
    </row>
    <row r="760" s="3568" customFormat="1" ht="50" customHeight="1" spans="1:70">
      <c r="A760" s="4125">
        <v>46134</v>
      </c>
      <c r="B760" s="3821" t="s">
        <v>8250</v>
      </c>
      <c r="C760" s="3821" t="s">
        <v>738</v>
      </c>
      <c r="D760" s="3736" t="s">
        <v>8251</v>
      </c>
      <c r="E760" s="3736" t="s">
        <v>8256</v>
      </c>
      <c r="F760" s="3736" t="s">
        <v>8257</v>
      </c>
      <c r="G760" s="3735" t="s">
        <v>3520</v>
      </c>
      <c r="H760" s="3736" t="s">
        <v>6063</v>
      </c>
      <c r="I760" s="3736">
        <v>2304</v>
      </c>
      <c r="J760" s="3736">
        <v>0</v>
      </c>
      <c r="K760" s="3736">
        <v>24</v>
      </c>
      <c r="L760" s="4132">
        <f t="shared" si="462"/>
        <v>96</v>
      </c>
      <c r="M760" s="3737">
        <v>46218</v>
      </c>
      <c r="N760" s="3737">
        <f>M760-4</f>
        <v>46214</v>
      </c>
      <c r="O760" s="905"/>
      <c r="P760" s="3700" t="s">
        <v>82</v>
      </c>
      <c r="Q760" s="4142">
        <v>2304</v>
      </c>
      <c r="R760" s="4238">
        <f t="shared" si="427"/>
        <v>0</v>
      </c>
      <c r="S760" s="4242"/>
      <c r="T760" s="4240" t="s">
        <v>321</v>
      </c>
      <c r="U760" s="3625" t="s">
        <v>213</v>
      </c>
      <c r="V760" s="3739" t="s">
        <v>1349</v>
      </c>
      <c r="W760" s="4241"/>
      <c r="X760" s="3820" t="s">
        <v>8254</v>
      </c>
      <c r="Y760" s="3738"/>
      <c r="Z760" s="3736"/>
      <c r="AA760" s="3742" t="s">
        <v>8255</v>
      </c>
      <c r="AB760" s="4233" t="s">
        <v>7936</v>
      </c>
      <c r="AC760" s="3742">
        <v>2.2501</v>
      </c>
      <c r="AD760" s="3736">
        <f t="shared" si="453"/>
        <v>5184.2304</v>
      </c>
      <c r="AE760" s="3735"/>
      <c r="AF760" s="3735" t="s">
        <v>6263</v>
      </c>
      <c r="AG760" s="3735" t="s">
        <v>416</v>
      </c>
      <c r="AH760" s="4131"/>
      <c r="AI760" s="3735"/>
      <c r="AJ760" s="3736"/>
      <c r="AK760" s="4132"/>
      <c r="AL760" s="3750"/>
      <c r="AM760" s="4132"/>
      <c r="AN760" s="4133">
        <f t="shared" si="464"/>
        <v>2304</v>
      </c>
      <c r="AO760" s="3750"/>
      <c r="AP760" s="4133"/>
      <c r="AQ760" s="3750">
        <f t="shared" si="465"/>
        <v>2304</v>
      </c>
      <c r="AR760" s="4133"/>
      <c r="AS760" s="3750"/>
      <c r="AT760" s="4133">
        <f t="shared" si="461"/>
        <v>2304</v>
      </c>
      <c r="AU760" s="3750"/>
      <c r="AV760" s="3750"/>
      <c r="AW760" s="3750"/>
      <c r="AX760" s="3750"/>
      <c r="AY760" s="3750"/>
      <c r="AZ760" s="3750"/>
      <c r="BA760" s="3750"/>
      <c r="BB760" s="3750"/>
      <c r="BC760" s="3750"/>
      <c r="BD760" s="4133"/>
      <c r="BE760" s="3750"/>
      <c r="BF760" s="3750"/>
      <c r="BG760" s="3750"/>
      <c r="BH760" s="3750"/>
      <c r="BI760" s="3750" t="s">
        <v>89</v>
      </c>
      <c r="BJ760" s="3750">
        <f t="shared" si="454"/>
        <v>345.6</v>
      </c>
      <c r="BK760" s="3750">
        <f t="shared" si="455"/>
        <v>76.8</v>
      </c>
      <c r="BL760" s="3750">
        <f t="shared" si="456"/>
        <v>192</v>
      </c>
      <c r="BM760" s="4141">
        <f t="shared" si="457"/>
        <v>345.6</v>
      </c>
      <c r="BN760" s="3748">
        <f t="shared" si="458"/>
        <v>460.8</v>
      </c>
      <c r="BO760" s="4234">
        <f t="shared" si="459"/>
        <v>576</v>
      </c>
      <c r="BP760" s="3748">
        <f t="shared" si="460"/>
        <v>307.2</v>
      </c>
      <c r="BQ760" s="4135">
        <f t="shared" si="463"/>
        <v>2304</v>
      </c>
      <c r="BR760" s="3748">
        <f>I760-BQ760</f>
        <v>0</v>
      </c>
    </row>
    <row r="761" s="3568" customFormat="1" ht="50" customHeight="1" spans="1:70">
      <c r="A761" s="4125">
        <v>46136</v>
      </c>
      <c r="B761" s="3821" t="s">
        <v>5643</v>
      </c>
      <c r="C761" s="3821" t="s">
        <v>1332</v>
      </c>
      <c r="D761" s="3736" t="s">
        <v>5975</v>
      </c>
      <c r="E761" s="3736" t="s">
        <v>2434</v>
      </c>
      <c r="F761" s="3736" t="s">
        <v>8258</v>
      </c>
      <c r="G761" s="3735" t="s">
        <v>6124</v>
      </c>
      <c r="H761" s="3736" t="s">
        <v>6063</v>
      </c>
      <c r="I761" s="3736">
        <v>600</v>
      </c>
      <c r="J761" s="3736">
        <v>0</v>
      </c>
      <c r="K761" s="3736">
        <v>12</v>
      </c>
      <c r="L761" s="4132">
        <f t="shared" si="462"/>
        <v>50</v>
      </c>
      <c r="M761" s="3737">
        <v>46213</v>
      </c>
      <c r="N761" s="3737">
        <v>46209</v>
      </c>
      <c r="O761" s="905"/>
      <c r="P761" s="3700" t="s">
        <v>82</v>
      </c>
      <c r="Q761" s="4142">
        <v>600</v>
      </c>
      <c r="R761" s="4156">
        <f t="shared" si="427"/>
        <v>0</v>
      </c>
      <c r="S761" s="4243"/>
      <c r="T761" s="4142" t="s">
        <v>321</v>
      </c>
      <c r="U761" s="3625" t="s">
        <v>5977</v>
      </c>
      <c r="V761" s="3820" t="s">
        <v>4084</v>
      </c>
      <c r="W761" s="4241"/>
      <c r="X761" s="3820" t="s">
        <v>5978</v>
      </c>
      <c r="Y761" s="3738"/>
      <c r="Z761" s="3736"/>
      <c r="AA761" s="3742" t="s">
        <v>8259</v>
      </c>
      <c r="AB761" s="4233" t="s">
        <v>459</v>
      </c>
      <c r="AC761" s="3742">
        <v>2.3133</v>
      </c>
      <c r="AD761" s="3736">
        <f t="shared" si="453"/>
        <v>1387.98</v>
      </c>
      <c r="AE761" s="3735"/>
      <c r="AF761" s="3735" t="s">
        <v>6126</v>
      </c>
      <c r="AG761" s="3735" t="s">
        <v>416</v>
      </c>
      <c r="AH761" s="4131"/>
      <c r="AI761" s="3735"/>
      <c r="AJ761" s="3736"/>
      <c r="AK761" s="4132"/>
      <c r="AL761" s="3750"/>
      <c r="AM761" s="4132"/>
      <c r="AN761" s="4133">
        <f t="shared" si="464"/>
        <v>600</v>
      </c>
      <c r="AO761" s="3750"/>
      <c r="AP761" s="4133"/>
      <c r="AQ761" s="3750">
        <f t="shared" si="465"/>
        <v>600</v>
      </c>
      <c r="AR761" s="4133"/>
      <c r="AS761" s="3750"/>
      <c r="AT761" s="4133">
        <f t="shared" si="461"/>
        <v>600</v>
      </c>
      <c r="AU761" s="3750"/>
      <c r="AV761" s="3750"/>
      <c r="AW761" s="3750"/>
      <c r="AX761" s="3750">
        <f>I761/6</f>
        <v>100</v>
      </c>
      <c r="AY761" s="3750"/>
      <c r="AZ761" s="3750"/>
      <c r="BA761" s="3750"/>
      <c r="BB761" s="3750"/>
      <c r="BC761" s="3750"/>
      <c r="BD761" s="4133"/>
      <c r="BE761" s="3750"/>
      <c r="BF761" s="3750"/>
      <c r="BG761" s="3750"/>
      <c r="BH761" s="3750"/>
      <c r="BI761" s="3750" t="s">
        <v>89</v>
      </c>
      <c r="BJ761" s="3750">
        <f t="shared" si="454"/>
        <v>90</v>
      </c>
      <c r="BK761" s="3750">
        <f t="shared" si="455"/>
        <v>20</v>
      </c>
      <c r="BL761" s="3750">
        <f t="shared" si="456"/>
        <v>50</v>
      </c>
      <c r="BM761" s="4141">
        <f t="shared" si="457"/>
        <v>90</v>
      </c>
      <c r="BN761" s="3748">
        <f t="shared" si="458"/>
        <v>120</v>
      </c>
      <c r="BO761" s="4234">
        <f t="shared" si="459"/>
        <v>150</v>
      </c>
      <c r="BP761" s="3748">
        <f t="shared" si="460"/>
        <v>80</v>
      </c>
      <c r="BQ761" s="4135">
        <f t="shared" si="463"/>
        <v>600</v>
      </c>
      <c r="BR761" s="3748">
        <v>0</v>
      </c>
    </row>
    <row r="762" s="3568" customFormat="1" ht="50" customHeight="1" spans="1:70">
      <c r="A762" s="4125">
        <v>46134</v>
      </c>
      <c r="B762" s="3821" t="s">
        <v>8250</v>
      </c>
      <c r="C762" s="3821" t="s">
        <v>738</v>
      </c>
      <c r="D762" s="3736" t="s">
        <v>8260</v>
      </c>
      <c r="E762" s="3736" t="s">
        <v>8261</v>
      </c>
      <c r="F762" s="3736" t="s">
        <v>8262</v>
      </c>
      <c r="G762" s="3735" t="s">
        <v>3520</v>
      </c>
      <c r="H762" s="3736" t="s">
        <v>6063</v>
      </c>
      <c r="I762" s="3736">
        <v>1536</v>
      </c>
      <c r="J762" s="3736">
        <v>0</v>
      </c>
      <c r="K762" s="3736">
        <v>24</v>
      </c>
      <c r="L762" s="4132">
        <f t="shared" si="462"/>
        <v>64</v>
      </c>
      <c r="M762" s="3737">
        <v>46218</v>
      </c>
      <c r="N762" s="3737">
        <v>46214</v>
      </c>
      <c r="O762" s="905"/>
      <c r="P762" s="3700" t="s">
        <v>82</v>
      </c>
      <c r="Q762" s="4142">
        <v>1536</v>
      </c>
      <c r="R762" s="4238">
        <f t="shared" si="427"/>
        <v>0</v>
      </c>
      <c r="S762" s="4244" t="s">
        <v>2297</v>
      </c>
      <c r="T762" s="4240" t="s">
        <v>321</v>
      </c>
      <c r="U762" s="3625" t="s">
        <v>8263</v>
      </c>
      <c r="V762" s="3820" t="s">
        <v>2436</v>
      </c>
      <c r="W762" s="4241"/>
      <c r="X762" s="3820" t="s">
        <v>8254</v>
      </c>
      <c r="Y762" s="3738"/>
      <c r="Z762" s="3736"/>
      <c r="AA762" s="3742" t="s">
        <v>8264</v>
      </c>
      <c r="AB762" s="4233" t="s">
        <v>7936</v>
      </c>
      <c r="AC762" s="3742">
        <v>2.2312</v>
      </c>
      <c r="AD762" s="3736">
        <f t="shared" si="453"/>
        <v>3427.1232</v>
      </c>
      <c r="AE762" s="3735"/>
      <c r="AF762" s="3735" t="s">
        <v>6263</v>
      </c>
      <c r="AG762" s="3735" t="s">
        <v>416</v>
      </c>
      <c r="AH762" s="4131"/>
      <c r="AI762" s="3735"/>
      <c r="AJ762" s="3736"/>
      <c r="AK762" s="4132"/>
      <c r="AL762" s="3750"/>
      <c r="AM762" s="4132"/>
      <c r="AN762" s="4133">
        <f t="shared" si="464"/>
        <v>1536</v>
      </c>
      <c r="AO762" s="3750"/>
      <c r="AP762" s="4133"/>
      <c r="AQ762" s="3750">
        <f t="shared" si="465"/>
        <v>1536</v>
      </c>
      <c r="AR762" s="4133"/>
      <c r="AS762" s="3750"/>
      <c r="AT762" s="4133">
        <f t="shared" si="461"/>
        <v>1536</v>
      </c>
      <c r="AU762" s="3750"/>
      <c r="AV762" s="3750"/>
      <c r="AW762" s="3750"/>
      <c r="AX762" s="3750"/>
      <c r="AY762" s="3750"/>
      <c r="AZ762" s="3750"/>
      <c r="BA762" s="3750"/>
      <c r="BB762" s="3750"/>
      <c r="BC762" s="3750"/>
      <c r="BD762" s="4133"/>
      <c r="BE762" s="3750"/>
      <c r="BF762" s="3750"/>
      <c r="BG762" s="3750"/>
      <c r="BH762" s="3750"/>
      <c r="BI762" s="3750" t="s">
        <v>89</v>
      </c>
      <c r="BJ762" s="3750">
        <f t="shared" si="454"/>
        <v>230.4</v>
      </c>
      <c r="BK762" s="3750">
        <f t="shared" si="455"/>
        <v>51.2</v>
      </c>
      <c r="BL762" s="3750">
        <f t="shared" si="456"/>
        <v>128</v>
      </c>
      <c r="BM762" s="4141">
        <f t="shared" si="457"/>
        <v>230.4</v>
      </c>
      <c r="BN762" s="3748">
        <f t="shared" si="458"/>
        <v>307.2</v>
      </c>
      <c r="BO762" s="4234">
        <f t="shared" si="459"/>
        <v>384</v>
      </c>
      <c r="BP762" s="3748">
        <f t="shared" si="460"/>
        <v>204.8</v>
      </c>
      <c r="BQ762" s="4135">
        <f t="shared" si="463"/>
        <v>1536</v>
      </c>
      <c r="BR762" s="3748">
        <f>I762-BQ762</f>
        <v>0</v>
      </c>
    </row>
    <row r="763" s="4029" customFormat="1" ht="50" customHeight="1" spans="1:70">
      <c r="A763" s="4245">
        <v>46132</v>
      </c>
      <c r="B763" s="4246" t="s">
        <v>5234</v>
      </c>
      <c r="C763" s="4246" t="s">
        <v>738</v>
      </c>
      <c r="D763" s="4247" t="s">
        <v>5991</v>
      </c>
      <c r="E763" s="4247" t="s">
        <v>2434</v>
      </c>
      <c r="F763" s="4247" t="s">
        <v>8265</v>
      </c>
      <c r="G763" s="4248" t="s">
        <v>6124</v>
      </c>
      <c r="H763" s="4247" t="s">
        <v>6063</v>
      </c>
      <c r="I763" s="4247">
        <v>2004</v>
      </c>
      <c r="J763" s="4247">
        <v>0</v>
      </c>
      <c r="K763" s="4247">
        <v>12</v>
      </c>
      <c r="L763" s="4249">
        <f t="shared" si="462"/>
        <v>167</v>
      </c>
      <c r="M763" s="4250">
        <v>46191</v>
      </c>
      <c r="N763" s="4250">
        <v>46218</v>
      </c>
      <c r="O763" s="4251"/>
      <c r="P763" s="3700" t="s">
        <v>82</v>
      </c>
      <c r="Q763" s="4252">
        <v>2004</v>
      </c>
      <c r="R763" s="4253">
        <f t="shared" si="427"/>
        <v>0</v>
      </c>
      <c r="S763" s="4254" t="s">
        <v>2297</v>
      </c>
      <c r="T763" s="4252" t="s">
        <v>321</v>
      </c>
      <c r="U763" s="4255" t="s">
        <v>4358</v>
      </c>
      <c r="V763" s="4256" t="s">
        <v>1336</v>
      </c>
      <c r="W763" s="4256"/>
      <c r="X763" s="4256" t="s">
        <v>8266</v>
      </c>
      <c r="Y763" s="4257" t="s">
        <v>8267</v>
      </c>
      <c r="Z763" s="4247"/>
      <c r="AA763" s="4258" t="s">
        <v>8268</v>
      </c>
      <c r="AB763" s="4259" t="s">
        <v>459</v>
      </c>
      <c r="AC763" s="4258">
        <v>2.3088</v>
      </c>
      <c r="AD763" s="4247">
        <f t="shared" si="453"/>
        <v>4626.8352</v>
      </c>
      <c r="AE763" s="4248"/>
      <c r="AF763" s="4248" t="s">
        <v>6126</v>
      </c>
      <c r="AG763" s="4248" t="s">
        <v>416</v>
      </c>
      <c r="AH763" s="4260"/>
      <c r="AI763" s="4248"/>
      <c r="AJ763" s="4247"/>
      <c r="AK763" s="4249"/>
      <c r="AL763" s="4261"/>
      <c r="AM763" s="4249"/>
      <c r="AN763" s="4262">
        <f t="shared" si="464"/>
        <v>2004</v>
      </c>
      <c r="AO763" s="4261"/>
      <c r="AP763" s="4262"/>
      <c r="AQ763" s="4261">
        <f t="shared" si="465"/>
        <v>2004</v>
      </c>
      <c r="AR763" s="4262"/>
      <c r="AS763" s="4261"/>
      <c r="AT763" s="4262">
        <f t="shared" si="461"/>
        <v>2004</v>
      </c>
      <c r="AU763" s="4261"/>
      <c r="AV763" s="4261"/>
      <c r="AW763" s="4261"/>
      <c r="AX763" s="4261">
        <f>I763/6</f>
        <v>334</v>
      </c>
      <c r="AY763" s="4261"/>
      <c r="AZ763" s="4261"/>
      <c r="BA763" s="4261"/>
      <c r="BB763" s="4261"/>
      <c r="BC763" s="4261"/>
      <c r="BD763" s="4262"/>
      <c r="BE763" s="4261"/>
      <c r="BF763" s="4261"/>
      <c r="BG763" s="4261"/>
      <c r="BH763" s="4261"/>
      <c r="BI763" s="4261" t="s">
        <v>89</v>
      </c>
      <c r="BJ763" s="4261">
        <f t="shared" si="454"/>
        <v>300.6</v>
      </c>
      <c r="BK763" s="4261">
        <f t="shared" si="455"/>
        <v>66.8</v>
      </c>
      <c r="BL763" s="4261">
        <f t="shared" si="456"/>
        <v>167</v>
      </c>
      <c r="BM763" s="4263">
        <f t="shared" si="457"/>
        <v>300.6</v>
      </c>
      <c r="BN763" s="4264">
        <f t="shared" si="458"/>
        <v>400.8</v>
      </c>
      <c r="BO763" s="4265">
        <f t="shared" si="459"/>
        <v>501</v>
      </c>
      <c r="BP763" s="4264">
        <f t="shared" si="460"/>
        <v>267.2</v>
      </c>
      <c r="BQ763" s="4266">
        <f t="shared" si="463"/>
        <v>2004</v>
      </c>
      <c r="BR763" s="4264">
        <v>0</v>
      </c>
    </row>
    <row r="764" s="3566" customFormat="1" ht="50" customHeight="1" spans="1:70">
      <c r="A764" s="3635">
        <v>46127</v>
      </c>
      <c r="B764" s="3617" t="s">
        <v>3781</v>
      </c>
      <c r="C764" s="3617" t="s">
        <v>738</v>
      </c>
      <c r="D764" s="3618">
        <v>4500201970</v>
      </c>
      <c r="E764" s="3618" t="s">
        <v>6005</v>
      </c>
      <c r="F764" s="3618" t="s">
        <v>8269</v>
      </c>
      <c r="G764" s="959" t="s">
        <v>6124</v>
      </c>
      <c r="H764" s="3618" t="s">
        <v>6063</v>
      </c>
      <c r="I764" s="3618">
        <v>732</v>
      </c>
      <c r="J764" s="3618">
        <v>0</v>
      </c>
      <c r="K764" s="3618">
        <v>12</v>
      </c>
      <c r="L764" s="4052">
        <f t="shared" si="462"/>
        <v>61</v>
      </c>
      <c r="M764" s="3619">
        <v>46191</v>
      </c>
      <c r="N764" s="3619">
        <v>46244</v>
      </c>
      <c r="O764" s="3664"/>
      <c r="P764" s="3700" t="s">
        <v>82</v>
      </c>
      <c r="Q764" s="4053">
        <v>732</v>
      </c>
      <c r="R764" s="4101">
        <f t="shared" si="427"/>
        <v>0</v>
      </c>
      <c r="S764" s="4267" t="s">
        <v>2297</v>
      </c>
      <c r="T764" s="4053" t="s">
        <v>321</v>
      </c>
      <c r="U764" s="3645"/>
      <c r="V764" s="3622" t="s">
        <v>6007</v>
      </c>
      <c r="W764" s="3657"/>
      <c r="X764" s="3622" t="s">
        <v>6008</v>
      </c>
      <c r="Y764" s="3657"/>
      <c r="Z764" s="3618"/>
      <c r="AA764" s="3633" t="s">
        <v>6009</v>
      </c>
      <c r="AB764" s="4222" t="s">
        <v>1434</v>
      </c>
      <c r="AC764" s="3633">
        <v>2.3133</v>
      </c>
      <c r="AD764" s="3618">
        <f t="shared" si="453"/>
        <v>1693.3356</v>
      </c>
      <c r="AE764" s="959"/>
      <c r="AF764" s="959" t="s">
        <v>6126</v>
      </c>
      <c r="AG764" s="959" t="s">
        <v>416</v>
      </c>
      <c r="AH764" s="4108"/>
      <c r="AI764" s="959"/>
      <c r="AJ764" s="3618"/>
      <c r="AK764" s="4052"/>
      <c r="AL764" s="3626"/>
      <c r="AM764" s="4052"/>
      <c r="AN764" s="4109">
        <f t="shared" si="464"/>
        <v>732</v>
      </c>
      <c r="AO764" s="3626"/>
      <c r="AP764" s="4109"/>
      <c r="AQ764" s="3626">
        <f t="shared" si="465"/>
        <v>732</v>
      </c>
      <c r="AR764" s="4109"/>
      <c r="AS764" s="3626"/>
      <c r="AT764" s="4109">
        <f t="shared" si="461"/>
        <v>732</v>
      </c>
      <c r="AU764" s="3626"/>
      <c r="AV764" s="3626"/>
      <c r="AW764" s="3626"/>
      <c r="AX764" s="3626">
        <f>I764/6</f>
        <v>122</v>
      </c>
      <c r="AY764" s="3626"/>
      <c r="AZ764" s="3626"/>
      <c r="BA764" s="3626"/>
      <c r="BB764" s="3626"/>
      <c r="BC764" s="3626"/>
      <c r="BD764" s="4109"/>
      <c r="BE764" s="3626"/>
      <c r="BF764" s="3626"/>
      <c r="BG764" s="3626"/>
      <c r="BH764" s="3626"/>
      <c r="BI764" s="3626" t="s">
        <v>89</v>
      </c>
      <c r="BJ764" s="3626">
        <f>I764/100*17</f>
        <v>124.44</v>
      </c>
      <c r="BK764" s="3626">
        <f>I764/100*11</f>
        <v>80.52</v>
      </c>
      <c r="BL764" s="3626">
        <f>I764/100*5</f>
        <v>36.6</v>
      </c>
      <c r="BM764" s="4055">
        <f>I764/100*23</f>
        <v>168.36</v>
      </c>
      <c r="BN764" s="3627">
        <f>I764/100*5</f>
        <v>36.6</v>
      </c>
      <c r="BO764" s="4223">
        <f>I764/100*23</f>
        <v>168.36</v>
      </c>
      <c r="BP764" s="3627">
        <f>I764/100*16</f>
        <v>117.12</v>
      </c>
      <c r="BQ764" s="4110">
        <f t="shared" si="463"/>
        <v>732</v>
      </c>
      <c r="BR764" s="3627">
        <v>0</v>
      </c>
    </row>
    <row r="765" s="3566" customFormat="1" ht="50" customHeight="1" spans="1:70">
      <c r="A765" s="3635">
        <v>46142</v>
      </c>
      <c r="B765" s="3617" t="s">
        <v>5388</v>
      </c>
      <c r="C765" s="3617" t="s">
        <v>6022</v>
      </c>
      <c r="D765" s="3618" t="s">
        <v>6023</v>
      </c>
      <c r="E765" s="3618" t="s">
        <v>2434</v>
      </c>
      <c r="F765" s="3618" t="s">
        <v>8270</v>
      </c>
      <c r="G765" s="959" t="s">
        <v>6124</v>
      </c>
      <c r="H765" s="3618" t="s">
        <v>6063</v>
      </c>
      <c r="I765" s="3618">
        <v>2400</v>
      </c>
      <c r="J765" s="3618">
        <v>0</v>
      </c>
      <c r="K765" s="3618">
        <v>12</v>
      </c>
      <c r="L765" s="4052">
        <f t="shared" si="462"/>
        <v>200</v>
      </c>
      <c r="M765" s="3619">
        <v>46246</v>
      </c>
      <c r="N765" s="3619">
        <v>46244</v>
      </c>
      <c r="O765" s="3664"/>
      <c r="P765" s="3700" t="s">
        <v>82</v>
      </c>
      <c r="Q765" s="4053">
        <f>12+2388</f>
        <v>2400</v>
      </c>
      <c r="R765" s="4101">
        <f t="shared" si="427"/>
        <v>0</v>
      </c>
      <c r="S765" s="4268" t="s">
        <v>2297</v>
      </c>
      <c r="T765" s="4053" t="s">
        <v>321</v>
      </c>
      <c r="U765" s="3645"/>
      <c r="V765" s="3622" t="s">
        <v>1455</v>
      </c>
      <c r="W765" s="4221"/>
      <c r="X765" s="3622" t="s">
        <v>8271</v>
      </c>
      <c r="Y765" s="3649"/>
      <c r="Z765" s="3618"/>
      <c r="AA765" s="4269" t="s">
        <v>8272</v>
      </c>
      <c r="AB765" s="4222" t="s">
        <v>448</v>
      </c>
      <c r="AC765" s="3633">
        <v>2.3088</v>
      </c>
      <c r="AD765" s="3618">
        <f t="shared" si="453"/>
        <v>5541.12</v>
      </c>
      <c r="AE765" s="959"/>
      <c r="AF765" s="959" t="s">
        <v>7924</v>
      </c>
      <c r="AG765" s="959" t="s">
        <v>416</v>
      </c>
      <c r="AH765" s="4108"/>
      <c r="AI765" s="959"/>
      <c r="AJ765" s="3618"/>
      <c r="AK765" s="4052"/>
      <c r="AL765" s="3626"/>
      <c r="AM765" s="4052"/>
      <c r="AN765" s="4109"/>
      <c r="AO765" s="3626">
        <f>I765</f>
        <v>2400</v>
      </c>
      <c r="AP765" s="4109"/>
      <c r="AQ765" s="3626"/>
      <c r="AR765" s="4109">
        <f>I765</f>
        <v>2400</v>
      </c>
      <c r="AS765" s="3626"/>
      <c r="AT765" s="4109">
        <f t="shared" si="461"/>
        <v>2400</v>
      </c>
      <c r="AU765" s="3626"/>
      <c r="AV765" s="3626"/>
      <c r="AW765" s="3626"/>
      <c r="AX765" s="3626"/>
      <c r="AY765" s="3626"/>
      <c r="AZ765" s="3626"/>
      <c r="BA765" s="3626"/>
      <c r="BB765" s="3626"/>
      <c r="BC765" s="3626"/>
      <c r="BD765" s="4109"/>
      <c r="BE765" s="3626"/>
      <c r="BF765" s="3626">
        <f>I765/6</f>
        <v>400</v>
      </c>
      <c r="BG765" s="3626"/>
      <c r="BH765" s="3626"/>
      <c r="BI765" s="3626" t="s">
        <v>89</v>
      </c>
      <c r="BJ765" s="3905">
        <f>I765/100*BJ1</f>
        <v>418.56</v>
      </c>
      <c r="BK765" s="3905">
        <f>I765/100*BK1</f>
        <v>271.056</v>
      </c>
      <c r="BL765" s="3905">
        <f>I765/100*BL1</f>
        <v>117.6336</v>
      </c>
      <c r="BM765" s="4270">
        <f>I765/100*BM1</f>
        <v>556.2744</v>
      </c>
      <c r="BN765" s="3906">
        <f>I765/100*BN1</f>
        <v>110.0088</v>
      </c>
      <c r="BO765" s="4271">
        <f>I765/100*BO1</f>
        <v>548.6496</v>
      </c>
      <c r="BP765" s="3906">
        <f>I765/100*BP1</f>
        <v>377.8008</v>
      </c>
      <c r="BQ765" s="4110">
        <f t="shared" si="463"/>
        <v>2399.9832</v>
      </c>
      <c r="BR765" s="3627">
        <v>0</v>
      </c>
    </row>
    <row r="766" s="3566" customFormat="1" ht="50" customHeight="1" spans="1:70">
      <c r="A766" s="3635">
        <v>46142</v>
      </c>
      <c r="B766" s="3617" t="s">
        <v>5401</v>
      </c>
      <c r="C766" s="3617" t="s">
        <v>5402</v>
      </c>
      <c r="D766" s="3618" t="s">
        <v>6019</v>
      </c>
      <c r="E766" s="3618" t="s">
        <v>2434</v>
      </c>
      <c r="F766" s="3618" t="s">
        <v>8273</v>
      </c>
      <c r="G766" s="959" t="s">
        <v>6124</v>
      </c>
      <c r="H766" s="3618" t="s">
        <v>6063</v>
      </c>
      <c r="I766" s="3618">
        <v>2328</v>
      </c>
      <c r="J766" s="3618">
        <v>0</v>
      </c>
      <c r="K766" s="3618">
        <v>12</v>
      </c>
      <c r="L766" s="4052">
        <f t="shared" si="462"/>
        <v>194</v>
      </c>
      <c r="M766" s="3619">
        <v>46246</v>
      </c>
      <c r="N766" s="3619">
        <v>46244</v>
      </c>
      <c r="O766" s="3664"/>
      <c r="P766" s="3700" t="s">
        <v>82</v>
      </c>
      <c r="Q766" s="4053">
        <f>12+2316</f>
        <v>2328</v>
      </c>
      <c r="R766" s="4101">
        <f t="shared" si="427"/>
        <v>0</v>
      </c>
      <c r="S766" s="4272"/>
      <c r="T766" s="4053" t="s">
        <v>321</v>
      </c>
      <c r="U766" s="3645"/>
      <c r="V766" s="3622" t="s">
        <v>1455</v>
      </c>
      <c r="W766" s="4221"/>
      <c r="X766" s="3622" t="s">
        <v>8271</v>
      </c>
      <c r="Y766" s="3649"/>
      <c r="Z766" s="3618"/>
      <c r="AA766" s="3633" t="s">
        <v>8274</v>
      </c>
      <c r="AB766" s="4222" t="s">
        <v>448</v>
      </c>
      <c r="AC766" s="3633">
        <v>2.3088</v>
      </c>
      <c r="AD766" s="3618">
        <f t="shared" si="453"/>
        <v>5374.8864</v>
      </c>
      <c r="AE766" s="959"/>
      <c r="AF766" s="959" t="s">
        <v>7924</v>
      </c>
      <c r="AG766" s="959" t="s">
        <v>416</v>
      </c>
      <c r="AH766" s="4108"/>
      <c r="AI766" s="959"/>
      <c r="AJ766" s="3618"/>
      <c r="AK766" s="4052"/>
      <c r="AL766" s="3626"/>
      <c r="AM766" s="4052"/>
      <c r="AN766" s="4109"/>
      <c r="AO766" s="3626">
        <f>I766</f>
        <v>2328</v>
      </c>
      <c r="AP766" s="4109"/>
      <c r="AQ766" s="3626"/>
      <c r="AR766" s="4109">
        <f>I766</f>
        <v>2328</v>
      </c>
      <c r="AS766" s="3626"/>
      <c r="AT766" s="4109">
        <f t="shared" si="461"/>
        <v>2328</v>
      </c>
      <c r="AU766" s="3626"/>
      <c r="AV766" s="3626"/>
      <c r="AW766" s="3626"/>
      <c r="AX766" s="3626"/>
      <c r="AY766" s="3626"/>
      <c r="AZ766" s="3626"/>
      <c r="BA766" s="3626"/>
      <c r="BB766" s="3626"/>
      <c r="BC766" s="3626"/>
      <c r="BD766" s="4109"/>
      <c r="BE766" s="3626"/>
      <c r="BF766" s="3626">
        <f>I766/6</f>
        <v>388</v>
      </c>
      <c r="BG766" s="3626"/>
      <c r="BH766" s="3626"/>
      <c r="BI766" s="3626" t="s">
        <v>89</v>
      </c>
      <c r="BJ766" s="3905">
        <f>I766/100*BJ1</f>
        <v>406.0032</v>
      </c>
      <c r="BK766" s="3905">
        <f>I766/100*BK1</f>
        <v>262.92432</v>
      </c>
      <c r="BL766" s="3905">
        <f>I766/100*BL1</f>
        <v>114.104592</v>
      </c>
      <c r="BM766" s="4270">
        <f>I766/100*BM1</f>
        <v>539.586168</v>
      </c>
      <c r="BN766" s="3906">
        <f>I766/100*BN1</f>
        <v>106.708536</v>
      </c>
      <c r="BO766" s="4271">
        <f>I766/100*BO1</f>
        <v>532.190112</v>
      </c>
      <c r="BP766" s="3906">
        <f>I766/100*BP1</f>
        <v>366.466776</v>
      </c>
      <c r="BQ766" s="4110">
        <f t="shared" si="463"/>
        <v>2327.983704</v>
      </c>
      <c r="BR766" s="3627">
        <v>0</v>
      </c>
    </row>
    <row r="767" s="3566" customFormat="1" ht="50" customHeight="1" spans="1:70">
      <c r="A767" s="3635">
        <v>46142</v>
      </c>
      <c r="B767" s="3617" t="s">
        <v>5401</v>
      </c>
      <c r="C767" s="3617" t="s">
        <v>5927</v>
      </c>
      <c r="D767" s="3618" t="s">
        <v>6026</v>
      </c>
      <c r="E767" s="3618" t="s">
        <v>2434</v>
      </c>
      <c r="F767" s="3618" t="s">
        <v>8275</v>
      </c>
      <c r="G767" s="959" t="s">
        <v>6124</v>
      </c>
      <c r="H767" s="3618" t="s">
        <v>6063</v>
      </c>
      <c r="I767" s="3618">
        <v>1608</v>
      </c>
      <c r="J767" s="3618">
        <v>0</v>
      </c>
      <c r="K767" s="3618">
        <v>12</v>
      </c>
      <c r="L767" s="4052">
        <f t="shared" si="462"/>
        <v>134</v>
      </c>
      <c r="M767" s="3619">
        <v>46246</v>
      </c>
      <c r="N767" s="3619">
        <v>46244</v>
      </c>
      <c r="O767" s="3664"/>
      <c r="P767" s="3700" t="s">
        <v>82</v>
      </c>
      <c r="Q767" s="4053">
        <v>1608</v>
      </c>
      <c r="R767" s="4101">
        <f t="shared" si="427"/>
        <v>0</v>
      </c>
      <c r="S767" s="4273"/>
      <c r="T767" s="4053" t="s">
        <v>321</v>
      </c>
      <c r="U767" s="3645"/>
      <c r="V767" s="3622" t="s">
        <v>1455</v>
      </c>
      <c r="W767" s="4221"/>
      <c r="X767" s="3622" t="s">
        <v>8271</v>
      </c>
      <c r="Y767" s="3649"/>
      <c r="Z767" s="3618"/>
      <c r="AA767" s="3633" t="s">
        <v>8276</v>
      </c>
      <c r="AB767" s="4222" t="s">
        <v>448</v>
      </c>
      <c r="AC767" s="3633">
        <v>2.3088</v>
      </c>
      <c r="AD767" s="3618">
        <f t="shared" si="453"/>
        <v>3712.5504</v>
      </c>
      <c r="AE767" s="959"/>
      <c r="AF767" s="959" t="s">
        <v>7924</v>
      </c>
      <c r="AG767" s="959" t="s">
        <v>416</v>
      </c>
      <c r="AH767" s="4108"/>
      <c r="AI767" s="959"/>
      <c r="AJ767" s="3618"/>
      <c r="AK767" s="4052"/>
      <c r="AL767" s="3626"/>
      <c r="AM767" s="4052"/>
      <c r="AN767" s="4109"/>
      <c r="AO767" s="3626">
        <f>I767</f>
        <v>1608</v>
      </c>
      <c r="AP767" s="4109"/>
      <c r="AQ767" s="3626"/>
      <c r="AR767" s="4109">
        <f>I767</f>
        <v>1608</v>
      </c>
      <c r="AS767" s="3626"/>
      <c r="AT767" s="4109">
        <f t="shared" si="461"/>
        <v>1608</v>
      </c>
      <c r="AU767" s="3626"/>
      <c r="AV767" s="3626"/>
      <c r="AW767" s="3626"/>
      <c r="AX767" s="3626"/>
      <c r="AY767" s="3626"/>
      <c r="AZ767" s="3626"/>
      <c r="BA767" s="3626"/>
      <c r="BB767" s="3626"/>
      <c r="BC767" s="3626"/>
      <c r="BD767" s="4109"/>
      <c r="BE767" s="3626"/>
      <c r="BF767" s="3626">
        <f>I767/6</f>
        <v>268</v>
      </c>
      <c r="BG767" s="3626"/>
      <c r="BH767" s="3626"/>
      <c r="BI767" s="3626" t="s">
        <v>89</v>
      </c>
      <c r="BJ767" s="3905">
        <f>I767/100*BJ1</f>
        <v>280.4352</v>
      </c>
      <c r="BK767" s="3905">
        <f>I767/100*BK1</f>
        <v>181.60752</v>
      </c>
      <c r="BL767" s="3905">
        <f>I767/100*BL1</f>
        <v>78.814512</v>
      </c>
      <c r="BM767" s="4270">
        <f>I767/100*BM1</f>
        <v>372.703848</v>
      </c>
      <c r="BN767" s="3906">
        <f>I767/100*BN1</f>
        <v>73.705896</v>
      </c>
      <c r="BO767" s="4271">
        <f>I767/100*BO1</f>
        <v>367.595232</v>
      </c>
      <c r="BP767" s="3906">
        <f>I767/100*BP1</f>
        <v>253.126536</v>
      </c>
      <c r="BQ767" s="4110">
        <f t="shared" si="463"/>
        <v>1607.988744</v>
      </c>
      <c r="BR767" s="3627">
        <v>0</v>
      </c>
    </row>
    <row r="768" s="3565" customFormat="1" ht="50" customHeight="1" spans="1:70">
      <c r="A768" s="4274">
        <v>46134</v>
      </c>
      <c r="B768" s="3946" t="s">
        <v>8250</v>
      </c>
      <c r="C768" s="3946" t="s">
        <v>738</v>
      </c>
      <c r="D768" s="3895" t="s">
        <v>8260</v>
      </c>
      <c r="E768" s="3895" t="s">
        <v>8277</v>
      </c>
      <c r="F768" s="3895" t="s">
        <v>8278</v>
      </c>
      <c r="G768" s="3615" t="s">
        <v>3520</v>
      </c>
      <c r="H768" s="3895" t="s">
        <v>6063</v>
      </c>
      <c r="I768" s="3895">
        <v>7248</v>
      </c>
      <c r="J768" s="3895">
        <v>0</v>
      </c>
      <c r="K768" s="3895">
        <v>24</v>
      </c>
      <c r="L768" s="4275">
        <f t="shared" si="462"/>
        <v>302</v>
      </c>
      <c r="M768" s="3896">
        <v>46218</v>
      </c>
      <c r="N768" s="3896">
        <v>46244</v>
      </c>
      <c r="O768" s="875"/>
      <c r="P768" s="3615"/>
      <c r="Q768" s="4150">
        <v>7248</v>
      </c>
      <c r="R768" s="4276">
        <f t="shared" si="427"/>
        <v>0</v>
      </c>
      <c r="S768" s="4244" t="s">
        <v>2297</v>
      </c>
      <c r="T768" s="4277" t="s">
        <v>321</v>
      </c>
      <c r="U768" s="4278"/>
      <c r="V768" s="3897" t="s">
        <v>2436</v>
      </c>
      <c r="W768" s="4279"/>
      <c r="X768" s="3897" t="s">
        <v>8254</v>
      </c>
      <c r="Y768" s="3996"/>
      <c r="Z768" s="3895"/>
      <c r="AA768" s="3902" t="s">
        <v>8264</v>
      </c>
      <c r="AB768" s="4280" t="s">
        <v>7936</v>
      </c>
      <c r="AC768" s="3902">
        <v>2.2312</v>
      </c>
      <c r="AD768" s="3895">
        <f t="shared" si="453"/>
        <v>16171.7376</v>
      </c>
      <c r="AE768" s="3615"/>
      <c r="AF768" s="3615" t="s">
        <v>6263</v>
      </c>
      <c r="AG768" s="3615" t="s">
        <v>416</v>
      </c>
      <c r="AH768" s="4281"/>
      <c r="AI768" s="3615"/>
      <c r="AJ768" s="3895"/>
      <c r="AK768" s="4275"/>
      <c r="AL768" s="3905"/>
      <c r="AM768" s="4275"/>
      <c r="AN768" s="4282">
        <f>I768</f>
        <v>7248</v>
      </c>
      <c r="AO768" s="3905"/>
      <c r="AP768" s="4282"/>
      <c r="AQ768" s="3905">
        <f>I768</f>
        <v>7248</v>
      </c>
      <c r="AR768" s="4282"/>
      <c r="AS768" s="3905"/>
      <c r="AT768" s="4282">
        <f t="shared" si="461"/>
        <v>7248</v>
      </c>
      <c r="AU768" s="3905"/>
      <c r="AV768" s="3905"/>
      <c r="AW768" s="3905"/>
      <c r="AX768" s="3905"/>
      <c r="AY768" s="3905"/>
      <c r="AZ768" s="3905"/>
      <c r="BA768" s="3905"/>
      <c r="BB768" s="3905"/>
      <c r="BC768" s="3905"/>
      <c r="BD768" s="4282"/>
      <c r="BE768" s="3905"/>
      <c r="BF768" s="3905"/>
      <c r="BG768" s="3905"/>
      <c r="BH768" s="3905"/>
      <c r="BI768" s="3905" t="s">
        <v>89</v>
      </c>
      <c r="BJ768" s="3905">
        <f>I768/100*BJ1</f>
        <v>1264.0512</v>
      </c>
      <c r="BK768" s="3905">
        <f>I768/100*BK1</f>
        <v>818.58912</v>
      </c>
      <c r="BL768" s="3905">
        <f>I768/100*BL1</f>
        <v>355.253472</v>
      </c>
      <c r="BM768" s="4270">
        <f>I768/100*BM1</f>
        <v>1679.948688</v>
      </c>
      <c r="BN768" s="3906">
        <f>I768/100*BN1</f>
        <v>332.226576</v>
      </c>
      <c r="BO768" s="4271">
        <f>I768/100*BO1</f>
        <v>1656.921792</v>
      </c>
      <c r="BP768" s="3906">
        <f>I768/100*BP1</f>
        <v>1140.958416</v>
      </c>
      <c r="BQ768" s="4283">
        <f t="shared" si="463"/>
        <v>7247.949264</v>
      </c>
      <c r="BR768" s="3906">
        <f>I768-BQ768</f>
        <v>0.0507359999992332</v>
      </c>
    </row>
    <row r="769" s="3565" customFormat="1" ht="50" customHeight="1" spans="1:72">
      <c r="A769" s="4274">
        <v>46087</v>
      </c>
      <c r="B769" s="3946" t="s">
        <v>3608</v>
      </c>
      <c r="C769" s="3946" t="s">
        <v>738</v>
      </c>
      <c r="D769" s="3895">
        <v>4500195533</v>
      </c>
      <c r="E769" s="3895"/>
      <c r="F769" s="3895" t="s">
        <v>8279</v>
      </c>
      <c r="G769" s="3615" t="s">
        <v>3520</v>
      </c>
      <c r="H769" s="3895" t="s">
        <v>8280</v>
      </c>
      <c r="I769" s="4284">
        <v>24</v>
      </c>
      <c r="J769" s="3895">
        <v>0</v>
      </c>
      <c r="K769" s="3895">
        <v>24</v>
      </c>
      <c r="L769" s="4285">
        <f t="shared" si="462"/>
        <v>1</v>
      </c>
      <c r="M769" s="4286">
        <v>46268</v>
      </c>
      <c r="N769" s="4287">
        <v>46265</v>
      </c>
      <c r="O769" s="867"/>
      <c r="P769" s="3615"/>
      <c r="Q769" s="4150"/>
      <c r="R769" s="4157">
        <f t="shared" si="427"/>
        <v>-24</v>
      </c>
      <c r="S769" s="4288" t="s">
        <v>2297</v>
      </c>
      <c r="T769" s="4145" t="s">
        <v>321</v>
      </c>
      <c r="U769" s="4278"/>
      <c r="V769" s="3996" t="s">
        <v>2532</v>
      </c>
      <c r="W769" s="4279"/>
      <c r="X769" s="3898" t="s">
        <v>8281</v>
      </c>
      <c r="Y769" s="3996"/>
      <c r="Z769" s="3895"/>
      <c r="AA769" s="3902" t="s">
        <v>8282</v>
      </c>
      <c r="AB769" s="4280" t="s">
        <v>1257</v>
      </c>
      <c r="AC769" s="3902">
        <v>2.2017</v>
      </c>
      <c r="AD769" s="3895">
        <f t="shared" si="453"/>
        <v>52.8408</v>
      </c>
      <c r="AE769" s="3615"/>
      <c r="AF769" s="3615" t="s">
        <v>6263</v>
      </c>
      <c r="AG769" s="3615" t="s">
        <v>416</v>
      </c>
      <c r="AH769" s="4281"/>
      <c r="AI769" s="3615"/>
      <c r="AJ769" s="3895"/>
      <c r="AK769" s="4275"/>
      <c r="AL769" s="3905"/>
      <c r="AM769" s="4275"/>
      <c r="AN769" s="4282">
        <f>I769</f>
        <v>24</v>
      </c>
      <c r="AO769" s="3905"/>
      <c r="AP769" s="4282"/>
      <c r="AQ769" s="3905">
        <f>I769</f>
        <v>24</v>
      </c>
      <c r="AR769" s="4282"/>
      <c r="AS769" s="3905"/>
      <c r="AT769" s="4282">
        <f t="shared" si="461"/>
        <v>24</v>
      </c>
      <c r="AU769" s="3905"/>
      <c r="AV769" s="3905"/>
      <c r="AW769" s="3905"/>
      <c r="AX769" s="3905"/>
      <c r="AY769" s="3905"/>
      <c r="AZ769" s="3905"/>
      <c r="BA769" s="3905"/>
      <c r="BB769" s="3905"/>
      <c r="BC769" s="3905"/>
      <c r="BD769" s="4282"/>
      <c r="BE769" s="3905"/>
      <c r="BF769" s="3905"/>
      <c r="BG769" s="3905"/>
      <c r="BH769" s="3905"/>
      <c r="BI769" s="3905" t="s">
        <v>89</v>
      </c>
      <c r="BJ769" s="3905">
        <f>I769/100*BJ1</f>
        <v>4.1856</v>
      </c>
      <c r="BK769" s="3905">
        <f>I769/100*BK1</f>
        <v>2.71056</v>
      </c>
      <c r="BL769" s="3905">
        <f>I769/100*BL1</f>
        <v>1.176336</v>
      </c>
      <c r="BM769" s="4270">
        <f>I769/100*BM1</f>
        <v>5.562744</v>
      </c>
      <c r="BN769" s="3906">
        <f>I769/100*BN1</f>
        <v>1.100088</v>
      </c>
      <c r="BO769" s="4271">
        <f>I769/100*BO1</f>
        <v>5.486496</v>
      </c>
      <c r="BP769" s="3906">
        <f>I769/100*BP1</f>
        <v>3.778008</v>
      </c>
      <c r="BQ769" s="4289">
        <f t="shared" si="463"/>
        <v>23.999832</v>
      </c>
      <c r="BR769" s="3906">
        <f>I769-BQ769</f>
        <v>0.000168000000002166</v>
      </c>
    </row>
    <row r="770" s="3565" customFormat="1" ht="50" customHeight="1" spans="1:72">
      <c r="A770" s="4274"/>
      <c r="B770" s="3946"/>
      <c r="C770" s="3946"/>
      <c r="D770" s="3895"/>
      <c r="E770" s="3615"/>
      <c r="F770" s="3615"/>
      <c r="G770" s="3615"/>
      <c r="H770" s="3895"/>
      <c r="I770" s="3895"/>
      <c r="J770" s="3895"/>
      <c r="K770" s="3895"/>
      <c r="L770" s="3895"/>
      <c r="M770" s="3896"/>
      <c r="N770" s="3896"/>
      <c r="O770" s="875"/>
      <c r="P770" s="3615"/>
      <c r="Q770" s="3615"/>
      <c r="R770" s="3615"/>
      <c r="S770" s="3615"/>
      <c r="T770" s="4150"/>
      <c r="U770" s="3658"/>
      <c r="V770" s="3996"/>
      <c r="W770" s="4290"/>
      <c r="X770" s="3898"/>
      <c r="Y770" s="4291"/>
      <c r="Z770" s="3899"/>
      <c r="AA770" s="3658"/>
      <c r="AB770" s="3999"/>
      <c r="AC770" s="3895"/>
      <c r="AD770" s="3895"/>
      <c r="AE770" s="3902"/>
      <c r="AF770" s="3615"/>
      <c r="AG770" s="3658"/>
      <c r="AH770" s="3658"/>
      <c r="AI770" s="3658"/>
      <c r="AJ770" s="3658"/>
      <c r="AK770" s="3615"/>
      <c r="AL770" s="3615"/>
      <c r="AM770" s="3615"/>
      <c r="AN770" s="3615"/>
      <c r="AO770" s="3615"/>
      <c r="AP770" s="3895"/>
      <c r="AQ770" s="3895"/>
      <c r="AR770" s="3905"/>
      <c r="AS770" s="3905"/>
      <c r="AT770" s="3905"/>
      <c r="AU770" s="3905"/>
      <c r="AV770" s="3905"/>
      <c r="AW770" s="3905"/>
      <c r="AX770" s="3905"/>
      <c r="AY770" s="3905"/>
      <c r="AZ770" s="3905"/>
      <c r="BA770" s="3905"/>
      <c r="BB770" s="3905"/>
      <c r="BC770" s="3905"/>
      <c r="BD770" s="3905"/>
      <c r="BE770" s="3905"/>
      <c r="BF770" s="3905"/>
      <c r="BG770" s="3905"/>
      <c r="BH770" s="3905"/>
      <c r="BI770" s="3905"/>
      <c r="BJ770" s="3905"/>
      <c r="BK770" s="3905"/>
      <c r="BL770" s="3905"/>
      <c r="BM770" s="3905"/>
      <c r="BN770" s="3905"/>
      <c r="BO770" s="4270"/>
      <c r="BP770" s="3906"/>
      <c r="BQ770" s="3906"/>
      <c r="BR770" s="3906"/>
      <c r="BS770" s="899"/>
      <c r="BT770" s="4031"/>
    </row>
    <row r="771" s="3565" customFormat="1" ht="50" customHeight="1" spans="1:72">
      <c r="A771" s="4274"/>
      <c r="B771" s="3946"/>
      <c r="C771" s="3946"/>
      <c r="D771" s="3895"/>
      <c r="E771" s="3615"/>
      <c r="F771" s="3615"/>
      <c r="G771" s="3615"/>
      <c r="H771" s="3615"/>
      <c r="I771" s="3895"/>
      <c r="J771" s="3895"/>
      <c r="K771" s="3895"/>
      <c r="L771" s="3895"/>
      <c r="M771" s="3896"/>
      <c r="N771" s="3896"/>
      <c r="O771" s="3895"/>
      <c r="P771" s="3615"/>
      <c r="Q771" s="3615"/>
      <c r="R771" s="3615"/>
      <c r="S771" s="3615"/>
      <c r="T771" s="4150"/>
      <c r="U771" s="3658"/>
      <c r="V771" s="3947"/>
      <c r="W771" s="3947"/>
      <c r="X771" s="3947"/>
      <c r="Y771" s="4292"/>
      <c r="Z771" s="3895"/>
      <c r="AA771" s="3658"/>
      <c r="AB771" s="3999"/>
      <c r="AC771" s="3895"/>
      <c r="AD771" s="3895">
        <f>SUBTOTAL(9,AD79:AD367)</f>
        <v>1490112.5793</v>
      </c>
      <c r="AE771" s="3742"/>
      <c r="AF771" s="889"/>
      <c r="AG771" s="3658"/>
      <c r="AH771" s="3658"/>
      <c r="AI771" s="3658"/>
      <c r="AJ771" s="3658"/>
      <c r="AK771" s="3615"/>
      <c r="AL771" s="3615"/>
      <c r="AM771" s="3615"/>
      <c r="AN771" s="3615"/>
      <c r="AO771" s="3615"/>
      <c r="AP771" s="3895"/>
      <c r="AQ771" s="3895"/>
      <c r="AR771" s="3905"/>
      <c r="AS771" s="3905"/>
      <c r="AT771" s="3905"/>
      <c r="AU771" s="3905"/>
      <c r="AV771" s="3905"/>
      <c r="AW771" s="3905"/>
      <c r="AX771" s="3905"/>
      <c r="AY771" s="3905"/>
      <c r="AZ771" s="3905"/>
      <c r="BA771" s="3905"/>
      <c r="BB771" s="3905"/>
      <c r="BC771" s="3905"/>
      <c r="BD771" s="3905"/>
      <c r="BE771" s="3905"/>
      <c r="BF771" s="3905"/>
      <c r="BG771" s="3905"/>
      <c r="BH771" s="3905"/>
      <c r="BI771" s="3905"/>
      <c r="BJ771" s="3905"/>
      <c r="BK771" s="3905"/>
      <c r="BL771" s="3905"/>
      <c r="BM771" s="3905"/>
      <c r="BN771" s="3905"/>
      <c r="BO771" s="4270"/>
      <c r="BP771" s="3906"/>
      <c r="BQ771" s="3906"/>
      <c r="BR771" s="3906"/>
      <c r="BS771" s="899"/>
      <c r="BT771" s="4031"/>
    </row>
    <row r="772" s="3565" customFormat="1" ht="51" customHeight="1" spans="1:72">
      <c r="A772" s="4030"/>
      <c r="B772" s="3576"/>
      <c r="C772" s="3576"/>
      <c r="D772" s="3563"/>
      <c r="E772" s="3576"/>
      <c r="F772" s="3576"/>
      <c r="G772" s="3563"/>
      <c r="H772" s="3563"/>
      <c r="I772" s="3563">
        <f>SUM(I4:I771)</f>
        <v>1559240</v>
      </c>
      <c r="J772" s="3563"/>
      <c r="K772" s="3563"/>
      <c r="L772" s="3563"/>
      <c r="M772" s="3577"/>
      <c r="N772" s="3563"/>
      <c r="O772" s="3576"/>
      <c r="P772" s="3578"/>
      <c r="Q772" s="3578"/>
      <c r="R772" s="3578"/>
      <c r="S772" s="3578"/>
      <c r="T772" s="3589"/>
      <c r="U772" s="3563"/>
      <c r="V772" s="3563"/>
      <c r="W772" s="4014"/>
      <c r="X772" s="3563"/>
      <c r="Y772" s="3563"/>
      <c r="Z772" s="3578"/>
      <c r="AA772" s="3578"/>
      <c r="AB772" s="3578"/>
      <c r="AC772" s="3578"/>
      <c r="AD772" s="3578"/>
      <c r="AE772" s="3578"/>
      <c r="AF772" s="3576"/>
      <c r="AG772" s="3576"/>
      <c r="AH772" s="3576"/>
      <c r="AI772" s="3576"/>
      <c r="AJ772" s="3576"/>
      <c r="AK772" s="4293">
        <f>SUM(AK4:AK771)</f>
        <v>415561</v>
      </c>
      <c r="AL772" s="4293">
        <f>SUM(AL3:AL771)</f>
        <v>623082</v>
      </c>
      <c r="AM772" s="4293">
        <f>SUM(AM4:AM771)</f>
        <v>208083</v>
      </c>
      <c r="AN772" s="4293">
        <f>SUM(AN3:AN771)</f>
        <v>195748</v>
      </c>
      <c r="AO772" s="4293">
        <f>SUM(AO4:AO771)</f>
        <v>122910</v>
      </c>
      <c r="AP772" s="4293">
        <f>SUM(AP4:AP771)</f>
        <v>644750</v>
      </c>
      <c r="AQ772" s="4293">
        <f>SUM(AQ3:AQ771)</f>
        <v>867466</v>
      </c>
      <c r="AR772" s="4293">
        <f t="shared" ref="AR772:BF772" si="466">SUM(AR4:AR771)</f>
        <v>36648</v>
      </c>
      <c r="AS772" s="4293">
        <f t="shared" si="466"/>
        <v>584182</v>
      </c>
      <c r="AT772" s="4293">
        <f t="shared" si="466"/>
        <v>782256</v>
      </c>
      <c r="AU772" s="4293">
        <f t="shared" si="466"/>
        <v>113346</v>
      </c>
      <c r="AV772" s="4293">
        <f t="shared" si="466"/>
        <v>78976</v>
      </c>
      <c r="AW772" s="4293">
        <f t="shared" si="466"/>
        <v>26057</v>
      </c>
      <c r="AX772" s="4293">
        <f t="shared" si="466"/>
        <v>24014</v>
      </c>
      <c r="AY772" s="4293">
        <f t="shared" si="466"/>
        <v>15697</v>
      </c>
      <c r="AZ772" s="4293">
        <f t="shared" si="466"/>
        <v>9832</v>
      </c>
      <c r="BA772" s="4293">
        <f t="shared" si="466"/>
        <v>1500</v>
      </c>
      <c r="BB772" s="4293">
        <f t="shared" si="466"/>
        <v>7669</v>
      </c>
      <c r="BC772" s="4293">
        <f t="shared" si="466"/>
        <v>42211</v>
      </c>
      <c r="BD772" s="4293">
        <f t="shared" si="466"/>
        <v>54570</v>
      </c>
      <c r="BE772" s="4293">
        <f t="shared" si="466"/>
        <v>6016.66666666667</v>
      </c>
      <c r="BF772" s="4293">
        <f t="shared" si="466"/>
        <v>3224</v>
      </c>
      <c r="BG772" s="4293"/>
      <c r="BH772" s="4293">
        <f t="shared" ref="BH772:BR772" si="467">SUM(BH4:BH771)</f>
        <v>50</v>
      </c>
      <c r="BI772" s="4293">
        <f t="shared" si="467"/>
        <v>0</v>
      </c>
      <c r="BJ772" s="4293">
        <f t="shared" si="467"/>
        <v>62991.3495842364</v>
      </c>
      <c r="BK772" s="4293">
        <f t="shared" si="467"/>
        <v>259843.164662857</v>
      </c>
      <c r="BL772" s="4293">
        <f t="shared" si="467"/>
        <v>256139.606321524</v>
      </c>
      <c r="BM772" s="4293">
        <f t="shared" si="467"/>
        <v>205544.42632419</v>
      </c>
      <c r="BN772" s="4293">
        <f t="shared" si="467"/>
        <v>257209.307038857</v>
      </c>
      <c r="BO772" s="4293">
        <f t="shared" si="467"/>
        <v>264464.827041524</v>
      </c>
      <c r="BP772" s="4293">
        <f t="shared" si="467"/>
        <v>253048.74101219</v>
      </c>
      <c r="BQ772" s="4293">
        <f t="shared" si="467"/>
        <v>1558985.42198538</v>
      </c>
      <c r="BR772" s="4293">
        <f t="shared" si="467"/>
        <v>-1.46633737931111</v>
      </c>
      <c r="BS772" s="899"/>
      <c r="BT772" s="4031"/>
    </row>
    <row r="773" s="3565" customFormat="1" ht="51" customHeight="1" spans="1:72">
      <c r="A773" s="4030"/>
      <c r="B773" s="3576"/>
      <c r="C773" s="3576"/>
      <c r="D773" s="3563"/>
      <c r="E773" s="3576"/>
      <c r="F773" s="3576"/>
      <c r="G773" s="3563"/>
      <c r="H773" s="3563"/>
      <c r="I773" s="3563"/>
      <c r="J773" s="3563"/>
      <c r="K773" s="3563"/>
      <c r="L773" s="3563"/>
      <c r="M773" s="3577"/>
      <c r="N773" s="3563"/>
      <c r="O773" s="3576"/>
      <c r="P773" s="3578"/>
      <c r="Q773" s="3578"/>
      <c r="R773" s="3578"/>
      <c r="S773" s="3578"/>
      <c r="T773" s="3589"/>
      <c r="U773" s="3563"/>
      <c r="V773" s="3563"/>
      <c r="W773" s="4014"/>
      <c r="X773" s="3563"/>
      <c r="Y773" s="3563"/>
      <c r="Z773" s="3578"/>
      <c r="AA773" s="3578"/>
      <c r="AB773" s="3578"/>
      <c r="AC773" s="3578"/>
      <c r="AD773" s="4018">
        <f>SUBTOTAL(9,AD182:AD404)</f>
        <v>1264976.9721</v>
      </c>
      <c r="AE773" s="3578"/>
      <c r="AF773" s="3576"/>
      <c r="AG773" s="3576"/>
      <c r="AH773" s="3576"/>
      <c r="AI773" s="3576"/>
      <c r="AJ773" s="3576"/>
      <c r="AK773" s="4293"/>
      <c r="AL773" s="4293"/>
      <c r="AM773" s="4293"/>
      <c r="AN773" s="4293"/>
      <c r="AO773" s="4293"/>
      <c r="AP773" s="4293"/>
      <c r="AQ773" s="4293"/>
      <c r="AR773" s="4293"/>
      <c r="AS773" s="4293"/>
      <c r="AT773" s="4293"/>
      <c r="AU773" s="4293"/>
      <c r="AV773" s="4293"/>
      <c r="AW773" s="4293"/>
      <c r="AX773" s="4293"/>
      <c r="AY773" s="4293"/>
      <c r="AZ773" s="4293"/>
      <c r="BA773" s="4293"/>
      <c r="BB773" s="4293"/>
      <c r="BC773" s="4293"/>
      <c r="BD773" s="4293"/>
      <c r="BE773" s="4293"/>
      <c r="BF773" s="4293"/>
      <c r="BG773" s="4293"/>
      <c r="BH773" s="4293"/>
      <c r="BI773" s="4293"/>
      <c r="BJ773" s="4293"/>
      <c r="BK773" s="4293"/>
      <c r="BL773" s="4293"/>
      <c r="BM773" s="4293"/>
      <c r="BN773" s="4293"/>
      <c r="BO773" s="4293"/>
      <c r="BP773" s="4293"/>
      <c r="BQ773" s="4293"/>
      <c r="BR773" s="4293"/>
      <c r="BS773" s="899"/>
      <c r="BT773" s="4031"/>
    </row>
    <row r="774" s="3565" customFormat="1" ht="51" customHeight="1" spans="1:72">
      <c r="A774" s="4030"/>
      <c r="B774" s="3576"/>
      <c r="C774" s="3576"/>
      <c r="D774" s="3563"/>
      <c r="E774" s="3576"/>
      <c r="F774" s="3576"/>
      <c r="G774" s="3563"/>
      <c r="H774" s="3563"/>
      <c r="I774" s="3563"/>
      <c r="J774" s="3563"/>
      <c r="K774" s="3563"/>
      <c r="L774" s="3563"/>
      <c r="M774" s="3577"/>
      <c r="N774" s="3563"/>
      <c r="O774" s="3576"/>
      <c r="P774" s="3578"/>
      <c r="Q774" s="3578"/>
      <c r="R774" s="3578"/>
      <c r="S774" s="3578"/>
      <c r="T774" s="3589"/>
      <c r="U774" s="3563"/>
      <c r="V774" s="3563"/>
      <c r="W774" s="4014"/>
      <c r="X774" s="3563"/>
      <c r="Y774" s="3563"/>
      <c r="Z774" s="3578"/>
      <c r="AA774" s="3578"/>
      <c r="AB774" s="3578"/>
      <c r="AC774" s="3578"/>
      <c r="AD774" s="4018">
        <f>AD773*7.75</f>
        <v>9803571.533775</v>
      </c>
      <c r="AE774" s="3578"/>
      <c r="AF774" s="3576"/>
      <c r="AG774" s="3576"/>
      <c r="AH774" s="3576"/>
      <c r="AI774" s="3576"/>
      <c r="AJ774" s="3576"/>
      <c r="AK774" s="4293"/>
      <c r="AL774" s="4293"/>
      <c r="AM774" s="4293"/>
      <c r="AN774" s="4293"/>
      <c r="AO774" s="4293"/>
      <c r="AP774" s="4293"/>
      <c r="AQ774" s="4293"/>
      <c r="AR774" s="4293"/>
      <c r="AS774" s="4293"/>
      <c r="AT774" s="4293"/>
      <c r="AU774" s="4293"/>
      <c r="AV774" s="4293"/>
      <c r="AW774" s="4293"/>
      <c r="AX774" s="4293"/>
      <c r="AY774" s="4293"/>
      <c r="AZ774" s="4293"/>
      <c r="BA774" s="4293"/>
      <c r="BB774" s="4293"/>
      <c r="BC774" s="4293"/>
      <c r="BD774" s="4293"/>
      <c r="BE774" s="4293"/>
      <c r="BF774" s="4293"/>
      <c r="BG774" s="4293"/>
      <c r="BH774" s="4293"/>
      <c r="BI774" s="4293"/>
      <c r="BJ774" s="4293"/>
      <c r="BK774" s="4293"/>
      <c r="BL774" s="4293"/>
      <c r="BM774" s="4293"/>
      <c r="BN774" s="4293"/>
      <c r="BO774" s="4293"/>
      <c r="BP774" s="4293"/>
      <c r="BQ774" s="4293"/>
      <c r="BR774" s="4293"/>
      <c r="BS774" s="899"/>
      <c r="BT774" s="4031"/>
    </row>
    <row r="775" s="3565" customFormat="1" ht="51" customHeight="1" spans="1:72">
      <c r="A775" s="4030"/>
      <c r="B775" s="3576"/>
      <c r="C775" s="3576"/>
      <c r="D775" s="3563"/>
      <c r="E775" s="3576"/>
      <c r="F775" s="3576"/>
      <c r="G775" s="3563"/>
      <c r="H775" s="3563"/>
      <c r="I775" s="3563"/>
      <c r="J775" s="3563"/>
      <c r="K775" s="3563"/>
      <c r="L775" s="3563"/>
      <c r="M775" s="3563"/>
      <c r="O775" s="3576"/>
      <c r="P775" s="3578"/>
      <c r="Q775" s="3578"/>
      <c r="R775" s="3578"/>
      <c r="S775" s="3578"/>
      <c r="T775" s="3589"/>
      <c r="U775" s="3563"/>
      <c r="V775" s="3563"/>
      <c r="W775" s="4014"/>
      <c r="X775" s="3576"/>
      <c r="Y775" s="3563"/>
      <c r="Z775" s="3578"/>
      <c r="AA775" s="3578"/>
      <c r="AB775" s="3578"/>
      <c r="AC775" s="3578"/>
      <c r="AD775" s="3578"/>
      <c r="AE775" s="3578"/>
      <c r="AF775" s="3576"/>
      <c r="AG775" s="3576"/>
      <c r="AH775" s="3576"/>
      <c r="AI775" s="3576"/>
      <c r="AJ775" s="3576"/>
      <c r="AK775" s="4293"/>
      <c r="AL775" s="4293"/>
      <c r="AM775" s="4293"/>
      <c r="AN775" s="4293"/>
      <c r="AO775" s="4293"/>
      <c r="AP775" s="4294"/>
      <c r="AQ775" s="4294"/>
      <c r="AR775" s="4293"/>
      <c r="AS775" s="4293"/>
      <c r="AT775" s="4293"/>
      <c r="AU775" s="4293"/>
      <c r="AV775" s="4293"/>
      <c r="AW775" s="4293"/>
      <c r="AX775" s="4293"/>
      <c r="AY775" s="4293"/>
      <c r="AZ775" s="4293"/>
      <c r="BA775" s="4293"/>
      <c r="BB775" s="4293"/>
      <c r="BC775" s="4293"/>
      <c r="BD775" s="4293"/>
      <c r="BE775" s="4293"/>
      <c r="BF775" s="4293"/>
      <c r="BG775" s="4293"/>
      <c r="BH775" s="4293"/>
      <c r="BI775" s="4293"/>
      <c r="BJ775" s="4293"/>
      <c r="BK775" s="4293"/>
      <c r="BL775" s="4293"/>
      <c r="BM775" s="4293"/>
      <c r="BN775" s="4293"/>
      <c r="BO775" s="4293"/>
      <c r="BP775" s="4293"/>
      <c r="BQ775" s="4293"/>
      <c r="BR775" s="4293"/>
      <c r="BS775" s="899"/>
      <c r="BT775" s="4031"/>
    </row>
    <row r="776" s="3568" customFormat="1" ht="27" customHeight="1" spans="1:72">
      <c r="A776" s="4295"/>
      <c r="B776" s="4296"/>
      <c r="C776" s="4296"/>
      <c r="D776" s="4294"/>
      <c r="E776" s="4296"/>
      <c r="F776" s="4296"/>
      <c r="G776" s="4296"/>
      <c r="H776" s="4296"/>
      <c r="I776" s="4296"/>
      <c r="K776" s="4294"/>
      <c r="L776" s="4294"/>
      <c r="M776" s="4297"/>
      <c r="N776" s="4294"/>
      <c r="O776" s="3576"/>
      <c r="P776" s="3578"/>
      <c r="Q776" s="3578"/>
      <c r="R776" s="3578"/>
      <c r="S776" s="3578"/>
      <c r="T776" s="3589"/>
      <c r="U776" s="4294"/>
      <c r="V776" s="4294"/>
      <c r="W776" s="4298"/>
      <c r="X776" s="4296"/>
      <c r="Y776" s="4294"/>
      <c r="Z776" s="4299"/>
      <c r="AA776" s="3578"/>
      <c r="AB776" s="4299"/>
      <c r="AC776" s="4299"/>
      <c r="AD776" s="4299"/>
      <c r="AE776" s="4300"/>
      <c r="AF776" s="3576"/>
      <c r="AG776" s="4296"/>
      <c r="AH776" s="4296"/>
      <c r="AI776" s="4296"/>
      <c r="AJ776" s="4296"/>
      <c r="AK776" s="4296"/>
      <c r="AL776" s="4296"/>
      <c r="AM776" s="4301"/>
      <c r="AN776" s="4301"/>
      <c r="AO776" s="4302"/>
      <c r="AP776" s="4303"/>
      <c r="AQ776" s="4303"/>
      <c r="AR776" s="4303"/>
      <c r="AS776" s="4303"/>
      <c r="AT776" s="4303"/>
      <c r="AU776" s="4303"/>
      <c r="AV776" s="4303"/>
      <c r="AW776" s="3582"/>
      <c r="AX776" s="3582"/>
      <c r="AY776" s="4303"/>
      <c r="AZ776" s="4303"/>
      <c r="BA776" s="4303"/>
      <c r="BB776" s="4303"/>
      <c r="BC776" s="4303"/>
      <c r="BD776" s="4303"/>
      <c r="BE776" s="4303"/>
      <c r="BF776" s="4303"/>
      <c r="BG776" s="4303"/>
      <c r="BH776" s="4303"/>
      <c r="BI776" s="4304"/>
      <c r="BJ776" s="4305"/>
      <c r="BK776" s="4305"/>
      <c r="BL776" s="3905"/>
      <c r="BM776" s="4305"/>
      <c r="BN776" s="4305"/>
      <c r="BO776" s="4305"/>
      <c r="BP776" s="4305"/>
      <c r="BQ776" s="4305"/>
      <c r="BR776" s="3563"/>
      <c r="BS776" s="899"/>
      <c r="BT776" s="4137"/>
    </row>
    <row r="777" spans="1:72">
      <c r="E777" s="3576"/>
      <c r="G777" s="3563"/>
      <c r="M777" s="3577"/>
      <c r="N777" s="3563"/>
      <c r="P777" s="3578"/>
      <c r="Q777" s="3578"/>
      <c r="R777" s="3578"/>
      <c r="S777" s="3578"/>
      <c r="T777" s="3589"/>
      <c r="U777" s="3563"/>
      <c r="W777" s="4014"/>
      <c r="X777" s="3576"/>
      <c r="Z777" s="3578"/>
      <c r="AG777" s="3576"/>
      <c r="AH777" s="3576"/>
      <c r="AI777" s="3576"/>
      <c r="AJ777" s="3576"/>
      <c r="AM777" s="3580"/>
      <c r="AN777" s="3580"/>
      <c r="AO777" s="3581"/>
      <c r="AP777" s="3582"/>
      <c r="AQ777" s="3582"/>
      <c r="BI777" s="4016"/>
      <c r="BL777" s="4017"/>
      <c r="BM777" s="3581"/>
      <c r="BP777" s="3576"/>
      <c r="BQ777" s="3563"/>
    </row>
    <row r="778" spans="1:72">
      <c r="E778" s="3576"/>
      <c r="M778" s="3577"/>
      <c r="P778" s="3578"/>
      <c r="Q778" s="3578"/>
      <c r="R778" s="3578"/>
      <c r="S778" s="3578"/>
      <c r="T778" s="3589"/>
      <c r="U778" s="3563"/>
      <c r="W778" s="4014"/>
      <c r="X778" s="3576"/>
      <c r="Z778" s="3578"/>
      <c r="AG778" s="3576"/>
      <c r="AH778" s="3576"/>
      <c r="AI778" s="3576"/>
      <c r="AJ778" s="3576"/>
      <c r="AM778" s="3580"/>
      <c r="AN778" s="3580"/>
      <c r="AO778" s="3581"/>
      <c r="AP778" s="3582"/>
      <c r="AQ778" s="3582"/>
      <c r="BI778" s="4016"/>
      <c r="BL778" s="4017"/>
      <c r="BM778" s="3581"/>
      <c r="BP778" s="3576"/>
      <c r="BQ778" s="3563"/>
    </row>
    <row r="779" spans="1:72">
      <c r="E779" s="3576"/>
      <c r="G779" s="3563"/>
      <c r="M779" s="3577"/>
      <c r="N779" s="3563"/>
      <c r="P779" s="3578"/>
      <c r="Q779" s="3578"/>
      <c r="R779" s="3578"/>
      <c r="S779" s="3578"/>
      <c r="T779" s="3589"/>
      <c r="U779" s="3563"/>
      <c r="W779" s="4014"/>
      <c r="X779" s="3576"/>
      <c r="Z779" s="3578"/>
      <c r="AG779" s="3576"/>
      <c r="AH779" s="3576"/>
      <c r="AI779" s="3576"/>
      <c r="AJ779" s="3576"/>
      <c r="AM779" s="3580"/>
      <c r="AN779" s="3580"/>
      <c r="AO779" s="3581"/>
      <c r="AP779" s="3582"/>
      <c r="AQ779" s="3582"/>
      <c r="BI779" s="4016"/>
      <c r="BL779" s="4017"/>
      <c r="BM779" s="3581"/>
      <c r="BP779" s="3576"/>
      <c r="BQ779" s="3563"/>
    </row>
    <row r="780" spans="1:72">
      <c r="E780" s="3576"/>
      <c r="G780" s="3563"/>
      <c r="M780" s="3577"/>
      <c r="N780" s="3563"/>
      <c r="P780" s="3578"/>
      <c r="Q780" s="3578"/>
      <c r="R780" s="3578"/>
      <c r="S780" s="3578"/>
      <c r="T780" s="3589"/>
      <c r="U780" s="3563"/>
      <c r="W780" s="4014"/>
      <c r="X780" s="3576"/>
      <c r="Z780" s="3578"/>
      <c r="AG780" s="3576"/>
      <c r="AH780" s="3576"/>
      <c r="AI780" s="3576"/>
      <c r="AJ780" s="3576"/>
      <c r="AM780" s="3580"/>
      <c r="AN780" s="3580"/>
      <c r="AO780" s="3581"/>
      <c r="AP780" s="3582"/>
      <c r="AQ780" s="3582"/>
      <c r="BI780" s="4016"/>
      <c r="BL780" s="4017"/>
      <c r="BM780" s="3581"/>
      <c r="BP780" s="3576"/>
      <c r="BQ780" s="3563"/>
    </row>
    <row r="781" spans="1:72">
      <c r="E781" s="3576"/>
      <c r="G781" s="3563"/>
      <c r="M781" s="3577"/>
      <c r="N781" s="3563"/>
      <c r="P781" s="3578"/>
      <c r="Q781" s="3578"/>
      <c r="R781" s="3578"/>
      <c r="S781" s="3578"/>
      <c r="T781" s="3589"/>
      <c r="U781" s="3563"/>
      <c r="W781" s="4014"/>
      <c r="X781" s="3576"/>
      <c r="Z781" s="3578"/>
      <c r="AG781" s="3576"/>
      <c r="AH781" s="3576"/>
      <c r="AI781" s="3576"/>
      <c r="AJ781" s="3576"/>
      <c r="AM781" s="3580"/>
      <c r="AN781" s="3580"/>
      <c r="AO781" s="3581"/>
      <c r="AP781" s="3582"/>
      <c r="AQ781" s="3582"/>
      <c r="BI781" s="4016"/>
      <c r="BL781" s="4017"/>
      <c r="BM781" s="3581"/>
      <c r="BP781" s="3576"/>
      <c r="BQ781" s="3563"/>
    </row>
    <row r="782" spans="1:72">
      <c r="E782" s="3576"/>
      <c r="G782" s="3563"/>
      <c r="M782" s="3577"/>
      <c r="N782" s="3563"/>
      <c r="P782" s="3578"/>
      <c r="Q782" s="3578"/>
      <c r="R782" s="3578"/>
      <c r="S782" s="3578"/>
      <c r="T782" s="3589"/>
      <c r="U782" s="3563"/>
      <c r="W782" s="4014"/>
      <c r="X782" s="3576"/>
      <c r="Z782" s="3578"/>
      <c r="AG782" s="3576"/>
      <c r="AH782" s="3576"/>
      <c r="AI782" s="3576"/>
      <c r="AJ782" s="3576"/>
      <c r="AM782" s="3580"/>
      <c r="AN782" s="3580"/>
      <c r="AO782" s="3581"/>
      <c r="AP782" s="3582"/>
      <c r="AQ782" s="3582"/>
      <c r="BI782" s="4016"/>
      <c r="BL782" s="4017"/>
      <c r="BM782" s="3581"/>
      <c r="BP782" s="3576"/>
      <c r="BQ782" s="3563"/>
    </row>
    <row r="783" spans="1:72">
      <c r="E783" s="3576"/>
      <c r="H783" s="3576"/>
      <c r="M783" s="3577"/>
      <c r="N783" s="3563"/>
      <c r="P783" s="3578"/>
      <c r="Q783" s="3578"/>
      <c r="R783" s="3578"/>
      <c r="S783" s="3578"/>
      <c r="T783" s="3589"/>
      <c r="U783" s="3563"/>
      <c r="W783" s="4014"/>
      <c r="X783" s="3576"/>
      <c r="Z783" s="3578"/>
      <c r="AG783" s="3576"/>
      <c r="AH783" s="3576"/>
      <c r="AI783" s="3576"/>
      <c r="AJ783" s="3576"/>
      <c r="AM783" s="3580"/>
      <c r="AN783" s="3580"/>
      <c r="AO783" s="3581"/>
      <c r="AP783" s="3582"/>
      <c r="AQ783" s="3582"/>
      <c r="BI783" s="4016"/>
      <c r="BL783" s="4017"/>
      <c r="BM783" s="3581"/>
      <c r="BP783" s="3576"/>
      <c r="BQ783" s="3563"/>
    </row>
    <row r="784" spans="1:72">
      <c r="E784" s="3576"/>
      <c r="G784" s="3563"/>
      <c r="M784" s="3577"/>
      <c r="N784" s="3563"/>
      <c r="P784" s="3578"/>
      <c r="Q784" s="3578"/>
      <c r="R784" s="3578"/>
      <c r="S784" s="3578"/>
      <c r="T784" s="3589"/>
      <c r="U784" s="3563"/>
      <c r="W784" s="4014"/>
      <c r="X784" s="3576"/>
      <c r="Z784" s="3578"/>
      <c r="AG784" s="3576"/>
      <c r="AH784" s="3576"/>
      <c r="AI784" s="3576"/>
      <c r="AJ784" s="3576"/>
      <c r="AM784" s="3580"/>
      <c r="AN784" s="3580"/>
      <c r="AO784" s="3581"/>
      <c r="AP784" s="3582"/>
      <c r="AQ784" s="3582"/>
      <c r="BP784" s="3576"/>
      <c r="BQ784" s="3563"/>
    </row>
    <row r="785" spans="5:70">
      <c r="E785" s="3576"/>
      <c r="G785" s="3563"/>
      <c r="M785" s="3577"/>
      <c r="N785" s="3563"/>
      <c r="P785" s="3578"/>
      <c r="Q785" s="3578"/>
      <c r="R785" s="3578"/>
      <c r="S785" s="3578"/>
      <c r="T785" s="3589"/>
      <c r="U785" s="3563"/>
      <c r="W785" s="4014"/>
      <c r="X785" s="3576"/>
      <c r="Z785" s="3578"/>
      <c r="AG785" s="3576"/>
      <c r="AH785" s="3576"/>
      <c r="AI785" s="3576"/>
      <c r="AJ785" s="3576"/>
      <c r="AM785" s="3580"/>
      <c r="AN785" s="3580"/>
      <c r="AO785" s="3581"/>
      <c r="AP785" s="3582"/>
      <c r="AQ785" s="3582"/>
      <c r="BI785" s="4016"/>
      <c r="BL785" s="4017"/>
      <c r="BM785" s="3581"/>
      <c r="BP785" s="3576"/>
      <c r="BQ785" s="3563"/>
    </row>
    <row r="786" spans="5:70">
      <c r="E786" s="3576"/>
      <c r="G786" s="3563"/>
      <c r="M786" s="3577"/>
      <c r="N786" s="3563"/>
      <c r="P786" s="3563"/>
      <c r="Q786" s="3563"/>
      <c r="R786" s="3563"/>
      <c r="S786" s="3563"/>
      <c r="T786" s="3580"/>
      <c r="U786" s="4014"/>
      <c r="X786" s="3578"/>
      <c r="Y786" s="3578"/>
      <c r="Z786" s="3578"/>
      <c r="AD786" s="3576"/>
      <c r="AE786" s="3576"/>
      <c r="AG786" s="3580"/>
      <c r="AH786" s="3592"/>
      <c r="AI786" s="3592"/>
      <c r="AJ786" s="3592"/>
      <c r="AK786" s="3581"/>
      <c r="AL786" s="3581"/>
      <c r="AM786" s="3581"/>
      <c r="AN786" s="3581"/>
      <c r="AO786" s="3582"/>
      <c r="AP786" s="3582"/>
      <c r="AQ786" s="3582"/>
      <c r="AY786" s="4016"/>
      <c r="AZ786" s="4016"/>
      <c r="BA786" s="4016"/>
      <c r="BB786" s="4016"/>
      <c r="BC786" s="4016"/>
      <c r="BD786" s="4016"/>
      <c r="BE786" s="4016"/>
      <c r="BF786" s="3576"/>
      <c r="BG786" s="3576"/>
      <c r="BH786" s="3576"/>
      <c r="BI786" s="3576"/>
      <c r="BJ786" s="4017"/>
      <c r="BK786" s="3581"/>
      <c r="BL786" s="3581"/>
      <c r="BM786" s="3581"/>
      <c r="BN786" s="3576"/>
      <c r="BO786" s="3563"/>
      <c r="BP786" s="3563"/>
      <c r="BQ786" s="3563"/>
      <c r="BR786" s="899"/>
    </row>
    <row r="787" spans="5:70">
      <c r="E787" s="3576"/>
      <c r="H787" s="3576"/>
      <c r="M787" s="3577"/>
      <c r="N787" s="3563"/>
      <c r="P787" s="3563"/>
      <c r="Q787" s="3563"/>
      <c r="R787" s="3563"/>
      <c r="S787" s="3563"/>
      <c r="T787" s="3580"/>
      <c r="U787" s="4014"/>
      <c r="X787" s="3578"/>
      <c r="Y787" s="3578"/>
      <c r="Z787" s="3578"/>
      <c r="AD787" s="3576"/>
      <c r="AE787" s="3576"/>
      <c r="AG787" s="3580"/>
      <c r="AH787" s="3592"/>
      <c r="AI787" s="3592"/>
      <c r="AJ787" s="3592"/>
      <c r="AK787" s="3581"/>
      <c r="AL787" s="3581"/>
      <c r="AM787" s="3581"/>
      <c r="AN787" s="3581"/>
      <c r="AO787" s="3582"/>
      <c r="AP787" s="3582"/>
      <c r="AQ787" s="3582"/>
      <c r="AY787" s="4016"/>
      <c r="AZ787" s="4016"/>
      <c r="BA787" s="4016"/>
      <c r="BB787" s="4016"/>
      <c r="BC787" s="4016"/>
      <c r="BD787" s="4016"/>
      <c r="BE787" s="4016"/>
      <c r="BF787" s="3576"/>
      <c r="BG787" s="3576"/>
      <c r="BH787" s="3576"/>
      <c r="BI787" s="3576"/>
      <c r="BJ787" s="4017"/>
      <c r="BK787" s="3581"/>
      <c r="BL787" s="3581"/>
      <c r="BM787" s="3581"/>
      <c r="BN787" s="3576"/>
      <c r="BO787" s="3563"/>
      <c r="BP787" s="3563"/>
      <c r="BQ787" s="3563"/>
      <c r="BR787" s="899"/>
    </row>
    <row r="788" spans="5:70">
      <c r="E788" s="3576"/>
      <c r="G788" s="3563"/>
      <c r="M788" s="3577"/>
      <c r="N788" s="3563"/>
      <c r="P788" s="4014"/>
      <c r="Q788" s="4306"/>
      <c r="R788" s="4306"/>
      <c r="S788" s="4306"/>
      <c r="T788" s="4307"/>
      <c r="U788" s="3563"/>
      <c r="W788" s="3578"/>
      <c r="X788" s="3578"/>
      <c r="Y788" s="3578"/>
      <c r="Z788" s="3578"/>
      <c r="AC788" s="3576"/>
      <c r="AD788" s="3576"/>
      <c r="AE788" s="3580"/>
      <c r="AG788" s="3581"/>
      <c r="AH788" s="4019"/>
      <c r="AI788" s="4019"/>
      <c r="AJ788" s="4019"/>
      <c r="AK788" s="3581"/>
      <c r="AL788" s="3581"/>
      <c r="AM788" s="3582"/>
      <c r="AN788" s="3582"/>
      <c r="AO788" s="3582"/>
      <c r="AP788" s="3582"/>
      <c r="AQ788" s="3582"/>
      <c r="AY788" s="3576"/>
      <c r="AZ788" s="3576"/>
      <c r="BA788" s="3576"/>
      <c r="BB788" s="3576"/>
      <c r="BC788" s="3576"/>
      <c r="BD788" s="3576"/>
      <c r="BE788" s="3576"/>
      <c r="BF788" s="3576"/>
      <c r="BG788" s="3576"/>
      <c r="BH788" s="3576"/>
      <c r="BI788" s="3576"/>
      <c r="BJ788" s="3581"/>
      <c r="BK788" s="3581"/>
      <c r="BL788" s="3581"/>
      <c r="BM788" s="3576"/>
      <c r="BN788" s="3563"/>
      <c r="BO788" s="3563"/>
      <c r="BP788" s="3563"/>
      <c r="BQ788" s="3565"/>
      <c r="BR788" s="899"/>
    </row>
    <row r="789" spans="5:70">
      <c r="E789" s="3576"/>
      <c r="G789" s="3563"/>
      <c r="H789" s="3576"/>
      <c r="I789" s="3576"/>
      <c r="M789" s="3577"/>
      <c r="N789" s="3563"/>
      <c r="P789" s="4014"/>
      <c r="Q789" s="4306"/>
      <c r="R789" s="4306"/>
      <c r="S789" s="4306"/>
      <c r="T789" s="4307"/>
      <c r="U789" s="3563"/>
      <c r="W789" s="3578"/>
      <c r="X789" s="3578"/>
      <c r="Y789" s="3578"/>
      <c r="Z789" s="3578"/>
      <c r="AC789" s="3576"/>
      <c r="AD789" s="3576"/>
      <c r="AE789" s="3580"/>
      <c r="AG789" s="3581"/>
      <c r="AH789" s="4019"/>
      <c r="AI789" s="4019"/>
      <c r="AJ789" s="4019"/>
      <c r="AK789" s="3581"/>
      <c r="AL789" s="3581"/>
      <c r="AM789" s="3582"/>
      <c r="AN789" s="3582"/>
      <c r="AO789" s="3582"/>
      <c r="AP789" s="3582"/>
      <c r="AQ789" s="3582"/>
      <c r="AY789" s="3576"/>
      <c r="AZ789" s="3576"/>
      <c r="BA789" s="3576"/>
      <c r="BB789" s="3576"/>
      <c r="BC789" s="3576"/>
      <c r="BD789" s="3576"/>
      <c r="BE789" s="3576"/>
      <c r="BF789" s="3576"/>
      <c r="BG789" s="3576"/>
      <c r="BH789" s="3576"/>
      <c r="BI789" s="3576"/>
      <c r="BJ789" s="3581"/>
      <c r="BK789" s="3581"/>
      <c r="BL789" s="3581"/>
      <c r="BM789" s="3576"/>
      <c r="BN789" s="3563"/>
      <c r="BO789" s="3563"/>
      <c r="BP789" s="3563"/>
      <c r="BQ789" s="3565"/>
      <c r="BR789" s="899"/>
    </row>
    <row r="790" spans="5:70">
      <c r="E790" s="3576"/>
      <c r="G790" s="3563"/>
      <c r="M790" s="3577"/>
      <c r="N790" s="3563"/>
      <c r="P790" s="3563"/>
      <c r="Q790" s="3563"/>
      <c r="R790" s="3563"/>
      <c r="S790" s="3563"/>
      <c r="T790" s="3580"/>
      <c r="U790" s="4014"/>
      <c r="X790" s="3578"/>
      <c r="Y790" s="3578"/>
      <c r="Z790" s="3578"/>
      <c r="AD790" s="3576"/>
      <c r="AE790" s="3576"/>
      <c r="AG790" s="3580"/>
      <c r="AH790" s="3592"/>
      <c r="AI790" s="3592"/>
      <c r="AJ790" s="3592"/>
      <c r="AK790" s="3581"/>
      <c r="AL790" s="3581"/>
      <c r="AM790" s="3581"/>
      <c r="AN790" s="3581"/>
      <c r="AO790" s="3582"/>
      <c r="AP790" s="3582"/>
      <c r="AQ790" s="3582"/>
      <c r="AY790" s="4016"/>
      <c r="AZ790" s="4016"/>
      <c r="BA790" s="4016"/>
      <c r="BB790" s="4016"/>
      <c r="BC790" s="4016"/>
      <c r="BD790" s="4016"/>
      <c r="BE790" s="4016"/>
      <c r="BF790" s="3576"/>
      <c r="BG790" s="3576"/>
      <c r="BH790" s="3576"/>
      <c r="BI790" s="3576"/>
      <c r="BJ790" s="4017"/>
      <c r="BK790" s="3581"/>
      <c r="BL790" s="3581"/>
      <c r="BM790" s="3581"/>
      <c r="BN790" s="3576"/>
      <c r="BO790" s="3563"/>
      <c r="BP790" s="3563"/>
      <c r="BQ790" s="3563"/>
      <c r="BR790" s="899"/>
    </row>
    <row r="791" spans="5:70">
      <c r="E791" s="3576"/>
      <c r="G791" s="3563"/>
      <c r="M791" s="3577"/>
      <c r="N791" s="3563"/>
      <c r="P791" s="3578"/>
      <c r="Q791" s="3578"/>
      <c r="R791" s="3578"/>
      <c r="S791" s="3578"/>
      <c r="T791" s="3589"/>
      <c r="U791" s="3563"/>
      <c r="W791" s="4014"/>
      <c r="X791" s="3576"/>
      <c r="Z791" s="3578"/>
      <c r="AG791" s="3576"/>
      <c r="AH791" s="3576"/>
      <c r="AI791" s="3576"/>
      <c r="AJ791" s="3576"/>
      <c r="AM791" s="3580"/>
      <c r="AN791" s="3580"/>
      <c r="AO791" s="3581"/>
      <c r="AP791" s="3582"/>
      <c r="AQ791" s="3582"/>
      <c r="BI791" s="4016"/>
      <c r="BL791" s="4017"/>
      <c r="BM791" s="3581"/>
      <c r="BP791" s="3576"/>
      <c r="BQ791" s="3563"/>
    </row>
    <row r="792" spans="5:70">
      <c r="X792" s="4014"/>
    </row>
    <row r="793" spans="5:70">
      <c r="H793" s="3576"/>
      <c r="I793" s="3576"/>
      <c r="X793" s="4014"/>
    </row>
    <row r="794" spans="5:70">
      <c r="H794" s="3576"/>
      <c r="I794" s="3576"/>
      <c r="X794" s="4014"/>
    </row>
    <row r="795" spans="5:70">
      <c r="X795" s="4014"/>
    </row>
    <row r="796" spans="5:70">
      <c r="X796" s="4014"/>
    </row>
    <row r="797" spans="5:70">
      <c r="X797" s="4014"/>
    </row>
    <row r="798" spans="5:70">
      <c r="X798" s="4014"/>
    </row>
    <row r="799" spans="5:70">
      <c r="X799" s="4014"/>
    </row>
    <row r="800" spans="5:70">
      <c r="X800" s="4014"/>
    </row>
    <row r="801" spans="8:24">
      <c r="X801" s="4014"/>
    </row>
    <row r="802" spans="8:24">
      <c r="X802" s="4014"/>
    </row>
    <row r="803" spans="8:24">
      <c r="X803" s="4014"/>
    </row>
    <row r="804" spans="8:24">
      <c r="X804" s="4014"/>
    </row>
    <row r="805" spans="8:24">
      <c r="X805" s="4014"/>
    </row>
    <row r="806" spans="8:24">
      <c r="H806" s="3576"/>
      <c r="X806" s="4014"/>
    </row>
    <row r="807" spans="8:24">
      <c r="X807" s="4014"/>
    </row>
    <row r="808" spans="8:24">
      <c r="X808" s="4014"/>
    </row>
    <row r="809" spans="8:24">
      <c r="X809" s="4014"/>
    </row>
    <row r="810" spans="8:24">
      <c r="X810" s="4014"/>
    </row>
    <row r="811" spans="8:24">
      <c r="X811" s="4014"/>
    </row>
    <row r="812" spans="8:24">
      <c r="X812" s="4014"/>
    </row>
    <row r="813" spans="8:24">
      <c r="X813" s="4014"/>
    </row>
    <row r="814" spans="8:24">
      <c r="X814" s="4014"/>
    </row>
    <row r="815" spans="8:24">
      <c r="X815" s="4014"/>
    </row>
    <row r="816" spans="8:24">
      <c r="X816" s="4014"/>
    </row>
    <row r="817" spans="24:24">
      <c r="X817" s="4014"/>
    </row>
    <row r="818" spans="24:24">
      <c r="X818" s="4014"/>
    </row>
    <row r="819" spans="24:24">
      <c r="X819" s="4014"/>
    </row>
    <row r="820" spans="24:24">
      <c r="X820" s="4014"/>
    </row>
    <row r="821" spans="24:24">
      <c r="X821" s="4014"/>
    </row>
    <row r="822" spans="24:24">
      <c r="X822" s="4014"/>
    </row>
    <row r="823" spans="24:24">
      <c r="X823" s="4014"/>
    </row>
    <row r="824" spans="24:24">
      <c r="X824" s="4014"/>
    </row>
    <row r="825" spans="24:24">
      <c r="X825" s="4014"/>
    </row>
    <row r="826" spans="24:24">
      <c r="X826" s="4014"/>
    </row>
    <row r="827" spans="24:24">
      <c r="X827" s="4014"/>
    </row>
    <row r="828" spans="24:24">
      <c r="X828" s="4014"/>
    </row>
    <row r="829" spans="24:24">
      <c r="X829" s="4014"/>
    </row>
    <row r="830" spans="24:24">
      <c r="X830" s="4014"/>
    </row>
    <row r="831" spans="24:24">
      <c r="X831" s="4014"/>
    </row>
    <row r="832" spans="24:24">
      <c r="X832" s="4014"/>
    </row>
    <row r="833" spans="24:24">
      <c r="X833" s="4014"/>
    </row>
    <row r="834" spans="24:24">
      <c r="X834" s="4014"/>
    </row>
    <row r="835" spans="24:24">
      <c r="X835" s="4014"/>
    </row>
    <row r="836" spans="24:24">
      <c r="X836" s="4014"/>
    </row>
    <row r="837" spans="24:24">
      <c r="X837" s="4014"/>
    </row>
    <row r="838" spans="24:24">
      <c r="X838" s="4014"/>
    </row>
    <row r="839" spans="24:24">
      <c r="X839" s="4014"/>
    </row>
    <row r="840" spans="24:24">
      <c r="X840" s="4014"/>
    </row>
    <row r="841" spans="24:24">
      <c r="X841" s="4014"/>
    </row>
    <row r="842" spans="24:24">
      <c r="X842" s="4014"/>
    </row>
    <row r="843" spans="24:24">
      <c r="X843" s="4014"/>
    </row>
    <row r="844" spans="24:24">
      <c r="X844" s="4014"/>
    </row>
    <row r="845" spans="24:24">
      <c r="X845" s="4014"/>
    </row>
    <row r="846" spans="24:24">
      <c r="X846" s="4014"/>
    </row>
    <row r="847" spans="24:24">
      <c r="X847" s="4014"/>
    </row>
    <row r="848" spans="24:24">
      <c r="X848" s="4014"/>
    </row>
    <row r="849" spans="24:24">
      <c r="X849" s="4014"/>
    </row>
    <row r="850" spans="24:24">
      <c r="X850" s="4014"/>
    </row>
    <row r="851" spans="24:24">
      <c r="X851" s="4014"/>
    </row>
    <row r="852" spans="24:24">
      <c r="X852" s="4014"/>
    </row>
    <row r="853" spans="24:24">
      <c r="X853" s="4014"/>
    </row>
    <row r="854" spans="24:24">
      <c r="X854" s="4014"/>
    </row>
    <row r="855" spans="24:24">
      <c r="X855" s="4014"/>
    </row>
    <row r="856" spans="24:24">
      <c r="X856" s="4014"/>
    </row>
    <row r="857" spans="24:24">
      <c r="X857" s="4014"/>
    </row>
    <row r="858" spans="24:24">
      <c r="X858" s="4014"/>
    </row>
    <row r="859" spans="24:24">
      <c r="X859" s="4014"/>
    </row>
    <row r="860" spans="24:24">
      <c r="X860" s="4014"/>
    </row>
    <row r="861" spans="24:24">
      <c r="X861" s="4014"/>
    </row>
    <row r="862" spans="24:24">
      <c r="X862" s="4014"/>
    </row>
    <row r="865" spans="24:24">
      <c r="X865" s="4014"/>
    </row>
    <row r="871" spans="24:24">
      <c r="X871" s="4020"/>
    </row>
    <row r="882" spans="24:24">
      <c r="X882" s="4021"/>
    </row>
    <row r="883" spans="24:24">
      <c r="X883" s="4021"/>
    </row>
    <row r="884" spans="24:24">
      <c r="X884" s="4022"/>
    </row>
    <row r="889" spans="24:24">
      <c r="X889" s="4014"/>
    </row>
    <row r="890" spans="24:24">
      <c r="X890" s="4014"/>
    </row>
    <row r="891" spans="24:24">
      <c r="X891" s="4014"/>
    </row>
    <row r="892" spans="24:24">
      <c r="X892" s="4014"/>
    </row>
    <row r="893" spans="24:24">
      <c r="X893" s="4014"/>
    </row>
    <row r="894" spans="24:24">
      <c r="X894" s="4014"/>
    </row>
    <row r="895" spans="24:24">
      <c r="X895" s="4014"/>
    </row>
    <row r="896" spans="24:24">
      <c r="X896" s="4014"/>
    </row>
    <row r="897" spans="24:24">
      <c r="X897" s="4014"/>
    </row>
    <row r="898" spans="24:24">
      <c r="X898" s="4014"/>
    </row>
    <row r="899" spans="24:24">
      <c r="X899" s="4014"/>
    </row>
    <row r="900" spans="24:24">
      <c r="X900" s="4014"/>
    </row>
    <row r="901" spans="24:24">
      <c r="X901" s="4014"/>
    </row>
    <row r="902" spans="24:24">
      <c r="X902" s="4014"/>
    </row>
    <row r="903" spans="24:24">
      <c r="X903" s="4014"/>
    </row>
    <row r="904" spans="24:24">
      <c r="X904" s="4014"/>
    </row>
    <row r="905" spans="24:24">
      <c r="X905" s="4014"/>
    </row>
    <row r="906" spans="24:24">
      <c r="X906" s="4014"/>
    </row>
    <row r="907" spans="24:24">
      <c r="X907" s="4014"/>
    </row>
    <row r="908" spans="24:24">
      <c r="X908" s="4014"/>
    </row>
    <row r="910" spans="24:24">
      <c r="X910" s="4014"/>
    </row>
    <row r="911" spans="24:24">
      <c r="X911" s="4021"/>
    </row>
    <row r="912" spans="24:24">
      <c r="X912" s="4014"/>
    </row>
    <row r="913" spans="24:24">
      <c r="X913" s="4014"/>
    </row>
    <row r="914" spans="24:24">
      <c r="X914" s="4014"/>
    </row>
    <row r="915" spans="24:24">
      <c r="X915" s="4014"/>
    </row>
    <row r="916" spans="24:24">
      <c r="X916" s="4014"/>
    </row>
    <row r="917" spans="24:24">
      <c r="X917" s="4014"/>
    </row>
    <row r="918" spans="24:24">
      <c r="X918" s="4014"/>
    </row>
    <row r="919" spans="24:24">
      <c r="X919" s="4014"/>
    </row>
    <row r="920" spans="24:24">
      <c r="X920" s="4014"/>
    </row>
    <row r="921" spans="24:24">
      <c r="X921" s="4014"/>
    </row>
    <row r="922" spans="24:24">
      <c r="X922" s="4014"/>
    </row>
    <row r="923" spans="24:24">
      <c r="X923" s="4014"/>
    </row>
    <row r="924" spans="24:24">
      <c r="X924" s="4014"/>
    </row>
    <row r="925" spans="24:24">
      <c r="X925" s="4014"/>
    </row>
    <row r="926" spans="24:24">
      <c r="X926" s="4014"/>
    </row>
    <row r="927" spans="24:24">
      <c r="X927" s="4014"/>
    </row>
    <row r="928" spans="24:24">
      <c r="X928" s="4014"/>
    </row>
    <row r="929" spans="24:24">
      <c r="X929" s="4014"/>
    </row>
    <row r="930" spans="24:24">
      <c r="X930" s="4014"/>
    </row>
    <row r="931" spans="24:24">
      <c r="X931" s="4014"/>
    </row>
    <row r="932" spans="24:24">
      <c r="X932" s="4014"/>
    </row>
    <row r="933" spans="24:24">
      <c r="X933" s="4014"/>
    </row>
    <row r="934" spans="24:24">
      <c r="X934" s="4014"/>
    </row>
    <row r="935" spans="24:24">
      <c r="X935" s="4014"/>
    </row>
    <row r="936" spans="24:24">
      <c r="X936" s="4014"/>
    </row>
    <row r="937" spans="24:24">
      <c r="X937" s="4014"/>
    </row>
    <row r="938" spans="24:24">
      <c r="X938" s="4014"/>
    </row>
    <row r="939" spans="24:24">
      <c r="X939" s="4014"/>
    </row>
    <row r="940" spans="24:24">
      <c r="X940" s="4014"/>
    </row>
    <row r="941" spans="24:24">
      <c r="X941" s="4014"/>
    </row>
    <row r="942" spans="24:24">
      <c r="X942" s="4014"/>
    </row>
    <row r="943" spans="24:24">
      <c r="X943" s="4014"/>
    </row>
    <row r="944" spans="24:24">
      <c r="X944" s="4014"/>
    </row>
    <row r="945" spans="24:74">
      <c r="X945" s="4014"/>
    </row>
    <row r="946" spans="24:74">
      <c r="X946" s="4014"/>
    </row>
    <row r="947" spans="24:74">
      <c r="X947" s="4014"/>
    </row>
    <row r="948" spans="24:74">
      <c r="X948" s="4014"/>
    </row>
    <row r="949" spans="24:74">
      <c r="X949" s="4014"/>
    </row>
    <row r="950" spans="24:74">
      <c r="X950" s="4014"/>
    </row>
    <row r="951" spans="24:74">
      <c r="X951" s="4014"/>
      <c r="BL951" s="3615"/>
      <c r="BM951" s="3906"/>
      <c r="BN951" s="3905"/>
      <c r="BO951" s="3905"/>
      <c r="BP951" s="3905"/>
      <c r="BQ951" s="3615"/>
      <c r="BR951" s="3895"/>
      <c r="BS951" s="4024"/>
      <c r="BT951" s="4308"/>
      <c r="BU951" s="3914"/>
      <c r="BV951" s="3572"/>
    </row>
    <row r="952" spans="24:74">
      <c r="X952" s="4014"/>
      <c r="BL952" s="3615"/>
      <c r="BM952" s="3906"/>
      <c r="BN952" s="3905"/>
      <c r="BO952" s="3905"/>
      <c r="BP952" s="3905"/>
      <c r="BQ952" s="3615"/>
      <c r="BR952" s="3895"/>
      <c r="BS952" s="4024"/>
      <c r="BT952" s="4308"/>
      <c r="BU952" s="3914"/>
      <c r="BV952" s="3572"/>
    </row>
    <row r="953" spans="24:74">
      <c r="X953" s="4014"/>
      <c r="BL953" s="3615"/>
      <c r="BM953" s="3906"/>
      <c r="BN953" s="3905"/>
      <c r="BO953" s="3905"/>
      <c r="BP953" s="3905"/>
      <c r="BQ953" s="3615"/>
      <c r="BR953" s="3895"/>
      <c r="BS953" s="4024"/>
      <c r="BT953" s="4308"/>
      <c r="BU953" s="3914"/>
      <c r="BV953" s="3572"/>
    </row>
    <row r="954" spans="24:74">
      <c r="X954" s="4014"/>
      <c r="BL954" s="3615"/>
      <c r="BM954" s="3906"/>
      <c r="BN954" s="3905"/>
      <c r="BO954" s="3905"/>
      <c r="BP954" s="3905"/>
      <c r="BQ954" s="3615"/>
      <c r="BR954" s="3895"/>
      <c r="BS954" s="4024"/>
      <c r="BT954" s="4308"/>
      <c r="BU954" s="3914"/>
      <c r="BV954" s="3572"/>
    </row>
    <row r="955" spans="24:74">
      <c r="X955" s="4014"/>
      <c r="BL955" s="3615"/>
      <c r="BM955" s="3906"/>
      <c r="BN955" s="3905"/>
      <c r="BO955" s="3905"/>
      <c r="BP955" s="3905"/>
      <c r="BQ955" s="3615"/>
      <c r="BR955" s="3895"/>
      <c r="BS955" s="4024"/>
      <c r="BT955" s="4308"/>
      <c r="BU955" s="3914"/>
      <c r="BV955" s="3572"/>
    </row>
    <row r="956" spans="24:74">
      <c r="X956" s="4014"/>
      <c r="BL956" s="3615"/>
      <c r="BM956" s="3906"/>
      <c r="BN956" s="3905"/>
      <c r="BO956" s="3905"/>
      <c r="BP956" s="3905"/>
      <c r="BQ956" s="3615"/>
      <c r="BR956" s="3895"/>
      <c r="BS956" s="4024"/>
      <c r="BT956" s="4308"/>
      <c r="BU956" s="3914"/>
      <c r="BV956" s="3572"/>
    </row>
    <row r="957" spans="24:74">
      <c r="X957" s="4014"/>
      <c r="BL957" s="3615"/>
      <c r="BM957" s="3906"/>
      <c r="BN957" s="3905"/>
      <c r="BO957" s="3905"/>
      <c r="BP957" s="3905"/>
      <c r="BQ957" s="3615"/>
      <c r="BR957" s="3895"/>
      <c r="BS957" s="4024"/>
      <c r="BT957" s="4308"/>
      <c r="BU957" s="3914"/>
      <c r="BV957" s="3572"/>
    </row>
    <row r="958" spans="24:74">
      <c r="X958" s="4014"/>
      <c r="BL958" s="3615"/>
      <c r="BM958" s="3906"/>
      <c r="BN958" s="3905"/>
      <c r="BO958" s="3905"/>
      <c r="BP958" s="3905"/>
      <c r="BQ958" s="3615"/>
      <c r="BR958" s="3895"/>
      <c r="BS958" s="4024"/>
      <c r="BT958" s="4308"/>
      <c r="BU958" s="3914"/>
      <c r="BV958" s="3572"/>
    </row>
    <row r="959" spans="24:74">
      <c r="X959" s="4014"/>
      <c r="BL959" s="3615"/>
      <c r="BM959" s="3906"/>
      <c r="BN959" s="3905"/>
      <c r="BO959" s="3905"/>
      <c r="BP959" s="3905"/>
      <c r="BQ959" s="3615"/>
      <c r="BR959" s="3895"/>
      <c r="BS959" s="4024"/>
      <c r="BT959" s="4308"/>
      <c r="BU959" s="3914"/>
      <c r="BV959" s="3572"/>
    </row>
    <row r="960" spans="24:74">
      <c r="X960" s="4014"/>
      <c r="BL960" s="3615"/>
      <c r="BM960" s="3906"/>
      <c r="BN960" s="3905"/>
      <c r="BO960" s="3905"/>
      <c r="BP960" s="3905"/>
      <c r="BQ960" s="3615"/>
      <c r="BR960" s="3895"/>
      <c r="BS960" s="4024"/>
      <c r="BT960" s="4308"/>
      <c r="BU960" s="3914"/>
      <c r="BV960" s="3572"/>
    </row>
    <row r="961" spans="24:74">
      <c r="X961" s="4014"/>
      <c r="BL961" s="3615"/>
      <c r="BM961" s="3906"/>
      <c r="BN961" s="3905"/>
      <c r="BO961" s="3905"/>
      <c r="BP961" s="3905"/>
      <c r="BQ961" s="3615"/>
      <c r="BR961" s="3895"/>
      <c r="BS961" s="4024"/>
      <c r="BT961" s="4308"/>
      <c r="BU961" s="3914"/>
      <c r="BV961" s="3572"/>
    </row>
    <row r="962" spans="24:74">
      <c r="X962" s="4014"/>
      <c r="BL962" s="3615"/>
      <c r="BM962" s="3906"/>
      <c r="BN962" s="3905"/>
      <c r="BO962" s="3905"/>
      <c r="BP962" s="3905"/>
      <c r="BQ962" s="3615"/>
      <c r="BR962" s="3895"/>
      <c r="BS962" s="4024"/>
      <c r="BT962" s="4308"/>
      <c r="BU962" s="3914"/>
      <c r="BV962" s="3572"/>
    </row>
    <row r="963" spans="24:74">
      <c r="X963" s="4014"/>
      <c r="BL963" s="3615"/>
      <c r="BM963" s="3906"/>
      <c r="BN963" s="3905"/>
      <c r="BO963" s="3905"/>
      <c r="BP963" s="3905"/>
      <c r="BQ963" s="3615"/>
      <c r="BR963" s="3895"/>
      <c r="BS963" s="4024"/>
      <c r="BT963" s="4308"/>
      <c r="BU963" s="3914"/>
      <c r="BV963" s="3572"/>
    </row>
    <row r="964" spans="24:74">
      <c r="X964" s="4014"/>
    </row>
    <row r="965" spans="24:74">
      <c r="X965" s="4014"/>
    </row>
    <row r="966" spans="24:74">
      <c r="X966" s="4014"/>
    </row>
    <row r="967" spans="24:74">
      <c r="X967" s="4014"/>
    </row>
    <row r="968" spans="24:74">
      <c r="X968" s="4014"/>
    </row>
    <row r="969" spans="24:74">
      <c r="X969" s="4014"/>
    </row>
    <row r="970" spans="24:74">
      <c r="X970" s="4014"/>
    </row>
    <row r="971" spans="24:74">
      <c r="X971" s="4014"/>
    </row>
    <row r="972" spans="24:74">
      <c r="X972" s="4014"/>
    </row>
    <row r="973" spans="24:74">
      <c r="X973" s="4014"/>
    </row>
    <row r="974" spans="24:74">
      <c r="X974" s="4014"/>
    </row>
    <row r="975" spans="24:74">
      <c r="X975" s="4014"/>
    </row>
    <row r="976" spans="24:74">
      <c r="X976" s="4014"/>
    </row>
    <row r="977" spans="24:24">
      <c r="X977" s="4014"/>
    </row>
    <row r="978" spans="24:24">
      <c r="X978" s="4014"/>
    </row>
    <row r="979" spans="24:24">
      <c r="X979" s="4014"/>
    </row>
    <row r="980" spans="24:24">
      <c r="X980" s="4014"/>
    </row>
    <row r="981" spans="24:24">
      <c r="X981" s="4014"/>
    </row>
    <row r="982" spans="24:24">
      <c r="X982" s="4014"/>
    </row>
    <row r="983" spans="24:24">
      <c r="X983" s="4014"/>
    </row>
    <row r="984" spans="24:24">
      <c r="X984" s="4014"/>
    </row>
    <row r="985" spans="24:24">
      <c r="X985" s="4014"/>
    </row>
    <row r="986" spans="24:24">
      <c r="X986" s="4014"/>
    </row>
    <row r="987" spans="24:24">
      <c r="X987" s="4014"/>
    </row>
    <row r="988" spans="24:24">
      <c r="X988" s="4014"/>
    </row>
    <row r="989" spans="24:24">
      <c r="X989" s="4014"/>
    </row>
    <row r="990" spans="24:24">
      <c r="X990" s="4014"/>
    </row>
    <row r="991" spans="24:24">
      <c r="X991" s="4014"/>
    </row>
    <row r="992" spans="24:24">
      <c r="X992" s="4014"/>
    </row>
    <row r="993" spans="24:24">
      <c r="X993" s="4014"/>
    </row>
    <row r="994" spans="24:24">
      <c r="X994" s="4014"/>
    </row>
    <row r="995" spans="24:24">
      <c r="X995" s="4014"/>
    </row>
    <row r="996" spans="24:24">
      <c r="X996" s="4014"/>
    </row>
    <row r="997" spans="24:24">
      <c r="X997" s="4014"/>
    </row>
    <row r="998" spans="24:24">
      <c r="X998" s="4014"/>
    </row>
    <row r="999" spans="24:24">
      <c r="X999" s="4014"/>
    </row>
    <row r="1000" spans="24:24">
      <c r="X1000" s="4014"/>
    </row>
    <row r="1001" spans="24:24">
      <c r="X1001" s="4014"/>
    </row>
    <row r="1002" spans="24:24">
      <c r="X1002" s="4014"/>
    </row>
    <row r="1003" spans="24:24">
      <c r="X1003" s="4014"/>
    </row>
    <row r="1004" spans="24:24">
      <c r="X1004" s="4021"/>
    </row>
    <row r="1005" spans="24:24">
      <c r="X1005" s="4014"/>
    </row>
    <row r="1006" spans="24:24">
      <c r="X1006" s="4014"/>
    </row>
    <row r="1007" spans="24:24">
      <c r="X1007" s="4014"/>
    </row>
    <row r="1008" spans="24:24">
      <c r="X1008" s="4014"/>
    </row>
    <row r="1009" spans="24:24">
      <c r="X1009" s="4014"/>
    </row>
    <row r="1010" spans="24:24">
      <c r="X1010" s="4014"/>
    </row>
    <row r="1011" spans="24:24">
      <c r="X1011" s="4014"/>
    </row>
    <row r="1012" spans="24:24">
      <c r="X1012" s="4014"/>
    </row>
    <row r="1013" spans="24:24">
      <c r="X1013" s="4014"/>
    </row>
    <row r="1014" spans="24:24">
      <c r="X1014" s="4014"/>
    </row>
    <row r="1015" spans="24:24">
      <c r="X1015" s="4014"/>
    </row>
    <row r="1016" spans="24:24">
      <c r="X1016" s="4014"/>
    </row>
    <row r="1017" spans="24:24">
      <c r="X1017" s="4014"/>
    </row>
    <row r="1018" spans="24:24">
      <c r="X1018" s="4014"/>
    </row>
    <row r="1019" spans="24:24">
      <c r="X1019" s="4014"/>
    </row>
    <row r="1020" spans="24:24">
      <c r="X1020" s="4014"/>
    </row>
    <row r="1021" spans="24:24">
      <c r="X1021" s="4014"/>
    </row>
    <row r="1022" spans="24:24">
      <c r="X1022" s="4014"/>
    </row>
    <row r="1023" spans="24:24">
      <c r="X1023" s="4014"/>
    </row>
    <row r="1024" spans="24:24">
      <c r="X1024" s="4014"/>
    </row>
    <row r="1025" spans="24:24">
      <c r="X1025" s="4014"/>
    </row>
    <row r="1026" spans="24:24">
      <c r="X1026" s="4014"/>
    </row>
    <row r="1027" spans="24:24">
      <c r="X1027" s="4014"/>
    </row>
    <row r="1028" spans="24:24">
      <c r="X1028" s="4014"/>
    </row>
    <row r="1029" spans="24:24">
      <c r="X1029" s="4014"/>
    </row>
    <row r="1030" spans="24:24">
      <c r="X1030" s="4014"/>
    </row>
    <row r="1031" spans="24:24">
      <c r="X1031" s="4014"/>
    </row>
    <row r="1032" spans="24:24">
      <c r="X1032" s="4014"/>
    </row>
    <row r="1033" spans="24:24">
      <c r="X1033" s="4014"/>
    </row>
    <row r="1034" spans="24:24">
      <c r="X1034" s="4014"/>
    </row>
    <row r="1035" spans="24:24">
      <c r="X1035" s="4014"/>
    </row>
    <row r="1036" spans="24:24">
      <c r="X1036" s="4014"/>
    </row>
    <row r="1037" spans="24:24">
      <c r="X1037" s="4021"/>
    </row>
    <row r="1038" spans="24:24">
      <c r="X1038" s="4014"/>
    </row>
    <row r="1039" spans="24:24">
      <c r="X1039" s="4014"/>
    </row>
    <row r="1040" spans="24:24">
      <c r="X1040" s="4014"/>
    </row>
    <row r="1041" spans="24:24">
      <c r="X1041" s="4014"/>
    </row>
    <row r="1042" spans="24:24">
      <c r="X1042" s="4014"/>
    </row>
    <row r="1043" spans="24:24">
      <c r="X1043" s="4014"/>
    </row>
    <row r="1044" spans="24:24">
      <c r="X1044" s="4014"/>
    </row>
    <row r="1045" spans="24:24">
      <c r="X1045" s="4014"/>
    </row>
    <row r="1046" spans="24:24">
      <c r="X1046" s="4014"/>
    </row>
    <row r="1047" spans="24:24">
      <c r="X1047" s="4014"/>
    </row>
    <row r="1048" spans="24:24">
      <c r="X1048" s="4014"/>
    </row>
    <row r="1049" spans="24:24">
      <c r="X1049" s="4014"/>
    </row>
    <row r="1050" spans="24:24">
      <c r="X1050" s="4014"/>
    </row>
    <row r="1051" spans="24:24">
      <c r="X1051" s="4014"/>
    </row>
    <row r="1052" spans="24:24">
      <c r="X1052" s="4014"/>
    </row>
    <row r="1053" spans="24:24">
      <c r="X1053" s="4014"/>
    </row>
    <row r="1054" spans="24:24">
      <c r="X1054" s="4014"/>
    </row>
    <row r="1055" spans="24:24">
      <c r="X1055" s="4014"/>
    </row>
    <row r="1056" spans="24:24">
      <c r="X1056" s="4014"/>
    </row>
    <row r="1057" spans="24:24">
      <c r="X1057" s="4014"/>
    </row>
    <row r="1058" spans="24:24">
      <c r="X1058" s="4014"/>
    </row>
    <row r="1059" spans="24:24">
      <c r="X1059" s="4014"/>
    </row>
    <row r="1060" spans="24:24">
      <c r="X1060" s="4014"/>
    </row>
    <row r="1061" spans="24:24">
      <c r="X1061" s="4014"/>
    </row>
    <row r="1062" spans="24:24">
      <c r="X1062" s="4014"/>
    </row>
    <row r="1063" spans="24:24">
      <c r="X1063" s="4014"/>
    </row>
    <row r="1064" spans="24:24">
      <c r="X1064" s="4014"/>
    </row>
    <row r="1065" spans="24:24">
      <c r="X1065" s="4014"/>
    </row>
    <row r="1066" spans="24:24">
      <c r="X1066" s="4014"/>
    </row>
    <row r="1067" spans="24:24">
      <c r="X1067" s="4014"/>
    </row>
    <row r="1068" spans="24:24">
      <c r="X1068" s="4014"/>
    </row>
    <row r="1069" spans="24:24">
      <c r="X1069" s="4014"/>
    </row>
    <row r="1070" spans="24:24">
      <c r="X1070" s="4014"/>
    </row>
    <row r="1071" spans="24:24">
      <c r="X1071" s="4014"/>
    </row>
    <row r="1072" spans="24:24">
      <c r="X1072" s="4014"/>
    </row>
    <row r="1073" spans="24:24">
      <c r="X1073" s="4014"/>
    </row>
    <row r="1074" spans="24:24">
      <c r="X1074" s="4014"/>
    </row>
    <row r="1075" spans="24:24">
      <c r="X1075" s="4014"/>
    </row>
    <row r="1076" spans="24:24">
      <c r="X1076" s="4014"/>
    </row>
    <row r="1077" spans="24:24">
      <c r="X1077" s="4014"/>
    </row>
    <row r="1078" spans="24:24">
      <c r="X1078" s="4014"/>
    </row>
    <row r="1079" spans="24:24">
      <c r="X1079" s="4014"/>
    </row>
    <row r="1080" spans="24:24">
      <c r="X1080" s="4014"/>
    </row>
    <row r="1081" spans="24:24">
      <c r="X1081" s="4014"/>
    </row>
    <row r="1082" spans="24:24">
      <c r="X1082" s="4014"/>
    </row>
    <row r="1083" spans="24:24">
      <c r="X1083" s="4014"/>
    </row>
    <row r="1084" spans="24:24">
      <c r="X1084" s="4014"/>
    </row>
    <row r="1085" spans="24:24">
      <c r="X1085" s="4014"/>
    </row>
    <row r="1086" spans="24:24">
      <c r="X1086" s="4014"/>
    </row>
    <row r="1087" spans="24:24">
      <c r="X1087" s="4014"/>
    </row>
    <row r="1088" spans="24:24">
      <c r="X1088" s="4014"/>
    </row>
    <row r="1089" spans="24:24">
      <c r="X1089" s="4014"/>
    </row>
    <row r="1090" spans="24:24">
      <c r="X1090" s="4014"/>
    </row>
    <row r="1091" spans="24:24">
      <c r="X1091" s="4014"/>
    </row>
    <row r="1092" spans="24:24">
      <c r="X1092" s="4014"/>
    </row>
    <row r="1093" spans="24:24">
      <c r="X1093" s="4014"/>
    </row>
    <row r="1094" spans="24:24">
      <c r="X1094" s="4014"/>
    </row>
    <row r="1095" spans="24:24">
      <c r="X1095" s="4014"/>
    </row>
    <row r="1096" spans="24:24">
      <c r="X1096" s="4014"/>
    </row>
    <row r="1097" spans="24:24">
      <c r="X1097" s="4014"/>
    </row>
    <row r="1098" spans="24:24">
      <c r="X1098" s="4014"/>
    </row>
    <row r="1099" spans="24:24">
      <c r="X1099" s="4014"/>
    </row>
    <row r="1100" spans="24:24">
      <c r="X1100" s="4014"/>
    </row>
    <row r="1101" spans="24:24">
      <c r="X1101" s="4014"/>
    </row>
    <row r="1102" spans="24:24">
      <c r="X1102" s="4014"/>
    </row>
    <row r="1103" spans="24:24">
      <c r="X1103" s="4014"/>
    </row>
    <row r="1104" spans="24:24">
      <c r="X1104" s="4014"/>
    </row>
    <row r="1105" spans="24:24">
      <c r="X1105" s="4014"/>
    </row>
    <row r="1106" spans="24:24">
      <c r="X1106" s="4014"/>
    </row>
    <row r="1107" spans="24:24">
      <c r="X1107" s="4014"/>
    </row>
    <row r="1108" spans="24:24">
      <c r="X1108" s="4014"/>
    </row>
    <row r="1109" spans="24:24">
      <c r="X1109" s="4014"/>
    </row>
    <row r="1110" spans="24:24">
      <c r="X1110" s="4014"/>
    </row>
    <row r="1111" spans="24:24">
      <c r="X1111" s="4014"/>
    </row>
    <row r="1112" spans="24:24">
      <c r="X1112" s="4014"/>
    </row>
    <row r="1113" spans="24:24">
      <c r="X1113" s="4014"/>
    </row>
    <row r="1114" spans="24:24">
      <c r="X1114" s="4014"/>
    </row>
    <row r="1115" spans="24:24">
      <c r="X1115" s="4014"/>
    </row>
    <row r="1116" spans="24:24">
      <c r="X1116" s="4014"/>
    </row>
    <row r="1117" spans="24:24">
      <c r="X1117" s="4014"/>
    </row>
    <row r="1118" spans="24:24">
      <c r="X1118" s="4014"/>
    </row>
    <row r="1119" spans="24:24">
      <c r="X1119" s="4014"/>
    </row>
    <row r="1120" spans="24:24">
      <c r="X1120" s="4014"/>
    </row>
    <row r="1121" spans="24:24">
      <c r="X1121" s="4014"/>
    </row>
    <row r="1122" spans="24:24">
      <c r="X1122" s="4014"/>
    </row>
    <row r="1123" spans="24:24">
      <c r="X1123" s="4014"/>
    </row>
    <row r="1124" spans="24:24">
      <c r="X1124" s="4014"/>
    </row>
    <row r="1125" spans="24:24">
      <c r="X1125" s="4014"/>
    </row>
    <row r="1126" spans="24:24">
      <c r="X1126" s="4014"/>
    </row>
    <row r="1127" spans="24:24">
      <c r="X1127" s="4014"/>
    </row>
    <row r="1128" spans="24:24">
      <c r="X1128" s="4014"/>
    </row>
    <row r="1129" spans="24:24">
      <c r="X1129" s="4014"/>
    </row>
    <row r="1130" spans="24:24">
      <c r="X1130" s="4014"/>
    </row>
    <row r="1131" spans="24:24">
      <c r="X1131" s="4014"/>
    </row>
    <row r="1132" spans="24:24">
      <c r="X1132" s="4014"/>
    </row>
    <row r="1133" spans="24:24">
      <c r="X1133" s="4014"/>
    </row>
    <row r="1134" spans="24:24">
      <c r="X1134" s="4014"/>
    </row>
    <row r="1135" spans="24:24">
      <c r="X1135" s="4014"/>
    </row>
    <row r="1136" spans="24:24">
      <c r="X1136" s="4014"/>
    </row>
    <row r="1137" spans="24:24">
      <c r="X1137" s="4014"/>
    </row>
    <row r="1138" spans="24:24">
      <c r="X1138" s="4014"/>
    </row>
    <row r="1139" spans="24:24">
      <c r="X1139" s="4014"/>
    </row>
    <row r="1140" spans="24:24">
      <c r="X1140" s="4014"/>
    </row>
    <row r="1141" spans="24:24">
      <c r="X1141" s="4021"/>
    </row>
    <row r="1142" spans="24:24">
      <c r="X1142" s="4014"/>
    </row>
    <row r="1143" spans="24:24">
      <c r="X1143" s="4014"/>
    </row>
    <row r="1144" spans="24:24">
      <c r="X1144" s="4014"/>
    </row>
    <row r="1145" spans="24:24">
      <c r="X1145" s="4014"/>
    </row>
    <row r="1146" spans="24:24">
      <c r="X1146" s="4014"/>
    </row>
    <row r="1147" spans="24:24">
      <c r="X1147" s="4014"/>
    </row>
    <row r="1148" spans="24:24">
      <c r="X1148" s="4014"/>
    </row>
    <row r="1149" spans="24:24">
      <c r="X1149" s="4023"/>
    </row>
    <row r="1150" spans="24:24">
      <c r="X1150" s="4023"/>
    </row>
    <row r="1151" spans="24:24">
      <c r="X1151" s="4023"/>
    </row>
    <row r="1152" spans="24:24">
      <c r="X1152" s="4023"/>
    </row>
    <row r="1153" spans="24:24">
      <c r="X1153" s="4023"/>
    </row>
    <row r="1154" spans="24:24">
      <c r="X1154" s="4023"/>
    </row>
    <row r="1155" spans="24:24">
      <c r="X1155" s="4023"/>
    </row>
    <row r="1156" spans="24:24">
      <c r="X1156" s="4023"/>
    </row>
    <row r="1157" spans="24:24">
      <c r="X1157" s="4023"/>
    </row>
    <row r="1158" spans="24:24">
      <c r="X1158" s="4023"/>
    </row>
    <row r="1159" spans="24:24">
      <c r="X1159" s="4023"/>
    </row>
    <row r="1160" spans="24:24">
      <c r="X1160" s="4023"/>
    </row>
    <row r="1161" spans="24:24">
      <c r="X1161" s="4023"/>
    </row>
    <row r="1162" spans="24:24">
      <c r="X1162" s="4023"/>
    </row>
    <row r="1163" spans="24:24">
      <c r="X1163" s="4023"/>
    </row>
    <row r="1164" spans="24:24">
      <c r="X1164" s="4023"/>
    </row>
    <row r="1165" spans="24:24">
      <c r="X1165" s="4023"/>
    </row>
    <row r="1166" spans="24:24">
      <c r="X1166" s="4023"/>
    </row>
    <row r="1167" spans="24:24">
      <c r="X1167" s="4023"/>
    </row>
    <row r="1168" spans="24:24">
      <c r="X1168" s="4023"/>
    </row>
    <row r="1169" spans="24:24">
      <c r="X1169" s="4023"/>
    </row>
    <row r="1170" spans="24:24">
      <c r="X1170" s="4023"/>
    </row>
    <row r="1171" spans="24:24">
      <c r="X1171" s="4023"/>
    </row>
    <row r="1172" spans="24:24">
      <c r="X1172" s="4023"/>
    </row>
    <row r="1173" spans="24:24">
      <c r="X1173" s="4023"/>
    </row>
    <row r="1174" spans="24:24">
      <c r="X1174" s="4023"/>
    </row>
    <row r="1175" spans="24:24">
      <c r="X1175" s="4023"/>
    </row>
    <row r="1176" spans="24:24">
      <c r="X1176" s="4023"/>
    </row>
    <row r="1177" spans="24:24">
      <c r="X1177" s="4023"/>
    </row>
    <row r="1178" spans="24:24">
      <c r="X1178" s="4023"/>
    </row>
    <row r="1179" spans="24:24">
      <c r="X1179" s="4023"/>
    </row>
    <row r="1180" spans="24:24">
      <c r="X1180" s="4023"/>
    </row>
    <row r="1181" spans="24:24">
      <c r="X1181" s="4023"/>
    </row>
    <row r="1182" spans="24:24">
      <c r="X1182" s="4023"/>
    </row>
    <row r="1183" spans="24:24">
      <c r="X1183" s="4023"/>
    </row>
    <row r="1184" spans="24:24">
      <c r="X1184" s="4023"/>
    </row>
    <row r="1185" spans="24:24">
      <c r="X1185" s="4023"/>
    </row>
  </sheetData>
  <sheetProtection formatCells="0" formatColumns="0" formatRows="0" insertRows="0" insertColumns="0" insertHyperlinks="0" deleteColumns="0" deleteRows="0" sort="0" autoFilter="0" pivotTables="0"/>
  <protectedRanges>
    <protectedRange sqref="Q$1:T$1048576 Q$1:BW$1048576" name="Range1"/>
    <protectedRange sqref="A$1:AG$1048576 AK$1:BT$1048576" name="Range2"/>
  </protectedRanges>
  <autoFilter xmlns:etc="http://www.wps.cn/officeDocument/2017/etCustomData" ref="A3:LB1185" etc:filterBottomFollowUsedRange="1">
    <extLst/>
  </autoFilter>
  <mergeCells count="17">
    <mergeCell ref="A2:E2"/>
    <mergeCell ref="H2:I2"/>
    <mergeCell ref="K2:M2"/>
    <mergeCell ref="O2:P2"/>
    <mergeCell ref="AK2:AO2"/>
    <mergeCell ref="AP2:AR2"/>
    <mergeCell ref="AS2:AU2"/>
    <mergeCell ref="S643:S647"/>
    <mergeCell ref="S653:S654"/>
    <mergeCell ref="S656:S658"/>
    <mergeCell ref="S669:S671"/>
    <mergeCell ref="S675:S676"/>
    <mergeCell ref="S686:S689"/>
    <mergeCell ref="S698:S703"/>
    <mergeCell ref="S710:S713"/>
    <mergeCell ref="S759:S760"/>
    <mergeCell ref="S765:S767"/>
  </mergeCells>
  <conditionalFormatting sqref="V3:W3">
    <cfRule type="cellIs" dxfId="0" priority="2207" operator="equal">
      <formula>"欠"</formula>
    </cfRule>
  </conditionalFormatting>
  <conditionalFormatting sqref="X3">
    <cfRule type="cellIs" dxfId="0" priority="2206" operator="equal">
      <formula>"欠"</formula>
    </cfRule>
  </conditionalFormatting>
  <conditionalFormatting sqref="V6">
    <cfRule type="containsText" dxfId="1" priority="2140" operator="between" text="欠">
      <formula>NOT(ISERROR(SEARCH("欠",V6)))</formula>
    </cfRule>
  </conditionalFormatting>
  <conditionalFormatting sqref="V8">
    <cfRule type="containsText" dxfId="1" priority="2138" operator="between" text="欠">
      <formula>NOT(ISERROR(SEARCH("欠",V8)))</formula>
    </cfRule>
  </conditionalFormatting>
  <conditionalFormatting sqref="V14:X14">
    <cfRule type="containsText" dxfId="1" priority="2116" operator="between" text="欠">
      <formula>NOT(ISERROR(SEARCH("欠",V14)))</formula>
    </cfRule>
  </conditionalFormatting>
  <conditionalFormatting sqref="X21">
    <cfRule type="containsText" dxfId="1" priority="2112" operator="between" text="欠">
      <formula>NOT(ISERROR(SEARCH("欠",X21)))</formula>
    </cfRule>
  </conditionalFormatting>
  <conditionalFormatting sqref="V35">
    <cfRule type="containsText" dxfId="1" priority="2102" operator="between" text="欠">
      <formula>NOT(ISERROR(SEARCH("欠",V35)))</formula>
    </cfRule>
  </conditionalFormatting>
  <conditionalFormatting sqref="X35">
    <cfRule type="containsText" dxfId="1" priority="2090" operator="between" text="欠">
      <formula>NOT(ISERROR(SEARCH("欠",X35)))</formula>
    </cfRule>
  </conditionalFormatting>
  <conditionalFormatting sqref="X37">
    <cfRule type="containsText" dxfId="1" priority="2142" operator="between" text="欠">
      <formula>NOT(ISERROR(SEARCH("欠",X37)))</formula>
    </cfRule>
  </conditionalFormatting>
  <conditionalFormatting sqref="V38">
    <cfRule type="containsText" dxfId="1" priority="2100" operator="between" text="欠">
      <formula>NOT(ISERROR(SEARCH("欠",V38)))</formula>
    </cfRule>
  </conditionalFormatting>
  <conditionalFormatting sqref="X40">
    <cfRule type="containsText" dxfId="1" priority="2110" operator="between" text="欠">
      <formula>NOT(ISERROR(SEARCH("欠",X40)))</formula>
    </cfRule>
  </conditionalFormatting>
  <conditionalFormatting sqref="V41:X41">
    <cfRule type="containsText" dxfId="1" priority="2124" operator="between" text="欠">
      <formula>NOT(ISERROR(SEARCH("欠",V41)))</formula>
    </cfRule>
  </conditionalFormatting>
  <conditionalFormatting sqref="V42">
    <cfRule type="containsText" dxfId="1" priority="2106" operator="between" text="欠">
      <formula>NOT(ISERROR(SEARCH("欠",V42)))</formula>
    </cfRule>
  </conditionalFormatting>
  <conditionalFormatting sqref="W42">
    <cfRule type="containsText" dxfId="1" priority="2132" operator="between" text="欠">
      <formula>NOT(ISERROR(SEARCH("欠",W42)))</formula>
    </cfRule>
  </conditionalFormatting>
  <conditionalFormatting sqref="X42">
    <cfRule type="containsText" dxfId="1" priority="2108" operator="between" text="欠">
      <formula>NOT(ISERROR(SEARCH("欠",X42)))</formula>
    </cfRule>
  </conditionalFormatting>
  <conditionalFormatting sqref="V55">
    <cfRule type="containsText" dxfId="1" priority="2098" operator="between" text="欠">
      <formula>NOT(ISERROR(SEARCH("欠",V55)))</formula>
    </cfRule>
  </conditionalFormatting>
  <conditionalFormatting sqref="V76:X76">
    <cfRule type="containsText" dxfId="1" priority="2084" operator="between" text="欠">
      <formula>NOT(ISERROR(SEARCH("欠",V76)))</formula>
    </cfRule>
  </conditionalFormatting>
  <conditionalFormatting sqref="Y94">
    <cfRule type="containsText" dxfId="1" priority="1936" operator="between" text="欠">
      <formula>NOT(ISERROR(SEARCH("欠",Y94)))</formula>
    </cfRule>
  </conditionalFormatting>
  <conditionalFormatting sqref="W99">
    <cfRule type="containsText" dxfId="1" priority="2075" operator="between" text="欠">
      <formula>NOT(ISERROR(SEARCH("欠",W99)))</formula>
    </cfRule>
  </conditionalFormatting>
  <conditionalFormatting sqref="W100">
    <cfRule type="containsText" dxfId="1" priority="2074" operator="between" text="欠">
      <formula>NOT(ISERROR(SEARCH("欠",W100)))</formula>
    </cfRule>
  </conditionalFormatting>
  <conditionalFormatting sqref="W101">
    <cfRule type="containsText" dxfId="1" priority="2064" operator="between" text="欠">
      <formula>NOT(ISERROR(SEARCH("欠",W101)))</formula>
    </cfRule>
  </conditionalFormatting>
  <conditionalFormatting sqref="W102">
    <cfRule type="containsText" dxfId="1" priority="2063" operator="between" text="欠">
      <formula>NOT(ISERROR(SEARCH("欠",W102)))</formula>
    </cfRule>
  </conditionalFormatting>
  <conditionalFormatting sqref="W103">
    <cfRule type="containsText" dxfId="1" priority="2062" operator="between" text="欠">
      <formula>NOT(ISERROR(SEARCH("欠",W103)))</formula>
    </cfRule>
  </conditionalFormatting>
  <conditionalFormatting sqref="W104">
    <cfRule type="containsText" dxfId="1" priority="2061" operator="between" text="欠">
      <formula>NOT(ISERROR(SEARCH("欠",W104)))</formula>
    </cfRule>
  </conditionalFormatting>
  <conditionalFormatting sqref="W105">
    <cfRule type="containsText" dxfId="1" priority="2060" operator="between" text="欠">
      <formula>NOT(ISERROR(SEARCH("欠",W105)))</formula>
    </cfRule>
  </conditionalFormatting>
  <conditionalFormatting sqref="W106">
    <cfRule type="containsText" dxfId="1" priority="2059" operator="between" text="欠">
      <formula>NOT(ISERROR(SEARCH("欠",W106)))</formula>
    </cfRule>
  </conditionalFormatting>
  <conditionalFormatting sqref="W107">
    <cfRule type="containsText" dxfId="1" priority="2058" operator="between" text="欠">
      <formula>NOT(ISERROR(SEARCH("欠",W107)))</formula>
    </cfRule>
  </conditionalFormatting>
  <conditionalFormatting sqref="U113">
    <cfRule type="containsText" dxfId="1" priority="1840" operator="between" text="欠">
      <formula>NOT(ISERROR(SEARCH("欠",U113)))</formula>
    </cfRule>
  </conditionalFormatting>
  <conditionalFormatting sqref="V113">
    <cfRule type="containsText" dxfId="1" priority="2008" operator="between" text="欠">
      <formula>NOT(ISERROR(SEARCH("欠",V113)))</formula>
    </cfRule>
  </conditionalFormatting>
  <conditionalFormatting sqref="X113">
    <cfRule type="containsText" dxfId="1" priority="2006" operator="between" text="欠">
      <formula>NOT(ISERROR(SEARCH("欠",X113)))</formula>
    </cfRule>
  </conditionalFormatting>
  <conditionalFormatting sqref="V114">
    <cfRule type="containsText" dxfId="1" priority="2040" operator="between" text="欠">
      <formula>NOT(ISERROR(SEARCH("欠",V114)))</formula>
    </cfRule>
  </conditionalFormatting>
  <conditionalFormatting sqref="Y114">
    <cfRule type="containsText" dxfId="1" priority="1938" operator="between" text="欠">
      <formula>NOT(ISERROR(SEARCH("欠",Y114)))</formula>
    </cfRule>
  </conditionalFormatting>
  <conditionalFormatting sqref="Y116">
    <cfRule type="containsText" dxfId="1" priority="1876" operator="between" text="欠">
      <formula>NOT(ISERROR(SEARCH("欠",Y116)))</formula>
    </cfRule>
  </conditionalFormatting>
  <conditionalFormatting sqref="V117">
    <cfRule type="containsText" dxfId="1" priority="1950" operator="between" text="欠">
      <formula>NOT(ISERROR(SEARCH("欠",V117)))</formula>
    </cfRule>
  </conditionalFormatting>
  <conditionalFormatting sqref="X117">
    <cfRule type="containsText" dxfId="1" priority="2086" operator="between" text="欠">
      <formula>NOT(ISERROR(SEARCH("欠",X117)))</formula>
    </cfRule>
  </conditionalFormatting>
  <conditionalFormatting sqref="Y117">
    <cfRule type="containsText" dxfId="1" priority="1890" operator="between" text="欠">
      <formula>NOT(ISERROR(SEARCH("欠",Y117)))</formula>
    </cfRule>
  </conditionalFormatting>
  <conditionalFormatting sqref="W120">
    <cfRule type="containsText" dxfId="1" priority="2031" operator="between" text="欠">
      <formula>NOT(ISERROR(SEARCH("欠",W120)))</formula>
    </cfRule>
  </conditionalFormatting>
  <conditionalFormatting sqref="W121">
    <cfRule type="containsText" dxfId="1" priority="2030" operator="between" text="欠">
      <formula>NOT(ISERROR(SEARCH("欠",W121)))</formula>
    </cfRule>
  </conditionalFormatting>
  <conditionalFormatting sqref="W122">
    <cfRule type="containsText" dxfId="1" priority="2018" operator="between" text="欠">
      <formula>NOT(ISERROR(SEARCH("欠",W122)))</formula>
    </cfRule>
  </conditionalFormatting>
  <conditionalFormatting sqref="W123">
    <cfRule type="containsText" dxfId="1" priority="2017" operator="between" text="欠">
      <formula>NOT(ISERROR(SEARCH("欠",W123)))</formula>
    </cfRule>
  </conditionalFormatting>
  <conditionalFormatting sqref="W124">
    <cfRule type="containsText" dxfId="1" priority="2016" operator="between" text="欠">
      <formula>NOT(ISERROR(SEARCH("欠",W124)))</formula>
    </cfRule>
  </conditionalFormatting>
  <conditionalFormatting sqref="V125:Y125">
    <cfRule type="containsText" dxfId="1" priority="2014" operator="between" text="欠">
      <formula>NOT(ISERROR(SEARCH("欠",V125)))</formula>
    </cfRule>
  </conditionalFormatting>
  <conditionalFormatting sqref="V127:Y127">
    <cfRule type="containsText" dxfId="1" priority="1984" operator="between" text="欠">
      <formula>NOT(ISERROR(SEARCH("欠",V127)))</formula>
    </cfRule>
  </conditionalFormatting>
  <conditionalFormatting sqref="Y128">
    <cfRule type="containsText" dxfId="1" priority="1880" operator="between" text="欠">
      <formula>NOT(ISERROR(SEARCH("欠",Y128)))</formula>
    </cfRule>
  </conditionalFormatting>
  <conditionalFormatting sqref="V129">
    <cfRule type="containsText" dxfId="1" priority="1964" operator="between" text="欠">
      <formula>NOT(ISERROR(SEARCH("欠",V129)))</formula>
    </cfRule>
  </conditionalFormatting>
  <conditionalFormatting sqref="V130">
    <cfRule type="containsText" dxfId="1" priority="1916" operator="between" text="欠">
      <formula>NOT(ISERROR(SEARCH("欠",V130)))</formula>
    </cfRule>
  </conditionalFormatting>
  <conditionalFormatting sqref="V131">
    <cfRule type="containsText" dxfId="1" priority="1934" operator="between" text="欠">
      <formula>NOT(ISERROR(SEARCH("欠",V131)))</formula>
    </cfRule>
  </conditionalFormatting>
  <conditionalFormatting sqref="Y131">
    <cfRule type="containsText" dxfId="1" priority="1882" operator="between" text="欠">
      <formula>NOT(ISERROR(SEARCH("欠",Y131)))</formula>
    </cfRule>
  </conditionalFormatting>
  <conditionalFormatting sqref="V132">
    <cfRule type="containsText" dxfId="1" priority="1958" operator="between" text="欠">
      <formula>NOT(ISERROR(SEARCH("欠",V132)))</formula>
    </cfRule>
  </conditionalFormatting>
  <conditionalFormatting sqref="V138:X138">
    <cfRule type="containsText" dxfId="1" priority="1948" operator="between" text="欠">
      <formula>NOT(ISERROR(SEARCH("欠",V138)))</formula>
    </cfRule>
  </conditionalFormatting>
  <conditionalFormatting sqref="V139">
    <cfRule type="containsText" dxfId="1" priority="1946" operator="between" text="欠">
      <formula>NOT(ISERROR(SEARCH("欠",V139)))</formula>
    </cfRule>
  </conditionalFormatting>
  <conditionalFormatting sqref="X139">
    <cfRule type="containsText" dxfId="1" priority="1930" operator="between" text="欠">
      <formula>NOT(ISERROR(SEARCH("欠",X139)))</formula>
    </cfRule>
  </conditionalFormatting>
  <conditionalFormatting sqref="Y139">
    <cfRule type="containsText" dxfId="1" priority="2012" operator="between" text="欠">
      <formula>NOT(ISERROR(SEARCH("欠",Y139)))</formula>
    </cfRule>
  </conditionalFormatting>
  <conditionalFormatting sqref="V140:X140">
    <cfRule type="containsText" dxfId="1" priority="1888" operator="between" text="欠">
      <formula>NOT(ISERROR(SEARCH("欠",V140)))</formula>
    </cfRule>
  </conditionalFormatting>
  <conditionalFormatting sqref="Y142">
    <cfRule type="containsText" dxfId="1" priority="1928" operator="between" text="欠">
      <formula>NOT(ISERROR(SEARCH("欠",Y142)))</formula>
    </cfRule>
  </conditionalFormatting>
  <conditionalFormatting sqref="Y143">
    <cfRule type="containsText" dxfId="1" priority="1822" operator="between" text="欠">
      <formula>NOT(ISERROR(SEARCH("欠",Y143)))</formula>
    </cfRule>
  </conditionalFormatting>
  <conditionalFormatting sqref="Y145">
    <cfRule type="containsText" dxfId="1" priority="1944" operator="between" text="欠">
      <formula>NOT(ISERROR(SEARCH("欠",Y145)))</formula>
    </cfRule>
  </conditionalFormatting>
  <conditionalFormatting sqref="Y156">
    <cfRule type="containsText" dxfId="1" priority="1898" operator="between" text="欠">
      <formula>NOT(ISERROR(SEARCH("欠",Y156)))</formula>
    </cfRule>
  </conditionalFormatting>
  <conditionalFormatting sqref="V158:X158">
    <cfRule type="containsText" dxfId="1" priority="1838" operator="between" text="欠">
      <formula>NOT(ISERROR(SEARCH("欠",V158)))</formula>
    </cfRule>
  </conditionalFormatting>
  <conditionalFormatting sqref="V165">
    <cfRule type="containsText" dxfId="1" priority="1655" operator="between" text="欠">
      <formula>NOT(ISERROR(SEARCH("欠",V165)))</formula>
    </cfRule>
  </conditionalFormatting>
  <conditionalFormatting sqref="W165">
    <cfRule type="containsText" dxfId="1" priority="1657" operator="between" text="欠">
      <formula>NOT(ISERROR(SEARCH("欠",W165)))</formula>
    </cfRule>
  </conditionalFormatting>
  <conditionalFormatting sqref="X165">
    <cfRule type="containsText" dxfId="1" priority="1653" operator="between" text="欠">
      <formula>NOT(ISERROR(SEARCH("欠",X165)))</formula>
    </cfRule>
  </conditionalFormatting>
  <conditionalFormatting sqref="Y165">
    <cfRule type="containsText" dxfId="1" priority="1874" operator="between" text="欠">
      <formula>NOT(ISERROR(SEARCH("欠",Y165)))</formula>
    </cfRule>
  </conditionalFormatting>
  <conditionalFormatting sqref="Y166">
    <cfRule type="containsText" dxfId="1" priority="1818" operator="between" text="欠">
      <formula>NOT(ISERROR(SEARCH("欠",Y166)))</formula>
    </cfRule>
  </conditionalFormatting>
  <conditionalFormatting sqref="Y167">
    <cfRule type="containsText" dxfId="1" priority="1904" operator="between" text="欠">
      <formula>NOT(ISERROR(SEARCH("欠",Y167)))</formula>
    </cfRule>
  </conditionalFormatting>
  <conditionalFormatting sqref="W168:X168">
    <cfRule type="containsText" dxfId="1" priority="1834" operator="between" text="欠">
      <formula>NOT(ISERROR(SEARCH("欠",W168)))</formula>
    </cfRule>
  </conditionalFormatting>
  <conditionalFormatting sqref="Y168">
    <cfRule type="containsText" dxfId="1" priority="1856" operator="between" text="欠">
      <formula>NOT(ISERROR(SEARCH("欠",Y168)))</formula>
    </cfRule>
  </conditionalFormatting>
  <conditionalFormatting sqref="W169:X169">
    <cfRule type="containsText" dxfId="1" priority="1832" operator="between" text="欠">
      <formula>NOT(ISERROR(SEARCH("欠",W169)))</formula>
    </cfRule>
  </conditionalFormatting>
  <conditionalFormatting sqref="Y169">
    <cfRule type="containsText" dxfId="1" priority="1852" operator="between" text="欠">
      <formula>NOT(ISERROR(SEARCH("欠",Y169)))</formula>
    </cfRule>
  </conditionalFormatting>
  <conditionalFormatting sqref="W170">
    <cfRule type="containsText" dxfId="1" priority="1830" operator="between" text="欠">
      <formula>NOT(ISERROR(SEARCH("欠",W170)))</formula>
    </cfRule>
  </conditionalFormatting>
  <conditionalFormatting sqref="X170">
    <cfRule type="containsText" dxfId="1" priority="1666" operator="between" text="欠">
      <formula>NOT(ISERROR(SEARCH("欠",X170)))</formula>
    </cfRule>
  </conditionalFormatting>
  <conditionalFormatting sqref="Y170">
    <cfRule type="containsText" dxfId="1" priority="1848" operator="between" text="欠">
      <formula>NOT(ISERROR(SEARCH("欠",Y170)))</formula>
    </cfRule>
  </conditionalFormatting>
  <conditionalFormatting sqref="X171">
    <cfRule type="containsText" dxfId="1" priority="1826" operator="between" text="欠">
      <formula>NOT(ISERROR(SEARCH("欠",X171)))</formula>
    </cfRule>
  </conditionalFormatting>
  <conditionalFormatting sqref="V180:W180">
    <cfRule type="containsText" dxfId="1" priority="1685" operator="between" text="欠">
      <formula>NOT(ISERROR(SEARCH("欠",V180)))</formula>
    </cfRule>
  </conditionalFormatting>
  <conditionalFormatting sqref="X180">
    <cfRule type="containsText" dxfId="1" priority="1651" operator="between" text="欠">
      <formula>NOT(ISERROR(SEARCH("欠",X180)))</formula>
    </cfRule>
  </conditionalFormatting>
  <conditionalFormatting sqref="Y180">
    <cfRule type="containsText" dxfId="1" priority="1711" operator="between" text="欠">
      <formula>NOT(ISERROR(SEARCH("欠",Y180)))</formula>
    </cfRule>
  </conditionalFormatting>
  <conditionalFormatting sqref="Y181">
    <cfRule type="containsText" dxfId="1" priority="1816" operator="between" text="欠">
      <formula>NOT(ISERROR(SEARCH("欠",Y181)))</formula>
    </cfRule>
  </conditionalFormatting>
  <conditionalFormatting sqref="U190">
    <cfRule type="containsText" dxfId="1" priority="1627" operator="between" text="欠">
      <formula>NOT(ISERROR(SEARCH("欠",U190)))</formula>
    </cfRule>
  </conditionalFormatting>
  <conditionalFormatting sqref="V192">
    <cfRule type="containsText" dxfId="1" priority="1820" operator="between" text="欠">
      <formula>NOT(ISERROR(SEARCH("欠",V192)))</formula>
    </cfRule>
  </conditionalFormatting>
  <conditionalFormatting sqref="W192">
    <cfRule type="containsText" dxfId="1" priority="1966" operator="between" text="欠">
      <formula>NOT(ISERROR(SEARCH("欠",W192)))</formula>
    </cfRule>
  </conditionalFormatting>
  <conditionalFormatting sqref="X192">
    <cfRule type="containsText" dxfId="1" priority="1858" operator="between" text="欠">
      <formula>NOT(ISERROR(SEARCH("欠",X192)))</formula>
    </cfRule>
  </conditionalFormatting>
  <conditionalFormatting sqref="U193">
    <cfRule type="containsText" dxfId="1" priority="1499" operator="between" text="欠">
      <formula>NOT(ISERROR(SEARCH("欠",U193)))</formula>
    </cfRule>
  </conditionalFormatting>
  <conditionalFormatting sqref="U194">
    <cfRule type="containsText" dxfId="1" priority="1734" operator="between" text="欠">
      <formula>NOT(ISERROR(SEARCH("欠",U194)))</formula>
    </cfRule>
  </conditionalFormatting>
  <conditionalFormatting sqref="V195">
    <cfRule type="containsText" dxfId="1" priority="1629" operator="between" text="欠">
      <formula>NOT(ISERROR(SEARCH("欠",V195)))</formula>
    </cfRule>
  </conditionalFormatting>
  <conditionalFormatting sqref="W195">
    <cfRule type="containsText" dxfId="1" priority="1712" operator="between" text="欠">
      <formula>NOT(ISERROR(SEARCH("欠",W195)))</formula>
    </cfRule>
  </conditionalFormatting>
  <conditionalFormatting sqref="X195">
    <cfRule type="containsText" dxfId="1" priority="1680" operator="between" text="欠">
      <formula>NOT(ISERROR(SEARCH("欠",X195)))</formula>
    </cfRule>
  </conditionalFormatting>
  <conditionalFormatting sqref="Y195">
    <cfRule type="containsText" dxfId="1" priority="1714" operator="between" text="欠">
      <formula>NOT(ISERROR(SEARCH("欠",Y195)))</formula>
    </cfRule>
  </conditionalFormatting>
  <conditionalFormatting sqref="V196:X196">
    <cfRule type="containsText" dxfId="1" priority="1702" operator="between" text="欠">
      <formula>NOT(ISERROR(SEARCH("欠",V196)))</formula>
    </cfRule>
  </conditionalFormatting>
  <conditionalFormatting sqref="Y196">
    <cfRule type="containsText" dxfId="1" priority="1704" operator="between" text="欠">
      <formula>NOT(ISERROR(SEARCH("欠",Y196)))</formula>
    </cfRule>
  </conditionalFormatting>
  <conditionalFormatting sqref="U200">
    <cfRule type="containsText" dxfId="1" priority="1500" operator="between" text="欠">
      <formula>NOT(ISERROR(SEARCH("欠",U200)))</formula>
    </cfRule>
  </conditionalFormatting>
  <conditionalFormatting sqref="V202">
    <cfRule type="containsText" dxfId="1" priority="1582" operator="between" text="欠">
      <formula>NOT(ISERROR(SEARCH("欠",V202)))</formula>
    </cfRule>
  </conditionalFormatting>
  <conditionalFormatting sqref="V203">
    <cfRule type="containsText" dxfId="1" priority="1645" operator="between" text="欠">
      <formula>NOT(ISERROR(SEARCH("欠",V203)))</formula>
    </cfRule>
  </conditionalFormatting>
  <conditionalFormatting sqref="U205">
    <cfRule type="containsText" dxfId="1" priority="1501" operator="between" text="欠">
      <formula>NOT(ISERROR(SEARCH("欠",U205)))</formula>
    </cfRule>
  </conditionalFormatting>
  <conditionalFormatting sqref="W205">
    <cfRule type="containsText" dxfId="1" priority="1674" operator="between" text="欠">
      <formula>NOT(ISERROR(SEARCH("欠",W205)))</formula>
    </cfRule>
  </conditionalFormatting>
  <conditionalFormatting sqref="V211">
    <cfRule type="containsText" dxfId="1" priority="1567" operator="between" text="欠">
      <formula>NOT(ISERROR(SEARCH("欠",V211)))</formula>
    </cfRule>
  </conditionalFormatting>
  <conditionalFormatting sqref="W211:X211">
    <cfRule type="containsText" dxfId="1" priority="1643" operator="between" text="欠">
      <formula>NOT(ISERROR(SEARCH("欠",W211)))</formula>
    </cfRule>
  </conditionalFormatting>
  <conditionalFormatting sqref="Y212">
    <cfRule type="containsText" dxfId="1" priority="1624" operator="between" text="欠">
      <formula>NOT(ISERROR(SEARCH("欠",Y212)))</formula>
    </cfRule>
  </conditionalFormatting>
  <conditionalFormatting sqref="W213">
    <cfRule type="containsText" dxfId="1" priority="1620" operator="between" text="欠">
      <formula>NOT(ISERROR(SEARCH("欠",W213)))</formula>
    </cfRule>
  </conditionalFormatting>
  <conditionalFormatting sqref="Y213">
    <cfRule type="containsText" dxfId="1" priority="1621" operator="between" text="欠">
      <formula>NOT(ISERROR(SEARCH("欠",Y213)))</formula>
    </cfRule>
  </conditionalFormatting>
  <conditionalFormatting sqref="U214">
    <cfRule type="containsText" dxfId="1" priority="1603" operator="between" text="欠">
      <formula>NOT(ISERROR(SEARCH("欠",U214)))</formula>
    </cfRule>
  </conditionalFormatting>
  <conditionalFormatting sqref="V215">
    <cfRule type="containsText" dxfId="1" priority="1594" operator="between" text="欠">
      <formula>NOT(ISERROR(SEARCH("欠",V215)))</formula>
    </cfRule>
  </conditionalFormatting>
  <conditionalFormatting sqref="W215:Y215">
    <cfRule type="containsText" dxfId="1" priority="1595" operator="between" text="欠">
      <formula>NOT(ISERROR(SEARCH("欠",W215)))</formula>
    </cfRule>
  </conditionalFormatting>
  <conditionalFormatting sqref="V218">
    <cfRule type="containsText" dxfId="1" priority="1581" operator="between" text="欠">
      <formula>NOT(ISERROR(SEARCH("欠",V218)))</formula>
    </cfRule>
  </conditionalFormatting>
  <conditionalFormatting sqref="V222">
    <cfRule type="containsText" dxfId="1" priority="1720" operator="between" text="欠">
      <formula>NOT(ISERROR(SEARCH("欠",V222)))</formula>
    </cfRule>
  </conditionalFormatting>
  <conditionalFormatting sqref="X222">
    <cfRule type="containsText" dxfId="1" priority="1593" operator="between" text="欠">
      <formula>NOT(ISERROR(SEARCH("欠",X222)))</formula>
    </cfRule>
  </conditionalFormatting>
  <conditionalFormatting sqref="V224">
    <cfRule type="containsText" dxfId="1" priority="1566" operator="between" text="欠">
      <formula>NOT(ISERROR(SEARCH("欠",V224)))</formula>
    </cfRule>
  </conditionalFormatting>
  <conditionalFormatting sqref="W224">
    <cfRule type="containsText" dxfId="1" priority="1592" operator="between" text="欠">
      <formula>NOT(ISERROR(SEARCH("欠",W224)))</formula>
    </cfRule>
  </conditionalFormatting>
  <conditionalFormatting sqref="X224">
    <cfRule type="containsText" dxfId="1" priority="1565" operator="between" text="欠">
      <formula>NOT(ISERROR(SEARCH("欠",X224)))</formula>
    </cfRule>
  </conditionalFormatting>
  <conditionalFormatting sqref="V225">
    <cfRule type="containsText" dxfId="1" priority="1588" operator="between" text="欠">
      <formula>NOT(ISERROR(SEARCH("欠",V225)))</formula>
    </cfRule>
  </conditionalFormatting>
  <conditionalFormatting sqref="X225">
    <cfRule type="containsText" dxfId="1" priority="1587" operator="between" text="欠">
      <formula>NOT(ISERROR(SEARCH("欠",X225)))</formula>
    </cfRule>
  </conditionalFormatting>
  <conditionalFormatting sqref="Y226">
    <cfRule type="containsText" dxfId="1" priority="1700" operator="between" text="欠">
      <formula>NOT(ISERROR(SEARCH("欠",Y226)))</formula>
    </cfRule>
  </conditionalFormatting>
  <conditionalFormatting sqref="V230">
    <cfRule type="containsText" dxfId="1" priority="1580" operator="between" text="欠">
      <formula>NOT(ISERROR(SEARCH("欠",V230)))</formula>
    </cfRule>
  </conditionalFormatting>
  <conditionalFormatting sqref="X230">
    <cfRule type="containsText" dxfId="1" priority="1516" operator="between" text="欠">
      <formula>NOT(ISERROR(SEARCH("欠",X230)))</formula>
    </cfRule>
  </conditionalFormatting>
  <conditionalFormatting sqref="V231">
    <cfRule type="containsText" dxfId="1" priority="1637" operator="between" text="欠">
      <formula>NOT(ISERROR(SEARCH("欠",V231)))</formula>
    </cfRule>
  </conditionalFormatting>
  <conditionalFormatting sqref="W231:X231">
    <cfRule type="containsText" dxfId="1" priority="1639" operator="between" text="欠">
      <formula>NOT(ISERROR(SEARCH("欠",W231)))</formula>
    </cfRule>
  </conditionalFormatting>
  <conditionalFormatting sqref="V232">
    <cfRule type="containsText" dxfId="1" priority="1573" operator="between" text="欠">
      <formula>NOT(ISERROR(SEARCH("欠",V232)))</formula>
    </cfRule>
  </conditionalFormatting>
  <conditionalFormatting sqref="V234">
    <cfRule type="containsText" dxfId="1" priority="1559" operator="between" text="欠">
      <formula>NOT(ISERROR(SEARCH("欠",V234)))</formula>
    </cfRule>
  </conditionalFormatting>
  <conditionalFormatting sqref="V242">
    <cfRule type="containsText" dxfId="1" priority="1586" operator="between" text="欠">
      <formula>NOT(ISERROR(SEARCH("欠",V242)))</formula>
    </cfRule>
  </conditionalFormatting>
  <conditionalFormatting sqref="X242">
    <cfRule type="containsText" dxfId="1" priority="1538" operator="between" text="欠">
      <formula>NOT(ISERROR(SEARCH("欠",X242)))</formula>
    </cfRule>
  </conditionalFormatting>
  <conditionalFormatting sqref="V244">
    <cfRule type="containsText" dxfId="1" priority="1541" operator="between" text="欠">
      <formula>NOT(ISERROR(SEARCH("欠",V244)))</formula>
    </cfRule>
  </conditionalFormatting>
  <conditionalFormatting sqref="X245">
    <cfRule type="containsText" dxfId="1" priority="1585" operator="between" text="欠">
      <formula>NOT(ISERROR(SEARCH("欠",X245)))</formula>
    </cfRule>
  </conditionalFormatting>
  <conditionalFormatting sqref="V248:W248">
    <cfRule type="containsText" dxfId="1" priority="1556" operator="between" text="欠">
      <formula>NOT(ISERROR(SEARCH("欠",V248)))</formula>
    </cfRule>
  </conditionalFormatting>
  <conditionalFormatting sqref="X248">
    <cfRule type="containsText" dxfId="1" priority="1555" operator="between" text="欠">
      <formula>NOT(ISERROR(SEARCH("欠",X248)))</formula>
    </cfRule>
  </conditionalFormatting>
  <conditionalFormatting sqref="V253">
    <cfRule type="containsText" dxfId="1" priority="1522" operator="between" text="欠">
      <formula>NOT(ISERROR(SEARCH("欠",V253)))</formula>
    </cfRule>
  </conditionalFormatting>
  <conditionalFormatting sqref="V254">
    <cfRule type="containsText" dxfId="1" priority="1520" operator="between" text="欠">
      <formula>NOT(ISERROR(SEARCH("欠",V254)))</formula>
    </cfRule>
  </conditionalFormatting>
  <conditionalFormatting sqref="V256">
    <cfRule type="containsText" dxfId="1" priority="1558" operator="between" text="欠">
      <formula>NOT(ISERROR(SEARCH("欠",V256)))</formula>
    </cfRule>
  </conditionalFormatting>
  <conditionalFormatting sqref="X256">
    <cfRule type="containsText" dxfId="1" priority="1557" operator="between" text="欠">
      <formula>NOT(ISERROR(SEARCH("欠",X256)))</formula>
    </cfRule>
  </conditionalFormatting>
  <conditionalFormatting sqref="V257">
    <cfRule type="containsText" dxfId="1" priority="1536" operator="between" text="欠">
      <formula>NOT(ISERROR(SEARCH("欠",V257)))</formula>
    </cfRule>
  </conditionalFormatting>
  <conditionalFormatting sqref="V258">
    <cfRule type="containsText" dxfId="1" priority="1519" operator="between" text="欠">
      <formula>NOT(ISERROR(SEARCH("欠",V258)))</formula>
    </cfRule>
  </conditionalFormatting>
  <conditionalFormatting sqref="V259">
    <cfRule type="containsText" dxfId="1" priority="1523" operator="between" text="欠">
      <formula>NOT(ISERROR(SEARCH("欠",V259)))</formula>
    </cfRule>
  </conditionalFormatting>
  <conditionalFormatting sqref="W259">
    <cfRule type="containsText" dxfId="1" priority="1527" operator="between" text="欠">
      <formula>NOT(ISERROR(SEARCH("欠",W259)))</formula>
    </cfRule>
  </conditionalFormatting>
  <conditionalFormatting sqref="X259">
    <cfRule type="containsText" dxfId="1" priority="1524" operator="between" text="欠">
      <formula>NOT(ISERROR(SEARCH("欠",X259)))</formula>
    </cfRule>
  </conditionalFormatting>
  <conditionalFormatting sqref="Y259">
    <cfRule type="containsText" dxfId="1" priority="1526" operator="between" text="欠">
      <formula>NOT(ISERROR(SEARCH("欠",Y259)))</formula>
    </cfRule>
  </conditionalFormatting>
  <conditionalFormatting sqref="Z259">
    <cfRule type="containsText" dxfId="1" priority="1525" operator="between" text="欠">
      <formula>NOT(ISERROR(SEARCH("欠",Z259)))</formula>
    </cfRule>
  </conditionalFormatting>
  <conditionalFormatting sqref="V260:X260">
    <cfRule type="containsText" dxfId="1" priority="1716" operator="between" text="欠">
      <formula>NOT(ISERROR(SEARCH("欠",V260)))</formula>
    </cfRule>
  </conditionalFormatting>
  <conditionalFormatting sqref="Y260">
    <cfRule type="containsText" dxfId="1" priority="1778" operator="between" text="欠">
      <formula>NOT(ISERROR(SEARCH("欠",Y260)))</formula>
    </cfRule>
  </conditionalFormatting>
  <conditionalFormatting sqref="V272">
    <cfRule type="containsText" dxfId="1" priority="1473" operator="between" text="欠">
      <formula>NOT(ISERROR(SEARCH("欠",V272)))</formula>
    </cfRule>
  </conditionalFormatting>
  <conditionalFormatting sqref="W272">
    <cfRule type="containsText" dxfId="1" priority="1476" operator="between" text="欠">
      <formula>NOT(ISERROR(SEARCH("欠",W272)))</formula>
    </cfRule>
  </conditionalFormatting>
  <conditionalFormatting sqref="X272">
    <cfRule type="containsText" dxfId="1" priority="1474" operator="between" text="欠">
      <formula>NOT(ISERROR(SEARCH("欠",X272)))</formula>
    </cfRule>
  </conditionalFormatting>
  <conditionalFormatting sqref="Y272">
    <cfRule type="containsText" dxfId="1" priority="1475" operator="between" text="欠">
      <formula>NOT(ISERROR(SEARCH("欠",Y272)))</formula>
    </cfRule>
  </conditionalFormatting>
  <conditionalFormatting sqref="V273">
    <cfRule type="containsText" dxfId="1" priority="1494" operator="between" text="欠">
      <formula>NOT(ISERROR(SEARCH("欠",V273)))</formula>
    </cfRule>
  </conditionalFormatting>
  <conditionalFormatting sqref="W273">
    <cfRule type="containsText" dxfId="1" priority="1497" operator="between" text="欠">
      <formula>NOT(ISERROR(SEARCH("欠",W273)))</formula>
    </cfRule>
  </conditionalFormatting>
  <conditionalFormatting sqref="X273">
    <cfRule type="containsText" dxfId="1" priority="1493" operator="between" text="欠">
      <formula>NOT(ISERROR(SEARCH("欠",X273)))</formula>
    </cfRule>
  </conditionalFormatting>
  <conditionalFormatting sqref="Y273">
    <cfRule type="containsText" dxfId="1" priority="1498" operator="between" text="欠">
      <formula>NOT(ISERROR(SEARCH("欠",Y273)))</formula>
    </cfRule>
  </conditionalFormatting>
  <conditionalFormatting sqref="W275">
    <cfRule type="containsText" dxfId="1" priority="1448" operator="between" text="欠">
      <formula>NOT(ISERROR(SEARCH("欠",W275)))</formula>
    </cfRule>
  </conditionalFormatting>
  <conditionalFormatting sqref="X275">
    <cfRule type="containsText" dxfId="1" priority="1446" operator="between" text="欠">
      <formula>NOT(ISERROR(SEARCH("欠",X275)))</formula>
    </cfRule>
  </conditionalFormatting>
  <conditionalFormatting sqref="Y275">
    <cfRule type="containsText" dxfId="1" priority="1447" operator="between" text="欠">
      <formula>NOT(ISERROR(SEARCH("欠",Y275)))</formula>
    </cfRule>
  </conditionalFormatting>
  <conditionalFormatting sqref="W276">
    <cfRule type="containsText" dxfId="1" priority="1607" operator="between" text="欠">
      <formula>NOT(ISERROR(SEARCH("欠",W276)))</formula>
    </cfRule>
  </conditionalFormatting>
  <conditionalFormatting sqref="Y276">
    <cfRule type="containsText" dxfId="1" priority="1608" operator="between" text="欠">
      <formula>NOT(ISERROR(SEARCH("欠",Y276)))</formula>
    </cfRule>
  </conditionalFormatting>
  <conditionalFormatting sqref="V281">
    <cfRule type="containsText" dxfId="1" priority="1281" operator="between" text="欠">
      <formula>NOT(ISERROR(SEARCH("欠",V281)))</formula>
    </cfRule>
  </conditionalFormatting>
  <conditionalFormatting sqref="W281">
    <cfRule type="containsText" dxfId="1" priority="1434" operator="between" text="欠">
      <formula>NOT(ISERROR(SEARCH("欠",W281)))</formula>
    </cfRule>
  </conditionalFormatting>
  <conditionalFormatting sqref="X281">
    <cfRule type="containsText" dxfId="1" priority="1432" operator="between" text="欠">
      <formula>NOT(ISERROR(SEARCH("欠",X281)))</formula>
    </cfRule>
  </conditionalFormatting>
  <conditionalFormatting sqref="Y281">
    <cfRule type="containsText" dxfId="1" priority="1433" operator="between" text="欠">
      <formula>NOT(ISERROR(SEARCH("欠",Y281)))</formula>
    </cfRule>
  </conditionalFormatting>
  <conditionalFormatting sqref="V282:X282">
    <cfRule type="containsText" dxfId="1" priority="1672" operator="between" text="欠">
      <formula>NOT(ISERROR(SEARCH("欠",V282)))</formula>
    </cfRule>
  </conditionalFormatting>
  <conditionalFormatting sqref="Y282">
    <cfRule type="containsText" dxfId="1" priority="1692" operator="between" text="欠">
      <formula>NOT(ISERROR(SEARCH("欠",Y282)))</formula>
    </cfRule>
  </conditionalFormatting>
  <conditionalFormatting sqref="X283">
    <cfRule type="containsText" dxfId="1" priority="1443" operator="between" text="欠">
      <formula>NOT(ISERROR(SEARCH("欠",X283)))</formula>
    </cfRule>
  </conditionalFormatting>
  <conditionalFormatting sqref="W287">
    <cfRule type="containsText" dxfId="1" priority="1472" operator="between" text="欠">
      <formula>NOT(ISERROR(SEARCH("欠",W287)))</formula>
    </cfRule>
  </conditionalFormatting>
  <conditionalFormatting sqref="Y287">
    <cfRule type="containsText" dxfId="1" priority="1468" operator="between" text="欠">
      <formula>NOT(ISERROR(SEARCH("欠",Y287)))</formula>
    </cfRule>
  </conditionalFormatting>
  <conditionalFormatting sqref="W288">
    <cfRule type="containsText" dxfId="1" priority="1471" operator="between" text="欠">
      <formula>NOT(ISERROR(SEARCH("欠",W288)))</formula>
    </cfRule>
  </conditionalFormatting>
  <conditionalFormatting sqref="Y288">
    <cfRule type="containsText" dxfId="1" priority="1467" operator="between" text="欠">
      <formula>NOT(ISERROR(SEARCH("欠",Y288)))</formula>
    </cfRule>
  </conditionalFormatting>
  <conditionalFormatting sqref="W289">
    <cfRule type="containsText" dxfId="1" priority="1470" operator="between" text="欠">
      <formula>NOT(ISERROR(SEARCH("欠",W289)))</formula>
    </cfRule>
  </conditionalFormatting>
  <conditionalFormatting sqref="Y289">
    <cfRule type="containsText" dxfId="1" priority="1466" operator="between" text="欠">
      <formula>NOT(ISERROR(SEARCH("欠",Y289)))</formula>
    </cfRule>
  </conditionalFormatting>
  <conditionalFormatting sqref="O291">
    <cfRule type="containsText" dxfId="1" priority="1133" operator="between" text="欠">
      <formula>NOT(ISERROR(SEARCH("欠",O291)))</formula>
    </cfRule>
  </conditionalFormatting>
  <conditionalFormatting sqref="P291:T291">
    <cfRule type="containsText" dxfId="1" priority="1260" operator="between" text="欠">
      <formula>NOT(ISERROR(SEARCH("欠",P291)))</formula>
    </cfRule>
  </conditionalFormatting>
  <conditionalFormatting sqref="Y291">
    <cfRule type="containsText" dxfId="1" priority="1261" operator="between" text="欠">
      <formula>NOT(ISERROR(SEARCH("欠",Y291)))</formula>
    </cfRule>
  </conditionalFormatting>
  <conditionalFormatting sqref="Z291">
    <cfRule type="containsText" dxfId="1" priority="1264" operator="between" text="欠">
      <formula>NOT(ISERROR(SEARCH("欠",Z291)))</formula>
    </cfRule>
  </conditionalFormatting>
  <conditionalFormatting sqref="W294">
    <cfRule type="containsText" dxfId="1" priority="1306" operator="between" text="欠">
      <formula>NOT(ISERROR(SEARCH("欠",W294)))</formula>
    </cfRule>
  </conditionalFormatting>
  <conditionalFormatting sqref="Y294">
    <cfRule type="containsText" dxfId="1" priority="1301" operator="between" text="欠">
      <formula>NOT(ISERROR(SEARCH("欠",Y294)))</formula>
    </cfRule>
  </conditionalFormatting>
  <conditionalFormatting sqref="W295">
    <cfRule type="containsText" dxfId="1" priority="1305" operator="between" text="欠">
      <formula>NOT(ISERROR(SEARCH("欠",W295)))</formula>
    </cfRule>
  </conditionalFormatting>
  <conditionalFormatting sqref="Y295">
    <cfRule type="containsText" dxfId="1" priority="1300" operator="between" text="欠">
      <formula>NOT(ISERROR(SEARCH("欠",Y295)))</formula>
    </cfRule>
  </conditionalFormatting>
  <conditionalFormatting sqref="W296">
    <cfRule type="containsText" dxfId="1" priority="1304" operator="between" text="欠">
      <formula>NOT(ISERROR(SEARCH("欠",W296)))</formula>
    </cfRule>
  </conditionalFormatting>
  <conditionalFormatting sqref="Y296">
    <cfRule type="containsText" dxfId="1" priority="1299" operator="between" text="欠">
      <formula>NOT(ISERROR(SEARCH("欠",Y296)))</formula>
    </cfRule>
  </conditionalFormatting>
  <conditionalFormatting sqref="W297">
    <cfRule type="containsText" dxfId="1" priority="1303" operator="between" text="欠">
      <formula>NOT(ISERROR(SEARCH("欠",W297)))</formula>
    </cfRule>
  </conditionalFormatting>
  <conditionalFormatting sqref="Y297">
    <cfRule type="containsText" dxfId="1" priority="1298" operator="between" text="欠">
      <formula>NOT(ISERROR(SEARCH("欠",Y297)))</formula>
    </cfRule>
  </conditionalFormatting>
  <conditionalFormatting sqref="W298">
    <cfRule type="containsText" dxfId="1" priority="1302" operator="between" text="欠">
      <formula>NOT(ISERROR(SEARCH("欠",W298)))</formula>
    </cfRule>
  </conditionalFormatting>
  <conditionalFormatting sqref="Y298">
    <cfRule type="containsText" dxfId="1" priority="1297" operator="between" text="欠">
      <formula>NOT(ISERROR(SEARCH("欠",Y298)))</formula>
    </cfRule>
  </conditionalFormatting>
  <conditionalFormatting sqref="W299">
    <cfRule type="containsText" dxfId="1" priority="1342" operator="between" text="欠">
      <formula>NOT(ISERROR(SEARCH("欠",W299)))</formula>
    </cfRule>
  </conditionalFormatting>
  <conditionalFormatting sqref="Y299">
    <cfRule type="containsText" dxfId="1" priority="1337" operator="between" text="欠">
      <formula>NOT(ISERROR(SEARCH("欠",Y299)))</formula>
    </cfRule>
  </conditionalFormatting>
  <conditionalFormatting sqref="W300">
    <cfRule type="containsText" dxfId="1" priority="1341" operator="between" text="欠">
      <formula>NOT(ISERROR(SEARCH("欠",W300)))</formula>
    </cfRule>
  </conditionalFormatting>
  <conditionalFormatting sqref="Y300">
    <cfRule type="containsText" dxfId="1" priority="1336" operator="between" text="欠">
      <formula>NOT(ISERROR(SEARCH("欠",Y300)))</formula>
    </cfRule>
  </conditionalFormatting>
  <conditionalFormatting sqref="W301">
    <cfRule type="containsText" dxfId="1" priority="1340" operator="between" text="欠">
      <formula>NOT(ISERROR(SEARCH("欠",W301)))</formula>
    </cfRule>
  </conditionalFormatting>
  <conditionalFormatting sqref="Y301">
    <cfRule type="containsText" dxfId="1" priority="1335" operator="between" text="欠">
      <formula>NOT(ISERROR(SEARCH("欠",Y301)))</formula>
    </cfRule>
  </conditionalFormatting>
  <conditionalFormatting sqref="W302">
    <cfRule type="containsText" dxfId="1" priority="1339" operator="between" text="欠">
      <formula>NOT(ISERROR(SEARCH("欠",W302)))</formula>
    </cfRule>
  </conditionalFormatting>
  <conditionalFormatting sqref="Y302">
    <cfRule type="containsText" dxfId="1" priority="1334" operator="between" text="欠">
      <formula>NOT(ISERROR(SEARCH("欠",Y302)))</formula>
    </cfRule>
  </conditionalFormatting>
  <conditionalFormatting sqref="W303">
    <cfRule type="containsText" dxfId="1" priority="1338" operator="between" text="欠">
      <formula>NOT(ISERROR(SEARCH("欠",W303)))</formula>
    </cfRule>
  </conditionalFormatting>
  <conditionalFormatting sqref="Y303">
    <cfRule type="containsText" dxfId="1" priority="1333" operator="between" text="欠">
      <formula>NOT(ISERROR(SEARCH("欠",Y303)))</formula>
    </cfRule>
  </conditionalFormatting>
  <conditionalFormatting sqref="W304">
    <cfRule type="containsText" dxfId="1" priority="1363" operator="between" text="欠">
      <formula>NOT(ISERROR(SEARCH("欠",W304)))</formula>
    </cfRule>
  </conditionalFormatting>
  <conditionalFormatting sqref="Y304">
    <cfRule type="containsText" dxfId="1" priority="1357" operator="between" text="欠">
      <formula>NOT(ISERROR(SEARCH("欠",Y304)))</formula>
    </cfRule>
  </conditionalFormatting>
  <conditionalFormatting sqref="V306">
    <cfRule type="containsText" dxfId="1" priority="1548" operator="between" text="欠">
      <formula>NOT(ISERROR(SEARCH("欠",V306)))</formula>
    </cfRule>
  </conditionalFormatting>
  <conditionalFormatting sqref="X310">
    <cfRule type="containsText" dxfId="1" priority="1259" operator="between" text="欠">
      <formula>NOT(ISERROR(SEARCH("欠",X310)))</formula>
    </cfRule>
  </conditionalFormatting>
  <conditionalFormatting sqref="V312">
    <cfRule type="containsText" dxfId="1" priority="1574" operator="between" text="欠">
      <formula>NOT(ISERROR(SEARCH("欠",V312)))</formula>
    </cfRule>
  </conditionalFormatting>
  <conditionalFormatting sqref="W312:X312">
    <cfRule type="containsText" dxfId="1" priority="1575" operator="between" text="欠">
      <formula>NOT(ISERROR(SEARCH("欠",W312)))</formula>
    </cfRule>
  </conditionalFormatting>
  <conditionalFormatting sqref="V313">
    <cfRule type="containsText" dxfId="1" priority="1274" operator="between" text="欠">
      <formula>NOT(ISERROR(SEARCH("欠",V313)))</formula>
    </cfRule>
  </conditionalFormatting>
  <conditionalFormatting sqref="V328">
    <cfRule type="containsText" dxfId="1" priority="1540" operator="between" text="欠">
      <formula>NOT(ISERROR(SEARCH("欠",V328)))</formula>
    </cfRule>
  </conditionalFormatting>
  <conditionalFormatting sqref="V329">
    <cfRule type="containsText" dxfId="1" priority="1484" operator="between" text="欠">
      <formula>NOT(ISERROR(SEARCH("欠",V329)))</formula>
    </cfRule>
  </conditionalFormatting>
  <conditionalFormatting sqref="X329">
    <cfRule type="containsText" dxfId="1" priority="1483" operator="between" text="欠">
      <formula>NOT(ISERROR(SEARCH("欠",X329)))</formula>
    </cfRule>
  </conditionalFormatting>
  <conditionalFormatting sqref="W331">
    <cfRule type="containsText" dxfId="1" priority="1273" operator="between" text="欠">
      <formula>NOT(ISERROR(SEARCH("欠",W331)))</formula>
    </cfRule>
  </conditionalFormatting>
  <conditionalFormatting sqref="Y331">
    <cfRule type="containsText" dxfId="1" priority="1272" operator="between" text="欠">
      <formula>NOT(ISERROR(SEARCH("欠",Y331)))</formula>
    </cfRule>
  </conditionalFormatting>
  <conditionalFormatting sqref="V332">
    <cfRule type="containsText" dxfId="1" priority="1442" operator="between" text="欠">
      <formula>NOT(ISERROR(SEARCH("欠",V332)))</formula>
    </cfRule>
  </conditionalFormatting>
  <conditionalFormatting sqref="W332">
    <cfRule type="containsText" dxfId="1" priority="1452" operator="between" text="欠">
      <formula>NOT(ISERROR(SEARCH("欠",W332)))</formula>
    </cfRule>
  </conditionalFormatting>
  <conditionalFormatting sqref="X332">
    <cfRule type="containsText" dxfId="1" priority="1441" operator="between" text="欠">
      <formula>NOT(ISERROR(SEARCH("欠",X332)))</formula>
    </cfRule>
  </conditionalFormatting>
  <conditionalFormatting sqref="Y332">
    <cfRule type="containsText" dxfId="1" priority="1451" operator="between" text="欠">
      <formula>NOT(ISERROR(SEARCH("欠",Y332)))</formula>
    </cfRule>
  </conditionalFormatting>
  <conditionalFormatting sqref="X334">
    <cfRule type="containsText" dxfId="1" priority="1251" operator="between" text="欠">
      <formula>NOT(ISERROR(SEARCH("欠",X334)))</formula>
    </cfRule>
  </conditionalFormatting>
  <conditionalFormatting sqref="V337">
    <cfRule type="containsText" dxfId="1" priority="1266" operator="between" text="欠">
      <formula>NOT(ISERROR(SEARCH("欠",V337)))</formula>
    </cfRule>
  </conditionalFormatting>
  <conditionalFormatting sqref="W337">
    <cfRule type="containsText" dxfId="1" priority="1269" operator="between" text="欠">
      <formula>NOT(ISERROR(SEARCH("欠",W337)))</formula>
    </cfRule>
  </conditionalFormatting>
  <conditionalFormatting sqref="X337">
    <cfRule type="containsText" dxfId="1" priority="1267" operator="between" text="欠">
      <formula>NOT(ISERROR(SEARCH("欠",X337)))</formula>
    </cfRule>
  </conditionalFormatting>
  <conditionalFormatting sqref="Y337">
    <cfRule type="containsText" dxfId="1" priority="1268" operator="between" text="欠">
      <formula>NOT(ISERROR(SEARCH("欠",Y337)))</formula>
    </cfRule>
  </conditionalFormatting>
  <conditionalFormatting sqref="V338">
    <cfRule type="containsText" dxfId="1" priority="1249" operator="between" text="欠">
      <formula>NOT(ISERROR(SEARCH("欠",V338)))</formula>
    </cfRule>
  </conditionalFormatting>
  <conditionalFormatting sqref="X341">
    <cfRule type="containsText" dxfId="1" priority="1223" operator="between" text="欠">
      <formula>NOT(ISERROR(SEARCH("欠",X341)))</formula>
    </cfRule>
  </conditionalFormatting>
  <conditionalFormatting sqref="V344">
    <cfRule type="containsText" dxfId="1" priority="1262" operator="between" text="欠">
      <formula>NOT(ISERROR(SEARCH("欠",V344)))</formula>
    </cfRule>
  </conditionalFormatting>
  <conditionalFormatting sqref="V345">
    <cfRule type="containsText" dxfId="1" priority="1275" operator="between" text="欠">
      <formula>NOT(ISERROR(SEARCH("欠",V345)))</formula>
    </cfRule>
  </conditionalFormatting>
  <conditionalFormatting sqref="W345">
    <cfRule type="containsText" dxfId="1" priority="1278" operator="between" text="欠">
      <formula>NOT(ISERROR(SEARCH("欠",W345)))</formula>
    </cfRule>
  </conditionalFormatting>
  <conditionalFormatting sqref="X345">
    <cfRule type="containsText" dxfId="1" priority="1276" operator="between" text="欠">
      <formula>NOT(ISERROR(SEARCH("欠",X345)))</formula>
    </cfRule>
  </conditionalFormatting>
  <conditionalFormatting sqref="Y345">
    <cfRule type="containsText" dxfId="1" priority="1277" operator="between" text="欠">
      <formula>NOT(ISERROR(SEARCH("欠",Y345)))</formula>
    </cfRule>
  </conditionalFormatting>
  <conditionalFormatting sqref="W357">
    <cfRule type="containsText" dxfId="1" priority="1207" operator="between" text="欠">
      <formula>NOT(ISERROR(SEARCH("欠",W357)))</formula>
    </cfRule>
  </conditionalFormatting>
  <conditionalFormatting sqref="W358">
    <cfRule type="containsText" dxfId="1" priority="1206" operator="between" text="欠">
      <formula>NOT(ISERROR(SEARCH("欠",W358)))</formula>
    </cfRule>
  </conditionalFormatting>
  <conditionalFormatting sqref="W359">
    <cfRule type="containsText" dxfId="1" priority="1205" operator="between" text="欠">
      <formula>NOT(ISERROR(SEARCH("欠",W359)))</formula>
    </cfRule>
  </conditionalFormatting>
  <conditionalFormatting sqref="W360">
    <cfRule type="containsText" dxfId="1" priority="1204" operator="between" text="欠">
      <formula>NOT(ISERROR(SEARCH("欠",W360)))</formula>
    </cfRule>
  </conditionalFormatting>
  <conditionalFormatting sqref="V365">
    <cfRule type="containsText" dxfId="1" priority="1210" operator="between" text="欠">
      <formula>NOT(ISERROR(SEARCH("欠",V365)))</formula>
    </cfRule>
  </conditionalFormatting>
  <conditionalFormatting sqref="W365:Y365">
    <cfRule type="containsText" dxfId="1" priority="1211" operator="between" text="欠">
      <formula>NOT(ISERROR(SEARCH("欠",W365)))</formula>
    </cfRule>
  </conditionalFormatting>
  <conditionalFormatting sqref="V366">
    <cfRule type="containsText" dxfId="1" priority="1252" operator="between" text="欠">
      <formula>NOT(ISERROR(SEARCH("欠",V366)))</formula>
    </cfRule>
  </conditionalFormatting>
  <conditionalFormatting sqref="W366">
    <cfRule type="containsText" dxfId="1" priority="1254" operator="between" text="欠">
      <formula>NOT(ISERROR(SEARCH("欠",W366)))</formula>
    </cfRule>
  </conditionalFormatting>
  <conditionalFormatting sqref="X366">
    <cfRule type="containsText" dxfId="1" priority="1250" operator="between" text="欠">
      <formula>NOT(ISERROR(SEARCH("欠",X366)))</formula>
    </cfRule>
  </conditionalFormatting>
  <conditionalFormatting sqref="Y366">
    <cfRule type="containsText" dxfId="1" priority="1253" operator="between" text="欠">
      <formula>NOT(ISERROR(SEARCH("欠",Y366)))</formula>
    </cfRule>
  </conditionalFormatting>
  <conditionalFormatting sqref="V371">
    <cfRule type="containsText" dxfId="1" priority="1212" operator="between" text="欠">
      <formula>NOT(ISERROR(SEARCH("欠",V371)))</formula>
    </cfRule>
  </conditionalFormatting>
  <conditionalFormatting sqref="X371">
    <cfRule type="containsText" dxfId="1" priority="1241" operator="between" text="欠">
      <formula>NOT(ISERROR(SEARCH("欠",X371)))</formula>
    </cfRule>
  </conditionalFormatting>
  <conditionalFormatting sqref="W373">
    <cfRule type="containsText" dxfId="1" priority="1196" operator="between" text="欠">
      <formula>NOT(ISERROR(SEARCH("欠",W373)))</formula>
    </cfRule>
  </conditionalFormatting>
  <conditionalFormatting sqref="W374">
    <cfRule type="containsText" dxfId="1" priority="1195" operator="between" text="欠">
      <formula>NOT(ISERROR(SEARCH("欠",W374)))</formula>
    </cfRule>
  </conditionalFormatting>
  <conditionalFormatting sqref="W375">
    <cfRule type="containsText" dxfId="1" priority="1194" operator="between" text="欠">
      <formula>NOT(ISERROR(SEARCH("欠",W375)))</formula>
    </cfRule>
  </conditionalFormatting>
  <conditionalFormatting sqref="W376">
    <cfRule type="containsText" dxfId="1" priority="1193" operator="between" text="欠">
      <formula>NOT(ISERROR(SEARCH("欠",W376)))</formula>
    </cfRule>
  </conditionalFormatting>
  <conditionalFormatting sqref="W377">
    <cfRule type="containsText" dxfId="1" priority="1192" operator="between" text="欠">
      <formula>NOT(ISERROR(SEARCH("欠",W377)))</formula>
    </cfRule>
  </conditionalFormatting>
  <conditionalFormatting sqref="W378">
    <cfRule type="containsText" dxfId="1" priority="1191" operator="between" text="欠">
      <formula>NOT(ISERROR(SEARCH("欠",W378)))</formula>
    </cfRule>
  </conditionalFormatting>
  <conditionalFormatting sqref="W379">
    <cfRule type="containsText" dxfId="1" priority="1183" operator="between" text="欠">
      <formula>NOT(ISERROR(SEARCH("欠",W379)))</formula>
    </cfRule>
  </conditionalFormatting>
  <conditionalFormatting sqref="W380">
    <cfRule type="containsText" dxfId="1" priority="1173" operator="between" text="欠">
      <formula>NOT(ISERROR(SEARCH("欠",W380)))</formula>
    </cfRule>
  </conditionalFormatting>
  <conditionalFormatting sqref="W381">
    <cfRule type="containsText" dxfId="1" priority="1172" operator="between" text="欠">
      <formula>NOT(ISERROR(SEARCH("欠",W381)))</formula>
    </cfRule>
  </conditionalFormatting>
  <conditionalFormatting sqref="W382">
    <cfRule type="containsText" dxfId="1" priority="1171" operator="between" text="欠">
      <formula>NOT(ISERROR(SEARCH("欠",W382)))</formula>
    </cfRule>
  </conditionalFormatting>
  <conditionalFormatting sqref="W383">
    <cfRule type="containsText" dxfId="1" priority="1170" operator="between" text="欠">
      <formula>NOT(ISERROR(SEARCH("欠",W383)))</formula>
    </cfRule>
  </conditionalFormatting>
  <conditionalFormatting sqref="W384">
    <cfRule type="containsText" dxfId="1" priority="1169" operator="between" text="欠">
      <formula>NOT(ISERROR(SEARCH("欠",W384)))</formula>
    </cfRule>
  </conditionalFormatting>
  <conditionalFormatting sqref="W385">
    <cfRule type="containsText" dxfId="1" priority="1168" operator="between" text="欠">
      <formula>NOT(ISERROR(SEARCH("欠",W385)))</formula>
    </cfRule>
  </conditionalFormatting>
  <conditionalFormatting sqref="W386">
    <cfRule type="containsText" dxfId="1" priority="1167" operator="between" text="欠">
      <formula>NOT(ISERROR(SEARCH("欠",W386)))</formula>
    </cfRule>
  </conditionalFormatting>
  <conditionalFormatting sqref="W387">
    <cfRule type="containsText" dxfId="1" priority="1166" operator="between" text="欠">
      <formula>NOT(ISERROR(SEARCH("欠",W387)))</formula>
    </cfRule>
  </conditionalFormatting>
  <conditionalFormatting sqref="O388">
    <cfRule type="containsText" dxfId="1" priority="1109" operator="between" text="欠">
      <formula>NOT(ISERROR(SEARCH("欠",O388)))</formula>
    </cfRule>
  </conditionalFormatting>
  <conditionalFormatting sqref="X389">
    <cfRule type="containsText" dxfId="1" priority="1221" operator="between" text="欠">
      <formula>NOT(ISERROR(SEARCH("欠",X389)))</formula>
    </cfRule>
  </conditionalFormatting>
  <conditionalFormatting sqref="V390">
    <cfRule type="containsText" dxfId="1" priority="975" operator="between" text="欠">
      <formula>NOT(ISERROR(SEARCH("欠",V390)))</formula>
    </cfRule>
  </conditionalFormatting>
  <conditionalFormatting sqref="X391">
    <cfRule type="containsText" dxfId="1" priority="1134" operator="between" text="欠">
      <formula>NOT(ISERROR(SEARCH("欠",X391)))</formula>
    </cfRule>
  </conditionalFormatting>
  <conditionalFormatting sqref="W396">
    <cfRule type="containsText" dxfId="1" priority="1128" operator="between" text="欠">
      <formula>NOT(ISERROR(SEARCH("欠",W396)))</formula>
    </cfRule>
  </conditionalFormatting>
  <conditionalFormatting sqref="V398">
    <cfRule type="containsText" dxfId="1" priority="1116" operator="between" text="欠">
      <formula>NOT(ISERROR(SEARCH("欠",V398)))</formula>
    </cfRule>
  </conditionalFormatting>
  <conditionalFormatting sqref="W398">
    <cfRule type="containsText" dxfId="1" priority="1227" operator="between" text="欠">
      <formula>NOT(ISERROR(SEARCH("欠",W398)))</formula>
    </cfRule>
  </conditionalFormatting>
  <conditionalFormatting sqref="X398">
    <cfRule type="containsText" dxfId="1" priority="1226" operator="between" text="欠">
      <formula>NOT(ISERROR(SEARCH("欠",X398)))</formula>
    </cfRule>
  </conditionalFormatting>
  <conditionalFormatting sqref="Y398">
    <cfRule type="containsText" dxfId="1" priority="1228" operator="between" text="欠">
      <formula>NOT(ISERROR(SEARCH("欠",Y398)))</formula>
    </cfRule>
  </conditionalFormatting>
  <conditionalFormatting sqref="W399">
    <cfRule type="containsText" dxfId="1" priority="1006" operator="between" text="欠">
      <formula>NOT(ISERROR(SEARCH("欠",W399)))</formula>
    </cfRule>
  </conditionalFormatting>
  <conditionalFormatting sqref="X399">
    <cfRule type="containsText" dxfId="1" priority="1004" operator="between" text="欠">
      <formula>NOT(ISERROR(SEARCH("欠",X399)))</formula>
    </cfRule>
  </conditionalFormatting>
  <conditionalFormatting sqref="Y399">
    <cfRule type="containsText" dxfId="1" priority="1086" operator="between" text="欠">
      <formula>NOT(ISERROR(SEARCH("欠",Y399)))</formula>
    </cfRule>
  </conditionalFormatting>
  <conditionalFormatting sqref="V400">
    <cfRule type="containsText" dxfId="1" priority="1214" operator="between" text="欠">
      <formula>NOT(ISERROR(SEARCH("欠",V400)))</formula>
    </cfRule>
  </conditionalFormatting>
  <conditionalFormatting sqref="W400">
    <cfRule type="containsText" dxfId="1" priority="1215" operator="between" text="欠">
      <formula>NOT(ISERROR(SEARCH("欠",W400)))</formula>
    </cfRule>
  </conditionalFormatting>
  <conditionalFormatting sqref="X400">
    <cfRule type="containsText" dxfId="1" priority="1213" operator="between" text="欠">
      <formula>NOT(ISERROR(SEARCH("欠",X400)))</formula>
    </cfRule>
  </conditionalFormatting>
  <conditionalFormatting sqref="Y400">
    <cfRule type="containsText" dxfId="1" priority="1232" operator="between" text="欠">
      <formula>NOT(ISERROR(SEARCH("欠",Y400)))</formula>
    </cfRule>
  </conditionalFormatting>
  <conditionalFormatting sqref="V406">
    <cfRule type="containsText" dxfId="1" priority="1217" operator="between" text="欠">
      <formula>NOT(ISERROR(SEARCH("欠",V406)))</formula>
    </cfRule>
  </conditionalFormatting>
  <conditionalFormatting sqref="W406">
    <cfRule type="containsText" dxfId="1" priority="1218" operator="between" text="欠">
      <formula>NOT(ISERROR(SEARCH("欠",W406)))</formula>
    </cfRule>
  </conditionalFormatting>
  <conditionalFormatting sqref="X406">
    <cfRule type="containsText" dxfId="1" priority="1216" operator="between" text="欠">
      <formula>NOT(ISERROR(SEARCH("欠",X406)))</formula>
    </cfRule>
  </conditionalFormatting>
  <conditionalFormatting sqref="X418">
    <cfRule type="containsText" dxfId="1" priority="1115" operator="between" text="欠">
      <formula>NOT(ISERROR(SEARCH("欠",X418)))</formula>
    </cfRule>
  </conditionalFormatting>
  <conditionalFormatting sqref="Y418">
    <cfRule type="containsText" dxfId="1" priority="1148" operator="between" text="欠">
      <formula>NOT(ISERROR(SEARCH("欠",Y418)))</formula>
    </cfRule>
  </conditionalFormatting>
  <conditionalFormatting sqref="V421">
    <cfRule type="containsText" dxfId="1" priority="1096" operator="between" text="欠">
      <formula>NOT(ISERROR(SEARCH("欠",V421)))</formula>
    </cfRule>
  </conditionalFormatting>
  <conditionalFormatting sqref="W421">
    <cfRule type="containsText" dxfId="1" priority="1095" operator="between" text="欠">
      <formula>NOT(ISERROR(SEARCH("欠",W421)))</formula>
    </cfRule>
  </conditionalFormatting>
  <conditionalFormatting sqref="X421">
    <cfRule type="containsText" dxfId="1" priority="976" operator="between" text="欠">
      <formula>NOT(ISERROR(SEARCH("欠",X421)))</formula>
    </cfRule>
  </conditionalFormatting>
  <conditionalFormatting sqref="V422">
    <cfRule type="containsText" dxfId="1" priority="1001" operator="between" text="欠">
      <formula>NOT(ISERROR(SEARCH("欠",V422)))</formula>
    </cfRule>
  </conditionalFormatting>
  <conditionalFormatting sqref="W422">
    <cfRule type="containsText" dxfId="1" priority="1003" operator="between" text="欠">
      <formula>NOT(ISERROR(SEARCH("欠",W422)))</formula>
    </cfRule>
  </conditionalFormatting>
  <conditionalFormatting sqref="X422">
    <cfRule type="containsText" dxfId="1" priority="926" operator="between" text="欠">
      <formula>NOT(ISERROR(SEARCH("欠",X422)))</formula>
    </cfRule>
  </conditionalFormatting>
  <conditionalFormatting sqref="W423">
    <cfRule type="containsText" dxfId="1" priority="1012" operator="between" text="欠">
      <formula>NOT(ISERROR(SEARCH("欠",W423)))</formula>
    </cfRule>
  </conditionalFormatting>
  <conditionalFormatting sqref="X423">
    <cfRule type="containsText" dxfId="1" priority="1010" operator="between" text="欠">
      <formula>NOT(ISERROR(SEARCH("欠",X423)))</formula>
    </cfRule>
  </conditionalFormatting>
  <conditionalFormatting sqref="Y423">
    <cfRule type="containsText" dxfId="1" priority="939" operator="between" text="欠">
      <formula>NOT(ISERROR(SEARCH("欠",Y423)))</formula>
    </cfRule>
  </conditionalFormatting>
  <conditionalFormatting sqref="W424">
    <cfRule type="containsText" dxfId="1" priority="1145" operator="between" text="欠">
      <formula>NOT(ISERROR(SEARCH("欠",W424)))</formula>
    </cfRule>
  </conditionalFormatting>
  <conditionalFormatting sqref="X424">
    <cfRule type="containsText" dxfId="1" priority="1143" operator="between" text="欠">
      <formula>NOT(ISERROR(SEARCH("欠",X424)))</formula>
    </cfRule>
  </conditionalFormatting>
  <conditionalFormatting sqref="Y424">
    <cfRule type="containsText" dxfId="1" priority="1144" operator="between" text="欠">
      <formula>NOT(ISERROR(SEARCH("欠",Y424)))</formula>
    </cfRule>
  </conditionalFormatting>
  <conditionalFormatting sqref="W441">
    <cfRule type="containsText" dxfId="1" priority="1131" operator="between" text="欠">
      <formula>NOT(ISERROR(SEARCH("欠",W441)))</formula>
    </cfRule>
  </conditionalFormatting>
  <conditionalFormatting sqref="Y441">
    <cfRule type="containsText" dxfId="1" priority="1132" operator="between" text="欠">
      <formula>NOT(ISERROR(SEARCH("欠",Y441)))</formula>
    </cfRule>
  </conditionalFormatting>
  <conditionalFormatting sqref="V448">
    <cfRule type="containsText" dxfId="1" priority="1111" operator="between" text="欠">
      <formula>NOT(ISERROR(SEARCH("欠",V448)))</formula>
    </cfRule>
  </conditionalFormatting>
  <conditionalFormatting sqref="W448">
    <cfRule type="containsText" dxfId="1" priority="1113" operator="between" text="欠">
      <formula>NOT(ISERROR(SEARCH("欠",W448)))</formula>
    </cfRule>
  </conditionalFormatting>
  <conditionalFormatting sqref="X448">
    <cfRule type="containsText" dxfId="1" priority="1110" operator="between" text="欠">
      <formula>NOT(ISERROR(SEARCH("欠",X448)))</formula>
    </cfRule>
  </conditionalFormatting>
  <conditionalFormatting sqref="Y448">
    <cfRule type="containsText" dxfId="1" priority="1114" operator="between" text="欠">
      <formula>NOT(ISERROR(SEARCH("欠",Y448)))</formula>
    </cfRule>
  </conditionalFormatting>
  <conditionalFormatting sqref="V449">
    <cfRule type="containsText" dxfId="1" priority="991" operator="between" text="欠">
      <formula>NOT(ISERROR(SEARCH("欠",V449)))</formula>
    </cfRule>
  </conditionalFormatting>
  <conditionalFormatting sqref="W449">
    <cfRule type="containsText" dxfId="1" priority="992" operator="between" text="欠">
      <formula>NOT(ISERROR(SEARCH("欠",W449)))</formula>
    </cfRule>
  </conditionalFormatting>
  <conditionalFormatting sqref="X449">
    <cfRule type="containsText" dxfId="1" priority="990" operator="between" text="欠">
      <formula>NOT(ISERROR(SEARCH("欠",X449)))</formula>
    </cfRule>
  </conditionalFormatting>
  <conditionalFormatting sqref="Y451">
    <cfRule type="containsText" dxfId="1" priority="1084" operator="between" text="欠">
      <formula>NOT(ISERROR(SEARCH("欠",Y451)))</formula>
    </cfRule>
  </conditionalFormatting>
  <conditionalFormatting sqref="Y452">
    <cfRule type="containsText" dxfId="1" priority="1083" operator="between" text="欠">
      <formula>NOT(ISERROR(SEARCH("欠",Y452)))</formula>
    </cfRule>
  </conditionalFormatting>
  <conditionalFormatting sqref="V456">
    <cfRule type="containsText" dxfId="1" priority="945" operator="between" text="欠">
      <formula>NOT(ISERROR(SEARCH("欠",V456)))</formula>
    </cfRule>
  </conditionalFormatting>
  <conditionalFormatting sqref="W456">
    <cfRule type="containsText" dxfId="1" priority="946" operator="between" text="欠">
      <formula>NOT(ISERROR(SEARCH("欠",W456)))</formula>
    </cfRule>
  </conditionalFormatting>
  <conditionalFormatting sqref="X456">
    <cfRule type="containsText" dxfId="1" priority="944" operator="between" text="欠">
      <formula>NOT(ISERROR(SEARCH("欠",X456)))</formula>
    </cfRule>
  </conditionalFormatting>
  <conditionalFormatting sqref="Y456">
    <cfRule type="containsText" dxfId="1" priority="974" operator="between" text="欠">
      <formula>NOT(ISERROR(SEARCH("欠",Y456)))</formula>
    </cfRule>
  </conditionalFormatting>
  <conditionalFormatting sqref="Y457">
    <cfRule type="containsText" dxfId="1" priority="970" operator="between" text="欠">
      <formula>NOT(ISERROR(SEARCH("欠",Y457)))</formula>
    </cfRule>
  </conditionalFormatting>
  <conditionalFormatting sqref="Y458">
    <cfRule type="containsText" dxfId="1" priority="966" operator="between" text="欠">
      <formula>NOT(ISERROR(SEARCH("欠",Y458)))</formula>
    </cfRule>
  </conditionalFormatting>
  <conditionalFormatting sqref="Y459">
    <cfRule type="containsText" dxfId="1" priority="962" operator="between" text="欠">
      <formula>NOT(ISERROR(SEARCH("欠",Y459)))</formula>
    </cfRule>
  </conditionalFormatting>
  <conditionalFormatting sqref="Y460">
    <cfRule type="containsText" dxfId="1" priority="958" operator="between" text="欠">
      <formula>NOT(ISERROR(SEARCH("欠",Y460)))</formula>
    </cfRule>
  </conditionalFormatting>
  <conditionalFormatting sqref="Y462">
    <cfRule type="containsText" dxfId="1" priority="993" operator="between" text="欠">
      <formula>NOT(ISERROR(SEARCH("欠",Y462)))</formula>
    </cfRule>
  </conditionalFormatting>
  <conditionalFormatting sqref="V463">
    <cfRule type="containsText" dxfId="1" priority="929" operator="between" text="欠">
      <formula>NOT(ISERROR(SEARCH("欠",V463)))</formula>
    </cfRule>
  </conditionalFormatting>
  <conditionalFormatting sqref="V464">
    <cfRule type="containsText" dxfId="1" priority="1008" operator="between" text="欠">
      <formula>NOT(ISERROR(SEARCH("欠",V464)))</formula>
    </cfRule>
  </conditionalFormatting>
  <conditionalFormatting sqref="W464">
    <cfRule type="containsText" dxfId="1" priority="1009" operator="between" text="欠">
      <formula>NOT(ISERROR(SEARCH("欠",W464)))</formula>
    </cfRule>
  </conditionalFormatting>
  <conditionalFormatting sqref="X464">
    <cfRule type="containsText" dxfId="1" priority="1007" operator="between" text="欠">
      <formula>NOT(ISERROR(SEARCH("欠",X464)))</formula>
    </cfRule>
  </conditionalFormatting>
  <conditionalFormatting sqref="Y464">
    <cfRule type="containsText" dxfId="1" priority="938" operator="between" text="欠">
      <formula>NOT(ISERROR(SEARCH("欠",Y464)))</formula>
    </cfRule>
  </conditionalFormatting>
  <conditionalFormatting sqref="W470">
    <cfRule type="containsText" dxfId="1" priority="1505" operator="between" text="欠">
      <formula>NOT(ISERROR(SEARCH("欠",W470)))</formula>
    </cfRule>
  </conditionalFormatting>
  <conditionalFormatting sqref="V474">
    <cfRule type="containsText" dxfId="1" priority="924" operator="between" text="欠">
      <formula>NOT(ISERROR(SEARCH("欠",V474)))</formula>
    </cfRule>
  </conditionalFormatting>
  <conditionalFormatting sqref="W474">
    <cfRule type="containsText" dxfId="1" priority="925" operator="between" text="欠">
      <formula>NOT(ISERROR(SEARCH("欠",W474)))</formula>
    </cfRule>
  </conditionalFormatting>
  <conditionalFormatting sqref="X474">
    <cfRule type="containsText" dxfId="1" priority="884" operator="between" text="欠">
      <formula>NOT(ISERROR(SEARCH("欠",X474)))</formula>
    </cfRule>
  </conditionalFormatting>
  <conditionalFormatting sqref="Y474">
    <cfRule type="containsText" dxfId="1" priority="922" operator="between" text="欠">
      <formula>NOT(ISERROR(SEARCH("欠",Y474)))</formula>
    </cfRule>
  </conditionalFormatting>
  <conditionalFormatting sqref="V476">
    <cfRule type="containsText" dxfId="1" priority="978" operator="between" text="欠">
      <formula>NOT(ISERROR(SEARCH("欠",V476)))</formula>
    </cfRule>
  </conditionalFormatting>
  <conditionalFormatting sqref="X476">
    <cfRule type="containsText" dxfId="1" priority="977" operator="between" text="欠">
      <formula>NOT(ISERROR(SEARCH("欠",X476)))</formula>
    </cfRule>
  </conditionalFormatting>
  <conditionalFormatting sqref="V477">
    <cfRule type="containsText" dxfId="1" priority="984" operator="between" text="欠">
      <formula>NOT(ISERROR(SEARCH("欠",V477)))</formula>
    </cfRule>
  </conditionalFormatting>
  <conditionalFormatting sqref="W477">
    <cfRule type="containsText" dxfId="1" priority="985" operator="between" text="欠">
      <formula>NOT(ISERROR(SEARCH("欠",W477)))</formula>
    </cfRule>
  </conditionalFormatting>
  <conditionalFormatting sqref="X477">
    <cfRule type="containsText" dxfId="1" priority="983" operator="between" text="欠">
      <formula>NOT(ISERROR(SEARCH("欠",X477)))</formula>
    </cfRule>
  </conditionalFormatting>
  <conditionalFormatting sqref="V478">
    <cfRule type="containsText" dxfId="1" priority="981" operator="between" text="欠">
      <formula>NOT(ISERROR(SEARCH("欠",V478)))</formula>
    </cfRule>
  </conditionalFormatting>
  <conditionalFormatting sqref="Y478">
    <cfRule type="containsText" dxfId="1" priority="895" operator="between" text="欠">
      <formula>NOT(ISERROR(SEARCH("欠",Y478)))</formula>
    </cfRule>
  </conditionalFormatting>
  <conditionalFormatting sqref="W479">
    <cfRule type="containsText" dxfId="1" priority="771" operator="between" text="欠">
      <formula>NOT(ISERROR(SEARCH("欠",W479)))</formula>
    </cfRule>
  </conditionalFormatting>
  <conditionalFormatting sqref="Y479">
    <cfRule type="containsText" dxfId="1" priority="775" operator="between" text="欠">
      <formula>NOT(ISERROR(SEARCH("欠",Y479)))</formula>
    </cfRule>
  </conditionalFormatting>
  <conditionalFormatting sqref="W480">
    <cfRule type="containsText" dxfId="1" priority="770" operator="between" text="欠">
      <formula>NOT(ISERROR(SEARCH("欠",W480)))</formula>
    </cfRule>
  </conditionalFormatting>
  <conditionalFormatting sqref="Y480">
    <cfRule type="containsText" dxfId="1" priority="774" operator="between" text="欠">
      <formula>NOT(ISERROR(SEARCH("欠",Y480)))</formula>
    </cfRule>
  </conditionalFormatting>
  <conditionalFormatting sqref="W481">
    <cfRule type="containsText" dxfId="1" priority="769" operator="between" text="欠">
      <formula>NOT(ISERROR(SEARCH("欠",W481)))</formula>
    </cfRule>
  </conditionalFormatting>
  <conditionalFormatting sqref="Y481">
    <cfRule type="containsText" dxfId="1" priority="773" operator="between" text="欠">
      <formula>NOT(ISERROR(SEARCH("欠",Y481)))</formula>
    </cfRule>
  </conditionalFormatting>
  <conditionalFormatting sqref="W482">
    <cfRule type="containsText" dxfId="1" priority="768" operator="between" text="欠">
      <formula>NOT(ISERROR(SEARCH("欠",W482)))</formula>
    </cfRule>
  </conditionalFormatting>
  <conditionalFormatting sqref="Y482">
    <cfRule type="containsText" dxfId="1" priority="772" operator="between" text="欠">
      <formula>NOT(ISERROR(SEARCH("欠",Y482)))</formula>
    </cfRule>
  </conditionalFormatting>
  <conditionalFormatting sqref="V483">
    <cfRule type="containsText" dxfId="1" priority="921" operator="between" text="欠">
      <formula>NOT(ISERROR(SEARCH("欠",V483)))</formula>
    </cfRule>
  </conditionalFormatting>
  <conditionalFormatting sqref="W483">
    <cfRule type="containsText" dxfId="1" priority="989" operator="between" text="欠">
      <formula>NOT(ISERROR(SEARCH("欠",W483)))</formula>
    </cfRule>
  </conditionalFormatting>
  <conditionalFormatting sqref="X483">
    <cfRule type="containsText" dxfId="1" priority="987" operator="between" text="欠">
      <formula>NOT(ISERROR(SEARCH("欠",X483)))</formula>
    </cfRule>
  </conditionalFormatting>
  <conditionalFormatting sqref="Y483">
    <cfRule type="containsText" dxfId="1" priority="986" operator="between" text="欠">
      <formula>NOT(ISERROR(SEARCH("欠",Y483)))</formula>
    </cfRule>
  </conditionalFormatting>
  <conditionalFormatting sqref="V484">
    <cfRule type="containsText" dxfId="1" priority="928" operator="between" text="欠">
      <formula>NOT(ISERROR(SEARCH("欠",V484)))</formula>
    </cfRule>
  </conditionalFormatting>
  <conditionalFormatting sqref="W484">
    <cfRule type="containsText" dxfId="1" priority="936" operator="between" text="欠">
      <formula>NOT(ISERROR(SEARCH("欠",W484)))</formula>
    </cfRule>
  </conditionalFormatting>
  <conditionalFormatting sqref="X484">
    <cfRule type="containsText" dxfId="1" priority="927" operator="between" text="欠">
      <formula>NOT(ISERROR(SEARCH("欠",X484)))</formula>
    </cfRule>
  </conditionalFormatting>
  <conditionalFormatting sqref="Y484">
    <cfRule type="containsText" dxfId="1" priority="937" operator="between" text="欠">
      <formula>NOT(ISERROR(SEARCH("欠",Y484)))</formula>
    </cfRule>
  </conditionalFormatting>
  <conditionalFormatting sqref="Y488">
    <cfRule type="containsText" dxfId="1" priority="979" operator="between" text="欠">
      <formula>NOT(ISERROR(SEARCH("欠",Y488)))</formula>
    </cfRule>
  </conditionalFormatting>
  <conditionalFormatting sqref="W489">
    <cfRule type="containsText" dxfId="1" priority="883" operator="between" text="欠">
      <formula>NOT(ISERROR(SEARCH("欠",W489)))</formula>
    </cfRule>
  </conditionalFormatting>
  <conditionalFormatting sqref="W490">
    <cfRule type="containsText" dxfId="1" priority="882" operator="between" text="欠">
      <formula>NOT(ISERROR(SEARCH("欠",W490)))</formula>
    </cfRule>
  </conditionalFormatting>
  <conditionalFormatting sqref="W491">
    <cfRule type="containsText" dxfId="1" priority="881" operator="between" text="欠">
      <formula>NOT(ISERROR(SEARCH("欠",W491)))</formula>
    </cfRule>
  </conditionalFormatting>
  <conditionalFormatting sqref="W492">
    <cfRule type="containsText" dxfId="1" priority="880" operator="between" text="欠">
      <formula>NOT(ISERROR(SEARCH("欠",W492)))</formula>
    </cfRule>
  </conditionalFormatting>
  <conditionalFormatting sqref="W493">
    <cfRule type="containsText" dxfId="1" priority="879" operator="between" text="欠">
      <formula>NOT(ISERROR(SEARCH("欠",W493)))</formula>
    </cfRule>
  </conditionalFormatting>
  <conditionalFormatting sqref="W494">
    <cfRule type="containsText" dxfId="1" priority="878" operator="between" text="欠">
      <formula>NOT(ISERROR(SEARCH("欠",W494)))</formula>
    </cfRule>
  </conditionalFormatting>
  <conditionalFormatting sqref="W495">
    <cfRule type="containsText" dxfId="1" priority="877" operator="between" text="欠">
      <formula>NOT(ISERROR(SEARCH("欠",W495)))</formula>
    </cfRule>
  </conditionalFormatting>
  <conditionalFormatting sqref="V496">
    <cfRule type="containsText" dxfId="1" priority="931" operator="between" text="欠">
      <formula>NOT(ISERROR(SEARCH("欠",V496)))</formula>
    </cfRule>
  </conditionalFormatting>
  <conditionalFormatting sqref="W496">
    <cfRule type="containsText" dxfId="1" priority="932" operator="between" text="欠">
      <formula>NOT(ISERROR(SEARCH("欠",W496)))</formula>
    </cfRule>
  </conditionalFormatting>
  <conditionalFormatting sqref="X496">
    <cfRule type="containsText" dxfId="1" priority="930" operator="between" text="欠">
      <formula>NOT(ISERROR(SEARCH("欠",X496)))</formula>
    </cfRule>
  </conditionalFormatting>
  <conditionalFormatting sqref="Y496">
    <cfRule type="containsText" dxfId="1" priority="933" operator="between" text="欠">
      <formula>NOT(ISERROR(SEARCH("欠",Y496)))</formula>
    </cfRule>
  </conditionalFormatting>
  <conditionalFormatting sqref="Y497">
    <cfRule type="containsText" dxfId="1" priority="916" operator="between" text="欠">
      <formula>NOT(ISERROR(SEARCH("欠",Y497)))</formula>
    </cfRule>
  </conditionalFormatting>
  <conditionalFormatting sqref="W511">
    <cfRule type="containsText" dxfId="1" priority="876" operator="between" text="欠">
      <formula>NOT(ISERROR(SEARCH("欠",W511)))</formula>
    </cfRule>
  </conditionalFormatting>
  <conditionalFormatting sqref="W512">
    <cfRule type="containsText" dxfId="1" priority="875" operator="between" text="欠">
      <formula>NOT(ISERROR(SEARCH("欠",W512)))</formula>
    </cfRule>
  </conditionalFormatting>
  <conditionalFormatting sqref="W513">
    <cfRule type="containsText" dxfId="1" priority="874" operator="between" text="欠">
      <formula>NOT(ISERROR(SEARCH("欠",W513)))</formula>
    </cfRule>
  </conditionalFormatting>
  <conditionalFormatting sqref="W514">
    <cfRule type="containsText" dxfId="1" priority="873" operator="between" text="欠">
      <formula>NOT(ISERROR(SEARCH("欠",W514)))</formula>
    </cfRule>
  </conditionalFormatting>
  <conditionalFormatting sqref="W515">
    <cfRule type="containsText" dxfId="1" priority="872" operator="between" text="欠">
      <formula>NOT(ISERROR(SEARCH("欠",W515)))</formula>
    </cfRule>
  </conditionalFormatting>
  <conditionalFormatting sqref="W516">
    <cfRule type="containsText" dxfId="1" priority="871" operator="between" text="欠">
      <formula>NOT(ISERROR(SEARCH("欠",W516)))</formula>
    </cfRule>
  </conditionalFormatting>
  <conditionalFormatting sqref="W517">
    <cfRule type="containsText" dxfId="1" priority="870" operator="between" text="欠">
      <formula>NOT(ISERROR(SEARCH("欠",W517)))</formula>
    </cfRule>
  </conditionalFormatting>
  <conditionalFormatting sqref="V519">
    <cfRule type="containsText" dxfId="1" priority="948" operator="between" text="欠">
      <formula>NOT(ISERROR(SEARCH("欠",V519)))</formula>
    </cfRule>
  </conditionalFormatting>
  <conditionalFormatting sqref="W519">
    <cfRule type="containsText" dxfId="1" priority="949" operator="between" text="欠">
      <formula>NOT(ISERROR(SEARCH("欠",W519)))</formula>
    </cfRule>
  </conditionalFormatting>
  <conditionalFormatting sqref="X519">
    <cfRule type="containsText" dxfId="1" priority="940" operator="between" text="欠">
      <formula>NOT(ISERROR(SEARCH("欠",X519)))</formula>
    </cfRule>
  </conditionalFormatting>
  <conditionalFormatting sqref="Y519">
    <cfRule type="containsText" dxfId="1" priority="950" operator="between" text="欠">
      <formula>NOT(ISERROR(SEARCH("欠",Y519)))</formula>
    </cfRule>
  </conditionalFormatting>
  <conditionalFormatting sqref="Y520">
    <cfRule type="containsText" dxfId="1" priority="733" operator="between" text="欠">
      <formula>NOT(ISERROR(SEARCH("欠",Y520)))</formula>
    </cfRule>
  </conditionalFormatting>
  <conditionalFormatting sqref="X522">
    <cfRule type="containsText" dxfId="1" priority="839" operator="between" text="欠">
      <formula>NOT(ISERROR(SEARCH("欠",X522)))</formula>
    </cfRule>
  </conditionalFormatting>
  <conditionalFormatting sqref="V523">
    <cfRule type="containsText" dxfId="1" priority="784" operator="between" text="欠">
      <formula>NOT(ISERROR(SEARCH("欠",V523)))</formula>
    </cfRule>
  </conditionalFormatting>
  <conditionalFormatting sqref="W523">
    <cfRule type="containsText" dxfId="1" priority="788" operator="between" text="欠">
      <formula>NOT(ISERROR(SEARCH("欠",W523)))</formula>
    </cfRule>
  </conditionalFormatting>
  <conditionalFormatting sqref="X523">
    <cfRule type="containsText" dxfId="1" priority="786" operator="between" text="欠">
      <formula>NOT(ISERROR(SEARCH("欠",X523)))</formula>
    </cfRule>
  </conditionalFormatting>
  <conditionalFormatting sqref="Y523">
    <cfRule type="containsText" dxfId="1" priority="785" operator="between" text="欠">
      <formula>NOT(ISERROR(SEARCH("欠",Y523)))</formula>
    </cfRule>
  </conditionalFormatting>
  <conditionalFormatting sqref="V524">
    <cfRule type="containsText" dxfId="1" priority="816" operator="between" text="欠">
      <formula>NOT(ISERROR(SEARCH("欠",V524)))</formula>
    </cfRule>
  </conditionalFormatting>
  <conditionalFormatting sqref="W524">
    <cfRule type="containsText" dxfId="1" priority="817" operator="between" text="欠">
      <formula>NOT(ISERROR(SEARCH("欠",W524)))</formula>
    </cfRule>
  </conditionalFormatting>
  <conditionalFormatting sqref="X524">
    <cfRule type="containsText" dxfId="1" priority="815" operator="between" text="欠">
      <formula>NOT(ISERROR(SEARCH("欠",X524)))</formula>
    </cfRule>
  </conditionalFormatting>
  <conditionalFormatting sqref="Y524">
    <cfRule type="containsText" dxfId="1" priority="822" operator="between" text="欠">
      <formula>NOT(ISERROR(SEARCH("欠",Y524)))</formula>
    </cfRule>
  </conditionalFormatting>
  <conditionalFormatting sqref="Y528">
    <cfRule type="containsText" dxfId="1" priority="735" operator="between" text="欠">
      <formula>NOT(ISERROR(SEARCH("欠",Y528)))</formula>
    </cfRule>
  </conditionalFormatting>
  <conditionalFormatting sqref="Y535">
    <cfRule type="containsText" dxfId="1" priority="734" operator="between" text="欠">
      <formula>NOT(ISERROR(SEARCH("欠",Y535)))</formula>
    </cfRule>
  </conditionalFormatting>
  <conditionalFormatting sqref="V543">
    <cfRule type="containsText" dxfId="1" priority="732" operator="between" text="欠">
      <formula>NOT(ISERROR(SEARCH("欠",V543)))</formula>
    </cfRule>
  </conditionalFormatting>
  <conditionalFormatting sqref="V544">
    <cfRule type="containsText" dxfId="1" priority="731" operator="between" text="欠">
      <formula>NOT(ISERROR(SEARCH("欠",V544)))</formula>
    </cfRule>
  </conditionalFormatting>
  <conditionalFormatting sqref="V546">
    <cfRule type="containsText" dxfId="1" priority="742" operator="between" text="欠">
      <formula>NOT(ISERROR(SEARCH("欠",V546)))</formula>
    </cfRule>
  </conditionalFormatting>
  <conditionalFormatting sqref="W546">
    <cfRule type="containsText" dxfId="1" priority="783" operator="between" text="欠">
      <formula>NOT(ISERROR(SEARCH("欠",W546)))</formula>
    </cfRule>
  </conditionalFormatting>
  <conditionalFormatting sqref="X546">
    <cfRule type="containsText" dxfId="1" priority="743" operator="between" text="欠">
      <formula>NOT(ISERROR(SEARCH("欠",X546)))</formula>
    </cfRule>
  </conditionalFormatting>
  <conditionalFormatting sqref="Y546">
    <cfRule type="containsText" dxfId="1" priority="780" operator="between" text="欠">
      <formula>NOT(ISERROR(SEARCH("欠",Y546)))</formula>
    </cfRule>
  </conditionalFormatting>
  <conditionalFormatting sqref="V547">
    <cfRule type="containsText" dxfId="1" priority="891" operator="between" text="欠">
      <formula>NOT(ISERROR(SEARCH("欠",V547)))</formula>
    </cfRule>
  </conditionalFormatting>
  <conditionalFormatting sqref="W547">
    <cfRule type="containsText" dxfId="1" priority="898" operator="between" text="欠">
      <formula>NOT(ISERROR(SEARCH("欠",W547)))</formula>
    </cfRule>
  </conditionalFormatting>
  <conditionalFormatting sqref="X547">
    <cfRule type="containsText" dxfId="1" priority="890" operator="between" text="欠">
      <formula>NOT(ISERROR(SEARCH("欠",X547)))</formula>
    </cfRule>
  </conditionalFormatting>
  <conditionalFormatting sqref="Y547">
    <cfRule type="containsText" dxfId="1" priority="691" operator="between" text="欠">
      <formula>NOT(ISERROR(SEARCH("欠",Y547)))</formula>
    </cfRule>
  </conditionalFormatting>
  <conditionalFormatting sqref="V548">
    <cfRule type="containsText" dxfId="1" priority="696" operator="between" text="欠">
      <formula>NOT(ISERROR(SEARCH("欠",V548)))</formula>
    </cfRule>
  </conditionalFormatting>
  <conditionalFormatting sqref="W548">
    <cfRule type="containsText" dxfId="1" priority="800" operator="between" text="欠">
      <formula>NOT(ISERROR(SEARCH("欠",W548)))</formula>
    </cfRule>
  </conditionalFormatting>
  <conditionalFormatting sqref="Y548">
    <cfRule type="containsText" dxfId="1" priority="690" operator="between" text="欠">
      <formula>NOT(ISERROR(SEARCH("欠",Y548)))</formula>
    </cfRule>
  </conditionalFormatting>
  <conditionalFormatting sqref="W549">
    <cfRule type="containsText" dxfId="1" priority="723" operator="between" text="欠">
      <formula>NOT(ISERROR(SEARCH("欠",W549)))</formula>
    </cfRule>
  </conditionalFormatting>
  <conditionalFormatting sqref="Y549">
    <cfRule type="containsText" dxfId="1" priority="720" operator="between" text="欠">
      <formula>NOT(ISERROR(SEARCH("欠",Y549)))</formula>
    </cfRule>
  </conditionalFormatting>
  <conditionalFormatting sqref="V553">
    <cfRule type="containsText" dxfId="1" priority="706" operator="between" text="欠">
      <formula>NOT(ISERROR(SEARCH("欠",V553)))</formula>
    </cfRule>
  </conditionalFormatting>
  <conditionalFormatting sqref="W553">
    <cfRule type="containsText" dxfId="1" priority="707" operator="between" text="欠">
      <formula>NOT(ISERROR(SEARCH("欠",W553)))</formula>
    </cfRule>
  </conditionalFormatting>
  <conditionalFormatting sqref="X553">
    <cfRule type="containsText" dxfId="1" priority="705" operator="between" text="欠">
      <formula>NOT(ISERROR(SEARCH("欠",X553)))</formula>
    </cfRule>
  </conditionalFormatting>
  <conditionalFormatting sqref="Y553">
    <cfRule type="containsText" dxfId="1" priority="704" operator="between" text="欠">
      <formula>NOT(ISERROR(SEARCH("欠",Y553)))</formula>
    </cfRule>
  </conditionalFormatting>
  <conditionalFormatting sqref="W554">
    <cfRule type="containsText" dxfId="1" priority="910" operator="between" text="欠">
      <formula>NOT(ISERROR(SEARCH("欠",W554)))</formula>
    </cfRule>
  </conditionalFormatting>
  <conditionalFormatting sqref="Y554">
    <cfRule type="containsText" dxfId="1" priority="688" operator="between" text="欠">
      <formula>NOT(ISERROR(SEARCH("欠",Y554)))</formula>
    </cfRule>
  </conditionalFormatting>
  <conditionalFormatting sqref="W555">
    <cfRule type="containsText" dxfId="1" priority="759" operator="between" text="欠">
      <formula>NOT(ISERROR(SEARCH("欠",W555)))</formula>
    </cfRule>
  </conditionalFormatting>
  <conditionalFormatting sqref="Y555">
    <cfRule type="containsText" dxfId="1" priority="747" operator="between" text="欠">
      <formula>NOT(ISERROR(SEARCH("欠",Y555)))</formula>
    </cfRule>
  </conditionalFormatting>
  <conditionalFormatting sqref="W556">
    <cfRule type="containsText" dxfId="1" priority="757" operator="between" text="欠">
      <formula>NOT(ISERROR(SEARCH("欠",W556)))</formula>
    </cfRule>
  </conditionalFormatting>
  <conditionalFormatting sqref="Y556">
    <cfRule type="containsText" dxfId="1" priority="745" operator="between" text="欠">
      <formula>NOT(ISERROR(SEARCH("欠",Y556)))</formula>
    </cfRule>
  </conditionalFormatting>
  <conditionalFormatting sqref="W557">
    <cfRule type="containsText" dxfId="1" priority="756" operator="between" text="欠">
      <formula>NOT(ISERROR(SEARCH("欠",W557)))</formula>
    </cfRule>
  </conditionalFormatting>
  <conditionalFormatting sqref="Y557">
    <cfRule type="containsText" dxfId="1" priority="744" operator="between" text="欠">
      <formula>NOT(ISERROR(SEARCH("欠",Y557)))</formula>
    </cfRule>
  </conditionalFormatting>
  <conditionalFormatting sqref="V559">
    <cfRule type="containsText" dxfId="1" priority="820" operator="between" text="欠">
      <formula>NOT(ISERROR(SEARCH("欠",V559)))</formula>
    </cfRule>
  </conditionalFormatting>
  <conditionalFormatting sqref="W559">
    <cfRule type="containsText" dxfId="1" priority="821" operator="between" text="欠">
      <formula>NOT(ISERROR(SEARCH("欠",W559)))</formula>
    </cfRule>
  </conditionalFormatting>
  <conditionalFormatting sqref="X559">
    <cfRule type="containsText" dxfId="1" priority="819" operator="between" text="欠">
      <formula>NOT(ISERROR(SEARCH("欠",X559)))</formula>
    </cfRule>
  </conditionalFormatting>
  <conditionalFormatting sqref="Y559">
    <cfRule type="containsText" dxfId="1" priority="818" operator="between" text="欠">
      <formula>NOT(ISERROR(SEARCH("欠",Y559)))</formula>
    </cfRule>
  </conditionalFormatting>
  <conditionalFormatting sqref="V560">
    <cfRule type="containsText" dxfId="1" priority="695" operator="between" text="欠">
      <formula>NOT(ISERROR(SEARCH("欠",V560)))</formula>
    </cfRule>
  </conditionalFormatting>
  <conditionalFormatting sqref="W560">
    <cfRule type="containsText" dxfId="1" priority="804" operator="between" text="欠">
      <formula>NOT(ISERROR(SEARCH("欠",W560)))</formula>
    </cfRule>
  </conditionalFormatting>
  <conditionalFormatting sqref="Y560">
    <cfRule type="containsText" dxfId="1" priority="689" operator="between" text="欠">
      <formula>NOT(ISERROR(SEARCH("欠",Y560)))</formula>
    </cfRule>
  </conditionalFormatting>
  <conditionalFormatting sqref="W561">
    <cfRule type="containsText" dxfId="1" priority="758" operator="between" text="欠">
      <formula>NOT(ISERROR(SEARCH("欠",W561)))</formula>
    </cfRule>
  </conditionalFormatting>
  <conditionalFormatting sqref="Y561">
    <cfRule type="containsText" dxfId="1" priority="746" operator="between" text="欠">
      <formula>NOT(ISERROR(SEARCH("欠",Y561)))</formula>
    </cfRule>
  </conditionalFormatting>
  <conditionalFormatting sqref="V567">
    <cfRule type="containsText" dxfId="1" priority="694" operator="between" text="欠">
      <formula>NOT(ISERROR(SEARCH("欠",V567)))</formula>
    </cfRule>
  </conditionalFormatting>
  <conditionalFormatting sqref="W567">
    <cfRule type="containsText" dxfId="1" priority="808" operator="between" text="欠">
      <formula>NOT(ISERROR(SEARCH("欠",W567)))</formula>
    </cfRule>
  </conditionalFormatting>
  <conditionalFormatting sqref="W568">
    <cfRule type="containsText" dxfId="1" priority="727" operator="between" text="欠">
      <formula>NOT(ISERROR(SEARCH("欠",W568)))</formula>
    </cfRule>
  </conditionalFormatting>
  <conditionalFormatting sqref="Y568">
    <cfRule type="containsText" dxfId="1" priority="724" operator="between" text="欠">
      <formula>NOT(ISERROR(SEARCH("欠",Y568)))</formula>
    </cfRule>
  </conditionalFormatting>
  <conditionalFormatting sqref="Z571">
    <cfRule type="containsText" dxfId="1" priority="697" operator="between" text="欠">
      <formula>NOT(ISERROR(SEARCH("欠",Z571)))</formula>
    </cfRule>
  </conditionalFormatting>
  <conditionalFormatting sqref="V574">
    <cfRule type="containsText" dxfId="1" priority="661" operator="between" text="欠">
      <formula>NOT(ISERROR(SEARCH("欠",V574)))</formula>
    </cfRule>
  </conditionalFormatting>
  <conditionalFormatting sqref="W574">
    <cfRule type="containsText" dxfId="1" priority="665" operator="between" text="欠">
      <formula>NOT(ISERROR(SEARCH("欠",W574)))</formula>
    </cfRule>
  </conditionalFormatting>
  <conditionalFormatting sqref="X574">
    <cfRule type="containsText" dxfId="1" priority="660" operator="between" text="欠">
      <formula>NOT(ISERROR(SEARCH("欠",X574)))</formula>
    </cfRule>
  </conditionalFormatting>
  <conditionalFormatting sqref="Y574">
    <cfRule type="containsText" dxfId="1" priority="663" operator="between" text="欠">
      <formula>NOT(ISERROR(SEARCH("欠",Y574)))</formula>
    </cfRule>
  </conditionalFormatting>
  <conditionalFormatting sqref="V575">
    <cfRule type="containsText" dxfId="1" priority="680" operator="between" text="欠">
      <formula>NOT(ISERROR(SEARCH("欠",V575)))</formula>
    </cfRule>
  </conditionalFormatting>
  <conditionalFormatting sqref="X575">
    <cfRule type="containsText" dxfId="1" priority="679" operator="between" text="欠">
      <formula>NOT(ISERROR(SEARCH("欠",X575)))</formula>
    </cfRule>
  </conditionalFormatting>
  <conditionalFormatting sqref="W578">
    <cfRule type="containsText" dxfId="1" priority="674" operator="between" text="欠">
      <formula>NOT(ISERROR(SEARCH("欠",W578)))</formula>
    </cfRule>
  </conditionalFormatting>
  <conditionalFormatting sqref="Y578">
    <cfRule type="containsText" dxfId="1" priority="672" operator="between" text="欠">
      <formula>NOT(ISERROR(SEARCH("欠",Y578)))</formula>
    </cfRule>
  </conditionalFormatting>
  <conditionalFormatting sqref="V580">
    <cfRule type="containsText" dxfId="1" priority="666" operator="between" text="欠">
      <formula>NOT(ISERROR(SEARCH("欠",V580)))</formula>
    </cfRule>
  </conditionalFormatting>
  <conditionalFormatting sqref="W580">
    <cfRule type="containsText" dxfId="1" priority="670" operator="between" text="欠">
      <formula>NOT(ISERROR(SEARCH("欠",W580)))</formula>
    </cfRule>
  </conditionalFormatting>
  <conditionalFormatting sqref="X580">
    <cfRule type="containsText" dxfId="1" priority="667" operator="between" text="欠">
      <formula>NOT(ISERROR(SEARCH("欠",X580)))</formula>
    </cfRule>
  </conditionalFormatting>
  <conditionalFormatting sqref="Y580">
    <cfRule type="containsText" dxfId="1" priority="668" operator="between" text="欠">
      <formula>NOT(ISERROR(SEARCH("欠",Y580)))</formula>
    </cfRule>
  </conditionalFormatting>
  <conditionalFormatting sqref="V582">
    <cfRule type="containsText" dxfId="1" priority="778" operator="between" text="欠">
      <formula>NOT(ISERROR(SEARCH("欠",V582)))</formula>
    </cfRule>
  </conditionalFormatting>
  <conditionalFormatting sqref="W582">
    <cfRule type="containsText" dxfId="1" priority="779" operator="between" text="欠">
      <formula>NOT(ISERROR(SEARCH("欠",W582)))</formula>
    </cfRule>
  </conditionalFormatting>
  <conditionalFormatting sqref="X582">
    <cfRule type="containsText" dxfId="1" priority="777" operator="between" text="欠">
      <formula>NOT(ISERROR(SEARCH("欠",X582)))</formula>
    </cfRule>
  </conditionalFormatting>
  <conditionalFormatting sqref="V583">
    <cfRule type="containsText" dxfId="1" priority="693" operator="between" text="欠">
      <formula>NOT(ISERROR(SEARCH("欠",V583)))</formula>
    </cfRule>
  </conditionalFormatting>
  <conditionalFormatting sqref="V584">
    <cfRule type="containsText" dxfId="1" priority="684" operator="between" text="欠">
      <formula>NOT(ISERROR(SEARCH("欠",V584)))</formula>
    </cfRule>
  </conditionalFormatting>
  <conditionalFormatting sqref="W584">
    <cfRule type="containsText" dxfId="1" priority="686" operator="between" text="欠">
      <formula>NOT(ISERROR(SEARCH("欠",W584)))</formula>
    </cfRule>
  </conditionalFormatting>
  <conditionalFormatting sqref="X584">
    <cfRule type="containsText" dxfId="1" priority="687" operator="between" text="欠">
      <formula>NOT(ISERROR(SEARCH("欠",X584)))</formula>
    </cfRule>
  </conditionalFormatting>
  <conditionalFormatting sqref="Y584">
    <cfRule type="containsText" dxfId="1" priority="685" operator="between" text="欠">
      <formula>NOT(ISERROR(SEARCH("欠",Y584)))</formula>
    </cfRule>
  </conditionalFormatting>
  <conditionalFormatting sqref="V590">
    <cfRule type="containsText" dxfId="1" priority="621" operator="between" text="欠">
      <formula>NOT(ISERROR(SEARCH("欠",V590)))</formula>
    </cfRule>
  </conditionalFormatting>
  <conditionalFormatting sqref="W590">
    <cfRule type="containsText" dxfId="1" priority="653" operator="between" text="欠">
      <formula>NOT(ISERROR(SEARCH("欠",W590)))</formula>
    </cfRule>
  </conditionalFormatting>
  <conditionalFormatting sqref="X590">
    <cfRule type="containsText" dxfId="1" priority="615" operator="between" text="欠">
      <formula>NOT(ISERROR(SEARCH("欠",X590)))</formula>
    </cfRule>
  </conditionalFormatting>
  <conditionalFormatting sqref="Y590">
    <cfRule type="containsText" dxfId="1" priority="654" operator="between" text="欠">
      <formula>NOT(ISERROR(SEARCH("欠",Y590)))</formula>
    </cfRule>
  </conditionalFormatting>
  <conditionalFormatting sqref="V593">
    <cfRule type="containsText" dxfId="1" priority="622" operator="between" text="欠">
      <formula>NOT(ISERROR(SEARCH("欠",V593)))</formula>
    </cfRule>
  </conditionalFormatting>
  <conditionalFormatting sqref="V594">
    <cfRule type="containsText" dxfId="1" priority="609" operator="between" text="欠">
      <formula>NOT(ISERROR(SEARCH("欠",V594)))</formula>
    </cfRule>
  </conditionalFormatting>
  <conditionalFormatting sqref="V595">
    <cfRule type="containsText" dxfId="1" priority="563" operator="between" text="欠">
      <formula>NOT(ISERROR(SEARCH("欠",V595)))</formula>
    </cfRule>
  </conditionalFormatting>
  <conditionalFormatting sqref="V596">
    <cfRule type="containsText" dxfId="1" priority="600" operator="between" text="欠">
      <formula>NOT(ISERROR(SEARCH("欠",V596)))</formula>
    </cfRule>
  </conditionalFormatting>
  <conditionalFormatting sqref="W596">
    <cfRule type="containsText" dxfId="1" priority="603" operator="between" text="欠">
      <formula>NOT(ISERROR(SEARCH("欠",W596)))</formula>
    </cfRule>
  </conditionalFormatting>
  <conditionalFormatting sqref="X596">
    <cfRule type="containsText" dxfId="1" priority="602" operator="between" text="欠">
      <formula>NOT(ISERROR(SEARCH("欠",X596)))</formula>
    </cfRule>
  </conditionalFormatting>
  <conditionalFormatting sqref="Y596">
    <cfRule type="containsText" dxfId="1" priority="601" operator="between" text="欠">
      <formula>NOT(ISERROR(SEARCH("欠",Y596)))</formula>
    </cfRule>
  </conditionalFormatting>
  <conditionalFormatting sqref="V597">
    <cfRule type="containsText" dxfId="1" priority="608" operator="between" text="欠">
      <formula>NOT(ISERROR(SEARCH("欠",V597)))</formula>
    </cfRule>
  </conditionalFormatting>
  <conditionalFormatting sqref="U598">
    <cfRule type="containsText" dxfId="1" priority="479" operator="between" text="欠">
      <formula>NOT(ISERROR(SEARCH("欠",U598)))</formula>
    </cfRule>
  </conditionalFormatting>
  <conditionalFormatting sqref="U599">
    <cfRule type="containsText" dxfId="1" priority="480" operator="between" text="欠">
      <formula>NOT(ISERROR(SEARCH("欠",U599)))</formula>
    </cfRule>
  </conditionalFormatting>
  <conditionalFormatting sqref="V605">
    <cfRule type="containsText" dxfId="1" priority="522" operator="between" text="欠">
      <formula>NOT(ISERROR(SEARCH("欠",V605)))</formula>
    </cfRule>
  </conditionalFormatting>
  <conditionalFormatting sqref="V609">
    <cfRule type="containsText" dxfId="1" priority="567" operator="between" text="欠">
      <formula>NOT(ISERROR(SEARCH("欠",V609)))</formula>
    </cfRule>
  </conditionalFormatting>
  <conditionalFormatting sqref="W609">
    <cfRule type="containsText" dxfId="1" priority="568" operator="between" text="欠">
      <formula>NOT(ISERROR(SEARCH("欠",W609)))</formula>
    </cfRule>
  </conditionalFormatting>
  <conditionalFormatting sqref="X609">
    <cfRule type="containsText" dxfId="1" priority="569" operator="between" text="欠">
      <formula>NOT(ISERROR(SEARCH("欠",X609)))</formula>
    </cfRule>
  </conditionalFormatting>
  <conditionalFormatting sqref="V610">
    <cfRule type="containsText" dxfId="1" priority="564" operator="between" text="欠">
      <formula>NOT(ISERROR(SEARCH("欠",V610)))</formula>
    </cfRule>
  </conditionalFormatting>
  <conditionalFormatting sqref="W610">
    <cfRule type="containsText" dxfId="1" priority="565" operator="between" text="欠">
      <formula>NOT(ISERROR(SEARCH("欠",W610)))</formula>
    </cfRule>
  </conditionalFormatting>
  <conditionalFormatting sqref="X610">
    <cfRule type="containsText" dxfId="1" priority="566" operator="between" text="欠">
      <formula>NOT(ISERROR(SEARCH("欠",X610)))</formula>
    </cfRule>
  </conditionalFormatting>
  <conditionalFormatting sqref="Y616">
    <cfRule type="containsText" dxfId="1" priority="633" operator="between" text="欠">
      <formula>NOT(ISERROR(SEARCH("欠",Y616)))</formula>
    </cfRule>
  </conditionalFormatting>
  <conditionalFormatting sqref="V619">
    <cfRule type="containsText" dxfId="1" priority="473" operator="between" text="欠">
      <formula>NOT(ISERROR(SEARCH("欠",V619)))</formula>
    </cfRule>
  </conditionalFormatting>
  <conditionalFormatting sqref="W619">
    <cfRule type="containsText" dxfId="1" priority="516" operator="between" text="欠">
      <formula>NOT(ISERROR(SEARCH("欠",W619)))</formula>
    </cfRule>
  </conditionalFormatting>
  <conditionalFormatting sqref="X619">
    <cfRule type="containsText" dxfId="1" priority="517" operator="between" text="欠">
      <formula>NOT(ISERROR(SEARCH("欠",X619)))</formula>
    </cfRule>
  </conditionalFormatting>
  <conditionalFormatting sqref="Y619">
    <cfRule type="containsText" dxfId="1" priority="521" operator="between" text="欠">
      <formula>NOT(ISERROR(SEARCH("欠",Y619)))</formula>
    </cfRule>
  </conditionalFormatting>
  <conditionalFormatting sqref="V620">
    <cfRule type="cellIs" dxfId="0" priority="529" operator="equal">
      <formula>"欠"</formula>
    </cfRule>
  </conditionalFormatting>
  <conditionalFormatting sqref="V621">
    <cfRule type="cellIs" dxfId="0" priority="481" operator="equal">
      <formula>"欠"</formula>
    </cfRule>
  </conditionalFormatting>
  <conditionalFormatting sqref="V623">
    <cfRule type="cellIs" dxfId="0" priority="572" operator="equal">
      <formula>"欠"</formula>
    </cfRule>
    <cfRule type="containsText" dxfId="1" priority="573" operator="between" text="欠">
      <formula>NOT(ISERROR(SEARCH("欠",V623)))</formula>
    </cfRule>
  </conditionalFormatting>
  <conditionalFormatting sqref="X623">
    <cfRule type="containsText" dxfId="1" priority="574" operator="between" text="欠">
      <formula>NOT(ISERROR(SEARCH("欠",X623)))</formula>
    </cfRule>
  </conditionalFormatting>
  <conditionalFormatting sqref="V624">
    <cfRule type="cellIs" dxfId="0" priority="508" operator="equal">
      <formula>"欠"</formula>
    </cfRule>
    <cfRule type="containsText" dxfId="1" priority="509" operator="between" text="欠">
      <formula>NOT(ISERROR(SEARCH("欠",V624)))</formula>
    </cfRule>
  </conditionalFormatting>
  <conditionalFormatting sqref="W624">
    <cfRule type="containsText" dxfId="1" priority="511" operator="between" text="欠">
      <formula>NOT(ISERROR(SEARCH("欠",W624)))</formula>
    </cfRule>
  </conditionalFormatting>
  <conditionalFormatting sqref="X624">
    <cfRule type="containsText" dxfId="1" priority="510" operator="between" text="欠">
      <formula>NOT(ISERROR(SEARCH("欠",X624)))</formula>
    </cfRule>
  </conditionalFormatting>
  <conditionalFormatting sqref="Y624">
    <cfRule type="containsText" dxfId="1" priority="512" operator="between" text="欠">
      <formula>NOT(ISERROR(SEARCH("欠",Y624)))</formula>
    </cfRule>
  </conditionalFormatting>
  <conditionalFormatting sqref="X626">
    <cfRule type="containsText" dxfId="1" priority="514" operator="between" text="欠">
      <formula>NOT(ISERROR(SEARCH("欠",X626)))</formula>
    </cfRule>
  </conditionalFormatting>
  <conditionalFormatting sqref="V634">
    <cfRule type="cellIs" dxfId="0" priority="503" operator="equal">
      <formula>"欠"</formula>
    </cfRule>
    <cfRule type="containsText" dxfId="1" priority="504" operator="between" text="欠">
      <formula>NOT(ISERROR(SEARCH("欠",V634)))</formula>
    </cfRule>
  </conditionalFormatting>
  <conditionalFormatting sqref="W634">
    <cfRule type="containsText" dxfId="1" priority="506" operator="between" text="欠">
      <formula>NOT(ISERROR(SEARCH("欠",W634)))</formula>
    </cfRule>
  </conditionalFormatting>
  <conditionalFormatting sqref="X634">
    <cfRule type="containsText" dxfId="1" priority="505" operator="between" text="欠">
      <formula>NOT(ISERROR(SEARCH("欠",X634)))</formula>
    </cfRule>
  </conditionalFormatting>
  <conditionalFormatting sqref="Y634">
    <cfRule type="containsText" dxfId="1" priority="507" operator="between" text="欠">
      <formula>NOT(ISERROR(SEARCH("欠",Y634)))</formula>
    </cfRule>
  </conditionalFormatting>
  <conditionalFormatting sqref="V642">
    <cfRule type="cellIs" dxfId="0" priority="441" operator="equal">
      <formula>"欠"</formula>
    </cfRule>
  </conditionalFormatting>
  <conditionalFormatting sqref="X642">
    <cfRule type="containsText" dxfId="1" priority="440" operator="between" text="欠">
      <formula>NOT(ISERROR(SEARCH("欠",X642)))</formula>
    </cfRule>
  </conditionalFormatting>
  <conditionalFormatting sqref="Y646">
    <cfRule type="containsText" dxfId="1" priority="650" operator="between" text="欠">
      <formula>NOT(ISERROR(SEARCH("欠",Y646)))</formula>
    </cfRule>
  </conditionalFormatting>
  <conditionalFormatting sqref="Y647">
    <cfRule type="containsText" dxfId="1" priority="642" operator="between" text="欠">
      <formula>NOT(ISERROR(SEARCH("欠",Y647)))</formula>
    </cfRule>
  </conditionalFormatting>
  <conditionalFormatting sqref="W648">
    <cfRule type="containsText" dxfId="1" priority="448" operator="between" text="欠">
      <formula>NOT(ISERROR(SEARCH("欠",W648)))</formula>
    </cfRule>
  </conditionalFormatting>
  <conditionalFormatting sqref="Y648">
    <cfRule type="containsText" dxfId="1" priority="446" operator="between" text="欠">
      <formula>NOT(ISERROR(SEARCH("欠",Y648)))</formula>
    </cfRule>
  </conditionalFormatting>
  <conditionalFormatting sqref="X651">
    <cfRule type="containsText" dxfId="1" priority="429" operator="between" text="欠">
      <formula>NOT(ISERROR(SEARCH("欠",X651)))</formula>
    </cfRule>
  </conditionalFormatting>
  <conditionalFormatting sqref="W653">
    <cfRule type="containsText" dxfId="1" priority="462" operator="between" text="欠">
      <formula>NOT(ISERROR(SEARCH("欠",W653)))</formula>
    </cfRule>
  </conditionalFormatting>
  <conditionalFormatting sqref="Y653">
    <cfRule type="containsText" dxfId="1" priority="458" operator="between" text="欠">
      <formula>NOT(ISERROR(SEARCH("欠",Y653)))</formula>
    </cfRule>
  </conditionalFormatting>
  <conditionalFormatting sqref="W656">
    <cfRule type="containsText" dxfId="1" priority="444" operator="between" text="欠">
      <formula>NOT(ISERROR(SEARCH("欠",W656)))</formula>
    </cfRule>
  </conditionalFormatting>
  <conditionalFormatting sqref="Y656">
    <cfRule type="containsText" dxfId="1" priority="442" operator="between" text="欠">
      <formula>NOT(ISERROR(SEARCH("欠",Y656)))</formula>
    </cfRule>
  </conditionalFormatting>
  <conditionalFormatting sqref="V659">
    <cfRule type="containsText" dxfId="1" priority="466" operator="between" text="欠">
      <formula>NOT(ISERROR(SEARCH("欠",V659)))</formula>
    </cfRule>
  </conditionalFormatting>
  <conditionalFormatting sqref="W659">
    <cfRule type="containsText" dxfId="1" priority="468" operator="between" text="欠">
      <formula>NOT(ISERROR(SEARCH("欠",W659)))</formula>
    </cfRule>
  </conditionalFormatting>
  <conditionalFormatting sqref="X659">
    <cfRule type="containsText" dxfId="1" priority="465" operator="between" text="欠">
      <formula>NOT(ISERROR(SEARCH("欠",X659)))</formula>
    </cfRule>
  </conditionalFormatting>
  <conditionalFormatting sqref="Y659">
    <cfRule type="containsText" dxfId="1" priority="467" operator="between" text="欠">
      <formula>NOT(ISERROR(SEARCH("欠",Y659)))</formula>
    </cfRule>
  </conditionalFormatting>
  <conditionalFormatting sqref="S660:T660">
    <cfRule type="cellIs" dxfId="0" priority="431" operator="equal">
      <formula>"欠"</formula>
    </cfRule>
  </conditionalFormatting>
  <conditionalFormatting sqref="V660">
    <cfRule type="containsText" dxfId="1" priority="433" operator="between" text="欠">
      <formula>NOT(ISERROR(SEARCH("欠",V660)))</formula>
    </cfRule>
  </conditionalFormatting>
  <conditionalFormatting sqref="W660">
    <cfRule type="containsText" dxfId="1" priority="430" operator="between" text="欠">
      <formula>NOT(ISERROR(SEARCH("欠",W660)))</formula>
    </cfRule>
  </conditionalFormatting>
  <conditionalFormatting sqref="V661">
    <cfRule type="containsText" dxfId="1" priority="426" operator="between" text="欠">
      <formula>NOT(ISERROR(SEARCH("欠",V661)))</formula>
    </cfRule>
  </conditionalFormatting>
  <conditionalFormatting sqref="W661">
    <cfRule type="containsText" dxfId="1" priority="428" operator="between" text="欠">
      <formula>NOT(ISERROR(SEARCH("欠",W661)))</formula>
    </cfRule>
  </conditionalFormatting>
  <conditionalFormatting sqref="X661">
    <cfRule type="containsText" dxfId="1" priority="425" operator="between" text="欠">
      <formula>NOT(ISERROR(SEARCH("欠",X661)))</formula>
    </cfRule>
  </conditionalFormatting>
  <conditionalFormatting sqref="Y661">
    <cfRule type="containsText" dxfId="1" priority="427" operator="between" text="欠">
      <formula>NOT(ISERROR(SEARCH("欠",Y661)))</formula>
    </cfRule>
  </conditionalFormatting>
  <conditionalFormatting sqref="X662">
    <cfRule type="containsText" dxfId="1" priority="377" operator="between" text="欠">
      <formula>NOT(ISERROR(SEARCH("欠",X662)))</formula>
    </cfRule>
  </conditionalFormatting>
  <conditionalFormatting sqref="V665">
    <cfRule type="containsText" dxfId="1" priority="393" operator="between" text="欠">
      <formula>NOT(ISERROR(SEARCH("欠",V665)))</formula>
    </cfRule>
  </conditionalFormatting>
  <conditionalFormatting sqref="W665">
    <cfRule type="containsText" dxfId="1" priority="394" operator="between" text="欠">
      <formula>NOT(ISERROR(SEARCH("欠",W665)))</formula>
    </cfRule>
  </conditionalFormatting>
  <conditionalFormatting sqref="X665">
    <cfRule type="containsText" dxfId="1" priority="392" operator="between" text="欠">
      <formula>NOT(ISERROR(SEARCH("欠",X665)))</formula>
    </cfRule>
  </conditionalFormatting>
  <conditionalFormatting sqref="Y665">
    <cfRule type="containsText" dxfId="1" priority="395" operator="between" text="欠">
      <formula>NOT(ISERROR(SEARCH("欠",Y665)))</formula>
    </cfRule>
  </conditionalFormatting>
  <conditionalFormatting sqref="V667">
    <cfRule type="cellIs" dxfId="0" priority="352" operator="equal">
      <formula>"欠"</formula>
    </cfRule>
    <cfRule type="containsText" dxfId="1" priority="353" operator="between" text="欠">
      <formula>NOT(ISERROR(SEARCH("欠",V667)))</formula>
    </cfRule>
  </conditionalFormatting>
  <conditionalFormatting sqref="W667">
    <cfRule type="containsText" dxfId="1" priority="424" operator="between" text="欠">
      <formula>NOT(ISERROR(SEARCH("欠",W667)))</formula>
    </cfRule>
  </conditionalFormatting>
  <conditionalFormatting sqref="X667">
    <cfRule type="containsText" dxfId="1" priority="419" operator="between" text="欠">
      <formula>NOT(ISERROR(SEARCH("欠",X667)))</formula>
    </cfRule>
  </conditionalFormatting>
  <conditionalFormatting sqref="Y667">
    <cfRule type="containsText" dxfId="1" priority="423" operator="between" text="欠">
      <formula>NOT(ISERROR(SEARCH("欠",Y667)))</formula>
    </cfRule>
  </conditionalFormatting>
  <conditionalFormatting sqref="V668">
    <cfRule type="containsText" dxfId="1" priority="411" operator="between" text="欠">
      <formula>NOT(ISERROR(SEARCH("欠",V668)))</formula>
    </cfRule>
  </conditionalFormatting>
  <conditionalFormatting sqref="W668">
    <cfRule type="containsText" dxfId="1" priority="413" operator="between" text="欠">
      <formula>NOT(ISERROR(SEARCH("欠",W668)))</formula>
    </cfRule>
  </conditionalFormatting>
  <conditionalFormatting sqref="X668">
    <cfRule type="containsText" dxfId="1" priority="414" operator="between" text="欠">
      <formula>NOT(ISERROR(SEARCH("欠",X668)))</formula>
    </cfRule>
  </conditionalFormatting>
  <conditionalFormatting sqref="Y668">
    <cfRule type="containsText" dxfId="1" priority="412" operator="between" text="欠">
      <formula>NOT(ISERROR(SEARCH("欠",Y668)))</formula>
    </cfRule>
  </conditionalFormatting>
  <conditionalFormatting sqref="W669">
    <cfRule type="containsText" dxfId="1" priority="368" operator="between" text="欠">
      <formula>NOT(ISERROR(SEARCH("欠",W669)))</formula>
    </cfRule>
  </conditionalFormatting>
  <conditionalFormatting sqref="U670">
    <cfRule type="containsText" dxfId="1" priority="365" operator="between" text="欠">
      <formula>NOT(ISERROR(SEARCH("欠",U670)))</formula>
    </cfRule>
  </conditionalFormatting>
  <conditionalFormatting sqref="W670">
    <cfRule type="containsText" dxfId="1" priority="367" operator="between" text="欠">
      <formula>NOT(ISERROR(SEARCH("欠",W670)))</formula>
    </cfRule>
  </conditionalFormatting>
  <conditionalFormatting sqref="V671">
    <cfRule type="containsText" dxfId="1" priority="351" operator="between" text="欠">
      <formula>NOT(ISERROR(SEARCH("欠",V671)))</formula>
    </cfRule>
  </conditionalFormatting>
  <conditionalFormatting sqref="X671">
    <cfRule type="containsText" dxfId="1" priority="614" operator="between" text="欠">
      <formula>NOT(ISERROR(SEARCH("欠",X671)))</formula>
    </cfRule>
  </conditionalFormatting>
  <conditionalFormatting sqref="W675">
    <cfRule type="containsText" dxfId="1" priority="383" operator="between" text="欠">
      <formula>NOT(ISERROR(SEARCH("欠",W675)))</formula>
    </cfRule>
  </conditionalFormatting>
  <conditionalFormatting sqref="Y675">
    <cfRule type="containsText" dxfId="1" priority="381" operator="between" text="欠">
      <formula>NOT(ISERROR(SEARCH("欠",Y675)))</formula>
    </cfRule>
  </conditionalFormatting>
  <conditionalFormatting sqref="V681">
    <cfRule type="containsText" dxfId="1" priority="349" operator="between" text="欠">
      <formula>NOT(ISERROR(SEARCH("欠",V681)))</formula>
    </cfRule>
  </conditionalFormatting>
  <conditionalFormatting sqref="X681">
    <cfRule type="containsText" dxfId="1" priority="350" operator="between" text="欠">
      <formula>NOT(ISERROR(SEARCH("欠",X681)))</formula>
    </cfRule>
  </conditionalFormatting>
  <conditionalFormatting sqref="V682">
    <cfRule type="containsText" dxfId="1" priority="324" operator="between" text="欠">
      <formula>NOT(ISERROR(SEARCH("欠",V682)))</formula>
    </cfRule>
  </conditionalFormatting>
  <conditionalFormatting sqref="W682">
    <cfRule type="containsText" dxfId="1" priority="326" operator="between" text="欠">
      <formula>NOT(ISERROR(SEARCH("欠",W682)))</formula>
    </cfRule>
  </conditionalFormatting>
  <conditionalFormatting sqref="X682">
    <cfRule type="containsText" dxfId="1" priority="325" operator="between" text="欠">
      <formula>NOT(ISERROR(SEARCH("欠",X682)))</formula>
    </cfRule>
  </conditionalFormatting>
  <conditionalFormatting sqref="Y682">
    <cfRule type="containsText" dxfId="1" priority="370" operator="between" text="欠">
      <formula>NOT(ISERROR(SEARCH("欠",Y682)))</formula>
    </cfRule>
  </conditionalFormatting>
  <conditionalFormatting sqref="S684">
    <cfRule type="containsText" dxfId="1" priority="340" operator="between" text="欠">
      <formula>NOT(ISERROR(SEARCH("欠",S684)))</formula>
    </cfRule>
  </conditionalFormatting>
  <conditionalFormatting sqref="U684">
    <cfRule type="containsText" dxfId="1" priority="341" operator="between" text="欠">
      <formula>NOT(ISERROR(SEARCH("欠",U684)))</formula>
    </cfRule>
  </conditionalFormatting>
  <conditionalFormatting sqref="V684">
    <cfRule type="containsText" dxfId="1" priority="339" operator="between" text="欠">
      <formula>NOT(ISERROR(SEARCH("欠",V684)))</formula>
    </cfRule>
  </conditionalFormatting>
  <conditionalFormatting sqref="W684">
    <cfRule type="containsText" dxfId="1" priority="342" operator="between" text="欠">
      <formula>NOT(ISERROR(SEARCH("欠",W684)))</formula>
    </cfRule>
  </conditionalFormatting>
  <conditionalFormatting sqref="X684">
    <cfRule type="containsText" dxfId="1" priority="338" operator="between" text="欠">
      <formula>NOT(ISERROR(SEARCH("欠",X684)))</formula>
    </cfRule>
  </conditionalFormatting>
  <conditionalFormatting sqref="V685">
    <cfRule type="containsText" dxfId="1" priority="373" operator="between" text="欠">
      <formula>NOT(ISERROR(SEARCH("欠",V685)))</formula>
    </cfRule>
  </conditionalFormatting>
  <conditionalFormatting sqref="W685">
    <cfRule type="containsText" dxfId="1" priority="375" operator="between" text="欠">
      <formula>NOT(ISERROR(SEARCH("欠",W685)))</formula>
    </cfRule>
  </conditionalFormatting>
  <conditionalFormatting sqref="X685">
    <cfRule type="containsText" dxfId="1" priority="376" operator="between" text="欠">
      <formula>NOT(ISERROR(SEARCH("欠",X685)))</formula>
    </cfRule>
  </conditionalFormatting>
  <conditionalFormatting sqref="Y685">
    <cfRule type="containsText" dxfId="1" priority="374" operator="between" text="欠">
      <formula>NOT(ISERROR(SEARCH("欠",Y685)))</formula>
    </cfRule>
  </conditionalFormatting>
  <conditionalFormatting sqref="S686">
    <cfRule type="containsText" dxfId="1" priority="399" operator="between" text="欠">
      <formula>NOT(ISERROR(SEARCH("欠",S686)))</formula>
    </cfRule>
  </conditionalFormatting>
  <conditionalFormatting sqref="S690">
    <cfRule type="cellIs" dxfId="0" priority="334" operator="equal">
      <formula>"欠"</formula>
    </cfRule>
  </conditionalFormatting>
  <conditionalFormatting sqref="U690">
    <cfRule type="containsText" dxfId="1" priority="337" operator="between" text="欠">
      <formula>NOT(ISERROR(SEARCH("欠",U690)))</formula>
    </cfRule>
  </conditionalFormatting>
  <conditionalFormatting sqref="V690">
    <cfRule type="containsText" dxfId="1" priority="335" operator="between" text="欠">
      <formula>NOT(ISERROR(SEARCH("欠",V690)))</formula>
    </cfRule>
  </conditionalFormatting>
  <conditionalFormatting sqref="W690">
    <cfRule type="containsText" dxfId="1" priority="336" operator="between" text="欠">
      <formula>NOT(ISERROR(SEARCH("欠",W690)))</formula>
    </cfRule>
  </conditionalFormatting>
  <conditionalFormatting sqref="V691">
    <cfRule type="containsText" dxfId="1" priority="452" operator="between" text="欠">
      <formula>NOT(ISERROR(SEARCH("欠",V691)))</formula>
    </cfRule>
  </conditionalFormatting>
  <conditionalFormatting sqref="W691">
    <cfRule type="containsText" dxfId="1" priority="450" operator="between" text="欠">
      <formula>NOT(ISERROR(SEARCH("欠",W691)))</formula>
    </cfRule>
  </conditionalFormatting>
  <conditionalFormatting sqref="X691">
    <cfRule type="containsText" dxfId="1" priority="451" operator="between" text="欠">
      <formula>NOT(ISERROR(SEARCH("欠",X691)))</formula>
    </cfRule>
  </conditionalFormatting>
  <conditionalFormatting sqref="V692">
    <cfRule type="containsText" dxfId="1" priority="415" operator="between" text="欠">
      <formula>NOT(ISERROR(SEARCH("欠",V692)))</formula>
    </cfRule>
  </conditionalFormatting>
  <conditionalFormatting sqref="W692">
    <cfRule type="containsText" dxfId="1" priority="417" operator="between" text="欠">
      <formula>NOT(ISERROR(SEARCH("欠",W692)))</formula>
    </cfRule>
  </conditionalFormatting>
  <conditionalFormatting sqref="X692">
    <cfRule type="containsText" dxfId="1" priority="418" operator="between" text="欠">
      <formula>NOT(ISERROR(SEARCH("欠",X692)))</formula>
    </cfRule>
  </conditionalFormatting>
  <conditionalFormatting sqref="Y692">
    <cfRule type="containsText" dxfId="1" priority="416" operator="between" text="欠">
      <formula>NOT(ISERROR(SEARCH("欠",Y692)))</formula>
    </cfRule>
  </conditionalFormatting>
  <conditionalFormatting sqref="S694:T694">
    <cfRule type="containsText" dxfId="1" priority="332" operator="between" text="欠">
      <formula>NOT(ISERROR(SEARCH("欠",S694)))</formula>
    </cfRule>
  </conditionalFormatting>
  <conditionalFormatting sqref="U694">
    <cfRule type="containsText" dxfId="1" priority="333" operator="between" text="欠">
      <formula>NOT(ISERROR(SEARCH("欠",U694)))</formula>
    </cfRule>
  </conditionalFormatting>
  <conditionalFormatting sqref="V694">
    <cfRule type="containsText" dxfId="1" priority="330" operator="between" text="欠">
      <formula>NOT(ISERROR(SEARCH("欠",V694)))</formula>
    </cfRule>
  </conditionalFormatting>
  <conditionalFormatting sqref="W694">
    <cfRule type="containsText" dxfId="1" priority="331" operator="between" text="欠">
      <formula>NOT(ISERROR(SEARCH("欠",W694)))</formula>
    </cfRule>
  </conditionalFormatting>
  <conditionalFormatting sqref="S695">
    <cfRule type="containsText" dxfId="1" priority="347" operator="between" text="欠">
      <formula>NOT(ISERROR(SEARCH("欠",S695)))</formula>
    </cfRule>
  </conditionalFormatting>
  <conditionalFormatting sqref="U695">
    <cfRule type="containsText" dxfId="1" priority="345" operator="between" text="欠">
      <formula>NOT(ISERROR(SEARCH("欠",U695)))</formula>
    </cfRule>
  </conditionalFormatting>
  <conditionalFormatting sqref="V695">
    <cfRule type="containsText" dxfId="1" priority="346" operator="between" text="欠">
      <formula>NOT(ISERROR(SEARCH("欠",V695)))</formula>
    </cfRule>
  </conditionalFormatting>
  <conditionalFormatting sqref="W695">
    <cfRule type="containsText" dxfId="1" priority="344" operator="between" text="欠">
      <formula>NOT(ISERROR(SEARCH("欠",W695)))</formula>
    </cfRule>
  </conditionalFormatting>
  <conditionalFormatting sqref="X695">
    <cfRule type="containsText" dxfId="1" priority="343" operator="between" text="欠">
      <formula>NOT(ISERROR(SEARCH("欠",X695)))</formula>
    </cfRule>
  </conditionalFormatting>
  <conditionalFormatting sqref="X704">
    <cfRule type="containsText" dxfId="1" priority="410" operator="between" text="欠">
      <formula>NOT(ISERROR(SEARCH("欠",X704)))</formula>
    </cfRule>
  </conditionalFormatting>
  <conditionalFormatting sqref="Y704">
    <cfRule type="containsText" dxfId="1" priority="408" operator="between" text="欠">
      <formula>NOT(ISERROR(SEARCH("欠",Y704)))</formula>
    </cfRule>
  </conditionalFormatting>
  <conditionalFormatting sqref="V705">
    <cfRule type="containsText" dxfId="1" priority="386" operator="between" text="欠">
      <formula>NOT(ISERROR(SEARCH("欠",V705)))</formula>
    </cfRule>
  </conditionalFormatting>
  <conditionalFormatting sqref="W705">
    <cfRule type="containsText" dxfId="1" priority="544" operator="between" text="欠">
      <formula>NOT(ISERROR(SEARCH("欠",W705)))</formula>
    </cfRule>
  </conditionalFormatting>
  <conditionalFormatting sqref="X705">
    <cfRule type="containsText" dxfId="1" priority="545" operator="between" text="欠">
      <formula>NOT(ISERROR(SEARCH("欠",X705)))</formula>
    </cfRule>
  </conditionalFormatting>
  <conditionalFormatting sqref="S706">
    <cfRule type="containsText" dxfId="1" priority="355" operator="between" text="欠">
      <formula>NOT(ISERROR(SEARCH("欠",S706)))</formula>
    </cfRule>
  </conditionalFormatting>
  <conditionalFormatting sqref="U706">
    <cfRule type="containsText" dxfId="1" priority="357" operator="between" text="欠">
      <formula>NOT(ISERROR(SEARCH("欠",U706)))</formula>
    </cfRule>
  </conditionalFormatting>
  <conditionalFormatting sqref="V706">
    <cfRule type="containsText" dxfId="1" priority="354" operator="between" text="欠">
      <formula>NOT(ISERROR(SEARCH("欠",V706)))</formula>
    </cfRule>
  </conditionalFormatting>
  <conditionalFormatting sqref="W706">
    <cfRule type="containsText" dxfId="1" priority="356" operator="between" text="欠">
      <formula>NOT(ISERROR(SEARCH("欠",W706)))</formula>
    </cfRule>
  </conditionalFormatting>
  <conditionalFormatting sqref="S707">
    <cfRule type="containsText" dxfId="1" priority="360" operator="between" text="欠">
      <formula>NOT(ISERROR(SEARCH("欠",S707)))</formula>
    </cfRule>
  </conditionalFormatting>
  <conditionalFormatting sqref="U707">
    <cfRule type="containsText" dxfId="1" priority="358" operator="between" text="欠">
      <formula>NOT(ISERROR(SEARCH("欠",U707)))</formula>
    </cfRule>
  </conditionalFormatting>
  <conditionalFormatting sqref="X707">
    <cfRule type="containsText" dxfId="1" priority="348" operator="between" text="欠">
      <formula>NOT(ISERROR(SEARCH("欠",X707)))</formula>
    </cfRule>
  </conditionalFormatting>
  <conditionalFormatting sqref="S708">
    <cfRule type="containsText" dxfId="1" priority="322" operator="between" text="欠">
      <formula>NOT(ISERROR(SEARCH("欠",S708)))</formula>
    </cfRule>
  </conditionalFormatting>
  <conditionalFormatting sqref="X708">
    <cfRule type="containsText" dxfId="1" priority="319" operator="between" text="欠">
      <formula>NOT(ISERROR(SEARCH("欠",X708)))</formula>
    </cfRule>
  </conditionalFormatting>
  <conditionalFormatting sqref="V709">
    <cfRule type="cellIs" dxfId="0" priority="304" operator="equal">
      <formula>"欠"</formula>
    </cfRule>
    <cfRule type="containsText" dxfId="1" priority="305" operator="between" text="欠">
      <formula>NOT(ISERROR(SEARCH("欠",V709)))</formula>
    </cfRule>
  </conditionalFormatting>
  <conditionalFormatting sqref="W709">
    <cfRule type="containsText" dxfId="1" priority="307" operator="between" text="欠">
      <formula>NOT(ISERROR(SEARCH("欠",W709)))</formula>
    </cfRule>
  </conditionalFormatting>
  <conditionalFormatting sqref="X709">
    <cfRule type="containsText" dxfId="1" priority="306" operator="between" text="欠">
      <formula>NOT(ISERROR(SEARCH("欠",X709)))</formula>
    </cfRule>
  </conditionalFormatting>
  <conditionalFormatting sqref="W710">
    <cfRule type="containsText" dxfId="1" priority="297" operator="between" text="欠">
      <formula>NOT(ISERROR(SEARCH("欠",W710)))</formula>
    </cfRule>
  </conditionalFormatting>
  <conditionalFormatting sqref="W711">
    <cfRule type="containsText" dxfId="1" priority="296" operator="between" text="欠">
      <formula>NOT(ISERROR(SEARCH("欠",W711)))</formula>
    </cfRule>
  </conditionalFormatting>
  <conditionalFormatting sqref="W712">
    <cfRule type="containsText" dxfId="1" priority="295" operator="between" text="欠">
      <formula>NOT(ISERROR(SEARCH("欠",W712)))</formula>
    </cfRule>
  </conditionalFormatting>
  <conditionalFormatting sqref="W713">
    <cfRule type="containsText" dxfId="1" priority="294" operator="between" text="欠">
      <formula>NOT(ISERROR(SEARCH("欠",W713)))</formula>
    </cfRule>
  </conditionalFormatting>
  <conditionalFormatting sqref="V714">
    <cfRule type="cellIs" dxfId="0" priority="311" operator="equal">
      <formula>"欠"</formula>
    </cfRule>
    <cfRule type="containsText" dxfId="1" priority="312" operator="between" text="欠">
      <formula>NOT(ISERROR(SEARCH("欠",V714)))</formula>
    </cfRule>
  </conditionalFormatting>
  <conditionalFormatting sqref="X714">
    <cfRule type="containsText" dxfId="1" priority="309" operator="between" text="欠">
      <formula>NOT(ISERROR(SEARCH("欠",X714)))</formula>
    </cfRule>
  </conditionalFormatting>
  <conditionalFormatting sqref="Y714">
    <cfRule type="containsText" dxfId="1" priority="308" operator="between" text="欠">
      <formula>NOT(ISERROR(SEARCH("欠",Y714)))</formula>
    </cfRule>
  </conditionalFormatting>
  <conditionalFormatting sqref="V717">
    <cfRule type="cellIs" dxfId="0" priority="271" operator="equal">
      <formula>"欠"</formula>
    </cfRule>
    <cfRule type="containsText" dxfId="1" priority="272" operator="between" text="欠">
      <formula>NOT(ISERROR(SEARCH("欠",V717)))</formula>
    </cfRule>
  </conditionalFormatting>
  <conditionalFormatting sqref="X717">
    <cfRule type="containsText" dxfId="1" priority="276" operator="between" text="欠">
      <formula>NOT(ISERROR(SEARCH("欠",X717)))</formula>
    </cfRule>
  </conditionalFormatting>
  <conditionalFormatting sqref="V724:Y724">
    <cfRule type="containsText" dxfId="1" priority="255" operator="between" text="欠">
      <formula>NOT(ISERROR(SEARCH("欠",V724)))</formula>
    </cfRule>
  </conditionalFormatting>
  <conditionalFormatting sqref="V732">
    <cfRule type="cellIs" dxfId="0" priority="218" operator="equal">
      <formula>"欠"</formula>
    </cfRule>
    <cfRule type="containsText" dxfId="1" priority="219" operator="between" text="欠">
      <formula>NOT(ISERROR(SEARCH("欠",V732)))</formula>
    </cfRule>
  </conditionalFormatting>
  <conditionalFormatting sqref="X732">
    <cfRule type="containsText" dxfId="1" priority="217" operator="between" text="欠">
      <formula>NOT(ISERROR(SEARCH("欠",X732)))</formula>
    </cfRule>
  </conditionalFormatting>
  <conditionalFormatting sqref="Y732">
    <cfRule type="containsText" dxfId="1" priority="216" operator="between" text="欠">
      <formula>NOT(ISERROR(SEARCH("欠",Y732)))</formula>
    </cfRule>
  </conditionalFormatting>
  <conditionalFormatting sqref="V734">
    <cfRule type="containsText" dxfId="1" priority="258" operator="between" text="欠">
      <formula>NOT(ISERROR(SEARCH("欠",V734)))</formula>
    </cfRule>
  </conditionalFormatting>
  <conditionalFormatting sqref="X734">
    <cfRule type="containsText" dxfId="1" priority="257" operator="between" text="欠">
      <formula>NOT(ISERROR(SEARCH("欠",X734)))</formula>
    </cfRule>
  </conditionalFormatting>
  <conditionalFormatting sqref="V735">
    <cfRule type="cellIs" dxfId="0" priority="161" operator="equal">
      <formula>"欠"</formula>
    </cfRule>
    <cfRule type="containsText" dxfId="1" priority="162" operator="between" text="欠">
      <formula>NOT(ISERROR(SEARCH("欠",V735)))</formula>
    </cfRule>
  </conditionalFormatting>
  <conditionalFormatting sqref="W735">
    <cfRule type="containsText" dxfId="1" priority="163" operator="between" text="欠">
      <formula>NOT(ISERROR(SEARCH("欠",W735)))</formula>
    </cfRule>
  </conditionalFormatting>
  <conditionalFormatting sqref="X735">
    <cfRule type="containsText" dxfId="1" priority="76" operator="between" text="欠">
      <formula>NOT(ISERROR(SEARCH("欠",X735)))</formula>
    </cfRule>
  </conditionalFormatting>
  <conditionalFormatting sqref="Y735">
    <cfRule type="containsText" dxfId="1" priority="171" operator="between" text="欠">
      <formula>NOT(ISERROR(SEARCH("欠",Y735)))</formula>
    </cfRule>
  </conditionalFormatting>
  <conditionalFormatting sqref="V736">
    <cfRule type="containsText" dxfId="1" priority="242" operator="between" text="欠">
      <formula>NOT(ISERROR(SEARCH("欠",V736)))</formula>
    </cfRule>
  </conditionalFormatting>
  <conditionalFormatting sqref="W736:Y736">
    <cfRule type="containsText" dxfId="1" priority="243" operator="between" text="欠">
      <formula>NOT(ISERROR(SEARCH("欠",W736)))</formula>
    </cfRule>
  </conditionalFormatting>
  <conditionalFormatting sqref="Y737">
    <cfRule type="containsText" dxfId="1" priority="247" operator="between" text="欠">
      <formula>NOT(ISERROR(SEARCH("欠",Y737)))</formula>
    </cfRule>
  </conditionalFormatting>
  <conditionalFormatting sqref="V739">
    <cfRule type="containsText" dxfId="1" priority="224" operator="between" text="欠">
      <formula>NOT(ISERROR(SEARCH("欠",V739)))</formula>
    </cfRule>
  </conditionalFormatting>
  <conditionalFormatting sqref="W739:Y739">
    <cfRule type="containsText" dxfId="1" priority="241" operator="between" text="欠">
      <formula>NOT(ISERROR(SEARCH("欠",W739)))</formula>
    </cfRule>
  </conditionalFormatting>
  <conditionalFormatting sqref="V740">
    <cfRule type="containsText" dxfId="1" priority="259" operator="between" text="欠">
      <formula>NOT(ISERROR(SEARCH("欠",V740)))</formula>
    </cfRule>
  </conditionalFormatting>
  <conditionalFormatting sqref="W740:Y740">
    <cfRule type="containsText" dxfId="1" priority="260" operator="between" text="欠">
      <formula>NOT(ISERROR(SEARCH("欠",W740)))</formula>
    </cfRule>
  </conditionalFormatting>
  <conditionalFormatting sqref="V741:Y741">
    <cfRule type="containsText" dxfId="1" priority="256" operator="between" text="欠">
      <formula>NOT(ISERROR(SEARCH("欠",V741)))</formula>
    </cfRule>
  </conditionalFormatting>
  <conditionalFormatting sqref="V743">
    <cfRule type="cellIs" dxfId="0" priority="188" operator="equal">
      <formula>"欠"</formula>
    </cfRule>
    <cfRule type="containsText" dxfId="1" priority="189" operator="between" text="欠">
      <formula>NOT(ISERROR(SEARCH("欠",V743)))</formula>
    </cfRule>
  </conditionalFormatting>
  <conditionalFormatting sqref="X743">
    <cfRule type="containsText" dxfId="1" priority="209" operator="between" text="欠">
      <formula>NOT(ISERROR(SEARCH("欠",X743)))</formula>
    </cfRule>
  </conditionalFormatting>
  <conditionalFormatting sqref="Y743">
    <cfRule type="containsText" dxfId="1" priority="208" operator="between" text="欠">
      <formula>NOT(ISERROR(SEARCH("欠",Y743)))</formula>
    </cfRule>
  </conditionalFormatting>
  <conditionalFormatting sqref="V744">
    <cfRule type="cellIs" dxfId="0" priority="186" operator="equal">
      <formula>"欠"</formula>
    </cfRule>
    <cfRule type="containsText" dxfId="1" priority="187" operator="between" text="欠">
      <formula>NOT(ISERROR(SEARCH("欠",V744)))</formula>
    </cfRule>
  </conditionalFormatting>
  <conditionalFormatting sqref="W744">
    <cfRule type="containsText" dxfId="1" priority="202" operator="between" text="欠">
      <formula>NOT(ISERROR(SEARCH("欠",W744)))</formula>
    </cfRule>
  </conditionalFormatting>
  <conditionalFormatting sqref="X744">
    <cfRule type="containsText" dxfId="1" priority="203" operator="between" text="欠">
      <formula>NOT(ISERROR(SEARCH("欠",X744)))</formula>
    </cfRule>
  </conditionalFormatting>
  <conditionalFormatting sqref="Y744">
    <cfRule type="containsText" dxfId="1" priority="201" operator="between" text="欠">
      <formula>NOT(ISERROR(SEARCH("欠",Y744)))</formula>
    </cfRule>
  </conditionalFormatting>
  <conditionalFormatting sqref="V745">
    <cfRule type="containsText" dxfId="1" priority="182" operator="between" text="欠">
      <formula>NOT(ISERROR(SEARCH("欠",V745)))</formula>
    </cfRule>
  </conditionalFormatting>
  <conditionalFormatting sqref="X745">
    <cfRule type="containsText" dxfId="1" priority="181" operator="between" text="欠">
      <formula>NOT(ISERROR(SEARCH("欠",X745)))</formula>
    </cfRule>
  </conditionalFormatting>
  <conditionalFormatting sqref="V746">
    <cfRule type="cellIs" dxfId="0" priority="190" operator="equal">
      <formula>"欠"</formula>
    </cfRule>
    <cfRule type="containsText" dxfId="1" priority="191" operator="between" text="欠">
      <formula>NOT(ISERROR(SEARCH("欠",V746)))</formula>
    </cfRule>
  </conditionalFormatting>
  <conditionalFormatting sqref="X746">
    <cfRule type="containsText" dxfId="1" priority="205" operator="between" text="欠">
      <formula>NOT(ISERROR(SEARCH("欠",X746)))</formula>
    </cfRule>
  </conditionalFormatting>
  <conditionalFormatting sqref="Y746">
    <cfRule type="containsText" dxfId="1" priority="204" operator="between" text="欠">
      <formula>NOT(ISERROR(SEARCH("欠",Y746)))</formula>
    </cfRule>
  </conditionalFormatting>
  <conditionalFormatting sqref="V747">
    <cfRule type="cellIs" dxfId="0" priority="136" operator="equal">
      <formula>"欠"</formula>
    </cfRule>
    <cfRule type="containsText" dxfId="1" priority="137" operator="between" text="欠">
      <formula>NOT(ISERROR(SEARCH("欠",V747)))</formula>
    </cfRule>
  </conditionalFormatting>
  <conditionalFormatting sqref="X747">
    <cfRule type="containsText" dxfId="1" priority="135" operator="between" text="欠">
      <formula>NOT(ISERROR(SEARCH("欠",X747)))</formula>
    </cfRule>
  </conditionalFormatting>
  <conditionalFormatting sqref="Y747">
    <cfRule type="containsText" dxfId="1" priority="151" operator="between" text="欠">
      <formula>NOT(ISERROR(SEARCH("欠",Y747)))</formula>
    </cfRule>
  </conditionalFormatting>
  <conditionalFormatting sqref="V748">
    <cfRule type="cellIs" dxfId="0" priority="85" operator="equal">
      <formula>"欠"</formula>
    </cfRule>
    <cfRule type="containsText" dxfId="1" priority="86" operator="between" text="欠">
      <formula>NOT(ISERROR(SEARCH("欠",V748)))</formula>
    </cfRule>
  </conditionalFormatting>
  <conditionalFormatting sqref="W748">
    <cfRule type="containsText" dxfId="1" priority="84" operator="between" text="欠">
      <formula>NOT(ISERROR(SEARCH("欠",W748)))</formula>
    </cfRule>
  </conditionalFormatting>
  <conditionalFormatting sqref="X748">
    <cfRule type="containsText" dxfId="1" priority="21" operator="between" text="欠">
      <formula>NOT(ISERROR(SEARCH("欠",X748)))</formula>
    </cfRule>
  </conditionalFormatting>
  <conditionalFormatting sqref="Y748">
    <cfRule type="containsText" dxfId="1" priority="116" operator="between" text="欠">
      <formula>NOT(ISERROR(SEARCH("欠",Y748)))</formula>
    </cfRule>
  </conditionalFormatting>
  <conditionalFormatting sqref="V749">
    <cfRule type="cellIs" dxfId="0" priority="88" operator="equal">
      <formula>"欠"</formula>
    </cfRule>
    <cfRule type="containsText" dxfId="1" priority="89" operator="between" text="欠">
      <formula>NOT(ISERROR(SEARCH("欠",V749)))</formula>
    </cfRule>
  </conditionalFormatting>
  <conditionalFormatting sqref="W749">
    <cfRule type="containsText" dxfId="1" priority="90" operator="between" text="欠">
      <formula>NOT(ISERROR(SEARCH("欠",W749)))</formula>
    </cfRule>
  </conditionalFormatting>
  <conditionalFormatting sqref="X749">
    <cfRule type="containsText" dxfId="1" priority="91" operator="between" text="欠">
      <formula>NOT(ISERROR(SEARCH("欠",X749)))</formula>
    </cfRule>
  </conditionalFormatting>
  <conditionalFormatting sqref="Y749">
    <cfRule type="containsText" dxfId="1" priority="92" operator="between" text="欠">
      <formula>NOT(ISERROR(SEARCH("欠",Y749)))</formula>
    </cfRule>
  </conditionalFormatting>
  <conditionalFormatting sqref="V750">
    <cfRule type="cellIs" dxfId="0" priority="72" operator="equal">
      <formula>"欠"</formula>
    </cfRule>
    <cfRule type="containsText" dxfId="1" priority="73" operator="between" text="欠">
      <formula>NOT(ISERROR(SEARCH("欠",V750)))</formula>
    </cfRule>
  </conditionalFormatting>
  <conditionalFormatting sqref="W750">
    <cfRule type="containsText" dxfId="1" priority="74" operator="between" text="欠">
      <formula>NOT(ISERROR(SEARCH("欠",W750)))</formula>
    </cfRule>
  </conditionalFormatting>
  <conditionalFormatting sqref="X750">
    <cfRule type="containsText" dxfId="1" priority="75" operator="between" text="欠">
      <formula>NOT(ISERROR(SEARCH("欠",X750)))</formula>
    </cfRule>
  </conditionalFormatting>
  <conditionalFormatting sqref="Y750">
    <cfRule type="containsText" dxfId="1" priority="197" operator="between" text="欠">
      <formula>NOT(ISERROR(SEARCH("欠",Y750)))</formula>
    </cfRule>
  </conditionalFormatting>
  <conditionalFormatting sqref="V751">
    <cfRule type="containsText" dxfId="1" priority="225" operator="between" text="欠">
      <formula>NOT(ISERROR(SEARCH("欠",V751)))</formula>
    </cfRule>
  </conditionalFormatting>
  <conditionalFormatting sqref="V752">
    <cfRule type="cellIs" dxfId="0" priority="142" operator="equal">
      <formula>"欠"</formula>
    </cfRule>
    <cfRule type="containsText" dxfId="1" priority="143" operator="between" text="欠">
      <formula>NOT(ISERROR(SEARCH("欠",V752)))</formula>
    </cfRule>
  </conditionalFormatting>
  <conditionalFormatting sqref="X752">
    <cfRule type="containsText" dxfId="1" priority="145" operator="between" text="欠">
      <formula>NOT(ISERROR(SEARCH("欠",X752)))</formula>
    </cfRule>
  </conditionalFormatting>
  <conditionalFormatting sqref="Y752">
    <cfRule type="containsText" dxfId="1" priority="144" operator="between" text="欠">
      <formula>NOT(ISERROR(SEARCH("欠",Y752)))</formula>
    </cfRule>
  </conditionalFormatting>
  <conditionalFormatting sqref="V753">
    <cfRule type="cellIs" dxfId="0" priority="60" operator="equal">
      <formula>"欠"</formula>
    </cfRule>
    <cfRule type="containsText" dxfId="1" priority="63" operator="between" text="欠">
      <formula>NOT(ISERROR(SEARCH("欠",V753)))</formula>
    </cfRule>
  </conditionalFormatting>
  <conditionalFormatting sqref="X753">
    <cfRule type="containsText" dxfId="1" priority="69" operator="between" text="欠">
      <formula>NOT(ISERROR(SEARCH("欠",X753)))</formula>
    </cfRule>
  </conditionalFormatting>
  <conditionalFormatting sqref="Y753">
    <cfRule type="containsText" dxfId="1" priority="66" operator="between" text="欠">
      <formula>NOT(ISERROR(SEARCH("欠",Y753)))</formula>
    </cfRule>
  </conditionalFormatting>
  <conditionalFormatting sqref="W754:Y754">
    <cfRule type="containsText" dxfId="1" priority="117" operator="between" text="欠">
      <formula>NOT(ISERROR(SEARCH("欠",W754)))</formula>
    </cfRule>
  </conditionalFormatting>
  <conditionalFormatting sqref="X755">
    <cfRule type="containsText" dxfId="1" priority="193" operator="between" text="欠">
      <formula>NOT(ISERROR(SEARCH("欠",X755)))</formula>
    </cfRule>
  </conditionalFormatting>
  <conditionalFormatting sqref="Y755">
    <cfRule type="containsText" dxfId="1" priority="192" operator="between" text="欠">
      <formula>NOT(ISERROR(SEARCH("欠",Y755)))</formula>
    </cfRule>
  </conditionalFormatting>
  <conditionalFormatting sqref="X756">
    <cfRule type="containsText" dxfId="1" priority="213" operator="between" text="欠">
      <formula>NOT(ISERROR(SEARCH("欠",X756)))</formula>
    </cfRule>
  </conditionalFormatting>
  <conditionalFormatting sqref="Y756">
    <cfRule type="containsText" dxfId="1" priority="212" operator="between" text="欠">
      <formula>NOT(ISERROR(SEARCH("欠",Y756)))</formula>
    </cfRule>
  </conditionalFormatting>
  <conditionalFormatting sqref="Y759">
    <cfRule type="containsText" dxfId="1" priority="104" operator="between" text="欠">
      <formula>NOT(ISERROR(SEARCH("欠",Y759)))</formula>
    </cfRule>
  </conditionalFormatting>
  <conditionalFormatting sqref="Y760">
    <cfRule type="containsText" dxfId="1" priority="103" operator="between" text="欠">
      <formula>NOT(ISERROR(SEARCH("欠",Y760)))</formula>
    </cfRule>
  </conditionalFormatting>
  <conditionalFormatting sqref="V761">
    <cfRule type="cellIs" dxfId="0" priority="42" operator="equal">
      <formula>"欠"</formula>
    </cfRule>
    <cfRule type="containsText" dxfId="1" priority="43" operator="between" text="欠">
      <formula>NOT(ISERROR(SEARCH("欠",V761)))</formula>
    </cfRule>
  </conditionalFormatting>
  <conditionalFormatting sqref="X761">
    <cfRule type="containsText" dxfId="1" priority="55" operator="between" text="欠">
      <formula>NOT(ISERROR(SEARCH("欠",X761)))</formula>
    </cfRule>
  </conditionalFormatting>
  <conditionalFormatting sqref="Y761">
    <cfRule type="containsText" dxfId="1" priority="53" operator="between" text="欠">
      <formula>NOT(ISERROR(SEARCH("欠",Y761)))</formula>
    </cfRule>
  </conditionalFormatting>
  <conditionalFormatting sqref="Y762">
    <cfRule type="containsText" dxfId="1" priority="102" operator="between" text="欠">
      <formula>NOT(ISERROR(SEARCH("欠",Y762)))</formula>
    </cfRule>
  </conditionalFormatting>
  <conditionalFormatting sqref="W763">
    <cfRule type="containsText" dxfId="1" priority="79" operator="between" text="欠">
      <formula>NOT(ISERROR(SEARCH("欠",W763)))</formula>
    </cfRule>
  </conditionalFormatting>
  <conditionalFormatting sqref="X763">
    <cfRule type="containsText" dxfId="1" priority="81" operator="between" text="欠">
      <formula>NOT(ISERROR(SEARCH("欠",X763)))</formula>
    </cfRule>
  </conditionalFormatting>
  <conditionalFormatting sqref="Y763">
    <cfRule type="containsText" dxfId="1" priority="80" operator="between" text="欠">
      <formula>NOT(ISERROR(SEARCH("欠",Y763)))</formula>
    </cfRule>
  </conditionalFormatting>
  <conditionalFormatting sqref="V764">
    <cfRule type="cellIs" dxfId="0" priority="138" operator="equal">
      <formula>"欠"</formula>
    </cfRule>
    <cfRule type="containsText" dxfId="1" priority="139" operator="between" text="欠">
      <formula>NOT(ISERROR(SEARCH("欠",V764)))</formula>
    </cfRule>
  </conditionalFormatting>
  <conditionalFormatting sqref="W764">
    <cfRule type="containsText" dxfId="1" priority="140" operator="between" text="欠">
      <formula>NOT(ISERROR(SEARCH("欠",W764)))</formula>
    </cfRule>
  </conditionalFormatting>
  <conditionalFormatting sqref="X764">
    <cfRule type="containsText" dxfId="1" priority="141" operator="between" text="欠">
      <formula>NOT(ISERROR(SEARCH("欠",X764)))</formula>
    </cfRule>
  </conditionalFormatting>
  <conditionalFormatting sqref="Y764">
    <cfRule type="containsText" dxfId="1" priority="159" operator="between" text="欠">
      <formula>NOT(ISERROR(SEARCH("欠",Y764)))</formula>
    </cfRule>
  </conditionalFormatting>
  <conditionalFormatting sqref="Y765">
    <cfRule type="containsText" dxfId="1" priority="38" operator="between" text="欠">
      <formula>NOT(ISERROR(SEARCH("欠",Y765)))</formula>
    </cfRule>
  </conditionalFormatting>
  <conditionalFormatting sqref="Y766">
    <cfRule type="containsText" dxfId="1" priority="37" operator="between" text="欠">
      <formula>NOT(ISERROR(SEARCH("欠",Y766)))</formula>
    </cfRule>
  </conditionalFormatting>
  <conditionalFormatting sqref="Y768">
    <cfRule type="containsText" dxfId="1" priority="101" operator="between" text="欠">
      <formula>NOT(ISERROR(SEARCH("欠",Y768)))</formula>
    </cfRule>
  </conditionalFormatting>
  <conditionalFormatting sqref="U686:U689">
    <cfRule type="containsText" dxfId="1" priority="401" operator="between" text="欠">
      <formula>NOT(ISERROR(SEARCH("欠",U686)))</formula>
    </cfRule>
  </conditionalFormatting>
  <conditionalFormatting sqref="V32:V34">
    <cfRule type="containsText" dxfId="1" priority="2126" operator="between" text="欠">
      <formula>NOT(ISERROR(SEARCH("欠",V32)))</formula>
    </cfRule>
  </conditionalFormatting>
  <conditionalFormatting sqref="V89:V91">
    <cfRule type="containsText" dxfId="1" priority="2092" operator="between" text="欠">
      <formula>NOT(ISERROR(SEARCH("欠",V89)))</formula>
    </cfRule>
  </conditionalFormatting>
  <conditionalFormatting sqref="V168:V171">
    <cfRule type="containsText" dxfId="1" priority="1660" operator="between" text="欠">
      <formula>NOT(ISERROR(SEARCH("欠",V168)))</formula>
    </cfRule>
  </conditionalFormatting>
  <conditionalFormatting sqref="V212:V213">
    <cfRule type="containsText" dxfId="1" priority="1622" operator="between" text="欠">
      <formula>NOT(ISERROR(SEARCH("欠",V212)))</formula>
    </cfRule>
  </conditionalFormatting>
  <conditionalFormatting sqref="V226:V227">
    <cfRule type="containsText" dxfId="1" priority="1561" operator="between" text="欠">
      <formula>NOT(ISERROR(SEARCH("欠",V226)))</formula>
    </cfRule>
  </conditionalFormatting>
  <conditionalFormatting sqref="V235:V239">
    <cfRule type="containsText" dxfId="1" priority="1589" operator="between" text="欠">
      <formula>NOT(ISERROR(SEARCH("欠",V235)))</formula>
    </cfRule>
  </conditionalFormatting>
  <conditionalFormatting sqref="V250:V252">
    <cfRule type="containsText" dxfId="1" priority="1513" operator="between" text="欠">
      <formula>NOT(ISERROR(SEARCH("欠",V250)))</formula>
    </cfRule>
  </conditionalFormatting>
  <conditionalFormatting sqref="V287:V290">
    <cfRule type="containsText" dxfId="1" priority="1444" operator="between" text="欠">
      <formula>NOT(ISERROR(SEARCH("欠",V287)))</formula>
    </cfRule>
  </conditionalFormatting>
  <conditionalFormatting sqref="V349:V364">
    <cfRule type="containsText" dxfId="1" priority="1137" operator="between" text="欠">
      <formula>NOT(ISERROR(SEARCH("欠",V349)))</formula>
    </cfRule>
  </conditionalFormatting>
  <conditionalFormatting sqref="V372:V379">
    <cfRule type="containsText" dxfId="1" priority="1190" operator="between" text="欠">
      <formula>NOT(ISERROR(SEARCH("欠",V372)))</formula>
    </cfRule>
  </conditionalFormatting>
  <conditionalFormatting sqref="V380:V387">
    <cfRule type="containsText" dxfId="1" priority="1165" operator="between" text="欠">
      <formula>NOT(ISERROR(SEARCH("欠",V380)))</formula>
    </cfRule>
  </conditionalFormatting>
  <conditionalFormatting sqref="V392:V397">
    <cfRule type="containsText" dxfId="1" priority="1118" operator="between" text="欠">
      <formula>NOT(ISERROR(SEARCH("欠",V392)))</formula>
    </cfRule>
  </conditionalFormatting>
  <conditionalFormatting sqref="V401:V402">
    <cfRule type="containsText" dxfId="1" priority="1246" operator="between" text="欠">
      <formula>NOT(ISERROR(SEARCH("欠",V401)))</formula>
    </cfRule>
  </conditionalFormatting>
  <conditionalFormatting sqref="V414:V415">
    <cfRule type="containsText" dxfId="1" priority="1544" operator="between" text="欠">
      <formula>NOT(ISERROR(SEARCH("欠",V414)))</formula>
    </cfRule>
  </conditionalFormatting>
  <conditionalFormatting sqref="V426:V440">
    <cfRule type="containsText" dxfId="1" priority="994" operator="between" text="欠">
      <formula>NOT(ISERROR(SEARCH("欠",V426)))</formula>
    </cfRule>
  </conditionalFormatting>
  <conditionalFormatting sqref="V441:V444">
    <cfRule type="containsText" dxfId="1" priority="1130" operator="between" text="欠">
      <formula>NOT(ISERROR(SEARCH("欠",V441)))</formula>
    </cfRule>
  </conditionalFormatting>
  <conditionalFormatting sqref="V451:V452">
    <cfRule type="containsText" dxfId="1" priority="998" operator="between" text="欠">
      <formula>NOT(ISERROR(SEARCH("欠",V451)))</formula>
    </cfRule>
  </conditionalFormatting>
  <conditionalFormatting sqref="V479:V482">
    <cfRule type="containsText" dxfId="1" priority="741" operator="between" text="欠">
      <formula>NOT(ISERROR(SEARCH("欠",V479)))</formula>
    </cfRule>
  </conditionalFormatting>
  <conditionalFormatting sqref="V497:V510">
    <cfRule type="containsText" dxfId="1" priority="918" operator="between" text="欠">
      <formula>NOT(ISERROR(SEARCH("欠",V497)))</formula>
    </cfRule>
  </conditionalFormatting>
  <conditionalFormatting sqref="V521:V522">
    <cfRule type="containsText" dxfId="1" priority="854" operator="between" text="欠">
      <formula>NOT(ISERROR(SEARCH("欠",V521)))</formula>
    </cfRule>
  </conditionalFormatting>
  <conditionalFormatting sqref="V536:V537">
    <cfRule type="containsText" dxfId="1" priority="813" operator="between" text="欠">
      <formula>NOT(ISERROR(SEARCH("欠",V536)))</formula>
    </cfRule>
  </conditionalFormatting>
  <conditionalFormatting sqref="V549:V552">
    <cfRule type="containsText" dxfId="1" priority="722" operator="between" text="欠">
      <formula>NOT(ISERROR(SEARCH("欠",V549)))</formula>
    </cfRule>
  </conditionalFormatting>
  <conditionalFormatting sqref="V556:V557">
    <cfRule type="containsText" dxfId="1" priority="739" operator="between" text="欠">
      <formula>NOT(ISERROR(SEARCH("欠",V556)))</formula>
    </cfRule>
  </conditionalFormatting>
  <conditionalFormatting sqref="V598:V599">
    <cfRule type="cellIs" dxfId="0" priority="542" operator="equal">
      <formula>"欠"</formula>
    </cfRule>
  </conditionalFormatting>
  <conditionalFormatting sqref="V612:V615">
    <cfRule type="cellIs" dxfId="0" priority="538" operator="equal">
      <formula>"欠"</formula>
    </cfRule>
  </conditionalFormatting>
  <conditionalFormatting sqref="V616:V617">
    <cfRule type="containsText" dxfId="1" priority="623" operator="between" text="欠">
      <formula>NOT(ISERROR(SEARCH("欠",V616)))</formula>
    </cfRule>
  </conditionalFormatting>
  <conditionalFormatting sqref="V636:V637">
    <cfRule type="cellIs" dxfId="0" priority="498" operator="equal">
      <formula>"欠"</formula>
    </cfRule>
    <cfRule type="containsText" dxfId="1" priority="499" operator="between" text="欠">
      <formula>NOT(ISERROR(SEARCH("欠",V636)))</formula>
    </cfRule>
  </conditionalFormatting>
  <conditionalFormatting sqref="V644:V645">
    <cfRule type="containsText" dxfId="1" priority="396" operator="between" text="欠">
      <formula>NOT(ISERROR(SEARCH("欠",V644)))</formula>
    </cfRule>
  </conditionalFormatting>
  <conditionalFormatting sqref="V648:V650">
    <cfRule type="cellIs" dxfId="0" priority="447" operator="equal">
      <formula>"欠"</formula>
    </cfRule>
  </conditionalFormatting>
  <conditionalFormatting sqref="V653:V654">
    <cfRule type="cellIs" dxfId="0" priority="460" operator="equal">
      <formula>"欠"</formula>
    </cfRule>
  </conditionalFormatting>
  <conditionalFormatting sqref="V656:V658">
    <cfRule type="cellIs" dxfId="0" priority="443" operator="equal">
      <formula>"欠"</formula>
    </cfRule>
  </conditionalFormatting>
  <conditionalFormatting sqref="V669:V670">
    <cfRule type="containsText" dxfId="1" priority="364" operator="between" text="欠">
      <formula>NOT(ISERROR(SEARCH("欠",V669)))</formula>
    </cfRule>
  </conditionalFormatting>
  <conditionalFormatting sqref="V675:V678">
    <cfRule type="containsText" dxfId="1" priority="379" operator="between" text="欠">
      <formula>NOT(ISERROR(SEARCH("欠",V675)))</formula>
    </cfRule>
  </conditionalFormatting>
  <conditionalFormatting sqref="V679:V680">
    <cfRule type="containsText" dxfId="1" priority="390" operator="between" text="欠">
      <formula>NOT(ISERROR(SEARCH("欠",V679)))</formula>
    </cfRule>
  </conditionalFormatting>
  <conditionalFormatting sqref="V686:V689">
    <cfRule type="containsText" dxfId="1" priority="402" operator="between" text="欠">
      <formula>NOT(ISERROR(SEARCH("欠",V686)))</formula>
    </cfRule>
  </conditionalFormatting>
  <conditionalFormatting sqref="V698:V703">
    <cfRule type="containsText" dxfId="1" priority="407" operator="between" text="欠">
      <formula>NOT(ISERROR(SEARCH("欠",V698)))</formula>
    </cfRule>
  </conditionalFormatting>
  <conditionalFormatting sqref="V710:V713">
    <cfRule type="cellIs" dxfId="0" priority="285" operator="equal">
      <formula>"欠"</formula>
    </cfRule>
    <cfRule type="containsText" dxfId="1" priority="289" operator="between" text="欠">
      <formula>NOT(ISERROR(SEARCH("欠",V710)))</formula>
    </cfRule>
  </conditionalFormatting>
  <conditionalFormatting sqref="V715:V716">
    <cfRule type="cellIs" dxfId="0" priority="314" operator="equal">
      <formula>"欠"</formula>
    </cfRule>
    <cfRule type="containsText" dxfId="1" priority="315" operator="between" text="欠">
      <formula>NOT(ISERROR(SEARCH("欠",V715)))</formula>
    </cfRule>
  </conditionalFormatting>
  <conditionalFormatting sqref="V718:V719">
    <cfRule type="containsText" dxfId="1" priority="328" operator="between" text="欠">
      <formula>NOT(ISERROR(SEARCH("欠",V718)))</formula>
    </cfRule>
  </conditionalFormatting>
  <conditionalFormatting sqref="V737:V738">
    <cfRule type="cellIs" dxfId="0" priority="238" operator="equal">
      <formula>"欠"</formula>
    </cfRule>
    <cfRule type="containsText" dxfId="1" priority="239" operator="between" text="欠">
      <formula>NOT(ISERROR(SEARCH("欠",V737)))</formula>
    </cfRule>
  </conditionalFormatting>
  <conditionalFormatting sqref="V754:V755">
    <cfRule type="cellIs" dxfId="0" priority="77" operator="equal">
      <formula>"欠"</formula>
    </cfRule>
    <cfRule type="containsText" dxfId="1" priority="78" operator="between" text="欠">
      <formula>NOT(ISERROR(SEARCH("欠",V754)))</formula>
    </cfRule>
  </conditionalFormatting>
  <conditionalFormatting sqref="V755:V756">
    <cfRule type="cellIs" dxfId="0" priority="133" operator="equal">
      <formula>"欠"</formula>
    </cfRule>
    <cfRule type="containsText" dxfId="1" priority="134" operator="between" text="欠">
      <formula>NOT(ISERROR(SEARCH("欠",V755)))</formula>
    </cfRule>
  </conditionalFormatting>
  <conditionalFormatting sqref="V759:V760">
    <cfRule type="cellIs" dxfId="0" priority="82" operator="equal">
      <formula>"欠"</formula>
    </cfRule>
    <cfRule type="containsText" dxfId="1" priority="83" operator="between" text="欠">
      <formula>NOT(ISERROR(SEARCH("欠",V759)))</formula>
    </cfRule>
  </conditionalFormatting>
  <conditionalFormatting sqref="V764:V768">
    <cfRule type="cellIs" dxfId="0" priority="32" operator="equal">
      <formula>"欠"</formula>
    </cfRule>
    <cfRule type="containsText" dxfId="1" priority="35" operator="between" text="欠">
      <formula>NOT(ISERROR(SEARCH("欠",V764)))</formula>
    </cfRule>
  </conditionalFormatting>
  <conditionalFormatting sqref="W226:W227">
    <cfRule type="containsText" dxfId="1" priority="1698" operator="between" text="欠">
      <formula>NOT(ISERROR(SEARCH("欠",W226)))</formula>
    </cfRule>
  </conditionalFormatting>
  <conditionalFormatting sqref="W250:W252">
    <cfRule type="containsText" dxfId="1" priority="1511" operator="between" text="欠">
      <formula>NOT(ISERROR(SEARCH("欠",W250)))</formula>
    </cfRule>
  </conditionalFormatting>
  <conditionalFormatting sqref="W253:W254">
    <cfRule type="containsText" dxfId="1" priority="1530" operator="between" text="欠">
      <formula>NOT(ISERROR(SEARCH("欠",W253)))</formula>
    </cfRule>
  </conditionalFormatting>
  <conditionalFormatting sqref="W278:W279">
    <cfRule type="containsText" dxfId="1" priority="1609" operator="between" text="欠">
      <formula>NOT(ISERROR(SEARCH("欠",W278)))</formula>
    </cfRule>
  </conditionalFormatting>
  <conditionalFormatting sqref="W426:W440">
    <cfRule type="containsText" dxfId="1" priority="996" operator="between" text="欠">
      <formula>NOT(ISERROR(SEARCH("欠",W426)))</formula>
    </cfRule>
  </conditionalFormatting>
  <conditionalFormatting sqref="W451:W452">
    <cfRule type="containsText" dxfId="1" priority="1000" operator="between" text="欠">
      <formula>NOT(ISERROR(SEARCH("欠",W451)))</formula>
    </cfRule>
  </conditionalFormatting>
  <conditionalFormatting sqref="W475:W476">
    <cfRule type="containsText" dxfId="1" priority="1141" operator="between" text="欠">
      <formula>NOT(ISERROR(SEARCH("欠",W475)))</formula>
    </cfRule>
  </conditionalFormatting>
  <conditionalFormatting sqref="W497:W510">
    <cfRule type="containsText" dxfId="1" priority="919" operator="between" text="欠">
      <formula>NOT(ISERROR(SEARCH("欠",W497)))</formula>
    </cfRule>
  </conditionalFormatting>
  <conditionalFormatting sqref="W543:W544">
    <cfRule type="containsText" dxfId="1" priority="812" operator="between" text="欠">
      <formula>NOT(ISERROR(SEARCH("欠",W543)))</formula>
    </cfRule>
  </conditionalFormatting>
  <conditionalFormatting sqref="W550:W552">
    <cfRule type="containsText" dxfId="1" priority="719" operator="between" text="欠">
      <formula>NOT(ISERROR(SEARCH("欠",W550)))</formula>
    </cfRule>
  </conditionalFormatting>
  <conditionalFormatting sqref="W604:W605">
    <cfRule type="containsText" dxfId="1" priority="713" operator="between" text="欠">
      <formula>NOT(ISERROR(SEARCH("欠",W604)))</formula>
    </cfRule>
  </conditionalFormatting>
  <conditionalFormatting sqref="W612:W615">
    <cfRule type="containsText" dxfId="1" priority="539" operator="between" text="欠">
      <formula>NOT(ISERROR(SEARCH("欠",W612)))</formula>
    </cfRule>
  </conditionalFormatting>
  <conditionalFormatting sqref="W616:W617">
    <cfRule type="containsText" dxfId="1" priority="624" operator="between" text="欠">
      <formula>NOT(ISERROR(SEARCH("欠",W616)))</formula>
    </cfRule>
  </conditionalFormatting>
  <conditionalFormatting sqref="W629:W631">
    <cfRule type="containsText" dxfId="1" priority="560" operator="between" text="欠">
      <formula>NOT(ISERROR(SEARCH("欠",W629)))</formula>
    </cfRule>
  </conditionalFormatting>
  <conditionalFormatting sqref="W636:W637">
    <cfRule type="containsText" dxfId="1" priority="501" operator="between" text="欠">
      <formula>NOT(ISERROR(SEARCH("欠",W636)))</formula>
    </cfRule>
  </conditionalFormatting>
  <conditionalFormatting sqref="W644:W645">
    <cfRule type="containsText" dxfId="1" priority="398" operator="between" text="欠">
      <formula>NOT(ISERROR(SEARCH("欠",W644)))</formula>
    </cfRule>
  </conditionalFormatting>
  <conditionalFormatting sqref="W676:W678">
    <cfRule type="containsText" dxfId="1" priority="382" operator="between" text="欠">
      <formula>NOT(ISERROR(SEARCH("欠",W676)))</formula>
    </cfRule>
  </conditionalFormatting>
  <conditionalFormatting sqref="W679:W681">
    <cfRule type="containsText" dxfId="1" priority="391" operator="between" text="欠">
      <formula>NOT(ISERROR(SEARCH("欠",W679)))</formula>
    </cfRule>
  </conditionalFormatting>
  <conditionalFormatting sqref="W686:W689">
    <cfRule type="containsText" dxfId="1" priority="400" operator="between" text="欠">
      <formula>NOT(ISERROR(SEARCH("欠",W686)))</formula>
    </cfRule>
  </conditionalFormatting>
  <conditionalFormatting sqref="W698:W704">
    <cfRule type="containsText" dxfId="1" priority="409" operator="between" text="欠">
      <formula>NOT(ISERROR(SEARCH("欠",W698)))</formula>
    </cfRule>
  </conditionalFormatting>
  <conditionalFormatting sqref="W759:W760">
    <cfRule type="containsText" dxfId="1" priority="126" operator="between" text="欠">
      <formula>NOT(ISERROR(SEARCH("欠",W759)))</formula>
    </cfRule>
  </conditionalFormatting>
  <conditionalFormatting sqref="X176:X177">
    <cfRule type="containsText" dxfId="1" priority="1562" operator="between" text="欠">
      <formula>NOT(ISERROR(SEARCH("欠",X176)))</formula>
    </cfRule>
  </conditionalFormatting>
  <conditionalFormatting sqref="X226:X227">
    <cfRule type="containsText" dxfId="1" priority="1560" operator="between" text="欠">
      <formula>NOT(ISERROR(SEARCH("欠",X226)))</formula>
    </cfRule>
  </conditionalFormatting>
  <conditionalFormatting sqref="X250:X252">
    <cfRule type="containsText" dxfId="1" priority="1514" operator="between" text="欠">
      <formula>NOT(ISERROR(SEARCH("欠",X250)))</formula>
    </cfRule>
  </conditionalFormatting>
  <conditionalFormatting sqref="X253:X254">
    <cfRule type="containsText" dxfId="1" priority="1529" operator="between" text="欠">
      <formula>NOT(ISERROR(SEARCH("欠",X253)))</formula>
    </cfRule>
  </conditionalFormatting>
  <conditionalFormatting sqref="X257:X258">
    <cfRule type="containsText" dxfId="1" priority="1583" operator="between" text="欠">
      <formula>NOT(ISERROR(SEARCH("欠",X257)))</formula>
    </cfRule>
  </conditionalFormatting>
  <conditionalFormatting sqref="X287:X290">
    <cfRule type="containsText" dxfId="1" priority="1464" operator="between" text="欠">
      <formula>NOT(ISERROR(SEARCH("欠",X287)))</formula>
    </cfRule>
  </conditionalFormatting>
  <conditionalFormatting sqref="X380:X387">
    <cfRule type="containsText" dxfId="1" priority="1157" operator="between" text="欠">
      <formula>NOT(ISERROR(SEARCH("欠",X380)))</formula>
    </cfRule>
  </conditionalFormatting>
  <conditionalFormatting sqref="X392:X397">
    <cfRule type="containsText" dxfId="1" priority="1147" operator="between" text="欠">
      <formula>NOT(ISERROR(SEARCH("欠",X392)))</formula>
    </cfRule>
  </conditionalFormatting>
  <conditionalFormatting sqref="X401:X402">
    <cfRule type="containsText" dxfId="1" priority="1245" operator="between" text="欠">
      <formula>NOT(ISERROR(SEARCH("欠",X401)))</formula>
    </cfRule>
  </conditionalFormatting>
  <conditionalFormatting sqref="X412:X413">
    <cfRule type="containsText" dxfId="1" priority="1551" operator="between" text="欠">
      <formula>NOT(ISERROR(SEARCH("欠",X412)))</formula>
    </cfRule>
  </conditionalFormatting>
  <conditionalFormatting sqref="X441:X444">
    <cfRule type="containsText" dxfId="1" priority="1129" operator="between" text="欠">
      <formula>NOT(ISERROR(SEARCH("欠",X441)))</formula>
    </cfRule>
  </conditionalFormatting>
  <conditionalFormatting sqref="X451:X452">
    <cfRule type="containsText" dxfId="1" priority="999" operator="between" text="欠">
      <formula>NOT(ISERROR(SEARCH("欠",X451)))</formula>
    </cfRule>
  </conditionalFormatting>
  <conditionalFormatting sqref="X479:X482">
    <cfRule type="containsText" dxfId="1" priority="740" operator="between" text="欠">
      <formula>NOT(ISERROR(SEARCH("欠",X479)))</formula>
    </cfRule>
  </conditionalFormatting>
  <conditionalFormatting sqref="X497:X510">
    <cfRule type="containsText" dxfId="1" priority="917" operator="between" text="欠">
      <formula>NOT(ISERROR(SEARCH("欠",X497)))</formula>
    </cfRule>
  </conditionalFormatting>
  <conditionalFormatting sqref="X543:X544">
    <cfRule type="containsText" dxfId="1" priority="728" operator="between" text="欠">
      <formula>NOT(ISERROR(SEARCH("欠",X543)))</formula>
    </cfRule>
  </conditionalFormatting>
  <conditionalFormatting sqref="X549:X552">
    <cfRule type="containsText" dxfId="1" priority="721" operator="between" text="欠">
      <formula>NOT(ISERROR(SEARCH("欠",X549)))</formula>
    </cfRule>
  </conditionalFormatting>
  <conditionalFormatting sqref="X604:X605">
    <cfRule type="containsText" dxfId="1" priority="714" operator="between" text="欠">
      <formula>NOT(ISERROR(SEARCH("欠",X604)))</formula>
    </cfRule>
  </conditionalFormatting>
  <conditionalFormatting sqref="X616:X617">
    <cfRule type="containsText" dxfId="1" priority="625" operator="between" text="欠">
      <formula>NOT(ISERROR(SEARCH("欠",X616)))</formula>
    </cfRule>
  </conditionalFormatting>
  <conditionalFormatting sqref="X627:X628">
    <cfRule type="containsText" dxfId="1" priority="534" operator="between" text="欠">
      <formula>NOT(ISERROR(SEARCH("欠",X627)))</formula>
    </cfRule>
  </conditionalFormatting>
  <conditionalFormatting sqref="X635:X637">
    <cfRule type="containsText" dxfId="1" priority="500" operator="between" text="欠">
      <formula>NOT(ISERROR(SEARCH("欠",X635)))</formula>
    </cfRule>
  </conditionalFormatting>
  <conditionalFormatting sqref="X639:X640">
    <cfRule type="cellIs" dxfId="0" priority="475" operator="equal">
      <formula>"欠"</formula>
    </cfRule>
    <cfRule type="containsText" dxfId="1" priority="476" operator="between" text="欠">
      <formula>NOT(ISERROR(SEARCH("欠",X639)))</formula>
    </cfRule>
  </conditionalFormatting>
  <conditionalFormatting sqref="X644:X645">
    <cfRule type="containsText" dxfId="1" priority="397" operator="between" text="欠">
      <formula>NOT(ISERROR(SEARCH("欠",X644)))</formula>
    </cfRule>
  </conditionalFormatting>
  <conditionalFormatting sqref="X648:X650">
    <cfRule type="containsText" dxfId="1" priority="449" operator="between" text="欠">
      <formula>NOT(ISERROR(SEARCH("欠",X648)))</formula>
    </cfRule>
  </conditionalFormatting>
  <conditionalFormatting sqref="X653:X654">
    <cfRule type="containsText" dxfId="1" priority="464" operator="between" text="欠">
      <formula>NOT(ISERROR(SEARCH("欠",X653)))</formula>
    </cfRule>
  </conditionalFormatting>
  <conditionalFormatting sqref="X656:X658">
    <cfRule type="containsText" dxfId="1" priority="445" operator="between" text="欠">
      <formula>NOT(ISERROR(SEARCH("欠",X656)))</formula>
    </cfRule>
  </conditionalFormatting>
  <conditionalFormatting sqref="X675:X676">
    <cfRule type="containsText" dxfId="1" priority="385" operator="between" text="欠">
      <formula>NOT(ISERROR(SEARCH("欠",X675)))</formula>
    </cfRule>
  </conditionalFormatting>
  <conditionalFormatting sqref="X677:X678">
    <cfRule type="containsText" dxfId="1" priority="384" operator="between" text="欠">
      <formula>NOT(ISERROR(SEARCH("欠",X677)))</formula>
    </cfRule>
  </conditionalFormatting>
  <conditionalFormatting sqref="X710:X713">
    <cfRule type="containsText" dxfId="1" priority="293" operator="between" text="欠">
      <formula>NOT(ISERROR(SEARCH("欠",X710)))</formula>
    </cfRule>
  </conditionalFormatting>
  <conditionalFormatting sqref="X715:X716">
    <cfRule type="containsText" dxfId="1" priority="303" operator="between" text="欠">
      <formula>NOT(ISERROR(SEARCH("欠",X715)))</formula>
    </cfRule>
  </conditionalFormatting>
  <conditionalFormatting sqref="X718:X719">
    <cfRule type="containsText" dxfId="1" priority="327" operator="between" text="欠">
      <formula>NOT(ISERROR(SEARCH("欠",X718)))</formula>
    </cfRule>
  </conditionalFormatting>
  <conditionalFormatting sqref="X759:X760">
    <cfRule type="containsText" dxfId="1" priority="129" operator="between" text="欠">
      <formula>NOT(ISERROR(SEARCH("欠",X759)))</formula>
    </cfRule>
  </conditionalFormatting>
  <conditionalFormatting sqref="X764:X768">
    <cfRule type="containsText" dxfId="1" priority="41" operator="between" text="欠">
      <formula>NOT(ISERROR(SEARCH("欠",X764)))</formula>
    </cfRule>
  </conditionalFormatting>
  <conditionalFormatting sqref="Y90:Y91">
    <cfRule type="containsText" dxfId="1" priority="2000" operator="between" text="欠">
      <formula>NOT(ISERROR(SEARCH("欠",Y90)))</formula>
    </cfRule>
  </conditionalFormatting>
  <conditionalFormatting sqref="Y129:Y130">
    <cfRule type="containsText" dxfId="1" priority="1998" operator="between" text="欠">
      <formula>NOT(ISERROR(SEARCH("欠",Y129)))</formula>
    </cfRule>
  </conditionalFormatting>
  <conditionalFormatting sqref="Y160:Y162">
    <cfRule type="containsText" dxfId="1" priority="1878" operator="between" text="欠">
      <formula>NOT(ISERROR(SEARCH("欠",Y160)))</formula>
    </cfRule>
  </conditionalFormatting>
  <conditionalFormatting sqref="Y176:Y177">
    <cfRule type="containsText" dxfId="1" priority="1564" operator="between" text="欠">
      <formula>NOT(ISERROR(SEARCH("欠",Y176)))</formula>
    </cfRule>
  </conditionalFormatting>
  <conditionalFormatting sqref="Y250:Y252">
    <cfRule type="containsText" dxfId="1" priority="1512" operator="between" text="欠">
      <formula>NOT(ISERROR(SEARCH("欠",Y250)))</formula>
    </cfRule>
  </conditionalFormatting>
  <conditionalFormatting sqref="Y253:Y254">
    <cfRule type="containsText" dxfId="1" priority="1531" operator="between" text="欠">
      <formula>NOT(ISERROR(SEARCH("欠",Y253)))</formula>
    </cfRule>
  </conditionalFormatting>
  <conditionalFormatting sqref="Y349:Y364">
    <cfRule type="containsText" dxfId="1" priority="1136" operator="between" text="欠">
      <formula>NOT(ISERROR(SEARCH("欠",Y349)))</formula>
    </cfRule>
  </conditionalFormatting>
  <conditionalFormatting sqref="Y380:Y387">
    <cfRule type="containsText" dxfId="1" priority="1135" operator="between" text="欠">
      <formula>NOT(ISERROR(SEARCH("欠",Y380)))</formula>
    </cfRule>
  </conditionalFormatting>
  <conditionalFormatting sqref="Y392:Y397">
    <cfRule type="containsText" dxfId="1" priority="1117" operator="between" text="欠">
      <formula>NOT(ISERROR(SEARCH("欠",Y392)))</formula>
    </cfRule>
  </conditionalFormatting>
  <conditionalFormatting sqref="Y421:Y422">
    <cfRule type="containsText" dxfId="1" priority="1094" operator="between" text="欠">
      <formula>NOT(ISERROR(SEARCH("欠",Y421)))</formula>
    </cfRule>
  </conditionalFormatting>
  <conditionalFormatting sqref="Y426:Y440">
    <cfRule type="containsText" dxfId="1" priority="997" operator="between" text="欠">
      <formula>NOT(ISERROR(SEARCH("欠",Y426)))</formula>
    </cfRule>
  </conditionalFormatting>
  <conditionalFormatting sqref="Y475:Y476">
    <cfRule type="containsText" dxfId="1" priority="1140" operator="between" text="欠">
      <formula>NOT(ISERROR(SEARCH("欠",Y475)))</formula>
    </cfRule>
  </conditionalFormatting>
  <conditionalFormatting sqref="Y485:Y487">
    <cfRule type="containsText" dxfId="1" priority="809" operator="between" text="欠">
      <formula>NOT(ISERROR(SEARCH("欠",Y485)))</formula>
    </cfRule>
  </conditionalFormatting>
  <conditionalFormatting sqref="Y498:Y510">
    <cfRule type="containsText" dxfId="1" priority="814" operator="between" text="欠">
      <formula>NOT(ISERROR(SEARCH("欠",Y498)))</formula>
    </cfRule>
  </conditionalFormatting>
  <conditionalFormatting sqref="Y521:Y522">
    <cfRule type="containsText" dxfId="1" priority="824" operator="between" text="欠">
      <formula>NOT(ISERROR(SEARCH("欠",Y521)))</formula>
    </cfRule>
  </conditionalFormatting>
  <conditionalFormatting sqref="Y525:Y527">
    <cfRule type="containsText" dxfId="1" priority="886" operator="between" text="欠">
      <formula>NOT(ISERROR(SEARCH("欠",Y525)))</formula>
    </cfRule>
  </conditionalFormatting>
  <conditionalFormatting sqref="Y543:Y544">
    <cfRule type="containsText" dxfId="1" priority="811" operator="between" text="欠">
      <formula>NOT(ISERROR(SEARCH("欠",Y543)))</formula>
    </cfRule>
  </conditionalFormatting>
  <conditionalFormatting sqref="Y550:Y552">
    <cfRule type="containsText" dxfId="1" priority="716" operator="between" text="欠">
      <formula>NOT(ISERROR(SEARCH("欠",Y550)))</formula>
    </cfRule>
  </conditionalFormatting>
  <conditionalFormatting sqref="Y582:Y583">
    <cfRule type="containsText" dxfId="1" priority="776" operator="between" text="欠">
      <formula>NOT(ISERROR(SEARCH("欠",Y582)))</formula>
    </cfRule>
  </conditionalFormatting>
  <conditionalFormatting sqref="Y598:Y599">
    <cfRule type="containsText" dxfId="1" priority="576" operator="between" text="欠">
      <formula>NOT(ISERROR(SEARCH("欠",Y598)))</formula>
    </cfRule>
  </conditionalFormatting>
  <conditionalFormatting sqref="Y604:Y605">
    <cfRule type="containsText" dxfId="1" priority="712" operator="between" text="欠">
      <formula>NOT(ISERROR(SEARCH("欠",Y604)))</formula>
    </cfRule>
  </conditionalFormatting>
  <conditionalFormatting sqref="Y629:Y631">
    <cfRule type="containsText" dxfId="1" priority="562" operator="between" text="欠">
      <formula>NOT(ISERROR(SEARCH("欠",Y629)))</formula>
    </cfRule>
  </conditionalFormatting>
  <conditionalFormatting sqref="Y636:Y637">
    <cfRule type="containsText" dxfId="1" priority="502" operator="between" text="欠">
      <formula>NOT(ISERROR(SEARCH("欠",Y636)))</formula>
    </cfRule>
  </conditionalFormatting>
  <conditionalFormatting sqref="Y639:Y640">
    <cfRule type="containsText" dxfId="1" priority="478" operator="between" text="欠">
      <formula>NOT(ISERROR(SEARCH("欠",Y639)))</formula>
    </cfRule>
  </conditionalFormatting>
  <conditionalFormatting sqref="Y676:Y678">
    <cfRule type="containsText" dxfId="1" priority="380" operator="between" text="欠">
      <formula>NOT(ISERROR(SEARCH("欠",Y676)))</formula>
    </cfRule>
  </conditionalFormatting>
  <conditionalFormatting sqref="Y679:Y681">
    <cfRule type="containsText" dxfId="1" priority="389" operator="between" text="欠">
      <formula>NOT(ISERROR(SEARCH("欠",Y679)))</formula>
    </cfRule>
  </conditionalFormatting>
  <conditionalFormatting sqref="Y698:Y703">
    <cfRule type="containsText" dxfId="1" priority="387" operator="between" text="欠">
      <formula>NOT(ISERROR(SEARCH("欠",Y698)))</formula>
    </cfRule>
  </conditionalFormatting>
  <conditionalFormatting sqref="Y718:Y719">
    <cfRule type="containsText" dxfId="1" priority="323" operator="between" text="欠">
      <formula>NOT(ISERROR(SEARCH("欠",Y718)))</formula>
    </cfRule>
  </conditionalFormatting>
  <conditionalFormatting sqref="Y759:Y760">
    <cfRule type="containsText" dxfId="1" priority="132" operator="between" text="欠">
      <formula>NOT(ISERROR(SEARCH("欠",Y759)))</formula>
    </cfRule>
  </conditionalFormatting>
  <conditionalFormatting sqref="Y765:Y767">
    <cfRule type="containsText" dxfId="1" priority="36" operator="between" text="欠">
      <formula>NOT(ISERROR(SEARCH("欠",Y765)))</formula>
    </cfRule>
  </conditionalFormatting>
  <conditionalFormatting sqref="Z216:Z218">
    <cfRule type="containsText" dxfId="1" priority="1596" operator="between" text="欠">
      <formula>NOT(ISERROR(SEARCH("欠",Z216)))</formula>
    </cfRule>
  </conditionalFormatting>
  <conditionalFormatting sqref="V77:Y77 V36:Y36 V37:W37 X133:X137 W131:X131 X120:Y124 V126:Y126 V120:V124 V108:Y108 W132:Y132 V146:Y153 Y40:Y42 V95:Y97 W117 V40:W40 W89:Y89 V92:Y93 W90:X91 W114:X114 V94:X94 Y78:Y85 V86:Y88 Y76 V115:Y115 V43:Y54 V118:Y119 V71:Y75 Y21 V15:Y20 Y64 V56:Y57 W6:X6 V4:Y5 Y14 Y70 W8:Y8 V22:Y31 Y37 V9:Y13 V67:Y69 V21:W21 V59:Y63 Y55 Y32:Y35 W35 V7:Y7 V39:Y39 W38:Y38 V163:Y164 V198:Y198 W348:Y348 W536:X537 V206:X206 V325:Y327 V342:Y342 V311:X311 X475 X470">
    <cfRule type="containsText" dxfId="1" priority="2144" operator="between" text="欠">
      <formula>NOT(ISERROR(SEARCH("欠",V4)))</formula>
    </cfRule>
  </conditionalFormatting>
  <conditionalFormatting sqref="W32:X34">
    <cfRule type="containsText" dxfId="1" priority="2128" operator="between" text="欠">
      <formula>NOT(ISERROR(SEARCH("欠",W32)))</formula>
    </cfRule>
  </conditionalFormatting>
  <conditionalFormatting sqref="W55:X55 W64:X64 W70:X70">
    <cfRule type="containsText" dxfId="1" priority="2122" operator="between" text="欠">
      <formula>NOT(ISERROR(SEARCH("欠",W55)))</formula>
    </cfRule>
  </conditionalFormatting>
  <conditionalFormatting sqref="V58:X58 V65:X66">
    <cfRule type="containsText" dxfId="1" priority="2114" operator="between" text="欠">
      <formula>NOT(ISERROR(SEARCH("欠",V58)))</formula>
    </cfRule>
  </conditionalFormatting>
  <conditionalFormatting sqref="Y58 Y65:Y66">
    <cfRule type="containsText" dxfId="1" priority="2082" operator="between" text="欠">
      <formula>NOT(ISERROR(SEARCH("欠",Y58)))</formula>
    </cfRule>
  </conditionalFormatting>
  <conditionalFormatting sqref="V64 V70">
    <cfRule type="containsText" dxfId="1" priority="2120" operator="between" text="欠">
      <formula>NOT(ISERROR(SEARCH("欠",V64)))</formula>
    </cfRule>
  </conditionalFormatting>
  <conditionalFormatting sqref="V78:X85">
    <cfRule type="containsText" dxfId="1" priority="2118" operator="between" text="欠">
      <formula>NOT(ISERROR(SEARCH("欠",V78)))</formula>
    </cfRule>
  </conditionalFormatting>
  <conditionalFormatting sqref="V98:Y98 V99:V107 X99:Y107">
    <cfRule type="containsText" dxfId="1" priority="2076" operator="between" text="欠">
      <formula>NOT(ISERROR(SEARCH("欠",V98)))</formula>
    </cfRule>
  </conditionalFormatting>
  <conditionalFormatting sqref="V109:Y109 V110:V112 X110:X112">
    <cfRule type="containsText" dxfId="1" priority="2050" operator="between" text="欠">
      <formula>NOT(ISERROR(SEARCH("欠",V109)))</formula>
    </cfRule>
  </conditionalFormatting>
  <conditionalFormatting sqref="W110 Y110">
    <cfRule type="containsText" dxfId="1" priority="2046" operator="between" text="欠">
      <formula>NOT(ISERROR(SEARCH("欠",W110)))</formula>
    </cfRule>
  </conditionalFormatting>
  <conditionalFormatting sqref="W111 Y111">
    <cfRule type="containsText" dxfId="1" priority="2045" operator="between" text="欠">
      <formula>NOT(ISERROR(SEARCH("欠",W111)))</formula>
    </cfRule>
  </conditionalFormatting>
  <conditionalFormatting sqref="W112 Y112">
    <cfRule type="containsText" dxfId="1" priority="2044" operator="between" text="欠">
      <formula>NOT(ISERROR(SEARCH("欠",W112)))</formula>
    </cfRule>
  </conditionalFormatting>
  <conditionalFormatting sqref="W113 Y113">
    <cfRule type="containsText" dxfId="1" priority="2010" operator="between" text="欠">
      <formula>NOT(ISERROR(SEARCH("欠",W113)))</formula>
    </cfRule>
  </conditionalFormatting>
  <conditionalFormatting sqref="V116 V128">
    <cfRule type="containsText" dxfId="1" priority="1866" operator="between" text="欠">
      <formula>NOT(ISERROR(SEARCH("欠",V116)))</formula>
    </cfRule>
  </conditionalFormatting>
  <conditionalFormatting sqref="W116 W128">
    <cfRule type="containsText" dxfId="1" priority="1868" operator="between" text="欠">
      <formula>NOT(ISERROR(SEARCH("欠",W116)))</formula>
    </cfRule>
  </conditionalFormatting>
  <conditionalFormatting sqref="X116 X128">
    <cfRule type="containsText" dxfId="1" priority="1864" operator="between" text="欠">
      <formula>NOT(ISERROR(SEARCH("欠",X116)))</formula>
    </cfRule>
  </conditionalFormatting>
  <conditionalFormatting sqref="W129:X130">
    <cfRule type="containsText" dxfId="1" priority="1962" operator="between" text="欠">
      <formula>NOT(ISERROR(SEARCH("欠",W129)))</formula>
    </cfRule>
  </conditionalFormatting>
  <conditionalFormatting sqref="V133:V137 V178">
    <cfRule type="containsText" dxfId="1" priority="1960" operator="between" text="欠">
      <formula>NOT(ISERROR(SEARCH("欠",V133)))</formula>
    </cfRule>
  </conditionalFormatting>
  <conditionalFormatting sqref="W133 Y133">
    <cfRule type="containsText" dxfId="1" priority="1994" operator="between" text="欠">
      <formula>NOT(ISERROR(SEARCH("欠",W133)))</formula>
    </cfRule>
  </conditionalFormatting>
  <conditionalFormatting sqref="W134 Y134">
    <cfRule type="containsText" dxfId="1" priority="1991" operator="between" text="欠">
      <formula>NOT(ISERROR(SEARCH("欠",W134)))</formula>
    </cfRule>
  </conditionalFormatting>
  <conditionalFormatting sqref="W135 Y135">
    <cfRule type="containsText" dxfId="1" priority="1990" operator="between" text="欠">
      <formula>NOT(ISERROR(SEARCH("欠",W135)))</formula>
    </cfRule>
  </conditionalFormatting>
  <conditionalFormatting sqref="W136 Y136">
    <cfRule type="containsText" dxfId="1" priority="1987" operator="between" text="欠">
      <formula>NOT(ISERROR(SEARCH("欠",W136)))</formula>
    </cfRule>
  </conditionalFormatting>
  <conditionalFormatting sqref="W137 Y137">
    <cfRule type="containsText" dxfId="1" priority="1986" operator="between" text="欠">
      <formula>NOT(ISERROR(SEARCH("欠",W137)))</formula>
    </cfRule>
  </conditionalFormatting>
  <conditionalFormatting sqref="W139 Y138">
    <cfRule type="containsText" dxfId="1" priority="2026" operator="between" text="欠">
      <formula>NOT(ISERROR(SEARCH("欠",W138)))</formula>
    </cfRule>
  </conditionalFormatting>
  <conditionalFormatting sqref="Y140:Y141 W178:Y178">
    <cfRule type="containsText" dxfId="1" priority="1982" operator="between" text="欠">
      <formula>NOT(ISERROR(SEARCH("欠",W140)))</formula>
    </cfRule>
  </conditionalFormatting>
  <conditionalFormatting sqref="V155:X155 V145:X145 V141:X143 V166:X167 V181:X181 V207:X210">
    <cfRule type="containsText" dxfId="1" priority="1900" operator="between" text="欠">
      <formula>NOT(ISERROR(SEARCH("欠",V141)))</formula>
    </cfRule>
  </conditionalFormatting>
  <conditionalFormatting sqref="V144:W144 V154:W154">
    <cfRule type="containsText" dxfId="1" priority="1886" operator="between" text="欠">
      <formula>NOT(ISERROR(SEARCH("欠",V144)))</formula>
    </cfRule>
  </conditionalFormatting>
  <conditionalFormatting sqref="X144 X154">
    <cfRule type="containsText" dxfId="1" priority="1884" operator="between" text="欠">
      <formula>NOT(ISERROR(SEARCH("欠",X144)))</formula>
    </cfRule>
  </conditionalFormatting>
  <conditionalFormatting sqref="Y144 Y154">
    <cfRule type="containsText" dxfId="1" priority="1956" operator="between" text="欠">
      <formula>NOT(ISERROR(SEARCH("欠",Y144)))</formula>
    </cfRule>
  </conditionalFormatting>
  <conditionalFormatting sqref="Y155 Y207:Y211">
    <cfRule type="containsText" dxfId="1" priority="1978" operator="between" text="欠">
      <formula>NOT(ISERROR(SEARCH("欠",Y155)))</formula>
    </cfRule>
  </conditionalFormatting>
  <conditionalFormatting sqref="V159 X159 V156:X156 V157 X157">
    <cfRule type="containsText" dxfId="1" priority="1896" operator="between" text="欠">
      <formula>NOT(ISERROR(SEARCH("欠",V156)))</formula>
    </cfRule>
  </conditionalFormatting>
  <conditionalFormatting sqref="W159 W157">
    <cfRule type="containsText" dxfId="1" priority="1892" operator="between" text="欠">
      <formula>NOT(ISERROR(SEARCH("欠",W157)))</formula>
    </cfRule>
  </conditionalFormatting>
  <conditionalFormatting sqref="Y159 Y157">
    <cfRule type="containsText" dxfId="1" priority="1894" operator="between" text="欠">
      <formula>NOT(ISERROR(SEARCH("欠",Y157)))</formula>
    </cfRule>
  </conditionalFormatting>
  <conditionalFormatting sqref="Y158 Y192">
    <cfRule type="containsText" dxfId="1" priority="1996" operator="between" text="欠">
      <formula>NOT(ISERROR(SEARCH("欠",Y158)))</formula>
    </cfRule>
  </conditionalFormatting>
  <conditionalFormatting sqref="V160 V162">
    <cfRule type="containsText" dxfId="1" priority="1862" operator="between" text="欠">
      <formula>NOT(ISERROR(SEARCH("欠",V160)))</formula>
    </cfRule>
  </conditionalFormatting>
  <conditionalFormatting sqref="W160:X160 V161:X161 W162:X162">
    <cfRule type="containsText" dxfId="1" priority="1860" operator="between" text="欠">
      <formula>NOT(ISERROR(SEARCH("欠",V160)))</formula>
    </cfRule>
  </conditionalFormatting>
  <conditionalFormatting sqref="W171 Y171">
    <cfRule type="containsText" dxfId="1" priority="1844" operator="between" text="欠">
      <formula>NOT(ISERROR(SEARCH("欠",W171)))</formula>
    </cfRule>
  </conditionalFormatting>
  <conditionalFormatting sqref="V172:W175 V193:W193 V200:W200 W234:W238 W245 W242">
    <cfRule type="containsText" dxfId="1" priority="1724" operator="between" text="欠">
      <formula>NOT(ISERROR(SEARCH("欠",V172)))</formula>
    </cfRule>
  </conditionalFormatting>
  <conditionalFormatting sqref="X172:X175 X193 X232 X200 X234:X239">
    <cfRule type="containsText" dxfId="1" priority="1722" operator="between" text="欠">
      <formula>NOT(ISERROR(SEARCH("欠",X172)))</formula>
    </cfRule>
  </conditionalFormatting>
  <conditionalFormatting sqref="Y172:Y175 Y193 Y234:Y238 Y242 Y245 Y200">
    <cfRule type="containsText" dxfId="1" priority="1726" operator="between" text="欠">
      <formula>NOT(ISERROR(SEARCH("欠",Y172)))</formula>
    </cfRule>
  </conditionalFormatting>
  <conditionalFormatting sqref="V176:W177">
    <cfRule type="containsText" dxfId="1" priority="1563" operator="between" text="欠">
      <formula>NOT(ISERROR(SEARCH("欠",V176)))</formula>
    </cfRule>
  </conditionalFormatting>
  <conditionalFormatting sqref="V179 V182:V184">
    <cfRule type="containsText" dxfId="1" priority="1728" operator="between" text="欠">
      <formula>NOT(ISERROR(SEARCH("欠",V179)))</formula>
    </cfRule>
  </conditionalFormatting>
  <conditionalFormatting sqref="W179:X179 W182:X184 V185:X189 V191:X191 W222">
    <cfRule type="containsText" dxfId="1" priority="1772" operator="between" text="欠">
      <formula>NOT(ISERROR(SEARCH("欠",V179)))</formula>
    </cfRule>
  </conditionalFormatting>
  <conditionalFormatting sqref="Y179 Y182:Y189 Y191 Y222">
    <cfRule type="containsText" dxfId="1" priority="1774" operator="between" text="欠">
      <formula>NOT(ISERROR(SEARCH("欠",Y179)))</formula>
    </cfRule>
  </conditionalFormatting>
  <conditionalFormatting sqref="V190 X190">
    <cfRule type="containsText" dxfId="1" priority="1626" operator="between" text="欠">
      <formula>NOT(ISERROR(SEARCH("欠",V190)))</formula>
    </cfRule>
  </conditionalFormatting>
  <conditionalFormatting sqref="W190 Y190">
    <cfRule type="containsText" dxfId="1" priority="1625" operator="between" text="欠">
      <formula>NOT(ISERROR(SEARCH("欠",W190)))</formula>
    </cfRule>
  </conditionalFormatting>
  <conditionalFormatting sqref="V194 X194 X203">
    <cfRule type="containsText" dxfId="1" priority="1732" operator="between" text="欠">
      <formula>NOT(ISERROR(SEARCH("欠",V194)))</formula>
    </cfRule>
  </conditionalFormatting>
  <conditionalFormatting sqref="W194 Y194 W203 Y203">
    <cfRule type="containsText" dxfId="1" priority="1730" operator="between" text="欠">
      <formula>NOT(ISERROR(SEARCH("欠",W194)))</formula>
    </cfRule>
  </conditionalFormatting>
  <conditionalFormatting sqref="V197:W197 V199:W199 V201:W201 V219:V220 W202">
    <cfRule type="containsText" dxfId="1" priority="1686" operator="between" text="欠">
      <formula>NOT(ISERROR(SEARCH("欠",V197)))</formula>
    </cfRule>
  </conditionalFormatting>
  <conditionalFormatting sqref="X197 X201">
    <cfRule type="containsText" dxfId="1" priority="1670" operator="between" text="欠">
      <formula>NOT(ISERROR(SEARCH("欠",X197)))</formula>
    </cfRule>
  </conditionalFormatting>
  <conditionalFormatting sqref="Y197 Y199 Y201:Y202">
    <cfRule type="containsText" dxfId="1" priority="1688" operator="between" text="欠">
      <formula>NOT(ISERROR(SEARCH("欠",Y197)))</formula>
    </cfRule>
  </conditionalFormatting>
  <conditionalFormatting sqref="X199 X202">
    <cfRule type="containsText" dxfId="1" priority="1631" operator="between" text="欠">
      <formula>NOT(ISERROR(SEARCH("欠",X199)))</formula>
    </cfRule>
  </conditionalFormatting>
  <conditionalFormatting sqref="V204 V261">
    <cfRule type="containsText" dxfId="1" priority="1668" operator="between" text="欠">
      <formula>NOT(ISERROR(SEARCH("欠",V204)))</formula>
    </cfRule>
  </conditionalFormatting>
  <conditionalFormatting sqref="W204:X204 W261:X261">
    <cfRule type="containsText" dxfId="1" priority="1696" operator="between" text="欠">
      <formula>NOT(ISERROR(SEARCH("欠",W204)))</formula>
    </cfRule>
  </conditionalFormatting>
  <conditionalFormatting sqref="Y204 Y261">
    <cfRule type="containsText" dxfId="1" priority="1694" operator="between" text="欠">
      <formula>NOT(ISERROR(SEARCH("欠",Y204)))</formula>
    </cfRule>
  </conditionalFormatting>
  <conditionalFormatting sqref="V205 X205">
    <cfRule type="containsText" dxfId="1" priority="1676" operator="between" text="欠">
      <formula>NOT(ISERROR(SEARCH("欠",V205)))</formula>
    </cfRule>
  </conditionalFormatting>
  <conditionalFormatting sqref="Y205:Y206 Y311 Y536:Y537">
    <cfRule type="containsText" dxfId="1" priority="2052" operator="between" text="欠">
      <formula>NOT(ISERROR(SEARCH("欠",Y205)))</formula>
    </cfRule>
  </conditionalFormatting>
  <conditionalFormatting sqref="W212:X212 X213">
    <cfRule type="containsText" dxfId="1" priority="1623" operator="between" text="欠">
      <formula>NOT(ISERROR(SEARCH("欠",W212)))</formula>
    </cfRule>
  </conditionalFormatting>
  <conditionalFormatting sqref="V214:X214 X216:X218">
    <cfRule type="containsText" dxfId="1" priority="1602" operator="between" text="欠">
      <formula>NOT(ISERROR(SEARCH("欠",V214)))</formula>
    </cfRule>
  </conditionalFormatting>
  <conditionalFormatting sqref="Y216:Y218 Y214 Y223:Y225 W219:Y220 Y231:Y233 Y221 W216:W218 Y227:Y229 Y269:Y270 Y274 W247:Y247 Y312">
    <cfRule type="containsText" dxfId="1" priority="2056" operator="between" text="欠">
      <formula>NOT(ISERROR(SEARCH("欠",W214)))</formula>
    </cfRule>
  </conditionalFormatting>
  <conditionalFormatting sqref="V216:V217 V247">
    <cfRule type="containsText" dxfId="1" priority="2054" operator="between" text="欠">
      <formula>NOT(ISERROR(SEARCH("欠",V216)))</formula>
    </cfRule>
  </conditionalFormatting>
  <conditionalFormatting sqref="V221 V228">
    <cfRule type="containsText" dxfId="1" priority="1646" operator="between" text="欠">
      <formula>NOT(ISERROR(SEARCH("欠",V221)))</formula>
    </cfRule>
  </conditionalFormatting>
  <conditionalFormatting sqref="W221:X221 W228:X228">
    <cfRule type="containsText" dxfId="1" priority="1648" operator="between" text="欠">
      <formula>NOT(ISERROR(SEARCH("欠",W221)))</formula>
    </cfRule>
  </conditionalFormatting>
  <conditionalFormatting sqref="V223:X223 W225 V233:X233 W232 V229:X229 V274:X274">
    <cfRule type="containsText" dxfId="1" priority="1828" operator="between" text="欠">
      <formula>NOT(ISERROR(SEARCH("欠",V223)))</formula>
    </cfRule>
  </conditionalFormatting>
  <conditionalFormatting sqref="W230 Y230">
    <cfRule type="containsText" dxfId="1" priority="1635" operator="between" text="欠">
      <formula>NOT(ISERROR(SEARCH("欠",W230)))</formula>
    </cfRule>
  </conditionalFormatting>
  <conditionalFormatting sqref="W239:W241 W255:W256 W249 W246 W243:W244">
    <cfRule type="containsText" dxfId="1" priority="1578" operator="between" text="欠">
      <formula>NOT(ISERROR(SEARCH("欠",W239)))</formula>
    </cfRule>
  </conditionalFormatting>
  <conditionalFormatting sqref="Y239:Y241 Y255:Y256 Y248:Y249 Y246 Y243:Y244">
    <cfRule type="containsText" dxfId="1" priority="1579" operator="between" text="欠">
      <formula>NOT(ISERROR(SEARCH("欠",Y239)))</formula>
    </cfRule>
  </conditionalFormatting>
  <conditionalFormatting sqref="V243 V255 V249 V245:V246 V240:V241">
    <cfRule type="containsText" dxfId="1" priority="1576" operator="between" text="欠">
      <formula>NOT(ISERROR(SEARCH("欠",V240)))</formula>
    </cfRule>
  </conditionalFormatting>
  <conditionalFormatting sqref="X240:X241 X255 X249 X246 X243:X244">
    <cfRule type="containsText" dxfId="1" priority="1577" operator="between" text="欠">
      <formula>NOT(ISERROR(SEARCH("欠",X240)))</formula>
    </cfRule>
  </conditionalFormatting>
  <conditionalFormatting sqref="V291:W291 V271 V268 W257:W258 V262:V265 V276:V279 V368 W388">
    <cfRule type="containsText" dxfId="1" priority="1601" operator="between" text="欠">
      <formula>NOT(ISERROR(SEARCH("欠",V257)))</formula>
    </cfRule>
  </conditionalFormatting>
  <conditionalFormatting sqref="Y257:Y258 Y388">
    <cfRule type="containsText" dxfId="1" priority="1599" operator="between" text="欠">
      <formula>NOT(ISERROR(SEARCH("欠",Y257)))</formula>
    </cfRule>
  </conditionalFormatting>
  <conditionalFormatting sqref="Z257:Z258 Z388">
    <cfRule type="containsText" dxfId="1" priority="1598" operator="between" text="欠">
      <formula>NOT(ISERROR(SEARCH("欠",Z257)))</formula>
    </cfRule>
  </conditionalFormatting>
  <conditionalFormatting sqref="W328 W271 W262:W267 W277 W368">
    <cfRule type="containsText" dxfId="1" priority="1605" operator="between" text="欠">
      <formula>NOT(ISERROR(SEARCH("欠",W262)))</formula>
    </cfRule>
  </conditionalFormatting>
  <conditionalFormatting sqref="X291 X271 X262:X267 X316 X322:X324 X276:X279 X328 X368 X388">
    <cfRule type="containsText" dxfId="1" priority="1600" operator="between" text="欠">
      <formula>NOT(ISERROR(SEARCH("欠",X262)))</formula>
    </cfRule>
  </conditionalFormatting>
  <conditionalFormatting sqref="Y328 Y271 Y262:Y267 Y277 Y368">
    <cfRule type="containsText" dxfId="1" priority="1606" operator="between" text="欠">
      <formula>NOT(ISERROR(SEARCH("欠",Y262)))</formula>
    </cfRule>
  </conditionalFormatting>
  <conditionalFormatting sqref="V266:V267 V388">
    <cfRule type="containsText" dxfId="1" priority="1517" operator="between" text="欠">
      <formula>NOT(ISERROR(SEARCH("欠",V266)))</formula>
    </cfRule>
  </conditionalFormatting>
  <conditionalFormatting sqref="W268 W307:W310 W329 W293 W390">
    <cfRule type="containsText" dxfId="1" priority="1492" operator="between" text="欠">
      <formula>NOT(ISERROR(SEARCH("欠",W268)))</formula>
    </cfRule>
  </conditionalFormatting>
  <conditionalFormatting sqref="X268 X307:X309 X293 X390">
    <cfRule type="containsText" dxfId="1" priority="1490" operator="between" text="欠">
      <formula>NOT(ISERROR(SEARCH("欠",X268)))</formula>
    </cfRule>
  </conditionalFormatting>
  <conditionalFormatting sqref="Y268 Y307:Y310 Y329 Y293 Y390">
    <cfRule type="containsText" dxfId="1" priority="1491" operator="between" text="欠">
      <formula>NOT(ISERROR(SEARCH("欠",Y268)))</formula>
    </cfRule>
  </conditionalFormatting>
  <conditionalFormatting sqref="V269:W270">
    <cfRule type="containsText" dxfId="1" priority="1571" operator="between" text="欠">
      <formula>NOT(ISERROR(SEARCH("欠",V269)))</formula>
    </cfRule>
  </conditionalFormatting>
  <conditionalFormatting sqref="X269:X270 X403:X404">
    <cfRule type="containsText" dxfId="1" priority="1539" operator="between" text="欠">
      <formula>NOT(ISERROR(SEARCH("欠",X269)))</formula>
    </cfRule>
  </conditionalFormatting>
  <conditionalFormatting sqref="V275 V284:V286">
    <cfRule type="containsText" dxfId="1" priority="1440" operator="between" text="欠">
      <formula>NOT(ISERROR(SEARCH("欠",V275)))</formula>
    </cfRule>
  </conditionalFormatting>
  <conditionalFormatting sqref="Y278:Y280 Y292 Y306">
    <cfRule type="containsText" dxfId="1" priority="1610" operator="between" text="欠">
      <formula>NOT(ISERROR(SEARCH("欠",Y278)))</formula>
    </cfRule>
  </conditionalFormatting>
  <conditionalFormatting sqref="V280 V292">
    <cfRule type="containsText" dxfId="1" priority="1518" operator="between" text="欠">
      <formula>NOT(ISERROR(SEARCH("欠",V280)))</formula>
    </cfRule>
  </conditionalFormatting>
  <conditionalFormatting sqref="W280 W292 W306">
    <cfRule type="containsText" dxfId="1" priority="1550" operator="between" text="欠">
      <formula>NOT(ISERROR(SEARCH("欠",W280)))</formula>
    </cfRule>
  </conditionalFormatting>
  <conditionalFormatting sqref="X280 X292 X306">
    <cfRule type="containsText" dxfId="1" priority="1549" operator="between" text="欠">
      <formula>NOT(ISERROR(SEARCH("欠",X280)))</formula>
    </cfRule>
  </conditionalFormatting>
  <conditionalFormatting sqref="V283 V321">
    <cfRule type="containsText" dxfId="1" priority="1457" operator="between" text="欠">
      <formula>NOT(ISERROR(SEARCH("欠",V283)))</formula>
    </cfRule>
  </conditionalFormatting>
  <conditionalFormatting sqref="W290 W283:W286 W321">
    <cfRule type="containsText" dxfId="1" priority="1469" operator="between" text="欠">
      <formula>NOT(ISERROR(SEARCH("欠",W283)))</formula>
    </cfRule>
  </conditionalFormatting>
  <conditionalFormatting sqref="Y290 Y283:Y286 Y321">
    <cfRule type="containsText" dxfId="1" priority="1465" operator="between" text="欠">
      <formula>NOT(ISERROR(SEARCH("欠",Y283)))</formula>
    </cfRule>
  </conditionalFormatting>
  <conditionalFormatting sqref="X284:X286 X321">
    <cfRule type="containsText" dxfId="1" priority="1461" operator="between" text="欠">
      <formula>NOT(ISERROR(SEARCH("欠",X284)))</formula>
    </cfRule>
  </conditionalFormatting>
  <conditionalFormatting sqref="V307:V310 V293">
    <cfRule type="containsText" dxfId="1" priority="1481" operator="between" text="欠">
      <formula>NOT(ISERROR(SEARCH("欠",V293)))</formula>
    </cfRule>
  </conditionalFormatting>
  <conditionalFormatting sqref="V294:V305 V317:V320">
    <cfRule type="containsText" dxfId="1" priority="1280" operator="between" text="欠">
      <formula>NOT(ISERROR(SEARCH("欠",V294)))</formula>
    </cfRule>
  </conditionalFormatting>
  <conditionalFormatting sqref="X294:X305 X317:X320">
    <cfRule type="containsText" dxfId="1" priority="1296" operator="between" text="欠">
      <formula>NOT(ISERROR(SEARCH("欠",X294)))</formula>
    </cfRule>
  </conditionalFormatting>
  <conditionalFormatting sqref="W305 W317:W320">
    <cfRule type="containsText" dxfId="1" priority="1362" operator="between" text="欠">
      <formula>NOT(ISERROR(SEARCH("欠",W305)))</formula>
    </cfRule>
  </conditionalFormatting>
  <conditionalFormatting sqref="Y305 Y317:Y320">
    <cfRule type="containsText" dxfId="1" priority="1356" operator="between" text="欠">
      <formula>NOT(ISERROR(SEARCH("欠",Y305)))</formula>
    </cfRule>
  </conditionalFormatting>
  <conditionalFormatting sqref="W313 W414:W415">
    <cfRule type="containsText" dxfId="1" priority="1547" operator="between" text="欠">
      <formula>NOT(ISERROR(SEARCH("欠",W313)))</formula>
    </cfRule>
  </conditionalFormatting>
  <conditionalFormatting sqref="X313 X414:X415">
    <cfRule type="containsText" dxfId="1" priority="1545" operator="between" text="欠">
      <formula>NOT(ISERROR(SEARCH("欠",X313)))</formula>
    </cfRule>
  </conditionalFormatting>
  <conditionalFormatting sqref="Y313 Y414:Y415">
    <cfRule type="containsText" dxfId="1" priority="1546" operator="between" text="欠">
      <formula>NOT(ISERROR(SEARCH("欠",Y313)))</formula>
    </cfRule>
  </conditionalFormatting>
  <conditionalFormatting sqref="V314 V330:V331">
    <cfRule type="containsText" dxfId="1" priority="1477" operator="between" text="欠">
      <formula>NOT(ISERROR(SEARCH("欠",V314)))</formula>
    </cfRule>
  </conditionalFormatting>
  <conditionalFormatting sqref="W314 W330">
    <cfRule type="containsText" dxfId="1" priority="1480" operator="between" text="欠">
      <formula>NOT(ISERROR(SEARCH("欠",W314)))</formula>
    </cfRule>
  </conditionalFormatting>
  <conditionalFormatting sqref="X314 X330:X331">
    <cfRule type="containsText" dxfId="1" priority="1478" operator="between" text="欠">
      <formula>NOT(ISERROR(SEARCH("欠",X314)))</formula>
    </cfRule>
  </conditionalFormatting>
  <conditionalFormatting sqref="Y314 Y330">
    <cfRule type="containsText" dxfId="1" priority="1479" operator="between" text="欠">
      <formula>NOT(ISERROR(SEARCH("欠",Y314)))</formula>
    </cfRule>
  </conditionalFormatting>
  <conditionalFormatting sqref="V333 V315:V316 V322:V324 V348 V470">
    <cfRule type="containsText" dxfId="1" priority="1502" operator="between" text="欠">
      <formula>NOT(ISERROR(SEARCH("欠",V315)))</formula>
    </cfRule>
  </conditionalFormatting>
  <conditionalFormatting sqref="W315:W316 W322:W324 W333">
    <cfRule type="containsText" dxfId="1" priority="1510" operator="between" text="欠">
      <formula>NOT(ISERROR(SEARCH("欠",W315)))</formula>
    </cfRule>
  </conditionalFormatting>
  <conditionalFormatting sqref="X333 X315 X417 X450">
    <cfRule type="containsText" dxfId="1" priority="1508" operator="between" text="欠">
      <formula>NOT(ISERROR(SEARCH("欠",X315)))</formula>
    </cfRule>
  </conditionalFormatting>
  <conditionalFormatting sqref="Y315:Y316 Y322:Y324 Y333">
    <cfRule type="containsText" dxfId="1" priority="1509" operator="between" text="欠">
      <formula>NOT(ISERROR(SEARCH("欠",Y315)))</formula>
    </cfRule>
  </conditionalFormatting>
  <conditionalFormatting sqref="V334:W334 Y334">
    <cfRule type="containsText" dxfId="1" priority="1256" operator="between" text="欠">
      <formula>NOT(ISERROR(SEARCH("欠",V334)))</formula>
    </cfRule>
  </conditionalFormatting>
  <conditionalFormatting sqref="V335:V336 V339:V340">
    <cfRule type="containsText" dxfId="1" priority="1279" operator="between" text="欠">
      <formula>NOT(ISERROR(SEARCH("欠",V335)))</formula>
    </cfRule>
  </conditionalFormatting>
  <conditionalFormatting sqref="W335:Y336 Y338 W338 W339:Y340">
    <cfRule type="containsText" dxfId="1" priority="1282" operator="between" text="欠">
      <formula>NOT(ISERROR(SEARCH("欠",W335)))</formula>
    </cfRule>
  </conditionalFormatting>
  <conditionalFormatting sqref="X338 X343 X346:X347">
    <cfRule type="containsText" dxfId="1" priority="1248" operator="between" text="欠">
      <formula>NOT(ISERROR(SEARCH("欠",X338)))</formula>
    </cfRule>
  </conditionalFormatting>
  <conditionalFormatting sqref="V341 V343 V346:V347">
    <cfRule type="containsText" dxfId="1" priority="1247" operator="between" text="欠">
      <formula>NOT(ISERROR(SEARCH("欠",V341)))</formula>
    </cfRule>
  </conditionalFormatting>
  <conditionalFormatting sqref="W341 Y341">
    <cfRule type="containsText" dxfId="1" priority="1224" operator="between" text="欠">
      <formula>NOT(ISERROR(SEARCH("欠",W341)))</formula>
    </cfRule>
  </conditionalFormatting>
  <conditionalFormatting sqref="W343 Y343 Y346:Y347 W346:W347">
    <cfRule type="containsText" dxfId="1" priority="1258" operator="between" text="欠">
      <formula>NOT(ISERROR(SEARCH("欠",W343)))</formula>
    </cfRule>
  </conditionalFormatting>
  <conditionalFormatting sqref="W344:Y344 W350:W356 W361:W364">
    <cfRule type="containsText" dxfId="1" priority="1263" operator="between" text="欠">
      <formula>NOT(ISERROR(SEARCH("欠",W344)))</formula>
    </cfRule>
  </conditionalFormatting>
  <conditionalFormatting sqref="W349:X349 X350:X364">
    <cfRule type="containsText" dxfId="1" priority="1209" operator="between" text="欠">
      <formula>NOT(ISERROR(SEARCH("欠",W349)))</formula>
    </cfRule>
  </conditionalFormatting>
  <conditionalFormatting sqref="V369:V370 V367 V405 V407:V411">
    <cfRule type="containsText" dxfId="1" priority="1597" operator="between" text="欠">
      <formula>NOT(ISERROR(SEARCH("欠",V367)))</formula>
    </cfRule>
  </conditionalFormatting>
  <conditionalFormatting sqref="W367:Y367 W369:Y370 Y401:Y404 X405:Y405 X407:Y411 Y412 Y417 Y442:Y446 Y450 Y471:Y472 Y529:Y534 Y770">
    <cfRule type="containsText" dxfId="1" priority="1604" operator="between" text="欠">
      <formula>NOT(ISERROR(SEARCH("欠",W367)))</formula>
    </cfRule>
  </conditionalFormatting>
  <conditionalFormatting sqref="W389 W371 W391">
    <cfRule type="containsText" dxfId="1" priority="1243" operator="between" text="欠">
      <formula>NOT(ISERROR(SEARCH("欠",W371)))</formula>
    </cfRule>
  </conditionalFormatting>
  <conditionalFormatting sqref="Y389 Y371 Y391">
    <cfRule type="containsText" dxfId="1" priority="1244" operator="between" text="欠">
      <formula>NOT(ISERROR(SEARCH("欠",Y371)))</formula>
    </cfRule>
  </conditionalFormatting>
  <conditionalFormatting sqref="W372:Y372 X373:Y379">
    <cfRule type="containsText" dxfId="1" priority="1197" operator="between" text="欠">
      <formula>NOT(ISERROR(SEARCH("欠",W372)))</formula>
    </cfRule>
  </conditionalFormatting>
  <conditionalFormatting sqref="P388:T389">
    <cfRule type="containsText" dxfId="1" priority="1515" operator="between" text="欠">
      <formula>NOT(ISERROR(SEARCH("欠",P388)))</formula>
    </cfRule>
  </conditionalFormatting>
  <conditionalFormatting sqref="V389 V391">
    <cfRule type="containsText" dxfId="1" priority="1242" operator="between" text="欠">
      <formula>NOT(ISERROR(SEARCH("欠",V389)))</formula>
    </cfRule>
  </conditionalFormatting>
  <conditionalFormatting sqref="W397 W392:W395 W418">
    <cfRule type="containsText" dxfId="1" priority="1149" operator="between" text="欠">
      <formula>NOT(ISERROR(SEARCH("欠",W392)))</formula>
    </cfRule>
  </conditionalFormatting>
  <conditionalFormatting sqref="V399 V423">
    <cfRule type="containsText" dxfId="1" priority="1005" operator="between" text="欠">
      <formula>NOT(ISERROR(SEARCH("欠",V399)))</formula>
    </cfRule>
  </conditionalFormatting>
  <conditionalFormatting sqref="W407:W413 W405 W401:W402 Y413">
    <cfRule type="containsText" dxfId="1" priority="1554" operator="between" text="欠">
      <formula>NOT(ISERROR(SEARCH("欠",W401)))</formula>
    </cfRule>
  </conditionalFormatting>
  <conditionalFormatting sqref="V403:W404 W417 W442:W446 W450 W471:W472 W529:W534 W770">
    <cfRule type="containsText" dxfId="1" priority="1569" operator="between" text="欠">
      <formula>NOT(ISERROR(SEARCH("欠",V403)))</formula>
    </cfRule>
  </conditionalFormatting>
  <conditionalFormatting sqref="V412:V413 V445:V446 V471:V472 V529:V534 V770">
    <cfRule type="containsText" dxfId="1" priority="1553" operator="between" text="欠">
      <formula>NOT(ISERROR(SEARCH("欠",V412)))</formula>
    </cfRule>
  </conditionalFormatting>
  <conditionalFormatting sqref="V416 V419">
    <cfRule type="containsText" dxfId="1" priority="1121" operator="between" text="欠">
      <formula>NOT(ISERROR(SEARCH("欠",V416)))</formula>
    </cfRule>
  </conditionalFormatting>
  <conditionalFormatting sqref="W416 W419">
    <cfRule type="containsText" dxfId="1" priority="1124" operator="between" text="欠">
      <formula>NOT(ISERROR(SEARCH("欠",W416)))</formula>
    </cfRule>
  </conditionalFormatting>
  <conditionalFormatting sqref="X416 X419">
    <cfRule type="containsText" dxfId="1" priority="1119" operator="between" text="欠">
      <formula>NOT(ISERROR(SEARCH("欠",X416)))</formula>
    </cfRule>
  </conditionalFormatting>
  <conditionalFormatting sqref="V417 V450">
    <cfRule type="containsText" dxfId="1" priority="1439" operator="between" text="欠">
      <formula>NOT(ISERROR(SEARCH("欠",V417)))</formula>
    </cfRule>
  </conditionalFormatting>
  <conditionalFormatting sqref="V424 V418 V475">
    <cfRule type="containsText" dxfId="1" priority="1146" operator="between" text="欠">
      <formula>NOT(ISERROR(SEARCH("欠",V418)))</formula>
    </cfRule>
  </conditionalFormatting>
  <conditionalFormatting sqref="V425 V447 V420 V453 V473">
    <cfRule type="containsText" dxfId="1" priority="1225" operator="between" text="欠">
      <formula>NOT(ISERROR(SEARCH("欠",V420)))</formula>
    </cfRule>
  </conditionalFormatting>
  <conditionalFormatting sqref="W425 W447 W420 W453 W473">
    <cfRule type="containsText" dxfId="1" priority="1239" operator="between" text="欠">
      <formula>NOT(ISERROR(SEARCH("欠",W420)))</formula>
    </cfRule>
  </conditionalFormatting>
  <conditionalFormatting sqref="X425 X447 X420 X453 X473">
    <cfRule type="containsText" dxfId="1" priority="1238" operator="between" text="欠">
      <formula>NOT(ISERROR(SEARCH("欠",X420)))</formula>
    </cfRule>
  </conditionalFormatting>
  <conditionalFormatting sqref="Y425 Y447 Y420 Y453 Y473">
    <cfRule type="containsText" dxfId="1" priority="1240" operator="between" text="欠">
      <formula>NOT(ISERROR(SEARCH("欠",Y420)))</formula>
    </cfRule>
  </conditionalFormatting>
  <conditionalFormatting sqref="X426:X440 X462">
    <cfRule type="containsText" dxfId="1" priority="995" operator="between" text="欠">
      <formula>NOT(ISERROR(SEARCH("欠",X426)))</formula>
    </cfRule>
  </conditionalFormatting>
  <conditionalFormatting sqref="X445:X446 X471:X472 X529:X534 X770">
    <cfRule type="containsText" dxfId="1" priority="1542" operator="between" text="欠">
      <formula>NOT(ISERROR(SEARCH("欠",X445)))</formula>
    </cfRule>
  </conditionalFormatting>
  <conditionalFormatting sqref="Y449 Y454:Y455 Y465">
    <cfRule type="containsText" dxfId="1" priority="1100" operator="between" text="欠">
      <formula>NOT(ISERROR(SEARCH("欠",Y449)))</formula>
    </cfRule>
  </conditionalFormatting>
  <conditionalFormatting sqref="V462 V454:V455 V465">
    <cfRule type="containsText" dxfId="1" priority="1097" operator="between" text="欠">
      <formula>NOT(ISERROR(SEARCH("欠",V454)))</formula>
    </cfRule>
  </conditionalFormatting>
  <conditionalFormatting sqref="W462 W454:W455 W465">
    <cfRule type="containsText" dxfId="1" priority="1099" operator="between" text="欠">
      <formula>NOT(ISERROR(SEARCH("欠",W454)))</formula>
    </cfRule>
  </conditionalFormatting>
  <conditionalFormatting sqref="X454:X455 X465">
    <cfRule type="containsText" dxfId="1" priority="1098" operator="between" text="欠">
      <formula>NOT(ISERROR(SEARCH("欠",X454)))</formula>
    </cfRule>
  </conditionalFormatting>
  <conditionalFormatting sqref="V457:V461 V466:V469">
    <cfRule type="containsText" dxfId="1" priority="942" operator="between" text="欠">
      <formula>NOT(ISERROR(SEARCH("欠",V457)))</formula>
    </cfRule>
  </conditionalFormatting>
  <conditionalFormatting sqref="W463 W457:W461 W466:W469">
    <cfRule type="containsText" dxfId="1" priority="943" operator="between" text="欠">
      <formula>NOT(ISERROR(SEARCH("欠",W457)))</formula>
    </cfRule>
  </conditionalFormatting>
  <conditionalFormatting sqref="X463 X457:X461 X466:X469">
    <cfRule type="containsText" dxfId="1" priority="941" operator="between" text="欠">
      <formula>NOT(ISERROR(SEARCH("欠",X457)))</formula>
    </cfRule>
  </conditionalFormatting>
  <conditionalFormatting sqref="Y463 Y461 Y466:Y469">
    <cfRule type="containsText" dxfId="1" priority="954" operator="between" text="欠">
      <formula>NOT(ISERROR(SEARCH("欠",Y461)))</formula>
    </cfRule>
  </conditionalFormatting>
  <conditionalFormatting sqref="Y470 Y477">
    <cfRule type="containsText" dxfId="1" priority="1506" operator="between" text="欠">
      <formula>NOT(ISERROR(SEARCH("欠",Y470)))</formula>
    </cfRule>
  </conditionalFormatting>
  <conditionalFormatting sqref="W478 W485:W488 W535">
    <cfRule type="containsText" dxfId="1" priority="982" operator="between" text="欠">
      <formula>NOT(ISERROR(SEARCH("欠",W478)))</formula>
    </cfRule>
  </conditionalFormatting>
  <conditionalFormatting sqref="X478 X485:X488 X535">
    <cfRule type="containsText" dxfId="1" priority="980" operator="between" text="欠">
      <formula>NOT(ISERROR(SEARCH("欠",X478)))</formula>
    </cfRule>
  </conditionalFormatting>
  <conditionalFormatting sqref="V535 V485:V488">
    <cfRule type="containsText" dxfId="1" priority="920" operator="between" text="欠">
      <formula>NOT(ISERROR(SEARCH("欠",V485)))</formula>
    </cfRule>
  </conditionalFormatting>
  <conditionalFormatting sqref="V489:V495 V511:V518">
    <cfRule type="containsText" dxfId="1" priority="868" operator="between" text="欠">
      <formula>NOT(ISERROR(SEARCH("欠",V489)))</formula>
    </cfRule>
  </conditionalFormatting>
  <conditionalFormatting sqref="X511:X518 X521 X489:X495">
    <cfRule type="containsText" dxfId="1" priority="853" operator="between" text="欠">
      <formula>NOT(ISERROR(SEARCH("欠",X489)))</formula>
    </cfRule>
  </conditionalFormatting>
  <conditionalFormatting sqref="Y489:Y495 Y511:Y518">
    <cfRule type="containsText" dxfId="1" priority="730" operator="between" text="欠">
      <formula>NOT(ISERROR(SEARCH("欠",Y489)))</formula>
    </cfRule>
  </conditionalFormatting>
  <conditionalFormatting sqref="W518 W521:W522">
    <cfRule type="containsText" dxfId="1" priority="869" operator="between" text="欠">
      <formula>NOT(ISERROR(SEARCH("欠",W518)))</formula>
    </cfRule>
  </conditionalFormatting>
  <conditionalFormatting sqref="V520 V525:V527">
    <cfRule type="containsText" dxfId="1" priority="888" operator="between" text="欠">
      <formula>NOT(ISERROR(SEARCH("欠",V520)))</formula>
    </cfRule>
  </conditionalFormatting>
  <conditionalFormatting sqref="W520 W525:W527">
    <cfRule type="containsText" dxfId="1" priority="907" operator="between" text="欠">
      <formula>NOT(ISERROR(SEARCH("欠",W520)))</formula>
    </cfRule>
  </conditionalFormatting>
  <conditionalFormatting sqref="X520 X525:X527">
    <cfRule type="containsText" dxfId="1" priority="887" operator="between" text="欠">
      <formula>NOT(ISERROR(SEARCH("欠",X520)))</formula>
    </cfRule>
  </conditionalFormatting>
  <conditionalFormatting sqref="V545 V528 V538:V542 V554">
    <cfRule type="containsText" dxfId="1" priority="894" operator="between" text="欠">
      <formula>NOT(ISERROR(SEARCH("欠",V528)))</formula>
    </cfRule>
  </conditionalFormatting>
  <conditionalFormatting sqref="W528 W538:W542 W545">
    <cfRule type="containsText" dxfId="1" priority="903" operator="between" text="欠">
      <formula>NOT(ISERROR(SEARCH("欠",W528)))</formula>
    </cfRule>
  </conditionalFormatting>
  <conditionalFormatting sqref="X528 X538:X541 X554">
    <cfRule type="containsText" dxfId="1" priority="893" operator="between" text="欠">
      <formula>NOT(ISERROR(SEARCH("欠",X528)))</formula>
    </cfRule>
  </conditionalFormatting>
  <conditionalFormatting sqref="Y538:Y542 Y545">
    <cfRule type="containsText" dxfId="1" priority="892" operator="between" text="欠">
      <formula>NOT(ISERROR(SEARCH("欠",Y538)))</formula>
    </cfRule>
  </conditionalFormatting>
  <conditionalFormatting sqref="X542 X545">
    <cfRule type="containsText" dxfId="1" priority="789" operator="between" text="欠">
      <formula>NOT(ISERROR(SEARCH("欠",X542)))</formula>
    </cfRule>
  </conditionalFormatting>
  <conditionalFormatting sqref="X548 X560 X567 X583 X581 X586:X589 X591">
    <cfRule type="containsText" dxfId="1" priority="798" operator="between" text="欠">
      <formula>NOT(ISERROR(SEARCH("欠",X548)))</formula>
    </cfRule>
  </conditionalFormatting>
  <conditionalFormatting sqref="V555 V561">
    <cfRule type="containsText" dxfId="1" priority="738" operator="between" text="欠">
      <formula>NOT(ISERROR(SEARCH("欠",V555)))</formula>
    </cfRule>
  </conditionalFormatting>
  <conditionalFormatting sqref="V558 V562:V566 V571">
    <cfRule type="containsText" dxfId="1" priority="702" operator="between" text="欠">
      <formula>NOT(ISERROR(SEARCH("欠",V558)))</formula>
    </cfRule>
  </conditionalFormatting>
  <conditionalFormatting sqref="W558 W562:W564">
    <cfRule type="containsText" dxfId="1" priority="711" operator="between" text="欠">
      <formula>NOT(ISERROR(SEARCH("欠",W558)))</formula>
    </cfRule>
  </conditionalFormatting>
  <conditionalFormatting sqref="X558 X562:X566 X568 X571">
    <cfRule type="containsText" dxfId="1" priority="703" operator="between" text="欠">
      <formula>NOT(ISERROR(SEARCH("欠",X558)))</formula>
    </cfRule>
  </conditionalFormatting>
  <conditionalFormatting sqref="Y558 Y562:Y564">
    <cfRule type="containsText" dxfId="1" priority="708" operator="between" text="欠">
      <formula>NOT(ISERROR(SEARCH("欠",Y558)))</formula>
    </cfRule>
  </conditionalFormatting>
  <conditionalFormatting sqref="W565:W566 W571">
    <cfRule type="containsText" dxfId="1" priority="701" operator="between" text="欠">
      <formula>NOT(ISERROR(SEARCH("欠",W565)))</formula>
    </cfRule>
  </conditionalFormatting>
  <conditionalFormatting sqref="Y565:Y566 Y571">
    <cfRule type="containsText" dxfId="1" priority="700" operator="between" text="欠">
      <formula>NOT(ISERROR(SEARCH("欠",Y565)))</formula>
    </cfRule>
  </conditionalFormatting>
  <conditionalFormatting sqref="Y567 Y586:Y589 Y581 Y591">
    <cfRule type="containsText" dxfId="1" priority="790" operator="between" text="欠">
      <formula>NOT(ISERROR(SEARCH("欠",Y567)))</formula>
    </cfRule>
  </conditionalFormatting>
  <conditionalFormatting sqref="V568 V581 V604">
    <cfRule type="containsText" dxfId="1" priority="726" operator="between" text="欠">
      <formula>NOT(ISERROR(SEARCH("欠",V568)))</formula>
    </cfRule>
  </conditionalFormatting>
  <conditionalFormatting sqref="V572:V573 V569:V570 V577">
    <cfRule type="containsText" dxfId="1" priority="677" operator="between" text="欠">
      <formula>NOT(ISERROR(SEARCH("欠",V569)))</formula>
    </cfRule>
  </conditionalFormatting>
  <conditionalFormatting sqref="W572:W573 W569:W570 W577">
    <cfRule type="containsText" dxfId="1" priority="678" operator="between" text="欠">
      <formula>NOT(ISERROR(SEARCH("欠",W569)))</formula>
    </cfRule>
  </conditionalFormatting>
  <conditionalFormatting sqref="X572:X573 X569:X570 X577">
    <cfRule type="containsText" dxfId="1" priority="675" operator="between" text="欠">
      <formula>NOT(ISERROR(SEARCH("欠",X569)))</formula>
    </cfRule>
  </conditionalFormatting>
  <conditionalFormatting sqref="Y572:Y573 Y569:Y570 Y577">
    <cfRule type="containsText" dxfId="1" priority="676" operator="between" text="欠">
      <formula>NOT(ISERROR(SEARCH("欠",Y569)))</formula>
    </cfRule>
  </conditionalFormatting>
  <conditionalFormatting sqref="W575:W576 W579 W671">
    <cfRule type="containsText" dxfId="1" priority="682" operator="between" text="欠">
      <formula>NOT(ISERROR(SEARCH("欠",W575)))</formula>
    </cfRule>
  </conditionalFormatting>
  <conditionalFormatting sqref="Y575:Y576 Y579 Y671">
    <cfRule type="containsText" dxfId="1" priority="681" operator="between" text="欠">
      <formula>NOT(ISERROR(SEARCH("欠",Y575)))</formula>
    </cfRule>
  </conditionalFormatting>
  <conditionalFormatting sqref="V576 V578:V579">
    <cfRule type="containsText" dxfId="1" priority="673" operator="between" text="欠">
      <formula>NOT(ISERROR(SEARCH("欠",V576)))</formula>
    </cfRule>
  </conditionalFormatting>
  <conditionalFormatting sqref="X576 X578:X579">
    <cfRule type="containsText" dxfId="1" priority="671" operator="between" text="欠">
      <formula>NOT(ISERROR(SEARCH("欠",X576)))</formula>
    </cfRule>
  </conditionalFormatting>
  <conditionalFormatting sqref="W581 W586:W589 W583 W591">
    <cfRule type="containsText" dxfId="1" priority="796" operator="between" text="欠">
      <formula>NOT(ISERROR(SEARCH("欠",W581)))</formula>
    </cfRule>
  </conditionalFormatting>
  <conditionalFormatting sqref="V585 V592">
    <cfRule type="containsText" dxfId="1" priority="616" operator="between" text="欠">
      <formula>NOT(ISERROR(SEARCH("欠",V585)))</formula>
    </cfRule>
  </conditionalFormatting>
  <conditionalFormatting sqref="W585 W592">
    <cfRule type="containsText" dxfId="1" priority="618" operator="between" text="欠">
      <formula>NOT(ISERROR(SEARCH("欠",W585)))</formula>
    </cfRule>
  </conditionalFormatting>
  <conditionalFormatting sqref="X585 X592">
    <cfRule type="containsText" dxfId="1" priority="619" operator="between" text="欠">
      <formula>NOT(ISERROR(SEARCH("欠",X585)))</formula>
    </cfRule>
  </conditionalFormatting>
  <conditionalFormatting sqref="Y585 Y592">
    <cfRule type="containsText" dxfId="1" priority="617" operator="between" text="欠">
      <formula>NOT(ISERROR(SEARCH("欠",Y585)))</formula>
    </cfRule>
  </conditionalFormatting>
  <conditionalFormatting sqref="V586:V589 V591">
    <cfRule type="containsText" dxfId="1" priority="652" operator="between" text="欠">
      <formula>NOT(ISERROR(SEARCH("欠",V586)))</formula>
    </cfRule>
  </conditionalFormatting>
  <conditionalFormatting sqref="W593:W595 W597">
    <cfRule type="containsText" dxfId="1" priority="647" operator="between" text="欠">
      <formula>NOT(ISERROR(SEARCH("欠",W593)))</formula>
    </cfRule>
  </conditionalFormatting>
  <conditionalFormatting sqref="X593:X595 X597">
    <cfRule type="containsText" dxfId="1" priority="644" operator="between" text="欠">
      <formula>NOT(ISERROR(SEARCH("欠",X593)))</formula>
    </cfRule>
  </conditionalFormatting>
  <conditionalFormatting sqref="Y593:Y595 Y597">
    <cfRule type="containsText" dxfId="1" priority="646" operator="between" text="欠">
      <formula>NOT(ISERROR(SEARCH("欠",Y593)))</formula>
    </cfRule>
  </conditionalFormatting>
  <conditionalFormatting sqref="V600 V608">
    <cfRule type="cellIs" dxfId="0" priority="541" operator="equal">
      <formula>"欠"</formula>
    </cfRule>
  </conditionalFormatting>
  <conditionalFormatting sqref="W600 W608">
    <cfRule type="containsText" dxfId="1" priority="550" operator="between" text="欠">
      <formula>NOT(ISERROR(SEARCH("欠",W600)))</formula>
    </cfRule>
  </conditionalFormatting>
  <conditionalFormatting sqref="X600 X608">
    <cfRule type="containsText" dxfId="1" priority="540" operator="between" text="欠">
      <formula>NOT(ISERROR(SEARCH("欠",X600)))</formula>
    </cfRule>
  </conditionalFormatting>
  <conditionalFormatting sqref="Y600 Y608">
    <cfRule type="containsText" dxfId="1" priority="548" operator="between" text="欠">
      <formula>NOT(ISERROR(SEARCH("欠",Y600)))</formula>
    </cfRule>
  </conditionalFormatting>
  <conditionalFormatting sqref="V601:V603 V646:V647 V643">
    <cfRule type="containsText" dxfId="1" priority="626" operator="between" text="欠">
      <formula>NOT(ISERROR(SEARCH("欠",V601)))</formula>
    </cfRule>
  </conditionalFormatting>
  <conditionalFormatting sqref="W601:W603 W646:W647 W643">
    <cfRule type="containsText" dxfId="1" priority="651" operator="between" text="欠">
      <formula>NOT(ISERROR(SEARCH("欠",W601)))</formula>
    </cfRule>
  </conditionalFormatting>
  <conditionalFormatting sqref="X601:X603 X646:X647 X643">
    <cfRule type="containsText" dxfId="1" priority="648" operator="between" text="欠">
      <formula>NOT(ISERROR(SEARCH("欠",X601)))</formula>
    </cfRule>
  </conditionalFormatting>
  <conditionalFormatting sqref="Y601:Y603 Y643">
    <cfRule type="containsText" dxfId="1" priority="638" operator="between" text="欠">
      <formula>NOT(ISERROR(SEARCH("欠",Y601)))</formula>
    </cfRule>
  </conditionalFormatting>
  <conditionalFormatting sqref="V611 V606:V607">
    <cfRule type="containsText" dxfId="1" priority="607" operator="between" text="欠">
      <formula>NOT(ISERROR(SEARCH("欠",V606)))</formula>
    </cfRule>
  </conditionalFormatting>
  <conditionalFormatting sqref="W611 W606:W607">
    <cfRule type="containsText" dxfId="1" priority="605" operator="between" text="欠">
      <formula>NOT(ISERROR(SEARCH("欠",W606)))</formula>
    </cfRule>
  </conditionalFormatting>
  <conditionalFormatting sqref="X611 X606:X607">
    <cfRule type="containsText" dxfId="1" priority="606" operator="between" text="欠">
      <formula>NOT(ISERROR(SEARCH("欠",X606)))</formula>
    </cfRule>
  </conditionalFormatting>
  <conditionalFormatting sqref="Y609:Y615 Y606:Y607">
    <cfRule type="containsText" dxfId="1" priority="604" operator="between" text="欠">
      <formula>NOT(ISERROR(SEARCH("欠",Y606)))</formula>
    </cfRule>
  </conditionalFormatting>
  <conditionalFormatting sqref="Y617 Y644:Y645 Y625 Y622">
    <cfRule type="containsText" dxfId="1" priority="632" operator="between" text="欠">
      <formula>NOT(ISERROR(SEARCH("欠",Y617)))</formula>
    </cfRule>
  </conditionalFormatting>
  <conditionalFormatting sqref="V618 V629:V631">
    <cfRule type="containsText" dxfId="1" priority="559" operator="between" text="欠">
      <formula>NOT(ISERROR(SEARCH("欠",V618)))</formula>
    </cfRule>
  </conditionalFormatting>
  <conditionalFormatting sqref="W618 W649:W650 W638 W633 W641 W620:W621">
    <cfRule type="containsText" dxfId="1" priority="585" operator="between" text="欠">
      <formula>NOT(ISERROR(SEARCH("欠",W618)))</formula>
    </cfRule>
  </conditionalFormatting>
  <conditionalFormatting sqref="X618 X620:X621 X629:X631">
    <cfRule type="containsText" dxfId="1" priority="561" operator="between" text="欠">
      <formula>NOT(ISERROR(SEARCH("欠",X618)))</formula>
    </cfRule>
  </conditionalFormatting>
  <conditionalFormatting sqref="Y620:Y621 Y618">
    <cfRule type="containsText" dxfId="1" priority="584" operator="between" text="欠">
      <formula>NOT(ISERROR(SEARCH("欠",Y618)))</formula>
    </cfRule>
  </conditionalFormatting>
  <conditionalFormatting sqref="V622 V625">
    <cfRule type="cellIs" dxfId="0" priority="536" operator="equal">
      <formula>"欠"</formula>
    </cfRule>
  </conditionalFormatting>
  <conditionalFormatting sqref="W622 W625">
    <cfRule type="containsText" dxfId="1" priority="537" operator="between" text="欠">
      <formula>NOT(ISERROR(SEARCH("欠",W622)))</formula>
    </cfRule>
  </conditionalFormatting>
  <conditionalFormatting sqref="W626:W628 W623 W635">
    <cfRule type="containsText" dxfId="1" priority="575" operator="between" text="欠">
      <formula>NOT(ISERROR(SEARCH("欠",W623)))</formula>
    </cfRule>
  </conditionalFormatting>
  <conditionalFormatting sqref="Y626:Y628 Y623 Y635">
    <cfRule type="containsText" dxfId="1" priority="580" operator="between" text="欠">
      <formula>NOT(ISERROR(SEARCH("欠",Y623)))</formula>
    </cfRule>
  </conditionalFormatting>
  <conditionalFormatting sqref="V626:V628 V635">
    <cfRule type="cellIs" dxfId="0" priority="535" operator="equal">
      <formula>"欠"</formula>
    </cfRule>
  </conditionalFormatting>
  <conditionalFormatting sqref="V638 V632:V633 V641">
    <cfRule type="cellIs" dxfId="0" priority="571" operator="equal">
      <formula>"欠"</formula>
    </cfRule>
  </conditionalFormatting>
  <conditionalFormatting sqref="Y638 Y649:Y650 Y641:Y642 Y632:Y633">
    <cfRule type="containsText" dxfId="1" priority="570" operator="between" text="欠">
      <formula>NOT(ISERROR(SEARCH("欠",Y632)))</formula>
    </cfRule>
  </conditionalFormatting>
  <conditionalFormatting sqref="X638 X633 X641">
    <cfRule type="containsText" dxfId="1" priority="586" operator="between" text="欠">
      <formula>NOT(ISERROR(SEARCH("欠",X633)))</formula>
    </cfRule>
  </conditionalFormatting>
  <conditionalFormatting sqref="V639:V640 V652 V655">
    <cfRule type="cellIs" dxfId="0" priority="493" operator="equal">
      <formula>"欠"</formula>
    </cfRule>
    <cfRule type="containsText" dxfId="1" priority="494" operator="between" text="欠">
      <formula>NOT(ISERROR(SEARCH("欠",V639)))</formula>
    </cfRule>
  </conditionalFormatting>
  <conditionalFormatting sqref="V651 V666 V662:V663">
    <cfRule type="containsText" dxfId="1" priority="513" operator="between" text="欠">
      <formula>NOT(ISERROR(SEARCH("欠",V651)))</formula>
    </cfRule>
  </conditionalFormatting>
  <conditionalFormatting sqref="W651 W666 W662:W663">
    <cfRule type="containsText" dxfId="1" priority="527" operator="between" text="欠">
      <formula>NOT(ISERROR(SEARCH("欠",W651)))</formula>
    </cfRule>
  </conditionalFormatting>
  <conditionalFormatting sqref="Y651 Y666 Y662:Y663">
    <cfRule type="containsText" dxfId="1" priority="525" operator="between" text="欠">
      <formula>NOT(ISERROR(SEARCH("欠",Y651)))</formula>
    </cfRule>
  </conditionalFormatting>
  <conditionalFormatting sqref="W655 W652">
    <cfRule type="containsText" dxfId="1" priority="496" operator="between" text="欠">
      <formula>NOT(ISERROR(SEARCH("欠",W652)))</formula>
    </cfRule>
  </conditionalFormatting>
  <conditionalFormatting sqref="X655 X652">
    <cfRule type="containsText" dxfId="1" priority="495" operator="between" text="欠">
      <formula>NOT(ISERROR(SEARCH("欠",X652)))</formula>
    </cfRule>
  </conditionalFormatting>
  <conditionalFormatting sqref="Y655 Y652">
    <cfRule type="containsText" dxfId="1" priority="497" operator="between" text="欠">
      <formula>NOT(ISERROR(SEARCH("欠",Y652)))</formula>
    </cfRule>
  </conditionalFormatting>
  <conditionalFormatting sqref="W657:W658 W654">
    <cfRule type="containsText" dxfId="1" priority="461" operator="between" text="欠">
      <formula>NOT(ISERROR(SEARCH("欠",W654)))</formula>
    </cfRule>
  </conditionalFormatting>
  <conditionalFormatting sqref="Y657:Y658 Y654">
    <cfRule type="containsText" dxfId="1" priority="457" operator="between" text="欠">
      <formula>NOT(ISERROR(SEARCH("欠",Y654)))</formula>
    </cfRule>
  </conditionalFormatting>
  <conditionalFormatting sqref="X663:X664 X696:X697 X672:X674 X666 X683 X693">
    <cfRule type="containsText" dxfId="1" priority="482" operator="between" text="欠">
      <formula>NOT(ISERROR(SEARCH("欠",X663)))</formula>
    </cfRule>
  </conditionalFormatting>
  <conditionalFormatting sqref="V664 V704 V683 V672:V674">
    <cfRule type="containsText" dxfId="1" priority="470" operator="between" text="欠">
      <formula>NOT(ISERROR(SEARCH("欠",V664)))</formula>
    </cfRule>
  </conditionalFormatting>
  <conditionalFormatting sqref="W664 W683 W672:W674">
    <cfRule type="containsText" dxfId="1" priority="472" operator="between" text="欠">
      <formula>NOT(ISERROR(SEARCH("欠",W664)))</formula>
    </cfRule>
  </conditionalFormatting>
  <conditionalFormatting sqref="Y664 Y683 Y672:Y674">
    <cfRule type="containsText" dxfId="1" priority="471" operator="between" text="欠">
      <formula>NOT(ISERROR(SEARCH("欠",Y664)))</formula>
    </cfRule>
  </conditionalFormatting>
  <conditionalFormatting sqref="X679:X680 X698:X703">
    <cfRule type="containsText" dxfId="1" priority="388" operator="between" text="欠">
      <formula>NOT(ISERROR(SEARCH("欠",X679)))</formula>
    </cfRule>
  </conditionalFormatting>
  <conditionalFormatting sqref="Y691 Y705">
    <cfRule type="containsText" dxfId="1" priority="546" operator="between" text="欠">
      <formula>NOT(ISERROR(SEARCH("欠",Y691)))</formula>
    </cfRule>
  </conditionalFormatting>
  <conditionalFormatting sqref="V693 V696:V697">
    <cfRule type="containsText" dxfId="1" priority="435" operator="between" text="欠">
      <formula>NOT(ISERROR(SEARCH("欠",V693)))</formula>
    </cfRule>
  </conditionalFormatting>
  <conditionalFormatting sqref="W693 W696:W697">
    <cfRule type="containsText" dxfId="1" priority="437" operator="between" text="欠">
      <formula>NOT(ISERROR(SEARCH("欠",W693)))</formula>
    </cfRule>
  </conditionalFormatting>
  <conditionalFormatting sqref="Y693 Y696:Y697">
    <cfRule type="containsText" dxfId="1" priority="436" operator="between" text="欠">
      <formula>NOT(ISERROR(SEARCH("欠",Y693)))</formula>
    </cfRule>
  </conditionalFormatting>
  <conditionalFormatting sqref="V720 V726:V731">
    <cfRule type="cellIs" dxfId="0" priority="274" operator="equal">
      <formula>"欠"</formula>
    </cfRule>
    <cfRule type="containsText" dxfId="1" priority="275" operator="between" text="欠">
      <formula>NOT(ISERROR(SEARCH("欠",V720)))</formula>
    </cfRule>
  </conditionalFormatting>
  <conditionalFormatting sqref="X720 X733 X725:X731 X742">
    <cfRule type="containsText" dxfId="1" priority="270" operator="between" text="欠">
      <formula>NOT(ISERROR(SEARCH("欠",X720)))</formula>
    </cfRule>
  </conditionalFormatting>
  <conditionalFormatting sqref="V721:V723 V769">
    <cfRule type="cellIs" dxfId="0" priority="267" operator="equal">
      <formula>"欠"</formula>
    </cfRule>
    <cfRule type="containsText" dxfId="1" priority="268" operator="between" text="欠">
      <formula>NOT(ISERROR(SEARCH("欠",V721)))</formula>
    </cfRule>
  </conditionalFormatting>
  <conditionalFormatting sqref="X721:X723 X769">
    <cfRule type="containsText" dxfId="1" priority="266" operator="between" text="欠">
      <formula>NOT(ISERROR(SEARCH("欠",X721)))</formula>
    </cfRule>
  </conditionalFormatting>
  <conditionalFormatting sqref="Y721:Y723 Y769">
    <cfRule type="containsText" dxfId="1" priority="265" operator="between" text="欠">
      <formula>NOT(ISERROR(SEARCH("欠",Y721)))</formula>
    </cfRule>
  </conditionalFormatting>
  <conditionalFormatting sqref="V725 V733 V742">
    <cfRule type="cellIs" dxfId="0" priority="263" operator="equal">
      <formula>"欠"</formula>
    </cfRule>
    <cfRule type="containsText" dxfId="1" priority="264" operator="between" text="欠">
      <formula>NOT(ISERROR(SEARCH("欠",V725)))</formula>
    </cfRule>
  </conditionalFormatting>
  <conditionalFormatting sqref="Y733:Y734 Y725:Y731 Y742">
    <cfRule type="containsText" dxfId="1" priority="269" operator="between" text="欠">
      <formula>NOT(ISERROR(SEARCH("欠",Y725)))</formula>
    </cfRule>
  </conditionalFormatting>
  <conditionalFormatting sqref="W737:W738 W751">
    <cfRule type="containsText" dxfId="1" priority="240" operator="between" text="欠">
      <formula>NOT(ISERROR(SEARCH("欠",W737)))</formula>
    </cfRule>
  </conditionalFormatting>
  <conditionalFormatting sqref="X737:X738 X751">
    <cfRule type="containsText" dxfId="1" priority="237" operator="between" text="欠">
      <formula>NOT(ISERROR(SEARCH("欠",X737)))</formula>
    </cfRule>
  </conditionalFormatting>
  <conditionalFormatting sqref="Y738 Y751">
    <cfRule type="containsText" dxfId="1" priority="244" operator="between" text="欠">
      <formula>NOT(ISERROR(SEARCH("欠",Y738)))</formula>
    </cfRule>
  </conditionalFormatting>
  <conditionalFormatting sqref="V759:V760 V763:V764">
    <cfRule type="cellIs" dxfId="0" priority="70" operator="equal">
      <formula>"欠"</formula>
    </cfRule>
    <cfRule type="containsText" dxfId="1" priority="71" operator="between" text="欠">
      <formula>NOT(ISERROR(SEARCH("欠",V759)))</formula>
    </cfRule>
  </conditionalFormatting>
  <conditionalFormatting sqref="X759:X760 X763:X764">
    <cfRule type="containsText" dxfId="1" priority="108" operator="between" text="欠">
      <formula>NOT(ISERROR(SEARCH("欠",X759)))</formula>
    </cfRule>
  </conditionalFormatting>
  <pageMargins left="0" right="0.0784722222222222" top="0.306944444444444" bottom="0.306944444444444" header="0.5" footer="0.5"/>
  <pageSetup paperSize="9" scale="45" fitToWidth="0" orientation="landscape" horizontalDpi="600"/>
  <headerFooter alignWithMargins="0" scaleWithDoc="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D977"/>
  <sheetViews>
    <sheetView tabSelected="1" zoomScale="60" zoomScaleNormal="60" workbookViewId="0">
      <pane xSplit="14" ySplit="3" topLeftCell="Q178" activePane="bottomRight" state="frozen"/>
      <selection/>
      <selection pane="topRight"/>
      <selection pane="bottomLeft"/>
      <selection pane="bottomRight" activeCell="D178" sqref="D178"/>
    </sheetView>
  </sheetViews>
  <sheetFormatPr defaultColWidth="9" defaultRowHeight="18.75"/>
  <cols>
    <col min="1" max="1" width="24.725" style="3575" customWidth="1"/>
    <col min="2" max="2" width="16.425" style="3576" customWidth="1"/>
    <col min="3" max="3" width="11.3" style="3576" customWidth="1"/>
    <col min="4" max="4" width="17.45" style="3563" customWidth="1"/>
    <col min="5" max="5" width="17.5" style="3563" customWidth="1"/>
    <col min="6" max="6" width="17.5" style="3576" customWidth="1"/>
    <col min="7" max="7" width="22" style="3576" customWidth="1"/>
    <col min="8" max="8" width="23.8166666666667" style="3563" customWidth="1"/>
    <col min="9" max="9" width="12.6416666666667" style="3563" customWidth="1"/>
    <col min="10" max="10" width="8.80833333333333" style="3563" customWidth="1"/>
    <col min="11" max="11" width="9.41666666666667" style="3563" customWidth="1"/>
    <col min="12" max="12" width="11.9916666666667" style="3563" customWidth="1"/>
    <col min="13" max="13" width="18.1666666666667" style="3563" customWidth="1"/>
    <col min="14" max="14" width="18.1833333333333" style="3577" customWidth="1"/>
    <col min="15" max="15" width="14.775" style="3563" customWidth="1"/>
    <col min="16" max="16" width="15.0916666666667" style="3576" customWidth="1"/>
    <col min="17" max="17" width="17.4" style="3578" customWidth="1"/>
    <col min="18" max="18" width="17.4" style="3563" customWidth="1"/>
    <col min="19" max="19" width="8.88333333333333" style="3563" customWidth="1"/>
    <col min="20" max="20" width="17.4" style="3579" customWidth="1"/>
    <col min="21" max="22" width="17.4" style="3563" customWidth="1"/>
    <col min="23" max="23" width="28.6333333333333" style="3578" customWidth="1"/>
    <col min="24" max="27" width="17.4" style="3578" customWidth="1"/>
    <col min="28" max="28" width="19.625" style="3563" customWidth="1"/>
    <col min="29" max="29" width="17.3083333333333" style="3578" customWidth="1"/>
    <col min="30" max="32" width="17.3083333333333" style="3578" hidden="1" customWidth="1"/>
    <col min="33" max="34" width="17.4" style="3576" customWidth="1"/>
    <col min="35" max="35" width="17.4" style="3580" customWidth="1"/>
    <col min="36" max="36" width="17.4" style="3581" customWidth="1"/>
    <col min="37" max="43" width="17.4" style="3582" customWidth="1"/>
    <col min="44" max="47" width="17.4" style="3576" customWidth="1"/>
    <col min="48" max="48" width="17.4" style="3563" customWidth="1"/>
    <col min="49" max="16384" width="9" style="3565"/>
  </cols>
  <sheetData>
    <row r="1" s="3563" customFormat="1" ht="75" customHeight="1" spans="1:48">
      <c r="A1" s="3583"/>
      <c r="B1" s="3583"/>
      <c r="C1" s="3583"/>
      <c r="D1" s="3583"/>
      <c r="E1" s="3583"/>
      <c r="F1" s="3583"/>
      <c r="G1" s="3583"/>
      <c r="H1" s="3583"/>
      <c r="I1" s="3583"/>
      <c r="J1" s="3584"/>
      <c r="K1" s="3585"/>
      <c r="L1" s="3584"/>
      <c r="M1" s="3584"/>
      <c r="N1" s="3565"/>
      <c r="O1" s="3584"/>
      <c r="P1" s="3586"/>
      <c r="Q1" s="3587"/>
      <c r="R1" s="3580"/>
      <c r="S1" s="3584"/>
      <c r="T1" s="3588"/>
      <c r="U1" s="3584"/>
      <c r="V1" s="3584"/>
      <c r="W1" s="3587"/>
      <c r="X1" s="3587"/>
      <c r="Y1" s="3587"/>
      <c r="Z1" s="3587"/>
      <c r="AA1" s="3589"/>
      <c r="AB1" s="3583"/>
      <c r="AC1" s="3589"/>
      <c r="AD1" s="3589"/>
      <c r="AE1" s="3589"/>
      <c r="AF1" s="3589"/>
      <c r="AG1" s="3586"/>
      <c r="AH1" s="3586"/>
      <c r="AI1" s="3584"/>
      <c r="AJ1" s="3590"/>
      <c r="AK1" s="3590"/>
      <c r="AL1" s="3591"/>
      <c r="AM1" s="3591"/>
      <c r="AN1" s="3591"/>
      <c r="AO1" s="3591"/>
      <c r="AP1" s="3591"/>
      <c r="AQ1" s="3591"/>
      <c r="AR1" s="3592">
        <v>0.3</v>
      </c>
      <c r="AS1" s="3592">
        <v>0.25</v>
      </c>
      <c r="AT1" s="3592">
        <v>0.45</v>
      </c>
      <c r="AU1" s="3576"/>
    </row>
    <row r="2" s="3564" customFormat="1" ht="24.95" customHeight="1" spans="1:48">
      <c r="A2" s="3593" t="e">
        <f>#REF!</f>
        <v>#REF!</v>
      </c>
      <c r="B2" s="3593"/>
      <c r="C2" s="3593"/>
      <c r="D2" s="3593"/>
      <c r="E2" s="3593"/>
      <c r="F2" s="3594"/>
      <c r="G2" s="3595"/>
      <c r="H2" s="3595" t="s">
        <v>3</v>
      </c>
      <c r="I2" s="3595"/>
      <c r="J2" s="3580"/>
      <c r="K2" s="3580" t="s">
        <v>4</v>
      </c>
      <c r="L2" s="3580"/>
      <c r="M2" s="3580"/>
      <c r="N2" s="3596"/>
      <c r="O2" s="3580" t="s">
        <v>5</v>
      </c>
      <c r="P2" s="3580"/>
      <c r="Q2" s="3589"/>
      <c r="R2" s="3580"/>
      <c r="S2" s="3580"/>
      <c r="T2" s="3588"/>
      <c r="U2" s="3580"/>
      <c r="V2" s="3580"/>
      <c r="W2" s="3589"/>
      <c r="X2" s="3589"/>
      <c r="Y2" s="3589"/>
      <c r="Z2" s="3589"/>
      <c r="AA2" s="3589"/>
      <c r="AB2" s="3597"/>
      <c r="AC2" s="3589"/>
      <c r="AD2" s="3589"/>
      <c r="AE2" s="3589"/>
      <c r="AF2" s="3589"/>
      <c r="AG2" s="3598" t="s">
        <v>6</v>
      </c>
      <c r="AH2" s="3598"/>
      <c r="AI2" s="3598"/>
      <c r="AJ2" s="3599" t="s">
        <v>286</v>
      </c>
      <c r="AK2" s="3600"/>
      <c r="AL2" s="3600" t="s">
        <v>287</v>
      </c>
      <c r="AM2" s="3600"/>
      <c r="AN2" s="3582"/>
      <c r="AO2" s="3582"/>
      <c r="AP2" s="3582"/>
      <c r="AQ2" s="3582"/>
      <c r="AR2" s="3595">
        <v>1</v>
      </c>
      <c r="AS2" s="3595">
        <v>1</v>
      </c>
      <c r="AT2" s="3595">
        <v>1</v>
      </c>
      <c r="AU2" s="3601"/>
      <c r="AV2" s="3563"/>
    </row>
    <row r="3" s="3565" customFormat="1" ht="89" customHeight="1" spans="1:48">
      <c r="A3" s="3602" t="s">
        <v>14</v>
      </c>
      <c r="B3" s="3603" t="s">
        <v>15</v>
      </c>
      <c r="C3" s="3603" t="s">
        <v>16</v>
      </c>
      <c r="D3" s="3604" t="s">
        <v>17</v>
      </c>
      <c r="E3" s="3603" t="s">
        <v>18</v>
      </c>
      <c r="F3" s="3603" t="s">
        <v>19</v>
      </c>
      <c r="G3" s="3603" t="s">
        <v>21</v>
      </c>
      <c r="H3" s="3603" t="s">
        <v>22</v>
      </c>
      <c r="I3" s="3603" t="s">
        <v>23</v>
      </c>
      <c r="J3" s="3603" t="s">
        <v>24</v>
      </c>
      <c r="K3" s="3603" t="s">
        <v>25</v>
      </c>
      <c r="L3" s="3603" t="s">
        <v>26</v>
      </c>
      <c r="M3" s="3603" t="s">
        <v>27</v>
      </c>
      <c r="N3" s="3603" t="s">
        <v>28</v>
      </c>
      <c r="O3" s="3605" t="s">
        <v>29</v>
      </c>
      <c r="P3" s="3603" t="s">
        <v>30</v>
      </c>
      <c r="Q3" s="3603" t="s">
        <v>33</v>
      </c>
      <c r="R3" s="3603" t="s">
        <v>34</v>
      </c>
      <c r="S3" s="3603" t="s">
        <v>35</v>
      </c>
      <c r="T3" s="3605" t="s">
        <v>36</v>
      </c>
      <c r="U3" s="3606" t="s">
        <v>37</v>
      </c>
      <c r="V3" s="3606" t="s">
        <v>38</v>
      </c>
      <c r="W3" s="3607" t="s">
        <v>39</v>
      </c>
      <c r="X3" s="3603" t="s">
        <v>40</v>
      </c>
      <c r="Y3" s="3603" t="s">
        <v>41</v>
      </c>
      <c r="Z3" s="3608" t="s">
        <v>42</v>
      </c>
      <c r="AA3" s="3609" t="s">
        <v>43</v>
      </c>
      <c r="AB3" s="3603" t="s">
        <v>20</v>
      </c>
      <c r="AC3" s="3606" t="s">
        <v>44</v>
      </c>
      <c r="AD3" s="3610" t="s">
        <v>31</v>
      </c>
      <c r="AE3" s="3610" t="s">
        <v>321</v>
      </c>
      <c r="AF3" s="3610" t="s">
        <v>322</v>
      </c>
      <c r="AG3" s="3603" t="s">
        <v>8283</v>
      </c>
      <c r="AH3" s="3611" t="s">
        <v>46</v>
      </c>
      <c r="AI3" s="3612" t="s">
        <v>48</v>
      </c>
      <c r="AJ3" s="3612" t="s">
        <v>294</v>
      </c>
      <c r="AK3" s="3613" t="s">
        <v>52</v>
      </c>
      <c r="AL3" s="3614" t="s">
        <v>53</v>
      </c>
      <c r="AM3" s="3613" t="s">
        <v>300</v>
      </c>
      <c r="AN3" s="3613" t="s">
        <v>8284</v>
      </c>
      <c r="AO3" s="3614" t="s">
        <v>2575</v>
      </c>
      <c r="AP3" s="3614" t="s">
        <v>8285</v>
      </c>
      <c r="AQ3" s="3614" t="s">
        <v>66</v>
      </c>
      <c r="AR3" s="3598" t="s">
        <v>8286</v>
      </c>
      <c r="AS3" s="3598" t="s">
        <v>8287</v>
      </c>
      <c r="AT3" s="3598" t="s">
        <v>8288</v>
      </c>
      <c r="AU3" s="3615" t="s">
        <v>74</v>
      </c>
      <c r="AV3" s="3615" t="s">
        <v>75</v>
      </c>
    </row>
    <row r="4" s="3566" customFormat="1" ht="50" customHeight="1" spans="1:48">
      <c r="A4" s="3616">
        <v>45293</v>
      </c>
      <c r="B4" s="3617" t="s">
        <v>323</v>
      </c>
      <c r="C4" s="959" t="s">
        <v>324</v>
      </c>
      <c r="D4" s="3618" t="s">
        <v>8289</v>
      </c>
      <c r="E4" s="3618"/>
      <c r="F4" s="959"/>
      <c r="G4" s="959" t="s">
        <v>8290</v>
      </c>
      <c r="H4" s="3618" t="s">
        <v>8291</v>
      </c>
      <c r="I4" s="3618">
        <v>500</v>
      </c>
      <c r="J4" s="3618">
        <v>0</v>
      </c>
      <c r="K4" s="3618">
        <v>4</v>
      </c>
      <c r="L4" s="3618">
        <f t="shared" ref="L4:L11" si="0">I4/K4</f>
        <v>125</v>
      </c>
      <c r="M4" s="3619"/>
      <c r="N4" s="3619"/>
      <c r="O4" s="3618"/>
      <c r="P4" s="959"/>
      <c r="Q4" s="3620"/>
      <c r="R4" s="3621"/>
      <c r="S4" s="3618"/>
      <c r="T4" s="3622"/>
      <c r="U4" s="3623"/>
      <c r="V4" s="3618"/>
      <c r="W4" s="3620"/>
      <c r="X4" s="3624" t="s">
        <v>8292</v>
      </c>
      <c r="Y4" s="3618"/>
      <c r="Z4" s="3618"/>
      <c r="AA4" s="3620"/>
      <c r="AB4" s="3618" t="s">
        <v>326</v>
      </c>
      <c r="AC4" s="3618" t="s">
        <v>326</v>
      </c>
      <c r="AD4" s="3625"/>
      <c r="AE4" s="3625"/>
      <c r="AF4" s="3625"/>
      <c r="AG4" s="959">
        <f>I4</f>
        <v>500</v>
      </c>
      <c r="AH4" s="959"/>
      <c r="AI4" s="959"/>
      <c r="AJ4" s="3618">
        <f>I4</f>
        <v>500</v>
      </c>
      <c r="AK4" s="3626"/>
      <c r="AL4" s="3626">
        <f>I4</f>
        <v>500</v>
      </c>
      <c r="AM4" s="3626"/>
      <c r="AN4" s="3626"/>
      <c r="AO4" s="3626"/>
      <c r="AP4" s="3626"/>
      <c r="AQ4" s="3626" t="s">
        <v>89</v>
      </c>
      <c r="AR4" s="3626">
        <f>I4/3</f>
        <v>166.666666666667</v>
      </c>
      <c r="AS4" s="3626">
        <f>I4/3</f>
        <v>166.666666666667</v>
      </c>
      <c r="AT4" s="3626">
        <f>I4/3</f>
        <v>166.666666666667</v>
      </c>
      <c r="AU4" s="3627">
        <f>SUM(AR4:AT4)</f>
        <v>500</v>
      </c>
      <c r="AV4" s="3627">
        <f>I4-AU4</f>
        <v>0</v>
      </c>
    </row>
    <row r="5" s="3566" customFormat="1" ht="50" customHeight="1" spans="1:48">
      <c r="A5" s="3616">
        <v>45377</v>
      </c>
      <c r="B5" s="3617" t="s">
        <v>323</v>
      </c>
      <c r="C5" s="3628" t="s">
        <v>324</v>
      </c>
      <c r="D5" s="3629" t="s">
        <v>8293</v>
      </c>
      <c r="E5" s="3630"/>
      <c r="F5" s="3631"/>
      <c r="G5" s="959" t="s">
        <v>8294</v>
      </c>
      <c r="H5" s="3618" t="s">
        <v>8295</v>
      </c>
      <c r="I5" s="3618">
        <v>6</v>
      </c>
      <c r="J5" s="3618">
        <v>1</v>
      </c>
      <c r="K5" s="3618">
        <v>2</v>
      </c>
      <c r="L5" s="3618">
        <f t="shared" si="0"/>
        <v>3</v>
      </c>
      <c r="M5" s="3619">
        <v>45392</v>
      </c>
      <c r="N5" s="3619">
        <v>45388</v>
      </c>
      <c r="O5" s="3618"/>
      <c r="P5" s="959" t="s">
        <v>3052</v>
      </c>
      <c r="Q5" s="3620"/>
      <c r="R5" s="3621" t="s">
        <v>335</v>
      </c>
      <c r="S5" s="3618"/>
      <c r="T5" s="3622" t="s">
        <v>98</v>
      </c>
      <c r="U5" s="3623"/>
      <c r="V5" s="3618"/>
      <c r="W5" s="3620" t="s">
        <v>8296</v>
      </c>
      <c r="X5" s="3632"/>
      <c r="Y5" s="3618"/>
      <c r="Z5" s="3618"/>
      <c r="AA5" s="3633"/>
      <c r="AB5" s="959" t="s">
        <v>8294</v>
      </c>
      <c r="AC5" s="3620" t="s">
        <v>416</v>
      </c>
      <c r="AD5" s="3625"/>
      <c r="AE5" s="3625"/>
      <c r="AF5" s="3625"/>
      <c r="AG5" s="959"/>
      <c r="AH5" s="959"/>
      <c r="AI5" s="959"/>
      <c r="AJ5" s="3618"/>
      <c r="AK5" s="3626"/>
      <c r="AL5" s="3626"/>
      <c r="AM5" s="3626"/>
      <c r="AN5" s="3626"/>
      <c r="AO5" s="3626"/>
      <c r="AP5" s="3626"/>
      <c r="AQ5" s="3626" t="s">
        <v>89</v>
      </c>
      <c r="AR5" s="3626">
        <f>I5/3</f>
        <v>2</v>
      </c>
      <c r="AS5" s="3626">
        <f>I5/3</f>
        <v>2</v>
      </c>
      <c r="AT5" s="3626">
        <f>I5/3</f>
        <v>2</v>
      </c>
      <c r="AU5" s="3627">
        <f>SUM(AR5:AT5)</f>
        <v>6</v>
      </c>
      <c r="AV5" s="3627">
        <f>I5-AU5</f>
        <v>0</v>
      </c>
    </row>
    <row r="6" s="3566" customFormat="1" ht="50" customHeight="1" spans="1:48">
      <c r="A6" s="3616">
        <v>45418</v>
      </c>
      <c r="B6" s="3617"/>
      <c r="C6" s="3628"/>
      <c r="D6" s="3629" t="s">
        <v>8297</v>
      </c>
      <c r="E6" s="3634"/>
      <c r="F6" s="3631"/>
      <c r="G6" s="959" t="s">
        <v>8290</v>
      </c>
      <c r="H6" s="3618" t="s">
        <v>8298</v>
      </c>
      <c r="I6" s="3618">
        <v>200</v>
      </c>
      <c r="J6" s="3618">
        <v>0</v>
      </c>
      <c r="K6" s="3618">
        <v>4</v>
      </c>
      <c r="L6" s="3618">
        <f t="shared" si="0"/>
        <v>50</v>
      </c>
      <c r="M6" s="3619">
        <v>45421</v>
      </c>
      <c r="N6" s="3619">
        <v>45418</v>
      </c>
      <c r="O6" s="3618"/>
      <c r="P6" s="959" t="s">
        <v>8299</v>
      </c>
      <c r="Q6" s="3620"/>
      <c r="R6" s="3621" t="s">
        <v>335</v>
      </c>
      <c r="S6" s="3618"/>
      <c r="T6" s="3622" t="s">
        <v>98</v>
      </c>
      <c r="U6" s="3623"/>
      <c r="V6" s="3618"/>
      <c r="W6" s="3620" t="s">
        <v>8300</v>
      </c>
      <c r="X6" s="3632"/>
      <c r="Y6" s="3618"/>
      <c r="Z6" s="3618"/>
      <c r="AA6" s="3633"/>
      <c r="AB6" s="959" t="s">
        <v>8290</v>
      </c>
      <c r="AC6" s="3620" t="s">
        <v>416</v>
      </c>
      <c r="AD6" s="3625"/>
      <c r="AE6" s="3625"/>
      <c r="AF6" s="3625"/>
      <c r="AG6" s="959"/>
      <c r="AH6" s="959"/>
      <c r="AI6" s="959"/>
      <c r="AJ6" s="3618"/>
      <c r="AK6" s="3626"/>
      <c r="AL6" s="3626"/>
      <c r="AM6" s="3626"/>
      <c r="AN6" s="3626"/>
      <c r="AO6" s="3626"/>
      <c r="AP6" s="3626"/>
      <c r="AQ6" s="3626"/>
      <c r="AR6" s="3626"/>
      <c r="AS6" s="3626"/>
      <c r="AT6" s="3626"/>
      <c r="AU6" s="3627">
        <v>200</v>
      </c>
      <c r="AV6" s="3627">
        <f>I6-AU6</f>
        <v>0</v>
      </c>
    </row>
    <row r="7" s="3566" customFormat="1" ht="50" customHeight="1" spans="1:48">
      <c r="A7" s="3616">
        <v>45560</v>
      </c>
      <c r="B7" s="3630" t="s">
        <v>6840</v>
      </c>
      <c r="C7" s="3628" t="s">
        <v>396</v>
      </c>
      <c r="D7" s="3629">
        <v>4500146026</v>
      </c>
      <c r="E7" s="959" t="s">
        <v>8301</v>
      </c>
      <c r="F7" s="3629" t="s">
        <v>8302</v>
      </c>
      <c r="G7" s="959" t="s">
        <v>8303</v>
      </c>
      <c r="H7" s="3618" t="s">
        <v>8304</v>
      </c>
      <c r="I7" s="3618" t="s">
        <v>8305</v>
      </c>
      <c r="J7" s="3618">
        <v>0</v>
      </c>
      <c r="K7" s="3618">
        <v>24</v>
      </c>
      <c r="L7" s="3618" t="e">
        <f t="shared" si="0"/>
        <v>#VALUE!</v>
      </c>
      <c r="M7" s="3619">
        <v>45615</v>
      </c>
      <c r="N7" s="3619">
        <v>45611</v>
      </c>
      <c r="O7" s="3618"/>
      <c r="P7" s="959" t="s">
        <v>82</v>
      </c>
      <c r="Q7" s="3620" t="s">
        <v>8306</v>
      </c>
      <c r="R7" s="3621" t="s">
        <v>5006</v>
      </c>
      <c r="S7" s="3618"/>
      <c r="T7" s="3622" t="s">
        <v>98</v>
      </c>
      <c r="U7" s="3618"/>
      <c r="V7" s="959"/>
      <c r="W7" s="3620" t="s">
        <v>8307</v>
      </c>
      <c r="X7" s="3624" t="s">
        <v>405</v>
      </c>
      <c r="Y7" s="3618">
        <v>0.83</v>
      </c>
      <c r="Z7" s="3618" t="e">
        <f>Y7*I7</f>
        <v>#VALUE!</v>
      </c>
      <c r="AA7" s="3633" t="s">
        <v>8308</v>
      </c>
      <c r="AB7" s="959" t="s">
        <v>8303</v>
      </c>
      <c r="AC7" s="3620" t="s">
        <v>326</v>
      </c>
      <c r="AD7" s="3625"/>
      <c r="AE7" s="3625"/>
      <c r="AF7" s="3625"/>
      <c r="AG7" s="959"/>
      <c r="AH7" s="959"/>
      <c r="AI7" s="959"/>
      <c r="AJ7" s="3618"/>
      <c r="AK7" s="3626"/>
      <c r="AL7" s="3626"/>
      <c r="AM7" s="3626"/>
      <c r="AN7" s="3626"/>
      <c r="AO7" s="3626"/>
      <c r="AP7" s="3626"/>
      <c r="AQ7" s="3626" t="s">
        <v>89</v>
      </c>
      <c r="AR7" s="3626"/>
      <c r="AS7" s="3626"/>
      <c r="AT7" s="3626"/>
      <c r="AU7" s="3627">
        <f t="shared" ref="AU7:AU70" si="1">SUM(AR7:AT7)</f>
        <v>0</v>
      </c>
      <c r="AV7" s="3627">
        <v>0</v>
      </c>
    </row>
    <row r="8" s="3566" customFormat="1" ht="50" customHeight="1" spans="1:48">
      <c r="A8" s="3635">
        <v>45604</v>
      </c>
      <c r="B8" s="3630" t="s">
        <v>350</v>
      </c>
      <c r="C8" s="3628" t="s">
        <v>351</v>
      </c>
      <c r="D8" s="3629">
        <v>4500150797</v>
      </c>
      <c r="E8" s="959"/>
      <c r="F8" s="3629" t="s">
        <v>8309</v>
      </c>
      <c r="G8" s="959" t="s">
        <v>8290</v>
      </c>
      <c r="H8" s="3618" t="s">
        <v>8291</v>
      </c>
      <c r="I8" s="3618">
        <v>500</v>
      </c>
      <c r="J8" s="3618">
        <v>0</v>
      </c>
      <c r="K8" s="3618">
        <v>4</v>
      </c>
      <c r="L8" s="3618">
        <f t="shared" si="0"/>
        <v>125</v>
      </c>
      <c r="M8" s="3619">
        <v>45649</v>
      </c>
      <c r="N8" s="3619">
        <v>45645</v>
      </c>
      <c r="O8" s="3618"/>
      <c r="P8" s="959" t="s">
        <v>82</v>
      </c>
      <c r="Q8" s="3620" t="s">
        <v>107</v>
      </c>
      <c r="R8" s="3636" t="s">
        <v>353</v>
      </c>
      <c r="S8" s="3619"/>
      <c r="T8" s="3619" t="s">
        <v>354</v>
      </c>
      <c r="U8" s="3637"/>
      <c r="V8" s="959" t="s">
        <v>355</v>
      </c>
      <c r="W8" s="3638" t="s">
        <v>356</v>
      </c>
      <c r="X8" s="3639" t="s">
        <v>357</v>
      </c>
      <c r="Y8" s="3618">
        <v>10.3324</v>
      </c>
      <c r="Z8" s="3618">
        <f>Y8*I8</f>
        <v>5166.2</v>
      </c>
      <c r="AA8" s="3633" t="s">
        <v>358</v>
      </c>
      <c r="AB8" s="959" t="s">
        <v>8290</v>
      </c>
      <c r="AC8" s="3620" t="s">
        <v>416</v>
      </c>
      <c r="AD8" s="3625"/>
      <c r="AE8" s="3625"/>
      <c r="AF8" s="3625"/>
      <c r="AG8" s="959">
        <f>I8</f>
        <v>500</v>
      </c>
      <c r="AH8" s="959"/>
      <c r="AI8" s="959"/>
      <c r="AJ8" s="3618">
        <f>I8</f>
        <v>500</v>
      </c>
      <c r="AK8" s="3626"/>
      <c r="AL8" s="3626">
        <f t="shared" ref="AL8:AL23" si="2">I8</f>
        <v>500</v>
      </c>
      <c r="AM8" s="3626"/>
      <c r="AN8" s="3626"/>
      <c r="AO8" s="3626"/>
      <c r="AP8" s="3626"/>
      <c r="AQ8" s="3626" t="s">
        <v>89</v>
      </c>
      <c r="AR8" s="3626">
        <f t="shared" ref="AR8:AR50" si="3">I8/3</f>
        <v>166.666666666667</v>
      </c>
      <c r="AS8" s="3626">
        <f t="shared" ref="AS8:AS50" si="4">I8/3</f>
        <v>166.666666666667</v>
      </c>
      <c r="AT8" s="3626">
        <f t="shared" ref="AT8:AT50" si="5">I8/3</f>
        <v>166.666666666667</v>
      </c>
      <c r="AU8" s="3627">
        <f t="shared" si="1"/>
        <v>500</v>
      </c>
      <c r="AV8" s="3627">
        <f t="shared" ref="AV8:AV71" si="6">I8-AU8</f>
        <v>0</v>
      </c>
    </row>
    <row r="9" s="3566" customFormat="1" ht="50" customHeight="1" spans="1:48">
      <c r="A9" s="3616">
        <v>45587</v>
      </c>
      <c r="B9" s="3630" t="s">
        <v>407</v>
      </c>
      <c r="C9" s="3628" t="s">
        <v>91</v>
      </c>
      <c r="D9" s="3629">
        <v>4500147716</v>
      </c>
      <c r="E9" s="959">
        <v>60190663</v>
      </c>
      <c r="F9" s="3629" t="s">
        <v>8310</v>
      </c>
      <c r="G9" s="959" t="s">
        <v>8290</v>
      </c>
      <c r="H9" s="3618" t="s">
        <v>8291</v>
      </c>
      <c r="I9" s="3618">
        <v>1000</v>
      </c>
      <c r="J9" s="3618">
        <v>0</v>
      </c>
      <c r="K9" s="3618">
        <v>4</v>
      </c>
      <c r="L9" s="3618">
        <f t="shared" si="0"/>
        <v>250</v>
      </c>
      <c r="M9" s="3619">
        <v>45653</v>
      </c>
      <c r="N9" s="3619">
        <v>45649</v>
      </c>
      <c r="O9" s="3618"/>
      <c r="P9" s="959" t="s">
        <v>82</v>
      </c>
      <c r="Q9" s="3620" t="s">
        <v>107</v>
      </c>
      <c r="R9" s="3619" t="s">
        <v>411</v>
      </c>
      <c r="S9" s="3619"/>
      <c r="T9" s="3619" t="s">
        <v>98</v>
      </c>
      <c r="U9" s="3619" t="s">
        <v>391</v>
      </c>
      <c r="V9" s="959"/>
      <c r="W9" s="3638" t="s">
        <v>413</v>
      </c>
      <c r="X9" s="3639" t="s">
        <v>414</v>
      </c>
      <c r="Y9" s="3618">
        <v>10.3324</v>
      </c>
      <c r="Z9" s="3618">
        <f>Y9*I9</f>
        <v>10332.4</v>
      </c>
      <c r="AA9" s="3633" t="s">
        <v>415</v>
      </c>
      <c r="AB9" s="959" t="s">
        <v>8290</v>
      </c>
      <c r="AC9" s="3620" t="s">
        <v>416</v>
      </c>
      <c r="AD9" s="3625"/>
      <c r="AE9" s="3625"/>
      <c r="AF9" s="3625"/>
      <c r="AG9" s="959">
        <f>I9</f>
        <v>1000</v>
      </c>
      <c r="AH9" s="959"/>
      <c r="AI9" s="959"/>
      <c r="AJ9" s="3618">
        <f>I9</f>
        <v>1000</v>
      </c>
      <c r="AK9" s="3626"/>
      <c r="AL9" s="3626">
        <f t="shared" si="2"/>
        <v>1000</v>
      </c>
      <c r="AM9" s="3626"/>
      <c r="AN9" s="3626"/>
      <c r="AO9" s="3626"/>
      <c r="AP9" s="3626"/>
      <c r="AQ9" s="3626" t="s">
        <v>89</v>
      </c>
      <c r="AR9" s="3626">
        <f t="shared" si="3"/>
        <v>333.333333333333</v>
      </c>
      <c r="AS9" s="3626">
        <f t="shared" si="4"/>
        <v>333.333333333333</v>
      </c>
      <c r="AT9" s="3626">
        <f t="shared" si="5"/>
        <v>333.333333333333</v>
      </c>
      <c r="AU9" s="3627">
        <f t="shared" si="1"/>
        <v>1000</v>
      </c>
      <c r="AV9" s="3627">
        <f t="shared" si="6"/>
        <v>0</v>
      </c>
    </row>
    <row r="10" s="3566" customFormat="1" ht="50" customHeight="1" spans="1:48">
      <c r="A10" s="3616">
        <v>45607</v>
      </c>
      <c r="B10" s="3630" t="s">
        <v>2681</v>
      </c>
      <c r="C10" s="3628" t="s">
        <v>91</v>
      </c>
      <c r="D10" s="3629">
        <v>4500150859</v>
      </c>
      <c r="E10" s="959" t="s">
        <v>2682</v>
      </c>
      <c r="F10" s="3629" t="s">
        <v>8311</v>
      </c>
      <c r="G10" s="959" t="s">
        <v>8290</v>
      </c>
      <c r="H10" s="3618" t="s">
        <v>8291</v>
      </c>
      <c r="I10" s="3618">
        <v>428</v>
      </c>
      <c r="J10" s="3618">
        <v>0</v>
      </c>
      <c r="K10" s="3618">
        <v>4</v>
      </c>
      <c r="L10" s="3618">
        <f t="shared" si="0"/>
        <v>107</v>
      </c>
      <c r="M10" s="3619">
        <v>45653</v>
      </c>
      <c r="N10" s="3619">
        <v>45649</v>
      </c>
      <c r="O10" s="3618"/>
      <c r="P10" s="959" t="s">
        <v>82</v>
      </c>
      <c r="Q10" s="3620" t="s">
        <v>116</v>
      </c>
      <c r="R10" s="3619" t="s">
        <v>402</v>
      </c>
      <c r="S10" s="3619"/>
      <c r="T10" s="3619" t="s">
        <v>98</v>
      </c>
      <c r="U10" s="3619" t="s">
        <v>8312</v>
      </c>
      <c r="V10" s="959"/>
      <c r="W10" s="3638" t="s">
        <v>8313</v>
      </c>
      <c r="X10" s="3639" t="s">
        <v>2686</v>
      </c>
      <c r="Y10" s="3618">
        <v>9.8321</v>
      </c>
      <c r="Z10" s="3618">
        <f>Y10*I10</f>
        <v>4208.1388</v>
      </c>
      <c r="AA10" s="3633" t="s">
        <v>2687</v>
      </c>
      <c r="AB10" s="959" t="s">
        <v>8290</v>
      </c>
      <c r="AC10" s="3620" t="s">
        <v>416</v>
      </c>
      <c r="AD10" s="3625"/>
      <c r="AE10" s="3625"/>
      <c r="AF10" s="3625"/>
      <c r="AG10" s="959">
        <f>I10</f>
        <v>428</v>
      </c>
      <c r="AH10" s="959"/>
      <c r="AI10" s="959"/>
      <c r="AJ10" s="3618">
        <f>I10</f>
        <v>428</v>
      </c>
      <c r="AK10" s="3626"/>
      <c r="AL10" s="3626">
        <f t="shared" si="2"/>
        <v>428</v>
      </c>
      <c r="AM10" s="3626"/>
      <c r="AN10" s="3626"/>
      <c r="AO10" s="3626"/>
      <c r="AP10" s="3626"/>
      <c r="AQ10" s="3626" t="s">
        <v>89</v>
      </c>
      <c r="AR10" s="3626">
        <f t="shared" si="3"/>
        <v>142.666666666667</v>
      </c>
      <c r="AS10" s="3626">
        <f t="shared" si="4"/>
        <v>142.666666666667</v>
      </c>
      <c r="AT10" s="3626">
        <f t="shared" si="5"/>
        <v>142.666666666667</v>
      </c>
      <c r="AU10" s="3627">
        <f t="shared" si="1"/>
        <v>428</v>
      </c>
      <c r="AV10" s="3627">
        <f t="shared" si="6"/>
        <v>0</v>
      </c>
    </row>
    <row r="11" s="3566" customFormat="1" ht="50" customHeight="1" spans="1:48">
      <c r="A11" s="3616">
        <v>45607</v>
      </c>
      <c r="B11" s="3630" t="s">
        <v>2681</v>
      </c>
      <c r="C11" s="3628" t="s">
        <v>91</v>
      </c>
      <c r="D11" s="3629">
        <v>4500150863</v>
      </c>
      <c r="E11" s="959" t="s">
        <v>2688</v>
      </c>
      <c r="F11" s="3629" t="s">
        <v>8314</v>
      </c>
      <c r="G11" s="959" t="s">
        <v>8290</v>
      </c>
      <c r="H11" s="3618" t="s">
        <v>8291</v>
      </c>
      <c r="I11" s="3618">
        <v>588</v>
      </c>
      <c r="J11" s="3618">
        <v>0</v>
      </c>
      <c r="K11" s="3618">
        <v>4</v>
      </c>
      <c r="L11" s="3618">
        <f t="shared" si="0"/>
        <v>147</v>
      </c>
      <c r="M11" s="3619">
        <v>45653</v>
      </c>
      <c r="N11" s="3619">
        <v>45649</v>
      </c>
      <c r="O11" s="3618"/>
      <c r="P11" s="959" t="s">
        <v>82</v>
      </c>
      <c r="Q11" s="3620" t="s">
        <v>518</v>
      </c>
      <c r="R11" s="3619" t="s">
        <v>402</v>
      </c>
      <c r="S11" s="3619"/>
      <c r="T11" s="3619" t="s">
        <v>98</v>
      </c>
      <c r="U11" s="3619" t="s">
        <v>8312</v>
      </c>
      <c r="V11" s="959"/>
      <c r="W11" s="3638" t="s">
        <v>8315</v>
      </c>
      <c r="X11" s="3639" t="s">
        <v>2686</v>
      </c>
      <c r="Y11" s="3618">
        <v>9.8117</v>
      </c>
      <c r="Z11" s="3618">
        <f>Y11*I11</f>
        <v>5769.2796</v>
      </c>
      <c r="AA11" s="3633" t="s">
        <v>2691</v>
      </c>
      <c r="AB11" s="959" t="s">
        <v>8290</v>
      </c>
      <c r="AC11" s="3620" t="s">
        <v>416</v>
      </c>
      <c r="AD11" s="3625"/>
      <c r="AE11" s="3625"/>
      <c r="AF11" s="3625"/>
      <c r="AG11" s="959">
        <f>I11</f>
        <v>588</v>
      </c>
      <c r="AH11" s="959"/>
      <c r="AI11" s="959"/>
      <c r="AJ11" s="3618">
        <f>I11</f>
        <v>588</v>
      </c>
      <c r="AK11" s="3626"/>
      <c r="AL11" s="3626">
        <f t="shared" si="2"/>
        <v>588</v>
      </c>
      <c r="AM11" s="3626"/>
      <c r="AN11" s="3626"/>
      <c r="AO11" s="3626"/>
      <c r="AP11" s="3626"/>
      <c r="AQ11" s="3626" t="s">
        <v>89</v>
      </c>
      <c r="AR11" s="3626">
        <f t="shared" si="3"/>
        <v>196</v>
      </c>
      <c r="AS11" s="3626">
        <f t="shared" si="4"/>
        <v>196</v>
      </c>
      <c r="AT11" s="3626">
        <f t="shared" si="5"/>
        <v>196</v>
      </c>
      <c r="AU11" s="3627">
        <f t="shared" si="1"/>
        <v>588</v>
      </c>
      <c r="AV11" s="3627">
        <f t="shared" si="6"/>
        <v>0</v>
      </c>
    </row>
    <row r="12" s="3566" customFormat="1" ht="50" customHeight="1" spans="1:48">
      <c r="A12" s="3616">
        <v>45617</v>
      </c>
      <c r="B12" s="3630" t="s">
        <v>2681</v>
      </c>
      <c r="C12" s="3628" t="s">
        <v>91</v>
      </c>
      <c r="D12" s="3629">
        <v>4500151904</v>
      </c>
      <c r="E12" s="959" t="s">
        <v>2692</v>
      </c>
      <c r="F12" s="3629" t="s">
        <v>8316</v>
      </c>
      <c r="G12" s="959" t="s">
        <v>8290</v>
      </c>
      <c r="H12" s="3618" t="s">
        <v>8291</v>
      </c>
      <c r="I12" s="3618">
        <v>428</v>
      </c>
      <c r="J12" s="3618">
        <v>0</v>
      </c>
      <c r="K12" s="3618">
        <v>4</v>
      </c>
      <c r="L12" s="3618">
        <v>107</v>
      </c>
      <c r="M12" s="3619">
        <v>45653</v>
      </c>
      <c r="N12" s="3619">
        <v>45649</v>
      </c>
      <c r="O12" s="3618"/>
      <c r="P12" s="959" t="s">
        <v>82</v>
      </c>
      <c r="Q12" s="3620" t="s">
        <v>110</v>
      </c>
      <c r="R12" s="3640" t="s">
        <v>2694</v>
      </c>
      <c r="S12" s="3640"/>
      <c r="T12" s="3640" t="s">
        <v>98</v>
      </c>
      <c r="U12" s="3619" t="s">
        <v>8312</v>
      </c>
      <c r="V12" s="959"/>
      <c r="W12" s="3638" t="s">
        <v>8317</v>
      </c>
      <c r="X12" s="3639" t="s">
        <v>2686</v>
      </c>
      <c r="Y12" s="3618">
        <v>9.8321</v>
      </c>
      <c r="Z12" s="3618">
        <v>4208.1388</v>
      </c>
      <c r="AA12" s="3633" t="s">
        <v>2696</v>
      </c>
      <c r="AB12" s="959" t="s">
        <v>8290</v>
      </c>
      <c r="AC12" s="3620" t="s">
        <v>416</v>
      </c>
      <c r="AD12" s="3625"/>
      <c r="AE12" s="3625"/>
      <c r="AF12" s="3625"/>
      <c r="AG12" s="959">
        <v>428</v>
      </c>
      <c r="AH12" s="959"/>
      <c r="AI12" s="959"/>
      <c r="AJ12" s="3618">
        <v>428</v>
      </c>
      <c r="AK12" s="3626"/>
      <c r="AL12" s="3626">
        <f t="shared" si="2"/>
        <v>428</v>
      </c>
      <c r="AM12" s="3626"/>
      <c r="AN12" s="3626"/>
      <c r="AO12" s="3626"/>
      <c r="AP12" s="3626"/>
      <c r="AQ12" s="3626" t="s">
        <v>89</v>
      </c>
      <c r="AR12" s="3626">
        <f t="shared" si="3"/>
        <v>142.666666666667</v>
      </c>
      <c r="AS12" s="3626">
        <f t="shared" si="4"/>
        <v>142.666666666667</v>
      </c>
      <c r="AT12" s="3626">
        <f t="shared" si="5"/>
        <v>142.666666666667</v>
      </c>
      <c r="AU12" s="3627">
        <f t="shared" si="1"/>
        <v>428</v>
      </c>
      <c r="AV12" s="3627">
        <f t="shared" si="6"/>
        <v>0</v>
      </c>
    </row>
    <row r="13" s="3566" customFormat="1" ht="48" customHeight="1" spans="1:48">
      <c r="A13" s="3616">
        <v>45587</v>
      </c>
      <c r="B13" s="3630" t="s">
        <v>1409</v>
      </c>
      <c r="C13" s="3628" t="s">
        <v>1410</v>
      </c>
      <c r="D13" s="3629">
        <v>4500148621</v>
      </c>
      <c r="E13" s="959">
        <v>24000405</v>
      </c>
      <c r="F13" s="3629" t="s">
        <v>8318</v>
      </c>
      <c r="G13" s="959" t="s">
        <v>8290</v>
      </c>
      <c r="H13" s="3618" t="s">
        <v>8291</v>
      </c>
      <c r="I13" s="3618">
        <v>468</v>
      </c>
      <c r="J13" s="3618">
        <v>0</v>
      </c>
      <c r="K13" s="3618">
        <v>4</v>
      </c>
      <c r="L13" s="3618">
        <f>I13/K13</f>
        <v>117</v>
      </c>
      <c r="M13" s="3641">
        <v>45651</v>
      </c>
      <c r="N13" s="3641">
        <v>45647</v>
      </c>
      <c r="O13" s="3618"/>
      <c r="P13" s="959" t="s">
        <v>82</v>
      </c>
      <c r="Q13" s="3620" t="s">
        <v>96</v>
      </c>
      <c r="R13" s="3619" t="s">
        <v>2243</v>
      </c>
      <c r="S13" s="3619"/>
      <c r="T13" s="3619" t="s">
        <v>98</v>
      </c>
      <c r="U13" s="3619"/>
      <c r="V13" s="959"/>
      <c r="W13" s="3638" t="s">
        <v>8319</v>
      </c>
      <c r="X13" s="3639" t="s">
        <v>892</v>
      </c>
      <c r="Y13" s="3618">
        <v>9.8321</v>
      </c>
      <c r="Z13" s="3618">
        <f>Y13*I13</f>
        <v>4601.4228</v>
      </c>
      <c r="AA13" s="3633" t="s">
        <v>6072</v>
      </c>
      <c r="AB13" s="959" t="s">
        <v>8290</v>
      </c>
      <c r="AC13" s="3620" t="s">
        <v>416</v>
      </c>
      <c r="AD13" s="3625"/>
      <c r="AE13" s="3625"/>
      <c r="AF13" s="3625"/>
      <c r="AG13" s="959">
        <f>I13</f>
        <v>468</v>
      </c>
      <c r="AH13" s="959"/>
      <c r="AI13" s="959"/>
      <c r="AJ13" s="3618">
        <f>I13</f>
        <v>468</v>
      </c>
      <c r="AK13" s="3626"/>
      <c r="AL13" s="3626">
        <f t="shared" si="2"/>
        <v>468</v>
      </c>
      <c r="AM13" s="3626"/>
      <c r="AN13" s="3626"/>
      <c r="AO13" s="3626"/>
      <c r="AP13" s="3626"/>
      <c r="AQ13" s="3626" t="s">
        <v>89</v>
      </c>
      <c r="AR13" s="3626">
        <f t="shared" si="3"/>
        <v>156</v>
      </c>
      <c r="AS13" s="3626">
        <f t="shared" si="4"/>
        <v>156</v>
      </c>
      <c r="AT13" s="3626">
        <f t="shared" si="5"/>
        <v>156</v>
      </c>
      <c r="AU13" s="3627">
        <f t="shared" si="1"/>
        <v>468</v>
      </c>
      <c r="AV13" s="3627">
        <f t="shared" si="6"/>
        <v>0</v>
      </c>
    </row>
    <row r="14" s="3566" customFormat="1" ht="50" customHeight="1" spans="1:48">
      <c r="A14" s="3616">
        <v>45617</v>
      </c>
      <c r="B14" s="3630" t="s">
        <v>2681</v>
      </c>
      <c r="C14" s="3628" t="s">
        <v>91</v>
      </c>
      <c r="D14" s="3629">
        <v>4500151907</v>
      </c>
      <c r="E14" s="959" t="s">
        <v>2788</v>
      </c>
      <c r="F14" s="3629" t="s">
        <v>8320</v>
      </c>
      <c r="G14" s="959" t="s">
        <v>8290</v>
      </c>
      <c r="H14" s="3618" t="s">
        <v>8291</v>
      </c>
      <c r="I14" s="3618">
        <v>588</v>
      </c>
      <c r="J14" s="3618">
        <v>0</v>
      </c>
      <c r="K14" s="3618">
        <v>4</v>
      </c>
      <c r="L14" s="3618">
        <v>147</v>
      </c>
      <c r="M14" s="3619">
        <v>45663</v>
      </c>
      <c r="N14" s="3619">
        <v>45659</v>
      </c>
      <c r="O14" s="3618"/>
      <c r="P14" s="959" t="s">
        <v>82</v>
      </c>
      <c r="Q14" s="3620" t="s">
        <v>427</v>
      </c>
      <c r="R14" s="3622" t="s">
        <v>729</v>
      </c>
      <c r="S14" s="3619"/>
      <c r="T14" s="3640" t="s">
        <v>98</v>
      </c>
      <c r="U14" s="3622" t="s">
        <v>2786</v>
      </c>
      <c r="V14" s="959"/>
      <c r="W14" s="3638" t="s">
        <v>8321</v>
      </c>
      <c r="X14" s="3639" t="s">
        <v>2686</v>
      </c>
      <c r="Y14" s="3618">
        <v>9.8117</v>
      </c>
      <c r="Z14" s="3618">
        <v>5769.2796</v>
      </c>
      <c r="AA14" s="3633" t="s">
        <v>2790</v>
      </c>
      <c r="AB14" s="959" t="s">
        <v>8290</v>
      </c>
      <c r="AC14" s="3620" t="s">
        <v>416</v>
      </c>
      <c r="AD14" s="3625"/>
      <c r="AE14" s="3625"/>
      <c r="AF14" s="3625"/>
      <c r="AG14" s="959">
        <v>588</v>
      </c>
      <c r="AH14" s="959"/>
      <c r="AI14" s="959"/>
      <c r="AJ14" s="3618">
        <v>588</v>
      </c>
      <c r="AK14" s="3626"/>
      <c r="AL14" s="3626">
        <f t="shared" si="2"/>
        <v>588</v>
      </c>
      <c r="AM14" s="3626"/>
      <c r="AN14" s="3626"/>
      <c r="AO14" s="3626"/>
      <c r="AP14" s="3626"/>
      <c r="AQ14" s="3626" t="s">
        <v>89</v>
      </c>
      <c r="AR14" s="3626">
        <f t="shared" si="3"/>
        <v>196</v>
      </c>
      <c r="AS14" s="3626">
        <f t="shared" si="4"/>
        <v>196</v>
      </c>
      <c r="AT14" s="3626">
        <f t="shared" si="5"/>
        <v>196</v>
      </c>
      <c r="AU14" s="3627">
        <f t="shared" si="1"/>
        <v>588</v>
      </c>
      <c r="AV14" s="3627">
        <f t="shared" si="6"/>
        <v>0</v>
      </c>
    </row>
    <row r="15" s="3566" customFormat="1" ht="50" customHeight="1" spans="1:48">
      <c r="A15" s="3616">
        <v>45617</v>
      </c>
      <c r="B15" s="3630" t="s">
        <v>2681</v>
      </c>
      <c r="C15" s="3628" t="s">
        <v>91</v>
      </c>
      <c r="D15" s="3629">
        <v>4500151906</v>
      </c>
      <c r="E15" s="959" t="s">
        <v>2784</v>
      </c>
      <c r="F15" s="3629" t="s">
        <v>8322</v>
      </c>
      <c r="G15" s="959" t="s">
        <v>8290</v>
      </c>
      <c r="H15" s="3618" t="s">
        <v>8291</v>
      </c>
      <c r="I15" s="3618">
        <v>428</v>
      </c>
      <c r="J15" s="3618">
        <v>0</v>
      </c>
      <c r="K15" s="3618">
        <v>4</v>
      </c>
      <c r="L15" s="3618">
        <v>107</v>
      </c>
      <c r="M15" s="3619">
        <v>45663</v>
      </c>
      <c r="N15" s="3619">
        <v>45659</v>
      </c>
      <c r="O15" s="3618"/>
      <c r="P15" s="959" t="s">
        <v>82</v>
      </c>
      <c r="Q15" s="3620"/>
      <c r="R15" s="3622" t="s">
        <v>729</v>
      </c>
      <c r="S15" s="3619"/>
      <c r="T15" s="3640" t="s">
        <v>98</v>
      </c>
      <c r="U15" s="3622" t="s">
        <v>2786</v>
      </c>
      <c r="V15" s="959"/>
      <c r="W15" s="3638" t="s">
        <v>8323</v>
      </c>
      <c r="X15" s="3639" t="s">
        <v>2686</v>
      </c>
      <c r="Y15" s="3618">
        <v>9.8321</v>
      </c>
      <c r="Z15" s="3618">
        <v>4208.1388</v>
      </c>
      <c r="AA15" s="3633" t="s">
        <v>2787</v>
      </c>
      <c r="AB15" s="959" t="s">
        <v>8290</v>
      </c>
      <c r="AC15" s="3620" t="s">
        <v>416</v>
      </c>
      <c r="AD15" s="3625"/>
      <c r="AE15" s="3625"/>
      <c r="AF15" s="3625"/>
      <c r="AG15" s="959">
        <v>428</v>
      </c>
      <c r="AH15" s="959"/>
      <c r="AI15" s="959"/>
      <c r="AJ15" s="3618">
        <v>428</v>
      </c>
      <c r="AK15" s="3626"/>
      <c r="AL15" s="3626">
        <f t="shared" si="2"/>
        <v>428</v>
      </c>
      <c r="AM15" s="3626"/>
      <c r="AN15" s="3626"/>
      <c r="AO15" s="3626"/>
      <c r="AP15" s="3626"/>
      <c r="AQ15" s="3626" t="s">
        <v>89</v>
      </c>
      <c r="AR15" s="3626">
        <f t="shared" si="3"/>
        <v>142.666666666667</v>
      </c>
      <c r="AS15" s="3626">
        <f t="shared" si="4"/>
        <v>142.666666666667</v>
      </c>
      <c r="AT15" s="3626">
        <f t="shared" si="5"/>
        <v>142.666666666667</v>
      </c>
      <c r="AU15" s="3627">
        <f t="shared" si="1"/>
        <v>428</v>
      </c>
      <c r="AV15" s="3627">
        <f t="shared" si="6"/>
        <v>0</v>
      </c>
    </row>
    <row r="16" s="3566" customFormat="1" ht="50" customHeight="1" spans="1:48">
      <c r="A16" s="3635">
        <v>45637</v>
      </c>
      <c r="B16" s="3630" t="s">
        <v>872</v>
      </c>
      <c r="C16" s="3617" t="s">
        <v>873</v>
      </c>
      <c r="D16" s="3629">
        <v>4500153567</v>
      </c>
      <c r="E16" s="959"/>
      <c r="F16" s="3629" t="s">
        <v>8324</v>
      </c>
      <c r="G16" s="959" t="s">
        <v>8290</v>
      </c>
      <c r="H16" s="3618" t="s">
        <v>8291</v>
      </c>
      <c r="I16" s="3618">
        <v>240</v>
      </c>
      <c r="J16" s="3618">
        <v>0</v>
      </c>
      <c r="K16" s="3618">
        <v>4</v>
      </c>
      <c r="L16" s="3618">
        <f t="shared" ref="L16:L79" si="7">I16/K16</f>
        <v>60</v>
      </c>
      <c r="M16" s="3619">
        <v>45670</v>
      </c>
      <c r="N16" s="3619">
        <v>45666</v>
      </c>
      <c r="O16" s="3618"/>
      <c r="P16" s="959" t="s">
        <v>82</v>
      </c>
      <c r="Q16" s="3620" t="s">
        <v>2599</v>
      </c>
      <c r="R16" s="3640" t="s">
        <v>2600</v>
      </c>
      <c r="S16" s="3640"/>
      <c r="T16" s="3640" t="s">
        <v>8325</v>
      </c>
      <c r="U16" s="3640"/>
      <c r="V16" s="959"/>
      <c r="W16" s="3638" t="s">
        <v>8326</v>
      </c>
      <c r="X16" s="3639" t="s">
        <v>357</v>
      </c>
      <c r="Y16" s="3618">
        <v>10.3528</v>
      </c>
      <c r="Z16" s="3618">
        <f t="shared" ref="Z16:Z27" si="8">Y16*I16</f>
        <v>2484.672</v>
      </c>
      <c r="AA16" s="3633" t="s">
        <v>6211</v>
      </c>
      <c r="AB16" s="959" t="s">
        <v>8290</v>
      </c>
      <c r="AC16" s="3620" t="s">
        <v>416</v>
      </c>
      <c r="AD16" s="3625"/>
      <c r="AE16" s="3625"/>
      <c r="AF16" s="3625"/>
      <c r="AG16" s="959">
        <f>I16</f>
        <v>240</v>
      </c>
      <c r="AH16" s="959"/>
      <c r="AI16" s="959"/>
      <c r="AJ16" s="3618">
        <f>I16</f>
        <v>240</v>
      </c>
      <c r="AK16" s="3626"/>
      <c r="AL16" s="3626">
        <f t="shared" si="2"/>
        <v>240</v>
      </c>
      <c r="AM16" s="3626"/>
      <c r="AN16" s="3626"/>
      <c r="AO16" s="3626"/>
      <c r="AP16" s="3626"/>
      <c r="AQ16" s="3626" t="s">
        <v>89</v>
      </c>
      <c r="AR16" s="3626">
        <f t="shared" si="3"/>
        <v>80</v>
      </c>
      <c r="AS16" s="3626">
        <f t="shared" si="4"/>
        <v>80</v>
      </c>
      <c r="AT16" s="3626">
        <f t="shared" si="5"/>
        <v>80</v>
      </c>
      <c r="AU16" s="3627">
        <f t="shared" si="1"/>
        <v>240</v>
      </c>
      <c r="AV16" s="3627">
        <f t="shared" si="6"/>
        <v>0</v>
      </c>
    </row>
    <row r="17" s="3566" customFormat="1" ht="50" customHeight="1" spans="1:48">
      <c r="A17" s="3635">
        <v>45635</v>
      </c>
      <c r="B17" s="3630" t="s">
        <v>4959</v>
      </c>
      <c r="C17" s="3617" t="s">
        <v>4960</v>
      </c>
      <c r="D17" s="3629">
        <v>4500153513</v>
      </c>
      <c r="E17" s="959"/>
      <c r="F17" s="3629" t="s">
        <v>8327</v>
      </c>
      <c r="G17" s="959" t="s">
        <v>8290</v>
      </c>
      <c r="H17" s="3618" t="s">
        <v>8291</v>
      </c>
      <c r="I17" s="3618">
        <v>600</v>
      </c>
      <c r="J17" s="3618">
        <v>0</v>
      </c>
      <c r="K17" s="3618">
        <v>4</v>
      </c>
      <c r="L17" s="3618">
        <f t="shared" si="7"/>
        <v>150</v>
      </c>
      <c r="M17" s="3619">
        <v>45672</v>
      </c>
      <c r="N17" s="3619">
        <v>45668</v>
      </c>
      <c r="O17" s="3618"/>
      <c r="P17" s="959" t="s">
        <v>82</v>
      </c>
      <c r="Q17" s="3620" t="s">
        <v>401</v>
      </c>
      <c r="R17" s="3640" t="s">
        <v>2807</v>
      </c>
      <c r="S17" s="3640"/>
      <c r="T17" s="3640" t="s">
        <v>6288</v>
      </c>
      <c r="U17" s="3642"/>
      <c r="V17" s="959"/>
      <c r="W17" s="3638" t="s">
        <v>8328</v>
      </c>
      <c r="X17" s="3639" t="s">
        <v>559</v>
      </c>
      <c r="Y17" s="3618">
        <v>10.3324</v>
      </c>
      <c r="Z17" s="3618">
        <f t="shared" si="8"/>
        <v>6199.44</v>
      </c>
      <c r="AA17" s="3633" t="s">
        <v>6290</v>
      </c>
      <c r="AB17" s="959" t="s">
        <v>8329</v>
      </c>
      <c r="AC17" s="3620" t="s">
        <v>416</v>
      </c>
      <c r="AD17" s="3625"/>
      <c r="AE17" s="3625"/>
      <c r="AF17" s="3625"/>
      <c r="AG17" s="959"/>
      <c r="AH17" s="959">
        <f>I17</f>
        <v>600</v>
      </c>
      <c r="AI17" s="959"/>
      <c r="AJ17" s="3618">
        <f>I17</f>
        <v>600</v>
      </c>
      <c r="AK17" s="3626"/>
      <c r="AL17" s="3626">
        <f t="shared" si="2"/>
        <v>600</v>
      </c>
      <c r="AM17" s="3626"/>
      <c r="AN17" s="3626"/>
      <c r="AO17" s="3626"/>
      <c r="AP17" s="3626"/>
      <c r="AQ17" s="3626" t="s">
        <v>89</v>
      </c>
      <c r="AR17" s="3626">
        <f t="shared" si="3"/>
        <v>200</v>
      </c>
      <c r="AS17" s="3626">
        <f t="shared" si="4"/>
        <v>200</v>
      </c>
      <c r="AT17" s="3626">
        <f t="shared" si="5"/>
        <v>200</v>
      </c>
      <c r="AU17" s="3627">
        <f t="shared" si="1"/>
        <v>600</v>
      </c>
      <c r="AV17" s="3627">
        <f t="shared" si="6"/>
        <v>0</v>
      </c>
    </row>
    <row r="18" s="3566" customFormat="1" ht="50" customHeight="1" spans="1:48">
      <c r="A18" s="3635">
        <v>45638</v>
      </c>
      <c r="B18" s="3630" t="s">
        <v>672</v>
      </c>
      <c r="C18" s="3617" t="s">
        <v>673</v>
      </c>
      <c r="D18" s="3629">
        <v>4500153795</v>
      </c>
      <c r="E18" s="959">
        <v>5000001719</v>
      </c>
      <c r="F18" s="3629" t="s">
        <v>8330</v>
      </c>
      <c r="G18" s="959" t="s">
        <v>8290</v>
      </c>
      <c r="H18" s="3618" t="s">
        <v>8291</v>
      </c>
      <c r="I18" s="3618">
        <v>1200</v>
      </c>
      <c r="J18" s="3618">
        <v>0</v>
      </c>
      <c r="K18" s="3618">
        <v>4</v>
      </c>
      <c r="L18" s="3618">
        <f t="shared" si="7"/>
        <v>300</v>
      </c>
      <c r="M18" s="3619">
        <v>45670</v>
      </c>
      <c r="N18" s="3619">
        <v>45666</v>
      </c>
      <c r="O18" s="3618"/>
      <c r="P18" s="959" t="s">
        <v>82</v>
      </c>
      <c r="Q18" s="3620" t="s">
        <v>5398</v>
      </c>
      <c r="R18" s="3640" t="s">
        <v>8331</v>
      </c>
      <c r="S18" s="3640"/>
      <c r="T18" s="3640" t="s">
        <v>8332</v>
      </c>
      <c r="U18" s="3640" t="s">
        <v>6257</v>
      </c>
      <c r="V18" s="959"/>
      <c r="W18" s="3638" t="s">
        <v>8333</v>
      </c>
      <c r="X18" s="3639" t="s">
        <v>680</v>
      </c>
      <c r="Y18" s="3618">
        <v>9.8117</v>
      </c>
      <c r="Z18" s="3618">
        <f t="shared" si="8"/>
        <v>11774.04</v>
      </c>
      <c r="AA18" s="3633" t="s">
        <v>6259</v>
      </c>
      <c r="AB18" s="959" t="s">
        <v>8334</v>
      </c>
      <c r="AC18" s="3620" t="s">
        <v>416</v>
      </c>
      <c r="AD18" s="3625"/>
      <c r="AE18" s="3625"/>
      <c r="AF18" s="3625"/>
      <c r="AG18" s="959">
        <f>I18</f>
        <v>1200</v>
      </c>
      <c r="AH18" s="959"/>
      <c r="AI18" s="959"/>
      <c r="AJ18" s="3618"/>
      <c r="AK18" s="3626">
        <f>I18</f>
        <v>1200</v>
      </c>
      <c r="AL18" s="3626">
        <f t="shared" si="2"/>
        <v>1200</v>
      </c>
      <c r="AM18" s="3626"/>
      <c r="AN18" s="3626"/>
      <c r="AO18" s="3626"/>
      <c r="AP18" s="3626"/>
      <c r="AQ18" s="3626" t="s">
        <v>8335</v>
      </c>
      <c r="AR18" s="3626">
        <f t="shared" si="3"/>
        <v>400</v>
      </c>
      <c r="AS18" s="3626">
        <f t="shared" si="4"/>
        <v>400</v>
      </c>
      <c r="AT18" s="3626">
        <f t="shared" si="5"/>
        <v>400</v>
      </c>
      <c r="AU18" s="3627">
        <f t="shared" si="1"/>
        <v>1200</v>
      </c>
      <c r="AV18" s="3627">
        <f t="shared" si="6"/>
        <v>0</v>
      </c>
    </row>
    <row r="19" s="3566" customFormat="1" ht="50" customHeight="1" spans="1:48">
      <c r="A19" s="3635">
        <v>45639</v>
      </c>
      <c r="B19" s="3630" t="s">
        <v>672</v>
      </c>
      <c r="C19" s="3617" t="s">
        <v>673</v>
      </c>
      <c r="D19" s="3629">
        <v>4500153795</v>
      </c>
      <c r="E19" s="959">
        <v>5000001719</v>
      </c>
      <c r="F19" s="3629" t="s">
        <v>8336</v>
      </c>
      <c r="G19" s="959" t="s">
        <v>8290</v>
      </c>
      <c r="H19" s="3618" t="s">
        <v>8291</v>
      </c>
      <c r="I19" s="3618">
        <v>1440</v>
      </c>
      <c r="J19" s="3618">
        <v>0</v>
      </c>
      <c r="K19" s="3618">
        <v>4</v>
      </c>
      <c r="L19" s="3618">
        <f t="shared" si="7"/>
        <v>360</v>
      </c>
      <c r="M19" s="3619">
        <v>45670</v>
      </c>
      <c r="N19" s="3619">
        <v>45666</v>
      </c>
      <c r="O19" s="3618"/>
      <c r="P19" s="959" t="s">
        <v>82</v>
      </c>
      <c r="Q19" s="3620" t="s">
        <v>5398</v>
      </c>
      <c r="R19" s="3640" t="s">
        <v>8331</v>
      </c>
      <c r="S19" s="3640"/>
      <c r="T19" s="3640" t="s">
        <v>8332</v>
      </c>
      <c r="U19" s="3640" t="s">
        <v>6257</v>
      </c>
      <c r="V19" s="959"/>
      <c r="W19" s="3638" t="s">
        <v>8337</v>
      </c>
      <c r="X19" s="3639" t="s">
        <v>680</v>
      </c>
      <c r="Y19" s="3618">
        <v>9.7911</v>
      </c>
      <c r="Z19" s="3618">
        <f t="shared" si="8"/>
        <v>14099.184</v>
      </c>
      <c r="AA19" s="3633" t="s">
        <v>6259</v>
      </c>
      <c r="AB19" s="959" t="s">
        <v>8334</v>
      </c>
      <c r="AC19" s="3620" t="s">
        <v>416</v>
      </c>
      <c r="AD19" s="3625"/>
      <c r="AE19" s="3625"/>
      <c r="AF19" s="3625"/>
      <c r="AG19" s="959">
        <f>I19</f>
        <v>1440</v>
      </c>
      <c r="AH19" s="959"/>
      <c r="AI19" s="959"/>
      <c r="AJ19" s="3618"/>
      <c r="AK19" s="3626">
        <f>I19</f>
        <v>1440</v>
      </c>
      <c r="AL19" s="3626">
        <f t="shared" si="2"/>
        <v>1440</v>
      </c>
      <c r="AM19" s="3626"/>
      <c r="AN19" s="3626"/>
      <c r="AO19" s="3626"/>
      <c r="AP19" s="3626"/>
      <c r="AQ19" s="3626" t="s">
        <v>8335</v>
      </c>
      <c r="AR19" s="3626">
        <f t="shared" si="3"/>
        <v>480</v>
      </c>
      <c r="AS19" s="3626">
        <f t="shared" si="4"/>
        <v>480</v>
      </c>
      <c r="AT19" s="3626">
        <f t="shared" si="5"/>
        <v>480</v>
      </c>
      <c r="AU19" s="3627">
        <f t="shared" si="1"/>
        <v>1440</v>
      </c>
      <c r="AV19" s="3627">
        <f t="shared" si="6"/>
        <v>0</v>
      </c>
    </row>
    <row r="20" s="3566" customFormat="1" ht="50" customHeight="1" spans="1:48">
      <c r="A20" s="3635">
        <v>45642</v>
      </c>
      <c r="B20" s="3630" t="s">
        <v>2681</v>
      </c>
      <c r="C20" s="3617" t="s">
        <v>91</v>
      </c>
      <c r="D20" s="3629">
        <v>4500154083</v>
      </c>
      <c r="E20" s="959" t="s">
        <v>2855</v>
      </c>
      <c r="F20" s="3629" t="s">
        <v>8338</v>
      </c>
      <c r="G20" s="959" t="s">
        <v>8290</v>
      </c>
      <c r="H20" s="3618" t="s">
        <v>8291</v>
      </c>
      <c r="I20" s="3618">
        <v>428</v>
      </c>
      <c r="J20" s="3618">
        <v>0</v>
      </c>
      <c r="K20" s="3618">
        <v>4</v>
      </c>
      <c r="L20" s="3618">
        <f t="shared" si="7"/>
        <v>107</v>
      </c>
      <c r="M20" s="3619">
        <v>45671</v>
      </c>
      <c r="N20" s="3619">
        <v>45667</v>
      </c>
      <c r="O20" s="3618"/>
      <c r="P20" s="959" t="s">
        <v>82</v>
      </c>
      <c r="Q20" s="3620" t="s">
        <v>2841</v>
      </c>
      <c r="R20" s="3640" t="s">
        <v>619</v>
      </c>
      <c r="S20" s="3640"/>
      <c r="T20" s="3640" t="s">
        <v>98</v>
      </c>
      <c r="U20" s="3640" t="s">
        <v>2857</v>
      </c>
      <c r="V20" s="959"/>
      <c r="W20" s="3638" t="s">
        <v>8339</v>
      </c>
      <c r="X20" s="3639" t="s">
        <v>2686</v>
      </c>
      <c r="Y20" s="3618">
        <v>9.8321</v>
      </c>
      <c r="Z20" s="3618">
        <f t="shared" si="8"/>
        <v>4208.1388</v>
      </c>
      <c r="AA20" s="3633" t="s">
        <v>2859</v>
      </c>
      <c r="AB20" s="959" t="s">
        <v>8290</v>
      </c>
      <c r="AC20" s="3620" t="s">
        <v>416</v>
      </c>
      <c r="AD20" s="3625"/>
      <c r="AE20" s="3625"/>
      <c r="AF20" s="3625"/>
      <c r="AG20" s="959">
        <f>I20</f>
        <v>428</v>
      </c>
      <c r="AH20" s="959"/>
      <c r="AI20" s="959"/>
      <c r="AJ20" s="3618">
        <f>I20</f>
        <v>428</v>
      </c>
      <c r="AK20" s="3626"/>
      <c r="AL20" s="3626">
        <f t="shared" si="2"/>
        <v>428</v>
      </c>
      <c r="AM20" s="3626"/>
      <c r="AN20" s="3626"/>
      <c r="AO20" s="3626"/>
      <c r="AP20" s="3626"/>
      <c r="AQ20" s="3626" t="s">
        <v>89</v>
      </c>
      <c r="AR20" s="3626">
        <f t="shared" si="3"/>
        <v>142.666666666667</v>
      </c>
      <c r="AS20" s="3626">
        <f t="shared" si="4"/>
        <v>142.666666666667</v>
      </c>
      <c r="AT20" s="3626">
        <f t="shared" si="5"/>
        <v>142.666666666667</v>
      </c>
      <c r="AU20" s="3627">
        <f t="shared" si="1"/>
        <v>428</v>
      </c>
      <c r="AV20" s="3627">
        <f t="shared" si="6"/>
        <v>0</v>
      </c>
    </row>
    <row r="21" s="3566" customFormat="1" ht="50" customHeight="1" spans="1:48">
      <c r="A21" s="3635">
        <v>45642</v>
      </c>
      <c r="B21" s="3630" t="s">
        <v>2681</v>
      </c>
      <c r="C21" s="3617" t="s">
        <v>91</v>
      </c>
      <c r="D21" s="3629">
        <v>4500154099</v>
      </c>
      <c r="E21" s="959" t="s">
        <v>2881</v>
      </c>
      <c r="F21" s="3629" t="s">
        <v>8340</v>
      </c>
      <c r="G21" s="959" t="s">
        <v>8290</v>
      </c>
      <c r="H21" s="3618" t="s">
        <v>8291</v>
      </c>
      <c r="I21" s="3618">
        <v>588</v>
      </c>
      <c r="J21" s="3618">
        <v>0</v>
      </c>
      <c r="K21" s="3618">
        <v>4</v>
      </c>
      <c r="L21" s="3618">
        <f t="shared" si="7"/>
        <v>147</v>
      </c>
      <c r="M21" s="3619">
        <v>45672</v>
      </c>
      <c r="N21" s="3619">
        <v>45668</v>
      </c>
      <c r="O21" s="3618"/>
      <c r="P21" s="959" t="s">
        <v>82</v>
      </c>
      <c r="Q21" s="959" t="s">
        <v>2841</v>
      </c>
      <c r="R21" s="3640" t="s">
        <v>619</v>
      </c>
      <c r="S21" s="3640"/>
      <c r="T21" s="3640" t="s">
        <v>98</v>
      </c>
      <c r="U21" s="3640" t="s">
        <v>2857</v>
      </c>
      <c r="V21" s="959"/>
      <c r="W21" s="3638" t="s">
        <v>8339</v>
      </c>
      <c r="X21" s="3639" t="s">
        <v>2686</v>
      </c>
      <c r="Y21" s="3618">
        <v>9.8117</v>
      </c>
      <c r="Z21" s="3618">
        <f t="shared" si="8"/>
        <v>5769.2796</v>
      </c>
      <c r="AA21" s="3633" t="s">
        <v>2884</v>
      </c>
      <c r="AB21" s="959" t="s">
        <v>8290</v>
      </c>
      <c r="AC21" s="3620" t="s">
        <v>416</v>
      </c>
      <c r="AD21" s="3625"/>
      <c r="AE21" s="3625"/>
      <c r="AF21" s="3625"/>
      <c r="AG21" s="959">
        <f>I21</f>
        <v>588</v>
      </c>
      <c r="AH21" s="959"/>
      <c r="AI21" s="959"/>
      <c r="AJ21" s="3618">
        <f>I21</f>
        <v>588</v>
      </c>
      <c r="AK21" s="3626"/>
      <c r="AL21" s="3626">
        <f t="shared" si="2"/>
        <v>588</v>
      </c>
      <c r="AM21" s="3626"/>
      <c r="AN21" s="3626"/>
      <c r="AO21" s="3626"/>
      <c r="AP21" s="3626"/>
      <c r="AQ21" s="3626" t="s">
        <v>89</v>
      </c>
      <c r="AR21" s="3626">
        <f t="shared" si="3"/>
        <v>196</v>
      </c>
      <c r="AS21" s="3626">
        <f t="shared" si="4"/>
        <v>196</v>
      </c>
      <c r="AT21" s="3626">
        <f t="shared" si="5"/>
        <v>196</v>
      </c>
      <c r="AU21" s="3627">
        <f t="shared" si="1"/>
        <v>588</v>
      </c>
      <c r="AV21" s="3627">
        <f t="shared" si="6"/>
        <v>0</v>
      </c>
    </row>
    <row r="22" s="3566" customFormat="1" ht="50" customHeight="1" spans="1:48">
      <c r="A22" s="3616">
        <v>45614</v>
      </c>
      <c r="B22" s="3630" t="s">
        <v>493</v>
      </c>
      <c r="C22" s="3628" t="s">
        <v>91</v>
      </c>
      <c r="D22" s="3629">
        <v>4500151479</v>
      </c>
      <c r="E22" s="959">
        <v>383017705</v>
      </c>
      <c r="F22" s="3629" t="s">
        <v>8341</v>
      </c>
      <c r="G22" s="959" t="s">
        <v>8290</v>
      </c>
      <c r="H22" s="3618" t="s">
        <v>8291</v>
      </c>
      <c r="I22" s="3618">
        <v>2000</v>
      </c>
      <c r="J22" s="3618">
        <v>0</v>
      </c>
      <c r="K22" s="3618">
        <v>4</v>
      </c>
      <c r="L22" s="3618">
        <f t="shared" si="7"/>
        <v>500</v>
      </c>
      <c r="M22" s="3619">
        <v>45663</v>
      </c>
      <c r="N22" s="3619">
        <v>45659</v>
      </c>
      <c r="O22" s="3618"/>
      <c r="P22" s="959" t="s">
        <v>82</v>
      </c>
      <c r="Q22" s="3620" t="s">
        <v>401</v>
      </c>
      <c r="R22" s="3636" t="s">
        <v>497</v>
      </c>
      <c r="S22" s="3619"/>
      <c r="T22" s="3640" t="s">
        <v>6160</v>
      </c>
      <c r="U22" s="3643"/>
      <c r="V22" s="959"/>
      <c r="W22" s="3638" t="s">
        <v>6161</v>
      </c>
      <c r="X22" s="3639" t="s">
        <v>500</v>
      </c>
      <c r="Y22" s="3618">
        <v>9.7911</v>
      </c>
      <c r="Z22" s="3618">
        <f t="shared" si="8"/>
        <v>19582.2</v>
      </c>
      <c r="AA22" s="3633" t="s">
        <v>6162</v>
      </c>
      <c r="AB22" s="959" t="s">
        <v>8290</v>
      </c>
      <c r="AC22" s="3620" t="s">
        <v>416</v>
      </c>
      <c r="AD22" s="3625"/>
      <c r="AE22" s="3625"/>
      <c r="AF22" s="3625"/>
      <c r="AG22" s="959">
        <f>I22</f>
        <v>2000</v>
      </c>
      <c r="AH22" s="959"/>
      <c r="AI22" s="959"/>
      <c r="AJ22" s="3618">
        <f>I22</f>
        <v>2000</v>
      </c>
      <c r="AK22" s="3626"/>
      <c r="AL22" s="3626">
        <f t="shared" si="2"/>
        <v>2000</v>
      </c>
      <c r="AM22" s="3626"/>
      <c r="AN22" s="3626"/>
      <c r="AO22" s="3626"/>
      <c r="AP22" s="3626"/>
      <c r="AQ22" s="3626" t="s">
        <v>89</v>
      </c>
      <c r="AR22" s="3626">
        <f t="shared" si="3"/>
        <v>666.666666666667</v>
      </c>
      <c r="AS22" s="3626">
        <f t="shared" si="4"/>
        <v>666.666666666667</v>
      </c>
      <c r="AT22" s="3626">
        <f t="shared" si="5"/>
        <v>666.666666666667</v>
      </c>
      <c r="AU22" s="3627">
        <f t="shared" si="1"/>
        <v>2000</v>
      </c>
      <c r="AV22" s="3627">
        <f t="shared" si="6"/>
        <v>0</v>
      </c>
    </row>
    <row r="23" s="3566" customFormat="1" ht="50" customHeight="1" spans="1:48">
      <c r="A23" s="3616">
        <v>45624</v>
      </c>
      <c r="B23" s="3630" t="s">
        <v>2775</v>
      </c>
      <c r="C23" s="3628" t="s">
        <v>2776</v>
      </c>
      <c r="D23" s="3629">
        <v>4500152720</v>
      </c>
      <c r="E23" s="959"/>
      <c r="F23" s="3629" t="s">
        <v>8342</v>
      </c>
      <c r="G23" s="959" t="s">
        <v>8290</v>
      </c>
      <c r="H23" s="3618" t="s">
        <v>8291</v>
      </c>
      <c r="I23" s="3618">
        <v>600</v>
      </c>
      <c r="J23" s="3618">
        <v>0</v>
      </c>
      <c r="K23" s="3618">
        <v>4</v>
      </c>
      <c r="L23" s="3618">
        <f t="shared" si="7"/>
        <v>150</v>
      </c>
      <c r="M23" s="3619">
        <v>45663</v>
      </c>
      <c r="N23" s="3619">
        <v>45659</v>
      </c>
      <c r="O23" s="3618"/>
      <c r="P23" s="959" t="s">
        <v>82</v>
      </c>
      <c r="Q23" s="3620" t="s">
        <v>110</v>
      </c>
      <c r="R23" s="3640" t="s">
        <v>510</v>
      </c>
      <c r="S23" s="3619"/>
      <c r="T23" s="3640" t="s">
        <v>8343</v>
      </c>
      <c r="U23" s="3643"/>
      <c r="V23" s="959"/>
      <c r="W23" s="3638" t="s">
        <v>8344</v>
      </c>
      <c r="X23" s="3639" t="s">
        <v>459</v>
      </c>
      <c r="Y23" s="3618">
        <v>10.3324</v>
      </c>
      <c r="Z23" s="3618">
        <f t="shared" si="8"/>
        <v>6199.44</v>
      </c>
      <c r="AA23" s="3633" t="s">
        <v>2780</v>
      </c>
      <c r="AB23" s="959" t="s">
        <v>8329</v>
      </c>
      <c r="AC23" s="3620" t="s">
        <v>416</v>
      </c>
      <c r="AD23" s="3625"/>
      <c r="AE23" s="3625"/>
      <c r="AF23" s="3625"/>
      <c r="AG23" s="959"/>
      <c r="AH23" s="959">
        <f>I23</f>
        <v>600</v>
      </c>
      <c r="AI23" s="959"/>
      <c r="AJ23" s="3618">
        <v>428</v>
      </c>
      <c r="AK23" s="3626"/>
      <c r="AL23" s="3626">
        <f t="shared" si="2"/>
        <v>600</v>
      </c>
      <c r="AM23" s="3626"/>
      <c r="AN23" s="3626"/>
      <c r="AO23" s="3626"/>
      <c r="AP23" s="3626"/>
      <c r="AQ23" s="3626" t="s">
        <v>89</v>
      </c>
      <c r="AR23" s="3626">
        <f t="shared" si="3"/>
        <v>200</v>
      </c>
      <c r="AS23" s="3626">
        <f t="shared" si="4"/>
        <v>200</v>
      </c>
      <c r="AT23" s="3626">
        <f t="shared" si="5"/>
        <v>200</v>
      </c>
      <c r="AU23" s="3627">
        <f t="shared" si="1"/>
        <v>600</v>
      </c>
      <c r="AV23" s="3627">
        <f t="shared" si="6"/>
        <v>0</v>
      </c>
    </row>
    <row r="24" s="3566" customFormat="1" ht="50" customHeight="1" spans="1:48">
      <c r="A24" s="3616">
        <v>45609</v>
      </c>
      <c r="B24" s="3630" t="s">
        <v>3771</v>
      </c>
      <c r="C24" s="3628" t="s">
        <v>3772</v>
      </c>
      <c r="D24" s="3629">
        <v>4500151230</v>
      </c>
      <c r="E24" s="959" t="s">
        <v>8345</v>
      </c>
      <c r="F24" s="3629" t="s">
        <v>8346</v>
      </c>
      <c r="G24" s="959" t="s">
        <v>8347</v>
      </c>
      <c r="H24" s="3618" t="s">
        <v>8291</v>
      </c>
      <c r="I24" s="3618">
        <v>3000</v>
      </c>
      <c r="J24" s="3618">
        <v>0</v>
      </c>
      <c r="K24" s="3618">
        <v>4</v>
      </c>
      <c r="L24" s="3618">
        <f t="shared" si="7"/>
        <v>750</v>
      </c>
      <c r="M24" s="3619">
        <v>45666</v>
      </c>
      <c r="N24" s="3619">
        <v>45663</v>
      </c>
      <c r="O24" s="3618"/>
      <c r="P24" s="959" t="s">
        <v>82</v>
      </c>
      <c r="Q24" s="3620" t="s">
        <v>127</v>
      </c>
      <c r="R24" s="3640" t="s">
        <v>5226</v>
      </c>
      <c r="S24" s="3619"/>
      <c r="T24" s="3619" t="s">
        <v>98</v>
      </c>
      <c r="U24" s="3643"/>
      <c r="V24" s="959"/>
      <c r="W24" s="3638" t="s">
        <v>8348</v>
      </c>
      <c r="X24" s="3639" t="s">
        <v>559</v>
      </c>
      <c r="Y24" s="3618">
        <v>10.2049</v>
      </c>
      <c r="Z24" s="3618">
        <f t="shared" si="8"/>
        <v>30614.7</v>
      </c>
      <c r="AA24" s="3633" t="s">
        <v>8349</v>
      </c>
      <c r="AB24" s="959" t="s">
        <v>8347</v>
      </c>
      <c r="AC24" s="3620" t="s">
        <v>416</v>
      </c>
      <c r="AD24" s="3625"/>
      <c r="AE24" s="3625"/>
      <c r="AF24" s="3625"/>
      <c r="AG24" s="959"/>
      <c r="AH24" s="959"/>
      <c r="AI24" s="959">
        <f>I24</f>
        <v>3000</v>
      </c>
      <c r="AJ24" s="3618"/>
      <c r="AK24" s="3626">
        <f>I24</f>
        <v>3000</v>
      </c>
      <c r="AL24" s="3626"/>
      <c r="AM24" s="3626"/>
      <c r="AN24" s="3626"/>
      <c r="AO24" s="3626"/>
      <c r="AP24" s="3626"/>
      <c r="AQ24" s="3626" t="s">
        <v>89</v>
      </c>
      <c r="AR24" s="3626">
        <f t="shared" si="3"/>
        <v>1000</v>
      </c>
      <c r="AS24" s="3626">
        <f t="shared" si="4"/>
        <v>1000</v>
      </c>
      <c r="AT24" s="3626">
        <f t="shared" si="5"/>
        <v>1000</v>
      </c>
      <c r="AU24" s="3627">
        <f t="shared" si="1"/>
        <v>3000</v>
      </c>
      <c r="AV24" s="3627">
        <f t="shared" si="6"/>
        <v>0</v>
      </c>
    </row>
    <row r="25" s="3566" customFormat="1" ht="50" customHeight="1" spans="1:48">
      <c r="A25" s="3635">
        <v>45628</v>
      </c>
      <c r="B25" s="3630" t="s">
        <v>1764</v>
      </c>
      <c r="C25" s="3617" t="s">
        <v>78</v>
      </c>
      <c r="D25" s="3629">
        <v>4500153066</v>
      </c>
      <c r="E25" s="959" t="s">
        <v>8350</v>
      </c>
      <c r="F25" s="3629" t="s">
        <v>8351</v>
      </c>
      <c r="G25" s="959" t="s">
        <v>8290</v>
      </c>
      <c r="H25" s="3618" t="s">
        <v>8291</v>
      </c>
      <c r="I25" s="3618">
        <v>1200</v>
      </c>
      <c r="J25" s="3618">
        <v>0</v>
      </c>
      <c r="K25" s="3618">
        <v>4</v>
      </c>
      <c r="L25" s="3618">
        <f t="shared" si="7"/>
        <v>300</v>
      </c>
      <c r="M25" s="3619">
        <v>45667</v>
      </c>
      <c r="N25" s="3619">
        <v>45663</v>
      </c>
      <c r="O25" s="3618"/>
      <c r="P25" s="959" t="s">
        <v>82</v>
      </c>
      <c r="Q25" s="3620" t="s">
        <v>5346</v>
      </c>
      <c r="R25" s="3640" t="s">
        <v>729</v>
      </c>
      <c r="S25" s="3640"/>
      <c r="T25" s="3640" t="s">
        <v>8352</v>
      </c>
      <c r="U25" s="3642"/>
      <c r="V25" s="959"/>
      <c r="W25" s="3638" t="s">
        <v>8353</v>
      </c>
      <c r="X25" s="3639" t="s">
        <v>87</v>
      </c>
      <c r="Y25" s="3618">
        <v>10.3324</v>
      </c>
      <c r="Z25" s="3618">
        <f t="shared" si="8"/>
        <v>12398.88</v>
      </c>
      <c r="AA25" s="3633" t="s">
        <v>8354</v>
      </c>
      <c r="AB25" s="959" t="s">
        <v>8329</v>
      </c>
      <c r="AC25" s="3620" t="s">
        <v>416</v>
      </c>
      <c r="AD25" s="3625"/>
      <c r="AE25" s="3625"/>
      <c r="AF25" s="3625"/>
      <c r="AG25" s="959"/>
      <c r="AH25" s="959">
        <f>I25</f>
        <v>1200</v>
      </c>
      <c r="AI25" s="959"/>
      <c r="AJ25" s="3618">
        <v>428</v>
      </c>
      <c r="AK25" s="3626"/>
      <c r="AL25" s="3626">
        <f t="shared" ref="AL25:AL50" si="9">I25</f>
        <v>1200</v>
      </c>
      <c r="AM25" s="3626"/>
      <c r="AN25" s="3626"/>
      <c r="AO25" s="3626"/>
      <c r="AP25" s="3626"/>
      <c r="AQ25" s="3626" t="s">
        <v>89</v>
      </c>
      <c r="AR25" s="3626">
        <f t="shared" si="3"/>
        <v>400</v>
      </c>
      <c r="AS25" s="3626">
        <f t="shared" si="4"/>
        <v>400</v>
      </c>
      <c r="AT25" s="3626">
        <f t="shared" si="5"/>
        <v>400</v>
      </c>
      <c r="AU25" s="3627">
        <f t="shared" si="1"/>
        <v>1200</v>
      </c>
      <c r="AV25" s="3627">
        <f t="shared" si="6"/>
        <v>0</v>
      </c>
    </row>
    <row r="26" s="3566" customFormat="1" ht="46" customHeight="1" spans="1:48">
      <c r="A26" s="3616">
        <v>45642</v>
      </c>
      <c r="B26" s="3630" t="s">
        <v>2681</v>
      </c>
      <c r="C26" s="3628" t="s">
        <v>91</v>
      </c>
      <c r="D26" s="3629">
        <v>4500154105</v>
      </c>
      <c r="E26" s="959" t="s">
        <v>2954</v>
      </c>
      <c r="F26" s="3629" t="s">
        <v>8355</v>
      </c>
      <c r="G26" s="959" t="s">
        <v>8290</v>
      </c>
      <c r="H26" s="3618" t="s">
        <v>8291</v>
      </c>
      <c r="I26" s="3618">
        <v>588</v>
      </c>
      <c r="J26" s="3618">
        <v>0</v>
      </c>
      <c r="K26" s="3618">
        <v>4</v>
      </c>
      <c r="L26" s="3618">
        <f t="shared" si="7"/>
        <v>147</v>
      </c>
      <c r="M26" s="3619">
        <v>45703</v>
      </c>
      <c r="N26" s="3619">
        <v>45699</v>
      </c>
      <c r="O26" s="3618"/>
      <c r="P26" s="959" t="s">
        <v>82</v>
      </c>
      <c r="Q26" s="3620" t="s">
        <v>618</v>
      </c>
      <c r="R26" s="3640" t="s">
        <v>2956</v>
      </c>
      <c r="S26" s="3640"/>
      <c r="T26" s="3640" t="s">
        <v>98</v>
      </c>
      <c r="U26" s="3640" t="s">
        <v>687</v>
      </c>
      <c r="V26" s="959"/>
      <c r="W26" s="3638" t="s">
        <v>8356</v>
      </c>
      <c r="X26" s="3639" t="s">
        <v>2686</v>
      </c>
      <c r="Y26" s="3618">
        <v>9.8117</v>
      </c>
      <c r="Z26" s="3618">
        <f t="shared" si="8"/>
        <v>5769.2796</v>
      </c>
      <c r="AA26" s="3633"/>
      <c r="AB26" s="959" t="s">
        <v>8290</v>
      </c>
      <c r="AC26" s="3620" t="s">
        <v>416</v>
      </c>
      <c r="AD26" s="3625"/>
      <c r="AE26" s="3625"/>
      <c r="AF26" s="3625"/>
      <c r="AG26" s="959">
        <f>I26</f>
        <v>588</v>
      </c>
      <c r="AH26" s="959"/>
      <c r="AI26" s="959"/>
      <c r="AJ26" s="3618">
        <f>I26</f>
        <v>588</v>
      </c>
      <c r="AK26" s="3626"/>
      <c r="AL26" s="3626">
        <f t="shared" si="9"/>
        <v>588</v>
      </c>
      <c r="AM26" s="3626"/>
      <c r="AN26" s="3626"/>
      <c r="AO26" s="3626"/>
      <c r="AP26" s="3626"/>
      <c r="AQ26" s="3626" t="s">
        <v>89</v>
      </c>
      <c r="AR26" s="3626">
        <f t="shared" si="3"/>
        <v>196</v>
      </c>
      <c r="AS26" s="3626">
        <f t="shared" si="4"/>
        <v>196</v>
      </c>
      <c r="AT26" s="3626">
        <f t="shared" si="5"/>
        <v>196</v>
      </c>
      <c r="AU26" s="3627">
        <f t="shared" si="1"/>
        <v>588</v>
      </c>
      <c r="AV26" s="3627">
        <f t="shared" si="6"/>
        <v>0</v>
      </c>
    </row>
    <row r="27" s="3566" customFormat="1" ht="46" customHeight="1" spans="1:48">
      <c r="A27" s="3616">
        <v>45657</v>
      </c>
      <c r="B27" s="3630" t="s">
        <v>2681</v>
      </c>
      <c r="C27" s="3628" t="s">
        <v>91</v>
      </c>
      <c r="D27" s="3629">
        <v>4500154981</v>
      </c>
      <c r="E27" s="959" t="s">
        <v>2957</v>
      </c>
      <c r="F27" s="3629" t="s">
        <v>8357</v>
      </c>
      <c r="G27" s="959" t="s">
        <v>8290</v>
      </c>
      <c r="H27" s="3618" t="s">
        <v>8291</v>
      </c>
      <c r="I27" s="3618">
        <v>428</v>
      </c>
      <c r="J27" s="3618">
        <v>0</v>
      </c>
      <c r="K27" s="3618">
        <v>4</v>
      </c>
      <c r="L27" s="3618">
        <f t="shared" si="7"/>
        <v>107</v>
      </c>
      <c r="M27" s="3619">
        <v>45703</v>
      </c>
      <c r="N27" s="3619">
        <v>45699</v>
      </c>
      <c r="O27" s="3618"/>
      <c r="P27" s="959" t="s">
        <v>82</v>
      </c>
      <c r="Q27" s="3620" t="s">
        <v>156</v>
      </c>
      <c r="R27" s="3640" t="s">
        <v>2959</v>
      </c>
      <c r="S27" s="3640"/>
      <c r="T27" s="3640" t="s">
        <v>98</v>
      </c>
      <c r="U27" s="3640" t="s">
        <v>687</v>
      </c>
      <c r="V27" s="959"/>
      <c r="W27" s="3638" t="s">
        <v>8358</v>
      </c>
      <c r="X27" s="3639" t="s">
        <v>2686</v>
      </c>
      <c r="Y27" s="3618">
        <v>9.8321</v>
      </c>
      <c r="Z27" s="3618">
        <f t="shared" si="8"/>
        <v>4208.1388</v>
      </c>
      <c r="AA27" s="3633"/>
      <c r="AB27" s="959" t="s">
        <v>8290</v>
      </c>
      <c r="AC27" s="3620" t="s">
        <v>416</v>
      </c>
      <c r="AD27" s="3625"/>
      <c r="AE27" s="3625"/>
      <c r="AF27" s="3625"/>
      <c r="AG27" s="959">
        <f>I27</f>
        <v>428</v>
      </c>
      <c r="AH27" s="959"/>
      <c r="AI27" s="959"/>
      <c r="AJ27" s="3618">
        <f>I27</f>
        <v>428</v>
      </c>
      <c r="AK27" s="3626"/>
      <c r="AL27" s="3626">
        <f t="shared" si="9"/>
        <v>428</v>
      </c>
      <c r="AM27" s="3626"/>
      <c r="AN27" s="3626"/>
      <c r="AO27" s="3626"/>
      <c r="AP27" s="3626"/>
      <c r="AQ27" s="3626" t="s">
        <v>89</v>
      </c>
      <c r="AR27" s="3626">
        <f t="shared" si="3"/>
        <v>142.666666666667</v>
      </c>
      <c r="AS27" s="3626">
        <f t="shared" si="4"/>
        <v>142.666666666667</v>
      </c>
      <c r="AT27" s="3626">
        <f t="shared" si="5"/>
        <v>142.666666666667</v>
      </c>
      <c r="AU27" s="3627">
        <f t="shared" si="1"/>
        <v>428</v>
      </c>
      <c r="AV27" s="3627">
        <f t="shared" si="6"/>
        <v>0</v>
      </c>
    </row>
    <row r="28" s="3566" customFormat="1" ht="50" customHeight="1" spans="1:48">
      <c r="A28" s="3616">
        <v>45617</v>
      </c>
      <c r="B28" s="3630" t="s">
        <v>872</v>
      </c>
      <c r="C28" s="3628" t="s">
        <v>873</v>
      </c>
      <c r="D28" s="3629">
        <v>4500151799</v>
      </c>
      <c r="E28" s="959"/>
      <c r="F28" s="3629" t="s">
        <v>8359</v>
      </c>
      <c r="G28" s="959" t="s">
        <v>8290</v>
      </c>
      <c r="H28" s="3618" t="s">
        <v>8291</v>
      </c>
      <c r="I28" s="3618">
        <v>160</v>
      </c>
      <c r="J28" s="3618">
        <v>0</v>
      </c>
      <c r="K28" s="3618">
        <v>4</v>
      </c>
      <c r="L28" s="3618">
        <f t="shared" si="7"/>
        <v>40</v>
      </c>
      <c r="M28" s="3619">
        <v>45705</v>
      </c>
      <c r="N28" s="3619">
        <v>45701</v>
      </c>
      <c r="O28" s="3618"/>
      <c r="P28" s="959" t="s">
        <v>82</v>
      </c>
      <c r="Q28" s="3620" t="s">
        <v>6344</v>
      </c>
      <c r="R28" s="3640" t="s">
        <v>2299</v>
      </c>
      <c r="S28" s="3644"/>
      <c r="T28" s="3644" t="s">
        <v>8360</v>
      </c>
      <c r="U28" s="3621"/>
      <c r="V28" s="959"/>
      <c r="W28" s="3638" t="s">
        <v>8361</v>
      </c>
      <c r="X28" s="3639" t="s">
        <v>357</v>
      </c>
      <c r="Y28" s="3618">
        <v>9.8321</v>
      </c>
      <c r="Z28" s="3618">
        <v>1573.136</v>
      </c>
      <c r="AA28" s="3633" t="s">
        <v>8362</v>
      </c>
      <c r="AB28" s="959" t="s">
        <v>8290</v>
      </c>
      <c r="AC28" s="3620" t="s">
        <v>416</v>
      </c>
      <c r="AD28" s="3625"/>
      <c r="AE28" s="3625"/>
      <c r="AF28" s="3625"/>
      <c r="AG28" s="959">
        <v>160</v>
      </c>
      <c r="AH28" s="959"/>
      <c r="AI28" s="959"/>
      <c r="AJ28" s="3618">
        <v>160</v>
      </c>
      <c r="AK28" s="3626"/>
      <c r="AL28" s="3626">
        <f t="shared" si="9"/>
        <v>160</v>
      </c>
      <c r="AM28" s="3626"/>
      <c r="AN28" s="3626"/>
      <c r="AO28" s="3626"/>
      <c r="AP28" s="3626"/>
      <c r="AQ28" s="3626" t="s">
        <v>89</v>
      </c>
      <c r="AR28" s="3626">
        <f t="shared" si="3"/>
        <v>53.3333333333333</v>
      </c>
      <c r="AS28" s="3626">
        <f t="shared" si="4"/>
        <v>53.3333333333333</v>
      </c>
      <c r="AT28" s="3626">
        <f t="shared" si="5"/>
        <v>53.3333333333333</v>
      </c>
      <c r="AU28" s="3627">
        <f t="shared" si="1"/>
        <v>160</v>
      </c>
      <c r="AV28" s="3627">
        <f t="shared" si="6"/>
        <v>0</v>
      </c>
    </row>
    <row r="29" s="3566" customFormat="1" ht="50" customHeight="1" spans="1:48">
      <c r="A29" s="3616">
        <v>45667</v>
      </c>
      <c r="B29" s="3630" t="s">
        <v>2681</v>
      </c>
      <c r="C29" s="3628" t="s">
        <v>91</v>
      </c>
      <c r="D29" s="3629">
        <v>4500155686</v>
      </c>
      <c r="E29" s="959" t="s">
        <v>2994</v>
      </c>
      <c r="F29" s="3629" t="s">
        <v>8363</v>
      </c>
      <c r="G29" s="959" t="s">
        <v>8290</v>
      </c>
      <c r="H29" s="3618" t="s">
        <v>8291</v>
      </c>
      <c r="I29" s="3618">
        <v>588</v>
      </c>
      <c r="J29" s="3618">
        <v>0</v>
      </c>
      <c r="K29" s="3618">
        <v>4</v>
      </c>
      <c r="L29" s="3618">
        <f t="shared" si="7"/>
        <v>147</v>
      </c>
      <c r="M29" s="3619">
        <v>45707</v>
      </c>
      <c r="N29" s="3619">
        <v>45703</v>
      </c>
      <c r="O29" s="3618"/>
      <c r="P29" s="959" t="s">
        <v>82</v>
      </c>
      <c r="Q29" s="3645" t="s">
        <v>853</v>
      </c>
      <c r="R29" s="3640" t="s">
        <v>2959</v>
      </c>
      <c r="S29" s="3640"/>
      <c r="T29" s="3640" t="s">
        <v>98</v>
      </c>
      <c r="U29" s="3640" t="s">
        <v>687</v>
      </c>
      <c r="V29" s="959"/>
      <c r="W29" s="3638" t="s">
        <v>8364</v>
      </c>
      <c r="X29" s="3639" t="s">
        <v>2686</v>
      </c>
      <c r="Y29" s="3618">
        <v>9.8117</v>
      </c>
      <c r="Z29" s="3618">
        <f>Y29*I29</f>
        <v>5769.2796</v>
      </c>
      <c r="AA29" s="3633" t="s">
        <v>2997</v>
      </c>
      <c r="AB29" s="959" t="s">
        <v>8290</v>
      </c>
      <c r="AC29" s="3620" t="s">
        <v>416</v>
      </c>
      <c r="AD29" s="3625"/>
      <c r="AE29" s="3625"/>
      <c r="AF29" s="3625"/>
      <c r="AG29" s="959">
        <f t="shared" ref="AG29:AG35" si="10">I29</f>
        <v>588</v>
      </c>
      <c r="AH29" s="959"/>
      <c r="AI29" s="959"/>
      <c r="AJ29" s="3618">
        <v>160</v>
      </c>
      <c r="AK29" s="3626"/>
      <c r="AL29" s="3626">
        <f t="shared" si="9"/>
        <v>588</v>
      </c>
      <c r="AM29" s="3626"/>
      <c r="AN29" s="3626"/>
      <c r="AO29" s="3626"/>
      <c r="AP29" s="3626"/>
      <c r="AQ29" s="3626" t="s">
        <v>89</v>
      </c>
      <c r="AR29" s="3626">
        <f t="shared" si="3"/>
        <v>196</v>
      </c>
      <c r="AS29" s="3626">
        <f t="shared" si="4"/>
        <v>196</v>
      </c>
      <c r="AT29" s="3626">
        <f t="shared" si="5"/>
        <v>196</v>
      </c>
      <c r="AU29" s="3627">
        <f t="shared" si="1"/>
        <v>588</v>
      </c>
      <c r="AV29" s="3627">
        <f t="shared" si="6"/>
        <v>0</v>
      </c>
    </row>
    <row r="30" s="3566" customFormat="1" ht="50" customHeight="1" spans="1:48">
      <c r="A30" s="3616">
        <v>45621</v>
      </c>
      <c r="B30" s="3630"/>
      <c r="C30" s="3628"/>
      <c r="D30" s="3629" t="s">
        <v>8365</v>
      </c>
      <c r="E30" s="959"/>
      <c r="F30" s="3629"/>
      <c r="G30" s="959" t="s">
        <v>8290</v>
      </c>
      <c r="H30" s="3618" t="s">
        <v>8291</v>
      </c>
      <c r="I30" s="3618">
        <v>92</v>
      </c>
      <c r="J30" s="3618">
        <v>0</v>
      </c>
      <c r="K30" s="3618">
        <v>4</v>
      </c>
      <c r="L30" s="3618">
        <f t="shared" si="7"/>
        <v>23</v>
      </c>
      <c r="M30" s="3619">
        <v>45637</v>
      </c>
      <c r="N30" s="3619">
        <v>45633</v>
      </c>
      <c r="O30" s="3618"/>
      <c r="P30" s="959"/>
      <c r="Q30" s="3620"/>
      <c r="R30" s="3646" t="s">
        <v>335</v>
      </c>
      <c r="S30" s="3619"/>
      <c r="T30" s="3619" t="s">
        <v>98</v>
      </c>
      <c r="U30" s="3618"/>
      <c r="V30" s="959"/>
      <c r="W30" s="3638" t="s">
        <v>8366</v>
      </c>
      <c r="X30" s="3639" t="s">
        <v>792</v>
      </c>
      <c r="Y30" s="3618"/>
      <c r="Z30" s="3618"/>
      <c r="AA30" s="3633"/>
      <c r="AB30" s="959" t="s">
        <v>8290</v>
      </c>
      <c r="AC30" s="3620" t="s">
        <v>416</v>
      </c>
      <c r="AD30" s="3625"/>
      <c r="AE30" s="3625"/>
      <c r="AF30" s="3625"/>
      <c r="AG30" s="959">
        <f t="shared" si="10"/>
        <v>92</v>
      </c>
      <c r="AH30" s="959"/>
      <c r="AI30" s="959"/>
      <c r="AJ30" s="3618">
        <f t="shared" ref="AJ30:AJ59" si="11">I30</f>
        <v>92</v>
      </c>
      <c r="AK30" s="3626"/>
      <c r="AL30" s="3626">
        <f t="shared" si="9"/>
        <v>92</v>
      </c>
      <c r="AM30" s="3626"/>
      <c r="AN30" s="3626"/>
      <c r="AO30" s="3626"/>
      <c r="AP30" s="3626"/>
      <c r="AQ30" s="3626" t="s">
        <v>89</v>
      </c>
      <c r="AR30" s="3626">
        <f t="shared" si="3"/>
        <v>30.6666666666667</v>
      </c>
      <c r="AS30" s="3626">
        <f t="shared" si="4"/>
        <v>30.6666666666667</v>
      </c>
      <c r="AT30" s="3626">
        <f t="shared" si="5"/>
        <v>30.6666666666667</v>
      </c>
      <c r="AU30" s="3627">
        <f t="shared" si="1"/>
        <v>92</v>
      </c>
      <c r="AV30" s="3627">
        <f t="shared" si="6"/>
        <v>0</v>
      </c>
    </row>
    <row r="31" s="3566" customFormat="1" ht="50" customHeight="1" spans="1:48">
      <c r="A31" s="3616">
        <v>45651</v>
      </c>
      <c r="B31" s="3630" t="s">
        <v>3905</v>
      </c>
      <c r="C31" s="3628" t="s">
        <v>1385</v>
      </c>
      <c r="D31" s="3629">
        <v>4500154694</v>
      </c>
      <c r="E31" s="959" t="s">
        <v>8367</v>
      </c>
      <c r="F31" s="3629" t="s">
        <v>8368</v>
      </c>
      <c r="G31" s="959" t="s">
        <v>8290</v>
      </c>
      <c r="H31" s="3618" t="s">
        <v>8291</v>
      </c>
      <c r="I31" s="3618">
        <v>180</v>
      </c>
      <c r="J31" s="3618">
        <v>0</v>
      </c>
      <c r="K31" s="3618">
        <v>4</v>
      </c>
      <c r="L31" s="3618">
        <f t="shared" si="7"/>
        <v>45</v>
      </c>
      <c r="M31" s="3619">
        <v>45713</v>
      </c>
      <c r="N31" s="3619">
        <v>45709</v>
      </c>
      <c r="O31" s="3618"/>
      <c r="P31" s="959" t="s">
        <v>82</v>
      </c>
      <c r="Q31" s="3620" t="s">
        <v>686</v>
      </c>
      <c r="R31" s="3636" t="s">
        <v>619</v>
      </c>
      <c r="S31" s="3644"/>
      <c r="T31" s="3644" t="s">
        <v>8369</v>
      </c>
      <c r="U31" s="3621"/>
      <c r="V31" s="959"/>
      <c r="W31" s="3638" t="s">
        <v>8370</v>
      </c>
      <c r="X31" s="3639" t="s">
        <v>448</v>
      </c>
      <c r="Y31" s="3618">
        <v>10.3528</v>
      </c>
      <c r="Z31" s="3618">
        <f t="shared" ref="Z31:Z76" si="12">Y31*I31</f>
        <v>1863.504</v>
      </c>
      <c r="AA31" s="3633" t="s">
        <v>8371</v>
      </c>
      <c r="AB31" s="959" t="s">
        <v>8290</v>
      </c>
      <c r="AC31" s="3620" t="s">
        <v>416</v>
      </c>
      <c r="AD31" s="3625"/>
      <c r="AE31" s="3625"/>
      <c r="AF31" s="3625"/>
      <c r="AG31" s="959">
        <f t="shared" si="10"/>
        <v>180</v>
      </c>
      <c r="AH31" s="959"/>
      <c r="AI31" s="959"/>
      <c r="AJ31" s="3618">
        <f t="shared" si="11"/>
        <v>180</v>
      </c>
      <c r="AK31" s="3626"/>
      <c r="AL31" s="3626">
        <f t="shared" si="9"/>
        <v>180</v>
      </c>
      <c r="AM31" s="3626"/>
      <c r="AN31" s="3626"/>
      <c r="AO31" s="3626"/>
      <c r="AP31" s="3626"/>
      <c r="AQ31" s="3626" t="s">
        <v>89</v>
      </c>
      <c r="AR31" s="3626">
        <f t="shared" si="3"/>
        <v>60</v>
      </c>
      <c r="AS31" s="3626">
        <f t="shared" si="4"/>
        <v>60</v>
      </c>
      <c r="AT31" s="3626">
        <f t="shared" si="5"/>
        <v>60</v>
      </c>
      <c r="AU31" s="3627">
        <f t="shared" si="1"/>
        <v>180</v>
      </c>
      <c r="AV31" s="3627">
        <f t="shared" si="6"/>
        <v>0</v>
      </c>
    </row>
    <row r="32" s="3566" customFormat="1" ht="50" customHeight="1" spans="1:48">
      <c r="A32" s="3616">
        <v>45646</v>
      </c>
      <c r="B32" s="3630" t="s">
        <v>6341</v>
      </c>
      <c r="C32" s="3628" t="s">
        <v>506</v>
      </c>
      <c r="D32" s="3629">
        <v>4500154476</v>
      </c>
      <c r="E32" s="959" t="s">
        <v>8372</v>
      </c>
      <c r="F32" s="3629" t="s">
        <v>8373</v>
      </c>
      <c r="G32" s="959" t="s">
        <v>8290</v>
      </c>
      <c r="H32" s="3618" t="s">
        <v>8291</v>
      </c>
      <c r="I32" s="3618">
        <v>7988</v>
      </c>
      <c r="J32" s="3618">
        <v>0</v>
      </c>
      <c r="K32" s="3618">
        <v>4</v>
      </c>
      <c r="L32" s="3618">
        <f t="shared" si="7"/>
        <v>1997</v>
      </c>
      <c r="M32" s="3619">
        <v>45716</v>
      </c>
      <c r="N32" s="3619">
        <v>45712</v>
      </c>
      <c r="O32" s="3618"/>
      <c r="P32" s="959" t="s">
        <v>82</v>
      </c>
      <c r="Q32" s="3620" t="s">
        <v>2392</v>
      </c>
      <c r="R32" s="3636" t="s">
        <v>3002</v>
      </c>
      <c r="S32" s="3644"/>
      <c r="T32" s="3644" t="s">
        <v>8374</v>
      </c>
      <c r="U32" s="3621"/>
      <c r="V32" s="959"/>
      <c r="W32" s="3638" t="s">
        <v>8375</v>
      </c>
      <c r="X32" s="3639" t="s">
        <v>3202</v>
      </c>
      <c r="Y32" s="3618">
        <v>11.3542</v>
      </c>
      <c r="Z32" s="3618">
        <f t="shared" si="12"/>
        <v>90697.3496</v>
      </c>
      <c r="AA32" s="3633" t="s">
        <v>8376</v>
      </c>
      <c r="AB32" s="959" t="s">
        <v>8290</v>
      </c>
      <c r="AC32" s="3620" t="s">
        <v>416</v>
      </c>
      <c r="AD32" s="3625"/>
      <c r="AE32" s="3625"/>
      <c r="AF32" s="3625"/>
      <c r="AG32" s="959">
        <f t="shared" si="10"/>
        <v>7988</v>
      </c>
      <c r="AH32" s="959"/>
      <c r="AI32" s="959"/>
      <c r="AJ32" s="3618">
        <f t="shared" si="11"/>
        <v>7988</v>
      </c>
      <c r="AK32" s="3626"/>
      <c r="AL32" s="3626">
        <f t="shared" si="9"/>
        <v>7988</v>
      </c>
      <c r="AM32" s="3626"/>
      <c r="AN32" s="3626"/>
      <c r="AO32" s="3626"/>
      <c r="AP32" s="3626"/>
      <c r="AQ32" s="3626" t="s">
        <v>89</v>
      </c>
      <c r="AR32" s="3626">
        <f t="shared" si="3"/>
        <v>2662.66666666667</v>
      </c>
      <c r="AS32" s="3626">
        <f t="shared" si="4"/>
        <v>2662.66666666667</v>
      </c>
      <c r="AT32" s="3626">
        <f t="shared" si="5"/>
        <v>2662.66666666667</v>
      </c>
      <c r="AU32" s="3627">
        <f t="shared" si="1"/>
        <v>7988</v>
      </c>
      <c r="AV32" s="3627">
        <f t="shared" si="6"/>
        <v>0</v>
      </c>
    </row>
    <row r="33" s="3566" customFormat="1" ht="50" customHeight="1" spans="1:48">
      <c r="A33" s="3616">
        <v>45646</v>
      </c>
      <c r="B33" s="3630" t="s">
        <v>6341</v>
      </c>
      <c r="C33" s="3628" t="s">
        <v>506</v>
      </c>
      <c r="D33" s="3629">
        <v>4500154476</v>
      </c>
      <c r="E33" s="959" t="s">
        <v>8377</v>
      </c>
      <c r="F33" s="3629" t="s">
        <v>8378</v>
      </c>
      <c r="G33" s="959" t="s">
        <v>8290</v>
      </c>
      <c r="H33" s="3618" t="s">
        <v>8291</v>
      </c>
      <c r="I33" s="3618">
        <v>5896</v>
      </c>
      <c r="J33" s="3618">
        <v>0</v>
      </c>
      <c r="K33" s="3618">
        <v>4</v>
      </c>
      <c r="L33" s="3618">
        <f t="shared" si="7"/>
        <v>1474</v>
      </c>
      <c r="M33" s="3619">
        <v>45716</v>
      </c>
      <c r="N33" s="3619">
        <v>45712</v>
      </c>
      <c r="O33" s="3618"/>
      <c r="P33" s="959" t="s">
        <v>82</v>
      </c>
      <c r="Q33" s="3620" t="s">
        <v>2392</v>
      </c>
      <c r="R33" s="3636" t="s">
        <v>3002</v>
      </c>
      <c r="S33" s="3644"/>
      <c r="T33" s="3644" t="s">
        <v>8374</v>
      </c>
      <c r="U33" s="3621"/>
      <c r="V33" s="959"/>
      <c r="W33" s="3638" t="s">
        <v>8375</v>
      </c>
      <c r="X33" s="3639" t="s">
        <v>3202</v>
      </c>
      <c r="Y33" s="3618">
        <v>11.3542</v>
      </c>
      <c r="Z33" s="3618">
        <f t="shared" si="12"/>
        <v>66944.3632</v>
      </c>
      <c r="AA33" s="3633" t="s">
        <v>8379</v>
      </c>
      <c r="AB33" s="959" t="s">
        <v>8290</v>
      </c>
      <c r="AC33" s="3620" t="s">
        <v>416</v>
      </c>
      <c r="AD33" s="3625"/>
      <c r="AE33" s="3625"/>
      <c r="AF33" s="3625"/>
      <c r="AG33" s="959">
        <f t="shared" si="10"/>
        <v>5896</v>
      </c>
      <c r="AH33" s="959"/>
      <c r="AI33" s="959"/>
      <c r="AJ33" s="3618">
        <f t="shared" si="11"/>
        <v>5896</v>
      </c>
      <c r="AK33" s="3626"/>
      <c r="AL33" s="3626">
        <f t="shared" si="9"/>
        <v>5896</v>
      </c>
      <c r="AM33" s="3626"/>
      <c r="AN33" s="3626"/>
      <c r="AO33" s="3626"/>
      <c r="AP33" s="3626"/>
      <c r="AQ33" s="3626" t="s">
        <v>89</v>
      </c>
      <c r="AR33" s="3626">
        <f t="shared" si="3"/>
        <v>1965.33333333333</v>
      </c>
      <c r="AS33" s="3626">
        <f t="shared" si="4"/>
        <v>1965.33333333333</v>
      </c>
      <c r="AT33" s="3626">
        <f t="shared" si="5"/>
        <v>1965.33333333333</v>
      </c>
      <c r="AU33" s="3627">
        <f t="shared" si="1"/>
        <v>5896</v>
      </c>
      <c r="AV33" s="3627">
        <f t="shared" si="6"/>
        <v>0</v>
      </c>
    </row>
    <row r="34" s="3566" customFormat="1" ht="50" customHeight="1" spans="1:48">
      <c r="A34" s="3616">
        <v>45646</v>
      </c>
      <c r="B34" s="3630" t="s">
        <v>6341</v>
      </c>
      <c r="C34" s="3628" t="s">
        <v>506</v>
      </c>
      <c r="D34" s="3629">
        <v>4500154476</v>
      </c>
      <c r="E34" s="959" t="s">
        <v>8380</v>
      </c>
      <c r="F34" s="3629" t="s">
        <v>8381</v>
      </c>
      <c r="G34" s="959" t="s">
        <v>8290</v>
      </c>
      <c r="H34" s="3618" t="s">
        <v>8291</v>
      </c>
      <c r="I34" s="3618">
        <v>6004</v>
      </c>
      <c r="J34" s="3618">
        <v>0</v>
      </c>
      <c r="K34" s="3618">
        <v>4</v>
      </c>
      <c r="L34" s="3618">
        <f t="shared" si="7"/>
        <v>1501</v>
      </c>
      <c r="M34" s="3619">
        <v>45716</v>
      </c>
      <c r="N34" s="3619">
        <v>45712</v>
      </c>
      <c r="O34" s="3618"/>
      <c r="P34" s="959" t="s">
        <v>82</v>
      </c>
      <c r="Q34" s="3620" t="s">
        <v>3114</v>
      </c>
      <c r="R34" s="3636" t="s">
        <v>3002</v>
      </c>
      <c r="S34" s="3644"/>
      <c r="T34" s="3644" t="s">
        <v>8374</v>
      </c>
      <c r="U34" s="3621"/>
      <c r="V34" s="959"/>
      <c r="W34" s="3638" t="s">
        <v>8375</v>
      </c>
      <c r="X34" s="3639" t="s">
        <v>3202</v>
      </c>
      <c r="Y34" s="3618">
        <v>11.3542</v>
      </c>
      <c r="Z34" s="3618">
        <f t="shared" si="12"/>
        <v>68170.6168</v>
      </c>
      <c r="AA34" s="3633" t="s">
        <v>8382</v>
      </c>
      <c r="AB34" s="959" t="s">
        <v>8290</v>
      </c>
      <c r="AC34" s="3620" t="s">
        <v>416</v>
      </c>
      <c r="AD34" s="3625"/>
      <c r="AE34" s="3625"/>
      <c r="AF34" s="3625"/>
      <c r="AG34" s="959">
        <f t="shared" si="10"/>
        <v>6004</v>
      </c>
      <c r="AH34" s="959"/>
      <c r="AI34" s="959"/>
      <c r="AJ34" s="3618">
        <f t="shared" si="11"/>
        <v>6004</v>
      </c>
      <c r="AK34" s="3626"/>
      <c r="AL34" s="3626">
        <f t="shared" si="9"/>
        <v>6004</v>
      </c>
      <c r="AM34" s="3626"/>
      <c r="AN34" s="3626"/>
      <c r="AO34" s="3626"/>
      <c r="AP34" s="3626"/>
      <c r="AQ34" s="3626" t="s">
        <v>89</v>
      </c>
      <c r="AR34" s="3626">
        <f t="shared" si="3"/>
        <v>2001.33333333333</v>
      </c>
      <c r="AS34" s="3626">
        <f t="shared" si="4"/>
        <v>2001.33333333333</v>
      </c>
      <c r="AT34" s="3626">
        <f t="shared" si="5"/>
        <v>2001.33333333333</v>
      </c>
      <c r="AU34" s="3627">
        <f t="shared" si="1"/>
        <v>6004</v>
      </c>
      <c r="AV34" s="3627">
        <f t="shared" si="6"/>
        <v>0</v>
      </c>
    </row>
    <row r="35" s="3566" customFormat="1" ht="50" customHeight="1" spans="1:48">
      <c r="A35" s="3616">
        <v>45646</v>
      </c>
      <c r="B35" s="3630" t="s">
        <v>6341</v>
      </c>
      <c r="C35" s="3628" t="s">
        <v>506</v>
      </c>
      <c r="D35" s="3629">
        <v>4500154476</v>
      </c>
      <c r="E35" s="959" t="s">
        <v>8383</v>
      </c>
      <c r="F35" s="3629" t="s">
        <v>8384</v>
      </c>
      <c r="G35" s="959" t="s">
        <v>8290</v>
      </c>
      <c r="H35" s="3618" t="s">
        <v>8291</v>
      </c>
      <c r="I35" s="3618">
        <v>2112</v>
      </c>
      <c r="J35" s="3618">
        <v>0</v>
      </c>
      <c r="K35" s="3618">
        <v>4</v>
      </c>
      <c r="L35" s="3618">
        <f t="shared" si="7"/>
        <v>528</v>
      </c>
      <c r="M35" s="3619">
        <v>45716</v>
      </c>
      <c r="N35" s="3619">
        <v>45712</v>
      </c>
      <c r="O35" s="3618"/>
      <c r="P35" s="959" t="s">
        <v>82</v>
      </c>
      <c r="Q35" s="3620" t="s">
        <v>2392</v>
      </c>
      <c r="R35" s="3636" t="s">
        <v>3002</v>
      </c>
      <c r="S35" s="3644"/>
      <c r="T35" s="3644" t="s">
        <v>8374</v>
      </c>
      <c r="U35" s="3621"/>
      <c r="V35" s="959"/>
      <c r="W35" s="3638" t="s">
        <v>8375</v>
      </c>
      <c r="X35" s="3639" t="s">
        <v>3202</v>
      </c>
      <c r="Y35" s="3618">
        <v>11.3542</v>
      </c>
      <c r="Z35" s="3618">
        <f t="shared" si="12"/>
        <v>23980.0704</v>
      </c>
      <c r="AA35" s="3633" t="s">
        <v>8385</v>
      </c>
      <c r="AB35" s="959" t="s">
        <v>8290</v>
      </c>
      <c r="AC35" s="3620" t="s">
        <v>416</v>
      </c>
      <c r="AD35" s="3625"/>
      <c r="AE35" s="3625"/>
      <c r="AF35" s="3625"/>
      <c r="AG35" s="959">
        <f t="shared" si="10"/>
        <v>2112</v>
      </c>
      <c r="AH35" s="959"/>
      <c r="AI35" s="959"/>
      <c r="AJ35" s="3618">
        <f t="shared" si="11"/>
        <v>2112</v>
      </c>
      <c r="AK35" s="3626"/>
      <c r="AL35" s="3626">
        <f t="shared" si="9"/>
        <v>2112</v>
      </c>
      <c r="AM35" s="3626"/>
      <c r="AN35" s="3626"/>
      <c r="AO35" s="3626"/>
      <c r="AP35" s="3626"/>
      <c r="AQ35" s="3626" t="s">
        <v>89</v>
      </c>
      <c r="AR35" s="3626">
        <f t="shared" si="3"/>
        <v>704</v>
      </c>
      <c r="AS35" s="3626">
        <f t="shared" si="4"/>
        <v>704</v>
      </c>
      <c r="AT35" s="3626">
        <f t="shared" si="5"/>
        <v>704</v>
      </c>
      <c r="AU35" s="3627">
        <f t="shared" si="1"/>
        <v>2112</v>
      </c>
      <c r="AV35" s="3627">
        <f t="shared" si="6"/>
        <v>0</v>
      </c>
    </row>
    <row r="36" s="3566" customFormat="1" ht="50" customHeight="1" spans="1:48">
      <c r="A36" s="3616">
        <v>45678</v>
      </c>
      <c r="B36" s="3630" t="s">
        <v>814</v>
      </c>
      <c r="C36" s="3628" t="s">
        <v>815</v>
      </c>
      <c r="D36" s="3629">
        <v>4500156297</v>
      </c>
      <c r="E36" s="959"/>
      <c r="F36" s="3629" t="s">
        <v>8386</v>
      </c>
      <c r="G36" s="959" t="s">
        <v>8290</v>
      </c>
      <c r="H36" s="3618" t="s">
        <v>8291</v>
      </c>
      <c r="I36" s="3618">
        <v>200</v>
      </c>
      <c r="J36" s="3618">
        <v>0</v>
      </c>
      <c r="K36" s="3618">
        <v>4</v>
      </c>
      <c r="L36" s="3618">
        <f t="shared" si="7"/>
        <v>50</v>
      </c>
      <c r="M36" s="3619">
        <v>45717</v>
      </c>
      <c r="N36" s="3619">
        <v>45713</v>
      </c>
      <c r="O36" s="3618"/>
      <c r="P36" s="959" t="s">
        <v>82</v>
      </c>
      <c r="Q36" s="3620" t="s">
        <v>817</v>
      </c>
      <c r="R36" s="3640" t="s">
        <v>818</v>
      </c>
      <c r="S36" s="3640"/>
      <c r="T36" s="3640" t="s">
        <v>819</v>
      </c>
      <c r="U36" s="3621"/>
      <c r="V36" s="959"/>
      <c r="W36" s="3638" t="s">
        <v>8387</v>
      </c>
      <c r="X36" s="3639" t="s">
        <v>596</v>
      </c>
      <c r="Y36" s="3618">
        <v>9.8321</v>
      </c>
      <c r="Z36" s="3618">
        <f t="shared" si="12"/>
        <v>1966.42</v>
      </c>
      <c r="AA36" s="3633" t="s">
        <v>821</v>
      </c>
      <c r="AB36" s="959" t="s">
        <v>8329</v>
      </c>
      <c r="AC36" s="3620" t="s">
        <v>416</v>
      </c>
      <c r="AD36" s="3625"/>
      <c r="AE36" s="3625"/>
      <c r="AF36" s="3625"/>
      <c r="AG36" s="959"/>
      <c r="AH36" s="959">
        <f>I36</f>
        <v>200</v>
      </c>
      <c r="AI36" s="959"/>
      <c r="AJ36" s="3618">
        <f t="shared" si="11"/>
        <v>200</v>
      </c>
      <c r="AK36" s="3626"/>
      <c r="AL36" s="3626">
        <f t="shared" si="9"/>
        <v>200</v>
      </c>
      <c r="AM36" s="3626"/>
      <c r="AN36" s="3626"/>
      <c r="AO36" s="3626"/>
      <c r="AP36" s="3626"/>
      <c r="AQ36" s="3626" t="s">
        <v>89</v>
      </c>
      <c r="AR36" s="3626">
        <f t="shared" si="3"/>
        <v>66.6666666666667</v>
      </c>
      <c r="AS36" s="3626">
        <f t="shared" si="4"/>
        <v>66.6666666666667</v>
      </c>
      <c r="AT36" s="3626">
        <f t="shared" si="5"/>
        <v>66.6666666666667</v>
      </c>
      <c r="AU36" s="3627">
        <f t="shared" si="1"/>
        <v>200</v>
      </c>
      <c r="AV36" s="3627">
        <f t="shared" si="6"/>
        <v>0</v>
      </c>
    </row>
    <row r="37" s="3566" customFormat="1" ht="50" customHeight="1" spans="1:48">
      <c r="A37" s="3616">
        <v>45678</v>
      </c>
      <c r="B37" s="3630" t="s">
        <v>6506</v>
      </c>
      <c r="C37" s="3628" t="s">
        <v>738</v>
      </c>
      <c r="D37" s="3629">
        <v>4500156374</v>
      </c>
      <c r="E37" s="959"/>
      <c r="F37" s="3629" t="s">
        <v>8388</v>
      </c>
      <c r="G37" s="959" t="s">
        <v>8290</v>
      </c>
      <c r="H37" s="3618" t="s">
        <v>8291</v>
      </c>
      <c r="I37" s="3618">
        <v>400</v>
      </c>
      <c r="J37" s="3618">
        <v>0</v>
      </c>
      <c r="K37" s="3618">
        <v>4</v>
      </c>
      <c r="L37" s="3618">
        <f t="shared" si="7"/>
        <v>100</v>
      </c>
      <c r="M37" s="3619">
        <v>45726</v>
      </c>
      <c r="N37" s="3619">
        <v>45722</v>
      </c>
      <c r="O37" s="3618"/>
      <c r="P37" s="959" t="s">
        <v>82</v>
      </c>
      <c r="Q37" s="3620" t="s">
        <v>6501</v>
      </c>
      <c r="R37" s="3640" t="s">
        <v>3159</v>
      </c>
      <c r="S37" s="3640"/>
      <c r="T37" s="3647" t="s">
        <v>6508</v>
      </c>
      <c r="U37" s="3621"/>
      <c r="V37" s="959"/>
      <c r="W37" s="3638" t="s">
        <v>8389</v>
      </c>
      <c r="X37" s="3639" t="s">
        <v>459</v>
      </c>
      <c r="Y37" s="3618">
        <v>10.3528</v>
      </c>
      <c r="Z37" s="3618">
        <f t="shared" si="12"/>
        <v>4141.12</v>
      </c>
      <c r="AA37" s="3633" t="s">
        <v>6510</v>
      </c>
      <c r="AB37" s="959" t="s">
        <v>8329</v>
      </c>
      <c r="AC37" s="3620" t="s">
        <v>416</v>
      </c>
      <c r="AD37" s="3625"/>
      <c r="AE37" s="3625"/>
      <c r="AF37" s="3625"/>
      <c r="AG37" s="959"/>
      <c r="AH37" s="959">
        <f>I37</f>
        <v>400</v>
      </c>
      <c r="AI37" s="959"/>
      <c r="AJ37" s="3618">
        <f t="shared" si="11"/>
        <v>400</v>
      </c>
      <c r="AK37" s="3626"/>
      <c r="AL37" s="3626">
        <f t="shared" si="9"/>
        <v>400</v>
      </c>
      <c r="AM37" s="3626"/>
      <c r="AN37" s="3626"/>
      <c r="AO37" s="3626"/>
      <c r="AP37" s="3626"/>
      <c r="AQ37" s="3626" t="s">
        <v>89</v>
      </c>
      <c r="AR37" s="3626">
        <f t="shared" si="3"/>
        <v>133.333333333333</v>
      </c>
      <c r="AS37" s="3626">
        <f t="shared" si="4"/>
        <v>133.333333333333</v>
      </c>
      <c r="AT37" s="3626">
        <f t="shared" si="5"/>
        <v>133.333333333333</v>
      </c>
      <c r="AU37" s="3627">
        <f t="shared" si="1"/>
        <v>400</v>
      </c>
      <c r="AV37" s="3627">
        <f t="shared" si="6"/>
        <v>0</v>
      </c>
    </row>
    <row r="38" s="3566" customFormat="1" ht="50" customHeight="1" spans="1:48">
      <c r="A38" s="3616">
        <v>45693</v>
      </c>
      <c r="B38" s="3630" t="s">
        <v>505</v>
      </c>
      <c r="C38" s="3628" t="s">
        <v>506</v>
      </c>
      <c r="D38" s="3629">
        <v>4500156707</v>
      </c>
      <c r="E38" s="959">
        <v>20626204</v>
      </c>
      <c r="F38" s="3648" t="s">
        <v>8390</v>
      </c>
      <c r="G38" s="3636" t="s">
        <v>8290</v>
      </c>
      <c r="H38" s="3621" t="s">
        <v>8291</v>
      </c>
      <c r="I38" s="3621">
        <v>1380</v>
      </c>
      <c r="J38" s="3621">
        <v>0</v>
      </c>
      <c r="K38" s="3621">
        <v>4</v>
      </c>
      <c r="L38" s="3621">
        <f t="shared" si="7"/>
        <v>345</v>
      </c>
      <c r="M38" s="3644">
        <v>45733</v>
      </c>
      <c r="N38" s="3644">
        <v>45729</v>
      </c>
      <c r="O38" s="3621"/>
      <c r="P38" s="959" t="s">
        <v>82</v>
      </c>
      <c r="Q38" s="3645" t="s">
        <v>3233</v>
      </c>
      <c r="R38" s="3649" t="s">
        <v>3234</v>
      </c>
      <c r="S38" s="3649"/>
      <c r="T38" s="3649" t="s">
        <v>8391</v>
      </c>
      <c r="U38" s="3621"/>
      <c r="V38" s="3636"/>
      <c r="W38" s="3650" t="s">
        <v>8392</v>
      </c>
      <c r="X38" s="3651" t="s">
        <v>513</v>
      </c>
      <c r="Y38" s="3621">
        <v>11.4378</v>
      </c>
      <c r="Z38" s="3621">
        <f t="shared" si="12"/>
        <v>15784.164</v>
      </c>
      <c r="AA38" s="3652" t="s">
        <v>3237</v>
      </c>
      <c r="AB38" s="3636" t="s">
        <v>8290</v>
      </c>
      <c r="AC38" s="3653" t="s">
        <v>416</v>
      </c>
      <c r="AD38" s="3654"/>
      <c r="AE38" s="3654"/>
      <c r="AF38" s="3654"/>
      <c r="AG38" s="959">
        <f t="shared" ref="AG38:AG44" si="13">I38</f>
        <v>1380</v>
      </c>
      <c r="AH38" s="3636"/>
      <c r="AI38" s="3636"/>
      <c r="AJ38" s="3621">
        <f t="shared" si="11"/>
        <v>1380</v>
      </c>
      <c r="AK38" s="3655"/>
      <c r="AL38" s="3655">
        <f t="shared" si="9"/>
        <v>1380</v>
      </c>
      <c r="AM38" s="3655"/>
      <c r="AN38" s="3655"/>
      <c r="AO38" s="3655"/>
      <c r="AP38" s="3655"/>
      <c r="AQ38" s="3655" t="s">
        <v>89</v>
      </c>
      <c r="AR38" s="3655">
        <f t="shared" si="3"/>
        <v>460</v>
      </c>
      <c r="AS38" s="3655">
        <f t="shared" si="4"/>
        <v>460</v>
      </c>
      <c r="AT38" s="3655">
        <f t="shared" si="5"/>
        <v>460</v>
      </c>
      <c r="AU38" s="3656">
        <f t="shared" si="1"/>
        <v>1380</v>
      </c>
      <c r="AV38" s="3656">
        <f t="shared" si="6"/>
        <v>0</v>
      </c>
    </row>
    <row r="39" s="3566" customFormat="1" ht="50" customHeight="1" spans="1:48">
      <c r="A39" s="3616">
        <v>45693</v>
      </c>
      <c r="B39" s="3630" t="s">
        <v>839</v>
      </c>
      <c r="C39" s="3628" t="s">
        <v>840</v>
      </c>
      <c r="D39" s="3629">
        <v>4500156708</v>
      </c>
      <c r="E39" s="959">
        <v>20626205</v>
      </c>
      <c r="F39" s="3648" t="s">
        <v>8393</v>
      </c>
      <c r="G39" s="3636" t="s">
        <v>8290</v>
      </c>
      <c r="H39" s="3621" t="s">
        <v>8291</v>
      </c>
      <c r="I39" s="3621">
        <v>120</v>
      </c>
      <c r="J39" s="3621">
        <v>0</v>
      </c>
      <c r="K39" s="3621">
        <v>4</v>
      </c>
      <c r="L39" s="3621">
        <f t="shared" si="7"/>
        <v>30</v>
      </c>
      <c r="M39" s="3644">
        <v>45733</v>
      </c>
      <c r="N39" s="3644">
        <v>45729</v>
      </c>
      <c r="O39" s="3621"/>
      <c r="P39" s="959" t="s">
        <v>82</v>
      </c>
      <c r="Q39" s="3653" t="s">
        <v>3233</v>
      </c>
      <c r="R39" s="3649" t="s">
        <v>3234</v>
      </c>
      <c r="S39" s="3649"/>
      <c r="T39" s="3657" t="s">
        <v>3235</v>
      </c>
      <c r="U39" s="3621"/>
      <c r="V39" s="3636"/>
      <c r="W39" s="3650" t="s">
        <v>8394</v>
      </c>
      <c r="X39" s="3651" t="s">
        <v>513</v>
      </c>
      <c r="Y39" s="3621">
        <v>11.4582</v>
      </c>
      <c r="Z39" s="3621">
        <f t="shared" si="12"/>
        <v>1374.984</v>
      </c>
      <c r="AA39" s="3652" t="s">
        <v>3240</v>
      </c>
      <c r="AB39" s="3636" t="s">
        <v>8290</v>
      </c>
      <c r="AC39" s="3653" t="s">
        <v>416</v>
      </c>
      <c r="AD39" s="3654"/>
      <c r="AE39" s="3654"/>
      <c r="AF39" s="3654"/>
      <c r="AG39" s="959">
        <f t="shared" si="13"/>
        <v>120</v>
      </c>
      <c r="AH39" s="3636"/>
      <c r="AI39" s="3636"/>
      <c r="AJ39" s="3621">
        <f t="shared" si="11"/>
        <v>120</v>
      </c>
      <c r="AK39" s="3655"/>
      <c r="AL39" s="3655">
        <f t="shared" si="9"/>
        <v>120</v>
      </c>
      <c r="AM39" s="3655"/>
      <c r="AN39" s="3655"/>
      <c r="AO39" s="3655"/>
      <c r="AP39" s="3655"/>
      <c r="AQ39" s="3655" t="s">
        <v>89</v>
      </c>
      <c r="AR39" s="3655">
        <f t="shared" si="3"/>
        <v>40</v>
      </c>
      <c r="AS39" s="3655">
        <f t="shared" si="4"/>
        <v>40</v>
      </c>
      <c r="AT39" s="3655">
        <f t="shared" si="5"/>
        <v>40</v>
      </c>
      <c r="AU39" s="3656">
        <f t="shared" si="1"/>
        <v>120</v>
      </c>
      <c r="AV39" s="3656">
        <f t="shared" si="6"/>
        <v>0</v>
      </c>
    </row>
    <row r="40" s="3566" customFormat="1" ht="50" customHeight="1" spans="1:48">
      <c r="A40" s="3616">
        <v>45705</v>
      </c>
      <c r="B40" s="3630" t="s">
        <v>3264</v>
      </c>
      <c r="C40" s="3617" t="s">
        <v>858</v>
      </c>
      <c r="D40" s="3629">
        <v>4500157780</v>
      </c>
      <c r="E40" s="959"/>
      <c r="F40" s="3629" t="s">
        <v>8395</v>
      </c>
      <c r="G40" s="959" t="s">
        <v>8290</v>
      </c>
      <c r="H40" s="3618" t="s">
        <v>8291</v>
      </c>
      <c r="I40" s="3618">
        <v>120</v>
      </c>
      <c r="J40" s="3618">
        <v>0</v>
      </c>
      <c r="K40" s="3618">
        <v>4</v>
      </c>
      <c r="L40" s="3618">
        <f t="shared" si="7"/>
        <v>30</v>
      </c>
      <c r="M40" s="3619">
        <v>45741</v>
      </c>
      <c r="N40" s="3619">
        <v>45737</v>
      </c>
      <c r="O40" s="3618"/>
      <c r="P40" s="959" t="s">
        <v>82</v>
      </c>
      <c r="Q40" s="3645" t="s">
        <v>3266</v>
      </c>
      <c r="R40" s="3649" t="s">
        <v>876</v>
      </c>
      <c r="S40" s="3649"/>
      <c r="T40" s="3649" t="s">
        <v>98</v>
      </c>
      <c r="U40" s="3640"/>
      <c r="V40" s="959"/>
      <c r="W40" s="3638" t="s">
        <v>8396</v>
      </c>
      <c r="X40" s="3639" t="s">
        <v>357</v>
      </c>
      <c r="Y40" s="3618">
        <v>9.8321</v>
      </c>
      <c r="Z40" s="3618">
        <f t="shared" si="12"/>
        <v>1179.852</v>
      </c>
      <c r="AA40" s="3633" t="s">
        <v>3268</v>
      </c>
      <c r="AB40" s="3636" t="s">
        <v>8290</v>
      </c>
      <c r="AC40" s="3653" t="s">
        <v>416</v>
      </c>
      <c r="AD40" s="3658"/>
      <c r="AE40" s="3658"/>
      <c r="AF40" s="3658"/>
      <c r="AG40" s="959">
        <f t="shared" si="13"/>
        <v>120</v>
      </c>
      <c r="AH40" s="959"/>
      <c r="AI40" s="959"/>
      <c r="AJ40" s="3618">
        <f t="shared" si="11"/>
        <v>120</v>
      </c>
      <c r="AK40" s="3626"/>
      <c r="AL40" s="3626">
        <f t="shared" si="9"/>
        <v>120</v>
      </c>
      <c r="AM40" s="3626"/>
      <c r="AN40" s="3626"/>
      <c r="AO40" s="3626"/>
      <c r="AP40" s="3626"/>
      <c r="AQ40" s="3626" t="s">
        <v>89</v>
      </c>
      <c r="AR40" s="3626">
        <f t="shared" si="3"/>
        <v>40</v>
      </c>
      <c r="AS40" s="3626">
        <f t="shared" si="4"/>
        <v>40</v>
      </c>
      <c r="AT40" s="3626">
        <f t="shared" si="5"/>
        <v>40</v>
      </c>
      <c r="AU40" s="3627">
        <f t="shared" si="1"/>
        <v>120</v>
      </c>
      <c r="AV40" s="3627">
        <f t="shared" si="6"/>
        <v>0</v>
      </c>
    </row>
    <row r="41" s="3566" customFormat="1" ht="50" customHeight="1" spans="1:48">
      <c r="A41" s="3616">
        <v>45712</v>
      </c>
      <c r="B41" s="3617" t="s">
        <v>5160</v>
      </c>
      <c r="C41" s="3617" t="s">
        <v>3913</v>
      </c>
      <c r="D41" s="3624">
        <v>4500158305</v>
      </c>
      <c r="E41" s="959"/>
      <c r="F41" s="3648" t="s">
        <v>8397</v>
      </c>
      <c r="G41" s="959" t="s">
        <v>8290</v>
      </c>
      <c r="H41" s="3618" t="s">
        <v>8291</v>
      </c>
      <c r="I41" s="3618">
        <v>300</v>
      </c>
      <c r="J41" s="3618">
        <v>0</v>
      </c>
      <c r="K41" s="3618">
        <v>4</v>
      </c>
      <c r="L41" s="3618">
        <f t="shared" si="7"/>
        <v>75</v>
      </c>
      <c r="M41" s="3619">
        <v>45737</v>
      </c>
      <c r="N41" s="3619">
        <f>M41-4</f>
        <v>45733</v>
      </c>
      <c r="O41" s="3621"/>
      <c r="P41" s="959" t="s">
        <v>82</v>
      </c>
      <c r="Q41" s="3620" t="s">
        <v>172</v>
      </c>
      <c r="R41" s="3649" t="s">
        <v>999</v>
      </c>
      <c r="S41" s="3649"/>
      <c r="T41" s="3649" t="s">
        <v>6580</v>
      </c>
      <c r="U41" s="3621"/>
      <c r="V41" s="3636"/>
      <c r="W41" s="3650" t="s">
        <v>8398</v>
      </c>
      <c r="X41" s="3651" t="s">
        <v>892</v>
      </c>
      <c r="Y41" s="3621">
        <v>10.5469</v>
      </c>
      <c r="Z41" s="3618">
        <f t="shared" si="12"/>
        <v>3164.07</v>
      </c>
      <c r="AA41" s="3652" t="s">
        <v>6582</v>
      </c>
      <c r="AB41" s="3636" t="s">
        <v>8290</v>
      </c>
      <c r="AC41" s="3653" t="s">
        <v>416</v>
      </c>
      <c r="AD41" s="3654"/>
      <c r="AE41" s="3654"/>
      <c r="AF41" s="3654"/>
      <c r="AG41" s="959">
        <f t="shared" si="13"/>
        <v>300</v>
      </c>
      <c r="AH41" s="3636"/>
      <c r="AI41" s="3636"/>
      <c r="AJ41" s="3618">
        <f t="shared" si="11"/>
        <v>300</v>
      </c>
      <c r="AK41" s="3655"/>
      <c r="AL41" s="3655">
        <f t="shared" si="9"/>
        <v>300</v>
      </c>
      <c r="AM41" s="3655"/>
      <c r="AN41" s="3655"/>
      <c r="AO41" s="3655"/>
      <c r="AP41" s="3655"/>
      <c r="AQ41" s="3655" t="s">
        <v>89</v>
      </c>
      <c r="AR41" s="3626">
        <f t="shared" si="3"/>
        <v>100</v>
      </c>
      <c r="AS41" s="3626">
        <f t="shared" si="4"/>
        <v>100</v>
      </c>
      <c r="AT41" s="3626">
        <f t="shared" si="5"/>
        <v>100</v>
      </c>
      <c r="AU41" s="3627">
        <f t="shared" si="1"/>
        <v>300</v>
      </c>
      <c r="AV41" s="3627">
        <f t="shared" si="6"/>
        <v>0</v>
      </c>
    </row>
    <row r="42" s="3566" customFormat="1" ht="50" customHeight="1" spans="1:48">
      <c r="A42" s="3616">
        <v>45714</v>
      </c>
      <c r="B42" s="3630" t="s">
        <v>885</v>
      </c>
      <c r="C42" s="3628" t="s">
        <v>886</v>
      </c>
      <c r="D42" s="3629">
        <v>4500158665</v>
      </c>
      <c r="E42" s="959" t="s">
        <v>887</v>
      </c>
      <c r="F42" s="3629" t="s">
        <v>8399</v>
      </c>
      <c r="G42" s="3636" t="s">
        <v>8290</v>
      </c>
      <c r="H42" s="3618" t="s">
        <v>8291</v>
      </c>
      <c r="I42" s="3618">
        <v>252</v>
      </c>
      <c r="J42" s="3618">
        <v>0</v>
      </c>
      <c r="K42" s="3618">
        <v>4</v>
      </c>
      <c r="L42" s="3618">
        <f t="shared" si="7"/>
        <v>63</v>
      </c>
      <c r="M42" s="3619">
        <v>45737</v>
      </c>
      <c r="N42" s="3619">
        <f>M42-4</f>
        <v>45733</v>
      </c>
      <c r="O42" s="3621"/>
      <c r="P42" s="959" t="s">
        <v>82</v>
      </c>
      <c r="Q42" s="3645" t="s">
        <v>889</v>
      </c>
      <c r="R42" s="3649" t="s">
        <v>890</v>
      </c>
      <c r="S42" s="3649"/>
      <c r="T42" s="3649" t="s">
        <v>98</v>
      </c>
      <c r="U42" s="3621"/>
      <c r="V42" s="3636"/>
      <c r="W42" s="3650" t="s">
        <v>8400</v>
      </c>
      <c r="X42" s="3651" t="s">
        <v>892</v>
      </c>
      <c r="Y42" s="3621">
        <v>10.3528</v>
      </c>
      <c r="Z42" s="3618">
        <f t="shared" si="12"/>
        <v>2608.9056</v>
      </c>
      <c r="AA42" s="3652" t="s">
        <v>893</v>
      </c>
      <c r="AB42" s="3636" t="s">
        <v>8290</v>
      </c>
      <c r="AC42" s="3653" t="s">
        <v>416</v>
      </c>
      <c r="AD42" s="3654"/>
      <c r="AE42" s="3654"/>
      <c r="AF42" s="3654"/>
      <c r="AG42" s="959">
        <f t="shared" si="13"/>
        <v>252</v>
      </c>
      <c r="AH42" s="3636"/>
      <c r="AI42" s="3636"/>
      <c r="AJ42" s="3618">
        <f t="shared" si="11"/>
        <v>252</v>
      </c>
      <c r="AK42" s="3655"/>
      <c r="AL42" s="3655">
        <f t="shared" si="9"/>
        <v>252</v>
      </c>
      <c r="AM42" s="3655"/>
      <c r="AN42" s="3655"/>
      <c r="AO42" s="3655"/>
      <c r="AP42" s="3655"/>
      <c r="AQ42" s="3655" t="s">
        <v>89</v>
      </c>
      <c r="AR42" s="3626">
        <f t="shared" si="3"/>
        <v>84</v>
      </c>
      <c r="AS42" s="3626">
        <f t="shared" si="4"/>
        <v>84</v>
      </c>
      <c r="AT42" s="3626">
        <f t="shared" si="5"/>
        <v>84</v>
      </c>
      <c r="AU42" s="3627">
        <f t="shared" si="1"/>
        <v>252</v>
      </c>
      <c r="AV42" s="3627">
        <f t="shared" si="6"/>
        <v>0</v>
      </c>
    </row>
    <row r="43" s="3566" customFormat="1" ht="50" customHeight="1" spans="1:48">
      <c r="A43" s="3616">
        <v>45709</v>
      </c>
      <c r="B43" s="3630" t="s">
        <v>995</v>
      </c>
      <c r="C43" s="3628" t="s">
        <v>996</v>
      </c>
      <c r="D43" s="3629">
        <v>4500158103</v>
      </c>
      <c r="E43" s="959" t="s">
        <v>997</v>
      </c>
      <c r="F43" s="3648" t="s">
        <v>8401</v>
      </c>
      <c r="G43" s="3636" t="s">
        <v>8290</v>
      </c>
      <c r="H43" s="3618" t="s">
        <v>8291</v>
      </c>
      <c r="I43" s="3618">
        <v>500</v>
      </c>
      <c r="J43" s="3618">
        <v>0</v>
      </c>
      <c r="K43" s="3618">
        <v>4</v>
      </c>
      <c r="L43" s="3618">
        <f t="shared" si="7"/>
        <v>125</v>
      </c>
      <c r="M43" s="3659">
        <v>45757</v>
      </c>
      <c r="N43" s="3659">
        <v>45752</v>
      </c>
      <c r="O43" s="3621"/>
      <c r="P43" s="3636" t="s">
        <v>82</v>
      </c>
      <c r="Q43" s="3653" t="s">
        <v>989</v>
      </c>
      <c r="R43" s="3649" t="s">
        <v>999</v>
      </c>
      <c r="S43" s="3649"/>
      <c r="T43" s="3649" t="s">
        <v>1000</v>
      </c>
      <c r="U43" s="3621"/>
      <c r="V43" s="3636"/>
      <c r="W43" s="3650" t="s">
        <v>8402</v>
      </c>
      <c r="X43" s="3651" t="s">
        <v>892</v>
      </c>
      <c r="Y43" s="3621">
        <v>11.4378</v>
      </c>
      <c r="Z43" s="3621">
        <f t="shared" si="12"/>
        <v>5718.9</v>
      </c>
      <c r="AA43" s="3652" t="s">
        <v>1002</v>
      </c>
      <c r="AB43" s="3636" t="s">
        <v>8290</v>
      </c>
      <c r="AC43" s="3653" t="s">
        <v>416</v>
      </c>
      <c r="AD43" s="3660"/>
      <c r="AE43" s="3660"/>
      <c r="AF43" s="3660"/>
      <c r="AG43" s="959">
        <f t="shared" si="13"/>
        <v>500</v>
      </c>
      <c r="AH43" s="3636"/>
      <c r="AI43" s="3636"/>
      <c r="AJ43" s="3618">
        <f t="shared" si="11"/>
        <v>500</v>
      </c>
      <c r="AK43" s="3655"/>
      <c r="AL43" s="3655">
        <f t="shared" si="9"/>
        <v>500</v>
      </c>
      <c r="AM43" s="3655"/>
      <c r="AN43" s="3655"/>
      <c r="AO43" s="3655"/>
      <c r="AP43" s="3655"/>
      <c r="AQ43" s="3655" t="s">
        <v>89</v>
      </c>
      <c r="AR43" s="3655">
        <f t="shared" si="3"/>
        <v>166.666666666667</v>
      </c>
      <c r="AS43" s="3655">
        <f t="shared" si="4"/>
        <v>166.666666666667</v>
      </c>
      <c r="AT43" s="3655">
        <f t="shared" si="5"/>
        <v>166.666666666667</v>
      </c>
      <c r="AU43" s="3656">
        <f t="shared" si="1"/>
        <v>500</v>
      </c>
      <c r="AV43" s="3656">
        <f t="shared" si="6"/>
        <v>0</v>
      </c>
    </row>
    <row r="44" s="3566" customFormat="1" ht="50" customHeight="1" spans="1:48">
      <c r="A44" s="3616">
        <v>45721</v>
      </c>
      <c r="B44" s="3630" t="s">
        <v>8403</v>
      </c>
      <c r="C44" s="3628" t="s">
        <v>2999</v>
      </c>
      <c r="D44" s="3629">
        <v>4500159239</v>
      </c>
      <c r="E44" s="959"/>
      <c r="F44" s="3629" t="s">
        <v>8404</v>
      </c>
      <c r="G44" s="3636" t="s">
        <v>8290</v>
      </c>
      <c r="H44" s="3618" t="s">
        <v>8291</v>
      </c>
      <c r="I44" s="3618">
        <v>100</v>
      </c>
      <c r="J44" s="3618">
        <v>0</v>
      </c>
      <c r="K44" s="3618">
        <v>4</v>
      </c>
      <c r="L44" s="3618">
        <f t="shared" si="7"/>
        <v>25</v>
      </c>
      <c r="M44" s="3644">
        <v>45758</v>
      </c>
      <c r="N44" s="3644">
        <v>45754</v>
      </c>
      <c r="O44" s="3621"/>
      <c r="P44" s="3636" t="s">
        <v>82</v>
      </c>
      <c r="Q44" s="3653" t="s">
        <v>1007</v>
      </c>
      <c r="R44" s="3649" t="s">
        <v>8405</v>
      </c>
      <c r="S44" s="3649"/>
      <c r="T44" s="3657" t="s">
        <v>98</v>
      </c>
      <c r="U44" s="3621"/>
      <c r="V44" s="3636"/>
      <c r="W44" s="3650" t="s">
        <v>8406</v>
      </c>
      <c r="X44" s="3651" t="s">
        <v>448</v>
      </c>
      <c r="Y44" s="3621">
        <v>9.8321</v>
      </c>
      <c r="Z44" s="3618">
        <f t="shared" si="12"/>
        <v>983.21</v>
      </c>
      <c r="AA44" s="3652" t="s">
        <v>8407</v>
      </c>
      <c r="AB44" s="3636" t="s">
        <v>8290</v>
      </c>
      <c r="AC44" s="3653" t="s">
        <v>416</v>
      </c>
      <c r="AD44" s="3660"/>
      <c r="AE44" s="3660"/>
      <c r="AF44" s="3660"/>
      <c r="AG44" s="959">
        <f t="shared" si="13"/>
        <v>100</v>
      </c>
      <c r="AH44" s="3636"/>
      <c r="AI44" s="3636"/>
      <c r="AJ44" s="3618">
        <f t="shared" si="11"/>
        <v>100</v>
      </c>
      <c r="AK44" s="3655"/>
      <c r="AL44" s="3655">
        <f t="shared" si="9"/>
        <v>100</v>
      </c>
      <c r="AM44" s="3655"/>
      <c r="AN44" s="3655"/>
      <c r="AO44" s="3655"/>
      <c r="AP44" s="3655"/>
      <c r="AQ44" s="3655" t="s">
        <v>89</v>
      </c>
      <c r="AR44" s="3626">
        <f t="shared" si="3"/>
        <v>33.3333333333333</v>
      </c>
      <c r="AS44" s="3626">
        <f t="shared" si="4"/>
        <v>33.3333333333333</v>
      </c>
      <c r="AT44" s="3626">
        <f t="shared" si="5"/>
        <v>33.3333333333333</v>
      </c>
      <c r="AU44" s="3627">
        <f t="shared" si="1"/>
        <v>100</v>
      </c>
      <c r="AV44" s="3627">
        <f t="shared" si="6"/>
        <v>0</v>
      </c>
    </row>
    <row r="45" s="3566" customFormat="1" ht="50" customHeight="1" spans="1:48">
      <c r="A45" s="3616">
        <v>45722</v>
      </c>
      <c r="B45" s="3630" t="s">
        <v>5013</v>
      </c>
      <c r="C45" s="3628" t="s">
        <v>738</v>
      </c>
      <c r="D45" s="3629">
        <v>4500159234</v>
      </c>
      <c r="E45" s="3636" t="s">
        <v>8408</v>
      </c>
      <c r="F45" s="3629" t="s">
        <v>8409</v>
      </c>
      <c r="G45" s="3636" t="s">
        <v>8290</v>
      </c>
      <c r="H45" s="3618" t="s">
        <v>8291</v>
      </c>
      <c r="I45" s="3618">
        <v>140</v>
      </c>
      <c r="J45" s="3618">
        <v>0</v>
      </c>
      <c r="K45" s="3618">
        <v>4</v>
      </c>
      <c r="L45" s="3618">
        <f t="shared" si="7"/>
        <v>35</v>
      </c>
      <c r="M45" s="3644">
        <v>45771</v>
      </c>
      <c r="N45" s="3644">
        <v>45768</v>
      </c>
      <c r="O45" s="3621"/>
      <c r="P45" s="3636" t="s">
        <v>82</v>
      </c>
      <c r="Q45" s="3653" t="s">
        <v>1123</v>
      </c>
      <c r="R45" s="3649" t="s">
        <v>3558</v>
      </c>
      <c r="S45" s="3657"/>
      <c r="T45" s="3657" t="s">
        <v>8410</v>
      </c>
      <c r="U45" s="3657"/>
      <c r="V45" s="3636"/>
      <c r="W45" s="3650" t="s">
        <v>8411</v>
      </c>
      <c r="X45" s="3651" t="s">
        <v>1257</v>
      </c>
      <c r="Y45" s="3621">
        <v>10.3528</v>
      </c>
      <c r="Z45" s="3618">
        <f t="shared" si="12"/>
        <v>1449.392</v>
      </c>
      <c r="AA45" s="3652" t="s">
        <v>8412</v>
      </c>
      <c r="AB45" s="959" t="s">
        <v>8329</v>
      </c>
      <c r="AC45" s="3653" t="s">
        <v>416</v>
      </c>
      <c r="AD45" s="3654"/>
      <c r="AE45" s="3654"/>
      <c r="AF45" s="3654"/>
      <c r="AG45" s="959"/>
      <c r="AH45" s="959">
        <f t="shared" ref="AH45:AH52" si="14">I45</f>
        <v>140</v>
      </c>
      <c r="AI45" s="3636"/>
      <c r="AJ45" s="3618">
        <f t="shared" si="11"/>
        <v>140</v>
      </c>
      <c r="AK45" s="3655"/>
      <c r="AL45" s="3655">
        <f t="shared" si="9"/>
        <v>140</v>
      </c>
      <c r="AM45" s="3655"/>
      <c r="AN45" s="3655"/>
      <c r="AO45" s="3655"/>
      <c r="AP45" s="3655"/>
      <c r="AQ45" s="3655" t="s">
        <v>89</v>
      </c>
      <c r="AR45" s="3626">
        <f t="shared" si="3"/>
        <v>46.6666666666667</v>
      </c>
      <c r="AS45" s="3626">
        <f t="shared" si="4"/>
        <v>46.6666666666667</v>
      </c>
      <c r="AT45" s="3626">
        <f t="shared" si="5"/>
        <v>46.6666666666667</v>
      </c>
      <c r="AU45" s="3627">
        <f t="shared" si="1"/>
        <v>140</v>
      </c>
      <c r="AV45" s="3627">
        <f t="shared" si="6"/>
        <v>0</v>
      </c>
    </row>
    <row r="46" s="3566" customFormat="1" ht="50" customHeight="1" spans="1:48">
      <c r="A46" s="3616">
        <v>45722</v>
      </c>
      <c r="B46" s="3630" t="s">
        <v>5013</v>
      </c>
      <c r="C46" s="3628" t="s">
        <v>738</v>
      </c>
      <c r="D46" s="3629">
        <v>4500159248</v>
      </c>
      <c r="E46" s="3636" t="s">
        <v>8413</v>
      </c>
      <c r="F46" s="3629" t="s">
        <v>8414</v>
      </c>
      <c r="G46" s="3636" t="s">
        <v>8290</v>
      </c>
      <c r="H46" s="3618" t="s">
        <v>8291</v>
      </c>
      <c r="I46" s="3618">
        <v>244</v>
      </c>
      <c r="J46" s="3618">
        <v>0</v>
      </c>
      <c r="K46" s="3618">
        <v>4</v>
      </c>
      <c r="L46" s="3618">
        <f t="shared" si="7"/>
        <v>61</v>
      </c>
      <c r="M46" s="3644">
        <v>45771</v>
      </c>
      <c r="N46" s="3644">
        <v>45768</v>
      </c>
      <c r="O46" s="3621"/>
      <c r="P46" s="3636" t="s">
        <v>82</v>
      </c>
      <c r="Q46" s="3653"/>
      <c r="R46" s="3649" t="s">
        <v>3558</v>
      </c>
      <c r="S46" s="3640"/>
      <c r="T46" s="3657" t="s">
        <v>8410</v>
      </c>
      <c r="U46" s="3640"/>
      <c r="V46" s="3636"/>
      <c r="W46" s="3650" t="s">
        <v>8411</v>
      </c>
      <c r="X46" s="3651" t="s">
        <v>1257</v>
      </c>
      <c r="Y46" s="3621">
        <v>10.3528</v>
      </c>
      <c r="Z46" s="3618">
        <f t="shared" si="12"/>
        <v>2526.0832</v>
      </c>
      <c r="AA46" s="3652" t="s">
        <v>8415</v>
      </c>
      <c r="AB46" s="959" t="s">
        <v>8329</v>
      </c>
      <c r="AC46" s="3653" t="s">
        <v>416</v>
      </c>
      <c r="AD46" s="3654"/>
      <c r="AE46" s="3654"/>
      <c r="AF46" s="3654"/>
      <c r="AG46" s="959"/>
      <c r="AH46" s="959">
        <f t="shared" si="14"/>
        <v>244</v>
      </c>
      <c r="AI46" s="3636"/>
      <c r="AJ46" s="3618">
        <f t="shared" si="11"/>
        <v>244</v>
      </c>
      <c r="AK46" s="3655"/>
      <c r="AL46" s="3655">
        <f t="shared" si="9"/>
        <v>244</v>
      </c>
      <c r="AM46" s="3655"/>
      <c r="AN46" s="3655"/>
      <c r="AO46" s="3655"/>
      <c r="AP46" s="3655"/>
      <c r="AQ46" s="3655" t="s">
        <v>89</v>
      </c>
      <c r="AR46" s="3626">
        <f t="shared" si="3"/>
        <v>81.3333333333333</v>
      </c>
      <c r="AS46" s="3626">
        <f t="shared" si="4"/>
        <v>81.3333333333333</v>
      </c>
      <c r="AT46" s="3626">
        <f t="shared" si="5"/>
        <v>81.3333333333333</v>
      </c>
      <c r="AU46" s="3627">
        <f t="shared" si="1"/>
        <v>244</v>
      </c>
      <c r="AV46" s="3627">
        <f t="shared" si="6"/>
        <v>0</v>
      </c>
    </row>
    <row r="47" s="3566" customFormat="1" ht="50" customHeight="1" spans="1:48">
      <c r="A47" s="3616">
        <v>45722</v>
      </c>
      <c r="B47" s="3630" t="s">
        <v>5013</v>
      </c>
      <c r="C47" s="3628" t="s">
        <v>738</v>
      </c>
      <c r="D47" s="3629">
        <v>4500159256</v>
      </c>
      <c r="E47" s="3636" t="s">
        <v>8416</v>
      </c>
      <c r="F47" s="3629" t="s">
        <v>8417</v>
      </c>
      <c r="G47" s="3636" t="s">
        <v>8290</v>
      </c>
      <c r="H47" s="3618" t="s">
        <v>8291</v>
      </c>
      <c r="I47" s="3618">
        <v>460</v>
      </c>
      <c r="J47" s="3618">
        <v>0</v>
      </c>
      <c r="K47" s="3618">
        <v>4</v>
      </c>
      <c r="L47" s="3618">
        <f t="shared" si="7"/>
        <v>115</v>
      </c>
      <c r="M47" s="3644">
        <v>45771</v>
      </c>
      <c r="N47" s="3644">
        <v>45768</v>
      </c>
      <c r="O47" s="3621"/>
      <c r="P47" s="3636" t="s">
        <v>82</v>
      </c>
      <c r="Q47" s="3653" t="s">
        <v>1054</v>
      </c>
      <c r="R47" s="3649" t="s">
        <v>3558</v>
      </c>
      <c r="S47" s="3640"/>
      <c r="T47" s="3657" t="s">
        <v>8410</v>
      </c>
      <c r="U47" s="3640"/>
      <c r="V47" s="3636"/>
      <c r="W47" s="3650" t="s">
        <v>8411</v>
      </c>
      <c r="X47" s="3651" t="s">
        <v>1257</v>
      </c>
      <c r="Y47" s="3621">
        <v>10.3528</v>
      </c>
      <c r="Z47" s="3618">
        <f t="shared" si="12"/>
        <v>4762.288</v>
      </c>
      <c r="AA47" s="3652" t="s">
        <v>8418</v>
      </c>
      <c r="AB47" s="959" t="s">
        <v>8329</v>
      </c>
      <c r="AC47" s="3653" t="s">
        <v>416</v>
      </c>
      <c r="AD47" s="3654"/>
      <c r="AE47" s="3654"/>
      <c r="AF47" s="3654"/>
      <c r="AG47" s="959"/>
      <c r="AH47" s="959">
        <f t="shared" si="14"/>
        <v>460</v>
      </c>
      <c r="AI47" s="3636"/>
      <c r="AJ47" s="3618">
        <f t="shared" si="11"/>
        <v>460</v>
      </c>
      <c r="AK47" s="3655"/>
      <c r="AL47" s="3655">
        <f t="shared" si="9"/>
        <v>460</v>
      </c>
      <c r="AM47" s="3655"/>
      <c r="AN47" s="3655"/>
      <c r="AO47" s="3655"/>
      <c r="AP47" s="3655"/>
      <c r="AQ47" s="3655" t="s">
        <v>89</v>
      </c>
      <c r="AR47" s="3626">
        <f t="shared" si="3"/>
        <v>153.333333333333</v>
      </c>
      <c r="AS47" s="3626">
        <f t="shared" si="4"/>
        <v>153.333333333333</v>
      </c>
      <c r="AT47" s="3626">
        <f t="shared" si="5"/>
        <v>153.333333333333</v>
      </c>
      <c r="AU47" s="3627">
        <f t="shared" si="1"/>
        <v>460</v>
      </c>
      <c r="AV47" s="3627">
        <f t="shared" si="6"/>
        <v>0</v>
      </c>
    </row>
    <row r="48" s="3566" customFormat="1" ht="50" customHeight="1" spans="1:48">
      <c r="A48" s="3616">
        <v>45722</v>
      </c>
      <c r="B48" s="3630" t="s">
        <v>5013</v>
      </c>
      <c r="C48" s="3628" t="s">
        <v>738</v>
      </c>
      <c r="D48" s="3629">
        <v>4500159262</v>
      </c>
      <c r="E48" s="3636" t="s">
        <v>8419</v>
      </c>
      <c r="F48" s="3629" t="s">
        <v>8420</v>
      </c>
      <c r="G48" s="3636" t="s">
        <v>8290</v>
      </c>
      <c r="H48" s="3618" t="s">
        <v>8291</v>
      </c>
      <c r="I48" s="3618">
        <v>156</v>
      </c>
      <c r="J48" s="3618">
        <v>0</v>
      </c>
      <c r="K48" s="3618">
        <v>4</v>
      </c>
      <c r="L48" s="3618">
        <f t="shared" si="7"/>
        <v>39</v>
      </c>
      <c r="M48" s="3644">
        <v>45771</v>
      </c>
      <c r="N48" s="3644">
        <v>45768</v>
      </c>
      <c r="O48" s="3621"/>
      <c r="P48" s="3636" t="s">
        <v>82</v>
      </c>
      <c r="Q48" s="3653" t="s">
        <v>1123</v>
      </c>
      <c r="R48" s="3649" t="s">
        <v>3558</v>
      </c>
      <c r="S48" s="3640"/>
      <c r="T48" s="3657" t="s">
        <v>8410</v>
      </c>
      <c r="U48" s="3640"/>
      <c r="V48" s="3636"/>
      <c r="W48" s="3650" t="s">
        <v>8421</v>
      </c>
      <c r="X48" s="3651" t="s">
        <v>1257</v>
      </c>
      <c r="Y48" s="3621">
        <v>10.3528</v>
      </c>
      <c r="Z48" s="3618">
        <f t="shared" si="12"/>
        <v>1615.0368</v>
      </c>
      <c r="AA48" s="3652" t="s">
        <v>8422</v>
      </c>
      <c r="AB48" s="959" t="s">
        <v>8329</v>
      </c>
      <c r="AC48" s="3653" t="s">
        <v>416</v>
      </c>
      <c r="AD48" s="3654"/>
      <c r="AE48" s="3654"/>
      <c r="AF48" s="3654"/>
      <c r="AG48" s="959"/>
      <c r="AH48" s="959">
        <f t="shared" si="14"/>
        <v>156</v>
      </c>
      <c r="AI48" s="3636"/>
      <c r="AJ48" s="3618">
        <f t="shared" si="11"/>
        <v>156</v>
      </c>
      <c r="AK48" s="3655"/>
      <c r="AL48" s="3655">
        <f t="shared" si="9"/>
        <v>156</v>
      </c>
      <c r="AM48" s="3655"/>
      <c r="AN48" s="3655"/>
      <c r="AO48" s="3655"/>
      <c r="AP48" s="3655"/>
      <c r="AQ48" s="3655" t="s">
        <v>89</v>
      </c>
      <c r="AR48" s="3626">
        <f t="shared" si="3"/>
        <v>52</v>
      </c>
      <c r="AS48" s="3626">
        <f t="shared" si="4"/>
        <v>52</v>
      </c>
      <c r="AT48" s="3626">
        <f t="shared" si="5"/>
        <v>52</v>
      </c>
      <c r="AU48" s="3627">
        <f t="shared" si="1"/>
        <v>156</v>
      </c>
      <c r="AV48" s="3627">
        <f t="shared" si="6"/>
        <v>0</v>
      </c>
    </row>
    <row r="49" s="3566" customFormat="1" ht="50" customHeight="1" spans="1:48">
      <c r="A49" s="3616">
        <v>45722</v>
      </c>
      <c r="B49" s="3630" t="s">
        <v>5013</v>
      </c>
      <c r="C49" s="3628" t="s">
        <v>738</v>
      </c>
      <c r="D49" s="3629">
        <v>4500159263</v>
      </c>
      <c r="E49" s="3636" t="s">
        <v>8423</v>
      </c>
      <c r="F49" s="3629" t="s">
        <v>8424</v>
      </c>
      <c r="G49" s="3636" t="s">
        <v>8290</v>
      </c>
      <c r="H49" s="3618" t="s">
        <v>8291</v>
      </c>
      <c r="I49" s="3618">
        <v>200</v>
      </c>
      <c r="J49" s="3618">
        <v>0</v>
      </c>
      <c r="K49" s="3618">
        <v>4</v>
      </c>
      <c r="L49" s="3618">
        <f t="shared" si="7"/>
        <v>50</v>
      </c>
      <c r="M49" s="3644">
        <v>45771</v>
      </c>
      <c r="N49" s="3644">
        <v>45768</v>
      </c>
      <c r="O49" s="3621"/>
      <c r="P49" s="3636" t="s">
        <v>82</v>
      </c>
      <c r="Q49" s="3653" t="s">
        <v>5721</v>
      </c>
      <c r="R49" s="3649" t="s">
        <v>3558</v>
      </c>
      <c r="S49" s="3640"/>
      <c r="T49" s="3657" t="s">
        <v>8410</v>
      </c>
      <c r="U49" s="3640"/>
      <c r="V49" s="3636"/>
      <c r="W49" s="3650" t="s">
        <v>8411</v>
      </c>
      <c r="X49" s="3651" t="s">
        <v>1257</v>
      </c>
      <c r="Y49" s="3621">
        <v>10.3528</v>
      </c>
      <c r="Z49" s="3618">
        <f t="shared" si="12"/>
        <v>2070.56</v>
      </c>
      <c r="AA49" s="3652" t="s">
        <v>8425</v>
      </c>
      <c r="AB49" s="959" t="s">
        <v>8329</v>
      </c>
      <c r="AC49" s="3653" t="s">
        <v>416</v>
      </c>
      <c r="AD49" s="3654"/>
      <c r="AE49" s="3654"/>
      <c r="AF49" s="3654"/>
      <c r="AG49" s="959"/>
      <c r="AH49" s="959">
        <f t="shared" si="14"/>
        <v>200</v>
      </c>
      <c r="AI49" s="3636"/>
      <c r="AJ49" s="3618">
        <f t="shared" si="11"/>
        <v>200</v>
      </c>
      <c r="AK49" s="3655"/>
      <c r="AL49" s="3655">
        <f t="shared" si="9"/>
        <v>200</v>
      </c>
      <c r="AM49" s="3655"/>
      <c r="AN49" s="3655"/>
      <c r="AO49" s="3655"/>
      <c r="AP49" s="3655"/>
      <c r="AQ49" s="3655" t="s">
        <v>89</v>
      </c>
      <c r="AR49" s="3626">
        <f t="shared" si="3"/>
        <v>66.6666666666667</v>
      </c>
      <c r="AS49" s="3626">
        <f t="shared" si="4"/>
        <v>66.6666666666667</v>
      </c>
      <c r="AT49" s="3626">
        <f t="shared" si="5"/>
        <v>66.6666666666667</v>
      </c>
      <c r="AU49" s="3627">
        <f t="shared" si="1"/>
        <v>200</v>
      </c>
      <c r="AV49" s="3627">
        <f t="shared" si="6"/>
        <v>0</v>
      </c>
    </row>
    <row r="50" s="3566" customFormat="1" ht="50" customHeight="1" spans="1:48">
      <c r="A50" s="3616">
        <v>45712</v>
      </c>
      <c r="B50" s="3630" t="s">
        <v>3427</v>
      </c>
      <c r="C50" s="3628" t="s">
        <v>3428</v>
      </c>
      <c r="D50" s="3629">
        <v>4500158302</v>
      </c>
      <c r="E50" s="959"/>
      <c r="F50" s="3629" t="s">
        <v>8426</v>
      </c>
      <c r="G50" s="3636" t="s">
        <v>8290</v>
      </c>
      <c r="H50" s="3618" t="s">
        <v>8291</v>
      </c>
      <c r="I50" s="3618">
        <v>72</v>
      </c>
      <c r="J50" s="3618">
        <v>0</v>
      </c>
      <c r="K50" s="3618">
        <v>4</v>
      </c>
      <c r="L50" s="3618">
        <f t="shared" si="7"/>
        <v>18</v>
      </c>
      <c r="M50" s="3644">
        <v>45763</v>
      </c>
      <c r="N50" s="3644">
        <v>45759</v>
      </c>
      <c r="O50" s="3621"/>
      <c r="P50" s="3636" t="s">
        <v>82</v>
      </c>
      <c r="Q50" s="3653" t="s">
        <v>1123</v>
      </c>
      <c r="R50" s="3657" t="s">
        <v>3419</v>
      </c>
      <c r="S50" s="3649"/>
      <c r="T50" s="3657" t="s">
        <v>3430</v>
      </c>
      <c r="U50" s="3621"/>
      <c r="V50" s="3636"/>
      <c r="W50" s="3650" t="s">
        <v>8427</v>
      </c>
      <c r="X50" s="3651" t="s">
        <v>1257</v>
      </c>
      <c r="Y50" s="3621">
        <v>10.3528</v>
      </c>
      <c r="Z50" s="3618">
        <f t="shared" si="12"/>
        <v>745.4016</v>
      </c>
      <c r="AA50" s="3652" t="s">
        <v>3432</v>
      </c>
      <c r="AB50" s="959" t="s">
        <v>8329</v>
      </c>
      <c r="AC50" s="3653" t="s">
        <v>416</v>
      </c>
      <c r="AD50" s="3654"/>
      <c r="AE50" s="3654"/>
      <c r="AF50" s="3654"/>
      <c r="AG50" s="959"/>
      <c r="AH50" s="959">
        <f t="shared" si="14"/>
        <v>72</v>
      </c>
      <c r="AI50" s="3636"/>
      <c r="AJ50" s="3618">
        <f t="shared" si="11"/>
        <v>72</v>
      </c>
      <c r="AK50" s="3655"/>
      <c r="AL50" s="3655">
        <f t="shared" si="9"/>
        <v>72</v>
      </c>
      <c r="AM50" s="3655"/>
      <c r="AN50" s="3655"/>
      <c r="AO50" s="3655"/>
      <c r="AP50" s="3655"/>
      <c r="AQ50" s="3655" t="s">
        <v>89</v>
      </c>
      <c r="AR50" s="3626">
        <f t="shared" si="3"/>
        <v>24</v>
      </c>
      <c r="AS50" s="3626">
        <f t="shared" si="4"/>
        <v>24</v>
      </c>
      <c r="AT50" s="3626">
        <f t="shared" si="5"/>
        <v>24</v>
      </c>
      <c r="AU50" s="3627">
        <f t="shared" si="1"/>
        <v>72</v>
      </c>
      <c r="AV50" s="3627">
        <f t="shared" si="6"/>
        <v>0</v>
      </c>
    </row>
    <row r="51" s="3566" customFormat="1" ht="50" customHeight="1" spans="1:48">
      <c r="A51" s="3616">
        <v>45719</v>
      </c>
      <c r="B51" s="3630" t="s">
        <v>1016</v>
      </c>
      <c r="C51" s="3628" t="s">
        <v>396</v>
      </c>
      <c r="D51" s="3629">
        <v>4500158947</v>
      </c>
      <c r="E51" s="3636" t="s">
        <v>8428</v>
      </c>
      <c r="F51" s="3629" t="s">
        <v>8429</v>
      </c>
      <c r="G51" s="3636" t="s">
        <v>8430</v>
      </c>
      <c r="H51" s="3618" t="s">
        <v>8431</v>
      </c>
      <c r="I51" s="3618">
        <v>2</v>
      </c>
      <c r="J51" s="3618">
        <v>0</v>
      </c>
      <c r="K51" s="3618">
        <v>2</v>
      </c>
      <c r="L51" s="3618">
        <f t="shared" si="7"/>
        <v>1</v>
      </c>
      <c r="M51" s="3644">
        <v>45763</v>
      </c>
      <c r="N51" s="3644">
        <v>45759</v>
      </c>
      <c r="O51" s="3621"/>
      <c r="P51" s="3636" t="s">
        <v>82</v>
      </c>
      <c r="Q51" s="3653"/>
      <c r="R51" s="3657" t="s">
        <v>974</v>
      </c>
      <c r="S51" s="3657"/>
      <c r="T51" s="3657" t="s">
        <v>98</v>
      </c>
      <c r="U51" s="3657" t="s">
        <v>1022</v>
      </c>
      <c r="V51" s="3636"/>
      <c r="W51" s="3650" t="s">
        <v>8432</v>
      </c>
      <c r="X51" s="3651" t="s">
        <v>1024</v>
      </c>
      <c r="Y51" s="3621">
        <v>10.5133</v>
      </c>
      <c r="Z51" s="3618">
        <f t="shared" si="12"/>
        <v>21.0266</v>
      </c>
      <c r="AA51" s="3652" t="s">
        <v>3398</v>
      </c>
      <c r="AB51" s="3636" t="s">
        <v>8433</v>
      </c>
      <c r="AC51" s="3653" t="s">
        <v>416</v>
      </c>
      <c r="AD51" s="3654"/>
      <c r="AE51" s="3654"/>
      <c r="AF51" s="3654"/>
      <c r="AG51" s="959"/>
      <c r="AH51" s="959">
        <f t="shared" si="14"/>
        <v>2</v>
      </c>
      <c r="AI51" s="3636"/>
      <c r="AJ51" s="3618">
        <f t="shared" si="11"/>
        <v>2</v>
      </c>
      <c r="AK51" s="3655"/>
      <c r="AL51" s="3655"/>
      <c r="AM51" s="3655">
        <f>I51</f>
        <v>2</v>
      </c>
      <c r="AN51" s="3655"/>
      <c r="AO51" s="3655"/>
      <c r="AP51" s="3655"/>
      <c r="AQ51" s="3655" t="s">
        <v>89</v>
      </c>
      <c r="AR51" s="3655"/>
      <c r="AS51" s="3655"/>
      <c r="AT51" s="3626">
        <v>2</v>
      </c>
      <c r="AU51" s="3627">
        <f t="shared" si="1"/>
        <v>2</v>
      </c>
      <c r="AV51" s="3627">
        <f t="shared" si="6"/>
        <v>0</v>
      </c>
    </row>
    <row r="52" s="3566" customFormat="1" ht="50" customHeight="1" spans="1:48">
      <c r="A52" s="3616">
        <v>45719</v>
      </c>
      <c r="B52" s="3630" t="s">
        <v>1016</v>
      </c>
      <c r="C52" s="3628" t="s">
        <v>396</v>
      </c>
      <c r="D52" s="3629">
        <v>4500158947</v>
      </c>
      <c r="E52" s="3636" t="s">
        <v>8434</v>
      </c>
      <c r="F52" s="3629" t="s">
        <v>8435</v>
      </c>
      <c r="G52" s="3636" t="s">
        <v>8430</v>
      </c>
      <c r="H52" s="3618" t="s">
        <v>8431</v>
      </c>
      <c r="I52" s="3618">
        <v>2</v>
      </c>
      <c r="J52" s="3618">
        <v>0</v>
      </c>
      <c r="K52" s="3618">
        <v>2</v>
      </c>
      <c r="L52" s="3618">
        <f t="shared" si="7"/>
        <v>1</v>
      </c>
      <c r="M52" s="3644">
        <v>45763</v>
      </c>
      <c r="N52" s="3644">
        <v>45759</v>
      </c>
      <c r="O52" s="3621"/>
      <c r="P52" s="3636" t="s">
        <v>82</v>
      </c>
      <c r="Q52" s="3653"/>
      <c r="R52" s="3657" t="s">
        <v>974</v>
      </c>
      <c r="S52" s="3657"/>
      <c r="T52" s="3657" t="s">
        <v>98</v>
      </c>
      <c r="U52" s="3657" t="s">
        <v>1022</v>
      </c>
      <c r="V52" s="3636"/>
      <c r="W52" s="3650" t="s">
        <v>8432</v>
      </c>
      <c r="X52" s="3651" t="s">
        <v>1024</v>
      </c>
      <c r="Y52" s="3621">
        <v>10.5133</v>
      </c>
      <c r="Z52" s="3618">
        <f t="shared" si="12"/>
        <v>21.0266</v>
      </c>
      <c r="AA52" s="3652" t="s">
        <v>3398</v>
      </c>
      <c r="AB52" s="3636" t="s">
        <v>8433</v>
      </c>
      <c r="AC52" s="3653" t="s">
        <v>416</v>
      </c>
      <c r="AD52" s="3654"/>
      <c r="AE52" s="3654"/>
      <c r="AF52" s="3654"/>
      <c r="AG52" s="959"/>
      <c r="AH52" s="959">
        <f t="shared" si="14"/>
        <v>2</v>
      </c>
      <c r="AI52" s="3636"/>
      <c r="AJ52" s="3618">
        <f t="shared" si="11"/>
        <v>2</v>
      </c>
      <c r="AK52" s="3655"/>
      <c r="AL52" s="3655"/>
      <c r="AM52" s="3655">
        <f>I52</f>
        <v>2</v>
      </c>
      <c r="AN52" s="3655"/>
      <c r="AO52" s="3655"/>
      <c r="AP52" s="3655"/>
      <c r="AQ52" s="3655" t="s">
        <v>89</v>
      </c>
      <c r="AR52" s="3655"/>
      <c r="AS52" s="3655"/>
      <c r="AT52" s="3626">
        <v>2</v>
      </c>
      <c r="AU52" s="3627">
        <f t="shared" si="1"/>
        <v>2</v>
      </c>
      <c r="AV52" s="3627">
        <f t="shared" si="6"/>
        <v>0</v>
      </c>
    </row>
    <row r="53" s="3566" customFormat="1" ht="50" customHeight="1" spans="1:48">
      <c r="A53" s="3616">
        <v>45765</v>
      </c>
      <c r="B53" s="3630" t="s">
        <v>2285</v>
      </c>
      <c r="C53" s="3617" t="s">
        <v>351</v>
      </c>
      <c r="D53" s="3629">
        <v>4500163959</v>
      </c>
      <c r="E53" s="3636" t="s">
        <v>8436</v>
      </c>
      <c r="F53" s="3629" t="s">
        <v>8437</v>
      </c>
      <c r="G53" s="3636" t="s">
        <v>8290</v>
      </c>
      <c r="H53" s="3618" t="s">
        <v>8291</v>
      </c>
      <c r="I53" s="3618">
        <v>1848</v>
      </c>
      <c r="J53" s="3618">
        <v>0</v>
      </c>
      <c r="K53" s="3618">
        <v>4</v>
      </c>
      <c r="L53" s="3618">
        <f t="shared" si="7"/>
        <v>462</v>
      </c>
      <c r="M53" s="3644">
        <v>45765</v>
      </c>
      <c r="N53" s="3644">
        <v>45761</v>
      </c>
      <c r="O53" s="3636" t="s">
        <v>8438</v>
      </c>
      <c r="P53" s="3636" t="s">
        <v>82</v>
      </c>
      <c r="Q53" s="3653" t="s">
        <v>1123</v>
      </c>
      <c r="R53" s="3657" t="s">
        <v>1124</v>
      </c>
      <c r="S53" s="3640"/>
      <c r="T53" s="3657" t="s">
        <v>8439</v>
      </c>
      <c r="U53" s="3640"/>
      <c r="V53" s="3661" t="s">
        <v>8440</v>
      </c>
      <c r="W53" s="3653" t="s">
        <v>8441</v>
      </c>
      <c r="X53" s="3651" t="s">
        <v>1199</v>
      </c>
      <c r="Y53" s="3621">
        <v>10.0984</v>
      </c>
      <c r="Z53" s="3618">
        <f t="shared" si="12"/>
        <v>18661.8432</v>
      </c>
      <c r="AA53" s="3652" t="s">
        <v>8442</v>
      </c>
      <c r="AB53" s="3636" t="s">
        <v>8290</v>
      </c>
      <c r="AC53" s="3653" t="s">
        <v>416</v>
      </c>
      <c r="AD53" s="3662"/>
      <c r="AE53" s="3662"/>
      <c r="AF53" s="3662"/>
      <c r="AG53" s="959">
        <f>I53</f>
        <v>1848</v>
      </c>
      <c r="AH53" s="959"/>
      <c r="AI53" s="3636"/>
      <c r="AJ53" s="3618">
        <f t="shared" si="11"/>
        <v>1848</v>
      </c>
      <c r="AK53" s="3655"/>
      <c r="AL53" s="3655">
        <f>I53</f>
        <v>1848</v>
      </c>
      <c r="AM53" s="3655"/>
      <c r="AN53" s="3655"/>
      <c r="AO53" s="3655"/>
      <c r="AP53" s="3655"/>
      <c r="AQ53" s="3655" t="s">
        <v>89</v>
      </c>
      <c r="AR53" s="3626">
        <f>I53/3</f>
        <v>616</v>
      </c>
      <c r="AS53" s="3626">
        <f>I53/3</f>
        <v>616</v>
      </c>
      <c r="AT53" s="3626">
        <f>I53/3</f>
        <v>616</v>
      </c>
      <c r="AU53" s="3627">
        <f t="shared" si="1"/>
        <v>1848</v>
      </c>
      <c r="AV53" s="3627">
        <f t="shared" si="6"/>
        <v>0</v>
      </c>
    </row>
    <row r="54" s="3566" customFormat="1" ht="50" customHeight="1" spans="1:48">
      <c r="A54" s="3616">
        <v>45765</v>
      </c>
      <c r="B54" s="3630" t="s">
        <v>2285</v>
      </c>
      <c r="C54" s="3617" t="s">
        <v>351</v>
      </c>
      <c r="D54" s="3629">
        <v>4500163959</v>
      </c>
      <c r="E54" s="3636" t="s">
        <v>8443</v>
      </c>
      <c r="F54" s="3629" t="s">
        <v>8444</v>
      </c>
      <c r="G54" s="3636" t="s">
        <v>8290</v>
      </c>
      <c r="H54" s="3618" t="s">
        <v>8291</v>
      </c>
      <c r="I54" s="3618">
        <v>756</v>
      </c>
      <c r="J54" s="3618">
        <v>0</v>
      </c>
      <c r="K54" s="3618">
        <v>4</v>
      </c>
      <c r="L54" s="3618">
        <f t="shared" si="7"/>
        <v>189</v>
      </c>
      <c r="M54" s="3644">
        <v>45765</v>
      </c>
      <c r="N54" s="3644">
        <v>45761</v>
      </c>
      <c r="O54" s="3636" t="s">
        <v>8438</v>
      </c>
      <c r="P54" s="3636" t="s">
        <v>82</v>
      </c>
      <c r="Q54" s="3653" t="s">
        <v>1123</v>
      </c>
      <c r="R54" s="3657" t="s">
        <v>1124</v>
      </c>
      <c r="S54" s="3640"/>
      <c r="T54" s="3657" t="s">
        <v>8439</v>
      </c>
      <c r="U54" s="3640"/>
      <c r="V54" s="3661" t="s">
        <v>8440</v>
      </c>
      <c r="W54" s="3653" t="s">
        <v>8441</v>
      </c>
      <c r="X54" s="3651" t="s">
        <v>1199</v>
      </c>
      <c r="Y54" s="3621">
        <v>10.0984</v>
      </c>
      <c r="Z54" s="3618">
        <f t="shared" si="12"/>
        <v>7634.3904</v>
      </c>
      <c r="AA54" s="3652" t="s">
        <v>8442</v>
      </c>
      <c r="AB54" s="3636" t="s">
        <v>8290</v>
      </c>
      <c r="AC54" s="3653" t="s">
        <v>416</v>
      </c>
      <c r="AD54" s="3662"/>
      <c r="AE54" s="3662"/>
      <c r="AF54" s="3662"/>
      <c r="AG54" s="959">
        <f>I54</f>
        <v>756</v>
      </c>
      <c r="AH54" s="959"/>
      <c r="AI54" s="3636"/>
      <c r="AJ54" s="3618">
        <f t="shared" si="11"/>
        <v>756</v>
      </c>
      <c r="AK54" s="3655"/>
      <c r="AL54" s="3655">
        <f>I54</f>
        <v>756</v>
      </c>
      <c r="AM54" s="3655"/>
      <c r="AN54" s="3655"/>
      <c r="AO54" s="3655"/>
      <c r="AP54" s="3655"/>
      <c r="AQ54" s="3655" t="s">
        <v>89</v>
      </c>
      <c r="AR54" s="3626">
        <f>I54/3</f>
        <v>252</v>
      </c>
      <c r="AS54" s="3626">
        <f>I54/3</f>
        <v>252</v>
      </c>
      <c r="AT54" s="3626">
        <f>I54/3</f>
        <v>252</v>
      </c>
      <c r="AU54" s="3627">
        <f t="shared" si="1"/>
        <v>756</v>
      </c>
      <c r="AV54" s="3627">
        <f t="shared" si="6"/>
        <v>0</v>
      </c>
    </row>
    <row r="55" s="3566" customFormat="1" ht="50" customHeight="1" spans="1:48">
      <c r="A55" s="3616">
        <v>45705</v>
      </c>
      <c r="B55" s="3630" t="s">
        <v>561</v>
      </c>
      <c r="C55" s="3617" t="s">
        <v>562</v>
      </c>
      <c r="D55" s="3629">
        <v>4500157158</v>
      </c>
      <c r="E55" s="959"/>
      <c r="F55" s="3629" t="s">
        <v>8445</v>
      </c>
      <c r="G55" s="959" t="s">
        <v>8290</v>
      </c>
      <c r="H55" s="3618" t="s">
        <v>8291</v>
      </c>
      <c r="I55" s="3618">
        <v>400</v>
      </c>
      <c r="J55" s="3618">
        <v>0</v>
      </c>
      <c r="K55" s="3618">
        <v>4</v>
      </c>
      <c r="L55" s="3618">
        <f t="shared" si="7"/>
        <v>100</v>
      </c>
      <c r="M55" s="3619">
        <v>45775</v>
      </c>
      <c r="N55" s="3619">
        <v>45771</v>
      </c>
      <c r="O55" s="3618"/>
      <c r="P55" s="3636" t="s">
        <v>82</v>
      </c>
      <c r="Q55" s="3620" t="s">
        <v>185</v>
      </c>
      <c r="R55" s="3640" t="s">
        <v>8446</v>
      </c>
      <c r="S55" s="3640"/>
      <c r="T55" s="3640" t="s">
        <v>8447</v>
      </c>
      <c r="U55" s="3640"/>
      <c r="V55" s="959"/>
      <c r="W55" s="3638" t="s">
        <v>8448</v>
      </c>
      <c r="X55" s="3639" t="s">
        <v>459</v>
      </c>
      <c r="Y55" s="3618">
        <v>10.3528</v>
      </c>
      <c r="Z55" s="3618">
        <v>4141.12</v>
      </c>
      <c r="AA55" s="3633" t="s">
        <v>8449</v>
      </c>
      <c r="AB55" s="959" t="s">
        <v>8329</v>
      </c>
      <c r="AC55" s="3653" t="s">
        <v>416</v>
      </c>
      <c r="AD55" s="3658"/>
      <c r="AE55" s="3658"/>
      <c r="AF55" s="3658"/>
      <c r="AG55" s="959"/>
      <c r="AH55" s="959">
        <v>400</v>
      </c>
      <c r="AI55" s="959"/>
      <c r="AJ55" s="3618">
        <v>400</v>
      </c>
      <c r="AK55" s="3626"/>
      <c r="AL55" s="3626">
        <v>400</v>
      </c>
      <c r="AM55" s="3626"/>
      <c r="AN55" s="3626"/>
      <c r="AO55" s="3626"/>
      <c r="AP55" s="3626"/>
      <c r="AQ55" s="3626" t="s">
        <v>89</v>
      </c>
      <c r="AR55" s="3626">
        <v>133.333333333333</v>
      </c>
      <c r="AS55" s="3626">
        <v>133.333333333333</v>
      </c>
      <c r="AT55" s="3626">
        <v>133.333333333333</v>
      </c>
      <c r="AU55" s="3627">
        <v>400</v>
      </c>
      <c r="AV55" s="3627">
        <v>0</v>
      </c>
    </row>
    <row r="56" s="3566" customFormat="1" ht="50" customHeight="1" spans="1:48">
      <c r="A56" s="3616">
        <v>45734</v>
      </c>
      <c r="B56" s="3630" t="s">
        <v>1777</v>
      </c>
      <c r="C56" s="3663" t="s">
        <v>1151</v>
      </c>
      <c r="D56" s="3629">
        <v>4500160575</v>
      </c>
      <c r="E56" s="959" t="s">
        <v>6707</v>
      </c>
      <c r="F56" s="3629" t="s">
        <v>8450</v>
      </c>
      <c r="G56" s="959" t="s">
        <v>8290</v>
      </c>
      <c r="H56" s="3618" t="s">
        <v>8291</v>
      </c>
      <c r="I56" s="3618">
        <v>300</v>
      </c>
      <c r="J56" s="3618">
        <v>0</v>
      </c>
      <c r="K56" s="3618">
        <v>4</v>
      </c>
      <c r="L56" s="3618">
        <f t="shared" ref="L56:L119" si="15">I56/K56</f>
        <v>75</v>
      </c>
      <c r="M56" s="3619">
        <v>45777</v>
      </c>
      <c r="N56" s="3619">
        <v>45773</v>
      </c>
      <c r="O56" s="3618"/>
      <c r="P56" s="3636" t="s">
        <v>82</v>
      </c>
      <c r="Q56" s="3620" t="s">
        <v>188</v>
      </c>
      <c r="R56" s="3649" t="s">
        <v>3840</v>
      </c>
      <c r="S56" s="3649"/>
      <c r="T56" s="3649" t="s">
        <v>8451</v>
      </c>
      <c r="U56" s="3640"/>
      <c r="V56" s="3664"/>
      <c r="W56" s="3638" t="s">
        <v>8452</v>
      </c>
      <c r="X56" s="3639" t="s">
        <v>459</v>
      </c>
      <c r="Y56" s="3618">
        <v>9.8321</v>
      </c>
      <c r="Z56" s="3618">
        <f t="shared" ref="Z56:Z65" si="16">Y56*I56</f>
        <v>2949.63</v>
      </c>
      <c r="AA56" s="3633" t="s">
        <v>6711</v>
      </c>
      <c r="AB56" s="959" t="s">
        <v>8329</v>
      </c>
      <c r="AC56" s="3620" t="s">
        <v>416</v>
      </c>
      <c r="AD56" s="3665"/>
      <c r="AE56" s="3665"/>
      <c r="AF56" s="3665"/>
      <c r="AG56" s="959"/>
      <c r="AH56" s="959">
        <f>I56</f>
        <v>300</v>
      </c>
      <c r="AI56" s="959"/>
      <c r="AJ56" s="3618">
        <f t="shared" ref="AJ56:AJ119" si="17">I56</f>
        <v>300</v>
      </c>
      <c r="AK56" s="3626"/>
      <c r="AL56" s="3626">
        <f t="shared" ref="AL56:AL65" si="18">I56</f>
        <v>300</v>
      </c>
      <c r="AM56" s="3626"/>
      <c r="AN56" s="3626"/>
      <c r="AO56" s="3626"/>
      <c r="AP56" s="3655"/>
      <c r="AQ56" s="3655" t="s">
        <v>89</v>
      </c>
      <c r="AR56" s="3626">
        <f t="shared" ref="AR56:AR91" si="19">I56/3</f>
        <v>100</v>
      </c>
      <c r="AS56" s="3626">
        <f t="shared" ref="AS56:AS91" si="20">I56/3</f>
        <v>100</v>
      </c>
      <c r="AT56" s="3626">
        <f t="shared" ref="AT56:AT91" si="21">I56/3</f>
        <v>100</v>
      </c>
      <c r="AU56" s="3627">
        <f t="shared" ref="AU56:AU92" si="22">SUM(AR56:AT56)</f>
        <v>300</v>
      </c>
      <c r="AV56" s="3627">
        <f t="shared" ref="AV56:AV92" si="23">I56-AU56</f>
        <v>0</v>
      </c>
    </row>
    <row r="57" s="3566" customFormat="1" ht="50" customHeight="1" spans="1:48">
      <c r="A57" s="3616">
        <v>45730</v>
      </c>
      <c r="B57" s="3630" t="s">
        <v>1141</v>
      </c>
      <c r="C57" s="3617" t="s">
        <v>1151</v>
      </c>
      <c r="D57" s="3629">
        <v>4500160092</v>
      </c>
      <c r="E57" s="959" t="s">
        <v>1152</v>
      </c>
      <c r="F57" s="3629" t="s">
        <v>8453</v>
      </c>
      <c r="G57" s="959" t="s">
        <v>8290</v>
      </c>
      <c r="H57" s="3618" t="s">
        <v>8291</v>
      </c>
      <c r="I57" s="3618">
        <v>600</v>
      </c>
      <c r="J57" s="3618">
        <v>0</v>
      </c>
      <c r="K57" s="3618">
        <v>4</v>
      </c>
      <c r="L57" s="3618">
        <f t="shared" si="15"/>
        <v>150</v>
      </c>
      <c r="M57" s="3619">
        <v>45775</v>
      </c>
      <c r="N57" s="3659">
        <v>45783</v>
      </c>
      <c r="O57" s="3618"/>
      <c r="P57" s="3636" t="s">
        <v>82</v>
      </c>
      <c r="Q57" s="3645" t="s">
        <v>1146</v>
      </c>
      <c r="R57" s="3649" t="s">
        <v>1147</v>
      </c>
      <c r="S57" s="3649"/>
      <c r="T57" s="3649" t="s">
        <v>3534</v>
      </c>
      <c r="U57" s="3640"/>
      <c r="V57" s="3664" t="s">
        <v>1149</v>
      </c>
      <c r="W57" s="3638" t="s">
        <v>8454</v>
      </c>
      <c r="X57" s="3639" t="s">
        <v>459</v>
      </c>
      <c r="Y57" s="3618">
        <v>10.3324</v>
      </c>
      <c r="Z57" s="3618">
        <f t="shared" si="16"/>
        <v>6199.44</v>
      </c>
      <c r="AA57" s="3633"/>
      <c r="AB57" s="959" t="s">
        <v>8329</v>
      </c>
      <c r="AC57" s="3620" t="s">
        <v>416</v>
      </c>
      <c r="AD57" s="3665"/>
      <c r="AE57" s="3665"/>
      <c r="AF57" s="3665"/>
      <c r="AG57" s="959"/>
      <c r="AH57" s="959">
        <f>I57</f>
        <v>600</v>
      </c>
      <c r="AI57" s="959"/>
      <c r="AJ57" s="3618">
        <f t="shared" si="17"/>
        <v>600</v>
      </c>
      <c r="AK57" s="3626"/>
      <c r="AL57" s="3626">
        <f t="shared" si="18"/>
        <v>600</v>
      </c>
      <c r="AM57" s="3626"/>
      <c r="AN57" s="3626"/>
      <c r="AO57" s="3626"/>
      <c r="AP57" s="3655"/>
      <c r="AQ57" s="3655" t="s">
        <v>89</v>
      </c>
      <c r="AR57" s="3626">
        <f t="shared" si="19"/>
        <v>200</v>
      </c>
      <c r="AS57" s="3626">
        <f t="shared" si="20"/>
        <v>200</v>
      </c>
      <c r="AT57" s="3626">
        <f t="shared" si="21"/>
        <v>200</v>
      </c>
      <c r="AU57" s="3627">
        <f t="shared" si="22"/>
        <v>600</v>
      </c>
      <c r="AV57" s="3627">
        <f t="shared" si="23"/>
        <v>0</v>
      </c>
    </row>
    <row r="58" s="3566" customFormat="1" ht="50" customHeight="1" spans="1:48">
      <c r="A58" s="3616">
        <v>45765</v>
      </c>
      <c r="B58" s="3630" t="s">
        <v>2285</v>
      </c>
      <c r="C58" s="3617" t="s">
        <v>351</v>
      </c>
      <c r="D58" s="3629">
        <v>4500164028</v>
      </c>
      <c r="E58" s="959" t="s">
        <v>8455</v>
      </c>
      <c r="F58" s="3629" t="s">
        <v>8456</v>
      </c>
      <c r="G58" s="959" t="s">
        <v>8290</v>
      </c>
      <c r="H58" s="3618" t="s">
        <v>8291</v>
      </c>
      <c r="I58" s="3618">
        <v>544</v>
      </c>
      <c r="J58" s="3618">
        <v>0</v>
      </c>
      <c r="K58" s="3618">
        <v>4</v>
      </c>
      <c r="L58" s="3618">
        <f t="shared" si="15"/>
        <v>136</v>
      </c>
      <c r="M58" s="3619">
        <v>45792</v>
      </c>
      <c r="N58" s="3619">
        <v>45789</v>
      </c>
      <c r="O58" s="3636" t="s">
        <v>8457</v>
      </c>
      <c r="P58" s="3636" t="s">
        <v>82</v>
      </c>
      <c r="Q58" s="3620"/>
      <c r="R58" s="3657" t="s">
        <v>1124</v>
      </c>
      <c r="S58" s="3640"/>
      <c r="T58" s="3640" t="s">
        <v>8458</v>
      </c>
      <c r="U58" s="3640"/>
      <c r="V58" s="3661" t="s">
        <v>8440</v>
      </c>
      <c r="W58" s="3638" t="s">
        <v>3587</v>
      </c>
      <c r="X58" s="3639" t="s">
        <v>1199</v>
      </c>
      <c r="Y58" s="3618">
        <v>10.1186</v>
      </c>
      <c r="Z58" s="3618">
        <f t="shared" si="16"/>
        <v>5504.5184</v>
      </c>
      <c r="AA58" s="3633"/>
      <c r="AB58" s="3636" t="s">
        <v>8290</v>
      </c>
      <c r="AC58" s="3653" t="s">
        <v>416</v>
      </c>
      <c r="AD58" s="3666"/>
      <c r="AE58" s="3666"/>
      <c r="AF58" s="3666"/>
      <c r="AG58" s="959">
        <f>I58</f>
        <v>544</v>
      </c>
      <c r="AH58" s="959"/>
      <c r="AI58" s="959"/>
      <c r="AJ58" s="3618">
        <f t="shared" si="17"/>
        <v>544</v>
      </c>
      <c r="AK58" s="3626"/>
      <c r="AL58" s="3655">
        <f t="shared" si="18"/>
        <v>544</v>
      </c>
      <c r="AM58" s="3626"/>
      <c r="AN58" s="3626"/>
      <c r="AO58" s="3626"/>
      <c r="AP58" s="3655"/>
      <c r="AQ58" s="3655" t="s">
        <v>89</v>
      </c>
      <c r="AR58" s="3626">
        <f t="shared" si="19"/>
        <v>181.333333333333</v>
      </c>
      <c r="AS58" s="3626">
        <f t="shared" si="20"/>
        <v>181.333333333333</v>
      </c>
      <c r="AT58" s="3626">
        <f t="shared" si="21"/>
        <v>181.333333333333</v>
      </c>
      <c r="AU58" s="3627">
        <f t="shared" si="22"/>
        <v>544</v>
      </c>
      <c r="AV58" s="3627">
        <f t="shared" si="23"/>
        <v>0</v>
      </c>
    </row>
    <row r="59" s="3566" customFormat="1" ht="50" customHeight="1" spans="1:48">
      <c r="A59" s="3616">
        <v>45765</v>
      </c>
      <c r="B59" s="3630" t="s">
        <v>2285</v>
      </c>
      <c r="C59" s="3617" t="s">
        <v>351</v>
      </c>
      <c r="D59" s="3629">
        <v>4500164028</v>
      </c>
      <c r="E59" s="959" t="s">
        <v>8459</v>
      </c>
      <c r="F59" s="3629" t="s">
        <v>8460</v>
      </c>
      <c r="G59" s="959" t="s">
        <v>8290</v>
      </c>
      <c r="H59" s="3618" t="s">
        <v>8291</v>
      </c>
      <c r="I59" s="3618">
        <v>200</v>
      </c>
      <c r="J59" s="3618">
        <v>0</v>
      </c>
      <c r="K59" s="3618">
        <v>4</v>
      </c>
      <c r="L59" s="3618">
        <f t="shared" si="15"/>
        <v>50</v>
      </c>
      <c r="M59" s="3619">
        <v>45792</v>
      </c>
      <c r="N59" s="3619">
        <v>45789</v>
      </c>
      <c r="O59" s="3636" t="s">
        <v>8457</v>
      </c>
      <c r="P59" s="3636" t="s">
        <v>82</v>
      </c>
      <c r="Q59" s="3620" t="s">
        <v>1175</v>
      </c>
      <c r="R59" s="3657" t="s">
        <v>1124</v>
      </c>
      <c r="S59" s="3640"/>
      <c r="T59" s="3640" t="s">
        <v>8458</v>
      </c>
      <c r="U59" s="3640"/>
      <c r="V59" s="3661" t="s">
        <v>8440</v>
      </c>
      <c r="W59" s="3638" t="s">
        <v>3587</v>
      </c>
      <c r="X59" s="3639" t="s">
        <v>1199</v>
      </c>
      <c r="Y59" s="3618">
        <v>10.1186</v>
      </c>
      <c r="Z59" s="3618">
        <f t="shared" si="16"/>
        <v>2023.72</v>
      </c>
      <c r="AA59" s="3633"/>
      <c r="AB59" s="3636" t="s">
        <v>8290</v>
      </c>
      <c r="AC59" s="3653" t="s">
        <v>416</v>
      </c>
      <c r="AD59" s="3666"/>
      <c r="AE59" s="3666"/>
      <c r="AF59" s="3666"/>
      <c r="AG59" s="959">
        <f>I59</f>
        <v>200</v>
      </c>
      <c r="AH59" s="959"/>
      <c r="AI59" s="959"/>
      <c r="AJ59" s="3618">
        <f t="shared" si="17"/>
        <v>200</v>
      </c>
      <c r="AK59" s="3626"/>
      <c r="AL59" s="3655">
        <f t="shared" si="18"/>
        <v>200</v>
      </c>
      <c r="AM59" s="3626"/>
      <c r="AN59" s="3626"/>
      <c r="AO59" s="3626"/>
      <c r="AP59" s="3655"/>
      <c r="AQ59" s="3655" t="s">
        <v>89</v>
      </c>
      <c r="AR59" s="3626">
        <f t="shared" si="19"/>
        <v>66.6666666666667</v>
      </c>
      <c r="AS59" s="3626">
        <f t="shared" si="20"/>
        <v>66.6666666666667</v>
      </c>
      <c r="AT59" s="3626">
        <f t="shared" si="21"/>
        <v>66.6666666666667</v>
      </c>
      <c r="AU59" s="3627">
        <f t="shared" si="22"/>
        <v>200</v>
      </c>
      <c r="AV59" s="3627">
        <f t="shared" si="23"/>
        <v>0</v>
      </c>
    </row>
    <row r="60" s="3566" customFormat="1" ht="50" customHeight="1" spans="1:48">
      <c r="A60" s="3616">
        <v>45734</v>
      </c>
      <c r="B60" s="3630" t="s">
        <v>3608</v>
      </c>
      <c r="C60" s="3663" t="s">
        <v>738</v>
      </c>
      <c r="D60" s="3629">
        <v>4500160573</v>
      </c>
      <c r="E60" s="959">
        <v>5251215535</v>
      </c>
      <c r="F60" s="3629" t="s">
        <v>8461</v>
      </c>
      <c r="G60" s="959" t="s">
        <v>8290</v>
      </c>
      <c r="H60" s="3618" t="s">
        <v>8291</v>
      </c>
      <c r="I60" s="3618">
        <v>1600</v>
      </c>
      <c r="J60" s="3618">
        <v>0</v>
      </c>
      <c r="K60" s="3618">
        <v>4</v>
      </c>
      <c r="L60" s="3618">
        <f t="shared" si="15"/>
        <v>400</v>
      </c>
      <c r="M60" s="3619">
        <v>45798</v>
      </c>
      <c r="N60" s="3619">
        <v>45794</v>
      </c>
      <c r="O60" s="3618"/>
      <c r="P60" s="959" t="s">
        <v>82</v>
      </c>
      <c r="Q60" s="3620" t="s">
        <v>1208</v>
      </c>
      <c r="R60" s="3657" t="s">
        <v>3610</v>
      </c>
      <c r="S60" s="3649"/>
      <c r="T60" s="3649" t="s">
        <v>8462</v>
      </c>
      <c r="U60" s="3640"/>
      <c r="V60" s="3664" t="s">
        <v>8463</v>
      </c>
      <c r="W60" s="3638" t="s">
        <v>8464</v>
      </c>
      <c r="X60" s="3639" t="s">
        <v>1257</v>
      </c>
      <c r="Y60" s="3618">
        <v>10.3324</v>
      </c>
      <c r="Z60" s="3618">
        <f t="shared" si="16"/>
        <v>16531.84</v>
      </c>
      <c r="AA60" s="3633"/>
      <c r="AB60" s="959" t="s">
        <v>8329</v>
      </c>
      <c r="AC60" s="3620" t="s">
        <v>416</v>
      </c>
      <c r="AD60" s="3667"/>
      <c r="AE60" s="3667"/>
      <c r="AF60" s="3667"/>
      <c r="AG60" s="959"/>
      <c r="AH60" s="959">
        <f>I60</f>
        <v>1600</v>
      </c>
      <c r="AI60" s="959"/>
      <c r="AJ60" s="3618">
        <f t="shared" si="17"/>
        <v>1600</v>
      </c>
      <c r="AK60" s="3626"/>
      <c r="AL60" s="3626">
        <f t="shared" si="18"/>
        <v>1600</v>
      </c>
      <c r="AM60" s="3626"/>
      <c r="AN60" s="3626"/>
      <c r="AO60" s="3626"/>
      <c r="AP60" s="3655"/>
      <c r="AQ60" s="3655" t="s">
        <v>89</v>
      </c>
      <c r="AR60" s="3626">
        <f t="shared" si="19"/>
        <v>533.333333333333</v>
      </c>
      <c r="AS60" s="3626">
        <f t="shared" si="20"/>
        <v>533.333333333333</v>
      </c>
      <c r="AT60" s="3626">
        <f t="shared" si="21"/>
        <v>533.333333333333</v>
      </c>
      <c r="AU60" s="3627">
        <f t="shared" si="22"/>
        <v>1600</v>
      </c>
      <c r="AV60" s="3627">
        <f t="shared" si="23"/>
        <v>0</v>
      </c>
    </row>
    <row r="61" s="3566" customFormat="1" ht="50" customHeight="1" spans="1:48">
      <c r="A61" s="3616">
        <v>45741</v>
      </c>
      <c r="B61" s="3630" t="s">
        <v>3416</v>
      </c>
      <c r="C61" s="3628" t="s">
        <v>3417</v>
      </c>
      <c r="D61" s="3629">
        <v>4500161302</v>
      </c>
      <c r="E61" s="959">
        <v>4407181237</v>
      </c>
      <c r="F61" s="3629" t="s">
        <v>8465</v>
      </c>
      <c r="G61" s="959" t="s">
        <v>8290</v>
      </c>
      <c r="H61" s="3618" t="s">
        <v>8291</v>
      </c>
      <c r="I61" s="3618">
        <v>144</v>
      </c>
      <c r="J61" s="3618">
        <v>0</v>
      </c>
      <c r="K61" s="3618">
        <v>4</v>
      </c>
      <c r="L61" s="3618">
        <f t="shared" si="15"/>
        <v>36</v>
      </c>
      <c r="M61" s="3619">
        <v>45799</v>
      </c>
      <c r="N61" s="3619">
        <v>45796</v>
      </c>
      <c r="O61" s="3618"/>
      <c r="P61" s="959" t="s">
        <v>82</v>
      </c>
      <c r="Q61" s="3620" t="s">
        <v>281</v>
      </c>
      <c r="R61" s="3649" t="s">
        <v>8466</v>
      </c>
      <c r="S61" s="3644"/>
      <c r="T61" s="3644" t="s">
        <v>8467</v>
      </c>
      <c r="U61" s="3621"/>
      <c r="V61" s="959"/>
      <c r="W61" s="3638" t="s">
        <v>8468</v>
      </c>
      <c r="X61" s="3639" t="s">
        <v>1257</v>
      </c>
      <c r="Y61" s="3618">
        <v>10.1386</v>
      </c>
      <c r="Z61" s="3618">
        <f t="shared" si="16"/>
        <v>1459.9584</v>
      </c>
      <c r="AA61" s="3633"/>
      <c r="AB61" s="959" t="s">
        <v>8329</v>
      </c>
      <c r="AC61" s="3653" t="s">
        <v>416</v>
      </c>
      <c r="AD61" s="3667"/>
      <c r="AE61" s="3667"/>
      <c r="AF61" s="3667"/>
      <c r="AG61" s="959"/>
      <c r="AH61" s="959">
        <f>I61</f>
        <v>144</v>
      </c>
      <c r="AI61" s="959"/>
      <c r="AJ61" s="3618">
        <f t="shared" si="17"/>
        <v>144</v>
      </c>
      <c r="AK61" s="959"/>
      <c r="AL61" s="3655">
        <f t="shared" si="18"/>
        <v>144</v>
      </c>
      <c r="AM61" s="959"/>
      <c r="AN61" s="959"/>
      <c r="AO61" s="3668"/>
      <c r="AP61" s="3669"/>
      <c r="AQ61" s="3655" t="s">
        <v>89</v>
      </c>
      <c r="AR61" s="3626">
        <f t="shared" si="19"/>
        <v>48</v>
      </c>
      <c r="AS61" s="3626">
        <f t="shared" si="20"/>
        <v>48</v>
      </c>
      <c r="AT61" s="3626">
        <f t="shared" si="21"/>
        <v>48</v>
      </c>
      <c r="AU61" s="3627">
        <f t="shared" si="22"/>
        <v>144</v>
      </c>
      <c r="AV61" s="3627">
        <f t="shared" si="23"/>
        <v>0</v>
      </c>
    </row>
    <row r="62" s="3566" customFormat="1" ht="50" customHeight="1" spans="1:48">
      <c r="A62" s="3616">
        <v>45741</v>
      </c>
      <c r="B62" s="3630" t="s">
        <v>3423</v>
      </c>
      <c r="C62" s="3628" t="s">
        <v>1332</v>
      </c>
      <c r="D62" s="3629">
        <v>4500161306</v>
      </c>
      <c r="E62" s="3670">
        <v>8807181239</v>
      </c>
      <c r="F62" s="3629" t="s">
        <v>8469</v>
      </c>
      <c r="G62" s="959" t="s">
        <v>8290</v>
      </c>
      <c r="H62" s="3618" t="s">
        <v>8291</v>
      </c>
      <c r="I62" s="3618">
        <v>192</v>
      </c>
      <c r="J62" s="3618">
        <v>0</v>
      </c>
      <c r="K62" s="3618">
        <v>4</v>
      </c>
      <c r="L62" s="3618">
        <f t="shared" si="15"/>
        <v>48</v>
      </c>
      <c r="M62" s="3619">
        <v>45799</v>
      </c>
      <c r="N62" s="3619">
        <v>45796</v>
      </c>
      <c r="O62" s="3618"/>
      <c r="P62" s="959" t="s">
        <v>82</v>
      </c>
      <c r="Q62" s="3620" t="s">
        <v>2412</v>
      </c>
      <c r="R62" s="3649" t="s">
        <v>8466</v>
      </c>
      <c r="S62" s="3644"/>
      <c r="T62" s="3644" t="s">
        <v>8467</v>
      </c>
      <c r="U62" s="3621"/>
      <c r="V62" s="959"/>
      <c r="W62" s="3638" t="s">
        <v>8470</v>
      </c>
      <c r="X62" s="3639" t="s">
        <v>1257</v>
      </c>
      <c r="Y62" s="3618">
        <v>10.1386</v>
      </c>
      <c r="Z62" s="3618">
        <f t="shared" si="16"/>
        <v>1946.6112</v>
      </c>
      <c r="AA62" s="3633"/>
      <c r="AB62" s="959" t="s">
        <v>8329</v>
      </c>
      <c r="AC62" s="3653" t="s">
        <v>416</v>
      </c>
      <c r="AD62" s="3667"/>
      <c r="AE62" s="3667"/>
      <c r="AF62" s="3667"/>
      <c r="AG62" s="959"/>
      <c r="AH62" s="959">
        <f>I62</f>
        <v>192</v>
      </c>
      <c r="AI62" s="959"/>
      <c r="AJ62" s="3618">
        <f t="shared" si="17"/>
        <v>192</v>
      </c>
      <c r="AK62" s="959"/>
      <c r="AL62" s="3655">
        <f t="shared" si="18"/>
        <v>192</v>
      </c>
      <c r="AM62" s="959"/>
      <c r="AN62" s="959"/>
      <c r="AO62" s="3668"/>
      <c r="AP62" s="3669"/>
      <c r="AQ62" s="3655" t="s">
        <v>89</v>
      </c>
      <c r="AR62" s="3626">
        <f t="shared" si="19"/>
        <v>64</v>
      </c>
      <c r="AS62" s="3626">
        <f t="shared" si="20"/>
        <v>64</v>
      </c>
      <c r="AT62" s="3626">
        <f t="shared" si="21"/>
        <v>64</v>
      </c>
      <c r="AU62" s="3627">
        <f t="shared" si="22"/>
        <v>192</v>
      </c>
      <c r="AV62" s="3627">
        <f t="shared" si="23"/>
        <v>0</v>
      </c>
    </row>
    <row r="63" s="3566" customFormat="1" ht="50" customHeight="1" spans="1:48">
      <c r="A63" s="3616">
        <v>45729</v>
      </c>
      <c r="B63" s="3630" t="s">
        <v>3631</v>
      </c>
      <c r="C63" s="3628" t="s">
        <v>2410</v>
      </c>
      <c r="D63" s="3629">
        <v>4500159898</v>
      </c>
      <c r="E63" s="3636"/>
      <c r="F63" s="3629" t="s">
        <v>8471</v>
      </c>
      <c r="G63" s="3636" t="s">
        <v>8290</v>
      </c>
      <c r="H63" s="3618" t="s">
        <v>8291</v>
      </c>
      <c r="I63" s="3618">
        <v>500</v>
      </c>
      <c r="J63" s="3618">
        <v>0</v>
      </c>
      <c r="K63" s="3618">
        <v>4</v>
      </c>
      <c r="L63" s="3618">
        <f t="shared" si="15"/>
        <v>125</v>
      </c>
      <c r="M63" s="3644">
        <v>45800</v>
      </c>
      <c r="N63" s="3659">
        <v>45796</v>
      </c>
      <c r="O63" s="3636"/>
      <c r="P63" s="959" t="s">
        <v>82</v>
      </c>
      <c r="Q63" s="3645" t="s">
        <v>3633</v>
      </c>
      <c r="R63" s="3657" t="s">
        <v>1124</v>
      </c>
      <c r="S63" s="3657"/>
      <c r="T63" s="3649" t="s">
        <v>3634</v>
      </c>
      <c r="U63" s="3657"/>
      <c r="V63" s="3636"/>
      <c r="W63" s="3650" t="s">
        <v>8472</v>
      </c>
      <c r="X63" s="3651" t="s">
        <v>1326</v>
      </c>
      <c r="Y63" s="3621">
        <v>10.3998</v>
      </c>
      <c r="Z63" s="3618">
        <f t="shared" si="16"/>
        <v>5199.9</v>
      </c>
      <c r="AA63" s="3652"/>
      <c r="AB63" s="3636" t="s">
        <v>8290</v>
      </c>
      <c r="AC63" s="3653" t="s">
        <v>416</v>
      </c>
      <c r="AD63" s="3654"/>
      <c r="AE63" s="3654"/>
      <c r="AF63" s="3654"/>
      <c r="AG63" s="959">
        <f>I63</f>
        <v>500</v>
      </c>
      <c r="AH63" s="959"/>
      <c r="AI63" s="3636"/>
      <c r="AJ63" s="3618">
        <f t="shared" si="17"/>
        <v>500</v>
      </c>
      <c r="AK63" s="3655"/>
      <c r="AL63" s="3655">
        <f t="shared" si="18"/>
        <v>500</v>
      </c>
      <c r="AM63" s="3655"/>
      <c r="AN63" s="3655"/>
      <c r="AO63" s="3655"/>
      <c r="AP63" s="3655"/>
      <c r="AQ63" s="3655" t="s">
        <v>89</v>
      </c>
      <c r="AR63" s="3626">
        <f t="shared" si="19"/>
        <v>166.666666666667</v>
      </c>
      <c r="AS63" s="3626">
        <f t="shared" si="20"/>
        <v>166.666666666667</v>
      </c>
      <c r="AT63" s="3626">
        <f t="shared" si="21"/>
        <v>166.666666666667</v>
      </c>
      <c r="AU63" s="3627">
        <f t="shared" si="22"/>
        <v>500</v>
      </c>
      <c r="AV63" s="3627">
        <f t="shared" si="23"/>
        <v>0</v>
      </c>
    </row>
    <row r="64" s="3566" customFormat="1" ht="50" customHeight="1" spans="1:48">
      <c r="A64" s="3616">
        <v>45749</v>
      </c>
      <c r="B64" s="3630" t="s">
        <v>1206</v>
      </c>
      <c r="C64" s="3617" t="s">
        <v>351</v>
      </c>
      <c r="D64" s="3629">
        <v>4500162283</v>
      </c>
      <c r="E64" s="959"/>
      <c r="F64" s="3629" t="s">
        <v>8473</v>
      </c>
      <c r="G64" s="959" t="s">
        <v>8290</v>
      </c>
      <c r="H64" s="3618" t="s">
        <v>8291</v>
      </c>
      <c r="I64" s="3618">
        <v>252</v>
      </c>
      <c r="J64" s="3618">
        <v>0</v>
      </c>
      <c r="K64" s="3618">
        <v>4</v>
      </c>
      <c r="L64" s="3618">
        <f t="shared" si="15"/>
        <v>63</v>
      </c>
      <c r="M64" s="3619">
        <v>45803</v>
      </c>
      <c r="N64" s="3619">
        <v>45799</v>
      </c>
      <c r="O64" s="3618"/>
      <c r="P64" s="959" t="s">
        <v>82</v>
      </c>
      <c r="Q64" s="3620" t="s">
        <v>1208</v>
      </c>
      <c r="R64" s="3649" t="s">
        <v>1209</v>
      </c>
      <c r="S64" s="3644"/>
      <c r="T64" s="3644" t="s">
        <v>1210</v>
      </c>
      <c r="U64" s="3621"/>
      <c r="V64" s="959" t="s">
        <v>8474</v>
      </c>
      <c r="W64" s="3638" t="s">
        <v>8475</v>
      </c>
      <c r="X64" s="3639" t="s">
        <v>1199</v>
      </c>
      <c r="Y64" s="3618">
        <v>9.6286</v>
      </c>
      <c r="Z64" s="3618">
        <f t="shared" si="16"/>
        <v>2426.4072</v>
      </c>
      <c r="AA64" s="3633"/>
      <c r="AB64" s="959" t="s">
        <v>8290</v>
      </c>
      <c r="AC64" s="3653" t="s">
        <v>416</v>
      </c>
      <c r="AD64" s="3671"/>
      <c r="AE64" s="3671"/>
      <c r="AF64" s="3671"/>
      <c r="AG64" s="959">
        <f>I64</f>
        <v>252</v>
      </c>
      <c r="AH64" s="959"/>
      <c r="AI64" s="3655"/>
      <c r="AJ64" s="3618">
        <f t="shared" si="17"/>
        <v>252</v>
      </c>
      <c r="AK64" s="3668"/>
      <c r="AL64" s="3669">
        <f t="shared" si="18"/>
        <v>252</v>
      </c>
      <c r="AM64" s="3655"/>
      <c r="AN64" s="3655"/>
      <c r="AO64" s="3626"/>
      <c r="AP64" s="3655"/>
      <c r="AQ64" s="3655" t="s">
        <v>89</v>
      </c>
      <c r="AR64" s="3626">
        <f t="shared" si="19"/>
        <v>84</v>
      </c>
      <c r="AS64" s="3626">
        <f t="shared" si="20"/>
        <v>84</v>
      </c>
      <c r="AT64" s="3626">
        <f t="shared" si="21"/>
        <v>84</v>
      </c>
      <c r="AU64" s="3627">
        <f t="shared" si="22"/>
        <v>252</v>
      </c>
      <c r="AV64" s="3627">
        <f t="shared" si="23"/>
        <v>0</v>
      </c>
    </row>
    <row r="65" s="3566" customFormat="1" ht="50" customHeight="1" spans="1:48">
      <c r="A65" s="3616">
        <v>45763</v>
      </c>
      <c r="B65" s="3630" t="s">
        <v>6840</v>
      </c>
      <c r="C65" s="3617" t="s">
        <v>396</v>
      </c>
      <c r="D65" s="3629">
        <v>4500163912</v>
      </c>
      <c r="E65" s="959" t="s">
        <v>6841</v>
      </c>
      <c r="F65" s="3629" t="s">
        <v>8476</v>
      </c>
      <c r="G65" s="959" t="s">
        <v>8477</v>
      </c>
      <c r="H65" s="3618" t="s">
        <v>8291</v>
      </c>
      <c r="I65" s="3618">
        <v>1100</v>
      </c>
      <c r="J65" s="3618">
        <v>0</v>
      </c>
      <c r="K65" s="3618">
        <v>4</v>
      </c>
      <c r="L65" s="3618">
        <f t="shared" si="15"/>
        <v>275</v>
      </c>
      <c r="M65" s="3619">
        <v>45807</v>
      </c>
      <c r="N65" s="3619">
        <v>45803</v>
      </c>
      <c r="O65" s="3618"/>
      <c r="P65" s="959" t="s">
        <v>82</v>
      </c>
      <c r="Q65" s="3620" t="s">
        <v>194</v>
      </c>
      <c r="R65" s="3649" t="s">
        <v>1196</v>
      </c>
      <c r="S65" s="3644"/>
      <c r="T65" s="3644" t="s">
        <v>6843</v>
      </c>
      <c r="U65" s="3621"/>
      <c r="V65" s="959"/>
      <c r="W65" s="3638" t="s">
        <v>8478</v>
      </c>
      <c r="X65" s="3639" t="s">
        <v>405</v>
      </c>
      <c r="Y65" s="3618">
        <v>9.8117</v>
      </c>
      <c r="Z65" s="3618">
        <f t="shared" si="16"/>
        <v>10792.87</v>
      </c>
      <c r="AA65" s="3633"/>
      <c r="AB65" s="3672" t="s">
        <v>8479</v>
      </c>
      <c r="AC65" s="3653" t="s">
        <v>416</v>
      </c>
      <c r="AD65" s="3671"/>
      <c r="AE65" s="3671"/>
      <c r="AF65" s="3671"/>
      <c r="AG65" s="959"/>
      <c r="AH65" s="959">
        <f>I65</f>
        <v>1100</v>
      </c>
      <c r="AI65" s="3655"/>
      <c r="AJ65" s="3618">
        <f t="shared" si="17"/>
        <v>1100</v>
      </c>
      <c r="AK65" s="3668"/>
      <c r="AL65" s="3669"/>
      <c r="AM65" s="3655">
        <f>I65</f>
        <v>1100</v>
      </c>
      <c r="AN65" s="3655"/>
      <c r="AO65" s="3626"/>
      <c r="AP65" s="3655"/>
      <c r="AQ65" s="3655" t="s">
        <v>89</v>
      </c>
      <c r="AR65" s="3626">
        <f t="shared" si="19"/>
        <v>366.666666666667</v>
      </c>
      <c r="AS65" s="3626">
        <f t="shared" si="20"/>
        <v>366.666666666667</v>
      </c>
      <c r="AT65" s="3626">
        <f t="shared" si="21"/>
        <v>366.666666666667</v>
      </c>
      <c r="AU65" s="3627">
        <f t="shared" si="22"/>
        <v>1100</v>
      </c>
      <c r="AV65" s="3627">
        <f t="shared" si="23"/>
        <v>0</v>
      </c>
    </row>
    <row r="66" s="3566" customFormat="1" ht="50" customHeight="1" spans="1:48">
      <c r="A66" s="3616">
        <v>45768</v>
      </c>
      <c r="B66" s="3630"/>
      <c r="C66" s="3617"/>
      <c r="D66" s="3629" t="s">
        <v>8480</v>
      </c>
      <c r="E66" s="3636"/>
      <c r="F66" s="3629"/>
      <c r="G66" s="3636" t="s">
        <v>8290</v>
      </c>
      <c r="H66" s="3618" t="s">
        <v>8291</v>
      </c>
      <c r="I66" s="3618">
        <v>240</v>
      </c>
      <c r="J66" s="3618">
        <v>0</v>
      </c>
      <c r="K66" s="3618">
        <v>4</v>
      </c>
      <c r="L66" s="3618">
        <f t="shared" si="15"/>
        <v>60</v>
      </c>
      <c r="M66" s="3644">
        <v>45777</v>
      </c>
      <c r="N66" s="3644">
        <v>45773</v>
      </c>
      <c r="O66" s="3621"/>
      <c r="P66" s="959" t="s">
        <v>82</v>
      </c>
      <c r="Q66" s="3653"/>
      <c r="R66" s="3657" t="s">
        <v>335</v>
      </c>
      <c r="S66" s="3640"/>
      <c r="T66" s="3640" t="s">
        <v>98</v>
      </c>
      <c r="U66" s="3640"/>
      <c r="V66" s="3661"/>
      <c r="W66" s="3650" t="s">
        <v>8481</v>
      </c>
      <c r="X66" s="3651" t="s">
        <v>792</v>
      </c>
      <c r="Y66" s="3621"/>
      <c r="Z66" s="3618"/>
      <c r="AA66" s="3652"/>
      <c r="AB66" s="959" t="s">
        <v>8290</v>
      </c>
      <c r="AC66" s="3653" t="s">
        <v>416</v>
      </c>
      <c r="AD66" s="3673"/>
      <c r="AE66" s="3673"/>
      <c r="AF66" s="3673"/>
      <c r="AG66" s="959">
        <f>I66</f>
        <v>240</v>
      </c>
      <c r="AH66" s="959"/>
      <c r="AI66" s="3636"/>
      <c r="AJ66" s="3618">
        <f t="shared" si="17"/>
        <v>240</v>
      </c>
      <c r="AK66" s="3655"/>
      <c r="AL66" s="3655">
        <f>I66</f>
        <v>240</v>
      </c>
      <c r="AM66" s="3655"/>
      <c r="AN66" s="3655"/>
      <c r="AO66" s="3655"/>
      <c r="AP66" s="3655"/>
      <c r="AQ66" s="3655" t="s">
        <v>89</v>
      </c>
      <c r="AR66" s="3626">
        <f t="shared" si="19"/>
        <v>80</v>
      </c>
      <c r="AS66" s="3626">
        <f t="shared" si="20"/>
        <v>80</v>
      </c>
      <c r="AT66" s="3626">
        <f t="shared" si="21"/>
        <v>80</v>
      </c>
      <c r="AU66" s="3627">
        <f t="shared" si="22"/>
        <v>240</v>
      </c>
      <c r="AV66" s="3627">
        <f t="shared" si="23"/>
        <v>0</v>
      </c>
    </row>
    <row r="67" s="3566" customFormat="1" ht="50" customHeight="1" spans="1:48">
      <c r="A67" s="3616">
        <v>45755</v>
      </c>
      <c r="B67" s="3630" t="s">
        <v>331</v>
      </c>
      <c r="C67" s="3617" t="s">
        <v>793</v>
      </c>
      <c r="D67" s="3629">
        <v>4500162935</v>
      </c>
      <c r="E67" s="959" t="s">
        <v>8482</v>
      </c>
      <c r="F67" s="3629" t="s">
        <v>8483</v>
      </c>
      <c r="G67" s="959" t="s">
        <v>8484</v>
      </c>
      <c r="H67" s="3618" t="s">
        <v>8291</v>
      </c>
      <c r="I67" s="3618">
        <v>924</v>
      </c>
      <c r="J67" s="3618">
        <v>0</v>
      </c>
      <c r="K67" s="3618">
        <v>1</v>
      </c>
      <c r="L67" s="3618">
        <f t="shared" si="15"/>
        <v>924</v>
      </c>
      <c r="M67" s="3619">
        <v>45810</v>
      </c>
      <c r="N67" s="3619">
        <f>M67-4</f>
        <v>45806</v>
      </c>
      <c r="O67" s="3618"/>
      <c r="P67" s="959" t="s">
        <v>82</v>
      </c>
      <c r="Q67" s="3620" t="s">
        <v>191</v>
      </c>
      <c r="R67" s="3649" t="s">
        <v>1249</v>
      </c>
      <c r="S67" s="3644"/>
      <c r="T67" s="3644" t="s">
        <v>8485</v>
      </c>
      <c r="U67" s="3621"/>
      <c r="V67" s="959"/>
      <c r="W67" s="3638" t="s">
        <v>8486</v>
      </c>
      <c r="X67" s="3639" t="s">
        <v>2382</v>
      </c>
      <c r="Y67" s="3618">
        <v>9.7447</v>
      </c>
      <c r="Z67" s="3618">
        <f t="shared" ref="Z67:Z81" si="24">Y67*I67</f>
        <v>9004.1028</v>
      </c>
      <c r="AA67" s="3633"/>
      <c r="AB67" s="959" t="s">
        <v>8484</v>
      </c>
      <c r="AC67" s="3620" t="s">
        <v>416</v>
      </c>
      <c r="AD67" s="3671"/>
      <c r="AE67" s="3671"/>
      <c r="AF67" s="3671"/>
      <c r="AG67" s="959">
        <f>I67</f>
        <v>924</v>
      </c>
      <c r="AH67" s="959"/>
      <c r="AI67" s="3655"/>
      <c r="AJ67" s="3618">
        <f t="shared" si="17"/>
        <v>924</v>
      </c>
      <c r="AK67" s="3668"/>
      <c r="AL67" s="3669">
        <f>I67</f>
        <v>924</v>
      </c>
      <c r="AM67" s="3655"/>
      <c r="AN67" s="3655"/>
      <c r="AO67" s="3626"/>
      <c r="AP67" s="3655"/>
      <c r="AQ67" s="3655" t="s">
        <v>89</v>
      </c>
      <c r="AR67" s="3626">
        <f t="shared" si="19"/>
        <v>308</v>
      </c>
      <c r="AS67" s="3626">
        <f t="shared" si="20"/>
        <v>308</v>
      </c>
      <c r="AT67" s="3626">
        <f t="shared" si="21"/>
        <v>308</v>
      </c>
      <c r="AU67" s="3627">
        <f t="shared" si="22"/>
        <v>924</v>
      </c>
      <c r="AV67" s="3627">
        <f t="shared" si="23"/>
        <v>0</v>
      </c>
    </row>
    <row r="68" s="3566" customFormat="1" ht="50" customHeight="1" spans="1:48">
      <c r="A68" s="3616">
        <v>45755</v>
      </c>
      <c r="B68" s="3630" t="s">
        <v>331</v>
      </c>
      <c r="C68" s="3617" t="s">
        <v>793</v>
      </c>
      <c r="D68" s="3629">
        <v>4500162935</v>
      </c>
      <c r="E68" s="959" t="s">
        <v>8482</v>
      </c>
      <c r="F68" s="3629" t="s">
        <v>8487</v>
      </c>
      <c r="G68" s="959" t="s">
        <v>8484</v>
      </c>
      <c r="H68" s="3618" t="s">
        <v>8291</v>
      </c>
      <c r="I68" s="3618">
        <v>284</v>
      </c>
      <c r="J68" s="3618">
        <v>0</v>
      </c>
      <c r="K68" s="3618">
        <v>1</v>
      </c>
      <c r="L68" s="3618">
        <f t="shared" si="15"/>
        <v>284</v>
      </c>
      <c r="M68" s="3619">
        <v>45810</v>
      </c>
      <c r="N68" s="3619">
        <f>M68-4</f>
        <v>45806</v>
      </c>
      <c r="O68" s="3618"/>
      <c r="P68" s="959" t="s">
        <v>82</v>
      </c>
      <c r="Q68" s="3620" t="s">
        <v>191</v>
      </c>
      <c r="R68" s="3649" t="s">
        <v>1249</v>
      </c>
      <c r="S68" s="3644"/>
      <c r="T68" s="3644" t="s">
        <v>8485</v>
      </c>
      <c r="U68" s="3621"/>
      <c r="V68" s="959"/>
      <c r="W68" s="3638" t="s">
        <v>8486</v>
      </c>
      <c r="X68" s="3639" t="s">
        <v>2382</v>
      </c>
      <c r="Y68" s="3618">
        <v>9.7447</v>
      </c>
      <c r="Z68" s="3618">
        <f t="shared" si="24"/>
        <v>2767.4948</v>
      </c>
      <c r="AA68" s="3633"/>
      <c r="AB68" s="959" t="s">
        <v>8484</v>
      </c>
      <c r="AC68" s="3620" t="s">
        <v>416</v>
      </c>
      <c r="AD68" s="3671"/>
      <c r="AE68" s="3671"/>
      <c r="AF68" s="3671"/>
      <c r="AG68" s="959">
        <f>I68</f>
        <v>284</v>
      </c>
      <c r="AH68" s="959"/>
      <c r="AI68" s="3655"/>
      <c r="AJ68" s="3618">
        <f t="shared" si="17"/>
        <v>284</v>
      </c>
      <c r="AK68" s="3668"/>
      <c r="AL68" s="3669">
        <f>I68</f>
        <v>284</v>
      </c>
      <c r="AM68" s="3655"/>
      <c r="AN68" s="3655"/>
      <c r="AO68" s="3626"/>
      <c r="AP68" s="3655"/>
      <c r="AQ68" s="3655" t="s">
        <v>89</v>
      </c>
      <c r="AR68" s="3626">
        <f t="shared" si="19"/>
        <v>94.6666666666667</v>
      </c>
      <c r="AS68" s="3626">
        <f t="shared" si="20"/>
        <v>94.6666666666667</v>
      </c>
      <c r="AT68" s="3626">
        <f t="shared" si="21"/>
        <v>94.6666666666667</v>
      </c>
      <c r="AU68" s="3627">
        <f t="shared" si="22"/>
        <v>284</v>
      </c>
      <c r="AV68" s="3627">
        <f t="shared" si="23"/>
        <v>0</v>
      </c>
    </row>
    <row r="69" s="3566" customFormat="1" ht="50" customHeight="1" spans="1:48">
      <c r="A69" s="3616">
        <v>45776</v>
      </c>
      <c r="B69" s="3630" t="s">
        <v>2697</v>
      </c>
      <c r="C69" s="3617" t="s">
        <v>2698</v>
      </c>
      <c r="D69" s="3629">
        <v>4500165404</v>
      </c>
      <c r="E69" s="959"/>
      <c r="F69" s="3629" t="s">
        <v>8488</v>
      </c>
      <c r="G69" s="959" t="s">
        <v>8477</v>
      </c>
      <c r="H69" s="3618" t="s">
        <v>8291</v>
      </c>
      <c r="I69" s="3618">
        <v>2100</v>
      </c>
      <c r="J69" s="3618">
        <v>0</v>
      </c>
      <c r="K69" s="3618">
        <v>4</v>
      </c>
      <c r="L69" s="3618">
        <f t="shared" si="15"/>
        <v>525</v>
      </c>
      <c r="M69" s="3619">
        <v>45813</v>
      </c>
      <c r="N69" s="3619">
        <v>45810</v>
      </c>
      <c r="O69" s="3618"/>
      <c r="P69" s="959" t="s">
        <v>82</v>
      </c>
      <c r="Q69" s="3620" t="s">
        <v>3739</v>
      </c>
      <c r="R69" s="3649" t="s">
        <v>3725</v>
      </c>
      <c r="S69" s="3644"/>
      <c r="T69" s="3644" t="s">
        <v>8489</v>
      </c>
      <c r="U69" s="3621"/>
      <c r="V69" s="959" t="s">
        <v>8490</v>
      </c>
      <c r="W69" s="3638" t="s">
        <v>8491</v>
      </c>
      <c r="X69" s="3639" t="s">
        <v>559</v>
      </c>
      <c r="Y69" s="3618">
        <v>10.3118</v>
      </c>
      <c r="Z69" s="3618">
        <f t="shared" si="24"/>
        <v>21654.78</v>
      </c>
      <c r="AA69" s="3633"/>
      <c r="AB69" s="3672" t="s">
        <v>8477</v>
      </c>
      <c r="AC69" s="3653" t="s">
        <v>416</v>
      </c>
      <c r="AD69" s="3671"/>
      <c r="AE69" s="3671"/>
      <c r="AF69" s="3671"/>
      <c r="AG69" s="3618">
        <f>I69</f>
        <v>2100</v>
      </c>
      <c r="AH69" s="959"/>
      <c r="AI69" s="3655"/>
      <c r="AJ69" s="3618">
        <f t="shared" si="17"/>
        <v>2100</v>
      </c>
      <c r="AK69" s="3668"/>
      <c r="AL69" s="3669"/>
      <c r="AM69" s="3655">
        <f>I69</f>
        <v>2100</v>
      </c>
      <c r="AN69" s="3655"/>
      <c r="AO69" s="3626"/>
      <c r="AP69" s="3655"/>
      <c r="AQ69" s="3655" t="s">
        <v>89</v>
      </c>
      <c r="AR69" s="3626">
        <f t="shared" si="19"/>
        <v>700</v>
      </c>
      <c r="AS69" s="3626">
        <f t="shared" si="20"/>
        <v>700</v>
      </c>
      <c r="AT69" s="3626">
        <f t="shared" si="21"/>
        <v>700</v>
      </c>
      <c r="AU69" s="3627">
        <f t="shared" si="22"/>
        <v>2100</v>
      </c>
      <c r="AV69" s="3627">
        <f t="shared" si="23"/>
        <v>0</v>
      </c>
    </row>
    <row r="70" s="3566" customFormat="1" ht="50" customHeight="1" spans="1:48">
      <c r="A70" s="3616">
        <v>45775</v>
      </c>
      <c r="B70" s="3630" t="s">
        <v>8492</v>
      </c>
      <c r="C70" s="3617" t="s">
        <v>6225</v>
      </c>
      <c r="D70" s="3629">
        <v>4500160445</v>
      </c>
      <c r="E70" s="959">
        <v>300565966</v>
      </c>
      <c r="F70" s="3629" t="s">
        <v>8493</v>
      </c>
      <c r="G70" s="959" t="s">
        <v>8477</v>
      </c>
      <c r="H70" s="3618" t="s">
        <v>8291</v>
      </c>
      <c r="I70" s="3618">
        <v>240</v>
      </c>
      <c r="J70" s="3618">
        <v>0</v>
      </c>
      <c r="K70" s="3618">
        <v>4</v>
      </c>
      <c r="L70" s="3618">
        <f t="shared" si="15"/>
        <v>60</v>
      </c>
      <c r="M70" s="3619">
        <v>45817</v>
      </c>
      <c r="N70" s="3619">
        <v>45813</v>
      </c>
      <c r="O70" s="3618"/>
      <c r="P70" s="959" t="s">
        <v>82</v>
      </c>
      <c r="Q70" s="3620" t="s">
        <v>8494</v>
      </c>
      <c r="R70" s="3649" t="s">
        <v>3734</v>
      </c>
      <c r="S70" s="3644"/>
      <c r="T70" s="3644" t="s">
        <v>8495</v>
      </c>
      <c r="U70" s="3621"/>
      <c r="V70" s="959"/>
      <c r="W70" s="3638" t="s">
        <v>8496</v>
      </c>
      <c r="X70" s="3639" t="s">
        <v>1631</v>
      </c>
      <c r="Y70" s="3618">
        <v>10.3528</v>
      </c>
      <c r="Z70" s="3618">
        <f t="shared" si="24"/>
        <v>2484.672</v>
      </c>
      <c r="AA70" s="3633"/>
      <c r="AB70" s="3672" t="s">
        <v>8479</v>
      </c>
      <c r="AC70" s="3653" t="s">
        <v>416</v>
      </c>
      <c r="AD70" s="3671"/>
      <c r="AE70" s="3671"/>
      <c r="AF70" s="3671"/>
      <c r="AG70" s="3618"/>
      <c r="AH70" s="959">
        <f>I70</f>
        <v>240</v>
      </c>
      <c r="AI70" s="3655"/>
      <c r="AJ70" s="3618">
        <f t="shared" si="17"/>
        <v>240</v>
      </c>
      <c r="AK70" s="3668"/>
      <c r="AL70" s="3669"/>
      <c r="AM70" s="3655">
        <f>I70</f>
        <v>240</v>
      </c>
      <c r="AN70" s="3655"/>
      <c r="AO70" s="3626"/>
      <c r="AP70" s="3655"/>
      <c r="AQ70" s="3655" t="s">
        <v>89</v>
      </c>
      <c r="AR70" s="3626">
        <f t="shared" si="19"/>
        <v>80</v>
      </c>
      <c r="AS70" s="3626">
        <f t="shared" si="20"/>
        <v>80</v>
      </c>
      <c r="AT70" s="3626">
        <f t="shared" si="21"/>
        <v>80</v>
      </c>
      <c r="AU70" s="3627">
        <f t="shared" si="22"/>
        <v>240</v>
      </c>
      <c r="AV70" s="3627">
        <f t="shared" si="23"/>
        <v>0</v>
      </c>
    </row>
    <row r="71" s="3566" customFormat="1" ht="50" customHeight="1" spans="1:48">
      <c r="A71" s="3616">
        <v>45775</v>
      </c>
      <c r="B71" s="3630" t="s">
        <v>8497</v>
      </c>
      <c r="C71" s="3628" t="s">
        <v>396</v>
      </c>
      <c r="D71" s="3629">
        <v>4500165230</v>
      </c>
      <c r="E71" s="5458" t="s">
        <v>8498</v>
      </c>
      <c r="F71" s="3629" t="s">
        <v>8499</v>
      </c>
      <c r="G71" s="959" t="s">
        <v>8477</v>
      </c>
      <c r="H71" s="3618" t="s">
        <v>8291</v>
      </c>
      <c r="I71" s="3618">
        <v>2148</v>
      </c>
      <c r="J71" s="3618">
        <v>0</v>
      </c>
      <c r="K71" s="3618">
        <v>4</v>
      </c>
      <c r="L71" s="3618">
        <f t="shared" si="15"/>
        <v>537</v>
      </c>
      <c r="M71" s="3619">
        <v>45819</v>
      </c>
      <c r="N71" s="3619">
        <f>M71-4</f>
        <v>45815</v>
      </c>
      <c r="O71" s="3618"/>
      <c r="P71" s="959" t="s">
        <v>82</v>
      </c>
      <c r="Q71" s="3620" t="s">
        <v>191</v>
      </c>
      <c r="R71" s="3649" t="s">
        <v>3917</v>
      </c>
      <c r="S71" s="3644"/>
      <c r="T71" s="3644" t="s">
        <v>8500</v>
      </c>
      <c r="U71" s="3621"/>
      <c r="V71" s="3661"/>
      <c r="W71" s="3638" t="s">
        <v>8501</v>
      </c>
      <c r="X71" s="3639" t="s">
        <v>405</v>
      </c>
      <c r="Y71" s="3618">
        <v>9.7911</v>
      </c>
      <c r="Z71" s="3618">
        <f t="shared" si="24"/>
        <v>21031.2828</v>
      </c>
      <c r="AA71" s="3633"/>
      <c r="AB71" s="3672" t="s">
        <v>8479</v>
      </c>
      <c r="AC71" s="3653" t="s">
        <v>416</v>
      </c>
      <c r="AD71" s="967"/>
      <c r="AE71" s="967"/>
      <c r="AF71" s="967"/>
      <c r="AG71" s="3618"/>
      <c r="AH71" s="959">
        <f>I71</f>
        <v>2148</v>
      </c>
      <c r="AI71" s="3636"/>
      <c r="AJ71" s="3618">
        <f t="shared" si="17"/>
        <v>2148</v>
      </c>
      <c r="AK71" s="959"/>
      <c r="AL71" s="3655"/>
      <c r="AM71" s="3636">
        <f>I71</f>
        <v>2148</v>
      </c>
      <c r="AN71" s="3636"/>
      <c r="AO71" s="3668"/>
      <c r="AP71" s="3669"/>
      <c r="AQ71" s="3655" t="s">
        <v>89</v>
      </c>
      <c r="AR71" s="3626">
        <f t="shared" si="19"/>
        <v>716</v>
      </c>
      <c r="AS71" s="3626">
        <f t="shared" si="20"/>
        <v>716</v>
      </c>
      <c r="AT71" s="3626">
        <f t="shared" si="21"/>
        <v>716</v>
      </c>
      <c r="AU71" s="3627">
        <f t="shared" si="22"/>
        <v>2148</v>
      </c>
      <c r="AV71" s="3627">
        <f t="shared" si="23"/>
        <v>0</v>
      </c>
    </row>
    <row r="72" s="3566" customFormat="1" ht="50" customHeight="1" spans="1:48">
      <c r="A72" s="3616">
        <v>45771</v>
      </c>
      <c r="B72" s="3630" t="s">
        <v>6506</v>
      </c>
      <c r="C72" s="3617" t="s">
        <v>738</v>
      </c>
      <c r="D72" s="3629">
        <v>4500164861</v>
      </c>
      <c r="E72" s="959">
        <v>50212500921</v>
      </c>
      <c r="F72" s="3629" t="s">
        <v>8502</v>
      </c>
      <c r="G72" s="959" t="s">
        <v>8290</v>
      </c>
      <c r="H72" s="3618" t="s">
        <v>8291</v>
      </c>
      <c r="I72" s="3618">
        <v>808</v>
      </c>
      <c r="J72" s="3618">
        <v>0</v>
      </c>
      <c r="K72" s="3618">
        <v>4</v>
      </c>
      <c r="L72" s="3618">
        <f t="shared" si="15"/>
        <v>202</v>
      </c>
      <c r="M72" s="3619">
        <v>45813</v>
      </c>
      <c r="N72" s="3619">
        <v>45817</v>
      </c>
      <c r="O72" s="3618"/>
      <c r="P72" s="959" t="s">
        <v>82</v>
      </c>
      <c r="Q72" s="3620" t="s">
        <v>3633</v>
      </c>
      <c r="R72" s="3649" t="s">
        <v>6855</v>
      </c>
      <c r="S72" s="3644"/>
      <c r="T72" s="3644" t="s">
        <v>8503</v>
      </c>
      <c r="U72" s="3621"/>
      <c r="V72" s="959"/>
      <c r="W72" s="3638" t="s">
        <v>8504</v>
      </c>
      <c r="X72" s="3639" t="s">
        <v>459</v>
      </c>
      <c r="Y72" s="3618">
        <v>10.1186</v>
      </c>
      <c r="Z72" s="3618">
        <f t="shared" si="24"/>
        <v>8175.8288</v>
      </c>
      <c r="AA72" s="3633"/>
      <c r="AB72" s="959" t="s">
        <v>8329</v>
      </c>
      <c r="AC72" s="3653" t="s">
        <v>416</v>
      </c>
      <c r="AD72" s="959"/>
      <c r="AE72" s="959"/>
      <c r="AF72" s="959"/>
      <c r="AG72" s="3618"/>
      <c r="AH72" s="959">
        <f>I72</f>
        <v>808</v>
      </c>
      <c r="AI72" s="3655"/>
      <c r="AJ72" s="3618">
        <f t="shared" si="17"/>
        <v>808</v>
      </c>
      <c r="AK72" s="3668"/>
      <c r="AL72" s="3669">
        <f t="shared" ref="AL72:AL93" si="25">I72</f>
        <v>808</v>
      </c>
      <c r="AM72" s="3655"/>
      <c r="AN72" s="3655"/>
      <c r="AO72" s="3626"/>
      <c r="AP72" s="3655"/>
      <c r="AQ72" s="3655" t="s">
        <v>89</v>
      </c>
      <c r="AR72" s="3626">
        <f t="shared" si="19"/>
        <v>269.333333333333</v>
      </c>
      <c r="AS72" s="3626">
        <f t="shared" si="20"/>
        <v>269.333333333333</v>
      </c>
      <c r="AT72" s="3626">
        <f t="shared" si="21"/>
        <v>269.333333333333</v>
      </c>
      <c r="AU72" s="3627">
        <f t="shared" si="22"/>
        <v>808</v>
      </c>
      <c r="AV72" s="3627">
        <f t="shared" si="23"/>
        <v>0</v>
      </c>
    </row>
    <row r="73" s="3566" customFormat="1" ht="50" customHeight="1" spans="1:48">
      <c r="A73" s="3616">
        <v>45735</v>
      </c>
      <c r="B73" s="3630" t="s">
        <v>6907</v>
      </c>
      <c r="C73" s="3617" t="s">
        <v>91</v>
      </c>
      <c r="D73" s="3629">
        <v>4500160726</v>
      </c>
      <c r="E73" s="959" t="s">
        <v>8505</v>
      </c>
      <c r="F73" s="3629" t="s">
        <v>8506</v>
      </c>
      <c r="G73" s="959" t="s">
        <v>8290</v>
      </c>
      <c r="H73" s="3618" t="s">
        <v>8291</v>
      </c>
      <c r="I73" s="3618">
        <v>532</v>
      </c>
      <c r="J73" s="3618">
        <v>0</v>
      </c>
      <c r="K73" s="3618">
        <v>4</v>
      </c>
      <c r="L73" s="3618">
        <f t="shared" si="15"/>
        <v>133</v>
      </c>
      <c r="M73" s="3619">
        <v>45818</v>
      </c>
      <c r="N73" s="3659">
        <v>45814</v>
      </c>
      <c r="O73" s="3618"/>
      <c r="P73" s="959" t="s">
        <v>82</v>
      </c>
      <c r="Q73" s="3620" t="s">
        <v>191</v>
      </c>
      <c r="R73" s="3649" t="s">
        <v>5968</v>
      </c>
      <c r="S73" s="3640"/>
      <c r="T73" s="3640" t="s">
        <v>98</v>
      </c>
      <c r="U73" s="3640"/>
      <c r="V73" s="3664"/>
      <c r="W73" s="3638" t="s">
        <v>6910</v>
      </c>
      <c r="X73" s="3639" t="s">
        <v>6911</v>
      </c>
      <c r="Y73" s="3618">
        <v>10.3324</v>
      </c>
      <c r="Z73" s="3618">
        <f t="shared" si="24"/>
        <v>5496.8368</v>
      </c>
      <c r="AA73" s="3633" t="s">
        <v>8507</v>
      </c>
      <c r="AB73" s="3636" t="s">
        <v>8290</v>
      </c>
      <c r="AC73" s="3620" t="s">
        <v>416</v>
      </c>
      <c r="AD73" s="3674"/>
      <c r="AE73" s="3674"/>
      <c r="AF73" s="3674"/>
      <c r="AG73" s="959">
        <f>I73</f>
        <v>532</v>
      </c>
      <c r="AH73" s="959"/>
      <c r="AI73" s="959"/>
      <c r="AJ73" s="3618">
        <f t="shared" si="17"/>
        <v>532</v>
      </c>
      <c r="AK73" s="3626"/>
      <c r="AL73" s="3626">
        <f t="shared" si="25"/>
        <v>532</v>
      </c>
      <c r="AM73" s="3626"/>
      <c r="AN73" s="3626"/>
      <c r="AO73" s="3626"/>
      <c r="AP73" s="3655"/>
      <c r="AQ73" s="3655" t="s">
        <v>89</v>
      </c>
      <c r="AR73" s="3626">
        <f t="shared" si="19"/>
        <v>177.333333333333</v>
      </c>
      <c r="AS73" s="3626">
        <f t="shared" si="20"/>
        <v>177.333333333333</v>
      </c>
      <c r="AT73" s="3626">
        <f t="shared" si="21"/>
        <v>177.333333333333</v>
      </c>
      <c r="AU73" s="3627">
        <f t="shared" si="22"/>
        <v>532</v>
      </c>
      <c r="AV73" s="3627">
        <f t="shared" si="23"/>
        <v>0</v>
      </c>
    </row>
    <row r="74" s="3566" customFormat="1" ht="50" customHeight="1" spans="1:48">
      <c r="A74" s="3675">
        <v>45789</v>
      </c>
      <c r="B74" s="3630" t="s">
        <v>6945</v>
      </c>
      <c r="C74" s="3628" t="s">
        <v>1385</v>
      </c>
      <c r="D74" s="3676">
        <v>4500165851</v>
      </c>
      <c r="E74" s="959" t="s">
        <v>3906</v>
      </c>
      <c r="F74" s="3676" t="s">
        <v>8508</v>
      </c>
      <c r="G74" s="3677" t="s">
        <v>8290</v>
      </c>
      <c r="H74" s="3618" t="s">
        <v>8291</v>
      </c>
      <c r="I74" s="3618">
        <v>232</v>
      </c>
      <c r="J74" s="3618">
        <v>0</v>
      </c>
      <c r="K74" s="3618">
        <v>4</v>
      </c>
      <c r="L74" s="3618">
        <f t="shared" si="15"/>
        <v>58</v>
      </c>
      <c r="M74" s="3619">
        <v>45828</v>
      </c>
      <c r="N74" s="3619">
        <v>45824</v>
      </c>
      <c r="O74" s="3618"/>
      <c r="P74" s="959" t="s">
        <v>82</v>
      </c>
      <c r="Q74" s="3645" t="s">
        <v>3908</v>
      </c>
      <c r="R74" s="3649" t="s">
        <v>3909</v>
      </c>
      <c r="S74" s="3644"/>
      <c r="T74" s="3657" t="s">
        <v>3910</v>
      </c>
      <c r="U74" s="3621"/>
      <c r="V74" s="3661"/>
      <c r="W74" s="3620" t="s">
        <v>3911</v>
      </c>
      <c r="X74" s="3678" t="s">
        <v>1389</v>
      </c>
      <c r="Y74" s="3618">
        <v>10.1386</v>
      </c>
      <c r="Z74" s="3618">
        <f t="shared" si="24"/>
        <v>2352.1552</v>
      </c>
      <c r="AA74" s="3633"/>
      <c r="AB74" s="959" t="s">
        <v>8290</v>
      </c>
      <c r="AC74" s="3653" t="s">
        <v>416</v>
      </c>
      <c r="AD74" s="3674"/>
      <c r="AE74" s="3674"/>
      <c r="AF74" s="3674"/>
      <c r="AG74" s="3618">
        <f>I74</f>
        <v>232</v>
      </c>
      <c r="AH74" s="959"/>
      <c r="AI74" s="3636"/>
      <c r="AJ74" s="3618">
        <f t="shared" si="17"/>
        <v>232</v>
      </c>
      <c r="AK74" s="959"/>
      <c r="AL74" s="3655">
        <f t="shared" si="25"/>
        <v>232</v>
      </c>
      <c r="AM74" s="3636"/>
      <c r="AN74" s="3636"/>
      <c r="AO74" s="3668"/>
      <c r="AP74" s="3669"/>
      <c r="AQ74" s="3655" t="s">
        <v>89</v>
      </c>
      <c r="AR74" s="3626">
        <f t="shared" si="19"/>
        <v>77.3333333333333</v>
      </c>
      <c r="AS74" s="3626">
        <f t="shared" si="20"/>
        <v>77.3333333333333</v>
      </c>
      <c r="AT74" s="3626">
        <f t="shared" si="21"/>
        <v>77.3333333333333</v>
      </c>
      <c r="AU74" s="3627">
        <f t="shared" si="22"/>
        <v>232</v>
      </c>
      <c r="AV74" s="3627">
        <f t="shared" si="23"/>
        <v>0</v>
      </c>
    </row>
    <row r="75" s="3566" customFormat="1" ht="50" customHeight="1" spans="1:48">
      <c r="A75" s="3616">
        <v>45793</v>
      </c>
      <c r="B75" s="3630" t="s">
        <v>885</v>
      </c>
      <c r="C75" s="3628" t="s">
        <v>886</v>
      </c>
      <c r="D75" s="3679">
        <v>4500166758</v>
      </c>
      <c r="E75" s="959" t="s">
        <v>8509</v>
      </c>
      <c r="F75" s="3679" t="s">
        <v>8510</v>
      </c>
      <c r="G75" s="3677" t="s">
        <v>8290</v>
      </c>
      <c r="H75" s="3618" t="s">
        <v>8291</v>
      </c>
      <c r="I75" s="3618">
        <v>252</v>
      </c>
      <c r="J75" s="3618">
        <v>0</v>
      </c>
      <c r="K75" s="3618">
        <v>4</v>
      </c>
      <c r="L75" s="3618">
        <f t="shared" si="15"/>
        <v>63</v>
      </c>
      <c r="M75" s="3619">
        <v>45828</v>
      </c>
      <c r="N75" s="3619">
        <v>45824</v>
      </c>
      <c r="O75" s="3618"/>
      <c r="P75" s="959" t="s">
        <v>82</v>
      </c>
      <c r="Q75" s="3620" t="s">
        <v>3839</v>
      </c>
      <c r="R75" s="3649" t="s">
        <v>1336</v>
      </c>
      <c r="S75" s="3644"/>
      <c r="T75" s="3649" t="s">
        <v>98</v>
      </c>
      <c r="U75" s="3621"/>
      <c r="V75" s="3661"/>
      <c r="W75" s="3620" t="s">
        <v>8511</v>
      </c>
      <c r="X75" s="3678" t="s">
        <v>892</v>
      </c>
      <c r="Y75" s="3618">
        <v>10.3286</v>
      </c>
      <c r="Z75" s="3618">
        <f t="shared" si="24"/>
        <v>2602.8072</v>
      </c>
      <c r="AA75" s="3633"/>
      <c r="AB75" s="3636" t="s">
        <v>8290</v>
      </c>
      <c r="AC75" s="3653" t="s">
        <v>416</v>
      </c>
      <c r="AD75" s="3674"/>
      <c r="AE75" s="3674"/>
      <c r="AF75" s="3674"/>
      <c r="AG75" s="3618">
        <f>I75</f>
        <v>252</v>
      </c>
      <c r="AH75" s="959"/>
      <c r="AI75" s="3636"/>
      <c r="AJ75" s="3618">
        <f t="shared" si="17"/>
        <v>252</v>
      </c>
      <c r="AK75" s="959"/>
      <c r="AL75" s="3655">
        <f t="shared" si="25"/>
        <v>252</v>
      </c>
      <c r="AM75" s="3636"/>
      <c r="AN75" s="3636"/>
      <c r="AO75" s="3668"/>
      <c r="AP75" s="3669"/>
      <c r="AQ75" s="3655" t="s">
        <v>89</v>
      </c>
      <c r="AR75" s="3626">
        <f t="shared" si="19"/>
        <v>84</v>
      </c>
      <c r="AS75" s="3626">
        <f t="shared" si="20"/>
        <v>84</v>
      </c>
      <c r="AT75" s="3626">
        <f t="shared" si="21"/>
        <v>84</v>
      </c>
      <c r="AU75" s="3627">
        <f t="shared" si="22"/>
        <v>252</v>
      </c>
      <c r="AV75" s="3627">
        <f t="shared" si="23"/>
        <v>0</v>
      </c>
    </row>
    <row r="76" s="3566" customFormat="1" ht="50" customHeight="1" spans="1:48">
      <c r="A76" s="3616">
        <v>45796</v>
      </c>
      <c r="B76" s="3630" t="s">
        <v>5160</v>
      </c>
      <c r="C76" s="3628" t="s">
        <v>3913</v>
      </c>
      <c r="D76" s="3679">
        <v>4500166838</v>
      </c>
      <c r="E76" s="959" t="s">
        <v>6949</v>
      </c>
      <c r="F76" s="3679" t="s">
        <v>8512</v>
      </c>
      <c r="G76" s="3677" t="s">
        <v>8290</v>
      </c>
      <c r="H76" s="3618" t="s">
        <v>8291</v>
      </c>
      <c r="I76" s="3618">
        <v>360</v>
      </c>
      <c r="J76" s="3618">
        <v>0</v>
      </c>
      <c r="K76" s="3618">
        <v>4</v>
      </c>
      <c r="L76" s="3618">
        <f t="shared" si="15"/>
        <v>90</v>
      </c>
      <c r="M76" s="3619">
        <v>45828</v>
      </c>
      <c r="N76" s="3619">
        <v>45824</v>
      </c>
      <c r="O76" s="3618"/>
      <c r="P76" s="959" t="s">
        <v>82</v>
      </c>
      <c r="Q76" s="3620" t="s">
        <v>1335</v>
      </c>
      <c r="R76" s="3657" t="s">
        <v>229</v>
      </c>
      <c r="S76" s="3644"/>
      <c r="T76" s="3657" t="s">
        <v>6951</v>
      </c>
      <c r="U76" s="3621"/>
      <c r="V76" s="3661"/>
      <c r="W76" s="3620" t="s">
        <v>8513</v>
      </c>
      <c r="X76" s="3678" t="s">
        <v>892</v>
      </c>
      <c r="Y76" s="3618">
        <v>9.6286</v>
      </c>
      <c r="Z76" s="3618">
        <f t="shared" si="24"/>
        <v>3466.296</v>
      </c>
      <c r="AA76" s="3633"/>
      <c r="AB76" s="3636" t="s">
        <v>8290</v>
      </c>
      <c r="AC76" s="3653" t="s">
        <v>416</v>
      </c>
      <c r="AD76" s="3674"/>
      <c r="AE76" s="3674"/>
      <c r="AF76" s="3674"/>
      <c r="AG76" s="3618">
        <f>I76</f>
        <v>360</v>
      </c>
      <c r="AH76" s="959"/>
      <c r="AI76" s="3636"/>
      <c r="AJ76" s="3618">
        <f t="shared" si="17"/>
        <v>360</v>
      </c>
      <c r="AK76" s="959"/>
      <c r="AL76" s="3655">
        <f t="shared" si="25"/>
        <v>360</v>
      </c>
      <c r="AM76" s="3636"/>
      <c r="AN76" s="3636"/>
      <c r="AO76" s="3668"/>
      <c r="AP76" s="3669"/>
      <c r="AQ76" s="3655" t="s">
        <v>89</v>
      </c>
      <c r="AR76" s="3626">
        <f t="shared" si="19"/>
        <v>120</v>
      </c>
      <c r="AS76" s="3626">
        <f t="shared" si="20"/>
        <v>120</v>
      </c>
      <c r="AT76" s="3626">
        <f t="shared" si="21"/>
        <v>120</v>
      </c>
      <c r="AU76" s="3627">
        <f t="shared" si="22"/>
        <v>360</v>
      </c>
      <c r="AV76" s="3627">
        <f t="shared" si="23"/>
        <v>0</v>
      </c>
    </row>
    <row r="77" s="3566" customFormat="1" ht="50" customHeight="1" spans="1:48">
      <c r="A77" s="3616">
        <v>45798</v>
      </c>
      <c r="B77" s="3630" t="s">
        <v>1331</v>
      </c>
      <c r="C77" s="3628" t="s">
        <v>1332</v>
      </c>
      <c r="D77" s="3629">
        <v>4500167152</v>
      </c>
      <c r="E77" s="959" t="s">
        <v>4262</v>
      </c>
      <c r="F77" s="3629" t="s">
        <v>8514</v>
      </c>
      <c r="G77" s="959" t="s">
        <v>8290</v>
      </c>
      <c r="H77" s="3618" t="s">
        <v>8291</v>
      </c>
      <c r="I77" s="3618">
        <v>180</v>
      </c>
      <c r="J77" s="3618">
        <v>0</v>
      </c>
      <c r="K77" s="3618">
        <v>4</v>
      </c>
      <c r="L77" s="3618">
        <f t="shared" si="15"/>
        <v>45</v>
      </c>
      <c r="M77" s="3619">
        <v>45831</v>
      </c>
      <c r="N77" s="3619">
        <v>45827</v>
      </c>
      <c r="O77" s="3631" t="s">
        <v>8515</v>
      </c>
      <c r="P77" s="959" t="s">
        <v>82</v>
      </c>
      <c r="Q77" s="3620" t="s">
        <v>1335</v>
      </c>
      <c r="R77" s="3649" t="s">
        <v>4084</v>
      </c>
      <c r="S77" s="3644"/>
      <c r="T77" s="3644" t="s">
        <v>4265</v>
      </c>
      <c r="U77" s="3621"/>
      <c r="V77" s="959"/>
      <c r="W77" s="3638" t="s">
        <v>8516</v>
      </c>
      <c r="X77" s="3639" t="s">
        <v>459</v>
      </c>
      <c r="Y77" s="3618">
        <v>10.1386</v>
      </c>
      <c r="Z77" s="3618">
        <f t="shared" si="24"/>
        <v>1824.948</v>
      </c>
      <c r="AA77" s="3633"/>
      <c r="AB77" s="959" t="s">
        <v>8329</v>
      </c>
      <c r="AC77" s="3653" t="s">
        <v>416</v>
      </c>
      <c r="AD77" s="3620"/>
      <c r="AE77" s="3620"/>
      <c r="AF77" s="3620"/>
      <c r="AG77" s="959"/>
      <c r="AH77" s="959">
        <f>I77</f>
        <v>180</v>
      </c>
      <c r="AI77" s="959"/>
      <c r="AJ77" s="3618">
        <f t="shared" si="17"/>
        <v>180</v>
      </c>
      <c r="AK77" s="959"/>
      <c r="AL77" s="3655">
        <f t="shared" si="25"/>
        <v>180</v>
      </c>
      <c r="AM77" s="959"/>
      <c r="AN77" s="959"/>
      <c r="AO77" s="3668"/>
      <c r="AP77" s="3669"/>
      <c r="AQ77" s="3655" t="s">
        <v>89</v>
      </c>
      <c r="AR77" s="3626">
        <f t="shared" si="19"/>
        <v>60</v>
      </c>
      <c r="AS77" s="3626">
        <f t="shared" si="20"/>
        <v>60</v>
      </c>
      <c r="AT77" s="3626">
        <f t="shared" si="21"/>
        <v>60</v>
      </c>
      <c r="AU77" s="3627">
        <f t="shared" si="22"/>
        <v>180</v>
      </c>
      <c r="AV77" s="3627">
        <f t="shared" si="23"/>
        <v>0</v>
      </c>
    </row>
    <row r="78" s="3566" customFormat="1" ht="50" customHeight="1" spans="1:48">
      <c r="A78" s="3616">
        <v>45797</v>
      </c>
      <c r="B78" s="3630" t="s">
        <v>1331</v>
      </c>
      <c r="C78" s="3628" t="s">
        <v>1332</v>
      </c>
      <c r="D78" s="3629">
        <v>4500167152</v>
      </c>
      <c r="E78" s="959" t="s">
        <v>1333</v>
      </c>
      <c r="F78" s="3629" t="s">
        <v>8517</v>
      </c>
      <c r="G78" s="959" t="s">
        <v>8290</v>
      </c>
      <c r="H78" s="3618" t="s">
        <v>8291</v>
      </c>
      <c r="I78" s="3618">
        <v>180</v>
      </c>
      <c r="J78" s="3618">
        <v>0</v>
      </c>
      <c r="K78" s="3618">
        <v>4</v>
      </c>
      <c r="L78" s="3618">
        <f t="shared" si="15"/>
        <v>45</v>
      </c>
      <c r="M78" s="3619">
        <v>45831</v>
      </c>
      <c r="N78" s="3619">
        <v>45827</v>
      </c>
      <c r="O78" s="3618"/>
      <c r="P78" s="959" t="s">
        <v>82</v>
      </c>
      <c r="Q78" s="3620" t="s">
        <v>1335</v>
      </c>
      <c r="R78" s="3649" t="s">
        <v>1336</v>
      </c>
      <c r="S78" s="3649"/>
      <c r="T78" s="3649" t="s">
        <v>1337</v>
      </c>
      <c r="U78" s="3621"/>
      <c r="V78" s="3664"/>
      <c r="W78" s="3638" t="s">
        <v>8518</v>
      </c>
      <c r="X78" s="3639" t="s">
        <v>459</v>
      </c>
      <c r="Y78" s="3618">
        <v>10.1386</v>
      </c>
      <c r="Z78" s="3618">
        <f t="shared" si="24"/>
        <v>1824.948</v>
      </c>
      <c r="AA78" s="3633"/>
      <c r="AB78" s="959" t="s">
        <v>8329</v>
      </c>
      <c r="AC78" s="3653" t="s">
        <v>416</v>
      </c>
      <c r="AD78" s="3620"/>
      <c r="AE78" s="3620"/>
      <c r="AF78" s="3620"/>
      <c r="AG78" s="3618"/>
      <c r="AH78" s="959">
        <f>I78</f>
        <v>180</v>
      </c>
      <c r="AI78" s="959"/>
      <c r="AJ78" s="3618">
        <f t="shared" si="17"/>
        <v>180</v>
      </c>
      <c r="AK78" s="959"/>
      <c r="AL78" s="3655">
        <f t="shared" si="25"/>
        <v>180</v>
      </c>
      <c r="AM78" s="959"/>
      <c r="AN78" s="959"/>
      <c r="AO78" s="3668"/>
      <c r="AP78" s="3669"/>
      <c r="AQ78" s="3655" t="s">
        <v>89</v>
      </c>
      <c r="AR78" s="3626">
        <f t="shared" si="19"/>
        <v>60</v>
      </c>
      <c r="AS78" s="3626">
        <f t="shared" si="20"/>
        <v>60</v>
      </c>
      <c r="AT78" s="3626">
        <f t="shared" si="21"/>
        <v>60</v>
      </c>
      <c r="AU78" s="3627">
        <f t="shared" si="22"/>
        <v>180</v>
      </c>
      <c r="AV78" s="3627">
        <f t="shared" si="23"/>
        <v>0</v>
      </c>
    </row>
    <row r="79" s="3566" customFormat="1" ht="50" customHeight="1" spans="1:48">
      <c r="A79" s="3616">
        <v>45615</v>
      </c>
      <c r="B79" s="3630" t="s">
        <v>387</v>
      </c>
      <c r="C79" s="3617" t="s">
        <v>91</v>
      </c>
      <c r="D79" s="3629">
        <v>4500151563</v>
      </c>
      <c r="E79" s="959">
        <v>70054078</v>
      </c>
      <c r="F79" s="3629" t="s">
        <v>8519</v>
      </c>
      <c r="G79" s="959" t="s">
        <v>8290</v>
      </c>
      <c r="H79" s="3618" t="s">
        <v>8291</v>
      </c>
      <c r="I79" s="3618">
        <v>300</v>
      </c>
      <c r="J79" s="3618">
        <v>0</v>
      </c>
      <c r="K79" s="3618">
        <v>4</v>
      </c>
      <c r="L79" s="3618">
        <f t="shared" si="15"/>
        <v>75</v>
      </c>
      <c r="M79" s="3619">
        <v>45841</v>
      </c>
      <c r="N79" s="3619">
        <v>45838</v>
      </c>
      <c r="O79" s="3618" t="s">
        <v>4848</v>
      </c>
      <c r="P79" s="959" t="s">
        <v>82</v>
      </c>
      <c r="Q79" s="3620" t="s">
        <v>1418</v>
      </c>
      <c r="R79" s="3640" t="s">
        <v>390</v>
      </c>
      <c r="S79" s="3640"/>
      <c r="T79" s="3640" t="s">
        <v>98</v>
      </c>
      <c r="U79" s="3640"/>
      <c r="V79" s="959"/>
      <c r="W79" s="3638" t="s">
        <v>1531</v>
      </c>
      <c r="X79" s="3639" t="s">
        <v>393</v>
      </c>
      <c r="Y79" s="3618">
        <v>9.8321</v>
      </c>
      <c r="Z79" s="3618">
        <f t="shared" si="24"/>
        <v>2949.63</v>
      </c>
      <c r="AA79" s="3633"/>
      <c r="AB79" s="959" t="s">
        <v>8290</v>
      </c>
      <c r="AC79" s="3620" t="s">
        <v>416</v>
      </c>
      <c r="AD79" s="3680"/>
      <c r="AE79" s="3680"/>
      <c r="AF79" s="3680"/>
      <c r="AG79" s="959">
        <f>I79</f>
        <v>300</v>
      </c>
      <c r="AH79" s="959"/>
      <c r="AI79" s="959"/>
      <c r="AJ79" s="3618">
        <f t="shared" si="17"/>
        <v>300</v>
      </c>
      <c r="AK79" s="3626"/>
      <c r="AL79" s="3626">
        <f t="shared" si="25"/>
        <v>300</v>
      </c>
      <c r="AM79" s="3626"/>
      <c r="AN79" s="3626"/>
      <c r="AO79" s="3626"/>
      <c r="AP79" s="3626"/>
      <c r="AQ79" s="3626" t="s">
        <v>89</v>
      </c>
      <c r="AR79" s="3626">
        <f t="shared" si="19"/>
        <v>100</v>
      </c>
      <c r="AS79" s="3626">
        <f t="shared" si="20"/>
        <v>100</v>
      </c>
      <c r="AT79" s="3626">
        <f t="shared" si="21"/>
        <v>100</v>
      </c>
      <c r="AU79" s="3627">
        <f t="shared" si="22"/>
        <v>300</v>
      </c>
      <c r="AV79" s="3627">
        <f t="shared" si="23"/>
        <v>0</v>
      </c>
    </row>
    <row r="80" s="3566" customFormat="1" ht="50" customHeight="1" spans="1:48">
      <c r="A80" s="3616">
        <v>45798</v>
      </c>
      <c r="B80" s="3630" t="s">
        <v>2914</v>
      </c>
      <c r="C80" s="3628" t="s">
        <v>341</v>
      </c>
      <c r="D80" s="3629">
        <v>4500167191</v>
      </c>
      <c r="E80" s="959" t="s">
        <v>8520</v>
      </c>
      <c r="F80" s="3629" t="s">
        <v>8521</v>
      </c>
      <c r="G80" s="959" t="s">
        <v>8290</v>
      </c>
      <c r="H80" s="3618" t="s">
        <v>8291</v>
      </c>
      <c r="I80" s="3618">
        <v>1920</v>
      </c>
      <c r="J80" s="3618">
        <v>0</v>
      </c>
      <c r="K80" s="3618">
        <v>4</v>
      </c>
      <c r="L80" s="3618">
        <f t="shared" si="15"/>
        <v>480</v>
      </c>
      <c r="M80" s="3619">
        <v>45832</v>
      </c>
      <c r="N80" s="3619">
        <f>M80-4</f>
        <v>45828</v>
      </c>
      <c r="O80" s="3618"/>
      <c r="P80" s="959" t="s">
        <v>82</v>
      </c>
      <c r="Q80" s="3618" t="s">
        <v>3759</v>
      </c>
      <c r="R80" s="3649" t="s">
        <v>1349</v>
      </c>
      <c r="S80" s="3649"/>
      <c r="T80" s="3649" t="s">
        <v>8522</v>
      </c>
      <c r="U80" s="3621"/>
      <c r="V80" s="3664"/>
      <c r="W80" s="3638" t="s">
        <v>8523</v>
      </c>
      <c r="X80" s="3639" t="s">
        <v>87</v>
      </c>
      <c r="Y80" s="3618">
        <v>10.1186</v>
      </c>
      <c r="Z80" s="3618">
        <f t="shared" si="24"/>
        <v>19427.712</v>
      </c>
      <c r="AA80" s="3633"/>
      <c r="AB80" s="3636" t="s">
        <v>8290</v>
      </c>
      <c r="AC80" s="3653" t="s">
        <v>416</v>
      </c>
      <c r="AD80" s="3667"/>
      <c r="AE80" s="3667"/>
      <c r="AF80" s="3667"/>
      <c r="AG80" s="3618">
        <f>I80</f>
        <v>1920</v>
      </c>
      <c r="AH80" s="959"/>
      <c r="AI80" s="959"/>
      <c r="AJ80" s="3618">
        <f t="shared" si="17"/>
        <v>1920</v>
      </c>
      <c r="AK80" s="959"/>
      <c r="AL80" s="3655">
        <f t="shared" si="25"/>
        <v>1920</v>
      </c>
      <c r="AM80" s="959"/>
      <c r="AN80" s="959"/>
      <c r="AO80" s="3668"/>
      <c r="AP80" s="3669"/>
      <c r="AQ80" s="3655" t="s">
        <v>89</v>
      </c>
      <c r="AR80" s="3626">
        <f t="shared" si="19"/>
        <v>640</v>
      </c>
      <c r="AS80" s="3626">
        <f t="shared" si="20"/>
        <v>640</v>
      </c>
      <c r="AT80" s="3626">
        <f t="shared" si="21"/>
        <v>640</v>
      </c>
      <c r="AU80" s="3627">
        <f t="shared" si="22"/>
        <v>1920</v>
      </c>
      <c r="AV80" s="3627">
        <f t="shared" si="23"/>
        <v>0</v>
      </c>
    </row>
    <row r="81" s="3566" customFormat="1" ht="50" customHeight="1" spans="1:48">
      <c r="A81" s="3616">
        <v>45798</v>
      </c>
      <c r="B81" s="3630" t="s">
        <v>2914</v>
      </c>
      <c r="C81" s="3628" t="s">
        <v>341</v>
      </c>
      <c r="D81" s="3629">
        <v>4500167191</v>
      </c>
      <c r="E81" s="959" t="s">
        <v>8524</v>
      </c>
      <c r="F81" s="3629" t="s">
        <v>8525</v>
      </c>
      <c r="G81" s="959" t="s">
        <v>8290</v>
      </c>
      <c r="H81" s="3618" t="s">
        <v>8291</v>
      </c>
      <c r="I81" s="3618">
        <v>1920</v>
      </c>
      <c r="J81" s="3618">
        <v>0</v>
      </c>
      <c r="K81" s="3618">
        <v>4</v>
      </c>
      <c r="L81" s="3618">
        <f t="shared" si="15"/>
        <v>480</v>
      </c>
      <c r="M81" s="3619">
        <v>45832</v>
      </c>
      <c r="N81" s="3619">
        <f>M81-4</f>
        <v>45828</v>
      </c>
      <c r="O81" s="3618"/>
      <c r="P81" s="959" t="s">
        <v>82</v>
      </c>
      <c r="Q81" s="3618" t="s">
        <v>3759</v>
      </c>
      <c r="R81" s="3649" t="s">
        <v>1349</v>
      </c>
      <c r="S81" s="3649"/>
      <c r="T81" s="3649" t="s">
        <v>8522</v>
      </c>
      <c r="U81" s="3621"/>
      <c r="V81" s="3664"/>
      <c r="W81" s="3638" t="s">
        <v>8523</v>
      </c>
      <c r="X81" s="3639" t="s">
        <v>87</v>
      </c>
      <c r="Y81" s="3618">
        <v>10.1186</v>
      </c>
      <c r="Z81" s="3618">
        <f t="shared" si="24"/>
        <v>19427.712</v>
      </c>
      <c r="AA81" s="3633"/>
      <c r="AB81" s="3636" t="s">
        <v>8290</v>
      </c>
      <c r="AC81" s="3653" t="s">
        <v>416</v>
      </c>
      <c r="AD81" s="3667"/>
      <c r="AE81" s="3667"/>
      <c r="AF81" s="3667"/>
      <c r="AG81" s="3618">
        <f>I81</f>
        <v>1920</v>
      </c>
      <c r="AH81" s="959"/>
      <c r="AI81" s="959"/>
      <c r="AJ81" s="3618">
        <f t="shared" si="17"/>
        <v>1920</v>
      </c>
      <c r="AK81" s="959"/>
      <c r="AL81" s="3655">
        <f t="shared" si="25"/>
        <v>1920</v>
      </c>
      <c r="AM81" s="959"/>
      <c r="AN81" s="959"/>
      <c r="AO81" s="3668"/>
      <c r="AP81" s="3669"/>
      <c r="AQ81" s="3655" t="s">
        <v>89</v>
      </c>
      <c r="AR81" s="3626">
        <f t="shared" si="19"/>
        <v>640</v>
      </c>
      <c r="AS81" s="3626">
        <f t="shared" si="20"/>
        <v>640</v>
      </c>
      <c r="AT81" s="3626">
        <f t="shared" si="21"/>
        <v>640</v>
      </c>
      <c r="AU81" s="3627">
        <f t="shared" si="22"/>
        <v>1920</v>
      </c>
      <c r="AV81" s="3627">
        <f t="shared" si="23"/>
        <v>0</v>
      </c>
    </row>
    <row r="82" s="3566" customFormat="1" ht="50" customHeight="1" spans="1:48">
      <c r="A82" s="3616">
        <v>45799</v>
      </c>
      <c r="B82" s="3630"/>
      <c r="C82" s="3617"/>
      <c r="D82" s="3629" t="s">
        <v>8526</v>
      </c>
      <c r="E82" s="959"/>
      <c r="F82" s="3629"/>
      <c r="G82" s="959" t="s">
        <v>8290</v>
      </c>
      <c r="H82" s="3618" t="s">
        <v>8291</v>
      </c>
      <c r="I82" s="3618">
        <v>92</v>
      </c>
      <c r="J82" s="3618">
        <v>0</v>
      </c>
      <c r="K82" s="3618">
        <v>4</v>
      </c>
      <c r="L82" s="3618">
        <f t="shared" si="15"/>
        <v>23</v>
      </c>
      <c r="M82" s="3619">
        <v>45820</v>
      </c>
      <c r="N82" s="3619">
        <v>45817</v>
      </c>
      <c r="O82" s="3618"/>
      <c r="P82" s="959" t="s">
        <v>82</v>
      </c>
      <c r="Q82" s="3618"/>
      <c r="R82" s="3649" t="s">
        <v>6007</v>
      </c>
      <c r="S82" s="3644"/>
      <c r="T82" s="3644" t="s">
        <v>98</v>
      </c>
      <c r="U82" s="3621"/>
      <c r="V82" s="959"/>
      <c r="W82" s="3638" t="s">
        <v>8527</v>
      </c>
      <c r="X82" s="3639" t="s">
        <v>792</v>
      </c>
      <c r="Y82" s="3618"/>
      <c r="Z82" s="3618"/>
      <c r="AA82" s="3633"/>
      <c r="AB82" s="3636" t="s">
        <v>8290</v>
      </c>
      <c r="AC82" s="3653" t="s">
        <v>416</v>
      </c>
      <c r="AD82" s="3681"/>
      <c r="AE82" s="3681"/>
      <c r="AF82" s="3681"/>
      <c r="AG82" s="959">
        <f>I82</f>
        <v>92</v>
      </c>
      <c r="AH82" s="959"/>
      <c r="AI82" s="3655"/>
      <c r="AJ82" s="3618">
        <f t="shared" si="17"/>
        <v>92</v>
      </c>
      <c r="AK82" s="3668"/>
      <c r="AL82" s="3655">
        <f t="shared" si="25"/>
        <v>92</v>
      </c>
      <c r="AM82" s="3655"/>
      <c r="AN82" s="3655"/>
      <c r="AO82" s="3626"/>
      <c r="AP82" s="3655"/>
      <c r="AQ82" s="3655" t="s">
        <v>89</v>
      </c>
      <c r="AR82" s="3626">
        <f t="shared" si="19"/>
        <v>30.6666666666667</v>
      </c>
      <c r="AS82" s="3626">
        <f t="shared" si="20"/>
        <v>30.6666666666667</v>
      </c>
      <c r="AT82" s="3626">
        <f t="shared" si="21"/>
        <v>30.6666666666667</v>
      </c>
      <c r="AU82" s="3627">
        <f t="shared" si="22"/>
        <v>92</v>
      </c>
      <c r="AV82" s="3627">
        <f t="shared" si="23"/>
        <v>0</v>
      </c>
    </row>
    <row r="83" s="3566" customFormat="1" ht="50" customHeight="1" spans="1:48">
      <c r="A83" s="3616">
        <v>45799</v>
      </c>
      <c r="B83" s="3630" t="s">
        <v>3459</v>
      </c>
      <c r="C83" s="3628" t="s">
        <v>3460</v>
      </c>
      <c r="D83" s="3629">
        <v>4500167533</v>
      </c>
      <c r="E83" s="959"/>
      <c r="F83" s="3629" t="s">
        <v>8528</v>
      </c>
      <c r="G83" s="959" t="s">
        <v>8290</v>
      </c>
      <c r="H83" s="3618" t="s">
        <v>8291</v>
      </c>
      <c r="I83" s="3618">
        <v>96</v>
      </c>
      <c r="J83" s="3618">
        <v>0</v>
      </c>
      <c r="K83" s="3618">
        <v>4</v>
      </c>
      <c r="L83" s="3618">
        <f t="shared" si="15"/>
        <v>24</v>
      </c>
      <c r="M83" s="3619">
        <v>45831</v>
      </c>
      <c r="N83" s="3619">
        <v>45827</v>
      </c>
      <c r="O83" s="3618"/>
      <c r="P83" s="959" t="s">
        <v>82</v>
      </c>
      <c r="Q83" s="3618"/>
      <c r="R83" s="3649" t="s">
        <v>6007</v>
      </c>
      <c r="S83" s="3649"/>
      <c r="T83" s="3649" t="s">
        <v>8529</v>
      </c>
      <c r="U83" s="3621"/>
      <c r="V83" s="3664"/>
      <c r="W83" s="3638" t="s">
        <v>8530</v>
      </c>
      <c r="X83" s="3639" t="s">
        <v>459</v>
      </c>
      <c r="Y83" s="3618">
        <v>10.1386</v>
      </c>
      <c r="Z83" s="3618">
        <f t="shared" ref="Z83:Z92" si="26">Y83*I83</f>
        <v>973.3056</v>
      </c>
      <c r="AA83" s="3633"/>
      <c r="AB83" s="959" t="s">
        <v>8329</v>
      </c>
      <c r="AC83" s="3653" t="s">
        <v>416</v>
      </c>
      <c r="AD83" s="3667"/>
      <c r="AE83" s="3667"/>
      <c r="AF83" s="3667"/>
      <c r="AG83" s="3618"/>
      <c r="AH83" s="959">
        <f>I83</f>
        <v>96</v>
      </c>
      <c r="AI83" s="959"/>
      <c r="AJ83" s="3618">
        <f t="shared" si="17"/>
        <v>96</v>
      </c>
      <c r="AK83" s="959"/>
      <c r="AL83" s="3655">
        <f t="shared" si="25"/>
        <v>96</v>
      </c>
      <c r="AM83" s="959"/>
      <c r="AN83" s="959"/>
      <c r="AO83" s="3668"/>
      <c r="AP83" s="3669"/>
      <c r="AQ83" s="3655" t="s">
        <v>89</v>
      </c>
      <c r="AR83" s="3626">
        <f t="shared" si="19"/>
        <v>32</v>
      </c>
      <c r="AS83" s="3626">
        <f t="shared" si="20"/>
        <v>32</v>
      </c>
      <c r="AT83" s="3626">
        <f t="shared" si="21"/>
        <v>32</v>
      </c>
      <c r="AU83" s="3627">
        <f t="shared" si="22"/>
        <v>96</v>
      </c>
      <c r="AV83" s="3627">
        <f t="shared" si="23"/>
        <v>0</v>
      </c>
    </row>
    <row r="84" s="3566" customFormat="1" ht="50" customHeight="1" spans="1:48">
      <c r="A84" s="3616">
        <v>45798</v>
      </c>
      <c r="B84" s="3630" t="s">
        <v>2914</v>
      </c>
      <c r="C84" s="3628" t="s">
        <v>341</v>
      </c>
      <c r="D84" s="3629">
        <v>4500167191</v>
      </c>
      <c r="E84" s="959" t="s">
        <v>8531</v>
      </c>
      <c r="F84" s="3629" t="s">
        <v>8532</v>
      </c>
      <c r="G84" s="959" t="s">
        <v>8290</v>
      </c>
      <c r="H84" s="3618" t="s">
        <v>8291</v>
      </c>
      <c r="I84" s="3618">
        <v>1920</v>
      </c>
      <c r="J84" s="3618">
        <v>0</v>
      </c>
      <c r="K84" s="3618">
        <v>4</v>
      </c>
      <c r="L84" s="3618">
        <f t="shared" si="15"/>
        <v>480</v>
      </c>
      <c r="M84" s="3619">
        <v>45832</v>
      </c>
      <c r="N84" s="3619">
        <f>M84-4</f>
        <v>45828</v>
      </c>
      <c r="O84" s="3618"/>
      <c r="P84" s="959" t="s">
        <v>82</v>
      </c>
      <c r="Q84" s="3618" t="s">
        <v>3759</v>
      </c>
      <c r="R84" s="3649" t="s">
        <v>1349</v>
      </c>
      <c r="S84" s="3649"/>
      <c r="T84" s="3649" t="s">
        <v>8522</v>
      </c>
      <c r="U84" s="3621"/>
      <c r="V84" s="3664"/>
      <c r="W84" s="3638" t="s">
        <v>8523</v>
      </c>
      <c r="X84" s="3639" t="s">
        <v>87</v>
      </c>
      <c r="Y84" s="3618">
        <v>10.1186</v>
      </c>
      <c r="Z84" s="3618">
        <f t="shared" si="26"/>
        <v>19427.712</v>
      </c>
      <c r="AA84" s="3633"/>
      <c r="AB84" s="3636" t="s">
        <v>8290</v>
      </c>
      <c r="AC84" s="3653" t="s">
        <v>416</v>
      </c>
      <c r="AD84" s="3665"/>
      <c r="AE84" s="3665"/>
      <c r="AF84" s="3665"/>
      <c r="AG84" s="3618">
        <f>I84</f>
        <v>1920</v>
      </c>
      <c r="AH84" s="959"/>
      <c r="AI84" s="959"/>
      <c r="AJ84" s="3618">
        <f t="shared" si="17"/>
        <v>1920</v>
      </c>
      <c r="AK84" s="959"/>
      <c r="AL84" s="3655">
        <f t="shared" si="25"/>
        <v>1920</v>
      </c>
      <c r="AM84" s="959"/>
      <c r="AN84" s="959"/>
      <c r="AO84" s="3668"/>
      <c r="AP84" s="3669"/>
      <c r="AQ84" s="3655" t="s">
        <v>89</v>
      </c>
      <c r="AR84" s="3626">
        <f t="shared" si="19"/>
        <v>640</v>
      </c>
      <c r="AS84" s="3626">
        <f t="shared" si="20"/>
        <v>640</v>
      </c>
      <c r="AT84" s="3626">
        <f t="shared" si="21"/>
        <v>640</v>
      </c>
      <c r="AU84" s="3627">
        <f t="shared" si="22"/>
        <v>1920</v>
      </c>
      <c r="AV84" s="3627">
        <f t="shared" si="23"/>
        <v>0</v>
      </c>
    </row>
    <row r="85" s="3566" customFormat="1" ht="50" customHeight="1" spans="1:48">
      <c r="A85" s="3616">
        <v>45798</v>
      </c>
      <c r="B85" s="3630" t="s">
        <v>2914</v>
      </c>
      <c r="C85" s="3628" t="s">
        <v>341</v>
      </c>
      <c r="D85" s="3629">
        <v>4500167191</v>
      </c>
      <c r="E85" s="959" t="s">
        <v>8533</v>
      </c>
      <c r="F85" s="3629" t="s">
        <v>8534</v>
      </c>
      <c r="G85" s="959" t="s">
        <v>8290</v>
      </c>
      <c r="H85" s="3618" t="s">
        <v>8291</v>
      </c>
      <c r="I85" s="3618">
        <v>1920</v>
      </c>
      <c r="J85" s="3618">
        <v>0</v>
      </c>
      <c r="K85" s="3618">
        <v>4</v>
      </c>
      <c r="L85" s="3618">
        <f t="shared" si="15"/>
        <v>480</v>
      </c>
      <c r="M85" s="3619">
        <v>45832</v>
      </c>
      <c r="N85" s="3619">
        <f>M85-4</f>
        <v>45828</v>
      </c>
      <c r="O85" s="3618"/>
      <c r="P85" s="959" t="s">
        <v>82</v>
      </c>
      <c r="Q85" s="3618" t="s">
        <v>3759</v>
      </c>
      <c r="R85" s="3649" t="s">
        <v>1349</v>
      </c>
      <c r="S85" s="3649"/>
      <c r="T85" s="3649" t="s">
        <v>8522</v>
      </c>
      <c r="U85" s="3621"/>
      <c r="V85" s="3664"/>
      <c r="W85" s="3638" t="s">
        <v>8523</v>
      </c>
      <c r="X85" s="3639" t="s">
        <v>87</v>
      </c>
      <c r="Y85" s="3618">
        <v>10.1186</v>
      </c>
      <c r="Z85" s="3618">
        <f t="shared" si="26"/>
        <v>19427.712</v>
      </c>
      <c r="AA85" s="3633"/>
      <c r="AB85" s="3636" t="s">
        <v>8290</v>
      </c>
      <c r="AC85" s="3653" t="s">
        <v>416</v>
      </c>
      <c r="AD85" s="3665"/>
      <c r="AE85" s="3665"/>
      <c r="AF85" s="3665"/>
      <c r="AG85" s="3618">
        <f>I85</f>
        <v>1920</v>
      </c>
      <c r="AH85" s="959"/>
      <c r="AI85" s="959"/>
      <c r="AJ85" s="3618">
        <f t="shared" si="17"/>
        <v>1920</v>
      </c>
      <c r="AK85" s="959"/>
      <c r="AL85" s="3655">
        <f t="shared" si="25"/>
        <v>1920</v>
      </c>
      <c r="AM85" s="959"/>
      <c r="AN85" s="959"/>
      <c r="AO85" s="3668"/>
      <c r="AP85" s="3669"/>
      <c r="AQ85" s="3655" t="s">
        <v>89</v>
      </c>
      <c r="AR85" s="3626">
        <f t="shared" si="19"/>
        <v>640</v>
      </c>
      <c r="AS85" s="3626">
        <f t="shared" si="20"/>
        <v>640</v>
      </c>
      <c r="AT85" s="3626">
        <f t="shared" si="21"/>
        <v>640</v>
      </c>
      <c r="AU85" s="3627">
        <f t="shared" si="22"/>
        <v>1920</v>
      </c>
      <c r="AV85" s="3627">
        <f t="shared" si="23"/>
        <v>0</v>
      </c>
    </row>
    <row r="86" s="3566" customFormat="1" ht="50" customHeight="1" spans="1:48">
      <c r="A86" s="3616">
        <v>45798</v>
      </c>
      <c r="B86" s="3630" t="s">
        <v>2914</v>
      </c>
      <c r="C86" s="3628" t="s">
        <v>341</v>
      </c>
      <c r="D86" s="3629">
        <v>4500167191</v>
      </c>
      <c r="E86" s="959" t="s">
        <v>8535</v>
      </c>
      <c r="F86" s="3629" t="s">
        <v>8536</v>
      </c>
      <c r="G86" s="959" t="s">
        <v>8290</v>
      </c>
      <c r="H86" s="3618" t="s">
        <v>8291</v>
      </c>
      <c r="I86" s="3618">
        <v>1920</v>
      </c>
      <c r="J86" s="3618">
        <v>0</v>
      </c>
      <c r="K86" s="3618">
        <v>4</v>
      </c>
      <c r="L86" s="3618">
        <f t="shared" si="15"/>
        <v>480</v>
      </c>
      <c r="M86" s="3619">
        <v>45832</v>
      </c>
      <c r="N86" s="3619">
        <f>M86-4</f>
        <v>45828</v>
      </c>
      <c r="O86" s="3618"/>
      <c r="P86" s="959" t="s">
        <v>82</v>
      </c>
      <c r="Q86" s="3618" t="s">
        <v>3759</v>
      </c>
      <c r="R86" s="3649" t="s">
        <v>1349</v>
      </c>
      <c r="S86" s="3649"/>
      <c r="T86" s="3649" t="s">
        <v>8522</v>
      </c>
      <c r="U86" s="3621"/>
      <c r="V86" s="3664"/>
      <c r="W86" s="3638" t="s">
        <v>8523</v>
      </c>
      <c r="X86" s="3639" t="s">
        <v>87</v>
      </c>
      <c r="Y86" s="3618">
        <v>10.1186</v>
      </c>
      <c r="Z86" s="3618">
        <f t="shared" si="26"/>
        <v>19427.712</v>
      </c>
      <c r="AA86" s="3633"/>
      <c r="AB86" s="3636" t="s">
        <v>8290</v>
      </c>
      <c r="AC86" s="3653" t="s">
        <v>416</v>
      </c>
      <c r="AD86" s="3665"/>
      <c r="AE86" s="3665"/>
      <c r="AF86" s="3665"/>
      <c r="AG86" s="3618">
        <f>I86</f>
        <v>1920</v>
      </c>
      <c r="AH86" s="959"/>
      <c r="AI86" s="959"/>
      <c r="AJ86" s="3618">
        <f t="shared" si="17"/>
        <v>1920</v>
      </c>
      <c r="AK86" s="959"/>
      <c r="AL86" s="3655">
        <f t="shared" si="25"/>
        <v>1920</v>
      </c>
      <c r="AM86" s="959"/>
      <c r="AN86" s="959"/>
      <c r="AO86" s="3668"/>
      <c r="AP86" s="3669"/>
      <c r="AQ86" s="3655" t="s">
        <v>89</v>
      </c>
      <c r="AR86" s="3626">
        <f t="shared" si="19"/>
        <v>640</v>
      </c>
      <c r="AS86" s="3626">
        <f t="shared" si="20"/>
        <v>640</v>
      </c>
      <c r="AT86" s="3626">
        <f t="shared" si="21"/>
        <v>640</v>
      </c>
      <c r="AU86" s="3627">
        <f t="shared" si="22"/>
        <v>1920</v>
      </c>
      <c r="AV86" s="3627">
        <f t="shared" si="23"/>
        <v>0</v>
      </c>
    </row>
    <row r="87" s="3566" customFormat="1" ht="50" customHeight="1" spans="1:48">
      <c r="A87" s="3616">
        <v>45747</v>
      </c>
      <c r="B87" s="3630" t="s">
        <v>6954</v>
      </c>
      <c r="C87" s="3617" t="s">
        <v>91</v>
      </c>
      <c r="D87" s="3629">
        <v>4500161570</v>
      </c>
      <c r="E87" s="959" t="s">
        <v>8537</v>
      </c>
      <c r="F87" s="3629" t="s">
        <v>8538</v>
      </c>
      <c r="G87" s="959" t="s">
        <v>8290</v>
      </c>
      <c r="H87" s="3618" t="s">
        <v>8291</v>
      </c>
      <c r="I87" s="3618">
        <v>100</v>
      </c>
      <c r="J87" s="3618">
        <v>0</v>
      </c>
      <c r="K87" s="3618">
        <v>4</v>
      </c>
      <c r="L87" s="3618">
        <f t="shared" si="15"/>
        <v>25</v>
      </c>
      <c r="M87" s="3619">
        <v>45833</v>
      </c>
      <c r="N87" s="3619">
        <f>M87-4</f>
        <v>45829</v>
      </c>
      <c r="O87" s="3618"/>
      <c r="P87" s="959" t="s">
        <v>82</v>
      </c>
      <c r="Q87" s="3618"/>
      <c r="R87" s="3649" t="s">
        <v>3925</v>
      </c>
      <c r="S87" s="3644"/>
      <c r="T87" s="3644" t="s">
        <v>98</v>
      </c>
      <c r="U87" s="3621"/>
      <c r="V87" s="959"/>
      <c r="W87" s="3638" t="s">
        <v>6957</v>
      </c>
      <c r="X87" s="3639" t="s">
        <v>3262</v>
      </c>
      <c r="Y87" s="3618">
        <v>11.2211</v>
      </c>
      <c r="Z87" s="3618">
        <f t="shared" si="26"/>
        <v>1122.11</v>
      </c>
      <c r="AA87" s="3633" t="s">
        <v>6967</v>
      </c>
      <c r="AB87" s="959" t="s">
        <v>8290</v>
      </c>
      <c r="AC87" s="3653" t="s">
        <v>416</v>
      </c>
      <c r="AD87" s="3681">
        <v>100</v>
      </c>
      <c r="AE87" s="3681"/>
      <c r="AF87" s="3681"/>
      <c r="AG87" s="3618">
        <v>100</v>
      </c>
      <c r="AH87" s="959"/>
      <c r="AI87" s="3655"/>
      <c r="AJ87" s="3618">
        <f t="shared" si="17"/>
        <v>100</v>
      </c>
      <c r="AK87" s="3668"/>
      <c r="AL87" s="3669">
        <f t="shared" si="25"/>
        <v>100</v>
      </c>
      <c r="AM87" s="3655"/>
      <c r="AN87" s="3655"/>
      <c r="AO87" s="3626"/>
      <c r="AP87" s="3626"/>
      <c r="AQ87" s="3655" t="s">
        <v>89</v>
      </c>
      <c r="AR87" s="3626">
        <f t="shared" si="19"/>
        <v>33.3333333333333</v>
      </c>
      <c r="AS87" s="3626">
        <f t="shared" si="20"/>
        <v>33.3333333333333</v>
      </c>
      <c r="AT87" s="3626">
        <f t="shared" si="21"/>
        <v>33.3333333333333</v>
      </c>
      <c r="AU87" s="3627">
        <f t="shared" si="22"/>
        <v>100</v>
      </c>
      <c r="AV87" s="3627">
        <f t="shared" si="23"/>
        <v>0</v>
      </c>
    </row>
    <row r="88" s="3566" customFormat="1" ht="50" customHeight="1" spans="1:48">
      <c r="A88" s="3616">
        <v>45790</v>
      </c>
      <c r="B88" s="3630" t="s">
        <v>331</v>
      </c>
      <c r="C88" s="3628" t="s">
        <v>793</v>
      </c>
      <c r="D88" s="3679">
        <v>4500166306</v>
      </c>
      <c r="E88" s="959" t="s">
        <v>8539</v>
      </c>
      <c r="F88" s="3679" t="s">
        <v>8540</v>
      </c>
      <c r="G88" s="3677" t="s">
        <v>8484</v>
      </c>
      <c r="H88" s="3618" t="s">
        <v>8291</v>
      </c>
      <c r="I88" s="3618">
        <v>1500</v>
      </c>
      <c r="J88" s="3618">
        <v>0</v>
      </c>
      <c r="K88" s="3618">
        <v>1</v>
      </c>
      <c r="L88" s="3618">
        <f t="shared" si="15"/>
        <v>1500</v>
      </c>
      <c r="M88" s="3619">
        <v>45831</v>
      </c>
      <c r="N88" s="3619">
        <v>45838</v>
      </c>
      <c r="O88" s="3618"/>
      <c r="P88" s="959" t="s">
        <v>82</v>
      </c>
      <c r="Q88" s="3618" t="s">
        <v>2420</v>
      </c>
      <c r="R88" s="3649" t="s">
        <v>1412</v>
      </c>
      <c r="S88" s="3644"/>
      <c r="T88" s="3649" t="s">
        <v>8541</v>
      </c>
      <c r="U88" s="3621"/>
      <c r="V88" s="3661" t="s">
        <v>8542</v>
      </c>
      <c r="W88" s="3620" t="s">
        <v>8543</v>
      </c>
      <c r="X88" s="3678" t="s">
        <v>8544</v>
      </c>
      <c r="Y88" s="3618">
        <v>9.7447</v>
      </c>
      <c r="Z88" s="3618">
        <f t="shared" si="26"/>
        <v>14617.05</v>
      </c>
      <c r="AA88" s="3633" t="s">
        <v>8545</v>
      </c>
      <c r="AB88" s="959" t="s">
        <v>8484</v>
      </c>
      <c r="AC88" s="3653" t="s">
        <v>416</v>
      </c>
      <c r="AD88" s="3667"/>
      <c r="AE88" s="3667"/>
      <c r="AF88" s="3667"/>
      <c r="AG88" s="3618">
        <f>I88</f>
        <v>1500</v>
      </c>
      <c r="AH88" s="959"/>
      <c r="AI88" s="3636"/>
      <c r="AJ88" s="3618">
        <f t="shared" si="17"/>
        <v>1500</v>
      </c>
      <c r="AK88" s="959"/>
      <c r="AL88" s="3655">
        <f t="shared" si="25"/>
        <v>1500</v>
      </c>
      <c r="AM88" s="3636"/>
      <c r="AN88" s="3636"/>
      <c r="AO88" s="3668"/>
      <c r="AP88" s="3669"/>
      <c r="AQ88" s="3655" t="s">
        <v>89</v>
      </c>
      <c r="AR88" s="3626">
        <f t="shared" si="19"/>
        <v>500</v>
      </c>
      <c r="AS88" s="3626">
        <f t="shared" si="20"/>
        <v>500</v>
      </c>
      <c r="AT88" s="3626">
        <f t="shared" si="21"/>
        <v>500</v>
      </c>
      <c r="AU88" s="3627">
        <f t="shared" si="22"/>
        <v>1500</v>
      </c>
      <c r="AV88" s="3627">
        <f t="shared" si="23"/>
        <v>0</v>
      </c>
    </row>
    <row r="89" s="3566" customFormat="1" ht="50" customHeight="1" spans="1:48">
      <c r="A89" s="3616">
        <v>45730</v>
      </c>
      <c r="B89" s="3630" t="s">
        <v>8546</v>
      </c>
      <c r="C89" s="3628" t="s">
        <v>738</v>
      </c>
      <c r="D89" s="3629">
        <v>4500160204</v>
      </c>
      <c r="E89" s="959" t="s">
        <v>8547</v>
      </c>
      <c r="F89" s="3629" t="s">
        <v>8548</v>
      </c>
      <c r="G89" s="959" t="s">
        <v>8549</v>
      </c>
      <c r="H89" s="3618" t="s">
        <v>8550</v>
      </c>
      <c r="I89" s="3618">
        <v>7200</v>
      </c>
      <c r="J89" s="3618">
        <v>0</v>
      </c>
      <c r="K89" s="3618">
        <v>45</v>
      </c>
      <c r="L89" s="3618">
        <f t="shared" si="15"/>
        <v>160</v>
      </c>
      <c r="M89" s="3619">
        <v>45839</v>
      </c>
      <c r="N89" s="3619">
        <v>45835</v>
      </c>
      <c r="O89" s="3618" t="s">
        <v>1454</v>
      </c>
      <c r="P89" s="959" t="s">
        <v>82</v>
      </c>
      <c r="Q89" s="3618" t="s">
        <v>4042</v>
      </c>
      <c r="R89" s="3649" t="s">
        <v>4149</v>
      </c>
      <c r="S89" s="3644"/>
      <c r="T89" s="3644" t="s">
        <v>8551</v>
      </c>
      <c r="U89" s="3621"/>
      <c r="V89" s="959" t="s">
        <v>8552</v>
      </c>
      <c r="W89" s="3638" t="s">
        <v>8553</v>
      </c>
      <c r="X89" s="3639" t="s">
        <v>459</v>
      </c>
      <c r="Y89" s="3618">
        <v>440.7981</v>
      </c>
      <c r="Z89" s="3618">
        <f>Y89*L89</f>
        <v>70527.696</v>
      </c>
      <c r="AA89" s="3633"/>
      <c r="AB89" s="959" t="s">
        <v>8549</v>
      </c>
      <c r="AC89" s="3620" t="s">
        <v>416</v>
      </c>
      <c r="AD89" s="3667"/>
      <c r="AE89" s="3667"/>
      <c r="AF89" s="3667"/>
      <c r="AG89" s="959"/>
      <c r="AH89" s="959">
        <f t="shared" ref="AH89:AH96" si="27">I89</f>
        <v>7200</v>
      </c>
      <c r="AI89" s="959"/>
      <c r="AJ89" s="3618">
        <f t="shared" si="17"/>
        <v>7200</v>
      </c>
      <c r="AK89" s="959"/>
      <c r="AL89" s="3655">
        <f t="shared" si="25"/>
        <v>7200</v>
      </c>
      <c r="AM89" s="959"/>
      <c r="AN89" s="959"/>
      <c r="AO89" s="3668"/>
      <c r="AP89" s="3669">
        <f>I89/12</f>
        <v>600</v>
      </c>
      <c r="AQ89" s="3655" t="s">
        <v>89</v>
      </c>
      <c r="AR89" s="3626">
        <f t="shared" si="19"/>
        <v>2400</v>
      </c>
      <c r="AS89" s="3626">
        <f t="shared" si="20"/>
        <v>2400</v>
      </c>
      <c r="AT89" s="3626">
        <f t="shared" si="21"/>
        <v>2400</v>
      </c>
      <c r="AU89" s="3627">
        <f t="shared" si="22"/>
        <v>7200</v>
      </c>
      <c r="AV89" s="3627">
        <f t="shared" si="23"/>
        <v>0</v>
      </c>
    </row>
    <row r="90" s="3566" customFormat="1" ht="50" customHeight="1" spans="1:48">
      <c r="A90" s="3616">
        <v>45790</v>
      </c>
      <c r="B90" s="3630" t="s">
        <v>8554</v>
      </c>
      <c r="C90" s="3628" t="s">
        <v>1624</v>
      </c>
      <c r="D90" s="3629">
        <v>4500166233</v>
      </c>
      <c r="E90" s="959">
        <v>4041588208</v>
      </c>
      <c r="F90" s="3629" t="s">
        <v>8555</v>
      </c>
      <c r="G90" s="959" t="s">
        <v>8477</v>
      </c>
      <c r="H90" s="3618" t="s">
        <v>8291</v>
      </c>
      <c r="I90" s="3618">
        <v>1000</v>
      </c>
      <c r="J90" s="3618">
        <v>0</v>
      </c>
      <c r="K90" s="3618">
        <v>4</v>
      </c>
      <c r="L90" s="3618">
        <f t="shared" si="15"/>
        <v>250</v>
      </c>
      <c r="M90" s="3619">
        <v>45840</v>
      </c>
      <c r="N90" s="3619">
        <f>M90-4</f>
        <v>45836</v>
      </c>
      <c r="O90" s="3618"/>
      <c r="P90" s="959" t="s">
        <v>82</v>
      </c>
      <c r="Q90" s="3618" t="s">
        <v>4021</v>
      </c>
      <c r="R90" s="3649" t="s">
        <v>3925</v>
      </c>
      <c r="S90" s="3644"/>
      <c r="T90" s="3644" t="s">
        <v>8556</v>
      </c>
      <c r="U90" s="3621"/>
      <c r="V90" s="959"/>
      <c r="W90" s="3638" t="s">
        <v>8557</v>
      </c>
      <c r="X90" s="3639" t="s">
        <v>8558</v>
      </c>
      <c r="Y90" s="3618">
        <v>9.8117</v>
      </c>
      <c r="Z90" s="3618">
        <f t="shared" ref="Z90:Z117" si="28">Y90*I90</f>
        <v>9811.7</v>
      </c>
      <c r="AA90" s="3633" t="s">
        <v>8559</v>
      </c>
      <c r="AB90" s="3672" t="s">
        <v>8479</v>
      </c>
      <c r="AC90" s="3653" t="s">
        <v>416</v>
      </c>
      <c r="AD90" s="967"/>
      <c r="AE90" s="967"/>
      <c r="AF90" s="967"/>
      <c r="AG90" s="959"/>
      <c r="AH90" s="959">
        <f t="shared" si="27"/>
        <v>1000</v>
      </c>
      <c r="AI90" s="959"/>
      <c r="AJ90" s="3618">
        <f t="shared" si="17"/>
        <v>1000</v>
      </c>
      <c r="AK90" s="959"/>
      <c r="AL90" s="3655"/>
      <c r="AM90" s="959">
        <f>I90</f>
        <v>1000</v>
      </c>
      <c r="AN90" s="959"/>
      <c r="AO90" s="3668"/>
      <c r="AP90" s="3669"/>
      <c r="AQ90" s="3655" t="s">
        <v>89</v>
      </c>
      <c r="AR90" s="3626">
        <f t="shared" si="19"/>
        <v>333.333333333333</v>
      </c>
      <c r="AS90" s="3626">
        <f t="shared" si="20"/>
        <v>333.333333333333</v>
      </c>
      <c r="AT90" s="3626">
        <f t="shared" si="21"/>
        <v>333.333333333333</v>
      </c>
      <c r="AU90" s="3627">
        <f t="shared" si="22"/>
        <v>1000</v>
      </c>
      <c r="AV90" s="3627">
        <f t="shared" si="23"/>
        <v>0</v>
      </c>
    </row>
    <row r="91" s="3566" customFormat="1" ht="50" customHeight="1" spans="1:48">
      <c r="A91" s="3616">
        <v>45762</v>
      </c>
      <c r="B91" s="3630" t="s">
        <v>8560</v>
      </c>
      <c r="C91" s="3617" t="s">
        <v>516</v>
      </c>
      <c r="D91" s="3629">
        <v>4500163837</v>
      </c>
      <c r="E91" s="959"/>
      <c r="F91" s="3629" t="s">
        <v>8561</v>
      </c>
      <c r="G91" s="959" t="s">
        <v>8290</v>
      </c>
      <c r="H91" s="3618" t="s">
        <v>8291</v>
      </c>
      <c r="I91" s="3618">
        <v>936</v>
      </c>
      <c r="J91" s="3618">
        <v>0</v>
      </c>
      <c r="K91" s="3618">
        <v>4</v>
      </c>
      <c r="L91" s="3618">
        <f t="shared" si="15"/>
        <v>234</v>
      </c>
      <c r="M91" s="3619">
        <v>45833</v>
      </c>
      <c r="N91" s="3619">
        <v>45829</v>
      </c>
      <c r="O91" s="3682"/>
      <c r="P91" s="959" t="s">
        <v>82</v>
      </c>
      <c r="Q91" s="3682" t="s">
        <v>1341</v>
      </c>
      <c r="R91" s="3649" t="s">
        <v>6007</v>
      </c>
      <c r="S91" s="3640"/>
      <c r="T91" s="3640" t="s">
        <v>8562</v>
      </c>
      <c r="U91" s="3640"/>
      <c r="V91" s="959"/>
      <c r="W91" s="3638" t="s">
        <v>8563</v>
      </c>
      <c r="X91" s="3639" t="s">
        <v>459</v>
      </c>
      <c r="Y91" s="3618">
        <v>10.1186</v>
      </c>
      <c r="Z91" s="3618">
        <f t="shared" si="28"/>
        <v>9471.0096</v>
      </c>
      <c r="AA91" s="3633" t="s">
        <v>8564</v>
      </c>
      <c r="AB91" s="959" t="s">
        <v>8329</v>
      </c>
      <c r="AC91" s="3620" t="s">
        <v>416</v>
      </c>
      <c r="AD91" s="3667"/>
      <c r="AE91" s="3667"/>
      <c r="AF91" s="3667"/>
      <c r="AG91" s="959"/>
      <c r="AH91" s="959">
        <f t="shared" si="27"/>
        <v>936</v>
      </c>
      <c r="AI91" s="959"/>
      <c r="AJ91" s="3618">
        <f t="shared" si="17"/>
        <v>936</v>
      </c>
      <c r="AK91" s="3626"/>
      <c r="AL91" s="3626">
        <f t="shared" ref="AL91:AL104" si="29">I91</f>
        <v>936</v>
      </c>
      <c r="AM91" s="3626"/>
      <c r="AN91" s="3626"/>
      <c r="AO91" s="3626"/>
      <c r="AP91" s="3655"/>
      <c r="AQ91" s="3655" t="s">
        <v>89</v>
      </c>
      <c r="AR91" s="3626">
        <f t="shared" si="19"/>
        <v>312</v>
      </c>
      <c r="AS91" s="3626">
        <f t="shared" si="20"/>
        <v>312</v>
      </c>
      <c r="AT91" s="3626">
        <f t="shared" si="21"/>
        <v>312</v>
      </c>
      <c r="AU91" s="3627">
        <f t="shared" si="22"/>
        <v>936</v>
      </c>
      <c r="AV91" s="3627">
        <f t="shared" si="23"/>
        <v>0</v>
      </c>
    </row>
    <row r="92" s="3566" customFormat="1" ht="50" customHeight="1" spans="1:48">
      <c r="A92" s="3616">
        <v>45804</v>
      </c>
      <c r="B92" s="3630" t="s">
        <v>2628</v>
      </c>
      <c r="C92" s="3628" t="s">
        <v>738</v>
      </c>
      <c r="D92" s="3629">
        <v>4500168127</v>
      </c>
      <c r="E92" s="959" t="s">
        <v>8565</v>
      </c>
      <c r="F92" s="3629" t="s">
        <v>8566</v>
      </c>
      <c r="G92" s="959" t="s">
        <v>8294</v>
      </c>
      <c r="H92" s="3618" t="s">
        <v>8295</v>
      </c>
      <c r="I92" s="3618">
        <v>12</v>
      </c>
      <c r="J92" s="3618">
        <v>1</v>
      </c>
      <c r="K92" s="3618">
        <v>2</v>
      </c>
      <c r="L92" s="3618">
        <f t="shared" si="15"/>
        <v>6</v>
      </c>
      <c r="M92" s="3619">
        <v>45834</v>
      </c>
      <c r="N92" s="3619">
        <v>45831</v>
      </c>
      <c r="O92" s="3618"/>
      <c r="P92" s="959">
        <f>16025-3514</f>
        <v>12511</v>
      </c>
      <c r="Q92" s="959">
        <f>29748-3514</f>
        <v>26234</v>
      </c>
      <c r="R92" s="3649">
        <f>23242-3514</f>
        <v>19728</v>
      </c>
      <c r="S92" s="3644">
        <f>24812-3514</f>
        <v>21298</v>
      </c>
      <c r="T92" s="3657">
        <f>21535-2811</f>
        <v>18724</v>
      </c>
      <c r="U92" s="3657">
        <f>21217-702</f>
        <v>20515</v>
      </c>
      <c r="V92" s="3661"/>
      <c r="W92" s="3638" t="s">
        <v>8567</v>
      </c>
      <c r="X92" s="3639" t="s">
        <v>1257</v>
      </c>
      <c r="Y92" s="3618">
        <v>11.0183</v>
      </c>
      <c r="Z92" s="3618">
        <f t="shared" si="28"/>
        <v>132.2196</v>
      </c>
      <c r="AA92" s="3633" t="s">
        <v>3969</v>
      </c>
      <c r="AB92" s="959" t="s">
        <v>8294</v>
      </c>
      <c r="AC92" s="3653" t="s">
        <v>416</v>
      </c>
      <c r="AD92" s="3667"/>
      <c r="AE92" s="3667"/>
      <c r="AF92" s="3667"/>
      <c r="AG92" s="3618"/>
      <c r="AH92" s="959">
        <f t="shared" si="27"/>
        <v>12</v>
      </c>
      <c r="AI92" s="3636"/>
      <c r="AJ92" s="3618">
        <f t="shared" si="17"/>
        <v>12</v>
      </c>
      <c r="AK92" s="959"/>
      <c r="AL92" s="3655">
        <f t="shared" si="29"/>
        <v>12</v>
      </c>
      <c r="AM92" s="3636"/>
      <c r="AN92" s="3636"/>
      <c r="AO92" s="3668"/>
      <c r="AP92" s="3669"/>
      <c r="AQ92" s="3655" t="s">
        <v>89</v>
      </c>
      <c r="AR92" s="3626">
        <f>I92</f>
        <v>12</v>
      </c>
      <c r="AS92" s="3626"/>
      <c r="AT92" s="3626"/>
      <c r="AU92" s="3627">
        <f t="shared" si="22"/>
        <v>12</v>
      </c>
      <c r="AV92" s="3627">
        <f t="shared" si="23"/>
        <v>0</v>
      </c>
    </row>
    <row r="93" s="3566" customFormat="1" ht="50" customHeight="1" spans="1:48">
      <c r="A93" s="3616">
        <v>45804</v>
      </c>
      <c r="B93" s="3630" t="s">
        <v>2628</v>
      </c>
      <c r="C93" s="3628" t="s">
        <v>738</v>
      </c>
      <c r="D93" s="3629">
        <v>4500168127</v>
      </c>
      <c r="E93" s="959" t="s">
        <v>8568</v>
      </c>
      <c r="F93" s="3629" t="s">
        <v>8569</v>
      </c>
      <c r="G93" s="959" t="s">
        <v>8570</v>
      </c>
      <c r="H93" s="3618" t="s">
        <v>8571</v>
      </c>
      <c r="I93" s="3618">
        <v>16</v>
      </c>
      <c r="J93" s="3618">
        <v>1</v>
      </c>
      <c r="K93" s="3618">
        <v>2</v>
      </c>
      <c r="L93" s="3618">
        <f t="shared" si="15"/>
        <v>8</v>
      </c>
      <c r="M93" s="3619">
        <v>45834</v>
      </c>
      <c r="N93" s="3619">
        <v>45831</v>
      </c>
      <c r="O93" s="959" t="s">
        <v>8572</v>
      </c>
      <c r="P93" s="959" t="s">
        <v>82</v>
      </c>
      <c r="Q93" s="959" t="s">
        <v>1387</v>
      </c>
      <c r="R93" s="3649" t="s">
        <v>3965</v>
      </c>
      <c r="S93" s="3640"/>
      <c r="T93" s="3657" t="s">
        <v>7067</v>
      </c>
      <c r="U93" s="3657" t="s">
        <v>3967</v>
      </c>
      <c r="V93" s="959"/>
      <c r="W93" s="3638" t="s">
        <v>8567</v>
      </c>
      <c r="X93" s="3639" t="s">
        <v>1257</v>
      </c>
      <c r="Y93" s="3618">
        <v>10.2961</v>
      </c>
      <c r="Z93" s="3618">
        <f t="shared" si="28"/>
        <v>164.7376</v>
      </c>
      <c r="AA93" s="3633" t="s">
        <v>3969</v>
      </c>
      <c r="AB93" s="959" t="s">
        <v>8570</v>
      </c>
      <c r="AC93" s="3653" t="s">
        <v>416</v>
      </c>
      <c r="AD93" s="3667"/>
      <c r="AE93" s="3667"/>
      <c r="AF93" s="3667"/>
      <c r="AG93" s="959"/>
      <c r="AH93" s="959">
        <f t="shared" si="27"/>
        <v>16</v>
      </c>
      <c r="AI93" s="3636"/>
      <c r="AJ93" s="3618">
        <f t="shared" si="17"/>
        <v>16</v>
      </c>
      <c r="AK93" s="3626"/>
      <c r="AL93" s="3655">
        <f t="shared" si="29"/>
        <v>16</v>
      </c>
      <c r="AM93" s="3655"/>
      <c r="AN93" s="3655"/>
      <c r="AO93" s="3626"/>
      <c r="AP93" s="3655"/>
      <c r="AQ93" s="3655" t="s">
        <v>89</v>
      </c>
      <c r="AR93" s="3626"/>
      <c r="AS93" s="3626"/>
      <c r="AT93" s="3626">
        <f>I93</f>
        <v>16</v>
      </c>
      <c r="AU93" s="3627"/>
      <c r="AV93" s="3627"/>
    </row>
    <row r="94" s="3566" customFormat="1" ht="50" customHeight="1" spans="1:48">
      <c r="A94" s="3616">
        <v>45804</v>
      </c>
      <c r="B94" s="3630" t="s">
        <v>2628</v>
      </c>
      <c r="C94" s="3628" t="s">
        <v>738</v>
      </c>
      <c r="D94" s="3629">
        <v>4500168127</v>
      </c>
      <c r="E94" s="959" t="s">
        <v>8573</v>
      </c>
      <c r="F94" s="3629" t="s">
        <v>8574</v>
      </c>
      <c r="G94" s="959" t="s">
        <v>8575</v>
      </c>
      <c r="H94" s="3618" t="s">
        <v>8576</v>
      </c>
      <c r="I94" s="3618">
        <v>6</v>
      </c>
      <c r="J94" s="3618">
        <v>1</v>
      </c>
      <c r="K94" s="3618">
        <v>2</v>
      </c>
      <c r="L94" s="3618">
        <f t="shared" si="15"/>
        <v>3</v>
      </c>
      <c r="M94" s="3619">
        <v>45834</v>
      </c>
      <c r="N94" s="3619">
        <v>45831</v>
      </c>
      <c r="O94" s="3618"/>
      <c r="P94" s="959" t="s">
        <v>82</v>
      </c>
      <c r="Q94" s="959" t="s">
        <v>1387</v>
      </c>
      <c r="R94" s="3649" t="s">
        <v>3965</v>
      </c>
      <c r="S94" s="3640"/>
      <c r="T94" s="3657" t="s">
        <v>7067</v>
      </c>
      <c r="U94" s="3657" t="s">
        <v>3967</v>
      </c>
      <c r="V94" s="959"/>
      <c r="W94" s="3638" t="s">
        <v>8567</v>
      </c>
      <c r="X94" s="3639" t="s">
        <v>1257</v>
      </c>
      <c r="Y94" s="3618">
        <v>10.7039</v>
      </c>
      <c r="Z94" s="3618">
        <f t="shared" si="28"/>
        <v>64.2234</v>
      </c>
      <c r="AA94" s="3633" t="s">
        <v>3969</v>
      </c>
      <c r="AB94" s="959" t="s">
        <v>8575</v>
      </c>
      <c r="AC94" s="3653" t="s">
        <v>416</v>
      </c>
      <c r="AD94" s="3667"/>
      <c r="AE94" s="3667"/>
      <c r="AF94" s="3667"/>
      <c r="AG94" s="959"/>
      <c r="AH94" s="959">
        <f t="shared" si="27"/>
        <v>6</v>
      </c>
      <c r="AI94" s="3636"/>
      <c r="AJ94" s="3618">
        <f t="shared" si="17"/>
        <v>6</v>
      </c>
      <c r="AK94" s="3626"/>
      <c r="AL94" s="3655">
        <f t="shared" si="29"/>
        <v>6</v>
      </c>
      <c r="AM94" s="3655"/>
      <c r="AN94" s="3655"/>
      <c r="AO94" s="3626"/>
      <c r="AP94" s="3655"/>
      <c r="AQ94" s="3655" t="s">
        <v>89</v>
      </c>
      <c r="AR94" s="3626"/>
      <c r="AS94" s="3626">
        <f>I94</f>
        <v>6</v>
      </c>
      <c r="AT94" s="3626"/>
      <c r="AU94" s="3627"/>
      <c r="AV94" s="3627"/>
    </row>
    <row r="95" s="3566" customFormat="1" ht="50" customHeight="1" spans="1:48">
      <c r="A95" s="3616">
        <v>45812</v>
      </c>
      <c r="B95" s="3630" t="s">
        <v>2628</v>
      </c>
      <c r="C95" s="3628" t="s">
        <v>738</v>
      </c>
      <c r="D95" s="3629">
        <v>4500168867</v>
      </c>
      <c r="E95" s="959" t="s">
        <v>8577</v>
      </c>
      <c r="F95" s="3629" t="s">
        <v>8578</v>
      </c>
      <c r="G95" s="959" t="s">
        <v>8570</v>
      </c>
      <c r="H95" s="3618" t="s">
        <v>8571</v>
      </c>
      <c r="I95" s="3618">
        <v>18</v>
      </c>
      <c r="J95" s="3618">
        <v>1</v>
      </c>
      <c r="K95" s="3618">
        <v>2</v>
      </c>
      <c r="L95" s="3618">
        <f t="shared" si="15"/>
        <v>9</v>
      </c>
      <c r="M95" s="3619">
        <v>45847</v>
      </c>
      <c r="N95" s="3619">
        <v>45843</v>
      </c>
      <c r="O95" s="3618"/>
      <c r="P95" s="959" t="s">
        <v>82</v>
      </c>
      <c r="Q95" s="3618" t="s">
        <v>4025</v>
      </c>
      <c r="R95" s="3649" t="s">
        <v>3965</v>
      </c>
      <c r="S95" s="3644"/>
      <c r="T95" s="3644" t="s">
        <v>8579</v>
      </c>
      <c r="U95" s="3621"/>
      <c r="V95" s="959" t="s">
        <v>8580</v>
      </c>
      <c r="W95" s="3638" t="s">
        <v>8581</v>
      </c>
      <c r="X95" s="3639" t="s">
        <v>1257</v>
      </c>
      <c r="Y95" s="3618">
        <v>10.9433</v>
      </c>
      <c r="Z95" s="3618">
        <f t="shared" si="28"/>
        <v>196.9794</v>
      </c>
      <c r="AA95" s="3633" t="s">
        <v>8582</v>
      </c>
      <c r="AB95" s="959" t="s">
        <v>8570</v>
      </c>
      <c r="AC95" s="3653" t="s">
        <v>416</v>
      </c>
      <c r="AD95" s="967"/>
      <c r="AE95" s="967"/>
      <c r="AF95" s="967"/>
      <c r="AG95" s="959"/>
      <c r="AH95" s="959">
        <f t="shared" si="27"/>
        <v>18</v>
      </c>
      <c r="AI95" s="959"/>
      <c r="AJ95" s="3618">
        <f t="shared" si="17"/>
        <v>18</v>
      </c>
      <c r="AK95" s="959"/>
      <c r="AL95" s="3655">
        <f t="shared" si="29"/>
        <v>18</v>
      </c>
      <c r="AM95" s="959"/>
      <c r="AN95" s="959"/>
      <c r="AO95" s="3668"/>
      <c r="AP95" s="3669"/>
      <c r="AQ95" s="3655" t="s">
        <v>89</v>
      </c>
      <c r="AR95" s="3626"/>
      <c r="AS95" s="3626"/>
      <c r="AT95" s="3626">
        <f>I95</f>
        <v>18</v>
      </c>
      <c r="AU95" s="3627"/>
      <c r="AV95" s="3627"/>
    </row>
    <row r="96" s="3566" customFormat="1" ht="50" customHeight="1" spans="1:48">
      <c r="A96" s="3616">
        <v>45797</v>
      </c>
      <c r="B96" s="3630" t="s">
        <v>2722</v>
      </c>
      <c r="C96" s="3628" t="s">
        <v>2723</v>
      </c>
      <c r="D96" s="3629">
        <v>4500166992</v>
      </c>
      <c r="E96" s="5458" t="s">
        <v>8583</v>
      </c>
      <c r="F96" s="3629" t="s">
        <v>8584</v>
      </c>
      <c r="G96" s="959" t="s">
        <v>8290</v>
      </c>
      <c r="H96" s="3618" t="s">
        <v>8291</v>
      </c>
      <c r="I96" s="3618">
        <v>600</v>
      </c>
      <c r="J96" s="3618">
        <v>0</v>
      </c>
      <c r="K96" s="3618">
        <v>4</v>
      </c>
      <c r="L96" s="3618">
        <f t="shared" si="15"/>
        <v>150</v>
      </c>
      <c r="M96" s="3619">
        <v>45842</v>
      </c>
      <c r="N96" s="3619">
        <f>M96-4</f>
        <v>45838</v>
      </c>
      <c r="O96" s="3618"/>
      <c r="P96" s="959" t="s">
        <v>82</v>
      </c>
      <c r="Q96" s="3618" t="s">
        <v>1504</v>
      </c>
      <c r="R96" s="3649" t="s">
        <v>1336</v>
      </c>
      <c r="S96" s="3644"/>
      <c r="T96" s="3644" t="s">
        <v>98</v>
      </c>
      <c r="U96" s="3621"/>
      <c r="V96" s="959"/>
      <c r="W96" s="3638" t="s">
        <v>8585</v>
      </c>
      <c r="X96" s="3639" t="s">
        <v>4392</v>
      </c>
      <c r="Y96" s="3618">
        <v>10.1186</v>
      </c>
      <c r="Z96" s="3618">
        <f t="shared" si="28"/>
        <v>6071.16</v>
      </c>
      <c r="AA96" s="3683" t="s">
        <v>8586</v>
      </c>
      <c r="AB96" s="959" t="s">
        <v>8329</v>
      </c>
      <c r="AC96" s="3653" t="s">
        <v>416</v>
      </c>
      <c r="AD96" s="3674"/>
      <c r="AE96" s="3674"/>
      <c r="AF96" s="3674"/>
      <c r="AG96" s="959"/>
      <c r="AH96" s="959">
        <f t="shared" si="27"/>
        <v>600</v>
      </c>
      <c r="AI96" s="959"/>
      <c r="AJ96" s="3618">
        <f t="shared" si="17"/>
        <v>600</v>
      </c>
      <c r="AK96" s="959"/>
      <c r="AL96" s="3655">
        <f t="shared" si="29"/>
        <v>600</v>
      </c>
      <c r="AM96" s="959"/>
      <c r="AN96" s="959"/>
      <c r="AO96" s="3668"/>
      <c r="AP96" s="3669"/>
      <c r="AQ96" s="3655" t="s">
        <v>89</v>
      </c>
      <c r="AR96" s="3626">
        <f>I96/3</f>
        <v>200</v>
      </c>
      <c r="AS96" s="3626">
        <f>I96/3</f>
        <v>200</v>
      </c>
      <c r="AT96" s="3626">
        <f>I96/3</f>
        <v>200</v>
      </c>
      <c r="AU96" s="3627">
        <f>SUM(AR96:AT96)</f>
        <v>600</v>
      </c>
      <c r="AV96" s="3627">
        <f>I96-AU96</f>
        <v>0</v>
      </c>
    </row>
    <row r="97" s="3566" customFormat="1" ht="50" customHeight="1" spans="1:48">
      <c r="A97" s="3616">
        <v>45811</v>
      </c>
      <c r="B97" s="3630" t="s">
        <v>872</v>
      </c>
      <c r="C97" s="3628" t="s">
        <v>873</v>
      </c>
      <c r="D97" s="3629">
        <v>4500168730</v>
      </c>
      <c r="E97" s="959"/>
      <c r="F97" s="3629" t="s">
        <v>8587</v>
      </c>
      <c r="G97" s="959" t="s">
        <v>8290</v>
      </c>
      <c r="H97" s="3618" t="s">
        <v>8291</v>
      </c>
      <c r="I97" s="3618">
        <v>452</v>
      </c>
      <c r="J97" s="3618">
        <v>0</v>
      </c>
      <c r="K97" s="3618">
        <v>4</v>
      </c>
      <c r="L97" s="3618">
        <f t="shared" si="15"/>
        <v>113</v>
      </c>
      <c r="M97" s="3619">
        <v>45848</v>
      </c>
      <c r="N97" s="3619">
        <v>45844</v>
      </c>
      <c r="O97" s="3618"/>
      <c r="P97" s="959" t="s">
        <v>82</v>
      </c>
      <c r="Q97" s="3618" t="s">
        <v>1424</v>
      </c>
      <c r="R97" s="3649" t="s">
        <v>1425</v>
      </c>
      <c r="S97" s="3644"/>
      <c r="T97" s="3644" t="s">
        <v>1426</v>
      </c>
      <c r="U97" s="3621"/>
      <c r="V97" s="959"/>
      <c r="W97" s="3638" t="s">
        <v>8588</v>
      </c>
      <c r="X97" s="3639" t="s">
        <v>1131</v>
      </c>
      <c r="Y97" s="3618">
        <v>10.1386</v>
      </c>
      <c r="Z97" s="3618">
        <f t="shared" si="28"/>
        <v>4582.6472</v>
      </c>
      <c r="AA97" s="3633" t="s">
        <v>8589</v>
      </c>
      <c r="AB97" s="959" t="s">
        <v>8290</v>
      </c>
      <c r="AC97" s="3653" t="s">
        <v>416</v>
      </c>
      <c r="AD97" s="3674"/>
      <c r="AE97" s="3674"/>
      <c r="AF97" s="3674"/>
      <c r="AG97" s="959">
        <f>I97</f>
        <v>452</v>
      </c>
      <c r="AH97" s="959"/>
      <c r="AI97" s="959"/>
      <c r="AJ97" s="3618">
        <f t="shared" si="17"/>
        <v>452</v>
      </c>
      <c r="AK97" s="959"/>
      <c r="AL97" s="3655">
        <f t="shared" si="29"/>
        <v>452</v>
      </c>
      <c r="AM97" s="959"/>
      <c r="AN97" s="959"/>
      <c r="AO97" s="3668"/>
      <c r="AP97" s="3669"/>
      <c r="AQ97" s="3655" t="s">
        <v>89</v>
      </c>
      <c r="AR97" s="3626">
        <f>I97/3</f>
        <v>150.666666666667</v>
      </c>
      <c r="AS97" s="3626">
        <f>I97/3</f>
        <v>150.666666666667</v>
      </c>
      <c r="AT97" s="3626">
        <f>I97/3</f>
        <v>150.666666666667</v>
      </c>
      <c r="AU97" s="3627">
        <f>SUM(AR97:AT97)</f>
        <v>452</v>
      </c>
      <c r="AV97" s="3627">
        <f>I97-AU97</f>
        <v>0</v>
      </c>
    </row>
    <row r="98" s="3566" customFormat="1" ht="50" customHeight="1" spans="1:48">
      <c r="A98" s="3616">
        <v>45814</v>
      </c>
      <c r="B98" s="3630" t="s">
        <v>2770</v>
      </c>
      <c r="C98" s="3628" t="s">
        <v>2723</v>
      </c>
      <c r="D98" s="3629">
        <v>4500169123</v>
      </c>
      <c r="E98" s="959">
        <v>4500061201</v>
      </c>
      <c r="F98" s="3629" t="s">
        <v>8590</v>
      </c>
      <c r="G98" s="959" t="s">
        <v>8290</v>
      </c>
      <c r="H98" s="3618" t="s">
        <v>8291</v>
      </c>
      <c r="I98" s="3618">
        <v>500</v>
      </c>
      <c r="J98" s="3618">
        <v>0</v>
      </c>
      <c r="K98" s="3618">
        <v>4</v>
      </c>
      <c r="L98" s="3618">
        <f t="shared" si="15"/>
        <v>125</v>
      </c>
      <c r="M98" s="3619">
        <v>45849</v>
      </c>
      <c r="N98" s="3619">
        <v>45845</v>
      </c>
      <c r="O98" s="3618"/>
      <c r="P98" s="959" t="s">
        <v>82</v>
      </c>
      <c r="Q98" s="959" t="s">
        <v>8591</v>
      </c>
      <c r="R98" s="3649" t="s">
        <v>1425</v>
      </c>
      <c r="S98" s="3644"/>
      <c r="T98" s="3644" t="s">
        <v>98</v>
      </c>
      <c r="U98" s="3621"/>
      <c r="V98" s="959"/>
      <c r="W98" s="3638" t="s">
        <v>8592</v>
      </c>
      <c r="X98" s="3639" t="s">
        <v>4392</v>
      </c>
      <c r="Y98" s="3618">
        <v>9.6087</v>
      </c>
      <c r="Z98" s="3618">
        <f t="shared" si="28"/>
        <v>4804.35</v>
      </c>
      <c r="AA98" s="3633"/>
      <c r="AB98" s="959" t="s">
        <v>8329</v>
      </c>
      <c r="AC98" s="3653" t="s">
        <v>416</v>
      </c>
      <c r="AD98" s="3674"/>
      <c r="AE98" s="3674"/>
      <c r="AF98" s="3674"/>
      <c r="AG98" s="959"/>
      <c r="AH98" s="959">
        <f t="shared" ref="AH98:AH105" si="30">I98</f>
        <v>500</v>
      </c>
      <c r="AI98" s="959"/>
      <c r="AJ98" s="3618">
        <f t="shared" si="17"/>
        <v>500</v>
      </c>
      <c r="AK98" s="959"/>
      <c r="AL98" s="3655">
        <f t="shared" si="29"/>
        <v>500</v>
      </c>
      <c r="AM98" s="959"/>
      <c r="AN98" s="959"/>
      <c r="AO98" s="3668"/>
      <c r="AP98" s="3669"/>
      <c r="AQ98" s="3655" t="s">
        <v>89</v>
      </c>
      <c r="AR98" s="3626">
        <f>I98/3</f>
        <v>166.666666666667</v>
      </c>
      <c r="AS98" s="3626">
        <f>I98/3</f>
        <v>166.666666666667</v>
      </c>
      <c r="AT98" s="3626">
        <f>I98/3</f>
        <v>166.666666666667</v>
      </c>
      <c r="AU98" s="3627">
        <f>SUM(AR98:AT98)</f>
        <v>500</v>
      </c>
      <c r="AV98" s="3627">
        <f>I98-AU98</f>
        <v>0</v>
      </c>
    </row>
    <row r="99" s="3566" customFormat="1" ht="50" customHeight="1" spans="1:48">
      <c r="A99" s="3616">
        <v>45820</v>
      </c>
      <c r="B99" s="3630" t="s">
        <v>4730</v>
      </c>
      <c r="C99" s="3628" t="s">
        <v>738</v>
      </c>
      <c r="D99" s="3629">
        <v>4500169872</v>
      </c>
      <c r="E99" s="959" t="s">
        <v>8593</v>
      </c>
      <c r="F99" s="3629" t="s">
        <v>8594</v>
      </c>
      <c r="G99" s="959" t="s">
        <v>8575</v>
      </c>
      <c r="H99" s="3618" t="s">
        <v>8576</v>
      </c>
      <c r="I99" s="3618">
        <v>36</v>
      </c>
      <c r="J99" s="3618">
        <v>1</v>
      </c>
      <c r="K99" s="3618">
        <v>2</v>
      </c>
      <c r="L99" s="3618">
        <f t="shared" si="15"/>
        <v>18</v>
      </c>
      <c r="M99" s="3619">
        <v>45856</v>
      </c>
      <c r="N99" s="3619">
        <v>45852</v>
      </c>
      <c r="O99" s="959" t="s">
        <v>8595</v>
      </c>
      <c r="P99" s="959" t="s">
        <v>82</v>
      </c>
      <c r="Q99" s="3620" t="s">
        <v>4135</v>
      </c>
      <c r="R99" s="3649" t="s">
        <v>3965</v>
      </c>
      <c r="S99" s="3649"/>
      <c r="T99" s="3657" t="s">
        <v>8596</v>
      </c>
      <c r="U99" s="3636" t="s">
        <v>8597</v>
      </c>
      <c r="V99" s="3664"/>
      <c r="W99" s="3638" t="s">
        <v>8598</v>
      </c>
      <c r="X99" s="3639" t="s">
        <v>1257</v>
      </c>
      <c r="Y99" s="3618">
        <v>12.078</v>
      </c>
      <c r="Z99" s="3618">
        <f t="shared" si="28"/>
        <v>434.808</v>
      </c>
      <c r="AA99" s="3633" t="s">
        <v>8599</v>
      </c>
      <c r="AB99" s="959" t="s">
        <v>8575</v>
      </c>
      <c r="AC99" s="3653" t="s">
        <v>416</v>
      </c>
      <c r="AD99" s="3674"/>
      <c r="AE99" s="3674"/>
      <c r="AF99" s="3674"/>
      <c r="AG99" s="3618"/>
      <c r="AH99" s="959">
        <f t="shared" si="30"/>
        <v>36</v>
      </c>
      <c r="AI99" s="959"/>
      <c r="AJ99" s="3618">
        <f t="shared" si="17"/>
        <v>36</v>
      </c>
      <c r="AK99" s="959"/>
      <c r="AL99" s="3655">
        <f t="shared" si="29"/>
        <v>36</v>
      </c>
      <c r="AM99" s="959"/>
      <c r="AN99" s="959"/>
      <c r="AO99" s="3668"/>
      <c r="AP99" s="3669"/>
      <c r="AQ99" s="3655" t="s">
        <v>89</v>
      </c>
      <c r="AR99" s="3626"/>
      <c r="AS99" s="3626">
        <f>I99</f>
        <v>36</v>
      </c>
      <c r="AT99" s="3626"/>
      <c r="AU99" s="3627"/>
      <c r="AV99" s="3627"/>
    </row>
    <row r="100" s="3566" customFormat="1" ht="50" customHeight="1" spans="1:48">
      <c r="A100" s="3616">
        <v>45803</v>
      </c>
      <c r="B100" s="3630" t="s">
        <v>461</v>
      </c>
      <c r="C100" s="3628" t="s">
        <v>341</v>
      </c>
      <c r="D100" s="3629">
        <v>4500167904</v>
      </c>
      <c r="E100" s="959" t="s">
        <v>8600</v>
      </c>
      <c r="F100" s="3629" t="s">
        <v>8601</v>
      </c>
      <c r="G100" s="959" t="s">
        <v>8290</v>
      </c>
      <c r="H100" s="3618" t="s">
        <v>8291</v>
      </c>
      <c r="I100" s="3618">
        <v>1180</v>
      </c>
      <c r="J100" s="3618">
        <v>0</v>
      </c>
      <c r="K100" s="3618">
        <v>4</v>
      </c>
      <c r="L100" s="3618">
        <f t="shared" si="15"/>
        <v>295</v>
      </c>
      <c r="M100" s="3619">
        <v>45860</v>
      </c>
      <c r="N100" s="3619">
        <v>45856</v>
      </c>
      <c r="O100" s="3618"/>
      <c r="P100" s="959" t="s">
        <v>82</v>
      </c>
      <c r="Q100" s="3620" t="s">
        <v>7104</v>
      </c>
      <c r="R100" s="3649" t="s">
        <v>1412</v>
      </c>
      <c r="S100" s="3649"/>
      <c r="T100" s="3657" t="s">
        <v>98</v>
      </c>
      <c r="U100" s="3636" t="s">
        <v>8602</v>
      </c>
      <c r="V100" s="3664"/>
      <c r="W100" s="3638" t="s">
        <v>8603</v>
      </c>
      <c r="X100" s="3639" t="s">
        <v>87</v>
      </c>
      <c r="Y100" s="3618">
        <v>10.0611</v>
      </c>
      <c r="Z100" s="3618">
        <f t="shared" si="28"/>
        <v>11872.098</v>
      </c>
      <c r="AA100" s="3633" t="s">
        <v>8604</v>
      </c>
      <c r="AB100" s="959" t="s">
        <v>8329</v>
      </c>
      <c r="AC100" s="3653" t="s">
        <v>416</v>
      </c>
      <c r="AD100" s="967"/>
      <c r="AE100" s="967"/>
      <c r="AF100" s="967"/>
      <c r="AG100" s="3618"/>
      <c r="AH100" s="959">
        <f t="shared" si="30"/>
        <v>1180</v>
      </c>
      <c r="AI100" s="959"/>
      <c r="AJ100" s="3618">
        <f t="shared" si="17"/>
        <v>1180</v>
      </c>
      <c r="AK100" s="959"/>
      <c r="AL100" s="3655">
        <f t="shared" si="29"/>
        <v>1180</v>
      </c>
      <c r="AM100" s="959"/>
      <c r="AN100" s="959"/>
      <c r="AO100" s="3668"/>
      <c r="AP100" s="3669"/>
      <c r="AQ100" s="3655" t="s">
        <v>89</v>
      </c>
      <c r="AR100" s="3626">
        <f t="shared" ref="AR100:AR111" si="31">I100/3</f>
        <v>393.333333333333</v>
      </c>
      <c r="AS100" s="3626">
        <f t="shared" ref="AS100:AS111" si="32">I100/3</f>
        <v>393.333333333333</v>
      </c>
      <c r="AT100" s="3626">
        <f t="shared" ref="AT100:AT111" si="33">I100/3</f>
        <v>393.333333333333</v>
      </c>
      <c r="AU100" s="3627">
        <f t="shared" ref="AU100:AU143" si="34">SUM(AR100:AT100)</f>
        <v>1180</v>
      </c>
      <c r="AV100" s="3627">
        <f t="shared" ref="AV100:AV163" si="35">I100-AU100</f>
        <v>0</v>
      </c>
    </row>
    <row r="101" s="3566" customFormat="1" ht="50" customHeight="1" spans="1:48">
      <c r="A101" s="3616">
        <v>45763</v>
      </c>
      <c r="B101" s="3630" t="s">
        <v>3811</v>
      </c>
      <c r="C101" s="3617" t="s">
        <v>3812</v>
      </c>
      <c r="D101" s="3629">
        <v>4500163691</v>
      </c>
      <c r="E101" s="959" t="s">
        <v>3813</v>
      </c>
      <c r="F101" s="3629" t="s">
        <v>8605</v>
      </c>
      <c r="G101" s="959" t="s">
        <v>8290</v>
      </c>
      <c r="H101" s="3618" t="s">
        <v>8291</v>
      </c>
      <c r="I101" s="3618">
        <v>500</v>
      </c>
      <c r="J101" s="3618">
        <v>0</v>
      </c>
      <c r="K101" s="3618">
        <v>4</v>
      </c>
      <c r="L101" s="3618">
        <f t="shared" si="15"/>
        <v>125</v>
      </c>
      <c r="M101" s="3659">
        <v>45818</v>
      </c>
      <c r="N101" s="3619">
        <v>45834</v>
      </c>
      <c r="O101" s="3618"/>
      <c r="P101" s="959" t="s">
        <v>82</v>
      </c>
      <c r="Q101" s="3618" t="s">
        <v>200</v>
      </c>
      <c r="R101" s="3649" t="s">
        <v>3815</v>
      </c>
      <c r="S101" s="3657"/>
      <c r="T101" s="3657" t="s">
        <v>3816</v>
      </c>
      <c r="U101" s="3640"/>
      <c r="V101" s="959"/>
      <c r="W101" s="3638" t="s">
        <v>8606</v>
      </c>
      <c r="X101" s="3639" t="s">
        <v>459</v>
      </c>
      <c r="Y101" s="3618">
        <v>10.1186</v>
      </c>
      <c r="Z101" s="3618">
        <f t="shared" si="28"/>
        <v>5059.3</v>
      </c>
      <c r="AA101" s="3633" t="s">
        <v>3818</v>
      </c>
      <c r="AB101" s="959" t="s">
        <v>8329</v>
      </c>
      <c r="AC101" s="3620" t="s">
        <v>416</v>
      </c>
      <c r="AD101" s="967"/>
      <c r="AE101" s="967"/>
      <c r="AF101" s="967"/>
      <c r="AG101" s="959"/>
      <c r="AH101" s="959">
        <f t="shared" si="30"/>
        <v>500</v>
      </c>
      <c r="AI101" s="959"/>
      <c r="AJ101" s="3618">
        <f t="shared" si="17"/>
        <v>500</v>
      </c>
      <c r="AK101" s="3626"/>
      <c r="AL101" s="3626">
        <f t="shared" si="29"/>
        <v>500</v>
      </c>
      <c r="AM101" s="3626"/>
      <c r="AN101" s="3626"/>
      <c r="AO101" s="3626"/>
      <c r="AP101" s="3655"/>
      <c r="AQ101" s="3655" t="s">
        <v>89</v>
      </c>
      <c r="AR101" s="3626">
        <f t="shared" si="31"/>
        <v>166.666666666667</v>
      </c>
      <c r="AS101" s="3626">
        <f t="shared" si="32"/>
        <v>166.666666666667</v>
      </c>
      <c r="AT101" s="3626">
        <f t="shared" si="33"/>
        <v>166.666666666667</v>
      </c>
      <c r="AU101" s="3627">
        <f t="shared" si="34"/>
        <v>500</v>
      </c>
      <c r="AV101" s="3627">
        <f t="shared" si="35"/>
        <v>0</v>
      </c>
    </row>
    <row r="102" s="3566" customFormat="1" ht="50" customHeight="1" spans="1:48">
      <c r="A102" s="3616">
        <v>45803</v>
      </c>
      <c r="B102" s="3630" t="s">
        <v>470</v>
      </c>
      <c r="C102" s="3628" t="s">
        <v>471</v>
      </c>
      <c r="D102" s="3629">
        <v>4500167911</v>
      </c>
      <c r="E102" s="959" t="s">
        <v>8607</v>
      </c>
      <c r="F102" s="3629" t="s">
        <v>8608</v>
      </c>
      <c r="G102" s="959" t="s">
        <v>8290</v>
      </c>
      <c r="H102" s="3618" t="s">
        <v>8291</v>
      </c>
      <c r="I102" s="3618">
        <v>1900</v>
      </c>
      <c r="J102" s="3618">
        <v>0</v>
      </c>
      <c r="K102" s="3618">
        <v>4</v>
      </c>
      <c r="L102" s="3618">
        <f t="shared" si="15"/>
        <v>475</v>
      </c>
      <c r="M102" s="3619">
        <v>45860</v>
      </c>
      <c r="N102" s="3619">
        <v>45856</v>
      </c>
      <c r="O102" s="3618"/>
      <c r="P102" s="959" t="s">
        <v>82</v>
      </c>
      <c r="Q102" s="3620" t="s">
        <v>1341</v>
      </c>
      <c r="R102" s="3649" t="s">
        <v>1412</v>
      </c>
      <c r="S102" s="3649"/>
      <c r="T102" s="3657" t="s">
        <v>98</v>
      </c>
      <c r="U102" s="3636" t="s">
        <v>8602</v>
      </c>
      <c r="V102" s="3664"/>
      <c r="W102" s="3638" t="s">
        <v>8603</v>
      </c>
      <c r="X102" s="3639" t="s">
        <v>87</v>
      </c>
      <c r="Y102" s="3618">
        <v>10.0611</v>
      </c>
      <c r="Z102" s="3618">
        <f t="shared" si="28"/>
        <v>19116.09</v>
      </c>
      <c r="AA102" s="3633" t="s">
        <v>8609</v>
      </c>
      <c r="AB102" s="959" t="s">
        <v>8329</v>
      </c>
      <c r="AC102" s="3653" t="s">
        <v>416</v>
      </c>
      <c r="AD102" s="3674"/>
      <c r="AE102" s="3674"/>
      <c r="AF102" s="3674"/>
      <c r="AG102" s="3618"/>
      <c r="AH102" s="959">
        <f t="shared" si="30"/>
        <v>1900</v>
      </c>
      <c r="AI102" s="959"/>
      <c r="AJ102" s="3618">
        <f t="shared" si="17"/>
        <v>1900</v>
      </c>
      <c r="AK102" s="959"/>
      <c r="AL102" s="3655">
        <f t="shared" si="29"/>
        <v>1900</v>
      </c>
      <c r="AM102" s="959"/>
      <c r="AN102" s="959"/>
      <c r="AO102" s="3668"/>
      <c r="AP102" s="3669"/>
      <c r="AQ102" s="3655" t="s">
        <v>89</v>
      </c>
      <c r="AR102" s="3626">
        <f t="shared" si="31"/>
        <v>633.333333333333</v>
      </c>
      <c r="AS102" s="3626">
        <f t="shared" si="32"/>
        <v>633.333333333333</v>
      </c>
      <c r="AT102" s="3626">
        <f t="shared" si="33"/>
        <v>633.333333333333</v>
      </c>
      <c r="AU102" s="3627">
        <f t="shared" si="34"/>
        <v>1900</v>
      </c>
      <c r="AV102" s="3627">
        <f t="shared" si="35"/>
        <v>0</v>
      </c>
    </row>
    <row r="103" s="3566" customFormat="1" ht="50" customHeight="1" spans="1:48">
      <c r="A103" s="3616">
        <v>45803</v>
      </c>
      <c r="B103" s="3630" t="s">
        <v>470</v>
      </c>
      <c r="C103" s="3628" t="s">
        <v>471</v>
      </c>
      <c r="D103" s="3629">
        <v>4500167911</v>
      </c>
      <c r="E103" s="959" t="s">
        <v>8610</v>
      </c>
      <c r="F103" s="3629" t="s">
        <v>8611</v>
      </c>
      <c r="G103" s="959" t="s">
        <v>8290</v>
      </c>
      <c r="H103" s="3618" t="s">
        <v>8291</v>
      </c>
      <c r="I103" s="3618">
        <v>1900</v>
      </c>
      <c r="J103" s="3618">
        <v>0</v>
      </c>
      <c r="K103" s="3618">
        <v>4</v>
      </c>
      <c r="L103" s="3618">
        <f t="shared" si="15"/>
        <v>475</v>
      </c>
      <c r="M103" s="3619">
        <v>45860</v>
      </c>
      <c r="N103" s="3619">
        <v>45856</v>
      </c>
      <c r="O103" s="3618"/>
      <c r="P103" s="959" t="s">
        <v>82</v>
      </c>
      <c r="Q103" s="3620" t="s">
        <v>1341</v>
      </c>
      <c r="R103" s="3649" t="s">
        <v>1412</v>
      </c>
      <c r="S103" s="3649"/>
      <c r="T103" s="3657" t="s">
        <v>98</v>
      </c>
      <c r="U103" s="3636" t="s">
        <v>8602</v>
      </c>
      <c r="V103" s="3664"/>
      <c r="W103" s="3638" t="s">
        <v>8603</v>
      </c>
      <c r="X103" s="3639" t="s">
        <v>87</v>
      </c>
      <c r="Y103" s="3618">
        <v>10.0611</v>
      </c>
      <c r="Z103" s="3618">
        <f t="shared" si="28"/>
        <v>19116.09</v>
      </c>
      <c r="AA103" s="3633" t="s">
        <v>8609</v>
      </c>
      <c r="AB103" s="959" t="s">
        <v>8329</v>
      </c>
      <c r="AC103" s="3653" t="s">
        <v>416</v>
      </c>
      <c r="AD103" s="3674"/>
      <c r="AE103" s="3674"/>
      <c r="AF103" s="3674"/>
      <c r="AG103" s="3618"/>
      <c r="AH103" s="959">
        <f t="shared" si="30"/>
        <v>1900</v>
      </c>
      <c r="AI103" s="959"/>
      <c r="AJ103" s="3618">
        <f t="shared" si="17"/>
        <v>1900</v>
      </c>
      <c r="AK103" s="959"/>
      <c r="AL103" s="3655">
        <f t="shared" si="29"/>
        <v>1900</v>
      </c>
      <c r="AM103" s="959"/>
      <c r="AN103" s="959"/>
      <c r="AO103" s="3668"/>
      <c r="AP103" s="3669"/>
      <c r="AQ103" s="3655" t="s">
        <v>89</v>
      </c>
      <c r="AR103" s="3626">
        <f t="shared" si="31"/>
        <v>633.333333333333</v>
      </c>
      <c r="AS103" s="3626">
        <f t="shared" si="32"/>
        <v>633.333333333333</v>
      </c>
      <c r="AT103" s="3626">
        <f t="shared" si="33"/>
        <v>633.333333333333</v>
      </c>
      <c r="AU103" s="3627">
        <f t="shared" si="34"/>
        <v>1900</v>
      </c>
      <c r="AV103" s="3627">
        <f t="shared" si="35"/>
        <v>0</v>
      </c>
    </row>
    <row r="104" s="3566" customFormat="1" ht="50" customHeight="1" spans="1:48">
      <c r="A104" s="3616">
        <v>45803</v>
      </c>
      <c r="B104" s="3630" t="s">
        <v>470</v>
      </c>
      <c r="C104" s="3628" t="s">
        <v>471</v>
      </c>
      <c r="D104" s="3629">
        <v>4500167911</v>
      </c>
      <c r="E104" s="959" t="s">
        <v>8612</v>
      </c>
      <c r="F104" s="3629" t="s">
        <v>8613</v>
      </c>
      <c r="G104" s="959" t="s">
        <v>8290</v>
      </c>
      <c r="H104" s="3618" t="s">
        <v>8291</v>
      </c>
      <c r="I104" s="3618">
        <v>1200</v>
      </c>
      <c r="J104" s="3618">
        <v>0</v>
      </c>
      <c r="K104" s="3618">
        <v>4</v>
      </c>
      <c r="L104" s="3618">
        <f t="shared" si="15"/>
        <v>300</v>
      </c>
      <c r="M104" s="3619">
        <v>45860</v>
      </c>
      <c r="N104" s="3619">
        <v>45856</v>
      </c>
      <c r="O104" s="3618"/>
      <c r="P104" s="959" t="s">
        <v>82</v>
      </c>
      <c r="Q104" s="3620" t="s">
        <v>1341</v>
      </c>
      <c r="R104" s="3649" t="s">
        <v>1412</v>
      </c>
      <c r="S104" s="3649"/>
      <c r="T104" s="3657" t="s">
        <v>98</v>
      </c>
      <c r="U104" s="3636" t="s">
        <v>8602</v>
      </c>
      <c r="V104" s="3664"/>
      <c r="W104" s="3638" t="s">
        <v>8603</v>
      </c>
      <c r="X104" s="3639" t="s">
        <v>87</v>
      </c>
      <c r="Y104" s="3618">
        <v>10.0611</v>
      </c>
      <c r="Z104" s="3618">
        <f t="shared" si="28"/>
        <v>12073.32</v>
      </c>
      <c r="AA104" s="3633" t="s">
        <v>8609</v>
      </c>
      <c r="AB104" s="959" t="s">
        <v>8329</v>
      </c>
      <c r="AC104" s="3653" t="s">
        <v>416</v>
      </c>
      <c r="AD104" s="3674"/>
      <c r="AE104" s="3674"/>
      <c r="AF104" s="3674"/>
      <c r="AG104" s="3618"/>
      <c r="AH104" s="959">
        <f t="shared" si="30"/>
        <v>1200</v>
      </c>
      <c r="AI104" s="959"/>
      <c r="AJ104" s="3618">
        <f t="shared" si="17"/>
        <v>1200</v>
      </c>
      <c r="AK104" s="959"/>
      <c r="AL104" s="3655">
        <f t="shared" si="29"/>
        <v>1200</v>
      </c>
      <c r="AM104" s="959"/>
      <c r="AN104" s="959"/>
      <c r="AO104" s="3668"/>
      <c r="AP104" s="3669"/>
      <c r="AQ104" s="3655" t="s">
        <v>89</v>
      </c>
      <c r="AR104" s="3626">
        <f t="shared" si="31"/>
        <v>400</v>
      </c>
      <c r="AS104" s="3626">
        <f t="shared" si="32"/>
        <v>400</v>
      </c>
      <c r="AT104" s="3626">
        <f t="shared" si="33"/>
        <v>400</v>
      </c>
      <c r="AU104" s="3627">
        <f t="shared" si="34"/>
        <v>1200</v>
      </c>
      <c r="AV104" s="3627">
        <f t="shared" si="35"/>
        <v>0</v>
      </c>
    </row>
    <row r="105" s="3566" customFormat="1" ht="50" customHeight="1" spans="1:48">
      <c r="A105" s="3616">
        <v>45775</v>
      </c>
      <c r="B105" s="3630" t="s">
        <v>8492</v>
      </c>
      <c r="C105" s="3628" t="s">
        <v>6225</v>
      </c>
      <c r="D105" s="3629">
        <v>4500160470</v>
      </c>
      <c r="E105" s="959">
        <v>300565974</v>
      </c>
      <c r="F105" s="3629" t="s">
        <v>8614</v>
      </c>
      <c r="G105" s="959" t="s">
        <v>8477</v>
      </c>
      <c r="H105" s="3618" t="s">
        <v>8291</v>
      </c>
      <c r="I105" s="3618">
        <v>328</v>
      </c>
      <c r="J105" s="3618">
        <v>0</v>
      </c>
      <c r="K105" s="3618">
        <v>4</v>
      </c>
      <c r="L105" s="3618">
        <f t="shared" si="15"/>
        <v>82</v>
      </c>
      <c r="M105" s="3619">
        <v>45861</v>
      </c>
      <c r="N105" s="3619">
        <f>M105-4</f>
        <v>45857</v>
      </c>
      <c r="O105" s="3618"/>
      <c r="P105" s="959" t="s">
        <v>82</v>
      </c>
      <c r="Q105" s="3620" t="s">
        <v>5989</v>
      </c>
      <c r="R105" s="3657" t="s">
        <v>3734</v>
      </c>
      <c r="S105" s="3619"/>
      <c r="T105" s="3619" t="s">
        <v>3726</v>
      </c>
      <c r="U105" s="3618"/>
      <c r="V105" s="3661"/>
      <c r="W105" s="3638" t="s">
        <v>8615</v>
      </c>
      <c r="X105" s="3639" t="s">
        <v>1631</v>
      </c>
      <c r="Y105" s="3618">
        <v>10.3528</v>
      </c>
      <c r="Z105" s="3618">
        <f t="shared" si="28"/>
        <v>3395.7184</v>
      </c>
      <c r="AA105" s="3683" t="s">
        <v>8616</v>
      </c>
      <c r="AB105" s="3672" t="s">
        <v>8479</v>
      </c>
      <c r="AC105" s="3653" t="s">
        <v>416</v>
      </c>
      <c r="AD105" s="3674"/>
      <c r="AE105" s="3674"/>
      <c r="AF105" s="3674"/>
      <c r="AG105" s="3618"/>
      <c r="AH105" s="959">
        <f t="shared" si="30"/>
        <v>328</v>
      </c>
      <c r="AI105" s="959"/>
      <c r="AJ105" s="3618">
        <f t="shared" si="17"/>
        <v>328</v>
      </c>
      <c r="AK105" s="959"/>
      <c r="AL105" s="3636"/>
      <c r="AM105" s="959">
        <f>I105</f>
        <v>328</v>
      </c>
      <c r="AN105" s="959"/>
      <c r="AO105" s="3668"/>
      <c r="AP105" s="3668"/>
      <c r="AQ105" s="3626" t="s">
        <v>89</v>
      </c>
      <c r="AR105" s="3626">
        <f t="shared" si="31"/>
        <v>109.333333333333</v>
      </c>
      <c r="AS105" s="3626">
        <f t="shared" si="32"/>
        <v>109.333333333333</v>
      </c>
      <c r="AT105" s="3626">
        <f t="shared" si="33"/>
        <v>109.333333333333</v>
      </c>
      <c r="AU105" s="3627">
        <f t="shared" si="34"/>
        <v>328</v>
      </c>
      <c r="AV105" s="3627">
        <f t="shared" si="35"/>
        <v>0</v>
      </c>
    </row>
    <row r="106" s="3566" customFormat="1" ht="50" customHeight="1" spans="1:48">
      <c r="A106" s="3616">
        <v>45817</v>
      </c>
      <c r="B106" s="3630" t="s">
        <v>3905</v>
      </c>
      <c r="C106" s="3628" t="s">
        <v>1385</v>
      </c>
      <c r="D106" s="3629">
        <v>4500169407</v>
      </c>
      <c r="E106" s="959" t="s">
        <v>4314</v>
      </c>
      <c r="F106" s="3629" t="s">
        <v>8617</v>
      </c>
      <c r="G106" s="959" t="s">
        <v>8290</v>
      </c>
      <c r="H106" s="3618" t="s">
        <v>8291</v>
      </c>
      <c r="I106" s="3618">
        <v>248</v>
      </c>
      <c r="J106" s="3618">
        <v>0</v>
      </c>
      <c r="K106" s="3618">
        <v>4</v>
      </c>
      <c r="L106" s="3618">
        <f t="shared" si="15"/>
        <v>62</v>
      </c>
      <c r="M106" s="3619">
        <v>45859</v>
      </c>
      <c r="N106" s="3619">
        <f>M106-4</f>
        <v>45855</v>
      </c>
      <c r="O106" s="3618"/>
      <c r="P106" s="959" t="s">
        <v>82</v>
      </c>
      <c r="Q106" s="3620" t="s">
        <v>1341</v>
      </c>
      <c r="R106" s="3649" t="s">
        <v>2441</v>
      </c>
      <c r="S106" s="3649"/>
      <c r="T106" s="3657" t="s">
        <v>4316</v>
      </c>
      <c r="U106" s="3621"/>
      <c r="V106" s="3664"/>
      <c r="W106" s="3638" t="s">
        <v>8618</v>
      </c>
      <c r="X106" s="3639" t="s">
        <v>448</v>
      </c>
      <c r="Y106" s="3618">
        <v>9.6286</v>
      </c>
      <c r="Z106" s="3618">
        <f t="shared" si="28"/>
        <v>2387.8928</v>
      </c>
      <c r="AA106" s="3683" t="s">
        <v>4318</v>
      </c>
      <c r="AB106" s="959" t="s">
        <v>8290</v>
      </c>
      <c r="AC106" s="3653" t="s">
        <v>416</v>
      </c>
      <c r="AD106" s="3674"/>
      <c r="AE106" s="3674"/>
      <c r="AF106" s="3674"/>
      <c r="AG106" s="3618">
        <f>I106</f>
        <v>248</v>
      </c>
      <c r="AH106" s="959"/>
      <c r="AI106" s="959"/>
      <c r="AJ106" s="3618">
        <f t="shared" si="17"/>
        <v>248</v>
      </c>
      <c r="AK106" s="959"/>
      <c r="AL106" s="3636">
        <f t="shared" ref="AL106:AL118" si="36">I106</f>
        <v>248</v>
      </c>
      <c r="AM106" s="959"/>
      <c r="AN106" s="959"/>
      <c r="AO106" s="3668"/>
      <c r="AP106" s="3669"/>
      <c r="AQ106" s="3655" t="s">
        <v>89</v>
      </c>
      <c r="AR106" s="3626">
        <f t="shared" si="31"/>
        <v>82.6666666666667</v>
      </c>
      <c r="AS106" s="3626">
        <f t="shared" si="32"/>
        <v>82.6666666666667</v>
      </c>
      <c r="AT106" s="3626">
        <f t="shared" si="33"/>
        <v>82.6666666666667</v>
      </c>
      <c r="AU106" s="3627">
        <f t="shared" si="34"/>
        <v>248</v>
      </c>
      <c r="AV106" s="3627">
        <f t="shared" si="35"/>
        <v>0</v>
      </c>
    </row>
    <row r="107" s="3566" customFormat="1" ht="50" customHeight="1" spans="1:48">
      <c r="A107" s="3616">
        <v>45803</v>
      </c>
      <c r="B107" s="3630" t="s">
        <v>461</v>
      </c>
      <c r="C107" s="3628" t="s">
        <v>341</v>
      </c>
      <c r="D107" s="3629">
        <v>4500167904</v>
      </c>
      <c r="E107" s="959" t="s">
        <v>8619</v>
      </c>
      <c r="F107" s="3629" t="s">
        <v>8620</v>
      </c>
      <c r="G107" s="959" t="s">
        <v>8290</v>
      </c>
      <c r="H107" s="3618" t="s">
        <v>8291</v>
      </c>
      <c r="I107" s="3618">
        <v>1940</v>
      </c>
      <c r="J107" s="3618">
        <v>0</v>
      </c>
      <c r="K107" s="3618">
        <v>4</v>
      </c>
      <c r="L107" s="3618">
        <f t="shared" si="15"/>
        <v>485</v>
      </c>
      <c r="M107" s="3619">
        <v>45860</v>
      </c>
      <c r="N107" s="3619">
        <v>45856</v>
      </c>
      <c r="O107" s="3618"/>
      <c r="P107" s="959" t="s">
        <v>82</v>
      </c>
      <c r="Q107" s="3620" t="s">
        <v>208</v>
      </c>
      <c r="R107" s="3649" t="s">
        <v>1412</v>
      </c>
      <c r="S107" s="3649"/>
      <c r="T107" s="3657" t="s">
        <v>98</v>
      </c>
      <c r="U107" s="3636" t="s">
        <v>8602</v>
      </c>
      <c r="V107" s="3664"/>
      <c r="W107" s="3638" t="s">
        <v>8603</v>
      </c>
      <c r="X107" s="3639" t="s">
        <v>87</v>
      </c>
      <c r="Y107" s="3618">
        <v>10.0611</v>
      </c>
      <c r="Z107" s="3618">
        <f t="shared" si="28"/>
        <v>19518.534</v>
      </c>
      <c r="AA107" s="3633" t="s">
        <v>8604</v>
      </c>
      <c r="AB107" s="959" t="s">
        <v>8329</v>
      </c>
      <c r="AC107" s="3653" t="s">
        <v>416</v>
      </c>
      <c r="AD107" s="3674"/>
      <c r="AE107" s="3674"/>
      <c r="AF107" s="3674"/>
      <c r="AG107" s="3618"/>
      <c r="AH107" s="959">
        <f>I107</f>
        <v>1940</v>
      </c>
      <c r="AI107" s="959"/>
      <c r="AJ107" s="3618">
        <f t="shared" si="17"/>
        <v>1940</v>
      </c>
      <c r="AK107" s="959"/>
      <c r="AL107" s="3655">
        <f t="shared" si="36"/>
        <v>1940</v>
      </c>
      <c r="AM107" s="959"/>
      <c r="AN107" s="959"/>
      <c r="AO107" s="3668"/>
      <c r="AP107" s="3669"/>
      <c r="AQ107" s="3655" t="s">
        <v>89</v>
      </c>
      <c r="AR107" s="3626">
        <f t="shared" si="31"/>
        <v>646.666666666667</v>
      </c>
      <c r="AS107" s="3626">
        <f t="shared" si="32"/>
        <v>646.666666666667</v>
      </c>
      <c r="AT107" s="3626">
        <f t="shared" si="33"/>
        <v>646.666666666667</v>
      </c>
      <c r="AU107" s="3627">
        <f t="shared" si="34"/>
        <v>1940</v>
      </c>
      <c r="AV107" s="3627">
        <f t="shared" si="35"/>
        <v>0</v>
      </c>
    </row>
    <row r="108" s="3566" customFormat="1" ht="50" customHeight="1" spans="1:48">
      <c r="A108" s="3616">
        <v>45803</v>
      </c>
      <c r="B108" s="3630" t="s">
        <v>461</v>
      </c>
      <c r="C108" s="3628" t="s">
        <v>341</v>
      </c>
      <c r="D108" s="3629">
        <v>4500167904</v>
      </c>
      <c r="E108" s="959" t="s">
        <v>8621</v>
      </c>
      <c r="F108" s="3629" t="s">
        <v>8622</v>
      </c>
      <c r="G108" s="959" t="s">
        <v>8290</v>
      </c>
      <c r="H108" s="3618" t="s">
        <v>8291</v>
      </c>
      <c r="I108" s="3618">
        <v>1940</v>
      </c>
      <c r="J108" s="3618">
        <v>0</v>
      </c>
      <c r="K108" s="3618">
        <v>4</v>
      </c>
      <c r="L108" s="3618">
        <f t="shared" si="15"/>
        <v>485</v>
      </c>
      <c r="M108" s="3619">
        <v>45860</v>
      </c>
      <c r="N108" s="3619">
        <v>45856</v>
      </c>
      <c r="O108" s="3618"/>
      <c r="P108" s="959" t="s">
        <v>82</v>
      </c>
      <c r="Q108" s="3620" t="s">
        <v>208</v>
      </c>
      <c r="R108" s="3649" t="s">
        <v>1412</v>
      </c>
      <c r="S108" s="3649"/>
      <c r="T108" s="3657" t="s">
        <v>98</v>
      </c>
      <c r="U108" s="3636" t="s">
        <v>8602</v>
      </c>
      <c r="V108" s="3664"/>
      <c r="W108" s="3638" t="s">
        <v>8603</v>
      </c>
      <c r="X108" s="3639" t="s">
        <v>87</v>
      </c>
      <c r="Y108" s="3618">
        <v>10.0611</v>
      </c>
      <c r="Z108" s="3618">
        <f t="shared" si="28"/>
        <v>19518.534</v>
      </c>
      <c r="AA108" s="3633" t="s">
        <v>8604</v>
      </c>
      <c r="AB108" s="959" t="s">
        <v>8329</v>
      </c>
      <c r="AC108" s="3653" t="s">
        <v>416</v>
      </c>
      <c r="AD108" s="3674"/>
      <c r="AE108" s="3674"/>
      <c r="AF108" s="3674"/>
      <c r="AG108" s="3618"/>
      <c r="AH108" s="959">
        <f>I108</f>
        <v>1940</v>
      </c>
      <c r="AI108" s="959"/>
      <c r="AJ108" s="3618">
        <f t="shared" si="17"/>
        <v>1940</v>
      </c>
      <c r="AK108" s="959"/>
      <c r="AL108" s="3655">
        <f t="shared" si="36"/>
        <v>1940</v>
      </c>
      <c r="AM108" s="959"/>
      <c r="AN108" s="959"/>
      <c r="AO108" s="3668"/>
      <c r="AP108" s="3669"/>
      <c r="AQ108" s="3655" t="s">
        <v>89</v>
      </c>
      <c r="AR108" s="3626">
        <f t="shared" si="31"/>
        <v>646.666666666667</v>
      </c>
      <c r="AS108" s="3626">
        <f t="shared" si="32"/>
        <v>646.666666666667</v>
      </c>
      <c r="AT108" s="3626">
        <f t="shared" si="33"/>
        <v>646.666666666667</v>
      </c>
      <c r="AU108" s="3627">
        <f t="shared" si="34"/>
        <v>1940</v>
      </c>
      <c r="AV108" s="3627">
        <f t="shared" si="35"/>
        <v>0</v>
      </c>
    </row>
    <row r="109" s="3566" customFormat="1" ht="50" customHeight="1" spans="1:48">
      <c r="A109" s="3616">
        <v>45803</v>
      </c>
      <c r="B109" s="3630" t="s">
        <v>461</v>
      </c>
      <c r="C109" s="3628" t="s">
        <v>341</v>
      </c>
      <c r="D109" s="3629">
        <v>4500167904</v>
      </c>
      <c r="E109" s="959" t="s">
        <v>8623</v>
      </c>
      <c r="F109" s="3629" t="s">
        <v>8624</v>
      </c>
      <c r="G109" s="959" t="s">
        <v>8290</v>
      </c>
      <c r="H109" s="3618" t="s">
        <v>8291</v>
      </c>
      <c r="I109" s="3618">
        <v>1940</v>
      </c>
      <c r="J109" s="3618">
        <v>0</v>
      </c>
      <c r="K109" s="3618">
        <v>4</v>
      </c>
      <c r="L109" s="3618">
        <f t="shared" si="15"/>
        <v>485</v>
      </c>
      <c r="M109" s="3619">
        <v>45860</v>
      </c>
      <c r="N109" s="3619">
        <v>45856</v>
      </c>
      <c r="O109" s="3618"/>
      <c r="P109" s="959" t="s">
        <v>82</v>
      </c>
      <c r="Q109" s="3620" t="s">
        <v>208</v>
      </c>
      <c r="R109" s="3649" t="s">
        <v>1412</v>
      </c>
      <c r="S109" s="3649"/>
      <c r="T109" s="3657" t="s">
        <v>98</v>
      </c>
      <c r="U109" s="3636" t="s">
        <v>8602</v>
      </c>
      <c r="V109" s="3664"/>
      <c r="W109" s="3638" t="s">
        <v>8603</v>
      </c>
      <c r="X109" s="3639" t="s">
        <v>87</v>
      </c>
      <c r="Y109" s="3618">
        <v>10.0611</v>
      </c>
      <c r="Z109" s="3618">
        <f t="shared" si="28"/>
        <v>19518.534</v>
      </c>
      <c r="AA109" s="3633" t="s">
        <v>8604</v>
      </c>
      <c r="AB109" s="959" t="s">
        <v>8329</v>
      </c>
      <c r="AC109" s="3653" t="s">
        <v>416</v>
      </c>
      <c r="AD109" s="3674"/>
      <c r="AE109" s="3674"/>
      <c r="AF109" s="3674"/>
      <c r="AG109" s="3618"/>
      <c r="AH109" s="959">
        <f>I109</f>
        <v>1940</v>
      </c>
      <c r="AI109" s="959"/>
      <c r="AJ109" s="3618">
        <f t="shared" si="17"/>
        <v>1940</v>
      </c>
      <c r="AK109" s="959"/>
      <c r="AL109" s="3655">
        <f t="shared" si="36"/>
        <v>1940</v>
      </c>
      <c r="AM109" s="959"/>
      <c r="AN109" s="959"/>
      <c r="AO109" s="3668"/>
      <c r="AP109" s="3669"/>
      <c r="AQ109" s="3655" t="s">
        <v>89</v>
      </c>
      <c r="AR109" s="3626">
        <f t="shared" si="31"/>
        <v>646.666666666667</v>
      </c>
      <c r="AS109" s="3626">
        <f t="shared" si="32"/>
        <v>646.666666666667</v>
      </c>
      <c r="AT109" s="3626">
        <f t="shared" si="33"/>
        <v>646.666666666667</v>
      </c>
      <c r="AU109" s="3627">
        <f t="shared" si="34"/>
        <v>1940</v>
      </c>
      <c r="AV109" s="3627">
        <f t="shared" si="35"/>
        <v>0</v>
      </c>
    </row>
    <row r="110" s="3566" customFormat="1" ht="50" customHeight="1" spans="1:48">
      <c r="A110" s="3616">
        <v>45814</v>
      </c>
      <c r="B110" s="3630" t="s">
        <v>8625</v>
      </c>
      <c r="C110" s="3628" t="s">
        <v>8626</v>
      </c>
      <c r="D110" s="3629">
        <v>4500169186</v>
      </c>
      <c r="E110" s="959"/>
      <c r="F110" s="3629" t="s">
        <v>8627</v>
      </c>
      <c r="G110" s="959" t="s">
        <v>8290</v>
      </c>
      <c r="H110" s="3618" t="s">
        <v>8291</v>
      </c>
      <c r="I110" s="3618">
        <v>3000</v>
      </c>
      <c r="J110" s="3618">
        <v>0</v>
      </c>
      <c r="K110" s="3618">
        <v>4</v>
      </c>
      <c r="L110" s="3618">
        <f t="shared" si="15"/>
        <v>750</v>
      </c>
      <c r="M110" s="3619">
        <v>45863</v>
      </c>
      <c r="N110" s="3619">
        <v>45859</v>
      </c>
      <c r="O110" s="3618"/>
      <c r="P110" s="959" t="s">
        <v>82</v>
      </c>
      <c r="Q110" s="3620" t="s">
        <v>1483</v>
      </c>
      <c r="R110" s="3649" t="s">
        <v>1425</v>
      </c>
      <c r="S110" s="3644"/>
      <c r="T110" s="3644" t="s">
        <v>1567</v>
      </c>
      <c r="U110" s="3621"/>
      <c r="V110" s="959"/>
      <c r="W110" s="3638" t="s">
        <v>8628</v>
      </c>
      <c r="X110" s="3639" t="s">
        <v>4481</v>
      </c>
      <c r="Y110" s="3618">
        <v>10.0984</v>
      </c>
      <c r="Z110" s="3618">
        <f t="shared" si="28"/>
        <v>30295.2</v>
      </c>
      <c r="AA110" s="3684" t="s">
        <v>8629</v>
      </c>
      <c r="AB110" s="959" t="s">
        <v>8290</v>
      </c>
      <c r="AC110" s="3653" t="s">
        <v>416</v>
      </c>
      <c r="AD110" s="967"/>
      <c r="AE110" s="967"/>
      <c r="AF110" s="967"/>
      <c r="AG110" s="959">
        <f>I110</f>
        <v>3000</v>
      </c>
      <c r="AH110" s="959"/>
      <c r="AI110" s="959"/>
      <c r="AJ110" s="3618">
        <f t="shared" si="17"/>
        <v>3000</v>
      </c>
      <c r="AK110" s="959"/>
      <c r="AL110" s="3655">
        <f t="shared" si="36"/>
        <v>3000</v>
      </c>
      <c r="AM110" s="959"/>
      <c r="AN110" s="959"/>
      <c r="AO110" s="3668"/>
      <c r="AP110" s="3669"/>
      <c r="AQ110" s="3655" t="s">
        <v>89</v>
      </c>
      <c r="AR110" s="3626">
        <f>I110/15*1</f>
        <v>200</v>
      </c>
      <c r="AS110" s="3626">
        <f>I110/15*6</f>
        <v>1200</v>
      </c>
      <c r="AT110" s="3626">
        <f>I110/15*8</f>
        <v>1600</v>
      </c>
      <c r="AU110" s="3627">
        <f t="shared" si="34"/>
        <v>3000</v>
      </c>
      <c r="AV110" s="3627">
        <f t="shared" si="35"/>
        <v>0</v>
      </c>
    </row>
    <row r="111" s="3566" customFormat="1" ht="50" customHeight="1" spans="1:48">
      <c r="A111" s="3616">
        <v>45771</v>
      </c>
      <c r="B111" s="3630" t="s">
        <v>1538</v>
      </c>
      <c r="C111" s="3628" t="s">
        <v>1142</v>
      </c>
      <c r="D111" s="3629">
        <v>4500159848</v>
      </c>
      <c r="E111" s="959" t="s">
        <v>1539</v>
      </c>
      <c r="F111" s="3629" t="s">
        <v>8630</v>
      </c>
      <c r="G111" s="959" t="s">
        <v>8290</v>
      </c>
      <c r="H111" s="3618" t="s">
        <v>8291</v>
      </c>
      <c r="I111" s="3618">
        <v>160</v>
      </c>
      <c r="J111" s="3618">
        <v>0</v>
      </c>
      <c r="K111" s="3618">
        <v>4</v>
      </c>
      <c r="L111" s="3618">
        <f t="shared" si="15"/>
        <v>40</v>
      </c>
      <c r="M111" s="3619">
        <v>45859</v>
      </c>
      <c r="N111" s="3659">
        <v>45862</v>
      </c>
      <c r="O111" s="3618"/>
      <c r="P111" s="959" t="s">
        <v>82</v>
      </c>
      <c r="Q111" s="3645" t="s">
        <v>1541</v>
      </c>
      <c r="R111" s="3649" t="s">
        <v>1479</v>
      </c>
      <c r="S111" s="3649"/>
      <c r="T111" s="3657" t="s">
        <v>4346</v>
      </c>
      <c r="U111" s="3649"/>
      <c r="V111" s="3664" t="s">
        <v>1543</v>
      </c>
      <c r="W111" s="3638" t="s">
        <v>8631</v>
      </c>
      <c r="X111" s="3639" t="s">
        <v>459</v>
      </c>
      <c r="Y111" s="3618">
        <v>10.3528</v>
      </c>
      <c r="Z111" s="3618">
        <f t="shared" si="28"/>
        <v>1656.448</v>
      </c>
      <c r="AA111" s="3633"/>
      <c r="AB111" s="959" t="s">
        <v>8329</v>
      </c>
      <c r="AC111" s="3653" t="s">
        <v>416</v>
      </c>
      <c r="AD111" s="967"/>
      <c r="AE111" s="967"/>
      <c r="AF111" s="967"/>
      <c r="AG111" s="3618"/>
      <c r="AH111" s="959">
        <f>I111</f>
        <v>160</v>
      </c>
      <c r="AI111" s="959"/>
      <c r="AJ111" s="3618">
        <f t="shared" si="17"/>
        <v>160</v>
      </c>
      <c r="AK111" s="959"/>
      <c r="AL111" s="3636">
        <f t="shared" si="36"/>
        <v>160</v>
      </c>
      <c r="AM111" s="959"/>
      <c r="AN111" s="959"/>
      <c r="AO111" s="3668"/>
      <c r="AP111" s="3669"/>
      <c r="AQ111" s="3655" t="s">
        <v>89</v>
      </c>
      <c r="AR111" s="3626">
        <f>I111/3</f>
        <v>53.3333333333333</v>
      </c>
      <c r="AS111" s="3626">
        <f>I111/3</f>
        <v>53.3333333333333</v>
      </c>
      <c r="AT111" s="3626">
        <f>I111/3</f>
        <v>53.3333333333333</v>
      </c>
      <c r="AU111" s="3627">
        <f t="shared" si="34"/>
        <v>160</v>
      </c>
      <c r="AV111" s="3627">
        <f t="shared" si="35"/>
        <v>0</v>
      </c>
    </row>
    <row r="112" s="3566" customFormat="1" ht="50" customHeight="1" spans="1:48">
      <c r="A112" s="3616">
        <v>45771</v>
      </c>
      <c r="B112" s="3630" t="s">
        <v>1545</v>
      </c>
      <c r="C112" s="3628" t="s">
        <v>1546</v>
      </c>
      <c r="D112" s="3629">
        <v>4500164774</v>
      </c>
      <c r="E112" s="959" t="s">
        <v>1547</v>
      </c>
      <c r="F112" s="3629" t="s">
        <v>8632</v>
      </c>
      <c r="G112" s="959" t="s">
        <v>8290</v>
      </c>
      <c r="H112" s="3618" t="s">
        <v>8291</v>
      </c>
      <c r="I112" s="3618">
        <v>72</v>
      </c>
      <c r="J112" s="3618">
        <v>0</v>
      </c>
      <c r="K112" s="3618">
        <v>4</v>
      </c>
      <c r="L112" s="3618">
        <f t="shared" si="15"/>
        <v>18</v>
      </c>
      <c r="M112" s="3619">
        <v>45859</v>
      </c>
      <c r="N112" s="3659">
        <v>45862</v>
      </c>
      <c r="O112" s="3618"/>
      <c r="P112" s="959" t="s">
        <v>82</v>
      </c>
      <c r="Q112" s="3645" t="s">
        <v>211</v>
      </c>
      <c r="R112" s="3649" t="s">
        <v>1479</v>
      </c>
      <c r="S112" s="3649"/>
      <c r="T112" s="3657" t="s">
        <v>4346</v>
      </c>
      <c r="U112" s="3621"/>
      <c r="V112" s="3664" t="s">
        <v>1543</v>
      </c>
      <c r="W112" s="3638" t="s">
        <v>8633</v>
      </c>
      <c r="X112" s="3639" t="s">
        <v>459</v>
      </c>
      <c r="Y112" s="3618">
        <v>10.1386</v>
      </c>
      <c r="Z112" s="3618">
        <f t="shared" si="28"/>
        <v>729.9792</v>
      </c>
      <c r="AA112" s="3633"/>
      <c r="AB112" s="959" t="s">
        <v>8329</v>
      </c>
      <c r="AC112" s="3653" t="s">
        <v>416</v>
      </c>
      <c r="AD112" s="967"/>
      <c r="AE112" s="967"/>
      <c r="AF112" s="967"/>
      <c r="AG112" s="3618"/>
      <c r="AH112" s="959">
        <f>I112</f>
        <v>72</v>
      </c>
      <c r="AI112" s="959"/>
      <c r="AJ112" s="3618">
        <f t="shared" si="17"/>
        <v>72</v>
      </c>
      <c r="AK112" s="959"/>
      <c r="AL112" s="3636">
        <f t="shared" si="36"/>
        <v>72</v>
      </c>
      <c r="AM112" s="959"/>
      <c r="AN112" s="959"/>
      <c r="AO112" s="3668"/>
      <c r="AP112" s="3669"/>
      <c r="AQ112" s="3655" t="s">
        <v>89</v>
      </c>
      <c r="AR112" s="3626">
        <f>I112/15*1</f>
        <v>4.8</v>
      </c>
      <c r="AS112" s="3626">
        <f>I112/15*6</f>
        <v>28.8</v>
      </c>
      <c r="AT112" s="3626">
        <f>I112/15*8</f>
        <v>38.4</v>
      </c>
      <c r="AU112" s="3627">
        <f t="shared" si="34"/>
        <v>72</v>
      </c>
      <c r="AV112" s="3627">
        <f t="shared" si="35"/>
        <v>0</v>
      </c>
    </row>
    <row r="113" s="3566" customFormat="1" ht="50" customHeight="1" spans="1:48">
      <c r="A113" s="3616">
        <v>45784</v>
      </c>
      <c r="B113" s="3630" t="s">
        <v>8634</v>
      </c>
      <c r="C113" s="3628" t="s">
        <v>516</v>
      </c>
      <c r="D113" s="3629">
        <v>4500164141</v>
      </c>
      <c r="E113" s="959">
        <v>2737571</v>
      </c>
      <c r="F113" s="3629" t="s">
        <v>8635</v>
      </c>
      <c r="G113" s="959" t="s">
        <v>8290</v>
      </c>
      <c r="H113" s="3618" t="s">
        <v>8291</v>
      </c>
      <c r="I113" s="3618">
        <v>500</v>
      </c>
      <c r="J113" s="3618">
        <v>0</v>
      </c>
      <c r="K113" s="3618">
        <v>4</v>
      </c>
      <c r="L113" s="3618">
        <f t="shared" si="15"/>
        <v>125</v>
      </c>
      <c r="M113" s="3619">
        <v>45863</v>
      </c>
      <c r="N113" s="3619">
        <v>45859</v>
      </c>
      <c r="O113" s="3618"/>
      <c r="P113" s="959" t="s">
        <v>82</v>
      </c>
      <c r="Q113" s="3620" t="s">
        <v>1565</v>
      </c>
      <c r="R113" s="3649" t="s">
        <v>1479</v>
      </c>
      <c r="S113" s="3644"/>
      <c r="T113" s="3644" t="s">
        <v>8636</v>
      </c>
      <c r="U113" s="3621"/>
      <c r="V113" s="3661"/>
      <c r="W113" s="3638" t="s">
        <v>8637</v>
      </c>
      <c r="X113" s="3639" t="s">
        <v>3805</v>
      </c>
      <c r="Y113" s="3618">
        <v>10.1186</v>
      </c>
      <c r="Z113" s="3618">
        <f t="shared" si="28"/>
        <v>5059.3</v>
      </c>
      <c r="AA113" s="3633"/>
      <c r="AB113" s="959" t="s">
        <v>8329</v>
      </c>
      <c r="AC113" s="3653" t="s">
        <v>416</v>
      </c>
      <c r="AD113" s="967"/>
      <c r="AE113" s="967"/>
      <c r="AF113" s="967"/>
      <c r="AG113" s="3618"/>
      <c r="AH113" s="959">
        <f>I113</f>
        <v>500</v>
      </c>
      <c r="AI113" s="959"/>
      <c r="AJ113" s="3618">
        <f t="shared" si="17"/>
        <v>500</v>
      </c>
      <c r="AK113" s="959"/>
      <c r="AL113" s="3636">
        <f t="shared" si="36"/>
        <v>500</v>
      </c>
      <c r="AM113" s="959"/>
      <c r="AN113" s="959"/>
      <c r="AO113" s="3668"/>
      <c r="AP113" s="3669"/>
      <c r="AQ113" s="3655" t="s">
        <v>89</v>
      </c>
      <c r="AR113" s="3626">
        <f>I113/3</f>
        <v>166.666666666667</v>
      </c>
      <c r="AS113" s="3626">
        <f>I113/3</f>
        <v>166.666666666667</v>
      </c>
      <c r="AT113" s="3626">
        <f>I113/3</f>
        <v>166.666666666667</v>
      </c>
      <c r="AU113" s="3627">
        <f t="shared" si="34"/>
        <v>500</v>
      </c>
      <c r="AV113" s="3627">
        <f t="shared" si="35"/>
        <v>0</v>
      </c>
    </row>
    <row r="114" s="3566" customFormat="1" ht="50" customHeight="1" spans="1:48">
      <c r="A114" s="3616">
        <v>45817</v>
      </c>
      <c r="B114" s="3630" t="s">
        <v>980</v>
      </c>
      <c r="C114" s="3628" t="s">
        <v>351</v>
      </c>
      <c r="D114" s="3629">
        <v>4500169355</v>
      </c>
      <c r="E114" s="5458" t="s">
        <v>1563</v>
      </c>
      <c r="F114" s="3629" t="s">
        <v>8638</v>
      </c>
      <c r="G114" s="959" t="s">
        <v>8290</v>
      </c>
      <c r="H114" s="3618" t="s">
        <v>8291</v>
      </c>
      <c r="I114" s="3618">
        <v>500</v>
      </c>
      <c r="J114" s="3618">
        <v>0</v>
      </c>
      <c r="K114" s="3618">
        <v>4</v>
      </c>
      <c r="L114" s="3618">
        <f t="shared" si="15"/>
        <v>125</v>
      </c>
      <c r="M114" s="3659">
        <v>45866</v>
      </c>
      <c r="N114" s="3659">
        <v>45862</v>
      </c>
      <c r="O114" s="3682"/>
      <c r="P114" s="959" t="s">
        <v>82</v>
      </c>
      <c r="Q114" s="3645" t="s">
        <v>1565</v>
      </c>
      <c r="R114" s="3649" t="s">
        <v>1566</v>
      </c>
      <c r="S114" s="3649"/>
      <c r="T114" s="3657" t="s">
        <v>1567</v>
      </c>
      <c r="U114" s="3621"/>
      <c r="V114" s="3664"/>
      <c r="W114" s="3638" t="s">
        <v>8639</v>
      </c>
      <c r="X114" s="3639" t="s">
        <v>1199</v>
      </c>
      <c r="Y114" s="3618">
        <v>10.1186</v>
      </c>
      <c r="Z114" s="3618">
        <f t="shared" si="28"/>
        <v>5059.3</v>
      </c>
      <c r="AA114" s="3633"/>
      <c r="AB114" s="959" t="s">
        <v>8290</v>
      </c>
      <c r="AC114" s="3653" t="s">
        <v>416</v>
      </c>
      <c r="AD114" s="967"/>
      <c r="AE114" s="967"/>
      <c r="AF114" s="967"/>
      <c r="AG114" s="3618">
        <f>I114</f>
        <v>500</v>
      </c>
      <c r="AH114" s="959"/>
      <c r="AI114" s="959"/>
      <c r="AJ114" s="3618">
        <f t="shared" si="17"/>
        <v>500</v>
      </c>
      <c r="AK114" s="959"/>
      <c r="AL114" s="3636">
        <f t="shared" si="36"/>
        <v>500</v>
      </c>
      <c r="AM114" s="959"/>
      <c r="AN114" s="959"/>
      <c r="AO114" s="3668"/>
      <c r="AP114" s="3669"/>
      <c r="AQ114" s="3655" t="s">
        <v>89</v>
      </c>
      <c r="AR114" s="3626">
        <f>I114/15*1</f>
        <v>33.3333333333333</v>
      </c>
      <c r="AS114" s="3626">
        <f>I114/15*6</f>
        <v>200</v>
      </c>
      <c r="AT114" s="3626">
        <f>I114/15*8</f>
        <v>266.666666666667</v>
      </c>
      <c r="AU114" s="3627">
        <f t="shared" si="34"/>
        <v>500</v>
      </c>
      <c r="AV114" s="3627">
        <f t="shared" si="35"/>
        <v>0</v>
      </c>
    </row>
    <row r="115" s="3566" customFormat="1" ht="50" customHeight="1" spans="1:48">
      <c r="A115" s="3616">
        <v>45796</v>
      </c>
      <c r="B115" s="3630" t="s">
        <v>3781</v>
      </c>
      <c r="C115" s="3628" t="s">
        <v>738</v>
      </c>
      <c r="D115" s="3629">
        <v>4500166920</v>
      </c>
      <c r="E115" s="959" t="s">
        <v>8640</v>
      </c>
      <c r="F115" s="3629" t="s">
        <v>8641</v>
      </c>
      <c r="G115" s="959" t="s">
        <v>8290</v>
      </c>
      <c r="H115" s="3618" t="s">
        <v>8291</v>
      </c>
      <c r="I115" s="3618">
        <v>500</v>
      </c>
      <c r="J115" s="3618">
        <v>0</v>
      </c>
      <c r="K115" s="3618">
        <v>4</v>
      </c>
      <c r="L115" s="3618">
        <f t="shared" si="15"/>
        <v>125</v>
      </c>
      <c r="M115" s="3619">
        <v>45860</v>
      </c>
      <c r="N115" s="3619">
        <v>45856</v>
      </c>
      <c r="O115" s="959"/>
      <c r="P115" s="959" t="s">
        <v>82</v>
      </c>
      <c r="Q115" s="3620" t="s">
        <v>211</v>
      </c>
      <c r="R115" s="3649" t="s">
        <v>1571</v>
      </c>
      <c r="S115" s="3649"/>
      <c r="T115" s="3657" t="s">
        <v>8642</v>
      </c>
      <c r="U115" s="3621"/>
      <c r="V115" s="3664"/>
      <c r="W115" s="3638" t="s">
        <v>8643</v>
      </c>
      <c r="X115" s="3639" t="s">
        <v>1257</v>
      </c>
      <c r="Y115" s="3618">
        <v>10.1186</v>
      </c>
      <c r="Z115" s="3618">
        <f t="shared" si="28"/>
        <v>5059.3</v>
      </c>
      <c r="AA115" s="3685" t="s">
        <v>8644</v>
      </c>
      <c r="AB115" s="959" t="s">
        <v>8329</v>
      </c>
      <c r="AC115" s="3653" t="s">
        <v>416</v>
      </c>
      <c r="AD115" s="3674"/>
      <c r="AE115" s="3674"/>
      <c r="AF115" s="3674"/>
      <c r="AG115" s="3618"/>
      <c r="AH115" s="959">
        <f>I115</f>
        <v>500</v>
      </c>
      <c r="AI115" s="959"/>
      <c r="AJ115" s="3618">
        <f t="shared" si="17"/>
        <v>500</v>
      </c>
      <c r="AK115" s="959"/>
      <c r="AL115" s="3655">
        <f t="shared" si="36"/>
        <v>500</v>
      </c>
      <c r="AM115" s="959"/>
      <c r="AN115" s="959"/>
      <c r="AO115" s="3668"/>
      <c r="AP115" s="3669"/>
      <c r="AQ115" s="3655" t="s">
        <v>89</v>
      </c>
      <c r="AR115" s="3626">
        <f>I115/3</f>
        <v>166.666666666667</v>
      </c>
      <c r="AS115" s="3626">
        <f>I115/3</f>
        <v>166.666666666667</v>
      </c>
      <c r="AT115" s="3626">
        <f>I115/3</f>
        <v>166.666666666667</v>
      </c>
      <c r="AU115" s="3627">
        <f t="shared" si="34"/>
        <v>500</v>
      </c>
      <c r="AV115" s="3627">
        <f t="shared" si="35"/>
        <v>0</v>
      </c>
    </row>
    <row r="116" s="3566" customFormat="1" ht="50" customHeight="1" spans="1:48">
      <c r="A116" s="3616">
        <v>45838</v>
      </c>
      <c r="B116" s="3630" t="s">
        <v>90</v>
      </c>
      <c r="C116" s="3628" t="s">
        <v>91</v>
      </c>
      <c r="D116" s="3629">
        <v>4500171908</v>
      </c>
      <c r="E116" s="959" t="s">
        <v>8645</v>
      </c>
      <c r="F116" s="3629" t="s">
        <v>8646</v>
      </c>
      <c r="G116" s="959" t="s">
        <v>8290</v>
      </c>
      <c r="H116" s="3618" t="s">
        <v>8291</v>
      </c>
      <c r="I116" s="3618">
        <v>2200</v>
      </c>
      <c r="J116" s="3618">
        <v>0</v>
      </c>
      <c r="K116" s="3618">
        <v>4</v>
      </c>
      <c r="L116" s="3618">
        <f t="shared" si="15"/>
        <v>550</v>
      </c>
      <c r="M116" s="3619">
        <v>45870</v>
      </c>
      <c r="N116" s="3619">
        <f>M116-4</f>
        <v>45866</v>
      </c>
      <c r="O116" s="3664"/>
      <c r="P116" s="959" t="s">
        <v>82</v>
      </c>
      <c r="Q116" s="3620" t="s">
        <v>1565</v>
      </c>
      <c r="R116" s="3649" t="s">
        <v>1628</v>
      </c>
      <c r="S116" s="3649"/>
      <c r="T116" s="3657" t="s">
        <v>98</v>
      </c>
      <c r="U116" s="3649" t="s">
        <v>8647</v>
      </c>
      <c r="V116" s="3661"/>
      <c r="W116" s="3638" t="s">
        <v>1677</v>
      </c>
      <c r="X116" s="3639" t="s">
        <v>101</v>
      </c>
      <c r="Y116" s="3686">
        <v>6.059</v>
      </c>
      <c r="Z116" s="3618">
        <f>I116*Y116</f>
        <v>13329.8</v>
      </c>
      <c r="AA116" s="3633" t="s">
        <v>1712</v>
      </c>
      <c r="AB116" s="959" t="s">
        <v>8290</v>
      </c>
      <c r="AC116" s="3653" t="s">
        <v>416</v>
      </c>
      <c r="AD116" s="967"/>
      <c r="AE116" s="967"/>
      <c r="AF116" s="967"/>
      <c r="AG116" s="3618">
        <f>I116</f>
        <v>2200</v>
      </c>
      <c r="AH116" s="959"/>
      <c r="AI116" s="3636"/>
      <c r="AJ116" s="3618">
        <f t="shared" si="17"/>
        <v>2200</v>
      </c>
      <c r="AK116" s="959"/>
      <c r="AL116" s="3655">
        <f t="shared" si="36"/>
        <v>2200</v>
      </c>
      <c r="AM116" s="3636"/>
      <c r="AN116" s="3636"/>
      <c r="AO116" s="3668"/>
      <c r="AP116" s="3669"/>
      <c r="AQ116" s="3655" t="s">
        <v>89</v>
      </c>
      <c r="AR116" s="3627">
        <f t="shared" ref="AR116:AR140" si="37">I116/15*1</f>
        <v>146.666666666667</v>
      </c>
      <c r="AS116" s="3627">
        <f t="shared" ref="AS116:AS140" si="38">I116/15*6</f>
        <v>880</v>
      </c>
      <c r="AT116" s="3687">
        <f t="shared" ref="AT116:AT140" si="39">I116/15*8</f>
        <v>1173.33333333333</v>
      </c>
      <c r="AU116" s="3678">
        <f t="shared" si="34"/>
        <v>2200</v>
      </c>
      <c r="AV116" s="3678">
        <f t="shared" si="35"/>
        <v>0</v>
      </c>
    </row>
    <row r="117" s="3566" customFormat="1" ht="50" customHeight="1" spans="1:48">
      <c r="A117" s="3616">
        <v>45838</v>
      </c>
      <c r="B117" s="3630" t="s">
        <v>90</v>
      </c>
      <c r="C117" s="3628" t="s">
        <v>91</v>
      </c>
      <c r="D117" s="3629">
        <v>4500171907</v>
      </c>
      <c r="E117" s="959" t="s">
        <v>8648</v>
      </c>
      <c r="F117" s="3629" t="s">
        <v>8649</v>
      </c>
      <c r="G117" s="959" t="s">
        <v>8290</v>
      </c>
      <c r="H117" s="3618" t="s">
        <v>8291</v>
      </c>
      <c r="I117" s="3618">
        <v>1000</v>
      </c>
      <c r="J117" s="3618">
        <v>0</v>
      </c>
      <c r="K117" s="3618">
        <v>4</v>
      </c>
      <c r="L117" s="3618">
        <f t="shared" si="15"/>
        <v>250</v>
      </c>
      <c r="M117" s="3619">
        <v>45870</v>
      </c>
      <c r="N117" s="3619">
        <f>M117-4</f>
        <v>45866</v>
      </c>
      <c r="O117" s="3664"/>
      <c r="P117" s="959" t="s">
        <v>82</v>
      </c>
      <c r="Q117" s="3645" t="s">
        <v>1675</v>
      </c>
      <c r="R117" s="3649" t="s">
        <v>1628</v>
      </c>
      <c r="S117" s="3649"/>
      <c r="T117" s="3657" t="s">
        <v>98</v>
      </c>
      <c r="U117" s="3649" t="s">
        <v>8647</v>
      </c>
      <c r="V117" s="3661"/>
      <c r="W117" s="3638" t="s">
        <v>8650</v>
      </c>
      <c r="X117" s="3639" t="s">
        <v>101</v>
      </c>
      <c r="Y117" s="3686">
        <v>5.7652</v>
      </c>
      <c r="Z117" s="3618">
        <f>I117*Y117</f>
        <v>5765.2</v>
      </c>
      <c r="AA117" s="3633" t="s">
        <v>8651</v>
      </c>
      <c r="AB117" s="959" t="s">
        <v>8290</v>
      </c>
      <c r="AC117" s="3653" t="s">
        <v>416</v>
      </c>
      <c r="AD117" s="967"/>
      <c r="AE117" s="967"/>
      <c r="AF117" s="967"/>
      <c r="AG117" s="3618">
        <f>I117</f>
        <v>1000</v>
      </c>
      <c r="AH117" s="959"/>
      <c r="AI117" s="3636"/>
      <c r="AJ117" s="3618">
        <f t="shared" si="17"/>
        <v>1000</v>
      </c>
      <c r="AK117" s="959"/>
      <c r="AL117" s="3655">
        <f t="shared" si="36"/>
        <v>1000</v>
      </c>
      <c r="AM117" s="3636"/>
      <c r="AN117" s="3636"/>
      <c r="AO117" s="3668"/>
      <c r="AP117" s="3669"/>
      <c r="AQ117" s="3655" t="s">
        <v>89</v>
      </c>
      <c r="AR117" s="3627">
        <f t="shared" si="37"/>
        <v>66.6666666666667</v>
      </c>
      <c r="AS117" s="3627">
        <f t="shared" si="38"/>
        <v>400</v>
      </c>
      <c r="AT117" s="3687">
        <f t="shared" si="39"/>
        <v>533.333333333333</v>
      </c>
      <c r="AU117" s="3678">
        <f t="shared" si="34"/>
        <v>1000</v>
      </c>
      <c r="AV117" s="3678">
        <f t="shared" si="35"/>
        <v>0</v>
      </c>
    </row>
    <row r="118" s="3566" customFormat="1" ht="50" customHeight="1" spans="1:48">
      <c r="A118" s="3688">
        <v>45775</v>
      </c>
      <c r="B118" s="3689" t="s">
        <v>737</v>
      </c>
      <c r="C118" s="3664" t="s">
        <v>738</v>
      </c>
      <c r="D118" s="3690">
        <v>4500164920</v>
      </c>
      <c r="E118" s="3664">
        <v>61963726</v>
      </c>
      <c r="F118" s="3690" t="s">
        <v>8652</v>
      </c>
      <c r="G118" s="3664" t="s">
        <v>8290</v>
      </c>
      <c r="H118" s="3618" t="s">
        <v>8291</v>
      </c>
      <c r="I118" s="3618">
        <v>96</v>
      </c>
      <c r="J118" s="3618">
        <v>0</v>
      </c>
      <c r="K118" s="3618">
        <v>4</v>
      </c>
      <c r="L118" s="3618">
        <f t="shared" si="15"/>
        <v>24</v>
      </c>
      <c r="M118" s="3619">
        <v>45863</v>
      </c>
      <c r="N118" s="3619">
        <v>45859</v>
      </c>
      <c r="O118" s="959"/>
      <c r="P118" s="959" t="s">
        <v>82</v>
      </c>
      <c r="Q118" s="3645" t="s">
        <v>4358</v>
      </c>
      <c r="R118" s="3649" t="s">
        <v>4149</v>
      </c>
      <c r="S118" s="3644"/>
      <c r="T118" s="3644" t="s">
        <v>8653</v>
      </c>
      <c r="U118" s="3621"/>
      <c r="V118" s="3661"/>
      <c r="W118" s="3620" t="s">
        <v>8654</v>
      </c>
      <c r="X118" s="3691" t="s">
        <v>459</v>
      </c>
      <c r="Y118" s="3618">
        <v>10.1386</v>
      </c>
      <c r="Z118" s="3618">
        <f>Y118*I118</f>
        <v>973.3056</v>
      </c>
      <c r="AA118" s="3633"/>
      <c r="AB118" s="959" t="s">
        <v>8329</v>
      </c>
      <c r="AC118" s="3653" t="s">
        <v>416</v>
      </c>
      <c r="AD118" s="3667"/>
      <c r="AE118" s="3667"/>
      <c r="AF118" s="3667"/>
      <c r="AG118" s="3618"/>
      <c r="AH118" s="959">
        <f>I118</f>
        <v>96</v>
      </c>
      <c r="AI118" s="3636"/>
      <c r="AJ118" s="3618">
        <f t="shared" si="17"/>
        <v>96</v>
      </c>
      <c r="AK118" s="959"/>
      <c r="AL118" s="3655">
        <f t="shared" si="36"/>
        <v>96</v>
      </c>
      <c r="AM118" s="3636"/>
      <c r="AN118" s="3636"/>
      <c r="AO118" s="3668"/>
      <c r="AP118" s="3669"/>
      <c r="AQ118" s="3655" t="s">
        <v>89</v>
      </c>
      <c r="AR118" s="3626">
        <f t="shared" si="37"/>
        <v>6.4</v>
      </c>
      <c r="AS118" s="3626">
        <f t="shared" si="38"/>
        <v>38.4</v>
      </c>
      <c r="AT118" s="3626">
        <f t="shared" si="39"/>
        <v>51.2</v>
      </c>
      <c r="AU118" s="3627">
        <f t="shared" si="34"/>
        <v>96</v>
      </c>
      <c r="AV118" s="3627">
        <f t="shared" si="35"/>
        <v>0</v>
      </c>
    </row>
    <row r="119" s="3566" customFormat="1" ht="50" customHeight="1" spans="1:48">
      <c r="A119" s="3616">
        <v>45832</v>
      </c>
      <c r="B119" s="3630" t="s">
        <v>8492</v>
      </c>
      <c r="C119" s="3628" t="s">
        <v>6225</v>
      </c>
      <c r="D119" s="3629">
        <v>4500171058</v>
      </c>
      <c r="E119" s="959" t="s">
        <v>8655</v>
      </c>
      <c r="F119" s="3629" t="s">
        <v>8656</v>
      </c>
      <c r="G119" s="959" t="s">
        <v>8477</v>
      </c>
      <c r="H119" s="3618" t="s">
        <v>8291</v>
      </c>
      <c r="I119" s="3618">
        <v>340</v>
      </c>
      <c r="J119" s="3618">
        <v>0</v>
      </c>
      <c r="K119" s="3618">
        <v>4</v>
      </c>
      <c r="L119" s="3618">
        <f t="shared" si="15"/>
        <v>85</v>
      </c>
      <c r="M119" s="3619">
        <v>45868</v>
      </c>
      <c r="N119" s="3619">
        <v>45864</v>
      </c>
      <c r="O119" s="3664"/>
      <c r="P119" s="959" t="s">
        <v>82</v>
      </c>
      <c r="Q119" s="3620" t="s">
        <v>211</v>
      </c>
      <c r="R119" s="3649" t="s">
        <v>4397</v>
      </c>
      <c r="S119" s="3644"/>
      <c r="T119" s="3644" t="s">
        <v>8657</v>
      </c>
      <c r="U119" s="3621"/>
      <c r="V119" s="3661"/>
      <c r="W119" s="3638" t="s">
        <v>8658</v>
      </c>
      <c r="X119" s="3639" t="s">
        <v>1631</v>
      </c>
      <c r="Y119" s="3618">
        <v>9.6286</v>
      </c>
      <c r="Z119" s="3618">
        <f>Y119*I119</f>
        <v>3273.724</v>
      </c>
      <c r="AA119" s="3633"/>
      <c r="AB119" s="959" t="s">
        <v>8479</v>
      </c>
      <c r="AC119" s="3653" t="s">
        <v>416</v>
      </c>
      <c r="AD119" s="3667"/>
      <c r="AE119" s="3667"/>
      <c r="AF119" s="3667"/>
      <c r="AG119" s="3618"/>
      <c r="AH119" s="959">
        <f>I119</f>
        <v>340</v>
      </c>
      <c r="AI119" s="3636"/>
      <c r="AJ119" s="3618">
        <f t="shared" si="17"/>
        <v>340</v>
      </c>
      <c r="AK119" s="959"/>
      <c r="AL119" s="3655"/>
      <c r="AM119" s="3636">
        <f>I119</f>
        <v>340</v>
      </c>
      <c r="AN119" s="3636"/>
      <c r="AO119" s="3668"/>
      <c r="AP119" s="3669"/>
      <c r="AQ119" s="3655" t="s">
        <v>89</v>
      </c>
      <c r="AR119" s="3626">
        <f t="shared" si="37"/>
        <v>22.6666666666667</v>
      </c>
      <c r="AS119" s="3626">
        <f t="shared" si="38"/>
        <v>136</v>
      </c>
      <c r="AT119" s="3626">
        <f t="shared" si="39"/>
        <v>181.333333333333</v>
      </c>
      <c r="AU119" s="3627">
        <f t="shared" si="34"/>
        <v>340</v>
      </c>
      <c r="AV119" s="3627">
        <f t="shared" si="35"/>
        <v>0</v>
      </c>
    </row>
    <row r="120" s="3566" customFormat="1" ht="50" customHeight="1" spans="1:48">
      <c r="A120" s="3616">
        <v>45838</v>
      </c>
      <c r="B120" s="3630" t="s">
        <v>90</v>
      </c>
      <c r="C120" s="3628" t="s">
        <v>91</v>
      </c>
      <c r="D120" s="3629">
        <v>4500171919</v>
      </c>
      <c r="E120" s="959" t="s">
        <v>8659</v>
      </c>
      <c r="F120" s="3629" t="s">
        <v>8660</v>
      </c>
      <c r="G120" s="959" t="s">
        <v>8290</v>
      </c>
      <c r="H120" s="3618" t="s">
        <v>8291</v>
      </c>
      <c r="I120" s="3618">
        <v>2400</v>
      </c>
      <c r="J120" s="3618">
        <v>0</v>
      </c>
      <c r="K120" s="3618">
        <v>4</v>
      </c>
      <c r="L120" s="3618">
        <f t="shared" ref="L120:L147" si="40">I120/K120</f>
        <v>600</v>
      </c>
      <c r="M120" s="3619">
        <v>45870</v>
      </c>
      <c r="N120" s="3619">
        <f t="shared" ref="N120:N128" si="41">M120-4</f>
        <v>45866</v>
      </c>
      <c r="O120" s="3664"/>
      <c r="P120" s="959" t="s">
        <v>82</v>
      </c>
      <c r="Q120" s="3620" t="s">
        <v>1690</v>
      </c>
      <c r="R120" s="3649" t="s">
        <v>1628</v>
      </c>
      <c r="S120" s="3649"/>
      <c r="T120" s="3657" t="s">
        <v>98</v>
      </c>
      <c r="U120" s="3649" t="s">
        <v>8647</v>
      </c>
      <c r="V120" s="3661"/>
      <c r="W120" s="3638" t="s">
        <v>1677</v>
      </c>
      <c r="X120" s="3639" t="s">
        <v>101</v>
      </c>
      <c r="Y120" s="3618">
        <v>5.7531</v>
      </c>
      <c r="Z120" s="3618">
        <f>I120*Y120</f>
        <v>13807.44</v>
      </c>
      <c r="AA120" s="3633" t="s">
        <v>1692</v>
      </c>
      <c r="AB120" s="959" t="s">
        <v>8290</v>
      </c>
      <c r="AC120" s="3653" t="s">
        <v>416</v>
      </c>
      <c r="AD120" s="3674"/>
      <c r="AE120" s="3674"/>
      <c r="AF120" s="3674"/>
      <c r="AG120" s="3618">
        <f t="shared" ref="AG120:AG128" si="42">I120</f>
        <v>2400</v>
      </c>
      <c r="AH120" s="959"/>
      <c r="AI120" s="3636"/>
      <c r="AJ120" s="3618">
        <f t="shared" ref="AJ120:AJ161" si="43">I120</f>
        <v>2400</v>
      </c>
      <c r="AK120" s="959"/>
      <c r="AL120" s="3655">
        <f t="shared" ref="AL120:AL128" si="44">I120</f>
        <v>2400</v>
      </c>
      <c r="AM120" s="3636"/>
      <c r="AN120" s="3636"/>
      <c r="AO120" s="3668"/>
      <c r="AP120" s="3669"/>
      <c r="AQ120" s="3655" t="s">
        <v>89</v>
      </c>
      <c r="AR120" s="3627">
        <f t="shared" si="37"/>
        <v>160</v>
      </c>
      <c r="AS120" s="3627">
        <f t="shared" si="38"/>
        <v>960</v>
      </c>
      <c r="AT120" s="3687">
        <f t="shared" si="39"/>
        <v>1280</v>
      </c>
      <c r="AU120" s="3678">
        <f t="shared" si="34"/>
        <v>2400</v>
      </c>
      <c r="AV120" s="3678">
        <f t="shared" si="35"/>
        <v>0</v>
      </c>
    </row>
    <row r="121" s="3566" customFormat="1" ht="50" customHeight="1" spans="1:48">
      <c r="A121" s="3616">
        <v>45838</v>
      </c>
      <c r="B121" s="3630" t="s">
        <v>90</v>
      </c>
      <c r="C121" s="3628" t="s">
        <v>91</v>
      </c>
      <c r="D121" s="3629">
        <v>4500171918</v>
      </c>
      <c r="E121" s="959" t="s">
        <v>8661</v>
      </c>
      <c r="F121" s="3629" t="s">
        <v>8662</v>
      </c>
      <c r="G121" s="959" t="s">
        <v>8290</v>
      </c>
      <c r="H121" s="3618" t="s">
        <v>8291</v>
      </c>
      <c r="I121" s="3618">
        <v>1200</v>
      </c>
      <c r="J121" s="3618">
        <v>0</v>
      </c>
      <c r="K121" s="3618">
        <v>4</v>
      </c>
      <c r="L121" s="3618">
        <f t="shared" si="40"/>
        <v>300</v>
      </c>
      <c r="M121" s="3619">
        <v>45870</v>
      </c>
      <c r="N121" s="3619">
        <f t="shared" si="41"/>
        <v>45866</v>
      </c>
      <c r="O121" s="3664"/>
      <c r="P121" s="959" t="s">
        <v>82</v>
      </c>
      <c r="Q121" s="3620" t="s">
        <v>218</v>
      </c>
      <c r="R121" s="3649" t="s">
        <v>1628</v>
      </c>
      <c r="S121" s="3649"/>
      <c r="T121" s="3657" t="s">
        <v>98</v>
      </c>
      <c r="U121" s="3649" t="s">
        <v>8647</v>
      </c>
      <c r="V121" s="3661"/>
      <c r="W121" s="3638" t="s">
        <v>1677</v>
      </c>
      <c r="X121" s="3639" t="s">
        <v>101</v>
      </c>
      <c r="Y121" s="3618">
        <v>6.0712</v>
      </c>
      <c r="Z121" s="3618">
        <f>I121*Y121</f>
        <v>7285.44</v>
      </c>
      <c r="AA121" s="3633" t="s">
        <v>1695</v>
      </c>
      <c r="AB121" s="959" t="s">
        <v>8290</v>
      </c>
      <c r="AC121" s="3653" t="s">
        <v>416</v>
      </c>
      <c r="AD121" s="3674"/>
      <c r="AE121" s="3674"/>
      <c r="AF121" s="3674"/>
      <c r="AG121" s="3618">
        <f t="shared" si="42"/>
        <v>1200</v>
      </c>
      <c r="AH121" s="959"/>
      <c r="AI121" s="3636"/>
      <c r="AJ121" s="3618">
        <f t="shared" si="43"/>
        <v>1200</v>
      </c>
      <c r="AK121" s="959"/>
      <c r="AL121" s="3655">
        <f t="shared" si="44"/>
        <v>1200</v>
      </c>
      <c r="AM121" s="3636"/>
      <c r="AN121" s="3636"/>
      <c r="AO121" s="3668"/>
      <c r="AP121" s="3669"/>
      <c r="AQ121" s="3655" t="s">
        <v>89</v>
      </c>
      <c r="AR121" s="3627">
        <f t="shared" si="37"/>
        <v>80</v>
      </c>
      <c r="AS121" s="3627">
        <f t="shared" si="38"/>
        <v>480</v>
      </c>
      <c r="AT121" s="3687">
        <f t="shared" si="39"/>
        <v>640</v>
      </c>
      <c r="AU121" s="3678">
        <f t="shared" si="34"/>
        <v>1200</v>
      </c>
      <c r="AV121" s="3678">
        <f t="shared" si="35"/>
        <v>0</v>
      </c>
    </row>
    <row r="122" s="3566" customFormat="1" ht="50" customHeight="1" spans="1:48">
      <c r="A122" s="3616">
        <v>45838</v>
      </c>
      <c r="B122" s="3630" t="s">
        <v>90</v>
      </c>
      <c r="C122" s="3628" t="s">
        <v>91</v>
      </c>
      <c r="D122" s="3629">
        <v>4500171912</v>
      </c>
      <c r="E122" s="959" t="s">
        <v>8663</v>
      </c>
      <c r="F122" s="3629" t="s">
        <v>8664</v>
      </c>
      <c r="G122" s="959" t="s">
        <v>8290</v>
      </c>
      <c r="H122" s="3618" t="s">
        <v>8291</v>
      </c>
      <c r="I122" s="3618">
        <v>2200</v>
      </c>
      <c r="J122" s="3618">
        <v>0</v>
      </c>
      <c r="K122" s="3618">
        <v>4</v>
      </c>
      <c r="L122" s="3618">
        <f t="shared" si="40"/>
        <v>550</v>
      </c>
      <c r="M122" s="3619">
        <v>45870</v>
      </c>
      <c r="N122" s="3619">
        <f t="shared" si="41"/>
        <v>45866</v>
      </c>
      <c r="O122" s="3664"/>
      <c r="P122" s="959" t="s">
        <v>82</v>
      </c>
      <c r="Q122" s="3645" t="s">
        <v>211</v>
      </c>
      <c r="R122" s="3649" t="s">
        <v>1628</v>
      </c>
      <c r="S122" s="3649"/>
      <c r="T122" s="3657" t="s">
        <v>98</v>
      </c>
      <c r="U122" s="3649" t="s">
        <v>8647</v>
      </c>
      <c r="V122" s="3661"/>
      <c r="W122" s="3638" t="s">
        <v>8665</v>
      </c>
      <c r="X122" s="3639" t="s">
        <v>101</v>
      </c>
      <c r="Y122" s="3686">
        <v>6.059</v>
      </c>
      <c r="Z122" s="3618">
        <f>I122*Y122</f>
        <v>13329.8</v>
      </c>
      <c r="AA122" s="3633"/>
      <c r="AB122" s="959" t="s">
        <v>8290</v>
      </c>
      <c r="AC122" s="3653" t="s">
        <v>416</v>
      </c>
      <c r="AD122" s="3674"/>
      <c r="AE122" s="3674"/>
      <c r="AF122" s="3674"/>
      <c r="AG122" s="3618">
        <f t="shared" si="42"/>
        <v>2200</v>
      </c>
      <c r="AH122" s="959"/>
      <c r="AI122" s="3636"/>
      <c r="AJ122" s="3618">
        <f t="shared" si="43"/>
        <v>2200</v>
      </c>
      <c r="AK122" s="959"/>
      <c r="AL122" s="3655">
        <f t="shared" si="44"/>
        <v>2200</v>
      </c>
      <c r="AM122" s="3636"/>
      <c r="AN122" s="3636"/>
      <c r="AO122" s="3668"/>
      <c r="AP122" s="3669"/>
      <c r="AQ122" s="3655" t="s">
        <v>89</v>
      </c>
      <c r="AR122" s="3627">
        <f t="shared" si="37"/>
        <v>146.666666666667</v>
      </c>
      <c r="AS122" s="3627">
        <f t="shared" si="38"/>
        <v>880</v>
      </c>
      <c r="AT122" s="3687">
        <f t="shared" si="39"/>
        <v>1173.33333333333</v>
      </c>
      <c r="AU122" s="3678">
        <f t="shared" si="34"/>
        <v>2200</v>
      </c>
      <c r="AV122" s="3678">
        <f t="shared" si="35"/>
        <v>0</v>
      </c>
    </row>
    <row r="123" s="3566" customFormat="1" ht="50" customHeight="1" spans="1:48">
      <c r="A123" s="3616">
        <v>45838</v>
      </c>
      <c r="B123" s="3630" t="s">
        <v>90</v>
      </c>
      <c r="C123" s="3628" t="s">
        <v>91</v>
      </c>
      <c r="D123" s="3629">
        <v>4500171915</v>
      </c>
      <c r="E123" s="959" t="s">
        <v>8666</v>
      </c>
      <c r="F123" s="3629" t="s">
        <v>8667</v>
      </c>
      <c r="G123" s="959" t="s">
        <v>8290</v>
      </c>
      <c r="H123" s="3618" t="s">
        <v>8291</v>
      </c>
      <c r="I123" s="3618">
        <v>1000</v>
      </c>
      <c r="J123" s="3618">
        <v>0</v>
      </c>
      <c r="K123" s="3618">
        <v>4</v>
      </c>
      <c r="L123" s="3618">
        <f t="shared" si="40"/>
        <v>250</v>
      </c>
      <c r="M123" s="3619">
        <v>45870</v>
      </c>
      <c r="N123" s="3619">
        <f t="shared" si="41"/>
        <v>45866</v>
      </c>
      <c r="O123" s="3664"/>
      <c r="P123" s="959" t="s">
        <v>82</v>
      </c>
      <c r="Q123" s="3645" t="s">
        <v>1675</v>
      </c>
      <c r="R123" s="3649" t="s">
        <v>1628</v>
      </c>
      <c r="S123" s="3649"/>
      <c r="T123" s="3657" t="s">
        <v>98</v>
      </c>
      <c r="U123" s="3649" t="s">
        <v>8647</v>
      </c>
      <c r="V123" s="3661"/>
      <c r="W123" s="3638" t="s">
        <v>1677</v>
      </c>
      <c r="X123" s="3639" t="s">
        <v>101</v>
      </c>
      <c r="Y123" s="3686">
        <v>6.0712</v>
      </c>
      <c r="Z123" s="3618">
        <f>I123*Y123</f>
        <v>6071.2</v>
      </c>
      <c r="AA123" s="3633" t="s">
        <v>1709</v>
      </c>
      <c r="AB123" s="959" t="s">
        <v>8290</v>
      </c>
      <c r="AC123" s="3653" t="s">
        <v>416</v>
      </c>
      <c r="AD123" s="3674"/>
      <c r="AE123" s="3674"/>
      <c r="AF123" s="3674"/>
      <c r="AG123" s="3618">
        <f t="shared" si="42"/>
        <v>1000</v>
      </c>
      <c r="AH123" s="959"/>
      <c r="AI123" s="3636"/>
      <c r="AJ123" s="3618">
        <f t="shared" si="43"/>
        <v>1000</v>
      </c>
      <c r="AK123" s="959"/>
      <c r="AL123" s="3655">
        <f t="shared" si="44"/>
        <v>1000</v>
      </c>
      <c r="AM123" s="3636"/>
      <c r="AN123" s="3636"/>
      <c r="AO123" s="3668"/>
      <c r="AP123" s="3669"/>
      <c r="AQ123" s="3655" t="s">
        <v>89</v>
      </c>
      <c r="AR123" s="3627">
        <f t="shared" si="37"/>
        <v>66.6666666666667</v>
      </c>
      <c r="AS123" s="3627">
        <f t="shared" si="38"/>
        <v>400</v>
      </c>
      <c r="AT123" s="3687">
        <f t="shared" si="39"/>
        <v>533.333333333333</v>
      </c>
      <c r="AU123" s="3678">
        <f t="shared" si="34"/>
        <v>1000</v>
      </c>
      <c r="AV123" s="3678">
        <f t="shared" si="35"/>
        <v>0</v>
      </c>
    </row>
    <row r="124" s="3566" customFormat="1" ht="50" customHeight="1" spans="1:48">
      <c r="A124" s="3616">
        <v>45838</v>
      </c>
      <c r="B124" s="3630" t="s">
        <v>90</v>
      </c>
      <c r="C124" s="3628" t="s">
        <v>91</v>
      </c>
      <c r="D124" s="3629">
        <v>4500171921</v>
      </c>
      <c r="E124" s="959" t="s">
        <v>8668</v>
      </c>
      <c r="F124" s="3629" t="s">
        <v>8669</v>
      </c>
      <c r="G124" s="959" t="s">
        <v>8290</v>
      </c>
      <c r="H124" s="3618" t="s">
        <v>8291</v>
      </c>
      <c r="I124" s="3618">
        <v>2400</v>
      </c>
      <c r="J124" s="3618">
        <v>0</v>
      </c>
      <c r="K124" s="3618">
        <v>4</v>
      </c>
      <c r="L124" s="3618">
        <f t="shared" si="40"/>
        <v>600</v>
      </c>
      <c r="M124" s="3619">
        <v>45870</v>
      </c>
      <c r="N124" s="3619">
        <f t="shared" si="41"/>
        <v>45866</v>
      </c>
      <c r="O124" s="3664"/>
      <c r="P124" s="959" t="s">
        <v>82</v>
      </c>
      <c r="Q124" s="3620" t="s">
        <v>1754</v>
      </c>
      <c r="R124" s="3649" t="s">
        <v>1628</v>
      </c>
      <c r="S124" s="3649"/>
      <c r="T124" s="3657" t="s">
        <v>98</v>
      </c>
      <c r="U124" s="3649" t="s">
        <v>8647</v>
      </c>
      <c r="V124" s="3661"/>
      <c r="W124" s="3638" t="s">
        <v>1677</v>
      </c>
      <c r="X124" s="3639" t="s">
        <v>101</v>
      </c>
      <c r="Y124" s="3686">
        <v>5.7531</v>
      </c>
      <c r="Z124" s="3618">
        <f>I124*Y124</f>
        <v>13807.44</v>
      </c>
      <c r="AA124" s="3692" t="s">
        <v>1755</v>
      </c>
      <c r="AB124" s="959" t="s">
        <v>8290</v>
      </c>
      <c r="AC124" s="3653" t="s">
        <v>416</v>
      </c>
      <c r="AD124" s="3674"/>
      <c r="AE124" s="3674"/>
      <c r="AF124" s="3674"/>
      <c r="AG124" s="3618">
        <f t="shared" si="42"/>
        <v>2400</v>
      </c>
      <c r="AH124" s="959"/>
      <c r="AI124" s="3636"/>
      <c r="AJ124" s="3618">
        <f t="shared" si="43"/>
        <v>2400</v>
      </c>
      <c r="AK124" s="959"/>
      <c r="AL124" s="3655">
        <f t="shared" si="44"/>
        <v>2400</v>
      </c>
      <c r="AM124" s="3636"/>
      <c r="AN124" s="3636"/>
      <c r="AO124" s="3668"/>
      <c r="AP124" s="3669"/>
      <c r="AQ124" s="3655" t="s">
        <v>89</v>
      </c>
      <c r="AR124" s="3627">
        <f t="shared" si="37"/>
        <v>160</v>
      </c>
      <c r="AS124" s="3627">
        <f t="shared" si="38"/>
        <v>960</v>
      </c>
      <c r="AT124" s="3687">
        <f t="shared" si="39"/>
        <v>1280</v>
      </c>
      <c r="AU124" s="3678">
        <f t="shared" si="34"/>
        <v>2400</v>
      </c>
      <c r="AV124" s="3678">
        <f t="shared" si="35"/>
        <v>0</v>
      </c>
    </row>
    <row r="125" s="3566" customFormat="1" ht="50" customHeight="1" spans="1:48">
      <c r="A125" s="3616">
        <v>45769</v>
      </c>
      <c r="B125" s="3630" t="s">
        <v>2285</v>
      </c>
      <c r="C125" s="3628" t="s">
        <v>351</v>
      </c>
      <c r="D125" s="3629">
        <v>4500164451</v>
      </c>
      <c r="E125" s="959" t="s">
        <v>3330</v>
      </c>
      <c r="F125" s="3629" t="s">
        <v>8670</v>
      </c>
      <c r="G125" s="959" t="s">
        <v>8290</v>
      </c>
      <c r="H125" s="3618" t="s">
        <v>8291</v>
      </c>
      <c r="I125" s="3618">
        <v>724</v>
      </c>
      <c r="J125" s="3618">
        <v>0</v>
      </c>
      <c r="K125" s="3618">
        <v>4</v>
      </c>
      <c r="L125" s="3618">
        <f t="shared" si="40"/>
        <v>181</v>
      </c>
      <c r="M125" s="3619">
        <v>45873</v>
      </c>
      <c r="N125" s="3619">
        <f t="shared" si="41"/>
        <v>45869</v>
      </c>
      <c r="O125" s="959"/>
      <c r="P125" s="959" t="s">
        <v>82</v>
      </c>
      <c r="Q125" s="3645" t="s">
        <v>2461</v>
      </c>
      <c r="R125" s="3649" t="s">
        <v>1419</v>
      </c>
      <c r="S125" s="3644"/>
      <c r="T125" s="3644" t="s">
        <v>8671</v>
      </c>
      <c r="U125" s="3621"/>
      <c r="V125" s="3661" t="s">
        <v>4457</v>
      </c>
      <c r="W125" s="3638" t="s">
        <v>8672</v>
      </c>
      <c r="X125" s="3639" t="s">
        <v>1199</v>
      </c>
      <c r="Y125" s="3618">
        <v>10.1186</v>
      </c>
      <c r="Z125" s="3618">
        <f>Y125*I125</f>
        <v>7325.8664</v>
      </c>
      <c r="AA125" s="3633"/>
      <c r="AB125" s="959" t="s">
        <v>8290</v>
      </c>
      <c r="AC125" s="3653" t="s">
        <v>416</v>
      </c>
      <c r="AD125" s="3674"/>
      <c r="AE125" s="3674"/>
      <c r="AF125" s="3674"/>
      <c r="AG125" s="3618">
        <f t="shared" si="42"/>
        <v>724</v>
      </c>
      <c r="AH125" s="959"/>
      <c r="AI125" s="3636"/>
      <c r="AJ125" s="3618">
        <f t="shared" si="43"/>
        <v>724</v>
      </c>
      <c r="AK125" s="959"/>
      <c r="AL125" s="3655">
        <f t="shared" si="44"/>
        <v>724</v>
      </c>
      <c r="AM125" s="3636"/>
      <c r="AN125" s="3636"/>
      <c r="AO125" s="3668"/>
      <c r="AP125" s="3669"/>
      <c r="AQ125" s="3655" t="s">
        <v>89</v>
      </c>
      <c r="AR125" s="3627">
        <f t="shared" si="37"/>
        <v>48.2666666666667</v>
      </c>
      <c r="AS125" s="3627">
        <f t="shared" si="38"/>
        <v>289.6</v>
      </c>
      <c r="AT125" s="3687">
        <f t="shared" si="39"/>
        <v>386.133333333333</v>
      </c>
      <c r="AU125" s="3627">
        <f t="shared" si="34"/>
        <v>724</v>
      </c>
      <c r="AV125" s="3627">
        <f t="shared" si="35"/>
        <v>0</v>
      </c>
    </row>
    <row r="126" s="3566" customFormat="1" ht="50" customHeight="1" spans="1:48">
      <c r="A126" s="3616">
        <v>45826</v>
      </c>
      <c r="B126" s="3630" t="s">
        <v>7332</v>
      </c>
      <c r="C126" s="3628" t="s">
        <v>1624</v>
      </c>
      <c r="D126" s="3629">
        <v>4500169776</v>
      </c>
      <c r="E126" s="959">
        <v>4041590557</v>
      </c>
      <c r="F126" s="3629" t="s">
        <v>8673</v>
      </c>
      <c r="G126" s="959" t="s">
        <v>8477</v>
      </c>
      <c r="H126" s="3618" t="s">
        <v>8291</v>
      </c>
      <c r="I126" s="3618">
        <v>500</v>
      </c>
      <c r="J126" s="3618">
        <v>0</v>
      </c>
      <c r="K126" s="3618">
        <v>4</v>
      </c>
      <c r="L126" s="3618">
        <f t="shared" si="40"/>
        <v>125</v>
      </c>
      <c r="M126" s="3619">
        <v>45874</v>
      </c>
      <c r="N126" s="3619">
        <v>45870</v>
      </c>
      <c r="O126" s="959"/>
      <c r="P126" s="959" t="s">
        <v>82</v>
      </c>
      <c r="Q126" s="3620" t="s">
        <v>1780</v>
      </c>
      <c r="R126" s="3649" t="s">
        <v>1571</v>
      </c>
      <c r="S126" s="3644"/>
      <c r="T126" s="3644" t="s">
        <v>8674</v>
      </c>
      <c r="U126" s="3621"/>
      <c r="V126" s="3661"/>
      <c r="W126" s="3638" t="s">
        <v>8675</v>
      </c>
      <c r="X126" s="3639" t="s">
        <v>6785</v>
      </c>
      <c r="Y126" s="3618">
        <v>10.3324</v>
      </c>
      <c r="Z126" s="3618">
        <f>Y126*I126</f>
        <v>5166.2</v>
      </c>
      <c r="AA126" s="3633"/>
      <c r="AB126" s="959" t="s">
        <v>8479</v>
      </c>
      <c r="AC126" s="3653" t="s">
        <v>416</v>
      </c>
      <c r="AD126" s="3667"/>
      <c r="AE126" s="3667"/>
      <c r="AF126" s="3667"/>
      <c r="AG126" s="3618"/>
      <c r="AH126" s="959">
        <f>I126</f>
        <v>500</v>
      </c>
      <c r="AI126" s="3636"/>
      <c r="AJ126" s="3618">
        <f t="shared" si="43"/>
        <v>500</v>
      </c>
      <c r="AK126" s="959"/>
      <c r="AL126" s="3636"/>
      <c r="AM126" s="3636">
        <f>I126</f>
        <v>500</v>
      </c>
      <c r="AN126" s="3636"/>
      <c r="AO126" s="3668"/>
      <c r="AP126" s="3669"/>
      <c r="AQ126" s="3655" t="s">
        <v>89</v>
      </c>
      <c r="AR126" s="3626">
        <f t="shared" si="37"/>
        <v>33.3333333333333</v>
      </c>
      <c r="AS126" s="3626">
        <f t="shared" si="38"/>
        <v>200</v>
      </c>
      <c r="AT126" s="3626">
        <f t="shared" si="39"/>
        <v>266.666666666667</v>
      </c>
      <c r="AU126" s="3627">
        <f t="shared" si="34"/>
        <v>500</v>
      </c>
      <c r="AV126" s="3627">
        <f t="shared" si="35"/>
        <v>0</v>
      </c>
    </row>
    <row r="127" s="3566" customFormat="1" ht="50" customHeight="1" spans="1:48">
      <c r="A127" s="3616">
        <v>45825</v>
      </c>
      <c r="B127" s="3630" t="s">
        <v>8676</v>
      </c>
      <c r="C127" s="3628" t="s">
        <v>8677</v>
      </c>
      <c r="D127" s="3629">
        <v>4500170206</v>
      </c>
      <c r="E127" s="959"/>
      <c r="F127" s="3629" t="s">
        <v>8678</v>
      </c>
      <c r="G127" s="959" t="s">
        <v>8290</v>
      </c>
      <c r="H127" s="3618" t="s">
        <v>8291</v>
      </c>
      <c r="I127" s="3618">
        <v>600</v>
      </c>
      <c r="J127" s="3618">
        <v>0</v>
      </c>
      <c r="K127" s="3618">
        <v>4</v>
      </c>
      <c r="L127" s="3618">
        <f t="shared" si="40"/>
        <v>150</v>
      </c>
      <c r="M127" s="3619">
        <v>45859</v>
      </c>
      <c r="N127" s="3619">
        <v>45875</v>
      </c>
      <c r="O127" s="3618"/>
      <c r="P127" s="959" t="s">
        <v>82</v>
      </c>
      <c r="Q127" s="3620"/>
      <c r="R127" s="3649" t="s">
        <v>8679</v>
      </c>
      <c r="S127" s="3649"/>
      <c r="T127" s="3657" t="s">
        <v>8680</v>
      </c>
      <c r="U127" s="3621"/>
      <c r="V127" s="3664"/>
      <c r="W127" s="3638" t="s">
        <v>8681</v>
      </c>
      <c r="X127" s="3639" t="s">
        <v>2382</v>
      </c>
      <c r="Y127" s="3618">
        <v>9.6087</v>
      </c>
      <c r="Z127" s="3618">
        <f>Y127*I127</f>
        <v>5765.22</v>
      </c>
      <c r="AA127" s="3633"/>
      <c r="AB127" s="959" t="s">
        <v>8290</v>
      </c>
      <c r="AC127" s="3653" t="s">
        <v>416</v>
      </c>
      <c r="AD127" s="3667"/>
      <c r="AE127" s="3667"/>
      <c r="AF127" s="3667"/>
      <c r="AG127" s="3618">
        <f>I127</f>
        <v>600</v>
      </c>
      <c r="AH127" s="959"/>
      <c r="AI127" s="959"/>
      <c r="AJ127" s="3618">
        <f t="shared" si="43"/>
        <v>600</v>
      </c>
      <c r="AK127" s="959"/>
      <c r="AL127" s="3636">
        <f t="shared" ref="AL127:AL135" si="45">I127</f>
        <v>600</v>
      </c>
      <c r="AM127" s="959"/>
      <c r="AN127" s="959"/>
      <c r="AO127" s="3668"/>
      <c r="AP127" s="3669"/>
      <c r="AQ127" s="3655" t="s">
        <v>89</v>
      </c>
      <c r="AR127" s="3626">
        <f t="shared" si="37"/>
        <v>40</v>
      </c>
      <c r="AS127" s="3626">
        <f t="shared" si="38"/>
        <v>240</v>
      </c>
      <c r="AT127" s="3626">
        <f t="shared" si="39"/>
        <v>320</v>
      </c>
      <c r="AU127" s="3627">
        <f t="shared" si="34"/>
        <v>600</v>
      </c>
      <c r="AV127" s="3627">
        <f t="shared" si="35"/>
        <v>0</v>
      </c>
    </row>
    <row r="128" s="3566" customFormat="1" ht="50" customHeight="1" spans="1:48">
      <c r="A128" s="3616">
        <v>45839</v>
      </c>
      <c r="B128" s="3630" t="s">
        <v>407</v>
      </c>
      <c r="C128" s="3628" t="s">
        <v>91</v>
      </c>
      <c r="D128" s="3629">
        <v>4500172203</v>
      </c>
      <c r="E128" s="959">
        <v>60235975</v>
      </c>
      <c r="F128" s="3629" t="s">
        <v>8682</v>
      </c>
      <c r="G128" s="959" t="s">
        <v>8290</v>
      </c>
      <c r="H128" s="3618" t="s">
        <v>8291</v>
      </c>
      <c r="I128" s="3618">
        <v>600</v>
      </c>
      <c r="J128" s="3618">
        <v>0</v>
      </c>
      <c r="K128" s="3618">
        <v>4</v>
      </c>
      <c r="L128" s="3618">
        <f t="shared" si="40"/>
        <v>150</v>
      </c>
      <c r="M128" s="3619">
        <v>45870</v>
      </c>
      <c r="N128" s="3619">
        <f>M128-4</f>
        <v>45866</v>
      </c>
      <c r="O128" s="3664"/>
      <c r="P128" s="959" t="s">
        <v>82</v>
      </c>
      <c r="Q128" s="3645" t="s">
        <v>1394</v>
      </c>
      <c r="R128" s="3649" t="s">
        <v>1628</v>
      </c>
      <c r="S128" s="3649"/>
      <c r="T128" s="3657" t="s">
        <v>98</v>
      </c>
      <c r="U128" s="3649" t="s">
        <v>1620</v>
      </c>
      <c r="V128" s="3661"/>
      <c r="W128" s="3638" t="s">
        <v>1621</v>
      </c>
      <c r="X128" s="3639" t="s">
        <v>393</v>
      </c>
      <c r="Y128" s="3686">
        <v>5.7652</v>
      </c>
      <c r="Z128" s="3618">
        <f>I128*Y128</f>
        <v>3459.12</v>
      </c>
      <c r="AA128" s="3633" t="s">
        <v>8683</v>
      </c>
      <c r="AB128" s="959" t="s">
        <v>8290</v>
      </c>
      <c r="AC128" s="3653" t="s">
        <v>416</v>
      </c>
      <c r="AD128" s="3667"/>
      <c r="AE128" s="3667"/>
      <c r="AF128" s="3667"/>
      <c r="AG128" s="3618">
        <f>I128</f>
        <v>600</v>
      </c>
      <c r="AH128" s="959"/>
      <c r="AI128" s="3636"/>
      <c r="AJ128" s="3618">
        <f t="shared" si="43"/>
        <v>600</v>
      </c>
      <c r="AK128" s="959"/>
      <c r="AL128" s="3655">
        <f t="shared" si="45"/>
        <v>600</v>
      </c>
      <c r="AM128" s="3636"/>
      <c r="AN128" s="3636"/>
      <c r="AO128" s="3668"/>
      <c r="AP128" s="3669"/>
      <c r="AQ128" s="3655" t="s">
        <v>89</v>
      </c>
      <c r="AR128" s="3627">
        <f t="shared" si="37"/>
        <v>40</v>
      </c>
      <c r="AS128" s="3627">
        <f t="shared" si="38"/>
        <v>240</v>
      </c>
      <c r="AT128" s="3687">
        <f t="shared" si="39"/>
        <v>320</v>
      </c>
      <c r="AU128" s="3678">
        <f t="shared" si="34"/>
        <v>600</v>
      </c>
      <c r="AV128" s="3678">
        <f t="shared" si="35"/>
        <v>0</v>
      </c>
    </row>
    <row r="129" s="3566" customFormat="1" ht="50" customHeight="1" spans="1:48">
      <c r="A129" s="3616">
        <v>45828</v>
      </c>
      <c r="B129" s="3630" t="s">
        <v>4533</v>
      </c>
      <c r="C129" s="3628" t="s">
        <v>738</v>
      </c>
      <c r="D129" s="3629">
        <v>4500170750</v>
      </c>
      <c r="E129" s="959"/>
      <c r="F129" s="3629" t="s">
        <v>8684</v>
      </c>
      <c r="G129" s="959" t="s">
        <v>8290</v>
      </c>
      <c r="H129" s="3618" t="s">
        <v>8291</v>
      </c>
      <c r="I129" s="3618">
        <v>400</v>
      </c>
      <c r="J129" s="3618">
        <v>0</v>
      </c>
      <c r="K129" s="3618">
        <v>4</v>
      </c>
      <c r="L129" s="3618">
        <f t="shared" si="40"/>
        <v>100</v>
      </c>
      <c r="M129" s="3619">
        <v>45877</v>
      </c>
      <c r="N129" s="3619">
        <v>45873</v>
      </c>
      <c r="O129" s="3664"/>
      <c r="P129" s="959" t="s">
        <v>82</v>
      </c>
      <c r="Q129" s="3645" t="s">
        <v>1675</v>
      </c>
      <c r="R129" s="3649" t="s">
        <v>1644</v>
      </c>
      <c r="S129" s="3644"/>
      <c r="T129" s="3644" t="s">
        <v>4535</v>
      </c>
      <c r="U129" s="3621"/>
      <c r="V129" s="3661"/>
      <c r="W129" s="3638" t="s">
        <v>8685</v>
      </c>
      <c r="X129" s="3639" t="s">
        <v>1257</v>
      </c>
      <c r="Y129" s="3618">
        <v>10.1386</v>
      </c>
      <c r="Z129" s="3618">
        <f>Y129*I129</f>
        <v>4055.44</v>
      </c>
      <c r="AA129" s="3633"/>
      <c r="AB129" s="959" t="s">
        <v>8329</v>
      </c>
      <c r="AC129" s="3653" t="s">
        <v>416</v>
      </c>
      <c r="AD129" s="967"/>
      <c r="AE129" s="967"/>
      <c r="AF129" s="967"/>
      <c r="AG129" s="3618"/>
      <c r="AH129" s="959">
        <f>I129</f>
        <v>400</v>
      </c>
      <c r="AI129" s="959"/>
      <c r="AJ129" s="3618">
        <f t="shared" si="43"/>
        <v>400</v>
      </c>
      <c r="AK129" s="959"/>
      <c r="AL129" s="3636">
        <f t="shared" si="45"/>
        <v>400</v>
      </c>
      <c r="AM129" s="959"/>
      <c r="AN129" s="959"/>
      <c r="AO129" s="3668"/>
      <c r="AP129" s="3669"/>
      <c r="AQ129" s="3655" t="s">
        <v>89</v>
      </c>
      <c r="AR129" s="3626">
        <f t="shared" si="37"/>
        <v>26.6666666666667</v>
      </c>
      <c r="AS129" s="3626">
        <f t="shared" si="38"/>
        <v>160</v>
      </c>
      <c r="AT129" s="3626">
        <f t="shared" si="39"/>
        <v>213.333333333333</v>
      </c>
      <c r="AU129" s="3627">
        <f t="shared" si="34"/>
        <v>400</v>
      </c>
      <c r="AV129" s="3627">
        <f t="shared" si="35"/>
        <v>0</v>
      </c>
    </row>
    <row r="130" s="3566" customFormat="1" ht="50" customHeight="1" spans="1:48">
      <c r="A130" s="3616">
        <v>45769</v>
      </c>
      <c r="B130" s="3630" t="s">
        <v>2285</v>
      </c>
      <c r="C130" s="3628" t="s">
        <v>351</v>
      </c>
      <c r="D130" s="3629">
        <v>4500164457</v>
      </c>
      <c r="E130" s="959" t="s">
        <v>3330</v>
      </c>
      <c r="F130" s="3629" t="s">
        <v>8686</v>
      </c>
      <c r="G130" s="959" t="s">
        <v>8290</v>
      </c>
      <c r="H130" s="3618" t="s">
        <v>8291</v>
      </c>
      <c r="I130" s="3618">
        <v>484</v>
      </c>
      <c r="J130" s="3618">
        <v>0</v>
      </c>
      <c r="K130" s="3618">
        <v>4</v>
      </c>
      <c r="L130" s="3618">
        <f t="shared" si="40"/>
        <v>121</v>
      </c>
      <c r="M130" s="3619">
        <v>45877</v>
      </c>
      <c r="N130" s="3619">
        <v>45873</v>
      </c>
      <c r="O130" s="959"/>
      <c r="P130" s="959" t="s">
        <v>82</v>
      </c>
      <c r="Q130" s="3645" t="s">
        <v>220</v>
      </c>
      <c r="R130" s="3649" t="s">
        <v>1419</v>
      </c>
      <c r="S130" s="3644"/>
      <c r="T130" s="3644" t="s">
        <v>8687</v>
      </c>
      <c r="U130" s="3621"/>
      <c r="V130" s="3661" t="s">
        <v>4457</v>
      </c>
      <c r="W130" s="3638" t="s">
        <v>8688</v>
      </c>
      <c r="X130" s="3639" t="s">
        <v>1199</v>
      </c>
      <c r="Y130" s="3618">
        <v>10.1186</v>
      </c>
      <c r="Z130" s="3618">
        <f>Y130*I130</f>
        <v>4897.4024</v>
      </c>
      <c r="AA130" s="3633"/>
      <c r="AB130" s="959" t="s">
        <v>8290</v>
      </c>
      <c r="AC130" s="3653" t="s">
        <v>416</v>
      </c>
      <c r="AD130" s="967"/>
      <c r="AE130" s="967"/>
      <c r="AF130" s="967"/>
      <c r="AG130" s="3618">
        <v>100</v>
      </c>
      <c r="AH130" s="959"/>
      <c r="AI130" s="959"/>
      <c r="AJ130" s="3618">
        <f t="shared" si="43"/>
        <v>484</v>
      </c>
      <c r="AK130" s="959"/>
      <c r="AL130" s="3636">
        <f t="shared" si="45"/>
        <v>484</v>
      </c>
      <c r="AM130" s="959"/>
      <c r="AN130" s="959"/>
      <c r="AO130" s="3668"/>
      <c r="AP130" s="3669"/>
      <c r="AQ130" s="3655" t="s">
        <v>89</v>
      </c>
      <c r="AR130" s="3626">
        <f t="shared" si="37"/>
        <v>32.2666666666667</v>
      </c>
      <c r="AS130" s="3626">
        <f t="shared" si="38"/>
        <v>193.6</v>
      </c>
      <c r="AT130" s="3626">
        <f t="shared" si="39"/>
        <v>258.133333333333</v>
      </c>
      <c r="AU130" s="3627">
        <f t="shared" si="34"/>
        <v>484</v>
      </c>
      <c r="AV130" s="3627">
        <f t="shared" si="35"/>
        <v>0</v>
      </c>
    </row>
    <row r="131" s="3566" customFormat="1" ht="50" customHeight="1" spans="1:48">
      <c r="A131" s="3616">
        <v>45769</v>
      </c>
      <c r="B131" s="3630" t="s">
        <v>2285</v>
      </c>
      <c r="C131" s="3628" t="s">
        <v>351</v>
      </c>
      <c r="D131" s="3629">
        <v>4500164457</v>
      </c>
      <c r="E131" s="959" t="s">
        <v>3336</v>
      </c>
      <c r="F131" s="3629" t="s">
        <v>8689</v>
      </c>
      <c r="G131" s="959" t="s">
        <v>8290</v>
      </c>
      <c r="H131" s="3618" t="s">
        <v>8291</v>
      </c>
      <c r="I131" s="3618">
        <v>188</v>
      </c>
      <c r="J131" s="3618">
        <v>0</v>
      </c>
      <c r="K131" s="3618">
        <v>4</v>
      </c>
      <c r="L131" s="3618">
        <f t="shared" si="40"/>
        <v>47</v>
      </c>
      <c r="M131" s="3619">
        <v>45877</v>
      </c>
      <c r="N131" s="3619">
        <v>45873</v>
      </c>
      <c r="O131" s="959"/>
      <c r="P131" s="959" t="s">
        <v>82</v>
      </c>
      <c r="Q131" s="3645" t="s">
        <v>220</v>
      </c>
      <c r="R131" s="3649" t="s">
        <v>1419</v>
      </c>
      <c r="S131" s="3644"/>
      <c r="T131" s="3644" t="s">
        <v>8687</v>
      </c>
      <c r="U131" s="3621"/>
      <c r="V131" s="3661" t="s">
        <v>4457</v>
      </c>
      <c r="W131" s="3638" t="s">
        <v>8688</v>
      </c>
      <c r="X131" s="3639" t="s">
        <v>1199</v>
      </c>
      <c r="Y131" s="3618">
        <v>10.1186</v>
      </c>
      <c r="Z131" s="3618">
        <f>Y131*I131</f>
        <v>1902.2968</v>
      </c>
      <c r="AA131" s="3633"/>
      <c r="AB131" s="959" t="s">
        <v>8290</v>
      </c>
      <c r="AC131" s="3653" t="s">
        <v>416</v>
      </c>
      <c r="AD131" s="967"/>
      <c r="AE131" s="967"/>
      <c r="AF131" s="967"/>
      <c r="AG131" s="3618">
        <v>100</v>
      </c>
      <c r="AH131" s="959"/>
      <c r="AI131" s="959"/>
      <c r="AJ131" s="3618">
        <f t="shared" si="43"/>
        <v>188</v>
      </c>
      <c r="AK131" s="959"/>
      <c r="AL131" s="3636">
        <f t="shared" si="45"/>
        <v>188</v>
      </c>
      <c r="AM131" s="959"/>
      <c r="AN131" s="959"/>
      <c r="AO131" s="3668"/>
      <c r="AP131" s="3669"/>
      <c r="AQ131" s="3655" t="s">
        <v>89</v>
      </c>
      <c r="AR131" s="3626">
        <f t="shared" si="37"/>
        <v>12.5333333333333</v>
      </c>
      <c r="AS131" s="3626">
        <f t="shared" si="38"/>
        <v>75.2</v>
      </c>
      <c r="AT131" s="3626">
        <f t="shared" si="39"/>
        <v>100.266666666667</v>
      </c>
      <c r="AU131" s="3627">
        <f t="shared" si="34"/>
        <v>188</v>
      </c>
      <c r="AV131" s="3627">
        <f t="shared" si="35"/>
        <v>0</v>
      </c>
    </row>
    <row r="132" s="3566" customFormat="1" ht="50" customHeight="1" spans="1:48">
      <c r="A132" s="3616">
        <v>45838</v>
      </c>
      <c r="B132" s="3630" t="s">
        <v>90</v>
      </c>
      <c r="C132" s="3628" t="s">
        <v>91</v>
      </c>
      <c r="D132" s="3629">
        <v>4500171923</v>
      </c>
      <c r="E132" s="959" t="s">
        <v>8690</v>
      </c>
      <c r="F132" s="3629" t="s">
        <v>8691</v>
      </c>
      <c r="G132" s="959" t="s">
        <v>8290</v>
      </c>
      <c r="H132" s="3618" t="s">
        <v>8291</v>
      </c>
      <c r="I132" s="3618">
        <v>1200</v>
      </c>
      <c r="J132" s="3618">
        <v>0</v>
      </c>
      <c r="K132" s="3618">
        <v>4</v>
      </c>
      <c r="L132" s="3618">
        <f t="shared" si="40"/>
        <v>300</v>
      </c>
      <c r="M132" s="3619">
        <v>45870</v>
      </c>
      <c r="N132" s="3619">
        <f>M132-4</f>
        <v>45866</v>
      </c>
      <c r="O132" s="3664"/>
      <c r="P132" s="959" t="s">
        <v>82</v>
      </c>
      <c r="Q132" s="3620" t="s">
        <v>218</v>
      </c>
      <c r="R132" s="3649" t="s">
        <v>1628</v>
      </c>
      <c r="S132" s="3649"/>
      <c r="T132" s="3657" t="s">
        <v>98</v>
      </c>
      <c r="U132" s="3649" t="s">
        <v>8647</v>
      </c>
      <c r="V132" s="3661"/>
      <c r="W132" s="3638" t="s">
        <v>1677</v>
      </c>
      <c r="X132" s="3639" t="s">
        <v>101</v>
      </c>
      <c r="Y132" s="3686">
        <v>5.7652</v>
      </c>
      <c r="Z132" s="3618">
        <f>I132*Y132</f>
        <v>6918.24</v>
      </c>
      <c r="AA132" s="3633" t="s">
        <v>8692</v>
      </c>
      <c r="AB132" s="959" t="s">
        <v>8290</v>
      </c>
      <c r="AC132" s="3653" t="s">
        <v>416</v>
      </c>
      <c r="AD132" s="967"/>
      <c r="AE132" s="967"/>
      <c r="AF132" s="967"/>
      <c r="AG132" s="3618">
        <f t="shared" ref="AG132:AG141" si="46">I132</f>
        <v>1200</v>
      </c>
      <c r="AH132" s="959"/>
      <c r="AI132" s="3636"/>
      <c r="AJ132" s="3618">
        <f t="shared" si="43"/>
        <v>1200</v>
      </c>
      <c r="AK132" s="959"/>
      <c r="AL132" s="3655">
        <f t="shared" si="45"/>
        <v>1200</v>
      </c>
      <c r="AM132" s="3636"/>
      <c r="AN132" s="3636"/>
      <c r="AO132" s="3668"/>
      <c r="AP132" s="3669"/>
      <c r="AQ132" s="3655" t="s">
        <v>89</v>
      </c>
      <c r="AR132" s="3627">
        <f t="shared" si="37"/>
        <v>80</v>
      </c>
      <c r="AS132" s="3627">
        <f t="shared" si="38"/>
        <v>480</v>
      </c>
      <c r="AT132" s="3687">
        <f t="shared" si="39"/>
        <v>640</v>
      </c>
      <c r="AU132" s="3678">
        <f t="shared" si="34"/>
        <v>1200</v>
      </c>
      <c r="AV132" s="3678">
        <f t="shared" si="35"/>
        <v>0</v>
      </c>
    </row>
    <row r="133" s="3566" customFormat="1" ht="50" customHeight="1" spans="1:48">
      <c r="A133" s="3616">
        <v>45769</v>
      </c>
      <c r="B133" s="3630" t="s">
        <v>2285</v>
      </c>
      <c r="C133" s="3628" t="s">
        <v>351</v>
      </c>
      <c r="D133" s="3629">
        <v>4500164451</v>
      </c>
      <c r="E133" s="959" t="s">
        <v>3336</v>
      </c>
      <c r="F133" s="3629" t="s">
        <v>8693</v>
      </c>
      <c r="G133" s="959" t="s">
        <v>8290</v>
      </c>
      <c r="H133" s="3618" t="s">
        <v>8291</v>
      </c>
      <c r="I133" s="3618">
        <v>280</v>
      </c>
      <c r="J133" s="3618">
        <v>0</v>
      </c>
      <c r="K133" s="3618">
        <v>4</v>
      </c>
      <c r="L133" s="3618">
        <f t="shared" si="40"/>
        <v>70</v>
      </c>
      <c r="M133" s="3619">
        <v>45873</v>
      </c>
      <c r="N133" s="3619">
        <f>M133-4</f>
        <v>45869</v>
      </c>
      <c r="O133" s="959"/>
      <c r="P133" s="959" t="s">
        <v>82</v>
      </c>
      <c r="Q133" s="3645" t="s">
        <v>4462</v>
      </c>
      <c r="R133" s="3649" t="s">
        <v>1419</v>
      </c>
      <c r="S133" s="3644"/>
      <c r="T133" s="3644" t="s">
        <v>8671</v>
      </c>
      <c r="U133" s="3621"/>
      <c r="V133" s="3661" t="s">
        <v>4457</v>
      </c>
      <c r="W133" s="3638" t="s">
        <v>8672</v>
      </c>
      <c r="X133" s="3639" t="s">
        <v>1199</v>
      </c>
      <c r="Y133" s="3618">
        <v>10.1186</v>
      </c>
      <c r="Z133" s="3618">
        <f t="shared" ref="Z133:Z147" si="47">Y133*I133</f>
        <v>2833.208</v>
      </c>
      <c r="AA133" s="3633"/>
      <c r="AB133" s="959" t="s">
        <v>8290</v>
      </c>
      <c r="AC133" s="3653" t="s">
        <v>416</v>
      </c>
      <c r="AD133" s="967"/>
      <c r="AE133" s="967"/>
      <c r="AF133" s="967"/>
      <c r="AG133" s="3618">
        <f t="shared" si="46"/>
        <v>280</v>
      </c>
      <c r="AH133" s="959"/>
      <c r="AI133" s="3636"/>
      <c r="AJ133" s="3618">
        <f t="shared" si="43"/>
        <v>280</v>
      </c>
      <c r="AK133" s="959"/>
      <c r="AL133" s="3655">
        <f t="shared" si="45"/>
        <v>280</v>
      </c>
      <c r="AM133" s="3636"/>
      <c r="AN133" s="3636"/>
      <c r="AO133" s="3668"/>
      <c r="AP133" s="3669"/>
      <c r="AQ133" s="3655" t="s">
        <v>89</v>
      </c>
      <c r="AR133" s="3627">
        <f t="shared" si="37"/>
        <v>18.6666666666667</v>
      </c>
      <c r="AS133" s="3627">
        <f t="shared" si="38"/>
        <v>112</v>
      </c>
      <c r="AT133" s="3687">
        <f t="shared" si="39"/>
        <v>149.333333333333</v>
      </c>
      <c r="AU133" s="3627">
        <f t="shared" si="34"/>
        <v>280</v>
      </c>
      <c r="AV133" s="3627">
        <f t="shared" si="35"/>
        <v>0</v>
      </c>
    </row>
    <row r="134" s="3566" customFormat="1" ht="50" customHeight="1" spans="1:48">
      <c r="A134" s="3616">
        <v>45825</v>
      </c>
      <c r="B134" s="3630" t="s">
        <v>8676</v>
      </c>
      <c r="C134" s="3628" t="s">
        <v>8677</v>
      </c>
      <c r="D134" s="3629">
        <v>4500170226</v>
      </c>
      <c r="E134" s="959"/>
      <c r="F134" s="3629" t="s">
        <v>8694</v>
      </c>
      <c r="G134" s="959" t="s">
        <v>8290</v>
      </c>
      <c r="H134" s="3618" t="s">
        <v>8291</v>
      </c>
      <c r="I134" s="3618">
        <v>1500</v>
      </c>
      <c r="J134" s="3618">
        <v>0</v>
      </c>
      <c r="K134" s="3618">
        <v>4</v>
      </c>
      <c r="L134" s="3618">
        <f t="shared" si="40"/>
        <v>375</v>
      </c>
      <c r="M134" s="3619">
        <v>45887</v>
      </c>
      <c r="N134" s="3619">
        <v>45883</v>
      </c>
      <c r="O134" s="3691"/>
      <c r="P134" s="959" t="s">
        <v>82</v>
      </c>
      <c r="Q134" s="3620" t="s">
        <v>4567</v>
      </c>
      <c r="R134" s="3649" t="s">
        <v>8679</v>
      </c>
      <c r="S134" s="3644"/>
      <c r="T134" s="3657" t="s">
        <v>8680</v>
      </c>
      <c r="U134" s="3621"/>
      <c r="V134" s="3664"/>
      <c r="W134" s="3638" t="s">
        <v>8695</v>
      </c>
      <c r="X134" s="3639" t="s">
        <v>2382</v>
      </c>
      <c r="Y134" s="3618">
        <v>9.6087</v>
      </c>
      <c r="Z134" s="3618">
        <f t="shared" si="47"/>
        <v>14413.05</v>
      </c>
      <c r="AA134" s="3633"/>
      <c r="AB134" s="959" t="s">
        <v>8290</v>
      </c>
      <c r="AC134" s="3653" t="s">
        <v>416</v>
      </c>
      <c r="AD134" s="3693"/>
      <c r="AE134" s="3681"/>
      <c r="AF134" s="3681"/>
      <c r="AG134" s="3618">
        <f t="shared" si="46"/>
        <v>1500</v>
      </c>
      <c r="AH134" s="959"/>
      <c r="AI134" s="3636"/>
      <c r="AJ134" s="959">
        <f t="shared" si="43"/>
        <v>1500</v>
      </c>
      <c r="AK134" s="3668"/>
      <c r="AL134" s="3669"/>
      <c r="AM134" s="3694">
        <f>I134</f>
        <v>1500</v>
      </c>
      <c r="AN134" s="3694"/>
      <c r="AO134" s="3626"/>
      <c r="AP134" s="3626"/>
      <c r="AQ134" s="3655" t="s">
        <v>89</v>
      </c>
      <c r="AR134" s="3627">
        <f t="shared" si="37"/>
        <v>100</v>
      </c>
      <c r="AS134" s="3627">
        <f t="shared" si="38"/>
        <v>600</v>
      </c>
      <c r="AT134" s="3687">
        <f t="shared" si="39"/>
        <v>800</v>
      </c>
      <c r="AU134" s="3678">
        <f t="shared" si="34"/>
        <v>1500</v>
      </c>
      <c r="AV134" s="3678">
        <f t="shared" si="35"/>
        <v>0</v>
      </c>
    </row>
    <row r="135" s="3566" customFormat="1" ht="50" customHeight="1" spans="1:48">
      <c r="A135" s="3616">
        <v>45846</v>
      </c>
      <c r="B135" s="3630" t="s">
        <v>4595</v>
      </c>
      <c r="C135" s="3628" t="s">
        <v>506</v>
      </c>
      <c r="D135" s="3629">
        <v>4500173090</v>
      </c>
      <c r="E135" s="959" t="s">
        <v>7427</v>
      </c>
      <c r="F135" s="3629" t="s">
        <v>8696</v>
      </c>
      <c r="G135" s="959" t="s">
        <v>8290</v>
      </c>
      <c r="H135" s="3618" t="s">
        <v>8291</v>
      </c>
      <c r="I135" s="3618">
        <v>28</v>
      </c>
      <c r="J135" s="3618">
        <v>0</v>
      </c>
      <c r="K135" s="3618">
        <v>4</v>
      </c>
      <c r="L135" s="3618">
        <f t="shared" si="40"/>
        <v>7</v>
      </c>
      <c r="M135" s="3619">
        <v>45884</v>
      </c>
      <c r="N135" s="3619">
        <v>45880</v>
      </c>
      <c r="O135" s="3691"/>
      <c r="P135" s="959" t="s">
        <v>82</v>
      </c>
      <c r="Q135" s="3620"/>
      <c r="R135" s="3649" t="s">
        <v>1619</v>
      </c>
      <c r="S135" s="3695"/>
      <c r="T135" s="3657" t="s">
        <v>1572</v>
      </c>
      <c r="U135" s="3621"/>
      <c r="V135" s="3664"/>
      <c r="W135" s="3638" t="s">
        <v>8697</v>
      </c>
      <c r="X135" s="3639" t="s">
        <v>3202</v>
      </c>
      <c r="Y135" s="3618">
        <v>10.1386</v>
      </c>
      <c r="Z135" s="3618">
        <f t="shared" si="47"/>
        <v>283.8808</v>
      </c>
      <c r="AA135" s="3633"/>
      <c r="AB135" s="959" t="s">
        <v>8290</v>
      </c>
      <c r="AC135" s="3653" t="s">
        <v>416</v>
      </c>
      <c r="AD135" s="3693"/>
      <c r="AE135" s="3681"/>
      <c r="AF135" s="3681"/>
      <c r="AG135" s="3618">
        <f t="shared" si="46"/>
        <v>28</v>
      </c>
      <c r="AH135" s="959"/>
      <c r="AI135" s="3636"/>
      <c r="AJ135" s="959">
        <f t="shared" si="43"/>
        <v>28</v>
      </c>
      <c r="AK135" s="3668"/>
      <c r="AL135" s="3669">
        <f t="shared" ref="AL135:AL141" si="48">I135</f>
        <v>28</v>
      </c>
      <c r="AM135" s="3655"/>
      <c r="AN135" s="3655"/>
      <c r="AO135" s="3626"/>
      <c r="AP135" s="3626"/>
      <c r="AQ135" s="3626" t="s">
        <v>89</v>
      </c>
      <c r="AR135" s="3627">
        <f t="shared" si="37"/>
        <v>1.86666666666667</v>
      </c>
      <c r="AS135" s="3627">
        <f t="shared" si="38"/>
        <v>11.2</v>
      </c>
      <c r="AT135" s="3687">
        <f t="shared" si="39"/>
        <v>14.9333333333333</v>
      </c>
      <c r="AU135" s="3678">
        <f t="shared" si="34"/>
        <v>28</v>
      </c>
      <c r="AV135" s="3678">
        <f t="shared" si="35"/>
        <v>0</v>
      </c>
    </row>
    <row r="136" s="3566" customFormat="1" ht="50" customHeight="1" spans="1:48">
      <c r="A136" s="3616">
        <v>45846</v>
      </c>
      <c r="B136" s="3630" t="s">
        <v>4595</v>
      </c>
      <c r="C136" s="3628" t="s">
        <v>506</v>
      </c>
      <c r="D136" s="3629">
        <v>4500173087</v>
      </c>
      <c r="E136" s="959" t="s">
        <v>8698</v>
      </c>
      <c r="F136" s="3629" t="s">
        <v>8699</v>
      </c>
      <c r="G136" s="959" t="s">
        <v>8290</v>
      </c>
      <c r="H136" s="3618" t="s">
        <v>8291</v>
      </c>
      <c r="I136" s="3618">
        <v>148</v>
      </c>
      <c r="J136" s="3618">
        <v>0</v>
      </c>
      <c r="K136" s="3618">
        <v>4</v>
      </c>
      <c r="L136" s="3618">
        <f t="shared" si="40"/>
        <v>37</v>
      </c>
      <c r="M136" s="3619">
        <v>45884</v>
      </c>
      <c r="N136" s="3619">
        <v>45880</v>
      </c>
      <c r="O136" s="3691"/>
      <c r="P136" s="959" t="s">
        <v>82</v>
      </c>
      <c r="Q136" s="3620" t="s">
        <v>1767</v>
      </c>
      <c r="R136" s="3649" t="s">
        <v>1619</v>
      </c>
      <c r="S136" s="3695"/>
      <c r="T136" s="3657" t="s">
        <v>1572</v>
      </c>
      <c r="U136" s="3621"/>
      <c r="V136" s="3664"/>
      <c r="W136" s="3638" t="s">
        <v>8700</v>
      </c>
      <c r="X136" s="3639" t="s">
        <v>3202</v>
      </c>
      <c r="Y136" s="3618">
        <v>9.6286</v>
      </c>
      <c r="Z136" s="3618">
        <f t="shared" si="47"/>
        <v>1425.0328</v>
      </c>
      <c r="AA136" s="3633"/>
      <c r="AB136" s="959" t="s">
        <v>8290</v>
      </c>
      <c r="AC136" s="3653" t="s">
        <v>416</v>
      </c>
      <c r="AD136" s="3693"/>
      <c r="AE136" s="3681"/>
      <c r="AF136" s="3681"/>
      <c r="AG136" s="3618">
        <f t="shared" si="46"/>
        <v>148</v>
      </c>
      <c r="AH136" s="959"/>
      <c r="AI136" s="3636"/>
      <c r="AJ136" s="959">
        <f t="shared" si="43"/>
        <v>148</v>
      </c>
      <c r="AK136" s="3668"/>
      <c r="AL136" s="3669">
        <f t="shared" si="48"/>
        <v>148</v>
      </c>
      <c r="AM136" s="3655"/>
      <c r="AN136" s="3655"/>
      <c r="AO136" s="3626"/>
      <c r="AP136" s="3626"/>
      <c r="AQ136" s="3626" t="s">
        <v>89</v>
      </c>
      <c r="AR136" s="3627">
        <f t="shared" si="37"/>
        <v>9.86666666666667</v>
      </c>
      <c r="AS136" s="3627">
        <f t="shared" si="38"/>
        <v>59.2</v>
      </c>
      <c r="AT136" s="3687">
        <f t="shared" si="39"/>
        <v>78.9333333333333</v>
      </c>
      <c r="AU136" s="3678">
        <f t="shared" si="34"/>
        <v>148</v>
      </c>
      <c r="AV136" s="3678">
        <f t="shared" si="35"/>
        <v>0</v>
      </c>
    </row>
    <row r="137" s="3566" customFormat="1" ht="50" customHeight="1" spans="1:48">
      <c r="A137" s="3616">
        <v>45846</v>
      </c>
      <c r="B137" s="3630" t="s">
        <v>4595</v>
      </c>
      <c r="C137" s="3628" t="s">
        <v>506</v>
      </c>
      <c r="D137" s="3629">
        <v>4500173120</v>
      </c>
      <c r="E137" s="959" t="s">
        <v>7415</v>
      </c>
      <c r="F137" s="3629" t="s">
        <v>8701</v>
      </c>
      <c r="G137" s="959" t="s">
        <v>8290</v>
      </c>
      <c r="H137" s="3618" t="s">
        <v>8291</v>
      </c>
      <c r="I137" s="3618">
        <v>60</v>
      </c>
      <c r="J137" s="3618">
        <v>0</v>
      </c>
      <c r="K137" s="3618">
        <v>4</v>
      </c>
      <c r="L137" s="3618">
        <f t="shared" si="40"/>
        <v>15</v>
      </c>
      <c r="M137" s="3619">
        <v>45884</v>
      </c>
      <c r="N137" s="3619">
        <v>45880</v>
      </c>
      <c r="O137" s="3691"/>
      <c r="P137" s="959" t="s">
        <v>82</v>
      </c>
      <c r="Q137" s="3645" t="s">
        <v>1767</v>
      </c>
      <c r="R137" s="3649" t="s">
        <v>1619</v>
      </c>
      <c r="S137" s="3695"/>
      <c r="T137" s="3657" t="s">
        <v>1572</v>
      </c>
      <c r="U137" s="3621"/>
      <c r="V137" s="3664"/>
      <c r="W137" s="3638" t="s">
        <v>8702</v>
      </c>
      <c r="X137" s="3639" t="s">
        <v>3202</v>
      </c>
      <c r="Y137" s="3618">
        <v>9.6286</v>
      </c>
      <c r="Z137" s="3618">
        <f t="shared" si="47"/>
        <v>577.716</v>
      </c>
      <c r="AA137" s="3633"/>
      <c r="AB137" s="959" t="s">
        <v>8290</v>
      </c>
      <c r="AC137" s="3653" t="s">
        <v>416</v>
      </c>
      <c r="AD137" s="3696"/>
      <c r="AE137" s="3697"/>
      <c r="AF137" s="3697"/>
      <c r="AG137" s="3618">
        <f t="shared" si="46"/>
        <v>60</v>
      </c>
      <c r="AH137" s="959"/>
      <c r="AI137" s="3636"/>
      <c r="AJ137" s="959">
        <f t="shared" si="43"/>
        <v>60</v>
      </c>
      <c r="AK137" s="3668"/>
      <c r="AL137" s="3669">
        <f t="shared" si="48"/>
        <v>60</v>
      </c>
      <c r="AM137" s="3655"/>
      <c r="AN137" s="3655"/>
      <c r="AO137" s="3626"/>
      <c r="AP137" s="3626"/>
      <c r="AQ137" s="3626" t="s">
        <v>89</v>
      </c>
      <c r="AR137" s="3627">
        <f t="shared" si="37"/>
        <v>4</v>
      </c>
      <c r="AS137" s="3627">
        <f t="shared" si="38"/>
        <v>24</v>
      </c>
      <c r="AT137" s="3687">
        <f t="shared" si="39"/>
        <v>32</v>
      </c>
      <c r="AU137" s="3678">
        <f t="shared" si="34"/>
        <v>60</v>
      </c>
      <c r="AV137" s="3678">
        <f t="shared" si="35"/>
        <v>0</v>
      </c>
    </row>
    <row r="138" s="3566" customFormat="1" ht="50" customHeight="1" spans="1:48">
      <c r="A138" s="3616">
        <v>45846</v>
      </c>
      <c r="B138" s="3630" t="s">
        <v>4595</v>
      </c>
      <c r="C138" s="3628" t="s">
        <v>506</v>
      </c>
      <c r="D138" s="3629">
        <v>4500173107</v>
      </c>
      <c r="E138" s="959" t="s">
        <v>7418</v>
      </c>
      <c r="F138" s="3629" t="s">
        <v>8703</v>
      </c>
      <c r="G138" s="959" t="s">
        <v>8290</v>
      </c>
      <c r="H138" s="3618" t="s">
        <v>8291</v>
      </c>
      <c r="I138" s="3618">
        <v>76</v>
      </c>
      <c r="J138" s="3618">
        <v>0</v>
      </c>
      <c r="K138" s="3618">
        <v>4</v>
      </c>
      <c r="L138" s="3618">
        <f t="shared" si="40"/>
        <v>19</v>
      </c>
      <c r="M138" s="3619">
        <v>45884</v>
      </c>
      <c r="N138" s="3619">
        <v>45880</v>
      </c>
      <c r="O138" s="3691"/>
      <c r="P138" s="3636" t="s">
        <v>82</v>
      </c>
      <c r="Q138" s="3645" t="s">
        <v>1767</v>
      </c>
      <c r="R138" s="3649" t="s">
        <v>1619</v>
      </c>
      <c r="S138" s="3695"/>
      <c r="T138" s="3657" t="s">
        <v>1572</v>
      </c>
      <c r="U138" s="3621"/>
      <c r="V138" s="3664"/>
      <c r="W138" s="3638" t="s">
        <v>8702</v>
      </c>
      <c r="X138" s="3639" t="s">
        <v>3202</v>
      </c>
      <c r="Y138" s="3618">
        <v>9.6286</v>
      </c>
      <c r="Z138" s="3618">
        <f t="shared" si="47"/>
        <v>731.7736</v>
      </c>
      <c r="AA138" s="3633"/>
      <c r="AB138" s="959" t="s">
        <v>8290</v>
      </c>
      <c r="AC138" s="3653" t="s">
        <v>416</v>
      </c>
      <c r="AD138" s="3698"/>
      <c r="AE138" s="3671"/>
      <c r="AF138" s="3671"/>
      <c r="AG138" s="3618">
        <f t="shared" si="46"/>
        <v>76</v>
      </c>
      <c r="AH138" s="959"/>
      <c r="AI138" s="3636"/>
      <c r="AJ138" s="959">
        <f t="shared" si="43"/>
        <v>76</v>
      </c>
      <c r="AK138" s="3668"/>
      <c r="AL138" s="3669">
        <f t="shared" si="48"/>
        <v>76</v>
      </c>
      <c r="AM138" s="3655"/>
      <c r="AN138" s="3655"/>
      <c r="AO138" s="3626"/>
      <c r="AP138" s="3626"/>
      <c r="AQ138" s="3626" t="s">
        <v>89</v>
      </c>
      <c r="AR138" s="3627">
        <f t="shared" si="37"/>
        <v>5.06666666666667</v>
      </c>
      <c r="AS138" s="3627">
        <f t="shared" si="38"/>
        <v>30.4</v>
      </c>
      <c r="AT138" s="3687">
        <f t="shared" si="39"/>
        <v>40.5333333333333</v>
      </c>
      <c r="AU138" s="3678">
        <f t="shared" si="34"/>
        <v>76</v>
      </c>
      <c r="AV138" s="3678">
        <f t="shared" si="35"/>
        <v>0</v>
      </c>
    </row>
    <row r="139" s="3566" customFormat="1" ht="50" customHeight="1" spans="1:48">
      <c r="A139" s="3616">
        <v>45846</v>
      </c>
      <c r="B139" s="3630" t="s">
        <v>4595</v>
      </c>
      <c r="C139" s="3628" t="s">
        <v>506</v>
      </c>
      <c r="D139" s="3629">
        <v>4500173092</v>
      </c>
      <c r="E139" s="959" t="s">
        <v>4602</v>
      </c>
      <c r="F139" s="3629" t="s">
        <v>8704</v>
      </c>
      <c r="G139" s="959" t="s">
        <v>8290</v>
      </c>
      <c r="H139" s="3618" t="s">
        <v>8291</v>
      </c>
      <c r="I139" s="3618">
        <v>72</v>
      </c>
      <c r="J139" s="3618">
        <v>0</v>
      </c>
      <c r="K139" s="3618">
        <v>4</v>
      </c>
      <c r="L139" s="3618">
        <f t="shared" si="40"/>
        <v>18</v>
      </c>
      <c r="M139" s="3619">
        <v>45884</v>
      </c>
      <c r="N139" s="3619">
        <v>45880</v>
      </c>
      <c r="O139" s="3691"/>
      <c r="P139" s="3636" t="s">
        <v>82</v>
      </c>
      <c r="Q139" s="3620"/>
      <c r="R139" s="3649" t="s">
        <v>1619</v>
      </c>
      <c r="S139" s="3695"/>
      <c r="T139" s="3657" t="s">
        <v>1572</v>
      </c>
      <c r="U139" s="3621"/>
      <c r="V139" s="3664"/>
      <c r="W139" s="3638" t="s">
        <v>8705</v>
      </c>
      <c r="X139" s="3639" t="s">
        <v>3202</v>
      </c>
      <c r="Y139" s="3618">
        <v>10.1386</v>
      </c>
      <c r="Z139" s="3618">
        <f t="shared" si="47"/>
        <v>729.9792</v>
      </c>
      <c r="AA139" s="3633"/>
      <c r="AB139" s="959" t="s">
        <v>8290</v>
      </c>
      <c r="AC139" s="3653" t="s">
        <v>416</v>
      </c>
      <c r="AD139" s="3698"/>
      <c r="AE139" s="3671"/>
      <c r="AF139" s="3671"/>
      <c r="AG139" s="3618">
        <f t="shared" si="46"/>
        <v>72</v>
      </c>
      <c r="AH139" s="959"/>
      <c r="AI139" s="3636"/>
      <c r="AJ139" s="959">
        <f t="shared" si="43"/>
        <v>72</v>
      </c>
      <c r="AK139" s="3668"/>
      <c r="AL139" s="3669">
        <f t="shared" si="48"/>
        <v>72</v>
      </c>
      <c r="AM139" s="3655"/>
      <c r="AN139" s="3655"/>
      <c r="AO139" s="3626"/>
      <c r="AP139" s="3626"/>
      <c r="AQ139" s="3626" t="s">
        <v>89</v>
      </c>
      <c r="AR139" s="3627">
        <f t="shared" si="37"/>
        <v>4.8</v>
      </c>
      <c r="AS139" s="3627">
        <f t="shared" si="38"/>
        <v>28.8</v>
      </c>
      <c r="AT139" s="3687">
        <f t="shared" si="39"/>
        <v>38.4</v>
      </c>
      <c r="AU139" s="3678">
        <f t="shared" si="34"/>
        <v>72</v>
      </c>
      <c r="AV139" s="3678">
        <f t="shared" si="35"/>
        <v>0</v>
      </c>
    </row>
    <row r="140" s="3566" customFormat="1" ht="50" customHeight="1" spans="1:48">
      <c r="A140" s="3616">
        <v>45846</v>
      </c>
      <c r="B140" s="3630" t="s">
        <v>4595</v>
      </c>
      <c r="C140" s="3628" t="s">
        <v>506</v>
      </c>
      <c r="D140" s="3629">
        <v>4500173094</v>
      </c>
      <c r="E140" s="959" t="s">
        <v>7423</v>
      </c>
      <c r="F140" s="3629" t="s">
        <v>8706</v>
      </c>
      <c r="G140" s="959" t="s">
        <v>8290</v>
      </c>
      <c r="H140" s="3618" t="s">
        <v>8291</v>
      </c>
      <c r="I140" s="3618">
        <v>28</v>
      </c>
      <c r="J140" s="3618">
        <v>0</v>
      </c>
      <c r="K140" s="3618">
        <v>4</v>
      </c>
      <c r="L140" s="3618">
        <f t="shared" si="40"/>
        <v>7</v>
      </c>
      <c r="M140" s="3619">
        <v>45884</v>
      </c>
      <c r="N140" s="3619">
        <v>45880</v>
      </c>
      <c r="O140" s="3691"/>
      <c r="P140" s="3636" t="s">
        <v>82</v>
      </c>
      <c r="Q140" s="3645" t="s">
        <v>1767</v>
      </c>
      <c r="R140" s="3649" t="s">
        <v>1619</v>
      </c>
      <c r="S140" s="3695"/>
      <c r="T140" s="3657" t="s">
        <v>1572</v>
      </c>
      <c r="U140" s="3621"/>
      <c r="V140" s="3664"/>
      <c r="W140" s="3638" t="s">
        <v>8697</v>
      </c>
      <c r="X140" s="3639" t="s">
        <v>3202</v>
      </c>
      <c r="Y140" s="3618">
        <v>10.1386</v>
      </c>
      <c r="Z140" s="3618">
        <f t="shared" si="47"/>
        <v>283.8808</v>
      </c>
      <c r="AA140" s="3633"/>
      <c r="AB140" s="959" t="s">
        <v>8290</v>
      </c>
      <c r="AC140" s="3653" t="s">
        <v>416</v>
      </c>
      <c r="AD140" s="3698"/>
      <c r="AE140" s="3671"/>
      <c r="AF140" s="3671"/>
      <c r="AG140" s="3618">
        <f t="shared" si="46"/>
        <v>28</v>
      </c>
      <c r="AH140" s="959"/>
      <c r="AI140" s="3636"/>
      <c r="AJ140" s="959">
        <f t="shared" si="43"/>
        <v>28</v>
      </c>
      <c r="AK140" s="3668"/>
      <c r="AL140" s="3669">
        <f t="shared" si="48"/>
        <v>28</v>
      </c>
      <c r="AM140" s="3655"/>
      <c r="AN140" s="3655"/>
      <c r="AO140" s="3626"/>
      <c r="AP140" s="3626"/>
      <c r="AQ140" s="3626" t="s">
        <v>89</v>
      </c>
      <c r="AR140" s="3627">
        <f t="shared" si="37"/>
        <v>1.86666666666667</v>
      </c>
      <c r="AS140" s="3627">
        <f t="shared" si="38"/>
        <v>11.2</v>
      </c>
      <c r="AT140" s="3687">
        <f t="shared" si="39"/>
        <v>14.9333333333333</v>
      </c>
      <c r="AU140" s="3678">
        <f t="shared" si="34"/>
        <v>28</v>
      </c>
      <c r="AV140" s="3678">
        <f t="shared" si="35"/>
        <v>0</v>
      </c>
    </row>
    <row r="141" s="3566" customFormat="1" ht="50" customHeight="1" spans="1:48">
      <c r="A141" s="3616">
        <v>45818</v>
      </c>
      <c r="B141" s="3630" t="s">
        <v>1737</v>
      </c>
      <c r="C141" s="3628" t="s">
        <v>351</v>
      </c>
      <c r="D141" s="3629">
        <v>4500169448</v>
      </c>
      <c r="E141" s="959"/>
      <c r="F141" s="3629" t="s">
        <v>8707</v>
      </c>
      <c r="G141" s="959" t="s">
        <v>8290</v>
      </c>
      <c r="H141" s="3618" t="s">
        <v>8291</v>
      </c>
      <c r="I141" s="3618">
        <v>760</v>
      </c>
      <c r="J141" s="3618">
        <v>0</v>
      </c>
      <c r="K141" s="3618">
        <v>4</v>
      </c>
      <c r="L141" s="3618">
        <f t="shared" si="40"/>
        <v>190</v>
      </c>
      <c r="M141" s="3619">
        <v>45887</v>
      </c>
      <c r="N141" s="3619">
        <v>45883</v>
      </c>
      <c r="O141" s="3691"/>
      <c r="P141" s="3636" t="s">
        <v>82</v>
      </c>
      <c r="Q141" s="3620" t="s">
        <v>222</v>
      </c>
      <c r="R141" s="3649" t="s">
        <v>1739</v>
      </c>
      <c r="S141" s="3644"/>
      <c r="T141" s="3657" t="s">
        <v>1740</v>
      </c>
      <c r="U141" s="3621"/>
      <c r="V141" s="3664" t="s">
        <v>1741</v>
      </c>
      <c r="W141" s="3638" t="s">
        <v>8708</v>
      </c>
      <c r="X141" s="3639" t="s">
        <v>1199</v>
      </c>
      <c r="Y141" s="3618">
        <v>10.1186</v>
      </c>
      <c r="Z141" s="3618">
        <f t="shared" si="47"/>
        <v>7690.136</v>
      </c>
      <c r="AA141" s="3633"/>
      <c r="AB141" s="959" t="s">
        <v>8290</v>
      </c>
      <c r="AC141" s="3653" t="s">
        <v>416</v>
      </c>
      <c r="AD141" s="3699"/>
      <c r="AE141" s="3700"/>
      <c r="AF141" s="3700"/>
      <c r="AG141" s="3618">
        <f t="shared" si="46"/>
        <v>760</v>
      </c>
      <c r="AH141" s="959"/>
      <c r="AI141" s="3636"/>
      <c r="AJ141" s="959">
        <f t="shared" si="43"/>
        <v>760</v>
      </c>
      <c r="AK141" s="3668"/>
      <c r="AL141" s="3669">
        <f t="shared" si="48"/>
        <v>760</v>
      </c>
      <c r="AM141" s="3655"/>
      <c r="AN141" s="3655"/>
      <c r="AO141" s="3626"/>
      <c r="AP141" s="3626"/>
      <c r="AQ141" s="3626" t="s">
        <v>89</v>
      </c>
      <c r="AR141" s="3626">
        <f>I141/3</f>
        <v>253.333333333333</v>
      </c>
      <c r="AS141" s="3626">
        <f>I141/3</f>
        <v>253.333333333333</v>
      </c>
      <c r="AT141" s="3626">
        <f>I141/3</f>
        <v>253.333333333333</v>
      </c>
      <c r="AU141" s="3627">
        <f t="shared" si="34"/>
        <v>760</v>
      </c>
      <c r="AV141" s="3627">
        <f t="shared" si="35"/>
        <v>0</v>
      </c>
    </row>
    <row r="142" s="3566" customFormat="1" ht="50" customHeight="1" spans="1:48">
      <c r="A142" s="3616">
        <v>45848</v>
      </c>
      <c r="B142" s="3630" t="s">
        <v>8709</v>
      </c>
      <c r="C142" s="3628" t="s">
        <v>8710</v>
      </c>
      <c r="D142" s="3629">
        <v>4500173325</v>
      </c>
      <c r="E142" s="959" t="s">
        <v>8711</v>
      </c>
      <c r="F142" s="3629" t="s">
        <v>8712</v>
      </c>
      <c r="G142" s="959" t="s">
        <v>8713</v>
      </c>
      <c r="H142" s="3618" t="s">
        <v>8576</v>
      </c>
      <c r="I142" s="3618">
        <v>1248</v>
      </c>
      <c r="J142" s="3618">
        <v>0</v>
      </c>
      <c r="K142" s="3618">
        <v>4</v>
      </c>
      <c r="L142" s="3618">
        <f t="shared" si="40"/>
        <v>312</v>
      </c>
      <c r="M142" s="3619">
        <v>45884</v>
      </c>
      <c r="N142" s="3619">
        <v>45880</v>
      </c>
      <c r="O142" s="3691"/>
      <c r="P142" s="3636" t="s">
        <v>82</v>
      </c>
      <c r="Q142" s="3620" t="s">
        <v>1746</v>
      </c>
      <c r="R142" s="3649" t="s">
        <v>4738</v>
      </c>
      <c r="S142" s="3644"/>
      <c r="T142" s="3657" t="s">
        <v>8714</v>
      </c>
      <c r="U142" s="3621"/>
      <c r="V142" s="3664"/>
      <c r="W142" s="3638" t="s">
        <v>8715</v>
      </c>
      <c r="X142" s="3639" t="s">
        <v>6120</v>
      </c>
      <c r="Y142" s="3618">
        <v>10.0099</v>
      </c>
      <c r="Z142" s="3618">
        <f t="shared" si="47"/>
        <v>12492.3552</v>
      </c>
      <c r="AA142" s="3633"/>
      <c r="AB142" s="959" t="s">
        <v>8716</v>
      </c>
      <c r="AC142" s="3653" t="s">
        <v>416</v>
      </c>
      <c r="AD142" s="3698"/>
      <c r="AE142" s="3671"/>
      <c r="AF142" s="3671"/>
      <c r="AG142" s="3618"/>
      <c r="AH142" s="959">
        <f>I142</f>
        <v>1248</v>
      </c>
      <c r="AI142" s="3636"/>
      <c r="AJ142" s="959">
        <f t="shared" si="43"/>
        <v>1248</v>
      </c>
      <c r="AK142" s="3668"/>
      <c r="AL142" s="3669"/>
      <c r="AM142" s="3694">
        <f>I142</f>
        <v>1248</v>
      </c>
      <c r="AN142" s="3694"/>
      <c r="AO142" s="3626"/>
      <c r="AP142" s="3626"/>
      <c r="AQ142" s="3626" t="s">
        <v>89</v>
      </c>
      <c r="AR142" s="3627"/>
      <c r="AS142" s="3627">
        <f>I142</f>
        <v>1248</v>
      </c>
      <c r="AT142" s="3687"/>
      <c r="AU142" s="3678">
        <f t="shared" si="34"/>
        <v>1248</v>
      </c>
      <c r="AV142" s="3678">
        <f t="shared" si="35"/>
        <v>0</v>
      </c>
    </row>
    <row r="143" s="3566" customFormat="1" ht="50" customHeight="1" spans="1:48">
      <c r="A143" s="3616">
        <v>45825</v>
      </c>
      <c r="B143" s="3630" t="s">
        <v>1777</v>
      </c>
      <c r="C143" s="3628" t="s">
        <v>1142</v>
      </c>
      <c r="D143" s="3629">
        <v>4500170167</v>
      </c>
      <c r="E143" s="959" t="s">
        <v>1778</v>
      </c>
      <c r="F143" s="3629" t="s">
        <v>8717</v>
      </c>
      <c r="G143" s="959" t="s">
        <v>8290</v>
      </c>
      <c r="H143" s="3618" t="s">
        <v>8291</v>
      </c>
      <c r="I143" s="3618">
        <v>500</v>
      </c>
      <c r="J143" s="3618">
        <v>0</v>
      </c>
      <c r="K143" s="3618">
        <v>4</v>
      </c>
      <c r="L143" s="3618">
        <f t="shared" si="40"/>
        <v>125</v>
      </c>
      <c r="M143" s="3619">
        <v>45891</v>
      </c>
      <c r="N143" s="3619">
        <v>45887</v>
      </c>
      <c r="O143" s="3691"/>
      <c r="P143" s="3636" t="s">
        <v>82</v>
      </c>
      <c r="Q143" s="3620" t="s">
        <v>1780</v>
      </c>
      <c r="R143" s="3649" t="s">
        <v>1550</v>
      </c>
      <c r="S143" s="3644"/>
      <c r="T143" s="3640" t="s">
        <v>7461</v>
      </c>
      <c r="U143" s="3621"/>
      <c r="V143" s="3664"/>
      <c r="W143" s="3638" t="s">
        <v>8718</v>
      </c>
      <c r="X143" s="3639" t="s">
        <v>459</v>
      </c>
      <c r="Y143" s="3618">
        <v>9.6087</v>
      </c>
      <c r="Z143" s="3618">
        <f t="shared" si="47"/>
        <v>4804.35</v>
      </c>
      <c r="AA143" s="3633"/>
      <c r="AB143" s="959" t="s">
        <v>8329</v>
      </c>
      <c r="AC143" s="3653" t="s">
        <v>416</v>
      </c>
      <c r="AD143" s="3693"/>
      <c r="AE143" s="3681"/>
      <c r="AF143" s="3681"/>
      <c r="AG143" s="3618"/>
      <c r="AH143" s="959">
        <f>I143</f>
        <v>500</v>
      </c>
      <c r="AI143" s="3636"/>
      <c r="AJ143" s="959">
        <f t="shared" si="43"/>
        <v>500</v>
      </c>
      <c r="AK143" s="3668"/>
      <c r="AL143" s="3669"/>
      <c r="AM143" s="3694">
        <f>I143</f>
        <v>500</v>
      </c>
      <c r="AN143" s="3694"/>
      <c r="AO143" s="3626"/>
      <c r="AP143" s="3626"/>
      <c r="AQ143" s="3626" t="s">
        <v>89</v>
      </c>
      <c r="AR143" s="3627">
        <f>I143/3</f>
        <v>166.666666666667</v>
      </c>
      <c r="AS143" s="3627">
        <f>I143/3</f>
        <v>166.666666666667</v>
      </c>
      <c r="AT143" s="3687">
        <f>I143/3</f>
        <v>166.666666666667</v>
      </c>
      <c r="AU143" s="3678">
        <f t="shared" si="34"/>
        <v>500</v>
      </c>
      <c r="AV143" s="3678">
        <f t="shared" si="35"/>
        <v>0</v>
      </c>
    </row>
    <row r="144" s="3566" customFormat="1" ht="50" customHeight="1" spans="1:48">
      <c r="A144" s="3616">
        <v>45855</v>
      </c>
      <c r="B144" s="3630" t="s">
        <v>1764</v>
      </c>
      <c r="C144" s="3628" t="s">
        <v>78</v>
      </c>
      <c r="D144" s="3629">
        <v>4500174183</v>
      </c>
      <c r="E144" s="959" t="s">
        <v>1765</v>
      </c>
      <c r="F144" s="3629" t="s">
        <v>8719</v>
      </c>
      <c r="G144" s="959" t="s">
        <v>8290</v>
      </c>
      <c r="H144" s="3618" t="s">
        <v>8291</v>
      </c>
      <c r="I144" s="3618">
        <v>1200</v>
      </c>
      <c r="J144" s="3618">
        <v>0</v>
      </c>
      <c r="K144" s="3618">
        <v>4</v>
      </c>
      <c r="L144" s="3618">
        <f t="shared" si="40"/>
        <v>300</v>
      </c>
      <c r="M144" s="3619">
        <v>45891</v>
      </c>
      <c r="N144" s="3619">
        <v>45887</v>
      </c>
      <c r="O144" s="3691"/>
      <c r="P144" s="3636" t="s">
        <v>82</v>
      </c>
      <c r="Q144" s="3645" t="s">
        <v>1767</v>
      </c>
      <c r="R144" s="3649" t="s">
        <v>1768</v>
      </c>
      <c r="S144" s="3644"/>
      <c r="T144" s="3644" t="s">
        <v>8720</v>
      </c>
      <c r="U144" s="3621"/>
      <c r="V144" s="3661"/>
      <c r="W144" s="3638" t="s">
        <v>8721</v>
      </c>
      <c r="X144" s="3639" t="s">
        <v>1771</v>
      </c>
      <c r="Y144" s="3618">
        <v>10.1186</v>
      </c>
      <c r="Z144" s="3618">
        <f t="shared" si="47"/>
        <v>12142.32</v>
      </c>
      <c r="AA144" s="3633"/>
      <c r="AB144" s="959" t="s">
        <v>8329</v>
      </c>
      <c r="AC144" s="3653" t="s">
        <v>416</v>
      </c>
      <c r="AD144" s="3667"/>
      <c r="AE144" s="3667"/>
      <c r="AF144" s="3667"/>
      <c r="AG144" s="3618"/>
      <c r="AH144" s="959">
        <f>I144</f>
        <v>1200</v>
      </c>
      <c r="AI144" s="959"/>
      <c r="AJ144" s="3618">
        <f t="shared" si="43"/>
        <v>1200</v>
      </c>
      <c r="AK144" s="959"/>
      <c r="AL144" s="3636"/>
      <c r="AM144" s="3694">
        <f>I144</f>
        <v>1200</v>
      </c>
      <c r="AN144" s="3694"/>
      <c r="AO144" s="3668"/>
      <c r="AP144" s="3669"/>
      <c r="AQ144" s="3655" t="s">
        <v>89</v>
      </c>
      <c r="AR144" s="3626">
        <f>I144/3</f>
        <v>400</v>
      </c>
      <c r="AS144" s="3626">
        <f>I144/3</f>
        <v>400</v>
      </c>
      <c r="AT144" s="3626">
        <f>I144/3</f>
        <v>400</v>
      </c>
      <c r="AU144" s="3627">
        <f>I144</f>
        <v>1200</v>
      </c>
      <c r="AV144" s="3627">
        <f t="shared" si="35"/>
        <v>0</v>
      </c>
    </row>
    <row r="145" s="3566" customFormat="1" ht="50" customHeight="1" spans="1:48">
      <c r="A145" s="3616">
        <v>45848</v>
      </c>
      <c r="B145" s="3630" t="s">
        <v>8722</v>
      </c>
      <c r="C145" s="3628" t="s">
        <v>341</v>
      </c>
      <c r="D145" s="3629">
        <v>4500173325</v>
      </c>
      <c r="E145" s="959" t="s">
        <v>8723</v>
      </c>
      <c r="F145" s="3629" t="s">
        <v>8724</v>
      </c>
      <c r="G145" s="959" t="s">
        <v>8713</v>
      </c>
      <c r="H145" s="3618" t="s">
        <v>8576</v>
      </c>
      <c r="I145" s="3618">
        <v>1248</v>
      </c>
      <c r="J145" s="3618">
        <v>0</v>
      </c>
      <c r="K145" s="3618">
        <v>4</v>
      </c>
      <c r="L145" s="3618">
        <f t="shared" si="40"/>
        <v>312</v>
      </c>
      <c r="M145" s="3619">
        <v>45884</v>
      </c>
      <c r="N145" s="3619">
        <v>45880</v>
      </c>
      <c r="O145" s="3691"/>
      <c r="P145" s="3636" t="s">
        <v>82</v>
      </c>
      <c r="Q145" s="3620"/>
      <c r="R145" s="3649" t="s">
        <v>4738</v>
      </c>
      <c r="S145" s="3644"/>
      <c r="T145" s="3657" t="s">
        <v>8714</v>
      </c>
      <c r="U145" s="3621"/>
      <c r="V145" s="3664"/>
      <c r="W145" s="3638" t="s">
        <v>8725</v>
      </c>
      <c r="X145" s="3639" t="s">
        <v>6120</v>
      </c>
      <c r="Y145" s="3618">
        <v>9.9897</v>
      </c>
      <c r="Z145" s="3618">
        <f t="shared" si="47"/>
        <v>12467.1456</v>
      </c>
      <c r="AA145" s="3633"/>
      <c r="AB145" s="959" t="s">
        <v>8716</v>
      </c>
      <c r="AC145" s="3653" t="s">
        <v>416</v>
      </c>
      <c r="AD145" s="3698"/>
      <c r="AE145" s="3671"/>
      <c r="AF145" s="3671"/>
      <c r="AG145" s="3618"/>
      <c r="AH145" s="959">
        <f>I145</f>
        <v>1248</v>
      </c>
      <c r="AI145" s="3636"/>
      <c r="AJ145" s="959">
        <f t="shared" si="43"/>
        <v>1248</v>
      </c>
      <c r="AK145" s="3668"/>
      <c r="AL145" s="3669"/>
      <c r="AM145" s="3694">
        <f>I145</f>
        <v>1248</v>
      </c>
      <c r="AN145" s="3694"/>
      <c r="AO145" s="3626"/>
      <c r="AP145" s="3626"/>
      <c r="AQ145" s="3626" t="s">
        <v>89</v>
      </c>
      <c r="AR145" s="3627"/>
      <c r="AS145" s="3627">
        <f>I145</f>
        <v>1248</v>
      </c>
      <c r="AT145" s="3687"/>
      <c r="AU145" s="3678">
        <f>SUM(AR145:AT145)</f>
        <v>1248</v>
      </c>
      <c r="AV145" s="3678">
        <f t="shared" si="35"/>
        <v>0</v>
      </c>
    </row>
    <row r="146" s="3566" customFormat="1" ht="50" customHeight="1" spans="1:48">
      <c r="A146" s="3616">
        <v>45769</v>
      </c>
      <c r="B146" s="3630" t="s">
        <v>2285</v>
      </c>
      <c r="C146" s="3628" t="s">
        <v>351</v>
      </c>
      <c r="D146" s="3629">
        <v>4500164464</v>
      </c>
      <c r="E146" s="959" t="s">
        <v>3330</v>
      </c>
      <c r="F146" s="3629" t="s">
        <v>8726</v>
      </c>
      <c r="G146" s="959" t="s">
        <v>8290</v>
      </c>
      <c r="H146" s="3618" t="s">
        <v>8291</v>
      </c>
      <c r="I146" s="3618">
        <v>416</v>
      </c>
      <c r="J146" s="3618">
        <v>0</v>
      </c>
      <c r="K146" s="3618">
        <v>4</v>
      </c>
      <c r="L146" s="3618">
        <f t="shared" si="40"/>
        <v>104</v>
      </c>
      <c r="M146" s="3619">
        <v>45896</v>
      </c>
      <c r="N146" s="3619">
        <v>45892</v>
      </c>
      <c r="O146" s="3691"/>
      <c r="P146" s="3636" t="s">
        <v>82</v>
      </c>
      <c r="Q146" s="3620" t="s">
        <v>1883</v>
      </c>
      <c r="R146" s="3649" t="s">
        <v>1419</v>
      </c>
      <c r="S146" s="3644"/>
      <c r="T146" s="3644" t="s">
        <v>8687</v>
      </c>
      <c r="U146" s="3621"/>
      <c r="V146" s="3661" t="s">
        <v>4457</v>
      </c>
      <c r="W146" s="3638" t="s">
        <v>8688</v>
      </c>
      <c r="X146" s="3639" t="s">
        <v>1199</v>
      </c>
      <c r="Y146" s="3618">
        <v>10.1186</v>
      </c>
      <c r="Z146" s="3618">
        <f t="shared" si="47"/>
        <v>4209.3376</v>
      </c>
      <c r="AA146" s="3633"/>
      <c r="AB146" s="959" t="s">
        <v>8290</v>
      </c>
      <c r="AC146" s="3653" t="s">
        <v>416</v>
      </c>
      <c r="AD146" s="3674"/>
      <c r="AE146" s="3674"/>
      <c r="AF146" s="3674"/>
      <c r="AG146" s="3618">
        <v>100</v>
      </c>
      <c r="AH146" s="959"/>
      <c r="AI146" s="959"/>
      <c r="AJ146" s="3618">
        <f t="shared" si="43"/>
        <v>416</v>
      </c>
      <c r="AK146" s="959"/>
      <c r="AL146" s="3636">
        <f>I146</f>
        <v>416</v>
      </c>
      <c r="AM146" s="959"/>
      <c r="AN146" s="959"/>
      <c r="AO146" s="3668"/>
      <c r="AP146" s="3669"/>
      <c r="AQ146" s="3655" t="s">
        <v>89</v>
      </c>
      <c r="AR146" s="3626">
        <f>I146/15*1</f>
        <v>27.7333333333333</v>
      </c>
      <c r="AS146" s="3626">
        <f>I146/15*6</f>
        <v>166.4</v>
      </c>
      <c r="AT146" s="3626">
        <f>I146/15*8</f>
        <v>221.866666666667</v>
      </c>
      <c r="AU146" s="3627">
        <f>SUM(AR146:AT146)</f>
        <v>416</v>
      </c>
      <c r="AV146" s="3627">
        <f t="shared" si="35"/>
        <v>0</v>
      </c>
    </row>
    <row r="147" s="3566" customFormat="1" ht="50" customHeight="1" spans="1:48">
      <c r="A147" s="3616">
        <v>45769</v>
      </c>
      <c r="B147" s="3630" t="s">
        <v>2285</v>
      </c>
      <c r="C147" s="3628" t="s">
        <v>351</v>
      </c>
      <c r="D147" s="3629">
        <v>4500164464</v>
      </c>
      <c r="E147" s="959" t="s">
        <v>3336</v>
      </c>
      <c r="F147" s="3629" t="s">
        <v>8727</v>
      </c>
      <c r="G147" s="959" t="s">
        <v>8290</v>
      </c>
      <c r="H147" s="3618" t="s">
        <v>8291</v>
      </c>
      <c r="I147" s="3618">
        <v>164</v>
      </c>
      <c r="J147" s="3618">
        <v>0</v>
      </c>
      <c r="K147" s="3618">
        <v>4</v>
      </c>
      <c r="L147" s="3618">
        <f t="shared" si="40"/>
        <v>41</v>
      </c>
      <c r="M147" s="3619">
        <v>45896</v>
      </c>
      <c r="N147" s="3619">
        <v>45892</v>
      </c>
      <c r="O147" s="3691"/>
      <c r="P147" s="3636" t="s">
        <v>82</v>
      </c>
      <c r="Q147" s="3620" t="s">
        <v>228</v>
      </c>
      <c r="R147" s="3649" t="s">
        <v>1419</v>
      </c>
      <c r="S147" s="3644"/>
      <c r="T147" s="3644" t="s">
        <v>8687</v>
      </c>
      <c r="U147" s="3621"/>
      <c r="V147" s="3661" t="s">
        <v>4457</v>
      </c>
      <c r="W147" s="3638" t="s">
        <v>8688</v>
      </c>
      <c r="X147" s="3639" t="s">
        <v>1199</v>
      </c>
      <c r="Y147" s="3618">
        <v>10.1186</v>
      </c>
      <c r="Z147" s="3618">
        <f t="shared" si="47"/>
        <v>1659.4504</v>
      </c>
      <c r="AA147" s="3633"/>
      <c r="AB147" s="959" t="s">
        <v>8290</v>
      </c>
      <c r="AC147" s="3653" t="s">
        <v>416</v>
      </c>
      <c r="AD147" s="3674"/>
      <c r="AE147" s="3674"/>
      <c r="AF147" s="3674"/>
      <c r="AG147" s="3618">
        <v>100</v>
      </c>
      <c r="AH147" s="959"/>
      <c r="AI147" s="959"/>
      <c r="AJ147" s="3618">
        <f t="shared" si="43"/>
        <v>164</v>
      </c>
      <c r="AK147" s="959"/>
      <c r="AL147" s="3636">
        <f>I147</f>
        <v>164</v>
      </c>
      <c r="AM147" s="959"/>
      <c r="AN147" s="959"/>
      <c r="AO147" s="3668"/>
      <c r="AP147" s="3669"/>
      <c r="AQ147" s="3655" t="s">
        <v>89</v>
      </c>
      <c r="AR147" s="3626">
        <f>I147/15*1</f>
        <v>10.9333333333333</v>
      </c>
      <c r="AS147" s="3626">
        <f>I147/15*6</f>
        <v>65.6</v>
      </c>
      <c r="AT147" s="3626">
        <f>I147/15*8</f>
        <v>87.4666666666667</v>
      </c>
      <c r="AU147" s="3627">
        <f>SUM(AR147:AT147)</f>
        <v>164</v>
      </c>
      <c r="AV147" s="3627">
        <f t="shared" si="35"/>
        <v>0</v>
      </c>
    </row>
    <row r="148" s="3566" customFormat="1" ht="50" customHeight="1" spans="1:48">
      <c r="A148" s="3616">
        <v>45845</v>
      </c>
      <c r="B148" s="3630" t="s">
        <v>523</v>
      </c>
      <c r="C148" s="3628" t="s">
        <v>524</v>
      </c>
      <c r="D148" s="3629">
        <v>4500172982</v>
      </c>
      <c r="E148" s="959"/>
      <c r="F148" s="3629" t="s">
        <v>8728</v>
      </c>
      <c r="G148" s="959" t="s">
        <v>8290</v>
      </c>
      <c r="H148" s="3618" t="s">
        <v>8291</v>
      </c>
      <c r="I148" s="3618">
        <v>100</v>
      </c>
      <c r="J148" s="3618">
        <v>0</v>
      </c>
      <c r="K148" s="3618">
        <v>4</v>
      </c>
      <c r="L148" s="3618">
        <f t="shared" ref="L143:L211" si="49">I148/K148</f>
        <v>25</v>
      </c>
      <c r="M148" s="3619">
        <v>45901</v>
      </c>
      <c r="N148" s="3619">
        <f>M148-4</f>
        <v>45897</v>
      </c>
      <c r="O148" s="3664"/>
      <c r="P148" s="3636" t="s">
        <v>82</v>
      </c>
      <c r="Q148" s="3701" t="s">
        <v>1832</v>
      </c>
      <c r="R148" s="3649" t="s">
        <v>1833</v>
      </c>
      <c r="S148" s="3695"/>
      <c r="T148" s="3649" t="s">
        <v>8729</v>
      </c>
      <c r="U148" s="3649"/>
      <c r="V148" s="3661"/>
      <c r="W148" s="3638" t="s">
        <v>8730</v>
      </c>
      <c r="X148" s="3639" t="s">
        <v>459</v>
      </c>
      <c r="Y148" s="3686">
        <v>10.1386</v>
      </c>
      <c r="Z148" s="3618">
        <f t="shared" ref="Z147:Z160" si="50">I148*Y148</f>
        <v>1013.86</v>
      </c>
      <c r="AA148" s="3633"/>
      <c r="AB148" s="959" t="s">
        <v>8329</v>
      </c>
      <c r="AC148" s="3653" t="s">
        <v>416</v>
      </c>
      <c r="AD148" s="3696"/>
      <c r="AE148" s="3697"/>
      <c r="AF148" s="3702"/>
      <c r="AG148" s="3618"/>
      <c r="AH148" s="959">
        <f>I148</f>
        <v>100</v>
      </c>
      <c r="AI148" s="3655"/>
      <c r="AJ148" s="3618">
        <f t="shared" si="43"/>
        <v>100</v>
      </c>
      <c r="AK148" s="3668"/>
      <c r="AL148" s="3655"/>
      <c r="AM148" s="3694">
        <f t="shared" ref="AM147:AM153" si="51">I148</f>
        <v>100</v>
      </c>
      <c r="AN148" s="3694"/>
      <c r="AO148" s="3627"/>
      <c r="AP148" s="3656"/>
      <c r="AQ148" s="3655" t="s">
        <v>89</v>
      </c>
      <c r="AR148" s="3627">
        <f t="shared" ref="AR145:AR156" si="52">I148/15*1</f>
        <v>6.66666666666667</v>
      </c>
      <c r="AS148" s="3627">
        <f t="shared" ref="AS145:AS156" si="53">I148/15*6</f>
        <v>40</v>
      </c>
      <c r="AT148" s="3687">
        <f t="shared" ref="AT145:AT156" si="54">I148/15*8</f>
        <v>53.3333333333333</v>
      </c>
      <c r="AU148" s="3678">
        <f t="shared" ref="AU145:AU211" si="55">SUM(AR148:AT148)</f>
        <v>100</v>
      </c>
      <c r="AV148" s="3678">
        <f t="shared" si="35"/>
        <v>0</v>
      </c>
    </row>
    <row r="149" s="3567" customFormat="1" ht="50" customHeight="1" spans="1:48">
      <c r="A149" s="3703">
        <v>45860</v>
      </c>
      <c r="B149" s="3704" t="s">
        <v>1602</v>
      </c>
      <c r="C149" s="3705" t="s">
        <v>91</v>
      </c>
      <c r="D149" s="3706">
        <v>4500174573</v>
      </c>
      <c r="E149" s="3700">
        <v>1617212</v>
      </c>
      <c r="F149" s="3706" t="s">
        <v>8731</v>
      </c>
      <c r="G149" s="3700" t="s">
        <v>8290</v>
      </c>
      <c r="H149" s="3699" t="s">
        <v>8291</v>
      </c>
      <c r="I149" s="3699">
        <v>200</v>
      </c>
      <c r="J149" s="3699">
        <v>0</v>
      </c>
      <c r="K149" s="3699">
        <v>4</v>
      </c>
      <c r="L149" s="3699">
        <f t="shared" si="49"/>
        <v>50</v>
      </c>
      <c r="M149" s="3707">
        <v>45903</v>
      </c>
      <c r="N149" s="3707">
        <f>M149-4</f>
        <v>45899</v>
      </c>
      <c r="O149" s="3708"/>
      <c r="P149" s="3636" t="s">
        <v>82</v>
      </c>
      <c r="Q149" s="3680" t="s">
        <v>1883</v>
      </c>
      <c r="R149" s="3709" t="s">
        <v>1884</v>
      </c>
      <c r="S149" s="3710"/>
      <c r="T149" s="3711" t="s">
        <v>98</v>
      </c>
      <c r="U149" s="3709" t="s">
        <v>8732</v>
      </c>
      <c r="V149" s="3712"/>
      <c r="W149" s="3713" t="s">
        <v>1886</v>
      </c>
      <c r="X149" s="2912" t="s">
        <v>1607</v>
      </c>
      <c r="Y149" s="3714">
        <v>5.7772</v>
      </c>
      <c r="Z149" s="3699">
        <f t="shared" si="50"/>
        <v>1155.44</v>
      </c>
      <c r="AA149" s="3715" t="s">
        <v>8733</v>
      </c>
      <c r="AB149" s="3700" t="s">
        <v>8290</v>
      </c>
      <c r="AC149" s="3716" t="s">
        <v>416</v>
      </c>
      <c r="AD149" s="3698"/>
      <c r="AE149" s="3671"/>
      <c r="AF149" s="3717"/>
      <c r="AG149" s="3699">
        <f>I149</f>
        <v>200</v>
      </c>
      <c r="AH149" s="3700"/>
      <c r="AI149" s="3718"/>
      <c r="AJ149" s="3699">
        <f t="shared" si="43"/>
        <v>200</v>
      </c>
      <c r="AK149" s="3719"/>
      <c r="AL149" s="3718"/>
      <c r="AM149" s="3720">
        <f t="shared" si="51"/>
        <v>200</v>
      </c>
      <c r="AN149" s="3720"/>
      <c r="AO149" s="3721"/>
      <c r="AP149" s="3722"/>
      <c r="AQ149" s="3718" t="s">
        <v>89</v>
      </c>
      <c r="AR149" s="3721">
        <f t="shared" si="52"/>
        <v>13.3333333333333</v>
      </c>
      <c r="AS149" s="3721">
        <f t="shared" si="53"/>
        <v>80</v>
      </c>
      <c r="AT149" s="3723">
        <f t="shared" si="54"/>
        <v>106.666666666667</v>
      </c>
      <c r="AU149" s="3724">
        <f t="shared" si="55"/>
        <v>200</v>
      </c>
      <c r="AV149" s="3725">
        <f t="shared" si="35"/>
        <v>0</v>
      </c>
    </row>
    <row r="150" s="3567" customFormat="1" ht="50" customHeight="1" spans="1:48">
      <c r="A150" s="3703">
        <v>45860</v>
      </c>
      <c r="B150" s="3704" t="s">
        <v>1602</v>
      </c>
      <c r="C150" s="3705" t="s">
        <v>91</v>
      </c>
      <c r="D150" s="3706">
        <v>4500174571</v>
      </c>
      <c r="E150" s="3700">
        <v>1617210</v>
      </c>
      <c r="F150" s="3706" t="s">
        <v>8734</v>
      </c>
      <c r="G150" s="3700" t="s">
        <v>8290</v>
      </c>
      <c r="H150" s="3699" t="s">
        <v>8291</v>
      </c>
      <c r="I150" s="3699">
        <v>400</v>
      </c>
      <c r="J150" s="3699">
        <v>0</v>
      </c>
      <c r="K150" s="3699">
        <v>4</v>
      </c>
      <c r="L150" s="3699">
        <f t="shared" si="49"/>
        <v>100</v>
      </c>
      <c r="M150" s="3707">
        <v>45903</v>
      </c>
      <c r="N150" s="3707">
        <f>M150-4</f>
        <v>45899</v>
      </c>
      <c r="O150" s="3708"/>
      <c r="P150" s="3636" t="s">
        <v>82</v>
      </c>
      <c r="Q150" s="3680" t="s">
        <v>1883</v>
      </c>
      <c r="R150" s="3709" t="s">
        <v>1884</v>
      </c>
      <c r="S150" s="3710"/>
      <c r="T150" s="3711" t="s">
        <v>98</v>
      </c>
      <c r="U150" s="3709" t="s">
        <v>8732</v>
      </c>
      <c r="V150" s="3712"/>
      <c r="W150" s="3713" t="s">
        <v>1886</v>
      </c>
      <c r="X150" s="2912" t="s">
        <v>1607</v>
      </c>
      <c r="Y150" s="3714">
        <v>5.7772</v>
      </c>
      <c r="Z150" s="3699">
        <f t="shared" si="50"/>
        <v>2310.88</v>
      </c>
      <c r="AA150" s="3715" t="s">
        <v>8735</v>
      </c>
      <c r="AB150" s="3700" t="s">
        <v>8290</v>
      </c>
      <c r="AC150" s="3716" t="s">
        <v>416</v>
      </c>
      <c r="AD150" s="3698"/>
      <c r="AE150" s="3671"/>
      <c r="AF150" s="3717"/>
      <c r="AG150" s="3699">
        <f>I150</f>
        <v>400</v>
      </c>
      <c r="AH150" s="3700"/>
      <c r="AI150" s="3718"/>
      <c r="AJ150" s="3699">
        <f t="shared" si="43"/>
        <v>400</v>
      </c>
      <c r="AK150" s="3719"/>
      <c r="AL150" s="3718"/>
      <c r="AM150" s="3720">
        <f t="shared" si="51"/>
        <v>400</v>
      </c>
      <c r="AN150" s="3720"/>
      <c r="AO150" s="3721"/>
      <c r="AP150" s="3722"/>
      <c r="AQ150" s="3718" t="s">
        <v>89</v>
      </c>
      <c r="AR150" s="3721">
        <f t="shared" si="52"/>
        <v>26.6666666666667</v>
      </c>
      <c r="AS150" s="3721">
        <f t="shared" si="53"/>
        <v>160</v>
      </c>
      <c r="AT150" s="3723">
        <f t="shared" si="54"/>
        <v>213.333333333333</v>
      </c>
      <c r="AU150" s="3724">
        <f t="shared" si="55"/>
        <v>400</v>
      </c>
      <c r="AV150" s="3724">
        <f t="shared" si="35"/>
        <v>0</v>
      </c>
    </row>
    <row r="151" s="3567" customFormat="1" ht="50" customHeight="1" spans="1:48">
      <c r="A151" s="3703">
        <v>45867</v>
      </c>
      <c r="B151" s="3704" t="s">
        <v>4959</v>
      </c>
      <c r="C151" s="3705" t="s">
        <v>8736</v>
      </c>
      <c r="D151" s="3706">
        <v>4500175444</v>
      </c>
      <c r="E151" s="3700"/>
      <c r="F151" s="3706" t="s">
        <v>8737</v>
      </c>
      <c r="G151" s="3700" t="s">
        <v>8290</v>
      </c>
      <c r="H151" s="3699" t="s">
        <v>8291</v>
      </c>
      <c r="I151" s="3699">
        <v>600</v>
      </c>
      <c r="J151" s="3699">
        <v>0</v>
      </c>
      <c r="K151" s="3699">
        <v>4</v>
      </c>
      <c r="L151" s="3699">
        <f t="shared" si="49"/>
        <v>150</v>
      </c>
      <c r="M151" s="3707">
        <v>45905</v>
      </c>
      <c r="N151" s="3707">
        <v>45901</v>
      </c>
      <c r="O151" s="3708"/>
      <c r="P151" s="3636" t="s">
        <v>82</v>
      </c>
      <c r="Q151" s="3680" t="s">
        <v>1853</v>
      </c>
      <c r="R151" s="3709" t="s">
        <v>7577</v>
      </c>
      <c r="S151" s="3710"/>
      <c r="T151" s="3711" t="s">
        <v>8738</v>
      </c>
      <c r="U151" s="3709"/>
      <c r="V151" s="3712"/>
      <c r="W151" s="3713" t="s">
        <v>8739</v>
      </c>
      <c r="X151" s="2912" t="s">
        <v>4965</v>
      </c>
      <c r="Y151" s="3714">
        <v>9.6087</v>
      </c>
      <c r="Z151" s="3699">
        <f t="shared" si="50"/>
        <v>5765.22</v>
      </c>
      <c r="AA151" s="3715"/>
      <c r="AB151" s="3700" t="s">
        <v>8329</v>
      </c>
      <c r="AC151" s="3716" t="s">
        <v>416</v>
      </c>
      <c r="AD151" s="3698"/>
      <c r="AE151" s="3671"/>
      <c r="AF151" s="3717"/>
      <c r="AG151" s="3699"/>
      <c r="AH151" s="3700">
        <f>I151</f>
        <v>600</v>
      </c>
      <c r="AI151" s="3718"/>
      <c r="AJ151" s="3699">
        <f t="shared" si="43"/>
        <v>600</v>
      </c>
      <c r="AK151" s="3719"/>
      <c r="AL151" s="3718"/>
      <c r="AM151" s="3720">
        <f t="shared" si="51"/>
        <v>600</v>
      </c>
      <c r="AN151" s="3720"/>
      <c r="AO151" s="3721"/>
      <c r="AP151" s="3722"/>
      <c r="AQ151" s="3718" t="s">
        <v>89</v>
      </c>
      <c r="AR151" s="3721">
        <f t="shared" si="52"/>
        <v>40</v>
      </c>
      <c r="AS151" s="3721">
        <f t="shared" si="53"/>
        <v>240</v>
      </c>
      <c r="AT151" s="3723">
        <f t="shared" si="54"/>
        <v>320</v>
      </c>
      <c r="AU151" s="3724">
        <f t="shared" si="55"/>
        <v>600</v>
      </c>
      <c r="AV151" s="3724">
        <f t="shared" si="35"/>
        <v>0</v>
      </c>
    </row>
    <row r="152" s="3567" customFormat="1" ht="50" customHeight="1" spans="1:48">
      <c r="A152" s="3703">
        <v>45848</v>
      </c>
      <c r="B152" s="3704" t="s">
        <v>3905</v>
      </c>
      <c r="C152" s="3705" t="s">
        <v>1385</v>
      </c>
      <c r="D152" s="3706">
        <v>4500173266</v>
      </c>
      <c r="E152" s="3700" t="s">
        <v>4736</v>
      </c>
      <c r="F152" s="3706" t="s">
        <v>8740</v>
      </c>
      <c r="G152" s="3700" t="s">
        <v>8290</v>
      </c>
      <c r="H152" s="3699" t="s">
        <v>8291</v>
      </c>
      <c r="I152" s="3699">
        <v>240</v>
      </c>
      <c r="J152" s="3699">
        <v>0</v>
      </c>
      <c r="K152" s="3699">
        <v>4</v>
      </c>
      <c r="L152" s="3699">
        <f t="shared" si="49"/>
        <v>60</v>
      </c>
      <c r="M152" s="3707">
        <v>45908</v>
      </c>
      <c r="N152" s="3707">
        <v>45904</v>
      </c>
      <c r="O152" s="3708"/>
      <c r="P152" s="3636" t="s">
        <v>82</v>
      </c>
      <c r="Q152" s="3726" t="s">
        <v>1832</v>
      </c>
      <c r="R152" s="3709" t="s">
        <v>4738</v>
      </c>
      <c r="S152" s="3710"/>
      <c r="T152" s="3711" t="s">
        <v>7557</v>
      </c>
      <c r="U152" s="3709"/>
      <c r="V152" s="3712"/>
      <c r="W152" s="3713" t="s">
        <v>4739</v>
      </c>
      <c r="X152" s="2912" t="s">
        <v>448</v>
      </c>
      <c r="Y152" s="3714">
        <v>9.6286</v>
      </c>
      <c r="Z152" s="3699">
        <f t="shared" si="50"/>
        <v>2310.864</v>
      </c>
      <c r="AA152" s="3715"/>
      <c r="AB152" s="3700" t="s">
        <v>8290</v>
      </c>
      <c r="AC152" s="3716" t="s">
        <v>416</v>
      </c>
      <c r="AD152" s="3698"/>
      <c r="AE152" s="3671"/>
      <c r="AF152" s="3717"/>
      <c r="AG152" s="3699">
        <f t="shared" ref="AG152:AG162" si="56">I152</f>
        <v>240</v>
      </c>
      <c r="AH152" s="3700"/>
      <c r="AI152" s="3718"/>
      <c r="AJ152" s="3699">
        <f t="shared" si="43"/>
        <v>240</v>
      </c>
      <c r="AK152" s="3719"/>
      <c r="AL152" s="3718"/>
      <c r="AM152" s="3720">
        <f t="shared" si="51"/>
        <v>240</v>
      </c>
      <c r="AN152" s="3720"/>
      <c r="AO152" s="3721"/>
      <c r="AP152" s="3722"/>
      <c r="AQ152" s="3718" t="s">
        <v>89</v>
      </c>
      <c r="AR152" s="3721">
        <f t="shared" si="52"/>
        <v>16</v>
      </c>
      <c r="AS152" s="3721">
        <f t="shared" si="53"/>
        <v>96</v>
      </c>
      <c r="AT152" s="3723">
        <f t="shared" si="54"/>
        <v>128</v>
      </c>
      <c r="AU152" s="3724">
        <f t="shared" si="55"/>
        <v>240</v>
      </c>
      <c r="AV152" s="3724">
        <f t="shared" si="35"/>
        <v>0</v>
      </c>
    </row>
    <row r="153" s="3567" customFormat="1" ht="50" customHeight="1" spans="1:48">
      <c r="A153" s="3703">
        <v>45868</v>
      </c>
      <c r="B153" s="3704" t="s">
        <v>1919</v>
      </c>
      <c r="C153" s="3705" t="s">
        <v>1920</v>
      </c>
      <c r="D153" s="3706">
        <v>4500175435</v>
      </c>
      <c r="E153" s="3700"/>
      <c r="F153" s="3706" t="s">
        <v>8741</v>
      </c>
      <c r="G153" s="3700" t="s">
        <v>8290</v>
      </c>
      <c r="H153" s="3699" t="s">
        <v>8291</v>
      </c>
      <c r="I153" s="3699">
        <v>152</v>
      </c>
      <c r="J153" s="3699">
        <v>0</v>
      </c>
      <c r="K153" s="3699">
        <v>4</v>
      </c>
      <c r="L153" s="3699">
        <f t="shared" si="49"/>
        <v>38</v>
      </c>
      <c r="M153" s="3707">
        <v>45915</v>
      </c>
      <c r="N153" s="3707">
        <v>45911</v>
      </c>
      <c r="O153" s="3708"/>
      <c r="P153" s="3636" t="s">
        <v>82</v>
      </c>
      <c r="Q153" s="3727" t="s">
        <v>1922</v>
      </c>
      <c r="R153" s="3709" t="s">
        <v>1884</v>
      </c>
      <c r="S153" s="3709"/>
      <c r="T153" s="3711" t="s">
        <v>1923</v>
      </c>
      <c r="U153" s="3709"/>
      <c r="V153" s="3712"/>
      <c r="W153" s="3713" t="s">
        <v>8742</v>
      </c>
      <c r="X153" s="2912" t="s">
        <v>357</v>
      </c>
      <c r="Y153" s="3714">
        <v>10.1386</v>
      </c>
      <c r="Z153" s="3699">
        <f t="shared" si="50"/>
        <v>1541.0672</v>
      </c>
      <c r="AA153" s="3715"/>
      <c r="AB153" s="3700" t="s">
        <v>8290</v>
      </c>
      <c r="AC153" s="3716" t="s">
        <v>416</v>
      </c>
      <c r="AD153" s="3698"/>
      <c r="AE153" s="3671"/>
      <c r="AF153" s="3717"/>
      <c r="AG153" s="3699">
        <f t="shared" si="56"/>
        <v>152</v>
      </c>
      <c r="AH153" s="3700"/>
      <c r="AI153" s="3718"/>
      <c r="AJ153" s="3699">
        <f t="shared" si="43"/>
        <v>152</v>
      </c>
      <c r="AK153" s="3719"/>
      <c r="AL153" s="3718"/>
      <c r="AM153" s="3720">
        <f t="shared" si="51"/>
        <v>152</v>
      </c>
      <c r="AN153" s="3720"/>
      <c r="AO153" s="3721"/>
      <c r="AP153" s="3722"/>
      <c r="AQ153" s="3718" t="s">
        <v>89</v>
      </c>
      <c r="AR153" s="3721">
        <f t="shared" si="52"/>
        <v>10.1333333333333</v>
      </c>
      <c r="AS153" s="3721">
        <f t="shared" si="53"/>
        <v>60.8</v>
      </c>
      <c r="AT153" s="3723">
        <f t="shared" si="54"/>
        <v>81.0666666666667</v>
      </c>
      <c r="AU153" s="3724">
        <f t="shared" si="55"/>
        <v>152</v>
      </c>
      <c r="AV153" s="3724">
        <f t="shared" si="35"/>
        <v>0</v>
      </c>
    </row>
    <row r="154" s="3567" customFormat="1" ht="50" customHeight="1" spans="1:48">
      <c r="A154" s="3703">
        <v>45873</v>
      </c>
      <c r="B154" s="3704" t="s">
        <v>8743</v>
      </c>
      <c r="C154" s="3705" t="s">
        <v>351</v>
      </c>
      <c r="D154" s="3706">
        <v>4500175614</v>
      </c>
      <c r="E154" s="3700"/>
      <c r="F154" s="3706" t="s">
        <v>8744</v>
      </c>
      <c r="G154" s="3700" t="s">
        <v>8290</v>
      </c>
      <c r="H154" s="3699" t="s">
        <v>8291</v>
      </c>
      <c r="I154" s="3699">
        <v>152</v>
      </c>
      <c r="J154" s="3699">
        <v>0</v>
      </c>
      <c r="K154" s="3699">
        <v>4</v>
      </c>
      <c r="L154" s="3699">
        <f t="shared" si="49"/>
        <v>38</v>
      </c>
      <c r="M154" s="3707">
        <v>45915</v>
      </c>
      <c r="N154" s="3707">
        <v>45911</v>
      </c>
      <c r="O154" s="3708"/>
      <c r="P154" s="3636" t="s">
        <v>82</v>
      </c>
      <c r="Q154" s="3680" t="s">
        <v>4916</v>
      </c>
      <c r="R154" s="3709" t="s">
        <v>2016</v>
      </c>
      <c r="S154" s="3709"/>
      <c r="T154" s="3711" t="s">
        <v>8738</v>
      </c>
      <c r="U154" s="3709"/>
      <c r="V154" s="3712"/>
      <c r="W154" s="3713" t="s">
        <v>8745</v>
      </c>
      <c r="X154" s="2912" t="s">
        <v>1199</v>
      </c>
      <c r="Y154" s="3714">
        <v>9.6286</v>
      </c>
      <c r="Z154" s="3699">
        <f t="shared" si="50"/>
        <v>1463.5472</v>
      </c>
      <c r="AA154" s="3715" t="s">
        <v>8746</v>
      </c>
      <c r="AB154" s="3700" t="s">
        <v>8290</v>
      </c>
      <c r="AC154" s="3716" t="s">
        <v>416</v>
      </c>
      <c r="AD154" s="3698"/>
      <c r="AE154" s="3671"/>
      <c r="AF154" s="3717"/>
      <c r="AG154" s="3699">
        <f t="shared" si="56"/>
        <v>152</v>
      </c>
      <c r="AH154" s="3700"/>
      <c r="AI154" s="3718"/>
      <c r="AJ154" s="3699">
        <f t="shared" si="43"/>
        <v>152</v>
      </c>
      <c r="AK154" s="3719"/>
      <c r="AL154" s="3718">
        <f>I154</f>
        <v>152</v>
      </c>
      <c r="AM154" s="3718"/>
      <c r="AN154" s="3718"/>
      <c r="AO154" s="3721"/>
      <c r="AP154" s="3722"/>
      <c r="AQ154" s="3718" t="s">
        <v>89</v>
      </c>
      <c r="AR154" s="3721">
        <f t="shared" si="52"/>
        <v>10.1333333333333</v>
      </c>
      <c r="AS154" s="3721">
        <f t="shared" si="53"/>
        <v>60.8</v>
      </c>
      <c r="AT154" s="3723">
        <f t="shared" si="54"/>
        <v>81.0666666666667</v>
      </c>
      <c r="AU154" s="3724">
        <f t="shared" si="55"/>
        <v>152</v>
      </c>
      <c r="AV154" s="3724">
        <f t="shared" si="35"/>
        <v>0</v>
      </c>
    </row>
    <row r="155" s="3567" customFormat="1" ht="50" customHeight="1" spans="1:48">
      <c r="A155" s="3703">
        <v>45874</v>
      </c>
      <c r="B155" s="3704" t="s">
        <v>8747</v>
      </c>
      <c r="C155" s="3705" t="s">
        <v>91</v>
      </c>
      <c r="D155" s="3706">
        <v>4500175962</v>
      </c>
      <c r="E155" s="3700" t="s">
        <v>8748</v>
      </c>
      <c r="F155" s="3706" t="s">
        <v>8749</v>
      </c>
      <c r="G155" s="3700" t="s">
        <v>8290</v>
      </c>
      <c r="H155" s="3699" t="s">
        <v>8291</v>
      </c>
      <c r="I155" s="3699">
        <v>208</v>
      </c>
      <c r="J155" s="3699">
        <v>0</v>
      </c>
      <c r="K155" s="3699">
        <v>4</v>
      </c>
      <c r="L155" s="3699">
        <f t="shared" si="49"/>
        <v>52</v>
      </c>
      <c r="M155" s="3707">
        <v>45919</v>
      </c>
      <c r="N155" s="3707">
        <v>45915</v>
      </c>
      <c r="O155" s="3708"/>
      <c r="P155" s="3636" t="s">
        <v>82</v>
      </c>
      <c r="Q155" s="3680" t="s">
        <v>1965</v>
      </c>
      <c r="R155" s="3709" t="s">
        <v>8750</v>
      </c>
      <c r="S155" s="3709"/>
      <c r="T155" s="3711" t="s">
        <v>98</v>
      </c>
      <c r="U155" s="3709"/>
      <c r="V155" s="3712"/>
      <c r="W155" s="3713" t="s">
        <v>8751</v>
      </c>
      <c r="X155" s="2912" t="s">
        <v>2808</v>
      </c>
      <c r="Y155" s="3714">
        <v>5.7772</v>
      </c>
      <c r="Z155" s="3699">
        <f t="shared" si="50"/>
        <v>1201.6576</v>
      </c>
      <c r="AA155" s="3715" t="s">
        <v>8752</v>
      </c>
      <c r="AB155" s="3700" t="s">
        <v>8290</v>
      </c>
      <c r="AC155" s="3716" t="s">
        <v>416</v>
      </c>
      <c r="AD155" s="3698"/>
      <c r="AE155" s="3671"/>
      <c r="AF155" s="3717"/>
      <c r="AG155" s="3699">
        <f t="shared" si="56"/>
        <v>208</v>
      </c>
      <c r="AH155" s="3700"/>
      <c r="AI155" s="3718"/>
      <c r="AJ155" s="3699">
        <f t="shared" si="43"/>
        <v>208</v>
      </c>
      <c r="AK155" s="3719"/>
      <c r="AL155" s="3718"/>
      <c r="AM155" s="3720">
        <f>I155</f>
        <v>208</v>
      </c>
      <c r="AN155" s="3720"/>
      <c r="AO155" s="3721"/>
      <c r="AP155" s="3722"/>
      <c r="AQ155" s="3718" t="s">
        <v>89</v>
      </c>
      <c r="AR155" s="3721">
        <f t="shared" si="52"/>
        <v>13.8666666666667</v>
      </c>
      <c r="AS155" s="3721">
        <f t="shared" si="53"/>
        <v>83.2</v>
      </c>
      <c r="AT155" s="3723">
        <f t="shared" si="54"/>
        <v>110.933333333333</v>
      </c>
      <c r="AU155" s="3724">
        <f t="shared" si="55"/>
        <v>208</v>
      </c>
      <c r="AV155" s="3724">
        <f t="shared" si="35"/>
        <v>0</v>
      </c>
    </row>
    <row r="156" s="3566" customFormat="1" ht="50" customHeight="1" spans="1:48">
      <c r="A156" s="3616">
        <v>45839</v>
      </c>
      <c r="B156" s="3630" t="s">
        <v>407</v>
      </c>
      <c r="C156" s="3628" t="s">
        <v>91</v>
      </c>
      <c r="D156" s="3629">
        <v>4500172208</v>
      </c>
      <c r="E156" s="959" t="s">
        <v>4822</v>
      </c>
      <c r="F156" s="3629" t="s">
        <v>8753</v>
      </c>
      <c r="G156" s="959" t="s">
        <v>8290</v>
      </c>
      <c r="H156" s="3618" t="s">
        <v>8291</v>
      </c>
      <c r="I156" s="3618">
        <v>900</v>
      </c>
      <c r="J156" s="3618">
        <v>0</v>
      </c>
      <c r="K156" s="3618">
        <v>4</v>
      </c>
      <c r="L156" s="3618">
        <f t="shared" si="49"/>
        <v>225</v>
      </c>
      <c r="M156" s="3619">
        <v>45919</v>
      </c>
      <c r="N156" s="3619">
        <v>45915</v>
      </c>
      <c r="O156" s="3664"/>
      <c r="P156" s="3636" t="s">
        <v>82</v>
      </c>
      <c r="Q156" s="3645" t="s">
        <v>1965</v>
      </c>
      <c r="R156" s="3649" t="s">
        <v>1895</v>
      </c>
      <c r="S156" s="3695"/>
      <c r="T156" s="3657" t="s">
        <v>98</v>
      </c>
      <c r="U156" s="3649" t="s">
        <v>1885</v>
      </c>
      <c r="V156" s="3661"/>
      <c r="W156" s="3638" t="s">
        <v>1621</v>
      </c>
      <c r="X156" s="3639" t="s">
        <v>393</v>
      </c>
      <c r="Y156" s="3686">
        <v>5.7652</v>
      </c>
      <c r="Z156" s="3618">
        <f t="shared" si="50"/>
        <v>5188.68</v>
      </c>
      <c r="AA156" s="3633" t="s">
        <v>4824</v>
      </c>
      <c r="AB156" s="959" t="s">
        <v>8290</v>
      </c>
      <c r="AC156" s="3653" t="s">
        <v>416</v>
      </c>
      <c r="AD156" s="3698"/>
      <c r="AE156" s="3671"/>
      <c r="AF156" s="3717"/>
      <c r="AG156" s="3618">
        <f t="shared" si="56"/>
        <v>900</v>
      </c>
      <c r="AH156" s="959"/>
      <c r="AI156" s="3655"/>
      <c r="AJ156" s="3618">
        <f t="shared" si="43"/>
        <v>900</v>
      </c>
      <c r="AK156" s="3668"/>
      <c r="AL156" s="3655"/>
      <c r="AM156" s="3694">
        <f>I156</f>
        <v>900</v>
      </c>
      <c r="AN156" s="3694"/>
      <c r="AO156" s="3627"/>
      <c r="AP156" s="3627"/>
      <c r="AQ156" s="3655" t="s">
        <v>89</v>
      </c>
      <c r="AR156" s="3627">
        <f t="shared" si="52"/>
        <v>60</v>
      </c>
      <c r="AS156" s="3627">
        <f t="shared" si="53"/>
        <v>360</v>
      </c>
      <c r="AT156" s="3687">
        <f t="shared" si="54"/>
        <v>480</v>
      </c>
      <c r="AU156" s="3678">
        <f t="shared" si="55"/>
        <v>900</v>
      </c>
      <c r="AV156" s="3678">
        <f t="shared" si="35"/>
        <v>0</v>
      </c>
    </row>
    <row r="157" s="3566" customFormat="1" ht="50" customHeight="1" spans="1:48">
      <c r="A157" s="3616">
        <v>45862</v>
      </c>
      <c r="B157" s="3630" t="s">
        <v>407</v>
      </c>
      <c r="C157" s="3628" t="s">
        <v>91</v>
      </c>
      <c r="D157" s="3629">
        <v>4500173508</v>
      </c>
      <c r="E157" s="959">
        <v>60235931</v>
      </c>
      <c r="F157" s="3629" t="s">
        <v>8754</v>
      </c>
      <c r="G157" s="959" t="s">
        <v>8290</v>
      </c>
      <c r="H157" s="3618" t="s">
        <v>8291</v>
      </c>
      <c r="I157" s="3618">
        <v>1500</v>
      </c>
      <c r="J157" s="3618">
        <v>0</v>
      </c>
      <c r="K157" s="3618">
        <v>4</v>
      </c>
      <c r="L157" s="3618">
        <f t="shared" si="49"/>
        <v>375</v>
      </c>
      <c r="M157" s="3619">
        <v>45925</v>
      </c>
      <c r="N157" s="3619">
        <v>45922</v>
      </c>
      <c r="O157" s="3664"/>
      <c r="P157" s="3636" t="s">
        <v>82</v>
      </c>
      <c r="Q157" s="3726" t="s">
        <v>1990</v>
      </c>
      <c r="R157" s="3649" t="s">
        <v>390</v>
      </c>
      <c r="S157" s="3695"/>
      <c r="T157" s="3657" t="s">
        <v>98</v>
      </c>
      <c r="U157" s="3649" t="s">
        <v>1991</v>
      </c>
      <c r="V157" s="3661"/>
      <c r="W157" s="3638" t="s">
        <v>1621</v>
      </c>
      <c r="X157" s="3639" t="s">
        <v>1880</v>
      </c>
      <c r="Y157" s="3686">
        <v>5.7652</v>
      </c>
      <c r="Z157" s="3618">
        <f t="shared" si="50"/>
        <v>8647.8</v>
      </c>
      <c r="AA157" s="3633" t="s">
        <v>4861</v>
      </c>
      <c r="AB157" s="959" t="s">
        <v>8290</v>
      </c>
      <c r="AC157" s="3653" t="s">
        <v>416</v>
      </c>
      <c r="AD157" s="3696"/>
      <c r="AE157" s="3697"/>
      <c r="AF157" s="3702"/>
      <c r="AG157" s="3618">
        <f t="shared" si="56"/>
        <v>1500</v>
      </c>
      <c r="AH157" s="959"/>
      <c r="AI157" s="3655"/>
      <c r="AJ157" s="3618">
        <f t="shared" si="43"/>
        <v>1500</v>
      </c>
      <c r="AK157" s="3668"/>
      <c r="AL157" s="3655"/>
      <c r="AM157" s="3694">
        <f>I157</f>
        <v>1500</v>
      </c>
      <c r="AN157" s="3694"/>
      <c r="AO157" s="3627"/>
      <c r="AP157" s="3656"/>
      <c r="AQ157" s="3655" t="s">
        <v>89</v>
      </c>
      <c r="AR157" s="3627">
        <f t="shared" ref="AR157:AR167" si="57">I157/3</f>
        <v>500</v>
      </c>
      <c r="AS157" s="3627">
        <f t="shared" ref="AS157:AS167" si="58">I157/3</f>
        <v>500</v>
      </c>
      <c r="AT157" s="3687">
        <f t="shared" ref="AT157:AT167" si="59">I157/3</f>
        <v>500</v>
      </c>
      <c r="AU157" s="3678">
        <f t="shared" si="55"/>
        <v>1500</v>
      </c>
      <c r="AV157" s="3678">
        <f t="shared" si="35"/>
        <v>0</v>
      </c>
    </row>
    <row r="158" s="3566" customFormat="1" ht="50" customHeight="1" spans="1:48">
      <c r="A158" s="3616">
        <v>45876</v>
      </c>
      <c r="B158" s="3630" t="s">
        <v>1617</v>
      </c>
      <c r="C158" s="3628" t="s">
        <v>91</v>
      </c>
      <c r="D158" s="3629">
        <v>4500176177</v>
      </c>
      <c r="E158" s="959" t="s">
        <v>2010</v>
      </c>
      <c r="F158" s="3629" t="s">
        <v>8755</v>
      </c>
      <c r="G158" s="959" t="s">
        <v>8290</v>
      </c>
      <c r="H158" s="3618" t="s">
        <v>8291</v>
      </c>
      <c r="I158" s="3618">
        <v>600</v>
      </c>
      <c r="J158" s="3618">
        <v>0</v>
      </c>
      <c r="K158" s="3618">
        <v>4</v>
      </c>
      <c r="L158" s="3618">
        <f t="shared" si="49"/>
        <v>150</v>
      </c>
      <c r="M158" s="3619">
        <v>45938</v>
      </c>
      <c r="N158" s="3619">
        <v>45934</v>
      </c>
      <c r="O158" s="3664"/>
      <c r="P158" s="3636" t="s">
        <v>82</v>
      </c>
      <c r="Q158" s="3701" t="s">
        <v>2012</v>
      </c>
      <c r="R158" s="3649" t="s">
        <v>2013</v>
      </c>
      <c r="S158" s="3649"/>
      <c r="T158" s="3657" t="s">
        <v>98</v>
      </c>
      <c r="U158" s="3649" t="s">
        <v>1991</v>
      </c>
      <c r="V158" s="3661"/>
      <c r="W158" s="3638" t="s">
        <v>1621</v>
      </c>
      <c r="X158" s="3639" t="s">
        <v>393</v>
      </c>
      <c r="Y158" s="3686">
        <v>6.0712</v>
      </c>
      <c r="Z158" s="3618">
        <f t="shared" si="50"/>
        <v>3642.72</v>
      </c>
      <c r="AA158" s="3633" t="s">
        <v>2014</v>
      </c>
      <c r="AB158" s="959" t="s">
        <v>8290</v>
      </c>
      <c r="AC158" s="3653" t="s">
        <v>416</v>
      </c>
      <c r="AD158" s="3696"/>
      <c r="AE158" s="3697"/>
      <c r="AF158" s="3702"/>
      <c r="AG158" s="3618">
        <f t="shared" si="56"/>
        <v>600</v>
      </c>
      <c r="AH158" s="959"/>
      <c r="AI158" s="3655"/>
      <c r="AJ158" s="3618">
        <f t="shared" si="43"/>
        <v>600</v>
      </c>
      <c r="AK158" s="3668"/>
      <c r="AL158" s="3655"/>
      <c r="AM158" s="3694">
        <f>I158</f>
        <v>600</v>
      </c>
      <c r="AN158" s="3694"/>
      <c r="AO158" s="3627"/>
      <c r="AP158" s="3656"/>
      <c r="AQ158" s="3655" t="s">
        <v>89</v>
      </c>
      <c r="AR158" s="3627">
        <f t="shared" si="57"/>
        <v>200</v>
      </c>
      <c r="AS158" s="3627">
        <f t="shared" si="58"/>
        <v>200</v>
      </c>
      <c r="AT158" s="3687">
        <f t="shared" si="59"/>
        <v>200</v>
      </c>
      <c r="AU158" s="3678">
        <f t="shared" si="55"/>
        <v>600</v>
      </c>
      <c r="AV158" s="3678">
        <f t="shared" si="35"/>
        <v>0</v>
      </c>
    </row>
    <row r="159" s="3566" customFormat="1" ht="50" customHeight="1" spans="1:48">
      <c r="A159" s="3616">
        <v>45897</v>
      </c>
      <c r="B159" s="3630" t="s">
        <v>6885</v>
      </c>
      <c r="C159" s="3628" t="s">
        <v>7668</v>
      </c>
      <c r="D159" s="3629">
        <v>4500178155</v>
      </c>
      <c r="E159" s="959"/>
      <c r="F159" s="3629" t="s">
        <v>8756</v>
      </c>
      <c r="G159" s="959" t="s">
        <v>8290</v>
      </c>
      <c r="H159" s="3618" t="s">
        <v>8291</v>
      </c>
      <c r="I159" s="3618">
        <v>500</v>
      </c>
      <c r="J159" s="3618">
        <v>0</v>
      </c>
      <c r="K159" s="3618">
        <v>4</v>
      </c>
      <c r="L159" s="3618">
        <f t="shared" si="49"/>
        <v>125</v>
      </c>
      <c r="M159" s="3619">
        <v>45944</v>
      </c>
      <c r="N159" s="3619">
        <v>45940</v>
      </c>
      <c r="O159" s="3664"/>
      <c r="P159" s="3636" t="s">
        <v>82</v>
      </c>
      <c r="Q159" s="3620" t="s">
        <v>7670</v>
      </c>
      <c r="R159" s="3649" t="s">
        <v>7640</v>
      </c>
      <c r="S159" s="3649"/>
      <c r="T159" s="3657" t="s">
        <v>6889</v>
      </c>
      <c r="U159" s="3649"/>
      <c r="V159" s="3661"/>
      <c r="W159" s="3638" t="s">
        <v>8757</v>
      </c>
      <c r="X159" s="3639" t="s">
        <v>1326</v>
      </c>
      <c r="Y159" s="3686">
        <v>10.1186</v>
      </c>
      <c r="Z159" s="3618">
        <f t="shared" si="50"/>
        <v>5059.3</v>
      </c>
      <c r="AA159" s="3633" t="s">
        <v>7672</v>
      </c>
      <c r="AB159" s="959" t="s">
        <v>8290</v>
      </c>
      <c r="AC159" s="3653" t="s">
        <v>416</v>
      </c>
      <c r="AD159" s="3696"/>
      <c r="AE159" s="3697"/>
      <c r="AF159" s="3702"/>
      <c r="AG159" s="3618">
        <f t="shared" si="56"/>
        <v>500</v>
      </c>
      <c r="AH159" s="959"/>
      <c r="AI159" s="3655"/>
      <c r="AJ159" s="3618">
        <f t="shared" si="43"/>
        <v>500</v>
      </c>
      <c r="AK159" s="3668"/>
      <c r="AL159" s="3655">
        <f>I159</f>
        <v>500</v>
      </c>
      <c r="AM159" s="3655"/>
      <c r="AN159" s="3655"/>
      <c r="AO159" s="3627"/>
      <c r="AP159" s="3656"/>
      <c r="AQ159" s="3655" t="s">
        <v>89</v>
      </c>
      <c r="AR159" s="3627">
        <f t="shared" si="57"/>
        <v>166.666666666667</v>
      </c>
      <c r="AS159" s="3627">
        <f t="shared" si="58"/>
        <v>166.666666666667</v>
      </c>
      <c r="AT159" s="3687">
        <f t="shared" si="59"/>
        <v>166.666666666667</v>
      </c>
      <c r="AU159" s="3678">
        <f t="shared" si="55"/>
        <v>500</v>
      </c>
      <c r="AV159" s="3678">
        <f t="shared" si="35"/>
        <v>0</v>
      </c>
    </row>
    <row r="160" s="3566" customFormat="1" ht="50" customHeight="1" spans="1:48">
      <c r="A160" s="3616">
        <v>45912</v>
      </c>
      <c r="B160" s="3630" t="s">
        <v>980</v>
      </c>
      <c r="C160" s="3628" t="s">
        <v>351</v>
      </c>
      <c r="D160" s="3629">
        <v>4500179226</v>
      </c>
      <c r="E160" s="5458" t="s">
        <v>5082</v>
      </c>
      <c r="F160" s="3629" t="s">
        <v>8758</v>
      </c>
      <c r="G160" s="959" t="s">
        <v>8290</v>
      </c>
      <c r="H160" s="3618" t="s">
        <v>8291</v>
      </c>
      <c r="I160" s="3618">
        <v>452</v>
      </c>
      <c r="J160" s="3618">
        <v>0</v>
      </c>
      <c r="K160" s="3618">
        <v>4</v>
      </c>
      <c r="L160" s="3618">
        <f t="shared" si="49"/>
        <v>113</v>
      </c>
      <c r="M160" s="3619">
        <v>45979</v>
      </c>
      <c r="N160" s="3619">
        <v>45975</v>
      </c>
      <c r="O160" s="3664"/>
      <c r="P160" s="3636" t="s">
        <v>82</v>
      </c>
      <c r="Q160" s="3620" t="s">
        <v>5063</v>
      </c>
      <c r="R160" s="3649" t="s">
        <v>2050</v>
      </c>
      <c r="S160" s="3649"/>
      <c r="T160" s="3657" t="s">
        <v>5084</v>
      </c>
      <c r="U160" s="3649"/>
      <c r="V160" s="3661"/>
      <c r="W160" s="3638" t="s">
        <v>8759</v>
      </c>
      <c r="X160" s="3639" t="s">
        <v>357</v>
      </c>
      <c r="Y160" s="3686">
        <v>10.1386</v>
      </c>
      <c r="Z160" s="3618">
        <f t="shared" si="50"/>
        <v>4582.6472</v>
      </c>
      <c r="AA160" s="3633" t="s">
        <v>5086</v>
      </c>
      <c r="AB160" s="959" t="s">
        <v>8290</v>
      </c>
      <c r="AC160" s="3653" t="s">
        <v>416</v>
      </c>
      <c r="AD160" s="3728"/>
      <c r="AE160" s="3729"/>
      <c r="AF160" s="3730"/>
      <c r="AG160" s="3618">
        <f t="shared" si="56"/>
        <v>452</v>
      </c>
      <c r="AH160" s="959"/>
      <c r="AI160" s="3655"/>
      <c r="AJ160" s="3618">
        <f t="shared" si="43"/>
        <v>452</v>
      </c>
      <c r="AK160" s="3668"/>
      <c r="AL160" s="3655">
        <f>I160</f>
        <v>452</v>
      </c>
      <c r="AM160" s="3655"/>
      <c r="AN160" s="3655"/>
      <c r="AO160" s="3627"/>
      <c r="AP160" s="3656"/>
      <c r="AQ160" s="3655" t="s">
        <v>89</v>
      </c>
      <c r="AR160" s="3627">
        <f t="shared" si="57"/>
        <v>150.666666666667</v>
      </c>
      <c r="AS160" s="3627">
        <f t="shared" si="58"/>
        <v>150.666666666667</v>
      </c>
      <c r="AT160" s="3687">
        <f t="shared" si="59"/>
        <v>150.666666666667</v>
      </c>
      <c r="AU160" s="3678">
        <f t="shared" si="55"/>
        <v>452</v>
      </c>
      <c r="AV160" s="3678">
        <f t="shared" si="35"/>
        <v>0</v>
      </c>
    </row>
    <row r="161" s="3568" customFormat="1" ht="50" customHeight="1" spans="1:59">
      <c r="A161" s="3731">
        <v>45971</v>
      </c>
      <c r="B161" s="3732" t="s">
        <v>2697</v>
      </c>
      <c r="C161" s="3733" t="s">
        <v>2698</v>
      </c>
      <c r="D161" s="3734">
        <v>4500184922</v>
      </c>
      <c r="E161" s="3735" t="s">
        <v>7842</v>
      </c>
      <c r="F161" s="3734" t="s">
        <v>8760</v>
      </c>
      <c r="G161" s="3735" t="s">
        <v>8477</v>
      </c>
      <c r="H161" s="3736" t="s">
        <v>8291</v>
      </c>
      <c r="I161" s="3736">
        <v>600</v>
      </c>
      <c r="J161" s="3736">
        <v>0</v>
      </c>
      <c r="K161" s="3736">
        <v>4</v>
      </c>
      <c r="L161" s="3736">
        <f t="shared" si="49"/>
        <v>150</v>
      </c>
      <c r="M161" s="3737">
        <v>46003</v>
      </c>
      <c r="N161" s="3737">
        <v>45999</v>
      </c>
      <c r="O161" s="905"/>
      <c r="P161" s="3636" t="s">
        <v>82</v>
      </c>
      <c r="Q161" s="3625" t="s">
        <v>427</v>
      </c>
      <c r="R161" s="3738" t="s">
        <v>5290</v>
      </c>
      <c r="S161" s="3738"/>
      <c r="T161" s="3739" t="s">
        <v>8761</v>
      </c>
      <c r="U161" s="3738"/>
      <c r="V161" s="3740"/>
      <c r="W161" s="3741" t="s">
        <v>8762</v>
      </c>
      <c r="X161" s="2979" t="s">
        <v>4965</v>
      </c>
      <c r="Y161" s="3736">
        <v>9.6087</v>
      </c>
      <c r="Z161" s="3736">
        <f>Y161*I161</f>
        <v>5765.22</v>
      </c>
      <c r="AA161" s="3742" t="s">
        <v>8763</v>
      </c>
      <c r="AB161" s="3735" t="s">
        <v>8477</v>
      </c>
      <c r="AC161" s="3654" t="s">
        <v>416</v>
      </c>
      <c r="AD161" s="3743"/>
      <c r="AE161" s="3744"/>
      <c r="AF161" s="3745"/>
      <c r="AG161" s="3736">
        <f t="shared" si="56"/>
        <v>600</v>
      </c>
      <c r="AH161" s="3735"/>
      <c r="AI161" s="3746"/>
      <c r="AJ161" s="3736">
        <f t="shared" si="43"/>
        <v>600</v>
      </c>
      <c r="AK161" s="3747"/>
      <c r="AL161" s="3746"/>
      <c r="AM161" s="3746">
        <f>I161</f>
        <v>600</v>
      </c>
      <c r="AN161" s="3746"/>
      <c r="AO161" s="3748"/>
      <c r="AP161" s="3749"/>
      <c r="AQ161" s="3746" t="s">
        <v>89</v>
      </c>
      <c r="AR161" s="3750">
        <f t="shared" si="57"/>
        <v>200</v>
      </c>
      <c r="AS161" s="3750">
        <f t="shared" si="58"/>
        <v>200</v>
      </c>
      <c r="AT161" s="3750">
        <f t="shared" si="59"/>
        <v>200</v>
      </c>
      <c r="AU161" s="3748">
        <f t="shared" si="55"/>
        <v>600</v>
      </c>
      <c r="AV161" s="3748">
        <f t="shared" si="35"/>
        <v>0</v>
      </c>
    </row>
    <row r="162" s="3568" customFormat="1" ht="50" customHeight="1" spans="1:59">
      <c r="A162" s="3731">
        <v>45973</v>
      </c>
      <c r="B162" s="3732" t="s">
        <v>2005</v>
      </c>
      <c r="C162" s="3733" t="s">
        <v>673</v>
      </c>
      <c r="D162" s="3734">
        <v>4500185221</v>
      </c>
      <c r="E162" s="3735">
        <v>5000002057</v>
      </c>
      <c r="F162" s="3734" t="s">
        <v>8764</v>
      </c>
      <c r="G162" s="3735" t="s">
        <v>8290</v>
      </c>
      <c r="H162" s="3736" t="s">
        <v>8291</v>
      </c>
      <c r="I162" s="3736">
        <v>224</v>
      </c>
      <c r="J162" s="3736">
        <v>0</v>
      </c>
      <c r="K162" s="3736">
        <v>4</v>
      </c>
      <c r="L162" s="3736">
        <f t="shared" si="49"/>
        <v>56</v>
      </c>
      <c r="M162" s="3737">
        <v>46003</v>
      </c>
      <c r="N162" s="3737">
        <v>45999</v>
      </c>
      <c r="O162" s="905"/>
      <c r="P162" s="3636" t="s">
        <v>82</v>
      </c>
      <c r="Q162" s="3739" t="s">
        <v>2213</v>
      </c>
      <c r="R162" s="3739" t="s">
        <v>8765</v>
      </c>
      <c r="S162" s="3738"/>
      <c r="T162" s="3739" t="s">
        <v>8766</v>
      </c>
      <c r="U162" s="3738"/>
      <c r="V162" s="3740"/>
      <c r="W162" s="3741" t="s">
        <v>8767</v>
      </c>
      <c r="X162" s="2979" t="s">
        <v>993</v>
      </c>
      <c r="Y162" s="3751">
        <v>9.6286</v>
      </c>
      <c r="Z162" s="3736">
        <f t="shared" ref="Z162:Z183" si="60">I162*Y162</f>
        <v>2156.8064</v>
      </c>
      <c r="AA162" s="3742"/>
      <c r="AB162" s="3735" t="s">
        <v>8334</v>
      </c>
      <c r="AC162" s="3654" t="s">
        <v>416</v>
      </c>
      <c r="AD162" s="3693"/>
      <c r="AE162" s="3681"/>
      <c r="AF162" s="3752"/>
      <c r="AG162" s="3736">
        <f t="shared" si="56"/>
        <v>224</v>
      </c>
      <c r="AH162" s="3735"/>
      <c r="AI162" s="3746"/>
      <c r="AJ162" s="3736"/>
      <c r="AK162" s="3747">
        <f>I162</f>
        <v>224</v>
      </c>
      <c r="AL162" s="3746">
        <f t="shared" ref="AL162:AL196" si="61">I162</f>
        <v>224</v>
      </c>
      <c r="AM162" s="3746"/>
      <c r="AN162" s="3746"/>
      <c r="AO162" s="3748"/>
      <c r="AP162" s="3749"/>
      <c r="AQ162" s="3746" t="s">
        <v>8335</v>
      </c>
      <c r="AR162" s="3748">
        <f t="shared" si="57"/>
        <v>74.6666666666667</v>
      </c>
      <c r="AS162" s="3748">
        <f t="shared" si="58"/>
        <v>74.6666666666667</v>
      </c>
      <c r="AT162" s="3753">
        <f t="shared" si="59"/>
        <v>74.6666666666667</v>
      </c>
      <c r="AU162" s="3754">
        <f t="shared" si="55"/>
        <v>224</v>
      </c>
      <c r="AV162" s="3754">
        <f t="shared" si="35"/>
        <v>0</v>
      </c>
    </row>
    <row r="163" s="3568" customFormat="1" ht="50" customHeight="1" spans="1:59">
      <c r="A163" s="3731">
        <v>45972</v>
      </c>
      <c r="B163" s="3732" t="s">
        <v>2775</v>
      </c>
      <c r="C163" s="3733" t="s">
        <v>2776</v>
      </c>
      <c r="D163" s="3734">
        <v>4500185070</v>
      </c>
      <c r="E163" s="3735"/>
      <c r="F163" s="3734" t="s">
        <v>8768</v>
      </c>
      <c r="G163" s="3735" t="s">
        <v>8290</v>
      </c>
      <c r="H163" s="3736" t="s">
        <v>8291</v>
      </c>
      <c r="I163" s="3736">
        <v>500</v>
      </c>
      <c r="J163" s="3736">
        <v>0</v>
      </c>
      <c r="K163" s="3736">
        <v>4</v>
      </c>
      <c r="L163" s="3736">
        <f t="shared" si="49"/>
        <v>125</v>
      </c>
      <c r="M163" s="3737">
        <v>46021</v>
      </c>
      <c r="N163" s="3737">
        <v>46017</v>
      </c>
      <c r="O163" s="905"/>
      <c r="P163" s="3636" t="s">
        <v>82</v>
      </c>
      <c r="Q163" s="3726" t="s">
        <v>110</v>
      </c>
      <c r="R163" s="3738" t="s">
        <v>384</v>
      </c>
      <c r="S163" s="3738"/>
      <c r="T163" s="3739" t="s">
        <v>5309</v>
      </c>
      <c r="U163" s="3738"/>
      <c r="V163" s="3740"/>
      <c r="W163" s="3741" t="s">
        <v>8769</v>
      </c>
      <c r="X163" s="2979" t="s">
        <v>1434</v>
      </c>
      <c r="Y163" s="3751">
        <v>10.1186</v>
      </c>
      <c r="Z163" s="3736">
        <f t="shared" si="60"/>
        <v>5059.3</v>
      </c>
      <c r="AA163" s="3742"/>
      <c r="AB163" s="3735" t="s">
        <v>8329</v>
      </c>
      <c r="AC163" s="3654" t="s">
        <v>416</v>
      </c>
      <c r="AD163" s="3693"/>
      <c r="AE163" s="3681"/>
      <c r="AF163" s="3752"/>
      <c r="AG163" s="3736"/>
      <c r="AH163" s="3735">
        <f t="shared" ref="AH163:AH177" si="62">I163</f>
        <v>500</v>
      </c>
      <c r="AI163" s="3746"/>
      <c r="AJ163" s="3736">
        <f t="shared" ref="AJ163:AJ226" si="63">I163</f>
        <v>500</v>
      </c>
      <c r="AK163" s="3747"/>
      <c r="AL163" s="3746">
        <f t="shared" si="61"/>
        <v>500</v>
      </c>
      <c r="AM163" s="3746"/>
      <c r="AN163" s="3746"/>
      <c r="AO163" s="3748"/>
      <c r="AP163" s="3749"/>
      <c r="AQ163" s="3746" t="s">
        <v>89</v>
      </c>
      <c r="AR163" s="3748">
        <f t="shared" si="57"/>
        <v>166.666666666667</v>
      </c>
      <c r="AS163" s="3748">
        <f t="shared" si="58"/>
        <v>166.666666666667</v>
      </c>
      <c r="AT163" s="3753">
        <f t="shared" si="59"/>
        <v>166.666666666667</v>
      </c>
      <c r="AU163" s="3754">
        <f t="shared" si="55"/>
        <v>500</v>
      </c>
      <c r="AV163" s="3754">
        <f t="shared" si="35"/>
        <v>0</v>
      </c>
    </row>
    <row r="164" s="3567" customFormat="1" ht="50" customHeight="1" spans="1:59">
      <c r="A164" s="3703">
        <v>46014</v>
      </c>
      <c r="B164" s="3704" t="s">
        <v>1596</v>
      </c>
      <c r="C164" s="3705" t="s">
        <v>1430</v>
      </c>
      <c r="D164" s="3706">
        <v>4500189691</v>
      </c>
      <c r="E164" s="3700"/>
      <c r="F164" s="3706" t="s">
        <v>8770</v>
      </c>
      <c r="G164" s="3700" t="s">
        <v>8290</v>
      </c>
      <c r="H164" s="3699" t="s">
        <v>8291</v>
      </c>
      <c r="I164" s="3699">
        <v>24</v>
      </c>
      <c r="J164" s="3699">
        <v>0</v>
      </c>
      <c r="K164" s="3699">
        <v>4</v>
      </c>
      <c r="L164" s="3699">
        <f t="shared" si="49"/>
        <v>6</v>
      </c>
      <c r="M164" s="3707">
        <v>46052</v>
      </c>
      <c r="N164" s="3707">
        <v>46048</v>
      </c>
      <c r="O164" s="3708"/>
      <c r="P164" s="3636" t="s">
        <v>82</v>
      </c>
      <c r="Q164" s="3680" t="s">
        <v>5343</v>
      </c>
      <c r="R164" s="3709" t="s">
        <v>2350</v>
      </c>
      <c r="S164" s="3709"/>
      <c r="T164" s="3711" t="s">
        <v>7980</v>
      </c>
      <c r="U164" s="3709"/>
      <c r="V164" s="3712"/>
      <c r="W164" s="3713" t="s">
        <v>8771</v>
      </c>
      <c r="X164" s="2912" t="s">
        <v>1434</v>
      </c>
      <c r="Y164" s="3714">
        <v>10.1386</v>
      </c>
      <c r="Z164" s="3699">
        <f t="shared" si="60"/>
        <v>243.3264</v>
      </c>
      <c r="AA164" s="3715"/>
      <c r="AB164" s="3700" t="s">
        <v>8329</v>
      </c>
      <c r="AC164" s="3716" t="s">
        <v>416</v>
      </c>
      <c r="AD164" s="3699"/>
      <c r="AE164" s="3719"/>
      <c r="AF164" s="3718"/>
      <c r="AG164" s="3699"/>
      <c r="AH164" s="3721">
        <f t="shared" si="62"/>
        <v>24</v>
      </c>
      <c r="AI164" s="3722"/>
      <c r="AJ164" s="3718">
        <f t="shared" si="63"/>
        <v>24</v>
      </c>
      <c r="AK164" s="3721"/>
      <c r="AL164" s="3721">
        <f t="shared" si="61"/>
        <v>24</v>
      </c>
      <c r="AM164" s="3723"/>
      <c r="AN164" s="3723"/>
      <c r="AO164" s="3721"/>
      <c r="AP164" s="3721"/>
      <c r="AQ164" s="3723" t="s">
        <v>89</v>
      </c>
      <c r="AR164" s="3724">
        <f t="shared" si="57"/>
        <v>8</v>
      </c>
      <c r="AS164" s="3724">
        <f t="shared" si="58"/>
        <v>8</v>
      </c>
      <c r="AT164" s="3724">
        <f t="shared" si="59"/>
        <v>8</v>
      </c>
      <c r="AU164" s="3724">
        <f t="shared" si="55"/>
        <v>24</v>
      </c>
      <c r="AV164" s="3724">
        <f>I164-AU164</f>
        <v>0</v>
      </c>
    </row>
    <row r="165" s="3567" customFormat="1" ht="50" customHeight="1" spans="1:59">
      <c r="A165" s="3703">
        <v>46006</v>
      </c>
      <c r="B165" s="3704" t="s">
        <v>1200</v>
      </c>
      <c r="C165" s="3705" t="s">
        <v>1142</v>
      </c>
      <c r="D165" s="3706">
        <v>4500188900</v>
      </c>
      <c r="E165" s="3700" t="s">
        <v>5497</v>
      </c>
      <c r="F165" s="3706" t="s">
        <v>8772</v>
      </c>
      <c r="G165" s="3700" t="s">
        <v>8290</v>
      </c>
      <c r="H165" s="3699" t="s">
        <v>8291</v>
      </c>
      <c r="I165" s="3699">
        <v>204</v>
      </c>
      <c r="J165" s="3699">
        <v>0</v>
      </c>
      <c r="K165" s="3699">
        <v>4</v>
      </c>
      <c r="L165" s="3699">
        <f t="shared" si="49"/>
        <v>51</v>
      </c>
      <c r="M165" s="3707">
        <v>46052</v>
      </c>
      <c r="N165" s="3707">
        <f t="shared" ref="N165:N170" si="64">M165-4</f>
        <v>46048</v>
      </c>
      <c r="O165" s="3708"/>
      <c r="P165" s="3636" t="s">
        <v>82</v>
      </c>
      <c r="Q165" s="3680" t="s">
        <v>401</v>
      </c>
      <c r="R165" s="3711" t="s">
        <v>5499</v>
      </c>
      <c r="S165" s="3709"/>
      <c r="T165" s="3711" t="s">
        <v>5500</v>
      </c>
      <c r="U165" s="3709"/>
      <c r="V165" s="3712"/>
      <c r="W165" s="3713" t="s">
        <v>8773</v>
      </c>
      <c r="X165" s="2912" t="s">
        <v>1434</v>
      </c>
      <c r="Y165" s="3714">
        <v>9.6286</v>
      </c>
      <c r="Z165" s="3699">
        <f t="shared" si="60"/>
        <v>1964.2344</v>
      </c>
      <c r="AA165" s="3715"/>
      <c r="AB165" s="3700" t="s">
        <v>8329</v>
      </c>
      <c r="AC165" s="3716" t="s">
        <v>416</v>
      </c>
      <c r="AD165" s="3755"/>
      <c r="AE165" s="3756"/>
      <c r="AF165" s="3720"/>
      <c r="AG165" s="3699"/>
      <c r="AH165" s="3719">
        <f t="shared" si="62"/>
        <v>204</v>
      </c>
      <c r="AI165" s="3718"/>
      <c r="AJ165" s="3699">
        <f t="shared" si="63"/>
        <v>204</v>
      </c>
      <c r="AK165" s="3721"/>
      <c r="AL165" s="3722">
        <f t="shared" si="61"/>
        <v>204</v>
      </c>
      <c r="AM165" s="3718"/>
      <c r="AN165" s="3718"/>
      <c r="AO165" s="3721"/>
      <c r="AP165" s="3721"/>
      <c r="AQ165" s="3723" t="s">
        <v>89</v>
      </c>
      <c r="AR165" s="3721">
        <f t="shared" si="57"/>
        <v>68</v>
      </c>
      <c r="AS165" s="3721">
        <f t="shared" si="58"/>
        <v>68</v>
      </c>
      <c r="AT165" s="3723">
        <f t="shared" si="59"/>
        <v>68</v>
      </c>
      <c r="AU165" s="3724">
        <f t="shared" si="55"/>
        <v>204</v>
      </c>
      <c r="AV165" s="3724">
        <f>I165-AU165</f>
        <v>0</v>
      </c>
    </row>
    <row r="166" s="3567" customFormat="1" ht="50" customHeight="1" spans="1:59">
      <c r="A166" s="3703">
        <v>46016</v>
      </c>
      <c r="B166" s="3704" t="s">
        <v>4533</v>
      </c>
      <c r="C166" s="3705" t="s">
        <v>738</v>
      </c>
      <c r="D166" s="3706">
        <v>4500190045</v>
      </c>
      <c r="E166" s="3700"/>
      <c r="F166" s="3706" t="s">
        <v>8774</v>
      </c>
      <c r="G166" s="3700" t="s">
        <v>8290</v>
      </c>
      <c r="H166" s="3699" t="s">
        <v>8291</v>
      </c>
      <c r="I166" s="3699">
        <v>244</v>
      </c>
      <c r="J166" s="3699">
        <v>0</v>
      </c>
      <c r="K166" s="3699">
        <v>4</v>
      </c>
      <c r="L166" s="3699">
        <f t="shared" si="49"/>
        <v>61</v>
      </c>
      <c r="M166" s="3707">
        <v>46055</v>
      </c>
      <c r="N166" s="3707">
        <f t="shared" si="64"/>
        <v>46051</v>
      </c>
      <c r="O166" s="3708"/>
      <c r="P166" s="3636" t="s">
        <v>82</v>
      </c>
      <c r="Q166" s="3680" t="s">
        <v>540</v>
      </c>
      <c r="R166" s="3709" t="s">
        <v>2350</v>
      </c>
      <c r="S166" s="3711"/>
      <c r="T166" s="3711" t="s">
        <v>8005</v>
      </c>
      <c r="U166" s="3711"/>
      <c r="V166" s="3712"/>
      <c r="W166" s="3713" t="s">
        <v>8775</v>
      </c>
      <c r="X166" s="2912" t="s">
        <v>1257</v>
      </c>
      <c r="Y166" s="3714">
        <v>10.1386</v>
      </c>
      <c r="Z166" s="3699">
        <f t="shared" si="60"/>
        <v>2473.8184</v>
      </c>
      <c r="AA166" s="3715"/>
      <c r="AB166" s="3700" t="s">
        <v>8329</v>
      </c>
      <c r="AC166" s="3716" t="s">
        <v>416</v>
      </c>
      <c r="AD166" s="3698"/>
      <c r="AE166" s="3757"/>
      <c r="AF166" s="3758"/>
      <c r="AG166" s="3759"/>
      <c r="AH166" s="3721">
        <f t="shared" si="62"/>
        <v>244</v>
      </c>
      <c r="AI166" s="3721"/>
      <c r="AJ166" s="3718">
        <f t="shared" si="63"/>
        <v>244</v>
      </c>
      <c r="AK166" s="3721"/>
      <c r="AL166" s="3721">
        <f t="shared" si="61"/>
        <v>244</v>
      </c>
      <c r="AM166" s="3723"/>
      <c r="AN166" s="3723"/>
      <c r="AO166" s="3724"/>
      <c r="AP166" s="3724"/>
      <c r="AQ166" s="3723" t="s">
        <v>89</v>
      </c>
      <c r="AR166" s="3723">
        <f t="shared" si="57"/>
        <v>81.3333333333333</v>
      </c>
      <c r="AS166" s="3723">
        <f t="shared" si="58"/>
        <v>81.3333333333333</v>
      </c>
      <c r="AT166" s="3723">
        <f t="shared" si="59"/>
        <v>81.3333333333333</v>
      </c>
      <c r="AU166" s="3724">
        <f t="shared" si="55"/>
        <v>244</v>
      </c>
      <c r="AV166" s="3724">
        <f>I166-AU166</f>
        <v>0</v>
      </c>
    </row>
    <row r="167" s="3567" customFormat="1" ht="50" customHeight="1" spans="1:59">
      <c r="A167" s="3703">
        <v>46026</v>
      </c>
      <c r="B167" s="3704" t="s">
        <v>1777</v>
      </c>
      <c r="C167" s="3705" t="s">
        <v>1142</v>
      </c>
      <c r="D167" s="3706">
        <v>4500190544</v>
      </c>
      <c r="E167" s="3700"/>
      <c r="F167" s="3706" t="s">
        <v>8776</v>
      </c>
      <c r="G167" s="3700" t="s">
        <v>8290</v>
      </c>
      <c r="H167" s="3699" t="s">
        <v>8291</v>
      </c>
      <c r="I167" s="3699">
        <v>300</v>
      </c>
      <c r="J167" s="3699">
        <v>0</v>
      </c>
      <c r="K167" s="3699">
        <v>4</v>
      </c>
      <c r="L167" s="3699">
        <f t="shared" si="49"/>
        <v>75</v>
      </c>
      <c r="M167" s="3707">
        <v>46055</v>
      </c>
      <c r="N167" s="3707">
        <f t="shared" si="64"/>
        <v>46051</v>
      </c>
      <c r="O167" s="3708"/>
      <c r="P167" s="3636" t="s">
        <v>82</v>
      </c>
      <c r="Q167" s="3680" t="s">
        <v>5343</v>
      </c>
      <c r="R167" s="3709" t="s">
        <v>5499</v>
      </c>
      <c r="S167" s="3709"/>
      <c r="T167" s="3711" t="s">
        <v>8777</v>
      </c>
      <c r="U167" s="3709"/>
      <c r="V167" s="3712"/>
      <c r="W167" s="3713" t="s">
        <v>8778</v>
      </c>
      <c r="X167" s="2912" t="s">
        <v>1434</v>
      </c>
      <c r="Y167" s="3714">
        <v>9.6286</v>
      </c>
      <c r="Z167" s="3699">
        <f t="shared" si="60"/>
        <v>2888.58</v>
      </c>
      <c r="AA167" s="3715"/>
      <c r="AB167" s="3700" t="s">
        <v>8329</v>
      </c>
      <c r="AC167" s="3716" t="s">
        <v>416</v>
      </c>
      <c r="AD167" s="3755"/>
      <c r="AE167" s="3760"/>
      <c r="AF167" s="3761"/>
      <c r="AG167" s="3759"/>
      <c r="AH167" s="3721">
        <f t="shared" si="62"/>
        <v>300</v>
      </c>
      <c r="AI167" s="3722"/>
      <c r="AJ167" s="3718">
        <f t="shared" si="63"/>
        <v>300</v>
      </c>
      <c r="AK167" s="3721"/>
      <c r="AL167" s="3722">
        <f t="shared" si="61"/>
        <v>300</v>
      </c>
      <c r="AM167" s="3762"/>
      <c r="AN167" s="3762"/>
      <c r="AO167" s="3724"/>
      <c r="AP167" s="3763"/>
      <c r="AQ167" s="3723" t="s">
        <v>89</v>
      </c>
      <c r="AR167" s="3723">
        <f t="shared" si="57"/>
        <v>100</v>
      </c>
      <c r="AS167" s="3723">
        <f t="shared" si="58"/>
        <v>100</v>
      </c>
      <c r="AT167" s="3723">
        <f t="shared" si="59"/>
        <v>100</v>
      </c>
      <c r="AU167" s="3724">
        <f t="shared" si="55"/>
        <v>300</v>
      </c>
      <c r="AV167" s="3724">
        <f>I167-AU167</f>
        <v>0</v>
      </c>
    </row>
    <row r="168" s="3567" customFormat="1" ht="50" customHeight="1" spans="1:59">
      <c r="A168" s="3703">
        <v>46020</v>
      </c>
      <c r="B168" s="3704" t="s">
        <v>4533</v>
      </c>
      <c r="C168" s="3705" t="s">
        <v>738</v>
      </c>
      <c r="D168" s="3706">
        <v>4500190245</v>
      </c>
      <c r="E168" s="3700"/>
      <c r="F168" s="3706" t="s">
        <v>8779</v>
      </c>
      <c r="G168" s="3700" t="s">
        <v>8780</v>
      </c>
      <c r="H168" s="3699" t="s">
        <v>8781</v>
      </c>
      <c r="I168" s="3699">
        <v>104</v>
      </c>
      <c r="J168" s="3699">
        <v>0</v>
      </c>
      <c r="K168" s="3699">
        <v>4</v>
      </c>
      <c r="L168" s="3699">
        <f t="shared" si="49"/>
        <v>26</v>
      </c>
      <c r="M168" s="3707">
        <v>46055</v>
      </c>
      <c r="N168" s="3707">
        <f t="shared" si="64"/>
        <v>46051</v>
      </c>
      <c r="O168" s="3708"/>
      <c r="P168" s="3636" t="s">
        <v>82</v>
      </c>
      <c r="Q168" s="3680" t="s">
        <v>153</v>
      </c>
      <c r="R168" s="3711" t="s">
        <v>2363</v>
      </c>
      <c r="S168" s="3711"/>
      <c r="T168" s="3711" t="s">
        <v>8005</v>
      </c>
      <c r="U168" s="3711"/>
      <c r="V168" s="3712"/>
      <c r="W168" s="3713" t="s">
        <v>8782</v>
      </c>
      <c r="X168" s="2912" t="s">
        <v>1257</v>
      </c>
      <c r="Y168" s="3714">
        <v>10.1386</v>
      </c>
      <c r="Z168" s="3699">
        <f t="shared" si="60"/>
        <v>1054.4144</v>
      </c>
      <c r="AA168" s="3715"/>
      <c r="AB168" s="3700" t="s">
        <v>8783</v>
      </c>
      <c r="AC168" s="3716" t="s">
        <v>416</v>
      </c>
      <c r="AD168" s="3755"/>
      <c r="AE168" s="3760"/>
      <c r="AF168" s="3761"/>
      <c r="AG168" s="3759"/>
      <c r="AH168" s="3721">
        <f t="shared" si="62"/>
        <v>104</v>
      </c>
      <c r="AI168" s="3721"/>
      <c r="AJ168" s="3718">
        <f t="shared" si="63"/>
        <v>104</v>
      </c>
      <c r="AK168" s="3721"/>
      <c r="AL168" s="3721">
        <f t="shared" si="61"/>
        <v>104</v>
      </c>
      <c r="AM168" s="3723"/>
      <c r="AN168" s="3723"/>
      <c r="AO168" s="3724"/>
      <c r="AP168" s="3724"/>
      <c r="AQ168" s="3723" t="s">
        <v>89</v>
      </c>
      <c r="AR168" s="3723">
        <f>I168</f>
        <v>104</v>
      </c>
      <c r="AS168" s="3723"/>
      <c r="AT168" s="3723"/>
      <c r="AU168" s="3724">
        <f t="shared" si="55"/>
        <v>104</v>
      </c>
      <c r="AV168" s="3724"/>
    </row>
    <row r="169" s="3567" customFormat="1" ht="50" customHeight="1" spans="1:59">
      <c r="A169" s="3703">
        <v>46020</v>
      </c>
      <c r="B169" s="3704" t="s">
        <v>4533</v>
      </c>
      <c r="C169" s="3705" t="s">
        <v>738</v>
      </c>
      <c r="D169" s="3706">
        <v>4500190245</v>
      </c>
      <c r="E169" s="3700"/>
      <c r="F169" s="3706" t="s">
        <v>8784</v>
      </c>
      <c r="G169" s="3700" t="s">
        <v>8713</v>
      </c>
      <c r="H169" s="3699" t="s">
        <v>8576</v>
      </c>
      <c r="I169" s="3699">
        <v>104</v>
      </c>
      <c r="J169" s="3699">
        <v>0</v>
      </c>
      <c r="K169" s="3699">
        <v>4</v>
      </c>
      <c r="L169" s="3699">
        <f t="shared" si="49"/>
        <v>26</v>
      </c>
      <c r="M169" s="3707">
        <v>46055</v>
      </c>
      <c r="N169" s="3707">
        <f t="shared" si="64"/>
        <v>46051</v>
      </c>
      <c r="O169" s="3708"/>
      <c r="P169" s="3636" t="s">
        <v>82</v>
      </c>
      <c r="Q169" s="3680" t="s">
        <v>153</v>
      </c>
      <c r="R169" s="3711" t="s">
        <v>2363</v>
      </c>
      <c r="S169" s="3709"/>
      <c r="T169" s="3711" t="s">
        <v>8005</v>
      </c>
      <c r="U169" s="3709"/>
      <c r="V169" s="3712"/>
      <c r="W169" s="3713" t="s">
        <v>8782</v>
      </c>
      <c r="X169" s="2912" t="s">
        <v>1257</v>
      </c>
      <c r="Y169" s="3714">
        <v>10.0298</v>
      </c>
      <c r="Z169" s="3699">
        <f t="shared" si="60"/>
        <v>1043.0992</v>
      </c>
      <c r="AA169" s="3715"/>
      <c r="AB169" s="3700" t="s">
        <v>8716</v>
      </c>
      <c r="AC169" s="3716" t="s">
        <v>416</v>
      </c>
      <c r="AD169" s="3755"/>
      <c r="AE169" s="3760"/>
      <c r="AF169" s="3761"/>
      <c r="AG169" s="3759"/>
      <c r="AH169" s="3700">
        <f t="shared" si="62"/>
        <v>104</v>
      </c>
      <c r="AI169" s="3721"/>
      <c r="AJ169" s="3700">
        <f t="shared" si="63"/>
        <v>104</v>
      </c>
      <c r="AK169" s="3721"/>
      <c r="AL169" s="3721">
        <f t="shared" si="61"/>
        <v>104</v>
      </c>
      <c r="AM169" s="3723"/>
      <c r="AN169" s="3723"/>
      <c r="AO169" s="3724"/>
      <c r="AP169" s="3763"/>
      <c r="AQ169" s="3723" t="s">
        <v>89</v>
      </c>
      <c r="AR169" s="3723"/>
      <c r="AS169" s="3721">
        <f>I169</f>
        <v>104</v>
      </c>
      <c r="AT169" s="3723"/>
      <c r="AU169" s="3724">
        <f t="shared" si="55"/>
        <v>104</v>
      </c>
      <c r="AV169" s="3724">
        <f>I169-AU169</f>
        <v>0</v>
      </c>
    </row>
    <row r="170" s="3567" customFormat="1" ht="50" customHeight="1" spans="1:59">
      <c r="A170" s="3703">
        <v>46020</v>
      </c>
      <c r="B170" s="3704" t="s">
        <v>4533</v>
      </c>
      <c r="C170" s="3705" t="s">
        <v>738</v>
      </c>
      <c r="D170" s="3706">
        <v>4500190245</v>
      </c>
      <c r="E170" s="3700"/>
      <c r="F170" s="3706" t="s">
        <v>8785</v>
      </c>
      <c r="G170" s="3700" t="s">
        <v>8786</v>
      </c>
      <c r="H170" s="3699" t="s">
        <v>8571</v>
      </c>
      <c r="I170" s="3699">
        <v>104</v>
      </c>
      <c r="J170" s="3699">
        <v>0</v>
      </c>
      <c r="K170" s="3699">
        <v>4</v>
      </c>
      <c r="L170" s="3699">
        <f t="shared" si="49"/>
        <v>26</v>
      </c>
      <c r="M170" s="3707">
        <v>46055</v>
      </c>
      <c r="N170" s="3707">
        <f t="shared" si="64"/>
        <v>46051</v>
      </c>
      <c r="O170" s="3708"/>
      <c r="P170" s="3636" t="s">
        <v>82</v>
      </c>
      <c r="Q170" s="3680" t="s">
        <v>153</v>
      </c>
      <c r="R170" s="3711" t="s">
        <v>2363</v>
      </c>
      <c r="S170" s="3709"/>
      <c r="T170" s="3711" t="s">
        <v>8005</v>
      </c>
      <c r="U170" s="3709"/>
      <c r="V170" s="3712"/>
      <c r="W170" s="3713" t="s">
        <v>8782</v>
      </c>
      <c r="X170" s="2912" t="s">
        <v>1257</v>
      </c>
      <c r="Y170" s="3714">
        <v>10.1386</v>
      </c>
      <c r="Z170" s="3699">
        <f t="shared" si="60"/>
        <v>1054.4144</v>
      </c>
      <c r="AA170" s="3715"/>
      <c r="AB170" s="3700" t="s">
        <v>8787</v>
      </c>
      <c r="AC170" s="3716" t="s">
        <v>416</v>
      </c>
      <c r="AD170" s="3755"/>
      <c r="AE170" s="3760"/>
      <c r="AF170" s="3761"/>
      <c r="AG170" s="3759"/>
      <c r="AH170" s="3700">
        <f t="shared" si="62"/>
        <v>104</v>
      </c>
      <c r="AI170" s="3721"/>
      <c r="AJ170" s="3700">
        <f t="shared" si="63"/>
        <v>104</v>
      </c>
      <c r="AK170" s="3721"/>
      <c r="AL170" s="3721">
        <f t="shared" si="61"/>
        <v>104</v>
      </c>
      <c r="AM170" s="3723"/>
      <c r="AN170" s="3723"/>
      <c r="AO170" s="3724"/>
      <c r="AP170" s="3763"/>
      <c r="AQ170" s="3723" t="s">
        <v>89</v>
      </c>
      <c r="AR170" s="3723"/>
      <c r="AS170" s="3723"/>
      <c r="AT170" s="3723">
        <f>I170</f>
        <v>104</v>
      </c>
      <c r="AU170" s="3724">
        <f t="shared" si="55"/>
        <v>104</v>
      </c>
      <c r="AV170" s="3724"/>
    </row>
    <row r="171" s="3567" customFormat="1" ht="50" customHeight="1" spans="1:59">
      <c r="A171" s="3703">
        <v>46038</v>
      </c>
      <c r="B171" s="3704" t="s">
        <v>3811</v>
      </c>
      <c r="C171" s="3705" t="s">
        <v>3812</v>
      </c>
      <c r="D171" s="3706">
        <v>4500191663</v>
      </c>
      <c r="E171" s="3700"/>
      <c r="F171" s="3706" t="s">
        <v>8788</v>
      </c>
      <c r="G171" s="3700" t="s">
        <v>8290</v>
      </c>
      <c r="H171" s="3699" t="s">
        <v>8291</v>
      </c>
      <c r="I171" s="3699">
        <v>1000</v>
      </c>
      <c r="J171" s="3699">
        <v>0</v>
      </c>
      <c r="K171" s="3699">
        <v>4</v>
      </c>
      <c r="L171" s="3699">
        <f t="shared" si="49"/>
        <v>250</v>
      </c>
      <c r="M171" s="3707">
        <v>46097</v>
      </c>
      <c r="N171" s="3707">
        <v>46093</v>
      </c>
      <c r="O171" s="3708"/>
      <c r="P171" s="3636" t="s">
        <v>82</v>
      </c>
      <c r="Q171" s="3680" t="s">
        <v>817</v>
      </c>
      <c r="R171" s="3709" t="s">
        <v>8789</v>
      </c>
      <c r="S171" s="3709"/>
      <c r="T171" s="3711" t="s">
        <v>8790</v>
      </c>
      <c r="U171" s="3709"/>
      <c r="V171" s="3712"/>
      <c r="W171" s="3713" t="s">
        <v>8791</v>
      </c>
      <c r="X171" s="2912" t="s">
        <v>459</v>
      </c>
      <c r="Y171" s="3714">
        <v>10.1186</v>
      </c>
      <c r="Z171" s="3699">
        <f t="shared" si="60"/>
        <v>10118.6</v>
      </c>
      <c r="AA171" s="3715"/>
      <c r="AB171" s="3700" t="s">
        <v>8329</v>
      </c>
      <c r="AC171" s="3716" t="s">
        <v>416</v>
      </c>
      <c r="AD171" s="3759"/>
      <c r="AE171" s="3721"/>
      <c r="AF171" s="3722"/>
      <c r="AG171" s="3718"/>
      <c r="AH171" s="3721">
        <f t="shared" si="62"/>
        <v>1000</v>
      </c>
      <c r="AI171" s="3722"/>
      <c r="AJ171" s="3762">
        <f t="shared" si="63"/>
        <v>1000</v>
      </c>
      <c r="AK171" s="3724"/>
      <c r="AL171" s="3763">
        <f t="shared" si="61"/>
        <v>1000</v>
      </c>
      <c r="AM171" s="3723"/>
      <c r="AN171" s="3723"/>
      <c r="AO171" s="3723"/>
      <c r="AP171" s="3723"/>
      <c r="AQ171" s="3723" t="s">
        <v>89</v>
      </c>
      <c r="AR171" s="3723">
        <f t="shared" ref="AR171:AR215" si="65">I171/3</f>
        <v>333.333333333333</v>
      </c>
      <c r="AS171" s="3723">
        <f t="shared" ref="AS171:AS215" si="66">I171/3</f>
        <v>333.333333333333</v>
      </c>
      <c r="AT171" s="3723">
        <f t="shared" ref="AT171:AT215" si="67">I171/3</f>
        <v>333.333333333333</v>
      </c>
      <c r="AU171" s="3724">
        <f t="shared" si="55"/>
        <v>1000</v>
      </c>
      <c r="AV171" s="3724">
        <f t="shared" ref="AV171:AV231" si="68">I171-AU171</f>
        <v>0</v>
      </c>
    </row>
    <row r="172" s="3567" customFormat="1" ht="50" customHeight="1" spans="1:59">
      <c r="A172" s="3703">
        <v>46092</v>
      </c>
      <c r="B172" s="3704" t="s">
        <v>1141</v>
      </c>
      <c r="C172" s="3705" t="s">
        <v>1142</v>
      </c>
      <c r="D172" s="3706">
        <v>4500195950</v>
      </c>
      <c r="E172" s="3700" t="s">
        <v>8792</v>
      </c>
      <c r="F172" s="3706" t="s">
        <v>8793</v>
      </c>
      <c r="G172" s="3700" t="s">
        <v>8290</v>
      </c>
      <c r="H172" s="3699" t="s">
        <v>8291</v>
      </c>
      <c r="I172" s="3699">
        <v>600</v>
      </c>
      <c r="J172" s="3699">
        <v>0</v>
      </c>
      <c r="K172" s="3699">
        <v>4</v>
      </c>
      <c r="L172" s="3699">
        <f t="shared" si="49"/>
        <v>150</v>
      </c>
      <c r="M172" s="3707">
        <v>46132</v>
      </c>
      <c r="N172" s="3707">
        <v>46128</v>
      </c>
      <c r="O172" s="3708"/>
      <c r="P172" s="3636" t="s">
        <v>82</v>
      </c>
      <c r="Q172" s="3680" t="s">
        <v>5827</v>
      </c>
      <c r="R172" s="3709" t="s">
        <v>1012</v>
      </c>
      <c r="S172" s="3709"/>
      <c r="T172" s="3709" t="s">
        <v>8794</v>
      </c>
      <c r="U172" s="3709"/>
      <c r="V172" s="3712"/>
      <c r="W172" s="3713" t="s">
        <v>8795</v>
      </c>
      <c r="X172" s="3764" t="s">
        <v>8796</v>
      </c>
      <c r="Y172" s="3714">
        <v>10.1186</v>
      </c>
      <c r="Z172" s="3699">
        <f t="shared" si="60"/>
        <v>6071.16</v>
      </c>
      <c r="AA172" s="3715"/>
      <c r="AB172" s="3700" t="s">
        <v>8329</v>
      </c>
      <c r="AC172" s="3716" t="s">
        <v>416</v>
      </c>
      <c r="AD172" s="3765"/>
      <c r="AE172" s="3760"/>
      <c r="AF172" s="3761"/>
      <c r="AG172" s="3718"/>
      <c r="AH172" s="3721">
        <f t="shared" si="62"/>
        <v>600</v>
      </c>
      <c r="AI172" s="3722"/>
      <c r="AJ172" s="3762">
        <f t="shared" si="63"/>
        <v>600</v>
      </c>
      <c r="AK172" s="3724"/>
      <c r="AL172" s="3763">
        <f t="shared" si="61"/>
        <v>600</v>
      </c>
      <c r="AM172" s="3723"/>
      <c r="AN172" s="3723"/>
      <c r="AO172" s="3723"/>
      <c r="AP172" s="3762"/>
      <c r="AQ172" s="3723" t="s">
        <v>89</v>
      </c>
      <c r="AR172" s="3723">
        <f t="shared" si="65"/>
        <v>200</v>
      </c>
      <c r="AS172" s="3723">
        <f t="shared" si="66"/>
        <v>200</v>
      </c>
      <c r="AT172" s="3723">
        <f t="shared" si="67"/>
        <v>200</v>
      </c>
      <c r="AU172" s="3724">
        <f t="shared" si="55"/>
        <v>600</v>
      </c>
      <c r="AV172" s="3724">
        <f t="shared" si="68"/>
        <v>0</v>
      </c>
    </row>
    <row r="173" s="3567" customFormat="1" ht="50" customHeight="1" spans="1:59">
      <c r="A173" s="3703">
        <v>46092</v>
      </c>
      <c r="B173" s="3704" t="s">
        <v>1545</v>
      </c>
      <c r="C173" s="3705" t="s">
        <v>1546</v>
      </c>
      <c r="D173" s="3706">
        <v>4500196119</v>
      </c>
      <c r="E173" s="3700" t="s">
        <v>8797</v>
      </c>
      <c r="F173" s="3706" t="s">
        <v>8798</v>
      </c>
      <c r="G173" s="3700" t="s">
        <v>8290</v>
      </c>
      <c r="H173" s="3699" t="s">
        <v>8291</v>
      </c>
      <c r="I173" s="3699">
        <v>96</v>
      </c>
      <c r="J173" s="3699">
        <v>0</v>
      </c>
      <c r="K173" s="3699">
        <v>4</v>
      </c>
      <c r="L173" s="3699">
        <f t="shared" si="49"/>
        <v>24</v>
      </c>
      <c r="M173" s="3707">
        <v>46132</v>
      </c>
      <c r="N173" s="3707">
        <v>46128</v>
      </c>
      <c r="O173" s="3708"/>
      <c r="P173" s="3636" t="s">
        <v>82</v>
      </c>
      <c r="Q173" s="3680" t="s">
        <v>5721</v>
      </c>
      <c r="R173" s="3709" t="s">
        <v>1012</v>
      </c>
      <c r="S173" s="3709"/>
      <c r="T173" s="3709" t="s">
        <v>8794</v>
      </c>
      <c r="U173" s="3709"/>
      <c r="V173" s="3712"/>
      <c r="W173" s="3713" t="s">
        <v>8795</v>
      </c>
      <c r="X173" s="3764" t="s">
        <v>8796</v>
      </c>
      <c r="Y173" s="3714">
        <v>10.1186</v>
      </c>
      <c r="Z173" s="3699">
        <f t="shared" si="60"/>
        <v>971.3856</v>
      </c>
      <c r="AA173" s="3715"/>
      <c r="AB173" s="3700" t="s">
        <v>8329</v>
      </c>
      <c r="AC173" s="3716" t="s">
        <v>416</v>
      </c>
      <c r="AD173" s="3765"/>
      <c r="AE173" s="3760"/>
      <c r="AF173" s="3761"/>
      <c r="AG173" s="3718"/>
      <c r="AH173" s="3721">
        <f t="shared" si="62"/>
        <v>96</v>
      </c>
      <c r="AI173" s="3722"/>
      <c r="AJ173" s="3762">
        <f t="shared" si="63"/>
        <v>96</v>
      </c>
      <c r="AK173" s="3724"/>
      <c r="AL173" s="3763">
        <f t="shared" si="61"/>
        <v>96</v>
      </c>
      <c r="AM173" s="3723"/>
      <c r="AN173" s="3723"/>
      <c r="AO173" s="3723"/>
      <c r="AP173" s="3762"/>
      <c r="AQ173" s="3723" t="s">
        <v>89</v>
      </c>
      <c r="AR173" s="3723">
        <f t="shared" si="65"/>
        <v>32</v>
      </c>
      <c r="AS173" s="3723">
        <f t="shared" si="66"/>
        <v>32</v>
      </c>
      <c r="AT173" s="3723">
        <f t="shared" si="67"/>
        <v>32</v>
      </c>
      <c r="AU173" s="3724">
        <f t="shared" si="55"/>
        <v>96</v>
      </c>
      <c r="AV173" s="3724">
        <f t="shared" si="68"/>
        <v>0</v>
      </c>
    </row>
    <row r="174" s="3567" customFormat="1" ht="50" customHeight="1" spans="1:59">
      <c r="A174" s="3703">
        <v>46105</v>
      </c>
      <c r="B174" s="3766" t="s">
        <v>8799</v>
      </c>
      <c r="C174" s="3700" t="s">
        <v>8800</v>
      </c>
      <c r="D174" s="3699">
        <v>4500198237</v>
      </c>
      <c r="E174" s="3699"/>
      <c r="F174" s="3700" t="s">
        <v>8801</v>
      </c>
      <c r="G174" s="3700" t="s">
        <v>8290</v>
      </c>
      <c r="H174" s="3699" t="s">
        <v>8291</v>
      </c>
      <c r="I174" s="3699">
        <v>120</v>
      </c>
      <c r="J174" s="3699">
        <v>0</v>
      </c>
      <c r="K174" s="3699">
        <v>4</v>
      </c>
      <c r="L174" s="3699">
        <f t="shared" si="49"/>
        <v>30</v>
      </c>
      <c r="M174" s="3707">
        <v>46148</v>
      </c>
      <c r="N174" s="3707">
        <v>46144</v>
      </c>
      <c r="O174" s="3699"/>
      <c r="P174" s="3636" t="s">
        <v>82</v>
      </c>
      <c r="Q174" s="3680" t="s">
        <v>3367</v>
      </c>
      <c r="R174" s="3767" t="s">
        <v>3468</v>
      </c>
      <c r="S174" s="3711"/>
      <c r="T174" s="3711" t="s">
        <v>8802</v>
      </c>
      <c r="U174" s="3768"/>
      <c r="V174" s="3699"/>
      <c r="W174" s="3680" t="s">
        <v>8803</v>
      </c>
      <c r="X174" s="3769" t="s">
        <v>1199</v>
      </c>
      <c r="Y174" s="3770">
        <v>9.8598</v>
      </c>
      <c r="Z174" s="3699">
        <f t="shared" si="60"/>
        <v>1183.176</v>
      </c>
      <c r="AA174" s="3680"/>
      <c r="AB174" s="3699" t="s">
        <v>8290</v>
      </c>
      <c r="AC174" s="3680" t="s">
        <v>416</v>
      </c>
      <c r="AD174" s="3680"/>
      <c r="AE174" s="3680"/>
      <c r="AF174" s="3680"/>
      <c r="AG174" s="3700">
        <f>I174</f>
        <v>120</v>
      </c>
      <c r="AH174" s="3700"/>
      <c r="AI174" s="3700"/>
      <c r="AJ174" s="3699">
        <f t="shared" si="63"/>
        <v>120</v>
      </c>
      <c r="AK174" s="3759"/>
      <c r="AL174" s="3759">
        <f t="shared" si="61"/>
        <v>120</v>
      </c>
      <c r="AM174" s="3759"/>
      <c r="AN174" s="3759"/>
      <c r="AO174" s="3759"/>
      <c r="AP174" s="3759"/>
      <c r="AQ174" s="3759" t="s">
        <v>89</v>
      </c>
      <c r="AR174" s="3723">
        <f t="shared" si="65"/>
        <v>40</v>
      </c>
      <c r="AS174" s="3723">
        <f t="shared" si="66"/>
        <v>40</v>
      </c>
      <c r="AT174" s="3723">
        <f t="shared" si="67"/>
        <v>40</v>
      </c>
      <c r="AU174" s="3724">
        <f t="shared" si="55"/>
        <v>120</v>
      </c>
      <c r="AV174" s="3763">
        <f t="shared" si="68"/>
        <v>0</v>
      </c>
    </row>
    <row r="175" s="3569" customFormat="1" ht="50" customHeight="1" spans="1:59">
      <c r="A175" s="3771">
        <v>46114</v>
      </c>
      <c r="B175" s="3700" t="s">
        <v>5560</v>
      </c>
      <c r="C175" s="3700" t="s">
        <v>562</v>
      </c>
      <c r="D175" s="3699" t="s">
        <v>8804</v>
      </c>
      <c r="E175" s="3699" t="s">
        <v>2434</v>
      </c>
      <c r="F175" s="3700" t="s">
        <v>8805</v>
      </c>
      <c r="G175" s="3700" t="s">
        <v>8290</v>
      </c>
      <c r="H175" s="3699" t="s">
        <v>8291</v>
      </c>
      <c r="I175" s="3699">
        <v>400</v>
      </c>
      <c r="J175" s="3699">
        <v>0</v>
      </c>
      <c r="K175" s="3699">
        <v>4</v>
      </c>
      <c r="L175" s="3699">
        <f t="shared" si="49"/>
        <v>100</v>
      </c>
      <c r="M175" s="3707">
        <v>46162</v>
      </c>
      <c r="N175" s="3707">
        <v>46158</v>
      </c>
      <c r="O175" s="3699"/>
      <c r="P175" s="3636" t="s">
        <v>82</v>
      </c>
      <c r="Q175" s="3680" t="s">
        <v>8806</v>
      </c>
      <c r="R175" s="3711" t="s">
        <v>1186</v>
      </c>
      <c r="S175" s="3699"/>
      <c r="T175" s="3711" t="s">
        <v>8807</v>
      </c>
      <c r="U175" s="3768"/>
      <c r="V175" s="3699"/>
      <c r="W175" s="3680" t="s">
        <v>8808</v>
      </c>
      <c r="X175" s="3699" t="s">
        <v>459</v>
      </c>
      <c r="Y175" s="3770">
        <v>10.382</v>
      </c>
      <c r="Z175" s="3699">
        <f t="shared" si="60"/>
        <v>4152.8</v>
      </c>
      <c r="AA175" s="3680"/>
      <c r="AB175" s="3699" t="s">
        <v>8329</v>
      </c>
      <c r="AC175" s="3680" t="s">
        <v>416</v>
      </c>
      <c r="AD175" s="3756"/>
      <c r="AE175" s="3756"/>
      <c r="AF175" s="3756"/>
      <c r="AG175" s="3699"/>
      <c r="AH175" s="3759">
        <f>I175</f>
        <v>400</v>
      </c>
      <c r="AI175" s="3759"/>
      <c r="AJ175" s="3759">
        <f t="shared" si="63"/>
        <v>400</v>
      </c>
      <c r="AK175" s="3759"/>
      <c r="AL175" s="3759">
        <f t="shared" si="61"/>
        <v>400</v>
      </c>
      <c r="AM175" s="3759"/>
      <c r="AN175" s="3759"/>
      <c r="AO175" s="3723"/>
      <c r="AP175" s="3723"/>
      <c r="AQ175" s="3723" t="s">
        <v>89</v>
      </c>
      <c r="AR175" s="3762">
        <f t="shared" si="65"/>
        <v>133.333333333333</v>
      </c>
      <c r="AS175" s="3762">
        <f t="shared" si="66"/>
        <v>133.333333333333</v>
      </c>
      <c r="AT175" s="3762">
        <f t="shared" si="67"/>
        <v>133.333333333333</v>
      </c>
      <c r="AU175" s="3772">
        <f t="shared" si="55"/>
        <v>400</v>
      </c>
      <c r="AV175" s="3773">
        <f t="shared" si="68"/>
        <v>0</v>
      </c>
      <c r="AW175" s="3774"/>
      <c r="AX175" s="3774"/>
      <c r="AY175" s="3774"/>
      <c r="AZ175" s="3774"/>
      <c r="BA175" s="3774"/>
      <c r="BB175" s="3774"/>
      <c r="BC175" s="3774"/>
      <c r="BD175" s="3774"/>
      <c r="BE175" s="3774"/>
      <c r="BF175" s="3774"/>
      <c r="BG175" s="3775"/>
    </row>
    <row r="176" s="3567" customFormat="1" ht="50" customHeight="1" spans="1:59">
      <c r="A176" s="3776">
        <v>46107</v>
      </c>
      <c r="B176" s="3777" t="s">
        <v>3608</v>
      </c>
      <c r="C176" s="3777" t="s">
        <v>738</v>
      </c>
      <c r="D176" s="3778">
        <v>4500198544</v>
      </c>
      <c r="E176" s="3778">
        <v>3301470014</v>
      </c>
      <c r="F176" s="3777" t="s">
        <v>8809</v>
      </c>
      <c r="G176" s="3777" t="s">
        <v>8290</v>
      </c>
      <c r="H176" s="3778" t="s">
        <v>8810</v>
      </c>
      <c r="I176" s="3778">
        <v>900</v>
      </c>
      <c r="J176" s="3778">
        <v>0</v>
      </c>
      <c r="K176" s="3778">
        <v>4</v>
      </c>
      <c r="L176" s="3778">
        <f t="shared" si="49"/>
        <v>225</v>
      </c>
      <c r="M176" s="3779">
        <v>46163</v>
      </c>
      <c r="N176" s="3779">
        <v>46160</v>
      </c>
      <c r="O176" s="3778"/>
      <c r="P176" s="3636" t="s">
        <v>82</v>
      </c>
      <c r="Q176" s="3726" t="s">
        <v>5827</v>
      </c>
      <c r="R176" s="3780" t="s">
        <v>5852</v>
      </c>
      <c r="S176" s="3778"/>
      <c r="T176" s="3780" t="s">
        <v>8811</v>
      </c>
      <c r="U176" s="3781"/>
      <c r="V176" s="3778"/>
      <c r="W176" s="3782" t="s">
        <v>8812</v>
      </c>
      <c r="X176" s="3778" t="s">
        <v>1257</v>
      </c>
      <c r="Y176" s="3783">
        <v>10.3616</v>
      </c>
      <c r="Z176" s="3778">
        <f t="shared" si="60"/>
        <v>9325.44</v>
      </c>
      <c r="AA176" s="3782"/>
      <c r="AB176" s="3778" t="s">
        <v>8329</v>
      </c>
      <c r="AC176" s="3782" t="s">
        <v>416</v>
      </c>
      <c r="AD176" s="3782"/>
      <c r="AE176" s="3782"/>
      <c r="AF176" s="3782"/>
      <c r="AG176" s="3777"/>
      <c r="AH176" s="3777">
        <f>I176</f>
        <v>900</v>
      </c>
      <c r="AI176" s="3777"/>
      <c r="AJ176" s="3778">
        <f t="shared" si="63"/>
        <v>900</v>
      </c>
      <c r="AK176" s="3784"/>
      <c r="AL176" s="3784">
        <f t="shared" si="61"/>
        <v>900</v>
      </c>
      <c r="AM176" s="3784"/>
      <c r="AN176" s="3784"/>
      <c r="AO176" s="3784"/>
      <c r="AP176" s="3784"/>
      <c r="AQ176" s="3784" t="s">
        <v>89</v>
      </c>
      <c r="AR176" s="3785">
        <f t="shared" si="65"/>
        <v>300</v>
      </c>
      <c r="AS176" s="3785">
        <f t="shared" si="66"/>
        <v>300</v>
      </c>
      <c r="AT176" s="3785">
        <f t="shared" si="67"/>
        <v>300</v>
      </c>
      <c r="AU176" s="3786">
        <f t="shared" si="55"/>
        <v>900</v>
      </c>
      <c r="AV176" s="3773">
        <f t="shared" si="68"/>
        <v>0</v>
      </c>
      <c r="AW176" s="3774"/>
      <c r="AX176" s="3774"/>
      <c r="AY176" s="3774"/>
      <c r="AZ176" s="3774"/>
      <c r="BA176" s="3774"/>
      <c r="BB176" s="3774"/>
      <c r="BC176" s="3774"/>
      <c r="BD176" s="3774"/>
      <c r="BE176" s="3774"/>
      <c r="BF176" s="3774"/>
    </row>
    <row r="177" s="3569" customFormat="1" ht="50" customHeight="1" spans="1:59">
      <c r="A177" s="3771">
        <v>46121</v>
      </c>
      <c r="B177" s="3787" t="s">
        <v>331</v>
      </c>
      <c r="C177" s="3788" t="s">
        <v>793</v>
      </c>
      <c r="D177" s="3699" t="s">
        <v>8193</v>
      </c>
      <c r="E177" s="3700" t="s">
        <v>8813</v>
      </c>
      <c r="F177" s="3789" t="s">
        <v>8814</v>
      </c>
      <c r="G177" s="3790" t="s">
        <v>8484</v>
      </c>
      <c r="H177" s="3699" t="s">
        <v>8291</v>
      </c>
      <c r="I177" s="3699">
        <v>4000</v>
      </c>
      <c r="J177" s="3699">
        <v>0</v>
      </c>
      <c r="K177" s="3699">
        <v>1</v>
      </c>
      <c r="L177" s="3699">
        <f t="shared" si="49"/>
        <v>4000</v>
      </c>
      <c r="M177" s="3707">
        <v>46167</v>
      </c>
      <c r="N177" s="3707">
        <v>46163</v>
      </c>
      <c r="O177" s="3699"/>
      <c r="P177" s="3636" t="s">
        <v>82</v>
      </c>
      <c r="Q177" s="3620" t="s">
        <v>5815</v>
      </c>
      <c r="R177" s="3711" t="s">
        <v>1249</v>
      </c>
      <c r="S177" s="3707"/>
      <c r="T177" s="3711" t="s">
        <v>8815</v>
      </c>
      <c r="U177" s="3699"/>
      <c r="V177" s="3712"/>
      <c r="W177" s="3680" t="s">
        <v>8816</v>
      </c>
      <c r="X177" s="3724" t="s">
        <v>8198</v>
      </c>
      <c r="Y177" s="3699">
        <v>10.5181</v>
      </c>
      <c r="Z177" s="3699">
        <f t="shared" si="60"/>
        <v>42072.4</v>
      </c>
      <c r="AA177" s="3715"/>
      <c r="AB177" s="3700" t="s">
        <v>8484</v>
      </c>
      <c r="AC177" s="3680" t="s">
        <v>416</v>
      </c>
      <c r="AD177" s="3755"/>
      <c r="AE177" s="3756"/>
      <c r="AF177" s="3756"/>
      <c r="AG177" s="3699">
        <f>I177</f>
        <v>4000</v>
      </c>
      <c r="AH177" s="3700"/>
      <c r="AI177" s="3759"/>
      <c r="AJ177" s="3700">
        <f t="shared" si="63"/>
        <v>4000</v>
      </c>
      <c r="AK177" s="3700"/>
      <c r="AL177" s="3719">
        <f t="shared" si="61"/>
        <v>4000</v>
      </c>
      <c r="AM177" s="3719"/>
      <c r="AN177" s="3759"/>
      <c r="AO177" s="3759"/>
      <c r="AP177" s="3759"/>
      <c r="AQ177" s="3759" t="s">
        <v>89</v>
      </c>
      <c r="AR177" s="3759">
        <f t="shared" si="65"/>
        <v>1333.33333333333</v>
      </c>
      <c r="AS177" s="3759">
        <f t="shared" si="66"/>
        <v>1333.33333333333</v>
      </c>
      <c r="AT177" s="3759">
        <f t="shared" si="67"/>
        <v>1333.33333333333</v>
      </c>
      <c r="AU177" s="3791">
        <f t="shared" si="55"/>
        <v>4000</v>
      </c>
      <c r="AV177" s="3792">
        <f t="shared" si="68"/>
        <v>0</v>
      </c>
      <c r="AW177" s="3774"/>
      <c r="AX177" s="3774"/>
      <c r="AY177" s="3774"/>
      <c r="AZ177" s="3774"/>
      <c r="BA177" s="3774"/>
      <c r="BB177" s="3774"/>
      <c r="BC177" s="3774"/>
      <c r="BD177" s="3774"/>
      <c r="BE177" s="3774"/>
      <c r="BF177" s="3774"/>
      <c r="BG177" s="3775"/>
    </row>
    <row r="178" s="3567" customFormat="1" ht="50" customHeight="1" spans="1:59">
      <c r="A178" s="3703">
        <v>46098</v>
      </c>
      <c r="B178" s="3766" t="s">
        <v>8817</v>
      </c>
      <c r="C178" s="3766" t="s">
        <v>738</v>
      </c>
      <c r="D178" s="3769">
        <v>4500197125</v>
      </c>
      <c r="E178" s="3769" t="s">
        <v>8818</v>
      </c>
      <c r="F178" s="3766" t="s">
        <v>8819</v>
      </c>
      <c r="G178" s="3766" t="s">
        <v>8290</v>
      </c>
      <c r="H178" s="3769" t="s">
        <v>8291</v>
      </c>
      <c r="I178" s="3769">
        <v>488</v>
      </c>
      <c r="J178" s="3769">
        <v>0</v>
      </c>
      <c r="K178" s="3769">
        <v>4</v>
      </c>
      <c r="L178" s="3769">
        <f t="shared" si="49"/>
        <v>122</v>
      </c>
      <c r="M178" s="3793">
        <v>46168</v>
      </c>
      <c r="N178" s="3793">
        <v>46164</v>
      </c>
      <c r="O178" s="3769"/>
      <c r="P178" s="3636" t="s">
        <v>82</v>
      </c>
      <c r="Q178" s="3794"/>
      <c r="R178" s="3711" t="s">
        <v>5852</v>
      </c>
      <c r="S178" s="3699"/>
      <c r="T178" s="3711" t="s">
        <v>8410</v>
      </c>
      <c r="U178" s="3795"/>
      <c r="V178" s="3769"/>
      <c r="W178" s="3794" t="s">
        <v>8820</v>
      </c>
      <c r="X178" s="3769" t="s">
        <v>8821</v>
      </c>
      <c r="Y178" s="3796">
        <v>9.8598</v>
      </c>
      <c r="Z178" s="3769">
        <f t="shared" si="60"/>
        <v>4811.5824</v>
      </c>
      <c r="AA178" s="3794"/>
      <c r="AB178" s="3769" t="s">
        <v>8329</v>
      </c>
      <c r="AC178" s="3782" t="s">
        <v>416</v>
      </c>
      <c r="AD178" s="3794"/>
      <c r="AE178" s="3794"/>
      <c r="AF178" s="3794"/>
      <c r="AG178" s="3766"/>
      <c r="AH178" s="3766">
        <f>I178</f>
        <v>488</v>
      </c>
      <c r="AI178" s="3766"/>
      <c r="AJ178" s="3769">
        <f t="shared" si="63"/>
        <v>488</v>
      </c>
      <c r="AK178" s="3797"/>
      <c r="AL178" s="3797">
        <f t="shared" si="61"/>
        <v>488</v>
      </c>
      <c r="AM178" s="3797"/>
      <c r="AN178" s="3797"/>
      <c r="AO178" s="3797"/>
      <c r="AP178" s="3797"/>
      <c r="AQ178" s="3797" t="s">
        <v>89</v>
      </c>
      <c r="AR178" s="3798">
        <f t="shared" si="65"/>
        <v>162.666666666667</v>
      </c>
      <c r="AS178" s="3798">
        <f t="shared" si="66"/>
        <v>162.666666666667</v>
      </c>
      <c r="AT178" s="3798">
        <f t="shared" si="67"/>
        <v>162.666666666667</v>
      </c>
      <c r="AU178" s="3799">
        <f t="shared" si="55"/>
        <v>488</v>
      </c>
      <c r="AV178" s="3773">
        <f t="shared" si="68"/>
        <v>0</v>
      </c>
      <c r="AW178" s="3774"/>
      <c r="AX178" s="3774"/>
      <c r="AY178" s="3774"/>
      <c r="AZ178" s="3774"/>
      <c r="BA178" s="3774"/>
      <c r="BB178" s="3774"/>
      <c r="BC178" s="3774"/>
      <c r="BD178" s="3774"/>
      <c r="BE178" s="3774"/>
      <c r="BF178" s="3774"/>
    </row>
    <row r="179" s="3567" customFormat="1" ht="50" customHeight="1" spans="1:59">
      <c r="A179" s="3703">
        <v>46098</v>
      </c>
      <c r="B179" s="3766" t="s">
        <v>8817</v>
      </c>
      <c r="C179" s="3700" t="s">
        <v>738</v>
      </c>
      <c r="D179" s="3699">
        <v>4500197160</v>
      </c>
      <c r="E179" s="3699" t="s">
        <v>8822</v>
      </c>
      <c r="F179" s="3700" t="s">
        <v>8823</v>
      </c>
      <c r="G179" s="3700" t="s">
        <v>8290</v>
      </c>
      <c r="H179" s="3699" t="s">
        <v>8291</v>
      </c>
      <c r="I179" s="3699">
        <v>192</v>
      </c>
      <c r="J179" s="3699">
        <v>0</v>
      </c>
      <c r="K179" s="3699">
        <v>4</v>
      </c>
      <c r="L179" s="3699">
        <f t="shared" si="49"/>
        <v>48</v>
      </c>
      <c r="M179" s="3707">
        <v>46168</v>
      </c>
      <c r="N179" s="3707">
        <v>46164</v>
      </c>
      <c r="O179" s="3699"/>
      <c r="P179" s="3636" t="s">
        <v>82</v>
      </c>
      <c r="Q179" s="3680"/>
      <c r="R179" s="3711" t="s">
        <v>5852</v>
      </c>
      <c r="S179" s="3699"/>
      <c r="T179" s="3711" t="s">
        <v>8410</v>
      </c>
      <c r="U179" s="3768"/>
      <c r="V179" s="3699"/>
      <c r="W179" s="3680" t="s">
        <v>8824</v>
      </c>
      <c r="X179" s="3769" t="s">
        <v>8821</v>
      </c>
      <c r="Y179" s="3770">
        <v>9.8598</v>
      </c>
      <c r="Z179" s="3699">
        <f t="shared" si="60"/>
        <v>1893.0816</v>
      </c>
      <c r="AA179" s="3680"/>
      <c r="AB179" s="3699" t="s">
        <v>8329</v>
      </c>
      <c r="AC179" s="3716" t="s">
        <v>416</v>
      </c>
      <c r="AD179" s="3680"/>
      <c r="AE179" s="3680"/>
      <c r="AF179" s="3680"/>
      <c r="AG179" s="3700"/>
      <c r="AH179" s="3700">
        <f>I179</f>
        <v>192</v>
      </c>
      <c r="AI179" s="3700"/>
      <c r="AJ179" s="3699">
        <f t="shared" si="63"/>
        <v>192</v>
      </c>
      <c r="AK179" s="3759"/>
      <c r="AL179" s="3759">
        <f t="shared" si="61"/>
        <v>192</v>
      </c>
      <c r="AM179" s="3759"/>
      <c r="AN179" s="3759"/>
      <c r="AO179" s="3759"/>
      <c r="AP179" s="3759"/>
      <c r="AQ179" s="3759" t="s">
        <v>89</v>
      </c>
      <c r="AR179" s="3723">
        <f t="shared" si="65"/>
        <v>64</v>
      </c>
      <c r="AS179" s="3723">
        <f t="shared" si="66"/>
        <v>64</v>
      </c>
      <c r="AT179" s="3723">
        <f t="shared" si="67"/>
        <v>64</v>
      </c>
      <c r="AU179" s="3800">
        <f t="shared" si="55"/>
        <v>192</v>
      </c>
      <c r="AV179" s="3773">
        <f t="shared" si="68"/>
        <v>0</v>
      </c>
      <c r="AW179" s="3774"/>
      <c r="AX179" s="3774"/>
      <c r="AY179" s="3774"/>
      <c r="AZ179" s="3774"/>
      <c r="BA179" s="3774"/>
      <c r="BB179" s="3774"/>
      <c r="BC179" s="3774"/>
      <c r="BD179" s="3774"/>
      <c r="BE179" s="3774"/>
      <c r="BF179" s="3774"/>
    </row>
    <row r="180" s="3567" customFormat="1" ht="50" customHeight="1" spans="1:59">
      <c r="A180" s="3703">
        <v>46098</v>
      </c>
      <c r="B180" s="3766" t="s">
        <v>8817</v>
      </c>
      <c r="C180" s="3700" t="s">
        <v>738</v>
      </c>
      <c r="D180" s="3699">
        <v>4500197152</v>
      </c>
      <c r="E180" s="3699" t="s">
        <v>8825</v>
      </c>
      <c r="F180" s="3700" t="s">
        <v>8826</v>
      </c>
      <c r="G180" s="3700" t="s">
        <v>8290</v>
      </c>
      <c r="H180" s="3699" t="s">
        <v>8291</v>
      </c>
      <c r="I180" s="3699">
        <v>268</v>
      </c>
      <c r="J180" s="3699">
        <v>0</v>
      </c>
      <c r="K180" s="3699">
        <v>4</v>
      </c>
      <c r="L180" s="3699">
        <f t="shared" si="49"/>
        <v>67</v>
      </c>
      <c r="M180" s="3707">
        <v>46168</v>
      </c>
      <c r="N180" s="3707">
        <v>46164</v>
      </c>
      <c r="O180" s="3699"/>
      <c r="P180" s="3636" t="s">
        <v>82</v>
      </c>
      <c r="Q180" s="3680" t="s">
        <v>8179</v>
      </c>
      <c r="R180" s="3711" t="s">
        <v>5852</v>
      </c>
      <c r="S180" s="3699"/>
      <c r="T180" s="3711" t="s">
        <v>8410</v>
      </c>
      <c r="U180" s="3768"/>
      <c r="V180" s="3699"/>
      <c r="W180" s="3680" t="s">
        <v>8824</v>
      </c>
      <c r="X180" s="3769" t="s">
        <v>8821</v>
      </c>
      <c r="Y180" s="3770">
        <v>9.8598</v>
      </c>
      <c r="Z180" s="3699">
        <f t="shared" si="60"/>
        <v>2642.4264</v>
      </c>
      <c r="AA180" s="3680"/>
      <c r="AB180" s="3699" t="s">
        <v>8329</v>
      </c>
      <c r="AC180" s="3716" t="s">
        <v>416</v>
      </c>
      <c r="AD180" s="3680"/>
      <c r="AE180" s="3680"/>
      <c r="AF180" s="3680"/>
      <c r="AG180" s="3700"/>
      <c r="AH180" s="3700">
        <f>I180</f>
        <v>268</v>
      </c>
      <c r="AI180" s="3700"/>
      <c r="AJ180" s="3699">
        <f t="shared" si="63"/>
        <v>268</v>
      </c>
      <c r="AK180" s="3759"/>
      <c r="AL180" s="3759">
        <f t="shared" si="61"/>
        <v>268</v>
      </c>
      <c r="AM180" s="3759"/>
      <c r="AN180" s="3759"/>
      <c r="AO180" s="3759"/>
      <c r="AP180" s="3759"/>
      <c r="AQ180" s="3759" t="s">
        <v>89</v>
      </c>
      <c r="AR180" s="3723">
        <f t="shared" si="65"/>
        <v>89.3333333333333</v>
      </c>
      <c r="AS180" s="3723">
        <f t="shared" si="66"/>
        <v>89.3333333333333</v>
      </c>
      <c r="AT180" s="3723">
        <f t="shared" si="67"/>
        <v>89.3333333333333</v>
      </c>
      <c r="AU180" s="3800">
        <f t="shared" si="55"/>
        <v>268</v>
      </c>
      <c r="AV180" s="3773">
        <f t="shared" si="68"/>
        <v>0</v>
      </c>
      <c r="AW180" s="3774"/>
      <c r="AX180" s="3774"/>
      <c r="AY180" s="3774"/>
      <c r="AZ180" s="3774"/>
      <c r="BA180" s="3774"/>
      <c r="BB180" s="3774"/>
      <c r="BC180" s="3774"/>
      <c r="BD180" s="3774"/>
      <c r="BE180" s="3774"/>
      <c r="BF180" s="3774"/>
    </row>
    <row r="181" s="3567" customFormat="1" ht="50" customHeight="1" spans="1:59">
      <c r="A181" s="3776">
        <v>46098</v>
      </c>
      <c r="B181" s="3777" t="s">
        <v>8817</v>
      </c>
      <c r="C181" s="3801" t="s">
        <v>738</v>
      </c>
      <c r="D181" s="3802">
        <v>4500197140</v>
      </c>
      <c r="E181" s="3802" t="s">
        <v>8827</v>
      </c>
      <c r="F181" s="3801" t="s">
        <v>8828</v>
      </c>
      <c r="G181" s="3801" t="s">
        <v>8290</v>
      </c>
      <c r="H181" s="3802" t="s">
        <v>8291</v>
      </c>
      <c r="I181" s="3802">
        <v>572</v>
      </c>
      <c r="J181" s="3802">
        <v>0</v>
      </c>
      <c r="K181" s="3802">
        <v>4</v>
      </c>
      <c r="L181" s="3802">
        <f t="shared" si="49"/>
        <v>143</v>
      </c>
      <c r="M181" s="3803">
        <v>46168</v>
      </c>
      <c r="N181" s="3803">
        <v>46164</v>
      </c>
      <c r="O181" s="3802"/>
      <c r="P181" s="3636" t="s">
        <v>82</v>
      </c>
      <c r="Q181" s="3680" t="s">
        <v>8179</v>
      </c>
      <c r="R181" s="3711" t="s">
        <v>5852</v>
      </c>
      <c r="S181" s="3699"/>
      <c r="T181" s="3711" t="s">
        <v>8410</v>
      </c>
      <c r="U181" s="3804"/>
      <c r="V181" s="3802"/>
      <c r="W181" s="3716" t="s">
        <v>8824</v>
      </c>
      <c r="X181" s="3778" t="s">
        <v>8821</v>
      </c>
      <c r="Y181" s="3805">
        <v>9.8394</v>
      </c>
      <c r="Z181" s="3802">
        <f t="shared" si="60"/>
        <v>5628.1368</v>
      </c>
      <c r="AA181" s="3716"/>
      <c r="AB181" s="3802" t="s">
        <v>8329</v>
      </c>
      <c r="AC181" s="3716" t="s">
        <v>416</v>
      </c>
      <c r="AD181" s="3716"/>
      <c r="AE181" s="3716"/>
      <c r="AF181" s="3716"/>
      <c r="AG181" s="3801"/>
      <c r="AH181" s="3801">
        <f>I181</f>
        <v>572</v>
      </c>
      <c r="AI181" s="3801"/>
      <c r="AJ181" s="3802">
        <f t="shared" si="63"/>
        <v>572</v>
      </c>
      <c r="AK181" s="3718"/>
      <c r="AL181" s="3718">
        <f t="shared" si="61"/>
        <v>572</v>
      </c>
      <c r="AM181" s="3718"/>
      <c r="AN181" s="3718"/>
      <c r="AO181" s="3718"/>
      <c r="AP181" s="3718"/>
      <c r="AQ181" s="3718" t="s">
        <v>89</v>
      </c>
      <c r="AR181" s="3762">
        <f t="shared" si="65"/>
        <v>190.666666666667</v>
      </c>
      <c r="AS181" s="3762">
        <f t="shared" si="66"/>
        <v>190.666666666667</v>
      </c>
      <c r="AT181" s="3762">
        <f t="shared" si="67"/>
        <v>190.666666666667</v>
      </c>
      <c r="AU181" s="3772">
        <f t="shared" si="55"/>
        <v>572</v>
      </c>
      <c r="AV181" s="3806">
        <f t="shared" si="68"/>
        <v>0</v>
      </c>
      <c r="AW181" s="3774"/>
      <c r="AX181" s="3774"/>
      <c r="AY181" s="3774"/>
      <c r="AZ181" s="3774"/>
      <c r="BA181" s="3774"/>
      <c r="BB181" s="3774"/>
      <c r="BC181" s="3774"/>
      <c r="BD181" s="3774"/>
      <c r="BE181" s="3774"/>
      <c r="BF181" s="3774"/>
    </row>
    <row r="182" s="3570" customFormat="1" ht="50" customHeight="1" spans="1:59">
      <c r="A182" s="3807">
        <v>46115</v>
      </c>
      <c r="B182" s="3808" t="s">
        <v>7822</v>
      </c>
      <c r="C182" s="3809" t="s">
        <v>6225</v>
      </c>
      <c r="D182" s="3810" t="s">
        <v>8829</v>
      </c>
      <c r="E182" s="3735">
        <v>160768</v>
      </c>
      <c r="F182" s="3810" t="s">
        <v>8830</v>
      </c>
      <c r="G182" s="3811" t="s">
        <v>8477</v>
      </c>
      <c r="H182" s="3736" t="s">
        <v>8291</v>
      </c>
      <c r="I182" s="3736">
        <v>504</v>
      </c>
      <c r="J182" s="3736">
        <v>0</v>
      </c>
      <c r="K182" s="3736">
        <v>4</v>
      </c>
      <c r="L182" s="3736">
        <f t="shared" si="49"/>
        <v>126</v>
      </c>
      <c r="M182" s="3737">
        <v>46170</v>
      </c>
      <c r="N182" s="3737">
        <v>46167</v>
      </c>
      <c r="O182" s="3736"/>
      <c r="P182" s="3636" t="s">
        <v>82</v>
      </c>
      <c r="Q182" s="3735" t="s">
        <v>8831</v>
      </c>
      <c r="R182" s="3739" t="s">
        <v>1186</v>
      </c>
      <c r="S182" s="3737"/>
      <c r="T182" s="3739" t="s">
        <v>8832</v>
      </c>
      <c r="U182" s="3736"/>
      <c r="V182" s="3740"/>
      <c r="W182" s="3625" t="s">
        <v>8833</v>
      </c>
      <c r="X182" s="3754" t="s">
        <v>6785</v>
      </c>
      <c r="Y182" s="3736">
        <v>9.8117</v>
      </c>
      <c r="Z182" s="3736">
        <f>Y182*I182</f>
        <v>4945.0968</v>
      </c>
      <c r="AA182" s="3742"/>
      <c r="AB182" s="3735" t="s">
        <v>8479</v>
      </c>
      <c r="AC182" s="3625" t="s">
        <v>416</v>
      </c>
      <c r="AD182" s="3743"/>
      <c r="AE182" s="3744"/>
      <c r="AF182" s="3812"/>
      <c r="AG182" s="3735"/>
      <c r="AH182" s="3735">
        <f>I182</f>
        <v>504</v>
      </c>
      <c r="AI182" s="3747"/>
      <c r="AJ182" s="3747">
        <f t="shared" si="63"/>
        <v>504</v>
      </c>
      <c r="AK182" s="3750"/>
      <c r="AL182" s="3750"/>
      <c r="AM182" s="3750">
        <f>I182</f>
        <v>504</v>
      </c>
      <c r="AN182" s="3750"/>
      <c r="AO182" s="3750"/>
      <c r="AP182" s="3750"/>
      <c r="AQ182" s="3750" t="s">
        <v>89</v>
      </c>
      <c r="AR182" s="3748">
        <f t="shared" si="65"/>
        <v>168</v>
      </c>
      <c r="AS182" s="3748">
        <f t="shared" si="66"/>
        <v>168</v>
      </c>
      <c r="AT182" s="3754">
        <f t="shared" si="67"/>
        <v>168</v>
      </c>
      <c r="AU182" s="3813">
        <f t="shared" si="55"/>
        <v>504</v>
      </c>
      <c r="AV182" s="3814">
        <f t="shared" si="68"/>
        <v>0</v>
      </c>
      <c r="AW182" s="3815"/>
      <c r="AX182" s="3815"/>
      <c r="AY182" s="3815"/>
      <c r="AZ182" s="3815"/>
      <c r="BA182" s="3815"/>
      <c r="BB182" s="3815"/>
      <c r="BC182" s="3815"/>
      <c r="BD182" s="3815"/>
      <c r="BE182" s="3815"/>
      <c r="BF182" s="3815"/>
      <c r="BG182" s="3816"/>
    </row>
    <row r="183" s="3570" customFormat="1" ht="50" customHeight="1" spans="1:59">
      <c r="A183" s="3807">
        <v>46097</v>
      </c>
      <c r="B183" s="3808" t="s">
        <v>8834</v>
      </c>
      <c r="C183" s="3809" t="s">
        <v>91</v>
      </c>
      <c r="D183" s="3817">
        <v>4500197044</v>
      </c>
      <c r="E183" s="3735">
        <v>117383400</v>
      </c>
      <c r="F183" s="3817" t="s">
        <v>8835</v>
      </c>
      <c r="G183" s="3735" t="s">
        <v>8836</v>
      </c>
      <c r="H183" s="3736" t="s">
        <v>8291</v>
      </c>
      <c r="I183" s="3736">
        <v>1852</v>
      </c>
      <c r="J183" s="3736">
        <v>0</v>
      </c>
      <c r="K183" s="3736">
        <v>4</v>
      </c>
      <c r="L183" s="3736">
        <f t="shared" si="49"/>
        <v>463</v>
      </c>
      <c r="M183" s="3737">
        <v>46171</v>
      </c>
      <c r="N183" s="3737">
        <v>46167</v>
      </c>
      <c r="O183" s="905" t="s">
        <v>8837</v>
      </c>
      <c r="P183" s="3636" t="s">
        <v>82</v>
      </c>
      <c r="Q183" s="3625"/>
      <c r="R183" s="3739" t="s">
        <v>8838</v>
      </c>
      <c r="S183" s="3739"/>
      <c r="T183" s="3739" t="s">
        <v>98</v>
      </c>
      <c r="U183" s="3739"/>
      <c r="V183" s="3740"/>
      <c r="W183" s="3625" t="s">
        <v>8839</v>
      </c>
      <c r="X183" s="2979" t="s">
        <v>8840</v>
      </c>
      <c r="Y183" s="3818">
        <v>6.217</v>
      </c>
      <c r="Z183" s="3736">
        <f t="shared" ref="Z183:Z230" si="69">I183*Y183</f>
        <v>11513.884</v>
      </c>
      <c r="AA183" s="3742"/>
      <c r="AB183" s="3735" t="s">
        <v>8836</v>
      </c>
      <c r="AC183" s="3625" t="s">
        <v>416</v>
      </c>
      <c r="AD183" s="3743"/>
      <c r="AE183" s="3744"/>
      <c r="AF183" s="3819"/>
      <c r="AG183" s="3736">
        <f>I183</f>
        <v>1852</v>
      </c>
      <c r="AH183" s="3747"/>
      <c r="AI183" s="3750"/>
      <c r="AJ183" s="3736">
        <f t="shared" si="63"/>
        <v>1852</v>
      </c>
      <c r="AK183" s="3748"/>
      <c r="AL183" s="3748">
        <f>I183</f>
        <v>1852</v>
      </c>
      <c r="AM183" s="3750"/>
      <c r="AN183" s="3750">
        <f>I183/4</f>
        <v>463</v>
      </c>
      <c r="AO183" s="3748"/>
      <c r="AP183" s="3748"/>
      <c r="AQ183" s="3753" t="s">
        <v>89</v>
      </c>
      <c r="AR183" s="3753">
        <f t="shared" si="65"/>
        <v>617.333333333333</v>
      </c>
      <c r="AS183" s="3753">
        <f t="shared" si="66"/>
        <v>617.333333333333</v>
      </c>
      <c r="AT183" s="3753">
        <f t="shared" si="67"/>
        <v>617.333333333333</v>
      </c>
      <c r="AU183" s="3813">
        <f t="shared" si="55"/>
        <v>1852</v>
      </c>
      <c r="AV183" s="3814">
        <f t="shared" si="68"/>
        <v>0</v>
      </c>
      <c r="AW183" s="3815"/>
      <c r="AX183" s="3815"/>
      <c r="AY183" s="3815"/>
      <c r="AZ183" s="3815"/>
      <c r="BA183" s="3815"/>
      <c r="BB183" s="3815"/>
      <c r="BC183" s="3815"/>
      <c r="BD183" s="3815"/>
      <c r="BE183" s="3815"/>
      <c r="BF183" s="3815"/>
      <c r="BG183" s="3816"/>
    </row>
    <row r="184" s="3570" customFormat="1" ht="50" customHeight="1" spans="1:59">
      <c r="A184" s="3807">
        <v>46097</v>
      </c>
      <c r="B184" s="3808" t="s">
        <v>8834</v>
      </c>
      <c r="C184" s="3809" t="s">
        <v>91</v>
      </c>
      <c r="D184" s="3817">
        <v>4500197045</v>
      </c>
      <c r="E184" s="3735">
        <v>117383401</v>
      </c>
      <c r="F184" s="3817" t="s">
        <v>8841</v>
      </c>
      <c r="G184" s="3735" t="s">
        <v>8836</v>
      </c>
      <c r="H184" s="3736" t="s">
        <v>8291</v>
      </c>
      <c r="I184" s="3736">
        <v>1852</v>
      </c>
      <c r="J184" s="3736">
        <v>0</v>
      </c>
      <c r="K184" s="3736">
        <v>4</v>
      </c>
      <c r="L184" s="3736">
        <f t="shared" si="49"/>
        <v>463</v>
      </c>
      <c r="M184" s="3737">
        <v>46176</v>
      </c>
      <c r="N184" s="3737">
        <v>46172</v>
      </c>
      <c r="O184" s="905"/>
      <c r="P184" s="3636" t="s">
        <v>82</v>
      </c>
      <c r="Q184" s="3625"/>
      <c r="R184" s="3739" t="s">
        <v>8838</v>
      </c>
      <c r="S184" s="3739"/>
      <c r="T184" s="3739" t="s">
        <v>98</v>
      </c>
      <c r="U184" s="3739"/>
      <c r="V184" s="3740"/>
      <c r="W184" s="3820" t="s">
        <v>8842</v>
      </c>
      <c r="X184" s="2979" t="s">
        <v>8840</v>
      </c>
      <c r="Y184" s="3818">
        <v>6.217</v>
      </c>
      <c r="Z184" s="3736">
        <f t="shared" si="69"/>
        <v>11513.884</v>
      </c>
      <c r="AA184" s="3742"/>
      <c r="AB184" s="3735" t="s">
        <v>8836</v>
      </c>
      <c r="AC184" s="3625" t="s">
        <v>416</v>
      </c>
      <c r="AD184" s="3743"/>
      <c r="AE184" s="3744"/>
      <c r="AF184" s="3819"/>
      <c r="AG184" s="3736">
        <f>I184</f>
        <v>1852</v>
      </c>
      <c r="AH184" s="3747"/>
      <c r="AI184" s="3750"/>
      <c r="AJ184" s="3736">
        <f t="shared" si="63"/>
        <v>1852</v>
      </c>
      <c r="AK184" s="3748"/>
      <c r="AL184" s="3748">
        <f>I184</f>
        <v>1852</v>
      </c>
      <c r="AM184" s="3750"/>
      <c r="AN184" s="3750">
        <f>I184/4</f>
        <v>463</v>
      </c>
      <c r="AO184" s="3748"/>
      <c r="AP184" s="3748"/>
      <c r="AQ184" s="3753" t="s">
        <v>89</v>
      </c>
      <c r="AR184" s="3753">
        <f t="shared" si="65"/>
        <v>617.333333333333</v>
      </c>
      <c r="AS184" s="3753">
        <f t="shared" si="66"/>
        <v>617.333333333333</v>
      </c>
      <c r="AT184" s="3753">
        <f t="shared" si="67"/>
        <v>617.333333333333</v>
      </c>
      <c r="AU184" s="3813">
        <f t="shared" si="55"/>
        <v>1852</v>
      </c>
      <c r="AV184" s="3814">
        <f t="shared" si="68"/>
        <v>0</v>
      </c>
      <c r="AW184" s="3815"/>
      <c r="AX184" s="3815"/>
      <c r="AY184" s="3815"/>
      <c r="AZ184" s="3815"/>
      <c r="BA184" s="3815"/>
      <c r="BB184" s="3815"/>
      <c r="BC184" s="3815"/>
      <c r="BD184" s="3815"/>
      <c r="BE184" s="3815"/>
      <c r="BF184" s="3815"/>
      <c r="BG184" s="3816"/>
    </row>
    <row r="185" s="3570" customFormat="1" ht="50" customHeight="1" spans="1:59">
      <c r="A185" s="3807">
        <v>46097</v>
      </c>
      <c r="B185" s="3808" t="s">
        <v>8834</v>
      </c>
      <c r="C185" s="3809" t="s">
        <v>91</v>
      </c>
      <c r="D185" s="3817">
        <v>4500197046</v>
      </c>
      <c r="E185" s="3735">
        <v>117383402</v>
      </c>
      <c r="F185" s="3817" t="s">
        <v>8843</v>
      </c>
      <c r="G185" s="3735" t="s">
        <v>8836</v>
      </c>
      <c r="H185" s="3736" t="s">
        <v>8291</v>
      </c>
      <c r="I185" s="3736">
        <v>1852</v>
      </c>
      <c r="J185" s="3736">
        <v>0</v>
      </c>
      <c r="K185" s="3736">
        <v>4</v>
      </c>
      <c r="L185" s="3736">
        <f t="shared" si="49"/>
        <v>463</v>
      </c>
      <c r="M185" s="3737">
        <v>46176</v>
      </c>
      <c r="N185" s="3737">
        <v>46172</v>
      </c>
      <c r="O185" s="905"/>
      <c r="P185" s="3636" t="s">
        <v>82</v>
      </c>
      <c r="Q185" s="3625"/>
      <c r="R185" s="3739" t="s">
        <v>8838</v>
      </c>
      <c r="S185" s="3739"/>
      <c r="T185" s="3739" t="s">
        <v>98</v>
      </c>
      <c r="U185" s="3739"/>
      <c r="V185" s="3740"/>
      <c r="W185" s="3820" t="s">
        <v>8842</v>
      </c>
      <c r="X185" s="2979" t="s">
        <v>8840</v>
      </c>
      <c r="Y185" s="3818">
        <v>6.217</v>
      </c>
      <c r="Z185" s="3736">
        <f t="shared" si="69"/>
        <v>11513.884</v>
      </c>
      <c r="AA185" s="3742"/>
      <c r="AB185" s="3735" t="s">
        <v>8836</v>
      </c>
      <c r="AC185" s="3625" t="s">
        <v>416</v>
      </c>
      <c r="AD185" s="3743"/>
      <c r="AE185" s="3744"/>
      <c r="AF185" s="3819"/>
      <c r="AG185" s="3736">
        <f>I185</f>
        <v>1852</v>
      </c>
      <c r="AH185" s="3747"/>
      <c r="AI185" s="3750"/>
      <c r="AJ185" s="3736">
        <f t="shared" si="63"/>
        <v>1852</v>
      </c>
      <c r="AK185" s="3748"/>
      <c r="AL185" s="3748">
        <f>I185</f>
        <v>1852</v>
      </c>
      <c r="AM185" s="3750"/>
      <c r="AN185" s="3750">
        <f>I185/4</f>
        <v>463</v>
      </c>
      <c r="AO185" s="3748"/>
      <c r="AP185" s="3748"/>
      <c r="AQ185" s="3753" t="s">
        <v>89</v>
      </c>
      <c r="AR185" s="3753">
        <f t="shared" si="65"/>
        <v>617.333333333333</v>
      </c>
      <c r="AS185" s="3753">
        <f t="shared" si="66"/>
        <v>617.333333333333</v>
      </c>
      <c r="AT185" s="3753">
        <f t="shared" si="67"/>
        <v>617.333333333333</v>
      </c>
      <c r="AU185" s="3813">
        <f t="shared" si="55"/>
        <v>1852</v>
      </c>
      <c r="AV185" s="3814">
        <f t="shared" si="68"/>
        <v>0</v>
      </c>
      <c r="AW185" s="3815"/>
      <c r="AX185" s="3815"/>
      <c r="AY185" s="3815"/>
      <c r="AZ185" s="3815"/>
      <c r="BA185" s="3815"/>
      <c r="BB185" s="3815"/>
      <c r="BC185" s="3815"/>
      <c r="BD185" s="3815"/>
      <c r="BE185" s="3815"/>
      <c r="BF185" s="3815"/>
      <c r="BG185" s="3816"/>
    </row>
    <row r="186" s="3570" customFormat="1" ht="50" customHeight="1" spans="1:59">
      <c r="A186" s="3807">
        <v>46128</v>
      </c>
      <c r="B186" s="3808" t="s">
        <v>8844</v>
      </c>
      <c r="C186" s="3809" t="s">
        <v>6781</v>
      </c>
      <c r="D186" s="3817" t="s">
        <v>8845</v>
      </c>
      <c r="E186" s="3735" t="s">
        <v>8846</v>
      </c>
      <c r="F186" s="3817" t="s">
        <v>8847</v>
      </c>
      <c r="G186" s="3735" t="s">
        <v>8477</v>
      </c>
      <c r="H186" s="3736" t="s">
        <v>8291</v>
      </c>
      <c r="I186" s="3736">
        <v>600</v>
      </c>
      <c r="J186" s="3736">
        <v>0</v>
      </c>
      <c r="K186" s="3736">
        <v>4</v>
      </c>
      <c r="L186" s="3736">
        <f t="shared" si="49"/>
        <v>150</v>
      </c>
      <c r="M186" s="3737">
        <v>46174</v>
      </c>
      <c r="N186" s="3737">
        <v>46170</v>
      </c>
      <c r="O186" s="905"/>
      <c r="P186" s="3636" t="s">
        <v>82</v>
      </c>
      <c r="Q186" s="3625" t="s">
        <v>3660</v>
      </c>
      <c r="R186" s="3739" t="s">
        <v>1196</v>
      </c>
      <c r="S186" s="3739"/>
      <c r="T186" s="3739" t="s">
        <v>3726</v>
      </c>
      <c r="U186" s="3739"/>
      <c r="V186" s="3740"/>
      <c r="W186" s="3625" t="s">
        <v>8848</v>
      </c>
      <c r="X186" s="2979" t="s">
        <v>4665</v>
      </c>
      <c r="Y186" s="3818">
        <v>9.8117</v>
      </c>
      <c r="Z186" s="3736">
        <f t="shared" si="69"/>
        <v>5887.02</v>
      </c>
      <c r="AA186" s="3742"/>
      <c r="AB186" s="3735" t="s">
        <v>8479</v>
      </c>
      <c r="AC186" s="3625" t="s">
        <v>416</v>
      </c>
      <c r="AD186" s="3743"/>
      <c r="AE186" s="3744"/>
      <c r="AF186" s="3819"/>
      <c r="AG186" s="3736"/>
      <c r="AH186" s="3747">
        <f>I186</f>
        <v>600</v>
      </c>
      <c r="AI186" s="3750"/>
      <c r="AJ186" s="3736">
        <f t="shared" si="63"/>
        <v>600</v>
      </c>
      <c r="AK186" s="3748"/>
      <c r="AL186" s="3748"/>
      <c r="AM186" s="3750">
        <f>I186</f>
        <v>600</v>
      </c>
      <c r="AN186" s="3750"/>
      <c r="AO186" s="3748"/>
      <c r="AP186" s="3748"/>
      <c r="AQ186" s="3753" t="s">
        <v>89</v>
      </c>
      <c r="AR186" s="3753">
        <f t="shared" si="65"/>
        <v>200</v>
      </c>
      <c r="AS186" s="3753">
        <f t="shared" si="66"/>
        <v>200</v>
      </c>
      <c r="AT186" s="3753">
        <f t="shared" si="67"/>
        <v>200</v>
      </c>
      <c r="AU186" s="3813">
        <f t="shared" si="55"/>
        <v>600</v>
      </c>
      <c r="AV186" s="3814">
        <f t="shared" si="68"/>
        <v>0</v>
      </c>
      <c r="AW186" s="3815"/>
      <c r="AX186" s="3815"/>
      <c r="AY186" s="3815"/>
      <c r="AZ186" s="3815"/>
      <c r="BA186" s="3815"/>
      <c r="BB186" s="3815"/>
      <c r="BC186" s="3815"/>
      <c r="BD186" s="3815"/>
      <c r="BE186" s="3815"/>
      <c r="BF186" s="3815"/>
      <c r="BG186" s="3816"/>
    </row>
    <row r="187" s="3567" customFormat="1" ht="50" customHeight="1" spans="1:59">
      <c r="A187" s="3703">
        <v>46140</v>
      </c>
      <c r="B187" s="3766" t="s">
        <v>7822</v>
      </c>
      <c r="C187" s="3700" t="s">
        <v>6225</v>
      </c>
      <c r="D187" s="3699" t="s">
        <v>8849</v>
      </c>
      <c r="E187" s="3699">
        <v>166370</v>
      </c>
      <c r="F187" s="3700" t="s">
        <v>8850</v>
      </c>
      <c r="G187" s="3700" t="s">
        <v>8477</v>
      </c>
      <c r="H187" s="3699" t="s">
        <v>8291</v>
      </c>
      <c r="I187" s="3699">
        <v>500</v>
      </c>
      <c r="J187" s="3699">
        <v>0</v>
      </c>
      <c r="K187" s="3699">
        <v>4</v>
      </c>
      <c r="L187" s="3699">
        <f t="shared" si="49"/>
        <v>125</v>
      </c>
      <c r="M187" s="3707">
        <v>46183</v>
      </c>
      <c r="N187" s="3707">
        <v>46179</v>
      </c>
      <c r="O187" s="3699"/>
      <c r="P187" s="3636" t="s">
        <v>82</v>
      </c>
      <c r="Q187" s="3680" t="s">
        <v>3702</v>
      </c>
      <c r="R187" s="3709" t="s">
        <v>3815</v>
      </c>
      <c r="S187" s="3699"/>
      <c r="T187" s="3709" t="s">
        <v>8851</v>
      </c>
      <c r="U187" s="3709"/>
      <c r="V187" s="3699"/>
      <c r="W187" s="3680" t="s">
        <v>8852</v>
      </c>
      <c r="X187" s="3769" t="s">
        <v>6785</v>
      </c>
      <c r="Y187" s="3770">
        <v>10.3324</v>
      </c>
      <c r="Z187" s="3699">
        <f t="shared" si="69"/>
        <v>5166.2</v>
      </c>
      <c r="AA187" s="3680"/>
      <c r="AB187" s="3700" t="s">
        <v>8479</v>
      </c>
      <c r="AC187" s="3680" t="s">
        <v>416</v>
      </c>
      <c r="AD187" s="3680"/>
      <c r="AE187" s="3680"/>
      <c r="AF187" s="3680"/>
      <c r="AG187" s="3801"/>
      <c r="AH187" s="3719">
        <f>I187</f>
        <v>500</v>
      </c>
      <c r="AI187" s="3801"/>
      <c r="AJ187" s="3699">
        <f t="shared" si="63"/>
        <v>500</v>
      </c>
      <c r="AK187" s="3718"/>
      <c r="AL187" s="3718"/>
      <c r="AM187" s="3759">
        <f>I187</f>
        <v>500</v>
      </c>
      <c r="AN187" s="3718"/>
      <c r="AO187" s="3718"/>
      <c r="AP187" s="3718"/>
      <c r="AQ187" s="3723" t="s">
        <v>89</v>
      </c>
      <c r="AR187" s="3762">
        <f t="shared" si="65"/>
        <v>166.666666666667</v>
      </c>
      <c r="AS187" s="3762">
        <f t="shared" si="66"/>
        <v>166.666666666667</v>
      </c>
      <c r="AT187" s="3762">
        <f t="shared" si="67"/>
        <v>166.666666666667</v>
      </c>
      <c r="AU187" s="3772">
        <f t="shared" si="55"/>
        <v>500</v>
      </c>
      <c r="AV187" s="3806">
        <f t="shared" si="68"/>
        <v>0</v>
      </c>
      <c r="AW187" s="3774"/>
      <c r="AX187" s="3774"/>
      <c r="AY187" s="3774"/>
      <c r="AZ187" s="3774"/>
      <c r="BA187" s="3774"/>
      <c r="BB187" s="3774"/>
      <c r="BC187" s="3774"/>
      <c r="BD187" s="3774"/>
      <c r="BE187" s="3774"/>
      <c r="BF187" s="3774"/>
    </row>
    <row r="188" s="3567" customFormat="1" ht="50" customHeight="1" spans="1:59">
      <c r="A188" s="3703">
        <v>46134</v>
      </c>
      <c r="B188" s="3766" t="s">
        <v>8853</v>
      </c>
      <c r="C188" s="3700" t="s">
        <v>858</v>
      </c>
      <c r="D188" s="3699" t="s">
        <v>8854</v>
      </c>
      <c r="E188" s="3699" t="s">
        <v>2434</v>
      </c>
      <c r="F188" s="3700" t="s">
        <v>8855</v>
      </c>
      <c r="G188" s="3700" t="s">
        <v>8290</v>
      </c>
      <c r="H188" s="3699" t="s">
        <v>8291</v>
      </c>
      <c r="I188" s="3699">
        <v>120</v>
      </c>
      <c r="J188" s="3699">
        <v>0</v>
      </c>
      <c r="K188" s="3699">
        <v>4</v>
      </c>
      <c r="L188" s="3699">
        <f t="shared" si="49"/>
        <v>30</v>
      </c>
      <c r="M188" s="3707">
        <v>46188</v>
      </c>
      <c r="N188" s="3707">
        <v>46184</v>
      </c>
      <c r="O188" s="3699"/>
      <c r="P188" s="3636" t="s">
        <v>82</v>
      </c>
      <c r="Q188" s="3680" t="s">
        <v>3739</v>
      </c>
      <c r="R188" s="3709" t="s">
        <v>1249</v>
      </c>
      <c r="S188" s="3699"/>
      <c r="T188" s="3709" t="s">
        <v>8856</v>
      </c>
      <c r="U188" s="3768"/>
      <c r="V188" s="3699"/>
      <c r="W188" s="3680" t="s">
        <v>8857</v>
      </c>
      <c r="X188" s="3769" t="s">
        <v>1199</v>
      </c>
      <c r="Y188" s="3770">
        <v>9.8598</v>
      </c>
      <c r="Z188" s="3699">
        <f t="shared" si="69"/>
        <v>1183.176</v>
      </c>
      <c r="AA188" s="3680"/>
      <c r="AB188" s="3699" t="s">
        <v>8290</v>
      </c>
      <c r="AC188" s="3680" t="s">
        <v>416</v>
      </c>
      <c r="AD188" s="3801"/>
      <c r="AE188" s="3801"/>
      <c r="AF188" s="3801"/>
      <c r="AG188" s="3802">
        <f t="shared" ref="AG188:AG193" si="70">I188</f>
        <v>120</v>
      </c>
      <c r="AH188" s="3718"/>
      <c r="AI188" s="3718"/>
      <c r="AJ188" s="3718">
        <f t="shared" si="63"/>
        <v>120</v>
      </c>
      <c r="AK188" s="3718"/>
      <c r="AL188" s="3718">
        <f t="shared" ref="AL188:AL193" si="71">I188</f>
        <v>120</v>
      </c>
      <c r="AM188" s="3718"/>
      <c r="AN188" s="3718"/>
      <c r="AO188" s="3762"/>
      <c r="AP188" s="3762"/>
      <c r="AQ188" s="3762" t="s">
        <v>89</v>
      </c>
      <c r="AR188" s="3724">
        <f t="shared" si="65"/>
        <v>40</v>
      </c>
      <c r="AS188" s="3723">
        <f t="shared" si="66"/>
        <v>40</v>
      </c>
      <c r="AT188" s="3724">
        <f t="shared" si="67"/>
        <v>40</v>
      </c>
      <c r="AU188" s="3800">
        <f t="shared" si="55"/>
        <v>120</v>
      </c>
      <c r="AV188" s="3773">
        <f t="shared" si="68"/>
        <v>0</v>
      </c>
      <c r="AW188" s="3774"/>
      <c r="AX188" s="3774"/>
      <c r="AY188" s="3774"/>
      <c r="AZ188" s="3774"/>
      <c r="BA188" s="3774"/>
      <c r="BB188" s="3774"/>
      <c r="BC188" s="3774"/>
      <c r="BD188" s="3774"/>
      <c r="BE188" s="3774"/>
      <c r="BF188" s="3774"/>
    </row>
    <row r="189" s="3570" customFormat="1" ht="50" customHeight="1" spans="1:59">
      <c r="A189" s="3807">
        <v>46097</v>
      </c>
      <c r="B189" s="3808" t="s">
        <v>8834</v>
      </c>
      <c r="C189" s="3809" t="s">
        <v>91</v>
      </c>
      <c r="D189" s="3817">
        <v>4500197047</v>
      </c>
      <c r="E189" s="3735">
        <v>117383407</v>
      </c>
      <c r="F189" s="3817" t="s">
        <v>8858</v>
      </c>
      <c r="G189" s="3735" t="s">
        <v>8836</v>
      </c>
      <c r="H189" s="3736" t="s">
        <v>8291</v>
      </c>
      <c r="I189" s="3736">
        <v>1852</v>
      </c>
      <c r="J189" s="3736">
        <v>0</v>
      </c>
      <c r="K189" s="3736">
        <v>4</v>
      </c>
      <c r="L189" s="3736">
        <f t="shared" si="49"/>
        <v>463</v>
      </c>
      <c r="M189" s="3737">
        <v>46204</v>
      </c>
      <c r="N189" s="3737">
        <v>46200</v>
      </c>
      <c r="O189" s="905"/>
      <c r="P189" s="3636" t="s">
        <v>82</v>
      </c>
      <c r="Q189" s="3625"/>
      <c r="R189" s="3739" t="s">
        <v>8838</v>
      </c>
      <c r="S189" s="3739"/>
      <c r="T189" s="3739" t="s">
        <v>98</v>
      </c>
      <c r="U189" s="3739"/>
      <c r="V189" s="3740"/>
      <c r="W189" s="3820" t="s">
        <v>8842</v>
      </c>
      <c r="X189" s="2979" t="s">
        <v>8840</v>
      </c>
      <c r="Y189" s="3818">
        <v>6.217</v>
      </c>
      <c r="Z189" s="3736">
        <f t="shared" si="69"/>
        <v>11513.884</v>
      </c>
      <c r="AA189" s="3742"/>
      <c r="AB189" s="3735" t="s">
        <v>8836</v>
      </c>
      <c r="AC189" s="3625" t="s">
        <v>416</v>
      </c>
      <c r="AD189" s="3743"/>
      <c r="AE189" s="3744"/>
      <c r="AF189" s="3819"/>
      <c r="AG189" s="3736">
        <f t="shared" si="70"/>
        <v>1852</v>
      </c>
      <c r="AH189" s="3747"/>
      <c r="AI189" s="3750"/>
      <c r="AJ189" s="3736">
        <f t="shared" si="63"/>
        <v>1852</v>
      </c>
      <c r="AK189" s="3748"/>
      <c r="AL189" s="3748">
        <f t="shared" si="71"/>
        <v>1852</v>
      </c>
      <c r="AM189" s="3750"/>
      <c r="AN189" s="3750">
        <f>I189/4</f>
        <v>463</v>
      </c>
      <c r="AO189" s="3748"/>
      <c r="AP189" s="3748"/>
      <c r="AQ189" s="3753" t="s">
        <v>89</v>
      </c>
      <c r="AR189" s="3753">
        <f t="shared" si="65"/>
        <v>617.333333333333</v>
      </c>
      <c r="AS189" s="3753">
        <f t="shared" si="66"/>
        <v>617.333333333333</v>
      </c>
      <c r="AT189" s="3753">
        <f t="shared" si="67"/>
        <v>617.333333333333</v>
      </c>
      <c r="AU189" s="3813">
        <f t="shared" si="55"/>
        <v>1852</v>
      </c>
      <c r="AV189" s="3814">
        <f t="shared" si="68"/>
        <v>0</v>
      </c>
      <c r="AW189" s="3815"/>
      <c r="AX189" s="3815"/>
      <c r="AY189" s="3815"/>
      <c r="AZ189" s="3815"/>
      <c r="BA189" s="3815"/>
      <c r="BB189" s="3815"/>
      <c r="BC189" s="3815"/>
      <c r="BD189" s="3815"/>
      <c r="BE189" s="3815"/>
      <c r="BF189" s="3815"/>
      <c r="BG189" s="3816"/>
    </row>
    <row r="190" s="3568" customFormat="1" ht="50" customHeight="1" spans="1:59">
      <c r="A190" s="3731">
        <v>46105</v>
      </c>
      <c r="B190" s="3821" t="s">
        <v>2285</v>
      </c>
      <c r="C190" s="3735" t="s">
        <v>2580</v>
      </c>
      <c r="D190" s="3736">
        <v>4500198108</v>
      </c>
      <c r="E190" s="3736" t="s">
        <v>8859</v>
      </c>
      <c r="F190" s="3735" t="s">
        <v>8860</v>
      </c>
      <c r="G190" s="3735" t="s">
        <v>8290</v>
      </c>
      <c r="H190" s="3736" t="s">
        <v>8291</v>
      </c>
      <c r="I190" s="3736">
        <v>360</v>
      </c>
      <c r="J190" s="3736">
        <v>0</v>
      </c>
      <c r="K190" s="3736">
        <v>4</v>
      </c>
      <c r="L190" s="3736">
        <f t="shared" si="49"/>
        <v>90</v>
      </c>
      <c r="M190" s="3737">
        <v>46216</v>
      </c>
      <c r="N190" s="3822">
        <f>M190-4</f>
        <v>46212</v>
      </c>
      <c r="O190" s="3736"/>
      <c r="P190" s="3636" t="s">
        <v>82</v>
      </c>
      <c r="Q190" s="3625" t="s">
        <v>7104</v>
      </c>
      <c r="R190" s="3738" t="s">
        <v>3675</v>
      </c>
      <c r="S190" s="3736"/>
      <c r="T190" s="3738" t="s">
        <v>8861</v>
      </c>
      <c r="U190" s="3738" t="s">
        <v>8862</v>
      </c>
      <c r="V190" s="3736"/>
      <c r="W190" s="3741" t="s">
        <v>8863</v>
      </c>
      <c r="X190" s="3823" t="s">
        <v>1199</v>
      </c>
      <c r="Y190" s="3818">
        <v>9.8598</v>
      </c>
      <c r="Z190" s="3736">
        <f t="shared" si="69"/>
        <v>3549.528</v>
      </c>
      <c r="AA190" s="3625"/>
      <c r="AB190" s="3823" t="s">
        <v>8290</v>
      </c>
      <c r="AC190" s="3625" t="s">
        <v>416</v>
      </c>
      <c r="AD190" s="3625"/>
      <c r="AE190" s="3625"/>
      <c r="AF190" s="3625"/>
      <c r="AG190" s="3824">
        <f t="shared" si="70"/>
        <v>360</v>
      </c>
      <c r="AH190" s="3824"/>
      <c r="AI190" s="3824"/>
      <c r="AJ190" s="3825">
        <f t="shared" si="63"/>
        <v>360</v>
      </c>
      <c r="AK190" s="3746"/>
      <c r="AL190" s="3746">
        <f t="shared" si="71"/>
        <v>360</v>
      </c>
      <c r="AM190" s="3746"/>
      <c r="AN190" s="3746"/>
      <c r="AO190" s="3746"/>
      <c r="AP190" s="3746"/>
      <c r="AQ190" s="3746" t="s">
        <v>89</v>
      </c>
      <c r="AR190" s="3826">
        <f>I190/1*AR1</f>
        <v>108</v>
      </c>
      <c r="AS190" s="3826">
        <f>I190/1*AS1</f>
        <v>90</v>
      </c>
      <c r="AT190" s="3826">
        <f>I190/1*AT1</f>
        <v>162</v>
      </c>
      <c r="AU190" s="3827">
        <f t="shared" si="55"/>
        <v>360</v>
      </c>
      <c r="AV190" s="3828">
        <f t="shared" si="68"/>
        <v>0</v>
      </c>
      <c r="AW190" s="3815"/>
      <c r="AX190" s="3815"/>
      <c r="AY190" s="3815"/>
      <c r="AZ190" s="3815"/>
      <c r="BA190" s="3815"/>
      <c r="BB190" s="3815"/>
      <c r="BC190" s="3815"/>
      <c r="BD190" s="3815"/>
      <c r="BE190" s="3815"/>
      <c r="BF190" s="3815"/>
    </row>
    <row r="191" s="3568" customFormat="1" ht="50" customHeight="1" spans="1:59">
      <c r="A191" s="3731">
        <v>46105</v>
      </c>
      <c r="B191" s="3821" t="s">
        <v>2285</v>
      </c>
      <c r="C191" s="3821" t="s">
        <v>2580</v>
      </c>
      <c r="D191" s="3823">
        <v>4500198128</v>
      </c>
      <c r="E191" s="3823" t="s">
        <v>8864</v>
      </c>
      <c r="F191" s="3821" t="s">
        <v>8865</v>
      </c>
      <c r="G191" s="3821" t="s">
        <v>8290</v>
      </c>
      <c r="H191" s="3823" t="s">
        <v>8291</v>
      </c>
      <c r="I191" s="3823">
        <v>140</v>
      </c>
      <c r="J191" s="3823">
        <v>0</v>
      </c>
      <c r="K191" s="3823">
        <v>4</v>
      </c>
      <c r="L191" s="3823">
        <f t="shared" si="49"/>
        <v>35</v>
      </c>
      <c r="M191" s="3829">
        <v>46216</v>
      </c>
      <c r="N191" s="3830">
        <f>M191-4</f>
        <v>46212</v>
      </c>
      <c r="O191" s="3831"/>
      <c r="P191" s="3636" t="s">
        <v>82</v>
      </c>
      <c r="Q191" s="3832" t="s">
        <v>8866</v>
      </c>
      <c r="R191" s="3833" t="s">
        <v>3675</v>
      </c>
      <c r="S191" s="3823"/>
      <c r="T191" s="3833" t="s">
        <v>8861</v>
      </c>
      <c r="U191" s="3833" t="s">
        <v>8862</v>
      </c>
      <c r="V191" s="3823"/>
      <c r="W191" s="3832" t="s">
        <v>8867</v>
      </c>
      <c r="X191" s="3823" t="s">
        <v>1199</v>
      </c>
      <c r="Y191" s="3834">
        <v>10.382</v>
      </c>
      <c r="Z191" s="3823">
        <f t="shared" si="69"/>
        <v>1453.48</v>
      </c>
      <c r="AA191" s="3835"/>
      <c r="AB191" s="3836" t="s">
        <v>8290</v>
      </c>
      <c r="AC191" s="3837" t="s">
        <v>416</v>
      </c>
      <c r="AD191" s="3832"/>
      <c r="AE191" s="3832"/>
      <c r="AF191" s="3832"/>
      <c r="AG191" s="3821">
        <f t="shared" si="70"/>
        <v>140</v>
      </c>
      <c r="AH191" s="3821"/>
      <c r="AI191" s="3821"/>
      <c r="AJ191" s="3823">
        <f t="shared" si="63"/>
        <v>140</v>
      </c>
      <c r="AK191" s="3838"/>
      <c r="AL191" s="3838">
        <f t="shared" si="71"/>
        <v>140</v>
      </c>
      <c r="AM191" s="3838"/>
      <c r="AN191" s="3838"/>
      <c r="AO191" s="3838"/>
      <c r="AP191" s="3838"/>
      <c r="AQ191" s="3838" t="s">
        <v>89</v>
      </c>
      <c r="AR191" s="3826">
        <f>I191/1*AR1</f>
        <v>42</v>
      </c>
      <c r="AS191" s="3826">
        <f>I191/1*AS1</f>
        <v>35</v>
      </c>
      <c r="AT191" s="3826">
        <f>I191/1*AT1</f>
        <v>63</v>
      </c>
      <c r="AU191" s="3839">
        <f t="shared" si="55"/>
        <v>140</v>
      </c>
      <c r="AV191" s="3828">
        <f t="shared" si="68"/>
        <v>0</v>
      </c>
      <c r="AW191" s="3815"/>
      <c r="AX191" s="3815"/>
      <c r="AY191" s="3815"/>
      <c r="AZ191" s="3815"/>
      <c r="BA191" s="3815"/>
      <c r="BB191" s="3815"/>
      <c r="BC191" s="3815"/>
      <c r="BD191" s="3815"/>
      <c r="BE191" s="3815"/>
      <c r="BF191" s="3815"/>
    </row>
    <row r="192" s="3568" customFormat="1" ht="50" customHeight="1" spans="1:59">
      <c r="A192" s="3840">
        <v>46105</v>
      </c>
      <c r="B192" s="3841" t="s">
        <v>2285</v>
      </c>
      <c r="C192" s="3841" t="s">
        <v>2580</v>
      </c>
      <c r="D192" s="3842">
        <v>4500198067</v>
      </c>
      <c r="E192" s="3842" t="s">
        <v>8859</v>
      </c>
      <c r="F192" s="3841" t="s">
        <v>8868</v>
      </c>
      <c r="G192" s="3841" t="s">
        <v>8290</v>
      </c>
      <c r="H192" s="3842" t="s">
        <v>8291</v>
      </c>
      <c r="I192" s="3842">
        <v>1440</v>
      </c>
      <c r="J192" s="3842">
        <v>0</v>
      </c>
      <c r="K192" s="3842">
        <v>4</v>
      </c>
      <c r="L192" s="3842">
        <f t="shared" si="49"/>
        <v>360</v>
      </c>
      <c r="M192" s="3843">
        <v>46203</v>
      </c>
      <c r="N192" s="3844">
        <f>M192-4</f>
        <v>46199</v>
      </c>
      <c r="O192" s="3842"/>
      <c r="P192" s="3636" t="s">
        <v>82</v>
      </c>
      <c r="Q192" s="3845" t="s">
        <v>7104</v>
      </c>
      <c r="R192" s="3842" t="s">
        <v>3675</v>
      </c>
      <c r="S192" s="3842"/>
      <c r="T192" s="3846" t="s">
        <v>8869</v>
      </c>
      <c r="U192" s="3847" t="s">
        <v>8862</v>
      </c>
      <c r="V192" s="3842"/>
      <c r="W192" s="3848" t="s">
        <v>8870</v>
      </c>
      <c r="X192" s="3836" t="s">
        <v>8871</v>
      </c>
      <c r="Y192" s="3849">
        <v>10.3616</v>
      </c>
      <c r="Z192" s="3836">
        <f t="shared" si="69"/>
        <v>14920.704</v>
      </c>
      <c r="AA192" s="3850"/>
      <c r="AB192" s="3836" t="s">
        <v>8290</v>
      </c>
      <c r="AC192" s="3850" t="s">
        <v>416</v>
      </c>
      <c r="AD192" s="3850"/>
      <c r="AE192" s="3850"/>
      <c r="AF192" s="3850"/>
      <c r="AG192" s="3851">
        <f t="shared" si="70"/>
        <v>1440</v>
      </c>
      <c r="AH192" s="3851"/>
      <c r="AI192" s="3851"/>
      <c r="AJ192" s="3836">
        <f t="shared" si="63"/>
        <v>1440</v>
      </c>
      <c r="AK192" s="3852"/>
      <c r="AL192" s="3852">
        <f t="shared" si="71"/>
        <v>1440</v>
      </c>
      <c r="AM192" s="3852"/>
      <c r="AN192" s="3852"/>
      <c r="AO192" s="3852"/>
      <c r="AP192" s="3852"/>
      <c r="AQ192" s="3852" t="s">
        <v>89</v>
      </c>
      <c r="AR192" s="3828">
        <f t="shared" ref="AR192:AR197" si="72">I192/3</f>
        <v>480</v>
      </c>
      <c r="AS192" s="3828">
        <f t="shared" ref="AS192:AS197" si="73">I192/3</f>
        <v>480</v>
      </c>
      <c r="AT192" s="3828">
        <f t="shared" ref="AT192:AT197" si="74">I192/3</f>
        <v>480</v>
      </c>
      <c r="AU192" s="3853">
        <f t="shared" si="55"/>
        <v>1440</v>
      </c>
      <c r="AV192" s="3814">
        <f t="shared" si="68"/>
        <v>0</v>
      </c>
      <c r="AW192" s="3815"/>
      <c r="AX192" s="3815"/>
      <c r="AY192" s="3815"/>
      <c r="AZ192" s="3815"/>
      <c r="BA192" s="3815"/>
      <c r="BB192" s="3815"/>
      <c r="BC192" s="3815"/>
      <c r="BD192" s="3815"/>
      <c r="BE192" s="3815"/>
      <c r="BF192" s="3815"/>
    </row>
    <row r="193" s="3568" customFormat="1" ht="50" customHeight="1" spans="1:59 16379:16384">
      <c r="A193" s="3854">
        <v>46105</v>
      </c>
      <c r="B193" s="3851" t="s">
        <v>2285</v>
      </c>
      <c r="C193" s="3851" t="s">
        <v>2580</v>
      </c>
      <c r="D193" s="3836">
        <v>4500198079</v>
      </c>
      <c r="E193" s="3836" t="s">
        <v>8864</v>
      </c>
      <c r="F193" s="3851" t="s">
        <v>8872</v>
      </c>
      <c r="G193" s="3851" t="s">
        <v>8290</v>
      </c>
      <c r="H193" s="3836" t="s">
        <v>8291</v>
      </c>
      <c r="I193" s="3836">
        <v>560</v>
      </c>
      <c r="J193" s="3836">
        <v>0</v>
      </c>
      <c r="K193" s="3836">
        <v>4</v>
      </c>
      <c r="L193" s="3836">
        <f t="shared" si="49"/>
        <v>140</v>
      </c>
      <c r="M193" s="3830">
        <v>46203</v>
      </c>
      <c r="N193" s="3830">
        <f>M193-4</f>
        <v>46199</v>
      </c>
      <c r="O193" s="3836"/>
      <c r="P193" s="3636" t="s">
        <v>82</v>
      </c>
      <c r="Q193" s="3850" t="s">
        <v>4083</v>
      </c>
      <c r="R193" s="3836" t="s">
        <v>3675</v>
      </c>
      <c r="S193" s="3836"/>
      <c r="T193" s="3855" t="s">
        <v>8861</v>
      </c>
      <c r="U193" s="3855" t="s">
        <v>8862</v>
      </c>
      <c r="V193" s="3836"/>
      <c r="W193" s="3856" t="s">
        <v>8873</v>
      </c>
      <c r="X193" s="3857" t="s">
        <v>8871</v>
      </c>
      <c r="Y193" s="3858">
        <v>10.3616</v>
      </c>
      <c r="Z193" s="3825">
        <f t="shared" si="69"/>
        <v>5802.496</v>
      </c>
      <c r="AA193" s="3654"/>
      <c r="AB193" s="3825" t="s">
        <v>8290</v>
      </c>
      <c r="AC193" s="3654" t="s">
        <v>416</v>
      </c>
      <c r="AD193" s="3654"/>
      <c r="AE193" s="3654"/>
      <c r="AF193" s="3654"/>
      <c r="AG193" s="3824">
        <f t="shared" si="70"/>
        <v>560</v>
      </c>
      <c r="AH193" s="3824"/>
      <c r="AI193" s="3824"/>
      <c r="AJ193" s="3825">
        <f t="shared" si="63"/>
        <v>560</v>
      </c>
      <c r="AK193" s="3746"/>
      <c r="AL193" s="3746">
        <f t="shared" si="71"/>
        <v>560</v>
      </c>
      <c r="AM193" s="3746"/>
      <c r="AN193" s="3746"/>
      <c r="AO193" s="3746"/>
      <c r="AP193" s="3746"/>
      <c r="AQ193" s="3746" t="s">
        <v>89</v>
      </c>
      <c r="AR193" s="3859">
        <f t="shared" si="72"/>
        <v>186.666666666667</v>
      </c>
      <c r="AS193" s="3859">
        <f t="shared" si="73"/>
        <v>186.666666666667</v>
      </c>
      <c r="AT193" s="3859">
        <f t="shared" si="74"/>
        <v>186.666666666667</v>
      </c>
      <c r="AU193" s="3827">
        <f t="shared" si="55"/>
        <v>560</v>
      </c>
      <c r="AV193" s="3814">
        <f t="shared" si="68"/>
        <v>0</v>
      </c>
      <c r="AW193" s="3815"/>
      <c r="AX193" s="3815"/>
      <c r="AY193" s="3815"/>
      <c r="AZ193" s="3815"/>
      <c r="BA193" s="3815"/>
      <c r="BB193" s="3815"/>
      <c r="BC193" s="3815"/>
      <c r="BD193" s="3815"/>
      <c r="BE193" s="3815"/>
      <c r="BF193" s="3815"/>
    </row>
    <row r="194" s="3570" customFormat="1" ht="50" customHeight="1" spans="1:59 16379:16384">
      <c r="A194" s="3807">
        <v>46142</v>
      </c>
      <c r="B194" s="3808" t="s">
        <v>7332</v>
      </c>
      <c r="C194" s="3809" t="s">
        <v>1624</v>
      </c>
      <c r="D194" s="3817" t="s">
        <v>8874</v>
      </c>
      <c r="E194" s="3735" t="s">
        <v>8875</v>
      </c>
      <c r="F194" s="3817" t="s">
        <v>8876</v>
      </c>
      <c r="G194" s="3735" t="s">
        <v>8477</v>
      </c>
      <c r="H194" s="3736" t="s">
        <v>8291</v>
      </c>
      <c r="I194" s="3736">
        <v>1000</v>
      </c>
      <c r="J194" s="3736">
        <v>0</v>
      </c>
      <c r="K194" s="3736">
        <v>4</v>
      </c>
      <c r="L194" s="3736">
        <f t="shared" si="49"/>
        <v>250</v>
      </c>
      <c r="M194" s="3737">
        <v>46196</v>
      </c>
      <c r="N194" s="3737">
        <v>46192</v>
      </c>
      <c r="O194" s="905"/>
      <c r="P194" s="3636" t="s">
        <v>82</v>
      </c>
      <c r="Q194" s="3625" t="s">
        <v>203</v>
      </c>
      <c r="R194" s="3739" t="s">
        <v>229</v>
      </c>
      <c r="S194" s="3739"/>
      <c r="T194" s="3739" t="s">
        <v>8877</v>
      </c>
      <c r="U194" s="3739"/>
      <c r="V194" s="3740"/>
      <c r="W194" s="3625" t="s">
        <v>8878</v>
      </c>
      <c r="X194" s="2979" t="s">
        <v>6785</v>
      </c>
      <c r="Y194" s="3818">
        <v>10.3324</v>
      </c>
      <c r="Z194" s="3736">
        <f t="shared" si="69"/>
        <v>10332.4</v>
      </c>
      <c r="AA194" s="3742"/>
      <c r="AB194" s="3735" t="s">
        <v>8479</v>
      </c>
      <c r="AC194" s="3625" t="s">
        <v>416</v>
      </c>
      <c r="AD194" s="3743"/>
      <c r="AE194" s="3860"/>
      <c r="AF194" s="3812"/>
      <c r="AG194" s="3736"/>
      <c r="AH194" s="3748">
        <f>I194</f>
        <v>1000</v>
      </c>
      <c r="AI194" s="3748"/>
      <c r="AJ194" s="3750">
        <f t="shared" si="63"/>
        <v>1000</v>
      </c>
      <c r="AK194" s="3750"/>
      <c r="AL194" s="3748"/>
      <c r="AM194" s="3748">
        <f>I194</f>
        <v>1000</v>
      </c>
      <c r="AN194" s="3753"/>
      <c r="AO194" s="3753"/>
      <c r="AP194" s="3753"/>
      <c r="AQ194" s="3753" t="s">
        <v>89</v>
      </c>
      <c r="AR194" s="3753">
        <f t="shared" si="72"/>
        <v>333.333333333333</v>
      </c>
      <c r="AS194" s="3753">
        <f t="shared" si="73"/>
        <v>333.333333333333</v>
      </c>
      <c r="AT194" s="3753">
        <f t="shared" si="74"/>
        <v>333.333333333333</v>
      </c>
      <c r="AU194" s="3861">
        <f t="shared" si="55"/>
        <v>1000</v>
      </c>
      <c r="AV194" s="3828">
        <f t="shared" si="68"/>
        <v>0</v>
      </c>
      <c r="AW194" s="3815"/>
      <c r="AX194" s="3815"/>
      <c r="AY194" s="3815"/>
      <c r="AZ194" s="3815"/>
      <c r="BA194" s="3815"/>
      <c r="BB194" s="3815"/>
      <c r="BC194" s="3815"/>
      <c r="BD194" s="3815"/>
      <c r="BE194" s="3815"/>
      <c r="BF194" s="3815"/>
      <c r="BG194" s="3816"/>
      <c r="XFB194" s="3807"/>
      <c r="XFC194" s="3808"/>
      <c r="XFD194" s="3809"/>
    </row>
    <row r="195" s="3571" customFormat="1" ht="50" customHeight="1" spans="1:59 16379:16384">
      <c r="A195" s="3675">
        <v>46097</v>
      </c>
      <c r="B195" s="3862" t="s">
        <v>8834</v>
      </c>
      <c r="C195" s="3863" t="s">
        <v>91</v>
      </c>
      <c r="D195" s="3864">
        <v>4500197048</v>
      </c>
      <c r="E195" s="959">
        <v>117383408</v>
      </c>
      <c r="F195" s="3864" t="s">
        <v>8879</v>
      </c>
      <c r="G195" s="959" t="s">
        <v>8836</v>
      </c>
      <c r="H195" s="3618" t="s">
        <v>8291</v>
      </c>
      <c r="I195" s="3618">
        <v>1852</v>
      </c>
      <c r="J195" s="3618">
        <v>0</v>
      </c>
      <c r="K195" s="3618">
        <v>4</v>
      </c>
      <c r="L195" s="3618">
        <f t="shared" si="49"/>
        <v>463</v>
      </c>
      <c r="M195" s="3619">
        <v>46204</v>
      </c>
      <c r="N195" s="3619">
        <v>46200</v>
      </c>
      <c r="O195" s="3664"/>
      <c r="P195" s="3636" t="s">
        <v>82</v>
      </c>
      <c r="Q195" s="3620"/>
      <c r="R195" s="3657" t="s">
        <v>8838</v>
      </c>
      <c r="S195" s="3657"/>
      <c r="T195" s="3657" t="s">
        <v>98</v>
      </c>
      <c r="U195" s="3657"/>
      <c r="V195" s="3661"/>
      <c r="W195" s="3622" t="s">
        <v>8842</v>
      </c>
      <c r="X195" s="3639" t="s">
        <v>8840</v>
      </c>
      <c r="Y195" s="3865">
        <v>6.217</v>
      </c>
      <c r="Z195" s="3618">
        <f t="shared" si="69"/>
        <v>11513.884</v>
      </c>
      <c r="AA195" s="3633"/>
      <c r="AB195" s="959" t="s">
        <v>8836</v>
      </c>
      <c r="AC195" s="3620" t="s">
        <v>416</v>
      </c>
      <c r="AD195" s="3728"/>
      <c r="AE195" s="3729"/>
      <c r="AF195" s="3694"/>
      <c r="AG195" s="3618">
        <f>I195</f>
        <v>1852</v>
      </c>
      <c r="AH195" s="3668"/>
      <c r="AI195" s="3626"/>
      <c r="AJ195" s="3618">
        <f t="shared" si="63"/>
        <v>1852</v>
      </c>
      <c r="AK195" s="3627"/>
      <c r="AL195" s="3627">
        <f>I195</f>
        <v>1852</v>
      </c>
      <c r="AM195" s="3626"/>
      <c r="AN195" s="3626">
        <f>I195/4</f>
        <v>463</v>
      </c>
      <c r="AO195" s="3627"/>
      <c r="AP195" s="3627"/>
      <c r="AQ195" s="3687" t="s">
        <v>89</v>
      </c>
      <c r="AR195" s="3687">
        <f t="shared" si="72"/>
        <v>617.333333333333</v>
      </c>
      <c r="AS195" s="3687">
        <f t="shared" si="73"/>
        <v>617.333333333333</v>
      </c>
      <c r="AT195" s="3687">
        <f t="shared" si="74"/>
        <v>617.333333333333</v>
      </c>
      <c r="AU195" s="3866">
        <f t="shared" si="55"/>
        <v>1852</v>
      </c>
      <c r="AV195" s="3867">
        <f t="shared" si="68"/>
        <v>0</v>
      </c>
      <c r="AW195" s="3868"/>
      <c r="AX195" s="3868"/>
      <c r="AY195" s="3868"/>
      <c r="AZ195" s="3868"/>
      <c r="BA195" s="3868"/>
      <c r="BB195" s="3868"/>
      <c r="BC195" s="3868"/>
      <c r="BD195" s="3868"/>
      <c r="BE195" s="3868"/>
      <c r="BF195" s="3868"/>
      <c r="BG195" s="3869"/>
    </row>
    <row r="196" s="3571" customFormat="1" ht="50" customHeight="1" spans="1:59 16379:16384">
      <c r="A196" s="3675">
        <v>46097</v>
      </c>
      <c r="B196" s="3862" t="s">
        <v>8834</v>
      </c>
      <c r="C196" s="3863" t="s">
        <v>91</v>
      </c>
      <c r="D196" s="3864">
        <v>4500197049</v>
      </c>
      <c r="E196" s="959">
        <v>117383411</v>
      </c>
      <c r="F196" s="3864" t="s">
        <v>8880</v>
      </c>
      <c r="G196" s="959" t="s">
        <v>8836</v>
      </c>
      <c r="H196" s="3618" t="s">
        <v>8291</v>
      </c>
      <c r="I196" s="3618">
        <v>1852</v>
      </c>
      <c r="J196" s="3618">
        <v>0</v>
      </c>
      <c r="K196" s="3618">
        <v>4</v>
      </c>
      <c r="L196" s="3618">
        <f t="shared" si="49"/>
        <v>463</v>
      </c>
      <c r="M196" s="3619">
        <v>46225</v>
      </c>
      <c r="N196" s="3619">
        <v>46221</v>
      </c>
      <c r="O196" s="3664"/>
      <c r="P196" s="3636" t="s">
        <v>82</v>
      </c>
      <c r="Q196" s="3620"/>
      <c r="R196" s="3657" t="s">
        <v>8838</v>
      </c>
      <c r="S196" s="3657"/>
      <c r="T196" s="3657" t="s">
        <v>98</v>
      </c>
      <c r="U196" s="3657"/>
      <c r="V196" s="3661"/>
      <c r="W196" s="3622" t="s">
        <v>8842</v>
      </c>
      <c r="X196" s="3639" t="s">
        <v>8840</v>
      </c>
      <c r="Y196" s="3865">
        <v>6.217</v>
      </c>
      <c r="Z196" s="3618">
        <f t="shared" si="69"/>
        <v>11513.884</v>
      </c>
      <c r="AA196" s="3633"/>
      <c r="AB196" s="959" t="s">
        <v>8836</v>
      </c>
      <c r="AC196" s="3620" t="s">
        <v>416</v>
      </c>
      <c r="AD196" s="3728"/>
      <c r="AE196" s="3729"/>
      <c r="AF196" s="3694"/>
      <c r="AG196" s="3618">
        <f>I196</f>
        <v>1852</v>
      </c>
      <c r="AH196" s="3668"/>
      <c r="AI196" s="3626"/>
      <c r="AJ196" s="3618">
        <f t="shared" si="63"/>
        <v>1852</v>
      </c>
      <c r="AK196" s="3627"/>
      <c r="AL196" s="3627">
        <f>I196</f>
        <v>1852</v>
      </c>
      <c r="AM196" s="3626"/>
      <c r="AN196" s="3626">
        <f>I196/4</f>
        <v>463</v>
      </c>
      <c r="AO196" s="3627"/>
      <c r="AP196" s="3627"/>
      <c r="AQ196" s="3687" t="s">
        <v>89</v>
      </c>
      <c r="AR196" s="3687">
        <f t="shared" si="72"/>
        <v>617.333333333333</v>
      </c>
      <c r="AS196" s="3687">
        <f t="shared" si="73"/>
        <v>617.333333333333</v>
      </c>
      <c r="AT196" s="3687">
        <f t="shared" si="74"/>
        <v>617.333333333333</v>
      </c>
      <c r="AU196" s="3866">
        <f t="shared" si="55"/>
        <v>1852</v>
      </c>
      <c r="AV196" s="3867">
        <f t="shared" si="68"/>
        <v>0</v>
      </c>
      <c r="AW196" s="3868"/>
      <c r="AX196" s="3868"/>
      <c r="AY196" s="3868"/>
      <c r="AZ196" s="3868"/>
      <c r="BA196" s="3868"/>
      <c r="BB196" s="3868"/>
      <c r="BC196" s="3868"/>
      <c r="BD196" s="3868"/>
      <c r="BE196" s="3868"/>
      <c r="BF196" s="3868"/>
      <c r="BG196" s="3869"/>
    </row>
    <row r="197" s="3570" customFormat="1" ht="50" customHeight="1" spans="1:59 16379:16384">
      <c r="A197" s="3807">
        <v>46155</v>
      </c>
      <c r="B197" s="3808" t="s">
        <v>7822</v>
      </c>
      <c r="C197" s="3809" t="s">
        <v>6225</v>
      </c>
      <c r="D197" s="3817" t="s">
        <v>8881</v>
      </c>
      <c r="E197" s="3735" t="s">
        <v>8882</v>
      </c>
      <c r="F197" s="3817" t="s">
        <v>8883</v>
      </c>
      <c r="G197" s="3735" t="s">
        <v>8477</v>
      </c>
      <c r="H197" s="3736" t="s">
        <v>8291</v>
      </c>
      <c r="I197" s="3736">
        <v>512</v>
      </c>
      <c r="J197" s="3736">
        <v>0</v>
      </c>
      <c r="K197" s="3736">
        <v>4</v>
      </c>
      <c r="L197" s="3736">
        <f t="shared" si="49"/>
        <v>128</v>
      </c>
      <c r="M197" s="3737">
        <v>46209</v>
      </c>
      <c r="N197" s="3737">
        <v>46205</v>
      </c>
      <c r="O197" s="905"/>
      <c r="P197" s="3636" t="s">
        <v>82</v>
      </c>
      <c r="Q197" s="3625" t="s">
        <v>5929</v>
      </c>
      <c r="R197" s="3820" t="s">
        <v>8884</v>
      </c>
      <c r="S197" s="3739"/>
      <c r="T197" s="3739" t="s">
        <v>8885</v>
      </c>
      <c r="U197" s="3739"/>
      <c r="V197" s="3740"/>
      <c r="W197" s="3625" t="s">
        <v>8886</v>
      </c>
      <c r="X197" s="2979" t="s">
        <v>424</v>
      </c>
      <c r="Y197" s="3818">
        <v>10.3324</v>
      </c>
      <c r="Z197" s="3736">
        <f t="shared" si="69"/>
        <v>5290.1888</v>
      </c>
      <c r="AA197" s="3742"/>
      <c r="AB197" s="3735" t="s">
        <v>8479</v>
      </c>
      <c r="AC197" s="3625" t="s">
        <v>416</v>
      </c>
      <c r="AD197" s="3743"/>
      <c r="AE197" s="3870"/>
      <c r="AF197" s="3870"/>
      <c r="AG197" s="3750"/>
      <c r="AH197" s="3747">
        <f>I197</f>
        <v>512</v>
      </c>
      <c r="AI197" s="3750"/>
      <c r="AJ197" s="3736">
        <f t="shared" si="63"/>
        <v>512</v>
      </c>
      <c r="AK197" s="3748"/>
      <c r="AL197" s="3748"/>
      <c r="AM197" s="3753">
        <f>I197</f>
        <v>512</v>
      </c>
      <c r="AN197" s="3753"/>
      <c r="AO197" s="3753"/>
      <c r="AP197" s="3753"/>
      <c r="AQ197" s="3753" t="s">
        <v>89</v>
      </c>
      <c r="AR197" s="3753">
        <f t="shared" si="72"/>
        <v>170.666666666667</v>
      </c>
      <c r="AS197" s="3753">
        <f t="shared" si="73"/>
        <v>170.666666666667</v>
      </c>
      <c r="AT197" s="3753">
        <f t="shared" si="74"/>
        <v>170.666666666667</v>
      </c>
      <c r="AU197" s="3861">
        <f t="shared" si="55"/>
        <v>512</v>
      </c>
      <c r="AV197" s="3828">
        <f t="shared" si="68"/>
        <v>0</v>
      </c>
      <c r="AW197" s="3815"/>
      <c r="AX197" s="3815"/>
      <c r="AY197" s="3815"/>
      <c r="AZ197" s="3815"/>
      <c r="BA197" s="3815"/>
      <c r="BB197" s="3815"/>
      <c r="BC197" s="3815"/>
      <c r="BD197" s="3815"/>
      <c r="BE197" s="3815"/>
      <c r="BF197" s="3815"/>
      <c r="BG197" s="3816"/>
      <c r="XEY197" s="3807"/>
      <c r="XEZ197" s="3808"/>
      <c r="XFA197" s="3809"/>
      <c r="XFB197" s="3807"/>
      <c r="XFC197" s="3808"/>
      <c r="XFD197" s="3809"/>
    </row>
    <row r="198" s="3570" customFormat="1" ht="50" customHeight="1" spans="1:59 16379:16384">
      <c r="A198" s="3807">
        <v>46146</v>
      </c>
      <c r="B198" s="3808" t="s">
        <v>8634</v>
      </c>
      <c r="C198" s="3809" t="s">
        <v>516</v>
      </c>
      <c r="D198" s="3817">
        <v>4500204875</v>
      </c>
      <c r="E198" s="3735" t="s">
        <v>8887</v>
      </c>
      <c r="F198" s="3817" t="s">
        <v>8888</v>
      </c>
      <c r="G198" s="3735" t="s">
        <v>8290</v>
      </c>
      <c r="H198" s="3736" t="s">
        <v>8291</v>
      </c>
      <c r="I198" s="3736">
        <v>600</v>
      </c>
      <c r="J198" s="3736">
        <v>0</v>
      </c>
      <c r="K198" s="3736">
        <v>4</v>
      </c>
      <c r="L198" s="3736">
        <f t="shared" si="49"/>
        <v>150</v>
      </c>
      <c r="M198" s="3737">
        <v>46198</v>
      </c>
      <c r="N198" s="3871">
        <v>46212</v>
      </c>
      <c r="O198" s="3836"/>
      <c r="P198" s="3636" t="s">
        <v>82</v>
      </c>
      <c r="Q198" s="3625" t="s">
        <v>3870</v>
      </c>
      <c r="R198" s="3739" t="s">
        <v>1419</v>
      </c>
      <c r="S198" s="3739"/>
      <c r="T198" s="3820" t="s">
        <v>8889</v>
      </c>
      <c r="U198" s="3739"/>
      <c r="V198" s="3740"/>
      <c r="W198" s="3625" t="s">
        <v>8890</v>
      </c>
      <c r="X198" s="2979" t="s">
        <v>459</v>
      </c>
      <c r="Y198" s="3818">
        <v>9.8394</v>
      </c>
      <c r="Z198" s="3736">
        <f t="shared" si="69"/>
        <v>5903.64</v>
      </c>
      <c r="AA198" s="3742"/>
      <c r="AB198" s="3825" t="s">
        <v>8329</v>
      </c>
      <c r="AC198" s="3625" t="s">
        <v>416</v>
      </c>
      <c r="AD198" s="3743"/>
      <c r="AE198" s="3744"/>
      <c r="AF198" s="3819"/>
      <c r="AG198" s="3736"/>
      <c r="AH198" s="3748">
        <f>I198</f>
        <v>600</v>
      </c>
      <c r="AI198" s="3748"/>
      <c r="AJ198" s="3750">
        <f t="shared" si="63"/>
        <v>600</v>
      </c>
      <c r="AK198" s="3750"/>
      <c r="AL198" s="3748">
        <f t="shared" ref="AL198:AL211" si="75">I198</f>
        <v>600</v>
      </c>
      <c r="AM198" s="3750"/>
      <c r="AN198" s="3750"/>
      <c r="AO198" s="3748"/>
      <c r="AP198" s="3748"/>
      <c r="AQ198" s="3753" t="s">
        <v>89</v>
      </c>
      <c r="AR198" s="3754">
        <f>I198/1*AR1</f>
        <v>180</v>
      </c>
      <c r="AS198" s="3754">
        <f>I198/1*AS1</f>
        <v>150</v>
      </c>
      <c r="AT198" s="3754">
        <f>I198/1*AT1</f>
        <v>270</v>
      </c>
      <c r="AU198" s="3813">
        <f t="shared" si="55"/>
        <v>600</v>
      </c>
      <c r="AV198" s="3814">
        <f t="shared" si="68"/>
        <v>0</v>
      </c>
      <c r="AW198" s="3815"/>
      <c r="AX198" s="3815"/>
      <c r="AY198" s="3815"/>
      <c r="AZ198" s="3815"/>
      <c r="BA198" s="3815"/>
      <c r="BB198" s="3815"/>
      <c r="BC198" s="3815"/>
      <c r="BD198" s="3815"/>
      <c r="BE198" s="3815"/>
      <c r="BF198" s="3815"/>
      <c r="BG198" s="3816"/>
    </row>
    <row r="199" s="3570" customFormat="1" ht="50" customHeight="1" spans="1:59 16379:16384">
      <c r="A199" s="3807">
        <v>46148</v>
      </c>
      <c r="B199" s="3808" t="s">
        <v>5234</v>
      </c>
      <c r="C199" s="3809" t="s">
        <v>738</v>
      </c>
      <c r="D199" s="3817" t="s">
        <v>8891</v>
      </c>
      <c r="E199" s="3735" t="s">
        <v>8892</v>
      </c>
      <c r="F199" s="3817" t="s">
        <v>8893</v>
      </c>
      <c r="G199" s="3735" t="s">
        <v>8290</v>
      </c>
      <c r="H199" s="3736" t="s">
        <v>8291</v>
      </c>
      <c r="I199" s="3736">
        <v>48</v>
      </c>
      <c r="J199" s="3736">
        <v>0</v>
      </c>
      <c r="K199" s="3736">
        <v>4</v>
      </c>
      <c r="L199" s="3736">
        <f t="shared" si="49"/>
        <v>12</v>
      </c>
      <c r="M199" s="3737">
        <v>46195</v>
      </c>
      <c r="N199" s="3844">
        <v>46213</v>
      </c>
      <c r="O199" s="3825"/>
      <c r="P199" s="3636" t="s">
        <v>82</v>
      </c>
      <c r="Q199" s="3625" t="s">
        <v>7104</v>
      </c>
      <c r="R199" s="3820" t="s">
        <v>1455</v>
      </c>
      <c r="S199" s="3739"/>
      <c r="T199" s="3820" t="s">
        <v>8894</v>
      </c>
      <c r="U199" s="3820" t="s">
        <v>8895</v>
      </c>
      <c r="V199" s="3740"/>
      <c r="W199" s="3625" t="s">
        <v>8896</v>
      </c>
      <c r="X199" s="2979" t="s">
        <v>459</v>
      </c>
      <c r="Y199" s="3818">
        <v>10.382</v>
      </c>
      <c r="Z199" s="3736">
        <f t="shared" si="69"/>
        <v>498.336</v>
      </c>
      <c r="AA199" s="3742"/>
      <c r="AB199" s="3825" t="s">
        <v>8329</v>
      </c>
      <c r="AC199" s="3625" t="s">
        <v>416</v>
      </c>
      <c r="AD199" s="3743"/>
      <c r="AE199" s="3860"/>
      <c r="AF199" s="3812"/>
      <c r="AG199" s="3736"/>
      <c r="AH199" s="3748">
        <f>I199</f>
        <v>48</v>
      </c>
      <c r="AI199" s="3748"/>
      <c r="AJ199" s="3750">
        <f t="shared" si="63"/>
        <v>48</v>
      </c>
      <c r="AK199" s="3750"/>
      <c r="AL199" s="3748">
        <f t="shared" si="75"/>
        <v>48</v>
      </c>
      <c r="AM199" s="3748"/>
      <c r="AN199" s="3753"/>
      <c r="AO199" s="3753"/>
      <c r="AP199" s="3753"/>
      <c r="AQ199" s="3753" t="s">
        <v>89</v>
      </c>
      <c r="AR199" s="3872">
        <f>I199/1*AR1</f>
        <v>14.4</v>
      </c>
      <c r="AS199" s="3872">
        <f>I199/1*AS1</f>
        <v>12</v>
      </c>
      <c r="AT199" s="3872">
        <f>I199/1*AT1</f>
        <v>21.6</v>
      </c>
      <c r="AU199" s="3813">
        <f t="shared" si="55"/>
        <v>48</v>
      </c>
      <c r="AV199" s="3814">
        <f t="shared" si="68"/>
        <v>0</v>
      </c>
      <c r="AW199" s="3815"/>
      <c r="AX199" s="3815"/>
      <c r="AY199" s="3815"/>
      <c r="AZ199" s="3815"/>
      <c r="BA199" s="3815"/>
      <c r="BB199" s="3815"/>
      <c r="BC199" s="3815"/>
      <c r="BD199" s="3815"/>
      <c r="BE199" s="3815"/>
      <c r="BF199" s="3815"/>
      <c r="BG199" s="3816"/>
      <c r="XFB199" s="3807"/>
      <c r="XFC199" s="3808"/>
      <c r="XFD199" s="3809"/>
    </row>
    <row r="200" s="3570" customFormat="1" ht="50" customHeight="1" spans="1:59 16379:16384">
      <c r="A200" s="3807">
        <v>46162</v>
      </c>
      <c r="B200" s="3808" t="s">
        <v>2818</v>
      </c>
      <c r="C200" s="3809" t="s">
        <v>738</v>
      </c>
      <c r="D200" s="3817" t="s">
        <v>8897</v>
      </c>
      <c r="E200" s="3735" t="s">
        <v>8898</v>
      </c>
      <c r="F200" s="3817" t="s">
        <v>8899</v>
      </c>
      <c r="G200" s="3735" t="s">
        <v>8290</v>
      </c>
      <c r="H200" s="3736" t="s">
        <v>8291</v>
      </c>
      <c r="I200" s="3736">
        <v>248</v>
      </c>
      <c r="J200" s="3736">
        <v>0</v>
      </c>
      <c r="K200" s="3736">
        <v>4</v>
      </c>
      <c r="L200" s="3736">
        <f t="shared" si="49"/>
        <v>62</v>
      </c>
      <c r="M200" s="3737">
        <v>46202</v>
      </c>
      <c r="N200" s="3844">
        <v>46213</v>
      </c>
      <c r="O200" s="3825"/>
      <c r="P200" s="3636" t="s">
        <v>82</v>
      </c>
      <c r="Q200" s="3625"/>
      <c r="R200" s="3820" t="s">
        <v>1455</v>
      </c>
      <c r="S200" s="3739"/>
      <c r="T200" s="3820" t="s">
        <v>8900</v>
      </c>
      <c r="U200" s="3739"/>
      <c r="V200" s="3740"/>
      <c r="W200" s="3625" t="s">
        <v>8901</v>
      </c>
      <c r="X200" s="2979" t="s">
        <v>1434</v>
      </c>
      <c r="Y200" s="3818">
        <v>9.8598</v>
      </c>
      <c r="Z200" s="3736">
        <f t="shared" si="69"/>
        <v>2445.2304</v>
      </c>
      <c r="AA200" s="3873"/>
      <c r="AB200" s="3836" t="s">
        <v>8329</v>
      </c>
      <c r="AC200" s="3874" t="s">
        <v>416</v>
      </c>
      <c r="AD200" s="3743"/>
      <c r="AE200" s="3744"/>
      <c r="AF200" s="3819"/>
      <c r="AG200" s="3736"/>
      <c r="AH200" s="3747">
        <f>I200</f>
        <v>248</v>
      </c>
      <c r="AI200" s="3750"/>
      <c r="AJ200" s="3736">
        <f t="shared" si="63"/>
        <v>248</v>
      </c>
      <c r="AK200" s="3748"/>
      <c r="AL200" s="3748">
        <f t="shared" si="75"/>
        <v>248</v>
      </c>
      <c r="AM200" s="3750"/>
      <c r="AN200" s="3750"/>
      <c r="AO200" s="3748"/>
      <c r="AP200" s="3748"/>
      <c r="AQ200" s="3753" t="s">
        <v>89</v>
      </c>
      <c r="AR200" s="3872">
        <f>I200/1*AR1</f>
        <v>74.4</v>
      </c>
      <c r="AS200" s="3872">
        <f>I200/1*AS1</f>
        <v>62</v>
      </c>
      <c r="AT200" s="3872">
        <f>I200/1*AT1</f>
        <v>111.6</v>
      </c>
      <c r="AU200" s="3813">
        <f t="shared" si="55"/>
        <v>248</v>
      </c>
      <c r="AV200" s="3814">
        <f t="shared" si="68"/>
        <v>0</v>
      </c>
      <c r="AW200" s="3815"/>
      <c r="AX200" s="3815"/>
      <c r="AY200" s="3815"/>
      <c r="AZ200" s="3815"/>
      <c r="BA200" s="3815"/>
      <c r="BB200" s="3815"/>
      <c r="BC200" s="3815"/>
      <c r="BD200" s="3815"/>
      <c r="BE200" s="3815"/>
      <c r="BF200" s="3815"/>
      <c r="BG200" s="3816"/>
    </row>
    <row r="201" s="3569" customFormat="1" ht="50" customHeight="1" spans="1:59 16379:16384">
      <c r="A201" s="3771">
        <v>46171</v>
      </c>
      <c r="B201" s="3787" t="s">
        <v>8902</v>
      </c>
      <c r="C201" s="3788" t="s">
        <v>91</v>
      </c>
      <c r="D201" s="3875" t="s">
        <v>8903</v>
      </c>
      <c r="E201" s="3700">
        <v>385090508</v>
      </c>
      <c r="F201" s="3875" t="s">
        <v>8904</v>
      </c>
      <c r="G201" s="3700" t="s">
        <v>8290</v>
      </c>
      <c r="H201" s="3699" t="s">
        <v>8291</v>
      </c>
      <c r="I201" s="3699">
        <v>2000</v>
      </c>
      <c r="J201" s="3699">
        <v>0</v>
      </c>
      <c r="K201" s="3699">
        <v>4</v>
      </c>
      <c r="L201" s="3699">
        <f t="shared" si="49"/>
        <v>500</v>
      </c>
      <c r="M201" s="3707">
        <v>46218</v>
      </c>
      <c r="N201" s="3707">
        <v>46214</v>
      </c>
      <c r="O201" s="3708"/>
      <c r="P201" s="3636" t="s">
        <v>82</v>
      </c>
      <c r="Q201" s="3680" t="s">
        <v>1504</v>
      </c>
      <c r="R201" s="3876" t="s">
        <v>2436</v>
      </c>
      <c r="S201" s="3711"/>
      <c r="T201" s="3876" t="s">
        <v>98</v>
      </c>
      <c r="U201" s="3876" t="s">
        <v>8905</v>
      </c>
      <c r="V201" s="3712"/>
      <c r="W201" s="3680" t="s">
        <v>8906</v>
      </c>
      <c r="X201" s="2912" t="s">
        <v>8907</v>
      </c>
      <c r="Y201" s="3770">
        <v>6.3664</v>
      </c>
      <c r="Z201" s="3699">
        <f t="shared" si="69"/>
        <v>12732.8</v>
      </c>
      <c r="AA201" s="3715"/>
      <c r="AB201" s="3769" t="s">
        <v>8290</v>
      </c>
      <c r="AC201" s="3680" t="s">
        <v>416</v>
      </c>
      <c r="AD201" s="3755"/>
      <c r="AE201" s="3756"/>
      <c r="AF201" s="3720"/>
      <c r="AG201" s="3699">
        <f>I201</f>
        <v>2000</v>
      </c>
      <c r="AH201" s="3719"/>
      <c r="AI201" s="3759"/>
      <c r="AJ201" s="3699">
        <f t="shared" si="63"/>
        <v>2000</v>
      </c>
      <c r="AK201" s="3721"/>
      <c r="AL201" s="3721">
        <f t="shared" si="75"/>
        <v>2000</v>
      </c>
      <c r="AM201" s="3759"/>
      <c r="AN201" s="3759"/>
      <c r="AO201" s="3721"/>
      <c r="AP201" s="3721"/>
      <c r="AQ201" s="3723" t="s">
        <v>89</v>
      </c>
      <c r="AR201" s="3877">
        <f>I201/1*AR1</f>
        <v>600</v>
      </c>
      <c r="AS201" s="3878">
        <f>I201/1*AS1</f>
        <v>500</v>
      </c>
      <c r="AT201" s="3879">
        <f>I201/1*AT1</f>
        <v>900</v>
      </c>
      <c r="AU201" s="3800">
        <f t="shared" si="55"/>
        <v>2000</v>
      </c>
      <c r="AV201" s="3773">
        <f t="shared" si="68"/>
        <v>0</v>
      </c>
      <c r="AW201" s="3774"/>
      <c r="AX201" s="3774"/>
      <c r="AY201" s="3774"/>
      <c r="AZ201" s="3774"/>
      <c r="BA201" s="3774"/>
      <c r="BB201" s="3774"/>
      <c r="BC201" s="3774"/>
      <c r="BD201" s="3774"/>
      <c r="BE201" s="3774"/>
      <c r="BF201" s="3774"/>
      <c r="BG201" s="3775"/>
    </row>
    <row r="202" s="3571" customFormat="1" ht="50" customHeight="1" spans="1:59 16379:16384">
      <c r="A202" s="3675">
        <v>46174</v>
      </c>
      <c r="B202" s="3862" t="s">
        <v>3905</v>
      </c>
      <c r="C202" s="3863" t="s">
        <v>1385</v>
      </c>
      <c r="D202" s="3864" t="s">
        <v>8908</v>
      </c>
      <c r="E202" s="959" t="s">
        <v>8909</v>
      </c>
      <c r="F202" s="3864" t="s">
        <v>8910</v>
      </c>
      <c r="G202" s="959" t="s">
        <v>8290</v>
      </c>
      <c r="H202" s="3618" t="s">
        <v>8291</v>
      </c>
      <c r="I202" s="3618">
        <v>240</v>
      </c>
      <c r="J202" s="3618">
        <v>0</v>
      </c>
      <c r="K202" s="3618">
        <v>4</v>
      </c>
      <c r="L202" s="3618">
        <f t="shared" si="49"/>
        <v>60</v>
      </c>
      <c r="M202" s="3619">
        <v>46225</v>
      </c>
      <c r="N202" s="3619">
        <f>M202-4</f>
        <v>46221</v>
      </c>
      <c r="O202" s="3664"/>
      <c r="P202" s="3636" t="s">
        <v>82</v>
      </c>
      <c r="Q202" s="3620"/>
      <c r="R202" s="3622" t="s">
        <v>2421</v>
      </c>
      <c r="S202" s="3657"/>
      <c r="T202" s="3622" t="s">
        <v>8911</v>
      </c>
      <c r="U202" s="3657"/>
      <c r="V202" s="3661"/>
      <c r="W202" s="3620" t="s">
        <v>8912</v>
      </c>
      <c r="X202" s="3639" t="s">
        <v>2141</v>
      </c>
      <c r="Y202" s="3865">
        <v>10.1171</v>
      </c>
      <c r="Z202" s="3618">
        <f t="shared" si="69"/>
        <v>2428.104</v>
      </c>
      <c r="AA202" s="3633"/>
      <c r="AB202" s="3880" t="s">
        <v>8290</v>
      </c>
      <c r="AC202" s="3620" t="s">
        <v>416</v>
      </c>
      <c r="AD202" s="3728"/>
      <c r="AE202" s="3729"/>
      <c r="AF202" s="3694"/>
      <c r="AG202" s="3618">
        <f>I202</f>
        <v>240</v>
      </c>
      <c r="AH202" s="3668"/>
      <c r="AI202" s="3626"/>
      <c r="AJ202" s="3618">
        <f t="shared" si="63"/>
        <v>240</v>
      </c>
      <c r="AK202" s="3627"/>
      <c r="AL202" s="3627">
        <f t="shared" si="75"/>
        <v>240</v>
      </c>
      <c r="AM202" s="3626"/>
      <c r="AN202" s="3626"/>
      <c r="AO202" s="3627"/>
      <c r="AP202" s="3627"/>
      <c r="AQ202" s="3687" t="s">
        <v>89</v>
      </c>
      <c r="AR202" s="3687">
        <f>I202/3</f>
        <v>80</v>
      </c>
      <c r="AS202" s="3687">
        <f>I202/3</f>
        <v>80</v>
      </c>
      <c r="AT202" s="3687">
        <f>I202/3</f>
        <v>80</v>
      </c>
      <c r="AU202" s="3866">
        <f t="shared" si="55"/>
        <v>240</v>
      </c>
      <c r="AV202" s="3867">
        <f t="shared" si="68"/>
        <v>0</v>
      </c>
      <c r="AW202" s="3868"/>
      <c r="AX202" s="3868"/>
      <c r="AY202" s="3868"/>
      <c r="AZ202" s="3868"/>
      <c r="BA202" s="3868"/>
      <c r="BB202" s="3868"/>
      <c r="BC202" s="3868"/>
      <c r="BD202" s="3868"/>
      <c r="BE202" s="3868"/>
      <c r="BF202" s="3868"/>
      <c r="BG202" s="3869"/>
    </row>
    <row r="203" s="3569" customFormat="1" ht="50" customHeight="1" spans="1:59 16379:16384">
      <c r="A203" s="3771">
        <v>46097</v>
      </c>
      <c r="B203" s="3787" t="s">
        <v>8834</v>
      </c>
      <c r="C203" s="3788" t="s">
        <v>91</v>
      </c>
      <c r="D203" s="3875">
        <v>4500197050</v>
      </c>
      <c r="E203" s="3700">
        <v>117383412</v>
      </c>
      <c r="F203" s="3875" t="s">
        <v>8913</v>
      </c>
      <c r="G203" s="3700" t="s">
        <v>8836</v>
      </c>
      <c r="H203" s="3699" t="s">
        <v>8291</v>
      </c>
      <c r="I203" s="3699">
        <v>1852</v>
      </c>
      <c r="J203" s="3699">
        <v>0</v>
      </c>
      <c r="K203" s="3699">
        <v>4</v>
      </c>
      <c r="L203" s="3699">
        <f t="shared" si="49"/>
        <v>463</v>
      </c>
      <c r="M203" s="3707">
        <v>46225</v>
      </c>
      <c r="N203" s="3707">
        <v>46221</v>
      </c>
      <c r="O203" s="3708"/>
      <c r="P203" s="3636" t="s">
        <v>82</v>
      </c>
      <c r="Q203" s="3680"/>
      <c r="R203" s="3711" t="s">
        <v>8838</v>
      </c>
      <c r="S203" s="3711"/>
      <c r="T203" s="3711" t="s">
        <v>98</v>
      </c>
      <c r="U203" s="3711"/>
      <c r="V203" s="3712"/>
      <c r="W203" s="3876" t="s">
        <v>8842</v>
      </c>
      <c r="X203" s="2912" t="s">
        <v>8840</v>
      </c>
      <c r="Y203" s="3770">
        <v>6.217</v>
      </c>
      <c r="Z203" s="3699">
        <f t="shared" si="69"/>
        <v>11513.884</v>
      </c>
      <c r="AA203" s="3715"/>
      <c r="AB203" s="3700" t="s">
        <v>8836</v>
      </c>
      <c r="AC203" s="3680" t="s">
        <v>416</v>
      </c>
      <c r="AD203" s="3755"/>
      <c r="AE203" s="3756"/>
      <c r="AF203" s="3720"/>
      <c r="AG203" s="3699">
        <f>I203</f>
        <v>1852</v>
      </c>
      <c r="AH203" s="3719"/>
      <c r="AI203" s="3759"/>
      <c r="AJ203" s="3699">
        <f t="shared" si="63"/>
        <v>1852</v>
      </c>
      <c r="AK203" s="3721"/>
      <c r="AL203" s="3721">
        <f t="shared" si="75"/>
        <v>1852</v>
      </c>
      <c r="AM203" s="3759"/>
      <c r="AN203" s="3759">
        <f>I203/4</f>
        <v>463</v>
      </c>
      <c r="AO203" s="3721"/>
      <c r="AP203" s="3721"/>
      <c r="AQ203" s="3723" t="s">
        <v>89</v>
      </c>
      <c r="AR203" s="3723">
        <f>I203/3</f>
        <v>617.333333333333</v>
      </c>
      <c r="AS203" s="3723">
        <f>I203/3</f>
        <v>617.333333333333</v>
      </c>
      <c r="AT203" s="3723">
        <f>I203/3</f>
        <v>617.333333333333</v>
      </c>
      <c r="AU203" s="3800">
        <f t="shared" si="55"/>
        <v>1852</v>
      </c>
      <c r="AV203" s="3773">
        <f t="shared" si="68"/>
        <v>0</v>
      </c>
      <c r="AW203" s="3774"/>
      <c r="AX203" s="3774"/>
      <c r="AY203" s="3774"/>
      <c r="AZ203" s="3774"/>
      <c r="BA203" s="3774"/>
      <c r="BB203" s="3774"/>
      <c r="BC203" s="3774"/>
      <c r="BD203" s="3774"/>
      <c r="BE203" s="3774"/>
      <c r="BF203" s="3774"/>
      <c r="BG203" s="3775"/>
    </row>
    <row r="204" s="3571" customFormat="1" ht="50" customHeight="1" spans="1:59 16379:16384">
      <c r="A204" s="3675">
        <v>46153</v>
      </c>
      <c r="B204" s="3862" t="s">
        <v>1596</v>
      </c>
      <c r="C204" s="3863" t="s">
        <v>1430</v>
      </c>
      <c r="D204" s="3864" t="s">
        <v>8914</v>
      </c>
      <c r="E204" s="959" t="s">
        <v>5952</v>
      </c>
      <c r="F204" s="3864" t="s">
        <v>8915</v>
      </c>
      <c r="G204" s="959" t="s">
        <v>8290</v>
      </c>
      <c r="H204" s="3618" t="s">
        <v>8291</v>
      </c>
      <c r="I204" s="3618">
        <v>44</v>
      </c>
      <c r="J204" s="3618">
        <v>0</v>
      </c>
      <c r="K204" s="3618">
        <v>4</v>
      </c>
      <c r="L204" s="3618">
        <f t="shared" si="49"/>
        <v>11</v>
      </c>
      <c r="M204" s="3619">
        <v>46206</v>
      </c>
      <c r="N204" s="3619">
        <v>46202</v>
      </c>
      <c r="O204" s="3664"/>
      <c r="P204" s="3636" t="s">
        <v>82</v>
      </c>
      <c r="Q204" s="3620"/>
      <c r="R204" s="3622" t="s">
        <v>4149</v>
      </c>
      <c r="S204" s="3657"/>
      <c r="T204" s="3622" t="s">
        <v>5954</v>
      </c>
      <c r="U204" s="3657"/>
      <c r="V204" s="3661"/>
      <c r="W204" s="3620" t="s">
        <v>8916</v>
      </c>
      <c r="X204" s="3639" t="s">
        <v>1434</v>
      </c>
      <c r="Y204" s="3865">
        <v>10.382</v>
      </c>
      <c r="Z204" s="3618">
        <f t="shared" si="69"/>
        <v>456.808</v>
      </c>
      <c r="AA204" s="3633"/>
      <c r="AB204" s="3621" t="s">
        <v>8329</v>
      </c>
      <c r="AC204" s="3620" t="s">
        <v>416</v>
      </c>
      <c r="AD204" s="3728"/>
      <c r="AE204" s="3729"/>
      <c r="AF204" s="3694"/>
      <c r="AG204" s="3618"/>
      <c r="AH204" s="3668">
        <f>I204</f>
        <v>44</v>
      </c>
      <c r="AI204" s="3626"/>
      <c r="AJ204" s="3618">
        <f t="shared" si="63"/>
        <v>44</v>
      </c>
      <c r="AK204" s="3627"/>
      <c r="AL204" s="3627">
        <f t="shared" si="75"/>
        <v>44</v>
      </c>
      <c r="AM204" s="3626"/>
      <c r="AN204" s="3626"/>
      <c r="AO204" s="3627"/>
      <c r="AP204" s="3627"/>
      <c r="AQ204" s="3687" t="s">
        <v>89</v>
      </c>
      <c r="AR204" s="3687">
        <f>I204/3</f>
        <v>14.6666666666667</v>
      </c>
      <c r="AS204" s="3687">
        <f>I204/3</f>
        <v>14.6666666666667</v>
      </c>
      <c r="AT204" s="3687">
        <f>I204/3</f>
        <v>14.6666666666667</v>
      </c>
      <c r="AU204" s="3866">
        <f t="shared" si="55"/>
        <v>44</v>
      </c>
      <c r="AV204" s="3867">
        <f t="shared" si="68"/>
        <v>0</v>
      </c>
      <c r="AW204" s="3868"/>
      <c r="AX204" s="3868"/>
      <c r="AY204" s="3868"/>
      <c r="AZ204" s="3868"/>
      <c r="BA204" s="3868"/>
      <c r="BB204" s="3868"/>
      <c r="BC204" s="3868"/>
      <c r="BD204" s="3868"/>
      <c r="BE204" s="3868"/>
      <c r="BF204" s="3868"/>
      <c r="BG204" s="3869"/>
    </row>
    <row r="205" s="3571" customFormat="1" ht="50" customHeight="1" spans="1:59 16379:16384">
      <c r="A205" s="3675">
        <v>46168</v>
      </c>
      <c r="B205" s="3862" t="s">
        <v>1596</v>
      </c>
      <c r="C205" s="3863" t="s">
        <v>1430</v>
      </c>
      <c r="D205" s="3864" t="s">
        <v>5972</v>
      </c>
      <c r="E205" s="959" t="s">
        <v>2434</v>
      </c>
      <c r="F205" s="3864" t="s">
        <v>8917</v>
      </c>
      <c r="G205" s="959" t="s">
        <v>8290</v>
      </c>
      <c r="H205" s="3618" t="s">
        <v>8291</v>
      </c>
      <c r="I205" s="3618">
        <v>120</v>
      </c>
      <c r="J205" s="3618">
        <v>0</v>
      </c>
      <c r="K205" s="3618">
        <v>4</v>
      </c>
      <c r="L205" s="3618">
        <f t="shared" si="49"/>
        <v>30</v>
      </c>
      <c r="M205" s="3619">
        <v>46212</v>
      </c>
      <c r="N205" s="3619">
        <v>46209</v>
      </c>
      <c r="O205" s="3664"/>
      <c r="P205" s="3636" t="s">
        <v>82</v>
      </c>
      <c r="Q205" s="3620" t="s">
        <v>4550</v>
      </c>
      <c r="R205" s="3622" t="s">
        <v>4084</v>
      </c>
      <c r="S205" s="3657"/>
      <c r="T205" s="3622" t="s">
        <v>5935</v>
      </c>
      <c r="U205" s="3657"/>
      <c r="V205" s="3661"/>
      <c r="W205" s="3620" t="s">
        <v>8918</v>
      </c>
      <c r="X205" s="3639" t="s">
        <v>1434</v>
      </c>
      <c r="Y205" s="3865">
        <v>10.6528</v>
      </c>
      <c r="Z205" s="3618">
        <f t="shared" si="69"/>
        <v>1278.336</v>
      </c>
      <c r="AA205" s="3633"/>
      <c r="AB205" s="3621" t="s">
        <v>8329</v>
      </c>
      <c r="AC205" s="3620" t="s">
        <v>416</v>
      </c>
      <c r="AD205" s="3728"/>
      <c r="AE205" s="3881"/>
      <c r="AF205" s="3882"/>
      <c r="AG205" s="3618"/>
      <c r="AH205" s="3627">
        <f>I205</f>
        <v>120</v>
      </c>
      <c r="AI205" s="3627"/>
      <c r="AJ205" s="3626">
        <f t="shared" si="63"/>
        <v>120</v>
      </c>
      <c r="AK205" s="3626"/>
      <c r="AL205" s="3627">
        <f t="shared" si="75"/>
        <v>120</v>
      </c>
      <c r="AM205" s="3627"/>
      <c r="AN205" s="3687"/>
      <c r="AO205" s="3687"/>
      <c r="AP205" s="3687"/>
      <c r="AQ205" s="3687" t="s">
        <v>89</v>
      </c>
      <c r="AR205" s="3687">
        <f>I205/3</f>
        <v>40</v>
      </c>
      <c r="AS205" s="3687">
        <f>I205/3</f>
        <v>40</v>
      </c>
      <c r="AT205" s="3687">
        <f>I205/3</f>
        <v>40</v>
      </c>
      <c r="AU205" s="3866">
        <f t="shared" si="55"/>
        <v>120</v>
      </c>
      <c r="AV205" s="3867">
        <f t="shared" si="68"/>
        <v>0</v>
      </c>
      <c r="AW205" s="3868"/>
      <c r="AX205" s="3868"/>
      <c r="AY205" s="3868"/>
      <c r="AZ205" s="3868"/>
      <c r="BA205" s="3868"/>
      <c r="BB205" s="3868"/>
      <c r="BC205" s="3868"/>
      <c r="BD205" s="3868"/>
      <c r="BE205" s="3868"/>
      <c r="BF205" s="3868"/>
      <c r="BG205" s="3869"/>
      <c r="XFB205" s="3675"/>
      <c r="XFC205" s="3862"/>
      <c r="XFD205" s="3863"/>
    </row>
    <row r="206" s="3571" customFormat="1" ht="50" customHeight="1" spans="1:59 16379:16384">
      <c r="A206" s="3675">
        <v>46156</v>
      </c>
      <c r="B206" s="3862" t="s">
        <v>6506</v>
      </c>
      <c r="C206" s="3863" t="s">
        <v>738</v>
      </c>
      <c r="D206" s="3864" t="s">
        <v>8919</v>
      </c>
      <c r="E206" s="959" t="s">
        <v>8920</v>
      </c>
      <c r="F206" s="3864" t="s">
        <v>8921</v>
      </c>
      <c r="G206" s="959" t="s">
        <v>8290</v>
      </c>
      <c r="H206" s="3618" t="s">
        <v>8291</v>
      </c>
      <c r="I206" s="3618">
        <v>800</v>
      </c>
      <c r="J206" s="3618">
        <v>0</v>
      </c>
      <c r="K206" s="3618">
        <v>4</v>
      </c>
      <c r="L206" s="3618">
        <f t="shared" si="49"/>
        <v>200</v>
      </c>
      <c r="M206" s="3619">
        <v>46218</v>
      </c>
      <c r="N206" s="3619">
        <v>46214</v>
      </c>
      <c r="O206" s="3664"/>
      <c r="P206" s="3636" t="s">
        <v>82</v>
      </c>
      <c r="Q206" s="3620" t="s">
        <v>7104</v>
      </c>
      <c r="R206" s="3622" t="s">
        <v>4084</v>
      </c>
      <c r="S206" s="3657"/>
      <c r="T206" s="3622" t="s">
        <v>8922</v>
      </c>
      <c r="U206" s="3622" t="s">
        <v>8923</v>
      </c>
      <c r="V206" s="3661"/>
      <c r="W206" s="3620" t="s">
        <v>8924</v>
      </c>
      <c r="X206" s="3639" t="s">
        <v>459</v>
      </c>
      <c r="Y206" s="3865">
        <v>10.3616</v>
      </c>
      <c r="Z206" s="3618">
        <f t="shared" si="69"/>
        <v>8289.28</v>
      </c>
      <c r="AA206" s="3633"/>
      <c r="AB206" s="3621" t="s">
        <v>8329</v>
      </c>
      <c r="AC206" s="3620" t="s">
        <v>416</v>
      </c>
      <c r="AD206" s="3728"/>
      <c r="AE206" s="3729"/>
      <c r="AF206" s="3694"/>
      <c r="AG206" s="3618"/>
      <c r="AH206" s="3668">
        <f>I206</f>
        <v>800</v>
      </c>
      <c r="AI206" s="3626"/>
      <c r="AJ206" s="3618">
        <f t="shared" si="63"/>
        <v>800</v>
      </c>
      <c r="AK206" s="3627"/>
      <c r="AL206" s="3627">
        <f t="shared" si="75"/>
        <v>800</v>
      </c>
      <c r="AM206" s="3626"/>
      <c r="AN206" s="3626"/>
      <c r="AO206" s="3627"/>
      <c r="AP206" s="3627"/>
      <c r="AQ206" s="3687" t="s">
        <v>89</v>
      </c>
      <c r="AR206" s="3883">
        <f>I206/1*AR1</f>
        <v>240</v>
      </c>
      <c r="AS206" s="3884">
        <f>I206/1*AS1</f>
        <v>200</v>
      </c>
      <c r="AT206" s="3885">
        <f>I206/1*AT1</f>
        <v>360</v>
      </c>
      <c r="AU206" s="3866">
        <f t="shared" si="55"/>
        <v>800</v>
      </c>
      <c r="AV206" s="3867">
        <f t="shared" si="68"/>
        <v>0</v>
      </c>
      <c r="AW206" s="3868"/>
      <c r="AX206" s="3868"/>
      <c r="AY206" s="3868"/>
      <c r="AZ206" s="3868"/>
      <c r="BA206" s="3868"/>
      <c r="BB206" s="3868"/>
      <c r="BC206" s="3868"/>
      <c r="BD206" s="3868"/>
      <c r="BE206" s="3868"/>
      <c r="BF206" s="3868"/>
      <c r="BG206" s="3869"/>
    </row>
    <row r="207" s="3571" customFormat="1" ht="50" customHeight="1" spans="1:59 16379:16384">
      <c r="A207" s="3675">
        <v>46188</v>
      </c>
      <c r="B207" s="3862" t="s">
        <v>4533</v>
      </c>
      <c r="C207" s="3863" t="s">
        <v>738</v>
      </c>
      <c r="D207" s="3864" t="s">
        <v>8925</v>
      </c>
      <c r="E207" s="959" t="s">
        <v>2434</v>
      </c>
      <c r="F207" s="3864" t="s">
        <v>8926</v>
      </c>
      <c r="G207" s="959" t="s">
        <v>8290</v>
      </c>
      <c r="H207" s="3618" t="s">
        <v>8291</v>
      </c>
      <c r="I207" s="3618">
        <v>40</v>
      </c>
      <c r="J207" s="3618">
        <v>0</v>
      </c>
      <c r="K207" s="3618">
        <v>4</v>
      </c>
      <c r="L207" s="3618">
        <f t="shared" si="49"/>
        <v>10</v>
      </c>
      <c r="M207" s="3619">
        <v>46223</v>
      </c>
      <c r="N207" s="3619">
        <v>46219</v>
      </c>
      <c r="O207" s="3664"/>
      <c r="P207" s="3636" t="s">
        <v>82</v>
      </c>
      <c r="Q207" s="3620" t="s">
        <v>7104</v>
      </c>
      <c r="R207" s="3886" t="s">
        <v>4276</v>
      </c>
      <c r="S207" s="3657"/>
      <c r="T207" s="3622" t="s">
        <v>8927</v>
      </c>
      <c r="U207" s="3622"/>
      <c r="V207" s="3661"/>
      <c r="W207" s="3620" t="s">
        <v>8928</v>
      </c>
      <c r="X207" s="3639" t="s">
        <v>1257</v>
      </c>
      <c r="Y207" s="3865">
        <v>10.6528</v>
      </c>
      <c r="Z207" s="3618">
        <f t="shared" si="69"/>
        <v>426.112</v>
      </c>
      <c r="AA207" s="3633"/>
      <c r="AB207" s="3621" t="s">
        <v>8329</v>
      </c>
      <c r="AC207" s="3620" t="s">
        <v>416</v>
      </c>
      <c r="AD207" s="3728"/>
      <c r="AE207" s="3729"/>
      <c r="AF207" s="3694"/>
      <c r="AG207" s="3618"/>
      <c r="AH207" s="3668">
        <f>I207</f>
        <v>40</v>
      </c>
      <c r="AI207" s="3626"/>
      <c r="AJ207" s="3618">
        <f t="shared" si="63"/>
        <v>40</v>
      </c>
      <c r="AK207" s="3627"/>
      <c r="AL207" s="3656">
        <f t="shared" si="75"/>
        <v>40</v>
      </c>
      <c r="AM207" s="3626"/>
      <c r="AN207" s="3626"/>
      <c r="AO207" s="3627"/>
      <c r="AP207" s="3627"/>
      <c r="AQ207" s="3687" t="s">
        <v>89</v>
      </c>
      <c r="AR207" s="3883">
        <f>I207/1*AR1</f>
        <v>12</v>
      </c>
      <c r="AS207" s="3884">
        <f>I207/1*AS1</f>
        <v>10</v>
      </c>
      <c r="AT207" s="3885">
        <f>I207/1*AT1</f>
        <v>18</v>
      </c>
      <c r="AU207" s="3866">
        <f t="shared" si="55"/>
        <v>40</v>
      </c>
      <c r="AV207" s="3867">
        <f t="shared" si="68"/>
        <v>0</v>
      </c>
      <c r="AW207" s="3868"/>
      <c r="AX207" s="3868"/>
      <c r="AY207" s="3868"/>
      <c r="AZ207" s="3868"/>
      <c r="BA207" s="3868"/>
      <c r="BB207" s="3868"/>
      <c r="BC207" s="3868"/>
      <c r="BD207" s="3868"/>
      <c r="BE207" s="3868"/>
      <c r="BF207" s="3868"/>
      <c r="BG207" s="3869"/>
    </row>
    <row r="208" s="3571" customFormat="1" ht="50" customHeight="1" spans="1:59 16379:16384">
      <c r="A208" s="3675">
        <v>46182</v>
      </c>
      <c r="B208" s="3862" t="s">
        <v>2136</v>
      </c>
      <c r="C208" s="3863" t="s">
        <v>2137</v>
      </c>
      <c r="D208" s="3864">
        <v>4500211372</v>
      </c>
      <c r="E208" s="959"/>
      <c r="F208" s="3864" t="s">
        <v>8929</v>
      </c>
      <c r="G208" s="959" t="s">
        <v>8290</v>
      </c>
      <c r="H208" s="3618" t="s">
        <v>8291</v>
      </c>
      <c r="I208" s="3618">
        <v>300</v>
      </c>
      <c r="J208" s="3618">
        <v>0</v>
      </c>
      <c r="K208" s="3618">
        <v>4</v>
      </c>
      <c r="L208" s="3618">
        <f t="shared" si="49"/>
        <v>75</v>
      </c>
      <c r="M208" s="3619">
        <v>46230</v>
      </c>
      <c r="N208" s="3619">
        <v>46226</v>
      </c>
      <c r="O208" s="3664"/>
      <c r="P208" s="3636" t="s">
        <v>82</v>
      </c>
      <c r="Q208" s="3887" t="s">
        <v>208</v>
      </c>
      <c r="R208" s="3622" t="s">
        <v>2441</v>
      </c>
      <c r="S208" s="3657"/>
      <c r="T208" s="3657" t="s">
        <v>98</v>
      </c>
      <c r="U208" s="3657"/>
      <c r="V208" s="3661"/>
      <c r="W208" s="3620" t="s">
        <v>8930</v>
      </c>
      <c r="X208" s="3639" t="s">
        <v>2141</v>
      </c>
      <c r="Y208" s="3865">
        <v>10.6528</v>
      </c>
      <c r="Z208" s="3618">
        <f t="shared" si="69"/>
        <v>3195.84</v>
      </c>
      <c r="AA208" s="3888"/>
      <c r="AB208" s="3889" t="s">
        <v>8290</v>
      </c>
      <c r="AC208" s="3620" t="s">
        <v>416</v>
      </c>
      <c r="AD208" s="3728"/>
      <c r="AE208" s="3881"/>
      <c r="AF208" s="3882"/>
      <c r="AG208" s="3618">
        <f>I208</f>
        <v>300</v>
      </c>
      <c r="AH208" s="3627"/>
      <c r="AI208" s="3627"/>
      <c r="AJ208" s="3626">
        <f t="shared" si="63"/>
        <v>300</v>
      </c>
      <c r="AK208" s="3626"/>
      <c r="AL208" s="3627">
        <f t="shared" si="75"/>
        <v>300</v>
      </c>
      <c r="AM208" s="3627"/>
      <c r="AN208" s="3687"/>
      <c r="AO208" s="3687"/>
      <c r="AP208" s="3687"/>
      <c r="AQ208" s="3687" t="s">
        <v>89</v>
      </c>
      <c r="AR208" s="3687">
        <f>I208/3</f>
        <v>100</v>
      </c>
      <c r="AS208" s="3687">
        <f>I208/3</f>
        <v>100</v>
      </c>
      <c r="AT208" s="3687">
        <f>I208/3</f>
        <v>100</v>
      </c>
      <c r="AU208" s="3867">
        <f t="shared" si="55"/>
        <v>300</v>
      </c>
      <c r="AV208" s="3867">
        <f t="shared" si="68"/>
        <v>0</v>
      </c>
      <c r="AW208" s="3868"/>
      <c r="AX208" s="3868"/>
      <c r="AY208" s="3868"/>
      <c r="AZ208" s="3868"/>
      <c r="BA208" s="3868"/>
      <c r="BB208" s="3868"/>
      <c r="BC208" s="3868"/>
      <c r="BD208" s="3869"/>
      <c r="BE208" s="3571"/>
      <c r="BF208" s="3571"/>
      <c r="BG208" s="3571"/>
      <c r="XFB208" s="3675"/>
      <c r="XFC208" s="3862"/>
      <c r="XFD208" s="3863"/>
    </row>
    <row r="209" s="3571" customFormat="1" ht="50" customHeight="1" spans="1:59 16376:16384">
      <c r="A209" s="3675">
        <v>46183</v>
      </c>
      <c r="B209" s="3862" t="s">
        <v>1206</v>
      </c>
      <c r="C209" s="3863" t="s">
        <v>351</v>
      </c>
      <c r="D209" s="3864" t="s">
        <v>8931</v>
      </c>
      <c r="E209" s="959"/>
      <c r="F209" s="3864" t="s">
        <v>8932</v>
      </c>
      <c r="G209" s="959" t="s">
        <v>8713</v>
      </c>
      <c r="H209" s="3618" t="s">
        <v>8576</v>
      </c>
      <c r="I209" s="3618">
        <v>80</v>
      </c>
      <c r="J209" s="3618">
        <v>0</v>
      </c>
      <c r="K209" s="3618">
        <v>4</v>
      </c>
      <c r="L209" s="3618">
        <f t="shared" si="49"/>
        <v>20</v>
      </c>
      <c r="M209" s="3619">
        <v>46217</v>
      </c>
      <c r="N209" s="3619">
        <v>46232</v>
      </c>
      <c r="O209" s="3621"/>
      <c r="P209" s="3636" t="s">
        <v>82</v>
      </c>
      <c r="Q209" s="3620" t="s">
        <v>213</v>
      </c>
      <c r="R209" s="3622" t="s">
        <v>2453</v>
      </c>
      <c r="S209" s="3657"/>
      <c r="T209" s="3622" t="s">
        <v>8933</v>
      </c>
      <c r="U209" s="3657"/>
      <c r="V209" s="3661"/>
      <c r="W209" s="3620" t="s">
        <v>8934</v>
      </c>
      <c r="X209" s="3639" t="s">
        <v>8935</v>
      </c>
      <c r="Y209" s="3865">
        <v>10.1171</v>
      </c>
      <c r="Z209" s="3618">
        <f t="shared" si="69"/>
        <v>809.368</v>
      </c>
      <c r="AA209" s="3633"/>
      <c r="AB209" s="959" t="s">
        <v>8713</v>
      </c>
      <c r="AC209" s="3620" t="s">
        <v>416</v>
      </c>
      <c r="AD209" s="3728"/>
      <c r="AE209" s="3729"/>
      <c r="AF209" s="3694"/>
      <c r="AG209" s="3618">
        <f>I209</f>
        <v>80</v>
      </c>
      <c r="AH209" s="3668"/>
      <c r="AI209" s="3626"/>
      <c r="AJ209" s="3618">
        <f t="shared" si="63"/>
        <v>80</v>
      </c>
      <c r="AK209" s="3627"/>
      <c r="AL209" s="3627">
        <f t="shared" si="75"/>
        <v>80</v>
      </c>
      <c r="AM209" s="3626"/>
      <c r="AN209" s="3626"/>
      <c r="AO209" s="3627"/>
      <c r="AP209" s="3627"/>
      <c r="AQ209" s="3687" t="s">
        <v>89</v>
      </c>
      <c r="AR209" s="3687"/>
      <c r="AS209" s="3687">
        <f>I209</f>
        <v>80</v>
      </c>
      <c r="AT209" s="3687"/>
      <c r="AU209" s="3866">
        <f t="shared" si="55"/>
        <v>80</v>
      </c>
      <c r="AV209" s="3867">
        <f t="shared" si="68"/>
        <v>0</v>
      </c>
      <c r="AW209" s="3868"/>
      <c r="AX209" s="3868"/>
      <c r="AY209" s="3868"/>
      <c r="AZ209" s="3868"/>
      <c r="BA209" s="3868"/>
      <c r="BB209" s="3868"/>
      <c r="BC209" s="3868"/>
      <c r="BD209" s="3868"/>
      <c r="BE209" s="3868"/>
      <c r="BF209" s="3868"/>
      <c r="BG209" s="3869"/>
    </row>
    <row r="210" s="3571" customFormat="1" ht="50" customHeight="1" spans="1:59 16376:16384">
      <c r="A210" s="3675">
        <v>46183</v>
      </c>
      <c r="B210" s="3862" t="s">
        <v>1206</v>
      </c>
      <c r="C210" s="3863" t="s">
        <v>351</v>
      </c>
      <c r="D210" s="3864" t="s">
        <v>8931</v>
      </c>
      <c r="E210" s="959"/>
      <c r="F210" s="3864" t="s">
        <v>8936</v>
      </c>
      <c r="G210" s="959" t="s">
        <v>8786</v>
      </c>
      <c r="H210" s="3618" t="s">
        <v>8571</v>
      </c>
      <c r="I210" s="3618">
        <v>80</v>
      </c>
      <c r="J210" s="3618">
        <v>0</v>
      </c>
      <c r="K210" s="3618">
        <v>4</v>
      </c>
      <c r="L210" s="3618">
        <f t="shared" si="49"/>
        <v>20</v>
      </c>
      <c r="M210" s="3619">
        <v>46217</v>
      </c>
      <c r="N210" s="3619">
        <v>46232</v>
      </c>
      <c r="O210" s="3621"/>
      <c r="P210" s="3636" t="s">
        <v>82</v>
      </c>
      <c r="Q210" s="3620" t="s">
        <v>213</v>
      </c>
      <c r="R210" s="3622" t="s">
        <v>2453</v>
      </c>
      <c r="S210" s="3657"/>
      <c r="T210" s="3622" t="s">
        <v>8933</v>
      </c>
      <c r="U210" s="3657"/>
      <c r="V210" s="3661"/>
      <c r="W210" s="3620" t="s">
        <v>8934</v>
      </c>
      <c r="X210" s="3639" t="s">
        <v>8935</v>
      </c>
      <c r="Y210" s="3865">
        <v>9.6286</v>
      </c>
      <c r="Z210" s="3618">
        <f t="shared" si="69"/>
        <v>770.288</v>
      </c>
      <c r="AA210" s="3633"/>
      <c r="AB210" s="959" t="s">
        <v>8786</v>
      </c>
      <c r="AC210" s="3620" t="s">
        <v>416</v>
      </c>
      <c r="AD210" s="3728"/>
      <c r="AE210" s="3729"/>
      <c r="AF210" s="3694"/>
      <c r="AG210" s="3618">
        <f>I210</f>
        <v>80</v>
      </c>
      <c r="AH210" s="3668"/>
      <c r="AI210" s="3626"/>
      <c r="AJ210" s="3618">
        <f t="shared" si="63"/>
        <v>80</v>
      </c>
      <c r="AK210" s="3627"/>
      <c r="AL210" s="3627">
        <f t="shared" si="75"/>
        <v>80</v>
      </c>
      <c r="AM210" s="3626"/>
      <c r="AN210" s="3626"/>
      <c r="AO210" s="3627"/>
      <c r="AP210" s="3627"/>
      <c r="AQ210" s="3687" t="s">
        <v>89</v>
      </c>
      <c r="AR210" s="3687"/>
      <c r="AS210" s="3687"/>
      <c r="AT210" s="3687">
        <f>I210</f>
        <v>80</v>
      </c>
      <c r="AU210" s="3866">
        <f t="shared" si="55"/>
        <v>80</v>
      </c>
      <c r="AV210" s="3867">
        <f t="shared" si="68"/>
        <v>0</v>
      </c>
      <c r="AW210" s="3868"/>
      <c r="AX210" s="3868"/>
      <c r="AY210" s="3868"/>
      <c r="AZ210" s="3868"/>
      <c r="BA210" s="3868"/>
      <c r="BB210" s="3868"/>
      <c r="BC210" s="3868"/>
      <c r="BD210" s="3868"/>
      <c r="BE210" s="3868"/>
      <c r="BF210" s="3868"/>
      <c r="BG210" s="3869"/>
    </row>
    <row r="211" s="3571" customFormat="1" ht="50" customHeight="1" spans="1:59 16376:16384">
      <c r="A211" s="3675">
        <v>46183</v>
      </c>
      <c r="B211" s="3862" t="s">
        <v>1206</v>
      </c>
      <c r="C211" s="3863" t="s">
        <v>351</v>
      </c>
      <c r="D211" s="3864" t="s">
        <v>8931</v>
      </c>
      <c r="E211" s="959"/>
      <c r="F211" s="3864" t="s">
        <v>8937</v>
      </c>
      <c r="G211" s="959" t="s">
        <v>8780</v>
      </c>
      <c r="H211" s="3618" t="s">
        <v>8781</v>
      </c>
      <c r="I211" s="3618">
        <v>80</v>
      </c>
      <c r="J211" s="3618">
        <v>0</v>
      </c>
      <c r="K211" s="3618">
        <v>4</v>
      </c>
      <c r="L211" s="3618">
        <f t="shared" si="49"/>
        <v>20</v>
      </c>
      <c r="M211" s="3619">
        <v>46217</v>
      </c>
      <c r="N211" s="3619">
        <v>46232</v>
      </c>
      <c r="O211" s="3621"/>
      <c r="P211" s="3636" t="s">
        <v>82</v>
      </c>
      <c r="Q211" s="3620" t="s">
        <v>213</v>
      </c>
      <c r="R211" s="3622" t="s">
        <v>2453</v>
      </c>
      <c r="S211" s="3657"/>
      <c r="T211" s="3622" t="s">
        <v>8933</v>
      </c>
      <c r="U211" s="3657"/>
      <c r="V211" s="3661"/>
      <c r="W211" s="3620" t="s">
        <v>8934</v>
      </c>
      <c r="X211" s="3639" t="s">
        <v>8935</v>
      </c>
      <c r="Y211" s="3865">
        <v>9.6286</v>
      </c>
      <c r="Z211" s="3618">
        <f t="shared" si="69"/>
        <v>770.288</v>
      </c>
      <c r="AA211" s="3633"/>
      <c r="AB211" s="959" t="s">
        <v>8780</v>
      </c>
      <c r="AC211" s="3620" t="s">
        <v>416</v>
      </c>
      <c r="AD211" s="3728"/>
      <c r="AE211" s="3729"/>
      <c r="AF211" s="3694"/>
      <c r="AG211" s="3618">
        <f>I211</f>
        <v>80</v>
      </c>
      <c r="AH211" s="3668"/>
      <c r="AI211" s="3626"/>
      <c r="AJ211" s="3618">
        <f t="shared" si="63"/>
        <v>80</v>
      </c>
      <c r="AK211" s="3627"/>
      <c r="AL211" s="3627">
        <f t="shared" si="75"/>
        <v>80</v>
      </c>
      <c r="AM211" s="3626"/>
      <c r="AN211" s="3626"/>
      <c r="AO211" s="3627"/>
      <c r="AP211" s="3627"/>
      <c r="AQ211" s="3687" t="s">
        <v>89</v>
      </c>
      <c r="AR211" s="3687">
        <f>I211</f>
        <v>80</v>
      </c>
      <c r="AS211" s="3687"/>
      <c r="AT211" s="3687"/>
      <c r="AU211" s="3866">
        <f t="shared" si="55"/>
        <v>80</v>
      </c>
      <c r="AV211" s="3867">
        <f t="shared" si="68"/>
        <v>0</v>
      </c>
      <c r="AW211" s="3868"/>
      <c r="AX211" s="3868"/>
      <c r="AY211" s="3868"/>
      <c r="AZ211" s="3868"/>
      <c r="BA211" s="3868"/>
      <c r="BB211" s="3868"/>
      <c r="BC211" s="3868"/>
      <c r="BD211" s="3868"/>
      <c r="BE211" s="3868"/>
      <c r="BF211" s="3868"/>
      <c r="BG211" s="3869"/>
    </row>
    <row r="212" s="3571" customFormat="1" ht="50" customHeight="1" spans="1:59 16376:16384">
      <c r="A212" s="3675">
        <v>46188</v>
      </c>
      <c r="B212" s="3862" t="s">
        <v>8844</v>
      </c>
      <c r="C212" s="3863" t="s">
        <v>6781</v>
      </c>
      <c r="D212" s="3864" t="s">
        <v>8938</v>
      </c>
      <c r="E212" s="959" t="s">
        <v>8846</v>
      </c>
      <c r="F212" s="3864" t="s">
        <v>8939</v>
      </c>
      <c r="G212" s="959" t="s">
        <v>8477</v>
      </c>
      <c r="H212" s="3618" t="s">
        <v>8291</v>
      </c>
      <c r="I212" s="3618">
        <v>600</v>
      </c>
      <c r="J212" s="3618">
        <v>0</v>
      </c>
      <c r="K212" s="3618">
        <v>4</v>
      </c>
      <c r="L212" s="3618">
        <f t="shared" ref="L212:L250" si="76">I212/K212</f>
        <v>150</v>
      </c>
      <c r="M212" s="3619">
        <v>46232</v>
      </c>
      <c r="N212" s="3619">
        <v>46228</v>
      </c>
      <c r="O212" s="3664"/>
      <c r="P212" s="3636" t="s">
        <v>82</v>
      </c>
      <c r="Q212" s="3620"/>
      <c r="R212" s="3622" t="s">
        <v>8679</v>
      </c>
      <c r="S212" s="3657"/>
      <c r="T212" s="3886" t="s">
        <v>1542</v>
      </c>
      <c r="U212" s="3622"/>
      <c r="V212" s="3661"/>
      <c r="W212" s="3620" t="s">
        <v>8940</v>
      </c>
      <c r="X212" s="3639" t="s">
        <v>4665</v>
      </c>
      <c r="Y212" s="3865">
        <v>10.3324</v>
      </c>
      <c r="Z212" s="3618">
        <f t="shared" si="69"/>
        <v>6199.44</v>
      </c>
      <c r="AA212" s="3633"/>
      <c r="AB212" s="3617" t="s">
        <v>8479</v>
      </c>
      <c r="AC212" s="3620" t="s">
        <v>416</v>
      </c>
      <c r="AD212" s="3728"/>
      <c r="AE212" s="3729"/>
      <c r="AF212" s="3694"/>
      <c r="AG212" s="3618"/>
      <c r="AH212" s="3668">
        <f t="shared" ref="AH212:AH218" si="77">I212</f>
        <v>600</v>
      </c>
      <c r="AI212" s="3626"/>
      <c r="AJ212" s="3618">
        <f t="shared" si="63"/>
        <v>600</v>
      </c>
      <c r="AK212" s="3627"/>
      <c r="AL212" s="3656"/>
      <c r="AM212" s="3626">
        <f>I212</f>
        <v>600</v>
      </c>
      <c r="AN212" s="3626"/>
      <c r="AO212" s="3627"/>
      <c r="AP212" s="3627"/>
      <c r="AQ212" s="3687" t="s">
        <v>89</v>
      </c>
      <c r="AR212" s="3687">
        <f>I212/3</f>
        <v>200</v>
      </c>
      <c r="AS212" s="3687">
        <f>I212/3</f>
        <v>200</v>
      </c>
      <c r="AT212" s="3687">
        <f>I212/3</f>
        <v>200</v>
      </c>
      <c r="AU212" s="3866">
        <f t="shared" ref="AU212:AU234" si="78">SUM(AR212:AT212)</f>
        <v>600</v>
      </c>
      <c r="AV212" s="3867">
        <f t="shared" si="68"/>
        <v>0</v>
      </c>
      <c r="AW212" s="3868"/>
      <c r="AX212" s="3868"/>
      <c r="AY212" s="3868"/>
      <c r="AZ212" s="3868"/>
      <c r="BA212" s="3868"/>
      <c r="BB212" s="3868"/>
      <c r="BC212" s="3868"/>
      <c r="BD212" s="3868"/>
      <c r="BE212" s="3868"/>
      <c r="BF212" s="3868"/>
      <c r="BG212" s="3869"/>
    </row>
    <row r="213" s="3571" customFormat="1" ht="50" customHeight="1" spans="1:59 16376:16384">
      <c r="A213" s="3675">
        <v>46184</v>
      </c>
      <c r="B213" s="3862" t="s">
        <v>1670</v>
      </c>
      <c r="C213" s="3863" t="s">
        <v>471</v>
      </c>
      <c r="D213" s="3864" t="s">
        <v>8941</v>
      </c>
      <c r="E213" s="959" t="s">
        <v>8942</v>
      </c>
      <c r="F213" s="3864" t="s">
        <v>8943</v>
      </c>
      <c r="G213" s="959" t="s">
        <v>8477</v>
      </c>
      <c r="H213" s="3618" t="s">
        <v>8291</v>
      </c>
      <c r="I213" s="3618">
        <v>2000</v>
      </c>
      <c r="J213" s="3618">
        <v>0</v>
      </c>
      <c r="K213" s="3618">
        <v>4</v>
      </c>
      <c r="L213" s="3618">
        <f t="shared" si="76"/>
        <v>500</v>
      </c>
      <c r="M213" s="3619">
        <v>46244</v>
      </c>
      <c r="N213" s="3619">
        <f>M213-4</f>
        <v>46240</v>
      </c>
      <c r="O213" s="3664"/>
      <c r="P213" s="3636" t="s">
        <v>82</v>
      </c>
      <c r="Q213" s="3620" t="s">
        <v>218</v>
      </c>
      <c r="R213" s="3622" t="s">
        <v>4210</v>
      </c>
      <c r="S213" s="3657"/>
      <c r="T213" s="3622" t="s">
        <v>98</v>
      </c>
      <c r="U213" s="3622" t="s">
        <v>8944</v>
      </c>
      <c r="V213" s="3661"/>
      <c r="W213" s="3620" t="s">
        <v>8945</v>
      </c>
      <c r="X213" s="3639" t="s">
        <v>5106</v>
      </c>
      <c r="Y213" s="3865">
        <v>9.753</v>
      </c>
      <c r="Z213" s="3618">
        <f t="shared" si="69"/>
        <v>19506</v>
      </c>
      <c r="AA213" s="3633"/>
      <c r="AB213" s="3617" t="s">
        <v>8479</v>
      </c>
      <c r="AC213" s="3620" t="s">
        <v>416</v>
      </c>
      <c r="AD213" s="3728"/>
      <c r="AE213" s="3729"/>
      <c r="AF213" s="3694"/>
      <c r="AG213" s="3618"/>
      <c r="AH213" s="3668">
        <f t="shared" si="77"/>
        <v>2000</v>
      </c>
      <c r="AI213" s="3626"/>
      <c r="AJ213" s="3618">
        <f t="shared" si="63"/>
        <v>2000</v>
      </c>
      <c r="AK213" s="3627"/>
      <c r="AL213" s="3627"/>
      <c r="AM213" s="3626">
        <f>I213</f>
        <v>2000</v>
      </c>
      <c r="AN213" s="3626"/>
      <c r="AO213" s="3627"/>
      <c r="AP213" s="3627"/>
      <c r="AQ213" s="3687" t="s">
        <v>89</v>
      </c>
      <c r="AR213" s="3687">
        <f>I213/3</f>
        <v>666.666666666667</v>
      </c>
      <c r="AS213" s="3687">
        <f>I213/3</f>
        <v>666.666666666667</v>
      </c>
      <c r="AT213" s="3687">
        <f>I213/3</f>
        <v>666.666666666667</v>
      </c>
      <c r="AU213" s="3866">
        <f t="shared" si="78"/>
        <v>2000</v>
      </c>
      <c r="AV213" s="3867">
        <f t="shared" si="68"/>
        <v>0</v>
      </c>
      <c r="AW213" s="3868"/>
      <c r="AX213" s="3868"/>
      <c r="AY213" s="3868"/>
      <c r="AZ213" s="3868"/>
      <c r="BA213" s="3868"/>
      <c r="BB213" s="3868"/>
      <c r="BC213" s="3868"/>
      <c r="BD213" s="3868"/>
      <c r="BE213" s="3868"/>
      <c r="BF213" s="3868"/>
      <c r="BG213" s="3869"/>
    </row>
    <row r="214" s="3571" customFormat="1" ht="50" customHeight="1" spans="1:59 16376:16384">
      <c r="A214" s="3675">
        <v>46184</v>
      </c>
      <c r="B214" s="3862" t="s">
        <v>1670</v>
      </c>
      <c r="C214" s="3863" t="s">
        <v>471</v>
      </c>
      <c r="D214" s="3864" t="s">
        <v>8941</v>
      </c>
      <c r="E214" s="959" t="s">
        <v>8946</v>
      </c>
      <c r="F214" s="3864" t="s">
        <v>8947</v>
      </c>
      <c r="G214" s="959" t="s">
        <v>8477</v>
      </c>
      <c r="H214" s="3618" t="s">
        <v>8291</v>
      </c>
      <c r="I214" s="3618">
        <v>2000</v>
      </c>
      <c r="J214" s="3618">
        <v>0</v>
      </c>
      <c r="K214" s="3618">
        <v>4</v>
      </c>
      <c r="L214" s="3618">
        <f t="shared" si="76"/>
        <v>500</v>
      </c>
      <c r="M214" s="3619">
        <v>46244</v>
      </c>
      <c r="N214" s="3619">
        <f>M214-4</f>
        <v>46240</v>
      </c>
      <c r="O214" s="3664"/>
      <c r="P214" s="3636" t="s">
        <v>82</v>
      </c>
      <c r="Q214" s="3620" t="s">
        <v>218</v>
      </c>
      <c r="R214" s="3622" t="s">
        <v>4210</v>
      </c>
      <c r="S214" s="3657"/>
      <c r="T214" s="3622" t="s">
        <v>98</v>
      </c>
      <c r="U214" s="3622" t="s">
        <v>8944</v>
      </c>
      <c r="V214" s="3661"/>
      <c r="W214" s="3620" t="s">
        <v>8945</v>
      </c>
      <c r="X214" s="3639" t="s">
        <v>5106</v>
      </c>
      <c r="Y214" s="3865">
        <v>9.753</v>
      </c>
      <c r="Z214" s="3618">
        <f t="shared" si="69"/>
        <v>19506</v>
      </c>
      <c r="AA214" s="3633"/>
      <c r="AB214" s="3617" t="s">
        <v>8479</v>
      </c>
      <c r="AC214" s="3620" t="s">
        <v>416</v>
      </c>
      <c r="AD214" s="3728"/>
      <c r="AE214" s="3729"/>
      <c r="AF214" s="3694"/>
      <c r="AG214" s="3618"/>
      <c r="AH214" s="3668">
        <f t="shared" si="77"/>
        <v>2000</v>
      </c>
      <c r="AI214" s="3626"/>
      <c r="AJ214" s="3618">
        <f t="shared" si="63"/>
        <v>2000</v>
      </c>
      <c r="AK214" s="3627"/>
      <c r="AL214" s="3627"/>
      <c r="AM214" s="3626">
        <f>I214</f>
        <v>2000</v>
      </c>
      <c r="AN214" s="3626"/>
      <c r="AO214" s="3627"/>
      <c r="AP214" s="3627"/>
      <c r="AQ214" s="3687" t="s">
        <v>89</v>
      </c>
      <c r="AR214" s="3687">
        <f>I214/3</f>
        <v>666.666666666667</v>
      </c>
      <c r="AS214" s="3687">
        <f>I214/3</f>
        <v>666.666666666667</v>
      </c>
      <c r="AT214" s="3687">
        <f>I214/3</f>
        <v>666.666666666667</v>
      </c>
      <c r="AU214" s="3866">
        <f t="shared" si="78"/>
        <v>2000</v>
      </c>
      <c r="AV214" s="3867">
        <f t="shared" si="68"/>
        <v>0</v>
      </c>
      <c r="AW214" s="3868"/>
      <c r="AX214" s="3868"/>
      <c r="AY214" s="3868"/>
      <c r="AZ214" s="3868"/>
      <c r="BA214" s="3868"/>
      <c r="BB214" s="3868"/>
      <c r="BC214" s="3868"/>
      <c r="BD214" s="3868"/>
      <c r="BE214" s="3868"/>
      <c r="BF214" s="3868"/>
      <c r="BG214" s="3869"/>
    </row>
    <row r="215" s="3571" customFormat="1" ht="50" customHeight="1" spans="1:59 16376:16384">
      <c r="A215" s="3675">
        <v>46184</v>
      </c>
      <c r="B215" s="3862" t="s">
        <v>1670</v>
      </c>
      <c r="C215" s="3863" t="s">
        <v>471</v>
      </c>
      <c r="D215" s="3864" t="s">
        <v>8941</v>
      </c>
      <c r="E215" s="959" t="s">
        <v>8948</v>
      </c>
      <c r="F215" s="3864" t="s">
        <v>8949</v>
      </c>
      <c r="G215" s="959" t="s">
        <v>8477</v>
      </c>
      <c r="H215" s="3618" t="s">
        <v>8291</v>
      </c>
      <c r="I215" s="3618">
        <v>2000</v>
      </c>
      <c r="J215" s="3618">
        <v>0</v>
      </c>
      <c r="K215" s="3618">
        <v>4</v>
      </c>
      <c r="L215" s="3618">
        <f t="shared" si="76"/>
        <v>500</v>
      </c>
      <c r="M215" s="3619">
        <v>46244</v>
      </c>
      <c r="N215" s="3619">
        <f>M215-4</f>
        <v>46240</v>
      </c>
      <c r="O215" s="3664"/>
      <c r="P215" s="3636" t="s">
        <v>82</v>
      </c>
      <c r="Q215" s="3620" t="s">
        <v>218</v>
      </c>
      <c r="R215" s="3622" t="s">
        <v>4210</v>
      </c>
      <c r="S215" s="3657"/>
      <c r="T215" s="3622" t="s">
        <v>98</v>
      </c>
      <c r="U215" s="3622" t="s">
        <v>8944</v>
      </c>
      <c r="V215" s="3661"/>
      <c r="W215" s="3620" t="s">
        <v>8945</v>
      </c>
      <c r="X215" s="3639" t="s">
        <v>5106</v>
      </c>
      <c r="Y215" s="3865">
        <v>9.753</v>
      </c>
      <c r="Z215" s="3618">
        <f t="shared" si="69"/>
        <v>19506</v>
      </c>
      <c r="AA215" s="3633"/>
      <c r="AB215" s="3617" t="s">
        <v>8479</v>
      </c>
      <c r="AC215" s="3620" t="s">
        <v>416</v>
      </c>
      <c r="AD215" s="3728"/>
      <c r="AE215" s="3729"/>
      <c r="AF215" s="3694"/>
      <c r="AG215" s="3618"/>
      <c r="AH215" s="3668">
        <f t="shared" si="77"/>
        <v>2000</v>
      </c>
      <c r="AI215" s="3626"/>
      <c r="AJ215" s="3618">
        <f t="shared" si="63"/>
        <v>2000</v>
      </c>
      <c r="AK215" s="3627"/>
      <c r="AL215" s="3627"/>
      <c r="AM215" s="3626">
        <f>I215</f>
        <v>2000</v>
      </c>
      <c r="AN215" s="3626"/>
      <c r="AO215" s="3627"/>
      <c r="AP215" s="3627"/>
      <c r="AQ215" s="3687" t="s">
        <v>89</v>
      </c>
      <c r="AR215" s="3687">
        <f>I215/3</f>
        <v>666.666666666667</v>
      </c>
      <c r="AS215" s="3687">
        <f>I215/3</f>
        <v>666.666666666667</v>
      </c>
      <c r="AT215" s="3687">
        <f>I215/3</f>
        <v>666.666666666667</v>
      </c>
      <c r="AU215" s="3866">
        <f t="shared" si="78"/>
        <v>2000</v>
      </c>
      <c r="AV215" s="3867">
        <f t="shared" si="68"/>
        <v>0</v>
      </c>
      <c r="AW215" s="3868"/>
      <c r="AX215" s="3868"/>
      <c r="AY215" s="3868"/>
      <c r="AZ215" s="3868"/>
      <c r="BA215" s="3868"/>
      <c r="BB215" s="3868"/>
      <c r="BC215" s="3868"/>
      <c r="BD215" s="3868"/>
      <c r="BE215" s="3868"/>
      <c r="BF215" s="3868"/>
      <c r="BG215" s="3869"/>
    </row>
    <row r="216" s="3571" customFormat="1" ht="50" customHeight="1" spans="1:59 16376:16384">
      <c r="A216" s="3675">
        <v>46185</v>
      </c>
      <c r="B216" s="3862" t="s">
        <v>8950</v>
      </c>
      <c r="C216" s="3863" t="s">
        <v>524</v>
      </c>
      <c r="D216" s="3864">
        <v>4500212151</v>
      </c>
      <c r="E216" s="959"/>
      <c r="F216" s="3864" t="s">
        <v>8951</v>
      </c>
      <c r="G216" s="959" t="s">
        <v>8290</v>
      </c>
      <c r="H216" s="3618" t="s">
        <v>8291</v>
      </c>
      <c r="I216" s="3618">
        <v>240</v>
      </c>
      <c r="J216" s="3618">
        <v>0</v>
      </c>
      <c r="K216" s="3618">
        <v>4</v>
      </c>
      <c r="L216" s="3618">
        <f t="shared" si="76"/>
        <v>60</v>
      </c>
      <c r="M216" s="3619">
        <v>46233</v>
      </c>
      <c r="N216" s="3619">
        <v>46230</v>
      </c>
      <c r="O216" s="3664"/>
      <c r="P216" s="3636" t="s">
        <v>82</v>
      </c>
      <c r="Q216" s="3620" t="s">
        <v>2461</v>
      </c>
      <c r="R216" s="3622" t="s">
        <v>8679</v>
      </c>
      <c r="S216" s="3657"/>
      <c r="T216" s="3622" t="s">
        <v>8952</v>
      </c>
      <c r="U216" s="3622"/>
      <c r="V216" s="3661"/>
      <c r="W216" s="3620" t="s">
        <v>8953</v>
      </c>
      <c r="X216" s="3639" t="s">
        <v>8954</v>
      </c>
      <c r="Y216" s="3865">
        <v>10.6528</v>
      </c>
      <c r="Z216" s="3618">
        <f t="shared" si="69"/>
        <v>2556.672</v>
      </c>
      <c r="AA216" s="3633"/>
      <c r="AB216" s="3889" t="s">
        <v>8329</v>
      </c>
      <c r="AC216" s="3620" t="s">
        <v>416</v>
      </c>
      <c r="AD216" s="3728"/>
      <c r="AE216" s="3729"/>
      <c r="AF216" s="3694"/>
      <c r="AG216" s="3618"/>
      <c r="AH216" s="3668">
        <f t="shared" si="77"/>
        <v>240</v>
      </c>
      <c r="AI216" s="3626"/>
      <c r="AJ216" s="3618">
        <f t="shared" si="63"/>
        <v>240</v>
      </c>
      <c r="AK216" s="3627"/>
      <c r="AL216" s="3656">
        <f>I216</f>
        <v>240</v>
      </c>
      <c r="AM216" s="3626"/>
      <c r="AN216" s="3626"/>
      <c r="AO216" s="3627"/>
      <c r="AP216" s="3627"/>
      <c r="AQ216" s="3687" t="s">
        <v>89</v>
      </c>
      <c r="AR216" s="3883">
        <f>I216/1*AR1</f>
        <v>72</v>
      </c>
      <c r="AS216" s="3883">
        <f>I216/1*AS1</f>
        <v>60</v>
      </c>
      <c r="AT216" s="3883">
        <f>I216/1*AT1</f>
        <v>108</v>
      </c>
      <c r="AU216" s="3866">
        <f t="shared" si="78"/>
        <v>240</v>
      </c>
      <c r="AV216" s="3867">
        <f t="shared" si="68"/>
        <v>0</v>
      </c>
      <c r="AW216" s="3868"/>
      <c r="AX216" s="3868"/>
      <c r="AY216" s="3868"/>
      <c r="AZ216" s="3868"/>
      <c r="BA216" s="3868"/>
      <c r="BB216" s="3868"/>
      <c r="BC216" s="3868"/>
      <c r="BD216" s="3868"/>
      <c r="BE216" s="3868"/>
      <c r="BF216" s="3868"/>
      <c r="BG216" s="3869"/>
    </row>
    <row r="217" s="3571" customFormat="1" ht="50" customHeight="1" spans="1:59 16376:16384">
      <c r="A217" s="3675">
        <v>46169</v>
      </c>
      <c r="B217" s="3862" t="s">
        <v>7332</v>
      </c>
      <c r="C217" s="3863" t="s">
        <v>1624</v>
      </c>
      <c r="D217" s="3864" t="s">
        <v>8955</v>
      </c>
      <c r="E217" s="959" t="s">
        <v>8956</v>
      </c>
      <c r="F217" s="3864" t="s">
        <v>8957</v>
      </c>
      <c r="G217" s="959" t="s">
        <v>8477</v>
      </c>
      <c r="H217" s="3618" t="s">
        <v>8291</v>
      </c>
      <c r="I217" s="3618">
        <v>500</v>
      </c>
      <c r="J217" s="3618">
        <v>0</v>
      </c>
      <c r="K217" s="3618">
        <v>4</v>
      </c>
      <c r="L217" s="3618">
        <f t="shared" si="76"/>
        <v>125</v>
      </c>
      <c r="M217" s="3619">
        <v>46230</v>
      </c>
      <c r="N217" s="3619">
        <v>46226</v>
      </c>
      <c r="O217" s="3664"/>
      <c r="P217" s="3636" t="s">
        <v>82</v>
      </c>
      <c r="Q217" s="3620" t="s">
        <v>211</v>
      </c>
      <c r="R217" s="3622" t="s">
        <v>4210</v>
      </c>
      <c r="S217" s="3657"/>
      <c r="T217" s="3657" t="s">
        <v>8958</v>
      </c>
      <c r="U217" s="3657"/>
      <c r="V217" s="3661"/>
      <c r="W217" s="3620" t="s">
        <v>8959</v>
      </c>
      <c r="X217" s="3639" t="s">
        <v>6785</v>
      </c>
      <c r="Y217" s="3865">
        <v>10.3324</v>
      </c>
      <c r="Z217" s="3618">
        <f t="shared" si="69"/>
        <v>5166.2</v>
      </c>
      <c r="AA217" s="3633"/>
      <c r="AB217" s="3617" t="s">
        <v>8479</v>
      </c>
      <c r="AC217" s="3620" t="s">
        <v>416</v>
      </c>
      <c r="AD217" s="3728"/>
      <c r="AE217" s="3729"/>
      <c r="AF217" s="3694"/>
      <c r="AG217" s="3618"/>
      <c r="AH217" s="3668">
        <f t="shared" si="77"/>
        <v>500</v>
      </c>
      <c r="AI217" s="3626"/>
      <c r="AJ217" s="3618">
        <f t="shared" si="63"/>
        <v>500</v>
      </c>
      <c r="AK217" s="3627"/>
      <c r="AL217" s="3627"/>
      <c r="AM217" s="3626">
        <f>I217</f>
        <v>500</v>
      </c>
      <c r="AN217" s="3626"/>
      <c r="AO217" s="3627"/>
      <c r="AP217" s="3627"/>
      <c r="AQ217" s="3687" t="s">
        <v>89</v>
      </c>
      <c r="AR217" s="3883">
        <f>I217/1*AR1</f>
        <v>150</v>
      </c>
      <c r="AS217" s="3883">
        <f>I217/1*AS1</f>
        <v>125</v>
      </c>
      <c r="AT217" s="3883">
        <f>I217/1*AT1</f>
        <v>225</v>
      </c>
      <c r="AU217" s="3890">
        <f t="shared" si="78"/>
        <v>500</v>
      </c>
      <c r="AV217" s="3867">
        <f t="shared" si="68"/>
        <v>0</v>
      </c>
      <c r="AW217" s="3868"/>
      <c r="AX217" s="3868"/>
      <c r="AY217" s="3868"/>
      <c r="AZ217" s="3868"/>
      <c r="BA217" s="3868"/>
      <c r="BB217" s="3868"/>
      <c r="BC217" s="3868"/>
      <c r="BD217" s="3868"/>
      <c r="BE217" s="3868"/>
      <c r="BF217" s="3868"/>
      <c r="BG217" s="3869"/>
    </row>
    <row r="218" s="3571" customFormat="1" ht="50" customHeight="1" spans="1:59 16376:16384">
      <c r="A218" s="3675">
        <v>46183</v>
      </c>
      <c r="B218" s="3862" t="s">
        <v>2775</v>
      </c>
      <c r="C218" s="3863" t="s">
        <v>2776</v>
      </c>
      <c r="D218" s="3864" t="s">
        <v>8960</v>
      </c>
      <c r="E218" s="959"/>
      <c r="F218" s="3864" t="s">
        <v>8961</v>
      </c>
      <c r="G218" s="959" t="s">
        <v>8290</v>
      </c>
      <c r="H218" s="3618" t="s">
        <v>8291</v>
      </c>
      <c r="I218" s="3618">
        <v>500</v>
      </c>
      <c r="J218" s="3618">
        <v>0</v>
      </c>
      <c r="K218" s="3618">
        <v>4</v>
      </c>
      <c r="L218" s="3618">
        <f t="shared" si="76"/>
        <v>125</v>
      </c>
      <c r="M218" s="3619">
        <v>46234</v>
      </c>
      <c r="N218" s="3619">
        <v>46230</v>
      </c>
      <c r="O218" s="3664"/>
      <c r="P218" s="3636" t="s">
        <v>82</v>
      </c>
      <c r="Q218" s="3620" t="s">
        <v>2461</v>
      </c>
      <c r="R218" s="3622" t="s">
        <v>8679</v>
      </c>
      <c r="S218" s="3657"/>
      <c r="T218" s="3622" t="s">
        <v>8962</v>
      </c>
      <c r="U218" s="3657"/>
      <c r="V218" s="3661"/>
      <c r="W218" s="3620" t="s">
        <v>8963</v>
      </c>
      <c r="X218" s="3639" t="s">
        <v>1434</v>
      </c>
      <c r="Y218" s="3865">
        <v>10.6319</v>
      </c>
      <c r="Z218" s="3618">
        <f t="shared" si="69"/>
        <v>5315.95</v>
      </c>
      <c r="AA218" s="3633"/>
      <c r="AB218" s="3889" t="s">
        <v>8329</v>
      </c>
      <c r="AC218" s="3620" t="s">
        <v>416</v>
      </c>
      <c r="AD218" s="3728"/>
      <c r="AE218" s="3729"/>
      <c r="AF218" s="3694"/>
      <c r="AG218" s="3618"/>
      <c r="AH218" s="3668">
        <f t="shared" si="77"/>
        <v>500</v>
      </c>
      <c r="AI218" s="3626"/>
      <c r="AJ218" s="3618">
        <f t="shared" si="63"/>
        <v>500</v>
      </c>
      <c r="AK218" s="3627"/>
      <c r="AL218" s="3627">
        <f>I218</f>
        <v>500</v>
      </c>
      <c r="AM218" s="3626"/>
      <c r="AN218" s="3626"/>
      <c r="AO218" s="3627"/>
      <c r="AP218" s="3627"/>
      <c r="AQ218" s="3687" t="s">
        <v>89</v>
      </c>
      <c r="AR218" s="3687">
        <f>I218/3</f>
        <v>166.666666666667</v>
      </c>
      <c r="AS218" s="3687">
        <f>I218/3</f>
        <v>166.666666666667</v>
      </c>
      <c r="AT218" s="3687">
        <f>I218/3</f>
        <v>166.666666666667</v>
      </c>
      <c r="AU218" s="3866">
        <f t="shared" si="78"/>
        <v>500</v>
      </c>
      <c r="AV218" s="3867">
        <f t="shared" si="68"/>
        <v>0</v>
      </c>
      <c r="AW218" s="3868"/>
      <c r="AX218" s="3868"/>
      <c r="AY218" s="3868"/>
      <c r="AZ218" s="3868"/>
      <c r="BA218" s="3868"/>
      <c r="BB218" s="3868"/>
      <c r="BC218" s="3868"/>
      <c r="BD218" s="3868"/>
      <c r="BE218" s="3868"/>
      <c r="BF218" s="3868"/>
      <c r="BG218" s="3869"/>
    </row>
    <row r="219" s="3571" customFormat="1" ht="50" customHeight="1" spans="1:59 16376:16384">
      <c r="A219" s="3675">
        <v>46188</v>
      </c>
      <c r="B219" s="3862" t="s">
        <v>90</v>
      </c>
      <c r="C219" s="3863" t="s">
        <v>91</v>
      </c>
      <c r="D219" s="3864" t="s">
        <v>8964</v>
      </c>
      <c r="E219" s="959" t="s">
        <v>8965</v>
      </c>
      <c r="F219" s="3864" t="s">
        <v>8966</v>
      </c>
      <c r="G219" s="959" t="s">
        <v>8290</v>
      </c>
      <c r="H219" s="3618" t="s">
        <v>8291</v>
      </c>
      <c r="I219" s="3618">
        <v>3000</v>
      </c>
      <c r="J219" s="3618">
        <v>0</v>
      </c>
      <c r="K219" s="3618">
        <v>4</v>
      </c>
      <c r="L219" s="3618">
        <f t="shared" si="76"/>
        <v>750</v>
      </c>
      <c r="M219" s="3619">
        <v>46239</v>
      </c>
      <c r="N219" s="3619">
        <v>46235</v>
      </c>
      <c r="O219" s="3664"/>
      <c r="P219" s="3636" t="s">
        <v>82</v>
      </c>
      <c r="Q219" s="3620" t="s">
        <v>8967</v>
      </c>
      <c r="R219" s="3622" t="s">
        <v>1571</v>
      </c>
      <c r="S219" s="3657"/>
      <c r="T219" s="3622" t="s">
        <v>98</v>
      </c>
      <c r="U219" s="3622" t="s">
        <v>8968</v>
      </c>
      <c r="V219" s="3661"/>
      <c r="W219" s="3620" t="s">
        <v>8969</v>
      </c>
      <c r="X219" s="3639" t="s">
        <v>8970</v>
      </c>
      <c r="Y219" s="3865">
        <v>6.0449</v>
      </c>
      <c r="Z219" s="3618">
        <f t="shared" si="69"/>
        <v>18134.7</v>
      </c>
      <c r="AA219" s="3633"/>
      <c r="AB219" s="3889" t="s">
        <v>8290</v>
      </c>
      <c r="AC219" s="3620" t="s">
        <v>416</v>
      </c>
      <c r="AD219" s="3728"/>
      <c r="AE219" s="3729"/>
      <c r="AF219" s="3694"/>
      <c r="AG219" s="3618">
        <f>I219</f>
        <v>3000</v>
      </c>
      <c r="AH219" s="3668"/>
      <c r="AI219" s="3626"/>
      <c r="AJ219" s="3618">
        <f t="shared" si="63"/>
        <v>3000</v>
      </c>
      <c r="AK219" s="3627"/>
      <c r="AL219" s="3656">
        <f>I219</f>
        <v>3000</v>
      </c>
      <c r="AM219" s="3626"/>
      <c r="AN219" s="3626"/>
      <c r="AO219" s="3627"/>
      <c r="AP219" s="3627"/>
      <c r="AQ219" s="3687" t="s">
        <v>89</v>
      </c>
      <c r="AR219" s="3883">
        <f>I219/1*AR1</f>
        <v>900</v>
      </c>
      <c r="AS219" s="3883">
        <f>I219/1*AS1</f>
        <v>750</v>
      </c>
      <c r="AT219" s="3883">
        <f>I219/1*AT1</f>
        <v>1350</v>
      </c>
      <c r="AU219" s="3866">
        <f t="shared" si="78"/>
        <v>3000</v>
      </c>
      <c r="AV219" s="3867">
        <f t="shared" si="68"/>
        <v>0</v>
      </c>
      <c r="AW219" s="3868"/>
      <c r="AX219" s="3868"/>
      <c r="AY219" s="3868"/>
      <c r="AZ219" s="3868"/>
      <c r="BA219" s="3868"/>
      <c r="BB219" s="3868"/>
      <c r="BC219" s="3868"/>
      <c r="BD219" s="3868"/>
      <c r="BE219" s="3868"/>
      <c r="BF219" s="3868"/>
      <c r="BG219" s="3869"/>
    </row>
    <row r="220" s="3571" customFormat="1" ht="50" customHeight="1" spans="1:59 16376:16384">
      <c r="A220" s="3675">
        <v>46188</v>
      </c>
      <c r="B220" s="3862" t="s">
        <v>90</v>
      </c>
      <c r="C220" s="3863" t="s">
        <v>91</v>
      </c>
      <c r="D220" s="3864" t="s">
        <v>8971</v>
      </c>
      <c r="E220" s="959" t="s">
        <v>8972</v>
      </c>
      <c r="F220" s="3864" t="s">
        <v>8973</v>
      </c>
      <c r="G220" s="959" t="s">
        <v>8290</v>
      </c>
      <c r="H220" s="3618" t="s">
        <v>8291</v>
      </c>
      <c r="I220" s="3618">
        <v>3000</v>
      </c>
      <c r="J220" s="3618">
        <v>0</v>
      </c>
      <c r="K220" s="3618">
        <v>4</v>
      </c>
      <c r="L220" s="3618">
        <f t="shared" si="76"/>
        <v>750</v>
      </c>
      <c r="M220" s="3619">
        <v>46239</v>
      </c>
      <c r="N220" s="3619">
        <v>46235</v>
      </c>
      <c r="O220" s="3664"/>
      <c r="P220" s="3636" t="s">
        <v>82</v>
      </c>
      <c r="Q220" s="3620" t="s">
        <v>8974</v>
      </c>
      <c r="R220" s="3622" t="s">
        <v>1571</v>
      </c>
      <c r="S220" s="3657"/>
      <c r="T220" s="3622" t="s">
        <v>98</v>
      </c>
      <c r="U220" s="3622" t="s">
        <v>8968</v>
      </c>
      <c r="V220" s="3661"/>
      <c r="W220" s="3620" t="s">
        <v>8975</v>
      </c>
      <c r="X220" s="3639" t="s">
        <v>8970</v>
      </c>
      <c r="Y220" s="3865">
        <v>6.0449</v>
      </c>
      <c r="Z220" s="3618">
        <f t="shared" si="69"/>
        <v>18134.7</v>
      </c>
      <c r="AA220" s="3633"/>
      <c r="AB220" s="3889" t="s">
        <v>8290</v>
      </c>
      <c r="AC220" s="3620" t="s">
        <v>416</v>
      </c>
      <c r="AD220" s="3728"/>
      <c r="AE220" s="3729"/>
      <c r="AF220" s="3694"/>
      <c r="AG220" s="3618">
        <f>I220</f>
        <v>3000</v>
      </c>
      <c r="AH220" s="3668"/>
      <c r="AI220" s="3626"/>
      <c r="AJ220" s="3618">
        <f t="shared" si="63"/>
        <v>3000</v>
      </c>
      <c r="AK220" s="3627"/>
      <c r="AL220" s="3656">
        <f>I220</f>
        <v>3000</v>
      </c>
      <c r="AM220" s="3626"/>
      <c r="AN220" s="3626"/>
      <c r="AO220" s="3627"/>
      <c r="AP220" s="3627"/>
      <c r="AQ220" s="3687" t="s">
        <v>89</v>
      </c>
      <c r="AR220" s="3883">
        <f>I220/1*AR1</f>
        <v>900</v>
      </c>
      <c r="AS220" s="3883">
        <f>I220/1*AS1</f>
        <v>750</v>
      </c>
      <c r="AT220" s="3883">
        <f>I220/1*AT1</f>
        <v>1350</v>
      </c>
      <c r="AU220" s="3866">
        <f t="shared" si="78"/>
        <v>3000</v>
      </c>
      <c r="AV220" s="3867">
        <f t="shared" si="68"/>
        <v>0</v>
      </c>
      <c r="AW220" s="3868"/>
      <c r="AX220" s="3868"/>
      <c r="AY220" s="3868"/>
      <c r="AZ220" s="3868"/>
      <c r="BA220" s="3868"/>
      <c r="BB220" s="3868"/>
      <c r="BC220" s="3868"/>
      <c r="BD220" s="3868"/>
      <c r="BE220" s="3868"/>
      <c r="BF220" s="3868"/>
      <c r="BG220" s="3869"/>
    </row>
    <row r="221" s="3572" customFormat="1" ht="50" customHeight="1" spans="1:59 16376:16384">
      <c r="A221" s="3891">
        <v>46162</v>
      </c>
      <c r="B221" s="3892" t="s">
        <v>523</v>
      </c>
      <c r="C221" s="3893" t="s">
        <v>524</v>
      </c>
      <c r="D221" s="3894" t="s">
        <v>8976</v>
      </c>
      <c r="E221" s="3615" t="s">
        <v>2434</v>
      </c>
      <c r="F221" s="3894" t="s">
        <v>8977</v>
      </c>
      <c r="G221" s="3615" t="s">
        <v>8290</v>
      </c>
      <c r="H221" s="3895" t="s">
        <v>8291</v>
      </c>
      <c r="I221" s="3895">
        <v>100</v>
      </c>
      <c r="J221" s="3895">
        <v>0</v>
      </c>
      <c r="K221" s="3895">
        <v>4</v>
      </c>
      <c r="L221" s="3895">
        <f t="shared" si="76"/>
        <v>25</v>
      </c>
      <c r="M221" s="3896">
        <v>46217</v>
      </c>
      <c r="N221" s="3896">
        <v>46213</v>
      </c>
      <c r="O221" s="875"/>
      <c r="P221" s="3615"/>
      <c r="Q221" s="891" t="s">
        <v>8978</v>
      </c>
      <c r="R221" s="3897" t="s">
        <v>4276</v>
      </c>
      <c r="S221" s="3898"/>
      <c r="T221" s="3897" t="s">
        <v>8979</v>
      </c>
      <c r="U221" s="3898"/>
      <c r="V221" s="3899"/>
      <c r="W221" s="3900" t="s">
        <v>8980</v>
      </c>
      <c r="X221" s="2863" t="s">
        <v>459</v>
      </c>
      <c r="Y221" s="3901">
        <v>10.382</v>
      </c>
      <c r="Z221" s="3895">
        <f t="shared" si="69"/>
        <v>1038.2</v>
      </c>
      <c r="AA221" s="3902"/>
      <c r="AB221" s="3903" t="s">
        <v>8329</v>
      </c>
      <c r="AC221" s="3658" t="s">
        <v>416</v>
      </c>
      <c r="AD221" s="3755"/>
      <c r="AE221" s="3756"/>
      <c r="AF221" s="3720"/>
      <c r="AG221" s="3895"/>
      <c r="AH221" s="3904">
        <f>I221</f>
        <v>100</v>
      </c>
      <c r="AI221" s="3905"/>
      <c r="AJ221" s="3895">
        <f t="shared" si="63"/>
        <v>100</v>
      </c>
      <c r="AK221" s="3906"/>
      <c r="AL221" s="3906">
        <f>I221</f>
        <v>100</v>
      </c>
      <c r="AM221" s="3905"/>
      <c r="AN221" s="3905"/>
      <c r="AO221" s="3906"/>
      <c r="AP221" s="3906"/>
      <c r="AQ221" s="3907" t="s">
        <v>89</v>
      </c>
      <c r="AR221" s="3908">
        <f>I221/1*AR1</f>
        <v>30</v>
      </c>
      <c r="AS221" s="3909">
        <f>I221/1*AS1</f>
        <v>25</v>
      </c>
      <c r="AT221" s="3910">
        <f>I221/1*AT1</f>
        <v>45</v>
      </c>
      <c r="AU221" s="3911">
        <f t="shared" si="78"/>
        <v>100</v>
      </c>
      <c r="AV221" s="3912">
        <f t="shared" si="68"/>
        <v>0</v>
      </c>
      <c r="AW221" s="3913"/>
      <c r="AX221" s="3913"/>
      <c r="AY221" s="3913"/>
      <c r="AZ221" s="3913"/>
      <c r="BA221" s="3913"/>
      <c r="BB221" s="3913"/>
      <c r="BC221" s="3913"/>
      <c r="BD221" s="3913"/>
      <c r="BE221" s="3913"/>
      <c r="BF221" s="3913"/>
      <c r="BG221" s="3914"/>
    </row>
    <row r="222" s="3572" customFormat="1" ht="50" customHeight="1" spans="1:59 16376:16384">
      <c r="A222" s="3891">
        <v>46160</v>
      </c>
      <c r="B222" s="3892" t="s">
        <v>1596</v>
      </c>
      <c r="C222" s="3893" t="s">
        <v>1430</v>
      </c>
      <c r="D222" s="3894" t="s">
        <v>8981</v>
      </c>
      <c r="E222" s="3615" t="s">
        <v>8982</v>
      </c>
      <c r="F222" s="3894" t="s">
        <v>8983</v>
      </c>
      <c r="G222" s="3615" t="s">
        <v>8290</v>
      </c>
      <c r="H222" s="3895" t="s">
        <v>8291</v>
      </c>
      <c r="I222" s="3895">
        <v>8</v>
      </c>
      <c r="J222" s="3895">
        <v>0</v>
      </c>
      <c r="K222" s="3895">
        <v>4</v>
      </c>
      <c r="L222" s="3895">
        <f t="shared" si="76"/>
        <v>2</v>
      </c>
      <c r="M222" s="3896">
        <v>46227</v>
      </c>
      <c r="N222" s="3896">
        <v>46223</v>
      </c>
      <c r="O222" s="875"/>
      <c r="P222" s="3615"/>
      <c r="Q222" s="3658"/>
      <c r="R222" s="3897" t="s">
        <v>4276</v>
      </c>
      <c r="S222" s="3898"/>
      <c r="T222" s="3897" t="s">
        <v>8984</v>
      </c>
      <c r="U222" s="3898"/>
      <c r="V222" s="3899"/>
      <c r="W222" s="3900" t="s">
        <v>8985</v>
      </c>
      <c r="X222" s="2863" t="s">
        <v>1434</v>
      </c>
      <c r="Y222" s="3901">
        <v>10.382</v>
      </c>
      <c r="Z222" s="3895">
        <f t="shared" si="69"/>
        <v>83.056</v>
      </c>
      <c r="AA222" s="3915"/>
      <c r="AB222" s="3916" t="s">
        <v>8329</v>
      </c>
      <c r="AC222" s="3917" t="s">
        <v>416</v>
      </c>
      <c r="AD222" s="3755"/>
      <c r="AE222" s="3756"/>
      <c r="AF222" s="3720"/>
      <c r="AG222" s="3895"/>
      <c r="AH222" s="3904">
        <f>I222</f>
        <v>8</v>
      </c>
      <c r="AI222" s="3905"/>
      <c r="AJ222" s="3895">
        <f t="shared" si="63"/>
        <v>8</v>
      </c>
      <c r="AK222" s="3906"/>
      <c r="AL222" s="3906">
        <f>I222</f>
        <v>8</v>
      </c>
      <c r="AM222" s="3905"/>
      <c r="AN222" s="3905"/>
      <c r="AO222" s="3906"/>
      <c r="AP222" s="3906"/>
      <c r="AQ222" s="3907" t="s">
        <v>89</v>
      </c>
      <c r="AR222" s="3918">
        <f>I222/3</f>
        <v>2.66666666666667</v>
      </c>
      <c r="AS222" s="3918">
        <f>I222/3</f>
        <v>2.66666666666667</v>
      </c>
      <c r="AT222" s="3918">
        <f>I222/3</f>
        <v>2.66666666666667</v>
      </c>
      <c r="AU222" s="3919">
        <f t="shared" si="78"/>
        <v>8</v>
      </c>
      <c r="AV222" s="3912">
        <f t="shared" si="68"/>
        <v>0</v>
      </c>
      <c r="AW222" s="3913"/>
      <c r="AX222" s="3913"/>
      <c r="AY222" s="3913"/>
      <c r="AZ222" s="3913"/>
      <c r="BA222" s="3913"/>
      <c r="BB222" s="3913"/>
      <c r="BC222" s="3913"/>
      <c r="BD222" s="3913"/>
      <c r="BE222" s="3913"/>
      <c r="BF222" s="3913"/>
      <c r="BG222" s="3914"/>
    </row>
    <row r="223" s="3572" customFormat="1" ht="50" customHeight="1" spans="1:59 16376:16384">
      <c r="A223" s="3891">
        <v>46156</v>
      </c>
      <c r="B223" s="3892" t="s">
        <v>8986</v>
      </c>
      <c r="C223" s="3893" t="s">
        <v>2698</v>
      </c>
      <c r="D223" s="3894" t="s">
        <v>8987</v>
      </c>
      <c r="E223" s="3615" t="s">
        <v>5887</v>
      </c>
      <c r="F223" s="3894" t="s">
        <v>8988</v>
      </c>
      <c r="G223" s="3615" t="s">
        <v>8477</v>
      </c>
      <c r="H223" s="3895" t="s">
        <v>8291</v>
      </c>
      <c r="I223" s="3895">
        <v>2100</v>
      </c>
      <c r="J223" s="3895">
        <v>0</v>
      </c>
      <c r="K223" s="3895">
        <v>4</v>
      </c>
      <c r="L223" s="3895">
        <f t="shared" si="76"/>
        <v>525</v>
      </c>
      <c r="M223" s="3896">
        <v>46240</v>
      </c>
      <c r="N223" s="3896">
        <v>46237</v>
      </c>
      <c r="O223" s="875"/>
      <c r="P223" s="3615"/>
      <c r="Q223" s="891" t="s">
        <v>218</v>
      </c>
      <c r="R223" s="3897" t="s">
        <v>8989</v>
      </c>
      <c r="S223" s="3898"/>
      <c r="T223" s="3898" t="s">
        <v>8990</v>
      </c>
      <c r="U223" s="3898"/>
      <c r="V223" s="3899"/>
      <c r="W223" s="3658" t="s">
        <v>8991</v>
      </c>
      <c r="X223" s="2863" t="s">
        <v>8992</v>
      </c>
      <c r="Y223" s="3901">
        <v>10.3118</v>
      </c>
      <c r="Z223" s="3895">
        <f t="shared" si="69"/>
        <v>21654.78</v>
      </c>
      <c r="AA223" s="3902"/>
      <c r="AB223" s="3615" t="s">
        <v>8477</v>
      </c>
      <c r="AC223" s="3658" t="s">
        <v>416</v>
      </c>
      <c r="AD223" s="3920"/>
      <c r="AE223" s="3920"/>
      <c r="AF223" s="3921"/>
      <c r="AG223" s="3906">
        <f>I223</f>
        <v>2100</v>
      </c>
      <c r="AH223" s="3907"/>
      <c r="AI223" s="3907"/>
      <c r="AJ223" s="3907">
        <f t="shared" si="63"/>
        <v>2100</v>
      </c>
      <c r="AK223" s="3907"/>
      <c r="AL223" s="3907"/>
      <c r="AM223" s="3907">
        <f>I223</f>
        <v>2100</v>
      </c>
      <c r="AN223" s="3907"/>
      <c r="AO223" s="3907"/>
      <c r="AP223" s="3907"/>
      <c r="AQ223" s="3907" t="s">
        <v>89</v>
      </c>
      <c r="AR223" s="3908">
        <f>I223/1*AR1</f>
        <v>630</v>
      </c>
      <c r="AS223" s="3908">
        <f>I223/1*AS1</f>
        <v>525</v>
      </c>
      <c r="AT223" s="3908">
        <f>I223/1*AT1</f>
        <v>945</v>
      </c>
      <c r="AU223" s="3911">
        <f t="shared" si="78"/>
        <v>2100</v>
      </c>
      <c r="AV223" s="3912">
        <f t="shared" si="68"/>
        <v>0</v>
      </c>
      <c r="AW223" s="3913"/>
      <c r="AX223" s="3913"/>
      <c r="AY223" s="3913"/>
      <c r="AZ223" s="3913"/>
      <c r="BA223" s="3913"/>
      <c r="BB223" s="3913"/>
      <c r="BC223" s="3913"/>
      <c r="BD223" s="3913"/>
      <c r="BE223" s="3913"/>
      <c r="BF223" s="3913"/>
      <c r="BG223" s="3914"/>
      <c r="XEV223" s="3891"/>
      <c r="XEW223" s="3892"/>
      <c r="XEX223" s="3893"/>
      <c r="XEY223" s="3891"/>
      <c r="XEZ223" s="3892"/>
      <c r="XFA223" s="3893"/>
      <c r="XFB223" s="3891"/>
      <c r="XFC223" s="3892"/>
      <c r="XFD223" s="3893"/>
    </row>
    <row r="224" s="3573" customFormat="1" ht="50" customHeight="1" spans="1:59 16376:16384">
      <c r="A224" s="3922">
        <v>46181</v>
      </c>
      <c r="B224" s="3923" t="s">
        <v>2285</v>
      </c>
      <c r="C224" s="3924" t="s">
        <v>351</v>
      </c>
      <c r="D224" s="3925" t="s">
        <v>8993</v>
      </c>
      <c r="E224" s="3926" t="s">
        <v>8994</v>
      </c>
      <c r="F224" s="3925" t="s">
        <v>8995</v>
      </c>
      <c r="G224" s="3926" t="s">
        <v>8290</v>
      </c>
      <c r="H224" s="3927" t="s">
        <v>8291</v>
      </c>
      <c r="I224" s="3927">
        <v>840</v>
      </c>
      <c r="J224" s="3927">
        <v>0</v>
      </c>
      <c r="K224" s="3927">
        <v>4</v>
      </c>
      <c r="L224" s="3927">
        <f t="shared" si="76"/>
        <v>210</v>
      </c>
      <c r="M224" s="3928">
        <v>46241</v>
      </c>
      <c r="N224" s="3928">
        <v>46237</v>
      </c>
      <c r="O224" s="3929"/>
      <c r="P224" s="3926"/>
      <c r="Q224" s="3900"/>
      <c r="R224" s="3930" t="s">
        <v>4331</v>
      </c>
      <c r="S224" s="3931"/>
      <c r="T224" s="3930" t="s">
        <v>8996</v>
      </c>
      <c r="U224" s="3897" t="s">
        <v>8997</v>
      </c>
      <c r="V224" s="3932"/>
      <c r="W224" s="3900" t="s">
        <v>8998</v>
      </c>
      <c r="X224" s="3933" t="s">
        <v>1199</v>
      </c>
      <c r="Y224" s="3934">
        <v>10.0961</v>
      </c>
      <c r="Z224" s="3927">
        <f t="shared" si="69"/>
        <v>8480.724</v>
      </c>
      <c r="AA224" s="3935"/>
      <c r="AB224" s="3916" t="s">
        <v>8290</v>
      </c>
      <c r="AC224" s="3900" t="s">
        <v>416</v>
      </c>
      <c r="AD224" s="3936"/>
      <c r="AE224" s="3937"/>
      <c r="AF224" s="3938"/>
      <c r="AG224" s="3927">
        <f>I224</f>
        <v>840</v>
      </c>
      <c r="AH224" s="3939"/>
      <c r="AI224" s="3940"/>
      <c r="AJ224" s="3927">
        <f t="shared" si="63"/>
        <v>840</v>
      </c>
      <c r="AK224" s="3941"/>
      <c r="AL224" s="3941">
        <f>I224</f>
        <v>840</v>
      </c>
      <c r="AM224" s="3940"/>
      <c r="AN224" s="3940"/>
      <c r="AO224" s="3941"/>
      <c r="AP224" s="3941"/>
      <c r="AQ224" s="3918" t="s">
        <v>89</v>
      </c>
      <c r="AR224" s="3908">
        <f>I224/1*AR1</f>
        <v>252</v>
      </c>
      <c r="AS224" s="3908">
        <f>I224/1*AS1</f>
        <v>210</v>
      </c>
      <c r="AT224" s="3908">
        <f>I224/1*AT1</f>
        <v>378</v>
      </c>
      <c r="AU224" s="3942">
        <f t="shared" si="78"/>
        <v>840</v>
      </c>
      <c r="AV224" s="3943">
        <f t="shared" si="68"/>
        <v>0</v>
      </c>
      <c r="AW224" s="3944"/>
      <c r="AX224" s="3944"/>
      <c r="AY224" s="3944"/>
      <c r="AZ224" s="3944"/>
      <c r="BA224" s="3944"/>
      <c r="BB224" s="3944"/>
      <c r="BC224" s="3944"/>
      <c r="BD224" s="3944"/>
      <c r="BE224" s="3944"/>
      <c r="BF224" s="3944"/>
      <c r="BG224" s="3945"/>
    </row>
    <row r="225" s="3573" customFormat="1" ht="50" customHeight="1" spans="1:59">
      <c r="A225" s="3922">
        <v>46181</v>
      </c>
      <c r="B225" s="3923" t="s">
        <v>2285</v>
      </c>
      <c r="C225" s="3924" t="s">
        <v>351</v>
      </c>
      <c r="D225" s="3925" t="s">
        <v>8999</v>
      </c>
      <c r="E225" s="3926" t="s">
        <v>9000</v>
      </c>
      <c r="F225" s="3925" t="s">
        <v>9001</v>
      </c>
      <c r="G225" s="3926" t="s">
        <v>8290</v>
      </c>
      <c r="H225" s="3927" t="s">
        <v>8291</v>
      </c>
      <c r="I225" s="3927">
        <v>324</v>
      </c>
      <c r="J225" s="3927">
        <v>0</v>
      </c>
      <c r="K225" s="3927">
        <v>4</v>
      </c>
      <c r="L225" s="3927">
        <f t="shared" si="76"/>
        <v>81</v>
      </c>
      <c r="M225" s="3928">
        <v>46241</v>
      </c>
      <c r="N225" s="3928">
        <v>46237</v>
      </c>
      <c r="O225" s="3929"/>
      <c r="P225" s="3926"/>
      <c r="Q225" s="3900"/>
      <c r="R225" s="3930" t="s">
        <v>4331</v>
      </c>
      <c r="S225" s="3931"/>
      <c r="T225" s="3930" t="s">
        <v>9002</v>
      </c>
      <c r="U225" s="3897" t="s">
        <v>8997</v>
      </c>
      <c r="V225" s="3932"/>
      <c r="W225" s="3900" t="s">
        <v>9003</v>
      </c>
      <c r="X225" s="3933" t="s">
        <v>1199</v>
      </c>
      <c r="Y225" s="3934">
        <v>10.1171</v>
      </c>
      <c r="Z225" s="3927">
        <f t="shared" si="69"/>
        <v>3277.9404</v>
      </c>
      <c r="AA225" s="3935"/>
      <c r="AB225" s="3916" t="s">
        <v>8290</v>
      </c>
      <c r="AC225" s="3900" t="s">
        <v>416</v>
      </c>
      <c r="AD225" s="3936"/>
      <c r="AE225" s="3937"/>
      <c r="AF225" s="3938"/>
      <c r="AG225" s="3927">
        <f>I225</f>
        <v>324</v>
      </c>
      <c r="AH225" s="3939"/>
      <c r="AI225" s="3940"/>
      <c r="AJ225" s="3927">
        <f t="shared" si="63"/>
        <v>324</v>
      </c>
      <c r="AK225" s="3941"/>
      <c r="AL225" s="3941">
        <f>I225</f>
        <v>324</v>
      </c>
      <c r="AM225" s="3940"/>
      <c r="AN225" s="3940"/>
      <c r="AO225" s="3941"/>
      <c r="AP225" s="3941"/>
      <c r="AQ225" s="3918" t="s">
        <v>89</v>
      </c>
      <c r="AR225" s="3908">
        <f>I225/1*AR1</f>
        <v>97.2</v>
      </c>
      <c r="AS225" s="3908">
        <f>I225/1*AS1</f>
        <v>81</v>
      </c>
      <c r="AT225" s="3908">
        <f>I225/1*AT1</f>
        <v>145.8</v>
      </c>
      <c r="AU225" s="3942">
        <f t="shared" si="78"/>
        <v>324</v>
      </c>
      <c r="AV225" s="3943">
        <f t="shared" si="68"/>
        <v>0</v>
      </c>
      <c r="AW225" s="3944"/>
      <c r="AX225" s="3944"/>
      <c r="AY225" s="3944"/>
      <c r="AZ225" s="3944"/>
      <c r="BA225" s="3944"/>
      <c r="BB225" s="3944"/>
      <c r="BC225" s="3944"/>
      <c r="BD225" s="3944"/>
      <c r="BE225" s="3944"/>
      <c r="BF225" s="3944"/>
      <c r="BG225" s="3945"/>
    </row>
    <row r="226" s="3572" customFormat="1" ht="50" customHeight="1" spans="1:59">
      <c r="A226" s="3891">
        <v>46205</v>
      </c>
      <c r="B226" s="3892" t="s">
        <v>9004</v>
      </c>
      <c r="C226" s="3893" t="s">
        <v>1385</v>
      </c>
      <c r="D226" s="3894" t="s">
        <v>9005</v>
      </c>
      <c r="E226" s="3615" t="s">
        <v>9006</v>
      </c>
      <c r="F226" s="3894" t="s">
        <v>9007</v>
      </c>
      <c r="G226" s="3615" t="s">
        <v>8290</v>
      </c>
      <c r="H226" s="3927" t="s">
        <v>8291</v>
      </c>
      <c r="I226" s="3895">
        <v>220</v>
      </c>
      <c r="J226" s="3895">
        <v>0</v>
      </c>
      <c r="K226" s="3895">
        <v>4</v>
      </c>
      <c r="L226" s="3895">
        <f t="shared" si="76"/>
        <v>55</v>
      </c>
      <c r="M226" s="3896">
        <v>46241</v>
      </c>
      <c r="N226" s="3896">
        <v>46237</v>
      </c>
      <c r="O226" s="875"/>
      <c r="P226" s="3615"/>
      <c r="Q226" s="891" t="s">
        <v>1754</v>
      </c>
      <c r="R226" s="3897" t="s">
        <v>1628</v>
      </c>
      <c r="S226" s="3898"/>
      <c r="T226" s="3897" t="s">
        <v>9008</v>
      </c>
      <c r="U226" s="3898"/>
      <c r="V226" s="3899"/>
      <c r="W226" s="3900" t="s">
        <v>9009</v>
      </c>
      <c r="X226" s="2863" t="s">
        <v>9010</v>
      </c>
      <c r="Y226" s="3901">
        <v>10.1171</v>
      </c>
      <c r="Z226" s="3895">
        <f t="shared" si="69"/>
        <v>2225.762</v>
      </c>
      <c r="AA226" s="3902"/>
      <c r="AB226" s="3615" t="s">
        <v>8290</v>
      </c>
      <c r="AC226" s="3900" t="s">
        <v>416</v>
      </c>
      <c r="AD226" s="3755"/>
      <c r="AE226" s="3756"/>
      <c r="AF226" s="3720"/>
      <c r="AG226" s="3895">
        <f>I226</f>
        <v>220</v>
      </c>
      <c r="AH226" s="3904"/>
      <c r="AI226" s="3905"/>
      <c r="AJ226" s="3895">
        <f t="shared" si="63"/>
        <v>220</v>
      </c>
      <c r="AK226" s="3906"/>
      <c r="AL226" s="3906">
        <f>I226</f>
        <v>220</v>
      </c>
      <c r="AM226" s="3905"/>
      <c r="AN226" s="3905"/>
      <c r="AO226" s="3906"/>
      <c r="AP226" s="3906"/>
      <c r="AQ226" s="3918" t="s">
        <v>89</v>
      </c>
      <c r="AR226" s="3918">
        <f t="shared" ref="AR226:AR231" si="79">I226/3</f>
        <v>73.3333333333333</v>
      </c>
      <c r="AS226" s="3918">
        <f t="shared" ref="AS226:AS231" si="80">I226/3</f>
        <v>73.3333333333333</v>
      </c>
      <c r="AT226" s="3918">
        <f t="shared" ref="AT226:AT231" si="81">I226/3</f>
        <v>73.3333333333333</v>
      </c>
      <c r="AU226" s="3911">
        <f t="shared" si="78"/>
        <v>220</v>
      </c>
      <c r="AV226" s="3912">
        <f t="shared" si="68"/>
        <v>0</v>
      </c>
      <c r="AW226" s="3913"/>
      <c r="AX226" s="3913"/>
      <c r="AY226" s="3913"/>
      <c r="AZ226" s="3913"/>
      <c r="BA226" s="3913"/>
      <c r="BB226" s="3913"/>
      <c r="BC226" s="3913"/>
      <c r="BD226" s="3913"/>
      <c r="BE226" s="3913"/>
      <c r="BF226" s="3913"/>
      <c r="BG226" s="3914"/>
    </row>
    <row r="227" s="3573" customFormat="1" ht="50" customHeight="1" spans="1:59">
      <c r="A227" s="3922">
        <v>46184</v>
      </c>
      <c r="B227" s="3923" t="s">
        <v>461</v>
      </c>
      <c r="C227" s="3924" t="s">
        <v>341</v>
      </c>
      <c r="D227" s="3925" t="s">
        <v>9011</v>
      </c>
      <c r="E227" s="3926" t="s">
        <v>9012</v>
      </c>
      <c r="F227" s="3925" t="s">
        <v>9013</v>
      </c>
      <c r="G227" s="3926" t="s">
        <v>8477</v>
      </c>
      <c r="H227" s="3927" t="s">
        <v>8291</v>
      </c>
      <c r="I227" s="3927">
        <v>2000</v>
      </c>
      <c r="J227" s="3927">
        <v>0</v>
      </c>
      <c r="K227" s="3927">
        <v>4</v>
      </c>
      <c r="L227" s="3927">
        <f t="shared" si="76"/>
        <v>500</v>
      </c>
      <c r="M227" s="3928">
        <v>46244</v>
      </c>
      <c r="N227" s="3928">
        <f>M227-4</f>
        <v>46240</v>
      </c>
      <c r="O227" s="3929"/>
      <c r="P227" s="3926"/>
      <c r="Q227" s="891" t="s">
        <v>224</v>
      </c>
      <c r="R227" s="3897" t="s">
        <v>4210</v>
      </c>
      <c r="S227" s="3931"/>
      <c r="T227" s="3897" t="s">
        <v>98</v>
      </c>
      <c r="U227" s="3897" t="s">
        <v>8944</v>
      </c>
      <c r="V227" s="3932"/>
      <c r="W227" s="3900" t="s">
        <v>9014</v>
      </c>
      <c r="X227" s="3933" t="s">
        <v>5106</v>
      </c>
      <c r="Y227" s="3934">
        <v>10.2737</v>
      </c>
      <c r="Z227" s="3927">
        <f t="shared" si="69"/>
        <v>20547.4</v>
      </c>
      <c r="AA227" s="3935"/>
      <c r="AB227" s="3946" t="s">
        <v>8479</v>
      </c>
      <c r="AC227" s="3900" t="s">
        <v>416</v>
      </c>
      <c r="AD227" s="3936"/>
      <c r="AE227" s="3937"/>
      <c r="AF227" s="3938"/>
      <c r="AG227" s="3927"/>
      <c r="AH227" s="3939">
        <f>I227</f>
        <v>2000</v>
      </c>
      <c r="AI227" s="3940"/>
      <c r="AJ227" s="3927">
        <f>I227</f>
        <v>2000</v>
      </c>
      <c r="AK227" s="3941"/>
      <c r="AL227" s="3941"/>
      <c r="AM227" s="3940">
        <f>I227</f>
        <v>2000</v>
      </c>
      <c r="AN227" s="3940"/>
      <c r="AO227" s="3941"/>
      <c r="AP227" s="3941"/>
      <c r="AQ227" s="3918" t="s">
        <v>89</v>
      </c>
      <c r="AR227" s="3918">
        <f t="shared" si="79"/>
        <v>666.666666666667</v>
      </c>
      <c r="AS227" s="3918">
        <f t="shared" si="80"/>
        <v>666.666666666667</v>
      </c>
      <c r="AT227" s="3918">
        <f t="shared" si="81"/>
        <v>666.666666666667</v>
      </c>
      <c r="AU227" s="3942">
        <f t="shared" si="78"/>
        <v>2000</v>
      </c>
      <c r="AV227" s="3943">
        <f t="shared" si="68"/>
        <v>0</v>
      </c>
      <c r="AW227" s="3944"/>
      <c r="AX227" s="3944"/>
      <c r="AY227" s="3944"/>
      <c r="AZ227" s="3944"/>
      <c r="BA227" s="3944"/>
      <c r="BB227" s="3944"/>
      <c r="BC227" s="3944"/>
      <c r="BD227" s="3944"/>
      <c r="BE227" s="3944"/>
      <c r="BF227" s="3944"/>
      <c r="BG227" s="3945"/>
    </row>
    <row r="228" s="3573" customFormat="1" ht="50" customHeight="1" spans="1:59">
      <c r="A228" s="3922">
        <v>46184</v>
      </c>
      <c r="B228" s="3923" t="s">
        <v>461</v>
      </c>
      <c r="C228" s="3924" t="s">
        <v>341</v>
      </c>
      <c r="D228" s="3925" t="s">
        <v>9011</v>
      </c>
      <c r="E228" s="3926" t="s">
        <v>9015</v>
      </c>
      <c r="F228" s="3925" t="s">
        <v>9016</v>
      </c>
      <c r="G228" s="3926" t="s">
        <v>8477</v>
      </c>
      <c r="H228" s="3927" t="s">
        <v>8291</v>
      </c>
      <c r="I228" s="3927">
        <v>2000</v>
      </c>
      <c r="J228" s="3927">
        <v>0</v>
      </c>
      <c r="K228" s="3927">
        <v>4</v>
      </c>
      <c r="L228" s="3927">
        <f t="shared" si="76"/>
        <v>500</v>
      </c>
      <c r="M228" s="3928">
        <v>46244</v>
      </c>
      <c r="N228" s="3928">
        <f>M228-4</f>
        <v>46240</v>
      </c>
      <c r="O228" s="3929"/>
      <c r="P228" s="3926"/>
      <c r="Q228" s="891" t="s">
        <v>224</v>
      </c>
      <c r="R228" s="3897" t="s">
        <v>4210</v>
      </c>
      <c r="S228" s="3931"/>
      <c r="T228" s="3897" t="s">
        <v>98</v>
      </c>
      <c r="U228" s="3897" t="s">
        <v>8944</v>
      </c>
      <c r="V228" s="3932"/>
      <c r="W228" s="3900" t="s">
        <v>9014</v>
      </c>
      <c r="X228" s="3933" t="s">
        <v>5106</v>
      </c>
      <c r="Y228" s="3934">
        <v>10.2737</v>
      </c>
      <c r="Z228" s="3927">
        <f t="shared" si="69"/>
        <v>20547.4</v>
      </c>
      <c r="AA228" s="3935"/>
      <c r="AB228" s="3946" t="s">
        <v>8479</v>
      </c>
      <c r="AC228" s="3900" t="s">
        <v>416</v>
      </c>
      <c r="AD228" s="3936"/>
      <c r="AE228" s="3937"/>
      <c r="AF228" s="3938"/>
      <c r="AG228" s="3927"/>
      <c r="AH228" s="3939">
        <f>I228</f>
        <v>2000</v>
      </c>
      <c r="AI228" s="3940"/>
      <c r="AJ228" s="3927">
        <f>I228</f>
        <v>2000</v>
      </c>
      <c r="AK228" s="3941"/>
      <c r="AL228" s="3941"/>
      <c r="AM228" s="3940">
        <f>I228</f>
        <v>2000</v>
      </c>
      <c r="AN228" s="3940"/>
      <c r="AO228" s="3941"/>
      <c r="AP228" s="3941"/>
      <c r="AQ228" s="3918" t="s">
        <v>89</v>
      </c>
      <c r="AR228" s="3918">
        <f t="shared" si="79"/>
        <v>666.666666666667</v>
      </c>
      <c r="AS228" s="3918">
        <f t="shared" si="80"/>
        <v>666.666666666667</v>
      </c>
      <c r="AT228" s="3918">
        <f t="shared" si="81"/>
        <v>666.666666666667</v>
      </c>
      <c r="AU228" s="3942">
        <f t="shared" si="78"/>
        <v>2000</v>
      </c>
      <c r="AV228" s="3943">
        <f t="shared" si="68"/>
        <v>0</v>
      </c>
      <c r="AW228" s="3944"/>
      <c r="AX228" s="3944"/>
      <c r="AY228" s="3944"/>
      <c r="AZ228" s="3944"/>
      <c r="BA228" s="3944"/>
      <c r="BB228" s="3944"/>
      <c r="BC228" s="3944"/>
      <c r="BD228" s="3944"/>
      <c r="BE228" s="3944"/>
      <c r="BF228" s="3944"/>
      <c r="BG228" s="3945"/>
    </row>
    <row r="229" s="3573" customFormat="1" ht="50" customHeight="1" spans="1:59">
      <c r="A229" s="3922">
        <v>46184</v>
      </c>
      <c r="B229" s="3923" t="s">
        <v>461</v>
      </c>
      <c r="C229" s="3924" t="s">
        <v>341</v>
      </c>
      <c r="D229" s="3925" t="s">
        <v>9011</v>
      </c>
      <c r="E229" s="3926" t="s">
        <v>9017</v>
      </c>
      <c r="F229" s="3925" t="s">
        <v>9018</v>
      </c>
      <c r="G229" s="3926" t="s">
        <v>8477</v>
      </c>
      <c r="H229" s="3927" t="s">
        <v>8291</v>
      </c>
      <c r="I229" s="3927">
        <v>2000</v>
      </c>
      <c r="J229" s="3927">
        <v>0</v>
      </c>
      <c r="K229" s="3927">
        <v>4</v>
      </c>
      <c r="L229" s="3927">
        <f t="shared" si="76"/>
        <v>500</v>
      </c>
      <c r="M229" s="3928">
        <v>46244</v>
      </c>
      <c r="N229" s="3928">
        <f>M229-4</f>
        <v>46240</v>
      </c>
      <c r="O229" s="3929"/>
      <c r="P229" s="3926"/>
      <c r="Q229" s="891" t="s">
        <v>224</v>
      </c>
      <c r="R229" s="3897" t="s">
        <v>4210</v>
      </c>
      <c r="S229" s="3931"/>
      <c r="T229" s="3897" t="s">
        <v>98</v>
      </c>
      <c r="U229" s="3897" t="s">
        <v>8944</v>
      </c>
      <c r="V229" s="3932"/>
      <c r="W229" s="3900" t="s">
        <v>9014</v>
      </c>
      <c r="X229" s="3933" t="s">
        <v>5106</v>
      </c>
      <c r="Y229" s="3934">
        <v>10.2737</v>
      </c>
      <c r="Z229" s="3927">
        <f t="shared" si="69"/>
        <v>20547.4</v>
      </c>
      <c r="AA229" s="3935"/>
      <c r="AB229" s="3946" t="s">
        <v>8479</v>
      </c>
      <c r="AC229" s="3900" t="s">
        <v>416</v>
      </c>
      <c r="AD229" s="3936"/>
      <c r="AE229" s="3937"/>
      <c r="AF229" s="3938"/>
      <c r="AG229" s="3927"/>
      <c r="AH229" s="3939">
        <f>I229</f>
        <v>2000</v>
      </c>
      <c r="AI229" s="3940"/>
      <c r="AJ229" s="3927">
        <f>I229</f>
        <v>2000</v>
      </c>
      <c r="AK229" s="3941"/>
      <c r="AL229" s="3941"/>
      <c r="AM229" s="3940">
        <f>I229</f>
        <v>2000</v>
      </c>
      <c r="AN229" s="3940"/>
      <c r="AO229" s="3941"/>
      <c r="AP229" s="3941"/>
      <c r="AQ229" s="3918" t="s">
        <v>89</v>
      </c>
      <c r="AR229" s="3918">
        <f t="shared" si="79"/>
        <v>666.666666666667</v>
      </c>
      <c r="AS229" s="3918">
        <f t="shared" si="80"/>
        <v>666.666666666667</v>
      </c>
      <c r="AT229" s="3918">
        <f t="shared" si="81"/>
        <v>666.666666666667</v>
      </c>
      <c r="AU229" s="3942">
        <f t="shared" si="78"/>
        <v>2000</v>
      </c>
      <c r="AV229" s="3943">
        <f t="shared" si="68"/>
        <v>0</v>
      </c>
      <c r="AW229" s="3944"/>
      <c r="AX229" s="3944"/>
      <c r="AY229" s="3944"/>
      <c r="AZ229" s="3944"/>
      <c r="BA229" s="3944"/>
      <c r="BB229" s="3944"/>
      <c r="BC229" s="3944"/>
      <c r="BD229" s="3944"/>
      <c r="BE229" s="3944"/>
      <c r="BF229" s="3944"/>
      <c r="BG229" s="3945"/>
    </row>
    <row r="230" s="3573" customFormat="1" ht="50" customHeight="1" spans="1:59">
      <c r="A230" s="3922">
        <v>46184</v>
      </c>
      <c r="B230" s="3923" t="s">
        <v>461</v>
      </c>
      <c r="C230" s="3924" t="s">
        <v>341</v>
      </c>
      <c r="D230" s="3925" t="s">
        <v>9011</v>
      </c>
      <c r="E230" s="3926" t="s">
        <v>9019</v>
      </c>
      <c r="F230" s="3925" t="s">
        <v>9020</v>
      </c>
      <c r="G230" s="3926" t="s">
        <v>8477</v>
      </c>
      <c r="H230" s="3927" t="s">
        <v>8291</v>
      </c>
      <c r="I230" s="3927">
        <v>2000</v>
      </c>
      <c r="J230" s="3927">
        <v>0</v>
      </c>
      <c r="K230" s="3927">
        <v>4</v>
      </c>
      <c r="L230" s="3927">
        <f t="shared" si="76"/>
        <v>500</v>
      </c>
      <c r="M230" s="3928">
        <v>46244</v>
      </c>
      <c r="N230" s="3928">
        <f>M230-4</f>
        <v>46240</v>
      </c>
      <c r="O230" s="3929"/>
      <c r="P230" s="3926"/>
      <c r="Q230" s="891" t="s">
        <v>224</v>
      </c>
      <c r="R230" s="3897" t="s">
        <v>4210</v>
      </c>
      <c r="S230" s="3931"/>
      <c r="T230" s="3897" t="s">
        <v>98</v>
      </c>
      <c r="U230" s="3897" t="s">
        <v>8944</v>
      </c>
      <c r="V230" s="3932"/>
      <c r="W230" s="3900" t="s">
        <v>9014</v>
      </c>
      <c r="X230" s="3933" t="s">
        <v>5106</v>
      </c>
      <c r="Y230" s="3934">
        <v>10.2737</v>
      </c>
      <c r="Z230" s="3927">
        <f t="shared" si="69"/>
        <v>20547.4</v>
      </c>
      <c r="AA230" s="3935"/>
      <c r="AB230" s="3946" t="s">
        <v>8479</v>
      </c>
      <c r="AC230" s="3900" t="s">
        <v>416</v>
      </c>
      <c r="AD230" s="3936"/>
      <c r="AE230" s="3937"/>
      <c r="AF230" s="3938"/>
      <c r="AG230" s="3927"/>
      <c r="AH230" s="3939">
        <f>I230</f>
        <v>2000</v>
      </c>
      <c r="AI230" s="3940"/>
      <c r="AJ230" s="3927">
        <f>I230</f>
        <v>2000</v>
      </c>
      <c r="AK230" s="3941"/>
      <c r="AL230" s="3941"/>
      <c r="AM230" s="3940">
        <f>I230</f>
        <v>2000</v>
      </c>
      <c r="AN230" s="3940"/>
      <c r="AO230" s="3941"/>
      <c r="AP230" s="3941"/>
      <c r="AQ230" s="3918" t="s">
        <v>89</v>
      </c>
      <c r="AR230" s="3918">
        <f t="shared" si="79"/>
        <v>666.666666666667</v>
      </c>
      <c r="AS230" s="3918">
        <f t="shared" si="80"/>
        <v>666.666666666667</v>
      </c>
      <c r="AT230" s="3918">
        <f t="shared" si="81"/>
        <v>666.666666666667</v>
      </c>
      <c r="AU230" s="3942">
        <f t="shared" si="78"/>
        <v>2000</v>
      </c>
      <c r="AV230" s="3943">
        <f t="shared" si="68"/>
        <v>0</v>
      </c>
      <c r="AW230" s="3944"/>
      <c r="AX230" s="3944"/>
      <c r="AY230" s="3944"/>
      <c r="AZ230" s="3944"/>
      <c r="BA230" s="3944"/>
      <c r="BB230" s="3944"/>
      <c r="BC230" s="3944"/>
      <c r="BD230" s="3944"/>
      <c r="BE230" s="3944"/>
      <c r="BF230" s="3944"/>
      <c r="BG230" s="3945"/>
    </row>
    <row r="231" s="3572" customFormat="1" ht="50" customHeight="1" spans="1:59">
      <c r="A231" s="3891">
        <v>46097</v>
      </c>
      <c r="B231" s="3892" t="s">
        <v>8834</v>
      </c>
      <c r="C231" s="3893" t="s">
        <v>91</v>
      </c>
      <c r="D231" s="3894">
        <v>4500197052</v>
      </c>
      <c r="E231" s="3615">
        <v>117383416</v>
      </c>
      <c r="F231" s="3894" t="s">
        <v>9021</v>
      </c>
      <c r="G231" s="3615" t="s">
        <v>8836</v>
      </c>
      <c r="H231" s="3895" t="s">
        <v>8291</v>
      </c>
      <c r="I231" s="3895">
        <v>1852</v>
      </c>
      <c r="J231" s="3895">
        <v>0</v>
      </c>
      <c r="K231" s="3895">
        <v>4</v>
      </c>
      <c r="L231" s="3895">
        <f t="shared" si="76"/>
        <v>463</v>
      </c>
      <c r="M231" s="3896">
        <v>46246</v>
      </c>
      <c r="N231" s="3896">
        <v>46242</v>
      </c>
      <c r="O231" s="875"/>
      <c r="P231" s="3615"/>
      <c r="Q231" s="3658"/>
      <c r="R231" s="3898" t="s">
        <v>8838</v>
      </c>
      <c r="S231" s="3898"/>
      <c r="T231" s="3898" t="s">
        <v>98</v>
      </c>
      <c r="U231" s="3898"/>
      <c r="V231" s="3899"/>
      <c r="W231" s="3947" t="s">
        <v>9022</v>
      </c>
      <c r="X231" s="2863" t="s">
        <v>8840</v>
      </c>
      <c r="Y231" s="3901">
        <v>6.217</v>
      </c>
      <c r="Z231" s="3895">
        <f t="shared" ref="Z227:Z250" si="82">I231*Y231</f>
        <v>11513.884</v>
      </c>
      <c r="AA231" s="3902"/>
      <c r="AB231" s="3615" t="s">
        <v>8836</v>
      </c>
      <c r="AC231" s="3658" t="s">
        <v>416</v>
      </c>
      <c r="AD231" s="3755"/>
      <c r="AE231" s="3756"/>
      <c r="AF231" s="3720"/>
      <c r="AG231" s="3895">
        <f>I231</f>
        <v>1852</v>
      </c>
      <c r="AH231" s="3904"/>
      <c r="AI231" s="3905"/>
      <c r="AJ231" s="3895">
        <f t="shared" ref="AJ231:AJ250" si="83">I231</f>
        <v>1852</v>
      </c>
      <c r="AK231" s="3906"/>
      <c r="AL231" s="3906">
        <f t="shared" ref="AL231:AL250" si="84">I231</f>
        <v>1852</v>
      </c>
      <c r="AM231" s="3905"/>
      <c r="AN231" s="3905">
        <f>I231/4</f>
        <v>463</v>
      </c>
      <c r="AO231" s="3906"/>
      <c r="AP231" s="3906"/>
      <c r="AQ231" s="3907" t="s">
        <v>89</v>
      </c>
      <c r="AR231" s="3918">
        <f t="shared" si="79"/>
        <v>617.333333333333</v>
      </c>
      <c r="AS231" s="3918">
        <f t="shared" si="80"/>
        <v>617.333333333333</v>
      </c>
      <c r="AT231" s="3918">
        <f t="shared" si="81"/>
        <v>617.333333333333</v>
      </c>
      <c r="AU231" s="3911">
        <f t="shared" si="78"/>
        <v>1852</v>
      </c>
      <c r="AV231" s="3912">
        <f t="shared" si="68"/>
        <v>0</v>
      </c>
      <c r="AW231" s="3913"/>
      <c r="AX231" s="3913"/>
      <c r="AY231" s="3913"/>
      <c r="AZ231" s="3913"/>
      <c r="BA231" s="3913"/>
      <c r="BB231" s="3913"/>
      <c r="BC231" s="3913"/>
      <c r="BD231" s="3913"/>
      <c r="BE231" s="3913"/>
      <c r="BF231" s="3913"/>
      <c r="BG231" s="3914"/>
    </row>
    <row r="232" s="3572" customFormat="1" ht="50" customHeight="1" spans="1:59">
      <c r="A232" s="3891">
        <v>46174</v>
      </c>
      <c r="B232" s="3892" t="s">
        <v>4533</v>
      </c>
      <c r="C232" s="3893" t="s">
        <v>738</v>
      </c>
      <c r="D232" s="3894" t="s">
        <v>9023</v>
      </c>
      <c r="E232" s="3615"/>
      <c r="F232" s="3894" t="s">
        <v>9024</v>
      </c>
      <c r="G232" s="3615" t="s">
        <v>8786</v>
      </c>
      <c r="H232" s="3895" t="s">
        <v>8571</v>
      </c>
      <c r="I232" s="3895">
        <v>100</v>
      </c>
      <c r="J232" s="3895">
        <v>0</v>
      </c>
      <c r="K232" s="3895">
        <v>4</v>
      </c>
      <c r="L232" s="3895">
        <f t="shared" si="76"/>
        <v>25</v>
      </c>
      <c r="M232" s="3896">
        <v>46251</v>
      </c>
      <c r="N232" s="3896">
        <v>46247</v>
      </c>
      <c r="O232" s="875"/>
      <c r="P232" s="3615"/>
      <c r="Q232" s="3658"/>
      <c r="R232" s="3897" t="s">
        <v>2475</v>
      </c>
      <c r="S232" s="3898"/>
      <c r="T232" s="3897" t="s">
        <v>9025</v>
      </c>
      <c r="U232" s="3898"/>
      <c r="V232" s="3899"/>
      <c r="W232" s="3900" t="s">
        <v>9026</v>
      </c>
      <c r="X232" s="2863" t="s">
        <v>1257</v>
      </c>
      <c r="Y232" s="3901">
        <v>10.1386</v>
      </c>
      <c r="Z232" s="3895">
        <f t="shared" si="82"/>
        <v>1013.86</v>
      </c>
      <c r="AA232" s="3902"/>
      <c r="AB232" s="3615" t="s">
        <v>8787</v>
      </c>
      <c r="AC232" s="3900" t="s">
        <v>416</v>
      </c>
      <c r="AD232" s="3755"/>
      <c r="AE232" s="3756"/>
      <c r="AF232" s="3720"/>
      <c r="AG232" s="3895"/>
      <c r="AH232" s="3904">
        <f t="shared" ref="AH232:AH238" si="85">I232</f>
        <v>100</v>
      </c>
      <c r="AI232" s="3905"/>
      <c r="AJ232" s="3895">
        <f t="shared" si="83"/>
        <v>100</v>
      </c>
      <c r="AK232" s="3906"/>
      <c r="AL232" s="3906">
        <f t="shared" si="84"/>
        <v>100</v>
      </c>
      <c r="AM232" s="3905"/>
      <c r="AN232" s="3905"/>
      <c r="AO232" s="3906"/>
      <c r="AP232" s="3906"/>
      <c r="AQ232" s="3918" t="s">
        <v>89</v>
      </c>
      <c r="AR232" s="3907"/>
      <c r="AS232" s="3907"/>
      <c r="AT232" s="3907">
        <f>I232</f>
        <v>100</v>
      </c>
      <c r="AU232" s="3911">
        <f t="shared" si="78"/>
        <v>100</v>
      </c>
      <c r="AV232" s="3912"/>
      <c r="AW232" s="3913"/>
      <c r="AX232" s="3913"/>
      <c r="AY232" s="3913"/>
      <c r="AZ232" s="3913"/>
      <c r="BA232" s="3913"/>
      <c r="BB232" s="3913"/>
      <c r="BC232" s="3913"/>
      <c r="BD232" s="3913"/>
      <c r="BE232" s="3913"/>
      <c r="BF232" s="3913"/>
      <c r="BG232" s="3914"/>
    </row>
    <row r="233" s="3572" customFormat="1" ht="50" customHeight="1" spans="1:59">
      <c r="A233" s="3891">
        <v>46174</v>
      </c>
      <c r="B233" s="3892" t="s">
        <v>4533</v>
      </c>
      <c r="C233" s="3893" t="s">
        <v>738</v>
      </c>
      <c r="D233" s="3894" t="s">
        <v>9023</v>
      </c>
      <c r="E233" s="3615"/>
      <c r="F233" s="3894" t="s">
        <v>9027</v>
      </c>
      <c r="G233" s="3615" t="s">
        <v>8780</v>
      </c>
      <c r="H233" s="3895" t="s">
        <v>8781</v>
      </c>
      <c r="I233" s="3895">
        <v>100</v>
      </c>
      <c r="J233" s="3895">
        <v>0</v>
      </c>
      <c r="K233" s="3895">
        <v>4</v>
      </c>
      <c r="L233" s="3895">
        <f t="shared" si="76"/>
        <v>25</v>
      </c>
      <c r="M233" s="3896">
        <v>46251</v>
      </c>
      <c r="N233" s="3896">
        <v>46247</v>
      </c>
      <c r="O233" s="875"/>
      <c r="P233" s="3615"/>
      <c r="Q233" s="3658"/>
      <c r="R233" s="3897" t="s">
        <v>2475</v>
      </c>
      <c r="S233" s="3898"/>
      <c r="T233" s="3897" t="s">
        <v>9025</v>
      </c>
      <c r="U233" s="3898"/>
      <c r="V233" s="3899"/>
      <c r="W233" s="3900" t="s">
        <v>9026</v>
      </c>
      <c r="X233" s="2863" t="s">
        <v>1257</v>
      </c>
      <c r="Y233" s="3901">
        <v>10.1386</v>
      </c>
      <c r="Z233" s="3895">
        <f t="shared" si="82"/>
        <v>1013.86</v>
      </c>
      <c r="AA233" s="3902"/>
      <c r="AB233" s="3615" t="s">
        <v>8783</v>
      </c>
      <c r="AC233" s="3900" t="s">
        <v>416</v>
      </c>
      <c r="AD233" s="3755"/>
      <c r="AE233" s="3756"/>
      <c r="AF233" s="3720"/>
      <c r="AG233" s="3895"/>
      <c r="AH233" s="3904">
        <f t="shared" si="85"/>
        <v>100</v>
      </c>
      <c r="AI233" s="3905"/>
      <c r="AJ233" s="3895">
        <f t="shared" si="83"/>
        <v>100</v>
      </c>
      <c r="AK233" s="3906"/>
      <c r="AL233" s="3906">
        <f t="shared" si="84"/>
        <v>100</v>
      </c>
      <c r="AM233" s="3905"/>
      <c r="AN233" s="3905"/>
      <c r="AO233" s="3906"/>
      <c r="AP233" s="3906"/>
      <c r="AQ233" s="3918" t="s">
        <v>89</v>
      </c>
      <c r="AR233" s="3907">
        <f>I233</f>
        <v>100</v>
      </c>
      <c r="AS233" s="3907"/>
      <c r="AT233" s="3907"/>
      <c r="AU233" s="3911">
        <f t="shared" si="78"/>
        <v>100</v>
      </c>
      <c r="AV233" s="3912"/>
      <c r="AW233" s="3913"/>
      <c r="AX233" s="3913"/>
      <c r="AY233" s="3913"/>
      <c r="AZ233" s="3913"/>
      <c r="BA233" s="3913"/>
      <c r="BB233" s="3913"/>
      <c r="BC233" s="3913"/>
      <c r="BD233" s="3913"/>
      <c r="BE233" s="3913"/>
      <c r="BF233" s="3913"/>
      <c r="BG233" s="3914"/>
    </row>
    <row r="234" s="3572" customFormat="1" ht="50" customHeight="1" spans="1:59">
      <c r="A234" s="3891">
        <v>46174</v>
      </c>
      <c r="B234" s="3892" t="s">
        <v>4533</v>
      </c>
      <c r="C234" s="3893" t="s">
        <v>738</v>
      </c>
      <c r="D234" s="3894" t="s">
        <v>9028</v>
      </c>
      <c r="E234" s="3615"/>
      <c r="F234" s="3894" t="s">
        <v>9029</v>
      </c>
      <c r="G234" s="3615" t="s">
        <v>8290</v>
      </c>
      <c r="H234" s="3895" t="s">
        <v>8291</v>
      </c>
      <c r="I234" s="3895">
        <v>264</v>
      </c>
      <c r="J234" s="3895">
        <v>0</v>
      </c>
      <c r="K234" s="3895">
        <v>4</v>
      </c>
      <c r="L234" s="3895">
        <f t="shared" si="76"/>
        <v>66</v>
      </c>
      <c r="M234" s="3896">
        <v>46251</v>
      </c>
      <c r="N234" s="3896">
        <v>46247</v>
      </c>
      <c r="O234" s="875"/>
      <c r="P234" s="3615"/>
      <c r="Q234" s="3658"/>
      <c r="R234" s="3897" t="s">
        <v>2475</v>
      </c>
      <c r="S234" s="3898"/>
      <c r="T234" s="3897" t="s">
        <v>9025</v>
      </c>
      <c r="U234" s="3898"/>
      <c r="V234" s="3899"/>
      <c r="W234" s="3900" t="s">
        <v>9030</v>
      </c>
      <c r="X234" s="2863" t="s">
        <v>1257</v>
      </c>
      <c r="Y234" s="3901">
        <v>10.6528</v>
      </c>
      <c r="Z234" s="3895">
        <f t="shared" si="82"/>
        <v>2812.3392</v>
      </c>
      <c r="AA234" s="3902"/>
      <c r="AB234" s="3903" t="s">
        <v>8329</v>
      </c>
      <c r="AC234" s="3900" t="s">
        <v>416</v>
      </c>
      <c r="AD234" s="3755"/>
      <c r="AE234" s="3756"/>
      <c r="AF234" s="3720"/>
      <c r="AG234" s="3895"/>
      <c r="AH234" s="3904">
        <f t="shared" si="85"/>
        <v>264</v>
      </c>
      <c r="AI234" s="3905"/>
      <c r="AJ234" s="3895">
        <f t="shared" si="83"/>
        <v>264</v>
      </c>
      <c r="AK234" s="3906"/>
      <c r="AL234" s="3906">
        <f t="shared" si="84"/>
        <v>264</v>
      </c>
      <c r="AM234" s="3905"/>
      <c r="AN234" s="3905"/>
      <c r="AO234" s="3906"/>
      <c r="AP234" s="3906"/>
      <c r="AQ234" s="3918" t="s">
        <v>89</v>
      </c>
      <c r="AR234" s="3908">
        <f>I234/3</f>
        <v>88</v>
      </c>
      <c r="AS234" s="3908">
        <f>I234/3</f>
        <v>88</v>
      </c>
      <c r="AT234" s="3908">
        <f>I234/3</f>
        <v>88</v>
      </c>
      <c r="AU234" s="3911">
        <f t="shared" si="78"/>
        <v>264</v>
      </c>
      <c r="AV234" s="3912">
        <f>I234-AU234</f>
        <v>0</v>
      </c>
      <c r="AW234" s="3913"/>
      <c r="AX234" s="3913"/>
      <c r="AY234" s="3913"/>
      <c r="AZ234" s="3913"/>
      <c r="BA234" s="3913"/>
      <c r="BB234" s="3913"/>
      <c r="BC234" s="3913"/>
      <c r="BD234" s="3913"/>
      <c r="BE234" s="3913"/>
      <c r="BF234" s="3913"/>
      <c r="BG234" s="3914"/>
    </row>
    <row r="235" s="3572" customFormat="1" ht="50" customHeight="1" spans="1:59">
      <c r="A235" s="3891">
        <v>46174</v>
      </c>
      <c r="B235" s="3892" t="s">
        <v>4533</v>
      </c>
      <c r="C235" s="3893" t="s">
        <v>738</v>
      </c>
      <c r="D235" s="3894" t="s">
        <v>9031</v>
      </c>
      <c r="E235" s="3615"/>
      <c r="F235" s="3894" t="s">
        <v>9032</v>
      </c>
      <c r="G235" s="3615" t="s">
        <v>9033</v>
      </c>
      <c r="H235" s="3927" t="s">
        <v>9034</v>
      </c>
      <c r="I235" s="3895">
        <v>80</v>
      </c>
      <c r="J235" s="3895">
        <v>0</v>
      </c>
      <c r="K235" s="3895">
        <v>4</v>
      </c>
      <c r="L235" s="3895">
        <f t="shared" si="76"/>
        <v>20</v>
      </c>
      <c r="M235" s="3896">
        <v>46251</v>
      </c>
      <c r="N235" s="3896">
        <v>46247</v>
      </c>
      <c r="O235" s="875"/>
      <c r="P235" s="3615"/>
      <c r="Q235" s="3658"/>
      <c r="R235" s="3897" t="s">
        <v>2475</v>
      </c>
      <c r="S235" s="3898"/>
      <c r="T235" s="3897" t="s">
        <v>9025</v>
      </c>
      <c r="U235" s="3898"/>
      <c r="V235" s="3899"/>
      <c r="W235" s="3900" t="s">
        <v>9035</v>
      </c>
      <c r="X235" s="2863" t="s">
        <v>1257</v>
      </c>
      <c r="Y235" s="3901">
        <v>10.6528</v>
      </c>
      <c r="Z235" s="3895">
        <f t="shared" si="82"/>
        <v>852.224</v>
      </c>
      <c r="AA235" s="3902"/>
      <c r="AB235" s="3926" t="s">
        <v>8716</v>
      </c>
      <c r="AC235" s="3900" t="s">
        <v>416</v>
      </c>
      <c r="AD235" s="3755"/>
      <c r="AE235" s="3756"/>
      <c r="AF235" s="3720"/>
      <c r="AG235" s="3895"/>
      <c r="AH235" s="3904">
        <f t="shared" si="85"/>
        <v>80</v>
      </c>
      <c r="AI235" s="3905"/>
      <c r="AJ235" s="3895">
        <f t="shared" si="83"/>
        <v>80</v>
      </c>
      <c r="AK235" s="3906"/>
      <c r="AL235" s="3906">
        <f t="shared" si="84"/>
        <v>80</v>
      </c>
      <c r="AM235" s="3905"/>
      <c r="AN235" s="3905"/>
      <c r="AO235" s="3906"/>
      <c r="AP235" s="3906"/>
      <c r="AQ235" s="3918" t="s">
        <v>89</v>
      </c>
      <c r="AR235" s="3907"/>
      <c r="AS235" s="3907">
        <f>I235</f>
        <v>80</v>
      </c>
      <c r="AT235" s="3907"/>
      <c r="AU235" s="3911"/>
      <c r="AV235" s="3912"/>
      <c r="AW235" s="3913"/>
      <c r="AX235" s="3913"/>
      <c r="AY235" s="3913"/>
      <c r="AZ235" s="3913"/>
      <c r="BA235" s="3913"/>
      <c r="BB235" s="3913"/>
      <c r="BC235" s="3913"/>
      <c r="BD235" s="3913"/>
      <c r="BE235" s="3913"/>
      <c r="BF235" s="3913"/>
      <c r="BG235" s="3914"/>
    </row>
    <row r="236" s="3572" customFormat="1" ht="50" customHeight="1" spans="1:59">
      <c r="A236" s="3891">
        <v>46174</v>
      </c>
      <c r="B236" s="3892" t="s">
        <v>4533</v>
      </c>
      <c r="C236" s="3893" t="s">
        <v>738</v>
      </c>
      <c r="D236" s="3894" t="s">
        <v>9031</v>
      </c>
      <c r="E236" s="3615"/>
      <c r="F236" s="3894" t="s">
        <v>9036</v>
      </c>
      <c r="G236" s="3615" t="s">
        <v>9037</v>
      </c>
      <c r="H236" s="3927" t="s">
        <v>9038</v>
      </c>
      <c r="I236" s="3895">
        <v>80</v>
      </c>
      <c r="J236" s="3895">
        <v>0</v>
      </c>
      <c r="K236" s="3895">
        <v>4</v>
      </c>
      <c r="L236" s="3895">
        <f t="shared" si="76"/>
        <v>20</v>
      </c>
      <c r="M236" s="3896">
        <v>46251</v>
      </c>
      <c r="N236" s="3896">
        <v>46247</v>
      </c>
      <c r="O236" s="875"/>
      <c r="P236" s="3615"/>
      <c r="Q236" s="3658"/>
      <c r="R236" s="3897" t="s">
        <v>2475</v>
      </c>
      <c r="S236" s="3898"/>
      <c r="T236" s="3897" t="s">
        <v>9025</v>
      </c>
      <c r="U236" s="3898"/>
      <c r="V236" s="3899"/>
      <c r="W236" s="3900" t="s">
        <v>9035</v>
      </c>
      <c r="X236" s="2863" t="s">
        <v>1257</v>
      </c>
      <c r="Y236" s="3901">
        <v>10.6528</v>
      </c>
      <c r="Z236" s="3895">
        <f t="shared" si="82"/>
        <v>852.224</v>
      </c>
      <c r="AA236" s="3902"/>
      <c r="AB236" s="3615" t="s">
        <v>8787</v>
      </c>
      <c r="AC236" s="3900" t="s">
        <v>416</v>
      </c>
      <c r="AD236" s="3755"/>
      <c r="AE236" s="3756"/>
      <c r="AF236" s="3720"/>
      <c r="AG236" s="3895"/>
      <c r="AH236" s="3904">
        <f t="shared" si="85"/>
        <v>80</v>
      </c>
      <c r="AI236" s="3905"/>
      <c r="AJ236" s="3895">
        <f t="shared" si="83"/>
        <v>80</v>
      </c>
      <c r="AK236" s="3906"/>
      <c r="AL236" s="3906">
        <f t="shared" si="84"/>
        <v>80</v>
      </c>
      <c r="AM236" s="3905"/>
      <c r="AN236" s="3905"/>
      <c r="AO236" s="3906"/>
      <c r="AP236" s="3906"/>
      <c r="AQ236" s="3918" t="s">
        <v>89</v>
      </c>
      <c r="AR236" s="3907"/>
      <c r="AS236" s="3907"/>
      <c r="AT236" s="3907">
        <f>I236</f>
        <v>80</v>
      </c>
      <c r="AU236" s="3911"/>
      <c r="AV236" s="3912"/>
      <c r="AW236" s="3913"/>
      <c r="AX236" s="3913"/>
      <c r="AY236" s="3913"/>
      <c r="AZ236" s="3913"/>
      <c r="BA236" s="3913"/>
      <c r="BB236" s="3913"/>
      <c r="BC236" s="3913"/>
      <c r="BD236" s="3913"/>
      <c r="BE236" s="3913"/>
      <c r="BF236" s="3913"/>
      <c r="BG236" s="3914"/>
    </row>
    <row r="237" s="3572" customFormat="1" ht="50" customHeight="1" spans="1:59">
      <c r="A237" s="3891">
        <v>46174</v>
      </c>
      <c r="B237" s="3892" t="s">
        <v>4533</v>
      </c>
      <c r="C237" s="3893" t="s">
        <v>738</v>
      </c>
      <c r="D237" s="3894" t="s">
        <v>9031</v>
      </c>
      <c r="E237" s="3615"/>
      <c r="F237" s="3894" t="s">
        <v>9039</v>
      </c>
      <c r="G237" s="3615" t="s">
        <v>9040</v>
      </c>
      <c r="H237" s="3927" t="s">
        <v>9041</v>
      </c>
      <c r="I237" s="3895">
        <v>80</v>
      </c>
      <c r="J237" s="3895">
        <v>0</v>
      </c>
      <c r="K237" s="3895">
        <v>4</v>
      </c>
      <c r="L237" s="3895">
        <f t="shared" si="76"/>
        <v>20</v>
      </c>
      <c r="M237" s="3896">
        <v>46251</v>
      </c>
      <c r="N237" s="3896">
        <v>46247</v>
      </c>
      <c r="O237" s="875"/>
      <c r="P237" s="3615"/>
      <c r="Q237" s="3658"/>
      <c r="R237" s="3897" t="s">
        <v>2475</v>
      </c>
      <c r="S237" s="3898"/>
      <c r="T237" s="3897" t="s">
        <v>9025</v>
      </c>
      <c r="U237" s="3898"/>
      <c r="V237" s="3899"/>
      <c r="W237" s="3900" t="s">
        <v>9035</v>
      </c>
      <c r="X237" s="2863" t="s">
        <v>1257</v>
      </c>
      <c r="Y237" s="3901">
        <v>10.6528</v>
      </c>
      <c r="Z237" s="3895">
        <f t="shared" si="82"/>
        <v>852.224</v>
      </c>
      <c r="AA237" s="3902"/>
      <c r="AB237" s="3615" t="s">
        <v>8783</v>
      </c>
      <c r="AC237" s="3900" t="s">
        <v>416</v>
      </c>
      <c r="AD237" s="3755"/>
      <c r="AE237" s="3756"/>
      <c r="AF237" s="3720"/>
      <c r="AG237" s="3895"/>
      <c r="AH237" s="3904">
        <f t="shared" si="85"/>
        <v>80</v>
      </c>
      <c r="AI237" s="3905"/>
      <c r="AJ237" s="3895">
        <f t="shared" si="83"/>
        <v>80</v>
      </c>
      <c r="AK237" s="3906"/>
      <c r="AL237" s="3906">
        <f t="shared" si="84"/>
        <v>80</v>
      </c>
      <c r="AM237" s="3905"/>
      <c r="AN237" s="3905"/>
      <c r="AO237" s="3906"/>
      <c r="AP237" s="3906"/>
      <c r="AQ237" s="3918" t="s">
        <v>89</v>
      </c>
      <c r="AR237" s="3907">
        <f>I237</f>
        <v>80</v>
      </c>
      <c r="AS237" s="3907"/>
      <c r="AT237" s="3907"/>
      <c r="AU237" s="3911"/>
      <c r="AV237" s="3912"/>
      <c r="AW237" s="3913"/>
      <c r="AX237" s="3913"/>
      <c r="AY237" s="3913"/>
      <c r="AZ237" s="3913"/>
      <c r="BA237" s="3913"/>
      <c r="BB237" s="3913"/>
      <c r="BC237" s="3913"/>
      <c r="BD237" s="3913"/>
      <c r="BE237" s="3913"/>
      <c r="BF237" s="3913"/>
      <c r="BG237" s="3914"/>
    </row>
    <row r="238" s="3573" customFormat="1" ht="50" customHeight="1" spans="1:59">
      <c r="A238" s="3922">
        <v>46216</v>
      </c>
      <c r="B238" s="3923" t="s">
        <v>9042</v>
      </c>
      <c r="C238" s="3924" t="s">
        <v>1430</v>
      </c>
      <c r="D238" s="3925" t="s">
        <v>9043</v>
      </c>
      <c r="E238" s="3926" t="s">
        <v>9044</v>
      </c>
      <c r="F238" s="3925" t="s">
        <v>9045</v>
      </c>
      <c r="G238" s="3926" t="s">
        <v>8290</v>
      </c>
      <c r="H238" s="3927" t="s">
        <v>8291</v>
      </c>
      <c r="I238" s="3927">
        <v>240</v>
      </c>
      <c r="J238" s="3927">
        <v>0</v>
      </c>
      <c r="K238" s="3927">
        <v>4</v>
      </c>
      <c r="L238" s="3927">
        <f t="shared" si="76"/>
        <v>60</v>
      </c>
      <c r="M238" s="3928">
        <v>46255</v>
      </c>
      <c r="N238" s="3928">
        <v>46251</v>
      </c>
      <c r="O238" s="3929"/>
      <c r="P238" s="3926"/>
      <c r="Q238" s="3900"/>
      <c r="R238" s="3930" t="s">
        <v>9046</v>
      </c>
      <c r="S238" s="3931"/>
      <c r="T238" s="3930" t="s">
        <v>9047</v>
      </c>
      <c r="U238" s="3948"/>
      <c r="V238" s="3932"/>
      <c r="W238" s="3900" t="s">
        <v>9048</v>
      </c>
      <c r="X238" s="3933" t="s">
        <v>9049</v>
      </c>
      <c r="Y238" s="3934">
        <v>10.6528</v>
      </c>
      <c r="Z238" s="3927">
        <f t="shared" si="82"/>
        <v>2556.672</v>
      </c>
      <c r="AA238" s="3935"/>
      <c r="AB238" s="3903" t="s">
        <v>8329</v>
      </c>
      <c r="AC238" s="3900" t="s">
        <v>416</v>
      </c>
      <c r="AD238" s="3936"/>
      <c r="AE238" s="3937"/>
      <c r="AF238" s="3938"/>
      <c r="AG238" s="3927"/>
      <c r="AH238" s="3939">
        <f t="shared" si="85"/>
        <v>240</v>
      </c>
      <c r="AI238" s="3940"/>
      <c r="AJ238" s="3927">
        <f t="shared" si="83"/>
        <v>240</v>
      </c>
      <c r="AK238" s="3941"/>
      <c r="AL238" s="3949">
        <f t="shared" si="84"/>
        <v>240</v>
      </c>
      <c r="AM238" s="3940"/>
      <c r="AN238" s="3940"/>
      <c r="AO238" s="3941"/>
      <c r="AP238" s="3949"/>
      <c r="AQ238" s="3950" t="s">
        <v>89</v>
      </c>
      <c r="AR238" s="3907">
        <f>I238/3</f>
        <v>80</v>
      </c>
      <c r="AS238" s="3907">
        <f>I238/3</f>
        <v>80</v>
      </c>
      <c r="AT238" s="3907">
        <f>I238/3</f>
        <v>80</v>
      </c>
      <c r="AU238" s="3942">
        <f t="shared" ref="AU238:AU245" si="86">SUM(AR238:AT238)</f>
        <v>240</v>
      </c>
      <c r="AV238" s="3943">
        <f t="shared" ref="AV238:AV245" si="87">I238-AU238</f>
        <v>0</v>
      </c>
      <c r="AW238" s="3944"/>
      <c r="AX238" s="3944"/>
      <c r="AY238" s="3944"/>
      <c r="AZ238" s="3944"/>
      <c r="BA238" s="3944"/>
      <c r="BB238" s="3944"/>
      <c r="BC238" s="3944"/>
      <c r="BD238" s="3944"/>
      <c r="BE238" s="3944"/>
      <c r="BF238" s="3944"/>
      <c r="BG238" s="3945"/>
    </row>
    <row r="239" s="3572" customFormat="1" ht="50" customHeight="1" spans="1:59">
      <c r="A239" s="3891">
        <v>46205</v>
      </c>
      <c r="B239" s="3892" t="s">
        <v>4694</v>
      </c>
      <c r="C239" s="3893" t="s">
        <v>506</v>
      </c>
      <c r="D239" s="3894" t="s">
        <v>9050</v>
      </c>
      <c r="E239" s="3615" t="s">
        <v>9051</v>
      </c>
      <c r="F239" s="3894" t="s">
        <v>9052</v>
      </c>
      <c r="G239" s="3615" t="s">
        <v>8290</v>
      </c>
      <c r="H239" s="3927" t="s">
        <v>8291</v>
      </c>
      <c r="I239" s="3895">
        <v>500</v>
      </c>
      <c r="J239" s="3895">
        <v>0</v>
      </c>
      <c r="K239" s="3895">
        <v>4</v>
      </c>
      <c r="L239" s="3895">
        <f t="shared" si="76"/>
        <v>125</v>
      </c>
      <c r="M239" s="3896">
        <v>46258</v>
      </c>
      <c r="N239" s="3896">
        <v>46254</v>
      </c>
      <c r="O239" s="875"/>
      <c r="P239" s="3615"/>
      <c r="Q239" s="3658"/>
      <c r="R239" s="3897" t="s">
        <v>1628</v>
      </c>
      <c r="S239" s="3898"/>
      <c r="T239" s="3897" t="s">
        <v>98</v>
      </c>
      <c r="U239" s="3897" t="s">
        <v>9053</v>
      </c>
      <c r="V239" s="3899"/>
      <c r="W239" s="3900" t="s">
        <v>9054</v>
      </c>
      <c r="X239" s="2863" t="s">
        <v>3202</v>
      </c>
      <c r="Y239" s="3901">
        <v>11.7694</v>
      </c>
      <c r="Z239" s="3895">
        <f t="shared" si="82"/>
        <v>5884.7</v>
      </c>
      <c r="AA239" s="3902"/>
      <c r="AB239" s="3615" t="s">
        <v>8290</v>
      </c>
      <c r="AC239" s="3900" t="s">
        <v>416</v>
      </c>
      <c r="AD239" s="3755"/>
      <c r="AE239" s="3756"/>
      <c r="AF239" s="3720"/>
      <c r="AG239" s="3895">
        <f t="shared" ref="AG239:AG244" si="88">I239</f>
        <v>500</v>
      </c>
      <c r="AH239" s="3904"/>
      <c r="AI239" s="3905"/>
      <c r="AJ239" s="3895">
        <f t="shared" si="83"/>
        <v>500</v>
      </c>
      <c r="AK239" s="3906"/>
      <c r="AL239" s="3906">
        <f t="shared" si="84"/>
        <v>500</v>
      </c>
      <c r="AM239" s="3905"/>
      <c r="AN239" s="3905"/>
      <c r="AO239" s="3906"/>
      <c r="AP239" s="3906"/>
      <c r="AQ239" s="3918" t="s">
        <v>89</v>
      </c>
      <c r="AR239" s="3918">
        <f>I239/3</f>
        <v>166.666666666667</v>
      </c>
      <c r="AS239" s="3918">
        <f>I239/3</f>
        <v>166.666666666667</v>
      </c>
      <c r="AT239" s="3918">
        <f>I239/3</f>
        <v>166.666666666667</v>
      </c>
      <c r="AU239" s="3911">
        <f t="shared" si="86"/>
        <v>500</v>
      </c>
      <c r="AV239" s="3912">
        <f t="shared" si="87"/>
        <v>0</v>
      </c>
      <c r="AW239" s="3913"/>
      <c r="AX239" s="3913"/>
      <c r="AY239" s="3913"/>
      <c r="AZ239" s="3913"/>
      <c r="BA239" s="3913"/>
      <c r="BB239" s="3913"/>
      <c r="BC239" s="3913"/>
      <c r="BD239" s="3913"/>
      <c r="BE239" s="3913"/>
      <c r="BF239" s="3913"/>
      <c r="BG239" s="3914"/>
    </row>
    <row r="240" s="3572" customFormat="1" ht="50" customHeight="1" spans="1:59">
      <c r="A240" s="3891">
        <v>46205</v>
      </c>
      <c r="B240" s="3892" t="s">
        <v>9004</v>
      </c>
      <c r="C240" s="3893" t="s">
        <v>1385</v>
      </c>
      <c r="D240" s="3894" t="s">
        <v>9055</v>
      </c>
      <c r="E240" s="3615" t="s">
        <v>9056</v>
      </c>
      <c r="F240" s="3894" t="s">
        <v>9057</v>
      </c>
      <c r="G240" s="3615" t="s">
        <v>8290</v>
      </c>
      <c r="H240" s="3927" t="s">
        <v>8291</v>
      </c>
      <c r="I240" s="3895">
        <v>240</v>
      </c>
      <c r="J240" s="3895">
        <v>0</v>
      </c>
      <c r="K240" s="3895">
        <v>4</v>
      </c>
      <c r="L240" s="3895">
        <f t="shared" si="76"/>
        <v>60</v>
      </c>
      <c r="M240" s="3896">
        <v>46259</v>
      </c>
      <c r="N240" s="3896">
        <v>46255</v>
      </c>
      <c r="O240" s="875"/>
      <c r="P240" s="3615"/>
      <c r="Q240" s="3658"/>
      <c r="R240" s="3897" t="s">
        <v>1628</v>
      </c>
      <c r="S240" s="3898"/>
      <c r="T240" s="3897" t="s">
        <v>9008</v>
      </c>
      <c r="U240" s="3898"/>
      <c r="V240" s="3899"/>
      <c r="W240" s="3900" t="s">
        <v>9058</v>
      </c>
      <c r="X240" s="2863" t="s">
        <v>9010</v>
      </c>
      <c r="Y240" s="3901">
        <v>10.1171</v>
      </c>
      <c r="Z240" s="3895">
        <f t="shared" si="82"/>
        <v>2428.104</v>
      </c>
      <c r="AA240" s="3902"/>
      <c r="AB240" s="3615" t="s">
        <v>8290</v>
      </c>
      <c r="AC240" s="3900" t="s">
        <v>416</v>
      </c>
      <c r="AD240" s="3755"/>
      <c r="AE240" s="3756"/>
      <c r="AF240" s="3720"/>
      <c r="AG240" s="3895">
        <f t="shared" si="88"/>
        <v>240</v>
      </c>
      <c r="AH240" s="3904"/>
      <c r="AI240" s="3905"/>
      <c r="AJ240" s="3895">
        <f t="shared" si="83"/>
        <v>240</v>
      </c>
      <c r="AK240" s="3906"/>
      <c r="AL240" s="3906">
        <f t="shared" si="84"/>
        <v>240</v>
      </c>
      <c r="AM240" s="3905"/>
      <c r="AN240" s="3905"/>
      <c r="AO240" s="3906"/>
      <c r="AP240" s="3906"/>
      <c r="AQ240" s="3918" t="s">
        <v>89</v>
      </c>
      <c r="AR240" s="3918">
        <f>I240/3</f>
        <v>80</v>
      </c>
      <c r="AS240" s="3918">
        <f>I240/3</f>
        <v>80</v>
      </c>
      <c r="AT240" s="3918">
        <f>I240/3</f>
        <v>80</v>
      </c>
      <c r="AU240" s="3911">
        <f t="shared" si="86"/>
        <v>240</v>
      </c>
      <c r="AV240" s="3912">
        <f t="shared" si="87"/>
        <v>0</v>
      </c>
      <c r="AW240" s="3913"/>
      <c r="AX240" s="3913"/>
      <c r="AY240" s="3913"/>
      <c r="AZ240" s="3913"/>
      <c r="BA240" s="3913"/>
      <c r="BB240" s="3913"/>
      <c r="BC240" s="3913"/>
      <c r="BD240" s="3913"/>
      <c r="BE240" s="3913"/>
      <c r="BF240" s="3913"/>
      <c r="BG240" s="3914"/>
    </row>
    <row r="241" s="3573" customFormat="1" ht="50" customHeight="1" spans="1:59 16382:16384">
      <c r="A241" s="3922">
        <v>46212</v>
      </c>
      <c r="B241" s="3923" t="s">
        <v>3905</v>
      </c>
      <c r="C241" s="3924" t="s">
        <v>1385</v>
      </c>
      <c r="D241" s="3925" t="s">
        <v>9059</v>
      </c>
      <c r="E241" s="3926" t="s">
        <v>9060</v>
      </c>
      <c r="F241" s="3925" t="s">
        <v>9061</v>
      </c>
      <c r="G241" s="3926" t="s">
        <v>8290</v>
      </c>
      <c r="H241" s="3927" t="s">
        <v>8291</v>
      </c>
      <c r="I241" s="3927">
        <v>200</v>
      </c>
      <c r="J241" s="3927">
        <v>0</v>
      </c>
      <c r="K241" s="3927">
        <v>4</v>
      </c>
      <c r="L241" s="3927">
        <f t="shared" si="76"/>
        <v>50</v>
      </c>
      <c r="M241" s="3928">
        <v>46269</v>
      </c>
      <c r="N241" s="3928">
        <v>46265</v>
      </c>
      <c r="O241" s="3929"/>
      <c r="P241" s="3926"/>
      <c r="Q241" s="3900"/>
      <c r="R241" s="3930" t="s">
        <v>1676</v>
      </c>
      <c r="S241" s="3931"/>
      <c r="T241" s="3930" t="s">
        <v>9062</v>
      </c>
      <c r="U241" s="3948"/>
      <c r="V241" s="3932"/>
      <c r="W241" s="3900" t="s">
        <v>9063</v>
      </c>
      <c r="X241" s="3933" t="s">
        <v>2141</v>
      </c>
      <c r="Y241" s="3934">
        <v>10.1171</v>
      </c>
      <c r="Z241" s="3927">
        <f t="shared" si="82"/>
        <v>2023.42</v>
      </c>
      <c r="AA241" s="3935"/>
      <c r="AB241" s="3615" t="s">
        <v>8290</v>
      </c>
      <c r="AC241" s="3900" t="s">
        <v>416</v>
      </c>
      <c r="AD241" s="3936"/>
      <c r="AE241" s="3937"/>
      <c r="AF241" s="3938"/>
      <c r="AG241" s="3927">
        <f t="shared" si="88"/>
        <v>200</v>
      </c>
      <c r="AH241" s="3939"/>
      <c r="AI241" s="3940"/>
      <c r="AJ241" s="3927">
        <f t="shared" si="83"/>
        <v>200</v>
      </c>
      <c r="AK241" s="3941"/>
      <c r="AL241" s="3949">
        <f t="shared" si="84"/>
        <v>200</v>
      </c>
      <c r="AM241" s="3940"/>
      <c r="AN241" s="3940"/>
      <c r="AO241" s="3941"/>
      <c r="AP241" s="3949"/>
      <c r="AQ241" s="3950" t="s">
        <v>89</v>
      </c>
      <c r="AR241" s="3918">
        <f>I241/3</f>
        <v>66.6666666666667</v>
      </c>
      <c r="AS241" s="3918">
        <f>I241/3</f>
        <v>66.6666666666667</v>
      </c>
      <c r="AT241" s="3918">
        <f>I241/3</f>
        <v>66.6666666666667</v>
      </c>
      <c r="AU241" s="3942">
        <f t="shared" si="86"/>
        <v>200</v>
      </c>
      <c r="AV241" s="3943">
        <f t="shared" si="87"/>
        <v>0</v>
      </c>
      <c r="AW241" s="3944"/>
      <c r="AX241" s="3944"/>
      <c r="AY241" s="3944"/>
      <c r="AZ241" s="3944"/>
      <c r="BA241" s="3944"/>
      <c r="BB241" s="3944"/>
      <c r="BC241" s="3944"/>
      <c r="BD241" s="3944"/>
      <c r="BE241" s="3944"/>
      <c r="BF241" s="3944"/>
      <c r="BG241" s="3945"/>
    </row>
    <row r="242" s="3573" customFormat="1" ht="50" customHeight="1" spans="1:59 16382:16384">
      <c r="A242" s="3922">
        <v>46181</v>
      </c>
      <c r="B242" s="3923" t="s">
        <v>2285</v>
      </c>
      <c r="C242" s="3924" t="s">
        <v>351</v>
      </c>
      <c r="D242" s="3925" t="s">
        <v>9064</v>
      </c>
      <c r="E242" s="3926" t="s">
        <v>8994</v>
      </c>
      <c r="F242" s="3925" t="s">
        <v>9065</v>
      </c>
      <c r="G242" s="3926" t="s">
        <v>8290</v>
      </c>
      <c r="H242" s="3927" t="s">
        <v>8291</v>
      </c>
      <c r="I242" s="3927">
        <v>348</v>
      </c>
      <c r="J242" s="3927">
        <v>0</v>
      </c>
      <c r="K242" s="3927">
        <v>4</v>
      </c>
      <c r="L242" s="3927">
        <f t="shared" si="76"/>
        <v>87</v>
      </c>
      <c r="M242" s="3928">
        <v>46272</v>
      </c>
      <c r="N242" s="3928">
        <v>46268</v>
      </c>
      <c r="O242" s="3929"/>
      <c r="P242" s="3926"/>
      <c r="Q242" s="3900"/>
      <c r="R242" s="3930" t="s">
        <v>4331</v>
      </c>
      <c r="S242" s="3931"/>
      <c r="T242" s="3930" t="s">
        <v>9066</v>
      </c>
      <c r="U242" s="3897" t="s">
        <v>9067</v>
      </c>
      <c r="V242" s="3932"/>
      <c r="W242" s="3900" t="s">
        <v>9068</v>
      </c>
      <c r="X242" s="3933" t="s">
        <v>1199</v>
      </c>
      <c r="Y242" s="3934">
        <v>10.1171</v>
      </c>
      <c r="Z242" s="3927">
        <f t="shared" si="82"/>
        <v>3520.7508</v>
      </c>
      <c r="AA242" s="3935"/>
      <c r="AB242" s="3916" t="s">
        <v>8290</v>
      </c>
      <c r="AC242" s="3900" t="s">
        <v>416</v>
      </c>
      <c r="AD242" s="3936"/>
      <c r="AE242" s="3937"/>
      <c r="AF242" s="3938"/>
      <c r="AG242" s="3927">
        <f t="shared" si="88"/>
        <v>348</v>
      </c>
      <c r="AH242" s="3939"/>
      <c r="AI242" s="3940"/>
      <c r="AJ242" s="3927">
        <f t="shared" si="83"/>
        <v>348</v>
      </c>
      <c r="AK242" s="3941"/>
      <c r="AL242" s="3941">
        <f t="shared" si="84"/>
        <v>348</v>
      </c>
      <c r="AM242" s="3940"/>
      <c r="AN242" s="3940"/>
      <c r="AO242" s="3941"/>
      <c r="AP242" s="3941"/>
      <c r="AQ242" s="3918" t="s">
        <v>89</v>
      </c>
      <c r="AR242" s="3951">
        <f>I242/1*0.3</f>
        <v>104.4</v>
      </c>
      <c r="AS242" s="3951">
        <f>I242/1*0.25</f>
        <v>87</v>
      </c>
      <c r="AT242" s="3951">
        <f>I242/1*0.45</f>
        <v>156.6</v>
      </c>
      <c r="AU242" s="3942">
        <f t="shared" si="86"/>
        <v>348</v>
      </c>
      <c r="AV242" s="3943">
        <f t="shared" si="87"/>
        <v>0</v>
      </c>
      <c r="AW242" s="3944"/>
      <c r="AX242" s="3944"/>
      <c r="AY242" s="3944"/>
      <c r="AZ242" s="3944"/>
      <c r="BA242" s="3944"/>
      <c r="BB242" s="3944"/>
      <c r="BC242" s="3944"/>
      <c r="BD242" s="3944"/>
      <c r="BE242" s="3944"/>
      <c r="BF242" s="3944"/>
      <c r="BG242" s="3945"/>
    </row>
    <row r="243" s="3573" customFormat="1" ht="50" customHeight="1" spans="1:59 16382:16384">
      <c r="A243" s="3922">
        <v>46181</v>
      </c>
      <c r="B243" s="3923" t="s">
        <v>2285</v>
      </c>
      <c r="C243" s="3924" t="s">
        <v>351</v>
      </c>
      <c r="D243" s="3925" t="s">
        <v>9069</v>
      </c>
      <c r="E243" s="3926" t="s">
        <v>9000</v>
      </c>
      <c r="F243" s="3925" t="s">
        <v>9070</v>
      </c>
      <c r="G243" s="3926" t="s">
        <v>8290</v>
      </c>
      <c r="H243" s="3927" t="s">
        <v>8291</v>
      </c>
      <c r="I243" s="3927">
        <v>136</v>
      </c>
      <c r="J243" s="3927">
        <v>0</v>
      </c>
      <c r="K243" s="3927">
        <v>4</v>
      </c>
      <c r="L243" s="3927">
        <f t="shared" si="76"/>
        <v>34</v>
      </c>
      <c r="M243" s="3928">
        <v>46272</v>
      </c>
      <c r="N243" s="3928">
        <v>46268</v>
      </c>
      <c r="O243" s="3929"/>
      <c r="P243" s="3926"/>
      <c r="Q243" s="3900"/>
      <c r="R243" s="3930" t="s">
        <v>4331</v>
      </c>
      <c r="S243" s="3931"/>
      <c r="T243" s="3930" t="s">
        <v>9066</v>
      </c>
      <c r="U243" s="3897" t="s">
        <v>9067</v>
      </c>
      <c r="V243" s="3932"/>
      <c r="W243" s="3900" t="s">
        <v>9071</v>
      </c>
      <c r="X243" s="3933" t="s">
        <v>1199</v>
      </c>
      <c r="Y243" s="3934">
        <v>10.1171</v>
      </c>
      <c r="Z243" s="3927">
        <f t="shared" si="82"/>
        <v>1375.9256</v>
      </c>
      <c r="AA243" s="3935"/>
      <c r="AB243" s="3916" t="s">
        <v>8290</v>
      </c>
      <c r="AC243" s="3900" t="s">
        <v>416</v>
      </c>
      <c r="AD243" s="3936"/>
      <c r="AE243" s="3937"/>
      <c r="AF243" s="3938"/>
      <c r="AG243" s="3927">
        <f t="shared" si="88"/>
        <v>136</v>
      </c>
      <c r="AH243" s="3939"/>
      <c r="AI243" s="3940"/>
      <c r="AJ243" s="3927">
        <f t="shared" si="83"/>
        <v>136</v>
      </c>
      <c r="AK243" s="3941"/>
      <c r="AL243" s="3941">
        <f t="shared" si="84"/>
        <v>136</v>
      </c>
      <c r="AM243" s="3940"/>
      <c r="AN243" s="3940"/>
      <c r="AO243" s="3941"/>
      <c r="AP243" s="3941"/>
      <c r="AQ243" s="3918" t="s">
        <v>89</v>
      </c>
      <c r="AR243" s="3952">
        <f>I243/1*0.3</f>
        <v>40.8</v>
      </c>
      <c r="AS243" s="3952">
        <f>I243/1*0.25</f>
        <v>34</v>
      </c>
      <c r="AT243" s="3952">
        <f>I243/1*0.45</f>
        <v>61.2</v>
      </c>
      <c r="AU243" s="3953">
        <f t="shared" si="86"/>
        <v>136</v>
      </c>
      <c r="AV243" s="3954">
        <f t="shared" si="87"/>
        <v>0</v>
      </c>
      <c r="AW243" s="3944"/>
      <c r="AX243" s="3944"/>
      <c r="AY243" s="3944"/>
      <c r="AZ243" s="3944"/>
      <c r="BA243" s="3944"/>
      <c r="BB243" s="3944"/>
      <c r="BC243" s="3944"/>
      <c r="BD243" s="3944"/>
      <c r="BE243" s="3944"/>
      <c r="BF243" s="3944"/>
      <c r="BG243" s="3945"/>
    </row>
    <row r="244" s="3573" customFormat="1" ht="50" customHeight="1" spans="1:59 16382:16384">
      <c r="A244" s="3922">
        <v>46232</v>
      </c>
      <c r="B244" s="3923" t="s">
        <v>9072</v>
      </c>
      <c r="C244" s="3924" t="s">
        <v>91</v>
      </c>
      <c r="D244" s="3925">
        <v>4500218039</v>
      </c>
      <c r="E244" s="3926"/>
      <c r="F244" s="3925" t="s">
        <v>9073</v>
      </c>
      <c r="G244" s="3926" t="s">
        <v>8290</v>
      </c>
      <c r="H244" s="3927" t="s">
        <v>8291</v>
      </c>
      <c r="I244" s="3927">
        <v>208</v>
      </c>
      <c r="J244" s="3927">
        <v>0</v>
      </c>
      <c r="K244" s="3927">
        <v>4</v>
      </c>
      <c r="L244" s="3927">
        <f t="shared" si="76"/>
        <v>52</v>
      </c>
      <c r="M244" s="3928">
        <v>46276</v>
      </c>
      <c r="N244" s="3928">
        <v>46272</v>
      </c>
      <c r="O244" s="3929"/>
      <c r="P244" s="3926"/>
      <c r="Q244" s="3900"/>
      <c r="R244" s="3930" t="s">
        <v>7625</v>
      </c>
      <c r="S244" s="3931"/>
      <c r="T244" s="3930" t="s">
        <v>98</v>
      </c>
      <c r="U244" s="3897"/>
      <c r="V244" s="3932"/>
      <c r="W244" s="3900" t="s">
        <v>9074</v>
      </c>
      <c r="X244" s="3933" t="s">
        <v>9075</v>
      </c>
      <c r="Y244" s="3934">
        <v>6.3917</v>
      </c>
      <c r="Z244" s="3927">
        <f t="shared" si="82"/>
        <v>1329.4736</v>
      </c>
      <c r="AA244" s="3935"/>
      <c r="AB244" s="3916" t="s">
        <v>8290</v>
      </c>
      <c r="AC244" s="3900" t="s">
        <v>416</v>
      </c>
      <c r="AD244" s="3936"/>
      <c r="AE244" s="3955"/>
      <c r="AF244" s="3956"/>
      <c r="AG244" s="3927">
        <f t="shared" si="88"/>
        <v>208</v>
      </c>
      <c r="AH244" s="3941"/>
      <c r="AI244" s="3941"/>
      <c r="AJ244" s="3940">
        <f t="shared" si="83"/>
        <v>208</v>
      </c>
      <c r="AK244" s="3940"/>
      <c r="AL244" s="3941">
        <f t="shared" si="84"/>
        <v>208</v>
      </c>
      <c r="AM244" s="3941"/>
      <c r="AN244" s="3918"/>
      <c r="AO244" s="3918"/>
      <c r="AP244" s="3918"/>
      <c r="AQ244" s="3957" t="s">
        <v>89</v>
      </c>
      <c r="AR244" s="3958">
        <f>I244/3</f>
        <v>69.3333333333333</v>
      </c>
      <c r="AS244" s="3958">
        <f>I244/3</f>
        <v>69.3333333333333</v>
      </c>
      <c r="AT244" s="3958">
        <f>I244/3</f>
        <v>69.3333333333333</v>
      </c>
      <c r="AU244" s="3959">
        <f t="shared" si="86"/>
        <v>208</v>
      </c>
      <c r="AV244" s="3959">
        <f t="shared" si="87"/>
        <v>0</v>
      </c>
      <c r="AW244" s="3944"/>
      <c r="AX244" s="3944"/>
      <c r="AY244" s="3944"/>
      <c r="AZ244" s="3944"/>
      <c r="BA244" s="3944"/>
      <c r="BB244" s="3944"/>
      <c r="BC244" s="3944"/>
      <c r="BD244" s="3945"/>
      <c r="BE244" s="3573"/>
      <c r="BF244" s="3573"/>
      <c r="BG244" s="3573"/>
      <c r="XFB244" s="3922"/>
      <c r="XFC244" s="3923"/>
      <c r="XFD244" s="3924"/>
    </row>
    <row r="245" s="3572" customFormat="1" ht="50" customHeight="1" spans="1:59 16382:16384">
      <c r="A245" s="3891">
        <v>46176</v>
      </c>
      <c r="B245" s="3892" t="s">
        <v>8250</v>
      </c>
      <c r="C245" s="3893" t="s">
        <v>738</v>
      </c>
      <c r="D245" s="3894" t="s">
        <v>9076</v>
      </c>
      <c r="E245" s="3615" t="s">
        <v>9077</v>
      </c>
      <c r="F245" s="3894" t="s">
        <v>9078</v>
      </c>
      <c r="G245" s="3615" t="s">
        <v>8290</v>
      </c>
      <c r="H245" s="3895" t="s">
        <v>8291</v>
      </c>
      <c r="I245" s="3895">
        <v>152</v>
      </c>
      <c r="J245" s="3895">
        <v>0</v>
      </c>
      <c r="K245" s="3895">
        <v>4</v>
      </c>
      <c r="L245" s="3895">
        <f t="shared" si="76"/>
        <v>38</v>
      </c>
      <c r="M245" s="3896">
        <v>46283</v>
      </c>
      <c r="N245" s="3896">
        <v>46279</v>
      </c>
      <c r="O245" s="875"/>
      <c r="P245" s="3615"/>
      <c r="Q245" s="3658"/>
      <c r="R245" s="3897" t="s">
        <v>2532</v>
      </c>
      <c r="S245" s="3898"/>
      <c r="T245" s="3897" t="s">
        <v>9079</v>
      </c>
      <c r="U245" s="3898"/>
      <c r="V245" s="3899"/>
      <c r="W245" s="3900" t="s">
        <v>9080</v>
      </c>
      <c r="X245" s="2863" t="s">
        <v>7936</v>
      </c>
      <c r="Y245" s="3901">
        <v>10.1171</v>
      </c>
      <c r="Z245" s="3895">
        <f t="shared" si="82"/>
        <v>1537.7992</v>
      </c>
      <c r="AA245" s="3902"/>
      <c r="AB245" s="3903" t="s">
        <v>8329</v>
      </c>
      <c r="AC245" s="3900" t="s">
        <v>416</v>
      </c>
      <c r="AD245" s="3755">
        <f>Y245*I245</f>
        <v>1537.7992</v>
      </c>
      <c r="AE245" s="3756"/>
      <c r="AF245" s="3720"/>
      <c r="AG245" s="3895"/>
      <c r="AH245" s="3904">
        <f>I245</f>
        <v>152</v>
      </c>
      <c r="AI245" s="3905"/>
      <c r="AJ245" s="3895">
        <f t="shared" si="83"/>
        <v>152</v>
      </c>
      <c r="AK245" s="3906"/>
      <c r="AL245" s="3906">
        <f t="shared" si="84"/>
        <v>152</v>
      </c>
      <c r="AM245" s="3905"/>
      <c r="AN245" s="3905"/>
      <c r="AO245" s="3906"/>
      <c r="AP245" s="3906"/>
      <c r="AQ245" s="3918" t="s">
        <v>89</v>
      </c>
      <c r="AR245" s="3960">
        <f>I245/3</f>
        <v>50.6666666666667</v>
      </c>
      <c r="AS245" s="3960">
        <f>I245/3</f>
        <v>50.6666666666667</v>
      </c>
      <c r="AT245" s="3960">
        <f>I245/3</f>
        <v>50.6666666666667</v>
      </c>
      <c r="AU245" s="3961">
        <f t="shared" si="86"/>
        <v>152</v>
      </c>
      <c r="AV245" s="3962">
        <f t="shared" si="87"/>
        <v>0</v>
      </c>
      <c r="AW245" s="3913"/>
      <c r="AX245" s="3913"/>
      <c r="AY245" s="3913"/>
      <c r="AZ245" s="3913"/>
      <c r="BA245" s="3913"/>
      <c r="BB245" s="3913"/>
      <c r="BC245" s="3913"/>
      <c r="BD245" s="3913"/>
      <c r="BE245" s="3913"/>
      <c r="BF245" s="3913"/>
      <c r="BG245" s="3914"/>
    </row>
    <row r="246" s="3574" customFormat="1" ht="50" customHeight="1" spans="1:59 16382:16384">
      <c r="A246" s="3963">
        <v>46248</v>
      </c>
      <c r="B246" s="3964" t="s">
        <v>9081</v>
      </c>
      <c r="C246" s="3965" t="s">
        <v>738</v>
      </c>
      <c r="D246" s="3966" t="s">
        <v>9082</v>
      </c>
      <c r="E246" s="3967"/>
      <c r="F246" s="3966" t="s">
        <v>9083</v>
      </c>
      <c r="G246" s="3967" t="s">
        <v>9033</v>
      </c>
      <c r="H246" s="3968" t="s">
        <v>9034</v>
      </c>
      <c r="I246" s="3968">
        <v>56</v>
      </c>
      <c r="J246" s="3968">
        <v>0</v>
      </c>
      <c r="K246" s="3968">
        <v>4</v>
      </c>
      <c r="L246" s="3968">
        <f t="shared" si="76"/>
        <v>14</v>
      </c>
      <c r="M246" s="3969">
        <v>46283</v>
      </c>
      <c r="N246" s="3969">
        <v>46279</v>
      </c>
      <c r="O246" s="3970"/>
      <c r="P246" s="3967"/>
      <c r="Q246" s="3971"/>
      <c r="R246" s="3972" t="s">
        <v>1926</v>
      </c>
      <c r="S246" s="3973"/>
      <c r="T246" s="3972" t="s">
        <v>9084</v>
      </c>
      <c r="U246" s="3973"/>
      <c r="V246" s="3974"/>
      <c r="W246" s="3975" t="s">
        <v>9085</v>
      </c>
      <c r="X246" s="3976" t="s">
        <v>9086</v>
      </c>
      <c r="Y246" s="3977">
        <v>10.6528</v>
      </c>
      <c r="Z246" s="3968">
        <f t="shared" si="82"/>
        <v>596.5568</v>
      </c>
      <c r="AA246" s="3978"/>
      <c r="AB246" s="3979" t="s">
        <v>8716</v>
      </c>
      <c r="AC246" s="3975" t="s">
        <v>416</v>
      </c>
      <c r="AD246" s="3755"/>
      <c r="AE246" s="3756"/>
      <c r="AF246" s="3720"/>
      <c r="AG246" s="3968"/>
      <c r="AH246" s="3980">
        <f>I246</f>
        <v>56</v>
      </c>
      <c r="AI246" s="3981"/>
      <c r="AJ246" s="3968">
        <f t="shared" si="83"/>
        <v>56</v>
      </c>
      <c r="AK246" s="3982"/>
      <c r="AL246" s="3982">
        <f t="shared" si="84"/>
        <v>56</v>
      </c>
      <c r="AM246" s="3981"/>
      <c r="AN246" s="3981"/>
      <c r="AO246" s="3982"/>
      <c r="AP246" s="3982"/>
      <c r="AQ246" s="3983" t="s">
        <v>89</v>
      </c>
      <c r="AR246" s="3984"/>
      <c r="AS246" s="3984">
        <f>I246</f>
        <v>56</v>
      </c>
      <c r="AT246" s="3984"/>
      <c r="AU246" s="3985"/>
      <c r="AV246" s="3986"/>
      <c r="AW246" s="3987"/>
      <c r="AX246" s="3987"/>
      <c r="AY246" s="3987"/>
      <c r="AZ246" s="3987"/>
      <c r="BA246" s="3987"/>
      <c r="BB246" s="3987"/>
      <c r="BC246" s="3987"/>
      <c r="BD246" s="3987"/>
      <c r="BE246" s="3987"/>
      <c r="BF246" s="3987"/>
      <c r="BG246" s="3988"/>
    </row>
    <row r="247" s="3574" customFormat="1" ht="50" customHeight="1" spans="1:59 16382:16384">
      <c r="A247" s="3963">
        <v>46248</v>
      </c>
      <c r="B247" s="3964" t="s">
        <v>9081</v>
      </c>
      <c r="C247" s="3965" t="s">
        <v>738</v>
      </c>
      <c r="D247" s="3966" t="s">
        <v>9082</v>
      </c>
      <c r="E247" s="3967"/>
      <c r="F247" s="3966" t="s">
        <v>9087</v>
      </c>
      <c r="G247" s="3967" t="s">
        <v>9037</v>
      </c>
      <c r="H247" s="3968" t="s">
        <v>9038</v>
      </c>
      <c r="I247" s="3968">
        <v>52</v>
      </c>
      <c r="J247" s="3968">
        <v>0</v>
      </c>
      <c r="K247" s="3968">
        <v>4</v>
      </c>
      <c r="L247" s="3968">
        <f t="shared" si="76"/>
        <v>13</v>
      </c>
      <c r="M247" s="3969">
        <v>46283</v>
      </c>
      <c r="N247" s="3969">
        <v>46279</v>
      </c>
      <c r="O247" s="3970"/>
      <c r="P247" s="3967"/>
      <c r="Q247" s="3971"/>
      <c r="R247" s="3972" t="s">
        <v>1926</v>
      </c>
      <c r="S247" s="3973"/>
      <c r="T247" s="3972" t="s">
        <v>9084</v>
      </c>
      <c r="U247" s="3973"/>
      <c r="V247" s="3974"/>
      <c r="W247" s="3975" t="s">
        <v>9085</v>
      </c>
      <c r="X247" s="3976" t="s">
        <v>9086</v>
      </c>
      <c r="Y247" s="3977">
        <v>10.6528</v>
      </c>
      <c r="Z247" s="3968">
        <f t="shared" si="82"/>
        <v>553.9456</v>
      </c>
      <c r="AA247" s="3978"/>
      <c r="AB247" s="3979" t="s">
        <v>8787</v>
      </c>
      <c r="AC247" s="3975" t="s">
        <v>416</v>
      </c>
      <c r="AD247" s="3755"/>
      <c r="AE247" s="3756"/>
      <c r="AF247" s="3720"/>
      <c r="AG247" s="3968"/>
      <c r="AH247" s="3980">
        <f>I247</f>
        <v>52</v>
      </c>
      <c r="AI247" s="3981"/>
      <c r="AJ247" s="3968">
        <f t="shared" si="83"/>
        <v>52</v>
      </c>
      <c r="AK247" s="3982"/>
      <c r="AL247" s="3982">
        <f t="shared" si="84"/>
        <v>52</v>
      </c>
      <c r="AM247" s="3981"/>
      <c r="AN247" s="3981"/>
      <c r="AO247" s="3982"/>
      <c r="AP247" s="3982"/>
      <c r="AQ247" s="3983" t="s">
        <v>89</v>
      </c>
      <c r="AR247" s="3984"/>
      <c r="AS247" s="3984"/>
      <c r="AT247" s="3984">
        <f>I247</f>
        <v>52</v>
      </c>
      <c r="AU247" s="3985"/>
      <c r="AV247" s="3986"/>
      <c r="AW247" s="3987"/>
      <c r="AX247" s="3987"/>
      <c r="AY247" s="3987"/>
      <c r="AZ247" s="3987"/>
      <c r="BA247" s="3987"/>
      <c r="BB247" s="3987"/>
      <c r="BC247" s="3987"/>
      <c r="BD247" s="3987"/>
      <c r="BE247" s="3987"/>
      <c r="BF247" s="3987"/>
      <c r="BG247" s="3988"/>
    </row>
    <row r="248" s="3574" customFormat="1" ht="50" customHeight="1" spans="1:59 16382:16384">
      <c r="A248" s="3963">
        <v>46248</v>
      </c>
      <c r="B248" s="3964" t="s">
        <v>9081</v>
      </c>
      <c r="C248" s="3965" t="s">
        <v>738</v>
      </c>
      <c r="D248" s="3966" t="s">
        <v>9082</v>
      </c>
      <c r="E248" s="3967"/>
      <c r="F248" s="3966" t="s">
        <v>9088</v>
      </c>
      <c r="G248" s="3967" t="s">
        <v>9040</v>
      </c>
      <c r="H248" s="3968" t="s">
        <v>9041</v>
      </c>
      <c r="I248" s="3968">
        <v>52</v>
      </c>
      <c r="J248" s="3968">
        <v>0</v>
      </c>
      <c r="K248" s="3968">
        <v>4</v>
      </c>
      <c r="L248" s="3968">
        <f t="shared" si="76"/>
        <v>13</v>
      </c>
      <c r="M248" s="3969">
        <v>46283</v>
      </c>
      <c r="N248" s="3969">
        <v>46279</v>
      </c>
      <c r="O248" s="3970"/>
      <c r="P248" s="3967"/>
      <c r="Q248" s="3971"/>
      <c r="R248" s="3972" t="s">
        <v>1926</v>
      </c>
      <c r="S248" s="3973"/>
      <c r="T248" s="3972" t="s">
        <v>9084</v>
      </c>
      <c r="U248" s="3973"/>
      <c r="V248" s="3974"/>
      <c r="W248" s="3975" t="s">
        <v>9085</v>
      </c>
      <c r="X248" s="3976" t="s">
        <v>9086</v>
      </c>
      <c r="Y248" s="3977">
        <v>10.6528</v>
      </c>
      <c r="Z248" s="3968">
        <f t="shared" si="82"/>
        <v>553.9456</v>
      </c>
      <c r="AA248" s="3978"/>
      <c r="AB248" s="3615" t="s">
        <v>8783</v>
      </c>
      <c r="AC248" s="3900" t="s">
        <v>416</v>
      </c>
      <c r="AD248" s="3755"/>
      <c r="AE248" s="3756"/>
      <c r="AF248" s="3720"/>
      <c r="AG248" s="3968"/>
      <c r="AH248" s="3980">
        <f>I248</f>
        <v>52</v>
      </c>
      <c r="AI248" s="3981"/>
      <c r="AJ248" s="3968">
        <f t="shared" si="83"/>
        <v>52</v>
      </c>
      <c r="AK248" s="3982"/>
      <c r="AL248" s="3982">
        <f t="shared" si="84"/>
        <v>52</v>
      </c>
      <c r="AM248" s="3981"/>
      <c r="AN248" s="3981"/>
      <c r="AO248" s="3982"/>
      <c r="AP248" s="3982"/>
      <c r="AQ248" s="3983" t="s">
        <v>89</v>
      </c>
      <c r="AR248" s="3984">
        <f>I248</f>
        <v>52</v>
      </c>
      <c r="AS248" s="3984"/>
      <c r="AT248" s="3984"/>
      <c r="AU248" s="3985"/>
      <c r="AV248" s="3986"/>
      <c r="AW248" s="3987"/>
      <c r="AX248" s="3987"/>
      <c r="AY248" s="3987"/>
      <c r="AZ248" s="3987"/>
      <c r="BA248" s="3987"/>
      <c r="BB248" s="3987"/>
      <c r="BC248" s="3987"/>
      <c r="BD248" s="3987"/>
      <c r="BE248" s="3987"/>
      <c r="BF248" s="3987"/>
      <c r="BG248" s="3988"/>
    </row>
    <row r="249" s="3573" customFormat="1" ht="50" customHeight="1" spans="1:59 16382:16384">
      <c r="A249" s="3922">
        <v>46181</v>
      </c>
      <c r="B249" s="3923" t="s">
        <v>2285</v>
      </c>
      <c r="C249" s="3924" t="s">
        <v>351</v>
      </c>
      <c r="D249" s="3925" t="s">
        <v>9089</v>
      </c>
      <c r="E249" s="3926" t="s">
        <v>8994</v>
      </c>
      <c r="F249" s="3925" t="s">
        <v>9090</v>
      </c>
      <c r="G249" s="3926" t="s">
        <v>8290</v>
      </c>
      <c r="H249" s="3927" t="s">
        <v>8291</v>
      </c>
      <c r="I249" s="3927">
        <v>304</v>
      </c>
      <c r="J249" s="3927">
        <v>0</v>
      </c>
      <c r="K249" s="3927">
        <v>4</v>
      </c>
      <c r="L249" s="3927">
        <f t="shared" si="76"/>
        <v>76</v>
      </c>
      <c r="M249" s="3928">
        <v>46303</v>
      </c>
      <c r="N249" s="3928">
        <v>46300</v>
      </c>
      <c r="O249" s="3929"/>
      <c r="P249" s="3926"/>
      <c r="Q249" s="3900"/>
      <c r="R249" s="3930" t="s">
        <v>4331</v>
      </c>
      <c r="S249" s="3931"/>
      <c r="T249" s="3930" t="s">
        <v>9091</v>
      </c>
      <c r="U249" s="3948" t="s">
        <v>9092</v>
      </c>
      <c r="V249" s="3932"/>
      <c r="W249" s="3900" t="s">
        <v>9093</v>
      </c>
      <c r="X249" s="3933" t="s">
        <v>1199</v>
      </c>
      <c r="Y249" s="3934">
        <v>10.1171</v>
      </c>
      <c r="Z249" s="3927">
        <f t="shared" si="82"/>
        <v>3075.5984</v>
      </c>
      <c r="AA249" s="3935"/>
      <c r="AB249" s="3916" t="s">
        <v>8290</v>
      </c>
      <c r="AC249" s="3900" t="s">
        <v>416</v>
      </c>
      <c r="AD249" s="3936"/>
      <c r="AE249" s="3937"/>
      <c r="AF249" s="3938"/>
      <c r="AG249" s="3927">
        <f>I249</f>
        <v>304</v>
      </c>
      <c r="AH249" s="3939"/>
      <c r="AI249" s="3940"/>
      <c r="AJ249" s="3927">
        <f t="shared" si="83"/>
        <v>304</v>
      </c>
      <c r="AK249" s="3941"/>
      <c r="AL249" s="3941">
        <f t="shared" si="84"/>
        <v>304</v>
      </c>
      <c r="AM249" s="3940"/>
      <c r="AN249" s="3940"/>
      <c r="AO249" s="3941"/>
      <c r="AP249" s="3949"/>
      <c r="AQ249" s="3950" t="s">
        <v>89</v>
      </c>
      <c r="AR249" s="3951">
        <f>I249/1*0.3</f>
        <v>91.2</v>
      </c>
      <c r="AS249" s="3951">
        <f>I249/1*0.25</f>
        <v>76</v>
      </c>
      <c r="AT249" s="3951">
        <f>I249/1*0.45</f>
        <v>136.8</v>
      </c>
      <c r="AU249" s="3942">
        <f>SUM(AR249:AT249)</f>
        <v>304</v>
      </c>
      <c r="AV249" s="3943">
        <f>I249-AU249</f>
        <v>0</v>
      </c>
      <c r="AW249" s="3944"/>
      <c r="AX249" s="3944"/>
      <c r="AY249" s="3944"/>
      <c r="AZ249" s="3944"/>
      <c r="BA249" s="3944"/>
      <c r="BB249" s="3944"/>
      <c r="BC249" s="3944"/>
      <c r="BD249" s="3944"/>
      <c r="BE249" s="3944"/>
      <c r="BF249" s="3944"/>
      <c r="BG249" s="3945"/>
    </row>
    <row r="250" s="3573" customFormat="1" ht="50" customHeight="1" spans="1:59 16382:16384">
      <c r="A250" s="3922">
        <v>46181</v>
      </c>
      <c r="B250" s="3923" t="s">
        <v>2285</v>
      </c>
      <c r="C250" s="3924" t="s">
        <v>351</v>
      </c>
      <c r="D250" s="3925" t="s">
        <v>9094</v>
      </c>
      <c r="E250" s="3926" t="s">
        <v>9000</v>
      </c>
      <c r="F250" s="3925" t="s">
        <v>9095</v>
      </c>
      <c r="G250" s="3926" t="s">
        <v>8290</v>
      </c>
      <c r="H250" s="3927" t="s">
        <v>8291</v>
      </c>
      <c r="I250" s="3927">
        <v>120</v>
      </c>
      <c r="J250" s="3927">
        <v>0</v>
      </c>
      <c r="K250" s="3927">
        <v>4</v>
      </c>
      <c r="L250" s="3927">
        <f t="shared" si="76"/>
        <v>30</v>
      </c>
      <c r="M250" s="3928">
        <v>46303</v>
      </c>
      <c r="N250" s="3928">
        <v>46300</v>
      </c>
      <c r="O250" s="3929"/>
      <c r="P250" s="3926"/>
      <c r="Q250" s="3900"/>
      <c r="R250" s="3930" t="s">
        <v>4331</v>
      </c>
      <c r="S250" s="3931"/>
      <c r="T250" s="3930" t="s">
        <v>9091</v>
      </c>
      <c r="U250" s="3948" t="s">
        <v>9092</v>
      </c>
      <c r="V250" s="3932"/>
      <c r="W250" s="3900" t="s">
        <v>9071</v>
      </c>
      <c r="X250" s="3933" t="s">
        <v>1199</v>
      </c>
      <c r="Y250" s="3934">
        <v>10.1171</v>
      </c>
      <c r="Z250" s="3927">
        <f t="shared" si="82"/>
        <v>1214.052</v>
      </c>
      <c r="AA250" s="3935"/>
      <c r="AB250" s="3916" t="s">
        <v>8290</v>
      </c>
      <c r="AC250" s="3900" t="s">
        <v>416</v>
      </c>
      <c r="AD250" s="3936"/>
      <c r="AE250" s="3937"/>
      <c r="AF250" s="3938"/>
      <c r="AG250" s="3927">
        <f>I250</f>
        <v>120</v>
      </c>
      <c r="AH250" s="3939"/>
      <c r="AI250" s="3940"/>
      <c r="AJ250" s="3927">
        <f t="shared" si="83"/>
        <v>120</v>
      </c>
      <c r="AK250" s="3941"/>
      <c r="AL250" s="3949">
        <f t="shared" si="84"/>
        <v>120</v>
      </c>
      <c r="AM250" s="3940"/>
      <c r="AN250" s="3940"/>
      <c r="AO250" s="3989"/>
      <c r="AP250" s="3990"/>
      <c r="AQ250" s="3958" t="s">
        <v>89</v>
      </c>
      <c r="AR250" s="3991">
        <f>I250/1*0.3</f>
        <v>36</v>
      </c>
      <c r="AS250" s="3951">
        <f>I250/1*0.25</f>
        <v>30</v>
      </c>
      <c r="AT250" s="3951">
        <f>I250/1*0.45</f>
        <v>54</v>
      </c>
      <c r="AU250" s="3942">
        <f>SUM(AR250:AT250)</f>
        <v>120</v>
      </c>
      <c r="AV250" s="3943">
        <f>I250-AU250</f>
        <v>0</v>
      </c>
      <c r="AW250" s="3944"/>
      <c r="AX250" s="3944"/>
      <c r="AY250" s="3944"/>
      <c r="AZ250" s="3944"/>
      <c r="BA250" s="3944"/>
      <c r="BB250" s="3944"/>
      <c r="BC250" s="3944"/>
      <c r="BD250" s="3944"/>
      <c r="BE250" s="3944"/>
      <c r="BF250" s="3944"/>
      <c r="BG250" s="3945"/>
    </row>
    <row r="251" s="3565" customFormat="1" ht="50" customHeight="1" spans="1:59 16382:16384">
      <c r="A251" s="3992"/>
      <c r="B251" s="3993"/>
      <c r="C251" s="3994"/>
      <c r="D251" s="3995"/>
      <c r="E251" s="3615"/>
      <c r="F251" s="3995"/>
      <c r="G251" s="3615"/>
      <c r="H251" s="3895"/>
      <c r="I251" s="3895"/>
      <c r="J251" s="3895"/>
      <c r="K251" s="3895"/>
      <c r="L251" s="3895"/>
      <c r="M251" s="3896"/>
      <c r="N251" s="3896"/>
      <c r="O251" s="3736"/>
      <c r="P251" s="3615"/>
      <c r="Q251" s="3658"/>
      <c r="R251" s="3996"/>
      <c r="S251" s="3997"/>
      <c r="T251" s="3997"/>
      <c r="U251" s="3903"/>
      <c r="V251" s="3899"/>
      <c r="W251" s="3998"/>
      <c r="X251" s="2863"/>
      <c r="Y251" s="3895"/>
      <c r="Z251" s="3895"/>
      <c r="AA251" s="3902"/>
      <c r="AB251" s="3615"/>
      <c r="AC251" s="3660"/>
      <c r="AD251" s="3665"/>
      <c r="AE251" s="3665"/>
      <c r="AF251" s="3665"/>
      <c r="AG251" s="3999"/>
      <c r="AH251" s="3946"/>
      <c r="AI251" s="3946"/>
      <c r="AJ251" s="3999"/>
      <c r="AK251" s="4000"/>
      <c r="AL251" s="4001"/>
      <c r="AM251" s="4002"/>
      <c r="AN251" s="3946"/>
      <c r="AO251" s="4003"/>
      <c r="AP251" s="4004"/>
      <c r="AQ251" s="4005"/>
      <c r="AR251" s="4006"/>
      <c r="AS251" s="4006"/>
      <c r="AT251" s="4006"/>
      <c r="AU251" s="4007"/>
      <c r="AV251" s="4008"/>
    </row>
    <row r="252" s="3565" customFormat="1" ht="50" customHeight="1" spans="1:59 16382:16384">
      <c r="A252" s="3992"/>
      <c r="B252" s="3993"/>
      <c r="C252" s="3994"/>
      <c r="D252" s="3995"/>
      <c r="E252" s="3615"/>
      <c r="F252" s="3995"/>
      <c r="G252" s="3615"/>
      <c r="H252" s="3895"/>
      <c r="I252" s="3895"/>
      <c r="J252" s="3895"/>
      <c r="K252" s="3895"/>
      <c r="L252" s="3895"/>
      <c r="M252" s="3896"/>
      <c r="N252" s="3896"/>
      <c r="O252" s="3895"/>
      <c r="P252" s="3615"/>
      <c r="Q252" s="3658"/>
      <c r="R252" s="889"/>
      <c r="S252" s="3896"/>
      <c r="T252" s="3896"/>
      <c r="U252" s="3895"/>
      <c r="V252" s="3615"/>
      <c r="W252" s="3998"/>
      <c r="X252" s="2863"/>
      <c r="Y252" s="4009"/>
      <c r="Z252" s="3895">
        <f>SUBTOTAL(9,Z45:Z89)</f>
        <v>0</v>
      </c>
      <c r="AA252" s="3742"/>
      <c r="AB252" s="3615"/>
      <c r="AC252" s="3658"/>
      <c r="AD252" s="3658"/>
      <c r="AE252" s="3658"/>
      <c r="AF252" s="3658"/>
      <c r="AG252" s="3615"/>
      <c r="AH252" s="3615"/>
      <c r="AI252" s="3615"/>
      <c r="AJ252" s="3615"/>
      <c r="AK252" s="3615"/>
      <c r="AL252" s="3946"/>
      <c r="AM252" s="3615"/>
      <c r="AN252" s="3615"/>
      <c r="AO252" s="3904"/>
      <c r="AP252" s="3904"/>
      <c r="AQ252" s="3904"/>
      <c r="AR252" s="3904"/>
      <c r="AS252" s="3904"/>
      <c r="AT252" s="3904"/>
      <c r="AU252" s="4010"/>
      <c r="AV252" s="4011"/>
    </row>
    <row r="253" s="3565" customFormat="1" ht="50" customHeight="1" spans="1:59 16382:16384">
      <c r="A253" s="3992"/>
      <c r="B253" s="3993"/>
      <c r="C253" s="3994"/>
      <c r="D253" s="3995"/>
      <c r="E253" s="3615"/>
      <c r="F253" s="3995"/>
      <c r="G253" s="3615"/>
      <c r="H253" s="3895"/>
      <c r="I253" s="3895"/>
      <c r="J253" s="3895"/>
      <c r="K253" s="3895"/>
      <c r="L253" s="3895"/>
      <c r="M253" s="3896"/>
      <c r="N253" s="3896"/>
      <c r="O253" s="3895"/>
      <c r="P253" s="3615"/>
      <c r="Q253" s="3658"/>
      <c r="R253" s="889"/>
      <c r="S253" s="3896"/>
      <c r="T253" s="3896"/>
      <c r="U253" s="3895"/>
      <c r="V253" s="3615"/>
      <c r="W253" s="3998"/>
      <c r="X253" s="2863"/>
      <c r="Y253" s="4009"/>
      <c r="Z253" s="3895"/>
      <c r="AA253" s="3742"/>
      <c r="AB253" s="3615"/>
      <c r="AC253" s="3658"/>
      <c r="AD253" s="3658"/>
      <c r="AE253" s="3658"/>
      <c r="AF253" s="3658"/>
      <c r="AG253" s="3615">
        <f t="shared" ref="AG253:AN253" si="89">SUM(AG4:AG252)</f>
        <v>123328</v>
      </c>
      <c r="AH253" s="3615">
        <f t="shared" si="89"/>
        <v>71200</v>
      </c>
      <c r="AI253" s="3615">
        <f t="shared" si="89"/>
        <v>3000</v>
      </c>
      <c r="AJ253" s="3615">
        <f t="shared" si="89"/>
        <v>191144</v>
      </c>
      <c r="AK253" s="3615">
        <f t="shared" si="89"/>
        <v>5864</v>
      </c>
      <c r="AL253" s="3615">
        <f t="shared" si="89"/>
        <v>156108</v>
      </c>
      <c r="AM253" s="3615">
        <f t="shared" si="89"/>
        <v>39272</v>
      </c>
      <c r="AN253" s="3615">
        <f t="shared" si="89"/>
        <v>3704</v>
      </c>
      <c r="AO253" s="3615">
        <f t="shared" ref="AO253:AV253" si="90">SUM(AO4:AO252)</f>
        <v>0</v>
      </c>
      <c r="AP253" s="3615">
        <f t="shared" si="90"/>
        <v>600</v>
      </c>
      <c r="AQ253" s="3615">
        <f t="shared" si="90"/>
        <v>0</v>
      </c>
      <c r="AR253" s="4012">
        <f t="shared" si="90"/>
        <v>57647.6</v>
      </c>
      <c r="AS253" s="4012">
        <f t="shared" si="90"/>
        <v>68257.8666666667</v>
      </c>
      <c r="AT253" s="4012">
        <f t="shared" si="90"/>
        <v>72480.5333333334</v>
      </c>
      <c r="AU253" s="4013">
        <f t="shared" si="90"/>
        <v>198110</v>
      </c>
      <c r="AV253" s="4001">
        <f t="shared" si="90"/>
        <v>0</v>
      </c>
    </row>
    <row r="254" s="3565" customFormat="1" spans="1:59 16382:16384">
      <c r="A254" s="3575"/>
      <c r="B254" s="3576"/>
      <c r="C254" s="3576"/>
      <c r="D254" s="3563"/>
      <c r="E254" s="3576"/>
      <c r="F254" s="3576"/>
      <c r="G254" s="3563"/>
      <c r="H254" s="3563"/>
      <c r="I254" s="3563"/>
      <c r="J254" s="3563"/>
      <c r="K254" s="3563"/>
      <c r="L254" s="3563"/>
      <c r="M254" s="3577"/>
      <c r="N254" s="3563"/>
      <c r="O254" s="3576"/>
      <c r="P254" s="3578"/>
      <c r="Q254" s="3563"/>
      <c r="R254" s="3563"/>
      <c r="S254" s="4014"/>
      <c r="T254" s="3563"/>
      <c r="U254" s="3563"/>
      <c r="V254" s="3578"/>
      <c r="W254" s="3578"/>
      <c r="X254" s="3578"/>
      <c r="Y254" s="3578"/>
      <c r="Z254" s="3895">
        <f>SUBTOTAL(9,Z45:Z253)</f>
        <v>1704.448</v>
      </c>
      <c r="AA254" s="3578"/>
      <c r="AB254" s="3576"/>
      <c r="AC254" s="3576"/>
      <c r="AD254" s="3576"/>
      <c r="AE254" s="3576"/>
      <c r="AF254" s="3576"/>
      <c r="AG254" s="4015"/>
      <c r="AH254" s="4015"/>
      <c r="AI254" s="4015"/>
      <c r="AJ254" s="4015"/>
      <c r="AK254" s="4015"/>
      <c r="AL254" s="3582"/>
      <c r="AM254" s="4015"/>
      <c r="AN254" s="4015"/>
      <c r="AO254" s="4015"/>
      <c r="AP254" s="4015"/>
      <c r="AQ254" s="4015"/>
      <c r="AR254" s="4015"/>
      <c r="AS254" s="4015"/>
      <c r="AT254" s="4015"/>
      <c r="AU254" s="4015"/>
      <c r="AV254" s="4015"/>
    </row>
    <row r="255" s="3565" customFormat="1" spans="1:59 16382:16384">
      <c r="A255" s="3575"/>
      <c r="B255" s="3576"/>
      <c r="C255" s="3576"/>
      <c r="D255" s="3563"/>
      <c r="E255" s="3576"/>
      <c r="F255" s="3576"/>
      <c r="G255" s="3563"/>
      <c r="H255" s="3563"/>
      <c r="I255" s="3563"/>
      <c r="J255" s="3563"/>
      <c r="K255" s="3563"/>
      <c r="L255" s="3563"/>
      <c r="M255" s="3577"/>
      <c r="N255" s="3563"/>
      <c r="O255" s="3576"/>
      <c r="P255" s="3578"/>
      <c r="Q255" s="3563"/>
      <c r="R255" s="3563"/>
      <c r="S255" s="4014"/>
      <c r="T255" s="3563"/>
      <c r="U255" s="3563"/>
      <c r="V255" s="3578"/>
      <c r="W255" s="3578"/>
      <c r="X255" s="3578"/>
      <c r="Y255" s="3578"/>
      <c r="Z255" s="3578"/>
      <c r="AA255" s="3578"/>
      <c r="AB255" s="3576"/>
      <c r="AC255" s="3576"/>
      <c r="AD255" s="3576"/>
      <c r="AE255" s="3576"/>
      <c r="AF255" s="3576"/>
      <c r="AG255" s="3576"/>
      <c r="AH255" s="3580"/>
      <c r="AI255" s="3581"/>
      <c r="AJ255" s="3582"/>
      <c r="AK255" s="3582"/>
      <c r="AL255" s="3582"/>
      <c r="AM255" s="3582"/>
      <c r="AN255" s="3582"/>
      <c r="AO255" s="3582"/>
      <c r="AP255" s="3582"/>
      <c r="AQ255" s="4016"/>
      <c r="AR255" s="3576"/>
      <c r="AS255" s="3576"/>
      <c r="AT255" s="4017"/>
      <c r="AU255" s="3563"/>
      <c r="AV255" s="3563"/>
    </row>
    <row r="256" s="3565" customFormat="1" ht="41" customHeight="1" spans="1:59 16382:16384">
      <c r="A256" s="3575"/>
      <c r="B256" s="3576"/>
      <c r="C256" s="3576"/>
      <c r="D256" s="3563"/>
      <c r="E256" s="3576"/>
      <c r="F256" s="3576"/>
      <c r="G256" s="3576"/>
      <c r="H256" s="3576"/>
      <c r="I256" s="3576"/>
      <c r="J256" s="3563"/>
      <c r="K256" s="3563"/>
      <c r="L256" s="3563"/>
      <c r="M256" s="3577"/>
      <c r="N256" s="3563"/>
      <c r="O256" s="3576"/>
      <c r="P256" s="3578"/>
      <c r="Q256" s="3563"/>
      <c r="R256" s="3563"/>
      <c r="S256" s="4014"/>
      <c r="T256" s="3563"/>
      <c r="U256" s="3563"/>
      <c r="V256" s="3578"/>
      <c r="W256" s="3578"/>
      <c r="X256" s="3578"/>
      <c r="Y256" s="3578"/>
      <c r="Z256" s="4018">
        <f>SUBTOTAL(9,Z50:Z89)</f>
        <v>0</v>
      </c>
      <c r="AA256" s="3578"/>
      <c r="AB256" s="3576"/>
      <c r="AC256" s="3576"/>
      <c r="AD256" s="3576"/>
      <c r="AE256" s="3576"/>
      <c r="AF256" s="3576"/>
      <c r="AG256" s="3576"/>
      <c r="AH256" s="3580"/>
      <c r="AI256" s="3581"/>
      <c r="AJ256" s="3582"/>
      <c r="AK256" s="3582"/>
      <c r="AL256" s="3582"/>
      <c r="AM256" s="3582"/>
      <c r="AN256" s="3582"/>
      <c r="AO256" s="3582"/>
      <c r="AP256" s="3582"/>
      <c r="AQ256" s="4016"/>
      <c r="AR256" s="3581"/>
      <c r="AS256" s="3581"/>
      <c r="AT256" s="3581"/>
      <c r="AU256" s="3581"/>
      <c r="AV256" s="3581"/>
    </row>
    <row r="257" s="3565" customFormat="1" ht="27" customHeight="1" spans="1:48">
      <c r="A257" s="3575"/>
      <c r="B257" s="3576"/>
      <c r="C257" s="3576"/>
      <c r="D257" s="3563"/>
      <c r="E257" s="3576"/>
      <c r="F257" s="3576"/>
      <c r="G257" s="3563"/>
      <c r="H257" s="3576"/>
      <c r="I257" s="3563"/>
      <c r="J257" s="3563"/>
      <c r="K257" s="3563"/>
      <c r="L257" s="3563"/>
      <c r="M257" s="3577"/>
      <c r="N257" s="3563"/>
      <c r="O257" s="3576"/>
      <c r="P257" s="3578"/>
      <c r="Q257" s="3563"/>
      <c r="R257" s="3563"/>
      <c r="S257" s="4014"/>
      <c r="T257" s="3563"/>
      <c r="U257" s="3563"/>
      <c r="V257" s="3578"/>
      <c r="W257" s="3578"/>
      <c r="X257" s="3578"/>
      <c r="Y257" s="3578"/>
      <c r="Z257" s="4018">
        <f>Z256*7.75</f>
        <v>0</v>
      </c>
      <c r="AA257" s="3578"/>
      <c r="AB257" s="3576"/>
      <c r="AC257" s="3576"/>
      <c r="AD257" s="3576"/>
      <c r="AE257" s="3576"/>
      <c r="AF257" s="3576"/>
      <c r="AG257" s="3576"/>
      <c r="AH257" s="3580"/>
      <c r="AI257" s="3581"/>
      <c r="AJ257" s="3582"/>
      <c r="AK257" s="3582"/>
      <c r="AL257" s="3582"/>
      <c r="AM257" s="3582"/>
      <c r="AN257" s="3582"/>
      <c r="AO257" s="3582"/>
      <c r="AP257" s="3582"/>
      <c r="AQ257" s="4016"/>
      <c r="AR257" s="4019"/>
      <c r="AS257" s="4019"/>
      <c r="AT257" s="4019"/>
      <c r="AU257" s="4019"/>
      <c r="AV257" s="3576"/>
    </row>
    <row r="258" s="3565" customFormat="1" spans="1:48">
      <c r="A258" s="3575"/>
      <c r="B258" s="3576"/>
      <c r="C258" s="3576"/>
      <c r="D258" s="3563"/>
      <c r="E258" s="3576"/>
      <c r="F258" s="3576"/>
      <c r="G258" s="3576"/>
      <c r="H258" s="3576"/>
      <c r="I258" s="3563"/>
      <c r="J258" s="3563"/>
      <c r="K258" s="3563"/>
      <c r="L258" s="3563"/>
      <c r="M258" s="3577"/>
      <c r="N258" s="3563"/>
      <c r="O258" s="3576"/>
      <c r="P258" s="3578"/>
      <c r="Q258" s="3563"/>
      <c r="R258" s="3563"/>
      <c r="S258" s="4014"/>
      <c r="T258" s="3563"/>
      <c r="U258" s="3563"/>
      <c r="V258" s="3578"/>
      <c r="W258" s="3578"/>
      <c r="X258" s="3578"/>
      <c r="Y258" s="3578"/>
      <c r="Z258" s="3578"/>
      <c r="AA258" s="3578"/>
      <c r="AB258" s="3576"/>
      <c r="AC258" s="3576"/>
      <c r="AD258" s="3576"/>
      <c r="AE258" s="3576"/>
      <c r="AF258" s="3576"/>
      <c r="AG258" s="3576"/>
      <c r="AH258" s="3580"/>
      <c r="AI258" s="3581"/>
      <c r="AJ258" s="3582"/>
      <c r="AK258" s="3582"/>
      <c r="AL258" s="3582"/>
      <c r="AM258" s="3582"/>
      <c r="AN258" s="3582"/>
      <c r="AO258" s="3582"/>
      <c r="AP258" s="3582"/>
      <c r="AQ258" s="4016"/>
      <c r="AR258" s="3576"/>
      <c r="AS258" s="3576"/>
      <c r="AT258" s="4017"/>
      <c r="AU258" s="3563"/>
      <c r="AV258" s="3563"/>
    </row>
    <row r="259" s="3565" customFormat="1" spans="1:48">
      <c r="A259" s="3575"/>
      <c r="B259" s="3576"/>
      <c r="C259" s="3576"/>
      <c r="D259" s="3563"/>
      <c r="E259" s="3576"/>
      <c r="F259" s="3576"/>
      <c r="G259" s="3563"/>
      <c r="H259" s="3563"/>
      <c r="I259" s="3563"/>
      <c r="J259" s="3563"/>
      <c r="K259" s="3563"/>
      <c r="L259" s="3563"/>
      <c r="M259" s="3577"/>
      <c r="N259" s="3563"/>
      <c r="O259" s="3576"/>
      <c r="P259" s="3578"/>
      <c r="Q259" s="3563"/>
      <c r="R259" s="3563"/>
      <c r="S259" s="4014"/>
      <c r="T259" s="3563"/>
      <c r="U259" s="3563"/>
      <c r="V259" s="3578"/>
      <c r="W259" s="3578"/>
      <c r="X259" s="3578"/>
      <c r="Y259" s="3578"/>
      <c r="Z259" s="3578"/>
      <c r="AA259" s="3578"/>
      <c r="AB259" s="3576"/>
      <c r="AC259" s="3576"/>
      <c r="AD259" s="3576"/>
      <c r="AE259" s="3576"/>
      <c r="AF259" s="3576"/>
      <c r="AG259" s="3576"/>
      <c r="AH259" s="3580"/>
      <c r="AI259" s="3581"/>
      <c r="AJ259" s="3582"/>
      <c r="AK259" s="3582"/>
      <c r="AL259" s="3582"/>
      <c r="AM259" s="3582"/>
      <c r="AN259" s="3582"/>
      <c r="AO259" s="3582"/>
      <c r="AP259" s="3582"/>
      <c r="AQ259" s="4016"/>
      <c r="AR259" s="3576"/>
      <c r="AS259" s="3576"/>
      <c r="AT259" s="4017"/>
      <c r="AU259" s="3563"/>
      <c r="AV259" s="3563"/>
    </row>
    <row r="260" s="3565" customFormat="1" spans="1:48">
      <c r="A260" s="3575"/>
      <c r="B260" s="3576"/>
      <c r="C260" s="3576"/>
      <c r="D260" s="3563"/>
      <c r="E260" s="3576"/>
      <c r="F260" s="3576"/>
      <c r="G260" s="3563"/>
      <c r="H260" s="3563"/>
      <c r="I260" s="3563"/>
      <c r="J260" s="3563"/>
      <c r="K260" s="3563"/>
      <c r="L260" s="3563"/>
      <c r="M260" s="3577"/>
      <c r="N260" s="3563"/>
      <c r="O260" s="3576"/>
      <c r="P260" s="3578"/>
      <c r="Q260" s="3563"/>
      <c r="R260" s="3563"/>
      <c r="S260" s="4014"/>
      <c r="T260" s="3563"/>
      <c r="U260" s="3563"/>
      <c r="V260" s="3578"/>
      <c r="W260" s="3578"/>
      <c r="X260" s="3578"/>
      <c r="Y260" s="3578"/>
      <c r="Z260" s="4018">
        <f>Z87*7.75</f>
        <v>8696.3525</v>
      </c>
      <c r="AA260" s="3578"/>
      <c r="AB260" s="3576"/>
      <c r="AC260" s="3576"/>
      <c r="AD260" s="3576"/>
      <c r="AE260" s="3576"/>
      <c r="AF260" s="3576"/>
      <c r="AG260" s="3576"/>
      <c r="AH260" s="3580"/>
      <c r="AI260" s="3581"/>
      <c r="AJ260" s="3582"/>
      <c r="AK260" s="3582"/>
      <c r="AL260" s="3582"/>
      <c r="AM260" s="3582"/>
      <c r="AN260" s="3582"/>
      <c r="AO260" s="3582"/>
      <c r="AP260" s="3582"/>
      <c r="AQ260" s="4016"/>
      <c r="AR260" s="3576"/>
      <c r="AS260" s="3576"/>
      <c r="AT260" s="4017"/>
      <c r="AU260" s="3563"/>
      <c r="AV260" s="3563"/>
    </row>
    <row r="261" s="3565" customFormat="1" spans="1:48">
      <c r="A261" s="3575"/>
      <c r="B261" s="3576"/>
      <c r="C261" s="3576"/>
      <c r="D261" s="3563"/>
      <c r="E261" s="3576"/>
      <c r="F261" s="3576"/>
      <c r="G261" s="3563"/>
      <c r="H261" s="3563"/>
      <c r="I261" s="3563"/>
      <c r="J261" s="3563"/>
      <c r="K261" s="3563"/>
      <c r="L261" s="3563"/>
      <c r="M261" s="3577"/>
      <c r="N261" s="3563"/>
      <c r="O261" s="3576"/>
      <c r="P261" s="3578"/>
      <c r="Q261" s="3563"/>
      <c r="R261" s="3563"/>
      <c r="S261" s="4014"/>
      <c r="T261" s="3563"/>
      <c r="U261" s="3563"/>
      <c r="V261" s="3578"/>
      <c r="W261" s="3578"/>
      <c r="X261" s="3578"/>
      <c r="Y261" s="3578"/>
      <c r="Z261" s="3578"/>
      <c r="AA261" s="3578"/>
      <c r="AB261" s="3576"/>
      <c r="AC261" s="3576"/>
      <c r="AD261" s="3576"/>
      <c r="AE261" s="3576"/>
      <c r="AF261" s="3576"/>
      <c r="AG261" s="3576"/>
      <c r="AH261" s="3580"/>
      <c r="AI261" s="3581"/>
      <c r="AJ261" s="3582"/>
      <c r="AK261" s="3582"/>
      <c r="AL261" s="3582"/>
      <c r="AM261" s="3582"/>
      <c r="AN261" s="3582"/>
      <c r="AO261" s="3582"/>
      <c r="AP261" s="3582"/>
      <c r="AQ261" s="4016"/>
      <c r="AR261" s="3576"/>
      <c r="AS261" s="3576"/>
      <c r="AT261" s="4017"/>
      <c r="AU261" s="3563"/>
      <c r="AV261" s="3563"/>
    </row>
    <row r="262" s="3565" customFormat="1" spans="1:48">
      <c r="A262" s="3575"/>
      <c r="B262" s="3576"/>
      <c r="C262" s="3576"/>
      <c r="D262" s="3563"/>
      <c r="E262" s="3576"/>
      <c r="F262" s="3576"/>
      <c r="G262" s="3563"/>
      <c r="H262" s="3576"/>
      <c r="I262" s="3576"/>
      <c r="J262" s="3563"/>
      <c r="K262" s="3563"/>
      <c r="L262" s="3563"/>
      <c r="M262" s="3577"/>
      <c r="N262" s="3563"/>
      <c r="O262" s="3576"/>
      <c r="P262" s="3578"/>
      <c r="Q262" s="3563"/>
      <c r="R262" s="3563"/>
      <c r="S262" s="4014"/>
      <c r="T262" s="3563"/>
      <c r="U262" s="3563"/>
      <c r="V262" s="3578"/>
      <c r="W262" s="3578"/>
      <c r="X262" s="3578"/>
      <c r="Y262" s="3578"/>
      <c r="Z262" s="3578"/>
      <c r="AA262" s="3578"/>
      <c r="AB262" s="3576"/>
      <c r="AC262" s="3576"/>
      <c r="AD262" s="3576"/>
      <c r="AE262" s="3576"/>
      <c r="AF262" s="3576"/>
      <c r="AG262" s="3576"/>
      <c r="AH262" s="3580"/>
      <c r="AI262" s="3581"/>
      <c r="AJ262" s="3582"/>
      <c r="AK262" s="3582"/>
      <c r="AL262" s="3582"/>
      <c r="AM262" s="3582"/>
      <c r="AN262" s="3582"/>
      <c r="AO262" s="3582"/>
      <c r="AP262" s="3582"/>
      <c r="AQ262" s="4016"/>
      <c r="AR262" s="3576"/>
      <c r="AS262" s="3576"/>
      <c r="AT262" s="4017"/>
      <c r="AU262" s="3563"/>
      <c r="AV262" s="3563"/>
    </row>
    <row r="263" s="3565" customFormat="1" spans="1:48">
      <c r="A263" s="3575"/>
      <c r="B263" s="3576"/>
      <c r="C263" s="3576"/>
      <c r="D263" s="3563"/>
      <c r="E263" s="3576"/>
      <c r="F263" s="3576"/>
      <c r="G263" s="3563"/>
      <c r="H263" s="3563"/>
      <c r="I263" s="3563"/>
      <c r="J263" s="3563"/>
      <c r="K263" s="3563"/>
      <c r="L263" s="3563"/>
      <c r="M263" s="3577"/>
      <c r="N263" s="3563"/>
      <c r="O263" s="3576"/>
      <c r="P263" s="3578"/>
      <c r="Q263" s="3563"/>
      <c r="R263" s="3563"/>
      <c r="S263" s="4014"/>
      <c r="T263" s="3563"/>
      <c r="U263" s="3563"/>
      <c r="V263" s="3578"/>
      <c r="W263" s="3578"/>
      <c r="X263" s="3578"/>
      <c r="Y263" s="3578"/>
      <c r="Z263" s="3578"/>
      <c r="AA263" s="3578"/>
      <c r="AB263" s="3576"/>
      <c r="AC263" s="3576"/>
      <c r="AD263" s="3576"/>
      <c r="AE263" s="3576"/>
      <c r="AF263" s="3576"/>
      <c r="AG263" s="3576"/>
      <c r="AH263" s="3580"/>
      <c r="AI263" s="3581"/>
      <c r="AJ263" s="3582"/>
      <c r="AK263" s="3582"/>
      <c r="AL263" s="3582"/>
      <c r="AM263" s="3582"/>
      <c r="AN263" s="3582"/>
      <c r="AO263" s="3582"/>
      <c r="AP263" s="3582"/>
      <c r="AQ263" s="4016"/>
      <c r="AR263" s="3576"/>
      <c r="AS263" s="3576"/>
      <c r="AT263" s="4017"/>
      <c r="AU263" s="3563"/>
      <c r="AV263" s="3563"/>
    </row>
    <row r="264" s="3565" customFormat="1" spans="1:48">
      <c r="A264" s="3575"/>
      <c r="B264" s="3576"/>
      <c r="C264" s="3576"/>
      <c r="D264" s="3563"/>
      <c r="E264" s="3576"/>
      <c r="F264" s="3576"/>
      <c r="G264" s="3563"/>
      <c r="H264" s="3563"/>
      <c r="I264" s="3563"/>
      <c r="J264" s="3563"/>
      <c r="K264" s="3563"/>
      <c r="L264" s="3563"/>
      <c r="M264" s="3577"/>
      <c r="N264" s="3563"/>
      <c r="O264" s="3576"/>
      <c r="P264" s="3578"/>
      <c r="Q264" s="3563"/>
      <c r="R264" s="3563"/>
      <c r="S264" s="4014"/>
      <c r="T264" s="3563"/>
      <c r="U264" s="3563"/>
      <c r="V264" s="3578"/>
      <c r="W264" s="3578"/>
      <c r="X264" s="3578"/>
      <c r="Y264" s="3578"/>
      <c r="Z264" s="3578"/>
      <c r="AA264" s="3578"/>
      <c r="AB264" s="3576"/>
      <c r="AC264" s="3576"/>
      <c r="AD264" s="3576"/>
      <c r="AE264" s="3576"/>
      <c r="AF264" s="3576"/>
      <c r="AG264" s="3576"/>
      <c r="AH264" s="3580"/>
      <c r="AI264" s="3581"/>
      <c r="AJ264" s="3582"/>
      <c r="AK264" s="3582"/>
      <c r="AL264" s="3582"/>
      <c r="AM264" s="3582"/>
      <c r="AN264" s="3582"/>
      <c r="AO264" s="3582"/>
      <c r="AP264" s="3582"/>
      <c r="AQ264" s="4016"/>
      <c r="AR264" s="3576"/>
      <c r="AS264" s="3576"/>
      <c r="AT264" s="4017"/>
      <c r="AU264" s="3563"/>
      <c r="AV264" s="3563"/>
    </row>
    <row r="265" s="3565" customFormat="1" spans="1:48">
      <c r="A265" s="3575"/>
      <c r="B265" s="3576"/>
      <c r="C265" s="3576"/>
      <c r="D265" s="3563"/>
      <c r="E265" s="3576"/>
      <c r="F265" s="3576"/>
      <c r="G265" s="3563"/>
      <c r="H265" s="3563"/>
      <c r="I265" s="3563"/>
      <c r="J265" s="3563"/>
      <c r="K265" s="3563"/>
      <c r="L265" s="3563"/>
      <c r="M265" s="3577"/>
      <c r="N265" s="3563"/>
      <c r="O265" s="3576"/>
      <c r="P265" s="3578"/>
      <c r="Q265" s="3563"/>
      <c r="R265" s="3563"/>
      <c r="S265" s="4014"/>
      <c r="T265" s="3563"/>
      <c r="U265" s="3563"/>
      <c r="V265" s="3578"/>
      <c r="W265" s="3578"/>
      <c r="X265" s="3578"/>
      <c r="Y265" s="3578"/>
      <c r="Z265" s="3578"/>
      <c r="AA265" s="3578"/>
      <c r="AB265" s="3576"/>
      <c r="AC265" s="3576"/>
      <c r="AD265" s="3576"/>
      <c r="AE265" s="3576"/>
      <c r="AF265" s="3576"/>
      <c r="AG265" s="3576"/>
      <c r="AH265" s="3580"/>
      <c r="AI265" s="3581"/>
      <c r="AJ265" s="3582"/>
      <c r="AK265" s="3582"/>
      <c r="AL265" s="3582"/>
      <c r="AM265" s="3582"/>
      <c r="AN265" s="3582"/>
      <c r="AO265" s="3582"/>
      <c r="AP265" s="3582"/>
      <c r="AQ265" s="4016"/>
      <c r="AR265" s="3576"/>
      <c r="AS265" s="3576"/>
      <c r="AT265" s="4017"/>
      <c r="AU265" s="3563"/>
      <c r="AV265" s="3563"/>
    </row>
    <row r="266" s="3565" customFormat="1" spans="1:48">
      <c r="A266" s="3575"/>
      <c r="B266" s="3576"/>
      <c r="C266" s="3576"/>
      <c r="D266" s="3563"/>
      <c r="E266" s="3576"/>
      <c r="F266" s="3576"/>
      <c r="G266" s="3563"/>
      <c r="H266" s="3563"/>
      <c r="I266" s="3563"/>
      <c r="J266" s="3563"/>
      <c r="K266" s="3563"/>
      <c r="L266" s="3563"/>
      <c r="M266" s="3577"/>
      <c r="N266" s="3563"/>
      <c r="O266" s="3576"/>
      <c r="P266" s="3578"/>
      <c r="Q266" s="3563"/>
      <c r="R266" s="3563"/>
      <c r="S266" s="4014"/>
      <c r="T266" s="3563"/>
      <c r="U266" s="3563"/>
      <c r="V266" s="3578"/>
      <c r="W266" s="3578"/>
      <c r="X266" s="3578"/>
      <c r="Y266" s="3578"/>
      <c r="Z266" s="3578"/>
      <c r="AA266" s="3578"/>
      <c r="AB266" s="3576"/>
      <c r="AC266" s="3576"/>
      <c r="AD266" s="3576"/>
      <c r="AE266" s="3576"/>
      <c r="AF266" s="3576"/>
      <c r="AG266" s="3576"/>
      <c r="AH266" s="3580"/>
      <c r="AI266" s="3581"/>
      <c r="AJ266" s="3582"/>
      <c r="AK266" s="3582"/>
      <c r="AL266" s="3582"/>
      <c r="AM266" s="3582"/>
      <c r="AN266" s="3582"/>
      <c r="AO266" s="3582"/>
      <c r="AP266" s="3582"/>
      <c r="AQ266" s="4016"/>
      <c r="AR266" s="3576"/>
      <c r="AS266" s="3576"/>
      <c r="AT266" s="4017"/>
      <c r="AU266" s="3563"/>
      <c r="AV266" s="3563"/>
    </row>
    <row r="267" s="3565" customFormat="1" spans="1:48">
      <c r="A267" s="3575"/>
      <c r="B267" s="3576"/>
      <c r="C267" s="3576"/>
      <c r="D267" s="3563"/>
      <c r="E267" s="3576"/>
      <c r="F267" s="3576"/>
      <c r="G267" s="3563"/>
      <c r="H267" s="3576"/>
      <c r="I267" s="3576"/>
      <c r="J267" s="3563"/>
      <c r="K267" s="3563"/>
      <c r="L267" s="3563"/>
      <c r="M267" s="3577"/>
      <c r="N267" s="3563"/>
      <c r="O267" s="3563"/>
      <c r="P267" s="3563"/>
      <c r="Q267" s="4014"/>
      <c r="R267" s="3563"/>
      <c r="S267" s="3563"/>
      <c r="T267" s="3578"/>
      <c r="U267" s="3578"/>
      <c r="V267" s="3578"/>
      <c r="W267" s="3578"/>
      <c r="X267" s="3578"/>
      <c r="Y267" s="3578"/>
      <c r="Z267" s="3576"/>
      <c r="AA267" s="3576"/>
      <c r="AB267" s="3576"/>
      <c r="AC267" s="3580"/>
      <c r="AD267" s="3580"/>
      <c r="AE267" s="3580"/>
      <c r="AF267" s="3580"/>
      <c r="AG267" s="3581"/>
      <c r="AH267" s="3581"/>
      <c r="AI267" s="3582"/>
      <c r="AJ267" s="3582"/>
      <c r="AK267" s="3582"/>
      <c r="AL267" s="3582"/>
      <c r="AM267" s="3582"/>
      <c r="AN267" s="3582"/>
      <c r="AO267" s="3576"/>
      <c r="AP267" s="3576"/>
      <c r="AQ267" s="3576"/>
      <c r="AR267" s="4017"/>
      <c r="AS267" s="3581"/>
      <c r="AT267" s="3581"/>
      <c r="AU267" s="3563"/>
      <c r="AV267" s="899"/>
    </row>
    <row r="268" s="3565" customFormat="1" spans="1:48">
      <c r="A268" s="3575"/>
      <c r="B268" s="3576"/>
      <c r="C268" s="3576"/>
      <c r="D268" s="3563"/>
      <c r="E268" s="3576"/>
      <c r="F268" s="3576"/>
      <c r="G268" s="3563"/>
      <c r="H268" s="3563"/>
      <c r="I268" s="3563"/>
      <c r="J268" s="3563"/>
      <c r="K268" s="3563"/>
      <c r="L268" s="3563"/>
      <c r="M268" s="3577"/>
      <c r="N268" s="3563"/>
      <c r="O268" s="3563"/>
      <c r="P268" s="3563"/>
      <c r="Q268" s="4014"/>
      <c r="R268" s="3563"/>
      <c r="S268" s="3563"/>
      <c r="T268" s="3578"/>
      <c r="U268" s="3578"/>
      <c r="V268" s="3578"/>
      <c r="W268" s="3578"/>
      <c r="X268" s="3578"/>
      <c r="Y268" s="3578"/>
      <c r="Z268" s="3576"/>
      <c r="AA268" s="3576"/>
      <c r="AB268" s="3576"/>
      <c r="AC268" s="3580"/>
      <c r="AD268" s="3580"/>
      <c r="AE268" s="3580"/>
      <c r="AF268" s="3580"/>
      <c r="AG268" s="3581"/>
      <c r="AH268" s="3581"/>
      <c r="AI268" s="3582"/>
      <c r="AJ268" s="3582"/>
      <c r="AK268" s="3582"/>
      <c r="AL268" s="3582"/>
      <c r="AM268" s="3582"/>
      <c r="AN268" s="3582"/>
      <c r="AO268" s="3576"/>
      <c r="AP268" s="3576"/>
      <c r="AQ268" s="3576"/>
      <c r="AR268" s="4017"/>
      <c r="AS268" s="3581"/>
      <c r="AT268" s="3581"/>
      <c r="AU268" s="3563"/>
      <c r="AV268" s="899"/>
    </row>
    <row r="269" s="3565" customFormat="1" spans="1:48">
      <c r="A269" s="3575"/>
      <c r="B269" s="3576"/>
      <c r="C269" s="3576"/>
      <c r="D269" s="3563"/>
      <c r="E269" s="3576"/>
      <c r="F269" s="3576"/>
      <c r="G269" s="3563"/>
      <c r="H269" s="3563"/>
      <c r="I269" s="3563"/>
      <c r="J269" s="3563"/>
      <c r="K269" s="3563"/>
      <c r="L269" s="3563"/>
      <c r="M269" s="3577"/>
      <c r="N269" s="3563"/>
      <c r="O269" s="3563"/>
      <c r="P269" s="4014"/>
      <c r="Q269" s="3563"/>
      <c r="R269" s="3563"/>
      <c r="S269" s="3578"/>
      <c r="T269" s="3578"/>
      <c r="U269" s="3578"/>
      <c r="V269" s="3578"/>
      <c r="W269" s="3578"/>
      <c r="X269" s="3578"/>
      <c r="Y269" s="3576"/>
      <c r="Z269" s="3576"/>
      <c r="AA269" s="3580"/>
      <c r="AB269" s="3576"/>
      <c r="AC269" s="3581"/>
      <c r="AD269" s="3581"/>
      <c r="AE269" s="3581"/>
      <c r="AF269" s="3581"/>
      <c r="AG269" s="3581"/>
      <c r="AH269" s="3582"/>
      <c r="AI269" s="3582"/>
      <c r="AJ269" s="3582"/>
      <c r="AK269" s="3582"/>
      <c r="AL269" s="3582"/>
      <c r="AM269" s="3582"/>
      <c r="AN269" s="3582"/>
      <c r="AO269" s="3576"/>
      <c r="AP269" s="3576"/>
      <c r="AQ269" s="3576"/>
      <c r="AR269" s="3581"/>
      <c r="AS269" s="3581"/>
      <c r="AT269" s="3581"/>
      <c r="AU269" s="3565"/>
      <c r="AV269" s="899"/>
    </row>
    <row r="270" s="3565" customFormat="1" spans="1:48">
      <c r="A270" s="3575"/>
      <c r="B270" s="3576"/>
      <c r="C270" s="3576"/>
      <c r="D270" s="3563"/>
      <c r="E270" s="3576"/>
      <c r="F270" s="3576"/>
      <c r="G270" s="3563"/>
      <c r="H270" s="3576"/>
      <c r="I270" s="3576"/>
      <c r="J270" s="3563"/>
      <c r="K270" s="3563"/>
      <c r="L270" s="3563"/>
      <c r="M270" s="3577"/>
      <c r="N270" s="3563"/>
      <c r="O270" s="3563"/>
      <c r="P270" s="4014"/>
      <c r="Q270" s="3563"/>
      <c r="R270" s="3563"/>
      <c r="S270" s="3578"/>
      <c r="T270" s="3578"/>
      <c r="U270" s="3578"/>
      <c r="V270" s="3578"/>
      <c r="W270" s="3578"/>
      <c r="X270" s="3578"/>
      <c r="Y270" s="3576"/>
      <c r="Z270" s="3576"/>
      <c r="AA270" s="3580"/>
      <c r="AB270" s="3576"/>
      <c r="AC270" s="3581"/>
      <c r="AD270" s="3581"/>
      <c r="AE270" s="3581"/>
      <c r="AF270" s="3581"/>
      <c r="AG270" s="3581"/>
      <c r="AH270" s="3582"/>
      <c r="AI270" s="3582"/>
      <c r="AJ270" s="3582"/>
      <c r="AK270" s="3582"/>
      <c r="AL270" s="3582"/>
      <c r="AM270" s="3582"/>
      <c r="AN270" s="3582"/>
      <c r="AO270" s="3576"/>
      <c r="AP270" s="3576"/>
      <c r="AQ270" s="3576"/>
      <c r="AR270" s="3581"/>
      <c r="AS270" s="3581"/>
      <c r="AT270" s="3581"/>
      <c r="AU270" s="3565"/>
      <c r="AV270" s="899"/>
    </row>
    <row r="271" s="3565" customFormat="1" spans="1:48">
      <c r="A271" s="3575"/>
      <c r="B271" s="3576"/>
      <c r="C271" s="3576"/>
      <c r="D271" s="3563"/>
      <c r="E271" s="3576"/>
      <c r="F271" s="3576"/>
      <c r="G271" s="3563"/>
      <c r="H271" s="3576"/>
      <c r="I271" s="3576"/>
      <c r="J271" s="3563"/>
      <c r="K271" s="3563"/>
      <c r="L271" s="3563"/>
      <c r="M271" s="3577"/>
      <c r="N271" s="3563"/>
      <c r="O271" s="3563"/>
      <c r="P271" s="3563"/>
      <c r="Q271" s="4014"/>
      <c r="R271" s="3563"/>
      <c r="S271" s="3563"/>
      <c r="T271" s="3578"/>
      <c r="U271" s="3578"/>
      <c r="V271" s="3578"/>
      <c r="W271" s="3578"/>
      <c r="X271" s="3578"/>
      <c r="Y271" s="3578"/>
      <c r="Z271" s="3576"/>
      <c r="AA271" s="3576"/>
      <c r="AB271" s="3576"/>
      <c r="AC271" s="3580"/>
      <c r="AD271" s="3580"/>
      <c r="AE271" s="3580"/>
      <c r="AF271" s="3580"/>
      <c r="AG271" s="3581"/>
      <c r="AH271" s="3581"/>
      <c r="AI271" s="3582"/>
      <c r="AJ271" s="3582"/>
      <c r="AK271" s="3582"/>
      <c r="AL271" s="3582"/>
      <c r="AM271" s="3582"/>
      <c r="AN271" s="3582"/>
      <c r="AO271" s="3576"/>
      <c r="AP271" s="3576"/>
      <c r="AQ271" s="3576"/>
      <c r="AR271" s="4017"/>
      <c r="AS271" s="3581"/>
      <c r="AT271" s="3581"/>
      <c r="AU271" s="3563"/>
      <c r="AV271" s="899"/>
    </row>
    <row r="272" s="3565" customFormat="1" spans="1:48">
      <c r="A272" s="3575"/>
      <c r="B272" s="3576"/>
      <c r="C272" s="3576"/>
      <c r="D272" s="3563"/>
      <c r="E272" s="3576"/>
      <c r="F272" s="3576"/>
      <c r="G272" s="3563"/>
      <c r="H272" s="3563"/>
      <c r="I272" s="3563"/>
      <c r="J272" s="3563"/>
      <c r="K272" s="3563"/>
      <c r="L272" s="3563"/>
      <c r="M272" s="3577"/>
      <c r="N272" s="3563"/>
      <c r="O272" s="3576"/>
      <c r="P272" s="3578"/>
      <c r="Q272" s="3563"/>
      <c r="R272" s="3563"/>
      <c r="S272" s="4014"/>
      <c r="T272" s="3563"/>
      <c r="U272" s="3563"/>
      <c r="V272" s="3578"/>
      <c r="W272" s="3578"/>
      <c r="X272" s="3578"/>
      <c r="Y272" s="3578"/>
      <c r="Z272" s="3578"/>
      <c r="AA272" s="3578"/>
      <c r="AB272" s="3576"/>
      <c r="AC272" s="3576"/>
      <c r="AD272" s="3576"/>
      <c r="AE272" s="3576"/>
      <c r="AF272" s="3576"/>
      <c r="AG272" s="3576"/>
      <c r="AH272" s="3580"/>
      <c r="AI272" s="3581"/>
      <c r="AJ272" s="3582"/>
      <c r="AK272" s="3582"/>
      <c r="AL272" s="3582"/>
      <c r="AM272" s="3582"/>
      <c r="AN272" s="3582"/>
      <c r="AO272" s="3582"/>
      <c r="AP272" s="3582"/>
      <c r="AQ272" s="4016"/>
      <c r="AR272" s="3576"/>
      <c r="AS272" s="3576"/>
      <c r="AT272" s="4017"/>
      <c r="AU272" s="3563"/>
      <c r="AV272" s="3563"/>
    </row>
    <row r="273" s="3565" customFormat="1" spans="1:48">
      <c r="A273" s="3575"/>
      <c r="B273" s="3576"/>
      <c r="C273" s="3576"/>
      <c r="D273" s="3563"/>
      <c r="E273" s="3563"/>
      <c r="F273" s="3576"/>
      <c r="G273" s="3576"/>
      <c r="H273" s="3563"/>
      <c r="I273" s="3563"/>
      <c r="J273" s="3563"/>
      <c r="K273" s="3563"/>
      <c r="L273" s="3563"/>
      <c r="M273" s="3563"/>
      <c r="N273" s="3577"/>
      <c r="O273" s="3563"/>
      <c r="P273" s="3576"/>
      <c r="Q273" s="3578"/>
      <c r="R273" s="3563"/>
      <c r="S273" s="3563"/>
      <c r="T273" s="4014"/>
      <c r="U273" s="3563"/>
      <c r="V273" s="3563"/>
      <c r="W273" s="3578"/>
      <c r="X273" s="3578"/>
      <c r="Y273" s="3578"/>
      <c r="Z273" s="3578"/>
      <c r="AA273" s="3578"/>
      <c r="AB273" s="3563"/>
      <c r="AC273" s="3578"/>
      <c r="AD273" s="3578"/>
      <c r="AE273" s="3578"/>
      <c r="AF273" s="3578"/>
      <c r="AG273" s="3576"/>
      <c r="AH273" s="3576"/>
      <c r="AI273" s="3580"/>
      <c r="AJ273" s="3581"/>
      <c r="AK273" s="3582"/>
      <c r="AL273" s="3582"/>
      <c r="AM273" s="3582"/>
      <c r="AN273" s="3582"/>
      <c r="AO273" s="3582"/>
      <c r="AP273" s="3582"/>
      <c r="AQ273" s="3582"/>
      <c r="AR273" s="3576"/>
      <c r="AS273" s="3576"/>
      <c r="AT273" s="3576"/>
      <c r="AU273" s="3576"/>
      <c r="AV273" s="3563"/>
    </row>
    <row r="274" s="3565" customFormat="1" spans="1:48">
      <c r="A274" s="3575"/>
      <c r="B274" s="3576"/>
      <c r="C274" s="3576"/>
      <c r="D274" s="3563"/>
      <c r="E274" s="3563"/>
      <c r="F274" s="3576"/>
      <c r="G274" s="3576"/>
      <c r="H274" s="3563"/>
      <c r="I274" s="3563"/>
      <c r="J274" s="3563"/>
      <c r="K274" s="3563"/>
      <c r="L274" s="3563"/>
      <c r="M274" s="3563"/>
      <c r="N274" s="3577"/>
      <c r="O274" s="3563"/>
      <c r="P274" s="3576"/>
      <c r="Q274" s="3578"/>
      <c r="R274" s="3563"/>
      <c r="S274" s="3563"/>
      <c r="T274" s="4014"/>
      <c r="U274" s="3563"/>
      <c r="V274" s="3563"/>
      <c r="W274" s="3578"/>
      <c r="X274" s="3578"/>
      <c r="Y274" s="3578"/>
      <c r="Z274" s="3578"/>
      <c r="AA274" s="3578"/>
      <c r="AB274" s="3563"/>
      <c r="AC274" s="3578"/>
      <c r="AD274" s="3578"/>
      <c r="AE274" s="3578"/>
      <c r="AF274" s="3578"/>
      <c r="AG274" s="3576"/>
      <c r="AH274" s="3576"/>
      <c r="AI274" s="3580"/>
      <c r="AJ274" s="3581"/>
      <c r="AK274" s="3582"/>
      <c r="AL274" s="3582"/>
      <c r="AM274" s="3582"/>
      <c r="AN274" s="3582"/>
      <c r="AO274" s="3582"/>
      <c r="AP274" s="3582"/>
      <c r="AQ274" s="3582"/>
      <c r="AR274" s="3576"/>
      <c r="AS274" s="3576"/>
      <c r="AT274" s="3576"/>
      <c r="AU274" s="3576"/>
      <c r="AV274" s="3563"/>
    </row>
    <row r="275" s="3565" customFormat="1" spans="1:48">
      <c r="A275" s="3575"/>
      <c r="B275" s="3576"/>
      <c r="C275" s="3576"/>
      <c r="D275" s="3563"/>
      <c r="E275" s="3563"/>
      <c r="F275" s="3576"/>
      <c r="G275" s="3576"/>
      <c r="H275" s="3563"/>
      <c r="I275" s="3563"/>
      <c r="J275" s="3563"/>
      <c r="K275" s="3563"/>
      <c r="L275" s="3563"/>
      <c r="M275" s="3563"/>
      <c r="N275" s="3577"/>
      <c r="O275" s="3563"/>
      <c r="P275" s="3576"/>
      <c r="Q275" s="3578"/>
      <c r="R275" s="3563"/>
      <c r="S275" s="3563"/>
      <c r="T275" s="4014"/>
      <c r="U275" s="3563"/>
      <c r="V275" s="3563"/>
      <c r="W275" s="3578"/>
      <c r="X275" s="3578"/>
      <c r="Y275" s="3578"/>
      <c r="Z275" s="3578"/>
      <c r="AA275" s="3578"/>
      <c r="AB275" s="3563"/>
      <c r="AC275" s="3578"/>
      <c r="AD275" s="3578"/>
      <c r="AE275" s="3578"/>
      <c r="AF275" s="3578"/>
      <c r="AG275" s="3576"/>
      <c r="AH275" s="3576"/>
      <c r="AI275" s="3580"/>
      <c r="AJ275" s="3581"/>
      <c r="AK275" s="3582"/>
      <c r="AL275" s="3582"/>
      <c r="AM275" s="3582"/>
      <c r="AN275" s="3582"/>
      <c r="AO275" s="3582"/>
      <c r="AP275" s="3582"/>
      <c r="AQ275" s="3582"/>
      <c r="AR275" s="3576"/>
      <c r="AS275" s="3576"/>
      <c r="AT275" s="3576"/>
      <c r="AU275" s="3576"/>
      <c r="AV275" s="3563"/>
    </row>
    <row r="276" s="3565" customFormat="1" spans="1:48">
      <c r="A276" s="3575"/>
      <c r="B276" s="3576"/>
      <c r="C276" s="3576"/>
      <c r="D276" s="3563"/>
      <c r="E276" s="3563"/>
      <c r="F276" s="3576"/>
      <c r="G276" s="3576"/>
      <c r="H276" s="3563"/>
      <c r="I276" s="3563"/>
      <c r="J276" s="3563"/>
      <c r="K276" s="3563"/>
      <c r="L276" s="3563"/>
      <c r="M276" s="3563"/>
      <c r="N276" s="3577"/>
      <c r="O276" s="3563"/>
      <c r="P276" s="3576"/>
      <c r="Q276" s="3578"/>
      <c r="R276" s="3563"/>
      <c r="S276" s="3563"/>
      <c r="T276" s="4014"/>
      <c r="U276" s="3563"/>
      <c r="V276" s="3563"/>
      <c r="W276" s="3578"/>
      <c r="X276" s="3578"/>
      <c r="Y276" s="3578"/>
      <c r="Z276" s="3578"/>
      <c r="AA276" s="3578"/>
      <c r="AB276" s="3563"/>
      <c r="AC276" s="3578"/>
      <c r="AD276" s="3578"/>
      <c r="AE276" s="3578"/>
      <c r="AF276" s="3578"/>
      <c r="AG276" s="3576"/>
      <c r="AH276" s="3576"/>
      <c r="AI276" s="3580"/>
      <c r="AJ276" s="3581"/>
      <c r="AK276" s="3582"/>
      <c r="AL276" s="3582"/>
      <c r="AM276" s="3582"/>
      <c r="AN276" s="3582"/>
      <c r="AO276" s="3582"/>
      <c r="AP276" s="3582"/>
      <c r="AQ276" s="3582"/>
      <c r="AR276" s="3576"/>
      <c r="AS276" s="3576"/>
      <c r="AT276" s="3576"/>
      <c r="AU276" s="3576"/>
      <c r="AV276" s="3563"/>
    </row>
    <row r="277" s="3565" customFormat="1" spans="1:48">
      <c r="A277" s="3575"/>
      <c r="B277" s="3576"/>
      <c r="C277" s="3576"/>
      <c r="D277" s="3563"/>
      <c r="E277" s="3563"/>
      <c r="F277" s="3576"/>
      <c r="G277" s="3576"/>
      <c r="H277" s="3563"/>
      <c r="I277" s="3563"/>
      <c r="J277" s="3563"/>
      <c r="K277" s="3563"/>
      <c r="L277" s="3563"/>
      <c r="M277" s="3563"/>
      <c r="N277" s="3577"/>
      <c r="O277" s="3563"/>
      <c r="P277" s="3576"/>
      <c r="Q277" s="3578"/>
      <c r="R277" s="3563"/>
      <c r="S277" s="3563"/>
      <c r="T277" s="4014"/>
      <c r="U277" s="3563"/>
      <c r="V277" s="3563"/>
      <c r="W277" s="3578"/>
      <c r="X277" s="3578"/>
      <c r="Y277" s="3578"/>
      <c r="Z277" s="3578"/>
      <c r="AA277" s="3578"/>
      <c r="AB277" s="3563"/>
      <c r="AC277" s="3578"/>
      <c r="AD277" s="3578"/>
      <c r="AE277" s="3578"/>
      <c r="AF277" s="3578"/>
      <c r="AG277" s="3576"/>
      <c r="AH277" s="3576"/>
      <c r="AI277" s="3580"/>
      <c r="AJ277" s="3581"/>
      <c r="AK277" s="3582"/>
      <c r="AL277" s="3582"/>
      <c r="AM277" s="3582"/>
      <c r="AN277" s="3582"/>
      <c r="AO277" s="3582"/>
      <c r="AP277" s="3582"/>
      <c r="AQ277" s="3582"/>
      <c r="AR277" s="3576"/>
      <c r="AS277" s="3576"/>
      <c r="AT277" s="3576"/>
      <c r="AU277" s="3576"/>
      <c r="AV277" s="3563"/>
    </row>
    <row r="278" s="3565" customFormat="1" spans="1:48">
      <c r="A278" s="3575"/>
      <c r="B278" s="3576"/>
      <c r="C278" s="3576"/>
      <c r="D278" s="3563"/>
      <c r="E278" s="3563"/>
      <c r="F278" s="3576"/>
      <c r="G278" s="3576"/>
      <c r="H278" s="3563"/>
      <c r="I278" s="3563"/>
      <c r="J278" s="3563"/>
      <c r="K278" s="3563"/>
      <c r="L278" s="3563"/>
      <c r="M278" s="3563"/>
      <c r="N278" s="3577"/>
      <c r="O278" s="3563"/>
      <c r="P278" s="3576"/>
      <c r="Q278" s="3578"/>
      <c r="R278" s="3563"/>
      <c r="S278" s="3563"/>
      <c r="T278" s="4014"/>
      <c r="U278" s="3563"/>
      <c r="V278" s="3563"/>
      <c r="W278" s="3578"/>
      <c r="X278" s="3578"/>
      <c r="Y278" s="3578"/>
      <c r="Z278" s="3578"/>
      <c r="AA278" s="3578"/>
      <c r="AB278" s="3563"/>
      <c r="AC278" s="3578"/>
      <c r="AD278" s="3578"/>
      <c r="AE278" s="3578"/>
      <c r="AF278" s="3578"/>
      <c r="AG278" s="3576"/>
      <c r="AH278" s="3576"/>
      <c r="AI278" s="3580"/>
      <c r="AJ278" s="3581"/>
      <c r="AK278" s="3582"/>
      <c r="AL278" s="3582"/>
      <c r="AM278" s="3582"/>
      <c r="AN278" s="3582"/>
      <c r="AO278" s="3582"/>
      <c r="AP278" s="3582"/>
      <c r="AQ278" s="3582"/>
      <c r="AR278" s="3576"/>
      <c r="AS278" s="3576"/>
      <c r="AT278" s="3576"/>
      <c r="AU278" s="3576"/>
      <c r="AV278" s="3563"/>
    </row>
    <row r="279" s="3565" customFormat="1" spans="1:48">
      <c r="A279" s="3575"/>
      <c r="B279" s="3576"/>
      <c r="C279" s="3576"/>
      <c r="D279" s="3563"/>
      <c r="E279" s="3563"/>
      <c r="F279" s="3576"/>
      <c r="G279" s="3576"/>
      <c r="H279" s="3563"/>
      <c r="I279" s="3563"/>
      <c r="J279" s="3563"/>
      <c r="K279" s="3563"/>
      <c r="L279" s="3563"/>
      <c r="M279" s="3563"/>
      <c r="N279" s="3577"/>
      <c r="O279" s="3563"/>
      <c r="P279" s="3576"/>
      <c r="Q279" s="3578"/>
      <c r="R279" s="3563"/>
      <c r="S279" s="3563"/>
      <c r="T279" s="4014"/>
      <c r="U279" s="3563"/>
      <c r="V279" s="3563"/>
      <c r="W279" s="3578"/>
      <c r="X279" s="3578"/>
      <c r="Y279" s="3578"/>
      <c r="Z279" s="3578"/>
      <c r="AA279" s="3578"/>
      <c r="AB279" s="3563"/>
      <c r="AC279" s="3578"/>
      <c r="AD279" s="3578"/>
      <c r="AE279" s="3578"/>
      <c r="AF279" s="3578"/>
      <c r="AG279" s="3576"/>
      <c r="AH279" s="3576"/>
      <c r="AI279" s="3580"/>
      <c r="AJ279" s="3581"/>
      <c r="AK279" s="3582"/>
      <c r="AL279" s="3582"/>
      <c r="AM279" s="3582"/>
      <c r="AN279" s="3582"/>
      <c r="AO279" s="3582"/>
      <c r="AP279" s="3582"/>
      <c r="AQ279" s="3582"/>
      <c r="AR279" s="3576"/>
      <c r="AS279" s="3576"/>
      <c r="AT279" s="3576"/>
      <c r="AU279" s="3576"/>
      <c r="AV279" s="3563"/>
    </row>
    <row r="280" s="3565" customFormat="1" spans="1:48">
      <c r="A280" s="3575"/>
      <c r="B280" s="3576"/>
      <c r="C280" s="3576"/>
      <c r="D280" s="3563"/>
      <c r="E280" s="3563"/>
      <c r="F280" s="3576"/>
      <c r="G280" s="3576"/>
      <c r="H280" s="3576"/>
      <c r="I280" s="3563"/>
      <c r="J280" s="3563"/>
      <c r="K280" s="3563"/>
      <c r="L280" s="3563"/>
      <c r="M280" s="3563"/>
      <c r="N280" s="3577"/>
      <c r="O280" s="3563"/>
      <c r="P280" s="3576"/>
      <c r="Q280" s="3578"/>
      <c r="R280" s="3563"/>
      <c r="S280" s="3563"/>
      <c r="T280" s="4014"/>
      <c r="U280" s="3563"/>
      <c r="V280" s="3563"/>
      <c r="W280" s="3578"/>
      <c r="X280" s="3578"/>
      <c r="Y280" s="3578"/>
      <c r="Z280" s="3578"/>
      <c r="AA280" s="3578"/>
      <c r="AB280" s="3563"/>
      <c r="AC280" s="3578"/>
      <c r="AD280" s="3578"/>
      <c r="AE280" s="3578"/>
      <c r="AF280" s="3578"/>
      <c r="AG280" s="3576"/>
      <c r="AH280" s="3576"/>
      <c r="AI280" s="3580"/>
      <c r="AJ280" s="3581"/>
      <c r="AK280" s="3582"/>
      <c r="AL280" s="3582"/>
      <c r="AM280" s="3582"/>
      <c r="AN280" s="3582"/>
      <c r="AO280" s="3582"/>
      <c r="AP280" s="3582"/>
      <c r="AQ280" s="3582"/>
      <c r="AR280" s="3576"/>
      <c r="AS280" s="3576"/>
      <c r="AT280" s="3576"/>
      <c r="AU280" s="3576"/>
      <c r="AV280" s="3563"/>
    </row>
    <row r="281" s="3565" customFormat="1" spans="1:48">
      <c r="A281" s="3575"/>
      <c r="B281" s="3576"/>
      <c r="C281" s="3576"/>
      <c r="D281" s="3563"/>
      <c r="E281" s="3563"/>
      <c r="F281" s="3576"/>
      <c r="G281" s="3576"/>
      <c r="H281" s="3563"/>
      <c r="I281" s="3563"/>
      <c r="J281" s="3563"/>
      <c r="K281" s="3563"/>
      <c r="L281" s="3563"/>
      <c r="M281" s="3563"/>
      <c r="N281" s="3577"/>
      <c r="O281" s="3563"/>
      <c r="P281" s="3576"/>
      <c r="Q281" s="3578"/>
      <c r="R281" s="3563"/>
      <c r="S281" s="3563"/>
      <c r="T281" s="4014"/>
      <c r="U281" s="3563"/>
      <c r="V281" s="3563"/>
      <c r="W281" s="3578"/>
      <c r="X281" s="3578"/>
      <c r="Y281" s="3578"/>
      <c r="Z281" s="3578"/>
      <c r="AA281" s="3578"/>
      <c r="AB281" s="3563"/>
      <c r="AC281" s="3578"/>
      <c r="AD281" s="3578"/>
      <c r="AE281" s="3578"/>
      <c r="AF281" s="3578"/>
      <c r="AG281" s="3576"/>
      <c r="AH281" s="3576"/>
      <c r="AI281" s="3580"/>
      <c r="AJ281" s="3581"/>
      <c r="AK281" s="3582"/>
      <c r="AL281" s="3582"/>
      <c r="AM281" s="3582"/>
      <c r="AN281" s="3582"/>
      <c r="AO281" s="3582"/>
      <c r="AP281" s="3582"/>
      <c r="AQ281" s="3582"/>
      <c r="AR281" s="3576"/>
      <c r="AS281" s="3576"/>
      <c r="AT281" s="3576"/>
      <c r="AU281" s="3576"/>
      <c r="AV281" s="3563"/>
    </row>
    <row r="282" s="3565" customFormat="1" spans="1:48">
      <c r="A282" s="3575"/>
      <c r="B282" s="3576"/>
      <c r="C282" s="3576"/>
      <c r="D282" s="3563"/>
      <c r="E282" s="3563"/>
      <c r="F282" s="3576"/>
      <c r="G282" s="3576"/>
      <c r="H282" s="3563"/>
      <c r="I282" s="3563"/>
      <c r="J282" s="3563"/>
      <c r="K282" s="3563"/>
      <c r="L282" s="3563"/>
      <c r="M282" s="3563"/>
      <c r="N282" s="3577"/>
      <c r="O282" s="3563"/>
      <c r="P282" s="3576"/>
      <c r="Q282" s="3578"/>
      <c r="R282" s="3563"/>
      <c r="S282" s="3563"/>
      <c r="T282" s="4014"/>
      <c r="U282" s="3563"/>
      <c r="V282" s="3563"/>
      <c r="W282" s="3578"/>
      <c r="X282" s="3578"/>
      <c r="Y282" s="3578"/>
      <c r="Z282" s="3578"/>
      <c r="AA282" s="3578"/>
      <c r="AB282" s="3563"/>
      <c r="AC282" s="3578"/>
      <c r="AD282" s="3578"/>
      <c r="AE282" s="3578"/>
      <c r="AF282" s="3578"/>
      <c r="AG282" s="3576"/>
      <c r="AH282" s="3576"/>
      <c r="AI282" s="3580"/>
      <c r="AJ282" s="3581"/>
      <c r="AK282" s="3582"/>
      <c r="AL282" s="3582"/>
      <c r="AM282" s="3582"/>
      <c r="AN282" s="3582"/>
      <c r="AO282" s="3582"/>
      <c r="AP282" s="3582"/>
      <c r="AQ282" s="3582"/>
      <c r="AR282" s="3576"/>
      <c r="AS282" s="3576"/>
      <c r="AT282" s="3576"/>
      <c r="AU282" s="3576"/>
      <c r="AV282" s="3563"/>
    </row>
    <row r="283" s="3565" customFormat="1" spans="1:48">
      <c r="A283" s="3575"/>
      <c r="B283" s="3576"/>
      <c r="C283" s="3576"/>
      <c r="D283" s="3563"/>
      <c r="E283" s="3563"/>
      <c r="F283" s="3576"/>
      <c r="G283" s="3576"/>
      <c r="H283" s="3563"/>
      <c r="I283" s="3563"/>
      <c r="J283" s="3563"/>
      <c r="K283" s="3563"/>
      <c r="L283" s="3563"/>
      <c r="M283" s="3563"/>
      <c r="N283" s="3577"/>
      <c r="O283" s="3563"/>
      <c r="P283" s="3576"/>
      <c r="Q283" s="3578"/>
      <c r="R283" s="3563"/>
      <c r="S283" s="3563"/>
      <c r="T283" s="4014"/>
      <c r="U283" s="3563"/>
      <c r="V283" s="3563"/>
      <c r="W283" s="3578"/>
      <c r="X283" s="3578"/>
      <c r="Y283" s="3578"/>
      <c r="Z283" s="3578"/>
      <c r="AA283" s="3578"/>
      <c r="AB283" s="3563"/>
      <c r="AC283" s="3578"/>
      <c r="AD283" s="3578"/>
      <c r="AE283" s="3578"/>
      <c r="AF283" s="3578"/>
      <c r="AG283" s="3576"/>
      <c r="AH283" s="3576"/>
      <c r="AI283" s="3580"/>
      <c r="AJ283" s="3581"/>
      <c r="AK283" s="3582"/>
      <c r="AL283" s="3582"/>
      <c r="AM283" s="3582"/>
      <c r="AN283" s="3582"/>
      <c r="AO283" s="3582"/>
      <c r="AP283" s="3582"/>
      <c r="AQ283" s="3582"/>
      <c r="AR283" s="3576"/>
      <c r="AS283" s="3576"/>
      <c r="AT283" s="3576"/>
      <c r="AU283" s="3576"/>
      <c r="AV283" s="3563"/>
    </row>
    <row r="284" s="3565" customFormat="1" spans="1:48">
      <c r="A284" s="3575"/>
      <c r="B284" s="3576"/>
      <c r="C284" s="3576"/>
      <c r="D284" s="3563"/>
      <c r="E284" s="3563"/>
      <c r="F284" s="3576"/>
      <c r="G284" s="3576"/>
      <c r="H284" s="3563"/>
      <c r="I284" s="3563"/>
      <c r="J284" s="3563"/>
      <c r="K284" s="3563"/>
      <c r="L284" s="3563"/>
      <c r="M284" s="3563"/>
      <c r="N284" s="3577"/>
      <c r="O284" s="3563"/>
      <c r="P284" s="3576"/>
      <c r="Q284" s="3578"/>
      <c r="R284" s="3563"/>
      <c r="S284" s="3563"/>
      <c r="T284" s="4014"/>
      <c r="U284" s="3563"/>
      <c r="V284" s="3563"/>
      <c r="W284" s="3578"/>
      <c r="X284" s="3578"/>
      <c r="Y284" s="3578"/>
      <c r="Z284" s="3578"/>
      <c r="AA284" s="3578"/>
      <c r="AB284" s="3563"/>
      <c r="AC284" s="3578"/>
      <c r="AD284" s="3578"/>
      <c r="AE284" s="3578"/>
      <c r="AF284" s="3578"/>
      <c r="AG284" s="3576"/>
      <c r="AH284" s="3576"/>
      <c r="AI284" s="3580"/>
      <c r="AJ284" s="3581"/>
      <c r="AK284" s="3582"/>
      <c r="AL284" s="3582"/>
      <c r="AM284" s="3582"/>
      <c r="AN284" s="3582"/>
      <c r="AO284" s="3582"/>
      <c r="AP284" s="3582"/>
      <c r="AQ284" s="3582"/>
      <c r="AR284" s="3576"/>
      <c r="AS284" s="3576"/>
      <c r="AT284" s="3576"/>
      <c r="AU284" s="3576"/>
      <c r="AV284" s="3563"/>
    </row>
    <row r="285" s="3565" customFormat="1" spans="1:48">
      <c r="A285" s="3575"/>
      <c r="B285" s="3576"/>
      <c r="C285" s="3576"/>
      <c r="D285" s="3563"/>
      <c r="E285" s="3563"/>
      <c r="F285" s="3576"/>
      <c r="G285" s="3576"/>
      <c r="H285" s="3563"/>
      <c r="I285" s="3563"/>
      <c r="J285" s="3563"/>
      <c r="K285" s="3563"/>
      <c r="L285" s="3563"/>
      <c r="M285" s="3563"/>
      <c r="N285" s="3577"/>
      <c r="O285" s="3563"/>
      <c r="P285" s="3576"/>
      <c r="Q285" s="3578"/>
      <c r="R285" s="3563"/>
      <c r="S285" s="3563"/>
      <c r="T285" s="4014"/>
      <c r="U285" s="3563"/>
      <c r="V285" s="3563"/>
      <c r="W285" s="3578"/>
      <c r="X285" s="3578"/>
      <c r="Y285" s="3578"/>
      <c r="Z285" s="3578"/>
      <c r="AA285" s="3578"/>
      <c r="AB285" s="3563"/>
      <c r="AC285" s="3578"/>
      <c r="AD285" s="3578"/>
      <c r="AE285" s="3578"/>
      <c r="AF285" s="3578"/>
      <c r="AG285" s="3576"/>
      <c r="AH285" s="3576"/>
      <c r="AI285" s="3580"/>
      <c r="AJ285" s="3581"/>
      <c r="AK285" s="3582"/>
      <c r="AL285" s="3582"/>
      <c r="AM285" s="3582"/>
      <c r="AN285" s="3582"/>
      <c r="AO285" s="3582"/>
      <c r="AP285" s="3582"/>
      <c r="AQ285" s="3582"/>
      <c r="AR285" s="3576"/>
      <c r="AS285" s="3576"/>
      <c r="AT285" s="3576"/>
      <c r="AU285" s="3576"/>
      <c r="AV285" s="3563"/>
    </row>
    <row r="286" s="3565" customFormat="1" spans="1:48">
      <c r="A286" s="3575"/>
      <c r="B286" s="3576"/>
      <c r="C286" s="3576"/>
      <c r="D286" s="3563"/>
      <c r="E286" s="3563"/>
      <c r="F286" s="3576"/>
      <c r="G286" s="3576"/>
      <c r="H286" s="3563"/>
      <c r="I286" s="3563"/>
      <c r="J286" s="3563"/>
      <c r="K286" s="3563"/>
      <c r="L286" s="3563"/>
      <c r="M286" s="3563"/>
      <c r="N286" s="3577"/>
      <c r="O286" s="3563"/>
      <c r="P286" s="3576"/>
      <c r="Q286" s="3578"/>
      <c r="R286" s="3563"/>
      <c r="S286" s="3563"/>
      <c r="T286" s="4014"/>
      <c r="U286" s="3563"/>
      <c r="V286" s="3563"/>
      <c r="W286" s="3578"/>
      <c r="X286" s="3578"/>
      <c r="Y286" s="3578"/>
      <c r="Z286" s="3578"/>
      <c r="AA286" s="3578"/>
      <c r="AB286" s="3563"/>
      <c r="AC286" s="3578"/>
      <c r="AD286" s="3578"/>
      <c r="AE286" s="3578"/>
      <c r="AF286" s="3578"/>
      <c r="AG286" s="3576"/>
      <c r="AH286" s="3576"/>
      <c r="AI286" s="3580"/>
      <c r="AJ286" s="3581"/>
      <c r="AK286" s="3582"/>
      <c r="AL286" s="3582"/>
      <c r="AM286" s="3582"/>
      <c r="AN286" s="3582"/>
      <c r="AO286" s="3582"/>
      <c r="AP286" s="3582"/>
      <c r="AQ286" s="3582"/>
      <c r="AR286" s="3576"/>
      <c r="AS286" s="3576"/>
      <c r="AT286" s="3576"/>
      <c r="AU286" s="3576"/>
      <c r="AV286" s="3563"/>
    </row>
    <row r="287" s="3565" customFormat="1" spans="1:48">
      <c r="A287" s="3575"/>
      <c r="B287" s="3576"/>
      <c r="C287" s="3576"/>
      <c r="D287" s="3563"/>
      <c r="E287" s="3563"/>
      <c r="F287" s="3576"/>
      <c r="G287" s="3576"/>
      <c r="H287" s="3563"/>
      <c r="I287" s="3563"/>
      <c r="J287" s="3563"/>
      <c r="K287" s="3563"/>
      <c r="L287" s="3563"/>
      <c r="M287" s="3563"/>
      <c r="N287" s="3577"/>
      <c r="O287" s="3563"/>
      <c r="P287" s="3576"/>
      <c r="Q287" s="3578"/>
      <c r="R287" s="3563"/>
      <c r="S287" s="3563"/>
      <c r="T287" s="4014"/>
      <c r="U287" s="3563"/>
      <c r="V287" s="3563"/>
      <c r="W287" s="3578"/>
      <c r="X287" s="3578"/>
      <c r="Y287" s="3578"/>
      <c r="Z287" s="3578"/>
      <c r="AA287" s="3578"/>
      <c r="AB287" s="3563"/>
      <c r="AC287" s="3578"/>
      <c r="AD287" s="3578"/>
      <c r="AE287" s="3578"/>
      <c r="AF287" s="3578"/>
      <c r="AG287" s="3576"/>
      <c r="AH287" s="3576"/>
      <c r="AI287" s="3580"/>
      <c r="AJ287" s="3581"/>
      <c r="AK287" s="3582"/>
      <c r="AL287" s="3582"/>
      <c r="AM287" s="3582"/>
      <c r="AN287" s="3582"/>
      <c r="AO287" s="3582"/>
      <c r="AP287" s="3582"/>
      <c r="AQ287" s="3582"/>
      <c r="AR287" s="3576"/>
      <c r="AS287" s="3576"/>
      <c r="AT287" s="3576"/>
      <c r="AU287" s="3576"/>
      <c r="AV287" s="3563"/>
    </row>
    <row r="288" s="3565" customFormat="1" spans="1:48">
      <c r="A288" s="3575"/>
      <c r="B288" s="3576"/>
      <c r="C288" s="3576"/>
      <c r="D288" s="3563"/>
      <c r="E288" s="3563"/>
      <c r="F288" s="3576"/>
      <c r="G288" s="3576"/>
      <c r="H288" s="3563"/>
      <c r="I288" s="3563"/>
      <c r="J288" s="3563"/>
      <c r="K288" s="3563"/>
      <c r="L288" s="3563"/>
      <c r="M288" s="3563"/>
      <c r="N288" s="3577"/>
      <c r="O288" s="3563"/>
      <c r="P288" s="3576"/>
      <c r="Q288" s="3578"/>
      <c r="R288" s="3563"/>
      <c r="S288" s="3563"/>
      <c r="T288" s="4014"/>
      <c r="U288" s="3563"/>
      <c r="V288" s="3563"/>
      <c r="W288" s="3578"/>
      <c r="X288" s="3578"/>
      <c r="Y288" s="3578"/>
      <c r="Z288" s="3578"/>
      <c r="AA288" s="3578"/>
      <c r="AB288" s="3563"/>
      <c r="AC288" s="3578"/>
      <c r="AD288" s="3578"/>
      <c r="AE288" s="3578"/>
      <c r="AF288" s="3578"/>
      <c r="AG288" s="3576"/>
      <c r="AH288" s="3576"/>
      <c r="AI288" s="3580"/>
      <c r="AJ288" s="3581"/>
      <c r="AK288" s="3582"/>
      <c r="AL288" s="3582"/>
      <c r="AM288" s="3582"/>
      <c r="AN288" s="3582"/>
      <c r="AO288" s="3582"/>
      <c r="AP288" s="3582"/>
      <c r="AQ288" s="3582"/>
      <c r="AR288" s="3576"/>
      <c r="AS288" s="3576"/>
      <c r="AT288" s="3576"/>
      <c r="AU288" s="3576"/>
      <c r="AV288" s="3563"/>
    </row>
    <row r="289" s="3565" customFormat="1" spans="1:48">
      <c r="A289" s="3575"/>
      <c r="B289" s="3576"/>
      <c r="C289" s="3576"/>
      <c r="D289" s="3563"/>
      <c r="E289" s="3563"/>
      <c r="F289" s="3576"/>
      <c r="G289" s="3576"/>
      <c r="H289" s="3563"/>
      <c r="I289" s="3563"/>
      <c r="J289" s="3563"/>
      <c r="K289" s="3563"/>
      <c r="L289" s="3563"/>
      <c r="M289" s="3563"/>
      <c r="N289" s="3577"/>
      <c r="O289" s="3563"/>
      <c r="P289" s="3576"/>
      <c r="Q289" s="3578"/>
      <c r="R289" s="3563"/>
      <c r="S289" s="3563"/>
      <c r="T289" s="4014"/>
      <c r="U289" s="3563"/>
      <c r="V289" s="3563"/>
      <c r="W289" s="3578"/>
      <c r="X289" s="3578"/>
      <c r="Y289" s="3578"/>
      <c r="Z289" s="3578"/>
      <c r="AA289" s="3578"/>
      <c r="AB289" s="3563"/>
      <c r="AC289" s="3578"/>
      <c r="AD289" s="3578"/>
      <c r="AE289" s="3578"/>
      <c r="AF289" s="3578"/>
      <c r="AG289" s="3576"/>
      <c r="AH289" s="3576"/>
      <c r="AI289" s="3580"/>
      <c r="AJ289" s="3581"/>
      <c r="AK289" s="3582"/>
      <c r="AL289" s="3582"/>
      <c r="AM289" s="3582"/>
      <c r="AN289" s="3582"/>
      <c r="AO289" s="3582"/>
      <c r="AP289" s="3582"/>
      <c r="AQ289" s="3582"/>
      <c r="AR289" s="3576"/>
      <c r="AS289" s="3576"/>
      <c r="AT289" s="3576"/>
      <c r="AU289" s="3576"/>
      <c r="AV289" s="3563"/>
    </row>
    <row r="290" s="3565" customFormat="1" spans="1:48">
      <c r="A290" s="3575"/>
      <c r="B290" s="3576"/>
      <c r="C290" s="3576"/>
      <c r="D290" s="3563"/>
      <c r="E290" s="3563"/>
      <c r="F290" s="3576"/>
      <c r="G290" s="3576"/>
      <c r="H290" s="3563"/>
      <c r="I290" s="3563"/>
      <c r="J290" s="3563"/>
      <c r="K290" s="3563"/>
      <c r="L290" s="3563"/>
      <c r="M290" s="3563"/>
      <c r="N290" s="3577"/>
      <c r="O290" s="3563"/>
      <c r="P290" s="3576"/>
      <c r="Q290" s="3578"/>
      <c r="R290" s="3563"/>
      <c r="S290" s="3563"/>
      <c r="T290" s="4014"/>
      <c r="U290" s="3563"/>
      <c r="V290" s="3563"/>
      <c r="W290" s="3578"/>
      <c r="X290" s="3578"/>
      <c r="Y290" s="3578"/>
      <c r="Z290" s="3578"/>
      <c r="AA290" s="3578"/>
      <c r="AB290" s="3563"/>
      <c r="AC290" s="3578"/>
      <c r="AD290" s="3578"/>
      <c r="AE290" s="3578"/>
      <c r="AF290" s="3578"/>
      <c r="AG290" s="3576"/>
      <c r="AH290" s="3576"/>
      <c r="AI290" s="3580"/>
      <c r="AJ290" s="3581"/>
      <c r="AK290" s="3582"/>
      <c r="AL290" s="3582"/>
      <c r="AM290" s="3582"/>
      <c r="AN290" s="3582"/>
      <c r="AO290" s="3582"/>
      <c r="AP290" s="3582"/>
      <c r="AQ290" s="3582"/>
      <c r="AR290" s="3576"/>
      <c r="AS290" s="3576"/>
      <c r="AT290" s="3576"/>
      <c r="AU290" s="3576"/>
      <c r="AV290" s="3563"/>
    </row>
    <row r="291" s="3565" customFormat="1" spans="1:48">
      <c r="A291" s="3575"/>
      <c r="B291" s="3576"/>
      <c r="C291" s="3576"/>
      <c r="D291" s="3563"/>
      <c r="E291" s="3563"/>
      <c r="F291" s="3576"/>
      <c r="G291" s="3576"/>
      <c r="H291" s="3563"/>
      <c r="I291" s="3563"/>
      <c r="J291" s="3563"/>
      <c r="K291" s="3563"/>
      <c r="L291" s="3563"/>
      <c r="M291" s="3563"/>
      <c r="N291" s="3577"/>
      <c r="O291" s="3563"/>
      <c r="P291" s="3576"/>
      <c r="Q291" s="3578"/>
      <c r="R291" s="3563"/>
      <c r="S291" s="3563"/>
      <c r="T291" s="4014"/>
      <c r="U291" s="3563"/>
      <c r="V291" s="3563"/>
      <c r="W291" s="3578"/>
      <c r="X291" s="3578"/>
      <c r="Y291" s="3578"/>
      <c r="Z291" s="3578"/>
      <c r="AA291" s="3578"/>
      <c r="AB291" s="3563"/>
      <c r="AC291" s="3578"/>
      <c r="AD291" s="3578"/>
      <c r="AE291" s="3578"/>
      <c r="AF291" s="3578"/>
      <c r="AG291" s="3576"/>
      <c r="AH291" s="3576"/>
      <c r="AI291" s="3580"/>
      <c r="AJ291" s="3581"/>
      <c r="AK291" s="3582"/>
      <c r="AL291" s="3582"/>
      <c r="AM291" s="3582"/>
      <c r="AN291" s="3582"/>
      <c r="AO291" s="3582"/>
      <c r="AP291" s="3582"/>
      <c r="AQ291" s="3582"/>
      <c r="AR291" s="3576"/>
      <c r="AS291" s="3576"/>
      <c r="AT291" s="3576"/>
      <c r="AU291" s="3576"/>
      <c r="AV291" s="3563"/>
    </row>
    <row r="292" s="3565" customFormat="1" spans="1:48">
      <c r="A292" s="3575"/>
      <c r="B292" s="3576"/>
      <c r="C292" s="3576"/>
      <c r="D292" s="3563"/>
      <c r="E292" s="3563"/>
      <c r="F292" s="3576"/>
      <c r="G292" s="3576"/>
      <c r="H292" s="3563"/>
      <c r="I292" s="3563"/>
      <c r="J292" s="3563"/>
      <c r="K292" s="3563"/>
      <c r="L292" s="3563"/>
      <c r="M292" s="3563"/>
      <c r="N292" s="3577"/>
      <c r="O292" s="3563"/>
      <c r="P292" s="3576"/>
      <c r="Q292" s="3578"/>
      <c r="R292" s="3563"/>
      <c r="S292" s="3563"/>
      <c r="T292" s="4014"/>
      <c r="U292" s="3563"/>
      <c r="V292" s="3563"/>
      <c r="W292" s="3578"/>
      <c r="X292" s="3578"/>
      <c r="Y292" s="3578"/>
      <c r="Z292" s="3578"/>
      <c r="AA292" s="3578"/>
      <c r="AB292" s="3563"/>
      <c r="AC292" s="3578"/>
      <c r="AD292" s="3578"/>
      <c r="AE292" s="3578"/>
      <c r="AF292" s="3578"/>
      <c r="AG292" s="3576"/>
      <c r="AH292" s="3576"/>
      <c r="AI292" s="3580"/>
      <c r="AJ292" s="3581"/>
      <c r="AK292" s="3582"/>
      <c r="AL292" s="3582"/>
      <c r="AM292" s="3582"/>
      <c r="AN292" s="3582"/>
      <c r="AO292" s="3582"/>
      <c r="AP292" s="3582"/>
      <c r="AQ292" s="3582"/>
      <c r="AR292" s="3576"/>
      <c r="AS292" s="3576"/>
      <c r="AT292" s="3576"/>
      <c r="AU292" s="3576"/>
      <c r="AV292" s="3563"/>
    </row>
    <row r="293" s="3565" customFormat="1" spans="1:48">
      <c r="A293" s="3575"/>
      <c r="B293" s="3576"/>
      <c r="C293" s="3576"/>
      <c r="D293" s="3563"/>
      <c r="E293" s="3563"/>
      <c r="F293" s="3576"/>
      <c r="G293" s="3576"/>
      <c r="H293" s="3563"/>
      <c r="I293" s="3563"/>
      <c r="J293" s="3563"/>
      <c r="K293" s="3563"/>
      <c r="L293" s="3563"/>
      <c r="M293" s="3563"/>
      <c r="N293" s="3577"/>
      <c r="O293" s="3563"/>
      <c r="P293" s="3576"/>
      <c r="Q293" s="3578"/>
      <c r="R293" s="3563"/>
      <c r="S293" s="3563"/>
      <c r="T293" s="4014"/>
      <c r="U293" s="3563"/>
      <c r="V293" s="3563"/>
      <c r="W293" s="3578"/>
      <c r="X293" s="3578"/>
      <c r="Y293" s="3578"/>
      <c r="Z293" s="3578"/>
      <c r="AA293" s="3578"/>
      <c r="AB293" s="3563"/>
      <c r="AC293" s="3578"/>
      <c r="AD293" s="3578"/>
      <c r="AE293" s="3578"/>
      <c r="AF293" s="3578"/>
      <c r="AG293" s="3576"/>
      <c r="AH293" s="3576"/>
      <c r="AI293" s="3580"/>
      <c r="AJ293" s="3581"/>
      <c r="AK293" s="3582"/>
      <c r="AL293" s="3582"/>
      <c r="AM293" s="3582"/>
      <c r="AN293" s="3582"/>
      <c r="AO293" s="3582"/>
      <c r="AP293" s="3582"/>
      <c r="AQ293" s="3582"/>
      <c r="AR293" s="3576"/>
      <c r="AS293" s="3576"/>
      <c r="AT293" s="3576"/>
      <c r="AU293" s="3576"/>
      <c r="AV293" s="3563"/>
    </row>
    <row r="294" s="3565" customFormat="1" spans="1:48">
      <c r="A294" s="3575"/>
      <c r="B294" s="3576"/>
      <c r="C294" s="3576"/>
      <c r="D294" s="3563"/>
      <c r="E294" s="3563"/>
      <c r="F294" s="3576"/>
      <c r="G294" s="3576"/>
      <c r="H294" s="3563"/>
      <c r="I294" s="3563"/>
      <c r="J294" s="3563"/>
      <c r="K294" s="3563"/>
      <c r="L294" s="3563"/>
      <c r="M294" s="3563"/>
      <c r="N294" s="3577"/>
      <c r="O294" s="3563"/>
      <c r="P294" s="3576"/>
      <c r="Q294" s="3578"/>
      <c r="R294" s="3563"/>
      <c r="S294" s="3563"/>
      <c r="T294" s="4014"/>
      <c r="U294" s="3563"/>
      <c r="V294" s="3563"/>
      <c r="W294" s="3578"/>
      <c r="X294" s="3578"/>
      <c r="Y294" s="3578"/>
      <c r="Z294" s="3578"/>
      <c r="AA294" s="3578"/>
      <c r="AB294" s="3563"/>
      <c r="AC294" s="3578"/>
      <c r="AD294" s="3578"/>
      <c r="AE294" s="3578"/>
      <c r="AF294" s="3578"/>
      <c r="AG294" s="3576"/>
      <c r="AH294" s="3576"/>
      <c r="AI294" s="3580"/>
      <c r="AJ294" s="3581"/>
      <c r="AK294" s="3582"/>
      <c r="AL294" s="3582"/>
      <c r="AM294" s="3582"/>
      <c r="AN294" s="3582"/>
      <c r="AO294" s="3582"/>
      <c r="AP294" s="3582"/>
      <c r="AQ294" s="3582"/>
      <c r="AR294" s="3576"/>
      <c r="AS294" s="3576"/>
      <c r="AT294" s="3576"/>
      <c r="AU294" s="3576"/>
      <c r="AV294" s="3563"/>
    </row>
    <row r="295" s="3565" customFormat="1" spans="1:48">
      <c r="A295" s="3575"/>
      <c r="B295" s="3576"/>
      <c r="C295" s="3576"/>
      <c r="D295" s="3563"/>
      <c r="E295" s="3563"/>
      <c r="F295" s="3576"/>
      <c r="G295" s="3576"/>
      <c r="H295" s="3563"/>
      <c r="I295" s="3563"/>
      <c r="J295" s="3563"/>
      <c r="K295" s="3563"/>
      <c r="L295" s="3563"/>
      <c r="M295" s="3563"/>
      <c r="N295" s="3577"/>
      <c r="O295" s="3563"/>
      <c r="P295" s="3576"/>
      <c r="Q295" s="3578"/>
      <c r="R295" s="3563"/>
      <c r="S295" s="3563"/>
      <c r="T295" s="4014"/>
      <c r="U295" s="3563"/>
      <c r="V295" s="3563"/>
      <c r="W295" s="3578"/>
      <c r="X295" s="3578"/>
      <c r="Y295" s="3578"/>
      <c r="Z295" s="3578"/>
      <c r="AA295" s="3578"/>
      <c r="AB295" s="3563"/>
      <c r="AC295" s="3578"/>
      <c r="AD295" s="3578"/>
      <c r="AE295" s="3578"/>
      <c r="AF295" s="3578"/>
      <c r="AG295" s="3576"/>
      <c r="AH295" s="3576"/>
      <c r="AI295" s="3580"/>
      <c r="AJ295" s="3581"/>
      <c r="AK295" s="3582"/>
      <c r="AL295" s="3582"/>
      <c r="AM295" s="3582"/>
      <c r="AN295" s="3582"/>
      <c r="AO295" s="3582"/>
      <c r="AP295" s="3582"/>
      <c r="AQ295" s="3582"/>
      <c r="AR295" s="3576"/>
      <c r="AS295" s="3576"/>
      <c r="AT295" s="3576"/>
      <c r="AU295" s="3576"/>
      <c r="AV295" s="3563"/>
    </row>
    <row r="296" s="3565" customFormat="1" spans="1:48">
      <c r="A296" s="3575"/>
      <c r="B296" s="3576"/>
      <c r="C296" s="3576"/>
      <c r="D296" s="3563"/>
      <c r="E296" s="3563"/>
      <c r="F296" s="3576"/>
      <c r="G296" s="3576"/>
      <c r="H296" s="3563"/>
      <c r="I296" s="3563"/>
      <c r="J296" s="3563"/>
      <c r="K296" s="3563"/>
      <c r="L296" s="3563"/>
      <c r="M296" s="3563"/>
      <c r="N296" s="3577"/>
      <c r="O296" s="3563"/>
      <c r="P296" s="3576"/>
      <c r="Q296" s="3578"/>
      <c r="R296" s="3563"/>
      <c r="S296" s="3563"/>
      <c r="T296" s="4014"/>
      <c r="U296" s="3563"/>
      <c r="V296" s="3563"/>
      <c r="W296" s="3578"/>
      <c r="X296" s="3578"/>
      <c r="Y296" s="3578"/>
      <c r="Z296" s="3578"/>
      <c r="AA296" s="3578"/>
      <c r="AB296" s="3563"/>
      <c r="AC296" s="3578"/>
      <c r="AD296" s="3578"/>
      <c r="AE296" s="3578"/>
      <c r="AF296" s="3578"/>
      <c r="AG296" s="3576"/>
      <c r="AH296" s="3576"/>
      <c r="AI296" s="3580"/>
      <c r="AJ296" s="3581"/>
      <c r="AK296" s="3582"/>
      <c r="AL296" s="3582"/>
      <c r="AM296" s="3582"/>
      <c r="AN296" s="3582"/>
      <c r="AO296" s="3582"/>
      <c r="AP296" s="3582"/>
      <c r="AQ296" s="3582"/>
      <c r="AR296" s="3576"/>
      <c r="AS296" s="3576"/>
      <c r="AT296" s="3576"/>
      <c r="AU296" s="3576"/>
      <c r="AV296" s="3563"/>
    </row>
    <row r="297" s="3565" customFormat="1" spans="1:48">
      <c r="A297" s="3575"/>
      <c r="B297" s="3576"/>
      <c r="C297" s="3576"/>
      <c r="D297" s="3563"/>
      <c r="E297" s="3563"/>
      <c r="F297" s="3576"/>
      <c r="G297" s="3576"/>
      <c r="H297" s="3563"/>
      <c r="I297" s="3563"/>
      <c r="J297" s="3563"/>
      <c r="K297" s="3563"/>
      <c r="L297" s="3563"/>
      <c r="M297" s="3563"/>
      <c r="N297" s="3577"/>
      <c r="O297" s="3563"/>
      <c r="P297" s="3576"/>
      <c r="Q297" s="3578"/>
      <c r="R297" s="3563"/>
      <c r="S297" s="3563"/>
      <c r="T297" s="4014"/>
      <c r="U297" s="3563"/>
      <c r="V297" s="3563"/>
      <c r="W297" s="3578"/>
      <c r="X297" s="3578"/>
      <c r="Y297" s="3578"/>
      <c r="Z297" s="3578"/>
      <c r="AA297" s="3578"/>
      <c r="AB297" s="3563"/>
      <c r="AC297" s="3578"/>
      <c r="AD297" s="3578"/>
      <c r="AE297" s="3578"/>
      <c r="AF297" s="3578"/>
      <c r="AG297" s="3576"/>
      <c r="AH297" s="3576"/>
      <c r="AI297" s="3580"/>
      <c r="AJ297" s="3581"/>
      <c r="AK297" s="3582"/>
      <c r="AL297" s="3582"/>
      <c r="AM297" s="3582"/>
      <c r="AN297" s="3582"/>
      <c r="AO297" s="3582"/>
      <c r="AP297" s="3582"/>
      <c r="AQ297" s="3582"/>
      <c r="AR297" s="3576"/>
      <c r="AS297" s="3576"/>
      <c r="AT297" s="3576"/>
      <c r="AU297" s="3576"/>
      <c r="AV297" s="3563"/>
    </row>
    <row r="298" s="3565" customFormat="1" spans="1:48">
      <c r="A298" s="3575"/>
      <c r="B298" s="3576"/>
      <c r="C298" s="3576"/>
      <c r="D298" s="3563"/>
      <c r="E298" s="3563"/>
      <c r="F298" s="3576"/>
      <c r="G298" s="3576"/>
      <c r="H298" s="3563"/>
      <c r="I298" s="3563"/>
      <c r="J298" s="3563"/>
      <c r="K298" s="3563"/>
      <c r="L298" s="3563"/>
      <c r="M298" s="3563"/>
      <c r="N298" s="3577"/>
      <c r="O298" s="3563"/>
      <c r="P298" s="3576"/>
      <c r="Q298" s="3578"/>
      <c r="R298" s="3563"/>
      <c r="S298" s="3563"/>
      <c r="T298" s="4014"/>
      <c r="U298" s="3563"/>
      <c r="V298" s="3563"/>
      <c r="W298" s="3578"/>
      <c r="X298" s="3578"/>
      <c r="Y298" s="3578"/>
      <c r="Z298" s="3578"/>
      <c r="AA298" s="3578"/>
      <c r="AB298" s="3563"/>
      <c r="AC298" s="3578"/>
      <c r="AD298" s="3578"/>
      <c r="AE298" s="3578"/>
      <c r="AF298" s="3578"/>
      <c r="AG298" s="3576"/>
      <c r="AH298" s="3576"/>
      <c r="AI298" s="3580"/>
      <c r="AJ298" s="3581"/>
      <c r="AK298" s="3582"/>
      <c r="AL298" s="3582"/>
      <c r="AM298" s="3582"/>
      <c r="AN298" s="3582"/>
      <c r="AO298" s="3582"/>
      <c r="AP298" s="3582"/>
      <c r="AQ298" s="3582"/>
      <c r="AR298" s="3576"/>
      <c r="AS298" s="3576"/>
      <c r="AT298" s="3576"/>
      <c r="AU298" s="3576"/>
      <c r="AV298" s="3563"/>
    </row>
    <row r="299" s="3565" customFormat="1" spans="1:48">
      <c r="A299" s="3575"/>
      <c r="B299" s="3576"/>
      <c r="C299" s="3576"/>
      <c r="D299" s="3563"/>
      <c r="E299" s="3563"/>
      <c r="F299" s="3576"/>
      <c r="G299" s="3576"/>
      <c r="H299" s="3563"/>
      <c r="I299" s="3563"/>
      <c r="J299" s="3563"/>
      <c r="K299" s="3563"/>
      <c r="L299" s="3563"/>
      <c r="M299" s="3563"/>
      <c r="N299" s="3577"/>
      <c r="O299" s="3563"/>
      <c r="P299" s="3576"/>
      <c r="Q299" s="3578"/>
      <c r="R299" s="3563"/>
      <c r="S299" s="3563"/>
      <c r="T299" s="4014"/>
      <c r="U299" s="3563"/>
      <c r="V299" s="3563"/>
      <c r="W299" s="3578"/>
      <c r="X299" s="3578"/>
      <c r="Y299" s="3578"/>
      <c r="Z299" s="3578"/>
      <c r="AA299" s="3578"/>
      <c r="AB299" s="3563"/>
      <c r="AC299" s="3578"/>
      <c r="AD299" s="3578"/>
      <c r="AE299" s="3578"/>
      <c r="AF299" s="3578"/>
      <c r="AG299" s="3576"/>
      <c r="AH299" s="3576"/>
      <c r="AI299" s="3580"/>
      <c r="AJ299" s="3581"/>
      <c r="AK299" s="3582"/>
      <c r="AL299" s="3582"/>
      <c r="AM299" s="3582"/>
      <c r="AN299" s="3582"/>
      <c r="AO299" s="3582"/>
      <c r="AP299" s="3582"/>
      <c r="AQ299" s="3582"/>
      <c r="AR299" s="3576"/>
      <c r="AS299" s="3576"/>
      <c r="AT299" s="3576"/>
      <c r="AU299" s="3576"/>
      <c r="AV299" s="3563"/>
    </row>
    <row r="300" s="3565" customFormat="1" spans="1:48">
      <c r="A300" s="3575"/>
      <c r="B300" s="3576"/>
      <c r="C300" s="3576"/>
      <c r="D300" s="3563"/>
      <c r="E300" s="3563"/>
      <c r="F300" s="3576"/>
      <c r="G300" s="3576"/>
      <c r="H300" s="3563"/>
      <c r="I300" s="3563"/>
      <c r="J300" s="3563"/>
      <c r="K300" s="3563"/>
      <c r="L300" s="3563"/>
      <c r="M300" s="3563"/>
      <c r="N300" s="3577"/>
      <c r="O300" s="3563"/>
      <c r="P300" s="3576"/>
      <c r="Q300" s="3578"/>
      <c r="R300" s="3563"/>
      <c r="S300" s="3563"/>
      <c r="T300" s="4014"/>
      <c r="U300" s="3563"/>
      <c r="V300" s="3563"/>
      <c r="W300" s="3578"/>
      <c r="X300" s="3578"/>
      <c r="Y300" s="3578"/>
      <c r="Z300" s="3578"/>
      <c r="AA300" s="3578"/>
      <c r="AB300" s="3563"/>
      <c r="AC300" s="3578"/>
      <c r="AD300" s="3578"/>
      <c r="AE300" s="3578"/>
      <c r="AF300" s="3578"/>
      <c r="AG300" s="3576"/>
      <c r="AH300" s="3576"/>
      <c r="AI300" s="3580"/>
      <c r="AJ300" s="3581"/>
      <c r="AK300" s="3582"/>
      <c r="AL300" s="3582"/>
      <c r="AM300" s="3582"/>
      <c r="AN300" s="3582"/>
      <c r="AO300" s="3582"/>
      <c r="AP300" s="3582"/>
      <c r="AQ300" s="3582"/>
      <c r="AR300" s="3576"/>
      <c r="AS300" s="3576"/>
      <c r="AT300" s="3576"/>
      <c r="AU300" s="3576"/>
      <c r="AV300" s="3563"/>
    </row>
    <row r="301" s="3565" customFormat="1" spans="1:48">
      <c r="A301" s="3575"/>
      <c r="B301" s="3576"/>
      <c r="C301" s="3576"/>
      <c r="D301" s="3563"/>
      <c r="E301" s="3563"/>
      <c r="F301" s="3576"/>
      <c r="G301" s="3576"/>
      <c r="H301" s="3563"/>
      <c r="I301" s="3563"/>
      <c r="J301" s="3563"/>
      <c r="K301" s="3563"/>
      <c r="L301" s="3563"/>
      <c r="M301" s="3563"/>
      <c r="N301" s="3577"/>
      <c r="O301" s="3563"/>
      <c r="P301" s="3576"/>
      <c r="Q301" s="3578"/>
      <c r="R301" s="3563"/>
      <c r="S301" s="3563"/>
      <c r="T301" s="4014"/>
      <c r="U301" s="3563"/>
      <c r="V301" s="3563"/>
      <c r="W301" s="3578"/>
      <c r="X301" s="3578"/>
      <c r="Y301" s="3578"/>
      <c r="Z301" s="3578"/>
      <c r="AA301" s="3578"/>
      <c r="AB301" s="3563"/>
      <c r="AC301" s="3578"/>
      <c r="AD301" s="3578"/>
      <c r="AE301" s="3578"/>
      <c r="AF301" s="3578"/>
      <c r="AG301" s="3576"/>
      <c r="AH301" s="3576"/>
      <c r="AI301" s="3580"/>
      <c r="AJ301" s="3581"/>
      <c r="AK301" s="3582"/>
      <c r="AL301" s="3582"/>
      <c r="AM301" s="3582"/>
      <c r="AN301" s="3582"/>
      <c r="AO301" s="3582"/>
      <c r="AP301" s="3582"/>
      <c r="AQ301" s="3582"/>
      <c r="AR301" s="3576"/>
      <c r="AS301" s="3576"/>
      <c r="AT301" s="3576"/>
      <c r="AU301" s="3576"/>
      <c r="AV301" s="3563"/>
    </row>
    <row r="302" s="3565" customFormat="1" spans="1:48">
      <c r="A302" s="3575"/>
      <c r="B302" s="3576"/>
      <c r="C302" s="3576"/>
      <c r="D302" s="3563"/>
      <c r="E302" s="3563"/>
      <c r="F302" s="3576"/>
      <c r="G302" s="3576"/>
      <c r="H302" s="3563"/>
      <c r="I302" s="3563"/>
      <c r="J302" s="3563"/>
      <c r="K302" s="3563"/>
      <c r="L302" s="3563"/>
      <c r="M302" s="3563"/>
      <c r="N302" s="3577"/>
      <c r="O302" s="3563"/>
      <c r="P302" s="3576"/>
      <c r="Q302" s="3578"/>
      <c r="R302" s="3563"/>
      <c r="S302" s="3563"/>
      <c r="T302" s="4014"/>
      <c r="U302" s="3563"/>
      <c r="V302" s="3563"/>
      <c r="W302" s="3578"/>
      <c r="X302" s="3578"/>
      <c r="Y302" s="3578"/>
      <c r="Z302" s="3578"/>
      <c r="AA302" s="3578"/>
      <c r="AB302" s="3563"/>
      <c r="AC302" s="3578"/>
      <c r="AD302" s="3578"/>
      <c r="AE302" s="3578"/>
      <c r="AF302" s="3578"/>
      <c r="AG302" s="3576"/>
      <c r="AH302" s="3576"/>
      <c r="AI302" s="3580"/>
      <c r="AJ302" s="3581"/>
      <c r="AK302" s="3582"/>
      <c r="AL302" s="3582"/>
      <c r="AM302" s="3582"/>
      <c r="AN302" s="3582"/>
      <c r="AO302" s="3582"/>
      <c r="AP302" s="3582"/>
      <c r="AQ302" s="3582"/>
      <c r="AR302" s="3576"/>
      <c r="AS302" s="3576"/>
      <c r="AT302" s="3576"/>
      <c r="AU302" s="3576"/>
      <c r="AV302" s="3563"/>
    </row>
    <row r="303" s="3565" customFormat="1" spans="1:48">
      <c r="A303" s="3575"/>
      <c r="B303" s="3576"/>
      <c r="C303" s="3576"/>
      <c r="D303" s="3563"/>
      <c r="E303" s="3563"/>
      <c r="F303" s="3576"/>
      <c r="G303" s="3576"/>
      <c r="H303" s="3563"/>
      <c r="I303" s="3563"/>
      <c r="J303" s="3563"/>
      <c r="K303" s="3563"/>
      <c r="L303" s="3563"/>
      <c r="M303" s="3563"/>
      <c r="N303" s="3577"/>
      <c r="O303" s="3563"/>
      <c r="P303" s="3576"/>
      <c r="Q303" s="3578"/>
      <c r="R303" s="3563"/>
      <c r="S303" s="3563"/>
      <c r="T303" s="4014"/>
      <c r="U303" s="3563"/>
      <c r="V303" s="3563"/>
      <c r="W303" s="3578"/>
      <c r="X303" s="3578"/>
      <c r="Y303" s="3578"/>
      <c r="Z303" s="3578"/>
      <c r="AA303" s="3578"/>
      <c r="AB303" s="3563"/>
      <c r="AC303" s="3578"/>
      <c r="AD303" s="3578"/>
      <c r="AE303" s="3578"/>
      <c r="AF303" s="3578"/>
      <c r="AG303" s="3576"/>
      <c r="AH303" s="3576"/>
      <c r="AI303" s="3580"/>
      <c r="AJ303" s="3581"/>
      <c r="AK303" s="3582"/>
      <c r="AL303" s="3582"/>
      <c r="AM303" s="3582"/>
      <c r="AN303" s="3582"/>
      <c r="AO303" s="3582"/>
      <c r="AP303" s="3582"/>
      <c r="AQ303" s="3582"/>
      <c r="AR303" s="3576"/>
      <c r="AS303" s="3576"/>
      <c r="AT303" s="3576"/>
      <c r="AU303" s="3576"/>
      <c r="AV303" s="3563"/>
    </row>
    <row r="304" s="3565" customFormat="1" spans="1:48">
      <c r="A304" s="3575"/>
      <c r="B304" s="3576"/>
      <c r="C304" s="3576"/>
      <c r="D304" s="3563"/>
      <c r="E304" s="3563"/>
      <c r="F304" s="3576"/>
      <c r="G304" s="3576"/>
      <c r="H304" s="3563"/>
      <c r="I304" s="3563"/>
      <c r="J304" s="3563"/>
      <c r="K304" s="3563"/>
      <c r="L304" s="3563"/>
      <c r="M304" s="3563"/>
      <c r="N304" s="3577"/>
      <c r="O304" s="3563"/>
      <c r="P304" s="3576"/>
      <c r="Q304" s="3578"/>
      <c r="R304" s="3563"/>
      <c r="S304" s="3563"/>
      <c r="T304" s="4014"/>
      <c r="U304" s="3563"/>
      <c r="V304" s="3563"/>
      <c r="W304" s="3578"/>
      <c r="X304" s="3578"/>
      <c r="Y304" s="3578"/>
      <c r="Z304" s="3578"/>
      <c r="AA304" s="3578"/>
      <c r="AB304" s="3563"/>
      <c r="AC304" s="3578"/>
      <c r="AD304" s="3578"/>
      <c r="AE304" s="3578"/>
      <c r="AF304" s="3578"/>
      <c r="AG304" s="3576"/>
      <c r="AH304" s="3576"/>
      <c r="AI304" s="3580"/>
      <c r="AJ304" s="3581"/>
      <c r="AK304" s="3582"/>
      <c r="AL304" s="3582"/>
      <c r="AM304" s="3582"/>
      <c r="AN304" s="3582"/>
      <c r="AO304" s="3582"/>
      <c r="AP304" s="3582"/>
      <c r="AQ304" s="3582"/>
      <c r="AR304" s="3576"/>
      <c r="AS304" s="3576"/>
      <c r="AT304" s="3576"/>
      <c r="AU304" s="3576"/>
      <c r="AV304" s="3563"/>
    </row>
    <row r="305" s="3565" customFormat="1" spans="1:48">
      <c r="A305" s="3575"/>
      <c r="B305" s="3576"/>
      <c r="C305" s="3576"/>
      <c r="D305" s="3563"/>
      <c r="E305" s="3563"/>
      <c r="F305" s="3576"/>
      <c r="G305" s="3576"/>
      <c r="H305" s="3563"/>
      <c r="I305" s="3563"/>
      <c r="J305" s="3563"/>
      <c r="K305" s="3563"/>
      <c r="L305" s="3563"/>
      <c r="M305" s="3563"/>
      <c r="N305" s="3577"/>
      <c r="O305" s="3563"/>
      <c r="P305" s="3576"/>
      <c r="Q305" s="3578"/>
      <c r="R305" s="3563"/>
      <c r="S305" s="3563"/>
      <c r="T305" s="4014"/>
      <c r="U305" s="3563"/>
      <c r="V305" s="3563"/>
      <c r="W305" s="3578"/>
      <c r="X305" s="3578"/>
      <c r="Y305" s="3578"/>
      <c r="Z305" s="3578"/>
      <c r="AA305" s="3578"/>
      <c r="AB305" s="3563"/>
      <c r="AC305" s="3578"/>
      <c r="AD305" s="3578"/>
      <c r="AE305" s="3578"/>
      <c r="AF305" s="3578"/>
      <c r="AG305" s="3576"/>
      <c r="AH305" s="3576"/>
      <c r="AI305" s="3580"/>
      <c r="AJ305" s="3581"/>
      <c r="AK305" s="3582"/>
      <c r="AL305" s="3582"/>
      <c r="AM305" s="3582"/>
      <c r="AN305" s="3582"/>
      <c r="AO305" s="3582"/>
      <c r="AP305" s="3582"/>
      <c r="AQ305" s="3582"/>
      <c r="AR305" s="3576"/>
      <c r="AS305" s="3576"/>
      <c r="AT305" s="3576"/>
      <c r="AU305" s="3576"/>
      <c r="AV305" s="3563"/>
    </row>
    <row r="306" s="3565" customFormat="1" spans="1:48">
      <c r="A306" s="3575"/>
      <c r="B306" s="3576"/>
      <c r="C306" s="3576"/>
      <c r="D306" s="3563"/>
      <c r="E306" s="3563"/>
      <c r="F306" s="3576"/>
      <c r="G306" s="3576"/>
      <c r="H306" s="3563"/>
      <c r="I306" s="3563"/>
      <c r="J306" s="3563"/>
      <c r="K306" s="3563"/>
      <c r="L306" s="3563"/>
      <c r="M306" s="3563"/>
      <c r="N306" s="3577"/>
      <c r="O306" s="3563"/>
      <c r="P306" s="3576"/>
      <c r="Q306" s="3578"/>
      <c r="R306" s="3563"/>
      <c r="S306" s="3563"/>
      <c r="T306" s="4014"/>
      <c r="U306" s="3563"/>
      <c r="V306" s="3563"/>
      <c r="W306" s="3578"/>
      <c r="X306" s="3578"/>
      <c r="Y306" s="3578"/>
      <c r="Z306" s="3578"/>
      <c r="AA306" s="3578"/>
      <c r="AB306" s="3563"/>
      <c r="AC306" s="3578"/>
      <c r="AD306" s="3578"/>
      <c r="AE306" s="3578"/>
      <c r="AF306" s="3578"/>
      <c r="AG306" s="3576"/>
      <c r="AH306" s="3576"/>
      <c r="AI306" s="3580"/>
      <c r="AJ306" s="3581"/>
      <c r="AK306" s="3582"/>
      <c r="AL306" s="3582"/>
      <c r="AM306" s="3582"/>
      <c r="AN306" s="3582"/>
      <c r="AO306" s="3582"/>
      <c r="AP306" s="3582"/>
      <c r="AQ306" s="3582"/>
      <c r="AR306" s="3576"/>
      <c r="AS306" s="3576"/>
      <c r="AT306" s="3576"/>
      <c r="AU306" s="3576"/>
      <c r="AV306" s="3563"/>
    </row>
    <row r="307" s="3565" customFormat="1" spans="1:48">
      <c r="A307" s="3575"/>
      <c r="B307" s="3576"/>
      <c r="C307" s="3576"/>
      <c r="D307" s="3563"/>
      <c r="E307" s="3563"/>
      <c r="F307" s="3576"/>
      <c r="G307" s="3576"/>
      <c r="H307" s="3563"/>
      <c r="I307" s="3563"/>
      <c r="J307" s="3563"/>
      <c r="K307" s="3563"/>
      <c r="L307" s="3563"/>
      <c r="M307" s="3563"/>
      <c r="N307" s="3577"/>
      <c r="O307" s="3563"/>
      <c r="P307" s="3576"/>
      <c r="Q307" s="3578"/>
      <c r="R307" s="3563"/>
      <c r="S307" s="3563"/>
      <c r="T307" s="4014"/>
      <c r="U307" s="3563"/>
      <c r="V307" s="3563"/>
      <c r="W307" s="3578"/>
      <c r="X307" s="3578"/>
      <c r="Y307" s="3578"/>
      <c r="Z307" s="3578"/>
      <c r="AA307" s="3578"/>
      <c r="AB307" s="3563"/>
      <c r="AC307" s="3578"/>
      <c r="AD307" s="3578"/>
      <c r="AE307" s="3578"/>
      <c r="AF307" s="3578"/>
      <c r="AG307" s="3576"/>
      <c r="AH307" s="3576"/>
      <c r="AI307" s="3580"/>
      <c r="AJ307" s="3581"/>
      <c r="AK307" s="3582"/>
      <c r="AL307" s="3582"/>
      <c r="AM307" s="3582"/>
      <c r="AN307" s="3582"/>
      <c r="AO307" s="3582"/>
      <c r="AP307" s="3582"/>
      <c r="AQ307" s="3582"/>
      <c r="AR307" s="3576"/>
      <c r="AS307" s="3576"/>
      <c r="AT307" s="3576"/>
      <c r="AU307" s="3576"/>
      <c r="AV307" s="3563"/>
    </row>
    <row r="308" s="3565" customFormat="1" spans="1:48">
      <c r="A308" s="3575"/>
      <c r="B308" s="3576"/>
      <c r="C308" s="3576"/>
      <c r="D308" s="3563"/>
      <c r="E308" s="3563"/>
      <c r="F308" s="3576"/>
      <c r="G308" s="3576"/>
      <c r="H308" s="3563"/>
      <c r="I308" s="3563"/>
      <c r="J308" s="3563"/>
      <c r="K308" s="3563"/>
      <c r="L308" s="3563"/>
      <c r="M308" s="3563"/>
      <c r="N308" s="3577"/>
      <c r="O308" s="3563"/>
      <c r="P308" s="3576"/>
      <c r="Q308" s="3578"/>
      <c r="R308" s="3563"/>
      <c r="S308" s="3563"/>
      <c r="T308" s="4014"/>
      <c r="U308" s="3563"/>
      <c r="V308" s="3563"/>
      <c r="W308" s="3578"/>
      <c r="X308" s="3578"/>
      <c r="Y308" s="3578"/>
      <c r="Z308" s="3578"/>
      <c r="AA308" s="3578"/>
      <c r="AB308" s="3563"/>
      <c r="AC308" s="3578"/>
      <c r="AD308" s="3578"/>
      <c r="AE308" s="3578"/>
      <c r="AF308" s="3578"/>
      <c r="AG308" s="3576"/>
      <c r="AH308" s="3576"/>
      <c r="AI308" s="3580"/>
      <c r="AJ308" s="3581"/>
      <c r="AK308" s="3582"/>
      <c r="AL308" s="3582"/>
      <c r="AM308" s="3582"/>
      <c r="AN308" s="3582"/>
      <c r="AO308" s="3582"/>
      <c r="AP308" s="3582"/>
      <c r="AQ308" s="3582"/>
      <c r="AR308" s="3576"/>
      <c r="AS308" s="3576"/>
      <c r="AT308" s="3576"/>
      <c r="AU308" s="3576"/>
      <c r="AV308" s="3563"/>
    </row>
    <row r="309" s="3565" customFormat="1" spans="1:48">
      <c r="A309" s="3575"/>
      <c r="B309" s="3576"/>
      <c r="C309" s="3576"/>
      <c r="D309" s="3563"/>
      <c r="E309" s="3563"/>
      <c r="F309" s="3576"/>
      <c r="G309" s="3576"/>
      <c r="H309" s="3563"/>
      <c r="I309" s="3563"/>
      <c r="J309" s="3563"/>
      <c r="K309" s="3563"/>
      <c r="L309" s="3563"/>
      <c r="M309" s="3563"/>
      <c r="N309" s="3577"/>
      <c r="O309" s="3563"/>
      <c r="P309" s="3576"/>
      <c r="Q309" s="3578"/>
      <c r="R309" s="3563"/>
      <c r="S309" s="3563"/>
      <c r="T309" s="4014"/>
      <c r="U309" s="3563"/>
      <c r="V309" s="3563"/>
      <c r="W309" s="3578"/>
      <c r="X309" s="3578"/>
      <c r="Y309" s="3578"/>
      <c r="Z309" s="3578"/>
      <c r="AA309" s="3578"/>
      <c r="AB309" s="3563"/>
      <c r="AC309" s="3578"/>
      <c r="AD309" s="3578"/>
      <c r="AE309" s="3578"/>
      <c r="AF309" s="3578"/>
      <c r="AG309" s="3576"/>
      <c r="AH309" s="3576"/>
      <c r="AI309" s="3580"/>
      <c r="AJ309" s="3581"/>
      <c r="AK309" s="3582"/>
      <c r="AL309" s="3582"/>
      <c r="AM309" s="3582"/>
      <c r="AN309" s="3582"/>
      <c r="AO309" s="3582"/>
      <c r="AP309" s="3582"/>
      <c r="AQ309" s="3582"/>
      <c r="AR309" s="3576"/>
      <c r="AS309" s="3576"/>
      <c r="AT309" s="3576"/>
      <c r="AU309" s="3576"/>
      <c r="AV309" s="3563"/>
    </row>
    <row r="310" s="3565" customFormat="1" spans="1:48">
      <c r="A310" s="3575"/>
      <c r="B310" s="3576"/>
      <c r="C310" s="3576"/>
      <c r="D310" s="3563"/>
      <c r="E310" s="3563"/>
      <c r="F310" s="3576"/>
      <c r="G310" s="3576"/>
      <c r="H310" s="3563"/>
      <c r="I310" s="3563"/>
      <c r="J310" s="3563"/>
      <c r="K310" s="3563"/>
      <c r="L310" s="3563"/>
      <c r="M310" s="3563"/>
      <c r="N310" s="3577"/>
      <c r="O310" s="3563"/>
      <c r="P310" s="3576"/>
      <c r="Q310" s="3578"/>
      <c r="R310" s="3563"/>
      <c r="S310" s="3563"/>
      <c r="T310" s="4014"/>
      <c r="U310" s="3563"/>
      <c r="V310" s="3563"/>
      <c r="W310" s="3578"/>
      <c r="X310" s="3578"/>
      <c r="Y310" s="3578"/>
      <c r="Z310" s="3578"/>
      <c r="AA310" s="3578"/>
      <c r="AB310" s="3563"/>
      <c r="AC310" s="3578"/>
      <c r="AD310" s="3578"/>
      <c r="AE310" s="3578"/>
      <c r="AF310" s="3578"/>
      <c r="AG310" s="3576"/>
      <c r="AH310" s="3576"/>
      <c r="AI310" s="3580"/>
      <c r="AJ310" s="3581"/>
      <c r="AK310" s="3582"/>
      <c r="AL310" s="3582"/>
      <c r="AM310" s="3582"/>
      <c r="AN310" s="3582"/>
      <c r="AO310" s="3582"/>
      <c r="AP310" s="3582"/>
      <c r="AQ310" s="3582"/>
      <c r="AR310" s="3576"/>
      <c r="AS310" s="3576"/>
      <c r="AT310" s="3576"/>
      <c r="AU310" s="3576"/>
      <c r="AV310" s="3563"/>
    </row>
    <row r="311" s="3565" customFormat="1" spans="1:48">
      <c r="A311" s="3575"/>
      <c r="B311" s="3576"/>
      <c r="C311" s="3576"/>
      <c r="D311" s="3563"/>
      <c r="E311" s="3563"/>
      <c r="F311" s="3576"/>
      <c r="G311" s="3576"/>
      <c r="H311" s="3563"/>
      <c r="I311" s="3563"/>
      <c r="J311" s="3563"/>
      <c r="K311" s="3563"/>
      <c r="L311" s="3563"/>
      <c r="M311" s="3563"/>
      <c r="N311" s="3577"/>
      <c r="O311" s="3563"/>
      <c r="P311" s="3576"/>
      <c r="Q311" s="3578"/>
      <c r="R311" s="3563"/>
      <c r="S311" s="3563"/>
      <c r="T311" s="4014"/>
      <c r="U311" s="3563"/>
      <c r="V311" s="3563"/>
      <c r="W311" s="3578"/>
      <c r="X311" s="3578"/>
      <c r="Y311" s="3578"/>
      <c r="Z311" s="3578"/>
      <c r="AA311" s="3578"/>
      <c r="AB311" s="3563"/>
      <c r="AC311" s="3578"/>
      <c r="AD311" s="3578"/>
      <c r="AE311" s="3578"/>
      <c r="AF311" s="3578"/>
      <c r="AG311" s="3576"/>
      <c r="AH311" s="3576"/>
      <c r="AI311" s="3580"/>
      <c r="AJ311" s="3581"/>
      <c r="AK311" s="3582"/>
      <c r="AL311" s="3582"/>
      <c r="AM311" s="3582"/>
      <c r="AN311" s="3582"/>
      <c r="AO311" s="3582"/>
      <c r="AP311" s="3582"/>
      <c r="AQ311" s="3582"/>
      <c r="AR311" s="3576"/>
      <c r="AS311" s="3576"/>
      <c r="AT311" s="3576"/>
      <c r="AU311" s="3576"/>
      <c r="AV311" s="3563"/>
    </row>
    <row r="312" s="3565" customFormat="1" spans="1:48">
      <c r="A312" s="3575"/>
      <c r="B312" s="3576"/>
      <c r="C312" s="3576"/>
      <c r="D312" s="3563"/>
      <c r="E312" s="3563"/>
      <c r="F312" s="3576"/>
      <c r="G312" s="3576"/>
      <c r="H312" s="3563"/>
      <c r="I312" s="3563"/>
      <c r="J312" s="3563"/>
      <c r="K312" s="3563"/>
      <c r="L312" s="3563"/>
      <c r="M312" s="3563"/>
      <c r="N312" s="3577"/>
      <c r="O312" s="3563"/>
      <c r="P312" s="3576"/>
      <c r="Q312" s="3578"/>
      <c r="R312" s="3563"/>
      <c r="S312" s="3563"/>
      <c r="T312" s="4014"/>
      <c r="U312" s="3563"/>
      <c r="V312" s="3563"/>
      <c r="W312" s="3578"/>
      <c r="X312" s="3578"/>
      <c r="Y312" s="3578"/>
      <c r="Z312" s="3578"/>
      <c r="AA312" s="3578"/>
      <c r="AB312" s="3563"/>
      <c r="AC312" s="3578"/>
      <c r="AD312" s="3578"/>
      <c r="AE312" s="3578"/>
      <c r="AF312" s="3578"/>
      <c r="AG312" s="3576"/>
      <c r="AH312" s="3576"/>
      <c r="AI312" s="3580"/>
      <c r="AJ312" s="3581"/>
      <c r="AK312" s="3582"/>
      <c r="AL312" s="3582"/>
      <c r="AM312" s="3582"/>
      <c r="AN312" s="3582"/>
      <c r="AO312" s="3582"/>
      <c r="AP312" s="3582"/>
      <c r="AQ312" s="3582"/>
      <c r="AR312" s="3576"/>
      <c r="AS312" s="3576"/>
      <c r="AT312" s="3576"/>
      <c r="AU312" s="3576"/>
      <c r="AV312" s="3563"/>
    </row>
    <row r="313" s="3565" customFormat="1" spans="1:48">
      <c r="A313" s="3575"/>
      <c r="B313" s="3576"/>
      <c r="C313" s="3576"/>
      <c r="D313" s="3563"/>
      <c r="E313" s="3563"/>
      <c r="F313" s="3576"/>
      <c r="G313" s="3576"/>
      <c r="H313" s="3563"/>
      <c r="I313" s="3563"/>
      <c r="J313" s="3563"/>
      <c r="K313" s="3563"/>
      <c r="L313" s="3563"/>
      <c r="M313" s="3563"/>
      <c r="N313" s="3577"/>
      <c r="O313" s="3563"/>
      <c r="P313" s="3576"/>
      <c r="Q313" s="3578"/>
      <c r="R313" s="3563"/>
      <c r="S313" s="3563"/>
      <c r="T313" s="4014"/>
      <c r="U313" s="3563"/>
      <c r="V313" s="3563"/>
      <c r="W313" s="3578"/>
      <c r="X313" s="3578"/>
      <c r="Y313" s="3578"/>
      <c r="Z313" s="3578"/>
      <c r="AA313" s="3578"/>
      <c r="AB313" s="3563"/>
      <c r="AC313" s="3578"/>
      <c r="AD313" s="3578"/>
      <c r="AE313" s="3578"/>
      <c r="AF313" s="3578"/>
      <c r="AG313" s="3576"/>
      <c r="AH313" s="3576"/>
      <c r="AI313" s="3580"/>
      <c r="AJ313" s="3581"/>
      <c r="AK313" s="3582"/>
      <c r="AL313" s="3582"/>
      <c r="AM313" s="3582"/>
      <c r="AN313" s="3582"/>
      <c r="AO313" s="3582"/>
      <c r="AP313" s="3582"/>
      <c r="AQ313" s="3582"/>
      <c r="AR313" s="3576"/>
      <c r="AS313" s="3576"/>
      <c r="AT313" s="3576"/>
      <c r="AU313" s="3576"/>
      <c r="AV313" s="3563"/>
    </row>
    <row r="314" s="3565" customFormat="1" spans="1:48">
      <c r="A314" s="3575"/>
      <c r="B314" s="3576"/>
      <c r="C314" s="3576"/>
      <c r="D314" s="3563"/>
      <c r="E314" s="3563"/>
      <c r="F314" s="3576"/>
      <c r="G314" s="3576"/>
      <c r="H314" s="3563"/>
      <c r="I314" s="3563"/>
      <c r="J314" s="3563"/>
      <c r="K314" s="3563"/>
      <c r="L314" s="3563"/>
      <c r="M314" s="3563"/>
      <c r="N314" s="3577"/>
      <c r="O314" s="3563"/>
      <c r="P314" s="3576"/>
      <c r="Q314" s="3578"/>
      <c r="R314" s="3563"/>
      <c r="S314" s="3563"/>
      <c r="T314" s="4014"/>
      <c r="U314" s="3563"/>
      <c r="V314" s="3563"/>
      <c r="W314" s="3578"/>
      <c r="X314" s="3578"/>
      <c r="Y314" s="3578"/>
      <c r="Z314" s="3578"/>
      <c r="AA314" s="3578"/>
      <c r="AB314" s="3563"/>
      <c r="AC314" s="3578"/>
      <c r="AD314" s="3578"/>
      <c r="AE314" s="3578"/>
      <c r="AF314" s="3578"/>
      <c r="AG314" s="3576"/>
      <c r="AH314" s="3576"/>
      <c r="AI314" s="3580"/>
      <c r="AJ314" s="3581"/>
      <c r="AK314" s="3582"/>
      <c r="AL314" s="3582"/>
      <c r="AM314" s="3582"/>
      <c r="AN314" s="3582"/>
      <c r="AO314" s="3582"/>
      <c r="AP314" s="3582"/>
      <c r="AQ314" s="3582"/>
      <c r="AR314" s="3576"/>
      <c r="AS314" s="3576"/>
      <c r="AT314" s="3576"/>
      <c r="AU314" s="3576"/>
      <c r="AV314" s="3563"/>
    </row>
    <row r="315" s="3565" customFormat="1" spans="1:48">
      <c r="A315" s="3575"/>
      <c r="B315" s="3576"/>
      <c r="C315" s="3576"/>
      <c r="D315" s="3563"/>
      <c r="E315" s="3563"/>
      <c r="F315" s="3576"/>
      <c r="G315" s="3576"/>
      <c r="H315" s="3563"/>
      <c r="I315" s="3563"/>
      <c r="J315" s="3563"/>
      <c r="K315" s="3563"/>
      <c r="L315" s="3563"/>
      <c r="M315" s="3563"/>
      <c r="N315" s="3577"/>
      <c r="O315" s="3563"/>
      <c r="P315" s="3576"/>
      <c r="Q315" s="3578"/>
      <c r="R315" s="3563"/>
      <c r="S315" s="3563"/>
      <c r="T315" s="4014"/>
      <c r="U315" s="3563"/>
      <c r="V315" s="3563"/>
      <c r="W315" s="3578"/>
      <c r="X315" s="3578"/>
      <c r="Y315" s="3578"/>
      <c r="Z315" s="3578"/>
      <c r="AA315" s="3578"/>
      <c r="AB315" s="3563"/>
      <c r="AC315" s="3578"/>
      <c r="AD315" s="3578"/>
      <c r="AE315" s="3578"/>
      <c r="AF315" s="3578"/>
      <c r="AG315" s="3576"/>
      <c r="AH315" s="3576"/>
      <c r="AI315" s="3580"/>
      <c r="AJ315" s="3581"/>
      <c r="AK315" s="3582"/>
      <c r="AL315" s="3582"/>
      <c r="AM315" s="3582"/>
      <c r="AN315" s="3582"/>
      <c r="AO315" s="3582"/>
      <c r="AP315" s="3582"/>
      <c r="AQ315" s="3582"/>
      <c r="AR315" s="3576"/>
      <c r="AS315" s="3576"/>
      <c r="AT315" s="3576"/>
      <c r="AU315" s="3576"/>
      <c r="AV315" s="3563"/>
    </row>
    <row r="316" s="3565" customFormat="1" spans="1:48">
      <c r="A316" s="3575"/>
      <c r="B316" s="3576"/>
      <c r="C316" s="3576"/>
      <c r="D316" s="3563"/>
      <c r="E316" s="3563"/>
      <c r="F316" s="3576"/>
      <c r="G316" s="3576"/>
      <c r="H316" s="3563"/>
      <c r="I316" s="3563"/>
      <c r="J316" s="3563"/>
      <c r="K316" s="3563"/>
      <c r="L316" s="3563"/>
      <c r="M316" s="3563"/>
      <c r="N316" s="3577"/>
      <c r="O316" s="3563"/>
      <c r="P316" s="3576"/>
      <c r="Q316" s="3578"/>
      <c r="R316" s="3563"/>
      <c r="S316" s="3563"/>
      <c r="T316" s="4014"/>
      <c r="U316" s="3563"/>
      <c r="V316" s="3563"/>
      <c r="W316" s="3578"/>
      <c r="X316" s="3578"/>
      <c r="Y316" s="3578"/>
      <c r="Z316" s="3578"/>
      <c r="AA316" s="3578"/>
      <c r="AB316" s="3563"/>
      <c r="AC316" s="3578"/>
      <c r="AD316" s="3578"/>
      <c r="AE316" s="3578"/>
      <c r="AF316" s="3578"/>
      <c r="AG316" s="3576"/>
      <c r="AH316" s="3576"/>
      <c r="AI316" s="3580"/>
      <c r="AJ316" s="3581"/>
      <c r="AK316" s="3582"/>
      <c r="AL316" s="3582"/>
      <c r="AM316" s="3582"/>
      <c r="AN316" s="3582"/>
      <c r="AO316" s="3582"/>
      <c r="AP316" s="3582"/>
      <c r="AQ316" s="3582"/>
      <c r="AR316" s="3576"/>
      <c r="AS316" s="3576"/>
      <c r="AT316" s="3576"/>
      <c r="AU316" s="3576"/>
      <c r="AV316" s="3563"/>
    </row>
    <row r="317" s="3565" customFormat="1" spans="1:48">
      <c r="A317" s="3575"/>
      <c r="B317" s="3576"/>
      <c r="C317" s="3576"/>
      <c r="D317" s="3563"/>
      <c r="E317" s="3563"/>
      <c r="F317" s="3576"/>
      <c r="G317" s="3576"/>
      <c r="H317" s="3563"/>
      <c r="I317" s="3563"/>
      <c r="J317" s="3563"/>
      <c r="K317" s="3563"/>
      <c r="L317" s="3563"/>
      <c r="M317" s="3563"/>
      <c r="N317" s="3577"/>
      <c r="O317" s="3563"/>
      <c r="P317" s="3576"/>
      <c r="Q317" s="3578"/>
      <c r="R317" s="3563"/>
      <c r="S317" s="3563"/>
      <c r="T317" s="4014"/>
      <c r="U317" s="3563"/>
      <c r="V317" s="3563"/>
      <c r="W317" s="3578"/>
      <c r="X317" s="3578"/>
      <c r="Y317" s="3578"/>
      <c r="Z317" s="3578"/>
      <c r="AA317" s="3578"/>
      <c r="AB317" s="3563"/>
      <c r="AC317" s="3578"/>
      <c r="AD317" s="3578"/>
      <c r="AE317" s="3578"/>
      <c r="AF317" s="3578"/>
      <c r="AG317" s="3576"/>
      <c r="AH317" s="3576"/>
      <c r="AI317" s="3580"/>
      <c r="AJ317" s="3581"/>
      <c r="AK317" s="3582"/>
      <c r="AL317" s="3582"/>
      <c r="AM317" s="3582"/>
      <c r="AN317" s="3582"/>
      <c r="AO317" s="3582"/>
      <c r="AP317" s="3582"/>
      <c r="AQ317" s="3582"/>
      <c r="AR317" s="3576"/>
      <c r="AS317" s="3576"/>
      <c r="AT317" s="3576"/>
      <c r="AU317" s="3576"/>
      <c r="AV317" s="3563"/>
    </row>
    <row r="318" s="3565" customFormat="1" spans="1:48">
      <c r="A318" s="3575"/>
      <c r="B318" s="3576"/>
      <c r="C318" s="3576"/>
      <c r="D318" s="3563"/>
      <c r="E318" s="3563"/>
      <c r="F318" s="3576"/>
      <c r="G318" s="3576"/>
      <c r="H318" s="3563"/>
      <c r="I318" s="3563"/>
      <c r="J318" s="3563"/>
      <c r="K318" s="3563"/>
      <c r="L318" s="3563"/>
      <c r="M318" s="3563"/>
      <c r="N318" s="3577"/>
      <c r="O318" s="3563"/>
      <c r="P318" s="3576"/>
      <c r="Q318" s="3578"/>
      <c r="R318" s="3563"/>
      <c r="S318" s="3563"/>
      <c r="T318" s="4014"/>
      <c r="U318" s="3563"/>
      <c r="V318" s="3563"/>
      <c r="W318" s="3578"/>
      <c r="X318" s="3578"/>
      <c r="Y318" s="3578"/>
      <c r="Z318" s="3578"/>
      <c r="AA318" s="3578"/>
      <c r="AB318" s="3563"/>
      <c r="AC318" s="3578"/>
      <c r="AD318" s="3578"/>
      <c r="AE318" s="3578"/>
      <c r="AF318" s="3578"/>
      <c r="AG318" s="3576"/>
      <c r="AH318" s="3576"/>
      <c r="AI318" s="3580"/>
      <c r="AJ318" s="3581"/>
      <c r="AK318" s="3582"/>
      <c r="AL318" s="3582"/>
      <c r="AM318" s="3582"/>
      <c r="AN318" s="3582"/>
      <c r="AO318" s="3582"/>
      <c r="AP318" s="3582"/>
      <c r="AQ318" s="3582"/>
      <c r="AR318" s="3576"/>
      <c r="AS318" s="3576"/>
      <c r="AT318" s="3576"/>
      <c r="AU318" s="3576"/>
      <c r="AV318" s="3563"/>
    </row>
    <row r="319" s="3565" customFormat="1" spans="1:48">
      <c r="A319" s="3575"/>
      <c r="B319" s="3576"/>
      <c r="C319" s="3576"/>
      <c r="D319" s="3563"/>
      <c r="E319" s="3563"/>
      <c r="F319" s="3576"/>
      <c r="G319" s="3576"/>
      <c r="H319" s="3563"/>
      <c r="I319" s="3563"/>
      <c r="J319" s="3563"/>
      <c r="K319" s="3563"/>
      <c r="L319" s="3563"/>
      <c r="M319" s="3563"/>
      <c r="N319" s="3577"/>
      <c r="O319" s="3563"/>
      <c r="P319" s="3576"/>
      <c r="Q319" s="3578"/>
      <c r="R319" s="3563"/>
      <c r="S319" s="3563"/>
      <c r="T319" s="4014"/>
      <c r="U319" s="3563"/>
      <c r="V319" s="3563"/>
      <c r="W319" s="3578"/>
      <c r="X319" s="3578"/>
      <c r="Y319" s="3578"/>
      <c r="Z319" s="3578"/>
      <c r="AA319" s="3578"/>
      <c r="AB319" s="3563"/>
      <c r="AC319" s="3578"/>
      <c r="AD319" s="3578"/>
      <c r="AE319" s="3578"/>
      <c r="AF319" s="3578"/>
      <c r="AG319" s="3576"/>
      <c r="AH319" s="3576"/>
      <c r="AI319" s="3580"/>
      <c r="AJ319" s="3581"/>
      <c r="AK319" s="3582"/>
      <c r="AL319" s="3582"/>
      <c r="AM319" s="3582"/>
      <c r="AN319" s="3582"/>
      <c r="AO319" s="3582"/>
      <c r="AP319" s="3582"/>
      <c r="AQ319" s="3582"/>
      <c r="AR319" s="3576"/>
      <c r="AS319" s="3576"/>
      <c r="AT319" s="3576"/>
      <c r="AU319" s="3576"/>
      <c r="AV319" s="3563"/>
    </row>
    <row r="320" s="3565" customFormat="1" spans="1:48">
      <c r="A320" s="3575"/>
      <c r="B320" s="3576"/>
      <c r="C320" s="3576"/>
      <c r="D320" s="3563"/>
      <c r="E320" s="3563"/>
      <c r="F320" s="3576"/>
      <c r="G320" s="3576"/>
      <c r="H320" s="3563"/>
      <c r="I320" s="3563"/>
      <c r="J320" s="3563"/>
      <c r="K320" s="3563"/>
      <c r="L320" s="3563"/>
      <c r="M320" s="3563"/>
      <c r="N320" s="3577"/>
      <c r="O320" s="3563"/>
      <c r="P320" s="3576"/>
      <c r="Q320" s="3578"/>
      <c r="R320" s="3563"/>
      <c r="S320" s="3563"/>
      <c r="T320" s="4014"/>
      <c r="U320" s="3563"/>
      <c r="V320" s="3563"/>
      <c r="W320" s="3578"/>
      <c r="X320" s="3578"/>
      <c r="Y320" s="3578"/>
      <c r="Z320" s="3578"/>
      <c r="AA320" s="3578"/>
      <c r="AB320" s="3563"/>
      <c r="AC320" s="3578"/>
      <c r="AD320" s="3578"/>
      <c r="AE320" s="3578"/>
      <c r="AF320" s="3578"/>
      <c r="AG320" s="3576"/>
      <c r="AH320" s="3576"/>
      <c r="AI320" s="3580"/>
      <c r="AJ320" s="3581"/>
      <c r="AK320" s="3582"/>
      <c r="AL320" s="3582"/>
      <c r="AM320" s="3582"/>
      <c r="AN320" s="3582"/>
      <c r="AO320" s="3582"/>
      <c r="AP320" s="3582"/>
      <c r="AQ320" s="3582"/>
      <c r="AR320" s="3576"/>
      <c r="AS320" s="3576"/>
      <c r="AT320" s="3576"/>
      <c r="AU320" s="3576"/>
      <c r="AV320" s="3563"/>
    </row>
    <row r="321" s="3565" customFormat="1" spans="1:48">
      <c r="A321" s="3575"/>
      <c r="B321" s="3576"/>
      <c r="C321" s="3576"/>
      <c r="D321" s="3563"/>
      <c r="E321" s="3563"/>
      <c r="F321" s="3576"/>
      <c r="G321" s="3576"/>
      <c r="H321" s="3563"/>
      <c r="I321" s="3563"/>
      <c r="J321" s="3563"/>
      <c r="K321" s="3563"/>
      <c r="L321" s="3563"/>
      <c r="M321" s="3563"/>
      <c r="N321" s="3577"/>
      <c r="O321" s="3563"/>
      <c r="P321" s="3576"/>
      <c r="Q321" s="3578"/>
      <c r="R321" s="3563"/>
      <c r="S321" s="3563"/>
      <c r="T321" s="4014"/>
      <c r="U321" s="3563"/>
      <c r="V321" s="3563"/>
      <c r="W321" s="3578"/>
      <c r="X321" s="3578"/>
      <c r="Y321" s="3578"/>
      <c r="Z321" s="3578"/>
      <c r="AA321" s="3578"/>
      <c r="AB321" s="3563"/>
      <c r="AC321" s="3578"/>
      <c r="AD321" s="3578"/>
      <c r="AE321" s="3578"/>
      <c r="AF321" s="3578"/>
      <c r="AG321" s="3576"/>
      <c r="AH321" s="3576"/>
      <c r="AI321" s="3580"/>
      <c r="AJ321" s="3581"/>
      <c r="AK321" s="3582"/>
      <c r="AL321" s="3582"/>
      <c r="AM321" s="3582"/>
      <c r="AN321" s="3582"/>
      <c r="AO321" s="3582"/>
      <c r="AP321" s="3582"/>
      <c r="AQ321" s="3582"/>
      <c r="AR321" s="3576"/>
      <c r="AS321" s="3576"/>
      <c r="AT321" s="3576"/>
      <c r="AU321" s="3576"/>
      <c r="AV321" s="3563"/>
    </row>
    <row r="322" s="3565" customFormat="1" spans="1:48">
      <c r="A322" s="3575"/>
      <c r="B322" s="3576"/>
      <c r="C322" s="3576"/>
      <c r="D322" s="3563"/>
      <c r="E322" s="3563"/>
      <c r="F322" s="3576"/>
      <c r="G322" s="3576"/>
      <c r="H322" s="3563"/>
      <c r="I322" s="3563"/>
      <c r="J322" s="3563"/>
      <c r="K322" s="3563"/>
      <c r="L322" s="3563"/>
      <c r="M322" s="3563"/>
      <c r="N322" s="3577"/>
      <c r="O322" s="3563"/>
      <c r="P322" s="3576"/>
      <c r="Q322" s="3578"/>
      <c r="R322" s="3563"/>
      <c r="S322" s="3563"/>
      <c r="T322" s="4014"/>
      <c r="U322" s="3563"/>
      <c r="V322" s="3563"/>
      <c r="W322" s="3578"/>
      <c r="X322" s="3578"/>
      <c r="Y322" s="3578"/>
      <c r="Z322" s="3578"/>
      <c r="AA322" s="3578"/>
      <c r="AB322" s="3563"/>
      <c r="AC322" s="3578"/>
      <c r="AD322" s="3578"/>
      <c r="AE322" s="3578"/>
      <c r="AF322" s="3578"/>
      <c r="AG322" s="3576"/>
      <c r="AH322" s="3576"/>
      <c r="AI322" s="3580"/>
      <c r="AJ322" s="3581"/>
      <c r="AK322" s="3582"/>
      <c r="AL322" s="3582"/>
      <c r="AM322" s="3582"/>
      <c r="AN322" s="3582"/>
      <c r="AO322" s="3582"/>
      <c r="AP322" s="3582"/>
      <c r="AQ322" s="3582"/>
      <c r="AR322" s="3576"/>
      <c r="AS322" s="3576"/>
      <c r="AT322" s="3576"/>
      <c r="AU322" s="3576"/>
      <c r="AV322" s="3563"/>
    </row>
    <row r="323" s="3565" customFormat="1" spans="1:48">
      <c r="A323" s="3575"/>
      <c r="B323" s="3576"/>
      <c r="C323" s="3576"/>
      <c r="D323" s="3563"/>
      <c r="E323" s="3563"/>
      <c r="F323" s="3576"/>
      <c r="G323" s="3576"/>
      <c r="H323" s="3563"/>
      <c r="I323" s="3563"/>
      <c r="J323" s="3563"/>
      <c r="K323" s="3563"/>
      <c r="L323" s="3563"/>
      <c r="M323" s="3563"/>
      <c r="N323" s="3577"/>
      <c r="O323" s="3563"/>
      <c r="P323" s="3576"/>
      <c r="Q323" s="3578"/>
      <c r="R323" s="3563"/>
      <c r="S323" s="3563"/>
      <c r="T323" s="4014"/>
      <c r="U323" s="3563"/>
      <c r="V323" s="3563"/>
      <c r="W323" s="3578"/>
      <c r="X323" s="3578"/>
      <c r="Y323" s="3578"/>
      <c r="Z323" s="3578"/>
      <c r="AA323" s="3578"/>
      <c r="AB323" s="3563"/>
      <c r="AC323" s="3578"/>
      <c r="AD323" s="3578"/>
      <c r="AE323" s="3578"/>
      <c r="AF323" s="3578"/>
      <c r="AG323" s="3576"/>
      <c r="AH323" s="3576"/>
      <c r="AI323" s="3580"/>
      <c r="AJ323" s="3581"/>
      <c r="AK323" s="3582"/>
      <c r="AL323" s="3582"/>
      <c r="AM323" s="3582"/>
      <c r="AN323" s="3582"/>
      <c r="AO323" s="3582"/>
      <c r="AP323" s="3582"/>
      <c r="AQ323" s="3582"/>
      <c r="AR323" s="3576"/>
      <c r="AS323" s="3576"/>
      <c r="AT323" s="3576"/>
      <c r="AU323" s="3576"/>
      <c r="AV323" s="3563"/>
    </row>
    <row r="324" s="3565" customFormat="1" spans="1:48">
      <c r="A324" s="3575"/>
      <c r="B324" s="3576"/>
      <c r="C324" s="3576"/>
      <c r="D324" s="3563"/>
      <c r="E324" s="3563"/>
      <c r="F324" s="3576"/>
      <c r="G324" s="3576"/>
      <c r="H324" s="3563"/>
      <c r="I324" s="3563"/>
      <c r="J324" s="3563"/>
      <c r="K324" s="3563"/>
      <c r="L324" s="3563"/>
      <c r="M324" s="3563"/>
      <c r="N324" s="3577"/>
      <c r="O324" s="3563"/>
      <c r="P324" s="3576"/>
      <c r="Q324" s="3578"/>
      <c r="R324" s="3563"/>
      <c r="S324" s="3563"/>
      <c r="T324" s="4014"/>
      <c r="U324" s="3563"/>
      <c r="V324" s="3563"/>
      <c r="W324" s="3578"/>
      <c r="X324" s="3578"/>
      <c r="Y324" s="3578"/>
      <c r="Z324" s="3578"/>
      <c r="AA324" s="3578"/>
      <c r="AB324" s="3563"/>
      <c r="AC324" s="3578"/>
      <c r="AD324" s="3578"/>
      <c r="AE324" s="3578"/>
      <c r="AF324" s="3578"/>
      <c r="AG324" s="3576"/>
      <c r="AH324" s="3576"/>
      <c r="AI324" s="3580"/>
      <c r="AJ324" s="3581"/>
      <c r="AK324" s="3582"/>
      <c r="AL324" s="3582"/>
      <c r="AM324" s="3582"/>
      <c r="AN324" s="3582"/>
      <c r="AO324" s="3582"/>
      <c r="AP324" s="3582"/>
      <c r="AQ324" s="3582"/>
      <c r="AR324" s="3576"/>
      <c r="AS324" s="3576"/>
      <c r="AT324" s="3576"/>
      <c r="AU324" s="3576"/>
      <c r="AV324" s="3563"/>
    </row>
    <row r="325" s="3565" customFormat="1" spans="1:48">
      <c r="A325" s="3575"/>
      <c r="B325" s="3576"/>
      <c r="C325" s="3576"/>
      <c r="D325" s="3563"/>
      <c r="E325" s="3563"/>
      <c r="F325" s="3576"/>
      <c r="G325" s="3576"/>
      <c r="H325" s="3563"/>
      <c r="I325" s="3563"/>
      <c r="J325" s="3563"/>
      <c r="K325" s="3563"/>
      <c r="L325" s="3563"/>
      <c r="M325" s="3563"/>
      <c r="N325" s="3577"/>
      <c r="O325" s="3563"/>
      <c r="P325" s="3576"/>
      <c r="Q325" s="3578"/>
      <c r="R325" s="3563"/>
      <c r="S325" s="3563"/>
      <c r="T325" s="4014"/>
      <c r="U325" s="3563"/>
      <c r="V325" s="3563"/>
      <c r="W325" s="3578"/>
      <c r="X325" s="3578"/>
      <c r="Y325" s="3578"/>
      <c r="Z325" s="3578"/>
      <c r="AA325" s="3578"/>
      <c r="AB325" s="3563"/>
      <c r="AC325" s="3578"/>
      <c r="AD325" s="3578"/>
      <c r="AE325" s="3578"/>
      <c r="AF325" s="3578"/>
      <c r="AG325" s="3576"/>
      <c r="AH325" s="3576"/>
      <c r="AI325" s="3580"/>
      <c r="AJ325" s="3581"/>
      <c r="AK325" s="3582"/>
      <c r="AL325" s="3582"/>
      <c r="AM325" s="3582"/>
      <c r="AN325" s="3582"/>
      <c r="AO325" s="3582"/>
      <c r="AP325" s="3582"/>
      <c r="AQ325" s="3582"/>
      <c r="AR325" s="3576"/>
      <c r="AS325" s="3576"/>
      <c r="AT325" s="3576"/>
      <c r="AU325" s="3576"/>
      <c r="AV325" s="3563"/>
    </row>
    <row r="326" s="3565" customFormat="1" spans="1:48">
      <c r="A326" s="3575"/>
      <c r="B326" s="3576"/>
      <c r="C326" s="3576"/>
      <c r="D326" s="3563"/>
      <c r="E326" s="3563"/>
      <c r="F326" s="3576"/>
      <c r="G326" s="3576"/>
      <c r="H326" s="3563"/>
      <c r="I326" s="3563"/>
      <c r="J326" s="3563"/>
      <c r="K326" s="3563"/>
      <c r="L326" s="3563"/>
      <c r="M326" s="3563"/>
      <c r="N326" s="3577"/>
      <c r="O326" s="3563"/>
      <c r="P326" s="3576"/>
      <c r="Q326" s="3578"/>
      <c r="R326" s="3563"/>
      <c r="S326" s="3563"/>
      <c r="T326" s="4014"/>
      <c r="U326" s="3563"/>
      <c r="V326" s="3563"/>
      <c r="W326" s="3578"/>
      <c r="X326" s="3578"/>
      <c r="Y326" s="3578"/>
      <c r="Z326" s="3578"/>
      <c r="AA326" s="3578"/>
      <c r="AB326" s="3563"/>
      <c r="AC326" s="3578"/>
      <c r="AD326" s="3578"/>
      <c r="AE326" s="3578"/>
      <c r="AF326" s="3578"/>
      <c r="AG326" s="3576"/>
      <c r="AH326" s="3576"/>
      <c r="AI326" s="3580"/>
      <c r="AJ326" s="3581"/>
      <c r="AK326" s="3582"/>
      <c r="AL326" s="3582"/>
      <c r="AM326" s="3582"/>
      <c r="AN326" s="3582"/>
      <c r="AO326" s="3582"/>
      <c r="AP326" s="3582"/>
      <c r="AQ326" s="3582"/>
      <c r="AR326" s="3576"/>
      <c r="AS326" s="3576"/>
      <c r="AT326" s="3576"/>
      <c r="AU326" s="3576"/>
      <c r="AV326" s="3563"/>
    </row>
    <row r="327" s="3565" customFormat="1" spans="1:48">
      <c r="A327" s="3575"/>
      <c r="B327" s="3576"/>
      <c r="C327" s="3576"/>
      <c r="D327" s="3563"/>
      <c r="E327" s="3563"/>
      <c r="F327" s="3576"/>
      <c r="G327" s="3576"/>
      <c r="H327" s="3563"/>
      <c r="I327" s="3563"/>
      <c r="J327" s="3563"/>
      <c r="K327" s="3563"/>
      <c r="L327" s="3563"/>
      <c r="M327" s="3563"/>
      <c r="N327" s="3577"/>
      <c r="O327" s="3563"/>
      <c r="P327" s="3576"/>
      <c r="Q327" s="3578"/>
      <c r="R327" s="3563"/>
      <c r="S327" s="3563"/>
      <c r="T327" s="4014"/>
      <c r="U327" s="3563"/>
      <c r="V327" s="3563"/>
      <c r="W327" s="3578"/>
      <c r="X327" s="3578"/>
      <c r="Y327" s="3578"/>
      <c r="Z327" s="3578"/>
      <c r="AA327" s="3578"/>
      <c r="AB327" s="3563"/>
      <c r="AC327" s="3578"/>
      <c r="AD327" s="3578"/>
      <c r="AE327" s="3578"/>
      <c r="AF327" s="3578"/>
      <c r="AG327" s="3576"/>
      <c r="AH327" s="3576"/>
      <c r="AI327" s="3580"/>
      <c r="AJ327" s="3581"/>
      <c r="AK327" s="3582"/>
      <c r="AL327" s="3582"/>
      <c r="AM327" s="3582"/>
      <c r="AN327" s="3582"/>
      <c r="AO327" s="3582"/>
      <c r="AP327" s="3582"/>
      <c r="AQ327" s="3582"/>
      <c r="AR327" s="3576"/>
      <c r="AS327" s="3576"/>
      <c r="AT327" s="3576"/>
      <c r="AU327" s="3576"/>
      <c r="AV327" s="3563"/>
    </row>
    <row r="328" s="3565" customFormat="1" spans="1:48">
      <c r="A328" s="3575"/>
      <c r="B328" s="3576"/>
      <c r="C328" s="3576"/>
      <c r="D328" s="3563"/>
      <c r="E328" s="3563"/>
      <c r="F328" s="3576"/>
      <c r="G328" s="3576"/>
      <c r="H328" s="3563"/>
      <c r="I328" s="3563"/>
      <c r="J328" s="3563"/>
      <c r="K328" s="3563"/>
      <c r="L328" s="3563"/>
      <c r="M328" s="3563"/>
      <c r="N328" s="3577"/>
      <c r="O328" s="3563"/>
      <c r="P328" s="3576"/>
      <c r="Q328" s="3578"/>
      <c r="R328" s="3563"/>
      <c r="S328" s="3563"/>
      <c r="T328" s="4014"/>
      <c r="U328" s="3563"/>
      <c r="V328" s="3563"/>
      <c r="W328" s="3578"/>
      <c r="X328" s="3578"/>
      <c r="Y328" s="3578"/>
      <c r="Z328" s="3578"/>
      <c r="AA328" s="3578"/>
      <c r="AB328" s="3563"/>
      <c r="AC328" s="3578"/>
      <c r="AD328" s="3578"/>
      <c r="AE328" s="3578"/>
      <c r="AF328" s="3578"/>
      <c r="AG328" s="3576"/>
      <c r="AH328" s="3576"/>
      <c r="AI328" s="3580"/>
      <c r="AJ328" s="3581"/>
      <c r="AK328" s="3582"/>
      <c r="AL328" s="3582"/>
      <c r="AM328" s="3582"/>
      <c r="AN328" s="3582"/>
      <c r="AO328" s="3582"/>
      <c r="AP328" s="3582"/>
      <c r="AQ328" s="3582"/>
      <c r="AR328" s="3576"/>
      <c r="AS328" s="3576"/>
      <c r="AT328" s="3576"/>
      <c r="AU328" s="3576"/>
      <c r="AV328" s="3563"/>
    </row>
    <row r="329" s="3565" customFormat="1" spans="1:48">
      <c r="A329" s="3575"/>
      <c r="B329" s="3576"/>
      <c r="C329" s="3576"/>
      <c r="D329" s="3563"/>
      <c r="E329" s="3563"/>
      <c r="F329" s="3576"/>
      <c r="G329" s="3576"/>
      <c r="H329" s="3563"/>
      <c r="I329" s="3563"/>
      <c r="J329" s="3563"/>
      <c r="K329" s="3563"/>
      <c r="L329" s="3563"/>
      <c r="M329" s="3563"/>
      <c r="N329" s="3577"/>
      <c r="O329" s="3563"/>
      <c r="P329" s="3576"/>
      <c r="Q329" s="3578"/>
      <c r="R329" s="3563"/>
      <c r="S329" s="3563"/>
      <c r="T329" s="4014"/>
      <c r="U329" s="3563"/>
      <c r="V329" s="3563"/>
      <c r="W329" s="3578"/>
      <c r="X329" s="3578"/>
      <c r="Y329" s="3578"/>
      <c r="Z329" s="3578"/>
      <c r="AA329" s="3578"/>
      <c r="AB329" s="3563"/>
      <c r="AC329" s="3578"/>
      <c r="AD329" s="3578"/>
      <c r="AE329" s="3578"/>
      <c r="AF329" s="3578"/>
      <c r="AG329" s="3576"/>
      <c r="AH329" s="3576"/>
      <c r="AI329" s="3580"/>
      <c r="AJ329" s="3581"/>
      <c r="AK329" s="3582"/>
      <c r="AL329" s="3582"/>
      <c r="AM329" s="3582"/>
      <c r="AN329" s="3582"/>
      <c r="AO329" s="3582"/>
      <c r="AP329" s="3582"/>
      <c r="AQ329" s="3582"/>
      <c r="AR329" s="3576"/>
      <c r="AS329" s="3576"/>
      <c r="AT329" s="3576"/>
      <c r="AU329" s="3576"/>
      <c r="AV329" s="3563"/>
    </row>
    <row r="330" s="3565" customFormat="1" spans="1:48">
      <c r="A330" s="3575"/>
      <c r="B330" s="3576"/>
      <c r="C330" s="3576"/>
      <c r="D330" s="3563"/>
      <c r="E330" s="3563"/>
      <c r="F330" s="3576"/>
      <c r="G330" s="3576"/>
      <c r="H330" s="3563"/>
      <c r="I330" s="3563"/>
      <c r="J330" s="3563"/>
      <c r="K330" s="3563"/>
      <c r="L330" s="3563"/>
      <c r="M330" s="3563"/>
      <c r="N330" s="3577"/>
      <c r="O330" s="3563"/>
      <c r="P330" s="3576"/>
      <c r="Q330" s="3578"/>
      <c r="R330" s="3563"/>
      <c r="S330" s="3563"/>
      <c r="T330" s="4014"/>
      <c r="U330" s="3563"/>
      <c r="V330" s="3563"/>
      <c r="W330" s="3578"/>
      <c r="X330" s="3578"/>
      <c r="Y330" s="3578"/>
      <c r="Z330" s="3578"/>
      <c r="AA330" s="3578"/>
      <c r="AB330" s="3563"/>
      <c r="AC330" s="3578"/>
      <c r="AD330" s="3578"/>
      <c r="AE330" s="3578"/>
      <c r="AF330" s="3578"/>
      <c r="AG330" s="3576"/>
      <c r="AH330" s="3576"/>
      <c r="AI330" s="3580"/>
      <c r="AJ330" s="3581"/>
      <c r="AK330" s="3582"/>
      <c r="AL330" s="3582"/>
      <c r="AM330" s="3582"/>
      <c r="AN330" s="3582"/>
      <c r="AO330" s="3582"/>
      <c r="AP330" s="3582"/>
      <c r="AQ330" s="3582"/>
      <c r="AR330" s="3576"/>
      <c r="AS330" s="3576"/>
      <c r="AT330" s="3576"/>
      <c r="AU330" s="3576"/>
      <c r="AV330" s="3563"/>
    </row>
    <row r="331" s="3565" customFormat="1" spans="1:48">
      <c r="A331" s="3575"/>
      <c r="B331" s="3576"/>
      <c r="C331" s="3576"/>
      <c r="D331" s="3563"/>
      <c r="E331" s="3563"/>
      <c r="F331" s="3576"/>
      <c r="G331" s="3576"/>
      <c r="H331" s="3563"/>
      <c r="I331" s="3563"/>
      <c r="J331" s="3563"/>
      <c r="K331" s="3563"/>
      <c r="L331" s="3563"/>
      <c r="M331" s="3563"/>
      <c r="N331" s="3577"/>
      <c r="O331" s="3563"/>
      <c r="P331" s="3576"/>
      <c r="Q331" s="3578"/>
      <c r="R331" s="3563"/>
      <c r="S331" s="3563"/>
      <c r="T331" s="4014"/>
      <c r="U331" s="3563"/>
      <c r="V331" s="3563"/>
      <c r="W331" s="3578"/>
      <c r="X331" s="3578"/>
      <c r="Y331" s="3578"/>
      <c r="Z331" s="3578"/>
      <c r="AA331" s="3578"/>
      <c r="AB331" s="3563"/>
      <c r="AC331" s="3578"/>
      <c r="AD331" s="3578"/>
      <c r="AE331" s="3578"/>
      <c r="AF331" s="3578"/>
      <c r="AG331" s="3576"/>
      <c r="AH331" s="3576"/>
      <c r="AI331" s="3580"/>
      <c r="AJ331" s="3581"/>
      <c r="AK331" s="3582"/>
      <c r="AL331" s="3582"/>
      <c r="AM331" s="3582"/>
      <c r="AN331" s="3582"/>
      <c r="AO331" s="3582"/>
      <c r="AP331" s="3582"/>
      <c r="AQ331" s="3582"/>
      <c r="AR331" s="3576"/>
      <c r="AS331" s="3576"/>
      <c r="AT331" s="3576"/>
      <c r="AU331" s="3576"/>
      <c r="AV331" s="3563"/>
    </row>
    <row r="332" s="3565" customFormat="1" spans="1:48">
      <c r="A332" s="3575"/>
      <c r="B332" s="3576"/>
      <c r="C332" s="3576"/>
      <c r="D332" s="3563"/>
      <c r="E332" s="3563"/>
      <c r="F332" s="3576"/>
      <c r="G332" s="3576"/>
      <c r="H332" s="3563"/>
      <c r="I332" s="3563"/>
      <c r="J332" s="3563"/>
      <c r="K332" s="3563"/>
      <c r="L332" s="3563"/>
      <c r="M332" s="3563"/>
      <c r="N332" s="3577"/>
      <c r="O332" s="3563"/>
      <c r="P332" s="3576"/>
      <c r="Q332" s="3578"/>
      <c r="R332" s="3563"/>
      <c r="S332" s="3563"/>
      <c r="T332" s="4014"/>
      <c r="U332" s="3563"/>
      <c r="V332" s="3563"/>
      <c r="W332" s="3578"/>
      <c r="X332" s="3578"/>
      <c r="Y332" s="3578"/>
      <c r="Z332" s="3578"/>
      <c r="AA332" s="3578"/>
      <c r="AB332" s="3563"/>
      <c r="AC332" s="3578"/>
      <c r="AD332" s="3578"/>
      <c r="AE332" s="3578"/>
      <c r="AF332" s="3578"/>
      <c r="AG332" s="3576"/>
      <c r="AH332" s="3576"/>
      <c r="AI332" s="3580"/>
      <c r="AJ332" s="3581"/>
      <c r="AK332" s="3582"/>
      <c r="AL332" s="3582"/>
      <c r="AM332" s="3582"/>
      <c r="AN332" s="3582"/>
      <c r="AO332" s="3582"/>
      <c r="AP332" s="3582"/>
      <c r="AQ332" s="3582"/>
      <c r="AR332" s="3576"/>
      <c r="AS332" s="3576"/>
      <c r="AT332" s="3576"/>
      <c r="AU332" s="3576"/>
      <c r="AV332" s="3563"/>
    </row>
    <row r="333" s="3565" customFormat="1" spans="1:48">
      <c r="A333" s="3575"/>
      <c r="B333" s="3576"/>
      <c r="C333" s="3576"/>
      <c r="D333" s="3563"/>
      <c r="E333" s="3563"/>
      <c r="F333" s="3576"/>
      <c r="G333" s="3576"/>
      <c r="H333" s="3563"/>
      <c r="I333" s="3563"/>
      <c r="J333" s="3563"/>
      <c r="K333" s="3563"/>
      <c r="L333" s="3563"/>
      <c r="M333" s="3563"/>
      <c r="N333" s="3577"/>
      <c r="O333" s="3563"/>
      <c r="P333" s="3576"/>
      <c r="Q333" s="3578"/>
      <c r="R333" s="3563"/>
      <c r="S333" s="3563"/>
      <c r="T333" s="4014"/>
      <c r="U333" s="3563"/>
      <c r="V333" s="3563"/>
      <c r="W333" s="3578"/>
      <c r="X333" s="3578"/>
      <c r="Y333" s="3578"/>
      <c r="Z333" s="3578"/>
      <c r="AA333" s="3578"/>
      <c r="AB333" s="3563"/>
      <c r="AC333" s="3578"/>
      <c r="AD333" s="3578"/>
      <c r="AE333" s="3578"/>
      <c r="AF333" s="3578"/>
      <c r="AG333" s="3576"/>
      <c r="AH333" s="3576"/>
      <c r="AI333" s="3580"/>
      <c r="AJ333" s="3581"/>
      <c r="AK333" s="3582"/>
      <c r="AL333" s="3582"/>
      <c r="AM333" s="3582"/>
      <c r="AN333" s="3582"/>
      <c r="AO333" s="3582"/>
      <c r="AP333" s="3582"/>
      <c r="AQ333" s="3582"/>
      <c r="AR333" s="3576"/>
      <c r="AS333" s="3576"/>
      <c r="AT333" s="3576"/>
      <c r="AU333" s="3576"/>
      <c r="AV333" s="3563"/>
    </row>
    <row r="334" s="3565" customFormat="1" spans="1:48">
      <c r="A334" s="3575"/>
      <c r="B334" s="3576"/>
      <c r="C334" s="3576"/>
      <c r="D334" s="3563"/>
      <c r="E334" s="3563"/>
      <c r="F334" s="3576"/>
      <c r="G334" s="3576"/>
      <c r="H334" s="3563"/>
      <c r="I334" s="3563"/>
      <c r="J334" s="3563"/>
      <c r="K334" s="3563"/>
      <c r="L334" s="3563"/>
      <c r="M334" s="3563"/>
      <c r="N334" s="3577"/>
      <c r="O334" s="3563"/>
      <c r="P334" s="3576"/>
      <c r="Q334" s="3578"/>
      <c r="R334" s="3563"/>
      <c r="S334" s="3563"/>
      <c r="T334" s="4014"/>
      <c r="U334" s="3563"/>
      <c r="V334" s="3563"/>
      <c r="W334" s="3578"/>
      <c r="X334" s="3578"/>
      <c r="Y334" s="3578"/>
      <c r="Z334" s="3578"/>
      <c r="AA334" s="3578"/>
      <c r="AB334" s="3563"/>
      <c r="AC334" s="3578"/>
      <c r="AD334" s="3578"/>
      <c r="AE334" s="3578"/>
      <c r="AF334" s="3578"/>
      <c r="AG334" s="3576"/>
      <c r="AH334" s="3576"/>
      <c r="AI334" s="3580"/>
      <c r="AJ334" s="3581"/>
      <c r="AK334" s="3582"/>
      <c r="AL334" s="3582"/>
      <c r="AM334" s="3582"/>
      <c r="AN334" s="3582"/>
      <c r="AO334" s="3582"/>
      <c r="AP334" s="3582"/>
      <c r="AQ334" s="3582"/>
      <c r="AR334" s="3576"/>
      <c r="AS334" s="3576"/>
      <c r="AT334" s="3576"/>
      <c r="AU334" s="3576"/>
      <c r="AV334" s="3563"/>
    </row>
    <row r="335" s="3565" customFormat="1" spans="1:48">
      <c r="A335" s="3575"/>
      <c r="B335" s="3576"/>
      <c r="C335" s="3576"/>
      <c r="D335" s="3563"/>
      <c r="E335" s="3563"/>
      <c r="F335" s="3576"/>
      <c r="G335" s="3576"/>
      <c r="H335" s="3563"/>
      <c r="I335" s="3563"/>
      <c r="J335" s="3563"/>
      <c r="K335" s="3563"/>
      <c r="L335" s="3563"/>
      <c r="M335" s="3563"/>
      <c r="N335" s="3577"/>
      <c r="O335" s="3563"/>
      <c r="P335" s="3576"/>
      <c r="Q335" s="3578"/>
      <c r="R335" s="3563"/>
      <c r="S335" s="3563"/>
      <c r="T335" s="4014"/>
      <c r="U335" s="3563"/>
      <c r="V335" s="3563"/>
      <c r="W335" s="3578"/>
      <c r="X335" s="3578"/>
      <c r="Y335" s="3578"/>
      <c r="Z335" s="3578"/>
      <c r="AA335" s="3578"/>
      <c r="AB335" s="3563"/>
      <c r="AC335" s="3578"/>
      <c r="AD335" s="3578"/>
      <c r="AE335" s="3578"/>
      <c r="AF335" s="3578"/>
      <c r="AG335" s="3576"/>
      <c r="AH335" s="3576"/>
      <c r="AI335" s="3580"/>
      <c r="AJ335" s="3581"/>
      <c r="AK335" s="3582"/>
      <c r="AL335" s="3582"/>
      <c r="AM335" s="3582"/>
      <c r="AN335" s="3582"/>
      <c r="AO335" s="3582"/>
      <c r="AP335" s="3582"/>
      <c r="AQ335" s="3582"/>
      <c r="AR335" s="3576"/>
      <c r="AS335" s="3576"/>
      <c r="AT335" s="3576"/>
      <c r="AU335" s="3576"/>
      <c r="AV335" s="3563"/>
    </row>
    <row r="336" s="3565" customFormat="1" spans="1:48">
      <c r="A336" s="3575"/>
      <c r="B336" s="3576"/>
      <c r="C336" s="3576"/>
      <c r="D336" s="3563"/>
      <c r="E336" s="3563"/>
      <c r="F336" s="3576"/>
      <c r="G336" s="3576"/>
      <c r="H336" s="3563"/>
      <c r="I336" s="3563"/>
      <c r="J336" s="3563"/>
      <c r="K336" s="3563"/>
      <c r="L336" s="3563"/>
      <c r="M336" s="3563"/>
      <c r="N336" s="3577"/>
      <c r="O336" s="3563"/>
      <c r="P336" s="3576"/>
      <c r="Q336" s="3578"/>
      <c r="R336" s="3563"/>
      <c r="S336" s="3563"/>
      <c r="T336" s="4014"/>
      <c r="U336" s="3563"/>
      <c r="V336" s="3563"/>
      <c r="W336" s="3578"/>
      <c r="X336" s="3578"/>
      <c r="Y336" s="3578"/>
      <c r="Z336" s="3578"/>
      <c r="AA336" s="3578"/>
      <c r="AB336" s="3563"/>
      <c r="AC336" s="3578"/>
      <c r="AD336" s="3578"/>
      <c r="AE336" s="3578"/>
      <c r="AF336" s="3578"/>
      <c r="AG336" s="3576"/>
      <c r="AH336" s="3576"/>
      <c r="AI336" s="3580"/>
      <c r="AJ336" s="3581"/>
      <c r="AK336" s="3582"/>
      <c r="AL336" s="3582"/>
      <c r="AM336" s="3582"/>
      <c r="AN336" s="3582"/>
      <c r="AO336" s="3582"/>
      <c r="AP336" s="3582"/>
      <c r="AQ336" s="3582"/>
      <c r="AR336" s="3576"/>
      <c r="AS336" s="3576"/>
      <c r="AT336" s="3576"/>
      <c r="AU336" s="3576"/>
      <c r="AV336" s="3563"/>
    </row>
    <row r="337" s="3565" customFormat="1" spans="1:48">
      <c r="A337" s="3575"/>
      <c r="B337" s="3576"/>
      <c r="C337" s="3576"/>
      <c r="D337" s="3563"/>
      <c r="E337" s="3563"/>
      <c r="F337" s="3576"/>
      <c r="G337" s="3576"/>
      <c r="H337" s="3563"/>
      <c r="I337" s="3563"/>
      <c r="J337" s="3563"/>
      <c r="K337" s="3563"/>
      <c r="L337" s="3563"/>
      <c r="M337" s="3563"/>
      <c r="N337" s="3577"/>
      <c r="O337" s="3563"/>
      <c r="P337" s="3576"/>
      <c r="Q337" s="3578"/>
      <c r="R337" s="3563"/>
      <c r="S337" s="3563"/>
      <c r="T337" s="4014"/>
      <c r="U337" s="3563"/>
      <c r="V337" s="3563"/>
      <c r="W337" s="3578"/>
      <c r="X337" s="3578"/>
      <c r="Y337" s="3578"/>
      <c r="Z337" s="3578"/>
      <c r="AA337" s="3578"/>
      <c r="AB337" s="3563"/>
      <c r="AC337" s="3578"/>
      <c r="AD337" s="3578"/>
      <c r="AE337" s="3578"/>
      <c r="AF337" s="3578"/>
      <c r="AG337" s="3576"/>
      <c r="AH337" s="3576"/>
      <c r="AI337" s="3580"/>
      <c r="AJ337" s="3581"/>
      <c r="AK337" s="3582"/>
      <c r="AL337" s="3582"/>
      <c r="AM337" s="3582"/>
      <c r="AN337" s="3582"/>
      <c r="AO337" s="3582"/>
      <c r="AP337" s="3582"/>
      <c r="AQ337" s="3582"/>
      <c r="AR337" s="3576"/>
      <c r="AS337" s="3576"/>
      <c r="AT337" s="3576"/>
      <c r="AU337" s="3576"/>
      <c r="AV337" s="3563"/>
    </row>
    <row r="338" s="3565" customFormat="1" spans="1:48">
      <c r="A338" s="3575"/>
      <c r="B338" s="3576"/>
      <c r="C338" s="3576"/>
      <c r="D338" s="3563"/>
      <c r="E338" s="3563"/>
      <c r="F338" s="3576"/>
      <c r="G338" s="3576"/>
      <c r="H338" s="3563"/>
      <c r="I338" s="3563"/>
      <c r="J338" s="3563"/>
      <c r="K338" s="3563"/>
      <c r="L338" s="3563"/>
      <c r="M338" s="3563"/>
      <c r="N338" s="3577"/>
      <c r="O338" s="3563"/>
      <c r="P338" s="3576"/>
      <c r="Q338" s="3578"/>
      <c r="R338" s="3563"/>
      <c r="S338" s="3563"/>
      <c r="T338" s="4014"/>
      <c r="U338" s="3563"/>
      <c r="V338" s="3563"/>
      <c r="W338" s="3578"/>
      <c r="X338" s="3578"/>
      <c r="Y338" s="3578"/>
      <c r="Z338" s="3578"/>
      <c r="AA338" s="3578"/>
      <c r="AB338" s="3563"/>
      <c r="AC338" s="3578"/>
      <c r="AD338" s="3578"/>
      <c r="AE338" s="3578"/>
      <c r="AF338" s="3578"/>
      <c r="AG338" s="3576"/>
      <c r="AH338" s="3576"/>
      <c r="AI338" s="3580"/>
      <c r="AJ338" s="3581"/>
      <c r="AK338" s="3582"/>
      <c r="AL338" s="3582"/>
      <c r="AM338" s="3582"/>
      <c r="AN338" s="3582"/>
      <c r="AO338" s="3582"/>
      <c r="AP338" s="3582"/>
      <c r="AQ338" s="3582"/>
      <c r="AR338" s="3576"/>
      <c r="AS338" s="3576"/>
      <c r="AT338" s="3576"/>
      <c r="AU338" s="3576"/>
      <c r="AV338" s="3563"/>
    </row>
    <row r="339" s="3565" customFormat="1" spans="1:48">
      <c r="A339" s="3575"/>
      <c r="B339" s="3576"/>
      <c r="C339" s="3576"/>
      <c r="D339" s="3563"/>
      <c r="E339" s="3563"/>
      <c r="F339" s="3576"/>
      <c r="G339" s="3576"/>
      <c r="H339" s="3563"/>
      <c r="I339" s="3563"/>
      <c r="J339" s="3563"/>
      <c r="K339" s="3563"/>
      <c r="L339" s="3563"/>
      <c r="M339" s="3563"/>
      <c r="N339" s="3577"/>
      <c r="O339" s="3563"/>
      <c r="P339" s="3576"/>
      <c r="Q339" s="3578"/>
      <c r="R339" s="3563"/>
      <c r="S339" s="3563"/>
      <c r="T339" s="4014"/>
      <c r="U339" s="3563"/>
      <c r="V339" s="3563"/>
      <c r="W339" s="3578"/>
      <c r="X339" s="3578"/>
      <c r="Y339" s="3578"/>
      <c r="Z339" s="3578"/>
      <c r="AA339" s="3578"/>
      <c r="AB339" s="3563"/>
      <c r="AC339" s="3578"/>
      <c r="AD339" s="3578"/>
      <c r="AE339" s="3578"/>
      <c r="AF339" s="3578"/>
      <c r="AG339" s="3576"/>
      <c r="AH339" s="3576"/>
      <c r="AI339" s="3580"/>
      <c r="AJ339" s="3581"/>
      <c r="AK339" s="3582"/>
      <c r="AL339" s="3582"/>
      <c r="AM339" s="3582"/>
      <c r="AN339" s="3582"/>
      <c r="AO339" s="3582"/>
      <c r="AP339" s="3582"/>
      <c r="AQ339" s="3582"/>
      <c r="AR339" s="3576"/>
      <c r="AS339" s="3576"/>
      <c r="AT339" s="3576"/>
      <c r="AU339" s="3576"/>
      <c r="AV339" s="3563"/>
    </row>
    <row r="340" s="3565" customFormat="1" spans="1:48">
      <c r="A340" s="3575"/>
      <c r="B340" s="3576"/>
      <c r="C340" s="3576"/>
      <c r="D340" s="3563"/>
      <c r="E340" s="3563"/>
      <c r="F340" s="3576"/>
      <c r="G340" s="3576"/>
      <c r="H340" s="3563"/>
      <c r="I340" s="3563"/>
      <c r="J340" s="3563"/>
      <c r="K340" s="3563"/>
      <c r="L340" s="3563"/>
      <c r="M340" s="3563"/>
      <c r="N340" s="3577"/>
      <c r="O340" s="3563"/>
      <c r="P340" s="3576"/>
      <c r="Q340" s="3578"/>
      <c r="R340" s="3563"/>
      <c r="S340" s="3563"/>
      <c r="T340" s="4014"/>
      <c r="U340" s="3563"/>
      <c r="V340" s="3563"/>
      <c r="W340" s="3578"/>
      <c r="X340" s="3578"/>
      <c r="Y340" s="3578"/>
      <c r="Z340" s="3578"/>
      <c r="AA340" s="3578"/>
      <c r="AB340" s="3563"/>
      <c r="AC340" s="3578"/>
      <c r="AD340" s="3578"/>
      <c r="AE340" s="3578"/>
      <c r="AF340" s="3578"/>
      <c r="AG340" s="3576"/>
      <c r="AH340" s="3576"/>
      <c r="AI340" s="3580"/>
      <c r="AJ340" s="3581"/>
      <c r="AK340" s="3582"/>
      <c r="AL340" s="3582"/>
      <c r="AM340" s="3582"/>
      <c r="AN340" s="3582"/>
      <c r="AO340" s="3582"/>
      <c r="AP340" s="3582"/>
      <c r="AQ340" s="3582"/>
      <c r="AR340" s="3576"/>
      <c r="AS340" s="3576"/>
      <c r="AT340" s="3576"/>
      <c r="AU340" s="3576"/>
      <c r="AV340" s="3563"/>
    </row>
    <row r="341" s="3565" customFormat="1" spans="1:48">
      <c r="A341" s="3575"/>
      <c r="B341" s="3576"/>
      <c r="C341" s="3576"/>
      <c r="D341" s="3563"/>
      <c r="E341" s="3563"/>
      <c r="F341" s="3576"/>
      <c r="G341" s="3576"/>
      <c r="H341" s="3563"/>
      <c r="I341" s="3563"/>
      <c r="J341" s="3563"/>
      <c r="K341" s="3563"/>
      <c r="L341" s="3563"/>
      <c r="M341" s="3563"/>
      <c r="N341" s="3577"/>
      <c r="O341" s="3563"/>
      <c r="P341" s="3576"/>
      <c r="Q341" s="3578"/>
      <c r="R341" s="3563"/>
      <c r="S341" s="3563"/>
      <c r="T341" s="4014"/>
      <c r="U341" s="3563"/>
      <c r="V341" s="3563"/>
      <c r="W341" s="3578"/>
      <c r="X341" s="3578"/>
      <c r="Y341" s="3578"/>
      <c r="Z341" s="3578"/>
      <c r="AA341" s="3578"/>
      <c r="AB341" s="3563"/>
      <c r="AC341" s="3578"/>
      <c r="AD341" s="3578"/>
      <c r="AE341" s="3578"/>
      <c r="AF341" s="3578"/>
      <c r="AG341" s="3576"/>
      <c r="AH341" s="3576"/>
      <c r="AI341" s="3580"/>
      <c r="AJ341" s="3581"/>
      <c r="AK341" s="3582"/>
      <c r="AL341" s="3582"/>
      <c r="AM341" s="3582"/>
      <c r="AN341" s="3582"/>
      <c r="AO341" s="3582"/>
      <c r="AP341" s="3582"/>
      <c r="AQ341" s="3582"/>
      <c r="AR341" s="3576"/>
      <c r="AS341" s="3576"/>
      <c r="AT341" s="3576"/>
      <c r="AU341" s="3576"/>
      <c r="AV341" s="3563"/>
    </row>
    <row r="342" s="3565" customFormat="1" spans="1:48">
      <c r="A342" s="3575"/>
      <c r="B342" s="3576"/>
      <c r="C342" s="3576"/>
      <c r="D342" s="3563"/>
      <c r="E342" s="3563"/>
      <c r="F342" s="3576"/>
      <c r="G342" s="3576"/>
      <c r="H342" s="3563"/>
      <c r="I342" s="3563"/>
      <c r="J342" s="3563"/>
      <c r="K342" s="3563"/>
      <c r="L342" s="3563"/>
      <c r="M342" s="3563"/>
      <c r="N342" s="3577"/>
      <c r="O342" s="3563"/>
      <c r="P342" s="3576"/>
      <c r="Q342" s="3578"/>
      <c r="R342" s="3563"/>
      <c r="S342" s="3563"/>
      <c r="T342" s="4014"/>
      <c r="U342" s="3563"/>
      <c r="V342" s="3563"/>
      <c r="W342" s="3578"/>
      <c r="X342" s="3578"/>
      <c r="Y342" s="3578"/>
      <c r="Z342" s="3578"/>
      <c r="AA342" s="3578"/>
      <c r="AB342" s="3563"/>
      <c r="AC342" s="3578"/>
      <c r="AD342" s="3578"/>
      <c r="AE342" s="3578"/>
      <c r="AF342" s="3578"/>
      <c r="AG342" s="3576"/>
      <c r="AH342" s="3576"/>
      <c r="AI342" s="3580"/>
      <c r="AJ342" s="3581"/>
      <c r="AK342" s="3582"/>
      <c r="AL342" s="3582"/>
      <c r="AM342" s="3582"/>
      <c r="AN342" s="3582"/>
      <c r="AO342" s="3582"/>
      <c r="AP342" s="3582"/>
      <c r="AQ342" s="3582"/>
      <c r="AR342" s="3576"/>
      <c r="AS342" s="3576"/>
      <c r="AT342" s="3576"/>
      <c r="AU342" s="3576"/>
      <c r="AV342" s="3563"/>
    </row>
    <row r="343" s="3565" customFormat="1" spans="1:48">
      <c r="A343" s="3575"/>
      <c r="B343" s="3576"/>
      <c r="C343" s="3576"/>
      <c r="D343" s="3563"/>
      <c r="E343" s="3563"/>
      <c r="F343" s="3576"/>
      <c r="G343" s="3576"/>
      <c r="H343" s="3563"/>
      <c r="I343" s="3563"/>
      <c r="J343" s="3563"/>
      <c r="K343" s="3563"/>
      <c r="L343" s="3563"/>
      <c r="M343" s="3563"/>
      <c r="N343" s="3577"/>
      <c r="O343" s="3563"/>
      <c r="P343" s="3576"/>
      <c r="Q343" s="3578"/>
      <c r="R343" s="3563"/>
      <c r="S343" s="3563"/>
      <c r="T343" s="4014"/>
      <c r="U343" s="3563"/>
      <c r="V343" s="3563"/>
      <c r="W343" s="3578"/>
      <c r="X343" s="3578"/>
      <c r="Y343" s="3578"/>
      <c r="Z343" s="3578"/>
      <c r="AA343" s="3578"/>
      <c r="AB343" s="3563"/>
      <c r="AC343" s="3578"/>
      <c r="AD343" s="3578"/>
      <c r="AE343" s="3578"/>
      <c r="AF343" s="3578"/>
      <c r="AG343" s="3576"/>
      <c r="AH343" s="3576"/>
      <c r="AI343" s="3580"/>
      <c r="AJ343" s="3581"/>
      <c r="AK343" s="3582"/>
      <c r="AL343" s="3582"/>
      <c r="AM343" s="3582"/>
      <c r="AN343" s="3582"/>
      <c r="AO343" s="3582"/>
      <c r="AP343" s="3582"/>
      <c r="AQ343" s="3582"/>
      <c r="AR343" s="3576"/>
      <c r="AS343" s="3576"/>
      <c r="AT343" s="3576"/>
      <c r="AU343" s="3576"/>
      <c r="AV343" s="3563"/>
    </row>
    <row r="344" s="3565" customFormat="1" spans="1:48">
      <c r="A344" s="3575"/>
      <c r="B344" s="3576"/>
      <c r="C344" s="3576"/>
      <c r="D344" s="3563"/>
      <c r="E344" s="3563"/>
      <c r="F344" s="3576"/>
      <c r="G344" s="3576"/>
      <c r="H344" s="3563"/>
      <c r="I344" s="3563"/>
      <c r="J344" s="3563"/>
      <c r="K344" s="3563"/>
      <c r="L344" s="3563"/>
      <c r="M344" s="3563"/>
      <c r="N344" s="3577"/>
      <c r="O344" s="3563"/>
      <c r="P344" s="3576"/>
      <c r="Q344" s="3578"/>
      <c r="R344" s="3563"/>
      <c r="S344" s="3563"/>
      <c r="T344" s="3579"/>
      <c r="U344" s="3563"/>
      <c r="V344" s="3563"/>
      <c r="W344" s="3578"/>
      <c r="X344" s="3578"/>
      <c r="Y344" s="3578"/>
      <c r="Z344" s="3578"/>
      <c r="AA344" s="3578"/>
      <c r="AB344" s="3563"/>
      <c r="AC344" s="3578"/>
      <c r="AD344" s="3578"/>
      <c r="AE344" s="3578"/>
      <c r="AF344" s="3578"/>
      <c r="AG344" s="3576"/>
      <c r="AH344" s="3576"/>
      <c r="AI344" s="3580"/>
      <c r="AJ344" s="3581"/>
      <c r="AK344" s="3582"/>
      <c r="AL344" s="3582"/>
      <c r="AM344" s="3582"/>
      <c r="AN344" s="3582"/>
      <c r="AO344" s="3582"/>
      <c r="AP344" s="3582"/>
      <c r="AQ344" s="3582"/>
      <c r="AR344" s="3576"/>
      <c r="AS344" s="3576"/>
      <c r="AT344" s="3576"/>
      <c r="AU344" s="3576"/>
      <c r="AV344" s="3563"/>
    </row>
    <row r="345" s="3565" customFormat="1" spans="1:48">
      <c r="A345" s="3575"/>
      <c r="B345" s="3576"/>
      <c r="C345" s="3576"/>
      <c r="D345" s="3563"/>
      <c r="E345" s="3563"/>
      <c r="F345" s="3576"/>
      <c r="G345" s="3576"/>
      <c r="H345" s="3563"/>
      <c r="I345" s="3563"/>
      <c r="J345" s="3563"/>
      <c r="K345" s="3563"/>
      <c r="L345" s="3563"/>
      <c r="M345" s="3563"/>
      <c r="N345" s="3577"/>
      <c r="O345" s="3563"/>
      <c r="P345" s="3576"/>
      <c r="Q345" s="3578"/>
      <c r="R345" s="3563"/>
      <c r="S345" s="3563"/>
      <c r="T345" s="3579"/>
      <c r="U345" s="3563"/>
      <c r="V345" s="3563"/>
      <c r="W345" s="3578"/>
      <c r="X345" s="3578"/>
      <c r="Y345" s="3578"/>
      <c r="Z345" s="3578"/>
      <c r="AA345" s="3578"/>
      <c r="AB345" s="3563"/>
      <c r="AC345" s="3578"/>
      <c r="AD345" s="3578"/>
      <c r="AE345" s="3578"/>
      <c r="AF345" s="3578"/>
      <c r="AG345" s="3576"/>
      <c r="AH345" s="3576"/>
      <c r="AI345" s="3580"/>
      <c r="AJ345" s="3581"/>
      <c r="AK345" s="3582"/>
      <c r="AL345" s="3582"/>
      <c r="AM345" s="3582"/>
      <c r="AN345" s="3582"/>
      <c r="AO345" s="3582"/>
      <c r="AP345" s="3582"/>
      <c r="AQ345" s="3582"/>
      <c r="AR345" s="3576"/>
      <c r="AS345" s="3576"/>
      <c r="AT345" s="3576"/>
      <c r="AU345" s="3576"/>
      <c r="AV345" s="3563"/>
    </row>
    <row r="346" s="3565" customFormat="1" spans="1:48">
      <c r="A346" s="3575"/>
      <c r="B346" s="3576"/>
      <c r="C346" s="3576"/>
      <c r="D346" s="3563"/>
      <c r="E346" s="3563"/>
      <c r="F346" s="3576"/>
      <c r="G346" s="3576"/>
      <c r="H346" s="3563"/>
      <c r="I346" s="3563"/>
      <c r="J346" s="3563"/>
      <c r="K346" s="3563"/>
      <c r="L346" s="3563"/>
      <c r="M346" s="3563"/>
      <c r="N346" s="3577"/>
      <c r="O346" s="3563"/>
      <c r="P346" s="3576"/>
      <c r="Q346" s="3578"/>
      <c r="R346" s="3563"/>
      <c r="S346" s="3563"/>
      <c r="T346" s="4014"/>
      <c r="U346" s="3563"/>
      <c r="V346" s="3563"/>
      <c r="W346" s="3578"/>
      <c r="X346" s="3578"/>
      <c r="Y346" s="3578"/>
      <c r="Z346" s="3578"/>
      <c r="AA346" s="3578"/>
      <c r="AB346" s="3563"/>
      <c r="AC346" s="3578"/>
      <c r="AD346" s="3578"/>
      <c r="AE346" s="3578"/>
      <c r="AF346" s="3578"/>
      <c r="AG346" s="3576"/>
      <c r="AH346" s="3576"/>
      <c r="AI346" s="3580"/>
      <c r="AJ346" s="3581"/>
      <c r="AK346" s="3582"/>
      <c r="AL346" s="3582"/>
      <c r="AM346" s="3582"/>
      <c r="AN346" s="3582"/>
      <c r="AO346" s="3582"/>
      <c r="AP346" s="3582"/>
      <c r="AQ346" s="3582"/>
      <c r="AR346" s="3576"/>
      <c r="AS346" s="3576"/>
      <c r="AT346" s="3576"/>
      <c r="AU346" s="3576"/>
      <c r="AV346" s="3563"/>
    </row>
    <row r="347" s="3565" customFormat="1" spans="1:48">
      <c r="A347" s="3575"/>
      <c r="B347" s="3576"/>
      <c r="C347" s="3576"/>
      <c r="D347" s="3563"/>
      <c r="E347" s="3563"/>
      <c r="F347" s="3576"/>
      <c r="G347" s="3576"/>
      <c r="H347" s="3563"/>
      <c r="I347" s="3563"/>
      <c r="J347" s="3563"/>
      <c r="K347" s="3563"/>
      <c r="L347" s="3563"/>
      <c r="M347" s="3563"/>
      <c r="N347" s="3577"/>
      <c r="O347" s="3563"/>
      <c r="P347" s="3576"/>
      <c r="Q347" s="3578"/>
      <c r="R347" s="3563"/>
      <c r="S347" s="3563"/>
      <c r="T347" s="3579"/>
      <c r="U347" s="3563"/>
      <c r="V347" s="3563"/>
      <c r="W347" s="3578"/>
      <c r="X347" s="3578"/>
      <c r="Y347" s="3578"/>
      <c r="Z347" s="3578"/>
      <c r="AA347" s="3578"/>
      <c r="AB347" s="3563"/>
      <c r="AC347" s="3578"/>
      <c r="AD347" s="3578"/>
      <c r="AE347" s="3578"/>
      <c r="AF347" s="3578"/>
      <c r="AG347" s="3576"/>
      <c r="AH347" s="3576"/>
      <c r="AI347" s="3580"/>
      <c r="AJ347" s="3581"/>
      <c r="AK347" s="3582"/>
      <c r="AL347" s="3582"/>
      <c r="AM347" s="3582"/>
      <c r="AN347" s="3582"/>
      <c r="AO347" s="3582"/>
      <c r="AP347" s="3582"/>
      <c r="AQ347" s="3582"/>
      <c r="AR347" s="3576"/>
      <c r="AS347" s="3576"/>
      <c r="AT347" s="3576"/>
      <c r="AU347" s="3576"/>
      <c r="AV347" s="3563"/>
    </row>
    <row r="348" s="3565" customFormat="1" spans="1:48">
      <c r="A348" s="3575"/>
      <c r="B348" s="3576"/>
      <c r="C348" s="3576"/>
      <c r="D348" s="3563"/>
      <c r="E348" s="3563"/>
      <c r="F348" s="3576"/>
      <c r="G348" s="3576"/>
      <c r="H348" s="3563"/>
      <c r="I348" s="3563"/>
      <c r="J348" s="3563"/>
      <c r="K348" s="3563"/>
      <c r="L348" s="3563"/>
      <c r="M348" s="3563"/>
      <c r="N348" s="3577"/>
      <c r="O348" s="3563"/>
      <c r="P348" s="3576"/>
      <c r="Q348" s="3578"/>
      <c r="R348" s="3563"/>
      <c r="S348" s="3563"/>
      <c r="T348" s="3579"/>
      <c r="U348" s="3563"/>
      <c r="V348" s="3563"/>
      <c r="W348" s="3578"/>
      <c r="X348" s="3578"/>
      <c r="Y348" s="3578"/>
      <c r="Z348" s="3578"/>
      <c r="AA348" s="3578"/>
      <c r="AB348" s="3563"/>
      <c r="AC348" s="3578"/>
      <c r="AD348" s="3578"/>
      <c r="AE348" s="3578"/>
      <c r="AF348" s="3578"/>
      <c r="AG348" s="3576"/>
      <c r="AH348" s="3576"/>
      <c r="AI348" s="3580"/>
      <c r="AJ348" s="3581"/>
      <c r="AK348" s="3582"/>
      <c r="AL348" s="3582"/>
      <c r="AM348" s="3582"/>
      <c r="AN348" s="3582"/>
      <c r="AO348" s="3582"/>
      <c r="AP348" s="3582"/>
      <c r="AQ348" s="3582"/>
      <c r="AR348" s="3576"/>
      <c r="AS348" s="3576"/>
      <c r="AT348" s="3576"/>
      <c r="AU348" s="3576"/>
      <c r="AV348" s="3563"/>
    </row>
    <row r="349" s="3565" customFormat="1" spans="1:48">
      <c r="A349" s="3575"/>
      <c r="B349" s="3576"/>
      <c r="C349" s="3576"/>
      <c r="D349" s="3563"/>
      <c r="E349" s="3563"/>
      <c r="F349" s="3576"/>
      <c r="G349" s="3576"/>
      <c r="H349" s="3563"/>
      <c r="I349" s="3563"/>
      <c r="J349" s="3563"/>
      <c r="K349" s="3563"/>
      <c r="L349" s="3563"/>
      <c r="M349" s="3563"/>
      <c r="N349" s="3577"/>
      <c r="O349" s="3563"/>
      <c r="P349" s="3576"/>
      <c r="Q349" s="3578"/>
      <c r="R349" s="3563"/>
      <c r="S349" s="3563"/>
      <c r="T349" s="3579"/>
      <c r="U349" s="3563"/>
      <c r="V349" s="3563"/>
      <c r="W349" s="3578"/>
      <c r="X349" s="3578"/>
      <c r="Y349" s="3578"/>
      <c r="Z349" s="3578"/>
      <c r="AA349" s="3578"/>
      <c r="AB349" s="3563"/>
      <c r="AC349" s="3578"/>
      <c r="AD349" s="3578"/>
      <c r="AE349" s="3578"/>
      <c r="AF349" s="3578"/>
      <c r="AG349" s="3576"/>
      <c r="AH349" s="3576"/>
      <c r="AI349" s="3580"/>
      <c r="AJ349" s="3581"/>
      <c r="AK349" s="3582"/>
      <c r="AL349" s="3582"/>
      <c r="AM349" s="3582"/>
      <c r="AN349" s="3582"/>
      <c r="AO349" s="3582"/>
      <c r="AP349" s="3582"/>
      <c r="AQ349" s="3582"/>
      <c r="AR349" s="3576"/>
      <c r="AS349" s="3576"/>
      <c r="AT349" s="3576"/>
      <c r="AU349" s="3576"/>
      <c r="AV349" s="3563"/>
    </row>
    <row r="350" s="3565" customFormat="1" spans="1:48">
      <c r="A350" s="3575"/>
      <c r="B350" s="3576"/>
      <c r="C350" s="3576"/>
      <c r="D350" s="3563"/>
      <c r="E350" s="3563"/>
      <c r="F350" s="3576"/>
      <c r="G350" s="3576"/>
      <c r="H350" s="3563"/>
      <c r="I350" s="3563"/>
      <c r="J350" s="3563"/>
      <c r="K350" s="3563"/>
      <c r="L350" s="3563"/>
      <c r="M350" s="3563"/>
      <c r="N350" s="3577"/>
      <c r="O350" s="3563"/>
      <c r="P350" s="3576"/>
      <c r="Q350" s="3578"/>
      <c r="R350" s="3563"/>
      <c r="S350" s="3563"/>
      <c r="T350" s="3579"/>
      <c r="U350" s="3563"/>
      <c r="V350" s="3563"/>
      <c r="W350" s="3578"/>
      <c r="X350" s="3578"/>
      <c r="Y350" s="3578"/>
      <c r="Z350" s="3578"/>
      <c r="AA350" s="3578"/>
      <c r="AB350" s="3563"/>
      <c r="AC350" s="3578"/>
      <c r="AD350" s="3578"/>
      <c r="AE350" s="3578"/>
      <c r="AF350" s="3578"/>
      <c r="AG350" s="3576"/>
      <c r="AH350" s="3576"/>
      <c r="AI350" s="3580"/>
      <c r="AJ350" s="3581"/>
      <c r="AK350" s="3582"/>
      <c r="AL350" s="3582"/>
      <c r="AM350" s="3582"/>
      <c r="AN350" s="3582"/>
      <c r="AO350" s="3582"/>
      <c r="AP350" s="3582"/>
      <c r="AQ350" s="3582"/>
      <c r="AR350" s="3576"/>
      <c r="AS350" s="3576"/>
      <c r="AT350" s="3576"/>
      <c r="AU350" s="3576"/>
      <c r="AV350" s="3563"/>
    </row>
    <row r="351" s="3565" customFormat="1" spans="1:48">
      <c r="A351" s="3575"/>
      <c r="B351" s="3576"/>
      <c r="C351" s="3576"/>
      <c r="D351" s="3563"/>
      <c r="E351" s="3563"/>
      <c r="F351" s="3576"/>
      <c r="G351" s="3576"/>
      <c r="H351" s="3563"/>
      <c r="I351" s="3563"/>
      <c r="J351" s="3563"/>
      <c r="K351" s="3563"/>
      <c r="L351" s="3563"/>
      <c r="M351" s="3563"/>
      <c r="N351" s="3577"/>
      <c r="O351" s="3563"/>
      <c r="P351" s="3576"/>
      <c r="Q351" s="3578"/>
      <c r="R351" s="3563"/>
      <c r="S351" s="3563"/>
      <c r="T351" s="3579"/>
      <c r="U351" s="3563"/>
      <c r="V351" s="3563"/>
      <c r="W351" s="3578"/>
      <c r="X351" s="3578"/>
      <c r="Y351" s="3578"/>
      <c r="Z351" s="3578"/>
      <c r="AA351" s="3578"/>
      <c r="AB351" s="3563"/>
      <c r="AC351" s="3578"/>
      <c r="AD351" s="3578"/>
      <c r="AE351" s="3578"/>
      <c r="AF351" s="3578"/>
      <c r="AG351" s="3576"/>
      <c r="AH351" s="3576"/>
      <c r="AI351" s="3580"/>
      <c r="AJ351" s="3581"/>
      <c r="AK351" s="3582"/>
      <c r="AL351" s="3582"/>
      <c r="AM351" s="3582"/>
      <c r="AN351" s="3582"/>
      <c r="AO351" s="3582"/>
      <c r="AP351" s="3582"/>
      <c r="AQ351" s="3582"/>
      <c r="AR351" s="3576"/>
      <c r="AS351" s="3576"/>
      <c r="AT351" s="3576"/>
      <c r="AU351" s="3576"/>
      <c r="AV351" s="3563"/>
    </row>
    <row r="352" s="3565" customFormat="1" spans="1:48">
      <c r="A352" s="3575"/>
      <c r="B352" s="3576"/>
      <c r="C352" s="3576"/>
      <c r="D352" s="3563"/>
      <c r="E352" s="3563"/>
      <c r="F352" s="3576"/>
      <c r="G352" s="3576"/>
      <c r="H352" s="3563"/>
      <c r="I352" s="3563"/>
      <c r="J352" s="3563"/>
      <c r="K352" s="3563"/>
      <c r="L352" s="3563"/>
      <c r="M352" s="3563"/>
      <c r="N352" s="3577"/>
      <c r="O352" s="3563"/>
      <c r="P352" s="3576"/>
      <c r="Q352" s="3578"/>
      <c r="R352" s="3563"/>
      <c r="S352" s="3563"/>
      <c r="T352" s="4020"/>
      <c r="U352" s="3563"/>
      <c r="V352" s="3563"/>
      <c r="W352" s="3578"/>
      <c r="X352" s="3578"/>
      <c r="Y352" s="3578"/>
      <c r="Z352" s="3578"/>
      <c r="AA352" s="3578"/>
      <c r="AB352" s="3563"/>
      <c r="AC352" s="3578"/>
      <c r="AD352" s="3578"/>
      <c r="AE352" s="3578"/>
      <c r="AF352" s="3578"/>
      <c r="AG352" s="3576"/>
      <c r="AH352" s="3576"/>
      <c r="AI352" s="3580"/>
      <c r="AJ352" s="3581"/>
      <c r="AK352" s="3582"/>
      <c r="AL352" s="3582"/>
      <c r="AM352" s="3582"/>
      <c r="AN352" s="3582"/>
      <c r="AO352" s="3582"/>
      <c r="AP352" s="3582"/>
      <c r="AQ352" s="3582"/>
      <c r="AR352" s="3576"/>
      <c r="AS352" s="3576"/>
      <c r="AT352" s="3576"/>
      <c r="AU352" s="3576"/>
      <c r="AV352" s="3563"/>
    </row>
    <row r="353" s="3565" customFormat="1" spans="1:48">
      <c r="A353" s="3575"/>
      <c r="B353" s="3576"/>
      <c r="C353" s="3576"/>
      <c r="D353" s="3563"/>
      <c r="E353" s="3563"/>
      <c r="F353" s="3576"/>
      <c r="G353" s="3576"/>
      <c r="H353" s="3563"/>
      <c r="I353" s="3563"/>
      <c r="J353" s="3563"/>
      <c r="K353" s="3563"/>
      <c r="L353" s="3563"/>
      <c r="M353" s="3563"/>
      <c r="N353" s="3577"/>
      <c r="O353" s="3563"/>
      <c r="P353" s="3576"/>
      <c r="Q353" s="3578"/>
      <c r="R353" s="3563"/>
      <c r="S353" s="3563"/>
      <c r="T353" s="3579"/>
      <c r="U353" s="3563"/>
      <c r="V353" s="3563"/>
      <c r="W353" s="3578"/>
      <c r="X353" s="3578"/>
      <c r="Y353" s="3578"/>
      <c r="Z353" s="3578"/>
      <c r="AA353" s="3578"/>
      <c r="AB353" s="3563"/>
      <c r="AC353" s="3578"/>
      <c r="AD353" s="3578"/>
      <c r="AE353" s="3578"/>
      <c r="AF353" s="3578"/>
      <c r="AG353" s="3576"/>
      <c r="AH353" s="3576"/>
      <c r="AI353" s="3580"/>
      <c r="AJ353" s="3581"/>
      <c r="AK353" s="3582"/>
      <c r="AL353" s="3582"/>
      <c r="AM353" s="3582"/>
      <c r="AN353" s="3582"/>
      <c r="AO353" s="3582"/>
      <c r="AP353" s="3582"/>
      <c r="AQ353" s="3582"/>
      <c r="AR353" s="3576"/>
      <c r="AS353" s="3576"/>
      <c r="AT353" s="3576"/>
      <c r="AU353" s="3576"/>
      <c r="AV353" s="3563"/>
    </row>
    <row r="354" s="3565" customFormat="1" spans="1:48">
      <c r="A354" s="3575"/>
      <c r="B354" s="3576"/>
      <c r="C354" s="3576"/>
      <c r="D354" s="3563"/>
      <c r="E354" s="3563"/>
      <c r="F354" s="3576"/>
      <c r="G354" s="3576"/>
      <c r="H354" s="3563"/>
      <c r="I354" s="3563"/>
      <c r="J354" s="3563"/>
      <c r="K354" s="3563"/>
      <c r="L354" s="3563"/>
      <c r="M354" s="3563"/>
      <c r="N354" s="3577"/>
      <c r="O354" s="3563"/>
      <c r="P354" s="3576"/>
      <c r="Q354" s="3578"/>
      <c r="R354" s="3563"/>
      <c r="S354" s="3563"/>
      <c r="T354" s="3579"/>
      <c r="U354" s="3563"/>
      <c r="V354" s="3563"/>
      <c r="W354" s="3578"/>
      <c r="X354" s="3578"/>
      <c r="Y354" s="3578"/>
      <c r="Z354" s="3578"/>
      <c r="AA354" s="3578"/>
      <c r="AB354" s="3563"/>
      <c r="AC354" s="3578"/>
      <c r="AD354" s="3578"/>
      <c r="AE354" s="3578"/>
      <c r="AF354" s="3578"/>
      <c r="AG354" s="3576"/>
      <c r="AH354" s="3576"/>
      <c r="AI354" s="3580"/>
      <c r="AJ354" s="3581"/>
      <c r="AK354" s="3582"/>
      <c r="AL354" s="3582"/>
      <c r="AM354" s="3582"/>
      <c r="AN354" s="3582"/>
      <c r="AO354" s="3582"/>
      <c r="AP354" s="3582"/>
      <c r="AQ354" s="3582"/>
      <c r="AR354" s="3576"/>
      <c r="AS354" s="3576"/>
      <c r="AT354" s="3576"/>
      <c r="AU354" s="3576"/>
      <c r="AV354" s="3563"/>
    </row>
    <row r="355" s="3565" customFormat="1" spans="1:48">
      <c r="A355" s="3575"/>
      <c r="B355" s="3576"/>
      <c r="C355" s="3576"/>
      <c r="D355" s="3563"/>
      <c r="E355" s="3563"/>
      <c r="F355" s="3576"/>
      <c r="G355" s="3576"/>
      <c r="H355" s="3563"/>
      <c r="I355" s="3563"/>
      <c r="J355" s="3563"/>
      <c r="K355" s="3563"/>
      <c r="L355" s="3563"/>
      <c r="M355" s="3563"/>
      <c r="N355" s="3577"/>
      <c r="O355" s="3563"/>
      <c r="P355" s="3576"/>
      <c r="Q355" s="3578"/>
      <c r="R355" s="3563"/>
      <c r="S355" s="3563"/>
      <c r="T355" s="3579"/>
      <c r="U355" s="3563"/>
      <c r="V355" s="3563"/>
      <c r="W355" s="3578"/>
      <c r="X355" s="3578"/>
      <c r="Y355" s="3578"/>
      <c r="Z355" s="3578"/>
      <c r="AA355" s="3578"/>
      <c r="AB355" s="3563"/>
      <c r="AC355" s="3578"/>
      <c r="AD355" s="3578"/>
      <c r="AE355" s="3578"/>
      <c r="AF355" s="3578"/>
      <c r="AG355" s="3576"/>
      <c r="AH355" s="3576"/>
      <c r="AI355" s="3580"/>
      <c r="AJ355" s="3581"/>
      <c r="AK355" s="3582"/>
      <c r="AL355" s="3582"/>
      <c r="AM355" s="3582"/>
      <c r="AN355" s="3582"/>
      <c r="AO355" s="3582"/>
      <c r="AP355" s="3582"/>
      <c r="AQ355" s="3582"/>
      <c r="AR355" s="3576"/>
      <c r="AS355" s="3576"/>
      <c r="AT355" s="3576"/>
      <c r="AU355" s="3576"/>
      <c r="AV355" s="3563"/>
    </row>
    <row r="356" s="3565" customFormat="1" spans="1:48">
      <c r="A356" s="3575"/>
      <c r="B356" s="3576"/>
      <c r="C356" s="3576"/>
      <c r="D356" s="3563"/>
      <c r="E356" s="3563"/>
      <c r="F356" s="3576"/>
      <c r="G356" s="3576"/>
      <c r="H356" s="3563"/>
      <c r="I356" s="3563"/>
      <c r="J356" s="3563"/>
      <c r="K356" s="3563"/>
      <c r="L356" s="3563"/>
      <c r="M356" s="3563"/>
      <c r="N356" s="3577"/>
      <c r="O356" s="3563"/>
      <c r="P356" s="3576"/>
      <c r="Q356" s="3578"/>
      <c r="R356" s="3563"/>
      <c r="S356" s="3563"/>
      <c r="T356" s="3579"/>
      <c r="U356" s="3563"/>
      <c r="V356" s="3563"/>
      <c r="W356" s="3578"/>
      <c r="X356" s="3578"/>
      <c r="Y356" s="3578"/>
      <c r="Z356" s="3578"/>
      <c r="AA356" s="3578"/>
      <c r="AB356" s="3563"/>
      <c r="AC356" s="3578"/>
      <c r="AD356" s="3578"/>
      <c r="AE356" s="3578"/>
      <c r="AF356" s="3578"/>
      <c r="AG356" s="3576"/>
      <c r="AH356" s="3576"/>
      <c r="AI356" s="3580"/>
      <c r="AJ356" s="3581"/>
      <c r="AK356" s="3582"/>
      <c r="AL356" s="3582"/>
      <c r="AM356" s="3582"/>
      <c r="AN356" s="3582"/>
      <c r="AO356" s="3582"/>
      <c r="AP356" s="3582"/>
      <c r="AQ356" s="3582"/>
      <c r="AR356" s="3576"/>
      <c r="AS356" s="3576"/>
      <c r="AT356" s="3576"/>
      <c r="AU356" s="3576"/>
      <c r="AV356" s="3563"/>
    </row>
    <row r="357" s="3565" customFormat="1" spans="1:48">
      <c r="A357" s="3575"/>
      <c r="B357" s="3576"/>
      <c r="C357" s="3576"/>
      <c r="D357" s="3563"/>
      <c r="E357" s="3563"/>
      <c r="F357" s="3576"/>
      <c r="G357" s="3576"/>
      <c r="H357" s="3563"/>
      <c r="I357" s="3563"/>
      <c r="J357" s="3563"/>
      <c r="K357" s="3563"/>
      <c r="L357" s="3563"/>
      <c r="M357" s="3563"/>
      <c r="N357" s="3577"/>
      <c r="O357" s="3563"/>
      <c r="P357" s="3576"/>
      <c r="Q357" s="3578"/>
      <c r="R357" s="3563"/>
      <c r="S357" s="3563"/>
      <c r="T357" s="3579"/>
      <c r="U357" s="3563"/>
      <c r="V357" s="3563"/>
      <c r="W357" s="3578"/>
      <c r="X357" s="3578"/>
      <c r="Y357" s="3578"/>
      <c r="Z357" s="3578"/>
      <c r="AA357" s="3578"/>
      <c r="AB357" s="3563"/>
      <c r="AC357" s="3578"/>
      <c r="AD357" s="3578"/>
      <c r="AE357" s="3578"/>
      <c r="AF357" s="3578"/>
      <c r="AG357" s="3576"/>
      <c r="AH357" s="3576"/>
      <c r="AI357" s="3580"/>
      <c r="AJ357" s="3581"/>
      <c r="AK357" s="3582"/>
      <c r="AL357" s="3582"/>
      <c r="AM357" s="3582"/>
      <c r="AN357" s="3582"/>
      <c r="AO357" s="3582"/>
      <c r="AP357" s="3582"/>
      <c r="AQ357" s="3582"/>
      <c r="AR357" s="3576"/>
      <c r="AS357" s="3576"/>
      <c r="AT357" s="3576"/>
      <c r="AU357" s="3576"/>
      <c r="AV357" s="3563"/>
    </row>
    <row r="358" s="3565" customFormat="1" spans="1:48">
      <c r="A358" s="3575"/>
      <c r="B358" s="3576"/>
      <c r="C358" s="3576"/>
      <c r="D358" s="3563"/>
      <c r="E358" s="3563"/>
      <c r="F358" s="3576"/>
      <c r="G358" s="3576"/>
      <c r="H358" s="3563"/>
      <c r="I358" s="3563"/>
      <c r="J358" s="3563"/>
      <c r="K358" s="3563"/>
      <c r="L358" s="3563"/>
      <c r="M358" s="3563"/>
      <c r="N358" s="3577"/>
      <c r="O358" s="3563"/>
      <c r="P358" s="3576"/>
      <c r="Q358" s="3578"/>
      <c r="R358" s="3563"/>
      <c r="S358" s="3563"/>
      <c r="T358" s="3579"/>
      <c r="U358" s="3563"/>
      <c r="V358" s="3563"/>
      <c r="W358" s="3578"/>
      <c r="X358" s="3578"/>
      <c r="Y358" s="3578"/>
      <c r="Z358" s="3578"/>
      <c r="AA358" s="3578"/>
      <c r="AB358" s="3563"/>
      <c r="AC358" s="3578"/>
      <c r="AD358" s="3578"/>
      <c r="AE358" s="3578"/>
      <c r="AF358" s="3578"/>
      <c r="AG358" s="3576"/>
      <c r="AH358" s="3576"/>
      <c r="AI358" s="3580"/>
      <c r="AJ358" s="3581"/>
      <c r="AK358" s="3582"/>
      <c r="AL358" s="3582"/>
      <c r="AM358" s="3582"/>
      <c r="AN358" s="3582"/>
      <c r="AO358" s="3582"/>
      <c r="AP358" s="3582"/>
      <c r="AQ358" s="3582"/>
      <c r="AR358" s="3576"/>
      <c r="AS358" s="3576"/>
      <c r="AT358" s="3576"/>
      <c r="AU358" s="3576"/>
      <c r="AV358" s="3563"/>
    </row>
    <row r="359" s="3565" customFormat="1" spans="1:48">
      <c r="A359" s="3575"/>
      <c r="B359" s="3576"/>
      <c r="C359" s="3576"/>
      <c r="D359" s="3563"/>
      <c r="E359" s="3563"/>
      <c r="F359" s="3576"/>
      <c r="G359" s="3576"/>
      <c r="H359" s="3563"/>
      <c r="I359" s="3563"/>
      <c r="J359" s="3563"/>
      <c r="K359" s="3563"/>
      <c r="L359" s="3563"/>
      <c r="M359" s="3563"/>
      <c r="N359" s="3577"/>
      <c r="O359" s="3563"/>
      <c r="P359" s="3576"/>
      <c r="Q359" s="3578"/>
      <c r="R359" s="3563"/>
      <c r="S359" s="3563"/>
      <c r="T359" s="3579"/>
      <c r="U359" s="3563"/>
      <c r="V359" s="3563"/>
      <c r="W359" s="3578"/>
      <c r="X359" s="3578"/>
      <c r="Y359" s="3578"/>
      <c r="Z359" s="3578"/>
      <c r="AA359" s="3578"/>
      <c r="AB359" s="3563"/>
      <c r="AC359" s="3578"/>
      <c r="AD359" s="3578"/>
      <c r="AE359" s="3578"/>
      <c r="AF359" s="3578"/>
      <c r="AG359" s="3576"/>
      <c r="AH359" s="3576"/>
      <c r="AI359" s="3580"/>
      <c r="AJ359" s="3581"/>
      <c r="AK359" s="3582"/>
      <c r="AL359" s="3582"/>
      <c r="AM359" s="3582"/>
      <c r="AN359" s="3582"/>
      <c r="AO359" s="3582"/>
      <c r="AP359" s="3582"/>
      <c r="AQ359" s="3582"/>
      <c r="AR359" s="3576"/>
      <c r="AS359" s="3576"/>
      <c r="AT359" s="3576"/>
      <c r="AU359" s="3576"/>
      <c r="AV359" s="3563"/>
    </row>
    <row r="360" s="3565" customFormat="1" spans="1:48">
      <c r="A360" s="3575"/>
      <c r="B360" s="3576"/>
      <c r="C360" s="3576"/>
      <c r="D360" s="3563"/>
      <c r="E360" s="3563"/>
      <c r="F360" s="3576"/>
      <c r="G360" s="3576"/>
      <c r="H360" s="3563"/>
      <c r="I360" s="3563"/>
      <c r="J360" s="3563"/>
      <c r="K360" s="3563"/>
      <c r="L360" s="3563"/>
      <c r="M360" s="3563"/>
      <c r="N360" s="3577"/>
      <c r="O360" s="3563"/>
      <c r="P360" s="3576"/>
      <c r="Q360" s="3578"/>
      <c r="R360" s="3563"/>
      <c r="S360" s="3563"/>
      <c r="T360" s="3579"/>
      <c r="U360" s="3563"/>
      <c r="V360" s="3563"/>
      <c r="W360" s="3578"/>
      <c r="X360" s="3578"/>
      <c r="Y360" s="3578"/>
      <c r="Z360" s="3578"/>
      <c r="AA360" s="3578"/>
      <c r="AB360" s="3563"/>
      <c r="AC360" s="3578"/>
      <c r="AD360" s="3578"/>
      <c r="AE360" s="3578"/>
      <c r="AF360" s="3578"/>
      <c r="AG360" s="3576"/>
      <c r="AH360" s="3576"/>
      <c r="AI360" s="3580"/>
      <c r="AJ360" s="3581"/>
      <c r="AK360" s="3582"/>
      <c r="AL360" s="3582"/>
      <c r="AM360" s="3582"/>
      <c r="AN360" s="3582"/>
      <c r="AO360" s="3582"/>
      <c r="AP360" s="3582"/>
      <c r="AQ360" s="3582"/>
      <c r="AR360" s="3576"/>
      <c r="AS360" s="3576"/>
      <c r="AT360" s="3576"/>
      <c r="AU360" s="3576"/>
      <c r="AV360" s="3563"/>
    </row>
    <row r="361" s="3565" customFormat="1" spans="1:48">
      <c r="A361" s="3575"/>
      <c r="B361" s="3576"/>
      <c r="C361" s="3576"/>
      <c r="D361" s="3563"/>
      <c r="E361" s="3563"/>
      <c r="F361" s="3576"/>
      <c r="G361" s="3576"/>
      <c r="H361" s="3563"/>
      <c r="I361" s="3563"/>
      <c r="J361" s="3563"/>
      <c r="K361" s="3563"/>
      <c r="L361" s="3563"/>
      <c r="M361" s="3563"/>
      <c r="N361" s="3577"/>
      <c r="O361" s="3563"/>
      <c r="P361" s="3576"/>
      <c r="Q361" s="3578"/>
      <c r="R361" s="3563"/>
      <c r="S361" s="3563"/>
      <c r="T361" s="3579"/>
      <c r="U361" s="3563"/>
      <c r="V361" s="3563"/>
      <c r="W361" s="3578"/>
      <c r="X361" s="3578"/>
      <c r="Y361" s="3578"/>
      <c r="Z361" s="3578"/>
      <c r="AA361" s="3578"/>
      <c r="AB361" s="3563"/>
      <c r="AC361" s="3578"/>
      <c r="AD361" s="3578"/>
      <c r="AE361" s="3578"/>
      <c r="AF361" s="3578"/>
      <c r="AG361" s="3576"/>
      <c r="AH361" s="3576"/>
      <c r="AI361" s="3580"/>
      <c r="AJ361" s="3581"/>
      <c r="AK361" s="3582"/>
      <c r="AL361" s="3582"/>
      <c r="AM361" s="3582"/>
      <c r="AN361" s="3582"/>
      <c r="AO361" s="3582"/>
      <c r="AP361" s="3582"/>
      <c r="AQ361" s="3582"/>
      <c r="AR361" s="3576"/>
      <c r="AS361" s="3576"/>
      <c r="AT361" s="3576"/>
      <c r="AU361" s="3576"/>
      <c r="AV361" s="3563"/>
    </row>
    <row r="362" s="3565" customFormat="1" spans="1:48">
      <c r="A362" s="3575"/>
      <c r="B362" s="3576"/>
      <c r="C362" s="3576"/>
      <c r="D362" s="3563"/>
      <c r="E362" s="3563"/>
      <c r="F362" s="3576"/>
      <c r="G362" s="3576"/>
      <c r="H362" s="3563"/>
      <c r="I362" s="3563"/>
      <c r="J362" s="3563"/>
      <c r="K362" s="3563"/>
      <c r="L362" s="3563"/>
      <c r="M362" s="3563"/>
      <c r="N362" s="3577"/>
      <c r="O362" s="3563"/>
      <c r="P362" s="3576"/>
      <c r="Q362" s="3578"/>
      <c r="R362" s="3563"/>
      <c r="S362" s="3563"/>
      <c r="T362" s="3579"/>
      <c r="U362" s="3563"/>
      <c r="V362" s="3563"/>
      <c r="W362" s="3578"/>
      <c r="X362" s="3578"/>
      <c r="Y362" s="3578"/>
      <c r="Z362" s="3578"/>
      <c r="AA362" s="3578"/>
      <c r="AB362" s="3563"/>
      <c r="AC362" s="3578"/>
      <c r="AD362" s="3578"/>
      <c r="AE362" s="3578"/>
      <c r="AF362" s="3578"/>
      <c r="AG362" s="3576"/>
      <c r="AH362" s="3576"/>
      <c r="AI362" s="3580"/>
      <c r="AJ362" s="3581"/>
      <c r="AK362" s="3582"/>
      <c r="AL362" s="3582"/>
      <c r="AM362" s="3582"/>
      <c r="AN362" s="3582"/>
      <c r="AO362" s="3582"/>
      <c r="AP362" s="3582"/>
      <c r="AQ362" s="3582"/>
      <c r="AR362" s="3576"/>
      <c r="AS362" s="3576"/>
      <c r="AT362" s="3576"/>
      <c r="AU362" s="3576"/>
      <c r="AV362" s="3563"/>
    </row>
    <row r="363" s="3565" customFormat="1" spans="1:48">
      <c r="A363" s="3575"/>
      <c r="B363" s="3576"/>
      <c r="C363" s="3576"/>
      <c r="D363" s="3563"/>
      <c r="E363" s="3563"/>
      <c r="F363" s="3576"/>
      <c r="G363" s="3576"/>
      <c r="H363" s="3563"/>
      <c r="I363" s="3563"/>
      <c r="J363" s="3563"/>
      <c r="K363" s="3563"/>
      <c r="L363" s="3563"/>
      <c r="M363" s="3563"/>
      <c r="N363" s="3577"/>
      <c r="O363" s="3563"/>
      <c r="P363" s="3576"/>
      <c r="Q363" s="3578"/>
      <c r="R363" s="3563"/>
      <c r="S363" s="3563"/>
      <c r="T363" s="4021"/>
      <c r="U363" s="3563"/>
      <c r="V363" s="3563"/>
      <c r="W363" s="3578"/>
      <c r="X363" s="3578"/>
      <c r="Y363" s="3578"/>
      <c r="Z363" s="3578"/>
      <c r="AA363" s="3578"/>
      <c r="AB363" s="3563"/>
      <c r="AC363" s="3578"/>
      <c r="AD363" s="3578"/>
      <c r="AE363" s="3578"/>
      <c r="AF363" s="3578"/>
      <c r="AG363" s="3576"/>
      <c r="AH363" s="3576"/>
      <c r="AI363" s="3580"/>
      <c r="AJ363" s="3581"/>
      <c r="AK363" s="3582"/>
      <c r="AL363" s="3582"/>
      <c r="AM363" s="3582"/>
      <c r="AN363" s="3582"/>
      <c r="AO363" s="3582"/>
      <c r="AP363" s="3582"/>
      <c r="AQ363" s="3582"/>
      <c r="AR363" s="3576"/>
      <c r="AS363" s="3576"/>
      <c r="AT363" s="3576"/>
      <c r="AU363" s="3576"/>
      <c r="AV363" s="3563"/>
    </row>
    <row r="364" s="3565" customFormat="1" spans="1:48">
      <c r="A364" s="3575"/>
      <c r="B364" s="3576"/>
      <c r="C364" s="3576"/>
      <c r="D364" s="3563"/>
      <c r="E364" s="3563"/>
      <c r="F364" s="3576"/>
      <c r="G364" s="3576"/>
      <c r="H364" s="3563"/>
      <c r="I364" s="3563"/>
      <c r="J364" s="3563"/>
      <c r="K364" s="3563"/>
      <c r="L364" s="3563"/>
      <c r="M364" s="3563"/>
      <c r="N364" s="3577"/>
      <c r="O364" s="3563"/>
      <c r="P364" s="3576"/>
      <c r="Q364" s="3578"/>
      <c r="R364" s="3563"/>
      <c r="S364" s="3563"/>
      <c r="T364" s="4021"/>
      <c r="U364" s="3563"/>
      <c r="V364" s="3563"/>
      <c r="W364" s="3578"/>
      <c r="X364" s="3578"/>
      <c r="Y364" s="3578"/>
      <c r="Z364" s="3578"/>
      <c r="AA364" s="3578"/>
      <c r="AB364" s="3563"/>
      <c r="AC364" s="3578"/>
      <c r="AD364" s="3578"/>
      <c r="AE364" s="3578"/>
      <c r="AF364" s="3578"/>
      <c r="AG364" s="3576"/>
      <c r="AH364" s="3576"/>
      <c r="AI364" s="3580"/>
      <c r="AJ364" s="3581"/>
      <c r="AK364" s="3582"/>
      <c r="AL364" s="3582"/>
      <c r="AM364" s="3582"/>
      <c r="AN364" s="3582"/>
      <c r="AO364" s="3582"/>
      <c r="AP364" s="3582"/>
      <c r="AQ364" s="3582"/>
      <c r="AR364" s="3576"/>
      <c r="AS364" s="3576"/>
      <c r="AT364" s="3576"/>
      <c r="AU364" s="3576"/>
      <c r="AV364" s="3563"/>
    </row>
    <row r="365" s="3565" customFormat="1" spans="1:48">
      <c r="A365" s="3575"/>
      <c r="B365" s="3576"/>
      <c r="C365" s="3576"/>
      <c r="D365" s="3563"/>
      <c r="E365" s="3563"/>
      <c r="F365" s="3576"/>
      <c r="G365" s="3576"/>
      <c r="H365" s="3563"/>
      <c r="I365" s="3563"/>
      <c r="J365" s="3563"/>
      <c r="K365" s="3563"/>
      <c r="L365" s="3563"/>
      <c r="M365" s="3563"/>
      <c r="N365" s="3577"/>
      <c r="O365" s="3563"/>
      <c r="P365" s="3576"/>
      <c r="Q365" s="3578"/>
      <c r="R365" s="3563"/>
      <c r="S365" s="3563"/>
      <c r="T365" s="4022"/>
      <c r="U365" s="3563"/>
      <c r="V365" s="3563"/>
      <c r="W365" s="3578"/>
      <c r="X365" s="3578"/>
      <c r="Y365" s="3578"/>
      <c r="Z365" s="3578"/>
      <c r="AA365" s="3578"/>
      <c r="AB365" s="3563"/>
      <c r="AC365" s="3578"/>
      <c r="AD365" s="3578"/>
      <c r="AE365" s="3578"/>
      <c r="AF365" s="3578"/>
      <c r="AG365" s="3576"/>
      <c r="AH365" s="3576"/>
      <c r="AI365" s="3580"/>
      <c r="AJ365" s="3581"/>
      <c r="AK365" s="3582"/>
      <c r="AL365" s="3582"/>
      <c r="AM365" s="3582"/>
      <c r="AN365" s="3582"/>
      <c r="AO365" s="3582"/>
      <c r="AP365" s="3582"/>
      <c r="AQ365" s="3582"/>
      <c r="AR365" s="3576"/>
      <c r="AS365" s="3576"/>
      <c r="AT365" s="3576"/>
      <c r="AU365" s="3576"/>
      <c r="AV365" s="3563"/>
    </row>
    <row r="366" s="3565" customFormat="1" spans="1:48">
      <c r="A366" s="3575"/>
      <c r="B366" s="3576"/>
      <c r="C366" s="3576"/>
      <c r="D366" s="3563"/>
      <c r="E366" s="3563"/>
      <c r="F366" s="3576"/>
      <c r="G366" s="3576"/>
      <c r="H366" s="3563"/>
      <c r="I366" s="3563"/>
      <c r="J366" s="3563"/>
      <c r="K366" s="3563"/>
      <c r="L366" s="3563"/>
      <c r="M366" s="3563"/>
      <c r="N366" s="3577"/>
      <c r="O366" s="3563"/>
      <c r="P366" s="3576"/>
      <c r="Q366" s="3578"/>
      <c r="R366" s="3563"/>
      <c r="S366" s="3563"/>
      <c r="T366" s="3579"/>
      <c r="U366" s="3563"/>
      <c r="V366" s="3563"/>
      <c r="W366" s="3578"/>
      <c r="X366" s="3578"/>
      <c r="Y366" s="3578"/>
      <c r="Z366" s="3578"/>
      <c r="AA366" s="3578"/>
      <c r="AB366" s="3563"/>
      <c r="AC366" s="3578"/>
      <c r="AD366" s="3578"/>
      <c r="AE366" s="3578"/>
      <c r="AF366" s="3578"/>
      <c r="AG366" s="3576"/>
      <c r="AH366" s="3576"/>
      <c r="AI366" s="3580"/>
      <c r="AJ366" s="3581"/>
      <c r="AK366" s="3582"/>
      <c r="AL366" s="3582"/>
      <c r="AM366" s="3582"/>
      <c r="AN366" s="3582"/>
      <c r="AO366" s="3582"/>
      <c r="AP366" s="3582"/>
      <c r="AQ366" s="3582"/>
      <c r="AR366" s="3576"/>
      <c r="AS366" s="3576"/>
      <c r="AT366" s="3576"/>
      <c r="AU366" s="3576"/>
      <c r="AV366" s="3563"/>
    </row>
    <row r="367" s="3565" customFormat="1" spans="1:48">
      <c r="A367" s="3575"/>
      <c r="B367" s="3576"/>
      <c r="C367" s="3576"/>
      <c r="D367" s="3563"/>
      <c r="E367" s="3563"/>
      <c r="F367" s="3576"/>
      <c r="G367" s="3576"/>
      <c r="H367" s="3563"/>
      <c r="I367" s="3563"/>
      <c r="J367" s="3563"/>
      <c r="K367" s="3563"/>
      <c r="L367" s="3563"/>
      <c r="M367" s="3563"/>
      <c r="N367" s="3577"/>
      <c r="O367" s="3563"/>
      <c r="P367" s="3576"/>
      <c r="Q367" s="3578"/>
      <c r="R367" s="3563"/>
      <c r="S367" s="3563"/>
      <c r="T367" s="3579"/>
      <c r="U367" s="3563"/>
      <c r="V367" s="3563"/>
      <c r="W367" s="3578"/>
      <c r="X367" s="3578"/>
      <c r="Y367" s="3578"/>
      <c r="Z367" s="3578"/>
      <c r="AA367" s="3578"/>
      <c r="AB367" s="3563"/>
      <c r="AC367" s="3578"/>
      <c r="AD367" s="3578"/>
      <c r="AE367" s="3578"/>
      <c r="AF367" s="3578"/>
      <c r="AG367" s="3576"/>
      <c r="AH367" s="3576"/>
      <c r="AI367" s="3580"/>
      <c r="AJ367" s="3581"/>
      <c r="AK367" s="3582"/>
      <c r="AL367" s="3582"/>
      <c r="AM367" s="3582"/>
      <c r="AN367" s="3582"/>
      <c r="AO367" s="3582"/>
      <c r="AP367" s="3582"/>
      <c r="AQ367" s="3582"/>
      <c r="AR367" s="3576"/>
      <c r="AS367" s="3576"/>
      <c r="AT367" s="3576"/>
      <c r="AU367" s="3576"/>
      <c r="AV367" s="3563"/>
    </row>
    <row r="368" s="3565" customFormat="1" spans="1:48">
      <c r="A368" s="3575"/>
      <c r="B368" s="3576"/>
      <c r="C368" s="3576"/>
      <c r="D368" s="3563"/>
      <c r="E368" s="3563"/>
      <c r="F368" s="3576"/>
      <c r="G368" s="3576"/>
      <c r="H368" s="3563"/>
      <c r="I368" s="3563"/>
      <c r="J368" s="3563"/>
      <c r="K368" s="3563"/>
      <c r="L368" s="3563"/>
      <c r="M368" s="3563"/>
      <c r="N368" s="3577"/>
      <c r="O368" s="3563"/>
      <c r="P368" s="3576"/>
      <c r="Q368" s="3578"/>
      <c r="R368" s="3563"/>
      <c r="S368" s="3563"/>
      <c r="T368" s="3579"/>
      <c r="U368" s="3563"/>
      <c r="V368" s="3563"/>
      <c r="W368" s="3578"/>
      <c r="X368" s="3578"/>
      <c r="Y368" s="3578"/>
      <c r="Z368" s="3578"/>
      <c r="AA368" s="3578"/>
      <c r="AB368" s="3563"/>
      <c r="AC368" s="3578"/>
      <c r="AD368" s="3578"/>
      <c r="AE368" s="3578"/>
      <c r="AF368" s="3578"/>
      <c r="AG368" s="3576"/>
      <c r="AH368" s="3576"/>
      <c r="AI368" s="3580"/>
      <c r="AJ368" s="3581"/>
      <c r="AK368" s="3582"/>
      <c r="AL368" s="3582"/>
      <c r="AM368" s="3582"/>
      <c r="AN368" s="3582"/>
      <c r="AO368" s="3582"/>
      <c r="AP368" s="3582"/>
      <c r="AQ368" s="3582"/>
      <c r="AR368" s="3576"/>
      <c r="AS368" s="3576"/>
      <c r="AT368" s="3576"/>
      <c r="AU368" s="3576"/>
      <c r="AV368" s="3563"/>
    </row>
    <row r="369" s="3565" customFormat="1" spans="1:48">
      <c r="A369" s="3575"/>
      <c r="B369" s="3576"/>
      <c r="C369" s="3576"/>
      <c r="D369" s="3563"/>
      <c r="E369" s="3563"/>
      <c r="F369" s="3576"/>
      <c r="G369" s="3576"/>
      <c r="H369" s="3563"/>
      <c r="I369" s="3563"/>
      <c r="J369" s="3563"/>
      <c r="K369" s="3563"/>
      <c r="L369" s="3563"/>
      <c r="M369" s="3563"/>
      <c r="N369" s="3577"/>
      <c r="O369" s="3563"/>
      <c r="P369" s="3576"/>
      <c r="Q369" s="3578"/>
      <c r="R369" s="3563"/>
      <c r="S369" s="3563"/>
      <c r="T369" s="3579"/>
      <c r="U369" s="3563"/>
      <c r="V369" s="3563"/>
      <c r="W369" s="3578"/>
      <c r="X369" s="3578"/>
      <c r="Y369" s="3578"/>
      <c r="Z369" s="3578"/>
      <c r="AA369" s="3578"/>
      <c r="AB369" s="3563"/>
      <c r="AC369" s="3578"/>
      <c r="AD369" s="3578"/>
      <c r="AE369" s="3578"/>
      <c r="AF369" s="3578"/>
      <c r="AG369" s="3576"/>
      <c r="AH369" s="3576"/>
      <c r="AI369" s="3580"/>
      <c r="AJ369" s="3581"/>
      <c r="AK369" s="3582"/>
      <c r="AL369" s="3582"/>
      <c r="AM369" s="3582"/>
      <c r="AN369" s="3582"/>
      <c r="AO369" s="3582"/>
      <c r="AP369" s="3582"/>
      <c r="AQ369" s="3582"/>
      <c r="AR369" s="3576"/>
      <c r="AS369" s="3576"/>
      <c r="AT369" s="3576"/>
      <c r="AU369" s="3576"/>
      <c r="AV369" s="3563"/>
    </row>
    <row r="370" s="3565" customFormat="1" spans="1:48">
      <c r="A370" s="3575"/>
      <c r="B370" s="3576"/>
      <c r="C370" s="3576"/>
      <c r="D370" s="3563"/>
      <c r="E370" s="3563"/>
      <c r="F370" s="3576"/>
      <c r="G370" s="3576"/>
      <c r="H370" s="3563"/>
      <c r="I370" s="3563"/>
      <c r="J370" s="3563"/>
      <c r="K370" s="3563"/>
      <c r="L370" s="3563"/>
      <c r="M370" s="3563"/>
      <c r="N370" s="3577"/>
      <c r="O370" s="3563"/>
      <c r="P370" s="3576"/>
      <c r="Q370" s="3578"/>
      <c r="R370" s="3563"/>
      <c r="S370" s="3563"/>
      <c r="T370" s="4014"/>
      <c r="U370" s="3563"/>
      <c r="V370" s="3563"/>
      <c r="W370" s="3578"/>
      <c r="X370" s="3578"/>
      <c r="Y370" s="3578"/>
      <c r="Z370" s="3578"/>
      <c r="AA370" s="3578"/>
      <c r="AB370" s="3563"/>
      <c r="AC370" s="3578"/>
      <c r="AD370" s="3578"/>
      <c r="AE370" s="3578"/>
      <c r="AF370" s="3578"/>
      <c r="AG370" s="3576"/>
      <c r="AH370" s="3576"/>
      <c r="AI370" s="3580"/>
      <c r="AJ370" s="3581"/>
      <c r="AK370" s="3582"/>
      <c r="AL370" s="3582"/>
      <c r="AM370" s="3582"/>
      <c r="AN370" s="3582"/>
      <c r="AO370" s="3582"/>
      <c r="AP370" s="3582"/>
      <c r="AQ370" s="3582"/>
      <c r="AR370" s="3576"/>
      <c r="AS370" s="3576"/>
      <c r="AT370" s="3576"/>
      <c r="AU370" s="3576"/>
      <c r="AV370" s="3563"/>
    </row>
    <row r="371" s="3565" customFormat="1" spans="1:48">
      <c r="A371" s="3575"/>
      <c r="B371" s="3576"/>
      <c r="C371" s="3576"/>
      <c r="D371" s="3563"/>
      <c r="E371" s="3563"/>
      <c r="F371" s="3576"/>
      <c r="G371" s="3576"/>
      <c r="H371" s="3563"/>
      <c r="I371" s="3563"/>
      <c r="J371" s="3563"/>
      <c r="K371" s="3563"/>
      <c r="L371" s="3563"/>
      <c r="M371" s="3563"/>
      <c r="N371" s="3577"/>
      <c r="O371" s="3563"/>
      <c r="P371" s="3576"/>
      <c r="Q371" s="3578"/>
      <c r="R371" s="3563"/>
      <c r="S371" s="3563"/>
      <c r="T371" s="4014"/>
      <c r="U371" s="3563"/>
      <c r="V371" s="3563"/>
      <c r="W371" s="3578"/>
      <c r="X371" s="3578"/>
      <c r="Y371" s="3578"/>
      <c r="Z371" s="3578"/>
      <c r="AA371" s="3578"/>
      <c r="AB371" s="3563"/>
      <c r="AC371" s="3578"/>
      <c r="AD371" s="3578"/>
      <c r="AE371" s="3578"/>
      <c r="AF371" s="3578"/>
      <c r="AG371" s="3576"/>
      <c r="AH371" s="3576"/>
      <c r="AI371" s="3580"/>
      <c r="AJ371" s="3581"/>
      <c r="AK371" s="3582"/>
      <c r="AL371" s="3582"/>
      <c r="AM371" s="3582"/>
      <c r="AN371" s="3582"/>
      <c r="AO371" s="3582"/>
      <c r="AP371" s="3582"/>
      <c r="AQ371" s="3582"/>
      <c r="AR371" s="3576"/>
      <c r="AS371" s="3576"/>
      <c r="AT371" s="3576"/>
      <c r="AU371" s="3576"/>
      <c r="AV371" s="3563"/>
    </row>
    <row r="372" s="3565" customFormat="1" spans="1:48">
      <c r="A372" s="3575"/>
      <c r="B372" s="3576"/>
      <c r="C372" s="3576"/>
      <c r="D372" s="3563"/>
      <c r="E372" s="3563"/>
      <c r="F372" s="3576"/>
      <c r="G372" s="3576"/>
      <c r="H372" s="3563"/>
      <c r="I372" s="3563"/>
      <c r="J372" s="3563"/>
      <c r="K372" s="3563"/>
      <c r="L372" s="3563"/>
      <c r="M372" s="3563"/>
      <c r="N372" s="3577"/>
      <c r="O372" s="3563"/>
      <c r="P372" s="3576"/>
      <c r="Q372" s="3578"/>
      <c r="R372" s="3563"/>
      <c r="S372" s="3563"/>
      <c r="T372" s="4014"/>
      <c r="U372" s="3563"/>
      <c r="V372" s="3563"/>
      <c r="W372" s="3578"/>
      <c r="X372" s="3578"/>
      <c r="Y372" s="3578"/>
      <c r="Z372" s="3578"/>
      <c r="AA372" s="3578"/>
      <c r="AB372" s="3563"/>
      <c r="AC372" s="3578"/>
      <c r="AD372" s="3578"/>
      <c r="AE372" s="3578"/>
      <c r="AF372" s="3578"/>
      <c r="AG372" s="3576"/>
      <c r="AH372" s="3576"/>
      <c r="AI372" s="3580"/>
      <c r="AJ372" s="3581"/>
      <c r="AK372" s="3582"/>
      <c r="AL372" s="3582"/>
      <c r="AM372" s="3582"/>
      <c r="AN372" s="3582"/>
      <c r="AO372" s="3582"/>
      <c r="AP372" s="3582"/>
      <c r="AQ372" s="3582"/>
      <c r="AR372" s="3576"/>
      <c r="AS372" s="3576"/>
      <c r="AT372" s="3576"/>
      <c r="AU372" s="3576"/>
      <c r="AV372" s="3563"/>
    </row>
    <row r="373" s="3565" customFormat="1" spans="1:48">
      <c r="A373" s="3575"/>
      <c r="B373" s="3576"/>
      <c r="C373" s="3576"/>
      <c r="D373" s="3563"/>
      <c r="E373" s="3563"/>
      <c r="F373" s="3576"/>
      <c r="G373" s="3576"/>
      <c r="H373" s="3563"/>
      <c r="I373" s="3563"/>
      <c r="J373" s="3563"/>
      <c r="K373" s="3563"/>
      <c r="L373" s="3563"/>
      <c r="M373" s="3563"/>
      <c r="N373" s="3577"/>
      <c r="O373" s="3563"/>
      <c r="P373" s="3576"/>
      <c r="Q373" s="3578"/>
      <c r="R373" s="3563"/>
      <c r="S373" s="3563"/>
      <c r="T373" s="4014"/>
      <c r="U373" s="3563"/>
      <c r="V373" s="3563"/>
      <c r="W373" s="3578"/>
      <c r="X373" s="3578"/>
      <c r="Y373" s="3578"/>
      <c r="Z373" s="3578"/>
      <c r="AA373" s="3578"/>
      <c r="AB373" s="3563"/>
      <c r="AC373" s="3578"/>
      <c r="AD373" s="3578"/>
      <c r="AE373" s="3578"/>
      <c r="AF373" s="3578"/>
      <c r="AG373" s="3576"/>
      <c r="AH373" s="3576"/>
      <c r="AI373" s="3580"/>
      <c r="AJ373" s="3581"/>
      <c r="AK373" s="3582"/>
      <c r="AL373" s="3582"/>
      <c r="AM373" s="3582"/>
      <c r="AN373" s="3582"/>
      <c r="AO373" s="3582"/>
      <c r="AP373" s="3582"/>
      <c r="AQ373" s="3582"/>
      <c r="AR373" s="3576"/>
      <c r="AS373" s="3576"/>
      <c r="AT373" s="3576"/>
      <c r="AU373" s="3576"/>
      <c r="AV373" s="3563"/>
    </row>
    <row r="374" s="3565" customFormat="1" spans="1:48">
      <c r="A374" s="3575"/>
      <c r="B374" s="3576"/>
      <c r="C374" s="3576"/>
      <c r="D374" s="3563"/>
      <c r="E374" s="3563"/>
      <c r="F374" s="3576"/>
      <c r="G374" s="3576"/>
      <c r="H374" s="3563"/>
      <c r="I374" s="3563"/>
      <c r="J374" s="3563"/>
      <c r="K374" s="3563"/>
      <c r="L374" s="3563"/>
      <c r="M374" s="3563"/>
      <c r="N374" s="3577"/>
      <c r="O374" s="3563"/>
      <c r="P374" s="3576"/>
      <c r="Q374" s="3578"/>
      <c r="R374" s="3563"/>
      <c r="S374" s="3563"/>
      <c r="T374" s="4014"/>
      <c r="U374" s="3563"/>
      <c r="V374" s="3563"/>
      <c r="W374" s="3578"/>
      <c r="X374" s="3578"/>
      <c r="Y374" s="3578"/>
      <c r="Z374" s="3578"/>
      <c r="AA374" s="3578"/>
      <c r="AB374" s="3563"/>
      <c r="AC374" s="3578"/>
      <c r="AD374" s="3578"/>
      <c r="AE374" s="3578"/>
      <c r="AF374" s="3578"/>
      <c r="AG374" s="3576"/>
      <c r="AH374" s="3576"/>
      <c r="AI374" s="3580"/>
      <c r="AJ374" s="3581"/>
      <c r="AK374" s="3582"/>
      <c r="AL374" s="3582"/>
      <c r="AM374" s="3582"/>
      <c r="AN374" s="3582"/>
      <c r="AO374" s="3582"/>
      <c r="AP374" s="3582"/>
      <c r="AQ374" s="3582"/>
      <c r="AR374" s="3576"/>
      <c r="AS374" s="3576"/>
      <c r="AT374" s="3576"/>
      <c r="AU374" s="3576"/>
      <c r="AV374" s="3563"/>
    </row>
    <row r="375" s="3565" customFormat="1" spans="1:48">
      <c r="A375" s="3575"/>
      <c r="B375" s="3576"/>
      <c r="C375" s="3576"/>
      <c r="D375" s="3563"/>
      <c r="E375" s="3563"/>
      <c r="F375" s="3576"/>
      <c r="G375" s="3576"/>
      <c r="H375" s="3563"/>
      <c r="I375" s="3563"/>
      <c r="J375" s="3563"/>
      <c r="K375" s="3563"/>
      <c r="L375" s="3563"/>
      <c r="M375" s="3563"/>
      <c r="N375" s="3577"/>
      <c r="O375" s="3563"/>
      <c r="P375" s="3576"/>
      <c r="Q375" s="3578"/>
      <c r="R375" s="3563"/>
      <c r="S375" s="3563"/>
      <c r="T375" s="4014"/>
      <c r="U375" s="3563"/>
      <c r="V375" s="3563"/>
      <c r="W375" s="3578"/>
      <c r="X375" s="3578"/>
      <c r="Y375" s="3578"/>
      <c r="Z375" s="3578"/>
      <c r="AA375" s="3578"/>
      <c r="AB375" s="3563"/>
      <c r="AC375" s="3578"/>
      <c r="AD375" s="3578"/>
      <c r="AE375" s="3578"/>
      <c r="AF375" s="3578"/>
      <c r="AG375" s="3576"/>
      <c r="AH375" s="3576"/>
      <c r="AI375" s="3580"/>
      <c r="AJ375" s="3581"/>
      <c r="AK375" s="3582"/>
      <c r="AL375" s="3582"/>
      <c r="AM375" s="3582"/>
      <c r="AN375" s="3582"/>
      <c r="AO375" s="3582"/>
      <c r="AP375" s="3582"/>
      <c r="AQ375" s="3582"/>
      <c r="AR375" s="3576"/>
      <c r="AS375" s="3576"/>
      <c r="AT375" s="3576"/>
      <c r="AU375" s="3576"/>
      <c r="AV375" s="3563"/>
    </row>
    <row r="376" s="3565" customFormat="1" spans="1:48">
      <c r="A376" s="3575"/>
      <c r="B376" s="3576"/>
      <c r="C376" s="3576"/>
      <c r="D376" s="3563"/>
      <c r="E376" s="3563"/>
      <c r="F376" s="3576"/>
      <c r="G376" s="3576"/>
      <c r="H376" s="3563"/>
      <c r="I376" s="3563"/>
      <c r="J376" s="3563"/>
      <c r="K376" s="3563"/>
      <c r="L376" s="3563"/>
      <c r="M376" s="3563"/>
      <c r="N376" s="3577"/>
      <c r="O376" s="3563"/>
      <c r="P376" s="3576"/>
      <c r="Q376" s="3578"/>
      <c r="R376" s="3563"/>
      <c r="S376" s="3563"/>
      <c r="T376" s="4014"/>
      <c r="U376" s="3563"/>
      <c r="V376" s="3563"/>
      <c r="W376" s="3578"/>
      <c r="X376" s="3578"/>
      <c r="Y376" s="3578"/>
      <c r="Z376" s="3578"/>
      <c r="AA376" s="3578"/>
      <c r="AB376" s="3563"/>
      <c r="AC376" s="3578"/>
      <c r="AD376" s="3578"/>
      <c r="AE376" s="3578"/>
      <c r="AF376" s="3578"/>
      <c r="AG376" s="3576"/>
      <c r="AH376" s="3576"/>
      <c r="AI376" s="3580"/>
      <c r="AJ376" s="3581"/>
      <c r="AK376" s="3582"/>
      <c r="AL376" s="3582"/>
      <c r="AM376" s="3582"/>
      <c r="AN376" s="3582"/>
      <c r="AO376" s="3582"/>
      <c r="AP376" s="3582"/>
      <c r="AQ376" s="3582"/>
      <c r="AR376" s="3576"/>
      <c r="AS376" s="3576"/>
      <c r="AT376" s="3576"/>
      <c r="AU376" s="3576"/>
      <c r="AV376" s="3563"/>
    </row>
    <row r="377" s="3565" customFormat="1" spans="1:48">
      <c r="A377" s="3575"/>
      <c r="B377" s="3576"/>
      <c r="C377" s="3576"/>
      <c r="D377" s="3563"/>
      <c r="E377" s="3563"/>
      <c r="F377" s="3576"/>
      <c r="G377" s="3576"/>
      <c r="H377" s="3563"/>
      <c r="I377" s="3563"/>
      <c r="J377" s="3563"/>
      <c r="K377" s="3563"/>
      <c r="L377" s="3563"/>
      <c r="M377" s="3563"/>
      <c r="N377" s="3577"/>
      <c r="O377" s="3563"/>
      <c r="P377" s="3576"/>
      <c r="Q377" s="3578"/>
      <c r="R377" s="3563"/>
      <c r="S377" s="3563"/>
      <c r="T377" s="4014"/>
      <c r="U377" s="3563"/>
      <c r="V377" s="3563"/>
      <c r="W377" s="3578"/>
      <c r="X377" s="3578"/>
      <c r="Y377" s="3578"/>
      <c r="Z377" s="3578"/>
      <c r="AA377" s="3578"/>
      <c r="AB377" s="3563"/>
      <c r="AC377" s="3578"/>
      <c r="AD377" s="3578"/>
      <c r="AE377" s="3578"/>
      <c r="AF377" s="3578"/>
      <c r="AG377" s="3576"/>
      <c r="AH377" s="3576"/>
      <c r="AI377" s="3580"/>
      <c r="AJ377" s="3581"/>
      <c r="AK377" s="3582"/>
      <c r="AL377" s="3582"/>
      <c r="AM377" s="3582"/>
      <c r="AN377" s="3582"/>
      <c r="AO377" s="3582"/>
      <c r="AP377" s="3582"/>
      <c r="AQ377" s="3582"/>
      <c r="AR377" s="3576"/>
      <c r="AS377" s="3576"/>
      <c r="AT377" s="3576"/>
      <c r="AU377" s="3576"/>
      <c r="AV377" s="3563"/>
    </row>
    <row r="378" s="3565" customFormat="1" spans="1:48">
      <c r="A378" s="3575"/>
      <c r="B378" s="3576"/>
      <c r="C378" s="3576"/>
      <c r="D378" s="3563"/>
      <c r="E378" s="3563"/>
      <c r="F378" s="3576"/>
      <c r="G378" s="3576"/>
      <c r="H378" s="3563"/>
      <c r="I378" s="3563"/>
      <c r="J378" s="3563"/>
      <c r="K378" s="3563"/>
      <c r="L378" s="3563"/>
      <c r="M378" s="3563"/>
      <c r="N378" s="3577"/>
      <c r="O378" s="3563"/>
      <c r="P378" s="3576"/>
      <c r="Q378" s="3578"/>
      <c r="R378" s="3563"/>
      <c r="S378" s="3563"/>
      <c r="T378" s="4014"/>
      <c r="U378" s="3563"/>
      <c r="V378" s="3563"/>
      <c r="W378" s="3578"/>
      <c r="X378" s="3578"/>
      <c r="Y378" s="3578"/>
      <c r="Z378" s="3578"/>
      <c r="AA378" s="3578"/>
      <c r="AB378" s="3563"/>
      <c r="AC378" s="3578"/>
      <c r="AD378" s="3578"/>
      <c r="AE378" s="3578"/>
      <c r="AF378" s="3578"/>
      <c r="AG378" s="3576"/>
      <c r="AH378" s="3576"/>
      <c r="AI378" s="3580"/>
      <c r="AJ378" s="3581"/>
      <c r="AK378" s="3582"/>
      <c r="AL378" s="3582"/>
      <c r="AM378" s="3582"/>
      <c r="AN378" s="3582"/>
      <c r="AO378" s="3582"/>
      <c r="AP378" s="3582"/>
      <c r="AQ378" s="3582"/>
      <c r="AR378" s="3576"/>
      <c r="AS378" s="3576"/>
      <c r="AT378" s="3576"/>
      <c r="AU378" s="3576"/>
      <c r="AV378" s="3563"/>
    </row>
    <row r="379" s="3565" customFormat="1" spans="1:48">
      <c r="A379" s="3575"/>
      <c r="B379" s="3576"/>
      <c r="C379" s="3576"/>
      <c r="D379" s="3563"/>
      <c r="E379" s="3563"/>
      <c r="F379" s="3576"/>
      <c r="G379" s="3576"/>
      <c r="H379" s="3563"/>
      <c r="I379" s="3563"/>
      <c r="J379" s="3563"/>
      <c r="K379" s="3563"/>
      <c r="L379" s="3563"/>
      <c r="M379" s="3563"/>
      <c r="N379" s="3577"/>
      <c r="O379" s="3563"/>
      <c r="P379" s="3576"/>
      <c r="Q379" s="3578"/>
      <c r="R379" s="3563"/>
      <c r="S379" s="3563"/>
      <c r="T379" s="4014"/>
      <c r="U379" s="3563"/>
      <c r="V379" s="3563"/>
      <c r="W379" s="3578"/>
      <c r="X379" s="3578"/>
      <c r="Y379" s="3578"/>
      <c r="Z379" s="3578"/>
      <c r="AA379" s="3578"/>
      <c r="AB379" s="3563"/>
      <c r="AC379" s="3578"/>
      <c r="AD379" s="3578"/>
      <c r="AE379" s="3578"/>
      <c r="AF379" s="3578"/>
      <c r="AG379" s="3576"/>
      <c r="AH379" s="3576"/>
      <c r="AI379" s="3580"/>
      <c r="AJ379" s="3581"/>
      <c r="AK379" s="3582"/>
      <c r="AL379" s="3582"/>
      <c r="AM379" s="3582"/>
      <c r="AN379" s="3582"/>
      <c r="AO379" s="3582"/>
      <c r="AP379" s="3582"/>
      <c r="AQ379" s="3582"/>
      <c r="AR379" s="3576"/>
      <c r="AS379" s="3576"/>
      <c r="AT379" s="3576"/>
      <c r="AU379" s="3576"/>
      <c r="AV379" s="3563"/>
    </row>
    <row r="380" s="3565" customFormat="1" spans="1:48">
      <c r="A380" s="3575"/>
      <c r="B380" s="3576"/>
      <c r="C380" s="3576"/>
      <c r="D380" s="3563"/>
      <c r="E380" s="3563"/>
      <c r="F380" s="3576"/>
      <c r="G380" s="3576"/>
      <c r="H380" s="3563"/>
      <c r="I380" s="3563"/>
      <c r="J380" s="3563"/>
      <c r="K380" s="3563"/>
      <c r="L380" s="3563"/>
      <c r="M380" s="3563"/>
      <c r="N380" s="3577"/>
      <c r="O380" s="3563"/>
      <c r="P380" s="3576"/>
      <c r="Q380" s="3578"/>
      <c r="R380" s="3563"/>
      <c r="S380" s="3563"/>
      <c r="T380" s="4014"/>
      <c r="U380" s="3563"/>
      <c r="V380" s="3563"/>
      <c r="W380" s="3578"/>
      <c r="X380" s="3578"/>
      <c r="Y380" s="3578"/>
      <c r="Z380" s="3578"/>
      <c r="AA380" s="3578"/>
      <c r="AB380" s="3563"/>
      <c r="AC380" s="3578"/>
      <c r="AD380" s="3578"/>
      <c r="AE380" s="3578"/>
      <c r="AF380" s="3578"/>
      <c r="AG380" s="3576"/>
      <c r="AH380" s="3576"/>
      <c r="AI380" s="3580"/>
      <c r="AJ380" s="3581"/>
      <c r="AK380" s="3582"/>
      <c r="AL380" s="3582"/>
      <c r="AM380" s="3582"/>
      <c r="AN380" s="3582"/>
      <c r="AO380" s="3582"/>
      <c r="AP380" s="3582"/>
      <c r="AQ380" s="3582"/>
      <c r="AR380" s="3576"/>
      <c r="AS380" s="3576"/>
      <c r="AT380" s="3576"/>
      <c r="AU380" s="3576"/>
      <c r="AV380" s="3563"/>
    </row>
    <row r="381" s="3565" customFormat="1" spans="1:48">
      <c r="A381" s="3575"/>
      <c r="B381" s="3576"/>
      <c r="C381" s="3576"/>
      <c r="D381" s="3563"/>
      <c r="E381" s="3563"/>
      <c r="F381" s="3576"/>
      <c r="G381" s="3576"/>
      <c r="H381" s="3563"/>
      <c r="I381" s="3563"/>
      <c r="J381" s="3563"/>
      <c r="K381" s="3563"/>
      <c r="L381" s="3563"/>
      <c r="M381" s="3563"/>
      <c r="N381" s="3577"/>
      <c r="O381" s="3563"/>
      <c r="P381" s="3576"/>
      <c r="Q381" s="3578"/>
      <c r="R381" s="3563"/>
      <c r="S381" s="3563"/>
      <c r="T381" s="4014"/>
      <c r="U381" s="3563"/>
      <c r="V381" s="3563"/>
      <c r="W381" s="3578"/>
      <c r="X381" s="3578"/>
      <c r="Y381" s="3578"/>
      <c r="Z381" s="3578"/>
      <c r="AA381" s="3578"/>
      <c r="AB381" s="3563"/>
      <c r="AC381" s="3578"/>
      <c r="AD381" s="3578"/>
      <c r="AE381" s="3578"/>
      <c r="AF381" s="3578"/>
      <c r="AG381" s="3576"/>
      <c r="AH381" s="3576"/>
      <c r="AI381" s="3580"/>
      <c r="AJ381" s="3581"/>
      <c r="AK381" s="3582"/>
      <c r="AL381" s="3582"/>
      <c r="AM381" s="3582"/>
      <c r="AN381" s="3582"/>
      <c r="AO381" s="3582"/>
      <c r="AP381" s="3582"/>
      <c r="AQ381" s="3582"/>
      <c r="AR381" s="3576"/>
      <c r="AS381" s="3576"/>
      <c r="AT381" s="3576"/>
      <c r="AU381" s="3576"/>
      <c r="AV381" s="3563"/>
    </row>
    <row r="382" s="3565" customFormat="1" spans="1:48">
      <c r="A382" s="3575"/>
      <c r="B382" s="3576"/>
      <c r="C382" s="3576"/>
      <c r="D382" s="3563"/>
      <c r="E382" s="3563"/>
      <c r="F382" s="3576"/>
      <c r="G382" s="3576"/>
      <c r="H382" s="3563"/>
      <c r="I382" s="3563"/>
      <c r="J382" s="3563"/>
      <c r="K382" s="3563"/>
      <c r="L382" s="3563"/>
      <c r="M382" s="3563"/>
      <c r="N382" s="3577"/>
      <c r="O382" s="3563"/>
      <c r="P382" s="3576"/>
      <c r="Q382" s="3578"/>
      <c r="R382" s="3563"/>
      <c r="S382" s="3563"/>
      <c r="T382" s="4014"/>
      <c r="U382" s="3563"/>
      <c r="V382" s="3563"/>
      <c r="W382" s="3578"/>
      <c r="X382" s="3578"/>
      <c r="Y382" s="3578"/>
      <c r="Z382" s="3578"/>
      <c r="AA382" s="3578"/>
      <c r="AB382" s="3563"/>
      <c r="AC382" s="3578"/>
      <c r="AD382" s="3578"/>
      <c r="AE382" s="3578"/>
      <c r="AF382" s="3578"/>
      <c r="AG382" s="3576"/>
      <c r="AH382" s="3576"/>
      <c r="AI382" s="3580"/>
      <c r="AJ382" s="3581"/>
      <c r="AK382" s="3582"/>
      <c r="AL382" s="3582"/>
      <c r="AM382" s="3582"/>
      <c r="AN382" s="3582"/>
      <c r="AO382" s="3582"/>
      <c r="AP382" s="3582"/>
      <c r="AQ382" s="3582"/>
      <c r="AR382" s="3576"/>
      <c r="AS382" s="3576"/>
      <c r="AT382" s="3576"/>
      <c r="AU382" s="3576"/>
      <c r="AV382" s="3563"/>
    </row>
    <row r="383" s="3565" customFormat="1" spans="1:48">
      <c r="A383" s="3575"/>
      <c r="B383" s="3576"/>
      <c r="C383" s="3576"/>
      <c r="D383" s="3563"/>
      <c r="E383" s="3563"/>
      <c r="F383" s="3576"/>
      <c r="G383" s="3576"/>
      <c r="H383" s="3563"/>
      <c r="I383" s="3563"/>
      <c r="J383" s="3563"/>
      <c r="K383" s="3563"/>
      <c r="L383" s="3563"/>
      <c r="M383" s="3563"/>
      <c r="N383" s="3577"/>
      <c r="O383" s="3563"/>
      <c r="P383" s="3576"/>
      <c r="Q383" s="3578"/>
      <c r="R383" s="3563"/>
      <c r="S383" s="3563"/>
      <c r="T383" s="4014"/>
      <c r="U383" s="3563"/>
      <c r="V383" s="3563"/>
      <c r="W383" s="3578"/>
      <c r="X383" s="3578"/>
      <c r="Y383" s="3578"/>
      <c r="Z383" s="3578"/>
      <c r="AA383" s="3578"/>
      <c r="AB383" s="3563"/>
      <c r="AC383" s="3578"/>
      <c r="AD383" s="3578"/>
      <c r="AE383" s="3578"/>
      <c r="AF383" s="3578"/>
      <c r="AG383" s="3576"/>
      <c r="AH383" s="3576"/>
      <c r="AI383" s="3580"/>
      <c r="AJ383" s="3581"/>
      <c r="AK383" s="3582"/>
      <c r="AL383" s="3582"/>
      <c r="AM383" s="3582"/>
      <c r="AN383" s="3582"/>
      <c r="AO383" s="3582"/>
      <c r="AP383" s="3582"/>
      <c r="AQ383" s="3582"/>
      <c r="AR383" s="3576"/>
      <c r="AS383" s="3576"/>
      <c r="AT383" s="3576"/>
      <c r="AU383" s="3576"/>
      <c r="AV383" s="3563"/>
    </row>
    <row r="384" s="3565" customFormat="1" spans="1:48">
      <c r="A384" s="3575"/>
      <c r="B384" s="3576"/>
      <c r="C384" s="3576"/>
      <c r="D384" s="3563"/>
      <c r="E384" s="3563"/>
      <c r="F384" s="3576"/>
      <c r="G384" s="3576"/>
      <c r="H384" s="3563"/>
      <c r="I384" s="3563"/>
      <c r="J384" s="3563"/>
      <c r="K384" s="3563"/>
      <c r="L384" s="3563"/>
      <c r="M384" s="3563"/>
      <c r="N384" s="3577"/>
      <c r="O384" s="3563"/>
      <c r="P384" s="3576"/>
      <c r="Q384" s="3578"/>
      <c r="R384" s="3563"/>
      <c r="S384" s="3563"/>
      <c r="T384" s="4014"/>
      <c r="U384" s="3563"/>
      <c r="V384" s="3563"/>
      <c r="W384" s="3578"/>
      <c r="X384" s="3578"/>
      <c r="Y384" s="3578"/>
      <c r="Z384" s="3578"/>
      <c r="AA384" s="3578"/>
      <c r="AB384" s="3563"/>
      <c r="AC384" s="3578"/>
      <c r="AD384" s="3578"/>
      <c r="AE384" s="3578"/>
      <c r="AF384" s="3578"/>
      <c r="AG384" s="3576"/>
      <c r="AH384" s="3576"/>
      <c r="AI384" s="3580"/>
      <c r="AJ384" s="3581"/>
      <c r="AK384" s="3582"/>
      <c r="AL384" s="3582"/>
      <c r="AM384" s="3582"/>
      <c r="AN384" s="3582"/>
      <c r="AO384" s="3582"/>
      <c r="AP384" s="3582"/>
      <c r="AQ384" s="3582"/>
      <c r="AR384" s="3576"/>
      <c r="AS384" s="3576"/>
      <c r="AT384" s="3576"/>
      <c r="AU384" s="3576"/>
      <c r="AV384" s="3563"/>
    </row>
    <row r="385" s="3565" customFormat="1" spans="1:48">
      <c r="A385" s="3575"/>
      <c r="B385" s="3576"/>
      <c r="C385" s="3576"/>
      <c r="D385" s="3563"/>
      <c r="E385" s="3563"/>
      <c r="F385" s="3576"/>
      <c r="G385" s="3576"/>
      <c r="H385" s="3563"/>
      <c r="I385" s="3563"/>
      <c r="J385" s="3563"/>
      <c r="K385" s="3563"/>
      <c r="L385" s="3563"/>
      <c r="M385" s="3563"/>
      <c r="N385" s="3577"/>
      <c r="O385" s="3563"/>
      <c r="P385" s="3576"/>
      <c r="Q385" s="3578"/>
      <c r="R385" s="3563"/>
      <c r="S385" s="3563"/>
      <c r="T385" s="4014"/>
      <c r="U385" s="3563"/>
      <c r="V385" s="3563"/>
      <c r="W385" s="3578"/>
      <c r="X385" s="3578"/>
      <c r="Y385" s="3578"/>
      <c r="Z385" s="3578"/>
      <c r="AA385" s="3578"/>
      <c r="AB385" s="3563"/>
      <c r="AC385" s="3578"/>
      <c r="AD385" s="3578"/>
      <c r="AE385" s="3578"/>
      <c r="AF385" s="3578"/>
      <c r="AG385" s="3576"/>
      <c r="AH385" s="3576"/>
      <c r="AI385" s="3580"/>
      <c r="AJ385" s="3581"/>
      <c r="AK385" s="3582"/>
      <c r="AL385" s="3582"/>
      <c r="AM385" s="3582"/>
      <c r="AN385" s="3582"/>
      <c r="AO385" s="3582"/>
      <c r="AP385" s="3582"/>
      <c r="AQ385" s="3582"/>
      <c r="AR385" s="3576"/>
      <c r="AS385" s="3576"/>
      <c r="AT385" s="3576"/>
      <c r="AU385" s="3576"/>
      <c r="AV385" s="3563"/>
    </row>
    <row r="386" s="3565" customFormat="1" spans="1:48">
      <c r="A386" s="3575"/>
      <c r="B386" s="3576"/>
      <c r="C386" s="3576"/>
      <c r="D386" s="3563"/>
      <c r="E386" s="3563"/>
      <c r="F386" s="3576"/>
      <c r="G386" s="3576"/>
      <c r="H386" s="3563"/>
      <c r="I386" s="3563"/>
      <c r="J386" s="3563"/>
      <c r="K386" s="3563"/>
      <c r="L386" s="3563"/>
      <c r="M386" s="3563"/>
      <c r="N386" s="3577"/>
      <c r="O386" s="3563"/>
      <c r="P386" s="3576"/>
      <c r="Q386" s="3578"/>
      <c r="R386" s="3563"/>
      <c r="S386" s="3563"/>
      <c r="T386" s="4014"/>
      <c r="U386" s="3563"/>
      <c r="V386" s="3563"/>
      <c r="W386" s="3578"/>
      <c r="X386" s="3578"/>
      <c r="Y386" s="3578"/>
      <c r="Z386" s="3578"/>
      <c r="AA386" s="3578"/>
      <c r="AB386" s="3563"/>
      <c r="AC386" s="3578"/>
      <c r="AD386" s="3578"/>
      <c r="AE386" s="3578"/>
      <c r="AF386" s="3578"/>
      <c r="AG386" s="3576"/>
      <c r="AH386" s="3576"/>
      <c r="AI386" s="3580"/>
      <c r="AJ386" s="3581"/>
      <c r="AK386" s="3582"/>
      <c r="AL386" s="3582"/>
      <c r="AM386" s="3582"/>
      <c r="AN386" s="3582"/>
      <c r="AO386" s="3582"/>
      <c r="AP386" s="3582"/>
      <c r="AQ386" s="3582"/>
      <c r="AR386" s="3576"/>
      <c r="AS386" s="3576"/>
      <c r="AT386" s="3576"/>
      <c r="AU386" s="3576"/>
      <c r="AV386" s="3563"/>
    </row>
    <row r="387" s="3565" customFormat="1" spans="1:48">
      <c r="A387" s="3575"/>
      <c r="B387" s="3576"/>
      <c r="C387" s="3576"/>
      <c r="D387" s="3563"/>
      <c r="E387" s="3563"/>
      <c r="F387" s="3576"/>
      <c r="G387" s="3576"/>
      <c r="H387" s="3563"/>
      <c r="I387" s="3563"/>
      <c r="J387" s="3563"/>
      <c r="K387" s="3563"/>
      <c r="L387" s="3563"/>
      <c r="M387" s="3563"/>
      <c r="N387" s="3577"/>
      <c r="O387" s="3563"/>
      <c r="P387" s="3576"/>
      <c r="Q387" s="3578"/>
      <c r="R387" s="3563"/>
      <c r="S387" s="3563"/>
      <c r="T387" s="4014"/>
      <c r="U387" s="3563"/>
      <c r="V387" s="3563"/>
      <c r="W387" s="3578"/>
      <c r="X387" s="3578"/>
      <c r="Y387" s="3578"/>
      <c r="Z387" s="3578"/>
      <c r="AA387" s="3578"/>
      <c r="AB387" s="3563"/>
      <c r="AC387" s="3578"/>
      <c r="AD387" s="3578"/>
      <c r="AE387" s="3578"/>
      <c r="AF387" s="3578"/>
      <c r="AG387" s="3576"/>
      <c r="AH387" s="3576"/>
      <c r="AI387" s="3580"/>
      <c r="AJ387" s="3581"/>
      <c r="AK387" s="3582"/>
      <c r="AL387" s="3582"/>
      <c r="AM387" s="3582"/>
      <c r="AN387" s="3582"/>
      <c r="AO387" s="3582"/>
      <c r="AP387" s="3582"/>
      <c r="AQ387" s="3582"/>
      <c r="AR387" s="3576"/>
      <c r="AS387" s="3576"/>
      <c r="AT387" s="3576"/>
      <c r="AU387" s="3576"/>
      <c r="AV387" s="3563"/>
    </row>
    <row r="388" s="3565" customFormat="1" spans="1:48">
      <c r="A388" s="3575"/>
      <c r="B388" s="3576"/>
      <c r="C388" s="3576"/>
      <c r="D388" s="3563"/>
      <c r="E388" s="3563"/>
      <c r="F388" s="3576"/>
      <c r="G388" s="3576"/>
      <c r="H388" s="3563"/>
      <c r="I388" s="3563"/>
      <c r="J388" s="3563"/>
      <c r="K388" s="3563"/>
      <c r="L388" s="3563"/>
      <c r="M388" s="3563"/>
      <c r="N388" s="3577"/>
      <c r="O388" s="3563"/>
      <c r="P388" s="3576"/>
      <c r="Q388" s="3578"/>
      <c r="R388" s="3563"/>
      <c r="S388" s="3563"/>
      <c r="T388" s="4014"/>
      <c r="U388" s="3563"/>
      <c r="V388" s="3563"/>
      <c r="W388" s="3578"/>
      <c r="X388" s="3578"/>
      <c r="Y388" s="3578"/>
      <c r="Z388" s="3578"/>
      <c r="AA388" s="3578"/>
      <c r="AB388" s="3563"/>
      <c r="AC388" s="3578"/>
      <c r="AD388" s="3578"/>
      <c r="AE388" s="3578"/>
      <c r="AF388" s="3578"/>
      <c r="AG388" s="3576"/>
      <c r="AH388" s="3576"/>
      <c r="AI388" s="3580"/>
      <c r="AJ388" s="3581"/>
      <c r="AK388" s="3582"/>
      <c r="AL388" s="3582"/>
      <c r="AM388" s="3582"/>
      <c r="AN388" s="3582"/>
      <c r="AO388" s="3582"/>
      <c r="AP388" s="3582"/>
      <c r="AQ388" s="3582"/>
      <c r="AR388" s="3576"/>
      <c r="AS388" s="3576"/>
      <c r="AT388" s="3576"/>
      <c r="AU388" s="3576"/>
      <c r="AV388" s="3563"/>
    </row>
    <row r="389" s="3565" customFormat="1" spans="1:48">
      <c r="A389" s="3575"/>
      <c r="B389" s="3576"/>
      <c r="C389" s="3576"/>
      <c r="D389" s="3563"/>
      <c r="E389" s="3563"/>
      <c r="F389" s="3576"/>
      <c r="G389" s="3576"/>
      <c r="H389" s="3563"/>
      <c r="I389" s="3563"/>
      <c r="J389" s="3563"/>
      <c r="K389" s="3563"/>
      <c r="L389" s="3563"/>
      <c r="M389" s="3563"/>
      <c r="N389" s="3577"/>
      <c r="O389" s="3563"/>
      <c r="P389" s="3576"/>
      <c r="Q389" s="3578"/>
      <c r="R389" s="3563"/>
      <c r="S389" s="3563"/>
      <c r="T389" s="4014"/>
      <c r="U389" s="3563"/>
      <c r="V389" s="3563"/>
      <c r="W389" s="3578"/>
      <c r="X389" s="3578"/>
      <c r="Y389" s="3578"/>
      <c r="Z389" s="3578"/>
      <c r="AA389" s="3578"/>
      <c r="AB389" s="3563"/>
      <c r="AC389" s="3578"/>
      <c r="AD389" s="3578"/>
      <c r="AE389" s="3578"/>
      <c r="AF389" s="3578"/>
      <c r="AG389" s="3576"/>
      <c r="AH389" s="3576"/>
      <c r="AI389" s="3580"/>
      <c r="AJ389" s="3581"/>
      <c r="AK389" s="3582"/>
      <c r="AL389" s="3582"/>
      <c r="AM389" s="3582"/>
      <c r="AN389" s="3582"/>
      <c r="AO389" s="3582"/>
      <c r="AP389" s="3582"/>
      <c r="AQ389" s="3582"/>
      <c r="AR389" s="3576"/>
      <c r="AS389" s="3576"/>
      <c r="AT389" s="3576"/>
      <c r="AU389" s="3576"/>
      <c r="AV389" s="3563"/>
    </row>
    <row r="390" s="3565" customFormat="1" spans="1:48">
      <c r="A390" s="3575"/>
      <c r="B390" s="3576"/>
      <c r="C390" s="3576"/>
      <c r="D390" s="3563"/>
      <c r="E390" s="3563"/>
      <c r="F390" s="3576"/>
      <c r="G390" s="3576"/>
      <c r="H390" s="3563"/>
      <c r="I390" s="3563"/>
      <c r="J390" s="3563"/>
      <c r="K390" s="3563"/>
      <c r="L390" s="3563"/>
      <c r="M390" s="3563"/>
      <c r="N390" s="3577"/>
      <c r="O390" s="3563"/>
      <c r="P390" s="3576"/>
      <c r="Q390" s="3578"/>
      <c r="R390" s="3563"/>
      <c r="S390" s="3563"/>
      <c r="T390" s="3579"/>
      <c r="U390" s="3563"/>
      <c r="V390" s="3563"/>
      <c r="W390" s="3578"/>
      <c r="X390" s="3578"/>
      <c r="Y390" s="3578"/>
      <c r="Z390" s="3578"/>
      <c r="AA390" s="3578"/>
      <c r="AB390" s="3563"/>
      <c r="AC390" s="3578"/>
      <c r="AD390" s="3578"/>
      <c r="AE390" s="3578"/>
      <c r="AF390" s="3578"/>
      <c r="AG390" s="3576"/>
      <c r="AH390" s="3576"/>
      <c r="AI390" s="3580"/>
      <c r="AJ390" s="3581"/>
      <c r="AK390" s="3582"/>
      <c r="AL390" s="3582"/>
      <c r="AM390" s="3582"/>
      <c r="AN390" s="3582"/>
      <c r="AO390" s="3582"/>
      <c r="AP390" s="3582"/>
      <c r="AQ390" s="3582"/>
      <c r="AR390" s="3576"/>
      <c r="AS390" s="3576"/>
      <c r="AT390" s="3576"/>
      <c r="AU390" s="3576"/>
      <c r="AV390" s="3563"/>
    </row>
    <row r="391" s="3565" customFormat="1" spans="1:48">
      <c r="A391" s="3575"/>
      <c r="B391" s="3576"/>
      <c r="C391" s="3576"/>
      <c r="D391" s="3563"/>
      <c r="E391" s="3563"/>
      <c r="F391" s="3576"/>
      <c r="G391" s="3576"/>
      <c r="H391" s="3563"/>
      <c r="I391" s="3563"/>
      <c r="J391" s="3563"/>
      <c r="K391" s="3563"/>
      <c r="L391" s="3563"/>
      <c r="M391" s="3563"/>
      <c r="N391" s="3577"/>
      <c r="O391" s="3563"/>
      <c r="P391" s="3576"/>
      <c r="Q391" s="3578"/>
      <c r="R391" s="3563"/>
      <c r="S391" s="3563"/>
      <c r="T391" s="4014"/>
      <c r="U391" s="3563"/>
      <c r="V391" s="3563"/>
      <c r="W391" s="3578"/>
      <c r="X391" s="3578"/>
      <c r="Y391" s="3578"/>
      <c r="Z391" s="3578"/>
      <c r="AA391" s="3578"/>
      <c r="AB391" s="3563"/>
      <c r="AC391" s="3578"/>
      <c r="AD391" s="3578"/>
      <c r="AE391" s="3578"/>
      <c r="AF391" s="3578"/>
      <c r="AG391" s="3576"/>
      <c r="AH391" s="3576"/>
      <c r="AI391" s="3580"/>
      <c r="AJ391" s="3581"/>
      <c r="AK391" s="3582"/>
      <c r="AL391" s="3582"/>
      <c r="AM391" s="3582"/>
      <c r="AN391" s="3582"/>
      <c r="AO391" s="3582"/>
      <c r="AP391" s="3582"/>
      <c r="AQ391" s="3582"/>
      <c r="AR391" s="3576"/>
      <c r="AS391" s="3576"/>
      <c r="AT391" s="3576"/>
      <c r="AU391" s="3576"/>
      <c r="AV391" s="3563"/>
    </row>
    <row r="392" s="3565" customFormat="1" spans="1:48">
      <c r="A392" s="3575"/>
      <c r="B392" s="3576"/>
      <c r="C392" s="3576"/>
      <c r="D392" s="3563"/>
      <c r="E392" s="3563"/>
      <c r="F392" s="3576"/>
      <c r="G392" s="3576"/>
      <c r="H392" s="3563"/>
      <c r="I392" s="3563"/>
      <c r="J392" s="3563"/>
      <c r="K392" s="3563"/>
      <c r="L392" s="3563"/>
      <c r="M392" s="3563"/>
      <c r="N392" s="3577"/>
      <c r="O392" s="3563"/>
      <c r="P392" s="3576"/>
      <c r="Q392" s="3578"/>
      <c r="R392" s="3563"/>
      <c r="S392" s="3563"/>
      <c r="T392" s="4021"/>
      <c r="U392" s="3563"/>
      <c r="V392" s="3563"/>
      <c r="W392" s="3578"/>
      <c r="X392" s="3578"/>
      <c r="Y392" s="3578"/>
      <c r="Z392" s="3578"/>
      <c r="AA392" s="3578"/>
      <c r="AB392" s="3563"/>
      <c r="AC392" s="3578"/>
      <c r="AD392" s="3578"/>
      <c r="AE392" s="3578"/>
      <c r="AF392" s="3578"/>
      <c r="AG392" s="3576"/>
      <c r="AH392" s="3576"/>
      <c r="AI392" s="3580"/>
      <c r="AJ392" s="3581"/>
      <c r="AK392" s="3582"/>
      <c r="AL392" s="3582"/>
      <c r="AM392" s="3582"/>
      <c r="AN392" s="3582"/>
      <c r="AO392" s="3582"/>
      <c r="AP392" s="3582"/>
      <c r="AQ392" s="3582"/>
      <c r="AR392" s="3576"/>
      <c r="AS392" s="3576"/>
      <c r="AT392" s="3576"/>
      <c r="AU392" s="3576"/>
      <c r="AV392" s="3563"/>
    </row>
    <row r="393" s="3565" customFormat="1" spans="1:48">
      <c r="A393" s="3575"/>
      <c r="B393" s="3576"/>
      <c r="C393" s="3576"/>
      <c r="D393" s="3563"/>
      <c r="E393" s="3563"/>
      <c r="F393" s="3576"/>
      <c r="G393" s="3576"/>
      <c r="H393" s="3563"/>
      <c r="I393" s="3563"/>
      <c r="J393" s="3563"/>
      <c r="K393" s="3563"/>
      <c r="L393" s="3563"/>
      <c r="M393" s="3563"/>
      <c r="N393" s="3577"/>
      <c r="O393" s="3563"/>
      <c r="P393" s="3576"/>
      <c r="Q393" s="3578"/>
      <c r="R393" s="3563"/>
      <c r="S393" s="3563"/>
      <c r="T393" s="4014"/>
      <c r="U393" s="3563"/>
      <c r="V393" s="3563"/>
      <c r="W393" s="3578"/>
      <c r="X393" s="3578"/>
      <c r="Y393" s="3578"/>
      <c r="Z393" s="3578"/>
      <c r="AA393" s="3578"/>
      <c r="AB393" s="3563"/>
      <c r="AC393" s="3578"/>
      <c r="AD393" s="3578"/>
      <c r="AE393" s="3578"/>
      <c r="AF393" s="3578"/>
      <c r="AG393" s="3576"/>
      <c r="AH393" s="3576"/>
      <c r="AI393" s="3580"/>
      <c r="AJ393" s="3581"/>
      <c r="AK393" s="3582"/>
      <c r="AL393" s="3582"/>
      <c r="AM393" s="3582"/>
      <c r="AN393" s="3582"/>
      <c r="AO393" s="3582"/>
      <c r="AP393" s="3582"/>
      <c r="AQ393" s="3582"/>
      <c r="AR393" s="3576"/>
      <c r="AS393" s="3576"/>
      <c r="AT393" s="3576"/>
      <c r="AU393" s="3576"/>
      <c r="AV393" s="3563"/>
    </row>
    <row r="394" s="3565" customFormat="1" spans="1:48">
      <c r="A394" s="3575"/>
      <c r="B394" s="3576"/>
      <c r="C394" s="3576"/>
      <c r="D394" s="3563"/>
      <c r="E394" s="3563"/>
      <c r="F394" s="3576"/>
      <c r="G394" s="3576"/>
      <c r="H394" s="3563"/>
      <c r="I394" s="3563"/>
      <c r="J394" s="3563"/>
      <c r="K394" s="3563"/>
      <c r="L394" s="3563"/>
      <c r="M394" s="3563"/>
      <c r="N394" s="3577"/>
      <c r="O394" s="3563"/>
      <c r="P394" s="3576"/>
      <c r="Q394" s="3578"/>
      <c r="R394" s="3563"/>
      <c r="S394" s="3563"/>
      <c r="T394" s="4014"/>
      <c r="U394" s="3563"/>
      <c r="V394" s="3563"/>
      <c r="W394" s="3578"/>
      <c r="X394" s="3578"/>
      <c r="Y394" s="3578"/>
      <c r="Z394" s="3578"/>
      <c r="AA394" s="3578"/>
      <c r="AB394" s="3563"/>
      <c r="AC394" s="3578"/>
      <c r="AD394" s="3578"/>
      <c r="AE394" s="3578"/>
      <c r="AF394" s="3578"/>
      <c r="AG394" s="3576"/>
      <c r="AH394" s="3576"/>
      <c r="AI394" s="3580"/>
      <c r="AJ394" s="3581"/>
      <c r="AK394" s="3582"/>
      <c r="AL394" s="3582"/>
      <c r="AM394" s="3582"/>
      <c r="AN394" s="3582"/>
      <c r="AO394" s="3582"/>
      <c r="AP394" s="3582"/>
      <c r="AQ394" s="3582"/>
      <c r="AR394" s="3576"/>
      <c r="AS394" s="3576"/>
      <c r="AT394" s="3576"/>
      <c r="AU394" s="3576"/>
      <c r="AV394" s="3563"/>
    </row>
    <row r="395" s="3565" customFormat="1" spans="1:48">
      <c r="A395" s="3575"/>
      <c r="B395" s="3576"/>
      <c r="C395" s="3576"/>
      <c r="D395" s="3563"/>
      <c r="E395" s="3563"/>
      <c r="F395" s="3576"/>
      <c r="G395" s="3576"/>
      <c r="H395" s="3563"/>
      <c r="I395" s="3563"/>
      <c r="J395" s="3563"/>
      <c r="K395" s="3563"/>
      <c r="L395" s="3563"/>
      <c r="M395" s="3563"/>
      <c r="N395" s="3577"/>
      <c r="O395" s="3563"/>
      <c r="P395" s="3576"/>
      <c r="Q395" s="3578"/>
      <c r="R395" s="3563"/>
      <c r="S395" s="3563"/>
      <c r="T395" s="4014"/>
      <c r="U395" s="3563"/>
      <c r="V395" s="3563"/>
      <c r="W395" s="3578"/>
      <c r="X395" s="3578"/>
      <c r="Y395" s="3578"/>
      <c r="Z395" s="3578"/>
      <c r="AA395" s="3578"/>
      <c r="AB395" s="3563"/>
      <c r="AC395" s="3578"/>
      <c r="AD395" s="3578"/>
      <c r="AE395" s="3578"/>
      <c r="AF395" s="3578"/>
      <c r="AG395" s="3576"/>
      <c r="AH395" s="3576"/>
      <c r="AI395" s="3580"/>
      <c r="AJ395" s="3581"/>
      <c r="AK395" s="3582"/>
      <c r="AL395" s="3582"/>
      <c r="AM395" s="3582"/>
      <c r="AN395" s="3582"/>
      <c r="AO395" s="3582"/>
      <c r="AP395" s="3582"/>
      <c r="AQ395" s="3582"/>
      <c r="AR395" s="3576"/>
      <c r="AS395" s="3576"/>
      <c r="AT395" s="3576"/>
      <c r="AU395" s="3576"/>
      <c r="AV395" s="3563"/>
    </row>
    <row r="396" s="3565" customFormat="1" spans="1:48">
      <c r="A396" s="3575"/>
      <c r="B396" s="3576"/>
      <c r="C396" s="3576"/>
      <c r="D396" s="3563"/>
      <c r="E396" s="3563"/>
      <c r="F396" s="3576"/>
      <c r="G396" s="3576"/>
      <c r="H396" s="3563"/>
      <c r="I396" s="3563"/>
      <c r="J396" s="3563"/>
      <c r="K396" s="3563"/>
      <c r="L396" s="3563"/>
      <c r="M396" s="3563"/>
      <c r="N396" s="3577"/>
      <c r="O396" s="3563"/>
      <c r="P396" s="3576"/>
      <c r="Q396" s="3578"/>
      <c r="R396" s="3563"/>
      <c r="S396" s="3563"/>
      <c r="T396" s="4014"/>
      <c r="U396" s="3563"/>
      <c r="V396" s="3563"/>
      <c r="W396" s="3578"/>
      <c r="X396" s="3578"/>
      <c r="Y396" s="3578"/>
      <c r="Z396" s="3578"/>
      <c r="AA396" s="3578"/>
      <c r="AB396" s="3563"/>
      <c r="AC396" s="3578"/>
      <c r="AD396" s="3578"/>
      <c r="AE396" s="3578"/>
      <c r="AF396" s="3578"/>
      <c r="AG396" s="3576"/>
      <c r="AH396" s="3576"/>
      <c r="AI396" s="3580"/>
      <c r="AJ396" s="3581"/>
      <c r="AK396" s="3582"/>
      <c r="AL396" s="3582"/>
      <c r="AM396" s="3582"/>
      <c r="AN396" s="3582"/>
      <c r="AO396" s="3582"/>
      <c r="AP396" s="3582"/>
      <c r="AQ396" s="3582"/>
      <c r="AR396" s="3576"/>
      <c r="AS396" s="3576"/>
      <c r="AT396" s="3576"/>
      <c r="AU396" s="3576"/>
      <c r="AV396" s="3563"/>
    </row>
    <row r="397" s="3565" customFormat="1" spans="1:48">
      <c r="A397" s="3575"/>
      <c r="B397" s="3576"/>
      <c r="C397" s="3576"/>
      <c r="D397" s="3563"/>
      <c r="E397" s="3563"/>
      <c r="F397" s="3576"/>
      <c r="G397" s="3576"/>
      <c r="H397" s="3563"/>
      <c r="I397" s="3563"/>
      <c r="J397" s="3563"/>
      <c r="K397" s="3563"/>
      <c r="L397" s="3563"/>
      <c r="M397" s="3563"/>
      <c r="N397" s="3577"/>
      <c r="O397" s="3563"/>
      <c r="P397" s="3576"/>
      <c r="Q397" s="3578"/>
      <c r="R397" s="3563"/>
      <c r="S397" s="3563"/>
      <c r="T397" s="4014"/>
      <c r="U397" s="3563"/>
      <c r="V397" s="3563"/>
      <c r="W397" s="3578"/>
      <c r="X397" s="3578"/>
      <c r="Y397" s="3578"/>
      <c r="Z397" s="3578"/>
      <c r="AA397" s="3578"/>
      <c r="AB397" s="3563"/>
      <c r="AC397" s="3578"/>
      <c r="AD397" s="3578"/>
      <c r="AE397" s="3578"/>
      <c r="AF397" s="3578"/>
      <c r="AG397" s="3576"/>
      <c r="AH397" s="3576"/>
      <c r="AI397" s="3580"/>
      <c r="AJ397" s="3581"/>
      <c r="AK397" s="3582"/>
      <c r="AL397" s="3582"/>
      <c r="AM397" s="3582"/>
      <c r="AN397" s="3582"/>
      <c r="AO397" s="3582"/>
      <c r="AP397" s="3582"/>
      <c r="AQ397" s="3582"/>
      <c r="AR397" s="3576"/>
      <c r="AS397" s="3576"/>
      <c r="AT397" s="3576"/>
      <c r="AU397" s="3576"/>
      <c r="AV397" s="3563"/>
    </row>
    <row r="398" s="3565" customFormat="1" spans="1:48">
      <c r="A398" s="3575"/>
      <c r="B398" s="3576"/>
      <c r="C398" s="3576"/>
      <c r="D398" s="3563"/>
      <c r="E398" s="3563"/>
      <c r="F398" s="3576"/>
      <c r="G398" s="3576"/>
      <c r="H398" s="3563"/>
      <c r="I398" s="3563"/>
      <c r="J398" s="3563"/>
      <c r="K398" s="3563"/>
      <c r="L398" s="3563"/>
      <c r="M398" s="3563"/>
      <c r="N398" s="3577"/>
      <c r="O398" s="3563"/>
      <c r="P398" s="3576"/>
      <c r="Q398" s="3578"/>
      <c r="R398" s="3563"/>
      <c r="S398" s="3563"/>
      <c r="T398" s="4014"/>
      <c r="U398" s="3563"/>
      <c r="V398" s="3563"/>
      <c r="W398" s="3578"/>
      <c r="X398" s="3578"/>
      <c r="Y398" s="3578"/>
      <c r="Z398" s="3578"/>
      <c r="AA398" s="3578"/>
      <c r="AB398" s="3563"/>
      <c r="AC398" s="3578"/>
      <c r="AD398" s="3578"/>
      <c r="AE398" s="3578"/>
      <c r="AF398" s="3578"/>
      <c r="AG398" s="3576"/>
      <c r="AH398" s="3576"/>
      <c r="AI398" s="3580"/>
      <c r="AJ398" s="3581"/>
      <c r="AK398" s="3582"/>
      <c r="AL398" s="3582"/>
      <c r="AM398" s="3582"/>
      <c r="AN398" s="3582"/>
      <c r="AO398" s="3582"/>
      <c r="AP398" s="3582"/>
      <c r="AQ398" s="3582"/>
      <c r="AR398" s="3576"/>
      <c r="AS398" s="3576"/>
      <c r="AT398" s="3576"/>
      <c r="AU398" s="3576"/>
      <c r="AV398" s="3563"/>
    </row>
    <row r="399" s="3565" customFormat="1" spans="1:48">
      <c r="A399" s="3575"/>
      <c r="B399" s="3576"/>
      <c r="C399" s="3576"/>
      <c r="D399" s="3563"/>
      <c r="E399" s="3563"/>
      <c r="F399" s="3576"/>
      <c r="G399" s="3576"/>
      <c r="H399" s="3563"/>
      <c r="I399" s="3563"/>
      <c r="J399" s="3563"/>
      <c r="K399" s="3563"/>
      <c r="L399" s="3563"/>
      <c r="M399" s="3563"/>
      <c r="N399" s="3577"/>
      <c r="O399" s="3563"/>
      <c r="P399" s="3576"/>
      <c r="Q399" s="3578"/>
      <c r="R399" s="3563"/>
      <c r="S399" s="3563"/>
      <c r="T399" s="4014"/>
      <c r="U399" s="3563"/>
      <c r="V399" s="3563"/>
      <c r="W399" s="3578"/>
      <c r="X399" s="3578"/>
      <c r="Y399" s="3578"/>
      <c r="Z399" s="3578"/>
      <c r="AA399" s="3578"/>
      <c r="AB399" s="3563"/>
      <c r="AC399" s="3578"/>
      <c r="AD399" s="3578"/>
      <c r="AE399" s="3578"/>
      <c r="AF399" s="3578"/>
      <c r="AG399" s="3576"/>
      <c r="AH399" s="3576"/>
      <c r="AI399" s="3580"/>
      <c r="AJ399" s="3581"/>
      <c r="AK399" s="3582"/>
      <c r="AL399" s="3582"/>
      <c r="AM399" s="3582"/>
      <c r="AN399" s="3582"/>
      <c r="AO399" s="3582"/>
      <c r="AP399" s="3582"/>
      <c r="AQ399" s="3582"/>
      <c r="AR399" s="3576"/>
      <c r="AS399" s="3576"/>
      <c r="AT399" s="3576"/>
      <c r="AU399" s="3576"/>
      <c r="AV399" s="3563"/>
    </row>
    <row r="400" s="3565" customFormat="1" spans="1:48">
      <c r="A400" s="3575"/>
      <c r="B400" s="3576"/>
      <c r="C400" s="3576"/>
      <c r="D400" s="3563"/>
      <c r="E400" s="3563"/>
      <c r="F400" s="3576"/>
      <c r="G400" s="3576"/>
      <c r="H400" s="3563"/>
      <c r="I400" s="3563"/>
      <c r="J400" s="3563"/>
      <c r="K400" s="3563"/>
      <c r="L400" s="3563"/>
      <c r="M400" s="3563"/>
      <c r="N400" s="3577"/>
      <c r="O400" s="3563"/>
      <c r="P400" s="3576"/>
      <c r="Q400" s="3578"/>
      <c r="R400" s="3563"/>
      <c r="S400" s="3563"/>
      <c r="T400" s="4014"/>
      <c r="U400" s="3563"/>
      <c r="V400" s="3563"/>
      <c r="W400" s="3578"/>
      <c r="X400" s="3578"/>
      <c r="Y400" s="3578"/>
      <c r="Z400" s="3578"/>
      <c r="AA400" s="3578"/>
      <c r="AB400" s="3563"/>
      <c r="AC400" s="3578"/>
      <c r="AD400" s="3578"/>
      <c r="AE400" s="3578"/>
      <c r="AF400" s="3578"/>
      <c r="AG400" s="3576"/>
      <c r="AH400" s="3576"/>
      <c r="AI400" s="3580"/>
      <c r="AJ400" s="3581"/>
      <c r="AK400" s="3582"/>
      <c r="AL400" s="3582"/>
      <c r="AM400" s="3582"/>
      <c r="AN400" s="3582"/>
      <c r="AO400" s="3582"/>
      <c r="AP400" s="3582"/>
      <c r="AQ400" s="3582"/>
      <c r="AR400" s="3576"/>
      <c r="AS400" s="3576"/>
      <c r="AT400" s="3576"/>
      <c r="AU400" s="3576"/>
      <c r="AV400" s="3563"/>
    </row>
    <row r="401" s="3565" customFormat="1" spans="1:48">
      <c r="A401" s="3575"/>
      <c r="B401" s="3576"/>
      <c r="C401" s="3576"/>
      <c r="D401" s="3563"/>
      <c r="E401" s="3563"/>
      <c r="F401" s="3576"/>
      <c r="G401" s="3576"/>
      <c r="H401" s="3563"/>
      <c r="I401" s="3563"/>
      <c r="J401" s="3563"/>
      <c r="K401" s="3563"/>
      <c r="L401" s="3563"/>
      <c r="M401" s="3563"/>
      <c r="N401" s="3577"/>
      <c r="O401" s="3563"/>
      <c r="P401" s="3576"/>
      <c r="Q401" s="3578"/>
      <c r="R401" s="3563"/>
      <c r="S401" s="3563"/>
      <c r="T401" s="4014"/>
      <c r="U401" s="3563"/>
      <c r="V401" s="3563"/>
      <c r="W401" s="3578"/>
      <c r="X401" s="3578"/>
      <c r="Y401" s="3578"/>
      <c r="Z401" s="3578"/>
      <c r="AA401" s="3578"/>
      <c r="AB401" s="3563"/>
      <c r="AC401" s="3578"/>
      <c r="AD401" s="3578"/>
      <c r="AE401" s="3578"/>
      <c r="AF401" s="3578"/>
      <c r="AG401" s="3576"/>
      <c r="AH401" s="3576"/>
      <c r="AI401" s="3580"/>
      <c r="AJ401" s="3581"/>
      <c r="AK401" s="3582"/>
      <c r="AL401" s="3582"/>
      <c r="AM401" s="3582"/>
      <c r="AN401" s="3582"/>
      <c r="AO401" s="3582"/>
      <c r="AP401" s="3582"/>
      <c r="AQ401" s="3582"/>
      <c r="AR401" s="3576"/>
      <c r="AS401" s="3576"/>
      <c r="AT401" s="3576"/>
      <c r="AU401" s="3576"/>
      <c r="AV401" s="3563"/>
    </row>
    <row r="402" s="3565" customFormat="1" spans="1:48">
      <c r="A402" s="3575"/>
      <c r="B402" s="3576"/>
      <c r="C402" s="3576"/>
      <c r="D402" s="3563"/>
      <c r="E402" s="3563"/>
      <c r="F402" s="3576"/>
      <c r="G402" s="3576"/>
      <c r="H402" s="3563"/>
      <c r="I402" s="3563"/>
      <c r="J402" s="3563"/>
      <c r="K402" s="3563"/>
      <c r="L402" s="3563"/>
      <c r="M402" s="3563"/>
      <c r="N402" s="3577"/>
      <c r="O402" s="3563"/>
      <c r="P402" s="3576"/>
      <c r="Q402" s="3578"/>
      <c r="R402" s="3563"/>
      <c r="S402" s="3563"/>
      <c r="T402" s="4014"/>
      <c r="U402" s="3563"/>
      <c r="V402" s="3563"/>
      <c r="W402" s="3578"/>
      <c r="X402" s="3578"/>
      <c r="Y402" s="3578"/>
      <c r="Z402" s="3578"/>
      <c r="AA402" s="3578"/>
      <c r="AB402" s="3563"/>
      <c r="AC402" s="3578"/>
      <c r="AD402" s="3578"/>
      <c r="AE402" s="3578"/>
      <c r="AF402" s="3578"/>
      <c r="AG402" s="3576"/>
      <c r="AH402" s="3576"/>
      <c r="AI402" s="3580"/>
      <c r="AJ402" s="3581"/>
      <c r="AK402" s="3582"/>
      <c r="AL402" s="3582"/>
      <c r="AM402" s="3582"/>
      <c r="AN402" s="3582"/>
      <c r="AO402" s="3582"/>
      <c r="AP402" s="3582"/>
      <c r="AQ402" s="3582"/>
      <c r="AR402" s="3576"/>
      <c r="AS402" s="3576"/>
      <c r="AT402" s="3576"/>
      <c r="AU402" s="3576"/>
      <c r="AV402" s="3563"/>
    </row>
    <row r="403" s="3565" customFormat="1" spans="1:48">
      <c r="A403" s="3575"/>
      <c r="B403" s="3576"/>
      <c r="C403" s="3576"/>
      <c r="D403" s="3563"/>
      <c r="E403" s="3563"/>
      <c r="F403" s="3576"/>
      <c r="G403" s="3576"/>
      <c r="H403" s="3563"/>
      <c r="I403" s="3563"/>
      <c r="J403" s="3563"/>
      <c r="K403" s="3563"/>
      <c r="L403" s="3563"/>
      <c r="M403" s="3563"/>
      <c r="N403" s="3577"/>
      <c r="O403" s="3563"/>
      <c r="P403" s="3576"/>
      <c r="Q403" s="3578"/>
      <c r="R403" s="3563"/>
      <c r="S403" s="3563"/>
      <c r="T403" s="4014"/>
      <c r="U403" s="3563"/>
      <c r="V403" s="3563"/>
      <c r="W403" s="3578"/>
      <c r="X403" s="3578"/>
      <c r="Y403" s="3578"/>
      <c r="Z403" s="3578"/>
      <c r="AA403" s="3578"/>
      <c r="AB403" s="3563"/>
      <c r="AC403" s="3578"/>
      <c r="AD403" s="3578"/>
      <c r="AE403" s="3578"/>
      <c r="AF403" s="3578"/>
      <c r="AG403" s="3576"/>
      <c r="AH403" s="3576"/>
      <c r="AI403" s="3580"/>
      <c r="AJ403" s="3581"/>
      <c r="AK403" s="3582"/>
      <c r="AL403" s="3582"/>
      <c r="AM403" s="3582"/>
      <c r="AN403" s="3582"/>
      <c r="AO403" s="3582"/>
      <c r="AP403" s="3582"/>
      <c r="AQ403" s="3582"/>
      <c r="AR403" s="3576"/>
      <c r="AS403" s="3576"/>
      <c r="AT403" s="3576"/>
      <c r="AU403" s="3576"/>
      <c r="AV403" s="3563"/>
    </row>
    <row r="404" s="3565" customFormat="1" spans="1:48">
      <c r="A404" s="3575"/>
      <c r="B404" s="3576"/>
      <c r="C404" s="3576"/>
      <c r="D404" s="3563"/>
      <c r="E404" s="3563"/>
      <c r="F404" s="3576"/>
      <c r="G404" s="3576"/>
      <c r="H404" s="3563"/>
      <c r="I404" s="3563"/>
      <c r="J404" s="3563"/>
      <c r="K404" s="3563"/>
      <c r="L404" s="3563"/>
      <c r="M404" s="3563"/>
      <c r="N404" s="3577"/>
      <c r="O404" s="3563"/>
      <c r="P404" s="3576"/>
      <c r="Q404" s="3578"/>
      <c r="R404" s="3563"/>
      <c r="S404" s="3563"/>
      <c r="T404" s="4014"/>
      <c r="U404" s="3563"/>
      <c r="V404" s="3563"/>
      <c r="W404" s="3578"/>
      <c r="X404" s="3578"/>
      <c r="Y404" s="3578"/>
      <c r="Z404" s="3578"/>
      <c r="AA404" s="3578"/>
      <c r="AB404" s="3563"/>
      <c r="AC404" s="3578"/>
      <c r="AD404" s="3578"/>
      <c r="AE404" s="3578"/>
      <c r="AF404" s="3578"/>
      <c r="AG404" s="3576"/>
      <c r="AH404" s="3576"/>
      <c r="AI404" s="3580"/>
      <c r="AJ404" s="3581"/>
      <c r="AK404" s="3582"/>
      <c r="AL404" s="3582"/>
      <c r="AM404" s="3582"/>
      <c r="AN404" s="3582"/>
      <c r="AO404" s="3582"/>
      <c r="AP404" s="3582"/>
      <c r="AQ404" s="3582"/>
      <c r="AR404" s="3576"/>
      <c r="AS404" s="3576"/>
      <c r="AT404" s="3576"/>
      <c r="AU404" s="3576"/>
      <c r="AV404" s="3563"/>
    </row>
    <row r="405" s="3565" customFormat="1" spans="1:48">
      <c r="A405" s="3575"/>
      <c r="B405" s="3576"/>
      <c r="C405" s="3576"/>
      <c r="D405" s="3563"/>
      <c r="E405" s="3563"/>
      <c r="F405" s="3576"/>
      <c r="G405" s="3576"/>
      <c r="H405" s="3563"/>
      <c r="I405" s="3563"/>
      <c r="J405" s="3563"/>
      <c r="K405" s="3563"/>
      <c r="L405" s="3563"/>
      <c r="M405" s="3563"/>
      <c r="N405" s="3577"/>
      <c r="O405" s="3563"/>
      <c r="P405" s="3576"/>
      <c r="Q405" s="3578"/>
      <c r="R405" s="3563"/>
      <c r="S405" s="3563"/>
      <c r="T405" s="4014"/>
      <c r="U405" s="3563"/>
      <c r="V405" s="3563"/>
      <c r="W405" s="3578"/>
      <c r="X405" s="3578"/>
      <c r="Y405" s="3578"/>
      <c r="Z405" s="3578"/>
      <c r="AA405" s="3578"/>
      <c r="AB405" s="3563"/>
      <c r="AC405" s="3578"/>
      <c r="AD405" s="3578"/>
      <c r="AE405" s="3578"/>
      <c r="AF405" s="3578"/>
      <c r="AG405" s="3576"/>
      <c r="AH405" s="3576"/>
      <c r="AI405" s="3580"/>
      <c r="AJ405" s="3581"/>
      <c r="AK405" s="3582"/>
      <c r="AL405" s="3582"/>
      <c r="AM405" s="3582"/>
      <c r="AN405" s="3582"/>
      <c r="AO405" s="3582"/>
      <c r="AP405" s="3582"/>
      <c r="AQ405" s="3582"/>
      <c r="AR405" s="3576"/>
      <c r="AS405" s="3576"/>
      <c r="AT405" s="3576"/>
      <c r="AU405" s="3576"/>
      <c r="AV405" s="3563"/>
    </row>
    <row r="406" s="3565" customFormat="1" spans="1:48">
      <c r="A406" s="3575"/>
      <c r="B406" s="3576"/>
      <c r="C406" s="3576"/>
      <c r="D406" s="3563"/>
      <c r="E406" s="3563"/>
      <c r="F406" s="3576"/>
      <c r="G406" s="3576"/>
      <c r="H406" s="3563"/>
      <c r="I406" s="3563"/>
      <c r="J406" s="3563"/>
      <c r="K406" s="3563"/>
      <c r="L406" s="3563"/>
      <c r="M406" s="3563"/>
      <c r="N406" s="3577"/>
      <c r="O406" s="3563"/>
      <c r="P406" s="3576"/>
      <c r="Q406" s="3578"/>
      <c r="R406" s="3563"/>
      <c r="S406" s="3563"/>
      <c r="T406" s="4014"/>
      <c r="U406" s="3563"/>
      <c r="V406" s="3563"/>
      <c r="W406" s="3578"/>
      <c r="X406" s="3578"/>
      <c r="Y406" s="3578"/>
      <c r="Z406" s="3578"/>
      <c r="AA406" s="3578"/>
      <c r="AB406" s="3563"/>
      <c r="AC406" s="3578"/>
      <c r="AD406" s="3578"/>
      <c r="AE406" s="3578"/>
      <c r="AF406" s="3578"/>
      <c r="AG406" s="3576"/>
      <c r="AH406" s="3576"/>
      <c r="AI406" s="3580"/>
      <c r="AJ406" s="3581"/>
      <c r="AK406" s="3582"/>
      <c r="AL406" s="3582"/>
      <c r="AM406" s="3582"/>
      <c r="AN406" s="3582"/>
      <c r="AO406" s="3582"/>
      <c r="AP406" s="3582"/>
      <c r="AQ406" s="3582"/>
      <c r="AR406" s="3576"/>
      <c r="AS406" s="3576"/>
      <c r="AT406" s="3576"/>
      <c r="AU406" s="3576"/>
      <c r="AV406" s="3563"/>
    </row>
    <row r="407" s="3565" customFormat="1" spans="1:48">
      <c r="A407" s="3575"/>
      <c r="B407" s="3576"/>
      <c r="C407" s="3576"/>
      <c r="D407" s="3563"/>
      <c r="E407" s="3563"/>
      <c r="F407" s="3576"/>
      <c r="G407" s="3576"/>
      <c r="H407" s="3563"/>
      <c r="I407" s="3563"/>
      <c r="J407" s="3563"/>
      <c r="K407" s="3563"/>
      <c r="L407" s="3563"/>
      <c r="M407" s="3563"/>
      <c r="N407" s="3577"/>
      <c r="O407" s="3563"/>
      <c r="P407" s="3576"/>
      <c r="Q407" s="3578"/>
      <c r="R407" s="3563"/>
      <c r="S407" s="3563"/>
      <c r="T407" s="4014"/>
      <c r="U407" s="3563"/>
      <c r="V407" s="3563"/>
      <c r="W407" s="3578"/>
      <c r="X407" s="3578"/>
      <c r="Y407" s="3578"/>
      <c r="Z407" s="3578"/>
      <c r="AA407" s="3578"/>
      <c r="AB407" s="3563"/>
      <c r="AC407" s="3578"/>
      <c r="AD407" s="3578"/>
      <c r="AE407" s="3578"/>
      <c r="AF407" s="3578"/>
      <c r="AG407" s="3576"/>
      <c r="AH407" s="3576"/>
      <c r="AI407" s="3580"/>
      <c r="AJ407" s="3581"/>
      <c r="AK407" s="3582"/>
      <c r="AL407" s="3582"/>
      <c r="AM407" s="3582"/>
      <c r="AN407" s="3582"/>
      <c r="AO407" s="3582"/>
      <c r="AP407" s="3582"/>
      <c r="AQ407" s="3582"/>
      <c r="AR407" s="3576"/>
      <c r="AS407" s="3576"/>
      <c r="AT407" s="3576"/>
      <c r="AU407" s="3576"/>
      <c r="AV407" s="3563"/>
    </row>
    <row r="408" s="3565" customFormat="1" spans="1:48">
      <c r="A408" s="3575"/>
      <c r="B408" s="3576"/>
      <c r="C408" s="3576"/>
      <c r="D408" s="3563"/>
      <c r="E408" s="3563"/>
      <c r="F408" s="3576"/>
      <c r="G408" s="3576"/>
      <c r="H408" s="3563"/>
      <c r="I408" s="3563"/>
      <c r="J408" s="3563"/>
      <c r="K408" s="3563"/>
      <c r="L408" s="3563"/>
      <c r="M408" s="3563"/>
      <c r="N408" s="3577"/>
      <c r="O408" s="3563"/>
      <c r="P408" s="3576"/>
      <c r="Q408" s="3578"/>
      <c r="R408" s="3563"/>
      <c r="S408" s="3563"/>
      <c r="T408" s="4014"/>
      <c r="U408" s="3563"/>
      <c r="V408" s="3563"/>
      <c r="W408" s="3578"/>
      <c r="X408" s="3578"/>
      <c r="Y408" s="3578"/>
      <c r="Z408" s="3578"/>
      <c r="AA408" s="3578"/>
      <c r="AB408" s="3563"/>
      <c r="AC408" s="3578"/>
      <c r="AD408" s="3578"/>
      <c r="AE408" s="3578"/>
      <c r="AF408" s="3578"/>
      <c r="AG408" s="3576"/>
      <c r="AH408" s="3576"/>
      <c r="AI408" s="3580"/>
      <c r="AJ408" s="3581"/>
      <c r="AK408" s="3582"/>
      <c r="AL408" s="3582"/>
      <c r="AM408" s="3582"/>
      <c r="AN408" s="3582"/>
      <c r="AO408" s="3582"/>
      <c r="AP408" s="3582"/>
      <c r="AQ408" s="3582"/>
      <c r="AR408" s="3576"/>
      <c r="AS408" s="3576"/>
      <c r="AT408" s="3576"/>
      <c r="AU408" s="3576"/>
      <c r="AV408" s="3563"/>
    </row>
    <row r="409" s="3565" customFormat="1" spans="1:48">
      <c r="A409" s="3575"/>
      <c r="B409" s="3576"/>
      <c r="C409" s="3576"/>
      <c r="D409" s="3563"/>
      <c r="E409" s="3563"/>
      <c r="F409" s="3576"/>
      <c r="G409" s="3576"/>
      <c r="H409" s="3563"/>
      <c r="I409" s="3563"/>
      <c r="J409" s="3563"/>
      <c r="K409" s="3563"/>
      <c r="L409" s="3563"/>
      <c r="M409" s="3563"/>
      <c r="N409" s="3577"/>
      <c r="O409" s="3563"/>
      <c r="P409" s="3576"/>
      <c r="Q409" s="3578"/>
      <c r="R409" s="3563"/>
      <c r="S409" s="3563"/>
      <c r="T409" s="4014"/>
      <c r="U409" s="3563"/>
      <c r="V409" s="3563"/>
      <c r="W409" s="3578"/>
      <c r="X409" s="3578"/>
      <c r="Y409" s="3578"/>
      <c r="Z409" s="3578"/>
      <c r="AA409" s="3578"/>
      <c r="AB409" s="3563"/>
      <c r="AC409" s="3578"/>
      <c r="AD409" s="3578"/>
      <c r="AE409" s="3578"/>
      <c r="AF409" s="3578"/>
      <c r="AG409" s="3576"/>
      <c r="AH409" s="3576"/>
      <c r="AI409" s="3580"/>
      <c r="AJ409" s="3581"/>
      <c r="AK409" s="3582"/>
      <c r="AL409" s="3582"/>
      <c r="AM409" s="3582"/>
      <c r="AN409" s="3582"/>
      <c r="AO409" s="3582"/>
      <c r="AP409" s="3582"/>
      <c r="AQ409" s="3582"/>
      <c r="AR409" s="3576"/>
      <c r="AS409" s="3576"/>
      <c r="AT409" s="3576"/>
      <c r="AU409" s="3576"/>
      <c r="AV409" s="3563"/>
    </row>
    <row r="410" s="3565" customFormat="1" spans="1:48">
      <c r="A410" s="3575"/>
      <c r="B410" s="3576"/>
      <c r="C410" s="3576"/>
      <c r="D410" s="3563"/>
      <c r="E410" s="3563"/>
      <c r="F410" s="3576"/>
      <c r="G410" s="3576"/>
      <c r="H410" s="3563"/>
      <c r="I410" s="3563"/>
      <c r="J410" s="3563"/>
      <c r="K410" s="3563"/>
      <c r="L410" s="3563"/>
      <c r="M410" s="3563"/>
      <c r="N410" s="3577"/>
      <c r="O410" s="3563"/>
      <c r="P410" s="3576"/>
      <c r="Q410" s="3578"/>
      <c r="R410" s="3563"/>
      <c r="S410" s="3563"/>
      <c r="T410" s="4014"/>
      <c r="U410" s="3563"/>
      <c r="V410" s="3563"/>
      <c r="W410" s="3578"/>
      <c r="X410" s="3578"/>
      <c r="Y410" s="3578"/>
      <c r="Z410" s="3578"/>
      <c r="AA410" s="3578"/>
      <c r="AB410" s="3563"/>
      <c r="AC410" s="3578"/>
      <c r="AD410" s="3578"/>
      <c r="AE410" s="3578"/>
      <c r="AF410" s="3578"/>
      <c r="AG410" s="3576"/>
      <c r="AH410" s="3576"/>
      <c r="AI410" s="3580"/>
      <c r="AJ410" s="3581"/>
      <c r="AK410" s="3582"/>
      <c r="AL410" s="3582"/>
      <c r="AM410" s="3582"/>
      <c r="AN410" s="3582"/>
      <c r="AO410" s="3582"/>
      <c r="AP410" s="3582"/>
      <c r="AQ410" s="3582"/>
      <c r="AR410" s="3576"/>
      <c r="AS410" s="3576"/>
      <c r="AT410" s="3576"/>
      <c r="AU410" s="3576"/>
      <c r="AV410" s="3563"/>
    </row>
    <row r="411" s="3565" customFormat="1" spans="1:48">
      <c r="A411" s="3575"/>
      <c r="B411" s="3576"/>
      <c r="C411" s="3576"/>
      <c r="D411" s="3563"/>
      <c r="E411" s="3563"/>
      <c r="F411" s="3576"/>
      <c r="G411" s="3576"/>
      <c r="H411" s="3563"/>
      <c r="I411" s="3563"/>
      <c r="J411" s="3563"/>
      <c r="K411" s="3563"/>
      <c r="L411" s="3563"/>
      <c r="M411" s="3563"/>
      <c r="N411" s="3577"/>
      <c r="O411" s="3563"/>
      <c r="P411" s="3576"/>
      <c r="Q411" s="3578"/>
      <c r="R411" s="3563"/>
      <c r="S411" s="3563"/>
      <c r="T411" s="4014"/>
      <c r="U411" s="3563"/>
      <c r="V411" s="3563"/>
      <c r="W411" s="3578"/>
      <c r="X411" s="3578"/>
      <c r="Y411" s="3578"/>
      <c r="Z411" s="3578"/>
      <c r="AA411" s="3578"/>
      <c r="AB411" s="3563"/>
      <c r="AC411" s="3578"/>
      <c r="AD411" s="3578"/>
      <c r="AE411" s="3578"/>
      <c r="AF411" s="3578"/>
      <c r="AG411" s="3576"/>
      <c r="AH411" s="3576"/>
      <c r="AI411" s="3580"/>
      <c r="AJ411" s="3581"/>
      <c r="AK411" s="3582"/>
      <c r="AL411" s="3582"/>
      <c r="AM411" s="3582"/>
      <c r="AN411" s="3582"/>
      <c r="AO411" s="3582"/>
      <c r="AP411" s="3582"/>
      <c r="AQ411" s="3582"/>
      <c r="AR411" s="3576"/>
      <c r="AS411" s="3576"/>
      <c r="AT411" s="3576"/>
      <c r="AU411" s="3576"/>
      <c r="AV411" s="3563"/>
    </row>
    <row r="412" s="3565" customFormat="1" spans="1:48">
      <c r="A412" s="3575"/>
      <c r="B412" s="3576"/>
      <c r="C412" s="3576"/>
      <c r="D412" s="3563"/>
      <c r="E412" s="3563"/>
      <c r="F412" s="3576"/>
      <c r="G412" s="3576"/>
      <c r="H412" s="3563"/>
      <c r="I412" s="3563"/>
      <c r="J412" s="3563"/>
      <c r="K412" s="3563"/>
      <c r="L412" s="3563"/>
      <c r="M412" s="3563"/>
      <c r="N412" s="3577"/>
      <c r="O412" s="3563"/>
      <c r="P412" s="3576"/>
      <c r="Q412" s="3578"/>
      <c r="R412" s="3563"/>
      <c r="S412" s="3563"/>
      <c r="T412" s="4014"/>
      <c r="U412" s="3563"/>
      <c r="V412" s="3563"/>
      <c r="W412" s="3578"/>
      <c r="X412" s="3578"/>
      <c r="Y412" s="3578"/>
      <c r="Z412" s="3578"/>
      <c r="AA412" s="3578"/>
      <c r="AB412" s="3563"/>
      <c r="AC412" s="3578"/>
      <c r="AD412" s="3578"/>
      <c r="AE412" s="3578"/>
      <c r="AF412" s="3578"/>
      <c r="AG412" s="3576"/>
      <c r="AH412" s="3576"/>
      <c r="AI412" s="3580"/>
      <c r="AJ412" s="3581"/>
      <c r="AK412" s="3582"/>
      <c r="AL412" s="3582"/>
      <c r="AM412" s="3582"/>
      <c r="AN412" s="3582"/>
      <c r="AO412" s="3582"/>
      <c r="AP412" s="3582"/>
      <c r="AQ412" s="3582"/>
      <c r="AR412" s="3576"/>
      <c r="AS412" s="3576"/>
      <c r="AT412" s="3576"/>
      <c r="AU412" s="3576"/>
      <c r="AV412" s="3563"/>
    </row>
    <row r="413" s="3565" customFormat="1" spans="1:48">
      <c r="A413" s="3575"/>
      <c r="B413" s="3576"/>
      <c r="C413" s="3576"/>
      <c r="D413" s="3563"/>
      <c r="E413" s="3563"/>
      <c r="F413" s="3576"/>
      <c r="G413" s="3576"/>
      <c r="H413" s="3563"/>
      <c r="I413" s="3563"/>
      <c r="J413" s="3563"/>
      <c r="K413" s="3563"/>
      <c r="L413" s="3563"/>
      <c r="M413" s="3563"/>
      <c r="N413" s="3577"/>
      <c r="O413" s="3563"/>
      <c r="P413" s="3576"/>
      <c r="Q413" s="3578"/>
      <c r="R413" s="3563"/>
      <c r="S413" s="3563"/>
      <c r="T413" s="4014"/>
      <c r="U413" s="3563"/>
      <c r="V413" s="3563"/>
      <c r="W413" s="3578"/>
      <c r="X413" s="3578"/>
      <c r="Y413" s="3578"/>
      <c r="Z413" s="3578"/>
      <c r="AA413" s="3578"/>
      <c r="AB413" s="3563"/>
      <c r="AC413" s="3578"/>
      <c r="AD413" s="3578"/>
      <c r="AE413" s="3578"/>
      <c r="AF413" s="3578"/>
      <c r="AG413" s="3576"/>
      <c r="AH413" s="3576"/>
      <c r="AI413" s="3580"/>
      <c r="AJ413" s="3581"/>
      <c r="AK413" s="3582"/>
      <c r="AL413" s="3582"/>
      <c r="AM413" s="3582"/>
      <c r="AN413" s="3582"/>
      <c r="AO413" s="3582"/>
      <c r="AP413" s="3582"/>
      <c r="AQ413" s="3582"/>
      <c r="AR413" s="3576"/>
      <c r="AS413" s="3576"/>
      <c r="AT413" s="3576"/>
      <c r="AU413" s="3576"/>
      <c r="AV413" s="3563"/>
    </row>
    <row r="414" s="3565" customFormat="1" spans="1:48">
      <c r="A414" s="3575"/>
      <c r="B414" s="3576"/>
      <c r="C414" s="3576"/>
      <c r="D414" s="3563"/>
      <c r="E414" s="3563"/>
      <c r="F414" s="3576"/>
      <c r="G414" s="3576"/>
      <c r="H414" s="3563"/>
      <c r="I414" s="3563"/>
      <c r="J414" s="3563"/>
      <c r="K414" s="3563"/>
      <c r="L414" s="3563"/>
      <c r="M414" s="3563"/>
      <c r="N414" s="3577"/>
      <c r="O414" s="3563"/>
      <c r="P414" s="3576"/>
      <c r="Q414" s="3578"/>
      <c r="R414" s="3563"/>
      <c r="S414" s="3563"/>
      <c r="T414" s="4014"/>
      <c r="U414" s="3563"/>
      <c r="V414" s="3563"/>
      <c r="W414" s="3578"/>
      <c r="X414" s="3578"/>
      <c r="Y414" s="3578"/>
      <c r="Z414" s="3578"/>
      <c r="AA414" s="3578"/>
      <c r="AB414" s="3563"/>
      <c r="AC414" s="3578"/>
      <c r="AD414" s="3578"/>
      <c r="AE414" s="3578"/>
      <c r="AF414" s="3578"/>
      <c r="AG414" s="3576"/>
      <c r="AH414" s="3576"/>
      <c r="AI414" s="3580"/>
      <c r="AJ414" s="3581"/>
      <c r="AK414" s="3582"/>
      <c r="AL414" s="3582"/>
      <c r="AM414" s="3582"/>
      <c r="AN414" s="3582"/>
      <c r="AO414" s="3582"/>
      <c r="AP414" s="3582"/>
      <c r="AQ414" s="3582"/>
      <c r="AR414" s="3576"/>
      <c r="AS414" s="3576"/>
      <c r="AT414" s="3576"/>
      <c r="AU414" s="3576"/>
      <c r="AV414" s="3563"/>
    </row>
    <row r="415" s="3565" customFormat="1" spans="1:48">
      <c r="A415" s="3575"/>
      <c r="B415" s="3576"/>
      <c r="C415" s="3576"/>
      <c r="D415" s="3563"/>
      <c r="E415" s="3563"/>
      <c r="F415" s="3576"/>
      <c r="G415" s="3576"/>
      <c r="H415" s="3563"/>
      <c r="I415" s="3563"/>
      <c r="J415" s="3563"/>
      <c r="K415" s="3563"/>
      <c r="L415" s="3563"/>
      <c r="M415" s="3563"/>
      <c r="N415" s="3577"/>
      <c r="O415" s="3563"/>
      <c r="P415" s="3576"/>
      <c r="Q415" s="3578"/>
      <c r="R415" s="3563"/>
      <c r="S415" s="3563"/>
      <c r="T415" s="4014"/>
      <c r="U415" s="3563"/>
      <c r="V415" s="3563"/>
      <c r="W415" s="3578"/>
      <c r="X415" s="3578"/>
      <c r="Y415" s="3578"/>
      <c r="Z415" s="3578"/>
      <c r="AA415" s="3578"/>
      <c r="AB415" s="3563"/>
      <c r="AC415" s="3578"/>
      <c r="AD415" s="3578"/>
      <c r="AE415" s="3578"/>
      <c r="AF415" s="3578"/>
      <c r="AG415" s="3576"/>
      <c r="AH415" s="3576"/>
      <c r="AI415" s="3580"/>
      <c r="AJ415" s="3581"/>
      <c r="AK415" s="3582"/>
      <c r="AL415" s="3582"/>
      <c r="AM415" s="3582"/>
      <c r="AN415" s="3582"/>
      <c r="AO415" s="3582"/>
      <c r="AP415" s="3582"/>
      <c r="AQ415" s="3582"/>
      <c r="AR415" s="3576"/>
      <c r="AS415" s="3576"/>
      <c r="AT415" s="3576"/>
      <c r="AU415" s="3576"/>
      <c r="AV415" s="3563"/>
    </row>
    <row r="416" s="3565" customFormat="1" spans="1:48">
      <c r="A416" s="3575"/>
      <c r="B416" s="3576"/>
      <c r="C416" s="3576"/>
      <c r="D416" s="3563"/>
      <c r="E416" s="3563"/>
      <c r="F416" s="3576"/>
      <c r="G416" s="3576"/>
      <c r="H416" s="3563"/>
      <c r="I416" s="3563"/>
      <c r="J416" s="3563"/>
      <c r="K416" s="3563"/>
      <c r="L416" s="3563"/>
      <c r="M416" s="3563"/>
      <c r="N416" s="3577"/>
      <c r="O416" s="3563"/>
      <c r="P416" s="3576"/>
      <c r="Q416" s="3578"/>
      <c r="R416" s="3563"/>
      <c r="S416" s="3563"/>
      <c r="T416" s="4014"/>
      <c r="U416" s="3563"/>
      <c r="V416" s="3563"/>
      <c r="W416" s="3578"/>
      <c r="X416" s="3578"/>
      <c r="Y416" s="3578"/>
      <c r="Z416" s="3578"/>
      <c r="AA416" s="3578"/>
      <c r="AB416" s="3563"/>
      <c r="AC416" s="3578"/>
      <c r="AD416" s="3578"/>
      <c r="AE416" s="3578"/>
      <c r="AF416" s="3578"/>
      <c r="AG416" s="3576"/>
      <c r="AH416" s="3576"/>
      <c r="AI416" s="3580"/>
      <c r="AJ416" s="3581"/>
      <c r="AK416" s="3582"/>
      <c r="AL416" s="3582"/>
      <c r="AM416" s="3582"/>
      <c r="AN416" s="3582"/>
      <c r="AO416" s="3582"/>
      <c r="AP416" s="3582"/>
      <c r="AQ416" s="3582"/>
      <c r="AR416" s="3576"/>
      <c r="AS416" s="3576"/>
      <c r="AT416" s="3576"/>
      <c r="AU416" s="3576"/>
      <c r="AV416" s="3563"/>
    </row>
    <row r="417" s="3565" customFormat="1" spans="1:48">
      <c r="A417" s="3575"/>
      <c r="B417" s="3576"/>
      <c r="C417" s="3576"/>
      <c r="D417" s="3563"/>
      <c r="E417" s="3563"/>
      <c r="F417" s="3576"/>
      <c r="G417" s="3576"/>
      <c r="H417" s="3563"/>
      <c r="I417" s="3563"/>
      <c r="J417" s="3563"/>
      <c r="K417" s="3563"/>
      <c r="L417" s="3563"/>
      <c r="M417" s="3563"/>
      <c r="N417" s="3577"/>
      <c r="O417" s="3563"/>
      <c r="P417" s="3576"/>
      <c r="Q417" s="3578"/>
      <c r="R417" s="3563"/>
      <c r="S417" s="3563"/>
      <c r="T417" s="4014"/>
      <c r="U417" s="3563"/>
      <c r="V417" s="3563"/>
      <c r="W417" s="3578"/>
      <c r="X417" s="3578"/>
      <c r="Y417" s="3578"/>
      <c r="Z417" s="3578"/>
      <c r="AA417" s="3578"/>
      <c r="AB417" s="3563"/>
      <c r="AC417" s="3578"/>
      <c r="AD417" s="3578"/>
      <c r="AE417" s="3578"/>
      <c r="AF417" s="3578"/>
      <c r="AG417" s="3576"/>
      <c r="AH417" s="3576"/>
      <c r="AI417" s="3580"/>
      <c r="AJ417" s="3581"/>
      <c r="AK417" s="3582"/>
      <c r="AL417" s="3582"/>
      <c r="AM417" s="3582"/>
      <c r="AN417" s="3582"/>
      <c r="AO417" s="3582"/>
      <c r="AP417" s="3582"/>
      <c r="AQ417" s="3582"/>
      <c r="AR417" s="3576"/>
      <c r="AS417" s="3576"/>
      <c r="AT417" s="3576"/>
      <c r="AU417" s="3576"/>
      <c r="AV417" s="3563"/>
    </row>
    <row r="418" s="3565" customFormat="1" spans="1:48">
      <c r="A418" s="3575"/>
      <c r="B418" s="3576"/>
      <c r="C418" s="3576"/>
      <c r="D418" s="3563"/>
      <c r="E418" s="3563"/>
      <c r="F418" s="3576"/>
      <c r="G418" s="3576"/>
      <c r="H418" s="3563"/>
      <c r="I418" s="3563"/>
      <c r="J418" s="3563"/>
      <c r="K418" s="3563"/>
      <c r="L418" s="3563"/>
      <c r="M418" s="3563"/>
      <c r="N418" s="3577"/>
      <c r="O418" s="3563"/>
      <c r="P418" s="3576"/>
      <c r="Q418" s="3578"/>
      <c r="R418" s="3563"/>
      <c r="S418" s="3563"/>
      <c r="T418" s="4014"/>
      <c r="U418" s="3563"/>
      <c r="V418" s="3563"/>
      <c r="W418" s="3578"/>
      <c r="X418" s="3578"/>
      <c r="Y418" s="3578"/>
      <c r="Z418" s="3578"/>
      <c r="AA418" s="3578"/>
      <c r="AB418" s="3563"/>
      <c r="AC418" s="3578"/>
      <c r="AD418" s="3578"/>
      <c r="AE418" s="3578"/>
      <c r="AF418" s="3578"/>
      <c r="AG418" s="3576"/>
      <c r="AH418" s="3576"/>
      <c r="AI418" s="3580"/>
      <c r="AJ418" s="3581"/>
      <c r="AK418" s="3582"/>
      <c r="AL418" s="3582"/>
      <c r="AM418" s="3582"/>
      <c r="AN418" s="3582"/>
      <c r="AO418" s="3582"/>
      <c r="AP418" s="3582"/>
      <c r="AQ418" s="3582"/>
      <c r="AR418" s="3576"/>
      <c r="AS418" s="3576"/>
      <c r="AT418" s="3576"/>
      <c r="AU418" s="3576"/>
      <c r="AV418" s="3563"/>
    </row>
    <row r="419" s="3565" customFormat="1" spans="1:48">
      <c r="A419" s="3575"/>
      <c r="B419" s="3576"/>
      <c r="C419" s="3576"/>
      <c r="D419" s="3563"/>
      <c r="E419" s="3563"/>
      <c r="F419" s="3576"/>
      <c r="G419" s="3576"/>
      <c r="H419" s="3563"/>
      <c r="I419" s="3563"/>
      <c r="J419" s="3563"/>
      <c r="K419" s="3563"/>
      <c r="L419" s="3563"/>
      <c r="M419" s="3563"/>
      <c r="N419" s="3577"/>
      <c r="O419" s="3563"/>
      <c r="P419" s="3576"/>
      <c r="Q419" s="3578"/>
      <c r="R419" s="3563"/>
      <c r="S419" s="3563"/>
      <c r="T419" s="4014"/>
      <c r="U419" s="3563"/>
      <c r="V419" s="3563"/>
      <c r="W419" s="3578"/>
      <c r="X419" s="3578"/>
      <c r="Y419" s="3578"/>
      <c r="Z419" s="3578"/>
      <c r="AA419" s="3578"/>
      <c r="AB419" s="3563"/>
      <c r="AC419" s="3578"/>
      <c r="AD419" s="3578"/>
      <c r="AE419" s="3578"/>
      <c r="AF419" s="3578"/>
      <c r="AG419" s="3576"/>
      <c r="AH419" s="3576"/>
      <c r="AI419" s="3580"/>
      <c r="AJ419" s="3581"/>
      <c r="AK419" s="3582"/>
      <c r="AL419" s="3582"/>
      <c r="AM419" s="3582"/>
      <c r="AN419" s="3582"/>
      <c r="AO419" s="3582"/>
      <c r="AP419" s="3582"/>
      <c r="AQ419" s="3582"/>
      <c r="AR419" s="3576"/>
      <c r="AS419" s="3576"/>
      <c r="AT419" s="3576"/>
      <c r="AU419" s="3576"/>
      <c r="AV419" s="3563"/>
    </row>
    <row r="420" s="3565" customFormat="1" spans="1:48">
      <c r="A420" s="3575"/>
      <c r="B420" s="3576"/>
      <c r="C420" s="3576"/>
      <c r="D420" s="3563"/>
      <c r="E420" s="3563"/>
      <c r="F420" s="3576"/>
      <c r="G420" s="3576"/>
      <c r="H420" s="3563"/>
      <c r="I420" s="3563"/>
      <c r="J420" s="3563"/>
      <c r="K420" s="3563"/>
      <c r="L420" s="3563"/>
      <c r="M420" s="3563"/>
      <c r="N420" s="3577"/>
      <c r="O420" s="3563"/>
      <c r="P420" s="3576"/>
      <c r="Q420" s="3578"/>
      <c r="R420" s="3563"/>
      <c r="S420" s="3563"/>
      <c r="T420" s="4014"/>
      <c r="U420" s="3563"/>
      <c r="V420" s="3563"/>
      <c r="W420" s="3578"/>
      <c r="X420" s="3578"/>
      <c r="Y420" s="3578"/>
      <c r="Z420" s="3578"/>
      <c r="AA420" s="3578"/>
      <c r="AB420" s="3563"/>
      <c r="AC420" s="3578"/>
      <c r="AD420" s="3578"/>
      <c r="AE420" s="3578"/>
      <c r="AF420" s="3578"/>
      <c r="AG420" s="3576"/>
      <c r="AH420" s="3576"/>
      <c r="AI420" s="3580"/>
      <c r="AJ420" s="3581"/>
      <c r="AK420" s="3582"/>
      <c r="AL420" s="3582"/>
      <c r="AM420" s="3582"/>
      <c r="AN420" s="3582"/>
      <c r="AO420" s="3582"/>
      <c r="AP420" s="3582"/>
      <c r="AQ420" s="3582"/>
      <c r="AR420" s="3576"/>
      <c r="AS420" s="3576"/>
      <c r="AT420" s="3576"/>
      <c r="AU420" s="3576"/>
      <c r="AV420" s="3563"/>
    </row>
    <row r="421" s="3565" customFormat="1" spans="1:48">
      <c r="A421" s="3575"/>
      <c r="B421" s="3576"/>
      <c r="C421" s="3576"/>
      <c r="D421" s="3563"/>
      <c r="E421" s="3563"/>
      <c r="F421" s="3576"/>
      <c r="G421" s="3576"/>
      <c r="H421" s="3563"/>
      <c r="I421" s="3563"/>
      <c r="J421" s="3563"/>
      <c r="K421" s="3563"/>
      <c r="L421" s="3563"/>
      <c r="M421" s="3563"/>
      <c r="N421" s="3577"/>
      <c r="O421" s="3563"/>
      <c r="P421" s="3576"/>
      <c r="Q421" s="3578"/>
      <c r="R421" s="3563"/>
      <c r="S421" s="3563"/>
      <c r="T421" s="4014"/>
      <c r="U421" s="3563"/>
      <c r="V421" s="3563"/>
      <c r="W421" s="3578"/>
      <c r="X421" s="3578"/>
      <c r="Y421" s="3578"/>
      <c r="Z421" s="3578"/>
      <c r="AA421" s="3578"/>
      <c r="AB421" s="3563"/>
      <c r="AC421" s="3578"/>
      <c r="AD421" s="3578"/>
      <c r="AE421" s="3578"/>
      <c r="AF421" s="3578"/>
      <c r="AG421" s="3576"/>
      <c r="AH421" s="3576"/>
      <c r="AI421" s="3580"/>
      <c r="AJ421" s="3581"/>
      <c r="AK421" s="3582"/>
      <c r="AL421" s="3582"/>
      <c r="AM421" s="3582"/>
      <c r="AN421" s="3582"/>
      <c r="AO421" s="3582"/>
      <c r="AP421" s="3582"/>
      <c r="AQ421" s="3582"/>
      <c r="AR421" s="3576"/>
      <c r="AS421" s="3576"/>
      <c r="AT421" s="3576"/>
      <c r="AU421" s="3576"/>
      <c r="AV421" s="3563"/>
    </row>
    <row r="422" s="3565" customFormat="1" spans="1:48">
      <c r="A422" s="3575"/>
      <c r="B422" s="3576"/>
      <c r="C422" s="3576"/>
      <c r="D422" s="3563"/>
      <c r="E422" s="3563"/>
      <c r="F422" s="3576"/>
      <c r="G422" s="3576"/>
      <c r="H422" s="3563"/>
      <c r="I422" s="3563"/>
      <c r="J422" s="3563"/>
      <c r="K422" s="3563"/>
      <c r="L422" s="3563"/>
      <c r="M422" s="3563"/>
      <c r="N422" s="3577"/>
      <c r="O422" s="3563"/>
      <c r="P422" s="3576"/>
      <c r="Q422" s="3578"/>
      <c r="R422" s="3563"/>
      <c r="S422" s="3563"/>
      <c r="T422" s="4014"/>
      <c r="U422" s="3563"/>
      <c r="V422" s="3563"/>
      <c r="W422" s="3578"/>
      <c r="X422" s="3578"/>
      <c r="Y422" s="3578"/>
      <c r="Z422" s="3578"/>
      <c r="AA422" s="3578"/>
      <c r="AB422" s="3563"/>
      <c r="AC422" s="3578"/>
      <c r="AD422" s="3578"/>
      <c r="AE422" s="3578"/>
      <c r="AF422" s="3578"/>
      <c r="AG422" s="3576"/>
      <c r="AH422" s="3576"/>
      <c r="AI422" s="3580"/>
      <c r="AJ422" s="3581"/>
      <c r="AK422" s="3582"/>
      <c r="AL422" s="3582"/>
      <c r="AM422" s="3582"/>
      <c r="AN422" s="3582"/>
      <c r="AO422" s="3582"/>
      <c r="AP422" s="3582"/>
      <c r="AQ422" s="3582"/>
      <c r="AR422" s="3576"/>
      <c r="AS422" s="3576"/>
      <c r="AT422" s="3576"/>
      <c r="AU422" s="3576"/>
      <c r="AV422" s="3563"/>
    </row>
    <row r="423" s="3565" customFormat="1" spans="1:48">
      <c r="A423" s="3575"/>
      <c r="B423" s="3576"/>
      <c r="C423" s="3576"/>
      <c r="D423" s="3563"/>
      <c r="E423" s="3563"/>
      <c r="F423" s="3576"/>
      <c r="G423" s="3576"/>
      <c r="H423" s="3563"/>
      <c r="I423" s="3563"/>
      <c r="J423" s="3563"/>
      <c r="K423" s="3563"/>
      <c r="L423" s="3563"/>
      <c r="M423" s="3563"/>
      <c r="N423" s="3577"/>
      <c r="O423" s="3563"/>
      <c r="P423" s="3576"/>
      <c r="Q423" s="3578"/>
      <c r="R423" s="3563"/>
      <c r="S423" s="3563"/>
      <c r="T423" s="4014"/>
      <c r="U423" s="3563"/>
      <c r="V423" s="3563"/>
      <c r="W423" s="3578"/>
      <c r="X423" s="3578"/>
      <c r="Y423" s="3578"/>
      <c r="Z423" s="3578"/>
      <c r="AA423" s="3578"/>
      <c r="AB423" s="3563"/>
      <c r="AC423" s="3578"/>
      <c r="AD423" s="3578"/>
      <c r="AE423" s="3578"/>
      <c r="AF423" s="3578"/>
      <c r="AG423" s="3576"/>
      <c r="AH423" s="3576"/>
      <c r="AI423" s="3580"/>
      <c r="AJ423" s="3581"/>
      <c r="AK423" s="3582"/>
      <c r="AL423" s="3582"/>
      <c r="AM423" s="3582"/>
      <c r="AN423" s="3582"/>
      <c r="AO423" s="3582"/>
      <c r="AP423" s="3582"/>
      <c r="AQ423" s="3582"/>
      <c r="AR423" s="3576"/>
      <c r="AS423" s="3576"/>
      <c r="AT423" s="3576"/>
      <c r="AU423" s="3576"/>
      <c r="AV423" s="3563"/>
    </row>
    <row r="424" s="3565" customFormat="1" spans="1:48">
      <c r="A424" s="3575"/>
      <c r="B424" s="3576"/>
      <c r="C424" s="3576"/>
      <c r="D424" s="3563"/>
      <c r="E424" s="3563"/>
      <c r="F424" s="3576"/>
      <c r="G424" s="3576"/>
      <c r="H424" s="3563"/>
      <c r="I424" s="3563"/>
      <c r="J424" s="3563"/>
      <c r="K424" s="3563"/>
      <c r="L424" s="3563"/>
      <c r="M424" s="3563"/>
      <c r="N424" s="3577"/>
      <c r="O424" s="3563"/>
      <c r="P424" s="3576"/>
      <c r="Q424" s="3578"/>
      <c r="R424" s="3563"/>
      <c r="S424" s="3563"/>
      <c r="T424" s="4014"/>
      <c r="U424" s="3563"/>
      <c r="V424" s="3563"/>
      <c r="W424" s="3578"/>
      <c r="X424" s="3578"/>
      <c r="Y424" s="3578"/>
      <c r="Z424" s="3578"/>
      <c r="AA424" s="3578"/>
      <c r="AB424" s="3563"/>
      <c r="AC424" s="3578"/>
      <c r="AD424" s="3578"/>
      <c r="AE424" s="3578"/>
      <c r="AF424" s="3578"/>
      <c r="AG424" s="3576"/>
      <c r="AH424" s="3576"/>
      <c r="AI424" s="3580"/>
      <c r="AJ424" s="3581"/>
      <c r="AK424" s="3582"/>
      <c r="AL424" s="3582"/>
      <c r="AM424" s="3582"/>
      <c r="AN424" s="3582"/>
      <c r="AO424" s="3582"/>
      <c r="AP424" s="3582"/>
      <c r="AQ424" s="3582"/>
      <c r="AR424" s="3576"/>
      <c r="AS424" s="3576"/>
      <c r="AT424" s="3576"/>
      <c r="AU424" s="3576"/>
      <c r="AV424" s="3563"/>
    </row>
    <row r="425" s="3565" customFormat="1" spans="1:48">
      <c r="A425" s="3575"/>
      <c r="B425" s="3576"/>
      <c r="C425" s="3576"/>
      <c r="D425" s="3563"/>
      <c r="E425" s="3563"/>
      <c r="F425" s="3576"/>
      <c r="G425" s="3576"/>
      <c r="H425" s="3563"/>
      <c r="I425" s="3563"/>
      <c r="J425" s="3563"/>
      <c r="K425" s="3563"/>
      <c r="L425" s="3563"/>
      <c r="M425" s="3563"/>
      <c r="N425" s="3577"/>
      <c r="O425" s="3563"/>
      <c r="P425" s="3576"/>
      <c r="Q425" s="3578"/>
      <c r="R425" s="3563"/>
      <c r="S425" s="3563"/>
      <c r="T425" s="4014"/>
      <c r="U425" s="3563"/>
      <c r="V425" s="3563"/>
      <c r="W425" s="3578"/>
      <c r="X425" s="3578"/>
      <c r="Y425" s="3578"/>
      <c r="Z425" s="3578"/>
      <c r="AA425" s="3578"/>
      <c r="AB425" s="3563"/>
      <c r="AC425" s="3578"/>
      <c r="AD425" s="3578"/>
      <c r="AE425" s="3578"/>
      <c r="AF425" s="3578"/>
      <c r="AG425" s="3576"/>
      <c r="AH425" s="3576"/>
      <c r="AI425" s="3580"/>
      <c r="AJ425" s="3581"/>
      <c r="AK425" s="3582"/>
      <c r="AL425" s="3582"/>
      <c r="AM425" s="3582"/>
      <c r="AN425" s="3582"/>
      <c r="AO425" s="3582"/>
      <c r="AP425" s="3582"/>
      <c r="AQ425" s="3582"/>
      <c r="AR425" s="3576"/>
      <c r="AS425" s="3576"/>
      <c r="AT425" s="3576"/>
      <c r="AU425" s="3576"/>
      <c r="AV425" s="3563"/>
    </row>
    <row r="426" s="3565" customFormat="1" spans="1:48">
      <c r="A426" s="3575"/>
      <c r="B426" s="3576"/>
      <c r="C426" s="3576"/>
      <c r="D426" s="3563"/>
      <c r="E426" s="3563"/>
      <c r="F426" s="3576"/>
      <c r="G426" s="3576"/>
      <c r="H426" s="3563"/>
      <c r="I426" s="3563"/>
      <c r="J426" s="3563"/>
      <c r="K426" s="3563"/>
      <c r="L426" s="3563"/>
      <c r="M426" s="3563"/>
      <c r="N426" s="3577"/>
      <c r="O426" s="3563"/>
      <c r="P426" s="3576"/>
      <c r="Q426" s="3578"/>
      <c r="R426" s="3563"/>
      <c r="S426" s="3563"/>
      <c r="T426" s="4014"/>
      <c r="U426" s="3563"/>
      <c r="V426" s="3563"/>
      <c r="W426" s="3578"/>
      <c r="X426" s="3578"/>
      <c r="Y426" s="3578"/>
      <c r="Z426" s="3578"/>
      <c r="AA426" s="3578"/>
      <c r="AB426" s="3563"/>
      <c r="AC426" s="3578"/>
      <c r="AD426" s="3578"/>
      <c r="AE426" s="3578"/>
      <c r="AF426" s="3578"/>
      <c r="AG426" s="3576"/>
      <c r="AH426" s="3576"/>
      <c r="AI426" s="3580"/>
      <c r="AJ426" s="3581"/>
      <c r="AK426" s="3582"/>
      <c r="AL426" s="3582"/>
      <c r="AM426" s="3582"/>
      <c r="AN426" s="3582"/>
      <c r="AO426" s="3582"/>
      <c r="AP426" s="3582"/>
      <c r="AQ426" s="3582"/>
      <c r="AR426" s="3576"/>
      <c r="AS426" s="3576"/>
      <c r="AT426" s="3576"/>
      <c r="AU426" s="3576"/>
      <c r="AV426" s="3563"/>
    </row>
    <row r="427" s="3565" customFormat="1" spans="1:48">
      <c r="A427" s="3575"/>
      <c r="B427" s="3576"/>
      <c r="C427" s="3576"/>
      <c r="D427" s="3563"/>
      <c r="E427" s="3563"/>
      <c r="F427" s="3576"/>
      <c r="G427" s="3576"/>
      <c r="H427" s="3563"/>
      <c r="I427" s="3563"/>
      <c r="J427" s="3563"/>
      <c r="K427" s="3563"/>
      <c r="L427" s="3563"/>
      <c r="M427" s="3563"/>
      <c r="N427" s="3577"/>
      <c r="O427" s="3563"/>
      <c r="P427" s="3576"/>
      <c r="Q427" s="3578"/>
      <c r="R427" s="3563"/>
      <c r="S427" s="3563"/>
      <c r="T427" s="4014"/>
      <c r="U427" s="3563"/>
      <c r="V427" s="3563"/>
      <c r="W427" s="3578"/>
      <c r="X427" s="3578"/>
      <c r="Y427" s="3578"/>
      <c r="Z427" s="3578"/>
      <c r="AA427" s="3578"/>
      <c r="AB427" s="3563"/>
      <c r="AC427" s="3578"/>
      <c r="AD427" s="3578"/>
      <c r="AE427" s="3578"/>
      <c r="AF427" s="3578"/>
      <c r="AG427" s="3576"/>
      <c r="AH427" s="3576"/>
      <c r="AI427" s="3580"/>
      <c r="AJ427" s="3581"/>
      <c r="AK427" s="3582"/>
      <c r="AL427" s="3582"/>
      <c r="AM427" s="3582"/>
      <c r="AN427" s="3582"/>
      <c r="AO427" s="3582"/>
      <c r="AP427" s="3582"/>
      <c r="AQ427" s="3582"/>
      <c r="AR427" s="3576"/>
      <c r="AS427" s="3576"/>
      <c r="AT427" s="3576"/>
      <c r="AU427" s="3576"/>
      <c r="AV427" s="3563"/>
    </row>
    <row r="428" s="3565" customFormat="1" spans="1:48">
      <c r="A428" s="3575"/>
      <c r="B428" s="3576"/>
      <c r="C428" s="3576"/>
      <c r="D428" s="3563"/>
      <c r="E428" s="3563"/>
      <c r="F428" s="3576"/>
      <c r="G428" s="3576"/>
      <c r="H428" s="3563"/>
      <c r="I428" s="3563"/>
      <c r="J428" s="3563"/>
      <c r="K428" s="3563"/>
      <c r="L428" s="3563"/>
      <c r="M428" s="3563"/>
      <c r="N428" s="3577"/>
      <c r="O428" s="3563"/>
      <c r="P428" s="3576"/>
      <c r="Q428" s="3578"/>
      <c r="R428" s="3563"/>
      <c r="S428" s="3563"/>
      <c r="T428" s="4014"/>
      <c r="U428" s="3563"/>
      <c r="V428" s="3563"/>
      <c r="W428" s="3578"/>
      <c r="X428" s="3578"/>
      <c r="Y428" s="3578"/>
      <c r="Z428" s="3578"/>
      <c r="AA428" s="3578"/>
      <c r="AB428" s="3563"/>
      <c r="AC428" s="3578"/>
      <c r="AD428" s="3578"/>
      <c r="AE428" s="3578"/>
      <c r="AF428" s="3578"/>
      <c r="AG428" s="3576"/>
      <c r="AH428" s="3576"/>
      <c r="AI428" s="3580"/>
      <c r="AJ428" s="3581"/>
      <c r="AK428" s="3582"/>
      <c r="AL428" s="3582"/>
      <c r="AM428" s="3582"/>
      <c r="AN428" s="3582"/>
      <c r="AO428" s="3582"/>
      <c r="AP428" s="3582"/>
      <c r="AQ428" s="3582"/>
      <c r="AR428" s="3576"/>
      <c r="AS428" s="3576"/>
      <c r="AT428" s="3576"/>
      <c r="AU428" s="3576"/>
      <c r="AV428" s="3563"/>
    </row>
    <row r="429" s="3565" customFormat="1" spans="1:48">
      <c r="A429" s="3575"/>
      <c r="B429" s="3576"/>
      <c r="C429" s="3576"/>
      <c r="D429" s="3563"/>
      <c r="E429" s="3563"/>
      <c r="F429" s="3576"/>
      <c r="G429" s="3576"/>
      <c r="H429" s="3563"/>
      <c r="I429" s="3563"/>
      <c r="J429" s="3563"/>
      <c r="K429" s="3563"/>
      <c r="L429" s="3563"/>
      <c r="M429" s="3563"/>
      <c r="N429" s="3577"/>
      <c r="O429" s="3563"/>
      <c r="P429" s="3576"/>
      <c r="Q429" s="3578"/>
      <c r="R429" s="3563"/>
      <c r="S429" s="3563"/>
      <c r="T429" s="4014"/>
      <c r="U429" s="3563"/>
      <c r="V429" s="3563"/>
      <c r="W429" s="3578"/>
      <c r="X429" s="3578"/>
      <c r="Y429" s="3578"/>
      <c r="Z429" s="3578"/>
      <c r="AA429" s="3578"/>
      <c r="AB429" s="3563"/>
      <c r="AC429" s="3578"/>
      <c r="AD429" s="3578"/>
      <c r="AE429" s="3578"/>
      <c r="AF429" s="3578"/>
      <c r="AG429" s="3576"/>
      <c r="AH429" s="3576"/>
      <c r="AI429" s="3580"/>
      <c r="AJ429" s="3581"/>
      <c r="AK429" s="3582"/>
      <c r="AL429" s="3582"/>
      <c r="AM429" s="3582"/>
      <c r="AN429" s="3582"/>
      <c r="AO429" s="3582"/>
      <c r="AP429" s="3582"/>
      <c r="AQ429" s="3582"/>
      <c r="AR429" s="3576"/>
      <c r="AS429" s="3576"/>
      <c r="AT429" s="3576"/>
      <c r="AU429" s="3576"/>
      <c r="AV429" s="3563"/>
    </row>
    <row r="430" s="3565" customFormat="1" spans="1:48">
      <c r="A430" s="3575"/>
      <c r="B430" s="3576"/>
      <c r="C430" s="3576"/>
      <c r="D430" s="3563"/>
      <c r="E430" s="3563"/>
      <c r="F430" s="3576"/>
      <c r="G430" s="3576"/>
      <c r="H430" s="3563"/>
      <c r="I430" s="3563"/>
      <c r="J430" s="3563"/>
      <c r="K430" s="3563"/>
      <c r="L430" s="3563"/>
      <c r="M430" s="3563"/>
      <c r="N430" s="3577"/>
      <c r="O430" s="3563"/>
      <c r="P430" s="3576"/>
      <c r="Q430" s="3578"/>
      <c r="R430" s="3563"/>
      <c r="S430" s="3563"/>
      <c r="T430" s="4014"/>
      <c r="U430" s="3563"/>
      <c r="V430" s="3563"/>
      <c r="W430" s="3578"/>
      <c r="X430" s="3578"/>
      <c r="Y430" s="3578"/>
      <c r="Z430" s="3578"/>
      <c r="AA430" s="3578"/>
      <c r="AB430" s="3563"/>
      <c r="AC430" s="3578"/>
      <c r="AD430" s="3578"/>
      <c r="AE430" s="3578"/>
      <c r="AF430" s="3578"/>
      <c r="AG430" s="3576"/>
      <c r="AH430" s="3576"/>
      <c r="AI430" s="3580"/>
      <c r="AJ430" s="3581"/>
      <c r="AK430" s="3582"/>
      <c r="AL430" s="3582"/>
      <c r="AM430" s="3582"/>
      <c r="AN430" s="3582"/>
      <c r="AO430" s="3582"/>
      <c r="AP430" s="3582"/>
      <c r="AQ430" s="3582"/>
      <c r="AR430" s="3576"/>
      <c r="AS430" s="3576"/>
      <c r="AT430" s="3576"/>
      <c r="AU430" s="3576"/>
      <c r="AV430" s="3563"/>
    </row>
    <row r="431" s="3565" customFormat="1" spans="1:48">
      <c r="A431" s="3575"/>
      <c r="B431" s="3576"/>
      <c r="C431" s="3576"/>
      <c r="D431" s="3563"/>
      <c r="E431" s="3563"/>
      <c r="F431" s="3576"/>
      <c r="G431" s="3576"/>
      <c r="H431" s="3563"/>
      <c r="I431" s="3563"/>
      <c r="J431" s="3563"/>
      <c r="K431" s="3563"/>
      <c r="L431" s="3563"/>
      <c r="M431" s="3563"/>
      <c r="N431" s="3577"/>
      <c r="O431" s="3563"/>
      <c r="P431" s="3576"/>
      <c r="Q431" s="3578"/>
      <c r="R431" s="3563"/>
      <c r="S431" s="3563"/>
      <c r="T431" s="4014"/>
      <c r="U431" s="3563"/>
      <c r="V431" s="3563"/>
      <c r="W431" s="3578"/>
      <c r="X431" s="3578"/>
      <c r="Y431" s="3578"/>
      <c r="Z431" s="3578"/>
      <c r="AA431" s="3578"/>
      <c r="AB431" s="3563"/>
      <c r="AC431" s="3578"/>
      <c r="AD431" s="3578"/>
      <c r="AE431" s="3578"/>
      <c r="AF431" s="3578"/>
      <c r="AG431" s="3576"/>
      <c r="AH431" s="3576"/>
      <c r="AI431" s="3580"/>
      <c r="AJ431" s="3581"/>
      <c r="AK431" s="3582"/>
      <c r="AL431" s="3582"/>
      <c r="AM431" s="3582"/>
      <c r="AN431" s="3582"/>
      <c r="AO431" s="3582"/>
      <c r="AP431" s="3582"/>
      <c r="AQ431" s="3582"/>
      <c r="AR431" s="3576"/>
      <c r="AS431" s="3576"/>
      <c r="AT431" s="3576"/>
      <c r="AU431" s="3576"/>
      <c r="AV431" s="3563"/>
    </row>
    <row r="432" s="3565" customFormat="1" spans="1:48">
      <c r="A432" s="3575"/>
      <c r="B432" s="3576"/>
      <c r="C432" s="3576"/>
      <c r="D432" s="3563"/>
      <c r="E432" s="3563"/>
      <c r="F432" s="3576"/>
      <c r="G432" s="3576"/>
      <c r="H432" s="3563"/>
      <c r="I432" s="3563"/>
      <c r="J432" s="3563"/>
      <c r="K432" s="3563"/>
      <c r="L432" s="3563"/>
      <c r="M432" s="3563"/>
      <c r="N432" s="3577"/>
      <c r="O432" s="3563"/>
      <c r="P432" s="3576"/>
      <c r="Q432" s="3578"/>
      <c r="R432" s="3563"/>
      <c r="S432" s="3563"/>
      <c r="T432" s="4014"/>
      <c r="U432" s="3563"/>
      <c r="V432" s="3563"/>
      <c r="W432" s="3578"/>
      <c r="X432" s="3578"/>
      <c r="Y432" s="3578"/>
      <c r="Z432" s="3578"/>
      <c r="AA432" s="3578"/>
      <c r="AB432" s="3563"/>
      <c r="AC432" s="3578"/>
      <c r="AD432" s="3578"/>
      <c r="AE432" s="3578"/>
      <c r="AF432" s="3578"/>
      <c r="AG432" s="3576"/>
      <c r="AH432" s="3576"/>
      <c r="AI432" s="3580"/>
      <c r="AJ432" s="3581"/>
      <c r="AK432" s="3582"/>
      <c r="AL432" s="3582"/>
      <c r="AM432" s="3582"/>
      <c r="AN432" s="3582"/>
      <c r="AO432" s="3582"/>
      <c r="AP432" s="3582"/>
      <c r="AQ432" s="3582"/>
      <c r="AR432" s="3576"/>
      <c r="AS432" s="3576"/>
      <c r="AT432" s="3576"/>
      <c r="AU432" s="3576"/>
      <c r="AV432" s="3563"/>
    </row>
    <row r="433" s="3565" customFormat="1" spans="1:48">
      <c r="A433" s="3575"/>
      <c r="B433" s="3576"/>
      <c r="C433" s="3576"/>
      <c r="D433" s="3563"/>
      <c r="E433" s="3563"/>
      <c r="F433" s="3576"/>
      <c r="G433" s="3576"/>
      <c r="H433" s="3563"/>
      <c r="I433" s="3563"/>
      <c r="J433" s="3563"/>
      <c r="K433" s="3563"/>
      <c r="L433" s="3563"/>
      <c r="M433" s="3563"/>
      <c r="N433" s="3577"/>
      <c r="O433" s="3563"/>
      <c r="P433" s="3576"/>
      <c r="Q433" s="3578"/>
      <c r="R433" s="3563"/>
      <c r="S433" s="3563"/>
      <c r="T433" s="4014"/>
      <c r="U433" s="3563"/>
      <c r="V433" s="3563"/>
      <c r="W433" s="3578"/>
      <c r="X433" s="3578"/>
      <c r="Y433" s="3578"/>
      <c r="Z433" s="3578"/>
      <c r="AA433" s="3578"/>
      <c r="AB433" s="3563"/>
      <c r="AC433" s="3578"/>
      <c r="AD433" s="3578"/>
      <c r="AE433" s="3578"/>
      <c r="AF433" s="3578"/>
      <c r="AG433" s="3576"/>
      <c r="AH433" s="3576"/>
      <c r="AI433" s="3580"/>
      <c r="AJ433" s="3581"/>
      <c r="AK433" s="3582"/>
      <c r="AL433" s="3582"/>
      <c r="AM433" s="3582"/>
      <c r="AN433" s="3582"/>
      <c r="AO433" s="3582"/>
      <c r="AP433" s="3582"/>
      <c r="AQ433" s="3582"/>
      <c r="AR433" s="3576"/>
      <c r="AS433" s="3576"/>
      <c r="AT433" s="3576"/>
      <c r="AU433" s="3576"/>
      <c r="AV433" s="3563"/>
    </row>
    <row r="434" s="3565" customFormat="1" spans="1:48">
      <c r="A434" s="3575"/>
      <c r="B434" s="3576"/>
      <c r="C434" s="3576"/>
      <c r="D434" s="3563"/>
      <c r="E434" s="3563"/>
      <c r="F434" s="3576"/>
      <c r="G434" s="3576"/>
      <c r="H434" s="3563"/>
      <c r="I434" s="3563"/>
      <c r="J434" s="3563"/>
      <c r="K434" s="3563"/>
      <c r="L434" s="3563"/>
      <c r="M434" s="3563"/>
      <c r="N434" s="3577"/>
      <c r="O434" s="3563"/>
      <c r="P434" s="3576"/>
      <c r="Q434" s="3578"/>
      <c r="R434" s="3563"/>
      <c r="S434" s="3563"/>
      <c r="T434" s="4014"/>
      <c r="U434" s="3563"/>
      <c r="V434" s="3563"/>
      <c r="W434" s="3578"/>
      <c r="X434" s="3578"/>
      <c r="Y434" s="3578"/>
      <c r="Z434" s="3578"/>
      <c r="AA434" s="3578"/>
      <c r="AB434" s="3563"/>
      <c r="AC434" s="3578"/>
      <c r="AD434" s="3578"/>
      <c r="AE434" s="3578"/>
      <c r="AF434" s="3578"/>
      <c r="AG434" s="3576"/>
      <c r="AH434" s="3576"/>
      <c r="AI434" s="3580"/>
      <c r="AJ434" s="3581"/>
      <c r="AK434" s="3582"/>
      <c r="AL434" s="3582"/>
      <c r="AM434" s="3582"/>
      <c r="AN434" s="3582"/>
      <c r="AO434" s="3582"/>
      <c r="AP434" s="3582"/>
      <c r="AQ434" s="3582"/>
      <c r="AR434" s="3576"/>
      <c r="AS434" s="3576"/>
      <c r="AT434" s="3576"/>
      <c r="AU434" s="3576"/>
      <c r="AV434" s="3563"/>
    </row>
    <row r="435" s="3565" customFormat="1" spans="1:48">
      <c r="A435" s="3575"/>
      <c r="B435" s="3576"/>
      <c r="C435" s="3576"/>
      <c r="D435" s="3563"/>
      <c r="E435" s="3563"/>
      <c r="F435" s="3576"/>
      <c r="G435" s="3576"/>
      <c r="H435" s="3563"/>
      <c r="I435" s="3563"/>
      <c r="J435" s="3563"/>
      <c r="K435" s="3563"/>
      <c r="L435" s="3563"/>
      <c r="M435" s="3563"/>
      <c r="N435" s="3577"/>
      <c r="O435" s="3563"/>
      <c r="P435" s="3576"/>
      <c r="Q435" s="3578"/>
      <c r="R435" s="3563"/>
      <c r="S435" s="3563"/>
      <c r="T435" s="4014"/>
      <c r="U435" s="3563"/>
      <c r="V435" s="3563"/>
      <c r="W435" s="3578"/>
      <c r="X435" s="3578"/>
      <c r="Y435" s="3578"/>
      <c r="Z435" s="3578"/>
      <c r="AA435" s="3578"/>
      <c r="AB435" s="3563"/>
      <c r="AC435" s="3578"/>
      <c r="AD435" s="3578"/>
      <c r="AE435" s="3578"/>
      <c r="AF435" s="3578"/>
      <c r="AG435" s="3576"/>
      <c r="AH435" s="3576"/>
      <c r="AI435" s="3580"/>
      <c r="AJ435" s="3581"/>
      <c r="AK435" s="3582"/>
      <c r="AL435" s="3582"/>
      <c r="AM435" s="3582"/>
      <c r="AN435" s="3582"/>
      <c r="AO435" s="3582"/>
      <c r="AP435" s="3582"/>
      <c r="AQ435" s="3582"/>
      <c r="AR435" s="3576"/>
      <c r="AS435" s="3576"/>
      <c r="AT435" s="3576"/>
      <c r="AU435" s="3576"/>
      <c r="AV435" s="3563"/>
    </row>
    <row r="436" s="3565" customFormat="1" spans="1:48">
      <c r="A436" s="3575"/>
      <c r="B436" s="3576"/>
      <c r="C436" s="3576"/>
      <c r="D436" s="3563"/>
      <c r="E436" s="3563"/>
      <c r="F436" s="3576"/>
      <c r="G436" s="3576"/>
      <c r="H436" s="3563"/>
      <c r="I436" s="3563"/>
      <c r="J436" s="3563"/>
      <c r="K436" s="3563"/>
      <c r="L436" s="3563"/>
      <c r="M436" s="3563"/>
      <c r="N436" s="3577"/>
      <c r="O436" s="3563"/>
      <c r="P436" s="3576"/>
      <c r="Q436" s="3578"/>
      <c r="R436" s="3563"/>
      <c r="S436" s="3563"/>
      <c r="T436" s="4014"/>
      <c r="U436" s="3563"/>
      <c r="V436" s="3563"/>
      <c r="W436" s="3578"/>
      <c r="X436" s="3578"/>
      <c r="Y436" s="3578"/>
      <c r="Z436" s="3578"/>
      <c r="AA436" s="3578"/>
      <c r="AB436" s="3563"/>
      <c r="AC436" s="3578"/>
      <c r="AD436" s="3578"/>
      <c r="AE436" s="3578"/>
      <c r="AF436" s="3578"/>
      <c r="AG436" s="3576"/>
      <c r="AH436" s="3576"/>
      <c r="AI436" s="3580"/>
      <c r="AJ436" s="3581"/>
      <c r="AK436" s="3582"/>
      <c r="AL436" s="3582"/>
      <c r="AM436" s="3582"/>
      <c r="AN436" s="3582"/>
      <c r="AO436" s="3582"/>
      <c r="AP436" s="3582"/>
      <c r="AQ436" s="3582"/>
      <c r="AR436" s="3576"/>
      <c r="AS436" s="3576"/>
      <c r="AT436" s="3576"/>
      <c r="AU436" s="3576"/>
      <c r="AV436" s="3563"/>
    </row>
    <row r="437" s="3565" customFormat="1" spans="1:48">
      <c r="A437" s="3575"/>
      <c r="B437" s="3576"/>
      <c r="C437" s="3576"/>
      <c r="D437" s="3563"/>
      <c r="E437" s="3563"/>
      <c r="F437" s="3576"/>
      <c r="G437" s="3576"/>
      <c r="H437" s="3563"/>
      <c r="I437" s="3563"/>
      <c r="J437" s="3563"/>
      <c r="K437" s="3563"/>
      <c r="L437" s="3563"/>
      <c r="M437" s="3563"/>
      <c r="N437" s="3577"/>
      <c r="O437" s="3563"/>
      <c r="P437" s="3576"/>
      <c r="Q437" s="3578"/>
      <c r="R437" s="3563"/>
      <c r="S437" s="3563"/>
      <c r="T437" s="4014"/>
      <c r="U437" s="3563"/>
      <c r="V437" s="3563"/>
      <c r="W437" s="3578"/>
      <c r="X437" s="3578"/>
      <c r="Y437" s="3578"/>
      <c r="Z437" s="3578"/>
      <c r="AA437" s="3578"/>
      <c r="AB437" s="3563"/>
      <c r="AC437" s="3578"/>
      <c r="AD437" s="3578"/>
      <c r="AE437" s="3578"/>
      <c r="AF437" s="3578"/>
      <c r="AG437" s="3576"/>
      <c r="AH437" s="3576"/>
      <c r="AI437" s="3580"/>
      <c r="AJ437" s="3581"/>
      <c r="AK437" s="3582"/>
      <c r="AL437" s="3582"/>
      <c r="AM437" s="3582"/>
      <c r="AN437" s="3582"/>
      <c r="AO437" s="3582"/>
      <c r="AP437" s="3582"/>
      <c r="AQ437" s="3582"/>
      <c r="AR437" s="3576"/>
      <c r="AS437" s="3576"/>
      <c r="AT437" s="3576"/>
      <c r="AU437" s="3576"/>
      <c r="AV437" s="3563"/>
    </row>
    <row r="438" s="3565" customFormat="1" spans="1:48">
      <c r="A438" s="3575"/>
      <c r="B438" s="3576"/>
      <c r="C438" s="3576"/>
      <c r="D438" s="3563"/>
      <c r="E438" s="3563"/>
      <c r="F438" s="3576"/>
      <c r="G438" s="3576"/>
      <c r="H438" s="3563"/>
      <c r="I438" s="3563"/>
      <c r="J438" s="3563"/>
      <c r="K438" s="3563"/>
      <c r="L438" s="3563"/>
      <c r="M438" s="3563"/>
      <c r="N438" s="3577"/>
      <c r="O438" s="3563"/>
      <c r="P438" s="3576"/>
      <c r="Q438" s="3578"/>
      <c r="R438" s="3563"/>
      <c r="S438" s="3563"/>
      <c r="T438" s="4014"/>
      <c r="U438" s="3563"/>
      <c r="V438" s="3563"/>
      <c r="W438" s="3578"/>
      <c r="X438" s="3578"/>
      <c r="Y438" s="3578"/>
      <c r="Z438" s="3578"/>
      <c r="AA438" s="3578"/>
      <c r="AB438" s="3563"/>
      <c r="AC438" s="3578"/>
      <c r="AD438" s="3578"/>
      <c r="AE438" s="3578"/>
      <c r="AF438" s="3578"/>
      <c r="AG438" s="3576"/>
      <c r="AH438" s="3576"/>
      <c r="AI438" s="3580"/>
      <c r="AJ438" s="3581"/>
      <c r="AK438" s="3582"/>
      <c r="AL438" s="3582"/>
      <c r="AM438" s="3582"/>
      <c r="AN438" s="3582"/>
      <c r="AO438" s="3582"/>
      <c r="AP438" s="3582"/>
      <c r="AQ438" s="3582"/>
      <c r="AR438" s="3576"/>
      <c r="AS438" s="3576"/>
      <c r="AT438" s="3576"/>
      <c r="AU438" s="3576"/>
      <c r="AV438" s="3563"/>
    </row>
    <row r="439" s="3565" customFormat="1" spans="1:48">
      <c r="A439" s="3575"/>
      <c r="B439" s="3576"/>
      <c r="C439" s="3576"/>
      <c r="D439" s="3563"/>
      <c r="E439" s="3563"/>
      <c r="F439" s="3576"/>
      <c r="G439" s="3576"/>
      <c r="H439" s="3563"/>
      <c r="I439" s="3563"/>
      <c r="J439" s="3563"/>
      <c r="K439" s="3563"/>
      <c r="L439" s="3563"/>
      <c r="M439" s="3563"/>
      <c r="N439" s="3577"/>
      <c r="O439" s="3563"/>
      <c r="P439" s="3576"/>
      <c r="Q439" s="3578"/>
      <c r="R439" s="3563"/>
      <c r="S439" s="3563"/>
      <c r="T439" s="4014"/>
      <c r="U439" s="3563"/>
      <c r="V439" s="3563"/>
      <c r="W439" s="3578"/>
      <c r="X439" s="3578"/>
      <c r="Y439" s="3578"/>
      <c r="Z439" s="3578"/>
      <c r="AA439" s="3578"/>
      <c r="AB439" s="3563"/>
      <c r="AC439" s="3578"/>
      <c r="AD439" s="3578"/>
      <c r="AE439" s="3578"/>
      <c r="AF439" s="3578"/>
      <c r="AG439" s="3576"/>
      <c r="AH439" s="3576"/>
      <c r="AI439" s="3580"/>
      <c r="AJ439" s="3581"/>
      <c r="AK439" s="3582"/>
      <c r="AL439" s="3582"/>
      <c r="AM439" s="3582"/>
      <c r="AN439" s="3582"/>
      <c r="AO439" s="3582"/>
      <c r="AP439" s="3582"/>
      <c r="AQ439" s="3582"/>
      <c r="AR439" s="3576"/>
      <c r="AS439" s="3576"/>
      <c r="AT439" s="3576"/>
      <c r="AU439" s="3576"/>
      <c r="AV439" s="3563"/>
    </row>
    <row r="440" s="3565" customFormat="1" spans="1:48">
      <c r="A440" s="3575"/>
      <c r="B440" s="3576"/>
      <c r="C440" s="3576"/>
      <c r="D440" s="3563"/>
      <c r="E440" s="3563"/>
      <c r="F440" s="3576"/>
      <c r="G440" s="3576"/>
      <c r="H440" s="3563"/>
      <c r="I440" s="3563"/>
      <c r="J440" s="3563"/>
      <c r="K440" s="3563"/>
      <c r="L440" s="3563"/>
      <c r="M440" s="3563"/>
      <c r="N440" s="3577"/>
      <c r="O440" s="3563"/>
      <c r="P440" s="3576"/>
      <c r="Q440" s="3578"/>
      <c r="R440" s="3563"/>
      <c r="S440" s="3563"/>
      <c r="T440" s="4014"/>
      <c r="U440" s="3563"/>
      <c r="V440" s="3563"/>
      <c r="W440" s="3578"/>
      <c r="X440" s="3578"/>
      <c r="Y440" s="3578"/>
      <c r="Z440" s="3578"/>
      <c r="AA440" s="3578"/>
      <c r="AB440" s="3563"/>
      <c r="AC440" s="3578"/>
      <c r="AD440" s="3578"/>
      <c r="AE440" s="3578"/>
      <c r="AF440" s="3578"/>
      <c r="AG440" s="3576"/>
      <c r="AH440" s="3576"/>
      <c r="AI440" s="3580"/>
      <c r="AJ440" s="3581"/>
      <c r="AK440" s="3582"/>
      <c r="AL440" s="3582"/>
      <c r="AM440" s="3582"/>
      <c r="AN440" s="3582"/>
      <c r="AO440" s="3582"/>
      <c r="AP440" s="3582"/>
      <c r="AQ440" s="3582"/>
      <c r="AR440" s="3576"/>
      <c r="AS440" s="3576"/>
      <c r="AT440" s="3576"/>
      <c r="AU440" s="3576"/>
      <c r="AV440" s="3563"/>
    </row>
    <row r="441" s="3565" customFormat="1" spans="1:48">
      <c r="A441" s="3575"/>
      <c r="B441" s="3576"/>
      <c r="C441" s="3576"/>
      <c r="D441" s="3563"/>
      <c r="E441" s="3563"/>
      <c r="F441" s="3576"/>
      <c r="G441" s="3576"/>
      <c r="H441" s="3563"/>
      <c r="I441" s="3563"/>
      <c r="J441" s="3563"/>
      <c r="K441" s="3563"/>
      <c r="L441" s="3563"/>
      <c r="M441" s="3563"/>
      <c r="N441" s="3577"/>
      <c r="O441" s="3563"/>
      <c r="P441" s="3576"/>
      <c r="Q441" s="3578"/>
      <c r="R441" s="3563"/>
      <c r="S441" s="3563"/>
      <c r="T441" s="4014"/>
      <c r="U441" s="3563"/>
      <c r="V441" s="3563"/>
      <c r="W441" s="3578"/>
      <c r="X441" s="3578"/>
      <c r="Y441" s="3578"/>
      <c r="Z441" s="3578"/>
      <c r="AA441" s="3578"/>
      <c r="AB441" s="3563"/>
      <c r="AC441" s="3578"/>
      <c r="AD441" s="3578"/>
      <c r="AE441" s="3578"/>
      <c r="AF441" s="3578"/>
      <c r="AG441" s="3576"/>
      <c r="AH441" s="3576"/>
      <c r="AI441" s="3580"/>
      <c r="AJ441" s="3581"/>
      <c r="AK441" s="3582"/>
      <c r="AL441" s="3582"/>
      <c r="AM441" s="3582"/>
      <c r="AN441" s="3582"/>
      <c r="AO441" s="3582"/>
      <c r="AP441" s="3582"/>
      <c r="AQ441" s="3582"/>
      <c r="AR441" s="3576"/>
      <c r="AS441" s="3576"/>
      <c r="AT441" s="3576"/>
      <c r="AU441" s="3576"/>
      <c r="AV441" s="3563"/>
    </row>
    <row r="442" s="3565" customFormat="1" spans="1:48">
      <c r="A442" s="3575"/>
      <c r="B442" s="3576"/>
      <c r="C442" s="3576"/>
      <c r="D442" s="3563"/>
      <c r="E442" s="3563"/>
      <c r="F442" s="3576"/>
      <c r="G442" s="3576"/>
      <c r="H442" s="3563"/>
      <c r="I442" s="3563"/>
      <c r="J442" s="3563"/>
      <c r="K442" s="3563"/>
      <c r="L442" s="3563"/>
      <c r="M442" s="3563"/>
      <c r="N442" s="3577"/>
      <c r="O442" s="3563"/>
      <c r="P442" s="3576"/>
      <c r="Q442" s="3578"/>
      <c r="R442" s="3563"/>
      <c r="S442" s="3563"/>
      <c r="T442" s="4014"/>
      <c r="U442" s="3563"/>
      <c r="V442" s="3563"/>
      <c r="W442" s="3578"/>
      <c r="X442" s="3578"/>
      <c r="Y442" s="3578"/>
      <c r="Z442" s="3578"/>
      <c r="AA442" s="3578"/>
      <c r="AB442" s="3563"/>
      <c r="AC442" s="3578"/>
      <c r="AD442" s="3578"/>
      <c r="AE442" s="3578"/>
      <c r="AF442" s="3578"/>
      <c r="AG442" s="3576"/>
      <c r="AH442" s="3576"/>
      <c r="AI442" s="3580"/>
      <c r="AJ442" s="3581"/>
      <c r="AK442" s="3582"/>
      <c r="AL442" s="3582"/>
      <c r="AM442" s="3582"/>
      <c r="AN442" s="3582"/>
      <c r="AO442" s="3582"/>
      <c r="AP442" s="3582"/>
      <c r="AQ442" s="3582"/>
      <c r="AR442" s="3576"/>
      <c r="AS442" s="3576"/>
      <c r="AT442" s="3576"/>
      <c r="AU442" s="3576"/>
      <c r="AV442" s="3563"/>
    </row>
    <row r="443" s="3565" customFormat="1" spans="1:48">
      <c r="A443" s="3575"/>
      <c r="B443" s="3576"/>
      <c r="C443" s="3576"/>
      <c r="D443" s="3563"/>
      <c r="E443" s="3563"/>
      <c r="F443" s="3576"/>
      <c r="G443" s="3576"/>
      <c r="H443" s="3563"/>
      <c r="I443" s="3563"/>
      <c r="J443" s="3563"/>
      <c r="K443" s="3563"/>
      <c r="L443" s="3563"/>
      <c r="M443" s="3563"/>
      <c r="N443" s="3577"/>
      <c r="O443" s="3563"/>
      <c r="P443" s="3576"/>
      <c r="Q443" s="3578"/>
      <c r="R443" s="3563"/>
      <c r="S443" s="3563"/>
      <c r="T443" s="4014"/>
      <c r="U443" s="3563"/>
      <c r="V443" s="3563"/>
      <c r="W443" s="3578"/>
      <c r="X443" s="3578"/>
      <c r="Y443" s="3578"/>
      <c r="Z443" s="3578"/>
      <c r="AA443" s="3578"/>
      <c r="AB443" s="3563"/>
      <c r="AC443" s="3578"/>
      <c r="AD443" s="3578"/>
      <c r="AE443" s="3578"/>
      <c r="AF443" s="3578"/>
      <c r="AG443" s="3576"/>
      <c r="AH443" s="3576"/>
      <c r="AI443" s="3580"/>
      <c r="AJ443" s="3581"/>
      <c r="AK443" s="3582"/>
      <c r="AL443" s="3582"/>
      <c r="AM443" s="3582"/>
      <c r="AN443" s="3582"/>
      <c r="AO443" s="3582"/>
      <c r="AP443" s="3582"/>
      <c r="AQ443" s="3582"/>
      <c r="AR443" s="3576"/>
      <c r="AS443" s="3576"/>
      <c r="AT443" s="3576"/>
      <c r="AU443" s="3576"/>
      <c r="AV443" s="3563"/>
    </row>
    <row r="444" s="3565" customFormat="1" spans="1:48">
      <c r="A444" s="3575"/>
      <c r="B444" s="3576"/>
      <c r="C444" s="3576"/>
      <c r="D444" s="3563"/>
      <c r="E444" s="3563"/>
      <c r="F444" s="3576"/>
      <c r="G444" s="3576"/>
      <c r="H444" s="3563"/>
      <c r="I444" s="3563"/>
      <c r="J444" s="3563"/>
      <c r="K444" s="3563"/>
      <c r="L444" s="3563"/>
      <c r="M444" s="3563"/>
      <c r="N444" s="3577"/>
      <c r="O444" s="3563"/>
      <c r="P444" s="3576"/>
      <c r="Q444" s="3578"/>
      <c r="R444" s="3563"/>
      <c r="S444" s="3563"/>
      <c r="T444" s="4014"/>
      <c r="U444" s="3563"/>
      <c r="V444" s="3563"/>
      <c r="W444" s="3578"/>
      <c r="X444" s="3578"/>
      <c r="Y444" s="3578"/>
      <c r="Z444" s="3578"/>
      <c r="AA444" s="3578"/>
      <c r="AB444" s="3563"/>
      <c r="AC444" s="3578"/>
      <c r="AD444" s="3578"/>
      <c r="AE444" s="3578"/>
      <c r="AF444" s="3578"/>
      <c r="AG444" s="3576"/>
      <c r="AH444" s="3576"/>
      <c r="AI444" s="3580"/>
      <c r="AJ444" s="3581"/>
      <c r="AK444" s="3582"/>
      <c r="AL444" s="3582"/>
      <c r="AM444" s="3582"/>
      <c r="AN444" s="3582"/>
      <c r="AO444" s="3582"/>
      <c r="AP444" s="3582"/>
      <c r="AQ444" s="3582"/>
      <c r="AR444" s="3576"/>
      <c r="AS444" s="3576"/>
      <c r="AT444" s="3576"/>
      <c r="AU444" s="3576"/>
      <c r="AV444" s="3563"/>
    </row>
    <row r="445" s="3565" customFormat="1" spans="1:48">
      <c r="A445" s="3575"/>
      <c r="B445" s="3576"/>
      <c r="C445" s="3576"/>
      <c r="D445" s="3563"/>
      <c r="E445" s="3563"/>
      <c r="F445" s="3576"/>
      <c r="G445" s="3576"/>
      <c r="H445" s="3563"/>
      <c r="I445" s="3563"/>
      <c r="J445" s="3563"/>
      <c r="K445" s="3563"/>
      <c r="L445" s="3563"/>
      <c r="M445" s="3563"/>
      <c r="N445" s="3577"/>
      <c r="O445" s="3563"/>
      <c r="P445" s="3576"/>
      <c r="Q445" s="3578"/>
      <c r="R445" s="3563"/>
      <c r="S445" s="3563"/>
      <c r="T445" s="4014"/>
      <c r="U445" s="3563"/>
      <c r="V445" s="3563"/>
      <c r="W445" s="3578"/>
      <c r="X445" s="3578"/>
      <c r="Y445" s="3578"/>
      <c r="Z445" s="3578"/>
      <c r="AA445" s="3578"/>
      <c r="AB445" s="3563"/>
      <c r="AC445" s="3578"/>
      <c r="AD445" s="3578"/>
      <c r="AE445" s="3578"/>
      <c r="AF445" s="3578"/>
      <c r="AG445" s="3576"/>
      <c r="AH445" s="3576"/>
      <c r="AI445" s="3580"/>
      <c r="AJ445" s="3581"/>
      <c r="AK445" s="3582"/>
      <c r="AL445" s="3582"/>
      <c r="AM445" s="3582"/>
      <c r="AN445" s="3582"/>
      <c r="AO445" s="3582"/>
      <c r="AP445" s="3582"/>
      <c r="AQ445" s="3582"/>
      <c r="AR445" s="3576"/>
      <c r="AS445" s="3576"/>
      <c r="AT445" s="3576"/>
      <c r="AU445" s="3576"/>
      <c r="AV445" s="3563"/>
    </row>
    <row r="446" s="3565" customFormat="1" spans="1:48">
      <c r="A446" s="3575"/>
      <c r="B446" s="3576"/>
      <c r="C446" s="3576"/>
      <c r="D446" s="3563"/>
      <c r="E446" s="3563"/>
      <c r="F446" s="3576"/>
      <c r="G446" s="3576"/>
      <c r="H446" s="3563"/>
      <c r="I446" s="3563"/>
      <c r="J446" s="3563"/>
      <c r="K446" s="3563"/>
      <c r="L446" s="3563"/>
      <c r="M446" s="3563"/>
      <c r="N446" s="3577"/>
      <c r="O446" s="3563"/>
      <c r="P446" s="3576"/>
      <c r="Q446" s="3578"/>
      <c r="R446" s="3563"/>
      <c r="S446" s="3563"/>
      <c r="T446" s="4014"/>
      <c r="U446" s="3563"/>
      <c r="V446" s="3563"/>
      <c r="W446" s="3578"/>
      <c r="X446" s="3578"/>
      <c r="Y446" s="3578"/>
      <c r="Z446" s="3578"/>
      <c r="AA446" s="3578"/>
      <c r="AB446" s="3563"/>
      <c r="AC446" s="3578"/>
      <c r="AD446" s="3578"/>
      <c r="AE446" s="3578"/>
      <c r="AF446" s="3578"/>
      <c r="AG446" s="3576"/>
      <c r="AH446" s="3576"/>
      <c r="AI446" s="3580"/>
      <c r="AJ446" s="3581"/>
      <c r="AK446" s="3582"/>
      <c r="AL446" s="3582"/>
      <c r="AM446" s="3582"/>
      <c r="AN446" s="3582"/>
      <c r="AO446" s="3582"/>
      <c r="AP446" s="3582"/>
      <c r="AQ446" s="3582"/>
      <c r="AR446" s="3576"/>
      <c r="AS446" s="3576"/>
      <c r="AT446" s="3576"/>
      <c r="AU446" s="3576"/>
      <c r="AV446" s="3563"/>
    </row>
    <row r="447" s="3565" customFormat="1" spans="1:48">
      <c r="A447" s="3575"/>
      <c r="B447" s="3576"/>
      <c r="C447" s="3576"/>
      <c r="D447" s="3563"/>
      <c r="E447" s="3563"/>
      <c r="F447" s="3576"/>
      <c r="G447" s="3576"/>
      <c r="H447" s="3563"/>
      <c r="I447" s="3563"/>
      <c r="J447" s="3563"/>
      <c r="K447" s="3563"/>
      <c r="L447" s="3563"/>
      <c r="M447" s="3563"/>
      <c r="N447" s="3577"/>
      <c r="O447" s="3563"/>
      <c r="P447" s="3576"/>
      <c r="Q447" s="3578"/>
      <c r="R447" s="3563"/>
      <c r="S447" s="3563"/>
      <c r="T447" s="4014"/>
      <c r="U447" s="3563"/>
      <c r="V447" s="3563"/>
      <c r="W447" s="3578"/>
      <c r="X447" s="3578"/>
      <c r="Y447" s="3578"/>
      <c r="Z447" s="3578"/>
      <c r="AA447" s="3578"/>
      <c r="AB447" s="3563"/>
      <c r="AC447" s="3578"/>
      <c r="AD447" s="3578"/>
      <c r="AE447" s="3578"/>
      <c r="AF447" s="3578"/>
      <c r="AG447" s="3576"/>
      <c r="AH447" s="3576"/>
      <c r="AI447" s="3580"/>
      <c r="AJ447" s="3581"/>
      <c r="AK447" s="3582"/>
      <c r="AL447" s="3582"/>
      <c r="AM447" s="3582"/>
      <c r="AN447" s="3582"/>
      <c r="AO447" s="3582"/>
      <c r="AP447" s="3582"/>
      <c r="AQ447" s="3582"/>
      <c r="AR447" s="3576"/>
      <c r="AS447" s="3576"/>
      <c r="AT447" s="3576"/>
      <c r="AU447" s="3576"/>
      <c r="AV447" s="3563"/>
    </row>
    <row r="448" s="3565" customFormat="1" spans="1:48">
      <c r="A448" s="3575"/>
      <c r="B448" s="3576"/>
      <c r="C448" s="3576"/>
      <c r="D448" s="3563"/>
      <c r="E448" s="3563"/>
      <c r="F448" s="3576"/>
      <c r="G448" s="3576"/>
      <c r="H448" s="3563"/>
      <c r="I448" s="3563"/>
      <c r="J448" s="3563"/>
      <c r="K448" s="3563"/>
      <c r="L448" s="3563"/>
      <c r="M448" s="3563"/>
      <c r="N448" s="3577"/>
      <c r="O448" s="3563"/>
      <c r="P448" s="3576"/>
      <c r="Q448" s="3578"/>
      <c r="R448" s="3563"/>
      <c r="S448" s="3563"/>
      <c r="T448" s="4014"/>
      <c r="U448" s="3563"/>
      <c r="V448" s="3563"/>
      <c r="W448" s="3578"/>
      <c r="X448" s="3578"/>
      <c r="Y448" s="3578"/>
      <c r="Z448" s="3578"/>
      <c r="AA448" s="3578"/>
      <c r="AB448" s="3563"/>
      <c r="AC448" s="3578"/>
      <c r="AD448" s="3578"/>
      <c r="AE448" s="3578"/>
      <c r="AF448" s="3578"/>
      <c r="AG448" s="3576"/>
      <c r="AH448" s="3576"/>
      <c r="AI448" s="3580"/>
      <c r="AJ448" s="3581"/>
      <c r="AK448" s="3582"/>
      <c r="AL448" s="3582"/>
      <c r="AM448" s="3582"/>
      <c r="AN448" s="3582"/>
      <c r="AO448" s="3582"/>
      <c r="AP448" s="3582"/>
      <c r="AQ448" s="3582"/>
      <c r="AR448" s="3576"/>
      <c r="AS448" s="3576"/>
      <c r="AT448" s="3576"/>
      <c r="AU448" s="3576"/>
      <c r="AV448" s="3563"/>
    </row>
    <row r="449" s="3565" customFormat="1" spans="1:48">
      <c r="A449" s="3575"/>
      <c r="B449" s="3576"/>
      <c r="C449" s="3576"/>
      <c r="D449" s="3563"/>
      <c r="E449" s="3563"/>
      <c r="F449" s="3576"/>
      <c r="G449" s="3576"/>
      <c r="H449" s="3563"/>
      <c r="I449" s="3563"/>
      <c r="J449" s="3563"/>
      <c r="K449" s="3563"/>
      <c r="L449" s="3563"/>
      <c r="M449" s="3563"/>
      <c r="N449" s="3577"/>
      <c r="O449" s="3563"/>
      <c r="P449" s="3576"/>
      <c r="Q449" s="3578"/>
      <c r="R449" s="3563"/>
      <c r="S449" s="3563"/>
      <c r="T449" s="4014"/>
      <c r="U449" s="3563"/>
      <c r="V449" s="3563"/>
      <c r="W449" s="3578"/>
      <c r="X449" s="3578"/>
      <c r="Y449" s="3578"/>
      <c r="Z449" s="3578"/>
      <c r="AA449" s="3578"/>
      <c r="AB449" s="3563"/>
      <c r="AC449" s="3578"/>
      <c r="AD449" s="3578"/>
      <c r="AE449" s="3578"/>
      <c r="AF449" s="3578"/>
      <c r="AG449" s="3576"/>
      <c r="AH449" s="3576"/>
      <c r="AI449" s="3580"/>
      <c r="AJ449" s="3581"/>
      <c r="AK449" s="3582"/>
      <c r="AL449" s="3582"/>
      <c r="AM449" s="3582"/>
      <c r="AN449" s="3582"/>
      <c r="AO449" s="3582"/>
      <c r="AP449" s="3582"/>
      <c r="AQ449" s="3582"/>
      <c r="AR449" s="3576"/>
      <c r="AS449" s="3576"/>
      <c r="AT449" s="3576"/>
      <c r="AU449" s="3576"/>
      <c r="AV449" s="3563"/>
    </row>
    <row r="450" s="3565" customFormat="1" spans="1:48">
      <c r="A450" s="3575"/>
      <c r="B450" s="3576"/>
      <c r="C450" s="3576"/>
      <c r="D450" s="3563"/>
      <c r="E450" s="3563"/>
      <c r="F450" s="3576"/>
      <c r="G450" s="3576"/>
      <c r="H450" s="3563"/>
      <c r="I450" s="3563"/>
      <c r="J450" s="3563"/>
      <c r="K450" s="3563"/>
      <c r="L450" s="3563"/>
      <c r="M450" s="3563"/>
      <c r="N450" s="3577"/>
      <c r="O450" s="3563"/>
      <c r="P450" s="3576"/>
      <c r="Q450" s="3578"/>
      <c r="R450" s="3563"/>
      <c r="S450" s="3563"/>
      <c r="T450" s="4014"/>
      <c r="U450" s="3563"/>
      <c r="V450" s="3563"/>
      <c r="W450" s="3578"/>
      <c r="X450" s="3578"/>
      <c r="Y450" s="3578"/>
      <c r="Z450" s="3578"/>
      <c r="AA450" s="3578"/>
      <c r="AB450" s="3563"/>
      <c r="AC450" s="3578"/>
      <c r="AD450" s="3578"/>
      <c r="AE450" s="3578"/>
      <c r="AF450" s="3578"/>
      <c r="AG450" s="3576"/>
      <c r="AH450" s="3576"/>
      <c r="AI450" s="3580"/>
      <c r="AJ450" s="3581"/>
      <c r="AK450" s="3582"/>
      <c r="AL450" s="3582"/>
      <c r="AM450" s="3582"/>
      <c r="AN450" s="3582"/>
      <c r="AO450" s="3582"/>
      <c r="AP450" s="3582"/>
      <c r="AQ450" s="3582"/>
      <c r="AR450" s="3576"/>
      <c r="AS450" s="3576"/>
      <c r="AT450" s="3576"/>
      <c r="AU450" s="3576"/>
      <c r="AV450" s="3563"/>
    </row>
    <row r="451" s="3565" customFormat="1" spans="1:48">
      <c r="A451" s="3575"/>
      <c r="B451" s="3576"/>
      <c r="C451" s="3576"/>
      <c r="D451" s="3563"/>
      <c r="E451" s="3563"/>
      <c r="F451" s="3576"/>
      <c r="G451" s="3576"/>
      <c r="H451" s="3563"/>
      <c r="I451" s="3563"/>
      <c r="J451" s="3563"/>
      <c r="K451" s="3563"/>
      <c r="L451" s="3563"/>
      <c r="M451" s="3563"/>
      <c r="N451" s="3577"/>
      <c r="O451" s="3563"/>
      <c r="P451" s="3576"/>
      <c r="Q451" s="3578"/>
      <c r="R451" s="3563"/>
      <c r="S451" s="3563"/>
      <c r="T451" s="4014"/>
      <c r="U451" s="3563"/>
      <c r="V451" s="3563"/>
      <c r="W451" s="3578"/>
      <c r="X451" s="3578"/>
      <c r="Y451" s="3578"/>
      <c r="Z451" s="3578"/>
      <c r="AA451" s="3578"/>
      <c r="AB451" s="3563"/>
      <c r="AC451" s="3578"/>
      <c r="AD451" s="3578"/>
      <c r="AE451" s="3578"/>
      <c r="AF451" s="3578"/>
      <c r="AG451" s="3576"/>
      <c r="AH451" s="3576"/>
      <c r="AI451" s="3580"/>
      <c r="AJ451" s="3581"/>
      <c r="AK451" s="3582"/>
      <c r="AL451" s="3582"/>
      <c r="AM451" s="3582"/>
      <c r="AN451" s="3582"/>
      <c r="AO451" s="3582"/>
      <c r="AP451" s="3582"/>
      <c r="AQ451" s="3582"/>
      <c r="AR451" s="3576"/>
      <c r="AS451" s="3576"/>
      <c r="AT451" s="3576"/>
      <c r="AU451" s="3576"/>
      <c r="AV451" s="3563"/>
    </row>
    <row r="452" s="3565" customFormat="1" spans="1:48">
      <c r="A452" s="3575"/>
      <c r="B452" s="3576"/>
      <c r="C452" s="3576"/>
      <c r="D452" s="3563"/>
      <c r="E452" s="3563"/>
      <c r="F452" s="3576"/>
      <c r="G452" s="3576"/>
      <c r="H452" s="3563"/>
      <c r="I452" s="3563"/>
      <c r="J452" s="3563"/>
      <c r="K452" s="3563"/>
      <c r="L452" s="3563"/>
      <c r="M452" s="3563"/>
      <c r="N452" s="3577"/>
      <c r="O452" s="3563"/>
      <c r="P452" s="3576"/>
      <c r="Q452" s="3578"/>
      <c r="R452" s="3563"/>
      <c r="S452" s="3563"/>
      <c r="T452" s="4014"/>
      <c r="U452" s="3563"/>
      <c r="V452" s="3563"/>
      <c r="W452" s="3578"/>
      <c r="X452" s="3578"/>
      <c r="Y452" s="3578"/>
      <c r="Z452" s="3578"/>
      <c r="AA452" s="3578"/>
      <c r="AB452" s="3563"/>
      <c r="AC452" s="3578"/>
      <c r="AD452" s="3578"/>
      <c r="AE452" s="3578"/>
      <c r="AF452" s="3578"/>
      <c r="AG452" s="3576"/>
      <c r="AH452" s="3576"/>
      <c r="AI452" s="3580"/>
      <c r="AJ452" s="3581"/>
      <c r="AK452" s="3582"/>
      <c r="AL452" s="3582"/>
      <c r="AM452" s="3582"/>
      <c r="AN452" s="3582"/>
      <c r="AO452" s="3582"/>
      <c r="AP452" s="3582"/>
      <c r="AQ452" s="3582"/>
      <c r="AR452" s="3576"/>
      <c r="AS452" s="3576"/>
      <c r="AT452" s="3576"/>
      <c r="AU452" s="3576"/>
      <c r="AV452" s="3563"/>
    </row>
    <row r="453" s="3565" customFormat="1" spans="1:48">
      <c r="A453" s="3575"/>
      <c r="B453" s="3576"/>
      <c r="C453" s="3576"/>
      <c r="D453" s="3563"/>
      <c r="E453" s="3563"/>
      <c r="F453" s="3576"/>
      <c r="G453" s="3576"/>
      <c r="H453" s="3563"/>
      <c r="I453" s="3563"/>
      <c r="J453" s="3563"/>
      <c r="K453" s="3563"/>
      <c r="L453" s="3563"/>
      <c r="M453" s="3563"/>
      <c r="N453" s="3577"/>
      <c r="O453" s="3563"/>
      <c r="P453" s="3576"/>
      <c r="Q453" s="3578"/>
      <c r="R453" s="3563"/>
      <c r="S453" s="3563"/>
      <c r="T453" s="4014"/>
      <c r="U453" s="3563"/>
      <c r="V453" s="3563"/>
      <c r="W453" s="3578"/>
      <c r="X453" s="3578"/>
      <c r="Y453" s="3578"/>
      <c r="Z453" s="3578"/>
      <c r="AA453" s="3578"/>
      <c r="AB453" s="3563"/>
      <c r="AC453" s="3578"/>
      <c r="AD453" s="3578"/>
      <c r="AE453" s="3578"/>
      <c r="AF453" s="3578"/>
      <c r="AG453" s="3576"/>
      <c r="AH453" s="3576"/>
      <c r="AI453" s="3580"/>
      <c r="AJ453" s="3581"/>
      <c r="AK453" s="3582"/>
      <c r="AL453" s="3582"/>
      <c r="AM453" s="3582"/>
      <c r="AN453" s="3582"/>
      <c r="AO453" s="3582"/>
      <c r="AP453" s="3582"/>
      <c r="AQ453" s="3582"/>
      <c r="AR453" s="3576"/>
      <c r="AS453" s="3576"/>
      <c r="AT453" s="3576"/>
      <c r="AU453" s="3576"/>
      <c r="AV453" s="3563"/>
    </row>
    <row r="454" s="3565" customFormat="1" spans="1:48">
      <c r="A454" s="3575"/>
      <c r="B454" s="3576"/>
      <c r="C454" s="3576"/>
      <c r="D454" s="3563"/>
      <c r="E454" s="3563"/>
      <c r="F454" s="3576"/>
      <c r="G454" s="3576"/>
      <c r="H454" s="3563"/>
      <c r="I454" s="3563"/>
      <c r="J454" s="3563"/>
      <c r="K454" s="3563"/>
      <c r="L454" s="3563"/>
      <c r="M454" s="3563"/>
      <c r="N454" s="3577"/>
      <c r="O454" s="3563"/>
      <c r="P454" s="3576"/>
      <c r="Q454" s="3578"/>
      <c r="R454" s="3563"/>
      <c r="S454" s="3563"/>
      <c r="T454" s="4014"/>
      <c r="U454" s="3563"/>
      <c r="V454" s="3563"/>
      <c r="W454" s="3578"/>
      <c r="X454" s="3578"/>
      <c r="Y454" s="3578"/>
      <c r="Z454" s="3578"/>
      <c r="AA454" s="3578"/>
      <c r="AB454" s="3563"/>
      <c r="AC454" s="3578"/>
      <c r="AD454" s="3578"/>
      <c r="AE454" s="3578"/>
      <c r="AF454" s="3578"/>
      <c r="AG454" s="3576"/>
      <c r="AH454" s="3576"/>
      <c r="AI454" s="3580"/>
      <c r="AJ454" s="3581"/>
      <c r="AK454" s="3582"/>
      <c r="AL454" s="3582"/>
      <c r="AM454" s="3582"/>
      <c r="AN454" s="3582"/>
      <c r="AO454" s="3582"/>
      <c r="AP454" s="3582"/>
      <c r="AQ454" s="3582"/>
      <c r="AR454" s="3576"/>
      <c r="AS454" s="3576"/>
      <c r="AT454" s="3576"/>
      <c r="AU454" s="3576"/>
      <c r="AV454" s="3563"/>
    </row>
    <row r="455" s="3565" customFormat="1" spans="1:48">
      <c r="A455" s="3575"/>
      <c r="B455" s="3576"/>
      <c r="C455" s="3576"/>
      <c r="D455" s="3563"/>
      <c r="E455" s="3563"/>
      <c r="F455" s="3576"/>
      <c r="G455" s="3576"/>
      <c r="H455" s="3563"/>
      <c r="I455" s="3563"/>
      <c r="J455" s="3563"/>
      <c r="K455" s="3563"/>
      <c r="L455" s="3563"/>
      <c r="M455" s="3563"/>
      <c r="N455" s="3577"/>
      <c r="O455" s="3563"/>
      <c r="P455" s="3576"/>
      <c r="Q455" s="3578"/>
      <c r="R455" s="3563"/>
      <c r="S455" s="3563"/>
      <c r="T455" s="4014"/>
      <c r="U455" s="3563"/>
      <c r="V455" s="3563"/>
      <c r="W455" s="3578"/>
      <c r="X455" s="3578"/>
      <c r="Y455" s="3578"/>
      <c r="Z455" s="3578"/>
      <c r="AA455" s="3578"/>
      <c r="AB455" s="3563"/>
      <c r="AC455" s="3578"/>
      <c r="AD455" s="3578"/>
      <c r="AE455" s="3578"/>
      <c r="AF455" s="3578"/>
      <c r="AG455" s="3576"/>
      <c r="AH455" s="3576"/>
      <c r="AI455" s="3580"/>
      <c r="AJ455" s="3581"/>
      <c r="AK455" s="3582"/>
      <c r="AL455" s="3582"/>
      <c r="AM455" s="3582"/>
      <c r="AN455" s="3582"/>
      <c r="AO455" s="3582"/>
      <c r="AP455" s="3582"/>
      <c r="AQ455" s="3582"/>
      <c r="AR455" s="3576"/>
      <c r="AS455" s="3576"/>
      <c r="AT455" s="3576"/>
      <c r="AU455" s="3576"/>
      <c r="AV455" s="3563"/>
    </row>
    <row r="456" s="3565" customFormat="1" spans="1:48">
      <c r="A456" s="3575"/>
      <c r="B456" s="3576"/>
      <c r="C456" s="3576"/>
      <c r="D456" s="3563"/>
      <c r="E456" s="3563"/>
      <c r="F456" s="3576"/>
      <c r="G456" s="3576"/>
      <c r="H456" s="3563"/>
      <c r="I456" s="3563"/>
      <c r="J456" s="3563"/>
      <c r="K456" s="3563"/>
      <c r="L456" s="3563"/>
      <c r="M456" s="3563"/>
      <c r="N456" s="3577"/>
      <c r="O456" s="3563"/>
      <c r="P456" s="3576"/>
      <c r="Q456" s="3578"/>
      <c r="R456" s="3563"/>
      <c r="S456" s="3563"/>
      <c r="T456" s="4014"/>
      <c r="U456" s="3563"/>
      <c r="V456" s="3563"/>
      <c r="W456" s="3578"/>
      <c r="X456" s="3578"/>
      <c r="Y456" s="3578"/>
      <c r="Z456" s="3578"/>
      <c r="AA456" s="3578"/>
      <c r="AB456" s="3563"/>
      <c r="AC456" s="3578"/>
      <c r="AD456" s="3578"/>
      <c r="AE456" s="3578"/>
      <c r="AF456" s="3578"/>
      <c r="AG456" s="3576"/>
      <c r="AH456" s="3576"/>
      <c r="AI456" s="3580"/>
      <c r="AJ456" s="3581"/>
      <c r="AK456" s="3582"/>
      <c r="AL456" s="3582"/>
      <c r="AM456" s="3582"/>
      <c r="AN456" s="3582"/>
      <c r="AO456" s="3582"/>
      <c r="AP456" s="3582"/>
      <c r="AQ456" s="3582"/>
      <c r="AR456" s="3576"/>
      <c r="AS456" s="3576"/>
      <c r="AT456" s="3576"/>
      <c r="AU456" s="3576"/>
      <c r="AV456" s="3563"/>
    </row>
    <row r="457" s="3565" customFormat="1" spans="1:48">
      <c r="A457" s="3575"/>
      <c r="B457" s="3576"/>
      <c r="C457" s="3576"/>
      <c r="D457" s="3563"/>
      <c r="E457" s="3563"/>
      <c r="F457" s="3576"/>
      <c r="G457" s="3576"/>
      <c r="H457" s="3563"/>
      <c r="I457" s="3563"/>
      <c r="J457" s="3563"/>
      <c r="K457" s="3563"/>
      <c r="L457" s="3563"/>
      <c r="M457" s="3563"/>
      <c r="N457" s="3577"/>
      <c r="O457" s="3563"/>
      <c r="P457" s="3576"/>
      <c r="Q457" s="3578"/>
      <c r="R457" s="3563"/>
      <c r="S457" s="3563"/>
      <c r="T457" s="4014"/>
      <c r="U457" s="3563"/>
      <c r="V457" s="3563"/>
      <c r="W457" s="3578"/>
      <c r="X457" s="3578"/>
      <c r="Y457" s="3578"/>
      <c r="Z457" s="3578"/>
      <c r="AA457" s="3578"/>
      <c r="AB457" s="3563"/>
      <c r="AC457" s="3578"/>
      <c r="AD457" s="3578"/>
      <c r="AE457" s="3578"/>
      <c r="AF457" s="3578"/>
      <c r="AG457" s="3576"/>
      <c r="AH457" s="3576"/>
      <c r="AI457" s="3580"/>
      <c r="AJ457" s="3581"/>
      <c r="AK457" s="3582"/>
      <c r="AL457" s="3582"/>
      <c r="AM457" s="3582"/>
      <c r="AN457" s="3582"/>
      <c r="AO457" s="3582"/>
      <c r="AP457" s="3582"/>
      <c r="AQ457" s="3582"/>
      <c r="AR457" s="3576"/>
      <c r="AS457" s="3576"/>
      <c r="AT457" s="3576"/>
      <c r="AU457" s="3576"/>
      <c r="AV457" s="3563"/>
    </row>
    <row r="458" s="3565" customFormat="1" spans="1:48">
      <c r="A458" s="3575"/>
      <c r="B458" s="3576"/>
      <c r="C458" s="3576"/>
      <c r="D458" s="3563"/>
      <c r="E458" s="3563"/>
      <c r="F458" s="3576"/>
      <c r="G458" s="3576"/>
      <c r="H458" s="3563"/>
      <c r="I458" s="3563"/>
      <c r="J458" s="3563"/>
      <c r="K458" s="3563"/>
      <c r="L458" s="3563"/>
      <c r="M458" s="3563"/>
      <c r="N458" s="3577"/>
      <c r="O458" s="3563"/>
      <c r="P458" s="3576"/>
      <c r="Q458" s="3578"/>
      <c r="R458" s="3563"/>
      <c r="S458" s="3563"/>
      <c r="T458" s="4014"/>
      <c r="U458" s="3563"/>
      <c r="V458" s="3563"/>
      <c r="W458" s="3578"/>
      <c r="X458" s="3578"/>
      <c r="Y458" s="3578"/>
      <c r="Z458" s="3578"/>
      <c r="AA458" s="3578"/>
      <c r="AB458" s="3563"/>
      <c r="AC458" s="3578"/>
      <c r="AD458" s="3578"/>
      <c r="AE458" s="3578"/>
      <c r="AF458" s="3578"/>
      <c r="AG458" s="3576"/>
      <c r="AH458" s="3576"/>
      <c r="AI458" s="3580"/>
      <c r="AJ458" s="3581"/>
      <c r="AK458" s="3582"/>
      <c r="AL458" s="3582"/>
      <c r="AM458" s="3582"/>
      <c r="AN458" s="3582"/>
      <c r="AO458" s="3582"/>
      <c r="AP458" s="3582"/>
      <c r="AQ458" s="3582"/>
      <c r="AR458" s="3576"/>
      <c r="AS458" s="3576"/>
      <c r="AT458" s="3576"/>
      <c r="AU458" s="3576"/>
      <c r="AV458" s="3563"/>
    </row>
    <row r="459" s="3565" customFormat="1" spans="1:48">
      <c r="A459" s="3575"/>
      <c r="B459" s="3576"/>
      <c r="C459" s="3576"/>
      <c r="D459" s="3563"/>
      <c r="E459" s="3563"/>
      <c r="F459" s="3576"/>
      <c r="G459" s="3576"/>
      <c r="H459" s="3563"/>
      <c r="I459" s="3563"/>
      <c r="J459" s="3563"/>
      <c r="K459" s="3563"/>
      <c r="L459" s="3563"/>
      <c r="M459" s="3563"/>
      <c r="N459" s="3577"/>
      <c r="O459" s="3563"/>
      <c r="P459" s="3576"/>
      <c r="Q459" s="3578"/>
      <c r="R459" s="3563"/>
      <c r="S459" s="3563"/>
      <c r="T459" s="4014"/>
      <c r="U459" s="3563"/>
      <c r="V459" s="3563"/>
      <c r="W459" s="3578"/>
      <c r="X459" s="3578"/>
      <c r="Y459" s="3578"/>
      <c r="Z459" s="3578"/>
      <c r="AA459" s="3578"/>
      <c r="AB459" s="3563"/>
      <c r="AC459" s="3578"/>
      <c r="AD459" s="3578"/>
      <c r="AE459" s="3578"/>
      <c r="AF459" s="3578"/>
      <c r="AG459" s="3576"/>
      <c r="AH459" s="3576"/>
      <c r="AI459" s="3580"/>
      <c r="AJ459" s="3581"/>
      <c r="AK459" s="3582"/>
      <c r="AL459" s="3582"/>
      <c r="AM459" s="3582"/>
      <c r="AN459" s="3582"/>
      <c r="AO459" s="3582"/>
      <c r="AP459" s="3582"/>
      <c r="AQ459" s="3582"/>
      <c r="AR459" s="3576"/>
      <c r="AS459" s="3576"/>
      <c r="AT459" s="3576"/>
      <c r="AU459" s="3576"/>
      <c r="AV459" s="3563"/>
    </row>
    <row r="460" s="3565" customFormat="1" spans="1:48">
      <c r="A460" s="3575"/>
      <c r="B460" s="3576"/>
      <c r="C460" s="3576"/>
      <c r="D460" s="3563"/>
      <c r="E460" s="3563"/>
      <c r="F460" s="3576"/>
      <c r="G460" s="3576"/>
      <c r="H460" s="3563"/>
      <c r="I460" s="3563"/>
      <c r="J460" s="3563"/>
      <c r="K460" s="3563"/>
      <c r="L460" s="3563"/>
      <c r="M460" s="3563"/>
      <c r="N460" s="3577"/>
      <c r="O460" s="3563"/>
      <c r="P460" s="3576"/>
      <c r="Q460" s="3578"/>
      <c r="R460" s="3563"/>
      <c r="S460" s="3563"/>
      <c r="T460" s="4014"/>
      <c r="U460" s="3563"/>
      <c r="V460" s="3563"/>
      <c r="W460" s="3578"/>
      <c r="X460" s="3578"/>
      <c r="Y460" s="3578"/>
      <c r="Z460" s="3578"/>
      <c r="AA460" s="3578"/>
      <c r="AB460" s="3563"/>
      <c r="AC460" s="3578"/>
      <c r="AD460" s="3578"/>
      <c r="AE460" s="3578"/>
      <c r="AF460" s="3578"/>
      <c r="AG460" s="3576"/>
      <c r="AH460" s="3576"/>
      <c r="AI460" s="3580"/>
      <c r="AJ460" s="3581"/>
      <c r="AK460" s="3582"/>
      <c r="AL460" s="3582"/>
      <c r="AM460" s="3582"/>
      <c r="AN460" s="3582"/>
      <c r="AO460" s="3582"/>
      <c r="AP460" s="3582"/>
      <c r="AQ460" s="3582"/>
      <c r="AR460" s="3576"/>
      <c r="AS460" s="3576"/>
      <c r="AT460" s="3576"/>
      <c r="AU460" s="3576"/>
      <c r="AV460" s="3563"/>
    </row>
    <row r="461" s="3565" customFormat="1" spans="1:48">
      <c r="A461" s="3575"/>
      <c r="B461" s="3576"/>
      <c r="C461" s="3576"/>
      <c r="D461" s="3563"/>
      <c r="E461" s="3563"/>
      <c r="F461" s="3576"/>
      <c r="G461" s="3576"/>
      <c r="H461" s="3563"/>
      <c r="I461" s="3563"/>
      <c r="J461" s="3563"/>
      <c r="K461" s="3563"/>
      <c r="L461" s="3563"/>
      <c r="M461" s="3563"/>
      <c r="N461" s="3577"/>
      <c r="O461" s="3563"/>
      <c r="P461" s="3576"/>
      <c r="Q461" s="3578"/>
      <c r="R461" s="3563"/>
      <c r="S461" s="3563"/>
      <c r="T461" s="4014"/>
      <c r="U461" s="3563"/>
      <c r="V461" s="3563"/>
      <c r="W461" s="3578"/>
      <c r="X461" s="3578"/>
      <c r="Y461" s="3578"/>
      <c r="Z461" s="3578"/>
      <c r="AA461" s="3578"/>
      <c r="AB461" s="3563"/>
      <c r="AC461" s="3578"/>
      <c r="AD461" s="3578"/>
      <c r="AE461" s="3578"/>
      <c r="AF461" s="3578"/>
      <c r="AG461" s="3576"/>
      <c r="AH461" s="3576"/>
      <c r="AI461" s="3580"/>
      <c r="AJ461" s="3581"/>
      <c r="AK461" s="3582"/>
      <c r="AL461" s="3582"/>
      <c r="AM461" s="3582"/>
      <c r="AN461" s="3582"/>
      <c r="AO461" s="3582"/>
      <c r="AP461" s="3582"/>
      <c r="AQ461" s="3582"/>
      <c r="AR461" s="3576"/>
      <c r="AS461" s="3576"/>
      <c r="AT461" s="3576"/>
      <c r="AU461" s="3576"/>
      <c r="AV461" s="3563"/>
    </row>
    <row r="462" s="3565" customFormat="1" spans="1:48">
      <c r="A462" s="3575"/>
      <c r="B462" s="3576"/>
      <c r="C462" s="3576"/>
      <c r="D462" s="3563"/>
      <c r="E462" s="3563"/>
      <c r="F462" s="3576"/>
      <c r="G462" s="3576"/>
      <c r="H462" s="3563"/>
      <c r="I462" s="3563"/>
      <c r="J462" s="3563"/>
      <c r="K462" s="3563"/>
      <c r="L462" s="3563"/>
      <c r="M462" s="3563"/>
      <c r="N462" s="3577"/>
      <c r="O462" s="3563"/>
      <c r="P462" s="3576"/>
      <c r="Q462" s="3578"/>
      <c r="R462" s="3563"/>
      <c r="S462" s="3563"/>
      <c r="T462" s="4014"/>
      <c r="U462" s="3563"/>
      <c r="V462" s="3563"/>
      <c r="W462" s="3578"/>
      <c r="X462" s="3578"/>
      <c r="Y462" s="3578"/>
      <c r="Z462" s="3578"/>
      <c r="AA462" s="3578"/>
      <c r="AB462" s="3563"/>
      <c r="AC462" s="3578"/>
      <c r="AD462" s="3578"/>
      <c r="AE462" s="3578"/>
      <c r="AF462" s="3578"/>
      <c r="AG462" s="3576"/>
      <c r="AH462" s="3576"/>
      <c r="AI462" s="3580"/>
      <c r="AJ462" s="3581"/>
      <c r="AK462" s="3582"/>
      <c r="AL462" s="3582"/>
      <c r="AM462" s="3582"/>
      <c r="AN462" s="3582"/>
      <c r="AO462" s="3582"/>
      <c r="AP462" s="3582"/>
      <c r="AQ462" s="3582"/>
      <c r="AR462" s="3576"/>
      <c r="AS462" s="3576"/>
      <c r="AT462" s="3576"/>
      <c r="AU462" s="3576"/>
      <c r="AV462" s="3563"/>
    </row>
    <row r="463" s="3565" customFormat="1" spans="1:48">
      <c r="A463" s="3575"/>
      <c r="B463" s="3576"/>
      <c r="C463" s="3576"/>
      <c r="D463" s="3563"/>
      <c r="E463" s="3563"/>
      <c r="F463" s="3576"/>
      <c r="G463" s="3576"/>
      <c r="H463" s="3563"/>
      <c r="I463" s="3563"/>
      <c r="J463" s="3563"/>
      <c r="K463" s="3563"/>
      <c r="L463" s="3563"/>
      <c r="M463" s="3563"/>
      <c r="N463" s="3577"/>
      <c r="O463" s="3563"/>
      <c r="P463" s="3576"/>
      <c r="Q463" s="3578"/>
      <c r="R463" s="3563"/>
      <c r="S463" s="3563"/>
      <c r="T463" s="4014"/>
      <c r="U463" s="3563"/>
      <c r="V463" s="3563"/>
      <c r="W463" s="3578"/>
      <c r="X463" s="3578"/>
      <c r="Y463" s="3578"/>
      <c r="Z463" s="3578"/>
      <c r="AA463" s="3578"/>
      <c r="AB463" s="3563"/>
      <c r="AC463" s="3578"/>
      <c r="AD463" s="3578"/>
      <c r="AE463" s="3578"/>
      <c r="AF463" s="3578"/>
      <c r="AG463" s="3576"/>
      <c r="AH463" s="3576"/>
      <c r="AI463" s="3580"/>
      <c r="AJ463" s="3581"/>
      <c r="AK463" s="3582"/>
      <c r="AL463" s="3582"/>
      <c r="AM463" s="3582"/>
      <c r="AN463" s="3582"/>
      <c r="AO463" s="3582"/>
      <c r="AP463" s="3582"/>
      <c r="AQ463" s="3582"/>
      <c r="AR463" s="3576"/>
      <c r="AS463" s="3576"/>
      <c r="AT463" s="3576"/>
      <c r="AU463" s="3576"/>
      <c r="AV463" s="3563"/>
    </row>
    <row r="464" s="3565" customFormat="1" spans="1:48">
      <c r="A464" s="3575"/>
      <c r="B464" s="3576"/>
      <c r="C464" s="3576"/>
      <c r="D464" s="3563"/>
      <c r="E464" s="3563"/>
      <c r="F464" s="3576"/>
      <c r="G464" s="3576"/>
      <c r="H464" s="3563"/>
      <c r="I464" s="3563"/>
      <c r="J464" s="3563"/>
      <c r="K464" s="3563"/>
      <c r="L464" s="3563"/>
      <c r="M464" s="3563"/>
      <c r="N464" s="3577"/>
      <c r="O464" s="3563"/>
      <c r="P464" s="3576"/>
      <c r="Q464" s="3578"/>
      <c r="R464" s="3563"/>
      <c r="S464" s="3563"/>
      <c r="T464" s="4014"/>
      <c r="U464" s="3563"/>
      <c r="V464" s="3563"/>
      <c r="W464" s="3578"/>
      <c r="X464" s="3578"/>
      <c r="Y464" s="3578"/>
      <c r="Z464" s="3578"/>
      <c r="AA464" s="3578"/>
      <c r="AB464" s="3563"/>
      <c r="AC464" s="3578"/>
      <c r="AD464" s="3578"/>
      <c r="AE464" s="3578"/>
      <c r="AF464" s="3578"/>
      <c r="AG464" s="3576"/>
      <c r="AH464" s="3576"/>
      <c r="AI464" s="3580"/>
      <c r="AJ464" s="3581"/>
      <c r="AK464" s="3582"/>
      <c r="AL464" s="3582"/>
      <c r="AM464" s="3582"/>
      <c r="AN464" s="3582"/>
      <c r="AO464" s="3582"/>
      <c r="AP464" s="3582"/>
      <c r="AQ464" s="3582"/>
      <c r="AR464" s="3576"/>
      <c r="AS464" s="3576"/>
      <c r="AT464" s="3576"/>
      <c r="AU464" s="3576"/>
      <c r="AV464" s="3563"/>
    </row>
    <row r="465" s="3565" customFormat="1" spans="1:48">
      <c r="A465" s="3575"/>
      <c r="B465" s="3576"/>
      <c r="C465" s="3576"/>
      <c r="D465" s="3563"/>
      <c r="E465" s="3563"/>
      <c r="F465" s="3576"/>
      <c r="G465" s="3576"/>
      <c r="H465" s="3563"/>
      <c r="I465" s="3563"/>
      <c r="J465" s="3563"/>
      <c r="K465" s="3563"/>
      <c r="L465" s="3563"/>
      <c r="M465" s="3563"/>
      <c r="N465" s="3577"/>
      <c r="O465" s="3563"/>
      <c r="P465" s="3576"/>
      <c r="Q465" s="3578"/>
      <c r="R465" s="3563"/>
      <c r="S465" s="3563"/>
      <c r="T465" s="4014"/>
      <c r="U465" s="3563"/>
      <c r="V465" s="3563"/>
      <c r="W465" s="3578"/>
      <c r="X465" s="3578"/>
      <c r="Y465" s="3578"/>
      <c r="Z465" s="3578"/>
      <c r="AA465" s="3578"/>
      <c r="AB465" s="3563"/>
      <c r="AC465" s="3578"/>
      <c r="AD465" s="3578"/>
      <c r="AE465" s="3578"/>
      <c r="AF465" s="3578"/>
      <c r="AG465" s="3576"/>
      <c r="AH465" s="3576"/>
      <c r="AI465" s="3580"/>
      <c r="AJ465" s="3581"/>
      <c r="AK465" s="3582"/>
      <c r="AL465" s="3582"/>
      <c r="AM465" s="3582"/>
      <c r="AN465" s="3582"/>
      <c r="AO465" s="3582"/>
      <c r="AP465" s="3582"/>
      <c r="AQ465" s="3582"/>
      <c r="AR465" s="3576"/>
      <c r="AS465" s="3576"/>
      <c r="AT465" s="3576"/>
      <c r="AU465" s="3576"/>
      <c r="AV465" s="3563"/>
    </row>
    <row r="466" s="3565" customFormat="1" spans="1:48">
      <c r="A466" s="3575"/>
      <c r="B466" s="3576"/>
      <c r="C466" s="3576"/>
      <c r="D466" s="3563"/>
      <c r="E466" s="3563"/>
      <c r="F466" s="3576"/>
      <c r="G466" s="3576"/>
      <c r="H466" s="3563"/>
      <c r="I466" s="3563"/>
      <c r="J466" s="3563"/>
      <c r="K466" s="3563"/>
      <c r="L466" s="3563"/>
      <c r="M466" s="3563"/>
      <c r="N466" s="3577"/>
      <c r="O466" s="3563"/>
      <c r="P466" s="3576"/>
      <c r="Q466" s="3578"/>
      <c r="R466" s="3563"/>
      <c r="S466" s="3563"/>
      <c r="T466" s="4014"/>
      <c r="U466" s="3563"/>
      <c r="V466" s="3563"/>
      <c r="W466" s="3578"/>
      <c r="X466" s="3578"/>
      <c r="Y466" s="3578"/>
      <c r="Z466" s="3578"/>
      <c r="AA466" s="3578"/>
      <c r="AB466" s="3563"/>
      <c r="AC466" s="3578"/>
      <c r="AD466" s="3578"/>
      <c r="AE466" s="3578"/>
      <c r="AF466" s="3578"/>
      <c r="AG466" s="3576"/>
      <c r="AH466" s="3576"/>
      <c r="AI466" s="3580"/>
      <c r="AJ466" s="3581"/>
      <c r="AK466" s="3582"/>
      <c r="AL466" s="3582"/>
      <c r="AM466" s="3582"/>
      <c r="AN466" s="3582"/>
      <c r="AO466" s="3582"/>
      <c r="AP466" s="3582"/>
      <c r="AQ466" s="3582"/>
      <c r="AR466" s="3576"/>
      <c r="AS466" s="3576"/>
      <c r="AT466" s="3576"/>
      <c r="AU466" s="3576"/>
      <c r="AV466" s="3563"/>
    </row>
    <row r="467" s="3565" customFormat="1" spans="1:48">
      <c r="A467" s="3575"/>
      <c r="B467" s="3576"/>
      <c r="C467" s="3576"/>
      <c r="D467" s="3563"/>
      <c r="E467" s="3563"/>
      <c r="F467" s="3576"/>
      <c r="G467" s="3576"/>
      <c r="H467" s="3563"/>
      <c r="I467" s="3563"/>
      <c r="J467" s="3563"/>
      <c r="K467" s="3563"/>
      <c r="L467" s="3563"/>
      <c r="M467" s="3563"/>
      <c r="N467" s="3577"/>
      <c r="O467" s="3563"/>
      <c r="P467" s="3576"/>
      <c r="Q467" s="3578"/>
      <c r="R467" s="3563"/>
      <c r="S467" s="3563"/>
      <c r="T467" s="4014"/>
      <c r="U467" s="3563"/>
      <c r="V467" s="3563"/>
      <c r="W467" s="3578"/>
      <c r="X467" s="3578"/>
      <c r="Y467" s="3578"/>
      <c r="Z467" s="3578"/>
      <c r="AA467" s="3578"/>
      <c r="AB467" s="3563"/>
      <c r="AC467" s="3578"/>
      <c r="AD467" s="3578"/>
      <c r="AE467" s="3578"/>
      <c r="AF467" s="3578"/>
      <c r="AG467" s="3576"/>
      <c r="AH467" s="3576"/>
      <c r="AI467" s="3580"/>
      <c r="AJ467" s="3581"/>
      <c r="AK467" s="3582"/>
      <c r="AL467" s="3582"/>
      <c r="AM467" s="3582"/>
      <c r="AN467" s="3582"/>
      <c r="AO467" s="3582"/>
      <c r="AP467" s="3582"/>
      <c r="AQ467" s="3582"/>
      <c r="AR467" s="3576"/>
      <c r="AS467" s="3576"/>
      <c r="AT467" s="3576"/>
      <c r="AU467" s="3576"/>
      <c r="AV467" s="3563"/>
    </row>
    <row r="468" s="3565" customFormat="1" spans="1:48">
      <c r="A468" s="3575"/>
      <c r="B468" s="3576"/>
      <c r="C468" s="3576"/>
      <c r="D468" s="3563"/>
      <c r="E468" s="3563"/>
      <c r="F468" s="3576"/>
      <c r="G468" s="3576"/>
      <c r="H468" s="3563"/>
      <c r="I468" s="3563"/>
      <c r="J468" s="3563"/>
      <c r="K468" s="3563"/>
      <c r="L468" s="3563"/>
      <c r="M468" s="3563"/>
      <c r="N468" s="3577"/>
      <c r="O468" s="3563"/>
      <c r="P468" s="3576"/>
      <c r="Q468" s="3578"/>
      <c r="R468" s="3563"/>
      <c r="S468" s="3563"/>
      <c r="T468" s="4014"/>
      <c r="U468" s="3563"/>
      <c r="V468" s="3563"/>
      <c r="W468" s="3578"/>
      <c r="X468" s="3578"/>
      <c r="Y468" s="3578"/>
      <c r="Z468" s="3578"/>
      <c r="AA468" s="3578"/>
      <c r="AB468" s="3563"/>
      <c r="AC468" s="3578"/>
      <c r="AD468" s="3578"/>
      <c r="AE468" s="3578"/>
      <c r="AF468" s="3578"/>
      <c r="AG468" s="3576"/>
      <c r="AH468" s="3576"/>
      <c r="AI468" s="3580"/>
      <c r="AJ468" s="3581"/>
      <c r="AK468" s="3582"/>
      <c r="AL468" s="3582"/>
      <c r="AM468" s="3582"/>
      <c r="AN468" s="3582"/>
      <c r="AO468" s="3582"/>
      <c r="AP468" s="3582"/>
      <c r="AQ468" s="3582"/>
      <c r="AR468" s="3576"/>
      <c r="AS468" s="3576"/>
      <c r="AT468" s="3576"/>
      <c r="AU468" s="3576"/>
      <c r="AV468" s="3563"/>
    </row>
    <row r="469" s="3565" customFormat="1" spans="1:48">
      <c r="A469" s="3575"/>
      <c r="B469" s="3576"/>
      <c r="C469" s="3576"/>
      <c r="D469" s="3563"/>
      <c r="E469" s="3563"/>
      <c r="F469" s="3576"/>
      <c r="G469" s="3576"/>
      <c r="H469" s="3563"/>
      <c r="I469" s="3563"/>
      <c r="J469" s="3563"/>
      <c r="K469" s="3563"/>
      <c r="L469" s="3563"/>
      <c r="M469" s="3563"/>
      <c r="N469" s="3577"/>
      <c r="O469" s="3563"/>
      <c r="P469" s="3576"/>
      <c r="Q469" s="3578"/>
      <c r="R469" s="3563"/>
      <c r="S469" s="3563"/>
      <c r="T469" s="4014"/>
      <c r="U469" s="3563"/>
      <c r="V469" s="3563"/>
      <c r="W469" s="3578"/>
      <c r="X469" s="3578"/>
      <c r="Y469" s="3578"/>
      <c r="Z469" s="3578"/>
      <c r="AA469" s="3578"/>
      <c r="AB469" s="3563"/>
      <c r="AC469" s="3578"/>
      <c r="AD469" s="3578"/>
      <c r="AE469" s="3578"/>
      <c r="AF469" s="3578"/>
      <c r="AG469" s="3576"/>
      <c r="AH469" s="3576"/>
      <c r="AI469" s="3580"/>
      <c r="AJ469" s="3581"/>
      <c r="AK469" s="3582"/>
      <c r="AL469" s="3582"/>
      <c r="AM469" s="3582"/>
      <c r="AN469" s="3582"/>
      <c r="AO469" s="3582"/>
      <c r="AP469" s="3582"/>
      <c r="AQ469" s="3582"/>
      <c r="AR469" s="3576"/>
      <c r="AS469" s="3576"/>
      <c r="AT469" s="3576"/>
      <c r="AU469" s="3576"/>
      <c r="AV469" s="3563"/>
    </row>
    <row r="470" s="3565" customFormat="1" spans="1:48">
      <c r="A470" s="3575"/>
      <c r="B470" s="3576"/>
      <c r="C470" s="3576"/>
      <c r="D470" s="3563"/>
      <c r="E470" s="3563"/>
      <c r="F470" s="3576"/>
      <c r="G470" s="3576"/>
      <c r="H470" s="3563"/>
      <c r="I470" s="3563"/>
      <c r="J470" s="3563"/>
      <c r="K470" s="3563"/>
      <c r="L470" s="3563"/>
      <c r="M470" s="3563"/>
      <c r="N470" s="3577"/>
      <c r="O470" s="3563"/>
      <c r="P470" s="3576"/>
      <c r="Q470" s="3578"/>
      <c r="R470" s="3563"/>
      <c r="S470" s="3563"/>
      <c r="T470" s="4014"/>
      <c r="U470" s="3563"/>
      <c r="V470" s="3563"/>
      <c r="W470" s="3578"/>
      <c r="X470" s="3578"/>
      <c r="Y470" s="3578"/>
      <c r="Z470" s="3578"/>
      <c r="AA470" s="3578"/>
      <c r="AB470" s="3563"/>
      <c r="AC470" s="3578"/>
      <c r="AD470" s="3578"/>
      <c r="AE470" s="3578"/>
      <c r="AF470" s="3578"/>
      <c r="AG470" s="3576"/>
      <c r="AH470" s="3576"/>
      <c r="AI470" s="3580"/>
      <c r="AJ470" s="3581"/>
      <c r="AK470" s="3582"/>
      <c r="AL470" s="3582"/>
      <c r="AM470" s="3582"/>
      <c r="AN470" s="3582"/>
      <c r="AO470" s="3582"/>
      <c r="AP470" s="3582"/>
      <c r="AQ470" s="3582"/>
      <c r="AR470" s="3576"/>
      <c r="AS470" s="3576"/>
      <c r="AT470" s="3576"/>
      <c r="AU470" s="3576"/>
      <c r="AV470" s="3563"/>
    </row>
    <row r="471" s="3565" customFormat="1" spans="1:48">
      <c r="A471" s="3575"/>
      <c r="B471" s="3576"/>
      <c r="C471" s="3576"/>
      <c r="D471" s="3563"/>
      <c r="E471" s="3563"/>
      <c r="F471" s="3576"/>
      <c r="G471" s="3576"/>
      <c r="H471" s="3563"/>
      <c r="I471" s="3563"/>
      <c r="J471" s="3563"/>
      <c r="K471" s="3563"/>
      <c r="L471" s="3563"/>
      <c r="M471" s="3563"/>
      <c r="N471" s="3577"/>
      <c r="O471" s="3563"/>
      <c r="P471" s="3576"/>
      <c r="Q471" s="3578"/>
      <c r="R471" s="3563"/>
      <c r="S471" s="3563"/>
      <c r="T471" s="4014"/>
      <c r="U471" s="3563"/>
      <c r="V471" s="3563"/>
      <c r="W471" s="3578"/>
      <c r="X471" s="3578"/>
      <c r="Y471" s="3578"/>
      <c r="Z471" s="3578"/>
      <c r="AA471" s="3578"/>
      <c r="AB471" s="3563"/>
      <c r="AC471" s="3578"/>
      <c r="AD471" s="3578"/>
      <c r="AE471" s="3578"/>
      <c r="AF471" s="3578"/>
      <c r="AG471" s="3576"/>
      <c r="AH471" s="3576"/>
      <c r="AI471" s="3580"/>
      <c r="AJ471" s="3581"/>
      <c r="AK471" s="3582"/>
      <c r="AL471" s="3582"/>
      <c r="AM471" s="3582"/>
      <c r="AN471" s="3582"/>
      <c r="AO471" s="3582"/>
      <c r="AP471" s="3582"/>
      <c r="AQ471" s="3582"/>
      <c r="AR471" s="3576"/>
      <c r="AS471" s="3576"/>
      <c r="AT471" s="3576"/>
      <c r="AU471" s="3576"/>
      <c r="AV471" s="3563"/>
    </row>
    <row r="472" s="3565" customFormat="1" spans="1:48">
      <c r="A472" s="3575"/>
      <c r="B472" s="3576"/>
      <c r="C472" s="3576"/>
      <c r="D472" s="3563"/>
      <c r="E472" s="3563"/>
      <c r="F472" s="3576"/>
      <c r="G472" s="3576"/>
      <c r="H472" s="3563"/>
      <c r="I472" s="3563"/>
      <c r="J472" s="3563"/>
      <c r="K472" s="3563"/>
      <c r="L472" s="3563"/>
      <c r="M472" s="3563"/>
      <c r="N472" s="3577"/>
      <c r="O472" s="3563"/>
      <c r="P472" s="3576"/>
      <c r="Q472" s="3578"/>
      <c r="R472" s="3563"/>
      <c r="S472" s="3563"/>
      <c r="T472" s="4014"/>
      <c r="U472" s="3563"/>
      <c r="V472" s="3563"/>
      <c r="W472" s="3578"/>
      <c r="X472" s="3578"/>
      <c r="Y472" s="3578"/>
      <c r="Z472" s="3578"/>
      <c r="AA472" s="3578"/>
      <c r="AB472" s="3563"/>
      <c r="AC472" s="3578"/>
      <c r="AD472" s="3578"/>
      <c r="AE472" s="3578"/>
      <c r="AF472" s="3578"/>
      <c r="AG472" s="3576"/>
      <c r="AH472" s="3576"/>
      <c r="AI472" s="3580"/>
      <c r="AJ472" s="3581"/>
      <c r="AK472" s="3582"/>
      <c r="AL472" s="3582"/>
      <c r="AM472" s="3582"/>
      <c r="AN472" s="3582"/>
      <c r="AO472" s="3582"/>
      <c r="AP472" s="3582"/>
      <c r="AQ472" s="3582"/>
      <c r="AR472" s="3576"/>
      <c r="AS472" s="3576"/>
      <c r="AT472" s="3576"/>
      <c r="AU472" s="3576"/>
      <c r="AV472" s="3563"/>
    </row>
    <row r="473" s="3565" customFormat="1" spans="1:48">
      <c r="A473" s="3575"/>
      <c r="B473" s="3576"/>
      <c r="C473" s="3576"/>
      <c r="D473" s="3563"/>
      <c r="E473" s="3563"/>
      <c r="F473" s="3576"/>
      <c r="G473" s="3576"/>
      <c r="H473" s="3563"/>
      <c r="I473" s="3563"/>
      <c r="J473" s="3563"/>
      <c r="K473" s="3563"/>
      <c r="L473" s="3563"/>
      <c r="M473" s="3563"/>
      <c r="N473" s="3577"/>
      <c r="O473" s="3563"/>
      <c r="P473" s="3576"/>
      <c r="Q473" s="3578"/>
      <c r="R473" s="3563"/>
      <c r="S473" s="3563"/>
      <c r="T473" s="4014"/>
      <c r="U473" s="3563"/>
      <c r="V473" s="3563"/>
      <c r="W473" s="3578"/>
      <c r="X473" s="3578"/>
      <c r="Y473" s="3578"/>
      <c r="Z473" s="3578"/>
      <c r="AA473" s="3578"/>
      <c r="AB473" s="3563"/>
      <c r="AC473" s="3578"/>
      <c r="AD473" s="3578"/>
      <c r="AE473" s="3578"/>
      <c r="AF473" s="3578"/>
      <c r="AG473" s="3576"/>
      <c r="AH473" s="3576"/>
      <c r="AI473" s="3580"/>
      <c r="AJ473" s="3581"/>
      <c r="AK473" s="3582"/>
      <c r="AL473" s="3582"/>
      <c r="AM473" s="3582"/>
      <c r="AN473" s="3582"/>
      <c r="AO473" s="3582"/>
      <c r="AP473" s="3582"/>
      <c r="AQ473" s="3582"/>
      <c r="AR473" s="3576"/>
      <c r="AS473" s="3576"/>
      <c r="AT473" s="3576"/>
      <c r="AU473" s="3576"/>
      <c r="AV473" s="3563"/>
    </row>
    <row r="474" s="3565" customFormat="1" spans="1:48">
      <c r="A474" s="3575"/>
      <c r="B474" s="3576"/>
      <c r="C474" s="3576"/>
      <c r="D474" s="3563"/>
      <c r="E474" s="3563"/>
      <c r="F474" s="3576"/>
      <c r="G474" s="3576"/>
      <c r="H474" s="3563"/>
      <c r="I474" s="3563"/>
      <c r="J474" s="3563"/>
      <c r="K474" s="3563"/>
      <c r="L474" s="3563"/>
      <c r="M474" s="3563"/>
      <c r="N474" s="3577"/>
      <c r="O474" s="3563"/>
      <c r="P474" s="3576"/>
      <c r="Q474" s="3578"/>
      <c r="R474" s="3563"/>
      <c r="S474" s="3563"/>
      <c r="T474" s="4014"/>
      <c r="U474" s="3563"/>
      <c r="V474" s="3563"/>
      <c r="W474" s="3578"/>
      <c r="X474" s="3578"/>
      <c r="Y474" s="3578"/>
      <c r="Z474" s="3578"/>
      <c r="AA474" s="3578"/>
      <c r="AB474" s="3563"/>
      <c r="AC474" s="3578"/>
      <c r="AD474" s="3578"/>
      <c r="AE474" s="3578"/>
      <c r="AF474" s="3578"/>
      <c r="AG474" s="3576"/>
      <c r="AH474" s="3576"/>
      <c r="AI474" s="3580"/>
      <c r="AJ474" s="3581"/>
      <c r="AK474" s="3582"/>
      <c r="AL474" s="3582"/>
      <c r="AM474" s="3582"/>
      <c r="AN474" s="3582"/>
      <c r="AO474" s="3582"/>
      <c r="AP474" s="3582"/>
      <c r="AQ474" s="3582"/>
      <c r="AR474" s="3576"/>
      <c r="AS474" s="3576"/>
      <c r="AT474" s="3576"/>
      <c r="AU474" s="3576"/>
      <c r="AV474" s="3563"/>
    </row>
    <row r="475" s="3565" customFormat="1" spans="1:48">
      <c r="A475" s="3575"/>
      <c r="B475" s="3576"/>
      <c r="C475" s="3576"/>
      <c r="D475" s="3563"/>
      <c r="E475" s="3563"/>
      <c r="F475" s="3576"/>
      <c r="G475" s="3576"/>
      <c r="H475" s="3563"/>
      <c r="I475" s="3563"/>
      <c r="J475" s="3563"/>
      <c r="K475" s="3563"/>
      <c r="L475" s="3563"/>
      <c r="M475" s="3563"/>
      <c r="N475" s="3577"/>
      <c r="O475" s="3563"/>
      <c r="P475" s="3576"/>
      <c r="Q475" s="3578"/>
      <c r="R475" s="3563"/>
      <c r="S475" s="3563"/>
      <c r="T475" s="4014"/>
      <c r="U475" s="3563"/>
      <c r="V475" s="3563"/>
      <c r="W475" s="3578"/>
      <c r="X475" s="3578"/>
      <c r="Y475" s="3578"/>
      <c r="Z475" s="3578"/>
      <c r="AA475" s="3578"/>
      <c r="AB475" s="3563"/>
      <c r="AC475" s="3578"/>
      <c r="AD475" s="3578"/>
      <c r="AE475" s="3578"/>
      <c r="AF475" s="3578"/>
      <c r="AG475" s="3576"/>
      <c r="AH475" s="3576"/>
      <c r="AI475" s="3580"/>
      <c r="AJ475" s="3581"/>
      <c r="AK475" s="3582"/>
      <c r="AL475" s="3582"/>
      <c r="AM475" s="3582"/>
      <c r="AN475" s="3582"/>
      <c r="AO475" s="3582"/>
      <c r="AP475" s="3582"/>
      <c r="AQ475" s="3582"/>
      <c r="AR475" s="3576"/>
      <c r="AS475" s="3576"/>
      <c r="AT475" s="3576"/>
      <c r="AU475" s="3576"/>
      <c r="AV475" s="3563"/>
    </row>
    <row r="476" s="3565" customFormat="1" spans="1:48">
      <c r="A476" s="3575"/>
      <c r="B476" s="3576"/>
      <c r="C476" s="3576"/>
      <c r="D476" s="3563"/>
      <c r="E476" s="3563"/>
      <c r="F476" s="3576"/>
      <c r="G476" s="3576"/>
      <c r="H476" s="3563"/>
      <c r="I476" s="3563"/>
      <c r="J476" s="3563"/>
      <c r="K476" s="3563"/>
      <c r="L476" s="3563"/>
      <c r="M476" s="3563"/>
      <c r="N476" s="3577"/>
      <c r="O476" s="3563"/>
      <c r="P476" s="3576"/>
      <c r="Q476" s="3578"/>
      <c r="R476" s="3563"/>
      <c r="S476" s="3563"/>
      <c r="T476" s="4014"/>
      <c r="U476" s="3563"/>
      <c r="V476" s="3563"/>
      <c r="W476" s="3578"/>
      <c r="X476" s="3578"/>
      <c r="Y476" s="3578"/>
      <c r="Z476" s="3578"/>
      <c r="AA476" s="3578"/>
      <c r="AB476" s="3563"/>
      <c r="AC476" s="3578"/>
      <c r="AD476" s="3578"/>
      <c r="AE476" s="3578"/>
      <c r="AF476" s="3578"/>
      <c r="AG476" s="3576"/>
      <c r="AH476" s="3576"/>
      <c r="AI476" s="3580"/>
      <c r="AJ476" s="3581"/>
      <c r="AK476" s="3582"/>
      <c r="AL476" s="3582"/>
      <c r="AM476" s="3582"/>
      <c r="AN476" s="3582"/>
      <c r="AO476" s="3582"/>
      <c r="AP476" s="3582"/>
      <c r="AQ476" s="3582"/>
      <c r="AR476" s="3576"/>
      <c r="AS476" s="3576"/>
      <c r="AT476" s="3576"/>
      <c r="AU476" s="3576"/>
      <c r="AV476" s="3563"/>
    </row>
    <row r="477" s="3565" customFormat="1" spans="1:48">
      <c r="A477" s="3575"/>
      <c r="B477" s="3576"/>
      <c r="C477" s="3576"/>
      <c r="D477" s="3563"/>
      <c r="E477" s="3563"/>
      <c r="F477" s="3576"/>
      <c r="G477" s="3576"/>
      <c r="H477" s="3563"/>
      <c r="I477" s="3563"/>
      <c r="J477" s="3563"/>
      <c r="K477" s="3563"/>
      <c r="L477" s="3563"/>
      <c r="M477" s="3563"/>
      <c r="N477" s="3577"/>
      <c r="O477" s="3563"/>
      <c r="P477" s="3576"/>
      <c r="Q477" s="3578"/>
      <c r="R477" s="3563"/>
      <c r="S477" s="3563"/>
      <c r="T477" s="4014"/>
      <c r="U477" s="3563"/>
      <c r="V477" s="3563"/>
      <c r="W477" s="3578"/>
      <c r="X477" s="3578"/>
      <c r="Y477" s="3578"/>
      <c r="Z477" s="3578"/>
      <c r="AA477" s="3578"/>
      <c r="AB477" s="3563"/>
      <c r="AC477" s="3578"/>
      <c r="AD477" s="3578"/>
      <c r="AE477" s="3578"/>
      <c r="AF477" s="3578"/>
      <c r="AG477" s="3576"/>
      <c r="AH477" s="3576"/>
      <c r="AI477" s="3580"/>
      <c r="AJ477" s="3581"/>
      <c r="AK477" s="3582"/>
      <c r="AL477" s="3582"/>
      <c r="AM477" s="3582"/>
      <c r="AN477" s="3582"/>
      <c r="AO477" s="3582"/>
      <c r="AP477" s="3582"/>
      <c r="AQ477" s="3582"/>
      <c r="AR477" s="3576"/>
      <c r="AS477" s="3576"/>
      <c r="AT477" s="3576"/>
      <c r="AU477" s="3576"/>
      <c r="AV477" s="3563"/>
    </row>
    <row r="478" s="3565" customFormat="1" spans="1:48">
      <c r="A478" s="3575"/>
      <c r="B478" s="3576"/>
      <c r="C478" s="3576"/>
      <c r="D478" s="3563"/>
      <c r="E478" s="3563"/>
      <c r="F478" s="3576"/>
      <c r="G478" s="3576"/>
      <c r="H478" s="3563"/>
      <c r="I478" s="3563"/>
      <c r="J478" s="3563"/>
      <c r="K478" s="3563"/>
      <c r="L478" s="3563"/>
      <c r="M478" s="3563"/>
      <c r="N478" s="3577"/>
      <c r="O478" s="3563"/>
      <c r="P478" s="3576"/>
      <c r="Q478" s="3578"/>
      <c r="R478" s="3563"/>
      <c r="S478" s="3563"/>
      <c r="T478" s="4014"/>
      <c r="U478" s="3563"/>
      <c r="V478" s="3563"/>
      <c r="W478" s="3578"/>
      <c r="X478" s="3578"/>
      <c r="Y478" s="3578"/>
      <c r="Z478" s="3578"/>
      <c r="AA478" s="3578"/>
      <c r="AB478" s="3563"/>
      <c r="AC478" s="3578"/>
      <c r="AD478" s="3578"/>
      <c r="AE478" s="3578"/>
      <c r="AF478" s="3578"/>
      <c r="AG478" s="3576"/>
      <c r="AH478" s="3576"/>
      <c r="AI478" s="3580"/>
      <c r="AJ478" s="3581"/>
      <c r="AK478" s="3582"/>
      <c r="AL478" s="3582"/>
      <c r="AM478" s="3582"/>
      <c r="AN478" s="3582"/>
      <c r="AO478" s="3582"/>
      <c r="AP478" s="3582"/>
      <c r="AQ478" s="3582"/>
      <c r="AR478" s="3576"/>
      <c r="AS478" s="3576"/>
      <c r="AT478" s="3576"/>
      <c r="AU478" s="3576"/>
      <c r="AV478" s="3563"/>
    </row>
    <row r="479" s="3565" customFormat="1" spans="1:48">
      <c r="A479" s="3575"/>
      <c r="B479" s="3576"/>
      <c r="C479" s="3576"/>
      <c r="D479" s="3563"/>
      <c r="E479" s="3563"/>
      <c r="F479" s="3576"/>
      <c r="G479" s="3576"/>
      <c r="H479" s="3563"/>
      <c r="I479" s="3563"/>
      <c r="J479" s="3563"/>
      <c r="K479" s="3563"/>
      <c r="L479" s="3563"/>
      <c r="M479" s="3563"/>
      <c r="N479" s="3577"/>
      <c r="O479" s="3563"/>
      <c r="P479" s="3576"/>
      <c r="Q479" s="3578"/>
      <c r="R479" s="3563"/>
      <c r="S479" s="3563"/>
      <c r="T479" s="4014"/>
      <c r="U479" s="3563"/>
      <c r="V479" s="3563"/>
      <c r="W479" s="3578"/>
      <c r="X479" s="3578"/>
      <c r="Y479" s="3578"/>
      <c r="Z479" s="3578"/>
      <c r="AA479" s="3578"/>
      <c r="AB479" s="3563"/>
      <c r="AC479" s="3578"/>
      <c r="AD479" s="3578"/>
      <c r="AE479" s="3578"/>
      <c r="AF479" s="3578"/>
      <c r="AG479" s="3576"/>
      <c r="AH479" s="3576"/>
      <c r="AI479" s="3580"/>
      <c r="AJ479" s="3581"/>
      <c r="AK479" s="3582"/>
      <c r="AL479" s="3582"/>
      <c r="AM479" s="3582"/>
      <c r="AN479" s="3582"/>
      <c r="AO479" s="3582"/>
      <c r="AP479" s="3582"/>
      <c r="AQ479" s="3582"/>
      <c r="AR479" s="3576"/>
      <c r="AS479" s="3576"/>
      <c r="AT479" s="3576"/>
      <c r="AU479" s="3576"/>
      <c r="AV479" s="3563"/>
    </row>
    <row r="480" s="3565" customFormat="1" spans="1:48">
      <c r="A480" s="3575"/>
      <c r="B480" s="3576"/>
      <c r="C480" s="3576"/>
      <c r="D480" s="3563"/>
      <c r="E480" s="3563"/>
      <c r="F480" s="3576"/>
      <c r="G480" s="3576"/>
      <c r="H480" s="3563"/>
      <c r="I480" s="3563"/>
      <c r="J480" s="3563"/>
      <c r="K480" s="3563"/>
      <c r="L480" s="3563"/>
      <c r="M480" s="3563"/>
      <c r="N480" s="3577"/>
      <c r="O480" s="3563"/>
      <c r="P480" s="3576"/>
      <c r="Q480" s="3578"/>
      <c r="R480" s="3563"/>
      <c r="S480" s="3563"/>
      <c r="T480" s="4014"/>
      <c r="U480" s="3563"/>
      <c r="V480" s="3563"/>
      <c r="W480" s="3578"/>
      <c r="X480" s="3578"/>
      <c r="Y480" s="3578"/>
      <c r="Z480" s="3578"/>
      <c r="AA480" s="3578"/>
      <c r="AB480" s="3563"/>
      <c r="AC480" s="3578"/>
      <c r="AD480" s="3578"/>
      <c r="AE480" s="3578"/>
      <c r="AF480" s="3578"/>
      <c r="AG480" s="3576"/>
      <c r="AH480" s="3576"/>
      <c r="AI480" s="3580"/>
      <c r="AJ480" s="3581"/>
      <c r="AK480" s="3582"/>
      <c r="AL480" s="3582"/>
      <c r="AM480" s="3582"/>
      <c r="AN480" s="3582"/>
      <c r="AO480" s="3582"/>
      <c r="AP480" s="3582"/>
      <c r="AQ480" s="3582"/>
      <c r="AR480" s="3576"/>
      <c r="AS480" s="3576"/>
      <c r="AT480" s="3576"/>
      <c r="AU480" s="3576"/>
      <c r="AV480" s="3563"/>
    </row>
    <row r="481" s="3565" customFormat="1" spans="1:48">
      <c r="A481" s="3575"/>
      <c r="B481" s="3576"/>
      <c r="C481" s="3576"/>
      <c r="D481" s="3563"/>
      <c r="E481" s="3563"/>
      <c r="F481" s="3576"/>
      <c r="G481" s="3576"/>
      <c r="H481" s="3563"/>
      <c r="I481" s="3563"/>
      <c r="J481" s="3563"/>
      <c r="K481" s="3563"/>
      <c r="L481" s="3563"/>
      <c r="M481" s="3563"/>
      <c r="N481" s="3577"/>
      <c r="O481" s="3563"/>
      <c r="P481" s="3576"/>
      <c r="Q481" s="3578"/>
      <c r="R481" s="3563"/>
      <c r="S481" s="3563"/>
      <c r="T481" s="4014"/>
      <c r="U481" s="3563"/>
      <c r="V481" s="3563"/>
      <c r="W481" s="3578"/>
      <c r="X481" s="3578"/>
      <c r="Y481" s="3578"/>
      <c r="Z481" s="3578"/>
      <c r="AA481" s="3578"/>
      <c r="AB481" s="3563"/>
      <c r="AC481" s="3578"/>
      <c r="AD481" s="3578"/>
      <c r="AE481" s="3578"/>
      <c r="AF481" s="3578"/>
      <c r="AG481" s="3576"/>
      <c r="AH481" s="3576"/>
      <c r="AI481" s="3580"/>
      <c r="AJ481" s="3581"/>
      <c r="AK481" s="3582"/>
      <c r="AL481" s="3582"/>
      <c r="AM481" s="3582"/>
      <c r="AN481" s="3582"/>
      <c r="AO481" s="3582"/>
      <c r="AP481" s="3582"/>
      <c r="AQ481" s="3582"/>
      <c r="AR481" s="3576"/>
      <c r="AS481" s="3576"/>
      <c r="AT481" s="3576"/>
      <c r="AU481" s="3576"/>
      <c r="AV481" s="3563"/>
    </row>
    <row r="482" s="3565" customFormat="1" spans="1:48">
      <c r="A482" s="3575"/>
      <c r="B482" s="3576"/>
      <c r="C482" s="3576"/>
      <c r="D482" s="3563"/>
      <c r="E482" s="3563"/>
      <c r="F482" s="3576"/>
      <c r="G482" s="3576"/>
      <c r="H482" s="3563"/>
      <c r="I482" s="3563"/>
      <c r="J482" s="3563"/>
      <c r="K482" s="3563"/>
      <c r="L482" s="3563"/>
      <c r="M482" s="3563"/>
      <c r="N482" s="3577"/>
      <c r="O482" s="3563"/>
      <c r="P482" s="3576"/>
      <c r="Q482" s="3578"/>
      <c r="R482" s="3563"/>
      <c r="S482" s="3563"/>
      <c r="T482" s="4014"/>
      <c r="U482" s="3563"/>
      <c r="V482" s="3563"/>
      <c r="W482" s="3578"/>
      <c r="X482" s="3578"/>
      <c r="Y482" s="3578"/>
      <c r="Z482" s="3578"/>
      <c r="AA482" s="3578"/>
      <c r="AB482" s="3563"/>
      <c r="AC482" s="3578"/>
      <c r="AD482" s="3578"/>
      <c r="AE482" s="3578"/>
      <c r="AF482" s="3578"/>
      <c r="AG482" s="3576"/>
      <c r="AH482" s="3576"/>
      <c r="AI482" s="3580"/>
      <c r="AJ482" s="3581"/>
      <c r="AK482" s="3582"/>
      <c r="AL482" s="3582"/>
      <c r="AM482" s="3582"/>
      <c r="AN482" s="3582"/>
      <c r="AO482" s="3582"/>
      <c r="AP482" s="3582"/>
      <c r="AQ482" s="3582"/>
      <c r="AR482" s="3576"/>
      <c r="AS482" s="3576"/>
      <c r="AT482" s="3576"/>
      <c r="AU482" s="3576"/>
      <c r="AV482" s="3563"/>
    </row>
    <row r="483" s="3565" customFormat="1" spans="1:48">
      <c r="A483" s="3575"/>
      <c r="B483" s="3576"/>
      <c r="C483" s="3576"/>
      <c r="D483" s="3563"/>
      <c r="E483" s="3563"/>
      <c r="F483" s="3576"/>
      <c r="G483" s="3576"/>
      <c r="H483" s="3563"/>
      <c r="I483" s="3563"/>
      <c r="J483" s="3563"/>
      <c r="K483" s="3563"/>
      <c r="L483" s="3563"/>
      <c r="M483" s="3563"/>
      <c r="N483" s="3577"/>
      <c r="O483" s="3563"/>
      <c r="P483" s="3576"/>
      <c r="Q483" s="3578"/>
      <c r="R483" s="3563"/>
      <c r="S483" s="3563"/>
      <c r="T483" s="4014"/>
      <c r="U483" s="3563"/>
      <c r="V483" s="3563"/>
      <c r="W483" s="3578"/>
      <c r="X483" s="3578"/>
      <c r="Y483" s="3578"/>
      <c r="Z483" s="3578"/>
      <c r="AA483" s="3578"/>
      <c r="AB483" s="3563"/>
      <c r="AC483" s="3578"/>
      <c r="AD483" s="3578"/>
      <c r="AE483" s="3578"/>
      <c r="AF483" s="3578"/>
      <c r="AG483" s="3576"/>
      <c r="AH483" s="3576"/>
      <c r="AI483" s="3580"/>
      <c r="AJ483" s="3581"/>
      <c r="AK483" s="3582"/>
      <c r="AL483" s="3582"/>
      <c r="AM483" s="3582"/>
      <c r="AN483" s="3582"/>
      <c r="AO483" s="3582"/>
      <c r="AP483" s="3582"/>
      <c r="AQ483" s="3582"/>
      <c r="AR483" s="3576"/>
      <c r="AS483" s="3576"/>
      <c r="AT483" s="3576"/>
      <c r="AU483" s="3576"/>
      <c r="AV483" s="3563"/>
    </row>
    <row r="484" s="3565" customFormat="1" spans="1:48">
      <c r="A484" s="3575"/>
      <c r="B484" s="3576"/>
      <c r="C484" s="3576"/>
      <c r="D484" s="3563"/>
      <c r="E484" s="3563"/>
      <c r="F484" s="3576"/>
      <c r="G484" s="3576"/>
      <c r="H484" s="3563"/>
      <c r="I484" s="3563"/>
      <c r="J484" s="3563"/>
      <c r="K484" s="3563"/>
      <c r="L484" s="3563"/>
      <c r="M484" s="3563"/>
      <c r="N484" s="3577"/>
      <c r="O484" s="3563"/>
      <c r="P484" s="3576"/>
      <c r="Q484" s="3578"/>
      <c r="R484" s="3563"/>
      <c r="S484" s="3563"/>
      <c r="T484" s="4014"/>
      <c r="U484" s="3563"/>
      <c r="V484" s="3563"/>
      <c r="W484" s="3578"/>
      <c r="X484" s="3578"/>
      <c r="Y484" s="3578"/>
      <c r="Z484" s="3578"/>
      <c r="AA484" s="3578"/>
      <c r="AB484" s="3563"/>
      <c r="AC484" s="3578"/>
      <c r="AD484" s="3578"/>
      <c r="AE484" s="3578"/>
      <c r="AF484" s="3578"/>
      <c r="AG484" s="3576"/>
      <c r="AH484" s="3576"/>
      <c r="AI484" s="3580"/>
      <c r="AJ484" s="3581"/>
      <c r="AK484" s="3582"/>
      <c r="AL484" s="3582"/>
      <c r="AM484" s="3582"/>
      <c r="AN484" s="3582"/>
      <c r="AO484" s="3582"/>
      <c r="AP484" s="3582"/>
      <c r="AQ484" s="3582"/>
      <c r="AR484" s="3576"/>
      <c r="AS484" s="3576"/>
      <c r="AT484" s="3576"/>
      <c r="AU484" s="3576"/>
      <c r="AV484" s="3563"/>
    </row>
    <row r="485" s="3565" customFormat="1" spans="1:48">
      <c r="A485" s="3575"/>
      <c r="B485" s="3576"/>
      <c r="C485" s="3576"/>
      <c r="D485" s="3563"/>
      <c r="E485" s="3563"/>
      <c r="F485" s="3576"/>
      <c r="G485" s="3576"/>
      <c r="H485" s="3563"/>
      <c r="I485" s="3563"/>
      <c r="J485" s="3563"/>
      <c r="K485" s="3563"/>
      <c r="L485" s="3563"/>
      <c r="M485" s="3563"/>
      <c r="N485" s="3577"/>
      <c r="O485" s="3563"/>
      <c r="P485" s="3576"/>
      <c r="Q485" s="3578"/>
      <c r="R485" s="3563"/>
      <c r="S485" s="3563"/>
      <c r="T485" s="4021"/>
      <c r="U485" s="3563"/>
      <c r="V485" s="3563"/>
      <c r="W485" s="3578"/>
      <c r="X485" s="3578"/>
      <c r="Y485" s="3578"/>
      <c r="Z485" s="3578"/>
      <c r="AA485" s="3578"/>
      <c r="AB485" s="3563"/>
      <c r="AC485" s="3578"/>
      <c r="AD485" s="3578"/>
      <c r="AE485" s="3578"/>
      <c r="AF485" s="3578"/>
      <c r="AG485" s="3576"/>
      <c r="AH485" s="3576"/>
      <c r="AI485" s="3580"/>
      <c r="AJ485" s="3581"/>
      <c r="AK485" s="3582"/>
      <c r="AL485" s="3582"/>
      <c r="AM485" s="3582"/>
      <c r="AN485" s="3582"/>
      <c r="AO485" s="3582"/>
      <c r="AP485" s="3582"/>
      <c r="AQ485" s="3582"/>
      <c r="AR485" s="3576"/>
      <c r="AS485" s="3576"/>
      <c r="AT485" s="3576"/>
      <c r="AU485" s="3576"/>
      <c r="AV485" s="3563"/>
    </row>
    <row r="486" s="3565" customFormat="1" spans="1:48">
      <c r="A486" s="3575"/>
      <c r="B486" s="3576"/>
      <c r="C486" s="3576"/>
      <c r="D486" s="3563"/>
      <c r="E486" s="3563"/>
      <c r="F486" s="3576"/>
      <c r="G486" s="3576"/>
      <c r="H486" s="3563"/>
      <c r="I486" s="3563"/>
      <c r="J486" s="3563"/>
      <c r="K486" s="3563"/>
      <c r="L486" s="3563"/>
      <c r="M486" s="3563"/>
      <c r="N486" s="3577"/>
      <c r="O486" s="3563"/>
      <c r="P486" s="3576"/>
      <c r="Q486" s="3578"/>
      <c r="R486" s="3563"/>
      <c r="S486" s="3563"/>
      <c r="T486" s="4014"/>
      <c r="U486" s="3563"/>
      <c r="V486" s="3563"/>
      <c r="W486" s="3578"/>
      <c r="X486" s="3578"/>
      <c r="Y486" s="3578"/>
      <c r="Z486" s="3578"/>
      <c r="AA486" s="3578"/>
      <c r="AB486" s="3563"/>
      <c r="AC486" s="3578"/>
      <c r="AD486" s="3578"/>
      <c r="AE486" s="3578"/>
      <c r="AF486" s="3578"/>
      <c r="AG486" s="3576"/>
      <c r="AH486" s="3576"/>
      <c r="AI486" s="3580"/>
      <c r="AJ486" s="3581"/>
      <c r="AK486" s="3582"/>
      <c r="AL486" s="3582"/>
      <c r="AM486" s="3582"/>
      <c r="AN486" s="3582"/>
      <c r="AO486" s="3582"/>
      <c r="AP486" s="3582"/>
      <c r="AQ486" s="3582"/>
      <c r="AR486" s="3576"/>
      <c r="AS486" s="3576"/>
      <c r="AT486" s="3576"/>
      <c r="AU486" s="3576"/>
      <c r="AV486" s="3563"/>
    </row>
    <row r="487" s="3565" customFormat="1" spans="1:48">
      <c r="A487" s="3575"/>
      <c r="B487" s="3576"/>
      <c r="C487" s="3576"/>
      <c r="D487" s="3563"/>
      <c r="E487" s="3563"/>
      <c r="F487" s="3576"/>
      <c r="G487" s="3576"/>
      <c r="H487" s="3563"/>
      <c r="I487" s="3563"/>
      <c r="J487" s="3563"/>
      <c r="K487" s="3563"/>
      <c r="L487" s="3563"/>
      <c r="M487" s="3563"/>
      <c r="N487" s="3577"/>
      <c r="O487" s="3563"/>
      <c r="P487" s="3576"/>
      <c r="Q487" s="3578"/>
      <c r="R487" s="3563"/>
      <c r="S487" s="3563"/>
      <c r="T487" s="4014"/>
      <c r="U487" s="3563"/>
      <c r="V487" s="3563"/>
      <c r="W487" s="3578"/>
      <c r="X487" s="3578"/>
      <c r="Y487" s="3578"/>
      <c r="Z487" s="3578"/>
      <c r="AA487" s="3578"/>
      <c r="AB487" s="3563"/>
      <c r="AC487" s="3578"/>
      <c r="AD487" s="3578"/>
      <c r="AE487" s="3578"/>
      <c r="AF487" s="3578"/>
      <c r="AG487" s="3576"/>
      <c r="AH487" s="3576"/>
      <c r="AI487" s="3580"/>
      <c r="AJ487" s="3581"/>
      <c r="AK487" s="3582"/>
      <c r="AL487" s="3582"/>
      <c r="AM487" s="3582"/>
      <c r="AN487" s="3582"/>
      <c r="AO487" s="3582"/>
      <c r="AP487" s="3582"/>
      <c r="AQ487" s="3582"/>
      <c r="AR487" s="3576"/>
      <c r="AS487" s="3576"/>
      <c r="AT487" s="3576"/>
      <c r="AU487" s="3576"/>
      <c r="AV487" s="3563"/>
    </row>
    <row r="488" s="3565" customFormat="1" spans="1:48">
      <c r="A488" s="3575"/>
      <c r="B488" s="3576"/>
      <c r="C488" s="3576"/>
      <c r="D488" s="3563"/>
      <c r="E488" s="3563"/>
      <c r="F488" s="3576"/>
      <c r="G488" s="3576"/>
      <c r="H488" s="3563"/>
      <c r="I488" s="3563"/>
      <c r="J488" s="3563"/>
      <c r="K488" s="3563"/>
      <c r="L488" s="3563"/>
      <c r="M488" s="3563"/>
      <c r="N488" s="3577"/>
      <c r="O488" s="3563"/>
      <c r="P488" s="3576"/>
      <c r="Q488" s="3578"/>
      <c r="R488" s="3563"/>
      <c r="S488" s="3563"/>
      <c r="T488" s="4014"/>
      <c r="U488" s="3563"/>
      <c r="V488" s="3563"/>
      <c r="W488" s="3578"/>
      <c r="X488" s="3578"/>
      <c r="Y488" s="3578"/>
      <c r="Z488" s="3578"/>
      <c r="AA488" s="3578"/>
      <c r="AB488" s="3563"/>
      <c r="AC488" s="3578"/>
      <c r="AD488" s="3578"/>
      <c r="AE488" s="3578"/>
      <c r="AF488" s="3578"/>
      <c r="AG488" s="3576"/>
      <c r="AH488" s="3576"/>
      <c r="AI488" s="3580"/>
      <c r="AJ488" s="3581"/>
      <c r="AK488" s="3582"/>
      <c r="AL488" s="3582"/>
      <c r="AM488" s="3582"/>
      <c r="AN488" s="3582"/>
      <c r="AO488" s="3582"/>
      <c r="AP488" s="3582"/>
      <c r="AQ488" s="3582"/>
      <c r="AR488" s="3576"/>
      <c r="AS488" s="3576"/>
      <c r="AT488" s="3576"/>
      <c r="AU488" s="3576"/>
      <c r="AV488" s="3563"/>
    </row>
    <row r="489" s="3565" customFormat="1" spans="1:48">
      <c r="A489" s="3575"/>
      <c r="B489" s="3576"/>
      <c r="C489" s="3576"/>
      <c r="D489" s="3563"/>
      <c r="E489" s="3563"/>
      <c r="F489" s="3576"/>
      <c r="G489" s="3576"/>
      <c r="H489" s="3563"/>
      <c r="I489" s="3563"/>
      <c r="J489" s="3563"/>
      <c r="K489" s="3563"/>
      <c r="L489" s="3563"/>
      <c r="M489" s="3563"/>
      <c r="N489" s="3577"/>
      <c r="O489" s="3563"/>
      <c r="P489" s="3576"/>
      <c r="Q489" s="3578"/>
      <c r="R489" s="3563"/>
      <c r="S489" s="3563"/>
      <c r="T489" s="4014"/>
      <c r="U489" s="3563"/>
      <c r="V489" s="3563"/>
      <c r="W489" s="3578"/>
      <c r="X489" s="3578"/>
      <c r="Y489" s="3578"/>
      <c r="Z489" s="3578"/>
      <c r="AA489" s="3578"/>
      <c r="AB489" s="3563"/>
      <c r="AC489" s="3578"/>
      <c r="AD489" s="3578"/>
      <c r="AE489" s="3578"/>
      <c r="AF489" s="3578"/>
      <c r="AG489" s="3576"/>
      <c r="AH489" s="3576"/>
      <c r="AI489" s="3580"/>
      <c r="AJ489" s="3581"/>
      <c r="AK489" s="3582"/>
      <c r="AL489" s="3582"/>
      <c r="AM489" s="3582"/>
      <c r="AN489" s="3582"/>
      <c r="AO489" s="3582"/>
      <c r="AP489" s="3582"/>
      <c r="AQ489" s="3582"/>
      <c r="AR489" s="3576"/>
      <c r="AS489" s="3576"/>
      <c r="AT489" s="3576"/>
      <c r="AU489" s="3576"/>
      <c r="AV489" s="3563"/>
    </row>
    <row r="490" s="3565" customFormat="1" spans="1:48">
      <c r="A490" s="3575"/>
      <c r="B490" s="3576"/>
      <c r="C490" s="3576"/>
      <c r="D490" s="3563"/>
      <c r="E490" s="3563"/>
      <c r="F490" s="3576"/>
      <c r="G490" s="3576"/>
      <c r="H490" s="3563"/>
      <c r="I490" s="3563"/>
      <c r="J490" s="3563"/>
      <c r="K490" s="3563"/>
      <c r="L490" s="3563"/>
      <c r="M490" s="3563"/>
      <c r="N490" s="3577"/>
      <c r="O490" s="3563"/>
      <c r="P490" s="3576"/>
      <c r="Q490" s="3578"/>
      <c r="R490" s="3563"/>
      <c r="S490" s="3563"/>
      <c r="T490" s="4014"/>
      <c r="U490" s="3563"/>
      <c r="V490" s="3563"/>
      <c r="W490" s="3578"/>
      <c r="X490" s="3578"/>
      <c r="Y490" s="3578"/>
      <c r="Z490" s="3578"/>
      <c r="AA490" s="3578"/>
      <c r="AB490" s="3563"/>
      <c r="AC490" s="3578"/>
      <c r="AD490" s="3578"/>
      <c r="AE490" s="3578"/>
      <c r="AF490" s="3578"/>
      <c r="AG490" s="3576"/>
      <c r="AH490" s="3576"/>
      <c r="AI490" s="3580"/>
      <c r="AJ490" s="3581"/>
      <c r="AK490" s="3582"/>
      <c r="AL490" s="3582"/>
      <c r="AM490" s="3582"/>
      <c r="AN490" s="3582"/>
      <c r="AO490" s="3582"/>
      <c r="AP490" s="3582"/>
      <c r="AQ490" s="3582"/>
      <c r="AR490" s="3576"/>
      <c r="AS490" s="3576"/>
      <c r="AT490" s="3576"/>
      <c r="AU490" s="3576"/>
      <c r="AV490" s="3563"/>
    </row>
    <row r="491" s="3565" customFormat="1" spans="1:48">
      <c r="A491" s="3575"/>
      <c r="B491" s="3576"/>
      <c r="C491" s="3576"/>
      <c r="D491" s="3563"/>
      <c r="E491" s="3563"/>
      <c r="F491" s="3576"/>
      <c r="G491" s="3576"/>
      <c r="H491" s="3563"/>
      <c r="I491" s="3563"/>
      <c r="J491" s="3563"/>
      <c r="K491" s="3563"/>
      <c r="L491" s="3563"/>
      <c r="M491" s="3563"/>
      <c r="N491" s="3577"/>
      <c r="O491" s="3563"/>
      <c r="P491" s="3576"/>
      <c r="Q491" s="3578"/>
      <c r="R491" s="3563"/>
      <c r="S491" s="3563"/>
      <c r="T491" s="4014"/>
      <c r="U491" s="3563"/>
      <c r="V491" s="3563"/>
      <c r="W491" s="3578"/>
      <c r="X491" s="3578"/>
      <c r="Y491" s="3578"/>
      <c r="Z491" s="3578"/>
      <c r="AA491" s="3578"/>
      <c r="AB491" s="3563"/>
      <c r="AC491" s="3578"/>
      <c r="AD491" s="3578"/>
      <c r="AE491" s="3578"/>
      <c r="AF491" s="3578"/>
      <c r="AG491" s="3576"/>
      <c r="AH491" s="3576"/>
      <c r="AI491" s="3580"/>
      <c r="AJ491" s="3581"/>
      <c r="AK491" s="3582"/>
      <c r="AL491" s="3582"/>
      <c r="AM491" s="3582"/>
      <c r="AN491" s="3582"/>
      <c r="AO491" s="3582"/>
      <c r="AP491" s="3582"/>
      <c r="AQ491" s="3582"/>
      <c r="AR491" s="3576"/>
      <c r="AS491" s="3576"/>
      <c r="AT491" s="3576"/>
      <c r="AU491" s="3576"/>
      <c r="AV491" s="3563"/>
    </row>
    <row r="492" s="3565" customFormat="1" spans="1:48">
      <c r="A492" s="3575"/>
      <c r="B492" s="3576"/>
      <c r="C492" s="3576"/>
      <c r="D492" s="3563"/>
      <c r="E492" s="3563"/>
      <c r="F492" s="3576"/>
      <c r="G492" s="3576"/>
      <c r="H492" s="3563"/>
      <c r="I492" s="3563"/>
      <c r="J492" s="3563"/>
      <c r="K492" s="3563"/>
      <c r="L492" s="3563"/>
      <c r="M492" s="3563"/>
      <c r="N492" s="3577"/>
      <c r="O492" s="3563"/>
      <c r="P492" s="3576"/>
      <c r="Q492" s="3578"/>
      <c r="R492" s="3563"/>
      <c r="S492" s="3563"/>
      <c r="T492" s="4014"/>
      <c r="U492" s="3563"/>
      <c r="V492" s="3563"/>
      <c r="W492" s="3578"/>
      <c r="X492" s="3578"/>
      <c r="Y492" s="3578"/>
      <c r="Z492" s="3578"/>
      <c r="AA492" s="3578"/>
      <c r="AB492" s="3563"/>
      <c r="AC492" s="3578"/>
      <c r="AD492" s="3578"/>
      <c r="AE492" s="3578"/>
      <c r="AF492" s="3578"/>
      <c r="AG492" s="3576"/>
      <c r="AH492" s="3576"/>
      <c r="AI492" s="3580"/>
      <c r="AJ492" s="3581"/>
      <c r="AK492" s="3582"/>
      <c r="AL492" s="3582"/>
      <c r="AM492" s="3582"/>
      <c r="AN492" s="3582"/>
      <c r="AO492" s="3582"/>
      <c r="AP492" s="3582"/>
      <c r="AQ492" s="3582"/>
      <c r="AR492" s="3576"/>
      <c r="AS492" s="3576"/>
      <c r="AT492" s="3576"/>
      <c r="AU492" s="3576"/>
      <c r="AV492" s="3563"/>
    </row>
    <row r="493" s="3565" customFormat="1" spans="1:48">
      <c r="A493" s="3575"/>
      <c r="B493" s="3576"/>
      <c r="C493" s="3576"/>
      <c r="D493" s="3563"/>
      <c r="E493" s="3563"/>
      <c r="F493" s="3576"/>
      <c r="G493" s="3576"/>
      <c r="H493" s="3563"/>
      <c r="I493" s="3563"/>
      <c r="J493" s="3563"/>
      <c r="K493" s="3563"/>
      <c r="L493" s="3563"/>
      <c r="M493" s="3563"/>
      <c r="N493" s="3577"/>
      <c r="O493" s="3563"/>
      <c r="P493" s="3576"/>
      <c r="Q493" s="3578"/>
      <c r="R493" s="3563"/>
      <c r="S493" s="3563"/>
      <c r="T493" s="4014"/>
      <c r="U493" s="3563"/>
      <c r="V493" s="3563"/>
      <c r="W493" s="3578"/>
      <c r="X493" s="3578"/>
      <c r="Y493" s="3578"/>
      <c r="Z493" s="3578"/>
      <c r="AA493" s="3578"/>
      <c r="AB493" s="3563"/>
      <c r="AC493" s="3578"/>
      <c r="AD493" s="3578"/>
      <c r="AE493" s="3578"/>
      <c r="AF493" s="3578"/>
      <c r="AG493" s="3576"/>
      <c r="AH493" s="3576"/>
      <c r="AI493" s="3580"/>
      <c r="AJ493" s="3581"/>
      <c r="AK493" s="3582"/>
      <c r="AL493" s="3582"/>
      <c r="AM493" s="3582"/>
      <c r="AN493" s="3582"/>
      <c r="AO493" s="3582"/>
      <c r="AP493" s="3582"/>
      <c r="AQ493" s="3582"/>
      <c r="AR493" s="3576"/>
      <c r="AS493" s="3576"/>
      <c r="AT493" s="3576"/>
      <c r="AU493" s="3576"/>
      <c r="AV493" s="3563"/>
    </row>
    <row r="494" s="3565" customFormat="1" spans="1:48">
      <c r="A494" s="3575"/>
      <c r="B494" s="3576"/>
      <c r="C494" s="3576"/>
      <c r="D494" s="3563"/>
      <c r="E494" s="3563"/>
      <c r="F494" s="3576"/>
      <c r="G494" s="3576"/>
      <c r="H494" s="3563"/>
      <c r="I494" s="3563"/>
      <c r="J494" s="3563"/>
      <c r="K494" s="3563"/>
      <c r="L494" s="3563"/>
      <c r="M494" s="3563"/>
      <c r="N494" s="3577"/>
      <c r="O494" s="3563"/>
      <c r="P494" s="3576"/>
      <c r="Q494" s="3578"/>
      <c r="R494" s="3563"/>
      <c r="S494" s="3563"/>
      <c r="T494" s="4014"/>
      <c r="U494" s="3563"/>
      <c r="V494" s="3563"/>
      <c r="W494" s="3578"/>
      <c r="X494" s="3578"/>
      <c r="Y494" s="3578"/>
      <c r="Z494" s="3578"/>
      <c r="AA494" s="3578"/>
      <c r="AB494" s="3563"/>
      <c r="AC494" s="3578"/>
      <c r="AD494" s="3578"/>
      <c r="AE494" s="3578"/>
      <c r="AF494" s="3578"/>
      <c r="AG494" s="3576"/>
      <c r="AH494" s="3576"/>
      <c r="AI494" s="3580"/>
      <c r="AJ494" s="3581"/>
      <c r="AK494" s="3582"/>
      <c r="AL494" s="3582"/>
      <c r="AM494" s="3582"/>
      <c r="AN494" s="3582"/>
      <c r="AO494" s="3582"/>
      <c r="AP494" s="3582"/>
      <c r="AQ494" s="3582"/>
      <c r="AR494" s="3576"/>
      <c r="AS494" s="3576"/>
      <c r="AT494" s="3576"/>
      <c r="AU494" s="3576"/>
      <c r="AV494" s="3563"/>
    </row>
    <row r="495" s="3565" customFormat="1" spans="1:48">
      <c r="A495" s="3575"/>
      <c r="B495" s="3576"/>
      <c r="C495" s="3576"/>
      <c r="D495" s="3563"/>
      <c r="E495" s="3563"/>
      <c r="F495" s="3576"/>
      <c r="G495" s="3576"/>
      <c r="H495" s="3563"/>
      <c r="I495" s="3563"/>
      <c r="J495" s="3563"/>
      <c r="K495" s="3563"/>
      <c r="L495" s="3563"/>
      <c r="M495" s="3563"/>
      <c r="N495" s="3577"/>
      <c r="O495" s="3563"/>
      <c r="P495" s="3576"/>
      <c r="Q495" s="3578"/>
      <c r="R495" s="3563"/>
      <c r="S495" s="3563"/>
      <c r="T495" s="4014"/>
      <c r="U495" s="3563"/>
      <c r="V495" s="3563"/>
      <c r="W495" s="3578"/>
      <c r="X495" s="3578"/>
      <c r="Y495" s="3578"/>
      <c r="Z495" s="3578"/>
      <c r="AA495" s="3578"/>
      <c r="AB495" s="3563"/>
      <c r="AC495" s="3578"/>
      <c r="AD495" s="3578"/>
      <c r="AE495" s="3578"/>
      <c r="AF495" s="3578"/>
      <c r="AG495" s="3576"/>
      <c r="AH495" s="3576"/>
      <c r="AI495" s="3580"/>
      <c r="AJ495" s="3581"/>
      <c r="AK495" s="3582"/>
      <c r="AL495" s="3582"/>
      <c r="AM495" s="3582"/>
      <c r="AN495" s="3582"/>
      <c r="AO495" s="3582"/>
      <c r="AP495" s="3582"/>
      <c r="AQ495" s="3582"/>
      <c r="AR495" s="3576"/>
      <c r="AS495" s="3576"/>
      <c r="AT495" s="3576"/>
      <c r="AU495" s="3576"/>
      <c r="AV495" s="3563"/>
    </row>
    <row r="496" s="3565" customFormat="1" spans="1:48">
      <c r="A496" s="3575"/>
      <c r="B496" s="3576"/>
      <c r="C496" s="3576"/>
      <c r="D496" s="3563"/>
      <c r="E496" s="3563"/>
      <c r="F496" s="3576"/>
      <c r="G496" s="3576"/>
      <c r="H496" s="3563"/>
      <c r="I496" s="3563"/>
      <c r="J496" s="3563"/>
      <c r="K496" s="3563"/>
      <c r="L496" s="3563"/>
      <c r="M496" s="3563"/>
      <c r="N496" s="3577"/>
      <c r="O496" s="3563"/>
      <c r="P496" s="3576"/>
      <c r="Q496" s="3578"/>
      <c r="R496" s="3563"/>
      <c r="S496" s="3563"/>
      <c r="T496" s="4014"/>
      <c r="U496" s="3563"/>
      <c r="V496" s="3563"/>
      <c r="W496" s="3578"/>
      <c r="X496" s="3578"/>
      <c r="Y496" s="3578"/>
      <c r="Z496" s="3578"/>
      <c r="AA496" s="3578"/>
      <c r="AB496" s="3563"/>
      <c r="AC496" s="3578"/>
      <c r="AD496" s="3578"/>
      <c r="AE496" s="3578"/>
      <c r="AF496" s="3578"/>
      <c r="AG496" s="3576"/>
      <c r="AH496" s="3576"/>
      <c r="AI496" s="3580"/>
      <c r="AJ496" s="3581"/>
      <c r="AK496" s="3582"/>
      <c r="AL496" s="3582"/>
      <c r="AM496" s="3582"/>
      <c r="AN496" s="3582"/>
      <c r="AO496" s="3582"/>
      <c r="AP496" s="3582"/>
      <c r="AQ496" s="3582"/>
      <c r="AR496" s="3576"/>
      <c r="AS496" s="3576"/>
      <c r="AT496" s="3576"/>
      <c r="AU496" s="3576"/>
      <c r="AV496" s="3563"/>
    </row>
    <row r="497" s="3565" customFormat="1" spans="1:48">
      <c r="A497" s="3575"/>
      <c r="B497" s="3576"/>
      <c r="C497" s="3576"/>
      <c r="D497" s="3563"/>
      <c r="E497" s="3563"/>
      <c r="F497" s="3576"/>
      <c r="G497" s="3576"/>
      <c r="H497" s="3563"/>
      <c r="I497" s="3563"/>
      <c r="J497" s="3563"/>
      <c r="K497" s="3563"/>
      <c r="L497" s="3563"/>
      <c r="M497" s="3563"/>
      <c r="N497" s="3577"/>
      <c r="O497" s="3563"/>
      <c r="P497" s="3576"/>
      <c r="Q497" s="3578"/>
      <c r="R497" s="3563"/>
      <c r="S497" s="3563"/>
      <c r="T497" s="4014"/>
      <c r="U497" s="3563"/>
      <c r="V497" s="3563"/>
      <c r="W497" s="3578"/>
      <c r="X497" s="3578"/>
      <c r="Y497" s="3578"/>
      <c r="Z497" s="3578"/>
      <c r="AA497" s="3578"/>
      <c r="AB497" s="3563"/>
      <c r="AC497" s="3578"/>
      <c r="AD497" s="3578"/>
      <c r="AE497" s="3578"/>
      <c r="AF497" s="3578"/>
      <c r="AG497" s="3576"/>
      <c r="AH497" s="3576"/>
      <c r="AI497" s="3580"/>
      <c r="AJ497" s="3581"/>
      <c r="AK497" s="3582"/>
      <c r="AL497" s="3582"/>
      <c r="AM497" s="3582"/>
      <c r="AN497" s="3582"/>
      <c r="AO497" s="3582"/>
      <c r="AP497" s="3582"/>
      <c r="AQ497" s="3582"/>
      <c r="AR497" s="3576"/>
      <c r="AS497" s="3576"/>
      <c r="AT497" s="3576"/>
      <c r="AU497" s="3576"/>
      <c r="AV497" s="3563"/>
    </row>
    <row r="498" s="3565" customFormat="1" spans="1:48">
      <c r="A498" s="3575"/>
      <c r="B498" s="3576"/>
      <c r="C498" s="3576"/>
      <c r="D498" s="3563"/>
      <c r="E498" s="3563"/>
      <c r="F498" s="3576"/>
      <c r="G498" s="3576"/>
      <c r="H498" s="3563"/>
      <c r="I498" s="3563"/>
      <c r="J498" s="3563"/>
      <c r="K498" s="3563"/>
      <c r="L498" s="3563"/>
      <c r="M498" s="3563"/>
      <c r="N498" s="3577"/>
      <c r="O498" s="3563"/>
      <c r="P498" s="3576"/>
      <c r="Q498" s="3578"/>
      <c r="R498" s="3563"/>
      <c r="S498" s="3563"/>
      <c r="T498" s="4014"/>
      <c r="U498" s="3563"/>
      <c r="V498" s="3563"/>
      <c r="W498" s="3578"/>
      <c r="X498" s="3578"/>
      <c r="Y498" s="3578"/>
      <c r="Z498" s="3578"/>
      <c r="AA498" s="3578"/>
      <c r="AB498" s="3563"/>
      <c r="AC498" s="3578"/>
      <c r="AD498" s="3578"/>
      <c r="AE498" s="3578"/>
      <c r="AF498" s="3578"/>
      <c r="AG498" s="3576"/>
      <c r="AH498" s="3576"/>
      <c r="AI498" s="3580"/>
      <c r="AJ498" s="3581"/>
      <c r="AK498" s="3582"/>
      <c r="AL498" s="3582"/>
      <c r="AM498" s="3582"/>
      <c r="AN498" s="3582"/>
      <c r="AO498" s="3582"/>
      <c r="AP498" s="3582"/>
      <c r="AQ498" s="3582"/>
      <c r="AR498" s="3576"/>
      <c r="AS498" s="3576"/>
      <c r="AT498" s="3576"/>
      <c r="AU498" s="3576"/>
      <c r="AV498" s="3563"/>
    </row>
    <row r="499" s="3565" customFormat="1" spans="1:48">
      <c r="A499" s="3575"/>
      <c r="B499" s="3576"/>
      <c r="C499" s="3576"/>
      <c r="D499" s="3563"/>
      <c r="E499" s="3563"/>
      <c r="F499" s="3576"/>
      <c r="G499" s="3576"/>
      <c r="H499" s="3563"/>
      <c r="I499" s="3563"/>
      <c r="J499" s="3563"/>
      <c r="K499" s="3563"/>
      <c r="L499" s="3563"/>
      <c r="M499" s="3563"/>
      <c r="N499" s="3577"/>
      <c r="O499" s="3563"/>
      <c r="P499" s="3576"/>
      <c r="Q499" s="3578"/>
      <c r="R499" s="3563"/>
      <c r="S499" s="3563"/>
      <c r="T499" s="4014"/>
      <c r="U499" s="3563"/>
      <c r="V499" s="3563"/>
      <c r="W499" s="3578"/>
      <c r="X499" s="3578"/>
      <c r="Y499" s="3578"/>
      <c r="Z499" s="3578"/>
      <c r="AA499" s="3578"/>
      <c r="AB499" s="3563"/>
      <c r="AC499" s="3578"/>
      <c r="AD499" s="3578"/>
      <c r="AE499" s="3578"/>
      <c r="AF499" s="3578"/>
      <c r="AG499" s="3576"/>
      <c r="AH499" s="3576"/>
      <c r="AI499" s="3580"/>
      <c r="AJ499" s="3581"/>
      <c r="AK499" s="3582"/>
      <c r="AL499" s="3582"/>
      <c r="AM499" s="3582"/>
      <c r="AN499" s="3582"/>
      <c r="AO499" s="3582"/>
      <c r="AP499" s="3582"/>
      <c r="AQ499" s="3582"/>
      <c r="AR499" s="3576"/>
      <c r="AS499" s="3576"/>
      <c r="AT499" s="3576"/>
      <c r="AU499" s="3576"/>
      <c r="AV499" s="3563"/>
    </row>
    <row r="500" s="3565" customFormat="1" spans="1:48">
      <c r="A500" s="3575"/>
      <c r="B500" s="3576"/>
      <c r="C500" s="3576"/>
      <c r="D500" s="3563"/>
      <c r="E500" s="3563"/>
      <c r="F500" s="3576"/>
      <c r="G500" s="3576"/>
      <c r="H500" s="3563"/>
      <c r="I500" s="3563"/>
      <c r="J500" s="3563"/>
      <c r="K500" s="3563"/>
      <c r="L500" s="3563"/>
      <c r="M500" s="3563"/>
      <c r="N500" s="3577"/>
      <c r="O500" s="3563"/>
      <c r="P500" s="3576"/>
      <c r="Q500" s="3578"/>
      <c r="R500" s="3563"/>
      <c r="S500" s="3563"/>
      <c r="T500" s="4014"/>
      <c r="U500" s="3563"/>
      <c r="V500" s="3563"/>
      <c r="W500" s="3578"/>
      <c r="X500" s="3578"/>
      <c r="Y500" s="3578"/>
      <c r="Z500" s="3578"/>
      <c r="AA500" s="3578"/>
      <c r="AB500" s="3563"/>
      <c r="AC500" s="3578"/>
      <c r="AD500" s="3578"/>
      <c r="AE500" s="3578"/>
      <c r="AF500" s="3578"/>
      <c r="AG500" s="3576"/>
      <c r="AH500" s="3576"/>
      <c r="AI500" s="3580"/>
      <c r="AJ500" s="3581"/>
      <c r="AK500" s="3582"/>
      <c r="AL500" s="3582"/>
      <c r="AM500" s="3582"/>
      <c r="AN500" s="3582"/>
      <c r="AO500" s="3582"/>
      <c r="AP500" s="3582"/>
      <c r="AQ500" s="3582"/>
      <c r="AR500" s="3576"/>
      <c r="AS500" s="3576"/>
      <c r="AT500" s="3576"/>
      <c r="AU500" s="3576"/>
      <c r="AV500" s="3563"/>
    </row>
    <row r="501" s="3565" customFormat="1" spans="1:48">
      <c r="A501" s="3575"/>
      <c r="B501" s="3576"/>
      <c r="C501" s="3576"/>
      <c r="D501" s="3563"/>
      <c r="E501" s="3563"/>
      <c r="F501" s="3576"/>
      <c r="G501" s="3576"/>
      <c r="H501" s="3563"/>
      <c r="I501" s="3563"/>
      <c r="J501" s="3563"/>
      <c r="K501" s="3563"/>
      <c r="L501" s="3563"/>
      <c r="M501" s="3563"/>
      <c r="N501" s="3577"/>
      <c r="O501" s="3563"/>
      <c r="P501" s="3576"/>
      <c r="Q501" s="3578"/>
      <c r="R501" s="3563"/>
      <c r="S501" s="3563"/>
      <c r="T501" s="4014"/>
      <c r="U501" s="3563"/>
      <c r="V501" s="3563"/>
      <c r="W501" s="3578"/>
      <c r="X501" s="3578"/>
      <c r="Y501" s="3578"/>
      <c r="Z501" s="3578"/>
      <c r="AA501" s="3578"/>
      <c r="AB501" s="3563"/>
      <c r="AC501" s="3578"/>
      <c r="AD501" s="3578"/>
      <c r="AE501" s="3578"/>
      <c r="AF501" s="3578"/>
      <c r="AG501" s="3576"/>
      <c r="AH501" s="3576"/>
      <c r="AI501" s="3580"/>
      <c r="AJ501" s="3581"/>
      <c r="AK501" s="3582"/>
      <c r="AL501" s="3582"/>
      <c r="AM501" s="3582"/>
      <c r="AN501" s="3582"/>
      <c r="AO501" s="3582"/>
      <c r="AP501" s="3582"/>
      <c r="AQ501" s="3582"/>
      <c r="AR501" s="3576"/>
      <c r="AS501" s="3576"/>
      <c r="AT501" s="3576"/>
      <c r="AU501" s="3576"/>
      <c r="AV501" s="3563"/>
    </row>
    <row r="502" s="3565" customFormat="1" spans="1:48">
      <c r="A502" s="3575"/>
      <c r="B502" s="3576"/>
      <c r="C502" s="3576"/>
      <c r="D502" s="3563"/>
      <c r="E502" s="3563"/>
      <c r="F502" s="3576"/>
      <c r="G502" s="3576"/>
      <c r="H502" s="3563"/>
      <c r="I502" s="3563"/>
      <c r="J502" s="3563"/>
      <c r="K502" s="3563"/>
      <c r="L502" s="3563"/>
      <c r="M502" s="3563"/>
      <c r="N502" s="3577"/>
      <c r="O502" s="3563"/>
      <c r="P502" s="3576"/>
      <c r="Q502" s="3578"/>
      <c r="R502" s="3563"/>
      <c r="S502" s="3563"/>
      <c r="T502" s="4014"/>
      <c r="U502" s="3563"/>
      <c r="V502" s="3563"/>
      <c r="W502" s="3578"/>
      <c r="X502" s="3578"/>
      <c r="Y502" s="3578"/>
      <c r="Z502" s="3578"/>
      <c r="AA502" s="3578"/>
      <c r="AB502" s="3563"/>
      <c r="AC502" s="3578"/>
      <c r="AD502" s="3578"/>
      <c r="AE502" s="3578"/>
      <c r="AF502" s="3578"/>
      <c r="AG502" s="3576"/>
      <c r="AH502" s="3576"/>
      <c r="AI502" s="3580"/>
      <c r="AJ502" s="3581"/>
      <c r="AK502" s="3582"/>
      <c r="AL502" s="3582"/>
      <c r="AM502" s="3582"/>
      <c r="AN502" s="3582"/>
      <c r="AO502" s="3582"/>
      <c r="AP502" s="3582"/>
      <c r="AQ502" s="3582"/>
      <c r="AR502" s="3576"/>
      <c r="AS502" s="3576"/>
      <c r="AT502" s="3576"/>
      <c r="AU502" s="3576"/>
      <c r="AV502" s="3563"/>
    </row>
    <row r="503" s="3565" customFormat="1" spans="1:48">
      <c r="A503" s="3575"/>
      <c r="B503" s="3576"/>
      <c r="C503" s="3576"/>
      <c r="D503" s="3563"/>
      <c r="E503" s="3563"/>
      <c r="F503" s="3576"/>
      <c r="G503" s="3576"/>
      <c r="H503" s="3563"/>
      <c r="I503" s="3563"/>
      <c r="J503" s="3563"/>
      <c r="K503" s="3563"/>
      <c r="L503" s="3563"/>
      <c r="M503" s="3563"/>
      <c r="N503" s="3577"/>
      <c r="O503" s="3563"/>
      <c r="P503" s="3576"/>
      <c r="Q503" s="3578"/>
      <c r="R503" s="3563"/>
      <c r="S503" s="3563"/>
      <c r="T503" s="4014"/>
      <c r="U503" s="3563"/>
      <c r="V503" s="3563"/>
      <c r="W503" s="3578"/>
      <c r="X503" s="3578"/>
      <c r="Y503" s="3578"/>
      <c r="Z503" s="3578"/>
      <c r="AA503" s="3578"/>
      <c r="AB503" s="3563"/>
      <c r="AC503" s="3578"/>
      <c r="AD503" s="3578"/>
      <c r="AE503" s="3578"/>
      <c r="AF503" s="3578"/>
      <c r="AG503" s="3576"/>
      <c r="AH503" s="3576"/>
      <c r="AI503" s="3580"/>
      <c r="AJ503" s="3581"/>
      <c r="AK503" s="3582"/>
      <c r="AL503" s="3582"/>
      <c r="AM503" s="3582"/>
      <c r="AN503" s="3582"/>
      <c r="AO503" s="3582"/>
      <c r="AP503" s="3582"/>
      <c r="AQ503" s="3582"/>
      <c r="AR503" s="3576"/>
      <c r="AS503" s="3576"/>
      <c r="AT503" s="3576"/>
      <c r="AU503" s="3576"/>
      <c r="AV503" s="3563"/>
    </row>
    <row r="504" s="3565" customFormat="1" spans="1:48">
      <c r="A504" s="3575"/>
      <c r="B504" s="3576"/>
      <c r="C504" s="3576"/>
      <c r="D504" s="3563"/>
      <c r="E504" s="3563"/>
      <c r="F504" s="3576"/>
      <c r="G504" s="3576"/>
      <c r="H504" s="3563"/>
      <c r="I504" s="3563"/>
      <c r="J504" s="3563"/>
      <c r="K504" s="3563"/>
      <c r="L504" s="3563"/>
      <c r="M504" s="3563"/>
      <c r="N504" s="3577"/>
      <c r="O504" s="3563"/>
      <c r="P504" s="3576"/>
      <c r="Q504" s="3578"/>
      <c r="R504" s="3563"/>
      <c r="S504" s="3563"/>
      <c r="T504" s="4014"/>
      <c r="U504" s="3563"/>
      <c r="V504" s="3563"/>
      <c r="W504" s="3578"/>
      <c r="X504" s="3578"/>
      <c r="Y504" s="3578"/>
      <c r="Z504" s="3578"/>
      <c r="AA504" s="3578"/>
      <c r="AB504" s="3563"/>
      <c r="AC504" s="3578"/>
      <c r="AD504" s="3578"/>
      <c r="AE504" s="3578"/>
      <c r="AF504" s="3578"/>
      <c r="AG504" s="3576"/>
      <c r="AH504" s="3576"/>
      <c r="AI504" s="3580"/>
      <c r="AJ504" s="3581"/>
      <c r="AK504" s="3582"/>
      <c r="AL504" s="3582"/>
      <c r="AM504" s="3582"/>
      <c r="AN504" s="3582"/>
      <c r="AO504" s="3582"/>
      <c r="AP504" s="3582"/>
      <c r="AQ504" s="3582"/>
      <c r="AR504" s="3576"/>
      <c r="AS504" s="3576"/>
      <c r="AT504" s="3576"/>
      <c r="AU504" s="3576"/>
      <c r="AV504" s="3563"/>
    </row>
    <row r="505" s="3565" customFormat="1" spans="1:48">
      <c r="A505" s="3575"/>
      <c r="B505" s="3576"/>
      <c r="C505" s="3576"/>
      <c r="D505" s="3563"/>
      <c r="E505" s="3563"/>
      <c r="F505" s="3576"/>
      <c r="G505" s="3576"/>
      <c r="H505" s="3563"/>
      <c r="I505" s="3563"/>
      <c r="J505" s="3563"/>
      <c r="K505" s="3563"/>
      <c r="L505" s="3563"/>
      <c r="M505" s="3563"/>
      <c r="N505" s="3577"/>
      <c r="O505" s="3563"/>
      <c r="P505" s="3576"/>
      <c r="Q505" s="3578"/>
      <c r="R505" s="3563"/>
      <c r="S505" s="3563"/>
      <c r="T505" s="4014"/>
      <c r="U505" s="3563"/>
      <c r="V505" s="3563"/>
      <c r="W505" s="3578"/>
      <c r="X505" s="3578"/>
      <c r="Y505" s="3578"/>
      <c r="Z505" s="3578"/>
      <c r="AA505" s="3578"/>
      <c r="AB505" s="3563"/>
      <c r="AC505" s="3578"/>
      <c r="AD505" s="3578"/>
      <c r="AE505" s="3578"/>
      <c r="AF505" s="3578"/>
      <c r="AG505" s="3576"/>
      <c r="AH505" s="3576"/>
      <c r="AI505" s="3580"/>
      <c r="AJ505" s="3581"/>
      <c r="AK505" s="3582"/>
      <c r="AL505" s="3582"/>
      <c r="AM505" s="3582"/>
      <c r="AN505" s="3582"/>
      <c r="AO505" s="3582"/>
      <c r="AP505" s="3582"/>
      <c r="AQ505" s="3582"/>
      <c r="AR505" s="3576"/>
      <c r="AS505" s="3576"/>
      <c r="AT505" s="3576"/>
      <c r="AU505" s="3576"/>
      <c r="AV505" s="3563"/>
    </row>
    <row r="506" s="3565" customFormat="1" spans="1:48">
      <c r="A506" s="3575"/>
      <c r="B506" s="3576"/>
      <c r="C506" s="3576"/>
      <c r="D506" s="3563"/>
      <c r="E506" s="3563"/>
      <c r="F506" s="3576"/>
      <c r="G506" s="3576"/>
      <c r="H506" s="3563"/>
      <c r="I506" s="3563"/>
      <c r="J506" s="3563"/>
      <c r="K506" s="3563"/>
      <c r="L506" s="3563"/>
      <c r="M506" s="3563"/>
      <c r="N506" s="3577"/>
      <c r="O506" s="3563"/>
      <c r="P506" s="3576"/>
      <c r="Q506" s="3578"/>
      <c r="R506" s="3563"/>
      <c r="S506" s="3563"/>
      <c r="T506" s="4014"/>
      <c r="U506" s="3563"/>
      <c r="V506" s="3563"/>
      <c r="W506" s="3578"/>
      <c r="X506" s="3578"/>
      <c r="Y506" s="3578"/>
      <c r="Z506" s="3578"/>
      <c r="AA506" s="3578"/>
      <c r="AB506" s="3563"/>
      <c r="AC506" s="3578"/>
      <c r="AD506" s="3578"/>
      <c r="AE506" s="3578"/>
      <c r="AF506" s="3578"/>
      <c r="AG506" s="3576"/>
      <c r="AH506" s="3576"/>
      <c r="AI506" s="3580"/>
      <c r="AJ506" s="3581"/>
      <c r="AK506" s="3582"/>
      <c r="AL506" s="3582"/>
      <c r="AM506" s="3582"/>
      <c r="AN506" s="3582"/>
      <c r="AO506" s="3582"/>
      <c r="AP506" s="3582"/>
      <c r="AQ506" s="3582"/>
      <c r="AR506" s="3576"/>
      <c r="AS506" s="3576"/>
      <c r="AT506" s="3576"/>
      <c r="AU506" s="3576"/>
      <c r="AV506" s="3563"/>
    </row>
    <row r="507" s="3565" customFormat="1" spans="1:48">
      <c r="A507" s="3575"/>
      <c r="B507" s="3576"/>
      <c r="C507" s="3576"/>
      <c r="D507" s="3563"/>
      <c r="E507" s="3563"/>
      <c r="F507" s="3576"/>
      <c r="G507" s="3576"/>
      <c r="H507" s="3563"/>
      <c r="I507" s="3563"/>
      <c r="J507" s="3563"/>
      <c r="K507" s="3563"/>
      <c r="L507" s="3563"/>
      <c r="M507" s="3563"/>
      <c r="N507" s="3577"/>
      <c r="O507" s="3563"/>
      <c r="P507" s="3576"/>
      <c r="Q507" s="3578"/>
      <c r="R507" s="3563"/>
      <c r="S507" s="3563"/>
      <c r="T507" s="4014"/>
      <c r="U507" s="3563"/>
      <c r="V507" s="3563"/>
      <c r="W507" s="3578"/>
      <c r="X507" s="3578"/>
      <c r="Y507" s="3578"/>
      <c r="Z507" s="3578"/>
      <c r="AA507" s="3578"/>
      <c r="AB507" s="3563"/>
      <c r="AC507" s="3578"/>
      <c r="AD507" s="3578"/>
      <c r="AE507" s="3578"/>
      <c r="AF507" s="3578"/>
      <c r="AG507" s="3576"/>
      <c r="AH507" s="3576"/>
      <c r="AI507" s="3580"/>
      <c r="AJ507" s="3581"/>
      <c r="AK507" s="3582"/>
      <c r="AL507" s="3582"/>
      <c r="AM507" s="3582"/>
      <c r="AN507" s="3582"/>
      <c r="AO507" s="3582"/>
      <c r="AP507" s="3582"/>
      <c r="AQ507" s="3582"/>
      <c r="AR507" s="3576"/>
      <c r="AS507" s="3576"/>
      <c r="AT507" s="3576"/>
      <c r="AU507" s="3576"/>
      <c r="AV507" s="3563"/>
    </row>
    <row r="508" s="3565" customFormat="1" spans="1:48">
      <c r="A508" s="3575"/>
      <c r="B508" s="3576"/>
      <c r="C508" s="3576"/>
      <c r="D508" s="3563"/>
      <c r="E508" s="3563"/>
      <c r="F508" s="3576"/>
      <c r="G508" s="3576"/>
      <c r="H508" s="3563"/>
      <c r="I508" s="3563"/>
      <c r="J508" s="3563"/>
      <c r="K508" s="3563"/>
      <c r="L508" s="3563"/>
      <c r="M508" s="3563"/>
      <c r="N508" s="3577"/>
      <c r="O508" s="3563"/>
      <c r="P508" s="3576"/>
      <c r="Q508" s="3578"/>
      <c r="R508" s="3563"/>
      <c r="S508" s="3563"/>
      <c r="T508" s="4014"/>
      <c r="U508" s="3563"/>
      <c r="V508" s="3563"/>
      <c r="W508" s="3578"/>
      <c r="X508" s="3578"/>
      <c r="Y508" s="3578"/>
      <c r="Z508" s="3578"/>
      <c r="AA508" s="3578"/>
      <c r="AB508" s="3563"/>
      <c r="AC508" s="3578"/>
      <c r="AD508" s="3578"/>
      <c r="AE508" s="3578"/>
      <c r="AF508" s="3578"/>
      <c r="AG508" s="3576"/>
      <c r="AH508" s="3576"/>
      <c r="AI508" s="3580"/>
      <c r="AJ508" s="3581"/>
      <c r="AK508" s="3582"/>
      <c r="AL508" s="3582"/>
      <c r="AM508" s="3582"/>
      <c r="AN508" s="3582"/>
      <c r="AO508" s="3582"/>
      <c r="AP508" s="3582"/>
      <c r="AQ508" s="3582"/>
      <c r="AR508" s="3576"/>
      <c r="AS508" s="3576"/>
      <c r="AT508" s="3576"/>
      <c r="AU508" s="3576"/>
      <c r="AV508" s="3563"/>
    </row>
    <row r="509" s="3565" customFormat="1" spans="1:48">
      <c r="A509" s="3575"/>
      <c r="B509" s="3576"/>
      <c r="C509" s="3576"/>
      <c r="D509" s="3563"/>
      <c r="E509" s="3563"/>
      <c r="F509" s="3576"/>
      <c r="G509" s="3576"/>
      <c r="H509" s="3563"/>
      <c r="I509" s="3563"/>
      <c r="J509" s="3563"/>
      <c r="K509" s="3563"/>
      <c r="L509" s="3563"/>
      <c r="M509" s="3563"/>
      <c r="N509" s="3577"/>
      <c r="O509" s="3563"/>
      <c r="P509" s="3576"/>
      <c r="Q509" s="3578"/>
      <c r="R509" s="3563"/>
      <c r="S509" s="3563"/>
      <c r="T509" s="4014"/>
      <c r="U509" s="3563"/>
      <c r="V509" s="3563"/>
      <c r="W509" s="3578"/>
      <c r="X509" s="3578"/>
      <c r="Y509" s="3578"/>
      <c r="Z509" s="3578"/>
      <c r="AA509" s="3578"/>
      <c r="AB509" s="3563"/>
      <c r="AC509" s="3578"/>
      <c r="AD509" s="3578"/>
      <c r="AE509" s="3578"/>
      <c r="AF509" s="3578"/>
      <c r="AG509" s="3576"/>
      <c r="AH509" s="3576"/>
      <c r="AI509" s="3580"/>
      <c r="AJ509" s="3581"/>
      <c r="AK509" s="3582"/>
      <c r="AL509" s="3582"/>
      <c r="AM509" s="3582"/>
      <c r="AN509" s="3582"/>
      <c r="AO509" s="3582"/>
      <c r="AP509" s="3582"/>
      <c r="AQ509" s="3582"/>
      <c r="AR509" s="3576"/>
      <c r="AS509" s="3576"/>
      <c r="AT509" s="3576"/>
      <c r="AU509" s="3576"/>
      <c r="AV509" s="3563"/>
    </row>
    <row r="510" s="3565" customFormat="1" spans="1:48">
      <c r="A510" s="3575"/>
      <c r="B510" s="3576"/>
      <c r="C510" s="3576"/>
      <c r="D510" s="3563"/>
      <c r="E510" s="3563"/>
      <c r="F510" s="3576"/>
      <c r="G510" s="3576"/>
      <c r="H510" s="3563"/>
      <c r="I510" s="3563"/>
      <c r="J510" s="3563"/>
      <c r="K510" s="3563"/>
      <c r="L510" s="3563"/>
      <c r="M510" s="3563"/>
      <c r="N510" s="3577"/>
      <c r="O510" s="3563"/>
      <c r="P510" s="3576"/>
      <c r="Q510" s="3578"/>
      <c r="R510" s="3563"/>
      <c r="S510" s="3563"/>
      <c r="T510" s="4014"/>
      <c r="U510" s="3563"/>
      <c r="V510" s="3563"/>
      <c r="W510" s="3578"/>
      <c r="X510" s="3578"/>
      <c r="Y510" s="3578"/>
      <c r="Z510" s="3578"/>
      <c r="AA510" s="3578"/>
      <c r="AB510" s="3563"/>
      <c r="AC510" s="3578"/>
      <c r="AD510" s="3578"/>
      <c r="AE510" s="3578"/>
      <c r="AF510" s="3578"/>
      <c r="AG510" s="3576"/>
      <c r="AH510" s="3576"/>
      <c r="AI510" s="3580"/>
      <c r="AJ510" s="3581"/>
      <c r="AK510" s="3582"/>
      <c r="AL510" s="3582"/>
      <c r="AM510" s="3582"/>
      <c r="AN510" s="3582"/>
      <c r="AO510" s="3582"/>
      <c r="AP510" s="3582"/>
      <c r="AQ510" s="3582"/>
      <c r="AR510" s="3576"/>
      <c r="AS510" s="3576"/>
      <c r="AT510" s="3576"/>
      <c r="AU510" s="3576"/>
      <c r="AV510" s="3563"/>
    </row>
    <row r="511" s="3565" customFormat="1" spans="1:48">
      <c r="A511" s="3575"/>
      <c r="B511" s="3576"/>
      <c r="C511" s="3576"/>
      <c r="D511" s="3563"/>
      <c r="E511" s="3563"/>
      <c r="F511" s="3576"/>
      <c r="G511" s="3576"/>
      <c r="H511" s="3563"/>
      <c r="I511" s="3563"/>
      <c r="J511" s="3563"/>
      <c r="K511" s="3563"/>
      <c r="L511" s="3563"/>
      <c r="M511" s="3563"/>
      <c r="N511" s="3577"/>
      <c r="O511" s="3563"/>
      <c r="P511" s="3576"/>
      <c r="Q511" s="3578"/>
      <c r="R511" s="3563"/>
      <c r="S511" s="3563"/>
      <c r="T511" s="4014"/>
      <c r="U511" s="3563"/>
      <c r="V511" s="3563"/>
      <c r="W511" s="3578"/>
      <c r="X511" s="3578"/>
      <c r="Y511" s="3578"/>
      <c r="Z511" s="3578"/>
      <c r="AA511" s="3578"/>
      <c r="AB511" s="3563"/>
      <c r="AC511" s="3578"/>
      <c r="AD511" s="3578"/>
      <c r="AE511" s="3578"/>
      <c r="AF511" s="3578"/>
      <c r="AG511" s="3576"/>
      <c r="AH511" s="3576"/>
      <c r="AI511" s="3580"/>
      <c r="AJ511" s="3581"/>
      <c r="AK511" s="3582"/>
      <c r="AL511" s="3582"/>
      <c r="AM511" s="3582"/>
      <c r="AN511" s="3582"/>
      <c r="AO511" s="3582"/>
      <c r="AP511" s="3582"/>
      <c r="AQ511" s="3582"/>
      <c r="AR511" s="3576"/>
      <c r="AS511" s="3576"/>
      <c r="AT511" s="3576"/>
      <c r="AU511" s="3576"/>
      <c r="AV511" s="3563"/>
    </row>
    <row r="512" s="3565" customFormat="1" spans="1:48">
      <c r="A512" s="3575"/>
      <c r="B512" s="3576"/>
      <c r="C512" s="3576"/>
      <c r="D512" s="3563"/>
      <c r="E512" s="3563"/>
      <c r="F512" s="3576"/>
      <c r="G512" s="3576"/>
      <c r="H512" s="3563"/>
      <c r="I512" s="3563"/>
      <c r="J512" s="3563"/>
      <c r="K512" s="3563"/>
      <c r="L512" s="3563"/>
      <c r="M512" s="3563"/>
      <c r="N512" s="3577"/>
      <c r="O512" s="3563"/>
      <c r="P512" s="3576"/>
      <c r="Q512" s="3578"/>
      <c r="R512" s="3563"/>
      <c r="S512" s="3563"/>
      <c r="T512" s="4014"/>
      <c r="U512" s="3563"/>
      <c r="V512" s="3563"/>
      <c r="W512" s="3578"/>
      <c r="X512" s="3578"/>
      <c r="Y512" s="3578"/>
      <c r="Z512" s="3578"/>
      <c r="AA512" s="3578"/>
      <c r="AB512" s="3563"/>
      <c r="AC512" s="3578"/>
      <c r="AD512" s="3578"/>
      <c r="AE512" s="3578"/>
      <c r="AF512" s="3578"/>
      <c r="AG512" s="3576"/>
      <c r="AH512" s="3576"/>
      <c r="AI512" s="3580"/>
      <c r="AJ512" s="3581"/>
      <c r="AK512" s="3582"/>
      <c r="AL512" s="3582"/>
      <c r="AM512" s="3582"/>
      <c r="AN512" s="3582"/>
      <c r="AO512" s="3582"/>
      <c r="AP512" s="3582"/>
      <c r="AQ512" s="3582"/>
      <c r="AR512" s="3576"/>
      <c r="AS512" s="3576"/>
      <c r="AT512" s="3576"/>
      <c r="AU512" s="3576"/>
      <c r="AV512" s="3563"/>
    </row>
    <row r="513" s="3565" customFormat="1" spans="1:48">
      <c r="A513" s="3575"/>
      <c r="B513" s="3576"/>
      <c r="C513" s="3576"/>
      <c r="D513" s="3563"/>
      <c r="E513" s="3563"/>
      <c r="F513" s="3576"/>
      <c r="G513" s="3576"/>
      <c r="H513" s="3563"/>
      <c r="I513" s="3563"/>
      <c r="J513" s="3563"/>
      <c r="K513" s="3563"/>
      <c r="L513" s="3563"/>
      <c r="M513" s="3563"/>
      <c r="N513" s="3577"/>
      <c r="O513" s="3563"/>
      <c r="P513" s="3576"/>
      <c r="Q513" s="3578"/>
      <c r="R513" s="3563"/>
      <c r="S513" s="3563"/>
      <c r="T513" s="4014"/>
      <c r="U513" s="3563"/>
      <c r="V513" s="3563"/>
      <c r="W513" s="3578"/>
      <c r="X513" s="3578"/>
      <c r="Y513" s="3578"/>
      <c r="Z513" s="3578"/>
      <c r="AA513" s="3578"/>
      <c r="AB513" s="3563"/>
      <c r="AC513" s="3578"/>
      <c r="AD513" s="3578"/>
      <c r="AE513" s="3578"/>
      <c r="AF513" s="3578"/>
      <c r="AG513" s="3576"/>
      <c r="AH513" s="3576"/>
      <c r="AI513" s="3580"/>
      <c r="AJ513" s="3581"/>
      <c r="AK513" s="3582"/>
      <c r="AL513" s="3582"/>
      <c r="AM513" s="3582"/>
      <c r="AN513" s="3582"/>
      <c r="AO513" s="3582"/>
      <c r="AP513" s="3582"/>
      <c r="AQ513" s="3582"/>
      <c r="AR513" s="3576"/>
      <c r="AS513" s="3576"/>
      <c r="AT513" s="3576"/>
      <c r="AU513" s="3576"/>
      <c r="AV513" s="3563"/>
    </row>
    <row r="514" s="3565" customFormat="1" spans="1:48">
      <c r="A514" s="3575"/>
      <c r="B514" s="3576"/>
      <c r="C514" s="3576"/>
      <c r="D514" s="3563"/>
      <c r="E514" s="3563"/>
      <c r="F514" s="3576"/>
      <c r="G514" s="3576"/>
      <c r="H514" s="3563"/>
      <c r="I514" s="3563"/>
      <c r="J514" s="3563"/>
      <c r="K514" s="3563"/>
      <c r="L514" s="3563"/>
      <c r="M514" s="3563"/>
      <c r="N514" s="3577"/>
      <c r="O514" s="3563"/>
      <c r="P514" s="3576"/>
      <c r="Q514" s="3578"/>
      <c r="R514" s="3563"/>
      <c r="S514" s="3563"/>
      <c r="T514" s="4014"/>
      <c r="U514" s="3563"/>
      <c r="V514" s="3563"/>
      <c r="W514" s="3578"/>
      <c r="X514" s="3578"/>
      <c r="Y514" s="3578"/>
      <c r="Z514" s="3578"/>
      <c r="AA514" s="3578"/>
      <c r="AB514" s="3563"/>
      <c r="AC514" s="3578"/>
      <c r="AD514" s="3578"/>
      <c r="AE514" s="3578"/>
      <c r="AF514" s="3578"/>
      <c r="AG514" s="3576"/>
      <c r="AH514" s="3576"/>
      <c r="AI514" s="3580"/>
      <c r="AJ514" s="3581"/>
      <c r="AK514" s="3582"/>
      <c r="AL514" s="3582"/>
      <c r="AM514" s="3582"/>
      <c r="AN514" s="3582"/>
      <c r="AO514" s="3582"/>
      <c r="AP514" s="3582"/>
      <c r="AQ514" s="3582"/>
      <c r="AR514" s="3576"/>
      <c r="AS514" s="3576"/>
      <c r="AT514" s="3576"/>
      <c r="AU514" s="3576"/>
      <c r="AV514" s="3563"/>
    </row>
    <row r="515" s="3565" customFormat="1" spans="1:48">
      <c r="A515" s="3575"/>
      <c r="B515" s="3576"/>
      <c r="C515" s="3576"/>
      <c r="D515" s="3563"/>
      <c r="E515" s="3563"/>
      <c r="F515" s="3576"/>
      <c r="G515" s="3576"/>
      <c r="H515" s="3563"/>
      <c r="I515" s="3563"/>
      <c r="J515" s="3563"/>
      <c r="K515" s="3563"/>
      <c r="L515" s="3563"/>
      <c r="M515" s="3563"/>
      <c r="N515" s="3577"/>
      <c r="O515" s="3563"/>
      <c r="P515" s="3576"/>
      <c r="Q515" s="3578"/>
      <c r="R515" s="3563"/>
      <c r="S515" s="3563"/>
      <c r="T515" s="4014"/>
      <c r="U515" s="3563"/>
      <c r="V515" s="3563"/>
      <c r="W515" s="3578"/>
      <c r="X515" s="3578"/>
      <c r="Y515" s="3578"/>
      <c r="Z515" s="3578"/>
      <c r="AA515" s="3578"/>
      <c r="AB515" s="3563"/>
      <c r="AC515" s="3578"/>
      <c r="AD515" s="3578"/>
      <c r="AE515" s="3578"/>
      <c r="AF515" s="3578"/>
      <c r="AG515" s="3576"/>
      <c r="AH515" s="3576"/>
      <c r="AI515" s="3580"/>
      <c r="AJ515" s="3581"/>
      <c r="AK515" s="3582"/>
      <c r="AL515" s="3582"/>
      <c r="AM515" s="3582"/>
      <c r="AN515" s="3582"/>
      <c r="AO515" s="3582"/>
      <c r="AP515" s="3582"/>
      <c r="AQ515" s="3582"/>
      <c r="AR515" s="3576"/>
      <c r="AS515" s="3576"/>
      <c r="AT515" s="3576"/>
      <c r="AU515" s="3576"/>
      <c r="AV515" s="3563"/>
    </row>
    <row r="516" s="3565" customFormat="1" spans="1:48">
      <c r="A516" s="3575"/>
      <c r="B516" s="3576"/>
      <c r="C516" s="3576"/>
      <c r="D516" s="3563"/>
      <c r="E516" s="3563"/>
      <c r="F516" s="3576"/>
      <c r="G516" s="3576"/>
      <c r="H516" s="3563"/>
      <c r="I516" s="3563"/>
      <c r="J516" s="3563"/>
      <c r="K516" s="3563"/>
      <c r="L516" s="3563"/>
      <c r="M516" s="3563"/>
      <c r="N516" s="3577"/>
      <c r="O516" s="3563"/>
      <c r="P516" s="3576"/>
      <c r="Q516" s="3578"/>
      <c r="R516" s="3563"/>
      <c r="S516" s="3563"/>
      <c r="T516" s="4014"/>
      <c r="U516" s="3563"/>
      <c r="V516" s="3563"/>
      <c r="W516" s="3578"/>
      <c r="X516" s="3578"/>
      <c r="Y516" s="3578"/>
      <c r="Z516" s="3578"/>
      <c r="AA516" s="3578"/>
      <c r="AB516" s="3563"/>
      <c r="AC516" s="3578"/>
      <c r="AD516" s="3578"/>
      <c r="AE516" s="3578"/>
      <c r="AF516" s="3578"/>
      <c r="AG516" s="3576"/>
      <c r="AH516" s="3576"/>
      <c r="AI516" s="3580"/>
      <c r="AJ516" s="3581"/>
      <c r="AK516" s="3582"/>
      <c r="AL516" s="3582"/>
      <c r="AM516" s="3582"/>
      <c r="AN516" s="3582"/>
      <c r="AO516" s="3582"/>
      <c r="AP516" s="3582"/>
      <c r="AQ516" s="3582"/>
      <c r="AR516" s="3576"/>
      <c r="AS516" s="3576"/>
      <c r="AT516" s="3576"/>
      <c r="AU516" s="3576"/>
      <c r="AV516" s="3563"/>
    </row>
    <row r="517" s="3565" customFormat="1" spans="1:48">
      <c r="A517" s="3575"/>
      <c r="B517" s="3576"/>
      <c r="C517" s="3576"/>
      <c r="D517" s="3563"/>
      <c r="E517" s="3563"/>
      <c r="F517" s="3576"/>
      <c r="G517" s="3576"/>
      <c r="H517" s="3563"/>
      <c r="I517" s="3563"/>
      <c r="J517" s="3563"/>
      <c r="K517" s="3563"/>
      <c r="L517" s="3563"/>
      <c r="M517" s="3563"/>
      <c r="N517" s="3577"/>
      <c r="O517" s="3563"/>
      <c r="P517" s="3576"/>
      <c r="Q517" s="3578"/>
      <c r="R517" s="3563"/>
      <c r="S517" s="3563"/>
      <c r="T517" s="4014"/>
      <c r="U517" s="3563"/>
      <c r="V517" s="3563"/>
      <c r="W517" s="3578"/>
      <c r="X517" s="3578"/>
      <c r="Y517" s="3578"/>
      <c r="Z517" s="3578"/>
      <c r="AA517" s="3578"/>
      <c r="AB517" s="3563"/>
      <c r="AC517" s="3578"/>
      <c r="AD517" s="3578"/>
      <c r="AE517" s="3578"/>
      <c r="AF517" s="3578"/>
      <c r="AG517" s="3576"/>
      <c r="AH517" s="3576"/>
      <c r="AI517" s="3580"/>
      <c r="AJ517" s="3581"/>
      <c r="AK517" s="3582"/>
      <c r="AL517" s="3582"/>
      <c r="AM517" s="3582"/>
      <c r="AN517" s="3582"/>
      <c r="AO517" s="3582"/>
      <c r="AP517" s="3582"/>
      <c r="AQ517" s="3582"/>
      <c r="AR517" s="3576"/>
      <c r="AS517" s="3576"/>
      <c r="AT517" s="3576"/>
      <c r="AU517" s="3576"/>
      <c r="AV517" s="3563"/>
    </row>
    <row r="518" s="3565" customFormat="1" spans="1:48">
      <c r="A518" s="3575"/>
      <c r="B518" s="3576"/>
      <c r="C518" s="3576"/>
      <c r="D518" s="3563"/>
      <c r="E518" s="3563"/>
      <c r="F518" s="3576"/>
      <c r="G518" s="3576"/>
      <c r="H518" s="3563"/>
      <c r="I518" s="3563"/>
      <c r="J518" s="3563"/>
      <c r="K518" s="3563"/>
      <c r="L518" s="3563"/>
      <c r="M518" s="3563"/>
      <c r="N518" s="3577"/>
      <c r="O518" s="3563"/>
      <c r="P518" s="3576"/>
      <c r="Q518" s="3578"/>
      <c r="R518" s="3563"/>
      <c r="S518" s="3563"/>
      <c r="T518" s="4021"/>
      <c r="U518" s="3563"/>
      <c r="V518" s="3563"/>
      <c r="W518" s="3578"/>
      <c r="X518" s="3578"/>
      <c r="Y518" s="3578"/>
      <c r="Z518" s="3578"/>
      <c r="AA518" s="3578"/>
      <c r="AB518" s="3563"/>
      <c r="AC518" s="3578"/>
      <c r="AD518" s="3578"/>
      <c r="AE518" s="3578"/>
      <c r="AF518" s="3578"/>
      <c r="AG518" s="3576"/>
      <c r="AH518" s="3576"/>
      <c r="AI518" s="3580"/>
      <c r="AJ518" s="3581"/>
      <c r="AK518" s="3582"/>
      <c r="AL518" s="3582"/>
      <c r="AM518" s="3582"/>
      <c r="AN518" s="3582"/>
      <c r="AO518" s="3582"/>
      <c r="AP518" s="3582"/>
      <c r="AQ518" s="3582"/>
      <c r="AR518" s="3576"/>
      <c r="AS518" s="3576"/>
      <c r="AT518" s="3576"/>
      <c r="AU518" s="3576"/>
      <c r="AV518" s="3563"/>
    </row>
    <row r="519" s="3565" customFormat="1" spans="1:48">
      <c r="A519" s="3575"/>
      <c r="B519" s="3576"/>
      <c r="C519" s="3576"/>
      <c r="D519" s="3563"/>
      <c r="E519" s="3563"/>
      <c r="F519" s="3576"/>
      <c r="G519" s="3576"/>
      <c r="H519" s="3563"/>
      <c r="I519" s="3563"/>
      <c r="J519" s="3563"/>
      <c r="K519" s="3563"/>
      <c r="L519" s="3563"/>
      <c r="M519" s="3563"/>
      <c r="N519" s="3577"/>
      <c r="O519" s="3563"/>
      <c r="P519" s="3576"/>
      <c r="Q519" s="3578"/>
      <c r="R519" s="3563"/>
      <c r="S519" s="3563"/>
      <c r="T519" s="4014"/>
      <c r="U519" s="3563"/>
      <c r="V519" s="3563"/>
      <c r="W519" s="3578"/>
      <c r="X519" s="3578"/>
      <c r="Y519" s="3578"/>
      <c r="Z519" s="3578"/>
      <c r="AA519" s="3578"/>
      <c r="AB519" s="3563"/>
      <c r="AC519" s="3578"/>
      <c r="AD519" s="3578"/>
      <c r="AE519" s="3578"/>
      <c r="AF519" s="3578"/>
      <c r="AG519" s="3576"/>
      <c r="AH519" s="3576"/>
      <c r="AI519" s="3580"/>
      <c r="AJ519" s="3581"/>
      <c r="AK519" s="3582"/>
      <c r="AL519" s="3582"/>
      <c r="AM519" s="3582"/>
      <c r="AN519" s="3582"/>
      <c r="AO519" s="3582"/>
      <c r="AP519" s="3582"/>
      <c r="AQ519" s="3582"/>
      <c r="AR519" s="3576"/>
      <c r="AS519" s="3576"/>
      <c r="AT519" s="3576"/>
      <c r="AU519" s="3576"/>
      <c r="AV519" s="3563"/>
    </row>
    <row r="520" s="3565" customFormat="1" spans="1:48">
      <c r="A520" s="3575"/>
      <c r="B520" s="3576"/>
      <c r="C520" s="3576"/>
      <c r="D520" s="3563"/>
      <c r="E520" s="3563"/>
      <c r="F520" s="3576"/>
      <c r="G520" s="3576"/>
      <c r="H520" s="3563"/>
      <c r="I520" s="3563"/>
      <c r="J520" s="3563"/>
      <c r="K520" s="3563"/>
      <c r="L520" s="3563"/>
      <c r="M520" s="3563"/>
      <c r="N520" s="3577"/>
      <c r="O520" s="3563"/>
      <c r="P520" s="3576"/>
      <c r="Q520" s="3578"/>
      <c r="R520" s="3563"/>
      <c r="S520" s="3563"/>
      <c r="T520" s="4014"/>
      <c r="U520" s="3563"/>
      <c r="V520" s="3563"/>
      <c r="W520" s="3578"/>
      <c r="X520" s="3578"/>
      <c r="Y520" s="3578"/>
      <c r="Z520" s="3578"/>
      <c r="AA520" s="3578"/>
      <c r="AB520" s="3563"/>
      <c r="AC520" s="3578"/>
      <c r="AD520" s="3578"/>
      <c r="AE520" s="3578"/>
      <c r="AF520" s="3578"/>
      <c r="AG520" s="3576"/>
      <c r="AH520" s="3576"/>
      <c r="AI520" s="3580"/>
      <c r="AJ520" s="3581"/>
      <c r="AK520" s="3582"/>
      <c r="AL520" s="3582"/>
      <c r="AM520" s="3582"/>
      <c r="AN520" s="3582"/>
      <c r="AO520" s="3582"/>
      <c r="AP520" s="3582"/>
      <c r="AQ520" s="3582"/>
      <c r="AR520" s="3576"/>
      <c r="AS520" s="3576"/>
      <c r="AT520" s="3576"/>
      <c r="AU520" s="3576"/>
      <c r="AV520" s="3563"/>
    </row>
    <row r="521" s="3565" customFormat="1" spans="1:48">
      <c r="A521" s="3575"/>
      <c r="B521" s="3576"/>
      <c r="C521" s="3576"/>
      <c r="D521" s="3563"/>
      <c r="E521" s="3563"/>
      <c r="F521" s="3576"/>
      <c r="G521" s="3576"/>
      <c r="H521" s="3563"/>
      <c r="I521" s="3563"/>
      <c r="J521" s="3563"/>
      <c r="K521" s="3563"/>
      <c r="L521" s="3563"/>
      <c r="M521" s="3563"/>
      <c r="N521" s="3577"/>
      <c r="O521" s="3563"/>
      <c r="P521" s="3576"/>
      <c r="Q521" s="3578"/>
      <c r="R521" s="3563"/>
      <c r="S521" s="3563"/>
      <c r="T521" s="4014"/>
      <c r="U521" s="3563"/>
      <c r="V521" s="3563"/>
      <c r="W521" s="3578"/>
      <c r="X521" s="3578"/>
      <c r="Y521" s="3578"/>
      <c r="Z521" s="3578"/>
      <c r="AA521" s="3578"/>
      <c r="AB521" s="3563"/>
      <c r="AC521" s="3578"/>
      <c r="AD521" s="3578"/>
      <c r="AE521" s="3578"/>
      <c r="AF521" s="3578"/>
      <c r="AG521" s="3576"/>
      <c r="AH521" s="3576"/>
      <c r="AI521" s="3580"/>
      <c r="AJ521" s="3581"/>
      <c r="AK521" s="3582"/>
      <c r="AL521" s="3582"/>
      <c r="AM521" s="3582"/>
      <c r="AN521" s="3582"/>
      <c r="AO521" s="3582"/>
      <c r="AP521" s="3582"/>
      <c r="AQ521" s="3582"/>
      <c r="AR521" s="3576"/>
      <c r="AS521" s="3576"/>
      <c r="AT521" s="3576"/>
      <c r="AU521" s="3576"/>
      <c r="AV521" s="3563"/>
    </row>
    <row r="522" s="3565" customFormat="1" spans="1:48">
      <c r="A522" s="3575"/>
      <c r="B522" s="3576"/>
      <c r="C522" s="3576"/>
      <c r="D522" s="3563"/>
      <c r="E522" s="3563"/>
      <c r="F522" s="3576"/>
      <c r="G522" s="3576"/>
      <c r="H522" s="3563"/>
      <c r="I522" s="3563"/>
      <c r="J522" s="3563"/>
      <c r="K522" s="3563"/>
      <c r="L522" s="3563"/>
      <c r="M522" s="3563"/>
      <c r="N522" s="3577"/>
      <c r="O522" s="3563"/>
      <c r="P522" s="3576"/>
      <c r="Q522" s="3578"/>
      <c r="R522" s="3563"/>
      <c r="S522" s="3563"/>
      <c r="T522" s="4014"/>
      <c r="U522" s="3563"/>
      <c r="V522" s="3563"/>
      <c r="W522" s="3578"/>
      <c r="X522" s="3578"/>
      <c r="Y522" s="3578"/>
      <c r="Z522" s="3578"/>
      <c r="AA522" s="3578"/>
      <c r="AB522" s="3563"/>
      <c r="AC522" s="3578"/>
      <c r="AD522" s="3578"/>
      <c r="AE522" s="3578"/>
      <c r="AF522" s="3578"/>
      <c r="AG522" s="3576"/>
      <c r="AH522" s="3576"/>
      <c r="AI522" s="3580"/>
      <c r="AJ522" s="3581"/>
      <c r="AK522" s="3582"/>
      <c r="AL522" s="3582"/>
      <c r="AM522" s="3582"/>
      <c r="AN522" s="3582"/>
      <c r="AO522" s="3582"/>
      <c r="AP522" s="3582"/>
      <c r="AQ522" s="3582"/>
      <c r="AR522" s="3576"/>
      <c r="AS522" s="3576"/>
      <c r="AT522" s="3576"/>
      <c r="AU522" s="3576"/>
      <c r="AV522" s="3563"/>
    </row>
    <row r="523" s="3565" customFormat="1" spans="1:48">
      <c r="A523" s="3575"/>
      <c r="B523" s="3576"/>
      <c r="C523" s="3576"/>
      <c r="D523" s="3563"/>
      <c r="E523" s="3563"/>
      <c r="F523" s="3576"/>
      <c r="G523" s="3576"/>
      <c r="H523" s="3563"/>
      <c r="I523" s="3563"/>
      <c r="J523" s="3563"/>
      <c r="K523" s="3563"/>
      <c r="L523" s="3563"/>
      <c r="M523" s="3563"/>
      <c r="N523" s="3577"/>
      <c r="O523" s="3563"/>
      <c r="P523" s="3576"/>
      <c r="Q523" s="3578"/>
      <c r="R523" s="3563"/>
      <c r="S523" s="3563"/>
      <c r="T523" s="4014"/>
      <c r="U523" s="3563"/>
      <c r="V523" s="3563"/>
      <c r="W523" s="3578"/>
      <c r="X523" s="3578"/>
      <c r="Y523" s="3578"/>
      <c r="Z523" s="3578"/>
      <c r="AA523" s="3578"/>
      <c r="AB523" s="3563"/>
      <c r="AC523" s="3578"/>
      <c r="AD523" s="3578"/>
      <c r="AE523" s="3578"/>
      <c r="AF523" s="3578"/>
      <c r="AG523" s="3576"/>
      <c r="AH523" s="3576"/>
      <c r="AI523" s="3580"/>
      <c r="AJ523" s="3581"/>
      <c r="AK523" s="3582"/>
      <c r="AL523" s="3582"/>
      <c r="AM523" s="3582"/>
      <c r="AN523" s="3582"/>
      <c r="AO523" s="3582"/>
      <c r="AP523" s="3582"/>
      <c r="AQ523" s="3582"/>
      <c r="AR523" s="3576"/>
      <c r="AS523" s="3576"/>
      <c r="AT523" s="3576"/>
      <c r="AU523" s="3576"/>
      <c r="AV523" s="3563"/>
    </row>
    <row r="524" s="3565" customFormat="1" spans="1:48">
      <c r="A524" s="3575"/>
      <c r="B524" s="3576"/>
      <c r="C524" s="3576"/>
      <c r="D524" s="3563"/>
      <c r="E524" s="3563"/>
      <c r="F524" s="3576"/>
      <c r="G524" s="3576"/>
      <c r="H524" s="3563"/>
      <c r="I524" s="3563"/>
      <c r="J524" s="3563"/>
      <c r="K524" s="3563"/>
      <c r="L524" s="3563"/>
      <c r="M524" s="3563"/>
      <c r="N524" s="3577"/>
      <c r="O524" s="3563"/>
      <c r="P524" s="3576"/>
      <c r="Q524" s="3578"/>
      <c r="R524" s="3563"/>
      <c r="S524" s="3563"/>
      <c r="T524" s="4014"/>
      <c r="U524" s="3563"/>
      <c r="V524" s="3563"/>
      <c r="W524" s="3578"/>
      <c r="X524" s="3578"/>
      <c r="Y524" s="3578"/>
      <c r="Z524" s="3578"/>
      <c r="AA524" s="3578"/>
      <c r="AB524" s="3563"/>
      <c r="AC524" s="3578"/>
      <c r="AD524" s="3578"/>
      <c r="AE524" s="3578"/>
      <c r="AF524" s="3578"/>
      <c r="AG524" s="3576"/>
      <c r="AH524" s="3576"/>
      <c r="AI524" s="3580"/>
      <c r="AJ524" s="3581"/>
      <c r="AK524" s="3582"/>
      <c r="AL524" s="3582"/>
      <c r="AM524" s="3582"/>
      <c r="AN524" s="3582"/>
      <c r="AO524" s="3582"/>
      <c r="AP524" s="3582"/>
      <c r="AQ524" s="3582"/>
      <c r="AR524" s="3576"/>
      <c r="AS524" s="3576"/>
      <c r="AT524" s="3576"/>
      <c r="AU524" s="3576"/>
      <c r="AV524" s="3563"/>
    </row>
    <row r="525" s="3565" customFormat="1" spans="1:48">
      <c r="A525" s="3575"/>
      <c r="B525" s="3576"/>
      <c r="C525" s="3576"/>
      <c r="D525" s="3563"/>
      <c r="E525" s="3563"/>
      <c r="F525" s="3576"/>
      <c r="G525" s="3576"/>
      <c r="H525" s="3563"/>
      <c r="I525" s="3563"/>
      <c r="J525" s="3563"/>
      <c r="K525" s="3563"/>
      <c r="L525" s="3563"/>
      <c r="M525" s="3563"/>
      <c r="N525" s="3577"/>
      <c r="O525" s="3563"/>
      <c r="P525" s="3576"/>
      <c r="Q525" s="3578"/>
      <c r="R525" s="3563"/>
      <c r="S525" s="3563"/>
      <c r="T525" s="4014"/>
      <c r="U525" s="3563"/>
      <c r="V525" s="3563"/>
      <c r="W525" s="3578"/>
      <c r="X525" s="3578"/>
      <c r="Y525" s="3578"/>
      <c r="Z525" s="3578"/>
      <c r="AA525" s="3578"/>
      <c r="AB525" s="3563"/>
      <c r="AC525" s="3578"/>
      <c r="AD525" s="3578"/>
      <c r="AE525" s="3578"/>
      <c r="AF525" s="3578"/>
      <c r="AG525" s="3576"/>
      <c r="AH525" s="3576"/>
      <c r="AI525" s="3580"/>
      <c r="AJ525" s="3581"/>
      <c r="AK525" s="3582"/>
      <c r="AL525" s="3582"/>
      <c r="AM525" s="3582"/>
      <c r="AN525" s="3582"/>
      <c r="AO525" s="3582"/>
      <c r="AP525" s="3582"/>
      <c r="AQ525" s="3582"/>
      <c r="AR525" s="3576"/>
      <c r="AS525" s="3576"/>
      <c r="AT525" s="3576"/>
      <c r="AU525" s="3576"/>
      <c r="AV525" s="3563"/>
    </row>
    <row r="526" s="3565" customFormat="1" spans="1:48">
      <c r="A526" s="3575"/>
      <c r="B526" s="3576"/>
      <c r="C526" s="3576"/>
      <c r="D526" s="3563"/>
      <c r="E526" s="3563"/>
      <c r="F526" s="3576"/>
      <c r="G526" s="3576"/>
      <c r="H526" s="3563"/>
      <c r="I526" s="3563"/>
      <c r="J526" s="3563"/>
      <c r="K526" s="3563"/>
      <c r="L526" s="3563"/>
      <c r="M526" s="3563"/>
      <c r="N526" s="3577"/>
      <c r="O526" s="3563"/>
      <c r="P526" s="3576"/>
      <c r="Q526" s="3578"/>
      <c r="R526" s="3563"/>
      <c r="S526" s="3563"/>
      <c r="T526" s="4014"/>
      <c r="U526" s="3563"/>
      <c r="V526" s="3563"/>
      <c r="W526" s="3578"/>
      <c r="X526" s="3578"/>
      <c r="Y526" s="3578"/>
      <c r="Z526" s="3578"/>
      <c r="AA526" s="3578"/>
      <c r="AB526" s="3563"/>
      <c r="AC526" s="3578"/>
      <c r="AD526" s="3578"/>
      <c r="AE526" s="3578"/>
      <c r="AF526" s="3578"/>
      <c r="AG526" s="3576"/>
      <c r="AH526" s="3576"/>
      <c r="AI526" s="3580"/>
      <c r="AJ526" s="3581"/>
      <c r="AK526" s="3582"/>
      <c r="AL526" s="3582"/>
      <c r="AM526" s="3582"/>
      <c r="AN526" s="3582"/>
      <c r="AO526" s="3582"/>
      <c r="AP526" s="3582"/>
      <c r="AQ526" s="3582"/>
      <c r="AR526" s="3576"/>
      <c r="AS526" s="3576"/>
      <c r="AT526" s="3576"/>
      <c r="AU526" s="3576"/>
      <c r="AV526" s="3563"/>
    </row>
    <row r="527" s="3565" customFormat="1" spans="1:48">
      <c r="A527" s="3575"/>
      <c r="B527" s="3576"/>
      <c r="C527" s="3576"/>
      <c r="D527" s="3563"/>
      <c r="E527" s="3563"/>
      <c r="F527" s="3576"/>
      <c r="G527" s="3576"/>
      <c r="H527" s="3563"/>
      <c r="I527" s="3563"/>
      <c r="J527" s="3563"/>
      <c r="K527" s="3563"/>
      <c r="L527" s="3563"/>
      <c r="M527" s="3563"/>
      <c r="N527" s="3577"/>
      <c r="O527" s="3563"/>
      <c r="P527" s="3576"/>
      <c r="Q527" s="3578"/>
      <c r="R527" s="3563"/>
      <c r="S527" s="3563"/>
      <c r="T527" s="4014"/>
      <c r="U527" s="3563"/>
      <c r="V527" s="3563"/>
      <c r="W527" s="3578"/>
      <c r="X527" s="3578"/>
      <c r="Y527" s="3578"/>
      <c r="Z527" s="3578"/>
      <c r="AA527" s="3578"/>
      <c r="AB527" s="3563"/>
      <c r="AC527" s="3578"/>
      <c r="AD527" s="3578"/>
      <c r="AE527" s="3578"/>
      <c r="AF527" s="3578"/>
      <c r="AG527" s="3576"/>
      <c r="AH527" s="3576"/>
      <c r="AI527" s="3580"/>
      <c r="AJ527" s="3581"/>
      <c r="AK527" s="3582"/>
      <c r="AL527" s="3582"/>
      <c r="AM527" s="3582"/>
      <c r="AN527" s="3582"/>
      <c r="AO527" s="3582"/>
      <c r="AP527" s="3582"/>
      <c r="AQ527" s="3582"/>
      <c r="AR527" s="3576"/>
      <c r="AS527" s="3576"/>
      <c r="AT527" s="3576"/>
      <c r="AU527" s="3576"/>
      <c r="AV527" s="3563"/>
    </row>
    <row r="528" s="3565" customFormat="1" spans="1:48">
      <c r="A528" s="3575"/>
      <c r="B528" s="3576"/>
      <c r="C528" s="3576"/>
      <c r="D528" s="3563"/>
      <c r="E528" s="3563"/>
      <c r="F528" s="3576"/>
      <c r="G528" s="3576"/>
      <c r="H528" s="3563"/>
      <c r="I528" s="3563"/>
      <c r="J528" s="3563"/>
      <c r="K528" s="3563"/>
      <c r="L528" s="3563"/>
      <c r="M528" s="3563"/>
      <c r="N528" s="3577"/>
      <c r="O528" s="3563"/>
      <c r="P528" s="3576"/>
      <c r="Q528" s="3578"/>
      <c r="R528" s="3563"/>
      <c r="S528" s="3563"/>
      <c r="T528" s="4014"/>
      <c r="U528" s="3563"/>
      <c r="V528" s="3563"/>
      <c r="W528" s="3578"/>
      <c r="X528" s="3578"/>
      <c r="Y528" s="3578"/>
      <c r="Z528" s="3578"/>
      <c r="AA528" s="3578"/>
      <c r="AB528" s="3563"/>
      <c r="AC528" s="3578"/>
      <c r="AD528" s="3578"/>
      <c r="AE528" s="3578"/>
      <c r="AF528" s="3578"/>
      <c r="AG528" s="3576"/>
      <c r="AH528" s="3576"/>
      <c r="AI528" s="3580"/>
      <c r="AJ528" s="3581"/>
      <c r="AK528" s="3582"/>
      <c r="AL528" s="3582"/>
      <c r="AM528" s="3582"/>
      <c r="AN528" s="3582"/>
      <c r="AO528" s="3582"/>
      <c r="AP528" s="3582"/>
      <c r="AQ528" s="3582"/>
      <c r="AR528" s="3576"/>
      <c r="AS528" s="3576"/>
      <c r="AT528" s="3576"/>
      <c r="AU528" s="3576"/>
      <c r="AV528" s="3563"/>
    </row>
    <row r="529" s="3565" customFormat="1" spans="1:48">
      <c r="A529" s="3575"/>
      <c r="B529" s="3576"/>
      <c r="C529" s="3576"/>
      <c r="D529" s="3563"/>
      <c r="E529" s="3563"/>
      <c r="F529" s="3576"/>
      <c r="G529" s="3576"/>
      <c r="H529" s="3563"/>
      <c r="I529" s="3563"/>
      <c r="J529" s="3563"/>
      <c r="K529" s="3563"/>
      <c r="L529" s="3563"/>
      <c r="M529" s="3563"/>
      <c r="N529" s="3577"/>
      <c r="O529" s="3563"/>
      <c r="P529" s="3576"/>
      <c r="Q529" s="3578"/>
      <c r="R529" s="3563"/>
      <c r="S529" s="3563"/>
      <c r="T529" s="4014"/>
      <c r="U529" s="3563"/>
      <c r="V529" s="3563"/>
      <c r="W529" s="3578"/>
      <c r="X529" s="3578"/>
      <c r="Y529" s="3578"/>
      <c r="Z529" s="3578"/>
      <c r="AA529" s="3578"/>
      <c r="AB529" s="3563"/>
      <c r="AC529" s="3578"/>
      <c r="AD529" s="3578"/>
      <c r="AE529" s="3578"/>
      <c r="AF529" s="3578"/>
      <c r="AG529" s="3576"/>
      <c r="AH529" s="3576"/>
      <c r="AI529" s="3580"/>
      <c r="AJ529" s="3581"/>
      <c r="AK529" s="3582"/>
      <c r="AL529" s="3582"/>
      <c r="AM529" s="3582"/>
      <c r="AN529" s="3582"/>
      <c r="AO529" s="3582"/>
      <c r="AP529" s="3582"/>
      <c r="AQ529" s="3582"/>
      <c r="AR529" s="3576"/>
      <c r="AS529" s="3576"/>
      <c r="AT529" s="3576"/>
      <c r="AU529" s="3576"/>
      <c r="AV529" s="3563"/>
    </row>
    <row r="530" s="3565" customFormat="1" spans="1:48">
      <c r="A530" s="3575"/>
      <c r="B530" s="3576"/>
      <c r="C530" s="3576"/>
      <c r="D530" s="3563"/>
      <c r="E530" s="3563"/>
      <c r="F530" s="3576"/>
      <c r="G530" s="3576"/>
      <c r="H530" s="3563"/>
      <c r="I530" s="3563"/>
      <c r="J530" s="3563"/>
      <c r="K530" s="3563"/>
      <c r="L530" s="3563"/>
      <c r="M530" s="3563"/>
      <c r="N530" s="3577"/>
      <c r="O530" s="3563"/>
      <c r="P530" s="3576"/>
      <c r="Q530" s="3578"/>
      <c r="R530" s="3563"/>
      <c r="S530" s="3563"/>
      <c r="T530" s="4014"/>
      <c r="U530" s="3563"/>
      <c r="V530" s="3563"/>
      <c r="W530" s="3578"/>
      <c r="X530" s="3578"/>
      <c r="Y530" s="3578"/>
      <c r="Z530" s="3578"/>
      <c r="AA530" s="3578"/>
      <c r="AB530" s="3563"/>
      <c r="AC530" s="3578"/>
      <c r="AD530" s="3578"/>
      <c r="AE530" s="3578"/>
      <c r="AF530" s="3578"/>
      <c r="AG530" s="3576"/>
      <c r="AH530" s="3576"/>
      <c r="AI530" s="3580"/>
      <c r="AJ530" s="3581"/>
      <c r="AK530" s="3582"/>
      <c r="AL530" s="3582"/>
      <c r="AM530" s="3582"/>
      <c r="AN530" s="3582"/>
      <c r="AO530" s="3582"/>
      <c r="AP530" s="3582"/>
      <c r="AQ530" s="3582"/>
      <c r="AR530" s="3576"/>
      <c r="AS530" s="3576"/>
      <c r="AT530" s="3576"/>
      <c r="AU530" s="3576"/>
      <c r="AV530" s="3563"/>
    </row>
    <row r="531" s="3565" customFormat="1" spans="1:48">
      <c r="A531" s="3575"/>
      <c r="B531" s="3576"/>
      <c r="C531" s="3576"/>
      <c r="D531" s="3563"/>
      <c r="E531" s="3563"/>
      <c r="F531" s="3576"/>
      <c r="G531" s="3576"/>
      <c r="H531" s="3563"/>
      <c r="I531" s="3563"/>
      <c r="J531" s="3563"/>
      <c r="K531" s="3563"/>
      <c r="L531" s="3563"/>
      <c r="M531" s="3563"/>
      <c r="N531" s="3577"/>
      <c r="O531" s="3563"/>
      <c r="P531" s="3576"/>
      <c r="Q531" s="3578"/>
      <c r="R531" s="3563"/>
      <c r="S531" s="3563"/>
      <c r="T531" s="4014"/>
      <c r="U531" s="3563"/>
      <c r="V531" s="3563"/>
      <c r="W531" s="3578"/>
      <c r="X531" s="3578"/>
      <c r="Y531" s="3578"/>
      <c r="Z531" s="3578"/>
      <c r="AA531" s="3578"/>
      <c r="AB531" s="3563"/>
      <c r="AC531" s="3578"/>
      <c r="AD531" s="3578"/>
      <c r="AE531" s="3578"/>
      <c r="AF531" s="3578"/>
      <c r="AG531" s="3576"/>
      <c r="AH531" s="3576"/>
      <c r="AI531" s="3580"/>
      <c r="AJ531" s="3581"/>
      <c r="AK531" s="3582"/>
      <c r="AL531" s="3582"/>
      <c r="AM531" s="3582"/>
      <c r="AN531" s="3582"/>
      <c r="AO531" s="3582"/>
      <c r="AP531" s="3582"/>
      <c r="AQ531" s="3582"/>
      <c r="AR531" s="3576"/>
      <c r="AS531" s="3576"/>
      <c r="AT531" s="3576"/>
      <c r="AU531" s="3576"/>
      <c r="AV531" s="3563"/>
    </row>
    <row r="532" s="3565" customFormat="1" spans="1:48">
      <c r="A532" s="3575"/>
      <c r="B532" s="3576"/>
      <c r="C532" s="3576"/>
      <c r="D532" s="3563"/>
      <c r="E532" s="3563"/>
      <c r="F532" s="3576"/>
      <c r="G532" s="3576"/>
      <c r="H532" s="3563"/>
      <c r="I532" s="3563"/>
      <c r="J532" s="3563"/>
      <c r="K532" s="3563"/>
      <c r="L532" s="3563"/>
      <c r="M532" s="3563"/>
      <c r="N532" s="3577"/>
      <c r="O532" s="3563"/>
      <c r="P532" s="3576"/>
      <c r="Q532" s="3578"/>
      <c r="R532" s="3563"/>
      <c r="S532" s="3563"/>
      <c r="T532" s="4014"/>
      <c r="U532" s="3563"/>
      <c r="V532" s="3563"/>
      <c r="W532" s="3578"/>
      <c r="X532" s="3578"/>
      <c r="Y532" s="3578"/>
      <c r="Z532" s="3578"/>
      <c r="AA532" s="3578"/>
      <c r="AB532" s="3563"/>
      <c r="AC532" s="3578"/>
      <c r="AD532" s="3578"/>
      <c r="AE532" s="3578"/>
      <c r="AF532" s="3578"/>
      <c r="AG532" s="3576"/>
      <c r="AH532" s="3576"/>
      <c r="AI532" s="3580"/>
      <c r="AJ532" s="3581"/>
      <c r="AK532" s="3582"/>
      <c r="AL532" s="3582"/>
      <c r="AM532" s="3582"/>
      <c r="AN532" s="3582"/>
      <c r="AO532" s="3582"/>
      <c r="AP532" s="3582"/>
      <c r="AQ532" s="3582"/>
      <c r="AR532" s="3576"/>
      <c r="AS532" s="3576"/>
      <c r="AT532" s="3576"/>
      <c r="AU532" s="3576"/>
      <c r="AV532" s="3563"/>
    </row>
    <row r="533" s="3565" customFormat="1" spans="1:48">
      <c r="A533" s="3575"/>
      <c r="B533" s="3576"/>
      <c r="C533" s="3576"/>
      <c r="D533" s="3563"/>
      <c r="E533" s="3563"/>
      <c r="F533" s="3576"/>
      <c r="G533" s="3576"/>
      <c r="H533" s="3563"/>
      <c r="I533" s="3563"/>
      <c r="J533" s="3563"/>
      <c r="K533" s="3563"/>
      <c r="L533" s="3563"/>
      <c r="M533" s="3563"/>
      <c r="N533" s="3577"/>
      <c r="O533" s="3563"/>
      <c r="P533" s="3576"/>
      <c r="Q533" s="3578"/>
      <c r="R533" s="3563"/>
      <c r="S533" s="3563"/>
      <c r="T533" s="4014"/>
      <c r="U533" s="3563"/>
      <c r="V533" s="3563"/>
      <c r="W533" s="3578"/>
      <c r="X533" s="3578"/>
      <c r="Y533" s="3578"/>
      <c r="Z533" s="3578"/>
      <c r="AA533" s="3578"/>
      <c r="AB533" s="3563"/>
      <c r="AC533" s="3578"/>
      <c r="AD533" s="3578"/>
      <c r="AE533" s="3578"/>
      <c r="AF533" s="3578"/>
      <c r="AG533" s="3576"/>
      <c r="AH533" s="3576"/>
      <c r="AI533" s="3580"/>
      <c r="AJ533" s="3581"/>
      <c r="AK533" s="3582"/>
      <c r="AL533" s="3582"/>
      <c r="AM533" s="3582"/>
      <c r="AN533" s="3582"/>
      <c r="AO533" s="3582"/>
      <c r="AP533" s="3582"/>
      <c r="AQ533" s="3582"/>
      <c r="AR533" s="3576"/>
      <c r="AS533" s="3576"/>
      <c r="AT533" s="3576"/>
      <c r="AU533" s="3576"/>
      <c r="AV533" s="3563"/>
    </row>
    <row r="534" s="3565" customFormat="1" spans="1:48">
      <c r="A534" s="3575"/>
      <c r="B534" s="3576"/>
      <c r="C534" s="3576"/>
      <c r="D534" s="3563"/>
      <c r="E534" s="3563"/>
      <c r="F534" s="3576"/>
      <c r="G534" s="3576"/>
      <c r="H534" s="3563"/>
      <c r="I534" s="3563"/>
      <c r="J534" s="3563"/>
      <c r="K534" s="3563"/>
      <c r="L534" s="3563"/>
      <c r="M534" s="3563"/>
      <c r="N534" s="3577"/>
      <c r="O534" s="3563"/>
      <c r="P534" s="3576"/>
      <c r="Q534" s="3578"/>
      <c r="R534" s="3563"/>
      <c r="S534" s="3563"/>
      <c r="T534" s="4014"/>
      <c r="U534" s="3563"/>
      <c r="V534" s="3563"/>
      <c r="W534" s="3578"/>
      <c r="X534" s="3578"/>
      <c r="Y534" s="3578"/>
      <c r="Z534" s="3578"/>
      <c r="AA534" s="3578"/>
      <c r="AB534" s="3563"/>
      <c r="AC534" s="3578"/>
      <c r="AD534" s="3578"/>
      <c r="AE534" s="3578"/>
      <c r="AF534" s="3578"/>
      <c r="AG534" s="3576"/>
      <c r="AH534" s="3576"/>
      <c r="AI534" s="3580"/>
      <c r="AJ534" s="3581"/>
      <c r="AK534" s="3582"/>
      <c r="AL534" s="3582"/>
      <c r="AM534" s="3582"/>
      <c r="AN534" s="3582"/>
      <c r="AO534" s="3582"/>
      <c r="AP534" s="3582"/>
      <c r="AQ534" s="3582"/>
      <c r="AR534" s="3576"/>
      <c r="AS534" s="3576"/>
      <c r="AT534" s="3576"/>
      <c r="AU534" s="3576"/>
      <c r="AV534" s="3563"/>
    </row>
    <row r="535" s="3565" customFormat="1" spans="1:48">
      <c r="A535" s="3575"/>
      <c r="B535" s="3576"/>
      <c r="C535" s="3576"/>
      <c r="D535" s="3563"/>
      <c r="E535" s="3563"/>
      <c r="F535" s="3576"/>
      <c r="G535" s="3576"/>
      <c r="H535" s="3563"/>
      <c r="I535" s="3563"/>
      <c r="J535" s="3563"/>
      <c r="K535" s="3563"/>
      <c r="L535" s="3563"/>
      <c r="M535" s="3563"/>
      <c r="N535" s="3577"/>
      <c r="O535" s="3563"/>
      <c r="P535" s="3576"/>
      <c r="Q535" s="3578"/>
      <c r="R535" s="3563"/>
      <c r="S535" s="3563"/>
      <c r="T535" s="4014"/>
      <c r="U535" s="3563"/>
      <c r="V535" s="3563"/>
      <c r="W535" s="3578"/>
      <c r="X535" s="3578"/>
      <c r="Y535" s="3578"/>
      <c r="Z535" s="3578"/>
      <c r="AA535" s="3578"/>
      <c r="AB535" s="3563"/>
      <c r="AC535" s="3578"/>
      <c r="AD535" s="3578"/>
      <c r="AE535" s="3578"/>
      <c r="AF535" s="3578"/>
      <c r="AG535" s="3576"/>
      <c r="AH535" s="3576"/>
      <c r="AI535" s="3580"/>
      <c r="AJ535" s="3581"/>
      <c r="AK535" s="3582"/>
      <c r="AL535" s="3582"/>
      <c r="AM535" s="3582"/>
      <c r="AN535" s="3582"/>
      <c r="AO535" s="3582"/>
      <c r="AP535" s="3582"/>
      <c r="AQ535" s="3582"/>
      <c r="AR535" s="3576"/>
      <c r="AS535" s="3576"/>
      <c r="AT535" s="3576"/>
      <c r="AU535" s="3576"/>
      <c r="AV535" s="3563"/>
    </row>
    <row r="536" s="3565" customFormat="1" spans="1:48">
      <c r="A536" s="3575"/>
      <c r="B536" s="3576"/>
      <c r="C536" s="3576"/>
      <c r="D536" s="3563"/>
      <c r="E536" s="3563"/>
      <c r="F536" s="3576"/>
      <c r="G536" s="3576"/>
      <c r="H536" s="3563"/>
      <c r="I536" s="3563"/>
      <c r="J536" s="3563"/>
      <c r="K536" s="3563"/>
      <c r="L536" s="3563"/>
      <c r="M536" s="3563"/>
      <c r="N536" s="3577"/>
      <c r="O536" s="3563"/>
      <c r="P536" s="3576"/>
      <c r="Q536" s="3578"/>
      <c r="R536" s="3563"/>
      <c r="S536" s="3563"/>
      <c r="T536" s="4014"/>
      <c r="U536" s="3563"/>
      <c r="V536" s="3563"/>
      <c r="W536" s="3578"/>
      <c r="X536" s="3578"/>
      <c r="Y536" s="3578"/>
      <c r="Z536" s="3578"/>
      <c r="AA536" s="3578"/>
      <c r="AB536" s="3563"/>
      <c r="AC536" s="3578"/>
      <c r="AD536" s="3578"/>
      <c r="AE536" s="3578"/>
      <c r="AF536" s="3578"/>
      <c r="AG536" s="3576"/>
      <c r="AH536" s="3576"/>
      <c r="AI536" s="3580"/>
      <c r="AJ536" s="3581"/>
      <c r="AK536" s="3582"/>
      <c r="AL536" s="3582"/>
      <c r="AM536" s="3582"/>
      <c r="AN536" s="3582"/>
      <c r="AO536" s="3582"/>
      <c r="AP536" s="3582"/>
      <c r="AQ536" s="3582"/>
      <c r="AR536" s="3576"/>
      <c r="AS536" s="3576"/>
      <c r="AT536" s="3576"/>
      <c r="AU536" s="3576"/>
      <c r="AV536" s="3563"/>
    </row>
    <row r="537" s="3565" customFormat="1" spans="1:48">
      <c r="A537" s="3575"/>
      <c r="B537" s="3576"/>
      <c r="C537" s="3576"/>
      <c r="D537" s="3563"/>
      <c r="E537" s="3563"/>
      <c r="F537" s="3576"/>
      <c r="G537" s="3576"/>
      <c r="H537" s="3563"/>
      <c r="I537" s="3563"/>
      <c r="J537" s="3563"/>
      <c r="K537" s="3563"/>
      <c r="L537" s="3563"/>
      <c r="M537" s="3563"/>
      <c r="N537" s="3577"/>
      <c r="O537" s="3563"/>
      <c r="P537" s="3576"/>
      <c r="Q537" s="3578"/>
      <c r="R537" s="3563"/>
      <c r="S537" s="3563"/>
      <c r="T537" s="4014"/>
      <c r="U537" s="3563"/>
      <c r="V537" s="3563"/>
      <c r="W537" s="3578"/>
      <c r="X537" s="3578"/>
      <c r="Y537" s="3578"/>
      <c r="Z537" s="3578"/>
      <c r="AA537" s="3578"/>
      <c r="AB537" s="3563"/>
      <c r="AC537" s="3578"/>
      <c r="AD537" s="3578"/>
      <c r="AE537" s="3578"/>
      <c r="AF537" s="3578"/>
      <c r="AG537" s="3576"/>
      <c r="AH537" s="3576"/>
      <c r="AI537" s="3580"/>
      <c r="AJ537" s="3581"/>
      <c r="AK537" s="3582"/>
      <c r="AL537" s="3582"/>
      <c r="AM537" s="3582"/>
      <c r="AN537" s="3582"/>
      <c r="AO537" s="3582"/>
      <c r="AP537" s="3582"/>
      <c r="AQ537" s="3582"/>
      <c r="AR537" s="3576"/>
      <c r="AS537" s="3576"/>
      <c r="AT537" s="3576"/>
      <c r="AU537" s="3576"/>
      <c r="AV537" s="3563"/>
    </row>
    <row r="538" s="3565" customFormat="1" spans="1:48">
      <c r="A538" s="3575"/>
      <c r="B538" s="3576"/>
      <c r="C538" s="3576"/>
      <c r="D538" s="3563"/>
      <c r="E538" s="3563"/>
      <c r="F538" s="3576"/>
      <c r="G538" s="3576"/>
      <c r="H538" s="3563"/>
      <c r="I538" s="3563"/>
      <c r="J538" s="3563"/>
      <c r="K538" s="3563"/>
      <c r="L538" s="3563"/>
      <c r="M538" s="3563"/>
      <c r="N538" s="3577"/>
      <c r="O538" s="3563"/>
      <c r="P538" s="3576"/>
      <c r="Q538" s="3578"/>
      <c r="R538" s="3563"/>
      <c r="S538" s="3563"/>
      <c r="T538" s="4014"/>
      <c r="U538" s="3563"/>
      <c r="V538" s="3563"/>
      <c r="W538" s="3578"/>
      <c r="X538" s="3578"/>
      <c r="Y538" s="3578"/>
      <c r="Z538" s="3578"/>
      <c r="AA538" s="3578"/>
      <c r="AB538" s="3563"/>
      <c r="AC538" s="3578"/>
      <c r="AD538" s="3578"/>
      <c r="AE538" s="3578"/>
      <c r="AF538" s="3578"/>
      <c r="AG538" s="3576"/>
      <c r="AH538" s="3576"/>
      <c r="AI538" s="3580"/>
      <c r="AJ538" s="3581"/>
      <c r="AK538" s="3582"/>
      <c r="AL538" s="3582"/>
      <c r="AM538" s="3582"/>
      <c r="AN538" s="3582"/>
      <c r="AO538" s="3582"/>
      <c r="AP538" s="3582"/>
      <c r="AQ538" s="3582"/>
      <c r="AR538" s="3576"/>
      <c r="AS538" s="3576"/>
      <c r="AT538" s="3576"/>
      <c r="AU538" s="3576"/>
      <c r="AV538" s="3563"/>
    </row>
    <row r="539" s="3565" customFormat="1" spans="1:48">
      <c r="A539" s="3575"/>
      <c r="B539" s="3576"/>
      <c r="C539" s="3576"/>
      <c r="D539" s="3563"/>
      <c r="E539" s="3563"/>
      <c r="F539" s="3576"/>
      <c r="G539" s="3576"/>
      <c r="H539" s="3563"/>
      <c r="I539" s="3563"/>
      <c r="J539" s="3563"/>
      <c r="K539" s="3563"/>
      <c r="L539" s="3563"/>
      <c r="M539" s="3563"/>
      <c r="N539" s="3577"/>
      <c r="O539" s="3563"/>
      <c r="P539" s="3576"/>
      <c r="Q539" s="3578"/>
      <c r="R539" s="3563"/>
      <c r="S539" s="3563"/>
      <c r="T539" s="4014"/>
      <c r="U539" s="3563"/>
      <c r="V539" s="3563"/>
      <c r="W539" s="3578"/>
      <c r="X539" s="3578"/>
      <c r="Y539" s="3578"/>
      <c r="Z539" s="3578"/>
      <c r="AA539" s="3578"/>
      <c r="AB539" s="3563"/>
      <c r="AC539" s="3578"/>
      <c r="AD539" s="3578"/>
      <c r="AE539" s="3578"/>
      <c r="AF539" s="3578"/>
      <c r="AG539" s="3576"/>
      <c r="AH539" s="3576"/>
      <c r="AI539" s="3580"/>
      <c r="AJ539" s="3581"/>
      <c r="AK539" s="3582"/>
      <c r="AL539" s="3582"/>
      <c r="AM539" s="3582"/>
      <c r="AN539" s="3582"/>
      <c r="AO539" s="3582"/>
      <c r="AP539" s="3582"/>
      <c r="AQ539" s="3582"/>
      <c r="AR539" s="3576"/>
      <c r="AS539" s="3576"/>
      <c r="AT539" s="3576"/>
      <c r="AU539" s="3576"/>
      <c r="AV539" s="3563"/>
    </row>
    <row r="540" s="3565" customFormat="1" spans="1:48">
      <c r="A540" s="3575"/>
      <c r="B540" s="3576"/>
      <c r="C540" s="3576"/>
      <c r="D540" s="3563"/>
      <c r="E540" s="3563"/>
      <c r="F540" s="3576"/>
      <c r="G540" s="3576"/>
      <c r="H540" s="3563"/>
      <c r="I540" s="3563"/>
      <c r="J540" s="3563"/>
      <c r="K540" s="3563"/>
      <c r="L540" s="3563"/>
      <c r="M540" s="3563"/>
      <c r="N540" s="3577"/>
      <c r="O540" s="3563"/>
      <c r="P540" s="3576"/>
      <c r="Q540" s="3578"/>
      <c r="R540" s="3563"/>
      <c r="S540" s="3563"/>
      <c r="T540" s="4014"/>
      <c r="U540" s="3563"/>
      <c r="V540" s="3563"/>
      <c r="W540" s="3578"/>
      <c r="X540" s="3578"/>
      <c r="Y540" s="3578"/>
      <c r="Z540" s="3578"/>
      <c r="AA540" s="3578"/>
      <c r="AB540" s="3563"/>
      <c r="AC540" s="3578"/>
      <c r="AD540" s="3578"/>
      <c r="AE540" s="3578"/>
      <c r="AF540" s="3578"/>
      <c r="AG540" s="3576"/>
      <c r="AH540" s="3576"/>
      <c r="AI540" s="3580"/>
      <c r="AJ540" s="3581"/>
      <c r="AK540" s="3582"/>
      <c r="AL540" s="3582"/>
      <c r="AM540" s="3582"/>
      <c r="AN540" s="3582"/>
      <c r="AO540" s="3582"/>
      <c r="AP540" s="3582"/>
      <c r="AQ540" s="3582"/>
      <c r="AR540" s="3576"/>
      <c r="AS540" s="3576"/>
      <c r="AT540" s="3576"/>
      <c r="AU540" s="3576"/>
      <c r="AV540" s="3563"/>
    </row>
    <row r="541" s="3565" customFormat="1" spans="1:48">
      <c r="A541" s="3575"/>
      <c r="B541" s="3576"/>
      <c r="C541" s="3576"/>
      <c r="D541" s="3563"/>
      <c r="E541" s="3563"/>
      <c r="F541" s="3576"/>
      <c r="G541" s="3576"/>
      <c r="H541" s="3563"/>
      <c r="I541" s="3563"/>
      <c r="J541" s="3563"/>
      <c r="K541" s="3563"/>
      <c r="L541" s="3563"/>
      <c r="M541" s="3563"/>
      <c r="N541" s="3577"/>
      <c r="O541" s="3563"/>
      <c r="P541" s="3576"/>
      <c r="Q541" s="3578"/>
      <c r="R541" s="3563"/>
      <c r="S541" s="3563"/>
      <c r="T541" s="4014"/>
      <c r="U541" s="3563"/>
      <c r="V541" s="3563"/>
      <c r="W541" s="3578"/>
      <c r="X541" s="3578"/>
      <c r="Y541" s="3578"/>
      <c r="Z541" s="3578"/>
      <c r="AA541" s="3578"/>
      <c r="AB541" s="3563"/>
      <c r="AC541" s="3578"/>
      <c r="AD541" s="3578"/>
      <c r="AE541" s="3578"/>
      <c r="AF541" s="3578"/>
      <c r="AG541" s="3576"/>
      <c r="AH541" s="3576"/>
      <c r="AI541" s="3580"/>
      <c r="AJ541" s="3581"/>
      <c r="AK541" s="3582"/>
      <c r="AL541" s="3582"/>
      <c r="AM541" s="3582"/>
      <c r="AN541" s="3582"/>
      <c r="AO541" s="3582"/>
      <c r="AP541" s="3582"/>
      <c r="AQ541" s="3582"/>
      <c r="AR541" s="3576"/>
      <c r="AS541" s="3576"/>
      <c r="AT541" s="3576"/>
      <c r="AU541" s="3576"/>
      <c r="AV541" s="3563"/>
    </row>
    <row r="542" s="3565" customFormat="1" spans="1:48">
      <c r="A542" s="3575"/>
      <c r="B542" s="3576"/>
      <c r="C542" s="3576"/>
      <c r="D542" s="3563"/>
      <c r="E542" s="3563"/>
      <c r="F542" s="3576"/>
      <c r="G542" s="3576"/>
      <c r="H542" s="3563"/>
      <c r="I542" s="3563"/>
      <c r="J542" s="3563"/>
      <c r="K542" s="3563"/>
      <c r="L542" s="3563"/>
      <c r="M542" s="3563"/>
      <c r="N542" s="3577"/>
      <c r="O542" s="3563"/>
      <c r="P542" s="3576"/>
      <c r="Q542" s="3578"/>
      <c r="R542" s="3563"/>
      <c r="S542" s="3563"/>
      <c r="T542" s="4014"/>
      <c r="U542" s="3563"/>
      <c r="V542" s="3563"/>
      <c r="W542" s="3578"/>
      <c r="X542" s="3578"/>
      <c r="Y542" s="3578"/>
      <c r="Z542" s="3578"/>
      <c r="AA542" s="3578"/>
      <c r="AB542" s="3563"/>
      <c r="AC542" s="3578"/>
      <c r="AD542" s="3578"/>
      <c r="AE542" s="3578"/>
      <c r="AF542" s="3578"/>
      <c r="AG542" s="3576"/>
      <c r="AH542" s="3576"/>
      <c r="AI542" s="3580"/>
      <c r="AJ542" s="3581"/>
      <c r="AK542" s="3582"/>
      <c r="AL542" s="3582"/>
      <c r="AM542" s="3582"/>
      <c r="AN542" s="3582"/>
      <c r="AO542" s="3582"/>
      <c r="AP542" s="3582"/>
      <c r="AQ542" s="3582"/>
      <c r="AR542" s="3576"/>
      <c r="AS542" s="3576"/>
      <c r="AT542" s="3576"/>
      <c r="AU542" s="3576"/>
      <c r="AV542" s="3563"/>
    </row>
    <row r="543" s="3565" customFormat="1" spans="1:48">
      <c r="A543" s="3575"/>
      <c r="B543" s="3576"/>
      <c r="C543" s="3576"/>
      <c r="D543" s="3563"/>
      <c r="E543" s="3563"/>
      <c r="F543" s="3576"/>
      <c r="G543" s="3576"/>
      <c r="H543" s="3563"/>
      <c r="I543" s="3563"/>
      <c r="J543" s="3563"/>
      <c r="K543" s="3563"/>
      <c r="L543" s="3563"/>
      <c r="M543" s="3563"/>
      <c r="N543" s="3577"/>
      <c r="O543" s="3563"/>
      <c r="P543" s="3576"/>
      <c r="Q543" s="3578"/>
      <c r="R543" s="3563"/>
      <c r="S543" s="3563"/>
      <c r="T543" s="4014"/>
      <c r="U543" s="3563"/>
      <c r="V543" s="3563"/>
      <c r="W543" s="3578"/>
      <c r="X543" s="3578"/>
      <c r="Y543" s="3578"/>
      <c r="Z543" s="3578"/>
      <c r="AA543" s="3578"/>
      <c r="AB543" s="3563"/>
      <c r="AC543" s="3578"/>
      <c r="AD543" s="3578"/>
      <c r="AE543" s="3578"/>
      <c r="AF543" s="3578"/>
      <c r="AG543" s="3576"/>
      <c r="AH543" s="3576"/>
      <c r="AI543" s="3580"/>
      <c r="AJ543" s="3581"/>
      <c r="AK543" s="3582"/>
      <c r="AL543" s="3582"/>
      <c r="AM543" s="3582"/>
      <c r="AN543" s="3582"/>
      <c r="AO543" s="3582"/>
      <c r="AP543" s="3582"/>
      <c r="AQ543" s="3582"/>
      <c r="AR543" s="3576"/>
      <c r="AS543" s="3576"/>
      <c r="AT543" s="3576"/>
      <c r="AU543" s="3576"/>
      <c r="AV543" s="3563"/>
    </row>
    <row r="544" s="3565" customFormat="1" spans="1:48">
      <c r="A544" s="3575"/>
      <c r="B544" s="3576"/>
      <c r="C544" s="3576"/>
      <c r="D544" s="3563"/>
      <c r="E544" s="3563"/>
      <c r="F544" s="3576"/>
      <c r="G544" s="3576"/>
      <c r="H544" s="3563"/>
      <c r="I544" s="3563"/>
      <c r="J544" s="3563"/>
      <c r="K544" s="3563"/>
      <c r="L544" s="3563"/>
      <c r="M544" s="3563"/>
      <c r="N544" s="3577"/>
      <c r="O544" s="3563"/>
      <c r="P544" s="3576"/>
      <c r="Q544" s="3578"/>
      <c r="R544" s="3563"/>
      <c r="S544" s="3563"/>
      <c r="T544" s="4014"/>
      <c r="U544" s="3563"/>
      <c r="V544" s="3563"/>
      <c r="W544" s="3578"/>
      <c r="X544" s="3578"/>
      <c r="Y544" s="3578"/>
      <c r="Z544" s="3578"/>
      <c r="AA544" s="3578"/>
      <c r="AB544" s="3563"/>
      <c r="AC544" s="3578"/>
      <c r="AD544" s="3578"/>
      <c r="AE544" s="3578"/>
      <c r="AF544" s="3578"/>
      <c r="AG544" s="3576"/>
      <c r="AH544" s="3576"/>
      <c r="AI544" s="3580"/>
      <c r="AJ544" s="3581"/>
      <c r="AK544" s="3582"/>
      <c r="AL544" s="3582"/>
      <c r="AM544" s="3582"/>
      <c r="AN544" s="3582"/>
      <c r="AO544" s="3582"/>
      <c r="AP544" s="3582"/>
      <c r="AQ544" s="3582"/>
      <c r="AR544" s="3576"/>
      <c r="AS544" s="3576"/>
      <c r="AT544" s="3576"/>
      <c r="AU544" s="3576"/>
      <c r="AV544" s="3563"/>
    </row>
    <row r="545" s="3565" customFormat="1" spans="1:48">
      <c r="A545" s="3575"/>
      <c r="B545" s="3576"/>
      <c r="C545" s="3576"/>
      <c r="D545" s="3563"/>
      <c r="E545" s="3563"/>
      <c r="F545" s="3576"/>
      <c r="G545" s="3576"/>
      <c r="H545" s="3563"/>
      <c r="I545" s="3563"/>
      <c r="J545" s="3563"/>
      <c r="K545" s="3563"/>
      <c r="L545" s="3563"/>
      <c r="M545" s="3563"/>
      <c r="N545" s="3577"/>
      <c r="O545" s="3563"/>
      <c r="P545" s="3576"/>
      <c r="Q545" s="3578"/>
      <c r="R545" s="3563"/>
      <c r="S545" s="3563"/>
      <c r="T545" s="4014"/>
      <c r="U545" s="3563"/>
      <c r="V545" s="3563"/>
      <c r="W545" s="3578"/>
      <c r="X545" s="3578"/>
      <c r="Y545" s="3578"/>
      <c r="Z545" s="3578"/>
      <c r="AA545" s="3578"/>
      <c r="AB545" s="3563"/>
      <c r="AC545" s="3578"/>
      <c r="AD545" s="3578"/>
      <c r="AE545" s="3578"/>
      <c r="AF545" s="3578"/>
      <c r="AG545" s="3576"/>
      <c r="AH545" s="3576"/>
      <c r="AI545" s="3580"/>
      <c r="AJ545" s="3581"/>
      <c r="AK545" s="3582"/>
      <c r="AL545" s="3582"/>
      <c r="AM545" s="3582"/>
      <c r="AN545" s="3582"/>
      <c r="AO545" s="3582"/>
      <c r="AP545" s="3582"/>
      <c r="AQ545" s="3582"/>
      <c r="AR545" s="3576"/>
      <c r="AS545" s="3576"/>
      <c r="AT545" s="3576"/>
      <c r="AU545" s="3576"/>
      <c r="AV545" s="3563"/>
    </row>
    <row r="546" s="3565" customFormat="1" spans="1:48">
      <c r="A546" s="3575"/>
      <c r="B546" s="3576"/>
      <c r="C546" s="3576"/>
      <c r="D546" s="3563"/>
      <c r="E546" s="3563"/>
      <c r="F546" s="3576"/>
      <c r="G546" s="3576"/>
      <c r="H546" s="3563"/>
      <c r="I546" s="3563"/>
      <c r="J546" s="3563"/>
      <c r="K546" s="3563"/>
      <c r="L546" s="3563"/>
      <c r="M546" s="3563"/>
      <c r="N546" s="3577"/>
      <c r="O546" s="3563"/>
      <c r="P546" s="3576"/>
      <c r="Q546" s="3578"/>
      <c r="R546" s="3563"/>
      <c r="S546" s="3563"/>
      <c r="T546" s="4014"/>
      <c r="U546" s="3563"/>
      <c r="V546" s="3563"/>
      <c r="W546" s="3578"/>
      <c r="X546" s="3578"/>
      <c r="Y546" s="3578"/>
      <c r="Z546" s="3578"/>
      <c r="AA546" s="3578"/>
      <c r="AB546" s="3563"/>
      <c r="AC546" s="3578"/>
      <c r="AD546" s="3578"/>
      <c r="AE546" s="3578"/>
      <c r="AF546" s="3578"/>
      <c r="AG546" s="3576"/>
      <c r="AH546" s="3576"/>
      <c r="AI546" s="3580"/>
      <c r="AJ546" s="3581"/>
      <c r="AK546" s="3582"/>
      <c r="AL546" s="3582"/>
      <c r="AM546" s="3582"/>
      <c r="AN546" s="3582"/>
      <c r="AO546" s="3582"/>
      <c r="AP546" s="3582"/>
      <c r="AQ546" s="3582"/>
      <c r="AR546" s="3576"/>
      <c r="AS546" s="3576"/>
      <c r="AT546" s="3576"/>
      <c r="AU546" s="3576"/>
      <c r="AV546" s="3563"/>
    </row>
    <row r="547" s="3565" customFormat="1" spans="1:48">
      <c r="A547" s="3575"/>
      <c r="B547" s="3576"/>
      <c r="C547" s="3576"/>
      <c r="D547" s="3563"/>
      <c r="E547" s="3563"/>
      <c r="F547" s="3576"/>
      <c r="G547" s="3576"/>
      <c r="H547" s="3563"/>
      <c r="I547" s="3563"/>
      <c r="J547" s="3563"/>
      <c r="K547" s="3563"/>
      <c r="L547" s="3563"/>
      <c r="M547" s="3563"/>
      <c r="N547" s="3577"/>
      <c r="O547" s="3563"/>
      <c r="P547" s="3576"/>
      <c r="Q547" s="3578"/>
      <c r="R547" s="3563"/>
      <c r="S547" s="3563"/>
      <c r="T547" s="4014"/>
      <c r="U547" s="3563"/>
      <c r="V547" s="3563"/>
      <c r="W547" s="3578"/>
      <c r="X547" s="3578"/>
      <c r="Y547" s="3578"/>
      <c r="Z547" s="3578"/>
      <c r="AA547" s="3578"/>
      <c r="AB547" s="3563"/>
      <c r="AC547" s="3578"/>
      <c r="AD547" s="3578"/>
      <c r="AE547" s="3578"/>
      <c r="AF547" s="3578"/>
      <c r="AG547" s="3576"/>
      <c r="AH547" s="3576"/>
      <c r="AI547" s="3580"/>
      <c r="AJ547" s="3581"/>
      <c r="AK547" s="3582"/>
      <c r="AL547" s="3582"/>
      <c r="AM547" s="3582"/>
      <c r="AN547" s="3582"/>
      <c r="AO547" s="3582"/>
      <c r="AP547" s="3582"/>
      <c r="AQ547" s="3582"/>
      <c r="AR547" s="3576"/>
      <c r="AS547" s="3576"/>
      <c r="AT547" s="3576"/>
      <c r="AU547" s="3576"/>
      <c r="AV547" s="3563"/>
    </row>
    <row r="548" s="3565" customFormat="1" spans="1:48">
      <c r="A548" s="3575"/>
      <c r="B548" s="3576"/>
      <c r="C548" s="3576"/>
      <c r="D548" s="3563"/>
      <c r="E548" s="3563"/>
      <c r="F548" s="3576"/>
      <c r="G548" s="3576"/>
      <c r="H548" s="3563"/>
      <c r="I548" s="3563"/>
      <c r="J548" s="3563"/>
      <c r="K548" s="3563"/>
      <c r="L548" s="3563"/>
      <c r="M548" s="3563"/>
      <c r="N548" s="3577"/>
      <c r="O548" s="3563"/>
      <c r="P548" s="3576"/>
      <c r="Q548" s="3578"/>
      <c r="R548" s="3563"/>
      <c r="S548" s="3563"/>
      <c r="T548" s="4014"/>
      <c r="U548" s="3563"/>
      <c r="V548" s="3563"/>
      <c r="W548" s="3578"/>
      <c r="X548" s="3578"/>
      <c r="Y548" s="3578"/>
      <c r="Z548" s="3578"/>
      <c r="AA548" s="3578"/>
      <c r="AB548" s="3563"/>
      <c r="AC548" s="3578"/>
      <c r="AD548" s="3578"/>
      <c r="AE548" s="3578"/>
      <c r="AF548" s="3578"/>
      <c r="AG548" s="3576"/>
      <c r="AH548" s="3576"/>
      <c r="AI548" s="3580"/>
      <c r="AJ548" s="3581"/>
      <c r="AK548" s="3582"/>
      <c r="AL548" s="3582"/>
      <c r="AM548" s="3582"/>
      <c r="AN548" s="3582"/>
      <c r="AO548" s="3582"/>
      <c r="AP548" s="3582"/>
      <c r="AQ548" s="3582"/>
      <c r="AR548" s="3576"/>
      <c r="AS548" s="3576"/>
      <c r="AT548" s="3576"/>
      <c r="AU548" s="3576"/>
      <c r="AV548" s="3563"/>
    </row>
    <row r="549" s="3565" customFormat="1" spans="1:48">
      <c r="A549" s="3575"/>
      <c r="B549" s="3576"/>
      <c r="C549" s="3576"/>
      <c r="D549" s="3563"/>
      <c r="E549" s="3563"/>
      <c r="F549" s="3576"/>
      <c r="G549" s="3576"/>
      <c r="H549" s="3563"/>
      <c r="I549" s="3563"/>
      <c r="J549" s="3563"/>
      <c r="K549" s="3563"/>
      <c r="L549" s="3563"/>
      <c r="M549" s="3563"/>
      <c r="N549" s="3577"/>
      <c r="O549" s="3563"/>
      <c r="P549" s="3576"/>
      <c r="Q549" s="3578"/>
      <c r="R549" s="3563"/>
      <c r="S549" s="3563"/>
      <c r="T549" s="4014"/>
      <c r="U549" s="3563"/>
      <c r="V549" s="3563"/>
      <c r="W549" s="3578"/>
      <c r="X549" s="3578"/>
      <c r="Y549" s="3578"/>
      <c r="Z549" s="3578"/>
      <c r="AA549" s="3578"/>
      <c r="AB549" s="3563"/>
      <c r="AC549" s="3578"/>
      <c r="AD549" s="3578"/>
      <c r="AE549" s="3578"/>
      <c r="AF549" s="3578"/>
      <c r="AG549" s="3576"/>
      <c r="AH549" s="3576"/>
      <c r="AI549" s="3580"/>
      <c r="AJ549" s="3581"/>
      <c r="AK549" s="3582"/>
      <c r="AL549" s="3582"/>
      <c r="AM549" s="3582"/>
      <c r="AN549" s="3582"/>
      <c r="AO549" s="3582"/>
      <c r="AP549" s="3582"/>
      <c r="AQ549" s="3582"/>
      <c r="AR549" s="3576"/>
      <c r="AS549" s="3576"/>
      <c r="AT549" s="3576"/>
      <c r="AU549" s="3576"/>
      <c r="AV549" s="3563"/>
    </row>
    <row r="550" s="3565" customFormat="1" spans="1:48">
      <c r="A550" s="3575"/>
      <c r="B550" s="3576"/>
      <c r="C550" s="3576"/>
      <c r="D550" s="3563"/>
      <c r="E550" s="3563"/>
      <c r="F550" s="3576"/>
      <c r="G550" s="3576"/>
      <c r="H550" s="3563"/>
      <c r="I550" s="3563"/>
      <c r="J550" s="3563"/>
      <c r="K550" s="3563"/>
      <c r="L550" s="3563"/>
      <c r="M550" s="3563"/>
      <c r="N550" s="3577"/>
      <c r="O550" s="3563"/>
      <c r="P550" s="3576"/>
      <c r="Q550" s="3578"/>
      <c r="R550" s="3563"/>
      <c r="S550" s="3563"/>
      <c r="T550" s="4014"/>
      <c r="U550" s="3563"/>
      <c r="V550" s="3563"/>
      <c r="W550" s="3578"/>
      <c r="X550" s="3578"/>
      <c r="Y550" s="3578"/>
      <c r="Z550" s="3578"/>
      <c r="AA550" s="3578"/>
      <c r="AB550" s="3563"/>
      <c r="AC550" s="3578"/>
      <c r="AD550" s="3578"/>
      <c r="AE550" s="3578"/>
      <c r="AF550" s="3578"/>
      <c r="AG550" s="3576"/>
      <c r="AH550" s="3576"/>
      <c r="AI550" s="3580"/>
      <c r="AJ550" s="3581"/>
      <c r="AK550" s="3582"/>
      <c r="AL550" s="3582"/>
      <c r="AM550" s="3582"/>
      <c r="AN550" s="3582"/>
      <c r="AO550" s="3582"/>
      <c r="AP550" s="3582"/>
      <c r="AQ550" s="3582"/>
      <c r="AR550" s="3576"/>
      <c r="AS550" s="3576"/>
      <c r="AT550" s="3576"/>
      <c r="AU550" s="3576"/>
      <c r="AV550" s="3563"/>
    </row>
    <row r="551" s="3565" customFormat="1" spans="1:48">
      <c r="A551" s="3575"/>
      <c r="B551" s="3576"/>
      <c r="C551" s="3576"/>
      <c r="D551" s="3563"/>
      <c r="E551" s="3563"/>
      <c r="F551" s="3576"/>
      <c r="G551" s="3576"/>
      <c r="H551" s="3563"/>
      <c r="I551" s="3563"/>
      <c r="J551" s="3563"/>
      <c r="K551" s="3563"/>
      <c r="L551" s="3563"/>
      <c r="M551" s="3563"/>
      <c r="N551" s="3577"/>
      <c r="O551" s="3563"/>
      <c r="P551" s="3576"/>
      <c r="Q551" s="3578"/>
      <c r="R551" s="3563"/>
      <c r="S551" s="3563"/>
      <c r="T551" s="4014"/>
      <c r="U551" s="3563"/>
      <c r="V551" s="3563"/>
      <c r="W551" s="3578"/>
      <c r="X551" s="3578"/>
      <c r="Y551" s="3578"/>
      <c r="Z551" s="3578"/>
      <c r="AA551" s="3578"/>
      <c r="AB551" s="3563"/>
      <c r="AC551" s="3578"/>
      <c r="AD551" s="3578"/>
      <c r="AE551" s="3578"/>
      <c r="AF551" s="3578"/>
      <c r="AG551" s="3576"/>
      <c r="AH551" s="3576"/>
      <c r="AI551" s="3580"/>
      <c r="AJ551" s="3581"/>
      <c r="AK551" s="3582"/>
      <c r="AL551" s="3582"/>
      <c r="AM551" s="3582"/>
      <c r="AN551" s="3582"/>
      <c r="AO551" s="3582"/>
      <c r="AP551" s="3582"/>
      <c r="AQ551" s="3582"/>
      <c r="AR551" s="3576"/>
      <c r="AS551" s="3576"/>
      <c r="AT551" s="3576"/>
      <c r="AU551" s="3576"/>
      <c r="AV551" s="3563"/>
    </row>
    <row r="552" s="3565" customFormat="1" spans="1:48">
      <c r="A552" s="3575"/>
      <c r="B552" s="3576"/>
      <c r="C552" s="3576"/>
      <c r="D552" s="3563"/>
      <c r="E552" s="3563"/>
      <c r="F552" s="3576"/>
      <c r="G552" s="3576"/>
      <c r="H552" s="3563"/>
      <c r="I552" s="3563"/>
      <c r="J552" s="3563"/>
      <c r="K552" s="3563"/>
      <c r="L552" s="3563"/>
      <c r="M552" s="3563"/>
      <c r="N552" s="3577"/>
      <c r="O552" s="3563"/>
      <c r="P552" s="3576"/>
      <c r="Q552" s="3578"/>
      <c r="R552" s="3563"/>
      <c r="S552" s="3563"/>
      <c r="T552" s="4014"/>
      <c r="U552" s="3563"/>
      <c r="V552" s="3563"/>
      <c r="W552" s="3578"/>
      <c r="X552" s="3578"/>
      <c r="Y552" s="3578"/>
      <c r="Z552" s="3578"/>
      <c r="AA552" s="3578"/>
      <c r="AB552" s="3563"/>
      <c r="AC552" s="3578"/>
      <c r="AD552" s="3578"/>
      <c r="AE552" s="3578"/>
      <c r="AF552" s="3578"/>
      <c r="AG552" s="3576"/>
      <c r="AH552" s="3576"/>
      <c r="AI552" s="3580"/>
      <c r="AJ552" s="3581"/>
      <c r="AK552" s="3582"/>
      <c r="AL552" s="3582"/>
      <c r="AM552" s="3582"/>
      <c r="AN552" s="3582"/>
      <c r="AO552" s="3582"/>
      <c r="AP552" s="3582"/>
      <c r="AQ552" s="3582"/>
      <c r="AR552" s="3576"/>
      <c r="AS552" s="3576"/>
      <c r="AT552" s="3576"/>
      <c r="AU552" s="3576"/>
      <c r="AV552" s="3563"/>
    </row>
    <row r="553" s="3565" customFormat="1" spans="1:48">
      <c r="A553" s="3575"/>
      <c r="B553" s="3576"/>
      <c r="C553" s="3576"/>
      <c r="D553" s="3563"/>
      <c r="E553" s="3563"/>
      <c r="F553" s="3576"/>
      <c r="G553" s="3576"/>
      <c r="H553" s="3563"/>
      <c r="I553" s="3563"/>
      <c r="J553" s="3563"/>
      <c r="K553" s="3563"/>
      <c r="L553" s="3563"/>
      <c r="M553" s="3563"/>
      <c r="N553" s="3577"/>
      <c r="O553" s="3563"/>
      <c r="P553" s="3576"/>
      <c r="Q553" s="3578"/>
      <c r="R553" s="3563"/>
      <c r="S553" s="3563"/>
      <c r="T553" s="4014"/>
      <c r="U553" s="3563"/>
      <c r="V553" s="3563"/>
      <c r="W553" s="3578"/>
      <c r="X553" s="3578"/>
      <c r="Y553" s="3578"/>
      <c r="Z553" s="3578"/>
      <c r="AA553" s="3578"/>
      <c r="AB553" s="3563"/>
      <c r="AC553" s="3578"/>
      <c r="AD553" s="3578"/>
      <c r="AE553" s="3578"/>
      <c r="AF553" s="3578"/>
      <c r="AG553" s="3576"/>
      <c r="AH553" s="3576"/>
      <c r="AI553" s="3580"/>
      <c r="AJ553" s="3581"/>
      <c r="AK553" s="3582"/>
      <c r="AL553" s="3582"/>
      <c r="AM553" s="3582"/>
      <c r="AN553" s="3582"/>
      <c r="AO553" s="3582"/>
      <c r="AP553" s="3582"/>
      <c r="AQ553" s="3582"/>
      <c r="AR553" s="3576"/>
      <c r="AS553" s="3576"/>
      <c r="AT553" s="3576"/>
      <c r="AU553" s="3576"/>
      <c r="AV553" s="3563"/>
    </row>
    <row r="554" s="3565" customFormat="1" spans="1:48">
      <c r="A554" s="3575"/>
      <c r="B554" s="3576"/>
      <c r="C554" s="3576"/>
      <c r="D554" s="3563"/>
      <c r="E554" s="3563"/>
      <c r="F554" s="3576"/>
      <c r="G554" s="3576"/>
      <c r="H554" s="3563"/>
      <c r="I554" s="3563"/>
      <c r="J554" s="3563"/>
      <c r="K554" s="3563"/>
      <c r="L554" s="3563"/>
      <c r="M554" s="3563"/>
      <c r="N554" s="3577"/>
      <c r="O554" s="3563"/>
      <c r="P554" s="3576"/>
      <c r="Q554" s="3578"/>
      <c r="R554" s="3563"/>
      <c r="S554" s="3563"/>
      <c r="T554" s="4014"/>
      <c r="U554" s="3563"/>
      <c r="V554" s="3563"/>
      <c r="W554" s="3578"/>
      <c r="X554" s="3578"/>
      <c r="Y554" s="3578"/>
      <c r="Z554" s="3578"/>
      <c r="AA554" s="3578"/>
      <c r="AB554" s="3563"/>
      <c r="AC554" s="3578"/>
      <c r="AD554" s="3578"/>
      <c r="AE554" s="3578"/>
      <c r="AF554" s="3578"/>
      <c r="AG554" s="3576"/>
      <c r="AH554" s="3576"/>
      <c r="AI554" s="3580"/>
      <c r="AJ554" s="3581"/>
      <c r="AK554" s="3582"/>
      <c r="AL554" s="3582"/>
      <c r="AM554" s="3582"/>
      <c r="AN554" s="3582"/>
      <c r="AO554" s="3582"/>
      <c r="AP554" s="3582"/>
      <c r="AQ554" s="3582"/>
      <c r="AR554" s="3576"/>
      <c r="AS554" s="3576"/>
      <c r="AT554" s="3576"/>
      <c r="AU554" s="3576"/>
      <c r="AV554" s="3563"/>
    </row>
    <row r="555" s="3565" customFormat="1" spans="1:48">
      <c r="A555" s="3575"/>
      <c r="B555" s="3576"/>
      <c r="C555" s="3576"/>
      <c r="D555" s="3563"/>
      <c r="E555" s="3563"/>
      <c r="F555" s="3576"/>
      <c r="G555" s="3576"/>
      <c r="H555" s="3563"/>
      <c r="I555" s="3563"/>
      <c r="J555" s="3563"/>
      <c r="K555" s="3563"/>
      <c r="L555" s="3563"/>
      <c r="M555" s="3563"/>
      <c r="N555" s="3577"/>
      <c r="O555" s="3563"/>
      <c r="P555" s="3576"/>
      <c r="Q555" s="3578"/>
      <c r="R555" s="3563"/>
      <c r="S555" s="3563"/>
      <c r="T555" s="4014"/>
      <c r="U555" s="3563"/>
      <c r="V555" s="3563"/>
      <c r="W555" s="3578"/>
      <c r="X555" s="3578"/>
      <c r="Y555" s="3578"/>
      <c r="Z555" s="3578"/>
      <c r="AA555" s="3578"/>
      <c r="AB555" s="3563"/>
      <c r="AC555" s="3578"/>
      <c r="AD555" s="3578"/>
      <c r="AE555" s="3578"/>
      <c r="AF555" s="3578"/>
      <c r="AG555" s="3576"/>
      <c r="AH555" s="3576"/>
      <c r="AI555" s="3580"/>
      <c r="AJ555" s="3581"/>
      <c r="AK555" s="3582"/>
      <c r="AL555" s="3582"/>
      <c r="AM555" s="3582"/>
      <c r="AN555" s="3582"/>
      <c r="AO555" s="3582"/>
      <c r="AP555" s="3582"/>
      <c r="AQ555" s="3582"/>
      <c r="AR555" s="3576"/>
      <c r="AS555" s="3576"/>
      <c r="AT555" s="3576"/>
      <c r="AU555" s="3576"/>
      <c r="AV555" s="3563"/>
    </row>
    <row r="556" s="3565" customFormat="1" spans="1:48">
      <c r="A556" s="3575"/>
      <c r="B556" s="3576"/>
      <c r="C556" s="3576"/>
      <c r="D556" s="3563"/>
      <c r="E556" s="3563"/>
      <c r="F556" s="3576"/>
      <c r="G556" s="3576"/>
      <c r="H556" s="3563"/>
      <c r="I556" s="3563"/>
      <c r="J556" s="3563"/>
      <c r="K556" s="3563"/>
      <c r="L556" s="3563"/>
      <c r="M556" s="3563"/>
      <c r="N556" s="3577"/>
      <c r="O556" s="3563"/>
      <c r="P556" s="3576"/>
      <c r="Q556" s="3578"/>
      <c r="R556" s="3563"/>
      <c r="S556" s="3563"/>
      <c r="T556" s="4014"/>
      <c r="U556" s="3563"/>
      <c r="V556" s="3563"/>
      <c r="W556" s="3578"/>
      <c r="X556" s="3578"/>
      <c r="Y556" s="3578"/>
      <c r="Z556" s="3578"/>
      <c r="AA556" s="3578"/>
      <c r="AB556" s="3563"/>
      <c r="AC556" s="3578"/>
      <c r="AD556" s="3578"/>
      <c r="AE556" s="3578"/>
      <c r="AF556" s="3578"/>
      <c r="AG556" s="3576"/>
      <c r="AH556" s="3576"/>
      <c r="AI556" s="3580"/>
      <c r="AJ556" s="3581"/>
      <c r="AK556" s="3582"/>
      <c r="AL556" s="3582"/>
      <c r="AM556" s="3582"/>
      <c r="AN556" s="3582"/>
      <c r="AO556" s="3582"/>
      <c r="AP556" s="3582"/>
      <c r="AQ556" s="3582"/>
      <c r="AR556" s="3576"/>
      <c r="AS556" s="3576"/>
      <c r="AT556" s="3576"/>
      <c r="AU556" s="3576"/>
      <c r="AV556" s="3563"/>
    </row>
    <row r="557" s="3565" customFormat="1" spans="1:48">
      <c r="A557" s="3575"/>
      <c r="B557" s="3576"/>
      <c r="C557" s="3576"/>
      <c r="D557" s="3563"/>
      <c r="E557" s="3563"/>
      <c r="F557" s="3576"/>
      <c r="G557" s="3576"/>
      <c r="H557" s="3563"/>
      <c r="I557" s="3563"/>
      <c r="J557" s="3563"/>
      <c r="K557" s="3563"/>
      <c r="L557" s="3563"/>
      <c r="M557" s="3563"/>
      <c r="N557" s="3577"/>
      <c r="O557" s="3563"/>
      <c r="P557" s="3576"/>
      <c r="Q557" s="3578"/>
      <c r="R557" s="3563"/>
      <c r="S557" s="3563"/>
      <c r="T557" s="4014"/>
      <c r="U557" s="3563"/>
      <c r="V557" s="3563"/>
      <c r="W557" s="3578"/>
      <c r="X557" s="3578"/>
      <c r="Y557" s="3578"/>
      <c r="Z557" s="3578"/>
      <c r="AA557" s="3578"/>
      <c r="AB557" s="3563"/>
      <c r="AC557" s="3578"/>
      <c r="AD557" s="3578"/>
      <c r="AE557" s="3578"/>
      <c r="AF557" s="3578"/>
      <c r="AG557" s="3576"/>
      <c r="AH557" s="3576"/>
      <c r="AI557" s="3580"/>
      <c r="AJ557" s="3581"/>
      <c r="AK557" s="3582"/>
      <c r="AL557" s="3582"/>
      <c r="AM557" s="3582"/>
      <c r="AN557" s="3582"/>
      <c r="AO557" s="3582"/>
      <c r="AP557" s="3582"/>
      <c r="AQ557" s="3582"/>
      <c r="AR557" s="3576"/>
      <c r="AS557" s="3576"/>
      <c r="AT557" s="3576"/>
      <c r="AU557" s="3576"/>
      <c r="AV557" s="3563"/>
    </row>
    <row r="558" s="3565" customFormat="1" spans="1:48">
      <c r="A558" s="3575"/>
      <c r="B558" s="3576"/>
      <c r="C558" s="3576"/>
      <c r="D558" s="3563"/>
      <c r="E558" s="3563"/>
      <c r="F558" s="3576"/>
      <c r="G558" s="3576"/>
      <c r="H558" s="3563"/>
      <c r="I558" s="3563"/>
      <c r="J558" s="3563"/>
      <c r="K558" s="3563"/>
      <c r="L558" s="3563"/>
      <c r="M558" s="3563"/>
      <c r="N558" s="3577"/>
      <c r="O558" s="3563"/>
      <c r="P558" s="3576"/>
      <c r="Q558" s="3578"/>
      <c r="R558" s="3563"/>
      <c r="S558" s="3563"/>
      <c r="T558" s="4014"/>
      <c r="U558" s="3563"/>
      <c r="V558" s="3563"/>
      <c r="W558" s="3578"/>
      <c r="X558" s="3578"/>
      <c r="Y558" s="3578"/>
      <c r="Z558" s="3578"/>
      <c r="AA558" s="3578"/>
      <c r="AB558" s="3563"/>
      <c r="AC558" s="3578"/>
      <c r="AD558" s="3578"/>
      <c r="AE558" s="3578"/>
      <c r="AF558" s="3578"/>
      <c r="AG558" s="3576"/>
      <c r="AH558" s="3576"/>
      <c r="AI558" s="3580"/>
      <c r="AJ558" s="3581"/>
      <c r="AK558" s="3582"/>
      <c r="AL558" s="3582"/>
      <c r="AM558" s="3582"/>
      <c r="AN558" s="3582"/>
      <c r="AO558" s="3582"/>
      <c r="AP558" s="3582"/>
      <c r="AQ558" s="3582"/>
      <c r="AR558" s="3576"/>
      <c r="AS558" s="3576"/>
      <c r="AT558" s="3576"/>
      <c r="AU558" s="3576"/>
      <c r="AV558" s="3563"/>
    </row>
    <row r="559" s="3565" customFormat="1" spans="1:48">
      <c r="A559" s="3575"/>
      <c r="B559" s="3576"/>
      <c r="C559" s="3576"/>
      <c r="D559" s="3563"/>
      <c r="E559" s="3563"/>
      <c r="F559" s="3576"/>
      <c r="G559" s="3576"/>
      <c r="H559" s="3563"/>
      <c r="I559" s="3563"/>
      <c r="J559" s="3563"/>
      <c r="K559" s="3563"/>
      <c r="L559" s="3563"/>
      <c r="M559" s="3563"/>
      <c r="N559" s="3577"/>
      <c r="O559" s="3563"/>
      <c r="P559" s="3576"/>
      <c r="Q559" s="3578"/>
      <c r="R559" s="3563"/>
      <c r="S559" s="3563"/>
      <c r="T559" s="4014"/>
      <c r="U559" s="3563"/>
      <c r="V559" s="3563"/>
      <c r="W559" s="3578"/>
      <c r="X559" s="3578"/>
      <c r="Y559" s="3578"/>
      <c r="Z559" s="3578"/>
      <c r="AA559" s="3578"/>
      <c r="AB559" s="3563"/>
      <c r="AC559" s="3578"/>
      <c r="AD559" s="3578"/>
      <c r="AE559" s="3578"/>
      <c r="AF559" s="3578"/>
      <c r="AG559" s="3576"/>
      <c r="AH559" s="3576"/>
      <c r="AI559" s="3580"/>
      <c r="AJ559" s="3581"/>
      <c r="AK559" s="3582"/>
      <c r="AL559" s="3582"/>
      <c r="AM559" s="3582"/>
      <c r="AN559" s="3582"/>
      <c r="AO559" s="3582"/>
      <c r="AP559" s="3582"/>
      <c r="AQ559" s="3582"/>
      <c r="AR559" s="3576"/>
      <c r="AS559" s="3576"/>
      <c r="AT559" s="3576"/>
      <c r="AU559" s="3576"/>
      <c r="AV559" s="3563"/>
    </row>
    <row r="560" s="3565" customFormat="1" spans="1:48">
      <c r="A560" s="3575"/>
      <c r="B560" s="3576"/>
      <c r="C560" s="3576"/>
      <c r="D560" s="3563"/>
      <c r="E560" s="3563"/>
      <c r="F560" s="3576"/>
      <c r="G560" s="3576"/>
      <c r="H560" s="3563"/>
      <c r="I560" s="3563"/>
      <c r="J560" s="3563"/>
      <c r="K560" s="3563"/>
      <c r="L560" s="3563"/>
      <c r="M560" s="3563"/>
      <c r="N560" s="3577"/>
      <c r="O560" s="3563"/>
      <c r="P560" s="3576"/>
      <c r="Q560" s="3578"/>
      <c r="R560" s="3563"/>
      <c r="S560" s="3563"/>
      <c r="T560" s="4014"/>
      <c r="U560" s="3563"/>
      <c r="V560" s="3563"/>
      <c r="W560" s="3578"/>
      <c r="X560" s="3578"/>
      <c r="Y560" s="3578"/>
      <c r="Z560" s="3578"/>
      <c r="AA560" s="3578"/>
      <c r="AB560" s="3563"/>
      <c r="AC560" s="3578"/>
      <c r="AD560" s="3578"/>
      <c r="AE560" s="3578"/>
      <c r="AF560" s="3578"/>
      <c r="AG560" s="3576"/>
      <c r="AH560" s="3576"/>
      <c r="AI560" s="3580"/>
      <c r="AJ560" s="3581"/>
      <c r="AK560" s="3582"/>
      <c r="AL560" s="3582"/>
      <c r="AM560" s="3582"/>
      <c r="AN560" s="3582"/>
      <c r="AO560" s="3582"/>
      <c r="AP560" s="3582"/>
      <c r="AQ560" s="3582"/>
      <c r="AR560" s="3576"/>
      <c r="AS560" s="3576"/>
      <c r="AT560" s="3576"/>
      <c r="AU560" s="3576"/>
      <c r="AV560" s="3563"/>
    </row>
    <row r="561" s="3565" customFormat="1" spans="1:48">
      <c r="A561" s="3575"/>
      <c r="B561" s="3576"/>
      <c r="C561" s="3576"/>
      <c r="D561" s="3563"/>
      <c r="E561" s="3563"/>
      <c r="F561" s="3576"/>
      <c r="G561" s="3576"/>
      <c r="H561" s="3563"/>
      <c r="I561" s="3563"/>
      <c r="J561" s="3563"/>
      <c r="K561" s="3563"/>
      <c r="L561" s="3563"/>
      <c r="M561" s="3563"/>
      <c r="N561" s="3577"/>
      <c r="O561" s="3563"/>
      <c r="P561" s="3576"/>
      <c r="Q561" s="3578"/>
      <c r="R561" s="3563"/>
      <c r="S561" s="3563"/>
      <c r="T561" s="4014"/>
      <c r="U561" s="3563"/>
      <c r="V561" s="3563"/>
      <c r="W561" s="3578"/>
      <c r="X561" s="3578"/>
      <c r="Y561" s="3578"/>
      <c r="Z561" s="3578"/>
      <c r="AA561" s="3578"/>
      <c r="AB561" s="3563"/>
      <c r="AC561" s="3578"/>
      <c r="AD561" s="3578"/>
      <c r="AE561" s="3578"/>
      <c r="AF561" s="3578"/>
      <c r="AG561" s="3576"/>
      <c r="AH561" s="3576"/>
      <c r="AI561" s="3580"/>
      <c r="AJ561" s="3581"/>
      <c r="AK561" s="3582"/>
      <c r="AL561" s="3582"/>
      <c r="AM561" s="3582"/>
      <c r="AN561" s="3582"/>
      <c r="AO561" s="3582"/>
      <c r="AP561" s="3582"/>
      <c r="AQ561" s="3582"/>
      <c r="AR561" s="3576"/>
      <c r="AS561" s="3576"/>
      <c r="AT561" s="3576"/>
      <c r="AU561" s="3576"/>
      <c r="AV561" s="3563"/>
    </row>
    <row r="562" s="3565" customFormat="1" spans="1:48">
      <c r="A562" s="3575"/>
      <c r="B562" s="3576"/>
      <c r="C562" s="3576"/>
      <c r="D562" s="3563"/>
      <c r="E562" s="3563"/>
      <c r="F562" s="3576"/>
      <c r="G562" s="3576"/>
      <c r="H562" s="3563"/>
      <c r="I562" s="3563"/>
      <c r="J562" s="3563"/>
      <c r="K562" s="3563"/>
      <c r="L562" s="3563"/>
      <c r="M562" s="3563"/>
      <c r="N562" s="3577"/>
      <c r="O562" s="3563"/>
      <c r="P562" s="3576"/>
      <c r="Q562" s="3578"/>
      <c r="R562" s="3563"/>
      <c r="S562" s="3563"/>
      <c r="T562" s="4014"/>
      <c r="U562" s="3563"/>
      <c r="V562" s="3563"/>
      <c r="W562" s="3578"/>
      <c r="X562" s="3578"/>
      <c r="Y562" s="3578"/>
      <c r="Z562" s="3578"/>
      <c r="AA562" s="3578"/>
      <c r="AB562" s="3563"/>
      <c r="AC562" s="3578"/>
      <c r="AD562" s="3578"/>
      <c r="AE562" s="3578"/>
      <c r="AF562" s="3578"/>
      <c r="AG562" s="3576"/>
      <c r="AH562" s="3576"/>
      <c r="AI562" s="3580"/>
      <c r="AJ562" s="3581"/>
      <c r="AK562" s="3582"/>
      <c r="AL562" s="3582"/>
      <c r="AM562" s="3582"/>
      <c r="AN562" s="3582"/>
      <c r="AO562" s="3582"/>
      <c r="AP562" s="3582"/>
      <c r="AQ562" s="3582"/>
      <c r="AR562" s="3576"/>
      <c r="AS562" s="3576"/>
      <c r="AT562" s="3576"/>
      <c r="AU562" s="3576"/>
      <c r="AV562" s="3563"/>
    </row>
    <row r="563" s="3565" customFormat="1" spans="1:48">
      <c r="A563" s="3575"/>
      <c r="B563" s="3576"/>
      <c r="C563" s="3576"/>
      <c r="D563" s="3563"/>
      <c r="E563" s="3563"/>
      <c r="F563" s="3576"/>
      <c r="G563" s="3576"/>
      <c r="H563" s="3563"/>
      <c r="I563" s="3563"/>
      <c r="J563" s="3563"/>
      <c r="K563" s="3563"/>
      <c r="L563" s="3563"/>
      <c r="M563" s="3563"/>
      <c r="N563" s="3577"/>
      <c r="O563" s="3563"/>
      <c r="P563" s="3576"/>
      <c r="Q563" s="3578"/>
      <c r="R563" s="3563"/>
      <c r="S563" s="3563"/>
      <c r="T563" s="4014"/>
      <c r="U563" s="3563"/>
      <c r="V563" s="3563"/>
      <c r="W563" s="3578"/>
      <c r="X563" s="3578"/>
      <c r="Y563" s="3578"/>
      <c r="Z563" s="3578"/>
      <c r="AA563" s="3578"/>
      <c r="AB563" s="3563"/>
      <c r="AC563" s="3578"/>
      <c r="AD563" s="3578"/>
      <c r="AE563" s="3578"/>
      <c r="AF563" s="3578"/>
      <c r="AG563" s="3576"/>
      <c r="AH563" s="3576"/>
      <c r="AI563" s="3580"/>
      <c r="AJ563" s="3581"/>
      <c r="AK563" s="3582"/>
      <c r="AL563" s="3582"/>
      <c r="AM563" s="3582"/>
      <c r="AN563" s="3582"/>
      <c r="AO563" s="3582"/>
      <c r="AP563" s="3582"/>
      <c r="AQ563" s="3582"/>
      <c r="AR563" s="3576"/>
      <c r="AS563" s="3576"/>
      <c r="AT563" s="3576"/>
      <c r="AU563" s="3576"/>
      <c r="AV563" s="3563"/>
    </row>
    <row r="564" s="3565" customFormat="1" spans="1:48">
      <c r="A564" s="3575"/>
      <c r="B564" s="3576"/>
      <c r="C564" s="3576"/>
      <c r="D564" s="3563"/>
      <c r="E564" s="3563"/>
      <c r="F564" s="3576"/>
      <c r="G564" s="3576"/>
      <c r="H564" s="3563"/>
      <c r="I564" s="3563"/>
      <c r="J564" s="3563"/>
      <c r="K564" s="3563"/>
      <c r="L564" s="3563"/>
      <c r="M564" s="3563"/>
      <c r="N564" s="3577"/>
      <c r="O564" s="3563"/>
      <c r="P564" s="3576"/>
      <c r="Q564" s="3578"/>
      <c r="R564" s="3563"/>
      <c r="S564" s="3563"/>
      <c r="T564" s="4014"/>
      <c r="U564" s="3563"/>
      <c r="V564" s="3563"/>
      <c r="W564" s="3578"/>
      <c r="X564" s="3578"/>
      <c r="Y564" s="3578"/>
      <c r="Z564" s="3578"/>
      <c r="AA564" s="3578"/>
      <c r="AB564" s="3563"/>
      <c r="AC564" s="3578"/>
      <c r="AD564" s="3578"/>
      <c r="AE564" s="3578"/>
      <c r="AF564" s="3578"/>
      <c r="AG564" s="3576"/>
      <c r="AH564" s="3576"/>
      <c r="AI564" s="3580"/>
      <c r="AJ564" s="3581"/>
      <c r="AK564" s="3582"/>
      <c r="AL564" s="3582"/>
      <c r="AM564" s="3582"/>
      <c r="AN564" s="3582"/>
      <c r="AO564" s="3582"/>
      <c r="AP564" s="3582"/>
      <c r="AQ564" s="3582"/>
      <c r="AR564" s="3576"/>
      <c r="AS564" s="3576"/>
      <c r="AT564" s="3576"/>
      <c r="AU564" s="3576"/>
      <c r="AV564" s="3563"/>
    </row>
    <row r="565" s="3565" customFormat="1" spans="1:48">
      <c r="A565" s="3575"/>
      <c r="B565" s="3576"/>
      <c r="C565" s="3576"/>
      <c r="D565" s="3563"/>
      <c r="E565" s="3563"/>
      <c r="F565" s="3576"/>
      <c r="G565" s="3576"/>
      <c r="H565" s="3563"/>
      <c r="I565" s="3563"/>
      <c r="J565" s="3563"/>
      <c r="K565" s="3563"/>
      <c r="L565" s="3563"/>
      <c r="M565" s="3563"/>
      <c r="N565" s="3577"/>
      <c r="O565" s="3563"/>
      <c r="P565" s="3576"/>
      <c r="Q565" s="3578"/>
      <c r="R565" s="3563"/>
      <c r="S565" s="3563"/>
      <c r="T565" s="4014"/>
      <c r="U565" s="3563"/>
      <c r="V565" s="3563"/>
      <c r="W565" s="3578"/>
      <c r="X565" s="3578"/>
      <c r="Y565" s="3578"/>
      <c r="Z565" s="3578"/>
      <c r="AA565" s="3578"/>
      <c r="AB565" s="3563"/>
      <c r="AC565" s="3578"/>
      <c r="AD565" s="3578"/>
      <c r="AE565" s="3578"/>
      <c r="AF565" s="3578"/>
      <c r="AG565" s="3576"/>
      <c r="AH565" s="3576"/>
      <c r="AI565" s="3580"/>
      <c r="AJ565" s="3581"/>
      <c r="AK565" s="3582"/>
      <c r="AL565" s="3582"/>
      <c r="AM565" s="3582"/>
      <c r="AN565" s="3582"/>
      <c r="AO565" s="3582"/>
      <c r="AP565" s="3582"/>
      <c r="AQ565" s="3582"/>
      <c r="AR565" s="3576"/>
      <c r="AS565" s="3576"/>
      <c r="AT565" s="3576"/>
      <c r="AU565" s="3576"/>
      <c r="AV565" s="3563"/>
    </row>
    <row r="566" s="3565" customFormat="1" spans="1:48">
      <c r="A566" s="3575"/>
      <c r="B566" s="3576"/>
      <c r="C566" s="3576"/>
      <c r="D566" s="3563"/>
      <c r="E566" s="3563"/>
      <c r="F566" s="3576"/>
      <c r="G566" s="3576"/>
      <c r="H566" s="3563"/>
      <c r="I566" s="3563"/>
      <c r="J566" s="3563"/>
      <c r="K566" s="3563"/>
      <c r="L566" s="3563"/>
      <c r="M566" s="3563"/>
      <c r="N566" s="3577"/>
      <c r="O566" s="3563"/>
      <c r="P566" s="3576"/>
      <c r="Q566" s="3578"/>
      <c r="R566" s="3563"/>
      <c r="S566" s="3563"/>
      <c r="T566" s="4014"/>
      <c r="U566" s="3563"/>
      <c r="V566" s="3563"/>
      <c r="W566" s="3578"/>
      <c r="X566" s="3578"/>
      <c r="Y566" s="3578"/>
      <c r="Z566" s="3578"/>
      <c r="AA566" s="3578"/>
      <c r="AB566" s="3563"/>
      <c r="AC566" s="3578"/>
      <c r="AD566" s="3578"/>
      <c r="AE566" s="3578"/>
      <c r="AF566" s="3578"/>
      <c r="AG566" s="3576"/>
      <c r="AH566" s="3576"/>
      <c r="AI566" s="3580"/>
      <c r="AJ566" s="3581"/>
      <c r="AK566" s="3582"/>
      <c r="AL566" s="3582"/>
      <c r="AM566" s="3582"/>
      <c r="AN566" s="3582"/>
      <c r="AO566" s="3582"/>
      <c r="AP566" s="3582"/>
      <c r="AQ566" s="3582"/>
      <c r="AR566" s="3576"/>
      <c r="AS566" s="3576"/>
      <c r="AT566" s="3576"/>
      <c r="AU566" s="3576"/>
      <c r="AV566" s="3563"/>
    </row>
    <row r="567" s="3565" customFormat="1" spans="1:48">
      <c r="A567" s="3575"/>
      <c r="B567" s="3576"/>
      <c r="C567" s="3576"/>
      <c r="D567" s="3563"/>
      <c r="E567" s="3563"/>
      <c r="F567" s="3576"/>
      <c r="G567" s="3576"/>
      <c r="H567" s="3563"/>
      <c r="I567" s="3563"/>
      <c r="J567" s="3563"/>
      <c r="K567" s="3563"/>
      <c r="L567" s="3563"/>
      <c r="M567" s="3563"/>
      <c r="N567" s="3577"/>
      <c r="O567" s="3563"/>
      <c r="P567" s="3576"/>
      <c r="Q567" s="3578"/>
      <c r="R567" s="3563"/>
      <c r="S567" s="3563"/>
      <c r="T567" s="4014"/>
      <c r="U567" s="3563"/>
      <c r="V567" s="3563"/>
      <c r="W567" s="3578"/>
      <c r="X567" s="3578"/>
      <c r="Y567" s="3578"/>
      <c r="Z567" s="3578"/>
      <c r="AA567" s="3578"/>
      <c r="AB567" s="3563"/>
      <c r="AC567" s="3578"/>
      <c r="AD567" s="3578"/>
      <c r="AE567" s="3578"/>
      <c r="AF567" s="3578"/>
      <c r="AG567" s="3576"/>
      <c r="AH567" s="3576"/>
      <c r="AI567" s="3580"/>
      <c r="AJ567" s="3581"/>
      <c r="AK567" s="3582"/>
      <c r="AL567" s="3582"/>
      <c r="AM567" s="3582"/>
      <c r="AN567" s="3582"/>
      <c r="AO567" s="3582"/>
      <c r="AP567" s="3582"/>
      <c r="AQ567" s="3582"/>
      <c r="AR567" s="3576"/>
      <c r="AS567" s="3576"/>
      <c r="AT567" s="3576"/>
      <c r="AU567" s="3576"/>
      <c r="AV567" s="3563"/>
    </row>
    <row r="568" s="3565" customFormat="1" spans="1:48">
      <c r="A568" s="3575"/>
      <c r="B568" s="3576"/>
      <c r="C568" s="3576"/>
      <c r="D568" s="3563"/>
      <c r="E568" s="3563"/>
      <c r="F568" s="3576"/>
      <c r="G568" s="3576"/>
      <c r="H568" s="3563"/>
      <c r="I568" s="3563"/>
      <c r="J568" s="3563"/>
      <c r="K568" s="3563"/>
      <c r="L568" s="3563"/>
      <c r="M568" s="3563"/>
      <c r="N568" s="3577"/>
      <c r="O568" s="3563"/>
      <c r="P568" s="3576"/>
      <c r="Q568" s="3578"/>
      <c r="R568" s="3563"/>
      <c r="S568" s="3563"/>
      <c r="T568" s="4014"/>
      <c r="U568" s="3563"/>
      <c r="V568" s="3563"/>
      <c r="W568" s="3578"/>
      <c r="X568" s="3578"/>
      <c r="Y568" s="3578"/>
      <c r="Z568" s="3578"/>
      <c r="AA568" s="3578"/>
      <c r="AB568" s="3563"/>
      <c r="AC568" s="3578"/>
      <c r="AD568" s="3578"/>
      <c r="AE568" s="3578"/>
      <c r="AF568" s="3578"/>
      <c r="AG568" s="3576"/>
      <c r="AH568" s="3576"/>
      <c r="AI568" s="3580"/>
      <c r="AJ568" s="3581"/>
      <c r="AK568" s="3582"/>
      <c r="AL568" s="3582"/>
      <c r="AM568" s="3582"/>
      <c r="AN568" s="3582"/>
      <c r="AO568" s="3582"/>
      <c r="AP568" s="3582"/>
      <c r="AQ568" s="3582"/>
      <c r="AR568" s="3576"/>
      <c r="AS568" s="3576"/>
      <c r="AT568" s="3576"/>
      <c r="AU568" s="3576"/>
      <c r="AV568" s="3563"/>
    </row>
    <row r="569" s="3565" customFormat="1" spans="1:48">
      <c r="A569" s="3575"/>
      <c r="B569" s="3576"/>
      <c r="C569" s="3576"/>
      <c r="D569" s="3563"/>
      <c r="E569" s="3563"/>
      <c r="F569" s="3576"/>
      <c r="G569" s="3576"/>
      <c r="H569" s="3563"/>
      <c r="I569" s="3563"/>
      <c r="J569" s="3563"/>
      <c r="K569" s="3563"/>
      <c r="L569" s="3563"/>
      <c r="M569" s="3563"/>
      <c r="N569" s="3577"/>
      <c r="O569" s="3563"/>
      <c r="P569" s="3576"/>
      <c r="Q569" s="3578"/>
      <c r="R569" s="3563"/>
      <c r="S569" s="3563"/>
      <c r="T569" s="4014"/>
      <c r="U569" s="3563"/>
      <c r="V569" s="3563"/>
      <c r="W569" s="3578"/>
      <c r="X569" s="3578"/>
      <c r="Y569" s="3578"/>
      <c r="Z569" s="3578"/>
      <c r="AA569" s="3578"/>
      <c r="AB569" s="3563"/>
      <c r="AC569" s="3578"/>
      <c r="AD569" s="3578"/>
      <c r="AE569" s="3578"/>
      <c r="AF569" s="3578"/>
      <c r="AG569" s="3576"/>
      <c r="AH569" s="3576"/>
      <c r="AI569" s="3580"/>
      <c r="AJ569" s="3581"/>
      <c r="AK569" s="3582"/>
      <c r="AL569" s="3582"/>
      <c r="AM569" s="3582"/>
      <c r="AN569" s="3582"/>
      <c r="AO569" s="3582"/>
      <c r="AP569" s="3582"/>
      <c r="AQ569" s="3582"/>
      <c r="AR569" s="3576"/>
      <c r="AS569" s="3576"/>
      <c r="AT569" s="3576"/>
      <c r="AU569" s="3576"/>
      <c r="AV569" s="3563"/>
    </row>
    <row r="570" s="3565" customFormat="1" spans="1:48">
      <c r="A570" s="3575"/>
      <c r="B570" s="3576"/>
      <c r="C570" s="3576"/>
      <c r="D570" s="3563"/>
      <c r="E570" s="3563"/>
      <c r="F570" s="3576"/>
      <c r="G570" s="3576"/>
      <c r="H570" s="3563"/>
      <c r="I570" s="3563"/>
      <c r="J570" s="3563"/>
      <c r="K570" s="3563"/>
      <c r="L570" s="3563"/>
      <c r="M570" s="3563"/>
      <c r="N570" s="3577"/>
      <c r="O570" s="3563"/>
      <c r="P570" s="3576"/>
      <c r="Q570" s="3578"/>
      <c r="R570" s="3563"/>
      <c r="S570" s="3563"/>
      <c r="T570" s="4014"/>
      <c r="U570" s="3563"/>
      <c r="V570" s="3563"/>
      <c r="W570" s="3578"/>
      <c r="X570" s="3578"/>
      <c r="Y570" s="3578"/>
      <c r="Z570" s="3578"/>
      <c r="AA570" s="3578"/>
      <c r="AB570" s="3563"/>
      <c r="AC570" s="3578"/>
      <c r="AD570" s="3578"/>
      <c r="AE570" s="3578"/>
      <c r="AF570" s="3578"/>
      <c r="AG570" s="3576"/>
      <c r="AH570" s="3576"/>
      <c r="AI570" s="3580"/>
      <c r="AJ570" s="3581"/>
      <c r="AK570" s="3582"/>
      <c r="AL570" s="3582"/>
      <c r="AM570" s="3582"/>
      <c r="AN570" s="3582"/>
      <c r="AO570" s="3582"/>
      <c r="AP570" s="3582"/>
      <c r="AQ570" s="3582"/>
      <c r="AR570" s="3576"/>
      <c r="AS570" s="3576"/>
      <c r="AT570" s="3576"/>
      <c r="AU570" s="3576"/>
      <c r="AV570" s="3563"/>
    </row>
    <row r="571" s="3565" customFormat="1" spans="1:48">
      <c r="A571" s="3575"/>
      <c r="B571" s="3576"/>
      <c r="C571" s="3576"/>
      <c r="D571" s="3563"/>
      <c r="E571" s="3563"/>
      <c r="F571" s="3576"/>
      <c r="G571" s="3576"/>
      <c r="H571" s="3563"/>
      <c r="I571" s="3563"/>
      <c r="J571" s="3563"/>
      <c r="K571" s="3563"/>
      <c r="L571" s="3563"/>
      <c r="M571" s="3563"/>
      <c r="N571" s="3577"/>
      <c r="O571" s="3563"/>
      <c r="P571" s="3576"/>
      <c r="Q571" s="3578"/>
      <c r="R571" s="3563"/>
      <c r="S571" s="3563"/>
      <c r="T571" s="4014"/>
      <c r="U571" s="3563"/>
      <c r="V571" s="3563"/>
      <c r="W571" s="3578"/>
      <c r="X571" s="3578"/>
      <c r="Y571" s="3578"/>
      <c r="Z571" s="3578"/>
      <c r="AA571" s="3578"/>
      <c r="AB571" s="3563"/>
      <c r="AC571" s="3578"/>
      <c r="AD571" s="3578"/>
      <c r="AE571" s="3578"/>
      <c r="AF571" s="3578"/>
      <c r="AG571" s="3576"/>
      <c r="AH571" s="3576"/>
      <c r="AI571" s="3580"/>
      <c r="AJ571" s="3581"/>
      <c r="AK571" s="3582"/>
      <c r="AL571" s="3582"/>
      <c r="AM571" s="3582"/>
      <c r="AN571" s="3582"/>
      <c r="AO571" s="3582"/>
      <c r="AP571" s="3582"/>
      <c r="AQ571" s="3582"/>
      <c r="AR571" s="3576"/>
      <c r="AS571" s="3576"/>
      <c r="AT571" s="3576"/>
      <c r="AU571" s="3576"/>
      <c r="AV571" s="3563"/>
    </row>
    <row r="572" s="3565" customFormat="1" spans="1:48">
      <c r="A572" s="3575"/>
      <c r="B572" s="3576"/>
      <c r="C572" s="3576"/>
      <c r="D572" s="3563"/>
      <c r="E572" s="3563"/>
      <c r="F572" s="3576"/>
      <c r="G572" s="3576"/>
      <c r="H572" s="3563"/>
      <c r="I572" s="3563"/>
      <c r="J572" s="3563"/>
      <c r="K572" s="3563"/>
      <c r="L572" s="3563"/>
      <c r="M572" s="3563"/>
      <c r="N572" s="3577"/>
      <c r="O572" s="3563"/>
      <c r="P572" s="3576"/>
      <c r="Q572" s="3578"/>
      <c r="R572" s="3563"/>
      <c r="S572" s="3563"/>
      <c r="T572" s="4014"/>
      <c r="U572" s="3563"/>
      <c r="V572" s="3563"/>
      <c r="W572" s="3578"/>
      <c r="X572" s="3578"/>
      <c r="Y572" s="3578"/>
      <c r="Z572" s="3578"/>
      <c r="AA572" s="3578"/>
      <c r="AB572" s="3563"/>
      <c r="AC572" s="3578"/>
      <c r="AD572" s="3578"/>
      <c r="AE572" s="3578"/>
      <c r="AF572" s="3578"/>
      <c r="AG572" s="3576"/>
      <c r="AH572" s="3576"/>
      <c r="AI572" s="3580"/>
      <c r="AJ572" s="3581"/>
      <c r="AK572" s="3582"/>
      <c r="AL572" s="3582"/>
      <c r="AM572" s="3582"/>
      <c r="AN572" s="3582"/>
      <c r="AO572" s="3582"/>
      <c r="AP572" s="3582"/>
      <c r="AQ572" s="3582"/>
      <c r="AR572" s="3576"/>
      <c r="AS572" s="3576"/>
      <c r="AT572" s="3576"/>
      <c r="AU572" s="3576"/>
      <c r="AV572" s="3563"/>
    </row>
    <row r="573" s="3565" customFormat="1" spans="1:48">
      <c r="A573" s="3575"/>
      <c r="B573" s="3576"/>
      <c r="C573" s="3576"/>
      <c r="D573" s="3563"/>
      <c r="E573" s="3563"/>
      <c r="F573" s="3576"/>
      <c r="G573" s="3576"/>
      <c r="H573" s="3563"/>
      <c r="I573" s="3563"/>
      <c r="J573" s="3563"/>
      <c r="K573" s="3563"/>
      <c r="L573" s="3563"/>
      <c r="M573" s="3563"/>
      <c r="N573" s="3577"/>
      <c r="O573" s="3563"/>
      <c r="P573" s="3576"/>
      <c r="Q573" s="3578"/>
      <c r="R573" s="3563"/>
      <c r="S573" s="3563"/>
      <c r="T573" s="4014"/>
      <c r="U573" s="3563"/>
      <c r="V573" s="3563"/>
      <c r="W573" s="3578"/>
      <c r="X573" s="3578"/>
      <c r="Y573" s="3578"/>
      <c r="Z573" s="3578"/>
      <c r="AA573" s="3578"/>
      <c r="AB573" s="3563"/>
      <c r="AC573" s="3578"/>
      <c r="AD573" s="3578"/>
      <c r="AE573" s="3578"/>
      <c r="AF573" s="3578"/>
      <c r="AG573" s="3576"/>
      <c r="AH573" s="3576"/>
      <c r="AI573" s="3580"/>
      <c r="AJ573" s="3581"/>
      <c r="AK573" s="3582"/>
      <c r="AL573" s="3582"/>
      <c r="AM573" s="3582"/>
      <c r="AN573" s="3582"/>
      <c r="AO573" s="3582"/>
      <c r="AP573" s="3582"/>
      <c r="AQ573" s="3582"/>
      <c r="AR573" s="3576"/>
      <c r="AS573" s="3576"/>
      <c r="AT573" s="3576"/>
      <c r="AU573" s="3576"/>
      <c r="AV573" s="3563"/>
    </row>
    <row r="574" s="3565" customFormat="1" spans="1:48">
      <c r="A574" s="3575"/>
      <c r="B574" s="3576"/>
      <c r="C574" s="3576"/>
      <c r="D574" s="3563"/>
      <c r="E574" s="3563"/>
      <c r="F574" s="3576"/>
      <c r="G574" s="3576"/>
      <c r="H574" s="3563"/>
      <c r="I574" s="3563"/>
      <c r="J574" s="3563"/>
      <c r="K574" s="3563"/>
      <c r="L574" s="3563"/>
      <c r="M574" s="3563"/>
      <c r="N574" s="3577"/>
      <c r="O574" s="3563"/>
      <c r="P574" s="3576"/>
      <c r="Q574" s="3578"/>
      <c r="R574" s="3563"/>
      <c r="S574" s="3563"/>
      <c r="T574" s="4014"/>
      <c r="U574" s="3563"/>
      <c r="V574" s="3563"/>
      <c r="W574" s="3578"/>
      <c r="X574" s="3578"/>
      <c r="Y574" s="3578"/>
      <c r="Z574" s="3578"/>
      <c r="AA574" s="3578"/>
      <c r="AB574" s="3563"/>
      <c r="AC574" s="3578"/>
      <c r="AD574" s="3578"/>
      <c r="AE574" s="3578"/>
      <c r="AF574" s="3578"/>
      <c r="AG574" s="3576"/>
      <c r="AH574" s="3576"/>
      <c r="AI574" s="3580"/>
      <c r="AJ574" s="3581"/>
      <c r="AK574" s="3582"/>
      <c r="AL574" s="3582"/>
      <c r="AM574" s="3582"/>
      <c r="AN574" s="3582"/>
      <c r="AO574" s="3582"/>
      <c r="AP574" s="3582"/>
      <c r="AQ574" s="3582"/>
      <c r="AR574" s="3576"/>
      <c r="AS574" s="3576"/>
      <c r="AT574" s="3576"/>
      <c r="AU574" s="3576"/>
      <c r="AV574" s="3563"/>
    </row>
    <row r="575" s="3565" customFormat="1" spans="1:48">
      <c r="A575" s="3575"/>
      <c r="B575" s="3576"/>
      <c r="C575" s="3576"/>
      <c r="D575" s="3563"/>
      <c r="E575" s="3563"/>
      <c r="F575" s="3576"/>
      <c r="G575" s="3576"/>
      <c r="H575" s="3563"/>
      <c r="I575" s="3563"/>
      <c r="J575" s="3563"/>
      <c r="K575" s="3563"/>
      <c r="L575" s="3563"/>
      <c r="M575" s="3563"/>
      <c r="N575" s="3577"/>
      <c r="O575" s="3563"/>
      <c r="P575" s="3576"/>
      <c r="Q575" s="3578"/>
      <c r="R575" s="3563"/>
      <c r="S575" s="3563"/>
      <c r="T575" s="4014"/>
      <c r="U575" s="3563"/>
      <c r="V575" s="3563"/>
      <c r="W575" s="3578"/>
      <c r="X575" s="3578"/>
      <c r="Y575" s="3578"/>
      <c r="Z575" s="3578"/>
      <c r="AA575" s="3578"/>
      <c r="AB575" s="3563"/>
      <c r="AC575" s="3578"/>
      <c r="AD575" s="3578"/>
      <c r="AE575" s="3578"/>
      <c r="AF575" s="3578"/>
      <c r="AG575" s="3576"/>
      <c r="AH575" s="3576"/>
      <c r="AI575" s="3580"/>
      <c r="AJ575" s="3581"/>
      <c r="AK575" s="3582"/>
      <c r="AL575" s="3582"/>
      <c r="AM575" s="3582"/>
      <c r="AN575" s="3582"/>
      <c r="AO575" s="3582"/>
      <c r="AP575" s="3582"/>
      <c r="AQ575" s="3582"/>
      <c r="AR575" s="3576"/>
      <c r="AS575" s="3576"/>
      <c r="AT575" s="3576"/>
      <c r="AU575" s="3576"/>
      <c r="AV575" s="3563"/>
    </row>
    <row r="576" s="3565" customFormat="1" spans="1:48">
      <c r="A576" s="3575"/>
      <c r="B576" s="3576"/>
      <c r="C576" s="3576"/>
      <c r="D576" s="3563"/>
      <c r="E576" s="3563"/>
      <c r="F576" s="3576"/>
      <c r="G576" s="3576"/>
      <c r="H576" s="3563"/>
      <c r="I576" s="3563"/>
      <c r="J576" s="3563"/>
      <c r="K576" s="3563"/>
      <c r="L576" s="3563"/>
      <c r="M576" s="3563"/>
      <c r="N576" s="3577"/>
      <c r="O576" s="3563"/>
      <c r="P576" s="3576"/>
      <c r="Q576" s="3578"/>
      <c r="R576" s="3563"/>
      <c r="S576" s="3563"/>
      <c r="T576" s="4014"/>
      <c r="U576" s="3563"/>
      <c r="V576" s="3563"/>
      <c r="W576" s="3578"/>
      <c r="X576" s="3578"/>
      <c r="Y576" s="3578"/>
      <c r="Z576" s="3578"/>
      <c r="AA576" s="3578"/>
      <c r="AB576" s="3563"/>
      <c r="AC576" s="3578"/>
      <c r="AD576" s="3578"/>
      <c r="AE576" s="3578"/>
      <c r="AF576" s="3578"/>
      <c r="AG576" s="3576"/>
      <c r="AH576" s="3576"/>
      <c r="AI576" s="3580"/>
      <c r="AJ576" s="3581"/>
      <c r="AK576" s="3582"/>
      <c r="AL576" s="3582"/>
      <c r="AM576" s="3582"/>
      <c r="AN576" s="3582"/>
      <c r="AO576" s="3582"/>
      <c r="AP576" s="3582"/>
      <c r="AQ576" s="3582"/>
      <c r="AR576" s="3576"/>
      <c r="AS576" s="3576"/>
      <c r="AT576" s="3576"/>
      <c r="AU576" s="3576"/>
      <c r="AV576" s="3563"/>
    </row>
    <row r="577" s="3565" customFormat="1" spans="1:48">
      <c r="A577" s="3575"/>
      <c r="B577" s="3576"/>
      <c r="C577" s="3576"/>
      <c r="D577" s="3563"/>
      <c r="E577" s="3563"/>
      <c r="F577" s="3576"/>
      <c r="G577" s="3576"/>
      <c r="H577" s="3563"/>
      <c r="I577" s="3563"/>
      <c r="J577" s="3563"/>
      <c r="K577" s="3563"/>
      <c r="L577" s="3563"/>
      <c r="M577" s="3563"/>
      <c r="N577" s="3577"/>
      <c r="O577" s="3563"/>
      <c r="P577" s="3576"/>
      <c r="Q577" s="3578"/>
      <c r="R577" s="3563"/>
      <c r="S577" s="3563"/>
      <c r="T577" s="4014"/>
      <c r="U577" s="3563"/>
      <c r="V577" s="3563"/>
      <c r="W577" s="3578"/>
      <c r="X577" s="3578"/>
      <c r="Y577" s="3578"/>
      <c r="Z577" s="3578"/>
      <c r="AA577" s="3578"/>
      <c r="AB577" s="3563"/>
      <c r="AC577" s="3578"/>
      <c r="AD577" s="3578"/>
      <c r="AE577" s="3578"/>
      <c r="AF577" s="3578"/>
      <c r="AG577" s="3576"/>
      <c r="AH577" s="3576"/>
      <c r="AI577" s="3580"/>
      <c r="AJ577" s="3581"/>
      <c r="AK577" s="3582"/>
      <c r="AL577" s="3582"/>
      <c r="AM577" s="3582"/>
      <c r="AN577" s="3582"/>
      <c r="AO577" s="3582"/>
      <c r="AP577" s="3582"/>
      <c r="AQ577" s="3582"/>
      <c r="AR577" s="3576"/>
      <c r="AS577" s="3576"/>
      <c r="AT577" s="3576"/>
      <c r="AU577" s="3576"/>
      <c r="AV577" s="3563"/>
    </row>
    <row r="578" s="3565" customFormat="1" spans="1:48">
      <c r="A578" s="3575"/>
      <c r="B578" s="3576"/>
      <c r="C578" s="3576"/>
      <c r="D578" s="3563"/>
      <c r="E578" s="3563"/>
      <c r="F578" s="3576"/>
      <c r="G578" s="3576"/>
      <c r="H578" s="3563"/>
      <c r="I578" s="3563"/>
      <c r="J578" s="3563"/>
      <c r="K578" s="3563"/>
      <c r="L578" s="3563"/>
      <c r="M578" s="3563"/>
      <c r="N578" s="3577"/>
      <c r="O578" s="3563"/>
      <c r="P578" s="3576"/>
      <c r="Q578" s="3578"/>
      <c r="R578" s="3563"/>
      <c r="S578" s="3563"/>
      <c r="T578" s="4014"/>
      <c r="U578" s="3563"/>
      <c r="V578" s="3563"/>
      <c r="W578" s="3578"/>
      <c r="X578" s="3578"/>
      <c r="Y578" s="3578"/>
      <c r="Z578" s="3578"/>
      <c r="AA578" s="3578"/>
      <c r="AB578" s="3563"/>
      <c r="AC578" s="3578"/>
      <c r="AD578" s="3578"/>
      <c r="AE578" s="3578"/>
      <c r="AF578" s="3578"/>
      <c r="AG578" s="3576"/>
      <c r="AH578" s="3576"/>
      <c r="AI578" s="3580"/>
      <c r="AJ578" s="3581"/>
      <c r="AK578" s="3582"/>
      <c r="AL578" s="3582"/>
      <c r="AM578" s="3582"/>
      <c r="AN578" s="3582"/>
      <c r="AO578" s="3582"/>
      <c r="AP578" s="3582"/>
      <c r="AQ578" s="3582"/>
      <c r="AR578" s="3576"/>
      <c r="AS578" s="3576"/>
      <c r="AT578" s="3576"/>
      <c r="AU578" s="3576"/>
      <c r="AV578" s="3563"/>
    </row>
    <row r="579" s="3565" customFormat="1" spans="1:48">
      <c r="A579" s="3575"/>
      <c r="B579" s="3576"/>
      <c r="C579" s="3576"/>
      <c r="D579" s="3563"/>
      <c r="E579" s="3563"/>
      <c r="F579" s="3576"/>
      <c r="G579" s="3576"/>
      <c r="H579" s="3563"/>
      <c r="I579" s="3563"/>
      <c r="J579" s="3563"/>
      <c r="K579" s="3563"/>
      <c r="L579" s="3563"/>
      <c r="M579" s="3563"/>
      <c r="N579" s="3577"/>
      <c r="O579" s="3563"/>
      <c r="P579" s="3576"/>
      <c r="Q579" s="3578"/>
      <c r="R579" s="3563"/>
      <c r="S579" s="3563"/>
      <c r="T579" s="4014"/>
      <c r="U579" s="3563"/>
      <c r="V579" s="3563"/>
      <c r="W579" s="3578"/>
      <c r="X579" s="3578"/>
      <c r="Y579" s="3578"/>
      <c r="Z579" s="3578"/>
      <c r="AA579" s="3578"/>
      <c r="AB579" s="3563"/>
      <c r="AC579" s="3578"/>
      <c r="AD579" s="3578"/>
      <c r="AE579" s="3578"/>
      <c r="AF579" s="3578"/>
      <c r="AG579" s="3576"/>
      <c r="AH579" s="3576"/>
      <c r="AI579" s="3580"/>
      <c r="AJ579" s="3581"/>
      <c r="AK579" s="3582"/>
      <c r="AL579" s="3582"/>
      <c r="AM579" s="3582"/>
      <c r="AN579" s="3582"/>
      <c r="AO579" s="3582"/>
      <c r="AP579" s="3582"/>
      <c r="AQ579" s="3582"/>
      <c r="AR579" s="3576"/>
      <c r="AS579" s="3576"/>
      <c r="AT579" s="3576"/>
      <c r="AU579" s="3576"/>
      <c r="AV579" s="3563"/>
    </row>
    <row r="580" s="3565" customFormat="1" spans="1:48">
      <c r="A580" s="3575"/>
      <c r="B580" s="3576"/>
      <c r="C580" s="3576"/>
      <c r="D580" s="3563"/>
      <c r="E580" s="3563"/>
      <c r="F580" s="3576"/>
      <c r="G580" s="3576"/>
      <c r="H580" s="3563"/>
      <c r="I580" s="3563"/>
      <c r="J580" s="3563"/>
      <c r="K580" s="3563"/>
      <c r="L580" s="3563"/>
      <c r="M580" s="3563"/>
      <c r="N580" s="3577"/>
      <c r="O580" s="3563"/>
      <c r="P580" s="3576"/>
      <c r="Q580" s="3578"/>
      <c r="R580" s="3563"/>
      <c r="S580" s="3563"/>
      <c r="T580" s="4014"/>
      <c r="U580" s="3563"/>
      <c r="V580" s="3563"/>
      <c r="W580" s="3578"/>
      <c r="X580" s="3578"/>
      <c r="Y580" s="3578"/>
      <c r="Z580" s="3578"/>
      <c r="AA580" s="3578"/>
      <c r="AB580" s="3563"/>
      <c r="AC580" s="3578"/>
      <c r="AD580" s="3578"/>
      <c r="AE580" s="3578"/>
      <c r="AF580" s="3578"/>
      <c r="AG580" s="3576"/>
      <c r="AH580" s="3576"/>
      <c r="AI580" s="3580"/>
      <c r="AJ580" s="3581"/>
      <c r="AK580" s="3582"/>
      <c r="AL580" s="3582"/>
      <c r="AM580" s="3582"/>
      <c r="AN580" s="3582"/>
      <c r="AO580" s="3582"/>
      <c r="AP580" s="3582"/>
      <c r="AQ580" s="3582"/>
      <c r="AR580" s="3576"/>
      <c r="AS580" s="3576"/>
      <c r="AT580" s="3576"/>
      <c r="AU580" s="3576"/>
      <c r="AV580" s="3563"/>
    </row>
    <row r="581" s="3565" customFormat="1" spans="1:48">
      <c r="A581" s="3575"/>
      <c r="B581" s="3576"/>
      <c r="C581" s="3576"/>
      <c r="D581" s="3563"/>
      <c r="E581" s="3563"/>
      <c r="F581" s="3576"/>
      <c r="G581" s="3576"/>
      <c r="H581" s="3563"/>
      <c r="I581" s="3563"/>
      <c r="J581" s="3563"/>
      <c r="K581" s="3563"/>
      <c r="L581" s="3563"/>
      <c r="M581" s="3563"/>
      <c r="N581" s="3577"/>
      <c r="O581" s="3563"/>
      <c r="P581" s="3576"/>
      <c r="Q581" s="3578"/>
      <c r="R581" s="3563"/>
      <c r="S581" s="3563"/>
      <c r="T581" s="4014"/>
      <c r="U581" s="3563"/>
      <c r="V581" s="3563"/>
      <c r="W581" s="3578"/>
      <c r="X581" s="3578"/>
      <c r="Y581" s="3578"/>
      <c r="Z581" s="3578"/>
      <c r="AA581" s="3578"/>
      <c r="AB581" s="3563"/>
      <c r="AC581" s="3578"/>
      <c r="AD581" s="3578"/>
      <c r="AE581" s="3578"/>
      <c r="AF581" s="3578"/>
      <c r="AG581" s="3576"/>
      <c r="AH581" s="3576"/>
      <c r="AI581" s="3580"/>
      <c r="AJ581" s="3581"/>
      <c r="AK581" s="3582"/>
      <c r="AL581" s="3582"/>
      <c r="AM581" s="3582"/>
      <c r="AN581" s="3582"/>
      <c r="AO581" s="3582"/>
      <c r="AP581" s="3582"/>
      <c r="AQ581" s="3582"/>
      <c r="AR581" s="3576"/>
      <c r="AS581" s="3576"/>
      <c r="AT581" s="3576"/>
      <c r="AU581" s="3576"/>
      <c r="AV581" s="3563"/>
    </row>
    <row r="582" s="3565" customFormat="1" spans="1:48">
      <c r="A582" s="3575"/>
      <c r="B582" s="3576"/>
      <c r="C582" s="3576"/>
      <c r="D582" s="3563"/>
      <c r="E582" s="3563"/>
      <c r="F582" s="3576"/>
      <c r="G582" s="3576"/>
      <c r="H582" s="3563"/>
      <c r="I582" s="3563"/>
      <c r="J582" s="3563"/>
      <c r="K582" s="3563"/>
      <c r="L582" s="3563"/>
      <c r="M582" s="3563"/>
      <c r="N582" s="3577"/>
      <c r="O582" s="3563"/>
      <c r="P582" s="3576"/>
      <c r="Q582" s="3578"/>
      <c r="R582" s="3563"/>
      <c r="S582" s="3563"/>
      <c r="T582" s="4014"/>
      <c r="U582" s="3563"/>
      <c r="V582" s="3563"/>
      <c r="W582" s="3578"/>
      <c r="X582" s="3578"/>
      <c r="Y582" s="3578"/>
      <c r="Z582" s="3578"/>
      <c r="AA582" s="3578"/>
      <c r="AB582" s="3563"/>
      <c r="AC582" s="3578"/>
      <c r="AD582" s="3578"/>
      <c r="AE582" s="3578"/>
      <c r="AF582" s="3578"/>
      <c r="AG582" s="3576"/>
      <c r="AH582" s="3576"/>
      <c r="AI582" s="3580"/>
      <c r="AJ582" s="3581"/>
      <c r="AK582" s="3582"/>
      <c r="AL582" s="3582"/>
      <c r="AM582" s="3582"/>
      <c r="AN582" s="3582"/>
      <c r="AO582" s="3582"/>
      <c r="AP582" s="3582"/>
      <c r="AQ582" s="3582"/>
      <c r="AR582" s="3576"/>
      <c r="AS582" s="3576"/>
      <c r="AT582" s="3576"/>
      <c r="AU582" s="3576"/>
      <c r="AV582" s="3563"/>
    </row>
    <row r="583" s="3565" customFormat="1" spans="1:48">
      <c r="A583" s="3575"/>
      <c r="B583" s="3576"/>
      <c r="C583" s="3576"/>
      <c r="D583" s="3563"/>
      <c r="E583" s="3563"/>
      <c r="F583" s="3576"/>
      <c r="G583" s="3576"/>
      <c r="H583" s="3563"/>
      <c r="I583" s="3563"/>
      <c r="J583" s="3563"/>
      <c r="K583" s="3563"/>
      <c r="L583" s="3563"/>
      <c r="M583" s="3563"/>
      <c r="N583" s="3577"/>
      <c r="O583" s="3563"/>
      <c r="P583" s="3576"/>
      <c r="Q583" s="3578"/>
      <c r="R583" s="3563"/>
      <c r="S583" s="3563"/>
      <c r="T583" s="4014"/>
      <c r="U583" s="3563"/>
      <c r="V583" s="3563"/>
      <c r="W583" s="3578"/>
      <c r="X583" s="3578"/>
      <c r="Y583" s="3578"/>
      <c r="Z583" s="3578"/>
      <c r="AA583" s="3578"/>
      <c r="AB583" s="3563"/>
      <c r="AC583" s="3578"/>
      <c r="AD583" s="3578"/>
      <c r="AE583" s="3578"/>
      <c r="AF583" s="3578"/>
      <c r="AG583" s="3576"/>
      <c r="AH583" s="3576"/>
      <c r="AI583" s="3580"/>
      <c r="AJ583" s="3581"/>
      <c r="AK583" s="3582"/>
      <c r="AL583" s="3582"/>
      <c r="AM583" s="3582"/>
      <c r="AN583" s="3582"/>
      <c r="AO583" s="3582"/>
      <c r="AP583" s="3582"/>
      <c r="AQ583" s="3582"/>
      <c r="AR583" s="3576"/>
      <c r="AS583" s="3576"/>
      <c r="AT583" s="3576"/>
      <c r="AU583" s="3576"/>
      <c r="AV583" s="3563"/>
    </row>
    <row r="584" s="3565" customFormat="1" spans="1:48">
      <c r="A584" s="3575"/>
      <c r="B584" s="3576"/>
      <c r="C584" s="3576"/>
      <c r="D584" s="3563"/>
      <c r="E584" s="3563"/>
      <c r="F584" s="3576"/>
      <c r="G584" s="3576"/>
      <c r="H584" s="3563"/>
      <c r="I584" s="3563"/>
      <c r="J584" s="3563"/>
      <c r="K584" s="3563"/>
      <c r="L584" s="3563"/>
      <c r="M584" s="3563"/>
      <c r="N584" s="3577"/>
      <c r="O584" s="3563"/>
      <c r="P584" s="3576"/>
      <c r="Q584" s="3578"/>
      <c r="R584" s="3563"/>
      <c r="S584" s="3563"/>
      <c r="T584" s="4014"/>
      <c r="U584" s="3563"/>
      <c r="V584" s="3563"/>
      <c r="W584" s="3578"/>
      <c r="X584" s="3578"/>
      <c r="Y584" s="3578"/>
      <c r="Z584" s="3578"/>
      <c r="AA584" s="3578"/>
      <c r="AB584" s="3563"/>
      <c r="AC584" s="3578"/>
      <c r="AD584" s="3578"/>
      <c r="AE584" s="3578"/>
      <c r="AF584" s="3578"/>
      <c r="AG584" s="3576"/>
      <c r="AH584" s="3576"/>
      <c r="AI584" s="3580"/>
      <c r="AJ584" s="3581"/>
      <c r="AK584" s="3582"/>
      <c r="AL584" s="3582"/>
      <c r="AM584" s="3582"/>
      <c r="AN584" s="3582"/>
      <c r="AO584" s="3582"/>
      <c r="AP584" s="3582"/>
      <c r="AQ584" s="3582"/>
      <c r="AR584" s="3576"/>
      <c r="AS584" s="3576"/>
      <c r="AT584" s="3576"/>
      <c r="AU584" s="3576"/>
      <c r="AV584" s="3563"/>
    </row>
    <row r="585" s="3565" customFormat="1" spans="1:48">
      <c r="A585" s="3575"/>
      <c r="B585" s="3576"/>
      <c r="C585" s="3576"/>
      <c r="D585" s="3563"/>
      <c r="E585" s="3563"/>
      <c r="F585" s="3576"/>
      <c r="G585" s="3576"/>
      <c r="H585" s="3563"/>
      <c r="I585" s="3563"/>
      <c r="J585" s="3563"/>
      <c r="K585" s="3563"/>
      <c r="L585" s="3563"/>
      <c r="M585" s="3563"/>
      <c r="N585" s="3577"/>
      <c r="O585" s="3563"/>
      <c r="P585" s="3576"/>
      <c r="Q585" s="3578"/>
      <c r="R585" s="3563"/>
      <c r="S585" s="3563"/>
      <c r="T585" s="4014"/>
      <c r="U585" s="3563"/>
      <c r="V585" s="3563"/>
      <c r="W585" s="3578"/>
      <c r="X585" s="3578"/>
      <c r="Y585" s="3578"/>
      <c r="Z585" s="3578"/>
      <c r="AA585" s="3578"/>
      <c r="AB585" s="3563"/>
      <c r="AC585" s="3578"/>
      <c r="AD585" s="3578"/>
      <c r="AE585" s="3578"/>
      <c r="AF585" s="3578"/>
      <c r="AG585" s="3576"/>
      <c r="AH585" s="3576"/>
      <c r="AI585" s="3580"/>
      <c r="AJ585" s="3581"/>
      <c r="AK585" s="3582"/>
      <c r="AL585" s="3582"/>
      <c r="AM585" s="3582"/>
      <c r="AN585" s="3582"/>
      <c r="AO585" s="3582"/>
      <c r="AP585" s="3582"/>
      <c r="AQ585" s="3582"/>
      <c r="AR585" s="3576"/>
      <c r="AS585" s="3576"/>
      <c r="AT585" s="3576"/>
      <c r="AU585" s="3576"/>
      <c r="AV585" s="3563"/>
    </row>
    <row r="586" s="3565" customFormat="1" spans="1:48">
      <c r="A586" s="3575"/>
      <c r="B586" s="3576"/>
      <c r="C586" s="3576"/>
      <c r="D586" s="3563"/>
      <c r="E586" s="3563"/>
      <c r="F586" s="3576"/>
      <c r="G586" s="3576"/>
      <c r="H586" s="3563"/>
      <c r="I586" s="3563"/>
      <c r="J586" s="3563"/>
      <c r="K586" s="3563"/>
      <c r="L586" s="3563"/>
      <c r="M586" s="3563"/>
      <c r="N586" s="3577"/>
      <c r="O586" s="3563"/>
      <c r="P586" s="3576"/>
      <c r="Q586" s="3578"/>
      <c r="R586" s="3563"/>
      <c r="S586" s="3563"/>
      <c r="T586" s="4014"/>
      <c r="U586" s="3563"/>
      <c r="V586" s="3563"/>
      <c r="W586" s="3578"/>
      <c r="X586" s="3578"/>
      <c r="Y586" s="3578"/>
      <c r="Z586" s="3578"/>
      <c r="AA586" s="3578"/>
      <c r="AB586" s="3563"/>
      <c r="AC586" s="3578"/>
      <c r="AD586" s="3578"/>
      <c r="AE586" s="3578"/>
      <c r="AF586" s="3578"/>
      <c r="AG586" s="3576"/>
      <c r="AH586" s="3576"/>
      <c r="AI586" s="3580"/>
      <c r="AJ586" s="3581"/>
      <c r="AK586" s="3582"/>
      <c r="AL586" s="3582"/>
      <c r="AM586" s="3582"/>
      <c r="AN586" s="3582"/>
      <c r="AO586" s="3582"/>
      <c r="AP586" s="3582"/>
      <c r="AQ586" s="3582"/>
      <c r="AR586" s="3576"/>
      <c r="AS586" s="3576"/>
      <c r="AT586" s="3576"/>
      <c r="AU586" s="3576"/>
      <c r="AV586" s="3563"/>
    </row>
    <row r="587" s="3565" customFormat="1" spans="1:48">
      <c r="A587" s="3575"/>
      <c r="B587" s="3576"/>
      <c r="C587" s="3576"/>
      <c r="D587" s="3563"/>
      <c r="E587" s="3563"/>
      <c r="F587" s="3576"/>
      <c r="G587" s="3576"/>
      <c r="H587" s="3563"/>
      <c r="I587" s="3563"/>
      <c r="J587" s="3563"/>
      <c r="K587" s="3563"/>
      <c r="L587" s="3563"/>
      <c r="M587" s="3563"/>
      <c r="N587" s="3577"/>
      <c r="O587" s="3563"/>
      <c r="P587" s="3576"/>
      <c r="Q587" s="3578"/>
      <c r="R587" s="3563"/>
      <c r="S587" s="3563"/>
      <c r="T587" s="4014"/>
      <c r="U587" s="3563"/>
      <c r="V587" s="3563"/>
      <c r="W587" s="3578"/>
      <c r="X587" s="3578"/>
      <c r="Y587" s="3578"/>
      <c r="Z587" s="3578"/>
      <c r="AA587" s="3578"/>
      <c r="AB587" s="3563"/>
      <c r="AC587" s="3578"/>
      <c r="AD587" s="3578"/>
      <c r="AE587" s="3578"/>
      <c r="AF587" s="3578"/>
      <c r="AG587" s="3576"/>
      <c r="AH587" s="3576"/>
      <c r="AI587" s="3580"/>
      <c r="AJ587" s="3581"/>
      <c r="AK587" s="3582"/>
      <c r="AL587" s="3582"/>
      <c r="AM587" s="3582"/>
      <c r="AN587" s="3582"/>
      <c r="AO587" s="3582"/>
      <c r="AP587" s="3582"/>
      <c r="AQ587" s="3582"/>
      <c r="AR587" s="3576"/>
      <c r="AS587" s="3576"/>
      <c r="AT587" s="3576"/>
      <c r="AU587" s="3576"/>
      <c r="AV587" s="3563"/>
    </row>
    <row r="588" s="3565" customFormat="1" spans="1:48">
      <c r="A588" s="3575"/>
      <c r="B588" s="3576"/>
      <c r="C588" s="3576"/>
      <c r="D588" s="3563"/>
      <c r="E588" s="3563"/>
      <c r="F588" s="3576"/>
      <c r="G588" s="3576"/>
      <c r="H588" s="3563"/>
      <c r="I588" s="3563"/>
      <c r="J588" s="3563"/>
      <c r="K588" s="3563"/>
      <c r="L588" s="3563"/>
      <c r="M588" s="3563"/>
      <c r="N588" s="3577"/>
      <c r="O588" s="3563"/>
      <c r="P588" s="3576"/>
      <c r="Q588" s="3578"/>
      <c r="R588" s="3563"/>
      <c r="S588" s="3563"/>
      <c r="T588" s="4014"/>
      <c r="U588" s="3563"/>
      <c r="V588" s="3563"/>
      <c r="W588" s="3578"/>
      <c r="X588" s="3578"/>
      <c r="Y588" s="3578"/>
      <c r="Z588" s="3578"/>
      <c r="AA588" s="3578"/>
      <c r="AB588" s="3563"/>
      <c r="AC588" s="3578"/>
      <c r="AD588" s="3578"/>
      <c r="AE588" s="3578"/>
      <c r="AF588" s="3578"/>
      <c r="AG588" s="3576"/>
      <c r="AH588" s="3576"/>
      <c r="AI588" s="3580"/>
      <c r="AJ588" s="3581"/>
      <c r="AK588" s="3582"/>
      <c r="AL588" s="3582"/>
      <c r="AM588" s="3582"/>
      <c r="AN588" s="3582"/>
      <c r="AO588" s="3582"/>
      <c r="AP588" s="3582"/>
      <c r="AQ588" s="3582"/>
      <c r="AR588" s="3576"/>
      <c r="AS588" s="3576"/>
      <c r="AT588" s="3576"/>
      <c r="AU588" s="3576"/>
      <c r="AV588" s="3563"/>
    </row>
    <row r="589" s="3565" customFormat="1" spans="1:48">
      <c r="A589" s="3575"/>
      <c r="B589" s="3576"/>
      <c r="C589" s="3576"/>
      <c r="D589" s="3563"/>
      <c r="E589" s="3563"/>
      <c r="F589" s="3576"/>
      <c r="G589" s="3576"/>
      <c r="H589" s="3563"/>
      <c r="I589" s="3563"/>
      <c r="J589" s="3563"/>
      <c r="K589" s="3563"/>
      <c r="L589" s="3563"/>
      <c r="M589" s="3563"/>
      <c r="N589" s="3577"/>
      <c r="O589" s="3563"/>
      <c r="P589" s="3576"/>
      <c r="Q589" s="3578"/>
      <c r="R589" s="3563"/>
      <c r="S589" s="3563"/>
      <c r="T589" s="4014"/>
      <c r="U589" s="3563"/>
      <c r="V589" s="3563"/>
      <c r="W589" s="3578"/>
      <c r="X589" s="3578"/>
      <c r="Y589" s="3578"/>
      <c r="Z589" s="3578"/>
      <c r="AA589" s="3578"/>
      <c r="AB589" s="3563"/>
      <c r="AC589" s="3578"/>
      <c r="AD589" s="3578"/>
      <c r="AE589" s="3578"/>
      <c r="AF589" s="3578"/>
      <c r="AG589" s="3576"/>
      <c r="AH589" s="3576"/>
      <c r="AI589" s="3580"/>
      <c r="AJ589" s="3581"/>
      <c r="AK589" s="3582"/>
      <c r="AL589" s="3582"/>
      <c r="AM589" s="3582"/>
      <c r="AN589" s="3582"/>
      <c r="AO589" s="3582"/>
      <c r="AP589" s="3582"/>
      <c r="AQ589" s="3582"/>
      <c r="AR589" s="3576"/>
      <c r="AS589" s="3576"/>
      <c r="AT589" s="3576"/>
      <c r="AU589" s="3576"/>
      <c r="AV589" s="3563"/>
    </row>
    <row r="590" s="3565" customFormat="1" spans="1:48">
      <c r="A590" s="3575"/>
      <c r="B590" s="3576"/>
      <c r="C590" s="3576"/>
      <c r="D590" s="3563"/>
      <c r="E590" s="3563"/>
      <c r="F590" s="3576"/>
      <c r="G590" s="3576"/>
      <c r="H590" s="3563"/>
      <c r="I590" s="3563"/>
      <c r="J590" s="3563"/>
      <c r="K590" s="3563"/>
      <c r="L590" s="3563"/>
      <c r="M590" s="3563"/>
      <c r="N590" s="3577"/>
      <c r="O590" s="3563"/>
      <c r="P590" s="3576"/>
      <c r="Q590" s="3578"/>
      <c r="R590" s="3563"/>
      <c r="S590" s="3563"/>
      <c r="T590" s="4014"/>
      <c r="U590" s="3563"/>
      <c r="V590" s="3563"/>
      <c r="W590" s="3578"/>
      <c r="X590" s="3578"/>
      <c r="Y590" s="3578"/>
      <c r="Z590" s="3578"/>
      <c r="AA590" s="3578"/>
      <c r="AB590" s="3563"/>
      <c r="AC590" s="3578"/>
      <c r="AD590" s="3578"/>
      <c r="AE590" s="3578"/>
      <c r="AF590" s="3578"/>
      <c r="AG590" s="3576"/>
      <c r="AH590" s="3576"/>
      <c r="AI590" s="3580"/>
      <c r="AJ590" s="3581"/>
      <c r="AK590" s="3582"/>
      <c r="AL590" s="3582"/>
      <c r="AM590" s="3582"/>
      <c r="AN590" s="3582"/>
      <c r="AO590" s="3582"/>
      <c r="AP590" s="3582"/>
      <c r="AQ590" s="3582"/>
      <c r="AR590" s="3576"/>
      <c r="AS590" s="3576"/>
      <c r="AT590" s="3576"/>
      <c r="AU590" s="3576"/>
      <c r="AV590" s="3563"/>
    </row>
    <row r="591" s="3565" customFormat="1" spans="1:48">
      <c r="A591" s="3575"/>
      <c r="B591" s="3576"/>
      <c r="C591" s="3576"/>
      <c r="D591" s="3563"/>
      <c r="E591" s="3563"/>
      <c r="F591" s="3576"/>
      <c r="G591" s="3576"/>
      <c r="H591" s="3563"/>
      <c r="I591" s="3563"/>
      <c r="J591" s="3563"/>
      <c r="K591" s="3563"/>
      <c r="L591" s="3563"/>
      <c r="M591" s="3563"/>
      <c r="N591" s="3577"/>
      <c r="O591" s="3563"/>
      <c r="P591" s="3576"/>
      <c r="Q591" s="3578"/>
      <c r="R591" s="3563"/>
      <c r="S591" s="3563"/>
      <c r="T591" s="4014"/>
      <c r="U591" s="3563"/>
      <c r="V591" s="3563"/>
      <c r="W591" s="3578"/>
      <c r="X591" s="3578"/>
      <c r="Y591" s="3578"/>
      <c r="Z591" s="3578"/>
      <c r="AA591" s="3578"/>
      <c r="AB591" s="3563"/>
      <c r="AC591" s="3578"/>
      <c r="AD591" s="3578"/>
      <c r="AE591" s="3578"/>
      <c r="AF591" s="3578"/>
      <c r="AG591" s="3576"/>
      <c r="AH591" s="3576"/>
      <c r="AI591" s="3580"/>
      <c r="AJ591" s="3581"/>
      <c r="AK591" s="3582"/>
      <c r="AL591" s="3582"/>
      <c r="AM591" s="3582"/>
      <c r="AN591" s="3582"/>
      <c r="AO591" s="3582"/>
      <c r="AP591" s="3582"/>
      <c r="AQ591" s="3582"/>
      <c r="AR591" s="3576"/>
      <c r="AS591" s="3576"/>
      <c r="AT591" s="3576"/>
      <c r="AU591" s="3576"/>
      <c r="AV591" s="3563"/>
    </row>
    <row r="592" s="3565" customFormat="1" spans="1:48">
      <c r="A592" s="3575"/>
      <c r="B592" s="3576"/>
      <c r="C592" s="3576"/>
      <c r="D592" s="3563"/>
      <c r="E592" s="3563"/>
      <c r="F592" s="3576"/>
      <c r="G592" s="3576"/>
      <c r="H592" s="3563"/>
      <c r="I592" s="3563"/>
      <c r="J592" s="3563"/>
      <c r="K592" s="3563"/>
      <c r="L592" s="3563"/>
      <c r="M592" s="3563"/>
      <c r="N592" s="3577"/>
      <c r="O592" s="3563"/>
      <c r="P592" s="3576"/>
      <c r="Q592" s="3578"/>
      <c r="R592" s="3563"/>
      <c r="S592" s="3563"/>
      <c r="T592" s="4014"/>
      <c r="U592" s="3563"/>
      <c r="V592" s="3563"/>
      <c r="W592" s="3578"/>
      <c r="X592" s="3578"/>
      <c r="Y592" s="3578"/>
      <c r="Z592" s="3578"/>
      <c r="AA592" s="3578"/>
      <c r="AB592" s="3563"/>
      <c r="AC592" s="3578"/>
      <c r="AD592" s="3578"/>
      <c r="AE592" s="3578"/>
      <c r="AF592" s="3578"/>
      <c r="AG592" s="3576"/>
      <c r="AH592" s="3576"/>
      <c r="AI592" s="3580"/>
      <c r="AJ592" s="3581"/>
      <c r="AK592" s="3582"/>
      <c r="AL592" s="3582"/>
      <c r="AM592" s="3582"/>
      <c r="AN592" s="3582"/>
      <c r="AO592" s="3582"/>
      <c r="AP592" s="3582"/>
      <c r="AQ592" s="3582"/>
      <c r="AR592" s="3576"/>
      <c r="AS592" s="3576"/>
      <c r="AT592" s="3576"/>
      <c r="AU592" s="3576"/>
      <c r="AV592" s="3563"/>
    </row>
    <row r="593" s="3565" customFormat="1" spans="1:48">
      <c r="A593" s="3575"/>
      <c r="B593" s="3576"/>
      <c r="C593" s="3576"/>
      <c r="D593" s="3563"/>
      <c r="E593" s="3563"/>
      <c r="F593" s="3576"/>
      <c r="G593" s="3576"/>
      <c r="H593" s="3563"/>
      <c r="I593" s="3563"/>
      <c r="J593" s="3563"/>
      <c r="K593" s="3563"/>
      <c r="L593" s="3563"/>
      <c r="M593" s="3563"/>
      <c r="N593" s="3577"/>
      <c r="O593" s="3563"/>
      <c r="P593" s="3576"/>
      <c r="Q593" s="3578"/>
      <c r="R593" s="3563"/>
      <c r="S593" s="3563"/>
      <c r="T593" s="4014"/>
      <c r="U593" s="3563"/>
      <c r="V593" s="3563"/>
      <c r="W593" s="3578"/>
      <c r="X593" s="3578"/>
      <c r="Y593" s="3578"/>
      <c r="Z593" s="3578"/>
      <c r="AA593" s="3578"/>
      <c r="AB593" s="3563"/>
      <c r="AC593" s="3578"/>
      <c r="AD593" s="3578"/>
      <c r="AE593" s="3578"/>
      <c r="AF593" s="3578"/>
      <c r="AG593" s="3576"/>
      <c r="AH593" s="3576"/>
      <c r="AI593" s="3580"/>
      <c r="AJ593" s="3581"/>
      <c r="AK593" s="3582"/>
      <c r="AL593" s="3582"/>
      <c r="AM593" s="3582"/>
      <c r="AN593" s="3582"/>
      <c r="AO593" s="3582"/>
      <c r="AP593" s="3582"/>
      <c r="AQ593" s="3582"/>
      <c r="AR593" s="3576"/>
      <c r="AS593" s="3576"/>
      <c r="AT593" s="3576"/>
      <c r="AU593" s="3576"/>
      <c r="AV593" s="3563"/>
    </row>
    <row r="594" s="3565" customFormat="1" spans="1:48">
      <c r="A594" s="3575"/>
      <c r="B594" s="3576"/>
      <c r="C594" s="3576"/>
      <c r="D594" s="3563"/>
      <c r="E594" s="3563"/>
      <c r="F594" s="3576"/>
      <c r="G594" s="3576"/>
      <c r="H594" s="3563"/>
      <c r="I594" s="3563"/>
      <c r="J594" s="3563"/>
      <c r="K594" s="3563"/>
      <c r="L594" s="3563"/>
      <c r="M594" s="3563"/>
      <c r="N594" s="3577"/>
      <c r="O594" s="3563"/>
      <c r="P594" s="3576"/>
      <c r="Q594" s="3578"/>
      <c r="R594" s="3563"/>
      <c r="S594" s="3563"/>
      <c r="T594" s="4014"/>
      <c r="U594" s="3563"/>
      <c r="V594" s="3563"/>
      <c r="W594" s="3578"/>
      <c r="X594" s="3578"/>
      <c r="Y594" s="3578"/>
      <c r="Z594" s="3578"/>
      <c r="AA594" s="3578"/>
      <c r="AB594" s="3563"/>
      <c r="AC594" s="3578"/>
      <c r="AD594" s="3578"/>
      <c r="AE594" s="3578"/>
      <c r="AF594" s="3578"/>
      <c r="AG594" s="3576"/>
      <c r="AH594" s="3576"/>
      <c r="AI594" s="3580"/>
      <c r="AJ594" s="3581"/>
      <c r="AK594" s="3582"/>
      <c r="AL594" s="3582"/>
      <c r="AM594" s="3582"/>
      <c r="AN594" s="3582"/>
      <c r="AO594" s="3582"/>
      <c r="AP594" s="3582"/>
      <c r="AQ594" s="3582"/>
      <c r="AR594" s="3576"/>
      <c r="AS594" s="3576"/>
      <c r="AT594" s="3576"/>
      <c r="AU594" s="3576"/>
      <c r="AV594" s="3563"/>
    </row>
    <row r="595" s="3565" customFormat="1" spans="1:48">
      <c r="A595" s="3575"/>
      <c r="B595" s="3576"/>
      <c r="C595" s="3576"/>
      <c r="D595" s="3563"/>
      <c r="E595" s="3563"/>
      <c r="F595" s="3576"/>
      <c r="G595" s="3576"/>
      <c r="H595" s="3563"/>
      <c r="I595" s="3563"/>
      <c r="J595" s="3563"/>
      <c r="K595" s="3563"/>
      <c r="L595" s="3563"/>
      <c r="M595" s="3563"/>
      <c r="N595" s="3577"/>
      <c r="O595" s="3563"/>
      <c r="P595" s="3576"/>
      <c r="Q595" s="3578"/>
      <c r="R595" s="3563"/>
      <c r="S595" s="3563"/>
      <c r="T595" s="4014"/>
      <c r="U595" s="3563"/>
      <c r="V595" s="3563"/>
      <c r="W595" s="3578"/>
      <c r="X595" s="3578"/>
      <c r="Y595" s="3578"/>
      <c r="Z595" s="3578"/>
      <c r="AA595" s="3578"/>
      <c r="AB595" s="3563"/>
      <c r="AC595" s="3578"/>
      <c r="AD595" s="3578"/>
      <c r="AE595" s="3578"/>
      <c r="AF595" s="3578"/>
      <c r="AG595" s="3576"/>
      <c r="AH595" s="3576"/>
      <c r="AI595" s="3580"/>
      <c r="AJ595" s="3581"/>
      <c r="AK595" s="3582"/>
      <c r="AL595" s="3582"/>
      <c r="AM595" s="3582"/>
      <c r="AN595" s="3582"/>
      <c r="AO595" s="3582"/>
      <c r="AP595" s="3582"/>
      <c r="AQ595" s="3582"/>
      <c r="AR595" s="3576"/>
      <c r="AS595" s="3576"/>
      <c r="AT595" s="3576"/>
      <c r="AU595" s="3576"/>
      <c r="AV595" s="3563"/>
    </row>
    <row r="596" s="3565" customFormat="1" spans="1:48">
      <c r="A596" s="3575"/>
      <c r="B596" s="3576"/>
      <c r="C596" s="3576"/>
      <c r="D596" s="3563"/>
      <c r="E596" s="3563"/>
      <c r="F596" s="3576"/>
      <c r="G596" s="3576"/>
      <c r="H596" s="3563"/>
      <c r="I596" s="3563"/>
      <c r="J596" s="3563"/>
      <c r="K596" s="3563"/>
      <c r="L596" s="3563"/>
      <c r="M596" s="3563"/>
      <c r="N596" s="3577"/>
      <c r="O596" s="3563"/>
      <c r="P596" s="3576"/>
      <c r="Q596" s="3578"/>
      <c r="R596" s="3563"/>
      <c r="S596" s="3563"/>
      <c r="T596" s="4014"/>
      <c r="U596" s="3563"/>
      <c r="V596" s="3563"/>
      <c r="W596" s="3578"/>
      <c r="X596" s="3578"/>
      <c r="Y596" s="3578"/>
      <c r="Z596" s="3578"/>
      <c r="AA596" s="3578"/>
      <c r="AB596" s="3563"/>
      <c r="AC596" s="3578"/>
      <c r="AD596" s="3578"/>
      <c r="AE596" s="3578"/>
      <c r="AF596" s="3578"/>
      <c r="AG596" s="3576"/>
      <c r="AH596" s="3576"/>
      <c r="AI596" s="3580"/>
      <c r="AJ596" s="3581"/>
      <c r="AK596" s="3582"/>
      <c r="AL596" s="3582"/>
      <c r="AM596" s="3582"/>
      <c r="AN596" s="3582"/>
      <c r="AO596" s="3582"/>
      <c r="AP596" s="3582"/>
      <c r="AQ596" s="3582"/>
      <c r="AR596" s="3576"/>
      <c r="AS596" s="3576"/>
      <c r="AT596" s="3576"/>
      <c r="AU596" s="3576"/>
      <c r="AV596" s="3563"/>
    </row>
    <row r="597" s="3565" customFormat="1" spans="1:48">
      <c r="A597" s="3575"/>
      <c r="B597" s="3576"/>
      <c r="C597" s="3576"/>
      <c r="D597" s="3563"/>
      <c r="E597" s="3563"/>
      <c r="F597" s="3576"/>
      <c r="G597" s="3576"/>
      <c r="H597" s="3563"/>
      <c r="I597" s="3563"/>
      <c r="J597" s="3563"/>
      <c r="K597" s="3563"/>
      <c r="L597" s="3563"/>
      <c r="M597" s="3563"/>
      <c r="N597" s="3577"/>
      <c r="O597" s="3563"/>
      <c r="P597" s="3576"/>
      <c r="Q597" s="3578"/>
      <c r="R597" s="3563"/>
      <c r="S597" s="3563"/>
      <c r="T597" s="4014"/>
      <c r="U597" s="3563"/>
      <c r="V597" s="3563"/>
      <c r="W597" s="3578"/>
      <c r="X597" s="3578"/>
      <c r="Y597" s="3578"/>
      <c r="Z597" s="3578"/>
      <c r="AA597" s="3578"/>
      <c r="AB597" s="3563"/>
      <c r="AC597" s="3578"/>
      <c r="AD597" s="3578"/>
      <c r="AE597" s="3578"/>
      <c r="AF597" s="3578"/>
      <c r="AG597" s="3576"/>
      <c r="AH597" s="3576"/>
      <c r="AI597" s="3580"/>
      <c r="AJ597" s="3581"/>
      <c r="AK597" s="3582"/>
      <c r="AL597" s="3582"/>
      <c r="AM597" s="3582"/>
      <c r="AN597" s="3582"/>
      <c r="AO597" s="3582"/>
      <c r="AP597" s="3582"/>
      <c r="AQ597" s="3582"/>
      <c r="AR597" s="3576"/>
      <c r="AS597" s="3576"/>
      <c r="AT597" s="3576"/>
      <c r="AU597" s="3576"/>
      <c r="AV597" s="3563"/>
    </row>
    <row r="598" s="3565" customFormat="1" spans="1:48">
      <c r="A598" s="3575"/>
      <c r="B598" s="3576"/>
      <c r="C598" s="3576"/>
      <c r="D598" s="3563"/>
      <c r="E598" s="3563"/>
      <c r="F598" s="3576"/>
      <c r="G598" s="3576"/>
      <c r="H598" s="3563"/>
      <c r="I598" s="3563"/>
      <c r="J598" s="3563"/>
      <c r="K598" s="3563"/>
      <c r="L598" s="3563"/>
      <c r="M598" s="3563"/>
      <c r="N598" s="3577"/>
      <c r="O598" s="3563"/>
      <c r="P598" s="3576"/>
      <c r="Q598" s="3578"/>
      <c r="R598" s="3563"/>
      <c r="S598" s="3563"/>
      <c r="T598" s="4014"/>
      <c r="U598" s="3563"/>
      <c r="V598" s="3563"/>
      <c r="W598" s="3578"/>
      <c r="X598" s="3578"/>
      <c r="Y598" s="3578"/>
      <c r="Z598" s="3578"/>
      <c r="AA598" s="3578"/>
      <c r="AB598" s="3563"/>
      <c r="AC598" s="3578"/>
      <c r="AD598" s="3578"/>
      <c r="AE598" s="3578"/>
      <c r="AF598" s="3578"/>
      <c r="AG598" s="3576"/>
      <c r="AH598" s="3576"/>
      <c r="AI598" s="3580"/>
      <c r="AJ598" s="3581"/>
      <c r="AK598" s="3582"/>
      <c r="AL598" s="3582"/>
      <c r="AM598" s="3582"/>
      <c r="AN598" s="3582"/>
      <c r="AO598" s="3582"/>
      <c r="AP598" s="3582"/>
      <c r="AQ598" s="3582"/>
      <c r="AR598" s="3576"/>
      <c r="AS598" s="3576"/>
      <c r="AT598" s="3576"/>
      <c r="AU598" s="3576"/>
      <c r="AV598" s="3563"/>
    </row>
    <row r="599" s="3565" customFormat="1" spans="1:48">
      <c r="A599" s="3575"/>
      <c r="B599" s="3576"/>
      <c r="C599" s="3576"/>
      <c r="D599" s="3563"/>
      <c r="E599" s="3563"/>
      <c r="F599" s="3576"/>
      <c r="G599" s="3576"/>
      <c r="H599" s="3563"/>
      <c r="I599" s="3563"/>
      <c r="J599" s="3563"/>
      <c r="K599" s="3563"/>
      <c r="L599" s="3563"/>
      <c r="M599" s="3563"/>
      <c r="N599" s="3577"/>
      <c r="O599" s="3563"/>
      <c r="P599" s="3576"/>
      <c r="Q599" s="3578"/>
      <c r="R599" s="3563"/>
      <c r="S599" s="3563"/>
      <c r="T599" s="4014"/>
      <c r="U599" s="3563"/>
      <c r="V599" s="3563"/>
      <c r="W599" s="3578"/>
      <c r="X599" s="3578"/>
      <c r="Y599" s="3578"/>
      <c r="Z599" s="3578"/>
      <c r="AA599" s="3578"/>
      <c r="AB599" s="3563"/>
      <c r="AC599" s="3578"/>
      <c r="AD599" s="3578"/>
      <c r="AE599" s="3578"/>
      <c r="AF599" s="3578"/>
      <c r="AG599" s="3576"/>
      <c r="AH599" s="3576"/>
      <c r="AI599" s="3580"/>
      <c r="AJ599" s="3581"/>
      <c r="AK599" s="3582"/>
      <c r="AL599" s="3582"/>
      <c r="AM599" s="3582"/>
      <c r="AN599" s="3582"/>
      <c r="AO599" s="3582"/>
      <c r="AP599" s="3582"/>
      <c r="AQ599" s="3582"/>
      <c r="AR599" s="3576"/>
      <c r="AS599" s="3576"/>
      <c r="AT599" s="3576"/>
      <c r="AU599" s="3576"/>
      <c r="AV599" s="3563"/>
    </row>
    <row r="600" s="3565" customFormat="1" spans="1:48">
      <c r="A600" s="3575"/>
      <c r="B600" s="3576"/>
      <c r="C600" s="3576"/>
      <c r="D600" s="3563"/>
      <c r="E600" s="3563"/>
      <c r="F600" s="3576"/>
      <c r="G600" s="3576"/>
      <c r="H600" s="3563"/>
      <c r="I600" s="3563"/>
      <c r="J600" s="3563"/>
      <c r="K600" s="3563"/>
      <c r="L600" s="3563"/>
      <c r="M600" s="3563"/>
      <c r="N600" s="3577"/>
      <c r="O600" s="3563"/>
      <c r="P600" s="3576"/>
      <c r="Q600" s="3578"/>
      <c r="R600" s="3563"/>
      <c r="S600" s="3563"/>
      <c r="T600" s="4014"/>
      <c r="U600" s="3563"/>
      <c r="V600" s="3563"/>
      <c r="W600" s="3578"/>
      <c r="X600" s="3578"/>
      <c r="Y600" s="3578"/>
      <c r="Z600" s="3578"/>
      <c r="AA600" s="3578"/>
      <c r="AB600" s="3563"/>
      <c r="AC600" s="3578"/>
      <c r="AD600" s="3578"/>
      <c r="AE600" s="3578"/>
      <c r="AF600" s="3578"/>
      <c r="AG600" s="3576"/>
      <c r="AH600" s="3576"/>
      <c r="AI600" s="3580"/>
      <c r="AJ600" s="3581"/>
      <c r="AK600" s="3582"/>
      <c r="AL600" s="3582"/>
      <c r="AM600" s="3582"/>
      <c r="AN600" s="3582"/>
      <c r="AO600" s="3582"/>
      <c r="AP600" s="3582"/>
      <c r="AQ600" s="3582"/>
      <c r="AR600" s="3576"/>
      <c r="AS600" s="3576"/>
      <c r="AT600" s="3576"/>
      <c r="AU600" s="3576"/>
      <c r="AV600" s="3563"/>
    </row>
    <row r="601" s="3565" customFormat="1" spans="1:48">
      <c r="A601" s="3575"/>
      <c r="B601" s="3576"/>
      <c r="C601" s="3576"/>
      <c r="D601" s="3563"/>
      <c r="E601" s="3563"/>
      <c r="F601" s="3576"/>
      <c r="G601" s="3576"/>
      <c r="H601" s="3563"/>
      <c r="I601" s="3563"/>
      <c r="J601" s="3563"/>
      <c r="K601" s="3563"/>
      <c r="L601" s="3563"/>
      <c r="M601" s="3563"/>
      <c r="N601" s="3577"/>
      <c r="O601" s="3563"/>
      <c r="P601" s="3576"/>
      <c r="Q601" s="3578"/>
      <c r="R601" s="3563"/>
      <c r="S601" s="3563"/>
      <c r="T601" s="4014"/>
      <c r="U601" s="3563"/>
      <c r="V601" s="3563"/>
      <c r="W601" s="3578"/>
      <c r="X601" s="3578"/>
      <c r="Y601" s="3578"/>
      <c r="Z601" s="3578"/>
      <c r="AA601" s="3578"/>
      <c r="AB601" s="3563"/>
      <c r="AC601" s="3578"/>
      <c r="AD601" s="3578"/>
      <c r="AE601" s="3578"/>
      <c r="AF601" s="3578"/>
      <c r="AG601" s="3576"/>
      <c r="AH601" s="3576"/>
      <c r="AI601" s="3580"/>
      <c r="AJ601" s="3581"/>
      <c r="AK601" s="3582"/>
      <c r="AL601" s="3582"/>
      <c r="AM601" s="3582"/>
      <c r="AN601" s="3582"/>
      <c r="AO601" s="3582"/>
      <c r="AP601" s="3582"/>
      <c r="AQ601" s="3582"/>
      <c r="AR601" s="3576"/>
      <c r="AS601" s="3576"/>
      <c r="AT601" s="3576"/>
      <c r="AU601" s="3576"/>
      <c r="AV601" s="3563"/>
    </row>
    <row r="602" s="3565" customFormat="1" spans="1:48">
      <c r="A602" s="3575"/>
      <c r="B602" s="3576"/>
      <c r="C602" s="3576"/>
      <c r="D602" s="3563"/>
      <c r="E602" s="3563"/>
      <c r="F602" s="3576"/>
      <c r="G602" s="3576"/>
      <c r="H602" s="3563"/>
      <c r="I602" s="3563"/>
      <c r="J602" s="3563"/>
      <c r="K602" s="3563"/>
      <c r="L602" s="3563"/>
      <c r="M602" s="3563"/>
      <c r="N602" s="3577"/>
      <c r="O602" s="3563"/>
      <c r="P602" s="3576"/>
      <c r="Q602" s="3578"/>
      <c r="R602" s="3563"/>
      <c r="S602" s="3563"/>
      <c r="T602" s="4014"/>
      <c r="U602" s="3563"/>
      <c r="V602" s="3563"/>
      <c r="W602" s="3578"/>
      <c r="X602" s="3578"/>
      <c r="Y602" s="3578"/>
      <c r="Z602" s="3578"/>
      <c r="AA602" s="3578"/>
      <c r="AB602" s="3563"/>
      <c r="AC602" s="3578"/>
      <c r="AD602" s="3578"/>
      <c r="AE602" s="3578"/>
      <c r="AF602" s="3578"/>
      <c r="AG602" s="3576"/>
      <c r="AH602" s="3576"/>
      <c r="AI602" s="3580"/>
      <c r="AJ602" s="3581"/>
      <c r="AK602" s="3582"/>
      <c r="AL602" s="3582"/>
      <c r="AM602" s="3582"/>
      <c r="AN602" s="3582"/>
      <c r="AO602" s="3582"/>
      <c r="AP602" s="3582"/>
      <c r="AQ602" s="3582"/>
      <c r="AR602" s="3576"/>
      <c r="AS602" s="3576"/>
      <c r="AT602" s="3576"/>
      <c r="AU602" s="3576"/>
      <c r="AV602" s="3563"/>
    </row>
    <row r="603" s="3565" customFormat="1" spans="1:48">
      <c r="A603" s="3575"/>
      <c r="B603" s="3576"/>
      <c r="C603" s="3576"/>
      <c r="D603" s="3563"/>
      <c r="E603" s="3563"/>
      <c r="F603" s="3576"/>
      <c r="G603" s="3576"/>
      <c r="H603" s="3563"/>
      <c r="I603" s="3563"/>
      <c r="J603" s="3563"/>
      <c r="K603" s="3563"/>
      <c r="L603" s="3563"/>
      <c r="M603" s="3563"/>
      <c r="N603" s="3577"/>
      <c r="O603" s="3563"/>
      <c r="P603" s="3576"/>
      <c r="Q603" s="3578"/>
      <c r="R603" s="3563"/>
      <c r="S603" s="3563"/>
      <c r="T603" s="4014"/>
      <c r="U603" s="3563"/>
      <c r="V603" s="3563"/>
      <c r="W603" s="3578"/>
      <c r="X603" s="3578"/>
      <c r="Y603" s="3578"/>
      <c r="Z603" s="3578"/>
      <c r="AA603" s="3578"/>
      <c r="AB603" s="3563"/>
      <c r="AC603" s="3578"/>
      <c r="AD603" s="3578"/>
      <c r="AE603" s="3578"/>
      <c r="AF603" s="3578"/>
      <c r="AG603" s="3576"/>
      <c r="AH603" s="3576"/>
      <c r="AI603" s="3580"/>
      <c r="AJ603" s="3581"/>
      <c r="AK603" s="3582"/>
      <c r="AL603" s="3582"/>
      <c r="AM603" s="3582"/>
      <c r="AN603" s="3582"/>
      <c r="AO603" s="3582"/>
      <c r="AP603" s="3582"/>
      <c r="AQ603" s="3582"/>
      <c r="AR603" s="3576"/>
      <c r="AS603" s="3576"/>
      <c r="AT603" s="3576"/>
      <c r="AU603" s="3576"/>
      <c r="AV603" s="3563"/>
    </row>
    <row r="604" s="3565" customFormat="1" spans="1:48">
      <c r="A604" s="3575"/>
      <c r="B604" s="3576"/>
      <c r="C604" s="3576"/>
      <c r="D604" s="3563"/>
      <c r="E604" s="3563"/>
      <c r="F604" s="3576"/>
      <c r="G604" s="3576"/>
      <c r="H604" s="3563"/>
      <c r="I604" s="3563"/>
      <c r="J604" s="3563"/>
      <c r="K604" s="3563"/>
      <c r="L604" s="3563"/>
      <c r="M604" s="3563"/>
      <c r="N604" s="3577"/>
      <c r="O604" s="3563"/>
      <c r="P604" s="3576"/>
      <c r="Q604" s="3578"/>
      <c r="R604" s="3563"/>
      <c r="S604" s="3563"/>
      <c r="T604" s="4014"/>
      <c r="U604" s="3563"/>
      <c r="V604" s="3563"/>
      <c r="W604" s="3578"/>
      <c r="X604" s="3578"/>
      <c r="Y604" s="3578"/>
      <c r="Z604" s="3578"/>
      <c r="AA604" s="3578"/>
      <c r="AB604" s="3563"/>
      <c r="AC604" s="3578"/>
      <c r="AD604" s="3578"/>
      <c r="AE604" s="3578"/>
      <c r="AF604" s="3578"/>
      <c r="AG604" s="3576"/>
      <c r="AH604" s="3576"/>
      <c r="AI604" s="3580"/>
      <c r="AJ604" s="3581"/>
      <c r="AK604" s="3582"/>
      <c r="AL604" s="3582"/>
      <c r="AM604" s="3582"/>
      <c r="AN604" s="3582"/>
      <c r="AO604" s="3582"/>
      <c r="AP604" s="3582"/>
      <c r="AQ604" s="3582"/>
      <c r="AR604" s="3576"/>
      <c r="AS604" s="3576"/>
      <c r="AT604" s="3576"/>
      <c r="AU604" s="3576"/>
      <c r="AV604" s="3563"/>
    </row>
    <row r="605" s="3565" customFormat="1" spans="1:48">
      <c r="A605" s="3575"/>
      <c r="B605" s="3576"/>
      <c r="C605" s="3576"/>
      <c r="D605" s="3563"/>
      <c r="E605" s="3563"/>
      <c r="F605" s="3576"/>
      <c r="G605" s="3576"/>
      <c r="H605" s="3563"/>
      <c r="I605" s="3563"/>
      <c r="J605" s="3563"/>
      <c r="K605" s="3563"/>
      <c r="L605" s="3563"/>
      <c r="M605" s="3563"/>
      <c r="N605" s="3577"/>
      <c r="O605" s="3563"/>
      <c r="P605" s="3576"/>
      <c r="Q605" s="3578"/>
      <c r="R605" s="3563"/>
      <c r="S605" s="3563"/>
      <c r="T605" s="4014"/>
      <c r="U605" s="3563"/>
      <c r="V605" s="3563"/>
      <c r="W605" s="3578"/>
      <c r="X605" s="3578"/>
      <c r="Y605" s="3578"/>
      <c r="Z605" s="3578"/>
      <c r="AA605" s="3578"/>
      <c r="AB605" s="3563"/>
      <c r="AC605" s="3578"/>
      <c r="AD605" s="3578"/>
      <c r="AE605" s="3578"/>
      <c r="AF605" s="3578"/>
      <c r="AG605" s="3576"/>
      <c r="AH605" s="3576"/>
      <c r="AI605" s="3580"/>
      <c r="AJ605" s="3581"/>
      <c r="AK605" s="3582"/>
      <c r="AL605" s="3582"/>
      <c r="AM605" s="3582"/>
      <c r="AN605" s="3582"/>
      <c r="AO605" s="3582"/>
      <c r="AP605" s="3582"/>
      <c r="AQ605" s="3582"/>
      <c r="AR605" s="3576"/>
      <c r="AS605" s="3576"/>
      <c r="AT605" s="3576"/>
      <c r="AU605" s="3576"/>
      <c r="AV605" s="3563"/>
    </row>
    <row r="606" s="3565" customFormat="1" spans="1:48">
      <c r="A606" s="3575"/>
      <c r="B606" s="3576"/>
      <c r="C606" s="3576"/>
      <c r="D606" s="3563"/>
      <c r="E606" s="3563"/>
      <c r="F606" s="3576"/>
      <c r="G606" s="3576"/>
      <c r="H606" s="3563"/>
      <c r="I606" s="3563"/>
      <c r="J606" s="3563"/>
      <c r="K606" s="3563"/>
      <c r="L606" s="3563"/>
      <c r="M606" s="3563"/>
      <c r="N606" s="3577"/>
      <c r="O606" s="3563"/>
      <c r="P606" s="3576"/>
      <c r="Q606" s="3578"/>
      <c r="R606" s="3563"/>
      <c r="S606" s="3563"/>
      <c r="T606" s="4014"/>
      <c r="U606" s="3563"/>
      <c r="V606" s="3563"/>
      <c r="W606" s="3578"/>
      <c r="X606" s="3578"/>
      <c r="Y606" s="3578"/>
      <c r="Z606" s="3578"/>
      <c r="AA606" s="3578"/>
      <c r="AB606" s="3563"/>
      <c r="AC606" s="3578"/>
      <c r="AD606" s="3578"/>
      <c r="AE606" s="3578"/>
      <c r="AF606" s="3578"/>
      <c r="AG606" s="3576"/>
      <c r="AH606" s="3576"/>
      <c r="AI606" s="3580"/>
      <c r="AJ606" s="3581"/>
      <c r="AK606" s="3582"/>
      <c r="AL606" s="3582"/>
      <c r="AM606" s="3582"/>
      <c r="AN606" s="3582"/>
      <c r="AO606" s="3582"/>
      <c r="AP606" s="3582"/>
      <c r="AQ606" s="3582"/>
      <c r="AR606" s="3576"/>
      <c r="AS606" s="3576"/>
      <c r="AT606" s="3576"/>
      <c r="AU606" s="3576"/>
      <c r="AV606" s="3563"/>
    </row>
    <row r="607" s="3565" customFormat="1" spans="1:48">
      <c r="A607" s="3575"/>
      <c r="B607" s="3576"/>
      <c r="C607" s="3576"/>
      <c r="D607" s="3563"/>
      <c r="E607" s="3563"/>
      <c r="F607" s="3576"/>
      <c r="G607" s="3576"/>
      <c r="H607" s="3563"/>
      <c r="I607" s="3563"/>
      <c r="J607" s="3563"/>
      <c r="K607" s="3563"/>
      <c r="L607" s="3563"/>
      <c r="M607" s="3563"/>
      <c r="N607" s="3577"/>
      <c r="O607" s="3563"/>
      <c r="P607" s="3576"/>
      <c r="Q607" s="3578"/>
      <c r="R607" s="3563"/>
      <c r="S607" s="3563"/>
      <c r="T607" s="4014"/>
      <c r="U607" s="3563"/>
      <c r="V607" s="3563"/>
      <c r="W607" s="3578"/>
      <c r="X607" s="3578"/>
      <c r="Y607" s="3578"/>
      <c r="Z607" s="3578"/>
      <c r="AA607" s="3578"/>
      <c r="AB607" s="3563"/>
      <c r="AC607" s="3578"/>
      <c r="AD607" s="3578"/>
      <c r="AE607" s="3578"/>
      <c r="AF607" s="3578"/>
      <c r="AG607" s="3576"/>
      <c r="AH607" s="3576"/>
      <c r="AI607" s="3580"/>
      <c r="AJ607" s="3581"/>
      <c r="AK607" s="3582"/>
      <c r="AL607" s="3582"/>
      <c r="AM607" s="3582"/>
      <c r="AN607" s="3582"/>
      <c r="AO607" s="3582"/>
      <c r="AP607" s="3582"/>
      <c r="AQ607" s="3582"/>
      <c r="AR607" s="3576"/>
      <c r="AS607" s="3576"/>
      <c r="AT607" s="3576"/>
      <c r="AU607" s="3576"/>
      <c r="AV607" s="3563"/>
    </row>
    <row r="608" s="3565" customFormat="1" spans="1:48">
      <c r="A608" s="3575"/>
      <c r="B608" s="3576"/>
      <c r="C608" s="3576"/>
      <c r="D608" s="3563"/>
      <c r="E608" s="3563"/>
      <c r="F608" s="3576"/>
      <c r="G608" s="3576"/>
      <c r="H608" s="3563"/>
      <c r="I608" s="3563"/>
      <c r="J608" s="3563"/>
      <c r="K608" s="3563"/>
      <c r="L608" s="3563"/>
      <c r="M608" s="3563"/>
      <c r="N608" s="3577"/>
      <c r="O608" s="3563"/>
      <c r="P608" s="3576"/>
      <c r="Q608" s="3578"/>
      <c r="R608" s="3563"/>
      <c r="S608" s="3563"/>
      <c r="T608" s="4014"/>
      <c r="U608" s="3563"/>
      <c r="V608" s="3563"/>
      <c r="W608" s="3578"/>
      <c r="X608" s="3578"/>
      <c r="Y608" s="3578"/>
      <c r="Z608" s="3578"/>
      <c r="AA608" s="3578"/>
      <c r="AB608" s="3563"/>
      <c r="AC608" s="3578"/>
      <c r="AD608" s="3578"/>
      <c r="AE608" s="3578"/>
      <c r="AF608" s="3578"/>
      <c r="AG608" s="3576"/>
      <c r="AH608" s="3576"/>
      <c r="AI608" s="3580"/>
      <c r="AJ608" s="3581"/>
      <c r="AK608" s="3582"/>
      <c r="AL608" s="3582"/>
      <c r="AM608" s="3582"/>
      <c r="AN608" s="3582"/>
      <c r="AO608" s="3582"/>
      <c r="AP608" s="3582"/>
      <c r="AQ608" s="3582"/>
      <c r="AR608" s="3576"/>
      <c r="AS608" s="3576"/>
      <c r="AT608" s="3576"/>
      <c r="AU608" s="3576"/>
      <c r="AV608" s="3563"/>
    </row>
    <row r="609" s="3565" customFormat="1" spans="1:48">
      <c r="A609" s="3575"/>
      <c r="B609" s="3576"/>
      <c r="C609" s="3576"/>
      <c r="D609" s="3563"/>
      <c r="E609" s="3563"/>
      <c r="F609" s="3576"/>
      <c r="G609" s="3576"/>
      <c r="H609" s="3563"/>
      <c r="I609" s="3563"/>
      <c r="J609" s="3563"/>
      <c r="K609" s="3563"/>
      <c r="L609" s="3563"/>
      <c r="M609" s="3563"/>
      <c r="N609" s="3577"/>
      <c r="O609" s="3563"/>
      <c r="P609" s="3576"/>
      <c r="Q609" s="3578"/>
      <c r="R609" s="3563"/>
      <c r="S609" s="3563"/>
      <c r="T609" s="4014"/>
      <c r="U609" s="3563"/>
      <c r="V609" s="3563"/>
      <c r="W609" s="3578"/>
      <c r="X609" s="3578"/>
      <c r="Y609" s="3578"/>
      <c r="Z609" s="3578"/>
      <c r="AA609" s="3578"/>
      <c r="AB609" s="3563"/>
      <c r="AC609" s="3578"/>
      <c r="AD609" s="3578"/>
      <c r="AE609" s="3578"/>
      <c r="AF609" s="3578"/>
      <c r="AG609" s="3576"/>
      <c r="AH609" s="3576"/>
      <c r="AI609" s="3580"/>
      <c r="AJ609" s="3581"/>
      <c r="AK609" s="3582"/>
      <c r="AL609" s="3582"/>
      <c r="AM609" s="3582"/>
      <c r="AN609" s="3582"/>
      <c r="AO609" s="3582"/>
      <c r="AP609" s="3582"/>
      <c r="AQ609" s="3582"/>
      <c r="AR609" s="3576"/>
      <c r="AS609" s="3576"/>
      <c r="AT609" s="3576"/>
      <c r="AU609" s="3576"/>
      <c r="AV609" s="3563"/>
    </row>
    <row r="610" s="3565" customFormat="1" spans="1:48">
      <c r="A610" s="3575"/>
      <c r="B610" s="3576"/>
      <c r="C610" s="3576"/>
      <c r="D610" s="3563"/>
      <c r="E610" s="3563"/>
      <c r="F610" s="3576"/>
      <c r="G610" s="3576"/>
      <c r="H610" s="3563"/>
      <c r="I610" s="3563"/>
      <c r="J610" s="3563"/>
      <c r="K610" s="3563"/>
      <c r="L610" s="3563"/>
      <c r="M610" s="3563"/>
      <c r="N610" s="3577"/>
      <c r="O610" s="3563"/>
      <c r="P610" s="3576"/>
      <c r="Q610" s="3578"/>
      <c r="R610" s="3563"/>
      <c r="S610" s="3563"/>
      <c r="T610" s="4014"/>
      <c r="U610" s="3563"/>
      <c r="V610" s="3563"/>
      <c r="W610" s="3578"/>
      <c r="X610" s="3578"/>
      <c r="Y610" s="3578"/>
      <c r="Z610" s="3578"/>
      <c r="AA610" s="3578"/>
      <c r="AB610" s="3563"/>
      <c r="AC610" s="3578"/>
      <c r="AD610" s="3578"/>
      <c r="AE610" s="3578"/>
      <c r="AF610" s="3578"/>
      <c r="AG610" s="3576"/>
      <c r="AH610" s="3576"/>
      <c r="AI610" s="3580"/>
      <c r="AJ610" s="3581"/>
      <c r="AK610" s="3582"/>
      <c r="AL610" s="3582"/>
      <c r="AM610" s="3582"/>
      <c r="AN610" s="3582"/>
      <c r="AO610" s="3582"/>
      <c r="AP610" s="3582"/>
      <c r="AQ610" s="3582"/>
      <c r="AR610" s="3576"/>
      <c r="AS610" s="3576"/>
      <c r="AT610" s="3576"/>
      <c r="AU610" s="3576"/>
      <c r="AV610" s="3563"/>
    </row>
    <row r="611" s="3565" customFormat="1" spans="1:48">
      <c r="A611" s="3575"/>
      <c r="B611" s="3576"/>
      <c r="C611" s="3576"/>
      <c r="D611" s="3563"/>
      <c r="E611" s="3563"/>
      <c r="F611" s="3576"/>
      <c r="G611" s="3576"/>
      <c r="H611" s="3563"/>
      <c r="I611" s="3563"/>
      <c r="J611" s="3563"/>
      <c r="K611" s="3563"/>
      <c r="L611" s="3563"/>
      <c r="M611" s="3563"/>
      <c r="N611" s="3577"/>
      <c r="O611" s="3563"/>
      <c r="P611" s="3576"/>
      <c r="Q611" s="3578"/>
      <c r="R611" s="3563"/>
      <c r="S611" s="3563"/>
      <c r="T611" s="4014"/>
      <c r="U611" s="3563"/>
      <c r="V611" s="3563"/>
      <c r="W611" s="3578"/>
      <c r="X611" s="3578"/>
      <c r="Y611" s="3578"/>
      <c r="Z611" s="3578"/>
      <c r="AA611" s="3578"/>
      <c r="AB611" s="3563"/>
      <c r="AC611" s="3578"/>
      <c r="AD611" s="3578"/>
      <c r="AE611" s="3578"/>
      <c r="AF611" s="3578"/>
      <c r="AG611" s="3576"/>
      <c r="AH611" s="3576"/>
      <c r="AI611" s="3580"/>
      <c r="AJ611" s="3581"/>
      <c r="AK611" s="3582"/>
      <c r="AL611" s="3582"/>
      <c r="AM611" s="3582"/>
      <c r="AN611" s="3582"/>
      <c r="AO611" s="3582"/>
      <c r="AP611" s="3582"/>
      <c r="AQ611" s="3582"/>
      <c r="AR611" s="3576"/>
      <c r="AS611" s="3576"/>
      <c r="AT611" s="3576"/>
      <c r="AU611" s="3576"/>
      <c r="AV611" s="3563"/>
    </row>
    <row r="612" s="3565" customFormat="1" spans="1:48">
      <c r="A612" s="3575"/>
      <c r="B612" s="3576"/>
      <c r="C612" s="3576"/>
      <c r="D612" s="3563"/>
      <c r="E612" s="3563"/>
      <c r="F612" s="3576"/>
      <c r="G612" s="3576"/>
      <c r="H612" s="3563"/>
      <c r="I612" s="3563"/>
      <c r="J612" s="3563"/>
      <c r="K612" s="3563"/>
      <c r="L612" s="3563"/>
      <c r="M612" s="3563"/>
      <c r="N612" s="3577"/>
      <c r="O612" s="3563"/>
      <c r="P612" s="3576"/>
      <c r="Q612" s="3578"/>
      <c r="R612" s="3563"/>
      <c r="S612" s="3563"/>
      <c r="T612" s="4014"/>
      <c r="U612" s="3563"/>
      <c r="V612" s="3563"/>
      <c r="W612" s="3578"/>
      <c r="X612" s="3578"/>
      <c r="Y612" s="3578"/>
      <c r="Z612" s="3578"/>
      <c r="AA612" s="3578"/>
      <c r="AB612" s="3563"/>
      <c r="AC612" s="3578"/>
      <c r="AD612" s="3578"/>
      <c r="AE612" s="3578"/>
      <c r="AF612" s="3578"/>
      <c r="AG612" s="3576"/>
      <c r="AH612" s="3576"/>
      <c r="AI612" s="3580"/>
      <c r="AJ612" s="3581"/>
      <c r="AK612" s="3582"/>
      <c r="AL612" s="3582"/>
      <c r="AM612" s="3582"/>
      <c r="AN612" s="3582"/>
      <c r="AO612" s="3582"/>
      <c r="AP612" s="3582"/>
      <c r="AQ612" s="3582"/>
      <c r="AR612" s="3576"/>
      <c r="AS612" s="3576"/>
      <c r="AT612" s="3576"/>
      <c r="AU612" s="3576"/>
      <c r="AV612" s="3563"/>
    </row>
    <row r="613" s="3565" customFormat="1" spans="1:48">
      <c r="A613" s="3575"/>
      <c r="B613" s="3576"/>
      <c r="C613" s="3576"/>
      <c r="D613" s="3563"/>
      <c r="E613" s="3563"/>
      <c r="F613" s="3576"/>
      <c r="G613" s="3576"/>
      <c r="H613" s="3563"/>
      <c r="I613" s="3563"/>
      <c r="J613" s="3563"/>
      <c r="K613" s="3563"/>
      <c r="L613" s="3563"/>
      <c r="M613" s="3563"/>
      <c r="N613" s="3577"/>
      <c r="O613" s="3563"/>
      <c r="P613" s="3576"/>
      <c r="Q613" s="3578"/>
      <c r="R613" s="3563"/>
      <c r="S613" s="3563"/>
      <c r="T613" s="4014"/>
      <c r="U613" s="3563"/>
      <c r="V613" s="3563"/>
      <c r="W613" s="3578"/>
      <c r="X613" s="3578"/>
      <c r="Y613" s="3578"/>
      <c r="Z613" s="3578"/>
      <c r="AA613" s="3578"/>
      <c r="AB613" s="3563"/>
      <c r="AC613" s="3578"/>
      <c r="AD613" s="3578"/>
      <c r="AE613" s="3578"/>
      <c r="AF613" s="3578"/>
      <c r="AG613" s="3576"/>
      <c r="AH613" s="3576"/>
      <c r="AI613" s="3580"/>
      <c r="AJ613" s="3581"/>
      <c r="AK613" s="3582"/>
      <c r="AL613" s="3582"/>
      <c r="AM613" s="3582"/>
      <c r="AN613" s="3582"/>
      <c r="AO613" s="3582"/>
      <c r="AP613" s="3582"/>
      <c r="AQ613" s="3582"/>
      <c r="AR613" s="3576"/>
      <c r="AS613" s="3576"/>
      <c r="AT613" s="3576"/>
      <c r="AU613" s="3576"/>
      <c r="AV613" s="3563"/>
    </row>
    <row r="614" s="3565" customFormat="1" spans="1:48">
      <c r="A614" s="3575"/>
      <c r="B614" s="3576"/>
      <c r="C614" s="3576"/>
      <c r="D614" s="3563"/>
      <c r="E614" s="3563"/>
      <c r="F614" s="3576"/>
      <c r="G614" s="3576"/>
      <c r="H614" s="3563"/>
      <c r="I614" s="3563"/>
      <c r="J614" s="3563"/>
      <c r="K614" s="3563"/>
      <c r="L614" s="3563"/>
      <c r="M614" s="3563"/>
      <c r="N614" s="3577"/>
      <c r="O614" s="3563"/>
      <c r="P614" s="3576"/>
      <c r="Q614" s="3578"/>
      <c r="R614" s="3563"/>
      <c r="S614" s="3563"/>
      <c r="T614" s="4014"/>
      <c r="U614" s="3563"/>
      <c r="V614" s="3563"/>
      <c r="W614" s="3578"/>
      <c r="X614" s="3578"/>
      <c r="Y614" s="3578"/>
      <c r="Z614" s="3578"/>
      <c r="AA614" s="3578"/>
      <c r="AB614" s="3563"/>
      <c r="AC614" s="3578"/>
      <c r="AD614" s="3578"/>
      <c r="AE614" s="3578"/>
      <c r="AF614" s="3578"/>
      <c r="AG614" s="3576"/>
      <c r="AH614" s="3576"/>
      <c r="AI614" s="3580"/>
      <c r="AJ614" s="3581"/>
      <c r="AK614" s="3582"/>
      <c r="AL614" s="3582"/>
      <c r="AM614" s="3582"/>
      <c r="AN614" s="3582"/>
      <c r="AO614" s="3582"/>
      <c r="AP614" s="3582"/>
      <c r="AQ614" s="3582"/>
      <c r="AR614" s="3576"/>
      <c r="AS614" s="3576"/>
      <c r="AT614" s="3576"/>
      <c r="AU614" s="3576"/>
      <c r="AV614" s="3563"/>
    </row>
    <row r="615" s="3565" customFormat="1" spans="1:48">
      <c r="A615" s="3575"/>
      <c r="B615" s="3576"/>
      <c r="C615" s="3576"/>
      <c r="D615" s="3563"/>
      <c r="E615" s="3563"/>
      <c r="F615" s="3576"/>
      <c r="G615" s="3576"/>
      <c r="H615" s="3563"/>
      <c r="I615" s="3563"/>
      <c r="J615" s="3563"/>
      <c r="K615" s="3563"/>
      <c r="L615" s="3563"/>
      <c r="M615" s="3563"/>
      <c r="N615" s="3577"/>
      <c r="O615" s="3563"/>
      <c r="P615" s="3576"/>
      <c r="Q615" s="3578"/>
      <c r="R615" s="3563"/>
      <c r="S615" s="3563"/>
      <c r="T615" s="4014"/>
      <c r="U615" s="3563"/>
      <c r="V615" s="3563"/>
      <c r="W615" s="3578"/>
      <c r="X615" s="3578"/>
      <c r="Y615" s="3578"/>
      <c r="Z615" s="3578"/>
      <c r="AA615" s="3578"/>
      <c r="AB615" s="3563"/>
      <c r="AC615" s="3578"/>
      <c r="AD615" s="3578"/>
      <c r="AE615" s="3578"/>
      <c r="AF615" s="3578"/>
      <c r="AG615" s="3576"/>
      <c r="AH615" s="3576"/>
      <c r="AI615" s="3580"/>
      <c r="AJ615" s="3581"/>
      <c r="AK615" s="3582"/>
      <c r="AL615" s="3582"/>
      <c r="AM615" s="3582"/>
      <c r="AN615" s="3582"/>
      <c r="AO615" s="3582"/>
      <c r="AP615" s="3582"/>
      <c r="AQ615" s="3582"/>
      <c r="AR615" s="3576"/>
      <c r="AS615" s="3576"/>
      <c r="AT615" s="3576"/>
      <c r="AU615" s="3576"/>
      <c r="AV615" s="3563"/>
    </row>
    <row r="616" s="3565" customFormat="1" spans="1:48">
      <c r="A616" s="3575"/>
      <c r="B616" s="3576"/>
      <c r="C616" s="3576"/>
      <c r="D616" s="3563"/>
      <c r="E616" s="3563"/>
      <c r="F616" s="3576"/>
      <c r="G616" s="3576"/>
      <c r="H616" s="3563"/>
      <c r="I616" s="3563"/>
      <c r="J616" s="3563"/>
      <c r="K616" s="3563"/>
      <c r="L616" s="3563"/>
      <c r="M616" s="3563"/>
      <c r="N616" s="3577"/>
      <c r="O616" s="3563"/>
      <c r="P616" s="3576"/>
      <c r="Q616" s="3578"/>
      <c r="R616" s="3563"/>
      <c r="S616" s="3563"/>
      <c r="T616" s="4014"/>
      <c r="U616" s="3563"/>
      <c r="V616" s="3563"/>
      <c r="W616" s="3578"/>
      <c r="X616" s="3578"/>
      <c r="Y616" s="3578"/>
      <c r="Z616" s="3578"/>
      <c r="AA616" s="3578"/>
      <c r="AB616" s="3563"/>
      <c r="AC616" s="3578"/>
      <c r="AD616" s="3578"/>
      <c r="AE616" s="3578"/>
      <c r="AF616" s="3578"/>
      <c r="AG616" s="3576"/>
      <c r="AH616" s="3576"/>
      <c r="AI616" s="3580"/>
      <c r="AJ616" s="3581"/>
      <c r="AK616" s="3582"/>
      <c r="AL616" s="3582"/>
      <c r="AM616" s="3582"/>
      <c r="AN616" s="3582"/>
      <c r="AO616" s="3582"/>
      <c r="AP616" s="3582"/>
      <c r="AQ616" s="3582"/>
      <c r="AR616" s="3576"/>
      <c r="AS616" s="3576"/>
      <c r="AT616" s="3576"/>
      <c r="AU616" s="3576"/>
      <c r="AV616" s="3563"/>
    </row>
    <row r="617" s="3565" customFormat="1" spans="1:48">
      <c r="A617" s="3575"/>
      <c r="B617" s="3576"/>
      <c r="C617" s="3576"/>
      <c r="D617" s="3563"/>
      <c r="E617" s="3563"/>
      <c r="F617" s="3576"/>
      <c r="G617" s="3576"/>
      <c r="H617" s="3563"/>
      <c r="I617" s="3563"/>
      <c r="J617" s="3563"/>
      <c r="K617" s="3563"/>
      <c r="L617" s="3563"/>
      <c r="M617" s="3563"/>
      <c r="N617" s="3577"/>
      <c r="O617" s="3563"/>
      <c r="P617" s="3576"/>
      <c r="Q617" s="3578"/>
      <c r="R617" s="3563"/>
      <c r="S617" s="3563"/>
      <c r="T617" s="4014"/>
      <c r="U617" s="3563"/>
      <c r="V617" s="3563"/>
      <c r="W617" s="3578"/>
      <c r="X617" s="3578"/>
      <c r="Y617" s="3578"/>
      <c r="Z617" s="3578"/>
      <c r="AA617" s="3578"/>
      <c r="AB617" s="3563"/>
      <c r="AC617" s="3578"/>
      <c r="AD617" s="3578"/>
      <c r="AE617" s="3578"/>
      <c r="AF617" s="3578"/>
      <c r="AG617" s="3576"/>
      <c r="AH617" s="3576"/>
      <c r="AI617" s="3580"/>
      <c r="AJ617" s="3581"/>
      <c r="AK617" s="3582"/>
      <c r="AL617" s="3582"/>
      <c r="AM617" s="3582"/>
      <c r="AN617" s="3582"/>
      <c r="AO617" s="3582"/>
      <c r="AP617" s="3582"/>
      <c r="AQ617" s="3582"/>
      <c r="AR617" s="3576"/>
      <c r="AS617" s="3576"/>
      <c r="AT617" s="3576"/>
      <c r="AU617" s="3576"/>
      <c r="AV617" s="3563"/>
    </row>
    <row r="618" s="3565" customFormat="1" spans="1:48">
      <c r="A618" s="3575"/>
      <c r="B618" s="3576"/>
      <c r="C618" s="3576"/>
      <c r="D618" s="3563"/>
      <c r="E618" s="3563"/>
      <c r="F618" s="3576"/>
      <c r="G618" s="3576"/>
      <c r="H618" s="3563"/>
      <c r="I618" s="3563"/>
      <c r="J618" s="3563"/>
      <c r="K618" s="3563"/>
      <c r="L618" s="3563"/>
      <c r="M618" s="3563"/>
      <c r="N618" s="3577"/>
      <c r="O618" s="3563"/>
      <c r="P618" s="3576"/>
      <c r="Q618" s="3578"/>
      <c r="R618" s="3563"/>
      <c r="S618" s="3563"/>
      <c r="T618" s="4014"/>
      <c r="U618" s="3563"/>
      <c r="V618" s="3563"/>
      <c r="W618" s="3578"/>
      <c r="X618" s="3578"/>
      <c r="Y618" s="3578"/>
      <c r="Z618" s="3578"/>
      <c r="AA618" s="3578"/>
      <c r="AB618" s="3563"/>
      <c r="AC618" s="3578"/>
      <c r="AD618" s="3578"/>
      <c r="AE618" s="3578"/>
      <c r="AF618" s="3578"/>
      <c r="AG618" s="3576"/>
      <c r="AH618" s="3576"/>
      <c r="AI618" s="3580"/>
      <c r="AJ618" s="3581"/>
      <c r="AK618" s="3582"/>
      <c r="AL618" s="3582"/>
      <c r="AM618" s="3582"/>
      <c r="AN618" s="3582"/>
      <c r="AO618" s="3582"/>
      <c r="AP618" s="3582"/>
      <c r="AQ618" s="3582"/>
      <c r="AR618" s="3576"/>
      <c r="AS618" s="3576"/>
      <c r="AT618" s="3576"/>
      <c r="AU618" s="3576"/>
      <c r="AV618" s="3563"/>
    </row>
    <row r="619" s="3565" customFormat="1" spans="1:48">
      <c r="A619" s="3575"/>
      <c r="B619" s="3576"/>
      <c r="C619" s="3576"/>
      <c r="D619" s="3563"/>
      <c r="E619" s="3563"/>
      <c r="F619" s="3576"/>
      <c r="G619" s="3576"/>
      <c r="H619" s="3563"/>
      <c r="I619" s="3563"/>
      <c r="J619" s="3563"/>
      <c r="K619" s="3563"/>
      <c r="L619" s="3563"/>
      <c r="M619" s="3563"/>
      <c r="N619" s="3577"/>
      <c r="O619" s="3563"/>
      <c r="P619" s="3576"/>
      <c r="Q619" s="3578"/>
      <c r="R619" s="3563"/>
      <c r="S619" s="3563"/>
      <c r="T619" s="4014"/>
      <c r="U619" s="3563"/>
      <c r="V619" s="3563"/>
      <c r="W619" s="3578"/>
      <c r="X619" s="3578"/>
      <c r="Y619" s="3578"/>
      <c r="Z619" s="3578"/>
      <c r="AA619" s="3578"/>
      <c r="AB619" s="3563"/>
      <c r="AC619" s="3578"/>
      <c r="AD619" s="3578"/>
      <c r="AE619" s="3578"/>
      <c r="AF619" s="3578"/>
      <c r="AG619" s="3576"/>
      <c r="AH619" s="3576"/>
      <c r="AI619" s="3580"/>
      <c r="AJ619" s="3581"/>
      <c r="AK619" s="3582"/>
      <c r="AL619" s="3582"/>
      <c r="AM619" s="3582"/>
      <c r="AN619" s="3582"/>
      <c r="AO619" s="3582"/>
      <c r="AP619" s="3582"/>
      <c r="AQ619" s="3582"/>
      <c r="AR619" s="3576"/>
      <c r="AS619" s="3576"/>
      <c r="AT619" s="3576"/>
      <c r="AU619" s="3576"/>
      <c r="AV619" s="3563"/>
    </row>
    <row r="620" s="3565" customFormat="1" spans="1:48">
      <c r="A620" s="3575"/>
      <c r="B620" s="3576"/>
      <c r="C620" s="3576"/>
      <c r="D620" s="3563"/>
      <c r="E620" s="3563"/>
      <c r="F620" s="3576"/>
      <c r="G620" s="3576"/>
      <c r="H620" s="3563"/>
      <c r="I620" s="3563"/>
      <c r="J620" s="3563"/>
      <c r="K620" s="3563"/>
      <c r="L620" s="3563"/>
      <c r="M620" s="3563"/>
      <c r="N620" s="3577"/>
      <c r="O620" s="3563"/>
      <c r="P620" s="3576"/>
      <c r="Q620" s="3578"/>
      <c r="R620" s="3563"/>
      <c r="S620" s="3563"/>
      <c r="T620" s="4014"/>
      <c r="U620" s="3563"/>
      <c r="V620" s="3563"/>
      <c r="W620" s="3578"/>
      <c r="X620" s="3578"/>
      <c r="Y620" s="3578"/>
      <c r="Z620" s="3578"/>
      <c r="AA620" s="3578"/>
      <c r="AB620" s="3563"/>
      <c r="AC620" s="3578"/>
      <c r="AD620" s="3578"/>
      <c r="AE620" s="3578"/>
      <c r="AF620" s="3578"/>
      <c r="AG620" s="3576"/>
      <c r="AH620" s="3576"/>
      <c r="AI620" s="3580"/>
      <c r="AJ620" s="3581"/>
      <c r="AK620" s="3582"/>
      <c r="AL620" s="3582"/>
      <c r="AM620" s="3582"/>
      <c r="AN620" s="3582"/>
      <c r="AO620" s="3582"/>
      <c r="AP620" s="3582"/>
      <c r="AQ620" s="3582"/>
      <c r="AR620" s="3576"/>
      <c r="AS620" s="3576"/>
      <c r="AT620" s="3576"/>
      <c r="AU620" s="3576"/>
      <c r="AV620" s="3563"/>
    </row>
    <row r="621" s="3565" customFormat="1" spans="1:48">
      <c r="A621" s="3575"/>
      <c r="B621" s="3576"/>
      <c r="C621" s="3576"/>
      <c r="D621" s="3563"/>
      <c r="E621" s="3563"/>
      <c r="F621" s="3576"/>
      <c r="G621" s="3576"/>
      <c r="H621" s="3563"/>
      <c r="I621" s="3563"/>
      <c r="J621" s="3563"/>
      <c r="K621" s="3563"/>
      <c r="L621" s="3563"/>
      <c r="M621" s="3563"/>
      <c r="N621" s="3577"/>
      <c r="O621" s="3563"/>
      <c r="P621" s="3576"/>
      <c r="Q621" s="3578"/>
      <c r="R621" s="3563"/>
      <c r="S621" s="3563"/>
      <c r="T621" s="4014"/>
      <c r="U621" s="3563"/>
      <c r="V621" s="3563"/>
      <c r="W621" s="3578"/>
      <c r="X621" s="3578"/>
      <c r="Y621" s="3578"/>
      <c r="Z621" s="3578"/>
      <c r="AA621" s="3578"/>
      <c r="AB621" s="3563"/>
      <c r="AC621" s="3578"/>
      <c r="AD621" s="3578"/>
      <c r="AE621" s="3578"/>
      <c r="AF621" s="3578"/>
      <c r="AG621" s="3576"/>
      <c r="AH621" s="3576"/>
      <c r="AI621" s="3580"/>
      <c r="AJ621" s="3581"/>
      <c r="AK621" s="3582"/>
      <c r="AL621" s="3582"/>
      <c r="AM621" s="3582"/>
      <c r="AN621" s="3582"/>
      <c r="AO621" s="3582"/>
      <c r="AP621" s="3582"/>
      <c r="AQ621" s="3582"/>
      <c r="AR621" s="3576"/>
      <c r="AS621" s="3576"/>
      <c r="AT621" s="3576"/>
      <c r="AU621" s="3576"/>
      <c r="AV621" s="3563"/>
    </row>
    <row r="622" s="3565" customFormat="1" spans="1:48">
      <c r="A622" s="3575"/>
      <c r="B622" s="3576"/>
      <c r="C622" s="3576"/>
      <c r="D622" s="3563"/>
      <c r="E622" s="3563"/>
      <c r="F622" s="3576"/>
      <c r="G622" s="3576"/>
      <c r="H622" s="3563"/>
      <c r="I622" s="3563"/>
      <c r="J622" s="3563"/>
      <c r="K622" s="3563"/>
      <c r="L622" s="3563"/>
      <c r="M622" s="3563"/>
      <c r="N622" s="3577"/>
      <c r="O622" s="3563"/>
      <c r="P622" s="3576"/>
      <c r="Q622" s="3578"/>
      <c r="R622" s="3563"/>
      <c r="S622" s="3563"/>
      <c r="T622" s="4021"/>
      <c r="U622" s="3563"/>
      <c r="V622" s="3563"/>
      <c r="W622" s="3578"/>
      <c r="X622" s="3578"/>
      <c r="Y622" s="3578"/>
      <c r="Z622" s="3578"/>
      <c r="AA622" s="3578"/>
      <c r="AB622" s="3563"/>
      <c r="AC622" s="3578"/>
      <c r="AD622" s="3578"/>
      <c r="AE622" s="3578"/>
      <c r="AF622" s="3578"/>
      <c r="AG622" s="3576"/>
      <c r="AH622" s="3576"/>
      <c r="AI622" s="3580"/>
      <c r="AJ622" s="3581"/>
      <c r="AK622" s="3582"/>
      <c r="AL622" s="3582"/>
      <c r="AM622" s="3582"/>
      <c r="AN622" s="3582"/>
      <c r="AO622" s="3582"/>
      <c r="AP622" s="3582"/>
      <c r="AQ622" s="3582"/>
      <c r="AR622" s="3576"/>
      <c r="AS622" s="3576"/>
      <c r="AT622" s="3576"/>
      <c r="AU622" s="3576"/>
      <c r="AV622" s="3563"/>
    </row>
    <row r="623" s="3565" customFormat="1" spans="1:48">
      <c r="A623" s="3575"/>
      <c r="B623" s="3576"/>
      <c r="C623" s="3576"/>
      <c r="D623" s="3563"/>
      <c r="E623" s="3563"/>
      <c r="F623" s="3576"/>
      <c r="G623" s="3576"/>
      <c r="H623" s="3563"/>
      <c r="I623" s="3563"/>
      <c r="J623" s="3563"/>
      <c r="K623" s="3563"/>
      <c r="L623" s="3563"/>
      <c r="M623" s="3563"/>
      <c r="N623" s="3577"/>
      <c r="O623" s="3563"/>
      <c r="P623" s="3576"/>
      <c r="Q623" s="3578"/>
      <c r="R623" s="3563"/>
      <c r="S623" s="3563"/>
      <c r="T623" s="4014"/>
      <c r="U623" s="3563"/>
      <c r="V623" s="3563"/>
      <c r="W623" s="3578"/>
      <c r="X623" s="3578"/>
      <c r="Y623" s="3578"/>
      <c r="Z623" s="3578"/>
      <c r="AA623" s="3578"/>
      <c r="AB623" s="3563"/>
      <c r="AC623" s="3578"/>
      <c r="AD623" s="3578"/>
      <c r="AE623" s="3578"/>
      <c r="AF623" s="3578"/>
      <c r="AG623" s="3576"/>
      <c r="AH623" s="3576"/>
      <c r="AI623" s="3580"/>
      <c r="AJ623" s="3581"/>
      <c r="AK623" s="3582"/>
      <c r="AL623" s="3582"/>
      <c r="AM623" s="3582"/>
      <c r="AN623" s="3582"/>
      <c r="AO623" s="3582"/>
      <c r="AP623" s="3582"/>
      <c r="AQ623" s="3582"/>
      <c r="AR623" s="3576"/>
      <c r="AS623" s="3576"/>
      <c r="AT623" s="3576"/>
      <c r="AU623" s="3576"/>
      <c r="AV623" s="3563"/>
    </row>
    <row r="624" s="3565" customFormat="1" spans="1:48">
      <c r="A624" s="3575"/>
      <c r="B624" s="3576"/>
      <c r="C624" s="3576"/>
      <c r="D624" s="3563"/>
      <c r="E624" s="3563"/>
      <c r="F624" s="3576"/>
      <c r="G624" s="3576"/>
      <c r="H624" s="3563"/>
      <c r="I624" s="3563"/>
      <c r="J624" s="3563"/>
      <c r="K624" s="3563"/>
      <c r="L624" s="3563"/>
      <c r="M624" s="3563"/>
      <c r="N624" s="3577"/>
      <c r="O624" s="3563"/>
      <c r="P624" s="3576"/>
      <c r="Q624" s="3578"/>
      <c r="R624" s="3563"/>
      <c r="S624" s="3563"/>
      <c r="T624" s="4014"/>
      <c r="U624" s="3563"/>
      <c r="V624" s="3563"/>
      <c r="W624" s="3578"/>
      <c r="X624" s="3578"/>
      <c r="Y624" s="3578"/>
      <c r="Z624" s="3578"/>
      <c r="AA624" s="3578"/>
      <c r="AB624" s="3563"/>
      <c r="AC624" s="3578"/>
      <c r="AD624" s="3578"/>
      <c r="AE624" s="3578"/>
      <c r="AF624" s="3578"/>
      <c r="AG624" s="3576"/>
      <c r="AH624" s="3576"/>
      <c r="AI624" s="3580"/>
      <c r="AJ624" s="3581"/>
      <c r="AK624" s="3582"/>
      <c r="AL624" s="3582"/>
      <c r="AM624" s="3582"/>
      <c r="AN624" s="3582"/>
      <c r="AO624" s="3582"/>
      <c r="AP624" s="3582"/>
      <c r="AQ624" s="3582"/>
      <c r="AR624" s="3576"/>
      <c r="AS624" s="3576"/>
      <c r="AT624" s="3576"/>
      <c r="AU624" s="3576"/>
      <c r="AV624" s="3563"/>
    </row>
    <row r="625" s="3565" customFormat="1" spans="1:48">
      <c r="A625" s="3575"/>
      <c r="B625" s="3576"/>
      <c r="C625" s="3576"/>
      <c r="D625" s="3563"/>
      <c r="E625" s="3563"/>
      <c r="F625" s="3576"/>
      <c r="G625" s="3576"/>
      <c r="H625" s="3563"/>
      <c r="I625" s="3563"/>
      <c r="J625" s="3563"/>
      <c r="K625" s="3563"/>
      <c r="L625" s="3563"/>
      <c r="M625" s="3563"/>
      <c r="N625" s="3577"/>
      <c r="O625" s="3563"/>
      <c r="P625" s="3576"/>
      <c r="Q625" s="3578"/>
      <c r="R625" s="3563"/>
      <c r="S625" s="3563"/>
      <c r="T625" s="4014"/>
      <c r="U625" s="3563"/>
      <c r="V625" s="3563"/>
      <c r="W625" s="3578"/>
      <c r="X625" s="3578"/>
      <c r="Y625" s="3578"/>
      <c r="Z625" s="3578"/>
      <c r="AA625" s="3578"/>
      <c r="AB625" s="3563"/>
      <c r="AC625" s="3578"/>
      <c r="AD625" s="3578"/>
      <c r="AE625" s="3578"/>
      <c r="AF625" s="3578"/>
      <c r="AG625" s="3576"/>
      <c r="AH625" s="3576"/>
      <c r="AI625" s="3580"/>
      <c r="AJ625" s="3581"/>
      <c r="AK625" s="3582"/>
      <c r="AL625" s="3582"/>
      <c r="AM625" s="3582"/>
      <c r="AN625" s="3582"/>
      <c r="AO625" s="3582"/>
      <c r="AP625" s="3582"/>
      <c r="AQ625" s="3582"/>
      <c r="AR625" s="3576"/>
      <c r="AS625" s="3576"/>
      <c r="AT625" s="3576"/>
      <c r="AU625" s="3576"/>
      <c r="AV625" s="3563"/>
    </row>
    <row r="626" s="3565" customFormat="1" spans="1:48">
      <c r="A626" s="3575"/>
      <c r="B626" s="3576"/>
      <c r="C626" s="3576"/>
      <c r="D626" s="3563"/>
      <c r="E626" s="3563"/>
      <c r="F626" s="3576"/>
      <c r="G626" s="3576"/>
      <c r="H626" s="3563"/>
      <c r="I626" s="3563"/>
      <c r="J626" s="3563"/>
      <c r="K626" s="3563"/>
      <c r="L626" s="3563"/>
      <c r="M626" s="3563"/>
      <c r="N626" s="3577"/>
      <c r="O626" s="3563"/>
      <c r="P626" s="3576"/>
      <c r="Q626" s="3578"/>
      <c r="R626" s="3563"/>
      <c r="S626" s="3563"/>
      <c r="T626" s="4014"/>
      <c r="U626" s="3563"/>
      <c r="V626" s="3563"/>
      <c r="W626" s="3578"/>
      <c r="X626" s="3578"/>
      <c r="Y626" s="3578"/>
      <c r="Z626" s="3578"/>
      <c r="AA626" s="3578"/>
      <c r="AB626" s="3563"/>
      <c r="AC626" s="3578"/>
      <c r="AD626" s="3578"/>
      <c r="AE626" s="3578"/>
      <c r="AF626" s="3578"/>
      <c r="AG626" s="3576"/>
      <c r="AH626" s="3576"/>
      <c r="AI626" s="3580"/>
      <c r="AJ626" s="3581"/>
      <c r="AK626" s="3582"/>
      <c r="AL626" s="3582"/>
      <c r="AM626" s="3582"/>
      <c r="AN626" s="3582"/>
      <c r="AO626" s="3582"/>
      <c r="AP626" s="3582"/>
      <c r="AQ626" s="3582"/>
      <c r="AR626" s="3576"/>
      <c r="AS626" s="3576"/>
      <c r="AT626" s="3576"/>
      <c r="AU626" s="3576"/>
      <c r="AV626" s="3563"/>
    </row>
    <row r="627" s="3565" customFormat="1" spans="1:48">
      <c r="A627" s="3575"/>
      <c r="B627" s="3576"/>
      <c r="C627" s="3576"/>
      <c r="D627" s="3563"/>
      <c r="E627" s="3563"/>
      <c r="F627" s="3576"/>
      <c r="G627" s="3576"/>
      <c r="H627" s="3563"/>
      <c r="I627" s="3563"/>
      <c r="J627" s="3563"/>
      <c r="K627" s="3563"/>
      <c r="L627" s="3563"/>
      <c r="M627" s="3563"/>
      <c r="N627" s="3577"/>
      <c r="O627" s="3563"/>
      <c r="P627" s="3576"/>
      <c r="Q627" s="3578"/>
      <c r="R627" s="3563"/>
      <c r="S627" s="3563"/>
      <c r="T627" s="4014"/>
      <c r="U627" s="3563"/>
      <c r="V627" s="3563"/>
      <c r="W627" s="3578"/>
      <c r="X627" s="3578"/>
      <c r="Y627" s="3578"/>
      <c r="Z627" s="3578"/>
      <c r="AA627" s="3578"/>
      <c r="AB627" s="3563"/>
      <c r="AC627" s="3578"/>
      <c r="AD627" s="3578"/>
      <c r="AE627" s="3578"/>
      <c r="AF627" s="3578"/>
      <c r="AG627" s="3576"/>
      <c r="AH627" s="3576"/>
      <c r="AI627" s="3580"/>
      <c r="AJ627" s="3581"/>
      <c r="AK627" s="3582"/>
      <c r="AL627" s="3582"/>
      <c r="AM627" s="3582"/>
      <c r="AN627" s="3582"/>
      <c r="AO627" s="3582"/>
      <c r="AP627" s="3582"/>
      <c r="AQ627" s="3582"/>
      <c r="AR627" s="3576"/>
      <c r="AS627" s="3576"/>
      <c r="AT627" s="3576"/>
      <c r="AU627" s="3576"/>
      <c r="AV627" s="3563"/>
    </row>
    <row r="628" s="3565" customFormat="1" spans="1:48">
      <c r="A628" s="3575"/>
      <c r="B628" s="3576"/>
      <c r="C628" s="3576"/>
      <c r="D628" s="3563"/>
      <c r="E628" s="3563"/>
      <c r="F628" s="3576"/>
      <c r="G628" s="3576"/>
      <c r="H628" s="3563"/>
      <c r="I628" s="3563"/>
      <c r="J628" s="3563"/>
      <c r="K628" s="3563"/>
      <c r="L628" s="3563"/>
      <c r="M628" s="3563"/>
      <c r="N628" s="3577"/>
      <c r="O628" s="3563"/>
      <c r="P628" s="3576"/>
      <c r="Q628" s="3578"/>
      <c r="R628" s="3563"/>
      <c r="S628" s="3563"/>
      <c r="T628" s="4014"/>
      <c r="U628" s="3563"/>
      <c r="V628" s="3563"/>
      <c r="W628" s="3578"/>
      <c r="X628" s="3578"/>
      <c r="Y628" s="3578"/>
      <c r="Z628" s="3578"/>
      <c r="AA628" s="3578"/>
      <c r="AB628" s="3563"/>
      <c r="AC628" s="3578"/>
      <c r="AD628" s="3578"/>
      <c r="AE628" s="3578"/>
      <c r="AF628" s="3578"/>
      <c r="AG628" s="3576"/>
      <c r="AH628" s="3576"/>
      <c r="AI628" s="3580"/>
      <c r="AJ628" s="3581"/>
      <c r="AK628" s="3582"/>
      <c r="AL628" s="3582"/>
      <c r="AM628" s="3582"/>
      <c r="AN628" s="3582"/>
      <c r="AO628" s="3582"/>
      <c r="AP628" s="3582"/>
      <c r="AQ628" s="3582"/>
      <c r="AR628" s="3576"/>
      <c r="AS628" s="3576"/>
      <c r="AT628" s="3576"/>
      <c r="AU628" s="3576"/>
      <c r="AV628" s="3563"/>
    </row>
    <row r="629" s="3565" customFormat="1" spans="1:48">
      <c r="A629" s="3575"/>
      <c r="B629" s="3576"/>
      <c r="C629" s="3576"/>
      <c r="D629" s="3563"/>
      <c r="E629" s="3563"/>
      <c r="F629" s="3576"/>
      <c r="G629" s="3576"/>
      <c r="H629" s="3563"/>
      <c r="I629" s="3563"/>
      <c r="J629" s="3563"/>
      <c r="K629" s="3563"/>
      <c r="L629" s="3563"/>
      <c r="M629" s="3563"/>
      <c r="N629" s="3577"/>
      <c r="O629" s="3563"/>
      <c r="P629" s="3576"/>
      <c r="Q629" s="3578"/>
      <c r="R629" s="3563"/>
      <c r="S629" s="3563"/>
      <c r="T629" s="4014"/>
      <c r="U629" s="3563"/>
      <c r="V629" s="3563"/>
      <c r="W629" s="3578"/>
      <c r="X629" s="3578"/>
      <c r="Y629" s="3578"/>
      <c r="Z629" s="3578"/>
      <c r="AA629" s="3578"/>
      <c r="AB629" s="3563"/>
      <c r="AC629" s="3578"/>
      <c r="AD629" s="3578"/>
      <c r="AE629" s="3578"/>
      <c r="AF629" s="3578"/>
      <c r="AG629" s="3576"/>
      <c r="AH629" s="3576"/>
      <c r="AI629" s="3580"/>
      <c r="AJ629" s="3581"/>
      <c r="AK629" s="3582"/>
      <c r="AL629" s="3582"/>
      <c r="AM629" s="3582"/>
      <c r="AN629" s="3582"/>
      <c r="AO629" s="3582"/>
      <c r="AP629" s="3582"/>
      <c r="AQ629" s="3582"/>
      <c r="AR629" s="3576"/>
      <c r="AS629" s="3576"/>
      <c r="AT629" s="3576"/>
      <c r="AU629" s="3576"/>
      <c r="AV629" s="3563"/>
    </row>
    <row r="630" s="3565" customFormat="1" spans="1:48">
      <c r="A630" s="3575"/>
      <c r="B630" s="3576"/>
      <c r="C630" s="3576"/>
      <c r="D630" s="3563"/>
      <c r="E630" s="3563"/>
      <c r="F630" s="3576"/>
      <c r="G630" s="3576"/>
      <c r="H630" s="3563"/>
      <c r="I630" s="3563"/>
      <c r="J630" s="3563"/>
      <c r="K630" s="3563"/>
      <c r="L630" s="3563"/>
      <c r="M630" s="3563"/>
      <c r="N630" s="3577"/>
      <c r="O630" s="3563"/>
      <c r="P630" s="3576"/>
      <c r="Q630" s="3578"/>
      <c r="R630" s="3563"/>
      <c r="S630" s="3563"/>
      <c r="T630" s="4023"/>
      <c r="U630" s="3563"/>
      <c r="V630" s="3563"/>
      <c r="W630" s="3578"/>
      <c r="X630" s="3578"/>
      <c r="Y630" s="3578"/>
      <c r="Z630" s="3578"/>
      <c r="AA630" s="3578"/>
      <c r="AB630" s="3563"/>
      <c r="AC630" s="3578"/>
      <c r="AD630" s="3578"/>
      <c r="AE630" s="3578"/>
      <c r="AF630" s="3578"/>
      <c r="AG630" s="3576"/>
      <c r="AH630" s="3576"/>
      <c r="AI630" s="3580"/>
      <c r="AJ630" s="3581"/>
      <c r="AK630" s="3582"/>
      <c r="AL630" s="3582"/>
      <c r="AM630" s="3582"/>
      <c r="AN630" s="3582"/>
      <c r="AO630" s="3582"/>
      <c r="AP630" s="3582"/>
      <c r="AQ630" s="3582"/>
      <c r="AR630" s="3576"/>
      <c r="AS630" s="3576"/>
      <c r="AT630" s="3576"/>
      <c r="AU630" s="3576"/>
      <c r="AV630" s="3563"/>
    </row>
    <row r="631" s="3565" customFormat="1" spans="1:48">
      <c r="A631" s="3575"/>
      <c r="B631" s="3576"/>
      <c r="C631" s="3576"/>
      <c r="D631" s="3563"/>
      <c r="E631" s="3563"/>
      <c r="F631" s="3576"/>
      <c r="G631" s="3576"/>
      <c r="H631" s="3563"/>
      <c r="I631" s="3563"/>
      <c r="J631" s="3563"/>
      <c r="K631" s="3563"/>
      <c r="L631" s="3563"/>
      <c r="M631" s="3563"/>
      <c r="N631" s="3577"/>
      <c r="O631" s="3563"/>
      <c r="P631" s="3576"/>
      <c r="Q631" s="3578"/>
      <c r="R631" s="3563"/>
      <c r="S631" s="3563"/>
      <c r="T631" s="4023"/>
      <c r="U631" s="3563"/>
      <c r="V631" s="3563"/>
      <c r="W631" s="3578"/>
      <c r="X631" s="3578"/>
      <c r="Y631" s="3578"/>
      <c r="Z631" s="3578"/>
      <c r="AA631" s="3578"/>
      <c r="AB631" s="3563"/>
      <c r="AC631" s="3578"/>
      <c r="AD631" s="3578"/>
      <c r="AE631" s="3578"/>
      <c r="AF631" s="3578"/>
      <c r="AG631" s="3576"/>
      <c r="AH631" s="3576"/>
      <c r="AI631" s="3580"/>
      <c r="AJ631" s="3581"/>
      <c r="AK631" s="3582"/>
      <c r="AL631" s="3582"/>
      <c r="AM631" s="3582"/>
      <c r="AN631" s="3582"/>
      <c r="AO631" s="3582"/>
      <c r="AP631" s="3582"/>
      <c r="AQ631" s="3582"/>
      <c r="AR631" s="3576"/>
      <c r="AS631" s="3576"/>
      <c r="AT631" s="3576"/>
      <c r="AU631" s="3576"/>
      <c r="AV631" s="3563"/>
    </row>
    <row r="632" s="3565" customFormat="1" spans="1:48">
      <c r="A632" s="3575"/>
      <c r="B632" s="3576"/>
      <c r="C632" s="3576"/>
      <c r="D632" s="3563"/>
      <c r="E632" s="3563"/>
      <c r="F632" s="3576"/>
      <c r="G632" s="3576"/>
      <c r="H632" s="3563"/>
      <c r="I632" s="3563"/>
      <c r="J632" s="3563"/>
      <c r="K632" s="3563"/>
      <c r="L632" s="3563"/>
      <c r="M632" s="3563"/>
      <c r="N632" s="3577"/>
      <c r="O632" s="3563"/>
      <c r="P632" s="3576"/>
      <c r="Q632" s="3578"/>
      <c r="R632" s="3563"/>
      <c r="S632" s="3563"/>
      <c r="T632" s="4023"/>
      <c r="U632" s="3563"/>
      <c r="V632" s="3563"/>
      <c r="W632" s="3578"/>
      <c r="X632" s="3578"/>
      <c r="Y632" s="3578"/>
      <c r="Z632" s="3578"/>
      <c r="AA632" s="3578"/>
      <c r="AB632" s="3563"/>
      <c r="AC632" s="3578"/>
      <c r="AD632" s="3578"/>
      <c r="AE632" s="3578"/>
      <c r="AF632" s="3578"/>
      <c r="AG632" s="3576"/>
      <c r="AH632" s="3576"/>
      <c r="AI632" s="3580"/>
      <c r="AJ632" s="3581"/>
      <c r="AK632" s="3582"/>
      <c r="AL632" s="3582"/>
      <c r="AM632" s="3582"/>
      <c r="AN632" s="3582"/>
      <c r="AO632" s="3582"/>
      <c r="AP632" s="3582"/>
      <c r="AQ632" s="3582"/>
      <c r="AR632" s="3576"/>
      <c r="AS632" s="3576"/>
      <c r="AT632" s="3576"/>
      <c r="AU632" s="3576"/>
      <c r="AV632" s="3563"/>
    </row>
    <row r="633" s="3565" customFormat="1" spans="1:48">
      <c r="A633" s="3575"/>
      <c r="B633" s="3576"/>
      <c r="C633" s="3576"/>
      <c r="D633" s="3563"/>
      <c r="E633" s="3563"/>
      <c r="F633" s="3576"/>
      <c r="G633" s="3576"/>
      <c r="H633" s="3563"/>
      <c r="I633" s="3563"/>
      <c r="J633" s="3563"/>
      <c r="K633" s="3563"/>
      <c r="L633" s="3563"/>
      <c r="M633" s="3563"/>
      <c r="N633" s="3577"/>
      <c r="O633" s="3563"/>
      <c r="P633" s="3576"/>
      <c r="Q633" s="3578"/>
      <c r="R633" s="3563"/>
      <c r="S633" s="3563"/>
      <c r="T633" s="4023"/>
      <c r="U633" s="3563"/>
      <c r="V633" s="3563"/>
      <c r="W633" s="3578"/>
      <c r="X633" s="3578"/>
      <c r="Y633" s="3578"/>
      <c r="Z633" s="3578"/>
      <c r="AA633" s="3578"/>
      <c r="AB633" s="3563"/>
      <c r="AC633" s="3578"/>
      <c r="AD633" s="3578"/>
      <c r="AE633" s="3578"/>
      <c r="AF633" s="3578"/>
      <c r="AG633" s="3576"/>
      <c r="AH633" s="3576"/>
      <c r="AI633" s="3580"/>
      <c r="AJ633" s="3581"/>
      <c r="AK633" s="3582"/>
      <c r="AL633" s="3582"/>
      <c r="AM633" s="3582"/>
      <c r="AN633" s="3582"/>
      <c r="AO633" s="3582"/>
      <c r="AP633" s="3582"/>
      <c r="AQ633" s="3582"/>
      <c r="AR633" s="3576"/>
      <c r="AS633" s="3576"/>
      <c r="AT633" s="3576"/>
      <c r="AU633" s="3576"/>
      <c r="AV633" s="3563"/>
    </row>
    <row r="634" s="3565" customFormat="1" spans="1:48">
      <c r="A634" s="3575"/>
      <c r="B634" s="3576"/>
      <c r="C634" s="3576"/>
      <c r="D634" s="3563"/>
      <c r="E634" s="3563"/>
      <c r="F634" s="3576"/>
      <c r="G634" s="3576"/>
      <c r="H634" s="3563"/>
      <c r="I634" s="3563"/>
      <c r="J634" s="3563"/>
      <c r="K634" s="3563"/>
      <c r="L634" s="3563"/>
      <c r="M634" s="3563"/>
      <c r="N634" s="3577"/>
      <c r="O634" s="3563"/>
      <c r="P634" s="3576"/>
      <c r="Q634" s="3578"/>
      <c r="R634" s="3563"/>
      <c r="S634" s="3563"/>
      <c r="T634" s="4023"/>
      <c r="U634" s="3563"/>
      <c r="V634" s="3563"/>
      <c r="W634" s="3578"/>
      <c r="X634" s="3578"/>
      <c r="Y634" s="3578"/>
      <c r="Z634" s="3578"/>
      <c r="AA634" s="3578"/>
      <c r="AB634" s="3563"/>
      <c r="AC634" s="3578"/>
      <c r="AD634" s="3578"/>
      <c r="AE634" s="3578"/>
      <c r="AF634" s="3578"/>
      <c r="AG634" s="3576"/>
      <c r="AH634" s="3576"/>
      <c r="AI634" s="3580"/>
      <c r="AJ634" s="3581"/>
      <c r="AK634" s="3582"/>
      <c r="AL634" s="3582"/>
      <c r="AM634" s="3582"/>
      <c r="AN634" s="3582"/>
      <c r="AO634" s="3582"/>
      <c r="AP634" s="3582"/>
      <c r="AQ634" s="3582"/>
      <c r="AR634" s="3576"/>
      <c r="AS634" s="3576"/>
      <c r="AT634" s="3576"/>
      <c r="AU634" s="3576"/>
      <c r="AV634" s="3563"/>
    </row>
    <row r="635" s="3565" customFormat="1" spans="1:48">
      <c r="A635" s="3575"/>
      <c r="B635" s="3576"/>
      <c r="C635" s="3576"/>
      <c r="D635" s="3563"/>
      <c r="E635" s="3563"/>
      <c r="F635" s="3576"/>
      <c r="G635" s="3576"/>
      <c r="H635" s="3563"/>
      <c r="I635" s="3563"/>
      <c r="J635" s="3563"/>
      <c r="K635" s="3563"/>
      <c r="L635" s="3563"/>
      <c r="M635" s="3563"/>
      <c r="N635" s="3577"/>
      <c r="O635" s="3563"/>
      <c r="P635" s="3576"/>
      <c r="Q635" s="3578"/>
      <c r="R635" s="3563"/>
      <c r="S635" s="3563"/>
      <c r="T635" s="4023"/>
      <c r="U635" s="3563"/>
      <c r="V635" s="3563"/>
      <c r="W635" s="3578"/>
      <c r="X635" s="3578"/>
      <c r="Y635" s="3578"/>
      <c r="Z635" s="3578"/>
      <c r="AA635" s="3578"/>
      <c r="AB635" s="3563"/>
      <c r="AC635" s="3578"/>
      <c r="AD635" s="3578"/>
      <c r="AE635" s="3578"/>
      <c r="AF635" s="3578"/>
      <c r="AG635" s="3576"/>
      <c r="AH635" s="3576"/>
      <c r="AI635" s="3580"/>
      <c r="AJ635" s="3581"/>
      <c r="AK635" s="3582"/>
      <c r="AL635" s="3582"/>
      <c r="AM635" s="3582"/>
      <c r="AN635" s="3582"/>
      <c r="AO635" s="3582"/>
      <c r="AP635" s="3582"/>
      <c r="AQ635" s="3582"/>
      <c r="AR635" s="3576"/>
      <c r="AS635" s="3576"/>
      <c r="AT635" s="3576"/>
      <c r="AU635" s="3576"/>
      <c r="AV635" s="3563"/>
    </row>
    <row r="636" s="3565" customFormat="1" spans="1:48">
      <c r="A636" s="3575"/>
      <c r="B636" s="3576"/>
      <c r="C636" s="3576"/>
      <c r="D636" s="3563"/>
      <c r="E636" s="3563"/>
      <c r="F636" s="3576"/>
      <c r="G636" s="3576"/>
      <c r="H636" s="3563"/>
      <c r="I636" s="3563"/>
      <c r="J636" s="3563"/>
      <c r="K636" s="3563"/>
      <c r="L636" s="3563"/>
      <c r="M636" s="3563"/>
      <c r="N636" s="3577"/>
      <c r="O636" s="3563"/>
      <c r="P636" s="3576"/>
      <c r="Q636" s="3578"/>
      <c r="R636" s="3563"/>
      <c r="S636" s="3563"/>
      <c r="T636" s="4023"/>
      <c r="U636" s="3563"/>
      <c r="V636" s="3563"/>
      <c r="W636" s="3578"/>
      <c r="X636" s="3578"/>
      <c r="Y636" s="3578"/>
      <c r="Z636" s="3578"/>
      <c r="AA636" s="3578"/>
      <c r="AB636" s="3563"/>
      <c r="AC636" s="3578"/>
      <c r="AD636" s="3578"/>
      <c r="AE636" s="3578"/>
      <c r="AF636" s="3578"/>
      <c r="AG636" s="3576"/>
      <c r="AH636" s="3576"/>
      <c r="AI636" s="3580"/>
      <c r="AJ636" s="3581"/>
      <c r="AK636" s="3582"/>
      <c r="AL636" s="3582"/>
      <c r="AM636" s="3582"/>
      <c r="AN636" s="3582"/>
      <c r="AO636" s="3582"/>
      <c r="AP636" s="3582"/>
      <c r="AQ636" s="3582"/>
      <c r="AR636" s="3576"/>
      <c r="AS636" s="3576"/>
      <c r="AT636" s="3576"/>
      <c r="AU636" s="3576"/>
      <c r="AV636" s="3563"/>
    </row>
    <row r="637" s="3565" customFormat="1" spans="1:48">
      <c r="A637" s="3575"/>
      <c r="B637" s="3576"/>
      <c r="C637" s="3576"/>
      <c r="D637" s="3563"/>
      <c r="E637" s="3563"/>
      <c r="F637" s="3576"/>
      <c r="G637" s="3576"/>
      <c r="H637" s="3563"/>
      <c r="I637" s="3563"/>
      <c r="J637" s="3563"/>
      <c r="K637" s="3563"/>
      <c r="L637" s="3563"/>
      <c r="M637" s="3563"/>
      <c r="N637" s="3577"/>
      <c r="O637" s="3563"/>
      <c r="P637" s="3576"/>
      <c r="Q637" s="3578"/>
      <c r="R637" s="3563"/>
      <c r="S637" s="3563"/>
      <c r="T637" s="4023"/>
      <c r="U637" s="3563"/>
      <c r="V637" s="3563"/>
      <c r="W637" s="3578"/>
      <c r="X637" s="3578"/>
      <c r="Y637" s="3578"/>
      <c r="Z637" s="3578"/>
      <c r="AA637" s="3578"/>
      <c r="AB637" s="3563"/>
      <c r="AC637" s="3578"/>
      <c r="AD637" s="3578"/>
      <c r="AE637" s="3578"/>
      <c r="AF637" s="3578"/>
      <c r="AG637" s="3576"/>
      <c r="AH637" s="3576"/>
      <c r="AI637" s="3580"/>
      <c r="AJ637" s="3581"/>
      <c r="AK637" s="3582"/>
      <c r="AL637" s="3582"/>
      <c r="AM637" s="3582"/>
      <c r="AN637" s="3582"/>
      <c r="AO637" s="3582"/>
      <c r="AP637" s="3582"/>
      <c r="AQ637" s="3582"/>
      <c r="AR637" s="3576"/>
      <c r="AS637" s="3576"/>
      <c r="AT637" s="3576"/>
      <c r="AU637" s="3576"/>
      <c r="AV637" s="3563"/>
    </row>
    <row r="638" s="3565" customFormat="1" spans="1:48">
      <c r="A638" s="3575"/>
      <c r="B638" s="3576"/>
      <c r="C638" s="3576"/>
      <c r="D638" s="3563"/>
      <c r="E638" s="3563"/>
      <c r="F638" s="3576"/>
      <c r="G638" s="3576"/>
      <c r="H638" s="3563"/>
      <c r="I638" s="3563"/>
      <c r="J638" s="3563"/>
      <c r="K638" s="3563"/>
      <c r="L638" s="3563"/>
      <c r="M638" s="3563"/>
      <c r="N638" s="3577"/>
      <c r="O638" s="3563"/>
      <c r="P638" s="3576"/>
      <c r="Q638" s="3578"/>
      <c r="R638" s="3563"/>
      <c r="S638" s="3563"/>
      <c r="T638" s="4023"/>
      <c r="U638" s="3563"/>
      <c r="V638" s="3563"/>
      <c r="W638" s="3578"/>
      <c r="X638" s="3578"/>
      <c r="Y638" s="3578"/>
      <c r="Z638" s="3578"/>
      <c r="AA638" s="3578"/>
      <c r="AB638" s="3563"/>
      <c r="AC638" s="3578"/>
      <c r="AD638" s="3578"/>
      <c r="AE638" s="3578"/>
      <c r="AF638" s="3578"/>
      <c r="AG638" s="3576"/>
      <c r="AH638" s="3576"/>
      <c r="AI638" s="3580"/>
      <c r="AJ638" s="3581"/>
      <c r="AK638" s="3582"/>
      <c r="AL638" s="3582"/>
      <c r="AM638" s="3582"/>
      <c r="AN638" s="3582"/>
      <c r="AO638" s="3582"/>
      <c r="AP638" s="3582"/>
      <c r="AQ638" s="3582"/>
      <c r="AR638" s="3576"/>
      <c r="AS638" s="3576"/>
      <c r="AT638" s="3576"/>
      <c r="AU638" s="3576"/>
      <c r="AV638" s="3563"/>
    </row>
    <row r="639" s="3565" customFormat="1" spans="1:48">
      <c r="A639" s="3575"/>
      <c r="B639" s="3576"/>
      <c r="C639" s="3576"/>
      <c r="D639" s="3563"/>
      <c r="E639" s="3563"/>
      <c r="F639" s="3576"/>
      <c r="G639" s="3576"/>
      <c r="H639" s="3563"/>
      <c r="I639" s="3563"/>
      <c r="J639" s="3563"/>
      <c r="K639" s="3563"/>
      <c r="L639" s="3563"/>
      <c r="M639" s="3563"/>
      <c r="N639" s="3577"/>
      <c r="O639" s="3563"/>
      <c r="P639" s="3576"/>
      <c r="Q639" s="3578"/>
      <c r="R639" s="3563"/>
      <c r="S639" s="3563"/>
      <c r="T639" s="4023"/>
      <c r="U639" s="3563"/>
      <c r="V639" s="3563"/>
      <c r="W639" s="3578"/>
      <c r="X639" s="3578"/>
      <c r="Y639" s="3578"/>
      <c r="Z639" s="3578"/>
      <c r="AA639" s="3578"/>
      <c r="AB639" s="3563"/>
      <c r="AC639" s="3578"/>
      <c r="AD639" s="3578"/>
      <c r="AE639" s="3578"/>
      <c r="AF639" s="3578"/>
      <c r="AG639" s="3576"/>
      <c r="AH639" s="3576"/>
      <c r="AI639" s="3580"/>
      <c r="AJ639" s="3581"/>
      <c r="AK639" s="3582"/>
      <c r="AL639" s="3582"/>
      <c r="AM639" s="3582"/>
      <c r="AN639" s="3582"/>
      <c r="AO639" s="3582"/>
      <c r="AP639" s="3582"/>
      <c r="AQ639" s="3582"/>
      <c r="AR639" s="3576"/>
      <c r="AS639" s="3576"/>
      <c r="AT639" s="3576"/>
      <c r="AU639" s="3576"/>
      <c r="AV639" s="3563"/>
    </row>
    <row r="640" s="3565" customFormat="1" spans="1:48">
      <c r="A640" s="3575"/>
      <c r="B640" s="3576"/>
      <c r="C640" s="3576"/>
      <c r="D640" s="3563"/>
      <c r="E640" s="3563"/>
      <c r="F640" s="3576"/>
      <c r="G640" s="3576"/>
      <c r="H640" s="3563"/>
      <c r="I640" s="3563"/>
      <c r="J640" s="3563"/>
      <c r="K640" s="3563"/>
      <c r="L640" s="3563"/>
      <c r="M640" s="3563"/>
      <c r="N640" s="3577"/>
      <c r="O640" s="3563"/>
      <c r="P640" s="3576"/>
      <c r="Q640" s="3578"/>
      <c r="R640" s="3563"/>
      <c r="S640" s="3563"/>
      <c r="T640" s="4023"/>
      <c r="U640" s="3563"/>
      <c r="V640" s="3563"/>
      <c r="W640" s="3578"/>
      <c r="X640" s="3578"/>
      <c r="Y640" s="3578"/>
      <c r="Z640" s="3578"/>
      <c r="AA640" s="3578"/>
      <c r="AB640" s="3563"/>
      <c r="AC640" s="3578"/>
      <c r="AD640" s="3578"/>
      <c r="AE640" s="3578"/>
      <c r="AF640" s="3578"/>
      <c r="AG640" s="3576"/>
      <c r="AH640" s="3576"/>
      <c r="AI640" s="3580"/>
      <c r="AJ640" s="3581"/>
      <c r="AK640" s="3582"/>
      <c r="AL640" s="3582"/>
      <c r="AM640" s="3582"/>
      <c r="AN640" s="3582"/>
      <c r="AO640" s="3582"/>
      <c r="AP640" s="3582"/>
      <c r="AQ640" s="3582"/>
      <c r="AR640" s="3576"/>
      <c r="AS640" s="3576"/>
      <c r="AT640" s="3576"/>
      <c r="AU640" s="3576"/>
      <c r="AV640" s="3563"/>
    </row>
    <row r="641" s="3565" customFormat="1" spans="1:48">
      <c r="A641" s="3575"/>
      <c r="B641" s="3576"/>
      <c r="C641" s="3576"/>
      <c r="D641" s="3563"/>
      <c r="E641" s="3563"/>
      <c r="F641" s="3576"/>
      <c r="G641" s="3576"/>
      <c r="H641" s="3563"/>
      <c r="I641" s="3563"/>
      <c r="J641" s="3563"/>
      <c r="K641" s="3563"/>
      <c r="L641" s="3563"/>
      <c r="M641" s="3563"/>
      <c r="N641" s="3577"/>
      <c r="O641" s="3563"/>
      <c r="P641" s="3576"/>
      <c r="Q641" s="3578"/>
      <c r="R641" s="3563"/>
      <c r="S641" s="3563"/>
      <c r="T641" s="4023"/>
      <c r="U641" s="3563"/>
      <c r="V641" s="3563"/>
      <c r="W641" s="3578"/>
      <c r="X641" s="3578"/>
      <c r="Y641" s="3578"/>
      <c r="Z641" s="3578"/>
      <c r="AA641" s="3578"/>
      <c r="AB641" s="3563"/>
      <c r="AC641" s="3578"/>
      <c r="AD641" s="3578"/>
      <c r="AE641" s="3578"/>
      <c r="AF641" s="3578"/>
      <c r="AG641" s="3576"/>
      <c r="AH641" s="3576"/>
      <c r="AI641" s="3580"/>
      <c r="AJ641" s="3581"/>
      <c r="AK641" s="3582"/>
      <c r="AL641" s="3582"/>
      <c r="AM641" s="3582"/>
      <c r="AN641" s="3582"/>
      <c r="AO641" s="3582"/>
      <c r="AP641" s="3582"/>
      <c r="AQ641" s="3582"/>
      <c r="AR641" s="3576"/>
      <c r="AS641" s="3576"/>
      <c r="AT641" s="3576"/>
      <c r="AU641" s="3576"/>
      <c r="AV641" s="3563"/>
    </row>
    <row r="642" s="3565" customFormat="1" spans="1:48">
      <c r="A642" s="3575"/>
      <c r="B642" s="3576"/>
      <c r="C642" s="3576"/>
      <c r="D642" s="3563"/>
      <c r="E642" s="3563"/>
      <c r="F642" s="3576"/>
      <c r="G642" s="3576"/>
      <c r="H642" s="3563"/>
      <c r="I642" s="3563"/>
      <c r="J642" s="3563"/>
      <c r="K642" s="3563"/>
      <c r="L642" s="3563"/>
      <c r="M642" s="3563"/>
      <c r="N642" s="3577"/>
      <c r="O642" s="3563"/>
      <c r="P642" s="3576"/>
      <c r="Q642" s="3578"/>
      <c r="R642" s="3563"/>
      <c r="S642" s="3563"/>
      <c r="T642" s="4023"/>
      <c r="U642" s="3563"/>
      <c r="V642" s="3563"/>
      <c r="W642" s="3578"/>
      <c r="X642" s="3578"/>
      <c r="Y642" s="3578"/>
      <c r="Z642" s="3578"/>
      <c r="AA642" s="3578"/>
      <c r="AB642" s="3563"/>
      <c r="AC642" s="3578"/>
      <c r="AD642" s="3578"/>
      <c r="AE642" s="3578"/>
      <c r="AF642" s="3578"/>
      <c r="AG642" s="3576"/>
      <c r="AH642" s="3576"/>
      <c r="AI642" s="3580"/>
      <c r="AJ642" s="3581"/>
      <c r="AK642" s="3582"/>
      <c r="AL642" s="3582"/>
      <c r="AM642" s="3582"/>
      <c r="AN642" s="3582"/>
      <c r="AO642" s="3582"/>
      <c r="AP642" s="3582"/>
      <c r="AQ642" s="3582"/>
      <c r="AR642" s="3576"/>
      <c r="AS642" s="3576"/>
      <c r="AT642" s="3576"/>
      <c r="AU642" s="3576"/>
      <c r="AV642" s="3563"/>
    </row>
    <row r="643" s="3565" customFormat="1" spans="1:48">
      <c r="A643" s="3575"/>
      <c r="B643" s="3576"/>
      <c r="C643" s="3576"/>
      <c r="D643" s="3563"/>
      <c r="E643" s="3563"/>
      <c r="F643" s="3576"/>
      <c r="G643" s="3576"/>
      <c r="H643" s="3563"/>
      <c r="I643" s="3563"/>
      <c r="J643" s="3563"/>
      <c r="K643" s="3563"/>
      <c r="L643" s="3563"/>
      <c r="M643" s="3563"/>
      <c r="N643" s="3577"/>
      <c r="O643" s="3563"/>
      <c r="P643" s="3576"/>
      <c r="Q643" s="3578"/>
      <c r="R643" s="3563"/>
      <c r="S643" s="3563"/>
      <c r="T643" s="4023"/>
      <c r="U643" s="3563"/>
      <c r="V643" s="3563"/>
      <c r="W643" s="3578"/>
      <c r="X643" s="3578"/>
      <c r="Y643" s="3578"/>
      <c r="Z643" s="3578"/>
      <c r="AA643" s="3578"/>
      <c r="AB643" s="3563"/>
      <c r="AC643" s="3578"/>
      <c r="AD643" s="3578"/>
      <c r="AE643" s="3578"/>
      <c r="AF643" s="3578"/>
      <c r="AG643" s="3576"/>
      <c r="AH643" s="3576"/>
      <c r="AI643" s="3580"/>
      <c r="AJ643" s="3581"/>
      <c r="AK643" s="3582"/>
      <c r="AL643" s="3582"/>
      <c r="AM643" s="3582"/>
      <c r="AN643" s="3582"/>
      <c r="AO643" s="3582"/>
      <c r="AP643" s="3582"/>
      <c r="AQ643" s="3582"/>
      <c r="AR643" s="3576"/>
      <c r="AS643" s="3576"/>
      <c r="AT643" s="3576"/>
      <c r="AU643" s="3576"/>
      <c r="AV643" s="3563"/>
    </row>
    <row r="644" s="3565" customFormat="1" spans="1:48">
      <c r="A644" s="3575"/>
      <c r="B644" s="3576"/>
      <c r="C644" s="3576"/>
      <c r="D644" s="3563"/>
      <c r="E644" s="3563"/>
      <c r="F644" s="3576"/>
      <c r="G644" s="3576"/>
      <c r="H644" s="3563"/>
      <c r="I644" s="3563"/>
      <c r="J644" s="3563"/>
      <c r="K644" s="3563"/>
      <c r="L644" s="3563"/>
      <c r="M644" s="3563"/>
      <c r="N644" s="3577"/>
      <c r="O644" s="3563"/>
      <c r="P644" s="3576"/>
      <c r="Q644" s="3578"/>
      <c r="R644" s="3563"/>
      <c r="S644" s="3563"/>
      <c r="T644" s="4023"/>
      <c r="U644" s="3563"/>
      <c r="V644" s="3563"/>
      <c r="W644" s="3578"/>
      <c r="X644" s="3578"/>
      <c r="Y644" s="3578"/>
      <c r="Z644" s="3578"/>
      <c r="AA644" s="3578"/>
      <c r="AB644" s="3563"/>
      <c r="AC644" s="3578"/>
      <c r="AD644" s="3578"/>
      <c r="AE644" s="3578"/>
      <c r="AF644" s="3578"/>
      <c r="AG644" s="3576"/>
      <c r="AH644" s="3576"/>
      <c r="AI644" s="3580"/>
      <c r="AJ644" s="3581"/>
      <c r="AK644" s="3582"/>
      <c r="AL644" s="3582"/>
      <c r="AM644" s="3582"/>
      <c r="AN644" s="3582"/>
      <c r="AO644" s="3582"/>
      <c r="AP644" s="3582"/>
      <c r="AQ644" s="3582"/>
      <c r="AR644" s="3576"/>
      <c r="AS644" s="3576"/>
      <c r="AT644" s="3576"/>
      <c r="AU644" s="3576"/>
      <c r="AV644" s="3563"/>
    </row>
    <row r="645" s="3565" customFormat="1" spans="1:48">
      <c r="A645" s="3575"/>
      <c r="B645" s="3576"/>
      <c r="C645" s="3576"/>
      <c r="D645" s="3563"/>
      <c r="E645" s="3563"/>
      <c r="F645" s="3576"/>
      <c r="G645" s="3576"/>
      <c r="H645" s="3563"/>
      <c r="I645" s="3563"/>
      <c r="J645" s="3563"/>
      <c r="K645" s="3563"/>
      <c r="L645" s="3563"/>
      <c r="M645" s="3563"/>
      <c r="N645" s="3577"/>
      <c r="O645" s="3563"/>
      <c r="P645" s="3576"/>
      <c r="Q645" s="3578"/>
      <c r="R645" s="3563"/>
      <c r="S645" s="3563"/>
      <c r="T645" s="4023"/>
      <c r="U645" s="3563"/>
      <c r="V645" s="3563"/>
      <c r="W645" s="3578"/>
      <c r="X645" s="3578"/>
      <c r="Y645" s="3578"/>
      <c r="Z645" s="3578"/>
      <c r="AA645" s="3578"/>
      <c r="AB645" s="3563"/>
      <c r="AC645" s="3578"/>
      <c r="AD645" s="3578"/>
      <c r="AE645" s="3578"/>
      <c r="AF645" s="3578"/>
      <c r="AG645" s="3576"/>
      <c r="AH645" s="3576"/>
      <c r="AI645" s="3580"/>
      <c r="AJ645" s="3581"/>
      <c r="AK645" s="3582"/>
      <c r="AL645" s="3582"/>
      <c r="AM645" s="3582"/>
      <c r="AN645" s="3582"/>
      <c r="AO645" s="3582"/>
      <c r="AP645" s="3582"/>
      <c r="AQ645" s="3582"/>
      <c r="AR645" s="3576"/>
      <c r="AS645" s="3576"/>
      <c r="AT645" s="3576"/>
      <c r="AU645" s="3576"/>
      <c r="AV645" s="3563"/>
    </row>
    <row r="646" s="3565" customFormat="1" spans="1:48">
      <c r="A646" s="3575"/>
      <c r="B646" s="3576"/>
      <c r="C646" s="3576"/>
      <c r="D646" s="3563"/>
      <c r="E646" s="3563"/>
      <c r="F646" s="3576"/>
      <c r="G646" s="3576"/>
      <c r="H646" s="3563"/>
      <c r="I646" s="3563"/>
      <c r="J646" s="3563"/>
      <c r="K646" s="3563"/>
      <c r="L646" s="3563"/>
      <c r="M646" s="3563"/>
      <c r="N646" s="3577"/>
      <c r="O646" s="3563"/>
      <c r="P646" s="3576"/>
      <c r="Q646" s="3578"/>
      <c r="R646" s="3563"/>
      <c r="S646" s="3563"/>
      <c r="T646" s="4023"/>
      <c r="U646" s="3563"/>
      <c r="V646" s="3563"/>
      <c r="W646" s="3578"/>
      <c r="X646" s="3578"/>
      <c r="Y646" s="3578"/>
      <c r="Z646" s="3578"/>
      <c r="AA646" s="3578"/>
      <c r="AB646" s="3563"/>
      <c r="AC646" s="3578"/>
      <c r="AD646" s="3578"/>
      <c r="AE646" s="3578"/>
      <c r="AF646" s="3578"/>
      <c r="AG646" s="3576"/>
      <c r="AH646" s="3576"/>
      <c r="AI646" s="3580"/>
      <c r="AJ646" s="3581"/>
      <c r="AK646" s="3582"/>
      <c r="AL646" s="3582"/>
      <c r="AM646" s="3582"/>
      <c r="AN646" s="3582"/>
      <c r="AO646" s="3582"/>
      <c r="AP646" s="3582"/>
      <c r="AQ646" s="3582"/>
      <c r="AR646" s="3576"/>
      <c r="AS646" s="3576"/>
      <c r="AT646" s="3576"/>
      <c r="AU646" s="3576"/>
      <c r="AV646" s="3563"/>
    </row>
    <row r="647" s="3565" customFormat="1" spans="1:48">
      <c r="A647" s="3575"/>
      <c r="B647" s="3576"/>
      <c r="C647" s="3576"/>
      <c r="D647" s="3563"/>
      <c r="E647" s="3563"/>
      <c r="F647" s="3576"/>
      <c r="G647" s="3576"/>
      <c r="H647" s="3563"/>
      <c r="I647" s="3563"/>
      <c r="J647" s="3563"/>
      <c r="K647" s="3563"/>
      <c r="L647" s="3563"/>
      <c r="M647" s="3563"/>
      <c r="N647" s="3577"/>
      <c r="O647" s="3563"/>
      <c r="P647" s="3576"/>
      <c r="Q647" s="3578"/>
      <c r="R647" s="3563"/>
      <c r="S647" s="3563"/>
      <c r="T647" s="4023"/>
      <c r="U647" s="3563"/>
      <c r="V647" s="3563"/>
      <c r="W647" s="3578"/>
      <c r="X647" s="3578"/>
      <c r="Y647" s="3578"/>
      <c r="Z647" s="3578"/>
      <c r="AA647" s="3578"/>
      <c r="AB647" s="3563"/>
      <c r="AC647" s="3578"/>
      <c r="AD647" s="3578"/>
      <c r="AE647" s="3578"/>
      <c r="AF647" s="3578"/>
      <c r="AG647" s="3576"/>
      <c r="AH647" s="3576"/>
      <c r="AI647" s="3580"/>
      <c r="AJ647" s="3581"/>
      <c r="AK647" s="3582"/>
      <c r="AL647" s="3582"/>
      <c r="AM647" s="3582"/>
      <c r="AN647" s="3582"/>
      <c r="AO647" s="3582"/>
      <c r="AP647" s="3582"/>
      <c r="AQ647" s="3582"/>
      <c r="AR647" s="3576"/>
      <c r="AS647" s="3576"/>
      <c r="AT647" s="3576"/>
      <c r="AU647" s="3576"/>
      <c r="AV647" s="3563"/>
    </row>
    <row r="648" s="3565" customFormat="1" spans="1:48">
      <c r="A648" s="3575"/>
      <c r="B648" s="3576"/>
      <c r="C648" s="3576"/>
      <c r="D648" s="3563"/>
      <c r="E648" s="3563"/>
      <c r="F648" s="3576"/>
      <c r="G648" s="3576"/>
      <c r="H648" s="3563"/>
      <c r="I648" s="3563"/>
      <c r="J648" s="3563"/>
      <c r="K648" s="3563"/>
      <c r="L648" s="3563"/>
      <c r="M648" s="3563"/>
      <c r="N648" s="3577"/>
      <c r="O648" s="3563"/>
      <c r="P648" s="3576"/>
      <c r="Q648" s="3578"/>
      <c r="R648" s="3563"/>
      <c r="S648" s="3563"/>
      <c r="T648" s="4023"/>
      <c r="U648" s="3563"/>
      <c r="V648" s="3563"/>
      <c r="W648" s="3578"/>
      <c r="X648" s="3578"/>
      <c r="Y648" s="3578"/>
      <c r="Z648" s="3578"/>
      <c r="AA648" s="3578"/>
      <c r="AB648" s="3563"/>
      <c r="AC648" s="3578"/>
      <c r="AD648" s="3578"/>
      <c r="AE648" s="3578"/>
      <c r="AF648" s="3578"/>
      <c r="AG648" s="3576"/>
      <c r="AH648" s="3576"/>
      <c r="AI648" s="3580"/>
      <c r="AJ648" s="3581"/>
      <c r="AK648" s="3582"/>
      <c r="AL648" s="3582"/>
      <c r="AM648" s="3582"/>
      <c r="AN648" s="3582"/>
      <c r="AO648" s="3582"/>
      <c r="AP648" s="3582"/>
      <c r="AQ648" s="3582"/>
      <c r="AR648" s="3576"/>
      <c r="AS648" s="3576"/>
      <c r="AT648" s="3576"/>
      <c r="AU648" s="3576"/>
      <c r="AV648" s="3563"/>
    </row>
    <row r="649" s="3565" customFormat="1" spans="1:48">
      <c r="A649" s="3575"/>
      <c r="B649" s="3576"/>
      <c r="C649" s="3576"/>
      <c r="D649" s="3563"/>
      <c r="E649" s="3563"/>
      <c r="F649" s="3576"/>
      <c r="G649" s="3576"/>
      <c r="H649" s="3563"/>
      <c r="I649" s="3563"/>
      <c r="J649" s="3563"/>
      <c r="K649" s="3563"/>
      <c r="L649" s="3563"/>
      <c r="M649" s="3563"/>
      <c r="N649" s="3577"/>
      <c r="O649" s="3563"/>
      <c r="P649" s="3576"/>
      <c r="Q649" s="3578"/>
      <c r="R649" s="3563"/>
      <c r="S649" s="3563"/>
      <c r="T649" s="4023"/>
      <c r="U649" s="3563"/>
      <c r="V649" s="3563"/>
      <c r="W649" s="3578"/>
      <c r="X649" s="3578"/>
      <c r="Y649" s="3578"/>
      <c r="Z649" s="3578"/>
      <c r="AA649" s="3578"/>
      <c r="AB649" s="3563"/>
      <c r="AC649" s="3578"/>
      <c r="AD649" s="3578"/>
      <c r="AE649" s="3578"/>
      <c r="AF649" s="3578"/>
      <c r="AG649" s="3576"/>
      <c r="AH649" s="3576"/>
      <c r="AI649" s="3580"/>
      <c r="AJ649" s="3581"/>
      <c r="AK649" s="3582"/>
      <c r="AL649" s="3582"/>
      <c r="AM649" s="3582"/>
      <c r="AN649" s="3582"/>
      <c r="AO649" s="3582"/>
      <c r="AP649" s="3582"/>
      <c r="AQ649" s="3582"/>
      <c r="AR649" s="3576"/>
      <c r="AS649" s="3576"/>
      <c r="AT649" s="3576"/>
      <c r="AU649" s="3576"/>
      <c r="AV649" s="3563"/>
    </row>
    <row r="650" s="3565" customFormat="1" spans="1:48">
      <c r="A650" s="3575"/>
      <c r="B650" s="3576"/>
      <c r="C650" s="3576"/>
      <c r="D650" s="3563"/>
      <c r="E650" s="3563"/>
      <c r="F650" s="3576"/>
      <c r="G650" s="3576"/>
      <c r="H650" s="3563"/>
      <c r="I650" s="3563"/>
      <c r="J650" s="3563"/>
      <c r="K650" s="3563"/>
      <c r="L650" s="3563"/>
      <c r="M650" s="3563"/>
      <c r="N650" s="3577"/>
      <c r="O650" s="3563"/>
      <c r="P650" s="3576"/>
      <c r="Q650" s="3578"/>
      <c r="R650" s="3563"/>
      <c r="S650" s="3563"/>
      <c r="T650" s="4023"/>
      <c r="U650" s="3563"/>
      <c r="V650" s="3563"/>
      <c r="W650" s="3578"/>
      <c r="X650" s="3578"/>
      <c r="Y650" s="3578"/>
      <c r="Z650" s="3578"/>
      <c r="AA650" s="3578"/>
      <c r="AB650" s="3563"/>
      <c r="AC650" s="3578"/>
      <c r="AD650" s="3578"/>
      <c r="AE650" s="3578"/>
      <c r="AF650" s="3578"/>
      <c r="AG650" s="3576"/>
      <c r="AH650" s="3576"/>
      <c r="AI650" s="3580"/>
      <c r="AJ650" s="3581"/>
      <c r="AK650" s="3582"/>
      <c r="AL650" s="3582"/>
      <c r="AM650" s="3582"/>
      <c r="AN650" s="3582"/>
      <c r="AO650" s="3582"/>
      <c r="AP650" s="3582"/>
      <c r="AQ650" s="3582"/>
      <c r="AR650" s="3576"/>
      <c r="AS650" s="3576"/>
      <c r="AT650" s="3576"/>
      <c r="AU650" s="3576"/>
      <c r="AV650" s="3563"/>
    </row>
    <row r="651" s="3565" customFormat="1" spans="1:48">
      <c r="A651" s="3575"/>
      <c r="B651" s="3576"/>
      <c r="C651" s="3576"/>
      <c r="D651" s="3563"/>
      <c r="E651" s="3563"/>
      <c r="F651" s="3576"/>
      <c r="G651" s="3576"/>
      <c r="H651" s="3563"/>
      <c r="I651" s="3563"/>
      <c r="J651" s="3563"/>
      <c r="K651" s="3563"/>
      <c r="L651" s="3563"/>
      <c r="M651" s="3563"/>
      <c r="N651" s="3577"/>
      <c r="O651" s="3563"/>
      <c r="P651" s="3576"/>
      <c r="Q651" s="3578"/>
      <c r="R651" s="3563"/>
      <c r="S651" s="3563"/>
      <c r="T651" s="4023"/>
      <c r="U651" s="3563"/>
      <c r="V651" s="3563"/>
      <c r="W651" s="3578"/>
      <c r="X651" s="3578"/>
      <c r="Y651" s="3578"/>
      <c r="Z651" s="3578"/>
      <c r="AA651" s="3578"/>
      <c r="AB651" s="3563"/>
      <c r="AC651" s="3578"/>
      <c r="AD651" s="3578"/>
      <c r="AE651" s="3578"/>
      <c r="AF651" s="3578"/>
      <c r="AG651" s="3576"/>
      <c r="AH651" s="3576"/>
      <c r="AI651" s="3580"/>
      <c r="AJ651" s="3581"/>
      <c r="AK651" s="3582"/>
      <c r="AL651" s="3582"/>
      <c r="AM651" s="3582"/>
      <c r="AN651" s="3582"/>
      <c r="AO651" s="3582"/>
      <c r="AP651" s="3582"/>
      <c r="AQ651" s="3582"/>
      <c r="AR651" s="3576"/>
      <c r="AS651" s="3576"/>
      <c r="AT651" s="3576"/>
      <c r="AU651" s="3576"/>
      <c r="AV651" s="3563"/>
    </row>
    <row r="652" s="3565" customFormat="1" spans="1:48">
      <c r="A652" s="3575"/>
      <c r="B652" s="3576"/>
      <c r="C652" s="3576"/>
      <c r="D652" s="3563"/>
      <c r="E652" s="3563"/>
      <c r="F652" s="3576"/>
      <c r="G652" s="3576"/>
      <c r="H652" s="3563"/>
      <c r="I652" s="3563"/>
      <c r="J652" s="3563"/>
      <c r="K652" s="3563"/>
      <c r="L652" s="3563"/>
      <c r="M652" s="3563"/>
      <c r="N652" s="3577"/>
      <c r="O652" s="3563"/>
      <c r="P652" s="3576"/>
      <c r="Q652" s="3578"/>
      <c r="R652" s="3563"/>
      <c r="S652" s="3563"/>
      <c r="T652" s="4023"/>
      <c r="U652" s="3563"/>
      <c r="V652" s="3563"/>
      <c r="W652" s="3578"/>
      <c r="X652" s="3578"/>
      <c r="Y652" s="3578"/>
      <c r="Z652" s="3578"/>
      <c r="AA652" s="3578"/>
      <c r="AB652" s="3563"/>
      <c r="AC652" s="3578"/>
      <c r="AD652" s="3578"/>
      <c r="AE652" s="3578"/>
      <c r="AF652" s="3578"/>
      <c r="AG652" s="3576"/>
      <c r="AH652" s="3576"/>
      <c r="AI652" s="3580"/>
      <c r="AJ652" s="3581"/>
      <c r="AK652" s="3582"/>
      <c r="AL652" s="3582"/>
      <c r="AM652" s="3582"/>
      <c r="AN652" s="3582"/>
      <c r="AO652" s="3582"/>
      <c r="AP652" s="3582"/>
      <c r="AQ652" s="3582"/>
      <c r="AR652" s="3576"/>
      <c r="AS652" s="3576"/>
      <c r="AT652" s="3576"/>
      <c r="AU652" s="3576"/>
      <c r="AV652" s="3563"/>
    </row>
    <row r="653" s="3565" customFormat="1" spans="1:48">
      <c r="A653" s="3575"/>
      <c r="B653" s="3576"/>
      <c r="C653" s="3576"/>
      <c r="D653" s="3563"/>
      <c r="E653" s="3563"/>
      <c r="F653" s="3576"/>
      <c r="G653" s="3576"/>
      <c r="H653" s="3563"/>
      <c r="I653" s="3563"/>
      <c r="J653" s="3563"/>
      <c r="K653" s="3563"/>
      <c r="L653" s="3563"/>
      <c r="M653" s="3563"/>
      <c r="N653" s="3577"/>
      <c r="O653" s="3563"/>
      <c r="P653" s="3576"/>
      <c r="Q653" s="3578"/>
      <c r="R653" s="3563"/>
      <c r="S653" s="3563"/>
      <c r="T653" s="4023"/>
      <c r="U653" s="3563"/>
      <c r="V653" s="3563"/>
      <c r="W653" s="3578"/>
      <c r="X653" s="3578"/>
      <c r="Y653" s="3578"/>
      <c r="Z653" s="3578"/>
      <c r="AA653" s="3578"/>
      <c r="AB653" s="3563"/>
      <c r="AC653" s="3578"/>
      <c r="AD653" s="3578"/>
      <c r="AE653" s="3578"/>
      <c r="AF653" s="3578"/>
      <c r="AG653" s="3576"/>
      <c r="AH653" s="3576"/>
      <c r="AI653" s="3580"/>
      <c r="AJ653" s="3581"/>
      <c r="AK653" s="3582"/>
      <c r="AL653" s="3582"/>
      <c r="AM653" s="3582"/>
      <c r="AN653" s="3582"/>
      <c r="AO653" s="3582"/>
      <c r="AP653" s="3582"/>
      <c r="AQ653" s="3582"/>
      <c r="AR653" s="3576"/>
      <c r="AS653" s="3576"/>
      <c r="AT653" s="3576"/>
      <c r="AU653" s="3576"/>
      <c r="AV653" s="3563"/>
    </row>
    <row r="654" s="3565" customFormat="1" spans="1:48">
      <c r="A654" s="3575"/>
      <c r="B654" s="3576"/>
      <c r="C654" s="3576"/>
      <c r="D654" s="3563"/>
      <c r="E654" s="3563"/>
      <c r="F654" s="3576"/>
      <c r="G654" s="3576"/>
      <c r="H654" s="3563"/>
      <c r="I654" s="3563"/>
      <c r="J654" s="3563"/>
      <c r="K654" s="3563"/>
      <c r="L654" s="3563"/>
      <c r="M654" s="3563"/>
      <c r="N654" s="3577"/>
      <c r="O654" s="3563"/>
      <c r="P654" s="3576"/>
      <c r="Q654" s="3578"/>
      <c r="R654" s="3563"/>
      <c r="S654" s="3563"/>
      <c r="T654" s="4023"/>
      <c r="U654" s="3563"/>
      <c r="V654" s="3563"/>
      <c r="W654" s="3578"/>
      <c r="X654" s="3578"/>
      <c r="Y654" s="3578"/>
      <c r="Z654" s="3578"/>
      <c r="AA654" s="3578"/>
      <c r="AB654" s="3563"/>
      <c r="AC654" s="3578"/>
      <c r="AD654" s="3578"/>
      <c r="AE654" s="3578"/>
      <c r="AF654" s="3578"/>
      <c r="AG654" s="3576"/>
      <c r="AH654" s="3576"/>
      <c r="AI654" s="3580"/>
      <c r="AJ654" s="3581"/>
      <c r="AK654" s="3582"/>
      <c r="AL654" s="3582"/>
      <c r="AM654" s="3582"/>
      <c r="AN654" s="3582"/>
      <c r="AO654" s="3582"/>
      <c r="AP654" s="3582"/>
      <c r="AQ654" s="3582"/>
      <c r="AR654" s="3576"/>
      <c r="AS654" s="3576"/>
      <c r="AT654" s="3576"/>
      <c r="AU654" s="3576"/>
      <c r="AV654" s="3563"/>
    </row>
    <row r="655" s="3565" customFormat="1" spans="1:48">
      <c r="A655" s="3575"/>
      <c r="B655" s="3576"/>
      <c r="C655" s="3576"/>
      <c r="D655" s="3563"/>
      <c r="E655" s="3563"/>
      <c r="F655" s="3576"/>
      <c r="G655" s="3576"/>
      <c r="H655" s="3563"/>
      <c r="I655" s="3563"/>
      <c r="J655" s="3563"/>
      <c r="K655" s="3563"/>
      <c r="L655" s="3563"/>
      <c r="M655" s="3563"/>
      <c r="N655" s="3577"/>
      <c r="O655" s="3563"/>
      <c r="P655" s="3576"/>
      <c r="Q655" s="3578"/>
      <c r="R655" s="3563"/>
      <c r="S655" s="3563"/>
      <c r="T655" s="4023"/>
      <c r="U655" s="3563"/>
      <c r="V655" s="3563"/>
      <c r="W655" s="3578"/>
      <c r="X655" s="3578"/>
      <c r="Y655" s="3578"/>
      <c r="Z655" s="3578"/>
      <c r="AA655" s="3578"/>
      <c r="AB655" s="3563"/>
      <c r="AC655" s="3578"/>
      <c r="AD655" s="3578"/>
      <c r="AE655" s="3578"/>
      <c r="AF655" s="3578"/>
      <c r="AG655" s="3576"/>
      <c r="AH655" s="3576"/>
      <c r="AI655" s="3580"/>
      <c r="AJ655" s="3581"/>
      <c r="AK655" s="3582"/>
      <c r="AL655" s="3582"/>
      <c r="AM655" s="3582"/>
      <c r="AN655" s="3582"/>
      <c r="AO655" s="3582"/>
      <c r="AP655" s="3582"/>
      <c r="AQ655" s="3582"/>
      <c r="AR655" s="3576"/>
      <c r="AS655" s="3576"/>
      <c r="AT655" s="3576"/>
      <c r="AU655" s="3576"/>
      <c r="AV655" s="3563"/>
    </row>
    <row r="656" s="3565" customFormat="1" spans="1:48">
      <c r="A656" s="3575"/>
      <c r="B656" s="3576"/>
      <c r="C656" s="3576"/>
      <c r="D656" s="3563"/>
      <c r="E656" s="3563"/>
      <c r="F656" s="3576"/>
      <c r="G656" s="3576"/>
      <c r="H656" s="3563"/>
      <c r="I656" s="3563"/>
      <c r="J656" s="3563"/>
      <c r="K656" s="3563"/>
      <c r="L656" s="3563"/>
      <c r="M656" s="3563"/>
      <c r="N656" s="3577"/>
      <c r="O656" s="3563"/>
      <c r="P656" s="3576"/>
      <c r="Q656" s="3578"/>
      <c r="R656" s="3563"/>
      <c r="S656" s="3563"/>
      <c r="T656" s="4023"/>
      <c r="U656" s="3563"/>
      <c r="V656" s="3563"/>
      <c r="W656" s="3578"/>
      <c r="X656" s="3578"/>
      <c r="Y656" s="3578"/>
      <c r="Z656" s="3578"/>
      <c r="AA656" s="3578"/>
      <c r="AB656" s="3563"/>
      <c r="AC656" s="3578"/>
      <c r="AD656" s="3578"/>
      <c r="AE656" s="3578"/>
      <c r="AF656" s="3578"/>
      <c r="AG656" s="3576"/>
      <c r="AH656" s="3576"/>
      <c r="AI656" s="3580"/>
      <c r="AJ656" s="3581"/>
      <c r="AK656" s="3582"/>
      <c r="AL656" s="3582"/>
      <c r="AM656" s="3582"/>
      <c r="AN656" s="3582"/>
      <c r="AO656" s="3582"/>
      <c r="AP656" s="3582"/>
      <c r="AQ656" s="3582"/>
      <c r="AR656" s="3576"/>
      <c r="AS656" s="3576"/>
      <c r="AT656" s="3576"/>
      <c r="AU656" s="3576"/>
      <c r="AV656" s="3563"/>
    </row>
    <row r="657" s="3565" customFormat="1" spans="1:48">
      <c r="A657" s="3575"/>
      <c r="B657" s="3576"/>
      <c r="C657" s="3576"/>
      <c r="D657" s="3563"/>
      <c r="E657" s="3563"/>
      <c r="F657" s="3576"/>
      <c r="G657" s="3576"/>
      <c r="H657" s="3563"/>
      <c r="I657" s="3563"/>
      <c r="J657" s="3563"/>
      <c r="K657" s="3563"/>
      <c r="L657" s="3563"/>
      <c r="M657" s="3563"/>
      <c r="N657" s="3577"/>
      <c r="O657" s="3563"/>
      <c r="P657" s="3576"/>
      <c r="Q657" s="3578"/>
      <c r="R657" s="3563"/>
      <c r="S657" s="3563"/>
      <c r="T657" s="4023"/>
      <c r="U657" s="3563"/>
      <c r="V657" s="3563"/>
      <c r="W657" s="3578"/>
      <c r="X657" s="3578"/>
      <c r="Y657" s="3578"/>
      <c r="Z657" s="3578"/>
      <c r="AA657" s="3578"/>
      <c r="AB657" s="3563"/>
      <c r="AC657" s="3578"/>
      <c r="AD657" s="3578"/>
      <c r="AE657" s="3578"/>
      <c r="AF657" s="3578"/>
      <c r="AG657" s="3576"/>
      <c r="AH657" s="3576"/>
      <c r="AI657" s="3580"/>
      <c r="AJ657" s="3581"/>
      <c r="AK657" s="3582"/>
      <c r="AL657" s="3582"/>
      <c r="AM657" s="3582"/>
      <c r="AN657" s="3582"/>
      <c r="AO657" s="3582"/>
      <c r="AP657" s="3582"/>
      <c r="AQ657" s="3582"/>
      <c r="AR657" s="3576"/>
      <c r="AS657" s="3576"/>
      <c r="AT657" s="3576"/>
      <c r="AU657" s="3576"/>
      <c r="AV657" s="3563"/>
    </row>
    <row r="658" s="3565" customFormat="1" spans="1:48">
      <c r="A658" s="3575"/>
      <c r="B658" s="3576"/>
      <c r="C658" s="3576"/>
      <c r="D658" s="3563"/>
      <c r="E658" s="3563"/>
      <c r="F658" s="3576"/>
      <c r="G658" s="3576"/>
      <c r="H658" s="3563"/>
      <c r="I658" s="3563"/>
      <c r="J658" s="3563"/>
      <c r="K658" s="3563"/>
      <c r="L658" s="3563"/>
      <c r="M658" s="3563"/>
      <c r="N658" s="3577"/>
      <c r="O658" s="3563"/>
      <c r="P658" s="3576"/>
      <c r="Q658" s="3578"/>
      <c r="R658" s="3563"/>
      <c r="S658" s="3563"/>
      <c r="T658" s="4023"/>
      <c r="U658" s="3563"/>
      <c r="V658" s="3563"/>
      <c r="W658" s="3578"/>
      <c r="X658" s="3578"/>
      <c r="Y658" s="3578"/>
      <c r="Z658" s="3578"/>
      <c r="AA658" s="3578"/>
      <c r="AB658" s="3563"/>
      <c r="AC658" s="3578"/>
      <c r="AD658" s="3578"/>
      <c r="AE658" s="3578"/>
      <c r="AF658" s="3578"/>
      <c r="AG658" s="3576"/>
      <c r="AH658" s="3576"/>
      <c r="AI658" s="3580"/>
      <c r="AJ658" s="3581"/>
      <c r="AK658" s="3582"/>
      <c r="AL658" s="3582"/>
      <c r="AM658" s="3582"/>
      <c r="AN658" s="3582"/>
      <c r="AO658" s="3582"/>
      <c r="AP658" s="3582"/>
      <c r="AQ658" s="3582"/>
      <c r="AR658" s="3576"/>
      <c r="AS658" s="3576"/>
      <c r="AT658" s="3576"/>
      <c r="AU658" s="3576"/>
      <c r="AV658" s="3563"/>
    </row>
    <row r="659" s="3565" customFormat="1" spans="1:48">
      <c r="A659" s="3575"/>
      <c r="B659" s="3576"/>
      <c r="C659" s="3576"/>
      <c r="D659" s="3563"/>
      <c r="E659" s="3563"/>
      <c r="F659" s="3576"/>
      <c r="G659" s="3576"/>
      <c r="H659" s="3563"/>
      <c r="I659" s="3563"/>
      <c r="J659" s="3563"/>
      <c r="K659" s="3563"/>
      <c r="L659" s="3563"/>
      <c r="M659" s="3563"/>
      <c r="N659" s="3577"/>
      <c r="O659" s="3563"/>
      <c r="P659" s="3576"/>
      <c r="Q659" s="3578"/>
      <c r="R659" s="3563"/>
      <c r="S659" s="3563"/>
      <c r="T659" s="4023"/>
      <c r="U659" s="3563"/>
      <c r="V659" s="3563"/>
      <c r="W659" s="3578"/>
      <c r="X659" s="3578"/>
      <c r="Y659" s="3578"/>
      <c r="Z659" s="3578"/>
      <c r="AA659" s="3578"/>
      <c r="AB659" s="3563"/>
      <c r="AC659" s="3578"/>
      <c r="AD659" s="3578"/>
      <c r="AE659" s="3578"/>
      <c r="AF659" s="3578"/>
      <c r="AG659" s="3576"/>
      <c r="AH659" s="3576"/>
      <c r="AI659" s="3580"/>
      <c r="AJ659" s="3581"/>
      <c r="AK659" s="3582"/>
      <c r="AL659" s="3582"/>
      <c r="AM659" s="3582"/>
      <c r="AN659" s="3582"/>
      <c r="AO659" s="3582"/>
      <c r="AP659" s="3582"/>
      <c r="AQ659" s="3582"/>
      <c r="AR659" s="3576"/>
      <c r="AS659" s="3576"/>
      <c r="AT659" s="3576"/>
      <c r="AU659" s="3576"/>
      <c r="AV659" s="3563"/>
    </row>
    <row r="660" s="3565" customFormat="1" spans="1:48">
      <c r="A660" s="3575"/>
      <c r="B660" s="3576"/>
      <c r="C660" s="3576"/>
      <c r="D660" s="3563"/>
      <c r="E660" s="3563"/>
      <c r="F660" s="3576"/>
      <c r="G660" s="3576"/>
      <c r="H660" s="3563"/>
      <c r="I660" s="3563"/>
      <c r="J660" s="3563"/>
      <c r="K660" s="3563"/>
      <c r="L660" s="3563"/>
      <c r="M660" s="3563"/>
      <c r="N660" s="3577"/>
      <c r="O660" s="3563"/>
      <c r="P660" s="3576"/>
      <c r="Q660" s="3578"/>
      <c r="R660" s="3563"/>
      <c r="S660" s="3563"/>
      <c r="T660" s="4023"/>
      <c r="U660" s="3563"/>
      <c r="V660" s="3563"/>
      <c r="W660" s="3578"/>
      <c r="X660" s="3578"/>
      <c r="Y660" s="3578"/>
      <c r="Z660" s="3578"/>
      <c r="AA660" s="3578"/>
      <c r="AB660" s="3563"/>
      <c r="AC660" s="3578"/>
      <c r="AD660" s="3578"/>
      <c r="AE660" s="3578"/>
      <c r="AF660" s="3578"/>
      <c r="AG660" s="3576"/>
      <c r="AH660" s="3576"/>
      <c r="AI660" s="3580"/>
      <c r="AJ660" s="3581"/>
      <c r="AK660" s="3582"/>
      <c r="AL660" s="3582"/>
      <c r="AM660" s="3582"/>
      <c r="AN660" s="3582"/>
      <c r="AO660" s="3582"/>
      <c r="AP660" s="3582"/>
      <c r="AQ660" s="3582"/>
      <c r="AR660" s="3576"/>
      <c r="AS660" s="3576"/>
      <c r="AT660" s="3576"/>
      <c r="AU660" s="3576"/>
      <c r="AV660" s="3563"/>
    </row>
    <row r="661" s="3565" customFormat="1" spans="1:48">
      <c r="A661" s="3575"/>
      <c r="B661" s="3576"/>
      <c r="C661" s="3576"/>
      <c r="D661" s="3563"/>
      <c r="E661" s="3563"/>
      <c r="F661" s="3576"/>
      <c r="G661" s="3576"/>
      <c r="H661" s="3563"/>
      <c r="I661" s="3563"/>
      <c r="J661" s="3563"/>
      <c r="K661" s="3563"/>
      <c r="L661" s="3563"/>
      <c r="M661" s="3563"/>
      <c r="N661" s="3577"/>
      <c r="O661" s="3563"/>
      <c r="P661" s="3576"/>
      <c r="Q661" s="3578"/>
      <c r="R661" s="3563"/>
      <c r="S661" s="3563"/>
      <c r="T661" s="4023"/>
      <c r="U661" s="3563"/>
      <c r="V661" s="3563"/>
      <c r="W661" s="3578"/>
      <c r="X661" s="3578"/>
      <c r="Y661" s="3578"/>
      <c r="Z661" s="3578"/>
      <c r="AA661" s="3578"/>
      <c r="AB661" s="3563"/>
      <c r="AC661" s="3578"/>
      <c r="AD661" s="3578"/>
      <c r="AE661" s="3578"/>
      <c r="AF661" s="3578"/>
      <c r="AG661" s="3576"/>
      <c r="AH661" s="3576"/>
      <c r="AI661" s="3580"/>
      <c r="AJ661" s="3581"/>
      <c r="AK661" s="3582"/>
      <c r="AL661" s="3582"/>
      <c r="AM661" s="3582"/>
      <c r="AN661" s="3582"/>
      <c r="AO661" s="3582"/>
      <c r="AP661" s="3582"/>
      <c r="AQ661" s="3582"/>
      <c r="AR661" s="3576"/>
      <c r="AS661" s="3576"/>
      <c r="AT661" s="3576"/>
      <c r="AU661" s="3576"/>
      <c r="AV661" s="3563"/>
    </row>
    <row r="662" s="3565" customFormat="1" spans="1:48">
      <c r="A662" s="3575"/>
      <c r="B662" s="3576"/>
      <c r="C662" s="3576"/>
      <c r="D662" s="3563"/>
      <c r="E662" s="3563"/>
      <c r="F662" s="3576"/>
      <c r="G662" s="3576"/>
      <c r="H662" s="3563"/>
      <c r="I662" s="3563"/>
      <c r="J662" s="3563"/>
      <c r="K662" s="3563"/>
      <c r="L662" s="3563"/>
      <c r="M662" s="3563"/>
      <c r="N662" s="3577"/>
      <c r="O662" s="3563"/>
      <c r="P662" s="3576"/>
      <c r="Q662" s="3578"/>
      <c r="R662" s="3563"/>
      <c r="S662" s="3563"/>
      <c r="T662" s="4023"/>
      <c r="U662" s="3563"/>
      <c r="V662" s="3563"/>
      <c r="W662" s="3578"/>
      <c r="X662" s="3578"/>
      <c r="Y662" s="3578"/>
      <c r="Z662" s="3578"/>
      <c r="AA662" s="3578"/>
      <c r="AB662" s="3563"/>
      <c r="AC662" s="3578"/>
      <c r="AD662" s="3578"/>
      <c r="AE662" s="3578"/>
      <c r="AF662" s="3578"/>
      <c r="AG662" s="3576"/>
      <c r="AH662" s="3576"/>
      <c r="AI662" s="3580"/>
      <c r="AJ662" s="3581"/>
      <c r="AK662" s="3582"/>
      <c r="AL662" s="3582"/>
      <c r="AM662" s="3582"/>
      <c r="AN662" s="3582"/>
      <c r="AO662" s="3582"/>
      <c r="AP662" s="3582"/>
      <c r="AQ662" s="3582"/>
      <c r="AR662" s="3576"/>
      <c r="AS662" s="3576"/>
      <c r="AT662" s="3576"/>
      <c r="AU662" s="3576"/>
      <c r="AV662" s="3563"/>
    </row>
    <row r="663" s="3565" customFormat="1" spans="1:48">
      <c r="A663" s="3575"/>
      <c r="B663" s="3576"/>
      <c r="C663" s="3576"/>
      <c r="D663" s="3563"/>
      <c r="E663" s="3563"/>
      <c r="F663" s="3576"/>
      <c r="G663" s="3576"/>
      <c r="H663" s="3563"/>
      <c r="I663" s="3563"/>
      <c r="J663" s="3563"/>
      <c r="K663" s="3563"/>
      <c r="L663" s="3563"/>
      <c r="M663" s="3563"/>
      <c r="N663" s="3577"/>
      <c r="O663" s="3563"/>
      <c r="P663" s="3576"/>
      <c r="Q663" s="3578"/>
      <c r="R663" s="3563"/>
      <c r="S663" s="3563"/>
      <c r="T663" s="4023"/>
      <c r="U663" s="3563"/>
      <c r="V663" s="3563"/>
      <c r="W663" s="3578"/>
      <c r="X663" s="3578"/>
      <c r="Y663" s="3578"/>
      <c r="Z663" s="3578"/>
      <c r="AA663" s="3578"/>
      <c r="AB663" s="3563"/>
      <c r="AC663" s="3578"/>
      <c r="AD663" s="3578"/>
      <c r="AE663" s="3578"/>
      <c r="AF663" s="3578"/>
      <c r="AG663" s="3576"/>
      <c r="AH663" s="3576"/>
      <c r="AI663" s="3580"/>
      <c r="AJ663" s="3581"/>
      <c r="AK663" s="3582"/>
      <c r="AL663" s="3582"/>
      <c r="AM663" s="3582"/>
      <c r="AN663" s="3582"/>
      <c r="AO663" s="3582"/>
      <c r="AP663" s="3582"/>
      <c r="AQ663" s="3582"/>
      <c r="AR663" s="3576"/>
      <c r="AS663" s="3576"/>
      <c r="AT663" s="3576"/>
      <c r="AU663" s="3576"/>
      <c r="AV663" s="3563"/>
    </row>
    <row r="664" s="3565" customFormat="1" spans="1:48">
      <c r="A664" s="3575"/>
      <c r="B664" s="3576"/>
      <c r="C664" s="3576"/>
      <c r="D664" s="3563"/>
      <c r="E664" s="3563"/>
      <c r="F664" s="3576"/>
      <c r="G664" s="3576"/>
      <c r="H664" s="3563"/>
      <c r="I664" s="3563"/>
      <c r="J664" s="3563"/>
      <c r="K664" s="3563"/>
      <c r="L664" s="3563"/>
      <c r="M664" s="3563"/>
      <c r="N664" s="3577"/>
      <c r="O664" s="3563"/>
      <c r="P664" s="3576"/>
      <c r="Q664" s="3578"/>
      <c r="R664" s="3563"/>
      <c r="S664" s="3563"/>
      <c r="T664" s="4023"/>
      <c r="U664" s="3563"/>
      <c r="V664" s="3563"/>
      <c r="W664" s="3578"/>
      <c r="X664" s="3578"/>
      <c r="Y664" s="3578"/>
      <c r="Z664" s="3578"/>
      <c r="AA664" s="3578"/>
      <c r="AB664" s="3563"/>
      <c r="AC664" s="3578"/>
      <c r="AD664" s="3578"/>
      <c r="AE664" s="3578"/>
      <c r="AF664" s="3578"/>
      <c r="AG664" s="3576"/>
      <c r="AH664" s="3576"/>
      <c r="AI664" s="3580"/>
      <c r="AJ664" s="3581"/>
      <c r="AK664" s="3582"/>
      <c r="AL664" s="3582"/>
      <c r="AM664" s="3582"/>
      <c r="AN664" s="3582"/>
      <c r="AO664" s="3582"/>
      <c r="AP664" s="3582"/>
      <c r="AQ664" s="3582"/>
      <c r="AR664" s="3576"/>
      <c r="AS664" s="3576"/>
      <c r="AT664" s="3576"/>
      <c r="AU664" s="3576"/>
      <c r="AV664" s="3563"/>
    </row>
    <row r="665" s="3565" customFormat="1" spans="1:48">
      <c r="A665" s="3575"/>
      <c r="B665" s="3576"/>
      <c r="C665" s="3576"/>
      <c r="D665" s="3563"/>
      <c r="E665" s="3563"/>
      <c r="F665" s="3576"/>
      <c r="G665" s="3576"/>
      <c r="H665" s="3563"/>
      <c r="I665" s="3563"/>
      <c r="J665" s="3563"/>
      <c r="K665" s="3563"/>
      <c r="L665" s="3563"/>
      <c r="M665" s="3563"/>
      <c r="N665" s="3577"/>
      <c r="O665" s="3563"/>
      <c r="P665" s="3576"/>
      <c r="Q665" s="3578"/>
      <c r="R665" s="3563"/>
      <c r="S665" s="3563"/>
      <c r="T665" s="4023"/>
      <c r="U665" s="3563"/>
      <c r="V665" s="3563"/>
      <c r="W665" s="3578"/>
      <c r="X665" s="3578"/>
      <c r="Y665" s="3578"/>
      <c r="Z665" s="3578"/>
      <c r="AA665" s="3578"/>
      <c r="AB665" s="3563"/>
      <c r="AC665" s="3578"/>
      <c r="AD665" s="3578"/>
      <c r="AE665" s="3578"/>
      <c r="AF665" s="3578"/>
      <c r="AG665" s="3576"/>
      <c r="AH665" s="3576"/>
      <c r="AI665" s="3580"/>
      <c r="AJ665" s="3581"/>
      <c r="AK665" s="3582"/>
      <c r="AL665" s="3582"/>
      <c r="AM665" s="3582"/>
      <c r="AN665" s="3582"/>
      <c r="AO665" s="3582"/>
      <c r="AP665" s="3582"/>
      <c r="AQ665" s="3582"/>
      <c r="AR665" s="3576"/>
      <c r="AS665" s="3576"/>
      <c r="AT665" s="3576"/>
      <c r="AU665" s="3576"/>
      <c r="AV665" s="3563"/>
    </row>
    <row r="666" s="3565" customFormat="1" spans="1:48">
      <c r="A666" s="3575"/>
      <c r="B666" s="3576"/>
      <c r="C666" s="3576"/>
      <c r="D666" s="3563"/>
      <c r="E666" s="3563"/>
      <c r="F666" s="3576"/>
      <c r="G666" s="3576"/>
      <c r="H666" s="3563"/>
      <c r="I666" s="3563"/>
      <c r="J666" s="3563"/>
      <c r="K666" s="3563"/>
      <c r="L666" s="3563"/>
      <c r="M666" s="3563"/>
      <c r="N666" s="3577"/>
      <c r="O666" s="3563"/>
      <c r="P666" s="3576"/>
      <c r="Q666" s="3578"/>
      <c r="R666" s="3563"/>
      <c r="S666" s="3563"/>
      <c r="T666" s="4023"/>
      <c r="U666" s="3563"/>
      <c r="V666" s="3563"/>
      <c r="W666" s="3578"/>
      <c r="X666" s="3578"/>
      <c r="Y666" s="3578"/>
      <c r="Z666" s="3578"/>
      <c r="AA666" s="3578"/>
      <c r="AB666" s="3563"/>
      <c r="AC666" s="3578"/>
      <c r="AD666" s="3578"/>
      <c r="AE666" s="3578"/>
      <c r="AF666" s="3578"/>
      <c r="AG666" s="3576"/>
      <c r="AH666" s="3576"/>
      <c r="AI666" s="3580"/>
      <c r="AJ666" s="3581"/>
      <c r="AK666" s="3582"/>
      <c r="AL666" s="3582"/>
      <c r="AM666" s="3582"/>
      <c r="AN666" s="3582"/>
      <c r="AO666" s="3582"/>
      <c r="AP666" s="3582"/>
      <c r="AQ666" s="3582"/>
      <c r="AR666" s="3576"/>
      <c r="AS666" s="3576"/>
      <c r="AT666" s="3576"/>
      <c r="AU666" s="3576"/>
      <c r="AV666" s="3563"/>
    </row>
    <row r="667" s="3565" customFormat="1" spans="1:48">
      <c r="A667" s="3575"/>
      <c r="B667" s="3576"/>
      <c r="C667" s="3576"/>
      <c r="D667" s="3563"/>
      <c r="E667" s="3563"/>
      <c r="F667" s="3576"/>
      <c r="G667" s="3576"/>
      <c r="H667" s="3563"/>
      <c r="I667" s="3563"/>
      <c r="J667" s="3563"/>
      <c r="K667" s="3563"/>
      <c r="L667" s="3563"/>
      <c r="M667" s="3563"/>
      <c r="N667" s="3577"/>
      <c r="O667" s="3563"/>
      <c r="P667" s="3576"/>
      <c r="Q667" s="3578"/>
      <c r="R667" s="3563"/>
      <c r="S667" s="3563"/>
      <c r="T667" s="3579"/>
      <c r="U667" s="3563"/>
      <c r="V667" s="3563"/>
      <c r="W667" s="3578"/>
      <c r="X667" s="3578"/>
      <c r="Y667" s="3578"/>
      <c r="Z667" s="3578"/>
      <c r="AA667" s="3578"/>
      <c r="AB667" s="3563"/>
      <c r="AC667" s="3578"/>
      <c r="AD667" s="3578"/>
      <c r="AE667" s="3578"/>
      <c r="AF667" s="3578"/>
      <c r="AG667" s="3576"/>
      <c r="AH667" s="3576"/>
      <c r="AI667" s="3580"/>
      <c r="AJ667" s="3581"/>
      <c r="AK667" s="3582"/>
      <c r="AL667" s="3582"/>
      <c r="AM667" s="3582"/>
      <c r="AN667" s="3582"/>
      <c r="AO667" s="3582"/>
      <c r="AP667" s="3582"/>
      <c r="AQ667" s="3582"/>
      <c r="AR667" s="3576"/>
      <c r="AS667" s="3576"/>
      <c r="AT667" s="3576"/>
      <c r="AU667" s="3576"/>
      <c r="AV667" s="3563"/>
    </row>
    <row r="668" s="3565" customFormat="1" spans="1:48">
      <c r="A668" s="3575"/>
      <c r="B668" s="3576"/>
      <c r="C668" s="3576"/>
      <c r="D668" s="3563"/>
      <c r="E668" s="3563"/>
      <c r="F668" s="3576"/>
      <c r="G668" s="3576"/>
      <c r="H668" s="3563"/>
      <c r="I668" s="3563"/>
      <c r="J668" s="3563"/>
      <c r="K668" s="3563"/>
      <c r="L668" s="3563"/>
      <c r="M668" s="3563"/>
      <c r="N668" s="3577"/>
      <c r="O668" s="3563"/>
      <c r="P668" s="3576"/>
      <c r="Q668" s="3578"/>
      <c r="R668" s="3563"/>
      <c r="S668" s="3563"/>
      <c r="T668" s="3579"/>
      <c r="U668" s="3563"/>
      <c r="V668" s="3563"/>
      <c r="W668" s="3578"/>
      <c r="X668" s="3578"/>
      <c r="Y668" s="3578"/>
      <c r="Z668" s="3578"/>
      <c r="AA668" s="3578"/>
      <c r="AB668" s="3563"/>
      <c r="AC668" s="3578"/>
      <c r="AD668" s="3578"/>
      <c r="AE668" s="3578"/>
      <c r="AF668" s="3578"/>
      <c r="AG668" s="3576"/>
      <c r="AH668" s="3576"/>
      <c r="AI668" s="3580"/>
      <c r="AJ668" s="3581"/>
      <c r="AK668" s="3582"/>
      <c r="AL668" s="3582"/>
      <c r="AM668" s="3582"/>
      <c r="AN668" s="3582"/>
      <c r="AO668" s="3582"/>
      <c r="AP668" s="3582"/>
      <c r="AQ668" s="3582"/>
      <c r="AR668" s="3576"/>
      <c r="AS668" s="3576"/>
      <c r="AT668" s="3576"/>
      <c r="AU668" s="3576"/>
      <c r="AV668" s="3563"/>
    </row>
    <row r="669" s="3565" customFormat="1" spans="1:48">
      <c r="A669" s="3575"/>
      <c r="B669" s="3576"/>
      <c r="C669" s="3576"/>
      <c r="D669" s="3563"/>
      <c r="E669" s="3563"/>
      <c r="F669" s="3576"/>
      <c r="G669" s="3576"/>
      <c r="H669" s="3563"/>
      <c r="I669" s="3563"/>
      <c r="J669" s="3563"/>
      <c r="K669" s="3563"/>
      <c r="L669" s="3563"/>
      <c r="M669" s="3563"/>
      <c r="N669" s="3577"/>
      <c r="O669" s="3563"/>
      <c r="P669" s="3576"/>
      <c r="Q669" s="3578"/>
      <c r="R669" s="3563"/>
      <c r="S669" s="3563"/>
      <c r="T669" s="3579"/>
      <c r="U669" s="3563"/>
      <c r="V669" s="3563"/>
      <c r="W669" s="3578"/>
      <c r="X669" s="3578"/>
      <c r="Y669" s="3578"/>
      <c r="Z669" s="3578"/>
      <c r="AA669" s="3578"/>
      <c r="AB669" s="3563"/>
      <c r="AC669" s="3578"/>
      <c r="AD669" s="3578"/>
      <c r="AE669" s="3578"/>
      <c r="AF669" s="3578"/>
      <c r="AG669" s="3576"/>
      <c r="AH669" s="3576"/>
      <c r="AI669" s="3580"/>
      <c r="AJ669" s="3581"/>
      <c r="AK669" s="3582"/>
      <c r="AL669" s="3582"/>
      <c r="AM669" s="3582"/>
      <c r="AN669" s="3582"/>
      <c r="AO669" s="3582"/>
      <c r="AP669" s="3582"/>
      <c r="AQ669" s="3582"/>
      <c r="AR669" s="3576"/>
      <c r="AS669" s="3576"/>
      <c r="AT669" s="3576"/>
      <c r="AU669" s="3576"/>
      <c r="AV669" s="3563"/>
    </row>
    <row r="670" s="3565" customFormat="1" spans="1:48">
      <c r="A670" s="3575"/>
      <c r="B670" s="3576"/>
      <c r="C670" s="3576"/>
      <c r="D670" s="3563"/>
      <c r="E670" s="3563"/>
      <c r="F670" s="3576"/>
      <c r="G670" s="3576"/>
      <c r="H670" s="3563"/>
      <c r="I670" s="3563"/>
      <c r="J670" s="3563"/>
      <c r="K670" s="3563"/>
      <c r="L670" s="3563"/>
      <c r="M670" s="3563"/>
      <c r="N670" s="3577"/>
      <c r="O670" s="3563"/>
      <c r="P670" s="3576"/>
      <c r="Q670" s="3578"/>
      <c r="R670" s="3563"/>
      <c r="S670" s="3563"/>
      <c r="T670" s="3579"/>
      <c r="U670" s="3563"/>
      <c r="V670" s="3563"/>
      <c r="W670" s="3578"/>
      <c r="X670" s="3578"/>
      <c r="Y670" s="3578"/>
      <c r="Z670" s="3578"/>
      <c r="AA670" s="3578"/>
      <c r="AB670" s="3563"/>
      <c r="AC670" s="3578"/>
      <c r="AD670" s="3578"/>
      <c r="AE670" s="3578"/>
      <c r="AF670" s="3578"/>
      <c r="AG670" s="3576"/>
      <c r="AH670" s="3576"/>
      <c r="AI670" s="3580"/>
      <c r="AJ670" s="3581"/>
      <c r="AK670" s="3582"/>
      <c r="AL670" s="3582"/>
      <c r="AM670" s="3582"/>
      <c r="AN670" s="3582"/>
      <c r="AO670" s="3582"/>
      <c r="AP670" s="3582"/>
      <c r="AQ670" s="3582"/>
      <c r="AR670" s="3576"/>
      <c r="AS670" s="3576"/>
      <c r="AT670" s="3576"/>
      <c r="AU670" s="3576"/>
      <c r="AV670" s="3563"/>
    </row>
    <row r="671" s="3565" customFormat="1" spans="1:48">
      <c r="A671" s="3575"/>
      <c r="B671" s="3576"/>
      <c r="C671" s="3576"/>
      <c r="D671" s="3563"/>
      <c r="E671" s="3563"/>
      <c r="F671" s="3576"/>
      <c r="G671" s="3576"/>
      <c r="H671" s="3563"/>
      <c r="I671" s="3563"/>
      <c r="J671" s="3563"/>
      <c r="K671" s="3563"/>
      <c r="L671" s="3563"/>
      <c r="M671" s="3563"/>
      <c r="N671" s="3577"/>
      <c r="O671" s="3563"/>
      <c r="P671" s="3576"/>
      <c r="Q671" s="3578"/>
      <c r="R671" s="3563"/>
      <c r="S671" s="3563"/>
      <c r="T671" s="3579"/>
      <c r="U671" s="3563"/>
      <c r="V671" s="3563"/>
      <c r="W671" s="3578"/>
      <c r="X671" s="3578"/>
      <c r="Y671" s="3578"/>
      <c r="Z671" s="3578"/>
      <c r="AA671" s="3578"/>
      <c r="AB671" s="3563"/>
      <c r="AC671" s="3578"/>
      <c r="AD671" s="3578"/>
      <c r="AE671" s="3578"/>
      <c r="AF671" s="3578"/>
      <c r="AG671" s="3576"/>
      <c r="AH671" s="3576"/>
      <c r="AI671" s="3580"/>
      <c r="AJ671" s="3581"/>
      <c r="AK671" s="3582"/>
      <c r="AL671" s="3582"/>
      <c r="AM671" s="3582"/>
      <c r="AN671" s="3582"/>
      <c r="AO671" s="3582"/>
      <c r="AP671" s="3582"/>
      <c r="AQ671" s="3582"/>
      <c r="AR671" s="3576"/>
      <c r="AS671" s="3576"/>
      <c r="AT671" s="3576"/>
      <c r="AU671" s="3576"/>
      <c r="AV671" s="3563"/>
    </row>
    <row r="672" s="3565" customFormat="1" spans="1:48">
      <c r="A672" s="3575"/>
      <c r="B672" s="3576"/>
      <c r="C672" s="3576"/>
      <c r="D672" s="3563"/>
      <c r="E672" s="3563"/>
      <c r="F672" s="3576"/>
      <c r="G672" s="3576"/>
      <c r="H672" s="3563"/>
      <c r="I672" s="3563"/>
      <c r="J672" s="3563"/>
      <c r="K672" s="3563"/>
      <c r="L672" s="3563"/>
      <c r="M672" s="3563"/>
      <c r="N672" s="3577"/>
      <c r="O672" s="3563"/>
      <c r="P672" s="3576"/>
      <c r="Q672" s="3578"/>
      <c r="R672" s="3563"/>
      <c r="S672" s="3563"/>
      <c r="T672" s="3579"/>
      <c r="U672" s="3563"/>
      <c r="V672" s="3563"/>
      <c r="W672" s="3578"/>
      <c r="X672" s="3578"/>
      <c r="Y672" s="3578"/>
      <c r="Z672" s="3578"/>
      <c r="AA672" s="3578"/>
      <c r="AB672" s="3563"/>
      <c r="AC672" s="3578"/>
      <c r="AD672" s="3578"/>
      <c r="AE672" s="3578"/>
      <c r="AF672" s="3578"/>
      <c r="AG672" s="3576"/>
      <c r="AH672" s="3576"/>
      <c r="AI672" s="3580"/>
      <c r="AJ672" s="3581"/>
      <c r="AK672" s="3582"/>
      <c r="AL672" s="3582"/>
      <c r="AM672" s="3582"/>
      <c r="AN672" s="3582"/>
      <c r="AO672" s="3582"/>
      <c r="AP672" s="3582"/>
      <c r="AQ672" s="3582"/>
      <c r="AR672" s="3576"/>
      <c r="AS672" s="3576"/>
      <c r="AT672" s="3576"/>
      <c r="AU672" s="3576"/>
      <c r="AV672" s="3563"/>
    </row>
    <row r="673" s="3565" customFormat="1" spans="1:48">
      <c r="A673" s="3575"/>
      <c r="B673" s="3576"/>
      <c r="C673" s="3576"/>
      <c r="D673" s="3563"/>
      <c r="E673" s="3563"/>
      <c r="F673" s="3576"/>
      <c r="G673" s="3576"/>
      <c r="H673" s="3563"/>
      <c r="I673" s="3563"/>
      <c r="J673" s="3563"/>
      <c r="K673" s="3563"/>
      <c r="L673" s="3563"/>
      <c r="M673" s="3563"/>
      <c r="N673" s="3577"/>
      <c r="O673" s="3563"/>
      <c r="P673" s="3576"/>
      <c r="Q673" s="3578"/>
      <c r="R673" s="3563"/>
      <c r="S673" s="3563"/>
      <c r="T673" s="3579"/>
      <c r="U673" s="3563"/>
      <c r="V673" s="3563"/>
      <c r="W673" s="3578"/>
      <c r="X673" s="3578"/>
      <c r="Y673" s="3578"/>
      <c r="Z673" s="3578"/>
      <c r="AA673" s="3578"/>
      <c r="AB673" s="3563"/>
      <c r="AC673" s="3578"/>
      <c r="AD673" s="3578"/>
      <c r="AE673" s="3578"/>
      <c r="AF673" s="3578"/>
      <c r="AG673" s="3576"/>
      <c r="AH673" s="3576"/>
      <c r="AI673" s="3580"/>
      <c r="AJ673" s="3581"/>
      <c r="AK673" s="3582"/>
      <c r="AL673" s="3582"/>
      <c r="AM673" s="3582"/>
      <c r="AN673" s="3582"/>
      <c r="AO673" s="3582"/>
      <c r="AP673" s="3582"/>
      <c r="AQ673" s="3582"/>
      <c r="AR673" s="3576"/>
      <c r="AS673" s="3576"/>
      <c r="AT673" s="3576"/>
      <c r="AU673" s="3576"/>
      <c r="AV673" s="3563"/>
    </row>
    <row r="674" s="3565" customFormat="1" spans="1:48">
      <c r="A674" s="3575"/>
      <c r="B674" s="3576"/>
      <c r="C674" s="3576"/>
      <c r="D674" s="3563"/>
      <c r="E674" s="3563"/>
      <c r="F674" s="3576"/>
      <c r="G674" s="3576"/>
      <c r="H674" s="3563"/>
      <c r="I674" s="3563"/>
      <c r="J674" s="3563"/>
      <c r="K674" s="3563"/>
      <c r="L674" s="3563"/>
      <c r="M674" s="3563"/>
      <c r="N674" s="3577"/>
      <c r="O674" s="3563"/>
      <c r="P674" s="3576"/>
      <c r="Q674" s="3578"/>
      <c r="R674" s="3563"/>
      <c r="S674" s="3563"/>
      <c r="T674" s="3579"/>
      <c r="U674" s="3563"/>
      <c r="V674" s="3563"/>
      <c r="W674" s="3578"/>
      <c r="X674" s="3578"/>
      <c r="Y674" s="3578"/>
      <c r="Z674" s="3578"/>
      <c r="AA674" s="3578"/>
      <c r="AB674" s="3563"/>
      <c r="AC674" s="3578"/>
      <c r="AD674" s="3578"/>
      <c r="AE674" s="3578"/>
      <c r="AF674" s="3578"/>
      <c r="AG674" s="3576"/>
      <c r="AH674" s="3576"/>
      <c r="AI674" s="3580"/>
      <c r="AJ674" s="3581"/>
      <c r="AK674" s="3582"/>
      <c r="AL674" s="3582"/>
      <c r="AM674" s="3582"/>
      <c r="AN674" s="3582"/>
      <c r="AO674" s="3582"/>
      <c r="AP674" s="3582"/>
      <c r="AQ674" s="3582"/>
      <c r="AR674" s="3576"/>
      <c r="AS674" s="3576"/>
      <c r="AT674" s="3576"/>
      <c r="AU674" s="3576"/>
      <c r="AV674" s="3563"/>
    </row>
    <row r="675" s="3565" customFormat="1" spans="1:48">
      <c r="A675" s="3575"/>
      <c r="B675" s="3576"/>
      <c r="C675" s="3576"/>
      <c r="D675" s="3563"/>
      <c r="E675" s="3563"/>
      <c r="F675" s="3576"/>
      <c r="G675" s="3576"/>
      <c r="H675" s="3563"/>
      <c r="I675" s="3563"/>
      <c r="J675" s="3563"/>
      <c r="K675" s="3563"/>
      <c r="L675" s="3563"/>
      <c r="M675" s="3563"/>
      <c r="N675" s="3577"/>
      <c r="O675" s="3563"/>
      <c r="P675" s="3576"/>
      <c r="Q675" s="3578"/>
      <c r="R675" s="3563"/>
      <c r="S675" s="3563"/>
      <c r="T675" s="3579"/>
      <c r="U675" s="3563"/>
      <c r="V675" s="3563"/>
      <c r="W675" s="3578"/>
      <c r="X675" s="3578"/>
      <c r="Y675" s="3578"/>
      <c r="Z675" s="3578"/>
      <c r="AA675" s="3578"/>
      <c r="AB675" s="3563"/>
      <c r="AC675" s="3578"/>
      <c r="AD675" s="3578"/>
      <c r="AE675" s="3578"/>
      <c r="AF675" s="3578"/>
      <c r="AG675" s="3576"/>
      <c r="AH675" s="3576"/>
      <c r="AI675" s="3580"/>
      <c r="AJ675" s="3581"/>
      <c r="AK675" s="3582"/>
      <c r="AL675" s="3582"/>
      <c r="AM675" s="3582"/>
      <c r="AN675" s="3582"/>
      <c r="AO675" s="3582"/>
      <c r="AP675" s="3582"/>
      <c r="AQ675" s="3582"/>
      <c r="AR675" s="3576"/>
      <c r="AS675" s="3576"/>
      <c r="AT675" s="3576"/>
      <c r="AU675" s="3576"/>
      <c r="AV675" s="3563"/>
    </row>
    <row r="676" s="3565" customFormat="1" spans="1:48">
      <c r="A676" s="3575"/>
      <c r="B676" s="3576"/>
      <c r="C676" s="3576"/>
      <c r="D676" s="3563"/>
      <c r="E676" s="3563"/>
      <c r="F676" s="3576"/>
      <c r="G676" s="3576"/>
      <c r="H676" s="3563"/>
      <c r="I676" s="3563"/>
      <c r="J676" s="3563"/>
      <c r="K676" s="3563"/>
      <c r="L676" s="3563"/>
      <c r="M676" s="3563"/>
      <c r="N676" s="3577"/>
      <c r="O676" s="3563"/>
      <c r="P676" s="3576"/>
      <c r="Q676" s="3578"/>
      <c r="R676" s="3563"/>
      <c r="S676" s="3563"/>
      <c r="T676" s="3579"/>
      <c r="U676" s="3563"/>
      <c r="V676" s="3563"/>
      <c r="W676" s="3578"/>
      <c r="X676" s="3578"/>
      <c r="Y676" s="3578"/>
      <c r="Z676" s="3578"/>
      <c r="AA676" s="3578"/>
      <c r="AB676" s="3563"/>
      <c r="AC676" s="3578"/>
      <c r="AD676" s="3578"/>
      <c r="AE676" s="3578"/>
      <c r="AF676" s="3578"/>
      <c r="AG676" s="3576"/>
      <c r="AH676" s="3576"/>
      <c r="AI676" s="3580"/>
      <c r="AJ676" s="3581"/>
      <c r="AK676" s="3582"/>
      <c r="AL676" s="3582"/>
      <c r="AM676" s="3582"/>
      <c r="AN676" s="3582"/>
      <c r="AO676" s="3582"/>
      <c r="AP676" s="3582"/>
      <c r="AQ676" s="3582"/>
      <c r="AR676" s="3576"/>
      <c r="AS676" s="3576"/>
      <c r="AT676" s="3576"/>
      <c r="AU676" s="3576"/>
      <c r="AV676" s="3563"/>
    </row>
    <row r="677" s="3565" customFormat="1" spans="1:48">
      <c r="A677" s="3575"/>
      <c r="B677" s="3576"/>
      <c r="C677" s="3576"/>
      <c r="D677" s="3563"/>
      <c r="E677" s="3563"/>
      <c r="F677" s="3576"/>
      <c r="G677" s="3576"/>
      <c r="H677" s="3563"/>
      <c r="I677" s="3563"/>
      <c r="J677" s="3563"/>
      <c r="K677" s="3563"/>
      <c r="L677" s="3563"/>
      <c r="M677" s="3563"/>
      <c r="N677" s="3577"/>
      <c r="O677" s="3563"/>
      <c r="P677" s="3576"/>
      <c r="Q677" s="3578"/>
      <c r="R677" s="3563"/>
      <c r="S677" s="3563"/>
      <c r="T677" s="3579"/>
      <c r="U677" s="3563"/>
      <c r="V677" s="3563"/>
      <c r="W677" s="3578"/>
      <c r="X677" s="3578"/>
      <c r="Y677" s="3578"/>
      <c r="Z677" s="3578"/>
      <c r="AA677" s="3578"/>
      <c r="AB677" s="3563"/>
      <c r="AC677" s="3578"/>
      <c r="AD677" s="3578"/>
      <c r="AE677" s="3578"/>
      <c r="AF677" s="3578"/>
      <c r="AG677" s="3576"/>
      <c r="AH677" s="3576"/>
      <c r="AI677" s="3580"/>
      <c r="AJ677" s="3581"/>
      <c r="AK677" s="3582"/>
      <c r="AL677" s="3582"/>
      <c r="AM677" s="3582"/>
      <c r="AN677" s="3582"/>
      <c r="AO677" s="3582"/>
      <c r="AP677" s="3582"/>
      <c r="AQ677" s="3582"/>
      <c r="AR677" s="3576"/>
      <c r="AS677" s="3576"/>
      <c r="AT677" s="3576"/>
      <c r="AU677" s="3576"/>
      <c r="AV677" s="3563"/>
    </row>
    <row r="678" s="3565" customFormat="1" spans="1:48">
      <c r="A678" s="3575"/>
      <c r="B678" s="3576"/>
      <c r="C678" s="3576"/>
      <c r="D678" s="3563"/>
      <c r="E678" s="3563"/>
      <c r="F678" s="3576"/>
      <c r="G678" s="3576"/>
      <c r="H678" s="3563"/>
      <c r="I678" s="3563"/>
      <c r="J678" s="3563"/>
      <c r="K678" s="3563"/>
      <c r="L678" s="3563"/>
      <c r="M678" s="3563"/>
      <c r="N678" s="3577"/>
      <c r="O678" s="3563"/>
      <c r="P678" s="3576"/>
      <c r="Q678" s="3578"/>
      <c r="R678" s="3563"/>
      <c r="S678" s="3563"/>
      <c r="T678" s="3579"/>
      <c r="U678" s="3563"/>
      <c r="V678" s="3563"/>
      <c r="W678" s="3578"/>
      <c r="X678" s="3578"/>
      <c r="Y678" s="3578"/>
      <c r="Z678" s="3578"/>
      <c r="AA678" s="3578"/>
      <c r="AB678" s="3563"/>
      <c r="AC678" s="3578"/>
      <c r="AD678" s="3578"/>
      <c r="AE678" s="3578"/>
      <c r="AF678" s="3578"/>
      <c r="AG678" s="3576"/>
      <c r="AH678" s="3576"/>
      <c r="AI678" s="3580"/>
      <c r="AJ678" s="3581"/>
      <c r="AK678" s="3582"/>
      <c r="AL678" s="3582"/>
      <c r="AM678" s="3582"/>
      <c r="AN678" s="3582"/>
      <c r="AO678" s="3582"/>
      <c r="AP678" s="3582"/>
      <c r="AQ678" s="3582"/>
      <c r="AR678" s="3576"/>
      <c r="AS678" s="3576"/>
      <c r="AT678" s="3576"/>
      <c r="AU678" s="3576"/>
      <c r="AV678" s="3563"/>
    </row>
    <row r="679" s="3565" customFormat="1" spans="1:48">
      <c r="A679" s="3575"/>
      <c r="B679" s="3576"/>
      <c r="C679" s="3576"/>
      <c r="D679" s="3563"/>
      <c r="E679" s="3563"/>
      <c r="F679" s="3576"/>
      <c r="G679" s="3576"/>
      <c r="H679" s="3563"/>
      <c r="I679" s="3563"/>
      <c r="J679" s="3563"/>
      <c r="K679" s="3563"/>
      <c r="L679" s="3563"/>
      <c r="M679" s="3563"/>
      <c r="N679" s="3577"/>
      <c r="O679" s="3563"/>
      <c r="P679" s="3576"/>
      <c r="Q679" s="3578"/>
      <c r="R679" s="3563"/>
      <c r="S679" s="3563"/>
      <c r="T679" s="3579"/>
      <c r="U679" s="3563"/>
      <c r="V679" s="3563"/>
      <c r="W679" s="3578"/>
      <c r="X679" s="3578"/>
      <c r="Y679" s="3578"/>
      <c r="Z679" s="3578"/>
      <c r="AA679" s="3578"/>
      <c r="AB679" s="3563"/>
      <c r="AC679" s="3578"/>
      <c r="AD679" s="3578"/>
      <c r="AE679" s="3578"/>
      <c r="AF679" s="3578"/>
      <c r="AG679" s="3576"/>
      <c r="AH679" s="3576"/>
      <c r="AI679" s="3580"/>
      <c r="AJ679" s="3581"/>
      <c r="AK679" s="3582"/>
      <c r="AL679" s="3582"/>
      <c r="AM679" s="3582"/>
      <c r="AN679" s="3582"/>
      <c r="AO679" s="3582"/>
      <c r="AP679" s="3582"/>
      <c r="AQ679" s="3582"/>
      <c r="AR679" s="3576"/>
      <c r="AS679" s="3576"/>
      <c r="AT679" s="3576"/>
      <c r="AU679" s="3576"/>
      <c r="AV679" s="3563"/>
    </row>
    <row r="680" s="3565" customFormat="1" spans="1:48">
      <c r="A680" s="3575"/>
      <c r="B680" s="3576"/>
      <c r="C680" s="3576"/>
      <c r="D680" s="3563"/>
      <c r="E680" s="3563"/>
      <c r="F680" s="3576"/>
      <c r="G680" s="3576"/>
      <c r="H680" s="3563"/>
      <c r="I680" s="3563"/>
      <c r="J680" s="3563"/>
      <c r="K680" s="3563"/>
      <c r="L680" s="3563"/>
      <c r="M680" s="3563"/>
      <c r="N680" s="3577"/>
      <c r="O680" s="3563"/>
      <c r="P680" s="3576"/>
      <c r="Q680" s="3578"/>
      <c r="R680" s="3563"/>
      <c r="S680" s="3563"/>
      <c r="T680" s="3579"/>
      <c r="U680" s="3563"/>
      <c r="V680" s="3563"/>
      <c r="W680" s="3578"/>
      <c r="X680" s="3578"/>
      <c r="Y680" s="3578"/>
      <c r="Z680" s="3578"/>
      <c r="AA680" s="3578"/>
      <c r="AB680" s="3563"/>
      <c r="AC680" s="3578"/>
      <c r="AD680" s="3578"/>
      <c r="AE680" s="3578"/>
      <c r="AF680" s="3578"/>
      <c r="AG680" s="3576"/>
      <c r="AH680" s="3576"/>
      <c r="AI680" s="3580"/>
      <c r="AJ680" s="3581"/>
      <c r="AK680" s="3582"/>
      <c r="AL680" s="3582"/>
      <c r="AM680" s="3582"/>
      <c r="AN680" s="3582"/>
      <c r="AO680" s="3582"/>
      <c r="AP680" s="3582"/>
      <c r="AQ680" s="3582"/>
      <c r="AR680" s="3576"/>
      <c r="AS680" s="3576"/>
      <c r="AT680" s="3576"/>
      <c r="AU680" s="3576"/>
      <c r="AV680" s="3563"/>
    </row>
    <row r="681" s="3565" customFormat="1" spans="1:48">
      <c r="A681" s="3575"/>
      <c r="B681" s="3576"/>
      <c r="C681" s="3576"/>
      <c r="D681" s="3563"/>
      <c r="E681" s="3563"/>
      <c r="F681" s="3576"/>
      <c r="G681" s="3576"/>
      <c r="H681" s="3563"/>
      <c r="I681" s="3563"/>
      <c r="J681" s="3563"/>
      <c r="K681" s="3563"/>
      <c r="L681" s="3563"/>
      <c r="M681" s="3563"/>
      <c r="N681" s="3577"/>
      <c r="O681" s="3563"/>
      <c r="P681" s="3576"/>
      <c r="Q681" s="3578"/>
      <c r="R681" s="3563"/>
      <c r="S681" s="3563"/>
      <c r="T681" s="3579"/>
      <c r="U681" s="3563"/>
      <c r="V681" s="3563"/>
      <c r="W681" s="3578"/>
      <c r="X681" s="3578"/>
      <c r="Y681" s="3578"/>
      <c r="Z681" s="3578"/>
      <c r="AA681" s="3578"/>
      <c r="AB681" s="3563"/>
      <c r="AC681" s="3578"/>
      <c r="AD681" s="3578"/>
      <c r="AE681" s="3578"/>
      <c r="AF681" s="3578"/>
      <c r="AG681" s="3576"/>
      <c r="AH681" s="3576"/>
      <c r="AI681" s="3580"/>
      <c r="AJ681" s="3581"/>
      <c r="AK681" s="3582"/>
      <c r="AL681" s="3582"/>
      <c r="AM681" s="3582"/>
      <c r="AN681" s="3582"/>
      <c r="AO681" s="3582"/>
      <c r="AP681" s="3582"/>
      <c r="AQ681" s="3582"/>
      <c r="AR681" s="3576"/>
      <c r="AS681" s="3576"/>
      <c r="AT681" s="3576"/>
      <c r="AU681" s="3576"/>
      <c r="AV681" s="3563"/>
    </row>
    <row r="682" s="3565" customFormat="1" spans="1:48">
      <c r="A682" s="3575"/>
      <c r="B682" s="3576"/>
      <c r="C682" s="3576"/>
      <c r="D682" s="3563"/>
      <c r="E682" s="3563"/>
      <c r="F682" s="3576"/>
      <c r="G682" s="3576"/>
      <c r="H682" s="3563"/>
      <c r="I682" s="3563"/>
      <c r="J682" s="3563"/>
      <c r="K682" s="3563"/>
      <c r="L682" s="3563"/>
      <c r="M682" s="3563"/>
      <c r="N682" s="3577"/>
      <c r="O682" s="3563"/>
      <c r="P682" s="3576"/>
      <c r="Q682" s="3578"/>
      <c r="R682" s="3563"/>
      <c r="S682" s="3563"/>
      <c r="T682" s="3579"/>
      <c r="U682" s="3563"/>
      <c r="V682" s="3563"/>
      <c r="W682" s="3578"/>
      <c r="X682" s="3578"/>
      <c r="Y682" s="3578"/>
      <c r="Z682" s="3578"/>
      <c r="AA682" s="3578"/>
      <c r="AB682" s="3563"/>
      <c r="AC682" s="3578"/>
      <c r="AD682" s="3578"/>
      <c r="AE682" s="3578"/>
      <c r="AF682" s="3578"/>
      <c r="AG682" s="3576"/>
      <c r="AH682" s="3576"/>
      <c r="AI682" s="3580"/>
      <c r="AJ682" s="3581"/>
      <c r="AK682" s="3582"/>
      <c r="AL682" s="3582"/>
      <c r="AM682" s="3582"/>
      <c r="AN682" s="3582"/>
      <c r="AO682" s="3582"/>
      <c r="AP682" s="3582"/>
      <c r="AQ682" s="3582"/>
      <c r="AR682" s="3576"/>
      <c r="AS682" s="3576"/>
      <c r="AT682" s="3576"/>
      <c r="AU682" s="3576"/>
      <c r="AV682" s="3563"/>
    </row>
    <row r="683" s="3565" customFormat="1" spans="1:48">
      <c r="A683" s="3575"/>
      <c r="B683" s="3576"/>
      <c r="C683" s="3576"/>
      <c r="D683" s="3563"/>
      <c r="E683" s="3563"/>
      <c r="F683" s="3576"/>
      <c r="G683" s="3576"/>
      <c r="H683" s="3563"/>
      <c r="I683" s="3563"/>
      <c r="J683" s="3563"/>
      <c r="K683" s="3563"/>
      <c r="L683" s="3563"/>
      <c r="M683" s="3563"/>
      <c r="N683" s="3577"/>
      <c r="O683" s="3563"/>
      <c r="P683" s="3576"/>
      <c r="Q683" s="3578"/>
      <c r="R683" s="3563"/>
      <c r="S683" s="3563"/>
      <c r="T683" s="3579"/>
      <c r="U683" s="3563"/>
      <c r="V683" s="3563"/>
      <c r="W683" s="3578"/>
      <c r="X683" s="3578"/>
      <c r="Y683" s="3578"/>
      <c r="Z683" s="3578"/>
      <c r="AA683" s="3578"/>
      <c r="AB683" s="3563"/>
      <c r="AC683" s="3578"/>
      <c r="AD683" s="3578"/>
      <c r="AE683" s="3578"/>
      <c r="AF683" s="3578"/>
      <c r="AG683" s="3576"/>
      <c r="AH683" s="3576"/>
      <c r="AI683" s="3580"/>
      <c r="AJ683" s="3581"/>
      <c r="AK683" s="3582"/>
      <c r="AL683" s="3582"/>
      <c r="AM683" s="3582"/>
      <c r="AN683" s="3582"/>
      <c r="AO683" s="3582"/>
      <c r="AP683" s="3582"/>
      <c r="AQ683" s="3582"/>
      <c r="AR683" s="3576"/>
      <c r="AS683" s="3576"/>
      <c r="AT683" s="3576"/>
      <c r="AU683" s="3576"/>
      <c r="AV683" s="3563"/>
    </row>
    <row r="684" s="3565" customFormat="1" spans="1:48">
      <c r="A684" s="3575"/>
      <c r="B684" s="3576"/>
      <c r="C684" s="3576"/>
      <c r="D684" s="3563"/>
      <c r="E684" s="3563"/>
      <c r="F684" s="3576"/>
      <c r="G684" s="3576"/>
      <c r="H684" s="3563"/>
      <c r="I684" s="3563"/>
      <c r="J684" s="3563"/>
      <c r="K684" s="3563"/>
      <c r="L684" s="3563"/>
      <c r="M684" s="3563"/>
      <c r="N684" s="3577"/>
      <c r="O684" s="3563"/>
      <c r="P684" s="3576"/>
      <c r="Q684" s="3578"/>
      <c r="R684" s="3563"/>
      <c r="S684" s="3563"/>
      <c r="T684" s="3579"/>
      <c r="U684" s="3563"/>
      <c r="V684" s="3563"/>
      <c r="W684" s="3578"/>
      <c r="X684" s="3578"/>
      <c r="Y684" s="3578"/>
      <c r="Z684" s="3578"/>
      <c r="AA684" s="3578"/>
      <c r="AB684" s="3563"/>
      <c r="AC684" s="3578"/>
      <c r="AD684" s="3578"/>
      <c r="AE684" s="3578"/>
      <c r="AF684" s="3578"/>
      <c r="AG684" s="3576"/>
      <c r="AH684" s="3576"/>
      <c r="AI684" s="3580"/>
      <c r="AJ684" s="3581"/>
      <c r="AK684" s="3582"/>
      <c r="AL684" s="3582"/>
      <c r="AM684" s="3582"/>
      <c r="AN684" s="3582"/>
      <c r="AO684" s="3582"/>
      <c r="AP684" s="3582"/>
      <c r="AQ684" s="3582"/>
      <c r="AR684" s="3576"/>
      <c r="AS684" s="3576"/>
      <c r="AT684" s="3576"/>
      <c r="AU684" s="3576"/>
      <c r="AV684" s="3563"/>
    </row>
    <row r="685" s="3565" customFormat="1" spans="1:48">
      <c r="A685" s="3575"/>
      <c r="B685" s="3576"/>
      <c r="C685" s="3576"/>
      <c r="D685" s="3563"/>
      <c r="E685" s="3563"/>
      <c r="F685" s="3576"/>
      <c r="G685" s="3576"/>
      <c r="H685" s="3563"/>
      <c r="I685" s="3563"/>
      <c r="J685" s="3563"/>
      <c r="K685" s="3563"/>
      <c r="L685" s="3563"/>
      <c r="M685" s="3563"/>
      <c r="N685" s="3577"/>
      <c r="O685" s="3563"/>
      <c r="P685" s="3576"/>
      <c r="Q685" s="3578"/>
      <c r="R685" s="3563"/>
      <c r="S685" s="3563"/>
      <c r="T685" s="3579"/>
      <c r="U685" s="3563"/>
      <c r="V685" s="3563"/>
      <c r="W685" s="3578"/>
      <c r="X685" s="3578"/>
      <c r="Y685" s="3578"/>
      <c r="Z685" s="3578"/>
      <c r="AA685" s="3578"/>
      <c r="AB685" s="3563"/>
      <c r="AC685" s="3578"/>
      <c r="AD685" s="3578"/>
      <c r="AE685" s="3578"/>
      <c r="AF685" s="3578"/>
      <c r="AG685" s="3576"/>
      <c r="AH685" s="3576"/>
      <c r="AI685" s="3580"/>
      <c r="AJ685" s="3581"/>
      <c r="AK685" s="3582"/>
      <c r="AL685" s="3582"/>
      <c r="AM685" s="3582"/>
      <c r="AN685" s="3582"/>
      <c r="AO685" s="3582"/>
      <c r="AP685" s="3582"/>
      <c r="AQ685" s="3582"/>
      <c r="AR685" s="3576"/>
      <c r="AS685" s="3576"/>
      <c r="AT685" s="3576"/>
      <c r="AU685" s="3576"/>
      <c r="AV685" s="3563"/>
    </row>
    <row r="686" s="3565" customFormat="1" spans="1:48">
      <c r="A686" s="3575"/>
      <c r="B686" s="3576"/>
      <c r="C686" s="3576"/>
      <c r="D686" s="3563"/>
      <c r="E686" s="3563"/>
      <c r="F686" s="3576"/>
      <c r="G686" s="3576"/>
      <c r="H686" s="3563"/>
      <c r="I686" s="3563"/>
      <c r="J686" s="3563"/>
      <c r="K686" s="3563"/>
      <c r="L686" s="3563"/>
      <c r="M686" s="3563"/>
      <c r="N686" s="3577"/>
      <c r="O686" s="3563"/>
      <c r="P686" s="3576"/>
      <c r="Q686" s="3578"/>
      <c r="R686" s="3563"/>
      <c r="S686" s="3563"/>
      <c r="T686" s="3579"/>
      <c r="U686" s="3563"/>
      <c r="V686" s="3563"/>
      <c r="W686" s="3578"/>
      <c r="X686" s="3578"/>
      <c r="Y686" s="3578"/>
      <c r="Z686" s="3578"/>
      <c r="AA686" s="3578"/>
      <c r="AB686" s="3563"/>
      <c r="AC686" s="3578"/>
      <c r="AD686" s="3578"/>
      <c r="AE686" s="3578"/>
      <c r="AF686" s="3578"/>
      <c r="AG686" s="3576"/>
      <c r="AH686" s="3576"/>
      <c r="AI686" s="3580"/>
      <c r="AJ686" s="3581"/>
      <c r="AK686" s="3582"/>
      <c r="AL686" s="3582"/>
      <c r="AM686" s="3582"/>
      <c r="AN686" s="3582"/>
      <c r="AO686" s="3582"/>
      <c r="AP686" s="3582"/>
      <c r="AQ686" s="3582"/>
      <c r="AR686" s="3576"/>
      <c r="AS686" s="3576"/>
      <c r="AT686" s="3576"/>
      <c r="AU686" s="3576"/>
      <c r="AV686" s="3563"/>
    </row>
    <row r="687" s="3565" customFormat="1" spans="1:48">
      <c r="A687" s="3575"/>
      <c r="B687" s="3576"/>
      <c r="C687" s="3576"/>
      <c r="D687" s="3563"/>
      <c r="E687" s="3563"/>
      <c r="F687" s="3576"/>
      <c r="G687" s="3576"/>
      <c r="H687" s="3563"/>
      <c r="I687" s="3563"/>
      <c r="J687" s="3563"/>
      <c r="K687" s="3563"/>
      <c r="L687" s="3563"/>
      <c r="M687" s="3563"/>
      <c r="N687" s="3577"/>
      <c r="O687" s="3563"/>
      <c r="P687" s="3576"/>
      <c r="Q687" s="3578"/>
      <c r="R687" s="3563"/>
      <c r="S687" s="3563"/>
      <c r="T687" s="3579"/>
      <c r="U687" s="3563"/>
      <c r="V687" s="3563"/>
      <c r="W687" s="3578"/>
      <c r="X687" s="3578"/>
      <c r="Y687" s="3578"/>
      <c r="Z687" s="3578"/>
      <c r="AA687" s="3578"/>
      <c r="AB687" s="3563"/>
      <c r="AC687" s="3578"/>
      <c r="AD687" s="3578"/>
      <c r="AE687" s="3578"/>
      <c r="AF687" s="3578"/>
      <c r="AG687" s="3576"/>
      <c r="AH687" s="3576"/>
      <c r="AI687" s="3580"/>
      <c r="AJ687" s="3581"/>
      <c r="AK687" s="3582"/>
      <c r="AL687" s="3582"/>
      <c r="AM687" s="3582"/>
      <c r="AN687" s="3582"/>
      <c r="AO687" s="3582"/>
      <c r="AP687" s="3582"/>
      <c r="AQ687" s="3582"/>
      <c r="AR687" s="3576"/>
      <c r="AS687" s="3576"/>
      <c r="AT687" s="3576"/>
      <c r="AU687" s="3576"/>
      <c r="AV687" s="3563"/>
    </row>
    <row r="688" s="3565" customFormat="1" spans="1:48">
      <c r="A688" s="3575"/>
      <c r="B688" s="3576"/>
      <c r="C688" s="3576"/>
      <c r="D688" s="3563"/>
      <c r="E688" s="3563"/>
      <c r="F688" s="3576"/>
      <c r="G688" s="3576"/>
      <c r="H688" s="3563"/>
      <c r="I688" s="3563"/>
      <c r="J688" s="3563"/>
      <c r="K688" s="3563"/>
      <c r="L688" s="3563"/>
      <c r="M688" s="3563"/>
      <c r="N688" s="3577"/>
      <c r="O688" s="3563"/>
      <c r="P688" s="3576"/>
      <c r="Q688" s="3578"/>
      <c r="R688" s="3563"/>
      <c r="S688" s="3563"/>
      <c r="T688" s="3579"/>
      <c r="U688" s="3563"/>
      <c r="V688" s="3563"/>
      <c r="W688" s="3578"/>
      <c r="X688" s="3578"/>
      <c r="Y688" s="3578"/>
      <c r="Z688" s="3578"/>
      <c r="AA688" s="3578"/>
      <c r="AB688" s="3563"/>
      <c r="AC688" s="3578"/>
      <c r="AD688" s="3578"/>
      <c r="AE688" s="3578"/>
      <c r="AF688" s="3578"/>
      <c r="AG688" s="3576"/>
      <c r="AH688" s="3576"/>
      <c r="AI688" s="3580"/>
      <c r="AJ688" s="3581"/>
      <c r="AK688" s="3582"/>
      <c r="AL688" s="3582"/>
      <c r="AM688" s="3582"/>
      <c r="AN688" s="3582"/>
      <c r="AO688" s="3582"/>
      <c r="AP688" s="3582"/>
      <c r="AQ688" s="3582"/>
      <c r="AR688" s="3576"/>
      <c r="AS688" s="3576"/>
      <c r="AT688" s="3576"/>
      <c r="AU688" s="3576"/>
      <c r="AV688" s="3563"/>
    </row>
    <row r="689" s="3565" customFormat="1" spans="1:48">
      <c r="A689" s="3575"/>
      <c r="B689" s="3576"/>
      <c r="C689" s="3576"/>
      <c r="D689" s="3563"/>
      <c r="E689" s="3563"/>
      <c r="F689" s="3576"/>
      <c r="G689" s="3576"/>
      <c r="H689" s="3563"/>
      <c r="I689" s="3563"/>
      <c r="J689" s="3563"/>
      <c r="K689" s="3563"/>
      <c r="L689" s="3563"/>
      <c r="M689" s="3563"/>
      <c r="N689" s="3577"/>
      <c r="O689" s="3563"/>
      <c r="P689" s="3576"/>
      <c r="Q689" s="3578"/>
      <c r="R689" s="3563"/>
      <c r="S689" s="3563"/>
      <c r="T689" s="3579"/>
      <c r="U689" s="3563"/>
      <c r="V689" s="3563"/>
      <c r="W689" s="3578"/>
      <c r="X689" s="3578"/>
      <c r="Y689" s="3578"/>
      <c r="Z689" s="3578"/>
      <c r="AA689" s="3578"/>
      <c r="AB689" s="3563"/>
      <c r="AC689" s="3578"/>
      <c r="AD689" s="3578"/>
      <c r="AE689" s="3578"/>
      <c r="AF689" s="3578"/>
      <c r="AG689" s="3576"/>
      <c r="AH689" s="3576"/>
      <c r="AI689" s="3580"/>
      <c r="AJ689" s="3581"/>
      <c r="AK689" s="3582"/>
      <c r="AL689" s="3582"/>
      <c r="AM689" s="3582"/>
      <c r="AN689" s="3582"/>
      <c r="AO689" s="3582"/>
      <c r="AP689" s="3582"/>
      <c r="AQ689" s="3582"/>
      <c r="AR689" s="3576"/>
      <c r="AS689" s="3576"/>
      <c r="AT689" s="3576"/>
      <c r="AU689" s="3576"/>
      <c r="AV689" s="3563"/>
    </row>
    <row r="690" s="3565" customFormat="1" spans="1:48">
      <c r="A690" s="3575"/>
      <c r="B690" s="3576"/>
      <c r="C690" s="3576"/>
      <c r="D690" s="3563"/>
      <c r="E690" s="3563"/>
      <c r="F690" s="3576"/>
      <c r="G690" s="3576"/>
      <c r="H690" s="3563"/>
      <c r="I690" s="3563"/>
      <c r="J690" s="3563"/>
      <c r="K690" s="3563"/>
      <c r="L690" s="3563"/>
      <c r="M690" s="3563"/>
      <c r="N690" s="3577"/>
      <c r="O690" s="3563"/>
      <c r="P690" s="3576"/>
      <c r="Q690" s="3578"/>
      <c r="R690" s="3563"/>
      <c r="S690" s="3563"/>
      <c r="T690" s="3579"/>
      <c r="U690" s="3563"/>
      <c r="V690" s="3563"/>
      <c r="W690" s="3578"/>
      <c r="X690" s="3578"/>
      <c r="Y690" s="3578"/>
      <c r="Z690" s="3578"/>
      <c r="AA690" s="3578"/>
      <c r="AB690" s="3563"/>
      <c r="AC690" s="3578"/>
      <c r="AD690" s="3578"/>
      <c r="AE690" s="3578"/>
      <c r="AF690" s="3578"/>
      <c r="AG690" s="3576"/>
      <c r="AH690" s="3576"/>
      <c r="AI690" s="3580"/>
      <c r="AJ690" s="3581"/>
      <c r="AK690" s="3582"/>
      <c r="AL690" s="3582"/>
      <c r="AM690" s="3582"/>
      <c r="AN690" s="3582"/>
      <c r="AO690" s="3582"/>
      <c r="AP690" s="3582"/>
      <c r="AQ690" s="3582"/>
      <c r="AR690" s="3576"/>
      <c r="AS690" s="3576"/>
      <c r="AT690" s="3576"/>
      <c r="AU690" s="3576"/>
      <c r="AV690" s="3563"/>
    </row>
    <row r="691" s="3565" customFormat="1" spans="1:48">
      <c r="A691" s="3575"/>
      <c r="B691" s="3576"/>
      <c r="C691" s="3576"/>
      <c r="D691" s="3563"/>
      <c r="E691" s="3563"/>
      <c r="F691" s="3576"/>
      <c r="G691" s="3576"/>
      <c r="H691" s="3563"/>
      <c r="I691" s="3563"/>
      <c r="J691" s="3563"/>
      <c r="K691" s="3563"/>
      <c r="L691" s="3563"/>
      <c r="M691" s="3563"/>
      <c r="N691" s="3577"/>
      <c r="O691" s="3563"/>
      <c r="P691" s="3576"/>
      <c r="Q691" s="3578"/>
      <c r="R691" s="3563"/>
      <c r="S691" s="3563"/>
      <c r="T691" s="3579"/>
      <c r="U691" s="3563"/>
      <c r="V691" s="3563"/>
      <c r="W691" s="3578"/>
      <c r="X691" s="3578"/>
      <c r="Y691" s="3578"/>
      <c r="Z691" s="3578"/>
      <c r="AA691" s="3578"/>
      <c r="AB691" s="3563"/>
      <c r="AC691" s="3578"/>
      <c r="AD691" s="3578"/>
      <c r="AE691" s="3578"/>
      <c r="AF691" s="3578"/>
      <c r="AG691" s="3576"/>
      <c r="AH691" s="3576"/>
      <c r="AI691" s="3580"/>
      <c r="AJ691" s="3581"/>
      <c r="AK691" s="3582"/>
      <c r="AL691" s="3582"/>
      <c r="AM691" s="3582"/>
      <c r="AN691" s="3582"/>
      <c r="AO691" s="3582"/>
      <c r="AP691" s="3582"/>
      <c r="AQ691" s="3582"/>
      <c r="AR691" s="3576"/>
      <c r="AS691" s="3576"/>
      <c r="AT691" s="3576"/>
      <c r="AU691" s="3576"/>
      <c r="AV691" s="3563"/>
    </row>
    <row r="692" s="3565" customFormat="1" spans="1:48">
      <c r="A692" s="3575"/>
      <c r="B692" s="3576"/>
      <c r="C692" s="3576"/>
      <c r="D692" s="3563"/>
      <c r="E692" s="3563"/>
      <c r="F692" s="3576"/>
      <c r="G692" s="3576"/>
      <c r="H692" s="3563"/>
      <c r="I692" s="3563"/>
      <c r="J692" s="3563"/>
      <c r="K692" s="3563"/>
      <c r="L692" s="3563"/>
      <c r="M692" s="3563"/>
      <c r="N692" s="3577"/>
      <c r="O692" s="3563"/>
      <c r="P692" s="3576"/>
      <c r="Q692" s="3578"/>
      <c r="R692" s="3563"/>
      <c r="S692" s="3563"/>
      <c r="T692" s="3579"/>
      <c r="U692" s="3563"/>
      <c r="V692" s="3563"/>
      <c r="W692" s="3578"/>
      <c r="X692" s="3578"/>
      <c r="Y692" s="3578"/>
      <c r="Z692" s="3578"/>
      <c r="AA692" s="3578"/>
      <c r="AB692" s="3563"/>
      <c r="AC692" s="3578"/>
      <c r="AD692" s="3578"/>
      <c r="AE692" s="3578"/>
      <c r="AF692" s="3578"/>
      <c r="AG692" s="3576"/>
      <c r="AH692" s="3576"/>
      <c r="AI692" s="3580"/>
      <c r="AJ692" s="3581"/>
      <c r="AK692" s="3582"/>
      <c r="AL692" s="3582"/>
      <c r="AM692" s="3582"/>
      <c r="AN692" s="3582"/>
      <c r="AO692" s="3582"/>
      <c r="AP692" s="3582"/>
      <c r="AQ692" s="3582"/>
      <c r="AR692" s="3576"/>
      <c r="AS692" s="3576"/>
      <c r="AT692" s="3576"/>
      <c r="AU692" s="3576"/>
      <c r="AV692" s="3563"/>
    </row>
    <row r="693" s="3565" customFormat="1" spans="1:48">
      <c r="A693" s="3575"/>
      <c r="B693" s="3576"/>
      <c r="C693" s="3576"/>
      <c r="D693" s="3563"/>
      <c r="E693" s="3563"/>
      <c r="F693" s="3576"/>
      <c r="G693" s="3576"/>
      <c r="H693" s="3563"/>
      <c r="I693" s="3563"/>
      <c r="J693" s="3563"/>
      <c r="K693" s="3563"/>
      <c r="L693" s="3563"/>
      <c r="M693" s="3563"/>
      <c r="N693" s="3577"/>
      <c r="O693" s="3563"/>
      <c r="P693" s="3576"/>
      <c r="Q693" s="3578"/>
      <c r="R693" s="3563"/>
      <c r="S693" s="3563"/>
      <c r="T693" s="3579"/>
      <c r="U693" s="3563"/>
      <c r="V693" s="3563"/>
      <c r="W693" s="3578"/>
      <c r="X693" s="3578"/>
      <c r="Y693" s="3578"/>
      <c r="Z693" s="3578"/>
      <c r="AA693" s="3578"/>
      <c r="AB693" s="3563"/>
      <c r="AC693" s="3578"/>
      <c r="AD693" s="3578"/>
      <c r="AE693" s="3578"/>
      <c r="AF693" s="3578"/>
      <c r="AG693" s="3576"/>
      <c r="AH693" s="3576"/>
      <c r="AI693" s="3580"/>
      <c r="AJ693" s="3581"/>
      <c r="AK693" s="3582"/>
      <c r="AL693" s="3582"/>
      <c r="AM693" s="3582"/>
      <c r="AN693" s="3582"/>
      <c r="AO693" s="3582"/>
      <c r="AP693" s="3582"/>
      <c r="AQ693" s="3582"/>
      <c r="AR693" s="3576"/>
      <c r="AS693" s="3576"/>
      <c r="AT693" s="3576"/>
      <c r="AU693" s="3576"/>
      <c r="AV693" s="3563"/>
    </row>
    <row r="694" s="3565" customFormat="1" spans="1:48">
      <c r="A694" s="3575"/>
      <c r="B694" s="3576"/>
      <c r="C694" s="3576"/>
      <c r="D694" s="3563"/>
      <c r="E694" s="3563"/>
      <c r="F694" s="3576"/>
      <c r="G694" s="3576"/>
      <c r="H694" s="3563"/>
      <c r="I694" s="3563"/>
      <c r="J694" s="3563"/>
      <c r="K694" s="3563"/>
      <c r="L694" s="3563"/>
      <c r="M694" s="3563"/>
      <c r="N694" s="3577"/>
      <c r="O694" s="3563"/>
      <c r="P694" s="3576"/>
      <c r="Q694" s="3578"/>
      <c r="R694" s="3563"/>
      <c r="S694" s="3563"/>
      <c r="T694" s="3579"/>
      <c r="U694" s="3563"/>
      <c r="V694" s="3563"/>
      <c r="W694" s="3578"/>
      <c r="X694" s="3578"/>
      <c r="Y694" s="3578"/>
      <c r="Z694" s="3578"/>
      <c r="AA694" s="3578"/>
      <c r="AB694" s="3563"/>
      <c r="AC694" s="3578"/>
      <c r="AD694" s="3578"/>
      <c r="AE694" s="3578"/>
      <c r="AF694" s="3578"/>
      <c r="AG694" s="3576"/>
      <c r="AH694" s="3576"/>
      <c r="AI694" s="3580"/>
      <c r="AJ694" s="3581"/>
      <c r="AK694" s="3582"/>
      <c r="AL694" s="3582"/>
      <c r="AM694" s="3582"/>
      <c r="AN694" s="3582"/>
      <c r="AO694" s="3582"/>
      <c r="AP694" s="3582"/>
      <c r="AQ694" s="3582"/>
      <c r="AR694" s="3576"/>
      <c r="AS694" s="3576"/>
      <c r="AT694" s="3576"/>
      <c r="AU694" s="3576"/>
      <c r="AV694" s="3563"/>
    </row>
    <row r="695" s="3565" customFormat="1" spans="1:48">
      <c r="A695" s="3575"/>
      <c r="B695" s="3576"/>
      <c r="C695" s="3576"/>
      <c r="D695" s="3563"/>
      <c r="E695" s="3563"/>
      <c r="F695" s="3576"/>
      <c r="G695" s="3576"/>
      <c r="H695" s="3563"/>
      <c r="I695" s="3563"/>
      <c r="J695" s="3563"/>
      <c r="K695" s="3563"/>
      <c r="L695" s="3563"/>
      <c r="M695" s="3563"/>
      <c r="N695" s="3577"/>
      <c r="O695" s="3563"/>
      <c r="P695" s="3576"/>
      <c r="Q695" s="3578"/>
      <c r="R695" s="3563"/>
      <c r="S695" s="3563"/>
      <c r="T695" s="3579"/>
      <c r="U695" s="3563"/>
      <c r="V695" s="3563"/>
      <c r="W695" s="3578"/>
      <c r="X695" s="3578"/>
      <c r="Y695" s="3578"/>
      <c r="Z695" s="3578"/>
      <c r="AA695" s="3578"/>
      <c r="AB695" s="3563"/>
      <c r="AC695" s="3578"/>
      <c r="AD695" s="3578"/>
      <c r="AE695" s="3578"/>
      <c r="AF695" s="3578"/>
      <c r="AG695" s="3576"/>
      <c r="AH695" s="3576"/>
      <c r="AI695" s="3580"/>
      <c r="AJ695" s="3581"/>
      <c r="AK695" s="3582"/>
      <c r="AL695" s="3582"/>
      <c r="AM695" s="3582"/>
      <c r="AN695" s="3582"/>
      <c r="AO695" s="3582"/>
      <c r="AP695" s="3582"/>
      <c r="AQ695" s="3582"/>
      <c r="AR695" s="3576"/>
      <c r="AS695" s="3576"/>
      <c r="AT695" s="3576"/>
      <c r="AU695" s="3576"/>
      <c r="AV695" s="3563"/>
    </row>
    <row r="696" s="3565" customFormat="1" spans="1:48">
      <c r="A696" s="3575"/>
      <c r="B696" s="3576"/>
      <c r="C696" s="3576"/>
      <c r="D696" s="3563"/>
      <c r="E696" s="3563"/>
      <c r="F696" s="3576"/>
      <c r="G696" s="3576"/>
      <c r="H696" s="3563"/>
      <c r="I696" s="3563"/>
      <c r="J696" s="3563"/>
      <c r="K696" s="3563"/>
      <c r="L696" s="3563"/>
      <c r="M696" s="3563"/>
      <c r="N696" s="3577"/>
      <c r="O696" s="3563"/>
      <c r="P696" s="3576"/>
      <c r="Q696" s="3578"/>
      <c r="R696" s="3563"/>
      <c r="S696" s="3563"/>
      <c r="T696" s="3579"/>
      <c r="U696" s="3563"/>
      <c r="V696" s="3563"/>
      <c r="W696" s="3578"/>
      <c r="X696" s="3578"/>
      <c r="Y696" s="3578"/>
      <c r="Z696" s="3578"/>
      <c r="AA696" s="3578"/>
      <c r="AB696" s="3563"/>
      <c r="AC696" s="3578"/>
      <c r="AD696" s="3578"/>
      <c r="AE696" s="3578"/>
      <c r="AF696" s="3578"/>
      <c r="AG696" s="3576"/>
      <c r="AH696" s="3576"/>
      <c r="AI696" s="3580"/>
      <c r="AJ696" s="3581"/>
      <c r="AK696" s="3582"/>
      <c r="AL696" s="3582"/>
      <c r="AM696" s="3582"/>
      <c r="AN696" s="3582"/>
      <c r="AO696" s="3582"/>
      <c r="AP696" s="3582"/>
      <c r="AQ696" s="3582"/>
      <c r="AR696" s="3576"/>
      <c r="AS696" s="3576"/>
      <c r="AT696" s="3576"/>
      <c r="AU696" s="3576"/>
      <c r="AV696" s="3563"/>
    </row>
    <row r="697" s="3565" customFormat="1" spans="1:48">
      <c r="A697" s="3575"/>
      <c r="B697" s="3576"/>
      <c r="C697" s="3576"/>
      <c r="D697" s="3563"/>
      <c r="E697" s="3563"/>
      <c r="F697" s="3576"/>
      <c r="G697" s="3576"/>
      <c r="H697" s="3563"/>
      <c r="I697" s="3563"/>
      <c r="J697" s="3563"/>
      <c r="K697" s="3563"/>
      <c r="L697" s="3563"/>
      <c r="M697" s="3563"/>
      <c r="N697" s="3577"/>
      <c r="O697" s="3563"/>
      <c r="P697" s="3576"/>
      <c r="Q697" s="3578"/>
      <c r="R697" s="3563"/>
      <c r="S697" s="3563"/>
      <c r="T697" s="3579"/>
      <c r="U697" s="3563"/>
      <c r="V697" s="3563"/>
      <c r="W697" s="3578"/>
      <c r="X697" s="3578"/>
      <c r="Y697" s="3578"/>
      <c r="Z697" s="3578"/>
      <c r="AA697" s="3578"/>
      <c r="AB697" s="3563"/>
      <c r="AC697" s="3578"/>
      <c r="AD697" s="3578"/>
      <c r="AE697" s="3578"/>
      <c r="AF697" s="3578"/>
      <c r="AG697" s="3576"/>
      <c r="AH697" s="3576"/>
      <c r="AI697" s="3580"/>
      <c r="AJ697" s="3581"/>
      <c r="AK697" s="3582"/>
      <c r="AL697" s="3582"/>
      <c r="AM697" s="3582"/>
      <c r="AN697" s="3582"/>
      <c r="AO697" s="3582"/>
      <c r="AP697" s="3582"/>
      <c r="AQ697" s="3582"/>
      <c r="AR697" s="3576"/>
      <c r="AS697" s="3576"/>
      <c r="AT697" s="3576"/>
      <c r="AU697" s="3576"/>
      <c r="AV697" s="3563"/>
    </row>
    <row r="698" s="3565" customFormat="1" spans="1:48">
      <c r="A698" s="3575"/>
      <c r="B698" s="3576"/>
      <c r="C698" s="3576"/>
      <c r="D698" s="3563"/>
      <c r="E698" s="3563"/>
      <c r="F698" s="3576"/>
      <c r="G698" s="3576"/>
      <c r="H698" s="3563"/>
      <c r="I698" s="3563"/>
      <c r="J698" s="3563"/>
      <c r="K698" s="3563"/>
      <c r="L698" s="3563"/>
      <c r="M698" s="3563"/>
      <c r="N698" s="3577"/>
      <c r="O698" s="3563"/>
      <c r="P698" s="3576"/>
      <c r="Q698" s="3578"/>
      <c r="R698" s="3563"/>
      <c r="S698" s="3563"/>
      <c r="T698" s="3579"/>
      <c r="U698" s="3563"/>
      <c r="V698" s="3563"/>
      <c r="W698" s="3578"/>
      <c r="X698" s="3578"/>
      <c r="Y698" s="3578"/>
      <c r="Z698" s="3578"/>
      <c r="AA698" s="3578"/>
      <c r="AB698" s="3563"/>
      <c r="AC698" s="3578"/>
      <c r="AD698" s="3578"/>
      <c r="AE698" s="3578"/>
      <c r="AF698" s="3578"/>
      <c r="AG698" s="3576"/>
      <c r="AH698" s="3576"/>
      <c r="AI698" s="3580"/>
      <c r="AJ698" s="3581"/>
      <c r="AK698" s="3582"/>
      <c r="AL698" s="3582"/>
      <c r="AM698" s="3582"/>
      <c r="AN698" s="3582"/>
      <c r="AO698" s="3582"/>
      <c r="AP698" s="3582"/>
      <c r="AQ698" s="3582"/>
      <c r="AR698" s="3576"/>
      <c r="AS698" s="3576"/>
      <c r="AT698" s="3576"/>
      <c r="AU698" s="3576"/>
      <c r="AV698" s="3563"/>
    </row>
    <row r="699" s="3565" customFormat="1" spans="1:48">
      <c r="A699" s="3575"/>
      <c r="B699" s="3576"/>
      <c r="C699" s="3576"/>
      <c r="D699" s="3563"/>
      <c r="E699" s="3563"/>
      <c r="F699" s="3576"/>
      <c r="G699" s="3576"/>
      <c r="H699" s="3563"/>
      <c r="I699" s="3563"/>
      <c r="J699" s="3563"/>
      <c r="K699" s="3563"/>
      <c r="L699" s="3563"/>
      <c r="M699" s="3563"/>
      <c r="N699" s="3577"/>
      <c r="O699" s="3563"/>
      <c r="P699" s="3576"/>
      <c r="Q699" s="3578"/>
      <c r="R699" s="3563"/>
      <c r="S699" s="3563"/>
      <c r="T699" s="3579"/>
      <c r="U699" s="3563"/>
      <c r="V699" s="3563"/>
      <c r="W699" s="3578"/>
      <c r="X699" s="3578"/>
      <c r="Y699" s="3578"/>
      <c r="Z699" s="3578"/>
      <c r="AA699" s="3578"/>
      <c r="AB699" s="3563"/>
      <c r="AC699" s="3578"/>
      <c r="AD699" s="3578"/>
      <c r="AE699" s="3578"/>
      <c r="AF699" s="3578"/>
      <c r="AG699" s="3576"/>
      <c r="AH699" s="3576"/>
      <c r="AI699" s="3580"/>
      <c r="AJ699" s="3581"/>
      <c r="AK699" s="3582"/>
      <c r="AL699" s="3582"/>
      <c r="AM699" s="3582"/>
      <c r="AN699" s="3582"/>
      <c r="AO699" s="3582"/>
      <c r="AP699" s="3582"/>
      <c r="AQ699" s="3582"/>
      <c r="AR699" s="3576"/>
      <c r="AS699" s="3576"/>
      <c r="AT699" s="3576"/>
      <c r="AU699" s="3576"/>
      <c r="AV699" s="3563"/>
    </row>
    <row r="700" s="3565" customFormat="1" spans="1:48">
      <c r="A700" s="3575"/>
      <c r="B700" s="3576"/>
      <c r="C700" s="3576"/>
      <c r="D700" s="3563"/>
      <c r="E700" s="3563"/>
      <c r="F700" s="3576"/>
      <c r="G700" s="3576"/>
      <c r="H700" s="3563"/>
      <c r="I700" s="3563"/>
      <c r="J700" s="3563"/>
      <c r="K700" s="3563"/>
      <c r="L700" s="3563"/>
      <c r="M700" s="3563"/>
      <c r="N700" s="3577"/>
      <c r="O700" s="3563"/>
      <c r="P700" s="3576"/>
      <c r="Q700" s="3578"/>
      <c r="R700" s="3563"/>
      <c r="S700" s="3563"/>
      <c r="T700" s="3579"/>
      <c r="U700" s="3563"/>
      <c r="V700" s="3563"/>
      <c r="W700" s="3578"/>
      <c r="X700" s="3578"/>
      <c r="Y700" s="3578"/>
      <c r="Z700" s="3578"/>
      <c r="AA700" s="3578"/>
      <c r="AB700" s="3563"/>
      <c r="AC700" s="3578"/>
      <c r="AD700" s="3578"/>
      <c r="AE700" s="3578"/>
      <c r="AF700" s="3578"/>
      <c r="AG700" s="3576"/>
      <c r="AH700" s="3576"/>
      <c r="AI700" s="3580"/>
      <c r="AJ700" s="3581"/>
      <c r="AK700" s="3582"/>
      <c r="AL700" s="3582"/>
      <c r="AM700" s="3582"/>
      <c r="AN700" s="3582"/>
      <c r="AO700" s="3582"/>
      <c r="AP700" s="3582"/>
      <c r="AQ700" s="3582"/>
      <c r="AR700" s="3576"/>
      <c r="AS700" s="3576"/>
      <c r="AT700" s="3576"/>
      <c r="AU700" s="3576"/>
      <c r="AV700" s="3563"/>
    </row>
    <row r="701" s="3565" customFormat="1" spans="1:48">
      <c r="A701" s="3575"/>
      <c r="B701" s="3576"/>
      <c r="C701" s="3576"/>
      <c r="D701" s="3563"/>
      <c r="E701" s="3563"/>
      <c r="F701" s="3576"/>
      <c r="G701" s="3576"/>
      <c r="H701" s="3563"/>
      <c r="I701" s="3563"/>
      <c r="J701" s="3563"/>
      <c r="K701" s="3563"/>
      <c r="L701" s="3563"/>
      <c r="M701" s="3563"/>
      <c r="N701" s="3577"/>
      <c r="O701" s="3563"/>
      <c r="P701" s="3576"/>
      <c r="Q701" s="3578"/>
      <c r="R701" s="3563"/>
      <c r="S701" s="3563"/>
      <c r="T701" s="3579"/>
      <c r="U701" s="3563"/>
      <c r="V701" s="3563"/>
      <c r="W701" s="3578"/>
      <c r="X701" s="3578"/>
      <c r="Y701" s="3578"/>
      <c r="Z701" s="3578"/>
      <c r="AA701" s="3578"/>
      <c r="AB701" s="3563"/>
      <c r="AC701" s="3578"/>
      <c r="AD701" s="3578"/>
      <c r="AE701" s="3578"/>
      <c r="AF701" s="3578"/>
      <c r="AG701" s="3576"/>
      <c r="AH701" s="3576"/>
      <c r="AI701" s="3580"/>
      <c r="AJ701" s="3581"/>
      <c r="AK701" s="3582"/>
      <c r="AL701" s="3582"/>
      <c r="AM701" s="3582"/>
      <c r="AN701" s="3582"/>
      <c r="AO701" s="3582"/>
      <c r="AP701" s="3582"/>
      <c r="AQ701" s="3582"/>
      <c r="AR701" s="3576"/>
      <c r="AS701" s="3576"/>
      <c r="AT701" s="3576"/>
      <c r="AU701" s="3576"/>
      <c r="AV701" s="3563"/>
    </row>
    <row r="702" s="3565" customFormat="1" spans="1:48">
      <c r="A702" s="3575"/>
      <c r="B702" s="3576"/>
      <c r="C702" s="3576"/>
      <c r="D702" s="3563"/>
      <c r="E702" s="3563"/>
      <c r="F702" s="3576"/>
      <c r="G702" s="3576"/>
      <c r="H702" s="3563"/>
      <c r="I702" s="3563"/>
      <c r="J702" s="3563"/>
      <c r="K702" s="3563"/>
      <c r="L702" s="3563"/>
      <c r="M702" s="3563"/>
      <c r="N702" s="3577"/>
      <c r="O702" s="3563"/>
      <c r="P702" s="3576"/>
      <c r="Q702" s="3578"/>
      <c r="R702" s="3563"/>
      <c r="S702" s="3563"/>
      <c r="T702" s="3579"/>
      <c r="U702" s="3563"/>
      <c r="V702" s="3563"/>
      <c r="W702" s="3578"/>
      <c r="X702" s="3578"/>
      <c r="Y702" s="3578"/>
      <c r="Z702" s="3578"/>
      <c r="AA702" s="3578"/>
      <c r="AB702" s="3563"/>
      <c r="AC702" s="3578"/>
      <c r="AD702" s="3578"/>
      <c r="AE702" s="3578"/>
      <c r="AF702" s="3578"/>
      <c r="AG702" s="3576"/>
      <c r="AH702" s="3576"/>
      <c r="AI702" s="3580"/>
      <c r="AJ702" s="3581"/>
      <c r="AK702" s="3582"/>
      <c r="AL702" s="3582"/>
      <c r="AM702" s="3582"/>
      <c r="AN702" s="3582"/>
      <c r="AO702" s="3582"/>
      <c r="AP702" s="3582"/>
      <c r="AQ702" s="3582"/>
      <c r="AR702" s="3576"/>
      <c r="AS702" s="3576"/>
      <c r="AT702" s="3576"/>
      <c r="AU702" s="3576"/>
      <c r="AV702" s="3563"/>
    </row>
    <row r="703" s="3565" customFormat="1" spans="1:48">
      <c r="A703" s="3575"/>
      <c r="B703" s="3576"/>
      <c r="C703" s="3576"/>
      <c r="D703" s="3563"/>
      <c r="E703" s="3563"/>
      <c r="F703" s="3576"/>
      <c r="G703" s="3576"/>
      <c r="H703" s="3563"/>
      <c r="I703" s="3563"/>
      <c r="J703" s="3563"/>
      <c r="K703" s="3563"/>
      <c r="L703" s="3563"/>
      <c r="M703" s="3563"/>
      <c r="N703" s="3577"/>
      <c r="O703" s="3563"/>
      <c r="P703" s="3576"/>
      <c r="Q703" s="3578"/>
      <c r="R703" s="3563"/>
      <c r="S703" s="3563"/>
      <c r="T703" s="3579"/>
      <c r="U703" s="3563"/>
      <c r="V703" s="3563"/>
      <c r="W703" s="3578"/>
      <c r="X703" s="3578"/>
      <c r="Y703" s="3578"/>
      <c r="Z703" s="3578"/>
      <c r="AA703" s="3578"/>
      <c r="AB703" s="3563"/>
      <c r="AC703" s="3578"/>
      <c r="AD703" s="3578"/>
      <c r="AE703" s="3578"/>
      <c r="AF703" s="3578"/>
      <c r="AG703" s="3576"/>
      <c r="AH703" s="3576"/>
      <c r="AI703" s="3580"/>
      <c r="AJ703" s="3581"/>
      <c r="AK703" s="3582"/>
      <c r="AL703" s="3582"/>
      <c r="AM703" s="3582"/>
      <c r="AN703" s="3582"/>
      <c r="AO703" s="3582"/>
      <c r="AP703" s="3582"/>
      <c r="AQ703" s="3582"/>
      <c r="AR703" s="3576"/>
      <c r="AS703" s="3576"/>
      <c r="AT703" s="3576"/>
      <c r="AU703" s="3576"/>
      <c r="AV703" s="3563"/>
    </row>
    <row r="704" s="3565" customFormat="1" spans="1:48">
      <c r="A704" s="3575"/>
      <c r="B704" s="3576"/>
      <c r="C704" s="3576"/>
      <c r="D704" s="3563"/>
      <c r="E704" s="3563"/>
      <c r="F704" s="3576"/>
      <c r="G704" s="3576"/>
      <c r="H704" s="3563"/>
      <c r="I704" s="3563"/>
      <c r="J704" s="3563"/>
      <c r="K704" s="3563"/>
      <c r="L704" s="3563"/>
      <c r="M704" s="3563"/>
      <c r="N704" s="3577"/>
      <c r="O704" s="3563"/>
      <c r="P704" s="3576"/>
      <c r="Q704" s="3578"/>
      <c r="R704" s="3563"/>
      <c r="S704" s="3563"/>
      <c r="T704" s="3579"/>
      <c r="U704" s="3563"/>
      <c r="V704" s="3563"/>
      <c r="W704" s="3578"/>
      <c r="X704" s="3578"/>
      <c r="Y704" s="3578"/>
      <c r="Z704" s="3578"/>
      <c r="AA704" s="3578"/>
      <c r="AB704" s="3563"/>
      <c r="AC704" s="3578"/>
      <c r="AD704" s="3578"/>
      <c r="AE704" s="3578"/>
      <c r="AF704" s="3578"/>
      <c r="AG704" s="3576"/>
      <c r="AH704" s="3576"/>
      <c r="AI704" s="3580"/>
      <c r="AJ704" s="3581"/>
      <c r="AK704" s="3582"/>
      <c r="AL704" s="3582"/>
      <c r="AM704" s="3582"/>
      <c r="AN704" s="3582"/>
      <c r="AO704" s="3582"/>
      <c r="AP704" s="3582"/>
      <c r="AQ704" s="3582"/>
      <c r="AR704" s="3576"/>
      <c r="AS704" s="3576"/>
      <c r="AT704" s="3576"/>
      <c r="AU704" s="3576"/>
      <c r="AV704" s="3563"/>
    </row>
    <row r="705" s="3565" customFormat="1" spans="1:48">
      <c r="A705" s="3575"/>
      <c r="B705" s="3576"/>
      <c r="C705" s="3576"/>
      <c r="D705" s="3563"/>
      <c r="E705" s="3563"/>
      <c r="F705" s="3576"/>
      <c r="G705" s="3576"/>
      <c r="H705" s="3563"/>
      <c r="I705" s="3563"/>
      <c r="J705" s="3563"/>
      <c r="K705" s="3563"/>
      <c r="L705" s="3563"/>
      <c r="M705" s="3563"/>
      <c r="N705" s="3577"/>
      <c r="O705" s="3563"/>
      <c r="P705" s="3576"/>
      <c r="Q705" s="3578"/>
      <c r="R705" s="3563"/>
      <c r="S705" s="3563"/>
      <c r="T705" s="3579"/>
      <c r="U705" s="3563"/>
      <c r="V705" s="3563"/>
      <c r="W705" s="3578"/>
      <c r="X705" s="3578"/>
      <c r="Y705" s="3578"/>
      <c r="Z705" s="3578"/>
      <c r="AA705" s="3578"/>
      <c r="AB705" s="3563"/>
      <c r="AC705" s="3578"/>
      <c r="AD705" s="3578"/>
      <c r="AE705" s="3578"/>
      <c r="AF705" s="3578"/>
      <c r="AG705" s="3576"/>
      <c r="AH705" s="3576"/>
      <c r="AI705" s="3580"/>
      <c r="AJ705" s="3581"/>
      <c r="AK705" s="3582"/>
      <c r="AL705" s="3582"/>
      <c r="AM705" s="3582"/>
      <c r="AN705" s="3582"/>
      <c r="AO705" s="3582"/>
      <c r="AP705" s="3582"/>
      <c r="AQ705" s="3582"/>
      <c r="AR705" s="3576"/>
      <c r="AS705" s="3576"/>
      <c r="AT705" s="3576"/>
      <c r="AU705" s="3576"/>
      <c r="AV705" s="3563"/>
    </row>
    <row r="706" s="3565" customFormat="1" spans="1:48">
      <c r="A706" s="3575"/>
      <c r="B706" s="3576"/>
      <c r="C706" s="3576"/>
      <c r="D706" s="3563"/>
      <c r="E706" s="3563"/>
      <c r="F706" s="3576"/>
      <c r="G706" s="3576"/>
      <c r="H706" s="3563"/>
      <c r="I706" s="3563"/>
      <c r="J706" s="3563"/>
      <c r="K706" s="3563"/>
      <c r="L706" s="3563"/>
      <c r="M706" s="3563"/>
      <c r="N706" s="3577"/>
      <c r="O706" s="3563"/>
      <c r="P706" s="3576"/>
      <c r="Q706" s="3578"/>
      <c r="R706" s="3563"/>
      <c r="S706" s="3563"/>
      <c r="T706" s="3579"/>
      <c r="U706" s="3563"/>
      <c r="V706" s="3563"/>
      <c r="W706" s="3578"/>
      <c r="X706" s="3578"/>
      <c r="Y706" s="3578"/>
      <c r="Z706" s="3578"/>
      <c r="AA706" s="3578"/>
      <c r="AB706" s="3563"/>
      <c r="AC706" s="3578"/>
      <c r="AD706" s="3578"/>
      <c r="AE706" s="3578"/>
      <c r="AF706" s="3578"/>
      <c r="AG706" s="3576"/>
      <c r="AH706" s="3576"/>
      <c r="AI706" s="3580"/>
      <c r="AJ706" s="3581"/>
      <c r="AK706" s="3582"/>
      <c r="AL706" s="3582"/>
      <c r="AM706" s="3582"/>
      <c r="AN706" s="3582"/>
      <c r="AO706" s="3582"/>
      <c r="AP706" s="3582"/>
      <c r="AQ706" s="3582"/>
      <c r="AR706" s="3576"/>
      <c r="AS706" s="3576"/>
      <c r="AT706" s="3576"/>
      <c r="AU706" s="3576"/>
      <c r="AV706" s="3563"/>
    </row>
    <row r="707" s="3565" customFormat="1" spans="1:48">
      <c r="A707" s="3575"/>
      <c r="B707" s="3576"/>
      <c r="C707" s="3576"/>
      <c r="D707" s="3563"/>
      <c r="E707" s="3563"/>
      <c r="F707" s="3576"/>
      <c r="G707" s="3576"/>
      <c r="H707" s="3563"/>
      <c r="I707" s="3563"/>
      <c r="J707" s="3563"/>
      <c r="K707" s="3563"/>
      <c r="L707" s="3563"/>
      <c r="M707" s="3563"/>
      <c r="N707" s="3577"/>
      <c r="O707" s="3563"/>
      <c r="P707" s="3576"/>
      <c r="Q707" s="3578"/>
      <c r="R707" s="3563"/>
      <c r="S707" s="3563"/>
      <c r="T707" s="3579"/>
      <c r="U707" s="3563"/>
      <c r="V707" s="3563"/>
      <c r="W707" s="3578"/>
      <c r="X707" s="3578"/>
      <c r="Y707" s="3578"/>
      <c r="Z707" s="3578"/>
      <c r="AA707" s="3578"/>
      <c r="AB707" s="3563"/>
      <c r="AC707" s="3578"/>
      <c r="AD707" s="3578"/>
      <c r="AE707" s="3578"/>
      <c r="AF707" s="3578"/>
      <c r="AG707" s="3576"/>
      <c r="AH707" s="3576"/>
      <c r="AI707" s="3580"/>
      <c r="AJ707" s="3581"/>
      <c r="AK707" s="3582"/>
      <c r="AL707" s="3582"/>
      <c r="AM707" s="3582"/>
      <c r="AN707" s="3582"/>
      <c r="AO707" s="3582"/>
      <c r="AP707" s="3582"/>
      <c r="AQ707" s="3582"/>
      <c r="AR707" s="3576"/>
      <c r="AS707" s="3576"/>
      <c r="AT707" s="3576"/>
      <c r="AU707" s="3576"/>
      <c r="AV707" s="3563"/>
    </row>
    <row r="708" s="3565" customFormat="1" spans="1:48">
      <c r="A708" s="3575"/>
      <c r="B708" s="3576"/>
      <c r="C708" s="3576"/>
      <c r="D708" s="3563"/>
      <c r="E708" s="3563"/>
      <c r="F708" s="3576"/>
      <c r="G708" s="3576"/>
      <c r="H708" s="3563"/>
      <c r="I708" s="3563"/>
      <c r="J708" s="3563"/>
      <c r="K708" s="3563"/>
      <c r="L708" s="3563"/>
      <c r="M708" s="3563"/>
      <c r="N708" s="3577"/>
      <c r="O708" s="3563"/>
      <c r="P708" s="3576"/>
      <c r="Q708" s="3578"/>
      <c r="R708" s="3563"/>
      <c r="S708" s="3563"/>
      <c r="T708" s="3579"/>
      <c r="U708" s="3563"/>
      <c r="V708" s="3563"/>
      <c r="W708" s="3578"/>
      <c r="X708" s="3578"/>
      <c r="Y708" s="3578"/>
      <c r="Z708" s="3578"/>
      <c r="AA708" s="3578"/>
      <c r="AB708" s="3563"/>
      <c r="AC708" s="3578"/>
      <c r="AD708" s="3578"/>
      <c r="AE708" s="3578"/>
      <c r="AF708" s="3578"/>
      <c r="AG708" s="3576"/>
      <c r="AH708" s="3576"/>
      <c r="AI708" s="3580"/>
      <c r="AJ708" s="3581"/>
      <c r="AK708" s="3582"/>
      <c r="AL708" s="3582"/>
      <c r="AM708" s="3582"/>
      <c r="AN708" s="3582"/>
      <c r="AO708" s="3582"/>
      <c r="AP708" s="3582"/>
      <c r="AQ708" s="3582"/>
      <c r="AR708" s="3576"/>
      <c r="AS708" s="3576"/>
      <c r="AT708" s="3576"/>
      <c r="AU708" s="3576"/>
      <c r="AV708" s="3563"/>
    </row>
    <row r="709" s="3565" customFormat="1" spans="1:48">
      <c r="A709" s="3575"/>
      <c r="B709" s="3576"/>
      <c r="C709" s="3576"/>
      <c r="D709" s="3563"/>
      <c r="E709" s="3563"/>
      <c r="F709" s="3576"/>
      <c r="G709" s="3576"/>
      <c r="H709" s="3563"/>
      <c r="I709" s="3563"/>
      <c r="J709" s="3563"/>
      <c r="K709" s="3563"/>
      <c r="L709" s="3563"/>
      <c r="M709" s="3563"/>
      <c r="N709" s="3577"/>
      <c r="O709" s="3563"/>
      <c r="P709" s="3576"/>
      <c r="Q709" s="3578"/>
      <c r="R709" s="3563"/>
      <c r="S709" s="3563"/>
      <c r="T709" s="3579"/>
      <c r="U709" s="3563"/>
      <c r="V709" s="3563"/>
      <c r="W709" s="3578"/>
      <c r="X709" s="3578"/>
      <c r="Y709" s="3578"/>
      <c r="Z709" s="3578"/>
      <c r="AA709" s="3578"/>
      <c r="AB709" s="3563"/>
      <c r="AC709" s="3578"/>
      <c r="AD709" s="3578"/>
      <c r="AE709" s="3578"/>
      <c r="AF709" s="3578"/>
      <c r="AG709" s="3576"/>
      <c r="AH709" s="3576"/>
      <c r="AI709" s="3580"/>
      <c r="AJ709" s="3581"/>
      <c r="AK709" s="3582"/>
      <c r="AL709" s="3582"/>
      <c r="AM709" s="3582"/>
      <c r="AN709" s="3582"/>
      <c r="AO709" s="3582"/>
      <c r="AP709" s="3582"/>
      <c r="AQ709" s="3582"/>
      <c r="AR709" s="3576"/>
      <c r="AS709" s="3576"/>
      <c r="AT709" s="3576"/>
      <c r="AU709" s="3576"/>
      <c r="AV709" s="3563"/>
    </row>
    <row r="710" s="3565" customFormat="1" spans="1:48">
      <c r="A710" s="3575"/>
      <c r="B710" s="3576"/>
      <c r="C710" s="3576"/>
      <c r="D710" s="3563"/>
      <c r="E710" s="3563"/>
      <c r="F710" s="3576"/>
      <c r="G710" s="3576"/>
      <c r="H710" s="3563"/>
      <c r="I710" s="3563"/>
      <c r="J710" s="3563"/>
      <c r="K710" s="3563"/>
      <c r="L710" s="3563"/>
      <c r="M710" s="3563"/>
      <c r="N710" s="3577"/>
      <c r="O710" s="3563"/>
      <c r="P710" s="3576"/>
      <c r="Q710" s="3578"/>
      <c r="R710" s="3563"/>
      <c r="S710" s="3563"/>
      <c r="T710" s="3579"/>
      <c r="U710" s="3563"/>
      <c r="V710" s="3563"/>
      <c r="W710" s="3578"/>
      <c r="X710" s="3578"/>
      <c r="Y710" s="3578"/>
      <c r="Z710" s="3578"/>
      <c r="AA710" s="3578"/>
      <c r="AB710" s="3563"/>
      <c r="AC710" s="3578"/>
      <c r="AD710" s="3578"/>
      <c r="AE710" s="3578"/>
      <c r="AF710" s="3578"/>
      <c r="AG710" s="3576"/>
      <c r="AH710" s="3576"/>
      <c r="AI710" s="3580"/>
      <c r="AJ710" s="3581"/>
      <c r="AK710" s="3582"/>
      <c r="AL710" s="3582"/>
      <c r="AM710" s="3582"/>
      <c r="AN710" s="3582"/>
      <c r="AO710" s="3582"/>
      <c r="AP710" s="3582"/>
      <c r="AQ710" s="3582"/>
      <c r="AR710" s="3576"/>
      <c r="AS710" s="3576"/>
      <c r="AT710" s="3576"/>
      <c r="AU710" s="3576"/>
      <c r="AV710" s="3563"/>
    </row>
    <row r="711" s="3565" customFormat="1" spans="1:48">
      <c r="A711" s="3575"/>
      <c r="B711" s="3576"/>
      <c r="C711" s="3576"/>
      <c r="D711" s="3563"/>
      <c r="E711" s="3563"/>
      <c r="F711" s="3576"/>
      <c r="G711" s="3576"/>
      <c r="H711" s="3563"/>
      <c r="I711" s="3563"/>
      <c r="J711" s="3563"/>
      <c r="K711" s="3563"/>
      <c r="L711" s="3563"/>
      <c r="M711" s="3563"/>
      <c r="N711" s="3577"/>
      <c r="O711" s="3563"/>
      <c r="P711" s="3576"/>
      <c r="Q711" s="3578"/>
      <c r="R711" s="3563"/>
      <c r="S711" s="3563"/>
      <c r="T711" s="3579"/>
      <c r="U711" s="3563"/>
      <c r="V711" s="3563"/>
      <c r="W711" s="3578"/>
      <c r="X711" s="3578"/>
      <c r="Y711" s="3578"/>
      <c r="Z711" s="3578"/>
      <c r="AA711" s="3578"/>
      <c r="AB711" s="3563"/>
      <c r="AC711" s="3578"/>
      <c r="AD711" s="3578"/>
      <c r="AE711" s="3578"/>
      <c r="AF711" s="3578"/>
      <c r="AG711" s="3576"/>
      <c r="AH711" s="3576"/>
      <c r="AI711" s="3580"/>
      <c r="AJ711" s="3581"/>
      <c r="AK711" s="3582"/>
      <c r="AL711" s="3582"/>
      <c r="AM711" s="3582"/>
      <c r="AN711" s="3582"/>
      <c r="AO711" s="3582"/>
      <c r="AP711" s="3582"/>
      <c r="AQ711" s="3582"/>
      <c r="AR711" s="3576"/>
      <c r="AS711" s="3576"/>
      <c r="AT711" s="3576"/>
      <c r="AU711" s="3576"/>
      <c r="AV711" s="3563"/>
    </row>
    <row r="712" s="3565" customFormat="1" spans="1:48">
      <c r="A712" s="3575"/>
      <c r="B712" s="3576"/>
      <c r="C712" s="3576"/>
      <c r="D712" s="3563"/>
      <c r="E712" s="3563"/>
      <c r="F712" s="3576"/>
      <c r="G712" s="3576"/>
      <c r="H712" s="3563"/>
      <c r="I712" s="3563"/>
      <c r="J712" s="3563"/>
      <c r="K712" s="3563"/>
      <c r="L712" s="3563"/>
      <c r="M712" s="3563"/>
      <c r="N712" s="3577"/>
      <c r="O712" s="3563"/>
      <c r="P712" s="3576"/>
      <c r="Q712" s="3578"/>
      <c r="R712" s="3563"/>
      <c r="S712" s="3563"/>
      <c r="T712" s="3579"/>
      <c r="U712" s="3563"/>
      <c r="V712" s="3563"/>
      <c r="W712" s="3578"/>
      <c r="X712" s="3578"/>
      <c r="Y712" s="3578"/>
      <c r="Z712" s="3578"/>
      <c r="AA712" s="3578"/>
      <c r="AB712" s="3563"/>
      <c r="AC712" s="3578"/>
      <c r="AD712" s="3578"/>
      <c r="AE712" s="3578"/>
      <c r="AF712" s="3578"/>
      <c r="AG712" s="3576"/>
      <c r="AH712" s="3576"/>
      <c r="AI712" s="3580"/>
      <c r="AJ712" s="3581"/>
      <c r="AK712" s="3582"/>
      <c r="AL712" s="3582"/>
      <c r="AM712" s="3582"/>
      <c r="AN712" s="3582"/>
      <c r="AO712" s="3582"/>
      <c r="AP712" s="3582"/>
      <c r="AQ712" s="3582"/>
      <c r="AR712" s="3576"/>
      <c r="AS712" s="3576"/>
      <c r="AT712" s="3576"/>
      <c r="AU712" s="3576"/>
      <c r="AV712" s="3563"/>
    </row>
    <row r="713" s="3565" customFormat="1" spans="1:48">
      <c r="A713" s="3575"/>
      <c r="B713" s="3576"/>
      <c r="C713" s="3576"/>
      <c r="D713" s="3563"/>
      <c r="E713" s="3563"/>
      <c r="F713" s="3576"/>
      <c r="G713" s="3576"/>
      <c r="H713" s="3563"/>
      <c r="I713" s="3563"/>
      <c r="J713" s="3563"/>
      <c r="K713" s="3563"/>
      <c r="L713" s="3563"/>
      <c r="M713" s="3563"/>
      <c r="N713" s="3577"/>
      <c r="O713" s="3563"/>
      <c r="P713" s="3576"/>
      <c r="Q713" s="3578"/>
      <c r="R713" s="3563"/>
      <c r="S713" s="3563"/>
      <c r="T713" s="3579"/>
      <c r="U713" s="3563"/>
      <c r="V713" s="3563"/>
      <c r="W713" s="3578"/>
      <c r="X713" s="3578"/>
      <c r="Y713" s="3578"/>
      <c r="Z713" s="3578"/>
      <c r="AA713" s="3578"/>
      <c r="AB713" s="3563"/>
      <c r="AC713" s="3578"/>
      <c r="AD713" s="3578"/>
      <c r="AE713" s="3578"/>
      <c r="AF713" s="3578"/>
      <c r="AG713" s="3576"/>
      <c r="AH713" s="3576"/>
      <c r="AI713" s="3580"/>
      <c r="AJ713" s="3581"/>
      <c r="AK713" s="3582"/>
      <c r="AL713" s="3582"/>
      <c r="AM713" s="3582"/>
      <c r="AN713" s="3582"/>
      <c r="AO713" s="3582"/>
      <c r="AP713" s="3582"/>
      <c r="AQ713" s="3582"/>
      <c r="AR713" s="3576"/>
      <c r="AS713" s="3576"/>
      <c r="AT713" s="3576"/>
      <c r="AU713" s="3576"/>
      <c r="AV713" s="3563"/>
    </row>
    <row r="714" s="3565" customFormat="1" spans="1:48">
      <c r="A714" s="3575"/>
      <c r="B714" s="3576"/>
      <c r="C714" s="3576"/>
      <c r="D714" s="3563"/>
      <c r="E714" s="3563"/>
      <c r="F714" s="3576"/>
      <c r="G714" s="3576"/>
      <c r="H714" s="3563"/>
      <c r="I714" s="3563"/>
      <c r="J714" s="3563"/>
      <c r="K714" s="3563"/>
      <c r="L714" s="3563"/>
      <c r="M714" s="3563"/>
      <c r="N714" s="3577"/>
      <c r="O714" s="3563"/>
      <c r="P714" s="3576"/>
      <c r="Q714" s="3578"/>
      <c r="R714" s="3563"/>
      <c r="S714" s="3563"/>
      <c r="T714" s="3579"/>
      <c r="U714" s="3563"/>
      <c r="V714" s="3563"/>
      <c r="W714" s="3578"/>
      <c r="X714" s="3578"/>
      <c r="Y714" s="3578"/>
      <c r="Z714" s="3578"/>
      <c r="AA714" s="3578"/>
      <c r="AB714" s="3563"/>
      <c r="AC714" s="3578"/>
      <c r="AD714" s="3578"/>
      <c r="AE714" s="3578"/>
      <c r="AF714" s="3578"/>
      <c r="AG714" s="3576"/>
      <c r="AH714" s="3576"/>
      <c r="AI714" s="3580"/>
      <c r="AJ714" s="3581"/>
      <c r="AK714" s="3582"/>
      <c r="AL714" s="3582"/>
      <c r="AM714" s="3582"/>
      <c r="AN714" s="3582"/>
      <c r="AO714" s="3582"/>
      <c r="AP714" s="3582"/>
      <c r="AQ714" s="3582"/>
      <c r="AR714" s="3576"/>
      <c r="AS714" s="3576"/>
      <c r="AT714" s="3576"/>
      <c r="AU714" s="3576"/>
      <c r="AV714" s="3563"/>
    </row>
    <row r="715" s="3565" customFormat="1" spans="1:48">
      <c r="A715" s="3575"/>
      <c r="B715" s="3576"/>
      <c r="C715" s="3576"/>
      <c r="D715" s="3563"/>
      <c r="E715" s="3563"/>
      <c r="F715" s="3576"/>
      <c r="G715" s="3576"/>
      <c r="H715" s="3563"/>
      <c r="I715" s="3563"/>
      <c r="J715" s="3563"/>
      <c r="K715" s="3563"/>
      <c r="L715" s="3563"/>
      <c r="M715" s="3563"/>
      <c r="N715" s="3577"/>
      <c r="O715" s="3563"/>
      <c r="P715" s="3576"/>
      <c r="Q715" s="3578"/>
      <c r="R715" s="3563"/>
      <c r="S715" s="3563"/>
      <c r="T715" s="3579"/>
      <c r="U715" s="3563"/>
      <c r="V715" s="3563"/>
      <c r="W715" s="3578"/>
      <c r="X715" s="3578"/>
      <c r="Y715" s="3578"/>
      <c r="Z715" s="3578"/>
      <c r="AA715" s="3578"/>
      <c r="AB715" s="3563"/>
      <c r="AC715" s="3578"/>
      <c r="AD715" s="3578"/>
      <c r="AE715" s="3578"/>
      <c r="AF715" s="3578"/>
      <c r="AG715" s="3576"/>
      <c r="AH715" s="3576"/>
      <c r="AI715" s="3580"/>
      <c r="AJ715" s="3581"/>
      <c r="AK715" s="3582"/>
      <c r="AL715" s="3582"/>
      <c r="AM715" s="3582"/>
      <c r="AN715" s="3582"/>
      <c r="AO715" s="3582"/>
      <c r="AP715" s="3582"/>
      <c r="AQ715" s="3582"/>
      <c r="AR715" s="3576"/>
      <c r="AS715" s="3576"/>
      <c r="AT715" s="3576"/>
      <c r="AU715" s="3576"/>
      <c r="AV715" s="3563"/>
    </row>
    <row r="716" s="3565" customFormat="1" spans="1:48">
      <c r="A716" s="3575"/>
      <c r="B716" s="3576"/>
      <c r="C716" s="3576"/>
      <c r="D716" s="3563"/>
      <c r="E716" s="3563"/>
      <c r="F716" s="3576"/>
      <c r="G716" s="3576"/>
      <c r="H716" s="3563"/>
      <c r="I716" s="3563"/>
      <c r="J716" s="3563"/>
      <c r="K716" s="3563"/>
      <c r="L716" s="3563"/>
      <c r="M716" s="3563"/>
      <c r="N716" s="3577"/>
      <c r="O716" s="3563"/>
      <c r="P716" s="3576"/>
      <c r="Q716" s="3578"/>
      <c r="R716" s="3563"/>
      <c r="S716" s="3563"/>
      <c r="T716" s="3579"/>
      <c r="U716" s="3563"/>
      <c r="V716" s="3563"/>
      <c r="W716" s="3578"/>
      <c r="X716" s="3578"/>
      <c r="Y716" s="3578"/>
      <c r="Z716" s="3578"/>
      <c r="AA716" s="3578"/>
      <c r="AB716" s="3563"/>
      <c r="AC716" s="3578"/>
      <c r="AD716" s="3578"/>
      <c r="AE716" s="3578"/>
      <c r="AF716" s="3578"/>
      <c r="AG716" s="3576"/>
      <c r="AH716" s="3576"/>
      <c r="AI716" s="3580"/>
      <c r="AJ716" s="3581"/>
      <c r="AK716" s="3582"/>
      <c r="AL716" s="3582"/>
      <c r="AM716" s="3582"/>
      <c r="AN716" s="3582"/>
      <c r="AO716" s="3582"/>
      <c r="AP716" s="3582"/>
      <c r="AQ716" s="3582"/>
      <c r="AR716" s="3576"/>
      <c r="AS716" s="3576"/>
      <c r="AT716" s="3576"/>
      <c r="AU716" s="3576"/>
      <c r="AV716" s="3563"/>
    </row>
    <row r="717" s="3565" customFormat="1" spans="1:48">
      <c r="A717" s="3575"/>
      <c r="B717" s="3576"/>
      <c r="C717" s="3576"/>
      <c r="D717" s="3563"/>
      <c r="E717" s="3563"/>
      <c r="F717" s="3576"/>
      <c r="G717" s="3576"/>
      <c r="H717" s="3563"/>
      <c r="I717" s="3563"/>
      <c r="J717" s="3563"/>
      <c r="K717" s="3563"/>
      <c r="L717" s="3563"/>
      <c r="M717" s="3563"/>
      <c r="N717" s="3577"/>
      <c r="O717" s="3563"/>
      <c r="P717" s="3576"/>
      <c r="Q717" s="3578"/>
      <c r="R717" s="3563"/>
      <c r="S717" s="3563"/>
      <c r="T717" s="3579"/>
      <c r="U717" s="3563"/>
      <c r="V717" s="3563"/>
      <c r="W717" s="3578"/>
      <c r="X717" s="3578"/>
      <c r="Y717" s="3578"/>
      <c r="Z717" s="3578"/>
      <c r="AA717" s="3578"/>
      <c r="AB717" s="3563"/>
      <c r="AC717" s="3578"/>
      <c r="AD717" s="3578"/>
      <c r="AE717" s="3578"/>
      <c r="AF717" s="3578"/>
      <c r="AG717" s="3576"/>
      <c r="AH717" s="3576"/>
      <c r="AI717" s="3580"/>
      <c r="AJ717" s="3581"/>
      <c r="AK717" s="3582"/>
      <c r="AL717" s="3582"/>
      <c r="AM717" s="3582"/>
      <c r="AN717" s="3582"/>
      <c r="AO717" s="3582"/>
      <c r="AP717" s="3582"/>
      <c r="AQ717" s="3582"/>
      <c r="AR717" s="3576"/>
      <c r="AS717" s="3576"/>
      <c r="AT717" s="3576"/>
      <c r="AU717" s="3576"/>
      <c r="AV717" s="3563"/>
    </row>
    <row r="718" s="3565" customFormat="1" spans="1:48">
      <c r="A718" s="3575"/>
      <c r="B718" s="3576"/>
      <c r="C718" s="3576"/>
      <c r="D718" s="3563"/>
      <c r="E718" s="3563"/>
      <c r="F718" s="3576"/>
      <c r="G718" s="3576"/>
      <c r="H718" s="3563"/>
      <c r="I718" s="3563"/>
      <c r="J718" s="3563"/>
      <c r="K718" s="3563"/>
      <c r="L718" s="3563"/>
      <c r="M718" s="3563"/>
      <c r="N718" s="3577"/>
      <c r="O718" s="3563"/>
      <c r="P718" s="3576"/>
      <c r="Q718" s="3578"/>
      <c r="R718" s="3563"/>
      <c r="S718" s="3563"/>
      <c r="T718" s="3579"/>
      <c r="U718" s="3563"/>
      <c r="V718" s="3563"/>
      <c r="W718" s="3578"/>
      <c r="X718" s="3578"/>
      <c r="Y718" s="3578"/>
      <c r="Z718" s="3578"/>
      <c r="AA718" s="3578"/>
      <c r="AB718" s="3563"/>
      <c r="AC718" s="3578"/>
      <c r="AD718" s="3578"/>
      <c r="AE718" s="3578"/>
      <c r="AF718" s="3578"/>
      <c r="AG718" s="3576"/>
      <c r="AH718" s="3576"/>
      <c r="AI718" s="3580"/>
      <c r="AJ718" s="3581"/>
      <c r="AK718" s="3582"/>
      <c r="AL718" s="3582"/>
      <c r="AM718" s="3582"/>
      <c r="AN718" s="3582"/>
      <c r="AO718" s="3582"/>
      <c r="AP718" s="3582"/>
      <c r="AQ718" s="3582"/>
      <c r="AR718" s="3576"/>
      <c r="AS718" s="3576"/>
      <c r="AT718" s="3576"/>
      <c r="AU718" s="3576"/>
      <c r="AV718" s="3563"/>
    </row>
    <row r="719" s="3565" customFormat="1" spans="1:48">
      <c r="A719" s="3575"/>
      <c r="B719" s="3576"/>
      <c r="C719" s="3576"/>
      <c r="D719" s="3563"/>
      <c r="E719" s="3563"/>
      <c r="F719" s="3576"/>
      <c r="G719" s="3576"/>
      <c r="H719" s="3563"/>
      <c r="I719" s="3563"/>
      <c r="J719" s="3563"/>
      <c r="K719" s="3563"/>
      <c r="L719" s="3563"/>
      <c r="M719" s="3563"/>
      <c r="N719" s="3577"/>
      <c r="O719" s="3563"/>
      <c r="P719" s="3576"/>
      <c r="Q719" s="3578"/>
      <c r="R719" s="3563"/>
      <c r="S719" s="3563"/>
      <c r="T719" s="3579"/>
      <c r="U719" s="3563"/>
      <c r="V719" s="3563"/>
      <c r="W719" s="3578"/>
      <c r="X719" s="3578"/>
      <c r="Y719" s="3578"/>
      <c r="Z719" s="3578"/>
      <c r="AA719" s="3578"/>
      <c r="AB719" s="3563"/>
      <c r="AC719" s="3578"/>
      <c r="AD719" s="3578"/>
      <c r="AE719" s="3578"/>
      <c r="AF719" s="3578"/>
      <c r="AG719" s="3576"/>
      <c r="AH719" s="3576"/>
      <c r="AI719" s="3580"/>
      <c r="AJ719" s="3581"/>
      <c r="AK719" s="3582"/>
      <c r="AL719" s="3582"/>
      <c r="AM719" s="3582"/>
      <c r="AN719" s="3582"/>
      <c r="AO719" s="3582"/>
      <c r="AP719" s="3582"/>
      <c r="AQ719" s="3582"/>
      <c r="AR719" s="3576"/>
      <c r="AS719" s="3576"/>
      <c r="AT719" s="3576"/>
      <c r="AU719" s="3576"/>
      <c r="AV719" s="3563"/>
    </row>
    <row r="720" s="3565" customFormat="1" spans="1:48">
      <c r="A720" s="3575"/>
      <c r="B720" s="3576"/>
      <c r="C720" s="3576"/>
      <c r="D720" s="3563"/>
      <c r="E720" s="3563"/>
      <c r="F720" s="3576"/>
      <c r="G720" s="3576"/>
      <c r="H720" s="3563"/>
      <c r="I720" s="3563"/>
      <c r="J720" s="3563"/>
      <c r="K720" s="3563"/>
      <c r="L720" s="3563"/>
      <c r="M720" s="3563"/>
      <c r="N720" s="3577"/>
      <c r="O720" s="3563"/>
      <c r="P720" s="3576"/>
      <c r="Q720" s="3578"/>
      <c r="R720" s="3563"/>
      <c r="S720" s="3563"/>
      <c r="T720" s="3579"/>
      <c r="U720" s="3563"/>
      <c r="V720" s="3563"/>
      <c r="W720" s="3578"/>
      <c r="X720" s="3578"/>
      <c r="Y720" s="3578"/>
      <c r="Z720" s="3578"/>
      <c r="AA720" s="3578"/>
      <c r="AB720" s="3563"/>
      <c r="AC720" s="3578"/>
      <c r="AD720" s="3578"/>
      <c r="AE720" s="3578"/>
      <c r="AF720" s="3578"/>
      <c r="AG720" s="3576"/>
      <c r="AH720" s="3576"/>
      <c r="AI720" s="3580"/>
      <c r="AJ720" s="3581"/>
      <c r="AK720" s="3582"/>
      <c r="AL720" s="3582"/>
      <c r="AM720" s="3582"/>
      <c r="AN720" s="3582"/>
      <c r="AO720" s="3582"/>
      <c r="AP720" s="3582"/>
      <c r="AQ720" s="3582"/>
      <c r="AR720" s="3576"/>
      <c r="AS720" s="3576"/>
      <c r="AT720" s="3576"/>
      <c r="AU720" s="3576"/>
      <c r="AV720" s="3563"/>
    </row>
    <row r="721" s="3565" customFormat="1" spans="1:48">
      <c r="A721" s="3575"/>
      <c r="B721" s="3576"/>
      <c r="C721" s="3576"/>
      <c r="D721" s="3563"/>
      <c r="E721" s="3563"/>
      <c r="F721" s="3576"/>
      <c r="G721" s="3576"/>
      <c r="H721" s="3563"/>
      <c r="I721" s="3563"/>
      <c r="J721" s="3563"/>
      <c r="K721" s="3563"/>
      <c r="L721" s="3563"/>
      <c r="M721" s="3563"/>
      <c r="N721" s="3577"/>
      <c r="O721" s="3563"/>
      <c r="P721" s="3576"/>
      <c r="Q721" s="3578"/>
      <c r="R721" s="3563"/>
      <c r="S721" s="3563"/>
      <c r="T721" s="3579"/>
      <c r="U721" s="3563"/>
      <c r="V721" s="3563"/>
      <c r="W721" s="3578"/>
      <c r="X721" s="3578"/>
      <c r="Y721" s="3578"/>
      <c r="Z721" s="3578"/>
      <c r="AA721" s="3578"/>
      <c r="AB721" s="3563"/>
      <c r="AC721" s="3578"/>
      <c r="AD721" s="3578"/>
      <c r="AE721" s="3578"/>
      <c r="AF721" s="3578"/>
      <c r="AG721" s="3576"/>
      <c r="AH721" s="3576"/>
      <c r="AI721" s="3580"/>
      <c r="AJ721" s="3581"/>
      <c r="AK721" s="3582"/>
      <c r="AL721" s="3582"/>
      <c r="AM721" s="3582"/>
      <c r="AN721" s="3582"/>
      <c r="AO721" s="3582"/>
      <c r="AP721" s="3582"/>
      <c r="AQ721" s="3582"/>
      <c r="AR721" s="3576"/>
      <c r="AS721" s="3576"/>
      <c r="AT721" s="3576"/>
      <c r="AU721" s="3576"/>
      <c r="AV721" s="3563"/>
    </row>
    <row r="722" s="3565" customFormat="1" spans="1:48">
      <c r="A722" s="3575"/>
      <c r="B722" s="3576"/>
      <c r="C722" s="3576"/>
      <c r="D722" s="3563"/>
      <c r="E722" s="3563"/>
      <c r="F722" s="3576"/>
      <c r="G722" s="3576"/>
      <c r="H722" s="3563"/>
      <c r="I722" s="3563"/>
      <c r="J722" s="3563"/>
      <c r="K722" s="3563"/>
      <c r="L722" s="3563"/>
      <c r="M722" s="3563"/>
      <c r="N722" s="3577"/>
      <c r="O722" s="3563"/>
      <c r="P722" s="3576"/>
      <c r="Q722" s="3578"/>
      <c r="R722" s="3563"/>
      <c r="S722" s="3563"/>
      <c r="T722" s="3579"/>
      <c r="U722" s="3563"/>
      <c r="V722" s="3563"/>
      <c r="W722" s="3578"/>
      <c r="X722" s="3578"/>
      <c r="Y722" s="3578"/>
      <c r="Z722" s="3578"/>
      <c r="AA722" s="3578"/>
      <c r="AB722" s="3563"/>
      <c r="AC722" s="3578"/>
      <c r="AD722" s="3578"/>
      <c r="AE722" s="3578"/>
      <c r="AF722" s="3578"/>
      <c r="AG722" s="3576"/>
      <c r="AH722" s="3576"/>
      <c r="AI722" s="3580"/>
      <c r="AJ722" s="3581"/>
      <c r="AK722" s="3582"/>
      <c r="AL722" s="3582"/>
      <c r="AM722" s="3582"/>
      <c r="AN722" s="3582"/>
      <c r="AO722" s="3582"/>
      <c r="AP722" s="3582"/>
      <c r="AQ722" s="3582"/>
      <c r="AR722" s="3576"/>
      <c r="AS722" s="3576"/>
      <c r="AT722" s="3576"/>
      <c r="AU722" s="3576"/>
      <c r="AV722" s="3563"/>
    </row>
    <row r="723" s="3565" customFormat="1" spans="1:48">
      <c r="A723" s="3575"/>
      <c r="B723" s="3576"/>
      <c r="C723" s="3576"/>
      <c r="D723" s="3563"/>
      <c r="E723" s="3563"/>
      <c r="F723" s="3576"/>
      <c r="G723" s="3576"/>
      <c r="H723" s="3563"/>
      <c r="I723" s="3563"/>
      <c r="J723" s="3563"/>
      <c r="K723" s="3563"/>
      <c r="L723" s="3563"/>
      <c r="M723" s="3563"/>
      <c r="N723" s="3577"/>
      <c r="O723" s="3563"/>
      <c r="P723" s="3576"/>
      <c r="Q723" s="3578"/>
      <c r="R723" s="3563"/>
      <c r="S723" s="3563"/>
      <c r="T723" s="3579"/>
      <c r="U723" s="3563"/>
      <c r="V723" s="3563"/>
      <c r="W723" s="3578"/>
      <c r="X723" s="3578"/>
      <c r="Y723" s="3578"/>
      <c r="Z723" s="3578"/>
      <c r="AA723" s="3578"/>
      <c r="AB723" s="3563"/>
      <c r="AC723" s="3578"/>
      <c r="AD723" s="3578"/>
      <c r="AE723" s="3578"/>
      <c r="AF723" s="3578"/>
      <c r="AG723" s="3576"/>
      <c r="AH723" s="3576"/>
      <c r="AI723" s="3580"/>
      <c r="AJ723" s="3581"/>
      <c r="AK723" s="3582"/>
      <c r="AL723" s="3582"/>
      <c r="AM723" s="3582"/>
      <c r="AN723" s="3582"/>
      <c r="AO723" s="3582"/>
      <c r="AP723" s="3582"/>
      <c r="AQ723" s="3582"/>
      <c r="AR723" s="3576"/>
      <c r="AS723" s="3576"/>
      <c r="AT723" s="3576"/>
      <c r="AU723" s="3576"/>
      <c r="AV723" s="3563"/>
    </row>
    <row r="724" s="3565" customFormat="1" spans="1:48">
      <c r="A724" s="3575"/>
      <c r="B724" s="3576"/>
      <c r="C724" s="3576"/>
      <c r="D724" s="3563"/>
      <c r="E724" s="3563"/>
      <c r="F724" s="3576"/>
      <c r="G724" s="3576"/>
      <c r="H724" s="3563"/>
      <c r="I724" s="3563"/>
      <c r="J724" s="3563"/>
      <c r="K724" s="3563"/>
      <c r="L724" s="3563"/>
      <c r="M724" s="3563"/>
      <c r="N724" s="3577"/>
      <c r="O724" s="3563"/>
      <c r="P724" s="3576"/>
      <c r="Q724" s="3578"/>
      <c r="R724" s="3563"/>
      <c r="S724" s="3563"/>
      <c r="T724" s="3579"/>
      <c r="U724" s="3563"/>
      <c r="V724" s="3563"/>
      <c r="W724" s="3578"/>
      <c r="X724" s="3578"/>
      <c r="Y724" s="3578"/>
      <c r="Z724" s="3578"/>
      <c r="AA724" s="3578"/>
      <c r="AB724" s="3563"/>
      <c r="AC724" s="3578"/>
      <c r="AD724" s="3578"/>
      <c r="AE724" s="3578"/>
      <c r="AF724" s="3578"/>
      <c r="AG724" s="3576"/>
      <c r="AH724" s="3576"/>
      <c r="AI724" s="3580"/>
      <c r="AJ724" s="3581"/>
      <c r="AK724" s="3582"/>
      <c r="AL724" s="3582"/>
      <c r="AM724" s="3582"/>
      <c r="AN724" s="3582"/>
      <c r="AO724" s="3582"/>
      <c r="AP724" s="3582"/>
      <c r="AQ724" s="3582"/>
      <c r="AR724" s="3576"/>
      <c r="AS724" s="3576"/>
      <c r="AT724" s="3576"/>
      <c r="AU724" s="3576"/>
      <c r="AV724" s="3563"/>
    </row>
    <row r="725" s="3565" customFormat="1" spans="1:48">
      <c r="A725" s="3575"/>
      <c r="B725" s="3576"/>
      <c r="C725" s="3576"/>
      <c r="D725" s="3563"/>
      <c r="E725" s="3563"/>
      <c r="F725" s="3576"/>
      <c r="G725" s="3576"/>
      <c r="H725" s="3563"/>
      <c r="I725" s="3563"/>
      <c r="J725" s="3563"/>
      <c r="K725" s="3563"/>
      <c r="L725" s="3563"/>
      <c r="M725" s="3563"/>
      <c r="N725" s="3577"/>
      <c r="O725" s="3563"/>
      <c r="P725" s="3576"/>
      <c r="Q725" s="3578"/>
      <c r="R725" s="3563"/>
      <c r="S725" s="3563"/>
      <c r="T725" s="3579"/>
      <c r="U725" s="3563"/>
      <c r="V725" s="3563"/>
      <c r="W725" s="3578"/>
      <c r="X725" s="3578"/>
      <c r="Y725" s="3578"/>
      <c r="Z725" s="3578"/>
      <c r="AA725" s="3578"/>
      <c r="AB725" s="3563"/>
      <c r="AC725" s="3578"/>
      <c r="AD725" s="3578"/>
      <c r="AE725" s="3578"/>
      <c r="AF725" s="3578"/>
      <c r="AG725" s="3576"/>
      <c r="AH725" s="3576"/>
      <c r="AI725" s="3580"/>
      <c r="AJ725" s="3581"/>
      <c r="AK725" s="3582"/>
      <c r="AL725" s="3582"/>
      <c r="AM725" s="3582"/>
      <c r="AN725" s="3582"/>
      <c r="AO725" s="3582"/>
      <c r="AP725" s="3582"/>
      <c r="AQ725" s="3582"/>
      <c r="AR725" s="3576"/>
      <c r="AS725" s="3576"/>
      <c r="AT725" s="3576"/>
      <c r="AU725" s="3576"/>
      <c r="AV725" s="3563"/>
    </row>
    <row r="726" s="3565" customFormat="1" spans="1:48">
      <c r="A726" s="3575"/>
      <c r="B726" s="3576"/>
      <c r="C726" s="3576"/>
      <c r="D726" s="3563"/>
      <c r="E726" s="3563"/>
      <c r="F726" s="3576"/>
      <c r="G726" s="3576"/>
      <c r="H726" s="3563"/>
      <c r="I726" s="3563"/>
      <c r="J726" s="3563"/>
      <c r="K726" s="3563"/>
      <c r="L726" s="3563"/>
      <c r="M726" s="3563"/>
      <c r="N726" s="3577"/>
      <c r="O726" s="3563"/>
      <c r="P726" s="3576"/>
      <c r="Q726" s="3578"/>
      <c r="R726" s="3563"/>
      <c r="S726" s="3563"/>
      <c r="T726" s="3579"/>
      <c r="U726" s="3563"/>
      <c r="V726" s="3563"/>
      <c r="W726" s="3578"/>
      <c r="X726" s="3578"/>
      <c r="Y726" s="3578"/>
      <c r="Z726" s="3578"/>
      <c r="AA726" s="3578"/>
      <c r="AB726" s="3563"/>
      <c r="AC726" s="3578"/>
      <c r="AD726" s="3578"/>
      <c r="AE726" s="3578"/>
      <c r="AF726" s="3578"/>
      <c r="AG726" s="3576"/>
      <c r="AH726" s="3576"/>
      <c r="AI726" s="3580"/>
      <c r="AJ726" s="3581"/>
      <c r="AK726" s="3582"/>
      <c r="AL726" s="3582"/>
      <c r="AM726" s="3582"/>
      <c r="AN726" s="3582"/>
      <c r="AO726" s="3582"/>
      <c r="AP726" s="3582"/>
      <c r="AQ726" s="3582"/>
      <c r="AR726" s="3576"/>
      <c r="AS726" s="3576"/>
      <c r="AT726" s="3576"/>
      <c r="AU726" s="3576"/>
      <c r="AV726" s="3563"/>
    </row>
    <row r="727" s="3565" customFormat="1" spans="1:48">
      <c r="A727" s="3575"/>
      <c r="B727" s="3576"/>
      <c r="C727" s="3576"/>
      <c r="D727" s="3563"/>
      <c r="E727" s="3563"/>
      <c r="F727" s="3576"/>
      <c r="G727" s="3576"/>
      <c r="H727" s="3563"/>
      <c r="I727" s="3563"/>
      <c r="J727" s="3563"/>
      <c r="K727" s="3563"/>
      <c r="L727" s="3563"/>
      <c r="M727" s="3563"/>
      <c r="N727" s="3577"/>
      <c r="O727" s="3563"/>
      <c r="P727" s="3576"/>
      <c r="Q727" s="3578"/>
      <c r="R727" s="3563"/>
      <c r="S727" s="3563"/>
      <c r="T727" s="3579"/>
      <c r="U727" s="3563"/>
      <c r="V727" s="3563"/>
      <c r="W727" s="3578"/>
      <c r="X727" s="3578"/>
      <c r="Y727" s="3578"/>
      <c r="Z727" s="3578"/>
      <c r="AA727" s="3578"/>
      <c r="AB727" s="3563"/>
      <c r="AC727" s="3578"/>
      <c r="AD727" s="3578"/>
      <c r="AE727" s="3578"/>
      <c r="AF727" s="3578"/>
      <c r="AG727" s="3576"/>
      <c r="AH727" s="3576"/>
      <c r="AI727" s="3580"/>
      <c r="AJ727" s="3581"/>
      <c r="AK727" s="3582"/>
      <c r="AL727" s="3582"/>
      <c r="AM727" s="3582"/>
      <c r="AN727" s="3582"/>
      <c r="AO727" s="3582"/>
      <c r="AP727" s="3582"/>
      <c r="AQ727" s="3582"/>
      <c r="AR727" s="3576"/>
      <c r="AS727" s="3576"/>
      <c r="AT727" s="3576"/>
      <c r="AU727" s="3576"/>
      <c r="AV727" s="3563"/>
    </row>
    <row r="728" s="3565" customFormat="1" spans="1:48">
      <c r="A728" s="3575"/>
      <c r="B728" s="3576"/>
      <c r="C728" s="3576"/>
      <c r="D728" s="3563"/>
      <c r="E728" s="3563"/>
      <c r="F728" s="3576"/>
      <c r="G728" s="3576"/>
      <c r="H728" s="3563"/>
      <c r="I728" s="3563"/>
      <c r="J728" s="3563"/>
      <c r="K728" s="3563"/>
      <c r="L728" s="3563"/>
      <c r="M728" s="3563"/>
      <c r="N728" s="3577"/>
      <c r="O728" s="3563"/>
      <c r="P728" s="3576"/>
      <c r="Q728" s="3578"/>
      <c r="R728" s="3563"/>
      <c r="S728" s="3563"/>
      <c r="T728" s="3579"/>
      <c r="U728" s="3563"/>
      <c r="V728" s="3563"/>
      <c r="W728" s="3578"/>
      <c r="X728" s="3578"/>
      <c r="Y728" s="3578"/>
      <c r="Z728" s="3578"/>
      <c r="AA728" s="3578"/>
      <c r="AB728" s="3563"/>
      <c r="AC728" s="3578"/>
      <c r="AD728" s="3578"/>
      <c r="AE728" s="3578"/>
      <c r="AF728" s="3578"/>
      <c r="AG728" s="3576"/>
      <c r="AH728" s="3576"/>
      <c r="AI728" s="3580"/>
      <c r="AJ728" s="3581"/>
      <c r="AK728" s="3582"/>
      <c r="AL728" s="3582"/>
      <c r="AM728" s="3582"/>
      <c r="AN728" s="3582"/>
      <c r="AO728" s="3582"/>
      <c r="AP728" s="3582"/>
      <c r="AQ728" s="3582"/>
      <c r="AR728" s="3576"/>
      <c r="AS728" s="3576"/>
      <c r="AT728" s="3576"/>
      <c r="AU728" s="3576"/>
      <c r="AV728" s="3563"/>
    </row>
    <row r="729" s="3565" customFormat="1" spans="1:48">
      <c r="A729" s="3575"/>
      <c r="B729" s="3576"/>
      <c r="C729" s="3576"/>
      <c r="D729" s="3563"/>
      <c r="E729" s="3563"/>
      <c r="F729" s="3576"/>
      <c r="G729" s="3576"/>
      <c r="H729" s="3563"/>
      <c r="I729" s="3563"/>
      <c r="J729" s="3563"/>
      <c r="K729" s="3563"/>
      <c r="L729" s="3563"/>
      <c r="M729" s="3563"/>
      <c r="N729" s="3577"/>
      <c r="O729" s="3563"/>
      <c r="P729" s="3576"/>
      <c r="Q729" s="3578"/>
      <c r="R729" s="3563"/>
      <c r="S729" s="3563"/>
      <c r="T729" s="3579"/>
      <c r="U729" s="3563"/>
      <c r="V729" s="3563"/>
      <c r="W729" s="3578"/>
      <c r="X729" s="3578"/>
      <c r="Y729" s="3578"/>
      <c r="Z729" s="3578"/>
      <c r="AA729" s="3578"/>
      <c r="AB729" s="3563"/>
      <c r="AC729" s="3578"/>
      <c r="AD729" s="3578"/>
      <c r="AE729" s="3578"/>
      <c r="AF729" s="3578"/>
      <c r="AG729" s="3576"/>
      <c r="AH729" s="3576"/>
      <c r="AI729" s="3580"/>
      <c r="AJ729" s="3581"/>
      <c r="AK729" s="3582"/>
      <c r="AL729" s="3582"/>
      <c r="AM729" s="3582"/>
      <c r="AN729" s="3582"/>
      <c r="AO729" s="3582"/>
      <c r="AP729" s="3582"/>
      <c r="AQ729" s="3582"/>
      <c r="AR729" s="3576"/>
      <c r="AS729" s="3576"/>
      <c r="AT729" s="3576"/>
      <c r="AU729" s="3576"/>
      <c r="AV729" s="3563"/>
    </row>
    <row r="730" s="3565" customFormat="1" spans="1:48">
      <c r="A730" s="3575"/>
      <c r="B730" s="3576"/>
      <c r="C730" s="3576"/>
      <c r="D730" s="3563"/>
      <c r="E730" s="3563"/>
      <c r="F730" s="3576"/>
      <c r="G730" s="3576"/>
      <c r="H730" s="3563"/>
      <c r="I730" s="3563"/>
      <c r="J730" s="3563"/>
      <c r="K730" s="3563"/>
      <c r="L730" s="3563"/>
      <c r="M730" s="3563"/>
      <c r="N730" s="3577"/>
      <c r="O730" s="3563"/>
      <c r="P730" s="3576"/>
      <c r="Q730" s="3578"/>
      <c r="R730" s="3563"/>
      <c r="S730" s="3563"/>
      <c r="T730" s="3579"/>
      <c r="U730" s="3563"/>
      <c r="V730" s="3563"/>
      <c r="W730" s="3578"/>
      <c r="X730" s="3578"/>
      <c r="Y730" s="3578"/>
      <c r="Z730" s="3578"/>
      <c r="AA730" s="3578"/>
      <c r="AB730" s="3563"/>
      <c r="AC730" s="3578"/>
      <c r="AD730" s="3578"/>
      <c r="AE730" s="3578"/>
      <c r="AF730" s="3578"/>
      <c r="AG730" s="3576"/>
      <c r="AH730" s="3576"/>
      <c r="AI730" s="3580"/>
      <c r="AJ730" s="3581"/>
      <c r="AK730" s="3582"/>
      <c r="AL730" s="3582"/>
      <c r="AM730" s="3582"/>
      <c r="AN730" s="3582"/>
      <c r="AO730" s="3582"/>
      <c r="AP730" s="3582"/>
      <c r="AQ730" s="3582"/>
      <c r="AR730" s="3576"/>
      <c r="AS730" s="3576"/>
      <c r="AT730" s="3576"/>
      <c r="AU730" s="3576"/>
      <c r="AV730" s="3563"/>
    </row>
    <row r="731" s="3565" customFormat="1" spans="1:48">
      <c r="A731" s="3575"/>
      <c r="B731" s="3576"/>
      <c r="C731" s="3576"/>
      <c r="D731" s="3563"/>
      <c r="E731" s="3563"/>
      <c r="F731" s="3576"/>
      <c r="G731" s="3576"/>
      <c r="H731" s="3563"/>
      <c r="I731" s="3563"/>
      <c r="J731" s="3563"/>
      <c r="K731" s="3563"/>
      <c r="L731" s="3563"/>
      <c r="M731" s="3563"/>
      <c r="N731" s="3577"/>
      <c r="O731" s="3563"/>
      <c r="P731" s="3576"/>
      <c r="Q731" s="3578"/>
      <c r="R731" s="3563"/>
      <c r="S731" s="3563"/>
      <c r="T731" s="3579"/>
      <c r="U731" s="3563"/>
      <c r="V731" s="3563"/>
      <c r="W731" s="3578"/>
      <c r="X731" s="3578"/>
      <c r="Y731" s="3578"/>
      <c r="Z731" s="3578"/>
      <c r="AA731" s="3578"/>
      <c r="AB731" s="3563"/>
      <c r="AC731" s="3578"/>
      <c r="AD731" s="3578"/>
      <c r="AE731" s="3578"/>
      <c r="AF731" s="3578"/>
      <c r="AG731" s="3576"/>
      <c r="AH731" s="3576"/>
      <c r="AI731" s="3580"/>
      <c r="AJ731" s="3581"/>
      <c r="AK731" s="3582"/>
      <c r="AL731" s="3582"/>
      <c r="AM731" s="3582"/>
      <c r="AN731" s="3582"/>
      <c r="AO731" s="3582"/>
      <c r="AP731" s="3582"/>
      <c r="AQ731" s="3582"/>
      <c r="AR731" s="3576"/>
      <c r="AS731" s="3576"/>
      <c r="AT731" s="3576"/>
      <c r="AU731" s="3576"/>
      <c r="AV731" s="3563"/>
    </row>
    <row r="732" s="3565" customFormat="1" spans="1:48">
      <c r="A732" s="3575"/>
      <c r="B732" s="3576"/>
      <c r="C732" s="3576"/>
      <c r="D732" s="3563"/>
      <c r="E732" s="3563"/>
      <c r="F732" s="3576"/>
      <c r="G732" s="3576"/>
      <c r="H732" s="3563"/>
      <c r="I732" s="3563"/>
      <c r="J732" s="3563"/>
      <c r="K732" s="3563"/>
      <c r="L732" s="3563"/>
      <c r="M732" s="3563"/>
      <c r="N732" s="3577"/>
      <c r="O732" s="3563"/>
      <c r="P732" s="3576"/>
      <c r="Q732" s="3578"/>
      <c r="R732" s="3563"/>
      <c r="S732" s="3563"/>
      <c r="T732" s="3579"/>
      <c r="U732" s="3563"/>
      <c r="V732" s="3563"/>
      <c r="W732" s="3578"/>
      <c r="X732" s="3578"/>
      <c r="Y732" s="3578"/>
      <c r="Z732" s="3578"/>
      <c r="AA732" s="3578"/>
      <c r="AB732" s="3563"/>
      <c r="AC732" s="3578"/>
      <c r="AD732" s="3578"/>
      <c r="AE732" s="3578"/>
      <c r="AF732" s="3578"/>
      <c r="AG732" s="3576"/>
      <c r="AH732" s="3576"/>
      <c r="AI732" s="3580"/>
      <c r="AJ732" s="3581"/>
      <c r="AK732" s="3582"/>
      <c r="AL732" s="3582"/>
      <c r="AM732" s="3582"/>
      <c r="AN732" s="3582"/>
      <c r="AO732" s="3582"/>
      <c r="AP732" s="3582"/>
      <c r="AQ732" s="3582"/>
      <c r="AR732" s="3576"/>
      <c r="AS732" s="3576"/>
      <c r="AT732" s="3576"/>
      <c r="AU732" s="3576"/>
      <c r="AV732" s="3563"/>
    </row>
    <row r="733" s="3565" customFormat="1" spans="1:48">
      <c r="A733" s="3575"/>
      <c r="B733" s="3576"/>
      <c r="C733" s="3576"/>
      <c r="D733" s="3563"/>
      <c r="E733" s="3563"/>
      <c r="F733" s="3576"/>
      <c r="G733" s="3576"/>
      <c r="H733" s="3563"/>
      <c r="I733" s="3563"/>
      <c r="J733" s="3563"/>
      <c r="K733" s="3563"/>
      <c r="L733" s="3563"/>
      <c r="M733" s="3563"/>
      <c r="N733" s="3577"/>
      <c r="O733" s="3563"/>
      <c r="P733" s="3576"/>
      <c r="Q733" s="3578"/>
      <c r="R733" s="3563"/>
      <c r="S733" s="3563"/>
      <c r="T733" s="3579"/>
      <c r="U733" s="3563"/>
      <c r="V733" s="3563"/>
      <c r="W733" s="3578"/>
      <c r="X733" s="3578"/>
      <c r="Y733" s="3578"/>
      <c r="Z733" s="3578"/>
      <c r="AA733" s="3578"/>
      <c r="AB733" s="3563"/>
      <c r="AC733" s="3578"/>
      <c r="AD733" s="3578"/>
      <c r="AE733" s="3578"/>
      <c r="AF733" s="3578"/>
      <c r="AG733" s="3576"/>
      <c r="AH733" s="3576"/>
      <c r="AI733" s="3580"/>
      <c r="AJ733" s="3581"/>
      <c r="AK733" s="3582"/>
      <c r="AL733" s="3582"/>
      <c r="AM733" s="3582"/>
      <c r="AN733" s="3582"/>
      <c r="AO733" s="3582"/>
      <c r="AP733" s="3582"/>
      <c r="AQ733" s="3582"/>
      <c r="AR733" s="3576"/>
      <c r="AS733" s="3576"/>
      <c r="AT733" s="3576"/>
      <c r="AU733" s="3576"/>
      <c r="AV733" s="3563"/>
    </row>
    <row r="734" s="3565" customFormat="1" spans="1:48">
      <c r="A734" s="3575"/>
      <c r="B734" s="3576"/>
      <c r="C734" s="3576"/>
      <c r="D734" s="3563"/>
      <c r="E734" s="3563"/>
      <c r="F734" s="3576"/>
      <c r="G734" s="3576"/>
      <c r="H734" s="3563"/>
      <c r="I734" s="3563"/>
      <c r="J734" s="3563"/>
      <c r="K734" s="3563"/>
      <c r="L734" s="3563"/>
      <c r="M734" s="3563"/>
      <c r="N734" s="3577"/>
      <c r="O734" s="3563"/>
      <c r="P734" s="3576"/>
      <c r="Q734" s="3578"/>
      <c r="R734" s="3563"/>
      <c r="S734" s="3563"/>
      <c r="T734" s="3579"/>
      <c r="U734" s="3563"/>
      <c r="V734" s="3563"/>
      <c r="W734" s="3578"/>
      <c r="X734" s="3578"/>
      <c r="Y734" s="3578"/>
      <c r="Z734" s="3578"/>
      <c r="AA734" s="3578"/>
      <c r="AB734" s="3563"/>
      <c r="AC734" s="3578"/>
      <c r="AD734" s="3578"/>
      <c r="AE734" s="3578"/>
      <c r="AF734" s="3578"/>
      <c r="AG734" s="3576"/>
      <c r="AH734" s="3576"/>
      <c r="AI734" s="3580"/>
      <c r="AJ734" s="3581"/>
      <c r="AK734" s="3582"/>
      <c r="AL734" s="3582"/>
      <c r="AM734" s="3582"/>
      <c r="AN734" s="3582"/>
      <c r="AO734" s="3582"/>
      <c r="AP734" s="3582"/>
      <c r="AQ734" s="3582"/>
      <c r="AR734" s="3576"/>
      <c r="AS734" s="3576"/>
      <c r="AT734" s="3576"/>
      <c r="AU734" s="3576"/>
      <c r="AV734" s="3563"/>
    </row>
    <row r="735" s="3565" customFormat="1" spans="1:48">
      <c r="A735" s="3575"/>
      <c r="B735" s="3576"/>
      <c r="C735" s="3576"/>
      <c r="D735" s="3563"/>
      <c r="E735" s="3563"/>
      <c r="F735" s="3576"/>
      <c r="G735" s="3576"/>
      <c r="H735" s="3563"/>
      <c r="I735" s="3563"/>
      <c r="J735" s="3563"/>
      <c r="K735" s="3563"/>
      <c r="L735" s="3563"/>
      <c r="M735" s="3563"/>
      <c r="N735" s="3577"/>
      <c r="O735" s="3563"/>
      <c r="P735" s="3576"/>
      <c r="Q735" s="3578"/>
      <c r="R735" s="3563"/>
      <c r="S735" s="3563"/>
      <c r="T735" s="3579"/>
      <c r="U735" s="3563"/>
      <c r="V735" s="3563"/>
      <c r="W735" s="3578"/>
      <c r="X735" s="3578"/>
      <c r="Y735" s="3578"/>
      <c r="Z735" s="3578"/>
      <c r="AA735" s="3578"/>
      <c r="AB735" s="3563"/>
      <c r="AC735" s="3578"/>
      <c r="AD735" s="3578"/>
      <c r="AE735" s="3578"/>
      <c r="AF735" s="3578"/>
      <c r="AG735" s="3576"/>
      <c r="AH735" s="3576"/>
      <c r="AI735" s="3580"/>
      <c r="AJ735" s="3581"/>
      <c r="AK735" s="3582"/>
      <c r="AL735" s="3582"/>
      <c r="AM735" s="3582"/>
      <c r="AN735" s="3582"/>
      <c r="AO735" s="3582"/>
      <c r="AP735" s="3582"/>
      <c r="AQ735" s="3582"/>
      <c r="AR735" s="3576"/>
      <c r="AS735" s="3576"/>
      <c r="AT735" s="3576"/>
      <c r="AU735" s="3576"/>
      <c r="AV735" s="3563"/>
    </row>
    <row r="736" s="3565" customFormat="1" spans="1:48">
      <c r="A736" s="3575"/>
      <c r="B736" s="3576"/>
      <c r="C736" s="3576"/>
      <c r="D736" s="3563"/>
      <c r="E736" s="3563"/>
      <c r="F736" s="3576"/>
      <c r="G736" s="3576"/>
      <c r="H736" s="3563"/>
      <c r="I736" s="3563"/>
      <c r="J736" s="3563"/>
      <c r="K736" s="3563"/>
      <c r="L736" s="3563"/>
      <c r="M736" s="3563"/>
      <c r="N736" s="3577"/>
      <c r="O736" s="3563"/>
      <c r="P736" s="3576"/>
      <c r="Q736" s="3578"/>
      <c r="R736" s="3563"/>
      <c r="S736" s="3563"/>
      <c r="T736" s="3579"/>
      <c r="U736" s="3563"/>
      <c r="V736" s="3563"/>
      <c r="W736" s="3578"/>
      <c r="X736" s="3578"/>
      <c r="Y736" s="3578"/>
      <c r="Z736" s="3578"/>
      <c r="AA736" s="3578"/>
      <c r="AB736" s="3563"/>
      <c r="AC736" s="3578"/>
      <c r="AD736" s="3578"/>
      <c r="AE736" s="3578"/>
      <c r="AF736" s="3578"/>
      <c r="AG736" s="3576"/>
      <c r="AH736" s="3576"/>
      <c r="AI736" s="3580"/>
      <c r="AJ736" s="3581"/>
      <c r="AK736" s="3582"/>
      <c r="AL736" s="3582"/>
      <c r="AM736" s="3582"/>
      <c r="AN736" s="3582"/>
      <c r="AO736" s="3582"/>
      <c r="AP736" s="3582"/>
      <c r="AQ736" s="3582"/>
      <c r="AR736" s="3576"/>
      <c r="AS736" s="3576"/>
      <c r="AT736" s="3576"/>
      <c r="AU736" s="3576"/>
      <c r="AV736" s="3563"/>
    </row>
    <row r="737" s="3565" customFormat="1" spans="1:48">
      <c r="A737" s="3575"/>
      <c r="B737" s="3576"/>
      <c r="C737" s="3576"/>
      <c r="D737" s="3563"/>
      <c r="E737" s="3563"/>
      <c r="F737" s="3576"/>
      <c r="G737" s="3576"/>
      <c r="H737" s="3563"/>
      <c r="I737" s="3563"/>
      <c r="J737" s="3563"/>
      <c r="K737" s="3563"/>
      <c r="L737" s="3563"/>
      <c r="M737" s="3563"/>
      <c r="N737" s="3577"/>
      <c r="O737" s="3563"/>
      <c r="P737" s="3576"/>
      <c r="Q737" s="3578"/>
      <c r="R737" s="3563"/>
      <c r="S737" s="3563"/>
      <c r="T737" s="3579"/>
      <c r="U737" s="3563"/>
      <c r="V737" s="3563"/>
      <c r="W737" s="3578"/>
      <c r="X737" s="3578"/>
      <c r="Y737" s="3578"/>
      <c r="Z737" s="3578"/>
      <c r="AA737" s="3578"/>
      <c r="AB737" s="3563"/>
      <c r="AC737" s="3578"/>
      <c r="AD737" s="3578"/>
      <c r="AE737" s="3578"/>
      <c r="AF737" s="3578"/>
      <c r="AG737" s="3576"/>
      <c r="AH737" s="3576"/>
      <c r="AI737" s="3580"/>
      <c r="AJ737" s="3581"/>
      <c r="AK737" s="3582"/>
      <c r="AL737" s="3582"/>
      <c r="AM737" s="3582"/>
      <c r="AN737" s="3582"/>
      <c r="AO737" s="3582"/>
      <c r="AP737" s="3582"/>
      <c r="AQ737" s="3582"/>
      <c r="AR737" s="3576"/>
      <c r="AS737" s="3576"/>
      <c r="AT737" s="3576"/>
      <c r="AU737" s="3576"/>
      <c r="AV737" s="3563"/>
    </row>
    <row r="738" s="3565" customFormat="1" spans="1:48">
      <c r="A738" s="3575"/>
      <c r="B738" s="3576"/>
      <c r="C738" s="3576"/>
      <c r="D738" s="3563"/>
      <c r="E738" s="3563"/>
      <c r="F738" s="3576"/>
      <c r="G738" s="3576"/>
      <c r="H738" s="3563"/>
      <c r="I738" s="3563"/>
      <c r="J738" s="3563"/>
      <c r="K738" s="3563"/>
      <c r="L738" s="3563"/>
      <c r="M738" s="3563"/>
      <c r="N738" s="3577"/>
      <c r="O738" s="3563"/>
      <c r="P738" s="3576"/>
      <c r="Q738" s="3578"/>
      <c r="R738" s="3563"/>
      <c r="S738" s="3563"/>
      <c r="T738" s="3579"/>
      <c r="U738" s="3563"/>
      <c r="V738" s="3563"/>
      <c r="W738" s="3578"/>
      <c r="X738" s="3578"/>
      <c r="Y738" s="3578"/>
      <c r="Z738" s="3578"/>
      <c r="AA738" s="3578"/>
      <c r="AB738" s="3563"/>
      <c r="AC738" s="3578"/>
      <c r="AD738" s="3578"/>
      <c r="AE738" s="3578"/>
      <c r="AF738" s="3578"/>
      <c r="AG738" s="3576"/>
      <c r="AH738" s="3576"/>
      <c r="AI738" s="3580"/>
      <c r="AJ738" s="3581"/>
      <c r="AK738" s="3582"/>
      <c r="AL738" s="3582"/>
      <c r="AM738" s="3582"/>
      <c r="AN738" s="3582"/>
      <c r="AO738" s="3582"/>
      <c r="AP738" s="3582"/>
      <c r="AQ738" s="3582"/>
      <c r="AR738" s="3576"/>
      <c r="AS738" s="3576"/>
      <c r="AT738" s="3576"/>
      <c r="AU738" s="3576"/>
      <c r="AV738" s="3563"/>
    </row>
    <row r="739" s="3565" customFormat="1" spans="1:48">
      <c r="A739" s="3575"/>
      <c r="B739" s="3576"/>
      <c r="C739" s="3576"/>
      <c r="D739" s="3563"/>
      <c r="E739" s="3563"/>
      <c r="F739" s="3576"/>
      <c r="G739" s="3576"/>
      <c r="H739" s="3563"/>
      <c r="I739" s="3563"/>
      <c r="J739" s="3563"/>
      <c r="K739" s="3563"/>
      <c r="L739" s="3563"/>
      <c r="M739" s="3563"/>
      <c r="N739" s="3577"/>
      <c r="O739" s="3563"/>
      <c r="P739" s="3576"/>
      <c r="Q739" s="3578"/>
      <c r="R739" s="3563"/>
      <c r="S739" s="3563"/>
      <c r="T739" s="3579"/>
      <c r="U739" s="3563"/>
      <c r="V739" s="3563"/>
      <c r="W739" s="3578"/>
      <c r="X739" s="3578"/>
      <c r="Y739" s="3578"/>
      <c r="Z739" s="3578"/>
      <c r="AA739" s="3578"/>
      <c r="AB739" s="3563"/>
      <c r="AC739" s="3578"/>
      <c r="AD739" s="3578"/>
      <c r="AE739" s="3578"/>
      <c r="AF739" s="3578"/>
      <c r="AG739" s="3576"/>
      <c r="AH739" s="3576"/>
      <c r="AI739" s="3580"/>
      <c r="AJ739" s="3581"/>
      <c r="AK739" s="3582"/>
      <c r="AL739" s="3582"/>
      <c r="AM739" s="3582"/>
      <c r="AN739" s="3582"/>
      <c r="AO739" s="3582"/>
      <c r="AP739" s="3582"/>
      <c r="AQ739" s="3582"/>
      <c r="AR739" s="3576"/>
      <c r="AS739" s="3576"/>
      <c r="AT739" s="3576"/>
      <c r="AU739" s="3576"/>
      <c r="AV739" s="3563"/>
    </row>
    <row r="740" s="3565" customFormat="1" spans="1:48">
      <c r="A740" s="3575"/>
      <c r="B740" s="3576"/>
      <c r="C740" s="3576"/>
      <c r="D740" s="3563"/>
      <c r="E740" s="3563"/>
      <c r="F740" s="3576"/>
      <c r="G740" s="3576"/>
      <c r="H740" s="3563"/>
      <c r="I740" s="3563"/>
      <c r="J740" s="3563"/>
      <c r="K740" s="3563"/>
      <c r="L740" s="3563"/>
      <c r="M740" s="3563"/>
      <c r="N740" s="3577"/>
      <c r="O740" s="3563"/>
      <c r="P740" s="3576"/>
      <c r="Q740" s="3578"/>
      <c r="R740" s="3563"/>
      <c r="S740" s="3563"/>
      <c r="T740" s="3579"/>
      <c r="U740" s="3563"/>
      <c r="V740" s="3563"/>
      <c r="W740" s="3578"/>
      <c r="X740" s="3578"/>
      <c r="Y740" s="3578"/>
      <c r="Z740" s="3578"/>
      <c r="AA740" s="3578"/>
      <c r="AB740" s="3563"/>
      <c r="AC740" s="3578"/>
      <c r="AD740" s="3578"/>
      <c r="AE740" s="3578"/>
      <c r="AF740" s="3578"/>
      <c r="AG740" s="3576"/>
      <c r="AH740" s="3576"/>
      <c r="AI740" s="3580"/>
      <c r="AJ740" s="3581"/>
      <c r="AK740" s="3582"/>
      <c r="AL740" s="3582"/>
      <c r="AM740" s="3582"/>
      <c r="AN740" s="3582"/>
      <c r="AO740" s="3582"/>
      <c r="AP740" s="3582"/>
      <c r="AQ740" s="3582"/>
      <c r="AR740" s="3576"/>
      <c r="AS740" s="3576"/>
      <c r="AT740" s="3576"/>
      <c r="AU740" s="3576"/>
      <c r="AV740" s="3563"/>
    </row>
    <row r="741" s="3565" customFormat="1" spans="1:48">
      <c r="A741" s="3575"/>
      <c r="B741" s="3576"/>
      <c r="C741" s="3576"/>
      <c r="D741" s="3563"/>
      <c r="E741" s="3563"/>
      <c r="F741" s="3576"/>
      <c r="G741" s="3576"/>
      <c r="H741" s="3563"/>
      <c r="I741" s="3563"/>
      <c r="J741" s="3563"/>
      <c r="K741" s="3563"/>
      <c r="L741" s="3563"/>
      <c r="M741" s="3563"/>
      <c r="N741" s="3577"/>
      <c r="O741" s="3563"/>
      <c r="P741" s="3576"/>
      <c r="Q741" s="3578"/>
      <c r="R741" s="3563"/>
      <c r="S741" s="3563"/>
      <c r="T741" s="3579"/>
      <c r="U741" s="3563"/>
      <c r="V741" s="3563"/>
      <c r="W741" s="3578"/>
      <c r="X741" s="3578"/>
      <c r="Y741" s="3578"/>
      <c r="Z741" s="3578"/>
      <c r="AA741" s="3578"/>
      <c r="AB741" s="3563"/>
      <c r="AC741" s="3578"/>
      <c r="AD741" s="3578"/>
      <c r="AE741" s="3578"/>
      <c r="AF741" s="3578"/>
      <c r="AG741" s="3576"/>
      <c r="AH741" s="3576"/>
      <c r="AI741" s="3580"/>
      <c r="AJ741" s="3581"/>
      <c r="AK741" s="3582"/>
      <c r="AL741" s="3582"/>
      <c r="AM741" s="3582"/>
      <c r="AN741" s="3582"/>
      <c r="AO741" s="3582"/>
      <c r="AP741" s="3582"/>
      <c r="AQ741" s="3582"/>
      <c r="AR741" s="3576"/>
      <c r="AS741" s="3576"/>
      <c r="AT741" s="3576"/>
      <c r="AU741" s="3576"/>
      <c r="AV741" s="3563"/>
    </row>
    <row r="742" s="3565" customFormat="1" spans="1:48">
      <c r="A742" s="3575"/>
      <c r="B742" s="3576"/>
      <c r="C742" s="3576"/>
      <c r="D742" s="3563"/>
      <c r="E742" s="3563"/>
      <c r="F742" s="3576"/>
      <c r="G742" s="3576"/>
      <c r="H742" s="3563"/>
      <c r="I742" s="3563"/>
      <c r="J742" s="3563"/>
      <c r="K742" s="3563"/>
      <c r="L742" s="3563"/>
      <c r="M742" s="3563"/>
      <c r="N742" s="3577"/>
      <c r="O742" s="3563"/>
      <c r="P742" s="3576"/>
      <c r="Q742" s="3578"/>
      <c r="R742" s="3563"/>
      <c r="S742" s="3563"/>
      <c r="T742" s="3579"/>
      <c r="U742" s="3563"/>
      <c r="V742" s="3563"/>
      <c r="W742" s="3578"/>
      <c r="X742" s="3578"/>
      <c r="Y742" s="3578"/>
      <c r="Z742" s="3578"/>
      <c r="AA742" s="3578"/>
      <c r="AB742" s="3563"/>
      <c r="AC742" s="3578"/>
      <c r="AD742" s="3578"/>
      <c r="AE742" s="3578"/>
      <c r="AF742" s="3578"/>
      <c r="AG742" s="3576"/>
      <c r="AH742" s="3576"/>
      <c r="AI742" s="3580"/>
      <c r="AJ742" s="3581"/>
      <c r="AK742" s="3582"/>
      <c r="AL742" s="3582"/>
      <c r="AM742" s="3582"/>
      <c r="AN742" s="3582"/>
      <c r="AO742" s="3582"/>
      <c r="AP742" s="3582"/>
      <c r="AQ742" s="3582"/>
      <c r="AR742" s="3576"/>
      <c r="AS742" s="3576"/>
      <c r="AT742" s="3576"/>
      <c r="AU742" s="3576"/>
      <c r="AV742" s="3563"/>
    </row>
    <row r="743" s="3565" customFormat="1" spans="1:48">
      <c r="A743" s="3575"/>
      <c r="B743" s="3576"/>
      <c r="C743" s="3576"/>
      <c r="D743" s="3563"/>
      <c r="E743" s="3563"/>
      <c r="F743" s="3576"/>
      <c r="G743" s="3576"/>
      <c r="H743" s="3563"/>
      <c r="I743" s="3563"/>
      <c r="J743" s="3563"/>
      <c r="K743" s="3563"/>
      <c r="L743" s="3563"/>
      <c r="M743" s="3563"/>
      <c r="N743" s="3577"/>
      <c r="O743" s="3563"/>
      <c r="P743" s="3576"/>
      <c r="Q743" s="3578"/>
      <c r="R743" s="3563"/>
      <c r="S743" s="3563"/>
      <c r="T743" s="3579"/>
      <c r="U743" s="3563"/>
      <c r="V743" s="3563"/>
      <c r="W743" s="3578"/>
      <c r="X743" s="3578"/>
      <c r="Y743" s="3578"/>
      <c r="Z743" s="3578"/>
      <c r="AA743" s="3578"/>
      <c r="AB743" s="3563"/>
      <c r="AC743" s="3578"/>
      <c r="AD743" s="3578"/>
      <c r="AE743" s="3578"/>
      <c r="AF743" s="3578"/>
      <c r="AG743" s="3576"/>
      <c r="AH743" s="3576"/>
      <c r="AI743" s="3580"/>
      <c r="AJ743" s="3581"/>
      <c r="AK743" s="3582"/>
      <c r="AL743" s="3582"/>
      <c r="AM743" s="3582"/>
      <c r="AN743" s="3582"/>
      <c r="AO743" s="3582"/>
      <c r="AP743" s="3582"/>
      <c r="AQ743" s="3582"/>
      <c r="AR743" s="3576"/>
      <c r="AS743" s="3576"/>
      <c r="AT743" s="3576"/>
      <c r="AU743" s="3576"/>
      <c r="AV743" s="3563"/>
    </row>
    <row r="744" s="3565" customFormat="1" spans="1:48">
      <c r="A744" s="3575"/>
      <c r="B744" s="3576"/>
      <c r="C744" s="3576"/>
      <c r="D744" s="3563"/>
      <c r="E744" s="3563"/>
      <c r="F744" s="3576"/>
      <c r="G744" s="3576"/>
      <c r="H744" s="3563"/>
      <c r="I744" s="3563"/>
      <c r="J744" s="3563"/>
      <c r="K744" s="3563"/>
      <c r="L744" s="3563"/>
      <c r="M744" s="3563"/>
      <c r="N744" s="3577"/>
      <c r="O744" s="3563"/>
      <c r="P744" s="3576"/>
      <c r="Q744" s="3578"/>
      <c r="R744" s="3563"/>
      <c r="S744" s="3563"/>
      <c r="T744" s="3579"/>
      <c r="U744" s="3563"/>
      <c r="V744" s="3563"/>
      <c r="W744" s="3578"/>
      <c r="X744" s="3578"/>
      <c r="Y744" s="3578"/>
      <c r="Z744" s="3578"/>
      <c r="AA744" s="3578"/>
      <c r="AB744" s="3563"/>
      <c r="AC744" s="3578"/>
      <c r="AD744" s="3578"/>
      <c r="AE744" s="3578"/>
      <c r="AF744" s="3578"/>
      <c r="AG744" s="3576"/>
      <c r="AH744" s="3576"/>
      <c r="AI744" s="3580"/>
      <c r="AJ744" s="3581"/>
      <c r="AK744" s="3582"/>
      <c r="AL744" s="3582"/>
      <c r="AM744" s="3582"/>
      <c r="AN744" s="3582"/>
      <c r="AO744" s="3582"/>
      <c r="AP744" s="3582"/>
      <c r="AQ744" s="3582"/>
      <c r="AR744" s="3576"/>
      <c r="AS744" s="3576"/>
      <c r="AT744" s="3576"/>
      <c r="AU744" s="3576"/>
      <c r="AV744" s="3563"/>
    </row>
    <row r="745" s="3565" customFormat="1" spans="1:48">
      <c r="A745" s="3575"/>
      <c r="B745" s="3576"/>
      <c r="C745" s="3576"/>
      <c r="D745" s="3563"/>
      <c r="E745" s="3563"/>
      <c r="F745" s="3576"/>
      <c r="G745" s="3576"/>
      <c r="H745" s="3563"/>
      <c r="I745" s="3563"/>
      <c r="J745" s="3563"/>
      <c r="K745" s="3563"/>
      <c r="L745" s="3563"/>
      <c r="M745" s="3563"/>
      <c r="N745" s="3577"/>
      <c r="O745" s="3563"/>
      <c r="P745" s="3576"/>
      <c r="Q745" s="3578"/>
      <c r="R745" s="3563"/>
      <c r="S745" s="3563"/>
      <c r="T745" s="3579"/>
      <c r="U745" s="3563"/>
      <c r="V745" s="3563"/>
      <c r="W745" s="3578"/>
      <c r="X745" s="3578"/>
      <c r="Y745" s="3578"/>
      <c r="Z745" s="3578"/>
      <c r="AA745" s="3578"/>
      <c r="AB745" s="3563"/>
      <c r="AC745" s="3578"/>
      <c r="AD745" s="3578"/>
      <c r="AE745" s="3578"/>
      <c r="AF745" s="3578"/>
      <c r="AG745" s="3576"/>
      <c r="AH745" s="3576"/>
      <c r="AI745" s="3580"/>
      <c r="AJ745" s="3581"/>
      <c r="AK745" s="3582"/>
      <c r="AL745" s="3582"/>
      <c r="AM745" s="3582"/>
      <c r="AN745" s="3582"/>
      <c r="AO745" s="3582"/>
      <c r="AP745" s="3582"/>
      <c r="AQ745" s="3582"/>
      <c r="AR745" s="3576"/>
      <c r="AS745" s="3576"/>
      <c r="AT745" s="3576"/>
      <c r="AU745" s="3576"/>
      <c r="AV745" s="3563"/>
    </row>
    <row r="746" s="3565" customFormat="1" spans="1:48">
      <c r="A746" s="3575"/>
      <c r="B746" s="3576"/>
      <c r="C746" s="3576"/>
      <c r="D746" s="3563"/>
      <c r="E746" s="3563"/>
      <c r="F746" s="3576"/>
      <c r="G746" s="3576"/>
      <c r="H746" s="3563"/>
      <c r="I746" s="3563"/>
      <c r="J746" s="3563"/>
      <c r="K746" s="3563"/>
      <c r="L746" s="3563"/>
      <c r="M746" s="3563"/>
      <c r="N746" s="3577"/>
      <c r="O746" s="3563"/>
      <c r="P746" s="3576"/>
      <c r="Q746" s="3578"/>
      <c r="R746" s="3563"/>
      <c r="S746" s="3563"/>
      <c r="T746" s="3579"/>
      <c r="U746" s="3563"/>
      <c r="V746" s="3563"/>
      <c r="W746" s="3578"/>
      <c r="X746" s="3578"/>
      <c r="Y746" s="3578"/>
      <c r="Z746" s="3578"/>
      <c r="AA746" s="3578"/>
      <c r="AB746" s="3563"/>
      <c r="AC746" s="3578"/>
      <c r="AD746" s="3578"/>
      <c r="AE746" s="3578"/>
      <c r="AF746" s="3578"/>
      <c r="AG746" s="3576"/>
      <c r="AH746" s="3576"/>
      <c r="AI746" s="3580"/>
      <c r="AJ746" s="3581"/>
      <c r="AK746" s="3582"/>
      <c r="AL746" s="3582"/>
      <c r="AM746" s="3582"/>
      <c r="AN746" s="3582"/>
      <c r="AO746" s="3582"/>
      <c r="AP746" s="3582"/>
      <c r="AQ746" s="3582"/>
      <c r="AR746" s="3576"/>
      <c r="AS746" s="3576"/>
      <c r="AT746" s="3576"/>
      <c r="AU746" s="3576"/>
      <c r="AV746" s="3563"/>
    </row>
    <row r="747" s="3565" customFormat="1" spans="1:48">
      <c r="A747" s="3575"/>
      <c r="B747" s="3576"/>
      <c r="C747" s="3576"/>
      <c r="D747" s="3563"/>
      <c r="E747" s="3563"/>
      <c r="F747" s="3576"/>
      <c r="G747" s="3576"/>
      <c r="H747" s="3563"/>
      <c r="I747" s="3563"/>
      <c r="J747" s="3563"/>
      <c r="K747" s="3563"/>
      <c r="L747" s="3563"/>
      <c r="M747" s="3563"/>
      <c r="N747" s="3577"/>
      <c r="O747" s="3563"/>
      <c r="P747" s="3576"/>
      <c r="Q747" s="3578"/>
      <c r="R747" s="3563"/>
      <c r="S747" s="3563"/>
      <c r="T747" s="3579"/>
      <c r="U747" s="3563"/>
      <c r="V747" s="3563"/>
      <c r="W747" s="3578"/>
      <c r="X747" s="3578"/>
      <c r="Y747" s="3578"/>
      <c r="Z747" s="3578"/>
      <c r="AA747" s="3578"/>
      <c r="AB747" s="3563"/>
      <c r="AC747" s="3578"/>
      <c r="AD747" s="3578"/>
      <c r="AE747" s="3578"/>
      <c r="AF747" s="3578"/>
      <c r="AG747" s="3576"/>
      <c r="AH747" s="3576"/>
      <c r="AI747" s="3580"/>
      <c r="AJ747" s="3581"/>
      <c r="AK747" s="3582"/>
      <c r="AL747" s="3582"/>
      <c r="AM747" s="3582"/>
      <c r="AN747" s="3582"/>
      <c r="AO747" s="3582"/>
      <c r="AP747" s="3582"/>
      <c r="AQ747" s="3582"/>
      <c r="AR747" s="3576"/>
      <c r="AS747" s="3576"/>
      <c r="AT747" s="3576"/>
      <c r="AU747" s="3576"/>
      <c r="AV747" s="3563"/>
    </row>
    <row r="748" s="3565" customFormat="1" spans="1:48">
      <c r="A748" s="3575"/>
      <c r="B748" s="3576"/>
      <c r="C748" s="3576"/>
      <c r="D748" s="3563"/>
      <c r="E748" s="3563"/>
      <c r="F748" s="3576"/>
      <c r="G748" s="3576"/>
      <c r="H748" s="3563"/>
      <c r="I748" s="3563"/>
      <c r="J748" s="3563"/>
      <c r="K748" s="3563"/>
      <c r="L748" s="3563"/>
      <c r="M748" s="3563"/>
      <c r="N748" s="3577"/>
      <c r="O748" s="3563"/>
      <c r="P748" s="3576"/>
      <c r="Q748" s="3578"/>
      <c r="R748" s="3563"/>
      <c r="S748" s="3563"/>
      <c r="T748" s="3579"/>
      <c r="U748" s="3563"/>
      <c r="V748" s="3563"/>
      <c r="W748" s="3578"/>
      <c r="X748" s="3578"/>
      <c r="Y748" s="3578"/>
      <c r="Z748" s="3578"/>
      <c r="AA748" s="3578"/>
      <c r="AB748" s="3563"/>
      <c r="AC748" s="3578"/>
      <c r="AD748" s="3578"/>
      <c r="AE748" s="3578"/>
      <c r="AF748" s="3578"/>
      <c r="AG748" s="3576"/>
      <c r="AH748" s="3576"/>
      <c r="AI748" s="3580"/>
      <c r="AJ748" s="3581"/>
      <c r="AK748" s="3582"/>
      <c r="AL748" s="3582"/>
      <c r="AM748" s="3582"/>
      <c r="AN748" s="3582"/>
      <c r="AO748" s="3582"/>
      <c r="AP748" s="3582"/>
      <c r="AQ748" s="3582"/>
      <c r="AR748" s="3576"/>
      <c r="AS748" s="3576"/>
      <c r="AT748" s="3576"/>
      <c r="AU748" s="3576"/>
      <c r="AV748" s="3563"/>
    </row>
    <row r="749" s="3565" customFormat="1" spans="1:48">
      <c r="A749" s="3575"/>
      <c r="B749" s="3576"/>
      <c r="C749" s="3576"/>
      <c r="D749" s="3563"/>
      <c r="E749" s="3563"/>
      <c r="F749" s="3576"/>
      <c r="G749" s="3576"/>
      <c r="H749" s="3563"/>
      <c r="I749" s="3563"/>
      <c r="J749" s="3563"/>
      <c r="K749" s="3563"/>
      <c r="L749" s="3563"/>
      <c r="M749" s="3563"/>
      <c r="N749" s="3577"/>
      <c r="O749" s="3563"/>
      <c r="P749" s="3576"/>
      <c r="Q749" s="3578"/>
      <c r="R749" s="3563"/>
      <c r="S749" s="3563"/>
      <c r="T749" s="3579"/>
      <c r="U749" s="3563"/>
      <c r="V749" s="3563"/>
      <c r="W749" s="3578"/>
      <c r="X749" s="3578"/>
      <c r="Y749" s="3578"/>
      <c r="Z749" s="3578"/>
      <c r="AA749" s="3578"/>
      <c r="AB749" s="3563"/>
      <c r="AC749" s="3578"/>
      <c r="AD749" s="3578"/>
      <c r="AE749" s="3578"/>
      <c r="AF749" s="3578"/>
      <c r="AG749" s="3576"/>
      <c r="AH749" s="3576"/>
      <c r="AI749" s="3580"/>
      <c r="AJ749" s="3581"/>
      <c r="AK749" s="3582"/>
      <c r="AL749" s="3582"/>
      <c r="AM749" s="3582"/>
      <c r="AN749" s="3582"/>
      <c r="AO749" s="3582"/>
      <c r="AP749" s="3582"/>
      <c r="AQ749" s="3582"/>
      <c r="AR749" s="3576"/>
      <c r="AS749" s="3576"/>
      <c r="AT749" s="3576"/>
      <c r="AU749" s="3576"/>
      <c r="AV749" s="3563"/>
    </row>
    <row r="750" s="3565" customFormat="1" spans="1:48">
      <c r="A750" s="3575"/>
      <c r="B750" s="3576"/>
      <c r="C750" s="3576"/>
      <c r="D750" s="3563"/>
      <c r="E750" s="3563"/>
      <c r="F750" s="3576"/>
      <c r="G750" s="3576"/>
      <c r="H750" s="3563"/>
      <c r="I750" s="3563"/>
      <c r="J750" s="3563"/>
      <c r="K750" s="3563"/>
      <c r="L750" s="3563"/>
      <c r="M750" s="3563"/>
      <c r="N750" s="3577"/>
      <c r="O750" s="3563"/>
      <c r="P750" s="3576"/>
      <c r="Q750" s="3578"/>
      <c r="R750" s="3563"/>
      <c r="S750" s="3563"/>
      <c r="T750" s="3579"/>
      <c r="U750" s="3563"/>
      <c r="V750" s="3563"/>
      <c r="W750" s="3578"/>
      <c r="X750" s="3578"/>
      <c r="Y750" s="3578"/>
      <c r="Z750" s="3578"/>
      <c r="AA750" s="3578"/>
      <c r="AB750" s="3563"/>
      <c r="AC750" s="3578"/>
      <c r="AD750" s="3578"/>
      <c r="AE750" s="3578"/>
      <c r="AF750" s="3578"/>
      <c r="AG750" s="3576"/>
      <c r="AH750" s="3576"/>
      <c r="AI750" s="3580"/>
      <c r="AJ750" s="3581"/>
      <c r="AK750" s="3582"/>
      <c r="AL750" s="3582"/>
      <c r="AM750" s="3582"/>
      <c r="AN750" s="3582"/>
      <c r="AO750" s="3582"/>
      <c r="AP750" s="3582"/>
      <c r="AQ750" s="3582"/>
      <c r="AR750" s="3576"/>
      <c r="AS750" s="3576"/>
      <c r="AT750" s="3576"/>
      <c r="AU750" s="3576"/>
      <c r="AV750" s="3563"/>
    </row>
    <row r="751" s="3565" customFormat="1" spans="1:48">
      <c r="A751" s="3575"/>
      <c r="B751" s="3576"/>
      <c r="C751" s="3576"/>
      <c r="D751" s="3563"/>
      <c r="E751" s="3563"/>
      <c r="F751" s="3576"/>
      <c r="G751" s="3576"/>
      <c r="H751" s="3563"/>
      <c r="I751" s="3563"/>
      <c r="J751" s="3563"/>
      <c r="K751" s="3563"/>
      <c r="L751" s="3563"/>
      <c r="M751" s="3563"/>
      <c r="N751" s="3577"/>
      <c r="O751" s="3563"/>
      <c r="P751" s="3576"/>
      <c r="Q751" s="3578"/>
      <c r="R751" s="3563"/>
      <c r="S751" s="3563"/>
      <c r="T751" s="3579"/>
      <c r="U751" s="3563"/>
      <c r="V751" s="3563"/>
      <c r="W751" s="3578"/>
      <c r="X751" s="3578"/>
      <c r="Y751" s="3578"/>
      <c r="Z751" s="3578"/>
      <c r="AA751" s="3578"/>
      <c r="AB751" s="3563"/>
      <c r="AC751" s="3578"/>
      <c r="AD751" s="3578"/>
      <c r="AE751" s="3578"/>
      <c r="AF751" s="3578"/>
      <c r="AG751" s="3576"/>
      <c r="AH751" s="3576"/>
      <c r="AI751" s="3580"/>
      <c r="AJ751" s="3581"/>
      <c r="AK751" s="3582"/>
      <c r="AL751" s="3582"/>
      <c r="AM751" s="3582"/>
      <c r="AN751" s="3582"/>
      <c r="AO751" s="3582"/>
      <c r="AP751" s="3582"/>
      <c r="AQ751" s="3582"/>
      <c r="AR751" s="3576"/>
      <c r="AS751" s="3576"/>
      <c r="AT751" s="3576"/>
      <c r="AU751" s="3576"/>
      <c r="AV751" s="3563"/>
    </row>
    <row r="752" s="3565" customFormat="1" spans="1:48">
      <c r="A752" s="3575"/>
      <c r="B752" s="3576"/>
      <c r="C752" s="3576"/>
      <c r="D752" s="3563"/>
      <c r="E752" s="3563"/>
      <c r="F752" s="3576"/>
      <c r="G752" s="3576"/>
      <c r="H752" s="3563"/>
      <c r="I752" s="3563"/>
      <c r="J752" s="3563"/>
      <c r="K752" s="3563"/>
      <c r="L752" s="3563"/>
      <c r="M752" s="3563"/>
      <c r="N752" s="3577"/>
      <c r="O752" s="3563"/>
      <c r="P752" s="3576"/>
      <c r="Q752" s="3578"/>
      <c r="R752" s="3563"/>
      <c r="S752" s="3563"/>
      <c r="T752" s="3579"/>
      <c r="U752" s="3563"/>
      <c r="V752" s="3563"/>
      <c r="W752" s="3578"/>
      <c r="X752" s="3578"/>
      <c r="Y752" s="3578"/>
      <c r="Z752" s="3578"/>
      <c r="AA752" s="3578"/>
      <c r="AB752" s="3563"/>
      <c r="AC752" s="3578"/>
      <c r="AD752" s="3578"/>
      <c r="AE752" s="3578"/>
      <c r="AF752" s="3578"/>
      <c r="AG752" s="3576"/>
      <c r="AH752" s="3576"/>
      <c r="AI752" s="3580"/>
      <c r="AJ752" s="3581"/>
      <c r="AK752" s="3582"/>
      <c r="AL752" s="3582"/>
      <c r="AM752" s="3582"/>
      <c r="AN752" s="3582"/>
      <c r="AO752" s="3582"/>
      <c r="AP752" s="3582"/>
      <c r="AQ752" s="3582"/>
      <c r="AR752" s="3576"/>
      <c r="AS752" s="3576"/>
      <c r="AT752" s="3576"/>
      <c r="AU752" s="3576"/>
      <c r="AV752" s="3563"/>
    </row>
    <row r="753" s="3565" customFormat="1" spans="1:48">
      <c r="A753" s="3575"/>
      <c r="B753" s="3576"/>
      <c r="C753" s="3576"/>
      <c r="D753" s="3563"/>
      <c r="E753" s="3563"/>
      <c r="F753" s="3576"/>
      <c r="G753" s="3576"/>
      <c r="H753" s="3563"/>
      <c r="I753" s="3563"/>
      <c r="J753" s="3563"/>
      <c r="K753" s="3563"/>
      <c r="L753" s="3563"/>
      <c r="M753" s="3563"/>
      <c r="N753" s="3577"/>
      <c r="O753" s="3563"/>
      <c r="P753" s="3576"/>
      <c r="Q753" s="3578"/>
      <c r="R753" s="3563"/>
      <c r="S753" s="3563"/>
      <c r="T753" s="3579"/>
      <c r="U753" s="3563"/>
      <c r="V753" s="3563"/>
      <c r="W753" s="3578"/>
      <c r="X753" s="3578"/>
      <c r="Y753" s="3578"/>
      <c r="Z753" s="3578"/>
      <c r="AA753" s="3578"/>
      <c r="AB753" s="3563"/>
      <c r="AC753" s="3578"/>
      <c r="AD753" s="3578"/>
      <c r="AE753" s="3578"/>
      <c r="AF753" s="3578"/>
      <c r="AG753" s="3576"/>
      <c r="AH753" s="3576"/>
      <c r="AI753" s="3580"/>
      <c r="AJ753" s="3581"/>
      <c r="AK753" s="3582"/>
      <c r="AL753" s="3582"/>
      <c r="AM753" s="3582"/>
      <c r="AN753" s="3582"/>
      <c r="AO753" s="3582"/>
      <c r="AP753" s="3582"/>
      <c r="AQ753" s="3582"/>
      <c r="AR753" s="3576"/>
      <c r="AS753" s="3576"/>
      <c r="AT753" s="3576"/>
      <c r="AU753" s="3576"/>
      <c r="AV753" s="3563"/>
    </row>
    <row r="754" s="3565" customFormat="1" spans="1:48">
      <c r="A754" s="3575"/>
      <c r="B754" s="3576"/>
      <c r="C754" s="3576"/>
      <c r="D754" s="3563"/>
      <c r="E754" s="3563"/>
      <c r="F754" s="3576"/>
      <c r="G754" s="3576"/>
      <c r="H754" s="3563"/>
      <c r="I754" s="3563"/>
      <c r="J754" s="3563"/>
      <c r="K754" s="3563"/>
      <c r="L754" s="3563"/>
      <c r="M754" s="3563"/>
      <c r="N754" s="3577"/>
      <c r="O754" s="3563"/>
      <c r="P754" s="3576"/>
      <c r="Q754" s="3578"/>
      <c r="R754" s="3563"/>
      <c r="S754" s="3563"/>
      <c r="T754" s="3579"/>
      <c r="U754" s="3563"/>
      <c r="V754" s="3563"/>
      <c r="W754" s="3578"/>
      <c r="X754" s="3578"/>
      <c r="Y754" s="3578"/>
      <c r="Z754" s="3578"/>
      <c r="AA754" s="3578"/>
      <c r="AB754" s="3563"/>
      <c r="AC754" s="3578"/>
      <c r="AD754" s="3578"/>
      <c r="AE754" s="3578"/>
      <c r="AF754" s="3578"/>
      <c r="AG754" s="3576"/>
      <c r="AH754" s="3576"/>
      <c r="AI754" s="3580"/>
      <c r="AJ754" s="3581"/>
      <c r="AK754" s="3582"/>
      <c r="AL754" s="3582"/>
      <c r="AM754" s="3582"/>
      <c r="AN754" s="3582"/>
      <c r="AO754" s="3582"/>
      <c r="AP754" s="3582"/>
      <c r="AQ754" s="3582"/>
      <c r="AR754" s="3576"/>
      <c r="AS754" s="3576"/>
      <c r="AT754" s="3576"/>
      <c r="AU754" s="3576"/>
      <c r="AV754" s="3563"/>
    </row>
    <row r="755" s="3565" customFormat="1" spans="1:48">
      <c r="A755" s="3575"/>
      <c r="B755" s="3576"/>
      <c r="C755" s="3576"/>
      <c r="D755" s="3563"/>
      <c r="E755" s="3563"/>
      <c r="F755" s="3576"/>
      <c r="G755" s="3576"/>
      <c r="H755" s="3563"/>
      <c r="I755" s="3563"/>
      <c r="J755" s="3563"/>
      <c r="K755" s="3563"/>
      <c r="L755" s="3563"/>
      <c r="M755" s="3563"/>
      <c r="N755" s="3577"/>
      <c r="O755" s="3563"/>
      <c r="P755" s="3576"/>
      <c r="Q755" s="3578"/>
      <c r="R755" s="3563"/>
      <c r="S755" s="3563"/>
      <c r="T755" s="3579"/>
      <c r="U755" s="3563"/>
      <c r="V755" s="3563"/>
      <c r="W755" s="3578"/>
      <c r="X755" s="3578"/>
      <c r="Y755" s="3578"/>
      <c r="Z755" s="3578"/>
      <c r="AA755" s="3578"/>
      <c r="AB755" s="3563"/>
      <c r="AC755" s="3578"/>
      <c r="AD755" s="3578"/>
      <c r="AE755" s="3578"/>
      <c r="AF755" s="3578"/>
      <c r="AG755" s="3576"/>
      <c r="AH755" s="3576"/>
      <c r="AI755" s="3580"/>
      <c r="AJ755" s="3581"/>
      <c r="AK755" s="3582"/>
      <c r="AL755" s="3582"/>
      <c r="AM755" s="3582"/>
      <c r="AN755" s="3582"/>
      <c r="AO755" s="3582"/>
      <c r="AP755" s="3582"/>
      <c r="AQ755" s="3582"/>
      <c r="AR755" s="3576"/>
      <c r="AS755" s="3576"/>
      <c r="AT755" s="3576"/>
      <c r="AU755" s="3576"/>
      <c r="AV755" s="3563"/>
    </row>
    <row r="756" s="3565" customFormat="1" spans="1:48">
      <c r="A756" s="3575"/>
      <c r="B756" s="3576"/>
      <c r="C756" s="3576"/>
      <c r="D756" s="3563"/>
      <c r="E756" s="3563"/>
      <c r="F756" s="3576"/>
      <c r="G756" s="3576"/>
      <c r="H756" s="3563"/>
      <c r="I756" s="3563"/>
      <c r="J756" s="3563"/>
      <c r="K756" s="3563"/>
      <c r="L756" s="3563"/>
      <c r="M756" s="3563"/>
      <c r="N756" s="3577"/>
      <c r="O756" s="3563"/>
      <c r="P756" s="3576"/>
      <c r="Q756" s="3578"/>
      <c r="R756" s="3563"/>
      <c r="S756" s="3563"/>
      <c r="T756" s="3579"/>
      <c r="U756" s="3563"/>
      <c r="V756" s="3563"/>
      <c r="W756" s="3578"/>
      <c r="X756" s="3578"/>
      <c r="Y756" s="3578"/>
      <c r="Z756" s="3578"/>
      <c r="AA756" s="3578"/>
      <c r="AB756" s="3563"/>
      <c r="AC756" s="3578"/>
      <c r="AD756" s="3578"/>
      <c r="AE756" s="3578"/>
      <c r="AF756" s="3578"/>
      <c r="AG756" s="3576"/>
      <c r="AH756" s="3576"/>
      <c r="AI756" s="3580"/>
      <c r="AJ756" s="3581"/>
      <c r="AK756" s="3582"/>
      <c r="AL756" s="3582"/>
      <c r="AM756" s="3582"/>
      <c r="AN756" s="3582"/>
      <c r="AO756" s="3582"/>
      <c r="AP756" s="3582"/>
      <c r="AQ756" s="3582"/>
      <c r="AR756" s="3576"/>
      <c r="AS756" s="3576"/>
      <c r="AT756" s="3576"/>
      <c r="AU756" s="3576"/>
      <c r="AV756" s="3563"/>
    </row>
    <row r="757" s="3565" customFormat="1" spans="1:48">
      <c r="A757" s="3575"/>
      <c r="B757" s="3576"/>
      <c r="C757" s="3576"/>
      <c r="D757" s="3563"/>
      <c r="E757" s="3563"/>
      <c r="F757" s="3576"/>
      <c r="G757" s="3576"/>
      <c r="H757" s="3563"/>
      <c r="I757" s="3563"/>
      <c r="J757" s="3563"/>
      <c r="K757" s="3563"/>
      <c r="L757" s="3563"/>
      <c r="M757" s="3563"/>
      <c r="N757" s="3577"/>
      <c r="O757" s="3563"/>
      <c r="P757" s="3576"/>
      <c r="Q757" s="3578"/>
      <c r="R757" s="3563"/>
      <c r="S757" s="3563"/>
      <c r="T757" s="3579"/>
      <c r="U757" s="3563"/>
      <c r="V757" s="3563"/>
      <c r="W757" s="3578"/>
      <c r="X757" s="3578"/>
      <c r="Y757" s="3578"/>
      <c r="Z757" s="3578"/>
      <c r="AA757" s="3578"/>
      <c r="AB757" s="3563"/>
      <c r="AC757" s="3578"/>
      <c r="AD757" s="3578"/>
      <c r="AE757" s="3578"/>
      <c r="AF757" s="3578"/>
      <c r="AG757" s="3576"/>
      <c r="AH757" s="3576"/>
      <c r="AI757" s="3580"/>
      <c r="AJ757" s="3581"/>
      <c r="AK757" s="3582"/>
      <c r="AL757" s="3582"/>
      <c r="AM757" s="3582"/>
      <c r="AN757" s="3582"/>
      <c r="AO757" s="3582"/>
      <c r="AP757" s="3582"/>
      <c r="AQ757" s="3582"/>
      <c r="AR757" s="3576"/>
      <c r="AS757" s="3576"/>
      <c r="AT757" s="3576"/>
      <c r="AU757" s="3576"/>
      <c r="AV757" s="3563"/>
    </row>
    <row r="758" s="3565" customFormat="1" spans="1:48">
      <c r="A758" s="3575"/>
      <c r="B758" s="3576"/>
      <c r="C758" s="3576"/>
      <c r="D758" s="3563"/>
      <c r="E758" s="3563"/>
      <c r="F758" s="3576"/>
      <c r="G758" s="3576"/>
      <c r="H758" s="3563"/>
      <c r="I758" s="3563"/>
      <c r="J758" s="3563"/>
      <c r="K758" s="3563"/>
      <c r="L758" s="3563"/>
      <c r="M758" s="3563"/>
      <c r="N758" s="3577"/>
      <c r="O758" s="3563"/>
      <c r="P758" s="3576"/>
      <c r="Q758" s="3578"/>
      <c r="R758" s="3563"/>
      <c r="S758" s="3563"/>
      <c r="T758" s="3579"/>
      <c r="U758" s="3563"/>
      <c r="V758" s="3563"/>
      <c r="W758" s="3578"/>
      <c r="X758" s="3578"/>
      <c r="Y758" s="3578"/>
      <c r="Z758" s="3578"/>
      <c r="AA758" s="3578"/>
      <c r="AB758" s="3563"/>
      <c r="AC758" s="3578"/>
      <c r="AD758" s="3578"/>
      <c r="AE758" s="3578"/>
      <c r="AF758" s="3578"/>
      <c r="AG758" s="3576"/>
      <c r="AH758" s="3576"/>
      <c r="AI758" s="3580"/>
      <c r="AJ758" s="3581"/>
      <c r="AK758" s="3582"/>
      <c r="AL758" s="3582"/>
      <c r="AM758" s="3582"/>
      <c r="AN758" s="3582"/>
      <c r="AO758" s="3582"/>
      <c r="AP758" s="3582"/>
      <c r="AQ758" s="3582"/>
      <c r="AR758" s="3576"/>
      <c r="AS758" s="3576"/>
      <c r="AT758" s="3576"/>
      <c r="AU758" s="3576"/>
      <c r="AV758" s="3563"/>
    </row>
    <row r="759" s="3565" customFormat="1" spans="1:48">
      <c r="A759" s="3575"/>
      <c r="B759" s="3576"/>
      <c r="C759" s="3576"/>
      <c r="D759" s="3563"/>
      <c r="E759" s="3563"/>
      <c r="F759" s="3576"/>
      <c r="G759" s="3576"/>
      <c r="H759" s="3563"/>
      <c r="I759" s="3563"/>
      <c r="J759" s="3563"/>
      <c r="K759" s="3563"/>
      <c r="L759" s="3563"/>
      <c r="M759" s="3563"/>
      <c r="N759" s="3577"/>
      <c r="O759" s="3563"/>
      <c r="P759" s="3576"/>
      <c r="Q759" s="3578"/>
      <c r="R759" s="3563"/>
      <c r="S759" s="3563"/>
      <c r="T759" s="3579"/>
      <c r="U759" s="3563"/>
      <c r="V759" s="3563"/>
      <c r="W759" s="3578"/>
      <c r="X759" s="3578"/>
      <c r="Y759" s="3578"/>
      <c r="Z759" s="3578"/>
      <c r="AA759" s="3578"/>
      <c r="AB759" s="3563"/>
      <c r="AC759" s="3578"/>
      <c r="AD759" s="3578"/>
      <c r="AE759" s="3578"/>
      <c r="AF759" s="3578"/>
      <c r="AG759" s="3576"/>
      <c r="AH759" s="3576"/>
      <c r="AI759" s="3580"/>
      <c r="AJ759" s="3581"/>
      <c r="AK759" s="3582"/>
      <c r="AL759" s="3582"/>
      <c r="AM759" s="3582"/>
      <c r="AN759" s="3582"/>
      <c r="AO759" s="3582"/>
      <c r="AP759" s="3582"/>
      <c r="AQ759" s="3582"/>
      <c r="AR759" s="3576"/>
      <c r="AS759" s="3576"/>
      <c r="AT759" s="3576"/>
      <c r="AU759" s="3576"/>
      <c r="AV759" s="3563"/>
    </row>
    <row r="760" s="3565" customFormat="1" spans="1:48">
      <c r="A760" s="3575"/>
      <c r="B760" s="3576"/>
      <c r="C760" s="3576"/>
      <c r="D760" s="3563"/>
      <c r="E760" s="3563"/>
      <c r="F760" s="3576"/>
      <c r="G760" s="3576"/>
      <c r="H760" s="3563"/>
      <c r="I760" s="3563"/>
      <c r="J760" s="3563"/>
      <c r="K760" s="3563"/>
      <c r="L760" s="3563"/>
      <c r="M760" s="3563"/>
      <c r="N760" s="3577"/>
      <c r="O760" s="3563"/>
      <c r="P760" s="3576"/>
      <c r="Q760" s="3578"/>
      <c r="R760" s="3563"/>
      <c r="S760" s="3563"/>
      <c r="T760" s="3579"/>
      <c r="U760" s="3563"/>
      <c r="V760" s="3563"/>
      <c r="W760" s="3578"/>
      <c r="X760" s="3578"/>
      <c r="Y760" s="3578"/>
      <c r="Z760" s="3578"/>
      <c r="AA760" s="3578"/>
      <c r="AB760" s="3563"/>
      <c r="AC760" s="3578"/>
      <c r="AD760" s="3578"/>
      <c r="AE760" s="3578"/>
      <c r="AF760" s="3578"/>
      <c r="AG760" s="3576"/>
      <c r="AH760" s="3576"/>
      <c r="AI760" s="3580"/>
      <c r="AJ760" s="3581"/>
      <c r="AK760" s="3582"/>
      <c r="AL760" s="3582"/>
      <c r="AM760" s="3582"/>
      <c r="AN760" s="3582"/>
      <c r="AO760" s="3582"/>
      <c r="AP760" s="3582"/>
      <c r="AQ760" s="3582"/>
      <c r="AR760" s="3576"/>
      <c r="AS760" s="3576"/>
      <c r="AT760" s="3576"/>
      <c r="AU760" s="3576"/>
      <c r="AV760" s="3563"/>
    </row>
    <row r="761" s="3565" customFormat="1" spans="1:48">
      <c r="A761" s="3575"/>
      <c r="B761" s="3576"/>
      <c r="C761" s="3576"/>
      <c r="D761" s="3563"/>
      <c r="E761" s="3563"/>
      <c r="F761" s="3576"/>
      <c r="G761" s="3576"/>
      <c r="H761" s="3563"/>
      <c r="I761" s="3563"/>
      <c r="J761" s="3563"/>
      <c r="K761" s="3563"/>
      <c r="L761" s="3563"/>
      <c r="M761" s="3563"/>
      <c r="N761" s="3577"/>
      <c r="O761" s="3563"/>
      <c r="P761" s="3576"/>
      <c r="Q761" s="3578"/>
      <c r="R761" s="3563"/>
      <c r="S761" s="3563"/>
      <c r="T761" s="3579"/>
      <c r="U761" s="3563"/>
      <c r="V761" s="3563"/>
      <c r="W761" s="3578"/>
      <c r="X761" s="3578"/>
      <c r="Y761" s="3578"/>
      <c r="Z761" s="3578"/>
      <c r="AA761" s="3578"/>
      <c r="AB761" s="3563"/>
      <c r="AC761" s="3578"/>
      <c r="AD761" s="3578"/>
      <c r="AE761" s="3578"/>
      <c r="AF761" s="3578"/>
      <c r="AG761" s="3576"/>
      <c r="AH761" s="3576"/>
      <c r="AI761" s="3580"/>
      <c r="AJ761" s="3581"/>
      <c r="AK761" s="3582"/>
      <c r="AL761" s="3582"/>
      <c r="AM761" s="3582"/>
      <c r="AN761" s="3582"/>
      <c r="AO761" s="3582"/>
      <c r="AP761" s="3582"/>
      <c r="AQ761" s="3582"/>
      <c r="AR761" s="3576"/>
      <c r="AS761" s="3576"/>
      <c r="AT761" s="3576"/>
      <c r="AU761" s="3576"/>
      <c r="AV761" s="3563"/>
    </row>
    <row r="762" s="3565" customFormat="1" spans="1:48">
      <c r="A762" s="3575"/>
      <c r="B762" s="3576"/>
      <c r="C762" s="3576"/>
      <c r="D762" s="3563"/>
      <c r="E762" s="3563"/>
      <c r="F762" s="3576"/>
      <c r="G762" s="3576"/>
      <c r="H762" s="3563"/>
      <c r="I762" s="3563"/>
      <c r="J762" s="3563"/>
      <c r="K762" s="3563"/>
      <c r="L762" s="3563"/>
      <c r="M762" s="3563"/>
      <c r="N762" s="3577"/>
      <c r="O762" s="3563"/>
      <c r="P762" s="3576"/>
      <c r="Q762" s="3578"/>
      <c r="R762" s="3563"/>
      <c r="S762" s="3563"/>
      <c r="T762" s="3579"/>
      <c r="U762" s="3563"/>
      <c r="V762" s="3563"/>
      <c r="W762" s="3578"/>
      <c r="X762" s="3578"/>
      <c r="Y762" s="3578"/>
      <c r="Z762" s="3578"/>
      <c r="AA762" s="3578"/>
      <c r="AB762" s="3563"/>
      <c r="AC762" s="3578"/>
      <c r="AD762" s="3578"/>
      <c r="AE762" s="3578"/>
      <c r="AF762" s="3578"/>
      <c r="AG762" s="3576"/>
      <c r="AH762" s="3576"/>
      <c r="AI762" s="3580"/>
      <c r="AJ762" s="3581"/>
      <c r="AK762" s="3582"/>
      <c r="AL762" s="3582"/>
      <c r="AM762" s="3582"/>
      <c r="AN762" s="3582"/>
      <c r="AO762" s="3582"/>
      <c r="AP762" s="3582"/>
      <c r="AQ762" s="3582"/>
      <c r="AR762" s="3576"/>
      <c r="AS762" s="3576"/>
      <c r="AT762" s="3576"/>
      <c r="AU762" s="3576"/>
      <c r="AV762" s="3563"/>
    </row>
    <row r="763" s="3565" customFormat="1" spans="1:48">
      <c r="A763" s="3575"/>
      <c r="B763" s="3576"/>
      <c r="C763" s="3576"/>
      <c r="D763" s="3563"/>
      <c r="E763" s="3563"/>
      <c r="F763" s="3576"/>
      <c r="G763" s="3576"/>
      <c r="H763" s="3563"/>
      <c r="I763" s="3563"/>
      <c r="J763" s="3563"/>
      <c r="K763" s="3563"/>
      <c r="L763" s="3563"/>
      <c r="M763" s="3563"/>
      <c r="N763" s="3577"/>
      <c r="O763" s="3563"/>
      <c r="P763" s="3576"/>
      <c r="Q763" s="3578"/>
      <c r="R763" s="3563"/>
      <c r="S763" s="3563"/>
      <c r="T763" s="3579"/>
      <c r="U763" s="3563"/>
      <c r="V763" s="3563"/>
      <c r="W763" s="3578"/>
      <c r="X763" s="3578"/>
      <c r="Y763" s="3578"/>
      <c r="Z763" s="3578"/>
      <c r="AA763" s="3578"/>
      <c r="AB763" s="3563"/>
      <c r="AC763" s="3578"/>
      <c r="AD763" s="3578"/>
      <c r="AE763" s="3578"/>
      <c r="AF763" s="3578"/>
      <c r="AG763" s="3576"/>
      <c r="AH763" s="3576"/>
      <c r="AI763" s="3580"/>
      <c r="AJ763" s="3581"/>
      <c r="AK763" s="3582"/>
      <c r="AL763" s="3582"/>
      <c r="AM763" s="3582"/>
      <c r="AN763" s="3582"/>
      <c r="AO763" s="3582"/>
      <c r="AP763" s="3582"/>
      <c r="AQ763" s="3582"/>
      <c r="AR763" s="3576"/>
      <c r="AS763" s="3576"/>
      <c r="AT763" s="3576"/>
      <c r="AU763" s="3576"/>
      <c r="AV763" s="3563"/>
    </row>
    <row r="764" s="3565" customFormat="1" spans="1:48">
      <c r="A764" s="3575"/>
      <c r="B764" s="3576"/>
      <c r="C764" s="3576"/>
      <c r="D764" s="3563"/>
      <c r="E764" s="3563"/>
      <c r="F764" s="3576"/>
      <c r="G764" s="3576"/>
      <c r="H764" s="3563"/>
      <c r="I764" s="3563"/>
      <c r="J764" s="3563"/>
      <c r="K764" s="3563"/>
      <c r="L764" s="3563"/>
      <c r="M764" s="3563"/>
      <c r="N764" s="3577"/>
      <c r="O764" s="3563"/>
      <c r="P764" s="3576"/>
      <c r="Q764" s="3578"/>
      <c r="R764" s="3563"/>
      <c r="S764" s="3563"/>
      <c r="T764" s="3579"/>
      <c r="U764" s="3563"/>
      <c r="V764" s="3563"/>
      <c r="W764" s="3578"/>
      <c r="X764" s="3578"/>
      <c r="Y764" s="3578"/>
      <c r="Z764" s="3578"/>
      <c r="AA764" s="3578"/>
      <c r="AB764" s="3563"/>
      <c r="AC764" s="3578"/>
      <c r="AD764" s="3578"/>
      <c r="AE764" s="3578"/>
      <c r="AF764" s="3578"/>
      <c r="AG764" s="3576"/>
      <c r="AH764" s="3576"/>
      <c r="AI764" s="3580"/>
      <c r="AJ764" s="3581"/>
      <c r="AK764" s="3582"/>
      <c r="AL764" s="3582"/>
      <c r="AM764" s="3582"/>
      <c r="AN764" s="3582"/>
      <c r="AO764" s="3582"/>
      <c r="AP764" s="3582"/>
      <c r="AQ764" s="3582"/>
      <c r="AR764" s="3576"/>
      <c r="AS764" s="3576"/>
      <c r="AT764" s="3576"/>
      <c r="AU764" s="3576"/>
      <c r="AV764" s="3563"/>
    </row>
    <row r="765" s="3565" customFormat="1" spans="1:48">
      <c r="A765" s="3575"/>
      <c r="B765" s="3576"/>
      <c r="C765" s="3576"/>
      <c r="D765" s="3563"/>
      <c r="E765" s="3563"/>
      <c r="F765" s="3576"/>
      <c r="G765" s="3576"/>
      <c r="H765" s="3563"/>
      <c r="I765" s="3563"/>
      <c r="J765" s="3563"/>
      <c r="K765" s="3563"/>
      <c r="L765" s="3563"/>
      <c r="M765" s="3563"/>
      <c r="N765" s="3577"/>
      <c r="O765" s="3563"/>
      <c r="P765" s="3576"/>
      <c r="Q765" s="3578"/>
      <c r="R765" s="3563"/>
      <c r="S765" s="3563"/>
      <c r="T765" s="3579"/>
      <c r="U765" s="3563"/>
      <c r="V765" s="3563"/>
      <c r="W765" s="3578"/>
      <c r="X765" s="3578"/>
      <c r="Y765" s="3578"/>
      <c r="Z765" s="3578"/>
      <c r="AA765" s="3578"/>
      <c r="AB765" s="3563"/>
      <c r="AC765" s="3578"/>
      <c r="AD765" s="3578"/>
      <c r="AE765" s="3578"/>
      <c r="AF765" s="3578"/>
      <c r="AG765" s="3576"/>
      <c r="AH765" s="3576"/>
      <c r="AI765" s="3580"/>
      <c r="AJ765" s="3581"/>
      <c r="AK765" s="3582"/>
      <c r="AL765" s="3582"/>
      <c r="AM765" s="3582"/>
      <c r="AN765" s="3582"/>
      <c r="AO765" s="3582"/>
      <c r="AP765" s="3582"/>
      <c r="AQ765" s="3582"/>
      <c r="AR765" s="3576"/>
      <c r="AS765" s="3576"/>
      <c r="AT765" s="3576"/>
      <c r="AU765" s="3576"/>
      <c r="AV765" s="3563"/>
    </row>
    <row r="766" s="3565" customFormat="1" spans="1:48">
      <c r="A766" s="3575"/>
      <c r="B766" s="3576"/>
      <c r="C766" s="3576"/>
      <c r="D766" s="3563"/>
      <c r="E766" s="3563"/>
      <c r="F766" s="3576"/>
      <c r="G766" s="3576"/>
      <c r="H766" s="3563"/>
      <c r="I766" s="3563"/>
      <c r="J766" s="3563"/>
      <c r="K766" s="3563"/>
      <c r="L766" s="3563"/>
      <c r="M766" s="3563"/>
      <c r="N766" s="3577"/>
      <c r="O766" s="3563"/>
      <c r="P766" s="3576"/>
      <c r="Q766" s="3578"/>
      <c r="R766" s="3563"/>
      <c r="S766" s="3563"/>
      <c r="T766" s="3579"/>
      <c r="U766" s="3563"/>
      <c r="V766" s="3563"/>
      <c r="W766" s="3578"/>
      <c r="X766" s="3578"/>
      <c r="Y766" s="3578"/>
      <c r="Z766" s="3578"/>
      <c r="AA766" s="3578"/>
      <c r="AB766" s="3563"/>
      <c r="AC766" s="3578"/>
      <c r="AD766" s="3578"/>
      <c r="AE766" s="3578"/>
      <c r="AF766" s="3578"/>
      <c r="AG766" s="3576"/>
      <c r="AH766" s="3576"/>
      <c r="AI766" s="3580"/>
      <c r="AJ766" s="3581"/>
      <c r="AK766" s="3582"/>
      <c r="AL766" s="3582"/>
      <c r="AM766" s="3582"/>
      <c r="AN766" s="3582"/>
      <c r="AO766" s="3582"/>
      <c r="AP766" s="3582"/>
      <c r="AQ766" s="3582"/>
      <c r="AR766" s="3576"/>
      <c r="AS766" s="3576"/>
      <c r="AT766" s="3576"/>
      <c r="AU766" s="3576"/>
      <c r="AV766" s="3563"/>
    </row>
    <row r="767" s="3565" customFormat="1" spans="1:48">
      <c r="A767" s="3575"/>
      <c r="B767" s="3576"/>
      <c r="C767" s="3576"/>
      <c r="D767" s="3563"/>
      <c r="E767" s="3563"/>
      <c r="F767" s="3576"/>
      <c r="G767" s="3576"/>
      <c r="H767" s="3563"/>
      <c r="I767" s="3563"/>
      <c r="J767" s="3563"/>
      <c r="K767" s="3563"/>
      <c r="L767" s="3563"/>
      <c r="M767" s="3563"/>
      <c r="N767" s="3577"/>
      <c r="O767" s="3563"/>
      <c r="P767" s="3576"/>
      <c r="Q767" s="3578"/>
      <c r="R767" s="3563"/>
      <c r="S767" s="3563"/>
      <c r="T767" s="3579"/>
      <c r="U767" s="3563"/>
      <c r="V767" s="3563"/>
      <c r="W767" s="3578"/>
      <c r="X767" s="3578"/>
      <c r="Y767" s="3578"/>
      <c r="Z767" s="3578"/>
      <c r="AA767" s="3578"/>
      <c r="AB767" s="3563"/>
      <c r="AC767" s="3578"/>
      <c r="AD767" s="3578"/>
      <c r="AE767" s="3578"/>
      <c r="AF767" s="3578"/>
      <c r="AG767" s="3576"/>
      <c r="AH767" s="3576"/>
      <c r="AI767" s="3580"/>
      <c r="AJ767" s="3581"/>
      <c r="AK767" s="3582"/>
      <c r="AL767" s="3582"/>
      <c r="AM767" s="3582"/>
      <c r="AN767" s="3582"/>
      <c r="AO767" s="3582"/>
      <c r="AP767" s="3582"/>
      <c r="AQ767" s="3582"/>
      <c r="AR767" s="3576"/>
      <c r="AS767" s="3576"/>
      <c r="AT767" s="3576"/>
      <c r="AU767" s="3576"/>
      <c r="AV767" s="3563"/>
    </row>
    <row r="768" s="3565" customFormat="1" spans="1:48">
      <c r="A768" s="3575"/>
      <c r="B768" s="3576"/>
      <c r="C768" s="3576"/>
      <c r="D768" s="3563"/>
      <c r="E768" s="3563"/>
      <c r="F768" s="3576"/>
      <c r="G768" s="3576"/>
      <c r="H768" s="3563"/>
      <c r="I768" s="3563"/>
      <c r="J768" s="3563"/>
      <c r="K768" s="3563"/>
      <c r="L768" s="3563"/>
      <c r="M768" s="3563"/>
      <c r="N768" s="3577"/>
      <c r="O768" s="3563"/>
      <c r="P768" s="3576"/>
      <c r="Q768" s="3578"/>
      <c r="R768" s="3563"/>
      <c r="S768" s="3563"/>
      <c r="T768" s="3579"/>
      <c r="U768" s="3563"/>
      <c r="V768" s="3563"/>
      <c r="W768" s="3578"/>
      <c r="X768" s="3578"/>
      <c r="Y768" s="3578"/>
      <c r="Z768" s="3578"/>
      <c r="AA768" s="3578"/>
      <c r="AB768" s="3563"/>
      <c r="AC768" s="3578"/>
      <c r="AD768" s="3578"/>
      <c r="AE768" s="3578"/>
      <c r="AF768" s="3578"/>
      <c r="AG768" s="3576"/>
      <c r="AH768" s="3576"/>
      <c r="AI768" s="3580"/>
      <c r="AJ768" s="3581"/>
      <c r="AK768" s="3582"/>
      <c r="AL768" s="3582"/>
      <c r="AM768" s="3582"/>
      <c r="AN768" s="3582"/>
      <c r="AO768" s="3582"/>
      <c r="AP768" s="3582"/>
      <c r="AQ768" s="3582"/>
      <c r="AR768" s="3576"/>
      <c r="AS768" s="3576"/>
      <c r="AT768" s="3576"/>
      <c r="AU768" s="3576"/>
      <c r="AV768" s="3563"/>
    </row>
    <row r="769" s="3565" customFormat="1" spans="1:48">
      <c r="A769" s="3575"/>
      <c r="B769" s="3576"/>
      <c r="C769" s="3576"/>
      <c r="D769" s="3563"/>
      <c r="E769" s="3563"/>
      <c r="F769" s="3576"/>
      <c r="G769" s="3576"/>
      <c r="H769" s="3563"/>
      <c r="I769" s="3563"/>
      <c r="J769" s="3563"/>
      <c r="K769" s="3563"/>
      <c r="L769" s="3563"/>
      <c r="M769" s="3563"/>
      <c r="N769" s="3577"/>
      <c r="O769" s="3563"/>
      <c r="P769" s="3576"/>
      <c r="Q769" s="3578"/>
      <c r="R769" s="3563"/>
      <c r="S769" s="3563"/>
      <c r="T769" s="3579"/>
      <c r="U769" s="3563"/>
      <c r="V769" s="3563"/>
      <c r="W769" s="3578"/>
      <c r="X769" s="3578"/>
      <c r="Y769" s="3578"/>
      <c r="Z769" s="3578"/>
      <c r="AA769" s="3578"/>
      <c r="AB769" s="3563"/>
      <c r="AC769" s="3578"/>
      <c r="AD769" s="3578"/>
      <c r="AE769" s="3578"/>
      <c r="AF769" s="3578"/>
      <c r="AG769" s="3576"/>
      <c r="AH769" s="3576"/>
      <c r="AI769" s="3580"/>
      <c r="AJ769" s="3581"/>
      <c r="AK769" s="3582"/>
      <c r="AL769" s="3582"/>
      <c r="AM769" s="3582"/>
      <c r="AN769" s="3582"/>
      <c r="AO769" s="3582"/>
      <c r="AP769" s="3582"/>
      <c r="AQ769" s="3582"/>
      <c r="AR769" s="3576"/>
      <c r="AS769" s="3576"/>
      <c r="AT769" s="3576"/>
      <c r="AU769" s="3576"/>
      <c r="AV769" s="3563"/>
    </row>
    <row r="770" s="3565" customFormat="1" spans="1:48">
      <c r="A770" s="3575"/>
      <c r="B770" s="3576"/>
      <c r="C770" s="3576"/>
      <c r="D770" s="3563"/>
      <c r="E770" s="3563"/>
      <c r="F770" s="3576"/>
      <c r="G770" s="3576"/>
      <c r="H770" s="3563"/>
      <c r="I770" s="3563"/>
      <c r="J770" s="3563"/>
      <c r="K770" s="3563"/>
      <c r="L770" s="3563"/>
      <c r="M770" s="3563"/>
      <c r="N770" s="3577"/>
      <c r="O770" s="3563"/>
      <c r="P770" s="3576"/>
      <c r="Q770" s="3578"/>
      <c r="R770" s="3563"/>
      <c r="S770" s="3563"/>
      <c r="T770" s="3579"/>
      <c r="U770" s="3563"/>
      <c r="V770" s="3563"/>
      <c r="W770" s="3578"/>
      <c r="X770" s="3578"/>
      <c r="Y770" s="3578"/>
      <c r="Z770" s="3578"/>
      <c r="AA770" s="3578"/>
      <c r="AB770" s="3563"/>
      <c r="AC770" s="3578"/>
      <c r="AD770" s="3578"/>
      <c r="AE770" s="3578"/>
      <c r="AF770" s="3578"/>
      <c r="AG770" s="3576"/>
      <c r="AH770" s="3576"/>
      <c r="AI770" s="3580"/>
      <c r="AJ770" s="3581"/>
      <c r="AK770" s="3582"/>
      <c r="AL770" s="3582"/>
      <c r="AM770" s="3582"/>
      <c r="AN770" s="3582"/>
      <c r="AO770" s="3582"/>
      <c r="AP770" s="3582"/>
      <c r="AQ770" s="3582"/>
      <c r="AR770" s="3576"/>
      <c r="AS770" s="3576"/>
      <c r="AT770" s="3576"/>
      <c r="AU770" s="3576"/>
      <c r="AV770" s="3563"/>
    </row>
    <row r="771" s="3565" customFormat="1" spans="1:48">
      <c r="A771" s="3575"/>
      <c r="B771" s="3576"/>
      <c r="C771" s="3576"/>
      <c r="D771" s="3563"/>
      <c r="E771" s="3563"/>
      <c r="F771" s="3576"/>
      <c r="G771" s="3576"/>
      <c r="H771" s="3563"/>
      <c r="I771" s="3563"/>
      <c r="J771" s="3563"/>
      <c r="K771" s="3563"/>
      <c r="L771" s="3563"/>
      <c r="M771" s="3563"/>
      <c r="N771" s="3577"/>
      <c r="O771" s="3563"/>
      <c r="P771" s="3576"/>
      <c r="Q771" s="3578"/>
      <c r="R771" s="3563"/>
      <c r="S771" s="3563"/>
      <c r="T771" s="3579"/>
      <c r="U771" s="3563"/>
      <c r="V771" s="3563"/>
      <c r="W771" s="3578"/>
      <c r="X771" s="3578"/>
      <c r="Y771" s="3578"/>
      <c r="Z771" s="3578"/>
      <c r="AA771" s="3578"/>
      <c r="AB771" s="3563"/>
      <c r="AC771" s="3578"/>
      <c r="AD771" s="3578"/>
      <c r="AE771" s="3578"/>
      <c r="AF771" s="3578"/>
      <c r="AG771" s="3576"/>
      <c r="AH771" s="3576"/>
      <c r="AI771" s="3580"/>
      <c r="AJ771" s="3581"/>
      <c r="AK771" s="3582"/>
      <c r="AL771" s="3582"/>
      <c r="AM771" s="3582"/>
      <c r="AN771" s="3582"/>
      <c r="AO771" s="3582"/>
      <c r="AP771" s="3582"/>
      <c r="AQ771" s="3582"/>
      <c r="AR771" s="3576"/>
      <c r="AS771" s="3576"/>
      <c r="AT771" s="3576"/>
      <c r="AU771" s="3576"/>
      <c r="AV771" s="3563"/>
    </row>
    <row r="772" s="3565" customFormat="1" spans="1:48">
      <c r="A772" s="3575"/>
      <c r="B772" s="3576"/>
      <c r="C772" s="3576"/>
      <c r="D772" s="3563"/>
      <c r="E772" s="3563"/>
      <c r="F772" s="3576"/>
      <c r="G772" s="3576"/>
      <c r="H772" s="3563"/>
      <c r="I772" s="3563"/>
      <c r="J772" s="3563"/>
      <c r="K772" s="3563"/>
      <c r="L772" s="3563"/>
      <c r="M772" s="3563"/>
      <c r="N772" s="3577"/>
      <c r="O772" s="3563"/>
      <c r="P772" s="3576"/>
      <c r="Q772" s="3578"/>
      <c r="R772" s="3563"/>
      <c r="S772" s="3563"/>
      <c r="T772" s="3579"/>
      <c r="U772" s="3563"/>
      <c r="V772" s="3563"/>
      <c r="W772" s="3578"/>
      <c r="X772" s="3578"/>
      <c r="Y772" s="3578"/>
      <c r="Z772" s="3578"/>
      <c r="AA772" s="3578"/>
      <c r="AB772" s="3563"/>
      <c r="AC772" s="3578"/>
      <c r="AD772" s="3578"/>
      <c r="AE772" s="3578"/>
      <c r="AF772" s="3578"/>
      <c r="AG772" s="3576"/>
      <c r="AH772" s="3576"/>
      <c r="AI772" s="3580"/>
      <c r="AJ772" s="3581"/>
      <c r="AK772" s="3582"/>
      <c r="AL772" s="3582"/>
      <c r="AM772" s="3582"/>
      <c r="AN772" s="3582"/>
      <c r="AO772" s="3582"/>
      <c r="AP772" s="3582"/>
      <c r="AQ772" s="3582"/>
      <c r="AR772" s="3576"/>
      <c r="AS772" s="3576"/>
      <c r="AT772" s="3576"/>
      <c r="AU772" s="3576"/>
      <c r="AV772" s="3563"/>
    </row>
    <row r="773" s="3565" customFormat="1" spans="1:48">
      <c r="A773" s="3575"/>
      <c r="B773" s="3576"/>
      <c r="C773" s="3576"/>
      <c r="D773" s="3563"/>
      <c r="E773" s="3563"/>
      <c r="F773" s="3576"/>
      <c r="G773" s="3576"/>
      <c r="H773" s="3563"/>
      <c r="I773" s="3563"/>
      <c r="J773" s="3563"/>
      <c r="K773" s="3563"/>
      <c r="L773" s="3563"/>
      <c r="M773" s="3563"/>
      <c r="N773" s="3577"/>
      <c r="O773" s="3563"/>
      <c r="P773" s="3576"/>
      <c r="Q773" s="3578"/>
      <c r="R773" s="3563"/>
      <c r="S773" s="3563"/>
      <c r="T773" s="3579"/>
      <c r="U773" s="3563"/>
      <c r="V773" s="3563"/>
      <c r="W773" s="3578"/>
      <c r="X773" s="3578"/>
      <c r="Y773" s="3578"/>
      <c r="Z773" s="3578"/>
      <c r="AA773" s="3578"/>
      <c r="AB773" s="3563"/>
      <c r="AC773" s="3578"/>
      <c r="AD773" s="3578"/>
      <c r="AE773" s="3578"/>
      <c r="AF773" s="3578"/>
      <c r="AG773" s="3576"/>
      <c r="AH773" s="3576"/>
      <c r="AI773" s="3580"/>
      <c r="AJ773" s="3581"/>
      <c r="AK773" s="3582"/>
      <c r="AL773" s="3582"/>
      <c r="AM773" s="3582"/>
      <c r="AN773" s="3582"/>
      <c r="AO773" s="3582"/>
      <c r="AP773" s="3582"/>
      <c r="AQ773" s="3582"/>
      <c r="AR773" s="3576"/>
      <c r="AS773" s="3576"/>
      <c r="AT773" s="3576"/>
      <c r="AU773" s="3576"/>
      <c r="AV773" s="3563"/>
    </row>
    <row r="774" s="3565" customFormat="1" spans="1:48">
      <c r="A774" s="3575"/>
      <c r="B774" s="3576"/>
      <c r="C774" s="3576"/>
      <c r="D774" s="3563"/>
      <c r="E774" s="3563"/>
      <c r="F774" s="3576"/>
      <c r="G774" s="3576"/>
      <c r="H774" s="3563"/>
      <c r="I774" s="3563"/>
      <c r="J774" s="3563"/>
      <c r="K774" s="3563"/>
      <c r="L774" s="3563"/>
      <c r="M774" s="3563"/>
      <c r="N774" s="3577"/>
      <c r="O774" s="3563"/>
      <c r="P774" s="3576"/>
      <c r="Q774" s="3578"/>
      <c r="R774" s="3563"/>
      <c r="S774" s="3563"/>
      <c r="T774" s="3579"/>
      <c r="U774" s="3563"/>
      <c r="V774" s="3563"/>
      <c r="W774" s="3578"/>
      <c r="X774" s="3578"/>
      <c r="Y774" s="3578"/>
      <c r="Z774" s="3578"/>
      <c r="AA774" s="3578"/>
      <c r="AB774" s="3563"/>
      <c r="AC774" s="3578"/>
      <c r="AD774" s="3578"/>
      <c r="AE774" s="3578"/>
      <c r="AF774" s="3578"/>
      <c r="AG774" s="3576"/>
      <c r="AH774" s="3576"/>
      <c r="AI774" s="3580"/>
      <c r="AJ774" s="3581"/>
      <c r="AK774" s="3582"/>
      <c r="AL774" s="3582"/>
      <c r="AM774" s="3582"/>
      <c r="AN774" s="3582"/>
      <c r="AO774" s="3582"/>
      <c r="AP774" s="3582"/>
      <c r="AQ774" s="3582"/>
      <c r="AR774" s="3576"/>
      <c r="AS774" s="3576"/>
      <c r="AT774" s="3576"/>
      <c r="AU774" s="3576"/>
      <c r="AV774" s="3563"/>
    </row>
    <row r="775" s="3565" customFormat="1" spans="1:48">
      <c r="A775" s="3575"/>
      <c r="B775" s="3576"/>
      <c r="C775" s="3576"/>
      <c r="D775" s="3563"/>
      <c r="E775" s="3563"/>
      <c r="F775" s="3576"/>
      <c r="G775" s="3576"/>
      <c r="H775" s="3563"/>
      <c r="I775" s="3563"/>
      <c r="J775" s="3563"/>
      <c r="K775" s="3563"/>
      <c r="L775" s="3563"/>
      <c r="M775" s="3563"/>
      <c r="N775" s="3577"/>
      <c r="O775" s="3563"/>
      <c r="P775" s="3576"/>
      <c r="Q775" s="3578"/>
      <c r="R775" s="3563"/>
      <c r="S775" s="3563"/>
      <c r="T775" s="3579"/>
      <c r="U775" s="3563"/>
      <c r="V775" s="3563"/>
      <c r="W775" s="3578"/>
      <c r="X775" s="3578"/>
      <c r="Y775" s="3578"/>
      <c r="Z775" s="3578"/>
      <c r="AA775" s="3578"/>
      <c r="AB775" s="3563"/>
      <c r="AC775" s="3578"/>
      <c r="AD775" s="3578"/>
      <c r="AE775" s="3578"/>
      <c r="AF775" s="3578"/>
      <c r="AG775" s="3576"/>
      <c r="AH775" s="3576"/>
      <c r="AI775" s="3580"/>
      <c r="AJ775" s="3581"/>
      <c r="AK775" s="3582"/>
      <c r="AL775" s="3582"/>
      <c r="AM775" s="3582"/>
      <c r="AN775" s="3582"/>
      <c r="AO775" s="3582"/>
      <c r="AP775" s="3582"/>
      <c r="AQ775" s="3582"/>
      <c r="AR775" s="3576"/>
      <c r="AS775" s="3576"/>
      <c r="AT775" s="3576"/>
      <c r="AU775" s="3576"/>
      <c r="AV775" s="3563"/>
    </row>
    <row r="776" s="3565" customFormat="1" spans="1:48">
      <c r="A776" s="3575"/>
      <c r="B776" s="3576"/>
      <c r="C776" s="3576"/>
      <c r="D776" s="3563"/>
      <c r="E776" s="3563"/>
      <c r="F776" s="3576"/>
      <c r="G776" s="3576"/>
      <c r="H776" s="3563"/>
      <c r="I776" s="3563"/>
      <c r="J776" s="3563"/>
      <c r="K776" s="3563"/>
      <c r="L776" s="3563"/>
      <c r="M776" s="3563"/>
      <c r="N776" s="3577"/>
      <c r="O776" s="3563"/>
      <c r="P776" s="3576"/>
      <c r="Q776" s="3578"/>
      <c r="R776" s="3563"/>
      <c r="S776" s="3563"/>
      <c r="T776" s="3579"/>
      <c r="U776" s="3563"/>
      <c r="V776" s="3563"/>
      <c r="W776" s="3578"/>
      <c r="X776" s="3578"/>
      <c r="Y776" s="3578"/>
      <c r="Z776" s="3578"/>
      <c r="AA776" s="3578"/>
      <c r="AB776" s="3563"/>
      <c r="AC776" s="3578"/>
      <c r="AD776" s="3578"/>
      <c r="AE776" s="3578"/>
      <c r="AF776" s="3578"/>
      <c r="AG776" s="3576"/>
      <c r="AH776" s="3576"/>
      <c r="AI776" s="3580"/>
      <c r="AJ776" s="3581"/>
      <c r="AK776" s="3582"/>
      <c r="AL776" s="3582"/>
      <c r="AM776" s="3582"/>
      <c r="AN776" s="3582"/>
      <c r="AO776" s="3582"/>
      <c r="AP776" s="3582"/>
      <c r="AQ776" s="3582"/>
      <c r="AR776" s="3576"/>
      <c r="AS776" s="3576"/>
      <c r="AT776" s="3576"/>
      <c r="AU776" s="3576"/>
      <c r="AV776" s="3563"/>
    </row>
    <row r="777" s="3565" customFormat="1" spans="1:48">
      <c r="A777" s="3575"/>
      <c r="B777" s="3576"/>
      <c r="C777" s="3576"/>
      <c r="D777" s="3563"/>
      <c r="E777" s="3563"/>
      <c r="F777" s="3576"/>
      <c r="G777" s="3576"/>
      <c r="H777" s="3563"/>
      <c r="I777" s="3563"/>
      <c r="J777" s="3563"/>
      <c r="K777" s="3563"/>
      <c r="L777" s="3563"/>
      <c r="M777" s="3563"/>
      <c r="N777" s="3577"/>
      <c r="O777" s="3563"/>
      <c r="P777" s="3576"/>
      <c r="Q777" s="3578"/>
      <c r="R777" s="3563"/>
      <c r="S777" s="3563"/>
      <c r="T777" s="3579"/>
      <c r="U777" s="3563"/>
      <c r="V777" s="3563"/>
      <c r="W777" s="3578"/>
      <c r="X777" s="3578"/>
      <c r="Y777" s="3578"/>
      <c r="Z777" s="3578"/>
      <c r="AA777" s="3578"/>
      <c r="AB777" s="3563"/>
      <c r="AC777" s="3578"/>
      <c r="AD777" s="3578"/>
      <c r="AE777" s="3578"/>
      <c r="AF777" s="3578"/>
      <c r="AG777" s="3576"/>
      <c r="AH777" s="3576"/>
      <c r="AI777" s="3580"/>
      <c r="AJ777" s="3581"/>
      <c r="AK777" s="3582"/>
      <c r="AL777" s="3582"/>
      <c r="AM777" s="3582"/>
      <c r="AN777" s="3582"/>
      <c r="AO777" s="3582"/>
      <c r="AP777" s="3582"/>
      <c r="AQ777" s="3582"/>
      <c r="AR777" s="3576"/>
      <c r="AS777" s="3576"/>
      <c r="AT777" s="3576"/>
      <c r="AU777" s="3576"/>
      <c r="AV777" s="3563"/>
    </row>
    <row r="778" s="3565" customFormat="1" spans="1:48">
      <c r="A778" s="3575"/>
      <c r="B778" s="3576"/>
      <c r="C778" s="3576"/>
      <c r="D778" s="3563"/>
      <c r="E778" s="3563"/>
      <c r="F778" s="3576"/>
      <c r="G778" s="3576"/>
      <c r="H778" s="3563"/>
      <c r="I778" s="3563"/>
      <c r="J778" s="3563"/>
      <c r="K778" s="3563"/>
      <c r="L778" s="3563"/>
      <c r="M778" s="3563"/>
      <c r="N778" s="3577"/>
      <c r="O778" s="3563"/>
      <c r="P778" s="3576"/>
      <c r="Q778" s="3578"/>
      <c r="R778" s="3563"/>
      <c r="S778" s="3563"/>
      <c r="T778" s="3579"/>
      <c r="U778" s="3563"/>
      <c r="V778" s="3563"/>
      <c r="W778" s="3578"/>
      <c r="X778" s="3578"/>
      <c r="Y778" s="3578"/>
      <c r="Z778" s="3578"/>
      <c r="AA778" s="3578"/>
      <c r="AB778" s="3563"/>
      <c r="AC778" s="3578"/>
      <c r="AD778" s="3578"/>
      <c r="AE778" s="3578"/>
      <c r="AF778" s="3578"/>
      <c r="AG778" s="3576"/>
      <c r="AH778" s="3576"/>
      <c r="AI778" s="3580"/>
      <c r="AJ778" s="3581"/>
      <c r="AK778" s="3582"/>
      <c r="AL778" s="3582"/>
      <c r="AM778" s="3582"/>
      <c r="AN778" s="3582"/>
      <c r="AO778" s="3582"/>
      <c r="AP778" s="3582"/>
      <c r="AQ778" s="3582"/>
      <c r="AR778" s="3576"/>
      <c r="AS778" s="3576"/>
      <c r="AT778" s="3576"/>
      <c r="AU778" s="3576"/>
      <c r="AV778" s="3563"/>
    </row>
    <row r="779" s="3565" customFormat="1" spans="1:48">
      <c r="A779" s="3575"/>
      <c r="B779" s="3576"/>
      <c r="C779" s="3576"/>
      <c r="D779" s="3563"/>
      <c r="E779" s="3563"/>
      <c r="F779" s="3576"/>
      <c r="G779" s="3576"/>
      <c r="H779" s="3563"/>
      <c r="I779" s="3563"/>
      <c r="J779" s="3563"/>
      <c r="K779" s="3563"/>
      <c r="L779" s="3563"/>
      <c r="M779" s="3563"/>
      <c r="N779" s="3577"/>
      <c r="O779" s="3563"/>
      <c r="P779" s="3576"/>
      <c r="Q779" s="3578"/>
      <c r="R779" s="3563"/>
      <c r="S779" s="3563"/>
      <c r="T779" s="3579"/>
      <c r="U779" s="3563"/>
      <c r="V779" s="3563"/>
      <c r="W779" s="3578"/>
      <c r="X779" s="3578"/>
      <c r="Y779" s="3578"/>
      <c r="Z779" s="3578"/>
      <c r="AA779" s="3578"/>
      <c r="AB779" s="3563"/>
      <c r="AC779" s="3578"/>
      <c r="AD779" s="3578"/>
      <c r="AE779" s="3578"/>
      <c r="AF779" s="3578"/>
      <c r="AG779" s="3576"/>
      <c r="AH779" s="3576"/>
      <c r="AI779" s="3580"/>
      <c r="AJ779" s="3581"/>
      <c r="AK779" s="3582"/>
      <c r="AL779" s="3582"/>
      <c r="AM779" s="3582"/>
      <c r="AN779" s="3582"/>
      <c r="AO779" s="3582"/>
      <c r="AP779" s="3582"/>
      <c r="AQ779" s="3582"/>
      <c r="AR779" s="3576"/>
      <c r="AS779" s="3576"/>
      <c r="AT779" s="3576"/>
      <c r="AU779" s="3576"/>
      <c r="AV779" s="3563"/>
    </row>
    <row r="780" s="3565" customFormat="1" spans="1:48">
      <c r="A780" s="3575"/>
      <c r="B780" s="3576"/>
      <c r="C780" s="3576"/>
      <c r="D780" s="3563"/>
      <c r="E780" s="3563"/>
      <c r="F780" s="3576"/>
      <c r="G780" s="3576"/>
      <c r="H780" s="3563"/>
      <c r="I780" s="3563"/>
      <c r="J780" s="3563"/>
      <c r="K780" s="3563"/>
      <c r="L780" s="3563"/>
      <c r="M780" s="3563"/>
      <c r="N780" s="3577"/>
      <c r="O780" s="3563"/>
      <c r="P780" s="3576"/>
      <c r="Q780" s="3578"/>
      <c r="R780" s="3563"/>
      <c r="S780" s="3563"/>
      <c r="T780" s="3579"/>
      <c r="U780" s="3563"/>
      <c r="V780" s="3563"/>
      <c r="W780" s="3578"/>
      <c r="X780" s="3578"/>
      <c r="Y780" s="3578"/>
      <c r="Z780" s="3578"/>
      <c r="AA780" s="3578"/>
      <c r="AB780" s="3563"/>
      <c r="AC780" s="3578"/>
      <c r="AD780" s="3578"/>
      <c r="AE780" s="3578"/>
      <c r="AF780" s="3578"/>
      <c r="AG780" s="3576"/>
      <c r="AH780" s="3576"/>
      <c r="AI780" s="3580"/>
      <c r="AJ780" s="3581"/>
      <c r="AK780" s="3582"/>
      <c r="AL780" s="3582"/>
      <c r="AM780" s="3582"/>
      <c r="AN780" s="3582"/>
      <c r="AO780" s="3582"/>
      <c r="AP780" s="3582"/>
      <c r="AQ780" s="3582"/>
      <c r="AR780" s="3576"/>
      <c r="AS780" s="3576"/>
      <c r="AT780" s="3576"/>
      <c r="AU780" s="3576"/>
      <c r="AV780" s="3563"/>
    </row>
    <row r="781" s="3565" customFormat="1" spans="1:48">
      <c r="A781" s="3575"/>
      <c r="B781" s="3576"/>
      <c r="C781" s="3576"/>
      <c r="D781" s="3563"/>
      <c r="E781" s="3563"/>
      <c r="F781" s="3576"/>
      <c r="G781" s="3576"/>
      <c r="H781" s="3563"/>
      <c r="I781" s="3563"/>
      <c r="J781" s="3563"/>
      <c r="K781" s="3563"/>
      <c r="L781" s="3563"/>
      <c r="M781" s="3563"/>
      <c r="N781" s="3577"/>
      <c r="O781" s="3563"/>
      <c r="P781" s="3576"/>
      <c r="Q781" s="3578"/>
      <c r="R781" s="3563"/>
      <c r="S781" s="3563"/>
      <c r="T781" s="3579"/>
      <c r="U781" s="3563"/>
      <c r="V781" s="3563"/>
      <c r="W781" s="3578"/>
      <c r="X781" s="3578"/>
      <c r="Y781" s="3578"/>
      <c r="Z781" s="3578"/>
      <c r="AA781" s="3578"/>
      <c r="AB781" s="3563"/>
      <c r="AC781" s="3578"/>
      <c r="AD781" s="3578"/>
      <c r="AE781" s="3578"/>
      <c r="AF781" s="3578"/>
      <c r="AG781" s="3576"/>
      <c r="AH781" s="3576"/>
      <c r="AI781" s="3580"/>
      <c r="AJ781" s="3581"/>
      <c r="AK781" s="3582"/>
      <c r="AL781" s="3582"/>
      <c r="AM781" s="3582"/>
      <c r="AN781" s="3582"/>
      <c r="AO781" s="3582"/>
      <c r="AP781" s="3582"/>
      <c r="AQ781" s="3582"/>
      <c r="AR781" s="3576"/>
      <c r="AS781" s="3576"/>
      <c r="AT781" s="3576"/>
      <c r="AU781" s="3576"/>
      <c r="AV781" s="3563"/>
    </row>
    <row r="782" s="3565" customFormat="1" spans="1:48">
      <c r="A782" s="3575"/>
      <c r="B782" s="3576"/>
      <c r="C782" s="3576"/>
      <c r="D782" s="3563"/>
      <c r="E782" s="3563"/>
      <c r="F782" s="3576"/>
      <c r="G782" s="3576"/>
      <c r="H782" s="3563"/>
      <c r="I782" s="3563"/>
      <c r="J782" s="3563"/>
      <c r="K782" s="3563"/>
      <c r="L782" s="3563"/>
      <c r="M782" s="3563"/>
      <c r="N782" s="3577"/>
      <c r="O782" s="3563"/>
      <c r="P782" s="3576"/>
      <c r="Q782" s="3578"/>
      <c r="R782" s="3563"/>
      <c r="S782" s="3563"/>
      <c r="T782" s="3579"/>
      <c r="U782" s="3563"/>
      <c r="V782" s="3563"/>
      <c r="W782" s="3578"/>
      <c r="X782" s="3578"/>
      <c r="Y782" s="3578"/>
      <c r="Z782" s="3578"/>
      <c r="AA782" s="3578"/>
      <c r="AB782" s="3563"/>
      <c r="AC782" s="3578"/>
      <c r="AD782" s="3578"/>
      <c r="AE782" s="3578"/>
      <c r="AF782" s="3578"/>
      <c r="AG782" s="3576"/>
      <c r="AH782" s="3576"/>
      <c r="AI782" s="3580"/>
      <c r="AJ782" s="3581"/>
      <c r="AK782" s="3582"/>
      <c r="AL782" s="3582"/>
      <c r="AM782" s="3582"/>
      <c r="AN782" s="3582"/>
      <c r="AO782" s="3582"/>
      <c r="AP782" s="3582"/>
      <c r="AQ782" s="3582"/>
      <c r="AR782" s="3576"/>
      <c r="AS782" s="3576"/>
      <c r="AT782" s="3576"/>
      <c r="AU782" s="3576"/>
      <c r="AV782" s="3563"/>
    </row>
    <row r="783" s="3565" customFormat="1" spans="1:48">
      <c r="A783" s="3575"/>
      <c r="B783" s="3576"/>
      <c r="C783" s="3576"/>
      <c r="D783" s="3563"/>
      <c r="E783" s="3563"/>
      <c r="F783" s="3576"/>
      <c r="G783" s="3576"/>
      <c r="H783" s="3563"/>
      <c r="I783" s="3563"/>
      <c r="J783" s="3563"/>
      <c r="K783" s="3563"/>
      <c r="L783" s="3563"/>
      <c r="M783" s="3563"/>
      <c r="N783" s="3577"/>
      <c r="O783" s="3563"/>
      <c r="P783" s="3576"/>
      <c r="Q783" s="3578"/>
      <c r="R783" s="3563"/>
      <c r="S783" s="3563"/>
      <c r="T783" s="3579"/>
      <c r="U783" s="3563"/>
      <c r="V783" s="3563"/>
      <c r="W783" s="3578"/>
      <c r="X783" s="3578"/>
      <c r="Y783" s="3578"/>
      <c r="Z783" s="3578"/>
      <c r="AA783" s="3578"/>
      <c r="AB783" s="3563"/>
      <c r="AC783" s="3578"/>
      <c r="AD783" s="3578"/>
      <c r="AE783" s="3578"/>
      <c r="AF783" s="3578"/>
      <c r="AG783" s="3576"/>
      <c r="AH783" s="3576"/>
      <c r="AI783" s="3580"/>
      <c r="AJ783" s="3581"/>
      <c r="AK783" s="3582"/>
      <c r="AL783" s="3582"/>
      <c r="AM783" s="3582"/>
      <c r="AN783" s="3582"/>
      <c r="AO783" s="3582"/>
      <c r="AP783" s="3582"/>
      <c r="AQ783" s="3582"/>
      <c r="AR783" s="3576"/>
      <c r="AS783" s="3576"/>
      <c r="AT783" s="3576"/>
      <c r="AU783" s="3576"/>
      <c r="AV783" s="3563"/>
    </row>
    <row r="784" s="3565" customFormat="1" spans="1:48">
      <c r="A784" s="3575"/>
      <c r="B784" s="3576"/>
      <c r="C784" s="3576"/>
      <c r="D784" s="3563"/>
      <c r="E784" s="3563"/>
      <c r="F784" s="3576"/>
      <c r="G784" s="3576"/>
      <c r="H784" s="3563"/>
      <c r="I784" s="3563"/>
      <c r="J784" s="3563"/>
      <c r="K784" s="3563"/>
      <c r="L784" s="3563"/>
      <c r="M784" s="3563"/>
      <c r="N784" s="3577"/>
      <c r="O784" s="3563"/>
      <c r="P784" s="3576"/>
      <c r="Q784" s="3578"/>
      <c r="R784" s="3563"/>
      <c r="S784" s="3563"/>
      <c r="T784" s="3579"/>
      <c r="U784" s="3563"/>
      <c r="V784" s="3563"/>
      <c r="W784" s="3578"/>
      <c r="X784" s="3578"/>
      <c r="Y784" s="3578"/>
      <c r="Z784" s="3578"/>
      <c r="AA784" s="3578"/>
      <c r="AB784" s="3563"/>
      <c r="AC784" s="3578"/>
      <c r="AD784" s="3578"/>
      <c r="AE784" s="3578"/>
      <c r="AF784" s="3578"/>
      <c r="AG784" s="3576"/>
      <c r="AH784" s="3576"/>
      <c r="AI784" s="3580"/>
      <c r="AJ784" s="3581"/>
      <c r="AK784" s="3582"/>
      <c r="AL784" s="3582"/>
      <c r="AM784" s="3582"/>
      <c r="AN784" s="3582"/>
      <c r="AO784" s="3582"/>
      <c r="AP784" s="3582"/>
      <c r="AQ784" s="3582"/>
      <c r="AR784" s="3576"/>
      <c r="AS784" s="3576"/>
      <c r="AT784" s="3576"/>
      <c r="AU784" s="3576"/>
      <c r="AV784" s="3563"/>
    </row>
    <row r="785" s="3565" customFormat="1" spans="1:48">
      <c r="A785" s="3575"/>
      <c r="B785" s="3576"/>
      <c r="C785" s="3576"/>
      <c r="D785" s="3563"/>
      <c r="E785" s="3563"/>
      <c r="F785" s="3576"/>
      <c r="G785" s="3576"/>
      <c r="H785" s="3563"/>
      <c r="I785" s="3563"/>
      <c r="J785" s="3563"/>
      <c r="K785" s="3563"/>
      <c r="L785" s="3563"/>
      <c r="M785" s="3563"/>
      <c r="N785" s="3577"/>
      <c r="O785" s="3563"/>
      <c r="P785" s="3576"/>
      <c r="Q785" s="3578"/>
      <c r="R785" s="3563"/>
      <c r="S785" s="3563"/>
      <c r="T785" s="3579"/>
      <c r="U785" s="3563"/>
      <c r="V785" s="3563"/>
      <c r="W785" s="3578"/>
      <c r="X785" s="3578"/>
      <c r="Y785" s="3578"/>
      <c r="Z785" s="3578"/>
      <c r="AA785" s="3578"/>
      <c r="AB785" s="3563"/>
      <c r="AC785" s="3578"/>
      <c r="AD785" s="3578"/>
      <c r="AE785" s="3578"/>
      <c r="AF785" s="3578"/>
      <c r="AG785" s="3576"/>
      <c r="AH785" s="3576"/>
      <c r="AI785" s="3580"/>
      <c r="AJ785" s="3581"/>
      <c r="AK785" s="3582"/>
      <c r="AL785" s="3582"/>
      <c r="AM785" s="3582"/>
      <c r="AN785" s="3582"/>
      <c r="AO785" s="3582"/>
      <c r="AP785" s="3582"/>
      <c r="AQ785" s="3582"/>
      <c r="AR785" s="3576"/>
      <c r="AS785" s="3576"/>
      <c r="AT785" s="3576"/>
      <c r="AU785" s="3576"/>
      <c r="AV785" s="3563"/>
    </row>
    <row r="786" s="3565" customFormat="1" spans="1:48">
      <c r="A786" s="3575"/>
      <c r="B786" s="3576"/>
      <c r="C786" s="3576"/>
      <c r="D786" s="3563"/>
      <c r="E786" s="3563"/>
      <c r="F786" s="3576"/>
      <c r="G786" s="3576"/>
      <c r="H786" s="3563"/>
      <c r="I786" s="3563"/>
      <c r="J786" s="3563"/>
      <c r="K786" s="3563"/>
      <c r="L786" s="3563"/>
      <c r="M786" s="3563"/>
      <c r="N786" s="3577"/>
      <c r="O786" s="3563"/>
      <c r="P786" s="3576"/>
      <c r="Q786" s="3578"/>
      <c r="R786" s="3563"/>
      <c r="S786" s="3563"/>
      <c r="T786" s="3579"/>
      <c r="U786" s="3563"/>
      <c r="V786" s="3563"/>
      <c r="W786" s="3578"/>
      <c r="X786" s="3578"/>
      <c r="Y786" s="3578"/>
      <c r="Z786" s="3578"/>
      <c r="AA786" s="3578"/>
      <c r="AB786" s="3563"/>
      <c r="AC786" s="3578"/>
      <c r="AD786" s="3578"/>
      <c r="AE786" s="3578"/>
      <c r="AF786" s="3578"/>
      <c r="AG786" s="3576"/>
      <c r="AH786" s="3576"/>
      <c r="AI786" s="3580"/>
      <c r="AJ786" s="3581"/>
      <c r="AK786" s="3582"/>
      <c r="AL786" s="3582"/>
      <c r="AM786" s="3582"/>
      <c r="AN786" s="3582"/>
      <c r="AO786" s="3582"/>
      <c r="AP786" s="3582"/>
      <c r="AQ786" s="3582"/>
      <c r="AR786" s="3576"/>
      <c r="AS786" s="3576"/>
      <c r="AT786" s="3576"/>
      <c r="AU786" s="3576"/>
      <c r="AV786" s="3563"/>
    </row>
    <row r="787" s="3565" customFormat="1" spans="1:48">
      <c r="A787" s="3575"/>
      <c r="B787" s="3576"/>
      <c r="C787" s="3576"/>
      <c r="D787" s="3563"/>
      <c r="E787" s="3563"/>
      <c r="F787" s="3576"/>
      <c r="G787" s="3576"/>
      <c r="H787" s="3563"/>
      <c r="I787" s="3563"/>
      <c r="J787" s="3563"/>
      <c r="K787" s="3563"/>
      <c r="L787" s="3563"/>
      <c r="M787" s="3563"/>
      <c r="N787" s="3577"/>
      <c r="O787" s="3563"/>
      <c r="P787" s="3576"/>
      <c r="Q787" s="3578"/>
      <c r="R787" s="3563"/>
      <c r="S787" s="3563"/>
      <c r="T787" s="3579"/>
      <c r="U787" s="3563"/>
      <c r="V787" s="3563"/>
      <c r="W787" s="3578"/>
      <c r="X787" s="3578"/>
      <c r="Y787" s="3578"/>
      <c r="Z787" s="3578"/>
      <c r="AA787" s="3578"/>
      <c r="AB787" s="3563"/>
      <c r="AC787" s="3578"/>
      <c r="AD787" s="3578"/>
      <c r="AE787" s="3578"/>
      <c r="AF787" s="3578"/>
      <c r="AG787" s="3576"/>
      <c r="AH787" s="3576"/>
      <c r="AI787" s="3580"/>
      <c r="AJ787" s="3581"/>
      <c r="AK787" s="3582"/>
      <c r="AL787" s="3582"/>
      <c r="AM787" s="3582"/>
      <c r="AN787" s="3582"/>
      <c r="AO787" s="3582"/>
      <c r="AP787" s="3582"/>
      <c r="AQ787" s="3582"/>
      <c r="AR787" s="3576"/>
      <c r="AS787" s="3576"/>
      <c r="AT787" s="3576"/>
      <c r="AU787" s="3576"/>
      <c r="AV787" s="3563"/>
    </row>
    <row r="788" s="3565" customFormat="1" spans="1:48">
      <c r="A788" s="3575"/>
      <c r="B788" s="3576"/>
      <c r="C788" s="3576"/>
      <c r="D788" s="3563"/>
      <c r="E788" s="3563"/>
      <c r="F788" s="3576"/>
      <c r="G788" s="3576"/>
      <c r="H788" s="3563"/>
      <c r="I788" s="3563"/>
      <c r="J788" s="3563"/>
      <c r="K788" s="3563"/>
      <c r="L788" s="3563"/>
      <c r="M788" s="3563"/>
      <c r="N788" s="3577"/>
      <c r="O788" s="3563"/>
      <c r="P788" s="3576"/>
      <c r="Q788" s="3578"/>
      <c r="R788" s="3563"/>
      <c r="S788" s="3563"/>
      <c r="T788" s="3579"/>
      <c r="U788" s="3563"/>
      <c r="V788" s="3563"/>
      <c r="W788" s="3578"/>
      <c r="X788" s="3578"/>
      <c r="Y788" s="3578"/>
      <c r="Z788" s="3578"/>
      <c r="AA788" s="3578"/>
      <c r="AB788" s="3563"/>
      <c r="AC788" s="3578"/>
      <c r="AD788" s="3578"/>
      <c r="AE788" s="3578"/>
      <c r="AF788" s="3578"/>
      <c r="AG788" s="3576"/>
      <c r="AH788" s="3576"/>
      <c r="AI788" s="3580"/>
      <c r="AJ788" s="3581"/>
      <c r="AK788" s="3582"/>
      <c r="AL788" s="3582"/>
      <c r="AM788" s="3582"/>
      <c r="AN788" s="3582"/>
      <c r="AO788" s="3582"/>
      <c r="AP788" s="3582"/>
      <c r="AQ788" s="3582"/>
      <c r="AR788" s="3576"/>
      <c r="AS788" s="3576"/>
      <c r="AT788" s="3576"/>
      <c r="AU788" s="3576"/>
      <c r="AV788" s="3563"/>
    </row>
    <row r="789" s="3565" customFormat="1" spans="1:48">
      <c r="A789" s="3575"/>
      <c r="B789" s="3576"/>
      <c r="C789" s="3576"/>
      <c r="D789" s="3563"/>
      <c r="E789" s="3563"/>
      <c r="F789" s="3576"/>
      <c r="G789" s="3576"/>
      <c r="H789" s="3563"/>
      <c r="I789" s="3563"/>
      <c r="J789" s="3563"/>
      <c r="K789" s="3563"/>
      <c r="L789" s="3563"/>
      <c r="M789" s="3563"/>
      <c r="N789" s="3577"/>
      <c r="O789" s="3563"/>
      <c r="P789" s="3576"/>
      <c r="Q789" s="3578"/>
      <c r="R789" s="3563"/>
      <c r="S789" s="3563"/>
      <c r="T789" s="3579"/>
      <c r="U789" s="3563"/>
      <c r="V789" s="3563"/>
      <c r="W789" s="3578"/>
      <c r="X789" s="3578"/>
      <c r="Y789" s="3578"/>
      <c r="Z789" s="3578"/>
      <c r="AA789" s="3578"/>
      <c r="AB789" s="3563"/>
      <c r="AC789" s="3578"/>
      <c r="AD789" s="3578"/>
      <c r="AE789" s="3578"/>
      <c r="AF789" s="3578"/>
      <c r="AG789" s="3576"/>
      <c r="AH789" s="3576"/>
      <c r="AI789" s="3580"/>
      <c r="AJ789" s="3581"/>
      <c r="AK789" s="3582"/>
      <c r="AL789" s="3582"/>
      <c r="AM789" s="3582"/>
      <c r="AN789" s="3582"/>
      <c r="AO789" s="3582"/>
      <c r="AP789" s="3582"/>
      <c r="AQ789" s="3582"/>
      <c r="AR789" s="3576"/>
      <c r="AS789" s="3576"/>
      <c r="AT789" s="3576"/>
      <c r="AU789" s="3576"/>
      <c r="AV789" s="3563"/>
    </row>
    <row r="790" s="3565" customFormat="1" spans="1:48">
      <c r="A790" s="3575"/>
      <c r="B790" s="3576"/>
      <c r="C790" s="3576"/>
      <c r="D790" s="3563"/>
      <c r="E790" s="3563"/>
      <c r="F790" s="3576"/>
      <c r="G790" s="3576"/>
      <c r="H790" s="3563"/>
      <c r="I790" s="3563"/>
      <c r="J790" s="3563"/>
      <c r="K790" s="3563"/>
      <c r="L790" s="3563"/>
      <c r="M790" s="3563"/>
      <c r="N790" s="3577"/>
      <c r="O790" s="3563"/>
      <c r="P790" s="3576"/>
      <c r="Q790" s="3578"/>
      <c r="R790" s="3563"/>
      <c r="S790" s="3563"/>
      <c r="T790" s="3579"/>
      <c r="U790" s="3563"/>
      <c r="V790" s="3563"/>
      <c r="W790" s="3578"/>
      <c r="X790" s="3578"/>
      <c r="Y790" s="3578"/>
      <c r="Z790" s="3578"/>
      <c r="AA790" s="3578"/>
      <c r="AB790" s="3563"/>
      <c r="AC790" s="3578"/>
      <c r="AD790" s="3578"/>
      <c r="AE790" s="3578"/>
      <c r="AF790" s="3578"/>
      <c r="AG790" s="3576"/>
      <c r="AH790" s="3576"/>
      <c r="AI790" s="3580"/>
      <c r="AJ790" s="3581"/>
      <c r="AK790" s="3582"/>
      <c r="AL790" s="3582"/>
      <c r="AM790" s="3582"/>
      <c r="AN790" s="3582"/>
      <c r="AO790" s="3582"/>
      <c r="AP790" s="3582"/>
      <c r="AQ790" s="3582"/>
      <c r="AR790" s="3576"/>
      <c r="AS790" s="3576"/>
      <c r="AT790" s="3576"/>
      <c r="AU790" s="3576"/>
      <c r="AV790" s="3563"/>
    </row>
    <row r="791" s="3565" customFormat="1" spans="1:48">
      <c r="A791" s="3575"/>
      <c r="B791" s="3576"/>
      <c r="C791" s="3576"/>
      <c r="D791" s="3563"/>
      <c r="E791" s="3563"/>
      <c r="F791" s="3576"/>
      <c r="G791" s="3576"/>
      <c r="H791" s="3563"/>
      <c r="I791" s="3563"/>
      <c r="J791" s="3563"/>
      <c r="K791" s="3563"/>
      <c r="L791" s="3563"/>
      <c r="M791" s="3563"/>
      <c r="N791" s="3577"/>
      <c r="O791" s="3563"/>
      <c r="P791" s="3576"/>
      <c r="Q791" s="3578"/>
      <c r="R791" s="3563"/>
      <c r="S791" s="3563"/>
      <c r="T791" s="3579"/>
      <c r="U791" s="3563"/>
      <c r="V791" s="3563"/>
      <c r="W791" s="3578"/>
      <c r="X791" s="3578"/>
      <c r="Y791" s="3578"/>
      <c r="Z791" s="3578"/>
      <c r="AA791" s="3578"/>
      <c r="AB791" s="3563"/>
      <c r="AC791" s="3578"/>
      <c r="AD791" s="3578"/>
      <c r="AE791" s="3578"/>
      <c r="AF791" s="3578"/>
      <c r="AG791" s="3576"/>
      <c r="AH791" s="3576"/>
      <c r="AI791" s="3580"/>
      <c r="AJ791" s="3581"/>
      <c r="AK791" s="3582"/>
      <c r="AL791" s="3582"/>
      <c r="AM791" s="3582"/>
      <c r="AN791" s="3582"/>
      <c r="AO791" s="3582"/>
      <c r="AP791" s="3582"/>
      <c r="AQ791" s="3582"/>
      <c r="AR791" s="3576"/>
      <c r="AS791" s="3576"/>
      <c r="AT791" s="3576"/>
      <c r="AU791" s="3576"/>
      <c r="AV791" s="3563"/>
    </row>
    <row r="792" s="3565" customFormat="1" spans="1:48">
      <c r="A792" s="3575"/>
      <c r="B792" s="3576"/>
      <c r="C792" s="3576"/>
      <c r="D792" s="3563"/>
      <c r="E792" s="3563"/>
      <c r="F792" s="3576"/>
      <c r="G792" s="3576"/>
      <c r="H792" s="3563"/>
      <c r="I792" s="3563"/>
      <c r="J792" s="3563"/>
      <c r="K792" s="3563"/>
      <c r="L792" s="3563"/>
      <c r="M792" s="3563"/>
      <c r="N792" s="3577"/>
      <c r="O792" s="3563"/>
      <c r="P792" s="3576"/>
      <c r="Q792" s="3578"/>
      <c r="R792" s="3563"/>
      <c r="S792" s="3563"/>
      <c r="T792" s="3579"/>
      <c r="U792" s="3563"/>
      <c r="V792" s="3563"/>
      <c r="W792" s="3578"/>
      <c r="X792" s="3578"/>
      <c r="Y792" s="3578"/>
      <c r="Z792" s="3578"/>
      <c r="AA792" s="3578"/>
      <c r="AB792" s="3563"/>
      <c r="AC792" s="3578"/>
      <c r="AD792" s="3578"/>
      <c r="AE792" s="3578"/>
      <c r="AF792" s="3578"/>
      <c r="AG792" s="3576"/>
      <c r="AH792" s="3576"/>
      <c r="AI792" s="3580"/>
      <c r="AJ792" s="3581"/>
      <c r="AK792" s="3582"/>
      <c r="AL792" s="3582"/>
      <c r="AM792" s="3582"/>
      <c r="AN792" s="3582"/>
      <c r="AO792" s="3582"/>
      <c r="AP792" s="3582"/>
      <c r="AQ792" s="3582"/>
      <c r="AR792" s="3576"/>
      <c r="AS792" s="3576"/>
      <c r="AT792" s="3576"/>
      <c r="AU792" s="3576"/>
      <c r="AV792" s="3563"/>
    </row>
    <row r="793" s="3565" customFormat="1" spans="1:48">
      <c r="A793" s="3575"/>
      <c r="B793" s="3576"/>
      <c r="C793" s="3576"/>
      <c r="D793" s="3563"/>
      <c r="E793" s="3563"/>
      <c r="F793" s="3576"/>
      <c r="G793" s="3576"/>
      <c r="H793" s="3563"/>
      <c r="I793" s="3563"/>
      <c r="J793" s="3563"/>
      <c r="K793" s="3563"/>
      <c r="L793" s="3563"/>
      <c r="M793" s="3563"/>
      <c r="N793" s="3577"/>
      <c r="O793" s="3563"/>
      <c r="P793" s="3576"/>
      <c r="Q793" s="3578"/>
      <c r="R793" s="3563"/>
      <c r="S793" s="3563"/>
      <c r="T793" s="3579"/>
      <c r="U793" s="3563"/>
      <c r="V793" s="3563"/>
      <c r="W793" s="3578"/>
      <c r="X793" s="3578"/>
      <c r="Y793" s="3578"/>
      <c r="Z793" s="3578"/>
      <c r="AA793" s="3578"/>
      <c r="AB793" s="3563"/>
      <c r="AC793" s="3578"/>
      <c r="AD793" s="3578"/>
      <c r="AE793" s="3578"/>
      <c r="AF793" s="3578"/>
      <c r="AG793" s="3576"/>
      <c r="AH793" s="3576"/>
      <c r="AI793" s="3580"/>
      <c r="AJ793" s="3581"/>
      <c r="AK793" s="3582"/>
      <c r="AL793" s="3582"/>
      <c r="AM793" s="3582"/>
      <c r="AN793" s="3582"/>
      <c r="AO793" s="3582"/>
      <c r="AP793" s="3582"/>
      <c r="AQ793" s="3582"/>
      <c r="AR793" s="3576"/>
      <c r="AS793" s="3576"/>
      <c r="AT793" s="3576"/>
      <c r="AU793" s="3576"/>
      <c r="AV793" s="3563"/>
    </row>
    <row r="794" s="3565" customFormat="1" spans="1:48">
      <c r="A794" s="3575"/>
      <c r="B794" s="3576"/>
      <c r="C794" s="3576"/>
      <c r="D794" s="3563"/>
      <c r="E794" s="3563"/>
      <c r="F794" s="3576"/>
      <c r="G794" s="3576"/>
      <c r="H794" s="3563"/>
      <c r="I794" s="3563"/>
      <c r="J794" s="3563"/>
      <c r="K794" s="3563"/>
      <c r="L794" s="3563"/>
      <c r="M794" s="3563"/>
      <c r="N794" s="3577"/>
      <c r="O794" s="3563"/>
      <c r="P794" s="3576"/>
      <c r="Q794" s="3578"/>
      <c r="R794" s="3563"/>
      <c r="S794" s="3563"/>
      <c r="T794" s="3579"/>
      <c r="U794" s="3563"/>
      <c r="V794" s="3563"/>
      <c r="W794" s="3578"/>
      <c r="X794" s="3578"/>
      <c r="Y794" s="3578"/>
      <c r="Z794" s="3578"/>
      <c r="AA794" s="3578"/>
      <c r="AB794" s="3563"/>
      <c r="AC794" s="3578"/>
      <c r="AD794" s="3578"/>
      <c r="AE794" s="3578"/>
      <c r="AF794" s="3578"/>
      <c r="AG794" s="3576"/>
      <c r="AH794" s="3576"/>
      <c r="AI794" s="3580"/>
      <c r="AJ794" s="3581"/>
      <c r="AK794" s="3582"/>
      <c r="AL794" s="3582"/>
      <c r="AM794" s="3582"/>
      <c r="AN794" s="3582"/>
      <c r="AO794" s="3582"/>
      <c r="AP794" s="3582"/>
      <c r="AQ794" s="3582"/>
      <c r="AR794" s="3576"/>
      <c r="AS794" s="3576"/>
      <c r="AT794" s="3576"/>
      <c r="AU794" s="3576"/>
      <c r="AV794" s="3563"/>
    </row>
    <row r="795" s="3565" customFormat="1" spans="1:48">
      <c r="A795" s="3575"/>
      <c r="B795" s="3576"/>
      <c r="C795" s="3576"/>
      <c r="D795" s="3563"/>
      <c r="E795" s="3563"/>
      <c r="F795" s="3576"/>
      <c r="G795" s="3576"/>
      <c r="H795" s="3563"/>
      <c r="I795" s="3563"/>
      <c r="J795" s="3563"/>
      <c r="K795" s="3563"/>
      <c r="L795" s="3563"/>
      <c r="M795" s="3563"/>
      <c r="N795" s="3577"/>
      <c r="O795" s="3563"/>
      <c r="P795" s="3576"/>
      <c r="Q795" s="3578"/>
      <c r="R795" s="3563"/>
      <c r="S795" s="3563"/>
      <c r="T795" s="3579"/>
      <c r="U795" s="3563"/>
      <c r="V795" s="3563"/>
      <c r="W795" s="3578"/>
      <c r="X795" s="3578"/>
      <c r="Y795" s="3578"/>
      <c r="Z795" s="3578"/>
      <c r="AA795" s="3578"/>
      <c r="AB795" s="3563"/>
      <c r="AC795" s="3578"/>
      <c r="AD795" s="3578"/>
      <c r="AE795" s="3578"/>
      <c r="AF795" s="3578"/>
      <c r="AG795" s="3576"/>
      <c r="AH795" s="3576"/>
      <c r="AI795" s="3580"/>
      <c r="AJ795" s="3581"/>
      <c r="AK795" s="3582"/>
      <c r="AL795" s="3582"/>
      <c r="AM795" s="3582"/>
      <c r="AN795" s="3582"/>
      <c r="AO795" s="3582"/>
      <c r="AP795" s="3582"/>
      <c r="AQ795" s="3582"/>
      <c r="AR795" s="3576"/>
      <c r="AS795" s="3576"/>
      <c r="AT795" s="3576"/>
      <c r="AU795" s="3576"/>
      <c r="AV795" s="3563"/>
    </row>
    <row r="796" s="3565" customFormat="1" spans="1:48">
      <c r="A796" s="3575"/>
      <c r="B796" s="3576"/>
      <c r="C796" s="3576"/>
      <c r="D796" s="3563"/>
      <c r="E796" s="3563"/>
      <c r="F796" s="3576"/>
      <c r="G796" s="3576"/>
      <c r="H796" s="3563"/>
      <c r="I796" s="3563"/>
      <c r="J796" s="3563"/>
      <c r="K796" s="3563"/>
      <c r="L796" s="3563"/>
      <c r="M796" s="3563"/>
      <c r="N796" s="3577"/>
      <c r="O796" s="3563"/>
      <c r="P796" s="3576"/>
      <c r="Q796" s="3578"/>
      <c r="R796" s="3563"/>
      <c r="S796" s="3563"/>
      <c r="T796" s="3579"/>
      <c r="U796" s="3563"/>
      <c r="V796" s="3563"/>
      <c r="W796" s="3578"/>
      <c r="X796" s="3578"/>
      <c r="Y796" s="3578"/>
      <c r="Z796" s="3578"/>
      <c r="AA796" s="3578"/>
      <c r="AB796" s="3563"/>
      <c r="AC796" s="3578"/>
      <c r="AD796" s="3578"/>
      <c r="AE796" s="3578"/>
      <c r="AF796" s="3578"/>
      <c r="AG796" s="3576"/>
      <c r="AH796" s="3576"/>
      <c r="AI796" s="3580"/>
      <c r="AJ796" s="3581"/>
      <c r="AK796" s="3582"/>
      <c r="AL796" s="3582"/>
      <c r="AM796" s="3582"/>
      <c r="AN796" s="3582"/>
      <c r="AO796" s="3582"/>
      <c r="AP796" s="3582"/>
      <c r="AQ796" s="3582"/>
      <c r="AR796" s="3576"/>
      <c r="AS796" s="3576"/>
      <c r="AT796" s="3576"/>
      <c r="AU796" s="3576"/>
      <c r="AV796" s="3563"/>
    </row>
    <row r="797" s="3565" customFormat="1" spans="1:48">
      <c r="A797" s="3575"/>
      <c r="B797" s="3576"/>
      <c r="C797" s="3576"/>
      <c r="D797" s="3563"/>
      <c r="E797" s="3563"/>
      <c r="F797" s="3576"/>
      <c r="G797" s="3576"/>
      <c r="H797" s="3563"/>
      <c r="I797" s="3563"/>
      <c r="J797" s="3563"/>
      <c r="K797" s="3563"/>
      <c r="L797" s="3563"/>
      <c r="M797" s="3563"/>
      <c r="N797" s="3577"/>
      <c r="O797" s="3563"/>
      <c r="P797" s="3576"/>
      <c r="Q797" s="3578"/>
      <c r="R797" s="3563"/>
      <c r="S797" s="3563"/>
      <c r="T797" s="3579"/>
      <c r="U797" s="3563"/>
      <c r="V797" s="3563"/>
      <c r="W797" s="3578"/>
      <c r="X797" s="3578"/>
      <c r="Y797" s="3578"/>
      <c r="Z797" s="3578"/>
      <c r="AA797" s="3578"/>
      <c r="AB797" s="3563"/>
      <c r="AC797" s="3578"/>
      <c r="AD797" s="3578"/>
      <c r="AE797" s="3578"/>
      <c r="AF797" s="3578"/>
      <c r="AG797" s="3576"/>
      <c r="AH797" s="3576"/>
      <c r="AI797" s="3580"/>
      <c r="AJ797" s="3581"/>
      <c r="AK797" s="3582"/>
      <c r="AL797" s="3582"/>
      <c r="AM797" s="3582"/>
      <c r="AN797" s="3582"/>
      <c r="AO797" s="3582"/>
      <c r="AP797" s="3582"/>
      <c r="AQ797" s="3582"/>
      <c r="AR797" s="3576"/>
      <c r="AS797" s="3576"/>
      <c r="AT797" s="3576"/>
      <c r="AU797" s="3576"/>
      <c r="AV797" s="3563"/>
    </row>
    <row r="798" s="3565" customFormat="1" spans="1:48">
      <c r="A798" s="3575"/>
      <c r="B798" s="3576"/>
      <c r="C798" s="3576"/>
      <c r="D798" s="3563"/>
      <c r="E798" s="3563"/>
      <c r="F798" s="3576"/>
      <c r="G798" s="3576"/>
      <c r="H798" s="3563"/>
      <c r="I798" s="3563"/>
      <c r="J798" s="3563"/>
      <c r="K798" s="3563"/>
      <c r="L798" s="3563"/>
      <c r="M798" s="3563"/>
      <c r="N798" s="3577"/>
      <c r="O798" s="3563"/>
      <c r="P798" s="3576"/>
      <c r="Q798" s="3578"/>
      <c r="R798" s="3563"/>
      <c r="S798" s="3563"/>
      <c r="T798" s="3579"/>
      <c r="U798" s="3563"/>
      <c r="V798" s="3563"/>
      <c r="W798" s="3578"/>
      <c r="X798" s="3578"/>
      <c r="Y798" s="3578"/>
      <c r="Z798" s="3578"/>
      <c r="AA798" s="3578"/>
      <c r="AB798" s="3563"/>
      <c r="AC798" s="3578"/>
      <c r="AD798" s="3578"/>
      <c r="AE798" s="3578"/>
      <c r="AF798" s="3578"/>
      <c r="AG798" s="3576"/>
      <c r="AH798" s="3576"/>
      <c r="AI798" s="3580"/>
      <c r="AJ798" s="3581"/>
      <c r="AK798" s="3582"/>
      <c r="AL798" s="3582"/>
      <c r="AM798" s="3582"/>
      <c r="AN798" s="3582"/>
      <c r="AO798" s="3582"/>
      <c r="AP798" s="3582"/>
      <c r="AQ798" s="3582"/>
      <c r="AR798" s="3576"/>
      <c r="AS798" s="3576"/>
      <c r="AT798" s="3576"/>
      <c r="AU798" s="3576"/>
      <c r="AV798" s="3563"/>
    </row>
    <row r="799" s="3565" customFormat="1" spans="1:48">
      <c r="A799" s="3575"/>
      <c r="B799" s="3576"/>
      <c r="C799" s="3576"/>
      <c r="D799" s="3563"/>
      <c r="E799" s="3563"/>
      <c r="F799" s="3576"/>
      <c r="G799" s="3576"/>
      <c r="H799" s="3563"/>
      <c r="I799" s="3563"/>
      <c r="J799" s="3563"/>
      <c r="K799" s="3563"/>
      <c r="L799" s="3563"/>
      <c r="M799" s="3563"/>
      <c r="N799" s="3577"/>
      <c r="O799" s="3563"/>
      <c r="P799" s="3576"/>
      <c r="Q799" s="3578"/>
      <c r="R799" s="3563"/>
      <c r="S799" s="3563"/>
      <c r="T799" s="3579"/>
      <c r="U799" s="3563"/>
      <c r="V799" s="3563"/>
      <c r="W799" s="3578"/>
      <c r="X799" s="3578"/>
      <c r="Y799" s="3578"/>
      <c r="Z799" s="3578"/>
      <c r="AA799" s="3578"/>
      <c r="AB799" s="3563"/>
      <c r="AC799" s="3578"/>
      <c r="AD799" s="3578"/>
      <c r="AE799" s="3578"/>
      <c r="AF799" s="3578"/>
      <c r="AG799" s="3576"/>
      <c r="AH799" s="3576"/>
      <c r="AI799" s="3580"/>
      <c r="AJ799" s="3581"/>
      <c r="AK799" s="3582"/>
      <c r="AL799" s="3582"/>
      <c r="AM799" s="3582"/>
      <c r="AN799" s="3582"/>
      <c r="AO799" s="3582"/>
      <c r="AP799" s="3582"/>
      <c r="AQ799" s="3582"/>
      <c r="AR799" s="3576"/>
      <c r="AS799" s="3576"/>
      <c r="AT799" s="3576"/>
      <c r="AU799" s="3576"/>
      <c r="AV799" s="3563"/>
    </row>
    <row r="800" s="3565" customFormat="1" spans="1:48">
      <c r="A800" s="3575"/>
      <c r="B800" s="3576"/>
      <c r="C800" s="3576"/>
      <c r="D800" s="3563"/>
      <c r="E800" s="3563"/>
      <c r="F800" s="3576"/>
      <c r="G800" s="3576"/>
      <c r="H800" s="3563"/>
      <c r="I800" s="3563"/>
      <c r="J800" s="3563"/>
      <c r="K800" s="3563"/>
      <c r="L800" s="3563"/>
      <c r="M800" s="3563"/>
      <c r="N800" s="3577"/>
      <c r="O800" s="3563"/>
      <c r="P800" s="3576"/>
      <c r="Q800" s="3578"/>
      <c r="R800" s="3563"/>
      <c r="S800" s="3563"/>
      <c r="T800" s="3579"/>
      <c r="U800" s="3563"/>
      <c r="V800" s="3563"/>
      <c r="W800" s="3578"/>
      <c r="X800" s="3578"/>
      <c r="Y800" s="3578"/>
      <c r="Z800" s="3578"/>
      <c r="AA800" s="3578"/>
      <c r="AB800" s="3563"/>
      <c r="AC800" s="3578"/>
      <c r="AD800" s="3578"/>
      <c r="AE800" s="3578"/>
      <c r="AF800" s="3578"/>
      <c r="AG800" s="3576"/>
      <c r="AH800" s="3576"/>
      <c r="AI800" s="3580"/>
      <c r="AJ800" s="3581"/>
      <c r="AK800" s="3582"/>
      <c r="AL800" s="3582"/>
      <c r="AM800" s="3582"/>
      <c r="AN800" s="3582"/>
      <c r="AO800" s="3582"/>
      <c r="AP800" s="3582"/>
      <c r="AQ800" s="3582"/>
      <c r="AR800" s="3576"/>
      <c r="AS800" s="3576"/>
      <c r="AT800" s="3576"/>
      <c r="AU800" s="3576"/>
      <c r="AV800" s="3563"/>
    </row>
    <row r="801" s="3565" customFormat="1" spans="1:48">
      <c r="A801" s="3575"/>
      <c r="B801" s="3576"/>
      <c r="C801" s="3576"/>
      <c r="D801" s="3563"/>
      <c r="E801" s="3563"/>
      <c r="F801" s="3576"/>
      <c r="G801" s="3576"/>
      <c r="H801" s="3563"/>
      <c r="I801" s="3563"/>
      <c r="J801" s="3563"/>
      <c r="K801" s="3563"/>
      <c r="L801" s="3563"/>
      <c r="M801" s="3563"/>
      <c r="N801" s="3577"/>
      <c r="O801" s="3563"/>
      <c r="P801" s="3576"/>
      <c r="Q801" s="3578"/>
      <c r="R801" s="3563"/>
      <c r="S801" s="3563"/>
      <c r="T801" s="3579"/>
      <c r="U801" s="3563"/>
      <c r="V801" s="3563"/>
      <c r="W801" s="3578"/>
      <c r="X801" s="3578"/>
      <c r="Y801" s="3578"/>
      <c r="Z801" s="3578"/>
      <c r="AA801" s="3578"/>
      <c r="AB801" s="3563"/>
      <c r="AC801" s="3578"/>
      <c r="AD801" s="3578"/>
      <c r="AE801" s="3578"/>
      <c r="AF801" s="3578"/>
      <c r="AG801" s="3576"/>
      <c r="AH801" s="3576"/>
      <c r="AI801" s="3580"/>
      <c r="AJ801" s="3581"/>
      <c r="AK801" s="3582"/>
      <c r="AL801" s="3582"/>
      <c r="AM801" s="3582"/>
      <c r="AN801" s="3582"/>
      <c r="AO801" s="3582"/>
      <c r="AP801" s="3582"/>
      <c r="AQ801" s="3582"/>
      <c r="AR801" s="3576"/>
      <c r="AS801" s="3576"/>
      <c r="AT801" s="3576"/>
      <c r="AU801" s="3576"/>
      <c r="AV801" s="3563"/>
    </row>
    <row r="802" s="3565" customFormat="1" spans="1:48">
      <c r="A802" s="3575"/>
      <c r="B802" s="3576"/>
      <c r="C802" s="3576"/>
      <c r="D802" s="3563"/>
      <c r="E802" s="3563"/>
      <c r="F802" s="3576"/>
      <c r="G802" s="3576"/>
      <c r="H802" s="3563"/>
      <c r="I802" s="3563"/>
      <c r="J802" s="3563"/>
      <c r="K802" s="3563"/>
      <c r="L802" s="3563"/>
      <c r="M802" s="3563"/>
      <c r="N802" s="3577"/>
      <c r="O802" s="3563"/>
      <c r="P802" s="3576"/>
      <c r="Q802" s="3578"/>
      <c r="R802" s="3563"/>
      <c r="S802" s="3563"/>
      <c r="T802" s="3579"/>
      <c r="U802" s="3563"/>
      <c r="V802" s="3563"/>
      <c r="W802" s="3578"/>
      <c r="X802" s="3578"/>
      <c r="Y802" s="3578"/>
      <c r="Z802" s="3578"/>
      <c r="AA802" s="3578"/>
      <c r="AB802" s="3563"/>
      <c r="AC802" s="3578"/>
      <c r="AD802" s="3578"/>
      <c r="AE802" s="3578"/>
      <c r="AF802" s="3578"/>
      <c r="AG802" s="3576"/>
      <c r="AH802" s="3576"/>
      <c r="AI802" s="3580"/>
      <c r="AJ802" s="3581"/>
      <c r="AK802" s="3582"/>
      <c r="AL802" s="3582"/>
      <c r="AM802" s="3582"/>
      <c r="AN802" s="3582"/>
      <c r="AO802" s="3582"/>
      <c r="AP802" s="3582"/>
      <c r="AQ802" s="3582"/>
      <c r="AR802" s="3576"/>
      <c r="AS802" s="3576"/>
      <c r="AT802" s="3576"/>
      <c r="AU802" s="3576"/>
      <c r="AV802" s="3563"/>
    </row>
    <row r="803" s="3565" customFormat="1" spans="1:48">
      <c r="A803" s="3575"/>
      <c r="B803" s="3576"/>
      <c r="C803" s="3576"/>
      <c r="D803" s="3563"/>
      <c r="E803" s="3563"/>
      <c r="F803" s="3576"/>
      <c r="G803" s="3576"/>
      <c r="H803" s="3563"/>
      <c r="I803" s="3563"/>
      <c r="J803" s="3563"/>
      <c r="K803" s="3563"/>
      <c r="L803" s="3563"/>
      <c r="M803" s="3563"/>
      <c r="N803" s="3577"/>
      <c r="O803" s="3563"/>
      <c r="P803" s="3576"/>
      <c r="Q803" s="3578"/>
      <c r="R803" s="3563"/>
      <c r="S803" s="3563"/>
      <c r="T803" s="3579"/>
      <c r="U803" s="3563"/>
      <c r="V803" s="3563"/>
      <c r="W803" s="3578"/>
      <c r="X803" s="3578"/>
      <c r="Y803" s="3578"/>
      <c r="Z803" s="3578"/>
      <c r="AA803" s="3578"/>
      <c r="AB803" s="3563"/>
      <c r="AC803" s="3578"/>
      <c r="AD803" s="3578"/>
      <c r="AE803" s="3578"/>
      <c r="AF803" s="3578"/>
      <c r="AG803" s="3576"/>
      <c r="AH803" s="3576"/>
      <c r="AI803" s="3580"/>
      <c r="AJ803" s="3581"/>
      <c r="AK803" s="3582"/>
      <c r="AL803" s="3582"/>
      <c r="AM803" s="3582"/>
      <c r="AN803" s="3582"/>
      <c r="AO803" s="3582"/>
      <c r="AP803" s="3582"/>
      <c r="AQ803" s="3582"/>
      <c r="AR803" s="3576"/>
      <c r="AS803" s="3576"/>
      <c r="AT803" s="3576"/>
      <c r="AU803" s="3576"/>
      <c r="AV803" s="3563"/>
    </row>
    <row r="804" s="3565" customFormat="1" spans="1:48">
      <c r="A804" s="3575"/>
      <c r="B804" s="3576"/>
      <c r="C804" s="3576"/>
      <c r="D804" s="3563"/>
      <c r="E804" s="3563"/>
      <c r="F804" s="3576"/>
      <c r="G804" s="3576"/>
      <c r="H804" s="3563"/>
      <c r="I804" s="3563"/>
      <c r="J804" s="3563"/>
      <c r="K804" s="3563"/>
      <c r="L804" s="3563"/>
      <c r="M804" s="3563"/>
      <c r="N804" s="3577"/>
      <c r="O804" s="3563"/>
      <c r="P804" s="3576"/>
      <c r="Q804" s="3578"/>
      <c r="R804" s="3563"/>
      <c r="S804" s="3563"/>
      <c r="T804" s="3579"/>
      <c r="U804" s="3563"/>
      <c r="V804" s="3563"/>
      <c r="W804" s="3578"/>
      <c r="X804" s="3578"/>
      <c r="Y804" s="3578"/>
      <c r="Z804" s="3578"/>
      <c r="AA804" s="3578"/>
      <c r="AB804" s="3563"/>
      <c r="AC804" s="3578"/>
      <c r="AD804" s="3578"/>
      <c r="AE804" s="3578"/>
      <c r="AF804" s="3578"/>
      <c r="AG804" s="3576"/>
      <c r="AH804" s="3576"/>
      <c r="AI804" s="3580"/>
      <c r="AJ804" s="3581"/>
      <c r="AK804" s="3582"/>
      <c r="AL804" s="3582"/>
      <c r="AM804" s="3582"/>
      <c r="AN804" s="3582"/>
      <c r="AO804" s="3582"/>
      <c r="AP804" s="3582"/>
      <c r="AQ804" s="3582"/>
      <c r="AR804" s="3576"/>
      <c r="AS804" s="3576"/>
      <c r="AT804" s="3576"/>
      <c r="AU804" s="3576"/>
      <c r="AV804" s="3563"/>
    </row>
    <row r="805" s="3565" customFormat="1" spans="1:48">
      <c r="A805" s="3575"/>
      <c r="B805" s="3576"/>
      <c r="C805" s="3576"/>
      <c r="D805" s="3563"/>
      <c r="E805" s="3563"/>
      <c r="F805" s="3576"/>
      <c r="G805" s="3576"/>
      <c r="H805" s="3563"/>
      <c r="I805" s="3563"/>
      <c r="J805" s="3563"/>
      <c r="K805" s="3563"/>
      <c r="L805" s="3563"/>
      <c r="M805" s="3563"/>
      <c r="N805" s="3577"/>
      <c r="O805" s="3563"/>
      <c r="P805" s="3576"/>
      <c r="Q805" s="3578"/>
      <c r="R805" s="3563"/>
      <c r="S805" s="3563"/>
      <c r="T805" s="3579"/>
      <c r="U805" s="3563"/>
      <c r="V805" s="3563"/>
      <c r="W805" s="3578"/>
      <c r="X805" s="3578"/>
      <c r="Y805" s="3578"/>
      <c r="Z805" s="3578"/>
      <c r="AA805" s="3578"/>
      <c r="AB805" s="3563"/>
      <c r="AC805" s="3578"/>
      <c r="AD805" s="3578"/>
      <c r="AE805" s="3578"/>
      <c r="AF805" s="3578"/>
      <c r="AG805" s="3576"/>
      <c r="AH805" s="3576"/>
      <c r="AI805" s="3580"/>
      <c r="AJ805" s="3581"/>
      <c r="AK805" s="3582"/>
      <c r="AL805" s="3582"/>
      <c r="AM805" s="3582"/>
      <c r="AN805" s="3582"/>
      <c r="AO805" s="3582"/>
      <c r="AP805" s="3582"/>
      <c r="AQ805" s="3582"/>
      <c r="AR805" s="3576"/>
      <c r="AS805" s="3576"/>
      <c r="AT805" s="3576"/>
      <c r="AU805" s="3576"/>
      <c r="AV805" s="3563"/>
    </row>
    <row r="806" s="3565" customFormat="1" spans="1:48">
      <c r="A806" s="3575"/>
      <c r="B806" s="3576"/>
      <c r="C806" s="3576"/>
      <c r="D806" s="3563"/>
      <c r="E806" s="3563"/>
      <c r="F806" s="3576"/>
      <c r="G806" s="3576"/>
      <c r="H806" s="3563"/>
      <c r="I806" s="3563"/>
      <c r="J806" s="3563"/>
      <c r="K806" s="3563"/>
      <c r="L806" s="3563"/>
      <c r="M806" s="3563"/>
      <c r="N806" s="3577"/>
      <c r="O806" s="3563"/>
      <c r="P806" s="3576"/>
      <c r="Q806" s="3578"/>
      <c r="R806" s="3563"/>
      <c r="S806" s="3563"/>
      <c r="T806" s="3579"/>
      <c r="U806" s="3563"/>
      <c r="V806" s="3563"/>
      <c r="W806" s="3578"/>
      <c r="X806" s="3578"/>
      <c r="Y806" s="3578"/>
      <c r="Z806" s="3578"/>
      <c r="AA806" s="3578"/>
      <c r="AB806" s="3563"/>
      <c r="AC806" s="3578"/>
      <c r="AD806" s="3578"/>
      <c r="AE806" s="3578"/>
      <c r="AF806" s="3578"/>
      <c r="AG806" s="3576"/>
      <c r="AH806" s="3576"/>
      <c r="AI806" s="3580"/>
      <c r="AJ806" s="3581"/>
      <c r="AK806" s="3582"/>
      <c r="AL806" s="3582"/>
      <c r="AM806" s="3582"/>
      <c r="AN806" s="3582"/>
      <c r="AO806" s="3582"/>
      <c r="AP806" s="3582"/>
      <c r="AQ806" s="3582"/>
      <c r="AR806" s="3576"/>
      <c r="AS806" s="3576"/>
      <c r="AT806" s="3576"/>
      <c r="AU806" s="3576"/>
      <c r="AV806" s="3563"/>
    </row>
    <row r="807" s="3565" customFormat="1" spans="1:48">
      <c r="A807" s="3575"/>
      <c r="B807" s="3576"/>
      <c r="C807" s="3576"/>
      <c r="D807" s="3563"/>
      <c r="E807" s="3563"/>
      <c r="F807" s="3576"/>
      <c r="G807" s="3576"/>
      <c r="H807" s="3563"/>
      <c r="I807" s="3563"/>
      <c r="J807" s="3563"/>
      <c r="K807" s="3563"/>
      <c r="L807" s="3563"/>
      <c r="M807" s="3563"/>
      <c r="N807" s="3577"/>
      <c r="O807" s="3563"/>
      <c r="P807" s="3576"/>
      <c r="Q807" s="3578"/>
      <c r="R807" s="3563"/>
      <c r="S807" s="3563"/>
      <c r="T807" s="3579"/>
      <c r="U807" s="3563"/>
      <c r="V807" s="3563"/>
      <c r="W807" s="3578"/>
      <c r="X807" s="3578"/>
      <c r="Y807" s="3578"/>
      <c r="Z807" s="3578"/>
      <c r="AA807" s="3578"/>
      <c r="AB807" s="3563"/>
      <c r="AC807" s="3578"/>
      <c r="AD807" s="3578"/>
      <c r="AE807" s="3578"/>
      <c r="AF807" s="3578"/>
      <c r="AG807" s="3576"/>
      <c r="AH807" s="3576"/>
      <c r="AI807" s="3580"/>
      <c r="AJ807" s="3581"/>
      <c r="AK807" s="3582"/>
      <c r="AL807" s="3582"/>
      <c r="AM807" s="3582"/>
      <c r="AN807" s="3582"/>
      <c r="AO807" s="3582"/>
      <c r="AP807" s="3582"/>
      <c r="AQ807" s="3582"/>
      <c r="AR807" s="3576"/>
      <c r="AS807" s="3576"/>
      <c r="AT807" s="3576"/>
      <c r="AU807" s="3576"/>
      <c r="AV807" s="3563"/>
    </row>
    <row r="808" s="3565" customFormat="1" spans="1:48">
      <c r="A808" s="3575"/>
      <c r="B808" s="3576"/>
      <c r="C808" s="3576"/>
      <c r="D808" s="3563"/>
      <c r="E808" s="3563"/>
      <c r="F808" s="3576"/>
      <c r="G808" s="3576"/>
      <c r="H808" s="3563"/>
      <c r="I808" s="3563"/>
      <c r="J808" s="3563"/>
      <c r="K808" s="3563"/>
      <c r="L808" s="3563"/>
      <c r="M808" s="3563"/>
      <c r="N808" s="3577"/>
      <c r="O808" s="3563"/>
      <c r="P808" s="3576"/>
      <c r="Q808" s="3578"/>
      <c r="R808" s="3563"/>
      <c r="S808" s="3563"/>
      <c r="T808" s="3579"/>
      <c r="U808" s="3563"/>
      <c r="V808" s="3563"/>
      <c r="W808" s="3578"/>
      <c r="X808" s="3578"/>
      <c r="Y808" s="3578"/>
      <c r="Z808" s="3578"/>
      <c r="AA808" s="3578"/>
      <c r="AB808" s="3563"/>
      <c r="AC808" s="3578"/>
      <c r="AD808" s="3578"/>
      <c r="AE808" s="3578"/>
      <c r="AF808" s="3578"/>
      <c r="AG808" s="3576"/>
      <c r="AH808" s="3576"/>
      <c r="AI808" s="3580"/>
      <c r="AJ808" s="3581"/>
      <c r="AK808" s="3582"/>
      <c r="AL808" s="3582"/>
      <c r="AM808" s="3582"/>
      <c r="AN808" s="3582"/>
      <c r="AO808" s="3582"/>
      <c r="AP808" s="3582"/>
      <c r="AQ808" s="3582"/>
      <c r="AR808" s="3576"/>
      <c r="AS808" s="3576"/>
      <c r="AT808" s="3576"/>
      <c r="AU808" s="3576"/>
      <c r="AV808" s="3563"/>
    </row>
    <row r="809" s="3565" customFormat="1" spans="1:48">
      <c r="A809" s="3575"/>
      <c r="B809" s="3576"/>
      <c r="C809" s="3576"/>
      <c r="D809" s="3563"/>
      <c r="E809" s="3563"/>
      <c r="F809" s="3576"/>
      <c r="G809" s="3576"/>
      <c r="H809" s="3563"/>
      <c r="I809" s="3563"/>
      <c r="J809" s="3563"/>
      <c r="K809" s="3563"/>
      <c r="L809" s="3563"/>
      <c r="M809" s="3563"/>
      <c r="N809" s="3577"/>
      <c r="O809" s="3563"/>
      <c r="P809" s="3576"/>
      <c r="Q809" s="3578"/>
      <c r="R809" s="3563"/>
      <c r="S809" s="3563"/>
      <c r="T809" s="3579"/>
      <c r="U809" s="3563"/>
      <c r="V809" s="3563"/>
      <c r="W809" s="3578"/>
      <c r="X809" s="3578"/>
      <c r="Y809" s="3578"/>
      <c r="Z809" s="3578"/>
      <c r="AA809" s="3578"/>
      <c r="AB809" s="3563"/>
      <c r="AC809" s="3578"/>
      <c r="AD809" s="3578"/>
      <c r="AE809" s="3578"/>
      <c r="AF809" s="3578"/>
      <c r="AG809" s="3576"/>
      <c r="AH809" s="3576"/>
      <c r="AI809" s="3580"/>
      <c r="AJ809" s="3581"/>
      <c r="AK809" s="3582"/>
      <c r="AL809" s="3582"/>
      <c r="AM809" s="3582"/>
      <c r="AN809" s="3582"/>
      <c r="AO809" s="3582"/>
      <c r="AP809" s="3582"/>
      <c r="AQ809" s="3582"/>
      <c r="AR809" s="3576"/>
      <c r="AS809" s="3576"/>
      <c r="AT809" s="3576"/>
      <c r="AU809" s="3576"/>
      <c r="AV809" s="3563"/>
    </row>
    <row r="810" s="3565" customFormat="1" spans="1:48">
      <c r="A810" s="3575"/>
      <c r="B810" s="3576"/>
      <c r="C810" s="3576"/>
      <c r="D810" s="3563"/>
      <c r="E810" s="3563"/>
      <c r="F810" s="3576"/>
      <c r="G810" s="3576"/>
      <c r="H810" s="3563"/>
      <c r="I810" s="3563"/>
      <c r="J810" s="3563"/>
      <c r="K810" s="3563"/>
      <c r="L810" s="3563"/>
      <c r="M810" s="3563"/>
      <c r="N810" s="3577"/>
      <c r="O810" s="3563"/>
      <c r="P810" s="3576"/>
      <c r="Q810" s="3578"/>
      <c r="R810" s="3563"/>
      <c r="S810" s="3563"/>
      <c r="T810" s="3579"/>
      <c r="U810" s="3563"/>
      <c r="V810" s="3563"/>
      <c r="W810" s="3578"/>
      <c r="X810" s="3578"/>
      <c r="Y810" s="3578"/>
      <c r="Z810" s="3578"/>
      <c r="AA810" s="3578"/>
      <c r="AB810" s="3563"/>
      <c r="AC810" s="3578"/>
      <c r="AD810" s="3578"/>
      <c r="AE810" s="3578"/>
      <c r="AF810" s="3578"/>
      <c r="AG810" s="3576"/>
      <c r="AH810" s="3576"/>
      <c r="AI810" s="3580"/>
      <c r="AJ810" s="3581"/>
      <c r="AK810" s="3582"/>
      <c r="AL810" s="3582"/>
      <c r="AM810" s="3582"/>
      <c r="AN810" s="3582"/>
      <c r="AO810" s="3582"/>
      <c r="AP810" s="3582"/>
      <c r="AQ810" s="3582"/>
      <c r="AR810" s="3576"/>
      <c r="AS810" s="3576"/>
      <c r="AT810" s="3576"/>
      <c r="AU810" s="3576"/>
      <c r="AV810" s="3563"/>
    </row>
    <row r="811" s="3565" customFormat="1" spans="1:48">
      <c r="A811" s="3575"/>
      <c r="B811" s="3576"/>
      <c r="C811" s="3576"/>
      <c r="D811" s="3563"/>
      <c r="E811" s="3563"/>
      <c r="F811" s="3576"/>
      <c r="G811" s="3576"/>
      <c r="H811" s="3563"/>
      <c r="I811" s="3563"/>
      <c r="J811" s="3563"/>
      <c r="K811" s="3563"/>
      <c r="L811" s="3563"/>
      <c r="M811" s="3563"/>
      <c r="N811" s="3577"/>
      <c r="O811" s="3563"/>
      <c r="P811" s="3576"/>
      <c r="Q811" s="3578"/>
      <c r="R811" s="3563"/>
      <c r="S811" s="3563"/>
      <c r="T811" s="3579"/>
      <c r="U811" s="3563"/>
      <c r="V811" s="3563"/>
      <c r="W811" s="3578"/>
      <c r="X811" s="3578"/>
      <c r="Y811" s="3578"/>
      <c r="Z811" s="3578"/>
      <c r="AA811" s="3578"/>
      <c r="AB811" s="3563"/>
      <c r="AC811" s="3578"/>
      <c r="AD811" s="3578"/>
      <c r="AE811" s="3578"/>
      <c r="AF811" s="3578"/>
      <c r="AG811" s="3576"/>
      <c r="AH811" s="3576"/>
      <c r="AI811" s="3580"/>
      <c r="AJ811" s="3581"/>
      <c r="AK811" s="3582"/>
      <c r="AL811" s="3582"/>
      <c r="AM811" s="3582"/>
      <c r="AN811" s="3582"/>
      <c r="AO811" s="3582"/>
      <c r="AP811" s="3582"/>
      <c r="AQ811" s="3582"/>
      <c r="AR811" s="3576"/>
      <c r="AS811" s="3576"/>
      <c r="AT811" s="3576"/>
      <c r="AU811" s="3576"/>
      <c r="AV811" s="3563"/>
    </row>
    <row r="812" s="3565" customFormat="1" spans="1:48">
      <c r="A812" s="3575"/>
      <c r="B812" s="3576"/>
      <c r="C812" s="3576"/>
      <c r="D812" s="3563"/>
      <c r="E812" s="3563"/>
      <c r="F812" s="3576"/>
      <c r="G812" s="3576"/>
      <c r="H812" s="3563"/>
      <c r="I812" s="3563"/>
      <c r="J812" s="3563"/>
      <c r="K812" s="3563"/>
      <c r="L812" s="3563"/>
      <c r="M812" s="3563"/>
      <c r="N812" s="3577"/>
      <c r="O812" s="3563"/>
      <c r="P812" s="3576"/>
      <c r="Q812" s="3578"/>
      <c r="R812" s="3563"/>
      <c r="S812" s="3563"/>
      <c r="T812" s="3579"/>
      <c r="U812" s="3563"/>
      <c r="V812" s="3563"/>
      <c r="W812" s="3578"/>
      <c r="X812" s="3578"/>
      <c r="Y812" s="3578"/>
      <c r="Z812" s="3578"/>
      <c r="AA812" s="3578"/>
      <c r="AB812" s="3563"/>
      <c r="AC812" s="3578"/>
      <c r="AD812" s="3578"/>
      <c r="AE812" s="3578"/>
      <c r="AF812" s="3578"/>
      <c r="AG812" s="3576"/>
      <c r="AH812" s="3576"/>
      <c r="AI812" s="3580"/>
      <c r="AJ812" s="3581"/>
      <c r="AK812" s="3582"/>
      <c r="AL812" s="3582"/>
      <c r="AM812" s="3582"/>
      <c r="AN812" s="3582"/>
      <c r="AO812" s="3582"/>
      <c r="AP812" s="3582"/>
      <c r="AQ812" s="3582"/>
      <c r="AR812" s="3576"/>
      <c r="AS812" s="3576"/>
      <c r="AT812" s="3576"/>
      <c r="AU812" s="3576"/>
      <c r="AV812" s="3563"/>
    </row>
    <row r="813" s="3565" customFormat="1" spans="1:48">
      <c r="A813" s="3575"/>
      <c r="B813" s="3576"/>
      <c r="C813" s="3576"/>
      <c r="D813" s="3563"/>
      <c r="E813" s="3563"/>
      <c r="F813" s="3576"/>
      <c r="G813" s="3576"/>
      <c r="H813" s="3563"/>
      <c r="I813" s="3563"/>
      <c r="J813" s="3563"/>
      <c r="K813" s="3563"/>
      <c r="L813" s="3563"/>
      <c r="M813" s="3563"/>
      <c r="N813" s="3577"/>
      <c r="O813" s="3563"/>
      <c r="P813" s="3576"/>
      <c r="Q813" s="3578"/>
      <c r="R813" s="3563"/>
      <c r="S813" s="3563"/>
      <c r="T813" s="3579"/>
      <c r="U813" s="3563"/>
      <c r="V813" s="3563"/>
      <c r="W813" s="3578"/>
      <c r="X813" s="3578"/>
      <c r="Y813" s="3578"/>
      <c r="Z813" s="3578"/>
      <c r="AA813" s="3578"/>
      <c r="AB813" s="3563"/>
      <c r="AC813" s="3578"/>
      <c r="AD813" s="3578"/>
      <c r="AE813" s="3578"/>
      <c r="AF813" s="3578"/>
      <c r="AG813" s="3576"/>
      <c r="AH813" s="3576"/>
      <c r="AI813" s="3580"/>
      <c r="AJ813" s="3581"/>
      <c r="AK813" s="3582"/>
      <c r="AL813" s="3582"/>
      <c r="AM813" s="3582"/>
      <c r="AN813" s="3582"/>
      <c r="AO813" s="3582"/>
      <c r="AP813" s="3582"/>
      <c r="AQ813" s="3582"/>
      <c r="AR813" s="3576"/>
      <c r="AS813" s="3576"/>
      <c r="AT813" s="3576"/>
      <c r="AU813" s="3576"/>
      <c r="AV813" s="3563"/>
    </row>
    <row r="814" s="3565" customFormat="1" spans="1:48">
      <c r="A814" s="3575"/>
      <c r="B814" s="3576"/>
      <c r="C814" s="3576"/>
      <c r="D814" s="3563"/>
      <c r="E814" s="3563"/>
      <c r="F814" s="3576"/>
      <c r="G814" s="3576"/>
      <c r="H814" s="3563"/>
      <c r="I814" s="3563"/>
      <c r="J814" s="3563"/>
      <c r="K814" s="3563"/>
      <c r="L814" s="3563"/>
      <c r="M814" s="3563"/>
      <c r="N814" s="3577"/>
      <c r="O814" s="3563"/>
      <c r="P814" s="3576"/>
      <c r="Q814" s="3578"/>
      <c r="R814" s="3563"/>
      <c r="S814" s="3563"/>
      <c r="T814" s="3579"/>
      <c r="U814" s="3563"/>
      <c r="V814" s="3563"/>
      <c r="W814" s="3578"/>
      <c r="X814" s="3578"/>
      <c r="Y814" s="3578"/>
      <c r="Z814" s="3578"/>
      <c r="AA814" s="3578"/>
      <c r="AB814" s="3563"/>
      <c r="AC814" s="3578"/>
      <c r="AD814" s="3578"/>
      <c r="AE814" s="3578"/>
      <c r="AF814" s="3578"/>
      <c r="AG814" s="3576"/>
      <c r="AH814" s="3576"/>
      <c r="AI814" s="3580"/>
      <c r="AJ814" s="3581"/>
      <c r="AK814" s="3582"/>
      <c r="AL814" s="3582"/>
      <c r="AM814" s="3582"/>
      <c r="AN814" s="3582"/>
      <c r="AO814" s="3582"/>
      <c r="AP814" s="3582"/>
      <c r="AQ814" s="3582"/>
      <c r="AR814" s="3576"/>
      <c r="AS814" s="3576"/>
      <c r="AT814" s="3576"/>
      <c r="AU814" s="3576"/>
      <c r="AV814" s="3563"/>
    </row>
    <row r="815" s="3565" customFormat="1" spans="1:48">
      <c r="A815" s="3575"/>
      <c r="B815" s="3576"/>
      <c r="C815" s="3576"/>
      <c r="D815" s="3563"/>
      <c r="E815" s="3563"/>
      <c r="F815" s="3576"/>
      <c r="G815" s="3576"/>
      <c r="H815" s="3563"/>
      <c r="I815" s="3563"/>
      <c r="J815" s="3563"/>
      <c r="K815" s="3563"/>
      <c r="L815" s="3563"/>
      <c r="M815" s="3563"/>
      <c r="N815" s="3577"/>
      <c r="O815" s="3563"/>
      <c r="P815" s="3576"/>
      <c r="Q815" s="3578"/>
      <c r="R815" s="3563"/>
      <c r="S815" s="3563"/>
      <c r="T815" s="3579"/>
      <c r="U815" s="3563"/>
      <c r="V815" s="3563"/>
      <c r="W815" s="3578"/>
      <c r="X815" s="3578"/>
      <c r="Y815" s="3578"/>
      <c r="Z815" s="3578"/>
      <c r="AA815" s="3578"/>
      <c r="AB815" s="3563"/>
      <c r="AC815" s="3578"/>
      <c r="AD815" s="3578"/>
      <c r="AE815" s="3578"/>
      <c r="AF815" s="3578"/>
      <c r="AG815" s="3576"/>
      <c r="AH815" s="3576"/>
      <c r="AI815" s="3580"/>
      <c r="AJ815" s="3581"/>
      <c r="AK815" s="3582"/>
      <c r="AL815" s="3582"/>
      <c r="AM815" s="3582"/>
      <c r="AN815" s="3582"/>
      <c r="AO815" s="3582"/>
      <c r="AP815" s="3582"/>
      <c r="AQ815" s="3582"/>
      <c r="AR815" s="3576"/>
      <c r="AS815" s="3576"/>
      <c r="AT815" s="3576"/>
      <c r="AU815" s="3576"/>
      <c r="AV815" s="3563"/>
    </row>
    <row r="816" s="3565" customFormat="1" spans="1:48">
      <c r="A816" s="3575"/>
      <c r="B816" s="3576"/>
      <c r="C816" s="3576"/>
      <c r="D816" s="3563"/>
      <c r="E816" s="3563"/>
      <c r="F816" s="3576"/>
      <c r="G816" s="3576"/>
      <c r="H816" s="3563"/>
      <c r="I816" s="3563"/>
      <c r="J816" s="3563"/>
      <c r="K816" s="3563"/>
      <c r="L816" s="3563"/>
      <c r="M816" s="3563"/>
      <c r="N816" s="3577"/>
      <c r="O816" s="3563"/>
      <c r="P816" s="3576"/>
      <c r="Q816" s="3578"/>
      <c r="R816" s="3563"/>
      <c r="S816" s="3563"/>
      <c r="T816" s="3579"/>
      <c r="U816" s="3563"/>
      <c r="V816" s="3563"/>
      <c r="W816" s="3578"/>
      <c r="X816" s="3578"/>
      <c r="Y816" s="3578"/>
      <c r="Z816" s="3578"/>
      <c r="AA816" s="3578"/>
      <c r="AB816" s="3563"/>
      <c r="AC816" s="3578"/>
      <c r="AD816" s="3578"/>
      <c r="AE816" s="3578"/>
      <c r="AF816" s="3578"/>
      <c r="AG816" s="3576"/>
      <c r="AH816" s="3576"/>
      <c r="AI816" s="3580"/>
      <c r="AJ816" s="3581"/>
      <c r="AK816" s="3582"/>
      <c r="AL816" s="3582"/>
      <c r="AM816" s="3582"/>
      <c r="AN816" s="3582"/>
      <c r="AO816" s="3582"/>
      <c r="AP816" s="3582"/>
      <c r="AQ816" s="3582"/>
      <c r="AR816" s="3576"/>
      <c r="AS816" s="3576"/>
      <c r="AT816" s="3576"/>
      <c r="AU816" s="3576"/>
      <c r="AV816" s="3563"/>
    </row>
    <row r="817" s="3565" customFormat="1" spans="1:48">
      <c r="A817" s="3575"/>
      <c r="B817" s="3576"/>
      <c r="C817" s="3576"/>
      <c r="D817" s="3563"/>
      <c r="E817" s="3563"/>
      <c r="F817" s="3576"/>
      <c r="G817" s="3576"/>
      <c r="H817" s="3563"/>
      <c r="I817" s="3563"/>
      <c r="J817" s="3563"/>
      <c r="K817" s="3563"/>
      <c r="L817" s="3563"/>
      <c r="M817" s="3563"/>
      <c r="N817" s="3577"/>
      <c r="O817" s="3563"/>
      <c r="P817" s="3576"/>
      <c r="Q817" s="3578"/>
      <c r="R817" s="3563"/>
      <c r="S817" s="3563"/>
      <c r="T817" s="3579"/>
      <c r="U817" s="3563"/>
      <c r="V817" s="3563"/>
      <c r="W817" s="3578"/>
      <c r="X817" s="3578"/>
      <c r="Y817" s="3578"/>
      <c r="Z817" s="3578"/>
      <c r="AA817" s="3578"/>
      <c r="AB817" s="3563"/>
      <c r="AC817" s="3578"/>
      <c r="AD817" s="3578"/>
      <c r="AE817" s="3578"/>
      <c r="AF817" s="3578"/>
      <c r="AG817" s="3576"/>
      <c r="AH817" s="3576"/>
      <c r="AI817" s="3580"/>
      <c r="AJ817" s="3581"/>
      <c r="AK817" s="3582"/>
      <c r="AL817" s="3582"/>
      <c r="AM817" s="3582"/>
      <c r="AN817" s="3582"/>
      <c r="AO817" s="3582"/>
      <c r="AP817" s="3582"/>
      <c r="AQ817" s="3582"/>
      <c r="AR817" s="3576"/>
      <c r="AS817" s="3576"/>
      <c r="AT817" s="3576"/>
      <c r="AU817" s="3576"/>
      <c r="AV817" s="3563"/>
    </row>
    <row r="818" s="3565" customFormat="1" spans="1:48">
      <c r="A818" s="3575"/>
      <c r="B818" s="3576"/>
      <c r="C818" s="3576"/>
      <c r="D818" s="3563"/>
      <c r="E818" s="3563"/>
      <c r="F818" s="3576"/>
      <c r="G818" s="3576"/>
      <c r="H818" s="3563"/>
      <c r="I818" s="3563"/>
      <c r="J818" s="3563"/>
      <c r="K818" s="3563"/>
      <c r="L818" s="3563"/>
      <c r="M818" s="3563"/>
      <c r="N818" s="3577"/>
      <c r="O818" s="3563"/>
      <c r="P818" s="3576"/>
      <c r="Q818" s="3578"/>
      <c r="R818" s="3563"/>
      <c r="S818" s="3563"/>
      <c r="T818" s="3579"/>
      <c r="U818" s="3563"/>
      <c r="V818" s="3563"/>
      <c r="W818" s="3578"/>
      <c r="X818" s="3578"/>
      <c r="Y818" s="3578"/>
      <c r="Z818" s="3578"/>
      <c r="AA818" s="3578"/>
      <c r="AB818" s="3563"/>
      <c r="AC818" s="3578"/>
      <c r="AD818" s="3578"/>
      <c r="AE818" s="3578"/>
      <c r="AF818" s="3578"/>
      <c r="AG818" s="3576"/>
      <c r="AH818" s="3576"/>
      <c r="AI818" s="3580"/>
      <c r="AJ818" s="3581"/>
      <c r="AK818" s="3582"/>
      <c r="AL818" s="3582"/>
      <c r="AM818" s="3582"/>
      <c r="AN818" s="3582"/>
      <c r="AO818" s="3582"/>
      <c r="AP818" s="3582"/>
      <c r="AQ818" s="3582"/>
      <c r="AR818" s="3576"/>
      <c r="AS818" s="3576"/>
      <c r="AT818" s="3576"/>
      <c r="AU818" s="3576"/>
      <c r="AV818" s="3563"/>
    </row>
    <row r="819" s="3565" customFormat="1" spans="1:48">
      <c r="A819" s="3575"/>
      <c r="B819" s="3576"/>
      <c r="C819" s="3576"/>
      <c r="D819" s="3563"/>
      <c r="E819" s="3563"/>
      <c r="F819" s="3576"/>
      <c r="G819" s="3576"/>
      <c r="H819" s="3563"/>
      <c r="I819" s="3563"/>
      <c r="J819" s="3563"/>
      <c r="K819" s="3563"/>
      <c r="L819" s="3563"/>
      <c r="M819" s="3563"/>
      <c r="N819" s="3577"/>
      <c r="O819" s="3563"/>
      <c r="P819" s="3576"/>
      <c r="Q819" s="3578"/>
      <c r="R819" s="3563"/>
      <c r="S819" s="3563"/>
      <c r="T819" s="3579"/>
      <c r="U819" s="3563"/>
      <c r="V819" s="3563"/>
      <c r="W819" s="3578"/>
      <c r="X819" s="3578"/>
      <c r="Y819" s="3578"/>
      <c r="Z819" s="3578"/>
      <c r="AA819" s="3578"/>
      <c r="AB819" s="3563"/>
      <c r="AC819" s="3578"/>
      <c r="AD819" s="3578"/>
      <c r="AE819" s="3578"/>
      <c r="AF819" s="3578"/>
      <c r="AG819" s="3576"/>
      <c r="AH819" s="3576"/>
      <c r="AI819" s="3580"/>
      <c r="AJ819" s="3581"/>
      <c r="AK819" s="3582"/>
      <c r="AL819" s="3582"/>
      <c r="AM819" s="3582"/>
      <c r="AN819" s="3582"/>
      <c r="AO819" s="3582"/>
      <c r="AP819" s="3582"/>
      <c r="AQ819" s="3582"/>
      <c r="AR819" s="3576"/>
      <c r="AS819" s="3576"/>
      <c r="AT819" s="3576"/>
      <c r="AU819" s="3576"/>
      <c r="AV819" s="3563"/>
    </row>
    <row r="820" s="3565" customFormat="1" spans="1:48">
      <c r="A820" s="3575"/>
      <c r="B820" s="3576"/>
      <c r="C820" s="3576"/>
      <c r="D820" s="3563"/>
      <c r="E820" s="3563"/>
      <c r="F820" s="3576"/>
      <c r="G820" s="3576"/>
      <c r="H820" s="3563"/>
      <c r="I820" s="3563"/>
      <c r="J820" s="3563"/>
      <c r="K820" s="3563"/>
      <c r="L820" s="3563"/>
      <c r="M820" s="3563"/>
      <c r="N820" s="3577"/>
      <c r="O820" s="3563"/>
      <c r="P820" s="3576"/>
      <c r="Q820" s="3578"/>
      <c r="R820" s="3563"/>
      <c r="S820" s="3563"/>
      <c r="T820" s="3579"/>
      <c r="U820" s="3563"/>
      <c r="V820" s="3563"/>
      <c r="W820" s="3578"/>
      <c r="X820" s="3578"/>
      <c r="Y820" s="3578"/>
      <c r="Z820" s="3578"/>
      <c r="AA820" s="3578"/>
      <c r="AB820" s="3563"/>
      <c r="AC820" s="3578"/>
      <c r="AD820" s="3578"/>
      <c r="AE820" s="3578"/>
      <c r="AF820" s="3578"/>
      <c r="AG820" s="3576"/>
      <c r="AH820" s="3576"/>
      <c r="AI820" s="3580"/>
      <c r="AJ820" s="3581"/>
      <c r="AK820" s="3582"/>
      <c r="AL820" s="3582"/>
      <c r="AM820" s="3582"/>
      <c r="AN820" s="3582"/>
      <c r="AO820" s="3582"/>
      <c r="AP820" s="3582"/>
      <c r="AQ820" s="3582"/>
      <c r="AR820" s="3576"/>
      <c r="AS820" s="3576"/>
      <c r="AT820" s="3576"/>
      <c r="AU820" s="3576"/>
      <c r="AV820" s="3563"/>
    </row>
    <row r="821" s="3565" customFormat="1" spans="1:48">
      <c r="A821" s="3575"/>
      <c r="B821" s="3576"/>
      <c r="C821" s="3576"/>
      <c r="D821" s="3563"/>
      <c r="E821" s="3563"/>
      <c r="F821" s="3576"/>
      <c r="G821" s="3576"/>
      <c r="H821" s="3563"/>
      <c r="I821" s="3563"/>
      <c r="J821" s="3563"/>
      <c r="K821" s="3563"/>
      <c r="L821" s="3563"/>
      <c r="M821" s="3563"/>
      <c r="N821" s="3577"/>
      <c r="O821" s="3563"/>
      <c r="P821" s="3576"/>
      <c r="Q821" s="3578"/>
      <c r="R821" s="3563"/>
      <c r="S821" s="3563"/>
      <c r="T821" s="3579"/>
      <c r="U821" s="3563"/>
      <c r="V821" s="3563"/>
      <c r="W821" s="3578"/>
      <c r="X821" s="3578"/>
      <c r="Y821" s="3578"/>
      <c r="Z821" s="3578"/>
      <c r="AA821" s="3578"/>
      <c r="AB821" s="3563"/>
      <c r="AC821" s="3578"/>
      <c r="AD821" s="3578"/>
      <c r="AE821" s="3578"/>
      <c r="AF821" s="3578"/>
      <c r="AG821" s="3576"/>
      <c r="AH821" s="3576"/>
      <c r="AI821" s="3580"/>
      <c r="AJ821" s="3581"/>
      <c r="AK821" s="3582"/>
      <c r="AL821" s="3582"/>
      <c r="AM821" s="3582"/>
      <c r="AN821" s="3582"/>
      <c r="AO821" s="3582"/>
      <c r="AP821" s="3582"/>
      <c r="AQ821" s="3582"/>
      <c r="AR821" s="3576"/>
      <c r="AS821" s="3576"/>
      <c r="AT821" s="3576"/>
      <c r="AU821" s="3576"/>
      <c r="AV821" s="3563"/>
    </row>
    <row r="822" s="3565" customFormat="1" spans="1:48">
      <c r="A822" s="3575"/>
      <c r="B822" s="3576"/>
      <c r="C822" s="3576"/>
      <c r="D822" s="3563"/>
      <c r="E822" s="3563"/>
      <c r="F822" s="3576"/>
      <c r="G822" s="3576"/>
      <c r="H822" s="3563"/>
      <c r="I822" s="3563"/>
      <c r="J822" s="3563"/>
      <c r="K822" s="3563"/>
      <c r="L822" s="3563"/>
      <c r="M822" s="3563"/>
      <c r="N822" s="3577"/>
      <c r="O822" s="3563"/>
      <c r="P822" s="3576"/>
      <c r="Q822" s="3578"/>
      <c r="R822" s="3563"/>
      <c r="S822" s="3563"/>
      <c r="T822" s="3579"/>
      <c r="U822" s="3563"/>
      <c r="V822" s="3563"/>
      <c r="W822" s="3578"/>
      <c r="X822" s="3578"/>
      <c r="Y822" s="3578"/>
      <c r="Z822" s="3578"/>
      <c r="AA822" s="3578"/>
      <c r="AB822" s="3563"/>
      <c r="AC822" s="3578"/>
      <c r="AD822" s="3578"/>
      <c r="AE822" s="3578"/>
      <c r="AF822" s="3578"/>
      <c r="AG822" s="3576"/>
      <c r="AH822" s="3576"/>
      <c r="AI822" s="3580"/>
      <c r="AJ822" s="3581"/>
      <c r="AK822" s="3582"/>
      <c r="AL822" s="3582"/>
      <c r="AM822" s="3582"/>
      <c r="AN822" s="3582"/>
      <c r="AO822" s="3582"/>
      <c r="AP822" s="3582"/>
      <c r="AQ822" s="3582"/>
      <c r="AR822" s="3576"/>
      <c r="AS822" s="3576"/>
      <c r="AT822" s="3576"/>
      <c r="AU822" s="3576"/>
      <c r="AV822" s="3563"/>
    </row>
    <row r="823" s="3565" customFormat="1" spans="1:48">
      <c r="A823" s="3575"/>
      <c r="B823" s="3576"/>
      <c r="C823" s="3576"/>
      <c r="D823" s="3563"/>
      <c r="E823" s="3563"/>
      <c r="F823" s="3576"/>
      <c r="G823" s="3576"/>
      <c r="H823" s="3563"/>
      <c r="I823" s="3563"/>
      <c r="J823" s="3563"/>
      <c r="K823" s="3563"/>
      <c r="L823" s="3563"/>
      <c r="M823" s="3563"/>
      <c r="N823" s="3577"/>
      <c r="O823" s="3563"/>
      <c r="P823" s="3576"/>
      <c r="Q823" s="3578"/>
      <c r="R823" s="3563"/>
      <c r="S823" s="3563"/>
      <c r="T823" s="3579"/>
      <c r="U823" s="3563"/>
      <c r="V823" s="3563"/>
      <c r="W823" s="3578"/>
      <c r="X823" s="3578"/>
      <c r="Y823" s="3578"/>
      <c r="Z823" s="3578"/>
      <c r="AA823" s="3578"/>
      <c r="AB823" s="3563"/>
      <c r="AC823" s="3578"/>
      <c r="AD823" s="3578"/>
      <c r="AE823" s="3578"/>
      <c r="AF823" s="3578"/>
      <c r="AG823" s="3576"/>
      <c r="AH823" s="3576"/>
      <c r="AI823" s="3580"/>
      <c r="AJ823" s="3581"/>
      <c r="AK823" s="3582"/>
      <c r="AL823" s="3582"/>
      <c r="AM823" s="3582"/>
      <c r="AN823" s="3582"/>
      <c r="AO823" s="3582"/>
      <c r="AP823" s="3582"/>
      <c r="AQ823" s="3582"/>
      <c r="AR823" s="3576"/>
      <c r="AS823" s="3576"/>
      <c r="AT823" s="3576"/>
      <c r="AU823" s="3576"/>
      <c r="AV823" s="3563"/>
    </row>
    <row r="824" s="3565" customFormat="1" spans="1:48">
      <c r="A824" s="3575"/>
      <c r="B824" s="3576"/>
      <c r="C824" s="3576"/>
      <c r="D824" s="3563"/>
      <c r="E824" s="3563"/>
      <c r="F824" s="3576"/>
      <c r="G824" s="3576"/>
      <c r="H824" s="3563"/>
      <c r="I824" s="3563"/>
      <c r="J824" s="3563"/>
      <c r="K824" s="3563"/>
      <c r="L824" s="3563"/>
      <c r="M824" s="3563"/>
      <c r="N824" s="3577"/>
      <c r="O824" s="3563"/>
      <c r="P824" s="3576"/>
      <c r="Q824" s="3578"/>
      <c r="R824" s="3563"/>
      <c r="S824" s="3563"/>
      <c r="T824" s="3579"/>
      <c r="U824" s="3563"/>
      <c r="V824" s="3563"/>
      <c r="W824" s="3578"/>
      <c r="X824" s="3578"/>
      <c r="Y824" s="3578"/>
      <c r="Z824" s="3578"/>
      <c r="AA824" s="3578"/>
      <c r="AB824" s="3563"/>
      <c r="AC824" s="3578"/>
      <c r="AD824" s="3578"/>
      <c r="AE824" s="3578"/>
      <c r="AF824" s="3578"/>
      <c r="AG824" s="3576"/>
      <c r="AH824" s="3576"/>
      <c r="AI824" s="3580"/>
      <c r="AJ824" s="3581"/>
      <c r="AK824" s="3582"/>
      <c r="AL824" s="3582"/>
      <c r="AM824" s="3582"/>
      <c r="AN824" s="3582"/>
      <c r="AO824" s="3582"/>
      <c r="AP824" s="3582"/>
      <c r="AQ824" s="3582"/>
      <c r="AR824" s="3576"/>
      <c r="AS824" s="3576"/>
      <c r="AT824" s="3576"/>
      <c r="AU824" s="3576"/>
      <c r="AV824" s="3563"/>
    </row>
    <row r="825" s="3565" customFormat="1" spans="1:48">
      <c r="A825" s="3575"/>
      <c r="B825" s="3576"/>
      <c r="C825" s="3576"/>
      <c r="D825" s="3563"/>
      <c r="E825" s="3563"/>
      <c r="F825" s="3576"/>
      <c r="G825" s="3576"/>
      <c r="H825" s="3563"/>
      <c r="I825" s="3563"/>
      <c r="J825" s="3563"/>
      <c r="K825" s="3563"/>
      <c r="L825" s="3563"/>
      <c r="M825" s="3563"/>
      <c r="N825" s="3577"/>
      <c r="O825" s="3563"/>
      <c r="P825" s="3576"/>
      <c r="Q825" s="3578"/>
      <c r="R825" s="3563"/>
      <c r="S825" s="3563"/>
      <c r="T825" s="3579"/>
      <c r="U825" s="3563"/>
      <c r="V825" s="3563"/>
      <c r="W825" s="3578"/>
      <c r="X825" s="3578"/>
      <c r="Y825" s="3578"/>
      <c r="Z825" s="3578"/>
      <c r="AA825" s="3578"/>
      <c r="AB825" s="3563"/>
      <c r="AC825" s="3578"/>
      <c r="AD825" s="3578"/>
      <c r="AE825" s="3578"/>
      <c r="AF825" s="3578"/>
      <c r="AG825" s="3576"/>
      <c r="AH825" s="3576"/>
      <c r="AI825" s="3580"/>
      <c r="AJ825" s="3581"/>
      <c r="AK825" s="3582"/>
      <c r="AL825" s="3582"/>
      <c r="AM825" s="3582"/>
      <c r="AN825" s="3582"/>
      <c r="AO825" s="3582"/>
      <c r="AP825" s="3582"/>
      <c r="AQ825" s="3582"/>
      <c r="AR825" s="3576"/>
      <c r="AS825" s="3576"/>
      <c r="AT825" s="3576"/>
      <c r="AU825" s="3576"/>
      <c r="AV825" s="3563"/>
    </row>
    <row r="826" s="3565" customFormat="1" spans="1:48">
      <c r="A826" s="3575"/>
      <c r="B826" s="3576"/>
      <c r="C826" s="3576"/>
      <c r="D826" s="3563"/>
      <c r="E826" s="3563"/>
      <c r="F826" s="3576"/>
      <c r="G826" s="3576"/>
      <c r="H826" s="3563"/>
      <c r="I826" s="3563"/>
      <c r="J826" s="3563"/>
      <c r="K826" s="3563"/>
      <c r="L826" s="3563"/>
      <c r="M826" s="3563"/>
      <c r="N826" s="3577"/>
      <c r="O826" s="3563"/>
      <c r="P826" s="3576"/>
      <c r="Q826" s="3578"/>
      <c r="R826" s="3563"/>
      <c r="S826" s="3563"/>
      <c r="T826" s="3579"/>
      <c r="U826" s="3563"/>
      <c r="V826" s="3563"/>
      <c r="W826" s="3578"/>
      <c r="X826" s="3578"/>
      <c r="Y826" s="3578"/>
      <c r="Z826" s="3578"/>
      <c r="AA826" s="3578"/>
      <c r="AB826" s="3563"/>
      <c r="AC826" s="3578"/>
      <c r="AD826" s="3578"/>
      <c r="AE826" s="3578"/>
      <c r="AF826" s="3578"/>
      <c r="AG826" s="3576"/>
      <c r="AH826" s="3576"/>
      <c r="AI826" s="3580"/>
      <c r="AJ826" s="3581"/>
      <c r="AK826" s="3582"/>
      <c r="AL826" s="3582"/>
      <c r="AM826" s="3582"/>
      <c r="AN826" s="3582"/>
      <c r="AO826" s="3582"/>
      <c r="AP826" s="3582"/>
      <c r="AQ826" s="3582"/>
      <c r="AR826" s="3576"/>
      <c r="AS826" s="3576"/>
      <c r="AT826" s="3576"/>
      <c r="AU826" s="3576"/>
      <c r="AV826" s="3563"/>
    </row>
    <row r="827" s="3565" customFormat="1" spans="1:48">
      <c r="A827" s="3575"/>
      <c r="B827" s="3576"/>
      <c r="C827" s="3576"/>
      <c r="D827" s="3563"/>
      <c r="E827" s="3563"/>
      <c r="F827" s="3576"/>
      <c r="G827" s="3576"/>
      <c r="H827" s="3563"/>
      <c r="I827" s="3563"/>
      <c r="J827" s="3563"/>
      <c r="K827" s="3563"/>
      <c r="L827" s="3563"/>
      <c r="M827" s="3563"/>
      <c r="N827" s="3577"/>
      <c r="O827" s="3563"/>
      <c r="P827" s="3576"/>
      <c r="Q827" s="3578"/>
      <c r="R827" s="3563"/>
      <c r="S827" s="3563"/>
      <c r="T827" s="3579"/>
      <c r="U827" s="3563"/>
      <c r="V827" s="3563"/>
      <c r="W827" s="3578"/>
      <c r="X827" s="3578"/>
      <c r="Y827" s="3578"/>
      <c r="Z827" s="3578"/>
      <c r="AA827" s="3578"/>
      <c r="AB827" s="3563"/>
      <c r="AC827" s="3578"/>
      <c r="AD827" s="3578"/>
      <c r="AE827" s="3578"/>
      <c r="AF827" s="3578"/>
      <c r="AG827" s="3576"/>
      <c r="AH827" s="3576"/>
      <c r="AI827" s="3580"/>
      <c r="AJ827" s="3581"/>
      <c r="AK827" s="3582"/>
      <c r="AL827" s="3582"/>
      <c r="AM827" s="3582"/>
      <c r="AN827" s="3582"/>
      <c r="AO827" s="3582"/>
      <c r="AP827" s="3582"/>
      <c r="AQ827" s="3582"/>
      <c r="AR827" s="3576"/>
      <c r="AS827" s="3576"/>
      <c r="AT827" s="3576"/>
      <c r="AU827" s="3576"/>
      <c r="AV827" s="3563"/>
    </row>
    <row r="828" s="3565" customFormat="1" spans="1:48">
      <c r="A828" s="3575"/>
      <c r="B828" s="3576"/>
      <c r="C828" s="3576"/>
      <c r="D828" s="3563"/>
      <c r="E828" s="3563"/>
      <c r="F828" s="3576"/>
      <c r="G828" s="3576"/>
      <c r="H828" s="3563"/>
      <c r="I828" s="3563"/>
      <c r="J828" s="3563"/>
      <c r="K828" s="3563"/>
      <c r="L828" s="3563"/>
      <c r="M828" s="3563"/>
      <c r="N828" s="3577"/>
      <c r="O828" s="3563"/>
      <c r="P828" s="3576"/>
      <c r="Q828" s="3578"/>
      <c r="R828" s="3563"/>
      <c r="S828" s="3563"/>
      <c r="T828" s="3579"/>
      <c r="U828" s="3563"/>
      <c r="V828" s="3563"/>
      <c r="W828" s="3578"/>
      <c r="X828" s="3578"/>
      <c r="Y828" s="3578"/>
      <c r="Z828" s="3578"/>
      <c r="AA828" s="3578"/>
      <c r="AB828" s="3563"/>
      <c r="AC828" s="3578"/>
      <c r="AD828" s="3578"/>
      <c r="AE828" s="3578"/>
      <c r="AF828" s="3578"/>
      <c r="AG828" s="3576"/>
      <c r="AH828" s="3576"/>
      <c r="AI828" s="3580"/>
      <c r="AJ828" s="3581"/>
      <c r="AK828" s="3582"/>
      <c r="AL828" s="3582"/>
      <c r="AM828" s="3582"/>
      <c r="AN828" s="3582"/>
      <c r="AO828" s="3582"/>
      <c r="AP828" s="3582"/>
      <c r="AQ828" s="3582"/>
      <c r="AR828" s="3576"/>
      <c r="AS828" s="3576"/>
      <c r="AT828" s="3576"/>
      <c r="AU828" s="3576"/>
      <c r="AV828" s="3563"/>
    </row>
    <row r="829" s="3565" customFormat="1" spans="1:48">
      <c r="A829" s="3575"/>
      <c r="B829" s="3576"/>
      <c r="C829" s="3576"/>
      <c r="D829" s="3563"/>
      <c r="E829" s="3563"/>
      <c r="F829" s="3576"/>
      <c r="G829" s="3576"/>
      <c r="H829" s="3563"/>
      <c r="I829" s="3563"/>
      <c r="J829" s="3563"/>
      <c r="K829" s="3563"/>
      <c r="L829" s="3563"/>
      <c r="M829" s="3563"/>
      <c r="N829" s="3577"/>
      <c r="O829" s="3563"/>
      <c r="P829" s="3576"/>
      <c r="Q829" s="3578"/>
      <c r="R829" s="3563"/>
      <c r="S829" s="3563"/>
      <c r="T829" s="3579"/>
      <c r="U829" s="3563"/>
      <c r="V829" s="3563"/>
      <c r="W829" s="3578"/>
      <c r="X829" s="3578"/>
      <c r="Y829" s="3578"/>
      <c r="Z829" s="3578"/>
      <c r="AA829" s="3578"/>
      <c r="AB829" s="3563"/>
      <c r="AC829" s="3578"/>
      <c r="AD829" s="3578"/>
      <c r="AE829" s="3578"/>
      <c r="AF829" s="3578"/>
      <c r="AG829" s="3576"/>
      <c r="AH829" s="3576"/>
      <c r="AI829" s="3580"/>
      <c r="AJ829" s="3581"/>
      <c r="AK829" s="3582"/>
      <c r="AL829" s="3582"/>
      <c r="AM829" s="3582"/>
      <c r="AN829" s="3582"/>
      <c r="AO829" s="3582"/>
      <c r="AP829" s="3582"/>
      <c r="AQ829" s="3582"/>
      <c r="AR829" s="3576"/>
      <c r="AS829" s="3576"/>
      <c r="AT829" s="3576"/>
      <c r="AU829" s="3576"/>
      <c r="AV829" s="3563"/>
    </row>
    <row r="830" s="3565" customFormat="1" spans="1:48">
      <c r="A830" s="3575"/>
      <c r="B830" s="3576"/>
      <c r="C830" s="3576"/>
      <c r="D830" s="3563"/>
      <c r="E830" s="3563"/>
      <c r="F830" s="3576"/>
      <c r="G830" s="3576"/>
      <c r="H830" s="3563"/>
      <c r="I830" s="3563"/>
      <c r="J830" s="3563"/>
      <c r="K830" s="3563"/>
      <c r="L830" s="3563"/>
      <c r="M830" s="3563"/>
      <c r="N830" s="3577"/>
      <c r="O830" s="3563"/>
      <c r="P830" s="3576"/>
      <c r="Q830" s="3578"/>
      <c r="R830" s="3563"/>
      <c r="S830" s="3563"/>
      <c r="T830" s="3579"/>
      <c r="U830" s="3563"/>
      <c r="V830" s="3563"/>
      <c r="W830" s="3578"/>
      <c r="X830" s="3578"/>
      <c r="Y830" s="3578"/>
      <c r="Z830" s="3578"/>
      <c r="AA830" s="3578"/>
      <c r="AB830" s="3563"/>
      <c r="AC830" s="3578"/>
      <c r="AD830" s="3578"/>
      <c r="AE830" s="3578"/>
      <c r="AF830" s="3578"/>
      <c r="AG830" s="3576"/>
      <c r="AH830" s="3576"/>
      <c r="AI830" s="3580"/>
      <c r="AJ830" s="3581"/>
      <c r="AK830" s="3582"/>
      <c r="AL830" s="3582"/>
      <c r="AM830" s="3582"/>
      <c r="AN830" s="3582"/>
      <c r="AO830" s="3582"/>
      <c r="AP830" s="3582"/>
      <c r="AQ830" s="3582"/>
      <c r="AR830" s="3576"/>
      <c r="AS830" s="3576"/>
      <c r="AT830" s="3576"/>
      <c r="AU830" s="3576"/>
      <c r="AV830" s="3563"/>
    </row>
    <row r="831" s="3565" customFormat="1" spans="1:48">
      <c r="A831" s="3575"/>
      <c r="B831" s="3576"/>
      <c r="C831" s="3576"/>
      <c r="D831" s="3563"/>
      <c r="E831" s="3563"/>
      <c r="F831" s="3576"/>
      <c r="G831" s="3576"/>
      <c r="H831" s="3563"/>
      <c r="I831" s="3563"/>
      <c r="J831" s="3563"/>
      <c r="K831" s="3563"/>
      <c r="L831" s="3563"/>
      <c r="M831" s="3563"/>
      <c r="N831" s="3577"/>
      <c r="O831" s="3563"/>
      <c r="P831" s="3576"/>
      <c r="Q831" s="3578"/>
      <c r="R831" s="3563"/>
      <c r="S831" s="3563"/>
      <c r="T831" s="3579"/>
      <c r="U831" s="3563"/>
      <c r="V831" s="3563"/>
      <c r="W831" s="3578"/>
      <c r="X831" s="3578"/>
      <c r="Y831" s="3578"/>
      <c r="Z831" s="3578"/>
      <c r="AA831" s="3578"/>
      <c r="AB831" s="3563"/>
      <c r="AC831" s="3578"/>
      <c r="AD831" s="3578"/>
      <c r="AE831" s="3578"/>
      <c r="AF831" s="3578"/>
      <c r="AG831" s="3576"/>
      <c r="AH831" s="3576"/>
      <c r="AI831" s="3580"/>
      <c r="AJ831" s="3581"/>
      <c r="AK831" s="3582"/>
      <c r="AL831" s="3582"/>
      <c r="AM831" s="3582"/>
      <c r="AN831" s="3582"/>
      <c r="AO831" s="3582"/>
      <c r="AP831" s="3582"/>
      <c r="AQ831" s="3582"/>
      <c r="AR831" s="3576"/>
      <c r="AS831" s="3576"/>
      <c r="AT831" s="3576"/>
      <c r="AU831" s="3576"/>
      <c r="AV831" s="3563"/>
    </row>
    <row r="832" s="3565" customFormat="1" spans="1:48">
      <c r="A832" s="3575"/>
      <c r="B832" s="3576"/>
      <c r="C832" s="3576"/>
      <c r="D832" s="3563"/>
      <c r="E832" s="3563"/>
      <c r="F832" s="3576"/>
      <c r="G832" s="3576"/>
      <c r="H832" s="3563"/>
      <c r="I832" s="3563"/>
      <c r="J832" s="3563"/>
      <c r="K832" s="3563"/>
      <c r="L832" s="3563"/>
      <c r="M832" s="3563"/>
      <c r="N832" s="3577"/>
      <c r="O832" s="3563"/>
      <c r="P832" s="3576"/>
      <c r="Q832" s="3578"/>
      <c r="R832" s="3563"/>
      <c r="S832" s="3563"/>
      <c r="T832" s="3579"/>
      <c r="U832" s="3563"/>
      <c r="V832" s="3563"/>
      <c r="W832" s="3578"/>
      <c r="X832" s="3578"/>
      <c r="Y832" s="3578"/>
      <c r="Z832" s="3578"/>
      <c r="AA832" s="3578"/>
      <c r="AB832" s="3563"/>
      <c r="AC832" s="3578"/>
      <c r="AD832" s="3578"/>
      <c r="AE832" s="3578"/>
      <c r="AF832" s="3578"/>
      <c r="AG832" s="3576"/>
      <c r="AH832" s="3576"/>
      <c r="AI832" s="3580"/>
      <c r="AJ832" s="3581"/>
      <c r="AK832" s="3582"/>
      <c r="AL832" s="3582"/>
      <c r="AM832" s="3582"/>
      <c r="AN832" s="3582"/>
      <c r="AO832" s="3582"/>
      <c r="AP832" s="3582"/>
      <c r="AQ832" s="3582"/>
      <c r="AR832" s="3576"/>
      <c r="AS832" s="3576"/>
      <c r="AT832" s="3576"/>
      <c r="AU832" s="3576"/>
      <c r="AV832" s="3563"/>
    </row>
    <row r="833" s="3565" customFormat="1" spans="1:48">
      <c r="A833" s="3575"/>
      <c r="B833" s="3576"/>
      <c r="C833" s="3576"/>
      <c r="D833" s="3563"/>
      <c r="E833" s="3563"/>
      <c r="F833" s="3576"/>
      <c r="G833" s="3576"/>
      <c r="H833" s="3563"/>
      <c r="I833" s="3563"/>
      <c r="J833" s="3563"/>
      <c r="K833" s="3563"/>
      <c r="L833" s="3563"/>
      <c r="M833" s="3563"/>
      <c r="N833" s="3577"/>
      <c r="O833" s="3563"/>
      <c r="P833" s="3576"/>
      <c r="Q833" s="3578"/>
      <c r="R833" s="3563"/>
      <c r="S833" s="3563"/>
      <c r="T833" s="3579"/>
      <c r="U833" s="3563"/>
      <c r="V833" s="3563"/>
      <c r="W833" s="3578"/>
      <c r="X833" s="3578"/>
      <c r="Y833" s="3578"/>
      <c r="Z833" s="3578"/>
      <c r="AA833" s="3578"/>
      <c r="AB833" s="3563"/>
      <c r="AC833" s="3578"/>
      <c r="AD833" s="3578"/>
      <c r="AE833" s="3578"/>
      <c r="AF833" s="3578"/>
      <c r="AG833" s="3576"/>
      <c r="AH833" s="3576"/>
      <c r="AI833" s="3580"/>
      <c r="AJ833" s="3581"/>
      <c r="AK833" s="3582"/>
      <c r="AL833" s="3582"/>
      <c r="AM833" s="3582"/>
      <c r="AN833" s="3582"/>
      <c r="AO833" s="3582"/>
      <c r="AP833" s="3582"/>
      <c r="AQ833" s="3582"/>
      <c r="AR833" s="3576"/>
      <c r="AS833" s="3576"/>
      <c r="AT833" s="3576"/>
      <c r="AU833" s="3576"/>
      <c r="AV833" s="3563"/>
    </row>
    <row r="834" s="3565" customFormat="1" spans="1:48">
      <c r="A834" s="3575"/>
      <c r="B834" s="3576"/>
      <c r="C834" s="3576"/>
      <c r="D834" s="3563"/>
      <c r="E834" s="3563"/>
      <c r="F834" s="3576"/>
      <c r="G834" s="3576"/>
      <c r="H834" s="3563"/>
      <c r="I834" s="3563"/>
      <c r="J834" s="3563"/>
      <c r="K834" s="3563"/>
      <c r="L834" s="3563"/>
      <c r="M834" s="3563"/>
      <c r="N834" s="3577"/>
      <c r="O834" s="3563"/>
      <c r="P834" s="3576"/>
      <c r="Q834" s="3578"/>
      <c r="R834" s="3563"/>
      <c r="S834" s="3563"/>
      <c r="T834" s="3579"/>
      <c r="U834" s="3563"/>
      <c r="V834" s="3563"/>
      <c r="W834" s="3578"/>
      <c r="X834" s="3578"/>
      <c r="Y834" s="3578"/>
      <c r="Z834" s="3578"/>
      <c r="AA834" s="3578"/>
      <c r="AB834" s="3563"/>
      <c r="AC834" s="3578"/>
      <c r="AD834" s="3578"/>
      <c r="AE834" s="3578"/>
      <c r="AF834" s="3578"/>
      <c r="AG834" s="3576"/>
      <c r="AH834" s="3576"/>
      <c r="AI834" s="3580"/>
      <c r="AJ834" s="3581"/>
      <c r="AK834" s="3582"/>
      <c r="AL834" s="3582"/>
      <c r="AM834" s="3582"/>
      <c r="AN834" s="3582"/>
      <c r="AO834" s="3582"/>
      <c r="AP834" s="3582"/>
      <c r="AQ834" s="3582"/>
      <c r="AR834" s="3576"/>
      <c r="AS834" s="3576"/>
      <c r="AT834" s="3576"/>
      <c r="AU834" s="3576"/>
      <c r="AV834" s="3563"/>
    </row>
    <row r="835" s="3565" customFormat="1" spans="1:48">
      <c r="A835" s="3575"/>
      <c r="B835" s="3576"/>
      <c r="C835" s="3576"/>
      <c r="D835" s="3563"/>
      <c r="E835" s="3563"/>
      <c r="F835" s="3576"/>
      <c r="G835" s="3576"/>
      <c r="H835" s="3563"/>
      <c r="I835" s="3563"/>
      <c r="J835" s="3563"/>
      <c r="K835" s="3563"/>
      <c r="L835" s="3563"/>
      <c r="M835" s="3563"/>
      <c r="N835" s="3577"/>
      <c r="O835" s="3563"/>
      <c r="P835" s="3576"/>
      <c r="Q835" s="3578"/>
      <c r="R835" s="3563"/>
      <c r="S835" s="3563"/>
      <c r="T835" s="3579"/>
      <c r="U835" s="3563"/>
      <c r="V835" s="3563"/>
      <c r="W835" s="3578"/>
      <c r="X835" s="3578"/>
      <c r="Y835" s="3578"/>
      <c r="Z835" s="3578"/>
      <c r="AA835" s="3578"/>
      <c r="AB835" s="3563"/>
      <c r="AC835" s="3578"/>
      <c r="AD835" s="3578"/>
      <c r="AE835" s="3578"/>
      <c r="AF835" s="3578"/>
      <c r="AG835" s="3576"/>
      <c r="AH835" s="3576"/>
      <c r="AI835" s="3580"/>
      <c r="AJ835" s="3581"/>
      <c r="AK835" s="3582"/>
      <c r="AL835" s="3582"/>
      <c r="AM835" s="3582"/>
      <c r="AN835" s="3582"/>
      <c r="AO835" s="3582"/>
      <c r="AP835" s="3582"/>
      <c r="AQ835" s="3582"/>
      <c r="AR835" s="3576"/>
      <c r="AS835" s="3576"/>
      <c r="AT835" s="3576"/>
      <c r="AU835" s="3576"/>
      <c r="AV835" s="3563"/>
    </row>
    <row r="836" s="3565" customFormat="1" spans="1:48">
      <c r="A836" s="3575"/>
      <c r="B836" s="3576"/>
      <c r="C836" s="3576"/>
      <c r="D836" s="3563"/>
      <c r="E836" s="3563"/>
      <c r="F836" s="3576"/>
      <c r="G836" s="3576"/>
      <c r="H836" s="3563"/>
      <c r="I836" s="3563"/>
      <c r="J836" s="3563"/>
      <c r="K836" s="3563"/>
      <c r="L836" s="3563"/>
      <c r="M836" s="3563"/>
      <c r="N836" s="3577"/>
      <c r="O836" s="3563"/>
      <c r="P836" s="3576"/>
      <c r="Q836" s="3578"/>
      <c r="R836" s="3563"/>
      <c r="S836" s="3563"/>
      <c r="T836" s="3579"/>
      <c r="U836" s="3563"/>
      <c r="V836" s="3563"/>
      <c r="W836" s="3578"/>
      <c r="X836" s="3578"/>
      <c r="Y836" s="3578"/>
      <c r="Z836" s="3578"/>
      <c r="AA836" s="3578"/>
      <c r="AB836" s="3563"/>
      <c r="AC836" s="3578"/>
      <c r="AD836" s="3578"/>
      <c r="AE836" s="3578"/>
      <c r="AF836" s="3578"/>
      <c r="AG836" s="3576"/>
      <c r="AH836" s="3576"/>
      <c r="AI836" s="3580"/>
      <c r="AJ836" s="3581"/>
      <c r="AK836" s="3582"/>
      <c r="AL836" s="3582"/>
      <c r="AM836" s="3582"/>
      <c r="AN836" s="3582"/>
      <c r="AO836" s="3582"/>
      <c r="AP836" s="3582"/>
      <c r="AQ836" s="3582"/>
      <c r="AR836" s="3576"/>
      <c r="AS836" s="3576"/>
      <c r="AT836" s="3576"/>
      <c r="AU836" s="3576"/>
      <c r="AV836" s="3563"/>
    </row>
    <row r="837" s="3565" customFormat="1" spans="1:48">
      <c r="A837" s="3575"/>
      <c r="B837" s="3576"/>
      <c r="C837" s="3576"/>
      <c r="D837" s="3563"/>
      <c r="E837" s="3563"/>
      <c r="F837" s="3576"/>
      <c r="G837" s="3576"/>
      <c r="H837" s="3563"/>
      <c r="I837" s="3563"/>
      <c r="J837" s="3563"/>
      <c r="K837" s="3563"/>
      <c r="L837" s="3563"/>
      <c r="M837" s="3563"/>
      <c r="N837" s="3577"/>
      <c r="O837" s="3563"/>
      <c r="P837" s="3576"/>
      <c r="Q837" s="3578"/>
      <c r="R837" s="3563"/>
      <c r="S837" s="3563"/>
      <c r="T837" s="3579"/>
      <c r="U837" s="3563"/>
      <c r="V837" s="3563"/>
      <c r="W837" s="3578"/>
      <c r="X837" s="3578"/>
      <c r="Y837" s="3578"/>
      <c r="Z837" s="3578"/>
      <c r="AA837" s="3578"/>
      <c r="AB837" s="3563"/>
      <c r="AC837" s="3578"/>
      <c r="AD837" s="3578"/>
      <c r="AE837" s="3578"/>
      <c r="AF837" s="3578"/>
      <c r="AG837" s="3576"/>
      <c r="AH837" s="3576"/>
      <c r="AI837" s="3580"/>
      <c r="AJ837" s="3581"/>
      <c r="AK837" s="3582"/>
      <c r="AL837" s="3582"/>
      <c r="AM837" s="3582"/>
      <c r="AN837" s="3582"/>
      <c r="AO837" s="3582"/>
      <c r="AP837" s="3582"/>
      <c r="AQ837" s="3582"/>
      <c r="AR837" s="3576"/>
      <c r="AS837" s="3576"/>
      <c r="AT837" s="3576"/>
      <c r="AU837" s="3576"/>
      <c r="AV837" s="3563"/>
    </row>
    <row r="838" s="3565" customFormat="1" spans="1:48">
      <c r="A838" s="3575"/>
      <c r="B838" s="3576"/>
      <c r="C838" s="3576"/>
      <c r="D838" s="3563"/>
      <c r="E838" s="3563"/>
      <c r="F838" s="3576"/>
      <c r="G838" s="3576"/>
      <c r="H838" s="3563"/>
      <c r="I838" s="3563"/>
      <c r="J838" s="3563"/>
      <c r="K838" s="3563"/>
      <c r="L838" s="3563"/>
      <c r="M838" s="3563"/>
      <c r="N838" s="3577"/>
      <c r="O838" s="3563"/>
      <c r="P838" s="3576"/>
      <c r="Q838" s="3578"/>
      <c r="R838" s="3563"/>
      <c r="S838" s="3563"/>
      <c r="T838" s="3579"/>
      <c r="U838" s="3563"/>
      <c r="V838" s="3563"/>
      <c r="W838" s="3578"/>
      <c r="X838" s="3578"/>
      <c r="Y838" s="3578"/>
      <c r="Z838" s="3578"/>
      <c r="AA838" s="3578"/>
      <c r="AB838" s="3563"/>
      <c r="AC838" s="3578"/>
      <c r="AD838" s="3578"/>
      <c r="AE838" s="3578"/>
      <c r="AF838" s="3578"/>
      <c r="AG838" s="3576"/>
      <c r="AH838" s="3576"/>
      <c r="AI838" s="3580"/>
      <c r="AJ838" s="3581"/>
      <c r="AK838" s="3582"/>
      <c r="AL838" s="3582"/>
      <c r="AM838" s="3582"/>
      <c r="AN838" s="3582"/>
      <c r="AO838" s="3582"/>
      <c r="AP838" s="3582"/>
      <c r="AQ838" s="3582"/>
      <c r="AR838" s="3576"/>
      <c r="AS838" s="3576"/>
      <c r="AT838" s="3576"/>
      <c r="AU838" s="3576"/>
      <c r="AV838" s="3563"/>
    </row>
    <row r="839" s="3565" customFormat="1" spans="1:48">
      <c r="A839" s="3575"/>
      <c r="B839" s="3576"/>
      <c r="C839" s="3576"/>
      <c r="D839" s="3563"/>
      <c r="E839" s="3563"/>
      <c r="F839" s="3576"/>
      <c r="G839" s="3576"/>
      <c r="H839" s="3563"/>
      <c r="I839" s="3563"/>
      <c r="J839" s="3563"/>
      <c r="K839" s="3563"/>
      <c r="L839" s="3563"/>
      <c r="M839" s="3563"/>
      <c r="N839" s="3577"/>
      <c r="O839" s="3563"/>
      <c r="P839" s="3576"/>
      <c r="Q839" s="3578"/>
      <c r="R839" s="3563"/>
      <c r="S839" s="3563"/>
      <c r="T839" s="3579"/>
      <c r="U839" s="3563"/>
      <c r="V839" s="3563"/>
      <c r="W839" s="3578"/>
      <c r="X839" s="3578"/>
      <c r="Y839" s="3578"/>
      <c r="Z839" s="3578"/>
      <c r="AA839" s="3578"/>
      <c r="AB839" s="3563"/>
      <c r="AC839" s="3578"/>
      <c r="AD839" s="3578"/>
      <c r="AE839" s="3578"/>
      <c r="AF839" s="3578"/>
      <c r="AG839" s="3576"/>
      <c r="AH839" s="3576"/>
      <c r="AI839" s="3580"/>
      <c r="AJ839" s="3581"/>
      <c r="AK839" s="3582"/>
      <c r="AL839" s="3582"/>
      <c r="AM839" s="3582"/>
      <c r="AN839" s="3582"/>
      <c r="AO839" s="3582"/>
      <c r="AP839" s="3582"/>
      <c r="AQ839" s="3582"/>
      <c r="AR839" s="3576"/>
      <c r="AS839" s="3576"/>
      <c r="AT839" s="3576"/>
      <c r="AU839" s="3576"/>
      <c r="AV839" s="3563"/>
    </row>
    <row r="840" s="3565" customFormat="1" spans="1:48">
      <c r="A840" s="3575"/>
      <c r="B840" s="3576"/>
      <c r="C840" s="3576"/>
      <c r="D840" s="3563"/>
      <c r="E840" s="3563"/>
      <c r="F840" s="3576"/>
      <c r="G840" s="3576"/>
      <c r="H840" s="3563"/>
      <c r="I840" s="3563"/>
      <c r="J840" s="3563"/>
      <c r="K840" s="3563"/>
      <c r="L840" s="3563"/>
      <c r="M840" s="3563"/>
      <c r="N840" s="3577"/>
      <c r="O840" s="3563"/>
      <c r="P840" s="3576"/>
      <c r="Q840" s="3578"/>
      <c r="R840" s="3563"/>
      <c r="S840" s="3563"/>
      <c r="T840" s="3579"/>
      <c r="U840" s="3563"/>
      <c r="V840" s="3563"/>
      <c r="W840" s="3578"/>
      <c r="X840" s="3578"/>
      <c r="Y840" s="3578"/>
      <c r="Z840" s="3578"/>
      <c r="AA840" s="3578"/>
      <c r="AB840" s="3563"/>
      <c r="AC840" s="3578"/>
      <c r="AD840" s="3578"/>
      <c r="AE840" s="3578"/>
      <c r="AF840" s="3578"/>
      <c r="AG840" s="3576"/>
      <c r="AH840" s="3576"/>
      <c r="AI840" s="3580"/>
      <c r="AJ840" s="3581"/>
      <c r="AK840" s="3582"/>
      <c r="AL840" s="3582"/>
      <c r="AM840" s="3582"/>
      <c r="AN840" s="3582"/>
      <c r="AO840" s="3582"/>
      <c r="AP840" s="3582"/>
      <c r="AQ840" s="3582"/>
      <c r="AR840" s="3576"/>
      <c r="AS840" s="3576"/>
      <c r="AT840" s="3576"/>
      <c r="AU840" s="3576"/>
      <c r="AV840" s="3563"/>
    </row>
    <row r="841" s="3565" customFormat="1" spans="1:48">
      <c r="A841" s="3575"/>
      <c r="B841" s="3576"/>
      <c r="C841" s="3576"/>
      <c r="D841" s="3563"/>
      <c r="E841" s="3563"/>
      <c r="F841" s="3576"/>
      <c r="G841" s="3576"/>
      <c r="H841" s="3563"/>
      <c r="I841" s="3563"/>
      <c r="J841" s="3563"/>
      <c r="K841" s="3563"/>
      <c r="L841" s="3563"/>
      <c r="M841" s="3563"/>
      <c r="N841" s="3577"/>
      <c r="O841" s="3563"/>
      <c r="P841" s="3576"/>
      <c r="Q841" s="3578"/>
      <c r="R841" s="3563"/>
      <c r="S841" s="3563"/>
      <c r="T841" s="3579"/>
      <c r="U841" s="3563"/>
      <c r="V841" s="3563"/>
      <c r="W841" s="3578"/>
      <c r="X841" s="3578"/>
      <c r="Y841" s="3578"/>
      <c r="Z841" s="3578"/>
      <c r="AA841" s="3578"/>
      <c r="AB841" s="3563"/>
      <c r="AC841" s="3578"/>
      <c r="AD841" s="3578"/>
      <c r="AE841" s="3578"/>
      <c r="AF841" s="3578"/>
      <c r="AG841" s="3576"/>
      <c r="AH841" s="3576"/>
      <c r="AI841" s="3580"/>
      <c r="AJ841" s="3581"/>
      <c r="AK841" s="3582"/>
      <c r="AL841" s="3582"/>
      <c r="AM841" s="3582"/>
      <c r="AN841" s="3582"/>
      <c r="AO841" s="3582"/>
      <c r="AP841" s="3582"/>
      <c r="AQ841" s="3582"/>
      <c r="AR841" s="3576"/>
      <c r="AS841" s="3576"/>
      <c r="AT841" s="3576"/>
      <c r="AU841" s="3576"/>
      <c r="AV841" s="3563"/>
    </row>
    <row r="842" s="3565" customFormat="1" spans="1:48">
      <c r="A842" s="3575"/>
      <c r="B842" s="3576"/>
      <c r="C842" s="3576"/>
      <c r="D842" s="3563"/>
      <c r="E842" s="3563"/>
      <c r="F842" s="3576"/>
      <c r="G842" s="3576"/>
      <c r="H842" s="3563"/>
      <c r="I842" s="3563"/>
      <c r="J842" s="3563"/>
      <c r="K842" s="3563"/>
      <c r="L842" s="3563"/>
      <c r="M842" s="3563"/>
      <c r="N842" s="3577"/>
      <c r="O842" s="3563"/>
      <c r="P842" s="3576"/>
      <c r="Q842" s="3578"/>
      <c r="R842" s="3563"/>
      <c r="S842" s="3563"/>
      <c r="T842" s="3579"/>
      <c r="U842" s="3563"/>
      <c r="V842" s="3563"/>
      <c r="W842" s="3578"/>
      <c r="X842" s="3578"/>
      <c r="Y842" s="3578"/>
      <c r="Z842" s="3578"/>
      <c r="AA842" s="3578"/>
      <c r="AB842" s="3563"/>
      <c r="AC842" s="3578"/>
      <c r="AD842" s="3578"/>
      <c r="AE842" s="3578"/>
      <c r="AF842" s="3578"/>
      <c r="AG842" s="3576"/>
      <c r="AH842" s="3576"/>
      <c r="AI842" s="3580"/>
      <c r="AJ842" s="3581"/>
      <c r="AK842" s="3582"/>
      <c r="AL842" s="3582"/>
      <c r="AM842" s="3582"/>
      <c r="AN842" s="3582"/>
      <c r="AO842" s="3582"/>
      <c r="AP842" s="3582"/>
      <c r="AQ842" s="3582"/>
      <c r="AR842" s="3576"/>
      <c r="AS842" s="3576"/>
      <c r="AT842" s="3576"/>
      <c r="AU842" s="3576"/>
      <c r="AV842" s="3563"/>
    </row>
    <row r="843" s="3565" customFormat="1" spans="1:48">
      <c r="A843" s="3575"/>
      <c r="B843" s="3576"/>
      <c r="C843" s="3576"/>
      <c r="D843" s="3563"/>
      <c r="E843" s="3563"/>
      <c r="F843" s="3576"/>
      <c r="G843" s="3576"/>
      <c r="H843" s="3563"/>
      <c r="I843" s="3563"/>
      <c r="J843" s="3563"/>
      <c r="K843" s="3563"/>
      <c r="L843" s="3563"/>
      <c r="M843" s="3563"/>
      <c r="N843" s="3577"/>
      <c r="O843" s="3563"/>
      <c r="P843" s="3576"/>
      <c r="Q843" s="3578"/>
      <c r="R843" s="3563"/>
      <c r="S843" s="3563"/>
      <c r="T843" s="3579"/>
      <c r="U843" s="3563"/>
      <c r="V843" s="3563"/>
      <c r="W843" s="3578"/>
      <c r="X843" s="3578"/>
      <c r="Y843" s="3578"/>
      <c r="Z843" s="3578"/>
      <c r="AA843" s="3578"/>
      <c r="AB843" s="3563"/>
      <c r="AC843" s="3578"/>
      <c r="AD843" s="3578"/>
      <c r="AE843" s="3578"/>
      <c r="AF843" s="3578"/>
      <c r="AG843" s="3576"/>
      <c r="AH843" s="3576"/>
      <c r="AI843" s="3580"/>
      <c r="AJ843" s="3581"/>
      <c r="AK843" s="3582"/>
      <c r="AL843" s="3582"/>
      <c r="AM843" s="3582"/>
      <c r="AN843" s="3582"/>
      <c r="AO843" s="3582"/>
      <c r="AP843" s="3582"/>
      <c r="AQ843" s="3582"/>
      <c r="AR843" s="3576"/>
      <c r="AS843" s="3576"/>
      <c r="AT843" s="3576"/>
      <c r="AU843" s="3576"/>
      <c r="AV843" s="3563"/>
    </row>
    <row r="844" s="3565" customFormat="1" spans="1:48">
      <c r="A844" s="3575"/>
      <c r="B844" s="3576"/>
      <c r="C844" s="3576"/>
      <c r="D844" s="3563"/>
      <c r="E844" s="3563"/>
      <c r="F844" s="3576"/>
      <c r="G844" s="3576"/>
      <c r="H844" s="3563"/>
      <c r="I844" s="3563"/>
      <c r="J844" s="3563"/>
      <c r="K844" s="3563"/>
      <c r="L844" s="3563"/>
      <c r="M844" s="3563"/>
      <c r="N844" s="3577"/>
      <c r="O844" s="3563"/>
      <c r="P844" s="3576"/>
      <c r="Q844" s="3578"/>
      <c r="R844" s="3563"/>
      <c r="S844" s="3563"/>
      <c r="T844" s="3579"/>
      <c r="U844" s="3563"/>
      <c r="V844" s="3563"/>
      <c r="W844" s="3578"/>
      <c r="X844" s="3578"/>
      <c r="Y844" s="3578"/>
      <c r="Z844" s="3578"/>
      <c r="AA844" s="3578"/>
      <c r="AB844" s="3563"/>
      <c r="AC844" s="3578"/>
      <c r="AD844" s="3578"/>
      <c r="AE844" s="3578"/>
      <c r="AF844" s="3578"/>
      <c r="AG844" s="3576"/>
      <c r="AH844" s="3576"/>
      <c r="AI844" s="3580"/>
      <c r="AJ844" s="3581"/>
      <c r="AK844" s="3582"/>
      <c r="AL844" s="3582"/>
      <c r="AM844" s="3582"/>
      <c r="AN844" s="3582"/>
      <c r="AO844" s="3582"/>
      <c r="AP844" s="3582"/>
      <c r="AQ844" s="3582"/>
      <c r="AR844" s="3576"/>
      <c r="AS844" s="3576"/>
      <c r="AT844" s="3576"/>
      <c r="AU844" s="3576"/>
      <c r="AV844" s="3563"/>
    </row>
    <row r="845" s="3565" customFormat="1" spans="1:48">
      <c r="A845" s="3575"/>
      <c r="B845" s="3576"/>
      <c r="C845" s="3576"/>
      <c r="D845" s="3563"/>
      <c r="E845" s="3563"/>
      <c r="F845" s="3576"/>
      <c r="G845" s="3576"/>
      <c r="H845" s="3563"/>
      <c r="I845" s="3563"/>
      <c r="J845" s="3563"/>
      <c r="K845" s="3563"/>
      <c r="L845" s="3563"/>
      <c r="M845" s="3563"/>
      <c r="N845" s="3577"/>
      <c r="O845" s="3563"/>
      <c r="P845" s="3576"/>
      <c r="Q845" s="3578"/>
      <c r="R845" s="3563"/>
      <c r="S845" s="3563"/>
      <c r="T845" s="3579"/>
      <c r="U845" s="3563"/>
      <c r="V845" s="3563"/>
      <c r="W845" s="3578"/>
      <c r="X845" s="3578"/>
      <c r="Y845" s="3578"/>
      <c r="Z845" s="3578"/>
      <c r="AA845" s="3578"/>
      <c r="AB845" s="3563"/>
      <c r="AC845" s="3578"/>
      <c r="AD845" s="3578"/>
      <c r="AE845" s="3578"/>
      <c r="AF845" s="3578"/>
      <c r="AG845" s="3576"/>
      <c r="AH845" s="3576"/>
      <c r="AI845" s="3580"/>
      <c r="AJ845" s="3581"/>
      <c r="AK845" s="3582"/>
      <c r="AL845" s="3582"/>
      <c r="AM845" s="3582"/>
      <c r="AN845" s="3582"/>
      <c r="AO845" s="3582"/>
      <c r="AP845" s="3582"/>
      <c r="AQ845" s="3582"/>
      <c r="AR845" s="3576"/>
      <c r="AS845" s="3576"/>
      <c r="AT845" s="3576"/>
      <c r="AU845" s="3576"/>
      <c r="AV845" s="3563"/>
    </row>
    <row r="846" s="3565" customFormat="1" spans="1:48">
      <c r="A846" s="3575"/>
      <c r="B846" s="3576"/>
      <c r="C846" s="3576"/>
      <c r="D846" s="3563"/>
      <c r="E846" s="3563"/>
      <c r="F846" s="3576"/>
      <c r="G846" s="3576"/>
      <c r="H846" s="3563"/>
      <c r="I846" s="3563"/>
      <c r="J846" s="3563"/>
      <c r="K846" s="3563"/>
      <c r="L846" s="3563"/>
      <c r="M846" s="3563"/>
      <c r="N846" s="3577"/>
      <c r="O846" s="3563"/>
      <c r="P846" s="3576"/>
      <c r="Q846" s="3578"/>
      <c r="R846" s="3563"/>
      <c r="S846" s="3563"/>
      <c r="T846" s="3579"/>
      <c r="U846" s="3563"/>
      <c r="V846" s="3563"/>
      <c r="W846" s="3578"/>
      <c r="X846" s="3578"/>
      <c r="Y846" s="3578"/>
      <c r="Z846" s="3578"/>
      <c r="AA846" s="3578"/>
      <c r="AB846" s="3563"/>
      <c r="AC846" s="3578"/>
      <c r="AD846" s="3578"/>
      <c r="AE846" s="3578"/>
      <c r="AF846" s="3578"/>
      <c r="AG846" s="3576"/>
      <c r="AH846" s="3576"/>
      <c r="AI846" s="3580"/>
      <c r="AJ846" s="3581"/>
      <c r="AK846" s="3582"/>
      <c r="AL846" s="3582"/>
      <c r="AM846" s="3582"/>
      <c r="AN846" s="3582"/>
      <c r="AO846" s="3582"/>
      <c r="AP846" s="3582"/>
      <c r="AQ846" s="3582"/>
      <c r="AR846" s="3576"/>
      <c r="AS846" s="3576"/>
      <c r="AT846" s="3576"/>
      <c r="AU846" s="3576"/>
      <c r="AV846" s="3563"/>
    </row>
    <row r="847" s="3565" customFormat="1" spans="1:48">
      <c r="A847" s="3575"/>
      <c r="B847" s="3576"/>
      <c r="C847" s="3576"/>
      <c r="D847" s="3563"/>
      <c r="E847" s="3563"/>
      <c r="F847" s="3576"/>
      <c r="G847" s="3576"/>
      <c r="H847" s="3563"/>
      <c r="I847" s="3563"/>
      <c r="J847" s="3563"/>
      <c r="K847" s="3563"/>
      <c r="L847" s="3563"/>
      <c r="M847" s="3563"/>
      <c r="N847" s="3577"/>
      <c r="O847" s="3563"/>
      <c r="P847" s="3576"/>
      <c r="Q847" s="3578"/>
      <c r="R847" s="3563"/>
      <c r="S847" s="3563"/>
      <c r="T847" s="3579"/>
      <c r="U847" s="3563"/>
      <c r="V847" s="3563"/>
      <c r="W847" s="3578"/>
      <c r="X847" s="3578"/>
      <c r="Y847" s="3578"/>
      <c r="Z847" s="3578"/>
      <c r="AA847" s="3578"/>
      <c r="AB847" s="3563"/>
      <c r="AC847" s="3578"/>
      <c r="AD847" s="3578"/>
      <c r="AE847" s="3578"/>
      <c r="AF847" s="3578"/>
      <c r="AG847" s="3576"/>
      <c r="AH847" s="3576"/>
      <c r="AI847" s="3580"/>
      <c r="AJ847" s="3581"/>
      <c r="AK847" s="3582"/>
      <c r="AL847" s="3582"/>
      <c r="AM847" s="3582"/>
      <c r="AN847" s="3582"/>
      <c r="AO847" s="3582"/>
      <c r="AP847" s="3582"/>
      <c r="AQ847" s="3582"/>
      <c r="AR847" s="3576"/>
      <c r="AS847" s="3576"/>
      <c r="AT847" s="3576"/>
      <c r="AU847" s="3576"/>
      <c r="AV847" s="3563"/>
    </row>
    <row r="848" s="3565" customFormat="1" spans="1:48">
      <c r="A848" s="3575"/>
      <c r="B848" s="3576"/>
      <c r="C848" s="3576"/>
      <c r="D848" s="3563"/>
      <c r="E848" s="3563"/>
      <c r="F848" s="3576"/>
      <c r="G848" s="3576"/>
      <c r="H848" s="3563"/>
      <c r="I848" s="3563"/>
      <c r="J848" s="3563"/>
      <c r="K848" s="3563"/>
      <c r="L848" s="3563"/>
      <c r="M848" s="3563"/>
      <c r="N848" s="3577"/>
      <c r="O848" s="3563"/>
      <c r="P848" s="3576"/>
      <c r="Q848" s="3578"/>
      <c r="R848" s="3563"/>
      <c r="S848" s="3563"/>
      <c r="T848" s="3579"/>
      <c r="U848" s="3563"/>
      <c r="V848" s="3563"/>
      <c r="W848" s="3578"/>
      <c r="X848" s="3578"/>
      <c r="Y848" s="3578"/>
      <c r="Z848" s="3578"/>
      <c r="AA848" s="3578"/>
      <c r="AB848" s="3563"/>
      <c r="AC848" s="3578"/>
      <c r="AD848" s="3578"/>
      <c r="AE848" s="3578"/>
      <c r="AF848" s="3578"/>
      <c r="AG848" s="3576"/>
      <c r="AH848" s="3576"/>
      <c r="AI848" s="3580"/>
      <c r="AJ848" s="3581"/>
      <c r="AK848" s="3582"/>
      <c r="AL848" s="3582"/>
      <c r="AM848" s="3582"/>
      <c r="AN848" s="3582"/>
      <c r="AO848" s="3582"/>
      <c r="AP848" s="3582"/>
      <c r="AQ848" s="3582"/>
      <c r="AR848" s="3576"/>
      <c r="AS848" s="3576"/>
      <c r="AT848" s="3576"/>
      <c r="AU848" s="3576"/>
      <c r="AV848" s="3563"/>
    </row>
    <row r="849" s="3565" customFormat="1" spans="1:48">
      <c r="A849" s="3575"/>
      <c r="B849" s="3576"/>
      <c r="C849" s="3576"/>
      <c r="D849" s="3563"/>
      <c r="E849" s="3563"/>
      <c r="F849" s="3576"/>
      <c r="G849" s="3576"/>
      <c r="H849" s="3563"/>
      <c r="I849" s="3563"/>
      <c r="J849" s="3563"/>
      <c r="K849" s="3563"/>
      <c r="L849" s="3563"/>
      <c r="M849" s="3563"/>
      <c r="N849" s="3577"/>
      <c r="O849" s="3563"/>
      <c r="P849" s="3576"/>
      <c r="Q849" s="3578"/>
      <c r="R849" s="3563"/>
      <c r="S849" s="3563"/>
      <c r="T849" s="3579"/>
      <c r="U849" s="3563"/>
      <c r="V849" s="3563"/>
      <c r="W849" s="3578"/>
      <c r="X849" s="3578"/>
      <c r="Y849" s="3578"/>
      <c r="Z849" s="3578"/>
      <c r="AA849" s="3578"/>
      <c r="AB849" s="3563"/>
      <c r="AC849" s="3578"/>
      <c r="AD849" s="3578"/>
      <c r="AE849" s="3578"/>
      <c r="AF849" s="3578"/>
      <c r="AG849" s="3576"/>
      <c r="AH849" s="3576"/>
      <c r="AI849" s="3580"/>
      <c r="AJ849" s="3581"/>
      <c r="AK849" s="3582"/>
      <c r="AL849" s="3582"/>
      <c r="AM849" s="3582"/>
      <c r="AN849" s="3582"/>
      <c r="AO849" s="3582"/>
      <c r="AP849" s="3582"/>
      <c r="AQ849" s="3582"/>
      <c r="AR849" s="3576"/>
      <c r="AS849" s="3576"/>
      <c r="AT849" s="3576"/>
      <c r="AU849" s="3576"/>
      <c r="AV849" s="3563"/>
    </row>
    <row r="850" s="3565" customFormat="1" spans="1:48">
      <c r="A850" s="3575"/>
      <c r="B850" s="3576"/>
      <c r="C850" s="3576"/>
      <c r="D850" s="3563"/>
      <c r="E850" s="3563"/>
      <c r="F850" s="3576"/>
      <c r="G850" s="3576"/>
      <c r="H850" s="3563"/>
      <c r="I850" s="3563"/>
      <c r="J850" s="3563"/>
      <c r="K850" s="3563"/>
      <c r="L850" s="3563"/>
      <c r="M850" s="3563"/>
      <c r="N850" s="3577"/>
      <c r="O850" s="3563"/>
      <c r="P850" s="3576"/>
      <c r="Q850" s="3578"/>
      <c r="R850" s="3563"/>
      <c r="S850" s="3563"/>
      <c r="T850" s="3579"/>
      <c r="U850" s="3563"/>
      <c r="V850" s="3563"/>
      <c r="W850" s="3578"/>
      <c r="X850" s="3578"/>
      <c r="Y850" s="3578"/>
      <c r="Z850" s="3578"/>
      <c r="AA850" s="3578"/>
      <c r="AB850" s="3563"/>
      <c r="AC850" s="3578"/>
      <c r="AD850" s="3578"/>
      <c r="AE850" s="3578"/>
      <c r="AF850" s="3578"/>
      <c r="AG850" s="3576"/>
      <c r="AH850" s="3576"/>
      <c r="AI850" s="3580"/>
      <c r="AJ850" s="3581"/>
      <c r="AK850" s="3582"/>
      <c r="AL850" s="3582"/>
      <c r="AM850" s="3582"/>
      <c r="AN850" s="3582"/>
      <c r="AO850" s="3582"/>
      <c r="AP850" s="3582"/>
      <c r="AQ850" s="3582"/>
      <c r="AR850" s="3576"/>
      <c r="AS850" s="3576"/>
      <c r="AT850" s="3576"/>
      <c r="AU850" s="3576"/>
      <c r="AV850" s="3563"/>
    </row>
    <row r="851" s="3565" customFormat="1" spans="1:48">
      <c r="A851" s="3575"/>
      <c r="B851" s="3576"/>
      <c r="C851" s="3576"/>
      <c r="D851" s="3563"/>
      <c r="E851" s="3563"/>
      <c r="F851" s="3576"/>
      <c r="G851" s="3576"/>
      <c r="H851" s="3563"/>
      <c r="I851" s="3563"/>
      <c r="J851" s="3563"/>
      <c r="K851" s="3563"/>
      <c r="L851" s="3563"/>
      <c r="M851" s="3563"/>
      <c r="N851" s="3577"/>
      <c r="O851" s="3563"/>
      <c r="P851" s="3576"/>
      <c r="Q851" s="3578"/>
      <c r="R851" s="3563"/>
      <c r="S851" s="3563"/>
      <c r="T851" s="3579"/>
      <c r="U851" s="3563"/>
      <c r="V851" s="3563"/>
      <c r="W851" s="3578"/>
      <c r="X851" s="3578"/>
      <c r="Y851" s="3578"/>
      <c r="Z851" s="3578"/>
      <c r="AA851" s="3578"/>
      <c r="AB851" s="3563"/>
      <c r="AC851" s="3578"/>
      <c r="AD851" s="3578"/>
      <c r="AE851" s="3578"/>
      <c r="AF851" s="3578"/>
      <c r="AG851" s="3576"/>
      <c r="AH851" s="3576"/>
      <c r="AI851" s="3580"/>
      <c r="AJ851" s="3581"/>
      <c r="AK851" s="3582"/>
      <c r="AL851" s="3582"/>
      <c r="AM851" s="3582"/>
      <c r="AN851" s="3582"/>
      <c r="AO851" s="3582"/>
      <c r="AP851" s="3582"/>
      <c r="AQ851" s="3582"/>
      <c r="AR851" s="3576"/>
      <c r="AS851" s="3576"/>
      <c r="AT851" s="3576"/>
      <c r="AU851" s="3576"/>
      <c r="AV851" s="3563"/>
    </row>
    <row r="852" s="3565" customFormat="1" spans="1:48">
      <c r="A852" s="3575"/>
      <c r="B852" s="3576"/>
      <c r="C852" s="3576"/>
      <c r="D852" s="3563"/>
      <c r="E852" s="3563"/>
      <c r="F852" s="3576"/>
      <c r="G852" s="3576"/>
      <c r="H852" s="3563"/>
      <c r="I852" s="3563"/>
      <c r="J852" s="3563"/>
      <c r="K852" s="3563"/>
      <c r="L852" s="3563"/>
      <c r="M852" s="3563"/>
      <c r="N852" s="3577"/>
      <c r="O852" s="3563"/>
      <c r="P852" s="3576"/>
      <c r="Q852" s="3578"/>
      <c r="R852" s="3563"/>
      <c r="S852" s="3563"/>
      <c r="T852" s="3579"/>
      <c r="U852" s="3563"/>
      <c r="V852" s="3563"/>
      <c r="W852" s="3578"/>
      <c r="X852" s="3578"/>
      <c r="Y852" s="3578"/>
      <c r="Z852" s="3578"/>
      <c r="AA852" s="3578"/>
      <c r="AB852" s="3563"/>
      <c r="AC852" s="3578"/>
      <c r="AD852" s="3578"/>
      <c r="AE852" s="3578"/>
      <c r="AF852" s="3578"/>
      <c r="AG852" s="3576"/>
      <c r="AH852" s="3576"/>
      <c r="AI852" s="3580"/>
      <c r="AJ852" s="3581"/>
      <c r="AK852" s="3582"/>
      <c r="AL852" s="3582"/>
      <c r="AM852" s="3582"/>
      <c r="AN852" s="3582"/>
      <c r="AO852" s="3582"/>
      <c r="AP852" s="3582"/>
      <c r="AQ852" s="3582"/>
      <c r="AR852" s="3576"/>
      <c r="AS852" s="3576"/>
      <c r="AT852" s="3576"/>
      <c r="AU852" s="3576"/>
      <c r="AV852" s="3563"/>
    </row>
    <row r="853" s="3565" customFormat="1" spans="1:48">
      <c r="A853" s="3575"/>
      <c r="B853" s="3576"/>
      <c r="C853" s="3576"/>
      <c r="D853" s="3563"/>
      <c r="E853" s="3563"/>
      <c r="F853" s="3576"/>
      <c r="G853" s="3576"/>
      <c r="H853" s="3563"/>
      <c r="I853" s="3563"/>
      <c r="J853" s="3563"/>
      <c r="K853" s="3563"/>
      <c r="L853" s="3563"/>
      <c r="M853" s="3563"/>
      <c r="N853" s="3577"/>
      <c r="O853" s="3563"/>
      <c r="P853" s="3576"/>
      <c r="Q853" s="3578"/>
      <c r="R853" s="3563"/>
      <c r="S853" s="3563"/>
      <c r="T853" s="3579"/>
      <c r="U853" s="3563"/>
      <c r="V853" s="3563"/>
      <c r="W853" s="3578"/>
      <c r="X853" s="3578"/>
      <c r="Y853" s="3578"/>
      <c r="Z853" s="3578"/>
      <c r="AA853" s="3578"/>
      <c r="AB853" s="3563"/>
      <c r="AC853" s="3578"/>
      <c r="AD853" s="3578"/>
      <c r="AE853" s="3578"/>
      <c r="AF853" s="3578"/>
      <c r="AG853" s="3576"/>
      <c r="AH853" s="3576"/>
      <c r="AI853" s="3580"/>
      <c r="AJ853" s="3581"/>
      <c r="AK853" s="3582"/>
      <c r="AL853" s="3582"/>
      <c r="AM853" s="3582"/>
      <c r="AN853" s="3582"/>
      <c r="AO853" s="3582"/>
      <c r="AP853" s="3582"/>
      <c r="AQ853" s="3582"/>
      <c r="AR853" s="3576"/>
      <c r="AS853" s="3576"/>
      <c r="AT853" s="3576"/>
      <c r="AU853" s="3576"/>
      <c r="AV853" s="3563"/>
    </row>
    <row r="854" s="3565" customFormat="1" spans="1:48">
      <c r="A854" s="3575"/>
      <c r="B854" s="3576"/>
      <c r="C854" s="3576"/>
      <c r="D854" s="3563"/>
      <c r="E854" s="3563"/>
      <c r="F854" s="3576"/>
      <c r="G854" s="3576"/>
      <c r="H854" s="3563"/>
      <c r="I854" s="3563"/>
      <c r="J854" s="3563"/>
      <c r="K854" s="3563"/>
      <c r="L854" s="3563"/>
      <c r="M854" s="3563"/>
      <c r="N854" s="3577"/>
      <c r="O854" s="3563"/>
      <c r="P854" s="3576"/>
      <c r="Q854" s="3578"/>
      <c r="R854" s="3563"/>
      <c r="S854" s="3563"/>
      <c r="T854" s="3579"/>
      <c r="U854" s="3563"/>
      <c r="V854" s="3563"/>
      <c r="W854" s="3578"/>
      <c r="X854" s="3578"/>
      <c r="Y854" s="3578"/>
      <c r="Z854" s="3578"/>
      <c r="AA854" s="3578"/>
      <c r="AB854" s="3563"/>
      <c r="AC854" s="3578"/>
      <c r="AD854" s="3578"/>
      <c r="AE854" s="3578"/>
      <c r="AF854" s="3578"/>
      <c r="AG854" s="3576"/>
      <c r="AH854" s="3576"/>
      <c r="AI854" s="3580"/>
      <c r="AJ854" s="3581"/>
      <c r="AK854" s="3582"/>
      <c r="AL854" s="3582"/>
      <c r="AM854" s="3582"/>
      <c r="AN854" s="3582"/>
      <c r="AO854" s="3582"/>
      <c r="AP854" s="3582"/>
      <c r="AQ854" s="3582"/>
      <c r="AR854" s="3576"/>
      <c r="AS854" s="3576"/>
      <c r="AT854" s="3576"/>
      <c r="AU854" s="3576"/>
      <c r="AV854" s="3563"/>
    </row>
    <row r="855" s="3565" customFormat="1" spans="1:48">
      <c r="A855" s="3575"/>
      <c r="B855" s="3576"/>
      <c r="C855" s="3576"/>
      <c r="D855" s="3563"/>
      <c r="E855" s="3563"/>
      <c r="F855" s="3576"/>
      <c r="G855" s="3576"/>
      <c r="H855" s="3563"/>
      <c r="I855" s="3563"/>
      <c r="J855" s="3563"/>
      <c r="K855" s="3563"/>
      <c r="L855" s="3563"/>
      <c r="M855" s="3563"/>
      <c r="N855" s="3577"/>
      <c r="O855" s="3563"/>
      <c r="P855" s="3576"/>
      <c r="Q855" s="3578"/>
      <c r="R855" s="3563"/>
      <c r="S855" s="3563"/>
      <c r="T855" s="3579"/>
      <c r="U855" s="3563"/>
      <c r="V855" s="3563"/>
      <c r="W855" s="3578"/>
      <c r="X855" s="3578"/>
      <c r="Y855" s="3578"/>
      <c r="Z855" s="3578"/>
      <c r="AA855" s="3578"/>
      <c r="AB855" s="3563"/>
      <c r="AC855" s="3578"/>
      <c r="AD855" s="3578"/>
      <c r="AE855" s="3578"/>
      <c r="AF855" s="3578"/>
      <c r="AG855" s="3576"/>
      <c r="AH855" s="3576"/>
      <c r="AI855" s="3580"/>
      <c r="AJ855" s="3581"/>
      <c r="AK855" s="3582"/>
      <c r="AL855" s="3582"/>
      <c r="AM855" s="3582"/>
      <c r="AN855" s="3582"/>
      <c r="AO855" s="3582"/>
      <c r="AP855" s="3582"/>
      <c r="AQ855" s="3582"/>
      <c r="AR855" s="3576"/>
      <c r="AS855" s="3576"/>
      <c r="AT855" s="3576"/>
      <c r="AU855" s="3576"/>
      <c r="AV855" s="3563"/>
    </row>
    <row r="856" s="3565" customFormat="1" spans="1:48">
      <c r="A856" s="3575"/>
      <c r="B856" s="3576"/>
      <c r="C856" s="3576"/>
      <c r="D856" s="3563"/>
      <c r="E856" s="3563"/>
      <c r="F856" s="3576"/>
      <c r="G856" s="3576"/>
      <c r="H856" s="3563"/>
      <c r="I856" s="3563"/>
      <c r="J856" s="3563"/>
      <c r="K856" s="3563"/>
      <c r="L856" s="3563"/>
      <c r="M856" s="3563"/>
      <c r="N856" s="3577"/>
      <c r="O856" s="3563"/>
      <c r="P856" s="3576"/>
      <c r="Q856" s="3578"/>
      <c r="R856" s="3563"/>
      <c r="S856" s="3563"/>
      <c r="T856" s="3579"/>
      <c r="U856" s="3563"/>
      <c r="V856" s="3563"/>
      <c r="W856" s="3578"/>
      <c r="X856" s="3578"/>
      <c r="Y856" s="3578"/>
      <c r="Z856" s="3578"/>
      <c r="AA856" s="3578"/>
      <c r="AB856" s="3563"/>
      <c r="AC856" s="3578"/>
      <c r="AD856" s="3578"/>
      <c r="AE856" s="3578"/>
      <c r="AF856" s="3578"/>
      <c r="AG856" s="3576"/>
      <c r="AH856" s="3576"/>
      <c r="AI856" s="3580"/>
      <c r="AJ856" s="3581"/>
      <c r="AK856" s="3582"/>
      <c r="AL856" s="3582"/>
      <c r="AM856" s="3582"/>
      <c r="AN856" s="3582"/>
      <c r="AO856" s="3582"/>
      <c r="AP856" s="3582"/>
      <c r="AQ856" s="3582"/>
      <c r="AR856" s="3576"/>
      <c r="AS856" s="3576"/>
      <c r="AT856" s="3576"/>
      <c r="AU856" s="3576"/>
      <c r="AV856" s="3563"/>
    </row>
    <row r="857" s="3565" customFormat="1" spans="1:48">
      <c r="A857" s="3575"/>
      <c r="B857" s="3576"/>
      <c r="C857" s="3576"/>
      <c r="D857" s="3563"/>
      <c r="E857" s="3563"/>
      <c r="F857" s="3576"/>
      <c r="G857" s="3576"/>
      <c r="H857" s="3563"/>
      <c r="I857" s="3563"/>
      <c r="J857" s="3563"/>
      <c r="K857" s="3563"/>
      <c r="L857" s="3563"/>
      <c r="M857" s="3563"/>
      <c r="N857" s="3577"/>
      <c r="O857" s="3563"/>
      <c r="P857" s="3576"/>
      <c r="Q857" s="3578"/>
      <c r="R857" s="3563"/>
      <c r="S857" s="3563"/>
      <c r="T857" s="3579"/>
      <c r="U857" s="3563"/>
      <c r="V857" s="3563"/>
      <c r="W857" s="3578"/>
      <c r="X857" s="3578"/>
      <c r="Y857" s="3578"/>
      <c r="Z857" s="3578"/>
      <c r="AA857" s="3578"/>
      <c r="AB857" s="3563"/>
      <c r="AC857" s="3578"/>
      <c r="AD857" s="3578"/>
      <c r="AE857" s="3578"/>
      <c r="AF857" s="3578"/>
      <c r="AG857" s="3576"/>
      <c r="AH857" s="3576"/>
      <c r="AI857" s="3580"/>
      <c r="AJ857" s="3581"/>
      <c r="AK857" s="3582"/>
      <c r="AL857" s="3582"/>
      <c r="AM857" s="3582"/>
      <c r="AN857" s="3582"/>
      <c r="AO857" s="3582"/>
      <c r="AP857" s="3582"/>
      <c r="AQ857" s="3582"/>
      <c r="AR857" s="3576"/>
      <c r="AS857" s="3576"/>
      <c r="AT857" s="3576"/>
      <c r="AU857" s="3576"/>
      <c r="AV857" s="3563"/>
    </row>
    <row r="858" s="3565" customFormat="1" spans="1:48">
      <c r="A858" s="3575"/>
      <c r="B858" s="3576"/>
      <c r="C858" s="3576"/>
      <c r="D858" s="3563"/>
      <c r="E858" s="3563"/>
      <c r="F858" s="3576"/>
      <c r="G858" s="3576"/>
      <c r="H858" s="3563"/>
      <c r="I858" s="3563"/>
      <c r="J858" s="3563"/>
      <c r="K858" s="3563"/>
      <c r="L858" s="3563"/>
      <c r="M858" s="3563"/>
      <c r="N858" s="3577"/>
      <c r="O858" s="3563"/>
      <c r="P858" s="3576"/>
      <c r="Q858" s="3578"/>
      <c r="R858" s="3563"/>
      <c r="S858" s="3563"/>
      <c r="T858" s="3579"/>
      <c r="U858" s="3563"/>
      <c r="V858" s="3563"/>
      <c r="W858" s="3578"/>
      <c r="X858" s="3578"/>
      <c r="Y858" s="3578"/>
      <c r="Z858" s="3578"/>
      <c r="AA858" s="3578"/>
      <c r="AB858" s="3563"/>
      <c r="AC858" s="3578"/>
      <c r="AD858" s="3578"/>
      <c r="AE858" s="3578"/>
      <c r="AF858" s="3578"/>
      <c r="AG858" s="3576"/>
      <c r="AH858" s="3576"/>
      <c r="AI858" s="3580"/>
      <c r="AJ858" s="3581"/>
      <c r="AK858" s="3582"/>
      <c r="AL858" s="3582"/>
      <c r="AM858" s="3582"/>
      <c r="AN858" s="3582"/>
      <c r="AO858" s="3582"/>
      <c r="AP858" s="3582"/>
      <c r="AQ858" s="3582"/>
      <c r="AR858" s="3576"/>
      <c r="AS858" s="3576"/>
      <c r="AT858" s="3576"/>
      <c r="AU858" s="3576"/>
      <c r="AV858" s="3563"/>
    </row>
    <row r="859" s="3565" customFormat="1" spans="1:48">
      <c r="A859" s="3575"/>
      <c r="B859" s="3576"/>
      <c r="C859" s="3576"/>
      <c r="D859" s="3563"/>
      <c r="E859" s="3563"/>
      <c r="F859" s="3576"/>
      <c r="G859" s="3576"/>
      <c r="H859" s="3563"/>
      <c r="I859" s="3563"/>
      <c r="J859" s="3563"/>
      <c r="K859" s="3563"/>
      <c r="L859" s="3563"/>
      <c r="M859" s="3563"/>
      <c r="N859" s="3577"/>
      <c r="O859" s="3563"/>
      <c r="P859" s="3576"/>
      <c r="Q859" s="3578"/>
      <c r="R859" s="3563"/>
      <c r="S859" s="3563"/>
      <c r="T859" s="3579"/>
      <c r="U859" s="3563"/>
      <c r="V859" s="3563"/>
      <c r="W859" s="3578"/>
      <c r="X859" s="3578"/>
      <c r="Y859" s="3578"/>
      <c r="Z859" s="3578"/>
      <c r="AA859" s="3578"/>
      <c r="AB859" s="3563"/>
      <c r="AC859" s="3578"/>
      <c r="AD859" s="3578"/>
      <c r="AE859" s="3578"/>
      <c r="AF859" s="3578"/>
      <c r="AG859" s="3576"/>
      <c r="AH859" s="3576"/>
      <c r="AI859" s="3580"/>
      <c r="AJ859" s="3581"/>
      <c r="AK859" s="3582"/>
      <c r="AL859" s="3582"/>
      <c r="AM859" s="3582"/>
      <c r="AN859" s="3582"/>
      <c r="AO859" s="3582"/>
      <c r="AP859" s="3582"/>
      <c r="AQ859" s="3582"/>
      <c r="AR859" s="3576"/>
      <c r="AS859" s="3576"/>
      <c r="AT859" s="3576"/>
      <c r="AU859" s="3576"/>
      <c r="AV859" s="3563"/>
    </row>
    <row r="860" s="3565" customFormat="1" spans="1:48">
      <c r="A860" s="3575"/>
      <c r="B860" s="3576"/>
      <c r="C860" s="3576"/>
      <c r="D860" s="3563"/>
      <c r="E860" s="3563"/>
      <c r="F860" s="3576"/>
      <c r="G860" s="3576"/>
      <c r="H860" s="3563"/>
      <c r="I860" s="3563"/>
      <c r="J860" s="3563"/>
      <c r="K860" s="3563"/>
      <c r="L860" s="3563"/>
      <c r="M860" s="3563"/>
      <c r="N860" s="3577"/>
      <c r="O860" s="3563"/>
      <c r="P860" s="3576"/>
      <c r="Q860" s="3578"/>
      <c r="R860" s="3563"/>
      <c r="S860" s="3563"/>
      <c r="T860" s="3579"/>
      <c r="U860" s="3563"/>
      <c r="V860" s="3563"/>
      <c r="W860" s="3578"/>
      <c r="X860" s="3578"/>
      <c r="Y860" s="3578"/>
      <c r="Z860" s="3578"/>
      <c r="AA860" s="3578"/>
      <c r="AB860" s="3563"/>
      <c r="AC860" s="3578"/>
      <c r="AD860" s="3578"/>
      <c r="AE860" s="3578"/>
      <c r="AF860" s="3578"/>
      <c r="AG860" s="3576"/>
      <c r="AH860" s="3576"/>
      <c r="AI860" s="3580"/>
      <c r="AJ860" s="3581"/>
      <c r="AK860" s="3582"/>
      <c r="AL860" s="3582"/>
      <c r="AM860" s="3582"/>
      <c r="AN860" s="3582"/>
      <c r="AO860" s="3582"/>
      <c r="AP860" s="3582"/>
      <c r="AQ860" s="3582"/>
      <c r="AR860" s="3576"/>
      <c r="AS860" s="3576"/>
      <c r="AT860" s="3576"/>
      <c r="AU860" s="3576"/>
      <c r="AV860" s="3563"/>
    </row>
    <row r="861" s="3565" customFormat="1" spans="1:48">
      <c r="A861" s="3575"/>
      <c r="B861" s="3576"/>
      <c r="C861" s="3576"/>
      <c r="D861" s="3563"/>
      <c r="E861" s="3563"/>
      <c r="F861" s="3576"/>
      <c r="G861" s="3576"/>
      <c r="H861" s="3563"/>
      <c r="I861" s="3563"/>
      <c r="J861" s="3563"/>
      <c r="K861" s="3563"/>
      <c r="L861" s="3563"/>
      <c r="M861" s="3563"/>
      <c r="N861" s="3577"/>
      <c r="O861" s="3563"/>
      <c r="P861" s="3576"/>
      <c r="Q861" s="3578"/>
      <c r="R861" s="3563"/>
      <c r="S861" s="3563"/>
      <c r="T861" s="3579"/>
      <c r="U861" s="3563"/>
      <c r="V861" s="3563"/>
      <c r="W861" s="3578"/>
      <c r="X861" s="3578"/>
      <c r="Y861" s="3578"/>
      <c r="Z861" s="3578"/>
      <c r="AA861" s="3578"/>
      <c r="AB861" s="3563"/>
      <c r="AC861" s="3578"/>
      <c r="AD861" s="3578"/>
      <c r="AE861" s="3578"/>
      <c r="AF861" s="3578"/>
      <c r="AG861" s="3576"/>
      <c r="AH861" s="3576"/>
      <c r="AI861" s="3580"/>
      <c r="AJ861" s="3581"/>
      <c r="AK861" s="3582"/>
      <c r="AL861" s="3582"/>
      <c r="AM861" s="3582"/>
      <c r="AN861" s="3582"/>
      <c r="AO861" s="3582"/>
      <c r="AP861" s="3582"/>
      <c r="AQ861" s="3582"/>
      <c r="AR861" s="3576"/>
      <c r="AS861" s="3576"/>
      <c r="AT861" s="3576"/>
      <c r="AU861" s="3576"/>
      <c r="AV861" s="3563"/>
    </row>
    <row r="862" s="3565" customFormat="1" spans="1:48">
      <c r="A862" s="3575"/>
      <c r="B862" s="3576"/>
      <c r="C862" s="3576"/>
      <c r="D862" s="3563"/>
      <c r="E862" s="3563"/>
      <c r="F862" s="3576"/>
      <c r="G862" s="3576"/>
      <c r="H862" s="3563"/>
      <c r="I862" s="3563"/>
      <c r="J862" s="3563"/>
      <c r="K862" s="3563"/>
      <c r="L862" s="3563"/>
      <c r="M862" s="3563"/>
      <c r="N862" s="3577"/>
      <c r="O862" s="3563"/>
      <c r="P862" s="3576"/>
      <c r="Q862" s="3578"/>
      <c r="R862" s="3563"/>
      <c r="S862" s="3563"/>
      <c r="T862" s="3579"/>
      <c r="U862" s="3563"/>
      <c r="V862" s="3563"/>
      <c r="W862" s="3578"/>
      <c r="X862" s="3578"/>
      <c r="Y862" s="3578"/>
      <c r="Z862" s="3578"/>
      <c r="AA862" s="3578"/>
      <c r="AB862" s="3563"/>
      <c r="AC862" s="3578"/>
      <c r="AD862" s="3578"/>
      <c r="AE862" s="3578"/>
      <c r="AF862" s="3578"/>
      <c r="AG862" s="3576"/>
      <c r="AH862" s="3576"/>
      <c r="AI862" s="3580"/>
      <c r="AJ862" s="3581"/>
      <c r="AK862" s="3582"/>
      <c r="AL862" s="3582"/>
      <c r="AM862" s="3582"/>
      <c r="AN862" s="3582"/>
      <c r="AO862" s="3582"/>
      <c r="AP862" s="3582"/>
      <c r="AQ862" s="3582"/>
      <c r="AR862" s="3576"/>
      <c r="AS862" s="3576"/>
      <c r="AT862" s="3576"/>
      <c r="AU862" s="3576"/>
      <c r="AV862" s="3563"/>
    </row>
    <row r="863" s="3565" customFormat="1" spans="1:48">
      <c r="A863" s="3575"/>
      <c r="B863" s="3576"/>
      <c r="C863" s="3576"/>
      <c r="D863" s="3563"/>
      <c r="E863" s="3563"/>
      <c r="F863" s="3576"/>
      <c r="G863" s="3576"/>
      <c r="H863" s="3563"/>
      <c r="I863" s="3563"/>
      <c r="J863" s="3563"/>
      <c r="K863" s="3563"/>
      <c r="L863" s="3563"/>
      <c r="M863" s="3563"/>
      <c r="N863" s="3577"/>
      <c r="O863" s="3563"/>
      <c r="P863" s="3576"/>
      <c r="Q863" s="3578"/>
      <c r="R863" s="3563"/>
      <c r="S863" s="3563"/>
      <c r="T863" s="3579"/>
      <c r="U863" s="3563"/>
      <c r="V863" s="3563"/>
      <c r="W863" s="3578"/>
      <c r="X863" s="3578"/>
      <c r="Y863" s="3578"/>
      <c r="Z863" s="3578"/>
      <c r="AA863" s="3578"/>
      <c r="AB863" s="3563"/>
      <c r="AC863" s="3578"/>
      <c r="AD863" s="3578"/>
      <c r="AE863" s="3578"/>
      <c r="AF863" s="3578"/>
      <c r="AG863" s="3576"/>
      <c r="AH863" s="3576"/>
      <c r="AI863" s="3580"/>
      <c r="AJ863" s="3581"/>
      <c r="AK863" s="3582"/>
      <c r="AL863" s="3582"/>
      <c r="AM863" s="3582"/>
      <c r="AN863" s="3582"/>
      <c r="AO863" s="3582"/>
      <c r="AP863" s="3582"/>
      <c r="AQ863" s="3582"/>
      <c r="AR863" s="3576"/>
      <c r="AS863" s="3576"/>
      <c r="AT863" s="3576"/>
      <c r="AU863" s="3576"/>
      <c r="AV863" s="3563"/>
    </row>
    <row r="864" s="3565" customFormat="1" spans="1:48">
      <c r="A864" s="3575"/>
      <c r="B864" s="3576"/>
      <c r="C864" s="3576"/>
      <c r="D864" s="3563"/>
      <c r="E864" s="3563"/>
      <c r="F864" s="3576"/>
      <c r="G864" s="3576"/>
      <c r="H864" s="3563"/>
      <c r="I864" s="3563"/>
      <c r="J864" s="3563"/>
      <c r="K864" s="3563"/>
      <c r="L864" s="3563"/>
      <c r="M864" s="3563"/>
      <c r="N864" s="3577"/>
      <c r="O864" s="3563"/>
      <c r="P864" s="3576"/>
      <c r="Q864" s="3578"/>
      <c r="R864" s="3563"/>
      <c r="S864" s="3563"/>
      <c r="T864" s="3579"/>
      <c r="U864" s="3563"/>
      <c r="V864" s="3563"/>
      <c r="W864" s="3578"/>
      <c r="X864" s="3578"/>
      <c r="Y864" s="3578"/>
      <c r="Z864" s="3578"/>
      <c r="AA864" s="3578"/>
      <c r="AB864" s="3563"/>
      <c r="AC864" s="3578"/>
      <c r="AD864" s="3578"/>
      <c r="AE864" s="3578"/>
      <c r="AF864" s="3578"/>
      <c r="AG864" s="3576"/>
      <c r="AH864" s="3576"/>
      <c r="AI864" s="3580"/>
      <c r="AJ864" s="3581"/>
      <c r="AK864" s="3582"/>
      <c r="AL864" s="3582"/>
      <c r="AM864" s="3582"/>
      <c r="AN864" s="3582"/>
      <c r="AO864" s="3582"/>
      <c r="AP864" s="3582"/>
      <c r="AQ864" s="3582"/>
      <c r="AR864" s="3576"/>
      <c r="AS864" s="3576"/>
      <c r="AT864" s="3576"/>
      <c r="AU864" s="3576"/>
      <c r="AV864" s="3563"/>
    </row>
    <row r="865" s="3565" customFormat="1" spans="1:48">
      <c r="A865" s="3575"/>
      <c r="B865" s="3576"/>
      <c r="C865" s="3576"/>
      <c r="D865" s="3563"/>
      <c r="E865" s="3563"/>
      <c r="F865" s="3576"/>
      <c r="G865" s="3576"/>
      <c r="H865" s="3563"/>
      <c r="I865" s="3563"/>
      <c r="J865" s="3563"/>
      <c r="K865" s="3563"/>
      <c r="L865" s="3563"/>
      <c r="M865" s="3563"/>
      <c r="N865" s="3577"/>
      <c r="O865" s="3563"/>
      <c r="P865" s="3576"/>
      <c r="Q865" s="3578"/>
      <c r="R865" s="3563"/>
      <c r="S865" s="3563"/>
      <c r="T865" s="3579"/>
      <c r="U865" s="3563"/>
      <c r="V865" s="3563"/>
      <c r="W865" s="3578"/>
      <c r="X865" s="3578"/>
      <c r="Y865" s="3578"/>
      <c r="Z865" s="3578"/>
      <c r="AA865" s="3578"/>
      <c r="AB865" s="3563"/>
      <c r="AC865" s="3578"/>
      <c r="AD865" s="3578"/>
      <c r="AE865" s="3578"/>
      <c r="AF865" s="3578"/>
      <c r="AG865" s="3576"/>
      <c r="AH865" s="3576"/>
      <c r="AI865" s="3580"/>
      <c r="AJ865" s="3581"/>
      <c r="AK865" s="3582"/>
      <c r="AL865" s="3582"/>
      <c r="AM865" s="3582"/>
      <c r="AN865" s="3582"/>
      <c r="AO865" s="3582"/>
      <c r="AP865" s="3582"/>
      <c r="AQ865" s="3582"/>
      <c r="AR865" s="3576"/>
      <c r="AS865" s="3576"/>
      <c r="AT865" s="3576"/>
      <c r="AU865" s="3576"/>
      <c r="AV865" s="3563"/>
    </row>
    <row r="866" s="3565" customFormat="1" spans="1:48">
      <c r="A866" s="3575"/>
      <c r="B866" s="3576"/>
      <c r="C866" s="3576"/>
      <c r="D866" s="3563"/>
      <c r="E866" s="3563"/>
      <c r="F866" s="3576"/>
      <c r="G866" s="3576"/>
      <c r="H866" s="3563"/>
      <c r="I866" s="3563"/>
      <c r="J866" s="3563"/>
      <c r="K866" s="3563"/>
      <c r="L866" s="3563"/>
      <c r="M866" s="3563"/>
      <c r="N866" s="3577"/>
      <c r="O866" s="3563"/>
      <c r="P866" s="3576"/>
      <c r="Q866" s="3578"/>
      <c r="R866" s="3563"/>
      <c r="S866" s="3563"/>
      <c r="T866" s="3579"/>
      <c r="U866" s="3563"/>
      <c r="V866" s="3563"/>
      <c r="W866" s="3578"/>
      <c r="X866" s="3578"/>
      <c r="Y866" s="3578"/>
      <c r="Z866" s="3578"/>
      <c r="AA866" s="3578"/>
      <c r="AB866" s="3563"/>
      <c r="AC866" s="3578"/>
      <c r="AD866" s="3578"/>
      <c r="AE866" s="3578"/>
      <c r="AF866" s="3578"/>
      <c r="AG866" s="3576"/>
      <c r="AH866" s="3576"/>
      <c r="AI866" s="3580"/>
      <c r="AJ866" s="3581"/>
      <c r="AK866" s="3582"/>
      <c r="AL866" s="3582"/>
      <c r="AM866" s="3582"/>
      <c r="AN866" s="3582"/>
      <c r="AO866" s="3582"/>
      <c r="AP866" s="3582"/>
      <c r="AQ866" s="3582"/>
      <c r="AR866" s="3576"/>
      <c r="AS866" s="3576"/>
      <c r="AT866" s="3576"/>
      <c r="AU866" s="3576"/>
      <c r="AV866" s="3563"/>
    </row>
    <row r="867" s="3565" customFormat="1" spans="1:48">
      <c r="A867" s="3575"/>
      <c r="B867" s="3576"/>
      <c r="C867" s="3576"/>
      <c r="D867" s="3563"/>
      <c r="E867" s="3563"/>
      <c r="F867" s="3576"/>
      <c r="G867" s="3576"/>
      <c r="H867" s="3563"/>
      <c r="I867" s="3563"/>
      <c r="J867" s="3563"/>
      <c r="K867" s="3563"/>
      <c r="L867" s="3563"/>
      <c r="M867" s="3563"/>
      <c r="N867" s="3577"/>
      <c r="O867" s="3563"/>
      <c r="P867" s="3576"/>
      <c r="Q867" s="3578"/>
      <c r="R867" s="3563"/>
      <c r="S867" s="3563"/>
      <c r="T867" s="3579"/>
      <c r="U867" s="3563"/>
      <c r="V867" s="3563"/>
      <c r="W867" s="3578"/>
      <c r="X867" s="3578"/>
      <c r="Y867" s="3578"/>
      <c r="Z867" s="3578"/>
      <c r="AA867" s="3578"/>
      <c r="AB867" s="3563"/>
      <c r="AC867" s="3578"/>
      <c r="AD867" s="3578"/>
      <c r="AE867" s="3578"/>
      <c r="AF867" s="3578"/>
      <c r="AG867" s="3576"/>
      <c r="AH867" s="3576"/>
      <c r="AI867" s="3580"/>
      <c r="AJ867" s="3581"/>
      <c r="AK867" s="3582"/>
      <c r="AL867" s="3582"/>
      <c r="AM867" s="3582"/>
      <c r="AN867" s="3582"/>
      <c r="AO867" s="3582"/>
      <c r="AP867" s="3582"/>
      <c r="AQ867" s="3582"/>
      <c r="AR867" s="3576"/>
      <c r="AS867" s="3576"/>
      <c r="AT867" s="3576"/>
      <c r="AU867" s="3576"/>
      <c r="AV867" s="3563"/>
    </row>
    <row r="868" s="3565" customFormat="1" spans="1:48">
      <c r="A868" s="3575"/>
      <c r="B868" s="3576"/>
      <c r="C868" s="3576"/>
      <c r="D868" s="3563"/>
      <c r="E868" s="3563"/>
      <c r="F868" s="3576"/>
      <c r="G868" s="3576"/>
      <c r="H868" s="3563"/>
      <c r="I868" s="3563"/>
      <c r="J868" s="3563"/>
      <c r="K868" s="3563"/>
      <c r="L868" s="3563"/>
      <c r="M868" s="3563"/>
      <c r="N868" s="3577"/>
      <c r="O868" s="3563"/>
      <c r="P868" s="3576"/>
      <c r="Q868" s="3578"/>
      <c r="R868" s="3563"/>
      <c r="S868" s="3563"/>
      <c r="T868" s="3579"/>
      <c r="U868" s="3563"/>
      <c r="V868" s="3563"/>
      <c r="W868" s="3578"/>
      <c r="X868" s="3578"/>
      <c r="Y868" s="3578"/>
      <c r="Z868" s="3578"/>
      <c r="AA868" s="3578"/>
      <c r="AB868" s="3563"/>
      <c r="AC868" s="3578"/>
      <c r="AD868" s="3578"/>
      <c r="AE868" s="3578"/>
      <c r="AF868" s="3578"/>
      <c r="AG868" s="3576"/>
      <c r="AH868" s="3576"/>
      <c r="AI868" s="3580"/>
      <c r="AJ868" s="3581"/>
      <c r="AK868" s="3582"/>
      <c r="AL868" s="3582"/>
      <c r="AM868" s="3582"/>
      <c r="AN868" s="3582"/>
      <c r="AO868" s="3582"/>
      <c r="AP868" s="3582"/>
      <c r="AQ868" s="3582"/>
      <c r="AR868" s="3576"/>
      <c r="AS868" s="3576"/>
      <c r="AT868" s="3576"/>
      <c r="AU868" s="3576"/>
      <c r="AV868" s="3563"/>
    </row>
    <row r="869" s="3565" customFormat="1" spans="1:48">
      <c r="A869" s="3575"/>
      <c r="B869" s="3576"/>
      <c r="C869" s="3576"/>
      <c r="D869" s="3563"/>
      <c r="E869" s="3563"/>
      <c r="F869" s="3576"/>
      <c r="G869" s="3576"/>
      <c r="H869" s="3563"/>
      <c r="I869" s="3563"/>
      <c r="J869" s="3563"/>
      <c r="K869" s="3563"/>
      <c r="L869" s="3563"/>
      <c r="M869" s="3563"/>
      <c r="N869" s="3577"/>
      <c r="O869" s="3563"/>
      <c r="P869" s="3576"/>
      <c r="Q869" s="3578"/>
      <c r="R869" s="3563"/>
      <c r="S869" s="3563"/>
      <c r="T869" s="3579"/>
      <c r="U869" s="3563"/>
      <c r="V869" s="3563"/>
      <c r="W869" s="3578"/>
      <c r="X869" s="3578"/>
      <c r="Y869" s="3578"/>
      <c r="Z869" s="3578"/>
      <c r="AA869" s="3578"/>
      <c r="AB869" s="3563"/>
      <c r="AC869" s="3578"/>
      <c r="AD869" s="3578"/>
      <c r="AE869" s="3578"/>
      <c r="AF869" s="3578"/>
      <c r="AG869" s="3576"/>
      <c r="AH869" s="3576"/>
      <c r="AI869" s="3580"/>
      <c r="AJ869" s="3581"/>
      <c r="AK869" s="3582"/>
      <c r="AL869" s="3582"/>
      <c r="AM869" s="3582"/>
      <c r="AN869" s="3582"/>
      <c r="AO869" s="3582"/>
      <c r="AP869" s="3582"/>
      <c r="AQ869" s="3582"/>
      <c r="AR869" s="3576"/>
      <c r="AS869" s="3576"/>
      <c r="AT869" s="3576"/>
      <c r="AU869" s="3576"/>
      <c r="AV869" s="3563"/>
    </row>
    <row r="870" s="3565" customFormat="1" spans="1:48">
      <c r="A870" s="3575"/>
      <c r="B870" s="3576"/>
      <c r="C870" s="3576"/>
      <c r="D870" s="3563"/>
      <c r="E870" s="3563"/>
      <c r="F870" s="3576"/>
      <c r="G870" s="3576"/>
      <c r="H870" s="3563"/>
      <c r="I870" s="3563"/>
      <c r="J870" s="3563"/>
      <c r="K870" s="3563"/>
      <c r="L870" s="3563"/>
      <c r="M870" s="3563"/>
      <c r="N870" s="3577"/>
      <c r="O870" s="3563"/>
      <c r="P870" s="3576"/>
      <c r="Q870" s="3578"/>
      <c r="R870" s="3563"/>
      <c r="S870" s="3563"/>
      <c r="T870" s="3579"/>
      <c r="U870" s="3563"/>
      <c r="V870" s="3563"/>
      <c r="W870" s="3578"/>
      <c r="X870" s="3578"/>
      <c r="Y870" s="3578"/>
      <c r="Z870" s="3578"/>
      <c r="AA870" s="3578"/>
      <c r="AB870" s="3563"/>
      <c r="AC870" s="3578"/>
      <c r="AD870" s="3578"/>
      <c r="AE870" s="3578"/>
      <c r="AF870" s="3578"/>
      <c r="AG870" s="3576"/>
      <c r="AH870" s="3576"/>
      <c r="AI870" s="3580"/>
      <c r="AJ870" s="3581"/>
      <c r="AK870" s="3582"/>
      <c r="AL870" s="3582"/>
      <c r="AM870" s="3582"/>
      <c r="AN870" s="3582"/>
      <c r="AO870" s="3582"/>
      <c r="AP870" s="3582"/>
      <c r="AQ870" s="3582"/>
      <c r="AR870" s="3576"/>
      <c r="AS870" s="3576"/>
      <c r="AT870" s="3576"/>
      <c r="AU870" s="3576"/>
      <c r="AV870" s="3563"/>
    </row>
    <row r="871" s="3565" customFormat="1" spans="1:48">
      <c r="A871" s="3575"/>
      <c r="B871" s="3576"/>
      <c r="C871" s="3576"/>
      <c r="D871" s="3563"/>
      <c r="E871" s="3563"/>
      <c r="F871" s="3576"/>
      <c r="G871" s="3576"/>
      <c r="H871" s="3563"/>
      <c r="I871" s="3563"/>
      <c r="J871" s="3563"/>
      <c r="K871" s="3563"/>
      <c r="L871" s="3563"/>
      <c r="M871" s="3563"/>
      <c r="N871" s="3577"/>
      <c r="O871" s="3563"/>
      <c r="P871" s="3576"/>
      <c r="Q871" s="3578"/>
      <c r="R871" s="3563"/>
      <c r="S871" s="3563"/>
      <c r="T871" s="3579"/>
      <c r="U871" s="3563"/>
      <c r="V871" s="3563"/>
      <c r="W871" s="3578"/>
      <c r="X871" s="3578"/>
      <c r="Y871" s="3578"/>
      <c r="Z871" s="3578"/>
      <c r="AA871" s="3578"/>
      <c r="AB871" s="3563"/>
      <c r="AC871" s="3578"/>
      <c r="AD871" s="3578"/>
      <c r="AE871" s="3578"/>
      <c r="AF871" s="3578"/>
      <c r="AG871" s="3576"/>
      <c r="AH871" s="3576"/>
      <c r="AI871" s="3580"/>
      <c r="AJ871" s="3581"/>
      <c r="AK871" s="3582"/>
      <c r="AL871" s="3582"/>
      <c r="AM871" s="3582"/>
      <c r="AN871" s="3582"/>
      <c r="AO871" s="3582"/>
      <c r="AP871" s="3582"/>
      <c r="AQ871" s="3582"/>
      <c r="AR871" s="3576"/>
      <c r="AS871" s="3576"/>
      <c r="AT871" s="3576"/>
      <c r="AU871" s="3576"/>
      <c r="AV871" s="3563"/>
    </row>
    <row r="872" s="3565" customFormat="1" spans="1:48">
      <c r="A872" s="3575"/>
      <c r="B872" s="3576"/>
      <c r="C872" s="3576"/>
      <c r="D872" s="3563"/>
      <c r="E872" s="3563"/>
      <c r="F872" s="3576"/>
      <c r="G872" s="3576"/>
      <c r="H872" s="3563"/>
      <c r="I872" s="3563"/>
      <c r="J872" s="3563"/>
      <c r="K872" s="3563"/>
      <c r="L872" s="3563"/>
      <c r="M872" s="3563"/>
      <c r="N872" s="3577"/>
      <c r="O872" s="3563"/>
      <c r="P872" s="3576"/>
      <c r="Q872" s="3578"/>
      <c r="R872" s="3563"/>
      <c r="S872" s="3563"/>
      <c r="T872" s="3579"/>
      <c r="U872" s="3563"/>
      <c r="V872" s="3563"/>
      <c r="W872" s="3578"/>
      <c r="X872" s="3578"/>
      <c r="Y872" s="3578"/>
      <c r="Z872" s="3578"/>
      <c r="AA872" s="3578"/>
      <c r="AB872" s="3563"/>
      <c r="AC872" s="3578"/>
      <c r="AD872" s="3578"/>
      <c r="AE872" s="3578"/>
      <c r="AF872" s="3578"/>
      <c r="AG872" s="3576"/>
      <c r="AH872" s="3576"/>
      <c r="AI872" s="3580"/>
      <c r="AJ872" s="3581"/>
      <c r="AK872" s="3582"/>
      <c r="AL872" s="3582"/>
      <c r="AM872" s="3582"/>
      <c r="AN872" s="3582"/>
      <c r="AO872" s="3582"/>
      <c r="AP872" s="3582"/>
      <c r="AQ872" s="3582"/>
      <c r="AR872" s="3576"/>
      <c r="AS872" s="3576"/>
      <c r="AT872" s="3576"/>
      <c r="AU872" s="3576"/>
      <c r="AV872" s="3563"/>
    </row>
    <row r="873" s="3565" customFormat="1" spans="1:48">
      <c r="A873" s="3575"/>
      <c r="B873" s="3576"/>
      <c r="C873" s="3576"/>
      <c r="D873" s="3563"/>
      <c r="E873" s="3563"/>
      <c r="F873" s="3576"/>
      <c r="G873" s="3576"/>
      <c r="H873" s="3563"/>
      <c r="I873" s="3563"/>
      <c r="J873" s="3563"/>
      <c r="K873" s="3563"/>
      <c r="L873" s="3563"/>
      <c r="M873" s="3563"/>
      <c r="N873" s="3577"/>
      <c r="O873" s="3563"/>
      <c r="P873" s="3576"/>
      <c r="Q873" s="3578"/>
      <c r="R873" s="3563"/>
      <c r="S873" s="3563"/>
      <c r="T873" s="3579"/>
      <c r="U873" s="3563"/>
      <c r="V873" s="3563"/>
      <c r="W873" s="3578"/>
      <c r="X873" s="3578"/>
      <c r="Y873" s="3578"/>
      <c r="Z873" s="3578"/>
      <c r="AA873" s="3578"/>
      <c r="AB873" s="3563"/>
      <c r="AC873" s="3578"/>
      <c r="AD873" s="3578"/>
      <c r="AE873" s="3578"/>
      <c r="AF873" s="3578"/>
      <c r="AG873" s="3576"/>
      <c r="AH873" s="3576"/>
      <c r="AI873" s="3580"/>
      <c r="AJ873" s="3581"/>
      <c r="AK873" s="3582"/>
      <c r="AL873" s="3582"/>
      <c r="AM873" s="3582"/>
      <c r="AN873" s="3582"/>
      <c r="AO873" s="3582"/>
      <c r="AP873" s="3582"/>
      <c r="AQ873" s="3582"/>
      <c r="AR873" s="3576"/>
      <c r="AS873" s="3576"/>
      <c r="AT873" s="3576"/>
      <c r="AU873" s="3576"/>
      <c r="AV873" s="3563"/>
    </row>
    <row r="874" s="3565" customFormat="1" spans="1:48">
      <c r="A874" s="3575"/>
      <c r="B874" s="3576"/>
      <c r="C874" s="3576"/>
      <c r="D874" s="3563"/>
      <c r="E874" s="3563"/>
      <c r="F874" s="3576"/>
      <c r="G874" s="3576"/>
      <c r="H874" s="3563"/>
      <c r="I874" s="3563"/>
      <c r="J874" s="3563"/>
      <c r="K874" s="3563"/>
      <c r="L874" s="3563"/>
      <c r="M874" s="3563"/>
      <c r="N874" s="3577"/>
      <c r="O874" s="3563"/>
      <c r="P874" s="3576"/>
      <c r="Q874" s="3578"/>
      <c r="R874" s="3563"/>
      <c r="S874" s="3563"/>
      <c r="T874" s="3579"/>
      <c r="U874" s="3563"/>
      <c r="V874" s="3563"/>
      <c r="W874" s="3578"/>
      <c r="X874" s="3578"/>
      <c r="Y874" s="3578"/>
      <c r="Z874" s="3578"/>
      <c r="AA874" s="3578"/>
      <c r="AB874" s="3563"/>
      <c r="AC874" s="3578"/>
      <c r="AD874" s="3578"/>
      <c r="AE874" s="3578"/>
      <c r="AF874" s="3578"/>
      <c r="AG874" s="3576"/>
      <c r="AH874" s="3576"/>
      <c r="AI874" s="3580"/>
      <c r="AJ874" s="3581"/>
      <c r="AK874" s="3582"/>
      <c r="AL874" s="3582"/>
      <c r="AM874" s="3582"/>
      <c r="AN874" s="3582"/>
      <c r="AO874" s="3582"/>
      <c r="AP874" s="3582"/>
      <c r="AQ874" s="3582"/>
      <c r="AR874" s="3576"/>
      <c r="AS874" s="3576"/>
      <c r="AT874" s="3576"/>
      <c r="AU874" s="3576"/>
      <c r="AV874" s="3563"/>
    </row>
    <row r="875" s="3565" customFormat="1" spans="1:48">
      <c r="A875" s="3575"/>
      <c r="B875" s="3576"/>
      <c r="C875" s="3576"/>
      <c r="D875" s="3563"/>
      <c r="E875" s="3563"/>
      <c r="F875" s="3576"/>
      <c r="G875" s="3576"/>
      <c r="H875" s="3563"/>
      <c r="I875" s="3563"/>
      <c r="J875" s="3563"/>
      <c r="K875" s="3563"/>
      <c r="L875" s="3563"/>
      <c r="M875" s="3563"/>
      <c r="N875" s="3577"/>
      <c r="O875" s="3563"/>
      <c r="P875" s="3576"/>
      <c r="Q875" s="3578"/>
      <c r="R875" s="3563"/>
      <c r="S875" s="3563"/>
      <c r="T875" s="3579"/>
      <c r="U875" s="3563"/>
      <c r="V875" s="3563"/>
      <c r="W875" s="3578"/>
      <c r="X875" s="3578"/>
      <c r="Y875" s="3578"/>
      <c r="Z875" s="3578"/>
      <c r="AA875" s="3578"/>
      <c r="AB875" s="3563"/>
      <c r="AC875" s="3578"/>
      <c r="AD875" s="3578"/>
      <c r="AE875" s="3578"/>
      <c r="AF875" s="3578"/>
      <c r="AG875" s="3576"/>
      <c r="AH875" s="3576"/>
      <c r="AI875" s="3580"/>
      <c r="AJ875" s="3581"/>
      <c r="AK875" s="3582"/>
      <c r="AL875" s="3582"/>
      <c r="AM875" s="3582"/>
      <c r="AN875" s="3582"/>
      <c r="AO875" s="3582"/>
      <c r="AP875" s="3582"/>
      <c r="AQ875" s="3582"/>
      <c r="AR875" s="3576"/>
      <c r="AS875" s="3576"/>
      <c r="AT875" s="3576"/>
      <c r="AU875" s="3576"/>
      <c r="AV875" s="3563"/>
    </row>
    <row r="876" s="3565" customFormat="1" spans="1:48">
      <c r="A876" s="3575"/>
      <c r="B876" s="3576"/>
      <c r="C876" s="3576"/>
      <c r="D876" s="3563"/>
      <c r="E876" s="3563"/>
      <c r="F876" s="3576"/>
      <c r="G876" s="3576"/>
      <c r="H876" s="3563"/>
      <c r="I876" s="3563"/>
      <c r="J876" s="3563"/>
      <c r="K876" s="3563"/>
      <c r="L876" s="3563"/>
      <c r="M876" s="3563"/>
      <c r="N876" s="3577"/>
      <c r="O876" s="3563"/>
      <c r="P876" s="3576"/>
      <c r="Q876" s="3578"/>
      <c r="R876" s="3563"/>
      <c r="S876" s="3563"/>
      <c r="T876" s="3579"/>
      <c r="U876" s="3563"/>
      <c r="V876" s="3563"/>
      <c r="W876" s="3578"/>
      <c r="X876" s="3578"/>
      <c r="Y876" s="3578"/>
      <c r="Z876" s="3578"/>
      <c r="AA876" s="3578"/>
      <c r="AB876" s="3563"/>
      <c r="AC876" s="3578"/>
      <c r="AD876" s="3578"/>
      <c r="AE876" s="3578"/>
      <c r="AF876" s="3578"/>
      <c r="AG876" s="3576"/>
      <c r="AH876" s="3576"/>
      <c r="AI876" s="3580"/>
      <c r="AJ876" s="3581"/>
      <c r="AK876" s="3582"/>
      <c r="AL876" s="3582"/>
      <c r="AM876" s="3582"/>
      <c r="AN876" s="3582"/>
      <c r="AO876" s="3582"/>
      <c r="AP876" s="3582"/>
      <c r="AQ876" s="3582"/>
      <c r="AR876" s="3576"/>
      <c r="AS876" s="3576"/>
      <c r="AT876" s="3576"/>
      <c r="AU876" s="3576"/>
      <c r="AV876" s="3563"/>
    </row>
    <row r="877" s="3565" customFormat="1" spans="1:48">
      <c r="A877" s="3575"/>
      <c r="B877" s="3576"/>
      <c r="C877" s="3576"/>
      <c r="D877" s="3563"/>
      <c r="E877" s="3563"/>
      <c r="F877" s="3576"/>
      <c r="G877" s="3576"/>
      <c r="H877" s="3563"/>
      <c r="I877" s="3563"/>
      <c r="J877" s="3563"/>
      <c r="K877" s="3563"/>
      <c r="L877" s="3563"/>
      <c r="M877" s="3563"/>
      <c r="N877" s="3577"/>
      <c r="O877" s="3563"/>
      <c r="P877" s="3576"/>
      <c r="Q877" s="3578"/>
      <c r="R877" s="3563"/>
      <c r="S877" s="3563"/>
      <c r="T877" s="3579"/>
      <c r="U877" s="3563"/>
      <c r="V877" s="3563"/>
      <c r="W877" s="3578"/>
      <c r="X877" s="3578"/>
      <c r="Y877" s="3578"/>
      <c r="Z877" s="3578"/>
      <c r="AA877" s="3578"/>
      <c r="AB877" s="3563"/>
      <c r="AC877" s="3578"/>
      <c r="AD877" s="3578"/>
      <c r="AE877" s="3578"/>
      <c r="AF877" s="3578"/>
      <c r="AG877" s="3576"/>
      <c r="AH877" s="3576"/>
      <c r="AI877" s="3580"/>
      <c r="AJ877" s="3581"/>
      <c r="AK877" s="3582"/>
      <c r="AL877" s="3582"/>
      <c r="AM877" s="3582"/>
      <c r="AN877" s="3582"/>
      <c r="AO877" s="3582"/>
      <c r="AP877" s="3582"/>
      <c r="AQ877" s="3582"/>
      <c r="AR877" s="3576"/>
      <c r="AS877" s="3576"/>
      <c r="AT877" s="3576"/>
      <c r="AU877" s="3576"/>
      <c r="AV877" s="3563"/>
    </row>
    <row r="878" s="3565" customFormat="1" spans="1:48">
      <c r="A878" s="3575"/>
      <c r="B878" s="3576"/>
      <c r="C878" s="3576"/>
      <c r="D878" s="3563"/>
      <c r="E878" s="3563"/>
      <c r="F878" s="3576"/>
      <c r="G878" s="3576"/>
      <c r="H878" s="3563"/>
      <c r="I878" s="3563"/>
      <c r="J878" s="3563"/>
      <c r="K878" s="3563"/>
      <c r="L878" s="3563"/>
      <c r="M878" s="3563"/>
      <c r="N878" s="3577"/>
      <c r="O878" s="3563"/>
      <c r="P878" s="3576"/>
      <c r="Q878" s="3578"/>
      <c r="R878" s="3563"/>
      <c r="S878" s="3563"/>
      <c r="T878" s="3579"/>
      <c r="U878" s="3563"/>
      <c r="V878" s="3563"/>
      <c r="W878" s="3578"/>
      <c r="X878" s="3578"/>
      <c r="Y878" s="3578"/>
      <c r="Z878" s="3578"/>
      <c r="AA878" s="3578"/>
      <c r="AB878" s="3563"/>
      <c r="AC878" s="3578"/>
      <c r="AD878" s="3578"/>
      <c r="AE878" s="3578"/>
      <c r="AF878" s="3578"/>
      <c r="AG878" s="3576"/>
      <c r="AH878" s="3576"/>
      <c r="AI878" s="3580"/>
      <c r="AJ878" s="3581"/>
      <c r="AK878" s="3582"/>
      <c r="AL878" s="3582"/>
      <c r="AM878" s="3582"/>
      <c r="AN878" s="3582"/>
      <c r="AO878" s="3582"/>
      <c r="AP878" s="3582"/>
      <c r="AQ878" s="3582"/>
      <c r="AR878" s="3576"/>
      <c r="AS878" s="3576"/>
      <c r="AT878" s="3576"/>
      <c r="AU878" s="3576"/>
      <c r="AV878" s="3563"/>
    </row>
    <row r="879" s="3565" customFormat="1" spans="1:48">
      <c r="A879" s="3575"/>
      <c r="B879" s="3576"/>
      <c r="C879" s="3576"/>
      <c r="D879" s="3563"/>
      <c r="E879" s="3563"/>
      <c r="F879" s="3576"/>
      <c r="G879" s="3576"/>
      <c r="H879" s="3563"/>
      <c r="I879" s="3563"/>
      <c r="J879" s="3563"/>
      <c r="K879" s="3563"/>
      <c r="L879" s="3563"/>
      <c r="M879" s="3563"/>
      <c r="N879" s="3577"/>
      <c r="O879" s="3563"/>
      <c r="P879" s="3576"/>
      <c r="Q879" s="3578"/>
      <c r="R879" s="3563"/>
      <c r="S879" s="3563"/>
      <c r="T879" s="3579"/>
      <c r="U879" s="3563"/>
      <c r="V879" s="3563"/>
      <c r="W879" s="3578"/>
      <c r="X879" s="3578"/>
      <c r="Y879" s="3578"/>
      <c r="Z879" s="3578"/>
      <c r="AA879" s="3578"/>
      <c r="AB879" s="3563"/>
      <c r="AC879" s="3578"/>
      <c r="AD879" s="3578"/>
      <c r="AE879" s="3578"/>
      <c r="AF879" s="3578"/>
      <c r="AG879" s="3576"/>
      <c r="AH879" s="3576"/>
      <c r="AI879" s="3580"/>
      <c r="AJ879" s="3581"/>
      <c r="AK879" s="3582"/>
      <c r="AL879" s="3582"/>
      <c r="AM879" s="3582"/>
      <c r="AN879" s="3582"/>
      <c r="AO879" s="3582"/>
      <c r="AP879" s="3582"/>
      <c r="AQ879" s="3582"/>
      <c r="AR879" s="3576"/>
      <c r="AS879" s="3576"/>
      <c r="AT879" s="3576"/>
      <c r="AU879" s="3576"/>
      <c r="AV879" s="3563"/>
    </row>
    <row r="880" s="3565" customFormat="1" spans="1:48">
      <c r="A880" s="3575"/>
      <c r="B880" s="3576"/>
      <c r="C880" s="3576"/>
      <c r="D880" s="3563"/>
      <c r="E880" s="3563"/>
      <c r="F880" s="3576"/>
      <c r="G880" s="3576"/>
      <c r="H880" s="3563"/>
      <c r="I880" s="3563"/>
      <c r="J880" s="3563"/>
      <c r="K880" s="3563"/>
      <c r="L880" s="3563"/>
      <c r="M880" s="3563"/>
      <c r="N880" s="3577"/>
      <c r="O880" s="3563"/>
      <c r="P880" s="3576"/>
      <c r="Q880" s="3578"/>
      <c r="R880" s="3563"/>
      <c r="S880" s="3563"/>
      <c r="T880" s="3579"/>
      <c r="U880" s="3563"/>
      <c r="V880" s="3563"/>
      <c r="W880" s="3578"/>
      <c r="X880" s="3578"/>
      <c r="Y880" s="3578"/>
      <c r="Z880" s="3578"/>
      <c r="AA880" s="3578"/>
      <c r="AB880" s="3563"/>
      <c r="AC880" s="3578"/>
      <c r="AD880" s="3578"/>
      <c r="AE880" s="3578"/>
      <c r="AF880" s="3578"/>
      <c r="AG880" s="3576"/>
      <c r="AH880" s="3576"/>
      <c r="AI880" s="3580"/>
      <c r="AJ880" s="3581"/>
      <c r="AK880" s="3582"/>
      <c r="AL880" s="3582"/>
      <c r="AM880" s="3582"/>
      <c r="AN880" s="3582"/>
      <c r="AO880" s="3582"/>
      <c r="AP880" s="3582"/>
      <c r="AQ880" s="3582"/>
      <c r="AR880" s="3576"/>
      <c r="AS880" s="3576"/>
      <c r="AT880" s="3576"/>
      <c r="AU880" s="3576"/>
      <c r="AV880" s="3563"/>
    </row>
    <row r="881" s="3565" customFormat="1" spans="1:48">
      <c r="A881" s="3575"/>
      <c r="B881" s="3576"/>
      <c r="C881" s="3576"/>
      <c r="D881" s="3563"/>
      <c r="E881" s="3563"/>
      <c r="F881" s="3576"/>
      <c r="G881" s="3576"/>
      <c r="H881" s="3563"/>
      <c r="I881" s="3563"/>
      <c r="J881" s="3563"/>
      <c r="K881" s="3563"/>
      <c r="L881" s="3563"/>
      <c r="M881" s="3563"/>
      <c r="N881" s="3577"/>
      <c r="O881" s="3563"/>
      <c r="P881" s="3576"/>
      <c r="Q881" s="3578"/>
      <c r="R881" s="3563"/>
      <c r="S881" s="3563"/>
      <c r="T881" s="3579"/>
      <c r="U881" s="3563"/>
      <c r="V881" s="3563"/>
      <c r="W881" s="3578"/>
      <c r="X881" s="3578"/>
      <c r="Y881" s="3578"/>
      <c r="Z881" s="3578"/>
      <c r="AA881" s="3578"/>
      <c r="AB881" s="3563"/>
      <c r="AC881" s="3578"/>
      <c r="AD881" s="3578"/>
      <c r="AE881" s="3578"/>
      <c r="AF881" s="3578"/>
      <c r="AG881" s="3576"/>
      <c r="AH881" s="3576"/>
      <c r="AI881" s="3580"/>
      <c r="AJ881" s="3581"/>
      <c r="AK881" s="3582"/>
      <c r="AL881" s="3582"/>
      <c r="AM881" s="3582"/>
      <c r="AN881" s="3582"/>
      <c r="AO881" s="3582"/>
      <c r="AP881" s="3582"/>
      <c r="AQ881" s="3582"/>
      <c r="AR881" s="3576"/>
      <c r="AS881" s="3576"/>
      <c r="AT881" s="3576"/>
      <c r="AU881" s="3576"/>
      <c r="AV881" s="3563"/>
    </row>
    <row r="882" s="3565" customFormat="1" spans="1:48">
      <c r="A882" s="3575"/>
      <c r="B882" s="3576"/>
      <c r="C882" s="3576"/>
      <c r="D882" s="3563"/>
      <c r="E882" s="3563"/>
      <c r="F882" s="3576"/>
      <c r="G882" s="3576"/>
      <c r="H882" s="3563"/>
      <c r="I882" s="3563"/>
      <c r="J882" s="3563"/>
      <c r="K882" s="3563"/>
      <c r="L882" s="3563"/>
      <c r="M882" s="3563"/>
      <c r="N882" s="3577"/>
      <c r="O882" s="3563"/>
      <c r="P882" s="3576"/>
      <c r="Q882" s="3578"/>
      <c r="R882" s="3563"/>
      <c r="S882" s="3563"/>
      <c r="T882" s="3579"/>
      <c r="U882" s="3563"/>
      <c r="V882" s="3563"/>
      <c r="W882" s="3578"/>
      <c r="X882" s="3578"/>
      <c r="Y882" s="3578"/>
      <c r="Z882" s="3578"/>
      <c r="AA882" s="3578"/>
      <c r="AB882" s="3563"/>
      <c r="AC882" s="3578"/>
      <c r="AD882" s="3578"/>
      <c r="AE882" s="3578"/>
      <c r="AF882" s="3578"/>
      <c r="AG882" s="3576"/>
      <c r="AH882" s="3576"/>
      <c r="AI882" s="3580"/>
      <c r="AJ882" s="3581"/>
      <c r="AK882" s="3582"/>
      <c r="AL882" s="3582"/>
      <c r="AM882" s="3582"/>
      <c r="AN882" s="3582"/>
      <c r="AO882" s="3582"/>
      <c r="AP882" s="3582"/>
      <c r="AQ882" s="3582"/>
      <c r="AR882" s="3576"/>
      <c r="AS882" s="3576"/>
      <c r="AT882" s="3576"/>
      <c r="AU882" s="3576"/>
      <c r="AV882" s="3563"/>
    </row>
    <row r="883" s="3565" customFormat="1" spans="1:48">
      <c r="A883" s="3575"/>
      <c r="B883" s="3576"/>
      <c r="C883" s="3576"/>
      <c r="D883" s="3563"/>
      <c r="E883" s="3563"/>
      <c r="F883" s="3576"/>
      <c r="G883" s="3576"/>
      <c r="H883" s="3563"/>
      <c r="I883" s="3563"/>
      <c r="J883" s="3563"/>
      <c r="K883" s="3563"/>
      <c r="L883" s="3563"/>
      <c r="M883" s="3563"/>
      <c r="N883" s="3577"/>
      <c r="O883" s="3563"/>
      <c r="P883" s="3576"/>
      <c r="Q883" s="3578"/>
      <c r="R883" s="3563"/>
      <c r="S883" s="3563"/>
      <c r="T883" s="3579"/>
      <c r="U883" s="3563"/>
      <c r="V883" s="3563"/>
      <c r="W883" s="3578"/>
      <c r="X883" s="3578"/>
      <c r="Y883" s="3578"/>
      <c r="Z883" s="3578"/>
      <c r="AA883" s="3578"/>
      <c r="AB883" s="3563"/>
      <c r="AC883" s="3578"/>
      <c r="AD883" s="3578"/>
      <c r="AE883" s="3578"/>
      <c r="AF883" s="3578"/>
      <c r="AG883" s="3576"/>
      <c r="AH883" s="3576"/>
      <c r="AI883" s="3580"/>
      <c r="AJ883" s="3581"/>
      <c r="AK883" s="3582"/>
      <c r="AL883" s="3582"/>
      <c r="AM883" s="3582"/>
      <c r="AN883" s="3582"/>
      <c r="AO883" s="3582"/>
      <c r="AP883" s="3582"/>
      <c r="AQ883" s="3582"/>
      <c r="AR883" s="3576"/>
      <c r="AS883" s="3576"/>
      <c r="AT883" s="3576"/>
      <c r="AU883" s="3576"/>
      <c r="AV883" s="3563"/>
    </row>
    <row r="884" s="3565" customFormat="1" spans="1:48">
      <c r="A884" s="3575"/>
      <c r="B884" s="3576"/>
      <c r="C884" s="3576"/>
      <c r="D884" s="3563"/>
      <c r="E884" s="3563"/>
      <c r="F884" s="3576"/>
      <c r="G884" s="3576"/>
      <c r="H884" s="3563"/>
      <c r="I884" s="3563"/>
      <c r="J884" s="3563"/>
      <c r="K884" s="3563"/>
      <c r="L884" s="3563"/>
      <c r="M884" s="3563"/>
      <c r="N884" s="3577"/>
      <c r="O884" s="3563"/>
      <c r="P884" s="3576"/>
      <c r="Q884" s="3578"/>
      <c r="R884" s="3563"/>
      <c r="S884" s="3563"/>
      <c r="T884" s="3579"/>
      <c r="U884" s="3563"/>
      <c r="V884" s="3563"/>
      <c r="W884" s="3578"/>
      <c r="X884" s="3578"/>
      <c r="Y884" s="3578"/>
      <c r="Z884" s="3578"/>
      <c r="AA884" s="3578"/>
      <c r="AB884" s="3563"/>
      <c r="AC884" s="3578"/>
      <c r="AD884" s="3578"/>
      <c r="AE884" s="3578"/>
      <c r="AF884" s="3578"/>
      <c r="AG884" s="3576"/>
      <c r="AH884" s="3576"/>
      <c r="AI884" s="3580"/>
      <c r="AJ884" s="3581"/>
      <c r="AK884" s="3582"/>
      <c r="AL884" s="3582"/>
      <c r="AM884" s="3582"/>
      <c r="AN884" s="3582"/>
      <c r="AO884" s="3582"/>
      <c r="AP884" s="3582"/>
      <c r="AQ884" s="3582"/>
      <c r="AR884" s="3576"/>
      <c r="AS884" s="3576"/>
      <c r="AT884" s="3576"/>
      <c r="AU884" s="3576"/>
      <c r="AV884" s="3563"/>
    </row>
    <row r="885" s="3565" customFormat="1" spans="1:48">
      <c r="A885" s="3575"/>
      <c r="B885" s="3576"/>
      <c r="C885" s="3576"/>
      <c r="D885" s="3563"/>
      <c r="E885" s="3563"/>
      <c r="F885" s="3576"/>
      <c r="G885" s="3576"/>
      <c r="H885" s="3563"/>
      <c r="I885" s="3563"/>
      <c r="J885" s="3563"/>
      <c r="K885" s="3563"/>
      <c r="L885" s="3563"/>
      <c r="M885" s="3563"/>
      <c r="N885" s="3577"/>
      <c r="O885" s="3563"/>
      <c r="P885" s="3576"/>
      <c r="Q885" s="3578"/>
      <c r="R885" s="3563"/>
      <c r="S885" s="3563"/>
      <c r="T885" s="3579"/>
      <c r="U885" s="3563"/>
      <c r="V885" s="3563"/>
      <c r="W885" s="3578"/>
      <c r="X885" s="3578"/>
      <c r="Y885" s="3578"/>
      <c r="Z885" s="3578"/>
      <c r="AA885" s="3578"/>
      <c r="AB885" s="3563"/>
      <c r="AC885" s="3578"/>
      <c r="AD885" s="3578"/>
      <c r="AE885" s="3578"/>
      <c r="AF885" s="3578"/>
      <c r="AG885" s="3576"/>
      <c r="AH885" s="3576"/>
      <c r="AI885" s="3580"/>
      <c r="AJ885" s="3581"/>
      <c r="AK885" s="3582"/>
      <c r="AL885" s="3582"/>
      <c r="AM885" s="3582"/>
      <c r="AN885" s="3582"/>
      <c r="AO885" s="3582"/>
      <c r="AP885" s="3582"/>
      <c r="AQ885" s="3582"/>
      <c r="AR885" s="3576"/>
      <c r="AS885" s="3576"/>
      <c r="AT885" s="3576"/>
      <c r="AU885" s="3576"/>
      <c r="AV885" s="3563"/>
    </row>
    <row r="886" s="3565" customFormat="1" spans="1:48">
      <c r="A886" s="3575"/>
      <c r="B886" s="3576"/>
      <c r="C886" s="3576"/>
      <c r="D886" s="3563"/>
      <c r="E886" s="3563"/>
      <c r="F886" s="3576"/>
      <c r="G886" s="3576"/>
      <c r="H886" s="3563"/>
      <c r="I886" s="3563"/>
      <c r="J886" s="3563"/>
      <c r="K886" s="3563"/>
      <c r="L886" s="3563"/>
      <c r="M886" s="3563"/>
      <c r="N886" s="3577"/>
      <c r="O886" s="3563"/>
      <c r="P886" s="3576"/>
      <c r="Q886" s="3578"/>
      <c r="R886" s="3563"/>
      <c r="S886" s="3563"/>
      <c r="T886" s="3579"/>
      <c r="U886" s="3563"/>
      <c r="V886" s="3563"/>
      <c r="W886" s="3578"/>
      <c r="X886" s="3578"/>
      <c r="Y886" s="3578"/>
      <c r="Z886" s="3578"/>
      <c r="AA886" s="3578"/>
      <c r="AB886" s="3563"/>
      <c r="AC886" s="3578"/>
      <c r="AD886" s="3578"/>
      <c r="AE886" s="3578"/>
      <c r="AF886" s="3578"/>
      <c r="AG886" s="3576"/>
      <c r="AH886" s="3576"/>
      <c r="AI886" s="3580"/>
      <c r="AJ886" s="3581"/>
      <c r="AK886" s="3582"/>
      <c r="AL886" s="3582"/>
      <c r="AM886" s="3582"/>
      <c r="AN886" s="3582"/>
      <c r="AO886" s="3582"/>
      <c r="AP886" s="3582"/>
      <c r="AQ886" s="3582"/>
      <c r="AR886" s="3576"/>
      <c r="AS886" s="3576"/>
      <c r="AT886" s="3576"/>
      <c r="AU886" s="3576"/>
      <c r="AV886" s="3563"/>
    </row>
    <row r="887" s="3565" customFormat="1" spans="1:48">
      <c r="A887" s="3575"/>
      <c r="B887" s="3576"/>
      <c r="C887" s="3576"/>
      <c r="D887" s="3563"/>
      <c r="E887" s="3563"/>
      <c r="F887" s="3576"/>
      <c r="G887" s="3576"/>
      <c r="H887" s="3563"/>
      <c r="I887" s="3563"/>
      <c r="J887" s="3563"/>
      <c r="K887" s="3563"/>
      <c r="L887" s="3563"/>
      <c r="M887" s="3563"/>
      <c r="N887" s="3577"/>
      <c r="O887" s="3563"/>
      <c r="P887" s="3576"/>
      <c r="Q887" s="3578"/>
      <c r="R887" s="3563"/>
      <c r="S887" s="3563"/>
      <c r="T887" s="3579"/>
      <c r="U887" s="3563"/>
      <c r="V887" s="3563"/>
      <c r="W887" s="3578"/>
      <c r="X887" s="3578"/>
      <c r="Y887" s="3578"/>
      <c r="Z887" s="3578"/>
      <c r="AA887" s="3578"/>
      <c r="AB887" s="3563"/>
      <c r="AC887" s="3578"/>
      <c r="AD887" s="3578"/>
      <c r="AE887" s="3578"/>
      <c r="AF887" s="3578"/>
      <c r="AG887" s="3576"/>
      <c r="AH887" s="3576"/>
      <c r="AI887" s="3580"/>
      <c r="AJ887" s="3581"/>
      <c r="AK887" s="3582"/>
      <c r="AL887" s="3582"/>
      <c r="AM887" s="3582"/>
      <c r="AN887" s="3582"/>
      <c r="AO887" s="3582"/>
      <c r="AP887" s="3582"/>
      <c r="AQ887" s="3582"/>
      <c r="AR887" s="3576"/>
      <c r="AS887" s="3576"/>
      <c r="AT887" s="3576"/>
      <c r="AU887" s="3576"/>
      <c r="AV887" s="3563"/>
    </row>
    <row r="888" s="3565" customFormat="1" spans="1:48">
      <c r="A888" s="3575"/>
      <c r="B888" s="3576"/>
      <c r="C888" s="3576"/>
      <c r="D888" s="3563"/>
      <c r="E888" s="3563"/>
      <c r="F888" s="3576"/>
      <c r="G888" s="3576"/>
      <c r="H888" s="3563"/>
      <c r="I888" s="3563"/>
      <c r="J888" s="3563"/>
      <c r="K888" s="3563"/>
      <c r="L888" s="3563"/>
      <c r="M888" s="3563"/>
      <c r="N888" s="3577"/>
      <c r="O888" s="3563"/>
      <c r="P888" s="3576"/>
      <c r="Q888" s="3578"/>
      <c r="R888" s="3563"/>
      <c r="S888" s="3563"/>
      <c r="T888" s="3579"/>
      <c r="U888" s="3563"/>
      <c r="V888" s="3563"/>
      <c r="W888" s="3578"/>
      <c r="X888" s="3578"/>
      <c r="Y888" s="3578"/>
      <c r="Z888" s="3578"/>
      <c r="AA888" s="3578"/>
      <c r="AB888" s="3563"/>
      <c r="AC888" s="3578"/>
      <c r="AD888" s="3578"/>
      <c r="AE888" s="3578"/>
      <c r="AF888" s="3578"/>
      <c r="AG888" s="3576"/>
      <c r="AH888" s="3576"/>
      <c r="AI888" s="3580"/>
      <c r="AJ888" s="3581"/>
      <c r="AK888" s="3582"/>
      <c r="AL888" s="3582"/>
      <c r="AM888" s="3582"/>
      <c r="AN888" s="3582"/>
      <c r="AO888" s="3582"/>
      <c r="AP888" s="3582"/>
      <c r="AQ888" s="3582"/>
      <c r="AR888" s="3576"/>
      <c r="AS888" s="3576"/>
      <c r="AT888" s="3576"/>
      <c r="AU888" s="3576"/>
      <c r="AV888" s="3563"/>
    </row>
    <row r="889" s="3565" customFormat="1" spans="1:48">
      <c r="A889" s="3575"/>
      <c r="B889" s="3576"/>
      <c r="C889" s="3576"/>
      <c r="D889" s="3563"/>
      <c r="E889" s="3563"/>
      <c r="F889" s="3576"/>
      <c r="G889" s="3576"/>
      <c r="H889" s="3563"/>
      <c r="I889" s="3563"/>
      <c r="J889" s="3563"/>
      <c r="K889" s="3563"/>
      <c r="L889" s="3563"/>
      <c r="M889" s="3563"/>
      <c r="N889" s="3577"/>
      <c r="O889" s="3563"/>
      <c r="P889" s="3576"/>
      <c r="Q889" s="3578"/>
      <c r="R889" s="3563"/>
      <c r="S889" s="3563"/>
      <c r="T889" s="3579"/>
      <c r="U889" s="3563"/>
      <c r="V889" s="3563"/>
      <c r="W889" s="3578"/>
      <c r="X889" s="3578"/>
      <c r="Y889" s="3578"/>
      <c r="Z889" s="3578"/>
      <c r="AA889" s="3578"/>
      <c r="AB889" s="3563"/>
      <c r="AC889" s="3578"/>
      <c r="AD889" s="3578"/>
      <c r="AE889" s="3578"/>
      <c r="AF889" s="3578"/>
      <c r="AG889" s="3576"/>
      <c r="AH889" s="3576"/>
      <c r="AI889" s="3580"/>
      <c r="AJ889" s="3581"/>
      <c r="AK889" s="3582"/>
      <c r="AL889" s="3582"/>
      <c r="AM889" s="3582"/>
      <c r="AN889" s="3582"/>
      <c r="AO889" s="3582"/>
      <c r="AP889" s="3582"/>
      <c r="AQ889" s="3582"/>
      <c r="AR889" s="3576"/>
      <c r="AS889" s="3576"/>
      <c r="AT889" s="3576"/>
      <c r="AU889" s="3576"/>
      <c r="AV889" s="3563"/>
    </row>
    <row r="890" s="3565" customFormat="1" spans="1:48">
      <c r="A890" s="3575"/>
      <c r="B890" s="3576"/>
      <c r="C890" s="3576"/>
      <c r="D890" s="3563"/>
      <c r="E890" s="3563"/>
      <c r="F890" s="3576"/>
      <c r="G890" s="3576"/>
      <c r="H890" s="3563"/>
      <c r="I890" s="3563"/>
      <c r="J890" s="3563"/>
      <c r="K890" s="3563"/>
      <c r="L890" s="3563"/>
      <c r="M890" s="3563"/>
      <c r="N890" s="3577"/>
      <c r="O890" s="3563"/>
      <c r="P890" s="3576"/>
      <c r="Q890" s="3578"/>
      <c r="R890" s="3563"/>
      <c r="S890" s="3563"/>
      <c r="T890" s="3579"/>
      <c r="U890" s="3563"/>
      <c r="V890" s="3563"/>
      <c r="W890" s="3578"/>
      <c r="X890" s="3578"/>
      <c r="Y890" s="3578"/>
      <c r="Z890" s="3578"/>
      <c r="AA890" s="3578"/>
      <c r="AB890" s="3563"/>
      <c r="AC890" s="3578"/>
      <c r="AD890" s="3578"/>
      <c r="AE890" s="3578"/>
      <c r="AF890" s="3578"/>
      <c r="AG890" s="3576"/>
      <c r="AH890" s="3576"/>
      <c r="AI890" s="3580"/>
      <c r="AJ890" s="3581"/>
      <c r="AK890" s="3582"/>
      <c r="AL890" s="3582"/>
      <c r="AM890" s="3582"/>
      <c r="AN890" s="3582"/>
      <c r="AO890" s="3582"/>
      <c r="AP890" s="3582"/>
      <c r="AQ890" s="3582"/>
      <c r="AR890" s="3576"/>
      <c r="AS890" s="3576"/>
      <c r="AT890" s="3576"/>
      <c r="AU890" s="3576"/>
      <c r="AV890" s="3563"/>
    </row>
    <row r="891" s="3565" customFormat="1" spans="1:48">
      <c r="A891" s="3575"/>
      <c r="B891" s="3576"/>
      <c r="C891" s="3576"/>
      <c r="D891" s="3563"/>
      <c r="E891" s="3563"/>
      <c r="F891" s="3576"/>
      <c r="G891" s="3576"/>
      <c r="H891" s="3563"/>
      <c r="I891" s="3563"/>
      <c r="J891" s="3563"/>
      <c r="K891" s="3563"/>
      <c r="L891" s="3563"/>
      <c r="M891" s="3563"/>
      <c r="N891" s="3577"/>
      <c r="O891" s="3563"/>
      <c r="P891" s="3576"/>
      <c r="Q891" s="3578"/>
      <c r="R891" s="3563"/>
      <c r="S891" s="3563"/>
      <c r="T891" s="3579"/>
      <c r="U891" s="3563"/>
      <c r="V891" s="3563"/>
      <c r="W891" s="3578"/>
      <c r="X891" s="3578"/>
      <c r="Y891" s="3578"/>
      <c r="Z891" s="3578"/>
      <c r="AA891" s="3578"/>
      <c r="AB891" s="3563"/>
      <c r="AC891" s="3578"/>
      <c r="AD891" s="3578"/>
      <c r="AE891" s="3578"/>
      <c r="AF891" s="3578"/>
      <c r="AG891" s="3576"/>
      <c r="AH891" s="3576"/>
      <c r="AI891" s="3580"/>
      <c r="AJ891" s="3581"/>
      <c r="AK891" s="3582"/>
      <c r="AL891" s="3582"/>
      <c r="AM891" s="3582"/>
      <c r="AN891" s="3582"/>
      <c r="AO891" s="3582"/>
      <c r="AP891" s="3582"/>
      <c r="AQ891" s="3582"/>
      <c r="AR891" s="3576"/>
      <c r="AS891" s="3576"/>
      <c r="AT891" s="3576"/>
      <c r="AU891" s="3576"/>
      <c r="AV891" s="3563"/>
    </row>
    <row r="892" s="3565" customFormat="1" spans="1:48">
      <c r="A892" s="3575"/>
      <c r="B892" s="3576"/>
      <c r="C892" s="3576"/>
      <c r="D892" s="3563"/>
      <c r="E892" s="3563"/>
      <c r="F892" s="3576"/>
      <c r="G892" s="3576"/>
      <c r="H892" s="3563"/>
      <c r="I892" s="3563"/>
      <c r="J892" s="3563"/>
      <c r="K892" s="3563"/>
      <c r="L892" s="3563"/>
      <c r="M892" s="3563"/>
      <c r="N892" s="3577"/>
      <c r="O892" s="3563"/>
      <c r="P892" s="3576"/>
      <c r="Q892" s="3578"/>
      <c r="R892" s="3563"/>
      <c r="S892" s="3563"/>
      <c r="T892" s="3579"/>
      <c r="U892" s="3563"/>
      <c r="V892" s="3563"/>
      <c r="W892" s="3578"/>
      <c r="X892" s="3578"/>
      <c r="Y892" s="3578"/>
      <c r="Z892" s="3578"/>
      <c r="AA892" s="3578"/>
      <c r="AB892" s="3563"/>
      <c r="AC892" s="3578"/>
      <c r="AD892" s="3578"/>
      <c r="AE892" s="3578"/>
      <c r="AF892" s="3578"/>
      <c r="AG892" s="3576"/>
      <c r="AH892" s="3576"/>
      <c r="AI892" s="3580"/>
      <c r="AJ892" s="3581"/>
      <c r="AK892" s="3582"/>
      <c r="AL892" s="3582"/>
      <c r="AM892" s="3582"/>
      <c r="AN892" s="3582"/>
      <c r="AO892" s="3582"/>
      <c r="AP892" s="3582"/>
      <c r="AQ892" s="3582"/>
      <c r="AR892" s="3576"/>
      <c r="AS892" s="3576"/>
      <c r="AT892" s="3576"/>
      <c r="AU892" s="3576"/>
      <c r="AV892" s="3563"/>
    </row>
    <row r="893" s="3565" customFormat="1" spans="1:48">
      <c r="A893" s="3575"/>
      <c r="B893" s="3576"/>
      <c r="C893" s="3576"/>
      <c r="D893" s="3563"/>
      <c r="E893" s="3563"/>
      <c r="F893" s="3576"/>
      <c r="G893" s="3576"/>
      <c r="H893" s="3563"/>
      <c r="I893" s="3563"/>
      <c r="J893" s="3563"/>
      <c r="K893" s="3563"/>
      <c r="L893" s="3563"/>
      <c r="M893" s="3563"/>
      <c r="N893" s="3577"/>
      <c r="O893" s="3563"/>
      <c r="P893" s="3576"/>
      <c r="Q893" s="3578"/>
      <c r="R893" s="3563"/>
      <c r="S893" s="3563"/>
      <c r="T893" s="3579"/>
      <c r="U893" s="3563"/>
      <c r="V893" s="3563"/>
      <c r="W893" s="3578"/>
      <c r="X893" s="3578"/>
      <c r="Y893" s="3578"/>
      <c r="Z893" s="3578"/>
      <c r="AA893" s="3578"/>
      <c r="AB893" s="3563"/>
      <c r="AC893" s="3578"/>
      <c r="AD893" s="3578"/>
      <c r="AE893" s="3578"/>
      <c r="AF893" s="3578"/>
      <c r="AG893" s="3576"/>
      <c r="AH893" s="3576"/>
      <c r="AI893" s="3580"/>
      <c r="AJ893" s="3581"/>
      <c r="AK893" s="3582"/>
      <c r="AL893" s="3582"/>
      <c r="AM893" s="3582"/>
      <c r="AN893" s="3582"/>
      <c r="AO893" s="3582"/>
      <c r="AP893" s="3582"/>
      <c r="AQ893" s="3582"/>
      <c r="AR893" s="3576"/>
      <c r="AS893" s="3576"/>
      <c r="AT893" s="3576"/>
      <c r="AU893" s="3576"/>
      <c r="AV893" s="3563"/>
    </row>
    <row r="894" s="3565" customFormat="1" spans="1:48">
      <c r="A894" s="3575"/>
      <c r="B894" s="3576"/>
      <c r="C894" s="3576"/>
      <c r="D894" s="3563"/>
      <c r="E894" s="3563"/>
      <c r="F894" s="3576"/>
      <c r="G894" s="3576"/>
      <c r="H894" s="3563"/>
      <c r="I894" s="3563"/>
      <c r="J894" s="3563"/>
      <c r="K894" s="3563"/>
      <c r="L894" s="3563"/>
      <c r="M894" s="3563"/>
      <c r="N894" s="3577"/>
      <c r="O894" s="3563"/>
      <c r="P894" s="3576"/>
      <c r="Q894" s="3578"/>
      <c r="R894" s="3563"/>
      <c r="S894" s="3563"/>
      <c r="T894" s="3579"/>
      <c r="U894" s="3563"/>
      <c r="V894" s="3563"/>
      <c r="W894" s="3578"/>
      <c r="X894" s="3578"/>
      <c r="Y894" s="3578"/>
      <c r="Z894" s="3578"/>
      <c r="AA894" s="3578"/>
      <c r="AB894" s="3563"/>
      <c r="AC894" s="3578"/>
      <c r="AD894" s="3578"/>
      <c r="AE894" s="3578"/>
      <c r="AF894" s="3578"/>
      <c r="AG894" s="3576"/>
      <c r="AH894" s="3576"/>
      <c r="AI894" s="3580"/>
      <c r="AJ894" s="3581"/>
      <c r="AK894" s="3582"/>
      <c r="AL894" s="3582"/>
      <c r="AM894" s="3582"/>
      <c r="AN894" s="3582"/>
      <c r="AO894" s="3582"/>
      <c r="AP894" s="3582"/>
      <c r="AQ894" s="3582"/>
      <c r="AR894" s="3576"/>
      <c r="AS894" s="3576"/>
      <c r="AT894" s="3576"/>
      <c r="AU894" s="3576"/>
      <c r="AV894" s="3563"/>
    </row>
    <row r="895" s="3565" customFormat="1" spans="1:48">
      <c r="A895" s="3575"/>
      <c r="B895" s="3576"/>
      <c r="C895" s="3576"/>
      <c r="D895" s="3563"/>
      <c r="E895" s="3563"/>
      <c r="F895" s="3576"/>
      <c r="G895" s="3576"/>
      <c r="H895" s="3563"/>
      <c r="I895" s="3563"/>
      <c r="J895" s="3563"/>
      <c r="K895" s="3563"/>
      <c r="L895" s="3563"/>
      <c r="M895" s="3563"/>
      <c r="N895" s="3577"/>
      <c r="O895" s="3563"/>
      <c r="P895" s="3576"/>
      <c r="Q895" s="3578"/>
      <c r="R895" s="3563"/>
      <c r="S895" s="3563"/>
      <c r="T895" s="3579"/>
      <c r="U895" s="3563"/>
      <c r="V895" s="3563"/>
      <c r="W895" s="3578"/>
      <c r="X895" s="3578"/>
      <c r="Y895" s="3578"/>
      <c r="Z895" s="3578"/>
      <c r="AA895" s="3578"/>
      <c r="AB895" s="3563"/>
      <c r="AC895" s="3578"/>
      <c r="AD895" s="3578"/>
      <c r="AE895" s="3578"/>
      <c r="AF895" s="3578"/>
      <c r="AG895" s="3576"/>
      <c r="AH895" s="3576"/>
      <c r="AI895" s="3580"/>
      <c r="AJ895" s="3581"/>
      <c r="AK895" s="3582"/>
      <c r="AL895" s="3582"/>
      <c r="AM895" s="3582"/>
      <c r="AN895" s="3582"/>
      <c r="AO895" s="3582"/>
      <c r="AP895" s="3582"/>
      <c r="AQ895" s="3582"/>
      <c r="AR895" s="3576"/>
      <c r="AS895" s="3576"/>
      <c r="AT895" s="3576"/>
      <c r="AU895" s="3576"/>
      <c r="AV895" s="3563"/>
    </row>
    <row r="896" s="3565" customFormat="1" spans="1:48">
      <c r="A896" s="3575"/>
      <c r="B896" s="3576"/>
      <c r="C896" s="3576"/>
      <c r="D896" s="3563"/>
      <c r="E896" s="3563"/>
      <c r="F896" s="3576"/>
      <c r="G896" s="3576"/>
      <c r="H896" s="3563"/>
      <c r="I896" s="3563"/>
      <c r="J896" s="3563"/>
      <c r="K896" s="3563"/>
      <c r="L896" s="3563"/>
      <c r="M896" s="3563"/>
      <c r="N896" s="3577"/>
      <c r="O896" s="3563"/>
      <c r="P896" s="3576"/>
      <c r="Q896" s="3578"/>
      <c r="R896" s="3563"/>
      <c r="S896" s="3563"/>
      <c r="T896" s="3579"/>
      <c r="U896" s="3563"/>
      <c r="V896" s="3563"/>
      <c r="W896" s="3578"/>
      <c r="X896" s="3578"/>
      <c r="Y896" s="3578"/>
      <c r="Z896" s="3578"/>
      <c r="AA896" s="3578"/>
      <c r="AB896" s="3563"/>
      <c r="AC896" s="3578"/>
      <c r="AD896" s="3578"/>
      <c r="AE896" s="3578"/>
      <c r="AF896" s="3578"/>
      <c r="AG896" s="3576"/>
      <c r="AH896" s="3576"/>
      <c r="AI896" s="3580"/>
      <c r="AJ896" s="3581"/>
      <c r="AK896" s="3582"/>
      <c r="AL896" s="3582"/>
      <c r="AM896" s="3582"/>
      <c r="AN896" s="3582"/>
      <c r="AO896" s="3582"/>
      <c r="AP896" s="3582"/>
      <c r="AQ896" s="3582"/>
      <c r="AR896" s="3576"/>
      <c r="AS896" s="3576"/>
      <c r="AT896" s="3576"/>
      <c r="AU896" s="3576"/>
      <c r="AV896" s="3563"/>
    </row>
    <row r="897" s="3565" customFormat="1" spans="1:48">
      <c r="A897" s="3575"/>
      <c r="B897" s="3576"/>
      <c r="C897" s="3576"/>
      <c r="D897" s="3563"/>
      <c r="E897" s="3563"/>
      <c r="F897" s="3576"/>
      <c r="G897" s="3576"/>
      <c r="H897" s="3563"/>
      <c r="I897" s="3563"/>
      <c r="J897" s="3563"/>
      <c r="K897" s="3563"/>
      <c r="L897" s="3563"/>
      <c r="M897" s="3563"/>
      <c r="N897" s="3577"/>
      <c r="O897" s="3563"/>
      <c r="P897" s="3576"/>
      <c r="Q897" s="3578"/>
      <c r="R897" s="3563"/>
      <c r="S897" s="3563"/>
      <c r="T897" s="3579"/>
      <c r="U897" s="3563"/>
      <c r="V897" s="3563"/>
      <c r="W897" s="3578"/>
      <c r="X897" s="3578"/>
      <c r="Y897" s="3578"/>
      <c r="Z897" s="3578"/>
      <c r="AA897" s="3578"/>
      <c r="AB897" s="3563"/>
      <c r="AC897" s="3578"/>
      <c r="AD897" s="3578"/>
      <c r="AE897" s="3578"/>
      <c r="AF897" s="3578"/>
      <c r="AG897" s="3576"/>
      <c r="AH897" s="3576"/>
      <c r="AI897" s="3580"/>
      <c r="AJ897" s="3581"/>
      <c r="AK897" s="3582"/>
      <c r="AL897" s="3582"/>
      <c r="AM897" s="3582"/>
      <c r="AN897" s="3582"/>
      <c r="AO897" s="3582"/>
      <c r="AP897" s="3582"/>
      <c r="AQ897" s="3582"/>
      <c r="AR897" s="3576"/>
      <c r="AS897" s="3576"/>
      <c r="AT897" s="3576"/>
      <c r="AU897" s="3576"/>
      <c r="AV897" s="3563"/>
    </row>
    <row r="898" s="3565" customFormat="1" spans="1:48">
      <c r="A898" s="3575"/>
      <c r="B898" s="3576"/>
      <c r="C898" s="3576"/>
      <c r="D898" s="3563"/>
      <c r="E898" s="3563"/>
      <c r="F898" s="3576"/>
      <c r="G898" s="3576"/>
      <c r="H898" s="3563"/>
      <c r="I898" s="3563"/>
      <c r="J898" s="3563"/>
      <c r="K898" s="3563"/>
      <c r="L898" s="3563"/>
      <c r="M898" s="3563"/>
      <c r="N898" s="3577"/>
      <c r="O898" s="3563"/>
      <c r="P898" s="3576"/>
      <c r="Q898" s="3578"/>
      <c r="R898" s="3563"/>
      <c r="S898" s="3563"/>
      <c r="T898" s="3579"/>
      <c r="U898" s="3563"/>
      <c r="V898" s="3563"/>
      <c r="W898" s="3578"/>
      <c r="X898" s="3578"/>
      <c r="Y898" s="3578"/>
      <c r="Z898" s="3578"/>
      <c r="AA898" s="3578"/>
      <c r="AB898" s="3563"/>
      <c r="AC898" s="3578"/>
      <c r="AD898" s="3578"/>
      <c r="AE898" s="3578"/>
      <c r="AF898" s="3578"/>
      <c r="AG898" s="3576"/>
      <c r="AH898" s="3576"/>
      <c r="AI898" s="3580"/>
      <c r="AJ898" s="3581"/>
      <c r="AK898" s="3582"/>
      <c r="AL898" s="3582"/>
      <c r="AM898" s="3582"/>
      <c r="AN898" s="3582"/>
      <c r="AO898" s="3582"/>
      <c r="AP898" s="3582"/>
      <c r="AQ898" s="3582"/>
      <c r="AR898" s="3576"/>
      <c r="AS898" s="3576"/>
      <c r="AT898" s="3576"/>
      <c r="AU898" s="3576"/>
      <c r="AV898" s="3563"/>
    </row>
    <row r="899" s="3565" customFormat="1" spans="1:48">
      <c r="A899" s="3575"/>
      <c r="B899" s="3576"/>
      <c r="C899" s="3576"/>
      <c r="D899" s="3563"/>
      <c r="E899" s="3563"/>
      <c r="F899" s="3576"/>
      <c r="G899" s="3576"/>
      <c r="H899" s="3563"/>
      <c r="I899" s="3563"/>
      <c r="J899" s="3563"/>
      <c r="K899" s="3563"/>
      <c r="L899" s="3563"/>
      <c r="M899" s="3563"/>
      <c r="N899" s="3577"/>
      <c r="O899" s="3563"/>
      <c r="P899" s="3576"/>
      <c r="Q899" s="3578"/>
      <c r="R899" s="3563"/>
      <c r="S899" s="3563"/>
      <c r="T899" s="3579"/>
      <c r="U899" s="3563"/>
      <c r="V899" s="3563"/>
      <c r="W899" s="3578"/>
      <c r="X899" s="3578"/>
      <c r="Y899" s="3578"/>
      <c r="Z899" s="3578"/>
      <c r="AA899" s="3578"/>
      <c r="AB899" s="3563"/>
      <c r="AC899" s="3578"/>
      <c r="AD899" s="3578"/>
      <c r="AE899" s="3578"/>
      <c r="AF899" s="3578"/>
      <c r="AG899" s="3576"/>
      <c r="AH899" s="3576"/>
      <c r="AI899" s="3580"/>
      <c r="AJ899" s="3581"/>
      <c r="AK899" s="3582"/>
      <c r="AL899" s="3582"/>
      <c r="AM899" s="3582"/>
      <c r="AN899" s="3582"/>
      <c r="AO899" s="3582"/>
      <c r="AP899" s="3582"/>
      <c r="AQ899" s="3582"/>
      <c r="AR899" s="3576"/>
      <c r="AS899" s="3576"/>
      <c r="AT899" s="3576"/>
      <c r="AU899" s="3576"/>
      <c r="AV899" s="3563"/>
    </row>
    <row r="900" s="3565" customFormat="1" spans="1:48">
      <c r="A900" s="3575"/>
      <c r="B900" s="3576"/>
      <c r="C900" s="3576"/>
      <c r="D900" s="3563"/>
      <c r="E900" s="3563"/>
      <c r="F900" s="3576"/>
      <c r="G900" s="3576"/>
      <c r="H900" s="3563"/>
      <c r="I900" s="3563"/>
      <c r="J900" s="3563"/>
      <c r="K900" s="3563"/>
      <c r="L900" s="3563"/>
      <c r="M900" s="3563"/>
      <c r="N900" s="3577"/>
      <c r="O900" s="3563"/>
      <c r="P900" s="3576"/>
      <c r="Q900" s="3578"/>
      <c r="R900" s="3563"/>
      <c r="S900" s="3563"/>
      <c r="T900" s="3579"/>
      <c r="U900" s="3563"/>
      <c r="V900" s="3563"/>
      <c r="W900" s="3578"/>
      <c r="X900" s="3578"/>
      <c r="Y900" s="3578"/>
      <c r="Z900" s="3578"/>
      <c r="AA900" s="3578"/>
      <c r="AB900" s="3563"/>
      <c r="AC900" s="3578"/>
      <c r="AD900" s="3578"/>
      <c r="AE900" s="3578"/>
      <c r="AF900" s="3578"/>
      <c r="AG900" s="3576"/>
      <c r="AH900" s="3576"/>
      <c r="AI900" s="3580"/>
      <c r="AJ900" s="3581"/>
      <c r="AK900" s="3582"/>
      <c r="AL900" s="3582"/>
      <c r="AM900" s="3582"/>
      <c r="AN900" s="3582"/>
      <c r="AO900" s="3582"/>
      <c r="AP900" s="3582"/>
      <c r="AQ900" s="3582"/>
      <c r="AR900" s="3576"/>
      <c r="AS900" s="3576"/>
      <c r="AT900" s="3576"/>
      <c r="AU900" s="3576"/>
      <c r="AV900" s="3563"/>
    </row>
    <row r="901" s="3565" customFormat="1" spans="1:48">
      <c r="A901" s="3575"/>
      <c r="B901" s="3576"/>
      <c r="C901" s="3576"/>
      <c r="D901" s="3563"/>
      <c r="E901" s="3563"/>
      <c r="F901" s="3576"/>
      <c r="G901" s="3576"/>
      <c r="H901" s="3563"/>
      <c r="I901" s="3563"/>
      <c r="J901" s="3563"/>
      <c r="K901" s="3563"/>
      <c r="L901" s="3563"/>
      <c r="M901" s="3563"/>
      <c r="N901" s="3577"/>
      <c r="O901" s="3563"/>
      <c r="P901" s="3576"/>
      <c r="Q901" s="3578"/>
      <c r="R901" s="3563"/>
      <c r="S901" s="3563"/>
      <c r="T901" s="3579"/>
      <c r="U901" s="3563"/>
      <c r="V901" s="3563"/>
      <c r="W901" s="3578"/>
      <c r="X901" s="3578"/>
      <c r="Y901" s="3578"/>
      <c r="Z901" s="3578"/>
      <c r="AA901" s="3578"/>
      <c r="AB901" s="3563"/>
      <c r="AC901" s="3578"/>
      <c r="AD901" s="3578"/>
      <c r="AE901" s="3578"/>
      <c r="AF901" s="3578"/>
      <c r="AG901" s="3576"/>
      <c r="AH901" s="3576"/>
      <c r="AI901" s="3580"/>
      <c r="AJ901" s="3581"/>
      <c r="AK901" s="3582"/>
      <c r="AL901" s="3582"/>
      <c r="AM901" s="3582"/>
      <c r="AN901" s="3582"/>
      <c r="AO901" s="3582"/>
      <c r="AP901" s="3582"/>
      <c r="AQ901" s="3582"/>
      <c r="AR901" s="3576"/>
      <c r="AS901" s="3576"/>
      <c r="AT901" s="3576"/>
      <c r="AU901" s="3576"/>
      <c r="AV901" s="3563"/>
    </row>
    <row r="902" s="3565" customFormat="1" spans="1:48">
      <c r="A902" s="3575"/>
      <c r="B902" s="3576"/>
      <c r="C902" s="3576"/>
      <c r="D902" s="3563"/>
      <c r="E902" s="3563"/>
      <c r="F902" s="3576"/>
      <c r="G902" s="3576"/>
      <c r="H902" s="3563"/>
      <c r="I902" s="3563"/>
      <c r="J902" s="3563"/>
      <c r="K902" s="3563"/>
      <c r="L902" s="3563"/>
      <c r="M902" s="3563"/>
      <c r="N902" s="3577"/>
      <c r="O902" s="3563"/>
      <c r="P902" s="3576"/>
      <c r="Q902" s="3578"/>
      <c r="R902" s="3563"/>
      <c r="S902" s="3563"/>
      <c r="T902" s="3579"/>
      <c r="U902" s="3563"/>
      <c r="V902" s="3563"/>
      <c r="W902" s="3578"/>
      <c r="X902" s="3578"/>
      <c r="Y902" s="3578"/>
      <c r="Z902" s="3578"/>
      <c r="AA902" s="3578"/>
      <c r="AB902" s="3563"/>
      <c r="AC902" s="3578"/>
      <c r="AD902" s="3578"/>
      <c r="AE902" s="3578"/>
      <c r="AF902" s="3578"/>
      <c r="AG902" s="3576"/>
      <c r="AH902" s="3576"/>
      <c r="AI902" s="3580"/>
      <c r="AJ902" s="3581"/>
      <c r="AK902" s="3582"/>
      <c r="AL902" s="3582"/>
      <c r="AM902" s="3582"/>
      <c r="AN902" s="3582"/>
      <c r="AO902" s="3582"/>
      <c r="AP902" s="3582"/>
      <c r="AQ902" s="3582"/>
      <c r="AR902" s="3576"/>
      <c r="AS902" s="3576"/>
      <c r="AT902" s="3576"/>
      <c r="AU902" s="3576"/>
      <c r="AV902" s="3563"/>
    </row>
    <row r="903" s="3565" customFormat="1" spans="1:48">
      <c r="A903" s="3575"/>
      <c r="B903" s="3576"/>
      <c r="C903" s="3576"/>
      <c r="D903" s="3563"/>
      <c r="E903" s="3563"/>
      <c r="F903" s="3576"/>
      <c r="G903" s="3576"/>
      <c r="H903" s="3563"/>
      <c r="I903" s="3563"/>
      <c r="J903" s="3563"/>
      <c r="K903" s="3563"/>
      <c r="L903" s="3563"/>
      <c r="M903" s="3563"/>
      <c r="N903" s="3577"/>
      <c r="O903" s="3563"/>
      <c r="P903" s="3576"/>
      <c r="Q903" s="3578"/>
      <c r="R903" s="3563"/>
      <c r="S903" s="3563"/>
      <c r="T903" s="3579"/>
      <c r="U903" s="3563"/>
      <c r="V903" s="3563"/>
      <c r="W903" s="3578"/>
      <c r="X903" s="3578"/>
      <c r="Y903" s="3578"/>
      <c r="Z903" s="3578"/>
      <c r="AA903" s="3578"/>
      <c r="AB903" s="3563"/>
      <c r="AC903" s="3578"/>
      <c r="AD903" s="3578"/>
      <c r="AE903" s="3578"/>
      <c r="AF903" s="3578"/>
      <c r="AG903" s="3576"/>
      <c r="AH903" s="3576"/>
      <c r="AI903" s="3580"/>
      <c r="AJ903" s="3581"/>
      <c r="AK903" s="3582"/>
      <c r="AL903" s="3582"/>
      <c r="AM903" s="3582"/>
      <c r="AN903" s="3582"/>
      <c r="AO903" s="3582"/>
      <c r="AP903" s="3582"/>
      <c r="AQ903" s="3582"/>
      <c r="AR903" s="3576"/>
      <c r="AS903" s="3576"/>
      <c r="AT903" s="3576"/>
      <c r="AU903" s="3576"/>
      <c r="AV903" s="3563"/>
    </row>
    <row r="904" s="3565" customFormat="1" spans="1:48">
      <c r="A904" s="3575"/>
      <c r="B904" s="3576"/>
      <c r="C904" s="3576"/>
      <c r="D904" s="3563"/>
      <c r="E904" s="3563"/>
      <c r="F904" s="3576"/>
      <c r="G904" s="3576"/>
      <c r="H904" s="3563"/>
      <c r="I904" s="3563"/>
      <c r="J904" s="3563"/>
      <c r="K904" s="3563"/>
      <c r="L904" s="3563"/>
      <c r="M904" s="3563"/>
      <c r="N904" s="3577"/>
      <c r="O904" s="3563"/>
      <c r="P904" s="3576"/>
      <c r="Q904" s="3578"/>
      <c r="R904" s="3563"/>
      <c r="S904" s="3563"/>
      <c r="T904" s="3579"/>
      <c r="U904" s="3563"/>
      <c r="V904" s="3563"/>
      <c r="W904" s="3578"/>
      <c r="X904" s="3578"/>
      <c r="Y904" s="3578"/>
      <c r="Z904" s="3578"/>
      <c r="AA904" s="3578"/>
      <c r="AB904" s="3563"/>
      <c r="AC904" s="3578"/>
      <c r="AD904" s="3578"/>
      <c r="AE904" s="3578"/>
      <c r="AF904" s="3578"/>
      <c r="AG904" s="3576"/>
      <c r="AH904" s="3576"/>
      <c r="AI904" s="3580"/>
      <c r="AJ904" s="3581"/>
      <c r="AK904" s="3582"/>
      <c r="AL904" s="3582"/>
      <c r="AM904" s="3582"/>
      <c r="AN904" s="3582"/>
      <c r="AO904" s="3582"/>
      <c r="AP904" s="3582"/>
      <c r="AQ904" s="3582"/>
      <c r="AR904" s="3576"/>
      <c r="AS904" s="3576"/>
      <c r="AT904" s="3576"/>
      <c r="AU904" s="3576"/>
      <c r="AV904" s="3563"/>
    </row>
    <row r="905" s="3565" customFormat="1" spans="1:48">
      <c r="A905" s="3575"/>
      <c r="B905" s="3576"/>
      <c r="C905" s="3576"/>
      <c r="D905" s="3563"/>
      <c r="E905" s="3563"/>
      <c r="F905" s="3576"/>
      <c r="G905" s="3576"/>
      <c r="H905" s="3563"/>
      <c r="I905" s="3563"/>
      <c r="J905" s="3563"/>
      <c r="K905" s="3563"/>
      <c r="L905" s="3563"/>
      <c r="M905" s="3563"/>
      <c r="N905" s="3577"/>
      <c r="O905" s="3563"/>
      <c r="P905" s="3576"/>
      <c r="Q905" s="3578"/>
      <c r="R905" s="3563"/>
      <c r="S905" s="3563"/>
      <c r="T905" s="3579"/>
      <c r="U905" s="3563"/>
      <c r="V905" s="3563"/>
      <c r="W905" s="3578"/>
      <c r="X905" s="3578"/>
      <c r="Y905" s="3578"/>
      <c r="Z905" s="3578"/>
      <c r="AA905" s="3578"/>
      <c r="AB905" s="3563"/>
      <c r="AC905" s="3578"/>
      <c r="AD905" s="3578"/>
      <c r="AE905" s="3578"/>
      <c r="AF905" s="3578"/>
      <c r="AG905" s="3576"/>
      <c r="AH905" s="3576"/>
      <c r="AI905" s="3580"/>
      <c r="AJ905" s="3581"/>
      <c r="AK905" s="3582"/>
      <c r="AL905" s="3582"/>
      <c r="AM905" s="3582"/>
      <c r="AN905" s="3582"/>
      <c r="AO905" s="3582"/>
      <c r="AP905" s="3582"/>
      <c r="AQ905" s="3582"/>
      <c r="AR905" s="3576"/>
      <c r="AS905" s="3576"/>
      <c r="AT905" s="3576"/>
      <c r="AU905" s="3576"/>
      <c r="AV905" s="3563"/>
    </row>
    <row r="906" s="3565" customFormat="1" spans="1:48">
      <c r="A906" s="3575"/>
      <c r="B906" s="3576"/>
      <c r="C906" s="3576"/>
      <c r="D906" s="3563"/>
      <c r="E906" s="3563"/>
      <c r="F906" s="3576"/>
      <c r="G906" s="3576"/>
      <c r="H906" s="3563"/>
      <c r="I906" s="3563"/>
      <c r="J906" s="3563"/>
      <c r="K906" s="3563"/>
      <c r="L906" s="3563"/>
      <c r="M906" s="3563"/>
      <c r="N906" s="3577"/>
      <c r="O906" s="3563"/>
      <c r="P906" s="3576"/>
      <c r="Q906" s="3578"/>
      <c r="R906" s="3563"/>
      <c r="S906" s="3563"/>
      <c r="T906" s="3579"/>
      <c r="U906" s="3563"/>
      <c r="V906" s="3563"/>
      <c r="W906" s="3578"/>
      <c r="X906" s="3578"/>
      <c r="Y906" s="3578"/>
      <c r="Z906" s="3578"/>
      <c r="AA906" s="3578"/>
      <c r="AB906" s="3563"/>
      <c r="AC906" s="3578"/>
      <c r="AD906" s="3578"/>
      <c r="AE906" s="3578"/>
      <c r="AF906" s="3578"/>
      <c r="AG906" s="3576"/>
      <c r="AH906" s="3576"/>
      <c r="AI906" s="3580"/>
      <c r="AJ906" s="3581"/>
      <c r="AK906" s="3582"/>
      <c r="AL906" s="3582"/>
      <c r="AM906" s="3582"/>
      <c r="AN906" s="3582"/>
      <c r="AO906" s="3582"/>
      <c r="AP906" s="3582"/>
      <c r="AQ906" s="3582"/>
      <c r="AR906" s="3576"/>
      <c r="AS906" s="3576"/>
      <c r="AT906" s="3576"/>
      <c r="AU906" s="3576"/>
      <c r="AV906" s="3563"/>
    </row>
    <row r="907" s="3565" customFormat="1" spans="1:48">
      <c r="A907" s="3575"/>
      <c r="B907" s="3576"/>
      <c r="C907" s="3576"/>
      <c r="D907" s="3563"/>
      <c r="E907" s="3563"/>
      <c r="F907" s="3576"/>
      <c r="G907" s="3576"/>
      <c r="H907" s="3563"/>
      <c r="I907" s="3563"/>
      <c r="J907" s="3563"/>
      <c r="K907" s="3563"/>
      <c r="L907" s="3563"/>
      <c r="M907" s="3563"/>
      <c r="N907" s="3577"/>
      <c r="O907" s="3563"/>
      <c r="P907" s="3576"/>
      <c r="Q907" s="3578"/>
      <c r="R907" s="3563"/>
      <c r="S907" s="3563"/>
      <c r="T907" s="3579"/>
      <c r="U907" s="3563"/>
      <c r="V907" s="3563"/>
      <c r="W907" s="3578"/>
      <c r="X907" s="3578"/>
      <c r="Y907" s="3578"/>
      <c r="Z907" s="3578"/>
      <c r="AA907" s="3578"/>
      <c r="AB907" s="3563"/>
      <c r="AC907" s="3578"/>
      <c r="AD907" s="3578"/>
      <c r="AE907" s="3578"/>
      <c r="AF907" s="3578"/>
      <c r="AG907" s="3576"/>
      <c r="AH907" s="3576"/>
      <c r="AI907" s="3580"/>
      <c r="AJ907" s="3581"/>
      <c r="AK907" s="3582"/>
      <c r="AL907" s="3582"/>
      <c r="AM907" s="3582"/>
      <c r="AN907" s="3582"/>
      <c r="AO907" s="3582"/>
      <c r="AP907" s="3582"/>
      <c r="AQ907" s="3582"/>
      <c r="AR907" s="3576"/>
      <c r="AS907" s="3576"/>
      <c r="AT907" s="3576"/>
      <c r="AU907" s="3576"/>
      <c r="AV907" s="3563"/>
    </row>
    <row r="908" s="3565" customFormat="1" spans="1:48">
      <c r="A908" s="3575"/>
      <c r="B908" s="3576"/>
      <c r="C908" s="3576"/>
      <c r="D908" s="3563"/>
      <c r="E908" s="3563"/>
      <c r="F908" s="3576"/>
      <c r="G908" s="3576"/>
      <c r="H908" s="3563"/>
      <c r="I908" s="3563"/>
      <c r="J908" s="3563"/>
      <c r="K908" s="3563"/>
      <c r="L908" s="3563"/>
      <c r="M908" s="3563"/>
      <c r="N908" s="3577"/>
      <c r="O908" s="3563"/>
      <c r="P908" s="3576"/>
      <c r="Q908" s="3578"/>
      <c r="R908" s="3563"/>
      <c r="S908" s="3563"/>
      <c r="T908" s="3579"/>
      <c r="U908" s="3563"/>
      <c r="V908" s="3563"/>
      <c r="W908" s="3578"/>
      <c r="X908" s="3578"/>
      <c r="Y908" s="3578"/>
      <c r="Z908" s="3578"/>
      <c r="AA908" s="3578"/>
      <c r="AB908" s="3563"/>
      <c r="AC908" s="3578"/>
      <c r="AD908" s="3578"/>
      <c r="AE908" s="3578"/>
      <c r="AF908" s="3578"/>
      <c r="AG908" s="3576"/>
      <c r="AH908" s="3576"/>
      <c r="AI908" s="3580"/>
      <c r="AJ908" s="3581"/>
      <c r="AK908" s="3582"/>
      <c r="AL908" s="3582"/>
      <c r="AM908" s="3582"/>
      <c r="AN908" s="3582"/>
      <c r="AO908" s="3582"/>
      <c r="AP908" s="3582"/>
      <c r="AQ908" s="3582"/>
      <c r="AR908" s="3576"/>
      <c r="AS908" s="3576"/>
      <c r="AT908" s="3576"/>
      <c r="AU908" s="3576"/>
      <c r="AV908" s="3563"/>
    </row>
    <row r="909" s="3565" customFormat="1" spans="1:48">
      <c r="A909" s="3575"/>
      <c r="B909" s="3576"/>
      <c r="C909" s="3576"/>
      <c r="D909" s="3563"/>
      <c r="E909" s="3563"/>
      <c r="F909" s="3576"/>
      <c r="G909" s="3576"/>
      <c r="H909" s="3563"/>
      <c r="I909" s="3563"/>
      <c r="J909" s="3563"/>
      <c r="K909" s="3563"/>
      <c r="L909" s="3563"/>
      <c r="M909" s="3563"/>
      <c r="N909" s="3577"/>
      <c r="O909" s="3563"/>
      <c r="P909" s="3576"/>
      <c r="Q909" s="3578"/>
      <c r="R909" s="3563"/>
      <c r="S909" s="3563"/>
      <c r="T909" s="3579"/>
      <c r="U909" s="3563"/>
      <c r="V909" s="3563"/>
      <c r="W909" s="3578"/>
      <c r="X909" s="3578"/>
      <c r="Y909" s="3578"/>
      <c r="Z909" s="3578"/>
      <c r="AA909" s="3578"/>
      <c r="AB909" s="3563"/>
      <c r="AC909" s="3578"/>
      <c r="AD909" s="3578"/>
      <c r="AE909" s="3578"/>
      <c r="AF909" s="3578"/>
      <c r="AG909" s="3576"/>
      <c r="AH909" s="3576"/>
      <c r="AI909" s="3580"/>
      <c r="AJ909" s="3581"/>
      <c r="AK909" s="3582"/>
      <c r="AL909" s="3582"/>
      <c r="AM909" s="3582"/>
      <c r="AN909" s="3582"/>
      <c r="AO909" s="3582"/>
      <c r="AP909" s="3582"/>
      <c r="AQ909" s="3582"/>
      <c r="AR909" s="3576"/>
      <c r="AS909" s="3576"/>
      <c r="AT909" s="3576"/>
      <c r="AU909" s="3576"/>
      <c r="AV909" s="3563"/>
    </row>
    <row r="910" s="3565" customFormat="1" spans="1:48">
      <c r="A910" s="3575"/>
      <c r="B910" s="3576"/>
      <c r="C910" s="3576"/>
      <c r="D910" s="3563"/>
      <c r="E910" s="3563"/>
      <c r="F910" s="3576"/>
      <c r="G910" s="3576"/>
      <c r="H910" s="3563"/>
      <c r="I910" s="3563"/>
      <c r="J910" s="3563"/>
      <c r="K910" s="3563"/>
      <c r="L910" s="3563"/>
      <c r="M910" s="3563"/>
      <c r="N910" s="3577"/>
      <c r="O910" s="3563"/>
      <c r="P910" s="3576"/>
      <c r="Q910" s="3578"/>
      <c r="R910" s="3563"/>
      <c r="S910" s="3563"/>
      <c r="T910" s="3579"/>
      <c r="U910" s="3563"/>
      <c r="V910" s="3563"/>
      <c r="W910" s="3578"/>
      <c r="X910" s="3578"/>
      <c r="Y910" s="3578"/>
      <c r="Z910" s="3578"/>
      <c r="AA910" s="3578"/>
      <c r="AB910" s="3563"/>
      <c r="AC910" s="3578"/>
      <c r="AD910" s="3578"/>
      <c r="AE910" s="3578"/>
      <c r="AF910" s="3578"/>
      <c r="AG910" s="3576"/>
      <c r="AH910" s="3576"/>
      <c r="AI910" s="3580"/>
      <c r="AJ910" s="3581"/>
      <c r="AK910" s="3582"/>
      <c r="AL910" s="3582"/>
      <c r="AM910" s="3582"/>
      <c r="AN910" s="3582"/>
      <c r="AO910" s="3582"/>
      <c r="AP910" s="3582"/>
      <c r="AQ910" s="3582"/>
      <c r="AR910" s="3576"/>
      <c r="AS910" s="3576"/>
      <c r="AT910" s="3576"/>
      <c r="AU910" s="3576"/>
      <c r="AV910" s="3563"/>
    </row>
    <row r="911" s="3565" customFormat="1" spans="1:48">
      <c r="A911" s="3575"/>
      <c r="B911" s="3576"/>
      <c r="C911" s="3576"/>
      <c r="D911" s="3563"/>
      <c r="E911" s="3563"/>
      <c r="F911" s="3576"/>
      <c r="G911" s="3576"/>
      <c r="H911" s="3563"/>
      <c r="I911" s="3563"/>
      <c r="J911" s="3563"/>
      <c r="K911" s="3563"/>
      <c r="L911" s="3563"/>
      <c r="M911" s="3563"/>
      <c r="N911" s="3577"/>
      <c r="O911" s="3563"/>
      <c r="P911" s="3576"/>
      <c r="Q911" s="3578"/>
      <c r="R911" s="3563"/>
      <c r="S911" s="3563"/>
      <c r="T911" s="3579"/>
      <c r="U911" s="3563"/>
      <c r="V911" s="3563"/>
      <c r="W911" s="3578"/>
      <c r="X911" s="3578"/>
      <c r="Y911" s="3578"/>
      <c r="Z911" s="3578"/>
      <c r="AA911" s="3578"/>
      <c r="AB911" s="3563"/>
      <c r="AC911" s="3578"/>
      <c r="AD911" s="3578"/>
      <c r="AE911" s="3578"/>
      <c r="AF911" s="3578"/>
      <c r="AG911" s="3576"/>
      <c r="AH911" s="3576"/>
      <c r="AI911" s="3580"/>
      <c r="AJ911" s="3581"/>
      <c r="AK911" s="3582"/>
      <c r="AL911" s="3582"/>
      <c r="AM911" s="3582"/>
      <c r="AN911" s="3582"/>
      <c r="AO911" s="3582"/>
      <c r="AP911" s="3582"/>
      <c r="AQ911" s="3582"/>
      <c r="AR911" s="3576"/>
      <c r="AS911" s="3576"/>
      <c r="AT911" s="3576"/>
      <c r="AU911" s="3576"/>
      <c r="AV911" s="3563"/>
    </row>
    <row r="912" s="3565" customFormat="1" spans="1:48">
      <c r="A912" s="3575"/>
      <c r="B912" s="3576"/>
      <c r="C912" s="3576"/>
      <c r="D912" s="3563"/>
      <c r="E912" s="3563"/>
      <c r="F912" s="3576"/>
      <c r="G912" s="3576"/>
      <c r="H912" s="3563"/>
      <c r="I912" s="3563"/>
      <c r="J912" s="3563"/>
      <c r="K912" s="3563"/>
      <c r="L912" s="3563"/>
      <c r="M912" s="3563"/>
      <c r="N912" s="3577"/>
      <c r="O912" s="3563"/>
      <c r="P912" s="3576"/>
      <c r="Q912" s="3578"/>
      <c r="R912" s="3563"/>
      <c r="S912" s="3563"/>
      <c r="T912" s="3579"/>
      <c r="U912" s="3563"/>
      <c r="V912" s="3563"/>
      <c r="W912" s="3578"/>
      <c r="X912" s="3578"/>
      <c r="Y912" s="3578"/>
      <c r="Z912" s="3578"/>
      <c r="AA912" s="3578"/>
      <c r="AB912" s="3563"/>
      <c r="AC912" s="3578"/>
      <c r="AD912" s="3578"/>
      <c r="AE912" s="3578"/>
      <c r="AF912" s="3578"/>
      <c r="AG912" s="3576"/>
      <c r="AH912" s="3576"/>
      <c r="AI912" s="3580"/>
      <c r="AJ912" s="3581"/>
      <c r="AK912" s="3582"/>
      <c r="AL912" s="3582"/>
      <c r="AM912" s="3582"/>
      <c r="AN912" s="3582"/>
      <c r="AO912" s="3582"/>
      <c r="AP912" s="3582"/>
      <c r="AQ912" s="3582"/>
      <c r="AR912" s="3576"/>
      <c r="AS912" s="3576"/>
      <c r="AT912" s="3576"/>
      <c r="AU912" s="3576"/>
      <c r="AV912" s="3563"/>
    </row>
    <row r="913" s="3565" customFormat="1" spans="1:48">
      <c r="A913" s="3575"/>
      <c r="B913" s="3576"/>
      <c r="C913" s="3576"/>
      <c r="D913" s="3563"/>
      <c r="E913" s="3563"/>
      <c r="F913" s="3576"/>
      <c r="G913" s="3576"/>
      <c r="H913" s="3563"/>
      <c r="I913" s="3563"/>
      <c r="J913" s="3563"/>
      <c r="K913" s="3563"/>
      <c r="L913" s="3563"/>
      <c r="M913" s="3563"/>
      <c r="N913" s="3577"/>
      <c r="O913" s="3563"/>
      <c r="P913" s="3576"/>
      <c r="Q913" s="3578"/>
      <c r="R913" s="3563"/>
      <c r="S913" s="3563"/>
      <c r="T913" s="3579"/>
      <c r="U913" s="3563"/>
      <c r="V913" s="3563"/>
      <c r="W913" s="3578"/>
      <c r="X913" s="3578"/>
      <c r="Y913" s="3578"/>
      <c r="Z913" s="3578"/>
      <c r="AA913" s="3578"/>
      <c r="AB913" s="3563"/>
      <c r="AC913" s="3578"/>
      <c r="AD913" s="3578"/>
      <c r="AE913" s="3578"/>
      <c r="AF913" s="3578"/>
      <c r="AG913" s="3576"/>
      <c r="AH913" s="3576"/>
      <c r="AI913" s="3580"/>
      <c r="AJ913" s="3581"/>
      <c r="AK913" s="3582"/>
      <c r="AL913" s="3582"/>
      <c r="AM913" s="3582"/>
      <c r="AN913" s="3582"/>
      <c r="AO913" s="3582"/>
      <c r="AP913" s="3582"/>
      <c r="AQ913" s="3582"/>
      <c r="AR913" s="3576"/>
      <c r="AS913" s="3576"/>
      <c r="AT913" s="3576"/>
      <c r="AU913" s="3576"/>
      <c r="AV913" s="3563"/>
    </row>
    <row r="914" s="3565" customFormat="1" spans="1:48">
      <c r="A914" s="3575"/>
      <c r="B914" s="3576"/>
      <c r="C914" s="3576"/>
      <c r="D914" s="3563"/>
      <c r="E914" s="3563"/>
      <c r="F914" s="3576"/>
      <c r="G914" s="3576"/>
      <c r="H914" s="3563"/>
      <c r="I914" s="3563"/>
      <c r="J914" s="3563"/>
      <c r="K914" s="3563"/>
      <c r="L914" s="3563"/>
      <c r="M914" s="3563"/>
      <c r="N914" s="3577"/>
      <c r="O914" s="3563"/>
      <c r="P914" s="3576"/>
      <c r="Q914" s="3578"/>
      <c r="R914" s="3563"/>
      <c r="S914" s="3563"/>
      <c r="T914" s="3579"/>
      <c r="U914" s="3563"/>
      <c r="V914" s="3563"/>
      <c r="W914" s="3578"/>
      <c r="X914" s="3578"/>
      <c r="Y914" s="3578"/>
      <c r="Z914" s="3578"/>
      <c r="AA914" s="3578"/>
      <c r="AB914" s="3563"/>
      <c r="AC914" s="3578"/>
      <c r="AD914" s="3578"/>
      <c r="AE914" s="3578"/>
      <c r="AF914" s="3578"/>
      <c r="AG914" s="3576"/>
      <c r="AH914" s="3576"/>
      <c r="AI914" s="3580"/>
      <c r="AJ914" s="3581"/>
      <c r="AK914" s="3582"/>
      <c r="AL914" s="3582"/>
      <c r="AM914" s="3582"/>
      <c r="AN914" s="3582"/>
      <c r="AO914" s="3582"/>
      <c r="AP914" s="3582"/>
      <c r="AQ914" s="3582"/>
      <c r="AR914" s="3576"/>
      <c r="AS914" s="3576"/>
      <c r="AT914" s="3576"/>
      <c r="AU914" s="3576"/>
      <c r="AV914" s="3563"/>
    </row>
    <row r="915" s="3565" customFormat="1" spans="1:48">
      <c r="A915" s="3575"/>
      <c r="B915" s="3576"/>
      <c r="C915" s="3576"/>
      <c r="D915" s="3563"/>
      <c r="E915" s="3563"/>
      <c r="F915" s="3576"/>
      <c r="G915" s="3576"/>
      <c r="H915" s="3563"/>
      <c r="I915" s="3563"/>
      <c r="J915" s="3563"/>
      <c r="K915" s="3563"/>
      <c r="L915" s="3563"/>
      <c r="M915" s="3563"/>
      <c r="N915" s="3577"/>
      <c r="O915" s="3563"/>
      <c r="P915" s="3576"/>
      <c r="Q915" s="3578"/>
      <c r="R915" s="3563"/>
      <c r="S915" s="3563"/>
      <c r="T915" s="3579"/>
      <c r="U915" s="3563"/>
      <c r="V915" s="3563"/>
      <c r="W915" s="3578"/>
      <c r="X915" s="3578"/>
      <c r="Y915" s="3578"/>
      <c r="Z915" s="3578"/>
      <c r="AA915" s="3578"/>
      <c r="AB915" s="3563"/>
      <c r="AC915" s="3578"/>
      <c r="AD915" s="3578"/>
      <c r="AE915" s="3578"/>
      <c r="AF915" s="3578"/>
      <c r="AG915" s="3576"/>
      <c r="AH915" s="3576"/>
      <c r="AI915" s="3580"/>
      <c r="AJ915" s="3581"/>
      <c r="AK915" s="3582"/>
      <c r="AL915" s="3582"/>
      <c r="AM915" s="3582"/>
      <c r="AN915" s="3582"/>
      <c r="AO915" s="3582"/>
      <c r="AP915" s="3582"/>
      <c r="AQ915" s="3582"/>
      <c r="AR915" s="3576"/>
      <c r="AS915" s="3576"/>
      <c r="AT915" s="3576"/>
      <c r="AU915" s="3576"/>
      <c r="AV915" s="3563"/>
    </row>
    <row r="916" s="3565" customFormat="1" spans="1:48">
      <c r="A916" s="3575"/>
      <c r="B916" s="3576"/>
      <c r="C916" s="3576"/>
      <c r="D916" s="3563"/>
      <c r="E916" s="3563"/>
      <c r="F916" s="3576"/>
      <c r="G916" s="3576"/>
      <c r="H916" s="3563"/>
      <c r="I916" s="3563"/>
      <c r="J916" s="3563"/>
      <c r="K916" s="3563"/>
      <c r="L916" s="3563"/>
      <c r="M916" s="3563"/>
      <c r="N916" s="3577"/>
      <c r="O916" s="3563"/>
      <c r="P916" s="3576"/>
      <c r="Q916" s="3578"/>
      <c r="R916" s="3563"/>
      <c r="S916" s="3563"/>
      <c r="T916" s="3579"/>
      <c r="U916" s="3563"/>
      <c r="V916" s="3563"/>
      <c r="W916" s="3578"/>
      <c r="X916" s="3578"/>
      <c r="Y916" s="3578"/>
      <c r="Z916" s="3578"/>
      <c r="AA916" s="3578"/>
      <c r="AB916" s="3563"/>
      <c r="AC916" s="3578"/>
      <c r="AD916" s="3578"/>
      <c r="AE916" s="3578"/>
      <c r="AF916" s="3578"/>
      <c r="AG916" s="3576"/>
      <c r="AH916" s="3576"/>
      <c r="AI916" s="3580"/>
      <c r="AJ916" s="3581"/>
      <c r="AK916" s="3582"/>
      <c r="AL916" s="3582"/>
      <c r="AM916" s="3582"/>
      <c r="AN916" s="3582"/>
      <c r="AO916" s="3582"/>
      <c r="AP916" s="3582"/>
      <c r="AQ916" s="3582"/>
      <c r="AR916" s="3576"/>
      <c r="AS916" s="3576"/>
      <c r="AT916" s="3576"/>
      <c r="AU916" s="3576"/>
      <c r="AV916" s="3563"/>
    </row>
    <row r="917" s="3565" customFormat="1" spans="1:48">
      <c r="A917" s="3575"/>
      <c r="B917" s="3576"/>
      <c r="C917" s="3576"/>
      <c r="D917" s="3563"/>
      <c r="E917" s="3563"/>
      <c r="F917" s="3576"/>
      <c r="G917" s="3576"/>
      <c r="H917" s="3563"/>
      <c r="I917" s="3563"/>
      <c r="J917" s="3563"/>
      <c r="K917" s="3563"/>
      <c r="L917" s="3563"/>
      <c r="M917" s="3563"/>
      <c r="N917" s="3577"/>
      <c r="O917" s="3563"/>
      <c r="P917" s="3576"/>
      <c r="Q917" s="3578"/>
      <c r="R917" s="3563"/>
      <c r="S917" s="3563"/>
      <c r="T917" s="3579"/>
      <c r="U917" s="3563"/>
      <c r="V917" s="3563"/>
      <c r="W917" s="3578"/>
      <c r="X917" s="3578"/>
      <c r="Y917" s="3578"/>
      <c r="Z917" s="3578"/>
      <c r="AA917" s="3578"/>
      <c r="AB917" s="3563"/>
      <c r="AC917" s="3578"/>
      <c r="AD917" s="3578"/>
      <c r="AE917" s="3578"/>
      <c r="AF917" s="3578"/>
      <c r="AG917" s="3576"/>
      <c r="AH917" s="3576"/>
      <c r="AI917" s="3580"/>
      <c r="AJ917" s="3581"/>
      <c r="AK917" s="3582"/>
      <c r="AL917" s="3582"/>
      <c r="AM917" s="3582"/>
      <c r="AN917" s="3582"/>
      <c r="AO917" s="3582"/>
      <c r="AP917" s="3582"/>
      <c r="AQ917" s="3582"/>
      <c r="AR917" s="3576"/>
      <c r="AS917" s="3576"/>
      <c r="AT917" s="3576"/>
      <c r="AU917" s="3576"/>
      <c r="AV917" s="3563"/>
    </row>
    <row r="918" s="3565" customFormat="1" spans="1:48">
      <c r="A918" s="3575"/>
      <c r="B918" s="3576"/>
      <c r="C918" s="3576"/>
      <c r="D918" s="3563"/>
      <c r="E918" s="3563"/>
      <c r="F918" s="3576"/>
      <c r="G918" s="3576"/>
      <c r="H918" s="3563"/>
      <c r="I918" s="3563"/>
      <c r="J918" s="3563"/>
      <c r="K918" s="3563"/>
      <c r="L918" s="3563"/>
      <c r="M918" s="3563"/>
      <c r="N918" s="3577"/>
      <c r="O918" s="3563"/>
      <c r="P918" s="3576"/>
      <c r="Q918" s="3578"/>
      <c r="R918" s="3563"/>
      <c r="S918" s="3563"/>
      <c r="T918" s="3579"/>
      <c r="U918" s="3563"/>
      <c r="V918" s="3563"/>
      <c r="W918" s="3578"/>
      <c r="X918" s="3578"/>
      <c r="Y918" s="3578"/>
      <c r="Z918" s="3578"/>
      <c r="AA918" s="3578"/>
      <c r="AB918" s="3563"/>
      <c r="AC918" s="3578"/>
      <c r="AD918" s="3578"/>
      <c r="AE918" s="3578"/>
      <c r="AF918" s="3578"/>
      <c r="AG918" s="3576"/>
      <c r="AH918" s="3576"/>
      <c r="AI918" s="3580"/>
      <c r="AJ918" s="3581"/>
      <c r="AK918" s="3582"/>
      <c r="AL918" s="3582"/>
      <c r="AM918" s="3582"/>
      <c r="AN918" s="3582"/>
      <c r="AO918" s="3582"/>
      <c r="AP918" s="3582"/>
      <c r="AQ918" s="3582"/>
      <c r="AR918" s="3576"/>
      <c r="AS918" s="3576"/>
      <c r="AT918" s="3576"/>
      <c r="AU918" s="3576"/>
      <c r="AV918" s="3563"/>
    </row>
    <row r="919" s="3565" customFormat="1" spans="1:48">
      <c r="A919" s="3575"/>
      <c r="B919" s="3576"/>
      <c r="C919" s="3576"/>
      <c r="D919" s="3563"/>
      <c r="E919" s="3563"/>
      <c r="F919" s="3576"/>
      <c r="G919" s="3576"/>
      <c r="H919" s="3563"/>
      <c r="I919" s="3563"/>
      <c r="J919" s="3563"/>
      <c r="K919" s="3563"/>
      <c r="L919" s="3563"/>
      <c r="M919" s="3563"/>
      <c r="N919" s="3577"/>
      <c r="O919" s="3563"/>
      <c r="P919" s="3576"/>
      <c r="Q919" s="3578"/>
      <c r="R919" s="3563"/>
      <c r="S919" s="3563"/>
      <c r="T919" s="3579"/>
      <c r="U919" s="3563"/>
      <c r="V919" s="3563"/>
      <c r="W919" s="3578"/>
      <c r="X919" s="3578"/>
      <c r="Y919" s="3578"/>
      <c r="Z919" s="3578"/>
      <c r="AA919" s="3578"/>
      <c r="AB919" s="3563"/>
      <c r="AC919" s="3578"/>
      <c r="AD919" s="3578"/>
      <c r="AE919" s="3578"/>
      <c r="AF919" s="3578"/>
      <c r="AG919" s="3576"/>
      <c r="AH919" s="3576"/>
      <c r="AI919" s="3580"/>
      <c r="AJ919" s="3581"/>
      <c r="AK919" s="3582"/>
      <c r="AL919" s="3582"/>
      <c r="AM919" s="3582"/>
      <c r="AN919" s="3582"/>
      <c r="AO919" s="3582"/>
      <c r="AP919" s="3582"/>
      <c r="AQ919" s="3582"/>
      <c r="AR919" s="3576"/>
      <c r="AS919" s="3576"/>
      <c r="AT919" s="3576"/>
      <c r="AU919" s="3576"/>
      <c r="AV919" s="3563"/>
    </row>
    <row r="920" s="3565" customFormat="1" spans="1:48">
      <c r="A920" s="3575"/>
      <c r="B920" s="3576"/>
      <c r="C920" s="3576"/>
      <c r="D920" s="3563"/>
      <c r="E920" s="3563"/>
      <c r="F920" s="3576"/>
      <c r="G920" s="3576"/>
      <c r="H920" s="3563"/>
      <c r="I920" s="3563"/>
      <c r="J920" s="3563"/>
      <c r="K920" s="3563"/>
      <c r="L920" s="3563"/>
      <c r="M920" s="3563"/>
      <c r="N920" s="3577"/>
      <c r="O920" s="3563"/>
      <c r="P920" s="3576"/>
      <c r="Q920" s="3578"/>
      <c r="R920" s="3563"/>
      <c r="S920" s="3563"/>
      <c r="T920" s="3579"/>
      <c r="U920" s="3563"/>
      <c r="V920" s="3563"/>
      <c r="W920" s="3578"/>
      <c r="X920" s="3578"/>
      <c r="Y920" s="3578"/>
      <c r="Z920" s="3578"/>
      <c r="AA920" s="3578"/>
      <c r="AB920" s="3563"/>
      <c r="AC920" s="3578"/>
      <c r="AD920" s="3578"/>
      <c r="AE920" s="3578"/>
      <c r="AF920" s="3578"/>
      <c r="AG920" s="3576"/>
      <c r="AH920" s="3576"/>
      <c r="AI920" s="3580"/>
      <c r="AJ920" s="3581"/>
      <c r="AK920" s="3582"/>
      <c r="AL920" s="3582"/>
      <c r="AM920" s="3582"/>
      <c r="AN920" s="3582"/>
      <c r="AO920" s="3582"/>
      <c r="AP920" s="3582"/>
      <c r="AQ920" s="3582"/>
      <c r="AR920" s="3576"/>
      <c r="AS920" s="3576"/>
      <c r="AT920" s="3576"/>
      <c r="AU920" s="3576"/>
      <c r="AV920" s="3563"/>
    </row>
    <row r="921" s="3565" customFormat="1" spans="1:48">
      <c r="A921" s="3575"/>
      <c r="B921" s="3576"/>
      <c r="C921" s="3576"/>
      <c r="D921" s="3563"/>
      <c r="E921" s="3563"/>
      <c r="F921" s="3576"/>
      <c r="G921" s="3576"/>
      <c r="H921" s="3563"/>
      <c r="I921" s="3563"/>
      <c r="J921" s="3563"/>
      <c r="K921" s="3563"/>
      <c r="L921" s="3563"/>
      <c r="M921" s="3563"/>
      <c r="N921" s="3577"/>
      <c r="O921" s="3563"/>
      <c r="P921" s="3576"/>
      <c r="Q921" s="3578"/>
      <c r="R921" s="3563"/>
      <c r="S921" s="3563"/>
      <c r="T921" s="3579"/>
      <c r="U921" s="3563"/>
      <c r="V921" s="3563"/>
      <c r="W921" s="3578"/>
      <c r="X921" s="3578"/>
      <c r="Y921" s="3578"/>
      <c r="Z921" s="3578"/>
      <c r="AA921" s="3578"/>
      <c r="AB921" s="3563"/>
      <c r="AC921" s="3578"/>
      <c r="AD921" s="3578"/>
      <c r="AE921" s="3578"/>
      <c r="AF921" s="3578"/>
      <c r="AG921" s="3576"/>
      <c r="AH921" s="3576"/>
      <c r="AI921" s="3580"/>
      <c r="AJ921" s="3581"/>
      <c r="AK921" s="3582"/>
      <c r="AL921" s="3582"/>
      <c r="AM921" s="3582"/>
      <c r="AN921" s="3582"/>
      <c r="AO921" s="3582"/>
      <c r="AP921" s="3582"/>
      <c r="AQ921" s="3582"/>
      <c r="AR921" s="3576"/>
      <c r="AS921" s="3576"/>
      <c r="AT921" s="3576"/>
      <c r="AU921" s="3576"/>
      <c r="AV921" s="3563"/>
    </row>
    <row r="922" s="3565" customFormat="1" spans="1:48">
      <c r="A922" s="3575"/>
      <c r="B922" s="3576"/>
      <c r="C922" s="3576"/>
      <c r="D922" s="3563"/>
      <c r="E922" s="3563"/>
      <c r="F922" s="3576"/>
      <c r="G922" s="3576"/>
      <c r="H922" s="3563"/>
      <c r="I922" s="3563"/>
      <c r="J922" s="3563"/>
      <c r="K922" s="3563"/>
      <c r="L922" s="3563"/>
      <c r="M922" s="3563"/>
      <c r="N922" s="3577"/>
      <c r="O922" s="3563"/>
      <c r="P922" s="3576"/>
      <c r="Q922" s="3578"/>
      <c r="R922" s="3563"/>
      <c r="S922" s="3563"/>
      <c r="T922" s="3579"/>
      <c r="U922" s="3563"/>
      <c r="V922" s="3563"/>
      <c r="W922" s="3578"/>
      <c r="X922" s="3578"/>
      <c r="Y922" s="3578"/>
      <c r="Z922" s="3578"/>
      <c r="AA922" s="3578"/>
      <c r="AB922" s="3563"/>
      <c r="AC922" s="3578"/>
      <c r="AD922" s="3578"/>
      <c r="AE922" s="3578"/>
      <c r="AF922" s="3578"/>
      <c r="AG922" s="3576"/>
      <c r="AH922" s="3576"/>
      <c r="AI922" s="3580"/>
      <c r="AJ922" s="3581"/>
      <c r="AK922" s="3582"/>
      <c r="AL922" s="3582"/>
      <c r="AM922" s="3582"/>
      <c r="AN922" s="3582"/>
      <c r="AO922" s="3582"/>
      <c r="AP922" s="3582"/>
      <c r="AQ922" s="3582"/>
      <c r="AR922" s="3576"/>
      <c r="AS922" s="3576"/>
      <c r="AT922" s="3576"/>
      <c r="AU922" s="3576"/>
      <c r="AV922" s="3563"/>
    </row>
    <row r="923" s="3565" customFormat="1" spans="1:48">
      <c r="A923" s="3575"/>
      <c r="B923" s="3576"/>
      <c r="C923" s="3576"/>
      <c r="D923" s="3563"/>
      <c r="E923" s="3563"/>
      <c r="F923" s="3576"/>
      <c r="G923" s="3576"/>
      <c r="H923" s="3563"/>
      <c r="I923" s="3563"/>
      <c r="J923" s="3563"/>
      <c r="K923" s="3563"/>
      <c r="L923" s="3563"/>
      <c r="M923" s="3563"/>
      <c r="N923" s="3577"/>
      <c r="O923" s="3563"/>
      <c r="P923" s="3576"/>
      <c r="Q923" s="3578"/>
      <c r="R923" s="3563"/>
      <c r="S923" s="3563"/>
      <c r="T923" s="3579"/>
      <c r="U923" s="3563"/>
      <c r="V923" s="3563"/>
      <c r="W923" s="3578"/>
      <c r="X923" s="3578"/>
      <c r="Y923" s="3578"/>
      <c r="Z923" s="3578"/>
      <c r="AA923" s="3578"/>
      <c r="AB923" s="3563"/>
      <c r="AC923" s="3578"/>
      <c r="AD923" s="3578"/>
      <c r="AE923" s="3578"/>
      <c r="AF923" s="3578"/>
      <c r="AG923" s="3576"/>
      <c r="AH923" s="3576"/>
      <c r="AI923" s="3580"/>
      <c r="AJ923" s="3581"/>
      <c r="AK923" s="3582"/>
      <c r="AL923" s="3582"/>
      <c r="AM923" s="3582"/>
      <c r="AN923" s="3582"/>
      <c r="AO923" s="3582"/>
      <c r="AP923" s="3582"/>
      <c r="AQ923" s="3582"/>
      <c r="AR923" s="3576"/>
      <c r="AS923" s="3576"/>
      <c r="AT923" s="3576"/>
      <c r="AU923" s="3576"/>
      <c r="AV923" s="3563"/>
    </row>
    <row r="924" s="3565" customFormat="1" spans="1:48">
      <c r="A924" s="3575"/>
      <c r="B924" s="3576"/>
      <c r="C924" s="3576"/>
      <c r="D924" s="3563"/>
      <c r="E924" s="3563"/>
      <c r="F924" s="3576"/>
      <c r="G924" s="3576"/>
      <c r="H924" s="3563"/>
      <c r="I924" s="3563"/>
      <c r="J924" s="3563"/>
      <c r="K924" s="3563"/>
      <c r="L924" s="3563"/>
      <c r="M924" s="3563"/>
      <c r="N924" s="3577"/>
      <c r="O924" s="3563"/>
      <c r="P924" s="3576"/>
      <c r="Q924" s="3578"/>
      <c r="R924" s="3563"/>
      <c r="S924" s="3563"/>
      <c r="T924" s="3579"/>
      <c r="U924" s="3563"/>
      <c r="V924" s="3563"/>
      <c r="W924" s="3578"/>
      <c r="X924" s="3578"/>
      <c r="Y924" s="3578"/>
      <c r="Z924" s="3578"/>
      <c r="AA924" s="3578"/>
      <c r="AB924" s="3563"/>
      <c r="AC924" s="3578"/>
      <c r="AD924" s="3578"/>
      <c r="AE924" s="3578"/>
      <c r="AF924" s="3578"/>
      <c r="AG924" s="3576"/>
      <c r="AH924" s="3576"/>
      <c r="AI924" s="3580"/>
      <c r="AJ924" s="3581"/>
      <c r="AK924" s="3582"/>
      <c r="AL924" s="3582"/>
      <c r="AM924" s="3582"/>
      <c r="AN924" s="3582"/>
      <c r="AO924" s="3582"/>
      <c r="AP924" s="3582"/>
      <c r="AQ924" s="3582"/>
      <c r="AR924" s="3576"/>
      <c r="AS924" s="3576"/>
      <c r="AT924" s="3576"/>
      <c r="AU924" s="3576"/>
      <c r="AV924" s="3563"/>
    </row>
    <row r="925" s="3565" customFormat="1" spans="1:48">
      <c r="A925" s="3575"/>
      <c r="B925" s="3576"/>
      <c r="C925" s="3576"/>
      <c r="D925" s="3563"/>
      <c r="E925" s="3563"/>
      <c r="F925" s="3576"/>
      <c r="G925" s="3576"/>
      <c r="H925" s="3563"/>
      <c r="I925" s="3563"/>
      <c r="J925" s="3563"/>
      <c r="K925" s="3563"/>
      <c r="L925" s="3563"/>
      <c r="M925" s="3563"/>
      <c r="N925" s="3577"/>
      <c r="O925" s="3563"/>
      <c r="P925" s="3576"/>
      <c r="Q925" s="3578"/>
      <c r="R925" s="3563"/>
      <c r="S925" s="3563"/>
      <c r="T925" s="3579"/>
      <c r="U925" s="3563"/>
      <c r="V925" s="3563"/>
      <c r="W925" s="3578"/>
      <c r="X925" s="3578"/>
      <c r="Y925" s="3578"/>
      <c r="Z925" s="3578"/>
      <c r="AA925" s="3578"/>
      <c r="AB925" s="3563"/>
      <c r="AC925" s="3578"/>
      <c r="AD925" s="3578"/>
      <c r="AE925" s="3578"/>
      <c r="AF925" s="3578"/>
      <c r="AG925" s="3576"/>
      <c r="AH925" s="3576"/>
      <c r="AI925" s="3580"/>
      <c r="AJ925" s="3581"/>
      <c r="AK925" s="3582"/>
      <c r="AL925" s="3582"/>
      <c r="AM925" s="3582"/>
      <c r="AN925" s="3582"/>
      <c r="AO925" s="3582"/>
      <c r="AP925" s="3582"/>
      <c r="AQ925" s="3582"/>
      <c r="AR925" s="3576"/>
      <c r="AS925" s="3576"/>
      <c r="AT925" s="3576"/>
      <c r="AU925" s="3576"/>
      <c r="AV925" s="3563"/>
    </row>
    <row r="926" s="3565" customFormat="1" spans="1:48">
      <c r="A926" s="3575"/>
      <c r="B926" s="3576"/>
      <c r="C926" s="3576"/>
      <c r="D926" s="3563"/>
      <c r="E926" s="3563"/>
      <c r="F926" s="3576"/>
      <c r="G926" s="3576"/>
      <c r="H926" s="3563"/>
      <c r="I926" s="3563"/>
      <c r="J926" s="3563"/>
      <c r="K926" s="3563"/>
      <c r="L926" s="3563"/>
      <c r="M926" s="3563"/>
      <c r="N926" s="3577"/>
      <c r="O926" s="3563"/>
      <c r="P926" s="3576"/>
      <c r="Q926" s="3578"/>
      <c r="R926" s="3563"/>
      <c r="S926" s="3563"/>
      <c r="T926" s="3579"/>
      <c r="U926" s="3563"/>
      <c r="V926" s="3563"/>
      <c r="W926" s="3578"/>
      <c r="X926" s="3578"/>
      <c r="Y926" s="3578"/>
      <c r="Z926" s="3578"/>
      <c r="AA926" s="3578"/>
      <c r="AB926" s="3563"/>
      <c r="AC926" s="3578"/>
      <c r="AD926" s="3578"/>
      <c r="AE926" s="3578"/>
      <c r="AF926" s="3578"/>
      <c r="AG926" s="3576"/>
      <c r="AH926" s="3576"/>
      <c r="AI926" s="3580"/>
      <c r="AJ926" s="3581"/>
      <c r="AK926" s="3582"/>
      <c r="AL926" s="3582"/>
      <c r="AM926" s="3582"/>
      <c r="AN926" s="3582"/>
      <c r="AO926" s="3582"/>
      <c r="AP926" s="3582"/>
      <c r="AQ926" s="3582"/>
      <c r="AR926" s="3576"/>
      <c r="AS926" s="3576"/>
      <c r="AT926" s="3576"/>
      <c r="AU926" s="3576"/>
      <c r="AV926" s="3563"/>
    </row>
    <row r="927" s="3565" customFormat="1" spans="1:48">
      <c r="A927" s="3575"/>
      <c r="B927" s="3576"/>
      <c r="C927" s="3576"/>
      <c r="D927" s="3563"/>
      <c r="E927" s="3563"/>
      <c r="F927" s="3576"/>
      <c r="G927" s="3576"/>
      <c r="H927" s="3563"/>
      <c r="I927" s="3563"/>
      <c r="J927" s="3563"/>
      <c r="K927" s="3563"/>
      <c r="L927" s="3563"/>
      <c r="M927" s="3563"/>
      <c r="N927" s="3577"/>
      <c r="O927" s="3563"/>
      <c r="P927" s="3576"/>
      <c r="Q927" s="3578"/>
      <c r="R927" s="3563"/>
      <c r="S927" s="3563"/>
      <c r="T927" s="3579"/>
      <c r="U927" s="3563"/>
      <c r="V927" s="3563"/>
      <c r="W927" s="3578"/>
      <c r="X927" s="3578"/>
      <c r="Y927" s="3578"/>
      <c r="Z927" s="3578"/>
      <c r="AA927" s="3578"/>
      <c r="AB927" s="3563"/>
      <c r="AC927" s="3578"/>
      <c r="AD927" s="3578"/>
      <c r="AE927" s="3578"/>
      <c r="AF927" s="3578"/>
      <c r="AG927" s="3576"/>
      <c r="AH927" s="3576"/>
      <c r="AI927" s="3580"/>
      <c r="AJ927" s="3581"/>
      <c r="AK927" s="3582"/>
      <c r="AL927" s="3582"/>
      <c r="AM927" s="3582"/>
      <c r="AN927" s="3582"/>
      <c r="AO927" s="3582"/>
      <c r="AP927" s="3582"/>
      <c r="AQ927" s="3582"/>
      <c r="AR927" s="3576"/>
      <c r="AS927" s="3576"/>
      <c r="AT927" s="3576"/>
      <c r="AU927" s="3576"/>
      <c r="AV927" s="3563"/>
    </row>
    <row r="928" s="3565" customFormat="1" spans="1:48">
      <c r="A928" s="3575"/>
      <c r="B928" s="3576"/>
      <c r="C928" s="3576"/>
      <c r="D928" s="3563"/>
      <c r="E928" s="3563"/>
      <c r="F928" s="3576"/>
      <c r="G928" s="3576"/>
      <c r="H928" s="3563"/>
      <c r="I928" s="3563"/>
      <c r="J928" s="3563"/>
      <c r="K928" s="3563"/>
      <c r="L928" s="3563"/>
      <c r="M928" s="3563"/>
      <c r="N928" s="3577"/>
      <c r="O928" s="3563"/>
      <c r="P928" s="3576"/>
      <c r="Q928" s="3578"/>
      <c r="R928" s="3563"/>
      <c r="S928" s="3563"/>
      <c r="T928" s="3579"/>
      <c r="U928" s="3563"/>
      <c r="V928" s="3563"/>
      <c r="W928" s="3578"/>
      <c r="X928" s="3578"/>
      <c r="Y928" s="3578"/>
      <c r="Z928" s="3578"/>
      <c r="AA928" s="3578"/>
      <c r="AB928" s="3563"/>
      <c r="AC928" s="3578"/>
      <c r="AD928" s="3578"/>
      <c r="AE928" s="3578"/>
      <c r="AF928" s="3578"/>
      <c r="AG928" s="3576"/>
      <c r="AH928" s="3576"/>
      <c r="AI928" s="3580"/>
      <c r="AJ928" s="3581"/>
      <c r="AK928" s="3582"/>
      <c r="AL928" s="3582"/>
      <c r="AM928" s="3582"/>
      <c r="AN928" s="3582"/>
      <c r="AO928" s="3582"/>
      <c r="AP928" s="3582"/>
      <c r="AQ928" s="3582"/>
      <c r="AR928" s="3576"/>
      <c r="AS928" s="3576"/>
      <c r="AT928" s="3576"/>
      <c r="AU928" s="3576"/>
      <c r="AV928" s="3563"/>
    </row>
    <row r="929" s="3565" customFormat="1" spans="1:48">
      <c r="A929" s="3575"/>
      <c r="B929" s="3576"/>
      <c r="C929" s="3576"/>
      <c r="D929" s="3563"/>
      <c r="E929" s="3563"/>
      <c r="F929" s="3576"/>
      <c r="G929" s="3576"/>
      <c r="H929" s="3563"/>
      <c r="I929" s="3563"/>
      <c r="J929" s="3563"/>
      <c r="K929" s="3563"/>
      <c r="L929" s="3563"/>
      <c r="M929" s="3563"/>
      <c r="N929" s="3577"/>
      <c r="O929" s="3563"/>
      <c r="P929" s="3576"/>
      <c r="Q929" s="3578"/>
      <c r="R929" s="3563"/>
      <c r="S929" s="3563"/>
      <c r="T929" s="3579"/>
      <c r="U929" s="3563"/>
      <c r="V929" s="3563"/>
      <c r="W929" s="3578"/>
      <c r="X929" s="3578"/>
      <c r="Y929" s="3578"/>
      <c r="Z929" s="3578"/>
      <c r="AA929" s="3578"/>
      <c r="AB929" s="3563"/>
      <c r="AC929" s="3578"/>
      <c r="AD929" s="3578"/>
      <c r="AE929" s="3578"/>
      <c r="AF929" s="3578"/>
      <c r="AG929" s="3576"/>
      <c r="AH929" s="3576"/>
      <c r="AI929" s="3580"/>
      <c r="AJ929" s="3581"/>
      <c r="AK929" s="3582"/>
      <c r="AL929" s="3582"/>
      <c r="AM929" s="3582"/>
      <c r="AN929" s="3582"/>
      <c r="AO929" s="3582"/>
      <c r="AP929" s="3582"/>
      <c r="AQ929" s="3582"/>
      <c r="AR929" s="3576"/>
      <c r="AS929" s="3576"/>
      <c r="AT929" s="3576"/>
      <c r="AU929" s="3576"/>
      <c r="AV929" s="3563"/>
    </row>
    <row r="930" s="3565" customFormat="1" spans="1:48">
      <c r="A930" s="3575"/>
      <c r="B930" s="3576"/>
      <c r="C930" s="3576"/>
      <c r="D930" s="3563"/>
      <c r="E930" s="3563"/>
      <c r="F930" s="3576"/>
      <c r="G930" s="3576"/>
      <c r="H930" s="3563"/>
      <c r="I930" s="3563"/>
      <c r="J930" s="3563"/>
      <c r="K930" s="3563"/>
      <c r="L930" s="3563"/>
      <c r="M930" s="3563"/>
      <c r="N930" s="3577"/>
      <c r="O930" s="3563"/>
      <c r="P930" s="3576"/>
      <c r="Q930" s="3578"/>
      <c r="R930" s="3563"/>
      <c r="S930" s="3563"/>
      <c r="T930" s="3579"/>
      <c r="U930" s="3563"/>
      <c r="V930" s="3563"/>
      <c r="W930" s="3578"/>
      <c r="X930" s="3578"/>
      <c r="Y930" s="3578"/>
      <c r="Z930" s="3578"/>
      <c r="AA930" s="3578"/>
      <c r="AB930" s="3563"/>
      <c r="AC930" s="3578"/>
      <c r="AD930" s="3578"/>
      <c r="AE930" s="3578"/>
      <c r="AF930" s="3578"/>
      <c r="AG930" s="3576"/>
      <c r="AH930" s="3576"/>
      <c r="AI930" s="3580"/>
      <c r="AJ930" s="3581"/>
      <c r="AK930" s="3582"/>
      <c r="AL930" s="3582"/>
      <c r="AM930" s="3582"/>
      <c r="AN930" s="3582"/>
      <c r="AO930" s="3582"/>
      <c r="AP930" s="3582"/>
      <c r="AQ930" s="3582"/>
      <c r="AR930" s="3576"/>
      <c r="AS930" s="3576"/>
      <c r="AT930" s="3576"/>
      <c r="AU930" s="3576"/>
      <c r="AV930" s="3563"/>
    </row>
    <row r="931" s="3565" customFormat="1" spans="1:48">
      <c r="A931" s="3575"/>
      <c r="B931" s="3576"/>
      <c r="C931" s="3576"/>
      <c r="D931" s="3563"/>
      <c r="E931" s="3563"/>
      <c r="F931" s="3576"/>
      <c r="G931" s="3576"/>
      <c r="H931" s="3563"/>
      <c r="I931" s="3563"/>
      <c r="J931" s="3563"/>
      <c r="K931" s="3563"/>
      <c r="L931" s="3563"/>
      <c r="M931" s="3563"/>
      <c r="N931" s="3577"/>
      <c r="O931" s="3563"/>
      <c r="P931" s="3576"/>
      <c r="Q931" s="3578"/>
      <c r="R931" s="3563"/>
      <c r="S931" s="3563"/>
      <c r="T931" s="3579"/>
      <c r="U931" s="3563"/>
      <c r="V931" s="3563"/>
      <c r="W931" s="3578"/>
      <c r="X931" s="3578"/>
      <c r="Y931" s="3578"/>
      <c r="Z931" s="3578"/>
      <c r="AA931" s="3578"/>
      <c r="AB931" s="3563"/>
      <c r="AC931" s="3578"/>
      <c r="AD931" s="3578"/>
      <c r="AE931" s="3578"/>
      <c r="AF931" s="3578"/>
      <c r="AG931" s="3576"/>
      <c r="AH931" s="3576"/>
      <c r="AI931" s="3580"/>
      <c r="AJ931" s="3581"/>
      <c r="AK931" s="3582"/>
      <c r="AL931" s="3582"/>
      <c r="AM931" s="3582"/>
      <c r="AN931" s="3582"/>
      <c r="AO931" s="3582"/>
      <c r="AP931" s="3582"/>
      <c r="AQ931" s="3582"/>
      <c r="AR931" s="3576"/>
      <c r="AS931" s="3576"/>
      <c r="AT931" s="3576"/>
      <c r="AU931" s="3576"/>
      <c r="AV931" s="3563"/>
    </row>
    <row r="932" s="3565" customFormat="1" spans="1:48">
      <c r="A932" s="3575"/>
      <c r="B932" s="3576"/>
      <c r="C932" s="3576"/>
      <c r="D932" s="3563"/>
      <c r="E932" s="3563"/>
      <c r="F932" s="3576"/>
      <c r="G932" s="3576"/>
      <c r="H932" s="3563"/>
      <c r="I932" s="3563"/>
      <c r="J932" s="3563"/>
      <c r="K932" s="3563"/>
      <c r="L932" s="3563"/>
      <c r="M932" s="3563"/>
      <c r="N932" s="3577"/>
      <c r="O932" s="3563"/>
      <c r="P932" s="3576"/>
      <c r="Q932" s="3578"/>
      <c r="R932" s="3563"/>
      <c r="S932" s="3563"/>
      <c r="T932" s="3579"/>
      <c r="U932" s="3563"/>
      <c r="V932" s="3563"/>
      <c r="W932" s="3578"/>
      <c r="X932" s="3578"/>
      <c r="Y932" s="3578"/>
      <c r="Z932" s="3578"/>
      <c r="AA932" s="3578"/>
      <c r="AB932" s="3563"/>
      <c r="AC932" s="3578"/>
      <c r="AD932" s="3578"/>
      <c r="AE932" s="3578"/>
      <c r="AF932" s="3578"/>
      <c r="AG932" s="3576"/>
      <c r="AH932" s="3576"/>
      <c r="AI932" s="3580"/>
      <c r="AJ932" s="3581"/>
      <c r="AK932" s="3582"/>
      <c r="AL932" s="3582"/>
      <c r="AM932" s="3582"/>
      <c r="AN932" s="3582"/>
      <c r="AO932" s="3582"/>
      <c r="AP932" s="3582"/>
      <c r="AQ932" s="3582"/>
      <c r="AR932" s="3576"/>
      <c r="AS932" s="3576"/>
      <c r="AT932" s="3576"/>
      <c r="AU932" s="3576"/>
      <c r="AV932" s="3563"/>
    </row>
    <row r="933" s="3565" customFormat="1" spans="1:48">
      <c r="A933" s="3575"/>
      <c r="B933" s="3576"/>
      <c r="C933" s="3576"/>
      <c r="D933" s="3563"/>
      <c r="E933" s="3563"/>
      <c r="F933" s="3576"/>
      <c r="G933" s="3576"/>
      <c r="H933" s="3563"/>
      <c r="I933" s="3563"/>
      <c r="J933" s="3563"/>
      <c r="K933" s="3563"/>
      <c r="L933" s="3563"/>
      <c r="M933" s="3563"/>
      <c r="N933" s="3577"/>
      <c r="O933" s="3563"/>
      <c r="P933" s="3576"/>
      <c r="Q933" s="3578"/>
      <c r="R933" s="3563"/>
      <c r="S933" s="3563"/>
      <c r="T933" s="3579"/>
      <c r="U933" s="3563"/>
      <c r="V933" s="3563"/>
      <c r="W933" s="3578"/>
      <c r="X933" s="3578"/>
      <c r="Y933" s="3578"/>
      <c r="Z933" s="3578"/>
      <c r="AA933" s="3578"/>
      <c r="AB933" s="3563"/>
      <c r="AC933" s="3578"/>
      <c r="AD933" s="3578"/>
      <c r="AE933" s="3578"/>
      <c r="AF933" s="3578"/>
      <c r="AG933" s="3576"/>
      <c r="AH933" s="3576"/>
      <c r="AI933" s="3580"/>
      <c r="AJ933" s="3581"/>
      <c r="AK933" s="3582"/>
      <c r="AL933" s="3582"/>
      <c r="AM933" s="3582"/>
      <c r="AN933" s="3582"/>
      <c r="AO933" s="3582"/>
      <c r="AP933" s="3582"/>
      <c r="AQ933" s="3582"/>
      <c r="AR933" s="3576"/>
      <c r="AS933" s="3576"/>
      <c r="AT933" s="3576"/>
      <c r="AU933" s="3576"/>
      <c r="AV933" s="3563"/>
    </row>
    <row r="934" s="3565" customFormat="1" spans="1:48">
      <c r="A934" s="3575"/>
      <c r="B934" s="3576"/>
      <c r="C934" s="3576"/>
      <c r="D934" s="3563"/>
      <c r="E934" s="3563"/>
      <c r="F934" s="3576"/>
      <c r="G934" s="3576"/>
      <c r="H934" s="3563"/>
      <c r="I934" s="3563"/>
      <c r="J934" s="3563"/>
      <c r="K934" s="3563"/>
      <c r="L934" s="3563"/>
      <c r="M934" s="3563"/>
      <c r="N934" s="3577"/>
      <c r="O934" s="3563"/>
      <c r="P934" s="3576"/>
      <c r="Q934" s="3578"/>
      <c r="R934" s="3563"/>
      <c r="S934" s="3563"/>
      <c r="T934" s="3579"/>
      <c r="U934" s="3563"/>
      <c r="V934" s="3563"/>
      <c r="W934" s="3578"/>
      <c r="X934" s="3578"/>
      <c r="Y934" s="3578"/>
      <c r="Z934" s="3578"/>
      <c r="AA934" s="3578"/>
      <c r="AB934" s="3563"/>
      <c r="AC934" s="3578"/>
      <c r="AD934" s="3578"/>
      <c r="AE934" s="3578"/>
      <c r="AF934" s="3578"/>
      <c r="AG934" s="3576"/>
      <c r="AH934" s="3576"/>
      <c r="AI934" s="3580"/>
      <c r="AJ934" s="3581"/>
      <c r="AK934" s="3582"/>
      <c r="AL934" s="3582"/>
      <c r="AM934" s="3582"/>
      <c r="AN934" s="3582"/>
      <c r="AO934" s="3582"/>
      <c r="AP934" s="3582"/>
      <c r="AQ934" s="3582"/>
      <c r="AR934" s="3576"/>
      <c r="AS934" s="3576"/>
      <c r="AT934" s="3576"/>
      <c r="AU934" s="3576"/>
      <c r="AV934" s="3563"/>
    </row>
    <row r="935" s="3565" customFormat="1" spans="1:48">
      <c r="A935" s="3575"/>
      <c r="B935" s="3576"/>
      <c r="C935" s="3576"/>
      <c r="D935" s="3563"/>
      <c r="E935" s="3563"/>
      <c r="F935" s="3576"/>
      <c r="G935" s="3576"/>
      <c r="H935" s="3563"/>
      <c r="I935" s="3563"/>
      <c r="J935" s="3563"/>
      <c r="K935" s="3563"/>
      <c r="L935" s="3563"/>
      <c r="M935" s="3563"/>
      <c r="N935" s="3577"/>
      <c r="O935" s="3563"/>
      <c r="P935" s="3576"/>
      <c r="Q935" s="3578"/>
      <c r="R935" s="3563"/>
      <c r="S935" s="3563"/>
      <c r="T935" s="3579"/>
      <c r="U935" s="3563"/>
      <c r="V935" s="3563"/>
      <c r="W935" s="3578"/>
      <c r="X935" s="3578"/>
      <c r="Y935" s="3578"/>
      <c r="Z935" s="3578"/>
      <c r="AA935" s="3578"/>
      <c r="AB935" s="3563"/>
      <c r="AC935" s="3578"/>
      <c r="AD935" s="3578"/>
      <c r="AE935" s="3578"/>
      <c r="AF935" s="3578"/>
      <c r="AG935" s="3576"/>
      <c r="AH935" s="3576"/>
      <c r="AI935" s="3580"/>
      <c r="AJ935" s="3581"/>
      <c r="AK935" s="3582"/>
      <c r="AL935" s="3582"/>
      <c r="AM935" s="3582"/>
      <c r="AN935" s="3582"/>
      <c r="AO935" s="3582"/>
      <c r="AP935" s="3582"/>
      <c r="AQ935" s="3582"/>
      <c r="AR935" s="3576"/>
      <c r="AS935" s="3576"/>
      <c r="AT935" s="3576"/>
      <c r="AU935" s="3576"/>
      <c r="AV935" s="3563"/>
    </row>
    <row r="936" s="3565" customFormat="1" spans="1:48">
      <c r="A936" s="3575"/>
      <c r="B936" s="3576"/>
      <c r="C936" s="3576"/>
      <c r="D936" s="3563"/>
      <c r="E936" s="3563"/>
      <c r="F936" s="3576"/>
      <c r="G936" s="3576"/>
      <c r="H936" s="3563"/>
      <c r="I936" s="3563"/>
      <c r="J936" s="3563"/>
      <c r="K936" s="3563"/>
      <c r="L936" s="3563"/>
      <c r="M936" s="3563"/>
      <c r="N936" s="3577"/>
      <c r="O936" s="3563"/>
      <c r="P936" s="3576"/>
      <c r="Q936" s="3578"/>
      <c r="R936" s="3563"/>
      <c r="S936" s="3563"/>
      <c r="T936" s="3579"/>
      <c r="U936" s="3563"/>
      <c r="V936" s="3563"/>
      <c r="W936" s="3578"/>
      <c r="X936" s="3578"/>
      <c r="Y936" s="3578"/>
      <c r="Z936" s="3578"/>
      <c r="AA936" s="3578"/>
      <c r="AB936" s="3563"/>
      <c r="AC936" s="3578"/>
      <c r="AD936" s="3578"/>
      <c r="AE936" s="3578"/>
      <c r="AF936" s="3578"/>
      <c r="AG936" s="3576"/>
      <c r="AH936" s="3576"/>
      <c r="AI936" s="3580"/>
      <c r="AJ936" s="3581"/>
      <c r="AK936" s="3582"/>
      <c r="AL936" s="3582"/>
      <c r="AM936" s="3582"/>
      <c r="AN936" s="3582"/>
      <c r="AO936" s="3582"/>
      <c r="AP936" s="3582"/>
      <c r="AQ936" s="3582"/>
      <c r="AR936" s="3576"/>
      <c r="AS936" s="3576"/>
      <c r="AT936" s="3576"/>
      <c r="AU936" s="3576"/>
      <c r="AV936" s="3563"/>
    </row>
    <row r="937" s="3565" customFormat="1" spans="1:48">
      <c r="A937" s="3575"/>
      <c r="B937" s="3576"/>
      <c r="C937" s="3576"/>
      <c r="D937" s="3563"/>
      <c r="E937" s="3563"/>
      <c r="F937" s="3576"/>
      <c r="G937" s="3576"/>
      <c r="H937" s="3563"/>
      <c r="I937" s="3563"/>
      <c r="J937" s="3563"/>
      <c r="K937" s="3563"/>
      <c r="L937" s="3563"/>
      <c r="M937" s="3563"/>
      <c r="N937" s="3577"/>
      <c r="O937" s="3563"/>
      <c r="P937" s="3576"/>
      <c r="Q937" s="3578"/>
      <c r="R937" s="3563"/>
      <c r="S937" s="3563"/>
      <c r="T937" s="3579"/>
      <c r="U937" s="3563"/>
      <c r="V937" s="3563"/>
      <c r="W937" s="3578"/>
      <c r="X937" s="3578"/>
      <c r="Y937" s="3578"/>
      <c r="Z937" s="3578"/>
      <c r="AA937" s="3578"/>
      <c r="AB937" s="3563"/>
      <c r="AC937" s="3578"/>
      <c r="AD937" s="3578"/>
      <c r="AE937" s="3578"/>
      <c r="AF937" s="3578"/>
      <c r="AG937" s="3576"/>
      <c r="AH937" s="3576"/>
      <c r="AI937" s="3580"/>
      <c r="AJ937" s="3581"/>
      <c r="AK937" s="3582"/>
      <c r="AL937" s="3582"/>
      <c r="AM937" s="3582"/>
      <c r="AN937" s="3582"/>
      <c r="AO937" s="3582"/>
      <c r="AP937" s="3582"/>
      <c r="AQ937" s="3582"/>
      <c r="AR937" s="3576"/>
      <c r="AS937" s="3576"/>
      <c r="AT937" s="3576"/>
      <c r="AU937" s="3576"/>
      <c r="AV937" s="3563"/>
    </row>
    <row r="938" s="3565" customFormat="1" spans="1:48">
      <c r="A938" s="3575"/>
      <c r="B938" s="3576"/>
      <c r="C938" s="3576"/>
      <c r="D938" s="3563"/>
      <c r="E938" s="3563"/>
      <c r="F938" s="3576"/>
      <c r="G938" s="3576"/>
      <c r="H938" s="3563"/>
      <c r="I938" s="3563"/>
      <c r="J938" s="3563"/>
      <c r="K938" s="3563"/>
      <c r="L938" s="3563"/>
      <c r="M938" s="3563"/>
      <c r="N938" s="3577"/>
      <c r="O938" s="3563"/>
      <c r="P938" s="3576"/>
      <c r="Q938" s="3578"/>
      <c r="R938" s="3563"/>
      <c r="S938" s="3563"/>
      <c r="T938" s="3579"/>
      <c r="U938" s="3563"/>
      <c r="V938" s="3563"/>
      <c r="W938" s="3578"/>
      <c r="X938" s="3578"/>
      <c r="Y938" s="3578"/>
      <c r="Z938" s="3578"/>
      <c r="AA938" s="3578"/>
      <c r="AB938" s="3563"/>
      <c r="AC938" s="3578"/>
      <c r="AD938" s="3578"/>
      <c r="AE938" s="3578"/>
      <c r="AF938" s="3578"/>
      <c r="AG938" s="3576"/>
      <c r="AH938" s="3576"/>
      <c r="AI938" s="3580"/>
      <c r="AJ938" s="3581"/>
      <c r="AK938" s="3582"/>
      <c r="AL938" s="3582"/>
      <c r="AM938" s="3582"/>
      <c r="AN938" s="3582"/>
      <c r="AO938" s="3582"/>
      <c r="AP938" s="3582"/>
      <c r="AQ938" s="3582"/>
      <c r="AR938" s="3576"/>
      <c r="AS938" s="3576"/>
      <c r="AT938" s="3576"/>
      <c r="AU938" s="3576"/>
      <c r="AV938" s="3563"/>
    </row>
    <row r="939" s="3565" customFormat="1" spans="1:48">
      <c r="A939" s="3575"/>
      <c r="B939" s="3576"/>
      <c r="C939" s="3576"/>
      <c r="D939" s="3563"/>
      <c r="E939" s="3563"/>
      <c r="F939" s="3576"/>
      <c r="G939" s="3576"/>
      <c r="H939" s="3563"/>
      <c r="I939" s="3563"/>
      <c r="J939" s="3563"/>
      <c r="K939" s="3563"/>
      <c r="L939" s="3563"/>
      <c r="M939" s="3563"/>
      <c r="N939" s="3577"/>
      <c r="O939" s="3563"/>
      <c r="P939" s="3576"/>
      <c r="Q939" s="3578"/>
      <c r="R939" s="3563"/>
      <c r="S939" s="3563"/>
      <c r="T939" s="3579"/>
      <c r="U939" s="3563"/>
      <c r="V939" s="3563"/>
      <c r="W939" s="3578"/>
      <c r="X939" s="3578"/>
      <c r="Y939" s="3578"/>
      <c r="Z939" s="3578"/>
      <c r="AA939" s="3578"/>
      <c r="AB939" s="3563"/>
      <c r="AC939" s="3578"/>
      <c r="AD939" s="3578"/>
      <c r="AE939" s="3578"/>
      <c r="AF939" s="3578"/>
      <c r="AG939" s="3576"/>
      <c r="AH939" s="3576"/>
      <c r="AI939" s="3580"/>
      <c r="AJ939" s="3581"/>
      <c r="AK939" s="3582"/>
      <c r="AL939" s="3582"/>
      <c r="AM939" s="3582"/>
      <c r="AN939" s="3582"/>
      <c r="AO939" s="3582"/>
      <c r="AP939" s="3582"/>
      <c r="AQ939" s="3582"/>
      <c r="AR939" s="3576"/>
      <c r="AS939" s="3576"/>
      <c r="AT939" s="3576"/>
      <c r="AU939" s="3576"/>
      <c r="AV939" s="3563"/>
    </row>
    <row r="940" s="3565" customFormat="1" spans="1:48">
      <c r="A940" s="3575"/>
      <c r="B940" s="3576"/>
      <c r="C940" s="3576"/>
      <c r="D940" s="3563"/>
      <c r="E940" s="3563"/>
      <c r="F940" s="3576"/>
      <c r="G940" s="3576"/>
      <c r="H940" s="3563"/>
      <c r="I940" s="3563"/>
      <c r="J940" s="3563"/>
      <c r="K940" s="3563"/>
      <c r="L940" s="3563"/>
      <c r="M940" s="3563"/>
      <c r="N940" s="3577"/>
      <c r="O940" s="3563"/>
      <c r="P940" s="3576"/>
      <c r="Q940" s="3578"/>
      <c r="R940" s="3563"/>
      <c r="S940" s="3563"/>
      <c r="T940" s="3579"/>
      <c r="U940" s="3563"/>
      <c r="V940" s="3563"/>
      <c r="W940" s="3578"/>
      <c r="X940" s="3578"/>
      <c r="Y940" s="3578"/>
      <c r="Z940" s="3578"/>
      <c r="AA940" s="3578"/>
      <c r="AB940" s="3563"/>
      <c r="AC940" s="3578"/>
      <c r="AD940" s="3578"/>
      <c r="AE940" s="3578"/>
      <c r="AF940" s="3578"/>
      <c r="AG940" s="3576"/>
      <c r="AH940" s="3576"/>
      <c r="AI940" s="3580"/>
      <c r="AJ940" s="3581"/>
      <c r="AK940" s="3582"/>
      <c r="AL940" s="3582"/>
      <c r="AM940" s="3582"/>
      <c r="AN940" s="3582"/>
      <c r="AO940" s="3582"/>
      <c r="AP940" s="3582"/>
      <c r="AQ940" s="3582"/>
      <c r="AR940" s="3576"/>
      <c r="AS940" s="3576"/>
      <c r="AT940" s="3576"/>
      <c r="AU940" s="3576"/>
      <c r="AV940" s="3563"/>
    </row>
    <row r="941" s="3565" customFormat="1" spans="1:48">
      <c r="A941" s="3575"/>
      <c r="B941" s="3576"/>
      <c r="C941" s="3576"/>
      <c r="D941" s="3563"/>
      <c r="E941" s="3563"/>
      <c r="F941" s="3576"/>
      <c r="G941" s="3576"/>
      <c r="H941" s="3563"/>
      <c r="I941" s="3563"/>
      <c r="J941" s="3563"/>
      <c r="K941" s="3563"/>
      <c r="L941" s="3563"/>
      <c r="M941" s="3563"/>
      <c r="N941" s="3577"/>
      <c r="O941" s="3563"/>
      <c r="P941" s="3576"/>
      <c r="Q941" s="3578"/>
      <c r="R941" s="3563"/>
      <c r="S941" s="3563"/>
      <c r="T941" s="3579"/>
      <c r="U941" s="3563"/>
      <c r="V941" s="3563"/>
      <c r="W941" s="3578"/>
      <c r="X941" s="3578"/>
      <c r="Y941" s="3578"/>
      <c r="Z941" s="3578"/>
      <c r="AA941" s="3578"/>
      <c r="AB941" s="3563"/>
      <c r="AC941" s="3578"/>
      <c r="AD941" s="3578"/>
      <c r="AE941" s="3578"/>
      <c r="AF941" s="3578"/>
      <c r="AG941" s="3576"/>
      <c r="AH941" s="3576"/>
      <c r="AI941" s="3580"/>
      <c r="AJ941" s="3581"/>
      <c r="AK941" s="3582"/>
      <c r="AL941" s="3582"/>
      <c r="AM941" s="3582"/>
      <c r="AN941" s="3582"/>
      <c r="AO941" s="3582"/>
      <c r="AP941" s="3582"/>
      <c r="AQ941" s="3582"/>
      <c r="AR941" s="3576"/>
      <c r="AS941" s="3576"/>
      <c r="AT941" s="3576"/>
      <c r="AU941" s="3576"/>
      <c r="AV941" s="3563"/>
    </row>
    <row r="942" s="3565" customFormat="1" spans="1:48">
      <c r="A942" s="3575"/>
      <c r="B942" s="3576"/>
      <c r="C942" s="3576"/>
      <c r="D942" s="3563"/>
      <c r="E942" s="3563"/>
      <c r="F942" s="3576"/>
      <c r="G942" s="3576"/>
      <c r="H942" s="3563"/>
      <c r="I942" s="3563"/>
      <c r="J942" s="3563"/>
      <c r="K942" s="3563"/>
      <c r="L942" s="3563"/>
      <c r="M942" s="3563"/>
      <c r="N942" s="3577"/>
      <c r="O942" s="3563"/>
      <c r="P942" s="3576"/>
      <c r="Q942" s="3578"/>
      <c r="R942" s="3563"/>
      <c r="S942" s="3563"/>
      <c r="T942" s="3579"/>
      <c r="U942" s="3563"/>
      <c r="V942" s="3563"/>
      <c r="W942" s="3578"/>
      <c r="X942" s="3578"/>
      <c r="Y942" s="3578"/>
      <c r="Z942" s="3578"/>
      <c r="AA942" s="3578"/>
      <c r="AB942" s="3563"/>
      <c r="AC942" s="3578"/>
      <c r="AD942" s="3578"/>
      <c r="AE942" s="3578"/>
      <c r="AF942" s="3578"/>
      <c r="AG942" s="3576"/>
      <c r="AH942" s="3576"/>
      <c r="AI942" s="3580"/>
      <c r="AJ942" s="3581"/>
      <c r="AK942" s="3582"/>
      <c r="AL942" s="3582"/>
      <c r="AM942" s="3582"/>
      <c r="AN942" s="3582"/>
      <c r="AO942" s="3582"/>
      <c r="AP942" s="3582"/>
      <c r="AQ942" s="3582"/>
      <c r="AR942" s="3576"/>
      <c r="AS942" s="3576"/>
      <c r="AT942" s="3576"/>
      <c r="AU942" s="3576"/>
      <c r="AV942" s="3563"/>
    </row>
    <row r="943" s="3565" customFormat="1" spans="1:48">
      <c r="A943" s="3575"/>
      <c r="B943" s="3576"/>
      <c r="C943" s="3576"/>
      <c r="D943" s="3563"/>
      <c r="E943" s="3563"/>
      <c r="F943" s="3576"/>
      <c r="G943" s="3576"/>
      <c r="H943" s="3563"/>
      <c r="I943" s="3563"/>
      <c r="J943" s="3563"/>
      <c r="K943" s="3563"/>
      <c r="L943" s="3563"/>
      <c r="M943" s="3563"/>
      <c r="N943" s="3577"/>
      <c r="O943" s="3563"/>
      <c r="P943" s="3576"/>
      <c r="Q943" s="3578"/>
      <c r="R943" s="3563"/>
      <c r="S943" s="3563"/>
      <c r="T943" s="3579"/>
      <c r="U943" s="3563"/>
      <c r="V943" s="3563"/>
      <c r="W943" s="3578"/>
      <c r="X943" s="3578"/>
      <c r="Y943" s="3578"/>
      <c r="Z943" s="3578"/>
      <c r="AA943" s="3578"/>
      <c r="AB943" s="3563"/>
      <c r="AC943" s="3578"/>
      <c r="AD943" s="3578"/>
      <c r="AE943" s="3578"/>
      <c r="AF943" s="3578"/>
      <c r="AG943" s="3576"/>
      <c r="AH943" s="3576"/>
      <c r="AI943" s="3580"/>
      <c r="AJ943" s="3581"/>
      <c r="AK943" s="3582"/>
      <c r="AL943" s="3582"/>
      <c r="AM943" s="3582"/>
      <c r="AN943" s="3582"/>
      <c r="AO943" s="3582"/>
      <c r="AP943" s="3582"/>
      <c r="AQ943" s="3582"/>
      <c r="AR943" s="3576"/>
      <c r="AS943" s="3576"/>
      <c r="AT943" s="3576"/>
      <c r="AU943" s="3576"/>
      <c r="AV943" s="3563"/>
    </row>
    <row r="944" s="3565" customFormat="1" spans="1:48">
      <c r="A944" s="3575"/>
      <c r="B944" s="3576"/>
      <c r="C944" s="3576"/>
      <c r="D944" s="3563"/>
      <c r="E944" s="3563"/>
      <c r="F944" s="3576"/>
      <c r="G944" s="3576"/>
      <c r="H944" s="3563"/>
      <c r="I944" s="3563"/>
      <c r="J944" s="3563"/>
      <c r="K944" s="3563"/>
      <c r="L944" s="3563"/>
      <c r="M944" s="3563"/>
      <c r="N944" s="3577"/>
      <c r="O944" s="3563"/>
      <c r="P944" s="3576"/>
      <c r="Q944" s="3578"/>
      <c r="R944" s="3563"/>
      <c r="S944" s="3563"/>
      <c r="T944" s="3579"/>
      <c r="U944" s="3563"/>
      <c r="V944" s="3563"/>
      <c r="W944" s="3578"/>
      <c r="X944" s="3578"/>
      <c r="Y944" s="3578"/>
      <c r="Z944" s="3578"/>
      <c r="AA944" s="3578"/>
      <c r="AB944" s="3563"/>
      <c r="AC944" s="3578"/>
      <c r="AD944" s="3578"/>
      <c r="AE944" s="3578"/>
      <c r="AF944" s="3578"/>
      <c r="AG944" s="3576"/>
      <c r="AH944" s="3576"/>
      <c r="AI944" s="3580"/>
      <c r="AJ944" s="3581"/>
      <c r="AK944" s="3582"/>
      <c r="AL944" s="3582"/>
      <c r="AM944" s="3582"/>
      <c r="AN944" s="3582"/>
      <c r="AO944" s="3582"/>
      <c r="AP944" s="3582"/>
      <c r="AQ944" s="3582"/>
      <c r="AR944" s="3576"/>
      <c r="AS944" s="3576"/>
      <c r="AT944" s="3576"/>
      <c r="AU944" s="3576"/>
      <c r="AV944" s="3563"/>
    </row>
    <row r="945" s="3565" customFormat="1" spans="1:48">
      <c r="A945" s="3575"/>
      <c r="B945" s="3576"/>
      <c r="C945" s="3576"/>
      <c r="D945" s="3563"/>
      <c r="E945" s="3563"/>
      <c r="F945" s="3576"/>
      <c r="G945" s="3576"/>
      <c r="H945" s="3563"/>
      <c r="I945" s="3563"/>
      <c r="J945" s="3563"/>
      <c r="K945" s="3563"/>
      <c r="L945" s="3563"/>
      <c r="M945" s="3563"/>
      <c r="N945" s="3577"/>
      <c r="O945" s="3563"/>
      <c r="P945" s="3576"/>
      <c r="Q945" s="3578"/>
      <c r="R945" s="3563"/>
      <c r="S945" s="3563"/>
      <c r="T945" s="3579"/>
      <c r="U945" s="3563"/>
      <c r="V945" s="3563"/>
      <c r="W945" s="3578"/>
      <c r="X945" s="3578"/>
      <c r="Y945" s="3578"/>
      <c r="Z945" s="3578"/>
      <c r="AA945" s="3578"/>
      <c r="AB945" s="3563"/>
      <c r="AC945" s="3578"/>
      <c r="AD945" s="3578"/>
      <c r="AE945" s="3578"/>
      <c r="AF945" s="3578"/>
      <c r="AG945" s="3576"/>
      <c r="AH945" s="3576"/>
      <c r="AI945" s="3580"/>
      <c r="AJ945" s="3581"/>
      <c r="AK945" s="3582"/>
      <c r="AL945" s="3582"/>
      <c r="AM945" s="3582"/>
      <c r="AN945" s="3582"/>
      <c r="AO945" s="3582"/>
      <c r="AP945" s="3582"/>
      <c r="AQ945" s="3582"/>
      <c r="AR945" s="3576"/>
      <c r="AS945" s="3576"/>
      <c r="AT945" s="3576"/>
      <c r="AU945" s="3576"/>
      <c r="AV945" s="3563"/>
    </row>
    <row r="946" s="3565" customFormat="1" spans="1:48">
      <c r="A946" s="3575"/>
      <c r="B946" s="3576"/>
      <c r="C946" s="3576"/>
      <c r="D946" s="3563"/>
      <c r="E946" s="3563"/>
      <c r="F946" s="3576"/>
      <c r="G946" s="3576"/>
      <c r="H946" s="3563"/>
      <c r="I946" s="3563"/>
      <c r="J946" s="3563"/>
      <c r="K946" s="3563"/>
      <c r="L946" s="3563"/>
      <c r="M946" s="3563"/>
      <c r="N946" s="3577"/>
      <c r="O946" s="3563"/>
      <c r="P946" s="3576"/>
      <c r="Q946" s="3578"/>
      <c r="R946" s="3563"/>
      <c r="S946" s="3563"/>
      <c r="T946" s="3579"/>
      <c r="U946" s="3563"/>
      <c r="V946" s="3563"/>
      <c r="W946" s="3578"/>
      <c r="X946" s="3578"/>
      <c r="Y946" s="3578"/>
      <c r="Z946" s="3578"/>
      <c r="AA946" s="3578"/>
      <c r="AB946" s="3563"/>
      <c r="AC946" s="3578"/>
      <c r="AD946" s="3578"/>
      <c r="AE946" s="3578"/>
      <c r="AF946" s="3578"/>
      <c r="AG946" s="3576"/>
      <c r="AH946" s="3576"/>
      <c r="AI946" s="3580"/>
      <c r="AJ946" s="3581"/>
      <c r="AK946" s="3582"/>
      <c r="AL946" s="3582"/>
      <c r="AM946" s="3582"/>
      <c r="AN946" s="3582"/>
      <c r="AO946" s="3582"/>
      <c r="AP946" s="3582"/>
      <c r="AQ946" s="3582"/>
      <c r="AR946" s="3576"/>
      <c r="AS946" s="3576"/>
      <c r="AT946" s="3576"/>
      <c r="AU946" s="3576"/>
      <c r="AV946" s="3563"/>
    </row>
    <row r="947" s="3565" customFormat="1" spans="1:48">
      <c r="A947" s="3575"/>
      <c r="B947" s="3576"/>
      <c r="C947" s="3576"/>
      <c r="D947" s="3563"/>
      <c r="E947" s="3563"/>
      <c r="F947" s="3576"/>
      <c r="G947" s="3576"/>
      <c r="H947" s="3563"/>
      <c r="I947" s="3563"/>
      <c r="J947" s="3563"/>
      <c r="K947" s="3563"/>
      <c r="L947" s="3563"/>
      <c r="M947" s="3563"/>
      <c r="N947" s="3577"/>
      <c r="O947" s="3563"/>
      <c r="P947" s="3576"/>
      <c r="Q947" s="3578"/>
      <c r="R947" s="3563"/>
      <c r="S947" s="3563"/>
      <c r="T947" s="3579"/>
      <c r="U947" s="3563"/>
      <c r="V947" s="3563"/>
      <c r="W947" s="3578"/>
      <c r="X947" s="3578"/>
      <c r="Y947" s="3578"/>
      <c r="Z947" s="3578"/>
      <c r="AA947" s="3578"/>
      <c r="AB947" s="3563"/>
      <c r="AC947" s="3578"/>
      <c r="AD947" s="3578"/>
      <c r="AE947" s="3578"/>
      <c r="AF947" s="3578"/>
      <c r="AG947" s="3576"/>
      <c r="AH947" s="3576"/>
      <c r="AI947" s="3580"/>
      <c r="AJ947" s="3581"/>
      <c r="AK947" s="3582"/>
      <c r="AL947" s="3582"/>
      <c r="AM947" s="3582"/>
      <c r="AN947" s="3582"/>
      <c r="AO947" s="3582"/>
      <c r="AP947" s="3582"/>
      <c r="AQ947" s="3582"/>
      <c r="AR947" s="3576"/>
      <c r="AS947" s="3576"/>
      <c r="AT947" s="3576"/>
      <c r="AU947" s="3576"/>
      <c r="AV947" s="3563"/>
    </row>
    <row r="948" s="3565" customFormat="1" spans="1:48">
      <c r="A948" s="3575"/>
      <c r="B948" s="3576"/>
      <c r="C948" s="3576"/>
      <c r="D948" s="3563"/>
      <c r="E948" s="3563"/>
      <c r="F948" s="3576"/>
      <c r="G948" s="3576"/>
      <c r="H948" s="3563"/>
      <c r="I948" s="3563"/>
      <c r="J948" s="3563"/>
      <c r="K948" s="3563"/>
      <c r="L948" s="3563"/>
      <c r="M948" s="3563"/>
      <c r="N948" s="3577"/>
      <c r="O948" s="3563"/>
      <c r="P948" s="3576"/>
      <c r="Q948" s="3578"/>
      <c r="R948" s="3563"/>
      <c r="S948" s="3563"/>
      <c r="T948" s="3579"/>
      <c r="U948" s="3563"/>
      <c r="V948" s="3563"/>
      <c r="W948" s="3578"/>
      <c r="X948" s="3578"/>
      <c r="Y948" s="3578"/>
      <c r="Z948" s="3578"/>
      <c r="AA948" s="3578"/>
      <c r="AB948" s="3563"/>
      <c r="AC948" s="3578"/>
      <c r="AD948" s="3578"/>
      <c r="AE948" s="3578"/>
      <c r="AF948" s="3578"/>
      <c r="AG948" s="3576"/>
      <c r="AH948" s="3576"/>
      <c r="AI948" s="3580"/>
      <c r="AJ948" s="3581"/>
      <c r="AK948" s="3582"/>
      <c r="AL948" s="3582"/>
      <c r="AM948" s="3582"/>
      <c r="AN948" s="3582"/>
      <c r="AO948" s="3582"/>
      <c r="AP948" s="3582"/>
      <c r="AQ948" s="3582"/>
      <c r="AR948" s="3576"/>
      <c r="AS948" s="3576"/>
      <c r="AT948" s="3576"/>
      <c r="AU948" s="3576"/>
      <c r="AV948" s="3563"/>
    </row>
    <row r="949" s="3565" customFormat="1" spans="1:48">
      <c r="A949" s="3575"/>
      <c r="B949" s="3576"/>
      <c r="C949" s="3576"/>
      <c r="D949" s="3563"/>
      <c r="E949" s="3563"/>
      <c r="F949" s="3576"/>
      <c r="G949" s="3576"/>
      <c r="H949" s="3563"/>
      <c r="I949" s="3563"/>
      <c r="J949" s="3563"/>
      <c r="K949" s="3563"/>
      <c r="L949" s="3563"/>
      <c r="M949" s="3563"/>
      <c r="N949" s="3577"/>
      <c r="O949" s="3563"/>
      <c r="P949" s="3576"/>
      <c r="Q949" s="3578"/>
      <c r="R949" s="3563"/>
      <c r="S949" s="3563"/>
      <c r="T949" s="3579"/>
      <c r="U949" s="3563"/>
      <c r="V949" s="3563"/>
      <c r="W949" s="3578"/>
      <c r="X949" s="3578"/>
      <c r="Y949" s="3578"/>
      <c r="Z949" s="3578"/>
      <c r="AA949" s="3578"/>
      <c r="AB949" s="3563"/>
      <c r="AC949" s="3578"/>
      <c r="AD949" s="3578"/>
      <c r="AE949" s="3578"/>
      <c r="AF949" s="3578"/>
      <c r="AG949" s="3576"/>
      <c r="AH949" s="3576"/>
      <c r="AI949" s="3580"/>
      <c r="AJ949" s="3581"/>
      <c r="AK949" s="3582"/>
      <c r="AL949" s="3582"/>
      <c r="AM949" s="3582"/>
      <c r="AN949" s="3582"/>
      <c r="AO949" s="3582"/>
      <c r="AP949" s="3582"/>
      <c r="AQ949" s="3582"/>
      <c r="AR949" s="3576"/>
      <c r="AS949" s="3576"/>
      <c r="AT949" s="3576"/>
      <c r="AU949" s="3576"/>
      <c r="AV949" s="3563"/>
    </row>
    <row r="950" s="3565" customFormat="1" spans="1:48">
      <c r="A950" s="3575"/>
      <c r="B950" s="3576"/>
      <c r="C950" s="3576"/>
      <c r="D950" s="3563"/>
      <c r="E950" s="3563"/>
      <c r="F950" s="3576"/>
      <c r="G950" s="3576"/>
      <c r="H950" s="3563"/>
      <c r="I950" s="3563"/>
      <c r="J950" s="3563"/>
      <c r="K950" s="3563"/>
      <c r="L950" s="3563"/>
      <c r="M950" s="3563"/>
      <c r="N950" s="3577"/>
      <c r="O950" s="3563"/>
      <c r="P950" s="3576"/>
      <c r="Q950" s="3578"/>
      <c r="R950" s="3563"/>
      <c r="S950" s="3563"/>
      <c r="T950" s="3579"/>
      <c r="U950" s="3563"/>
      <c r="V950" s="3563"/>
      <c r="W950" s="3578"/>
      <c r="X950" s="3578"/>
      <c r="Y950" s="3578"/>
      <c r="Z950" s="3578"/>
      <c r="AA950" s="3578"/>
      <c r="AB950" s="3563"/>
      <c r="AC950" s="3578"/>
      <c r="AD950" s="3578"/>
      <c r="AE950" s="3578"/>
      <c r="AF950" s="3578"/>
      <c r="AG950" s="3576"/>
      <c r="AH950" s="3576"/>
      <c r="AI950" s="3580"/>
      <c r="AJ950" s="3581"/>
      <c r="AK950" s="3582"/>
      <c r="AL950" s="3582"/>
      <c r="AM950" s="3582"/>
      <c r="AN950" s="3582"/>
      <c r="AO950" s="3582"/>
      <c r="AP950" s="3582"/>
      <c r="AQ950" s="3582"/>
      <c r="AR950" s="3576"/>
      <c r="AS950" s="3576"/>
      <c r="AT950" s="3576"/>
      <c r="AU950" s="3576"/>
      <c r="AV950" s="3563"/>
    </row>
    <row r="951" s="3565" customFormat="1" spans="1:48">
      <c r="A951" s="3575"/>
      <c r="B951" s="3576"/>
      <c r="C951" s="3576"/>
      <c r="D951" s="3563"/>
      <c r="E951" s="3563"/>
      <c r="F951" s="3576"/>
      <c r="G951" s="3576"/>
      <c r="H951" s="3563"/>
      <c r="I951" s="3563"/>
      <c r="J951" s="3563"/>
      <c r="K951" s="3563"/>
      <c r="L951" s="3563"/>
      <c r="M951" s="3563"/>
      <c r="N951" s="3577"/>
      <c r="O951" s="3563"/>
      <c r="P951" s="3576"/>
      <c r="Q951" s="3578"/>
      <c r="R951" s="3563"/>
      <c r="S951" s="3563"/>
      <c r="T951" s="3579"/>
      <c r="U951" s="3563"/>
      <c r="V951" s="3563"/>
      <c r="W951" s="3578"/>
      <c r="X951" s="3578"/>
      <c r="Y951" s="3578"/>
      <c r="Z951" s="3578"/>
      <c r="AA951" s="3578"/>
      <c r="AB951" s="3563"/>
      <c r="AC951" s="3578"/>
      <c r="AD951" s="3578"/>
      <c r="AE951" s="3578"/>
      <c r="AF951" s="3578"/>
      <c r="AG951" s="3576"/>
      <c r="AH951" s="3576"/>
      <c r="AI951" s="3580"/>
      <c r="AJ951" s="3581"/>
      <c r="AK951" s="3582"/>
      <c r="AL951" s="3582"/>
      <c r="AM951" s="3582"/>
      <c r="AN951" s="3582"/>
      <c r="AO951" s="3582"/>
      <c r="AP951" s="3582"/>
      <c r="AQ951" s="3582"/>
      <c r="AR951" s="3576"/>
      <c r="AS951" s="3576"/>
      <c r="AT951" s="3576"/>
      <c r="AU951" s="3576"/>
      <c r="AV951" s="3563"/>
    </row>
    <row r="952" s="3565" customFormat="1" spans="1:48">
      <c r="A952" s="3575"/>
      <c r="B952" s="3576"/>
      <c r="C952" s="3576"/>
      <c r="D952" s="3563"/>
      <c r="E952" s="3563"/>
      <c r="F952" s="3576"/>
      <c r="G952" s="3576"/>
      <c r="H952" s="3563"/>
      <c r="I952" s="3563"/>
      <c r="J952" s="3563"/>
      <c r="K952" s="3563"/>
      <c r="L952" s="3563"/>
      <c r="M952" s="3563"/>
      <c r="N952" s="3577"/>
      <c r="O952" s="3563"/>
      <c r="P952" s="3576"/>
      <c r="Q952" s="3578"/>
      <c r="R952" s="3563"/>
      <c r="S952" s="3563"/>
      <c r="T952" s="3579"/>
      <c r="U952" s="3563"/>
      <c r="V952" s="3563"/>
      <c r="W952" s="3578"/>
      <c r="X952" s="3578"/>
      <c r="Y952" s="3578"/>
      <c r="Z952" s="3578"/>
      <c r="AA952" s="3578"/>
      <c r="AB952" s="3563"/>
      <c r="AC952" s="3578"/>
      <c r="AD952" s="3578"/>
      <c r="AE952" s="3578"/>
      <c r="AF952" s="3578"/>
      <c r="AG952" s="3576"/>
      <c r="AH952" s="3576"/>
      <c r="AI952" s="3580"/>
      <c r="AJ952" s="3581"/>
      <c r="AK952" s="3582"/>
      <c r="AL952" s="3582"/>
      <c r="AM952" s="3582"/>
      <c r="AN952" s="3582"/>
      <c r="AO952" s="3582"/>
      <c r="AP952" s="3582"/>
      <c r="AQ952" s="3582"/>
      <c r="AR952" s="3576"/>
      <c r="AS952" s="3576"/>
      <c r="AT952" s="3576"/>
      <c r="AU952" s="3576"/>
      <c r="AV952" s="3563"/>
    </row>
    <row r="953" s="3565" customFormat="1" spans="1:48">
      <c r="A953" s="3575"/>
      <c r="B953" s="3576"/>
      <c r="C953" s="3576"/>
      <c r="D953" s="3563"/>
      <c r="E953" s="3563"/>
      <c r="F953" s="3576"/>
      <c r="G953" s="3576"/>
      <c r="H953" s="3563"/>
      <c r="I953" s="3563"/>
      <c r="J953" s="3563"/>
      <c r="K953" s="3563"/>
      <c r="L953" s="3563"/>
      <c r="M953" s="3563"/>
      <c r="N953" s="3577"/>
      <c r="O953" s="3563"/>
      <c r="P953" s="3576"/>
      <c r="Q953" s="3578"/>
      <c r="R953" s="3563"/>
      <c r="S953" s="3563"/>
      <c r="T953" s="3579"/>
      <c r="U953" s="3563"/>
      <c r="V953" s="3563"/>
      <c r="W953" s="3578"/>
      <c r="X953" s="3578"/>
      <c r="Y953" s="3578"/>
      <c r="Z953" s="3578"/>
      <c r="AA953" s="3578"/>
      <c r="AB953" s="3563"/>
      <c r="AC953" s="3578"/>
      <c r="AD953" s="3578"/>
      <c r="AE953" s="3578"/>
      <c r="AF953" s="3578"/>
      <c r="AG953" s="3576"/>
      <c r="AH953" s="3576"/>
      <c r="AI953" s="3580"/>
      <c r="AJ953" s="3581"/>
      <c r="AK953" s="3582"/>
      <c r="AL953" s="3582"/>
      <c r="AM953" s="3582"/>
      <c r="AN953" s="3582"/>
      <c r="AO953" s="3582"/>
      <c r="AP953" s="3582"/>
      <c r="AQ953" s="3582"/>
      <c r="AR953" s="3576"/>
      <c r="AS953" s="3576"/>
      <c r="AT953" s="3576"/>
      <c r="AU953" s="3576"/>
      <c r="AV953" s="3563"/>
    </row>
    <row r="954" s="3565" customFormat="1" spans="1:48">
      <c r="A954" s="3575"/>
      <c r="B954" s="3576"/>
      <c r="C954" s="3576"/>
      <c r="D954" s="3563"/>
      <c r="E954" s="3563"/>
      <c r="F954" s="3576"/>
      <c r="G954" s="3576"/>
      <c r="H954" s="3563"/>
      <c r="I954" s="3563"/>
      <c r="J954" s="3563"/>
      <c r="K954" s="3563"/>
      <c r="L954" s="3563"/>
      <c r="M954" s="3563"/>
      <c r="N954" s="3577"/>
      <c r="O954" s="3563"/>
      <c r="P954" s="3576"/>
      <c r="Q954" s="3578"/>
      <c r="R954" s="3563"/>
      <c r="S954" s="3563"/>
      <c r="T954" s="3579"/>
      <c r="U954" s="3563"/>
      <c r="V954" s="3563"/>
      <c r="W954" s="3578"/>
      <c r="X954" s="3578"/>
      <c r="Y954" s="3578"/>
      <c r="Z954" s="3578"/>
      <c r="AA954" s="3578"/>
      <c r="AB954" s="3563"/>
      <c r="AC954" s="3578"/>
      <c r="AD954" s="3578"/>
      <c r="AE954" s="3578"/>
      <c r="AF954" s="3578"/>
      <c r="AG954" s="3576"/>
      <c r="AH954" s="3576"/>
      <c r="AI954" s="3580"/>
      <c r="AJ954" s="3581"/>
      <c r="AK954" s="3582"/>
      <c r="AL954" s="3582"/>
      <c r="AM954" s="3582"/>
      <c r="AN954" s="3582"/>
      <c r="AO954" s="3582"/>
      <c r="AP954" s="3582"/>
      <c r="AQ954" s="3582"/>
      <c r="AR954" s="3576"/>
      <c r="AS954" s="3576"/>
      <c r="AT954" s="3576"/>
      <c r="AU954" s="3576"/>
      <c r="AV954" s="3563"/>
    </row>
    <row r="955" s="3565" customFormat="1" spans="1:48">
      <c r="A955" s="3575"/>
      <c r="B955" s="3576"/>
      <c r="C955" s="3576"/>
      <c r="D955" s="3563"/>
      <c r="E955" s="3563"/>
      <c r="F955" s="3576"/>
      <c r="G955" s="3576"/>
      <c r="H955" s="3563"/>
      <c r="I955" s="3563"/>
      <c r="J955" s="3563"/>
      <c r="K955" s="3563"/>
      <c r="L955" s="3563"/>
      <c r="M955" s="3563"/>
      <c r="N955" s="3577"/>
      <c r="O955" s="3563"/>
      <c r="P955" s="3576"/>
      <c r="Q955" s="3578"/>
      <c r="R955" s="3563"/>
      <c r="S955" s="3563"/>
      <c r="T955" s="3579"/>
      <c r="U955" s="3563"/>
      <c r="V955" s="3563"/>
      <c r="W955" s="3578"/>
      <c r="X955" s="3578"/>
      <c r="Y955" s="3578"/>
      <c r="Z955" s="3578"/>
      <c r="AA955" s="3578"/>
      <c r="AB955" s="3563"/>
      <c r="AC955" s="3578"/>
      <c r="AD955" s="3578"/>
      <c r="AE955" s="3578"/>
      <c r="AF955" s="3578"/>
      <c r="AG955" s="3576"/>
      <c r="AH955" s="3576"/>
      <c r="AI955" s="3580"/>
      <c r="AJ955" s="3581"/>
      <c r="AK955" s="3582"/>
      <c r="AL955" s="3582"/>
      <c r="AM955" s="3582"/>
      <c r="AN955" s="3582"/>
      <c r="AO955" s="3582"/>
      <c r="AP955" s="3582"/>
      <c r="AQ955" s="3582"/>
      <c r="AR955" s="3576"/>
      <c r="AS955" s="3576"/>
      <c r="AT955" s="3576"/>
      <c r="AU955" s="3576"/>
      <c r="AV955" s="3563"/>
    </row>
    <row r="956" s="3565" customFormat="1" spans="1:48">
      <c r="A956" s="3575"/>
      <c r="B956" s="3576"/>
      <c r="C956" s="3576"/>
      <c r="D956" s="3563"/>
      <c r="E956" s="3563"/>
      <c r="F956" s="3576"/>
      <c r="G956" s="3576"/>
      <c r="H956" s="3563"/>
      <c r="I956" s="3563"/>
      <c r="J956" s="3563"/>
      <c r="K956" s="3563"/>
      <c r="L956" s="3563"/>
      <c r="M956" s="3563"/>
      <c r="N956" s="3577"/>
      <c r="O956" s="3563"/>
      <c r="P956" s="3576"/>
      <c r="Q956" s="3578"/>
      <c r="R956" s="3563"/>
      <c r="S956" s="3563"/>
      <c r="T956" s="3579"/>
      <c r="U956" s="3563"/>
      <c r="V956" s="3563"/>
      <c r="W956" s="3578"/>
      <c r="X956" s="3578"/>
      <c r="Y956" s="3578"/>
      <c r="Z956" s="3578"/>
      <c r="AA956" s="3578"/>
      <c r="AB956" s="3563"/>
      <c r="AC956" s="3578"/>
      <c r="AD956" s="3578"/>
      <c r="AE956" s="3578"/>
      <c r="AF956" s="3578"/>
      <c r="AG956" s="3576"/>
      <c r="AH956" s="3576"/>
      <c r="AI956" s="3580"/>
      <c r="AJ956" s="3581"/>
      <c r="AK956" s="3582"/>
      <c r="AL956" s="3582"/>
      <c r="AM956" s="3582"/>
      <c r="AN956" s="3582"/>
      <c r="AO956" s="3582"/>
      <c r="AP956" s="3582"/>
      <c r="AQ956" s="3582"/>
      <c r="AR956" s="3576"/>
      <c r="AS956" s="3576"/>
      <c r="AT956" s="3576"/>
      <c r="AU956" s="3576"/>
      <c r="AV956" s="3563"/>
    </row>
    <row r="957" s="3565" customFormat="1" spans="1:48">
      <c r="A957" s="3575"/>
      <c r="B957" s="3576"/>
      <c r="C957" s="3576"/>
      <c r="D957" s="3563"/>
      <c r="E957" s="3563"/>
      <c r="F957" s="3576"/>
      <c r="G957" s="3576"/>
      <c r="H957" s="3563"/>
      <c r="I957" s="3563"/>
      <c r="J957" s="3563"/>
      <c r="K957" s="3563"/>
      <c r="L957" s="3563"/>
      <c r="M957" s="3563"/>
      <c r="N957" s="3577"/>
      <c r="O957" s="3563"/>
      <c r="P957" s="3576"/>
      <c r="Q957" s="3578"/>
      <c r="R957" s="3563"/>
      <c r="S957" s="3563"/>
      <c r="T957" s="3579"/>
      <c r="U957" s="3563"/>
      <c r="V957" s="3563"/>
      <c r="W957" s="3578"/>
      <c r="X957" s="3578"/>
      <c r="Y957" s="3578"/>
      <c r="Z957" s="3578"/>
      <c r="AA957" s="3578"/>
      <c r="AB957" s="3563"/>
      <c r="AC957" s="3578"/>
      <c r="AD957" s="3578"/>
      <c r="AE957" s="3578"/>
      <c r="AF957" s="3578"/>
      <c r="AG957" s="3576"/>
      <c r="AH957" s="3576"/>
      <c r="AI957" s="3580"/>
      <c r="AJ957" s="3581"/>
      <c r="AK957" s="3582"/>
      <c r="AL957" s="3582"/>
      <c r="AM957" s="3582"/>
      <c r="AN957" s="3582"/>
      <c r="AO957" s="3582"/>
      <c r="AP957" s="3582"/>
      <c r="AQ957" s="3582"/>
      <c r="AR957" s="3576"/>
      <c r="AS957" s="3576"/>
      <c r="AT957" s="3576"/>
      <c r="AU957" s="3576"/>
      <c r="AV957" s="3563"/>
    </row>
    <row r="958" s="3565" customFormat="1" spans="1:48">
      <c r="A958" s="3575"/>
      <c r="B958" s="3576"/>
      <c r="C958" s="3576"/>
      <c r="D958" s="3563"/>
      <c r="E958" s="3563"/>
      <c r="F958" s="3576"/>
      <c r="G958" s="3576"/>
      <c r="H958" s="3563"/>
      <c r="I958" s="3563"/>
      <c r="J958" s="3563"/>
      <c r="K958" s="3563"/>
      <c r="L958" s="3563"/>
      <c r="M958" s="3563"/>
      <c r="N958" s="3577"/>
      <c r="O958" s="3563"/>
      <c r="P958" s="3576"/>
      <c r="Q958" s="3578"/>
      <c r="R958" s="3563"/>
      <c r="S958" s="3563"/>
      <c r="T958" s="3579"/>
      <c r="U958" s="3563"/>
      <c r="V958" s="3563"/>
      <c r="W958" s="3578"/>
      <c r="X958" s="3578"/>
      <c r="Y958" s="3578"/>
      <c r="Z958" s="3578"/>
      <c r="AA958" s="3578"/>
      <c r="AB958" s="3563"/>
      <c r="AC958" s="3578"/>
      <c r="AD958" s="3578"/>
      <c r="AE958" s="3578"/>
      <c r="AF958" s="3578"/>
      <c r="AG958" s="3576"/>
      <c r="AH958" s="3576"/>
      <c r="AI958" s="3580"/>
      <c r="AJ958" s="3581"/>
      <c r="AK958" s="3582"/>
      <c r="AL958" s="3582"/>
      <c r="AM958" s="3582"/>
      <c r="AN958" s="3582"/>
      <c r="AO958" s="3582"/>
      <c r="AP958" s="3582"/>
      <c r="AQ958" s="3582"/>
      <c r="AR958" s="3576"/>
      <c r="AS958" s="3576"/>
      <c r="AT958" s="3576"/>
      <c r="AU958" s="3576"/>
      <c r="AV958" s="3563"/>
    </row>
    <row r="959" s="3565" customFormat="1" spans="1:48">
      <c r="A959" s="3575"/>
      <c r="B959" s="3576"/>
      <c r="C959" s="3576"/>
      <c r="D959" s="3563"/>
      <c r="E959" s="3563"/>
      <c r="F959" s="3576"/>
      <c r="G959" s="3576"/>
      <c r="H959" s="3563"/>
      <c r="I959" s="3563"/>
      <c r="J959" s="3563"/>
      <c r="K959" s="3563"/>
      <c r="L959" s="3563"/>
      <c r="M959" s="3563"/>
      <c r="N959" s="3577"/>
      <c r="O959" s="3563"/>
      <c r="P959" s="3576"/>
      <c r="Q959" s="3578"/>
      <c r="R959" s="3563"/>
      <c r="S959" s="3563"/>
      <c r="T959" s="3579"/>
      <c r="U959" s="3563"/>
      <c r="V959" s="3563"/>
      <c r="W959" s="3578"/>
      <c r="X959" s="3578"/>
      <c r="Y959" s="3578"/>
      <c r="Z959" s="3578"/>
      <c r="AA959" s="3578"/>
      <c r="AB959" s="3563"/>
      <c r="AC959" s="3578"/>
      <c r="AD959" s="3578"/>
      <c r="AE959" s="3578"/>
      <c r="AF959" s="3578"/>
      <c r="AG959" s="3576"/>
      <c r="AH959" s="3576"/>
      <c r="AI959" s="3580"/>
      <c r="AJ959" s="3581"/>
      <c r="AK959" s="3582"/>
      <c r="AL959" s="3582"/>
      <c r="AM959" s="3582"/>
      <c r="AN959" s="3582"/>
      <c r="AO959" s="3582"/>
      <c r="AP959" s="3582"/>
      <c r="AQ959" s="3582"/>
      <c r="AR959" s="3576"/>
      <c r="AS959" s="3576"/>
      <c r="AT959" s="3576"/>
      <c r="AU959" s="3576"/>
      <c r="AV959" s="3563"/>
    </row>
    <row r="960" s="3565" customFormat="1" spans="1:48">
      <c r="A960" s="3575"/>
      <c r="B960" s="3576"/>
      <c r="C960" s="3576"/>
      <c r="D960" s="3563"/>
      <c r="E960" s="3563"/>
      <c r="F960" s="3576"/>
      <c r="G960" s="3576"/>
      <c r="H960" s="3563"/>
      <c r="I960" s="3563"/>
      <c r="J960" s="3563"/>
      <c r="K960" s="3563"/>
      <c r="L960" s="3563"/>
      <c r="M960" s="3563"/>
      <c r="N960" s="3577"/>
      <c r="O960" s="3563"/>
      <c r="P960" s="3576"/>
      <c r="Q960" s="3578"/>
      <c r="R960" s="3563"/>
      <c r="S960" s="3563"/>
      <c r="T960" s="3579"/>
      <c r="U960" s="3563"/>
      <c r="V960" s="3563"/>
      <c r="W960" s="3578"/>
      <c r="X960" s="3578"/>
      <c r="Y960" s="3578"/>
      <c r="Z960" s="3578"/>
      <c r="AA960" s="3578"/>
      <c r="AB960" s="3563"/>
      <c r="AC960" s="3578"/>
      <c r="AD960" s="3578"/>
      <c r="AE960" s="3578"/>
      <c r="AF960" s="3578"/>
      <c r="AG960" s="3576"/>
      <c r="AH960" s="3576"/>
      <c r="AI960" s="3580"/>
      <c r="AJ960" s="3581"/>
      <c r="AK960" s="3582"/>
      <c r="AL960" s="3582"/>
      <c r="AM960" s="3582"/>
      <c r="AN960" s="3582"/>
      <c r="AO960" s="3582"/>
      <c r="AP960" s="3582"/>
      <c r="AQ960" s="3582"/>
      <c r="AR960" s="3576"/>
      <c r="AS960" s="3576"/>
      <c r="AT960" s="3576"/>
      <c r="AU960" s="3576"/>
      <c r="AV960" s="3563"/>
    </row>
    <row r="961" s="3565" customFormat="1" spans="1:69">
      <c r="A961" s="3575"/>
      <c r="B961" s="3576"/>
      <c r="C961" s="3576"/>
      <c r="D961" s="3563"/>
      <c r="E961" s="3563"/>
      <c r="F961" s="3576"/>
      <c r="G961" s="3576"/>
      <c r="H961" s="3563"/>
      <c r="I961" s="3563"/>
      <c r="J961" s="3563"/>
      <c r="K961" s="3563"/>
      <c r="L961" s="3563"/>
      <c r="M961" s="3563"/>
      <c r="N961" s="3577"/>
      <c r="O961" s="3563"/>
      <c r="P961" s="3576"/>
      <c r="Q961" s="3578"/>
      <c r="R961" s="3563"/>
      <c r="S961" s="3563"/>
      <c r="T961" s="3579"/>
      <c r="U961" s="3563"/>
      <c r="V961" s="3563"/>
      <c r="W961" s="3578"/>
      <c r="X961" s="3578"/>
      <c r="Y961" s="3578"/>
      <c r="Z961" s="3578"/>
      <c r="AA961" s="3578"/>
      <c r="AB961" s="3563"/>
      <c r="AC961" s="3578"/>
      <c r="AD961" s="3578"/>
      <c r="AE961" s="3578"/>
      <c r="AF961" s="3578"/>
      <c r="AG961" s="3576"/>
      <c r="AH961" s="3576"/>
      <c r="AI961" s="3580"/>
      <c r="AJ961" s="3581"/>
      <c r="AK961" s="3582"/>
      <c r="AL961" s="3582"/>
      <c r="AM961" s="3582"/>
      <c r="AN961" s="3582"/>
      <c r="AO961" s="3582"/>
      <c r="AP961" s="3582"/>
      <c r="AQ961" s="3582"/>
      <c r="AR961" s="3576"/>
      <c r="AS961" s="3576"/>
      <c r="AT961" s="3576"/>
      <c r="AU961" s="3576"/>
      <c r="AV961" s="3563"/>
    </row>
    <row r="962" s="3565" customFormat="1" spans="1:69">
      <c r="A962" s="3575"/>
      <c r="B962" s="3576"/>
      <c r="C962" s="3576"/>
      <c r="D962" s="3563"/>
      <c r="E962" s="3563"/>
      <c r="F962" s="3576"/>
      <c r="G962" s="3576"/>
      <c r="H962" s="3563"/>
      <c r="I962" s="3563"/>
      <c r="J962" s="3563"/>
      <c r="K962" s="3563"/>
      <c r="L962" s="3563"/>
      <c r="M962" s="3563"/>
      <c r="N962" s="3577"/>
      <c r="O962" s="3563"/>
      <c r="P962" s="3576"/>
      <c r="Q962" s="3578"/>
      <c r="R962" s="3563"/>
      <c r="S962" s="3563"/>
      <c r="T962" s="3579"/>
      <c r="U962" s="3563"/>
      <c r="V962" s="3563"/>
      <c r="W962" s="3578"/>
      <c r="X962" s="3578"/>
      <c r="Y962" s="3578"/>
      <c r="Z962" s="3578"/>
      <c r="AA962" s="3578"/>
      <c r="AB962" s="3563"/>
      <c r="AC962" s="3578"/>
      <c r="AD962" s="3578"/>
      <c r="AE962" s="3578"/>
      <c r="AF962" s="3578"/>
      <c r="AG962" s="3576"/>
      <c r="AH962" s="3576"/>
      <c r="AI962" s="3580"/>
      <c r="AJ962" s="3581"/>
      <c r="AK962" s="3582"/>
      <c r="AL962" s="3582"/>
      <c r="AM962" s="3582"/>
      <c r="AN962" s="3582"/>
      <c r="AO962" s="3582"/>
      <c r="AP962" s="3582"/>
      <c r="AQ962" s="3582"/>
      <c r="AR962" s="3576"/>
      <c r="AS962" s="3576"/>
      <c r="AT962" s="3576"/>
      <c r="AU962" s="3576"/>
      <c r="AV962" s="3563"/>
    </row>
    <row r="963" s="3565" customFormat="1" spans="1:69">
      <c r="A963" s="3575"/>
      <c r="B963" s="3576"/>
      <c r="C963" s="3576"/>
      <c r="D963" s="3563"/>
      <c r="E963" s="3563"/>
      <c r="F963" s="3576"/>
      <c r="G963" s="3576"/>
      <c r="H963" s="3563"/>
      <c r="I963" s="3563"/>
      <c r="J963" s="3563"/>
      <c r="K963" s="3563"/>
      <c r="L963" s="3563"/>
      <c r="M963" s="3563"/>
      <c r="N963" s="3577"/>
      <c r="O963" s="3563"/>
      <c r="P963" s="3576"/>
      <c r="Q963" s="3578"/>
      <c r="R963" s="3563"/>
      <c r="S963" s="3563"/>
      <c r="T963" s="3579"/>
      <c r="U963" s="3563"/>
      <c r="V963" s="3563"/>
      <c r="W963" s="3578"/>
      <c r="X963" s="3578"/>
      <c r="Y963" s="3578"/>
      <c r="Z963" s="3578"/>
      <c r="AA963" s="3578"/>
      <c r="AB963" s="3563"/>
      <c r="AC963" s="3578"/>
      <c r="AD963" s="3578"/>
      <c r="AE963" s="3578"/>
      <c r="AF963" s="3578"/>
      <c r="AG963" s="3576"/>
      <c r="AH963" s="3576"/>
      <c r="AI963" s="3580"/>
      <c r="AJ963" s="3581"/>
      <c r="AK963" s="3582"/>
      <c r="AL963" s="3582"/>
      <c r="AM963" s="3582"/>
      <c r="AN963" s="3582"/>
      <c r="AO963" s="3582"/>
      <c r="AP963" s="3582"/>
      <c r="AQ963" s="3582"/>
      <c r="AR963" s="3576"/>
      <c r="AS963" s="3576"/>
      <c r="AT963" s="3576"/>
      <c r="AU963" s="3576"/>
      <c r="AV963" s="3563"/>
    </row>
    <row r="964" s="3565" customFormat="1" spans="1:69">
      <c r="A964" s="3575"/>
      <c r="B964" s="3576"/>
      <c r="C964" s="3576"/>
      <c r="D964" s="3563"/>
      <c r="E964" s="3563"/>
      <c r="F964" s="3576"/>
      <c r="G964" s="3576"/>
      <c r="H964" s="3563"/>
      <c r="I964" s="3563"/>
      <c r="J964" s="3563"/>
      <c r="K964" s="3563"/>
      <c r="L964" s="3563"/>
      <c r="M964" s="3563"/>
      <c r="N964" s="3577"/>
      <c r="O964" s="3563"/>
      <c r="P964" s="3576"/>
      <c r="Q964" s="3578"/>
      <c r="R964" s="3563"/>
      <c r="S964" s="3563"/>
      <c r="T964" s="3579"/>
      <c r="U964" s="3563"/>
      <c r="V964" s="3563"/>
      <c r="W964" s="3578"/>
      <c r="X964" s="3578"/>
      <c r="Y964" s="3578"/>
      <c r="Z964" s="3578"/>
      <c r="AA964" s="3578"/>
      <c r="AB964" s="3563"/>
      <c r="AC964" s="3578"/>
      <c r="AD964" s="3578"/>
      <c r="AE964" s="3578"/>
      <c r="AF964" s="3578"/>
      <c r="AG964" s="3576"/>
      <c r="AH964" s="3576"/>
      <c r="AI964" s="3580"/>
      <c r="AJ964" s="3581"/>
      <c r="AK964" s="3582"/>
      <c r="AL964" s="3582"/>
      <c r="AM964" s="3582"/>
      <c r="AN964" s="3582"/>
      <c r="AO964" s="3582"/>
      <c r="AP964" s="3582"/>
      <c r="AQ964" s="3582"/>
      <c r="AR964" s="3576"/>
      <c r="AS964" s="3576"/>
      <c r="AT964" s="3576"/>
      <c r="AU964" s="3576"/>
      <c r="AV964" s="3563"/>
    </row>
    <row r="965" s="3565" customFormat="1" spans="1:69">
      <c r="A965" s="3575"/>
      <c r="B965" s="3576"/>
      <c r="C965" s="3576"/>
      <c r="D965" s="3563"/>
      <c r="E965" s="3563"/>
      <c r="F965" s="3576"/>
      <c r="G965" s="3576"/>
      <c r="H965" s="3563"/>
      <c r="I965" s="3563"/>
      <c r="J965" s="3563"/>
      <c r="K965" s="3563"/>
      <c r="L965" s="3563"/>
      <c r="M965" s="3563"/>
      <c r="N965" s="3577"/>
      <c r="O965" s="3563"/>
      <c r="P965" s="3576"/>
      <c r="Q965" s="3578"/>
      <c r="R965" s="3563"/>
      <c r="S965" s="3563"/>
      <c r="T965" s="3579"/>
      <c r="U965" s="3563"/>
      <c r="V965" s="3563"/>
      <c r="W965" s="3578"/>
      <c r="X965" s="3578"/>
      <c r="Y965" s="3578"/>
      <c r="Z965" s="3578"/>
      <c r="AA965" s="3578"/>
      <c r="AB965" s="3563"/>
      <c r="AC965" s="3578"/>
      <c r="AD965" s="3578"/>
      <c r="AE965" s="3578"/>
      <c r="AF965" s="3578"/>
      <c r="AG965" s="3576"/>
      <c r="AH965" s="3576"/>
      <c r="AI965" s="3580"/>
      <c r="AJ965" s="3581"/>
      <c r="AK965" s="3582"/>
      <c r="AL965" s="3582"/>
      <c r="AM965" s="3582"/>
      <c r="AN965" s="3582"/>
      <c r="AO965" s="3582"/>
      <c r="AP965" s="3582"/>
      <c r="AQ965" s="3582"/>
      <c r="AR965" s="3576"/>
      <c r="AS965" s="3576"/>
      <c r="AT965" s="3576"/>
      <c r="AU965" s="3576"/>
      <c r="AV965" s="3563"/>
      <c r="AW965" s="3565"/>
      <c r="AX965" s="3565"/>
      <c r="AY965" s="3565"/>
      <c r="AZ965" s="3565"/>
      <c r="BA965" s="3565"/>
      <c r="BB965" s="3565"/>
      <c r="BC965" s="3565"/>
      <c r="BD965" s="3565"/>
      <c r="BE965" s="3572"/>
      <c r="BF965" s="3572"/>
      <c r="BG965" s="3572"/>
      <c r="BH965" s="3572"/>
      <c r="BI965" s="3572"/>
      <c r="BJ965" s="3572"/>
      <c r="BK965" s="3572"/>
      <c r="BL965" s="3572"/>
      <c r="BM965" s="4024"/>
      <c r="BN965" s="4024"/>
      <c r="BO965" s="3572"/>
      <c r="BP965" s="3572"/>
      <c r="BQ965" s="3572"/>
    </row>
    <row r="966" s="3565" customFormat="1" spans="1:69">
      <c r="A966" s="3575"/>
      <c r="B966" s="3576"/>
      <c r="C966" s="3576"/>
      <c r="D966" s="3563"/>
      <c r="E966" s="3563"/>
      <c r="F966" s="3576"/>
      <c r="G966" s="3576"/>
      <c r="H966" s="3563"/>
      <c r="I966" s="3563"/>
      <c r="J966" s="3563"/>
      <c r="K966" s="3563"/>
      <c r="L966" s="3563"/>
      <c r="M966" s="3563"/>
      <c r="N966" s="3577"/>
      <c r="O966" s="3563"/>
      <c r="P966" s="3576"/>
      <c r="Q966" s="3578"/>
      <c r="R966" s="3563"/>
      <c r="S966" s="3563"/>
      <c r="T966" s="3579"/>
      <c r="U966" s="3563"/>
      <c r="V966" s="3563"/>
      <c r="W966" s="3578"/>
      <c r="X966" s="3578"/>
      <c r="Y966" s="3578"/>
      <c r="Z966" s="3578"/>
      <c r="AA966" s="3578"/>
      <c r="AB966" s="3563"/>
      <c r="AC966" s="3578"/>
      <c r="AD966" s="3578"/>
      <c r="AE966" s="3578"/>
      <c r="AF966" s="3578"/>
      <c r="AG966" s="3576"/>
      <c r="AH966" s="3576"/>
      <c r="AI966" s="3580"/>
      <c r="AJ966" s="3581"/>
      <c r="AK966" s="3582"/>
      <c r="AL966" s="3582"/>
      <c r="AM966" s="3582"/>
      <c r="AN966" s="3582"/>
      <c r="AO966" s="3582"/>
      <c r="AP966" s="3582"/>
      <c r="AQ966" s="3582"/>
      <c r="AR966" s="3576"/>
      <c r="AS966" s="3576"/>
      <c r="AT966" s="3576"/>
      <c r="AU966" s="3576"/>
      <c r="AV966" s="3563"/>
      <c r="AW966" s="3565"/>
      <c r="AX966" s="3565"/>
      <c r="AY966" s="3565"/>
      <c r="AZ966" s="3565"/>
      <c r="BA966" s="3565"/>
      <c r="BB966" s="3565"/>
      <c r="BC966" s="3565"/>
      <c r="BD966" s="3565"/>
      <c r="BE966" s="3572"/>
      <c r="BF966" s="3572"/>
      <c r="BG966" s="3572"/>
      <c r="BH966" s="3572"/>
      <c r="BI966" s="3572"/>
      <c r="BJ966" s="3572"/>
      <c r="BK966" s="3572"/>
      <c r="BL966" s="3572"/>
      <c r="BM966" s="4024"/>
      <c r="BN966" s="4024"/>
      <c r="BO966" s="3572"/>
      <c r="BP966" s="3572"/>
      <c r="BQ966" s="3572"/>
    </row>
    <row r="967" s="3565" customFormat="1" spans="1:69">
      <c r="A967" s="3575"/>
      <c r="B967" s="3576"/>
      <c r="C967" s="3576"/>
      <c r="D967" s="3563"/>
      <c r="E967" s="3563"/>
      <c r="F967" s="3576"/>
      <c r="G967" s="3576"/>
      <c r="H967" s="3563"/>
      <c r="I967" s="3563"/>
      <c r="J967" s="3563"/>
      <c r="K967" s="3563"/>
      <c r="L967" s="3563"/>
      <c r="M967" s="3563"/>
      <c r="N967" s="3577"/>
      <c r="O967" s="3563"/>
      <c r="P967" s="3576"/>
      <c r="Q967" s="3578"/>
      <c r="R967" s="3563"/>
      <c r="S967" s="3563"/>
      <c r="T967" s="3579"/>
      <c r="U967" s="3563"/>
      <c r="V967" s="3563"/>
      <c r="W967" s="3578"/>
      <c r="X967" s="3578"/>
      <c r="Y967" s="3578"/>
      <c r="Z967" s="3578"/>
      <c r="AA967" s="3578"/>
      <c r="AB967" s="3563"/>
      <c r="AC967" s="3578"/>
      <c r="AD967" s="3578"/>
      <c r="AE967" s="3578"/>
      <c r="AF967" s="3578"/>
      <c r="AG967" s="3576"/>
      <c r="AH967" s="3576"/>
      <c r="AI967" s="3580"/>
      <c r="AJ967" s="3581"/>
      <c r="AK967" s="3582"/>
      <c r="AL967" s="3582"/>
      <c r="AM967" s="3582"/>
      <c r="AN967" s="3582"/>
      <c r="AO967" s="3582"/>
      <c r="AP967" s="3582"/>
      <c r="AQ967" s="3582"/>
      <c r="AR967" s="3576"/>
      <c r="AS967" s="3576"/>
      <c r="AT967" s="3576"/>
      <c r="AU967" s="3576"/>
      <c r="AV967" s="3563"/>
      <c r="AW967" s="3565"/>
      <c r="AX967" s="3565"/>
      <c r="AY967" s="3565"/>
      <c r="AZ967" s="3565"/>
      <c r="BA967" s="3565"/>
      <c r="BB967" s="3565"/>
      <c r="BC967" s="3565"/>
      <c r="BD967" s="3565"/>
      <c r="BE967" s="3572"/>
      <c r="BF967" s="3572"/>
      <c r="BG967" s="3572"/>
      <c r="BH967" s="3572"/>
      <c r="BI967" s="3572"/>
      <c r="BJ967" s="3572"/>
      <c r="BK967" s="3572"/>
      <c r="BL967" s="3572"/>
      <c r="BM967" s="3572"/>
      <c r="BN967" s="3572"/>
      <c r="BO967" s="3572"/>
      <c r="BP967" s="3572"/>
      <c r="BQ967" s="3572"/>
    </row>
    <row r="968" s="3565" customFormat="1" spans="1:69">
      <c r="A968" s="3575"/>
      <c r="B968" s="3576"/>
      <c r="C968" s="3576"/>
      <c r="D968" s="3563"/>
      <c r="E968" s="3563"/>
      <c r="F968" s="3576"/>
      <c r="G968" s="3576"/>
      <c r="H968" s="3563"/>
      <c r="I968" s="3563"/>
      <c r="J968" s="3563"/>
      <c r="K968" s="3563"/>
      <c r="L968" s="3563"/>
      <c r="M968" s="3563"/>
      <c r="N968" s="3577"/>
      <c r="O968" s="3563"/>
      <c r="P968" s="3576"/>
      <c r="Q968" s="3578"/>
      <c r="R968" s="3563"/>
      <c r="S968" s="3563"/>
      <c r="T968" s="3579"/>
      <c r="U968" s="3563"/>
      <c r="V968" s="3563"/>
      <c r="W968" s="3578"/>
      <c r="X968" s="3578"/>
      <c r="Y968" s="3578"/>
      <c r="Z968" s="3578"/>
      <c r="AA968" s="3578"/>
      <c r="AB968" s="3563"/>
      <c r="AC968" s="3578"/>
      <c r="AD968" s="3578"/>
      <c r="AE968" s="3578"/>
      <c r="AF968" s="3578"/>
      <c r="AG968" s="3576"/>
      <c r="AH968" s="3576"/>
      <c r="AI968" s="3580"/>
      <c r="AJ968" s="3581"/>
      <c r="AK968" s="3582"/>
      <c r="AL968" s="3582"/>
      <c r="AM968" s="3582"/>
      <c r="AN968" s="3582"/>
      <c r="AO968" s="3582"/>
      <c r="AP968" s="3582"/>
      <c r="AQ968" s="3582"/>
      <c r="AR968" s="3576"/>
      <c r="AS968" s="3576"/>
      <c r="AT968" s="3576"/>
      <c r="AU968" s="3576"/>
      <c r="AV968" s="3563"/>
      <c r="AW968" s="3565"/>
      <c r="AX968" s="3565"/>
      <c r="AY968" s="3565"/>
      <c r="AZ968" s="3565"/>
      <c r="BA968" s="3565"/>
      <c r="BB968" s="3565"/>
      <c r="BC968" s="3565"/>
      <c r="BD968" s="3565"/>
      <c r="BE968" s="3572"/>
      <c r="BF968" s="3572"/>
      <c r="BG968" s="3572"/>
      <c r="BH968" s="3572"/>
      <c r="BI968" s="3572"/>
      <c r="BJ968" s="3572"/>
      <c r="BK968" s="3572"/>
      <c r="BL968" s="3572"/>
      <c r="BM968" s="3572"/>
      <c r="BN968" s="3572"/>
      <c r="BO968" s="3572"/>
      <c r="BP968" s="3572"/>
      <c r="BQ968" s="3572"/>
    </row>
    <row r="969" s="3565" customFormat="1" spans="1:69">
      <c r="A969" s="3575"/>
      <c r="B969" s="3576"/>
      <c r="C969" s="3576"/>
      <c r="D969" s="3563"/>
      <c r="E969" s="3563"/>
      <c r="F969" s="3576"/>
      <c r="G969" s="3576"/>
      <c r="H969" s="3563"/>
      <c r="I969" s="3563"/>
      <c r="J969" s="3563"/>
      <c r="K969" s="3563"/>
      <c r="L969" s="3563"/>
      <c r="M969" s="3563"/>
      <c r="N969" s="3577"/>
      <c r="O969" s="3563"/>
      <c r="P969" s="3576"/>
      <c r="Q969" s="3578"/>
      <c r="R969" s="3563"/>
      <c r="S969" s="3563"/>
      <c r="T969" s="3579"/>
      <c r="U969" s="3563"/>
      <c r="V969" s="3563"/>
      <c r="W969" s="3578"/>
      <c r="X969" s="3578"/>
      <c r="Y969" s="3578"/>
      <c r="Z969" s="3578"/>
      <c r="AA969" s="3578"/>
      <c r="AB969" s="3563"/>
      <c r="AC969" s="3578"/>
      <c r="AD969" s="3578"/>
      <c r="AE969" s="3578"/>
      <c r="AF969" s="3578"/>
      <c r="AG969" s="3576"/>
      <c r="AH969" s="3576"/>
      <c r="AI969" s="3580"/>
      <c r="AJ969" s="3581"/>
      <c r="AK969" s="3582"/>
      <c r="AL969" s="3582"/>
      <c r="AM969" s="3582"/>
      <c r="AN969" s="3582"/>
      <c r="AO969" s="3582"/>
      <c r="AP969" s="3582"/>
      <c r="AQ969" s="3582"/>
      <c r="AR969" s="3576"/>
      <c r="AS969" s="3576"/>
      <c r="AT969" s="3576"/>
      <c r="AU969" s="3576"/>
      <c r="AV969" s="3563"/>
      <c r="AW969" s="3565"/>
      <c r="AX969" s="3565"/>
      <c r="AY969" s="3565"/>
      <c r="AZ969" s="3565"/>
      <c r="BA969" s="3565"/>
      <c r="BB969" s="3565"/>
      <c r="BC969" s="3565"/>
      <c r="BD969" s="3565"/>
      <c r="BE969" s="3572"/>
      <c r="BF969" s="3572"/>
      <c r="BG969" s="3572"/>
      <c r="BH969" s="3572"/>
      <c r="BI969" s="3572"/>
      <c r="BJ969" s="3572"/>
      <c r="BK969" s="3572"/>
      <c r="BL969" s="3572"/>
      <c r="BM969" s="3572"/>
      <c r="BN969" s="3572"/>
      <c r="BO969" s="3572"/>
      <c r="BP969" s="3572"/>
      <c r="BQ969" s="3572"/>
    </row>
    <row r="970" s="3565" customFormat="1" spans="1:69">
      <c r="A970" s="3575"/>
      <c r="B970" s="3576"/>
      <c r="C970" s="3576"/>
      <c r="D970" s="3563"/>
      <c r="E970" s="3563"/>
      <c r="F970" s="3576"/>
      <c r="G970" s="3576"/>
      <c r="H970" s="3563"/>
      <c r="I970" s="3563"/>
      <c r="J970" s="3563"/>
      <c r="K970" s="3563"/>
      <c r="L970" s="3563"/>
      <c r="M970" s="3563"/>
      <c r="N970" s="3577"/>
      <c r="O970" s="3563"/>
      <c r="P970" s="3576"/>
      <c r="Q970" s="3578"/>
      <c r="R970" s="3563"/>
      <c r="S970" s="3563"/>
      <c r="T970" s="3579"/>
      <c r="U970" s="3563"/>
      <c r="V970" s="3563"/>
      <c r="W970" s="3578"/>
      <c r="X970" s="3578"/>
      <c r="Y970" s="3578"/>
      <c r="Z970" s="3578"/>
      <c r="AA970" s="3578"/>
      <c r="AB970" s="3563"/>
      <c r="AC970" s="3578"/>
      <c r="AD970" s="3578"/>
      <c r="AE970" s="3578"/>
      <c r="AF970" s="3578"/>
      <c r="AG970" s="3576"/>
      <c r="AH970" s="3576"/>
      <c r="AI970" s="3580"/>
      <c r="AJ970" s="3581"/>
      <c r="AK970" s="3582"/>
      <c r="AL970" s="3582"/>
      <c r="AM970" s="3582"/>
      <c r="AN970" s="3582"/>
      <c r="AO970" s="3582"/>
      <c r="AP970" s="3582"/>
      <c r="AQ970" s="3582"/>
      <c r="AR970" s="3576"/>
      <c r="AS970" s="3576"/>
      <c r="AT970" s="3576"/>
      <c r="AU970" s="3576"/>
      <c r="AV970" s="3563"/>
      <c r="AW970" s="3565"/>
      <c r="AX970" s="3565"/>
      <c r="AY970" s="3565"/>
      <c r="AZ970" s="3565"/>
      <c r="BA970" s="3565"/>
      <c r="BB970" s="3565"/>
      <c r="BC970" s="3565"/>
      <c r="BD970" s="3565"/>
      <c r="BE970" s="3572"/>
      <c r="BF970" s="3572"/>
      <c r="BG970" s="3572"/>
      <c r="BH970" s="3572"/>
      <c r="BI970" s="3572"/>
      <c r="BJ970" s="3572"/>
      <c r="BK970" s="3572"/>
      <c r="BL970" s="3572"/>
      <c r="BM970" s="3572"/>
      <c r="BN970" s="3572"/>
      <c r="BO970" s="3572"/>
      <c r="BP970" s="3572"/>
      <c r="BQ970" s="3572"/>
    </row>
    <row r="971" s="3565" customFormat="1" spans="1:69">
      <c r="A971" s="3575"/>
      <c r="B971" s="3576"/>
      <c r="C971" s="3576"/>
      <c r="D971" s="3563"/>
      <c r="E971" s="3563"/>
      <c r="F971" s="3576"/>
      <c r="G971" s="3576"/>
      <c r="H971" s="3563"/>
      <c r="I971" s="3563"/>
      <c r="J971" s="3563"/>
      <c r="K971" s="3563"/>
      <c r="L971" s="3563"/>
      <c r="M971" s="3563"/>
      <c r="N971" s="3577"/>
      <c r="O971" s="3563"/>
      <c r="P971" s="3576"/>
      <c r="Q971" s="3578"/>
      <c r="R971" s="3563"/>
      <c r="S971" s="3563"/>
      <c r="T971" s="3579"/>
      <c r="U971" s="3563"/>
      <c r="V971" s="3563"/>
      <c r="W971" s="3578"/>
      <c r="X971" s="3578"/>
      <c r="Y971" s="3578"/>
      <c r="Z971" s="3578"/>
      <c r="AA971" s="3578"/>
      <c r="AB971" s="3563"/>
      <c r="AC971" s="3578"/>
      <c r="AD971" s="3578"/>
      <c r="AE971" s="3578"/>
      <c r="AF971" s="3578"/>
      <c r="AG971" s="3576"/>
      <c r="AH971" s="3576"/>
      <c r="AI971" s="3580"/>
      <c r="AJ971" s="3581"/>
      <c r="AK971" s="3582"/>
      <c r="AL971" s="3582"/>
      <c r="AM971" s="3582"/>
      <c r="AN971" s="3582"/>
      <c r="AO971" s="3582"/>
      <c r="AP971" s="3582"/>
      <c r="AQ971" s="3582"/>
      <c r="AR971" s="3576"/>
      <c r="AS971" s="3576"/>
      <c r="AT971" s="3576"/>
      <c r="AU971" s="3576"/>
      <c r="AV971" s="3563"/>
      <c r="AW971" s="3565"/>
      <c r="AX971" s="3565"/>
      <c r="AY971" s="3565"/>
      <c r="AZ971" s="3565"/>
      <c r="BA971" s="3565"/>
      <c r="BB971" s="3565"/>
      <c r="BC971" s="3565"/>
      <c r="BD971" s="3565"/>
      <c r="BE971" s="3572"/>
      <c r="BF971" s="3572"/>
      <c r="BG971" s="3572"/>
      <c r="BH971" s="3572"/>
      <c r="BI971" s="3572"/>
      <c r="BJ971" s="3572"/>
      <c r="BK971" s="3572"/>
      <c r="BL971" s="3572"/>
      <c r="BM971" s="3572"/>
      <c r="BN971" s="3572"/>
      <c r="BO971" s="3572"/>
      <c r="BP971" s="3572"/>
      <c r="BQ971" s="3572"/>
    </row>
    <row r="972" s="3565" customFormat="1" spans="1:69">
      <c r="A972" s="3575"/>
      <c r="B972" s="3576"/>
      <c r="C972" s="3576"/>
      <c r="D972" s="3563"/>
      <c r="E972" s="3563"/>
      <c r="F972" s="3576"/>
      <c r="G972" s="3576"/>
      <c r="H972" s="3563"/>
      <c r="I972" s="3563"/>
      <c r="J972" s="3563"/>
      <c r="K972" s="3563"/>
      <c r="L972" s="3563"/>
      <c r="M972" s="3563"/>
      <c r="N972" s="3577"/>
      <c r="O972" s="3563"/>
      <c r="P972" s="3576"/>
      <c r="Q972" s="3578"/>
      <c r="R972" s="3563"/>
      <c r="S972" s="3563"/>
      <c r="T972" s="3579"/>
      <c r="U972" s="3563"/>
      <c r="V972" s="3563"/>
      <c r="W972" s="3578"/>
      <c r="X972" s="3578"/>
      <c r="Y972" s="3578"/>
      <c r="Z972" s="3578"/>
      <c r="AA972" s="3578"/>
      <c r="AB972" s="3563"/>
      <c r="AC972" s="3578"/>
      <c r="AD972" s="3578"/>
      <c r="AE972" s="3578"/>
      <c r="AF972" s="3578"/>
      <c r="AG972" s="3576"/>
      <c r="AH972" s="3576"/>
      <c r="AI972" s="3580"/>
      <c r="AJ972" s="3581"/>
      <c r="AK972" s="3582"/>
      <c r="AL972" s="3582"/>
      <c r="AM972" s="3582"/>
      <c r="AN972" s="3582"/>
      <c r="AO972" s="3582"/>
      <c r="AP972" s="3582"/>
      <c r="AQ972" s="3582"/>
      <c r="AR972" s="3576"/>
      <c r="AS972" s="3576"/>
      <c r="AT972" s="3576"/>
      <c r="AU972" s="3576"/>
      <c r="AV972" s="3563"/>
      <c r="AW972" s="3565"/>
      <c r="AX972" s="3565"/>
      <c r="AY972" s="3565"/>
      <c r="AZ972" s="3565"/>
      <c r="BA972" s="3565"/>
      <c r="BB972" s="3565"/>
      <c r="BC972" s="3565"/>
      <c r="BD972" s="3565"/>
      <c r="BE972" s="3572"/>
      <c r="BF972" s="3572"/>
      <c r="BG972" s="3572"/>
      <c r="BH972" s="3572"/>
      <c r="BI972" s="3572"/>
      <c r="BJ972" s="3572"/>
      <c r="BK972" s="3572"/>
      <c r="BL972" s="3572"/>
      <c r="BM972" s="3572"/>
      <c r="BN972" s="3572"/>
      <c r="BO972" s="3572"/>
      <c r="BP972" s="3572"/>
      <c r="BQ972" s="3572"/>
    </row>
    <row r="973" s="3565" customFormat="1" spans="1:69">
      <c r="A973" s="3575"/>
      <c r="B973" s="3576"/>
      <c r="C973" s="3576"/>
      <c r="D973" s="3563"/>
      <c r="E973" s="3563"/>
      <c r="F973" s="3576"/>
      <c r="G973" s="3576"/>
      <c r="H973" s="3563"/>
      <c r="I973" s="3563"/>
      <c r="J973" s="3563"/>
      <c r="K973" s="3563"/>
      <c r="L973" s="3563"/>
      <c r="M973" s="3563"/>
      <c r="N973" s="3577"/>
      <c r="O973" s="3563"/>
      <c r="P973" s="3576"/>
      <c r="Q973" s="3578"/>
      <c r="R973" s="3563"/>
      <c r="S973" s="3563"/>
      <c r="T973" s="3579"/>
      <c r="U973" s="3563"/>
      <c r="V973" s="3563"/>
      <c r="W973" s="3578"/>
      <c r="X973" s="3578"/>
      <c r="Y973" s="3578"/>
      <c r="Z973" s="3578"/>
      <c r="AA973" s="3578"/>
      <c r="AB973" s="3563"/>
      <c r="AC973" s="3578"/>
      <c r="AD973" s="3578"/>
      <c r="AE973" s="3578"/>
      <c r="AF973" s="3578"/>
      <c r="AG973" s="3576"/>
      <c r="AH973" s="3576"/>
      <c r="AI973" s="3580"/>
      <c r="AJ973" s="3581"/>
      <c r="AK973" s="3582"/>
      <c r="AL973" s="3582"/>
      <c r="AM973" s="3582"/>
      <c r="AN973" s="3582"/>
      <c r="AO973" s="3582"/>
      <c r="AP973" s="3582"/>
      <c r="AQ973" s="3582"/>
      <c r="AR973" s="3576"/>
      <c r="AS973" s="3576"/>
      <c r="AT973" s="3576"/>
      <c r="AU973" s="3576"/>
      <c r="AV973" s="3563"/>
      <c r="AW973" s="3565"/>
      <c r="AX973" s="3565"/>
      <c r="AY973" s="3565"/>
      <c r="AZ973" s="3565"/>
      <c r="BA973" s="3565"/>
      <c r="BB973" s="3565"/>
      <c r="BC973" s="3565"/>
      <c r="BD973" s="3565"/>
      <c r="BE973" s="3572"/>
      <c r="BF973" s="3572"/>
      <c r="BG973" s="3572"/>
      <c r="BH973" s="3572"/>
      <c r="BI973" s="3572"/>
      <c r="BJ973" s="3572"/>
      <c r="BK973" s="3572"/>
      <c r="BL973" s="3572"/>
      <c r="BM973" s="3572"/>
      <c r="BN973" s="3572"/>
      <c r="BO973" s="3572"/>
      <c r="BP973" s="3572"/>
      <c r="BQ973" s="3572"/>
    </row>
    <row r="974" s="3565" customFormat="1" spans="1:69">
      <c r="A974" s="3575"/>
      <c r="B974" s="3576"/>
      <c r="C974" s="3576"/>
      <c r="D974" s="3563"/>
      <c r="E974" s="3563"/>
      <c r="F974" s="3576"/>
      <c r="G974" s="3576"/>
      <c r="H974" s="3563"/>
      <c r="I974" s="3563"/>
      <c r="J974" s="3563"/>
      <c r="K974" s="3563"/>
      <c r="L974" s="3563"/>
      <c r="M974" s="3563"/>
      <c r="N974" s="3577"/>
      <c r="O974" s="3563"/>
      <c r="P974" s="3576"/>
      <c r="Q974" s="3578"/>
      <c r="R974" s="3563"/>
      <c r="S974" s="3563"/>
      <c r="T974" s="3579"/>
      <c r="U974" s="3563"/>
      <c r="V974" s="3563"/>
      <c r="W974" s="3578"/>
      <c r="X974" s="3578"/>
      <c r="Y974" s="3578"/>
      <c r="Z974" s="3578"/>
      <c r="AA974" s="3578"/>
      <c r="AB974" s="3563"/>
      <c r="AC974" s="3578"/>
      <c r="AD974" s="3578"/>
      <c r="AE974" s="3578"/>
      <c r="AF974" s="3578"/>
      <c r="AG974" s="3576"/>
      <c r="AH974" s="3576"/>
      <c r="AI974" s="3580"/>
      <c r="AJ974" s="3581"/>
      <c r="AK974" s="3582"/>
      <c r="AL974" s="3582"/>
      <c r="AM974" s="3582"/>
      <c r="AN974" s="3582"/>
      <c r="AO974" s="3582"/>
      <c r="AP974" s="3582"/>
      <c r="AQ974" s="3582"/>
      <c r="AR974" s="3576"/>
      <c r="AS974" s="3576"/>
      <c r="AT974" s="3576"/>
      <c r="AU974" s="3576"/>
      <c r="AV974" s="3563"/>
      <c r="AW974" s="3565"/>
      <c r="AX974" s="3565"/>
      <c r="AY974" s="3565"/>
      <c r="AZ974" s="3565"/>
      <c r="BA974" s="3565"/>
      <c r="BB974" s="3565"/>
      <c r="BC974" s="3565"/>
      <c r="BD974" s="3565"/>
      <c r="BE974" s="3572"/>
      <c r="BF974" s="3572"/>
      <c r="BG974" s="3572"/>
      <c r="BH974" s="3572"/>
      <c r="BI974" s="3572"/>
      <c r="BJ974" s="3572"/>
      <c r="BK974" s="3572"/>
      <c r="BL974" s="3572"/>
      <c r="BM974" s="3572"/>
      <c r="BN974" s="3572"/>
      <c r="BO974" s="3572"/>
      <c r="BP974" s="3572"/>
      <c r="BQ974" s="3572"/>
    </row>
    <row r="975" s="3565" customFormat="1" spans="1:69">
      <c r="A975" s="3575"/>
      <c r="B975" s="3576"/>
      <c r="C975" s="3576"/>
      <c r="D975" s="3563"/>
      <c r="E975" s="3563"/>
      <c r="F975" s="3576"/>
      <c r="G975" s="3576"/>
      <c r="H975" s="3563"/>
      <c r="I975" s="3563"/>
      <c r="J975" s="3563"/>
      <c r="K975" s="3563"/>
      <c r="L975" s="3563"/>
      <c r="M975" s="3563"/>
      <c r="N975" s="3577"/>
      <c r="O975" s="3563"/>
      <c r="P975" s="3576"/>
      <c r="Q975" s="3578"/>
      <c r="R975" s="3563"/>
      <c r="S975" s="3563"/>
      <c r="T975" s="3579"/>
      <c r="U975" s="3563"/>
      <c r="V975" s="3563"/>
      <c r="W975" s="3578"/>
      <c r="X975" s="3578"/>
      <c r="Y975" s="3578"/>
      <c r="Z975" s="3578"/>
      <c r="AA975" s="3578"/>
      <c r="AB975" s="3563"/>
      <c r="AC975" s="3578"/>
      <c r="AD975" s="3578"/>
      <c r="AE975" s="3578"/>
      <c r="AF975" s="3578"/>
      <c r="AG975" s="3576"/>
      <c r="AH975" s="3576"/>
      <c r="AI975" s="3580"/>
      <c r="AJ975" s="3581"/>
      <c r="AK975" s="3582"/>
      <c r="AL975" s="3582"/>
      <c r="AM975" s="3582"/>
      <c r="AN975" s="3582"/>
      <c r="AO975" s="3582"/>
      <c r="AP975" s="3582"/>
      <c r="AQ975" s="3582"/>
      <c r="AR975" s="3576"/>
      <c r="AS975" s="3576"/>
      <c r="AT975" s="3576"/>
      <c r="AU975" s="3576"/>
      <c r="AV975" s="3563"/>
      <c r="AW975" s="3565"/>
      <c r="AX975" s="3565"/>
      <c r="AY975" s="3565"/>
      <c r="AZ975" s="3565"/>
      <c r="BA975" s="3565"/>
      <c r="BB975" s="3565"/>
      <c r="BC975" s="3565"/>
      <c r="BD975" s="3565"/>
      <c r="BE975" s="3572"/>
      <c r="BF975" s="3572"/>
      <c r="BG975" s="3572"/>
      <c r="BH975" s="3572"/>
      <c r="BI975" s="3572"/>
      <c r="BJ975" s="3572"/>
      <c r="BK975" s="3572"/>
      <c r="BL975" s="3572"/>
      <c r="BM975" s="3572"/>
      <c r="BN975" s="3572"/>
      <c r="BO975" s="3572"/>
      <c r="BP975" s="3572"/>
      <c r="BQ975" s="3572"/>
    </row>
    <row r="976" s="3565" customFormat="1" spans="1:69">
      <c r="A976" s="3575"/>
      <c r="B976" s="3576"/>
      <c r="C976" s="3576"/>
      <c r="D976" s="3563"/>
      <c r="E976" s="3563"/>
      <c r="F976" s="3576"/>
      <c r="G976" s="3576"/>
      <c r="H976" s="3563"/>
      <c r="I976" s="3563"/>
      <c r="J976" s="3563"/>
      <c r="K976" s="3563"/>
      <c r="L976" s="3563"/>
      <c r="M976" s="3563"/>
      <c r="N976" s="3577"/>
      <c r="O976" s="3563"/>
      <c r="P976" s="3576"/>
      <c r="Q976" s="3578"/>
      <c r="R976" s="3563"/>
      <c r="S976" s="3563"/>
      <c r="T976" s="3579"/>
      <c r="U976" s="3563"/>
      <c r="V976" s="3563"/>
      <c r="W976" s="3578"/>
      <c r="X976" s="3578"/>
      <c r="Y976" s="3578"/>
      <c r="Z976" s="3578"/>
      <c r="AA976" s="3578"/>
      <c r="AB976" s="3563"/>
      <c r="AC976" s="3578"/>
      <c r="AD976" s="3578"/>
      <c r="AE976" s="3578"/>
      <c r="AF976" s="3578"/>
      <c r="AG976" s="3576"/>
      <c r="AH976" s="3576"/>
      <c r="AI976" s="3580"/>
      <c r="AJ976" s="3581"/>
      <c r="AK976" s="3582"/>
      <c r="AL976" s="3582"/>
      <c r="AM976" s="3582"/>
      <c r="AN976" s="3582"/>
      <c r="AO976" s="3582"/>
      <c r="AP976" s="3582"/>
      <c r="AQ976" s="3582"/>
      <c r="AR976" s="3576"/>
      <c r="AS976" s="3576"/>
      <c r="AT976" s="3576"/>
      <c r="AU976" s="3576"/>
      <c r="AV976" s="3563"/>
      <c r="AW976" s="3565"/>
      <c r="AX976" s="3565"/>
      <c r="AY976" s="3565"/>
      <c r="AZ976" s="3565"/>
      <c r="BA976" s="3565"/>
      <c r="BB976" s="3565"/>
      <c r="BC976" s="3565"/>
      <c r="BD976" s="3565"/>
      <c r="BE976" s="3572"/>
      <c r="BF976" s="3572"/>
      <c r="BG976" s="3572"/>
      <c r="BH976" s="3572"/>
      <c r="BI976" s="3572"/>
      <c r="BJ976" s="3572"/>
      <c r="BK976" s="3572"/>
      <c r="BL976" s="3572"/>
      <c r="BM976" s="3572"/>
      <c r="BN976" s="3572"/>
      <c r="BO976" s="3572"/>
      <c r="BP976" s="3572"/>
      <c r="BQ976" s="3572"/>
    </row>
    <row r="977" s="3565" customFormat="1" spans="1:69">
      <c r="A977" s="3575"/>
      <c r="B977" s="3576"/>
      <c r="C977" s="3576"/>
      <c r="D977" s="3563"/>
      <c r="E977" s="3563"/>
      <c r="F977" s="3576"/>
      <c r="G977" s="3576"/>
      <c r="H977" s="3563"/>
      <c r="I977" s="3563"/>
      <c r="J977" s="3563"/>
      <c r="K977" s="3563"/>
      <c r="L977" s="3563"/>
      <c r="M977" s="3563"/>
      <c r="N977" s="3577"/>
      <c r="O977" s="3563"/>
      <c r="P977" s="3576"/>
      <c r="Q977" s="3578"/>
      <c r="R977" s="3563"/>
      <c r="S977" s="3563"/>
      <c r="T977" s="3579"/>
      <c r="U977" s="3563"/>
      <c r="V977" s="3563"/>
      <c r="W977" s="3578"/>
      <c r="X977" s="3578"/>
      <c r="Y977" s="3578"/>
      <c r="Z977" s="3578"/>
      <c r="AA977" s="3578"/>
      <c r="AB977" s="3563"/>
      <c r="AC977" s="3578"/>
      <c r="AD977" s="3578"/>
      <c r="AE977" s="3578"/>
      <c r="AF977" s="3578"/>
      <c r="AG977" s="3576"/>
      <c r="AH977" s="3576"/>
      <c r="AI977" s="3580"/>
      <c r="AJ977" s="3581"/>
      <c r="AK977" s="3582"/>
      <c r="AL977" s="3582"/>
      <c r="AM977" s="3582"/>
      <c r="AN977" s="3582"/>
      <c r="AO977" s="3582"/>
      <c r="AP977" s="3582"/>
      <c r="AQ977" s="3582"/>
      <c r="AR977" s="3576"/>
      <c r="AS977" s="3576"/>
      <c r="AT977" s="3576"/>
      <c r="AU977" s="3576"/>
      <c r="AV977" s="3563"/>
      <c r="AW977" s="3565"/>
      <c r="AX977" s="3565"/>
      <c r="AY977" s="3565"/>
      <c r="AZ977" s="3565"/>
      <c r="BA977" s="3565"/>
      <c r="BB977" s="3565"/>
      <c r="BC977" s="3565"/>
      <c r="BD977" s="3565"/>
      <c r="BE977" s="3572"/>
      <c r="BF977" s="3572"/>
      <c r="BG977" s="3572"/>
      <c r="BH977" s="3572"/>
      <c r="BI977" s="3572"/>
      <c r="BJ977" s="3572"/>
      <c r="BK977" s="3572"/>
      <c r="BL977" s="3572"/>
      <c r="BM977" s="3572"/>
      <c r="BN977" s="3572"/>
      <c r="BO977" s="3572"/>
      <c r="BP977" s="3572"/>
      <c r="BQ977" s="3572"/>
    </row>
  </sheetData>
  <sheetProtection selectLockedCells="1" autoFilter="0"/>
  <autoFilter xmlns:etc="http://www.wps.cn/officeDocument/2017/etCustomData" ref="A3:XFD977" etc:filterBottomFollowUsedRange="1">
    <extLst/>
  </autoFilter>
  <mergeCells count="5">
    <mergeCell ref="K2:M2"/>
    <mergeCell ref="O2:P2"/>
    <mergeCell ref="AG2:AI2"/>
    <mergeCell ref="AJ2:AK2"/>
    <mergeCell ref="AL2:AM2"/>
  </mergeCells>
  <conditionalFormatting sqref="R3:S3">
    <cfRule type="cellIs" dxfId="0" priority="706" operator="equal">
      <formula>"欠"</formula>
    </cfRule>
  </conditionalFormatting>
  <conditionalFormatting sqref="T3">
    <cfRule type="cellIs" dxfId="0" priority="705" operator="equal">
      <formula>"欠"</formula>
    </cfRule>
  </conditionalFormatting>
  <conditionalFormatting sqref="T8">
    <cfRule type="containsText" dxfId="1" priority="679" operator="between" text="欠">
      <formula>NOT(ISERROR(SEARCH("欠",T8)))</formula>
    </cfRule>
  </conditionalFormatting>
  <conditionalFormatting sqref="R17">
    <cfRule type="containsText" dxfId="1" priority="665" operator="between" text="欠">
      <formula>NOT(ISERROR(SEARCH("欠",R17)))</formula>
    </cfRule>
  </conditionalFormatting>
  <conditionalFormatting sqref="S17:T17">
    <cfRule type="containsText" dxfId="1" priority="667" operator="between" text="欠">
      <formula>NOT(ISERROR(SEARCH("欠",S17)))</formula>
    </cfRule>
  </conditionalFormatting>
  <conditionalFormatting sqref="R20">
    <cfRule type="containsText" dxfId="1" priority="657" operator="between" text="欠">
      <formula>NOT(ISERROR(SEARCH("欠",R20)))</formula>
    </cfRule>
  </conditionalFormatting>
  <conditionalFormatting sqref="U20">
    <cfRule type="containsText" dxfId="1" priority="641" operator="between" text="欠">
      <formula>NOT(ISERROR(SEARCH("欠",U20)))</formula>
    </cfRule>
  </conditionalFormatting>
  <conditionalFormatting sqref="R21">
    <cfRule type="containsText" dxfId="1" priority="659" operator="between" text="欠">
      <formula>NOT(ISERROR(SEARCH("欠",R21)))</formula>
    </cfRule>
  </conditionalFormatting>
  <conditionalFormatting sqref="U21">
    <cfRule type="containsText" dxfId="1" priority="647" operator="between" text="欠">
      <formula>NOT(ISERROR(SEARCH("欠",U21)))</formula>
    </cfRule>
  </conditionalFormatting>
  <conditionalFormatting sqref="T22">
    <cfRule type="containsText" dxfId="1" priority="663" operator="between" text="欠">
      <formula>NOT(ISERROR(SEARCH("欠",T22)))</formula>
    </cfRule>
  </conditionalFormatting>
  <conditionalFormatting sqref="T23">
    <cfRule type="containsText" dxfId="1" priority="683" operator="between" text="欠">
      <formula>NOT(ISERROR(SEARCH("欠",T23)))</formula>
    </cfRule>
  </conditionalFormatting>
  <conditionalFormatting sqref="R24">
    <cfRule type="containsText" dxfId="1" priority="675" operator="between" text="欠">
      <formula>NOT(ISERROR(SEARCH("欠",R24)))</formula>
    </cfRule>
  </conditionalFormatting>
  <conditionalFormatting sqref="T25">
    <cfRule type="containsText" dxfId="1" priority="671" operator="between" text="欠">
      <formula>NOT(ISERROR(SEARCH("欠",T25)))</formula>
    </cfRule>
  </conditionalFormatting>
  <conditionalFormatting sqref="R26:T26">
    <cfRule type="containsText" dxfId="1" priority="625" operator="between" text="欠">
      <formula>NOT(ISERROR(SEARCH("欠",R26)))</formula>
    </cfRule>
  </conditionalFormatting>
  <conditionalFormatting sqref="R27:T27">
    <cfRule type="containsText" dxfId="1" priority="645" operator="between" text="欠">
      <formula>NOT(ISERROR(SEARCH("欠",R27)))</formula>
    </cfRule>
  </conditionalFormatting>
  <conditionalFormatting sqref="R29">
    <cfRule type="containsText" dxfId="1" priority="629" operator="between" text="欠">
      <formula>NOT(ISERROR(SEARCH("欠",R29)))</formula>
    </cfRule>
  </conditionalFormatting>
  <conditionalFormatting sqref="S29">
    <cfRule type="containsText" dxfId="1" priority="631" operator="between" text="欠">
      <formula>NOT(ISERROR(SEARCH("欠",S29)))</formula>
    </cfRule>
  </conditionalFormatting>
  <conditionalFormatting sqref="T29">
    <cfRule type="containsText" dxfId="1" priority="627" operator="between" text="欠">
      <formula>NOT(ISERROR(SEARCH("欠",T29)))</formula>
    </cfRule>
  </conditionalFormatting>
  <conditionalFormatting sqref="U29">
    <cfRule type="containsText" dxfId="1" priority="621" operator="between" text="欠">
      <formula>NOT(ISERROR(SEARCH("欠",U29)))</formula>
    </cfRule>
  </conditionalFormatting>
  <conditionalFormatting sqref="R36:T36">
    <cfRule type="containsText" dxfId="1" priority="612" operator="between" text="欠">
      <formula>NOT(ISERROR(SEARCH("欠",R36)))</formula>
    </cfRule>
  </conditionalFormatting>
  <conditionalFormatting sqref="R37:S37">
    <cfRule type="containsText" dxfId="1" priority="609" operator="between" text="欠">
      <formula>NOT(ISERROR(SEARCH("欠",R37)))</formula>
    </cfRule>
  </conditionalFormatting>
  <conditionalFormatting sqref="T37">
    <cfRule type="containsText" dxfId="1" priority="607" operator="between" text="欠">
      <formula>NOT(ISERROR(SEARCH("欠",T37)))</formula>
    </cfRule>
  </conditionalFormatting>
  <conditionalFormatting sqref="T38">
    <cfRule type="containsText" dxfId="1" priority="550" operator="between" text="欠">
      <formula>NOT(ISERROR(SEARCH("欠",T38)))</formula>
    </cfRule>
  </conditionalFormatting>
  <conditionalFormatting sqref="U38">
    <cfRule type="containsText" dxfId="1" priority="592" operator="between" text="欠">
      <formula>NOT(ISERROR(SEARCH("欠",U38)))</formula>
    </cfRule>
  </conditionalFormatting>
  <conditionalFormatting sqref="T39">
    <cfRule type="containsText" dxfId="1" priority="540" operator="between" text="欠">
      <formula>NOT(ISERROR(SEARCH("欠",T39)))</formula>
    </cfRule>
  </conditionalFormatting>
  <conditionalFormatting sqref="U39">
    <cfRule type="containsText" dxfId="1" priority="591" operator="between" text="欠">
      <formula>NOT(ISERROR(SEARCH("欠",U39)))</formula>
    </cfRule>
  </conditionalFormatting>
  <conditionalFormatting sqref="R40:S40">
    <cfRule type="containsText" dxfId="1" priority="595" operator="between" text="欠">
      <formula>NOT(ISERROR(SEARCH("欠",R40)))</formula>
    </cfRule>
  </conditionalFormatting>
  <conditionalFormatting sqref="T40">
    <cfRule type="containsText" dxfId="1" priority="593" operator="between" text="欠">
      <formula>NOT(ISERROR(SEARCH("欠",T40)))</formula>
    </cfRule>
  </conditionalFormatting>
  <conditionalFormatting sqref="R41:S41">
    <cfRule type="containsText" dxfId="1" priority="556" operator="between" text="欠">
      <formula>NOT(ISERROR(SEARCH("欠",R41)))</formula>
    </cfRule>
  </conditionalFormatting>
  <conditionalFormatting sqref="T41">
    <cfRule type="containsText" dxfId="1" priority="548" operator="between" text="欠">
      <formula>NOT(ISERROR(SEARCH("欠",T41)))</formula>
    </cfRule>
  </conditionalFormatting>
  <conditionalFormatting sqref="R43">
    <cfRule type="containsText" dxfId="1" priority="551" operator="between" text="欠">
      <formula>NOT(ISERROR(SEARCH("欠",R43)))</formula>
    </cfRule>
  </conditionalFormatting>
  <conditionalFormatting sqref="S43">
    <cfRule type="containsText" dxfId="1" priority="573" operator="between" text="欠">
      <formula>NOT(ISERROR(SEARCH("欠",S43)))</formula>
    </cfRule>
  </conditionalFormatting>
  <conditionalFormatting sqref="T43">
    <cfRule type="containsText" dxfId="1" priority="444" operator="between" text="欠">
      <formula>NOT(ISERROR(SEARCH("欠",T43)))</formula>
    </cfRule>
  </conditionalFormatting>
  <conditionalFormatting sqref="U43">
    <cfRule type="containsText" dxfId="1" priority="579" operator="between" text="欠">
      <formula>NOT(ISERROR(SEARCH("欠",U43)))</formula>
    </cfRule>
  </conditionalFormatting>
  <conditionalFormatting sqref="Q44">
    <cfRule type="containsText" dxfId="1" priority="599" operator="between" text="欠">
      <formula>NOT(ISERROR(SEARCH("欠",Q44)))</formula>
    </cfRule>
  </conditionalFormatting>
  <conditionalFormatting sqref="T44">
    <cfRule type="containsText" dxfId="1" priority="541" operator="between" text="欠">
      <formula>NOT(ISERROR(SEARCH("欠",T44)))</formula>
    </cfRule>
  </conditionalFormatting>
  <conditionalFormatting sqref="R50">
    <cfRule type="containsText" dxfId="1" priority="448" operator="between" text="欠">
      <formula>NOT(ISERROR(SEARCH("欠",R50)))</formula>
    </cfRule>
  </conditionalFormatting>
  <conditionalFormatting sqref="T50">
    <cfRule type="containsText" dxfId="1" priority="450" operator="between" text="欠">
      <formula>NOT(ISERROR(SEARCH("欠",T50)))</formula>
    </cfRule>
  </conditionalFormatting>
  <conditionalFormatting sqref="U50">
    <cfRule type="containsText" dxfId="1" priority="567" operator="between" text="欠">
      <formula>NOT(ISERROR(SEARCH("欠",U50)))</formula>
    </cfRule>
  </conditionalFormatting>
  <conditionalFormatting sqref="R56:T56">
    <cfRule type="containsText" dxfId="1" priority="458" operator="between" text="欠">
      <formula>NOT(ISERROR(SEARCH("欠",R56)))</formula>
    </cfRule>
  </conditionalFormatting>
  <conditionalFormatting sqref="U56">
    <cfRule type="containsText" dxfId="1" priority="475" operator="between" text="欠">
      <formula>NOT(ISERROR(SEARCH("欠",U56)))</formula>
    </cfRule>
  </conditionalFormatting>
  <conditionalFormatting sqref="R57">
    <cfRule type="containsText" dxfId="1" priority="442" operator="between" text="欠">
      <formula>NOT(ISERROR(SEARCH("欠",R57)))</formula>
    </cfRule>
  </conditionalFormatting>
  <conditionalFormatting sqref="S57">
    <cfRule type="containsText" dxfId="1" priority="487" operator="between" text="欠">
      <formula>NOT(ISERROR(SEARCH("欠",S57)))</formula>
    </cfRule>
  </conditionalFormatting>
  <conditionalFormatting sqref="T57">
    <cfRule type="containsText" dxfId="1" priority="489" operator="between" text="欠">
      <formula>NOT(ISERROR(SEARCH("欠",T57)))</formula>
    </cfRule>
  </conditionalFormatting>
  <conditionalFormatting sqref="R60">
    <cfRule type="containsText" dxfId="1" priority="426" operator="between" text="欠">
      <formula>NOT(ISERROR(SEARCH("欠",R60)))</formula>
    </cfRule>
  </conditionalFormatting>
  <conditionalFormatting sqref="R63">
    <cfRule type="containsText" dxfId="1" priority="482" operator="between" text="欠">
      <formula>NOT(ISERROR(SEARCH("欠",R63)))</formula>
    </cfRule>
  </conditionalFormatting>
  <conditionalFormatting sqref="T63">
    <cfRule type="containsText" dxfId="1" priority="431" operator="between" text="欠">
      <formula>NOT(ISERROR(SEARCH("欠",T63)))</formula>
    </cfRule>
  </conditionalFormatting>
  <conditionalFormatting sqref="R64">
    <cfRule type="containsText" dxfId="1" priority="425" operator="between" text="欠">
      <formula>NOT(ISERROR(SEARCH("欠",R64)))</formula>
    </cfRule>
  </conditionalFormatting>
  <conditionalFormatting sqref="R76">
    <cfRule type="containsText" dxfId="1" priority="412" operator="between" text="欠">
      <formula>NOT(ISERROR(SEARCH("欠",R76)))</formula>
    </cfRule>
  </conditionalFormatting>
  <conditionalFormatting sqref="T76">
    <cfRule type="containsText" dxfId="1" priority="411" operator="between" text="欠">
      <formula>NOT(ISERROR(SEARCH("欠",T76)))</formula>
    </cfRule>
  </conditionalFormatting>
  <conditionalFormatting sqref="R77">
    <cfRule type="containsText" dxfId="1" priority="377" operator="between" text="欠">
      <formula>NOT(ISERROR(SEARCH("欠",R77)))</formula>
    </cfRule>
  </conditionalFormatting>
  <conditionalFormatting sqref="S77">
    <cfRule type="containsText" dxfId="1" priority="389" operator="between" text="欠">
      <formula>NOT(ISERROR(SEARCH("欠",S77)))</formula>
    </cfRule>
  </conditionalFormatting>
  <conditionalFormatting sqref="T77">
    <cfRule type="containsText" dxfId="1" priority="388" operator="between" text="欠">
      <formula>NOT(ISERROR(SEARCH("欠",T77)))</formula>
    </cfRule>
  </conditionalFormatting>
  <conditionalFormatting sqref="U77">
    <cfRule type="containsText" dxfId="1" priority="387" operator="between" text="欠">
      <formula>NOT(ISERROR(SEARCH("欠",U77)))</formula>
    </cfRule>
  </conditionalFormatting>
  <conditionalFormatting sqref="T78">
    <cfRule type="containsText" dxfId="1" priority="405" operator="between" text="欠">
      <formula>NOT(ISERROR(SEARCH("欠",T78)))</formula>
    </cfRule>
  </conditionalFormatting>
  <conditionalFormatting sqref="R89">
    <cfRule type="containsText" dxfId="1" priority="477" operator="between" text="欠">
      <formula>NOT(ISERROR(SEARCH("欠",R89)))</formula>
    </cfRule>
  </conditionalFormatting>
  <conditionalFormatting sqref="S92">
    <cfRule type="containsText" dxfId="1" priority="402" operator="between" text="欠">
      <formula>NOT(ISERROR(SEARCH("欠",S92)))</formula>
    </cfRule>
  </conditionalFormatting>
  <conditionalFormatting sqref="R97">
    <cfRule type="containsText" dxfId="1" priority="390" operator="between" text="欠">
      <formula>NOT(ISERROR(SEARCH("欠",R97)))</formula>
    </cfRule>
  </conditionalFormatting>
  <conditionalFormatting sqref="S97">
    <cfRule type="containsText" dxfId="1" priority="393" operator="between" text="欠">
      <formula>NOT(ISERROR(SEARCH("欠",S97)))</formula>
    </cfRule>
  </conditionalFormatting>
  <conditionalFormatting sqref="T97">
    <cfRule type="containsText" dxfId="1" priority="392" operator="between" text="欠">
      <formula>NOT(ISERROR(SEARCH("欠",T97)))</formula>
    </cfRule>
  </conditionalFormatting>
  <conditionalFormatting sqref="U97">
    <cfRule type="containsText" dxfId="1" priority="391" operator="between" text="欠">
      <formula>NOT(ISERROR(SEARCH("欠",U97)))</formula>
    </cfRule>
  </conditionalFormatting>
  <conditionalFormatting sqref="S98">
    <cfRule type="containsText" dxfId="1" priority="381" operator="between" text="欠">
      <formula>NOT(ISERROR(SEARCH("欠",S98)))</formula>
    </cfRule>
  </conditionalFormatting>
  <conditionalFormatting sqref="T98">
    <cfRule type="containsText" dxfId="1" priority="380" operator="between" text="欠">
      <formula>NOT(ISERROR(SEARCH("欠",T98)))</formula>
    </cfRule>
  </conditionalFormatting>
  <conditionalFormatting sqref="U98">
    <cfRule type="containsText" dxfId="1" priority="379" operator="between" text="欠">
      <formula>NOT(ISERROR(SEARCH("欠",U98)))</formula>
    </cfRule>
  </conditionalFormatting>
  <conditionalFormatting sqref="R99">
    <cfRule type="containsText" dxfId="1" priority="355" operator="between" text="欠">
      <formula>NOT(ISERROR(SEARCH("欠",R99)))</formula>
    </cfRule>
  </conditionalFormatting>
  <conditionalFormatting sqref="S99">
    <cfRule type="containsText" dxfId="1" priority="356" operator="between" text="欠">
      <formula>NOT(ISERROR(SEARCH("欠",S99)))</formula>
    </cfRule>
  </conditionalFormatting>
  <conditionalFormatting sqref="T99">
    <cfRule type="containsText" dxfId="1" priority="354" operator="between" text="欠">
      <formula>NOT(ISERROR(SEARCH("欠",T99)))</formula>
    </cfRule>
  </conditionalFormatting>
  <conditionalFormatting sqref="U99">
    <cfRule type="containsText" dxfId="1" priority="357" operator="between" text="欠">
      <formula>NOT(ISERROR(SEARCH("欠",U99)))</formula>
    </cfRule>
  </conditionalFormatting>
  <conditionalFormatting sqref="S101:T101">
    <cfRule type="containsText" dxfId="1" priority="430" operator="between" text="欠">
      <formula>NOT(ISERROR(SEARCH("欠",S101)))</formula>
    </cfRule>
  </conditionalFormatting>
  <conditionalFormatting sqref="R106">
    <cfRule type="containsText" dxfId="1" priority="359" operator="between" text="欠">
      <formula>NOT(ISERROR(SEARCH("欠",R106)))</formula>
    </cfRule>
  </conditionalFormatting>
  <conditionalFormatting sqref="S110">
    <cfRule type="containsText" dxfId="1" priority="385" operator="between" text="欠">
      <formula>NOT(ISERROR(SEARCH("欠",S110)))</formula>
    </cfRule>
  </conditionalFormatting>
  <conditionalFormatting sqref="T110">
    <cfRule type="containsText" dxfId="1" priority="384" operator="between" text="欠">
      <formula>NOT(ISERROR(SEARCH("欠",T110)))</formula>
    </cfRule>
  </conditionalFormatting>
  <conditionalFormatting sqref="U110">
    <cfRule type="containsText" dxfId="1" priority="383" operator="between" text="欠">
      <formula>NOT(ISERROR(SEARCH("欠",U110)))</formula>
    </cfRule>
  </conditionalFormatting>
  <conditionalFormatting sqref="R114">
    <cfRule type="containsText" dxfId="1" priority="364" operator="between" text="欠">
      <formula>NOT(ISERROR(SEARCH("欠",R114)))</formula>
    </cfRule>
  </conditionalFormatting>
  <conditionalFormatting sqref="S114">
    <cfRule type="containsText" dxfId="1" priority="375" operator="between" text="欠">
      <formula>NOT(ISERROR(SEARCH("欠",S114)))</formula>
    </cfRule>
  </conditionalFormatting>
  <conditionalFormatting sqref="T114">
    <cfRule type="containsText" dxfId="1" priority="286" operator="between" text="欠">
      <formula>NOT(ISERROR(SEARCH("欠",T114)))</formula>
    </cfRule>
  </conditionalFormatting>
  <conditionalFormatting sqref="U114">
    <cfRule type="containsText" dxfId="1" priority="376" operator="between" text="欠">
      <formula>NOT(ISERROR(SEARCH("欠",U114)))</formula>
    </cfRule>
  </conditionalFormatting>
  <conditionalFormatting sqref="R119">
    <cfRule type="containsText" dxfId="1" priority="341" operator="between" text="欠">
      <formula>NOT(ISERROR(SEARCH("欠",R119)))</formula>
    </cfRule>
  </conditionalFormatting>
  <conditionalFormatting sqref="S119">
    <cfRule type="containsText" dxfId="1" priority="342" operator="between" text="欠">
      <formula>NOT(ISERROR(SEARCH("欠",S119)))</formula>
    </cfRule>
  </conditionalFormatting>
  <conditionalFormatting sqref="T119">
    <cfRule type="containsText" dxfId="1" priority="343" operator="between" text="欠">
      <formula>NOT(ISERROR(SEARCH("欠",T119)))</formula>
    </cfRule>
  </conditionalFormatting>
  <conditionalFormatting sqref="U119">
    <cfRule type="containsText" dxfId="1" priority="344" operator="between" text="欠">
      <formula>NOT(ISERROR(SEARCH("欠",U119)))</formula>
    </cfRule>
  </conditionalFormatting>
  <conditionalFormatting sqref="R127">
    <cfRule type="containsText" dxfId="1" priority="349" operator="between" text="欠">
      <formula>NOT(ISERROR(SEARCH("欠",R127)))</formula>
    </cfRule>
  </conditionalFormatting>
  <conditionalFormatting sqref="S128">
    <cfRule type="containsText" dxfId="1" priority="293" operator="between" text="欠">
      <formula>NOT(ISERROR(SEARCH("欠",S128)))</formula>
    </cfRule>
  </conditionalFormatting>
  <conditionalFormatting sqref="T128">
    <cfRule type="containsText" dxfId="1" priority="291" operator="between" text="欠">
      <formula>NOT(ISERROR(SEARCH("欠",T128)))</formula>
    </cfRule>
  </conditionalFormatting>
  <conditionalFormatting sqref="U128">
    <cfRule type="containsText" dxfId="1" priority="250" operator="between" text="欠">
      <formula>NOT(ISERROR(SEARCH("欠",U128)))</formula>
    </cfRule>
  </conditionalFormatting>
  <conditionalFormatting sqref="R129">
    <cfRule type="containsText" dxfId="1" priority="285" operator="between" text="欠">
      <formula>NOT(ISERROR(SEARCH("欠",R129)))</formula>
    </cfRule>
  </conditionalFormatting>
  <conditionalFormatting sqref="S129">
    <cfRule type="containsText" dxfId="1" priority="348" operator="between" text="欠">
      <formula>NOT(ISERROR(SEARCH("欠",S129)))</formula>
    </cfRule>
  </conditionalFormatting>
  <conditionalFormatting sqref="T129">
    <cfRule type="containsText" dxfId="1" priority="347" operator="between" text="欠">
      <formula>NOT(ISERROR(SEARCH("欠",T129)))</formula>
    </cfRule>
  </conditionalFormatting>
  <conditionalFormatting sqref="U129">
    <cfRule type="containsText" dxfId="1" priority="346" operator="between" text="欠">
      <formula>NOT(ISERROR(SEARCH("欠",U129)))</formula>
    </cfRule>
  </conditionalFormatting>
  <conditionalFormatting sqref="T134">
    <cfRule type="containsText" dxfId="1" priority="362" operator="between" text="欠">
      <formula>NOT(ISERROR(SEARCH("欠",T134)))</formula>
    </cfRule>
  </conditionalFormatting>
  <conditionalFormatting sqref="U136">
    <cfRule type="containsText" dxfId="1" priority="268" operator="between" text="欠">
      <formula>NOT(ISERROR(SEARCH("欠",U136)))</formula>
    </cfRule>
  </conditionalFormatting>
  <conditionalFormatting sqref="U137">
    <cfRule type="containsText" dxfId="1" priority="284" operator="between" text="欠">
      <formula>NOT(ISERROR(SEARCH("欠",U137)))</formula>
    </cfRule>
  </conditionalFormatting>
  <conditionalFormatting sqref="U138">
    <cfRule type="containsText" dxfId="1" priority="280" operator="between" text="欠">
      <formula>NOT(ISERROR(SEARCH("欠",U138)))</formula>
    </cfRule>
  </conditionalFormatting>
  <conditionalFormatting sqref="U139">
    <cfRule type="containsText" dxfId="1" priority="276" operator="between" text="欠">
      <formula>NOT(ISERROR(SEARCH("欠",U139)))</formula>
    </cfRule>
  </conditionalFormatting>
  <conditionalFormatting sqref="U140">
    <cfRule type="containsText" dxfId="1" priority="272" operator="between" text="欠">
      <formula>NOT(ISERROR(SEARCH("欠",U140)))</formula>
    </cfRule>
  </conditionalFormatting>
  <conditionalFormatting sqref="R141">
    <cfRule type="containsText" dxfId="1" priority="230" operator="between" text="欠">
      <formula>NOT(ISERROR(SEARCH("欠",R141)))</formula>
    </cfRule>
  </conditionalFormatting>
  <conditionalFormatting sqref="T141">
    <cfRule type="containsText" dxfId="1" priority="229" operator="between" text="欠">
      <formula>NOT(ISERROR(SEARCH("欠",T141)))</formula>
    </cfRule>
  </conditionalFormatting>
  <conditionalFormatting sqref="R143">
    <cfRule type="containsText" dxfId="1" priority="350" operator="between" text="欠">
      <formula>NOT(ISERROR(SEARCH("欠",R143)))</formula>
    </cfRule>
  </conditionalFormatting>
  <conditionalFormatting sqref="S143">
    <cfRule type="containsText" dxfId="1" priority="352" operator="between" text="欠">
      <formula>NOT(ISERROR(SEARCH("欠",S143)))</formula>
    </cfRule>
  </conditionalFormatting>
  <conditionalFormatting sqref="T143">
    <cfRule type="containsText" dxfId="1" priority="228" operator="between" text="欠">
      <formula>NOT(ISERROR(SEARCH("欠",T143)))</formula>
    </cfRule>
  </conditionalFormatting>
  <conditionalFormatting sqref="U143">
    <cfRule type="containsText" dxfId="1" priority="353" operator="between" text="欠">
      <formula>NOT(ISERROR(SEARCH("欠",U143)))</formula>
    </cfRule>
  </conditionalFormatting>
  <conditionalFormatting sqref="R144">
    <cfRule type="containsText" dxfId="1" priority="245" operator="between" text="欠">
      <formula>NOT(ISERROR(SEARCH("欠",R144)))</formula>
    </cfRule>
  </conditionalFormatting>
  <conditionalFormatting sqref="S144">
    <cfRule type="containsText" dxfId="1" priority="249" operator="between" text="欠">
      <formula>NOT(ISERROR(SEARCH("欠",S144)))</formula>
    </cfRule>
  </conditionalFormatting>
  <conditionalFormatting sqref="T144">
    <cfRule type="containsText" dxfId="1" priority="248" operator="between" text="欠">
      <formula>NOT(ISERROR(SEARCH("欠",T144)))</formula>
    </cfRule>
  </conditionalFormatting>
  <conditionalFormatting sqref="U144">
    <cfRule type="containsText" dxfId="1" priority="247" operator="between" text="欠">
      <formula>NOT(ISERROR(SEARCH("欠",U144)))</formula>
    </cfRule>
  </conditionalFormatting>
  <conditionalFormatting sqref="R148">
    <cfRule type="containsText" dxfId="1" priority="243" operator="between" text="欠">
      <formula>NOT(ISERROR(SEARCH("欠",R148)))</formula>
    </cfRule>
  </conditionalFormatting>
  <conditionalFormatting sqref="S148">
    <cfRule type="containsText" dxfId="1" priority="260" operator="between" text="欠">
      <formula>NOT(ISERROR(SEARCH("欠",S148)))</formula>
    </cfRule>
  </conditionalFormatting>
  <conditionalFormatting sqref="T148">
    <cfRule type="containsText" dxfId="1" priority="258" operator="between" text="欠">
      <formula>NOT(ISERROR(SEARCH("欠",T148)))</formula>
    </cfRule>
  </conditionalFormatting>
  <conditionalFormatting sqref="U148">
    <cfRule type="containsText" dxfId="1" priority="257" operator="between" text="欠">
      <formula>NOT(ISERROR(SEARCH("欠",U148)))</formula>
    </cfRule>
  </conditionalFormatting>
  <conditionalFormatting sqref="R152">
    <cfRule type="containsText" dxfId="1" priority="252" operator="between" text="欠">
      <formula>NOT(ISERROR(SEARCH("欠",R152)))</formula>
    </cfRule>
  </conditionalFormatting>
  <conditionalFormatting sqref="S152">
    <cfRule type="containsText" dxfId="1" priority="253" operator="between" text="欠">
      <formula>NOT(ISERROR(SEARCH("欠",S152)))</formula>
    </cfRule>
  </conditionalFormatting>
  <conditionalFormatting sqref="T152">
    <cfRule type="containsText" dxfId="1" priority="251" operator="between" text="欠">
      <formula>NOT(ISERROR(SEARCH("欠",T152)))</formula>
    </cfRule>
  </conditionalFormatting>
  <conditionalFormatting sqref="R153">
    <cfRule type="containsText" dxfId="1" priority="226" operator="between" text="欠">
      <formula>NOT(ISERROR(SEARCH("欠",R153)))</formula>
    </cfRule>
  </conditionalFormatting>
  <conditionalFormatting sqref="T155">
    <cfRule type="containsText" dxfId="1" priority="219" operator="between" text="欠">
      <formula>NOT(ISERROR(SEARCH("欠",T155)))</formula>
    </cfRule>
  </conditionalFormatting>
  <conditionalFormatting sqref="R156">
    <cfRule type="containsText" dxfId="1" priority="244" operator="between" text="欠">
      <formula>NOT(ISERROR(SEARCH("欠",R156)))</formula>
    </cfRule>
  </conditionalFormatting>
  <conditionalFormatting sqref="S156">
    <cfRule type="containsText" dxfId="1" priority="290" operator="between" text="欠">
      <formula>NOT(ISERROR(SEARCH("欠",S156)))</formula>
    </cfRule>
  </conditionalFormatting>
  <conditionalFormatting sqref="T156">
    <cfRule type="containsText" dxfId="1" priority="288" operator="between" text="欠">
      <formula>NOT(ISERROR(SEARCH("欠",T156)))</formula>
    </cfRule>
  </conditionalFormatting>
  <conditionalFormatting sqref="U156">
    <cfRule type="containsText" dxfId="1" priority="218" operator="between" text="欠">
      <formula>NOT(ISERROR(SEARCH("欠",U156)))</formula>
    </cfRule>
  </conditionalFormatting>
  <conditionalFormatting sqref="R157">
    <cfRule type="containsText" dxfId="1" priority="235" operator="between" text="欠">
      <formula>NOT(ISERROR(SEARCH("欠",R157)))</formula>
    </cfRule>
  </conditionalFormatting>
  <conditionalFormatting sqref="S157">
    <cfRule type="containsText" dxfId="1" priority="238" operator="between" text="欠">
      <formula>NOT(ISERROR(SEARCH("欠",S157)))</formula>
    </cfRule>
  </conditionalFormatting>
  <conditionalFormatting sqref="T157">
    <cfRule type="containsText" dxfId="1" priority="234" operator="between" text="欠">
      <formula>NOT(ISERROR(SEARCH("欠",T157)))</formula>
    </cfRule>
  </conditionalFormatting>
  <conditionalFormatting sqref="U157">
    <cfRule type="containsText" dxfId="1" priority="211" operator="between" text="欠">
      <formula>NOT(ISERROR(SEARCH("欠",U157)))</formula>
    </cfRule>
  </conditionalFormatting>
  <conditionalFormatting sqref="R158">
    <cfRule type="containsText" dxfId="1" priority="213" operator="between" text="欠">
      <formula>NOT(ISERROR(SEARCH("欠",R158)))</formula>
    </cfRule>
  </conditionalFormatting>
  <conditionalFormatting sqref="S158">
    <cfRule type="containsText" dxfId="1" priority="223" operator="between" text="欠">
      <formula>NOT(ISERROR(SEARCH("欠",S158)))</formula>
    </cfRule>
  </conditionalFormatting>
  <conditionalFormatting sqref="T158">
    <cfRule type="containsText" dxfId="1" priority="221" operator="between" text="欠">
      <formula>NOT(ISERROR(SEARCH("欠",T158)))</formula>
    </cfRule>
  </conditionalFormatting>
  <conditionalFormatting sqref="U158">
    <cfRule type="containsText" dxfId="1" priority="212" operator="between" text="欠">
      <formula>NOT(ISERROR(SEARCH("欠",U158)))</formula>
    </cfRule>
  </conditionalFormatting>
  <conditionalFormatting sqref="R159">
    <cfRule type="containsText" dxfId="1" priority="215" operator="between" text="欠">
      <formula>NOT(ISERROR(SEARCH("欠",R159)))</formula>
    </cfRule>
  </conditionalFormatting>
  <conditionalFormatting sqref="S159">
    <cfRule type="containsText" dxfId="1" priority="216" operator="between" text="欠">
      <formula>NOT(ISERROR(SEARCH("欠",S159)))</formula>
    </cfRule>
  </conditionalFormatting>
  <conditionalFormatting sqref="T159">
    <cfRule type="containsText" dxfId="1" priority="214" operator="between" text="欠">
      <formula>NOT(ISERROR(SEARCH("欠",T159)))</formula>
    </cfRule>
  </conditionalFormatting>
  <conditionalFormatting sqref="U159">
    <cfRule type="containsText" dxfId="1" priority="217" operator="between" text="欠">
      <formula>NOT(ISERROR(SEARCH("欠",U159)))</formula>
    </cfRule>
  </conditionalFormatting>
  <conditionalFormatting sqref="R160">
    <cfRule type="containsText" dxfId="1" priority="208" operator="between" text="欠">
      <formula>NOT(ISERROR(SEARCH("欠",R160)))</formula>
    </cfRule>
  </conditionalFormatting>
  <conditionalFormatting sqref="S160">
    <cfRule type="containsText" dxfId="1" priority="209" operator="between" text="欠">
      <formula>NOT(ISERROR(SEARCH("欠",S160)))</formula>
    </cfRule>
  </conditionalFormatting>
  <conditionalFormatting sqref="T160">
    <cfRule type="containsText" dxfId="1" priority="206" operator="between" text="欠">
      <formula>NOT(ISERROR(SEARCH("欠",T160)))</formula>
    </cfRule>
  </conditionalFormatting>
  <conditionalFormatting sqref="U160">
    <cfRule type="containsText" dxfId="1" priority="210" operator="between" text="欠">
      <formula>NOT(ISERROR(SEARCH("欠",U160)))</formula>
    </cfRule>
  </conditionalFormatting>
  <conditionalFormatting sqref="R161">
    <cfRule type="containsText" dxfId="1" priority="203" operator="between" text="欠">
      <formula>NOT(ISERROR(SEARCH("欠",R161)))</formula>
    </cfRule>
  </conditionalFormatting>
  <conditionalFormatting sqref="S161">
    <cfRule type="containsText" dxfId="1" priority="204" operator="between" text="欠">
      <formula>NOT(ISERROR(SEARCH("欠",S161)))</formula>
    </cfRule>
  </conditionalFormatting>
  <conditionalFormatting sqref="T161">
    <cfRule type="containsText" dxfId="1" priority="202" operator="between" text="欠">
      <formula>NOT(ISERROR(SEARCH("欠",T161)))</formula>
    </cfRule>
  </conditionalFormatting>
  <conditionalFormatting sqref="U161">
    <cfRule type="containsText" dxfId="1" priority="205" operator="between" text="欠">
      <formula>NOT(ISERROR(SEARCH("欠",U161)))</formula>
    </cfRule>
  </conditionalFormatting>
  <conditionalFormatting sqref="Q162">
    <cfRule type="containsText" dxfId="1" priority="187" operator="between" text="欠">
      <formula>NOT(ISERROR(SEARCH("欠",Q162)))</formula>
    </cfRule>
  </conditionalFormatting>
  <conditionalFormatting sqref="R162">
    <cfRule type="containsText" dxfId="1" priority="192" operator="between" text="欠">
      <formula>NOT(ISERROR(SEARCH("欠",R162)))</formula>
    </cfRule>
  </conditionalFormatting>
  <conditionalFormatting sqref="S162">
    <cfRule type="containsText" dxfId="1" priority="196" operator="between" text="欠">
      <formula>NOT(ISERROR(SEARCH("欠",S162)))</formula>
    </cfRule>
  </conditionalFormatting>
  <conditionalFormatting sqref="T162">
    <cfRule type="containsText" dxfId="1" priority="194" operator="between" text="欠">
      <formula>NOT(ISERROR(SEARCH("欠",T162)))</formula>
    </cfRule>
  </conditionalFormatting>
  <conditionalFormatting sqref="U162">
    <cfRule type="containsText" dxfId="1" priority="197" operator="between" text="欠">
      <formula>NOT(ISERROR(SEARCH("欠",U162)))</formula>
    </cfRule>
  </conditionalFormatting>
  <conditionalFormatting sqref="R163">
    <cfRule type="containsText" dxfId="1" priority="199" operator="between" text="欠">
      <formula>NOT(ISERROR(SEARCH("欠",R163)))</formula>
    </cfRule>
  </conditionalFormatting>
  <conditionalFormatting sqref="S163">
    <cfRule type="containsText" dxfId="1" priority="200" operator="between" text="欠">
      <formula>NOT(ISERROR(SEARCH("欠",S163)))</formula>
    </cfRule>
  </conditionalFormatting>
  <conditionalFormatting sqref="T163">
    <cfRule type="containsText" dxfId="1" priority="193" operator="between" text="欠">
      <formula>NOT(ISERROR(SEARCH("欠",T163)))</formula>
    </cfRule>
  </conditionalFormatting>
  <conditionalFormatting sqref="U163">
    <cfRule type="containsText" dxfId="1" priority="201" operator="between" text="欠">
      <formula>NOT(ISERROR(SEARCH("欠",U163)))</formula>
    </cfRule>
  </conditionalFormatting>
  <conditionalFormatting sqref="S164">
    <cfRule type="containsText" dxfId="1" priority="184" operator="between" text="欠">
      <formula>NOT(ISERROR(SEARCH("欠",S164)))</formula>
    </cfRule>
  </conditionalFormatting>
  <conditionalFormatting sqref="T164">
    <cfRule type="containsText" dxfId="1" priority="177" operator="between" text="欠">
      <formula>NOT(ISERROR(SEARCH("欠",T164)))</formula>
    </cfRule>
  </conditionalFormatting>
  <conditionalFormatting sqref="U164">
    <cfRule type="containsText" dxfId="1" priority="185" operator="between" text="欠">
      <formula>NOT(ISERROR(SEARCH("欠",U164)))</formula>
    </cfRule>
  </conditionalFormatting>
  <conditionalFormatting sqref="R165">
    <cfRule type="cellIs" dxfId="0" priority="170" operator="equal">
      <formula>"欠"</formula>
    </cfRule>
    <cfRule type="containsText" dxfId="1" priority="171" operator="between" text="欠">
      <formula>NOT(ISERROR(SEARCH("欠",R165)))</formula>
    </cfRule>
  </conditionalFormatting>
  <conditionalFormatting sqref="S165">
    <cfRule type="containsText" dxfId="1" priority="190" operator="between" text="欠">
      <formula>NOT(ISERROR(SEARCH("欠",S165)))</formula>
    </cfRule>
  </conditionalFormatting>
  <conditionalFormatting sqref="T165">
    <cfRule type="containsText" dxfId="1" priority="169" operator="between" text="欠">
      <formula>NOT(ISERROR(SEARCH("欠",T165)))</formula>
    </cfRule>
  </conditionalFormatting>
  <conditionalFormatting sqref="U165">
    <cfRule type="containsText" dxfId="1" priority="191" operator="between" text="欠">
      <formula>NOT(ISERROR(SEARCH("欠",U165)))</formula>
    </cfRule>
  </conditionalFormatting>
  <conditionalFormatting sqref="T167">
    <cfRule type="containsText" dxfId="1" priority="172" operator="between" text="欠">
      <formula>NOT(ISERROR(SEARCH("欠",T167)))</formula>
    </cfRule>
  </conditionalFormatting>
  <conditionalFormatting sqref="S168">
    <cfRule type="containsText" dxfId="1" priority="173" operator="between" text="欠">
      <formula>NOT(ISERROR(SEARCH("欠",S168)))</formula>
    </cfRule>
  </conditionalFormatting>
  <conditionalFormatting sqref="U168">
    <cfRule type="containsText" dxfId="1" priority="174" operator="between" text="欠">
      <formula>NOT(ISERROR(SEARCH("欠",U168)))</formula>
    </cfRule>
  </conditionalFormatting>
  <conditionalFormatting sqref="U173">
    <cfRule type="containsText" dxfId="1" priority="164" operator="between" text="欠">
      <formula>NOT(ISERROR(SEARCH("欠",U173)))</formula>
    </cfRule>
  </conditionalFormatting>
  <conditionalFormatting sqref="R174">
    <cfRule type="cellIs" dxfId="0" priority="117" operator="equal">
      <formula>"欠"</formula>
    </cfRule>
  </conditionalFormatting>
  <conditionalFormatting sqref="S174">
    <cfRule type="containsText" dxfId="1" priority="118" operator="between" text="欠">
      <formula>NOT(ISERROR(SEARCH("欠",S174)))</formula>
    </cfRule>
  </conditionalFormatting>
  <conditionalFormatting sqref="T174">
    <cfRule type="containsText" dxfId="1" priority="116" operator="between" text="欠">
      <formula>NOT(ISERROR(SEARCH("欠",T174)))</formula>
    </cfRule>
  </conditionalFormatting>
  <conditionalFormatting sqref="R175">
    <cfRule type="containsText" dxfId="1" priority="110" operator="between" text="欠">
      <formula>NOT(ISERROR(SEARCH("欠",R175)))</formula>
    </cfRule>
  </conditionalFormatting>
  <conditionalFormatting sqref="T175">
    <cfRule type="containsText" dxfId="1" priority="109" operator="between" text="欠">
      <formula>NOT(ISERROR(SEARCH("欠",T175)))</formula>
    </cfRule>
  </conditionalFormatting>
  <conditionalFormatting sqref="R176">
    <cfRule type="containsText" dxfId="1" priority="111" operator="between" text="欠">
      <formula>NOT(ISERROR(SEARCH("欠",R176)))</formula>
    </cfRule>
  </conditionalFormatting>
  <conditionalFormatting sqref="T176">
    <cfRule type="containsText" dxfId="1" priority="114" operator="between" text="欠">
      <formula>NOT(ISERROR(SEARCH("欠",T176)))</formula>
    </cfRule>
  </conditionalFormatting>
  <conditionalFormatting sqref="R177">
    <cfRule type="cellIs" dxfId="0" priority="86" operator="equal">
      <formula>"欠"</formula>
    </cfRule>
    <cfRule type="containsText" dxfId="1" priority="87" operator="between" text="欠">
      <formula>NOT(ISERROR(SEARCH("欠",R177)))</formula>
    </cfRule>
  </conditionalFormatting>
  <conditionalFormatting sqref="S177">
    <cfRule type="containsText" dxfId="1" priority="105" operator="between" text="欠">
      <formula>NOT(ISERROR(SEARCH("欠",S177)))</formula>
    </cfRule>
  </conditionalFormatting>
  <conditionalFormatting sqref="T177">
    <cfRule type="containsText" dxfId="1" priority="103" operator="between" text="欠">
      <formula>NOT(ISERROR(SEARCH("欠",T177)))</formula>
    </cfRule>
  </conditionalFormatting>
  <conditionalFormatting sqref="U177">
    <cfRule type="containsText" dxfId="1" priority="106" operator="between" text="欠">
      <formula>NOT(ISERROR(SEARCH("欠",U177)))</formula>
    </cfRule>
  </conditionalFormatting>
  <conditionalFormatting sqref="R182">
    <cfRule type="containsText" dxfId="1" priority="96" operator="between" text="欠">
      <formula>NOT(ISERROR(SEARCH("欠",R182)))</formula>
    </cfRule>
  </conditionalFormatting>
  <conditionalFormatting sqref="S182">
    <cfRule type="containsText" dxfId="1" priority="99" operator="between" text="欠">
      <formula>NOT(ISERROR(SEARCH("欠",S182)))</formula>
    </cfRule>
  </conditionalFormatting>
  <conditionalFormatting sqref="T182">
    <cfRule type="containsText" dxfId="1" priority="98" operator="between" text="欠">
      <formula>NOT(ISERROR(SEARCH("欠",T182)))</formula>
    </cfRule>
  </conditionalFormatting>
  <conditionalFormatting sqref="U182">
    <cfRule type="containsText" dxfId="1" priority="100" operator="between" text="欠">
      <formula>NOT(ISERROR(SEARCH("欠",U182)))</formula>
    </cfRule>
  </conditionalFormatting>
  <conditionalFormatting sqref="S183">
    <cfRule type="containsText" dxfId="1" priority="154" operator="between" text="欠">
      <formula>NOT(ISERROR(SEARCH("欠",S183)))</formula>
    </cfRule>
  </conditionalFormatting>
  <conditionalFormatting sqref="U183">
    <cfRule type="containsText" dxfId="1" priority="155" operator="between" text="欠">
      <formula>NOT(ISERROR(SEARCH("欠",U183)))</formula>
    </cfRule>
  </conditionalFormatting>
  <conditionalFormatting sqref="S184">
    <cfRule type="containsText" dxfId="1" priority="159" operator="between" text="欠">
      <formula>NOT(ISERROR(SEARCH("欠",S184)))</formula>
    </cfRule>
  </conditionalFormatting>
  <conditionalFormatting sqref="U184">
    <cfRule type="containsText" dxfId="1" priority="160" operator="between" text="欠">
      <formula>NOT(ISERROR(SEARCH("欠",U184)))</formula>
    </cfRule>
  </conditionalFormatting>
  <conditionalFormatting sqref="S185">
    <cfRule type="containsText" dxfId="1" priority="149" operator="between" text="欠">
      <formula>NOT(ISERROR(SEARCH("欠",S185)))</formula>
    </cfRule>
  </conditionalFormatting>
  <conditionalFormatting sqref="U185">
    <cfRule type="containsText" dxfId="1" priority="150" operator="between" text="欠">
      <formula>NOT(ISERROR(SEARCH("欠",U185)))</formula>
    </cfRule>
  </conditionalFormatting>
  <conditionalFormatting sqref="R186">
    <cfRule type="cellIs" dxfId="0" priority="93" operator="equal">
      <formula>"欠"</formula>
    </cfRule>
    <cfRule type="containsText" dxfId="1" priority="94" operator="between" text="欠">
      <formula>NOT(ISERROR(SEARCH("欠",R186)))</formula>
    </cfRule>
  </conditionalFormatting>
  <conditionalFormatting sqref="S186">
    <cfRule type="containsText" dxfId="1" priority="90" operator="between" text="欠">
      <formula>NOT(ISERROR(SEARCH("欠",S186)))</formula>
    </cfRule>
  </conditionalFormatting>
  <conditionalFormatting sqref="T186">
    <cfRule type="containsText" dxfId="1" priority="92" operator="between" text="欠">
      <formula>NOT(ISERROR(SEARCH("欠",T186)))</formula>
    </cfRule>
  </conditionalFormatting>
  <conditionalFormatting sqref="U186">
    <cfRule type="containsText" dxfId="1" priority="91" operator="between" text="欠">
      <formula>NOT(ISERROR(SEARCH("欠",U186)))</formula>
    </cfRule>
  </conditionalFormatting>
  <conditionalFormatting sqref="R187">
    <cfRule type="containsText" dxfId="1" priority="33" operator="between" text="欠">
      <formula>NOT(ISERROR(SEARCH("欠",R187)))</formula>
    </cfRule>
  </conditionalFormatting>
  <conditionalFormatting sqref="T187">
    <cfRule type="containsText" dxfId="1" priority="32" operator="between" text="欠">
      <formula>NOT(ISERROR(SEARCH("欠",T187)))</formula>
    </cfRule>
  </conditionalFormatting>
  <conditionalFormatting sqref="U187">
    <cfRule type="containsText" dxfId="1" priority="31" operator="between" text="欠">
      <formula>NOT(ISERROR(SEARCH("欠",U187)))</formula>
    </cfRule>
  </conditionalFormatting>
  <conditionalFormatting sqref="R188">
    <cfRule type="containsText" dxfId="1" priority="89" operator="between" text="欠">
      <formula>NOT(ISERROR(SEARCH("欠",R188)))</formula>
    </cfRule>
  </conditionalFormatting>
  <conditionalFormatting sqref="T188">
    <cfRule type="containsText" dxfId="1" priority="88" operator="between" text="欠">
      <formula>NOT(ISERROR(SEARCH("欠",T188)))</formula>
    </cfRule>
  </conditionalFormatting>
  <conditionalFormatting sqref="S189">
    <cfRule type="containsText" dxfId="1" priority="144" operator="between" text="欠">
      <formula>NOT(ISERROR(SEARCH("欠",S189)))</formula>
    </cfRule>
  </conditionalFormatting>
  <conditionalFormatting sqref="U189">
    <cfRule type="containsText" dxfId="1" priority="145" operator="between" text="欠">
      <formula>NOT(ISERROR(SEARCH("欠",U189)))</formula>
    </cfRule>
  </conditionalFormatting>
  <conditionalFormatting sqref="T190">
    <cfRule type="containsText" dxfId="1" priority="68" operator="between" text="欠">
      <formula>NOT(ISERROR(SEARCH("欠",T190)))</formula>
    </cfRule>
  </conditionalFormatting>
  <conditionalFormatting sqref="U190">
    <cfRule type="containsText" dxfId="1" priority="67" operator="between" text="欠">
      <formula>NOT(ISERROR(SEARCH("欠",U190)))</formula>
    </cfRule>
  </conditionalFormatting>
  <conditionalFormatting sqref="T191">
    <cfRule type="containsText" dxfId="1" priority="70" operator="between" text="欠">
      <formula>NOT(ISERROR(SEARCH("欠",T191)))</formula>
    </cfRule>
  </conditionalFormatting>
  <conditionalFormatting sqref="U191">
    <cfRule type="containsText" dxfId="1" priority="69" operator="between" text="欠">
      <formula>NOT(ISERROR(SEARCH("欠",U191)))</formula>
    </cfRule>
  </conditionalFormatting>
  <conditionalFormatting sqref="S194">
    <cfRule type="containsText" dxfId="1" priority="81" operator="between" text="欠">
      <formula>NOT(ISERROR(SEARCH("欠",S194)))</formula>
    </cfRule>
  </conditionalFormatting>
  <conditionalFormatting sqref="T194">
    <cfRule type="containsText" dxfId="1" priority="83" operator="between" text="欠">
      <formula>NOT(ISERROR(SEARCH("欠",T194)))</formula>
    </cfRule>
  </conditionalFormatting>
  <conditionalFormatting sqref="U194">
    <cfRule type="containsText" dxfId="1" priority="82" operator="between" text="欠">
      <formula>NOT(ISERROR(SEARCH("欠",U194)))</formula>
    </cfRule>
  </conditionalFormatting>
  <conditionalFormatting sqref="S195">
    <cfRule type="containsText" dxfId="1" priority="134" operator="between" text="欠">
      <formula>NOT(ISERROR(SEARCH("欠",S195)))</formula>
    </cfRule>
  </conditionalFormatting>
  <conditionalFormatting sqref="U195">
    <cfRule type="containsText" dxfId="1" priority="135" operator="between" text="欠">
      <formula>NOT(ISERROR(SEARCH("欠",U195)))</formula>
    </cfRule>
  </conditionalFormatting>
  <conditionalFormatting sqref="S196">
    <cfRule type="containsText" dxfId="1" priority="139" operator="between" text="欠">
      <formula>NOT(ISERROR(SEARCH("欠",S196)))</formula>
    </cfRule>
  </conditionalFormatting>
  <conditionalFormatting sqref="U196">
    <cfRule type="containsText" dxfId="1" priority="140" operator="between" text="欠">
      <formula>NOT(ISERROR(SEARCH("欠",U196)))</formula>
    </cfRule>
  </conditionalFormatting>
  <conditionalFormatting sqref="S197">
    <cfRule type="containsText" dxfId="1" priority="57" operator="between" text="欠">
      <formula>NOT(ISERROR(SEARCH("欠",S197)))</formula>
    </cfRule>
  </conditionalFormatting>
  <conditionalFormatting sqref="T197">
    <cfRule type="containsText" dxfId="1" priority="59" operator="between" text="欠">
      <formula>NOT(ISERROR(SEARCH("欠",T197)))</formula>
    </cfRule>
  </conditionalFormatting>
  <conditionalFormatting sqref="U197">
    <cfRule type="containsText" dxfId="1" priority="58" operator="between" text="欠">
      <formula>NOT(ISERROR(SEARCH("欠",U197)))</formula>
    </cfRule>
  </conditionalFormatting>
  <conditionalFormatting sqref="S198">
    <cfRule type="containsText" dxfId="1" priority="76" operator="between" text="欠">
      <formula>NOT(ISERROR(SEARCH("欠",S198)))</formula>
    </cfRule>
  </conditionalFormatting>
  <conditionalFormatting sqref="T198">
    <cfRule type="containsText" dxfId="1" priority="78" operator="between" text="欠">
      <formula>NOT(ISERROR(SEARCH("欠",T198)))</formula>
    </cfRule>
  </conditionalFormatting>
  <conditionalFormatting sqref="U198">
    <cfRule type="containsText" dxfId="1" priority="77" operator="between" text="欠">
      <formula>NOT(ISERROR(SEARCH("欠",U198)))</formula>
    </cfRule>
  </conditionalFormatting>
  <conditionalFormatting sqref="S199">
    <cfRule type="containsText" dxfId="1" priority="71" operator="between" text="欠">
      <formula>NOT(ISERROR(SEARCH("欠",S199)))</formula>
    </cfRule>
  </conditionalFormatting>
  <conditionalFormatting sqref="T199">
    <cfRule type="containsText" dxfId="1" priority="73" operator="between" text="欠">
      <formula>NOT(ISERROR(SEARCH("欠",T199)))</formula>
    </cfRule>
  </conditionalFormatting>
  <conditionalFormatting sqref="U199">
    <cfRule type="containsText" dxfId="1" priority="72" operator="between" text="欠">
      <formula>NOT(ISERROR(SEARCH("欠",U199)))</formula>
    </cfRule>
  </conditionalFormatting>
  <conditionalFormatting sqref="S200">
    <cfRule type="containsText" dxfId="1" priority="14" operator="between" text="欠">
      <formula>NOT(ISERROR(SEARCH("欠",S200)))</formula>
    </cfRule>
  </conditionalFormatting>
  <conditionalFormatting sqref="T200">
    <cfRule type="containsText" dxfId="1" priority="18" operator="between" text="欠">
      <formula>NOT(ISERROR(SEARCH("欠",T200)))</formula>
    </cfRule>
  </conditionalFormatting>
  <conditionalFormatting sqref="U200">
    <cfRule type="containsText" dxfId="1" priority="16" operator="between" text="欠">
      <formula>NOT(ISERROR(SEARCH("欠",U200)))</formula>
    </cfRule>
  </conditionalFormatting>
  <conditionalFormatting sqref="S203">
    <cfRule type="containsText" dxfId="1" priority="129" operator="between" text="欠">
      <formula>NOT(ISERROR(SEARCH("欠",S203)))</formula>
    </cfRule>
  </conditionalFormatting>
  <conditionalFormatting sqref="U203">
    <cfRule type="containsText" dxfId="1" priority="130" operator="between" text="欠">
      <formula>NOT(ISERROR(SEARCH("欠",U203)))</formula>
    </cfRule>
  </conditionalFormatting>
  <conditionalFormatting sqref="S204">
    <cfRule type="containsText" dxfId="1" priority="62" operator="between" text="欠">
      <formula>NOT(ISERROR(SEARCH("欠",S204)))</formula>
    </cfRule>
  </conditionalFormatting>
  <conditionalFormatting sqref="T204">
    <cfRule type="containsText" dxfId="1" priority="64" operator="between" text="欠">
      <formula>NOT(ISERROR(SEARCH("欠",T204)))</formula>
    </cfRule>
  </conditionalFormatting>
  <conditionalFormatting sqref="U204">
    <cfRule type="containsText" dxfId="1" priority="63" operator="between" text="欠">
      <formula>NOT(ISERROR(SEARCH("欠",U204)))</formula>
    </cfRule>
  </conditionalFormatting>
  <conditionalFormatting sqref="R205">
    <cfRule type="cellIs" dxfId="0" priority="1" operator="equal">
      <formula>"欠"</formula>
    </cfRule>
    <cfRule type="containsText" dxfId="1" priority="2" operator="between" text="欠">
      <formula>NOT(ISERROR(SEARCH("欠",R205)))</formula>
    </cfRule>
  </conditionalFormatting>
  <conditionalFormatting sqref="S205">
    <cfRule type="containsText" dxfId="1" priority="8" operator="between" text="欠">
      <formula>NOT(ISERROR(SEARCH("欠",S205)))</formula>
    </cfRule>
  </conditionalFormatting>
  <conditionalFormatting sqref="T205">
    <cfRule type="containsText" dxfId="1" priority="10" operator="between" text="欠">
      <formula>NOT(ISERROR(SEARCH("欠",T205)))</formula>
    </cfRule>
  </conditionalFormatting>
  <conditionalFormatting sqref="U205">
    <cfRule type="containsText" dxfId="1" priority="9" operator="between" text="欠">
      <formula>NOT(ISERROR(SEARCH("欠",U205)))</formula>
    </cfRule>
  </conditionalFormatting>
  <conditionalFormatting sqref="S206">
    <cfRule type="containsText" dxfId="1" priority="52" operator="between" text="欠">
      <formula>NOT(ISERROR(SEARCH("欠",S206)))</formula>
    </cfRule>
  </conditionalFormatting>
  <conditionalFormatting sqref="S217">
    <cfRule type="containsText" dxfId="1" priority="3" operator="between" text="欠">
      <formula>NOT(ISERROR(SEARCH("欠",S217)))</formula>
    </cfRule>
  </conditionalFormatting>
  <conditionalFormatting sqref="T217">
    <cfRule type="containsText" dxfId="1" priority="5" operator="between" text="欠">
      <formula>NOT(ISERROR(SEARCH("欠",T217)))</formula>
    </cfRule>
  </conditionalFormatting>
  <conditionalFormatting sqref="U217">
    <cfRule type="containsText" dxfId="1" priority="4" operator="between" text="欠">
      <formula>NOT(ISERROR(SEARCH("欠",U217)))</formula>
    </cfRule>
  </conditionalFormatting>
  <conditionalFormatting sqref="X218">
    <cfRule type="cellIs" dxfId="0" priority="24" operator="equal">
      <formula>"欠"</formula>
    </cfRule>
    <cfRule type="containsText" dxfId="1" priority="25" operator="between" text="欠">
      <formula>NOT(ISERROR(SEARCH("欠",X218)))</formula>
    </cfRule>
  </conditionalFormatting>
  <conditionalFormatting sqref="Y218">
    <cfRule type="containsText" dxfId="1" priority="26" operator="between" text="欠">
      <formula>NOT(ISERROR(SEARCH("欠",Y218)))</formula>
    </cfRule>
  </conditionalFormatting>
  <conditionalFormatting sqref="Z218">
    <cfRule type="containsText" dxfId="1" priority="23" operator="between" text="欠">
      <formula>NOT(ISERROR(SEARCH("欠",Z218)))</formula>
    </cfRule>
  </conditionalFormatting>
  <conditionalFormatting sqref="AA218">
    <cfRule type="containsText" dxfId="1" priority="27" operator="between" text="欠">
      <formula>NOT(ISERROR(SEARCH("欠",AA218)))</formula>
    </cfRule>
  </conditionalFormatting>
  <conditionalFormatting sqref="S221">
    <cfRule type="containsText" dxfId="1" priority="13" operator="between" text="欠">
      <formula>NOT(ISERROR(SEARCH("欠",S221)))</formula>
    </cfRule>
  </conditionalFormatting>
  <conditionalFormatting sqref="T221">
    <cfRule type="containsText" dxfId="1" priority="17" operator="between" text="欠">
      <formula>NOT(ISERROR(SEARCH("欠",T221)))</formula>
    </cfRule>
  </conditionalFormatting>
  <conditionalFormatting sqref="U221">
    <cfRule type="containsText" dxfId="1" priority="15" operator="between" text="欠">
      <formula>NOT(ISERROR(SEARCH("欠",U221)))</formula>
    </cfRule>
  </conditionalFormatting>
  <conditionalFormatting sqref="S222">
    <cfRule type="containsText" dxfId="1" priority="39" operator="between" text="欠">
      <formula>NOT(ISERROR(SEARCH("欠",S222)))</formula>
    </cfRule>
  </conditionalFormatting>
  <conditionalFormatting sqref="T222">
    <cfRule type="containsText" dxfId="1" priority="28" operator="between" text="欠">
      <formula>NOT(ISERROR(SEARCH("欠",T222)))</formula>
    </cfRule>
  </conditionalFormatting>
  <conditionalFormatting sqref="U222">
    <cfRule type="containsText" dxfId="1" priority="40" operator="between" text="欠">
      <formula>NOT(ISERROR(SEARCH("欠",U222)))</formula>
    </cfRule>
  </conditionalFormatting>
  <conditionalFormatting sqref="R223">
    <cfRule type="cellIs" dxfId="0" priority="50" operator="equal">
      <formula>"欠"</formula>
    </cfRule>
    <cfRule type="containsText" dxfId="1" priority="51" operator="between" text="欠">
      <formula>NOT(ISERROR(SEARCH("欠",R223)))</formula>
    </cfRule>
  </conditionalFormatting>
  <conditionalFormatting sqref="S223">
    <cfRule type="containsText" dxfId="1" priority="47" operator="between" text="欠">
      <formula>NOT(ISERROR(SEARCH("欠",S223)))</formula>
    </cfRule>
  </conditionalFormatting>
  <conditionalFormatting sqref="T223">
    <cfRule type="containsText" dxfId="1" priority="49" operator="between" text="欠">
      <formula>NOT(ISERROR(SEARCH("欠",T223)))</formula>
    </cfRule>
  </conditionalFormatting>
  <conditionalFormatting sqref="U223">
    <cfRule type="containsText" dxfId="1" priority="48" operator="between" text="欠">
      <formula>NOT(ISERROR(SEARCH("欠",U223)))</formula>
    </cfRule>
  </conditionalFormatting>
  <conditionalFormatting sqref="Q45:Q49">
    <cfRule type="containsText" dxfId="1" priority="537" operator="between" text="欠">
      <formula>NOT(ISERROR(SEARCH("欠",Q45)))</formula>
    </cfRule>
  </conditionalFormatting>
  <conditionalFormatting sqref="R14:R15">
    <cfRule type="containsText" dxfId="1" priority="687" operator="between" text="欠">
      <formula>NOT(ISERROR(SEARCH("欠",R14)))</formula>
    </cfRule>
  </conditionalFormatting>
  <conditionalFormatting sqref="R38:R39">
    <cfRule type="containsText" dxfId="1" priority="572" operator="between" text="欠">
      <formula>NOT(ISERROR(SEARCH("欠",R38)))</formula>
    </cfRule>
  </conditionalFormatting>
  <conditionalFormatting sqref="R58:R59">
    <cfRule type="containsText" dxfId="1" priority="428" operator="between" text="欠">
      <formula>NOT(ISERROR(SEARCH("欠",R58)))</formula>
    </cfRule>
  </conditionalFormatting>
  <conditionalFormatting sqref="R61:R62">
    <cfRule type="containsText" dxfId="1" priority="451" operator="between" text="欠">
      <formula>NOT(ISERROR(SEARCH("欠",R61)))</formula>
    </cfRule>
  </conditionalFormatting>
  <conditionalFormatting sqref="R67:R68">
    <cfRule type="containsText" dxfId="1" priority="432" operator="between" text="欠">
      <formula>NOT(ISERROR(SEARCH("欠",R67)))</formula>
    </cfRule>
  </conditionalFormatting>
  <conditionalFormatting sqref="R92:R95">
    <cfRule type="containsText" dxfId="1" priority="400" operator="between" text="欠">
      <formula>NOT(ISERROR(SEARCH("欠",R92)))</formula>
    </cfRule>
  </conditionalFormatting>
  <conditionalFormatting sqref="R135:R140">
    <cfRule type="containsText" dxfId="1" priority="255" operator="between" text="欠">
      <formula>NOT(ISERROR(SEARCH("欠",R135)))</formula>
    </cfRule>
  </conditionalFormatting>
  <conditionalFormatting sqref="R149:R151">
    <cfRule type="containsText" dxfId="1" priority="239" operator="between" text="欠">
      <formula>NOT(ISERROR(SEARCH("欠",R149)))</formula>
    </cfRule>
  </conditionalFormatting>
  <conditionalFormatting sqref="R154:R155">
    <cfRule type="containsText" dxfId="1" priority="220" operator="between" text="欠">
      <formula>NOT(ISERROR(SEARCH("欠",R154)))</formula>
    </cfRule>
  </conditionalFormatting>
  <conditionalFormatting sqref="R167:R170">
    <cfRule type="containsText" dxfId="1" priority="175" operator="between" text="欠">
      <formula>NOT(ISERROR(SEARCH("欠",R167)))</formula>
    </cfRule>
  </conditionalFormatting>
  <conditionalFormatting sqref="R171:R173">
    <cfRule type="containsText" dxfId="1" priority="166" operator="between" text="欠">
      <formula>NOT(ISERROR(SEARCH("欠",R171)))</formula>
    </cfRule>
  </conditionalFormatting>
  <conditionalFormatting sqref="R178:R181">
    <cfRule type="containsText" dxfId="1" priority="120" operator="between" text="欠">
      <formula>NOT(ISERROR(SEARCH("欠",R178)))</formula>
    </cfRule>
  </conditionalFormatting>
  <conditionalFormatting sqref="R199:R202">
    <cfRule type="cellIs" dxfId="0" priority="84" operator="equal">
      <formula>"欠"</formula>
    </cfRule>
    <cfRule type="containsText" dxfId="1" priority="85" operator="between" text="欠">
      <formula>NOT(ISERROR(SEARCH("欠",R199)))</formula>
    </cfRule>
  </conditionalFormatting>
  <conditionalFormatting sqref="R203:R208">
    <cfRule type="cellIs" dxfId="0" priority="19" operator="equal">
      <formula>"欠"</formula>
    </cfRule>
    <cfRule type="containsText" dxfId="1" priority="21" operator="between" text="欠">
      <formula>NOT(ISERROR(SEARCH("欠",R203)))</formula>
    </cfRule>
  </conditionalFormatting>
  <conditionalFormatting sqref="R204:R205">
    <cfRule type="containsText" dxfId="1" priority="113" operator="between" text="欠">
      <formula>NOT(ISERROR(SEARCH("欠",R204)))</formula>
    </cfRule>
  </conditionalFormatting>
  <conditionalFormatting sqref="R221:R222">
    <cfRule type="cellIs" dxfId="0" priority="29" operator="equal">
      <formula>"欠"</formula>
    </cfRule>
    <cfRule type="containsText" dxfId="1" priority="30" operator="between" text="欠">
      <formula>NOT(ISERROR(SEARCH("欠",R221)))</formula>
    </cfRule>
  </conditionalFormatting>
  <conditionalFormatting sqref="S38:S39">
    <cfRule type="containsText" dxfId="1" priority="570" operator="between" text="欠">
      <formula>NOT(ISERROR(SEARCH("欠",S38)))</formula>
    </cfRule>
  </conditionalFormatting>
  <conditionalFormatting sqref="S135:S140">
    <cfRule type="containsText" dxfId="1" priority="256" operator="between" text="欠">
      <formula>NOT(ISERROR(SEARCH("欠",S135)))</formula>
    </cfRule>
  </conditionalFormatting>
  <conditionalFormatting sqref="S149:S151">
    <cfRule type="containsText" dxfId="1" priority="242" operator="between" text="欠">
      <formula>NOT(ISERROR(SEARCH("欠",S149)))</formula>
    </cfRule>
  </conditionalFormatting>
  <conditionalFormatting sqref="S153:S155">
    <cfRule type="containsText" dxfId="1" priority="227" operator="between" text="欠">
      <formula>NOT(ISERROR(SEARCH("欠",S153)))</formula>
    </cfRule>
  </conditionalFormatting>
  <conditionalFormatting sqref="S171:S173">
    <cfRule type="containsText" dxfId="1" priority="167" operator="between" text="欠">
      <formula>NOT(ISERROR(SEARCH("欠",S171)))</formula>
    </cfRule>
  </conditionalFormatting>
  <conditionalFormatting sqref="T45:T49">
    <cfRule type="containsText" dxfId="1" priority="535" operator="between" text="欠">
      <formula>NOT(ISERROR(SEARCH("欠",T45)))</formula>
    </cfRule>
  </conditionalFormatting>
  <conditionalFormatting sqref="T58:T59">
    <cfRule type="containsText" dxfId="1" priority="427" operator="between" text="欠">
      <formula>NOT(ISERROR(SEARCH("欠",T58)))</formula>
    </cfRule>
  </conditionalFormatting>
  <conditionalFormatting sqref="T92:T94">
    <cfRule type="containsText" dxfId="1" priority="396" operator="between" text="欠">
      <formula>NOT(ISERROR(SEARCH("欠",T92)))</formula>
    </cfRule>
  </conditionalFormatting>
  <conditionalFormatting sqref="T135:T140">
    <cfRule type="containsText" dxfId="1" priority="254" operator="between" text="欠">
      <formula>NOT(ISERROR(SEARCH("欠",T135)))</formula>
    </cfRule>
  </conditionalFormatting>
  <conditionalFormatting sqref="T149:T151">
    <cfRule type="containsText" dxfId="1" priority="231" operator="between" text="欠">
      <formula>NOT(ISERROR(SEARCH("欠",T149)))</formula>
    </cfRule>
  </conditionalFormatting>
  <conditionalFormatting sqref="T153:T154">
    <cfRule type="containsText" dxfId="1" priority="225" operator="between" text="欠">
      <formula>NOT(ISERROR(SEARCH("欠",T153)))</formula>
    </cfRule>
  </conditionalFormatting>
  <conditionalFormatting sqref="T171:T173">
    <cfRule type="containsText" dxfId="1" priority="165" operator="between" text="欠">
      <formula>NOT(ISERROR(SEARCH("欠",T171)))</formula>
    </cfRule>
  </conditionalFormatting>
  <conditionalFormatting sqref="T178:T181">
    <cfRule type="containsText" dxfId="1" priority="119" operator="between" text="欠">
      <formula>NOT(ISERROR(SEARCH("欠",T178)))</formula>
    </cfRule>
  </conditionalFormatting>
  <conditionalFormatting sqref="T193:T194">
    <cfRule type="containsText" dxfId="1" priority="115" operator="between" text="欠">
      <formula>NOT(ISERROR(SEARCH("欠",T193)))</formula>
    </cfRule>
  </conditionalFormatting>
  <conditionalFormatting sqref="U26:U27">
    <cfRule type="containsText" dxfId="1" priority="623" operator="between" text="欠">
      <formula>NOT(ISERROR(SEARCH("欠",U26)))</formula>
    </cfRule>
  </conditionalFormatting>
  <conditionalFormatting sqref="U92:U94">
    <cfRule type="containsText" dxfId="1" priority="399" operator="between" text="欠">
      <formula>NOT(ISERROR(SEARCH("欠",U92)))</formula>
    </cfRule>
  </conditionalFormatting>
  <conditionalFormatting sqref="U149:U151">
    <cfRule type="containsText" dxfId="1" priority="232" operator="between" text="欠">
      <formula>NOT(ISERROR(SEARCH("欠",U149)))</formula>
    </cfRule>
  </conditionalFormatting>
  <conditionalFormatting sqref="U152:U155">
    <cfRule type="containsText" dxfId="1" priority="287" operator="between" text="欠">
      <formula>NOT(ISERROR(SEARCH("欠",U152)))</formula>
    </cfRule>
  </conditionalFormatting>
  <conditionalFormatting sqref="U171:U172">
    <cfRule type="containsText" dxfId="1" priority="168" operator="between" text="欠">
      <formula>NOT(ISERROR(SEARCH("欠",U171)))</formula>
    </cfRule>
  </conditionalFormatting>
  <conditionalFormatting sqref="U193:U194">
    <cfRule type="containsText" dxfId="1" priority="97" operator="between" text="欠">
      <formula>NOT(ISERROR(SEARCH("欠",U193)))</formula>
    </cfRule>
  </conditionalFormatting>
  <conditionalFormatting sqref="R9:U11 R13:U13 U12">
    <cfRule type="containsText" dxfId="1" priority="677" operator="between" text="欠">
      <formula>NOT(ISERROR(SEARCH("欠",R9)))</formula>
    </cfRule>
  </conditionalFormatting>
  <conditionalFormatting sqref="R12:T12 T14:U15">
    <cfRule type="containsText" dxfId="1" priority="693" operator="between" text="欠">
      <formula>NOT(ISERROR(SEARCH("欠",R12)))</formula>
    </cfRule>
  </conditionalFormatting>
  <conditionalFormatting sqref="R16 R18:R19 R25">
    <cfRule type="containsText" dxfId="1" priority="673" operator="between" text="欠">
      <formula>NOT(ISERROR(SEARCH("欠",R16)))</formula>
    </cfRule>
  </conditionalFormatting>
  <conditionalFormatting sqref="T16:U16 T18:U19">
    <cfRule type="containsText" dxfId="1" priority="669" operator="between" text="欠">
      <formula>NOT(ISERROR(SEARCH("欠",T16)))</formula>
    </cfRule>
  </conditionalFormatting>
  <conditionalFormatting sqref="S20:T21">
    <cfRule type="containsText" dxfId="1" priority="661" operator="between" text="欠">
      <formula>NOT(ISERROR(SEARCH("欠",S20)))</formula>
    </cfRule>
  </conditionalFormatting>
  <conditionalFormatting sqref="R23 R28 R31:R35">
    <cfRule type="containsText" dxfId="1" priority="685" operator="between" text="欠">
      <formula>NOT(ISERROR(SEARCH("欠",R23)))</formula>
    </cfRule>
  </conditionalFormatting>
  <conditionalFormatting sqref="S28 S31:S35 S58:S59 R79:S79 S89:S91 S93:S96 S126 S130:S131 S146:S147 S251">
    <cfRule type="containsText" dxfId="1" priority="703" operator="between" text="欠">
      <formula>NOT(ISERROR(SEARCH("欠",R28)))</formula>
    </cfRule>
  </conditionalFormatting>
  <conditionalFormatting sqref="T28 T31:T35 T79 T89:T91 T95:T96 T126 T130:T131 T146:T147 T251">
    <cfRule type="containsText" dxfId="1" priority="701" operator="between" text="欠">
      <formula>NOT(ISERROR(SEARCH("欠",T28)))</formula>
    </cfRule>
  </conditionalFormatting>
  <conditionalFormatting sqref="U31:U36 U28">
    <cfRule type="containsText" dxfId="1" priority="699" operator="between" text="欠">
      <formula>NOT(ISERROR(SEARCH("欠",U28)))</formula>
    </cfRule>
  </conditionalFormatting>
  <conditionalFormatting sqref="U37 U44 U40:U42">
    <cfRule type="containsText" dxfId="1" priority="615" operator="between" text="欠">
      <formula>NOT(ISERROR(SEARCH("欠",U37)))</formula>
    </cfRule>
  </conditionalFormatting>
  <conditionalFormatting sqref="R42:T42 R44:S44">
    <cfRule type="containsText" dxfId="1" priority="559" operator="between" text="欠">
      <formula>NOT(ISERROR(SEARCH("欠",R42)))</formula>
    </cfRule>
  </conditionalFormatting>
  <conditionalFormatting sqref="S50 R45:R49">
    <cfRule type="containsText" dxfId="1" priority="557" operator="between" text="欠">
      <formula>NOT(ISERROR(SEARCH("欠",R45)))</formula>
    </cfRule>
  </conditionalFormatting>
  <conditionalFormatting sqref="S45:S49 U45:U49">
    <cfRule type="containsText" dxfId="1" priority="533" operator="between" text="欠">
      <formula>NOT(ISERROR(SEARCH("欠",S45)))</formula>
    </cfRule>
  </conditionalFormatting>
  <conditionalFormatting sqref="Q50:Q54 Q66">
    <cfRule type="containsText" dxfId="1" priority="565" operator="between" text="欠">
      <formula>NOT(ISERROR(SEARCH("欠",Q50)))</formula>
    </cfRule>
  </conditionalFormatting>
  <conditionalFormatting sqref="R51:T51 T52">
    <cfRule type="containsText" dxfId="1" priority="545" operator="between" text="欠">
      <formula>NOT(ISERROR(SEARCH("欠",R51)))</formula>
    </cfRule>
  </conditionalFormatting>
  <conditionalFormatting sqref="U51:U54 U66">
    <cfRule type="containsText" dxfId="1" priority="446" operator="between" text="欠">
      <formula>NOT(ISERROR(SEARCH("欠",U51)))</formula>
    </cfRule>
  </conditionalFormatting>
  <conditionalFormatting sqref="R52:S52 S66 S63 U63 S53:S54">
    <cfRule type="containsText" dxfId="1" priority="543" operator="between" text="欠">
      <formula>NOT(ISERROR(SEARCH("欠",R52)))</formula>
    </cfRule>
  </conditionalFormatting>
  <conditionalFormatting sqref="R53:R54 R66">
    <cfRule type="containsText" dxfId="1" priority="485" operator="between" text="欠">
      <formula>NOT(ISERROR(SEARCH("欠",R53)))</formula>
    </cfRule>
  </conditionalFormatting>
  <conditionalFormatting sqref="T53:T54 T66">
    <cfRule type="containsText" dxfId="1" priority="483" operator="between" text="欠">
      <formula>NOT(ISERROR(SEARCH("欠",T53)))</formula>
    </cfRule>
  </conditionalFormatting>
  <conditionalFormatting sqref="R55 R73">
    <cfRule type="containsText" dxfId="1" priority="438" operator="between" text="欠">
      <formula>NOT(ISERROR(SEARCH("欠",R55)))</formula>
    </cfRule>
  </conditionalFormatting>
  <conditionalFormatting sqref="S55:T55 S73:T73">
    <cfRule type="containsText" dxfId="1" priority="440" operator="between" text="欠">
      <formula>NOT(ISERROR(SEARCH("欠",S55)))</formula>
    </cfRule>
  </conditionalFormatting>
  <conditionalFormatting sqref="U55 U57 U73">
    <cfRule type="containsText" dxfId="1" priority="495" operator="between" text="欠">
      <formula>NOT(ISERROR(SEARCH("欠",U55)))</formula>
    </cfRule>
  </conditionalFormatting>
  <conditionalFormatting sqref="U58:U59 U79 U89:U91 U95:U96 U100:U109 U112:U113 U115 U126:U127 U130:U131 U146:U147 U251">
    <cfRule type="containsText" dxfId="1" priority="643" operator="between" text="欠">
      <formula>NOT(ISERROR(SEARCH("欠",U58)))</formula>
    </cfRule>
  </conditionalFormatting>
  <conditionalFormatting sqref="S64:S65 S60:S62 S67:S70 S72">
    <cfRule type="containsText" dxfId="1" priority="460" operator="between" text="欠">
      <formula>NOT(ISERROR(SEARCH("欠",S60)))</formula>
    </cfRule>
  </conditionalFormatting>
  <conditionalFormatting sqref="T64:T65 T60:T62 T67:T70 T72">
    <cfRule type="containsText" dxfId="1" priority="464" operator="between" text="欠">
      <formula>NOT(ISERROR(SEARCH("欠",T60)))</formula>
    </cfRule>
  </conditionalFormatting>
  <conditionalFormatting sqref="U64:U65 U60:U62 U67:U70 U72">
    <cfRule type="containsText" dxfId="1" priority="468" operator="between" text="欠">
      <formula>NOT(ISERROR(SEARCH("欠",U60)))</formula>
    </cfRule>
  </conditionalFormatting>
  <conditionalFormatting sqref="R65 R91 R101">
    <cfRule type="containsText" dxfId="1" priority="429" operator="between" text="欠">
      <formula>NOT(ISERROR(SEARCH("欠",R65)))</formula>
    </cfRule>
  </conditionalFormatting>
  <conditionalFormatting sqref="R69:R70 R72">
    <cfRule type="containsText" dxfId="1" priority="416" operator="between" text="欠">
      <formula>NOT(ISERROR(SEARCH("欠",R69)))</formula>
    </cfRule>
  </conditionalFormatting>
  <conditionalFormatting sqref="R71 R87 R82 R118">
    <cfRule type="containsText" dxfId="1" priority="433" operator="between" text="欠">
      <formula>NOT(ISERROR(SEARCH("欠",R71)))</formula>
    </cfRule>
  </conditionalFormatting>
  <conditionalFormatting sqref="S82 S74:S76 S125 S118 S87:S88 S71 S133">
    <cfRule type="containsText" dxfId="1" priority="434" operator="between" text="欠">
      <formula>NOT(ISERROR(SEARCH("欠",S71)))</formula>
    </cfRule>
  </conditionalFormatting>
  <conditionalFormatting sqref="T82 T71 T87 T125 T118 T133">
    <cfRule type="containsText" dxfId="1" priority="435" operator="between" text="欠">
      <formula>NOT(ISERROR(SEARCH("欠",T71)))</formula>
    </cfRule>
  </conditionalFormatting>
  <conditionalFormatting sqref="U82 U74:U76 U125 U118 U87:U88 U71 U133">
    <cfRule type="containsText" dxfId="1" priority="436" operator="between" text="欠">
      <formula>NOT(ISERROR(SEARCH("欠",U71)))</formula>
    </cfRule>
  </conditionalFormatting>
  <conditionalFormatting sqref="R74:R75 R90 R88 R96">
    <cfRule type="containsText" dxfId="1" priority="414" operator="between" text="欠">
      <formula>NOT(ISERROR(SEARCH("欠",R74)))</formula>
    </cfRule>
  </conditionalFormatting>
  <conditionalFormatting sqref="T74:T75 T88">
    <cfRule type="containsText" dxfId="1" priority="413" operator="between" text="欠">
      <formula>NOT(ISERROR(SEARCH("欠",T74)))</formula>
    </cfRule>
  </conditionalFormatting>
  <conditionalFormatting sqref="R78 R83:R86 R80:R81">
    <cfRule type="containsText" dxfId="1" priority="408" operator="between" text="欠">
      <formula>NOT(ISERROR(SEARCH("欠",R78)))</formula>
    </cfRule>
  </conditionalFormatting>
  <conditionalFormatting sqref="S78 S83:S86 S80:S81">
    <cfRule type="containsText" dxfId="1" priority="409" operator="between" text="欠">
      <formula>NOT(ISERROR(SEARCH("欠",S78)))</formula>
    </cfRule>
  </conditionalFormatting>
  <conditionalFormatting sqref="U78 U83:U86 U80:U81">
    <cfRule type="containsText" dxfId="1" priority="410" operator="between" text="欠">
      <formula>NOT(ISERROR(SEARCH("欠",U78)))</formula>
    </cfRule>
  </conditionalFormatting>
  <conditionalFormatting sqref="T83:T86 T80:T81">
    <cfRule type="containsText" dxfId="1" priority="407" operator="between" text="欠">
      <formula>NOT(ISERROR(SEARCH("欠",T80)))</formula>
    </cfRule>
  </conditionalFormatting>
  <conditionalFormatting sqref="R98 R110">
    <cfRule type="containsText" dxfId="1" priority="378" operator="between" text="欠">
      <formula>NOT(ISERROR(SEARCH("欠",R98)))</formula>
    </cfRule>
  </conditionalFormatting>
  <conditionalFormatting sqref="R100 R102:R104 R107:R109 R111:R112 R115">
    <cfRule type="containsText" dxfId="1" priority="420" operator="between" text="欠">
      <formula>NOT(ISERROR(SEARCH("欠",R100)))</formula>
    </cfRule>
  </conditionalFormatting>
  <conditionalFormatting sqref="S100 S102:S105 S107:S109 S111:S113 U111 S115">
    <cfRule type="containsText" dxfId="1" priority="421" operator="between" text="欠">
      <formula>NOT(ISERROR(SEARCH("欠",S100)))</formula>
    </cfRule>
  </conditionalFormatting>
  <conditionalFormatting sqref="T100 T102:T105 T107:T109 T111:T113 T115">
    <cfRule type="containsText" dxfId="1" priority="419" operator="between" text="欠">
      <formula>NOT(ISERROR(SEARCH("欠",T100)))</formula>
    </cfRule>
  </conditionalFormatting>
  <conditionalFormatting sqref="R105 R113">
    <cfRule type="containsText" dxfId="1" priority="415" operator="between" text="欠">
      <formula>NOT(ISERROR(SEARCH("欠",R105)))</formula>
    </cfRule>
  </conditionalFormatting>
  <conditionalFormatting sqref="S106 S127">
    <cfRule type="containsText" dxfId="1" priority="360" operator="between" text="欠">
      <formula>NOT(ISERROR(SEARCH("欠",S106)))</formula>
    </cfRule>
  </conditionalFormatting>
  <conditionalFormatting sqref="T106 T127">
    <cfRule type="containsText" dxfId="1" priority="358" operator="between" text="欠">
      <formula>NOT(ISERROR(SEARCH("欠",T106)))</formula>
    </cfRule>
  </conditionalFormatting>
  <conditionalFormatting sqref="R120:R124 R116:R117 R128 R132">
    <cfRule type="containsText" dxfId="1" priority="295" operator="between" text="欠">
      <formula>NOT(ISERROR(SEARCH("欠",R116)))</formula>
    </cfRule>
  </conditionalFormatting>
  <conditionalFormatting sqref="S120:S124 U120:U124 U116:U117 S116:S117 S132 U132">
    <cfRule type="containsText" dxfId="1" priority="296" operator="between" text="欠">
      <formula>NOT(ISERROR(SEARCH("欠",S116)))</formula>
    </cfRule>
  </conditionalFormatting>
  <conditionalFormatting sqref="T120:T124 T116:T117 T132">
    <cfRule type="containsText" dxfId="1" priority="294" operator="between" text="欠">
      <formula>NOT(ISERROR(SEARCH("欠",T116)))</formula>
    </cfRule>
  </conditionalFormatting>
  <conditionalFormatting sqref="R125 R133">
    <cfRule type="containsText" dxfId="1" priority="418" operator="between" text="欠">
      <formula>NOT(ISERROR(SEARCH("欠",R125)))</formula>
    </cfRule>
  </conditionalFormatting>
  <conditionalFormatting sqref="R126 R130:R131 R134 R146:R147 R251">
    <cfRule type="containsText" dxfId="1" priority="417" operator="between" text="欠">
      <formula>NOT(ISERROR(SEARCH("欠",R126)))</formula>
    </cfRule>
  </conditionalFormatting>
  <conditionalFormatting sqref="S134 S141">
    <cfRule type="containsText" dxfId="1" priority="367" operator="between" text="欠">
      <formula>NOT(ISERROR(SEARCH("欠",S134)))</formula>
    </cfRule>
  </conditionalFormatting>
  <conditionalFormatting sqref="U134 U141">
    <cfRule type="containsText" dxfId="1" priority="368" operator="between" text="欠">
      <formula>NOT(ISERROR(SEARCH("欠",U134)))</formula>
    </cfRule>
  </conditionalFormatting>
  <conditionalFormatting sqref="U135 U145 U142">
    <cfRule type="containsText" dxfId="1" priority="264" operator="between" text="欠">
      <formula>NOT(ISERROR(SEARCH("欠",U135)))</formula>
    </cfRule>
  </conditionalFormatting>
  <conditionalFormatting sqref="R142 R145">
    <cfRule type="containsText" dxfId="1" priority="261" operator="between" text="欠">
      <formula>NOT(ISERROR(SEARCH("欠",R142)))</formula>
    </cfRule>
  </conditionalFormatting>
  <conditionalFormatting sqref="S142 S145">
    <cfRule type="containsText" dxfId="1" priority="263" operator="between" text="欠">
      <formula>NOT(ISERROR(SEARCH("欠",S142)))</formula>
    </cfRule>
  </conditionalFormatting>
  <conditionalFormatting sqref="T142 T145">
    <cfRule type="containsText" dxfId="1" priority="262" operator="between" text="欠">
      <formula>NOT(ISERROR(SEARCH("欠",T142)))</formula>
    </cfRule>
  </conditionalFormatting>
  <conditionalFormatting sqref="R164 R166">
    <cfRule type="containsText" dxfId="1" priority="183" operator="between" text="欠">
      <formula>NOT(ISERROR(SEARCH("欠",R164)))</formula>
    </cfRule>
  </conditionalFormatting>
  <conditionalFormatting sqref="S166:S167 S169:S170">
    <cfRule type="containsText" dxfId="1" priority="180" operator="between" text="欠">
      <formula>NOT(ISERROR(SEARCH("欠",S166)))</formula>
    </cfRule>
  </conditionalFormatting>
  <conditionalFormatting sqref="T166 T168:T170">
    <cfRule type="containsText" dxfId="1" priority="176" operator="between" text="欠">
      <formula>NOT(ISERROR(SEARCH("欠",T166)))</formula>
    </cfRule>
  </conditionalFormatting>
  <conditionalFormatting sqref="U166:U167 U169:U170">
    <cfRule type="containsText" dxfId="1" priority="181" operator="between" text="欠">
      <formula>NOT(ISERROR(SEARCH("欠",U166)))</formula>
    </cfRule>
  </conditionalFormatting>
  <conditionalFormatting sqref="R183:R185 R189:R190 R206:R207 R212:R250">
    <cfRule type="cellIs" dxfId="0" priority="157" operator="equal">
      <formula>"欠"</formula>
    </cfRule>
    <cfRule type="containsText" dxfId="1" priority="158" operator="between" text="欠">
      <formula>NOT(ISERROR(SEARCH("欠",R183)))</formula>
    </cfRule>
  </conditionalFormatting>
  <conditionalFormatting sqref="T183:T185 T189:T190 T206:T217 T219:T250">
    <cfRule type="containsText" dxfId="1" priority="156" operator="between" text="欠">
      <formula>NOT(ISERROR(SEARCH("欠",T183)))</formula>
    </cfRule>
  </conditionalFormatting>
  <conditionalFormatting sqref="R205:R206 R209:R211">
    <cfRule type="cellIs" dxfId="0" priority="65" operator="equal">
      <formula>"欠"</formula>
    </cfRule>
    <cfRule type="containsText" dxfId="1" priority="66" operator="between" text="欠">
      <formula>NOT(ISERROR(SEARCH("欠",R205)))</formula>
    </cfRule>
  </conditionalFormatting>
  <conditionalFormatting sqref="T206:U206 T207">
    <cfRule type="containsText" dxfId="1" priority="44" operator="between" text="欠">
      <formula>NOT(ISERROR(SEARCH("欠",T206)))</formula>
    </cfRule>
  </conditionalFormatting>
  <conditionalFormatting sqref="S208:S210 S213:S250">
    <cfRule type="containsText" dxfId="1" priority="124" operator="between" text="欠">
      <formula>NOT(ISERROR(SEARCH("欠",S208)))</formula>
    </cfRule>
  </conditionalFormatting>
  <conditionalFormatting sqref="U208:U210 U213:U250">
    <cfRule type="containsText" dxfId="1" priority="125" operator="between" text="欠">
      <formula>NOT(ISERROR(SEARCH("欠",U208)))</formula>
    </cfRule>
  </conditionalFormatting>
  <pageMargins left="0" right="0.0784722222222222" top="0.306944444444444" bottom="0.306944444444444" header="0.5" footer="0.5"/>
  <pageSetup paperSize="9" scale="18" orientation="landscape" horizontalDpi="600"/>
  <headerFooter alignWithMargins="0" scaleWithDoc="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406"/>
  <sheetViews>
    <sheetView zoomScale="80" zoomScaleNormal="80" workbookViewId="0">
      <pane xSplit="14" ySplit="3" topLeftCell="AE344" activePane="bottomRight" state="frozen"/>
      <selection/>
      <selection pane="topRight"/>
      <selection pane="bottomLeft"/>
      <selection pane="bottomRight" activeCell="A3" sqref="A3"/>
    </sheetView>
  </sheetViews>
  <sheetFormatPr defaultColWidth="8.1" defaultRowHeight="12"/>
  <cols>
    <col min="1" max="1" width="14.7083333333333" style="3042" customWidth="1"/>
    <col min="2" max="2" width="10.9166666666667" style="2846" customWidth="1"/>
    <col min="3" max="3" width="7.05833333333333" style="2846" customWidth="1"/>
    <col min="4" max="4" width="11.7333333333333" style="2846" customWidth="1"/>
    <col min="5" max="5" width="12.5666666666667" style="2846" customWidth="1"/>
    <col min="6" max="6" width="15.05" style="2847" customWidth="1"/>
    <col min="7" max="7" width="12.5333333333333" style="2846" customWidth="1"/>
    <col min="8" max="8" width="15.275" style="2846" customWidth="1"/>
    <col min="9" max="9" width="8.675" style="2846" customWidth="1"/>
    <col min="10" max="11" width="7.41666666666667" style="2846" customWidth="1"/>
    <col min="12" max="12" width="7.70833333333333" style="2846" customWidth="1"/>
    <col min="13" max="13" width="14.7083333333333" style="2846" customWidth="1"/>
    <col min="14" max="14" width="13.85" style="2846" customWidth="1"/>
    <col min="15" max="15" width="10.85" style="2846" customWidth="1"/>
    <col min="16" max="16" width="9.71666666666667" style="2846" customWidth="1"/>
    <col min="17" max="20" width="9.70833333333333" style="3043" customWidth="1"/>
    <col min="21" max="21" width="8.1" style="3042" customWidth="1"/>
    <col min="22" max="22" width="8.1" style="2846" customWidth="1"/>
    <col min="23" max="23" width="9.85833333333333" style="2846" customWidth="1"/>
    <col min="24" max="24" width="8.1" style="2846" customWidth="1"/>
    <col min="25" max="25" width="11.9583333333333" style="2846" customWidth="1"/>
    <col min="26" max="26" width="10" style="2846" customWidth="1"/>
    <col min="27" max="27" width="9.11666666666667" style="2846" customWidth="1"/>
    <col min="28" max="28" width="29.9583333333333" style="3044" customWidth="1"/>
    <col min="29" max="29" width="10.2833333333333" style="2846" customWidth="1"/>
    <col min="30" max="30" width="9.15833333333333" style="2846" customWidth="1"/>
    <col min="31" max="31" width="10.4416666666667" style="2846" customWidth="1"/>
    <col min="32" max="32" width="12.9666666666667" style="2846" customWidth="1"/>
    <col min="33" max="33" width="16.4" style="2846" customWidth="1"/>
    <col min="34" max="34" width="8.1" style="2846" customWidth="1"/>
    <col min="35" max="35" width="10.7" style="2846" customWidth="1"/>
    <col min="36" max="36" width="13.7083333333333" style="2846" customWidth="1"/>
    <col min="37" max="37" width="13.7083333333333" style="2846" hidden="1" customWidth="1"/>
    <col min="38" max="38" width="13.7083333333333" style="2846" customWidth="1"/>
    <col min="39" max="39" width="8.1" style="2846" hidden="1" customWidth="1"/>
    <col min="40" max="40" width="9.7" style="2846"/>
    <col min="41" max="41" width="10.7" style="2846" hidden="1" customWidth="1"/>
    <col min="42" max="42" width="12.275" style="2846" customWidth="1"/>
    <col min="43" max="44" width="10.7083333333333" style="2846" customWidth="1"/>
    <col min="45" max="45" width="9.7" style="2846"/>
    <col min="46" max="46" width="9.39166666666667" style="2846" hidden="1" customWidth="1"/>
    <col min="47" max="49" width="11.7" style="2846" hidden="1" customWidth="1"/>
    <col min="50" max="52" width="11.6" style="2846"/>
    <col min="53" max="53" width="8.7" style="2846"/>
    <col min="54" max="58" width="8.7" style="2846" customWidth="1"/>
    <col min="59" max="60" width="8.1" style="2846"/>
    <col min="61" max="61" width="8.7" style="2846"/>
    <col min="62" max="62" width="10.7" style="3045"/>
    <col min="63" max="63" width="9.7" style="2846"/>
    <col min="64" max="64" width="8.1" style="2846"/>
    <col min="65" max="65" width="10.2833333333333" style="2846" hidden="1" customWidth="1"/>
    <col min="66" max="70" width="10.2416666666667" style="2846" customWidth="1"/>
    <col min="71" max="71" width="10.7" style="2846"/>
    <col min="72" max="75" width="11.7" style="2846"/>
    <col min="76" max="16384" width="8.1" style="2846"/>
  </cols>
  <sheetData>
    <row r="1" s="2835" customFormat="1" ht="12.75" spans="1:76">
      <c r="A1" s="3046" t="s">
        <v>9096</v>
      </c>
      <c r="B1" s="2849"/>
      <c r="C1" s="2849"/>
      <c r="D1" s="2849"/>
      <c r="E1" s="2849"/>
      <c r="F1" s="2849"/>
      <c r="G1" s="2849"/>
      <c r="H1" s="2849"/>
      <c r="I1" s="2849"/>
      <c r="J1" s="2851"/>
      <c r="K1" s="2851"/>
      <c r="L1" s="2851"/>
      <c r="M1" s="2851"/>
      <c r="N1" s="2851"/>
      <c r="O1" s="2851"/>
      <c r="P1" s="2852"/>
      <c r="Q1" s="2852"/>
      <c r="R1" s="2852"/>
      <c r="S1" s="2852"/>
      <c r="T1" s="2852"/>
      <c r="U1" s="3047"/>
      <c r="V1" s="2853"/>
      <c r="W1" s="2851"/>
      <c r="X1" s="2851"/>
      <c r="Y1" s="2852"/>
      <c r="Z1" s="2851"/>
      <c r="AA1" s="2853"/>
      <c r="AB1" s="3048"/>
      <c r="AC1" s="2854"/>
      <c r="AD1" s="2854"/>
      <c r="AE1" s="2852"/>
      <c r="AF1" s="2852"/>
      <c r="AG1" s="2852"/>
      <c r="AH1" s="2852"/>
      <c r="AI1" s="2855"/>
      <c r="AJ1" s="2855"/>
      <c r="AK1" s="2855"/>
      <c r="AL1" s="2855"/>
      <c r="AM1" s="2855"/>
      <c r="AN1" s="2855"/>
      <c r="AO1" s="2856"/>
      <c r="AP1" s="2856"/>
      <c r="AQ1" s="2856"/>
      <c r="AR1" s="2856"/>
      <c r="AS1" s="2856"/>
      <c r="AT1" s="2856"/>
      <c r="AU1" s="2856"/>
      <c r="AV1" s="2856"/>
      <c r="AW1" s="2856"/>
      <c r="AX1" s="2856"/>
      <c r="AY1" s="2856"/>
      <c r="AZ1" s="2856"/>
      <c r="BA1" s="2856"/>
      <c r="BB1" s="2856"/>
      <c r="BC1" s="2856"/>
      <c r="BD1" s="2856"/>
      <c r="BE1" s="2856"/>
      <c r="BF1" s="2856"/>
      <c r="BG1" s="2856"/>
      <c r="BH1" s="2856"/>
      <c r="BI1" s="2858" t="s">
        <v>9097</v>
      </c>
      <c r="BJ1" s="3049"/>
      <c r="BK1" s="2856"/>
      <c r="BL1" s="3050"/>
      <c r="BM1" s="3051"/>
      <c r="BN1" s="2846"/>
      <c r="BO1" s="2846"/>
      <c r="BP1" s="2846"/>
      <c r="BQ1" s="2846"/>
      <c r="BR1" s="2846"/>
      <c r="BS1" s="2846"/>
      <c r="BT1" s="2863" t="s">
        <v>9098</v>
      </c>
      <c r="BU1" s="2863" t="s">
        <v>9099</v>
      </c>
      <c r="BV1" s="2863" t="s">
        <v>9100</v>
      </c>
      <c r="BW1" s="2863" t="s">
        <v>8571</v>
      </c>
      <c r="BX1" s="2846"/>
    </row>
    <row r="2" s="2836" customFormat="1" ht="18" customHeight="1" spans="1:76">
      <c r="A2" s="3052"/>
      <c r="B2" s="2865"/>
      <c r="C2" s="2865"/>
      <c r="D2" s="2865"/>
      <c r="E2" s="2865"/>
      <c r="F2" s="2865"/>
      <c r="G2" s="2865"/>
      <c r="H2" s="2865"/>
      <c r="I2" s="2865"/>
      <c r="J2" s="2851"/>
      <c r="K2" s="2851"/>
      <c r="L2" s="2846"/>
      <c r="M2" s="2851"/>
      <c r="N2" s="3053"/>
      <c r="O2" s="2846"/>
      <c r="P2" s="2846"/>
      <c r="Q2" s="3043"/>
      <c r="R2" s="3043"/>
      <c r="S2" s="3043"/>
      <c r="T2" s="3043"/>
      <c r="U2" s="3054"/>
      <c r="V2" s="2867"/>
      <c r="W2" s="2868"/>
      <c r="X2" s="2868"/>
      <c r="Y2" s="2868"/>
      <c r="Z2" s="2868"/>
      <c r="AA2" s="2868"/>
      <c r="AB2" s="3055"/>
      <c r="AC2" s="2869"/>
      <c r="AD2" s="2869"/>
      <c r="AE2" s="2870"/>
      <c r="AF2" s="2871"/>
      <c r="AG2" s="2871"/>
      <c r="AH2" s="2871"/>
      <c r="AI2" s="2872" t="s">
        <v>9101</v>
      </c>
      <c r="AJ2" s="2872"/>
      <c r="AK2" s="2872"/>
      <c r="AL2" s="2872"/>
      <c r="AM2" s="2872"/>
      <c r="AN2" s="2872"/>
      <c r="AO2" s="2874" t="s">
        <v>286</v>
      </c>
      <c r="AP2" s="3056"/>
      <c r="AQ2" s="3056"/>
      <c r="AR2" s="3056"/>
      <c r="AS2" s="3056"/>
      <c r="AT2" s="2875" t="s">
        <v>9102</v>
      </c>
      <c r="AU2" s="2876"/>
      <c r="AV2" s="2876"/>
      <c r="AW2" s="2877"/>
      <c r="AX2" s="2878" t="s">
        <v>9103</v>
      </c>
      <c r="AY2" s="2879"/>
      <c r="AZ2" s="2879"/>
      <c r="BA2" s="2880"/>
      <c r="BB2" s="3057" t="s">
        <v>9104</v>
      </c>
      <c r="BC2" s="2873"/>
      <c r="BD2" s="2873"/>
      <c r="BE2" s="2873"/>
      <c r="BF2" s="2874"/>
      <c r="BG2" s="2874" t="s">
        <v>9105</v>
      </c>
      <c r="BH2" s="2885"/>
      <c r="BI2" s="2886">
        <v>134696</v>
      </c>
      <c r="BJ2" s="2873" t="s">
        <v>287</v>
      </c>
      <c r="BK2" s="2873"/>
      <c r="BL2" s="3058" t="s">
        <v>9106</v>
      </c>
      <c r="BM2" s="3059"/>
      <c r="BN2" s="2835"/>
      <c r="BO2" s="2835"/>
      <c r="BP2" s="2835"/>
      <c r="BQ2" s="2835"/>
      <c r="BR2" s="2835"/>
      <c r="BS2" s="2835" t="s">
        <v>9107</v>
      </c>
      <c r="BT2" s="2863">
        <f>'生产MA-1'!D19</f>
        <v>265000</v>
      </c>
      <c r="BU2" s="2863">
        <f>'生产MA-1'!E19</f>
        <v>265000</v>
      </c>
      <c r="BV2" s="2863">
        <f>'生产MA-1'!F19</f>
        <v>262000</v>
      </c>
      <c r="BW2" s="2863">
        <f>'生产MA-1'!G19</f>
        <v>261000</v>
      </c>
      <c r="BX2" s="2846">
        <f>SUM(BT2:BW2)</f>
        <v>1053000</v>
      </c>
    </row>
    <row r="3" s="2837" customFormat="1" ht="48" customHeight="1" spans="1:76">
      <c r="A3" s="2891" t="s">
        <v>9108</v>
      </c>
      <c r="B3" s="2892" t="s">
        <v>15</v>
      </c>
      <c r="C3" s="2892" t="s">
        <v>16</v>
      </c>
      <c r="D3" s="2892" t="s">
        <v>17</v>
      </c>
      <c r="E3" s="2892" t="s">
        <v>18</v>
      </c>
      <c r="F3" s="2892" t="s">
        <v>9109</v>
      </c>
      <c r="G3" s="2892" t="s">
        <v>9110</v>
      </c>
      <c r="H3" s="2892" t="s">
        <v>9111</v>
      </c>
      <c r="I3" s="2892" t="s">
        <v>9112</v>
      </c>
      <c r="J3" s="2892" t="s">
        <v>24</v>
      </c>
      <c r="K3" s="2892" t="s">
        <v>9113</v>
      </c>
      <c r="L3" s="2892" t="s">
        <v>26</v>
      </c>
      <c r="M3" s="2892" t="s">
        <v>9114</v>
      </c>
      <c r="N3" s="2892" t="s">
        <v>9115</v>
      </c>
      <c r="O3" s="2893" t="s">
        <v>9116</v>
      </c>
      <c r="P3" s="2892" t="s">
        <v>30</v>
      </c>
      <c r="Q3" s="3060" t="s">
        <v>31</v>
      </c>
      <c r="R3" s="3060" t="s">
        <v>32</v>
      </c>
      <c r="S3" s="3060" t="s">
        <v>288</v>
      </c>
      <c r="T3" s="3061" t="s">
        <v>9117</v>
      </c>
      <c r="U3" s="2891" t="s">
        <v>33</v>
      </c>
      <c r="V3" s="2892" t="s">
        <v>9118</v>
      </c>
      <c r="W3" s="2892" t="s">
        <v>9119</v>
      </c>
      <c r="X3" s="2892" t="s">
        <v>9120</v>
      </c>
      <c r="Y3" s="2893" t="s">
        <v>9121</v>
      </c>
      <c r="Z3" s="2893" t="s">
        <v>37</v>
      </c>
      <c r="AA3" s="2893" t="s">
        <v>38</v>
      </c>
      <c r="AB3" s="3062" t="s">
        <v>39</v>
      </c>
      <c r="AC3" s="2892" t="s">
        <v>9122</v>
      </c>
      <c r="AD3" s="2892" t="s">
        <v>41</v>
      </c>
      <c r="AE3" s="2895" t="s">
        <v>42</v>
      </c>
      <c r="AF3" s="2896" t="s">
        <v>43</v>
      </c>
      <c r="AG3" s="2896" t="s">
        <v>20</v>
      </c>
      <c r="AH3" s="2896" t="s">
        <v>44</v>
      </c>
      <c r="AI3" s="2892" t="s">
        <v>9123</v>
      </c>
      <c r="AJ3" s="2898" t="s">
        <v>9124</v>
      </c>
      <c r="AK3" s="2892" t="s">
        <v>9125</v>
      </c>
      <c r="AL3" s="2898" t="s">
        <v>9126</v>
      </c>
      <c r="AM3" s="2898" t="s">
        <v>9127</v>
      </c>
      <c r="AN3" s="2892" t="s">
        <v>9128</v>
      </c>
      <c r="AO3" s="2886" t="s">
        <v>9129</v>
      </c>
      <c r="AP3" s="2899" t="s">
        <v>9130</v>
      </c>
      <c r="AQ3" s="2898" t="s">
        <v>9127</v>
      </c>
      <c r="AR3" s="2886" t="s">
        <v>9131</v>
      </c>
      <c r="AS3" s="2900" t="s">
        <v>9128</v>
      </c>
      <c r="AT3" s="2901" t="s">
        <v>9132</v>
      </c>
      <c r="AU3" s="2886" t="s">
        <v>9133</v>
      </c>
      <c r="AV3" s="2886" t="s">
        <v>9134</v>
      </c>
      <c r="AW3" s="2902" t="s">
        <v>9135</v>
      </c>
      <c r="AX3" s="2901" t="s">
        <v>9132</v>
      </c>
      <c r="AY3" s="2886" t="s">
        <v>9133</v>
      </c>
      <c r="AZ3" s="2886" t="s">
        <v>9134</v>
      </c>
      <c r="BA3" s="2902" t="s">
        <v>9135</v>
      </c>
      <c r="BB3" s="2884" t="s">
        <v>9136</v>
      </c>
      <c r="BC3" s="2886" t="s">
        <v>9137</v>
      </c>
      <c r="BD3" s="2886" t="s">
        <v>9138</v>
      </c>
      <c r="BE3" s="2886" t="s">
        <v>9139</v>
      </c>
      <c r="BF3" s="2886" t="s">
        <v>75</v>
      </c>
      <c r="BG3" s="2886" t="s">
        <v>9140</v>
      </c>
      <c r="BH3" s="2886" t="s">
        <v>9141</v>
      </c>
      <c r="BI3" s="2886" t="s">
        <v>9142</v>
      </c>
      <c r="BJ3" s="2886" t="s">
        <v>9143</v>
      </c>
      <c r="BK3" s="2899" t="s">
        <v>9144</v>
      </c>
      <c r="BL3" s="3058" t="s">
        <v>9145</v>
      </c>
      <c r="BM3" s="2884"/>
      <c r="BN3" s="2862" t="s">
        <v>9146</v>
      </c>
      <c r="BO3" s="2862" t="s">
        <v>9147</v>
      </c>
      <c r="BP3" s="2862" t="s">
        <v>9148</v>
      </c>
      <c r="BQ3" s="2862" t="s">
        <v>9149</v>
      </c>
      <c r="BR3" s="2862"/>
      <c r="BS3" s="2887" t="s">
        <v>9150</v>
      </c>
      <c r="BT3" s="2887" t="s">
        <v>9151</v>
      </c>
      <c r="BU3" s="2887" t="s">
        <v>9151</v>
      </c>
      <c r="BV3" s="2887" t="s">
        <v>9151</v>
      </c>
      <c r="BW3" s="2887" t="s">
        <v>9151</v>
      </c>
      <c r="BX3" s="2887"/>
    </row>
    <row r="4" s="3031" customFormat="1" ht="32" customHeight="1" spans="1:76">
      <c r="A4" s="3063">
        <v>45289</v>
      </c>
      <c r="B4" s="3064" t="s">
        <v>323</v>
      </c>
      <c r="C4" s="3065" t="s">
        <v>324</v>
      </c>
      <c r="D4" s="3066" t="s">
        <v>9152</v>
      </c>
      <c r="E4" s="3067" t="s">
        <v>9153</v>
      </c>
      <c r="F4" s="3068"/>
      <c r="G4" s="3069" t="s">
        <v>9154</v>
      </c>
      <c r="H4" s="3069" t="s">
        <v>9155</v>
      </c>
      <c r="I4" s="2969">
        <v>284</v>
      </c>
      <c r="J4" s="2969">
        <v>0</v>
      </c>
      <c r="K4" s="2969">
        <v>8</v>
      </c>
      <c r="L4" s="2969">
        <f t="shared" ref="L4:L37" si="0">I4/K4</f>
        <v>35.5</v>
      </c>
      <c r="M4" s="3070">
        <v>45313</v>
      </c>
      <c r="N4" s="3070">
        <v>45309</v>
      </c>
      <c r="O4" s="2996"/>
      <c r="P4" s="2996"/>
      <c r="Q4" s="3071"/>
      <c r="R4" s="3071"/>
      <c r="S4" s="3071"/>
      <c r="T4" s="3071"/>
      <c r="U4" s="3072"/>
      <c r="V4" s="2996"/>
      <c r="W4" s="3073" t="s">
        <v>98</v>
      </c>
      <c r="X4" s="3073" t="s">
        <v>98</v>
      </c>
      <c r="Y4" s="3073" t="s">
        <v>98</v>
      </c>
      <c r="Z4" s="3073"/>
      <c r="AA4" s="3073"/>
      <c r="AB4" s="3074" t="s">
        <v>9156</v>
      </c>
      <c r="AC4" s="2969"/>
      <c r="AD4" s="3075"/>
      <c r="AE4" s="3076"/>
      <c r="AF4" s="2969"/>
      <c r="AG4" s="2969" t="s">
        <v>5400</v>
      </c>
      <c r="AH4" s="2969" t="s">
        <v>5400</v>
      </c>
      <c r="AI4" s="3077"/>
      <c r="AJ4" s="3078"/>
      <c r="AK4" s="3077"/>
      <c r="AL4" s="3078"/>
      <c r="AM4" s="3077"/>
      <c r="AN4" s="3078"/>
      <c r="AO4" s="3079"/>
      <c r="AP4" s="3080"/>
      <c r="AQ4" s="3080"/>
      <c r="AR4" s="3080"/>
      <c r="AS4" s="3081"/>
      <c r="AT4" s="3082"/>
      <c r="AU4" s="3083"/>
      <c r="AV4" s="3083"/>
      <c r="AW4" s="3084"/>
      <c r="AX4" s="3085"/>
      <c r="AY4" s="3080"/>
      <c r="AZ4" s="3080"/>
      <c r="BA4" s="3086"/>
      <c r="BB4" s="3087"/>
      <c r="BC4" s="3080"/>
      <c r="BD4" s="3080"/>
      <c r="BE4" s="3080"/>
      <c r="BF4" s="3080">
        <f t="shared" ref="BF4:BF35" si="1">SUM(AT4:BE4)-I4</f>
        <v>-284</v>
      </c>
      <c r="BG4" s="3080"/>
      <c r="BH4" s="3080"/>
      <c r="BI4" s="3080"/>
      <c r="BJ4" s="3080"/>
      <c r="BK4" s="3080"/>
      <c r="BL4" s="3080"/>
      <c r="BM4" s="3079"/>
      <c r="BN4" s="3080">
        <v>0</v>
      </c>
      <c r="BO4" s="3080">
        <v>0</v>
      </c>
      <c r="BP4" s="3080">
        <v>0</v>
      </c>
      <c r="BQ4" s="3080">
        <v>0</v>
      </c>
      <c r="BR4" s="3080">
        <f t="shared" ref="BR4:BR67" si="2">BN4+BO4+BP4+BQ4-I4</f>
        <v>-284</v>
      </c>
      <c r="BS4" s="3088">
        <f t="shared" ref="BS4:BS67" si="3">BN4+BO4+BP4+BQ4+$BS$369</f>
        <v>512480</v>
      </c>
      <c r="BT4" s="3088">
        <f t="shared" ref="BT4:BW4" si="4">$BT$2-$BT$369-BN4</f>
        <v>151789.333333333</v>
      </c>
      <c r="BU4" s="3088">
        <f t="shared" si="4"/>
        <v>151789.333333333</v>
      </c>
      <c r="BV4" s="3088">
        <f t="shared" si="4"/>
        <v>151789.333333333</v>
      </c>
      <c r="BW4" s="3088">
        <f t="shared" si="4"/>
        <v>151789.333333333</v>
      </c>
      <c r="BX4" s="3088"/>
    </row>
    <row r="5" s="3031" customFormat="1" ht="32" customHeight="1" spans="1:76">
      <c r="A5" s="3063">
        <v>45561</v>
      </c>
      <c r="B5" s="3064" t="s">
        <v>6682</v>
      </c>
      <c r="C5" s="3065" t="s">
        <v>396</v>
      </c>
      <c r="D5" s="3066">
        <v>4500146212</v>
      </c>
      <c r="E5" s="3067"/>
      <c r="F5" s="3066" t="s">
        <v>9157</v>
      </c>
      <c r="G5" s="3069" t="s">
        <v>9158</v>
      </c>
      <c r="H5" s="3069" t="s">
        <v>9155</v>
      </c>
      <c r="I5" s="2969">
        <v>1707</v>
      </c>
      <c r="J5" s="2969">
        <v>0</v>
      </c>
      <c r="K5" s="2969">
        <v>1</v>
      </c>
      <c r="L5" s="2969">
        <f t="shared" si="0"/>
        <v>1707</v>
      </c>
      <c r="M5" s="3070">
        <v>45621</v>
      </c>
      <c r="N5" s="3070">
        <v>45617</v>
      </c>
      <c r="O5" s="2996" t="s">
        <v>9159</v>
      </c>
      <c r="P5" s="3089" t="s">
        <v>82</v>
      </c>
      <c r="Q5" s="3090"/>
      <c r="R5" s="3090"/>
      <c r="S5" s="3090"/>
      <c r="T5" s="3090"/>
      <c r="U5" s="3072" t="s">
        <v>518</v>
      </c>
      <c r="V5" s="2996"/>
      <c r="W5" s="3073" t="s">
        <v>2243</v>
      </c>
      <c r="X5" s="3073" t="s">
        <v>98</v>
      </c>
      <c r="Y5" s="3073" t="s">
        <v>9160</v>
      </c>
      <c r="Z5" s="3073"/>
      <c r="AA5" s="3073"/>
      <c r="AB5" s="3091" t="s">
        <v>9161</v>
      </c>
      <c r="AC5" s="2969" t="s">
        <v>6688</v>
      </c>
      <c r="AD5" s="3075">
        <v>4.3993</v>
      </c>
      <c r="AE5" s="3076">
        <f t="shared" ref="AE5:AE35" si="5">AD5*I5</f>
        <v>7509.6051</v>
      </c>
      <c r="AF5" s="2969" t="s">
        <v>9162</v>
      </c>
      <c r="AG5" s="3069" t="s">
        <v>9163</v>
      </c>
      <c r="AH5" s="2969" t="s">
        <v>416</v>
      </c>
      <c r="AI5" s="3077"/>
      <c r="AJ5" s="3078"/>
      <c r="AK5" s="3077"/>
      <c r="AL5" s="3078">
        <f>I5</f>
        <v>1707</v>
      </c>
      <c r="AM5" s="3077"/>
      <c r="AN5" s="3078"/>
      <c r="AO5" s="3079"/>
      <c r="AP5" s="3080">
        <f>I5</f>
        <v>1707</v>
      </c>
      <c r="AQ5" s="3080"/>
      <c r="AR5" s="3080"/>
      <c r="AS5" s="3081"/>
      <c r="AT5" s="3082">
        <f t="shared" ref="AT5:AT8" si="6">I5/4</f>
        <v>426.75</v>
      </c>
      <c r="AU5" s="3083">
        <f t="shared" ref="AU5:AW5" si="7">AT5</f>
        <v>426.75</v>
      </c>
      <c r="AV5" s="3083">
        <f t="shared" si="7"/>
        <v>426.75</v>
      </c>
      <c r="AW5" s="3084">
        <f t="shared" si="7"/>
        <v>426.75</v>
      </c>
      <c r="AX5" s="3085"/>
      <c r="AY5" s="3080"/>
      <c r="AZ5" s="3080"/>
      <c r="BA5" s="3086"/>
      <c r="BB5" s="3087"/>
      <c r="BC5" s="3080"/>
      <c r="BD5" s="3080"/>
      <c r="BE5" s="3080"/>
      <c r="BF5" s="3080">
        <f t="shared" si="1"/>
        <v>0</v>
      </c>
      <c r="BG5" s="3080"/>
      <c r="BH5" s="3080"/>
      <c r="BI5" s="3080"/>
      <c r="BJ5" s="3080"/>
      <c r="BK5" s="3080">
        <f>I5</f>
        <v>1707</v>
      </c>
      <c r="BL5" s="3080" t="s">
        <v>9164</v>
      </c>
      <c r="BM5" s="3079"/>
      <c r="BN5" s="3080">
        <f t="shared" ref="BN5:BN8" si="8">I5/4</f>
        <v>426.75</v>
      </c>
      <c r="BO5" s="3080">
        <f t="shared" ref="BO5:BO8" si="9">I5/4</f>
        <v>426.75</v>
      </c>
      <c r="BP5" s="3080">
        <f t="shared" ref="BP5:BP8" si="10">I5/4</f>
        <v>426.75</v>
      </c>
      <c r="BQ5" s="3080">
        <f t="shared" ref="BQ5:BQ8" si="11">I5/4</f>
        <v>426.75</v>
      </c>
      <c r="BR5" s="3080">
        <f t="shared" si="2"/>
        <v>0</v>
      </c>
      <c r="BS5" s="3088">
        <f t="shared" si="3"/>
        <v>514187</v>
      </c>
      <c r="BT5" s="3088">
        <f t="shared" ref="BT5:BW5" si="12">BT4-BN5</f>
        <v>151362.583333333</v>
      </c>
      <c r="BU5" s="3088">
        <f t="shared" si="12"/>
        <v>151362.583333333</v>
      </c>
      <c r="BV5" s="3088">
        <f t="shared" si="12"/>
        <v>151362.583333333</v>
      </c>
      <c r="BW5" s="3088">
        <f t="shared" si="12"/>
        <v>151362.583333333</v>
      </c>
      <c r="BX5" s="3088"/>
    </row>
    <row r="6" s="3031" customFormat="1" ht="32" customHeight="1" spans="1:76">
      <c r="A6" s="3063">
        <v>45523</v>
      </c>
      <c r="B6" s="3064" t="s">
        <v>2285</v>
      </c>
      <c r="C6" s="3065" t="s">
        <v>2580</v>
      </c>
      <c r="D6" s="3066">
        <v>4500143263</v>
      </c>
      <c r="E6" s="3067" t="s">
        <v>3330</v>
      </c>
      <c r="F6" s="3066" t="s">
        <v>9165</v>
      </c>
      <c r="G6" s="3069" t="s">
        <v>9154</v>
      </c>
      <c r="H6" s="3069" t="s">
        <v>9155</v>
      </c>
      <c r="I6" s="2969">
        <v>2320</v>
      </c>
      <c r="J6" s="2969">
        <v>0</v>
      </c>
      <c r="K6" s="2969">
        <v>8</v>
      </c>
      <c r="L6" s="2969">
        <f t="shared" si="0"/>
        <v>290</v>
      </c>
      <c r="M6" s="3070">
        <v>45667</v>
      </c>
      <c r="N6" s="3070">
        <v>45663</v>
      </c>
      <c r="O6" s="2996"/>
      <c r="P6" s="3089" t="s">
        <v>82</v>
      </c>
      <c r="Q6" s="3090"/>
      <c r="R6" s="3090"/>
      <c r="S6" s="3090"/>
      <c r="T6" s="3090"/>
      <c r="U6" s="3072" t="s">
        <v>5398</v>
      </c>
      <c r="V6" s="2996"/>
      <c r="W6" s="3073" t="s">
        <v>7802</v>
      </c>
      <c r="X6" s="3073" t="s">
        <v>98</v>
      </c>
      <c r="Y6" s="3073" t="s">
        <v>9166</v>
      </c>
      <c r="Z6" s="3073" t="s">
        <v>9167</v>
      </c>
      <c r="AA6" s="3073" t="s">
        <v>9168</v>
      </c>
      <c r="AB6" s="3091" t="s">
        <v>9169</v>
      </c>
      <c r="AC6" s="2969" t="s">
        <v>357</v>
      </c>
      <c r="AD6" s="3075">
        <v>4.2362</v>
      </c>
      <c r="AE6" s="3076">
        <f t="shared" si="5"/>
        <v>9827.984</v>
      </c>
      <c r="AF6" s="2969" t="s">
        <v>9170</v>
      </c>
      <c r="AG6" s="3069" t="s">
        <v>9171</v>
      </c>
      <c r="AH6" s="2969" t="s">
        <v>416</v>
      </c>
      <c r="AI6" s="3077"/>
      <c r="AJ6" s="3078"/>
      <c r="AK6" s="3077"/>
      <c r="AL6" s="3078"/>
      <c r="AM6" s="3077"/>
      <c r="AN6" s="3078">
        <f>I6</f>
        <v>2320</v>
      </c>
      <c r="AO6" s="3079">
        <f t="shared" ref="AO6:AO11" si="13">I6</f>
        <v>2320</v>
      </c>
      <c r="AP6" s="3080"/>
      <c r="AQ6" s="3080"/>
      <c r="AR6" s="3080"/>
      <c r="AS6" s="3081"/>
      <c r="AT6" s="3082">
        <f t="shared" si="6"/>
        <v>580</v>
      </c>
      <c r="AU6" s="3083">
        <f t="shared" ref="AU6:AW6" si="14">AT6</f>
        <v>580</v>
      </c>
      <c r="AV6" s="3083">
        <f t="shared" si="14"/>
        <v>580</v>
      </c>
      <c r="AW6" s="3084">
        <f t="shared" si="14"/>
        <v>580</v>
      </c>
      <c r="AX6" s="3085"/>
      <c r="AY6" s="3080"/>
      <c r="AZ6" s="3080"/>
      <c r="BA6" s="3086"/>
      <c r="BB6" s="3087"/>
      <c r="BC6" s="3080"/>
      <c r="BD6" s="3080"/>
      <c r="BE6" s="3080"/>
      <c r="BF6" s="3080">
        <f t="shared" si="1"/>
        <v>0</v>
      </c>
      <c r="BG6" s="3080"/>
      <c r="BH6" s="3080"/>
      <c r="BI6" s="3080"/>
      <c r="BJ6" s="3080">
        <f t="shared" ref="BJ6:BJ11" si="15">I6</f>
        <v>2320</v>
      </c>
      <c r="BK6" s="3080"/>
      <c r="BL6" s="3080" t="s">
        <v>9164</v>
      </c>
      <c r="BM6" s="3079"/>
      <c r="BN6" s="3080">
        <f t="shared" si="8"/>
        <v>580</v>
      </c>
      <c r="BO6" s="3080">
        <f t="shared" si="9"/>
        <v>580</v>
      </c>
      <c r="BP6" s="3080">
        <f t="shared" si="10"/>
        <v>580</v>
      </c>
      <c r="BQ6" s="3080">
        <f t="shared" si="11"/>
        <v>580</v>
      </c>
      <c r="BR6" s="3080">
        <f t="shared" si="2"/>
        <v>0</v>
      </c>
      <c r="BS6" s="3088">
        <f t="shared" si="3"/>
        <v>514800</v>
      </c>
      <c r="BT6" s="3088">
        <f t="shared" ref="BT6:BW6" si="16">BT5-BN6</f>
        <v>150782.583333333</v>
      </c>
      <c r="BU6" s="3088">
        <f t="shared" si="16"/>
        <v>150782.583333333</v>
      </c>
      <c r="BV6" s="3088">
        <f t="shared" si="16"/>
        <v>150782.583333333</v>
      </c>
      <c r="BW6" s="3088">
        <f t="shared" si="16"/>
        <v>150782.583333333</v>
      </c>
      <c r="BX6" s="3088"/>
    </row>
    <row r="7" s="3031" customFormat="1" ht="32" customHeight="1" spans="1:76">
      <c r="A7" s="3063">
        <v>45523</v>
      </c>
      <c r="B7" s="3064" t="s">
        <v>2285</v>
      </c>
      <c r="C7" s="3065" t="s">
        <v>2580</v>
      </c>
      <c r="D7" s="3066">
        <v>4500143263</v>
      </c>
      <c r="E7" s="3067" t="s">
        <v>3336</v>
      </c>
      <c r="F7" s="3066" t="s">
        <v>9172</v>
      </c>
      <c r="G7" s="3069" t="s">
        <v>9154</v>
      </c>
      <c r="H7" s="3069" t="s">
        <v>9155</v>
      </c>
      <c r="I7" s="2969">
        <v>1160</v>
      </c>
      <c r="J7" s="2969">
        <v>0</v>
      </c>
      <c r="K7" s="2969">
        <v>8</v>
      </c>
      <c r="L7" s="2969">
        <f t="shared" si="0"/>
        <v>145</v>
      </c>
      <c r="M7" s="3070">
        <v>45667</v>
      </c>
      <c r="N7" s="3070">
        <v>45663</v>
      </c>
      <c r="O7" s="2996"/>
      <c r="P7" s="3089" t="s">
        <v>82</v>
      </c>
      <c r="Q7" s="3090"/>
      <c r="R7" s="3090"/>
      <c r="S7" s="3090"/>
      <c r="T7" s="3090"/>
      <c r="U7" s="3072" t="s">
        <v>5398</v>
      </c>
      <c r="V7" s="2996"/>
      <c r="W7" s="3073" t="s">
        <v>7802</v>
      </c>
      <c r="X7" s="3073" t="s">
        <v>98</v>
      </c>
      <c r="Y7" s="3073" t="s">
        <v>9166</v>
      </c>
      <c r="Z7" s="3073" t="s">
        <v>9167</v>
      </c>
      <c r="AA7" s="3073" t="s">
        <v>9168</v>
      </c>
      <c r="AB7" s="3091" t="s">
        <v>9169</v>
      </c>
      <c r="AC7" s="2969" t="s">
        <v>357</v>
      </c>
      <c r="AD7" s="3075">
        <v>4.2362</v>
      </c>
      <c r="AE7" s="3076">
        <f t="shared" si="5"/>
        <v>4913.992</v>
      </c>
      <c r="AF7" s="2969" t="s">
        <v>9170</v>
      </c>
      <c r="AG7" s="3069" t="s">
        <v>9171</v>
      </c>
      <c r="AH7" s="2969" t="s">
        <v>416</v>
      </c>
      <c r="AI7" s="3077"/>
      <c r="AJ7" s="3078"/>
      <c r="AK7" s="3077"/>
      <c r="AL7" s="3078"/>
      <c r="AM7" s="3077"/>
      <c r="AN7" s="3078">
        <f>I7</f>
        <v>1160</v>
      </c>
      <c r="AO7" s="3079">
        <f t="shared" si="13"/>
        <v>1160</v>
      </c>
      <c r="AP7" s="3080"/>
      <c r="AQ7" s="3080"/>
      <c r="AR7" s="3080"/>
      <c r="AS7" s="3081"/>
      <c r="AT7" s="3082">
        <f t="shared" si="6"/>
        <v>290</v>
      </c>
      <c r="AU7" s="3083">
        <f t="shared" ref="AU7:AW7" si="17">AT7</f>
        <v>290</v>
      </c>
      <c r="AV7" s="3083">
        <f t="shared" si="17"/>
        <v>290</v>
      </c>
      <c r="AW7" s="3084">
        <f t="shared" si="17"/>
        <v>290</v>
      </c>
      <c r="AX7" s="3085"/>
      <c r="AY7" s="3080"/>
      <c r="AZ7" s="3080"/>
      <c r="BA7" s="3086"/>
      <c r="BB7" s="3087"/>
      <c r="BC7" s="3080"/>
      <c r="BD7" s="3080"/>
      <c r="BE7" s="3080"/>
      <c r="BF7" s="3080">
        <f t="shared" si="1"/>
        <v>0</v>
      </c>
      <c r="BG7" s="3080"/>
      <c r="BH7" s="3080"/>
      <c r="BI7" s="3080"/>
      <c r="BJ7" s="3080">
        <f t="shared" si="15"/>
        <v>1160</v>
      </c>
      <c r="BK7" s="3080"/>
      <c r="BL7" s="3080" t="s">
        <v>9164</v>
      </c>
      <c r="BM7" s="3079"/>
      <c r="BN7" s="3080">
        <f t="shared" si="8"/>
        <v>290</v>
      </c>
      <c r="BO7" s="3080">
        <f t="shared" si="9"/>
        <v>290</v>
      </c>
      <c r="BP7" s="3080">
        <f t="shared" si="10"/>
        <v>290</v>
      </c>
      <c r="BQ7" s="3080">
        <f t="shared" si="11"/>
        <v>290</v>
      </c>
      <c r="BR7" s="3080">
        <f t="shared" si="2"/>
        <v>0</v>
      </c>
      <c r="BS7" s="3088">
        <f t="shared" si="3"/>
        <v>513640</v>
      </c>
      <c r="BT7" s="3088">
        <f t="shared" ref="BT7:BW7" si="18">BT6-BN7</f>
        <v>150492.583333333</v>
      </c>
      <c r="BU7" s="3088">
        <f t="shared" si="18"/>
        <v>150492.583333333</v>
      </c>
      <c r="BV7" s="3088">
        <f t="shared" si="18"/>
        <v>150492.583333333</v>
      </c>
      <c r="BW7" s="3088">
        <f t="shared" si="18"/>
        <v>150492.583333333</v>
      </c>
      <c r="BX7" s="3088"/>
    </row>
    <row r="8" s="3031" customFormat="1" ht="32" customHeight="1" spans="1:76">
      <c r="A8" s="3063">
        <v>45601</v>
      </c>
      <c r="B8" s="3064" t="s">
        <v>387</v>
      </c>
      <c r="C8" s="3065" t="s">
        <v>91</v>
      </c>
      <c r="D8" s="3066">
        <v>4500150187</v>
      </c>
      <c r="E8" s="3067" t="s">
        <v>9173</v>
      </c>
      <c r="F8" s="3066" t="s">
        <v>9174</v>
      </c>
      <c r="G8" s="3069" t="s">
        <v>9154</v>
      </c>
      <c r="H8" s="3069" t="s">
        <v>9155</v>
      </c>
      <c r="I8" s="2969">
        <v>600</v>
      </c>
      <c r="J8" s="2969">
        <v>0</v>
      </c>
      <c r="K8" s="2969">
        <v>8</v>
      </c>
      <c r="L8" s="2969">
        <f t="shared" si="0"/>
        <v>75</v>
      </c>
      <c r="M8" s="3070">
        <v>45653</v>
      </c>
      <c r="N8" s="3070">
        <v>45649</v>
      </c>
      <c r="O8" s="2996"/>
      <c r="P8" s="2996" t="s">
        <v>82</v>
      </c>
      <c r="Q8" s="3071"/>
      <c r="R8" s="3071"/>
      <c r="S8" s="3071"/>
      <c r="T8" s="3071"/>
      <c r="U8" s="3072" t="s">
        <v>389</v>
      </c>
      <c r="V8" s="2996"/>
      <c r="W8" s="3073" t="s">
        <v>390</v>
      </c>
      <c r="X8" s="3073"/>
      <c r="Y8" s="3073" t="s">
        <v>9175</v>
      </c>
      <c r="Z8" s="3073"/>
      <c r="AA8" s="3073"/>
      <c r="AB8" s="3091" t="s">
        <v>392</v>
      </c>
      <c r="AC8" s="2969" t="s">
        <v>393</v>
      </c>
      <c r="AD8" s="3075">
        <v>4.0921</v>
      </c>
      <c r="AE8" s="3076">
        <f t="shared" si="5"/>
        <v>2455.26</v>
      </c>
      <c r="AF8" s="2969" t="s">
        <v>394</v>
      </c>
      <c r="AG8" s="2969" t="s">
        <v>9154</v>
      </c>
      <c r="AH8" s="2969" t="s">
        <v>416</v>
      </c>
      <c r="AI8" s="3077">
        <f t="shared" ref="AI8:AI11" si="19">I8</f>
        <v>600</v>
      </c>
      <c r="AJ8" s="3078"/>
      <c r="AK8" s="3077"/>
      <c r="AL8" s="3078"/>
      <c r="AM8" s="3092"/>
      <c r="AN8" s="3078"/>
      <c r="AO8" s="3079">
        <f t="shared" si="13"/>
        <v>600</v>
      </c>
      <c r="AP8" s="3080"/>
      <c r="AQ8" s="3080"/>
      <c r="AR8" s="3080"/>
      <c r="AS8" s="3081"/>
      <c r="AT8" s="3082">
        <f t="shared" si="6"/>
        <v>150</v>
      </c>
      <c r="AU8" s="3083">
        <f t="shared" ref="AU8:AW8" si="20">AT8</f>
        <v>150</v>
      </c>
      <c r="AV8" s="3083">
        <f t="shared" si="20"/>
        <v>150</v>
      </c>
      <c r="AW8" s="3084">
        <f t="shared" si="20"/>
        <v>150</v>
      </c>
      <c r="AX8" s="3085"/>
      <c r="AY8" s="3080"/>
      <c r="AZ8" s="3080"/>
      <c r="BA8" s="3086"/>
      <c r="BB8" s="3087"/>
      <c r="BC8" s="3080"/>
      <c r="BD8" s="3080"/>
      <c r="BE8" s="3080"/>
      <c r="BF8" s="3080">
        <f t="shared" si="1"/>
        <v>0</v>
      </c>
      <c r="BG8" s="3080"/>
      <c r="BH8" s="3080"/>
      <c r="BI8" s="3080"/>
      <c r="BJ8" s="3080">
        <f t="shared" si="15"/>
        <v>600</v>
      </c>
      <c r="BK8" s="3080"/>
      <c r="BL8" s="3080" t="s">
        <v>9164</v>
      </c>
      <c r="BM8" s="3079"/>
      <c r="BN8" s="3080">
        <f t="shared" si="8"/>
        <v>150</v>
      </c>
      <c r="BO8" s="3080">
        <f t="shared" si="9"/>
        <v>150</v>
      </c>
      <c r="BP8" s="3080">
        <f t="shared" si="10"/>
        <v>150</v>
      </c>
      <c r="BQ8" s="3080">
        <f t="shared" si="11"/>
        <v>150</v>
      </c>
      <c r="BR8" s="3080">
        <f t="shared" si="2"/>
        <v>0</v>
      </c>
      <c r="BS8" s="3088">
        <f t="shared" si="3"/>
        <v>513080</v>
      </c>
      <c r="BT8" s="3088">
        <f t="shared" ref="BT8:BW8" si="21">BT7-BN8</f>
        <v>150342.583333333</v>
      </c>
      <c r="BU8" s="3088">
        <f t="shared" si="21"/>
        <v>150342.583333333</v>
      </c>
      <c r="BV8" s="3088">
        <f t="shared" si="21"/>
        <v>150342.583333333</v>
      </c>
      <c r="BW8" s="3088">
        <f t="shared" si="21"/>
        <v>150342.583333333</v>
      </c>
      <c r="BX8" s="3088"/>
    </row>
    <row r="9" s="3031" customFormat="1" ht="32" customHeight="1" spans="1:76">
      <c r="A9" s="3063">
        <v>45621</v>
      </c>
      <c r="B9" s="3064" t="s">
        <v>849</v>
      </c>
      <c r="C9" s="3065" t="s">
        <v>850</v>
      </c>
      <c r="D9" s="3066">
        <v>4500152217</v>
      </c>
      <c r="E9" s="3067" t="s">
        <v>9176</v>
      </c>
      <c r="F9" s="3066" t="s">
        <v>9177</v>
      </c>
      <c r="G9" s="3069" t="s">
        <v>9178</v>
      </c>
      <c r="H9" s="3069" t="s">
        <v>9179</v>
      </c>
      <c r="I9" s="2969">
        <v>552</v>
      </c>
      <c r="J9" s="2969">
        <v>0</v>
      </c>
      <c r="K9" s="2969">
        <v>8</v>
      </c>
      <c r="L9" s="2969">
        <f t="shared" si="0"/>
        <v>69</v>
      </c>
      <c r="M9" s="3070">
        <v>45656</v>
      </c>
      <c r="N9" s="3070">
        <v>45652</v>
      </c>
      <c r="O9" s="2996"/>
      <c r="P9" s="2996" t="s">
        <v>82</v>
      </c>
      <c r="Q9" s="3071"/>
      <c r="R9" s="3071"/>
      <c r="S9" s="3071"/>
      <c r="T9" s="3071"/>
      <c r="U9" s="3072" t="s">
        <v>7877</v>
      </c>
      <c r="V9" s="2996"/>
      <c r="W9" s="3073" t="s">
        <v>402</v>
      </c>
      <c r="X9" s="3073"/>
      <c r="Y9" s="3073" t="s">
        <v>9180</v>
      </c>
      <c r="Z9" s="3073"/>
      <c r="AA9" s="3073"/>
      <c r="AB9" s="3091" t="s">
        <v>9181</v>
      </c>
      <c r="AC9" s="2969" t="s">
        <v>448</v>
      </c>
      <c r="AD9" s="3075">
        <v>4.0839</v>
      </c>
      <c r="AE9" s="3076">
        <f t="shared" si="5"/>
        <v>2254.3128</v>
      </c>
      <c r="AF9" s="2969" t="s">
        <v>9182</v>
      </c>
      <c r="AG9" s="2969" t="s">
        <v>9154</v>
      </c>
      <c r="AH9" s="2969" t="s">
        <v>416</v>
      </c>
      <c r="AI9" s="3077">
        <f t="shared" si="19"/>
        <v>552</v>
      </c>
      <c r="AJ9" s="3078"/>
      <c r="AK9" s="3077"/>
      <c r="AL9" s="3078"/>
      <c r="AM9" s="3093"/>
      <c r="AN9" s="3078"/>
      <c r="AO9" s="3079">
        <f t="shared" si="13"/>
        <v>552</v>
      </c>
      <c r="AP9" s="3080"/>
      <c r="AQ9" s="3080"/>
      <c r="AR9" s="3080"/>
      <c r="AS9" s="3081"/>
      <c r="AT9" s="3082">
        <f>I9/3</f>
        <v>184</v>
      </c>
      <c r="AU9" s="3083">
        <f t="shared" ref="AU9:AU20" si="22">AT9</f>
        <v>184</v>
      </c>
      <c r="AV9" s="3083">
        <f t="shared" ref="AV9:AV20" si="23">AU9</f>
        <v>184</v>
      </c>
      <c r="AW9" s="3084"/>
      <c r="AX9" s="3085"/>
      <c r="AY9" s="3080"/>
      <c r="AZ9" s="3080"/>
      <c r="BA9" s="3086"/>
      <c r="BB9" s="3087"/>
      <c r="BC9" s="3080"/>
      <c r="BD9" s="3080"/>
      <c r="BE9" s="3080"/>
      <c r="BF9" s="3080">
        <f t="shared" si="1"/>
        <v>0</v>
      </c>
      <c r="BG9" s="3080"/>
      <c r="BH9" s="3080"/>
      <c r="BI9" s="3080"/>
      <c r="BJ9" s="3080">
        <f t="shared" si="15"/>
        <v>552</v>
      </c>
      <c r="BK9" s="3080"/>
      <c r="BL9" s="3080" t="s">
        <v>9164</v>
      </c>
      <c r="BM9" s="3094"/>
      <c r="BN9" s="3080">
        <f>I9/3</f>
        <v>184</v>
      </c>
      <c r="BO9" s="3080">
        <f>I9/3</f>
        <v>184</v>
      </c>
      <c r="BP9" s="3080">
        <f>I9/3</f>
        <v>184</v>
      </c>
      <c r="BQ9" s="3080"/>
      <c r="BR9" s="3080">
        <f t="shared" si="2"/>
        <v>0</v>
      </c>
      <c r="BS9" s="3088">
        <f t="shared" si="3"/>
        <v>513032</v>
      </c>
      <c r="BT9" s="3088">
        <f t="shared" ref="BT9:BW9" si="24">BT8-BN9</f>
        <v>150158.583333333</v>
      </c>
      <c r="BU9" s="3088">
        <f t="shared" si="24"/>
        <v>150158.583333333</v>
      </c>
      <c r="BV9" s="3088">
        <f t="shared" si="24"/>
        <v>150158.583333333</v>
      </c>
      <c r="BW9" s="3088">
        <f t="shared" si="24"/>
        <v>150342.583333333</v>
      </c>
      <c r="BX9" s="3088"/>
    </row>
    <row r="10" s="3031" customFormat="1" ht="32" customHeight="1" spans="1:76">
      <c r="A10" s="3063">
        <v>45621</v>
      </c>
      <c r="B10" s="3064" t="s">
        <v>849</v>
      </c>
      <c r="C10" s="3065" t="s">
        <v>850</v>
      </c>
      <c r="D10" s="3066">
        <v>4500152215</v>
      </c>
      <c r="E10" s="3067" t="s">
        <v>9183</v>
      </c>
      <c r="F10" s="3066" t="s">
        <v>9184</v>
      </c>
      <c r="G10" s="3069" t="s">
        <v>9178</v>
      </c>
      <c r="H10" s="3069" t="s">
        <v>9179</v>
      </c>
      <c r="I10" s="2969">
        <v>448</v>
      </c>
      <c r="J10" s="2969">
        <v>0</v>
      </c>
      <c r="K10" s="2969">
        <v>8</v>
      </c>
      <c r="L10" s="2969">
        <f t="shared" si="0"/>
        <v>56</v>
      </c>
      <c r="M10" s="3070">
        <v>45656</v>
      </c>
      <c r="N10" s="3070">
        <v>45652</v>
      </c>
      <c r="O10" s="2996"/>
      <c r="P10" s="2996" t="s">
        <v>82</v>
      </c>
      <c r="Q10" s="3071"/>
      <c r="R10" s="3071"/>
      <c r="S10" s="3071"/>
      <c r="T10" s="3071"/>
      <c r="U10" s="3072" t="s">
        <v>7877</v>
      </c>
      <c r="V10" s="2996"/>
      <c r="W10" s="3073" t="s">
        <v>402</v>
      </c>
      <c r="X10" s="3073"/>
      <c r="Y10" s="3073" t="s">
        <v>9180</v>
      </c>
      <c r="Z10" s="3073"/>
      <c r="AA10" s="3073"/>
      <c r="AB10" s="3091" t="s">
        <v>9185</v>
      </c>
      <c r="AC10" s="2969" t="s">
        <v>448</v>
      </c>
      <c r="AD10" s="3075">
        <v>4.0953</v>
      </c>
      <c r="AE10" s="3076">
        <f t="shared" si="5"/>
        <v>1834.6944</v>
      </c>
      <c r="AF10" s="2969" t="s">
        <v>9186</v>
      </c>
      <c r="AG10" s="2969" t="s">
        <v>9154</v>
      </c>
      <c r="AH10" s="2969" t="s">
        <v>416</v>
      </c>
      <c r="AI10" s="3077">
        <f t="shared" si="19"/>
        <v>448</v>
      </c>
      <c r="AJ10" s="3078"/>
      <c r="AK10" s="3077"/>
      <c r="AL10" s="3078"/>
      <c r="AM10" s="3093"/>
      <c r="AN10" s="3078"/>
      <c r="AO10" s="3079">
        <f t="shared" si="13"/>
        <v>448</v>
      </c>
      <c r="AP10" s="3080"/>
      <c r="AQ10" s="3080"/>
      <c r="AR10" s="3080"/>
      <c r="AS10" s="3081"/>
      <c r="AT10" s="3082">
        <f>I10/3</f>
        <v>149.333333333333</v>
      </c>
      <c r="AU10" s="3083">
        <f t="shared" si="22"/>
        <v>149.333333333333</v>
      </c>
      <c r="AV10" s="3083">
        <f t="shared" si="23"/>
        <v>149.333333333333</v>
      </c>
      <c r="AW10" s="3084"/>
      <c r="AX10" s="3085"/>
      <c r="AY10" s="3080"/>
      <c r="AZ10" s="3080"/>
      <c r="BA10" s="3086"/>
      <c r="BB10" s="3087"/>
      <c r="BC10" s="3080"/>
      <c r="BD10" s="3080"/>
      <c r="BE10" s="3080"/>
      <c r="BF10" s="3080">
        <f t="shared" si="1"/>
        <v>0</v>
      </c>
      <c r="BG10" s="3080"/>
      <c r="BH10" s="3080"/>
      <c r="BI10" s="3080"/>
      <c r="BJ10" s="3080">
        <f t="shared" si="15"/>
        <v>448</v>
      </c>
      <c r="BK10" s="3080"/>
      <c r="BL10" s="3080" t="s">
        <v>9164</v>
      </c>
      <c r="BM10" s="3094"/>
      <c r="BN10" s="3080">
        <f>I10/3</f>
        <v>149.333333333333</v>
      </c>
      <c r="BO10" s="3080">
        <f>I10/3</f>
        <v>149.333333333333</v>
      </c>
      <c r="BP10" s="3080">
        <f>I10/3</f>
        <v>149.333333333333</v>
      </c>
      <c r="BQ10" s="3080"/>
      <c r="BR10" s="3080">
        <f t="shared" si="2"/>
        <v>0</v>
      </c>
      <c r="BS10" s="3088">
        <f t="shared" si="3"/>
        <v>512928</v>
      </c>
      <c r="BT10" s="3088">
        <f t="shared" ref="BT10:BW10" si="25">BT9-BN10</f>
        <v>150009.25</v>
      </c>
      <c r="BU10" s="3088">
        <f t="shared" si="25"/>
        <v>150009.25</v>
      </c>
      <c r="BV10" s="3088">
        <f t="shared" si="25"/>
        <v>150009.25</v>
      </c>
      <c r="BW10" s="3088">
        <f t="shared" si="25"/>
        <v>150342.583333333</v>
      </c>
      <c r="BX10" s="3088"/>
    </row>
    <row r="11" s="3031" customFormat="1" ht="32" customHeight="1" spans="1:76">
      <c r="A11" s="3063">
        <v>45586</v>
      </c>
      <c r="B11" s="3064" t="s">
        <v>90</v>
      </c>
      <c r="C11" s="3065" t="s">
        <v>91</v>
      </c>
      <c r="D11" s="3066">
        <v>4500147789</v>
      </c>
      <c r="E11" s="3067" t="s">
        <v>9187</v>
      </c>
      <c r="F11" s="3066" t="s">
        <v>9188</v>
      </c>
      <c r="G11" s="3069" t="s">
        <v>9154</v>
      </c>
      <c r="H11" s="3069" t="s">
        <v>9155</v>
      </c>
      <c r="I11" s="2969">
        <v>600</v>
      </c>
      <c r="J11" s="2969">
        <v>0</v>
      </c>
      <c r="K11" s="2969">
        <v>8</v>
      </c>
      <c r="L11" s="2969">
        <f t="shared" si="0"/>
        <v>75</v>
      </c>
      <c r="M11" s="3070">
        <v>45649</v>
      </c>
      <c r="N11" s="3070">
        <v>45645</v>
      </c>
      <c r="O11" s="2996"/>
      <c r="P11" s="2996" t="s">
        <v>82</v>
      </c>
      <c r="Q11" s="3071"/>
      <c r="R11" s="3071"/>
      <c r="S11" s="3071"/>
      <c r="T11" s="3071"/>
      <c r="U11" s="3072" t="s">
        <v>96</v>
      </c>
      <c r="V11" s="2996"/>
      <c r="W11" s="3073" t="s">
        <v>97</v>
      </c>
      <c r="X11" s="3073" t="s">
        <v>98</v>
      </c>
      <c r="Y11" s="3073" t="s">
        <v>9175</v>
      </c>
      <c r="Z11" s="3073"/>
      <c r="AA11" s="3073"/>
      <c r="AB11" s="3091" t="s">
        <v>100</v>
      </c>
      <c r="AC11" s="2969" t="s">
        <v>101</v>
      </c>
      <c r="AD11" s="3075">
        <v>4.2475</v>
      </c>
      <c r="AE11" s="3076">
        <f t="shared" si="5"/>
        <v>2548.5</v>
      </c>
      <c r="AF11" s="2969" t="s">
        <v>102</v>
      </c>
      <c r="AG11" s="2969" t="s">
        <v>9154</v>
      </c>
      <c r="AH11" s="2969" t="s">
        <v>416</v>
      </c>
      <c r="AI11" s="3077">
        <f t="shared" si="19"/>
        <v>600</v>
      </c>
      <c r="AJ11" s="3078"/>
      <c r="AK11" s="3077"/>
      <c r="AL11" s="3078"/>
      <c r="AM11" s="3095"/>
      <c r="AN11" s="3078"/>
      <c r="AO11" s="3079">
        <f t="shared" si="13"/>
        <v>600</v>
      </c>
      <c r="AP11" s="3080"/>
      <c r="AQ11" s="3080"/>
      <c r="AR11" s="3080"/>
      <c r="AS11" s="3081"/>
      <c r="AT11" s="3082">
        <f t="shared" ref="AT11:AT31" si="26">I11/4</f>
        <v>150</v>
      </c>
      <c r="AU11" s="3083">
        <f t="shared" si="22"/>
        <v>150</v>
      </c>
      <c r="AV11" s="3083">
        <f t="shared" si="23"/>
        <v>150</v>
      </c>
      <c r="AW11" s="3084">
        <f t="shared" ref="AW11:AW20" si="27">AV11</f>
        <v>150</v>
      </c>
      <c r="AX11" s="3085"/>
      <c r="AY11" s="3080"/>
      <c r="AZ11" s="3080"/>
      <c r="BA11" s="3086"/>
      <c r="BB11" s="3087"/>
      <c r="BC11" s="3080"/>
      <c r="BD11" s="3080"/>
      <c r="BE11" s="3080"/>
      <c r="BF11" s="3080">
        <f t="shared" si="1"/>
        <v>0</v>
      </c>
      <c r="BG11" s="3080"/>
      <c r="BH11" s="3080"/>
      <c r="BI11" s="3080"/>
      <c r="BJ11" s="3080">
        <f t="shared" si="15"/>
        <v>600</v>
      </c>
      <c r="BK11" s="3080"/>
      <c r="BL11" s="3080" t="s">
        <v>9164</v>
      </c>
      <c r="BM11" s="3096"/>
      <c r="BN11" s="3080">
        <f t="shared" ref="BN11:BN31" si="28">I11/4</f>
        <v>150</v>
      </c>
      <c r="BO11" s="3080">
        <f t="shared" ref="BO11:BO31" si="29">I11/4</f>
        <v>150</v>
      </c>
      <c r="BP11" s="3080">
        <f t="shared" ref="BP11:BP31" si="30">I11/4</f>
        <v>150</v>
      </c>
      <c r="BQ11" s="3080">
        <f t="shared" ref="BQ11:BQ31" si="31">I11/4</f>
        <v>150</v>
      </c>
      <c r="BR11" s="3080">
        <f t="shared" si="2"/>
        <v>0</v>
      </c>
      <c r="BS11" s="3088">
        <f t="shared" si="3"/>
        <v>513080</v>
      </c>
      <c r="BT11" s="3088">
        <f t="shared" ref="BT11:BW11" si="32">BT10-BN11</f>
        <v>149859.25</v>
      </c>
      <c r="BU11" s="3088">
        <f t="shared" si="32"/>
        <v>149859.25</v>
      </c>
      <c r="BV11" s="3088">
        <f t="shared" si="32"/>
        <v>149859.25</v>
      </c>
      <c r="BW11" s="3088">
        <f t="shared" si="32"/>
        <v>150192.583333333</v>
      </c>
      <c r="BX11" s="3088"/>
    </row>
    <row r="12" s="3031" customFormat="1" ht="32" customHeight="1" spans="1:76">
      <c r="A12" s="3063">
        <v>45608</v>
      </c>
      <c r="B12" s="3064" t="s">
        <v>1016</v>
      </c>
      <c r="C12" s="3065" t="s">
        <v>396</v>
      </c>
      <c r="D12" s="3066">
        <v>4500150978</v>
      </c>
      <c r="E12" s="3067" t="s">
        <v>9189</v>
      </c>
      <c r="F12" s="3066" t="s">
        <v>9190</v>
      </c>
      <c r="G12" s="3069" t="s">
        <v>9191</v>
      </c>
      <c r="H12" s="3069" t="s">
        <v>9099</v>
      </c>
      <c r="I12" s="2969">
        <v>8</v>
      </c>
      <c r="J12" s="2969">
        <v>0</v>
      </c>
      <c r="K12" s="2969">
        <v>8</v>
      </c>
      <c r="L12" s="2969">
        <f t="shared" si="0"/>
        <v>1</v>
      </c>
      <c r="M12" s="3070">
        <v>45653</v>
      </c>
      <c r="N12" s="3070">
        <v>45649</v>
      </c>
      <c r="O12" s="2996"/>
      <c r="P12" s="2996" t="s">
        <v>82</v>
      </c>
      <c r="Q12" s="3071"/>
      <c r="R12" s="3071"/>
      <c r="S12" s="3071"/>
      <c r="T12" s="3071"/>
      <c r="U12" s="3072" t="s">
        <v>6093</v>
      </c>
      <c r="V12" s="2996"/>
      <c r="W12" s="3073" t="s">
        <v>2669</v>
      </c>
      <c r="X12" s="3073"/>
      <c r="Y12" s="3073" t="s">
        <v>9192</v>
      </c>
      <c r="Z12" s="3073"/>
      <c r="AA12" s="3073"/>
      <c r="AB12" s="3091" t="s">
        <v>9193</v>
      </c>
      <c r="AC12" s="2969" t="s">
        <v>2672</v>
      </c>
      <c r="AD12" s="3075">
        <v>4.1036</v>
      </c>
      <c r="AE12" s="3076">
        <f t="shared" si="5"/>
        <v>32.8288</v>
      </c>
      <c r="AF12" s="2969" t="s">
        <v>2673</v>
      </c>
      <c r="AG12" s="3069" t="s">
        <v>9194</v>
      </c>
      <c r="AH12" s="2969" t="s">
        <v>416</v>
      </c>
      <c r="AI12" s="3077"/>
      <c r="AJ12" s="3078"/>
      <c r="AK12" s="3077"/>
      <c r="AL12" s="3078">
        <f>I12</f>
        <v>8</v>
      </c>
      <c r="AM12" s="3092"/>
      <c r="AN12" s="3078"/>
      <c r="AO12" s="3079"/>
      <c r="AP12" s="3080">
        <f>I12</f>
        <v>8</v>
      </c>
      <c r="AQ12" s="3080"/>
      <c r="AR12" s="3080"/>
      <c r="AS12" s="3081"/>
      <c r="AT12" s="3082">
        <f t="shared" si="26"/>
        <v>2</v>
      </c>
      <c r="AU12" s="3083">
        <f t="shared" si="22"/>
        <v>2</v>
      </c>
      <c r="AV12" s="3083">
        <f t="shared" si="23"/>
        <v>2</v>
      </c>
      <c r="AW12" s="3084">
        <f t="shared" si="27"/>
        <v>2</v>
      </c>
      <c r="AX12" s="3085"/>
      <c r="AY12" s="3080"/>
      <c r="AZ12" s="3080"/>
      <c r="BA12" s="3086"/>
      <c r="BB12" s="3087"/>
      <c r="BC12" s="3080"/>
      <c r="BD12" s="3080"/>
      <c r="BE12" s="3080"/>
      <c r="BF12" s="3080">
        <f t="shared" si="1"/>
        <v>0</v>
      </c>
      <c r="BG12" s="3080"/>
      <c r="BH12" s="3080"/>
      <c r="BI12" s="3080"/>
      <c r="BJ12" s="3080"/>
      <c r="BK12" s="3080">
        <f>I12</f>
        <v>8</v>
      </c>
      <c r="BL12" s="3080" t="s">
        <v>9164</v>
      </c>
      <c r="BM12" s="3079"/>
      <c r="BN12" s="3080"/>
      <c r="BO12" s="3080">
        <f>I12</f>
        <v>8</v>
      </c>
      <c r="BP12" s="3080"/>
      <c r="BQ12" s="3080"/>
      <c r="BR12" s="3080">
        <f t="shared" si="2"/>
        <v>0</v>
      </c>
      <c r="BS12" s="3088">
        <f t="shared" si="3"/>
        <v>512488</v>
      </c>
      <c r="BT12" s="3088">
        <f t="shared" ref="BT12:BW12" si="33">BT11-BN12</f>
        <v>149859.25</v>
      </c>
      <c r="BU12" s="3088">
        <f t="shared" si="33"/>
        <v>149851.25</v>
      </c>
      <c r="BV12" s="3088">
        <f t="shared" si="33"/>
        <v>149859.25</v>
      </c>
      <c r="BW12" s="3088">
        <f t="shared" si="33"/>
        <v>150192.583333333</v>
      </c>
      <c r="BX12" s="3088"/>
    </row>
    <row r="13" s="3031" customFormat="1" ht="32" customHeight="1" spans="1:76">
      <c r="A13" s="3063">
        <v>45608</v>
      </c>
      <c r="B13" s="3064" t="s">
        <v>1016</v>
      </c>
      <c r="C13" s="3065" t="s">
        <v>396</v>
      </c>
      <c r="D13" s="3066">
        <v>4500150978</v>
      </c>
      <c r="E13" s="3067" t="s">
        <v>9195</v>
      </c>
      <c r="F13" s="3066" t="s">
        <v>9196</v>
      </c>
      <c r="G13" s="3069" t="s">
        <v>9197</v>
      </c>
      <c r="H13" s="3069" t="s">
        <v>9098</v>
      </c>
      <c r="I13" s="2969">
        <v>8</v>
      </c>
      <c r="J13" s="2969">
        <v>0</v>
      </c>
      <c r="K13" s="2969">
        <v>8</v>
      </c>
      <c r="L13" s="2969">
        <f t="shared" si="0"/>
        <v>1</v>
      </c>
      <c r="M13" s="3070">
        <v>45653</v>
      </c>
      <c r="N13" s="3070">
        <v>45649</v>
      </c>
      <c r="O13" s="2996"/>
      <c r="P13" s="2996" t="s">
        <v>82</v>
      </c>
      <c r="Q13" s="3071"/>
      <c r="R13" s="3071"/>
      <c r="S13" s="3071"/>
      <c r="T13" s="3071"/>
      <c r="U13" s="3072" t="s">
        <v>6093</v>
      </c>
      <c r="V13" s="2996"/>
      <c r="W13" s="3073" t="s">
        <v>2669</v>
      </c>
      <c r="X13" s="3073"/>
      <c r="Y13" s="3073" t="s">
        <v>9192</v>
      </c>
      <c r="Z13" s="3073"/>
      <c r="AA13" s="3073"/>
      <c r="AB13" s="3091" t="s">
        <v>9193</v>
      </c>
      <c r="AC13" s="2969" t="s">
        <v>2672</v>
      </c>
      <c r="AD13" s="3075">
        <v>4.1036</v>
      </c>
      <c r="AE13" s="3076">
        <f t="shared" si="5"/>
        <v>32.8288</v>
      </c>
      <c r="AF13" s="2969" t="s">
        <v>2673</v>
      </c>
      <c r="AG13" s="3069" t="s">
        <v>9198</v>
      </c>
      <c r="AH13" s="2969" t="s">
        <v>416</v>
      </c>
      <c r="AI13" s="3077"/>
      <c r="AJ13" s="3078"/>
      <c r="AK13" s="3077"/>
      <c r="AL13" s="3078">
        <f>I13</f>
        <v>8</v>
      </c>
      <c r="AM13" s="3092"/>
      <c r="AN13" s="3078"/>
      <c r="AO13" s="3079"/>
      <c r="AP13" s="3080">
        <f>I13</f>
        <v>8</v>
      </c>
      <c r="AQ13" s="3080"/>
      <c r="AR13" s="3080"/>
      <c r="AS13" s="3081"/>
      <c r="AT13" s="3082">
        <f t="shared" si="26"/>
        <v>2</v>
      </c>
      <c r="AU13" s="3083">
        <f t="shared" si="22"/>
        <v>2</v>
      </c>
      <c r="AV13" s="3083">
        <f t="shared" si="23"/>
        <v>2</v>
      </c>
      <c r="AW13" s="3084">
        <f t="shared" si="27"/>
        <v>2</v>
      </c>
      <c r="AX13" s="3085"/>
      <c r="AY13" s="3080"/>
      <c r="AZ13" s="3080"/>
      <c r="BA13" s="3086"/>
      <c r="BB13" s="3087"/>
      <c r="BC13" s="3080"/>
      <c r="BD13" s="3080"/>
      <c r="BE13" s="3080"/>
      <c r="BF13" s="3080">
        <f t="shared" si="1"/>
        <v>0</v>
      </c>
      <c r="BG13" s="3080"/>
      <c r="BH13" s="3080"/>
      <c r="BI13" s="3080"/>
      <c r="BJ13" s="3080"/>
      <c r="BK13" s="3080">
        <f>I13</f>
        <v>8</v>
      </c>
      <c r="BL13" s="3080" t="s">
        <v>9164</v>
      </c>
      <c r="BM13" s="3079"/>
      <c r="BN13" s="3080">
        <f>I13</f>
        <v>8</v>
      </c>
      <c r="BO13" s="3080"/>
      <c r="BP13" s="3080"/>
      <c r="BQ13" s="3080"/>
      <c r="BR13" s="3080">
        <f t="shared" si="2"/>
        <v>0</v>
      </c>
      <c r="BS13" s="3088">
        <f t="shared" si="3"/>
        <v>512488</v>
      </c>
      <c r="BT13" s="3088">
        <f t="shared" ref="BT13:BW13" si="34">BT12-BN13</f>
        <v>149851.25</v>
      </c>
      <c r="BU13" s="3088">
        <f t="shared" si="34"/>
        <v>149851.25</v>
      </c>
      <c r="BV13" s="3088">
        <f t="shared" si="34"/>
        <v>149859.25</v>
      </c>
      <c r="BW13" s="3088">
        <f t="shared" si="34"/>
        <v>150192.583333333</v>
      </c>
      <c r="BX13" s="3088"/>
    </row>
    <row r="14" s="3031" customFormat="1" ht="32" customHeight="1" spans="1:76">
      <c r="A14" s="3063">
        <v>45586</v>
      </c>
      <c r="B14" s="3064" t="s">
        <v>90</v>
      </c>
      <c r="C14" s="3065" t="s">
        <v>91</v>
      </c>
      <c r="D14" s="3066">
        <v>4500147792</v>
      </c>
      <c r="E14" s="3067" t="s">
        <v>9187</v>
      </c>
      <c r="F14" s="3066" t="s">
        <v>9199</v>
      </c>
      <c r="G14" s="3069" t="s">
        <v>9154</v>
      </c>
      <c r="H14" s="3069" t="s">
        <v>9155</v>
      </c>
      <c r="I14" s="2969">
        <v>600</v>
      </c>
      <c r="J14" s="2969">
        <v>0</v>
      </c>
      <c r="K14" s="2969">
        <v>8</v>
      </c>
      <c r="L14" s="2969">
        <f t="shared" si="0"/>
        <v>75</v>
      </c>
      <c r="M14" s="3070">
        <v>45656</v>
      </c>
      <c r="N14" s="3070">
        <v>45652</v>
      </c>
      <c r="O14" s="2996"/>
      <c r="P14" s="2996" t="s">
        <v>82</v>
      </c>
      <c r="Q14" s="3071"/>
      <c r="R14" s="3071"/>
      <c r="S14" s="3071"/>
      <c r="T14" s="3071"/>
      <c r="U14" s="3072" t="s">
        <v>116</v>
      </c>
      <c r="V14" s="2996"/>
      <c r="W14" s="3073" t="s">
        <v>97</v>
      </c>
      <c r="X14" s="3073" t="s">
        <v>98</v>
      </c>
      <c r="Y14" s="3073" t="s">
        <v>98</v>
      </c>
      <c r="Z14" s="3073" t="s">
        <v>9200</v>
      </c>
      <c r="AA14" s="3073"/>
      <c r="AB14" s="3091" t="s">
        <v>100</v>
      </c>
      <c r="AC14" s="2969" t="s">
        <v>101</v>
      </c>
      <c r="AD14" s="3075">
        <v>4.2475</v>
      </c>
      <c r="AE14" s="3076">
        <f t="shared" si="5"/>
        <v>2548.5</v>
      </c>
      <c r="AF14" s="2969" t="s">
        <v>119</v>
      </c>
      <c r="AG14" s="2969" t="s">
        <v>9154</v>
      </c>
      <c r="AH14" s="2969" t="s">
        <v>416</v>
      </c>
      <c r="AI14" s="3077">
        <f t="shared" ref="AI14:AI26" si="35">I14</f>
        <v>600</v>
      </c>
      <c r="AJ14" s="3078"/>
      <c r="AK14" s="3077"/>
      <c r="AL14" s="3078"/>
      <c r="AM14" s="3095"/>
      <c r="AN14" s="3078"/>
      <c r="AO14" s="3079">
        <f t="shared" ref="AO14:AO24" si="36">I14</f>
        <v>600</v>
      </c>
      <c r="AP14" s="3080"/>
      <c r="AQ14" s="3080"/>
      <c r="AR14" s="3080"/>
      <c r="AS14" s="3081"/>
      <c r="AT14" s="3082">
        <f t="shared" si="26"/>
        <v>150</v>
      </c>
      <c r="AU14" s="3083">
        <f t="shared" si="22"/>
        <v>150</v>
      </c>
      <c r="AV14" s="3083">
        <f t="shared" si="23"/>
        <v>150</v>
      </c>
      <c r="AW14" s="3084">
        <f t="shared" si="27"/>
        <v>150</v>
      </c>
      <c r="AX14" s="3085"/>
      <c r="AY14" s="3080"/>
      <c r="AZ14" s="3080"/>
      <c r="BA14" s="3086"/>
      <c r="BB14" s="3087"/>
      <c r="BC14" s="3080"/>
      <c r="BD14" s="3080"/>
      <c r="BE14" s="3080"/>
      <c r="BF14" s="3080">
        <f t="shared" si="1"/>
        <v>0</v>
      </c>
      <c r="BG14" s="3080"/>
      <c r="BH14" s="3080"/>
      <c r="BI14" s="3080"/>
      <c r="BJ14" s="3080">
        <f t="shared" ref="BJ14:BJ39" si="37">I14</f>
        <v>600</v>
      </c>
      <c r="BK14" s="3080"/>
      <c r="BL14" s="3080" t="s">
        <v>9164</v>
      </c>
      <c r="BM14" s="3096"/>
      <c r="BN14" s="3080">
        <f t="shared" si="28"/>
        <v>150</v>
      </c>
      <c r="BO14" s="3080">
        <f t="shared" si="29"/>
        <v>150</v>
      </c>
      <c r="BP14" s="3080">
        <f t="shared" si="30"/>
        <v>150</v>
      </c>
      <c r="BQ14" s="3080">
        <f t="shared" si="31"/>
        <v>150</v>
      </c>
      <c r="BR14" s="3080">
        <f t="shared" si="2"/>
        <v>0</v>
      </c>
      <c r="BS14" s="3088">
        <f t="shared" si="3"/>
        <v>513080</v>
      </c>
      <c r="BT14" s="3088">
        <f t="shared" ref="BT14:BW14" si="38">BT13-BN14</f>
        <v>149701.25</v>
      </c>
      <c r="BU14" s="3088">
        <f t="shared" si="38"/>
        <v>149701.25</v>
      </c>
      <c r="BV14" s="3088">
        <f t="shared" si="38"/>
        <v>149709.25</v>
      </c>
      <c r="BW14" s="3088">
        <f t="shared" si="38"/>
        <v>150042.583333333</v>
      </c>
      <c r="BX14" s="3088"/>
    </row>
    <row r="15" s="3031" customFormat="1" ht="32" customHeight="1" spans="1:76">
      <c r="A15" s="3063">
        <v>45586</v>
      </c>
      <c r="B15" s="3064" t="s">
        <v>90</v>
      </c>
      <c r="C15" s="3065" t="s">
        <v>91</v>
      </c>
      <c r="D15" s="3066">
        <v>4500147795</v>
      </c>
      <c r="E15" s="3067" t="s">
        <v>9201</v>
      </c>
      <c r="F15" s="3066" t="s">
        <v>9202</v>
      </c>
      <c r="G15" s="3069" t="s">
        <v>9154</v>
      </c>
      <c r="H15" s="3069" t="s">
        <v>9155</v>
      </c>
      <c r="I15" s="2969">
        <v>800</v>
      </c>
      <c r="J15" s="2969">
        <v>0</v>
      </c>
      <c r="K15" s="2969">
        <v>8</v>
      </c>
      <c r="L15" s="2969">
        <f t="shared" si="0"/>
        <v>100</v>
      </c>
      <c r="M15" s="3070">
        <v>45656</v>
      </c>
      <c r="N15" s="3070">
        <v>45652</v>
      </c>
      <c r="O15" s="2996"/>
      <c r="P15" s="2996" t="s">
        <v>82</v>
      </c>
      <c r="Q15" s="3071"/>
      <c r="R15" s="3071"/>
      <c r="S15" s="3071"/>
      <c r="T15" s="3071"/>
      <c r="U15" s="3072" t="s">
        <v>110</v>
      </c>
      <c r="V15" s="2996"/>
      <c r="W15" s="3073" t="s">
        <v>97</v>
      </c>
      <c r="X15" s="3073" t="s">
        <v>98</v>
      </c>
      <c r="Y15" s="3073" t="s">
        <v>98</v>
      </c>
      <c r="Z15" s="3073" t="s">
        <v>9200</v>
      </c>
      <c r="AA15" s="3073"/>
      <c r="AB15" s="3091" t="s">
        <v>100</v>
      </c>
      <c r="AC15" s="2969" t="s">
        <v>101</v>
      </c>
      <c r="AD15" s="3075">
        <v>4.2475</v>
      </c>
      <c r="AE15" s="3076">
        <f t="shared" si="5"/>
        <v>3398</v>
      </c>
      <c r="AF15" s="2969" t="s">
        <v>114</v>
      </c>
      <c r="AG15" s="2969" t="s">
        <v>9154</v>
      </c>
      <c r="AH15" s="2969" t="s">
        <v>416</v>
      </c>
      <c r="AI15" s="3077">
        <f t="shared" si="35"/>
        <v>800</v>
      </c>
      <c r="AJ15" s="3078"/>
      <c r="AK15" s="3077"/>
      <c r="AL15" s="3078"/>
      <c r="AM15" s="3095"/>
      <c r="AN15" s="3078"/>
      <c r="AO15" s="3079">
        <f t="shared" si="36"/>
        <v>800</v>
      </c>
      <c r="AP15" s="3080"/>
      <c r="AQ15" s="3080"/>
      <c r="AR15" s="3080"/>
      <c r="AS15" s="3081"/>
      <c r="AT15" s="3082">
        <f t="shared" si="26"/>
        <v>200</v>
      </c>
      <c r="AU15" s="3083">
        <f t="shared" si="22"/>
        <v>200</v>
      </c>
      <c r="AV15" s="3083">
        <f t="shared" si="23"/>
        <v>200</v>
      </c>
      <c r="AW15" s="3084">
        <f t="shared" si="27"/>
        <v>200</v>
      </c>
      <c r="AX15" s="3085"/>
      <c r="AY15" s="3080"/>
      <c r="AZ15" s="3080"/>
      <c r="BA15" s="3086"/>
      <c r="BB15" s="3087"/>
      <c r="BC15" s="3080"/>
      <c r="BD15" s="3080"/>
      <c r="BE15" s="3080"/>
      <c r="BF15" s="3080">
        <f t="shared" si="1"/>
        <v>0</v>
      </c>
      <c r="BG15" s="3080"/>
      <c r="BH15" s="3080"/>
      <c r="BI15" s="3080"/>
      <c r="BJ15" s="3080">
        <f t="shared" si="37"/>
        <v>800</v>
      </c>
      <c r="BK15" s="3080"/>
      <c r="BL15" s="3080" t="s">
        <v>9164</v>
      </c>
      <c r="BM15" s="3096"/>
      <c r="BN15" s="3080">
        <f t="shared" si="28"/>
        <v>200</v>
      </c>
      <c r="BO15" s="3080">
        <f t="shared" si="29"/>
        <v>200</v>
      </c>
      <c r="BP15" s="3080">
        <f t="shared" si="30"/>
        <v>200</v>
      </c>
      <c r="BQ15" s="3080">
        <f t="shared" si="31"/>
        <v>200</v>
      </c>
      <c r="BR15" s="3080">
        <f t="shared" si="2"/>
        <v>0</v>
      </c>
      <c r="BS15" s="3088">
        <f t="shared" si="3"/>
        <v>513280</v>
      </c>
      <c r="BT15" s="3088">
        <f t="shared" ref="BT15:BW15" si="39">BT14-BN15</f>
        <v>149501.25</v>
      </c>
      <c r="BU15" s="3088">
        <f t="shared" si="39"/>
        <v>149501.25</v>
      </c>
      <c r="BV15" s="3088">
        <f t="shared" si="39"/>
        <v>149509.25</v>
      </c>
      <c r="BW15" s="3088">
        <f t="shared" si="39"/>
        <v>149842.583333333</v>
      </c>
      <c r="BX15" s="3088"/>
    </row>
    <row r="16" s="3031" customFormat="1" ht="32" customHeight="1" spans="1:76">
      <c r="A16" s="3063">
        <v>45586</v>
      </c>
      <c r="B16" s="3064" t="s">
        <v>90</v>
      </c>
      <c r="C16" s="3065" t="s">
        <v>91</v>
      </c>
      <c r="D16" s="3066">
        <v>4500147793</v>
      </c>
      <c r="E16" s="3067" t="s">
        <v>9203</v>
      </c>
      <c r="F16" s="3066" t="s">
        <v>9204</v>
      </c>
      <c r="G16" s="3069" t="s">
        <v>9154</v>
      </c>
      <c r="H16" s="3069" t="s">
        <v>9155</v>
      </c>
      <c r="I16" s="2969">
        <v>800</v>
      </c>
      <c r="J16" s="2969">
        <v>0</v>
      </c>
      <c r="K16" s="2969">
        <v>8</v>
      </c>
      <c r="L16" s="2969">
        <f t="shared" si="0"/>
        <v>100</v>
      </c>
      <c r="M16" s="3070">
        <v>45656</v>
      </c>
      <c r="N16" s="3070">
        <v>45652</v>
      </c>
      <c r="O16" s="2996"/>
      <c r="P16" s="2996" t="s">
        <v>82</v>
      </c>
      <c r="Q16" s="3071"/>
      <c r="R16" s="3071"/>
      <c r="S16" s="3071"/>
      <c r="T16" s="3071"/>
      <c r="U16" s="3072" t="s">
        <v>455</v>
      </c>
      <c r="V16" s="2996"/>
      <c r="W16" s="3073" t="s">
        <v>97</v>
      </c>
      <c r="X16" s="3073" t="s">
        <v>98</v>
      </c>
      <c r="Y16" s="3073" t="s">
        <v>98</v>
      </c>
      <c r="Z16" s="3073" t="s">
        <v>9200</v>
      </c>
      <c r="AA16" s="3073"/>
      <c r="AB16" s="3091" t="s">
        <v>100</v>
      </c>
      <c r="AC16" s="2969" t="s">
        <v>101</v>
      </c>
      <c r="AD16" s="3075">
        <v>4.2475</v>
      </c>
      <c r="AE16" s="3076">
        <f t="shared" si="5"/>
        <v>3398</v>
      </c>
      <c r="AF16" s="2969" t="s">
        <v>117</v>
      </c>
      <c r="AG16" s="2969" t="s">
        <v>9154</v>
      </c>
      <c r="AH16" s="2969" t="s">
        <v>416</v>
      </c>
      <c r="AI16" s="3077">
        <f t="shared" si="35"/>
        <v>800</v>
      </c>
      <c r="AJ16" s="3078"/>
      <c r="AK16" s="3077"/>
      <c r="AL16" s="3078"/>
      <c r="AM16" s="3095"/>
      <c r="AN16" s="3078"/>
      <c r="AO16" s="3079">
        <f t="shared" si="36"/>
        <v>800</v>
      </c>
      <c r="AP16" s="3080"/>
      <c r="AQ16" s="3080"/>
      <c r="AR16" s="3080"/>
      <c r="AS16" s="3081"/>
      <c r="AT16" s="3082">
        <f t="shared" si="26"/>
        <v>200</v>
      </c>
      <c r="AU16" s="3083">
        <f t="shared" si="22"/>
        <v>200</v>
      </c>
      <c r="AV16" s="3083">
        <f t="shared" si="23"/>
        <v>200</v>
      </c>
      <c r="AW16" s="3084">
        <f t="shared" si="27"/>
        <v>200</v>
      </c>
      <c r="AX16" s="3085"/>
      <c r="AY16" s="3080"/>
      <c r="AZ16" s="3080"/>
      <c r="BA16" s="3086"/>
      <c r="BB16" s="3087"/>
      <c r="BC16" s="3080"/>
      <c r="BD16" s="3080"/>
      <c r="BE16" s="3080"/>
      <c r="BF16" s="3080">
        <f t="shared" si="1"/>
        <v>0</v>
      </c>
      <c r="BG16" s="3080"/>
      <c r="BH16" s="3080"/>
      <c r="BI16" s="3080"/>
      <c r="BJ16" s="3080">
        <f t="shared" si="37"/>
        <v>800</v>
      </c>
      <c r="BK16" s="3080"/>
      <c r="BL16" s="3080" t="s">
        <v>9164</v>
      </c>
      <c r="BM16" s="3096"/>
      <c r="BN16" s="3080">
        <f t="shared" si="28"/>
        <v>200</v>
      </c>
      <c r="BO16" s="3080">
        <f t="shared" si="29"/>
        <v>200</v>
      </c>
      <c r="BP16" s="3080">
        <f t="shared" si="30"/>
        <v>200</v>
      </c>
      <c r="BQ16" s="3080">
        <f t="shared" si="31"/>
        <v>200</v>
      </c>
      <c r="BR16" s="3080">
        <f t="shared" si="2"/>
        <v>0</v>
      </c>
      <c r="BS16" s="3088">
        <f t="shared" si="3"/>
        <v>513280</v>
      </c>
      <c r="BT16" s="3088">
        <f t="shared" ref="BT16:BW16" si="40">BT15-BN16</f>
        <v>149301.25</v>
      </c>
      <c r="BU16" s="3088">
        <f t="shared" si="40"/>
        <v>149301.25</v>
      </c>
      <c r="BV16" s="3088">
        <f t="shared" si="40"/>
        <v>149309.25</v>
      </c>
      <c r="BW16" s="3088">
        <f t="shared" si="40"/>
        <v>149642.583333333</v>
      </c>
      <c r="BX16" s="3088"/>
    </row>
    <row r="17" s="3031" customFormat="1" ht="32" customHeight="1" spans="1:76">
      <c r="A17" s="3063">
        <v>45586</v>
      </c>
      <c r="B17" s="3064" t="s">
        <v>90</v>
      </c>
      <c r="C17" s="3065" t="s">
        <v>91</v>
      </c>
      <c r="D17" s="3066">
        <v>4500147796</v>
      </c>
      <c r="E17" s="3067" t="s">
        <v>9205</v>
      </c>
      <c r="F17" s="3066" t="s">
        <v>9206</v>
      </c>
      <c r="G17" s="3069" t="s">
        <v>9154</v>
      </c>
      <c r="H17" s="3069" t="s">
        <v>9155</v>
      </c>
      <c r="I17" s="2969">
        <v>1000</v>
      </c>
      <c r="J17" s="2969">
        <v>0</v>
      </c>
      <c r="K17" s="2969">
        <v>8</v>
      </c>
      <c r="L17" s="2969">
        <f t="shared" si="0"/>
        <v>125</v>
      </c>
      <c r="M17" s="3070">
        <v>45656</v>
      </c>
      <c r="N17" s="3070">
        <v>45652</v>
      </c>
      <c r="O17" s="2996"/>
      <c r="P17" s="2996" t="s">
        <v>82</v>
      </c>
      <c r="Q17" s="3071"/>
      <c r="R17" s="3071"/>
      <c r="S17" s="3071"/>
      <c r="T17" s="3071"/>
      <c r="U17" s="3072" t="s">
        <v>110</v>
      </c>
      <c r="V17" s="2996"/>
      <c r="W17" s="3073" t="s">
        <v>97</v>
      </c>
      <c r="X17" s="3073" t="s">
        <v>98</v>
      </c>
      <c r="Y17" s="3073" t="s">
        <v>98</v>
      </c>
      <c r="Z17" s="3073" t="s">
        <v>9200</v>
      </c>
      <c r="AA17" s="3073"/>
      <c r="AB17" s="3091" t="s">
        <v>100</v>
      </c>
      <c r="AC17" s="2969" t="s">
        <v>101</v>
      </c>
      <c r="AD17" s="3075">
        <v>4.2475</v>
      </c>
      <c r="AE17" s="3076">
        <f t="shared" si="5"/>
        <v>4247.5</v>
      </c>
      <c r="AF17" s="2969" t="s">
        <v>112</v>
      </c>
      <c r="AG17" s="2969" t="s">
        <v>9154</v>
      </c>
      <c r="AH17" s="2969" t="s">
        <v>416</v>
      </c>
      <c r="AI17" s="3077">
        <f t="shared" si="35"/>
        <v>1000</v>
      </c>
      <c r="AJ17" s="3078"/>
      <c r="AK17" s="3077"/>
      <c r="AL17" s="3078"/>
      <c r="AM17" s="3095"/>
      <c r="AN17" s="3078"/>
      <c r="AO17" s="3079">
        <f t="shared" si="36"/>
        <v>1000</v>
      </c>
      <c r="AP17" s="3080"/>
      <c r="AQ17" s="3080"/>
      <c r="AR17" s="3080"/>
      <c r="AS17" s="3081"/>
      <c r="AT17" s="3082">
        <f t="shared" si="26"/>
        <v>250</v>
      </c>
      <c r="AU17" s="3083">
        <f t="shared" si="22"/>
        <v>250</v>
      </c>
      <c r="AV17" s="3083">
        <f t="shared" si="23"/>
        <v>250</v>
      </c>
      <c r="AW17" s="3084">
        <f t="shared" si="27"/>
        <v>250</v>
      </c>
      <c r="AX17" s="3085"/>
      <c r="AY17" s="3080"/>
      <c r="AZ17" s="3080"/>
      <c r="BA17" s="3086"/>
      <c r="BB17" s="3087"/>
      <c r="BC17" s="3080"/>
      <c r="BD17" s="3080"/>
      <c r="BE17" s="3080"/>
      <c r="BF17" s="3080">
        <f t="shared" si="1"/>
        <v>0</v>
      </c>
      <c r="BG17" s="3080"/>
      <c r="BH17" s="3080"/>
      <c r="BI17" s="3080"/>
      <c r="BJ17" s="3080">
        <f t="shared" si="37"/>
        <v>1000</v>
      </c>
      <c r="BK17" s="3080"/>
      <c r="BL17" s="3080" t="s">
        <v>9164</v>
      </c>
      <c r="BM17" s="3096"/>
      <c r="BN17" s="3080">
        <f t="shared" si="28"/>
        <v>250</v>
      </c>
      <c r="BO17" s="3080">
        <f t="shared" si="29"/>
        <v>250</v>
      </c>
      <c r="BP17" s="3080">
        <f t="shared" si="30"/>
        <v>250</v>
      </c>
      <c r="BQ17" s="3080">
        <f t="shared" si="31"/>
        <v>250</v>
      </c>
      <c r="BR17" s="3080">
        <f t="shared" si="2"/>
        <v>0</v>
      </c>
      <c r="BS17" s="3088">
        <f t="shared" si="3"/>
        <v>513480</v>
      </c>
      <c r="BT17" s="3088">
        <f t="shared" ref="BT17:BW17" si="41">BT16-BN17</f>
        <v>149051.25</v>
      </c>
      <c r="BU17" s="3088">
        <f t="shared" si="41"/>
        <v>149051.25</v>
      </c>
      <c r="BV17" s="3088">
        <f t="shared" si="41"/>
        <v>149059.25</v>
      </c>
      <c r="BW17" s="3088">
        <f t="shared" si="41"/>
        <v>149392.583333333</v>
      </c>
      <c r="BX17" s="3088"/>
    </row>
    <row r="18" s="3031" customFormat="1" ht="32" customHeight="1" spans="1:76">
      <c r="A18" s="3063">
        <v>45604</v>
      </c>
      <c r="B18" s="3064" t="s">
        <v>5030</v>
      </c>
      <c r="C18" s="3065" t="s">
        <v>341</v>
      </c>
      <c r="D18" s="3066">
        <v>4500150696</v>
      </c>
      <c r="E18" s="3067" t="s">
        <v>9207</v>
      </c>
      <c r="F18" s="3066" t="s">
        <v>9208</v>
      </c>
      <c r="G18" s="3069" t="s">
        <v>9209</v>
      </c>
      <c r="H18" s="3069" t="s">
        <v>9210</v>
      </c>
      <c r="I18" s="2969">
        <v>968</v>
      </c>
      <c r="J18" s="2969">
        <v>0</v>
      </c>
      <c r="K18" s="2969">
        <v>88</v>
      </c>
      <c r="L18" s="2969">
        <f t="shared" si="0"/>
        <v>11</v>
      </c>
      <c r="M18" s="3070">
        <v>45656</v>
      </c>
      <c r="N18" s="3070">
        <v>45652</v>
      </c>
      <c r="O18" s="2996"/>
      <c r="P18" s="2996" t="s">
        <v>82</v>
      </c>
      <c r="Q18" s="3071"/>
      <c r="R18" s="3071"/>
      <c r="S18" s="3071"/>
      <c r="T18" s="3071"/>
      <c r="U18" s="3072" t="s">
        <v>110</v>
      </c>
      <c r="V18" s="2996"/>
      <c r="W18" s="3073" t="s">
        <v>489</v>
      </c>
      <c r="X18" s="3073"/>
      <c r="Y18" s="3073" t="s">
        <v>9211</v>
      </c>
      <c r="Z18" s="3073"/>
      <c r="AA18" s="3073"/>
      <c r="AB18" s="3091" t="s">
        <v>9212</v>
      </c>
      <c r="AC18" s="2969" t="s">
        <v>2921</v>
      </c>
      <c r="AD18" s="3075">
        <v>392.7986</v>
      </c>
      <c r="AE18" s="3076">
        <f t="shared" si="5"/>
        <v>380229.0448</v>
      </c>
      <c r="AF18" s="2969" t="s">
        <v>9213</v>
      </c>
      <c r="AG18" s="3069" t="s">
        <v>9209</v>
      </c>
      <c r="AH18" s="2969" t="s">
        <v>416</v>
      </c>
      <c r="AI18" s="3077">
        <f t="shared" si="35"/>
        <v>968</v>
      </c>
      <c r="AJ18" s="3078"/>
      <c r="AK18" s="3077"/>
      <c r="AL18" s="3078"/>
      <c r="AM18" s="3092"/>
      <c r="AN18" s="3078"/>
      <c r="AO18" s="3079">
        <f t="shared" si="36"/>
        <v>968</v>
      </c>
      <c r="AP18" s="3080"/>
      <c r="AQ18" s="3080"/>
      <c r="AR18" s="3080"/>
      <c r="AS18" s="3081"/>
      <c r="AT18" s="3082">
        <f t="shared" si="26"/>
        <v>242</v>
      </c>
      <c r="AU18" s="3083">
        <f t="shared" si="22"/>
        <v>242</v>
      </c>
      <c r="AV18" s="3083">
        <f t="shared" si="23"/>
        <v>242</v>
      </c>
      <c r="AW18" s="3084">
        <f t="shared" si="27"/>
        <v>242</v>
      </c>
      <c r="AX18" s="3085"/>
      <c r="AY18" s="3080"/>
      <c r="AZ18" s="3080"/>
      <c r="BA18" s="3086"/>
      <c r="BB18" s="3087"/>
      <c r="BC18" s="3080"/>
      <c r="BD18" s="3080"/>
      <c r="BE18" s="3080"/>
      <c r="BF18" s="3080">
        <f t="shared" si="1"/>
        <v>0</v>
      </c>
      <c r="BG18" s="3080"/>
      <c r="BH18" s="3080"/>
      <c r="BI18" s="3080"/>
      <c r="BJ18" s="3080">
        <f t="shared" si="37"/>
        <v>968</v>
      </c>
      <c r="BK18" s="3080"/>
      <c r="BL18" s="3080" t="s">
        <v>9164</v>
      </c>
      <c r="BM18" s="3079"/>
      <c r="BN18" s="3080">
        <f t="shared" si="28"/>
        <v>242</v>
      </c>
      <c r="BO18" s="3080">
        <f t="shared" si="29"/>
        <v>242</v>
      </c>
      <c r="BP18" s="3080">
        <f t="shared" si="30"/>
        <v>242</v>
      </c>
      <c r="BQ18" s="3080">
        <f t="shared" si="31"/>
        <v>242</v>
      </c>
      <c r="BR18" s="3080">
        <f t="shared" si="2"/>
        <v>0</v>
      </c>
      <c r="BS18" s="3088">
        <f t="shared" si="3"/>
        <v>513448</v>
      </c>
      <c r="BT18" s="3088">
        <f t="shared" ref="BT18:BW18" si="42">BT17-BN18</f>
        <v>148809.25</v>
      </c>
      <c r="BU18" s="3088">
        <f t="shared" si="42"/>
        <v>148809.25</v>
      </c>
      <c r="BV18" s="3088">
        <f t="shared" si="42"/>
        <v>148817.25</v>
      </c>
      <c r="BW18" s="3088">
        <f t="shared" si="42"/>
        <v>149150.583333333</v>
      </c>
      <c r="BX18" s="3088"/>
    </row>
    <row r="19" s="3031" customFormat="1" ht="32" customHeight="1" spans="1:76">
      <c r="A19" s="3063">
        <v>45586</v>
      </c>
      <c r="B19" s="3064" t="s">
        <v>90</v>
      </c>
      <c r="C19" s="3065" t="s">
        <v>91</v>
      </c>
      <c r="D19" s="3066">
        <v>4500147794</v>
      </c>
      <c r="E19" s="3067" t="s">
        <v>9214</v>
      </c>
      <c r="F19" s="3066" t="s">
        <v>9215</v>
      </c>
      <c r="G19" s="3069" t="s">
        <v>9154</v>
      </c>
      <c r="H19" s="3069" t="s">
        <v>9155</v>
      </c>
      <c r="I19" s="2969">
        <v>800</v>
      </c>
      <c r="J19" s="2969">
        <v>0</v>
      </c>
      <c r="K19" s="2969">
        <v>8</v>
      </c>
      <c r="L19" s="2969">
        <f t="shared" si="0"/>
        <v>100</v>
      </c>
      <c r="M19" s="3070">
        <v>45657</v>
      </c>
      <c r="N19" s="3070">
        <v>45653</v>
      </c>
      <c r="O19" s="2996"/>
      <c r="P19" s="2996" t="s">
        <v>82</v>
      </c>
      <c r="Q19" s="3071"/>
      <c r="R19" s="3071"/>
      <c r="S19" s="3071"/>
      <c r="T19" s="3071"/>
      <c r="U19" s="3072" t="s">
        <v>116</v>
      </c>
      <c r="V19" s="2996"/>
      <c r="W19" s="3073" t="s">
        <v>97</v>
      </c>
      <c r="X19" s="3073" t="s">
        <v>98</v>
      </c>
      <c r="Y19" s="3073" t="s">
        <v>98</v>
      </c>
      <c r="Z19" s="3073" t="s">
        <v>9200</v>
      </c>
      <c r="AA19" s="3073"/>
      <c r="AB19" s="3091" t="s">
        <v>100</v>
      </c>
      <c r="AC19" s="2969" t="s">
        <v>101</v>
      </c>
      <c r="AD19" s="3075">
        <v>4.2475</v>
      </c>
      <c r="AE19" s="3076">
        <f t="shared" si="5"/>
        <v>3398</v>
      </c>
      <c r="AF19" s="2969" t="s">
        <v>125</v>
      </c>
      <c r="AG19" s="2969" t="s">
        <v>9154</v>
      </c>
      <c r="AH19" s="2969" t="s">
        <v>416</v>
      </c>
      <c r="AI19" s="3077">
        <f t="shared" si="35"/>
        <v>800</v>
      </c>
      <c r="AJ19" s="3078"/>
      <c r="AK19" s="3077"/>
      <c r="AL19" s="3078"/>
      <c r="AM19" s="3095"/>
      <c r="AN19" s="3078"/>
      <c r="AO19" s="3079">
        <f t="shared" si="36"/>
        <v>800</v>
      </c>
      <c r="AP19" s="3080"/>
      <c r="AQ19" s="3080"/>
      <c r="AR19" s="3080"/>
      <c r="AS19" s="3081"/>
      <c r="AT19" s="3082">
        <f t="shared" si="26"/>
        <v>200</v>
      </c>
      <c r="AU19" s="3083">
        <f t="shared" si="22"/>
        <v>200</v>
      </c>
      <c r="AV19" s="3083">
        <f t="shared" si="23"/>
        <v>200</v>
      </c>
      <c r="AW19" s="3084">
        <f t="shared" si="27"/>
        <v>200</v>
      </c>
      <c r="AX19" s="3085"/>
      <c r="AY19" s="3080"/>
      <c r="AZ19" s="3080"/>
      <c r="BA19" s="3086"/>
      <c r="BB19" s="3087"/>
      <c r="BC19" s="3080"/>
      <c r="BD19" s="3080"/>
      <c r="BE19" s="3080"/>
      <c r="BF19" s="3080">
        <f t="shared" si="1"/>
        <v>0</v>
      </c>
      <c r="BG19" s="3080"/>
      <c r="BH19" s="3080"/>
      <c r="BI19" s="3080"/>
      <c r="BJ19" s="3080">
        <f t="shared" si="37"/>
        <v>800</v>
      </c>
      <c r="BK19" s="3080"/>
      <c r="BL19" s="3080" t="s">
        <v>9164</v>
      </c>
      <c r="BM19" s="3096"/>
      <c r="BN19" s="3080">
        <f t="shared" si="28"/>
        <v>200</v>
      </c>
      <c r="BO19" s="3080">
        <f t="shared" si="29"/>
        <v>200</v>
      </c>
      <c r="BP19" s="3080">
        <f t="shared" si="30"/>
        <v>200</v>
      </c>
      <c r="BQ19" s="3080">
        <f t="shared" si="31"/>
        <v>200</v>
      </c>
      <c r="BR19" s="3080">
        <f t="shared" si="2"/>
        <v>0</v>
      </c>
      <c r="BS19" s="3088">
        <f t="shared" si="3"/>
        <v>513280</v>
      </c>
      <c r="BT19" s="3088">
        <f t="shared" ref="BT19:BW19" si="43">BT18-BN19</f>
        <v>148609.25</v>
      </c>
      <c r="BU19" s="3088">
        <f t="shared" si="43"/>
        <v>148609.25</v>
      </c>
      <c r="BV19" s="3088">
        <f t="shared" si="43"/>
        <v>148617.25</v>
      </c>
      <c r="BW19" s="3088">
        <f t="shared" si="43"/>
        <v>148950.583333333</v>
      </c>
      <c r="BX19" s="3088"/>
    </row>
    <row r="20" s="3031" customFormat="1" ht="32" customHeight="1" spans="1:76">
      <c r="A20" s="3063">
        <v>45586</v>
      </c>
      <c r="B20" s="3064" t="s">
        <v>90</v>
      </c>
      <c r="C20" s="3065" t="s">
        <v>91</v>
      </c>
      <c r="D20" s="3066">
        <v>4500147798</v>
      </c>
      <c r="E20" s="3067" t="s">
        <v>9205</v>
      </c>
      <c r="F20" s="3066" t="s">
        <v>9216</v>
      </c>
      <c r="G20" s="3069" t="s">
        <v>9154</v>
      </c>
      <c r="H20" s="3069" t="s">
        <v>9155</v>
      </c>
      <c r="I20" s="2969">
        <v>1000</v>
      </c>
      <c r="J20" s="2969">
        <v>0</v>
      </c>
      <c r="K20" s="2969">
        <v>8</v>
      </c>
      <c r="L20" s="2969">
        <f t="shared" si="0"/>
        <v>125</v>
      </c>
      <c r="M20" s="3070">
        <v>45657</v>
      </c>
      <c r="N20" s="3070">
        <v>45653</v>
      </c>
      <c r="O20" s="2996"/>
      <c r="P20" s="2996" t="s">
        <v>82</v>
      </c>
      <c r="Q20" s="3071"/>
      <c r="R20" s="3071"/>
      <c r="S20" s="3071"/>
      <c r="T20" s="3071"/>
      <c r="U20" s="3072" t="s">
        <v>110</v>
      </c>
      <c r="V20" s="2996"/>
      <c r="W20" s="3073" t="s">
        <v>97</v>
      </c>
      <c r="X20" s="3073" t="s">
        <v>98</v>
      </c>
      <c r="Y20" s="3073" t="s">
        <v>98</v>
      </c>
      <c r="Z20" s="3073" t="s">
        <v>9200</v>
      </c>
      <c r="AA20" s="3073"/>
      <c r="AB20" s="3091" t="s">
        <v>100</v>
      </c>
      <c r="AC20" s="2969" t="s">
        <v>101</v>
      </c>
      <c r="AD20" s="3075">
        <v>4.2475</v>
      </c>
      <c r="AE20" s="3076">
        <f t="shared" si="5"/>
        <v>4247.5</v>
      </c>
      <c r="AF20" s="2969" t="s">
        <v>122</v>
      </c>
      <c r="AG20" s="2969" t="s">
        <v>9154</v>
      </c>
      <c r="AH20" s="2969" t="s">
        <v>416</v>
      </c>
      <c r="AI20" s="3077">
        <f t="shared" si="35"/>
        <v>1000</v>
      </c>
      <c r="AJ20" s="3078"/>
      <c r="AK20" s="3077"/>
      <c r="AL20" s="3078"/>
      <c r="AM20" s="3095"/>
      <c r="AN20" s="3078"/>
      <c r="AO20" s="3079">
        <f t="shared" si="36"/>
        <v>1000</v>
      </c>
      <c r="AP20" s="3080"/>
      <c r="AQ20" s="3080"/>
      <c r="AR20" s="3080"/>
      <c r="AS20" s="3081"/>
      <c r="AT20" s="3082">
        <f t="shared" si="26"/>
        <v>250</v>
      </c>
      <c r="AU20" s="3083">
        <f t="shared" si="22"/>
        <v>250</v>
      </c>
      <c r="AV20" s="3083">
        <f t="shared" si="23"/>
        <v>250</v>
      </c>
      <c r="AW20" s="3084">
        <f t="shared" si="27"/>
        <v>250</v>
      </c>
      <c r="AX20" s="3085"/>
      <c r="AY20" s="3080"/>
      <c r="AZ20" s="3080"/>
      <c r="BA20" s="3086"/>
      <c r="BB20" s="3087"/>
      <c r="BC20" s="3080"/>
      <c r="BD20" s="3080"/>
      <c r="BE20" s="3080"/>
      <c r="BF20" s="3080">
        <f t="shared" si="1"/>
        <v>0</v>
      </c>
      <c r="BG20" s="3080"/>
      <c r="BH20" s="3080"/>
      <c r="BI20" s="3080"/>
      <c r="BJ20" s="3080">
        <f t="shared" si="37"/>
        <v>1000</v>
      </c>
      <c r="BK20" s="3080"/>
      <c r="BL20" s="3080" t="s">
        <v>9164</v>
      </c>
      <c r="BM20" s="3096"/>
      <c r="BN20" s="3080">
        <f t="shared" si="28"/>
        <v>250</v>
      </c>
      <c r="BO20" s="3080">
        <f t="shared" si="29"/>
        <v>250</v>
      </c>
      <c r="BP20" s="3080">
        <f t="shared" si="30"/>
        <v>250</v>
      </c>
      <c r="BQ20" s="3080">
        <f t="shared" si="31"/>
        <v>250</v>
      </c>
      <c r="BR20" s="3080">
        <f t="shared" si="2"/>
        <v>0</v>
      </c>
      <c r="BS20" s="3088">
        <f t="shared" si="3"/>
        <v>513480</v>
      </c>
      <c r="BT20" s="3088">
        <f t="shared" ref="BT20:BW20" si="44">BT19-BN20</f>
        <v>148359.25</v>
      </c>
      <c r="BU20" s="3088">
        <f t="shared" si="44"/>
        <v>148359.25</v>
      </c>
      <c r="BV20" s="3088">
        <f t="shared" si="44"/>
        <v>148367.25</v>
      </c>
      <c r="BW20" s="3088">
        <f t="shared" si="44"/>
        <v>148700.583333333</v>
      </c>
      <c r="BX20" s="3088"/>
    </row>
    <row r="21" s="3031" customFormat="1" ht="32" customHeight="1" spans="1:76">
      <c r="A21" s="3063">
        <v>45624</v>
      </c>
      <c r="B21" s="3064" t="s">
        <v>6341</v>
      </c>
      <c r="C21" s="3065" t="s">
        <v>506</v>
      </c>
      <c r="D21" s="3066">
        <v>4500152763</v>
      </c>
      <c r="E21" s="3067" t="s">
        <v>9217</v>
      </c>
      <c r="F21" s="3066" t="s">
        <v>9218</v>
      </c>
      <c r="G21" s="3069" t="s">
        <v>9154</v>
      </c>
      <c r="H21" s="3069" t="s">
        <v>9155</v>
      </c>
      <c r="I21" s="2969">
        <v>656</v>
      </c>
      <c r="J21" s="2969">
        <v>0</v>
      </c>
      <c r="K21" s="2969">
        <v>8</v>
      </c>
      <c r="L21" s="2969">
        <f t="shared" si="0"/>
        <v>82</v>
      </c>
      <c r="M21" s="3070">
        <v>45657</v>
      </c>
      <c r="N21" s="3070">
        <v>45653</v>
      </c>
      <c r="O21" s="2996"/>
      <c r="P21" s="2996" t="s">
        <v>82</v>
      </c>
      <c r="Q21" s="3071"/>
      <c r="R21" s="3071"/>
      <c r="S21" s="3071"/>
      <c r="T21" s="3071"/>
      <c r="U21" s="3072" t="s">
        <v>107</v>
      </c>
      <c r="V21" s="2996"/>
      <c r="W21" s="3073" t="s">
        <v>2694</v>
      </c>
      <c r="X21" s="3073"/>
      <c r="Y21" s="3073" t="s">
        <v>9219</v>
      </c>
      <c r="Z21" s="3073"/>
      <c r="AA21" s="3073"/>
      <c r="AB21" s="3091" t="s">
        <v>9220</v>
      </c>
      <c r="AC21" s="2969" t="s">
        <v>3202</v>
      </c>
      <c r="AD21" s="3075">
        <v>4.5774</v>
      </c>
      <c r="AE21" s="3076">
        <f t="shared" si="5"/>
        <v>3002.7744</v>
      </c>
      <c r="AF21" s="2969" t="s">
        <v>9221</v>
      </c>
      <c r="AG21" s="2969" t="s">
        <v>9154</v>
      </c>
      <c r="AH21" s="2969" t="s">
        <v>416</v>
      </c>
      <c r="AI21" s="3077">
        <f t="shared" si="35"/>
        <v>656</v>
      </c>
      <c r="AJ21" s="3078"/>
      <c r="AK21" s="3077"/>
      <c r="AL21" s="3078"/>
      <c r="AM21" s="3092"/>
      <c r="AN21" s="3078"/>
      <c r="AO21" s="3079">
        <f t="shared" si="36"/>
        <v>656</v>
      </c>
      <c r="AP21" s="3080"/>
      <c r="AQ21" s="3080"/>
      <c r="AR21" s="3080"/>
      <c r="AS21" s="3081"/>
      <c r="AT21" s="3082">
        <f t="shared" si="26"/>
        <v>164</v>
      </c>
      <c r="AU21" s="3083">
        <f t="shared" ref="AU21:AU30" si="45">I21/4</f>
        <v>164</v>
      </c>
      <c r="AV21" s="3083">
        <f t="shared" ref="AV21:AV30" si="46">I21/4</f>
        <v>164</v>
      </c>
      <c r="AW21" s="3084">
        <f t="shared" ref="AW21:AW30" si="47">I21/4</f>
        <v>164</v>
      </c>
      <c r="AX21" s="3085"/>
      <c r="AY21" s="3080"/>
      <c r="AZ21" s="3080"/>
      <c r="BA21" s="3086"/>
      <c r="BB21" s="3087"/>
      <c r="BC21" s="3080"/>
      <c r="BD21" s="3080"/>
      <c r="BE21" s="3080"/>
      <c r="BF21" s="3080">
        <f t="shared" si="1"/>
        <v>0</v>
      </c>
      <c r="BG21" s="3080"/>
      <c r="BH21" s="3080"/>
      <c r="BI21" s="3080"/>
      <c r="BJ21" s="3080">
        <f t="shared" si="37"/>
        <v>656</v>
      </c>
      <c r="BK21" s="3080"/>
      <c r="BL21" s="3080" t="s">
        <v>9164</v>
      </c>
      <c r="BM21" s="3097"/>
      <c r="BN21" s="3080">
        <f t="shared" si="28"/>
        <v>164</v>
      </c>
      <c r="BO21" s="3080">
        <f t="shared" si="29"/>
        <v>164</v>
      </c>
      <c r="BP21" s="3080">
        <f t="shared" si="30"/>
        <v>164</v>
      </c>
      <c r="BQ21" s="3080">
        <f t="shared" si="31"/>
        <v>164</v>
      </c>
      <c r="BR21" s="3080">
        <f t="shared" si="2"/>
        <v>0</v>
      </c>
      <c r="BS21" s="3088">
        <f t="shared" si="3"/>
        <v>513136</v>
      </c>
      <c r="BT21" s="3088">
        <f t="shared" ref="BT21:BW21" si="48">BT20-BN21</f>
        <v>148195.25</v>
      </c>
      <c r="BU21" s="3088">
        <f t="shared" si="48"/>
        <v>148195.25</v>
      </c>
      <c r="BV21" s="3088">
        <f t="shared" si="48"/>
        <v>148203.25</v>
      </c>
      <c r="BW21" s="3088">
        <f t="shared" si="48"/>
        <v>148536.583333333</v>
      </c>
      <c r="BX21" s="3088"/>
    </row>
    <row r="22" s="3031" customFormat="1" ht="32" customHeight="1" spans="1:76">
      <c r="A22" s="3063">
        <v>45624</v>
      </c>
      <c r="B22" s="3064" t="s">
        <v>6341</v>
      </c>
      <c r="C22" s="3065" t="s">
        <v>506</v>
      </c>
      <c r="D22" s="3066">
        <v>4500152763</v>
      </c>
      <c r="E22" s="3067" t="s">
        <v>9222</v>
      </c>
      <c r="F22" s="3066" t="s">
        <v>9223</v>
      </c>
      <c r="G22" s="3069" t="s">
        <v>9154</v>
      </c>
      <c r="H22" s="3069" t="s">
        <v>9155</v>
      </c>
      <c r="I22" s="2969">
        <v>504</v>
      </c>
      <c r="J22" s="2969">
        <v>0</v>
      </c>
      <c r="K22" s="2969">
        <v>8</v>
      </c>
      <c r="L22" s="2969">
        <f t="shared" si="0"/>
        <v>63</v>
      </c>
      <c r="M22" s="3070">
        <v>45657</v>
      </c>
      <c r="N22" s="3070">
        <v>45653</v>
      </c>
      <c r="O22" s="2996"/>
      <c r="P22" s="2996" t="s">
        <v>82</v>
      </c>
      <c r="Q22" s="3071"/>
      <c r="R22" s="3071"/>
      <c r="S22" s="3071"/>
      <c r="T22" s="3071"/>
      <c r="U22" s="3072"/>
      <c r="V22" s="2996"/>
      <c r="W22" s="3073" t="s">
        <v>2694</v>
      </c>
      <c r="X22" s="3073"/>
      <c r="Y22" s="3073" t="s">
        <v>9219</v>
      </c>
      <c r="Z22" s="3073"/>
      <c r="AA22" s="3073"/>
      <c r="AB22" s="3091" t="s">
        <v>9220</v>
      </c>
      <c r="AC22" s="2969" t="s">
        <v>3202</v>
      </c>
      <c r="AD22" s="3075">
        <v>4.5774</v>
      </c>
      <c r="AE22" s="3076">
        <f t="shared" si="5"/>
        <v>2307.0096</v>
      </c>
      <c r="AF22" s="2969" t="s">
        <v>9224</v>
      </c>
      <c r="AG22" s="2969" t="s">
        <v>9154</v>
      </c>
      <c r="AH22" s="2969" t="s">
        <v>416</v>
      </c>
      <c r="AI22" s="3077">
        <f t="shared" si="35"/>
        <v>504</v>
      </c>
      <c r="AJ22" s="3078"/>
      <c r="AK22" s="3077"/>
      <c r="AL22" s="3078"/>
      <c r="AM22" s="3092"/>
      <c r="AN22" s="3078"/>
      <c r="AO22" s="3079">
        <f t="shared" si="36"/>
        <v>504</v>
      </c>
      <c r="AP22" s="3080"/>
      <c r="AQ22" s="3080"/>
      <c r="AR22" s="3080"/>
      <c r="AS22" s="3081"/>
      <c r="AT22" s="3082">
        <f t="shared" si="26"/>
        <v>126</v>
      </c>
      <c r="AU22" s="3083">
        <f t="shared" si="45"/>
        <v>126</v>
      </c>
      <c r="AV22" s="3083">
        <f t="shared" si="46"/>
        <v>126</v>
      </c>
      <c r="AW22" s="3084">
        <f t="shared" si="47"/>
        <v>126</v>
      </c>
      <c r="AX22" s="3085"/>
      <c r="AY22" s="3080"/>
      <c r="AZ22" s="3080"/>
      <c r="BA22" s="3086"/>
      <c r="BB22" s="3087"/>
      <c r="BC22" s="3080"/>
      <c r="BD22" s="3080"/>
      <c r="BE22" s="3080"/>
      <c r="BF22" s="3080">
        <f t="shared" si="1"/>
        <v>0</v>
      </c>
      <c r="BG22" s="3080"/>
      <c r="BH22" s="3080"/>
      <c r="BI22" s="3080"/>
      <c r="BJ22" s="3080">
        <f t="shared" si="37"/>
        <v>504</v>
      </c>
      <c r="BK22" s="3080"/>
      <c r="BL22" s="3080" t="s">
        <v>9164</v>
      </c>
      <c r="BM22" s="3097"/>
      <c r="BN22" s="3080">
        <f t="shared" si="28"/>
        <v>126</v>
      </c>
      <c r="BO22" s="3080">
        <f t="shared" si="29"/>
        <v>126</v>
      </c>
      <c r="BP22" s="3080">
        <f t="shared" si="30"/>
        <v>126</v>
      </c>
      <c r="BQ22" s="3080">
        <f t="shared" si="31"/>
        <v>126</v>
      </c>
      <c r="BR22" s="3080">
        <f t="shared" si="2"/>
        <v>0</v>
      </c>
      <c r="BS22" s="3088">
        <f t="shared" si="3"/>
        <v>512984</v>
      </c>
      <c r="BT22" s="3088">
        <f t="shared" ref="BT22:BW22" si="49">BT21-BN22</f>
        <v>148069.25</v>
      </c>
      <c r="BU22" s="3088">
        <f t="shared" si="49"/>
        <v>148069.25</v>
      </c>
      <c r="BV22" s="3088">
        <f t="shared" si="49"/>
        <v>148077.25</v>
      </c>
      <c r="BW22" s="3088">
        <f t="shared" si="49"/>
        <v>148410.583333333</v>
      </c>
      <c r="BX22" s="3088"/>
    </row>
    <row r="23" s="3031" customFormat="1" ht="32" customHeight="1" spans="1:76">
      <c r="A23" s="3063">
        <v>45624</v>
      </c>
      <c r="B23" s="3064" t="s">
        <v>6341</v>
      </c>
      <c r="C23" s="3065" t="s">
        <v>506</v>
      </c>
      <c r="D23" s="3066">
        <v>4500152763</v>
      </c>
      <c r="E23" s="3067" t="s">
        <v>9225</v>
      </c>
      <c r="F23" s="3066" t="s">
        <v>9226</v>
      </c>
      <c r="G23" s="3069" t="s">
        <v>9154</v>
      </c>
      <c r="H23" s="3069" t="s">
        <v>9155</v>
      </c>
      <c r="I23" s="2969">
        <v>504</v>
      </c>
      <c r="J23" s="2969">
        <v>0</v>
      </c>
      <c r="K23" s="2969">
        <v>8</v>
      </c>
      <c r="L23" s="2969">
        <f t="shared" si="0"/>
        <v>63</v>
      </c>
      <c r="M23" s="3070">
        <v>45657</v>
      </c>
      <c r="N23" s="3070">
        <v>45653</v>
      </c>
      <c r="O23" s="2996"/>
      <c r="P23" s="2996" t="s">
        <v>82</v>
      </c>
      <c r="Q23" s="3071"/>
      <c r="R23" s="3071"/>
      <c r="S23" s="3071"/>
      <c r="T23" s="3071"/>
      <c r="U23" s="3072" t="s">
        <v>2230</v>
      </c>
      <c r="V23" s="2996"/>
      <c r="W23" s="3073" t="s">
        <v>2694</v>
      </c>
      <c r="X23" s="3073"/>
      <c r="Y23" s="3073" t="s">
        <v>9219</v>
      </c>
      <c r="Z23" s="3073"/>
      <c r="AA23" s="3073"/>
      <c r="AB23" s="3091" t="s">
        <v>9220</v>
      </c>
      <c r="AC23" s="2969" t="s">
        <v>3202</v>
      </c>
      <c r="AD23" s="3075">
        <v>4.5774</v>
      </c>
      <c r="AE23" s="3076">
        <f t="shared" si="5"/>
        <v>2307.0096</v>
      </c>
      <c r="AF23" s="2969" t="s">
        <v>9227</v>
      </c>
      <c r="AG23" s="2969" t="s">
        <v>9154</v>
      </c>
      <c r="AH23" s="2969" t="s">
        <v>416</v>
      </c>
      <c r="AI23" s="3077">
        <f t="shared" si="35"/>
        <v>504</v>
      </c>
      <c r="AJ23" s="3078"/>
      <c r="AK23" s="3077"/>
      <c r="AL23" s="3078"/>
      <c r="AM23" s="3092"/>
      <c r="AN23" s="3078"/>
      <c r="AO23" s="3079">
        <f t="shared" si="36"/>
        <v>504</v>
      </c>
      <c r="AP23" s="3080"/>
      <c r="AQ23" s="3080"/>
      <c r="AR23" s="3080"/>
      <c r="AS23" s="3081"/>
      <c r="AT23" s="3082">
        <f t="shared" si="26"/>
        <v>126</v>
      </c>
      <c r="AU23" s="3083">
        <f t="shared" si="45"/>
        <v>126</v>
      </c>
      <c r="AV23" s="3083">
        <f t="shared" si="46"/>
        <v>126</v>
      </c>
      <c r="AW23" s="3084">
        <f t="shared" si="47"/>
        <v>126</v>
      </c>
      <c r="AX23" s="3085"/>
      <c r="AY23" s="3080"/>
      <c r="AZ23" s="3080"/>
      <c r="BA23" s="3086"/>
      <c r="BB23" s="3087"/>
      <c r="BC23" s="3080"/>
      <c r="BD23" s="3080"/>
      <c r="BE23" s="3080"/>
      <c r="BF23" s="3080">
        <f t="shared" si="1"/>
        <v>0</v>
      </c>
      <c r="BG23" s="3080"/>
      <c r="BH23" s="3080"/>
      <c r="BI23" s="3080"/>
      <c r="BJ23" s="3080">
        <f t="shared" si="37"/>
        <v>504</v>
      </c>
      <c r="BK23" s="3080"/>
      <c r="BL23" s="3080" t="s">
        <v>9164</v>
      </c>
      <c r="BM23" s="3097"/>
      <c r="BN23" s="3080">
        <f t="shared" si="28"/>
        <v>126</v>
      </c>
      <c r="BO23" s="3080">
        <f t="shared" si="29"/>
        <v>126</v>
      </c>
      <c r="BP23" s="3080">
        <f t="shared" si="30"/>
        <v>126</v>
      </c>
      <c r="BQ23" s="3080">
        <f t="shared" si="31"/>
        <v>126</v>
      </c>
      <c r="BR23" s="3080">
        <f t="shared" si="2"/>
        <v>0</v>
      </c>
      <c r="BS23" s="3088">
        <f t="shared" si="3"/>
        <v>512984</v>
      </c>
      <c r="BT23" s="3088">
        <f t="shared" ref="BT23:BW23" si="50">BT22-BN23</f>
        <v>147943.25</v>
      </c>
      <c r="BU23" s="3088">
        <f t="shared" si="50"/>
        <v>147943.25</v>
      </c>
      <c r="BV23" s="3088">
        <f t="shared" si="50"/>
        <v>147951.25</v>
      </c>
      <c r="BW23" s="3088">
        <f t="shared" si="50"/>
        <v>148284.583333333</v>
      </c>
      <c r="BX23" s="3088"/>
    </row>
    <row r="24" s="3031" customFormat="1" ht="32" customHeight="1" spans="1:76">
      <c r="A24" s="3063">
        <v>45624</v>
      </c>
      <c r="B24" s="3064" t="s">
        <v>6341</v>
      </c>
      <c r="C24" s="3065" t="s">
        <v>506</v>
      </c>
      <c r="D24" s="3066">
        <v>4500152763</v>
      </c>
      <c r="E24" s="3067" t="s">
        <v>9228</v>
      </c>
      <c r="F24" s="3066" t="s">
        <v>9229</v>
      </c>
      <c r="G24" s="3069" t="s">
        <v>9154</v>
      </c>
      <c r="H24" s="3069" t="s">
        <v>9155</v>
      </c>
      <c r="I24" s="2969">
        <v>176</v>
      </c>
      <c r="J24" s="2969">
        <v>0</v>
      </c>
      <c r="K24" s="2969">
        <v>8</v>
      </c>
      <c r="L24" s="2969">
        <f t="shared" si="0"/>
        <v>22</v>
      </c>
      <c r="M24" s="3070">
        <v>45657</v>
      </c>
      <c r="N24" s="3070">
        <v>45653</v>
      </c>
      <c r="O24" s="2996"/>
      <c r="P24" s="2996" t="s">
        <v>82</v>
      </c>
      <c r="Q24" s="3071"/>
      <c r="R24" s="3071"/>
      <c r="S24" s="3071"/>
      <c r="T24" s="3071"/>
      <c r="U24" s="3072" t="s">
        <v>2230</v>
      </c>
      <c r="V24" s="2996"/>
      <c r="W24" s="3073" t="s">
        <v>2694</v>
      </c>
      <c r="X24" s="3073"/>
      <c r="Y24" s="3073" t="s">
        <v>9219</v>
      </c>
      <c r="Z24" s="3073"/>
      <c r="AA24" s="3073"/>
      <c r="AB24" s="3091" t="s">
        <v>9220</v>
      </c>
      <c r="AC24" s="2969" t="s">
        <v>3202</v>
      </c>
      <c r="AD24" s="3075">
        <v>4.5774</v>
      </c>
      <c r="AE24" s="3076">
        <f t="shared" si="5"/>
        <v>805.6224</v>
      </c>
      <c r="AF24" s="2969" t="s">
        <v>9230</v>
      </c>
      <c r="AG24" s="2969" t="s">
        <v>9154</v>
      </c>
      <c r="AH24" s="2969" t="s">
        <v>416</v>
      </c>
      <c r="AI24" s="3077">
        <f t="shared" si="35"/>
        <v>176</v>
      </c>
      <c r="AJ24" s="3078"/>
      <c r="AK24" s="3077"/>
      <c r="AL24" s="3078"/>
      <c r="AM24" s="3092"/>
      <c r="AN24" s="3078"/>
      <c r="AO24" s="3079">
        <f t="shared" si="36"/>
        <v>176</v>
      </c>
      <c r="AP24" s="3080"/>
      <c r="AQ24" s="3080"/>
      <c r="AR24" s="3080"/>
      <c r="AS24" s="3081"/>
      <c r="AT24" s="3082">
        <f t="shared" si="26"/>
        <v>44</v>
      </c>
      <c r="AU24" s="3083">
        <f t="shared" si="45"/>
        <v>44</v>
      </c>
      <c r="AV24" s="3083">
        <f t="shared" si="46"/>
        <v>44</v>
      </c>
      <c r="AW24" s="3084">
        <f t="shared" si="47"/>
        <v>44</v>
      </c>
      <c r="AX24" s="3085"/>
      <c r="AY24" s="3080"/>
      <c r="AZ24" s="3080"/>
      <c r="BA24" s="3086"/>
      <c r="BB24" s="3087"/>
      <c r="BC24" s="3080"/>
      <c r="BD24" s="3080"/>
      <c r="BE24" s="3080"/>
      <c r="BF24" s="3080">
        <f t="shared" si="1"/>
        <v>0</v>
      </c>
      <c r="BG24" s="3080"/>
      <c r="BH24" s="3080"/>
      <c r="BI24" s="3080"/>
      <c r="BJ24" s="3080">
        <f t="shared" si="37"/>
        <v>176</v>
      </c>
      <c r="BK24" s="3080"/>
      <c r="BL24" s="3080" t="s">
        <v>9164</v>
      </c>
      <c r="BM24" s="3097"/>
      <c r="BN24" s="3080">
        <f t="shared" si="28"/>
        <v>44</v>
      </c>
      <c r="BO24" s="3080">
        <f t="shared" si="29"/>
        <v>44</v>
      </c>
      <c r="BP24" s="3080">
        <f t="shared" si="30"/>
        <v>44</v>
      </c>
      <c r="BQ24" s="3080">
        <f t="shared" si="31"/>
        <v>44</v>
      </c>
      <c r="BR24" s="3080">
        <f t="shared" si="2"/>
        <v>0</v>
      </c>
      <c r="BS24" s="3088">
        <f t="shared" si="3"/>
        <v>512656</v>
      </c>
      <c r="BT24" s="3088">
        <f t="shared" ref="BT24:BW24" si="51">BT23-BN24</f>
        <v>147899.25</v>
      </c>
      <c r="BU24" s="3088">
        <f t="shared" si="51"/>
        <v>147899.25</v>
      </c>
      <c r="BV24" s="3088">
        <f t="shared" si="51"/>
        <v>147907.25</v>
      </c>
      <c r="BW24" s="3088">
        <f t="shared" si="51"/>
        <v>148240.583333333</v>
      </c>
      <c r="BX24" s="3088"/>
    </row>
    <row r="25" s="3031" customFormat="1" ht="32" customHeight="1" spans="1:76">
      <c r="A25" s="3063">
        <v>45604</v>
      </c>
      <c r="B25" s="3064" t="s">
        <v>2914</v>
      </c>
      <c r="C25" s="3065" t="s">
        <v>341</v>
      </c>
      <c r="D25" s="3066">
        <v>4500150141</v>
      </c>
      <c r="E25" s="3067" t="s">
        <v>9231</v>
      </c>
      <c r="F25" s="3066" t="s">
        <v>9232</v>
      </c>
      <c r="G25" s="3069" t="s">
        <v>9154</v>
      </c>
      <c r="H25" s="3069" t="s">
        <v>9155</v>
      </c>
      <c r="I25" s="2969">
        <v>2800</v>
      </c>
      <c r="J25" s="2969">
        <v>0</v>
      </c>
      <c r="K25" s="2969">
        <v>8</v>
      </c>
      <c r="L25" s="2969">
        <f t="shared" si="0"/>
        <v>350</v>
      </c>
      <c r="M25" s="3070">
        <v>45657</v>
      </c>
      <c r="N25" s="3070">
        <v>45653</v>
      </c>
      <c r="O25" s="2996"/>
      <c r="P25" s="2996" t="s">
        <v>82</v>
      </c>
      <c r="Q25" s="3071"/>
      <c r="R25" s="3071"/>
      <c r="S25" s="3071"/>
      <c r="T25" s="3071"/>
      <c r="U25" s="3072" t="s">
        <v>2230</v>
      </c>
      <c r="V25" s="2996"/>
      <c r="W25" s="3073" t="s">
        <v>6117</v>
      </c>
      <c r="X25" s="3073"/>
      <c r="Y25" s="3073" t="s">
        <v>3479</v>
      </c>
      <c r="Z25" s="3073"/>
      <c r="AA25" s="3073"/>
      <c r="AB25" s="3091" t="s">
        <v>9233</v>
      </c>
      <c r="AC25" s="2969" t="s">
        <v>6120</v>
      </c>
      <c r="AD25" s="3075">
        <v>4.0808</v>
      </c>
      <c r="AE25" s="3076">
        <f t="shared" si="5"/>
        <v>11426.24</v>
      </c>
      <c r="AF25" s="2969" t="s">
        <v>6121</v>
      </c>
      <c r="AG25" s="2969" t="s">
        <v>9154</v>
      </c>
      <c r="AH25" s="2969" t="s">
        <v>416</v>
      </c>
      <c r="AI25" s="3077">
        <f t="shared" si="35"/>
        <v>2800</v>
      </c>
      <c r="AJ25" s="3078"/>
      <c r="AK25" s="3077"/>
      <c r="AL25" s="3078"/>
      <c r="AM25" s="3092"/>
      <c r="AN25" s="3078"/>
      <c r="AO25" s="3079"/>
      <c r="AP25" s="3080">
        <f t="shared" ref="AP25:AP36" si="52">I25</f>
        <v>2800</v>
      </c>
      <c r="AQ25" s="3080"/>
      <c r="AR25" s="3080"/>
      <c r="AS25" s="3081"/>
      <c r="AT25" s="3082">
        <f t="shared" si="26"/>
        <v>700</v>
      </c>
      <c r="AU25" s="3083">
        <f t="shared" si="45"/>
        <v>700</v>
      </c>
      <c r="AV25" s="3083">
        <f t="shared" si="46"/>
        <v>700</v>
      </c>
      <c r="AW25" s="3084">
        <f t="shared" si="47"/>
        <v>700</v>
      </c>
      <c r="AX25" s="3085"/>
      <c r="AY25" s="3080"/>
      <c r="AZ25" s="3080"/>
      <c r="BA25" s="3086"/>
      <c r="BB25" s="3087"/>
      <c r="BC25" s="3080"/>
      <c r="BD25" s="3080"/>
      <c r="BE25" s="3080"/>
      <c r="BF25" s="3080">
        <f t="shared" si="1"/>
        <v>0</v>
      </c>
      <c r="BG25" s="3080"/>
      <c r="BH25" s="3080"/>
      <c r="BI25" s="3080"/>
      <c r="BJ25" s="3080">
        <f t="shared" si="37"/>
        <v>2800</v>
      </c>
      <c r="BK25" s="3080"/>
      <c r="BL25" s="3080" t="s">
        <v>9164</v>
      </c>
      <c r="BM25" s="3079"/>
      <c r="BN25" s="3080">
        <f t="shared" si="28"/>
        <v>700</v>
      </c>
      <c r="BO25" s="3080">
        <f t="shared" si="29"/>
        <v>700</v>
      </c>
      <c r="BP25" s="3080">
        <f t="shared" si="30"/>
        <v>700</v>
      </c>
      <c r="BQ25" s="3080">
        <f t="shared" si="31"/>
        <v>700</v>
      </c>
      <c r="BR25" s="3080">
        <f t="shared" si="2"/>
        <v>0</v>
      </c>
      <c r="BS25" s="3088">
        <f t="shared" si="3"/>
        <v>515280</v>
      </c>
      <c r="BT25" s="3088">
        <f t="shared" ref="BT25:BW25" si="53">BT24-BN25</f>
        <v>147199.25</v>
      </c>
      <c r="BU25" s="3088">
        <f t="shared" si="53"/>
        <v>147199.25</v>
      </c>
      <c r="BV25" s="3088">
        <f t="shared" si="53"/>
        <v>147207.25</v>
      </c>
      <c r="BW25" s="3088">
        <f t="shared" si="53"/>
        <v>147540.583333333</v>
      </c>
      <c r="BX25" s="3088"/>
    </row>
    <row r="26" s="3031" customFormat="1" ht="32" customHeight="1" spans="1:76">
      <c r="A26" s="3063">
        <v>45618</v>
      </c>
      <c r="B26" s="3064" t="s">
        <v>1331</v>
      </c>
      <c r="C26" s="3065" t="s">
        <v>1332</v>
      </c>
      <c r="D26" s="3066">
        <v>4500152087</v>
      </c>
      <c r="E26" s="3067" t="s">
        <v>2747</v>
      </c>
      <c r="F26" s="3066" t="s">
        <v>9234</v>
      </c>
      <c r="G26" s="3069" t="s">
        <v>9154</v>
      </c>
      <c r="H26" s="3069" t="s">
        <v>9155</v>
      </c>
      <c r="I26" s="2969">
        <v>504</v>
      </c>
      <c r="J26" s="2969">
        <v>0</v>
      </c>
      <c r="K26" s="2969">
        <v>8</v>
      </c>
      <c r="L26" s="2969">
        <f t="shared" si="0"/>
        <v>63</v>
      </c>
      <c r="M26" s="3070">
        <v>45660</v>
      </c>
      <c r="N26" s="3070">
        <v>45656</v>
      </c>
      <c r="O26" s="2996"/>
      <c r="P26" s="2996" t="s">
        <v>82</v>
      </c>
      <c r="Q26" s="3071"/>
      <c r="R26" s="3071"/>
      <c r="S26" s="3071"/>
      <c r="T26" s="3071"/>
      <c r="U26" s="3072" t="s">
        <v>110</v>
      </c>
      <c r="V26" s="2996"/>
      <c r="W26" s="3073" t="s">
        <v>384</v>
      </c>
      <c r="X26" s="3073"/>
      <c r="Y26" s="3073" t="s">
        <v>2749</v>
      </c>
      <c r="Z26" s="3073"/>
      <c r="AA26" s="3073"/>
      <c r="AB26" s="3091" t="s">
        <v>9235</v>
      </c>
      <c r="AC26" s="2969" t="s">
        <v>459</v>
      </c>
      <c r="AD26" s="3075">
        <v>4.2475</v>
      </c>
      <c r="AE26" s="3076">
        <f t="shared" si="5"/>
        <v>2140.74</v>
      </c>
      <c r="AF26" s="2969" t="s">
        <v>2751</v>
      </c>
      <c r="AG26" s="2969" t="s">
        <v>9154</v>
      </c>
      <c r="AH26" s="2969" t="s">
        <v>416</v>
      </c>
      <c r="AI26" s="3077">
        <f t="shared" si="35"/>
        <v>504</v>
      </c>
      <c r="AJ26" s="3078"/>
      <c r="AK26" s="3077"/>
      <c r="AL26" s="3078"/>
      <c r="AM26" s="3077"/>
      <c r="AN26" s="3078"/>
      <c r="AO26" s="3079"/>
      <c r="AP26" s="3080">
        <f t="shared" si="52"/>
        <v>504</v>
      </c>
      <c r="AQ26" s="3080"/>
      <c r="AR26" s="3080"/>
      <c r="AS26" s="3081"/>
      <c r="AT26" s="3082">
        <f t="shared" si="26"/>
        <v>126</v>
      </c>
      <c r="AU26" s="3083">
        <f t="shared" si="45"/>
        <v>126</v>
      </c>
      <c r="AV26" s="3083">
        <f t="shared" si="46"/>
        <v>126</v>
      </c>
      <c r="AW26" s="3084">
        <f t="shared" si="47"/>
        <v>126</v>
      </c>
      <c r="AX26" s="3085"/>
      <c r="AY26" s="3080"/>
      <c r="AZ26" s="3080"/>
      <c r="BA26" s="3086"/>
      <c r="BB26" s="3087"/>
      <c r="BC26" s="3080"/>
      <c r="BD26" s="3080"/>
      <c r="BE26" s="3080"/>
      <c r="BF26" s="3080">
        <f t="shared" si="1"/>
        <v>0</v>
      </c>
      <c r="BG26" s="3080"/>
      <c r="BH26" s="3080"/>
      <c r="BI26" s="3080"/>
      <c r="BJ26" s="3080">
        <f t="shared" si="37"/>
        <v>504</v>
      </c>
      <c r="BK26" s="3080"/>
      <c r="BL26" s="3080" t="s">
        <v>9164</v>
      </c>
      <c r="BM26" s="3079"/>
      <c r="BN26" s="3080">
        <f t="shared" si="28"/>
        <v>126</v>
      </c>
      <c r="BO26" s="3080">
        <f t="shared" si="29"/>
        <v>126</v>
      </c>
      <c r="BP26" s="3080">
        <f t="shared" si="30"/>
        <v>126</v>
      </c>
      <c r="BQ26" s="3080">
        <f t="shared" si="31"/>
        <v>126</v>
      </c>
      <c r="BR26" s="3080">
        <f t="shared" si="2"/>
        <v>0</v>
      </c>
      <c r="BS26" s="3088">
        <f t="shared" si="3"/>
        <v>512984</v>
      </c>
      <c r="BT26" s="3088">
        <f t="shared" ref="BT26:BW26" si="54">BT25-BN26</f>
        <v>147073.25</v>
      </c>
      <c r="BU26" s="3088">
        <f t="shared" si="54"/>
        <v>147073.25</v>
      </c>
      <c r="BV26" s="3088">
        <f t="shared" si="54"/>
        <v>147081.25</v>
      </c>
      <c r="BW26" s="3088">
        <f t="shared" si="54"/>
        <v>147414.583333333</v>
      </c>
      <c r="BX26" s="3088"/>
    </row>
    <row r="27" s="3031" customFormat="1" ht="32" customHeight="1" spans="1:76">
      <c r="A27" s="3063">
        <v>45625</v>
      </c>
      <c r="B27" s="3064" t="s">
        <v>461</v>
      </c>
      <c r="C27" s="3065" t="s">
        <v>341</v>
      </c>
      <c r="D27" s="3066">
        <v>4500152937</v>
      </c>
      <c r="E27" s="3067" t="s">
        <v>9236</v>
      </c>
      <c r="F27" s="3066" t="s">
        <v>9237</v>
      </c>
      <c r="G27" s="3098" t="s">
        <v>9154</v>
      </c>
      <c r="H27" s="3069" t="s">
        <v>9155</v>
      </c>
      <c r="I27" s="2969">
        <v>600</v>
      </c>
      <c r="J27" s="2969">
        <v>0</v>
      </c>
      <c r="K27" s="2969">
        <v>8</v>
      </c>
      <c r="L27" s="2969">
        <f t="shared" si="0"/>
        <v>75</v>
      </c>
      <c r="M27" s="3070">
        <v>45660</v>
      </c>
      <c r="N27" s="3070">
        <v>45656</v>
      </c>
      <c r="O27" s="2996"/>
      <c r="P27" s="2996" t="s">
        <v>82</v>
      </c>
      <c r="Q27" s="3071"/>
      <c r="R27" s="3071"/>
      <c r="S27" s="3071"/>
      <c r="T27" s="3071"/>
      <c r="U27" s="3072" t="s">
        <v>455</v>
      </c>
      <c r="V27" s="2996"/>
      <c r="W27" s="3073" t="s">
        <v>465</v>
      </c>
      <c r="X27" s="3073"/>
      <c r="Y27" s="3073" t="s">
        <v>431</v>
      </c>
      <c r="Z27" s="3073"/>
      <c r="AA27" s="3073"/>
      <c r="AB27" s="3091" t="s">
        <v>9238</v>
      </c>
      <c r="AC27" s="2969" t="s">
        <v>348</v>
      </c>
      <c r="AD27" s="3075">
        <v>4.2475</v>
      </c>
      <c r="AE27" s="3076">
        <f t="shared" si="5"/>
        <v>2548.5</v>
      </c>
      <c r="AF27" s="2969" t="s">
        <v>467</v>
      </c>
      <c r="AG27" s="3089" t="s">
        <v>9239</v>
      </c>
      <c r="AH27" s="2969" t="s">
        <v>416</v>
      </c>
      <c r="AI27" s="3077"/>
      <c r="AJ27" s="3078"/>
      <c r="AK27" s="3077"/>
      <c r="AL27" s="3078">
        <f>I27</f>
        <v>600</v>
      </c>
      <c r="AM27" s="3099"/>
      <c r="AN27" s="3078"/>
      <c r="AO27" s="3079"/>
      <c r="AP27" s="3080">
        <f t="shared" si="52"/>
        <v>600</v>
      </c>
      <c r="AQ27" s="3080"/>
      <c r="AR27" s="3080"/>
      <c r="AS27" s="3081"/>
      <c r="AT27" s="3082">
        <f t="shared" si="26"/>
        <v>150</v>
      </c>
      <c r="AU27" s="3083">
        <f t="shared" si="45"/>
        <v>150</v>
      </c>
      <c r="AV27" s="3083">
        <f t="shared" si="46"/>
        <v>150</v>
      </c>
      <c r="AW27" s="3084">
        <f t="shared" si="47"/>
        <v>150</v>
      </c>
      <c r="AX27" s="3085"/>
      <c r="AY27" s="3080"/>
      <c r="AZ27" s="3080"/>
      <c r="BA27" s="3086"/>
      <c r="BB27" s="3087"/>
      <c r="BC27" s="3080"/>
      <c r="BD27" s="3080"/>
      <c r="BE27" s="3080"/>
      <c r="BF27" s="3080">
        <f t="shared" si="1"/>
        <v>0</v>
      </c>
      <c r="BG27" s="3080"/>
      <c r="BH27" s="3080"/>
      <c r="BI27" s="3080"/>
      <c r="BJ27" s="3080">
        <f t="shared" si="37"/>
        <v>600</v>
      </c>
      <c r="BK27" s="3080"/>
      <c r="BL27" s="3080" t="s">
        <v>9164</v>
      </c>
      <c r="BM27" s="3100"/>
      <c r="BN27" s="3080">
        <f t="shared" si="28"/>
        <v>150</v>
      </c>
      <c r="BO27" s="3080">
        <f t="shared" si="29"/>
        <v>150</v>
      </c>
      <c r="BP27" s="3080">
        <f t="shared" si="30"/>
        <v>150</v>
      </c>
      <c r="BQ27" s="3080">
        <f t="shared" si="31"/>
        <v>150</v>
      </c>
      <c r="BR27" s="3080">
        <f t="shared" si="2"/>
        <v>0</v>
      </c>
      <c r="BS27" s="3088">
        <f t="shared" si="3"/>
        <v>513080</v>
      </c>
      <c r="BT27" s="3088">
        <f t="shared" ref="BT27:BW27" si="55">BT26-BN27</f>
        <v>146923.25</v>
      </c>
      <c r="BU27" s="3088">
        <f t="shared" si="55"/>
        <v>146923.25</v>
      </c>
      <c r="BV27" s="3088">
        <f t="shared" si="55"/>
        <v>146931.25</v>
      </c>
      <c r="BW27" s="3088">
        <f t="shared" si="55"/>
        <v>147264.583333333</v>
      </c>
      <c r="BX27" s="3088"/>
    </row>
    <row r="28" s="3031" customFormat="1" ht="32" customHeight="1" spans="1:76">
      <c r="A28" s="3063">
        <v>45625</v>
      </c>
      <c r="B28" s="3064" t="s">
        <v>470</v>
      </c>
      <c r="C28" s="3065" t="s">
        <v>471</v>
      </c>
      <c r="D28" s="3066">
        <v>4500152906</v>
      </c>
      <c r="E28" s="3067" t="s">
        <v>9240</v>
      </c>
      <c r="F28" s="3066" t="s">
        <v>9241</v>
      </c>
      <c r="G28" s="3098" t="s">
        <v>9154</v>
      </c>
      <c r="H28" s="3069" t="s">
        <v>9155</v>
      </c>
      <c r="I28" s="2969">
        <v>704</v>
      </c>
      <c r="J28" s="2969">
        <v>0</v>
      </c>
      <c r="K28" s="2969">
        <v>8</v>
      </c>
      <c r="L28" s="2969">
        <f t="shared" si="0"/>
        <v>88</v>
      </c>
      <c r="M28" s="3070">
        <v>45660</v>
      </c>
      <c r="N28" s="3070">
        <v>45656</v>
      </c>
      <c r="O28" s="2996"/>
      <c r="P28" s="2996" t="s">
        <v>82</v>
      </c>
      <c r="Q28" s="3071"/>
      <c r="R28" s="3071"/>
      <c r="S28" s="3071"/>
      <c r="T28" s="3071"/>
      <c r="U28" s="3072" t="s">
        <v>116</v>
      </c>
      <c r="V28" s="2996"/>
      <c r="W28" s="3073" t="s">
        <v>465</v>
      </c>
      <c r="X28" s="3073"/>
      <c r="Y28" s="3073" t="s">
        <v>9242</v>
      </c>
      <c r="Z28" s="3073"/>
      <c r="AA28" s="3073"/>
      <c r="AB28" s="3091" t="s">
        <v>9243</v>
      </c>
      <c r="AC28" s="2969" t="s">
        <v>348</v>
      </c>
      <c r="AD28" s="3075">
        <v>4.2475</v>
      </c>
      <c r="AE28" s="3076">
        <f t="shared" si="5"/>
        <v>2990.24</v>
      </c>
      <c r="AF28" s="2969" t="s">
        <v>475</v>
      </c>
      <c r="AG28" s="3089" t="s">
        <v>9239</v>
      </c>
      <c r="AH28" s="2969" t="s">
        <v>416</v>
      </c>
      <c r="AI28" s="3077"/>
      <c r="AJ28" s="3078"/>
      <c r="AK28" s="3077"/>
      <c r="AL28" s="3078">
        <f>I28</f>
        <v>704</v>
      </c>
      <c r="AM28" s="3099"/>
      <c r="AN28" s="3078"/>
      <c r="AO28" s="3079"/>
      <c r="AP28" s="3080">
        <f t="shared" si="52"/>
        <v>704</v>
      </c>
      <c r="AQ28" s="3080"/>
      <c r="AR28" s="3080"/>
      <c r="AS28" s="3081"/>
      <c r="AT28" s="3082">
        <f t="shared" si="26"/>
        <v>176</v>
      </c>
      <c r="AU28" s="3083">
        <f t="shared" si="45"/>
        <v>176</v>
      </c>
      <c r="AV28" s="3083">
        <f t="shared" si="46"/>
        <v>176</v>
      </c>
      <c r="AW28" s="3084">
        <f t="shared" si="47"/>
        <v>176</v>
      </c>
      <c r="AX28" s="3085"/>
      <c r="AY28" s="3080"/>
      <c r="AZ28" s="3080"/>
      <c r="BA28" s="3086"/>
      <c r="BB28" s="3087"/>
      <c r="BC28" s="3080"/>
      <c r="BD28" s="3080"/>
      <c r="BE28" s="3080"/>
      <c r="BF28" s="3080">
        <f t="shared" si="1"/>
        <v>0</v>
      </c>
      <c r="BG28" s="3080"/>
      <c r="BH28" s="3080"/>
      <c r="BI28" s="3080"/>
      <c r="BJ28" s="3080">
        <f t="shared" si="37"/>
        <v>704</v>
      </c>
      <c r="BK28" s="3080"/>
      <c r="BL28" s="3080" t="s">
        <v>9164</v>
      </c>
      <c r="BM28" s="3100"/>
      <c r="BN28" s="3080">
        <f t="shared" si="28"/>
        <v>176</v>
      </c>
      <c r="BO28" s="3080">
        <f t="shared" si="29"/>
        <v>176</v>
      </c>
      <c r="BP28" s="3080">
        <f t="shared" si="30"/>
        <v>176</v>
      </c>
      <c r="BQ28" s="3080">
        <f t="shared" si="31"/>
        <v>176</v>
      </c>
      <c r="BR28" s="3080">
        <f t="shared" si="2"/>
        <v>0</v>
      </c>
      <c r="BS28" s="3088">
        <f t="shared" si="3"/>
        <v>513184</v>
      </c>
      <c r="BT28" s="3088">
        <f t="shared" ref="BT28:BW28" si="56">BT27-BN28</f>
        <v>146747.25</v>
      </c>
      <c r="BU28" s="3088">
        <f t="shared" si="56"/>
        <v>146747.25</v>
      </c>
      <c r="BV28" s="3088">
        <f t="shared" si="56"/>
        <v>146755.25</v>
      </c>
      <c r="BW28" s="3088">
        <f t="shared" si="56"/>
        <v>147088.583333333</v>
      </c>
      <c r="BX28" s="3088"/>
    </row>
    <row r="29" s="3031" customFormat="1" ht="32" customHeight="1" spans="1:76">
      <c r="A29" s="3063">
        <v>45623</v>
      </c>
      <c r="B29" s="3064" t="s">
        <v>2587</v>
      </c>
      <c r="C29" s="3065" t="s">
        <v>91</v>
      </c>
      <c r="D29" s="3066">
        <v>4500152685</v>
      </c>
      <c r="E29" s="3067" t="s">
        <v>9244</v>
      </c>
      <c r="F29" s="3066" t="s">
        <v>9245</v>
      </c>
      <c r="G29" s="3098" t="s">
        <v>9246</v>
      </c>
      <c r="H29" s="3069" t="s">
        <v>9155</v>
      </c>
      <c r="I29" s="2969">
        <v>852</v>
      </c>
      <c r="J29" s="2969">
        <v>0</v>
      </c>
      <c r="K29" s="2969">
        <v>2</v>
      </c>
      <c r="L29" s="2969">
        <f t="shared" si="0"/>
        <v>426</v>
      </c>
      <c r="M29" s="3070">
        <v>45662</v>
      </c>
      <c r="N29" s="3070">
        <v>45658</v>
      </c>
      <c r="O29" s="2996"/>
      <c r="P29" s="2996" t="s">
        <v>82</v>
      </c>
      <c r="Q29" s="3071"/>
      <c r="R29" s="3071"/>
      <c r="S29" s="3071"/>
      <c r="T29" s="3071"/>
      <c r="U29" s="3072" t="s">
        <v>401</v>
      </c>
      <c r="V29" s="2996"/>
      <c r="W29" s="3073" t="s">
        <v>2694</v>
      </c>
      <c r="X29" s="3073"/>
      <c r="Y29" s="3073" t="s">
        <v>98</v>
      </c>
      <c r="Z29" s="3073"/>
      <c r="AA29" s="3073"/>
      <c r="AB29" s="3091" t="s">
        <v>9247</v>
      </c>
      <c r="AC29" s="2969" t="s">
        <v>414</v>
      </c>
      <c r="AD29" s="3075">
        <v>4.7334</v>
      </c>
      <c r="AE29" s="3076">
        <f t="shared" si="5"/>
        <v>4032.8568</v>
      </c>
      <c r="AF29" s="2969" t="s">
        <v>9248</v>
      </c>
      <c r="AG29" s="2969" t="s">
        <v>9246</v>
      </c>
      <c r="AH29" s="2969" t="s">
        <v>416</v>
      </c>
      <c r="AI29" s="3077">
        <f t="shared" ref="AI29:AI34" si="57">I29</f>
        <v>852</v>
      </c>
      <c r="AJ29" s="3078"/>
      <c r="AK29" s="3077"/>
      <c r="AL29" s="3078"/>
      <c r="AM29" s="3093"/>
      <c r="AN29" s="3078"/>
      <c r="AO29" s="3079"/>
      <c r="AP29" s="3080">
        <f t="shared" si="52"/>
        <v>852</v>
      </c>
      <c r="AQ29" s="3080"/>
      <c r="AR29" s="3080"/>
      <c r="AS29" s="3081"/>
      <c r="AT29" s="3082">
        <f t="shared" si="26"/>
        <v>213</v>
      </c>
      <c r="AU29" s="3083">
        <f t="shared" si="45"/>
        <v>213</v>
      </c>
      <c r="AV29" s="3083">
        <f t="shared" si="46"/>
        <v>213</v>
      </c>
      <c r="AW29" s="3084">
        <f t="shared" si="47"/>
        <v>213</v>
      </c>
      <c r="AX29" s="3085"/>
      <c r="AY29" s="3080"/>
      <c r="AZ29" s="3080"/>
      <c r="BA29" s="3086"/>
      <c r="BB29" s="3087"/>
      <c r="BC29" s="3080"/>
      <c r="BD29" s="3080"/>
      <c r="BE29" s="3080"/>
      <c r="BF29" s="3080">
        <f t="shared" si="1"/>
        <v>0</v>
      </c>
      <c r="BG29" s="3080"/>
      <c r="BH29" s="3080"/>
      <c r="BI29" s="3080"/>
      <c r="BJ29" s="3080">
        <f t="shared" si="37"/>
        <v>852</v>
      </c>
      <c r="BK29" s="3080"/>
      <c r="BL29" s="3080" t="s">
        <v>9164</v>
      </c>
      <c r="BM29" s="3094"/>
      <c r="BN29" s="3080">
        <f t="shared" si="28"/>
        <v>213</v>
      </c>
      <c r="BO29" s="3080">
        <f t="shared" si="29"/>
        <v>213</v>
      </c>
      <c r="BP29" s="3080">
        <f t="shared" si="30"/>
        <v>213</v>
      </c>
      <c r="BQ29" s="3080">
        <f t="shared" si="31"/>
        <v>213</v>
      </c>
      <c r="BR29" s="3080">
        <f t="shared" si="2"/>
        <v>0</v>
      </c>
      <c r="BS29" s="3088">
        <f t="shared" si="3"/>
        <v>513332</v>
      </c>
      <c r="BT29" s="3088">
        <f t="shared" ref="BT29:BW29" si="58">BT28-BN29</f>
        <v>146534.25</v>
      </c>
      <c r="BU29" s="3088">
        <f t="shared" si="58"/>
        <v>146534.25</v>
      </c>
      <c r="BV29" s="3088">
        <f t="shared" si="58"/>
        <v>146542.25</v>
      </c>
      <c r="BW29" s="3088">
        <f t="shared" si="58"/>
        <v>146875.583333333</v>
      </c>
      <c r="BX29" s="3088"/>
    </row>
    <row r="30" s="3031" customFormat="1" ht="32" customHeight="1" spans="1:76">
      <c r="A30" s="3063">
        <v>45623</v>
      </c>
      <c r="B30" s="3064" t="s">
        <v>2587</v>
      </c>
      <c r="C30" s="3065" t="s">
        <v>91</v>
      </c>
      <c r="D30" s="3066">
        <v>4500152678</v>
      </c>
      <c r="E30" s="3067" t="s">
        <v>9249</v>
      </c>
      <c r="F30" s="3066" t="s">
        <v>9250</v>
      </c>
      <c r="G30" s="3098" t="s">
        <v>9246</v>
      </c>
      <c r="H30" s="3069" t="s">
        <v>9155</v>
      </c>
      <c r="I30" s="2969">
        <v>1548</v>
      </c>
      <c r="J30" s="2969">
        <v>0</v>
      </c>
      <c r="K30" s="2969">
        <v>2</v>
      </c>
      <c r="L30" s="2969">
        <f t="shared" si="0"/>
        <v>774</v>
      </c>
      <c r="M30" s="3070">
        <v>45662</v>
      </c>
      <c r="N30" s="3070">
        <v>45658</v>
      </c>
      <c r="O30" s="2996"/>
      <c r="P30" s="2996" t="s">
        <v>82</v>
      </c>
      <c r="Q30" s="3071"/>
      <c r="R30" s="3071"/>
      <c r="S30" s="3071"/>
      <c r="T30" s="3071"/>
      <c r="U30" s="3072" t="s">
        <v>401</v>
      </c>
      <c r="V30" s="2996"/>
      <c r="W30" s="3073" t="s">
        <v>2694</v>
      </c>
      <c r="X30" s="3073"/>
      <c r="Y30" s="3073" t="s">
        <v>98</v>
      </c>
      <c r="Z30" s="3073"/>
      <c r="AA30" s="3073"/>
      <c r="AB30" s="3091" t="s">
        <v>9247</v>
      </c>
      <c r="AC30" s="2969" t="s">
        <v>414</v>
      </c>
      <c r="AD30" s="3075">
        <v>4.7221</v>
      </c>
      <c r="AE30" s="3076">
        <f t="shared" si="5"/>
        <v>7309.8108</v>
      </c>
      <c r="AF30" s="2969" t="s">
        <v>9251</v>
      </c>
      <c r="AG30" s="2969" t="s">
        <v>9246</v>
      </c>
      <c r="AH30" s="2969" t="s">
        <v>416</v>
      </c>
      <c r="AI30" s="3077">
        <f t="shared" si="57"/>
        <v>1548</v>
      </c>
      <c r="AJ30" s="3078"/>
      <c r="AK30" s="3077"/>
      <c r="AL30" s="3078"/>
      <c r="AM30" s="3093"/>
      <c r="AN30" s="3078"/>
      <c r="AO30" s="3079"/>
      <c r="AP30" s="3080">
        <f t="shared" si="52"/>
        <v>1548</v>
      </c>
      <c r="AQ30" s="3080"/>
      <c r="AR30" s="3080"/>
      <c r="AS30" s="3081"/>
      <c r="AT30" s="3082">
        <f t="shared" si="26"/>
        <v>387</v>
      </c>
      <c r="AU30" s="3083">
        <f t="shared" si="45"/>
        <v>387</v>
      </c>
      <c r="AV30" s="3083">
        <f t="shared" si="46"/>
        <v>387</v>
      </c>
      <c r="AW30" s="3084">
        <f t="shared" si="47"/>
        <v>387</v>
      </c>
      <c r="AX30" s="3085"/>
      <c r="AY30" s="3080"/>
      <c r="AZ30" s="3080"/>
      <c r="BA30" s="3086"/>
      <c r="BB30" s="3087"/>
      <c r="BC30" s="3080"/>
      <c r="BD30" s="3080"/>
      <c r="BE30" s="3080"/>
      <c r="BF30" s="3080">
        <f t="shared" si="1"/>
        <v>0</v>
      </c>
      <c r="BG30" s="3080"/>
      <c r="BH30" s="3080"/>
      <c r="BI30" s="3080"/>
      <c r="BJ30" s="3080">
        <f t="shared" si="37"/>
        <v>1548</v>
      </c>
      <c r="BK30" s="3080"/>
      <c r="BL30" s="3080" t="s">
        <v>9164</v>
      </c>
      <c r="BM30" s="3094"/>
      <c r="BN30" s="3080">
        <f t="shared" si="28"/>
        <v>387</v>
      </c>
      <c r="BO30" s="3080">
        <f t="shared" si="29"/>
        <v>387</v>
      </c>
      <c r="BP30" s="3080">
        <f t="shared" si="30"/>
        <v>387</v>
      </c>
      <c r="BQ30" s="3080">
        <f t="shared" si="31"/>
        <v>387</v>
      </c>
      <c r="BR30" s="3080">
        <f t="shared" si="2"/>
        <v>0</v>
      </c>
      <c r="BS30" s="3088">
        <f t="shared" si="3"/>
        <v>514028</v>
      </c>
      <c r="BT30" s="3088">
        <f t="shared" ref="BT30:BW30" si="59">BT29-BN30</f>
        <v>146147.25</v>
      </c>
      <c r="BU30" s="3088">
        <f t="shared" si="59"/>
        <v>146147.25</v>
      </c>
      <c r="BV30" s="3088">
        <f t="shared" si="59"/>
        <v>146155.25</v>
      </c>
      <c r="BW30" s="3088">
        <f t="shared" si="59"/>
        <v>146488.583333333</v>
      </c>
      <c r="BX30" s="3088"/>
    </row>
    <row r="31" s="3031" customFormat="1" ht="32" customHeight="1" spans="1:76">
      <c r="A31" s="3063">
        <v>45604</v>
      </c>
      <c r="B31" s="3064" t="s">
        <v>6147</v>
      </c>
      <c r="C31" s="3065" t="s">
        <v>6148</v>
      </c>
      <c r="D31" s="3066">
        <v>4500150770</v>
      </c>
      <c r="E31" s="3067" t="s">
        <v>6149</v>
      </c>
      <c r="F31" s="3066" t="s">
        <v>9252</v>
      </c>
      <c r="G31" s="3069" t="s">
        <v>9154</v>
      </c>
      <c r="H31" s="3069" t="s">
        <v>9155</v>
      </c>
      <c r="I31" s="2969">
        <v>256</v>
      </c>
      <c r="J31" s="2969">
        <v>0</v>
      </c>
      <c r="K31" s="2969">
        <v>8</v>
      </c>
      <c r="L31" s="2969">
        <f t="shared" si="0"/>
        <v>32</v>
      </c>
      <c r="M31" s="3070">
        <v>45663</v>
      </c>
      <c r="N31" s="3070">
        <v>45659</v>
      </c>
      <c r="O31" s="2996"/>
      <c r="P31" s="2996" t="s">
        <v>82</v>
      </c>
      <c r="Q31" s="3071"/>
      <c r="R31" s="3071"/>
      <c r="S31" s="3071"/>
      <c r="T31" s="3071"/>
      <c r="U31" s="3072" t="s">
        <v>556</v>
      </c>
      <c r="V31" s="2996"/>
      <c r="W31" s="3073" t="s">
        <v>2201</v>
      </c>
      <c r="X31" s="3073"/>
      <c r="Y31" s="3073" t="s">
        <v>98</v>
      </c>
      <c r="Z31" s="3073"/>
      <c r="AA31" s="3073"/>
      <c r="AB31" s="3091" t="s">
        <v>6151</v>
      </c>
      <c r="AC31" s="2969" t="s">
        <v>448</v>
      </c>
      <c r="AD31" s="3075">
        <v>4.3169</v>
      </c>
      <c r="AE31" s="3076">
        <f t="shared" si="5"/>
        <v>1105.1264</v>
      </c>
      <c r="AF31" s="2969" t="s">
        <v>6152</v>
      </c>
      <c r="AG31" s="2969" t="s">
        <v>9154</v>
      </c>
      <c r="AH31" s="2969" t="s">
        <v>416</v>
      </c>
      <c r="AI31" s="3077">
        <f t="shared" si="57"/>
        <v>256</v>
      </c>
      <c r="AJ31" s="3078"/>
      <c r="AK31" s="3077"/>
      <c r="AL31" s="3078"/>
      <c r="AM31" s="3092"/>
      <c r="AN31" s="3078"/>
      <c r="AO31" s="3079"/>
      <c r="AP31" s="3080">
        <f t="shared" si="52"/>
        <v>256</v>
      </c>
      <c r="AQ31" s="3080"/>
      <c r="AR31" s="3080"/>
      <c r="AS31" s="3081"/>
      <c r="AT31" s="3082">
        <f t="shared" si="26"/>
        <v>64</v>
      </c>
      <c r="AU31" s="3083">
        <f t="shared" ref="AU31:AW31" si="60">AT31</f>
        <v>64</v>
      </c>
      <c r="AV31" s="3083">
        <f t="shared" si="60"/>
        <v>64</v>
      </c>
      <c r="AW31" s="3084">
        <f t="shared" si="60"/>
        <v>64</v>
      </c>
      <c r="AX31" s="3085"/>
      <c r="AY31" s="3080"/>
      <c r="AZ31" s="3080"/>
      <c r="BA31" s="3086"/>
      <c r="BB31" s="3087"/>
      <c r="BC31" s="3080"/>
      <c r="BD31" s="3080"/>
      <c r="BE31" s="3080"/>
      <c r="BF31" s="3080">
        <f t="shared" si="1"/>
        <v>0</v>
      </c>
      <c r="BG31" s="3080"/>
      <c r="BH31" s="3080"/>
      <c r="BI31" s="3080"/>
      <c r="BJ31" s="3080">
        <f t="shared" si="37"/>
        <v>256</v>
      </c>
      <c r="BK31" s="3080"/>
      <c r="BL31" s="3080" t="s">
        <v>9164</v>
      </c>
      <c r="BM31" s="3079"/>
      <c r="BN31" s="3080">
        <f t="shared" si="28"/>
        <v>64</v>
      </c>
      <c r="BO31" s="3080">
        <f t="shared" si="29"/>
        <v>64</v>
      </c>
      <c r="BP31" s="3080">
        <f t="shared" si="30"/>
        <v>64</v>
      </c>
      <c r="BQ31" s="3080">
        <f t="shared" si="31"/>
        <v>64</v>
      </c>
      <c r="BR31" s="3080">
        <f t="shared" si="2"/>
        <v>0</v>
      </c>
      <c r="BS31" s="3088">
        <f t="shared" si="3"/>
        <v>512736</v>
      </c>
      <c r="BT31" s="3088">
        <f t="shared" ref="BT31:BW31" si="61">BT30-BN31</f>
        <v>146083.25</v>
      </c>
      <c r="BU31" s="3088">
        <f t="shared" si="61"/>
        <v>146083.25</v>
      </c>
      <c r="BV31" s="3088">
        <f t="shared" si="61"/>
        <v>146091.25</v>
      </c>
      <c r="BW31" s="3088">
        <f t="shared" si="61"/>
        <v>146424.583333333</v>
      </c>
      <c r="BX31" s="3088"/>
    </row>
    <row r="32" s="3031" customFormat="1" ht="32" customHeight="1" spans="1:76">
      <c r="A32" s="3063">
        <v>45623</v>
      </c>
      <c r="B32" s="3064" t="s">
        <v>361</v>
      </c>
      <c r="C32" s="3065" t="s">
        <v>91</v>
      </c>
      <c r="D32" s="3066">
        <v>4500152379</v>
      </c>
      <c r="E32" s="3067" t="s">
        <v>9253</v>
      </c>
      <c r="F32" s="3066" t="s">
        <v>9254</v>
      </c>
      <c r="G32" s="3098" t="s">
        <v>9255</v>
      </c>
      <c r="H32" s="3069" t="s">
        <v>9098</v>
      </c>
      <c r="I32" s="2969">
        <v>240</v>
      </c>
      <c r="J32" s="2969">
        <v>0</v>
      </c>
      <c r="K32" s="2969">
        <v>8</v>
      </c>
      <c r="L32" s="2969">
        <f t="shared" si="0"/>
        <v>30</v>
      </c>
      <c r="M32" s="3070">
        <v>45664</v>
      </c>
      <c r="N32" s="3070">
        <v>45660</v>
      </c>
      <c r="O32" s="2996"/>
      <c r="P32" s="2996" t="s">
        <v>82</v>
      </c>
      <c r="Q32" s="3071"/>
      <c r="R32" s="3071"/>
      <c r="S32" s="3071"/>
      <c r="T32" s="3071"/>
      <c r="U32" s="3072" t="s">
        <v>540</v>
      </c>
      <c r="V32" s="2996"/>
      <c r="W32" s="3073" t="s">
        <v>384</v>
      </c>
      <c r="X32" s="3073"/>
      <c r="Y32" s="3073" t="s">
        <v>9256</v>
      </c>
      <c r="Z32" s="3073" t="s">
        <v>532</v>
      </c>
      <c r="AA32" s="3073"/>
      <c r="AB32" s="3091" t="s">
        <v>9257</v>
      </c>
      <c r="AC32" s="2969" t="s">
        <v>369</v>
      </c>
      <c r="AD32" s="3075">
        <v>4.2589</v>
      </c>
      <c r="AE32" s="3076">
        <f t="shared" si="5"/>
        <v>1022.136</v>
      </c>
      <c r="AF32" s="2969" t="s">
        <v>542</v>
      </c>
      <c r="AG32" s="2969" t="s">
        <v>9255</v>
      </c>
      <c r="AH32" s="2969" t="s">
        <v>416</v>
      </c>
      <c r="AI32" s="3077">
        <f t="shared" si="57"/>
        <v>240</v>
      </c>
      <c r="AJ32" s="3078"/>
      <c r="AK32" s="3077"/>
      <c r="AL32" s="3078"/>
      <c r="AM32" s="3093"/>
      <c r="AN32" s="3078"/>
      <c r="AO32" s="3079"/>
      <c r="AP32" s="3080">
        <f t="shared" si="52"/>
        <v>240</v>
      </c>
      <c r="AQ32" s="3080"/>
      <c r="AR32" s="3080"/>
      <c r="AS32" s="3081"/>
      <c r="AT32" s="3082"/>
      <c r="AU32" s="3083"/>
      <c r="AV32" s="3083"/>
      <c r="AW32" s="3084"/>
      <c r="AX32" s="3085">
        <f t="shared" ref="AX32:AX34" si="62">I32</f>
        <v>240</v>
      </c>
      <c r="AY32" s="3080"/>
      <c r="AZ32" s="3080"/>
      <c r="BA32" s="3086"/>
      <c r="BB32" s="3087"/>
      <c r="BC32" s="3080"/>
      <c r="BD32" s="3080"/>
      <c r="BE32" s="3080"/>
      <c r="BF32" s="3080">
        <f t="shared" si="1"/>
        <v>0</v>
      </c>
      <c r="BG32" s="3080"/>
      <c r="BH32" s="3080"/>
      <c r="BI32" s="3080"/>
      <c r="BJ32" s="3080">
        <f t="shared" si="37"/>
        <v>240</v>
      </c>
      <c r="BK32" s="3080"/>
      <c r="BL32" s="3080" t="s">
        <v>9164</v>
      </c>
      <c r="BM32" s="3094"/>
      <c r="BN32" s="3080">
        <f t="shared" ref="BN32:BN34" si="63">I32</f>
        <v>240</v>
      </c>
      <c r="BO32" s="3080"/>
      <c r="BP32" s="3080"/>
      <c r="BQ32" s="3080"/>
      <c r="BR32" s="3080">
        <f t="shared" si="2"/>
        <v>0</v>
      </c>
      <c r="BS32" s="3088">
        <f t="shared" si="3"/>
        <v>512720</v>
      </c>
      <c r="BT32" s="3088">
        <f t="shared" ref="BT32:BW32" si="64">BT31-BN32</f>
        <v>145843.25</v>
      </c>
      <c r="BU32" s="3088">
        <f t="shared" si="64"/>
        <v>146083.25</v>
      </c>
      <c r="BV32" s="3088">
        <f t="shared" si="64"/>
        <v>146091.25</v>
      </c>
      <c r="BW32" s="3088">
        <f t="shared" si="64"/>
        <v>146424.583333333</v>
      </c>
      <c r="BX32" s="3088"/>
    </row>
    <row r="33" s="3031" customFormat="1" ht="32" customHeight="1" spans="1:76">
      <c r="A33" s="3063">
        <v>45623</v>
      </c>
      <c r="B33" s="3064" t="s">
        <v>361</v>
      </c>
      <c r="C33" s="3065" t="s">
        <v>91</v>
      </c>
      <c r="D33" s="3066">
        <v>4500152379</v>
      </c>
      <c r="E33" s="3067" t="s">
        <v>9258</v>
      </c>
      <c r="F33" s="3066" t="s">
        <v>9259</v>
      </c>
      <c r="G33" s="3098" t="s">
        <v>9255</v>
      </c>
      <c r="H33" s="3069" t="s">
        <v>9098</v>
      </c>
      <c r="I33" s="2969">
        <v>208</v>
      </c>
      <c r="J33" s="2969">
        <v>0</v>
      </c>
      <c r="K33" s="2969">
        <v>8</v>
      </c>
      <c r="L33" s="2969">
        <f t="shared" si="0"/>
        <v>26</v>
      </c>
      <c r="M33" s="3070">
        <v>45664</v>
      </c>
      <c r="N33" s="3070">
        <v>45660</v>
      </c>
      <c r="O33" s="2996"/>
      <c r="P33" s="2996" t="s">
        <v>82</v>
      </c>
      <c r="Q33" s="3071"/>
      <c r="R33" s="3071"/>
      <c r="S33" s="3071"/>
      <c r="T33" s="3071"/>
      <c r="U33" s="3072" t="s">
        <v>540</v>
      </c>
      <c r="V33" s="2996"/>
      <c r="W33" s="3073" t="s">
        <v>384</v>
      </c>
      <c r="X33" s="3073"/>
      <c r="Y33" s="3073" t="s">
        <v>9256</v>
      </c>
      <c r="Z33" s="3073" t="s">
        <v>532</v>
      </c>
      <c r="AA33" s="3073"/>
      <c r="AB33" s="3091" t="s">
        <v>9257</v>
      </c>
      <c r="AC33" s="2969" t="s">
        <v>369</v>
      </c>
      <c r="AD33" s="3075">
        <v>4.2589</v>
      </c>
      <c r="AE33" s="3076">
        <f t="shared" si="5"/>
        <v>885.8512</v>
      </c>
      <c r="AF33" s="2969" t="s">
        <v>542</v>
      </c>
      <c r="AG33" s="2969" t="s">
        <v>9255</v>
      </c>
      <c r="AH33" s="2969" t="s">
        <v>416</v>
      </c>
      <c r="AI33" s="3077">
        <f t="shared" si="57"/>
        <v>208</v>
      </c>
      <c r="AJ33" s="3078"/>
      <c r="AK33" s="3077"/>
      <c r="AL33" s="3078"/>
      <c r="AM33" s="3093"/>
      <c r="AN33" s="3078"/>
      <c r="AO33" s="3079"/>
      <c r="AP33" s="3080">
        <f t="shared" si="52"/>
        <v>208</v>
      </c>
      <c r="AQ33" s="3080"/>
      <c r="AR33" s="3080"/>
      <c r="AS33" s="3081"/>
      <c r="AT33" s="3082"/>
      <c r="AU33" s="3083"/>
      <c r="AV33" s="3083"/>
      <c r="AW33" s="3084"/>
      <c r="AX33" s="3085">
        <f t="shared" si="62"/>
        <v>208</v>
      </c>
      <c r="AY33" s="3080"/>
      <c r="AZ33" s="3080"/>
      <c r="BA33" s="3086"/>
      <c r="BB33" s="3087"/>
      <c r="BC33" s="3080"/>
      <c r="BD33" s="3080"/>
      <c r="BE33" s="3080"/>
      <c r="BF33" s="3080">
        <f t="shared" si="1"/>
        <v>0</v>
      </c>
      <c r="BG33" s="3080"/>
      <c r="BH33" s="3080"/>
      <c r="BI33" s="3080"/>
      <c r="BJ33" s="3080">
        <f t="shared" si="37"/>
        <v>208</v>
      </c>
      <c r="BK33" s="3080"/>
      <c r="BL33" s="3080" t="s">
        <v>9164</v>
      </c>
      <c r="BM33" s="3094"/>
      <c r="BN33" s="3080">
        <f t="shared" si="63"/>
        <v>208</v>
      </c>
      <c r="BO33" s="3080"/>
      <c r="BP33" s="3080"/>
      <c r="BQ33" s="3080"/>
      <c r="BR33" s="3080">
        <f t="shared" si="2"/>
        <v>0</v>
      </c>
      <c r="BS33" s="3088">
        <f t="shared" si="3"/>
        <v>512688</v>
      </c>
      <c r="BT33" s="3088">
        <f t="shared" ref="BT33:BW33" si="65">BT32-BN33</f>
        <v>145635.25</v>
      </c>
      <c r="BU33" s="3088">
        <f t="shared" si="65"/>
        <v>146083.25</v>
      </c>
      <c r="BV33" s="3088">
        <f t="shared" si="65"/>
        <v>146091.25</v>
      </c>
      <c r="BW33" s="3088">
        <f t="shared" si="65"/>
        <v>146424.583333333</v>
      </c>
      <c r="BX33" s="3088"/>
    </row>
    <row r="34" s="3031" customFormat="1" ht="32" customHeight="1" spans="1:76">
      <c r="A34" s="3063">
        <v>45623</v>
      </c>
      <c r="B34" s="3064" t="s">
        <v>361</v>
      </c>
      <c r="C34" s="3065" t="s">
        <v>91</v>
      </c>
      <c r="D34" s="3066">
        <v>4500152657</v>
      </c>
      <c r="E34" s="3067" t="s">
        <v>9260</v>
      </c>
      <c r="F34" s="3066" t="s">
        <v>9261</v>
      </c>
      <c r="G34" s="3098" t="s">
        <v>9255</v>
      </c>
      <c r="H34" s="3069" t="s">
        <v>9098</v>
      </c>
      <c r="I34" s="2969">
        <v>760</v>
      </c>
      <c r="J34" s="2969">
        <v>0</v>
      </c>
      <c r="K34" s="2969">
        <v>8</v>
      </c>
      <c r="L34" s="2969">
        <f t="shared" si="0"/>
        <v>95</v>
      </c>
      <c r="M34" s="3070">
        <v>45664</v>
      </c>
      <c r="N34" s="3070">
        <v>45660</v>
      </c>
      <c r="O34" s="2996"/>
      <c r="P34" s="2996" t="s">
        <v>82</v>
      </c>
      <c r="Q34" s="3071"/>
      <c r="R34" s="3071"/>
      <c r="S34" s="3071"/>
      <c r="T34" s="3071"/>
      <c r="U34" s="3072" t="s">
        <v>9262</v>
      </c>
      <c r="V34" s="2996"/>
      <c r="W34" s="3073" t="s">
        <v>384</v>
      </c>
      <c r="X34" s="3073"/>
      <c r="Y34" s="3073" t="s">
        <v>9256</v>
      </c>
      <c r="Z34" s="3073" t="s">
        <v>532</v>
      </c>
      <c r="AA34" s="3073"/>
      <c r="AB34" s="3091" t="s">
        <v>9257</v>
      </c>
      <c r="AC34" s="2969" t="s">
        <v>369</v>
      </c>
      <c r="AD34" s="3075">
        <v>4.2475</v>
      </c>
      <c r="AE34" s="3076">
        <f t="shared" si="5"/>
        <v>3228.1</v>
      </c>
      <c r="AF34" s="2969" t="s">
        <v>534</v>
      </c>
      <c r="AG34" s="2969" t="s">
        <v>9255</v>
      </c>
      <c r="AH34" s="2969" t="s">
        <v>416</v>
      </c>
      <c r="AI34" s="3077">
        <f t="shared" si="57"/>
        <v>760</v>
      </c>
      <c r="AJ34" s="3078"/>
      <c r="AK34" s="3077"/>
      <c r="AL34" s="3078"/>
      <c r="AM34" s="3093"/>
      <c r="AN34" s="3078"/>
      <c r="AO34" s="3079"/>
      <c r="AP34" s="3080">
        <f t="shared" si="52"/>
        <v>760</v>
      </c>
      <c r="AQ34" s="3080"/>
      <c r="AR34" s="3080"/>
      <c r="AS34" s="3081"/>
      <c r="AT34" s="3082"/>
      <c r="AU34" s="3083"/>
      <c r="AV34" s="3083"/>
      <c r="AW34" s="3084"/>
      <c r="AX34" s="3085">
        <f t="shared" si="62"/>
        <v>760</v>
      </c>
      <c r="AY34" s="3080"/>
      <c r="AZ34" s="3080"/>
      <c r="BA34" s="3086"/>
      <c r="BB34" s="3087"/>
      <c r="BC34" s="3080"/>
      <c r="BD34" s="3080"/>
      <c r="BE34" s="3080"/>
      <c r="BF34" s="3080">
        <f t="shared" si="1"/>
        <v>0</v>
      </c>
      <c r="BG34" s="3080"/>
      <c r="BH34" s="3080"/>
      <c r="BI34" s="3080"/>
      <c r="BJ34" s="3080">
        <f t="shared" si="37"/>
        <v>760</v>
      </c>
      <c r="BK34" s="3080"/>
      <c r="BL34" s="3080" t="s">
        <v>9164</v>
      </c>
      <c r="BM34" s="3094"/>
      <c r="BN34" s="3080">
        <f t="shared" si="63"/>
        <v>760</v>
      </c>
      <c r="BO34" s="3080"/>
      <c r="BP34" s="3080"/>
      <c r="BQ34" s="3080"/>
      <c r="BR34" s="3080">
        <f t="shared" si="2"/>
        <v>0</v>
      </c>
      <c r="BS34" s="3088">
        <f t="shared" si="3"/>
        <v>513240</v>
      </c>
      <c r="BT34" s="3088">
        <f t="shared" ref="BT34:BW34" si="66">BT33-BN34</f>
        <v>144875.25</v>
      </c>
      <c r="BU34" s="3088">
        <f t="shared" si="66"/>
        <v>146083.25</v>
      </c>
      <c r="BV34" s="3088">
        <f t="shared" si="66"/>
        <v>146091.25</v>
      </c>
      <c r="BW34" s="3088">
        <f t="shared" si="66"/>
        <v>146424.583333333</v>
      </c>
      <c r="BX34" s="3088"/>
    </row>
    <row r="35" s="3031" customFormat="1" ht="32" customHeight="1" spans="1:76">
      <c r="A35" s="3063">
        <v>45623</v>
      </c>
      <c r="B35" s="3091" t="s">
        <v>2797</v>
      </c>
      <c r="C35" s="3101" t="s">
        <v>91</v>
      </c>
      <c r="D35" s="3066">
        <v>4500152429</v>
      </c>
      <c r="E35" s="3067" t="s">
        <v>6212</v>
      </c>
      <c r="F35" s="3066" t="s">
        <v>9263</v>
      </c>
      <c r="G35" s="3098" t="s">
        <v>9246</v>
      </c>
      <c r="H35" s="3069" t="s">
        <v>9155</v>
      </c>
      <c r="I35" s="2969">
        <v>590</v>
      </c>
      <c r="J35" s="2969">
        <v>0</v>
      </c>
      <c r="K35" s="2969">
        <v>2</v>
      </c>
      <c r="L35" s="2969">
        <f t="shared" si="0"/>
        <v>295</v>
      </c>
      <c r="M35" s="3070">
        <v>45665</v>
      </c>
      <c r="N35" s="3070">
        <v>45661</v>
      </c>
      <c r="O35" s="2996" t="s">
        <v>2800</v>
      </c>
      <c r="P35" s="2996" t="s">
        <v>82</v>
      </c>
      <c r="Q35" s="3071"/>
      <c r="R35" s="3071"/>
      <c r="S35" s="3071"/>
      <c r="T35" s="3071"/>
      <c r="U35" s="3072" t="s">
        <v>127</v>
      </c>
      <c r="V35" s="2996"/>
      <c r="W35" s="3073" t="s">
        <v>384</v>
      </c>
      <c r="X35" s="3073"/>
      <c r="Y35" s="3073" t="s">
        <v>98</v>
      </c>
      <c r="Z35" s="3073"/>
      <c r="AA35" s="3073"/>
      <c r="AB35" s="3091" t="s">
        <v>9264</v>
      </c>
      <c r="AC35" s="2969" t="s">
        <v>2802</v>
      </c>
      <c r="AD35" s="3075">
        <v>4.3446</v>
      </c>
      <c r="AE35" s="3076">
        <f t="shared" si="5"/>
        <v>2563.314</v>
      </c>
      <c r="AF35" s="2969" t="s">
        <v>6215</v>
      </c>
      <c r="AG35" s="2969" t="s">
        <v>9246</v>
      </c>
      <c r="AH35" s="2969" t="s">
        <v>416</v>
      </c>
      <c r="AI35" s="3077"/>
      <c r="AJ35" s="3078">
        <f t="shared" ref="AJ35:AJ38" si="67">I35</f>
        <v>590</v>
      </c>
      <c r="AK35" s="3077"/>
      <c r="AL35" s="3078"/>
      <c r="AM35" s="3093"/>
      <c r="AN35" s="3078"/>
      <c r="AO35" s="3079"/>
      <c r="AP35" s="3080">
        <f t="shared" si="52"/>
        <v>590</v>
      </c>
      <c r="AQ35" s="3080"/>
      <c r="AR35" s="3080"/>
      <c r="AS35" s="3081"/>
      <c r="AT35" s="3082"/>
      <c r="AU35" s="3083"/>
      <c r="AV35" s="3083"/>
      <c r="AW35" s="3084"/>
      <c r="AX35" s="3085">
        <f t="shared" ref="AX35:AX39" si="68">I35/4</f>
        <v>147.5</v>
      </c>
      <c r="AY35" s="3080">
        <f>I35/4</f>
        <v>147.5</v>
      </c>
      <c r="AZ35" s="3080">
        <f>AY35</f>
        <v>147.5</v>
      </c>
      <c r="BA35" s="3086">
        <f>I35/4</f>
        <v>147.5</v>
      </c>
      <c r="BB35" s="3087"/>
      <c r="BC35" s="3080"/>
      <c r="BD35" s="3080"/>
      <c r="BE35" s="3080"/>
      <c r="BF35" s="3080">
        <f t="shared" si="1"/>
        <v>0</v>
      </c>
      <c r="BG35" s="3080"/>
      <c r="BH35" s="3080"/>
      <c r="BI35" s="3080"/>
      <c r="BJ35" s="3080">
        <f t="shared" si="37"/>
        <v>590</v>
      </c>
      <c r="BK35" s="3080"/>
      <c r="BL35" s="3080" t="s">
        <v>9164</v>
      </c>
      <c r="BM35" s="3094"/>
      <c r="BN35" s="3080">
        <f t="shared" ref="BN35:BN39" si="69">I35/4</f>
        <v>147.5</v>
      </c>
      <c r="BO35" s="3080">
        <f t="shared" ref="BO35:BO39" si="70">I35/4</f>
        <v>147.5</v>
      </c>
      <c r="BP35" s="3080">
        <f t="shared" ref="BP35:BP39" si="71">I35/4</f>
        <v>147.5</v>
      </c>
      <c r="BQ35" s="3080">
        <f t="shared" ref="BQ35:BQ39" si="72">I35/4</f>
        <v>147.5</v>
      </c>
      <c r="BR35" s="3080">
        <f t="shared" si="2"/>
        <v>0</v>
      </c>
      <c r="BS35" s="3088">
        <f t="shared" si="3"/>
        <v>513070</v>
      </c>
      <c r="BT35" s="3088">
        <f t="shared" ref="BT35:BW35" si="73">BT34-BN35</f>
        <v>144727.75</v>
      </c>
      <c r="BU35" s="3088">
        <f t="shared" si="73"/>
        <v>145935.75</v>
      </c>
      <c r="BV35" s="3088">
        <f t="shared" si="73"/>
        <v>145943.75</v>
      </c>
      <c r="BW35" s="3088">
        <f t="shared" si="73"/>
        <v>146277.083333333</v>
      </c>
      <c r="BX35" s="3088"/>
    </row>
    <row r="36" s="3031" customFormat="1" ht="32" customHeight="1" spans="1:76">
      <c r="A36" s="3063">
        <v>45645</v>
      </c>
      <c r="B36" s="3064"/>
      <c r="C36" s="3065"/>
      <c r="D36" s="3066" t="s">
        <v>9265</v>
      </c>
      <c r="E36" s="3067"/>
      <c r="F36" s="3066"/>
      <c r="G36" s="3069" t="s">
        <v>9154</v>
      </c>
      <c r="H36" s="3069" t="s">
        <v>9155</v>
      </c>
      <c r="I36" s="2969">
        <v>120</v>
      </c>
      <c r="J36" s="2969">
        <v>0</v>
      </c>
      <c r="K36" s="2969">
        <v>8</v>
      </c>
      <c r="L36" s="2969">
        <f t="shared" si="0"/>
        <v>15</v>
      </c>
      <c r="M36" s="3070">
        <v>45665</v>
      </c>
      <c r="N36" s="3070">
        <v>45661</v>
      </c>
      <c r="O36" s="2996"/>
      <c r="P36" s="2996" t="s">
        <v>82</v>
      </c>
      <c r="Q36" s="3071"/>
      <c r="R36" s="3071"/>
      <c r="S36" s="3071"/>
      <c r="T36" s="3071"/>
      <c r="U36" s="3072"/>
      <c r="V36" s="2996"/>
      <c r="W36" s="3073" t="s">
        <v>335</v>
      </c>
      <c r="X36" s="3073"/>
      <c r="Y36" s="3073" t="s">
        <v>98</v>
      </c>
      <c r="Z36" s="3073"/>
      <c r="AA36" s="3073"/>
      <c r="AB36" s="3091" t="s">
        <v>9266</v>
      </c>
      <c r="AC36" s="2969" t="s">
        <v>792</v>
      </c>
      <c r="AD36" s="3075"/>
      <c r="AE36" s="3076"/>
      <c r="AF36" s="2969"/>
      <c r="AG36" s="2969" t="s">
        <v>9154</v>
      </c>
      <c r="AH36" s="2969" t="s">
        <v>416</v>
      </c>
      <c r="AI36" s="3077"/>
      <c r="AJ36" s="3078">
        <f t="shared" si="67"/>
        <v>120</v>
      </c>
      <c r="AK36" s="3077"/>
      <c r="AL36" s="3078"/>
      <c r="AM36" s="3099"/>
      <c r="AN36" s="3080"/>
      <c r="AO36" s="3079"/>
      <c r="AP36" s="3080">
        <f t="shared" si="52"/>
        <v>120</v>
      </c>
      <c r="AQ36" s="3080"/>
      <c r="AR36" s="3080"/>
      <c r="AS36" s="3081"/>
      <c r="AT36" s="3082"/>
      <c r="AU36" s="3083"/>
      <c r="AV36" s="3083"/>
      <c r="AW36" s="3084"/>
      <c r="AX36" s="3085">
        <f t="shared" si="68"/>
        <v>30</v>
      </c>
      <c r="AY36" s="3080">
        <f>AX36</f>
        <v>30</v>
      </c>
      <c r="AZ36" s="3080">
        <f>AX36</f>
        <v>30</v>
      </c>
      <c r="BA36" s="3086">
        <f>AX36</f>
        <v>30</v>
      </c>
      <c r="BB36" s="3087"/>
      <c r="BC36" s="3080"/>
      <c r="BD36" s="3080"/>
      <c r="BE36" s="3080"/>
      <c r="BF36" s="3080"/>
      <c r="BG36" s="3080"/>
      <c r="BH36" s="3080"/>
      <c r="BI36" s="3080"/>
      <c r="BJ36" s="3080">
        <f t="shared" si="37"/>
        <v>120</v>
      </c>
      <c r="BK36" s="3080"/>
      <c r="BL36" s="3080" t="s">
        <v>9164</v>
      </c>
      <c r="BM36" s="3100"/>
      <c r="BN36" s="3080">
        <f t="shared" si="69"/>
        <v>30</v>
      </c>
      <c r="BO36" s="3080">
        <f t="shared" si="70"/>
        <v>30</v>
      </c>
      <c r="BP36" s="3080">
        <f t="shared" si="71"/>
        <v>30</v>
      </c>
      <c r="BQ36" s="3080">
        <f t="shared" si="72"/>
        <v>30</v>
      </c>
      <c r="BR36" s="3080">
        <f t="shared" si="2"/>
        <v>0</v>
      </c>
      <c r="BS36" s="3088">
        <f t="shared" si="3"/>
        <v>512600</v>
      </c>
      <c r="BT36" s="3088">
        <f t="shared" ref="BT36:BW36" si="74">BT35-BN36</f>
        <v>144697.75</v>
      </c>
      <c r="BU36" s="3088">
        <f t="shared" si="74"/>
        <v>145905.75</v>
      </c>
      <c r="BV36" s="3088">
        <f t="shared" si="74"/>
        <v>145913.75</v>
      </c>
      <c r="BW36" s="3088">
        <f t="shared" si="74"/>
        <v>146247.083333333</v>
      </c>
      <c r="BX36" s="2969"/>
    </row>
    <row r="37" s="3031" customFormat="1" ht="32" customHeight="1" spans="1:76">
      <c r="A37" s="3063">
        <v>45615</v>
      </c>
      <c r="B37" s="3064" t="s">
        <v>2804</v>
      </c>
      <c r="C37" s="3065" t="s">
        <v>91</v>
      </c>
      <c r="D37" s="3066">
        <v>4500151779</v>
      </c>
      <c r="E37" s="3067"/>
      <c r="F37" s="3066" t="s">
        <v>9267</v>
      </c>
      <c r="G37" s="3069" t="s">
        <v>9154</v>
      </c>
      <c r="H37" s="3069" t="s">
        <v>9155</v>
      </c>
      <c r="I37" s="2969">
        <v>640</v>
      </c>
      <c r="J37" s="2969">
        <v>0</v>
      </c>
      <c r="K37" s="2969">
        <v>8</v>
      </c>
      <c r="L37" s="2969">
        <f t="shared" si="0"/>
        <v>80</v>
      </c>
      <c r="M37" s="3070">
        <v>45666</v>
      </c>
      <c r="N37" s="3070">
        <v>45663</v>
      </c>
      <c r="O37" s="2996"/>
      <c r="P37" s="2996" t="s">
        <v>82</v>
      </c>
      <c r="Q37" s="3071"/>
      <c r="R37" s="3071"/>
      <c r="S37" s="3071"/>
      <c r="T37" s="3071"/>
      <c r="U37" s="3072" t="s">
        <v>427</v>
      </c>
      <c r="V37" s="2996"/>
      <c r="W37" s="3073" t="s">
        <v>574</v>
      </c>
      <c r="X37" s="3073"/>
      <c r="Y37" s="3073" t="s">
        <v>98</v>
      </c>
      <c r="Z37" s="3073"/>
      <c r="AA37" s="3073"/>
      <c r="AB37" s="3091" t="s">
        <v>1177</v>
      </c>
      <c r="AC37" s="2969" t="s">
        <v>2808</v>
      </c>
      <c r="AD37" s="3075">
        <v>4.2475</v>
      </c>
      <c r="AE37" s="3076">
        <v>2718.4</v>
      </c>
      <c r="AF37" s="2969" t="s">
        <v>2809</v>
      </c>
      <c r="AG37" s="2969" t="s">
        <v>9154</v>
      </c>
      <c r="AH37" s="2969" t="s">
        <v>416</v>
      </c>
      <c r="AI37" s="3077">
        <f>I37</f>
        <v>640</v>
      </c>
      <c r="AJ37" s="3078"/>
      <c r="AK37" s="3077"/>
      <c r="AL37" s="3078"/>
      <c r="AM37" s="3077"/>
      <c r="AN37" s="3080"/>
      <c r="AO37" s="3079">
        <f>I37</f>
        <v>640</v>
      </c>
      <c r="AP37" s="3080"/>
      <c r="AQ37" s="3080"/>
      <c r="AR37" s="3080"/>
      <c r="AS37" s="3081"/>
      <c r="AT37" s="3082">
        <f t="shared" ref="AT37:AT42" si="75">I37/4</f>
        <v>160</v>
      </c>
      <c r="AU37" s="3083">
        <f t="shared" ref="AU37:AW37" si="76">AT37</f>
        <v>160</v>
      </c>
      <c r="AV37" s="3083">
        <f t="shared" si="76"/>
        <v>160</v>
      </c>
      <c r="AW37" s="3084">
        <f t="shared" si="76"/>
        <v>160</v>
      </c>
      <c r="AX37" s="3085"/>
      <c r="AY37" s="3080"/>
      <c r="AZ37" s="3080"/>
      <c r="BA37" s="3086"/>
      <c r="BB37" s="3087"/>
      <c r="BC37" s="3080"/>
      <c r="BD37" s="3080"/>
      <c r="BE37" s="3080"/>
      <c r="BF37" s="3080">
        <f t="shared" ref="BF37:BF88" si="77">SUM(AT37:BE37)-I37</f>
        <v>0</v>
      </c>
      <c r="BG37" s="3080"/>
      <c r="BH37" s="3080"/>
      <c r="BI37" s="3080"/>
      <c r="BJ37" s="3080">
        <f t="shared" si="37"/>
        <v>640</v>
      </c>
      <c r="BK37" s="3080"/>
      <c r="BL37" s="3080" t="s">
        <v>9164</v>
      </c>
      <c r="BM37" s="3079">
        <v>160</v>
      </c>
      <c r="BN37" s="3080">
        <f t="shared" si="69"/>
        <v>160</v>
      </c>
      <c r="BO37" s="3080">
        <f t="shared" si="70"/>
        <v>160</v>
      </c>
      <c r="BP37" s="3080">
        <f t="shared" si="71"/>
        <v>160</v>
      </c>
      <c r="BQ37" s="3080">
        <f t="shared" si="72"/>
        <v>160</v>
      </c>
      <c r="BR37" s="3080">
        <f t="shared" si="2"/>
        <v>0</v>
      </c>
      <c r="BS37" s="3088">
        <f t="shared" si="3"/>
        <v>513120</v>
      </c>
      <c r="BT37" s="3088">
        <f t="shared" ref="BT37:BW37" si="78">BT36-BN37</f>
        <v>144537.75</v>
      </c>
      <c r="BU37" s="3088">
        <f t="shared" si="78"/>
        <v>145745.75</v>
      </c>
      <c r="BV37" s="3088">
        <f t="shared" si="78"/>
        <v>145753.75</v>
      </c>
      <c r="BW37" s="3088">
        <f t="shared" si="78"/>
        <v>146087.083333333</v>
      </c>
      <c r="BX37" s="2969"/>
    </row>
    <row r="38" s="3031" customFormat="1" ht="32" customHeight="1" spans="1:76">
      <c r="A38" s="3063">
        <v>45629</v>
      </c>
      <c r="B38" s="3064" t="s">
        <v>6700</v>
      </c>
      <c r="C38" s="3065" t="s">
        <v>91</v>
      </c>
      <c r="D38" s="3066">
        <v>4500153169</v>
      </c>
      <c r="E38" s="3067" t="s">
        <v>9268</v>
      </c>
      <c r="F38" s="3066" t="s">
        <v>9269</v>
      </c>
      <c r="G38" s="3069" t="s">
        <v>9270</v>
      </c>
      <c r="H38" s="3069" t="s">
        <v>9155</v>
      </c>
      <c r="I38" s="2969">
        <v>300</v>
      </c>
      <c r="J38" s="2969">
        <v>0</v>
      </c>
      <c r="K38" s="2969">
        <v>4</v>
      </c>
      <c r="L38" s="2969">
        <f t="shared" ref="L38:L101" si="79">I38/K38</f>
        <v>75</v>
      </c>
      <c r="M38" s="3070">
        <v>45670</v>
      </c>
      <c r="N38" s="3070">
        <v>45666</v>
      </c>
      <c r="O38" s="2996"/>
      <c r="P38" s="2996" t="s">
        <v>82</v>
      </c>
      <c r="Q38" s="3071"/>
      <c r="R38" s="3071"/>
      <c r="S38" s="3071"/>
      <c r="T38" s="3071"/>
      <c r="U38" s="3072" t="s">
        <v>127</v>
      </c>
      <c r="V38" s="2996"/>
      <c r="W38" s="3073" t="s">
        <v>510</v>
      </c>
      <c r="X38" s="3073"/>
      <c r="Y38" s="3073" t="s">
        <v>98</v>
      </c>
      <c r="Z38" s="3073"/>
      <c r="AA38" s="3073"/>
      <c r="AB38" s="3091" t="s">
        <v>9271</v>
      </c>
      <c r="AC38" s="2969" t="s">
        <v>3061</v>
      </c>
      <c r="AD38" s="3075">
        <v>4.1317</v>
      </c>
      <c r="AE38" s="3076">
        <f t="shared" ref="AE38:AE62" si="80">AD38*I38</f>
        <v>1239.51</v>
      </c>
      <c r="AF38" s="2969" t="s">
        <v>9272</v>
      </c>
      <c r="AG38" s="2969" t="s">
        <v>9270</v>
      </c>
      <c r="AH38" s="2969" t="s">
        <v>416</v>
      </c>
      <c r="AI38" s="3077"/>
      <c r="AJ38" s="3078">
        <f t="shared" si="67"/>
        <v>300</v>
      </c>
      <c r="AK38" s="3077"/>
      <c r="AL38" s="3078"/>
      <c r="AM38" s="3099"/>
      <c r="AN38" s="3078"/>
      <c r="AO38" s="3079"/>
      <c r="AP38" s="3080">
        <f t="shared" ref="AP38:AP43" si="81">I38</f>
        <v>300</v>
      </c>
      <c r="AQ38" s="3080"/>
      <c r="AR38" s="3080"/>
      <c r="AS38" s="3081"/>
      <c r="AT38" s="3082"/>
      <c r="AU38" s="3083"/>
      <c r="AV38" s="3083"/>
      <c r="AW38" s="3084"/>
      <c r="AX38" s="3085">
        <f t="shared" si="68"/>
        <v>75</v>
      </c>
      <c r="AY38" s="3080">
        <f>I38/4</f>
        <v>75</v>
      </c>
      <c r="AZ38" s="3080">
        <f>I38/4</f>
        <v>75</v>
      </c>
      <c r="BA38" s="3086">
        <f>I38/4</f>
        <v>75</v>
      </c>
      <c r="BB38" s="3087"/>
      <c r="BC38" s="3080"/>
      <c r="BD38" s="3080"/>
      <c r="BE38" s="3080"/>
      <c r="BF38" s="3080">
        <f t="shared" si="77"/>
        <v>0</v>
      </c>
      <c r="BG38" s="3080"/>
      <c r="BH38" s="3080"/>
      <c r="BI38" s="3080"/>
      <c r="BJ38" s="3080">
        <f t="shared" si="37"/>
        <v>300</v>
      </c>
      <c r="BK38" s="3080"/>
      <c r="BL38" s="3080" t="s">
        <v>9164</v>
      </c>
      <c r="BM38" s="3100"/>
      <c r="BN38" s="3080">
        <f t="shared" si="69"/>
        <v>75</v>
      </c>
      <c r="BO38" s="3080">
        <f t="shared" si="70"/>
        <v>75</v>
      </c>
      <c r="BP38" s="3080">
        <f t="shared" si="71"/>
        <v>75</v>
      </c>
      <c r="BQ38" s="3080">
        <f t="shared" si="72"/>
        <v>75</v>
      </c>
      <c r="BR38" s="3080">
        <f t="shared" si="2"/>
        <v>0</v>
      </c>
      <c r="BS38" s="3088">
        <f t="shared" si="3"/>
        <v>512780</v>
      </c>
      <c r="BT38" s="3088">
        <f t="shared" ref="BT38:BW38" si="82">BT37-BN38</f>
        <v>144462.75</v>
      </c>
      <c r="BU38" s="3088">
        <f t="shared" si="82"/>
        <v>145670.75</v>
      </c>
      <c r="BV38" s="3088">
        <f t="shared" si="82"/>
        <v>145678.75</v>
      </c>
      <c r="BW38" s="3088">
        <f t="shared" si="82"/>
        <v>146012.083333333</v>
      </c>
      <c r="BX38" s="3088"/>
    </row>
    <row r="39" s="3031" customFormat="1" ht="32" customHeight="1" spans="1:76">
      <c r="A39" s="3063">
        <v>45635</v>
      </c>
      <c r="B39" s="3064" t="s">
        <v>4959</v>
      </c>
      <c r="C39" s="3065" t="s">
        <v>4960</v>
      </c>
      <c r="D39" s="3066">
        <v>4500153513</v>
      </c>
      <c r="E39" s="3067"/>
      <c r="F39" s="3066" t="s">
        <v>9273</v>
      </c>
      <c r="G39" s="3069" t="s">
        <v>9154</v>
      </c>
      <c r="H39" s="3069" t="s">
        <v>9155</v>
      </c>
      <c r="I39" s="2969">
        <v>800</v>
      </c>
      <c r="J39" s="2969">
        <v>0</v>
      </c>
      <c r="K39" s="2969">
        <v>8</v>
      </c>
      <c r="L39" s="2969">
        <f t="shared" si="79"/>
        <v>100</v>
      </c>
      <c r="M39" s="3070">
        <v>45672</v>
      </c>
      <c r="N39" s="3070">
        <v>45668</v>
      </c>
      <c r="O39" s="2996"/>
      <c r="P39" s="2996" t="s">
        <v>82</v>
      </c>
      <c r="Q39" s="3071"/>
      <c r="R39" s="3071"/>
      <c r="S39" s="3071"/>
      <c r="T39" s="3071"/>
      <c r="U39" s="3072" t="s">
        <v>401</v>
      </c>
      <c r="V39" s="2996"/>
      <c r="W39" s="3073" t="s">
        <v>2807</v>
      </c>
      <c r="X39" s="3073"/>
      <c r="Y39" s="3073" t="s">
        <v>9274</v>
      </c>
      <c r="Z39" s="3073"/>
      <c r="AA39" s="3073"/>
      <c r="AB39" s="3091" t="s">
        <v>9275</v>
      </c>
      <c r="AC39" s="2969" t="s">
        <v>559</v>
      </c>
      <c r="AD39" s="3075">
        <v>4.2475</v>
      </c>
      <c r="AE39" s="3076">
        <f t="shared" si="80"/>
        <v>3398</v>
      </c>
      <c r="AF39" s="2969" t="s">
        <v>6290</v>
      </c>
      <c r="AG39" s="3089" t="s">
        <v>9239</v>
      </c>
      <c r="AH39" s="2969" t="s">
        <v>416</v>
      </c>
      <c r="AI39" s="3077"/>
      <c r="AJ39" s="3078"/>
      <c r="AK39" s="3077"/>
      <c r="AL39" s="3078">
        <f t="shared" ref="AL39:AL43" si="83">I39</f>
        <v>800</v>
      </c>
      <c r="AM39" s="3099"/>
      <c r="AN39" s="3078"/>
      <c r="AO39" s="3079"/>
      <c r="AP39" s="3080">
        <f t="shared" si="81"/>
        <v>800</v>
      </c>
      <c r="AQ39" s="3080"/>
      <c r="AR39" s="3080"/>
      <c r="AS39" s="3081"/>
      <c r="AT39" s="3082"/>
      <c r="AU39" s="3083"/>
      <c r="AV39" s="3083"/>
      <c r="AW39" s="3084"/>
      <c r="AX39" s="3085">
        <f t="shared" si="68"/>
        <v>200</v>
      </c>
      <c r="AY39" s="3080">
        <f>AX39</f>
        <v>200</v>
      </c>
      <c r="AZ39" s="3080">
        <f>AX39</f>
        <v>200</v>
      </c>
      <c r="BA39" s="3086">
        <f>AX39</f>
        <v>200</v>
      </c>
      <c r="BB39" s="3087"/>
      <c r="BC39" s="3080"/>
      <c r="BD39" s="3080"/>
      <c r="BE39" s="3080"/>
      <c r="BF39" s="3080">
        <f t="shared" si="77"/>
        <v>0</v>
      </c>
      <c r="BG39" s="3080"/>
      <c r="BH39" s="3080"/>
      <c r="BI39" s="3080"/>
      <c r="BJ39" s="3080">
        <f t="shared" si="37"/>
        <v>800</v>
      </c>
      <c r="BK39" s="3080"/>
      <c r="BL39" s="3080" t="s">
        <v>9164</v>
      </c>
      <c r="BM39" s="3100"/>
      <c r="BN39" s="3080">
        <f t="shared" si="69"/>
        <v>200</v>
      </c>
      <c r="BO39" s="3080">
        <f t="shared" si="70"/>
        <v>200</v>
      </c>
      <c r="BP39" s="3080">
        <f t="shared" si="71"/>
        <v>200</v>
      </c>
      <c r="BQ39" s="3080">
        <f t="shared" si="72"/>
        <v>200</v>
      </c>
      <c r="BR39" s="3080">
        <f t="shared" si="2"/>
        <v>0</v>
      </c>
      <c r="BS39" s="3088">
        <f t="shared" si="3"/>
        <v>513280</v>
      </c>
      <c r="BT39" s="3088">
        <f t="shared" ref="BT39:BW39" si="84">BT38-BN39</f>
        <v>144262.75</v>
      </c>
      <c r="BU39" s="3088">
        <f t="shared" si="84"/>
        <v>145470.75</v>
      </c>
      <c r="BV39" s="3088">
        <f t="shared" si="84"/>
        <v>145478.75</v>
      </c>
      <c r="BW39" s="3088">
        <f t="shared" si="84"/>
        <v>145812.083333333</v>
      </c>
      <c r="BX39" s="3088"/>
    </row>
    <row r="40" s="3031" customFormat="1" ht="32" customHeight="1" spans="1:76">
      <c r="A40" s="3063">
        <v>45636</v>
      </c>
      <c r="B40" s="3064"/>
      <c r="C40" s="3065"/>
      <c r="D40" s="3066" t="s">
        <v>9276</v>
      </c>
      <c r="E40" s="3067"/>
      <c r="F40" s="3066"/>
      <c r="G40" s="3069" t="s">
        <v>9158</v>
      </c>
      <c r="H40" s="3069" t="s">
        <v>9155</v>
      </c>
      <c r="I40" s="2969">
        <v>2</v>
      </c>
      <c r="J40" s="2969">
        <v>0</v>
      </c>
      <c r="K40" s="2969">
        <v>1</v>
      </c>
      <c r="L40" s="2969">
        <f t="shared" si="79"/>
        <v>2</v>
      </c>
      <c r="M40" s="3070">
        <v>45649</v>
      </c>
      <c r="N40" s="3070">
        <v>45645</v>
      </c>
      <c r="O40" s="2996"/>
      <c r="P40" s="2996" t="s">
        <v>9277</v>
      </c>
      <c r="Q40" s="3071"/>
      <c r="R40" s="3071"/>
      <c r="S40" s="3071"/>
      <c r="T40" s="3071"/>
      <c r="U40" s="3072"/>
      <c r="V40" s="2996"/>
      <c r="W40" s="3073" t="s">
        <v>335</v>
      </c>
      <c r="X40" s="3073"/>
      <c r="Y40" s="3073" t="s">
        <v>9278</v>
      </c>
      <c r="Z40" s="3073"/>
      <c r="AA40" s="3073"/>
      <c r="AB40" s="3091" t="s">
        <v>9279</v>
      </c>
      <c r="AC40" s="2969"/>
      <c r="AD40" s="3075"/>
      <c r="AE40" s="3076"/>
      <c r="AF40" s="2969"/>
      <c r="AG40" s="3069" t="s">
        <v>9163</v>
      </c>
      <c r="AH40" s="2969" t="s">
        <v>416</v>
      </c>
      <c r="AI40" s="3077"/>
      <c r="AJ40" s="3078"/>
      <c r="AK40" s="3077"/>
      <c r="AL40" s="3078">
        <f t="shared" si="83"/>
        <v>2</v>
      </c>
      <c r="AM40" s="3092"/>
      <c r="AN40" s="3078"/>
      <c r="AO40" s="3079"/>
      <c r="AP40" s="3080">
        <f t="shared" si="81"/>
        <v>2</v>
      </c>
      <c r="AQ40" s="3080"/>
      <c r="AR40" s="3080"/>
      <c r="AS40" s="3081"/>
      <c r="AT40" s="3082">
        <v>1</v>
      </c>
      <c r="AU40" s="3083">
        <v>1</v>
      </c>
      <c r="AV40" s="3083"/>
      <c r="AW40" s="3084"/>
      <c r="AX40" s="3085"/>
      <c r="AY40" s="3080"/>
      <c r="AZ40" s="3080"/>
      <c r="BA40" s="3086"/>
      <c r="BB40" s="3087"/>
      <c r="BC40" s="3080"/>
      <c r="BD40" s="3080"/>
      <c r="BE40" s="3080"/>
      <c r="BF40" s="3080">
        <f t="shared" si="77"/>
        <v>0</v>
      </c>
      <c r="BG40" s="3080"/>
      <c r="BH40" s="3080"/>
      <c r="BI40" s="3080"/>
      <c r="BJ40" s="3080"/>
      <c r="BK40" s="3080">
        <f t="shared" ref="BK40:BK45" si="85">I40</f>
        <v>2</v>
      </c>
      <c r="BL40" s="3080" t="s">
        <v>9164</v>
      </c>
      <c r="BM40" s="3097"/>
      <c r="BN40" s="3080">
        <v>1</v>
      </c>
      <c r="BO40" s="3080">
        <v>1</v>
      </c>
      <c r="BP40" s="3080"/>
      <c r="BQ40" s="3080"/>
      <c r="BR40" s="3080">
        <f t="shared" si="2"/>
        <v>0</v>
      </c>
      <c r="BS40" s="3088">
        <f t="shared" si="3"/>
        <v>512482</v>
      </c>
      <c r="BT40" s="3088">
        <f t="shared" ref="BT40:BW40" si="86">BT39-BN40</f>
        <v>144261.75</v>
      </c>
      <c r="BU40" s="3088">
        <f t="shared" si="86"/>
        <v>145469.75</v>
      </c>
      <c r="BV40" s="3088">
        <f t="shared" si="86"/>
        <v>145478.75</v>
      </c>
      <c r="BW40" s="3088">
        <f t="shared" si="86"/>
        <v>145812.083333333</v>
      </c>
      <c r="BX40" s="3088"/>
    </row>
    <row r="41" s="3031" customFormat="1" ht="32" customHeight="1" spans="1:76">
      <c r="A41" s="3063">
        <v>45615</v>
      </c>
      <c r="B41" s="3064" t="s">
        <v>3608</v>
      </c>
      <c r="C41" s="3065" t="s">
        <v>738</v>
      </c>
      <c r="D41" s="3066">
        <v>4500151758</v>
      </c>
      <c r="E41" s="3067" t="s">
        <v>9280</v>
      </c>
      <c r="F41" s="3066" t="s">
        <v>9281</v>
      </c>
      <c r="G41" s="3069" t="s">
        <v>9154</v>
      </c>
      <c r="H41" s="3069" t="s">
        <v>9282</v>
      </c>
      <c r="I41" s="2969">
        <v>632</v>
      </c>
      <c r="J41" s="2969">
        <v>0</v>
      </c>
      <c r="K41" s="2969">
        <v>8</v>
      </c>
      <c r="L41" s="2969">
        <f t="shared" si="79"/>
        <v>79</v>
      </c>
      <c r="M41" s="3070">
        <v>45665</v>
      </c>
      <c r="N41" s="3070">
        <v>45661</v>
      </c>
      <c r="O41" s="2996"/>
      <c r="P41" s="2996" t="s">
        <v>82</v>
      </c>
      <c r="Q41" s="3071"/>
      <c r="R41" s="3071"/>
      <c r="S41" s="3071"/>
      <c r="T41" s="3071"/>
      <c r="U41" s="3072" t="s">
        <v>455</v>
      </c>
      <c r="V41" s="2996"/>
      <c r="W41" s="3073" t="s">
        <v>7916</v>
      </c>
      <c r="X41" s="3073"/>
      <c r="Y41" s="3073" t="s">
        <v>9283</v>
      </c>
      <c r="Z41" s="3073"/>
      <c r="AA41" s="3073" t="s">
        <v>9284</v>
      </c>
      <c r="AB41" s="3091" t="s">
        <v>9285</v>
      </c>
      <c r="AC41" s="2969" t="s">
        <v>1257</v>
      </c>
      <c r="AD41" s="3075">
        <v>4.2362</v>
      </c>
      <c r="AE41" s="3076">
        <f t="shared" si="80"/>
        <v>2677.2784</v>
      </c>
      <c r="AF41" s="2969" t="s">
        <v>9286</v>
      </c>
      <c r="AG41" s="3089" t="s">
        <v>9239</v>
      </c>
      <c r="AH41" s="2969" t="s">
        <v>416</v>
      </c>
      <c r="AI41" s="3077"/>
      <c r="AJ41" s="3078"/>
      <c r="AK41" s="3077"/>
      <c r="AL41" s="3078">
        <v>632</v>
      </c>
      <c r="AM41" s="3092"/>
      <c r="AN41" s="3080"/>
      <c r="AO41" s="3079"/>
      <c r="AP41" s="3080">
        <f t="shared" si="81"/>
        <v>632</v>
      </c>
      <c r="AQ41" s="3080"/>
      <c r="AR41" s="3080"/>
      <c r="AS41" s="3081"/>
      <c r="AT41" s="3082">
        <f t="shared" si="75"/>
        <v>158</v>
      </c>
      <c r="AU41" s="3083">
        <f t="shared" ref="AU41:AW41" si="87">AT41</f>
        <v>158</v>
      </c>
      <c r="AV41" s="3083">
        <f t="shared" si="87"/>
        <v>158</v>
      </c>
      <c r="AW41" s="3084">
        <f t="shared" si="87"/>
        <v>158</v>
      </c>
      <c r="AX41" s="3085"/>
      <c r="AY41" s="3080"/>
      <c r="AZ41" s="3080"/>
      <c r="BA41" s="3086"/>
      <c r="BB41" s="3087"/>
      <c r="BC41" s="3080"/>
      <c r="BD41" s="3080"/>
      <c r="BE41" s="3080"/>
      <c r="BF41" s="3080">
        <f t="shared" si="77"/>
        <v>0</v>
      </c>
      <c r="BG41" s="3080"/>
      <c r="BH41" s="3080"/>
      <c r="BI41" s="3080"/>
      <c r="BJ41" s="3080">
        <f t="shared" ref="BJ41:BJ65" si="88">I41</f>
        <v>632</v>
      </c>
      <c r="BK41" s="3080"/>
      <c r="BL41" s="3080" t="s">
        <v>9164</v>
      </c>
      <c r="BM41" s="3102">
        <v>158</v>
      </c>
      <c r="BN41" s="3080">
        <f t="shared" ref="BN41:BN74" si="89">I41/4</f>
        <v>158</v>
      </c>
      <c r="BO41" s="3080">
        <f t="shared" ref="BO41:BO74" si="90">I41/4</f>
        <v>158</v>
      </c>
      <c r="BP41" s="3080">
        <f t="shared" ref="BP41:BP74" si="91">I41/4</f>
        <v>158</v>
      </c>
      <c r="BQ41" s="3080">
        <f t="shared" ref="BQ41:BQ74" si="92">I41/4</f>
        <v>158</v>
      </c>
      <c r="BR41" s="3080">
        <f t="shared" si="2"/>
        <v>0</v>
      </c>
      <c r="BS41" s="3088">
        <f t="shared" si="3"/>
        <v>513112</v>
      </c>
      <c r="BT41" s="3088">
        <f t="shared" ref="BT41:BW41" si="93">BT40-BN41</f>
        <v>144103.75</v>
      </c>
      <c r="BU41" s="3088">
        <f t="shared" si="93"/>
        <v>145311.75</v>
      </c>
      <c r="BV41" s="3088">
        <f t="shared" si="93"/>
        <v>145320.75</v>
      </c>
      <c r="BW41" s="3088">
        <f t="shared" si="93"/>
        <v>145654.083333333</v>
      </c>
      <c r="BX41" s="3088"/>
    </row>
    <row r="42" s="3031" customFormat="1" ht="32" customHeight="1" spans="1:76">
      <c r="A42" s="3063">
        <v>45615</v>
      </c>
      <c r="B42" s="3064" t="s">
        <v>3608</v>
      </c>
      <c r="C42" s="3065" t="s">
        <v>738</v>
      </c>
      <c r="D42" s="3066">
        <v>4500151758</v>
      </c>
      <c r="E42" s="3067" t="s">
        <v>9287</v>
      </c>
      <c r="F42" s="3066" t="s">
        <v>9288</v>
      </c>
      <c r="G42" s="3069" t="s">
        <v>9154</v>
      </c>
      <c r="H42" s="3069" t="s">
        <v>9282</v>
      </c>
      <c r="I42" s="2969">
        <v>2000</v>
      </c>
      <c r="J42" s="2969">
        <v>0</v>
      </c>
      <c r="K42" s="2969">
        <v>8</v>
      </c>
      <c r="L42" s="2969">
        <f t="shared" si="79"/>
        <v>250</v>
      </c>
      <c r="M42" s="3070">
        <v>45665</v>
      </c>
      <c r="N42" s="3070">
        <v>45661</v>
      </c>
      <c r="O42" s="2996"/>
      <c r="P42" s="2996" t="s">
        <v>82</v>
      </c>
      <c r="Q42" s="3071"/>
      <c r="R42" s="3071"/>
      <c r="S42" s="3071"/>
      <c r="T42" s="3071"/>
      <c r="U42" s="3072" t="s">
        <v>455</v>
      </c>
      <c r="V42" s="2996"/>
      <c r="W42" s="3073" t="s">
        <v>7916</v>
      </c>
      <c r="X42" s="3073"/>
      <c r="Y42" s="3073" t="s">
        <v>9283</v>
      </c>
      <c r="Z42" s="3073"/>
      <c r="AA42" s="3073" t="s">
        <v>9284</v>
      </c>
      <c r="AB42" s="3091" t="s">
        <v>9285</v>
      </c>
      <c r="AC42" s="2969" t="s">
        <v>1257</v>
      </c>
      <c r="AD42" s="3075">
        <v>4.2362</v>
      </c>
      <c r="AE42" s="3076">
        <f t="shared" si="80"/>
        <v>8472.4</v>
      </c>
      <c r="AF42" s="2969" t="s">
        <v>9286</v>
      </c>
      <c r="AG42" s="3089" t="s">
        <v>9239</v>
      </c>
      <c r="AH42" s="2969" t="s">
        <v>416</v>
      </c>
      <c r="AI42" s="3077"/>
      <c r="AJ42" s="3078"/>
      <c r="AK42" s="3077"/>
      <c r="AL42" s="3078">
        <v>2000</v>
      </c>
      <c r="AM42" s="3092"/>
      <c r="AN42" s="3080"/>
      <c r="AO42" s="3079"/>
      <c r="AP42" s="3080">
        <f t="shared" si="81"/>
        <v>2000</v>
      </c>
      <c r="AQ42" s="3080"/>
      <c r="AR42" s="3080"/>
      <c r="AS42" s="3081"/>
      <c r="AT42" s="3082">
        <f t="shared" si="75"/>
        <v>500</v>
      </c>
      <c r="AU42" s="3083">
        <f t="shared" ref="AU42:AW42" si="94">AT42</f>
        <v>500</v>
      </c>
      <c r="AV42" s="3083">
        <f t="shared" si="94"/>
        <v>500</v>
      </c>
      <c r="AW42" s="3084">
        <f t="shared" si="94"/>
        <v>500</v>
      </c>
      <c r="AX42" s="3085"/>
      <c r="AY42" s="3080"/>
      <c r="AZ42" s="3080"/>
      <c r="BA42" s="3086"/>
      <c r="BB42" s="3087"/>
      <c r="BC42" s="3080"/>
      <c r="BD42" s="3080"/>
      <c r="BE42" s="3080"/>
      <c r="BF42" s="3080">
        <f t="shared" si="77"/>
        <v>0</v>
      </c>
      <c r="BG42" s="3080"/>
      <c r="BH42" s="3080"/>
      <c r="BI42" s="3080"/>
      <c r="BJ42" s="3080">
        <f t="shared" si="88"/>
        <v>2000</v>
      </c>
      <c r="BK42" s="3080"/>
      <c r="BL42" s="3080" t="s">
        <v>9164</v>
      </c>
      <c r="BM42" s="3102">
        <v>500</v>
      </c>
      <c r="BN42" s="3080">
        <f t="shared" si="89"/>
        <v>500</v>
      </c>
      <c r="BO42" s="3080">
        <f t="shared" si="90"/>
        <v>500</v>
      </c>
      <c r="BP42" s="3080">
        <f t="shared" si="91"/>
        <v>500</v>
      </c>
      <c r="BQ42" s="3080">
        <f t="shared" si="92"/>
        <v>500</v>
      </c>
      <c r="BR42" s="3080">
        <f t="shared" si="2"/>
        <v>0</v>
      </c>
      <c r="BS42" s="3088">
        <f t="shared" si="3"/>
        <v>514480</v>
      </c>
      <c r="BT42" s="3088">
        <f t="shared" ref="BT42:BW42" si="95">BT41-BN42</f>
        <v>143603.75</v>
      </c>
      <c r="BU42" s="3088">
        <f t="shared" si="95"/>
        <v>144811.75</v>
      </c>
      <c r="BV42" s="3088">
        <f t="shared" si="95"/>
        <v>144820.75</v>
      </c>
      <c r="BW42" s="3088">
        <f t="shared" si="95"/>
        <v>145154.083333333</v>
      </c>
      <c r="BX42" s="3088"/>
    </row>
    <row r="43" s="3031" customFormat="1" ht="32" customHeight="1" spans="1:76">
      <c r="A43" s="3063">
        <v>45579</v>
      </c>
      <c r="B43" s="3064" t="s">
        <v>6682</v>
      </c>
      <c r="C43" s="3065" t="s">
        <v>396</v>
      </c>
      <c r="D43" s="3066">
        <v>4500147521</v>
      </c>
      <c r="E43" s="3067" t="s">
        <v>9289</v>
      </c>
      <c r="F43" s="3066" t="s">
        <v>9290</v>
      </c>
      <c r="G43" s="3069" t="s">
        <v>9158</v>
      </c>
      <c r="H43" s="3069" t="s">
        <v>9155</v>
      </c>
      <c r="I43" s="2969">
        <v>1219</v>
      </c>
      <c r="J43" s="2969">
        <v>0</v>
      </c>
      <c r="K43" s="2969">
        <v>1</v>
      </c>
      <c r="L43" s="2969">
        <f t="shared" si="79"/>
        <v>1219</v>
      </c>
      <c r="M43" s="3070">
        <v>45666</v>
      </c>
      <c r="N43" s="3070">
        <v>45663</v>
      </c>
      <c r="O43" s="2996" t="s">
        <v>9291</v>
      </c>
      <c r="P43" s="2996" t="s">
        <v>82</v>
      </c>
      <c r="Q43" s="3071"/>
      <c r="R43" s="3071"/>
      <c r="S43" s="3071"/>
      <c r="T43" s="3071"/>
      <c r="U43" s="3072" t="s">
        <v>9292</v>
      </c>
      <c r="V43" s="2996"/>
      <c r="W43" s="3073" t="s">
        <v>729</v>
      </c>
      <c r="X43" s="3073" t="s">
        <v>98</v>
      </c>
      <c r="Y43" s="3073" t="s">
        <v>9293</v>
      </c>
      <c r="Z43" s="3073"/>
      <c r="AA43" s="3073"/>
      <c r="AB43" s="3091" t="s">
        <v>9294</v>
      </c>
      <c r="AC43" s="2969" t="s">
        <v>6688</v>
      </c>
      <c r="AD43" s="3075">
        <v>4.2109</v>
      </c>
      <c r="AE43" s="3076">
        <f t="shared" si="80"/>
        <v>5133.0871</v>
      </c>
      <c r="AF43" s="2969" t="s">
        <v>9295</v>
      </c>
      <c r="AG43" s="3069" t="s">
        <v>9163</v>
      </c>
      <c r="AH43" s="2969" t="s">
        <v>416</v>
      </c>
      <c r="AI43" s="3077"/>
      <c r="AJ43" s="3078"/>
      <c r="AK43" s="3077"/>
      <c r="AL43" s="3078">
        <f t="shared" si="83"/>
        <v>1219</v>
      </c>
      <c r="AM43" s="3103"/>
      <c r="AN43" s="3078"/>
      <c r="AO43" s="3079"/>
      <c r="AP43" s="3080">
        <f t="shared" si="81"/>
        <v>1219</v>
      </c>
      <c r="AQ43" s="3080"/>
      <c r="AR43" s="3080"/>
      <c r="AS43" s="3081"/>
      <c r="AT43" s="3082"/>
      <c r="AU43" s="3083"/>
      <c r="AV43" s="3083"/>
      <c r="AW43" s="3084"/>
      <c r="AX43" s="3085">
        <f t="shared" ref="AX43:AX66" si="96">I43/4</f>
        <v>304.75</v>
      </c>
      <c r="AY43" s="3080">
        <f>I43/4</f>
        <v>304.75</v>
      </c>
      <c r="AZ43" s="3080">
        <f>AY43</f>
        <v>304.75</v>
      </c>
      <c r="BA43" s="3086">
        <f>I43/4</f>
        <v>304.75</v>
      </c>
      <c r="BB43" s="3087"/>
      <c r="BC43" s="3080"/>
      <c r="BD43" s="3080"/>
      <c r="BE43" s="3080"/>
      <c r="BF43" s="3080">
        <f t="shared" si="77"/>
        <v>0</v>
      </c>
      <c r="BG43" s="3080"/>
      <c r="BH43" s="3080"/>
      <c r="BI43" s="3080"/>
      <c r="BJ43" s="3080"/>
      <c r="BK43" s="3080">
        <f t="shared" si="85"/>
        <v>1219</v>
      </c>
      <c r="BL43" s="3080" t="s">
        <v>9164</v>
      </c>
      <c r="BM43" s="3079"/>
      <c r="BN43" s="3080">
        <f t="shared" si="89"/>
        <v>304.75</v>
      </c>
      <c r="BO43" s="3080">
        <f t="shared" si="90"/>
        <v>304.75</v>
      </c>
      <c r="BP43" s="3080">
        <f t="shared" si="91"/>
        <v>304.75</v>
      </c>
      <c r="BQ43" s="3080">
        <f t="shared" si="92"/>
        <v>304.75</v>
      </c>
      <c r="BR43" s="3080">
        <f t="shared" si="2"/>
        <v>0</v>
      </c>
      <c r="BS43" s="3088">
        <f t="shared" si="3"/>
        <v>513699</v>
      </c>
      <c r="BT43" s="3088">
        <f t="shared" ref="BT43:BW43" si="97">BT42-BN43</f>
        <v>143299</v>
      </c>
      <c r="BU43" s="3088">
        <f t="shared" si="97"/>
        <v>144507</v>
      </c>
      <c r="BV43" s="3088">
        <f t="shared" si="97"/>
        <v>144516</v>
      </c>
      <c r="BW43" s="3088">
        <f t="shared" si="97"/>
        <v>144849.333333333</v>
      </c>
      <c r="BX43" s="3088"/>
    </row>
    <row r="44" s="3031" customFormat="1" ht="32" customHeight="1" spans="1:76">
      <c r="A44" s="3063">
        <v>45609</v>
      </c>
      <c r="B44" s="3064" t="s">
        <v>3771</v>
      </c>
      <c r="C44" s="3065" t="s">
        <v>3772</v>
      </c>
      <c r="D44" s="3066">
        <v>4500151230</v>
      </c>
      <c r="E44" s="3067" t="s">
        <v>8345</v>
      </c>
      <c r="F44" s="3066" t="s">
        <v>9296</v>
      </c>
      <c r="G44" s="3069" t="s">
        <v>9297</v>
      </c>
      <c r="H44" s="3069" t="s">
        <v>9155</v>
      </c>
      <c r="I44" s="2969">
        <v>6000</v>
      </c>
      <c r="J44" s="2969">
        <v>0</v>
      </c>
      <c r="K44" s="2969">
        <v>8</v>
      </c>
      <c r="L44" s="2969">
        <f t="shared" si="79"/>
        <v>750</v>
      </c>
      <c r="M44" s="3070">
        <v>45666</v>
      </c>
      <c r="N44" s="3070">
        <v>45663</v>
      </c>
      <c r="O44" s="2996"/>
      <c r="P44" s="2996" t="s">
        <v>82</v>
      </c>
      <c r="Q44" s="3071"/>
      <c r="R44" s="3071"/>
      <c r="S44" s="3071"/>
      <c r="T44" s="3071"/>
      <c r="U44" s="3072"/>
      <c r="V44" s="2996"/>
      <c r="W44" s="3073" t="s">
        <v>5226</v>
      </c>
      <c r="X44" s="3073"/>
      <c r="Y44" s="3073" t="s">
        <v>98</v>
      </c>
      <c r="Z44" s="3073"/>
      <c r="AA44" s="3073" t="s">
        <v>9298</v>
      </c>
      <c r="AB44" s="3091" t="s">
        <v>9299</v>
      </c>
      <c r="AC44" s="2969" t="s">
        <v>559</v>
      </c>
      <c r="AD44" s="3075">
        <v>4.2296</v>
      </c>
      <c r="AE44" s="3076">
        <f t="shared" si="80"/>
        <v>25377.6</v>
      </c>
      <c r="AF44" s="2969" t="s">
        <v>8349</v>
      </c>
      <c r="AG44" s="2969" t="s">
        <v>9297</v>
      </c>
      <c r="AH44" s="2969" t="s">
        <v>416</v>
      </c>
      <c r="AI44" s="3077"/>
      <c r="AJ44" s="3078"/>
      <c r="AK44" s="3077"/>
      <c r="AL44" s="3078"/>
      <c r="AM44" s="3092"/>
      <c r="AN44" s="3078">
        <f>I44</f>
        <v>6000</v>
      </c>
      <c r="AO44" s="3035"/>
      <c r="AP44" s="3034"/>
      <c r="AQ44" s="3080"/>
      <c r="AR44" s="3080"/>
      <c r="AS44" s="3081">
        <f>I44</f>
        <v>6000</v>
      </c>
      <c r="AT44" s="3082"/>
      <c r="AU44" s="3083"/>
      <c r="AV44" s="3083"/>
      <c r="AW44" s="3084">
        <f>I44/4</f>
        <v>1500</v>
      </c>
      <c r="AX44" s="3085">
        <f t="shared" si="96"/>
        <v>1500</v>
      </c>
      <c r="AY44" s="3080">
        <f>I44/4</f>
        <v>1500</v>
      </c>
      <c r="AZ44" s="3080">
        <f>I44/4</f>
        <v>1500</v>
      </c>
      <c r="BA44" s="3086"/>
      <c r="BB44" s="3087"/>
      <c r="BC44" s="3080"/>
      <c r="BD44" s="3080"/>
      <c r="BE44" s="3080"/>
      <c r="BF44" s="3080">
        <f t="shared" si="77"/>
        <v>0</v>
      </c>
      <c r="BG44" s="3080"/>
      <c r="BH44" s="3080"/>
      <c r="BI44" s="3080">
        <f>I44</f>
        <v>6000</v>
      </c>
      <c r="BJ44" s="3080"/>
      <c r="BK44" s="3080"/>
      <c r="BL44" s="3080" t="s">
        <v>9164</v>
      </c>
      <c r="BM44" s="3079"/>
      <c r="BN44" s="3080">
        <f t="shared" si="89"/>
        <v>1500</v>
      </c>
      <c r="BO44" s="3080">
        <f t="shared" si="90"/>
        <v>1500</v>
      </c>
      <c r="BP44" s="3080">
        <f t="shared" si="91"/>
        <v>1500</v>
      </c>
      <c r="BQ44" s="3080">
        <f t="shared" si="92"/>
        <v>1500</v>
      </c>
      <c r="BR44" s="3080">
        <f t="shared" si="2"/>
        <v>0</v>
      </c>
      <c r="BS44" s="3088">
        <f t="shared" si="3"/>
        <v>518480</v>
      </c>
      <c r="BT44" s="3088">
        <f t="shared" ref="BT44:BW44" si="98">BT43-BN44</f>
        <v>141799</v>
      </c>
      <c r="BU44" s="3088">
        <f t="shared" si="98"/>
        <v>143007</v>
      </c>
      <c r="BV44" s="3088">
        <f t="shared" si="98"/>
        <v>143016</v>
      </c>
      <c r="BW44" s="3088">
        <f t="shared" si="98"/>
        <v>143349.333333333</v>
      </c>
      <c r="BX44" s="3088"/>
    </row>
    <row r="45" s="3031" customFormat="1" ht="32" customHeight="1" spans="1:76">
      <c r="A45" s="3063">
        <v>45579</v>
      </c>
      <c r="B45" s="3064" t="s">
        <v>6682</v>
      </c>
      <c r="C45" s="3065" t="s">
        <v>396</v>
      </c>
      <c r="D45" s="3066">
        <v>4500147521</v>
      </c>
      <c r="E45" s="3067" t="s">
        <v>9300</v>
      </c>
      <c r="F45" s="3066" t="s">
        <v>9301</v>
      </c>
      <c r="G45" s="3069" t="s">
        <v>9158</v>
      </c>
      <c r="H45" s="3069" t="s">
        <v>9155</v>
      </c>
      <c r="I45" s="2969">
        <v>732</v>
      </c>
      <c r="J45" s="2969">
        <v>0</v>
      </c>
      <c r="K45" s="2969">
        <v>1</v>
      </c>
      <c r="L45" s="2969">
        <f t="shared" si="79"/>
        <v>732</v>
      </c>
      <c r="M45" s="3070">
        <v>45672</v>
      </c>
      <c r="N45" s="3070">
        <v>45668</v>
      </c>
      <c r="O45" s="2996" t="s">
        <v>9302</v>
      </c>
      <c r="P45" s="2996" t="s">
        <v>82</v>
      </c>
      <c r="Q45" s="3071"/>
      <c r="R45" s="3071"/>
      <c r="S45" s="3071"/>
      <c r="T45" s="3071"/>
      <c r="U45" s="3072" t="s">
        <v>147</v>
      </c>
      <c r="V45" s="2996"/>
      <c r="W45" s="3073" t="s">
        <v>729</v>
      </c>
      <c r="X45" s="3073" t="s">
        <v>98</v>
      </c>
      <c r="Y45" s="3073" t="s">
        <v>9293</v>
      </c>
      <c r="Z45" s="3073"/>
      <c r="AA45" s="3073"/>
      <c r="AB45" s="3091" t="s">
        <v>9294</v>
      </c>
      <c r="AC45" s="2969" t="s">
        <v>6688</v>
      </c>
      <c r="AD45" s="3075">
        <v>4.2109</v>
      </c>
      <c r="AE45" s="3076">
        <f t="shared" si="80"/>
        <v>3082.3788</v>
      </c>
      <c r="AF45" s="2969" t="s">
        <v>9303</v>
      </c>
      <c r="AG45" s="3069" t="s">
        <v>9163</v>
      </c>
      <c r="AH45" s="2969" t="s">
        <v>416</v>
      </c>
      <c r="AI45" s="3077"/>
      <c r="AJ45" s="3078"/>
      <c r="AK45" s="3077"/>
      <c r="AL45" s="3078">
        <f>I45</f>
        <v>732</v>
      </c>
      <c r="AM45" s="3103"/>
      <c r="AN45" s="3078"/>
      <c r="AO45" s="3079"/>
      <c r="AP45" s="3080">
        <f t="shared" ref="AP45:AP66" si="99">I45</f>
        <v>732</v>
      </c>
      <c r="AQ45" s="3080"/>
      <c r="AR45" s="3080"/>
      <c r="AS45" s="3081"/>
      <c r="AT45" s="3082"/>
      <c r="AU45" s="3083"/>
      <c r="AV45" s="3083"/>
      <c r="AW45" s="3084"/>
      <c r="AX45" s="3085">
        <f t="shared" si="96"/>
        <v>183</v>
      </c>
      <c r="AY45" s="3080">
        <f t="shared" ref="AY45:AY66" si="100">AX45</f>
        <v>183</v>
      </c>
      <c r="AZ45" s="3080">
        <f t="shared" ref="AZ45:AZ66" si="101">AX45</f>
        <v>183</v>
      </c>
      <c r="BA45" s="3086">
        <f t="shared" ref="BA45:BA66" si="102">AX45</f>
        <v>183</v>
      </c>
      <c r="BB45" s="3087"/>
      <c r="BC45" s="3080"/>
      <c r="BD45" s="3080"/>
      <c r="BE45" s="3080"/>
      <c r="BF45" s="3080">
        <f t="shared" si="77"/>
        <v>0</v>
      </c>
      <c r="BG45" s="3080"/>
      <c r="BH45" s="3080"/>
      <c r="BI45" s="3080"/>
      <c r="BJ45" s="3080"/>
      <c r="BK45" s="3080">
        <f t="shared" si="85"/>
        <v>732</v>
      </c>
      <c r="BL45" s="3080" t="s">
        <v>9164</v>
      </c>
      <c r="BM45" s="3079"/>
      <c r="BN45" s="3080">
        <f t="shared" si="89"/>
        <v>183</v>
      </c>
      <c r="BO45" s="3080">
        <f t="shared" si="90"/>
        <v>183</v>
      </c>
      <c r="BP45" s="3080">
        <f t="shared" si="91"/>
        <v>183</v>
      </c>
      <c r="BQ45" s="3080">
        <f t="shared" si="92"/>
        <v>183</v>
      </c>
      <c r="BR45" s="3080">
        <f t="shared" si="2"/>
        <v>0</v>
      </c>
      <c r="BS45" s="3088">
        <f t="shared" si="3"/>
        <v>513212</v>
      </c>
      <c r="BT45" s="3088">
        <f t="shared" ref="BT45:BW45" si="103">BT44-BN45</f>
        <v>141616</v>
      </c>
      <c r="BU45" s="3088">
        <f t="shared" si="103"/>
        <v>142824</v>
      </c>
      <c r="BV45" s="3088">
        <f t="shared" si="103"/>
        <v>142833</v>
      </c>
      <c r="BW45" s="3088">
        <f t="shared" si="103"/>
        <v>143166.333333333</v>
      </c>
      <c r="BX45" s="3088"/>
    </row>
    <row r="46" s="3031" customFormat="1" ht="32" customHeight="1" spans="1:76">
      <c r="A46" s="3063">
        <v>45603</v>
      </c>
      <c r="B46" s="3064" t="s">
        <v>407</v>
      </c>
      <c r="C46" s="3065" t="s">
        <v>91</v>
      </c>
      <c r="D46" s="3066">
        <v>4500150480</v>
      </c>
      <c r="E46" s="3067" t="s">
        <v>9304</v>
      </c>
      <c r="F46" s="3066" t="s">
        <v>9305</v>
      </c>
      <c r="G46" s="3069" t="s">
        <v>9154</v>
      </c>
      <c r="H46" s="3069" t="s">
        <v>9155</v>
      </c>
      <c r="I46" s="2969">
        <v>1600</v>
      </c>
      <c r="J46" s="2969">
        <v>0</v>
      </c>
      <c r="K46" s="2969">
        <v>8</v>
      </c>
      <c r="L46" s="2969">
        <f t="shared" si="79"/>
        <v>200</v>
      </c>
      <c r="M46" s="3070">
        <v>45677</v>
      </c>
      <c r="N46" s="3070">
        <v>45673</v>
      </c>
      <c r="O46" s="2996"/>
      <c r="P46" s="2996" t="s">
        <v>82</v>
      </c>
      <c r="Q46" s="3071"/>
      <c r="R46" s="3071"/>
      <c r="S46" s="3071"/>
      <c r="T46" s="3071"/>
      <c r="U46" s="3072" t="s">
        <v>144</v>
      </c>
      <c r="V46" s="2996"/>
      <c r="W46" s="3073" t="s">
        <v>390</v>
      </c>
      <c r="X46" s="3073"/>
      <c r="Y46" s="3073" t="s">
        <v>98</v>
      </c>
      <c r="Z46" s="3073" t="s">
        <v>630</v>
      </c>
      <c r="AA46" s="3073"/>
      <c r="AB46" s="3091" t="s">
        <v>413</v>
      </c>
      <c r="AC46" s="2969" t="s">
        <v>2595</v>
      </c>
      <c r="AD46" s="3075">
        <v>4.2475</v>
      </c>
      <c r="AE46" s="3076">
        <f t="shared" si="80"/>
        <v>6796</v>
      </c>
      <c r="AF46" s="2969" t="s">
        <v>9306</v>
      </c>
      <c r="AG46" s="2969" t="s">
        <v>9154</v>
      </c>
      <c r="AH46" s="2969" t="s">
        <v>416</v>
      </c>
      <c r="AI46" s="3077"/>
      <c r="AJ46" s="3078">
        <f t="shared" ref="AJ46:AJ59" si="104">I46</f>
        <v>1600</v>
      </c>
      <c r="AK46" s="3077"/>
      <c r="AL46" s="3078"/>
      <c r="AM46" s="3104"/>
      <c r="AN46" s="3078"/>
      <c r="AO46" s="3079"/>
      <c r="AP46" s="3080">
        <f t="shared" si="99"/>
        <v>1600</v>
      </c>
      <c r="AQ46" s="3080"/>
      <c r="AR46" s="3080"/>
      <c r="AS46" s="3081"/>
      <c r="AT46" s="3082"/>
      <c r="AU46" s="3083"/>
      <c r="AV46" s="3083"/>
      <c r="AW46" s="3084"/>
      <c r="AX46" s="3085">
        <f t="shared" si="96"/>
        <v>400</v>
      </c>
      <c r="AY46" s="3080">
        <f t="shared" si="100"/>
        <v>400</v>
      </c>
      <c r="AZ46" s="3080">
        <f t="shared" si="101"/>
        <v>400</v>
      </c>
      <c r="BA46" s="3086">
        <f t="shared" si="102"/>
        <v>400</v>
      </c>
      <c r="BB46" s="3087"/>
      <c r="BC46" s="3080"/>
      <c r="BD46" s="3080"/>
      <c r="BE46" s="3080"/>
      <c r="BF46" s="3080">
        <f t="shared" si="77"/>
        <v>0</v>
      </c>
      <c r="BG46" s="3080"/>
      <c r="BH46" s="3080"/>
      <c r="BI46" s="3080"/>
      <c r="BJ46" s="3080">
        <f t="shared" si="88"/>
        <v>1600</v>
      </c>
      <c r="BK46" s="3080"/>
      <c r="BL46" s="3080" t="s">
        <v>9164</v>
      </c>
      <c r="BM46" s="3096"/>
      <c r="BN46" s="3080">
        <f t="shared" si="89"/>
        <v>400</v>
      </c>
      <c r="BO46" s="3080">
        <f t="shared" si="90"/>
        <v>400</v>
      </c>
      <c r="BP46" s="3080">
        <f t="shared" si="91"/>
        <v>400</v>
      </c>
      <c r="BQ46" s="3080">
        <f t="shared" si="92"/>
        <v>400</v>
      </c>
      <c r="BR46" s="3080">
        <f t="shared" si="2"/>
        <v>0</v>
      </c>
      <c r="BS46" s="3088">
        <f t="shared" si="3"/>
        <v>514080</v>
      </c>
      <c r="BT46" s="3088">
        <f t="shared" ref="BT46:BW46" si="105">BT45-BN46</f>
        <v>141216</v>
      </c>
      <c r="BU46" s="3088">
        <f t="shared" si="105"/>
        <v>142424</v>
      </c>
      <c r="BV46" s="3088">
        <f t="shared" si="105"/>
        <v>142433</v>
      </c>
      <c r="BW46" s="3088">
        <f t="shared" si="105"/>
        <v>142766.333333333</v>
      </c>
      <c r="BX46" s="3088"/>
    </row>
    <row r="47" s="3031" customFormat="1" ht="32" customHeight="1" spans="1:76">
      <c r="A47" s="3063">
        <v>45621</v>
      </c>
      <c r="B47" s="3064" t="s">
        <v>2732</v>
      </c>
      <c r="C47" s="3065" t="s">
        <v>840</v>
      </c>
      <c r="D47" s="3066">
        <v>4500152174</v>
      </c>
      <c r="E47" s="3067" t="s">
        <v>9307</v>
      </c>
      <c r="F47" s="3066" t="s">
        <v>9308</v>
      </c>
      <c r="G47" s="3069" t="s">
        <v>9154</v>
      </c>
      <c r="H47" s="3069" t="s">
        <v>9155</v>
      </c>
      <c r="I47" s="2969">
        <v>128</v>
      </c>
      <c r="J47" s="2969">
        <v>0</v>
      </c>
      <c r="K47" s="2969">
        <v>8</v>
      </c>
      <c r="L47" s="2969">
        <f t="shared" si="79"/>
        <v>16</v>
      </c>
      <c r="M47" s="3070">
        <v>45684</v>
      </c>
      <c r="N47" s="3070">
        <v>45680</v>
      </c>
      <c r="O47" s="2996"/>
      <c r="P47" s="2996" t="s">
        <v>82</v>
      </c>
      <c r="Q47" s="3071"/>
      <c r="R47" s="3071"/>
      <c r="S47" s="3071"/>
      <c r="T47" s="3071"/>
      <c r="U47" s="3072" t="s">
        <v>144</v>
      </c>
      <c r="V47" s="2996"/>
      <c r="W47" s="3073" t="s">
        <v>402</v>
      </c>
      <c r="X47" s="3073"/>
      <c r="Y47" s="3073" t="s">
        <v>98</v>
      </c>
      <c r="Z47" s="3073"/>
      <c r="AA47" s="3073"/>
      <c r="AB47" s="3091" t="s">
        <v>9309</v>
      </c>
      <c r="AC47" s="2969" t="s">
        <v>2735</v>
      </c>
      <c r="AD47" s="3075">
        <v>4.2589</v>
      </c>
      <c r="AE47" s="3076">
        <f t="shared" si="80"/>
        <v>545.1392</v>
      </c>
      <c r="AF47" s="2969" t="s">
        <v>9310</v>
      </c>
      <c r="AG47" s="2969" t="s">
        <v>9154</v>
      </c>
      <c r="AH47" s="2969" t="s">
        <v>416</v>
      </c>
      <c r="AI47" s="3077"/>
      <c r="AJ47" s="3078">
        <f t="shared" si="104"/>
        <v>128</v>
      </c>
      <c r="AK47" s="3077"/>
      <c r="AL47" s="3078"/>
      <c r="AM47" s="3103"/>
      <c r="AN47" s="3078"/>
      <c r="AO47" s="3079"/>
      <c r="AP47" s="3080">
        <f t="shared" si="99"/>
        <v>128</v>
      </c>
      <c r="AQ47" s="3080"/>
      <c r="AR47" s="3080"/>
      <c r="AS47" s="3081"/>
      <c r="AT47" s="3082"/>
      <c r="AU47" s="3083"/>
      <c r="AV47" s="3083"/>
      <c r="AW47" s="3084"/>
      <c r="AX47" s="3085">
        <f t="shared" si="96"/>
        <v>32</v>
      </c>
      <c r="AY47" s="3080">
        <f t="shared" si="100"/>
        <v>32</v>
      </c>
      <c r="AZ47" s="3080">
        <f t="shared" si="101"/>
        <v>32</v>
      </c>
      <c r="BA47" s="3086">
        <f t="shared" si="102"/>
        <v>32</v>
      </c>
      <c r="BB47" s="3087"/>
      <c r="BC47" s="3080"/>
      <c r="BD47" s="3080"/>
      <c r="BE47" s="3080"/>
      <c r="BF47" s="3080">
        <f t="shared" si="77"/>
        <v>0</v>
      </c>
      <c r="BG47" s="3080"/>
      <c r="BH47" s="3080"/>
      <c r="BI47" s="3080"/>
      <c r="BJ47" s="3080">
        <f t="shared" si="88"/>
        <v>128</v>
      </c>
      <c r="BK47" s="3080"/>
      <c r="BL47" s="3080" t="s">
        <v>9164</v>
      </c>
      <c r="BM47" s="3102"/>
      <c r="BN47" s="3080">
        <f t="shared" si="89"/>
        <v>32</v>
      </c>
      <c r="BO47" s="3080">
        <f t="shared" si="90"/>
        <v>32</v>
      </c>
      <c r="BP47" s="3080">
        <f t="shared" si="91"/>
        <v>32</v>
      </c>
      <c r="BQ47" s="3080">
        <f t="shared" si="92"/>
        <v>32</v>
      </c>
      <c r="BR47" s="3080">
        <f t="shared" si="2"/>
        <v>0</v>
      </c>
      <c r="BS47" s="3088">
        <f t="shared" si="3"/>
        <v>512608</v>
      </c>
      <c r="BT47" s="3088">
        <f t="shared" ref="BT47:BW47" si="106">BT46-BN47</f>
        <v>141184</v>
      </c>
      <c r="BU47" s="3088">
        <f t="shared" si="106"/>
        <v>142392</v>
      </c>
      <c r="BV47" s="3088">
        <f t="shared" si="106"/>
        <v>142401</v>
      </c>
      <c r="BW47" s="3088">
        <f t="shared" si="106"/>
        <v>142734.333333333</v>
      </c>
      <c r="BX47" s="3088"/>
    </row>
    <row r="48" s="3031" customFormat="1" ht="32" customHeight="1" spans="1:76">
      <c r="A48" s="3063">
        <v>45621</v>
      </c>
      <c r="B48" s="3064" t="s">
        <v>2732</v>
      </c>
      <c r="C48" s="3065" t="s">
        <v>840</v>
      </c>
      <c r="D48" s="3066">
        <v>4500152173</v>
      </c>
      <c r="E48" s="3067" t="s">
        <v>9311</v>
      </c>
      <c r="F48" s="3066" t="s">
        <v>9312</v>
      </c>
      <c r="G48" s="3069" t="s">
        <v>9154</v>
      </c>
      <c r="H48" s="3069" t="s">
        <v>9155</v>
      </c>
      <c r="I48" s="2969">
        <v>376</v>
      </c>
      <c r="J48" s="2969">
        <v>0</v>
      </c>
      <c r="K48" s="2969">
        <v>8</v>
      </c>
      <c r="L48" s="2969">
        <f t="shared" si="79"/>
        <v>47</v>
      </c>
      <c r="M48" s="3070">
        <v>45684</v>
      </c>
      <c r="N48" s="3070">
        <v>45680</v>
      </c>
      <c r="O48" s="2996"/>
      <c r="P48" s="2996" t="s">
        <v>82</v>
      </c>
      <c r="Q48" s="3071"/>
      <c r="R48" s="3071"/>
      <c r="S48" s="3071"/>
      <c r="T48" s="3071"/>
      <c r="U48" s="3072" t="s">
        <v>147</v>
      </c>
      <c r="V48" s="2996"/>
      <c r="W48" s="3073" t="s">
        <v>402</v>
      </c>
      <c r="X48" s="3073"/>
      <c r="Y48" s="3073" t="s">
        <v>98</v>
      </c>
      <c r="Z48" s="3073"/>
      <c r="AA48" s="3073"/>
      <c r="AB48" s="3091" t="s">
        <v>9313</v>
      </c>
      <c r="AC48" s="2969" t="s">
        <v>2735</v>
      </c>
      <c r="AD48" s="3075">
        <v>4.2589</v>
      </c>
      <c r="AE48" s="3076">
        <f t="shared" si="80"/>
        <v>1601.3464</v>
      </c>
      <c r="AF48" s="2969" t="s">
        <v>9314</v>
      </c>
      <c r="AG48" s="2969" t="s">
        <v>9154</v>
      </c>
      <c r="AH48" s="2969" t="s">
        <v>416</v>
      </c>
      <c r="AI48" s="3077"/>
      <c r="AJ48" s="3078">
        <f t="shared" si="104"/>
        <v>376</v>
      </c>
      <c r="AK48" s="3077"/>
      <c r="AL48" s="3078"/>
      <c r="AM48" s="3092"/>
      <c r="AN48" s="3078"/>
      <c r="AO48" s="3079"/>
      <c r="AP48" s="3080">
        <f t="shared" si="99"/>
        <v>376</v>
      </c>
      <c r="AQ48" s="3080"/>
      <c r="AR48" s="3080"/>
      <c r="AS48" s="3081"/>
      <c r="AT48" s="3082"/>
      <c r="AU48" s="3083"/>
      <c r="AV48" s="3083"/>
      <c r="AW48" s="3084"/>
      <c r="AX48" s="3085">
        <f t="shared" si="96"/>
        <v>94</v>
      </c>
      <c r="AY48" s="3080">
        <f t="shared" si="100"/>
        <v>94</v>
      </c>
      <c r="AZ48" s="3080">
        <f t="shared" si="101"/>
        <v>94</v>
      </c>
      <c r="BA48" s="3086">
        <f t="shared" si="102"/>
        <v>94</v>
      </c>
      <c r="BB48" s="3087"/>
      <c r="BC48" s="3080"/>
      <c r="BD48" s="3080"/>
      <c r="BE48" s="3080"/>
      <c r="BF48" s="3080">
        <f t="shared" si="77"/>
        <v>0</v>
      </c>
      <c r="BG48" s="3080"/>
      <c r="BH48" s="3080"/>
      <c r="BI48" s="3080"/>
      <c r="BJ48" s="3080">
        <f t="shared" si="88"/>
        <v>376</v>
      </c>
      <c r="BK48" s="3080"/>
      <c r="BL48" s="3080" t="s">
        <v>9164</v>
      </c>
      <c r="BM48" s="3097"/>
      <c r="BN48" s="3080">
        <f t="shared" si="89"/>
        <v>94</v>
      </c>
      <c r="BO48" s="3080">
        <f t="shared" si="90"/>
        <v>94</v>
      </c>
      <c r="BP48" s="3080">
        <f t="shared" si="91"/>
        <v>94</v>
      </c>
      <c r="BQ48" s="3080">
        <f t="shared" si="92"/>
        <v>94</v>
      </c>
      <c r="BR48" s="3080">
        <f t="shared" si="2"/>
        <v>0</v>
      </c>
      <c r="BS48" s="3088">
        <f t="shared" si="3"/>
        <v>512856</v>
      </c>
      <c r="BT48" s="3088">
        <f t="shared" ref="BT48:BW48" si="107">BT47-BN48</f>
        <v>141090</v>
      </c>
      <c r="BU48" s="3088">
        <f t="shared" si="107"/>
        <v>142298</v>
      </c>
      <c r="BV48" s="3088">
        <f t="shared" si="107"/>
        <v>142307</v>
      </c>
      <c r="BW48" s="3088">
        <f t="shared" si="107"/>
        <v>142640.333333333</v>
      </c>
      <c r="BX48" s="3088"/>
    </row>
    <row r="49" s="3031" customFormat="1" ht="32" customHeight="1" spans="1:245">
      <c r="A49" s="3063">
        <v>45586</v>
      </c>
      <c r="B49" s="3064" t="s">
        <v>90</v>
      </c>
      <c r="C49" s="3065" t="s">
        <v>91</v>
      </c>
      <c r="D49" s="3066">
        <v>4500147799</v>
      </c>
      <c r="E49" s="3067" t="s">
        <v>9203</v>
      </c>
      <c r="F49" s="3066" t="s">
        <v>9315</v>
      </c>
      <c r="G49" s="3069" t="s">
        <v>9154</v>
      </c>
      <c r="H49" s="3069" t="s">
        <v>9155</v>
      </c>
      <c r="I49" s="2969">
        <v>800</v>
      </c>
      <c r="J49" s="2969">
        <v>0</v>
      </c>
      <c r="K49" s="2969">
        <v>8</v>
      </c>
      <c r="L49" s="2969">
        <f t="shared" si="79"/>
        <v>100</v>
      </c>
      <c r="M49" s="3070">
        <v>45677</v>
      </c>
      <c r="N49" s="3070">
        <v>45673</v>
      </c>
      <c r="O49" s="2996"/>
      <c r="P49" s="2996" t="s">
        <v>82</v>
      </c>
      <c r="Q49" s="3071"/>
      <c r="R49" s="3071"/>
      <c r="S49" s="3071"/>
      <c r="T49" s="3071"/>
      <c r="U49" s="3072" t="s">
        <v>141</v>
      </c>
      <c r="V49" s="2996"/>
      <c r="W49" s="3073" t="s">
        <v>97</v>
      </c>
      <c r="X49" s="3073" t="s">
        <v>98</v>
      </c>
      <c r="Y49" s="3073" t="s">
        <v>98</v>
      </c>
      <c r="Z49" s="3073" t="s">
        <v>9316</v>
      </c>
      <c r="AA49" s="3073"/>
      <c r="AB49" s="3091" t="s">
        <v>100</v>
      </c>
      <c r="AC49" s="2969" t="s">
        <v>101</v>
      </c>
      <c r="AD49" s="3075">
        <v>4.0921</v>
      </c>
      <c r="AE49" s="3076">
        <f t="shared" si="80"/>
        <v>3273.68</v>
      </c>
      <c r="AF49" s="2969"/>
      <c r="AG49" s="2969" t="s">
        <v>9154</v>
      </c>
      <c r="AH49" s="2969" t="s">
        <v>416</v>
      </c>
      <c r="AI49" s="3077"/>
      <c r="AJ49" s="3078">
        <f t="shared" si="104"/>
        <v>800</v>
      </c>
      <c r="AK49" s="3077"/>
      <c r="AL49" s="3078"/>
      <c r="AM49" s="3095"/>
      <c r="AN49" s="3078"/>
      <c r="AO49" s="3079"/>
      <c r="AP49" s="3080">
        <f t="shared" si="99"/>
        <v>800</v>
      </c>
      <c r="AQ49" s="3080"/>
      <c r="AR49" s="3080"/>
      <c r="AS49" s="3081"/>
      <c r="AT49" s="3082"/>
      <c r="AU49" s="3083"/>
      <c r="AV49" s="3083"/>
      <c r="AW49" s="3084"/>
      <c r="AX49" s="3085">
        <f t="shared" si="96"/>
        <v>200</v>
      </c>
      <c r="AY49" s="3080">
        <f t="shared" si="100"/>
        <v>200</v>
      </c>
      <c r="AZ49" s="3080">
        <f t="shared" si="101"/>
        <v>200</v>
      </c>
      <c r="BA49" s="3086">
        <f t="shared" si="102"/>
        <v>200</v>
      </c>
      <c r="BB49" s="3087"/>
      <c r="BC49" s="3080"/>
      <c r="BD49" s="3080"/>
      <c r="BE49" s="3080"/>
      <c r="BF49" s="3080">
        <f t="shared" si="77"/>
        <v>0</v>
      </c>
      <c r="BG49" s="3080"/>
      <c r="BH49" s="3080"/>
      <c r="BI49" s="3080"/>
      <c r="BJ49" s="3080">
        <f t="shared" si="88"/>
        <v>800</v>
      </c>
      <c r="BK49" s="3080"/>
      <c r="BL49" s="3080" t="s">
        <v>9164</v>
      </c>
      <c r="BM49" s="3096"/>
      <c r="BN49" s="3080">
        <f t="shared" si="89"/>
        <v>200</v>
      </c>
      <c r="BO49" s="3080">
        <f t="shared" si="90"/>
        <v>200</v>
      </c>
      <c r="BP49" s="3080">
        <f t="shared" si="91"/>
        <v>200</v>
      </c>
      <c r="BQ49" s="3080">
        <f t="shared" si="92"/>
        <v>200</v>
      </c>
      <c r="BR49" s="3080">
        <f t="shared" si="2"/>
        <v>0</v>
      </c>
      <c r="BS49" s="3088">
        <f t="shared" si="3"/>
        <v>513280</v>
      </c>
      <c r="BT49" s="3088">
        <f t="shared" ref="BT49:BW49" si="108">BT48-BN49</f>
        <v>140890</v>
      </c>
      <c r="BU49" s="3088">
        <f t="shared" si="108"/>
        <v>142098</v>
      </c>
      <c r="BV49" s="3088">
        <f t="shared" si="108"/>
        <v>142107</v>
      </c>
      <c r="BW49" s="3088">
        <f t="shared" si="108"/>
        <v>142440.333333333</v>
      </c>
      <c r="BX49" s="3088"/>
    </row>
    <row r="50" s="3031" customFormat="1" ht="32" customHeight="1" spans="1:245">
      <c r="A50" s="3063">
        <v>45586</v>
      </c>
      <c r="B50" s="3064" t="s">
        <v>90</v>
      </c>
      <c r="C50" s="3065" t="s">
        <v>91</v>
      </c>
      <c r="D50" s="3066">
        <v>4500147801</v>
      </c>
      <c r="E50" s="3067" t="s">
        <v>9205</v>
      </c>
      <c r="F50" s="3066" t="s">
        <v>9317</v>
      </c>
      <c r="G50" s="3069" t="s">
        <v>9154</v>
      </c>
      <c r="H50" s="3069" t="s">
        <v>9155</v>
      </c>
      <c r="I50" s="2969">
        <v>1000</v>
      </c>
      <c r="J50" s="2969">
        <v>0</v>
      </c>
      <c r="K50" s="2969">
        <v>8</v>
      </c>
      <c r="L50" s="2969">
        <f t="shared" si="79"/>
        <v>125</v>
      </c>
      <c r="M50" s="3070">
        <v>45677</v>
      </c>
      <c r="N50" s="3070">
        <v>45673</v>
      </c>
      <c r="O50" s="2996"/>
      <c r="P50" s="2996" t="s">
        <v>82</v>
      </c>
      <c r="Q50" s="3071"/>
      <c r="R50" s="3071"/>
      <c r="S50" s="3071"/>
      <c r="T50" s="3071"/>
      <c r="U50" s="3072" t="s">
        <v>144</v>
      </c>
      <c r="V50" s="2996"/>
      <c r="W50" s="3073" t="s">
        <v>97</v>
      </c>
      <c r="X50" s="3073" t="s">
        <v>98</v>
      </c>
      <c r="Y50" s="3073" t="s">
        <v>98</v>
      </c>
      <c r="Z50" s="3073" t="s">
        <v>9316</v>
      </c>
      <c r="AA50" s="3073"/>
      <c r="AB50" s="3091" t="s">
        <v>100</v>
      </c>
      <c r="AC50" s="2969" t="s">
        <v>101</v>
      </c>
      <c r="AD50" s="3075">
        <v>4.2475</v>
      </c>
      <c r="AE50" s="3076">
        <f t="shared" si="80"/>
        <v>4247.5</v>
      </c>
      <c r="AF50" s="2969"/>
      <c r="AG50" s="2969" t="s">
        <v>9154</v>
      </c>
      <c r="AH50" s="2969" t="s">
        <v>416</v>
      </c>
      <c r="AI50" s="3077"/>
      <c r="AJ50" s="3078">
        <f t="shared" si="104"/>
        <v>1000</v>
      </c>
      <c r="AK50" s="3077"/>
      <c r="AL50" s="3078"/>
      <c r="AM50" s="3095"/>
      <c r="AN50" s="3078"/>
      <c r="AO50" s="3079"/>
      <c r="AP50" s="3080">
        <f t="shared" si="99"/>
        <v>1000</v>
      </c>
      <c r="AQ50" s="3080"/>
      <c r="AR50" s="3080"/>
      <c r="AS50" s="3081"/>
      <c r="AT50" s="3082"/>
      <c r="AU50" s="3083"/>
      <c r="AV50" s="3083"/>
      <c r="AW50" s="3084"/>
      <c r="AX50" s="3085">
        <f t="shared" si="96"/>
        <v>250</v>
      </c>
      <c r="AY50" s="3080">
        <f t="shared" si="100"/>
        <v>250</v>
      </c>
      <c r="AZ50" s="3080">
        <f t="shared" si="101"/>
        <v>250</v>
      </c>
      <c r="BA50" s="3086">
        <f t="shared" si="102"/>
        <v>250</v>
      </c>
      <c r="BB50" s="3087"/>
      <c r="BC50" s="3080"/>
      <c r="BD50" s="3080"/>
      <c r="BE50" s="3080"/>
      <c r="BF50" s="3080">
        <f t="shared" si="77"/>
        <v>0</v>
      </c>
      <c r="BG50" s="3080"/>
      <c r="BH50" s="3080"/>
      <c r="BI50" s="3080"/>
      <c r="BJ50" s="3080">
        <f t="shared" si="88"/>
        <v>1000</v>
      </c>
      <c r="BK50" s="3080"/>
      <c r="BL50" s="3080" t="s">
        <v>9164</v>
      </c>
      <c r="BM50" s="3096"/>
      <c r="BN50" s="3080">
        <f t="shared" si="89"/>
        <v>250</v>
      </c>
      <c r="BO50" s="3080">
        <f t="shared" si="90"/>
        <v>250</v>
      </c>
      <c r="BP50" s="3080">
        <f t="shared" si="91"/>
        <v>250</v>
      </c>
      <c r="BQ50" s="3080">
        <f t="shared" si="92"/>
        <v>250</v>
      </c>
      <c r="BR50" s="3080">
        <f t="shared" si="2"/>
        <v>0</v>
      </c>
      <c r="BS50" s="3088">
        <f t="shared" si="3"/>
        <v>513480</v>
      </c>
      <c r="BT50" s="3088">
        <f t="shared" ref="BT50:BW50" si="109">BT49-BN50</f>
        <v>140640</v>
      </c>
      <c r="BU50" s="3088">
        <f t="shared" si="109"/>
        <v>141848</v>
      </c>
      <c r="BV50" s="3088">
        <f t="shared" si="109"/>
        <v>141857</v>
      </c>
      <c r="BW50" s="3088">
        <f t="shared" si="109"/>
        <v>142190.333333333</v>
      </c>
      <c r="BX50" s="3088"/>
    </row>
    <row r="51" s="3031" customFormat="1" ht="32" customHeight="1" spans="1:245">
      <c r="A51" s="3063">
        <v>45586</v>
      </c>
      <c r="B51" s="3064" t="s">
        <v>90</v>
      </c>
      <c r="C51" s="3065" t="s">
        <v>91</v>
      </c>
      <c r="D51" s="3066">
        <v>4500147803</v>
      </c>
      <c r="E51" s="3067" t="s">
        <v>9205</v>
      </c>
      <c r="F51" s="3066" t="s">
        <v>9318</v>
      </c>
      <c r="G51" s="3069" t="s">
        <v>9154</v>
      </c>
      <c r="H51" s="3069" t="s">
        <v>9155</v>
      </c>
      <c r="I51" s="2969">
        <v>1000</v>
      </c>
      <c r="J51" s="2969">
        <v>0</v>
      </c>
      <c r="K51" s="2969">
        <v>8</v>
      </c>
      <c r="L51" s="2969">
        <f t="shared" si="79"/>
        <v>125</v>
      </c>
      <c r="M51" s="3070">
        <v>45677</v>
      </c>
      <c r="N51" s="3070">
        <v>45673</v>
      </c>
      <c r="O51" s="2996"/>
      <c r="P51" s="2996" t="s">
        <v>82</v>
      </c>
      <c r="Q51" s="3071"/>
      <c r="R51" s="3071"/>
      <c r="S51" s="3071"/>
      <c r="T51" s="3071"/>
      <c r="U51" s="3072" t="s">
        <v>147</v>
      </c>
      <c r="V51" s="2996"/>
      <c r="W51" s="3073" t="s">
        <v>97</v>
      </c>
      <c r="X51" s="3073" t="s">
        <v>98</v>
      </c>
      <c r="Y51" s="3073" t="s">
        <v>98</v>
      </c>
      <c r="Z51" s="3073" t="s">
        <v>9316</v>
      </c>
      <c r="AA51" s="3073"/>
      <c r="AB51" s="3091" t="s">
        <v>100</v>
      </c>
      <c r="AC51" s="2969" t="s">
        <v>101</v>
      </c>
      <c r="AD51" s="3075">
        <v>4.2475</v>
      </c>
      <c r="AE51" s="3076">
        <f t="shared" si="80"/>
        <v>4247.5</v>
      </c>
      <c r="AF51" s="2969"/>
      <c r="AG51" s="2969" t="s">
        <v>9154</v>
      </c>
      <c r="AH51" s="2969" t="s">
        <v>416</v>
      </c>
      <c r="AI51" s="3077"/>
      <c r="AJ51" s="3078">
        <f t="shared" si="104"/>
        <v>1000</v>
      </c>
      <c r="AK51" s="3077"/>
      <c r="AL51" s="3078"/>
      <c r="AM51" s="3095"/>
      <c r="AN51" s="3078"/>
      <c r="AO51" s="3079"/>
      <c r="AP51" s="3080">
        <f t="shared" si="99"/>
        <v>1000</v>
      </c>
      <c r="AQ51" s="3080"/>
      <c r="AR51" s="3080"/>
      <c r="AS51" s="3081"/>
      <c r="AT51" s="3082"/>
      <c r="AU51" s="3083"/>
      <c r="AV51" s="3083"/>
      <c r="AW51" s="3084"/>
      <c r="AX51" s="3085">
        <f t="shared" si="96"/>
        <v>250</v>
      </c>
      <c r="AY51" s="3080">
        <f t="shared" si="100"/>
        <v>250</v>
      </c>
      <c r="AZ51" s="3080">
        <f t="shared" si="101"/>
        <v>250</v>
      </c>
      <c r="BA51" s="3086">
        <f t="shared" si="102"/>
        <v>250</v>
      </c>
      <c r="BB51" s="3087"/>
      <c r="BC51" s="3080"/>
      <c r="BD51" s="3080"/>
      <c r="BE51" s="3080"/>
      <c r="BF51" s="3080">
        <f t="shared" si="77"/>
        <v>0</v>
      </c>
      <c r="BG51" s="3080"/>
      <c r="BH51" s="3080"/>
      <c r="BI51" s="3080"/>
      <c r="BJ51" s="3080">
        <f t="shared" si="88"/>
        <v>1000</v>
      </c>
      <c r="BK51" s="3080"/>
      <c r="BL51" s="3080" t="s">
        <v>9164</v>
      </c>
      <c r="BM51" s="3096"/>
      <c r="BN51" s="3080">
        <f t="shared" si="89"/>
        <v>250</v>
      </c>
      <c r="BO51" s="3080">
        <f t="shared" si="90"/>
        <v>250</v>
      </c>
      <c r="BP51" s="3080">
        <f t="shared" si="91"/>
        <v>250</v>
      </c>
      <c r="BQ51" s="3080">
        <f t="shared" si="92"/>
        <v>250</v>
      </c>
      <c r="BR51" s="3080">
        <f t="shared" si="2"/>
        <v>0</v>
      </c>
      <c r="BS51" s="3088">
        <f t="shared" si="3"/>
        <v>513480</v>
      </c>
      <c r="BT51" s="3088">
        <f t="shared" ref="BT51:BW51" si="110">BT50-BN51</f>
        <v>140390</v>
      </c>
      <c r="BU51" s="3088">
        <f t="shared" si="110"/>
        <v>141598</v>
      </c>
      <c r="BV51" s="3088">
        <f t="shared" si="110"/>
        <v>141607</v>
      </c>
      <c r="BW51" s="3088">
        <f t="shared" si="110"/>
        <v>141940.333333333</v>
      </c>
      <c r="BX51" s="3088"/>
    </row>
    <row r="52" s="3031" customFormat="1" ht="32" customHeight="1" spans="1:245">
      <c r="A52" s="3063">
        <v>45586</v>
      </c>
      <c r="B52" s="3064" t="s">
        <v>90</v>
      </c>
      <c r="C52" s="3065" t="s">
        <v>91</v>
      </c>
      <c r="D52" s="3066">
        <v>4500147800</v>
      </c>
      <c r="E52" s="3067" t="s">
        <v>9203</v>
      </c>
      <c r="F52" s="3066" t="s">
        <v>9319</v>
      </c>
      <c r="G52" s="3069" t="s">
        <v>9154</v>
      </c>
      <c r="H52" s="3069" t="s">
        <v>9155</v>
      </c>
      <c r="I52" s="2969">
        <v>800</v>
      </c>
      <c r="J52" s="2969">
        <v>0</v>
      </c>
      <c r="K52" s="2969">
        <v>8</v>
      </c>
      <c r="L52" s="2969">
        <f t="shared" si="79"/>
        <v>100</v>
      </c>
      <c r="M52" s="3070">
        <v>45677</v>
      </c>
      <c r="N52" s="3070">
        <v>45673</v>
      </c>
      <c r="O52" s="2996"/>
      <c r="P52" s="2996" t="s">
        <v>82</v>
      </c>
      <c r="Q52" s="3071"/>
      <c r="R52" s="3071"/>
      <c r="S52" s="3071"/>
      <c r="T52" s="3071"/>
      <c r="U52" s="3105" t="s">
        <v>141</v>
      </c>
      <c r="V52" s="2996"/>
      <c r="W52" s="3073" t="s">
        <v>97</v>
      </c>
      <c r="X52" s="3073" t="s">
        <v>98</v>
      </c>
      <c r="Y52" s="3073" t="s">
        <v>98</v>
      </c>
      <c r="Z52" s="3073" t="s">
        <v>9316</v>
      </c>
      <c r="AA52" s="3073"/>
      <c r="AB52" s="3091" t="s">
        <v>100</v>
      </c>
      <c r="AC52" s="2969" t="s">
        <v>101</v>
      </c>
      <c r="AD52" s="3075">
        <v>4.2475</v>
      </c>
      <c r="AE52" s="3076">
        <f t="shared" si="80"/>
        <v>3398</v>
      </c>
      <c r="AF52" s="2969"/>
      <c r="AG52" s="2969" t="s">
        <v>9154</v>
      </c>
      <c r="AH52" s="2969" t="s">
        <v>416</v>
      </c>
      <c r="AI52" s="3077"/>
      <c r="AJ52" s="3078">
        <f t="shared" si="104"/>
        <v>800</v>
      </c>
      <c r="AK52" s="3077"/>
      <c r="AL52" s="3078"/>
      <c r="AM52" s="3095"/>
      <c r="AN52" s="3078"/>
      <c r="AO52" s="3079"/>
      <c r="AP52" s="3080">
        <f t="shared" si="99"/>
        <v>800</v>
      </c>
      <c r="AQ52" s="3080"/>
      <c r="AR52" s="3080"/>
      <c r="AS52" s="3081"/>
      <c r="AT52" s="3082"/>
      <c r="AU52" s="3083"/>
      <c r="AV52" s="3083"/>
      <c r="AW52" s="3084"/>
      <c r="AX52" s="3085">
        <f t="shared" si="96"/>
        <v>200</v>
      </c>
      <c r="AY52" s="3080">
        <f t="shared" si="100"/>
        <v>200</v>
      </c>
      <c r="AZ52" s="3080">
        <f t="shared" si="101"/>
        <v>200</v>
      </c>
      <c r="BA52" s="3086">
        <f t="shared" si="102"/>
        <v>200</v>
      </c>
      <c r="BB52" s="3087"/>
      <c r="BC52" s="3080"/>
      <c r="BD52" s="3080"/>
      <c r="BE52" s="3080"/>
      <c r="BF52" s="3080">
        <f t="shared" si="77"/>
        <v>0</v>
      </c>
      <c r="BG52" s="3080"/>
      <c r="BH52" s="3080"/>
      <c r="BI52" s="3080"/>
      <c r="BJ52" s="3080">
        <f t="shared" si="88"/>
        <v>800</v>
      </c>
      <c r="BK52" s="3080"/>
      <c r="BL52" s="3080" t="s">
        <v>9164</v>
      </c>
      <c r="BM52" s="3096"/>
      <c r="BN52" s="3080">
        <f t="shared" si="89"/>
        <v>200</v>
      </c>
      <c r="BO52" s="3080">
        <f t="shared" si="90"/>
        <v>200</v>
      </c>
      <c r="BP52" s="3080">
        <f t="shared" si="91"/>
        <v>200</v>
      </c>
      <c r="BQ52" s="3080">
        <f t="shared" si="92"/>
        <v>200</v>
      </c>
      <c r="BR52" s="3080">
        <f t="shared" si="2"/>
        <v>0</v>
      </c>
      <c r="BS52" s="3088">
        <f t="shared" si="3"/>
        <v>513280</v>
      </c>
      <c r="BT52" s="3088">
        <f t="shared" ref="BT52:BW52" si="111">BT51-BN52</f>
        <v>140190</v>
      </c>
      <c r="BU52" s="3088">
        <f t="shared" si="111"/>
        <v>141398</v>
      </c>
      <c r="BV52" s="3088">
        <f t="shared" si="111"/>
        <v>141407</v>
      </c>
      <c r="BW52" s="3088">
        <f t="shared" si="111"/>
        <v>141740.333333333</v>
      </c>
      <c r="BX52" s="3088"/>
    </row>
    <row r="53" s="3031" customFormat="1" ht="32" customHeight="1" spans="1:245">
      <c r="A53" s="3063">
        <v>45623</v>
      </c>
      <c r="B53" s="3091" t="s">
        <v>2914</v>
      </c>
      <c r="C53" s="3101" t="s">
        <v>341</v>
      </c>
      <c r="D53" s="3066">
        <v>4500152538</v>
      </c>
      <c r="E53" s="3067" t="s">
        <v>2922</v>
      </c>
      <c r="F53" s="3066" t="s">
        <v>9320</v>
      </c>
      <c r="G53" s="3098" t="s">
        <v>9154</v>
      </c>
      <c r="H53" s="3069" t="s">
        <v>9155</v>
      </c>
      <c r="I53" s="2969">
        <v>496</v>
      </c>
      <c r="J53" s="2969">
        <v>0</v>
      </c>
      <c r="K53" s="2969">
        <v>8</v>
      </c>
      <c r="L53" s="2969">
        <f t="shared" si="79"/>
        <v>62</v>
      </c>
      <c r="M53" s="3070">
        <v>45696</v>
      </c>
      <c r="N53" s="3070">
        <v>45692</v>
      </c>
      <c r="O53" s="2996"/>
      <c r="P53" s="2996" t="s">
        <v>82</v>
      </c>
      <c r="Q53" s="3071"/>
      <c r="R53" s="3071"/>
      <c r="S53" s="3071"/>
      <c r="T53" s="3071"/>
      <c r="U53" s="3106" t="s">
        <v>2918</v>
      </c>
      <c r="V53" s="2996"/>
      <c r="W53" s="3073" t="s">
        <v>2694</v>
      </c>
      <c r="X53" s="3073"/>
      <c r="Y53" s="3073" t="s">
        <v>3479</v>
      </c>
      <c r="Z53" s="3073"/>
      <c r="AA53" s="3073"/>
      <c r="AB53" s="3091" t="s">
        <v>9321</v>
      </c>
      <c r="AC53" s="2969" t="s">
        <v>2921</v>
      </c>
      <c r="AD53" s="3075">
        <v>4.2589</v>
      </c>
      <c r="AE53" s="3076">
        <f t="shared" si="80"/>
        <v>2112.4144</v>
      </c>
      <c r="AF53" s="2969"/>
      <c r="AG53" s="2969" t="s">
        <v>9154</v>
      </c>
      <c r="AH53" s="2969" t="s">
        <v>416</v>
      </c>
      <c r="AI53" s="3077"/>
      <c r="AJ53" s="3078">
        <f t="shared" si="104"/>
        <v>496</v>
      </c>
      <c r="AK53" s="3077"/>
      <c r="AL53" s="3078"/>
      <c r="AM53" s="3093"/>
      <c r="AN53" s="3078"/>
      <c r="AO53" s="3079"/>
      <c r="AP53" s="3080">
        <f t="shared" si="99"/>
        <v>496</v>
      </c>
      <c r="AQ53" s="3080"/>
      <c r="AR53" s="3080"/>
      <c r="AS53" s="3081"/>
      <c r="AT53" s="3082"/>
      <c r="AU53" s="3083"/>
      <c r="AV53" s="3083"/>
      <c r="AW53" s="3084"/>
      <c r="AX53" s="3085">
        <f t="shared" si="96"/>
        <v>124</v>
      </c>
      <c r="AY53" s="3080">
        <f t="shared" si="100"/>
        <v>124</v>
      </c>
      <c r="AZ53" s="3080">
        <f t="shared" si="101"/>
        <v>124</v>
      </c>
      <c r="BA53" s="3086">
        <f t="shared" si="102"/>
        <v>124</v>
      </c>
      <c r="BB53" s="3087"/>
      <c r="BC53" s="3080"/>
      <c r="BD53" s="3080"/>
      <c r="BE53" s="3080"/>
      <c r="BF53" s="3080">
        <f t="shared" si="77"/>
        <v>0</v>
      </c>
      <c r="BG53" s="3080"/>
      <c r="BH53" s="3080"/>
      <c r="BI53" s="3080"/>
      <c r="BJ53" s="3080">
        <f t="shared" si="88"/>
        <v>496</v>
      </c>
      <c r="BK53" s="3080"/>
      <c r="BL53" s="3080" t="s">
        <v>9164</v>
      </c>
      <c r="BM53" s="3094"/>
      <c r="BN53" s="3080">
        <f t="shared" si="89"/>
        <v>124</v>
      </c>
      <c r="BO53" s="3080">
        <f t="shared" si="90"/>
        <v>124</v>
      </c>
      <c r="BP53" s="3080">
        <f t="shared" si="91"/>
        <v>124</v>
      </c>
      <c r="BQ53" s="3080">
        <f t="shared" si="92"/>
        <v>124</v>
      </c>
      <c r="BR53" s="3080">
        <f t="shared" si="2"/>
        <v>0</v>
      </c>
      <c r="BS53" s="3088">
        <f t="shared" si="3"/>
        <v>512976</v>
      </c>
      <c r="BT53" s="3088">
        <f t="shared" ref="BT53:BW53" si="112">BT52-BN53</f>
        <v>140066</v>
      </c>
      <c r="BU53" s="3088">
        <f t="shared" si="112"/>
        <v>141274</v>
      </c>
      <c r="BV53" s="3088">
        <f t="shared" si="112"/>
        <v>141283</v>
      </c>
      <c r="BW53" s="3088">
        <f t="shared" si="112"/>
        <v>141616.333333333</v>
      </c>
      <c r="BX53" s="3088"/>
    </row>
    <row r="54" s="3031" customFormat="1" ht="32" customHeight="1" spans="1:245">
      <c r="A54" s="3063">
        <v>45623</v>
      </c>
      <c r="B54" s="3091" t="s">
        <v>2914</v>
      </c>
      <c r="C54" s="3101" t="s">
        <v>341</v>
      </c>
      <c r="D54" s="3066">
        <v>4500152538</v>
      </c>
      <c r="E54" s="3067" t="s">
        <v>9322</v>
      </c>
      <c r="F54" s="3066" t="s">
        <v>9323</v>
      </c>
      <c r="G54" s="3098" t="s">
        <v>9154</v>
      </c>
      <c r="H54" s="3069" t="s">
        <v>9155</v>
      </c>
      <c r="I54" s="2969">
        <v>200</v>
      </c>
      <c r="J54" s="2969">
        <v>0</v>
      </c>
      <c r="K54" s="2969">
        <v>8</v>
      </c>
      <c r="L54" s="2969">
        <f t="shared" si="79"/>
        <v>25</v>
      </c>
      <c r="M54" s="3070">
        <v>45696</v>
      </c>
      <c r="N54" s="3070">
        <v>45692</v>
      </c>
      <c r="O54" s="2996"/>
      <c r="P54" s="2996" t="s">
        <v>82</v>
      </c>
      <c r="Q54" s="3071"/>
      <c r="R54" s="3071"/>
      <c r="S54" s="3071"/>
      <c r="T54" s="3071"/>
      <c r="U54" s="3072" t="s">
        <v>156</v>
      </c>
      <c r="V54" s="2996"/>
      <c r="W54" s="3073" t="s">
        <v>2694</v>
      </c>
      <c r="X54" s="3073"/>
      <c r="Y54" s="3073" t="s">
        <v>3479</v>
      </c>
      <c r="Z54" s="3073"/>
      <c r="AA54" s="3073"/>
      <c r="AB54" s="3091" t="s">
        <v>9321</v>
      </c>
      <c r="AC54" s="2969" t="s">
        <v>2921</v>
      </c>
      <c r="AD54" s="3075">
        <v>4.2589</v>
      </c>
      <c r="AE54" s="3076">
        <f t="shared" si="80"/>
        <v>851.78</v>
      </c>
      <c r="AF54" s="2969"/>
      <c r="AG54" s="2969" t="s">
        <v>9154</v>
      </c>
      <c r="AH54" s="2969" t="s">
        <v>416</v>
      </c>
      <c r="AI54" s="3077"/>
      <c r="AJ54" s="3078">
        <f t="shared" si="104"/>
        <v>200</v>
      </c>
      <c r="AK54" s="3077"/>
      <c r="AL54" s="3078"/>
      <c r="AM54" s="3093"/>
      <c r="AN54" s="3078"/>
      <c r="AO54" s="3079"/>
      <c r="AP54" s="3080">
        <f t="shared" si="99"/>
        <v>200</v>
      </c>
      <c r="AQ54" s="3080"/>
      <c r="AR54" s="3080"/>
      <c r="AS54" s="3081"/>
      <c r="AT54" s="3082"/>
      <c r="AU54" s="3083"/>
      <c r="AV54" s="3083"/>
      <c r="AW54" s="3084"/>
      <c r="AX54" s="3085">
        <f t="shared" si="96"/>
        <v>50</v>
      </c>
      <c r="AY54" s="3080">
        <f t="shared" si="100"/>
        <v>50</v>
      </c>
      <c r="AZ54" s="3080">
        <f t="shared" si="101"/>
        <v>50</v>
      </c>
      <c r="BA54" s="3086">
        <f t="shared" si="102"/>
        <v>50</v>
      </c>
      <c r="BB54" s="3087"/>
      <c r="BC54" s="3080"/>
      <c r="BD54" s="3080"/>
      <c r="BE54" s="3080"/>
      <c r="BF54" s="3080">
        <f t="shared" si="77"/>
        <v>0</v>
      </c>
      <c r="BG54" s="3080"/>
      <c r="BH54" s="3080"/>
      <c r="BI54" s="3080"/>
      <c r="BJ54" s="3080">
        <f t="shared" si="88"/>
        <v>200</v>
      </c>
      <c r="BK54" s="3080"/>
      <c r="BL54" s="3080" t="s">
        <v>9164</v>
      </c>
      <c r="BM54" s="3094"/>
      <c r="BN54" s="3080">
        <f t="shared" si="89"/>
        <v>50</v>
      </c>
      <c r="BO54" s="3080">
        <f t="shared" si="90"/>
        <v>50</v>
      </c>
      <c r="BP54" s="3080">
        <f t="shared" si="91"/>
        <v>50</v>
      </c>
      <c r="BQ54" s="3080">
        <f t="shared" si="92"/>
        <v>50</v>
      </c>
      <c r="BR54" s="3080">
        <f t="shared" si="2"/>
        <v>0</v>
      </c>
      <c r="BS54" s="3088">
        <f t="shared" si="3"/>
        <v>512680</v>
      </c>
      <c r="BT54" s="3088">
        <f t="shared" ref="BT54:BW54" si="113">BT53-BN54</f>
        <v>140016</v>
      </c>
      <c r="BU54" s="3088">
        <f t="shared" si="113"/>
        <v>141224</v>
      </c>
      <c r="BV54" s="3088">
        <f t="shared" si="113"/>
        <v>141233</v>
      </c>
      <c r="BW54" s="3088">
        <f t="shared" si="113"/>
        <v>141566.333333333</v>
      </c>
      <c r="BX54" s="3088"/>
    </row>
    <row r="55" s="3031" customFormat="1" ht="32" customHeight="1" spans="1:245">
      <c r="A55" s="3063">
        <v>45586</v>
      </c>
      <c r="B55" s="3064" t="s">
        <v>90</v>
      </c>
      <c r="C55" s="3065" t="s">
        <v>91</v>
      </c>
      <c r="D55" s="3066">
        <v>4500147806</v>
      </c>
      <c r="E55" s="3067" t="s">
        <v>9205</v>
      </c>
      <c r="F55" s="3066" t="s">
        <v>9324</v>
      </c>
      <c r="G55" s="3069" t="s">
        <v>9154</v>
      </c>
      <c r="H55" s="3069" t="s">
        <v>9155</v>
      </c>
      <c r="I55" s="2969">
        <v>1000</v>
      </c>
      <c r="J55" s="2969">
        <v>0</v>
      </c>
      <c r="K55" s="2969">
        <v>8</v>
      </c>
      <c r="L55" s="2969">
        <f t="shared" si="79"/>
        <v>125</v>
      </c>
      <c r="M55" s="3070">
        <v>45698</v>
      </c>
      <c r="N55" s="3070">
        <v>45694</v>
      </c>
      <c r="O55" s="2996"/>
      <c r="P55" s="2996" t="s">
        <v>82</v>
      </c>
      <c r="Q55" s="3071"/>
      <c r="R55" s="3071"/>
      <c r="S55" s="3071"/>
      <c r="T55" s="3071"/>
      <c r="U55" s="3072" t="s">
        <v>159</v>
      </c>
      <c r="V55" s="2996"/>
      <c r="W55" s="3073" t="s">
        <v>97</v>
      </c>
      <c r="X55" s="3073" t="s">
        <v>98</v>
      </c>
      <c r="Y55" s="3073" t="s">
        <v>9316</v>
      </c>
      <c r="Z55" s="3073"/>
      <c r="AA55" s="3073"/>
      <c r="AB55" s="3091" t="s">
        <v>100</v>
      </c>
      <c r="AC55" s="2969" t="s">
        <v>101</v>
      </c>
      <c r="AD55" s="3075">
        <v>4.2475</v>
      </c>
      <c r="AE55" s="3076">
        <f t="shared" si="80"/>
        <v>4247.5</v>
      </c>
      <c r="AF55" s="2969" t="s">
        <v>160</v>
      </c>
      <c r="AG55" s="2969" t="s">
        <v>9154</v>
      </c>
      <c r="AH55" s="2969" t="s">
        <v>416</v>
      </c>
      <c r="AI55" s="3077"/>
      <c r="AJ55" s="3078">
        <f t="shared" si="104"/>
        <v>1000</v>
      </c>
      <c r="AK55" s="3077"/>
      <c r="AL55" s="3078"/>
      <c r="AM55" s="3103"/>
      <c r="AN55" s="3078"/>
      <c r="AO55" s="3079"/>
      <c r="AP55" s="3080">
        <f t="shared" si="99"/>
        <v>1000</v>
      </c>
      <c r="AQ55" s="3080"/>
      <c r="AR55" s="3080"/>
      <c r="AS55" s="3081"/>
      <c r="AT55" s="3082"/>
      <c r="AU55" s="3083"/>
      <c r="AV55" s="3083"/>
      <c r="AW55" s="3084"/>
      <c r="AX55" s="3085">
        <f t="shared" si="96"/>
        <v>250</v>
      </c>
      <c r="AY55" s="3080">
        <f t="shared" si="100"/>
        <v>250</v>
      </c>
      <c r="AZ55" s="3080">
        <f t="shared" si="101"/>
        <v>250</v>
      </c>
      <c r="BA55" s="3086">
        <f t="shared" si="102"/>
        <v>250</v>
      </c>
      <c r="BB55" s="3087"/>
      <c r="BC55" s="3080"/>
      <c r="BD55" s="3080"/>
      <c r="BE55" s="3080"/>
      <c r="BF55" s="3080">
        <f t="shared" si="77"/>
        <v>0</v>
      </c>
      <c r="BG55" s="3080"/>
      <c r="BH55" s="3080"/>
      <c r="BI55" s="3080"/>
      <c r="BJ55" s="3080">
        <f t="shared" si="88"/>
        <v>1000</v>
      </c>
      <c r="BK55" s="3080"/>
      <c r="BL55" s="3080" t="s">
        <v>9164</v>
      </c>
      <c r="BM55" s="3079"/>
      <c r="BN55" s="3080">
        <f t="shared" si="89"/>
        <v>250</v>
      </c>
      <c r="BO55" s="3080">
        <f t="shared" si="90"/>
        <v>250</v>
      </c>
      <c r="BP55" s="3080">
        <f t="shared" si="91"/>
        <v>250</v>
      </c>
      <c r="BQ55" s="3080">
        <f t="shared" si="92"/>
        <v>250</v>
      </c>
      <c r="BR55" s="3080">
        <f t="shared" si="2"/>
        <v>0</v>
      </c>
      <c r="BS55" s="3088">
        <f t="shared" si="3"/>
        <v>513480</v>
      </c>
      <c r="BT55" s="3088">
        <f t="shared" ref="BT55:BW55" si="114">BT54-BN55</f>
        <v>139766</v>
      </c>
      <c r="BU55" s="3088">
        <f t="shared" si="114"/>
        <v>140974</v>
      </c>
      <c r="BV55" s="3088">
        <f t="shared" si="114"/>
        <v>140983</v>
      </c>
      <c r="BW55" s="3088">
        <f t="shared" si="114"/>
        <v>141316.333333333</v>
      </c>
      <c r="BX55" s="3088"/>
    </row>
    <row r="56" s="3031" customFormat="1" ht="32" customHeight="1" spans="1:245">
      <c r="A56" s="3063">
        <v>45586</v>
      </c>
      <c r="B56" s="3064" t="s">
        <v>90</v>
      </c>
      <c r="C56" s="3065" t="s">
        <v>91</v>
      </c>
      <c r="D56" s="3066">
        <v>4500147804</v>
      </c>
      <c r="E56" s="3067" t="s">
        <v>9203</v>
      </c>
      <c r="F56" s="3066" t="s">
        <v>9325</v>
      </c>
      <c r="G56" s="3069" t="s">
        <v>9154</v>
      </c>
      <c r="H56" s="3069" t="s">
        <v>9155</v>
      </c>
      <c r="I56" s="2969">
        <v>800</v>
      </c>
      <c r="J56" s="2969">
        <v>0</v>
      </c>
      <c r="K56" s="2969">
        <v>8</v>
      </c>
      <c r="L56" s="2969">
        <f t="shared" si="79"/>
        <v>100</v>
      </c>
      <c r="M56" s="3070">
        <v>45698</v>
      </c>
      <c r="N56" s="3070">
        <v>45694</v>
      </c>
      <c r="O56" s="2996"/>
      <c r="P56" s="2996" t="s">
        <v>82</v>
      </c>
      <c r="Q56" s="3071"/>
      <c r="R56" s="3071"/>
      <c r="S56" s="3071"/>
      <c r="T56" s="3071"/>
      <c r="U56" s="3072" t="s">
        <v>156</v>
      </c>
      <c r="V56" s="2996"/>
      <c r="W56" s="3073" t="s">
        <v>97</v>
      </c>
      <c r="X56" s="3073" t="s">
        <v>98</v>
      </c>
      <c r="Y56" s="3073" t="s">
        <v>9316</v>
      </c>
      <c r="Z56" s="3073"/>
      <c r="AA56" s="3073"/>
      <c r="AB56" s="3091" t="s">
        <v>100</v>
      </c>
      <c r="AC56" s="2969" t="s">
        <v>101</v>
      </c>
      <c r="AD56" s="3075">
        <v>4.2475</v>
      </c>
      <c r="AE56" s="3076">
        <f t="shared" si="80"/>
        <v>3398</v>
      </c>
      <c r="AF56" s="2969" t="s">
        <v>157</v>
      </c>
      <c r="AG56" s="2969" t="s">
        <v>9154</v>
      </c>
      <c r="AH56" s="2969" t="s">
        <v>416</v>
      </c>
      <c r="AI56" s="3077"/>
      <c r="AJ56" s="3078">
        <f t="shared" si="104"/>
        <v>800</v>
      </c>
      <c r="AK56" s="3077"/>
      <c r="AL56" s="3078"/>
      <c r="AM56" s="3103"/>
      <c r="AN56" s="3078"/>
      <c r="AO56" s="3079"/>
      <c r="AP56" s="3080">
        <f t="shared" si="99"/>
        <v>800</v>
      </c>
      <c r="AQ56" s="3080"/>
      <c r="AR56" s="3080"/>
      <c r="AS56" s="3081"/>
      <c r="AT56" s="3082"/>
      <c r="AU56" s="3083"/>
      <c r="AV56" s="3083"/>
      <c r="AW56" s="3084"/>
      <c r="AX56" s="3085">
        <f t="shared" si="96"/>
        <v>200</v>
      </c>
      <c r="AY56" s="3080">
        <f t="shared" si="100"/>
        <v>200</v>
      </c>
      <c r="AZ56" s="3080">
        <f t="shared" si="101"/>
        <v>200</v>
      </c>
      <c r="BA56" s="3086">
        <f t="shared" si="102"/>
        <v>200</v>
      </c>
      <c r="BB56" s="3087"/>
      <c r="BC56" s="3080"/>
      <c r="BD56" s="3080"/>
      <c r="BE56" s="3080"/>
      <c r="BF56" s="3080">
        <f t="shared" si="77"/>
        <v>0</v>
      </c>
      <c r="BG56" s="3080"/>
      <c r="BH56" s="3080"/>
      <c r="BI56" s="3080"/>
      <c r="BJ56" s="3080">
        <f t="shared" si="88"/>
        <v>800</v>
      </c>
      <c r="BK56" s="3080"/>
      <c r="BL56" s="3080" t="s">
        <v>9164</v>
      </c>
      <c r="BM56" s="3079"/>
      <c r="BN56" s="3080">
        <f t="shared" si="89"/>
        <v>200</v>
      </c>
      <c r="BO56" s="3080">
        <f t="shared" si="90"/>
        <v>200</v>
      </c>
      <c r="BP56" s="3080">
        <f t="shared" si="91"/>
        <v>200</v>
      </c>
      <c r="BQ56" s="3080">
        <f t="shared" si="92"/>
        <v>200</v>
      </c>
      <c r="BR56" s="3080">
        <f t="shared" si="2"/>
        <v>0</v>
      </c>
      <c r="BS56" s="3088">
        <f t="shared" si="3"/>
        <v>513280</v>
      </c>
      <c r="BT56" s="3088">
        <f t="shared" ref="BT56:BW56" si="115">BT55-BN56</f>
        <v>139566</v>
      </c>
      <c r="BU56" s="3088">
        <f t="shared" si="115"/>
        <v>140774</v>
      </c>
      <c r="BV56" s="3088">
        <f t="shared" si="115"/>
        <v>140783</v>
      </c>
      <c r="BW56" s="3088">
        <f t="shared" si="115"/>
        <v>141116.333333333</v>
      </c>
      <c r="BX56" s="3088"/>
    </row>
    <row r="57" s="3031" customFormat="1" ht="32" customHeight="1" spans="1:245">
      <c r="A57" s="3063">
        <v>45644</v>
      </c>
      <c r="B57" s="3064" t="s">
        <v>9326</v>
      </c>
      <c r="C57" s="3101" t="s">
        <v>506</v>
      </c>
      <c r="D57" s="3066">
        <v>4500154316</v>
      </c>
      <c r="E57" s="3067" t="s">
        <v>9327</v>
      </c>
      <c r="F57" s="3066" t="s">
        <v>9328</v>
      </c>
      <c r="G57" s="3098" t="s">
        <v>9154</v>
      </c>
      <c r="H57" s="3069" t="s">
        <v>9155</v>
      </c>
      <c r="I57" s="2969">
        <v>256</v>
      </c>
      <c r="J57" s="2969">
        <v>0</v>
      </c>
      <c r="K57" s="2969">
        <v>8</v>
      </c>
      <c r="L57" s="2969">
        <f t="shared" si="79"/>
        <v>32</v>
      </c>
      <c r="M57" s="3070">
        <v>45698</v>
      </c>
      <c r="N57" s="3070">
        <v>45694</v>
      </c>
      <c r="O57" s="2996"/>
      <c r="P57" s="2996" t="s">
        <v>82</v>
      </c>
      <c r="Q57" s="3071"/>
      <c r="R57" s="3071"/>
      <c r="S57" s="3071"/>
      <c r="T57" s="3071"/>
      <c r="U57" s="3072" t="s">
        <v>156</v>
      </c>
      <c r="V57" s="2996"/>
      <c r="W57" s="3073" t="s">
        <v>2339</v>
      </c>
      <c r="X57" s="3073"/>
      <c r="Y57" s="3073" t="s">
        <v>98</v>
      </c>
      <c r="Z57" s="3073" t="s">
        <v>605</v>
      </c>
      <c r="AA57" s="3073"/>
      <c r="AB57" s="3091" t="s">
        <v>9329</v>
      </c>
      <c r="AC57" s="2969" t="s">
        <v>3202</v>
      </c>
      <c r="AD57" s="3075">
        <v>4.2475</v>
      </c>
      <c r="AE57" s="3076">
        <f t="shared" si="80"/>
        <v>1087.36</v>
      </c>
      <c r="AF57" s="2969"/>
      <c r="AG57" s="2969" t="s">
        <v>9154</v>
      </c>
      <c r="AH57" s="2969" t="s">
        <v>416</v>
      </c>
      <c r="AI57" s="3077"/>
      <c r="AJ57" s="3078">
        <f t="shared" si="104"/>
        <v>256</v>
      </c>
      <c r="AK57" s="3077"/>
      <c r="AL57" s="3078"/>
      <c r="AM57" s="3093"/>
      <c r="AN57" s="3078"/>
      <c r="AO57" s="3079"/>
      <c r="AP57" s="3080">
        <f t="shared" si="99"/>
        <v>256</v>
      </c>
      <c r="AQ57" s="3080"/>
      <c r="AR57" s="3080"/>
      <c r="AS57" s="3081"/>
      <c r="AT57" s="3082"/>
      <c r="AU57" s="3083"/>
      <c r="AV57" s="3083"/>
      <c r="AW57" s="3084"/>
      <c r="AX57" s="3085">
        <f t="shared" si="96"/>
        <v>64</v>
      </c>
      <c r="AY57" s="3080">
        <f t="shared" si="100"/>
        <v>64</v>
      </c>
      <c r="AZ57" s="3080">
        <f t="shared" si="101"/>
        <v>64</v>
      </c>
      <c r="BA57" s="3086">
        <f t="shared" si="102"/>
        <v>64</v>
      </c>
      <c r="BB57" s="3087"/>
      <c r="BC57" s="3080"/>
      <c r="BD57" s="3080"/>
      <c r="BE57" s="3080"/>
      <c r="BF57" s="3080">
        <f t="shared" si="77"/>
        <v>0</v>
      </c>
      <c r="BG57" s="3080"/>
      <c r="BH57" s="3080"/>
      <c r="BI57" s="3080"/>
      <c r="BJ57" s="3080">
        <f t="shared" si="88"/>
        <v>256</v>
      </c>
      <c r="BK57" s="3080"/>
      <c r="BL57" s="3080" t="s">
        <v>9164</v>
      </c>
      <c r="BM57" s="3094"/>
      <c r="BN57" s="3080">
        <f t="shared" si="89"/>
        <v>64</v>
      </c>
      <c r="BO57" s="3080">
        <f t="shared" si="90"/>
        <v>64</v>
      </c>
      <c r="BP57" s="3080">
        <f t="shared" si="91"/>
        <v>64</v>
      </c>
      <c r="BQ57" s="3080">
        <f t="shared" si="92"/>
        <v>64</v>
      </c>
      <c r="BR57" s="3080">
        <f t="shared" si="2"/>
        <v>0</v>
      </c>
      <c r="BS57" s="3088">
        <f t="shared" si="3"/>
        <v>512736</v>
      </c>
      <c r="BT57" s="3088">
        <f t="shared" ref="BT57:BW57" si="116">BT56-BN57</f>
        <v>139502</v>
      </c>
      <c r="BU57" s="3088">
        <f t="shared" si="116"/>
        <v>140710</v>
      </c>
      <c r="BV57" s="3088">
        <f t="shared" si="116"/>
        <v>140719</v>
      </c>
      <c r="BW57" s="3088">
        <f t="shared" si="116"/>
        <v>141052.333333333</v>
      </c>
      <c r="BX57" s="3088"/>
    </row>
    <row r="58" s="3031" customFormat="1" ht="32" customHeight="1" spans="1:245">
      <c r="A58" s="3063">
        <v>45644</v>
      </c>
      <c r="B58" s="3064" t="s">
        <v>9326</v>
      </c>
      <c r="C58" s="3101" t="s">
        <v>506</v>
      </c>
      <c r="D58" s="3066">
        <v>4500154316</v>
      </c>
      <c r="E58" s="3067" t="s">
        <v>9330</v>
      </c>
      <c r="F58" s="3066" t="s">
        <v>9331</v>
      </c>
      <c r="G58" s="3098" t="s">
        <v>9154</v>
      </c>
      <c r="H58" s="3069" t="s">
        <v>9155</v>
      </c>
      <c r="I58" s="2969">
        <v>256</v>
      </c>
      <c r="J58" s="2969">
        <v>0</v>
      </c>
      <c r="K58" s="2969">
        <v>8</v>
      </c>
      <c r="L58" s="2969">
        <f t="shared" si="79"/>
        <v>32</v>
      </c>
      <c r="M58" s="3070">
        <v>45698</v>
      </c>
      <c r="N58" s="3070">
        <v>45694</v>
      </c>
      <c r="O58" s="2996"/>
      <c r="P58" s="2996" t="s">
        <v>82</v>
      </c>
      <c r="Q58" s="3071"/>
      <c r="R58" s="3071"/>
      <c r="S58" s="3071"/>
      <c r="T58" s="3071"/>
      <c r="U58" s="3072" t="s">
        <v>156</v>
      </c>
      <c r="V58" s="2996"/>
      <c r="W58" s="3073" t="s">
        <v>2339</v>
      </c>
      <c r="X58" s="3073"/>
      <c r="Y58" s="3073" t="s">
        <v>98</v>
      </c>
      <c r="Z58" s="3073" t="s">
        <v>605</v>
      </c>
      <c r="AA58" s="3073"/>
      <c r="AB58" s="3091" t="s">
        <v>9329</v>
      </c>
      <c r="AC58" s="2969" t="s">
        <v>3202</v>
      </c>
      <c r="AD58" s="3075">
        <v>4.2475</v>
      </c>
      <c r="AE58" s="3076">
        <f t="shared" si="80"/>
        <v>1087.36</v>
      </c>
      <c r="AF58" s="2969"/>
      <c r="AG58" s="2969" t="s">
        <v>9154</v>
      </c>
      <c r="AH58" s="2969" t="s">
        <v>416</v>
      </c>
      <c r="AI58" s="3077"/>
      <c r="AJ58" s="3078">
        <f t="shared" si="104"/>
        <v>256</v>
      </c>
      <c r="AK58" s="3077"/>
      <c r="AL58" s="3078"/>
      <c r="AM58" s="3093"/>
      <c r="AN58" s="3078"/>
      <c r="AO58" s="3079"/>
      <c r="AP58" s="3080">
        <f t="shared" si="99"/>
        <v>256</v>
      </c>
      <c r="AQ58" s="3080"/>
      <c r="AR58" s="3080"/>
      <c r="AS58" s="3081"/>
      <c r="AT58" s="3082"/>
      <c r="AU58" s="3083"/>
      <c r="AV58" s="3083"/>
      <c r="AW58" s="3084"/>
      <c r="AX58" s="3085">
        <f t="shared" si="96"/>
        <v>64</v>
      </c>
      <c r="AY58" s="3080">
        <f t="shared" si="100"/>
        <v>64</v>
      </c>
      <c r="AZ58" s="3080">
        <f t="shared" si="101"/>
        <v>64</v>
      </c>
      <c r="BA58" s="3086">
        <f t="shared" si="102"/>
        <v>64</v>
      </c>
      <c r="BB58" s="3087"/>
      <c r="BC58" s="3080"/>
      <c r="BD58" s="3080"/>
      <c r="BE58" s="3080"/>
      <c r="BF58" s="3080">
        <f t="shared" si="77"/>
        <v>0</v>
      </c>
      <c r="BG58" s="3080"/>
      <c r="BH58" s="3080"/>
      <c r="BI58" s="3080"/>
      <c r="BJ58" s="3080">
        <f t="shared" si="88"/>
        <v>256</v>
      </c>
      <c r="BK58" s="3080"/>
      <c r="BL58" s="3080" t="s">
        <v>9164</v>
      </c>
      <c r="BM58" s="3094"/>
      <c r="BN58" s="3080">
        <f t="shared" si="89"/>
        <v>64</v>
      </c>
      <c r="BO58" s="3080">
        <f t="shared" si="90"/>
        <v>64</v>
      </c>
      <c r="BP58" s="3080">
        <f t="shared" si="91"/>
        <v>64</v>
      </c>
      <c r="BQ58" s="3080">
        <f t="shared" si="92"/>
        <v>64</v>
      </c>
      <c r="BR58" s="3080">
        <f t="shared" si="2"/>
        <v>0</v>
      </c>
      <c r="BS58" s="3088">
        <f t="shared" si="3"/>
        <v>512736</v>
      </c>
      <c r="BT58" s="3088">
        <f t="shared" ref="BT58:BW58" si="117">BT57-BN58</f>
        <v>139438</v>
      </c>
      <c r="BU58" s="3088">
        <f t="shared" si="117"/>
        <v>140646</v>
      </c>
      <c r="BV58" s="3088">
        <f t="shared" si="117"/>
        <v>140655</v>
      </c>
      <c r="BW58" s="3088">
        <f t="shared" si="117"/>
        <v>140988.333333333</v>
      </c>
      <c r="BX58" s="3088"/>
    </row>
    <row r="59" s="3031" customFormat="1" ht="32" customHeight="1" spans="1:245">
      <c r="A59" s="3063">
        <v>45644</v>
      </c>
      <c r="B59" s="3064" t="s">
        <v>9326</v>
      </c>
      <c r="C59" s="3101" t="s">
        <v>506</v>
      </c>
      <c r="D59" s="3066">
        <v>4500154316</v>
      </c>
      <c r="E59" s="3067" t="s">
        <v>9332</v>
      </c>
      <c r="F59" s="3066" t="s">
        <v>9333</v>
      </c>
      <c r="G59" s="3098" t="s">
        <v>9154</v>
      </c>
      <c r="H59" s="3069" t="s">
        <v>9155</v>
      </c>
      <c r="I59" s="2969">
        <v>256</v>
      </c>
      <c r="J59" s="2969">
        <v>0</v>
      </c>
      <c r="K59" s="2969">
        <v>8</v>
      </c>
      <c r="L59" s="2969">
        <f t="shared" si="79"/>
        <v>32</v>
      </c>
      <c r="M59" s="3070">
        <v>45698</v>
      </c>
      <c r="N59" s="3070">
        <v>45694</v>
      </c>
      <c r="O59" s="2996"/>
      <c r="P59" s="2996" t="s">
        <v>82</v>
      </c>
      <c r="Q59" s="3071"/>
      <c r="R59" s="3071"/>
      <c r="S59" s="3071"/>
      <c r="T59" s="3071"/>
      <c r="U59" s="3072" t="s">
        <v>156</v>
      </c>
      <c r="V59" s="2996"/>
      <c r="W59" s="3073" t="s">
        <v>2339</v>
      </c>
      <c r="X59" s="3073"/>
      <c r="Y59" s="3073" t="s">
        <v>98</v>
      </c>
      <c r="Z59" s="3073" t="s">
        <v>605</v>
      </c>
      <c r="AA59" s="3073"/>
      <c r="AB59" s="3091" t="s">
        <v>9329</v>
      </c>
      <c r="AC59" s="2969" t="s">
        <v>3202</v>
      </c>
      <c r="AD59" s="3075">
        <v>4.2475</v>
      </c>
      <c r="AE59" s="3076">
        <f t="shared" si="80"/>
        <v>1087.36</v>
      </c>
      <c r="AF59" s="2969"/>
      <c r="AG59" s="2969" t="s">
        <v>9154</v>
      </c>
      <c r="AH59" s="2969" t="s">
        <v>416</v>
      </c>
      <c r="AI59" s="3077"/>
      <c r="AJ59" s="3078">
        <f t="shared" si="104"/>
        <v>256</v>
      </c>
      <c r="AK59" s="3077"/>
      <c r="AL59" s="3078"/>
      <c r="AM59" s="3093"/>
      <c r="AN59" s="3078"/>
      <c r="AO59" s="3079"/>
      <c r="AP59" s="3080">
        <f t="shared" si="99"/>
        <v>256</v>
      </c>
      <c r="AQ59" s="3080"/>
      <c r="AR59" s="3080"/>
      <c r="AS59" s="3081"/>
      <c r="AT59" s="3082"/>
      <c r="AU59" s="3083"/>
      <c r="AV59" s="3083"/>
      <c r="AW59" s="3084"/>
      <c r="AX59" s="3085">
        <f t="shared" si="96"/>
        <v>64</v>
      </c>
      <c r="AY59" s="3080">
        <f t="shared" si="100"/>
        <v>64</v>
      </c>
      <c r="AZ59" s="3080">
        <f t="shared" si="101"/>
        <v>64</v>
      </c>
      <c r="BA59" s="3086">
        <f t="shared" si="102"/>
        <v>64</v>
      </c>
      <c r="BB59" s="3087"/>
      <c r="BC59" s="3080"/>
      <c r="BD59" s="3080"/>
      <c r="BE59" s="3080"/>
      <c r="BF59" s="3080">
        <f t="shared" si="77"/>
        <v>0</v>
      </c>
      <c r="BG59" s="3080"/>
      <c r="BH59" s="3080"/>
      <c r="BI59" s="3080"/>
      <c r="BJ59" s="3080">
        <f t="shared" si="88"/>
        <v>256</v>
      </c>
      <c r="BK59" s="3080"/>
      <c r="BL59" s="3080" t="s">
        <v>9164</v>
      </c>
      <c r="BM59" s="3094"/>
      <c r="BN59" s="3080">
        <f t="shared" si="89"/>
        <v>64</v>
      </c>
      <c r="BO59" s="3080">
        <f t="shared" si="90"/>
        <v>64</v>
      </c>
      <c r="BP59" s="3080">
        <f t="shared" si="91"/>
        <v>64</v>
      </c>
      <c r="BQ59" s="3080">
        <f t="shared" si="92"/>
        <v>64</v>
      </c>
      <c r="BR59" s="3080">
        <f t="shared" si="2"/>
        <v>0</v>
      </c>
      <c r="BS59" s="3088">
        <f t="shared" si="3"/>
        <v>512736</v>
      </c>
      <c r="BT59" s="3088">
        <f t="shared" ref="BT59:BW59" si="118">BT58-BN59</f>
        <v>139374</v>
      </c>
      <c r="BU59" s="3088">
        <f t="shared" si="118"/>
        <v>140582</v>
      </c>
      <c r="BV59" s="3088">
        <f t="shared" si="118"/>
        <v>140591</v>
      </c>
      <c r="BW59" s="3088">
        <f t="shared" si="118"/>
        <v>140924.333333333</v>
      </c>
      <c r="BX59" s="3088"/>
    </row>
    <row r="60" s="3031" customFormat="1" ht="32" customHeight="1" spans="1:245">
      <c r="A60" s="3063">
        <v>45642</v>
      </c>
      <c r="B60" s="3064" t="s">
        <v>470</v>
      </c>
      <c r="C60" s="3101" t="s">
        <v>471</v>
      </c>
      <c r="D60" s="3066">
        <v>4500154045</v>
      </c>
      <c r="E60" s="3067" t="s">
        <v>9334</v>
      </c>
      <c r="F60" s="3066" t="s">
        <v>9335</v>
      </c>
      <c r="G60" s="3098" t="s">
        <v>9154</v>
      </c>
      <c r="H60" s="3069" t="s">
        <v>9155</v>
      </c>
      <c r="I60" s="2969">
        <v>504</v>
      </c>
      <c r="J60" s="2969">
        <v>0</v>
      </c>
      <c r="K60" s="2969">
        <v>8</v>
      </c>
      <c r="L60" s="2969">
        <f t="shared" si="79"/>
        <v>63</v>
      </c>
      <c r="M60" s="3070">
        <v>45699</v>
      </c>
      <c r="N60" s="3070">
        <v>45695</v>
      </c>
      <c r="O60" s="2996"/>
      <c r="P60" s="2996" t="s">
        <v>82</v>
      </c>
      <c r="Q60" s="3071"/>
      <c r="R60" s="3071"/>
      <c r="S60" s="3071"/>
      <c r="T60" s="3071"/>
      <c r="U60" s="3072" t="s">
        <v>618</v>
      </c>
      <c r="V60" s="2996"/>
      <c r="W60" s="3073" t="s">
        <v>619</v>
      </c>
      <c r="X60" s="3073"/>
      <c r="Y60" s="3073" t="s">
        <v>9336</v>
      </c>
      <c r="Z60" s="3073" t="s">
        <v>605</v>
      </c>
      <c r="AA60" s="3073"/>
      <c r="AB60" s="3091" t="s">
        <v>9337</v>
      </c>
      <c r="AC60" s="2969" t="s">
        <v>87</v>
      </c>
      <c r="AD60" s="3075">
        <v>4.2475</v>
      </c>
      <c r="AE60" s="3076">
        <f t="shared" si="80"/>
        <v>2140.74</v>
      </c>
      <c r="AF60" s="2969"/>
      <c r="AG60" s="3089" t="s">
        <v>9239</v>
      </c>
      <c r="AH60" s="2969" t="s">
        <v>416</v>
      </c>
      <c r="AI60" s="3077"/>
      <c r="AJ60" s="3078"/>
      <c r="AK60" s="3077"/>
      <c r="AL60" s="3078">
        <f t="shared" ref="AL60:AL66" si="119">I60</f>
        <v>504</v>
      </c>
      <c r="AM60" s="3092"/>
      <c r="AN60" s="3078"/>
      <c r="AO60" s="3079"/>
      <c r="AP60" s="3080">
        <f t="shared" si="99"/>
        <v>504</v>
      </c>
      <c r="AQ60" s="3080"/>
      <c r="AR60" s="3080"/>
      <c r="AS60" s="3081"/>
      <c r="AT60" s="3082"/>
      <c r="AU60" s="3083"/>
      <c r="AV60" s="3083"/>
      <c r="AW60" s="3084"/>
      <c r="AX60" s="3085">
        <f t="shared" si="96"/>
        <v>126</v>
      </c>
      <c r="AY60" s="3080">
        <f t="shared" si="100"/>
        <v>126</v>
      </c>
      <c r="AZ60" s="3080">
        <f t="shared" si="101"/>
        <v>126</v>
      </c>
      <c r="BA60" s="3086">
        <f t="shared" si="102"/>
        <v>126</v>
      </c>
      <c r="BB60" s="3087"/>
      <c r="BC60" s="3080"/>
      <c r="BD60" s="3080"/>
      <c r="BE60" s="3080"/>
      <c r="BF60" s="3080">
        <f t="shared" si="77"/>
        <v>0</v>
      </c>
      <c r="BG60" s="3080"/>
      <c r="BH60" s="3080"/>
      <c r="BI60" s="3080"/>
      <c r="BJ60" s="3080">
        <f t="shared" si="88"/>
        <v>504</v>
      </c>
      <c r="BK60" s="3080"/>
      <c r="BL60" s="3080" t="s">
        <v>9164</v>
      </c>
      <c r="BM60" s="3097"/>
      <c r="BN60" s="3080">
        <f t="shared" si="89"/>
        <v>126</v>
      </c>
      <c r="BO60" s="3080">
        <f t="shared" si="90"/>
        <v>126</v>
      </c>
      <c r="BP60" s="3080">
        <f t="shared" si="91"/>
        <v>126</v>
      </c>
      <c r="BQ60" s="3080">
        <f t="shared" si="92"/>
        <v>126</v>
      </c>
      <c r="BR60" s="3080">
        <f t="shared" si="2"/>
        <v>0</v>
      </c>
      <c r="BS60" s="3088">
        <f t="shared" si="3"/>
        <v>512984</v>
      </c>
      <c r="BT60" s="3088">
        <f t="shared" ref="BT60:BW60" si="120">BT59-BN60</f>
        <v>139248</v>
      </c>
      <c r="BU60" s="3088">
        <f t="shared" si="120"/>
        <v>140456</v>
      </c>
      <c r="BV60" s="3088">
        <f t="shared" si="120"/>
        <v>140465</v>
      </c>
      <c r="BW60" s="3088">
        <f t="shared" si="120"/>
        <v>140798.333333333</v>
      </c>
      <c r="BX60" s="3088"/>
    </row>
    <row r="61" s="3031" customFormat="1" ht="32" customHeight="1" spans="1:245">
      <c r="A61" s="3063">
        <v>45652</v>
      </c>
      <c r="B61" s="3064" t="s">
        <v>6885</v>
      </c>
      <c r="C61" s="3065" t="s">
        <v>7668</v>
      </c>
      <c r="D61" s="3066">
        <v>4500154811</v>
      </c>
      <c r="E61" s="3091"/>
      <c r="F61" s="3066" t="s">
        <v>9338</v>
      </c>
      <c r="G61" s="3069" t="s">
        <v>9154</v>
      </c>
      <c r="H61" s="3069" t="s">
        <v>9155</v>
      </c>
      <c r="I61" s="2969">
        <v>504</v>
      </c>
      <c r="J61" s="2969">
        <v>0</v>
      </c>
      <c r="K61" s="2969">
        <v>8</v>
      </c>
      <c r="L61" s="2969">
        <f t="shared" si="79"/>
        <v>63</v>
      </c>
      <c r="M61" s="3070">
        <v>45705</v>
      </c>
      <c r="N61" s="3070">
        <v>45701</v>
      </c>
      <c r="O61" s="2996"/>
      <c r="P61" s="2996" t="s">
        <v>82</v>
      </c>
      <c r="Q61" s="3071"/>
      <c r="R61" s="3071"/>
      <c r="S61" s="3071"/>
      <c r="T61" s="3071"/>
      <c r="U61" s="3072" t="s">
        <v>2918</v>
      </c>
      <c r="V61" s="2996"/>
      <c r="W61" s="3073" t="s">
        <v>2354</v>
      </c>
      <c r="X61" s="3073"/>
      <c r="Y61" s="3073" t="s">
        <v>9339</v>
      </c>
      <c r="Z61" s="3073"/>
      <c r="AA61" s="3073"/>
      <c r="AB61" s="3091" t="s">
        <v>9340</v>
      </c>
      <c r="AC61" s="2969" t="s">
        <v>1326</v>
      </c>
      <c r="AD61" s="3075">
        <v>4.2475</v>
      </c>
      <c r="AE61" s="3076">
        <f t="shared" si="80"/>
        <v>2140.74</v>
      </c>
      <c r="AF61" s="2969"/>
      <c r="AG61" s="2969" t="s">
        <v>9154</v>
      </c>
      <c r="AH61" s="2969" t="s">
        <v>416</v>
      </c>
      <c r="AI61" s="3077"/>
      <c r="AJ61" s="3078">
        <f>I61</f>
        <v>504</v>
      </c>
      <c r="AK61" s="3077"/>
      <c r="AL61" s="3078"/>
      <c r="AM61" s="3093"/>
      <c r="AN61" s="3078"/>
      <c r="AO61" s="3079"/>
      <c r="AP61" s="3080">
        <f t="shared" si="99"/>
        <v>504</v>
      </c>
      <c r="AQ61" s="3080"/>
      <c r="AR61" s="3080"/>
      <c r="AS61" s="3081"/>
      <c r="AT61" s="3082"/>
      <c r="AU61" s="3083"/>
      <c r="AV61" s="3083"/>
      <c r="AW61" s="3084"/>
      <c r="AX61" s="3085">
        <f t="shared" si="96"/>
        <v>126</v>
      </c>
      <c r="AY61" s="3080">
        <f t="shared" si="100"/>
        <v>126</v>
      </c>
      <c r="AZ61" s="3080">
        <f t="shared" si="101"/>
        <v>126</v>
      </c>
      <c r="BA61" s="3086">
        <f t="shared" si="102"/>
        <v>126</v>
      </c>
      <c r="BB61" s="3087"/>
      <c r="BC61" s="3080"/>
      <c r="BD61" s="3080"/>
      <c r="BE61" s="3080"/>
      <c r="BF61" s="3080">
        <f t="shared" si="77"/>
        <v>0</v>
      </c>
      <c r="BG61" s="3087"/>
      <c r="BH61" s="3080"/>
      <c r="BI61" s="3080"/>
      <c r="BJ61" s="3080">
        <f t="shared" si="88"/>
        <v>504</v>
      </c>
      <c r="BK61" s="3080"/>
      <c r="BL61" s="3080" t="s">
        <v>9164</v>
      </c>
      <c r="BM61" s="3094"/>
      <c r="BN61" s="3080">
        <f t="shared" si="89"/>
        <v>126</v>
      </c>
      <c r="BO61" s="3080">
        <f t="shared" si="90"/>
        <v>126</v>
      </c>
      <c r="BP61" s="3080">
        <f t="shared" si="91"/>
        <v>126</v>
      </c>
      <c r="BQ61" s="3080">
        <f t="shared" si="92"/>
        <v>126</v>
      </c>
      <c r="BR61" s="3080">
        <f t="shared" si="2"/>
        <v>0</v>
      </c>
      <c r="BS61" s="3088">
        <f t="shared" si="3"/>
        <v>512984</v>
      </c>
      <c r="BT61" s="3088">
        <f t="shared" ref="BT61:BW61" si="121">BT60-BN61</f>
        <v>139122</v>
      </c>
      <c r="BU61" s="3088">
        <f t="shared" si="121"/>
        <v>140330</v>
      </c>
      <c r="BV61" s="3088">
        <f t="shared" si="121"/>
        <v>140339</v>
      </c>
      <c r="BW61" s="3088">
        <f t="shared" si="121"/>
        <v>140672.333333333</v>
      </c>
      <c r="BX61" s="3088"/>
    </row>
    <row r="62" s="3031" customFormat="1" ht="32" customHeight="1" spans="1:245">
      <c r="A62" s="3063">
        <v>45623</v>
      </c>
      <c r="B62" s="3091" t="s">
        <v>3542</v>
      </c>
      <c r="C62" s="3101" t="s">
        <v>471</v>
      </c>
      <c r="D62" s="3066">
        <v>4500145550</v>
      </c>
      <c r="E62" s="3067" t="s">
        <v>9341</v>
      </c>
      <c r="F62" s="3066" t="s">
        <v>9342</v>
      </c>
      <c r="G62" s="3098" t="s">
        <v>9154</v>
      </c>
      <c r="H62" s="3069" t="s">
        <v>9155</v>
      </c>
      <c r="I62" s="2969">
        <v>504</v>
      </c>
      <c r="J62" s="2969">
        <v>0</v>
      </c>
      <c r="K62" s="2969">
        <v>8</v>
      </c>
      <c r="L62" s="2969">
        <f t="shared" si="79"/>
        <v>63</v>
      </c>
      <c r="M62" s="3070">
        <v>45702</v>
      </c>
      <c r="N62" s="3070">
        <v>45698</v>
      </c>
      <c r="O62" s="2996"/>
      <c r="P62" s="2996" t="s">
        <v>82</v>
      </c>
      <c r="Q62" s="3071"/>
      <c r="R62" s="3071"/>
      <c r="S62" s="3071"/>
      <c r="T62" s="3071"/>
      <c r="U62" s="3072" t="s">
        <v>401</v>
      </c>
      <c r="V62" s="2996"/>
      <c r="W62" s="3073" t="s">
        <v>2694</v>
      </c>
      <c r="X62" s="3073"/>
      <c r="Y62" s="3073" t="s">
        <v>9343</v>
      </c>
      <c r="Z62" s="3073" t="s">
        <v>9344</v>
      </c>
      <c r="AA62" s="3073"/>
      <c r="AB62" s="3091" t="s">
        <v>9345</v>
      </c>
      <c r="AC62" s="2969" t="s">
        <v>2624</v>
      </c>
      <c r="AD62" s="3075">
        <v>4.2475</v>
      </c>
      <c r="AE62" s="3076">
        <f t="shared" si="80"/>
        <v>2140.74</v>
      </c>
      <c r="AF62" s="2969"/>
      <c r="AG62" s="3089" t="s">
        <v>9239</v>
      </c>
      <c r="AH62" s="2969" t="s">
        <v>416</v>
      </c>
      <c r="AI62" s="3077"/>
      <c r="AJ62" s="3078"/>
      <c r="AK62" s="3077"/>
      <c r="AL62" s="3078">
        <f t="shared" si="119"/>
        <v>504</v>
      </c>
      <c r="AM62" s="3092"/>
      <c r="AN62" s="3078"/>
      <c r="AO62" s="3079"/>
      <c r="AP62" s="3080">
        <f t="shared" si="99"/>
        <v>504</v>
      </c>
      <c r="AQ62" s="3080"/>
      <c r="AR62" s="3080"/>
      <c r="AS62" s="3081"/>
      <c r="AT62" s="3082"/>
      <c r="AU62" s="3083"/>
      <c r="AV62" s="3083"/>
      <c r="AW62" s="3084"/>
      <c r="AX62" s="3085">
        <f t="shared" si="96"/>
        <v>126</v>
      </c>
      <c r="AY62" s="3080">
        <f t="shared" si="100"/>
        <v>126</v>
      </c>
      <c r="AZ62" s="3080">
        <f t="shared" si="101"/>
        <v>126</v>
      </c>
      <c r="BA62" s="3086">
        <f t="shared" si="102"/>
        <v>126</v>
      </c>
      <c r="BB62" s="3087"/>
      <c r="BC62" s="3080"/>
      <c r="BD62" s="3080"/>
      <c r="BE62" s="3080"/>
      <c r="BF62" s="3080">
        <f t="shared" si="77"/>
        <v>0</v>
      </c>
      <c r="BG62" s="3080"/>
      <c r="BH62" s="3080"/>
      <c r="BI62" s="3080"/>
      <c r="BJ62" s="3080">
        <f t="shared" si="88"/>
        <v>504</v>
      </c>
      <c r="BK62" s="3080"/>
      <c r="BL62" s="3080" t="s">
        <v>9164</v>
      </c>
      <c r="BM62" s="3097"/>
      <c r="BN62" s="3080">
        <f t="shared" si="89"/>
        <v>126</v>
      </c>
      <c r="BO62" s="3080">
        <f t="shared" si="90"/>
        <v>126</v>
      </c>
      <c r="BP62" s="3080">
        <f t="shared" si="91"/>
        <v>126</v>
      </c>
      <c r="BQ62" s="3080">
        <f t="shared" si="92"/>
        <v>126</v>
      </c>
      <c r="BR62" s="3080">
        <f t="shared" si="2"/>
        <v>0</v>
      </c>
      <c r="BS62" s="3088">
        <f t="shared" si="3"/>
        <v>512984</v>
      </c>
      <c r="BT62" s="3088">
        <f t="shared" ref="BT62:BW62" si="122">BT61-BN62</f>
        <v>138996</v>
      </c>
      <c r="BU62" s="3088">
        <f t="shared" si="122"/>
        <v>140204</v>
      </c>
      <c r="BV62" s="3088">
        <f t="shared" si="122"/>
        <v>140213</v>
      </c>
      <c r="BW62" s="3088">
        <f t="shared" si="122"/>
        <v>140546.333333333</v>
      </c>
      <c r="BX62" s="3088"/>
    </row>
    <row r="63" s="3031" customFormat="1" ht="32" customHeight="1" spans="1:245">
      <c r="A63" s="3063">
        <v>45639</v>
      </c>
      <c r="B63" s="3064" t="s">
        <v>5030</v>
      </c>
      <c r="C63" s="3065" t="s">
        <v>341</v>
      </c>
      <c r="D63" s="3066">
        <v>4500151765</v>
      </c>
      <c r="E63" s="3091">
        <v>2950866131</v>
      </c>
      <c r="F63" s="3066" t="s">
        <v>9346</v>
      </c>
      <c r="G63" s="3098" t="s">
        <v>9209</v>
      </c>
      <c r="H63" s="3069" t="s">
        <v>9210</v>
      </c>
      <c r="I63" s="2969">
        <v>968</v>
      </c>
      <c r="J63" s="2969">
        <v>0</v>
      </c>
      <c r="K63" s="2969">
        <v>88</v>
      </c>
      <c r="L63" s="2969">
        <f t="shared" si="79"/>
        <v>11</v>
      </c>
      <c r="M63" s="3070">
        <v>45705</v>
      </c>
      <c r="N63" s="3070">
        <v>45701</v>
      </c>
      <c r="O63" s="2996"/>
      <c r="P63" s="2996" t="s">
        <v>82</v>
      </c>
      <c r="Q63" s="3071"/>
      <c r="R63" s="3071"/>
      <c r="S63" s="3071"/>
      <c r="T63" s="3071"/>
      <c r="U63" s="3072" t="s">
        <v>686</v>
      </c>
      <c r="V63" s="3073"/>
      <c r="W63" s="3073" t="s">
        <v>619</v>
      </c>
      <c r="X63" s="3073"/>
      <c r="Y63" s="3073" t="s">
        <v>9347</v>
      </c>
      <c r="Z63" s="3073"/>
      <c r="AA63" s="3091"/>
      <c r="AB63" s="3064" t="s">
        <v>9348</v>
      </c>
      <c r="AC63" s="3075" t="s">
        <v>2921</v>
      </c>
      <c r="AD63" s="3075">
        <v>374.5982</v>
      </c>
      <c r="AE63" s="3076">
        <f>AD63*L63</f>
        <v>4120.5802</v>
      </c>
      <c r="AF63" s="2969" t="s">
        <v>9349</v>
      </c>
      <c r="AG63" s="3069" t="s">
        <v>9209</v>
      </c>
      <c r="AH63" s="3078" t="s">
        <v>416</v>
      </c>
      <c r="AI63" s="3077"/>
      <c r="AJ63" s="3078">
        <f t="shared" ref="AJ63:AJ71" si="123">I63</f>
        <v>968</v>
      </c>
      <c r="AK63" s="3077"/>
      <c r="AL63" s="3078"/>
      <c r="AM63" s="3092"/>
      <c r="AN63" s="3080"/>
      <c r="AO63" s="3079"/>
      <c r="AP63" s="3080">
        <f t="shared" si="99"/>
        <v>968</v>
      </c>
      <c r="AQ63" s="3080"/>
      <c r="AR63" s="3080"/>
      <c r="AS63" s="3081"/>
      <c r="AT63" s="3082"/>
      <c r="AU63" s="3083"/>
      <c r="AV63" s="3083"/>
      <c r="AW63" s="3084"/>
      <c r="AX63" s="3085">
        <f t="shared" si="96"/>
        <v>242</v>
      </c>
      <c r="AY63" s="3080">
        <f t="shared" si="100"/>
        <v>242</v>
      </c>
      <c r="AZ63" s="3080">
        <f t="shared" si="101"/>
        <v>242</v>
      </c>
      <c r="BA63" s="3086">
        <f t="shared" si="102"/>
        <v>242</v>
      </c>
      <c r="BB63" s="3080"/>
      <c r="BC63" s="3080"/>
      <c r="BD63" s="3080"/>
      <c r="BE63" s="3080"/>
      <c r="BF63" s="3080">
        <f t="shared" si="77"/>
        <v>0</v>
      </c>
      <c r="BG63" s="3087"/>
      <c r="BH63" s="3080"/>
      <c r="BI63" s="3080"/>
      <c r="BJ63" s="3080">
        <f t="shared" si="88"/>
        <v>968</v>
      </c>
      <c r="BK63" s="3080"/>
      <c r="BL63" s="3080" t="s">
        <v>9164</v>
      </c>
      <c r="BM63" s="3097"/>
      <c r="BN63" s="3080">
        <f t="shared" si="89"/>
        <v>242</v>
      </c>
      <c r="BO63" s="3080">
        <f t="shared" si="90"/>
        <v>242</v>
      </c>
      <c r="BP63" s="3080">
        <f t="shared" si="91"/>
        <v>242</v>
      </c>
      <c r="BQ63" s="3080">
        <f t="shared" si="92"/>
        <v>242</v>
      </c>
      <c r="BR63" s="3080">
        <f t="shared" si="2"/>
        <v>0</v>
      </c>
      <c r="BS63" s="3088">
        <f t="shared" si="3"/>
        <v>513448</v>
      </c>
      <c r="BT63" s="3088">
        <f t="shared" ref="BT63:BW63" si="124">BT62-BN63</f>
        <v>138754</v>
      </c>
      <c r="BU63" s="3088">
        <f t="shared" si="124"/>
        <v>139962</v>
      </c>
      <c r="BV63" s="3088">
        <f t="shared" si="124"/>
        <v>139971</v>
      </c>
      <c r="BW63" s="3088">
        <f t="shared" si="124"/>
        <v>140304.333333333</v>
      </c>
      <c r="BX63" s="3088"/>
      <c r="CB63" s="3107"/>
      <c r="CC63" s="3107"/>
      <c r="CD63" s="3107"/>
      <c r="CE63" s="3107"/>
      <c r="CF63" s="3107"/>
      <c r="CG63" s="3107"/>
      <c r="CH63" s="3107"/>
      <c r="CI63" s="3107"/>
      <c r="CJ63" s="3107"/>
      <c r="CK63" s="3107"/>
      <c r="CL63" s="3107"/>
      <c r="CM63" s="3107"/>
      <c r="CN63" s="3107"/>
      <c r="CO63" s="3107"/>
      <c r="CP63" s="3107"/>
      <c r="CQ63" s="3107"/>
      <c r="CR63" s="3107"/>
      <c r="CS63" s="3107"/>
      <c r="CT63" s="3107"/>
      <c r="CU63" s="3107"/>
      <c r="CV63" s="3107"/>
      <c r="CW63" s="3107"/>
      <c r="CX63" s="3107"/>
      <c r="CY63" s="3107"/>
      <c r="CZ63" s="3107"/>
      <c r="DA63" s="3107"/>
      <c r="DB63" s="3107"/>
      <c r="DC63" s="3107"/>
      <c r="DD63" s="3107"/>
      <c r="DE63" s="3107"/>
      <c r="DF63" s="3107"/>
      <c r="DG63" s="3107"/>
      <c r="DH63" s="3107"/>
      <c r="DI63" s="3107"/>
      <c r="DJ63" s="3107"/>
      <c r="DK63" s="3107"/>
      <c r="DL63" s="3107"/>
      <c r="DM63" s="3107"/>
      <c r="DN63" s="3107"/>
      <c r="DO63" s="3107"/>
      <c r="DP63" s="3107"/>
      <c r="DQ63" s="3107"/>
      <c r="DR63" s="3107"/>
      <c r="DS63" s="3107"/>
      <c r="DT63" s="3107"/>
      <c r="DU63" s="3107"/>
      <c r="DV63" s="3107"/>
      <c r="DW63" s="3107"/>
      <c r="DX63" s="3107"/>
      <c r="DY63" s="3107"/>
      <c r="DZ63" s="3107"/>
      <c r="EA63" s="3107"/>
      <c r="EB63" s="3107"/>
      <c r="EC63" s="3107"/>
      <c r="ED63" s="3107"/>
      <c r="EE63" s="3107"/>
      <c r="EF63" s="3107"/>
      <c r="EG63" s="3107"/>
      <c r="EH63" s="3107"/>
      <c r="EI63" s="3107"/>
      <c r="EJ63" s="3107"/>
      <c r="EK63" s="3107"/>
      <c r="EL63" s="3107"/>
      <c r="EM63" s="3107"/>
      <c r="EN63" s="3107"/>
      <c r="EO63" s="3107"/>
      <c r="EP63" s="3107"/>
      <c r="EQ63" s="3107"/>
      <c r="ER63" s="3107"/>
      <c r="ES63" s="3107"/>
      <c r="ET63" s="3107"/>
      <c r="EU63" s="3107"/>
      <c r="EV63" s="3107"/>
      <c r="EW63" s="3107"/>
      <c r="EX63" s="3107"/>
      <c r="EY63" s="3107"/>
      <c r="EZ63" s="3107"/>
      <c r="FA63" s="3107"/>
      <c r="FB63" s="3107"/>
      <c r="FC63" s="3107"/>
      <c r="FD63" s="3107"/>
      <c r="FE63" s="3107"/>
      <c r="FF63" s="3107"/>
      <c r="FG63" s="3107"/>
      <c r="FH63" s="3107"/>
      <c r="FI63" s="3107"/>
      <c r="FJ63" s="3107"/>
      <c r="FK63" s="3107"/>
      <c r="FL63" s="3107"/>
      <c r="FM63" s="3107"/>
      <c r="FN63" s="3107"/>
      <c r="FO63" s="3107"/>
      <c r="FP63" s="3107"/>
      <c r="FQ63" s="3107"/>
      <c r="FR63" s="3107"/>
      <c r="FS63" s="3107"/>
      <c r="FT63" s="3107"/>
      <c r="FU63" s="3107"/>
      <c r="FV63" s="3107"/>
      <c r="FW63" s="3107"/>
      <c r="FX63" s="3107"/>
      <c r="FY63" s="3107"/>
      <c r="FZ63" s="3107"/>
      <c r="GA63" s="3107"/>
      <c r="GB63" s="3107"/>
      <c r="GC63" s="3107"/>
      <c r="GD63" s="3107"/>
      <c r="GE63" s="3107"/>
      <c r="GF63" s="3107"/>
      <c r="GG63" s="3107"/>
      <c r="GH63" s="3107"/>
      <c r="GI63" s="3107"/>
      <c r="GJ63" s="3107"/>
      <c r="GK63" s="3107"/>
      <c r="GL63" s="3107"/>
      <c r="GM63" s="3107"/>
      <c r="GN63" s="3107"/>
      <c r="GO63" s="3107"/>
      <c r="GP63" s="3107"/>
      <c r="GQ63" s="3107"/>
      <c r="GR63" s="3107"/>
      <c r="GS63" s="3107"/>
      <c r="GT63" s="3107"/>
      <c r="GU63" s="3107"/>
      <c r="GV63" s="3107"/>
      <c r="GW63" s="3107"/>
      <c r="GX63" s="3107"/>
      <c r="GY63" s="3107"/>
      <c r="GZ63" s="3107"/>
      <c r="HA63" s="3107"/>
      <c r="HB63" s="3107"/>
      <c r="HC63" s="3107"/>
      <c r="HD63" s="3107"/>
      <c r="HE63" s="3107"/>
      <c r="HF63" s="3107"/>
      <c r="HG63" s="3107"/>
      <c r="HH63" s="3107"/>
      <c r="HI63" s="3107"/>
      <c r="HJ63" s="3107"/>
      <c r="HK63" s="3107"/>
      <c r="HL63" s="3107"/>
      <c r="HM63" s="3107"/>
      <c r="HN63" s="3107"/>
      <c r="HO63" s="3107"/>
      <c r="HP63" s="3107"/>
      <c r="HQ63" s="3107"/>
      <c r="HR63" s="3107"/>
      <c r="HS63" s="3107"/>
      <c r="HT63" s="3107"/>
      <c r="HU63" s="3107"/>
      <c r="HV63" s="3107"/>
      <c r="HW63" s="3107"/>
      <c r="HX63" s="3107"/>
      <c r="HY63" s="3107"/>
      <c r="HZ63" s="3107"/>
      <c r="IA63" s="3107"/>
      <c r="IB63" s="3107"/>
      <c r="IC63" s="3107"/>
      <c r="ID63" s="3107"/>
      <c r="IE63" s="3107"/>
      <c r="IF63" s="3107"/>
      <c r="IG63" s="3107"/>
      <c r="IH63" s="3107"/>
      <c r="II63" s="3107"/>
      <c r="IJ63" s="3107"/>
      <c r="IK63" s="3107"/>
    </row>
    <row r="64" s="3031" customFormat="1" ht="32" customHeight="1" spans="1:245">
      <c r="A64" s="3063">
        <v>45635</v>
      </c>
      <c r="B64" s="3064" t="s">
        <v>3608</v>
      </c>
      <c r="C64" s="3065" t="s">
        <v>738</v>
      </c>
      <c r="D64" s="3066">
        <v>4500153580</v>
      </c>
      <c r="E64" s="3091">
        <v>5251214458</v>
      </c>
      <c r="F64" s="3066" t="s">
        <v>9350</v>
      </c>
      <c r="G64" s="3069" t="s">
        <v>9154</v>
      </c>
      <c r="H64" s="3069" t="s">
        <v>9282</v>
      </c>
      <c r="I64" s="2969">
        <v>632</v>
      </c>
      <c r="J64" s="2969">
        <v>0</v>
      </c>
      <c r="K64" s="2969">
        <v>8</v>
      </c>
      <c r="L64" s="2969">
        <f t="shared" si="79"/>
        <v>79</v>
      </c>
      <c r="M64" s="3070">
        <v>45706</v>
      </c>
      <c r="N64" s="3070">
        <v>45702</v>
      </c>
      <c r="O64" s="2996"/>
      <c r="P64" s="2996" t="s">
        <v>82</v>
      </c>
      <c r="Q64" s="3071"/>
      <c r="R64" s="3071"/>
      <c r="S64" s="3071"/>
      <c r="T64" s="3071"/>
      <c r="U64" s="3072" t="s">
        <v>2931</v>
      </c>
      <c r="V64" s="2996"/>
      <c r="W64" s="3073" t="s">
        <v>2339</v>
      </c>
      <c r="X64" s="3073"/>
      <c r="Y64" s="3073" t="s">
        <v>9283</v>
      </c>
      <c r="Z64" s="3073"/>
      <c r="AA64" s="3073"/>
      <c r="AB64" s="3091" t="s">
        <v>9351</v>
      </c>
      <c r="AC64" s="2969" t="s">
        <v>1257</v>
      </c>
      <c r="AD64" s="3075">
        <v>4.0808</v>
      </c>
      <c r="AE64" s="3076">
        <f t="shared" ref="AE64:AE90" si="125">AD64*I64</f>
        <v>2579.0656</v>
      </c>
      <c r="AF64" s="2969" t="s">
        <v>9352</v>
      </c>
      <c r="AG64" s="3089" t="s">
        <v>9239</v>
      </c>
      <c r="AH64" s="2969" t="s">
        <v>416</v>
      </c>
      <c r="AI64" s="3077"/>
      <c r="AJ64" s="3078"/>
      <c r="AK64" s="3077"/>
      <c r="AL64" s="3078">
        <f t="shared" si="119"/>
        <v>632</v>
      </c>
      <c r="AM64" s="3099"/>
      <c r="AN64" s="3078"/>
      <c r="AO64" s="3079"/>
      <c r="AP64" s="3080">
        <f t="shared" si="99"/>
        <v>632</v>
      </c>
      <c r="AQ64" s="3080"/>
      <c r="AR64" s="3080"/>
      <c r="AS64" s="3081"/>
      <c r="AT64" s="3082"/>
      <c r="AU64" s="3083"/>
      <c r="AV64" s="3083"/>
      <c r="AW64" s="3084"/>
      <c r="AX64" s="3085">
        <f t="shared" si="96"/>
        <v>158</v>
      </c>
      <c r="AY64" s="3080">
        <f t="shared" si="100"/>
        <v>158</v>
      </c>
      <c r="AZ64" s="3080">
        <f t="shared" si="101"/>
        <v>158</v>
      </c>
      <c r="BA64" s="3086">
        <f t="shared" si="102"/>
        <v>158</v>
      </c>
      <c r="BB64" s="3087"/>
      <c r="BC64" s="3080"/>
      <c r="BD64" s="3080"/>
      <c r="BE64" s="3080"/>
      <c r="BF64" s="3080">
        <f t="shared" si="77"/>
        <v>0</v>
      </c>
      <c r="BG64" s="3080"/>
      <c r="BH64" s="3080"/>
      <c r="BI64" s="3080"/>
      <c r="BJ64" s="3080">
        <f t="shared" si="88"/>
        <v>632</v>
      </c>
      <c r="BK64" s="3080"/>
      <c r="BL64" s="3080" t="s">
        <v>9164</v>
      </c>
      <c r="BM64" s="3100"/>
      <c r="BN64" s="3080">
        <f t="shared" si="89"/>
        <v>158</v>
      </c>
      <c r="BO64" s="3080">
        <f t="shared" si="90"/>
        <v>158</v>
      </c>
      <c r="BP64" s="3080">
        <f t="shared" si="91"/>
        <v>158</v>
      </c>
      <c r="BQ64" s="3080">
        <f t="shared" si="92"/>
        <v>158</v>
      </c>
      <c r="BR64" s="3080">
        <f t="shared" si="2"/>
        <v>0</v>
      </c>
      <c r="BS64" s="3088">
        <f t="shared" si="3"/>
        <v>513112</v>
      </c>
      <c r="BT64" s="3088">
        <f t="shared" ref="BT64:BW64" si="126">BT63-BN64</f>
        <v>138596</v>
      </c>
      <c r="BU64" s="3088">
        <f t="shared" si="126"/>
        <v>139804</v>
      </c>
      <c r="BV64" s="3088">
        <f t="shared" si="126"/>
        <v>139813</v>
      </c>
      <c r="BW64" s="3088">
        <f t="shared" si="126"/>
        <v>140146.333333333</v>
      </c>
      <c r="BX64" s="3088"/>
    </row>
    <row r="65" s="3031" customFormat="1" ht="32" customHeight="1" spans="1:76">
      <c r="A65" s="3063">
        <v>45635</v>
      </c>
      <c r="B65" s="3064" t="s">
        <v>3608</v>
      </c>
      <c r="C65" s="3065" t="s">
        <v>738</v>
      </c>
      <c r="D65" s="3066">
        <v>4500153580</v>
      </c>
      <c r="E65" s="3091">
        <v>5251214459</v>
      </c>
      <c r="F65" s="3066" t="s">
        <v>9353</v>
      </c>
      <c r="G65" s="3069" t="s">
        <v>9154</v>
      </c>
      <c r="H65" s="3069" t="s">
        <v>9282</v>
      </c>
      <c r="I65" s="2969">
        <v>2000</v>
      </c>
      <c r="J65" s="2969">
        <v>0</v>
      </c>
      <c r="K65" s="2969">
        <v>8</v>
      </c>
      <c r="L65" s="2969">
        <f t="shared" si="79"/>
        <v>250</v>
      </c>
      <c r="M65" s="3070">
        <v>45706</v>
      </c>
      <c r="N65" s="3070">
        <v>45702</v>
      </c>
      <c r="O65" s="2996"/>
      <c r="P65" s="2996" t="s">
        <v>82</v>
      </c>
      <c r="Q65" s="3071"/>
      <c r="R65" s="3071"/>
      <c r="S65" s="3071"/>
      <c r="T65" s="3071"/>
      <c r="U65" s="3072" t="s">
        <v>2931</v>
      </c>
      <c r="V65" s="2996"/>
      <c r="W65" s="3073" t="s">
        <v>2339</v>
      </c>
      <c r="X65" s="3073"/>
      <c r="Y65" s="3073" t="s">
        <v>9283</v>
      </c>
      <c r="Z65" s="3073"/>
      <c r="AA65" s="3073"/>
      <c r="AB65" s="3091" t="s">
        <v>9351</v>
      </c>
      <c r="AC65" s="2969" t="s">
        <v>1257</v>
      </c>
      <c r="AD65" s="3075">
        <v>4.0808</v>
      </c>
      <c r="AE65" s="3076">
        <f t="shared" si="125"/>
        <v>8161.6</v>
      </c>
      <c r="AF65" s="2969" t="s">
        <v>9352</v>
      </c>
      <c r="AG65" s="3089" t="s">
        <v>9239</v>
      </c>
      <c r="AH65" s="2969" t="s">
        <v>416</v>
      </c>
      <c r="AI65" s="3077"/>
      <c r="AJ65" s="3078"/>
      <c r="AK65" s="3077"/>
      <c r="AL65" s="3078">
        <f t="shared" si="119"/>
        <v>2000</v>
      </c>
      <c r="AM65" s="3099"/>
      <c r="AN65" s="3078"/>
      <c r="AO65" s="3079"/>
      <c r="AP65" s="3080">
        <f t="shared" si="99"/>
        <v>2000</v>
      </c>
      <c r="AQ65" s="3080"/>
      <c r="AR65" s="3080"/>
      <c r="AS65" s="3081"/>
      <c r="AT65" s="3082"/>
      <c r="AU65" s="3083"/>
      <c r="AV65" s="3083"/>
      <c r="AW65" s="3084"/>
      <c r="AX65" s="3085">
        <f t="shared" si="96"/>
        <v>500</v>
      </c>
      <c r="AY65" s="3080">
        <f t="shared" si="100"/>
        <v>500</v>
      </c>
      <c r="AZ65" s="3080">
        <f t="shared" si="101"/>
        <v>500</v>
      </c>
      <c r="BA65" s="3086">
        <f t="shared" si="102"/>
        <v>500</v>
      </c>
      <c r="BB65" s="3087"/>
      <c r="BC65" s="3080"/>
      <c r="BD65" s="3080"/>
      <c r="BE65" s="3080"/>
      <c r="BF65" s="3080">
        <f t="shared" si="77"/>
        <v>0</v>
      </c>
      <c r="BG65" s="3080"/>
      <c r="BH65" s="3080"/>
      <c r="BI65" s="3080"/>
      <c r="BJ65" s="3080">
        <f t="shared" si="88"/>
        <v>2000</v>
      </c>
      <c r="BK65" s="3080"/>
      <c r="BL65" s="3080" t="s">
        <v>9164</v>
      </c>
      <c r="BM65" s="3100"/>
      <c r="BN65" s="3080">
        <f t="shared" si="89"/>
        <v>500</v>
      </c>
      <c r="BO65" s="3080">
        <f t="shared" si="90"/>
        <v>500</v>
      </c>
      <c r="BP65" s="3080">
        <f t="shared" si="91"/>
        <v>500</v>
      </c>
      <c r="BQ65" s="3080">
        <f t="shared" si="92"/>
        <v>500</v>
      </c>
      <c r="BR65" s="3080">
        <f t="shared" si="2"/>
        <v>0</v>
      </c>
      <c r="BS65" s="3088">
        <f t="shared" si="3"/>
        <v>514480</v>
      </c>
      <c r="BT65" s="3088">
        <f t="shared" ref="BT65:BW65" si="127">BT64-BN65</f>
        <v>138096</v>
      </c>
      <c r="BU65" s="3088">
        <f t="shared" si="127"/>
        <v>139304</v>
      </c>
      <c r="BV65" s="3088">
        <f t="shared" si="127"/>
        <v>139313</v>
      </c>
      <c r="BW65" s="3088">
        <f t="shared" si="127"/>
        <v>139646.333333333</v>
      </c>
      <c r="BX65" s="3088"/>
    </row>
    <row r="66" s="3031" customFormat="1" ht="32" customHeight="1" spans="1:76">
      <c r="A66" s="3063">
        <v>45608</v>
      </c>
      <c r="B66" s="3064" t="s">
        <v>395</v>
      </c>
      <c r="C66" s="3065" t="s">
        <v>396</v>
      </c>
      <c r="D66" s="3066">
        <v>4500151019</v>
      </c>
      <c r="E66" s="3067" t="s">
        <v>727</v>
      </c>
      <c r="F66" s="3066" t="s">
        <v>9354</v>
      </c>
      <c r="G66" s="3069" t="s">
        <v>9355</v>
      </c>
      <c r="H66" s="3069" t="s">
        <v>9356</v>
      </c>
      <c r="I66" s="2969">
        <v>320</v>
      </c>
      <c r="J66" s="2969">
        <v>0</v>
      </c>
      <c r="K66" s="2969">
        <v>8</v>
      </c>
      <c r="L66" s="2969">
        <f t="shared" si="79"/>
        <v>40</v>
      </c>
      <c r="M66" s="3070">
        <v>45709</v>
      </c>
      <c r="N66" s="3070">
        <v>45705</v>
      </c>
      <c r="O66" s="2996"/>
      <c r="P66" s="2996" t="s">
        <v>82</v>
      </c>
      <c r="Q66" s="3071"/>
      <c r="R66" s="3071"/>
      <c r="S66" s="3071"/>
      <c r="T66" s="3071"/>
      <c r="U66" s="3072"/>
      <c r="V66" s="2996"/>
      <c r="W66" s="3073" t="s">
        <v>729</v>
      </c>
      <c r="X66" s="3073"/>
      <c r="Y66" s="3073" t="s">
        <v>9357</v>
      </c>
      <c r="Z66" s="3073"/>
      <c r="AA66" s="3073"/>
      <c r="AB66" s="3091" t="s">
        <v>9358</v>
      </c>
      <c r="AC66" s="2969" t="s">
        <v>405</v>
      </c>
      <c r="AD66" s="3075">
        <v>4.2589</v>
      </c>
      <c r="AE66" s="3076">
        <f t="shared" si="125"/>
        <v>1362.848</v>
      </c>
      <c r="AF66" s="2969" t="s">
        <v>731</v>
      </c>
      <c r="AG66" s="2969" t="s">
        <v>9359</v>
      </c>
      <c r="AH66" s="2969" t="s">
        <v>416</v>
      </c>
      <c r="AI66" s="3077"/>
      <c r="AJ66" s="3078"/>
      <c r="AK66" s="3077"/>
      <c r="AL66" s="3078">
        <f t="shared" si="119"/>
        <v>320</v>
      </c>
      <c r="AM66" s="3092"/>
      <c r="AN66" s="3078"/>
      <c r="AO66" s="3079"/>
      <c r="AP66" s="3080">
        <f t="shared" si="99"/>
        <v>320</v>
      </c>
      <c r="AQ66" s="3080"/>
      <c r="AR66" s="3080"/>
      <c r="AS66" s="3081"/>
      <c r="AT66" s="3082"/>
      <c r="AU66" s="3083"/>
      <c r="AV66" s="3083"/>
      <c r="AW66" s="3084"/>
      <c r="AX66" s="3085">
        <f t="shared" si="96"/>
        <v>80</v>
      </c>
      <c r="AY66" s="3080">
        <f t="shared" si="100"/>
        <v>80</v>
      </c>
      <c r="AZ66" s="3080">
        <f t="shared" si="101"/>
        <v>80</v>
      </c>
      <c r="BA66" s="3086">
        <f t="shared" si="102"/>
        <v>80</v>
      </c>
      <c r="BB66" s="3087"/>
      <c r="BC66" s="3080"/>
      <c r="BD66" s="3080"/>
      <c r="BE66" s="3080"/>
      <c r="BF66" s="3080">
        <f t="shared" si="77"/>
        <v>0</v>
      </c>
      <c r="BG66" s="3080"/>
      <c r="BH66" s="3080"/>
      <c r="BI66" s="3080"/>
      <c r="BJ66" s="3080"/>
      <c r="BK66" s="3080">
        <f>I66</f>
        <v>320</v>
      </c>
      <c r="BL66" s="3080" t="s">
        <v>9164</v>
      </c>
      <c r="BM66" s="3079"/>
      <c r="BN66" s="3080">
        <f t="shared" si="89"/>
        <v>80</v>
      </c>
      <c r="BO66" s="3080">
        <f t="shared" si="90"/>
        <v>80</v>
      </c>
      <c r="BP66" s="3080">
        <f t="shared" si="91"/>
        <v>80</v>
      </c>
      <c r="BQ66" s="3080">
        <f t="shared" si="92"/>
        <v>80</v>
      </c>
      <c r="BR66" s="3080">
        <f t="shared" si="2"/>
        <v>0</v>
      </c>
      <c r="BS66" s="3088">
        <f t="shared" si="3"/>
        <v>512800</v>
      </c>
      <c r="BT66" s="3088">
        <f t="shared" ref="BT66:BW66" si="128">BT65-BN66</f>
        <v>138016</v>
      </c>
      <c r="BU66" s="3088">
        <f t="shared" si="128"/>
        <v>139224</v>
      </c>
      <c r="BV66" s="3088">
        <f t="shared" si="128"/>
        <v>139233</v>
      </c>
      <c r="BW66" s="3088">
        <f t="shared" si="128"/>
        <v>139566.333333333</v>
      </c>
      <c r="BX66" s="3088"/>
    </row>
    <row r="67" s="3031" customFormat="1" ht="32" customHeight="1" spans="1:76">
      <c r="A67" s="3063">
        <v>45651</v>
      </c>
      <c r="B67" s="3064" t="s">
        <v>672</v>
      </c>
      <c r="C67" s="3065" t="s">
        <v>673</v>
      </c>
      <c r="D67" s="3066">
        <v>4500154728</v>
      </c>
      <c r="E67" s="3091">
        <v>5000001743</v>
      </c>
      <c r="F67" s="3066" t="s">
        <v>9360</v>
      </c>
      <c r="G67" s="3069" t="s">
        <v>9270</v>
      </c>
      <c r="H67" s="3069" t="s">
        <v>9155</v>
      </c>
      <c r="I67" s="2969">
        <v>1200</v>
      </c>
      <c r="J67" s="2969">
        <v>0</v>
      </c>
      <c r="K67" s="2969">
        <v>4</v>
      </c>
      <c r="L67" s="2969">
        <f t="shared" si="79"/>
        <v>300</v>
      </c>
      <c r="M67" s="3070">
        <v>45713</v>
      </c>
      <c r="N67" s="3070">
        <v>45709</v>
      </c>
      <c r="O67" s="2996"/>
      <c r="P67" s="2996" t="s">
        <v>82</v>
      </c>
      <c r="Q67" s="3071"/>
      <c r="R67" s="3071"/>
      <c r="S67" s="3071"/>
      <c r="T67" s="3071"/>
      <c r="U67" s="3072" t="s">
        <v>740</v>
      </c>
      <c r="V67" s="2996"/>
      <c r="W67" s="3073" t="s">
        <v>9361</v>
      </c>
      <c r="X67" s="3073"/>
      <c r="Y67" s="3073" t="s">
        <v>9362</v>
      </c>
      <c r="Z67" s="3073" t="s">
        <v>6308</v>
      </c>
      <c r="AA67" s="3073"/>
      <c r="AB67" s="3091" t="s">
        <v>9363</v>
      </c>
      <c r="AC67" s="2969" t="s">
        <v>680</v>
      </c>
      <c r="AD67" s="3075">
        <v>4.1202</v>
      </c>
      <c r="AE67" s="3076">
        <f t="shared" si="125"/>
        <v>4944.24</v>
      </c>
      <c r="AF67" s="2969" t="s">
        <v>3050</v>
      </c>
      <c r="AG67" s="2969" t="s">
        <v>9364</v>
      </c>
      <c r="AH67" s="3078" t="s">
        <v>416</v>
      </c>
      <c r="AI67" s="3077"/>
      <c r="AJ67" s="3078">
        <f t="shared" si="123"/>
        <v>1200</v>
      </c>
      <c r="AK67" s="3077"/>
      <c r="AL67" s="3078"/>
      <c r="AM67" s="3092"/>
      <c r="AN67" s="3078"/>
      <c r="AO67" s="3079"/>
      <c r="AQ67" s="3080"/>
      <c r="AR67" s="3080">
        <f>I67</f>
        <v>1200</v>
      </c>
      <c r="AS67" s="3081"/>
      <c r="AT67" s="3082"/>
      <c r="AU67" s="3083"/>
      <c r="AV67" s="3083"/>
      <c r="AW67" s="3084"/>
      <c r="AX67" s="3085"/>
      <c r="AY67" s="3080"/>
      <c r="AZ67" s="3080"/>
      <c r="BA67" s="3086"/>
      <c r="BB67" s="3087">
        <f>I67/4</f>
        <v>300</v>
      </c>
      <c r="BC67" s="3080">
        <f>I67/4</f>
        <v>300</v>
      </c>
      <c r="BD67" s="3080">
        <f>I67/4</f>
        <v>300</v>
      </c>
      <c r="BE67" s="3080">
        <f>I67/4</f>
        <v>300</v>
      </c>
      <c r="BF67" s="3080">
        <f t="shared" si="77"/>
        <v>0</v>
      </c>
      <c r="BG67" s="3080"/>
      <c r="BH67" s="3080"/>
      <c r="BI67" s="3080"/>
      <c r="BJ67" s="3080">
        <f t="shared" ref="BJ67:BJ73" si="129">I67</f>
        <v>1200</v>
      </c>
      <c r="BK67" s="3080"/>
      <c r="BL67" s="3080" t="s">
        <v>9164</v>
      </c>
      <c r="BM67" s="3097"/>
      <c r="BN67" s="3080">
        <f t="shared" si="89"/>
        <v>300</v>
      </c>
      <c r="BO67" s="3080">
        <f t="shared" si="90"/>
        <v>300</v>
      </c>
      <c r="BP67" s="3080">
        <f t="shared" si="91"/>
        <v>300</v>
      </c>
      <c r="BQ67" s="3080">
        <f t="shared" si="92"/>
        <v>300</v>
      </c>
      <c r="BR67" s="3080">
        <f t="shared" si="2"/>
        <v>0</v>
      </c>
      <c r="BS67" s="3088">
        <f t="shared" si="3"/>
        <v>513680</v>
      </c>
      <c r="BT67" s="3088">
        <f t="shared" ref="BT67:BW67" si="130">BT66-BN67</f>
        <v>137716</v>
      </c>
      <c r="BU67" s="3088">
        <f t="shared" si="130"/>
        <v>138924</v>
      </c>
      <c r="BV67" s="3088">
        <f t="shared" si="130"/>
        <v>138933</v>
      </c>
      <c r="BW67" s="3088">
        <f t="shared" si="130"/>
        <v>139266.333333333</v>
      </c>
      <c r="BX67" s="3088"/>
    </row>
    <row r="68" s="3031" customFormat="1" ht="32" customHeight="1" spans="1:76">
      <c r="A68" s="3063">
        <v>45651</v>
      </c>
      <c r="B68" s="3064" t="s">
        <v>3905</v>
      </c>
      <c r="C68" s="3065" t="s">
        <v>1385</v>
      </c>
      <c r="D68" s="3066">
        <v>4500154694</v>
      </c>
      <c r="E68" s="3091" t="s">
        <v>8367</v>
      </c>
      <c r="F68" s="3066" t="s">
        <v>9365</v>
      </c>
      <c r="G68" s="3069" t="s">
        <v>9154</v>
      </c>
      <c r="H68" s="3069" t="s">
        <v>9155</v>
      </c>
      <c r="I68" s="2969">
        <v>208</v>
      </c>
      <c r="J68" s="2969">
        <v>0</v>
      </c>
      <c r="K68" s="2969">
        <v>8</v>
      </c>
      <c r="L68" s="2969">
        <f t="shared" si="79"/>
        <v>26</v>
      </c>
      <c r="M68" s="3070">
        <v>45713</v>
      </c>
      <c r="N68" s="3070">
        <v>45709</v>
      </c>
      <c r="O68" s="2996"/>
      <c r="P68" s="2996" t="s">
        <v>82</v>
      </c>
      <c r="Q68" s="3071"/>
      <c r="R68" s="3071"/>
      <c r="S68" s="3071"/>
      <c r="T68" s="3071"/>
      <c r="U68" s="3072" t="s">
        <v>686</v>
      </c>
      <c r="V68" s="2996"/>
      <c r="W68" s="3073" t="s">
        <v>619</v>
      </c>
      <c r="X68" s="3073"/>
      <c r="Y68" s="3073" t="s">
        <v>5495</v>
      </c>
      <c r="Z68" s="3073"/>
      <c r="AA68" s="3073"/>
      <c r="AB68" s="3091" t="s">
        <v>8370</v>
      </c>
      <c r="AC68" s="2969" t="s">
        <v>448</v>
      </c>
      <c r="AD68" s="3075">
        <v>4.1036</v>
      </c>
      <c r="AE68" s="3076">
        <f t="shared" si="125"/>
        <v>853.5488</v>
      </c>
      <c r="AF68" s="2969" t="s">
        <v>8371</v>
      </c>
      <c r="AG68" s="2969" t="s">
        <v>9154</v>
      </c>
      <c r="AH68" s="2969" t="s">
        <v>416</v>
      </c>
      <c r="AI68" s="3077"/>
      <c r="AJ68" s="3078">
        <f t="shared" si="123"/>
        <v>208</v>
      </c>
      <c r="AK68" s="3077"/>
      <c r="AL68" s="3078"/>
      <c r="AM68" s="3077"/>
      <c r="AN68" s="3078"/>
      <c r="AO68" s="3079"/>
      <c r="AP68" s="3080">
        <f t="shared" ref="AP68:AP79" si="131">I68</f>
        <v>208</v>
      </c>
      <c r="AQ68" s="3080"/>
      <c r="AR68" s="3080"/>
      <c r="AS68" s="3081"/>
      <c r="AT68" s="3082"/>
      <c r="AU68" s="3083"/>
      <c r="AV68" s="3083"/>
      <c r="AW68" s="3084"/>
      <c r="AX68" s="3085">
        <f t="shared" ref="AX68:AX74" si="132">I68/4</f>
        <v>52</v>
      </c>
      <c r="AY68" s="3080">
        <f t="shared" ref="AY68:AY78" si="133">AX68</f>
        <v>52</v>
      </c>
      <c r="AZ68" s="3080">
        <f t="shared" ref="AZ68:AZ78" si="134">AX68</f>
        <v>52</v>
      </c>
      <c r="BA68" s="3086">
        <f t="shared" ref="BA68:BA74" si="135">AX68</f>
        <v>52</v>
      </c>
      <c r="BB68" s="3087"/>
      <c r="BC68" s="3080"/>
      <c r="BD68" s="3080"/>
      <c r="BE68" s="3080"/>
      <c r="BF68" s="3080">
        <f t="shared" si="77"/>
        <v>0</v>
      </c>
      <c r="BG68" s="3080"/>
      <c r="BH68" s="3080"/>
      <c r="BI68" s="3080"/>
      <c r="BJ68" s="3080">
        <f t="shared" si="129"/>
        <v>208</v>
      </c>
      <c r="BK68" s="3080"/>
      <c r="BL68" s="3080" t="s">
        <v>9164</v>
      </c>
      <c r="BM68" s="3079"/>
      <c r="BN68" s="3080">
        <f t="shared" si="89"/>
        <v>52</v>
      </c>
      <c r="BO68" s="3080">
        <f t="shared" si="90"/>
        <v>52</v>
      </c>
      <c r="BP68" s="3080">
        <f t="shared" si="91"/>
        <v>52</v>
      </c>
      <c r="BQ68" s="3080">
        <f t="shared" si="92"/>
        <v>52</v>
      </c>
      <c r="BR68" s="3080">
        <f t="shared" ref="BR68:BR131" si="136">BN68+BO68+BP68+BQ68-I68</f>
        <v>0</v>
      </c>
      <c r="BS68" s="3088">
        <f t="shared" ref="BS68:BS131" si="137">BN68+BO68+BP68+BQ68+$BS$369</f>
        <v>512688</v>
      </c>
      <c r="BT68" s="3088">
        <f t="shared" ref="BT68:BW68" si="138">BT67-BN68</f>
        <v>137664</v>
      </c>
      <c r="BU68" s="3088">
        <f t="shared" si="138"/>
        <v>138872</v>
      </c>
      <c r="BV68" s="3088">
        <f t="shared" si="138"/>
        <v>138881</v>
      </c>
      <c r="BW68" s="3088">
        <f t="shared" si="138"/>
        <v>139214.333333333</v>
      </c>
      <c r="BX68" s="3088"/>
    </row>
    <row r="69" s="3031" customFormat="1" ht="32" customHeight="1" spans="1:76">
      <c r="A69" s="3063">
        <v>45643</v>
      </c>
      <c r="B69" s="3064" t="s">
        <v>8625</v>
      </c>
      <c r="C69" s="3065" t="s">
        <v>9366</v>
      </c>
      <c r="D69" s="3066">
        <v>4500154192</v>
      </c>
      <c r="E69" s="3091"/>
      <c r="F69" s="3066" t="s">
        <v>9367</v>
      </c>
      <c r="G69" s="3069" t="s">
        <v>9154</v>
      </c>
      <c r="H69" s="3069" t="s">
        <v>9155</v>
      </c>
      <c r="I69" s="2969">
        <v>2400</v>
      </c>
      <c r="J69" s="2969">
        <v>0</v>
      </c>
      <c r="K69" s="2969">
        <v>8</v>
      </c>
      <c r="L69" s="2969">
        <f t="shared" si="79"/>
        <v>300</v>
      </c>
      <c r="M69" s="3070">
        <v>45716</v>
      </c>
      <c r="N69" s="3070">
        <v>45712</v>
      </c>
      <c r="O69" s="2996"/>
      <c r="P69" s="2996" t="s">
        <v>82</v>
      </c>
      <c r="Q69" s="3071"/>
      <c r="R69" s="3071"/>
      <c r="S69" s="3071"/>
      <c r="T69" s="3071"/>
      <c r="U69" s="3072"/>
      <c r="V69" s="2996"/>
      <c r="W69" s="3073" t="s">
        <v>2346</v>
      </c>
      <c r="X69" s="3073"/>
      <c r="Y69" s="3073" t="s">
        <v>9368</v>
      </c>
      <c r="Z69" s="3073"/>
      <c r="AA69" s="3073"/>
      <c r="AB69" s="3091" t="s">
        <v>9369</v>
      </c>
      <c r="AC69" s="2969" t="s">
        <v>4481</v>
      </c>
      <c r="AD69" s="3075">
        <v>4.0808</v>
      </c>
      <c r="AE69" s="3076">
        <f t="shared" si="125"/>
        <v>9793.92</v>
      </c>
      <c r="AF69" s="2969" t="s">
        <v>9370</v>
      </c>
      <c r="AG69" s="2969" t="s">
        <v>9154</v>
      </c>
      <c r="AH69" s="2969" t="s">
        <v>416</v>
      </c>
      <c r="AI69" s="3077"/>
      <c r="AJ69" s="3078">
        <f t="shared" si="123"/>
        <v>2400</v>
      </c>
      <c r="AK69" s="3077"/>
      <c r="AL69" s="3078"/>
      <c r="AM69" s="3092"/>
      <c r="AN69" s="3078"/>
      <c r="AO69" s="3079"/>
      <c r="AP69" s="3080">
        <f t="shared" si="131"/>
        <v>2400</v>
      </c>
      <c r="AQ69" s="3080"/>
      <c r="AR69" s="3080"/>
      <c r="AS69" s="3081"/>
      <c r="AT69" s="3082"/>
      <c r="AU69" s="3083"/>
      <c r="AV69" s="3083"/>
      <c r="AW69" s="3084"/>
      <c r="AX69" s="3085">
        <f t="shared" si="132"/>
        <v>600</v>
      </c>
      <c r="AY69" s="3080">
        <f t="shared" si="133"/>
        <v>600</v>
      </c>
      <c r="AZ69" s="3080">
        <f t="shared" si="134"/>
        <v>600</v>
      </c>
      <c r="BA69" s="3086">
        <f t="shared" si="135"/>
        <v>600</v>
      </c>
      <c r="BB69" s="3087"/>
      <c r="BC69" s="3080"/>
      <c r="BD69" s="3080"/>
      <c r="BE69" s="3080"/>
      <c r="BF69" s="3080">
        <f t="shared" si="77"/>
        <v>0</v>
      </c>
      <c r="BG69" s="3080"/>
      <c r="BH69" s="3080"/>
      <c r="BI69" s="3080"/>
      <c r="BJ69" s="3080">
        <f t="shared" si="129"/>
        <v>2400</v>
      </c>
      <c r="BK69" s="3080"/>
      <c r="BL69" s="3080" t="s">
        <v>9164</v>
      </c>
      <c r="BM69" s="3097"/>
      <c r="BN69" s="3080">
        <f t="shared" si="89"/>
        <v>600</v>
      </c>
      <c r="BO69" s="3080">
        <f t="shared" si="90"/>
        <v>600</v>
      </c>
      <c r="BP69" s="3080">
        <f t="shared" si="91"/>
        <v>600</v>
      </c>
      <c r="BQ69" s="3080">
        <f t="shared" si="92"/>
        <v>600</v>
      </c>
      <c r="BR69" s="3080">
        <f t="shared" si="136"/>
        <v>0</v>
      </c>
      <c r="BS69" s="3088">
        <f t="shared" si="137"/>
        <v>514880</v>
      </c>
      <c r="BT69" s="3088">
        <f t="shared" ref="BT69:BW69" si="139">BT68-BN69</f>
        <v>137064</v>
      </c>
      <c r="BU69" s="3088">
        <f t="shared" si="139"/>
        <v>138272</v>
      </c>
      <c r="BV69" s="3088">
        <f t="shared" si="139"/>
        <v>138281</v>
      </c>
      <c r="BW69" s="3088">
        <f t="shared" si="139"/>
        <v>138614.333333333</v>
      </c>
      <c r="BX69" s="3088"/>
    </row>
    <row r="70" s="3031" customFormat="1" ht="32" customHeight="1" spans="1:76">
      <c r="A70" s="3063">
        <v>45650</v>
      </c>
      <c r="B70" s="3064" t="s">
        <v>6459</v>
      </c>
      <c r="C70" s="3065" t="s">
        <v>506</v>
      </c>
      <c r="D70" s="3066">
        <v>4500154618</v>
      </c>
      <c r="E70" s="3091">
        <v>2385667</v>
      </c>
      <c r="F70" s="3066" t="s">
        <v>9371</v>
      </c>
      <c r="G70" s="3069" t="s">
        <v>9154</v>
      </c>
      <c r="H70" s="3069" t="s">
        <v>9155</v>
      </c>
      <c r="I70" s="2969">
        <v>1504</v>
      </c>
      <c r="J70" s="2969">
        <v>0</v>
      </c>
      <c r="K70" s="2969">
        <v>8</v>
      </c>
      <c r="L70" s="2969">
        <f t="shared" si="79"/>
        <v>188</v>
      </c>
      <c r="M70" s="3070">
        <v>45712</v>
      </c>
      <c r="N70" s="3070">
        <v>45708</v>
      </c>
      <c r="O70" s="2996"/>
      <c r="P70" s="2996" t="s">
        <v>82</v>
      </c>
      <c r="Q70" s="3071"/>
      <c r="R70" s="3071"/>
      <c r="S70" s="3071"/>
      <c r="T70" s="3071"/>
      <c r="U70" s="3106" t="s">
        <v>6461</v>
      </c>
      <c r="V70" s="2996"/>
      <c r="W70" s="3073" t="s">
        <v>2386</v>
      </c>
      <c r="X70" s="3073"/>
      <c r="Y70" s="3073" t="s">
        <v>9372</v>
      </c>
      <c r="Z70" s="3073"/>
      <c r="AA70" s="3073"/>
      <c r="AB70" s="3091" t="s">
        <v>9373</v>
      </c>
      <c r="AC70" s="2969" t="s">
        <v>3202</v>
      </c>
      <c r="AD70" s="3075">
        <v>4.0921</v>
      </c>
      <c r="AE70" s="3076">
        <f t="shared" si="125"/>
        <v>6154.5184</v>
      </c>
      <c r="AF70" s="2969" t="s">
        <v>6464</v>
      </c>
      <c r="AG70" s="2969" t="s">
        <v>9154</v>
      </c>
      <c r="AH70" s="2969" t="s">
        <v>416</v>
      </c>
      <c r="AI70" s="3077"/>
      <c r="AJ70" s="3078">
        <f t="shared" si="123"/>
        <v>1504</v>
      </c>
      <c r="AK70" s="3077"/>
      <c r="AL70" s="3078"/>
      <c r="AM70" s="3093"/>
      <c r="AN70" s="3078"/>
      <c r="AO70" s="3079"/>
      <c r="AP70" s="3080">
        <f t="shared" si="131"/>
        <v>1504</v>
      </c>
      <c r="AQ70" s="3080"/>
      <c r="AR70" s="3080"/>
      <c r="AS70" s="3081"/>
      <c r="AT70" s="3082"/>
      <c r="AU70" s="3083"/>
      <c r="AV70" s="3083"/>
      <c r="AW70" s="3084"/>
      <c r="AX70" s="3085">
        <f t="shared" si="132"/>
        <v>376</v>
      </c>
      <c r="AY70" s="3080">
        <f t="shared" si="133"/>
        <v>376</v>
      </c>
      <c r="AZ70" s="3080">
        <f t="shared" si="134"/>
        <v>376</v>
      </c>
      <c r="BA70" s="3086">
        <f t="shared" si="135"/>
        <v>376</v>
      </c>
      <c r="BB70" s="3087"/>
      <c r="BC70" s="3080"/>
      <c r="BD70" s="3080"/>
      <c r="BE70" s="3080"/>
      <c r="BF70" s="3080">
        <f t="shared" si="77"/>
        <v>0</v>
      </c>
      <c r="BG70" s="3080"/>
      <c r="BH70" s="3080"/>
      <c r="BI70" s="3080"/>
      <c r="BJ70" s="3080">
        <f t="shared" si="129"/>
        <v>1504</v>
      </c>
      <c r="BK70" s="3080"/>
      <c r="BL70" s="3080" t="s">
        <v>9164</v>
      </c>
      <c r="BM70" s="3094"/>
      <c r="BN70" s="3080">
        <f t="shared" si="89"/>
        <v>376</v>
      </c>
      <c r="BO70" s="3080">
        <f t="shared" si="90"/>
        <v>376</v>
      </c>
      <c r="BP70" s="3080">
        <f t="shared" si="91"/>
        <v>376</v>
      </c>
      <c r="BQ70" s="3080">
        <f t="shared" si="92"/>
        <v>376</v>
      </c>
      <c r="BR70" s="3080">
        <f t="shared" si="136"/>
        <v>0</v>
      </c>
      <c r="BS70" s="3088">
        <f t="shared" si="137"/>
        <v>513984</v>
      </c>
      <c r="BT70" s="3088">
        <f t="shared" ref="BT70:BW70" si="140">BT69-BN70</f>
        <v>136688</v>
      </c>
      <c r="BU70" s="3088">
        <f t="shared" si="140"/>
        <v>137896</v>
      </c>
      <c r="BV70" s="3088">
        <f t="shared" si="140"/>
        <v>137905</v>
      </c>
      <c r="BW70" s="3088">
        <f t="shared" si="140"/>
        <v>138238.333333333</v>
      </c>
      <c r="BX70" s="3088"/>
    </row>
    <row r="71" s="3031" customFormat="1" ht="32" customHeight="1" spans="1:76">
      <c r="A71" s="3063">
        <v>45660</v>
      </c>
      <c r="B71" s="3064" t="s">
        <v>2914</v>
      </c>
      <c r="C71" s="3065" t="s">
        <v>341</v>
      </c>
      <c r="D71" s="3066">
        <v>4500154847</v>
      </c>
      <c r="E71" s="3091" t="s">
        <v>9374</v>
      </c>
      <c r="F71" s="3066" t="s">
        <v>9375</v>
      </c>
      <c r="G71" s="3069" t="s">
        <v>9154</v>
      </c>
      <c r="H71" s="3069" t="s">
        <v>9155</v>
      </c>
      <c r="I71" s="2969">
        <v>856</v>
      </c>
      <c r="J71" s="2969">
        <v>0</v>
      </c>
      <c r="K71" s="2969">
        <v>8</v>
      </c>
      <c r="L71" s="2969">
        <f t="shared" si="79"/>
        <v>107</v>
      </c>
      <c r="M71" s="3070">
        <v>45716</v>
      </c>
      <c r="N71" s="3070">
        <v>45712</v>
      </c>
      <c r="O71" s="2996"/>
      <c r="P71" s="2996" t="s">
        <v>82</v>
      </c>
      <c r="Q71" s="3071"/>
      <c r="R71" s="3071"/>
      <c r="S71" s="3071"/>
      <c r="T71" s="3071"/>
      <c r="U71" s="3072"/>
      <c r="V71" s="2996"/>
      <c r="W71" s="3073" t="s">
        <v>2956</v>
      </c>
      <c r="X71" s="3073"/>
      <c r="Y71" s="3073" t="s">
        <v>9376</v>
      </c>
      <c r="Z71" s="3073"/>
      <c r="AA71" s="3073"/>
      <c r="AB71" s="3091" t="s">
        <v>9377</v>
      </c>
      <c r="AC71" s="2969" t="s">
        <v>87</v>
      </c>
      <c r="AD71" s="3075">
        <v>4.0921</v>
      </c>
      <c r="AE71" s="3076">
        <f t="shared" si="125"/>
        <v>3502.8376</v>
      </c>
      <c r="AF71" s="2969" t="s">
        <v>9378</v>
      </c>
      <c r="AG71" s="2969" t="s">
        <v>9154</v>
      </c>
      <c r="AH71" s="2969" t="s">
        <v>416</v>
      </c>
      <c r="AI71" s="3077"/>
      <c r="AJ71" s="3078">
        <f t="shared" si="123"/>
        <v>856</v>
      </c>
      <c r="AK71" s="3077"/>
      <c r="AL71" s="3078"/>
      <c r="AM71" s="3108"/>
      <c r="AN71" s="3078"/>
      <c r="AO71" s="3079"/>
      <c r="AP71" s="3080">
        <f t="shared" si="131"/>
        <v>856</v>
      </c>
      <c r="AQ71" s="3080"/>
      <c r="AR71" s="3080"/>
      <c r="AS71" s="3081"/>
      <c r="AT71" s="3082"/>
      <c r="AU71" s="3083"/>
      <c r="AV71" s="3083"/>
      <c r="AW71" s="3084"/>
      <c r="AX71" s="3085">
        <f t="shared" si="132"/>
        <v>214</v>
      </c>
      <c r="AY71" s="3080">
        <f t="shared" si="133"/>
        <v>214</v>
      </c>
      <c r="AZ71" s="3080">
        <f t="shared" si="134"/>
        <v>214</v>
      </c>
      <c r="BA71" s="3086">
        <f t="shared" si="135"/>
        <v>214</v>
      </c>
      <c r="BB71" s="3087"/>
      <c r="BC71" s="3080"/>
      <c r="BD71" s="3080"/>
      <c r="BE71" s="3080"/>
      <c r="BF71" s="3080">
        <f t="shared" si="77"/>
        <v>0</v>
      </c>
      <c r="BG71" s="3080"/>
      <c r="BH71" s="3080"/>
      <c r="BI71" s="3080"/>
      <c r="BJ71" s="3080">
        <f t="shared" si="129"/>
        <v>856</v>
      </c>
      <c r="BK71" s="3080"/>
      <c r="BL71" s="3080" t="s">
        <v>9164</v>
      </c>
      <c r="BM71" s="3096"/>
      <c r="BN71" s="3080">
        <f t="shared" si="89"/>
        <v>214</v>
      </c>
      <c r="BO71" s="3080">
        <f t="shared" si="90"/>
        <v>214</v>
      </c>
      <c r="BP71" s="3080">
        <f t="shared" si="91"/>
        <v>214</v>
      </c>
      <c r="BQ71" s="3080">
        <f t="shared" si="92"/>
        <v>214</v>
      </c>
      <c r="BR71" s="3080">
        <f t="shared" si="136"/>
        <v>0</v>
      </c>
      <c r="BS71" s="3088">
        <f t="shared" si="137"/>
        <v>513336</v>
      </c>
      <c r="BT71" s="3088">
        <f t="shared" ref="BT71:BW71" si="141">BT70-BN71</f>
        <v>136474</v>
      </c>
      <c r="BU71" s="3088">
        <f t="shared" si="141"/>
        <v>137682</v>
      </c>
      <c r="BV71" s="3088">
        <f t="shared" si="141"/>
        <v>137691</v>
      </c>
      <c r="BW71" s="3088">
        <f t="shared" si="141"/>
        <v>138024.333333333</v>
      </c>
      <c r="BX71" s="3088"/>
    </row>
    <row r="72" s="3031" customFormat="1" ht="32" customHeight="1" spans="1:76">
      <c r="A72" s="3063">
        <v>45665</v>
      </c>
      <c r="B72" s="3064" t="s">
        <v>461</v>
      </c>
      <c r="C72" s="3065" t="s">
        <v>341</v>
      </c>
      <c r="D72" s="3066">
        <v>4500155467</v>
      </c>
      <c r="E72" s="3091" t="s">
        <v>9379</v>
      </c>
      <c r="F72" s="3066" t="s">
        <v>9380</v>
      </c>
      <c r="G72" s="3069" t="s">
        <v>9154</v>
      </c>
      <c r="H72" s="3069" t="s">
        <v>9155</v>
      </c>
      <c r="I72" s="2969">
        <v>528</v>
      </c>
      <c r="J72" s="2969">
        <v>0</v>
      </c>
      <c r="K72" s="2969">
        <v>8</v>
      </c>
      <c r="L72" s="2969">
        <f t="shared" si="79"/>
        <v>66</v>
      </c>
      <c r="M72" s="3070">
        <v>45719</v>
      </c>
      <c r="N72" s="3070">
        <v>45715</v>
      </c>
      <c r="O72" s="2996"/>
      <c r="P72" s="2996" t="s">
        <v>82</v>
      </c>
      <c r="Q72" s="3071"/>
      <c r="R72" s="3071"/>
      <c r="S72" s="3071"/>
      <c r="T72" s="3071"/>
      <c r="U72" s="3072" t="s">
        <v>769</v>
      </c>
      <c r="V72" s="2996"/>
      <c r="W72" s="3073" t="s">
        <v>770</v>
      </c>
      <c r="X72" s="3073"/>
      <c r="Y72" s="3073" t="s">
        <v>98</v>
      </c>
      <c r="Z72" s="3073" t="s">
        <v>651</v>
      </c>
      <c r="AA72" s="3073"/>
      <c r="AB72" s="3091" t="s">
        <v>9381</v>
      </c>
      <c r="AC72" s="2969" t="s">
        <v>87</v>
      </c>
      <c r="AD72" s="3075">
        <v>4.2475</v>
      </c>
      <c r="AE72" s="3076">
        <f t="shared" si="125"/>
        <v>2242.68</v>
      </c>
      <c r="AF72" s="2969" t="s">
        <v>772</v>
      </c>
      <c r="AG72" s="3089" t="s">
        <v>9239</v>
      </c>
      <c r="AH72" s="2969" t="s">
        <v>416</v>
      </c>
      <c r="AI72" s="3077"/>
      <c r="AJ72" s="3078"/>
      <c r="AK72" s="3077"/>
      <c r="AL72" s="3078">
        <f>I72</f>
        <v>528</v>
      </c>
      <c r="AM72" s="3108"/>
      <c r="AN72" s="3078"/>
      <c r="AO72" s="3079"/>
      <c r="AP72" s="3080">
        <f t="shared" si="131"/>
        <v>528</v>
      </c>
      <c r="AQ72" s="3080"/>
      <c r="AR72" s="3080"/>
      <c r="AS72" s="3081"/>
      <c r="AT72" s="3082"/>
      <c r="AU72" s="3083"/>
      <c r="AV72" s="3083"/>
      <c r="AW72" s="3084"/>
      <c r="AX72" s="3085">
        <f t="shared" si="132"/>
        <v>132</v>
      </c>
      <c r="AY72" s="3080">
        <f t="shared" si="133"/>
        <v>132</v>
      </c>
      <c r="AZ72" s="3080">
        <f t="shared" si="134"/>
        <v>132</v>
      </c>
      <c r="BA72" s="3086">
        <f t="shared" si="135"/>
        <v>132</v>
      </c>
      <c r="BB72" s="3087"/>
      <c r="BC72" s="3080"/>
      <c r="BD72" s="3080"/>
      <c r="BE72" s="3080"/>
      <c r="BF72" s="3080">
        <f t="shared" si="77"/>
        <v>0</v>
      </c>
      <c r="BG72" s="3080"/>
      <c r="BH72" s="3080"/>
      <c r="BI72" s="3080"/>
      <c r="BJ72" s="3080">
        <f t="shared" si="129"/>
        <v>528</v>
      </c>
      <c r="BK72" s="3080"/>
      <c r="BL72" s="3080" t="s">
        <v>9164</v>
      </c>
      <c r="BM72" s="3096"/>
      <c r="BN72" s="3080">
        <f t="shared" si="89"/>
        <v>132</v>
      </c>
      <c r="BO72" s="3080">
        <f t="shared" si="90"/>
        <v>132</v>
      </c>
      <c r="BP72" s="3080">
        <f t="shared" si="91"/>
        <v>132</v>
      </c>
      <c r="BQ72" s="3080">
        <f t="shared" si="92"/>
        <v>132</v>
      </c>
      <c r="BR72" s="3080">
        <f t="shared" si="136"/>
        <v>0</v>
      </c>
      <c r="BS72" s="3088">
        <f t="shared" si="137"/>
        <v>513008</v>
      </c>
      <c r="BT72" s="3088">
        <f t="shared" ref="BT72:BW72" si="142">BT71-BN72</f>
        <v>136342</v>
      </c>
      <c r="BU72" s="3088">
        <f t="shared" si="142"/>
        <v>137550</v>
      </c>
      <c r="BV72" s="3088">
        <f t="shared" si="142"/>
        <v>137559</v>
      </c>
      <c r="BW72" s="3088">
        <f t="shared" si="142"/>
        <v>137892.333333333</v>
      </c>
      <c r="BX72" s="3088"/>
    </row>
    <row r="73" s="3031" customFormat="1" ht="32" customHeight="1" spans="1:76">
      <c r="A73" s="3063">
        <v>45666</v>
      </c>
      <c r="B73" s="3064" t="s">
        <v>505</v>
      </c>
      <c r="C73" s="3065" t="s">
        <v>506</v>
      </c>
      <c r="D73" s="3066">
        <v>4500155599</v>
      </c>
      <c r="E73" s="3091">
        <v>20604120</v>
      </c>
      <c r="F73" s="3066" t="s">
        <v>9382</v>
      </c>
      <c r="G73" s="3069" t="s">
        <v>9154</v>
      </c>
      <c r="H73" s="3069" t="s">
        <v>9155</v>
      </c>
      <c r="I73" s="2969">
        <v>1504</v>
      </c>
      <c r="J73" s="2969">
        <v>0</v>
      </c>
      <c r="K73" s="2969">
        <v>8</v>
      </c>
      <c r="L73" s="2969">
        <f t="shared" si="79"/>
        <v>188</v>
      </c>
      <c r="M73" s="3070">
        <v>45719</v>
      </c>
      <c r="N73" s="3070">
        <v>45716</v>
      </c>
      <c r="O73" s="2996"/>
      <c r="P73" s="2996" t="s">
        <v>82</v>
      </c>
      <c r="Q73" s="3071"/>
      <c r="R73" s="3071"/>
      <c r="S73" s="3071"/>
      <c r="T73" s="3071"/>
      <c r="U73" s="3072" t="s">
        <v>3093</v>
      </c>
      <c r="V73" s="2996"/>
      <c r="W73" s="3073" t="s">
        <v>3042</v>
      </c>
      <c r="X73" s="3073"/>
      <c r="Y73" s="3073" t="s">
        <v>9383</v>
      </c>
      <c r="Z73" s="3073"/>
      <c r="AA73" s="3073"/>
      <c r="AB73" s="3091" t="s">
        <v>9384</v>
      </c>
      <c r="AC73" s="2969" t="s">
        <v>513</v>
      </c>
      <c r="AD73" s="3075">
        <v>4.5774</v>
      </c>
      <c r="AE73" s="3076">
        <f t="shared" si="125"/>
        <v>6884.4096</v>
      </c>
      <c r="AF73" s="2969" t="s">
        <v>3096</v>
      </c>
      <c r="AG73" s="2969" t="s">
        <v>9154</v>
      </c>
      <c r="AH73" s="2969" t="s">
        <v>416</v>
      </c>
      <c r="AI73" s="3077"/>
      <c r="AJ73" s="3078">
        <f t="shared" ref="AJ73:AJ78" si="143">I73</f>
        <v>1504</v>
      </c>
      <c r="AK73" s="3077"/>
      <c r="AL73" s="3078"/>
      <c r="AM73" s="3108"/>
      <c r="AN73" s="3078"/>
      <c r="AO73" s="3079"/>
      <c r="AP73" s="3080">
        <f t="shared" si="131"/>
        <v>1504</v>
      </c>
      <c r="AQ73" s="3080"/>
      <c r="AR73" s="3080"/>
      <c r="AS73" s="3081"/>
      <c r="AT73" s="3082"/>
      <c r="AU73" s="3083"/>
      <c r="AV73" s="3083"/>
      <c r="AW73" s="3084"/>
      <c r="AX73" s="3085">
        <f t="shared" si="132"/>
        <v>376</v>
      </c>
      <c r="AY73" s="3080">
        <f t="shared" si="133"/>
        <v>376</v>
      </c>
      <c r="AZ73" s="3080">
        <f t="shared" si="134"/>
        <v>376</v>
      </c>
      <c r="BA73" s="3086">
        <f t="shared" si="135"/>
        <v>376</v>
      </c>
      <c r="BB73" s="3087"/>
      <c r="BC73" s="3080"/>
      <c r="BD73" s="3080"/>
      <c r="BE73" s="3080"/>
      <c r="BF73" s="3080">
        <f t="shared" si="77"/>
        <v>0</v>
      </c>
      <c r="BG73" s="3080"/>
      <c r="BH73" s="3080"/>
      <c r="BI73" s="3080"/>
      <c r="BJ73" s="3080">
        <f t="shared" si="129"/>
        <v>1504</v>
      </c>
      <c r="BK73" s="3080"/>
      <c r="BL73" s="3080" t="s">
        <v>9164</v>
      </c>
      <c r="BM73" s="3096"/>
      <c r="BN73" s="3080">
        <f t="shared" si="89"/>
        <v>376</v>
      </c>
      <c r="BO73" s="3080">
        <f t="shared" si="90"/>
        <v>376</v>
      </c>
      <c r="BP73" s="3080">
        <f t="shared" si="91"/>
        <v>376</v>
      </c>
      <c r="BQ73" s="3080">
        <f t="shared" si="92"/>
        <v>376</v>
      </c>
      <c r="BR73" s="3080">
        <f t="shared" si="136"/>
        <v>0</v>
      </c>
      <c r="BS73" s="3088">
        <f t="shared" si="137"/>
        <v>513984</v>
      </c>
      <c r="BT73" s="3088">
        <f t="shared" ref="BT73:BW73" si="144">BT72-BN73</f>
        <v>135966</v>
      </c>
      <c r="BU73" s="3088">
        <f t="shared" si="144"/>
        <v>137174</v>
      </c>
      <c r="BV73" s="3088">
        <f t="shared" si="144"/>
        <v>137183</v>
      </c>
      <c r="BW73" s="3088">
        <f t="shared" si="144"/>
        <v>137516.333333333</v>
      </c>
      <c r="BX73" s="3088"/>
    </row>
    <row r="74" s="3031" customFormat="1" ht="32" customHeight="1" spans="1:76">
      <c r="A74" s="3063">
        <v>45579</v>
      </c>
      <c r="B74" s="3064" t="s">
        <v>6682</v>
      </c>
      <c r="C74" s="3065" t="s">
        <v>396</v>
      </c>
      <c r="D74" s="3066">
        <v>4500147525</v>
      </c>
      <c r="E74" s="3091">
        <v>9650903909</v>
      </c>
      <c r="F74" s="3066" t="s">
        <v>9385</v>
      </c>
      <c r="G74" s="3069" t="s">
        <v>9158</v>
      </c>
      <c r="H74" s="3069" t="s">
        <v>9155</v>
      </c>
      <c r="I74" s="2969">
        <v>400</v>
      </c>
      <c r="J74" s="2969">
        <v>0</v>
      </c>
      <c r="K74" s="2969">
        <v>1</v>
      </c>
      <c r="L74" s="2969">
        <f t="shared" si="79"/>
        <v>400</v>
      </c>
      <c r="M74" s="3070">
        <v>45722</v>
      </c>
      <c r="N74" s="3070">
        <v>45719</v>
      </c>
      <c r="O74" s="2996" t="s">
        <v>9386</v>
      </c>
      <c r="P74" s="2996" t="s">
        <v>82</v>
      </c>
      <c r="Q74" s="3071"/>
      <c r="R74" s="3071"/>
      <c r="S74" s="3071"/>
      <c r="T74" s="3071"/>
      <c r="U74" s="3072" t="s">
        <v>889</v>
      </c>
      <c r="V74" s="2996"/>
      <c r="W74" s="3073" t="s">
        <v>3121</v>
      </c>
      <c r="X74" s="3073" t="s">
        <v>98</v>
      </c>
      <c r="Y74" s="3073" t="s">
        <v>9293</v>
      </c>
      <c r="Z74" s="3073"/>
      <c r="AA74" s="3073"/>
      <c r="AB74" s="3091" t="s">
        <v>9387</v>
      </c>
      <c r="AC74" s="2969" t="s">
        <v>6688</v>
      </c>
      <c r="AD74" s="3075">
        <v>4.2223</v>
      </c>
      <c r="AE74" s="3076">
        <f t="shared" si="125"/>
        <v>1688.92</v>
      </c>
      <c r="AF74" s="2969" t="s">
        <v>9388</v>
      </c>
      <c r="AG74" s="3069" t="s">
        <v>9163</v>
      </c>
      <c r="AH74" s="2969" t="s">
        <v>416</v>
      </c>
      <c r="AI74" s="3077"/>
      <c r="AJ74" s="3078"/>
      <c r="AK74" s="3077"/>
      <c r="AL74" s="3078">
        <f>I74</f>
        <v>400</v>
      </c>
      <c r="AM74" s="3095"/>
      <c r="AN74" s="3078"/>
      <c r="AO74" s="3079"/>
      <c r="AP74" s="3080">
        <f t="shared" si="131"/>
        <v>400</v>
      </c>
      <c r="AQ74" s="3080"/>
      <c r="AR74" s="3080"/>
      <c r="AS74" s="3081"/>
      <c r="AT74" s="3082"/>
      <c r="AU74" s="3083"/>
      <c r="AV74" s="3083"/>
      <c r="AW74" s="3084"/>
      <c r="AX74" s="3085">
        <f t="shared" si="132"/>
        <v>100</v>
      </c>
      <c r="AY74" s="3080">
        <f t="shared" si="133"/>
        <v>100</v>
      </c>
      <c r="AZ74" s="3080">
        <f t="shared" si="134"/>
        <v>100</v>
      </c>
      <c r="BA74" s="3086">
        <f t="shared" si="135"/>
        <v>100</v>
      </c>
      <c r="BB74" s="3087"/>
      <c r="BC74" s="3080"/>
      <c r="BD74" s="3080"/>
      <c r="BE74" s="3080"/>
      <c r="BF74" s="3080">
        <f t="shared" si="77"/>
        <v>0</v>
      </c>
      <c r="BG74" s="3080"/>
      <c r="BH74" s="3080"/>
      <c r="BI74" s="3080"/>
      <c r="BJ74" s="3080"/>
      <c r="BK74" s="3080">
        <f>I74</f>
        <v>400</v>
      </c>
      <c r="BL74" s="3080" t="s">
        <v>9164</v>
      </c>
      <c r="BM74" s="3096"/>
      <c r="BN74" s="3080">
        <f t="shared" si="89"/>
        <v>100</v>
      </c>
      <c r="BO74" s="3080">
        <f t="shared" si="90"/>
        <v>100</v>
      </c>
      <c r="BP74" s="3080">
        <f t="shared" si="91"/>
        <v>100</v>
      </c>
      <c r="BQ74" s="3080">
        <f t="shared" si="92"/>
        <v>100</v>
      </c>
      <c r="BR74" s="3080">
        <f t="shared" si="136"/>
        <v>0</v>
      </c>
      <c r="BS74" s="3088">
        <f t="shared" si="137"/>
        <v>512880</v>
      </c>
      <c r="BT74" s="3088">
        <f t="shared" ref="BT74:BW74" si="145">BT73-BN74</f>
        <v>135866</v>
      </c>
      <c r="BU74" s="3088">
        <f t="shared" si="145"/>
        <v>137074</v>
      </c>
      <c r="BV74" s="3088">
        <f t="shared" si="145"/>
        <v>137083</v>
      </c>
      <c r="BW74" s="3088">
        <f t="shared" si="145"/>
        <v>137416.333333333</v>
      </c>
      <c r="BX74" s="3088"/>
    </row>
    <row r="75" s="3031" customFormat="1" ht="32" customHeight="1" spans="1:76">
      <c r="A75" s="3063">
        <v>45621</v>
      </c>
      <c r="B75" s="3064" t="s">
        <v>849</v>
      </c>
      <c r="C75" s="3065" t="s">
        <v>850</v>
      </c>
      <c r="D75" s="3066">
        <v>4500152218</v>
      </c>
      <c r="E75" s="3067" t="s">
        <v>9389</v>
      </c>
      <c r="F75" s="3066" t="s">
        <v>9390</v>
      </c>
      <c r="G75" s="3069" t="s">
        <v>9178</v>
      </c>
      <c r="H75" s="3069" t="s">
        <v>9179</v>
      </c>
      <c r="I75" s="2969">
        <v>448</v>
      </c>
      <c r="J75" s="2969">
        <v>0</v>
      </c>
      <c r="K75" s="2969">
        <v>8</v>
      </c>
      <c r="L75" s="2969">
        <f t="shared" si="79"/>
        <v>56</v>
      </c>
      <c r="M75" s="3070">
        <v>45723</v>
      </c>
      <c r="N75" s="3070">
        <v>45719</v>
      </c>
      <c r="O75" s="2996"/>
      <c r="P75" s="2996" t="s">
        <v>82</v>
      </c>
      <c r="Q75" s="3071"/>
      <c r="R75" s="3071"/>
      <c r="S75" s="3071"/>
      <c r="T75" s="3071"/>
      <c r="U75" s="3072" t="s">
        <v>845</v>
      </c>
      <c r="V75" s="2996"/>
      <c r="W75" s="3073" t="s">
        <v>402</v>
      </c>
      <c r="X75" s="3073"/>
      <c r="Y75" s="3073" t="s">
        <v>9180</v>
      </c>
      <c r="Z75" s="3073"/>
      <c r="AA75" s="3073"/>
      <c r="AB75" s="3091" t="s">
        <v>9391</v>
      </c>
      <c r="AC75" s="2969" t="s">
        <v>448</v>
      </c>
      <c r="AD75" s="3075">
        <v>4.0953</v>
      </c>
      <c r="AE75" s="3076">
        <f t="shared" si="125"/>
        <v>1834.6944</v>
      </c>
      <c r="AF75" s="2969" t="s">
        <v>9392</v>
      </c>
      <c r="AG75" s="2969" t="s">
        <v>9154</v>
      </c>
      <c r="AH75" s="2969" t="s">
        <v>416</v>
      </c>
      <c r="AI75" s="3077"/>
      <c r="AJ75" s="3078">
        <f t="shared" si="143"/>
        <v>448</v>
      </c>
      <c r="AK75" s="3077"/>
      <c r="AL75" s="3078"/>
      <c r="AM75" s="3093"/>
      <c r="AN75" s="3078"/>
      <c r="AO75" s="3079"/>
      <c r="AP75" s="3080">
        <f t="shared" si="131"/>
        <v>448</v>
      </c>
      <c r="AQ75" s="3080"/>
      <c r="AR75" s="3080"/>
      <c r="AS75" s="3081"/>
      <c r="AT75" s="3082"/>
      <c r="AU75" s="3083"/>
      <c r="AV75" s="3083"/>
      <c r="AW75" s="3084"/>
      <c r="AX75" s="3085">
        <f>I75/3</f>
        <v>149.333333333333</v>
      </c>
      <c r="AY75" s="3080">
        <f t="shared" si="133"/>
        <v>149.333333333333</v>
      </c>
      <c r="AZ75" s="3080">
        <f t="shared" si="134"/>
        <v>149.333333333333</v>
      </c>
      <c r="BA75" s="3086"/>
      <c r="BB75" s="3087"/>
      <c r="BC75" s="3080"/>
      <c r="BD75" s="3080"/>
      <c r="BE75" s="3080"/>
      <c r="BF75" s="3080">
        <f t="shared" si="77"/>
        <v>0</v>
      </c>
      <c r="BG75" s="3080"/>
      <c r="BH75" s="3080"/>
      <c r="BI75" s="3080"/>
      <c r="BJ75" s="3080">
        <f t="shared" ref="BJ75:BJ78" si="146">I75</f>
        <v>448</v>
      </c>
      <c r="BK75" s="3080"/>
      <c r="BL75" s="3080" t="s">
        <v>9164</v>
      </c>
      <c r="BM75" s="3094"/>
      <c r="BN75" s="3080">
        <f>I75/3</f>
        <v>149.333333333333</v>
      </c>
      <c r="BO75" s="3080">
        <f>I75/3</f>
        <v>149.333333333333</v>
      </c>
      <c r="BP75" s="3080">
        <f>I75/3</f>
        <v>149.333333333333</v>
      </c>
      <c r="BQ75" s="3080"/>
      <c r="BR75" s="3080">
        <f t="shared" si="136"/>
        <v>0</v>
      </c>
      <c r="BS75" s="3088">
        <f t="shared" si="137"/>
        <v>512928</v>
      </c>
      <c r="BT75" s="3088">
        <f t="shared" ref="BT75:BW75" si="147">BT74-BN75</f>
        <v>135716.666666666</v>
      </c>
      <c r="BU75" s="3088">
        <f t="shared" si="147"/>
        <v>136924.666666666</v>
      </c>
      <c r="BV75" s="3088">
        <f t="shared" si="147"/>
        <v>136933.666666666</v>
      </c>
      <c r="BW75" s="3088">
        <f t="shared" si="147"/>
        <v>137416.333333333</v>
      </c>
      <c r="BX75" s="3088"/>
    </row>
    <row r="76" s="3031" customFormat="1" ht="32" customHeight="1" spans="1:76">
      <c r="A76" s="3063">
        <v>45621</v>
      </c>
      <c r="B76" s="3064" t="s">
        <v>849</v>
      </c>
      <c r="C76" s="3065" t="s">
        <v>850</v>
      </c>
      <c r="D76" s="3066">
        <v>4500152221</v>
      </c>
      <c r="E76" s="3067" t="s">
        <v>9393</v>
      </c>
      <c r="F76" s="3066" t="s">
        <v>9394</v>
      </c>
      <c r="G76" s="3069" t="s">
        <v>9178</v>
      </c>
      <c r="H76" s="3069" t="s">
        <v>9179</v>
      </c>
      <c r="I76" s="2969">
        <v>552</v>
      </c>
      <c r="J76" s="2969">
        <v>0</v>
      </c>
      <c r="K76" s="2969">
        <v>8</v>
      </c>
      <c r="L76" s="2969">
        <f t="shared" si="79"/>
        <v>69</v>
      </c>
      <c r="M76" s="3070">
        <v>45723</v>
      </c>
      <c r="N76" s="3070">
        <v>45719</v>
      </c>
      <c r="O76" s="2996"/>
      <c r="P76" s="2996" t="s">
        <v>82</v>
      </c>
      <c r="Q76" s="3071"/>
      <c r="R76" s="3071"/>
      <c r="S76" s="3071"/>
      <c r="T76" s="3071"/>
      <c r="U76" s="3072" t="s">
        <v>863</v>
      </c>
      <c r="V76" s="2996"/>
      <c r="W76" s="3073" t="s">
        <v>402</v>
      </c>
      <c r="X76" s="3073"/>
      <c r="Y76" s="3073" t="s">
        <v>9180</v>
      </c>
      <c r="Z76" s="3073"/>
      <c r="AA76" s="3073"/>
      <c r="AB76" s="3091" t="s">
        <v>9181</v>
      </c>
      <c r="AC76" s="2969" t="s">
        <v>448</v>
      </c>
      <c r="AD76" s="3075">
        <v>4.0839</v>
      </c>
      <c r="AE76" s="3076">
        <f t="shared" si="125"/>
        <v>2254.3128</v>
      </c>
      <c r="AF76" s="2969" t="s">
        <v>9395</v>
      </c>
      <c r="AG76" s="2969" t="s">
        <v>9154</v>
      </c>
      <c r="AH76" s="2969" t="s">
        <v>416</v>
      </c>
      <c r="AI76" s="3077"/>
      <c r="AJ76" s="3078">
        <f t="shared" si="143"/>
        <v>552</v>
      </c>
      <c r="AK76" s="3077"/>
      <c r="AL76" s="3078"/>
      <c r="AM76" s="3093"/>
      <c r="AN76" s="3078"/>
      <c r="AO76" s="3079"/>
      <c r="AP76" s="3080">
        <f t="shared" si="131"/>
        <v>552</v>
      </c>
      <c r="AQ76" s="3080"/>
      <c r="AR76" s="3080"/>
      <c r="AS76" s="3081"/>
      <c r="AT76" s="3082"/>
      <c r="AU76" s="3083"/>
      <c r="AV76" s="3083"/>
      <c r="AW76" s="3084"/>
      <c r="AX76" s="3085">
        <f>I76/3</f>
        <v>184</v>
      </c>
      <c r="AY76" s="3080">
        <f t="shared" si="133"/>
        <v>184</v>
      </c>
      <c r="AZ76" s="3080">
        <f t="shared" si="134"/>
        <v>184</v>
      </c>
      <c r="BA76" s="3086"/>
      <c r="BB76" s="3087"/>
      <c r="BC76" s="3080"/>
      <c r="BD76" s="3080"/>
      <c r="BE76" s="3080"/>
      <c r="BF76" s="3080">
        <f t="shared" si="77"/>
        <v>0</v>
      </c>
      <c r="BG76" s="3080"/>
      <c r="BH76" s="3080"/>
      <c r="BI76" s="3080"/>
      <c r="BJ76" s="3080">
        <f t="shared" si="146"/>
        <v>552</v>
      </c>
      <c r="BK76" s="3080"/>
      <c r="BL76" s="3080" t="s">
        <v>9164</v>
      </c>
      <c r="BM76" s="3094"/>
      <c r="BN76" s="3080">
        <f>I76/3</f>
        <v>184</v>
      </c>
      <c r="BO76" s="3080">
        <f>I76/3</f>
        <v>184</v>
      </c>
      <c r="BP76" s="3080">
        <f>I76/3</f>
        <v>184</v>
      </c>
      <c r="BQ76" s="3080"/>
      <c r="BR76" s="3080">
        <f t="shared" si="136"/>
        <v>0</v>
      </c>
      <c r="BS76" s="3088">
        <f t="shared" si="137"/>
        <v>513032</v>
      </c>
      <c r="BT76" s="3088">
        <f t="shared" ref="BT76:BW76" si="148">BT75-BN76</f>
        <v>135532.666666666</v>
      </c>
      <c r="BU76" s="3088">
        <f t="shared" si="148"/>
        <v>136740.666666666</v>
      </c>
      <c r="BV76" s="3088">
        <f t="shared" si="148"/>
        <v>136749.666666666</v>
      </c>
      <c r="BW76" s="3088">
        <f t="shared" si="148"/>
        <v>137416.333333333</v>
      </c>
      <c r="BX76" s="3088"/>
    </row>
    <row r="77" s="3031" customFormat="1" ht="32" customHeight="1" spans="1:76">
      <c r="A77" s="3063">
        <v>45637</v>
      </c>
      <c r="B77" s="3064" t="s">
        <v>2732</v>
      </c>
      <c r="C77" s="3065" t="s">
        <v>840</v>
      </c>
      <c r="D77" s="3066">
        <v>4500153609</v>
      </c>
      <c r="E77" s="3091">
        <v>28662059</v>
      </c>
      <c r="F77" s="3066" t="s">
        <v>9396</v>
      </c>
      <c r="G77" s="3069" t="s">
        <v>9154</v>
      </c>
      <c r="H77" s="3069" t="s">
        <v>9155</v>
      </c>
      <c r="I77" s="2969">
        <v>376</v>
      </c>
      <c r="J77" s="2969">
        <v>0</v>
      </c>
      <c r="K77" s="2969">
        <v>8</v>
      </c>
      <c r="L77" s="2969">
        <f t="shared" si="79"/>
        <v>47</v>
      </c>
      <c r="M77" s="3070">
        <v>45726</v>
      </c>
      <c r="N77" s="3070">
        <v>45722</v>
      </c>
      <c r="O77" s="2996"/>
      <c r="P77" s="2996" t="s">
        <v>82</v>
      </c>
      <c r="Q77" s="3071"/>
      <c r="R77" s="3071"/>
      <c r="S77" s="3071"/>
      <c r="T77" s="3071"/>
      <c r="U77" s="3072" t="s">
        <v>3114</v>
      </c>
      <c r="V77" s="2996"/>
      <c r="W77" s="3073" t="s">
        <v>2807</v>
      </c>
      <c r="X77" s="3073"/>
      <c r="Y77" s="3073" t="s">
        <v>98</v>
      </c>
      <c r="Z77" s="3073"/>
      <c r="AA77" s="3073"/>
      <c r="AB77" s="3091" t="s">
        <v>9397</v>
      </c>
      <c r="AC77" s="2969" t="s">
        <v>2735</v>
      </c>
      <c r="AD77" s="3075">
        <v>4.2589</v>
      </c>
      <c r="AE77" s="3076">
        <f t="shared" si="125"/>
        <v>1601.3464</v>
      </c>
      <c r="AF77" s="2969" t="s">
        <v>9398</v>
      </c>
      <c r="AG77" s="2969" t="s">
        <v>9154</v>
      </c>
      <c r="AH77" s="2969" t="s">
        <v>416</v>
      </c>
      <c r="AI77" s="3077"/>
      <c r="AJ77" s="3078">
        <f t="shared" si="143"/>
        <v>376</v>
      </c>
      <c r="AK77" s="3077"/>
      <c r="AL77" s="3078"/>
      <c r="AM77" s="3093"/>
      <c r="AN77" s="3078"/>
      <c r="AO77" s="3079"/>
      <c r="AP77" s="3080">
        <f t="shared" si="131"/>
        <v>376</v>
      </c>
      <c r="AQ77" s="3080"/>
      <c r="AR77" s="3080"/>
      <c r="AS77" s="3081"/>
      <c r="AT77" s="3082"/>
      <c r="AU77" s="3083"/>
      <c r="AV77" s="3083"/>
      <c r="AW77" s="3084"/>
      <c r="AX77" s="3085">
        <f t="shared" ref="AX77:AX80" si="149">I77/4</f>
        <v>94</v>
      </c>
      <c r="AY77" s="3080">
        <f t="shared" si="133"/>
        <v>94</v>
      </c>
      <c r="AZ77" s="3080">
        <f t="shared" si="134"/>
        <v>94</v>
      </c>
      <c r="BA77" s="3086">
        <f>AX77</f>
        <v>94</v>
      </c>
      <c r="BB77" s="3087"/>
      <c r="BC77" s="3080"/>
      <c r="BD77" s="3080"/>
      <c r="BE77" s="3080"/>
      <c r="BF77" s="3080">
        <f t="shared" si="77"/>
        <v>0</v>
      </c>
      <c r="BG77" s="3080"/>
      <c r="BH77" s="3080"/>
      <c r="BI77" s="3080"/>
      <c r="BJ77" s="3080">
        <f t="shared" si="146"/>
        <v>376</v>
      </c>
      <c r="BK77" s="3080"/>
      <c r="BL77" s="3080" t="s">
        <v>9164</v>
      </c>
      <c r="BM77" s="3094"/>
      <c r="BN77" s="3080">
        <f t="shared" ref="BN77:BN80" si="150">I77/4</f>
        <v>94</v>
      </c>
      <c r="BO77" s="3080">
        <f t="shared" ref="BO77:BO80" si="151">I77/4</f>
        <v>94</v>
      </c>
      <c r="BP77" s="3080">
        <f t="shared" ref="BP77:BP80" si="152">I77/4</f>
        <v>94</v>
      </c>
      <c r="BQ77" s="3080">
        <f t="shared" ref="BQ77:BQ80" si="153">I77/4</f>
        <v>94</v>
      </c>
      <c r="BR77" s="3080">
        <f t="shared" si="136"/>
        <v>0</v>
      </c>
      <c r="BS77" s="3088">
        <f t="shared" si="137"/>
        <v>512856</v>
      </c>
      <c r="BT77" s="3088">
        <f t="shared" ref="BT77:BW77" si="154">BT76-BN77</f>
        <v>135438.666666666</v>
      </c>
      <c r="BU77" s="3088">
        <f t="shared" si="154"/>
        <v>136646.666666666</v>
      </c>
      <c r="BV77" s="3088">
        <f t="shared" si="154"/>
        <v>136655.666666666</v>
      </c>
      <c r="BW77" s="3088">
        <f t="shared" si="154"/>
        <v>137322.333333333</v>
      </c>
      <c r="BX77" s="3088"/>
    </row>
    <row r="78" s="3031" customFormat="1" ht="32" customHeight="1" spans="1:76">
      <c r="A78" s="3063">
        <v>45637</v>
      </c>
      <c r="B78" s="3064" t="s">
        <v>2732</v>
      </c>
      <c r="C78" s="3065" t="s">
        <v>840</v>
      </c>
      <c r="D78" s="3066">
        <v>4500153723</v>
      </c>
      <c r="E78" s="3091">
        <v>28659771</v>
      </c>
      <c r="F78" s="3066" t="s">
        <v>9399</v>
      </c>
      <c r="G78" s="3069" t="s">
        <v>9154</v>
      </c>
      <c r="H78" s="3069" t="s">
        <v>9155</v>
      </c>
      <c r="I78" s="2969">
        <v>128</v>
      </c>
      <c r="J78" s="2969">
        <v>0</v>
      </c>
      <c r="K78" s="2969">
        <v>8</v>
      </c>
      <c r="L78" s="2969">
        <f t="shared" si="79"/>
        <v>16</v>
      </c>
      <c r="M78" s="3070">
        <v>45726</v>
      </c>
      <c r="N78" s="3070">
        <v>45722</v>
      </c>
      <c r="O78" s="2996"/>
      <c r="P78" s="2996" t="s">
        <v>82</v>
      </c>
      <c r="Q78" s="3071"/>
      <c r="R78" s="3071"/>
      <c r="S78" s="3071"/>
      <c r="T78" s="3071"/>
      <c r="U78" s="3072" t="s">
        <v>3114</v>
      </c>
      <c r="V78" s="2996"/>
      <c r="W78" s="3073" t="s">
        <v>2807</v>
      </c>
      <c r="X78" s="3073"/>
      <c r="Y78" s="3073" t="s">
        <v>98</v>
      </c>
      <c r="Z78" s="3073"/>
      <c r="AA78" s="3073"/>
      <c r="AB78" s="3091" t="s">
        <v>9400</v>
      </c>
      <c r="AC78" s="2969" t="s">
        <v>2735</v>
      </c>
      <c r="AD78" s="3075">
        <v>4.1036</v>
      </c>
      <c r="AE78" s="3076">
        <f t="shared" si="125"/>
        <v>525.2608</v>
      </c>
      <c r="AF78" s="2969" t="s">
        <v>9401</v>
      </c>
      <c r="AG78" s="2969" t="s">
        <v>9154</v>
      </c>
      <c r="AH78" s="2969" t="s">
        <v>416</v>
      </c>
      <c r="AI78" s="3077"/>
      <c r="AJ78" s="3078">
        <f t="shared" si="143"/>
        <v>128</v>
      </c>
      <c r="AK78" s="3077"/>
      <c r="AL78" s="3078"/>
      <c r="AM78" s="3093"/>
      <c r="AN78" s="3078"/>
      <c r="AO78" s="3079"/>
      <c r="AP78" s="3080">
        <f t="shared" si="131"/>
        <v>128</v>
      </c>
      <c r="AQ78" s="3080"/>
      <c r="AR78" s="3080"/>
      <c r="AS78" s="3081"/>
      <c r="AT78" s="3082"/>
      <c r="AU78" s="3083"/>
      <c r="AV78" s="3083"/>
      <c r="AW78" s="3084"/>
      <c r="AX78" s="3085">
        <f t="shared" si="149"/>
        <v>32</v>
      </c>
      <c r="AY78" s="3080">
        <f t="shared" si="133"/>
        <v>32</v>
      </c>
      <c r="AZ78" s="3080">
        <f t="shared" si="134"/>
        <v>32</v>
      </c>
      <c r="BA78" s="3086">
        <f>AX78</f>
        <v>32</v>
      </c>
      <c r="BB78" s="3087"/>
      <c r="BC78" s="3080"/>
      <c r="BD78" s="3080"/>
      <c r="BE78" s="3080"/>
      <c r="BF78" s="3080">
        <f t="shared" si="77"/>
        <v>0</v>
      </c>
      <c r="BG78" s="3080"/>
      <c r="BH78" s="3080"/>
      <c r="BI78" s="3080"/>
      <c r="BJ78" s="3080">
        <f t="shared" si="146"/>
        <v>128</v>
      </c>
      <c r="BK78" s="3080"/>
      <c r="BL78" s="3080" t="s">
        <v>9164</v>
      </c>
      <c r="BM78" s="3094"/>
      <c r="BN78" s="3080">
        <f t="shared" si="150"/>
        <v>32</v>
      </c>
      <c r="BO78" s="3080">
        <f t="shared" si="151"/>
        <v>32</v>
      </c>
      <c r="BP78" s="3080">
        <f t="shared" si="152"/>
        <v>32</v>
      </c>
      <c r="BQ78" s="3080">
        <f t="shared" si="153"/>
        <v>32</v>
      </c>
      <c r="BR78" s="3080">
        <f t="shared" si="136"/>
        <v>0</v>
      </c>
      <c r="BS78" s="3088">
        <f t="shared" si="137"/>
        <v>512608</v>
      </c>
      <c r="BT78" s="3088">
        <f t="shared" ref="BT78:BW78" si="155">BT77-BN78</f>
        <v>135406.666666666</v>
      </c>
      <c r="BU78" s="3088">
        <f t="shared" si="155"/>
        <v>136614.666666666</v>
      </c>
      <c r="BV78" s="3088">
        <f t="shared" si="155"/>
        <v>136623.666666666</v>
      </c>
      <c r="BW78" s="3088">
        <f t="shared" si="155"/>
        <v>137290.333333333</v>
      </c>
      <c r="BX78" s="3088"/>
    </row>
    <row r="79" s="3031" customFormat="1" ht="32" customHeight="1" spans="1:76">
      <c r="A79" s="3063">
        <v>45674</v>
      </c>
      <c r="B79" s="3064" t="s">
        <v>3156</v>
      </c>
      <c r="C79" s="3065" t="s">
        <v>471</v>
      </c>
      <c r="D79" s="3066">
        <v>4500156082</v>
      </c>
      <c r="E79" s="3091">
        <v>5200006028</v>
      </c>
      <c r="F79" s="3066" t="s">
        <v>9402</v>
      </c>
      <c r="G79" s="3069" t="s">
        <v>9403</v>
      </c>
      <c r="H79" s="3069" t="s">
        <v>9356</v>
      </c>
      <c r="I79" s="2969">
        <v>300</v>
      </c>
      <c r="J79" s="2969">
        <v>0</v>
      </c>
      <c r="K79" s="2969">
        <v>4</v>
      </c>
      <c r="L79" s="2969">
        <f t="shared" si="79"/>
        <v>75</v>
      </c>
      <c r="M79" s="3070">
        <v>45729</v>
      </c>
      <c r="N79" s="3070">
        <v>45724</v>
      </c>
      <c r="O79" s="2996"/>
      <c r="P79" s="2996" t="s">
        <v>82</v>
      </c>
      <c r="Q79" s="3071"/>
      <c r="R79" s="3071"/>
      <c r="S79" s="3071"/>
      <c r="T79" s="3071"/>
      <c r="U79" s="3072"/>
      <c r="V79" s="2996"/>
      <c r="W79" s="3073" t="s">
        <v>3159</v>
      </c>
      <c r="X79" s="3073"/>
      <c r="Y79" s="3073" t="s">
        <v>9404</v>
      </c>
      <c r="Z79" s="3073"/>
      <c r="AA79" s="3073"/>
      <c r="AB79" s="3091" t="s">
        <v>9405</v>
      </c>
      <c r="AC79" s="2969" t="s">
        <v>3162</v>
      </c>
      <c r="AD79" s="3075">
        <v>4.1317</v>
      </c>
      <c r="AE79" s="3076">
        <f t="shared" si="125"/>
        <v>1239.51</v>
      </c>
      <c r="AF79" s="2969" t="s">
        <v>9406</v>
      </c>
      <c r="AG79" s="2969" t="s">
        <v>9407</v>
      </c>
      <c r="AH79" s="2969" t="s">
        <v>416</v>
      </c>
      <c r="AI79" s="3077"/>
      <c r="AJ79" s="3078"/>
      <c r="AK79" s="3077"/>
      <c r="AL79" s="3078">
        <f t="shared" ref="AL79:AL84" si="156">I79</f>
        <v>300</v>
      </c>
      <c r="AM79" s="3108"/>
      <c r="AN79" s="3078"/>
      <c r="AO79" s="3079"/>
      <c r="AP79" s="3080">
        <f t="shared" si="131"/>
        <v>300</v>
      </c>
      <c r="AQ79" s="3080"/>
      <c r="AR79" s="3080"/>
      <c r="AS79" s="3081"/>
      <c r="AT79" s="3082"/>
      <c r="AU79" s="3083"/>
      <c r="AV79" s="3083"/>
      <c r="AW79" s="3084"/>
      <c r="AX79" s="3085">
        <f t="shared" si="149"/>
        <v>75</v>
      </c>
      <c r="AY79" s="3080">
        <f>I79/4</f>
        <v>75</v>
      </c>
      <c r="AZ79" s="3080">
        <f>I79/4</f>
        <v>75</v>
      </c>
      <c r="BA79" s="3086">
        <f>I79/4</f>
        <v>75</v>
      </c>
      <c r="BB79" s="3087"/>
      <c r="BC79" s="3080"/>
      <c r="BD79" s="3080"/>
      <c r="BE79" s="3080"/>
      <c r="BF79" s="3080">
        <f t="shared" si="77"/>
        <v>0</v>
      </c>
      <c r="BG79" s="3080"/>
      <c r="BH79" s="3080"/>
      <c r="BI79" s="3080"/>
      <c r="BJ79" s="3080"/>
      <c r="BK79" s="3080">
        <f>I79</f>
        <v>300</v>
      </c>
      <c r="BL79" s="3080" t="s">
        <v>9164</v>
      </c>
      <c r="BM79" s="3096"/>
      <c r="BN79" s="3080">
        <f t="shared" si="150"/>
        <v>75</v>
      </c>
      <c r="BO79" s="3080">
        <f t="shared" si="151"/>
        <v>75</v>
      </c>
      <c r="BP79" s="3080">
        <f t="shared" si="152"/>
        <v>75</v>
      </c>
      <c r="BQ79" s="3080">
        <f t="shared" si="153"/>
        <v>75</v>
      </c>
      <c r="BR79" s="3080">
        <f t="shared" si="136"/>
        <v>0</v>
      </c>
      <c r="BS79" s="3088">
        <f t="shared" si="137"/>
        <v>512780</v>
      </c>
      <c r="BT79" s="3088">
        <f t="shared" ref="BT79:BW79" si="157">BT78-BN79</f>
        <v>135331.666666666</v>
      </c>
      <c r="BU79" s="3088">
        <f t="shared" si="157"/>
        <v>136539.666666666</v>
      </c>
      <c r="BV79" s="3088">
        <f t="shared" si="157"/>
        <v>136548.666666666</v>
      </c>
      <c r="BW79" s="3088">
        <f t="shared" si="157"/>
        <v>137215.333333333</v>
      </c>
      <c r="BX79" s="3088"/>
    </row>
    <row r="80" s="3031" customFormat="1" ht="32" customHeight="1" spans="1:76">
      <c r="A80" s="3063">
        <v>45681</v>
      </c>
      <c r="B80" s="3064" t="s">
        <v>438</v>
      </c>
      <c r="C80" s="3065" t="s">
        <v>439</v>
      </c>
      <c r="D80" s="3066">
        <v>4500156433</v>
      </c>
      <c r="E80" s="3067" t="s">
        <v>9408</v>
      </c>
      <c r="F80" s="3066" t="s">
        <v>9409</v>
      </c>
      <c r="G80" s="3069" t="s">
        <v>9410</v>
      </c>
      <c r="H80" s="3069" t="s">
        <v>9411</v>
      </c>
      <c r="I80" s="2969">
        <v>2320</v>
      </c>
      <c r="J80" s="2969">
        <v>0</v>
      </c>
      <c r="K80" s="2969">
        <v>4</v>
      </c>
      <c r="L80" s="2969">
        <f t="shared" si="79"/>
        <v>580</v>
      </c>
      <c r="M80" s="3070">
        <v>45729</v>
      </c>
      <c r="N80" s="3070">
        <v>45724</v>
      </c>
      <c r="O80" s="2996"/>
      <c r="P80" s="2996" t="s">
        <v>82</v>
      </c>
      <c r="Q80" s="3071"/>
      <c r="R80" s="3071"/>
      <c r="S80" s="3071"/>
      <c r="T80" s="3071"/>
      <c r="U80" s="3072" t="s">
        <v>803</v>
      </c>
      <c r="V80" s="2996"/>
      <c r="W80" s="3073" t="s">
        <v>9412</v>
      </c>
      <c r="X80" s="3073"/>
      <c r="Y80" s="3073" t="s">
        <v>9413</v>
      </c>
      <c r="Z80" s="3073"/>
      <c r="AA80" s="3073" t="s">
        <v>9414</v>
      </c>
      <c r="AB80" s="3091" t="s">
        <v>9415</v>
      </c>
      <c r="AC80" s="2969" t="s">
        <v>448</v>
      </c>
      <c r="AD80" s="3075">
        <v>4.1089</v>
      </c>
      <c r="AE80" s="3076">
        <f t="shared" si="125"/>
        <v>9532.648</v>
      </c>
      <c r="AF80" s="2969" t="s">
        <v>9416</v>
      </c>
      <c r="AG80" s="3069" t="s">
        <v>9417</v>
      </c>
      <c r="AH80" s="3078" t="s">
        <v>416</v>
      </c>
      <c r="AI80" s="3077"/>
      <c r="AJ80" s="3078">
        <f>I80</f>
        <v>2320</v>
      </c>
      <c r="AK80" s="3077"/>
      <c r="AL80" s="3078"/>
      <c r="AM80" s="3108"/>
      <c r="AN80" s="3078"/>
      <c r="AO80" s="3079"/>
      <c r="AP80" s="3080"/>
      <c r="AQ80" s="3080"/>
      <c r="AR80" s="3080"/>
      <c r="AS80" s="3081">
        <f>I80</f>
        <v>2320</v>
      </c>
      <c r="AT80" s="3082"/>
      <c r="AU80" s="3083"/>
      <c r="AV80" s="3083"/>
      <c r="AW80" s="3084"/>
      <c r="AX80" s="3085">
        <f t="shared" si="149"/>
        <v>580</v>
      </c>
      <c r="AY80" s="3080">
        <f>I80/4</f>
        <v>580</v>
      </c>
      <c r="AZ80" s="3080">
        <f>I80/4</f>
        <v>580</v>
      </c>
      <c r="BA80" s="3086">
        <f>I80/4</f>
        <v>580</v>
      </c>
      <c r="BB80" s="3087"/>
      <c r="BC80" s="3080"/>
      <c r="BD80" s="3080"/>
      <c r="BE80" s="3080"/>
      <c r="BF80" s="3080">
        <f t="shared" si="77"/>
        <v>0</v>
      </c>
      <c r="BG80" s="3080"/>
      <c r="BH80" s="3080"/>
      <c r="BI80" s="3080"/>
      <c r="BJ80" s="3080"/>
      <c r="BK80" s="3080">
        <f>I80</f>
        <v>2320</v>
      </c>
      <c r="BL80" s="3080" t="s">
        <v>9164</v>
      </c>
      <c r="BM80" s="3096"/>
      <c r="BN80" s="3080">
        <f t="shared" si="150"/>
        <v>580</v>
      </c>
      <c r="BO80" s="3080">
        <f t="shared" si="151"/>
        <v>580</v>
      </c>
      <c r="BP80" s="3080">
        <f t="shared" si="152"/>
        <v>580</v>
      </c>
      <c r="BQ80" s="3080">
        <f t="shared" si="153"/>
        <v>580</v>
      </c>
      <c r="BR80" s="3080">
        <f t="shared" si="136"/>
        <v>0</v>
      </c>
      <c r="BS80" s="3088">
        <f t="shared" si="137"/>
        <v>514800</v>
      </c>
      <c r="BT80" s="3088">
        <f t="shared" ref="BT80:BW80" si="158">BT79-BN80</f>
        <v>134751.666666666</v>
      </c>
      <c r="BU80" s="3088">
        <f t="shared" si="158"/>
        <v>135959.666666666</v>
      </c>
      <c r="BV80" s="3088">
        <f t="shared" si="158"/>
        <v>135968.666666666</v>
      </c>
      <c r="BW80" s="3088">
        <f t="shared" si="158"/>
        <v>136635.333333333</v>
      </c>
      <c r="BX80" s="3088"/>
    </row>
    <row r="81" s="3031" customFormat="1" ht="32" customHeight="1" spans="1:76">
      <c r="A81" s="3063">
        <v>45677</v>
      </c>
      <c r="B81" s="3064" t="s">
        <v>3172</v>
      </c>
      <c r="C81" s="3065" t="s">
        <v>840</v>
      </c>
      <c r="D81" s="3066">
        <v>4500156115</v>
      </c>
      <c r="E81" s="3091">
        <v>7631985</v>
      </c>
      <c r="F81" s="3066" t="s">
        <v>9418</v>
      </c>
      <c r="G81" s="3069" t="s">
        <v>9419</v>
      </c>
      <c r="H81" s="3069" t="s">
        <v>9100</v>
      </c>
      <c r="I81" s="2969">
        <v>104</v>
      </c>
      <c r="J81" s="2969">
        <v>0</v>
      </c>
      <c r="K81" s="2969">
        <v>8</v>
      </c>
      <c r="L81" s="2969">
        <f t="shared" si="79"/>
        <v>13</v>
      </c>
      <c r="M81" s="3070">
        <v>45730</v>
      </c>
      <c r="N81" s="3070">
        <v>45726</v>
      </c>
      <c r="O81" s="2996"/>
      <c r="P81" s="2996" t="s">
        <v>82</v>
      </c>
      <c r="Q81" s="3071"/>
      <c r="R81" s="3071"/>
      <c r="S81" s="3071"/>
      <c r="T81" s="3071"/>
      <c r="U81" s="3072" t="s">
        <v>3175</v>
      </c>
      <c r="V81" s="2996"/>
      <c r="W81" s="3073" t="s">
        <v>835</v>
      </c>
      <c r="X81" s="3073"/>
      <c r="Y81" s="3073" t="s">
        <v>9420</v>
      </c>
      <c r="Z81" s="3073"/>
      <c r="AA81" s="3073"/>
      <c r="AB81" s="3091" t="s">
        <v>9421</v>
      </c>
      <c r="AC81" s="2969" t="s">
        <v>380</v>
      </c>
      <c r="AD81" s="3075">
        <v>4.1036</v>
      </c>
      <c r="AE81" s="3076">
        <f t="shared" si="125"/>
        <v>426.7744</v>
      </c>
      <c r="AF81" s="2969" t="s">
        <v>3178</v>
      </c>
      <c r="AG81" s="2969" t="s">
        <v>9422</v>
      </c>
      <c r="AH81" s="2969" t="s">
        <v>416</v>
      </c>
      <c r="AI81" s="3077"/>
      <c r="AJ81" s="3078"/>
      <c r="AK81" s="3077"/>
      <c r="AL81" s="3078">
        <f t="shared" si="156"/>
        <v>104</v>
      </c>
      <c r="AM81" s="3108"/>
      <c r="AN81" s="3078"/>
      <c r="AO81" s="3079"/>
      <c r="AP81" s="3080">
        <f t="shared" ref="AP81:AP114" si="159">I81</f>
        <v>104</v>
      </c>
      <c r="AQ81" s="3080"/>
      <c r="AR81" s="3080"/>
      <c r="AS81" s="3081"/>
      <c r="AT81" s="3082"/>
      <c r="AU81" s="3083"/>
      <c r="AV81" s="3083"/>
      <c r="AW81" s="3084"/>
      <c r="AX81" s="3085"/>
      <c r="AY81" s="3080"/>
      <c r="AZ81" s="3080">
        <f>I81</f>
        <v>104</v>
      </c>
      <c r="BA81" s="3086"/>
      <c r="BB81" s="3087"/>
      <c r="BC81" s="3080"/>
      <c r="BD81" s="3080"/>
      <c r="BE81" s="3080"/>
      <c r="BF81" s="3080">
        <f t="shared" si="77"/>
        <v>0</v>
      </c>
      <c r="BG81" s="3080"/>
      <c r="BH81" s="3080"/>
      <c r="BI81" s="3080"/>
      <c r="BJ81" s="3080">
        <f t="shared" ref="BJ81:BJ95" si="160">I81</f>
        <v>104</v>
      </c>
      <c r="BK81" s="3080"/>
      <c r="BL81" s="3080" t="s">
        <v>9164</v>
      </c>
      <c r="BM81" s="3096"/>
      <c r="BN81" s="3080"/>
      <c r="BO81" s="3080"/>
      <c r="BP81" s="3080">
        <f>I81</f>
        <v>104</v>
      </c>
      <c r="BQ81" s="3080"/>
      <c r="BR81" s="3080">
        <f t="shared" si="136"/>
        <v>0</v>
      </c>
      <c r="BS81" s="3088">
        <f t="shared" si="137"/>
        <v>512584</v>
      </c>
      <c r="BT81" s="3088">
        <f t="shared" ref="BT81:BW81" si="161">BT80-BN81</f>
        <v>134751.666666666</v>
      </c>
      <c r="BU81" s="3088">
        <f t="shared" si="161"/>
        <v>135959.666666666</v>
      </c>
      <c r="BV81" s="3088">
        <f t="shared" si="161"/>
        <v>135864.666666666</v>
      </c>
      <c r="BW81" s="3088">
        <f t="shared" si="161"/>
        <v>136635.333333333</v>
      </c>
      <c r="BX81" s="3088"/>
    </row>
    <row r="82" s="3031" customFormat="1" ht="32" customHeight="1" spans="1:76">
      <c r="A82" s="3063">
        <v>45677</v>
      </c>
      <c r="B82" s="3064" t="s">
        <v>3172</v>
      </c>
      <c r="C82" s="3065" t="s">
        <v>840</v>
      </c>
      <c r="D82" s="3066">
        <v>4500156115</v>
      </c>
      <c r="E82" s="3091">
        <v>7631985</v>
      </c>
      <c r="F82" s="3066" t="s">
        <v>9423</v>
      </c>
      <c r="G82" s="3069" t="s">
        <v>9424</v>
      </c>
      <c r="H82" s="3069" t="s">
        <v>8571</v>
      </c>
      <c r="I82" s="2969">
        <v>104</v>
      </c>
      <c r="J82" s="2969">
        <v>0</v>
      </c>
      <c r="K82" s="2969">
        <v>8</v>
      </c>
      <c r="L82" s="2969">
        <f t="shared" si="79"/>
        <v>13</v>
      </c>
      <c r="M82" s="3070">
        <v>45730</v>
      </c>
      <c r="N82" s="3070">
        <v>45726</v>
      </c>
      <c r="O82" s="2996"/>
      <c r="P82" s="2996" t="s">
        <v>82</v>
      </c>
      <c r="Q82" s="3071"/>
      <c r="R82" s="3071"/>
      <c r="S82" s="3071"/>
      <c r="T82" s="3071"/>
      <c r="U82" s="3072" t="s">
        <v>3175</v>
      </c>
      <c r="V82" s="2996"/>
      <c r="W82" s="3073" t="s">
        <v>835</v>
      </c>
      <c r="X82" s="3073"/>
      <c r="Y82" s="3073" t="s">
        <v>9420</v>
      </c>
      <c r="Z82" s="3073"/>
      <c r="AA82" s="3073"/>
      <c r="AB82" s="3091" t="s">
        <v>9425</v>
      </c>
      <c r="AC82" s="2969" t="s">
        <v>380</v>
      </c>
      <c r="AD82" s="3075">
        <v>4.1036</v>
      </c>
      <c r="AE82" s="3076">
        <f t="shared" si="125"/>
        <v>426.7744</v>
      </c>
      <c r="AF82" s="2969" t="s">
        <v>3178</v>
      </c>
      <c r="AG82" s="2969" t="s">
        <v>9426</v>
      </c>
      <c r="AH82" s="2969" t="s">
        <v>416</v>
      </c>
      <c r="AI82" s="3077"/>
      <c r="AJ82" s="3078"/>
      <c r="AK82" s="3077"/>
      <c r="AL82" s="3078">
        <f t="shared" si="156"/>
        <v>104</v>
      </c>
      <c r="AM82" s="3108"/>
      <c r="AN82" s="3078"/>
      <c r="AO82" s="3079"/>
      <c r="AP82" s="3080">
        <f t="shared" si="159"/>
        <v>104</v>
      </c>
      <c r="AQ82" s="3080"/>
      <c r="AR82" s="3080"/>
      <c r="AS82" s="3081"/>
      <c r="AT82" s="3082"/>
      <c r="AU82" s="3083"/>
      <c r="AV82" s="3083"/>
      <c r="AW82" s="3084"/>
      <c r="AX82" s="3085"/>
      <c r="AY82" s="3080"/>
      <c r="AZ82" s="3080"/>
      <c r="BA82" s="3086">
        <f>I82</f>
        <v>104</v>
      </c>
      <c r="BB82" s="3087"/>
      <c r="BC82" s="3080"/>
      <c r="BD82" s="3080"/>
      <c r="BE82" s="3080"/>
      <c r="BF82" s="3080">
        <f t="shared" si="77"/>
        <v>0</v>
      </c>
      <c r="BG82" s="3080"/>
      <c r="BH82" s="3080"/>
      <c r="BI82" s="3080"/>
      <c r="BJ82" s="3080">
        <f t="shared" si="160"/>
        <v>104</v>
      </c>
      <c r="BK82" s="3080"/>
      <c r="BL82" s="3080" t="s">
        <v>9164</v>
      </c>
      <c r="BM82" s="3096"/>
      <c r="BN82" s="3080"/>
      <c r="BO82" s="3080"/>
      <c r="BP82" s="3080"/>
      <c r="BQ82" s="3080">
        <f>I82</f>
        <v>104</v>
      </c>
      <c r="BR82" s="3080">
        <f t="shared" si="136"/>
        <v>0</v>
      </c>
      <c r="BS82" s="3088">
        <f t="shared" si="137"/>
        <v>512584</v>
      </c>
      <c r="BT82" s="3088">
        <f t="shared" ref="BT82:BW82" si="162">BT81-BN82</f>
        <v>134751.666666666</v>
      </c>
      <c r="BU82" s="3088">
        <f t="shared" si="162"/>
        <v>135959.666666666</v>
      </c>
      <c r="BV82" s="3088">
        <f t="shared" si="162"/>
        <v>135864.666666666</v>
      </c>
      <c r="BW82" s="3088">
        <f t="shared" si="162"/>
        <v>136531.333333333</v>
      </c>
      <c r="BX82" s="3088"/>
    </row>
    <row r="83" s="3031" customFormat="1" ht="32" customHeight="1" spans="1:76">
      <c r="A83" s="3063">
        <v>45677</v>
      </c>
      <c r="B83" s="3064" t="s">
        <v>3172</v>
      </c>
      <c r="C83" s="3065" t="s">
        <v>840</v>
      </c>
      <c r="D83" s="3066">
        <v>4500156115</v>
      </c>
      <c r="E83" s="3091">
        <v>7631985</v>
      </c>
      <c r="F83" s="3066" t="s">
        <v>9427</v>
      </c>
      <c r="G83" s="3069" t="s">
        <v>9255</v>
      </c>
      <c r="H83" s="3069" t="s">
        <v>9098</v>
      </c>
      <c r="I83" s="2969">
        <v>104</v>
      </c>
      <c r="J83" s="2969">
        <v>0</v>
      </c>
      <c r="K83" s="2969">
        <v>8</v>
      </c>
      <c r="L83" s="2969">
        <f t="shared" si="79"/>
        <v>13</v>
      </c>
      <c r="M83" s="3070">
        <v>45730</v>
      </c>
      <c r="N83" s="3070">
        <v>45726</v>
      </c>
      <c r="O83" s="2996"/>
      <c r="P83" s="2996" t="s">
        <v>82</v>
      </c>
      <c r="Q83" s="3071"/>
      <c r="R83" s="3071"/>
      <c r="S83" s="3071"/>
      <c r="T83" s="3071"/>
      <c r="U83" s="3072" t="s">
        <v>3175</v>
      </c>
      <c r="V83" s="2996"/>
      <c r="W83" s="3073" t="s">
        <v>835</v>
      </c>
      <c r="X83" s="3073"/>
      <c r="Y83" s="3073" t="s">
        <v>9420</v>
      </c>
      <c r="Z83" s="3073"/>
      <c r="AA83" s="3073"/>
      <c r="AB83" s="3091" t="s">
        <v>9428</v>
      </c>
      <c r="AC83" s="2969" t="s">
        <v>380</v>
      </c>
      <c r="AD83" s="3075">
        <v>4.1036</v>
      </c>
      <c r="AE83" s="3076">
        <f t="shared" si="125"/>
        <v>426.7744</v>
      </c>
      <c r="AF83" s="2969" t="s">
        <v>3178</v>
      </c>
      <c r="AG83" s="2969" t="s">
        <v>9429</v>
      </c>
      <c r="AH83" s="2969" t="s">
        <v>416</v>
      </c>
      <c r="AI83" s="3077"/>
      <c r="AJ83" s="3078"/>
      <c r="AK83" s="3077"/>
      <c r="AL83" s="3078">
        <f t="shared" si="156"/>
        <v>104</v>
      </c>
      <c r="AM83" s="3108"/>
      <c r="AN83" s="3078"/>
      <c r="AO83" s="3079"/>
      <c r="AP83" s="3080">
        <f t="shared" si="159"/>
        <v>104</v>
      </c>
      <c r="AQ83" s="3080"/>
      <c r="AR83" s="3080"/>
      <c r="AS83" s="3081"/>
      <c r="AT83" s="3082"/>
      <c r="AU83" s="3083"/>
      <c r="AV83" s="3083"/>
      <c r="AW83" s="3084"/>
      <c r="AX83" s="3085">
        <f>I83</f>
        <v>104</v>
      </c>
      <c r="AY83" s="3080"/>
      <c r="AZ83" s="3080"/>
      <c r="BA83" s="3086"/>
      <c r="BB83" s="3087"/>
      <c r="BC83" s="3080"/>
      <c r="BD83" s="3080"/>
      <c r="BE83" s="3080"/>
      <c r="BF83" s="3080">
        <f t="shared" si="77"/>
        <v>0</v>
      </c>
      <c r="BG83" s="3080"/>
      <c r="BH83" s="3080"/>
      <c r="BI83" s="3080"/>
      <c r="BJ83" s="3080">
        <f t="shared" si="160"/>
        <v>104</v>
      </c>
      <c r="BK83" s="3080"/>
      <c r="BL83" s="3080" t="s">
        <v>9164</v>
      </c>
      <c r="BM83" s="3096"/>
      <c r="BN83" s="3080">
        <f>I83</f>
        <v>104</v>
      </c>
      <c r="BO83" s="3080"/>
      <c r="BP83" s="3080"/>
      <c r="BQ83" s="3080"/>
      <c r="BR83" s="3080">
        <f t="shared" si="136"/>
        <v>0</v>
      </c>
      <c r="BS83" s="3088">
        <f t="shared" si="137"/>
        <v>512584</v>
      </c>
      <c r="BT83" s="3088">
        <f t="shared" ref="BT83:BW83" si="163">BT82-BN83</f>
        <v>134647.666666666</v>
      </c>
      <c r="BU83" s="3088">
        <f t="shared" si="163"/>
        <v>135959.666666666</v>
      </c>
      <c r="BV83" s="3088">
        <f t="shared" si="163"/>
        <v>135864.666666666</v>
      </c>
      <c r="BW83" s="3088">
        <f t="shared" si="163"/>
        <v>136531.333333333</v>
      </c>
      <c r="BX83" s="3088"/>
    </row>
    <row r="84" s="3031" customFormat="1" ht="32" customHeight="1" spans="1:76">
      <c r="A84" s="3063">
        <v>45677</v>
      </c>
      <c r="B84" s="3064" t="s">
        <v>3172</v>
      </c>
      <c r="C84" s="3065" t="s">
        <v>840</v>
      </c>
      <c r="D84" s="3066">
        <v>4500156115</v>
      </c>
      <c r="E84" s="3091">
        <v>7631985</v>
      </c>
      <c r="F84" s="3066" t="s">
        <v>9430</v>
      </c>
      <c r="G84" s="3069" t="s">
        <v>9431</v>
      </c>
      <c r="H84" s="3069" t="s">
        <v>9099</v>
      </c>
      <c r="I84" s="2969">
        <v>104</v>
      </c>
      <c r="J84" s="2969">
        <v>0</v>
      </c>
      <c r="K84" s="2969">
        <v>8</v>
      </c>
      <c r="L84" s="2969">
        <f t="shared" si="79"/>
        <v>13</v>
      </c>
      <c r="M84" s="3070">
        <v>45730</v>
      </c>
      <c r="N84" s="3070">
        <v>45726</v>
      </c>
      <c r="O84" s="2996"/>
      <c r="P84" s="2996" t="s">
        <v>82</v>
      </c>
      <c r="Q84" s="3071"/>
      <c r="R84" s="3071"/>
      <c r="S84" s="3071"/>
      <c r="T84" s="3071"/>
      <c r="U84" s="3072" t="s">
        <v>3175</v>
      </c>
      <c r="V84" s="2996"/>
      <c r="W84" s="3073" t="s">
        <v>835</v>
      </c>
      <c r="X84" s="3073"/>
      <c r="Y84" s="3073" t="s">
        <v>9420</v>
      </c>
      <c r="Z84" s="3073"/>
      <c r="AA84" s="3073"/>
      <c r="AB84" s="3091" t="s">
        <v>9432</v>
      </c>
      <c r="AC84" s="2969" t="s">
        <v>380</v>
      </c>
      <c r="AD84" s="3075">
        <v>4.1036</v>
      </c>
      <c r="AE84" s="3076">
        <f t="shared" si="125"/>
        <v>426.7744</v>
      </c>
      <c r="AF84" s="2969" t="s">
        <v>3178</v>
      </c>
      <c r="AG84" s="2969" t="s">
        <v>9433</v>
      </c>
      <c r="AH84" s="2969" t="s">
        <v>416</v>
      </c>
      <c r="AI84" s="3077"/>
      <c r="AJ84" s="3078"/>
      <c r="AK84" s="3077"/>
      <c r="AL84" s="3078">
        <f t="shared" si="156"/>
        <v>104</v>
      </c>
      <c r="AM84" s="3108"/>
      <c r="AN84" s="3078"/>
      <c r="AO84" s="3079"/>
      <c r="AP84" s="3080">
        <f t="shared" si="159"/>
        <v>104</v>
      </c>
      <c r="AQ84" s="3080"/>
      <c r="AR84" s="3080"/>
      <c r="AS84" s="3081"/>
      <c r="AT84" s="3082"/>
      <c r="AU84" s="3083"/>
      <c r="AV84" s="3083"/>
      <c r="AW84" s="3084"/>
      <c r="AX84" s="3085"/>
      <c r="AY84" s="3080">
        <f>I84</f>
        <v>104</v>
      </c>
      <c r="AZ84" s="3080"/>
      <c r="BA84" s="3086"/>
      <c r="BB84" s="3087"/>
      <c r="BC84" s="3080"/>
      <c r="BD84" s="3080"/>
      <c r="BE84" s="3080"/>
      <c r="BF84" s="3080">
        <f t="shared" si="77"/>
        <v>0</v>
      </c>
      <c r="BG84" s="3080"/>
      <c r="BH84" s="3080"/>
      <c r="BI84" s="3080"/>
      <c r="BJ84" s="3080">
        <f t="shared" si="160"/>
        <v>104</v>
      </c>
      <c r="BK84" s="3080"/>
      <c r="BL84" s="3080" t="s">
        <v>9164</v>
      </c>
      <c r="BM84" s="3096"/>
      <c r="BN84" s="3080"/>
      <c r="BO84" s="3080">
        <f>I84</f>
        <v>104</v>
      </c>
      <c r="BP84" s="3080"/>
      <c r="BQ84" s="3080"/>
      <c r="BR84" s="3080">
        <f t="shared" si="136"/>
        <v>0</v>
      </c>
      <c r="BS84" s="3088">
        <f t="shared" si="137"/>
        <v>512584</v>
      </c>
      <c r="BT84" s="3088">
        <f t="shared" ref="BT84:BW84" si="164">BT83-BN84</f>
        <v>134647.666666666</v>
      </c>
      <c r="BU84" s="3088">
        <f t="shared" si="164"/>
        <v>135855.666666666</v>
      </c>
      <c r="BV84" s="3088">
        <f t="shared" si="164"/>
        <v>135864.666666666</v>
      </c>
      <c r="BW84" s="3088">
        <f t="shared" si="164"/>
        <v>136531.333333333</v>
      </c>
      <c r="BX84" s="3088"/>
    </row>
    <row r="85" s="3031" customFormat="1" ht="32" customHeight="1" spans="1:76">
      <c r="A85" s="3063">
        <v>45694</v>
      </c>
      <c r="B85" s="3064" t="s">
        <v>857</v>
      </c>
      <c r="C85" s="3065" t="s">
        <v>858</v>
      </c>
      <c r="D85" s="3066">
        <v>4500156829</v>
      </c>
      <c r="E85" s="3091"/>
      <c r="F85" s="3066" t="s">
        <v>9434</v>
      </c>
      <c r="G85" s="3069" t="s">
        <v>9154</v>
      </c>
      <c r="H85" s="3069" t="s">
        <v>9155</v>
      </c>
      <c r="I85" s="2969">
        <v>120</v>
      </c>
      <c r="J85" s="2969">
        <v>0</v>
      </c>
      <c r="K85" s="2969">
        <v>8</v>
      </c>
      <c r="L85" s="2969">
        <f t="shared" si="79"/>
        <v>15</v>
      </c>
      <c r="M85" s="3070">
        <v>45736</v>
      </c>
      <c r="N85" s="3070">
        <v>45733</v>
      </c>
      <c r="O85" s="2996"/>
      <c r="P85" s="2996" t="s">
        <v>82</v>
      </c>
      <c r="Q85" s="3071"/>
      <c r="R85" s="3071"/>
      <c r="S85" s="3071"/>
      <c r="T85" s="3071"/>
      <c r="U85" s="3072" t="s">
        <v>401</v>
      </c>
      <c r="V85" s="2996"/>
      <c r="W85" s="3073" t="s">
        <v>846</v>
      </c>
      <c r="X85" s="3073"/>
      <c r="Y85" s="3073" t="s">
        <v>98</v>
      </c>
      <c r="Z85" s="3073"/>
      <c r="AA85" s="3073"/>
      <c r="AB85" s="3091" t="s">
        <v>3244</v>
      </c>
      <c r="AC85" s="2969" t="s">
        <v>357</v>
      </c>
      <c r="AD85" s="3075">
        <v>4.1036</v>
      </c>
      <c r="AE85" s="3076">
        <f t="shared" si="125"/>
        <v>492.432</v>
      </c>
      <c r="AF85" s="2969"/>
      <c r="AG85" s="2969" t="s">
        <v>9154</v>
      </c>
      <c r="AH85" s="2969" t="s">
        <v>416</v>
      </c>
      <c r="AI85" s="3077"/>
      <c r="AJ85" s="3078">
        <f t="shared" ref="AJ85:AJ90" si="165">I85</f>
        <v>120</v>
      </c>
      <c r="AK85" s="3077"/>
      <c r="AL85" s="3078"/>
      <c r="AM85" s="3077"/>
      <c r="AN85" s="3078"/>
      <c r="AO85" s="3079"/>
      <c r="AP85" s="3080">
        <f t="shared" si="159"/>
        <v>120</v>
      </c>
      <c r="AQ85" s="3080"/>
      <c r="AR85" s="3080"/>
      <c r="AS85" s="3081"/>
      <c r="AT85" s="3109"/>
      <c r="AU85" s="3079"/>
      <c r="AV85" s="3079"/>
      <c r="AW85" s="3110"/>
      <c r="AX85" s="3085">
        <f t="shared" ref="AX85:AX97" si="166">I85/4</f>
        <v>30</v>
      </c>
      <c r="AY85" s="3080">
        <f t="shared" ref="AY85:AY95" si="167">I85/4</f>
        <v>30</v>
      </c>
      <c r="AZ85" s="3080">
        <f t="shared" ref="AZ85:AZ95" si="168">I85/4</f>
        <v>30</v>
      </c>
      <c r="BA85" s="3086">
        <f t="shared" ref="BA85:BA95" si="169">I85/4</f>
        <v>30</v>
      </c>
      <c r="BB85" s="3087"/>
      <c r="BC85" s="3080"/>
      <c r="BD85" s="3080"/>
      <c r="BE85" s="3080"/>
      <c r="BF85" s="3080">
        <f t="shared" si="77"/>
        <v>0</v>
      </c>
      <c r="BG85" s="3080"/>
      <c r="BH85" s="3080"/>
      <c r="BI85" s="3080"/>
      <c r="BJ85" s="3080">
        <f t="shared" si="160"/>
        <v>120</v>
      </c>
      <c r="BK85" s="3080"/>
      <c r="BL85" s="3080" t="s">
        <v>9164</v>
      </c>
      <c r="BM85" s="3079"/>
      <c r="BN85" s="3080">
        <f t="shared" ref="BN85:BN97" si="170">I85/4</f>
        <v>30</v>
      </c>
      <c r="BO85" s="3080">
        <f t="shared" ref="BO85:BO97" si="171">I85/4</f>
        <v>30</v>
      </c>
      <c r="BP85" s="3080">
        <f t="shared" ref="BP85:BP97" si="172">I85/4</f>
        <v>30</v>
      </c>
      <c r="BQ85" s="3080">
        <f t="shared" ref="BQ85:BQ97" si="173">I85/4</f>
        <v>30</v>
      </c>
      <c r="BR85" s="3080">
        <f t="shared" si="136"/>
        <v>0</v>
      </c>
      <c r="BS85" s="3088">
        <f t="shared" si="137"/>
        <v>512600</v>
      </c>
      <c r="BT85" s="3088">
        <f t="shared" ref="BT85:BW85" si="174">BT163-BN85</f>
        <v>134467.666666666</v>
      </c>
      <c r="BU85" s="3088">
        <f t="shared" si="174"/>
        <v>135675.666666666</v>
      </c>
      <c r="BV85" s="3088">
        <f t="shared" si="174"/>
        <v>135684.666666666</v>
      </c>
      <c r="BW85" s="3088">
        <f t="shared" si="174"/>
        <v>136351.333333333</v>
      </c>
      <c r="BX85" s="3088"/>
    </row>
    <row r="86" s="3031" customFormat="1" ht="32" customHeight="1" spans="1:76">
      <c r="A86" s="3063">
        <v>45683</v>
      </c>
      <c r="B86" s="3064" t="s">
        <v>872</v>
      </c>
      <c r="C86" s="3065" t="s">
        <v>873</v>
      </c>
      <c r="D86" s="3066">
        <v>4500156659</v>
      </c>
      <c r="E86" s="3091"/>
      <c r="F86" s="3066" t="s">
        <v>9435</v>
      </c>
      <c r="G86" s="3069" t="s">
        <v>9154</v>
      </c>
      <c r="H86" s="3069" t="s">
        <v>9155</v>
      </c>
      <c r="I86" s="2969">
        <v>264</v>
      </c>
      <c r="J86" s="2969">
        <v>0</v>
      </c>
      <c r="K86" s="2969">
        <v>8</v>
      </c>
      <c r="L86" s="2969">
        <f t="shared" si="79"/>
        <v>33</v>
      </c>
      <c r="M86" s="3070">
        <v>45736</v>
      </c>
      <c r="N86" s="3070">
        <v>45733</v>
      </c>
      <c r="O86" s="2996"/>
      <c r="P86" s="2996" t="s">
        <v>82</v>
      </c>
      <c r="Q86" s="3071"/>
      <c r="R86" s="3071"/>
      <c r="S86" s="3071"/>
      <c r="T86" s="3071"/>
      <c r="U86" s="3072" t="s">
        <v>875</v>
      </c>
      <c r="V86" s="2996"/>
      <c r="W86" s="3073" t="s">
        <v>876</v>
      </c>
      <c r="X86" s="3073"/>
      <c r="Y86" s="3073" t="s">
        <v>830</v>
      </c>
      <c r="Z86" s="3073"/>
      <c r="AA86" s="3073"/>
      <c r="AB86" s="3091" t="s">
        <v>9436</v>
      </c>
      <c r="AC86" s="2969" t="s">
        <v>357</v>
      </c>
      <c r="AD86" s="3075">
        <v>4.2589</v>
      </c>
      <c r="AE86" s="3076">
        <f t="shared" si="125"/>
        <v>1124.3496</v>
      </c>
      <c r="AF86" s="2969" t="s">
        <v>878</v>
      </c>
      <c r="AG86" s="2969" t="s">
        <v>9154</v>
      </c>
      <c r="AH86" s="2969" t="s">
        <v>416</v>
      </c>
      <c r="AI86" s="3077"/>
      <c r="AJ86" s="3078">
        <f t="shared" si="165"/>
        <v>264</v>
      </c>
      <c r="AK86" s="3077"/>
      <c r="AL86" s="3078"/>
      <c r="AM86" s="3108"/>
      <c r="AN86" s="3078"/>
      <c r="AO86" s="3079"/>
      <c r="AP86" s="3080">
        <f t="shared" si="159"/>
        <v>264</v>
      </c>
      <c r="AQ86" s="3080"/>
      <c r="AR86" s="3080"/>
      <c r="AS86" s="3081"/>
      <c r="AT86" s="3109"/>
      <c r="AU86" s="3079"/>
      <c r="AV86" s="3079"/>
      <c r="AW86" s="3110"/>
      <c r="AX86" s="3085">
        <f t="shared" si="166"/>
        <v>66</v>
      </c>
      <c r="AY86" s="3080">
        <f t="shared" si="167"/>
        <v>66</v>
      </c>
      <c r="AZ86" s="3080">
        <f t="shared" si="168"/>
        <v>66</v>
      </c>
      <c r="BA86" s="3086">
        <f t="shared" si="169"/>
        <v>66</v>
      </c>
      <c r="BB86" s="3087"/>
      <c r="BC86" s="3080"/>
      <c r="BD86" s="3080"/>
      <c r="BE86" s="3080"/>
      <c r="BF86" s="3080">
        <f t="shared" si="77"/>
        <v>0</v>
      </c>
      <c r="BG86" s="3080"/>
      <c r="BH86" s="3080"/>
      <c r="BI86" s="3080"/>
      <c r="BJ86" s="3080">
        <f t="shared" si="160"/>
        <v>264</v>
      </c>
      <c r="BK86" s="3080"/>
      <c r="BL86" s="3080" t="s">
        <v>9164</v>
      </c>
      <c r="BM86" s="3096"/>
      <c r="BN86" s="3080">
        <f t="shared" si="170"/>
        <v>66</v>
      </c>
      <c r="BO86" s="3080">
        <f t="shared" si="171"/>
        <v>66</v>
      </c>
      <c r="BP86" s="3080">
        <f t="shared" si="172"/>
        <v>66</v>
      </c>
      <c r="BQ86" s="3080">
        <f t="shared" si="173"/>
        <v>66</v>
      </c>
      <c r="BR86" s="3080">
        <f t="shared" si="136"/>
        <v>0</v>
      </c>
      <c r="BS86" s="3088">
        <f t="shared" si="137"/>
        <v>512744</v>
      </c>
      <c r="BT86" s="3088">
        <f t="shared" ref="BT86:BW86" si="175">BT85-BN86</f>
        <v>134401.666666666</v>
      </c>
      <c r="BU86" s="3088">
        <f t="shared" si="175"/>
        <v>135609.666666666</v>
      </c>
      <c r="BV86" s="3088">
        <f t="shared" si="175"/>
        <v>135618.666666666</v>
      </c>
      <c r="BW86" s="3088">
        <f t="shared" si="175"/>
        <v>136285.333333333</v>
      </c>
      <c r="BX86" s="3088"/>
    </row>
    <row r="87" s="3031" customFormat="1" ht="32" customHeight="1" spans="1:76">
      <c r="A87" s="3063">
        <v>45695</v>
      </c>
      <c r="B87" s="3064" t="s">
        <v>387</v>
      </c>
      <c r="C87" s="3065" t="s">
        <v>91</v>
      </c>
      <c r="D87" s="3066">
        <v>4500156873</v>
      </c>
      <c r="E87" s="3091">
        <v>70058002</v>
      </c>
      <c r="F87" s="3066" t="s">
        <v>9437</v>
      </c>
      <c r="G87" s="3069" t="s">
        <v>9154</v>
      </c>
      <c r="H87" s="3069" t="s">
        <v>9155</v>
      </c>
      <c r="I87" s="2969">
        <v>600</v>
      </c>
      <c r="J87" s="2969">
        <v>0</v>
      </c>
      <c r="K87" s="2969">
        <v>8</v>
      </c>
      <c r="L87" s="2969">
        <f t="shared" si="79"/>
        <v>75</v>
      </c>
      <c r="M87" s="3070">
        <v>45737</v>
      </c>
      <c r="N87" s="3070">
        <v>45733</v>
      </c>
      <c r="O87" s="2996"/>
      <c r="P87" s="2996" t="s">
        <v>82</v>
      </c>
      <c r="Q87" s="3071"/>
      <c r="R87" s="3071"/>
      <c r="S87" s="3071"/>
      <c r="T87" s="3071"/>
      <c r="U87" s="3072" t="s">
        <v>868</v>
      </c>
      <c r="V87" s="2996"/>
      <c r="W87" s="3073" t="s">
        <v>804</v>
      </c>
      <c r="X87" s="3073"/>
      <c r="Y87" s="3073" t="s">
        <v>98</v>
      </c>
      <c r="Z87" s="3073" t="s">
        <v>9438</v>
      </c>
      <c r="AA87" s="3073"/>
      <c r="AB87" s="3091" t="s">
        <v>3271</v>
      </c>
      <c r="AC87" s="2969" t="s">
        <v>393</v>
      </c>
      <c r="AD87" s="3075">
        <v>4.2475</v>
      </c>
      <c r="AE87" s="3076">
        <f t="shared" si="125"/>
        <v>2548.5</v>
      </c>
      <c r="AF87" s="2969" t="s">
        <v>871</v>
      </c>
      <c r="AG87" s="2969" t="s">
        <v>9154</v>
      </c>
      <c r="AH87" s="2969" t="s">
        <v>416</v>
      </c>
      <c r="AI87" s="3077"/>
      <c r="AJ87" s="3078">
        <f t="shared" si="165"/>
        <v>600</v>
      </c>
      <c r="AK87" s="3077"/>
      <c r="AL87" s="3078"/>
      <c r="AM87" s="3077"/>
      <c r="AN87" s="3078"/>
      <c r="AO87" s="3079"/>
      <c r="AP87" s="3080">
        <f t="shared" si="159"/>
        <v>600</v>
      </c>
      <c r="AQ87" s="3080"/>
      <c r="AR87" s="3080"/>
      <c r="AS87" s="3081"/>
      <c r="AT87" s="3109"/>
      <c r="AU87" s="3079"/>
      <c r="AV87" s="3079"/>
      <c r="AW87" s="3110"/>
      <c r="AX87" s="3085">
        <f t="shared" si="166"/>
        <v>150</v>
      </c>
      <c r="AY87" s="3080">
        <f t="shared" si="167"/>
        <v>150</v>
      </c>
      <c r="AZ87" s="3080">
        <f t="shared" si="168"/>
        <v>150</v>
      </c>
      <c r="BA87" s="3086">
        <f t="shared" si="169"/>
        <v>150</v>
      </c>
      <c r="BB87" s="3087"/>
      <c r="BC87" s="3080"/>
      <c r="BD87" s="3080"/>
      <c r="BE87" s="3080"/>
      <c r="BF87" s="3080">
        <f t="shared" si="77"/>
        <v>0</v>
      </c>
      <c r="BG87" s="3080"/>
      <c r="BH87" s="3080"/>
      <c r="BI87" s="3080"/>
      <c r="BJ87" s="3080">
        <f t="shared" si="160"/>
        <v>600</v>
      </c>
      <c r="BK87" s="3080"/>
      <c r="BL87" s="3080" t="s">
        <v>9164</v>
      </c>
      <c r="BM87" s="3079"/>
      <c r="BN87" s="3080">
        <f t="shared" si="170"/>
        <v>150</v>
      </c>
      <c r="BO87" s="3080">
        <f t="shared" si="171"/>
        <v>150</v>
      </c>
      <c r="BP87" s="3080">
        <f t="shared" si="172"/>
        <v>150</v>
      </c>
      <c r="BQ87" s="3080">
        <f t="shared" si="173"/>
        <v>150</v>
      </c>
      <c r="BR87" s="3080">
        <f t="shared" si="136"/>
        <v>0</v>
      </c>
      <c r="BS87" s="3088">
        <f t="shared" si="137"/>
        <v>513080</v>
      </c>
      <c r="BT87" s="3088">
        <f t="shared" ref="BT87:BW87" si="176">BT86-BN87</f>
        <v>134251.666666666</v>
      </c>
      <c r="BU87" s="3088">
        <f t="shared" si="176"/>
        <v>135459.666666666</v>
      </c>
      <c r="BV87" s="3088">
        <f t="shared" si="176"/>
        <v>135468.666666666</v>
      </c>
      <c r="BW87" s="3088">
        <f t="shared" si="176"/>
        <v>136135.333333333</v>
      </c>
      <c r="BX87" s="3088"/>
    </row>
    <row r="88" s="3031" customFormat="1" ht="32" customHeight="1" spans="1:76">
      <c r="A88" s="3063">
        <v>45700</v>
      </c>
      <c r="B88" s="3064" t="s">
        <v>6700</v>
      </c>
      <c r="C88" s="3065" t="s">
        <v>91</v>
      </c>
      <c r="D88" s="3066">
        <v>4500157247</v>
      </c>
      <c r="E88" s="5463" t="s">
        <v>9439</v>
      </c>
      <c r="F88" s="3066" t="s">
        <v>9440</v>
      </c>
      <c r="G88" s="3069" t="s">
        <v>9270</v>
      </c>
      <c r="H88" s="3069" t="s">
        <v>9155</v>
      </c>
      <c r="I88" s="2969">
        <v>600</v>
      </c>
      <c r="J88" s="2969">
        <v>0</v>
      </c>
      <c r="K88" s="2969">
        <v>4</v>
      </c>
      <c r="L88" s="2969">
        <f t="shared" si="79"/>
        <v>150</v>
      </c>
      <c r="M88" s="3070">
        <v>45737</v>
      </c>
      <c r="N88" s="3070">
        <f>M88-4</f>
        <v>45733</v>
      </c>
      <c r="O88" s="2996"/>
      <c r="P88" s="2996" t="s">
        <v>82</v>
      </c>
      <c r="Q88" s="3071"/>
      <c r="R88" s="3071"/>
      <c r="S88" s="3071"/>
      <c r="T88" s="3071"/>
      <c r="U88" s="3072" t="s">
        <v>845</v>
      </c>
      <c r="V88" s="2996"/>
      <c r="W88" s="3073" t="s">
        <v>9441</v>
      </c>
      <c r="X88" s="3073"/>
      <c r="Y88" s="3073" t="s">
        <v>98</v>
      </c>
      <c r="Z88" s="3073"/>
      <c r="AA88" s="3073"/>
      <c r="AB88" s="3091" t="s">
        <v>9442</v>
      </c>
      <c r="AC88" s="2969" t="s">
        <v>3061</v>
      </c>
      <c r="AD88" s="3075">
        <v>4.2738</v>
      </c>
      <c r="AE88" s="3076">
        <f t="shared" si="125"/>
        <v>2564.28</v>
      </c>
      <c r="AF88" s="2969" t="s">
        <v>9443</v>
      </c>
      <c r="AG88" s="2969" t="s">
        <v>9270</v>
      </c>
      <c r="AH88" s="2969" t="s">
        <v>416</v>
      </c>
      <c r="AI88" s="3077"/>
      <c r="AJ88" s="3078">
        <f t="shared" si="165"/>
        <v>600</v>
      </c>
      <c r="AK88" s="3077"/>
      <c r="AL88" s="3078"/>
      <c r="AM88" s="3077"/>
      <c r="AN88" s="3078"/>
      <c r="AO88" s="3079"/>
      <c r="AP88" s="3080">
        <f t="shared" si="159"/>
        <v>600</v>
      </c>
      <c r="AQ88" s="3080"/>
      <c r="AR88" s="3080"/>
      <c r="AS88" s="3081"/>
      <c r="AT88" s="3109"/>
      <c r="AU88" s="3079"/>
      <c r="AV88" s="3079"/>
      <c r="AW88" s="3110"/>
      <c r="AX88" s="3085">
        <f t="shared" si="166"/>
        <v>150</v>
      </c>
      <c r="AY88" s="3080">
        <f t="shared" si="167"/>
        <v>150</v>
      </c>
      <c r="AZ88" s="3080">
        <f t="shared" si="168"/>
        <v>150</v>
      </c>
      <c r="BA88" s="3086">
        <f t="shared" si="169"/>
        <v>150</v>
      </c>
      <c r="BB88" s="3087"/>
      <c r="BC88" s="3080"/>
      <c r="BD88" s="3080"/>
      <c r="BE88" s="3080"/>
      <c r="BF88" s="3080">
        <f t="shared" si="77"/>
        <v>0</v>
      </c>
      <c r="BG88" s="3080"/>
      <c r="BH88" s="3080"/>
      <c r="BI88" s="3080"/>
      <c r="BJ88" s="3080">
        <f t="shared" si="160"/>
        <v>600</v>
      </c>
      <c r="BK88" s="3080"/>
      <c r="BL88" s="3080" t="s">
        <v>9164</v>
      </c>
      <c r="BM88" s="3079"/>
      <c r="BN88" s="3080">
        <f t="shared" si="170"/>
        <v>150</v>
      </c>
      <c r="BO88" s="3080">
        <f t="shared" si="171"/>
        <v>150</v>
      </c>
      <c r="BP88" s="3080">
        <f t="shared" si="172"/>
        <v>150</v>
      </c>
      <c r="BQ88" s="3080">
        <f t="shared" si="173"/>
        <v>150</v>
      </c>
      <c r="BR88" s="3080">
        <f t="shared" si="136"/>
        <v>0</v>
      </c>
      <c r="BS88" s="3088">
        <f t="shared" si="137"/>
        <v>513080</v>
      </c>
      <c r="BT88" s="3088">
        <f t="shared" ref="BT88:BW88" si="177">BT87-BN88</f>
        <v>134101.666666666</v>
      </c>
      <c r="BU88" s="3088">
        <f t="shared" si="177"/>
        <v>135309.666666666</v>
      </c>
      <c r="BV88" s="3088">
        <f t="shared" si="177"/>
        <v>135318.666666666</v>
      </c>
      <c r="BW88" s="3088">
        <f t="shared" si="177"/>
        <v>135985.333333333</v>
      </c>
      <c r="BX88" s="3088"/>
    </row>
    <row r="89" s="3031" customFormat="1" ht="32" customHeight="1" spans="1:76">
      <c r="A89" s="3063">
        <v>45707</v>
      </c>
      <c r="B89" s="3064" t="s">
        <v>3721</v>
      </c>
      <c r="C89" s="3065" t="s">
        <v>3722</v>
      </c>
      <c r="D89" s="3066">
        <v>4500158005</v>
      </c>
      <c r="E89" s="3091" t="s">
        <v>9444</v>
      </c>
      <c r="F89" s="3066" t="s">
        <v>9445</v>
      </c>
      <c r="G89" s="3069" t="s">
        <v>9154</v>
      </c>
      <c r="H89" s="3069" t="s">
        <v>9155</v>
      </c>
      <c r="I89" s="2969">
        <v>360</v>
      </c>
      <c r="J89" s="2969">
        <v>0</v>
      </c>
      <c r="K89" s="2969">
        <v>8</v>
      </c>
      <c r="L89" s="2969">
        <f t="shared" si="79"/>
        <v>45</v>
      </c>
      <c r="M89" s="3070">
        <v>45738</v>
      </c>
      <c r="N89" s="3070">
        <v>45734</v>
      </c>
      <c r="O89" s="2996"/>
      <c r="P89" s="2996" t="s">
        <v>82</v>
      </c>
      <c r="Q89" s="3071"/>
      <c r="R89" s="3071"/>
      <c r="S89" s="3071"/>
      <c r="T89" s="3071"/>
      <c r="U89" s="3072" t="s">
        <v>889</v>
      </c>
      <c r="V89" s="2996"/>
      <c r="W89" s="3073" t="s">
        <v>1147</v>
      </c>
      <c r="X89" s="3073"/>
      <c r="Y89" s="3073" t="s">
        <v>9446</v>
      </c>
      <c r="Z89" s="3073"/>
      <c r="AA89" s="3073"/>
      <c r="AB89" s="3091" t="s">
        <v>9447</v>
      </c>
      <c r="AC89" s="2969" t="s">
        <v>892</v>
      </c>
      <c r="AD89" s="3075">
        <v>4.2589</v>
      </c>
      <c r="AE89" s="3076">
        <f t="shared" si="125"/>
        <v>1533.204</v>
      </c>
      <c r="AF89" s="2969" t="s">
        <v>9448</v>
      </c>
      <c r="AG89" s="2969" t="s">
        <v>9154</v>
      </c>
      <c r="AH89" s="2969" t="s">
        <v>416</v>
      </c>
      <c r="AI89" s="3077"/>
      <c r="AJ89" s="3078">
        <f t="shared" si="165"/>
        <v>360</v>
      </c>
      <c r="AK89" s="3077"/>
      <c r="AL89" s="3078"/>
      <c r="AM89" s="3077"/>
      <c r="AN89" s="3078"/>
      <c r="AO89" s="3079"/>
      <c r="AP89" s="3080">
        <f t="shared" si="159"/>
        <v>360</v>
      </c>
      <c r="AQ89" s="3080"/>
      <c r="AR89" s="3080"/>
      <c r="AS89" s="3081"/>
      <c r="AT89" s="3109"/>
      <c r="AU89" s="3079"/>
      <c r="AV89" s="3079"/>
      <c r="AW89" s="3110"/>
      <c r="AX89" s="3085">
        <f t="shared" si="166"/>
        <v>90</v>
      </c>
      <c r="AY89" s="3080">
        <f t="shared" si="167"/>
        <v>90</v>
      </c>
      <c r="AZ89" s="3080">
        <f t="shared" si="168"/>
        <v>90</v>
      </c>
      <c r="BA89" s="3086">
        <f t="shared" si="169"/>
        <v>90</v>
      </c>
      <c r="BB89" s="3087"/>
      <c r="BC89" s="3080"/>
      <c r="BD89" s="3080"/>
      <c r="BE89" s="3080"/>
      <c r="BF89" s="3080"/>
      <c r="BG89" s="3080"/>
      <c r="BH89" s="3080"/>
      <c r="BI89" s="3080"/>
      <c r="BJ89" s="3080">
        <f t="shared" si="160"/>
        <v>360</v>
      </c>
      <c r="BK89" s="3080"/>
      <c r="BL89" s="3080" t="s">
        <v>9164</v>
      </c>
      <c r="BM89" s="3079"/>
      <c r="BN89" s="3080">
        <f t="shared" si="170"/>
        <v>90</v>
      </c>
      <c r="BO89" s="3080">
        <f t="shared" si="171"/>
        <v>90</v>
      </c>
      <c r="BP89" s="3080">
        <f t="shared" si="172"/>
        <v>90</v>
      </c>
      <c r="BQ89" s="3080">
        <f t="shared" si="173"/>
        <v>90</v>
      </c>
      <c r="BR89" s="3080">
        <f t="shared" si="136"/>
        <v>0</v>
      </c>
      <c r="BS89" s="3088">
        <f t="shared" si="137"/>
        <v>512840</v>
      </c>
      <c r="BT89" s="3088">
        <f t="shared" ref="BT89:BW89" si="178">BT88-BN89</f>
        <v>134011.666666666</v>
      </c>
      <c r="BU89" s="3088">
        <f t="shared" si="178"/>
        <v>135219.666666666</v>
      </c>
      <c r="BV89" s="3088">
        <f t="shared" si="178"/>
        <v>135228.666666666</v>
      </c>
      <c r="BW89" s="3088">
        <f t="shared" si="178"/>
        <v>135895.333333333</v>
      </c>
      <c r="BX89" s="3088"/>
    </row>
    <row r="90" s="3031" customFormat="1" ht="32" customHeight="1" spans="1:76">
      <c r="A90" s="3063">
        <v>45705</v>
      </c>
      <c r="B90" s="3064" t="s">
        <v>3264</v>
      </c>
      <c r="C90" s="3065" t="s">
        <v>858</v>
      </c>
      <c r="D90" s="3066">
        <v>4500157780</v>
      </c>
      <c r="E90" s="3091"/>
      <c r="F90" s="3066" t="s">
        <v>9449</v>
      </c>
      <c r="G90" s="3069" t="s">
        <v>9154</v>
      </c>
      <c r="H90" s="3069" t="s">
        <v>9155</v>
      </c>
      <c r="I90" s="2969">
        <v>136</v>
      </c>
      <c r="J90" s="2969">
        <v>0</v>
      </c>
      <c r="K90" s="2969">
        <v>8</v>
      </c>
      <c r="L90" s="2969">
        <f t="shared" si="79"/>
        <v>17</v>
      </c>
      <c r="M90" s="3070">
        <v>45741</v>
      </c>
      <c r="N90" s="3070">
        <v>45737</v>
      </c>
      <c r="O90" s="2996"/>
      <c r="P90" s="2996" t="s">
        <v>82</v>
      </c>
      <c r="Q90" s="3071"/>
      <c r="R90" s="3071"/>
      <c r="S90" s="3071"/>
      <c r="T90" s="3071"/>
      <c r="U90" s="3072" t="s">
        <v>2403</v>
      </c>
      <c r="V90" s="2996"/>
      <c r="W90" s="3073" t="s">
        <v>876</v>
      </c>
      <c r="X90" s="3073"/>
      <c r="Y90" s="3073" t="s">
        <v>98</v>
      </c>
      <c r="Z90" s="3073"/>
      <c r="AA90" s="3073"/>
      <c r="AB90" s="3091" t="s">
        <v>9450</v>
      </c>
      <c r="AC90" s="2969" t="s">
        <v>357</v>
      </c>
      <c r="AD90" s="3075">
        <v>4.1036</v>
      </c>
      <c r="AE90" s="3076">
        <f t="shared" si="125"/>
        <v>558.0896</v>
      </c>
      <c r="AF90" s="2969" t="s">
        <v>3268</v>
      </c>
      <c r="AG90" s="2969" t="s">
        <v>9154</v>
      </c>
      <c r="AH90" s="2969" t="s">
        <v>416</v>
      </c>
      <c r="AI90" s="3077"/>
      <c r="AJ90" s="3078">
        <f t="shared" si="165"/>
        <v>136</v>
      </c>
      <c r="AK90" s="3077"/>
      <c r="AL90" s="3078"/>
      <c r="AM90" s="3077"/>
      <c r="AN90" s="3078"/>
      <c r="AO90" s="3079"/>
      <c r="AP90" s="3080">
        <f t="shared" si="159"/>
        <v>136</v>
      </c>
      <c r="AQ90" s="3080"/>
      <c r="AR90" s="3080"/>
      <c r="AS90" s="3081"/>
      <c r="AT90" s="3109"/>
      <c r="AU90" s="3079"/>
      <c r="AV90" s="3079"/>
      <c r="AW90" s="3110"/>
      <c r="AX90" s="3085">
        <f t="shared" si="166"/>
        <v>34</v>
      </c>
      <c r="AY90" s="3080">
        <f t="shared" si="167"/>
        <v>34</v>
      </c>
      <c r="AZ90" s="3080">
        <f t="shared" si="168"/>
        <v>34</v>
      </c>
      <c r="BA90" s="3086">
        <f t="shared" si="169"/>
        <v>34</v>
      </c>
      <c r="BB90" s="3087"/>
      <c r="BC90" s="3080"/>
      <c r="BD90" s="3080"/>
      <c r="BE90" s="3080"/>
      <c r="BF90" s="3080"/>
      <c r="BG90" s="3080"/>
      <c r="BH90" s="3080"/>
      <c r="BI90" s="3080"/>
      <c r="BJ90" s="3080">
        <f t="shared" si="160"/>
        <v>136</v>
      </c>
      <c r="BK90" s="3080"/>
      <c r="BL90" s="3080" t="s">
        <v>9164</v>
      </c>
      <c r="BM90" s="3079"/>
      <c r="BN90" s="3080">
        <f t="shared" si="170"/>
        <v>34</v>
      </c>
      <c r="BO90" s="3080">
        <f t="shared" si="171"/>
        <v>34</v>
      </c>
      <c r="BP90" s="3080">
        <f t="shared" si="172"/>
        <v>34</v>
      </c>
      <c r="BQ90" s="3080">
        <f t="shared" si="173"/>
        <v>34</v>
      </c>
      <c r="BR90" s="3080">
        <f t="shared" si="136"/>
        <v>0</v>
      </c>
      <c r="BS90" s="3088">
        <f t="shared" si="137"/>
        <v>512616</v>
      </c>
      <c r="BT90" s="3088">
        <f t="shared" ref="BT90:BW90" si="179">BT89-BN90</f>
        <v>133977.666666666</v>
      </c>
      <c r="BU90" s="3088">
        <f t="shared" si="179"/>
        <v>135185.666666666</v>
      </c>
      <c r="BV90" s="3088">
        <f t="shared" si="179"/>
        <v>135194.666666666</v>
      </c>
      <c r="BW90" s="3088">
        <f t="shared" si="179"/>
        <v>135861.333333333</v>
      </c>
      <c r="BX90" s="3088"/>
    </row>
    <row r="91" s="3031" customFormat="1" ht="32" customHeight="1" spans="1:76">
      <c r="A91" s="3063">
        <v>45652</v>
      </c>
      <c r="B91" s="3064" t="s">
        <v>9451</v>
      </c>
      <c r="C91" s="3065" t="s">
        <v>2776</v>
      </c>
      <c r="D91" s="3066">
        <v>4500154827</v>
      </c>
      <c r="E91" s="3091"/>
      <c r="F91" s="3066" t="s">
        <v>9452</v>
      </c>
      <c r="G91" s="3069" t="s">
        <v>9453</v>
      </c>
      <c r="H91" s="3069" t="s">
        <v>9454</v>
      </c>
      <c r="I91" s="2969">
        <v>600</v>
      </c>
      <c r="J91" s="2969">
        <v>0</v>
      </c>
      <c r="K91" s="2969">
        <v>30</v>
      </c>
      <c r="L91" s="2969">
        <f t="shared" si="79"/>
        <v>20</v>
      </c>
      <c r="M91" s="3070">
        <v>45737</v>
      </c>
      <c r="N91" s="3070">
        <v>45733</v>
      </c>
      <c r="O91" s="2996" t="s">
        <v>9455</v>
      </c>
      <c r="P91" s="2996" t="s">
        <v>82</v>
      </c>
      <c r="Q91" s="3071"/>
      <c r="R91" s="3071"/>
      <c r="S91" s="3071"/>
      <c r="T91" s="3071"/>
      <c r="U91" s="3072" t="s">
        <v>923</v>
      </c>
      <c r="V91" s="2996"/>
      <c r="W91" s="3073" t="s">
        <v>9456</v>
      </c>
      <c r="X91" s="3073"/>
      <c r="Y91" s="3073" t="s">
        <v>9457</v>
      </c>
      <c r="Z91" s="3073" t="s">
        <v>9458</v>
      </c>
      <c r="AA91" s="3073" t="s">
        <v>9459</v>
      </c>
      <c r="AB91" s="3091" t="s">
        <v>9460</v>
      </c>
      <c r="AC91" s="2969" t="s">
        <v>459</v>
      </c>
      <c r="AD91" s="3075">
        <v>156.8365</v>
      </c>
      <c r="AE91" s="3076">
        <f>AD91*L91</f>
        <v>3136.73</v>
      </c>
      <c r="AF91" s="2969" t="s">
        <v>9461</v>
      </c>
      <c r="AG91" s="3069" t="s">
        <v>9462</v>
      </c>
      <c r="AH91" s="2969" t="s">
        <v>416</v>
      </c>
      <c r="AI91" s="3077"/>
      <c r="AJ91" s="3078"/>
      <c r="AK91" s="3077"/>
      <c r="AL91" s="3078">
        <f t="shared" ref="AL91:AL96" si="180">I91</f>
        <v>600</v>
      </c>
      <c r="AM91" s="3092"/>
      <c r="AN91" s="3078"/>
      <c r="AO91" s="3079"/>
      <c r="AP91" s="3080">
        <f t="shared" si="159"/>
        <v>600</v>
      </c>
      <c r="AQ91" s="3080"/>
      <c r="AR91" s="3080"/>
      <c r="AS91" s="3081"/>
      <c r="AT91" s="3109"/>
      <c r="AU91" s="3079"/>
      <c r="AV91" s="3079"/>
      <c r="AW91" s="3110"/>
      <c r="AX91" s="3085">
        <f t="shared" si="166"/>
        <v>150</v>
      </c>
      <c r="AY91" s="3080">
        <f t="shared" si="167"/>
        <v>150</v>
      </c>
      <c r="AZ91" s="3080">
        <f t="shared" si="168"/>
        <v>150</v>
      </c>
      <c r="BA91" s="3086">
        <f t="shared" si="169"/>
        <v>150</v>
      </c>
      <c r="BB91" s="3087"/>
      <c r="BC91" s="3080"/>
      <c r="BD91" s="3080"/>
      <c r="BE91" s="3080"/>
      <c r="BF91" s="3080">
        <f t="shared" ref="BF91:BF101" si="181">SUM(AT91:BE91)-I91</f>
        <v>0</v>
      </c>
      <c r="BG91" s="3080">
        <f>L91</f>
        <v>20</v>
      </c>
      <c r="BH91" s="3080"/>
      <c r="BI91" s="3080"/>
      <c r="BJ91" s="3080">
        <f t="shared" si="160"/>
        <v>600</v>
      </c>
      <c r="BK91" s="3080"/>
      <c r="BL91" s="3080" t="s">
        <v>9164</v>
      </c>
      <c r="BM91" s="3097"/>
      <c r="BN91" s="3080">
        <f t="shared" si="170"/>
        <v>150</v>
      </c>
      <c r="BO91" s="3080">
        <f t="shared" si="171"/>
        <v>150</v>
      </c>
      <c r="BP91" s="3080">
        <f t="shared" si="172"/>
        <v>150</v>
      </c>
      <c r="BQ91" s="3080">
        <f t="shared" si="173"/>
        <v>150</v>
      </c>
      <c r="BR91" s="3080">
        <f t="shared" si="136"/>
        <v>0</v>
      </c>
      <c r="BS91" s="3088">
        <f t="shared" si="137"/>
        <v>513080</v>
      </c>
      <c r="BT91" s="3088">
        <f t="shared" ref="BT91:BW91" si="182">BT90-BN91</f>
        <v>133827.666666666</v>
      </c>
      <c r="BU91" s="3088">
        <f t="shared" si="182"/>
        <v>135035.666666666</v>
      </c>
      <c r="BV91" s="3088">
        <f t="shared" si="182"/>
        <v>135044.666666666</v>
      </c>
      <c r="BW91" s="3088">
        <f t="shared" si="182"/>
        <v>135711.333333333</v>
      </c>
      <c r="BX91" s="3088"/>
    </row>
    <row r="92" s="3031" customFormat="1" ht="32" customHeight="1" spans="1:76">
      <c r="A92" s="3063">
        <v>45698</v>
      </c>
      <c r="B92" s="3064" t="s">
        <v>9451</v>
      </c>
      <c r="C92" s="3065" t="s">
        <v>2776</v>
      </c>
      <c r="D92" s="3066">
        <v>4500154827</v>
      </c>
      <c r="E92" s="3091"/>
      <c r="F92" s="3066" t="s">
        <v>9463</v>
      </c>
      <c r="G92" s="3069" t="s">
        <v>9154</v>
      </c>
      <c r="H92" s="3069" t="s">
        <v>9155</v>
      </c>
      <c r="I92" s="2969">
        <v>480</v>
      </c>
      <c r="J92" s="2969">
        <v>0</v>
      </c>
      <c r="K92" s="2969">
        <v>8</v>
      </c>
      <c r="L92" s="2969">
        <f t="shared" si="79"/>
        <v>60</v>
      </c>
      <c r="M92" s="3070">
        <v>45737</v>
      </c>
      <c r="N92" s="3070">
        <v>45733</v>
      </c>
      <c r="O92" s="2996" t="s">
        <v>9455</v>
      </c>
      <c r="P92" s="2996" t="s">
        <v>82</v>
      </c>
      <c r="Q92" s="3071"/>
      <c r="R92" s="3071"/>
      <c r="S92" s="3071"/>
      <c r="T92" s="3071"/>
      <c r="U92" s="3072" t="s">
        <v>923</v>
      </c>
      <c r="V92" s="3073"/>
      <c r="W92" s="3073" t="s">
        <v>9456</v>
      </c>
      <c r="X92" s="3073"/>
      <c r="Y92" s="3073" t="s">
        <v>9457</v>
      </c>
      <c r="Z92" s="3073" t="s">
        <v>9458</v>
      </c>
      <c r="AA92" s="3073" t="s">
        <v>9459</v>
      </c>
      <c r="AB92" s="3091" t="s">
        <v>9464</v>
      </c>
      <c r="AC92" s="2969" t="s">
        <v>459</v>
      </c>
      <c r="AD92" s="3075">
        <v>4.1036</v>
      </c>
      <c r="AE92" s="3076">
        <f t="shared" ref="AE92:AE114" si="183">AD92*I92</f>
        <v>1969.728</v>
      </c>
      <c r="AF92" s="2969" t="s">
        <v>9461</v>
      </c>
      <c r="AG92" s="3089" t="s">
        <v>9239</v>
      </c>
      <c r="AH92" s="2969" t="s">
        <v>416</v>
      </c>
      <c r="AI92" s="3077"/>
      <c r="AJ92" s="3078"/>
      <c r="AK92" s="3077"/>
      <c r="AL92" s="3078">
        <f t="shared" si="180"/>
        <v>480</v>
      </c>
      <c r="AM92" s="3077"/>
      <c r="AN92" s="3078"/>
      <c r="AO92" s="3079"/>
      <c r="AP92" s="3080">
        <f t="shared" si="159"/>
        <v>480</v>
      </c>
      <c r="AQ92" s="3080"/>
      <c r="AR92" s="3080"/>
      <c r="AS92" s="3081"/>
      <c r="AT92" s="3109"/>
      <c r="AU92" s="3079"/>
      <c r="AV92" s="3079"/>
      <c r="AW92" s="3110"/>
      <c r="AX92" s="3085">
        <f t="shared" si="166"/>
        <v>120</v>
      </c>
      <c r="AY92" s="3080">
        <f t="shared" si="167"/>
        <v>120</v>
      </c>
      <c r="AZ92" s="3080">
        <f t="shared" si="168"/>
        <v>120</v>
      </c>
      <c r="BA92" s="3086">
        <f t="shared" si="169"/>
        <v>120</v>
      </c>
      <c r="BB92" s="3087"/>
      <c r="BC92" s="3080"/>
      <c r="BD92" s="3080"/>
      <c r="BE92" s="3080"/>
      <c r="BF92" s="3080">
        <f t="shared" si="181"/>
        <v>0</v>
      </c>
      <c r="BG92" s="3080"/>
      <c r="BH92" s="3080"/>
      <c r="BI92" s="3080"/>
      <c r="BJ92" s="3080">
        <f t="shared" si="160"/>
        <v>480</v>
      </c>
      <c r="BK92" s="3080"/>
      <c r="BL92" s="3080" t="s">
        <v>9164</v>
      </c>
      <c r="BM92" s="3079"/>
      <c r="BN92" s="3080">
        <f t="shared" si="170"/>
        <v>120</v>
      </c>
      <c r="BO92" s="3080">
        <f t="shared" si="171"/>
        <v>120</v>
      </c>
      <c r="BP92" s="3080">
        <f t="shared" si="172"/>
        <v>120</v>
      </c>
      <c r="BQ92" s="3080">
        <f t="shared" si="173"/>
        <v>120</v>
      </c>
      <c r="BR92" s="3080">
        <f t="shared" si="136"/>
        <v>0</v>
      </c>
      <c r="BS92" s="3088">
        <f t="shared" si="137"/>
        <v>512960</v>
      </c>
      <c r="BT92" s="3088">
        <f t="shared" ref="BT92:BW92" si="184">BT91-BN92</f>
        <v>133707.666666666</v>
      </c>
      <c r="BU92" s="3088">
        <f t="shared" si="184"/>
        <v>134915.666666666</v>
      </c>
      <c r="BV92" s="3088">
        <f t="shared" si="184"/>
        <v>134924.666666666</v>
      </c>
      <c r="BW92" s="3088">
        <f t="shared" si="184"/>
        <v>135591.333333333</v>
      </c>
      <c r="BX92" s="3088"/>
    </row>
    <row r="93" s="3031" customFormat="1" ht="32" customHeight="1" spans="1:76">
      <c r="A93" s="3063">
        <v>45698</v>
      </c>
      <c r="B93" s="3064" t="s">
        <v>561</v>
      </c>
      <c r="C93" s="3065" t="s">
        <v>562</v>
      </c>
      <c r="D93" s="3066">
        <v>4500156544</v>
      </c>
      <c r="E93" s="3091"/>
      <c r="F93" s="3066" t="s">
        <v>9465</v>
      </c>
      <c r="G93" s="3069" t="s">
        <v>9154</v>
      </c>
      <c r="H93" s="3069" t="s">
        <v>9155</v>
      </c>
      <c r="I93" s="2969">
        <v>600</v>
      </c>
      <c r="J93" s="2969">
        <v>0</v>
      </c>
      <c r="K93" s="2969">
        <v>8</v>
      </c>
      <c r="L93" s="2969">
        <f t="shared" si="79"/>
        <v>75</v>
      </c>
      <c r="M93" s="3070">
        <v>45737</v>
      </c>
      <c r="N93" s="3070">
        <v>45733</v>
      </c>
      <c r="O93" s="2996"/>
      <c r="P93" s="2996" t="s">
        <v>82</v>
      </c>
      <c r="Q93" s="3071"/>
      <c r="R93" s="3071"/>
      <c r="S93" s="3071"/>
      <c r="T93" s="3071"/>
      <c r="U93" s="3072" t="s">
        <v>875</v>
      </c>
      <c r="V93" s="2996"/>
      <c r="W93" s="3073" t="s">
        <v>846</v>
      </c>
      <c r="X93" s="3073"/>
      <c r="Y93" s="3073" t="s">
        <v>6555</v>
      </c>
      <c r="Z93" s="3073"/>
      <c r="AA93" s="3073"/>
      <c r="AB93" s="3091" t="s">
        <v>9466</v>
      </c>
      <c r="AC93" s="2969" t="s">
        <v>459</v>
      </c>
      <c r="AD93" s="3075">
        <v>4.2475</v>
      </c>
      <c r="AE93" s="3076">
        <f t="shared" si="183"/>
        <v>2548.5</v>
      </c>
      <c r="AF93" s="2969" t="s">
        <v>6557</v>
      </c>
      <c r="AG93" s="3089" t="s">
        <v>9239</v>
      </c>
      <c r="AH93" s="2969" t="s">
        <v>416</v>
      </c>
      <c r="AI93" s="3077"/>
      <c r="AJ93" s="3078"/>
      <c r="AK93" s="3077"/>
      <c r="AL93" s="3078">
        <f t="shared" si="180"/>
        <v>600</v>
      </c>
      <c r="AM93" s="3077"/>
      <c r="AN93" s="3078"/>
      <c r="AO93" s="3079"/>
      <c r="AP93" s="3080">
        <f t="shared" si="159"/>
        <v>600</v>
      </c>
      <c r="AQ93" s="3080"/>
      <c r="AR93" s="3080"/>
      <c r="AS93" s="3081"/>
      <c r="AT93" s="3109"/>
      <c r="AU93" s="3079"/>
      <c r="AV93" s="3079"/>
      <c r="AW93" s="3110"/>
      <c r="AX93" s="3085">
        <f t="shared" si="166"/>
        <v>150</v>
      </c>
      <c r="AY93" s="3080">
        <f t="shared" si="167"/>
        <v>150</v>
      </c>
      <c r="AZ93" s="3080">
        <f t="shared" si="168"/>
        <v>150</v>
      </c>
      <c r="BA93" s="3086">
        <f t="shared" si="169"/>
        <v>150</v>
      </c>
      <c r="BB93" s="3087"/>
      <c r="BC93" s="3080"/>
      <c r="BD93" s="3080"/>
      <c r="BE93" s="3080"/>
      <c r="BF93" s="3080">
        <f t="shared" si="181"/>
        <v>0</v>
      </c>
      <c r="BG93" s="3080"/>
      <c r="BH93" s="3080"/>
      <c r="BI93" s="3080"/>
      <c r="BJ93" s="3080">
        <f t="shared" si="160"/>
        <v>600</v>
      </c>
      <c r="BK93" s="3080"/>
      <c r="BL93" s="3080" t="s">
        <v>9164</v>
      </c>
      <c r="BM93" s="3079"/>
      <c r="BN93" s="3080">
        <f t="shared" si="170"/>
        <v>150</v>
      </c>
      <c r="BO93" s="3080">
        <f t="shared" si="171"/>
        <v>150</v>
      </c>
      <c r="BP93" s="3080">
        <f t="shared" si="172"/>
        <v>150</v>
      </c>
      <c r="BQ93" s="3080">
        <f t="shared" si="173"/>
        <v>150</v>
      </c>
      <c r="BR93" s="3080">
        <f t="shared" si="136"/>
        <v>0</v>
      </c>
      <c r="BS93" s="3088">
        <f t="shared" si="137"/>
        <v>513080</v>
      </c>
      <c r="BT93" s="3088">
        <f t="shared" ref="BT93:BW93" si="185">BT92-BN93</f>
        <v>133557.666666666</v>
      </c>
      <c r="BU93" s="3088">
        <f t="shared" si="185"/>
        <v>134765.666666666</v>
      </c>
      <c r="BV93" s="3088">
        <f t="shared" si="185"/>
        <v>134774.666666666</v>
      </c>
      <c r="BW93" s="3088">
        <f t="shared" si="185"/>
        <v>135441.333333333</v>
      </c>
      <c r="BX93" s="3088"/>
    </row>
    <row r="94" s="3031" customFormat="1" ht="32" customHeight="1" spans="1:76">
      <c r="A94" s="3063">
        <v>45701</v>
      </c>
      <c r="B94" s="3064" t="s">
        <v>461</v>
      </c>
      <c r="C94" s="3065" t="s">
        <v>341</v>
      </c>
      <c r="D94" s="3066">
        <v>4500157606</v>
      </c>
      <c r="E94" s="3091" t="s">
        <v>9467</v>
      </c>
      <c r="F94" s="3066" t="s">
        <v>9468</v>
      </c>
      <c r="G94" s="3069" t="s">
        <v>9154</v>
      </c>
      <c r="H94" s="3069" t="s">
        <v>9155</v>
      </c>
      <c r="I94" s="2969">
        <v>680</v>
      </c>
      <c r="J94" s="2969">
        <v>0</v>
      </c>
      <c r="K94" s="2969">
        <v>8</v>
      </c>
      <c r="L94" s="2969">
        <f t="shared" si="79"/>
        <v>85</v>
      </c>
      <c r="M94" s="3070">
        <v>45747</v>
      </c>
      <c r="N94" s="3070">
        <v>45743</v>
      </c>
      <c r="O94" s="2996"/>
      <c r="P94" s="2996" t="s">
        <v>82</v>
      </c>
      <c r="Q94" s="3071"/>
      <c r="R94" s="3071"/>
      <c r="S94" s="3071"/>
      <c r="T94" s="3071"/>
      <c r="U94" s="3072" t="s">
        <v>935</v>
      </c>
      <c r="V94" s="2996"/>
      <c r="W94" s="3073" t="s">
        <v>936</v>
      </c>
      <c r="X94" s="3073"/>
      <c r="Y94" s="3073" t="s">
        <v>98</v>
      </c>
      <c r="Z94" s="3073" t="s">
        <v>9469</v>
      </c>
      <c r="AA94" s="3073"/>
      <c r="AB94" s="3091" t="s">
        <v>9470</v>
      </c>
      <c r="AC94" s="2969" t="s">
        <v>87</v>
      </c>
      <c r="AD94" s="3075">
        <v>4.0921</v>
      </c>
      <c r="AE94" s="3076">
        <f t="shared" si="183"/>
        <v>2782.628</v>
      </c>
      <c r="AF94" s="2969" t="s">
        <v>939</v>
      </c>
      <c r="AG94" s="3089" t="s">
        <v>9239</v>
      </c>
      <c r="AH94" s="2969" t="s">
        <v>416</v>
      </c>
      <c r="AI94" s="3077"/>
      <c r="AJ94" s="3078"/>
      <c r="AK94" s="3077"/>
      <c r="AL94" s="3078">
        <f t="shared" si="180"/>
        <v>680</v>
      </c>
      <c r="AM94" s="3108"/>
      <c r="AN94" s="3078"/>
      <c r="AO94" s="3079"/>
      <c r="AP94" s="3080">
        <f t="shared" si="159"/>
        <v>680</v>
      </c>
      <c r="AQ94" s="3080"/>
      <c r="AR94" s="3080"/>
      <c r="AS94" s="3081"/>
      <c r="AT94" s="3109"/>
      <c r="AU94" s="3079"/>
      <c r="AV94" s="3079"/>
      <c r="AW94" s="3110"/>
      <c r="AX94" s="3085">
        <f t="shared" si="166"/>
        <v>170</v>
      </c>
      <c r="AY94" s="3080">
        <f t="shared" si="167"/>
        <v>170</v>
      </c>
      <c r="AZ94" s="3080">
        <f t="shared" si="168"/>
        <v>170</v>
      </c>
      <c r="BA94" s="3086">
        <f t="shared" si="169"/>
        <v>170</v>
      </c>
      <c r="BB94" s="3087"/>
      <c r="BC94" s="3080"/>
      <c r="BD94" s="3080"/>
      <c r="BE94" s="3080"/>
      <c r="BF94" s="3080">
        <f t="shared" si="181"/>
        <v>0</v>
      </c>
      <c r="BG94" s="3080"/>
      <c r="BH94" s="3080"/>
      <c r="BI94" s="3080"/>
      <c r="BJ94" s="3080">
        <f t="shared" si="160"/>
        <v>680</v>
      </c>
      <c r="BK94" s="3080"/>
      <c r="BL94" s="3080" t="s">
        <v>9164</v>
      </c>
      <c r="BM94" s="3096"/>
      <c r="BN94" s="3080">
        <f t="shared" si="170"/>
        <v>170</v>
      </c>
      <c r="BO94" s="3080">
        <f t="shared" si="171"/>
        <v>170</v>
      </c>
      <c r="BP94" s="3080">
        <f t="shared" si="172"/>
        <v>170</v>
      </c>
      <c r="BQ94" s="3080">
        <f t="shared" si="173"/>
        <v>170</v>
      </c>
      <c r="BR94" s="3080">
        <f t="shared" si="136"/>
        <v>0</v>
      </c>
      <c r="BS94" s="3088">
        <f t="shared" si="137"/>
        <v>513160</v>
      </c>
      <c r="BT94" s="3088">
        <f t="shared" ref="BT94:BW94" si="186">BT93-BN94</f>
        <v>133387.666666666</v>
      </c>
      <c r="BU94" s="3088">
        <f t="shared" si="186"/>
        <v>134595.666666666</v>
      </c>
      <c r="BV94" s="3088">
        <f t="shared" si="186"/>
        <v>134604.666666666</v>
      </c>
      <c r="BW94" s="3088">
        <f t="shared" si="186"/>
        <v>135271.333333333</v>
      </c>
      <c r="BX94" s="3088"/>
    </row>
    <row r="95" s="3031" customFormat="1" ht="32" customHeight="1" spans="1:76">
      <c r="A95" s="3063">
        <v>45701</v>
      </c>
      <c r="B95" s="3064" t="s">
        <v>470</v>
      </c>
      <c r="C95" s="3065" t="s">
        <v>471</v>
      </c>
      <c r="D95" s="3066">
        <v>4500157593</v>
      </c>
      <c r="E95" s="3091" t="s">
        <v>470</v>
      </c>
      <c r="F95" s="3066" t="s">
        <v>9471</v>
      </c>
      <c r="G95" s="3069" t="s">
        <v>9154</v>
      </c>
      <c r="H95" s="3069" t="s">
        <v>9155</v>
      </c>
      <c r="I95" s="2969">
        <v>504</v>
      </c>
      <c r="J95" s="2969">
        <v>0</v>
      </c>
      <c r="K95" s="2969">
        <v>8</v>
      </c>
      <c r="L95" s="2969">
        <f t="shared" si="79"/>
        <v>63</v>
      </c>
      <c r="M95" s="3070">
        <v>45747</v>
      </c>
      <c r="N95" s="3070">
        <v>45743</v>
      </c>
      <c r="O95" s="2996"/>
      <c r="P95" s="2996" t="s">
        <v>82</v>
      </c>
      <c r="Q95" s="3071"/>
      <c r="R95" s="3071"/>
      <c r="S95" s="3071"/>
      <c r="T95" s="3071"/>
      <c r="U95" s="3072"/>
      <c r="V95" s="2996"/>
      <c r="W95" s="3073" t="s">
        <v>936</v>
      </c>
      <c r="X95" s="3073"/>
      <c r="Y95" s="3073" t="s">
        <v>9472</v>
      </c>
      <c r="Z95" s="3073" t="s">
        <v>9469</v>
      </c>
      <c r="AA95" s="3073"/>
      <c r="AB95" s="3091" t="s">
        <v>9473</v>
      </c>
      <c r="AC95" s="2969" t="s">
        <v>87</v>
      </c>
      <c r="AD95" s="3075">
        <v>4.2475</v>
      </c>
      <c r="AE95" s="3076">
        <f t="shared" si="183"/>
        <v>2140.74</v>
      </c>
      <c r="AF95" s="2969" t="s">
        <v>945</v>
      </c>
      <c r="AG95" s="3089" t="s">
        <v>9239</v>
      </c>
      <c r="AH95" s="2969" t="s">
        <v>416</v>
      </c>
      <c r="AI95" s="3077"/>
      <c r="AJ95" s="3078"/>
      <c r="AK95" s="3077"/>
      <c r="AL95" s="3078">
        <f t="shared" si="180"/>
        <v>504</v>
      </c>
      <c r="AM95" s="3108"/>
      <c r="AN95" s="3078"/>
      <c r="AO95" s="3079"/>
      <c r="AP95" s="3080">
        <f t="shared" si="159"/>
        <v>504</v>
      </c>
      <c r="AQ95" s="3080"/>
      <c r="AR95" s="3080"/>
      <c r="AS95" s="3081"/>
      <c r="AT95" s="3109"/>
      <c r="AU95" s="3079"/>
      <c r="AV95" s="3079"/>
      <c r="AW95" s="3110"/>
      <c r="AX95" s="3085">
        <f t="shared" si="166"/>
        <v>126</v>
      </c>
      <c r="AY95" s="3080">
        <f t="shared" si="167"/>
        <v>126</v>
      </c>
      <c r="AZ95" s="3080">
        <f t="shared" si="168"/>
        <v>126</v>
      </c>
      <c r="BA95" s="3086">
        <f t="shared" si="169"/>
        <v>126</v>
      </c>
      <c r="BB95" s="3087"/>
      <c r="BC95" s="3080"/>
      <c r="BD95" s="3080"/>
      <c r="BE95" s="3080"/>
      <c r="BF95" s="3080">
        <f t="shared" si="181"/>
        <v>0</v>
      </c>
      <c r="BG95" s="3080"/>
      <c r="BH95" s="3080"/>
      <c r="BI95" s="3080"/>
      <c r="BJ95" s="3080">
        <f t="shared" si="160"/>
        <v>504</v>
      </c>
      <c r="BK95" s="3080"/>
      <c r="BL95" s="3080" t="s">
        <v>9164</v>
      </c>
      <c r="BM95" s="3096"/>
      <c r="BN95" s="3080">
        <f t="shared" si="170"/>
        <v>126</v>
      </c>
      <c r="BO95" s="3080">
        <f t="shared" si="171"/>
        <v>126</v>
      </c>
      <c r="BP95" s="3080">
        <f t="shared" si="172"/>
        <v>126</v>
      </c>
      <c r="BQ95" s="3080">
        <f t="shared" si="173"/>
        <v>126</v>
      </c>
      <c r="BR95" s="3080">
        <f t="shared" si="136"/>
        <v>0</v>
      </c>
      <c r="BS95" s="3088">
        <f t="shared" si="137"/>
        <v>512984</v>
      </c>
      <c r="BT95" s="3088">
        <f t="shared" ref="BT95:BW95" si="187">BT94-BN95</f>
        <v>133261.666666666</v>
      </c>
      <c r="BU95" s="3088">
        <f t="shared" si="187"/>
        <v>134469.666666666</v>
      </c>
      <c r="BV95" s="3088">
        <f t="shared" si="187"/>
        <v>134478.666666666</v>
      </c>
      <c r="BW95" s="3088">
        <f t="shared" si="187"/>
        <v>135145.333333333</v>
      </c>
      <c r="BX95" s="3088"/>
    </row>
    <row r="96" s="3031" customFormat="1" ht="32" customHeight="1" spans="1:76">
      <c r="A96" s="3063">
        <v>45579</v>
      </c>
      <c r="B96" s="3064" t="s">
        <v>6682</v>
      </c>
      <c r="C96" s="3065" t="s">
        <v>396</v>
      </c>
      <c r="D96" s="3066">
        <v>4500147528</v>
      </c>
      <c r="E96" s="3091">
        <v>9650903910</v>
      </c>
      <c r="F96" s="3066" t="s">
        <v>9474</v>
      </c>
      <c r="G96" s="3069" t="s">
        <v>9158</v>
      </c>
      <c r="H96" s="3069" t="s">
        <v>9155</v>
      </c>
      <c r="I96" s="2969">
        <v>400</v>
      </c>
      <c r="J96" s="2969">
        <v>0</v>
      </c>
      <c r="K96" s="2969">
        <v>1</v>
      </c>
      <c r="L96" s="2969">
        <f t="shared" si="79"/>
        <v>400</v>
      </c>
      <c r="M96" s="3070">
        <v>45748</v>
      </c>
      <c r="N96" s="3070">
        <v>45744</v>
      </c>
      <c r="O96" s="2996" t="s">
        <v>9475</v>
      </c>
      <c r="P96" s="2996" t="s">
        <v>82</v>
      </c>
      <c r="Q96" s="3071"/>
      <c r="R96" s="3071"/>
      <c r="S96" s="3071"/>
      <c r="T96" s="3071"/>
      <c r="U96" s="3072" t="s">
        <v>180</v>
      </c>
      <c r="V96" s="2996"/>
      <c r="W96" s="3073" t="s">
        <v>936</v>
      </c>
      <c r="X96" s="3073" t="s">
        <v>98</v>
      </c>
      <c r="Y96" s="3073" t="s">
        <v>9293</v>
      </c>
      <c r="Z96" s="3073"/>
      <c r="AA96" s="3073"/>
      <c r="AB96" s="3091" t="s">
        <v>9387</v>
      </c>
      <c r="AC96" s="2969" t="s">
        <v>6688</v>
      </c>
      <c r="AD96" s="3075">
        <v>4.4107</v>
      </c>
      <c r="AE96" s="3076">
        <f t="shared" si="183"/>
        <v>1764.28</v>
      </c>
      <c r="AF96" s="2969" t="s">
        <v>9476</v>
      </c>
      <c r="AG96" s="3069" t="s">
        <v>9163</v>
      </c>
      <c r="AH96" s="2969" t="s">
        <v>416</v>
      </c>
      <c r="AI96" s="3077"/>
      <c r="AJ96" s="3078"/>
      <c r="AK96" s="3077"/>
      <c r="AL96" s="3078">
        <f t="shared" si="180"/>
        <v>400</v>
      </c>
      <c r="AM96" s="3103"/>
      <c r="AN96" s="3078"/>
      <c r="AO96" s="3079"/>
      <c r="AP96" s="3080">
        <f t="shared" si="159"/>
        <v>400</v>
      </c>
      <c r="AQ96" s="3080"/>
      <c r="AR96" s="3080"/>
      <c r="AS96" s="3081"/>
      <c r="AT96" s="3109"/>
      <c r="AU96" s="3079"/>
      <c r="AV96" s="3079"/>
      <c r="AW96" s="3110"/>
      <c r="AX96" s="3085">
        <f t="shared" si="166"/>
        <v>100</v>
      </c>
      <c r="AY96" s="3080">
        <f>AX96</f>
        <v>100</v>
      </c>
      <c r="AZ96" s="3080">
        <f>AX96</f>
        <v>100</v>
      </c>
      <c r="BA96" s="3086">
        <f>AX96</f>
        <v>100</v>
      </c>
      <c r="BB96" s="3087"/>
      <c r="BC96" s="3080"/>
      <c r="BD96" s="3080"/>
      <c r="BE96" s="3080"/>
      <c r="BF96" s="3080">
        <f t="shared" si="181"/>
        <v>0</v>
      </c>
      <c r="BG96" s="3080"/>
      <c r="BH96" s="3080"/>
      <c r="BI96" s="3080"/>
      <c r="BJ96" s="3080"/>
      <c r="BK96" s="3080">
        <f>I96</f>
        <v>400</v>
      </c>
      <c r="BL96" s="3080" t="s">
        <v>9164</v>
      </c>
      <c r="BM96" s="3079"/>
      <c r="BN96" s="3080">
        <f t="shared" si="170"/>
        <v>100</v>
      </c>
      <c r="BO96" s="3080">
        <f t="shared" si="171"/>
        <v>100</v>
      </c>
      <c r="BP96" s="3080">
        <f t="shared" si="172"/>
        <v>100</v>
      </c>
      <c r="BQ96" s="3080">
        <f t="shared" si="173"/>
        <v>100</v>
      </c>
      <c r="BR96" s="3080">
        <f t="shared" si="136"/>
        <v>0</v>
      </c>
      <c r="BS96" s="3088">
        <f t="shared" si="137"/>
        <v>512880</v>
      </c>
      <c r="BT96" s="3088">
        <f t="shared" ref="BT96:BW96" si="188">BT95-BN96</f>
        <v>133161.666666666</v>
      </c>
      <c r="BU96" s="3088">
        <f t="shared" si="188"/>
        <v>134369.666666666</v>
      </c>
      <c r="BV96" s="3088">
        <f t="shared" si="188"/>
        <v>134378.666666666</v>
      </c>
      <c r="BW96" s="3088">
        <f t="shared" si="188"/>
        <v>135045.333333333</v>
      </c>
      <c r="BX96" s="3088"/>
    </row>
    <row r="97" s="3031" customFormat="1" ht="32" customHeight="1" spans="1:76">
      <c r="A97" s="3063">
        <v>45715</v>
      </c>
      <c r="B97" s="3064" t="s">
        <v>505</v>
      </c>
      <c r="C97" s="3065" t="s">
        <v>506</v>
      </c>
      <c r="D97" s="3066">
        <v>4500158785</v>
      </c>
      <c r="E97" s="3091">
        <v>20661144</v>
      </c>
      <c r="F97" s="3066" t="s">
        <v>9477</v>
      </c>
      <c r="G97" s="3069" t="s">
        <v>9154</v>
      </c>
      <c r="H97" s="3069" t="s">
        <v>9155</v>
      </c>
      <c r="I97" s="2969">
        <v>1504</v>
      </c>
      <c r="J97" s="2969">
        <v>0</v>
      </c>
      <c r="K97" s="2969">
        <v>8</v>
      </c>
      <c r="L97" s="2969">
        <f t="shared" si="79"/>
        <v>188</v>
      </c>
      <c r="M97" s="3070">
        <v>45754</v>
      </c>
      <c r="N97" s="3070">
        <v>45750</v>
      </c>
      <c r="O97" s="3111"/>
      <c r="P97" s="2996" t="s">
        <v>82</v>
      </c>
      <c r="Q97" s="3071"/>
      <c r="R97" s="3071"/>
      <c r="S97" s="3071"/>
      <c r="T97" s="3071"/>
      <c r="U97" s="3106" t="s">
        <v>973</v>
      </c>
      <c r="V97" s="2996"/>
      <c r="W97" s="3073" t="s">
        <v>974</v>
      </c>
      <c r="X97" s="3073"/>
      <c r="Y97" s="3073" t="s">
        <v>975</v>
      </c>
      <c r="Z97" s="3073"/>
      <c r="AA97" s="3073"/>
      <c r="AB97" s="3091" t="s">
        <v>9478</v>
      </c>
      <c r="AC97" s="2969" t="s">
        <v>513</v>
      </c>
      <c r="AD97" s="3075">
        <v>4.5774</v>
      </c>
      <c r="AE97" s="3076">
        <f t="shared" si="183"/>
        <v>6884.4096</v>
      </c>
      <c r="AF97" s="2969" t="s">
        <v>979</v>
      </c>
      <c r="AG97" s="2969" t="s">
        <v>9154</v>
      </c>
      <c r="AH97" s="2969" t="s">
        <v>416</v>
      </c>
      <c r="AI97" s="3077"/>
      <c r="AJ97" s="3078">
        <f t="shared" ref="AJ97:AJ100" si="189">I97</f>
        <v>1504</v>
      </c>
      <c r="AK97" s="3077"/>
      <c r="AL97" s="3078"/>
      <c r="AM97" s="3112"/>
      <c r="AN97" s="3078"/>
      <c r="AO97" s="3079"/>
      <c r="AP97" s="3080">
        <f t="shared" si="159"/>
        <v>1504</v>
      </c>
      <c r="AQ97" s="3080"/>
      <c r="AR97" s="3080"/>
      <c r="AS97" s="3081"/>
      <c r="AT97" s="3109"/>
      <c r="AU97" s="3079"/>
      <c r="AV97" s="3079"/>
      <c r="AW97" s="3110"/>
      <c r="AX97" s="3085">
        <f t="shared" si="166"/>
        <v>376</v>
      </c>
      <c r="AY97" s="3080">
        <f>AX97</f>
        <v>376</v>
      </c>
      <c r="AZ97" s="3080">
        <f>AX97</f>
        <v>376</v>
      </c>
      <c r="BA97" s="3086">
        <f>AX97</f>
        <v>376</v>
      </c>
      <c r="BB97" s="3087"/>
      <c r="BC97" s="3080"/>
      <c r="BD97" s="3080"/>
      <c r="BE97" s="3080"/>
      <c r="BF97" s="3080">
        <f t="shared" si="181"/>
        <v>0</v>
      </c>
      <c r="BG97" s="3080"/>
      <c r="BH97" s="3080"/>
      <c r="BI97" s="3080"/>
      <c r="BJ97" s="3080">
        <f t="shared" ref="BJ97:BJ100" si="190">I97</f>
        <v>1504</v>
      </c>
      <c r="BK97" s="3080"/>
      <c r="BL97" s="3080" t="s">
        <v>9164</v>
      </c>
      <c r="BM97" s="3113"/>
      <c r="BN97" s="3080">
        <f t="shared" si="170"/>
        <v>376</v>
      </c>
      <c r="BO97" s="3080">
        <f t="shared" si="171"/>
        <v>376</v>
      </c>
      <c r="BP97" s="3080">
        <f t="shared" si="172"/>
        <v>376</v>
      </c>
      <c r="BQ97" s="3080">
        <f t="shared" si="173"/>
        <v>376</v>
      </c>
      <c r="BR97" s="3080">
        <f t="shared" si="136"/>
        <v>0</v>
      </c>
      <c r="BS97" s="3088">
        <f t="shared" si="137"/>
        <v>513984</v>
      </c>
      <c r="BT97" s="3088">
        <f t="shared" ref="BT97:BW97" si="191">BT96-BN97</f>
        <v>132785.666666666</v>
      </c>
      <c r="BU97" s="3088">
        <f t="shared" si="191"/>
        <v>133993.666666666</v>
      </c>
      <c r="BV97" s="3088">
        <f t="shared" si="191"/>
        <v>134002.666666666</v>
      </c>
      <c r="BW97" s="3088">
        <f t="shared" si="191"/>
        <v>134669.333333333</v>
      </c>
      <c r="BX97" s="3088"/>
    </row>
    <row r="98" s="3031" customFormat="1" ht="32" customHeight="1" spans="1:76">
      <c r="A98" s="3063">
        <v>45716</v>
      </c>
      <c r="B98" s="3064" t="s">
        <v>872</v>
      </c>
      <c r="C98" s="3065" t="s">
        <v>873</v>
      </c>
      <c r="D98" s="3066">
        <v>4500158504</v>
      </c>
      <c r="E98" s="3091"/>
      <c r="F98" s="3066" t="s">
        <v>9479</v>
      </c>
      <c r="G98" s="3069" t="s">
        <v>9255</v>
      </c>
      <c r="H98" s="3069" t="s">
        <v>9098</v>
      </c>
      <c r="I98" s="2969">
        <v>200</v>
      </c>
      <c r="J98" s="2969">
        <v>0</v>
      </c>
      <c r="K98" s="2969">
        <v>8</v>
      </c>
      <c r="L98" s="2969">
        <f t="shared" si="79"/>
        <v>25</v>
      </c>
      <c r="M98" s="3070">
        <v>45756</v>
      </c>
      <c r="N98" s="3070">
        <v>45752</v>
      </c>
      <c r="O98" s="2996"/>
      <c r="P98" s="2996" t="s">
        <v>82</v>
      </c>
      <c r="Q98" s="3071"/>
      <c r="R98" s="3071"/>
      <c r="S98" s="3071"/>
      <c r="T98" s="3071"/>
      <c r="U98" s="3072" t="s">
        <v>969</v>
      </c>
      <c r="V98" s="2996"/>
      <c r="W98" s="3073" t="s">
        <v>1063</v>
      </c>
      <c r="X98" s="3073"/>
      <c r="Y98" s="3073" t="s">
        <v>9480</v>
      </c>
      <c r="Z98" s="3073"/>
      <c r="AA98" s="3073"/>
      <c r="AB98" s="3091" t="s">
        <v>9481</v>
      </c>
      <c r="AC98" s="2969" t="s">
        <v>9482</v>
      </c>
      <c r="AD98" s="3075">
        <v>4.2589</v>
      </c>
      <c r="AE98" s="3076">
        <f t="shared" si="183"/>
        <v>851.78</v>
      </c>
      <c r="AF98" s="2969" t="s">
        <v>9483</v>
      </c>
      <c r="AG98" s="2969" t="s">
        <v>9255</v>
      </c>
      <c r="AH98" s="2969" t="s">
        <v>416</v>
      </c>
      <c r="AI98" s="3077"/>
      <c r="AJ98" s="3078">
        <f t="shared" si="189"/>
        <v>200</v>
      </c>
      <c r="AK98" s="3077"/>
      <c r="AL98" s="3078"/>
      <c r="AM98" s="3103"/>
      <c r="AN98" s="3078"/>
      <c r="AO98" s="3079"/>
      <c r="AP98" s="3080">
        <f t="shared" si="159"/>
        <v>200</v>
      </c>
      <c r="AQ98" s="3080"/>
      <c r="AR98" s="3080"/>
      <c r="AS98" s="3081"/>
      <c r="AT98" s="3109"/>
      <c r="AU98" s="3079"/>
      <c r="AV98" s="3079"/>
      <c r="AW98" s="3110"/>
      <c r="AX98" s="3085">
        <f>I98</f>
        <v>200</v>
      </c>
      <c r="AY98" s="3080"/>
      <c r="AZ98" s="3080"/>
      <c r="BA98" s="3086"/>
      <c r="BB98" s="3087"/>
      <c r="BC98" s="3080"/>
      <c r="BD98" s="3080"/>
      <c r="BE98" s="3080"/>
      <c r="BF98" s="3080">
        <f t="shared" si="181"/>
        <v>0</v>
      </c>
      <c r="BG98" s="3080"/>
      <c r="BH98" s="3080"/>
      <c r="BI98" s="3080"/>
      <c r="BJ98" s="3080">
        <f t="shared" si="190"/>
        <v>200</v>
      </c>
      <c r="BK98" s="3080"/>
      <c r="BL98" s="3080" t="s">
        <v>9164</v>
      </c>
      <c r="BM98" s="3102"/>
      <c r="BN98" s="3080">
        <f>I98</f>
        <v>200</v>
      </c>
      <c r="BO98" s="3080"/>
      <c r="BP98" s="3080"/>
      <c r="BQ98" s="3080"/>
      <c r="BR98" s="3080">
        <f t="shared" si="136"/>
        <v>0</v>
      </c>
      <c r="BS98" s="3088">
        <f t="shared" si="137"/>
        <v>512680</v>
      </c>
      <c r="BT98" s="3088">
        <f t="shared" ref="BT98:BW98" si="192">BT97-BN98</f>
        <v>132585.666666666</v>
      </c>
      <c r="BU98" s="3088">
        <f t="shared" si="192"/>
        <v>133993.666666666</v>
      </c>
      <c r="BV98" s="3088">
        <f t="shared" si="192"/>
        <v>134002.666666666</v>
      </c>
      <c r="BW98" s="3088">
        <f t="shared" si="192"/>
        <v>134669.333333333</v>
      </c>
      <c r="BX98" s="3088"/>
    </row>
    <row r="99" s="3031" customFormat="1" ht="32" customHeight="1" spans="1:76">
      <c r="A99" s="3063">
        <v>45716</v>
      </c>
      <c r="B99" s="3064" t="s">
        <v>872</v>
      </c>
      <c r="C99" s="3065" t="s">
        <v>873</v>
      </c>
      <c r="D99" s="3066">
        <v>4500158504</v>
      </c>
      <c r="E99" s="3091"/>
      <c r="F99" s="3066" t="s">
        <v>9484</v>
      </c>
      <c r="G99" s="3069" t="s">
        <v>9419</v>
      </c>
      <c r="H99" s="3069" t="s">
        <v>9100</v>
      </c>
      <c r="I99" s="2969">
        <v>200</v>
      </c>
      <c r="J99" s="2969">
        <v>0</v>
      </c>
      <c r="K99" s="2969">
        <v>8</v>
      </c>
      <c r="L99" s="2969">
        <f t="shared" si="79"/>
        <v>25</v>
      </c>
      <c r="M99" s="3070">
        <v>45756</v>
      </c>
      <c r="N99" s="3070">
        <v>45752</v>
      </c>
      <c r="O99" s="2996"/>
      <c r="P99" s="2996" t="s">
        <v>82</v>
      </c>
      <c r="Q99" s="3071"/>
      <c r="R99" s="3071"/>
      <c r="S99" s="3071"/>
      <c r="T99" s="3071"/>
      <c r="U99" s="3072" t="s">
        <v>969</v>
      </c>
      <c r="V99" s="2996"/>
      <c r="W99" s="3073" t="s">
        <v>1063</v>
      </c>
      <c r="X99" s="3073"/>
      <c r="Y99" s="3073" t="s">
        <v>9480</v>
      </c>
      <c r="Z99" s="3073"/>
      <c r="AA99" s="3073"/>
      <c r="AB99" s="3091" t="s">
        <v>9481</v>
      </c>
      <c r="AC99" s="2969" t="s">
        <v>9482</v>
      </c>
      <c r="AD99" s="3075">
        <v>4.2589</v>
      </c>
      <c r="AE99" s="3076">
        <f t="shared" si="183"/>
        <v>851.78</v>
      </c>
      <c r="AF99" s="2969" t="s">
        <v>9483</v>
      </c>
      <c r="AG99" s="2969" t="s">
        <v>9419</v>
      </c>
      <c r="AH99" s="2969" t="s">
        <v>416</v>
      </c>
      <c r="AI99" s="3108"/>
      <c r="AJ99" s="3078">
        <f t="shared" si="189"/>
        <v>200</v>
      </c>
      <c r="AK99" s="3108"/>
      <c r="AL99" s="3078"/>
      <c r="AM99" s="3112"/>
      <c r="AN99" s="3078"/>
      <c r="AO99" s="3096"/>
      <c r="AP99" s="3080">
        <f t="shared" si="159"/>
        <v>200</v>
      </c>
      <c r="AQ99" s="3080"/>
      <c r="AR99" s="3080"/>
      <c r="AS99" s="3081"/>
      <c r="AT99" s="3114"/>
      <c r="AU99" s="3096"/>
      <c r="AV99" s="3096"/>
      <c r="AW99" s="3115"/>
      <c r="AX99" s="3085"/>
      <c r="AY99" s="3080"/>
      <c r="AZ99" s="3080">
        <f>I99</f>
        <v>200</v>
      </c>
      <c r="BA99" s="3086"/>
      <c r="BB99" s="3087"/>
      <c r="BC99" s="3080"/>
      <c r="BD99" s="3080"/>
      <c r="BE99" s="3080"/>
      <c r="BF99" s="3080">
        <f t="shared" si="181"/>
        <v>0</v>
      </c>
      <c r="BG99" s="3080"/>
      <c r="BH99" s="3080"/>
      <c r="BI99" s="3080"/>
      <c r="BJ99" s="3080">
        <f t="shared" si="190"/>
        <v>200</v>
      </c>
      <c r="BK99" s="3080"/>
      <c r="BL99" s="3080" t="s">
        <v>9164</v>
      </c>
      <c r="BM99" s="3113"/>
      <c r="BN99" s="3080"/>
      <c r="BO99" s="3080"/>
      <c r="BP99" s="3080">
        <f>I99</f>
        <v>200</v>
      </c>
      <c r="BQ99" s="3080"/>
      <c r="BR99" s="3080">
        <f t="shared" si="136"/>
        <v>0</v>
      </c>
      <c r="BS99" s="3088">
        <f t="shared" si="137"/>
        <v>512680</v>
      </c>
      <c r="BT99" s="3088">
        <f t="shared" ref="BT99:BW99" si="193">BT98-BN99</f>
        <v>132585.666666666</v>
      </c>
      <c r="BU99" s="3088">
        <f t="shared" si="193"/>
        <v>133993.666666666</v>
      </c>
      <c r="BV99" s="3088">
        <f t="shared" si="193"/>
        <v>133802.666666666</v>
      </c>
      <c r="BW99" s="3088">
        <f t="shared" si="193"/>
        <v>134669.333333333</v>
      </c>
      <c r="BX99" s="3088"/>
    </row>
    <row r="100" s="3031" customFormat="1" ht="32" customHeight="1" spans="1:76">
      <c r="A100" s="3063">
        <v>45716</v>
      </c>
      <c r="B100" s="3064" t="s">
        <v>872</v>
      </c>
      <c r="C100" s="3065" t="s">
        <v>873</v>
      </c>
      <c r="D100" s="3066">
        <v>4500158504</v>
      </c>
      <c r="E100" s="3091"/>
      <c r="F100" s="3066" t="s">
        <v>9485</v>
      </c>
      <c r="G100" s="3069" t="s">
        <v>9431</v>
      </c>
      <c r="H100" s="3069" t="s">
        <v>9099</v>
      </c>
      <c r="I100" s="2969">
        <v>200</v>
      </c>
      <c r="J100" s="2969">
        <v>0</v>
      </c>
      <c r="K100" s="2969">
        <v>8</v>
      </c>
      <c r="L100" s="2969">
        <f t="shared" si="79"/>
        <v>25</v>
      </c>
      <c r="M100" s="3070">
        <v>45756</v>
      </c>
      <c r="N100" s="3070">
        <v>45752</v>
      </c>
      <c r="O100" s="2996"/>
      <c r="P100" s="2996" t="s">
        <v>82</v>
      </c>
      <c r="Q100" s="3071"/>
      <c r="R100" s="3071"/>
      <c r="S100" s="3071"/>
      <c r="T100" s="3071"/>
      <c r="U100" s="3072" t="s">
        <v>969</v>
      </c>
      <c r="V100" s="2996"/>
      <c r="W100" s="3073" t="s">
        <v>1063</v>
      </c>
      <c r="X100" s="3073"/>
      <c r="Y100" s="3073" t="s">
        <v>9480</v>
      </c>
      <c r="Z100" s="3073"/>
      <c r="AA100" s="3073"/>
      <c r="AB100" s="3091" t="s">
        <v>9481</v>
      </c>
      <c r="AC100" s="2969" t="s">
        <v>9482</v>
      </c>
      <c r="AD100" s="3075">
        <v>4.2589</v>
      </c>
      <c r="AE100" s="3076">
        <f t="shared" si="183"/>
        <v>851.78</v>
      </c>
      <c r="AF100" s="2969" t="s">
        <v>9483</v>
      </c>
      <c r="AG100" s="2969" t="s">
        <v>9431</v>
      </c>
      <c r="AH100" s="2969" t="s">
        <v>416</v>
      </c>
      <c r="AI100" s="3108"/>
      <c r="AJ100" s="3078">
        <f t="shared" si="189"/>
        <v>200</v>
      </c>
      <c r="AK100" s="3108"/>
      <c r="AL100" s="3078"/>
      <c r="AM100" s="3112"/>
      <c r="AN100" s="3078"/>
      <c r="AO100" s="3096"/>
      <c r="AP100" s="3080">
        <f t="shared" si="159"/>
        <v>200</v>
      </c>
      <c r="AQ100" s="3080"/>
      <c r="AR100" s="3080"/>
      <c r="AS100" s="3081"/>
      <c r="AT100" s="3114"/>
      <c r="AU100" s="3096"/>
      <c r="AV100" s="3096"/>
      <c r="AW100" s="3115"/>
      <c r="AX100" s="3085"/>
      <c r="AY100" s="3080">
        <f>I100</f>
        <v>200</v>
      </c>
      <c r="AZ100" s="3080"/>
      <c r="BA100" s="3086"/>
      <c r="BB100" s="3087"/>
      <c r="BC100" s="3080"/>
      <c r="BD100" s="3080"/>
      <c r="BE100" s="3080"/>
      <c r="BF100" s="3080">
        <f t="shared" si="181"/>
        <v>0</v>
      </c>
      <c r="BG100" s="3080"/>
      <c r="BH100" s="3080"/>
      <c r="BI100" s="3080"/>
      <c r="BJ100" s="3080">
        <f t="shared" si="190"/>
        <v>200</v>
      </c>
      <c r="BK100" s="3080"/>
      <c r="BL100" s="3080" t="s">
        <v>9164</v>
      </c>
      <c r="BM100" s="3113"/>
      <c r="BN100" s="3080"/>
      <c r="BO100" s="3080">
        <f>I100</f>
        <v>200</v>
      </c>
      <c r="BP100" s="3080"/>
      <c r="BQ100" s="3080"/>
      <c r="BR100" s="3080">
        <f t="shared" si="136"/>
        <v>0</v>
      </c>
      <c r="BS100" s="3088">
        <f t="shared" si="137"/>
        <v>512680</v>
      </c>
      <c r="BT100" s="3088">
        <f t="shared" ref="BT100:BW100" si="194">BT99-BN100</f>
        <v>132585.666666666</v>
      </c>
      <c r="BU100" s="3088">
        <f t="shared" si="194"/>
        <v>133793.666666666</v>
      </c>
      <c r="BV100" s="3088">
        <f t="shared" si="194"/>
        <v>133802.666666666</v>
      </c>
      <c r="BW100" s="3088">
        <f t="shared" si="194"/>
        <v>134669.333333333</v>
      </c>
      <c r="BX100" s="3088"/>
    </row>
    <row r="101" s="3031" customFormat="1" ht="32" customHeight="1" spans="1:76">
      <c r="A101" s="3063">
        <v>45705</v>
      </c>
      <c r="B101" s="3064" t="s">
        <v>6224</v>
      </c>
      <c r="C101" s="3065" t="s">
        <v>6225</v>
      </c>
      <c r="D101" s="3066">
        <v>4500157811</v>
      </c>
      <c r="E101" s="3091" t="s">
        <v>9486</v>
      </c>
      <c r="F101" s="3066" t="s">
        <v>9487</v>
      </c>
      <c r="G101" s="3069" t="s">
        <v>9355</v>
      </c>
      <c r="H101" s="3069" t="s">
        <v>9356</v>
      </c>
      <c r="I101" s="2969">
        <v>656</v>
      </c>
      <c r="J101" s="2969">
        <v>0</v>
      </c>
      <c r="K101" s="2969">
        <v>8</v>
      </c>
      <c r="L101" s="2969">
        <f t="shared" si="79"/>
        <v>82</v>
      </c>
      <c r="M101" s="3070">
        <v>45765</v>
      </c>
      <c r="N101" s="3070">
        <v>45761</v>
      </c>
      <c r="O101" s="2996"/>
      <c r="P101" s="2996" t="s">
        <v>82</v>
      </c>
      <c r="Q101" s="3071"/>
      <c r="R101" s="3071"/>
      <c r="S101" s="3071"/>
      <c r="T101" s="3071"/>
      <c r="U101" s="3072" t="s">
        <v>1115</v>
      </c>
      <c r="V101" s="2996"/>
      <c r="W101" s="3073" t="s">
        <v>8405</v>
      </c>
      <c r="X101" s="3073"/>
      <c r="Y101" s="3073" t="s">
        <v>9488</v>
      </c>
      <c r="Z101" s="3073"/>
      <c r="AA101" s="3073"/>
      <c r="AB101" s="3091" t="s">
        <v>9489</v>
      </c>
      <c r="AC101" s="2969" t="s">
        <v>424</v>
      </c>
      <c r="AD101" s="3075">
        <v>4.2475</v>
      </c>
      <c r="AE101" s="3076">
        <f t="shared" si="183"/>
        <v>2786.36</v>
      </c>
      <c r="AF101" s="2969" t="s">
        <v>9490</v>
      </c>
      <c r="AG101" s="2969" t="s">
        <v>9359</v>
      </c>
      <c r="AH101" s="2969" t="s">
        <v>416</v>
      </c>
      <c r="AI101" s="3077"/>
      <c r="AJ101" s="3078"/>
      <c r="AK101" s="3077"/>
      <c r="AL101" s="3078">
        <f t="shared" ref="AL101:AL106" si="195">I101</f>
        <v>656</v>
      </c>
      <c r="AM101" s="3077"/>
      <c r="AN101" s="3078"/>
      <c r="AO101" s="3079"/>
      <c r="AP101" s="3080">
        <f t="shared" si="159"/>
        <v>656</v>
      </c>
      <c r="AQ101" s="3080"/>
      <c r="AR101" s="3080"/>
      <c r="AS101" s="3081"/>
      <c r="AT101" s="3109"/>
      <c r="AU101" s="3079"/>
      <c r="AV101" s="3079"/>
      <c r="AW101" s="3110"/>
      <c r="AX101" s="3085">
        <f t="shared" ref="AX101:AX137" si="196">I101/4</f>
        <v>164</v>
      </c>
      <c r="AY101" s="3080">
        <f>I101/4</f>
        <v>164</v>
      </c>
      <c r="AZ101" s="3080">
        <f>I101/4</f>
        <v>164</v>
      </c>
      <c r="BA101" s="3086">
        <f>I101/4</f>
        <v>164</v>
      </c>
      <c r="BB101" s="3087"/>
      <c r="BC101" s="3080"/>
      <c r="BD101" s="3080"/>
      <c r="BE101" s="3080"/>
      <c r="BF101" s="3080">
        <f t="shared" si="181"/>
        <v>0</v>
      </c>
      <c r="BG101" s="3080"/>
      <c r="BH101" s="3080"/>
      <c r="BI101" s="3080"/>
      <c r="BJ101" s="3080"/>
      <c r="BK101" s="3080">
        <f t="shared" ref="BK101:BK106" si="197">I101</f>
        <v>656</v>
      </c>
      <c r="BL101" s="3080" t="s">
        <v>9164</v>
      </c>
      <c r="BM101" s="3079"/>
      <c r="BN101" s="3080">
        <f t="shared" ref="BN101:BN158" si="198">I101/4</f>
        <v>164</v>
      </c>
      <c r="BO101" s="3080">
        <f t="shared" ref="BO101:BO158" si="199">I101/4</f>
        <v>164</v>
      </c>
      <c r="BP101" s="3080">
        <f t="shared" ref="BP101:BP158" si="200">I101/4</f>
        <v>164</v>
      </c>
      <c r="BQ101" s="3080">
        <f t="shared" ref="BQ101:BQ158" si="201">I101/4</f>
        <v>164</v>
      </c>
      <c r="BR101" s="3080">
        <f t="shared" si="136"/>
        <v>0</v>
      </c>
      <c r="BS101" s="3088">
        <f t="shared" si="137"/>
        <v>513136</v>
      </c>
      <c r="BT101" s="3088">
        <f t="shared" ref="BT101:BW101" si="202">BT100-BN101</f>
        <v>132421.666666666</v>
      </c>
      <c r="BU101" s="3088">
        <f t="shared" si="202"/>
        <v>133629.666666666</v>
      </c>
      <c r="BV101" s="3088">
        <f t="shared" si="202"/>
        <v>133638.666666666</v>
      </c>
      <c r="BW101" s="3088">
        <f t="shared" si="202"/>
        <v>134505.333333333</v>
      </c>
      <c r="BX101" s="3088"/>
    </row>
    <row r="102" s="3031" customFormat="1" ht="32" customHeight="1" spans="1:76">
      <c r="A102" s="3063">
        <v>45735</v>
      </c>
      <c r="B102" s="3064" t="s">
        <v>872</v>
      </c>
      <c r="C102" s="3065" t="s">
        <v>873</v>
      </c>
      <c r="D102" s="3066">
        <v>4500160671</v>
      </c>
      <c r="E102" s="3091"/>
      <c r="F102" s="3066" t="s">
        <v>9491</v>
      </c>
      <c r="G102" s="3098" t="s">
        <v>9419</v>
      </c>
      <c r="H102" s="3069" t="s">
        <v>9100</v>
      </c>
      <c r="I102" s="2969">
        <v>520</v>
      </c>
      <c r="J102" s="2969">
        <v>0</v>
      </c>
      <c r="K102" s="2969">
        <v>8</v>
      </c>
      <c r="L102" s="2969">
        <f t="shared" ref="L102:L165" si="203">I102/K102</f>
        <v>65</v>
      </c>
      <c r="M102" s="3070">
        <v>45772</v>
      </c>
      <c r="N102" s="3070">
        <v>45768</v>
      </c>
      <c r="O102" s="2996"/>
      <c r="P102" s="2996" t="s">
        <v>82</v>
      </c>
      <c r="Q102" s="3071"/>
      <c r="R102" s="3071"/>
      <c r="S102" s="3071"/>
      <c r="T102" s="3071"/>
      <c r="U102" s="3072" t="s">
        <v>1050</v>
      </c>
      <c r="V102" s="2996"/>
      <c r="W102" s="3073" t="s">
        <v>8446</v>
      </c>
      <c r="X102" s="3073"/>
      <c r="Y102" s="3073" t="s">
        <v>9492</v>
      </c>
      <c r="Z102" s="3073"/>
      <c r="AA102" s="3073"/>
      <c r="AB102" s="3091" t="s">
        <v>9493</v>
      </c>
      <c r="AC102" s="2969" t="s">
        <v>1131</v>
      </c>
      <c r="AD102" s="3075">
        <v>4.0921</v>
      </c>
      <c r="AE102" s="3076">
        <f t="shared" si="183"/>
        <v>2127.892</v>
      </c>
      <c r="AF102" s="2969" t="s">
        <v>9494</v>
      </c>
      <c r="AG102" s="2969" t="s">
        <v>9419</v>
      </c>
      <c r="AH102" s="2969" t="s">
        <v>416</v>
      </c>
      <c r="AI102" s="3108"/>
      <c r="AJ102" s="3078">
        <f t="shared" ref="AJ102:AJ104" si="204">I102</f>
        <v>520</v>
      </c>
      <c r="AK102" s="3108"/>
      <c r="AL102" s="3078"/>
      <c r="AM102" s="3104"/>
      <c r="AN102" s="3078"/>
      <c r="AO102" s="3096"/>
      <c r="AP102" s="3080">
        <f t="shared" si="159"/>
        <v>520</v>
      </c>
      <c r="AQ102" s="3080"/>
      <c r="AR102" s="3080"/>
      <c r="AS102" s="3081"/>
      <c r="AT102" s="3114"/>
      <c r="AU102" s="3096"/>
      <c r="AV102" s="3096"/>
      <c r="AW102" s="3115"/>
      <c r="AX102" s="3085"/>
      <c r="AY102" s="3080"/>
      <c r="AZ102" s="3080">
        <f>I102</f>
        <v>520</v>
      </c>
      <c r="BA102" s="3086"/>
      <c r="BB102" s="3087"/>
      <c r="BC102" s="3080"/>
      <c r="BD102" s="3080"/>
      <c r="BE102" s="3080"/>
      <c r="BF102" s="3080"/>
      <c r="BG102" s="3080"/>
      <c r="BH102" s="3080"/>
      <c r="BI102" s="3080"/>
      <c r="BJ102" s="3080">
        <f t="shared" ref="BJ102:BJ104" si="205">I102</f>
        <v>520</v>
      </c>
      <c r="BK102" s="3080"/>
      <c r="BL102" s="3080" t="s">
        <v>9164</v>
      </c>
      <c r="BM102" s="3094"/>
      <c r="BN102" s="3080"/>
      <c r="BO102" s="3080"/>
      <c r="BP102" s="3080">
        <f>I102</f>
        <v>520</v>
      </c>
      <c r="BQ102" s="3080"/>
      <c r="BR102" s="3080">
        <f t="shared" si="136"/>
        <v>0</v>
      </c>
      <c r="BS102" s="3088">
        <f t="shared" si="137"/>
        <v>513000</v>
      </c>
      <c r="BT102" s="3088">
        <f t="shared" ref="BT102:BW102" si="206">BT101-BN102</f>
        <v>132421.666666666</v>
      </c>
      <c r="BU102" s="3088">
        <f t="shared" si="206"/>
        <v>133629.666666666</v>
      </c>
      <c r="BV102" s="3088">
        <f t="shared" si="206"/>
        <v>133118.666666666</v>
      </c>
      <c r="BW102" s="3088">
        <f t="shared" si="206"/>
        <v>134505.333333333</v>
      </c>
      <c r="BX102" s="3088"/>
    </row>
    <row r="103" s="3031" customFormat="1" ht="32" customHeight="1" spans="1:76">
      <c r="A103" s="3063">
        <v>45735</v>
      </c>
      <c r="B103" s="3064" t="s">
        <v>872</v>
      </c>
      <c r="C103" s="3065" t="s">
        <v>873</v>
      </c>
      <c r="D103" s="3066">
        <v>4500160671</v>
      </c>
      <c r="E103" s="3091"/>
      <c r="F103" s="3066" t="s">
        <v>9495</v>
      </c>
      <c r="G103" s="3098" t="s">
        <v>9255</v>
      </c>
      <c r="H103" s="3069" t="s">
        <v>9098</v>
      </c>
      <c r="I103" s="2969">
        <v>520</v>
      </c>
      <c r="J103" s="2969">
        <v>0</v>
      </c>
      <c r="K103" s="2969">
        <v>8</v>
      </c>
      <c r="L103" s="2969">
        <f t="shared" si="203"/>
        <v>65</v>
      </c>
      <c r="M103" s="3070">
        <v>45772</v>
      </c>
      <c r="N103" s="3070">
        <v>45768</v>
      </c>
      <c r="O103" s="2996"/>
      <c r="P103" s="2996" t="s">
        <v>82</v>
      </c>
      <c r="Q103" s="3071"/>
      <c r="R103" s="3071"/>
      <c r="S103" s="3071"/>
      <c r="T103" s="3071"/>
      <c r="U103" s="3072" t="s">
        <v>1050</v>
      </c>
      <c r="V103" s="2996"/>
      <c r="W103" s="3073" t="s">
        <v>8446</v>
      </c>
      <c r="X103" s="3073"/>
      <c r="Y103" s="3073" t="s">
        <v>9492</v>
      </c>
      <c r="Z103" s="3073"/>
      <c r="AA103" s="3073"/>
      <c r="AB103" s="3091" t="s">
        <v>9493</v>
      </c>
      <c r="AC103" s="2969" t="s">
        <v>1131</v>
      </c>
      <c r="AD103" s="3075">
        <v>4.0921</v>
      </c>
      <c r="AE103" s="3076">
        <f t="shared" si="183"/>
        <v>2127.892</v>
      </c>
      <c r="AF103" s="2969" t="s">
        <v>9494</v>
      </c>
      <c r="AG103" s="2969" t="s">
        <v>9255</v>
      </c>
      <c r="AH103" s="2969" t="s">
        <v>416</v>
      </c>
      <c r="AI103" s="3108"/>
      <c r="AJ103" s="3078">
        <f t="shared" si="204"/>
        <v>520</v>
      </c>
      <c r="AK103" s="3108"/>
      <c r="AL103" s="3078"/>
      <c r="AM103" s="3104"/>
      <c r="AN103" s="3078"/>
      <c r="AO103" s="3096"/>
      <c r="AP103" s="3080">
        <f t="shared" si="159"/>
        <v>520</v>
      </c>
      <c r="AQ103" s="3080"/>
      <c r="AR103" s="3080"/>
      <c r="AS103" s="3081"/>
      <c r="AT103" s="3114"/>
      <c r="AU103" s="3096"/>
      <c r="AV103" s="3096"/>
      <c r="AW103" s="3115"/>
      <c r="AX103" s="3085">
        <f>I103</f>
        <v>520</v>
      </c>
      <c r="AY103" s="3080"/>
      <c r="AZ103" s="3080"/>
      <c r="BA103" s="3086"/>
      <c r="BB103" s="3087"/>
      <c r="BC103" s="3080"/>
      <c r="BD103" s="3080"/>
      <c r="BE103" s="3080"/>
      <c r="BF103" s="3080"/>
      <c r="BG103" s="3080"/>
      <c r="BH103" s="3080"/>
      <c r="BI103" s="3080"/>
      <c r="BJ103" s="3080">
        <f t="shared" si="205"/>
        <v>520</v>
      </c>
      <c r="BK103" s="3080"/>
      <c r="BL103" s="3080" t="s">
        <v>9164</v>
      </c>
      <c r="BM103" s="3094"/>
      <c r="BN103" s="3080">
        <f>I103</f>
        <v>520</v>
      </c>
      <c r="BO103" s="3080"/>
      <c r="BP103" s="3080"/>
      <c r="BQ103" s="3080"/>
      <c r="BR103" s="3080">
        <f t="shared" si="136"/>
        <v>0</v>
      </c>
      <c r="BS103" s="3088">
        <f t="shared" si="137"/>
        <v>513000</v>
      </c>
      <c r="BT103" s="3088">
        <f t="shared" ref="BT103:BW103" si="207">BT102-BN103</f>
        <v>131901.666666666</v>
      </c>
      <c r="BU103" s="3088">
        <f t="shared" si="207"/>
        <v>133629.666666666</v>
      </c>
      <c r="BV103" s="3088">
        <f t="shared" si="207"/>
        <v>133118.666666666</v>
      </c>
      <c r="BW103" s="3088">
        <f t="shared" si="207"/>
        <v>134505.333333333</v>
      </c>
      <c r="BX103" s="3088"/>
    </row>
    <row r="104" s="3031" customFormat="1" ht="32" customHeight="1" spans="1:76">
      <c r="A104" s="3063">
        <v>45735</v>
      </c>
      <c r="B104" s="3064" t="s">
        <v>872</v>
      </c>
      <c r="C104" s="3065" t="s">
        <v>873</v>
      </c>
      <c r="D104" s="3066">
        <v>4500160671</v>
      </c>
      <c r="E104" s="3091"/>
      <c r="F104" s="3066" t="s">
        <v>9496</v>
      </c>
      <c r="G104" s="3098" t="s">
        <v>9431</v>
      </c>
      <c r="H104" s="3069" t="s">
        <v>9099</v>
      </c>
      <c r="I104" s="2969">
        <v>520</v>
      </c>
      <c r="J104" s="2969">
        <v>0</v>
      </c>
      <c r="K104" s="2969">
        <v>8</v>
      </c>
      <c r="L104" s="2969">
        <f t="shared" si="203"/>
        <v>65</v>
      </c>
      <c r="M104" s="3070">
        <v>45772</v>
      </c>
      <c r="N104" s="3070">
        <v>45768</v>
      </c>
      <c r="O104" s="2996"/>
      <c r="P104" s="2996" t="s">
        <v>82</v>
      </c>
      <c r="Q104" s="3071"/>
      <c r="R104" s="3071"/>
      <c r="S104" s="3071"/>
      <c r="T104" s="3071"/>
      <c r="U104" s="3072" t="s">
        <v>1050</v>
      </c>
      <c r="V104" s="2996"/>
      <c r="W104" s="3073" t="s">
        <v>8446</v>
      </c>
      <c r="X104" s="3073"/>
      <c r="Y104" s="3073" t="s">
        <v>9492</v>
      </c>
      <c r="Z104" s="3073"/>
      <c r="AA104" s="3073"/>
      <c r="AB104" s="3091" t="s">
        <v>9493</v>
      </c>
      <c r="AC104" s="2969" t="s">
        <v>1131</v>
      </c>
      <c r="AD104" s="3075">
        <v>4.0921</v>
      </c>
      <c r="AE104" s="3076">
        <f t="shared" si="183"/>
        <v>2127.892</v>
      </c>
      <c r="AF104" s="2969" t="s">
        <v>9494</v>
      </c>
      <c r="AG104" s="2969" t="s">
        <v>9431</v>
      </c>
      <c r="AH104" s="2969" t="s">
        <v>416</v>
      </c>
      <c r="AI104" s="3108"/>
      <c r="AJ104" s="3078">
        <f t="shared" si="204"/>
        <v>520</v>
      </c>
      <c r="AK104" s="3108"/>
      <c r="AL104" s="3078"/>
      <c r="AM104" s="3104"/>
      <c r="AN104" s="3078"/>
      <c r="AO104" s="3096"/>
      <c r="AP104" s="3080">
        <f t="shared" si="159"/>
        <v>520</v>
      </c>
      <c r="AQ104" s="3080"/>
      <c r="AR104" s="3080"/>
      <c r="AS104" s="3081"/>
      <c r="AT104" s="3114"/>
      <c r="AU104" s="3096"/>
      <c r="AV104" s="3096"/>
      <c r="AW104" s="3115"/>
      <c r="AX104" s="3085"/>
      <c r="AY104" s="3080">
        <f>I104</f>
        <v>520</v>
      </c>
      <c r="AZ104" s="3080"/>
      <c r="BA104" s="3086"/>
      <c r="BB104" s="3087"/>
      <c r="BC104" s="3080"/>
      <c r="BD104" s="3080"/>
      <c r="BE104" s="3080"/>
      <c r="BF104" s="3080"/>
      <c r="BG104" s="3080"/>
      <c r="BH104" s="3080"/>
      <c r="BI104" s="3080"/>
      <c r="BJ104" s="3080">
        <f t="shared" si="205"/>
        <v>520</v>
      </c>
      <c r="BK104" s="3080"/>
      <c r="BL104" s="3080" t="s">
        <v>9164</v>
      </c>
      <c r="BM104" s="3094"/>
      <c r="BN104" s="3080"/>
      <c r="BO104" s="3080">
        <f>I104</f>
        <v>520</v>
      </c>
      <c r="BP104" s="3080"/>
      <c r="BQ104" s="3080"/>
      <c r="BR104" s="3080">
        <f t="shared" si="136"/>
        <v>0</v>
      </c>
      <c r="BS104" s="3088">
        <f t="shared" si="137"/>
        <v>513000</v>
      </c>
      <c r="BT104" s="3088">
        <f t="shared" ref="BT104:BW104" si="208">BT103-BN104</f>
        <v>131901.666666666</v>
      </c>
      <c r="BU104" s="3088">
        <f t="shared" si="208"/>
        <v>133109.666666666</v>
      </c>
      <c r="BV104" s="3088">
        <f t="shared" si="208"/>
        <v>133118.666666666</v>
      </c>
      <c r="BW104" s="3088">
        <f t="shared" si="208"/>
        <v>134505.333333333</v>
      </c>
      <c r="BX104" s="3088"/>
    </row>
    <row r="105" s="3031" customFormat="1" ht="32" customHeight="1" spans="1:76">
      <c r="A105" s="3063">
        <v>45689</v>
      </c>
      <c r="B105" s="3064" t="s">
        <v>6224</v>
      </c>
      <c r="C105" s="3065" t="s">
        <v>6225</v>
      </c>
      <c r="D105" s="3066">
        <v>4500157818</v>
      </c>
      <c r="E105" s="3091" t="s">
        <v>9497</v>
      </c>
      <c r="F105" s="3066" t="s">
        <v>9498</v>
      </c>
      <c r="G105" s="3069" t="s">
        <v>9355</v>
      </c>
      <c r="H105" s="3069" t="s">
        <v>9356</v>
      </c>
      <c r="I105" s="2969">
        <v>640</v>
      </c>
      <c r="J105" s="2969">
        <v>0</v>
      </c>
      <c r="K105" s="2969">
        <v>8</v>
      </c>
      <c r="L105" s="2969">
        <f t="shared" si="203"/>
        <v>80</v>
      </c>
      <c r="M105" s="3070">
        <v>45777</v>
      </c>
      <c r="N105" s="3070">
        <v>45773</v>
      </c>
      <c r="O105" s="2996"/>
      <c r="P105" s="2996" t="s">
        <v>82</v>
      </c>
      <c r="Q105" s="3071"/>
      <c r="R105" s="3071"/>
      <c r="S105" s="3071"/>
      <c r="T105" s="3071"/>
      <c r="U105" s="3072" t="s">
        <v>188</v>
      </c>
      <c r="V105" s="2996"/>
      <c r="W105" s="3073" t="s">
        <v>1124</v>
      </c>
      <c r="X105" s="3073"/>
      <c r="Y105" s="3073" t="s">
        <v>9488</v>
      </c>
      <c r="Z105" s="3073"/>
      <c r="AA105" s="3073"/>
      <c r="AB105" s="3091" t="s">
        <v>9499</v>
      </c>
      <c r="AC105" s="2969" t="s">
        <v>424</v>
      </c>
      <c r="AD105" s="3075">
        <v>4.0921</v>
      </c>
      <c r="AE105" s="3076">
        <f t="shared" si="183"/>
        <v>2618.944</v>
      </c>
      <c r="AF105" s="2969" t="s">
        <v>9500</v>
      </c>
      <c r="AG105" s="2969" t="s">
        <v>9359</v>
      </c>
      <c r="AH105" s="2969" t="s">
        <v>416</v>
      </c>
      <c r="AI105" s="3077"/>
      <c r="AJ105" s="3078"/>
      <c r="AK105" s="3077"/>
      <c r="AL105" s="3078">
        <f t="shared" si="195"/>
        <v>640</v>
      </c>
      <c r="AM105" s="3077"/>
      <c r="AN105" s="3078"/>
      <c r="AO105" s="3079"/>
      <c r="AP105" s="3080">
        <f t="shared" si="159"/>
        <v>640</v>
      </c>
      <c r="AQ105" s="3080"/>
      <c r="AR105" s="3080"/>
      <c r="AS105" s="3081"/>
      <c r="AT105" s="3109"/>
      <c r="AU105" s="3079"/>
      <c r="AV105" s="3079"/>
      <c r="AW105" s="3110"/>
      <c r="AX105" s="3085">
        <f t="shared" si="196"/>
        <v>160</v>
      </c>
      <c r="AY105" s="3080">
        <f>AX105</f>
        <v>160</v>
      </c>
      <c r="AZ105" s="3080">
        <f>AX105</f>
        <v>160</v>
      </c>
      <c r="BA105" s="3086">
        <f>AX105</f>
        <v>160</v>
      </c>
      <c r="BB105" s="3087"/>
      <c r="BC105" s="3080"/>
      <c r="BD105" s="3080"/>
      <c r="BE105" s="3080"/>
      <c r="BF105" s="3080">
        <f>SUM(AT105:BE105)-I105</f>
        <v>0</v>
      </c>
      <c r="BG105" s="3080"/>
      <c r="BH105" s="3080"/>
      <c r="BI105" s="3080"/>
      <c r="BJ105" s="3080"/>
      <c r="BK105" s="3080">
        <f t="shared" si="197"/>
        <v>640</v>
      </c>
      <c r="BL105" s="3080" t="s">
        <v>9164</v>
      </c>
      <c r="BM105" s="3079"/>
      <c r="BN105" s="3080">
        <f t="shared" si="198"/>
        <v>160</v>
      </c>
      <c r="BO105" s="3080">
        <f t="shared" si="199"/>
        <v>160</v>
      </c>
      <c r="BP105" s="3080">
        <f t="shared" si="200"/>
        <v>160</v>
      </c>
      <c r="BQ105" s="3080">
        <f t="shared" si="201"/>
        <v>160</v>
      </c>
      <c r="BR105" s="3080">
        <f t="shared" si="136"/>
        <v>0</v>
      </c>
      <c r="BS105" s="3088">
        <f t="shared" si="137"/>
        <v>513120</v>
      </c>
      <c r="BT105" s="3088">
        <f t="shared" ref="BT105:BW105" si="209">BT104-BN105</f>
        <v>131741.666666666</v>
      </c>
      <c r="BU105" s="3088">
        <f t="shared" si="209"/>
        <v>132949.666666666</v>
      </c>
      <c r="BV105" s="3088">
        <f t="shared" si="209"/>
        <v>132958.666666666</v>
      </c>
      <c r="BW105" s="3088">
        <f t="shared" si="209"/>
        <v>134345.333333333</v>
      </c>
      <c r="BX105" s="3088"/>
    </row>
    <row r="106" s="3031" customFormat="1" ht="32" customHeight="1" spans="1:76">
      <c r="A106" s="3063">
        <v>45579</v>
      </c>
      <c r="B106" s="3064" t="s">
        <v>6682</v>
      </c>
      <c r="C106" s="3065" t="s">
        <v>396</v>
      </c>
      <c r="D106" s="3066">
        <v>4500147531</v>
      </c>
      <c r="E106" s="3091">
        <v>9650903911</v>
      </c>
      <c r="F106" s="3066" t="s">
        <v>9501</v>
      </c>
      <c r="G106" s="3098" t="s">
        <v>9158</v>
      </c>
      <c r="H106" s="3069" t="s">
        <v>9155</v>
      </c>
      <c r="I106" s="2969">
        <v>198</v>
      </c>
      <c r="J106" s="2969">
        <v>0</v>
      </c>
      <c r="K106" s="2969">
        <v>1</v>
      </c>
      <c r="L106" s="2969">
        <f t="shared" si="203"/>
        <v>198</v>
      </c>
      <c r="M106" s="3070">
        <v>45772</v>
      </c>
      <c r="N106" s="3070">
        <v>45768</v>
      </c>
      <c r="O106" s="2996" t="s">
        <v>9502</v>
      </c>
      <c r="P106" s="2996" t="s">
        <v>82</v>
      </c>
      <c r="Q106" s="3071"/>
      <c r="R106" s="3071"/>
      <c r="S106" s="3071"/>
      <c r="T106" s="3071"/>
      <c r="U106" s="3072" t="s">
        <v>3367</v>
      </c>
      <c r="V106" s="2996"/>
      <c r="W106" s="3073" t="s">
        <v>5716</v>
      </c>
      <c r="X106" s="3073" t="s">
        <v>98</v>
      </c>
      <c r="Y106" s="3073" t="s">
        <v>9293</v>
      </c>
      <c r="Z106" s="3073"/>
      <c r="AA106" s="3073"/>
      <c r="AB106" s="3091" t="s">
        <v>9503</v>
      </c>
      <c r="AC106" s="2969" t="s">
        <v>6688</v>
      </c>
      <c r="AD106" s="3075">
        <v>4.4107</v>
      </c>
      <c r="AE106" s="3076">
        <f t="shared" si="183"/>
        <v>873.3186</v>
      </c>
      <c r="AF106" s="2969" t="s">
        <v>9504</v>
      </c>
      <c r="AG106" s="3069" t="s">
        <v>9163</v>
      </c>
      <c r="AH106" s="2969" t="s">
        <v>416</v>
      </c>
      <c r="AI106" s="3077"/>
      <c r="AJ106" s="3078"/>
      <c r="AK106" s="3077"/>
      <c r="AL106" s="3078">
        <f t="shared" si="195"/>
        <v>198</v>
      </c>
      <c r="AM106" s="3077"/>
      <c r="AN106" s="3078"/>
      <c r="AO106" s="3079"/>
      <c r="AP106" s="3080">
        <f t="shared" si="159"/>
        <v>198</v>
      </c>
      <c r="AQ106" s="3080"/>
      <c r="AR106" s="3080"/>
      <c r="AS106" s="3081"/>
      <c r="AT106" s="3109"/>
      <c r="AU106" s="3079"/>
      <c r="AV106" s="3079"/>
      <c r="AW106" s="3110"/>
      <c r="AX106" s="3085">
        <f t="shared" si="196"/>
        <v>49.5</v>
      </c>
      <c r="AY106" s="3080">
        <f>AX106</f>
        <v>49.5</v>
      </c>
      <c r="AZ106" s="3080">
        <f>AX106</f>
        <v>49.5</v>
      </c>
      <c r="BA106" s="3086">
        <f>AX106</f>
        <v>49.5</v>
      </c>
      <c r="BB106" s="3087"/>
      <c r="BC106" s="3080"/>
      <c r="BD106" s="3080"/>
      <c r="BE106" s="3080"/>
      <c r="BF106" s="3080">
        <f>SUM(AT106:BE106)-I106</f>
        <v>0</v>
      </c>
      <c r="BG106" s="3080"/>
      <c r="BH106" s="3080"/>
      <c r="BI106" s="3080"/>
      <c r="BJ106" s="3080"/>
      <c r="BK106" s="3080">
        <f t="shared" si="197"/>
        <v>198</v>
      </c>
      <c r="BL106" s="3080" t="s">
        <v>9164</v>
      </c>
      <c r="BM106" s="3079"/>
      <c r="BN106" s="3080">
        <f t="shared" si="198"/>
        <v>49.5</v>
      </c>
      <c r="BO106" s="3080">
        <f t="shared" si="199"/>
        <v>49.5</v>
      </c>
      <c r="BP106" s="3080">
        <f t="shared" si="200"/>
        <v>49.5</v>
      </c>
      <c r="BQ106" s="3080">
        <f t="shared" si="201"/>
        <v>49.5</v>
      </c>
      <c r="BR106" s="3080">
        <f t="shared" si="136"/>
        <v>0</v>
      </c>
      <c r="BS106" s="3088">
        <f t="shared" si="137"/>
        <v>512678</v>
      </c>
      <c r="BT106" s="3088">
        <f t="shared" ref="BT106:BW106" si="210">BT105-BN106</f>
        <v>131692.166666666</v>
      </c>
      <c r="BU106" s="3088">
        <f t="shared" si="210"/>
        <v>132900.166666666</v>
      </c>
      <c r="BV106" s="3088">
        <f t="shared" si="210"/>
        <v>132909.166666666</v>
      </c>
      <c r="BW106" s="3088">
        <f t="shared" si="210"/>
        <v>134295.833333333</v>
      </c>
      <c r="BX106" s="3088"/>
    </row>
    <row r="107" s="3031" customFormat="1" ht="32" customHeight="1" spans="1:76">
      <c r="A107" s="3063">
        <v>45729</v>
      </c>
      <c r="B107" s="3064" t="s">
        <v>1120</v>
      </c>
      <c r="C107" s="3065" t="s">
        <v>1121</v>
      </c>
      <c r="D107" s="3066">
        <v>4500159866</v>
      </c>
      <c r="E107" s="3091"/>
      <c r="F107" s="3066" t="s">
        <v>9505</v>
      </c>
      <c r="G107" s="3098" t="s">
        <v>9154</v>
      </c>
      <c r="H107" s="3069" t="s">
        <v>9155</v>
      </c>
      <c r="I107" s="2969">
        <v>120</v>
      </c>
      <c r="J107" s="2969">
        <v>0</v>
      </c>
      <c r="K107" s="2969">
        <v>8</v>
      </c>
      <c r="L107" s="2969">
        <f t="shared" si="203"/>
        <v>15</v>
      </c>
      <c r="M107" s="3070">
        <v>45769</v>
      </c>
      <c r="N107" s="3070">
        <v>45765</v>
      </c>
      <c r="O107" s="2996"/>
      <c r="P107" s="2996" t="s">
        <v>82</v>
      </c>
      <c r="Q107" s="3071"/>
      <c r="R107" s="3071"/>
      <c r="S107" s="3071"/>
      <c r="T107" s="3071"/>
      <c r="U107" s="3072" t="s">
        <v>6646</v>
      </c>
      <c r="V107" s="2996"/>
      <c r="W107" s="3073" t="s">
        <v>1124</v>
      </c>
      <c r="X107" s="3073"/>
      <c r="Y107" s="3073" t="s">
        <v>1125</v>
      </c>
      <c r="Z107" s="3073"/>
      <c r="AA107" s="3073"/>
      <c r="AB107" s="3091" t="s">
        <v>9506</v>
      </c>
      <c r="AC107" s="2969" t="s">
        <v>357</v>
      </c>
      <c r="AD107" s="3075">
        <v>4.1708</v>
      </c>
      <c r="AE107" s="3076">
        <f t="shared" si="183"/>
        <v>500.496</v>
      </c>
      <c r="AF107" s="2969" t="s">
        <v>1127</v>
      </c>
      <c r="AG107" s="2969" t="s">
        <v>9154</v>
      </c>
      <c r="AH107" s="2969" t="s">
        <v>416</v>
      </c>
      <c r="AI107" s="3077"/>
      <c r="AJ107" s="3078">
        <f>I107</f>
        <v>120</v>
      </c>
      <c r="AK107" s="3077"/>
      <c r="AL107" s="3078"/>
      <c r="AM107" s="3092"/>
      <c r="AN107" s="3078"/>
      <c r="AO107" s="3079"/>
      <c r="AP107" s="3080">
        <f t="shared" si="159"/>
        <v>120</v>
      </c>
      <c r="AQ107" s="3080"/>
      <c r="AR107" s="3080"/>
      <c r="AS107" s="3081"/>
      <c r="AT107" s="3109"/>
      <c r="AU107" s="3079"/>
      <c r="AV107" s="3079"/>
      <c r="AW107" s="3110"/>
      <c r="AX107" s="3085">
        <f t="shared" si="196"/>
        <v>30</v>
      </c>
      <c r="AY107" s="3080">
        <f t="shared" ref="AY107:AY119" si="211">I107/4</f>
        <v>30</v>
      </c>
      <c r="AZ107" s="3080">
        <f t="shared" ref="AZ107:AZ119" si="212">I107/4</f>
        <v>30</v>
      </c>
      <c r="BA107" s="3086">
        <f t="shared" ref="BA107:BA119" si="213">I107/4</f>
        <v>30</v>
      </c>
      <c r="BB107" s="3087"/>
      <c r="BC107" s="3080"/>
      <c r="BD107" s="3080"/>
      <c r="BE107" s="3080"/>
      <c r="BF107" s="3080"/>
      <c r="BG107" s="3080"/>
      <c r="BH107" s="3080"/>
      <c r="BI107" s="3080"/>
      <c r="BJ107" s="3080">
        <f t="shared" ref="BJ107:BJ127" si="214">I107</f>
        <v>120</v>
      </c>
      <c r="BK107" s="3080"/>
      <c r="BL107" s="3080" t="s">
        <v>9164</v>
      </c>
      <c r="BM107" s="3097"/>
      <c r="BN107" s="3080">
        <f t="shared" si="198"/>
        <v>30</v>
      </c>
      <c r="BO107" s="3080">
        <f t="shared" si="199"/>
        <v>30</v>
      </c>
      <c r="BP107" s="3080">
        <f t="shared" si="200"/>
        <v>30</v>
      </c>
      <c r="BQ107" s="3080">
        <f t="shared" si="201"/>
        <v>30</v>
      </c>
      <c r="BR107" s="3080">
        <f t="shared" si="136"/>
        <v>0</v>
      </c>
      <c r="BS107" s="3088">
        <f t="shared" si="137"/>
        <v>512600</v>
      </c>
      <c r="BT107" s="3088">
        <f t="shared" ref="BT107:BW107" si="215">BT106-BN107</f>
        <v>131662.166666666</v>
      </c>
      <c r="BU107" s="3088">
        <f t="shared" si="215"/>
        <v>132870.166666666</v>
      </c>
      <c r="BV107" s="3088">
        <f t="shared" si="215"/>
        <v>132879.166666666</v>
      </c>
      <c r="BW107" s="3088">
        <f t="shared" si="215"/>
        <v>134265.833333333</v>
      </c>
      <c r="BX107" s="3088"/>
    </row>
    <row r="108" s="3031" customFormat="1" ht="32" customHeight="1" spans="1:76">
      <c r="A108" s="3063">
        <v>45722</v>
      </c>
      <c r="B108" s="3064" t="s">
        <v>5013</v>
      </c>
      <c r="C108" s="3065" t="s">
        <v>738</v>
      </c>
      <c r="D108" s="3066">
        <v>4500159263</v>
      </c>
      <c r="E108" s="3091" t="s">
        <v>8423</v>
      </c>
      <c r="F108" s="3066" t="s">
        <v>9507</v>
      </c>
      <c r="G108" s="3098" t="s">
        <v>9154</v>
      </c>
      <c r="H108" s="3069" t="s">
        <v>9155</v>
      </c>
      <c r="I108" s="2969">
        <v>464</v>
      </c>
      <c r="J108" s="2969">
        <v>0</v>
      </c>
      <c r="K108" s="2969">
        <v>8</v>
      </c>
      <c r="L108" s="2969">
        <f t="shared" si="203"/>
        <v>58</v>
      </c>
      <c r="M108" s="3070">
        <v>45771</v>
      </c>
      <c r="N108" s="3070">
        <v>45768</v>
      </c>
      <c r="O108" s="2996"/>
      <c r="P108" s="2996" t="s">
        <v>82</v>
      </c>
      <c r="Q108" s="3071"/>
      <c r="R108" s="3071"/>
      <c r="S108" s="3071"/>
      <c r="T108" s="3071"/>
      <c r="U108" s="3072" t="s">
        <v>5721</v>
      </c>
      <c r="V108" s="2996"/>
      <c r="W108" s="3073" t="s">
        <v>3558</v>
      </c>
      <c r="X108" s="3073"/>
      <c r="Y108" s="3073" t="s">
        <v>8410</v>
      </c>
      <c r="Z108" s="3073"/>
      <c r="AA108" s="3073"/>
      <c r="AB108" s="3091" t="s">
        <v>9508</v>
      </c>
      <c r="AC108" s="2969" t="s">
        <v>1257</v>
      </c>
      <c r="AD108" s="3075">
        <v>4.1036</v>
      </c>
      <c r="AE108" s="3076">
        <f t="shared" si="183"/>
        <v>1904.0704</v>
      </c>
      <c r="AF108" s="2969" t="s">
        <v>8425</v>
      </c>
      <c r="AG108" s="3089" t="s">
        <v>9239</v>
      </c>
      <c r="AH108" s="2969" t="s">
        <v>416</v>
      </c>
      <c r="AI108" s="3077"/>
      <c r="AJ108" s="3078"/>
      <c r="AK108" s="3077"/>
      <c r="AL108" s="3078">
        <f t="shared" ref="AL108:AL113" si="216">I108</f>
        <v>464</v>
      </c>
      <c r="AM108" s="3103"/>
      <c r="AN108" s="3078"/>
      <c r="AO108" s="3079"/>
      <c r="AP108" s="3080">
        <f t="shared" si="159"/>
        <v>464</v>
      </c>
      <c r="AQ108" s="3080"/>
      <c r="AR108" s="3080"/>
      <c r="AS108" s="3081"/>
      <c r="AT108" s="3109"/>
      <c r="AU108" s="3079"/>
      <c r="AV108" s="3079"/>
      <c r="AW108" s="3110"/>
      <c r="AX108" s="3085">
        <f t="shared" si="196"/>
        <v>116</v>
      </c>
      <c r="AY108" s="3080">
        <f t="shared" si="211"/>
        <v>116</v>
      </c>
      <c r="AZ108" s="3080">
        <f t="shared" si="212"/>
        <v>116</v>
      </c>
      <c r="BA108" s="3086">
        <f t="shared" si="213"/>
        <v>116</v>
      </c>
      <c r="BB108" s="3087"/>
      <c r="BC108" s="3080"/>
      <c r="BD108" s="3080"/>
      <c r="BE108" s="3080"/>
      <c r="BF108" s="3080"/>
      <c r="BG108" s="3080"/>
      <c r="BH108" s="3080"/>
      <c r="BI108" s="3080"/>
      <c r="BJ108" s="3080">
        <f t="shared" si="214"/>
        <v>464</v>
      </c>
      <c r="BK108" s="3080"/>
      <c r="BL108" s="3080" t="s">
        <v>9164</v>
      </c>
      <c r="BM108" s="3102"/>
      <c r="BN108" s="3080">
        <f t="shared" si="198"/>
        <v>116</v>
      </c>
      <c r="BO108" s="3080">
        <f t="shared" si="199"/>
        <v>116</v>
      </c>
      <c r="BP108" s="3080">
        <f t="shared" si="200"/>
        <v>116</v>
      </c>
      <c r="BQ108" s="3080">
        <f t="shared" si="201"/>
        <v>116</v>
      </c>
      <c r="BR108" s="3080">
        <f t="shared" si="136"/>
        <v>0</v>
      </c>
      <c r="BS108" s="3088">
        <f t="shared" si="137"/>
        <v>512944</v>
      </c>
      <c r="BT108" s="3088">
        <f t="shared" ref="BT108:BW108" si="217">BT107-BN108</f>
        <v>131546.166666666</v>
      </c>
      <c r="BU108" s="3088">
        <f t="shared" si="217"/>
        <v>132754.166666666</v>
      </c>
      <c r="BV108" s="3088">
        <f t="shared" si="217"/>
        <v>132763.166666666</v>
      </c>
      <c r="BW108" s="3088">
        <f t="shared" si="217"/>
        <v>134149.833333333</v>
      </c>
      <c r="BX108" s="3088"/>
    </row>
    <row r="109" s="3031" customFormat="1" ht="32" customHeight="1" spans="1:76">
      <c r="A109" s="3063">
        <v>45722</v>
      </c>
      <c r="B109" s="3064" t="s">
        <v>5013</v>
      </c>
      <c r="C109" s="3065" t="s">
        <v>738</v>
      </c>
      <c r="D109" s="3066">
        <v>4500159262</v>
      </c>
      <c r="E109" s="3091" t="s">
        <v>8419</v>
      </c>
      <c r="F109" s="3066" t="s">
        <v>9509</v>
      </c>
      <c r="G109" s="3098" t="s">
        <v>9154</v>
      </c>
      <c r="H109" s="3069" t="s">
        <v>9155</v>
      </c>
      <c r="I109" s="2969">
        <v>608</v>
      </c>
      <c r="J109" s="2969">
        <v>0</v>
      </c>
      <c r="K109" s="2969">
        <v>8</v>
      </c>
      <c r="L109" s="2969">
        <f t="shared" si="203"/>
        <v>76</v>
      </c>
      <c r="M109" s="3070">
        <v>45771</v>
      </c>
      <c r="N109" s="3070">
        <v>45768</v>
      </c>
      <c r="O109" s="2996"/>
      <c r="P109" s="2996" t="s">
        <v>82</v>
      </c>
      <c r="Q109" s="3071"/>
      <c r="R109" s="3071"/>
      <c r="S109" s="3071"/>
      <c r="T109" s="3071"/>
      <c r="U109" s="3105" t="s">
        <v>1123</v>
      </c>
      <c r="V109" s="2996"/>
      <c r="W109" s="3073" t="s">
        <v>3558</v>
      </c>
      <c r="X109" s="3073"/>
      <c r="Y109" s="3073" t="s">
        <v>8410</v>
      </c>
      <c r="Z109" s="3073"/>
      <c r="AA109" s="3073"/>
      <c r="AB109" s="3091" t="s">
        <v>9508</v>
      </c>
      <c r="AC109" s="2969" t="s">
        <v>1257</v>
      </c>
      <c r="AD109" s="3075">
        <v>4.2475</v>
      </c>
      <c r="AE109" s="3076">
        <f t="shared" si="183"/>
        <v>2582.48</v>
      </c>
      <c r="AF109" s="2969" t="s">
        <v>8422</v>
      </c>
      <c r="AG109" s="3089" t="s">
        <v>9239</v>
      </c>
      <c r="AH109" s="2969" t="s">
        <v>416</v>
      </c>
      <c r="AI109" s="3077"/>
      <c r="AJ109" s="3078"/>
      <c r="AK109" s="3077"/>
      <c r="AL109" s="3078">
        <f t="shared" si="216"/>
        <v>608</v>
      </c>
      <c r="AM109" s="3103"/>
      <c r="AN109" s="3078"/>
      <c r="AO109" s="3079"/>
      <c r="AP109" s="3080">
        <f t="shared" si="159"/>
        <v>608</v>
      </c>
      <c r="AQ109" s="3080"/>
      <c r="AR109" s="3080"/>
      <c r="AS109" s="3081"/>
      <c r="AT109" s="3109"/>
      <c r="AU109" s="3079"/>
      <c r="AV109" s="3079"/>
      <c r="AW109" s="3110"/>
      <c r="AX109" s="3085">
        <f t="shared" si="196"/>
        <v>152</v>
      </c>
      <c r="AY109" s="3080">
        <f t="shared" si="211"/>
        <v>152</v>
      </c>
      <c r="AZ109" s="3080">
        <f t="shared" si="212"/>
        <v>152</v>
      </c>
      <c r="BA109" s="3086">
        <f t="shared" si="213"/>
        <v>152</v>
      </c>
      <c r="BB109" s="3087"/>
      <c r="BC109" s="3080"/>
      <c r="BD109" s="3080"/>
      <c r="BE109" s="3080"/>
      <c r="BF109" s="3080"/>
      <c r="BG109" s="3080"/>
      <c r="BH109" s="3080"/>
      <c r="BI109" s="3080"/>
      <c r="BJ109" s="3080">
        <f t="shared" si="214"/>
        <v>608</v>
      </c>
      <c r="BK109" s="3080"/>
      <c r="BL109" s="3080" t="s">
        <v>9164</v>
      </c>
      <c r="BM109" s="3102"/>
      <c r="BN109" s="3080">
        <f t="shared" si="198"/>
        <v>152</v>
      </c>
      <c r="BO109" s="3080">
        <f t="shared" si="199"/>
        <v>152</v>
      </c>
      <c r="BP109" s="3080">
        <f t="shared" si="200"/>
        <v>152</v>
      </c>
      <c r="BQ109" s="3080">
        <f t="shared" si="201"/>
        <v>152</v>
      </c>
      <c r="BR109" s="3080">
        <f t="shared" si="136"/>
        <v>0</v>
      </c>
      <c r="BS109" s="3088">
        <f t="shared" si="137"/>
        <v>513088</v>
      </c>
      <c r="BT109" s="3088">
        <f t="shared" ref="BT109:BW109" si="218">BT108-BN109</f>
        <v>131394.166666666</v>
      </c>
      <c r="BU109" s="3088">
        <f t="shared" si="218"/>
        <v>132602.166666666</v>
      </c>
      <c r="BV109" s="3088">
        <f t="shared" si="218"/>
        <v>132611.166666666</v>
      </c>
      <c r="BW109" s="3088">
        <f t="shared" si="218"/>
        <v>133997.833333333</v>
      </c>
      <c r="BX109" s="3088"/>
    </row>
    <row r="110" s="3031" customFormat="1" ht="32" customHeight="1" spans="1:76">
      <c r="A110" s="3063">
        <v>45722</v>
      </c>
      <c r="B110" s="3064" t="s">
        <v>5013</v>
      </c>
      <c r="C110" s="3065" t="s">
        <v>738</v>
      </c>
      <c r="D110" s="3066">
        <v>4500159256</v>
      </c>
      <c r="E110" s="3091" t="s">
        <v>8416</v>
      </c>
      <c r="F110" s="3066" t="s">
        <v>9510</v>
      </c>
      <c r="G110" s="3098" t="s">
        <v>9154</v>
      </c>
      <c r="H110" s="3069" t="s">
        <v>9155</v>
      </c>
      <c r="I110" s="2969">
        <v>888</v>
      </c>
      <c r="J110" s="2969">
        <v>0</v>
      </c>
      <c r="K110" s="2969">
        <v>8</v>
      </c>
      <c r="L110" s="2969">
        <f t="shared" si="203"/>
        <v>111</v>
      </c>
      <c r="M110" s="3070">
        <v>45771</v>
      </c>
      <c r="N110" s="3070">
        <v>45768</v>
      </c>
      <c r="O110" s="2996"/>
      <c r="P110" s="2996" t="s">
        <v>82</v>
      </c>
      <c r="Q110" s="3071"/>
      <c r="R110" s="3071"/>
      <c r="S110" s="3071"/>
      <c r="T110" s="3071"/>
      <c r="U110" s="3072" t="s">
        <v>1054</v>
      </c>
      <c r="V110" s="2996"/>
      <c r="W110" s="3073" t="s">
        <v>3558</v>
      </c>
      <c r="X110" s="3073"/>
      <c r="Y110" s="3073" t="s">
        <v>8410</v>
      </c>
      <c r="Z110" s="3073"/>
      <c r="AA110" s="3073"/>
      <c r="AB110" s="3091" t="s">
        <v>9508</v>
      </c>
      <c r="AC110" s="2969" t="s">
        <v>1257</v>
      </c>
      <c r="AD110" s="3075">
        <v>4.2475</v>
      </c>
      <c r="AE110" s="3076">
        <f t="shared" si="183"/>
        <v>3771.78</v>
      </c>
      <c r="AF110" s="2969" t="s">
        <v>8418</v>
      </c>
      <c r="AG110" s="3089" t="s">
        <v>9239</v>
      </c>
      <c r="AH110" s="2969" t="s">
        <v>416</v>
      </c>
      <c r="AI110" s="3077"/>
      <c r="AJ110" s="3078"/>
      <c r="AK110" s="3077"/>
      <c r="AL110" s="3078">
        <f t="shared" si="216"/>
        <v>888</v>
      </c>
      <c r="AM110" s="3103"/>
      <c r="AN110" s="3078"/>
      <c r="AO110" s="3079"/>
      <c r="AP110" s="3080">
        <f t="shared" si="159"/>
        <v>888</v>
      </c>
      <c r="AQ110" s="3080"/>
      <c r="AR110" s="3080"/>
      <c r="AS110" s="3081"/>
      <c r="AT110" s="3109"/>
      <c r="AU110" s="3079"/>
      <c r="AV110" s="3079"/>
      <c r="AW110" s="3110"/>
      <c r="AX110" s="3085">
        <f t="shared" si="196"/>
        <v>222</v>
      </c>
      <c r="AY110" s="3080">
        <f t="shared" si="211"/>
        <v>222</v>
      </c>
      <c r="AZ110" s="3080">
        <f t="shared" si="212"/>
        <v>222</v>
      </c>
      <c r="BA110" s="3086">
        <f t="shared" si="213"/>
        <v>222</v>
      </c>
      <c r="BB110" s="3087"/>
      <c r="BC110" s="3080"/>
      <c r="BD110" s="3080"/>
      <c r="BE110" s="3080"/>
      <c r="BF110" s="3080"/>
      <c r="BG110" s="3080"/>
      <c r="BH110" s="3080"/>
      <c r="BI110" s="3080"/>
      <c r="BJ110" s="3080">
        <f t="shared" si="214"/>
        <v>888</v>
      </c>
      <c r="BK110" s="3080"/>
      <c r="BL110" s="3080" t="s">
        <v>9164</v>
      </c>
      <c r="BM110" s="3102"/>
      <c r="BN110" s="3080">
        <f t="shared" si="198"/>
        <v>222</v>
      </c>
      <c r="BO110" s="3080">
        <f t="shared" si="199"/>
        <v>222</v>
      </c>
      <c r="BP110" s="3080">
        <f t="shared" si="200"/>
        <v>222</v>
      </c>
      <c r="BQ110" s="3080">
        <f t="shared" si="201"/>
        <v>222</v>
      </c>
      <c r="BR110" s="3080">
        <f t="shared" si="136"/>
        <v>0</v>
      </c>
      <c r="BS110" s="3088">
        <f t="shared" si="137"/>
        <v>513368</v>
      </c>
      <c r="BT110" s="3088">
        <f t="shared" ref="BT110:BW110" si="219">BT109-BN110</f>
        <v>131172.166666666</v>
      </c>
      <c r="BU110" s="3088">
        <f t="shared" si="219"/>
        <v>132380.166666666</v>
      </c>
      <c r="BV110" s="3088">
        <f t="shared" si="219"/>
        <v>132389.166666666</v>
      </c>
      <c r="BW110" s="3088">
        <f t="shared" si="219"/>
        <v>133775.833333333</v>
      </c>
      <c r="BX110" s="3088"/>
    </row>
    <row r="111" s="3031" customFormat="1" ht="32" customHeight="1" spans="1:76">
      <c r="A111" s="3063">
        <v>45722</v>
      </c>
      <c r="B111" s="3064" t="s">
        <v>5013</v>
      </c>
      <c r="C111" s="3065" t="s">
        <v>738</v>
      </c>
      <c r="D111" s="3066">
        <v>4500159248</v>
      </c>
      <c r="E111" s="3091" t="s">
        <v>8413</v>
      </c>
      <c r="F111" s="3066" t="s">
        <v>9511</v>
      </c>
      <c r="G111" s="3098" t="s">
        <v>9154</v>
      </c>
      <c r="H111" s="3069" t="s">
        <v>9155</v>
      </c>
      <c r="I111" s="2969">
        <v>504</v>
      </c>
      <c r="J111" s="2969">
        <v>0</v>
      </c>
      <c r="K111" s="2969">
        <v>8</v>
      </c>
      <c r="L111" s="2969">
        <f t="shared" si="203"/>
        <v>63</v>
      </c>
      <c r="M111" s="3070">
        <v>45771</v>
      </c>
      <c r="N111" s="3070">
        <v>45768</v>
      </c>
      <c r="O111" s="2996"/>
      <c r="P111" s="2996" t="s">
        <v>82</v>
      </c>
      <c r="Q111" s="3071"/>
      <c r="R111" s="3071"/>
      <c r="S111" s="3071"/>
      <c r="T111" s="3071"/>
      <c r="U111" s="3072"/>
      <c r="V111" s="2996"/>
      <c r="W111" s="3073" t="s">
        <v>3558</v>
      </c>
      <c r="X111" s="3073"/>
      <c r="Y111" s="3073" t="s">
        <v>8410</v>
      </c>
      <c r="Z111" s="3073"/>
      <c r="AA111" s="3073"/>
      <c r="AB111" s="3091" t="s">
        <v>9508</v>
      </c>
      <c r="AC111" s="2969" t="s">
        <v>1257</v>
      </c>
      <c r="AD111" s="3075">
        <v>4.2475</v>
      </c>
      <c r="AE111" s="3076">
        <f t="shared" si="183"/>
        <v>2140.74</v>
      </c>
      <c r="AF111" s="2969" t="s">
        <v>8415</v>
      </c>
      <c r="AG111" s="3089" t="s">
        <v>9239</v>
      </c>
      <c r="AH111" s="2969" t="s">
        <v>416</v>
      </c>
      <c r="AI111" s="3077"/>
      <c r="AJ111" s="3078"/>
      <c r="AK111" s="3077"/>
      <c r="AL111" s="3078">
        <f t="shared" si="216"/>
        <v>504</v>
      </c>
      <c r="AM111" s="3103"/>
      <c r="AN111" s="3078"/>
      <c r="AO111" s="3079"/>
      <c r="AP111" s="3080">
        <f t="shared" si="159"/>
        <v>504</v>
      </c>
      <c r="AQ111" s="3080"/>
      <c r="AR111" s="3080"/>
      <c r="AS111" s="3081"/>
      <c r="AT111" s="3109"/>
      <c r="AU111" s="3079"/>
      <c r="AV111" s="3079"/>
      <c r="AW111" s="3110"/>
      <c r="AX111" s="3085">
        <f t="shared" si="196"/>
        <v>126</v>
      </c>
      <c r="AY111" s="3080">
        <f t="shared" si="211"/>
        <v>126</v>
      </c>
      <c r="AZ111" s="3080">
        <f t="shared" si="212"/>
        <v>126</v>
      </c>
      <c r="BA111" s="3086">
        <f t="shared" si="213"/>
        <v>126</v>
      </c>
      <c r="BB111" s="3087"/>
      <c r="BC111" s="3080"/>
      <c r="BD111" s="3080"/>
      <c r="BE111" s="3080"/>
      <c r="BF111" s="3080"/>
      <c r="BG111" s="3080"/>
      <c r="BH111" s="3080"/>
      <c r="BI111" s="3080"/>
      <c r="BJ111" s="3080">
        <f t="shared" si="214"/>
        <v>504</v>
      </c>
      <c r="BK111" s="3080"/>
      <c r="BL111" s="3080" t="s">
        <v>9164</v>
      </c>
      <c r="BM111" s="3102"/>
      <c r="BN111" s="3080">
        <f t="shared" si="198"/>
        <v>126</v>
      </c>
      <c r="BO111" s="3080">
        <f t="shared" si="199"/>
        <v>126</v>
      </c>
      <c r="BP111" s="3080">
        <f t="shared" si="200"/>
        <v>126</v>
      </c>
      <c r="BQ111" s="3080">
        <f t="shared" si="201"/>
        <v>126</v>
      </c>
      <c r="BR111" s="3080">
        <f t="shared" si="136"/>
        <v>0</v>
      </c>
      <c r="BS111" s="3088">
        <f t="shared" si="137"/>
        <v>512984</v>
      </c>
      <c r="BT111" s="3088">
        <f t="shared" ref="BT111:BW111" si="220">BT110-BN111</f>
        <v>131046.166666666</v>
      </c>
      <c r="BU111" s="3088">
        <f t="shared" si="220"/>
        <v>132254.166666666</v>
      </c>
      <c r="BV111" s="3088">
        <f t="shared" si="220"/>
        <v>132263.166666666</v>
      </c>
      <c r="BW111" s="3088">
        <f t="shared" si="220"/>
        <v>133649.833333333</v>
      </c>
      <c r="BX111" s="3088"/>
    </row>
    <row r="112" s="3031" customFormat="1" ht="32" customHeight="1" spans="1:76">
      <c r="A112" s="3063">
        <v>45722</v>
      </c>
      <c r="B112" s="3064" t="s">
        <v>5013</v>
      </c>
      <c r="C112" s="3065" t="s">
        <v>738</v>
      </c>
      <c r="D112" s="3066">
        <v>4500159234</v>
      </c>
      <c r="E112" s="3091" t="s">
        <v>8408</v>
      </c>
      <c r="F112" s="3066" t="s">
        <v>9512</v>
      </c>
      <c r="G112" s="3098" t="s">
        <v>9154</v>
      </c>
      <c r="H112" s="3069" t="s">
        <v>9155</v>
      </c>
      <c r="I112" s="2969">
        <v>376</v>
      </c>
      <c r="J112" s="2969">
        <v>0</v>
      </c>
      <c r="K112" s="2969">
        <v>8</v>
      </c>
      <c r="L112" s="2969">
        <f t="shared" si="203"/>
        <v>47</v>
      </c>
      <c r="M112" s="3070">
        <v>45771</v>
      </c>
      <c r="N112" s="3070">
        <v>45768</v>
      </c>
      <c r="O112" s="2996"/>
      <c r="P112" s="2996" t="s">
        <v>82</v>
      </c>
      <c r="Q112" s="3071"/>
      <c r="R112" s="3071"/>
      <c r="S112" s="3071"/>
      <c r="T112" s="3071"/>
      <c r="U112" s="3105" t="s">
        <v>1123</v>
      </c>
      <c r="V112" s="2996"/>
      <c r="W112" s="3073" t="s">
        <v>3558</v>
      </c>
      <c r="X112" s="3073"/>
      <c r="Y112" s="3073" t="s">
        <v>8410</v>
      </c>
      <c r="Z112" s="3073"/>
      <c r="AA112" s="3073"/>
      <c r="AB112" s="3091" t="s">
        <v>9513</v>
      </c>
      <c r="AC112" s="2969" t="s">
        <v>1257</v>
      </c>
      <c r="AD112" s="3075">
        <v>4.2589</v>
      </c>
      <c r="AE112" s="3076">
        <f t="shared" si="183"/>
        <v>1601.3464</v>
      </c>
      <c r="AF112" s="2969" t="s">
        <v>8412</v>
      </c>
      <c r="AG112" s="3089" t="s">
        <v>9239</v>
      </c>
      <c r="AH112" s="2969" t="s">
        <v>416</v>
      </c>
      <c r="AI112" s="3077"/>
      <c r="AJ112" s="3078"/>
      <c r="AK112" s="3077"/>
      <c r="AL112" s="3078">
        <f t="shared" si="216"/>
        <v>376</v>
      </c>
      <c r="AM112" s="3103"/>
      <c r="AN112" s="3078"/>
      <c r="AO112" s="3079"/>
      <c r="AP112" s="3080">
        <f t="shared" si="159"/>
        <v>376</v>
      </c>
      <c r="AQ112" s="3080"/>
      <c r="AR112" s="3080"/>
      <c r="AS112" s="3081"/>
      <c r="AT112" s="3109"/>
      <c r="AU112" s="3079"/>
      <c r="AV112" s="3079"/>
      <c r="AW112" s="3110"/>
      <c r="AX112" s="3085">
        <f t="shared" si="196"/>
        <v>94</v>
      </c>
      <c r="AY112" s="3080">
        <f t="shared" si="211"/>
        <v>94</v>
      </c>
      <c r="AZ112" s="3080">
        <f t="shared" si="212"/>
        <v>94</v>
      </c>
      <c r="BA112" s="3086">
        <f t="shared" si="213"/>
        <v>94</v>
      </c>
      <c r="BB112" s="3087"/>
      <c r="BC112" s="3080"/>
      <c r="BD112" s="3080"/>
      <c r="BE112" s="3080"/>
      <c r="BF112" s="3080"/>
      <c r="BG112" s="3080"/>
      <c r="BH112" s="3080"/>
      <c r="BI112" s="3080"/>
      <c r="BJ112" s="3080">
        <f t="shared" si="214"/>
        <v>376</v>
      </c>
      <c r="BK112" s="3080"/>
      <c r="BL112" s="3080" t="s">
        <v>9164</v>
      </c>
      <c r="BM112" s="3102"/>
      <c r="BN112" s="3080">
        <f t="shared" si="198"/>
        <v>94</v>
      </c>
      <c r="BO112" s="3080">
        <f t="shared" si="199"/>
        <v>94</v>
      </c>
      <c r="BP112" s="3080">
        <f t="shared" si="200"/>
        <v>94</v>
      </c>
      <c r="BQ112" s="3080">
        <f t="shared" si="201"/>
        <v>94</v>
      </c>
      <c r="BR112" s="3080">
        <f t="shared" si="136"/>
        <v>0</v>
      </c>
      <c r="BS112" s="3088">
        <f t="shared" si="137"/>
        <v>512856</v>
      </c>
      <c r="BT112" s="3088">
        <f t="shared" ref="BT112:BW112" si="221">BT111-BN112</f>
        <v>130952.166666666</v>
      </c>
      <c r="BU112" s="3088">
        <f t="shared" si="221"/>
        <v>132160.166666666</v>
      </c>
      <c r="BV112" s="3088">
        <f t="shared" si="221"/>
        <v>132169.166666666</v>
      </c>
      <c r="BW112" s="3088">
        <f t="shared" si="221"/>
        <v>133555.833333333</v>
      </c>
      <c r="BX112" s="3088"/>
    </row>
    <row r="113" s="3031" customFormat="1" ht="32" customHeight="1" spans="1:76 16379:16384">
      <c r="A113" s="3063">
        <v>45730</v>
      </c>
      <c r="B113" s="3064" t="s">
        <v>1141</v>
      </c>
      <c r="C113" s="3065" t="s">
        <v>1151</v>
      </c>
      <c r="D113" s="3066">
        <v>4500160092</v>
      </c>
      <c r="E113" s="3091" t="s">
        <v>1152</v>
      </c>
      <c r="F113" s="3066" t="s">
        <v>9514</v>
      </c>
      <c r="G113" s="3098" t="s">
        <v>9154</v>
      </c>
      <c r="H113" s="3069" t="s">
        <v>9155</v>
      </c>
      <c r="I113" s="2969">
        <v>720</v>
      </c>
      <c r="J113" s="2969">
        <v>0</v>
      </c>
      <c r="K113" s="2969">
        <v>8</v>
      </c>
      <c r="L113" s="2969">
        <f t="shared" si="203"/>
        <v>90</v>
      </c>
      <c r="M113" s="3070">
        <v>45775</v>
      </c>
      <c r="N113" s="3070">
        <v>45783</v>
      </c>
      <c r="O113" s="2996"/>
      <c r="P113" s="2996" t="s">
        <v>82</v>
      </c>
      <c r="Q113" s="3071"/>
      <c r="R113" s="3071"/>
      <c r="S113" s="3071"/>
      <c r="T113" s="3071"/>
      <c r="U113" s="3105" t="s">
        <v>1146</v>
      </c>
      <c r="V113" s="2996"/>
      <c r="W113" s="3073" t="s">
        <v>1147</v>
      </c>
      <c r="X113" s="3073"/>
      <c r="Y113" s="3073" t="s">
        <v>3534</v>
      </c>
      <c r="Z113" s="3073"/>
      <c r="AA113" s="3073" t="s">
        <v>1149</v>
      </c>
      <c r="AB113" s="3091" t="s">
        <v>9515</v>
      </c>
      <c r="AC113" s="2969" t="s">
        <v>459</v>
      </c>
      <c r="AD113" s="3075">
        <v>4.1596</v>
      </c>
      <c r="AE113" s="3076">
        <f t="shared" si="183"/>
        <v>2994.912</v>
      </c>
      <c r="AF113" s="2969"/>
      <c r="AG113" s="3089" t="s">
        <v>9239</v>
      </c>
      <c r="AH113" s="2969" t="s">
        <v>416</v>
      </c>
      <c r="AI113" s="3108"/>
      <c r="AJ113" s="3078"/>
      <c r="AK113" s="3108"/>
      <c r="AL113" s="3078">
        <f t="shared" si="216"/>
        <v>720</v>
      </c>
      <c r="AM113" s="3093"/>
      <c r="AN113" s="3080"/>
      <c r="AO113" s="3096"/>
      <c r="AP113" s="3080">
        <f t="shared" si="159"/>
        <v>720</v>
      </c>
      <c r="AQ113" s="3081"/>
      <c r="AR113" s="3080"/>
      <c r="AS113" s="3081"/>
      <c r="AT113" s="3114"/>
      <c r="AU113" s="3096"/>
      <c r="AV113" s="3096"/>
      <c r="AW113" s="3115"/>
      <c r="AX113" s="3085">
        <f t="shared" si="196"/>
        <v>180</v>
      </c>
      <c r="AY113" s="3080">
        <f t="shared" si="211"/>
        <v>180</v>
      </c>
      <c r="AZ113" s="3080">
        <f t="shared" si="212"/>
        <v>180</v>
      </c>
      <c r="BA113" s="3086">
        <f t="shared" si="213"/>
        <v>180</v>
      </c>
      <c r="BB113" s="3080"/>
      <c r="BC113" s="3080"/>
      <c r="BD113" s="3080"/>
      <c r="BE113" s="3080"/>
      <c r="BF113" s="3080"/>
      <c r="BG113" s="3080"/>
      <c r="BH113" s="3080"/>
      <c r="BI113" s="3080"/>
      <c r="BJ113" s="3080">
        <f t="shared" si="214"/>
        <v>720</v>
      </c>
      <c r="BK113" s="3080"/>
      <c r="BL113" s="3080" t="s">
        <v>9164</v>
      </c>
      <c r="BM113" s="3094"/>
      <c r="BN113" s="3080">
        <f t="shared" si="198"/>
        <v>180</v>
      </c>
      <c r="BO113" s="3080">
        <f t="shared" si="199"/>
        <v>180</v>
      </c>
      <c r="BP113" s="3080">
        <f t="shared" si="200"/>
        <v>180</v>
      </c>
      <c r="BQ113" s="3088">
        <f t="shared" si="201"/>
        <v>180</v>
      </c>
      <c r="BR113" s="3080">
        <f t="shared" si="136"/>
        <v>0</v>
      </c>
      <c r="BS113" s="3088">
        <f t="shared" si="137"/>
        <v>513200</v>
      </c>
      <c r="BT113" s="3088">
        <f t="shared" ref="BT113:BW113" si="222">BT148-BN113</f>
        <v>130638.166666666</v>
      </c>
      <c r="BU113" s="3088">
        <f t="shared" si="222"/>
        <v>131846.166666666</v>
      </c>
      <c r="BV113" s="3088">
        <f t="shared" si="222"/>
        <v>131855.166666666</v>
      </c>
      <c r="BW113" s="3088">
        <f t="shared" si="222"/>
        <v>133241.833333333</v>
      </c>
      <c r="BX113" s="3088"/>
    </row>
    <row r="114" s="3031" customFormat="1" ht="32" customHeight="1" spans="1:76 16379:16384">
      <c r="A114" s="3063">
        <v>45747</v>
      </c>
      <c r="B114" s="3064" t="s">
        <v>505</v>
      </c>
      <c r="C114" s="3065" t="s">
        <v>506</v>
      </c>
      <c r="D114" s="3066">
        <v>4500161960</v>
      </c>
      <c r="E114" s="3091">
        <v>20739450</v>
      </c>
      <c r="F114" s="3066" t="s">
        <v>9516</v>
      </c>
      <c r="G114" s="3098" t="s">
        <v>9154</v>
      </c>
      <c r="H114" s="3069" t="s">
        <v>9155</v>
      </c>
      <c r="I114" s="2969">
        <v>1504</v>
      </c>
      <c r="J114" s="2969">
        <v>0</v>
      </c>
      <c r="K114" s="2969">
        <v>8</v>
      </c>
      <c r="L114" s="2969">
        <f t="shared" si="203"/>
        <v>188</v>
      </c>
      <c r="M114" s="3070">
        <v>45789</v>
      </c>
      <c r="N114" s="3070">
        <v>45785</v>
      </c>
      <c r="O114" s="2996"/>
      <c r="P114" s="2996" t="s">
        <v>82</v>
      </c>
      <c r="Q114" s="3071"/>
      <c r="R114" s="3071"/>
      <c r="S114" s="3071"/>
      <c r="T114" s="3071"/>
      <c r="U114" s="3072" t="s">
        <v>1166</v>
      </c>
      <c r="V114" s="2996"/>
      <c r="W114" s="3073" t="s">
        <v>1167</v>
      </c>
      <c r="X114" s="3073"/>
      <c r="Y114" s="3073" t="s">
        <v>1168</v>
      </c>
      <c r="Z114" s="3073"/>
      <c r="AA114" s="3073"/>
      <c r="AB114" s="3091" t="s">
        <v>9517</v>
      </c>
      <c r="AC114" s="2969" t="s">
        <v>513</v>
      </c>
      <c r="AD114" s="3075">
        <v>4.4827</v>
      </c>
      <c r="AE114" s="3076">
        <f t="shared" si="183"/>
        <v>6741.9808</v>
      </c>
      <c r="AF114" s="2969"/>
      <c r="AG114" s="2969" t="s">
        <v>9154</v>
      </c>
      <c r="AH114" s="2969" t="s">
        <v>416</v>
      </c>
      <c r="AI114" s="3077"/>
      <c r="AJ114" s="3078">
        <f>I114</f>
        <v>1504</v>
      </c>
      <c r="AK114" s="3077"/>
      <c r="AL114" s="3078"/>
      <c r="AM114" s="3102"/>
      <c r="AN114" s="3080"/>
      <c r="AO114" s="3079"/>
      <c r="AP114" s="3080">
        <f t="shared" si="159"/>
        <v>1504</v>
      </c>
      <c r="AQ114" s="3080"/>
      <c r="AR114" s="3080"/>
      <c r="AS114" s="3080"/>
      <c r="AT114" s="3116"/>
      <c r="AU114" s="3102"/>
      <c r="AV114" s="3102"/>
      <c r="AW114" s="3117"/>
      <c r="AX114" s="3085">
        <f t="shared" si="196"/>
        <v>376</v>
      </c>
      <c r="AY114" s="3080">
        <f t="shared" si="211"/>
        <v>376</v>
      </c>
      <c r="AZ114" s="3080">
        <f t="shared" si="212"/>
        <v>376</v>
      </c>
      <c r="BA114" s="3086">
        <f t="shared" si="213"/>
        <v>376</v>
      </c>
      <c r="BB114" s="3080"/>
      <c r="BC114" s="3080"/>
      <c r="BD114" s="3080"/>
      <c r="BE114" s="3080"/>
      <c r="BF114" s="3080"/>
      <c r="BG114" s="3080"/>
      <c r="BH114" s="3080"/>
      <c r="BI114" s="3080"/>
      <c r="BJ114" s="3080">
        <f t="shared" si="214"/>
        <v>1504</v>
      </c>
      <c r="BK114" s="3080"/>
      <c r="BL114" s="3080" t="s">
        <v>9164</v>
      </c>
      <c r="BM114" s="3118"/>
      <c r="BN114" s="3088">
        <f t="shared" si="198"/>
        <v>376</v>
      </c>
      <c r="BO114" s="3088">
        <f t="shared" si="199"/>
        <v>376</v>
      </c>
      <c r="BP114" s="3088">
        <f t="shared" si="200"/>
        <v>376</v>
      </c>
      <c r="BQ114" s="3088">
        <f t="shared" si="201"/>
        <v>376</v>
      </c>
      <c r="BR114" s="3080">
        <f t="shared" si="136"/>
        <v>0</v>
      </c>
      <c r="BS114" s="3088">
        <f t="shared" si="137"/>
        <v>513984</v>
      </c>
      <c r="BT114" s="3088">
        <f t="shared" ref="BT114:BW114" si="223">BT113-BN114</f>
        <v>130262.166666666</v>
      </c>
      <c r="BU114" s="3088">
        <f t="shared" si="223"/>
        <v>131470.166666666</v>
      </c>
      <c r="BV114" s="3088">
        <f t="shared" si="223"/>
        <v>131479.166666666</v>
      </c>
      <c r="BW114" s="3088">
        <f t="shared" si="223"/>
        <v>132865.833333333</v>
      </c>
      <c r="BX114" s="3088"/>
      <c r="XEY114" s="3119"/>
      <c r="XEZ114" s="3064"/>
      <c r="XFA114" s="3065"/>
      <c r="XFB114" s="3119"/>
      <c r="XFC114" s="3064"/>
      <c r="XFD114" s="3065"/>
    </row>
    <row r="115" s="3031" customFormat="1" ht="32" customHeight="1" spans="1:76 16379:16384">
      <c r="A115" s="3063">
        <v>45728</v>
      </c>
      <c r="B115" s="3064" t="s">
        <v>77</v>
      </c>
      <c r="C115" s="3065" t="s">
        <v>78</v>
      </c>
      <c r="D115" s="3066">
        <v>4500159868</v>
      </c>
      <c r="E115" s="3091">
        <v>4401015358</v>
      </c>
      <c r="F115" s="3066" t="s">
        <v>9518</v>
      </c>
      <c r="G115" s="3098" t="s">
        <v>9519</v>
      </c>
      <c r="H115" s="3069" t="s">
        <v>9520</v>
      </c>
      <c r="I115" s="2969">
        <v>6984</v>
      </c>
      <c r="J115" s="2969">
        <v>0</v>
      </c>
      <c r="K115" s="2969">
        <v>4</v>
      </c>
      <c r="L115" s="2969">
        <f t="shared" si="203"/>
        <v>1746</v>
      </c>
      <c r="M115" s="3070">
        <v>45789</v>
      </c>
      <c r="N115" s="3070">
        <f t="shared" ref="N115:N119" si="224">M115-4</f>
        <v>45785</v>
      </c>
      <c r="O115" s="2996"/>
      <c r="P115" s="2996" t="s">
        <v>82</v>
      </c>
      <c r="Q115" s="3071"/>
      <c r="R115" s="3071"/>
      <c r="S115" s="3071"/>
      <c r="T115" s="3071"/>
      <c r="U115" s="3072" t="s">
        <v>1146</v>
      </c>
      <c r="V115" s="2996"/>
      <c r="W115" s="3073" t="s">
        <v>5716</v>
      </c>
      <c r="X115" s="3073"/>
      <c r="Y115" s="3073" t="s">
        <v>9521</v>
      </c>
      <c r="Z115" s="3073"/>
      <c r="AA115" s="3073"/>
      <c r="AB115" s="3091" t="s">
        <v>9522</v>
      </c>
      <c r="AC115" s="2969" t="s">
        <v>338</v>
      </c>
      <c r="AD115" s="3075">
        <v>16.8851</v>
      </c>
      <c r="AE115" s="3076">
        <f t="shared" ref="AE115:AE127" si="225">AD115*L115</f>
        <v>29481.3846</v>
      </c>
      <c r="AF115" s="2969"/>
      <c r="AG115" s="3098" t="s">
        <v>9519</v>
      </c>
      <c r="AH115" s="2969" t="s">
        <v>416</v>
      </c>
      <c r="AI115" s="3077"/>
      <c r="AJ115" s="3078"/>
      <c r="AK115" s="3077"/>
      <c r="AL115" s="3078"/>
      <c r="AM115" s="3092"/>
      <c r="AN115" s="3078">
        <f t="shared" ref="AN115:AN119" si="226">I115</f>
        <v>6984</v>
      </c>
      <c r="AO115" s="3079"/>
      <c r="AP115" s="3080"/>
      <c r="AQ115" s="3080"/>
      <c r="AR115" s="3080"/>
      <c r="AS115" s="3081">
        <f t="shared" ref="AS115:AS119" si="227">I115</f>
        <v>6984</v>
      </c>
      <c r="AT115" s="3109"/>
      <c r="AU115" s="3079"/>
      <c r="AV115" s="3079"/>
      <c r="AW115" s="3110"/>
      <c r="AX115" s="3085">
        <f t="shared" si="196"/>
        <v>1746</v>
      </c>
      <c r="AY115" s="3080">
        <f t="shared" si="211"/>
        <v>1746</v>
      </c>
      <c r="AZ115" s="3080">
        <f t="shared" si="212"/>
        <v>1746</v>
      </c>
      <c r="BA115" s="3086">
        <f t="shared" si="213"/>
        <v>1746</v>
      </c>
      <c r="BB115" s="3087"/>
      <c r="BC115" s="3080"/>
      <c r="BD115" s="3080"/>
      <c r="BE115" s="3080"/>
      <c r="BF115" s="3080"/>
      <c r="BG115" s="3080"/>
      <c r="BH115" s="3080"/>
      <c r="BI115" s="3080"/>
      <c r="BJ115" s="3080">
        <f t="shared" si="214"/>
        <v>6984</v>
      </c>
      <c r="BK115" s="3080"/>
      <c r="BL115" s="3080" t="s">
        <v>9164</v>
      </c>
      <c r="BM115" s="3097"/>
      <c r="BN115" s="3080">
        <f t="shared" si="198"/>
        <v>1746</v>
      </c>
      <c r="BO115" s="3080">
        <f t="shared" si="199"/>
        <v>1746</v>
      </c>
      <c r="BP115" s="3080">
        <f t="shared" si="200"/>
        <v>1746</v>
      </c>
      <c r="BQ115" s="3080">
        <f t="shared" si="201"/>
        <v>1746</v>
      </c>
      <c r="BR115" s="3080">
        <f t="shared" si="136"/>
        <v>0</v>
      </c>
      <c r="BS115" s="3088">
        <f t="shared" si="137"/>
        <v>519464</v>
      </c>
      <c r="BT115" s="3088">
        <f t="shared" ref="BT115:BW115" si="228">BT114-BN115</f>
        <v>128516.166666666</v>
      </c>
      <c r="BU115" s="3088">
        <f t="shared" si="228"/>
        <v>129724.166666666</v>
      </c>
      <c r="BV115" s="3088">
        <f t="shared" si="228"/>
        <v>129733.166666666</v>
      </c>
      <c r="BW115" s="3088">
        <f t="shared" si="228"/>
        <v>131119.833333333</v>
      </c>
      <c r="BX115" s="3088"/>
    </row>
    <row r="116" s="3031" customFormat="1" ht="32" customHeight="1" spans="1:76 16379:16384">
      <c r="A116" s="3063">
        <v>45728</v>
      </c>
      <c r="B116" s="3064" t="s">
        <v>77</v>
      </c>
      <c r="C116" s="3065" t="s">
        <v>78</v>
      </c>
      <c r="D116" s="3066">
        <v>4500159868</v>
      </c>
      <c r="E116" s="3091">
        <v>4401015373</v>
      </c>
      <c r="F116" s="3066" t="s">
        <v>9523</v>
      </c>
      <c r="G116" s="3098" t="s">
        <v>9519</v>
      </c>
      <c r="H116" s="3069" t="s">
        <v>9520</v>
      </c>
      <c r="I116" s="2969">
        <v>6984</v>
      </c>
      <c r="J116" s="2969">
        <v>0</v>
      </c>
      <c r="K116" s="2969">
        <v>4</v>
      </c>
      <c r="L116" s="2969">
        <f t="shared" si="203"/>
        <v>1746</v>
      </c>
      <c r="M116" s="3070">
        <v>45789</v>
      </c>
      <c r="N116" s="3070">
        <f t="shared" si="224"/>
        <v>45785</v>
      </c>
      <c r="O116" s="2996"/>
      <c r="P116" s="2996" t="s">
        <v>82</v>
      </c>
      <c r="Q116" s="3071"/>
      <c r="R116" s="3071"/>
      <c r="S116" s="3071"/>
      <c r="T116" s="3071"/>
      <c r="U116" s="3072" t="s">
        <v>1146</v>
      </c>
      <c r="V116" s="2996"/>
      <c r="W116" s="3073" t="s">
        <v>5716</v>
      </c>
      <c r="X116" s="3073"/>
      <c r="Y116" s="3073" t="s">
        <v>9521</v>
      </c>
      <c r="Z116" s="3073"/>
      <c r="AA116" s="3073"/>
      <c r="AB116" s="3091" t="s">
        <v>9522</v>
      </c>
      <c r="AC116" s="2969" t="s">
        <v>338</v>
      </c>
      <c r="AD116" s="3075">
        <v>16.8851</v>
      </c>
      <c r="AE116" s="3076">
        <f t="shared" si="225"/>
        <v>29481.3846</v>
      </c>
      <c r="AF116" s="2969"/>
      <c r="AG116" s="3098" t="s">
        <v>9519</v>
      </c>
      <c r="AH116" s="2969" t="s">
        <v>416</v>
      </c>
      <c r="AI116" s="3077"/>
      <c r="AJ116" s="3078"/>
      <c r="AK116" s="3077"/>
      <c r="AL116" s="3078"/>
      <c r="AM116" s="3092"/>
      <c r="AN116" s="3078">
        <f t="shared" si="226"/>
        <v>6984</v>
      </c>
      <c r="AO116" s="3079"/>
      <c r="AP116" s="3080"/>
      <c r="AQ116" s="3080"/>
      <c r="AR116" s="3080"/>
      <c r="AS116" s="3081">
        <f t="shared" si="227"/>
        <v>6984</v>
      </c>
      <c r="AT116" s="3109"/>
      <c r="AU116" s="3079"/>
      <c r="AV116" s="3079"/>
      <c r="AW116" s="3110"/>
      <c r="AX116" s="3085">
        <f t="shared" si="196"/>
        <v>1746</v>
      </c>
      <c r="AY116" s="3080">
        <f t="shared" si="211"/>
        <v>1746</v>
      </c>
      <c r="AZ116" s="3080">
        <f t="shared" si="212"/>
        <v>1746</v>
      </c>
      <c r="BA116" s="3086">
        <f t="shared" si="213"/>
        <v>1746</v>
      </c>
      <c r="BB116" s="3087"/>
      <c r="BC116" s="3080"/>
      <c r="BD116" s="3080"/>
      <c r="BE116" s="3080"/>
      <c r="BF116" s="3080"/>
      <c r="BG116" s="3080"/>
      <c r="BH116" s="3080"/>
      <c r="BI116" s="3080"/>
      <c r="BJ116" s="3080">
        <f t="shared" si="214"/>
        <v>6984</v>
      </c>
      <c r="BK116" s="3080"/>
      <c r="BL116" s="3080" t="s">
        <v>9164</v>
      </c>
      <c r="BM116" s="3097"/>
      <c r="BN116" s="3080">
        <f t="shared" si="198"/>
        <v>1746</v>
      </c>
      <c r="BO116" s="3080">
        <f t="shared" si="199"/>
        <v>1746</v>
      </c>
      <c r="BP116" s="3080">
        <f t="shared" si="200"/>
        <v>1746</v>
      </c>
      <c r="BQ116" s="3080">
        <f t="shared" si="201"/>
        <v>1746</v>
      </c>
      <c r="BR116" s="3080">
        <f t="shared" si="136"/>
        <v>0</v>
      </c>
      <c r="BS116" s="3088">
        <f t="shared" si="137"/>
        <v>519464</v>
      </c>
      <c r="BT116" s="3088">
        <f t="shared" ref="BT116:BW116" si="229">BT115-BN116</f>
        <v>126770.166666666</v>
      </c>
      <c r="BU116" s="3088">
        <f t="shared" si="229"/>
        <v>127978.166666666</v>
      </c>
      <c r="BV116" s="3088">
        <f t="shared" si="229"/>
        <v>127987.166666666</v>
      </c>
      <c r="BW116" s="3088">
        <f t="shared" si="229"/>
        <v>129373.833333333</v>
      </c>
      <c r="BX116" s="3088"/>
    </row>
    <row r="117" s="3031" customFormat="1" ht="32" customHeight="1" spans="1:76 16379:16384">
      <c r="A117" s="3063">
        <v>45728</v>
      </c>
      <c r="B117" s="3064" t="s">
        <v>77</v>
      </c>
      <c r="C117" s="3065" t="s">
        <v>78</v>
      </c>
      <c r="D117" s="3066">
        <v>4500159868</v>
      </c>
      <c r="E117" s="3091">
        <v>4401015372</v>
      </c>
      <c r="F117" s="3066" t="s">
        <v>9524</v>
      </c>
      <c r="G117" s="3098" t="s">
        <v>9519</v>
      </c>
      <c r="H117" s="3069" t="s">
        <v>9520</v>
      </c>
      <c r="I117" s="2969">
        <v>6984</v>
      </c>
      <c r="J117" s="2969">
        <v>0</v>
      </c>
      <c r="K117" s="2969">
        <v>4</v>
      </c>
      <c r="L117" s="2969">
        <f t="shared" si="203"/>
        <v>1746</v>
      </c>
      <c r="M117" s="3070">
        <v>45791</v>
      </c>
      <c r="N117" s="3070">
        <f t="shared" si="224"/>
        <v>45787</v>
      </c>
      <c r="O117" s="2996"/>
      <c r="P117" s="2996" t="s">
        <v>82</v>
      </c>
      <c r="Q117" s="3071"/>
      <c r="R117" s="3071"/>
      <c r="S117" s="3071"/>
      <c r="T117" s="3071"/>
      <c r="U117" s="3072" t="s">
        <v>6695</v>
      </c>
      <c r="V117" s="2996"/>
      <c r="W117" s="3073" t="s">
        <v>5716</v>
      </c>
      <c r="X117" s="3073"/>
      <c r="Y117" s="3073" t="s">
        <v>9521</v>
      </c>
      <c r="Z117" s="3073"/>
      <c r="AA117" s="3073"/>
      <c r="AB117" s="3091" t="s">
        <v>9522</v>
      </c>
      <c r="AC117" s="2969" t="s">
        <v>338</v>
      </c>
      <c r="AD117" s="3075">
        <v>16.8851</v>
      </c>
      <c r="AE117" s="3076">
        <f t="shared" si="225"/>
        <v>29481.3846</v>
      </c>
      <c r="AF117" s="2969"/>
      <c r="AG117" s="3098" t="s">
        <v>9519</v>
      </c>
      <c r="AH117" s="2969" t="s">
        <v>416</v>
      </c>
      <c r="AI117" s="3077"/>
      <c r="AJ117" s="3078"/>
      <c r="AK117" s="3077"/>
      <c r="AL117" s="3078"/>
      <c r="AM117" s="3092"/>
      <c r="AN117" s="3078">
        <f t="shared" si="226"/>
        <v>6984</v>
      </c>
      <c r="AO117" s="3079"/>
      <c r="AP117" s="3080"/>
      <c r="AQ117" s="3080"/>
      <c r="AR117" s="3080"/>
      <c r="AS117" s="3081">
        <f t="shared" si="227"/>
        <v>6984</v>
      </c>
      <c r="AT117" s="3109"/>
      <c r="AU117" s="3079"/>
      <c r="AV117" s="3079"/>
      <c r="AW117" s="3110"/>
      <c r="AX117" s="3085">
        <f t="shared" si="196"/>
        <v>1746</v>
      </c>
      <c r="AY117" s="3080">
        <f t="shared" si="211"/>
        <v>1746</v>
      </c>
      <c r="AZ117" s="3080">
        <f t="shared" si="212"/>
        <v>1746</v>
      </c>
      <c r="BA117" s="3086">
        <f t="shared" si="213"/>
        <v>1746</v>
      </c>
      <c r="BB117" s="3087"/>
      <c r="BC117" s="3080"/>
      <c r="BD117" s="3080"/>
      <c r="BE117" s="3080"/>
      <c r="BF117" s="3080"/>
      <c r="BG117" s="3080"/>
      <c r="BH117" s="3080"/>
      <c r="BI117" s="3080"/>
      <c r="BJ117" s="3080">
        <f t="shared" si="214"/>
        <v>6984</v>
      </c>
      <c r="BK117" s="3080"/>
      <c r="BL117" s="3080" t="s">
        <v>9164</v>
      </c>
      <c r="BM117" s="3097"/>
      <c r="BN117" s="3080">
        <f t="shared" si="198"/>
        <v>1746</v>
      </c>
      <c r="BO117" s="3080">
        <f t="shared" si="199"/>
        <v>1746</v>
      </c>
      <c r="BP117" s="3080">
        <f t="shared" si="200"/>
        <v>1746</v>
      </c>
      <c r="BQ117" s="3080">
        <f t="shared" si="201"/>
        <v>1746</v>
      </c>
      <c r="BR117" s="3080">
        <f t="shared" si="136"/>
        <v>0</v>
      </c>
      <c r="BS117" s="3088">
        <f t="shared" si="137"/>
        <v>519464</v>
      </c>
      <c r="BT117" s="3088">
        <f t="shared" ref="BT117:BW117" si="230">BT119-BN117</f>
        <v>121532.166666666</v>
      </c>
      <c r="BU117" s="3088">
        <f t="shared" si="230"/>
        <v>122740.166666666</v>
      </c>
      <c r="BV117" s="3088">
        <f t="shared" si="230"/>
        <v>122749.166666666</v>
      </c>
      <c r="BW117" s="3088">
        <f t="shared" si="230"/>
        <v>124135.833333333</v>
      </c>
      <c r="BX117" s="3088"/>
    </row>
    <row r="118" s="3031" customFormat="1" ht="32" customHeight="1" spans="1:76 16379:16384">
      <c r="A118" s="3063">
        <v>45728</v>
      </c>
      <c r="B118" s="3064" t="s">
        <v>77</v>
      </c>
      <c r="C118" s="3065" t="s">
        <v>78</v>
      </c>
      <c r="D118" s="3066">
        <v>4500159868</v>
      </c>
      <c r="E118" s="3091">
        <v>4401015356</v>
      </c>
      <c r="F118" s="3066" t="s">
        <v>9525</v>
      </c>
      <c r="G118" s="3098" t="s">
        <v>9519</v>
      </c>
      <c r="H118" s="3069" t="s">
        <v>9520</v>
      </c>
      <c r="I118" s="2969">
        <v>6984</v>
      </c>
      <c r="J118" s="2969">
        <v>0</v>
      </c>
      <c r="K118" s="2969">
        <v>4</v>
      </c>
      <c r="L118" s="2969">
        <f t="shared" si="203"/>
        <v>1746</v>
      </c>
      <c r="M118" s="3070">
        <v>45790</v>
      </c>
      <c r="N118" s="3070">
        <f t="shared" si="224"/>
        <v>45786</v>
      </c>
      <c r="O118" s="2996"/>
      <c r="P118" s="2996" t="s">
        <v>82</v>
      </c>
      <c r="Q118" s="3071"/>
      <c r="R118" s="3071"/>
      <c r="S118" s="3071"/>
      <c r="T118" s="3071"/>
      <c r="U118" s="3072" t="s">
        <v>1162</v>
      </c>
      <c r="V118" s="2996"/>
      <c r="W118" s="3073" t="s">
        <v>5716</v>
      </c>
      <c r="X118" s="3073"/>
      <c r="Y118" s="3073" t="s">
        <v>9521</v>
      </c>
      <c r="Z118" s="3073"/>
      <c r="AA118" s="3073"/>
      <c r="AB118" s="3091" t="s">
        <v>9522</v>
      </c>
      <c r="AC118" s="2969" t="s">
        <v>338</v>
      </c>
      <c r="AD118" s="3075">
        <v>16.8851</v>
      </c>
      <c r="AE118" s="3076">
        <f t="shared" si="225"/>
        <v>29481.3846</v>
      </c>
      <c r="AF118" s="2969"/>
      <c r="AG118" s="3098" t="s">
        <v>9519</v>
      </c>
      <c r="AH118" s="2969" t="s">
        <v>416</v>
      </c>
      <c r="AI118" s="3108"/>
      <c r="AJ118" s="3078"/>
      <c r="AK118" s="3108"/>
      <c r="AL118" s="3078"/>
      <c r="AM118" s="3093"/>
      <c r="AN118" s="3078">
        <f t="shared" si="226"/>
        <v>6984</v>
      </c>
      <c r="AO118" s="3096"/>
      <c r="AP118" s="3080"/>
      <c r="AQ118" s="3080"/>
      <c r="AR118" s="3080"/>
      <c r="AS118" s="3081">
        <f t="shared" si="227"/>
        <v>6984</v>
      </c>
      <c r="AT118" s="3114"/>
      <c r="AU118" s="3096"/>
      <c r="AV118" s="3096"/>
      <c r="AW118" s="3115"/>
      <c r="AX118" s="3085">
        <f t="shared" si="196"/>
        <v>1746</v>
      </c>
      <c r="AY118" s="3080">
        <f t="shared" si="211"/>
        <v>1746</v>
      </c>
      <c r="AZ118" s="3080">
        <f t="shared" si="212"/>
        <v>1746</v>
      </c>
      <c r="BA118" s="3086">
        <f t="shared" si="213"/>
        <v>1746</v>
      </c>
      <c r="BB118" s="3087"/>
      <c r="BC118" s="3080"/>
      <c r="BD118" s="3080"/>
      <c r="BE118" s="3080"/>
      <c r="BF118" s="3080"/>
      <c r="BG118" s="3080"/>
      <c r="BH118" s="3080"/>
      <c r="BI118" s="3080"/>
      <c r="BJ118" s="3080">
        <f t="shared" si="214"/>
        <v>6984</v>
      </c>
      <c r="BK118" s="3080"/>
      <c r="BL118" s="3080" t="s">
        <v>9164</v>
      </c>
      <c r="BM118" s="3094"/>
      <c r="BN118" s="3080">
        <f t="shared" si="198"/>
        <v>1746</v>
      </c>
      <c r="BO118" s="3080">
        <f t="shared" si="199"/>
        <v>1746</v>
      </c>
      <c r="BP118" s="3080">
        <f t="shared" si="200"/>
        <v>1746</v>
      </c>
      <c r="BQ118" s="3080">
        <f t="shared" si="201"/>
        <v>1746</v>
      </c>
      <c r="BR118" s="3080">
        <f t="shared" si="136"/>
        <v>0</v>
      </c>
      <c r="BS118" s="3088">
        <f t="shared" si="137"/>
        <v>519464</v>
      </c>
      <c r="BT118" s="3088">
        <f t="shared" ref="BT118:BW118" si="231">BT116-BN118</f>
        <v>125024.166666666</v>
      </c>
      <c r="BU118" s="3088">
        <f t="shared" si="231"/>
        <v>126232.166666666</v>
      </c>
      <c r="BV118" s="3088">
        <f t="shared" si="231"/>
        <v>126241.166666666</v>
      </c>
      <c r="BW118" s="3088">
        <f t="shared" si="231"/>
        <v>127627.833333333</v>
      </c>
      <c r="BX118" s="3088"/>
    </row>
    <row r="119" s="3031" customFormat="1" ht="32" customHeight="1" spans="1:76 16379:16384">
      <c r="A119" s="3063">
        <v>45728</v>
      </c>
      <c r="B119" s="3064" t="s">
        <v>77</v>
      </c>
      <c r="C119" s="3065" t="s">
        <v>78</v>
      </c>
      <c r="D119" s="3066">
        <v>4500159868</v>
      </c>
      <c r="E119" s="3091">
        <v>4401015360</v>
      </c>
      <c r="F119" s="3066" t="s">
        <v>9526</v>
      </c>
      <c r="G119" s="3098" t="s">
        <v>9519</v>
      </c>
      <c r="H119" s="3069" t="s">
        <v>9520</v>
      </c>
      <c r="I119" s="2969">
        <v>6984</v>
      </c>
      <c r="J119" s="2969">
        <v>0</v>
      </c>
      <c r="K119" s="2969">
        <v>4</v>
      </c>
      <c r="L119" s="2969">
        <f t="shared" si="203"/>
        <v>1746</v>
      </c>
      <c r="M119" s="3070">
        <v>45790</v>
      </c>
      <c r="N119" s="3070">
        <f t="shared" si="224"/>
        <v>45786</v>
      </c>
      <c r="O119" s="2996"/>
      <c r="P119" s="2996" t="s">
        <v>82</v>
      </c>
      <c r="Q119" s="3071"/>
      <c r="R119" s="3071"/>
      <c r="S119" s="3071"/>
      <c r="T119" s="3071"/>
      <c r="U119" s="3072" t="s">
        <v>1162</v>
      </c>
      <c r="V119" s="2996"/>
      <c r="W119" s="3073" t="s">
        <v>5716</v>
      </c>
      <c r="X119" s="3073"/>
      <c r="Y119" s="3073" t="s">
        <v>9521</v>
      </c>
      <c r="Z119" s="3073"/>
      <c r="AA119" s="3073"/>
      <c r="AB119" s="3091" t="s">
        <v>9522</v>
      </c>
      <c r="AC119" s="2969" t="s">
        <v>338</v>
      </c>
      <c r="AD119" s="3075">
        <v>16.8851</v>
      </c>
      <c r="AE119" s="3076">
        <f t="shared" si="225"/>
        <v>29481.3846</v>
      </c>
      <c r="AF119" s="2969"/>
      <c r="AG119" s="3098" t="s">
        <v>9519</v>
      </c>
      <c r="AH119" s="2969" t="s">
        <v>416</v>
      </c>
      <c r="AI119" s="3108"/>
      <c r="AJ119" s="3078"/>
      <c r="AK119" s="3108"/>
      <c r="AL119" s="3078"/>
      <c r="AM119" s="3093"/>
      <c r="AN119" s="3078">
        <f t="shared" si="226"/>
        <v>6984</v>
      </c>
      <c r="AO119" s="3096"/>
      <c r="AP119" s="3080"/>
      <c r="AQ119" s="3080"/>
      <c r="AR119" s="3080"/>
      <c r="AS119" s="3081">
        <f t="shared" si="227"/>
        <v>6984</v>
      </c>
      <c r="AT119" s="3114"/>
      <c r="AU119" s="3096"/>
      <c r="AV119" s="3096"/>
      <c r="AW119" s="3115"/>
      <c r="AX119" s="3085">
        <f t="shared" si="196"/>
        <v>1746</v>
      </c>
      <c r="AY119" s="3080">
        <f t="shared" si="211"/>
        <v>1746</v>
      </c>
      <c r="AZ119" s="3080">
        <f t="shared" si="212"/>
        <v>1746</v>
      </c>
      <c r="BA119" s="3086">
        <f t="shared" si="213"/>
        <v>1746</v>
      </c>
      <c r="BB119" s="3087"/>
      <c r="BC119" s="3080"/>
      <c r="BD119" s="3080"/>
      <c r="BE119" s="3080"/>
      <c r="BF119" s="3080"/>
      <c r="BG119" s="3080"/>
      <c r="BH119" s="3080"/>
      <c r="BI119" s="3080"/>
      <c r="BJ119" s="3080">
        <f t="shared" si="214"/>
        <v>6984</v>
      </c>
      <c r="BK119" s="3080"/>
      <c r="BL119" s="3080" t="s">
        <v>9164</v>
      </c>
      <c r="BM119" s="3094"/>
      <c r="BN119" s="3080">
        <f t="shared" si="198"/>
        <v>1746</v>
      </c>
      <c r="BO119" s="3080">
        <f t="shared" si="199"/>
        <v>1746</v>
      </c>
      <c r="BP119" s="3080">
        <f t="shared" si="200"/>
        <v>1746</v>
      </c>
      <c r="BQ119" s="3080">
        <f t="shared" si="201"/>
        <v>1746</v>
      </c>
      <c r="BR119" s="3080">
        <f t="shared" si="136"/>
        <v>0</v>
      </c>
      <c r="BS119" s="3088">
        <f t="shared" si="137"/>
        <v>519464</v>
      </c>
      <c r="BT119" s="3088">
        <f t="shared" ref="BT119:BW119" si="232">BT118-BN119</f>
        <v>123278.166666666</v>
      </c>
      <c r="BU119" s="3088">
        <f t="shared" si="232"/>
        <v>124486.166666666</v>
      </c>
      <c r="BV119" s="3088">
        <f t="shared" si="232"/>
        <v>124495.166666666</v>
      </c>
      <c r="BW119" s="3088">
        <f t="shared" si="232"/>
        <v>125881.833333333</v>
      </c>
      <c r="BX119" s="3088"/>
    </row>
    <row r="120" s="3031" customFormat="1" ht="32" customHeight="1" spans="1:76 16379:16384">
      <c r="A120" s="3063">
        <v>45721</v>
      </c>
      <c r="B120" s="3064" t="s">
        <v>9451</v>
      </c>
      <c r="C120" s="3065" t="s">
        <v>2776</v>
      </c>
      <c r="D120" s="3066">
        <v>4500159153</v>
      </c>
      <c r="E120" s="3067" t="s">
        <v>9527</v>
      </c>
      <c r="F120" s="3066" t="s">
        <v>9528</v>
      </c>
      <c r="G120" s="3098" t="s">
        <v>9453</v>
      </c>
      <c r="H120" s="3069" t="s">
        <v>9454</v>
      </c>
      <c r="I120" s="2969">
        <v>300</v>
      </c>
      <c r="J120" s="2969">
        <v>0</v>
      </c>
      <c r="K120" s="2969">
        <v>30</v>
      </c>
      <c r="L120" s="2969">
        <f t="shared" si="203"/>
        <v>10</v>
      </c>
      <c r="M120" s="3070">
        <v>45792</v>
      </c>
      <c r="N120" s="3070">
        <v>45789</v>
      </c>
      <c r="O120" s="2996" t="s">
        <v>9529</v>
      </c>
      <c r="P120" s="2996" t="s">
        <v>82</v>
      </c>
      <c r="Q120" s="3071"/>
      <c r="R120" s="3071"/>
      <c r="S120" s="3071"/>
      <c r="T120" s="3071"/>
      <c r="U120" s="3072" t="s">
        <v>1195</v>
      </c>
      <c r="V120" s="2996"/>
      <c r="W120" s="3073" t="s">
        <v>8405</v>
      </c>
      <c r="X120" s="3073"/>
      <c r="Y120" s="3073" t="s">
        <v>9530</v>
      </c>
      <c r="Z120" s="3073" t="s">
        <v>9458</v>
      </c>
      <c r="AA120" s="3073"/>
      <c r="AB120" s="3120" t="s">
        <v>9531</v>
      </c>
      <c r="AC120" s="2969" t="s">
        <v>459</v>
      </c>
      <c r="AD120" s="3075">
        <v>156.8365</v>
      </c>
      <c r="AE120" s="3076">
        <f t="shared" si="225"/>
        <v>1568.365</v>
      </c>
      <c r="AF120" s="2969"/>
      <c r="AG120" s="3069" t="s">
        <v>9462</v>
      </c>
      <c r="AH120" s="2969" t="s">
        <v>416</v>
      </c>
      <c r="AI120" s="3108"/>
      <c r="AJ120" s="3078"/>
      <c r="AK120" s="3108"/>
      <c r="AL120" s="3078">
        <f>I120</f>
        <v>300</v>
      </c>
      <c r="AM120" s="3112"/>
      <c r="AN120" s="3080"/>
      <c r="AO120" s="3096"/>
      <c r="AP120" s="3080">
        <f>I120</f>
        <v>300</v>
      </c>
      <c r="AQ120" s="3080"/>
      <c r="AR120" s="3080"/>
      <c r="AS120" s="3080"/>
      <c r="AT120" s="3121"/>
      <c r="AU120" s="3113"/>
      <c r="AV120" s="3113"/>
      <c r="AW120" s="3122"/>
      <c r="AX120" s="3085">
        <f t="shared" si="196"/>
        <v>75</v>
      </c>
      <c r="AY120" s="3080">
        <f t="shared" ref="AY120:AY137" si="233">AX120</f>
        <v>75</v>
      </c>
      <c r="AZ120" s="3080">
        <f t="shared" ref="AZ120:AZ131" si="234">AX120</f>
        <v>75</v>
      </c>
      <c r="BA120" s="3086">
        <f t="shared" ref="BA120:BA131" si="235">AX120</f>
        <v>75</v>
      </c>
      <c r="BB120" s="3087"/>
      <c r="BC120" s="3080"/>
      <c r="BD120" s="3080"/>
      <c r="BE120" s="3080"/>
      <c r="BF120" s="3080">
        <f>SUM(AT120:BE120)-I120</f>
        <v>0</v>
      </c>
      <c r="BG120" s="3080">
        <f>L120</f>
        <v>10</v>
      </c>
      <c r="BH120" s="3080"/>
      <c r="BI120" s="3080"/>
      <c r="BJ120" s="3080">
        <f t="shared" si="214"/>
        <v>300</v>
      </c>
      <c r="BK120" s="3080"/>
      <c r="BL120" s="3080" t="s">
        <v>9164</v>
      </c>
      <c r="BM120" s="3113"/>
      <c r="BN120" s="3080">
        <f t="shared" si="198"/>
        <v>75</v>
      </c>
      <c r="BO120" s="3080">
        <f t="shared" si="199"/>
        <v>75</v>
      </c>
      <c r="BP120" s="3080">
        <f t="shared" si="200"/>
        <v>75</v>
      </c>
      <c r="BQ120" s="3080">
        <f t="shared" si="201"/>
        <v>75</v>
      </c>
      <c r="BR120" s="3080">
        <f t="shared" si="136"/>
        <v>0</v>
      </c>
      <c r="BS120" s="3088">
        <f t="shared" si="137"/>
        <v>512780</v>
      </c>
      <c r="BT120" s="3088">
        <f t="shared" ref="BT120:BW120" si="236">BT123-BN120</f>
        <v>116219.166666666</v>
      </c>
      <c r="BU120" s="3088">
        <f t="shared" si="236"/>
        <v>117427.166666666</v>
      </c>
      <c r="BV120" s="3088">
        <f t="shared" si="236"/>
        <v>117436.166666666</v>
      </c>
      <c r="BW120" s="3088">
        <f t="shared" si="236"/>
        <v>118822.833333333</v>
      </c>
      <c r="BX120" s="3088"/>
    </row>
    <row r="121" s="3031" customFormat="1" ht="32" customHeight="1" spans="1:76 16379:16384">
      <c r="A121" s="3063">
        <v>45728</v>
      </c>
      <c r="B121" s="3064" t="s">
        <v>77</v>
      </c>
      <c r="C121" s="3065" t="s">
        <v>78</v>
      </c>
      <c r="D121" s="3066">
        <v>4500159868</v>
      </c>
      <c r="E121" s="3091">
        <v>4401015340</v>
      </c>
      <c r="F121" s="3066" t="s">
        <v>9532</v>
      </c>
      <c r="G121" s="3098" t="s">
        <v>9519</v>
      </c>
      <c r="H121" s="3069" t="s">
        <v>9520</v>
      </c>
      <c r="I121" s="2969">
        <v>6984</v>
      </c>
      <c r="J121" s="2969">
        <v>0</v>
      </c>
      <c r="K121" s="2969">
        <v>4</v>
      </c>
      <c r="L121" s="2969">
        <f t="shared" si="203"/>
        <v>1746</v>
      </c>
      <c r="M121" s="3070">
        <v>45791</v>
      </c>
      <c r="N121" s="3070">
        <f t="shared" ref="N121:N125" si="237">M121-4</f>
        <v>45787</v>
      </c>
      <c r="O121" s="2996"/>
      <c r="P121" s="2996" t="s">
        <v>82</v>
      </c>
      <c r="Q121" s="3071"/>
      <c r="R121" s="3071"/>
      <c r="S121" s="3071"/>
      <c r="T121" s="3071"/>
      <c r="U121" s="3072" t="s">
        <v>3574</v>
      </c>
      <c r="V121" s="2996"/>
      <c r="W121" s="3073" t="s">
        <v>5716</v>
      </c>
      <c r="X121" s="3073"/>
      <c r="Y121" s="3073" t="s">
        <v>9521</v>
      </c>
      <c r="Z121" s="3073"/>
      <c r="AA121" s="3073"/>
      <c r="AB121" s="3091" t="s">
        <v>9522</v>
      </c>
      <c r="AC121" s="2969" t="s">
        <v>338</v>
      </c>
      <c r="AD121" s="3075">
        <v>16.8851</v>
      </c>
      <c r="AE121" s="3076">
        <f t="shared" si="225"/>
        <v>29481.3846</v>
      </c>
      <c r="AF121" s="2969"/>
      <c r="AG121" s="3098" t="s">
        <v>9519</v>
      </c>
      <c r="AH121" s="2969" t="s">
        <v>416</v>
      </c>
      <c r="AI121" s="3108"/>
      <c r="AJ121" s="3078"/>
      <c r="AK121" s="3108"/>
      <c r="AL121" s="3078"/>
      <c r="AM121" s="3093"/>
      <c r="AN121" s="3078">
        <f t="shared" ref="AN121:AN127" si="238">I121</f>
        <v>6984</v>
      </c>
      <c r="AO121" s="3096"/>
      <c r="AP121" s="3080"/>
      <c r="AQ121" s="3080"/>
      <c r="AR121" s="3080"/>
      <c r="AS121" s="3081">
        <f t="shared" ref="AS121:AS127" si="239">I121</f>
        <v>6984</v>
      </c>
      <c r="AT121" s="3114"/>
      <c r="AU121" s="3096"/>
      <c r="AV121" s="3096"/>
      <c r="AW121" s="3115"/>
      <c r="AX121" s="3085">
        <f t="shared" si="196"/>
        <v>1746</v>
      </c>
      <c r="AY121" s="3080">
        <f t="shared" si="233"/>
        <v>1746</v>
      </c>
      <c r="AZ121" s="3080">
        <f t="shared" si="234"/>
        <v>1746</v>
      </c>
      <c r="BA121" s="3086">
        <f t="shared" si="235"/>
        <v>1746</v>
      </c>
      <c r="BB121" s="3087"/>
      <c r="BC121" s="3080"/>
      <c r="BD121" s="3080"/>
      <c r="BE121" s="3080"/>
      <c r="BF121" s="3080"/>
      <c r="BG121" s="3080"/>
      <c r="BH121" s="3080"/>
      <c r="BI121" s="3080"/>
      <c r="BJ121" s="3080">
        <f t="shared" si="214"/>
        <v>6984</v>
      </c>
      <c r="BK121" s="3080"/>
      <c r="BL121" s="3080" t="s">
        <v>9164</v>
      </c>
      <c r="BM121" s="3094"/>
      <c r="BN121" s="3080">
        <f t="shared" si="198"/>
        <v>1746</v>
      </c>
      <c r="BO121" s="3080">
        <f t="shared" si="199"/>
        <v>1746</v>
      </c>
      <c r="BP121" s="3080">
        <f t="shared" si="200"/>
        <v>1746</v>
      </c>
      <c r="BQ121" s="3080">
        <f t="shared" si="201"/>
        <v>1746</v>
      </c>
      <c r="BR121" s="3080">
        <f t="shared" si="136"/>
        <v>0</v>
      </c>
      <c r="BS121" s="3088">
        <f t="shared" si="137"/>
        <v>519464</v>
      </c>
      <c r="BT121" s="3088">
        <f t="shared" ref="BT121:BW121" si="240">BT117-BN121</f>
        <v>119786.166666666</v>
      </c>
      <c r="BU121" s="3088">
        <f t="shared" si="240"/>
        <v>120994.166666666</v>
      </c>
      <c r="BV121" s="3088">
        <f t="shared" si="240"/>
        <v>121003.166666666</v>
      </c>
      <c r="BW121" s="3088">
        <f t="shared" si="240"/>
        <v>122389.833333333</v>
      </c>
      <c r="BX121" s="3088"/>
    </row>
    <row r="122" s="3031" customFormat="1" ht="32" customHeight="1" spans="1:76 16379:16384">
      <c r="A122" s="3063">
        <v>45728</v>
      </c>
      <c r="B122" s="3064" t="s">
        <v>77</v>
      </c>
      <c r="C122" s="3065" t="s">
        <v>78</v>
      </c>
      <c r="D122" s="3066">
        <v>4500159868</v>
      </c>
      <c r="E122" s="3091">
        <v>4401015355</v>
      </c>
      <c r="F122" s="3066" t="s">
        <v>9533</v>
      </c>
      <c r="G122" s="3098" t="s">
        <v>9519</v>
      </c>
      <c r="H122" s="3069" t="s">
        <v>9520</v>
      </c>
      <c r="I122" s="2969">
        <v>6984</v>
      </c>
      <c r="J122" s="2969">
        <v>0</v>
      </c>
      <c r="K122" s="2969">
        <v>4</v>
      </c>
      <c r="L122" s="2969">
        <f t="shared" si="203"/>
        <v>1746</v>
      </c>
      <c r="M122" s="3070">
        <v>45792</v>
      </c>
      <c r="N122" s="3070">
        <v>45785</v>
      </c>
      <c r="O122" s="2996"/>
      <c r="P122" s="2996" t="s">
        <v>82</v>
      </c>
      <c r="Q122" s="3071"/>
      <c r="R122" s="3071"/>
      <c r="S122" s="3071"/>
      <c r="T122" s="3071"/>
      <c r="U122" s="3072" t="s">
        <v>1162</v>
      </c>
      <c r="V122" s="2996"/>
      <c r="W122" s="3073" t="s">
        <v>5716</v>
      </c>
      <c r="X122" s="3073"/>
      <c r="Y122" s="3073" t="s">
        <v>9521</v>
      </c>
      <c r="Z122" s="3073"/>
      <c r="AA122" s="3073"/>
      <c r="AB122" s="3091" t="s">
        <v>9522</v>
      </c>
      <c r="AC122" s="2969" t="s">
        <v>338</v>
      </c>
      <c r="AD122" s="3075">
        <v>16.2706</v>
      </c>
      <c r="AE122" s="3076">
        <f t="shared" si="225"/>
        <v>28408.4676</v>
      </c>
      <c r="AF122" s="2969"/>
      <c r="AG122" s="3098" t="s">
        <v>9519</v>
      </c>
      <c r="AH122" s="2969" t="s">
        <v>416</v>
      </c>
      <c r="AI122" s="3108"/>
      <c r="AJ122" s="3078"/>
      <c r="AK122" s="3108"/>
      <c r="AL122" s="3078"/>
      <c r="AM122" s="3093"/>
      <c r="AN122" s="3078">
        <f t="shared" si="238"/>
        <v>6984</v>
      </c>
      <c r="AO122" s="3096"/>
      <c r="AP122" s="3080"/>
      <c r="AQ122" s="3080"/>
      <c r="AR122" s="3080"/>
      <c r="AS122" s="3081">
        <f t="shared" si="239"/>
        <v>6984</v>
      </c>
      <c r="AT122" s="3114"/>
      <c r="AU122" s="3096"/>
      <c r="AV122" s="3096"/>
      <c r="AW122" s="3115"/>
      <c r="AX122" s="3085">
        <f t="shared" si="196"/>
        <v>1746</v>
      </c>
      <c r="AY122" s="3080">
        <f t="shared" si="233"/>
        <v>1746</v>
      </c>
      <c r="AZ122" s="3080">
        <f t="shared" si="234"/>
        <v>1746</v>
      </c>
      <c r="BA122" s="3086">
        <f t="shared" si="235"/>
        <v>1746</v>
      </c>
      <c r="BB122" s="3087"/>
      <c r="BC122" s="3080"/>
      <c r="BD122" s="3080"/>
      <c r="BE122" s="3080"/>
      <c r="BF122" s="3080"/>
      <c r="BG122" s="3080"/>
      <c r="BH122" s="3080"/>
      <c r="BI122" s="3080"/>
      <c r="BJ122" s="3080">
        <f t="shared" si="214"/>
        <v>6984</v>
      </c>
      <c r="BK122" s="3080"/>
      <c r="BL122" s="3080" t="s">
        <v>9164</v>
      </c>
      <c r="BM122" s="3094"/>
      <c r="BN122" s="3080">
        <f t="shared" si="198"/>
        <v>1746</v>
      </c>
      <c r="BO122" s="3080">
        <f t="shared" si="199"/>
        <v>1746</v>
      </c>
      <c r="BP122" s="3080">
        <f t="shared" si="200"/>
        <v>1746</v>
      </c>
      <c r="BQ122" s="3080">
        <f t="shared" si="201"/>
        <v>1746</v>
      </c>
      <c r="BR122" s="3080">
        <f t="shared" si="136"/>
        <v>0</v>
      </c>
      <c r="BS122" s="3088">
        <f t="shared" si="137"/>
        <v>519464</v>
      </c>
      <c r="BT122" s="3088">
        <f t="shared" ref="BT122:BW122" si="241">BT121-BN122</f>
        <v>118040.166666666</v>
      </c>
      <c r="BU122" s="3088">
        <f t="shared" si="241"/>
        <v>119248.166666666</v>
      </c>
      <c r="BV122" s="3088">
        <f t="shared" si="241"/>
        <v>119257.166666666</v>
      </c>
      <c r="BW122" s="3088">
        <f t="shared" si="241"/>
        <v>120643.833333333</v>
      </c>
      <c r="BX122" s="3088"/>
    </row>
    <row r="123" s="3031" customFormat="1" ht="32" customHeight="1" spans="1:76 16379:16384">
      <c r="A123" s="3063">
        <v>45728</v>
      </c>
      <c r="B123" s="3064" t="s">
        <v>77</v>
      </c>
      <c r="C123" s="3065" t="s">
        <v>78</v>
      </c>
      <c r="D123" s="3066">
        <v>4500159868</v>
      </c>
      <c r="E123" s="3091">
        <v>4401015354</v>
      </c>
      <c r="F123" s="3066" t="s">
        <v>9534</v>
      </c>
      <c r="G123" s="3098" t="s">
        <v>9519</v>
      </c>
      <c r="H123" s="3069" t="s">
        <v>9520</v>
      </c>
      <c r="I123" s="2969">
        <v>6984</v>
      </c>
      <c r="J123" s="2969">
        <v>0</v>
      </c>
      <c r="K123" s="2969">
        <v>4</v>
      </c>
      <c r="L123" s="2969">
        <f t="shared" si="203"/>
        <v>1746</v>
      </c>
      <c r="M123" s="3070">
        <v>45792</v>
      </c>
      <c r="N123" s="3070">
        <f>M123-5</f>
        <v>45787</v>
      </c>
      <c r="O123" s="2996"/>
      <c r="P123" s="2996" t="s">
        <v>82</v>
      </c>
      <c r="Q123" s="3071"/>
      <c r="R123" s="3071"/>
      <c r="S123" s="3071"/>
      <c r="T123" s="3071"/>
      <c r="U123" s="3072" t="s">
        <v>3590</v>
      </c>
      <c r="V123" s="2996"/>
      <c r="W123" s="3073" t="s">
        <v>5716</v>
      </c>
      <c r="X123" s="3073"/>
      <c r="Y123" s="3073" t="s">
        <v>9521</v>
      </c>
      <c r="Z123" s="3073"/>
      <c r="AA123" s="3073"/>
      <c r="AB123" s="3091" t="s">
        <v>9522</v>
      </c>
      <c r="AC123" s="2969" t="s">
        <v>338</v>
      </c>
      <c r="AD123" s="3075">
        <v>16.2706</v>
      </c>
      <c r="AE123" s="3076">
        <f t="shared" si="225"/>
        <v>28408.4676</v>
      </c>
      <c r="AF123" s="2969"/>
      <c r="AG123" s="3098" t="s">
        <v>9519</v>
      </c>
      <c r="AH123" s="2969" t="s">
        <v>416</v>
      </c>
      <c r="AI123" s="3108"/>
      <c r="AJ123" s="3078"/>
      <c r="AK123" s="3108"/>
      <c r="AL123" s="3078"/>
      <c r="AM123" s="3093"/>
      <c r="AN123" s="3080">
        <f t="shared" si="238"/>
        <v>6984</v>
      </c>
      <c r="AO123" s="3096"/>
      <c r="AP123" s="3080"/>
      <c r="AQ123" s="3080"/>
      <c r="AR123" s="3080"/>
      <c r="AS123" s="3080">
        <f t="shared" si="239"/>
        <v>6984</v>
      </c>
      <c r="AT123" s="3121"/>
      <c r="AU123" s="3113"/>
      <c r="AV123" s="3113"/>
      <c r="AW123" s="3122"/>
      <c r="AX123" s="3085">
        <f t="shared" si="196"/>
        <v>1746</v>
      </c>
      <c r="AY123" s="3080">
        <f t="shared" si="233"/>
        <v>1746</v>
      </c>
      <c r="AZ123" s="3080">
        <f t="shared" si="234"/>
        <v>1746</v>
      </c>
      <c r="BA123" s="3086">
        <f t="shared" si="235"/>
        <v>1746</v>
      </c>
      <c r="BB123" s="3087"/>
      <c r="BC123" s="3080"/>
      <c r="BD123" s="3080"/>
      <c r="BE123" s="3080"/>
      <c r="BF123" s="3080"/>
      <c r="BG123" s="3080"/>
      <c r="BH123" s="3080"/>
      <c r="BI123" s="3080"/>
      <c r="BJ123" s="3080">
        <f t="shared" si="214"/>
        <v>6984</v>
      </c>
      <c r="BK123" s="3080"/>
      <c r="BL123" s="3080" t="s">
        <v>9164</v>
      </c>
      <c r="BM123" s="3094"/>
      <c r="BN123" s="3080">
        <f t="shared" si="198"/>
        <v>1746</v>
      </c>
      <c r="BO123" s="3080">
        <f t="shared" si="199"/>
        <v>1746</v>
      </c>
      <c r="BP123" s="3080">
        <f t="shared" si="200"/>
        <v>1746</v>
      </c>
      <c r="BQ123" s="3080">
        <f t="shared" si="201"/>
        <v>1746</v>
      </c>
      <c r="BR123" s="3080">
        <f t="shared" si="136"/>
        <v>0</v>
      </c>
      <c r="BS123" s="3088">
        <f t="shared" si="137"/>
        <v>519464</v>
      </c>
      <c r="BT123" s="3088">
        <f t="shared" ref="BT123:BW123" si="242">BT122-BN123</f>
        <v>116294.166666666</v>
      </c>
      <c r="BU123" s="3088">
        <f t="shared" si="242"/>
        <v>117502.166666666</v>
      </c>
      <c r="BV123" s="3088">
        <f t="shared" si="242"/>
        <v>117511.166666666</v>
      </c>
      <c r="BW123" s="3088">
        <f t="shared" si="242"/>
        <v>118897.833333333</v>
      </c>
      <c r="BX123" s="3088"/>
    </row>
    <row r="124" s="3031" customFormat="1" ht="32" customHeight="1" spans="1:76 16379:16384">
      <c r="A124" s="3063">
        <v>45728</v>
      </c>
      <c r="B124" s="3064" t="s">
        <v>77</v>
      </c>
      <c r="C124" s="3065" t="s">
        <v>78</v>
      </c>
      <c r="D124" s="3066">
        <v>4500159868</v>
      </c>
      <c r="E124" s="3091">
        <v>4401015346</v>
      </c>
      <c r="F124" s="3066" t="s">
        <v>9535</v>
      </c>
      <c r="G124" s="3098" t="s">
        <v>9519</v>
      </c>
      <c r="H124" s="3069" t="s">
        <v>9520</v>
      </c>
      <c r="I124" s="2969">
        <v>6984</v>
      </c>
      <c r="J124" s="2969">
        <v>0</v>
      </c>
      <c r="K124" s="2969">
        <v>4</v>
      </c>
      <c r="L124" s="2969">
        <f t="shared" si="203"/>
        <v>1746</v>
      </c>
      <c r="M124" s="3070">
        <v>45793</v>
      </c>
      <c r="N124" s="3070">
        <f t="shared" si="237"/>
        <v>45789</v>
      </c>
      <c r="O124" s="2996"/>
      <c r="P124" s="2996" t="s">
        <v>82</v>
      </c>
      <c r="Q124" s="3071"/>
      <c r="R124" s="3071"/>
      <c r="S124" s="3071"/>
      <c r="T124" s="3071"/>
      <c r="U124" s="3072" t="s">
        <v>3574</v>
      </c>
      <c r="V124" s="2996"/>
      <c r="W124" s="3073" t="s">
        <v>5716</v>
      </c>
      <c r="X124" s="3073"/>
      <c r="Y124" s="3073" t="s">
        <v>9521</v>
      </c>
      <c r="Z124" s="3073"/>
      <c r="AA124" s="3073"/>
      <c r="AB124" s="3091" t="s">
        <v>9522</v>
      </c>
      <c r="AC124" s="2969" t="s">
        <v>338</v>
      </c>
      <c r="AD124" s="3075">
        <v>16.8851</v>
      </c>
      <c r="AE124" s="3076">
        <f t="shared" si="225"/>
        <v>29481.3846</v>
      </c>
      <c r="AF124" s="2969"/>
      <c r="AG124" s="3098" t="s">
        <v>9519</v>
      </c>
      <c r="AH124" s="2969" t="s">
        <v>416</v>
      </c>
      <c r="AI124" s="3108"/>
      <c r="AJ124" s="3078"/>
      <c r="AK124" s="3108"/>
      <c r="AL124" s="3078"/>
      <c r="AM124" s="3093"/>
      <c r="AN124" s="3080">
        <f t="shared" si="238"/>
        <v>6984</v>
      </c>
      <c r="AO124" s="3096"/>
      <c r="AP124" s="3080"/>
      <c r="AQ124" s="3080"/>
      <c r="AR124" s="3080"/>
      <c r="AS124" s="3080">
        <f t="shared" si="239"/>
        <v>6984</v>
      </c>
      <c r="AT124" s="3121"/>
      <c r="AU124" s="3113"/>
      <c r="AV124" s="3113"/>
      <c r="AW124" s="3122"/>
      <c r="AX124" s="3085">
        <f t="shared" si="196"/>
        <v>1746</v>
      </c>
      <c r="AY124" s="3080">
        <f t="shared" si="233"/>
        <v>1746</v>
      </c>
      <c r="AZ124" s="3080">
        <f t="shared" si="234"/>
        <v>1746</v>
      </c>
      <c r="BA124" s="3086">
        <f t="shared" si="235"/>
        <v>1746</v>
      </c>
      <c r="BB124" s="3087"/>
      <c r="BC124" s="3080"/>
      <c r="BD124" s="3080"/>
      <c r="BE124" s="3080"/>
      <c r="BF124" s="3080"/>
      <c r="BG124" s="3080"/>
      <c r="BH124" s="3080"/>
      <c r="BI124" s="3080"/>
      <c r="BJ124" s="3080">
        <f t="shared" si="214"/>
        <v>6984</v>
      </c>
      <c r="BK124" s="3080"/>
      <c r="BL124" s="3080" t="s">
        <v>9164</v>
      </c>
      <c r="BM124" s="3094"/>
      <c r="BN124" s="3080">
        <f t="shared" si="198"/>
        <v>1746</v>
      </c>
      <c r="BO124" s="3080">
        <f t="shared" si="199"/>
        <v>1746</v>
      </c>
      <c r="BP124" s="3080">
        <f t="shared" si="200"/>
        <v>1746</v>
      </c>
      <c r="BQ124" s="3080">
        <f t="shared" si="201"/>
        <v>1746</v>
      </c>
      <c r="BR124" s="3080">
        <f t="shared" si="136"/>
        <v>0</v>
      </c>
      <c r="BS124" s="3088">
        <f t="shared" si="137"/>
        <v>519464</v>
      </c>
      <c r="BT124" s="3088">
        <f t="shared" ref="BT124:BW124" si="243">BT120-BN124</f>
        <v>114473.166666666</v>
      </c>
      <c r="BU124" s="3088">
        <f t="shared" si="243"/>
        <v>115681.166666666</v>
      </c>
      <c r="BV124" s="3088">
        <f t="shared" si="243"/>
        <v>115690.166666666</v>
      </c>
      <c r="BW124" s="3088">
        <f t="shared" si="243"/>
        <v>117076.833333333</v>
      </c>
      <c r="BX124" s="3088"/>
    </row>
    <row r="125" s="3031" customFormat="1" ht="32" customHeight="1" spans="1:76 16379:16384">
      <c r="A125" s="3063">
        <v>45728</v>
      </c>
      <c r="B125" s="3064" t="s">
        <v>77</v>
      </c>
      <c r="C125" s="3065" t="s">
        <v>78</v>
      </c>
      <c r="D125" s="3066">
        <v>4500159868</v>
      </c>
      <c r="E125" s="3091">
        <v>4401015332</v>
      </c>
      <c r="F125" s="3066" t="s">
        <v>9536</v>
      </c>
      <c r="G125" s="3098" t="s">
        <v>9519</v>
      </c>
      <c r="H125" s="3069" t="s">
        <v>9520</v>
      </c>
      <c r="I125" s="2969">
        <v>6984</v>
      </c>
      <c r="J125" s="2969">
        <v>0</v>
      </c>
      <c r="K125" s="2969">
        <v>4</v>
      </c>
      <c r="L125" s="2969">
        <f t="shared" si="203"/>
        <v>1746</v>
      </c>
      <c r="M125" s="3070">
        <v>45793</v>
      </c>
      <c r="N125" s="3070">
        <f t="shared" si="237"/>
        <v>45789</v>
      </c>
      <c r="O125" s="2996"/>
      <c r="P125" s="2996" t="s">
        <v>82</v>
      </c>
      <c r="Q125" s="3071"/>
      <c r="R125" s="3071"/>
      <c r="S125" s="3071"/>
      <c r="T125" s="3071"/>
      <c r="U125" s="3072" t="s">
        <v>1180</v>
      </c>
      <c r="V125" s="2996"/>
      <c r="W125" s="3073" t="s">
        <v>5716</v>
      </c>
      <c r="X125" s="3073"/>
      <c r="Y125" s="3073" t="s">
        <v>9521</v>
      </c>
      <c r="Z125" s="3073"/>
      <c r="AA125" s="3073"/>
      <c r="AB125" s="3091" t="s">
        <v>9522</v>
      </c>
      <c r="AC125" s="2969" t="s">
        <v>338</v>
      </c>
      <c r="AD125" s="3075">
        <v>16.2706</v>
      </c>
      <c r="AE125" s="3076">
        <f t="shared" si="225"/>
        <v>28408.4676</v>
      </c>
      <c r="AF125" s="2969"/>
      <c r="AG125" s="3098" t="s">
        <v>9519</v>
      </c>
      <c r="AH125" s="2969" t="s">
        <v>416</v>
      </c>
      <c r="AI125" s="3108"/>
      <c r="AJ125" s="3078"/>
      <c r="AK125" s="3108"/>
      <c r="AL125" s="3078"/>
      <c r="AM125" s="3093"/>
      <c r="AN125" s="3080">
        <f t="shared" si="238"/>
        <v>6984</v>
      </c>
      <c r="AO125" s="3096"/>
      <c r="AP125" s="3080"/>
      <c r="AQ125" s="3080"/>
      <c r="AR125" s="3080"/>
      <c r="AS125" s="3080">
        <f t="shared" si="239"/>
        <v>6984</v>
      </c>
      <c r="AT125" s="3121"/>
      <c r="AU125" s="3113"/>
      <c r="AV125" s="3113"/>
      <c r="AW125" s="3122"/>
      <c r="AX125" s="3085">
        <f t="shared" si="196"/>
        <v>1746</v>
      </c>
      <c r="AY125" s="3080">
        <f t="shared" si="233"/>
        <v>1746</v>
      </c>
      <c r="AZ125" s="3080">
        <f t="shared" si="234"/>
        <v>1746</v>
      </c>
      <c r="BA125" s="3086">
        <f t="shared" si="235"/>
        <v>1746</v>
      </c>
      <c r="BB125" s="3087"/>
      <c r="BC125" s="3080"/>
      <c r="BD125" s="3080"/>
      <c r="BE125" s="3080"/>
      <c r="BF125" s="3080"/>
      <c r="BG125" s="3080"/>
      <c r="BH125" s="3080"/>
      <c r="BI125" s="3080"/>
      <c r="BJ125" s="3080">
        <f t="shared" si="214"/>
        <v>6984</v>
      </c>
      <c r="BK125" s="3080"/>
      <c r="BL125" s="3080" t="s">
        <v>9164</v>
      </c>
      <c r="BM125" s="3094"/>
      <c r="BN125" s="3080">
        <f t="shared" si="198"/>
        <v>1746</v>
      </c>
      <c r="BO125" s="3080">
        <f t="shared" si="199"/>
        <v>1746</v>
      </c>
      <c r="BP125" s="3080">
        <f t="shared" si="200"/>
        <v>1746</v>
      </c>
      <c r="BQ125" s="3080">
        <f t="shared" si="201"/>
        <v>1746</v>
      </c>
      <c r="BR125" s="3080">
        <f t="shared" si="136"/>
        <v>0</v>
      </c>
      <c r="BS125" s="3088">
        <f t="shared" si="137"/>
        <v>519464</v>
      </c>
      <c r="BT125" s="3088">
        <f t="shared" ref="BT125:BW125" si="244">BT124-BN125</f>
        <v>112727.166666666</v>
      </c>
      <c r="BU125" s="3088">
        <f t="shared" si="244"/>
        <v>113935.166666666</v>
      </c>
      <c r="BV125" s="3088">
        <f t="shared" si="244"/>
        <v>113944.166666666</v>
      </c>
      <c r="BW125" s="3088">
        <f t="shared" si="244"/>
        <v>115330.833333333</v>
      </c>
      <c r="BX125" s="3088"/>
    </row>
    <row r="126" s="3031" customFormat="1" ht="32" customHeight="1" spans="1:76 16379:16384">
      <c r="A126" s="3063">
        <v>45728</v>
      </c>
      <c r="B126" s="3064" t="s">
        <v>77</v>
      </c>
      <c r="C126" s="3065" t="s">
        <v>78</v>
      </c>
      <c r="D126" s="3066">
        <v>4500159868</v>
      </c>
      <c r="E126" s="3091">
        <v>4401015353</v>
      </c>
      <c r="F126" s="3066" t="s">
        <v>9537</v>
      </c>
      <c r="G126" s="3098" t="s">
        <v>9519</v>
      </c>
      <c r="H126" s="3069" t="s">
        <v>9520</v>
      </c>
      <c r="I126" s="2969">
        <v>6984</v>
      </c>
      <c r="J126" s="2969">
        <v>0</v>
      </c>
      <c r="K126" s="2969">
        <v>4</v>
      </c>
      <c r="L126" s="2969">
        <f t="shared" si="203"/>
        <v>1746</v>
      </c>
      <c r="M126" s="3070">
        <v>45793</v>
      </c>
      <c r="N126" s="3070">
        <f t="shared" ref="N126:N129" si="245">M126-3</f>
        <v>45790</v>
      </c>
      <c r="O126" s="2996"/>
      <c r="P126" s="2996" t="s">
        <v>82</v>
      </c>
      <c r="Q126" s="3071"/>
      <c r="R126" s="3071"/>
      <c r="S126" s="3071"/>
      <c r="T126" s="3071"/>
      <c r="U126" s="3072" t="s">
        <v>3574</v>
      </c>
      <c r="V126" s="2996"/>
      <c r="W126" s="3073" t="s">
        <v>5716</v>
      </c>
      <c r="X126" s="3073"/>
      <c r="Y126" s="3073" t="s">
        <v>9521</v>
      </c>
      <c r="Z126" s="3073"/>
      <c r="AA126" s="3073"/>
      <c r="AB126" s="3091" t="s">
        <v>9522</v>
      </c>
      <c r="AC126" s="2969" t="s">
        <v>338</v>
      </c>
      <c r="AD126" s="3075">
        <v>16.2706</v>
      </c>
      <c r="AE126" s="3076">
        <f t="shared" si="225"/>
        <v>28408.4676</v>
      </c>
      <c r="AF126" s="2969"/>
      <c r="AG126" s="3098" t="s">
        <v>9519</v>
      </c>
      <c r="AH126" s="2969" t="s">
        <v>416</v>
      </c>
      <c r="AI126" s="3108"/>
      <c r="AJ126" s="3078"/>
      <c r="AK126" s="3108"/>
      <c r="AL126" s="3078"/>
      <c r="AM126" s="3093"/>
      <c r="AN126" s="3080">
        <f t="shared" si="238"/>
        <v>6984</v>
      </c>
      <c r="AO126" s="3096"/>
      <c r="AP126" s="3080"/>
      <c r="AQ126" s="3080"/>
      <c r="AR126" s="3080"/>
      <c r="AS126" s="3080">
        <f t="shared" si="239"/>
        <v>6984</v>
      </c>
      <c r="AT126" s="3121"/>
      <c r="AU126" s="3113"/>
      <c r="AV126" s="3113"/>
      <c r="AW126" s="3122"/>
      <c r="AX126" s="3085">
        <f t="shared" si="196"/>
        <v>1746</v>
      </c>
      <c r="AY126" s="3080">
        <f t="shared" si="233"/>
        <v>1746</v>
      </c>
      <c r="AZ126" s="3080">
        <f t="shared" si="234"/>
        <v>1746</v>
      </c>
      <c r="BA126" s="3086">
        <f t="shared" si="235"/>
        <v>1746</v>
      </c>
      <c r="BB126" s="3087"/>
      <c r="BC126" s="3080"/>
      <c r="BD126" s="3080"/>
      <c r="BE126" s="3080"/>
      <c r="BF126" s="3080"/>
      <c r="BG126" s="3080"/>
      <c r="BH126" s="3080"/>
      <c r="BI126" s="3080"/>
      <c r="BJ126" s="3080">
        <f t="shared" si="214"/>
        <v>6984</v>
      </c>
      <c r="BK126" s="3080"/>
      <c r="BL126" s="3080" t="s">
        <v>9164</v>
      </c>
      <c r="BM126" s="3094"/>
      <c r="BN126" s="3080">
        <f t="shared" si="198"/>
        <v>1746</v>
      </c>
      <c r="BO126" s="3080">
        <f t="shared" si="199"/>
        <v>1746</v>
      </c>
      <c r="BP126" s="3080">
        <f t="shared" si="200"/>
        <v>1746</v>
      </c>
      <c r="BQ126" s="3080">
        <f t="shared" si="201"/>
        <v>1746</v>
      </c>
      <c r="BR126" s="3080">
        <f t="shared" si="136"/>
        <v>0</v>
      </c>
      <c r="BS126" s="3088">
        <f t="shared" si="137"/>
        <v>519464</v>
      </c>
      <c r="BT126" s="3088">
        <f t="shared" ref="BT126:BW126" si="246">BT125-BN126</f>
        <v>110981.166666666</v>
      </c>
      <c r="BU126" s="3088">
        <f t="shared" si="246"/>
        <v>112189.166666666</v>
      </c>
      <c r="BV126" s="3088">
        <f t="shared" si="246"/>
        <v>112198.166666666</v>
      </c>
      <c r="BW126" s="3088">
        <f t="shared" si="246"/>
        <v>113584.833333333</v>
      </c>
      <c r="BX126" s="3088"/>
    </row>
    <row r="127" s="3031" customFormat="1" ht="32" customHeight="1" spans="1:76 16379:16384">
      <c r="A127" s="3063">
        <v>45728</v>
      </c>
      <c r="B127" s="3064" t="s">
        <v>77</v>
      </c>
      <c r="C127" s="3065" t="s">
        <v>78</v>
      </c>
      <c r="D127" s="3066">
        <v>4500159868</v>
      </c>
      <c r="E127" s="3091">
        <v>4401015345</v>
      </c>
      <c r="F127" s="3066" t="s">
        <v>9538</v>
      </c>
      <c r="G127" s="3098" t="s">
        <v>9519</v>
      </c>
      <c r="H127" s="3069" t="s">
        <v>9520</v>
      </c>
      <c r="I127" s="2969">
        <v>6984</v>
      </c>
      <c r="J127" s="2969">
        <v>0</v>
      </c>
      <c r="K127" s="2969">
        <v>4</v>
      </c>
      <c r="L127" s="2969">
        <f t="shared" si="203"/>
        <v>1746</v>
      </c>
      <c r="M127" s="3070">
        <v>45793</v>
      </c>
      <c r="N127" s="3070">
        <f t="shared" si="245"/>
        <v>45790</v>
      </c>
      <c r="O127" s="2996"/>
      <c r="P127" s="2996" t="s">
        <v>82</v>
      </c>
      <c r="Q127" s="3071"/>
      <c r="R127" s="3071"/>
      <c r="S127" s="3071"/>
      <c r="T127" s="3071"/>
      <c r="U127" s="3072" t="s">
        <v>3574</v>
      </c>
      <c r="V127" s="2996"/>
      <c r="W127" s="3073" t="s">
        <v>5716</v>
      </c>
      <c r="X127" s="3073"/>
      <c r="Y127" s="3073" t="s">
        <v>9521</v>
      </c>
      <c r="Z127" s="3073"/>
      <c r="AA127" s="3073"/>
      <c r="AB127" s="3091" t="s">
        <v>9522</v>
      </c>
      <c r="AC127" s="2969" t="s">
        <v>338</v>
      </c>
      <c r="AD127" s="3075">
        <v>16.8851</v>
      </c>
      <c r="AE127" s="3076">
        <f t="shared" si="225"/>
        <v>29481.3846</v>
      </c>
      <c r="AF127" s="2969"/>
      <c r="AG127" s="3098" t="s">
        <v>9519</v>
      </c>
      <c r="AH127" s="2969" t="s">
        <v>416</v>
      </c>
      <c r="AI127" s="3108"/>
      <c r="AJ127" s="3078"/>
      <c r="AK127" s="3108"/>
      <c r="AL127" s="3078"/>
      <c r="AM127" s="3093"/>
      <c r="AN127" s="3080">
        <f t="shared" si="238"/>
        <v>6984</v>
      </c>
      <c r="AO127" s="3096"/>
      <c r="AP127" s="3080"/>
      <c r="AQ127" s="3080"/>
      <c r="AR127" s="3080"/>
      <c r="AS127" s="3080">
        <f t="shared" si="239"/>
        <v>6984</v>
      </c>
      <c r="AT127" s="3121"/>
      <c r="AU127" s="3113"/>
      <c r="AV127" s="3113"/>
      <c r="AW127" s="3122"/>
      <c r="AX127" s="3085">
        <f t="shared" si="196"/>
        <v>1746</v>
      </c>
      <c r="AY127" s="3080">
        <f t="shared" si="233"/>
        <v>1746</v>
      </c>
      <c r="AZ127" s="3080">
        <f t="shared" si="234"/>
        <v>1746</v>
      </c>
      <c r="BA127" s="3086">
        <f t="shared" si="235"/>
        <v>1746</v>
      </c>
      <c r="BB127" s="3087"/>
      <c r="BC127" s="3080"/>
      <c r="BD127" s="3080"/>
      <c r="BE127" s="3080"/>
      <c r="BF127" s="3080"/>
      <c r="BG127" s="3080"/>
      <c r="BH127" s="3080"/>
      <c r="BI127" s="3080"/>
      <c r="BJ127" s="3080">
        <f t="shared" si="214"/>
        <v>6984</v>
      </c>
      <c r="BK127" s="3080"/>
      <c r="BL127" s="3080" t="s">
        <v>9164</v>
      </c>
      <c r="BM127" s="3094"/>
      <c r="BN127" s="3080">
        <f t="shared" si="198"/>
        <v>1746</v>
      </c>
      <c r="BO127" s="3080">
        <f t="shared" si="199"/>
        <v>1746</v>
      </c>
      <c r="BP127" s="3080">
        <f t="shared" si="200"/>
        <v>1746</v>
      </c>
      <c r="BQ127" s="3080">
        <f t="shared" si="201"/>
        <v>1746</v>
      </c>
      <c r="BR127" s="3080">
        <f t="shared" si="136"/>
        <v>0</v>
      </c>
      <c r="BS127" s="3088">
        <f t="shared" si="137"/>
        <v>519464</v>
      </c>
      <c r="BT127" s="3088">
        <f t="shared" ref="BT127:BW127" si="247">BT126-BN127</f>
        <v>109235.166666666</v>
      </c>
      <c r="BU127" s="3088">
        <f t="shared" si="247"/>
        <v>110443.166666666</v>
      </c>
      <c r="BV127" s="3088">
        <f t="shared" si="247"/>
        <v>110452.166666666</v>
      </c>
      <c r="BW127" s="3088">
        <f t="shared" si="247"/>
        <v>111838.833333333</v>
      </c>
      <c r="BX127" s="3088"/>
    </row>
    <row r="128" s="3031" customFormat="1" ht="32" customHeight="1" spans="1:76 16379:16384">
      <c r="A128" s="3063">
        <v>45749</v>
      </c>
      <c r="B128" s="3064" t="s">
        <v>6786</v>
      </c>
      <c r="C128" s="3065" t="s">
        <v>6781</v>
      </c>
      <c r="D128" s="3066">
        <v>4500162375</v>
      </c>
      <c r="E128" s="3091">
        <v>20106</v>
      </c>
      <c r="F128" s="3066" t="s">
        <v>9539</v>
      </c>
      <c r="G128" s="3098" t="s">
        <v>9355</v>
      </c>
      <c r="H128" s="3069" t="s">
        <v>9356</v>
      </c>
      <c r="I128" s="2969">
        <v>200</v>
      </c>
      <c r="J128" s="2969">
        <v>0</v>
      </c>
      <c r="K128" s="2969">
        <v>8</v>
      </c>
      <c r="L128" s="2969">
        <f t="shared" si="203"/>
        <v>25</v>
      </c>
      <c r="M128" s="3070">
        <v>45797</v>
      </c>
      <c r="N128" s="3070">
        <v>45793</v>
      </c>
      <c r="O128" s="2996"/>
      <c r="P128" s="2996" t="s">
        <v>82</v>
      </c>
      <c r="Q128" s="3071"/>
      <c r="R128" s="3071"/>
      <c r="S128" s="3071"/>
      <c r="T128" s="3071"/>
      <c r="U128" s="3072" t="s">
        <v>1180</v>
      </c>
      <c r="V128" s="2996"/>
      <c r="W128" s="3073" t="s">
        <v>1322</v>
      </c>
      <c r="X128" s="3073"/>
      <c r="Y128" s="3073" t="s">
        <v>9540</v>
      </c>
      <c r="Z128" s="3073"/>
      <c r="AA128" s="3073"/>
      <c r="AB128" s="3091" t="s">
        <v>9541</v>
      </c>
      <c r="AC128" s="2969" t="s">
        <v>4665</v>
      </c>
      <c r="AD128" s="3075">
        <v>4.1708</v>
      </c>
      <c r="AE128" s="3076">
        <f t="shared" ref="AE128:AE140" si="248">AD128*I128</f>
        <v>834.16</v>
      </c>
      <c r="AF128" s="2969"/>
      <c r="AG128" s="2969" t="s">
        <v>9359</v>
      </c>
      <c r="AH128" s="2969" t="s">
        <v>416</v>
      </c>
      <c r="AI128" s="3108"/>
      <c r="AJ128" s="3078"/>
      <c r="AK128" s="3108"/>
      <c r="AL128" s="3078">
        <f t="shared" ref="AL128:AL134" si="249">I128</f>
        <v>200</v>
      </c>
      <c r="AM128" s="3093"/>
      <c r="AN128" s="3080"/>
      <c r="AO128" s="3096"/>
      <c r="AP128" s="3080">
        <f t="shared" ref="AP128:AP137" si="250">I128</f>
        <v>200</v>
      </c>
      <c r="AQ128" s="3080"/>
      <c r="AR128" s="3080"/>
      <c r="AS128" s="3080"/>
      <c r="AT128" s="3121"/>
      <c r="AU128" s="3113"/>
      <c r="AV128" s="3113"/>
      <c r="AW128" s="3122"/>
      <c r="AX128" s="3085">
        <f t="shared" si="196"/>
        <v>50</v>
      </c>
      <c r="AY128" s="3080">
        <f t="shared" si="233"/>
        <v>50</v>
      </c>
      <c r="AZ128" s="3080">
        <f t="shared" si="234"/>
        <v>50</v>
      </c>
      <c r="BA128" s="3086">
        <f t="shared" si="235"/>
        <v>50</v>
      </c>
      <c r="BB128" s="3087"/>
      <c r="BC128" s="3080"/>
      <c r="BD128" s="3080"/>
      <c r="BE128" s="3080"/>
      <c r="BF128" s="3080"/>
      <c r="BG128" s="3080"/>
      <c r="BH128" s="3080"/>
      <c r="BI128" s="3080"/>
      <c r="BJ128" s="3080"/>
      <c r="BK128" s="3080">
        <f>I128</f>
        <v>200</v>
      </c>
      <c r="BL128" s="3080" t="s">
        <v>9164</v>
      </c>
      <c r="BM128" s="3094"/>
      <c r="BN128" s="3080">
        <f t="shared" si="198"/>
        <v>50</v>
      </c>
      <c r="BO128" s="3080">
        <f t="shared" si="199"/>
        <v>50</v>
      </c>
      <c r="BP128" s="3088">
        <f t="shared" si="200"/>
        <v>50</v>
      </c>
      <c r="BQ128" s="3088">
        <f t="shared" si="201"/>
        <v>50</v>
      </c>
      <c r="BR128" s="3080">
        <f t="shared" si="136"/>
        <v>0</v>
      </c>
      <c r="BS128" s="3088">
        <f t="shared" si="137"/>
        <v>512680</v>
      </c>
      <c r="BT128" s="3088">
        <f t="shared" ref="BT128:BW128" si="251">BT131-BN128</f>
        <v>103947.166666666</v>
      </c>
      <c r="BU128" s="3088">
        <f t="shared" si="251"/>
        <v>105155.166666666</v>
      </c>
      <c r="BV128" s="3088">
        <f t="shared" si="251"/>
        <v>105164.166666666</v>
      </c>
      <c r="BW128" s="3088">
        <f t="shared" si="251"/>
        <v>106550.833333333</v>
      </c>
      <c r="BX128" s="3088"/>
    </row>
    <row r="129" s="3031" customFormat="1" ht="32" customHeight="1" spans="1:76 16376:16384">
      <c r="A129" s="3063">
        <v>45728</v>
      </c>
      <c r="B129" s="3064" t="s">
        <v>77</v>
      </c>
      <c r="C129" s="3065" t="s">
        <v>78</v>
      </c>
      <c r="D129" s="3066">
        <v>4500159868</v>
      </c>
      <c r="E129" s="3091">
        <v>4401015357</v>
      </c>
      <c r="F129" s="3066" t="s">
        <v>9542</v>
      </c>
      <c r="G129" s="3098" t="s">
        <v>9519</v>
      </c>
      <c r="H129" s="3069" t="s">
        <v>9520</v>
      </c>
      <c r="I129" s="2969">
        <v>6984</v>
      </c>
      <c r="J129" s="2969">
        <v>0</v>
      </c>
      <c r="K129" s="2969">
        <v>4</v>
      </c>
      <c r="L129" s="2969">
        <f t="shared" si="203"/>
        <v>1746</v>
      </c>
      <c r="M129" s="3070">
        <v>45796</v>
      </c>
      <c r="N129" s="3070">
        <f t="shared" si="245"/>
        <v>45793</v>
      </c>
      <c r="O129" s="2996"/>
      <c r="P129" s="2996" t="s">
        <v>82</v>
      </c>
      <c r="Q129" s="3071"/>
      <c r="R129" s="3071"/>
      <c r="S129" s="3071"/>
      <c r="T129" s="3071"/>
      <c r="U129" s="3072" t="s">
        <v>1180</v>
      </c>
      <c r="V129" s="2996"/>
      <c r="W129" s="3073" t="s">
        <v>5716</v>
      </c>
      <c r="X129" s="3073"/>
      <c r="Y129" s="3073" t="s">
        <v>9521</v>
      </c>
      <c r="Z129" s="3073"/>
      <c r="AA129" s="3073"/>
      <c r="AB129" s="3091" t="s">
        <v>9522</v>
      </c>
      <c r="AC129" s="2969" t="s">
        <v>338</v>
      </c>
      <c r="AD129" s="3075">
        <v>16.8851</v>
      </c>
      <c r="AE129" s="3076">
        <f t="shared" ref="AE129:AE131" si="252">AD129*L129</f>
        <v>29481.3846</v>
      </c>
      <c r="AF129" s="2969"/>
      <c r="AG129" s="3098" t="s">
        <v>9519</v>
      </c>
      <c r="AH129" s="2969" t="s">
        <v>416</v>
      </c>
      <c r="AI129" s="3108"/>
      <c r="AJ129" s="3078"/>
      <c r="AK129" s="3108"/>
      <c r="AL129" s="3078"/>
      <c r="AM129" s="3093"/>
      <c r="AN129" s="3080">
        <f t="shared" ref="AN129:AN131" si="253">I129</f>
        <v>6984</v>
      </c>
      <c r="AO129" s="3096"/>
      <c r="AP129" s="3080"/>
      <c r="AQ129" s="3080"/>
      <c r="AR129" s="3080"/>
      <c r="AS129" s="3080">
        <f t="shared" ref="AS129:AS131" si="254">I129</f>
        <v>6984</v>
      </c>
      <c r="AT129" s="3121"/>
      <c r="AU129" s="3113"/>
      <c r="AV129" s="3113"/>
      <c r="AW129" s="3122"/>
      <c r="AX129" s="3085">
        <f t="shared" si="196"/>
        <v>1746</v>
      </c>
      <c r="AY129" s="3080">
        <f t="shared" si="233"/>
        <v>1746</v>
      </c>
      <c r="AZ129" s="3080">
        <f t="shared" si="234"/>
        <v>1746</v>
      </c>
      <c r="BA129" s="3086">
        <f t="shared" si="235"/>
        <v>1746</v>
      </c>
      <c r="BB129" s="3087"/>
      <c r="BC129" s="3080"/>
      <c r="BD129" s="3080"/>
      <c r="BE129" s="3080"/>
      <c r="BF129" s="3080"/>
      <c r="BG129" s="3080"/>
      <c r="BH129" s="3080"/>
      <c r="BI129" s="3080"/>
      <c r="BJ129" s="3080">
        <f t="shared" ref="BJ129:BJ134" si="255">I129</f>
        <v>6984</v>
      </c>
      <c r="BK129" s="3080"/>
      <c r="BL129" s="3080" t="s">
        <v>9164</v>
      </c>
      <c r="BM129" s="3094"/>
      <c r="BN129" s="3080">
        <f t="shared" si="198"/>
        <v>1746</v>
      </c>
      <c r="BO129" s="3080">
        <f t="shared" si="199"/>
        <v>1746</v>
      </c>
      <c r="BP129" s="3080">
        <f t="shared" si="200"/>
        <v>1746</v>
      </c>
      <c r="BQ129" s="3080">
        <f t="shared" si="201"/>
        <v>1746</v>
      </c>
      <c r="BR129" s="3080">
        <f t="shared" si="136"/>
        <v>0</v>
      </c>
      <c r="BS129" s="3088">
        <f t="shared" si="137"/>
        <v>519464</v>
      </c>
      <c r="BT129" s="3088">
        <f t="shared" ref="BT129:BW129" si="256">BT127-BN129</f>
        <v>107489.166666666</v>
      </c>
      <c r="BU129" s="3088">
        <f t="shared" si="256"/>
        <v>108697.166666666</v>
      </c>
      <c r="BV129" s="3088">
        <f t="shared" si="256"/>
        <v>108706.166666666</v>
      </c>
      <c r="BW129" s="3088">
        <f t="shared" si="256"/>
        <v>110092.833333333</v>
      </c>
      <c r="BX129" s="3088"/>
    </row>
    <row r="130" s="3031" customFormat="1" ht="32" customHeight="1" spans="1:76 16376:16384">
      <c r="A130" s="3063">
        <v>45728</v>
      </c>
      <c r="B130" s="3064" t="s">
        <v>77</v>
      </c>
      <c r="C130" s="3065" t="s">
        <v>78</v>
      </c>
      <c r="D130" s="3066">
        <v>4500159868</v>
      </c>
      <c r="E130" s="3091">
        <v>4401015342</v>
      </c>
      <c r="F130" s="3066" t="s">
        <v>9543</v>
      </c>
      <c r="G130" s="3098" t="s">
        <v>9519</v>
      </c>
      <c r="H130" s="3069" t="s">
        <v>9520</v>
      </c>
      <c r="I130" s="2969">
        <v>6984</v>
      </c>
      <c r="J130" s="2969">
        <v>0</v>
      </c>
      <c r="K130" s="2969">
        <v>4</v>
      </c>
      <c r="L130" s="2969">
        <f t="shared" si="203"/>
        <v>1746</v>
      </c>
      <c r="M130" s="3070">
        <v>45796</v>
      </c>
      <c r="N130" s="3070">
        <f>M130-4</f>
        <v>45792</v>
      </c>
      <c r="O130" s="2996"/>
      <c r="P130" s="2996" t="s">
        <v>82</v>
      </c>
      <c r="Q130" s="3071"/>
      <c r="R130" s="3071"/>
      <c r="S130" s="3071"/>
      <c r="T130" s="3071"/>
      <c r="U130" s="3072" t="s">
        <v>1180</v>
      </c>
      <c r="V130" s="2996"/>
      <c r="W130" s="3073" t="s">
        <v>5716</v>
      </c>
      <c r="X130" s="3073"/>
      <c r="Y130" s="3073" t="s">
        <v>9521</v>
      </c>
      <c r="Z130" s="3073"/>
      <c r="AA130" s="3073"/>
      <c r="AB130" s="3091" t="s">
        <v>9522</v>
      </c>
      <c r="AC130" s="2969" t="s">
        <v>338</v>
      </c>
      <c r="AD130" s="3075">
        <v>16.8851</v>
      </c>
      <c r="AE130" s="3076">
        <f t="shared" si="252"/>
        <v>29481.3846</v>
      </c>
      <c r="AF130" s="2969"/>
      <c r="AG130" s="3098" t="s">
        <v>9519</v>
      </c>
      <c r="AH130" s="2969" t="s">
        <v>416</v>
      </c>
      <c r="AI130" s="3108"/>
      <c r="AJ130" s="3078"/>
      <c r="AK130" s="3108"/>
      <c r="AL130" s="3078"/>
      <c r="AM130" s="3093"/>
      <c r="AN130" s="3080">
        <f t="shared" si="253"/>
        <v>6984</v>
      </c>
      <c r="AO130" s="3096"/>
      <c r="AP130" s="3080"/>
      <c r="AQ130" s="3080"/>
      <c r="AR130" s="3080"/>
      <c r="AS130" s="3080">
        <f t="shared" si="254"/>
        <v>6984</v>
      </c>
      <c r="AT130" s="3121"/>
      <c r="AU130" s="3113"/>
      <c r="AV130" s="3113"/>
      <c r="AW130" s="3122"/>
      <c r="AX130" s="3085">
        <f t="shared" si="196"/>
        <v>1746</v>
      </c>
      <c r="AY130" s="3080">
        <f t="shared" si="233"/>
        <v>1746</v>
      </c>
      <c r="AZ130" s="3080">
        <f t="shared" si="234"/>
        <v>1746</v>
      </c>
      <c r="BA130" s="3086">
        <f t="shared" si="235"/>
        <v>1746</v>
      </c>
      <c r="BB130" s="3087"/>
      <c r="BC130" s="3080"/>
      <c r="BD130" s="3080"/>
      <c r="BE130" s="3080"/>
      <c r="BF130" s="3080"/>
      <c r="BG130" s="3080"/>
      <c r="BH130" s="3080"/>
      <c r="BI130" s="3080"/>
      <c r="BJ130" s="3080">
        <f t="shared" si="255"/>
        <v>6984</v>
      </c>
      <c r="BK130" s="3080"/>
      <c r="BL130" s="3080" t="s">
        <v>9164</v>
      </c>
      <c r="BM130" s="3094"/>
      <c r="BN130" s="3080">
        <f t="shared" si="198"/>
        <v>1746</v>
      </c>
      <c r="BO130" s="3080">
        <f t="shared" si="199"/>
        <v>1746</v>
      </c>
      <c r="BP130" s="3080">
        <f t="shared" si="200"/>
        <v>1746</v>
      </c>
      <c r="BQ130" s="3080">
        <f t="shared" si="201"/>
        <v>1746</v>
      </c>
      <c r="BR130" s="3080">
        <f t="shared" si="136"/>
        <v>0</v>
      </c>
      <c r="BS130" s="3088">
        <f t="shared" si="137"/>
        <v>519464</v>
      </c>
      <c r="BT130" s="3088">
        <f t="shared" ref="BT130:BW130" si="257">BT129-BN130</f>
        <v>105743.166666666</v>
      </c>
      <c r="BU130" s="3088">
        <f t="shared" si="257"/>
        <v>106951.166666666</v>
      </c>
      <c r="BV130" s="3088">
        <f t="shared" si="257"/>
        <v>106960.166666666</v>
      </c>
      <c r="BW130" s="3088">
        <f t="shared" si="257"/>
        <v>108346.833333333</v>
      </c>
      <c r="BX130" s="3088"/>
    </row>
    <row r="131" s="3031" customFormat="1" ht="32" customHeight="1" spans="1:76 16376:16384">
      <c r="A131" s="3063">
        <v>45728</v>
      </c>
      <c r="B131" s="3064" t="s">
        <v>77</v>
      </c>
      <c r="C131" s="3065" t="s">
        <v>78</v>
      </c>
      <c r="D131" s="3066">
        <v>4500159868</v>
      </c>
      <c r="E131" s="3091">
        <v>4401015348</v>
      </c>
      <c r="F131" s="3066" t="s">
        <v>9544</v>
      </c>
      <c r="G131" s="3098" t="s">
        <v>9519</v>
      </c>
      <c r="H131" s="3069" t="s">
        <v>9520</v>
      </c>
      <c r="I131" s="2969">
        <v>6984</v>
      </c>
      <c r="J131" s="2969">
        <v>0</v>
      </c>
      <c r="K131" s="2969">
        <v>4</v>
      </c>
      <c r="L131" s="2969">
        <f t="shared" si="203"/>
        <v>1746</v>
      </c>
      <c r="M131" s="3070">
        <v>45797</v>
      </c>
      <c r="N131" s="3070">
        <f>M131-4</f>
        <v>45793</v>
      </c>
      <c r="O131" s="2996"/>
      <c r="P131" s="2996" t="s">
        <v>82</v>
      </c>
      <c r="Q131" s="3071"/>
      <c r="R131" s="3071"/>
      <c r="S131" s="3071"/>
      <c r="T131" s="3071"/>
      <c r="U131" s="3072" t="s">
        <v>1208</v>
      </c>
      <c r="V131" s="2996"/>
      <c r="W131" s="3073" t="s">
        <v>5716</v>
      </c>
      <c r="X131" s="3073"/>
      <c r="Y131" s="3073" t="s">
        <v>9521</v>
      </c>
      <c r="Z131" s="3073"/>
      <c r="AA131" s="3073"/>
      <c r="AB131" s="3091" t="s">
        <v>9522</v>
      </c>
      <c r="AC131" s="2969" t="s">
        <v>338</v>
      </c>
      <c r="AD131" s="3075">
        <v>16.8851</v>
      </c>
      <c r="AE131" s="3076">
        <f t="shared" si="252"/>
        <v>29481.3846</v>
      </c>
      <c r="AF131" s="2969"/>
      <c r="AG131" s="3098" t="s">
        <v>9519</v>
      </c>
      <c r="AH131" s="2969" t="s">
        <v>416</v>
      </c>
      <c r="AI131" s="3108"/>
      <c r="AJ131" s="3078"/>
      <c r="AK131" s="3108"/>
      <c r="AL131" s="3078"/>
      <c r="AM131" s="3093"/>
      <c r="AN131" s="3080">
        <f t="shared" si="253"/>
        <v>6984</v>
      </c>
      <c r="AO131" s="3096"/>
      <c r="AP131" s="3080"/>
      <c r="AQ131" s="3080"/>
      <c r="AR131" s="3080"/>
      <c r="AS131" s="3080">
        <f t="shared" si="254"/>
        <v>6984</v>
      </c>
      <c r="AT131" s="3121"/>
      <c r="AU131" s="3113"/>
      <c r="AV131" s="3113"/>
      <c r="AW131" s="3122"/>
      <c r="AX131" s="3085">
        <f t="shared" si="196"/>
        <v>1746</v>
      </c>
      <c r="AY131" s="3080">
        <f t="shared" si="233"/>
        <v>1746</v>
      </c>
      <c r="AZ131" s="3080">
        <f t="shared" si="234"/>
        <v>1746</v>
      </c>
      <c r="BA131" s="3086">
        <f t="shared" si="235"/>
        <v>1746</v>
      </c>
      <c r="BB131" s="3087"/>
      <c r="BC131" s="3080"/>
      <c r="BD131" s="3080"/>
      <c r="BE131" s="3080"/>
      <c r="BF131" s="3080"/>
      <c r="BG131" s="3080"/>
      <c r="BH131" s="3080"/>
      <c r="BI131" s="3080"/>
      <c r="BJ131" s="3080">
        <f t="shared" si="255"/>
        <v>6984</v>
      </c>
      <c r="BK131" s="3080"/>
      <c r="BL131" s="3080" t="s">
        <v>9164</v>
      </c>
      <c r="BM131" s="3094"/>
      <c r="BN131" s="3080">
        <f t="shared" si="198"/>
        <v>1746</v>
      </c>
      <c r="BO131" s="3080">
        <f t="shared" si="199"/>
        <v>1746</v>
      </c>
      <c r="BP131" s="3080">
        <f t="shared" si="200"/>
        <v>1746</v>
      </c>
      <c r="BQ131" s="3080">
        <f t="shared" si="201"/>
        <v>1746</v>
      </c>
      <c r="BR131" s="3080">
        <f t="shared" si="136"/>
        <v>0</v>
      </c>
      <c r="BS131" s="3088">
        <f t="shared" si="137"/>
        <v>519464</v>
      </c>
      <c r="BT131" s="3088">
        <f t="shared" ref="BT131:BW131" si="258">BT130-BN131</f>
        <v>103997.166666666</v>
      </c>
      <c r="BU131" s="3088">
        <f t="shared" si="258"/>
        <v>105205.166666666</v>
      </c>
      <c r="BV131" s="3088">
        <f t="shared" si="258"/>
        <v>105214.166666666</v>
      </c>
      <c r="BW131" s="3088">
        <f t="shared" si="258"/>
        <v>106600.833333333</v>
      </c>
      <c r="BX131" s="3088"/>
    </row>
    <row r="132" s="3031" customFormat="1" ht="32" customHeight="1" spans="1:76 16376:16384">
      <c r="A132" s="3063">
        <v>45757</v>
      </c>
      <c r="B132" s="3064" t="s">
        <v>2755</v>
      </c>
      <c r="C132" s="3065" t="s">
        <v>2756</v>
      </c>
      <c r="D132" s="3066">
        <v>4500163149</v>
      </c>
      <c r="E132" s="3091" t="s">
        <v>3627</v>
      </c>
      <c r="F132" s="3066" t="s">
        <v>9545</v>
      </c>
      <c r="G132" s="3098" t="s">
        <v>9154</v>
      </c>
      <c r="H132" s="3069" t="s">
        <v>9282</v>
      </c>
      <c r="I132" s="2969">
        <v>600</v>
      </c>
      <c r="J132" s="2969">
        <v>0</v>
      </c>
      <c r="K132" s="2969">
        <v>8</v>
      </c>
      <c r="L132" s="2969">
        <f t="shared" si="203"/>
        <v>75</v>
      </c>
      <c r="M132" s="3070">
        <v>45799</v>
      </c>
      <c r="N132" s="3070">
        <v>45796</v>
      </c>
      <c r="O132" s="2996"/>
      <c r="P132" s="2996" t="s">
        <v>82</v>
      </c>
      <c r="Q132" s="3071"/>
      <c r="R132" s="3071"/>
      <c r="S132" s="3071"/>
      <c r="T132" s="3071"/>
      <c r="U132" s="3072" t="s">
        <v>5881</v>
      </c>
      <c r="V132" s="2996"/>
      <c r="W132" s="3073" t="s">
        <v>1216</v>
      </c>
      <c r="X132" s="3073"/>
      <c r="Y132" s="3073" t="s">
        <v>3629</v>
      </c>
      <c r="Z132" s="3073"/>
      <c r="AA132" s="3073"/>
      <c r="AB132" s="3091" t="s">
        <v>9546</v>
      </c>
      <c r="AC132" s="2969" t="s">
        <v>578</v>
      </c>
      <c r="AD132" s="3075">
        <v>4.0075</v>
      </c>
      <c r="AE132" s="3076">
        <f t="shared" si="248"/>
        <v>2404.5</v>
      </c>
      <c r="AF132" s="2969"/>
      <c r="AG132" s="3098" t="s">
        <v>9239</v>
      </c>
      <c r="AH132" s="2969" t="s">
        <v>416</v>
      </c>
      <c r="AI132" s="3108"/>
      <c r="AJ132" s="3078"/>
      <c r="AK132" s="3112"/>
      <c r="AL132" s="3078">
        <f t="shared" si="249"/>
        <v>600</v>
      </c>
      <c r="AM132" s="3093"/>
      <c r="AN132" s="3080"/>
      <c r="AO132" s="3113"/>
      <c r="AP132" s="3080">
        <f t="shared" si="250"/>
        <v>600</v>
      </c>
      <c r="AQ132" s="3080"/>
      <c r="AR132" s="3080"/>
      <c r="AS132" s="3080"/>
      <c r="AT132" s="3123"/>
      <c r="AU132" s="3094"/>
      <c r="AV132" s="3094"/>
      <c r="AW132" s="3124"/>
      <c r="AX132" s="3085">
        <f t="shared" si="196"/>
        <v>150</v>
      </c>
      <c r="AY132" s="3080">
        <f t="shared" si="233"/>
        <v>150</v>
      </c>
      <c r="AZ132" s="3080">
        <f t="shared" ref="AZ132:AZ137" si="259">I132/4</f>
        <v>150</v>
      </c>
      <c r="BA132" s="3086">
        <f t="shared" ref="BA132:BA137" si="260">I132/4</f>
        <v>150</v>
      </c>
      <c r="BB132" s="3087"/>
      <c r="BC132" s="3080"/>
      <c r="BD132" s="3080"/>
      <c r="BE132" s="3080"/>
      <c r="BF132" s="3080"/>
      <c r="BG132" s="3080"/>
      <c r="BH132" s="3080"/>
      <c r="BI132" s="3080"/>
      <c r="BJ132" s="3080">
        <f t="shared" si="255"/>
        <v>600</v>
      </c>
      <c r="BK132" s="3080"/>
      <c r="BL132" s="3080" t="s">
        <v>9164</v>
      </c>
      <c r="BM132" s="3094"/>
      <c r="BN132" s="3080">
        <f t="shared" si="198"/>
        <v>150</v>
      </c>
      <c r="BO132" s="3080">
        <f t="shared" si="199"/>
        <v>150</v>
      </c>
      <c r="BP132" s="3080">
        <f t="shared" si="200"/>
        <v>150</v>
      </c>
      <c r="BQ132" s="3088">
        <f t="shared" si="201"/>
        <v>150</v>
      </c>
      <c r="BR132" s="3080">
        <f t="shared" ref="BR132:BR158" si="261">BN132+BO132+BP132+BQ132-I132</f>
        <v>0</v>
      </c>
      <c r="BS132" s="3088">
        <f t="shared" ref="BS132:BS149" si="262">BN132+BO132+BP132+BQ132+$BS$369</f>
        <v>513080</v>
      </c>
      <c r="BT132" s="3088">
        <f t="shared" ref="BT132:BW132" si="263">BT134-BN132</f>
        <v>100797.166666666</v>
      </c>
      <c r="BU132" s="3088">
        <f t="shared" si="263"/>
        <v>102005.166666666</v>
      </c>
      <c r="BV132" s="3088">
        <f t="shared" si="263"/>
        <v>102014.166666666</v>
      </c>
      <c r="BW132" s="3088">
        <f t="shared" si="263"/>
        <v>103400.833333333</v>
      </c>
      <c r="BX132" s="3088"/>
    </row>
    <row r="133" s="3031" customFormat="1" ht="32" customHeight="1" spans="1:76 16376:16384">
      <c r="A133" s="3063">
        <v>45734</v>
      </c>
      <c r="B133" s="3064" t="s">
        <v>3608</v>
      </c>
      <c r="C133" s="3065" t="s">
        <v>738</v>
      </c>
      <c r="D133" s="3066">
        <v>4500160573</v>
      </c>
      <c r="E133" s="3091">
        <v>5251215536</v>
      </c>
      <c r="F133" s="3066" t="s">
        <v>9547</v>
      </c>
      <c r="G133" s="3098" t="s">
        <v>9154</v>
      </c>
      <c r="H133" s="3069" t="s">
        <v>9282</v>
      </c>
      <c r="I133" s="2969">
        <v>6000</v>
      </c>
      <c r="J133" s="2969">
        <v>0</v>
      </c>
      <c r="K133" s="2969">
        <v>8</v>
      </c>
      <c r="L133" s="2969">
        <f t="shared" si="203"/>
        <v>750</v>
      </c>
      <c r="M133" s="3070">
        <v>45798</v>
      </c>
      <c r="N133" s="3070">
        <v>45794</v>
      </c>
      <c r="O133" s="2996"/>
      <c r="P133" s="2996" t="s">
        <v>82</v>
      </c>
      <c r="Q133" s="3071"/>
      <c r="R133" s="3071"/>
      <c r="S133" s="3071"/>
      <c r="T133" s="3071"/>
      <c r="U133" s="3072" t="s">
        <v>9548</v>
      </c>
      <c r="V133" s="2996"/>
      <c r="W133" s="3073" t="s">
        <v>3610</v>
      </c>
      <c r="X133" s="3073"/>
      <c r="Y133" s="3073" t="s">
        <v>9549</v>
      </c>
      <c r="Z133" s="3073"/>
      <c r="AA133" s="3073" t="s">
        <v>8552</v>
      </c>
      <c r="AB133" s="3091" t="s">
        <v>9550</v>
      </c>
      <c r="AC133" s="2969" t="s">
        <v>1257</v>
      </c>
      <c r="AD133" s="3075">
        <v>4.0914</v>
      </c>
      <c r="AE133" s="3076">
        <f t="shared" si="248"/>
        <v>24548.4</v>
      </c>
      <c r="AF133" s="2969"/>
      <c r="AG133" s="3089" t="s">
        <v>9239</v>
      </c>
      <c r="AH133" s="2969" t="s">
        <v>416</v>
      </c>
      <c r="AI133" s="3108"/>
      <c r="AJ133" s="3078"/>
      <c r="AK133" s="3108"/>
      <c r="AL133" s="3078">
        <f t="shared" si="249"/>
        <v>6000</v>
      </c>
      <c r="AM133" s="3093"/>
      <c r="AN133" s="3080"/>
      <c r="AO133" s="3113"/>
      <c r="AP133" s="3080">
        <f t="shared" si="250"/>
        <v>6000</v>
      </c>
      <c r="AQ133" s="3080"/>
      <c r="AR133" s="3080"/>
      <c r="AS133" s="3080"/>
      <c r="AT133" s="3121"/>
      <c r="AU133" s="3113"/>
      <c r="AV133" s="3113"/>
      <c r="AW133" s="3122"/>
      <c r="AX133" s="3085">
        <f t="shared" si="196"/>
        <v>1500</v>
      </c>
      <c r="AY133" s="3080">
        <f t="shared" si="233"/>
        <v>1500</v>
      </c>
      <c r="AZ133" s="3080">
        <f t="shared" si="259"/>
        <v>1500</v>
      </c>
      <c r="BA133" s="3086">
        <f t="shared" si="260"/>
        <v>1500</v>
      </c>
      <c r="BB133" s="3087"/>
      <c r="BC133" s="3080"/>
      <c r="BD133" s="3080"/>
      <c r="BE133" s="3080"/>
      <c r="BF133" s="3080"/>
      <c r="BG133" s="3080"/>
      <c r="BH133" s="3080"/>
      <c r="BI133" s="3080"/>
      <c r="BJ133" s="3080">
        <f t="shared" si="255"/>
        <v>6000</v>
      </c>
      <c r="BK133" s="3080"/>
      <c r="BL133" s="3080" t="s">
        <v>9164</v>
      </c>
      <c r="BM133" s="3094"/>
      <c r="BN133" s="3080">
        <f t="shared" si="198"/>
        <v>1500</v>
      </c>
      <c r="BO133" s="3080">
        <f t="shared" si="199"/>
        <v>1500</v>
      </c>
      <c r="BP133" s="3080">
        <f t="shared" si="200"/>
        <v>1500</v>
      </c>
      <c r="BQ133" s="3088">
        <f t="shared" si="201"/>
        <v>1500</v>
      </c>
      <c r="BR133" s="3080">
        <f t="shared" si="261"/>
        <v>0</v>
      </c>
      <c r="BS133" s="3088">
        <f t="shared" si="262"/>
        <v>518480</v>
      </c>
      <c r="BT133" s="3088">
        <f t="shared" ref="BT133:BW133" si="264">BT128-BN133</f>
        <v>102447.166666666</v>
      </c>
      <c r="BU133" s="3088">
        <f t="shared" si="264"/>
        <v>103655.166666666</v>
      </c>
      <c r="BV133" s="3088">
        <f t="shared" si="264"/>
        <v>103664.166666666</v>
      </c>
      <c r="BW133" s="3088">
        <f t="shared" si="264"/>
        <v>105050.833333333</v>
      </c>
      <c r="BX133" s="3088"/>
    </row>
    <row r="134" s="3031" customFormat="1" ht="32" customHeight="1" spans="1:76 16376:16384">
      <c r="A134" s="3063">
        <v>45734</v>
      </c>
      <c r="B134" s="3064" t="s">
        <v>3608</v>
      </c>
      <c r="C134" s="3065" t="s">
        <v>738</v>
      </c>
      <c r="D134" s="3066">
        <v>4500160573</v>
      </c>
      <c r="E134" s="3091">
        <v>5251215537</v>
      </c>
      <c r="F134" s="3066" t="s">
        <v>9551</v>
      </c>
      <c r="G134" s="3098" t="s">
        <v>9154</v>
      </c>
      <c r="H134" s="3069" t="s">
        <v>9282</v>
      </c>
      <c r="I134" s="2969">
        <v>6000</v>
      </c>
      <c r="J134" s="2969">
        <v>0</v>
      </c>
      <c r="K134" s="2969">
        <v>8</v>
      </c>
      <c r="L134" s="2969">
        <f t="shared" si="203"/>
        <v>750</v>
      </c>
      <c r="M134" s="3070">
        <v>45798</v>
      </c>
      <c r="N134" s="3070">
        <v>45794</v>
      </c>
      <c r="O134" s="2996"/>
      <c r="P134" s="2996" t="s">
        <v>82</v>
      </c>
      <c r="Q134" s="3071"/>
      <c r="R134" s="3071"/>
      <c r="S134" s="3071"/>
      <c r="T134" s="3071"/>
      <c r="U134" s="3072" t="s">
        <v>9548</v>
      </c>
      <c r="V134" s="2996"/>
      <c r="W134" s="3073" t="s">
        <v>3610</v>
      </c>
      <c r="X134" s="3073"/>
      <c r="Y134" s="3073" t="s">
        <v>9549</v>
      </c>
      <c r="Z134" s="3073"/>
      <c r="AA134" s="3073" t="s">
        <v>8552</v>
      </c>
      <c r="AB134" s="3091" t="s">
        <v>9550</v>
      </c>
      <c r="AC134" s="2969" t="s">
        <v>1257</v>
      </c>
      <c r="AD134" s="3075">
        <v>4.0914</v>
      </c>
      <c r="AE134" s="3076">
        <f t="shared" si="248"/>
        <v>24548.4</v>
      </c>
      <c r="AF134" s="2969"/>
      <c r="AG134" s="3089" t="s">
        <v>9239</v>
      </c>
      <c r="AH134" s="2969" t="s">
        <v>416</v>
      </c>
      <c r="AI134" s="3108"/>
      <c r="AJ134" s="3078"/>
      <c r="AK134" s="3108"/>
      <c r="AL134" s="3078">
        <f t="shared" si="249"/>
        <v>6000</v>
      </c>
      <c r="AM134" s="3093"/>
      <c r="AN134" s="3080"/>
      <c r="AO134" s="3113"/>
      <c r="AP134" s="3080">
        <f t="shared" si="250"/>
        <v>6000</v>
      </c>
      <c r="AQ134" s="3080"/>
      <c r="AR134" s="3080"/>
      <c r="AS134" s="3080"/>
      <c r="AT134" s="3121"/>
      <c r="AU134" s="3113"/>
      <c r="AV134" s="3113"/>
      <c r="AW134" s="3122"/>
      <c r="AX134" s="3085">
        <f t="shared" si="196"/>
        <v>1500</v>
      </c>
      <c r="AY134" s="3080">
        <f t="shared" si="233"/>
        <v>1500</v>
      </c>
      <c r="AZ134" s="3080">
        <f t="shared" si="259"/>
        <v>1500</v>
      </c>
      <c r="BA134" s="3086">
        <f t="shared" si="260"/>
        <v>1500</v>
      </c>
      <c r="BB134" s="3087"/>
      <c r="BC134" s="3080"/>
      <c r="BD134" s="3080"/>
      <c r="BE134" s="3080"/>
      <c r="BF134" s="3080"/>
      <c r="BG134" s="3080"/>
      <c r="BH134" s="3080"/>
      <c r="BI134" s="3080"/>
      <c r="BJ134" s="3080">
        <f t="shared" si="255"/>
        <v>6000</v>
      </c>
      <c r="BK134" s="3080"/>
      <c r="BL134" s="3080" t="s">
        <v>9164</v>
      </c>
      <c r="BM134" s="3094"/>
      <c r="BN134" s="3080">
        <f t="shared" si="198"/>
        <v>1500</v>
      </c>
      <c r="BO134" s="3080">
        <f t="shared" si="199"/>
        <v>1500</v>
      </c>
      <c r="BP134" s="3080">
        <f t="shared" si="200"/>
        <v>1500</v>
      </c>
      <c r="BQ134" s="3088">
        <f t="shared" si="201"/>
        <v>1500</v>
      </c>
      <c r="BR134" s="3080">
        <f t="shared" si="261"/>
        <v>0</v>
      </c>
      <c r="BS134" s="3088">
        <f t="shared" si="262"/>
        <v>518480</v>
      </c>
      <c r="BT134" s="3088">
        <f t="shared" ref="BT134:BW134" si="265">BT133-BN134</f>
        <v>100947.166666666</v>
      </c>
      <c r="BU134" s="3088">
        <f t="shared" si="265"/>
        <v>102155.166666666</v>
      </c>
      <c r="BV134" s="3088">
        <f t="shared" si="265"/>
        <v>102164.166666666</v>
      </c>
      <c r="BW134" s="3088">
        <f t="shared" si="265"/>
        <v>103550.833333333</v>
      </c>
      <c r="BX134" s="3088"/>
    </row>
    <row r="135" s="3031" customFormat="1" ht="32" customHeight="1" spans="1:76 16376:16384">
      <c r="A135" s="3063">
        <v>45750</v>
      </c>
      <c r="B135" s="3064" t="s">
        <v>1192</v>
      </c>
      <c r="C135" s="3065" t="s">
        <v>1193</v>
      </c>
      <c r="D135" s="3066">
        <v>4500162547</v>
      </c>
      <c r="E135" s="3091"/>
      <c r="F135" s="3066" t="s">
        <v>9552</v>
      </c>
      <c r="G135" s="3098" t="s">
        <v>9154</v>
      </c>
      <c r="H135" s="3069" t="s">
        <v>9155</v>
      </c>
      <c r="I135" s="2969">
        <v>152</v>
      </c>
      <c r="J135" s="2969">
        <v>0</v>
      </c>
      <c r="K135" s="2969">
        <v>8</v>
      </c>
      <c r="L135" s="2969">
        <f t="shared" si="203"/>
        <v>19</v>
      </c>
      <c r="M135" s="3070">
        <v>45800</v>
      </c>
      <c r="N135" s="3070">
        <v>45796</v>
      </c>
      <c r="O135" s="2996"/>
      <c r="P135" s="2996" t="s">
        <v>82</v>
      </c>
      <c r="Q135" s="3071"/>
      <c r="R135" s="3071"/>
      <c r="S135" s="3071"/>
      <c r="T135" s="3071"/>
      <c r="U135" s="3072" t="s">
        <v>1195</v>
      </c>
      <c r="V135" s="2996"/>
      <c r="W135" s="3073" t="s">
        <v>1196</v>
      </c>
      <c r="X135" s="3073"/>
      <c r="Y135" s="3073" t="s">
        <v>1197</v>
      </c>
      <c r="Z135" s="3073"/>
      <c r="AA135" s="3073"/>
      <c r="AB135" s="3091" t="s">
        <v>1198</v>
      </c>
      <c r="AC135" s="2969" t="s">
        <v>1199</v>
      </c>
      <c r="AD135" s="3075">
        <v>4.0187</v>
      </c>
      <c r="AE135" s="3076">
        <f t="shared" si="248"/>
        <v>610.8424</v>
      </c>
      <c r="AF135" s="2969"/>
      <c r="AG135" s="2969" t="s">
        <v>9154</v>
      </c>
      <c r="AH135" s="2969" t="s">
        <v>416</v>
      </c>
      <c r="AI135" s="3108"/>
      <c r="AJ135" s="3078">
        <f t="shared" ref="AJ135:AJ140" si="266">I135</f>
        <v>152</v>
      </c>
      <c r="AK135" s="3112"/>
      <c r="AL135" s="3078"/>
      <c r="AM135" s="3094"/>
      <c r="AN135" s="3080"/>
      <c r="AO135" s="3113"/>
      <c r="AP135" s="3080">
        <f t="shared" si="250"/>
        <v>152</v>
      </c>
      <c r="AQ135" s="3080"/>
      <c r="AR135" s="3080"/>
      <c r="AS135" s="3080"/>
      <c r="AT135" s="3123"/>
      <c r="AU135" s="3094"/>
      <c r="AV135" s="3094"/>
      <c r="AW135" s="3124"/>
      <c r="AX135" s="3085">
        <f t="shared" si="196"/>
        <v>38</v>
      </c>
      <c r="AY135" s="3080">
        <f t="shared" si="233"/>
        <v>38</v>
      </c>
      <c r="AZ135" s="3080">
        <f t="shared" si="259"/>
        <v>38</v>
      </c>
      <c r="BA135" s="3086">
        <f t="shared" si="260"/>
        <v>38</v>
      </c>
      <c r="BB135" s="3080"/>
      <c r="BC135" s="3080"/>
      <c r="BD135" s="3080"/>
      <c r="BE135" s="3080"/>
      <c r="BF135" s="3080"/>
      <c r="BG135" s="3080"/>
      <c r="BH135" s="3080"/>
      <c r="BI135" s="3080"/>
      <c r="BJ135" s="3080">
        <v>38</v>
      </c>
      <c r="BK135" s="3080"/>
      <c r="BL135" s="3080" t="s">
        <v>9164</v>
      </c>
      <c r="BM135" s="3125"/>
      <c r="BN135" s="3080">
        <f t="shared" si="198"/>
        <v>38</v>
      </c>
      <c r="BO135" s="3080">
        <f t="shared" si="199"/>
        <v>38</v>
      </c>
      <c r="BP135" s="3080">
        <f t="shared" si="200"/>
        <v>38</v>
      </c>
      <c r="BQ135" s="3088">
        <f t="shared" si="201"/>
        <v>38</v>
      </c>
      <c r="BR135" s="3080">
        <f t="shared" si="261"/>
        <v>0</v>
      </c>
      <c r="BS135" s="3088">
        <f t="shared" si="262"/>
        <v>512632</v>
      </c>
      <c r="BT135" s="3088">
        <f t="shared" ref="BT135:BW135" si="267">BT142-BN135</f>
        <v>97298.1666666663</v>
      </c>
      <c r="BU135" s="3088">
        <f t="shared" si="267"/>
        <v>98506.1666666663</v>
      </c>
      <c r="BV135" s="3088">
        <f t="shared" si="267"/>
        <v>98515.1666666663</v>
      </c>
      <c r="BW135" s="3088">
        <f t="shared" si="267"/>
        <v>99901.833333333</v>
      </c>
      <c r="BX135" s="3088"/>
      <c r="XEV135" s="3119"/>
      <c r="XEW135" s="3064"/>
      <c r="XEX135" s="3065"/>
      <c r="XEY135" s="3119"/>
      <c r="XEZ135" s="3064"/>
      <c r="XFA135" s="3065"/>
      <c r="XFB135" s="3119"/>
      <c r="XFC135" s="3064"/>
      <c r="XFD135" s="3065"/>
    </row>
    <row r="136" s="3031" customFormat="1" ht="32" customHeight="1" spans="1:76 16376:16384">
      <c r="A136" s="3063">
        <v>45762</v>
      </c>
      <c r="B136" s="3064" t="s">
        <v>3555</v>
      </c>
      <c r="C136" s="3065" t="s">
        <v>1385</v>
      </c>
      <c r="D136" s="3066">
        <v>4500163743</v>
      </c>
      <c r="E136" s="3091" t="s">
        <v>9553</v>
      </c>
      <c r="F136" s="3066" t="s">
        <v>9554</v>
      </c>
      <c r="G136" s="3098" t="s">
        <v>9154</v>
      </c>
      <c r="H136" s="3069" t="s">
        <v>9155</v>
      </c>
      <c r="I136" s="2969">
        <v>720</v>
      </c>
      <c r="J136" s="2969">
        <v>0</v>
      </c>
      <c r="K136" s="2969">
        <v>8</v>
      </c>
      <c r="L136" s="2969">
        <f t="shared" si="203"/>
        <v>90</v>
      </c>
      <c r="M136" s="3070">
        <v>45800</v>
      </c>
      <c r="N136" s="3070">
        <v>45796</v>
      </c>
      <c r="O136" s="2996"/>
      <c r="P136" s="2996" t="s">
        <v>82</v>
      </c>
      <c r="Q136" s="3071"/>
      <c r="R136" s="3071"/>
      <c r="S136" s="3071"/>
      <c r="T136" s="3071"/>
      <c r="U136" s="3072" t="s">
        <v>277</v>
      </c>
      <c r="V136" s="2996"/>
      <c r="W136" s="3073" t="s">
        <v>1186</v>
      </c>
      <c r="X136" s="3073"/>
      <c r="Y136" s="3073" t="s">
        <v>98</v>
      </c>
      <c r="Z136" s="3073"/>
      <c r="AA136" s="3073"/>
      <c r="AB136" s="3091" t="s">
        <v>9555</v>
      </c>
      <c r="AC136" s="2969" t="s">
        <v>448</v>
      </c>
      <c r="AD136" s="3075">
        <v>4.1596</v>
      </c>
      <c r="AE136" s="3076">
        <f t="shared" si="248"/>
        <v>2994.912</v>
      </c>
      <c r="AF136" s="2969"/>
      <c r="AG136" s="2969" t="s">
        <v>9154</v>
      </c>
      <c r="AH136" s="2969" t="s">
        <v>416</v>
      </c>
      <c r="AI136" s="3108"/>
      <c r="AJ136" s="3078">
        <f t="shared" si="266"/>
        <v>720</v>
      </c>
      <c r="AK136" s="3093"/>
      <c r="AL136" s="3078"/>
      <c r="AM136" s="3094"/>
      <c r="AN136" s="3080"/>
      <c r="AO136" s="3094"/>
      <c r="AP136" s="3080">
        <f t="shared" si="250"/>
        <v>720</v>
      </c>
      <c r="AQ136" s="3080"/>
      <c r="AR136" s="3080"/>
      <c r="AS136" s="3080"/>
      <c r="AT136" s="3123"/>
      <c r="AU136" s="3094"/>
      <c r="AV136" s="3094"/>
      <c r="AW136" s="3124"/>
      <c r="AX136" s="3085">
        <f t="shared" si="196"/>
        <v>180</v>
      </c>
      <c r="AY136" s="3080">
        <f t="shared" si="233"/>
        <v>180</v>
      </c>
      <c r="AZ136" s="3080">
        <f t="shared" si="259"/>
        <v>180</v>
      </c>
      <c r="BA136" s="3086">
        <f t="shared" si="260"/>
        <v>180</v>
      </c>
      <c r="BB136" s="3080"/>
      <c r="BC136" s="3080"/>
      <c r="BD136" s="3080"/>
      <c r="BE136" s="3080"/>
      <c r="BF136" s="3080"/>
      <c r="BG136" s="3080"/>
      <c r="BH136" s="3080"/>
      <c r="BI136" s="3080"/>
      <c r="BJ136" s="3080">
        <f t="shared" ref="BJ136:BJ141" si="268">I136</f>
        <v>720</v>
      </c>
      <c r="BK136" s="3080"/>
      <c r="BL136" s="3080" t="s">
        <v>9164</v>
      </c>
      <c r="BM136" s="3125"/>
      <c r="BN136" s="3080">
        <f t="shared" si="198"/>
        <v>180</v>
      </c>
      <c r="BO136" s="3080">
        <f t="shared" si="199"/>
        <v>180</v>
      </c>
      <c r="BP136" s="3080">
        <f t="shared" si="200"/>
        <v>180</v>
      </c>
      <c r="BQ136" s="3088">
        <f t="shared" si="201"/>
        <v>180</v>
      </c>
      <c r="BR136" s="3080">
        <f t="shared" si="261"/>
        <v>0</v>
      </c>
      <c r="BS136" s="3088">
        <f t="shared" si="262"/>
        <v>513200</v>
      </c>
      <c r="BT136" s="3088">
        <f t="shared" ref="BT136:BW136" si="269">BT135-BN136</f>
        <v>97118.1666666663</v>
      </c>
      <c r="BU136" s="3088">
        <f t="shared" si="269"/>
        <v>98326.1666666663</v>
      </c>
      <c r="BV136" s="3088">
        <f t="shared" si="269"/>
        <v>98335.1666666663</v>
      </c>
      <c r="BW136" s="3088">
        <f t="shared" si="269"/>
        <v>99721.833333333</v>
      </c>
      <c r="BX136" s="3088"/>
      <c r="XEV136" s="3119"/>
      <c r="XEW136" s="3064"/>
      <c r="XEX136" s="3065"/>
      <c r="XEY136" s="3119"/>
      <c r="XEZ136" s="3064"/>
      <c r="XFA136" s="3065"/>
      <c r="XFB136" s="3119"/>
      <c r="XFC136" s="3064"/>
      <c r="XFD136" s="3065"/>
    </row>
    <row r="137" s="3031" customFormat="1" ht="32" customHeight="1" spans="1:76 16376:16384">
      <c r="A137" s="3063">
        <v>45727</v>
      </c>
      <c r="B137" s="3064" t="s">
        <v>2914</v>
      </c>
      <c r="C137" s="3065" t="s">
        <v>341</v>
      </c>
      <c r="D137" s="3066">
        <v>4500159575</v>
      </c>
      <c r="E137" s="3067" t="s">
        <v>3636</v>
      </c>
      <c r="F137" s="3066" t="s">
        <v>9556</v>
      </c>
      <c r="G137" s="3098" t="s">
        <v>9154</v>
      </c>
      <c r="H137" s="3069" t="s">
        <v>9155</v>
      </c>
      <c r="I137" s="2969">
        <v>2208</v>
      </c>
      <c r="J137" s="2969">
        <v>0</v>
      </c>
      <c r="K137" s="2969">
        <v>8</v>
      </c>
      <c r="L137" s="2969">
        <f t="shared" si="203"/>
        <v>276</v>
      </c>
      <c r="M137" s="3070">
        <v>45800</v>
      </c>
      <c r="N137" s="3070">
        <v>45796</v>
      </c>
      <c r="O137" s="2996"/>
      <c r="P137" s="2996" t="s">
        <v>82</v>
      </c>
      <c r="Q137" s="3071"/>
      <c r="R137" s="3071"/>
      <c r="S137" s="3071"/>
      <c r="T137" s="3071"/>
      <c r="U137" s="3072" t="s">
        <v>3638</v>
      </c>
      <c r="V137" s="2996"/>
      <c r="W137" s="3073" t="s">
        <v>3639</v>
      </c>
      <c r="X137" s="3073"/>
      <c r="Y137" s="3073" t="s">
        <v>9557</v>
      </c>
      <c r="Z137" s="3073"/>
      <c r="AA137" s="3073"/>
      <c r="AB137" s="3091" t="s">
        <v>9558</v>
      </c>
      <c r="AC137" s="2969" t="s">
        <v>87</v>
      </c>
      <c r="AD137" s="3075">
        <v>4.1486</v>
      </c>
      <c r="AE137" s="3076">
        <f t="shared" si="248"/>
        <v>9160.1088</v>
      </c>
      <c r="AF137" s="2969"/>
      <c r="AG137" s="2969" t="s">
        <v>9154</v>
      </c>
      <c r="AH137" s="2969" t="s">
        <v>416</v>
      </c>
      <c r="AI137" s="3108"/>
      <c r="AJ137" s="3078">
        <f t="shared" si="266"/>
        <v>2208</v>
      </c>
      <c r="AK137" s="3108"/>
      <c r="AL137" s="3078"/>
      <c r="AM137" s="3093"/>
      <c r="AN137" s="3080"/>
      <c r="AO137" s="3113"/>
      <c r="AP137" s="3080">
        <f t="shared" si="250"/>
        <v>2208</v>
      </c>
      <c r="AQ137" s="3080"/>
      <c r="AR137" s="3080"/>
      <c r="AS137" s="3080"/>
      <c r="AT137" s="3121"/>
      <c r="AU137" s="3113"/>
      <c r="AV137" s="3113"/>
      <c r="AW137" s="3122"/>
      <c r="AX137" s="3085">
        <f t="shared" si="196"/>
        <v>552</v>
      </c>
      <c r="AY137" s="3080">
        <f t="shared" si="233"/>
        <v>552</v>
      </c>
      <c r="AZ137" s="3080">
        <f t="shared" si="259"/>
        <v>552</v>
      </c>
      <c r="BA137" s="3086">
        <f t="shared" si="260"/>
        <v>552</v>
      </c>
      <c r="BB137" s="3087"/>
      <c r="BC137" s="3080"/>
      <c r="BD137" s="3080"/>
      <c r="BE137" s="3080"/>
      <c r="BF137" s="3080"/>
      <c r="BG137" s="3080"/>
      <c r="BH137" s="3080"/>
      <c r="BI137" s="3080"/>
      <c r="BJ137" s="3080">
        <f t="shared" si="268"/>
        <v>2208</v>
      </c>
      <c r="BK137" s="3080"/>
      <c r="BL137" s="3080" t="s">
        <v>9164</v>
      </c>
      <c r="BM137" s="3094"/>
      <c r="BN137" s="3080">
        <f t="shared" si="198"/>
        <v>552</v>
      </c>
      <c r="BO137" s="3080">
        <f t="shared" si="199"/>
        <v>552</v>
      </c>
      <c r="BP137" s="3080">
        <f t="shared" si="200"/>
        <v>552</v>
      </c>
      <c r="BQ137" s="3080">
        <f t="shared" si="201"/>
        <v>552</v>
      </c>
      <c r="BR137" s="3080">
        <f t="shared" si="261"/>
        <v>0</v>
      </c>
      <c r="BS137" s="3088">
        <f t="shared" si="262"/>
        <v>514688</v>
      </c>
      <c r="BT137" s="3088">
        <f t="shared" ref="BT137:BW137" si="270">BT143-BN137</f>
        <v>98248.1666666663</v>
      </c>
      <c r="BU137" s="3088">
        <f t="shared" si="270"/>
        <v>99456.1666666663</v>
      </c>
      <c r="BV137" s="3088">
        <f t="shared" si="270"/>
        <v>99465.1666666663</v>
      </c>
      <c r="BW137" s="3088">
        <f t="shared" si="270"/>
        <v>100851.833333333</v>
      </c>
      <c r="BX137" s="3088"/>
    </row>
    <row r="138" s="3031" customFormat="1" ht="32" customHeight="1" spans="1:76 16376:16384">
      <c r="A138" s="3063">
        <v>45765</v>
      </c>
      <c r="B138" s="3064" t="s">
        <v>672</v>
      </c>
      <c r="C138" s="3065" t="s">
        <v>673</v>
      </c>
      <c r="D138" s="3066">
        <v>4500164177</v>
      </c>
      <c r="E138" s="3091">
        <v>5000001847</v>
      </c>
      <c r="F138" s="3066" t="s">
        <v>9559</v>
      </c>
      <c r="G138" s="3098" t="s">
        <v>9270</v>
      </c>
      <c r="H138" s="3069" t="s">
        <v>9155</v>
      </c>
      <c r="I138" s="2969">
        <v>300</v>
      </c>
      <c r="J138" s="2969">
        <v>0</v>
      </c>
      <c r="K138" s="2969">
        <v>4</v>
      </c>
      <c r="L138" s="2969">
        <f t="shared" si="203"/>
        <v>75</v>
      </c>
      <c r="M138" s="3070">
        <v>45799</v>
      </c>
      <c r="N138" s="3070">
        <v>45796</v>
      </c>
      <c r="O138" s="2996"/>
      <c r="P138" s="2996" t="s">
        <v>82</v>
      </c>
      <c r="Q138" s="3071"/>
      <c r="R138" s="3071"/>
      <c r="S138" s="3071"/>
      <c r="T138" s="3071"/>
      <c r="U138" s="3072" t="s">
        <v>194</v>
      </c>
      <c r="V138" s="2996"/>
      <c r="W138" s="3073" t="s">
        <v>990</v>
      </c>
      <c r="X138" s="3073"/>
      <c r="Y138" s="3073" t="s">
        <v>9560</v>
      </c>
      <c r="Z138" s="3073" t="s">
        <v>9561</v>
      </c>
      <c r="AA138" s="3073"/>
      <c r="AB138" s="3091" t="s">
        <v>9562</v>
      </c>
      <c r="AC138" s="2969" t="s">
        <v>993</v>
      </c>
      <c r="AD138" s="3075">
        <v>4.035</v>
      </c>
      <c r="AE138" s="3076">
        <f t="shared" si="248"/>
        <v>1210.5</v>
      </c>
      <c r="AF138" s="2969"/>
      <c r="AG138" s="2969" t="s">
        <v>9364</v>
      </c>
      <c r="AH138" s="3078" t="s">
        <v>416</v>
      </c>
      <c r="AI138" s="3108"/>
      <c r="AJ138" s="3078">
        <f t="shared" si="266"/>
        <v>300</v>
      </c>
      <c r="AK138" s="3093"/>
      <c r="AL138" s="3078"/>
      <c r="AM138" s="3093"/>
      <c r="AN138" s="3080"/>
      <c r="AO138" s="3094"/>
      <c r="AP138" s="3080"/>
      <c r="AQ138" s="3080"/>
      <c r="AR138" s="3080">
        <f>I138</f>
        <v>300</v>
      </c>
      <c r="AS138" s="3080"/>
      <c r="AT138" s="3123"/>
      <c r="AU138" s="3094"/>
      <c r="AV138" s="3094"/>
      <c r="AW138" s="3124"/>
      <c r="AX138" s="3085"/>
      <c r="AY138" s="3080"/>
      <c r="AZ138" s="3080"/>
      <c r="BA138" s="3086"/>
      <c r="BB138" s="3087">
        <f>I138/4</f>
        <v>75</v>
      </c>
      <c r="BC138" s="3080">
        <f>BB138</f>
        <v>75</v>
      </c>
      <c r="BD138" s="3080">
        <f>BC138</f>
        <v>75</v>
      </c>
      <c r="BE138" s="3080">
        <f>BC138</f>
        <v>75</v>
      </c>
      <c r="BF138" s="3080"/>
      <c r="BG138" s="3080"/>
      <c r="BH138" s="3080"/>
      <c r="BI138" s="3080"/>
      <c r="BJ138" s="3080">
        <f t="shared" si="268"/>
        <v>300</v>
      </c>
      <c r="BK138" s="3080"/>
      <c r="BL138" s="3080" t="s">
        <v>9563</v>
      </c>
      <c r="BM138" s="3094"/>
      <c r="BN138" s="3080">
        <f t="shared" si="198"/>
        <v>75</v>
      </c>
      <c r="BO138" s="3080">
        <f t="shared" si="199"/>
        <v>75</v>
      </c>
      <c r="BP138" s="3080">
        <f t="shared" si="200"/>
        <v>75</v>
      </c>
      <c r="BQ138" s="3080">
        <f t="shared" si="201"/>
        <v>75</v>
      </c>
      <c r="BR138" s="3080">
        <f t="shared" si="261"/>
        <v>0</v>
      </c>
      <c r="BS138" s="3088">
        <f t="shared" si="262"/>
        <v>512780</v>
      </c>
      <c r="BT138" s="3088">
        <f t="shared" ref="BT138:BW138" si="271">BT132-BN138</f>
        <v>100722.166666666</v>
      </c>
      <c r="BU138" s="3088">
        <f t="shared" si="271"/>
        <v>101930.166666666</v>
      </c>
      <c r="BV138" s="3088">
        <f t="shared" si="271"/>
        <v>101939.166666666</v>
      </c>
      <c r="BW138" s="3088">
        <f t="shared" si="271"/>
        <v>103325.833333333</v>
      </c>
      <c r="BX138" s="3088"/>
    </row>
    <row r="139" s="3031" customFormat="1" ht="32" customHeight="1" spans="1:76 16376:16384">
      <c r="A139" s="3063">
        <v>45765</v>
      </c>
      <c r="B139" s="3064" t="s">
        <v>672</v>
      </c>
      <c r="C139" s="3065" t="s">
        <v>673</v>
      </c>
      <c r="D139" s="3066">
        <v>4500164177</v>
      </c>
      <c r="E139" s="3091">
        <v>5000001847</v>
      </c>
      <c r="F139" s="3066" t="s">
        <v>9564</v>
      </c>
      <c r="G139" s="3098" t="s">
        <v>9270</v>
      </c>
      <c r="H139" s="3069" t="s">
        <v>9155</v>
      </c>
      <c r="I139" s="2969">
        <v>200</v>
      </c>
      <c r="J139" s="2969">
        <v>0</v>
      </c>
      <c r="K139" s="2969">
        <v>4</v>
      </c>
      <c r="L139" s="2969">
        <f t="shared" si="203"/>
        <v>50</v>
      </c>
      <c r="M139" s="3070">
        <v>45799</v>
      </c>
      <c r="N139" s="3070">
        <v>45796</v>
      </c>
      <c r="O139" s="2996"/>
      <c r="P139" s="2996" t="s">
        <v>82</v>
      </c>
      <c r="Q139" s="3071"/>
      <c r="R139" s="3071"/>
      <c r="S139" s="3071"/>
      <c r="T139" s="3071"/>
      <c r="U139" s="3072" t="s">
        <v>194</v>
      </c>
      <c r="V139" s="2996"/>
      <c r="W139" s="3073" t="s">
        <v>990</v>
      </c>
      <c r="X139" s="3073"/>
      <c r="Y139" s="3073" t="s">
        <v>9560</v>
      </c>
      <c r="Z139" s="3073" t="s">
        <v>9561</v>
      </c>
      <c r="AA139" s="3073"/>
      <c r="AB139" s="3091" t="s">
        <v>9562</v>
      </c>
      <c r="AC139" s="2969" t="s">
        <v>993</v>
      </c>
      <c r="AD139" s="3075">
        <v>4.035</v>
      </c>
      <c r="AE139" s="3076">
        <f t="shared" si="248"/>
        <v>807</v>
      </c>
      <c r="AF139" s="2969"/>
      <c r="AG139" s="2969" t="s">
        <v>9364</v>
      </c>
      <c r="AH139" s="3078" t="s">
        <v>416</v>
      </c>
      <c r="AI139" s="3108"/>
      <c r="AJ139" s="3078">
        <f t="shared" si="266"/>
        <v>200</v>
      </c>
      <c r="AK139" s="3093"/>
      <c r="AL139" s="3078"/>
      <c r="AM139" s="3093"/>
      <c r="AN139" s="3080"/>
      <c r="AO139" s="3094"/>
      <c r="AP139" s="3080"/>
      <c r="AQ139" s="3080"/>
      <c r="AR139" s="3080">
        <f>I139</f>
        <v>200</v>
      </c>
      <c r="AS139" s="3080"/>
      <c r="AT139" s="3123"/>
      <c r="AU139" s="3094"/>
      <c r="AV139" s="3094"/>
      <c r="AW139" s="3124"/>
      <c r="AX139" s="3085"/>
      <c r="AY139" s="3080"/>
      <c r="AZ139" s="3080"/>
      <c r="BA139" s="3086"/>
      <c r="BB139" s="3087">
        <f>I139/4</f>
        <v>50</v>
      </c>
      <c r="BC139" s="3080">
        <f>BB139</f>
        <v>50</v>
      </c>
      <c r="BD139" s="3080">
        <f>BC139</f>
        <v>50</v>
      </c>
      <c r="BE139" s="3080">
        <f>BC139</f>
        <v>50</v>
      </c>
      <c r="BF139" s="3080"/>
      <c r="BG139" s="3080"/>
      <c r="BH139" s="3080"/>
      <c r="BI139" s="3080"/>
      <c r="BJ139" s="3080">
        <f t="shared" si="268"/>
        <v>200</v>
      </c>
      <c r="BK139" s="3080"/>
      <c r="BL139" s="3080" t="s">
        <v>9563</v>
      </c>
      <c r="BM139" s="3094"/>
      <c r="BN139" s="3080">
        <f t="shared" si="198"/>
        <v>50</v>
      </c>
      <c r="BO139" s="3080">
        <f t="shared" si="199"/>
        <v>50</v>
      </c>
      <c r="BP139" s="3080">
        <f t="shared" si="200"/>
        <v>50</v>
      </c>
      <c r="BQ139" s="3080">
        <f t="shared" si="201"/>
        <v>50</v>
      </c>
      <c r="BR139" s="3080">
        <f t="shared" si="261"/>
        <v>0</v>
      </c>
      <c r="BS139" s="3088">
        <f t="shared" si="262"/>
        <v>512680</v>
      </c>
      <c r="BT139" s="3088">
        <f t="shared" ref="BT139:BW139" si="272">BT138-BN139</f>
        <v>100672.166666666</v>
      </c>
      <c r="BU139" s="3088">
        <f t="shared" si="272"/>
        <v>101880.166666666</v>
      </c>
      <c r="BV139" s="3088">
        <f t="shared" si="272"/>
        <v>101889.166666666</v>
      </c>
      <c r="BW139" s="3088">
        <f t="shared" si="272"/>
        <v>103275.833333333</v>
      </c>
      <c r="BX139" s="3088"/>
    </row>
    <row r="140" s="3031" customFormat="1" ht="32" customHeight="1" spans="1:76 16376:16384">
      <c r="A140" s="3063">
        <v>45763</v>
      </c>
      <c r="B140" s="3064" t="s">
        <v>505</v>
      </c>
      <c r="C140" s="3065" t="s">
        <v>506</v>
      </c>
      <c r="D140" s="3066">
        <v>4500163864</v>
      </c>
      <c r="E140" s="3091">
        <v>20784127</v>
      </c>
      <c r="F140" s="3066" t="s">
        <v>9565</v>
      </c>
      <c r="G140" s="3098" t="s">
        <v>9154</v>
      </c>
      <c r="H140" s="3069" t="s">
        <v>9155</v>
      </c>
      <c r="I140" s="2969">
        <v>1504</v>
      </c>
      <c r="J140" s="2969">
        <v>0</v>
      </c>
      <c r="K140" s="2969">
        <v>8</v>
      </c>
      <c r="L140" s="2969">
        <f t="shared" si="203"/>
        <v>188</v>
      </c>
      <c r="M140" s="3070">
        <v>45810</v>
      </c>
      <c r="N140" s="3070">
        <f t="shared" ref="N140:N143" si="273">M140-4</f>
        <v>45806</v>
      </c>
      <c r="O140" s="2996" t="s">
        <v>9566</v>
      </c>
      <c r="P140" s="2996" t="s">
        <v>82</v>
      </c>
      <c r="Q140" s="3071"/>
      <c r="R140" s="3071"/>
      <c r="S140" s="3071"/>
      <c r="T140" s="3071"/>
      <c r="U140" s="3072" t="s">
        <v>3694</v>
      </c>
      <c r="V140" s="2996"/>
      <c r="W140" s="3073" t="s">
        <v>3695</v>
      </c>
      <c r="X140" s="3073"/>
      <c r="Y140" s="3073" t="s">
        <v>9567</v>
      </c>
      <c r="Z140" s="3073"/>
      <c r="AA140" s="3073"/>
      <c r="AB140" s="3091" t="s">
        <v>9568</v>
      </c>
      <c r="AC140" s="2969" t="s">
        <v>513</v>
      </c>
      <c r="AD140" s="3075">
        <v>4.4827</v>
      </c>
      <c r="AE140" s="3076">
        <f t="shared" si="248"/>
        <v>6741.9808</v>
      </c>
      <c r="AF140" s="2969"/>
      <c r="AG140" s="2969" t="s">
        <v>9154</v>
      </c>
      <c r="AH140" s="2969" t="s">
        <v>416</v>
      </c>
      <c r="AI140" s="3108"/>
      <c r="AJ140" s="3078">
        <f t="shared" si="266"/>
        <v>1504</v>
      </c>
      <c r="AK140" s="3093"/>
      <c r="AL140" s="3078"/>
      <c r="AM140" s="3093"/>
      <c r="AN140" s="3078"/>
      <c r="AO140" s="3094"/>
      <c r="AP140" s="3080">
        <f t="shared" ref="AP140:AP144" si="274">I140</f>
        <v>1504</v>
      </c>
      <c r="AQ140" s="3080"/>
      <c r="AR140" s="3080"/>
      <c r="AS140" s="3081"/>
      <c r="AT140" s="3123"/>
      <c r="AU140" s="3094"/>
      <c r="AV140" s="3094"/>
      <c r="AW140" s="3124"/>
      <c r="AX140" s="3085">
        <f t="shared" ref="AX140:AX158" si="275">I140/4</f>
        <v>376</v>
      </c>
      <c r="AY140" s="3080">
        <f t="shared" ref="AY140:BA140" si="276">AX140</f>
        <v>376</v>
      </c>
      <c r="AZ140" s="3080">
        <f t="shared" si="276"/>
        <v>376</v>
      </c>
      <c r="BA140" s="3086">
        <f t="shared" si="276"/>
        <v>376</v>
      </c>
      <c r="BB140" s="3087"/>
      <c r="BC140" s="3080"/>
      <c r="BD140" s="3080"/>
      <c r="BE140" s="3080"/>
      <c r="BF140" s="3080"/>
      <c r="BG140" s="3080"/>
      <c r="BH140" s="3080"/>
      <c r="BI140" s="3080"/>
      <c r="BJ140" s="3080">
        <f t="shared" si="268"/>
        <v>1504</v>
      </c>
      <c r="BK140" s="3080"/>
      <c r="BL140" s="3080" t="s">
        <v>9164</v>
      </c>
      <c r="BM140" s="3094"/>
      <c r="BN140" s="3080">
        <f t="shared" si="198"/>
        <v>376</v>
      </c>
      <c r="BO140" s="3080">
        <f t="shared" si="199"/>
        <v>376</v>
      </c>
      <c r="BP140" s="3080">
        <f t="shared" si="200"/>
        <v>376</v>
      </c>
      <c r="BQ140" s="3088">
        <f t="shared" si="201"/>
        <v>376</v>
      </c>
      <c r="BR140" s="3080">
        <f t="shared" si="261"/>
        <v>0</v>
      </c>
      <c r="BS140" s="3088">
        <f t="shared" si="262"/>
        <v>513984</v>
      </c>
      <c r="BT140" s="3088">
        <f t="shared" ref="BT140:BW140" si="277">BT146-BN140</f>
        <v>-4613</v>
      </c>
      <c r="BU140" s="3088">
        <f t="shared" si="277"/>
        <v>-4613</v>
      </c>
      <c r="BV140" s="3088">
        <f t="shared" si="277"/>
        <v>-4613</v>
      </c>
      <c r="BW140" s="3088">
        <f t="shared" si="277"/>
        <v>-4613</v>
      </c>
      <c r="BX140" s="3088"/>
    </row>
    <row r="141" s="3031" customFormat="1" ht="32" customHeight="1" spans="1:76 16376:16384">
      <c r="A141" s="3063">
        <v>45728</v>
      </c>
      <c r="B141" s="3064" t="s">
        <v>77</v>
      </c>
      <c r="C141" s="3065" t="s">
        <v>78</v>
      </c>
      <c r="D141" s="3066">
        <v>4500159868</v>
      </c>
      <c r="E141" s="3091">
        <v>4401015344</v>
      </c>
      <c r="F141" s="3066" t="s">
        <v>9569</v>
      </c>
      <c r="G141" s="3098" t="s">
        <v>9519</v>
      </c>
      <c r="H141" s="3069" t="s">
        <v>9520</v>
      </c>
      <c r="I141" s="2969">
        <v>6984</v>
      </c>
      <c r="J141" s="2969">
        <v>0</v>
      </c>
      <c r="K141" s="2969">
        <v>4</v>
      </c>
      <c r="L141" s="2969">
        <f t="shared" si="203"/>
        <v>1746</v>
      </c>
      <c r="M141" s="3070">
        <v>45810</v>
      </c>
      <c r="N141" s="3070">
        <f t="shared" si="273"/>
        <v>45806</v>
      </c>
      <c r="O141" s="2996" t="s">
        <v>9570</v>
      </c>
      <c r="P141" s="2996" t="s">
        <v>82</v>
      </c>
      <c r="Q141" s="3071"/>
      <c r="R141" s="3071"/>
      <c r="S141" s="3071"/>
      <c r="T141" s="3071"/>
      <c r="U141" s="3072" t="s">
        <v>8179</v>
      </c>
      <c r="V141" s="2996"/>
      <c r="W141" s="3073" t="s">
        <v>5716</v>
      </c>
      <c r="X141" s="3073"/>
      <c r="Y141" s="3073" t="s">
        <v>9521</v>
      </c>
      <c r="Z141" s="3073"/>
      <c r="AA141" s="3073"/>
      <c r="AB141" s="3091" t="s">
        <v>9522</v>
      </c>
      <c r="AC141" s="2969" t="s">
        <v>338</v>
      </c>
      <c r="AD141" s="3075">
        <v>16.8851</v>
      </c>
      <c r="AE141" s="3076">
        <f t="shared" ref="AE141:AE146" si="278">AD141*L141</f>
        <v>29481.3846</v>
      </c>
      <c r="AF141" s="2969"/>
      <c r="AG141" s="3098" t="s">
        <v>9519</v>
      </c>
      <c r="AH141" s="2969" t="s">
        <v>416</v>
      </c>
      <c r="AI141" s="3108"/>
      <c r="AJ141" s="3078"/>
      <c r="AK141" s="3108"/>
      <c r="AL141" s="3078"/>
      <c r="AM141" s="3093"/>
      <c r="AN141" s="3078">
        <f t="shared" ref="AN141:AN146" si="279">I141</f>
        <v>6984</v>
      </c>
      <c r="AO141" s="3096"/>
      <c r="AP141" s="3080"/>
      <c r="AQ141" s="3080"/>
      <c r="AR141" s="3080"/>
      <c r="AS141" s="3081">
        <f t="shared" ref="AS141:AS146" si="280">I141</f>
        <v>6984</v>
      </c>
      <c r="AT141" s="3114"/>
      <c r="AU141" s="3096"/>
      <c r="AV141" s="3096"/>
      <c r="AW141" s="3115"/>
      <c r="AX141" s="3085">
        <f t="shared" si="275"/>
        <v>1746</v>
      </c>
      <c r="AY141" s="3080">
        <f t="shared" ref="AY141:AY147" si="281">AX141</f>
        <v>1746</v>
      </c>
      <c r="AZ141" s="3080">
        <f t="shared" ref="AZ141:AZ146" si="282">AX141</f>
        <v>1746</v>
      </c>
      <c r="BA141" s="3086">
        <f t="shared" ref="BA141:BA146" si="283">AX141</f>
        <v>1746</v>
      </c>
      <c r="BB141" s="3087"/>
      <c r="BC141" s="3080"/>
      <c r="BD141" s="3080"/>
      <c r="BE141" s="3080"/>
      <c r="BF141" s="3080"/>
      <c r="BG141" s="3080"/>
      <c r="BH141" s="3080"/>
      <c r="BI141" s="3080"/>
      <c r="BJ141" s="3080">
        <f t="shared" si="268"/>
        <v>6984</v>
      </c>
      <c r="BK141" s="3080"/>
      <c r="BL141" s="3080" t="s">
        <v>9164</v>
      </c>
      <c r="BM141" s="3094"/>
      <c r="BN141" s="3080">
        <f t="shared" si="198"/>
        <v>1746</v>
      </c>
      <c r="BO141" s="3080">
        <f t="shared" si="199"/>
        <v>1746</v>
      </c>
      <c r="BP141" s="3080">
        <f t="shared" si="200"/>
        <v>1746</v>
      </c>
      <c r="BQ141" s="3080">
        <f t="shared" si="201"/>
        <v>1746</v>
      </c>
      <c r="BR141" s="3080">
        <f t="shared" si="261"/>
        <v>0</v>
      </c>
      <c r="BS141" s="3088">
        <f t="shared" si="262"/>
        <v>519464</v>
      </c>
      <c r="BT141" s="3088">
        <f>'取消单-1'!BP77-BN141</f>
        <v>-1746</v>
      </c>
      <c r="BU141" s="3088">
        <f>'取消单-1'!BQ77-BO141</f>
        <v>-1746</v>
      </c>
      <c r="BV141" s="3088">
        <f>'取消单-1'!BR77-BP141</f>
        <v>-1746</v>
      </c>
      <c r="BW141" s="3088">
        <f>'取消单-1'!BS77-BQ141</f>
        <v>-1746</v>
      </c>
      <c r="BX141" s="3088"/>
    </row>
    <row r="142" s="3031" customFormat="1" ht="32" customHeight="1" spans="1:76 16376:16384">
      <c r="A142" s="3063">
        <v>45748</v>
      </c>
      <c r="B142" s="3064" t="s">
        <v>6224</v>
      </c>
      <c r="C142" s="3065" t="s">
        <v>6225</v>
      </c>
      <c r="D142" s="3066">
        <v>4500162119</v>
      </c>
      <c r="E142" s="3091" t="s">
        <v>9571</v>
      </c>
      <c r="F142" s="3066" t="s">
        <v>9572</v>
      </c>
      <c r="G142" s="3098" t="s">
        <v>9355</v>
      </c>
      <c r="H142" s="3069" t="s">
        <v>9356</v>
      </c>
      <c r="I142" s="2969">
        <v>3648</v>
      </c>
      <c r="J142" s="2969">
        <v>0</v>
      </c>
      <c r="K142" s="2969">
        <v>8</v>
      </c>
      <c r="L142" s="2969">
        <f t="shared" si="203"/>
        <v>456</v>
      </c>
      <c r="M142" s="3070">
        <v>45800</v>
      </c>
      <c r="N142" s="3070">
        <v>45796</v>
      </c>
      <c r="O142" s="2996"/>
      <c r="P142" s="2996" t="s">
        <v>82</v>
      </c>
      <c r="Q142" s="3071"/>
      <c r="R142" s="3071"/>
      <c r="S142" s="3071"/>
      <c r="T142" s="3071"/>
      <c r="U142" s="3072" t="s">
        <v>8179</v>
      </c>
      <c r="V142" s="2996"/>
      <c r="W142" s="3073" t="s">
        <v>3610</v>
      </c>
      <c r="X142" s="3073"/>
      <c r="Y142" s="3073" t="s">
        <v>9488</v>
      </c>
      <c r="Z142" s="3073"/>
      <c r="AA142" s="3073"/>
      <c r="AB142" s="3091" t="s">
        <v>9573</v>
      </c>
      <c r="AC142" s="2969" t="s">
        <v>6785</v>
      </c>
      <c r="AD142" s="3075">
        <v>4.1486</v>
      </c>
      <c r="AE142" s="3076">
        <f t="shared" ref="AE142:AE150" si="284">AD142*I142</f>
        <v>15134.0928</v>
      </c>
      <c r="AF142" s="2969" t="s">
        <v>9574</v>
      </c>
      <c r="AG142" s="2969" t="s">
        <v>9359</v>
      </c>
      <c r="AH142" s="2969" t="s">
        <v>416</v>
      </c>
      <c r="AI142" s="3126"/>
      <c r="AJ142" s="3078"/>
      <c r="AK142" s="3126"/>
      <c r="AL142" s="3078">
        <f>I142</f>
        <v>3648</v>
      </c>
      <c r="AM142" s="3127"/>
      <c r="AN142" s="3080"/>
      <c r="AO142" s="3083"/>
      <c r="AP142" s="3080">
        <f t="shared" si="274"/>
        <v>3648</v>
      </c>
      <c r="AQ142" s="3080"/>
      <c r="AR142" s="3080"/>
      <c r="AS142" s="3080"/>
      <c r="AT142" s="3128"/>
      <c r="AU142" s="3127"/>
      <c r="AV142" s="3127"/>
      <c r="AW142" s="3129"/>
      <c r="AX142" s="3085">
        <f t="shared" si="275"/>
        <v>912</v>
      </c>
      <c r="AY142" s="3080">
        <f t="shared" si="281"/>
        <v>912</v>
      </c>
      <c r="AZ142" s="3080">
        <f>I142/4</f>
        <v>912</v>
      </c>
      <c r="BA142" s="3086">
        <f>I142/4</f>
        <v>912</v>
      </c>
      <c r="BB142" s="3080"/>
      <c r="BC142" s="3080"/>
      <c r="BD142" s="3080"/>
      <c r="BE142" s="3080"/>
      <c r="BF142" s="3080"/>
      <c r="BG142" s="3080"/>
      <c r="BH142" s="3080"/>
      <c r="BI142" s="3080"/>
      <c r="BJ142" s="3080"/>
      <c r="BK142" s="3080">
        <f>I142</f>
        <v>3648</v>
      </c>
      <c r="BL142" s="3080" t="s">
        <v>9164</v>
      </c>
      <c r="BM142" s="3130"/>
      <c r="BN142" s="3088">
        <f t="shared" si="198"/>
        <v>912</v>
      </c>
      <c r="BO142" s="3088">
        <f t="shared" si="199"/>
        <v>912</v>
      </c>
      <c r="BP142" s="3088">
        <f t="shared" si="200"/>
        <v>912</v>
      </c>
      <c r="BQ142" s="3088">
        <f t="shared" si="201"/>
        <v>912</v>
      </c>
      <c r="BR142" s="3080">
        <f t="shared" si="261"/>
        <v>0</v>
      </c>
      <c r="BS142" s="3088">
        <f t="shared" si="262"/>
        <v>516128</v>
      </c>
      <c r="BT142" s="3088">
        <f t="shared" ref="BT142:BW142" si="285">BT137-BN142</f>
        <v>97336.1666666663</v>
      </c>
      <c r="BU142" s="3088">
        <f t="shared" si="285"/>
        <v>98544.1666666663</v>
      </c>
      <c r="BV142" s="3088">
        <f t="shared" si="285"/>
        <v>98553.1666666663</v>
      </c>
      <c r="BW142" s="3088">
        <f t="shared" si="285"/>
        <v>99939.833333333</v>
      </c>
      <c r="BX142" s="3088"/>
      <c r="XEV142" s="3119"/>
      <c r="XEW142" s="3064"/>
      <c r="XEX142" s="3065"/>
      <c r="XEY142" s="3119"/>
      <c r="XEZ142" s="3064"/>
      <c r="XFA142" s="3065"/>
      <c r="XFB142" s="3119"/>
      <c r="XFC142" s="3064"/>
      <c r="XFD142" s="3065"/>
    </row>
    <row r="143" s="3031" customFormat="1" ht="32" customHeight="1" spans="1:76 16376:16384">
      <c r="A143" s="3063">
        <v>45728</v>
      </c>
      <c r="B143" s="3064" t="s">
        <v>77</v>
      </c>
      <c r="C143" s="3065" t="s">
        <v>78</v>
      </c>
      <c r="D143" s="3066">
        <v>4500159868</v>
      </c>
      <c r="E143" s="3091">
        <v>4401015362</v>
      </c>
      <c r="F143" s="3066" t="s">
        <v>9575</v>
      </c>
      <c r="G143" s="3098" t="s">
        <v>9519</v>
      </c>
      <c r="H143" s="3069" t="s">
        <v>9520</v>
      </c>
      <c r="I143" s="2969">
        <v>6984</v>
      </c>
      <c r="J143" s="2969">
        <v>0</v>
      </c>
      <c r="K143" s="2969">
        <v>4</v>
      </c>
      <c r="L143" s="2969">
        <f t="shared" si="203"/>
        <v>1746</v>
      </c>
      <c r="M143" s="3070">
        <v>45800</v>
      </c>
      <c r="N143" s="3070">
        <f t="shared" si="273"/>
        <v>45796</v>
      </c>
      <c r="O143" s="2996" t="s">
        <v>9576</v>
      </c>
      <c r="P143" s="2996" t="s">
        <v>82</v>
      </c>
      <c r="Q143" s="3071"/>
      <c r="R143" s="3071"/>
      <c r="S143" s="3071"/>
      <c r="T143" s="3071"/>
      <c r="U143" s="3072" t="s">
        <v>1208</v>
      </c>
      <c r="V143" s="2996"/>
      <c r="W143" s="3073" t="s">
        <v>5716</v>
      </c>
      <c r="X143" s="3073"/>
      <c r="Y143" s="3073" t="s">
        <v>9521</v>
      </c>
      <c r="Z143" s="3073"/>
      <c r="AA143" s="3073"/>
      <c r="AB143" s="3091" t="s">
        <v>9522</v>
      </c>
      <c r="AC143" s="2969" t="s">
        <v>338</v>
      </c>
      <c r="AD143" s="3075">
        <v>16.8851</v>
      </c>
      <c r="AE143" s="3076">
        <f t="shared" si="278"/>
        <v>29481.3846</v>
      </c>
      <c r="AF143" s="2969"/>
      <c r="AG143" s="3098" t="s">
        <v>9519</v>
      </c>
      <c r="AH143" s="2969" t="s">
        <v>416</v>
      </c>
      <c r="AI143" s="3126"/>
      <c r="AJ143" s="3078"/>
      <c r="AK143" s="3126"/>
      <c r="AL143" s="3078"/>
      <c r="AM143" s="3131"/>
      <c r="AN143" s="3080">
        <f t="shared" si="279"/>
        <v>6984</v>
      </c>
      <c r="AO143" s="3083"/>
      <c r="AP143" s="3080"/>
      <c r="AQ143" s="3080"/>
      <c r="AR143" s="3080"/>
      <c r="AS143" s="3080">
        <f t="shared" si="280"/>
        <v>6984</v>
      </c>
      <c r="AT143" s="3128"/>
      <c r="AU143" s="3127"/>
      <c r="AV143" s="3127"/>
      <c r="AW143" s="3129"/>
      <c r="AX143" s="3085">
        <f t="shared" si="275"/>
        <v>1746</v>
      </c>
      <c r="AY143" s="3080">
        <f t="shared" si="281"/>
        <v>1746</v>
      </c>
      <c r="AZ143" s="3080">
        <f>I143/4</f>
        <v>1746</v>
      </c>
      <c r="BA143" s="3086">
        <f>I143/4</f>
        <v>1746</v>
      </c>
      <c r="BB143" s="3087"/>
      <c r="BC143" s="3080"/>
      <c r="BD143" s="3080"/>
      <c r="BE143" s="3080"/>
      <c r="BF143" s="3080"/>
      <c r="BG143" s="3080"/>
      <c r="BH143" s="3080"/>
      <c r="BI143" s="3080"/>
      <c r="BJ143" s="3080">
        <f t="shared" ref="BJ143:BJ149" si="286">I143</f>
        <v>6984</v>
      </c>
      <c r="BK143" s="3080"/>
      <c r="BL143" s="3080" t="s">
        <v>9164</v>
      </c>
      <c r="BM143" s="3132"/>
      <c r="BN143" s="3080">
        <f t="shared" si="198"/>
        <v>1746</v>
      </c>
      <c r="BO143" s="3080">
        <f t="shared" si="199"/>
        <v>1746</v>
      </c>
      <c r="BP143" s="3080">
        <f t="shared" si="200"/>
        <v>1746</v>
      </c>
      <c r="BQ143" s="3080">
        <f t="shared" si="201"/>
        <v>1746</v>
      </c>
      <c r="BR143" s="3080">
        <f t="shared" si="261"/>
        <v>0</v>
      </c>
      <c r="BS143" s="3088">
        <f t="shared" si="262"/>
        <v>519464</v>
      </c>
      <c r="BT143" s="3088">
        <f t="shared" ref="BT143:BW143" si="287">BT212-BN143</f>
        <v>98800.1666666663</v>
      </c>
      <c r="BU143" s="3088">
        <f t="shared" si="287"/>
        <v>100008.166666666</v>
      </c>
      <c r="BV143" s="3088">
        <f t="shared" si="287"/>
        <v>100017.166666666</v>
      </c>
      <c r="BW143" s="3088">
        <f t="shared" si="287"/>
        <v>101403.833333333</v>
      </c>
      <c r="BX143" s="3088"/>
    </row>
    <row r="144" s="3031" customFormat="1" ht="32" customHeight="1" spans="1:76 16376:16384">
      <c r="A144" s="3063">
        <v>45763</v>
      </c>
      <c r="B144" s="3064" t="s">
        <v>6858</v>
      </c>
      <c r="C144" s="3065" t="s">
        <v>569</v>
      </c>
      <c r="D144" s="3066">
        <v>4500163782</v>
      </c>
      <c r="E144" s="3091"/>
      <c r="F144" s="3066" t="s">
        <v>9577</v>
      </c>
      <c r="G144" s="3098" t="s">
        <v>9355</v>
      </c>
      <c r="H144" s="3069" t="s">
        <v>9356</v>
      </c>
      <c r="I144" s="2969">
        <v>400</v>
      </c>
      <c r="J144" s="2969">
        <v>0</v>
      </c>
      <c r="K144" s="2969">
        <v>8</v>
      </c>
      <c r="L144" s="2969">
        <f t="shared" si="203"/>
        <v>50</v>
      </c>
      <c r="M144" s="3070">
        <v>45814</v>
      </c>
      <c r="N144" s="3070">
        <v>45810</v>
      </c>
      <c r="O144" s="2996" t="s">
        <v>9578</v>
      </c>
      <c r="P144" s="2996" t="s">
        <v>82</v>
      </c>
      <c r="Q144" s="3071"/>
      <c r="R144" s="3071"/>
      <c r="S144" s="3071"/>
      <c r="T144" s="3071"/>
      <c r="U144" s="3072" t="s">
        <v>6827</v>
      </c>
      <c r="V144" s="2996"/>
      <c r="W144" s="3073" t="s">
        <v>3725</v>
      </c>
      <c r="X144" s="3073"/>
      <c r="Y144" s="3073" t="s">
        <v>9579</v>
      </c>
      <c r="Z144" s="3073"/>
      <c r="AA144" s="3073"/>
      <c r="AB144" s="3091" t="s">
        <v>9580</v>
      </c>
      <c r="AC144" s="2969" t="s">
        <v>4582</v>
      </c>
      <c r="AD144" s="3075">
        <v>4.1708</v>
      </c>
      <c r="AE144" s="3076">
        <f t="shared" si="284"/>
        <v>1668.32</v>
      </c>
      <c r="AF144" s="2969"/>
      <c r="AG144" s="2969" t="s">
        <v>9359</v>
      </c>
      <c r="AH144" s="2969" t="s">
        <v>416</v>
      </c>
      <c r="AI144" s="3108"/>
      <c r="AJ144" s="3078"/>
      <c r="AK144" s="3093"/>
      <c r="AL144" s="3078">
        <f>I144</f>
        <v>400</v>
      </c>
      <c r="AM144" s="3093"/>
      <c r="AN144" s="3078"/>
      <c r="AO144" s="3094"/>
      <c r="AP144" s="3080">
        <f t="shared" si="274"/>
        <v>400</v>
      </c>
      <c r="AQ144" s="3080"/>
      <c r="AR144" s="3080"/>
      <c r="AS144" s="3081"/>
      <c r="AT144" s="3123"/>
      <c r="AU144" s="3094"/>
      <c r="AV144" s="3094"/>
      <c r="AW144" s="3124"/>
      <c r="AX144" s="3085">
        <f t="shared" si="275"/>
        <v>100</v>
      </c>
      <c r="AY144" s="3080">
        <f t="shared" si="281"/>
        <v>100</v>
      </c>
      <c r="AZ144" s="3080">
        <f t="shared" ref="AZ144:AZ149" si="288">AY144</f>
        <v>100</v>
      </c>
      <c r="BA144" s="3086">
        <f t="shared" ref="BA144:BA149" si="289">AZ144</f>
        <v>100</v>
      </c>
      <c r="BB144" s="3087"/>
      <c r="BC144" s="3080"/>
      <c r="BD144" s="3080"/>
      <c r="BE144" s="3080"/>
      <c r="BF144" s="3080"/>
      <c r="BG144" s="3080"/>
      <c r="BH144" s="3080"/>
      <c r="BI144" s="3080"/>
      <c r="BJ144" s="3080">
        <f t="shared" si="286"/>
        <v>400</v>
      </c>
      <c r="BK144" s="3080"/>
      <c r="BL144" s="3080" t="s">
        <v>9164</v>
      </c>
      <c r="BM144" s="3094"/>
      <c r="BN144" s="3080">
        <f t="shared" si="198"/>
        <v>100</v>
      </c>
      <c r="BO144" s="3080">
        <f t="shared" si="199"/>
        <v>100</v>
      </c>
      <c r="BP144" s="3080">
        <f t="shared" si="200"/>
        <v>100</v>
      </c>
      <c r="BQ144" s="3088">
        <f t="shared" si="201"/>
        <v>100</v>
      </c>
      <c r="BR144" s="3080">
        <f t="shared" si="261"/>
        <v>0</v>
      </c>
      <c r="BS144" s="3088">
        <f t="shared" si="262"/>
        <v>512880</v>
      </c>
      <c r="BT144" s="3088">
        <f t="shared" ref="BT144:BW144" si="290">BT147-BN144</f>
        <v>-4963</v>
      </c>
      <c r="BU144" s="3088">
        <f t="shared" si="290"/>
        <v>-4963</v>
      </c>
      <c r="BV144" s="3088">
        <f t="shared" si="290"/>
        <v>-4963</v>
      </c>
      <c r="BW144" s="3088">
        <f t="shared" si="290"/>
        <v>-4963</v>
      </c>
      <c r="BX144" s="3088"/>
    </row>
    <row r="145" s="3031" customFormat="1" ht="32" customHeight="1" spans="1:76 16376:16384">
      <c r="A145" s="3063">
        <v>45728</v>
      </c>
      <c r="B145" s="3064" t="s">
        <v>77</v>
      </c>
      <c r="C145" s="3065" t="s">
        <v>78</v>
      </c>
      <c r="D145" s="3066">
        <v>4500159868</v>
      </c>
      <c r="E145" s="3091">
        <v>4401015365</v>
      </c>
      <c r="F145" s="3066" t="s">
        <v>9581</v>
      </c>
      <c r="G145" s="3098" t="s">
        <v>9519</v>
      </c>
      <c r="H145" s="3069" t="s">
        <v>9520</v>
      </c>
      <c r="I145" s="2969">
        <v>6984</v>
      </c>
      <c r="J145" s="2969">
        <v>0</v>
      </c>
      <c r="K145" s="2969">
        <v>4</v>
      </c>
      <c r="L145" s="2969">
        <f t="shared" si="203"/>
        <v>1746</v>
      </c>
      <c r="M145" s="3070">
        <v>45810</v>
      </c>
      <c r="N145" s="3070">
        <f t="shared" ref="N145:N147" si="291">M145-4</f>
        <v>45806</v>
      </c>
      <c r="O145" s="2996" t="s">
        <v>9570</v>
      </c>
      <c r="P145" s="2996" t="s">
        <v>82</v>
      </c>
      <c r="Q145" s="3071"/>
      <c r="R145" s="3071"/>
      <c r="S145" s="3071"/>
      <c r="T145" s="3071"/>
      <c r="U145" s="3072" t="s">
        <v>5815</v>
      </c>
      <c r="V145" s="2996"/>
      <c r="W145" s="3073" t="s">
        <v>5716</v>
      </c>
      <c r="X145" s="3073"/>
      <c r="Y145" s="3073" t="s">
        <v>9521</v>
      </c>
      <c r="Z145" s="3073"/>
      <c r="AA145" s="3073"/>
      <c r="AB145" s="3091" t="s">
        <v>9522</v>
      </c>
      <c r="AC145" s="2969" t="s">
        <v>338</v>
      </c>
      <c r="AD145" s="3075">
        <v>16.8851</v>
      </c>
      <c r="AE145" s="3076">
        <f t="shared" si="278"/>
        <v>29481.3846</v>
      </c>
      <c r="AF145" s="2969"/>
      <c r="AG145" s="3098" t="s">
        <v>9519</v>
      </c>
      <c r="AH145" s="2969" t="s">
        <v>416</v>
      </c>
      <c r="AI145" s="3108"/>
      <c r="AJ145" s="3078"/>
      <c r="AK145" s="3108"/>
      <c r="AL145" s="3078"/>
      <c r="AM145" s="3093"/>
      <c r="AN145" s="3078">
        <f t="shared" si="279"/>
        <v>6984</v>
      </c>
      <c r="AO145" s="3096"/>
      <c r="AP145" s="3080"/>
      <c r="AQ145" s="3080"/>
      <c r="AR145" s="3080"/>
      <c r="AS145" s="3081">
        <f t="shared" si="280"/>
        <v>6984</v>
      </c>
      <c r="AT145" s="3114"/>
      <c r="AU145" s="3096"/>
      <c r="AV145" s="3096"/>
      <c r="AW145" s="3115"/>
      <c r="AX145" s="3085">
        <f t="shared" si="275"/>
        <v>1746</v>
      </c>
      <c r="AY145" s="3080">
        <f t="shared" si="281"/>
        <v>1746</v>
      </c>
      <c r="AZ145" s="3080">
        <f t="shared" si="282"/>
        <v>1746</v>
      </c>
      <c r="BA145" s="3086">
        <f t="shared" si="283"/>
        <v>1746</v>
      </c>
      <c r="BB145" s="3087"/>
      <c r="BC145" s="3080"/>
      <c r="BD145" s="3080"/>
      <c r="BE145" s="3080"/>
      <c r="BF145" s="3080"/>
      <c r="BG145" s="3080"/>
      <c r="BH145" s="3080"/>
      <c r="BI145" s="3080"/>
      <c r="BJ145" s="3080">
        <f t="shared" si="286"/>
        <v>6984</v>
      </c>
      <c r="BK145" s="3080"/>
      <c r="BL145" s="3080" t="s">
        <v>9164</v>
      </c>
      <c r="BM145" s="3094"/>
      <c r="BN145" s="3080">
        <f t="shared" si="198"/>
        <v>1746</v>
      </c>
      <c r="BO145" s="3080">
        <f t="shared" si="199"/>
        <v>1746</v>
      </c>
      <c r="BP145" s="3080">
        <f t="shared" si="200"/>
        <v>1746</v>
      </c>
      <c r="BQ145" s="3080">
        <f t="shared" si="201"/>
        <v>1746</v>
      </c>
      <c r="BR145" s="3080">
        <f t="shared" si="261"/>
        <v>0</v>
      </c>
      <c r="BS145" s="3088">
        <f t="shared" si="262"/>
        <v>519464</v>
      </c>
      <c r="BT145" s="3088">
        <f t="shared" ref="BT145:BW145" si="292">BT141-BN145</f>
        <v>-3492</v>
      </c>
      <c r="BU145" s="3088">
        <f t="shared" si="292"/>
        <v>-3492</v>
      </c>
      <c r="BV145" s="3088">
        <f t="shared" si="292"/>
        <v>-3492</v>
      </c>
      <c r="BW145" s="3088">
        <f t="shared" si="292"/>
        <v>-3492</v>
      </c>
      <c r="BX145" s="3088"/>
    </row>
    <row r="146" s="3031" customFormat="1" ht="32" customHeight="1" spans="1:76 16376:16384">
      <c r="A146" s="3063">
        <v>45728</v>
      </c>
      <c r="B146" s="3064" t="s">
        <v>77</v>
      </c>
      <c r="C146" s="3065" t="s">
        <v>78</v>
      </c>
      <c r="D146" s="3066">
        <v>4500159868</v>
      </c>
      <c r="E146" s="3091">
        <v>4401015350</v>
      </c>
      <c r="F146" s="3066" t="s">
        <v>9582</v>
      </c>
      <c r="G146" s="3098" t="s">
        <v>9519</v>
      </c>
      <c r="H146" s="3069" t="s">
        <v>9520</v>
      </c>
      <c r="I146" s="2969">
        <v>2980</v>
      </c>
      <c r="J146" s="2969">
        <v>0</v>
      </c>
      <c r="K146" s="2969">
        <v>4</v>
      </c>
      <c r="L146" s="2969">
        <f t="shared" si="203"/>
        <v>745</v>
      </c>
      <c r="M146" s="3070">
        <v>45810</v>
      </c>
      <c r="N146" s="3070">
        <f t="shared" si="291"/>
        <v>45806</v>
      </c>
      <c r="O146" s="2996" t="s">
        <v>9583</v>
      </c>
      <c r="P146" s="2996" t="s">
        <v>82</v>
      </c>
      <c r="Q146" s="3071"/>
      <c r="R146" s="3071"/>
      <c r="S146" s="3071"/>
      <c r="T146" s="3071"/>
      <c r="U146" s="3072" t="s">
        <v>3660</v>
      </c>
      <c r="V146" s="2996"/>
      <c r="W146" s="3073" t="s">
        <v>5716</v>
      </c>
      <c r="X146" s="3073"/>
      <c r="Y146" s="3073" t="s">
        <v>9521</v>
      </c>
      <c r="Z146" s="3073"/>
      <c r="AA146" s="3073"/>
      <c r="AB146" s="3091" t="s">
        <v>9522</v>
      </c>
      <c r="AC146" s="2969" t="s">
        <v>338</v>
      </c>
      <c r="AD146" s="3075">
        <v>16.9297</v>
      </c>
      <c r="AE146" s="3076">
        <f t="shared" si="278"/>
        <v>12612.6265</v>
      </c>
      <c r="AF146" s="2969"/>
      <c r="AG146" s="3098" t="s">
        <v>9519</v>
      </c>
      <c r="AH146" s="2969" t="s">
        <v>416</v>
      </c>
      <c r="AI146" s="3108"/>
      <c r="AJ146" s="3078"/>
      <c r="AK146" s="3108"/>
      <c r="AL146" s="3078"/>
      <c r="AM146" s="3093"/>
      <c r="AN146" s="3078">
        <f t="shared" si="279"/>
        <v>2980</v>
      </c>
      <c r="AO146" s="3096"/>
      <c r="AP146" s="3080"/>
      <c r="AQ146" s="3080"/>
      <c r="AR146" s="3080"/>
      <c r="AS146" s="3081">
        <f t="shared" si="280"/>
        <v>2980</v>
      </c>
      <c r="AT146" s="3114"/>
      <c r="AU146" s="3096"/>
      <c r="AV146" s="3096"/>
      <c r="AW146" s="3115"/>
      <c r="AX146" s="3085">
        <f t="shared" si="275"/>
        <v>745</v>
      </c>
      <c r="AY146" s="3080">
        <f t="shared" si="281"/>
        <v>745</v>
      </c>
      <c r="AZ146" s="3080">
        <f t="shared" si="282"/>
        <v>745</v>
      </c>
      <c r="BA146" s="3086">
        <f t="shared" si="283"/>
        <v>745</v>
      </c>
      <c r="BB146" s="3087"/>
      <c r="BC146" s="3080"/>
      <c r="BD146" s="3080"/>
      <c r="BE146" s="3080"/>
      <c r="BF146" s="3080"/>
      <c r="BG146" s="3080"/>
      <c r="BH146" s="3080"/>
      <c r="BI146" s="3080"/>
      <c r="BJ146" s="3080">
        <f t="shared" si="286"/>
        <v>2980</v>
      </c>
      <c r="BK146" s="3080"/>
      <c r="BL146" s="3080" t="s">
        <v>9164</v>
      </c>
      <c r="BM146" s="3094"/>
      <c r="BN146" s="3080">
        <f t="shared" si="198"/>
        <v>745</v>
      </c>
      <c r="BO146" s="3080">
        <f t="shared" si="199"/>
        <v>745</v>
      </c>
      <c r="BP146" s="3080">
        <f t="shared" si="200"/>
        <v>745</v>
      </c>
      <c r="BQ146" s="3080">
        <f t="shared" si="201"/>
        <v>745</v>
      </c>
      <c r="BR146" s="3080">
        <f t="shared" si="261"/>
        <v>0</v>
      </c>
      <c r="BS146" s="3088">
        <f t="shared" si="262"/>
        <v>515460</v>
      </c>
      <c r="BT146" s="3088">
        <f t="shared" ref="BT146:BW146" si="293">BT145-BN146</f>
        <v>-4237</v>
      </c>
      <c r="BU146" s="3088">
        <f t="shared" si="293"/>
        <v>-4237</v>
      </c>
      <c r="BV146" s="3088">
        <f t="shared" si="293"/>
        <v>-4237</v>
      </c>
      <c r="BW146" s="3088">
        <f t="shared" si="293"/>
        <v>-4237</v>
      </c>
      <c r="BX146" s="3088"/>
    </row>
    <row r="147" s="3031" customFormat="1" ht="32" customHeight="1" spans="1:76 16376:16384">
      <c r="A147" s="3063">
        <v>45765</v>
      </c>
      <c r="B147" s="3064" t="s">
        <v>331</v>
      </c>
      <c r="C147" s="3065" t="s">
        <v>793</v>
      </c>
      <c r="D147" s="3066">
        <v>4500164228</v>
      </c>
      <c r="E147" s="3091" t="s">
        <v>6891</v>
      </c>
      <c r="F147" s="3066" t="s">
        <v>9584</v>
      </c>
      <c r="G147" s="3098" t="s">
        <v>9585</v>
      </c>
      <c r="H147" s="3069" t="s">
        <v>9155</v>
      </c>
      <c r="I147" s="2969">
        <v>1000</v>
      </c>
      <c r="J147" s="2969">
        <v>0</v>
      </c>
      <c r="K147" s="2969">
        <v>1</v>
      </c>
      <c r="L147" s="2969">
        <f t="shared" si="203"/>
        <v>1000</v>
      </c>
      <c r="M147" s="3070">
        <v>45810</v>
      </c>
      <c r="N147" s="3070">
        <f t="shared" si="291"/>
        <v>45806</v>
      </c>
      <c r="O147" s="2996"/>
      <c r="P147" s="2996" t="s">
        <v>82</v>
      </c>
      <c r="Q147" s="3071"/>
      <c r="R147" s="3071"/>
      <c r="S147" s="3071"/>
      <c r="T147" s="3071"/>
      <c r="U147" s="3072" t="s">
        <v>279</v>
      </c>
      <c r="V147" s="2996"/>
      <c r="W147" s="3073" t="s">
        <v>1267</v>
      </c>
      <c r="X147" s="3073"/>
      <c r="Y147" s="3073" t="s">
        <v>8485</v>
      </c>
      <c r="Z147" s="3073"/>
      <c r="AA147" s="3073"/>
      <c r="AB147" s="3091" t="s">
        <v>9586</v>
      </c>
      <c r="AC147" s="2969" t="s">
        <v>2382</v>
      </c>
      <c r="AD147" s="3075">
        <v>4.1238</v>
      </c>
      <c r="AE147" s="3076">
        <f t="shared" si="284"/>
        <v>4123.8</v>
      </c>
      <c r="AF147" s="2969"/>
      <c r="AG147" s="3098" t="s">
        <v>9585</v>
      </c>
      <c r="AH147" s="2969" t="s">
        <v>416</v>
      </c>
      <c r="AI147" s="3078"/>
      <c r="AJ147" s="3078">
        <f t="shared" ref="AJ147:AJ150" si="294">I147</f>
        <v>1000</v>
      </c>
      <c r="AK147" s="3078"/>
      <c r="AL147" s="3080"/>
      <c r="AM147" s="3080"/>
      <c r="AN147" s="3080"/>
      <c r="AO147" s="3081"/>
      <c r="AP147" s="3080">
        <f t="shared" ref="AP147:AP150" si="295">I147</f>
        <v>1000</v>
      </c>
      <c r="AQ147" s="3080"/>
      <c r="AR147" s="3080"/>
      <c r="AS147" s="3086"/>
      <c r="AT147" s="3087"/>
      <c r="AU147" s="3080"/>
      <c r="AV147" s="3080"/>
      <c r="AW147" s="3080"/>
      <c r="AX147" s="3085">
        <f t="shared" si="275"/>
        <v>250</v>
      </c>
      <c r="AY147" s="3080">
        <f t="shared" si="281"/>
        <v>250</v>
      </c>
      <c r="AZ147" s="3080">
        <f t="shared" si="288"/>
        <v>250</v>
      </c>
      <c r="BA147" s="3086">
        <f t="shared" si="289"/>
        <v>250</v>
      </c>
      <c r="BB147" s="3080"/>
      <c r="BC147" s="3080"/>
      <c r="BD147" s="3080"/>
      <c r="BE147" s="3080"/>
      <c r="BF147" s="3080"/>
      <c r="BG147" s="3080"/>
      <c r="BH147" s="3080"/>
      <c r="BI147" s="3080"/>
      <c r="BJ147" s="3080">
        <f t="shared" si="286"/>
        <v>1000</v>
      </c>
      <c r="BK147" s="3088"/>
      <c r="BL147" s="3080" t="s">
        <v>9164</v>
      </c>
      <c r="BM147" s="3088"/>
      <c r="BN147" s="3080">
        <f t="shared" si="198"/>
        <v>250</v>
      </c>
      <c r="BO147" s="3080">
        <f t="shared" si="199"/>
        <v>250</v>
      </c>
      <c r="BP147" s="3080">
        <f t="shared" si="200"/>
        <v>250</v>
      </c>
      <c r="BQ147" s="3088">
        <f t="shared" si="201"/>
        <v>250</v>
      </c>
      <c r="BR147" s="3080">
        <f t="shared" si="261"/>
        <v>0</v>
      </c>
      <c r="BS147" s="3088">
        <f t="shared" si="262"/>
        <v>513480</v>
      </c>
      <c r="BT147" s="3088">
        <f t="shared" ref="BT147:BW147" si="296">BT140-BN147</f>
        <v>-4863</v>
      </c>
      <c r="BU147" s="3088">
        <f t="shared" si="296"/>
        <v>-4863</v>
      </c>
      <c r="BV147" s="3088">
        <f t="shared" si="296"/>
        <v>-4863</v>
      </c>
      <c r="BW147" s="3088">
        <f t="shared" si="296"/>
        <v>-4863</v>
      </c>
      <c r="BX147" s="3088"/>
      <c r="XEV147" s="3119"/>
      <c r="XEW147" s="3064"/>
      <c r="XEX147" s="3065"/>
      <c r="XEY147" s="3066"/>
      <c r="XEZ147" s="3091"/>
      <c r="XFA147" s="3066"/>
      <c r="XFB147" s="3098"/>
      <c r="XFC147" s="3069"/>
      <c r="XFD147" s="2969"/>
    </row>
    <row r="148" s="3031" customFormat="1" ht="32" customHeight="1" spans="1:76 16376:16384">
      <c r="A148" s="3063">
        <v>45735</v>
      </c>
      <c r="B148" s="3064" t="s">
        <v>6907</v>
      </c>
      <c r="C148" s="3065" t="s">
        <v>91</v>
      </c>
      <c r="D148" s="3066">
        <v>4500160726</v>
      </c>
      <c r="E148" s="3091" t="s">
        <v>9587</v>
      </c>
      <c r="F148" s="3066" t="s">
        <v>9588</v>
      </c>
      <c r="G148" s="3098" t="s">
        <v>9154</v>
      </c>
      <c r="H148" s="3069" t="s">
        <v>9155</v>
      </c>
      <c r="I148" s="2969">
        <v>536</v>
      </c>
      <c r="J148" s="2969">
        <v>0</v>
      </c>
      <c r="K148" s="2969">
        <v>8</v>
      </c>
      <c r="L148" s="2969">
        <f t="shared" si="203"/>
        <v>67</v>
      </c>
      <c r="M148" s="3070">
        <v>45818</v>
      </c>
      <c r="N148" s="3070">
        <v>45814</v>
      </c>
      <c r="O148" s="2996"/>
      <c r="P148" s="2996" t="s">
        <v>82</v>
      </c>
      <c r="Q148" s="3071"/>
      <c r="R148" s="3071"/>
      <c r="S148" s="3071"/>
      <c r="T148" s="3071"/>
      <c r="U148" s="3072" t="s">
        <v>3739</v>
      </c>
      <c r="V148" s="2996"/>
      <c r="W148" s="3073" t="s">
        <v>5968</v>
      </c>
      <c r="X148" s="3073"/>
      <c r="Y148" s="3073" t="s">
        <v>1040</v>
      </c>
      <c r="Z148" s="3073"/>
      <c r="AA148" s="3073"/>
      <c r="AB148" s="3091" t="s">
        <v>9589</v>
      </c>
      <c r="AC148" s="3111" t="s">
        <v>6911</v>
      </c>
      <c r="AD148" s="3075">
        <v>4.1596</v>
      </c>
      <c r="AE148" s="3076">
        <f t="shared" si="284"/>
        <v>2229.5456</v>
      </c>
      <c r="AF148" s="2969"/>
      <c r="AG148" s="2969" t="s">
        <v>9154</v>
      </c>
      <c r="AH148" s="2969" t="s">
        <v>416</v>
      </c>
      <c r="AI148" s="3078"/>
      <c r="AJ148" s="3078">
        <f t="shared" si="294"/>
        <v>536</v>
      </c>
      <c r="AK148" s="3078"/>
      <c r="AL148" s="3078"/>
      <c r="AM148" s="3078"/>
      <c r="AN148" s="3078"/>
      <c r="AO148" s="3080"/>
      <c r="AP148" s="3080">
        <f t="shared" si="295"/>
        <v>536</v>
      </c>
      <c r="AQ148" s="3080"/>
      <c r="AR148" s="3080"/>
      <c r="AS148" s="3081"/>
      <c r="AT148" s="3085"/>
      <c r="AU148" s="3080"/>
      <c r="AV148" s="3080"/>
      <c r="AW148" s="3086"/>
      <c r="AX148" s="3085">
        <f t="shared" si="275"/>
        <v>134</v>
      </c>
      <c r="AY148" s="3080">
        <f>I148/4</f>
        <v>134</v>
      </c>
      <c r="AZ148" s="3080">
        <f>I148/4</f>
        <v>134</v>
      </c>
      <c r="BA148" s="3086">
        <f>I148/4</f>
        <v>134</v>
      </c>
      <c r="BB148" s="3087"/>
      <c r="BC148" s="3080"/>
      <c r="BD148" s="3080"/>
      <c r="BE148" s="3080"/>
      <c r="BF148" s="3080"/>
      <c r="BG148" s="3080"/>
      <c r="BH148" s="3080"/>
      <c r="BI148" s="3080"/>
      <c r="BJ148" s="3080">
        <f t="shared" si="286"/>
        <v>536</v>
      </c>
      <c r="BK148" s="3080"/>
      <c r="BL148" s="3080" t="s">
        <v>9164</v>
      </c>
      <c r="BM148" s="3080"/>
      <c r="BN148" s="3080">
        <f t="shared" si="198"/>
        <v>134</v>
      </c>
      <c r="BO148" s="3080">
        <f t="shared" si="199"/>
        <v>134</v>
      </c>
      <c r="BP148" s="3080">
        <f t="shared" si="200"/>
        <v>134</v>
      </c>
      <c r="BQ148" s="3088">
        <f t="shared" si="201"/>
        <v>134</v>
      </c>
      <c r="BR148" s="3080">
        <f t="shared" si="261"/>
        <v>0</v>
      </c>
      <c r="BS148" s="3088">
        <f t="shared" si="262"/>
        <v>513016</v>
      </c>
      <c r="BT148" s="3088">
        <f t="shared" ref="BT148:BW148" si="297">BT112-BN148</f>
        <v>130818.166666666</v>
      </c>
      <c r="BU148" s="3088">
        <f t="shared" si="297"/>
        <v>132026.166666666</v>
      </c>
      <c r="BV148" s="3088">
        <f t="shared" si="297"/>
        <v>132035.166666666</v>
      </c>
      <c r="BW148" s="3088">
        <f t="shared" si="297"/>
        <v>133421.833333333</v>
      </c>
      <c r="BX148" s="3088"/>
    </row>
    <row r="149" s="3031" customFormat="1" ht="32" customHeight="1" spans="1:76 16376:16384">
      <c r="A149" s="3063">
        <v>45774</v>
      </c>
      <c r="B149" s="3064" t="s">
        <v>6968</v>
      </c>
      <c r="C149" s="3065" t="s">
        <v>6969</v>
      </c>
      <c r="D149" s="3066">
        <v>4500160964</v>
      </c>
      <c r="E149" s="3091">
        <v>164147</v>
      </c>
      <c r="F149" s="3066" t="s">
        <v>9590</v>
      </c>
      <c r="G149" s="3098" t="s">
        <v>9355</v>
      </c>
      <c r="H149" s="3069" t="s">
        <v>9356</v>
      </c>
      <c r="I149" s="2969">
        <v>504</v>
      </c>
      <c r="J149" s="2969">
        <v>0</v>
      </c>
      <c r="K149" s="2969">
        <v>8</v>
      </c>
      <c r="L149" s="2969">
        <f t="shared" si="203"/>
        <v>63</v>
      </c>
      <c r="M149" s="3070">
        <v>45818</v>
      </c>
      <c r="N149" s="3070">
        <v>45814</v>
      </c>
      <c r="O149" s="2996"/>
      <c r="P149" s="2996" t="s">
        <v>82</v>
      </c>
      <c r="Q149" s="3071"/>
      <c r="R149" s="3071"/>
      <c r="S149" s="3071"/>
      <c r="T149" s="3071"/>
      <c r="U149" s="3072" t="s">
        <v>401</v>
      </c>
      <c r="V149" s="2996"/>
      <c r="W149" s="3073" t="s">
        <v>1295</v>
      </c>
      <c r="X149" s="3073"/>
      <c r="Y149" s="3073" t="s">
        <v>9591</v>
      </c>
      <c r="Z149" s="3073"/>
      <c r="AA149" s="3073"/>
      <c r="AB149" s="3091" t="s">
        <v>9592</v>
      </c>
      <c r="AC149" s="2969" t="s">
        <v>424</v>
      </c>
      <c r="AD149" s="3075">
        <v>4.2475</v>
      </c>
      <c r="AE149" s="3076">
        <f t="shared" si="284"/>
        <v>2140.74</v>
      </c>
      <c r="AF149" s="2969"/>
      <c r="AG149" s="2969" t="s">
        <v>9359</v>
      </c>
      <c r="AH149" s="2969" t="s">
        <v>416</v>
      </c>
      <c r="AI149" s="3078"/>
      <c r="AJ149" s="3078"/>
      <c r="AK149" s="3133"/>
      <c r="AL149" s="3078">
        <f>I149</f>
        <v>504</v>
      </c>
      <c r="AM149" s="3133"/>
      <c r="AN149" s="3078"/>
      <c r="AO149" s="3134"/>
      <c r="AP149" s="3080">
        <f t="shared" si="295"/>
        <v>504</v>
      </c>
      <c r="AQ149" s="3080"/>
      <c r="AR149" s="3080"/>
      <c r="AS149" s="3081"/>
      <c r="AT149" s="3135"/>
      <c r="AU149" s="3134"/>
      <c r="AV149" s="3134"/>
      <c r="AW149" s="3136"/>
      <c r="AX149" s="3085">
        <f t="shared" si="275"/>
        <v>126</v>
      </c>
      <c r="AY149" s="3080">
        <f t="shared" ref="AY149:AY158" si="298">AX149</f>
        <v>126</v>
      </c>
      <c r="AZ149" s="3080">
        <f t="shared" si="288"/>
        <v>126</v>
      </c>
      <c r="BA149" s="3086">
        <f t="shared" si="289"/>
        <v>126</v>
      </c>
      <c r="BB149" s="3087"/>
      <c r="BC149" s="3080"/>
      <c r="BD149" s="3080"/>
      <c r="BE149" s="3080"/>
      <c r="BF149" s="3080"/>
      <c r="BG149" s="3080"/>
      <c r="BH149" s="3080"/>
      <c r="BI149" s="3080"/>
      <c r="BJ149" s="3080">
        <f t="shared" si="286"/>
        <v>504</v>
      </c>
      <c r="BK149" s="3080"/>
      <c r="BL149" s="3080" t="s">
        <v>9164</v>
      </c>
      <c r="BM149" s="3134"/>
      <c r="BN149" s="3080">
        <f t="shared" si="198"/>
        <v>126</v>
      </c>
      <c r="BO149" s="3080">
        <f t="shared" si="199"/>
        <v>126</v>
      </c>
      <c r="BP149" s="3080">
        <f t="shared" si="200"/>
        <v>126</v>
      </c>
      <c r="BQ149" s="3088">
        <f t="shared" si="201"/>
        <v>126</v>
      </c>
      <c r="BR149" s="3080">
        <f t="shared" si="261"/>
        <v>0</v>
      </c>
      <c r="BS149" s="3088">
        <f t="shared" si="262"/>
        <v>512984</v>
      </c>
      <c r="BT149" s="3088">
        <f t="shared" ref="BT149:BW149" si="299">BT144-BN149</f>
        <v>-5089</v>
      </c>
      <c r="BU149" s="3088">
        <f t="shared" si="299"/>
        <v>-5089</v>
      </c>
      <c r="BV149" s="3088">
        <f t="shared" si="299"/>
        <v>-5089</v>
      </c>
      <c r="BW149" s="3088">
        <f t="shared" si="299"/>
        <v>-5089</v>
      </c>
      <c r="BX149" s="3088"/>
    </row>
    <row r="150" s="3031" customFormat="1" ht="32" customHeight="1" spans="1:76 16376:16384">
      <c r="A150" s="3063">
        <v>45776</v>
      </c>
      <c r="B150" s="3064" t="s">
        <v>2697</v>
      </c>
      <c r="C150" s="3065" t="s">
        <v>2698</v>
      </c>
      <c r="D150" s="3066">
        <v>4500165404</v>
      </c>
      <c r="E150" s="3091"/>
      <c r="F150" s="3066" t="s">
        <v>9593</v>
      </c>
      <c r="G150" s="3098" t="s">
        <v>9355</v>
      </c>
      <c r="H150" s="3069" t="s">
        <v>9356</v>
      </c>
      <c r="I150" s="2969">
        <v>5000</v>
      </c>
      <c r="J150" s="2969">
        <v>0</v>
      </c>
      <c r="K150" s="2969">
        <v>8</v>
      </c>
      <c r="L150" s="2969">
        <f t="shared" si="203"/>
        <v>625</v>
      </c>
      <c r="M150" s="3070">
        <v>45813</v>
      </c>
      <c r="N150" s="3070">
        <v>45820</v>
      </c>
      <c r="O150" s="2996" t="s">
        <v>9594</v>
      </c>
      <c r="P150" s="2996" t="s">
        <v>82</v>
      </c>
      <c r="Q150" s="3071"/>
      <c r="R150" s="3071"/>
      <c r="S150" s="3071"/>
      <c r="T150" s="3071"/>
      <c r="U150" s="3072" t="s">
        <v>3739</v>
      </c>
      <c r="V150" s="2996"/>
      <c r="W150" s="3073" t="s">
        <v>3725</v>
      </c>
      <c r="X150" s="3073"/>
      <c r="Y150" s="3073" t="s">
        <v>9595</v>
      </c>
      <c r="Z150" s="3073"/>
      <c r="AA150" s="3073" t="s">
        <v>9596</v>
      </c>
      <c r="AB150" s="3137" t="s">
        <v>9597</v>
      </c>
      <c r="AC150" s="2969" t="s">
        <v>559</v>
      </c>
      <c r="AD150" s="3075">
        <v>4.1178</v>
      </c>
      <c r="AE150" s="3076">
        <f t="shared" si="284"/>
        <v>20589</v>
      </c>
      <c r="AF150" s="2969"/>
      <c r="AG150" s="3098" t="s">
        <v>9598</v>
      </c>
      <c r="AH150" s="3098" t="s">
        <v>9598</v>
      </c>
      <c r="AI150" s="3078"/>
      <c r="AJ150" s="3078">
        <f t="shared" si="294"/>
        <v>5000</v>
      </c>
      <c r="AK150" s="3138"/>
      <c r="AL150" s="3078"/>
      <c r="AM150" s="3138"/>
      <c r="AN150" s="3078"/>
      <c r="AO150" s="3139"/>
      <c r="AP150" s="3080">
        <f t="shared" si="295"/>
        <v>5000</v>
      </c>
      <c r="AQ150" s="3080"/>
      <c r="AR150" s="3080"/>
      <c r="AS150" s="3081"/>
      <c r="AT150" s="3140"/>
      <c r="AU150" s="3141"/>
      <c r="AV150" s="3141"/>
      <c r="AW150" s="3139"/>
      <c r="AX150" s="3085">
        <f t="shared" si="275"/>
        <v>1250</v>
      </c>
      <c r="AY150" s="3080">
        <f>I150/4</f>
        <v>1250</v>
      </c>
      <c r="AZ150" s="3080">
        <f>I150/4</f>
        <v>1250</v>
      </c>
      <c r="BA150" s="3086">
        <f>I150/4</f>
        <v>1250</v>
      </c>
      <c r="BB150" s="3087"/>
      <c r="BC150" s="3080"/>
      <c r="BD150" s="3080"/>
      <c r="BE150" s="3080"/>
      <c r="BF150" s="3080"/>
      <c r="BG150" s="3080"/>
      <c r="BH150" s="3080"/>
      <c r="BI150" s="3080"/>
      <c r="BJ150" s="3080"/>
      <c r="BK150" s="3080">
        <f>I150</f>
        <v>5000</v>
      </c>
      <c r="BL150" s="3080" t="s">
        <v>9164</v>
      </c>
      <c r="BM150" s="3141"/>
      <c r="BN150" s="3088">
        <f t="shared" si="198"/>
        <v>1250</v>
      </c>
      <c r="BO150" s="3088">
        <f t="shared" si="199"/>
        <v>1250</v>
      </c>
      <c r="BP150" s="3088">
        <f t="shared" si="200"/>
        <v>1250</v>
      </c>
      <c r="BQ150" s="3088">
        <f t="shared" si="201"/>
        <v>1250</v>
      </c>
      <c r="BR150" s="3080">
        <f t="shared" si="261"/>
        <v>0</v>
      </c>
      <c r="BS150" s="3088"/>
      <c r="BT150" s="3088"/>
      <c r="BU150" s="3088"/>
      <c r="BV150" s="3088"/>
      <c r="BW150" s="3088"/>
      <c r="BX150" s="3088"/>
    </row>
    <row r="151" s="3031" customFormat="1" ht="32" customHeight="1" spans="1:76 16376:16384">
      <c r="A151" s="3063">
        <v>45728</v>
      </c>
      <c r="B151" s="3064" t="s">
        <v>77</v>
      </c>
      <c r="C151" s="3065" t="s">
        <v>78</v>
      </c>
      <c r="D151" s="3066">
        <v>4500159868</v>
      </c>
      <c r="E151" s="3091">
        <v>4401015361</v>
      </c>
      <c r="F151" s="3066" t="s">
        <v>9599</v>
      </c>
      <c r="G151" s="3098" t="s">
        <v>9519</v>
      </c>
      <c r="H151" s="3069" t="s">
        <v>9520</v>
      </c>
      <c r="I151" s="2969">
        <v>6984</v>
      </c>
      <c r="J151" s="2969">
        <v>0</v>
      </c>
      <c r="K151" s="2969">
        <v>4</v>
      </c>
      <c r="L151" s="2969">
        <f t="shared" si="203"/>
        <v>1746</v>
      </c>
      <c r="M151" s="3070">
        <v>45824</v>
      </c>
      <c r="N151" s="3070">
        <v>45820</v>
      </c>
      <c r="O151" s="2996"/>
      <c r="P151" s="2996" t="s">
        <v>82</v>
      </c>
      <c r="Q151" s="3071"/>
      <c r="R151" s="3071"/>
      <c r="S151" s="3071"/>
      <c r="T151" s="3071"/>
      <c r="U151" s="3072" t="s">
        <v>5893</v>
      </c>
      <c r="V151" s="2996"/>
      <c r="W151" s="3073" t="s">
        <v>5716</v>
      </c>
      <c r="X151" s="3073"/>
      <c r="Y151" s="3073" t="s">
        <v>9521</v>
      </c>
      <c r="Z151" s="3073"/>
      <c r="AA151" s="3073"/>
      <c r="AB151" s="3091" t="s">
        <v>9522</v>
      </c>
      <c r="AC151" s="2969" t="s">
        <v>338</v>
      </c>
      <c r="AD151" s="3075">
        <v>16.8851</v>
      </c>
      <c r="AE151" s="3076">
        <f>AD151*L151</f>
        <v>29481.3846</v>
      </c>
      <c r="AF151" s="2969"/>
      <c r="AG151" s="3098" t="s">
        <v>9519</v>
      </c>
      <c r="AH151" s="2969" t="s">
        <v>416</v>
      </c>
      <c r="AI151" s="3078"/>
      <c r="AJ151" s="3078"/>
      <c r="AK151" s="3078"/>
      <c r="AL151" s="3078"/>
      <c r="AM151" s="3138"/>
      <c r="AN151" s="3078">
        <f>I151</f>
        <v>6984</v>
      </c>
      <c r="AO151" s="3080"/>
      <c r="AP151" s="3080"/>
      <c r="AQ151" s="3080"/>
      <c r="AR151" s="3080"/>
      <c r="AS151" s="3081">
        <f>I151</f>
        <v>6984</v>
      </c>
      <c r="AT151" s="3085"/>
      <c r="AU151" s="3080"/>
      <c r="AV151" s="3080"/>
      <c r="AW151" s="3086"/>
      <c r="AX151" s="3085">
        <f t="shared" si="275"/>
        <v>1746</v>
      </c>
      <c r="AY151" s="3080">
        <f t="shared" si="298"/>
        <v>1746</v>
      </c>
      <c r="AZ151" s="3080">
        <f t="shared" ref="AZ151:AZ158" si="300">AX151</f>
        <v>1746</v>
      </c>
      <c r="BA151" s="3086">
        <f t="shared" ref="BA151:BA158" si="301">AX151</f>
        <v>1746</v>
      </c>
      <c r="BB151" s="3087"/>
      <c r="BC151" s="3080"/>
      <c r="BD151" s="3080"/>
      <c r="BE151" s="3080"/>
      <c r="BF151" s="3080"/>
      <c r="BG151" s="3080"/>
      <c r="BH151" s="3080"/>
      <c r="BI151" s="3080"/>
      <c r="BJ151" s="3080">
        <f t="shared" ref="BJ151:BJ169" si="302">I151</f>
        <v>6984</v>
      </c>
      <c r="BK151" s="3080"/>
      <c r="BL151" s="3080" t="s">
        <v>9164</v>
      </c>
      <c r="BM151" s="3141"/>
      <c r="BN151" s="3080">
        <f t="shared" si="198"/>
        <v>1746</v>
      </c>
      <c r="BO151" s="3080">
        <f t="shared" si="199"/>
        <v>1746</v>
      </c>
      <c r="BP151" s="3080">
        <f t="shared" si="200"/>
        <v>1746</v>
      </c>
      <c r="BQ151" s="3080">
        <f t="shared" si="201"/>
        <v>1746</v>
      </c>
      <c r="BR151" s="3080">
        <f t="shared" si="261"/>
        <v>0</v>
      </c>
      <c r="BS151" s="3088">
        <f t="shared" ref="BS151:BS158" si="303">BN151+BO151+BP151+BQ151+$BS$369</f>
        <v>519464</v>
      </c>
      <c r="BT151" s="3088">
        <f t="shared" ref="BT151:BW151" si="304">BT144-BN151</f>
        <v>-6709</v>
      </c>
      <c r="BU151" s="3088">
        <f t="shared" si="304"/>
        <v>-6709</v>
      </c>
      <c r="BV151" s="3088">
        <f t="shared" si="304"/>
        <v>-6709</v>
      </c>
      <c r="BW151" s="3088">
        <f t="shared" si="304"/>
        <v>-6709</v>
      </c>
      <c r="BX151" s="3088"/>
    </row>
    <row r="152" s="3031" customFormat="1" ht="32" customHeight="1" spans="1:76 16376:16384">
      <c r="A152" s="3063">
        <v>45728</v>
      </c>
      <c r="B152" s="3064" t="s">
        <v>77</v>
      </c>
      <c r="C152" s="3065" t="s">
        <v>78</v>
      </c>
      <c r="D152" s="3066">
        <v>4500159868</v>
      </c>
      <c r="E152" s="3091">
        <v>4401015352</v>
      </c>
      <c r="F152" s="3066" t="s">
        <v>9600</v>
      </c>
      <c r="G152" s="3098" t="s">
        <v>9519</v>
      </c>
      <c r="H152" s="3069" t="s">
        <v>9520</v>
      </c>
      <c r="I152" s="2969">
        <v>6984</v>
      </c>
      <c r="J152" s="2969">
        <v>0</v>
      </c>
      <c r="K152" s="2969">
        <v>4</v>
      </c>
      <c r="L152" s="2969">
        <f t="shared" si="203"/>
        <v>1746</v>
      </c>
      <c r="M152" s="3070">
        <v>45824</v>
      </c>
      <c r="N152" s="3070">
        <v>45820</v>
      </c>
      <c r="O152" s="2996"/>
      <c r="P152" s="2996" t="s">
        <v>82</v>
      </c>
      <c r="Q152" s="3071"/>
      <c r="R152" s="3071"/>
      <c r="S152" s="3071"/>
      <c r="T152" s="3071"/>
      <c r="U152" s="3072" t="s">
        <v>1335</v>
      </c>
      <c r="V152" s="2996"/>
      <c r="W152" s="3073" t="s">
        <v>5716</v>
      </c>
      <c r="X152" s="3073"/>
      <c r="Y152" s="3073" t="s">
        <v>9521</v>
      </c>
      <c r="Z152" s="3073"/>
      <c r="AA152" s="3073"/>
      <c r="AB152" s="3091" t="s">
        <v>9522</v>
      </c>
      <c r="AC152" s="2969" t="s">
        <v>338</v>
      </c>
      <c r="AD152" s="3075">
        <v>16.8851</v>
      </c>
      <c r="AE152" s="3076">
        <f>AD152*L152</f>
        <v>29481.3846</v>
      </c>
      <c r="AF152" s="2969"/>
      <c r="AG152" s="3098" t="s">
        <v>9519</v>
      </c>
      <c r="AH152" s="2969" t="s">
        <v>416</v>
      </c>
      <c r="AI152" s="3078"/>
      <c r="AJ152" s="3078"/>
      <c r="AK152" s="3078"/>
      <c r="AL152" s="3078"/>
      <c r="AM152" s="3138"/>
      <c r="AN152" s="3078">
        <f>I152</f>
        <v>6984</v>
      </c>
      <c r="AO152" s="3080"/>
      <c r="AP152" s="3080"/>
      <c r="AQ152" s="3080"/>
      <c r="AR152" s="3080"/>
      <c r="AS152" s="3081">
        <f>I152</f>
        <v>6984</v>
      </c>
      <c r="AT152" s="3085"/>
      <c r="AU152" s="3080"/>
      <c r="AV152" s="3080"/>
      <c r="AW152" s="3086"/>
      <c r="AX152" s="3085">
        <f t="shared" si="275"/>
        <v>1746</v>
      </c>
      <c r="AY152" s="3080">
        <f t="shared" si="298"/>
        <v>1746</v>
      </c>
      <c r="AZ152" s="3080">
        <f t="shared" si="300"/>
        <v>1746</v>
      </c>
      <c r="BA152" s="3086">
        <f t="shared" si="301"/>
        <v>1746</v>
      </c>
      <c r="BB152" s="3087"/>
      <c r="BC152" s="3080"/>
      <c r="BD152" s="3080"/>
      <c r="BE152" s="3080"/>
      <c r="BF152" s="3080"/>
      <c r="BG152" s="3080"/>
      <c r="BH152" s="3080"/>
      <c r="BI152" s="3080"/>
      <c r="BJ152" s="3080">
        <f t="shared" si="302"/>
        <v>6984</v>
      </c>
      <c r="BK152" s="3080"/>
      <c r="BL152" s="3080" t="s">
        <v>9164</v>
      </c>
      <c r="BM152" s="3141"/>
      <c r="BN152" s="3080">
        <f t="shared" si="198"/>
        <v>1746</v>
      </c>
      <c r="BO152" s="3080">
        <f t="shared" si="199"/>
        <v>1746</v>
      </c>
      <c r="BP152" s="3080">
        <f t="shared" si="200"/>
        <v>1746</v>
      </c>
      <c r="BQ152" s="3080">
        <f t="shared" si="201"/>
        <v>1746</v>
      </c>
      <c r="BR152" s="3080">
        <f t="shared" si="261"/>
        <v>0</v>
      </c>
      <c r="BS152" s="3088">
        <f t="shared" si="303"/>
        <v>519464</v>
      </c>
      <c r="BT152" s="3088">
        <f t="shared" ref="BT152:BW152" si="305">BT151-BN152</f>
        <v>-8455</v>
      </c>
      <c r="BU152" s="3088">
        <f t="shared" si="305"/>
        <v>-8455</v>
      </c>
      <c r="BV152" s="3088">
        <f t="shared" si="305"/>
        <v>-8455</v>
      </c>
      <c r="BW152" s="3088">
        <f t="shared" si="305"/>
        <v>-8455</v>
      </c>
      <c r="BX152" s="3088"/>
    </row>
    <row r="153" s="3031" customFormat="1" ht="32" customHeight="1" spans="1:76 16376:16384">
      <c r="A153" s="3063">
        <v>45789</v>
      </c>
      <c r="B153" s="3064" t="s">
        <v>3848</v>
      </c>
      <c r="C153" s="3065" t="s">
        <v>341</v>
      </c>
      <c r="D153" s="3066">
        <v>4500166127</v>
      </c>
      <c r="E153" s="3091" t="s">
        <v>9601</v>
      </c>
      <c r="F153" s="3066" t="s">
        <v>9602</v>
      </c>
      <c r="G153" s="3098" t="s">
        <v>9154</v>
      </c>
      <c r="H153" s="3069" t="s">
        <v>9155</v>
      </c>
      <c r="I153" s="2969">
        <v>504</v>
      </c>
      <c r="J153" s="2969">
        <v>0</v>
      </c>
      <c r="K153" s="2969">
        <v>8</v>
      </c>
      <c r="L153" s="2969">
        <f t="shared" si="203"/>
        <v>63</v>
      </c>
      <c r="M153" s="3070">
        <v>45826</v>
      </c>
      <c r="N153" s="3070">
        <v>45822</v>
      </c>
      <c r="O153" s="2996"/>
      <c r="P153" s="2996" t="s">
        <v>82</v>
      </c>
      <c r="Q153" s="3071"/>
      <c r="R153" s="3071"/>
      <c r="S153" s="3071"/>
      <c r="T153" s="3071"/>
      <c r="U153" s="3072" t="s">
        <v>3839</v>
      </c>
      <c r="V153" s="2996"/>
      <c r="W153" s="3073" t="s">
        <v>1336</v>
      </c>
      <c r="X153" s="3073"/>
      <c r="Y153" s="3073" t="s">
        <v>98</v>
      </c>
      <c r="Z153" s="3073"/>
      <c r="AA153" s="3073"/>
      <c r="AB153" s="3091" t="s">
        <v>9603</v>
      </c>
      <c r="AC153" s="2969" t="s">
        <v>3852</v>
      </c>
      <c r="AD153" s="3075">
        <v>4.1596</v>
      </c>
      <c r="AE153" s="3076">
        <f t="shared" ref="AE153:AE163" si="306">AD153*I153</f>
        <v>2096.4384</v>
      </c>
      <c r="AF153" s="2969"/>
      <c r="AG153" s="2969" t="s">
        <v>9154</v>
      </c>
      <c r="AH153" s="2969" t="s">
        <v>416</v>
      </c>
      <c r="AI153" s="3108"/>
      <c r="AJ153" s="3078">
        <f t="shared" ref="AJ153:AJ158" si="307">I153</f>
        <v>504</v>
      </c>
      <c r="AK153" s="3093"/>
      <c r="AL153" s="3078"/>
      <c r="AM153" s="3093"/>
      <c r="AN153" s="3078"/>
      <c r="AO153" s="3094"/>
      <c r="AP153" s="3080">
        <f t="shared" ref="AP153:AP163" si="308">I153</f>
        <v>504</v>
      </c>
      <c r="AQ153" s="3080"/>
      <c r="AR153" s="3080"/>
      <c r="AS153" s="3081"/>
      <c r="AT153" s="3123"/>
      <c r="AU153" s="3094"/>
      <c r="AV153" s="3094"/>
      <c r="AW153" s="3124"/>
      <c r="AX153" s="3085">
        <f t="shared" si="275"/>
        <v>126</v>
      </c>
      <c r="AY153" s="3080">
        <f t="shared" si="298"/>
        <v>126</v>
      </c>
      <c r="AZ153" s="3080">
        <f t="shared" si="300"/>
        <v>126</v>
      </c>
      <c r="BA153" s="3086">
        <f t="shared" si="301"/>
        <v>126</v>
      </c>
      <c r="BB153" s="3087"/>
      <c r="BC153" s="3080"/>
      <c r="BD153" s="3080"/>
      <c r="BE153" s="3080"/>
      <c r="BF153" s="3080"/>
      <c r="BG153" s="3080"/>
      <c r="BH153" s="3080"/>
      <c r="BI153" s="3080"/>
      <c r="BJ153" s="3080">
        <f t="shared" si="302"/>
        <v>504</v>
      </c>
      <c r="BK153" s="3080"/>
      <c r="BL153" s="3080" t="s">
        <v>9164</v>
      </c>
      <c r="BM153" s="3094"/>
      <c r="BN153" s="3080">
        <f t="shared" si="198"/>
        <v>126</v>
      </c>
      <c r="BO153" s="3080">
        <f t="shared" si="199"/>
        <v>126</v>
      </c>
      <c r="BP153" s="3080">
        <f t="shared" si="200"/>
        <v>126</v>
      </c>
      <c r="BQ153" s="3088">
        <f t="shared" si="201"/>
        <v>126</v>
      </c>
      <c r="BR153" s="3080">
        <f t="shared" si="261"/>
        <v>0</v>
      </c>
      <c r="BS153" s="3088">
        <f t="shared" si="303"/>
        <v>512984</v>
      </c>
      <c r="BT153" s="3088"/>
      <c r="BU153" s="3088"/>
      <c r="BV153" s="3088"/>
      <c r="BW153" s="3088"/>
      <c r="BX153" s="3088"/>
    </row>
    <row r="154" s="3031" customFormat="1" ht="32" customHeight="1" spans="1:76 16376:16384">
      <c r="A154" s="3063">
        <v>45789</v>
      </c>
      <c r="B154" s="3064" t="s">
        <v>6945</v>
      </c>
      <c r="C154" s="3065" t="s">
        <v>1385</v>
      </c>
      <c r="D154" s="3066">
        <v>4500165851</v>
      </c>
      <c r="E154" s="3091" t="s">
        <v>3906</v>
      </c>
      <c r="F154" s="3066" t="s">
        <v>9604</v>
      </c>
      <c r="G154" s="3098" t="s">
        <v>9154</v>
      </c>
      <c r="H154" s="3069" t="s">
        <v>9155</v>
      </c>
      <c r="I154" s="2969">
        <v>224</v>
      </c>
      <c r="J154" s="2969">
        <v>0</v>
      </c>
      <c r="K154" s="2969">
        <v>8</v>
      </c>
      <c r="L154" s="2969">
        <f t="shared" si="203"/>
        <v>28</v>
      </c>
      <c r="M154" s="3070">
        <v>45828</v>
      </c>
      <c r="N154" s="3070">
        <v>45824</v>
      </c>
      <c r="O154" s="2996"/>
      <c r="P154" s="2996" t="s">
        <v>82</v>
      </c>
      <c r="Q154" s="3071"/>
      <c r="R154" s="3071"/>
      <c r="S154" s="3071"/>
      <c r="T154" s="3071"/>
      <c r="U154" s="3072" t="s">
        <v>3908</v>
      </c>
      <c r="V154" s="2996"/>
      <c r="W154" s="3073" t="s">
        <v>3909</v>
      </c>
      <c r="X154" s="3073"/>
      <c r="Y154" s="3073" t="s">
        <v>9605</v>
      </c>
      <c r="Z154" s="3073"/>
      <c r="AA154" s="3073"/>
      <c r="AB154" s="3091" t="s">
        <v>3911</v>
      </c>
      <c r="AC154" s="2969" t="s">
        <v>1389</v>
      </c>
      <c r="AD154" s="3075">
        <v>4.1708</v>
      </c>
      <c r="AE154" s="3076">
        <f t="shared" si="306"/>
        <v>934.2592</v>
      </c>
      <c r="AF154" s="2969"/>
      <c r="AG154" s="2969" t="s">
        <v>9154</v>
      </c>
      <c r="AH154" s="2969" t="s">
        <v>416</v>
      </c>
      <c r="AI154" s="3108"/>
      <c r="AJ154" s="3078">
        <f t="shared" si="307"/>
        <v>224</v>
      </c>
      <c r="AK154" s="3093"/>
      <c r="AL154" s="3078"/>
      <c r="AM154" s="3093"/>
      <c r="AN154" s="3078"/>
      <c r="AO154" s="3094"/>
      <c r="AP154" s="3080">
        <f t="shared" si="308"/>
        <v>224</v>
      </c>
      <c r="AQ154" s="3080"/>
      <c r="AR154" s="3080"/>
      <c r="AS154" s="3081"/>
      <c r="AT154" s="3123"/>
      <c r="AU154" s="3094"/>
      <c r="AV154" s="3094"/>
      <c r="AW154" s="3124"/>
      <c r="AX154" s="3085">
        <f t="shared" si="275"/>
        <v>56</v>
      </c>
      <c r="AY154" s="3080">
        <f t="shared" si="298"/>
        <v>56</v>
      </c>
      <c r="AZ154" s="3080">
        <f t="shared" si="300"/>
        <v>56</v>
      </c>
      <c r="BA154" s="3086">
        <f t="shared" si="301"/>
        <v>56</v>
      </c>
      <c r="BB154" s="3087"/>
      <c r="BC154" s="3080"/>
      <c r="BD154" s="3080"/>
      <c r="BE154" s="3080"/>
      <c r="BF154" s="3080"/>
      <c r="BG154" s="3080"/>
      <c r="BH154" s="3080"/>
      <c r="BI154" s="3080"/>
      <c r="BJ154" s="3080">
        <f t="shared" si="302"/>
        <v>224</v>
      </c>
      <c r="BK154" s="3080"/>
      <c r="BL154" s="3080" t="s">
        <v>9164</v>
      </c>
      <c r="BM154" s="3094"/>
      <c r="BN154" s="3080">
        <f t="shared" si="198"/>
        <v>56</v>
      </c>
      <c r="BO154" s="3080">
        <f t="shared" si="199"/>
        <v>56</v>
      </c>
      <c r="BP154" s="3080">
        <f t="shared" si="200"/>
        <v>56</v>
      </c>
      <c r="BQ154" s="3088">
        <f t="shared" si="201"/>
        <v>56</v>
      </c>
      <c r="BR154" s="3080">
        <f t="shared" si="261"/>
        <v>0</v>
      </c>
      <c r="BS154" s="3088">
        <f t="shared" si="303"/>
        <v>512704</v>
      </c>
      <c r="BT154" s="3088"/>
      <c r="BU154" s="3088"/>
      <c r="BV154" s="3088"/>
      <c r="BW154" s="3088"/>
      <c r="BX154" s="3088"/>
    </row>
    <row r="155" s="3031" customFormat="1" ht="32" customHeight="1" spans="1:76 16376:16384">
      <c r="A155" s="3063">
        <v>45793</v>
      </c>
      <c r="B155" s="3064" t="s">
        <v>3901</v>
      </c>
      <c r="C155" s="3065" t="s">
        <v>1316</v>
      </c>
      <c r="D155" s="3066">
        <v>4500166776</v>
      </c>
      <c r="E155" s="3091"/>
      <c r="F155" s="3066" t="s">
        <v>9606</v>
      </c>
      <c r="G155" s="3098" t="s">
        <v>9154</v>
      </c>
      <c r="H155" s="3069" t="s">
        <v>9155</v>
      </c>
      <c r="I155" s="2969">
        <v>2400</v>
      </c>
      <c r="J155" s="2969">
        <v>0</v>
      </c>
      <c r="K155" s="2969">
        <v>8</v>
      </c>
      <c r="L155" s="2969">
        <f t="shared" si="203"/>
        <v>300</v>
      </c>
      <c r="M155" s="3070">
        <v>45828</v>
      </c>
      <c r="N155" s="3070">
        <v>45824</v>
      </c>
      <c r="O155" s="2996"/>
      <c r="P155" s="2996" t="s">
        <v>82</v>
      </c>
      <c r="Q155" s="3071"/>
      <c r="R155" s="3071"/>
      <c r="S155" s="3071"/>
      <c r="T155" s="3071"/>
      <c r="U155" s="3072" t="s">
        <v>3759</v>
      </c>
      <c r="V155" s="2996"/>
      <c r="W155" s="3073" t="s">
        <v>1273</v>
      </c>
      <c r="X155" s="3073"/>
      <c r="Y155" s="3073" t="s">
        <v>3903</v>
      </c>
      <c r="Z155" s="3073"/>
      <c r="AA155" s="3073"/>
      <c r="AB155" s="3137" t="s">
        <v>9607</v>
      </c>
      <c r="AC155" s="2969" t="s">
        <v>1326</v>
      </c>
      <c r="AD155" s="3075">
        <v>4.1486</v>
      </c>
      <c r="AE155" s="3076">
        <f t="shared" si="306"/>
        <v>9956.64</v>
      </c>
      <c r="AF155" s="2969"/>
      <c r="AG155" s="3098" t="s">
        <v>9239</v>
      </c>
      <c r="AH155" s="2969" t="s">
        <v>416</v>
      </c>
      <c r="AI155" s="3078"/>
      <c r="AJ155" s="3078"/>
      <c r="AK155" s="3138"/>
      <c r="AL155" s="3078">
        <f t="shared" ref="AL155:AL162" si="309">I155</f>
        <v>2400</v>
      </c>
      <c r="AM155" s="3138"/>
      <c r="AN155" s="3080"/>
      <c r="AO155" s="3141"/>
      <c r="AP155" s="3080">
        <f t="shared" si="308"/>
        <v>2400</v>
      </c>
      <c r="AQ155" s="3080"/>
      <c r="AR155" s="3080"/>
      <c r="AS155" s="3081"/>
      <c r="AT155" s="3142"/>
      <c r="AU155" s="3141"/>
      <c r="AV155" s="3141"/>
      <c r="AW155" s="3143"/>
      <c r="AX155" s="3085">
        <f t="shared" si="275"/>
        <v>600</v>
      </c>
      <c r="AY155" s="3080">
        <f t="shared" si="298"/>
        <v>600</v>
      </c>
      <c r="AZ155" s="3080">
        <f t="shared" si="300"/>
        <v>600</v>
      </c>
      <c r="BA155" s="3086">
        <f t="shared" si="301"/>
        <v>600</v>
      </c>
      <c r="BB155" s="3087"/>
      <c r="BC155" s="3080"/>
      <c r="BD155" s="3080"/>
      <c r="BE155" s="3080"/>
      <c r="BF155" s="3080"/>
      <c r="BG155" s="3080"/>
      <c r="BH155" s="3080"/>
      <c r="BI155" s="3080"/>
      <c r="BJ155" s="3080">
        <f t="shared" si="302"/>
        <v>2400</v>
      </c>
      <c r="BK155" s="3080"/>
      <c r="BL155" s="3080" t="s">
        <v>9164</v>
      </c>
      <c r="BM155" s="3141"/>
      <c r="BN155" s="3080">
        <f t="shared" si="198"/>
        <v>600</v>
      </c>
      <c r="BO155" s="3080">
        <f t="shared" si="199"/>
        <v>600</v>
      </c>
      <c r="BP155" s="3080">
        <f t="shared" si="200"/>
        <v>600</v>
      </c>
      <c r="BQ155" s="3088">
        <f t="shared" si="201"/>
        <v>600</v>
      </c>
      <c r="BR155" s="3080">
        <f t="shared" si="261"/>
        <v>0</v>
      </c>
      <c r="BS155" s="3088">
        <f t="shared" si="303"/>
        <v>514880</v>
      </c>
      <c r="BT155" s="3088"/>
      <c r="BU155" s="3088"/>
      <c r="BV155" s="3088"/>
      <c r="BW155" s="3088"/>
      <c r="BX155" s="3088"/>
      <c r="XFB155" s="3144"/>
      <c r="XFC155" s="3145"/>
      <c r="XFD155" s="3146"/>
    </row>
    <row r="156" s="3031" customFormat="1" ht="32" customHeight="1" spans="1:76 16376:16384">
      <c r="A156" s="3063">
        <v>45790</v>
      </c>
      <c r="B156" s="3064" t="s">
        <v>331</v>
      </c>
      <c r="C156" s="3065" t="s">
        <v>793</v>
      </c>
      <c r="D156" s="3066">
        <v>4500166306</v>
      </c>
      <c r="E156" s="3091" t="s">
        <v>8539</v>
      </c>
      <c r="F156" s="3066" t="s">
        <v>9608</v>
      </c>
      <c r="G156" s="3098" t="s">
        <v>9585</v>
      </c>
      <c r="H156" s="3069" t="s">
        <v>9155</v>
      </c>
      <c r="I156" s="2969">
        <v>2000</v>
      </c>
      <c r="J156" s="2969">
        <v>0</v>
      </c>
      <c r="K156" s="2969">
        <v>1</v>
      </c>
      <c r="L156" s="2969">
        <f t="shared" si="203"/>
        <v>2000</v>
      </c>
      <c r="M156" s="3070">
        <v>45831</v>
      </c>
      <c r="N156" s="3070">
        <f>M156-4</f>
        <v>45827</v>
      </c>
      <c r="O156" s="2996"/>
      <c r="P156" s="2996" t="s">
        <v>82</v>
      </c>
      <c r="Q156" s="3071"/>
      <c r="R156" s="3071"/>
      <c r="S156" s="3071"/>
      <c r="T156" s="3071"/>
      <c r="U156" s="3072" t="s">
        <v>2420</v>
      </c>
      <c r="V156" s="2996"/>
      <c r="W156" s="3073" t="s">
        <v>1412</v>
      </c>
      <c r="X156" s="3073"/>
      <c r="Y156" s="3073" t="s">
        <v>9609</v>
      </c>
      <c r="Z156" s="3073"/>
      <c r="AA156" s="3073"/>
      <c r="AB156" s="3091" t="s">
        <v>9610</v>
      </c>
      <c r="AC156" s="2969" t="s">
        <v>8544</v>
      </c>
      <c r="AD156" s="3075">
        <v>4.2972</v>
      </c>
      <c r="AE156" s="3076">
        <f t="shared" si="306"/>
        <v>8594.4</v>
      </c>
      <c r="AF156" s="2969" t="s">
        <v>8545</v>
      </c>
      <c r="AG156" s="3098" t="s">
        <v>9585</v>
      </c>
      <c r="AH156" s="2969" t="s">
        <v>416</v>
      </c>
      <c r="AI156" s="3126"/>
      <c r="AJ156" s="3078">
        <f t="shared" si="307"/>
        <v>2000</v>
      </c>
      <c r="AK156" s="3131"/>
      <c r="AL156" s="3078"/>
      <c r="AM156" s="3131"/>
      <c r="AN156" s="3078"/>
      <c r="AO156" s="3132"/>
      <c r="AP156" s="3080">
        <f t="shared" si="308"/>
        <v>2000</v>
      </c>
      <c r="AQ156" s="3080"/>
      <c r="AR156" s="3080"/>
      <c r="AS156" s="3081"/>
      <c r="AT156" s="3147"/>
      <c r="AU156" s="3132"/>
      <c r="AV156" s="3132"/>
      <c r="AW156" s="3148"/>
      <c r="AX156" s="3085">
        <f t="shared" si="275"/>
        <v>500</v>
      </c>
      <c r="AY156" s="3080">
        <f t="shared" si="298"/>
        <v>500</v>
      </c>
      <c r="AZ156" s="3080">
        <f t="shared" si="300"/>
        <v>500</v>
      </c>
      <c r="BA156" s="3086">
        <f t="shared" si="301"/>
        <v>500</v>
      </c>
      <c r="BB156" s="3087"/>
      <c r="BC156" s="3080"/>
      <c r="BD156" s="3080"/>
      <c r="BE156" s="3080"/>
      <c r="BF156" s="3080"/>
      <c r="BG156" s="3080"/>
      <c r="BH156" s="3080"/>
      <c r="BI156" s="3080"/>
      <c r="BJ156" s="3080">
        <f t="shared" si="302"/>
        <v>2000</v>
      </c>
      <c r="BK156" s="3080"/>
      <c r="BL156" s="3080" t="s">
        <v>9164</v>
      </c>
      <c r="BM156" s="3132"/>
      <c r="BN156" s="3080">
        <f t="shared" si="198"/>
        <v>500</v>
      </c>
      <c r="BO156" s="3080">
        <f t="shared" si="199"/>
        <v>500</v>
      </c>
      <c r="BP156" s="3080">
        <f t="shared" si="200"/>
        <v>500</v>
      </c>
      <c r="BQ156" s="3088">
        <f t="shared" si="201"/>
        <v>500</v>
      </c>
      <c r="BR156" s="3080">
        <f t="shared" si="261"/>
        <v>0</v>
      </c>
      <c r="BS156" s="3088">
        <f t="shared" si="303"/>
        <v>514480</v>
      </c>
      <c r="BT156" s="3088"/>
      <c r="BU156" s="3088"/>
      <c r="BV156" s="3088"/>
      <c r="BW156" s="3088"/>
      <c r="BX156" s="3088"/>
    </row>
    <row r="157" s="3031" customFormat="1" ht="32" customHeight="1" spans="1:76 16376:16384">
      <c r="A157" s="3063">
        <v>45790</v>
      </c>
      <c r="B157" s="3064" t="s">
        <v>9611</v>
      </c>
      <c r="C157" s="3065" t="s">
        <v>554</v>
      </c>
      <c r="D157" s="3066">
        <v>4500166307</v>
      </c>
      <c r="E157" s="3091"/>
      <c r="F157" s="3066" t="s">
        <v>9612</v>
      </c>
      <c r="G157" s="3098" t="s">
        <v>9154</v>
      </c>
      <c r="H157" s="3069" t="s">
        <v>9155</v>
      </c>
      <c r="I157" s="2969">
        <v>504</v>
      </c>
      <c r="J157" s="2969">
        <v>0</v>
      </c>
      <c r="K157" s="2969">
        <v>8</v>
      </c>
      <c r="L157" s="2969">
        <f t="shared" si="203"/>
        <v>63</v>
      </c>
      <c r="M157" s="3070">
        <v>45837</v>
      </c>
      <c r="N157" s="3070">
        <v>45833</v>
      </c>
      <c r="O157" s="2996"/>
      <c r="P157" s="2996" t="s">
        <v>82</v>
      </c>
      <c r="Q157" s="3071"/>
      <c r="R157" s="3071"/>
      <c r="S157" s="3071"/>
      <c r="T157" s="3071"/>
      <c r="U157" s="3072" t="s">
        <v>1504</v>
      </c>
      <c r="V157" s="2996"/>
      <c r="W157" s="3073" t="s">
        <v>1455</v>
      </c>
      <c r="X157" s="3073"/>
      <c r="Y157" s="3073" t="s">
        <v>3816</v>
      </c>
      <c r="Z157" s="3073"/>
      <c r="AA157" s="3073"/>
      <c r="AB157" s="3091" t="s">
        <v>9613</v>
      </c>
      <c r="AC157" s="2969" t="s">
        <v>9614</v>
      </c>
      <c r="AD157" s="3075">
        <v>4.1596</v>
      </c>
      <c r="AE157" s="3076">
        <f t="shared" si="306"/>
        <v>2096.4384</v>
      </c>
      <c r="AF157" s="2969"/>
      <c r="AG157" s="2969" t="s">
        <v>9154</v>
      </c>
      <c r="AH157" s="2969" t="s">
        <v>416</v>
      </c>
      <c r="AI157" s="3126"/>
      <c r="AJ157" s="3078">
        <f t="shared" si="307"/>
        <v>504</v>
      </c>
      <c r="AK157" s="3131"/>
      <c r="AL157" s="3078"/>
      <c r="AM157" s="3131"/>
      <c r="AN157" s="3078"/>
      <c r="AO157" s="3132"/>
      <c r="AP157" s="3080">
        <f t="shared" si="308"/>
        <v>504</v>
      </c>
      <c r="AQ157" s="3080"/>
      <c r="AR157" s="3080"/>
      <c r="AS157" s="3081"/>
      <c r="AT157" s="3147"/>
      <c r="AU157" s="3132"/>
      <c r="AV157" s="3132"/>
      <c r="AW157" s="3148"/>
      <c r="AX157" s="3085">
        <f t="shared" si="275"/>
        <v>126</v>
      </c>
      <c r="AY157" s="3080">
        <f t="shared" si="298"/>
        <v>126</v>
      </c>
      <c r="AZ157" s="3080">
        <f t="shared" si="300"/>
        <v>126</v>
      </c>
      <c r="BA157" s="3086">
        <f t="shared" si="301"/>
        <v>126</v>
      </c>
      <c r="BB157" s="3087"/>
      <c r="BC157" s="3080"/>
      <c r="BD157" s="3080"/>
      <c r="BE157" s="3080"/>
      <c r="BF157" s="3080"/>
      <c r="BG157" s="3080"/>
      <c r="BH157" s="3080"/>
      <c r="BI157" s="3080"/>
      <c r="BJ157" s="3080">
        <f t="shared" si="302"/>
        <v>504</v>
      </c>
      <c r="BK157" s="3080"/>
      <c r="BL157" s="3080" t="s">
        <v>9164</v>
      </c>
      <c r="BM157" s="3132"/>
      <c r="BN157" s="3080">
        <f t="shared" si="198"/>
        <v>126</v>
      </c>
      <c r="BO157" s="3080">
        <f t="shared" si="199"/>
        <v>126</v>
      </c>
      <c r="BP157" s="3080">
        <f t="shared" si="200"/>
        <v>126</v>
      </c>
      <c r="BQ157" s="3088">
        <f t="shared" si="201"/>
        <v>126</v>
      </c>
      <c r="BR157" s="3080">
        <f t="shared" si="261"/>
        <v>0</v>
      </c>
      <c r="BS157" s="3088">
        <f t="shared" si="303"/>
        <v>512984</v>
      </c>
      <c r="BT157" s="3088"/>
      <c r="BU157" s="3088"/>
      <c r="BV157" s="3088"/>
      <c r="BW157" s="3088"/>
      <c r="BX157" s="3088"/>
    </row>
    <row r="158" s="3031" customFormat="1" ht="32" customHeight="1" spans="1:76 16376:16384">
      <c r="A158" s="3063">
        <v>45792</v>
      </c>
      <c r="B158" s="3064" t="s">
        <v>1384</v>
      </c>
      <c r="C158" s="3065" t="s">
        <v>1385</v>
      </c>
      <c r="D158" s="3066">
        <v>4500166516</v>
      </c>
      <c r="E158" s="3091"/>
      <c r="F158" s="3066" t="s">
        <v>9615</v>
      </c>
      <c r="G158" s="3098" t="s">
        <v>9154</v>
      </c>
      <c r="H158" s="3069" t="s">
        <v>9155</v>
      </c>
      <c r="I158" s="2969">
        <v>160</v>
      </c>
      <c r="J158" s="2969">
        <v>0</v>
      </c>
      <c r="K158" s="2969">
        <v>8</v>
      </c>
      <c r="L158" s="2969">
        <f t="shared" si="203"/>
        <v>20</v>
      </c>
      <c r="M158" s="3070">
        <v>45838</v>
      </c>
      <c r="N158" s="3070">
        <v>45834</v>
      </c>
      <c r="O158" s="2996"/>
      <c r="P158" s="2996" t="s">
        <v>82</v>
      </c>
      <c r="Q158" s="3071"/>
      <c r="R158" s="3071"/>
      <c r="S158" s="3071"/>
      <c r="T158" s="3071"/>
      <c r="U158" s="3072" t="s">
        <v>1387</v>
      </c>
      <c r="V158" s="2996"/>
      <c r="W158" s="3073" t="s">
        <v>229</v>
      </c>
      <c r="X158" s="3073"/>
      <c r="Y158" s="3073" t="s">
        <v>98</v>
      </c>
      <c r="Z158" s="3073"/>
      <c r="AA158" s="3073"/>
      <c r="AB158" s="3091" t="s">
        <v>9616</v>
      </c>
      <c r="AC158" s="2969" t="s">
        <v>1389</v>
      </c>
      <c r="AD158" s="3075">
        <v>4.1708</v>
      </c>
      <c r="AE158" s="3076">
        <f t="shared" si="306"/>
        <v>667.328</v>
      </c>
      <c r="AF158" s="2969" t="s">
        <v>1390</v>
      </c>
      <c r="AG158" s="2969" t="s">
        <v>9154</v>
      </c>
      <c r="AH158" s="2969" t="s">
        <v>416</v>
      </c>
      <c r="AI158" s="3126"/>
      <c r="AJ158" s="3078">
        <f t="shared" si="307"/>
        <v>160</v>
      </c>
      <c r="AK158" s="3131"/>
      <c r="AL158" s="3078"/>
      <c r="AM158" s="3131"/>
      <c r="AN158" s="3078"/>
      <c r="AO158" s="3132"/>
      <c r="AP158" s="3080">
        <f t="shared" si="308"/>
        <v>160</v>
      </c>
      <c r="AQ158" s="3080"/>
      <c r="AR158" s="3080"/>
      <c r="AS158" s="3081"/>
      <c r="AT158" s="3147"/>
      <c r="AU158" s="3132"/>
      <c r="AV158" s="3132"/>
      <c r="AW158" s="3148"/>
      <c r="AX158" s="3085">
        <f t="shared" si="275"/>
        <v>40</v>
      </c>
      <c r="AY158" s="3080">
        <f t="shared" si="298"/>
        <v>40</v>
      </c>
      <c r="AZ158" s="3080">
        <f t="shared" si="300"/>
        <v>40</v>
      </c>
      <c r="BA158" s="3086">
        <f t="shared" si="301"/>
        <v>40</v>
      </c>
      <c r="BB158" s="3087"/>
      <c r="BC158" s="3080"/>
      <c r="BD158" s="3080"/>
      <c r="BE158" s="3080"/>
      <c r="BF158" s="3080"/>
      <c r="BG158" s="3080"/>
      <c r="BH158" s="3080"/>
      <c r="BI158" s="3080"/>
      <c r="BJ158" s="3080">
        <f t="shared" si="302"/>
        <v>160</v>
      </c>
      <c r="BK158" s="3080"/>
      <c r="BL158" s="3080" t="s">
        <v>9164</v>
      </c>
      <c r="BM158" s="3132"/>
      <c r="BN158" s="3080">
        <f t="shared" si="198"/>
        <v>40</v>
      </c>
      <c r="BO158" s="3080">
        <f t="shared" si="199"/>
        <v>40</v>
      </c>
      <c r="BP158" s="3080">
        <f t="shared" si="200"/>
        <v>40</v>
      </c>
      <c r="BQ158" s="3080">
        <f t="shared" si="201"/>
        <v>40</v>
      </c>
      <c r="BR158" s="3080">
        <f t="shared" si="261"/>
        <v>0</v>
      </c>
      <c r="BS158" s="3088">
        <f t="shared" si="303"/>
        <v>512640</v>
      </c>
      <c r="BT158" s="3088"/>
      <c r="BU158" s="3088"/>
      <c r="BV158" s="3088"/>
      <c r="BW158" s="3088"/>
      <c r="BX158" s="3088"/>
    </row>
    <row r="159" s="3031" customFormat="1" ht="32" customHeight="1" spans="1:76 16376:16384">
      <c r="A159" s="3063">
        <v>45804</v>
      </c>
      <c r="B159" s="3064" t="s">
        <v>2628</v>
      </c>
      <c r="C159" s="3065" t="s">
        <v>738</v>
      </c>
      <c r="D159" s="3066">
        <v>4500168127</v>
      </c>
      <c r="E159" s="3091" t="s">
        <v>3974</v>
      </c>
      <c r="F159" s="3066" t="s">
        <v>9617</v>
      </c>
      <c r="G159" s="3098" t="s">
        <v>9255</v>
      </c>
      <c r="H159" s="3069" t="s">
        <v>9098</v>
      </c>
      <c r="I159" s="2969">
        <v>8</v>
      </c>
      <c r="J159" s="2969">
        <v>0</v>
      </c>
      <c r="K159" s="2969">
        <v>8</v>
      </c>
      <c r="L159" s="2969">
        <f t="shared" si="203"/>
        <v>1</v>
      </c>
      <c r="M159" s="3070">
        <v>45834</v>
      </c>
      <c r="N159" s="3070">
        <v>45839</v>
      </c>
      <c r="O159" s="2996"/>
      <c r="P159" s="2996" t="s">
        <v>82</v>
      </c>
      <c r="Q159" s="3071"/>
      <c r="R159" s="3071"/>
      <c r="S159" s="3071"/>
      <c r="T159" s="3071"/>
      <c r="U159" s="3072" t="s">
        <v>1387</v>
      </c>
      <c r="V159" s="2996"/>
      <c r="W159" s="3073" t="s">
        <v>3965</v>
      </c>
      <c r="X159" s="3073"/>
      <c r="Y159" s="3073" t="s">
        <v>3966</v>
      </c>
      <c r="Z159" s="3073" t="s">
        <v>3967</v>
      </c>
      <c r="AA159" s="3073"/>
      <c r="AB159" s="3091" t="s">
        <v>9618</v>
      </c>
      <c r="AC159" s="2969" t="s">
        <v>1257</v>
      </c>
      <c r="AD159" s="3075">
        <v>4.1708</v>
      </c>
      <c r="AE159" s="3076">
        <f t="shared" si="306"/>
        <v>33.3664</v>
      </c>
      <c r="AF159" s="2969" t="s">
        <v>3969</v>
      </c>
      <c r="AG159" s="2969" t="s">
        <v>9429</v>
      </c>
      <c r="AH159" s="2969" t="s">
        <v>416</v>
      </c>
      <c r="AI159" s="3108"/>
      <c r="AJ159" s="3078"/>
      <c r="AK159" s="3093"/>
      <c r="AL159" s="3078">
        <f t="shared" si="309"/>
        <v>8</v>
      </c>
      <c r="AM159" s="3093"/>
      <c r="AN159" s="3078"/>
      <c r="AO159" s="3094"/>
      <c r="AP159" s="3080">
        <f t="shared" si="308"/>
        <v>8</v>
      </c>
      <c r="AQ159" s="3080"/>
      <c r="AR159" s="3080"/>
      <c r="AS159" s="3081"/>
      <c r="AT159" s="3123"/>
      <c r="AU159" s="3094"/>
      <c r="AV159" s="3094"/>
      <c r="AW159" s="3124"/>
      <c r="AX159" s="3085">
        <f>I159</f>
        <v>8</v>
      </c>
      <c r="AY159" s="3080"/>
      <c r="AZ159" s="3080"/>
      <c r="BA159" s="3086"/>
      <c r="BB159" s="3087"/>
      <c r="BC159" s="3080"/>
      <c r="BD159" s="3080"/>
      <c r="BE159" s="3080"/>
      <c r="BF159" s="3080"/>
      <c r="BG159" s="3080"/>
      <c r="BH159" s="3080"/>
      <c r="BI159" s="3080"/>
      <c r="BJ159" s="3080">
        <f t="shared" si="302"/>
        <v>8</v>
      </c>
      <c r="BK159" s="3080"/>
      <c r="BL159" s="3080" t="s">
        <v>9164</v>
      </c>
      <c r="BM159" s="3094"/>
      <c r="BN159" s="3080">
        <f>I159</f>
        <v>8</v>
      </c>
      <c r="BO159" s="3080"/>
      <c r="BP159" s="3080"/>
      <c r="BQ159" s="3080"/>
      <c r="BR159" s="3080"/>
      <c r="BS159" s="3088"/>
      <c r="BT159" s="3088"/>
      <c r="BU159" s="3088"/>
      <c r="BV159" s="3088"/>
      <c r="BW159" s="3088"/>
      <c r="BX159" s="3088"/>
    </row>
    <row r="160" s="3031" customFormat="1" ht="32" customHeight="1" spans="1:76 16376:16384">
      <c r="A160" s="3063">
        <v>45804</v>
      </c>
      <c r="B160" s="3064" t="s">
        <v>2628</v>
      </c>
      <c r="C160" s="3065" t="s">
        <v>738</v>
      </c>
      <c r="D160" s="3066">
        <v>4500168127</v>
      </c>
      <c r="E160" s="3091" t="s">
        <v>3974</v>
      </c>
      <c r="F160" s="3066" t="s">
        <v>9619</v>
      </c>
      <c r="G160" s="3098" t="s">
        <v>9431</v>
      </c>
      <c r="H160" s="3069" t="s">
        <v>9099</v>
      </c>
      <c r="I160" s="2969">
        <v>24</v>
      </c>
      <c r="J160" s="2969">
        <v>0</v>
      </c>
      <c r="K160" s="2969">
        <v>8</v>
      </c>
      <c r="L160" s="2969">
        <f t="shared" si="203"/>
        <v>3</v>
      </c>
      <c r="M160" s="3070">
        <v>45834</v>
      </c>
      <c r="N160" s="3070">
        <v>45839</v>
      </c>
      <c r="O160" s="2996"/>
      <c r="P160" s="2996" t="s">
        <v>82</v>
      </c>
      <c r="Q160" s="3071"/>
      <c r="R160" s="3071"/>
      <c r="S160" s="3071"/>
      <c r="T160" s="3071"/>
      <c r="U160" s="3072" t="s">
        <v>1387</v>
      </c>
      <c r="V160" s="2996"/>
      <c r="W160" s="3073" t="s">
        <v>3965</v>
      </c>
      <c r="X160" s="3073"/>
      <c r="Y160" s="3073" t="s">
        <v>3966</v>
      </c>
      <c r="Z160" s="3073" t="s">
        <v>3967</v>
      </c>
      <c r="AA160" s="3073"/>
      <c r="AB160" s="3091" t="s">
        <v>9618</v>
      </c>
      <c r="AC160" s="2969" t="s">
        <v>1257</v>
      </c>
      <c r="AD160" s="3075">
        <v>4.0187</v>
      </c>
      <c r="AE160" s="3076">
        <f t="shared" si="306"/>
        <v>96.4488</v>
      </c>
      <c r="AF160" s="2969" t="s">
        <v>3969</v>
      </c>
      <c r="AG160" s="2969" t="s">
        <v>9433</v>
      </c>
      <c r="AH160" s="2969" t="s">
        <v>416</v>
      </c>
      <c r="AI160" s="3108"/>
      <c r="AJ160" s="3078"/>
      <c r="AK160" s="3093"/>
      <c r="AL160" s="3078">
        <f t="shared" si="309"/>
        <v>24</v>
      </c>
      <c r="AM160" s="3093"/>
      <c r="AN160" s="3078"/>
      <c r="AO160" s="3094"/>
      <c r="AP160" s="3080">
        <f t="shared" si="308"/>
        <v>24</v>
      </c>
      <c r="AQ160" s="3080"/>
      <c r="AR160" s="3080"/>
      <c r="AS160" s="3081"/>
      <c r="AT160" s="3123"/>
      <c r="AU160" s="3094"/>
      <c r="AV160" s="3094"/>
      <c r="AW160" s="3124"/>
      <c r="AX160" s="3085"/>
      <c r="AY160" s="3080">
        <f>I160</f>
        <v>24</v>
      </c>
      <c r="AZ160" s="3080"/>
      <c r="BA160" s="3086"/>
      <c r="BB160" s="3087"/>
      <c r="BC160" s="3080"/>
      <c r="BD160" s="3080"/>
      <c r="BE160" s="3080"/>
      <c r="BF160" s="3080"/>
      <c r="BG160" s="3080"/>
      <c r="BH160" s="3080"/>
      <c r="BI160" s="3080"/>
      <c r="BJ160" s="3080">
        <f t="shared" si="302"/>
        <v>24</v>
      </c>
      <c r="BK160" s="3080"/>
      <c r="BL160" s="3080" t="s">
        <v>9164</v>
      </c>
      <c r="BM160" s="3094"/>
      <c r="BN160" s="3080"/>
      <c r="BO160" s="3080">
        <f>I160</f>
        <v>24</v>
      </c>
      <c r="BP160" s="3080"/>
      <c r="BQ160" s="3080"/>
      <c r="BR160" s="3080">
        <f t="shared" ref="BR160:BR217" si="310">BN160+BO160+BP160+BQ160-I160</f>
        <v>0</v>
      </c>
      <c r="BS160" s="3088"/>
      <c r="BT160" s="3088"/>
      <c r="BU160" s="3088"/>
      <c r="BV160" s="3088"/>
      <c r="BW160" s="3088"/>
      <c r="BX160" s="3088"/>
    </row>
    <row r="161" s="3031" customFormat="1" ht="32" customHeight="1" spans="1:244 16384:16384">
      <c r="A161" s="3063">
        <v>45804</v>
      </c>
      <c r="B161" s="3064" t="s">
        <v>2628</v>
      </c>
      <c r="C161" s="3065" t="s">
        <v>738</v>
      </c>
      <c r="D161" s="3066">
        <v>4500168127</v>
      </c>
      <c r="E161" s="3091" t="s">
        <v>7071</v>
      </c>
      <c r="F161" s="3066" t="s">
        <v>9620</v>
      </c>
      <c r="G161" s="3098" t="s">
        <v>9424</v>
      </c>
      <c r="H161" s="3069" t="s">
        <v>8571</v>
      </c>
      <c r="I161" s="2969">
        <v>16</v>
      </c>
      <c r="J161" s="2969">
        <v>0</v>
      </c>
      <c r="K161" s="2969">
        <v>8</v>
      </c>
      <c r="L161" s="2969">
        <f t="shared" si="203"/>
        <v>2</v>
      </c>
      <c r="M161" s="3070">
        <v>45834</v>
      </c>
      <c r="N161" s="3070">
        <v>45839</v>
      </c>
      <c r="O161" s="2996"/>
      <c r="P161" s="2996" t="s">
        <v>82</v>
      </c>
      <c r="Q161" s="3071"/>
      <c r="R161" s="3071"/>
      <c r="S161" s="3071"/>
      <c r="T161" s="3071"/>
      <c r="U161" s="3072" t="s">
        <v>1387</v>
      </c>
      <c r="V161" s="2996"/>
      <c r="W161" s="3073" t="s">
        <v>3965</v>
      </c>
      <c r="X161" s="3073"/>
      <c r="Y161" s="3073" t="s">
        <v>3966</v>
      </c>
      <c r="Z161" s="3073" t="s">
        <v>3967</v>
      </c>
      <c r="AA161" s="3073"/>
      <c r="AB161" s="3091" t="s">
        <v>9618</v>
      </c>
      <c r="AC161" s="2969" t="s">
        <v>1257</v>
      </c>
      <c r="AD161" s="3075">
        <v>4.0187</v>
      </c>
      <c r="AE161" s="3076">
        <f t="shared" si="306"/>
        <v>64.2992</v>
      </c>
      <c r="AF161" s="2969" t="s">
        <v>3969</v>
      </c>
      <c r="AG161" s="2969" t="s">
        <v>9426</v>
      </c>
      <c r="AH161" s="2969" t="s">
        <v>416</v>
      </c>
      <c r="AI161" s="3108"/>
      <c r="AJ161" s="3078"/>
      <c r="AK161" s="3093"/>
      <c r="AL161" s="3078">
        <f t="shared" si="309"/>
        <v>16</v>
      </c>
      <c r="AM161" s="3093"/>
      <c r="AN161" s="3078"/>
      <c r="AO161" s="3094"/>
      <c r="AP161" s="3080">
        <f t="shared" si="308"/>
        <v>16</v>
      </c>
      <c r="AQ161" s="3080"/>
      <c r="AR161" s="3080"/>
      <c r="AS161" s="3081"/>
      <c r="AT161" s="3123"/>
      <c r="AU161" s="3094"/>
      <c r="AV161" s="3094"/>
      <c r="AW161" s="3124"/>
      <c r="AX161" s="3085"/>
      <c r="AY161" s="3080"/>
      <c r="AZ161" s="3080"/>
      <c r="BA161" s="3086">
        <f>I161</f>
        <v>16</v>
      </c>
      <c r="BB161" s="3087"/>
      <c r="BC161" s="3080"/>
      <c r="BD161" s="3080"/>
      <c r="BE161" s="3080"/>
      <c r="BF161" s="3080"/>
      <c r="BG161" s="3080"/>
      <c r="BH161" s="3080"/>
      <c r="BI161" s="3080"/>
      <c r="BJ161" s="3080">
        <f t="shared" si="302"/>
        <v>16</v>
      </c>
      <c r="BK161" s="3080"/>
      <c r="BL161" s="3080" t="s">
        <v>9164</v>
      </c>
      <c r="BM161" s="3094"/>
      <c r="BN161" s="3080"/>
      <c r="BO161" s="3080"/>
      <c r="BP161" s="3080"/>
      <c r="BQ161" s="3080">
        <f>I161</f>
        <v>16</v>
      </c>
      <c r="BR161" s="3080"/>
      <c r="BS161" s="3088"/>
      <c r="BT161" s="3088"/>
      <c r="BU161" s="3088"/>
      <c r="BV161" s="3088"/>
      <c r="BW161" s="3088"/>
      <c r="BX161" s="3088"/>
    </row>
    <row r="162" s="3031" customFormat="1" ht="32" customHeight="1" spans="1:244 16384:16384">
      <c r="A162" s="3063">
        <v>45804</v>
      </c>
      <c r="B162" s="3064" t="s">
        <v>2628</v>
      </c>
      <c r="C162" s="3065" t="s">
        <v>738</v>
      </c>
      <c r="D162" s="3066">
        <v>4500168127</v>
      </c>
      <c r="E162" s="3091" t="s">
        <v>7071</v>
      </c>
      <c r="F162" s="3066" t="s">
        <v>9621</v>
      </c>
      <c r="G162" s="3098" t="s">
        <v>9419</v>
      </c>
      <c r="H162" s="3069" t="s">
        <v>9100</v>
      </c>
      <c r="I162" s="2969">
        <v>16</v>
      </c>
      <c r="J162" s="2969">
        <v>0</v>
      </c>
      <c r="K162" s="2969">
        <v>8</v>
      </c>
      <c r="L162" s="2969">
        <f t="shared" si="203"/>
        <v>2</v>
      </c>
      <c r="M162" s="3070">
        <v>45834</v>
      </c>
      <c r="N162" s="3070">
        <v>45839</v>
      </c>
      <c r="O162" s="2996"/>
      <c r="P162" s="2996" t="s">
        <v>82</v>
      </c>
      <c r="Q162" s="3071"/>
      <c r="R162" s="3071"/>
      <c r="S162" s="3071"/>
      <c r="T162" s="3071"/>
      <c r="U162" s="3072" t="s">
        <v>1387</v>
      </c>
      <c r="V162" s="2996"/>
      <c r="W162" s="3073" t="s">
        <v>3965</v>
      </c>
      <c r="X162" s="3073"/>
      <c r="Y162" s="3073" t="s">
        <v>3966</v>
      </c>
      <c r="Z162" s="3073" t="s">
        <v>3967</v>
      </c>
      <c r="AA162" s="3073"/>
      <c r="AB162" s="3091" t="s">
        <v>9618</v>
      </c>
      <c r="AC162" s="2969" t="s">
        <v>1257</v>
      </c>
      <c r="AD162" s="3075">
        <v>4.1708</v>
      </c>
      <c r="AE162" s="3076">
        <f t="shared" si="306"/>
        <v>66.7328</v>
      </c>
      <c r="AF162" s="2969" t="s">
        <v>3969</v>
      </c>
      <c r="AG162" s="2969" t="s">
        <v>9422</v>
      </c>
      <c r="AH162" s="2969" t="s">
        <v>416</v>
      </c>
      <c r="AI162" s="3108"/>
      <c r="AJ162" s="3078"/>
      <c r="AK162" s="3093"/>
      <c r="AL162" s="3078">
        <f t="shared" si="309"/>
        <v>16</v>
      </c>
      <c r="AM162" s="3093"/>
      <c r="AN162" s="3078"/>
      <c r="AO162" s="3094"/>
      <c r="AP162" s="3080">
        <f t="shared" si="308"/>
        <v>16</v>
      </c>
      <c r="AQ162" s="3080"/>
      <c r="AR162" s="3080"/>
      <c r="AS162" s="3081"/>
      <c r="AT162" s="3123"/>
      <c r="AU162" s="3094"/>
      <c r="AV162" s="3094"/>
      <c r="AW162" s="3124"/>
      <c r="AX162" s="3085"/>
      <c r="AY162" s="3080"/>
      <c r="AZ162" s="3080">
        <f>I162</f>
        <v>16</v>
      </c>
      <c r="BA162" s="3086"/>
      <c r="BB162" s="3087"/>
      <c r="BC162" s="3080"/>
      <c r="BD162" s="3080"/>
      <c r="BE162" s="3080"/>
      <c r="BF162" s="3080"/>
      <c r="BG162" s="3080"/>
      <c r="BH162" s="3080"/>
      <c r="BI162" s="3080"/>
      <c r="BJ162" s="3080">
        <f t="shared" si="302"/>
        <v>16</v>
      </c>
      <c r="BK162" s="3080"/>
      <c r="BL162" s="3080" t="s">
        <v>9164</v>
      </c>
      <c r="BM162" s="3094"/>
      <c r="BN162" s="3080"/>
      <c r="BO162" s="3080"/>
      <c r="BP162" s="3080">
        <f>I162</f>
        <v>16</v>
      </c>
      <c r="BQ162" s="3080"/>
      <c r="BR162" s="3080">
        <f t="shared" si="310"/>
        <v>0</v>
      </c>
      <c r="BS162" s="3088"/>
      <c r="BT162" s="3088"/>
      <c r="BU162" s="3088"/>
      <c r="BV162" s="3088"/>
      <c r="BW162" s="3088"/>
      <c r="BX162" s="3088"/>
    </row>
    <row r="163" s="3031" customFormat="1" ht="32" customHeight="1" spans="1:244 16384:16384">
      <c r="A163" s="3063">
        <v>45615</v>
      </c>
      <c r="B163" s="3064" t="s">
        <v>387</v>
      </c>
      <c r="C163" s="3065" t="s">
        <v>91</v>
      </c>
      <c r="D163" s="3066">
        <v>4500151563</v>
      </c>
      <c r="E163" s="3091">
        <v>70054078</v>
      </c>
      <c r="F163" s="3066" t="s">
        <v>9622</v>
      </c>
      <c r="G163" s="3069" t="s">
        <v>9154</v>
      </c>
      <c r="H163" s="3069" t="s">
        <v>9155</v>
      </c>
      <c r="I163" s="2969">
        <v>600</v>
      </c>
      <c r="J163" s="2969">
        <v>0</v>
      </c>
      <c r="K163" s="2969">
        <v>8</v>
      </c>
      <c r="L163" s="2969">
        <f t="shared" si="203"/>
        <v>75</v>
      </c>
      <c r="M163" s="3070">
        <v>45841</v>
      </c>
      <c r="N163" s="3070">
        <v>45838</v>
      </c>
      <c r="O163" s="2996"/>
      <c r="P163" s="2996" t="s">
        <v>82</v>
      </c>
      <c r="Q163" s="3071"/>
      <c r="R163" s="3071"/>
      <c r="S163" s="3071"/>
      <c r="T163" s="3071"/>
      <c r="U163" s="3072"/>
      <c r="V163" s="2996"/>
      <c r="W163" s="3073" t="s">
        <v>390</v>
      </c>
      <c r="X163" s="3073"/>
      <c r="Y163" s="3073" t="s">
        <v>98</v>
      </c>
      <c r="Z163" s="3073"/>
      <c r="AA163" s="3073"/>
      <c r="AB163" s="3091" t="s">
        <v>1531</v>
      </c>
      <c r="AC163" s="2969" t="s">
        <v>393</v>
      </c>
      <c r="AD163" s="3075">
        <v>4.2475</v>
      </c>
      <c r="AE163" s="3076">
        <f t="shared" si="306"/>
        <v>2548.5</v>
      </c>
      <c r="AF163" s="2969"/>
      <c r="AG163" s="3070" t="s">
        <v>9154</v>
      </c>
      <c r="AH163" s="2969" t="s">
        <v>416</v>
      </c>
      <c r="AI163" s="3077"/>
      <c r="AJ163" s="3078">
        <f>I163</f>
        <v>600</v>
      </c>
      <c r="AK163" s="3077"/>
      <c r="AL163" s="3078"/>
      <c r="AM163" s="3092"/>
      <c r="AN163" s="3078"/>
      <c r="AO163" s="3079"/>
      <c r="AP163" s="3080">
        <f t="shared" si="308"/>
        <v>600</v>
      </c>
      <c r="AQ163" s="3080"/>
      <c r="AR163" s="3080"/>
      <c r="AS163" s="3081"/>
      <c r="AT163" s="3109"/>
      <c r="AU163" s="3079"/>
      <c r="AV163" s="3079"/>
      <c r="AW163" s="3110"/>
      <c r="AX163" s="3085">
        <f t="shared" ref="AX163:AX170" si="311">I163/4</f>
        <v>150</v>
      </c>
      <c r="AY163" s="3080">
        <f t="shared" ref="AY163:AY168" si="312">AX163</f>
        <v>150</v>
      </c>
      <c r="AZ163" s="3080">
        <f t="shared" ref="AZ163:AZ168" si="313">AX163</f>
        <v>150</v>
      </c>
      <c r="BA163" s="3086">
        <f t="shared" ref="BA163:BA168" si="314">AX163</f>
        <v>150</v>
      </c>
      <c r="BB163" s="3087"/>
      <c r="BC163" s="3080"/>
      <c r="BD163" s="3080"/>
      <c r="BE163" s="3080"/>
      <c r="BF163" s="3080">
        <f>SUM(AT163:BE163)-I163</f>
        <v>0</v>
      </c>
      <c r="BG163" s="3080"/>
      <c r="BH163" s="3080"/>
      <c r="BI163" s="3080"/>
      <c r="BJ163" s="3080">
        <f t="shared" si="302"/>
        <v>600</v>
      </c>
      <c r="BK163" s="3080"/>
      <c r="BL163" s="3080" t="s">
        <v>9164</v>
      </c>
      <c r="BM163" s="3102"/>
      <c r="BN163" s="3080">
        <f t="shared" ref="BN163:BN170" si="315">I163/4</f>
        <v>150</v>
      </c>
      <c r="BO163" s="3080">
        <f t="shared" ref="BO163:BO170" si="316">I163/4</f>
        <v>150</v>
      </c>
      <c r="BP163" s="3080">
        <f t="shared" ref="BP163:BP170" si="317">I163/4</f>
        <v>150</v>
      </c>
      <c r="BQ163" s="3080">
        <f t="shared" ref="BQ163:BQ170" si="318">I163/4</f>
        <v>150</v>
      </c>
      <c r="BR163" s="3080">
        <f t="shared" si="310"/>
        <v>0</v>
      </c>
      <c r="BS163" s="3088">
        <f t="shared" ref="BS163:BS175" si="319">BN163+BO163+BP163+BQ163+$BS$369</f>
        <v>513080</v>
      </c>
      <c r="BT163" s="3088">
        <f t="shared" ref="BT163:BW163" si="320">BT84-BN163</f>
        <v>134497.666666666</v>
      </c>
      <c r="BU163" s="3088">
        <f t="shared" si="320"/>
        <v>135705.666666666</v>
      </c>
      <c r="BV163" s="3088">
        <f t="shared" si="320"/>
        <v>135714.666666666</v>
      </c>
      <c r="BW163" s="3088">
        <f t="shared" si="320"/>
        <v>136381.333333333</v>
      </c>
      <c r="BX163" s="3088"/>
    </row>
    <row r="164" s="3031" customFormat="1" ht="32" customHeight="1" spans="1:244 16384:16384">
      <c r="A164" s="3063">
        <v>45728</v>
      </c>
      <c r="B164" s="3064" t="s">
        <v>77</v>
      </c>
      <c r="C164" s="3065" t="s">
        <v>78</v>
      </c>
      <c r="D164" s="3066">
        <v>4500159868</v>
      </c>
      <c r="E164" s="3091">
        <v>4401015367</v>
      </c>
      <c r="F164" s="3066" t="s">
        <v>9623</v>
      </c>
      <c r="G164" s="3098" t="s">
        <v>9519</v>
      </c>
      <c r="H164" s="3069" t="s">
        <v>9520</v>
      </c>
      <c r="I164" s="2969">
        <v>6984</v>
      </c>
      <c r="J164" s="2969">
        <v>0</v>
      </c>
      <c r="K164" s="2969">
        <v>4</v>
      </c>
      <c r="L164" s="2969">
        <f t="shared" si="203"/>
        <v>1746</v>
      </c>
      <c r="M164" s="3070">
        <v>45831</v>
      </c>
      <c r="N164" s="3070">
        <f t="shared" ref="N164:N169" si="321">M164-4</f>
        <v>45827</v>
      </c>
      <c r="O164" s="2996"/>
      <c r="P164" s="2996" t="s">
        <v>82</v>
      </c>
      <c r="Q164" s="3071"/>
      <c r="R164" s="3071"/>
      <c r="S164" s="3071"/>
      <c r="T164" s="3071"/>
      <c r="U164" s="3072" t="s">
        <v>3759</v>
      </c>
      <c r="V164" s="2996"/>
      <c r="W164" s="3073" t="s">
        <v>5716</v>
      </c>
      <c r="X164" s="3073"/>
      <c r="Y164" s="3073" t="s">
        <v>9521</v>
      </c>
      <c r="Z164" s="3073"/>
      <c r="AA164" s="3073"/>
      <c r="AB164" s="3091" t="s">
        <v>9522</v>
      </c>
      <c r="AC164" s="2969" t="s">
        <v>338</v>
      </c>
      <c r="AD164" s="3075">
        <v>16.2706</v>
      </c>
      <c r="AE164" s="3076">
        <f t="shared" ref="AE164:AE168" si="322">AD164*L164</f>
        <v>28408.4676</v>
      </c>
      <c r="AF164" s="2969"/>
      <c r="AG164" s="3098" t="s">
        <v>9519</v>
      </c>
      <c r="AH164" s="2969" t="s">
        <v>416</v>
      </c>
      <c r="AI164" s="3077"/>
      <c r="AJ164" s="3078"/>
      <c r="AK164" s="3077"/>
      <c r="AL164" s="3078"/>
      <c r="AM164" s="3092"/>
      <c r="AN164" s="3078">
        <f t="shared" ref="AN164:AN168" si="323">I164</f>
        <v>6984</v>
      </c>
      <c r="AO164" s="3079"/>
      <c r="AP164" s="3080"/>
      <c r="AQ164" s="3080"/>
      <c r="AR164" s="3080"/>
      <c r="AS164" s="3081">
        <f t="shared" ref="AS164:AS168" si="324">I164</f>
        <v>6984</v>
      </c>
      <c r="AT164" s="3109"/>
      <c r="AU164" s="3079"/>
      <c r="AV164" s="3079"/>
      <c r="AW164" s="3110"/>
      <c r="AX164" s="3085">
        <f t="shared" si="311"/>
        <v>1746</v>
      </c>
      <c r="AY164" s="3080">
        <f t="shared" si="312"/>
        <v>1746</v>
      </c>
      <c r="AZ164" s="3080">
        <f t="shared" si="313"/>
        <v>1746</v>
      </c>
      <c r="BA164" s="3086">
        <f t="shared" si="314"/>
        <v>1746</v>
      </c>
      <c r="BB164" s="3087"/>
      <c r="BC164" s="3080"/>
      <c r="BD164" s="3080"/>
      <c r="BE164" s="3080"/>
      <c r="BF164" s="3080"/>
      <c r="BG164" s="3080"/>
      <c r="BH164" s="3080"/>
      <c r="BI164" s="3080"/>
      <c r="BJ164" s="3080">
        <f t="shared" si="302"/>
        <v>6984</v>
      </c>
      <c r="BK164" s="3080"/>
      <c r="BL164" s="3080" t="s">
        <v>9164</v>
      </c>
      <c r="BM164" s="3097"/>
      <c r="BN164" s="3080">
        <f t="shared" si="315"/>
        <v>1746</v>
      </c>
      <c r="BO164" s="3080">
        <f t="shared" si="316"/>
        <v>1746</v>
      </c>
      <c r="BP164" s="3080">
        <f t="shared" si="317"/>
        <v>1746</v>
      </c>
      <c r="BQ164" s="3080">
        <f t="shared" si="318"/>
        <v>1746</v>
      </c>
      <c r="BR164" s="3080">
        <f t="shared" si="310"/>
        <v>0</v>
      </c>
      <c r="BS164" s="3088">
        <f t="shared" si="319"/>
        <v>519464</v>
      </c>
      <c r="BT164" s="3088">
        <f t="shared" ref="BT164:BW164" si="325">BT152-BN164</f>
        <v>-10201</v>
      </c>
      <c r="BU164" s="3088">
        <f t="shared" si="325"/>
        <v>-10201</v>
      </c>
      <c r="BV164" s="3088">
        <f t="shared" si="325"/>
        <v>-10201</v>
      </c>
      <c r="BW164" s="3088">
        <f t="shared" si="325"/>
        <v>-10201</v>
      </c>
      <c r="BX164" s="3088"/>
    </row>
    <row r="165" s="3031" customFormat="1" ht="32" customHeight="1" spans="1:244 16384:16384">
      <c r="A165" s="3063">
        <v>45728</v>
      </c>
      <c r="B165" s="3064" t="s">
        <v>77</v>
      </c>
      <c r="C165" s="3065" t="s">
        <v>78</v>
      </c>
      <c r="D165" s="3066">
        <v>4500159868</v>
      </c>
      <c r="E165" s="3091">
        <v>4401015337</v>
      </c>
      <c r="F165" s="3066" t="s">
        <v>9624</v>
      </c>
      <c r="G165" s="3098" t="s">
        <v>9519</v>
      </c>
      <c r="H165" s="3069" t="s">
        <v>9520</v>
      </c>
      <c r="I165" s="2969">
        <v>6984</v>
      </c>
      <c r="J165" s="2969">
        <v>0</v>
      </c>
      <c r="K165" s="2969">
        <v>4</v>
      </c>
      <c r="L165" s="2969">
        <f t="shared" si="203"/>
        <v>1746</v>
      </c>
      <c r="M165" s="3070">
        <v>45834</v>
      </c>
      <c r="N165" s="3070">
        <f>M165-5</f>
        <v>45829</v>
      </c>
      <c r="O165" s="2996"/>
      <c r="P165" s="2996" t="s">
        <v>82</v>
      </c>
      <c r="Q165" s="3071"/>
      <c r="R165" s="3071"/>
      <c r="S165" s="3071"/>
      <c r="T165" s="3071"/>
      <c r="U165" s="3072" t="s">
        <v>3801</v>
      </c>
      <c r="V165" s="2996"/>
      <c r="W165" s="3073" t="s">
        <v>5716</v>
      </c>
      <c r="X165" s="3073"/>
      <c r="Y165" s="3073" t="s">
        <v>9521</v>
      </c>
      <c r="Z165" s="3073"/>
      <c r="AA165" s="3073"/>
      <c r="AB165" s="3091" t="s">
        <v>9522</v>
      </c>
      <c r="AC165" s="2969" t="s">
        <v>338</v>
      </c>
      <c r="AD165" s="3075">
        <v>16.2706</v>
      </c>
      <c r="AE165" s="3076">
        <f t="shared" si="322"/>
        <v>28408.4676</v>
      </c>
      <c r="AF165" s="2969"/>
      <c r="AG165" s="3098" t="s">
        <v>9519</v>
      </c>
      <c r="AH165" s="2969" t="s">
        <v>416</v>
      </c>
      <c r="AI165" s="3077"/>
      <c r="AJ165" s="3078"/>
      <c r="AK165" s="3077"/>
      <c r="AL165" s="3078"/>
      <c r="AM165" s="3092"/>
      <c r="AN165" s="3078">
        <f t="shared" si="323"/>
        <v>6984</v>
      </c>
      <c r="AO165" s="3079"/>
      <c r="AP165" s="3080"/>
      <c r="AQ165" s="3080"/>
      <c r="AR165" s="3080"/>
      <c r="AS165" s="3081">
        <f t="shared" si="324"/>
        <v>6984</v>
      </c>
      <c r="AT165" s="3109"/>
      <c r="AU165" s="3079"/>
      <c r="AV165" s="3079"/>
      <c r="AW165" s="3110"/>
      <c r="AX165" s="3085">
        <f t="shared" si="311"/>
        <v>1746</v>
      </c>
      <c r="AY165" s="3080">
        <f t="shared" si="312"/>
        <v>1746</v>
      </c>
      <c r="AZ165" s="3080">
        <f t="shared" si="313"/>
        <v>1746</v>
      </c>
      <c r="BA165" s="3086">
        <f t="shared" si="314"/>
        <v>1746</v>
      </c>
      <c r="BB165" s="3087"/>
      <c r="BC165" s="3080"/>
      <c r="BD165" s="3080"/>
      <c r="BE165" s="3080"/>
      <c r="BF165" s="3080"/>
      <c r="BG165" s="3080"/>
      <c r="BH165" s="3080"/>
      <c r="BI165" s="3080"/>
      <c r="BJ165" s="3080">
        <f t="shared" si="302"/>
        <v>6984</v>
      </c>
      <c r="BK165" s="3080"/>
      <c r="BL165" s="3080" t="s">
        <v>9164</v>
      </c>
      <c r="BM165" s="3097"/>
      <c r="BN165" s="3080">
        <f t="shared" si="315"/>
        <v>1746</v>
      </c>
      <c r="BO165" s="3080">
        <f t="shared" si="316"/>
        <v>1746</v>
      </c>
      <c r="BP165" s="3080">
        <f t="shared" si="317"/>
        <v>1746</v>
      </c>
      <c r="BQ165" s="3080">
        <f t="shared" si="318"/>
        <v>1746</v>
      </c>
      <c r="BR165" s="3080">
        <f t="shared" si="310"/>
        <v>0</v>
      </c>
      <c r="BS165" s="3088">
        <f t="shared" si="319"/>
        <v>519464</v>
      </c>
      <c r="BT165" s="3088">
        <f t="shared" ref="BT165:BW165" si="326">BT164-BN165</f>
        <v>-11947</v>
      </c>
      <c r="BU165" s="3088">
        <f t="shared" si="326"/>
        <v>-11947</v>
      </c>
      <c r="BV165" s="3088">
        <f t="shared" si="326"/>
        <v>-11947</v>
      </c>
      <c r="BW165" s="3088">
        <f t="shared" si="326"/>
        <v>-11947</v>
      </c>
      <c r="BX165" s="3088"/>
    </row>
    <row r="166" s="3031" customFormat="1" ht="32" customHeight="1" spans="1:244 16384:16384">
      <c r="A166" s="3063">
        <v>45728</v>
      </c>
      <c r="B166" s="3064" t="s">
        <v>77</v>
      </c>
      <c r="C166" s="3065" t="s">
        <v>78</v>
      </c>
      <c r="D166" s="3066">
        <v>4500159868</v>
      </c>
      <c r="E166" s="3091">
        <v>4401015338</v>
      </c>
      <c r="F166" s="3066" t="s">
        <v>9625</v>
      </c>
      <c r="G166" s="3098" t="s">
        <v>9519</v>
      </c>
      <c r="H166" s="3069" t="s">
        <v>9520</v>
      </c>
      <c r="I166" s="2969">
        <v>6984</v>
      </c>
      <c r="J166" s="2969">
        <v>0</v>
      </c>
      <c r="K166" s="2969">
        <v>4</v>
      </c>
      <c r="L166" s="2969">
        <f t="shared" ref="L166:L175" si="327">I166/K166</f>
        <v>1746</v>
      </c>
      <c r="M166" s="3070">
        <v>45835</v>
      </c>
      <c r="N166" s="3070">
        <f t="shared" si="321"/>
        <v>45831</v>
      </c>
      <c r="O166" s="2996"/>
      <c r="P166" s="2996" t="s">
        <v>82</v>
      </c>
      <c r="Q166" s="3071"/>
      <c r="R166" s="3071"/>
      <c r="S166" s="3071"/>
      <c r="T166" s="3071"/>
      <c r="U166" s="3072" t="s">
        <v>1387</v>
      </c>
      <c r="V166" s="2996"/>
      <c r="W166" s="3073" t="s">
        <v>5716</v>
      </c>
      <c r="X166" s="3073"/>
      <c r="Y166" s="3073" t="s">
        <v>9521</v>
      </c>
      <c r="Z166" s="3073"/>
      <c r="AA166" s="3073"/>
      <c r="AB166" s="3091" t="s">
        <v>9522</v>
      </c>
      <c r="AC166" s="2969" t="s">
        <v>338</v>
      </c>
      <c r="AD166" s="3075">
        <v>16.2706</v>
      </c>
      <c r="AE166" s="3076">
        <f t="shared" si="322"/>
        <v>28408.4676</v>
      </c>
      <c r="AF166" s="2969"/>
      <c r="AG166" s="3098" t="s">
        <v>9519</v>
      </c>
      <c r="AH166" s="2969" t="s">
        <v>416</v>
      </c>
      <c r="AI166" s="3077"/>
      <c r="AJ166" s="3078"/>
      <c r="AK166" s="3077"/>
      <c r="AL166" s="3078"/>
      <c r="AM166" s="3092"/>
      <c r="AN166" s="3078">
        <f t="shared" si="323"/>
        <v>6984</v>
      </c>
      <c r="AO166" s="3079"/>
      <c r="AP166" s="3080"/>
      <c r="AQ166" s="3080"/>
      <c r="AR166" s="3080"/>
      <c r="AS166" s="3081">
        <f t="shared" si="324"/>
        <v>6984</v>
      </c>
      <c r="AT166" s="3109"/>
      <c r="AU166" s="3079"/>
      <c r="AV166" s="3079"/>
      <c r="AW166" s="3110"/>
      <c r="AX166" s="3085">
        <f t="shared" si="311"/>
        <v>1746</v>
      </c>
      <c r="AY166" s="3080">
        <f t="shared" si="312"/>
        <v>1746</v>
      </c>
      <c r="AZ166" s="3080">
        <f t="shared" si="313"/>
        <v>1746</v>
      </c>
      <c r="BA166" s="3086">
        <f t="shared" si="314"/>
        <v>1746</v>
      </c>
      <c r="BB166" s="3087"/>
      <c r="BC166" s="3080"/>
      <c r="BD166" s="3080"/>
      <c r="BE166" s="3080"/>
      <c r="BF166" s="3080"/>
      <c r="BG166" s="3080"/>
      <c r="BH166" s="3080"/>
      <c r="BI166" s="3080"/>
      <c r="BJ166" s="3080">
        <f t="shared" si="302"/>
        <v>6984</v>
      </c>
      <c r="BK166" s="3080"/>
      <c r="BL166" s="3080" t="s">
        <v>9164</v>
      </c>
      <c r="BM166" s="3097"/>
      <c r="BN166" s="3080">
        <f t="shared" si="315"/>
        <v>1746</v>
      </c>
      <c r="BO166" s="3080">
        <f t="shared" si="316"/>
        <v>1746</v>
      </c>
      <c r="BP166" s="3080">
        <f t="shared" si="317"/>
        <v>1746</v>
      </c>
      <c r="BQ166" s="3080">
        <f t="shared" si="318"/>
        <v>1746</v>
      </c>
      <c r="BR166" s="3080">
        <f t="shared" si="310"/>
        <v>0</v>
      </c>
      <c r="BS166" s="3088">
        <f t="shared" si="319"/>
        <v>519464</v>
      </c>
      <c r="BT166" s="3088">
        <f t="shared" ref="BT166:BW166" si="328">BT165-BN166</f>
        <v>-13693</v>
      </c>
      <c r="BU166" s="3088">
        <f t="shared" si="328"/>
        <v>-13693</v>
      </c>
      <c r="BV166" s="3088">
        <f t="shared" si="328"/>
        <v>-13693</v>
      </c>
      <c r="BW166" s="3088">
        <f t="shared" si="328"/>
        <v>-13693</v>
      </c>
      <c r="BX166" s="3088"/>
    </row>
    <row r="167" s="3031" customFormat="1" ht="32" customHeight="1" spans="1:244 16384:16384">
      <c r="A167" s="3063">
        <v>45728</v>
      </c>
      <c r="B167" s="3064" t="s">
        <v>77</v>
      </c>
      <c r="C167" s="3065" t="s">
        <v>78</v>
      </c>
      <c r="D167" s="3066">
        <v>4500159868</v>
      </c>
      <c r="E167" s="3091">
        <v>4401015363</v>
      </c>
      <c r="F167" s="3066" t="s">
        <v>9626</v>
      </c>
      <c r="G167" s="3098" t="s">
        <v>9519</v>
      </c>
      <c r="H167" s="3069" t="s">
        <v>9520</v>
      </c>
      <c r="I167" s="2969">
        <v>6984</v>
      </c>
      <c r="J167" s="2969">
        <v>0</v>
      </c>
      <c r="K167" s="2969">
        <v>4</v>
      </c>
      <c r="L167" s="2969">
        <f t="shared" si="327"/>
        <v>1746</v>
      </c>
      <c r="M167" s="3070">
        <v>45838</v>
      </c>
      <c r="N167" s="3070">
        <v>45834</v>
      </c>
      <c r="O167" s="2996"/>
      <c r="P167" s="2996" t="s">
        <v>82</v>
      </c>
      <c r="Q167" s="3071"/>
      <c r="R167" s="3071"/>
      <c r="S167" s="3071"/>
      <c r="T167" s="3071"/>
      <c r="U167" s="3072" t="s">
        <v>1387</v>
      </c>
      <c r="V167" s="2996"/>
      <c r="W167" s="3073" t="s">
        <v>5716</v>
      </c>
      <c r="X167" s="3073"/>
      <c r="Y167" s="3073" t="s">
        <v>9521</v>
      </c>
      <c r="Z167" s="3073"/>
      <c r="AA167" s="3073"/>
      <c r="AB167" s="3091" t="s">
        <v>9522</v>
      </c>
      <c r="AC167" s="2969" t="s">
        <v>338</v>
      </c>
      <c r="AD167" s="3075">
        <v>16.8851</v>
      </c>
      <c r="AE167" s="3076">
        <f t="shared" si="322"/>
        <v>29481.3846</v>
      </c>
      <c r="AF167" s="2969"/>
      <c r="AG167" s="3098" t="s">
        <v>9519</v>
      </c>
      <c r="AH167" s="2969" t="s">
        <v>416</v>
      </c>
      <c r="AI167" s="3077"/>
      <c r="AJ167" s="3078"/>
      <c r="AK167" s="3077"/>
      <c r="AL167" s="3078"/>
      <c r="AM167" s="3092"/>
      <c r="AN167" s="3078">
        <f t="shared" si="323"/>
        <v>6984</v>
      </c>
      <c r="AO167" s="3079"/>
      <c r="AP167" s="3080"/>
      <c r="AQ167" s="3080"/>
      <c r="AR167" s="3080"/>
      <c r="AS167" s="3081">
        <f t="shared" si="324"/>
        <v>6984</v>
      </c>
      <c r="AT167" s="3109"/>
      <c r="AU167" s="3079"/>
      <c r="AV167" s="3079"/>
      <c r="AW167" s="3110"/>
      <c r="AX167" s="3085">
        <f t="shared" si="311"/>
        <v>1746</v>
      </c>
      <c r="AY167" s="3080">
        <f t="shared" si="312"/>
        <v>1746</v>
      </c>
      <c r="AZ167" s="3080">
        <f t="shared" si="313"/>
        <v>1746</v>
      </c>
      <c r="BA167" s="3086">
        <f t="shared" si="314"/>
        <v>1746</v>
      </c>
      <c r="BB167" s="3087"/>
      <c r="BC167" s="3080"/>
      <c r="BD167" s="3080"/>
      <c r="BE167" s="3080"/>
      <c r="BF167" s="3080"/>
      <c r="BG167" s="3080"/>
      <c r="BH167" s="3080"/>
      <c r="BI167" s="3080"/>
      <c r="BJ167" s="3080">
        <f t="shared" si="302"/>
        <v>6984</v>
      </c>
      <c r="BK167" s="3080"/>
      <c r="BL167" s="3080" t="s">
        <v>9164</v>
      </c>
      <c r="BM167" s="3097"/>
      <c r="BN167" s="3080">
        <f t="shared" si="315"/>
        <v>1746</v>
      </c>
      <c r="BO167" s="3080">
        <f t="shared" si="316"/>
        <v>1746</v>
      </c>
      <c r="BP167" s="3080">
        <f t="shared" si="317"/>
        <v>1746</v>
      </c>
      <c r="BQ167" s="3080">
        <f t="shared" si="318"/>
        <v>1746</v>
      </c>
      <c r="BR167" s="3080">
        <f t="shared" si="310"/>
        <v>0</v>
      </c>
      <c r="BS167" s="3088">
        <f t="shared" si="319"/>
        <v>519464</v>
      </c>
      <c r="BT167" s="3088">
        <f t="shared" ref="BT167:BW167" si="329">BT166-BN167</f>
        <v>-15439</v>
      </c>
      <c r="BU167" s="3088">
        <f t="shared" si="329"/>
        <v>-15439</v>
      </c>
      <c r="BV167" s="3088">
        <f t="shared" si="329"/>
        <v>-15439</v>
      </c>
      <c r="BW167" s="3088">
        <f t="shared" si="329"/>
        <v>-15439</v>
      </c>
      <c r="BX167" s="3088"/>
    </row>
    <row r="168" s="3031" customFormat="1" ht="32" customHeight="1" spans="1:244 16384:16384">
      <c r="A168" s="3063">
        <v>45728</v>
      </c>
      <c r="B168" s="3064" t="s">
        <v>77</v>
      </c>
      <c r="C168" s="3065" t="s">
        <v>78</v>
      </c>
      <c r="D168" s="3066">
        <v>4500159868</v>
      </c>
      <c r="E168" s="3091">
        <v>4401015339</v>
      </c>
      <c r="F168" s="3066" t="s">
        <v>9627</v>
      </c>
      <c r="G168" s="3098" t="s">
        <v>9519</v>
      </c>
      <c r="H168" s="3069" t="s">
        <v>9520</v>
      </c>
      <c r="I168" s="2969">
        <v>6984</v>
      </c>
      <c r="J168" s="2969">
        <v>0</v>
      </c>
      <c r="K168" s="2969">
        <v>4</v>
      </c>
      <c r="L168" s="2969">
        <f t="shared" si="327"/>
        <v>1746</v>
      </c>
      <c r="M168" s="3070">
        <v>45845</v>
      </c>
      <c r="N168" s="3070">
        <v>45841</v>
      </c>
      <c r="O168" s="2996"/>
      <c r="P168" s="2996" t="s">
        <v>82</v>
      </c>
      <c r="Q168" s="3071"/>
      <c r="R168" s="3071"/>
      <c r="S168" s="3071"/>
      <c r="T168" s="3071"/>
      <c r="U168" s="3072" t="s">
        <v>3940</v>
      </c>
      <c r="V168" s="2996"/>
      <c r="W168" s="3073" t="s">
        <v>5716</v>
      </c>
      <c r="X168" s="3073"/>
      <c r="Y168" s="3073" t="s">
        <v>9521</v>
      </c>
      <c r="Z168" s="3073"/>
      <c r="AA168" s="3073"/>
      <c r="AB168" s="3091" t="s">
        <v>9522</v>
      </c>
      <c r="AC168" s="2969" t="s">
        <v>338</v>
      </c>
      <c r="AD168" s="3075">
        <v>16.8851</v>
      </c>
      <c r="AE168" s="3076">
        <f t="shared" si="322"/>
        <v>29481.3846</v>
      </c>
      <c r="AF168" s="2969"/>
      <c r="AG168" s="3098" t="s">
        <v>9519</v>
      </c>
      <c r="AH168" s="2969" t="s">
        <v>416</v>
      </c>
      <c r="AI168" s="3077"/>
      <c r="AJ168" s="3078"/>
      <c r="AK168" s="3077"/>
      <c r="AL168" s="3078"/>
      <c r="AM168" s="3092"/>
      <c r="AN168" s="3078">
        <f t="shared" si="323"/>
        <v>6984</v>
      </c>
      <c r="AO168" s="3079"/>
      <c r="AP168" s="3080"/>
      <c r="AQ168" s="3080"/>
      <c r="AR168" s="3080"/>
      <c r="AS168" s="3081">
        <f t="shared" si="324"/>
        <v>6984</v>
      </c>
      <c r="AT168" s="3109"/>
      <c r="AU168" s="3079"/>
      <c r="AV168" s="3079"/>
      <c r="AW168" s="3110"/>
      <c r="AX168" s="3085">
        <f t="shared" si="311"/>
        <v>1746</v>
      </c>
      <c r="AY168" s="3080">
        <f t="shared" si="312"/>
        <v>1746</v>
      </c>
      <c r="AZ168" s="3080">
        <f t="shared" si="313"/>
        <v>1746</v>
      </c>
      <c r="BA168" s="3086">
        <f t="shared" si="314"/>
        <v>1746</v>
      </c>
      <c r="BB168" s="3087"/>
      <c r="BC168" s="3080"/>
      <c r="BD168" s="3080"/>
      <c r="BE168" s="3080"/>
      <c r="BF168" s="3080"/>
      <c r="BG168" s="3080"/>
      <c r="BH168" s="3080"/>
      <c r="BI168" s="3080"/>
      <c r="BJ168" s="3080">
        <f t="shared" si="302"/>
        <v>6984</v>
      </c>
      <c r="BK168" s="3080"/>
      <c r="BL168" s="3080" t="s">
        <v>9164</v>
      </c>
      <c r="BM168" s="3097"/>
      <c r="BN168" s="3080">
        <f t="shared" si="315"/>
        <v>1746</v>
      </c>
      <c r="BO168" s="3080">
        <f t="shared" si="316"/>
        <v>1746</v>
      </c>
      <c r="BP168" s="3080">
        <f t="shared" si="317"/>
        <v>1746</v>
      </c>
      <c r="BQ168" s="3080">
        <f t="shared" si="318"/>
        <v>1746</v>
      </c>
      <c r="BR168" s="3080">
        <f t="shared" si="310"/>
        <v>0</v>
      </c>
      <c r="BS168" s="3088">
        <f t="shared" si="319"/>
        <v>519464</v>
      </c>
      <c r="BT168" s="3088">
        <f t="shared" ref="BT168:BW168" si="330">BT167-BN168</f>
        <v>-17185</v>
      </c>
      <c r="BU168" s="3088">
        <f t="shared" si="330"/>
        <v>-17185</v>
      </c>
      <c r="BV168" s="3088">
        <f t="shared" si="330"/>
        <v>-17185</v>
      </c>
      <c r="BW168" s="3088">
        <f t="shared" si="330"/>
        <v>-17185</v>
      </c>
      <c r="BX168" s="3088"/>
    </row>
    <row r="169" s="3031" customFormat="1" ht="32" customHeight="1" spans="1:244 16384:16384">
      <c r="A169" s="3063">
        <v>45800</v>
      </c>
      <c r="B169" s="3064" t="s">
        <v>2914</v>
      </c>
      <c r="C169" s="3065" t="s">
        <v>341</v>
      </c>
      <c r="D169" s="3066">
        <v>4500167693</v>
      </c>
      <c r="E169" s="3091" t="s">
        <v>9628</v>
      </c>
      <c r="F169" s="3066" t="s">
        <v>9629</v>
      </c>
      <c r="G169" s="3098" t="s">
        <v>9154</v>
      </c>
      <c r="H169" s="3069" t="s">
        <v>9155</v>
      </c>
      <c r="I169" s="2969">
        <v>2560</v>
      </c>
      <c r="J169" s="2969">
        <v>0</v>
      </c>
      <c r="K169" s="2969">
        <v>8</v>
      </c>
      <c r="L169" s="2969">
        <f t="shared" si="327"/>
        <v>320</v>
      </c>
      <c r="M169" s="3070">
        <v>45849</v>
      </c>
      <c r="N169" s="3070">
        <f t="shared" si="321"/>
        <v>45845</v>
      </c>
      <c r="O169" s="2996"/>
      <c r="P169" s="2996" t="s">
        <v>82</v>
      </c>
      <c r="Q169" s="3071"/>
      <c r="R169" s="3071"/>
      <c r="S169" s="3071"/>
      <c r="T169" s="3071"/>
      <c r="U169" s="3072"/>
      <c r="V169" s="2996"/>
      <c r="W169" s="3073" t="s">
        <v>3925</v>
      </c>
      <c r="X169" s="3073"/>
      <c r="Y169" s="3073" t="s">
        <v>3479</v>
      </c>
      <c r="Z169" s="3073"/>
      <c r="AA169" s="3073" t="s">
        <v>9630</v>
      </c>
      <c r="AB169" s="3091" t="s">
        <v>9631</v>
      </c>
      <c r="AC169" s="2969" t="s">
        <v>87</v>
      </c>
      <c r="AD169" s="3075">
        <v>4.1486</v>
      </c>
      <c r="AE169" s="3076">
        <f t="shared" ref="AE169:AE173" si="331">AD169*I169</f>
        <v>10620.416</v>
      </c>
      <c r="AF169" s="2969" t="s">
        <v>9632</v>
      </c>
      <c r="AG169" s="2969" t="s">
        <v>9154</v>
      </c>
      <c r="AH169" s="2969" t="s">
        <v>416</v>
      </c>
      <c r="AI169" s="3077"/>
      <c r="AJ169" s="3078">
        <f t="shared" ref="AJ169:AJ173" si="332">I169</f>
        <v>2560</v>
      </c>
      <c r="AK169" s="3092"/>
      <c r="AL169" s="3078"/>
      <c r="AM169" s="3092"/>
      <c r="AN169" s="3078"/>
      <c r="AO169" s="3097"/>
      <c r="AP169" s="3080">
        <f t="shared" ref="AP169:AP190" si="333">I169</f>
        <v>2560</v>
      </c>
      <c r="AQ169" s="3080"/>
      <c r="AR169" s="3080"/>
      <c r="AS169" s="3081"/>
      <c r="AT169" s="3149"/>
      <c r="AU169" s="3097"/>
      <c r="AV169" s="3097"/>
      <c r="AW169" s="3150"/>
      <c r="AX169" s="3085">
        <f t="shared" si="311"/>
        <v>640</v>
      </c>
      <c r="AY169" s="3080">
        <f>I169/4</f>
        <v>640</v>
      </c>
      <c r="AZ169" s="3080">
        <f>I169/4</f>
        <v>640</v>
      </c>
      <c r="BA169" s="3086">
        <f>I169/4</f>
        <v>640</v>
      </c>
      <c r="BB169" s="3087"/>
      <c r="BC169" s="3080"/>
      <c r="BD169" s="3080"/>
      <c r="BE169" s="3080"/>
      <c r="BF169" s="3080"/>
      <c r="BG169" s="3080"/>
      <c r="BH169" s="3080"/>
      <c r="BI169" s="3080"/>
      <c r="BJ169" s="3080">
        <f t="shared" si="302"/>
        <v>2560</v>
      </c>
      <c r="BK169" s="3080"/>
      <c r="BL169" s="3080" t="s">
        <v>9164</v>
      </c>
      <c r="BM169" s="3097"/>
      <c r="BN169" s="3080">
        <f t="shared" si="315"/>
        <v>640</v>
      </c>
      <c r="BO169" s="3080">
        <f t="shared" si="316"/>
        <v>640</v>
      </c>
      <c r="BP169" s="3080">
        <f t="shared" si="317"/>
        <v>640</v>
      </c>
      <c r="BQ169" s="3080">
        <f t="shared" si="318"/>
        <v>640</v>
      </c>
      <c r="BR169" s="3080">
        <f t="shared" si="310"/>
        <v>0</v>
      </c>
      <c r="BS169" s="3088">
        <f t="shared" si="319"/>
        <v>515040</v>
      </c>
      <c r="BT169" s="3088"/>
      <c r="BU169" s="3088"/>
      <c r="BV169" s="3088"/>
      <c r="BW169" s="3088"/>
      <c r="BX169" s="3088"/>
    </row>
    <row r="170" s="3031" customFormat="1" ht="32" customHeight="1" spans="1:244 16384:16384">
      <c r="A170" s="3063">
        <v>45807</v>
      </c>
      <c r="B170" s="3064" t="s">
        <v>6682</v>
      </c>
      <c r="C170" s="3065" t="s">
        <v>396</v>
      </c>
      <c r="D170" s="3066">
        <v>4500168544</v>
      </c>
      <c r="E170" s="3091">
        <v>2700950911</v>
      </c>
      <c r="F170" s="3066" t="s">
        <v>9633</v>
      </c>
      <c r="G170" s="3098" t="s">
        <v>9158</v>
      </c>
      <c r="H170" s="3069" t="s">
        <v>9155</v>
      </c>
      <c r="I170" s="2969">
        <v>1000</v>
      </c>
      <c r="J170" s="2969">
        <v>0</v>
      </c>
      <c r="K170" s="2969">
        <v>1</v>
      </c>
      <c r="L170" s="2969">
        <f t="shared" si="327"/>
        <v>1000</v>
      </c>
      <c r="M170" s="3070">
        <v>45846</v>
      </c>
      <c r="N170" s="3070">
        <v>45842</v>
      </c>
      <c r="O170" s="2996" t="s">
        <v>9634</v>
      </c>
      <c r="P170" s="2996" t="s">
        <v>82</v>
      </c>
      <c r="Q170" s="3071"/>
      <c r="R170" s="3071"/>
      <c r="S170" s="3071"/>
      <c r="T170" s="3071"/>
      <c r="U170" s="3072"/>
      <c r="V170" s="2996"/>
      <c r="W170" s="3073" t="s">
        <v>3992</v>
      </c>
      <c r="X170" s="3073"/>
      <c r="Y170" s="3073" t="s">
        <v>9635</v>
      </c>
      <c r="Z170" s="3073"/>
      <c r="AA170" s="3073"/>
      <c r="AB170" s="3091" t="s">
        <v>9636</v>
      </c>
      <c r="AC170" s="2969" t="s">
        <v>6688</v>
      </c>
      <c r="AD170" s="3075">
        <v>4.1238</v>
      </c>
      <c r="AE170" s="3076">
        <f t="shared" si="331"/>
        <v>4123.8</v>
      </c>
      <c r="AF170" s="2969"/>
      <c r="AG170" s="3069" t="s">
        <v>9163</v>
      </c>
      <c r="AH170" s="2969" t="s">
        <v>416</v>
      </c>
      <c r="AI170" s="3078"/>
      <c r="AJ170" s="3078"/>
      <c r="AK170" s="3138"/>
      <c r="AL170" s="3078">
        <f t="shared" ref="AL170:AL186" si="334">I170</f>
        <v>1000</v>
      </c>
      <c r="AM170" s="3138"/>
      <c r="AN170" s="3078"/>
      <c r="AO170" s="3141"/>
      <c r="AP170" s="3080">
        <f t="shared" si="333"/>
        <v>1000</v>
      </c>
      <c r="AQ170" s="3080"/>
      <c r="AR170" s="3080"/>
      <c r="AS170" s="3081"/>
      <c r="AT170" s="3142"/>
      <c r="AU170" s="3141"/>
      <c r="AV170" s="3141"/>
      <c r="AW170" s="3143"/>
      <c r="AX170" s="3085">
        <f t="shared" si="311"/>
        <v>250</v>
      </c>
      <c r="AY170" s="3080">
        <f>AX170</f>
        <v>250</v>
      </c>
      <c r="AZ170" s="3080">
        <f>AX170</f>
        <v>250</v>
      </c>
      <c r="BA170" s="3086">
        <f>AX170</f>
        <v>250</v>
      </c>
      <c r="BB170" s="3087"/>
      <c r="BC170" s="3080"/>
      <c r="BD170" s="3080"/>
      <c r="BE170" s="3080"/>
      <c r="BF170" s="3080"/>
      <c r="BG170" s="3080"/>
      <c r="BH170" s="3080"/>
      <c r="BI170" s="3080"/>
      <c r="BJ170" s="3080"/>
      <c r="BK170" s="3080">
        <f>I170</f>
        <v>1000</v>
      </c>
      <c r="BL170" s="3080" t="s">
        <v>9164</v>
      </c>
      <c r="BM170" s="3141"/>
      <c r="BN170" s="3080">
        <f t="shared" si="315"/>
        <v>250</v>
      </c>
      <c r="BO170" s="3080">
        <f t="shared" si="316"/>
        <v>250</v>
      </c>
      <c r="BP170" s="3080">
        <f t="shared" si="317"/>
        <v>250</v>
      </c>
      <c r="BQ170" s="3080">
        <f t="shared" si="318"/>
        <v>250</v>
      </c>
      <c r="BR170" s="3080">
        <f t="shared" si="310"/>
        <v>0</v>
      </c>
      <c r="BS170" s="3088">
        <f t="shared" si="319"/>
        <v>513480</v>
      </c>
      <c r="BT170" s="3088"/>
      <c r="BU170" s="3088"/>
      <c r="BV170" s="3088"/>
      <c r="BW170" s="3088"/>
      <c r="BX170" s="3088"/>
    </row>
    <row r="171" s="3031" customFormat="1" ht="32" customHeight="1" spans="1:244 16384:16384">
      <c r="A171" s="3151">
        <v>45820</v>
      </c>
      <c r="B171" s="3064" t="s">
        <v>1477</v>
      </c>
      <c r="C171" s="3065" t="s">
        <v>351</v>
      </c>
      <c r="D171" s="3066">
        <v>4500169637</v>
      </c>
      <c r="E171" s="3091"/>
      <c r="F171" s="3066" t="s">
        <v>9637</v>
      </c>
      <c r="G171" s="3098" t="s">
        <v>9419</v>
      </c>
      <c r="H171" s="3069" t="s">
        <v>9100</v>
      </c>
      <c r="I171" s="2969">
        <v>240</v>
      </c>
      <c r="J171" s="2969">
        <v>0</v>
      </c>
      <c r="K171" s="2969">
        <v>8</v>
      </c>
      <c r="L171" s="2969">
        <f t="shared" si="327"/>
        <v>30</v>
      </c>
      <c r="M171" s="3070">
        <v>45856</v>
      </c>
      <c r="N171" s="3070">
        <v>45852</v>
      </c>
      <c r="O171" s="2996"/>
      <c r="P171" s="2996" t="s">
        <v>82</v>
      </c>
      <c r="Q171" s="3071"/>
      <c r="R171" s="3071"/>
      <c r="S171" s="3071"/>
      <c r="T171" s="3071"/>
      <c r="U171" s="3072" t="s">
        <v>1424</v>
      </c>
      <c r="V171" s="2996"/>
      <c r="W171" s="3073" t="s">
        <v>1479</v>
      </c>
      <c r="X171" s="3073"/>
      <c r="Y171" s="3073" t="s">
        <v>9638</v>
      </c>
      <c r="Z171" s="3073"/>
      <c r="AA171" s="3073"/>
      <c r="AB171" s="3091" t="s">
        <v>9639</v>
      </c>
      <c r="AC171" s="2969" t="s">
        <v>1199</v>
      </c>
      <c r="AD171" s="3075">
        <v>4.1708</v>
      </c>
      <c r="AE171" s="3076">
        <f t="shared" si="331"/>
        <v>1000.992</v>
      </c>
      <c r="AF171" s="2969" t="s">
        <v>1481</v>
      </c>
      <c r="AG171" s="2969" t="s">
        <v>9419</v>
      </c>
      <c r="AH171" s="2969" t="s">
        <v>416</v>
      </c>
      <c r="AI171" s="3077"/>
      <c r="AJ171" s="3078">
        <f t="shared" si="332"/>
        <v>240</v>
      </c>
      <c r="AK171" s="3103"/>
      <c r="AL171" s="3078"/>
      <c r="AM171" s="3103"/>
      <c r="AN171" s="3078"/>
      <c r="AO171" s="3102"/>
      <c r="AP171" s="3080">
        <f t="shared" si="333"/>
        <v>240</v>
      </c>
      <c r="AQ171" s="3080"/>
      <c r="AR171" s="3080"/>
      <c r="AS171" s="3081"/>
      <c r="AT171" s="3116"/>
      <c r="AU171" s="3102"/>
      <c r="AV171" s="3102"/>
      <c r="AW171" s="3152"/>
      <c r="AX171" s="3085"/>
      <c r="AY171" s="3080"/>
      <c r="AZ171" s="3080">
        <f>I171</f>
        <v>240</v>
      </c>
      <c r="BA171" s="3086"/>
      <c r="BB171" s="3080"/>
      <c r="BC171" s="3080"/>
      <c r="BD171" s="3080"/>
      <c r="BE171" s="3080"/>
      <c r="BF171" s="3080"/>
      <c r="BG171" s="3080"/>
      <c r="BH171" s="3080"/>
      <c r="BI171" s="3080"/>
      <c r="BJ171" s="3080">
        <f t="shared" ref="BJ171:BJ175" si="335">I171</f>
        <v>240</v>
      </c>
      <c r="BK171" s="3080"/>
      <c r="BL171" s="3080" t="s">
        <v>9164</v>
      </c>
      <c r="BM171" s="3102"/>
      <c r="BN171" s="3080"/>
      <c r="BO171" s="3080"/>
      <c r="BP171" s="3080">
        <f>I171</f>
        <v>240</v>
      </c>
      <c r="BQ171" s="3080"/>
      <c r="BR171" s="3080">
        <f t="shared" si="310"/>
        <v>0</v>
      </c>
      <c r="BS171" s="3088">
        <f t="shared" si="319"/>
        <v>512720</v>
      </c>
      <c r="BT171" s="3088">
        <f t="shared" ref="BT171:BW171" si="336">BT193-BN171</f>
        <v>-20677</v>
      </c>
      <c r="BU171" s="3088">
        <f t="shared" si="336"/>
        <v>-20677</v>
      </c>
      <c r="BV171" s="3088">
        <f t="shared" si="336"/>
        <v>-20917</v>
      </c>
      <c r="BW171" s="3088">
        <f t="shared" si="336"/>
        <v>-20677</v>
      </c>
      <c r="BX171" s="3088"/>
    </row>
    <row r="172" s="3031" customFormat="1" ht="32" customHeight="1" spans="1:244 16384:16384">
      <c r="A172" s="3151">
        <v>45820</v>
      </c>
      <c r="B172" s="3064" t="s">
        <v>1477</v>
      </c>
      <c r="C172" s="3065" t="s">
        <v>351</v>
      </c>
      <c r="D172" s="3066">
        <v>4500169637</v>
      </c>
      <c r="E172" s="3091"/>
      <c r="F172" s="3066" t="s">
        <v>9640</v>
      </c>
      <c r="G172" s="3098" t="s">
        <v>9255</v>
      </c>
      <c r="H172" s="3069" t="s">
        <v>9098</v>
      </c>
      <c r="I172" s="2969">
        <v>240</v>
      </c>
      <c r="J172" s="2969">
        <v>0</v>
      </c>
      <c r="K172" s="2969">
        <v>8</v>
      </c>
      <c r="L172" s="2969">
        <f t="shared" si="327"/>
        <v>30</v>
      </c>
      <c r="M172" s="3070">
        <v>45856</v>
      </c>
      <c r="N172" s="3070">
        <v>45852</v>
      </c>
      <c r="O172" s="2996"/>
      <c r="P172" s="2996" t="s">
        <v>82</v>
      </c>
      <c r="Q172" s="3071"/>
      <c r="R172" s="3071"/>
      <c r="S172" s="3071"/>
      <c r="T172" s="3071"/>
      <c r="U172" s="3072" t="s">
        <v>1424</v>
      </c>
      <c r="V172" s="2996"/>
      <c r="W172" s="3073" t="s">
        <v>1479</v>
      </c>
      <c r="X172" s="3073"/>
      <c r="Y172" s="3073" t="s">
        <v>9638</v>
      </c>
      <c r="Z172" s="3073"/>
      <c r="AA172" s="3073"/>
      <c r="AB172" s="3091" t="s">
        <v>9641</v>
      </c>
      <c r="AC172" s="2969" t="s">
        <v>1199</v>
      </c>
      <c r="AD172" s="3075">
        <v>4.1708</v>
      </c>
      <c r="AE172" s="3076">
        <f t="shared" si="331"/>
        <v>1000.992</v>
      </c>
      <c r="AF172" s="2969" t="s">
        <v>1481</v>
      </c>
      <c r="AG172" s="2969" t="s">
        <v>9255</v>
      </c>
      <c r="AH172" s="2969" t="s">
        <v>416</v>
      </c>
      <c r="AI172" s="3077"/>
      <c r="AJ172" s="3078">
        <f t="shared" si="332"/>
        <v>240</v>
      </c>
      <c r="AK172" s="3103"/>
      <c r="AL172" s="3078"/>
      <c r="AM172" s="3103"/>
      <c r="AN172" s="3078"/>
      <c r="AO172" s="3102"/>
      <c r="AP172" s="3080">
        <f t="shared" si="333"/>
        <v>240</v>
      </c>
      <c r="AQ172" s="3080"/>
      <c r="AR172" s="3080"/>
      <c r="AS172" s="3081"/>
      <c r="AT172" s="3116"/>
      <c r="AU172" s="3102"/>
      <c r="AV172" s="3102"/>
      <c r="AW172" s="3152"/>
      <c r="AX172" s="3085">
        <f t="shared" ref="AX172:AX175" si="337">I172</f>
        <v>240</v>
      </c>
      <c r="AY172" s="3080"/>
      <c r="AZ172" s="3080"/>
      <c r="BA172" s="3086"/>
      <c r="BB172" s="3080"/>
      <c r="BC172" s="3080"/>
      <c r="BD172" s="3080"/>
      <c r="BE172" s="3080"/>
      <c r="BF172" s="3080"/>
      <c r="BG172" s="3080"/>
      <c r="BH172" s="3080"/>
      <c r="BI172" s="3080"/>
      <c r="BJ172" s="3080">
        <f t="shared" si="335"/>
        <v>240</v>
      </c>
      <c r="BK172" s="3080"/>
      <c r="BL172" s="3080" t="s">
        <v>9164</v>
      </c>
      <c r="BM172" s="3102"/>
      <c r="BN172" s="3080">
        <f t="shared" ref="BN172:BN175" si="338">I172</f>
        <v>240</v>
      </c>
      <c r="BO172" s="3080"/>
      <c r="BP172" s="3080"/>
      <c r="BQ172" s="3080"/>
      <c r="BR172" s="3080">
        <f t="shared" si="310"/>
        <v>0</v>
      </c>
      <c r="BS172" s="3088">
        <f t="shared" si="319"/>
        <v>512720</v>
      </c>
      <c r="BT172" s="3088">
        <f t="shared" ref="BT172:BW172" si="339">BT174-BN172</f>
        <v>-312</v>
      </c>
      <c r="BU172" s="3088">
        <f t="shared" si="339"/>
        <v>0</v>
      </c>
      <c r="BV172" s="3088">
        <f t="shared" si="339"/>
        <v>0</v>
      </c>
      <c r="BW172" s="3088">
        <f t="shared" si="339"/>
        <v>0</v>
      </c>
      <c r="BX172" s="3088"/>
    </row>
    <row r="173" s="3031" customFormat="1" ht="32" customHeight="1" spans="1:244 16384:16384">
      <c r="A173" s="3151">
        <v>45820</v>
      </c>
      <c r="B173" s="3064" t="s">
        <v>1477</v>
      </c>
      <c r="C173" s="3065" t="s">
        <v>351</v>
      </c>
      <c r="D173" s="3066">
        <v>4500169637</v>
      </c>
      <c r="E173" s="3091"/>
      <c r="F173" s="3066" t="s">
        <v>9642</v>
      </c>
      <c r="G173" s="3098" t="s">
        <v>9431</v>
      </c>
      <c r="H173" s="3069" t="s">
        <v>9099</v>
      </c>
      <c r="I173" s="2969">
        <v>240</v>
      </c>
      <c r="J173" s="2969">
        <v>0</v>
      </c>
      <c r="K173" s="2969">
        <v>8</v>
      </c>
      <c r="L173" s="2969">
        <f t="shared" si="327"/>
        <v>30</v>
      </c>
      <c r="M173" s="3070">
        <v>45856</v>
      </c>
      <c r="N173" s="3070">
        <v>45852</v>
      </c>
      <c r="O173" s="2996"/>
      <c r="P173" s="2996" t="s">
        <v>82</v>
      </c>
      <c r="Q173" s="3071"/>
      <c r="R173" s="3071"/>
      <c r="S173" s="3071"/>
      <c r="T173" s="3071"/>
      <c r="U173" s="3072" t="s">
        <v>1424</v>
      </c>
      <c r="V173" s="2996"/>
      <c r="W173" s="3073" t="s">
        <v>1479</v>
      </c>
      <c r="X173" s="3073"/>
      <c r="Y173" s="3073" t="s">
        <v>9638</v>
      </c>
      <c r="Z173" s="3073"/>
      <c r="AA173" s="3073"/>
      <c r="AB173" s="3091" t="s">
        <v>9643</v>
      </c>
      <c r="AC173" s="2969" t="s">
        <v>1199</v>
      </c>
      <c r="AD173" s="3075">
        <v>4.1708</v>
      </c>
      <c r="AE173" s="3076">
        <f t="shared" si="331"/>
        <v>1000.992</v>
      </c>
      <c r="AF173" s="2969" t="s">
        <v>1481</v>
      </c>
      <c r="AG173" s="2969" t="s">
        <v>9431</v>
      </c>
      <c r="AH173" s="2969" t="s">
        <v>416</v>
      </c>
      <c r="AI173" s="3077"/>
      <c r="AJ173" s="3078">
        <f t="shared" si="332"/>
        <v>240</v>
      </c>
      <c r="AK173" s="3103"/>
      <c r="AL173" s="3078"/>
      <c r="AM173" s="3103"/>
      <c r="AN173" s="3078"/>
      <c r="AO173" s="3102"/>
      <c r="AP173" s="3080">
        <f t="shared" si="333"/>
        <v>240</v>
      </c>
      <c r="AQ173" s="3080"/>
      <c r="AR173" s="3080"/>
      <c r="AS173" s="3081"/>
      <c r="AT173" s="3116"/>
      <c r="AU173" s="3102"/>
      <c r="AV173" s="3102"/>
      <c r="AW173" s="3152"/>
      <c r="AX173" s="3085"/>
      <c r="AY173" s="3080">
        <f t="shared" ref="AY173:AY177" si="340">I173</f>
        <v>240</v>
      </c>
      <c r="AZ173" s="3080"/>
      <c r="BA173" s="3086"/>
      <c r="BB173" s="3080"/>
      <c r="BC173" s="3080"/>
      <c r="BD173" s="3080"/>
      <c r="BE173" s="3080"/>
      <c r="BF173" s="3080"/>
      <c r="BG173" s="3080"/>
      <c r="BH173" s="3080"/>
      <c r="BI173" s="3080"/>
      <c r="BJ173" s="3080">
        <f t="shared" si="335"/>
        <v>240</v>
      </c>
      <c r="BK173" s="3080"/>
      <c r="BL173" s="3080" t="s">
        <v>9164</v>
      </c>
      <c r="BM173" s="3102"/>
      <c r="BN173" s="3080"/>
      <c r="BO173" s="3080">
        <f t="shared" ref="BO173:BO177" si="341">I173</f>
        <v>240</v>
      </c>
      <c r="BP173" s="3080"/>
      <c r="BQ173" s="3080"/>
      <c r="BR173" s="3080">
        <f t="shared" si="310"/>
        <v>0</v>
      </c>
      <c r="BS173" s="3088">
        <f t="shared" si="319"/>
        <v>512720</v>
      </c>
      <c r="BT173" s="3088">
        <f t="shared" ref="BT173:BW173" si="342">BT175-BN173</f>
        <v>-8</v>
      </c>
      <c r="BU173" s="3088">
        <f t="shared" si="342"/>
        <v>-240</v>
      </c>
      <c r="BV173" s="3088">
        <f t="shared" si="342"/>
        <v>0</v>
      </c>
      <c r="BW173" s="3088">
        <f t="shared" si="342"/>
        <v>0</v>
      </c>
      <c r="BX173" s="3088"/>
    </row>
    <row r="174" s="3031" customFormat="1" ht="32" customHeight="1" spans="1:244 16384:16384">
      <c r="A174" s="3151">
        <v>45820</v>
      </c>
      <c r="B174" s="3064" t="s">
        <v>4730</v>
      </c>
      <c r="C174" s="3065" t="s">
        <v>738</v>
      </c>
      <c r="D174" s="3066">
        <v>4500169872</v>
      </c>
      <c r="E174" s="3067" t="s">
        <v>9644</v>
      </c>
      <c r="F174" s="3066" t="s">
        <v>9645</v>
      </c>
      <c r="G174" s="3098" t="s">
        <v>9255</v>
      </c>
      <c r="H174" s="3069" t="s">
        <v>9098</v>
      </c>
      <c r="I174" s="2969">
        <v>72</v>
      </c>
      <c r="J174" s="2969">
        <v>0</v>
      </c>
      <c r="K174" s="2969">
        <v>8</v>
      </c>
      <c r="L174" s="2969">
        <f t="shared" si="327"/>
        <v>9</v>
      </c>
      <c r="M174" s="3070">
        <v>45856</v>
      </c>
      <c r="N174" s="3070">
        <v>45852</v>
      </c>
      <c r="O174" s="2996"/>
      <c r="P174" s="2996" t="s">
        <v>82</v>
      </c>
      <c r="Q174" s="3071"/>
      <c r="R174" s="3071"/>
      <c r="S174" s="3071"/>
      <c r="T174" s="3071"/>
      <c r="U174" s="3072" t="s">
        <v>4135</v>
      </c>
      <c r="V174" s="3073"/>
      <c r="W174" s="3073" t="s">
        <v>3965</v>
      </c>
      <c r="X174" s="3073"/>
      <c r="Y174" s="3073" t="s">
        <v>9646</v>
      </c>
      <c r="Z174" s="3073" t="s">
        <v>4223</v>
      </c>
      <c r="AA174" s="3120"/>
      <c r="AB174" s="3120" t="s">
        <v>9647</v>
      </c>
      <c r="AC174" s="2969" t="s">
        <v>1257</v>
      </c>
      <c r="AD174" s="3075">
        <v>4.4939</v>
      </c>
      <c r="AE174" s="3076">
        <f>AD174*L174</f>
        <v>40.4451</v>
      </c>
      <c r="AF174" s="3153" t="s">
        <v>8599</v>
      </c>
      <c r="AG174" s="2969" t="s">
        <v>9429</v>
      </c>
      <c r="AH174" s="3078" t="s">
        <v>416</v>
      </c>
      <c r="AI174" s="3126"/>
      <c r="AJ174" s="3078"/>
      <c r="AK174" s="3154"/>
      <c r="AL174" s="3078">
        <f t="shared" si="334"/>
        <v>72</v>
      </c>
      <c r="AM174" s="3127"/>
      <c r="AN174" s="3080"/>
      <c r="AO174" s="3127"/>
      <c r="AP174" s="3080">
        <f t="shared" si="333"/>
        <v>72</v>
      </c>
      <c r="AQ174" s="3080"/>
      <c r="AR174" s="3080"/>
      <c r="AS174" s="3081"/>
      <c r="AT174" s="3127"/>
      <c r="AU174" s="3155"/>
      <c r="AV174" s="3156"/>
      <c r="AW174" s="3156"/>
      <c r="AX174" s="3085">
        <f t="shared" si="337"/>
        <v>72</v>
      </c>
      <c r="AY174" s="3080"/>
      <c r="AZ174" s="3080"/>
      <c r="BA174" s="3086"/>
      <c r="BB174" s="3080"/>
      <c r="BC174" s="3080"/>
      <c r="BD174" s="3080"/>
      <c r="BE174" s="3080"/>
      <c r="BF174" s="3080"/>
      <c r="BG174" s="3080"/>
      <c r="BH174" s="3080"/>
      <c r="BI174" s="3080"/>
      <c r="BJ174" s="3080">
        <f t="shared" si="335"/>
        <v>72</v>
      </c>
      <c r="BK174" s="3080"/>
      <c r="BL174" s="3080" t="s">
        <v>9164</v>
      </c>
      <c r="BM174" s="3127"/>
      <c r="BN174" s="3080">
        <f t="shared" si="338"/>
        <v>72</v>
      </c>
      <c r="BO174" s="3080"/>
      <c r="BP174" s="3088"/>
      <c r="BQ174" s="3080"/>
      <c r="BR174" s="3080">
        <f t="shared" si="310"/>
        <v>0</v>
      </c>
      <c r="BS174" s="3088">
        <f t="shared" si="319"/>
        <v>512552</v>
      </c>
      <c r="BT174" s="3088">
        <f t="shared" ref="BT174:BW174" si="343">BT192-BN174</f>
        <v>-72</v>
      </c>
      <c r="BU174" s="3088">
        <f t="shared" si="343"/>
        <v>0</v>
      </c>
      <c r="BV174" s="3088">
        <f t="shared" si="343"/>
        <v>0</v>
      </c>
      <c r="BW174" s="3088">
        <f t="shared" si="343"/>
        <v>0</v>
      </c>
      <c r="BX174" s="3088"/>
      <c r="BY174" s="3157"/>
      <c r="BZ174" s="3107"/>
      <c r="CA174" s="3107"/>
      <c r="CB174" s="3107"/>
      <c r="CC174" s="3107"/>
      <c r="CD174" s="3107"/>
      <c r="CE174" s="3107"/>
      <c r="CF174" s="3107"/>
      <c r="CG174" s="3107"/>
      <c r="CH174" s="3107"/>
      <c r="CI174" s="3107"/>
      <c r="CJ174" s="3107"/>
      <c r="CK174" s="3107"/>
      <c r="CL174" s="3107"/>
      <c r="CM174" s="3107"/>
      <c r="CN174" s="3107"/>
      <c r="CO174" s="3107"/>
      <c r="CP174" s="3107"/>
      <c r="CQ174" s="3107"/>
      <c r="CR174" s="3107"/>
      <c r="CS174" s="3107"/>
      <c r="CT174" s="3107"/>
      <c r="CU174" s="3107"/>
      <c r="CV174" s="3107"/>
      <c r="CW174" s="3107"/>
      <c r="CX174" s="3107"/>
      <c r="CY174" s="3107"/>
      <c r="CZ174" s="3107"/>
      <c r="DA174" s="3107"/>
      <c r="DB174" s="3107"/>
      <c r="DC174" s="3107"/>
      <c r="DD174" s="3107"/>
      <c r="DE174" s="3107"/>
      <c r="DF174" s="3107"/>
      <c r="DG174" s="3107"/>
      <c r="DH174" s="3107"/>
      <c r="DI174" s="3107"/>
      <c r="DJ174" s="3107"/>
      <c r="DK174" s="3107"/>
      <c r="DL174" s="3107"/>
      <c r="DM174" s="3107"/>
      <c r="DN174" s="3107"/>
      <c r="DO174" s="3107"/>
      <c r="DP174" s="3107"/>
      <c r="DQ174" s="3107"/>
      <c r="DR174" s="3107"/>
      <c r="DS174" s="3107"/>
      <c r="DT174" s="3107"/>
      <c r="DU174" s="3107"/>
      <c r="DV174" s="3107"/>
      <c r="DW174" s="3107"/>
      <c r="DX174" s="3107"/>
      <c r="DY174" s="3107"/>
      <c r="DZ174" s="3107"/>
      <c r="EA174" s="3107"/>
      <c r="EB174" s="3107"/>
      <c r="EC174" s="3107"/>
      <c r="ED174" s="3107"/>
      <c r="EE174" s="3107"/>
      <c r="EF174" s="3107"/>
      <c r="EG174" s="3107"/>
      <c r="EH174" s="3107"/>
      <c r="EI174" s="3107"/>
      <c r="EJ174" s="3107"/>
      <c r="EK174" s="3107"/>
      <c r="EL174" s="3107"/>
      <c r="EM174" s="3107"/>
      <c r="EN174" s="3107"/>
      <c r="EO174" s="3107"/>
      <c r="EP174" s="3107"/>
      <c r="EQ174" s="3107"/>
      <c r="ER174" s="3107"/>
      <c r="ES174" s="3107"/>
      <c r="ET174" s="3107"/>
      <c r="EU174" s="3107"/>
      <c r="EV174" s="3107"/>
      <c r="EW174" s="3107"/>
      <c r="EX174" s="3107"/>
      <c r="EY174" s="3107"/>
      <c r="EZ174" s="3107"/>
      <c r="FA174" s="3107"/>
      <c r="FB174" s="3107"/>
      <c r="FC174" s="3107"/>
      <c r="FD174" s="3107"/>
      <c r="FE174" s="3107"/>
      <c r="FF174" s="3107"/>
      <c r="FG174" s="3107"/>
      <c r="FH174" s="3107"/>
      <c r="FI174" s="3107"/>
      <c r="FJ174" s="3107"/>
      <c r="FK174" s="3107"/>
      <c r="FL174" s="3107"/>
      <c r="FM174" s="3107"/>
      <c r="FN174" s="3107"/>
      <c r="FO174" s="3107"/>
      <c r="FP174" s="3107"/>
      <c r="FQ174" s="3107"/>
      <c r="FR174" s="3107"/>
      <c r="FS174" s="3107"/>
      <c r="FT174" s="3107"/>
      <c r="FU174" s="3107"/>
      <c r="FV174" s="3107"/>
      <c r="FW174" s="3107"/>
      <c r="FX174" s="3107"/>
      <c r="FY174" s="3107"/>
      <c r="FZ174" s="3107"/>
      <c r="GA174" s="3107"/>
      <c r="GB174" s="3107"/>
      <c r="GC174" s="3107"/>
      <c r="GD174" s="3107"/>
      <c r="GE174" s="3107"/>
      <c r="GF174" s="3107"/>
      <c r="GG174" s="3107"/>
      <c r="GH174" s="3107"/>
      <c r="GI174" s="3107"/>
      <c r="GJ174" s="3107"/>
      <c r="GK174" s="3107"/>
      <c r="GL174" s="3107"/>
      <c r="GM174" s="3107"/>
      <c r="GN174" s="3107"/>
      <c r="GO174" s="3107"/>
      <c r="GP174" s="3107"/>
      <c r="GQ174" s="3107"/>
      <c r="GR174" s="3107"/>
      <c r="GS174" s="3107"/>
      <c r="GT174" s="3107"/>
      <c r="GU174" s="3107"/>
      <c r="GV174" s="3107"/>
      <c r="GW174" s="3107"/>
      <c r="GX174" s="3107"/>
      <c r="GY174" s="3107"/>
      <c r="GZ174" s="3107"/>
      <c r="HA174" s="3107"/>
      <c r="HB174" s="3107"/>
      <c r="HC174" s="3107"/>
      <c r="HD174" s="3107"/>
      <c r="HE174" s="3107"/>
      <c r="HF174" s="3107"/>
      <c r="HG174" s="3107"/>
      <c r="HH174" s="3107"/>
      <c r="HI174" s="3107"/>
      <c r="HJ174" s="3107"/>
      <c r="HK174" s="3107"/>
      <c r="HL174" s="3107"/>
      <c r="HM174" s="3107"/>
      <c r="HN174" s="3107"/>
      <c r="HO174" s="3107"/>
      <c r="HP174" s="3107"/>
      <c r="HQ174" s="3107"/>
      <c r="HR174" s="3107"/>
      <c r="HS174" s="3107"/>
      <c r="HT174" s="3107"/>
      <c r="HU174" s="3107"/>
      <c r="HV174" s="3107"/>
      <c r="HW174" s="3107"/>
      <c r="HX174" s="3107"/>
      <c r="HY174" s="3107"/>
      <c r="HZ174" s="3107"/>
      <c r="IA174" s="3107"/>
      <c r="IB174" s="3107"/>
      <c r="IC174" s="3107"/>
      <c r="ID174" s="3107"/>
      <c r="IE174" s="3107"/>
      <c r="IF174" s="3107"/>
      <c r="IG174" s="3107"/>
      <c r="IH174" s="3107"/>
      <c r="II174" s="3107"/>
      <c r="XFD174" s="3158"/>
    </row>
    <row r="175" s="3031" customFormat="1" ht="32" customHeight="1" spans="1:244 16384:16384">
      <c r="A175" s="3151">
        <v>45820</v>
      </c>
      <c r="B175" s="3064" t="s">
        <v>4730</v>
      </c>
      <c r="C175" s="3065" t="s">
        <v>738</v>
      </c>
      <c r="D175" s="3066">
        <v>4500169872</v>
      </c>
      <c r="E175" s="3091" t="s">
        <v>9648</v>
      </c>
      <c r="F175" s="3066" t="s">
        <v>9649</v>
      </c>
      <c r="G175" s="3098" t="s">
        <v>9255</v>
      </c>
      <c r="H175" s="3069" t="s">
        <v>9098</v>
      </c>
      <c r="I175" s="2969">
        <v>8</v>
      </c>
      <c r="J175" s="2969">
        <v>0</v>
      </c>
      <c r="K175" s="2969">
        <v>8</v>
      </c>
      <c r="L175" s="2969">
        <f t="shared" ref="L175:L186" si="344">I175/K175</f>
        <v>1</v>
      </c>
      <c r="M175" s="3070">
        <v>45856</v>
      </c>
      <c r="N175" s="3070">
        <v>45852</v>
      </c>
      <c r="O175" s="2996"/>
      <c r="P175" s="2996" t="s">
        <v>82</v>
      </c>
      <c r="Q175" s="3071"/>
      <c r="R175" s="3071"/>
      <c r="S175" s="3071"/>
      <c r="T175" s="3071"/>
      <c r="U175" s="3072" t="s">
        <v>4135</v>
      </c>
      <c r="V175" s="3073"/>
      <c r="W175" s="3073" t="s">
        <v>3965</v>
      </c>
      <c r="X175" s="3073"/>
      <c r="Y175" s="3073" t="s">
        <v>9646</v>
      </c>
      <c r="Z175" s="3073" t="s">
        <v>4223</v>
      </c>
      <c r="AA175" s="3120"/>
      <c r="AB175" s="3120" t="s">
        <v>9647</v>
      </c>
      <c r="AC175" s="2969" t="s">
        <v>1257</v>
      </c>
      <c r="AD175" s="3075">
        <v>4.4939</v>
      </c>
      <c r="AE175" s="3076">
        <f>AD175*L175</f>
        <v>4.4939</v>
      </c>
      <c r="AF175" s="3153" t="s">
        <v>8599</v>
      </c>
      <c r="AG175" s="2969" t="s">
        <v>9429</v>
      </c>
      <c r="AH175" s="3078" t="s">
        <v>416</v>
      </c>
      <c r="AI175" s="3126"/>
      <c r="AJ175" s="3078"/>
      <c r="AK175" s="3154"/>
      <c r="AL175" s="3078">
        <f t="shared" si="334"/>
        <v>8</v>
      </c>
      <c r="AM175" s="3154"/>
      <c r="AN175" s="3080"/>
      <c r="AO175" s="3127"/>
      <c r="AP175" s="3080">
        <f t="shared" si="333"/>
        <v>8</v>
      </c>
      <c r="AQ175" s="3080"/>
      <c r="AR175" s="3080"/>
      <c r="AS175" s="3081"/>
      <c r="AT175" s="3127"/>
      <c r="AU175" s="3127"/>
      <c r="AV175" s="3129"/>
      <c r="AW175" s="3159"/>
      <c r="AX175" s="3085">
        <f t="shared" si="337"/>
        <v>8</v>
      </c>
      <c r="AY175" s="3080"/>
      <c r="AZ175" s="3080"/>
      <c r="BA175" s="3086"/>
      <c r="BB175" s="3080"/>
      <c r="BC175" s="3080"/>
      <c r="BD175" s="3080"/>
      <c r="BE175" s="3080"/>
      <c r="BF175" s="3080"/>
      <c r="BG175" s="3080"/>
      <c r="BH175" s="3080"/>
      <c r="BI175" s="3080"/>
      <c r="BJ175" s="3080">
        <f t="shared" si="335"/>
        <v>8</v>
      </c>
      <c r="BK175" s="3080"/>
      <c r="BL175" s="3080" t="s">
        <v>9164</v>
      </c>
      <c r="BM175" s="3127"/>
      <c r="BN175" s="3080">
        <f t="shared" si="338"/>
        <v>8</v>
      </c>
      <c r="BO175" s="3080"/>
      <c r="BP175" s="3080"/>
      <c r="BQ175" s="3088"/>
      <c r="BR175" s="3080">
        <f t="shared" si="310"/>
        <v>0</v>
      </c>
      <c r="BS175" s="3088">
        <f t="shared" si="319"/>
        <v>512488</v>
      </c>
      <c r="BT175" s="3088">
        <f t="shared" ref="BT175:BW175" si="345">BT170-BN175</f>
        <v>-8</v>
      </c>
      <c r="BU175" s="3088">
        <f t="shared" si="345"/>
        <v>0</v>
      </c>
      <c r="BV175" s="3088">
        <f t="shared" si="345"/>
        <v>0</v>
      </c>
      <c r="BW175" s="3088">
        <f t="shared" si="345"/>
        <v>0</v>
      </c>
      <c r="BX175" s="3088"/>
      <c r="BY175" s="3157"/>
      <c r="BZ175" s="3107"/>
      <c r="CA175" s="3107"/>
      <c r="CB175" s="3107"/>
      <c r="CC175" s="3107"/>
      <c r="CD175" s="3107"/>
      <c r="CE175" s="3107"/>
      <c r="CF175" s="3107"/>
      <c r="CG175" s="3107"/>
      <c r="CH175" s="3107"/>
      <c r="CI175" s="3107"/>
      <c r="CJ175" s="3107"/>
      <c r="CK175" s="3107"/>
      <c r="CL175" s="3107"/>
      <c r="CM175" s="3107"/>
      <c r="CN175" s="3107"/>
      <c r="CO175" s="3107"/>
      <c r="CP175" s="3107"/>
      <c r="CQ175" s="3107"/>
      <c r="CR175" s="3107"/>
      <c r="CS175" s="3107"/>
      <c r="CT175" s="3107"/>
      <c r="CU175" s="3107"/>
      <c r="CV175" s="3107"/>
      <c r="CW175" s="3107"/>
      <c r="CX175" s="3107"/>
      <c r="CY175" s="3107"/>
      <c r="CZ175" s="3107"/>
      <c r="DA175" s="3107"/>
      <c r="DB175" s="3107"/>
      <c r="DC175" s="3107"/>
      <c r="DD175" s="3107"/>
      <c r="DE175" s="3107"/>
      <c r="DF175" s="3107"/>
      <c r="DG175" s="3107"/>
      <c r="DH175" s="3107"/>
      <c r="DI175" s="3107"/>
      <c r="DJ175" s="3107"/>
      <c r="DK175" s="3107"/>
      <c r="DL175" s="3107"/>
      <c r="DM175" s="3107"/>
      <c r="DN175" s="3107"/>
      <c r="DO175" s="3107"/>
      <c r="DP175" s="3107"/>
      <c r="DQ175" s="3107"/>
      <c r="DR175" s="3107"/>
      <c r="DS175" s="3107"/>
      <c r="DT175" s="3107"/>
      <c r="DU175" s="3107"/>
      <c r="DV175" s="3107"/>
      <c r="DW175" s="3107"/>
      <c r="DX175" s="3107"/>
      <c r="DY175" s="3107"/>
      <c r="DZ175" s="3107"/>
      <c r="EA175" s="3107"/>
      <c r="EB175" s="3107"/>
      <c r="EC175" s="3107"/>
      <c r="ED175" s="3107"/>
      <c r="EE175" s="3107"/>
      <c r="EF175" s="3107"/>
      <c r="EG175" s="3107"/>
      <c r="EH175" s="3107"/>
      <c r="EI175" s="3107"/>
      <c r="EJ175" s="3107"/>
      <c r="EK175" s="3107"/>
      <c r="EL175" s="3107"/>
      <c r="EM175" s="3107"/>
      <c r="EN175" s="3107"/>
      <c r="EO175" s="3107"/>
      <c r="EP175" s="3107"/>
      <c r="EQ175" s="3107"/>
      <c r="ER175" s="3107"/>
      <c r="ES175" s="3107"/>
      <c r="ET175" s="3107"/>
      <c r="EU175" s="3107"/>
      <c r="EV175" s="3107"/>
      <c r="EW175" s="3107"/>
      <c r="EX175" s="3107"/>
      <c r="EY175" s="3107"/>
      <c r="EZ175" s="3107"/>
      <c r="FA175" s="3107"/>
      <c r="FB175" s="3107"/>
      <c r="FC175" s="3107"/>
      <c r="FD175" s="3107"/>
      <c r="FE175" s="3107"/>
      <c r="FF175" s="3107"/>
      <c r="FG175" s="3107"/>
      <c r="FH175" s="3107"/>
      <c r="FI175" s="3107"/>
      <c r="FJ175" s="3107"/>
      <c r="FK175" s="3107"/>
      <c r="FL175" s="3107"/>
      <c r="FM175" s="3107"/>
      <c r="FN175" s="3107"/>
      <c r="FO175" s="3107"/>
      <c r="FP175" s="3107"/>
      <c r="FQ175" s="3107"/>
      <c r="FR175" s="3107"/>
      <c r="FS175" s="3107"/>
      <c r="FT175" s="3107"/>
      <c r="FU175" s="3107"/>
      <c r="FV175" s="3107"/>
      <c r="FW175" s="3107"/>
      <c r="FX175" s="3107"/>
      <c r="FY175" s="3107"/>
      <c r="FZ175" s="3107"/>
      <c r="GA175" s="3107"/>
      <c r="GB175" s="3107"/>
      <c r="GC175" s="3107"/>
      <c r="GD175" s="3107"/>
      <c r="GE175" s="3107"/>
      <c r="GF175" s="3107"/>
      <c r="GG175" s="3107"/>
      <c r="GH175" s="3107"/>
      <c r="GI175" s="3107"/>
      <c r="GJ175" s="3107"/>
      <c r="GK175" s="3107"/>
      <c r="GL175" s="3107"/>
      <c r="GM175" s="3107"/>
      <c r="GN175" s="3107"/>
      <c r="GO175" s="3107"/>
      <c r="GP175" s="3107"/>
      <c r="GQ175" s="3107"/>
      <c r="GR175" s="3107"/>
      <c r="GS175" s="3107"/>
      <c r="GT175" s="3107"/>
      <c r="GU175" s="3107"/>
      <c r="GV175" s="3107"/>
      <c r="GW175" s="3107"/>
      <c r="GX175" s="3107"/>
      <c r="GY175" s="3107"/>
      <c r="GZ175" s="3107"/>
      <c r="HA175" s="3107"/>
      <c r="HB175" s="3107"/>
      <c r="HC175" s="3107"/>
      <c r="HD175" s="3107"/>
      <c r="HE175" s="3107"/>
      <c r="HF175" s="3107"/>
      <c r="HG175" s="3107"/>
      <c r="HH175" s="3107"/>
      <c r="HI175" s="3107"/>
      <c r="HJ175" s="3107"/>
      <c r="HK175" s="3107"/>
      <c r="HL175" s="3107"/>
      <c r="HM175" s="3107"/>
      <c r="HN175" s="3107"/>
      <c r="HO175" s="3107"/>
      <c r="HP175" s="3107"/>
      <c r="HQ175" s="3107"/>
      <c r="HR175" s="3107"/>
      <c r="HS175" s="3107"/>
      <c r="HT175" s="3107"/>
      <c r="HU175" s="3107"/>
      <c r="HV175" s="3107"/>
      <c r="HW175" s="3107"/>
      <c r="HX175" s="3107"/>
      <c r="HY175" s="3107"/>
      <c r="HZ175" s="3107"/>
      <c r="IA175" s="3107"/>
      <c r="IB175" s="3107"/>
      <c r="IC175" s="3107"/>
      <c r="ID175" s="3107"/>
      <c r="IE175" s="3107"/>
      <c r="IF175" s="3107"/>
      <c r="IG175" s="3107"/>
      <c r="IH175" s="3107"/>
      <c r="II175" s="3107"/>
      <c r="IJ175" s="3107"/>
    </row>
    <row r="176" s="3031" customFormat="1" ht="32" customHeight="1" spans="1:244 16384:16384">
      <c r="A176" s="3151">
        <v>45824</v>
      </c>
      <c r="B176" s="3064" t="s">
        <v>1641</v>
      </c>
      <c r="C176" s="3065" t="s">
        <v>396</v>
      </c>
      <c r="D176" s="3066">
        <v>4500170160</v>
      </c>
      <c r="E176" s="3091" t="s">
        <v>9650</v>
      </c>
      <c r="F176" s="3066" t="s">
        <v>9651</v>
      </c>
      <c r="G176" s="3098" t="s">
        <v>9191</v>
      </c>
      <c r="H176" s="3069" t="s">
        <v>9099</v>
      </c>
      <c r="I176" s="2969">
        <v>16</v>
      </c>
      <c r="J176" s="2969">
        <v>0</v>
      </c>
      <c r="K176" s="2969">
        <v>8</v>
      </c>
      <c r="L176" s="2969">
        <f t="shared" si="344"/>
        <v>2</v>
      </c>
      <c r="M176" s="3070">
        <v>45856</v>
      </c>
      <c r="N176" s="3070">
        <v>45852</v>
      </c>
      <c r="O176" s="2996"/>
      <c r="P176" s="2996" t="s">
        <v>82</v>
      </c>
      <c r="Q176" s="3071"/>
      <c r="R176" s="3071"/>
      <c r="S176" s="3071"/>
      <c r="T176" s="3071"/>
      <c r="U176" s="3072" t="s">
        <v>1504</v>
      </c>
      <c r="V176" s="2996"/>
      <c r="W176" s="3073" t="s">
        <v>4276</v>
      </c>
      <c r="X176" s="3073"/>
      <c r="Y176" s="3073" t="s">
        <v>9192</v>
      </c>
      <c r="Z176" s="3073" t="s">
        <v>9652</v>
      </c>
      <c r="AA176" s="3073"/>
      <c r="AB176" s="3091" t="s">
        <v>9653</v>
      </c>
      <c r="AC176" s="2969" t="s">
        <v>369</v>
      </c>
      <c r="AD176" s="3075">
        <v>4.2589</v>
      </c>
      <c r="AE176" s="3076">
        <f t="shared" ref="AE176:AE190" si="346">AD176*I176</f>
        <v>68.1424</v>
      </c>
      <c r="AF176" s="2969"/>
      <c r="AG176" s="3069" t="s">
        <v>9194</v>
      </c>
      <c r="AH176" s="2969" t="s">
        <v>416</v>
      </c>
      <c r="AI176" s="3078"/>
      <c r="AJ176" s="3078"/>
      <c r="AK176" s="3138"/>
      <c r="AL176" s="3078">
        <f t="shared" si="334"/>
        <v>16</v>
      </c>
      <c r="AM176" s="3138"/>
      <c r="AN176" s="3078"/>
      <c r="AO176" s="3141"/>
      <c r="AP176" s="3080">
        <f t="shared" si="333"/>
        <v>16</v>
      </c>
      <c r="AQ176" s="3080"/>
      <c r="AR176" s="3080"/>
      <c r="AS176" s="3081"/>
      <c r="AT176" s="3142"/>
      <c r="AU176" s="3141"/>
      <c r="AV176" s="3141"/>
      <c r="AW176" s="3139"/>
      <c r="AX176" s="3085"/>
      <c r="AY176" s="3080">
        <f t="shared" si="340"/>
        <v>16</v>
      </c>
      <c r="AZ176" s="3080"/>
      <c r="BA176" s="3086"/>
      <c r="BB176" s="3080"/>
      <c r="BC176" s="3080"/>
      <c r="BD176" s="3080"/>
      <c r="BE176" s="3080"/>
      <c r="BF176" s="3080"/>
      <c r="BG176" s="3080"/>
      <c r="BH176" s="3080"/>
      <c r="BI176" s="3080"/>
      <c r="BJ176" s="3080"/>
      <c r="BK176" s="3080">
        <f t="shared" ref="BK176:BK186" si="347">I176</f>
        <v>16</v>
      </c>
      <c r="BL176" s="3080" t="s">
        <v>9164</v>
      </c>
      <c r="BM176" s="3141"/>
      <c r="BN176" s="3080"/>
      <c r="BO176" s="3080">
        <f t="shared" si="341"/>
        <v>16</v>
      </c>
      <c r="BP176" s="3080"/>
      <c r="BQ176" s="3080"/>
      <c r="BR176" s="3080">
        <f t="shared" si="310"/>
        <v>0</v>
      </c>
      <c r="BS176" s="3088"/>
      <c r="BT176" s="3088"/>
      <c r="BU176" s="3088"/>
      <c r="BV176" s="3088"/>
      <c r="BW176" s="3088"/>
      <c r="BX176" s="3088"/>
    </row>
    <row r="177" s="3031" customFormat="1" ht="32" customHeight="1" spans="1:76">
      <c r="A177" s="3151">
        <v>45824</v>
      </c>
      <c r="B177" s="3064" t="s">
        <v>1641</v>
      </c>
      <c r="C177" s="3065" t="s">
        <v>396</v>
      </c>
      <c r="D177" s="3066">
        <v>4500170160</v>
      </c>
      <c r="E177" s="3091" t="s">
        <v>9654</v>
      </c>
      <c r="F177" s="3066" t="s">
        <v>9655</v>
      </c>
      <c r="G177" s="3098" t="s">
        <v>9191</v>
      </c>
      <c r="H177" s="3069" t="s">
        <v>9099</v>
      </c>
      <c r="I177" s="2969">
        <v>16</v>
      </c>
      <c r="J177" s="2969">
        <v>0</v>
      </c>
      <c r="K177" s="2969">
        <v>8</v>
      </c>
      <c r="L177" s="2969">
        <f t="shared" si="344"/>
        <v>2</v>
      </c>
      <c r="M177" s="3070">
        <v>45856</v>
      </c>
      <c r="N177" s="3070">
        <v>45852</v>
      </c>
      <c r="O177" s="2996"/>
      <c r="P177" s="2996" t="s">
        <v>82</v>
      </c>
      <c r="Q177" s="3071"/>
      <c r="R177" s="3071"/>
      <c r="S177" s="3071"/>
      <c r="T177" s="3071"/>
      <c r="U177" s="3072" t="s">
        <v>1504</v>
      </c>
      <c r="V177" s="2996"/>
      <c r="W177" s="3073" t="s">
        <v>4276</v>
      </c>
      <c r="X177" s="3073"/>
      <c r="Y177" s="3073" t="s">
        <v>9192</v>
      </c>
      <c r="Z177" s="3073" t="s">
        <v>9652</v>
      </c>
      <c r="AA177" s="3073"/>
      <c r="AB177" s="3091" t="s">
        <v>9653</v>
      </c>
      <c r="AC177" s="2969" t="s">
        <v>369</v>
      </c>
      <c r="AD177" s="3075">
        <v>4.2589</v>
      </c>
      <c r="AE177" s="3076">
        <f t="shared" si="346"/>
        <v>68.1424</v>
      </c>
      <c r="AF177" s="2969"/>
      <c r="AG177" s="3069" t="s">
        <v>9194</v>
      </c>
      <c r="AH177" s="2969" t="s">
        <v>416</v>
      </c>
      <c r="AI177" s="3078"/>
      <c r="AJ177" s="3078"/>
      <c r="AK177" s="3138"/>
      <c r="AL177" s="3078">
        <f t="shared" si="334"/>
        <v>16</v>
      </c>
      <c r="AM177" s="3138"/>
      <c r="AN177" s="3078"/>
      <c r="AO177" s="3141"/>
      <c r="AP177" s="3080">
        <f t="shared" si="333"/>
        <v>16</v>
      </c>
      <c r="AQ177" s="3080"/>
      <c r="AR177" s="3080"/>
      <c r="AS177" s="3081"/>
      <c r="AT177" s="3142"/>
      <c r="AU177" s="3141"/>
      <c r="AV177" s="3141"/>
      <c r="AW177" s="3139"/>
      <c r="AX177" s="3085"/>
      <c r="AY177" s="3080">
        <f t="shared" si="340"/>
        <v>16</v>
      </c>
      <c r="AZ177" s="3080"/>
      <c r="BA177" s="3086"/>
      <c r="BB177" s="3080"/>
      <c r="BC177" s="3080"/>
      <c r="BD177" s="3080"/>
      <c r="BE177" s="3080"/>
      <c r="BF177" s="3080"/>
      <c r="BG177" s="3080"/>
      <c r="BH177" s="3080"/>
      <c r="BI177" s="3080"/>
      <c r="BJ177" s="3080"/>
      <c r="BK177" s="3080">
        <f t="shared" si="347"/>
        <v>16</v>
      </c>
      <c r="BL177" s="3080" t="s">
        <v>9164</v>
      </c>
      <c r="BM177" s="3141"/>
      <c r="BN177" s="3080"/>
      <c r="BO177" s="3080">
        <f t="shared" si="341"/>
        <v>16</v>
      </c>
      <c r="BP177" s="3080"/>
      <c r="BQ177" s="3080"/>
      <c r="BR177" s="3080">
        <f t="shared" si="310"/>
        <v>0</v>
      </c>
      <c r="BS177" s="3088"/>
      <c r="BT177" s="3088"/>
      <c r="BU177" s="3088"/>
      <c r="BV177" s="3088"/>
      <c r="BW177" s="3088"/>
      <c r="BX177" s="3088"/>
    </row>
    <row r="178" s="3031" customFormat="1" ht="32" customHeight="1" spans="1:76">
      <c r="A178" s="3151">
        <v>45824</v>
      </c>
      <c r="B178" s="3064" t="s">
        <v>1641</v>
      </c>
      <c r="C178" s="3065" t="s">
        <v>396</v>
      </c>
      <c r="D178" s="3066">
        <v>4500170160</v>
      </c>
      <c r="E178" s="3091" t="s">
        <v>9656</v>
      </c>
      <c r="F178" s="3066" t="s">
        <v>9657</v>
      </c>
      <c r="G178" s="3098" t="s">
        <v>9419</v>
      </c>
      <c r="H178" s="3069" t="s">
        <v>9100</v>
      </c>
      <c r="I178" s="2969">
        <v>16</v>
      </c>
      <c r="J178" s="2969">
        <v>0</v>
      </c>
      <c r="K178" s="2969">
        <v>8</v>
      </c>
      <c r="L178" s="2969">
        <f t="shared" si="344"/>
        <v>2</v>
      </c>
      <c r="M178" s="3070">
        <v>45856</v>
      </c>
      <c r="N178" s="3070">
        <v>45852</v>
      </c>
      <c r="O178" s="2996"/>
      <c r="P178" s="2996" t="s">
        <v>82</v>
      </c>
      <c r="Q178" s="3071"/>
      <c r="R178" s="3071"/>
      <c r="S178" s="3071"/>
      <c r="T178" s="3071"/>
      <c r="U178" s="3072" t="s">
        <v>1504</v>
      </c>
      <c r="V178" s="2996"/>
      <c r="W178" s="3073" t="s">
        <v>4276</v>
      </c>
      <c r="X178" s="3073"/>
      <c r="Y178" s="3073" t="s">
        <v>9192</v>
      </c>
      <c r="Z178" s="3073" t="s">
        <v>9652</v>
      </c>
      <c r="AA178" s="3073"/>
      <c r="AB178" s="3091" t="s">
        <v>9653</v>
      </c>
      <c r="AC178" s="2969" t="s">
        <v>369</v>
      </c>
      <c r="AD178" s="3075">
        <v>4.1708</v>
      </c>
      <c r="AE178" s="3076">
        <f t="shared" si="346"/>
        <v>66.7328</v>
      </c>
      <c r="AF178" s="2969"/>
      <c r="AG178" s="2969" t="s">
        <v>9422</v>
      </c>
      <c r="AH178" s="2969" t="s">
        <v>416</v>
      </c>
      <c r="AI178" s="3078"/>
      <c r="AJ178" s="3078"/>
      <c r="AK178" s="3138"/>
      <c r="AL178" s="3078">
        <f t="shared" si="334"/>
        <v>16</v>
      </c>
      <c r="AM178" s="3138"/>
      <c r="AN178" s="3078"/>
      <c r="AO178" s="3141"/>
      <c r="AP178" s="3080">
        <f t="shared" si="333"/>
        <v>16</v>
      </c>
      <c r="AQ178" s="3080"/>
      <c r="AR178" s="3080"/>
      <c r="AS178" s="3081"/>
      <c r="AT178" s="3142"/>
      <c r="AU178" s="3141"/>
      <c r="AV178" s="3141"/>
      <c r="AW178" s="3139"/>
      <c r="AX178" s="3085"/>
      <c r="AY178" s="3080"/>
      <c r="AZ178" s="3080">
        <f>I178</f>
        <v>16</v>
      </c>
      <c r="BA178" s="3086"/>
      <c r="BB178" s="3080"/>
      <c r="BC178" s="3080"/>
      <c r="BD178" s="3080"/>
      <c r="BE178" s="3080"/>
      <c r="BF178" s="3080"/>
      <c r="BG178" s="3080"/>
      <c r="BH178" s="3080"/>
      <c r="BI178" s="3080"/>
      <c r="BJ178" s="3080"/>
      <c r="BK178" s="3080">
        <f t="shared" si="347"/>
        <v>16</v>
      </c>
      <c r="BL178" s="3080" t="s">
        <v>9164</v>
      </c>
      <c r="BM178" s="3141"/>
      <c r="BN178" s="3080"/>
      <c r="BO178" s="3080"/>
      <c r="BP178" s="3080">
        <f>I178</f>
        <v>16</v>
      </c>
      <c r="BQ178" s="3080"/>
      <c r="BR178" s="3080">
        <f t="shared" si="310"/>
        <v>0</v>
      </c>
      <c r="BS178" s="3088"/>
      <c r="BT178" s="3088"/>
      <c r="BU178" s="3088"/>
      <c r="BV178" s="3088"/>
      <c r="BW178" s="3088"/>
      <c r="BX178" s="3088"/>
    </row>
    <row r="179" s="3031" customFormat="1" ht="32" customHeight="1" spans="1:76">
      <c r="A179" s="3151">
        <v>45824</v>
      </c>
      <c r="B179" s="3064" t="s">
        <v>1641</v>
      </c>
      <c r="C179" s="3065" t="s">
        <v>396</v>
      </c>
      <c r="D179" s="3066">
        <v>4500170160</v>
      </c>
      <c r="E179" s="3091" t="s">
        <v>9658</v>
      </c>
      <c r="F179" s="3066" t="s">
        <v>9659</v>
      </c>
      <c r="G179" s="3098" t="s">
        <v>9197</v>
      </c>
      <c r="H179" s="3069" t="s">
        <v>9098</v>
      </c>
      <c r="I179" s="2969">
        <v>8</v>
      </c>
      <c r="J179" s="2969">
        <v>0</v>
      </c>
      <c r="K179" s="2969">
        <v>8</v>
      </c>
      <c r="L179" s="2969">
        <f t="shared" si="344"/>
        <v>1</v>
      </c>
      <c r="M179" s="3070">
        <v>45856</v>
      </c>
      <c r="N179" s="3070">
        <v>45852</v>
      </c>
      <c r="O179" s="2996"/>
      <c r="P179" s="2996" t="s">
        <v>82</v>
      </c>
      <c r="Q179" s="3071"/>
      <c r="R179" s="3071"/>
      <c r="S179" s="3071"/>
      <c r="T179" s="3071"/>
      <c r="U179" s="3072" t="s">
        <v>1504</v>
      </c>
      <c r="V179" s="2996"/>
      <c r="W179" s="3073" t="s">
        <v>4276</v>
      </c>
      <c r="X179" s="3073"/>
      <c r="Y179" s="3073" t="s">
        <v>9192</v>
      </c>
      <c r="Z179" s="3073" t="s">
        <v>9652</v>
      </c>
      <c r="AA179" s="3073"/>
      <c r="AB179" s="3091" t="s">
        <v>9653</v>
      </c>
      <c r="AC179" s="2969" t="s">
        <v>369</v>
      </c>
      <c r="AD179" s="3075">
        <v>4.2589</v>
      </c>
      <c r="AE179" s="3076">
        <f t="shared" si="346"/>
        <v>34.0712</v>
      </c>
      <c r="AF179" s="2969"/>
      <c r="AG179" s="3069" t="s">
        <v>9198</v>
      </c>
      <c r="AH179" s="2969" t="s">
        <v>416</v>
      </c>
      <c r="AI179" s="3078"/>
      <c r="AJ179" s="3078"/>
      <c r="AK179" s="3138"/>
      <c r="AL179" s="3078">
        <f t="shared" si="334"/>
        <v>8</v>
      </c>
      <c r="AM179" s="3138"/>
      <c r="AN179" s="3078"/>
      <c r="AO179" s="3141"/>
      <c r="AP179" s="3080">
        <f t="shared" si="333"/>
        <v>8</v>
      </c>
      <c r="AQ179" s="3080"/>
      <c r="AR179" s="3080"/>
      <c r="AS179" s="3081"/>
      <c r="AT179" s="3142"/>
      <c r="AU179" s="3141"/>
      <c r="AV179" s="3141"/>
      <c r="AW179" s="3139"/>
      <c r="AX179" s="3085">
        <f t="shared" ref="AX179:AX186" si="348">I179</f>
        <v>8</v>
      </c>
      <c r="AY179" s="3080"/>
      <c r="AZ179" s="3080"/>
      <c r="BA179" s="3086"/>
      <c r="BB179" s="3080"/>
      <c r="BC179" s="3080"/>
      <c r="BD179" s="3080"/>
      <c r="BE179" s="3080"/>
      <c r="BF179" s="3080"/>
      <c r="BG179" s="3080"/>
      <c r="BH179" s="3080"/>
      <c r="BI179" s="3080"/>
      <c r="BJ179" s="3080"/>
      <c r="BK179" s="3080">
        <f t="shared" si="347"/>
        <v>8</v>
      </c>
      <c r="BL179" s="3080" t="s">
        <v>9164</v>
      </c>
      <c r="BM179" s="3141"/>
      <c r="BN179" s="3080">
        <f t="shared" ref="BN179:BN186" si="349">I179</f>
        <v>8</v>
      </c>
      <c r="BO179" s="3080"/>
      <c r="BP179" s="3080"/>
      <c r="BQ179" s="3080"/>
      <c r="BR179" s="3080">
        <f t="shared" si="310"/>
        <v>0</v>
      </c>
      <c r="BS179" s="3088"/>
      <c r="BT179" s="3088"/>
      <c r="BU179" s="3088"/>
      <c r="BV179" s="3088"/>
      <c r="BW179" s="3088"/>
      <c r="BX179" s="3088"/>
    </row>
    <row r="180" s="3031" customFormat="1" ht="32" customHeight="1" spans="1:76">
      <c r="A180" s="3151">
        <v>45824</v>
      </c>
      <c r="B180" s="3064" t="s">
        <v>1641</v>
      </c>
      <c r="C180" s="3065" t="s">
        <v>396</v>
      </c>
      <c r="D180" s="3066">
        <v>4500170160</v>
      </c>
      <c r="E180" s="3091" t="s">
        <v>9660</v>
      </c>
      <c r="F180" s="3066" t="s">
        <v>9661</v>
      </c>
      <c r="G180" s="3098" t="s">
        <v>9197</v>
      </c>
      <c r="H180" s="3069" t="s">
        <v>9098</v>
      </c>
      <c r="I180" s="2969">
        <v>8</v>
      </c>
      <c r="J180" s="2969">
        <v>0</v>
      </c>
      <c r="K180" s="2969">
        <v>8</v>
      </c>
      <c r="L180" s="2969">
        <f t="shared" si="344"/>
        <v>1</v>
      </c>
      <c r="M180" s="3070">
        <v>45856</v>
      </c>
      <c r="N180" s="3070">
        <v>45852</v>
      </c>
      <c r="O180" s="2996"/>
      <c r="P180" s="2996" t="s">
        <v>82</v>
      </c>
      <c r="Q180" s="3071"/>
      <c r="R180" s="3071"/>
      <c r="S180" s="3071"/>
      <c r="T180" s="3071"/>
      <c r="U180" s="3072" t="s">
        <v>1504</v>
      </c>
      <c r="V180" s="2996"/>
      <c r="W180" s="3073" t="s">
        <v>4276</v>
      </c>
      <c r="X180" s="3073"/>
      <c r="Y180" s="3073" t="s">
        <v>9192</v>
      </c>
      <c r="Z180" s="3073" t="s">
        <v>9652</v>
      </c>
      <c r="AA180" s="3073"/>
      <c r="AB180" s="3091" t="s">
        <v>9653</v>
      </c>
      <c r="AC180" s="2969" t="s">
        <v>369</v>
      </c>
      <c r="AD180" s="3075">
        <v>4.2589</v>
      </c>
      <c r="AE180" s="3076">
        <f t="shared" si="346"/>
        <v>34.0712</v>
      </c>
      <c r="AF180" s="2969"/>
      <c r="AG180" s="3069" t="s">
        <v>9198</v>
      </c>
      <c r="AH180" s="2969" t="s">
        <v>416</v>
      </c>
      <c r="AI180" s="3078"/>
      <c r="AJ180" s="3078"/>
      <c r="AK180" s="3138"/>
      <c r="AL180" s="3078">
        <f t="shared" si="334"/>
        <v>8</v>
      </c>
      <c r="AM180" s="3138"/>
      <c r="AN180" s="3078"/>
      <c r="AO180" s="3141"/>
      <c r="AP180" s="3080">
        <f t="shared" si="333"/>
        <v>8</v>
      </c>
      <c r="AQ180" s="3080"/>
      <c r="AR180" s="3080"/>
      <c r="AS180" s="3081"/>
      <c r="AT180" s="3142"/>
      <c r="AU180" s="3141"/>
      <c r="AV180" s="3141"/>
      <c r="AW180" s="3139"/>
      <c r="AX180" s="3085">
        <f t="shared" si="348"/>
        <v>8</v>
      </c>
      <c r="AY180" s="3080"/>
      <c r="AZ180" s="3080"/>
      <c r="BA180" s="3086"/>
      <c r="BB180" s="3080"/>
      <c r="BC180" s="3080"/>
      <c r="BD180" s="3080"/>
      <c r="BE180" s="3080"/>
      <c r="BF180" s="3080"/>
      <c r="BG180" s="3080"/>
      <c r="BH180" s="3080"/>
      <c r="BI180" s="3080"/>
      <c r="BJ180" s="3080"/>
      <c r="BK180" s="3080">
        <f t="shared" si="347"/>
        <v>8</v>
      </c>
      <c r="BL180" s="3080" t="s">
        <v>9164</v>
      </c>
      <c r="BM180" s="3141"/>
      <c r="BN180" s="3080">
        <f t="shared" si="349"/>
        <v>8</v>
      </c>
      <c r="BO180" s="3080"/>
      <c r="BP180" s="3080"/>
      <c r="BQ180" s="3080"/>
      <c r="BR180" s="3080">
        <f t="shared" si="310"/>
        <v>0</v>
      </c>
      <c r="BS180" s="3088"/>
      <c r="BT180" s="3088"/>
      <c r="BU180" s="3088"/>
      <c r="BV180" s="3088"/>
      <c r="BW180" s="3088"/>
      <c r="BX180" s="3088"/>
    </row>
    <row r="181" s="3031" customFormat="1" ht="32" customHeight="1" spans="1:76">
      <c r="A181" s="3151">
        <v>45824</v>
      </c>
      <c r="B181" s="3064" t="s">
        <v>1641</v>
      </c>
      <c r="C181" s="3065" t="s">
        <v>396</v>
      </c>
      <c r="D181" s="3066">
        <v>4500170160</v>
      </c>
      <c r="E181" s="3091" t="s">
        <v>9662</v>
      </c>
      <c r="F181" s="3066" t="s">
        <v>9663</v>
      </c>
      <c r="G181" s="3098" t="s">
        <v>9197</v>
      </c>
      <c r="H181" s="3069" t="s">
        <v>9098</v>
      </c>
      <c r="I181" s="2969">
        <v>8</v>
      </c>
      <c r="J181" s="2969">
        <v>0</v>
      </c>
      <c r="K181" s="2969">
        <v>8</v>
      </c>
      <c r="L181" s="2969">
        <f t="shared" si="344"/>
        <v>1</v>
      </c>
      <c r="M181" s="3070">
        <v>45856</v>
      </c>
      <c r="N181" s="3070">
        <v>45852</v>
      </c>
      <c r="O181" s="2996"/>
      <c r="P181" s="2996" t="s">
        <v>82</v>
      </c>
      <c r="Q181" s="3071"/>
      <c r="R181" s="3071"/>
      <c r="S181" s="3071"/>
      <c r="T181" s="3071"/>
      <c r="U181" s="3072" t="s">
        <v>1504</v>
      </c>
      <c r="V181" s="2996"/>
      <c r="W181" s="3073" t="s">
        <v>4276</v>
      </c>
      <c r="X181" s="3073"/>
      <c r="Y181" s="3073" t="s">
        <v>9192</v>
      </c>
      <c r="Z181" s="3073" t="s">
        <v>9652</v>
      </c>
      <c r="AA181" s="3073"/>
      <c r="AB181" s="3091" t="s">
        <v>9653</v>
      </c>
      <c r="AC181" s="2969" t="s">
        <v>369</v>
      </c>
      <c r="AD181" s="3075">
        <v>4.2589</v>
      </c>
      <c r="AE181" s="3076">
        <f t="shared" si="346"/>
        <v>34.0712</v>
      </c>
      <c r="AF181" s="2969"/>
      <c r="AG181" s="3069" t="s">
        <v>9198</v>
      </c>
      <c r="AH181" s="2969" t="s">
        <v>416</v>
      </c>
      <c r="AI181" s="3078"/>
      <c r="AJ181" s="3078"/>
      <c r="AK181" s="3138"/>
      <c r="AL181" s="3078">
        <f t="shared" si="334"/>
        <v>8</v>
      </c>
      <c r="AM181" s="3138"/>
      <c r="AN181" s="3078"/>
      <c r="AO181" s="3141"/>
      <c r="AP181" s="3080">
        <f t="shared" si="333"/>
        <v>8</v>
      </c>
      <c r="AQ181" s="3080"/>
      <c r="AR181" s="3080"/>
      <c r="AS181" s="3081"/>
      <c r="AT181" s="3142"/>
      <c r="AU181" s="3141"/>
      <c r="AV181" s="3141"/>
      <c r="AW181" s="3139"/>
      <c r="AX181" s="3085">
        <f t="shared" si="348"/>
        <v>8</v>
      </c>
      <c r="AY181" s="3080"/>
      <c r="AZ181" s="3080"/>
      <c r="BA181" s="3086"/>
      <c r="BB181" s="3080"/>
      <c r="BC181" s="3080"/>
      <c r="BD181" s="3080"/>
      <c r="BE181" s="3080"/>
      <c r="BF181" s="3080"/>
      <c r="BG181" s="3080"/>
      <c r="BH181" s="3080"/>
      <c r="BI181" s="3080"/>
      <c r="BJ181" s="3080"/>
      <c r="BK181" s="3080">
        <f t="shared" si="347"/>
        <v>8</v>
      </c>
      <c r="BL181" s="3080" t="s">
        <v>9164</v>
      </c>
      <c r="BM181" s="3141"/>
      <c r="BN181" s="3080">
        <f t="shared" si="349"/>
        <v>8</v>
      </c>
      <c r="BO181" s="3080"/>
      <c r="BP181" s="3080"/>
      <c r="BQ181" s="3080"/>
      <c r="BR181" s="3080">
        <f t="shared" si="310"/>
        <v>0</v>
      </c>
      <c r="BS181" s="3088"/>
      <c r="BT181" s="3088"/>
      <c r="BU181" s="3088"/>
      <c r="BV181" s="3088"/>
      <c r="BW181" s="3088"/>
      <c r="BX181" s="3088"/>
    </row>
    <row r="182" s="3031" customFormat="1" ht="32" customHeight="1" spans="1:76">
      <c r="A182" s="3151">
        <v>45824</v>
      </c>
      <c r="B182" s="3064" t="s">
        <v>1641</v>
      </c>
      <c r="C182" s="3065" t="s">
        <v>396</v>
      </c>
      <c r="D182" s="3066">
        <v>4500170160</v>
      </c>
      <c r="E182" s="3091" t="s">
        <v>9664</v>
      </c>
      <c r="F182" s="3066" t="s">
        <v>9665</v>
      </c>
      <c r="G182" s="3098" t="s">
        <v>9197</v>
      </c>
      <c r="H182" s="3069" t="s">
        <v>9098</v>
      </c>
      <c r="I182" s="2969">
        <v>8</v>
      </c>
      <c r="J182" s="2969">
        <v>0</v>
      </c>
      <c r="K182" s="2969">
        <v>8</v>
      </c>
      <c r="L182" s="2969">
        <f t="shared" si="344"/>
        <v>1</v>
      </c>
      <c r="M182" s="3070">
        <v>45856</v>
      </c>
      <c r="N182" s="3070">
        <v>45852</v>
      </c>
      <c r="O182" s="2996"/>
      <c r="P182" s="2996" t="s">
        <v>82</v>
      </c>
      <c r="Q182" s="3071"/>
      <c r="R182" s="3071"/>
      <c r="S182" s="3071"/>
      <c r="T182" s="3071"/>
      <c r="U182" s="3072" t="s">
        <v>1504</v>
      </c>
      <c r="V182" s="2996"/>
      <c r="W182" s="3073" t="s">
        <v>4276</v>
      </c>
      <c r="X182" s="3073"/>
      <c r="Y182" s="3073" t="s">
        <v>9192</v>
      </c>
      <c r="Z182" s="3073" t="s">
        <v>9652</v>
      </c>
      <c r="AA182" s="3073"/>
      <c r="AB182" s="3091" t="s">
        <v>9653</v>
      </c>
      <c r="AC182" s="2969" t="s">
        <v>369</v>
      </c>
      <c r="AD182" s="3075">
        <v>4.2589</v>
      </c>
      <c r="AE182" s="3076">
        <f t="shared" si="346"/>
        <v>34.0712</v>
      </c>
      <c r="AF182" s="2969"/>
      <c r="AG182" s="3069" t="s">
        <v>9198</v>
      </c>
      <c r="AH182" s="2969" t="s">
        <v>416</v>
      </c>
      <c r="AI182" s="3078"/>
      <c r="AJ182" s="3078"/>
      <c r="AK182" s="3138"/>
      <c r="AL182" s="3078">
        <f t="shared" si="334"/>
        <v>8</v>
      </c>
      <c r="AM182" s="3138"/>
      <c r="AN182" s="3078"/>
      <c r="AO182" s="3141"/>
      <c r="AP182" s="3080">
        <f t="shared" si="333"/>
        <v>8</v>
      </c>
      <c r="AQ182" s="3080"/>
      <c r="AR182" s="3080"/>
      <c r="AS182" s="3081"/>
      <c r="AT182" s="3142"/>
      <c r="AU182" s="3141"/>
      <c r="AV182" s="3141"/>
      <c r="AW182" s="3139"/>
      <c r="AX182" s="3085">
        <f t="shared" si="348"/>
        <v>8</v>
      </c>
      <c r="AY182" s="3080"/>
      <c r="AZ182" s="3080"/>
      <c r="BA182" s="3086"/>
      <c r="BB182" s="3080"/>
      <c r="BC182" s="3080"/>
      <c r="BD182" s="3080"/>
      <c r="BE182" s="3080"/>
      <c r="BF182" s="3080"/>
      <c r="BG182" s="3080"/>
      <c r="BH182" s="3080"/>
      <c r="BI182" s="3080"/>
      <c r="BJ182" s="3080"/>
      <c r="BK182" s="3080">
        <f t="shared" si="347"/>
        <v>8</v>
      </c>
      <c r="BL182" s="3080" t="s">
        <v>9164</v>
      </c>
      <c r="BM182" s="3141"/>
      <c r="BN182" s="3080">
        <f t="shared" si="349"/>
        <v>8</v>
      </c>
      <c r="BO182" s="3080"/>
      <c r="BP182" s="3080"/>
      <c r="BQ182" s="3080"/>
      <c r="BR182" s="3080">
        <f t="shared" si="310"/>
        <v>0</v>
      </c>
      <c r="BS182" s="3088"/>
      <c r="BT182" s="3088"/>
      <c r="BU182" s="3088"/>
      <c r="BV182" s="3088"/>
      <c r="BW182" s="3088"/>
      <c r="BX182" s="3088"/>
    </row>
    <row r="183" s="3031" customFormat="1" ht="32" customHeight="1" spans="1:76">
      <c r="A183" s="3151">
        <v>45824</v>
      </c>
      <c r="B183" s="3064" t="s">
        <v>1641</v>
      </c>
      <c r="C183" s="3065" t="s">
        <v>396</v>
      </c>
      <c r="D183" s="3066">
        <v>4500170160</v>
      </c>
      <c r="E183" s="3091" t="s">
        <v>9666</v>
      </c>
      <c r="F183" s="3066" t="s">
        <v>9667</v>
      </c>
      <c r="G183" s="3098" t="s">
        <v>9197</v>
      </c>
      <c r="H183" s="3069" t="s">
        <v>9098</v>
      </c>
      <c r="I183" s="2969">
        <v>8</v>
      </c>
      <c r="J183" s="2969">
        <v>0</v>
      </c>
      <c r="K183" s="2969">
        <v>8</v>
      </c>
      <c r="L183" s="2969">
        <f t="shared" si="344"/>
        <v>1</v>
      </c>
      <c r="M183" s="3070">
        <v>45856</v>
      </c>
      <c r="N183" s="3070">
        <v>45852</v>
      </c>
      <c r="O183" s="2996"/>
      <c r="P183" s="2996" t="s">
        <v>82</v>
      </c>
      <c r="Q183" s="3071"/>
      <c r="R183" s="3071"/>
      <c r="S183" s="3071"/>
      <c r="T183" s="3071"/>
      <c r="U183" s="3072" t="s">
        <v>1504</v>
      </c>
      <c r="V183" s="2996"/>
      <c r="W183" s="3073" t="s">
        <v>4276</v>
      </c>
      <c r="X183" s="3073"/>
      <c r="Y183" s="3073" t="s">
        <v>9192</v>
      </c>
      <c r="Z183" s="3073" t="s">
        <v>9652</v>
      </c>
      <c r="AA183" s="3073"/>
      <c r="AB183" s="3091" t="s">
        <v>9653</v>
      </c>
      <c r="AC183" s="2969" t="s">
        <v>369</v>
      </c>
      <c r="AD183" s="3075">
        <v>4.2589</v>
      </c>
      <c r="AE183" s="3076">
        <f t="shared" si="346"/>
        <v>34.0712</v>
      </c>
      <c r="AF183" s="2969"/>
      <c r="AG183" s="3069" t="s">
        <v>9198</v>
      </c>
      <c r="AH183" s="2969" t="s">
        <v>416</v>
      </c>
      <c r="AI183" s="3078"/>
      <c r="AJ183" s="3078"/>
      <c r="AK183" s="3138"/>
      <c r="AL183" s="3078">
        <f t="shared" si="334"/>
        <v>8</v>
      </c>
      <c r="AM183" s="3138"/>
      <c r="AN183" s="3078"/>
      <c r="AO183" s="3141"/>
      <c r="AP183" s="3080">
        <f t="shared" si="333"/>
        <v>8</v>
      </c>
      <c r="AQ183" s="3080"/>
      <c r="AR183" s="3080"/>
      <c r="AS183" s="3081"/>
      <c r="AT183" s="3142"/>
      <c r="AU183" s="3141"/>
      <c r="AV183" s="3141"/>
      <c r="AW183" s="3139"/>
      <c r="AX183" s="3085">
        <f t="shared" si="348"/>
        <v>8</v>
      </c>
      <c r="AY183" s="3080"/>
      <c r="AZ183" s="3080"/>
      <c r="BA183" s="3086"/>
      <c r="BB183" s="3080"/>
      <c r="BC183" s="3080"/>
      <c r="BD183" s="3080"/>
      <c r="BE183" s="3080"/>
      <c r="BF183" s="3080"/>
      <c r="BG183" s="3080"/>
      <c r="BH183" s="3080"/>
      <c r="BI183" s="3080"/>
      <c r="BJ183" s="3080"/>
      <c r="BK183" s="3080">
        <f t="shared" si="347"/>
        <v>8</v>
      </c>
      <c r="BL183" s="3080" t="s">
        <v>9164</v>
      </c>
      <c r="BM183" s="3141"/>
      <c r="BN183" s="3080">
        <f t="shared" si="349"/>
        <v>8</v>
      </c>
      <c r="BO183" s="3080"/>
      <c r="BP183" s="3080"/>
      <c r="BQ183" s="3080"/>
      <c r="BR183" s="3080">
        <f t="shared" si="310"/>
        <v>0</v>
      </c>
      <c r="BS183" s="3088"/>
      <c r="BT183" s="3088"/>
      <c r="BU183" s="3088"/>
      <c r="BV183" s="3088"/>
      <c r="BW183" s="3088"/>
      <c r="BX183" s="3088"/>
    </row>
    <row r="184" s="3031" customFormat="1" ht="32" customHeight="1" spans="1:76">
      <c r="A184" s="3151">
        <v>45824</v>
      </c>
      <c r="B184" s="3064" t="s">
        <v>1641</v>
      </c>
      <c r="C184" s="3065" t="s">
        <v>396</v>
      </c>
      <c r="D184" s="3066">
        <v>4500170160</v>
      </c>
      <c r="E184" s="3091" t="s">
        <v>9668</v>
      </c>
      <c r="F184" s="3066" t="s">
        <v>9669</v>
      </c>
      <c r="G184" s="3098" t="s">
        <v>9197</v>
      </c>
      <c r="H184" s="3069" t="s">
        <v>9098</v>
      </c>
      <c r="I184" s="2969">
        <v>8</v>
      </c>
      <c r="J184" s="2969">
        <v>0</v>
      </c>
      <c r="K184" s="2969">
        <v>8</v>
      </c>
      <c r="L184" s="2969">
        <f t="shared" si="344"/>
        <v>1</v>
      </c>
      <c r="M184" s="3070">
        <v>45856</v>
      </c>
      <c r="N184" s="3070">
        <v>45852</v>
      </c>
      <c r="O184" s="2996"/>
      <c r="P184" s="2996" t="s">
        <v>82</v>
      </c>
      <c r="Q184" s="3071"/>
      <c r="R184" s="3071"/>
      <c r="S184" s="3071"/>
      <c r="T184" s="3071"/>
      <c r="U184" s="3072" t="s">
        <v>1504</v>
      </c>
      <c r="V184" s="2996"/>
      <c r="W184" s="3073" t="s">
        <v>4276</v>
      </c>
      <c r="X184" s="3073"/>
      <c r="Y184" s="3073" t="s">
        <v>9192</v>
      </c>
      <c r="Z184" s="3073" t="s">
        <v>9652</v>
      </c>
      <c r="AA184" s="3073"/>
      <c r="AB184" s="3091" t="s">
        <v>9653</v>
      </c>
      <c r="AC184" s="2969" t="s">
        <v>369</v>
      </c>
      <c r="AD184" s="3075">
        <v>4.2589</v>
      </c>
      <c r="AE184" s="3076">
        <f t="shared" si="346"/>
        <v>34.0712</v>
      </c>
      <c r="AF184" s="2969"/>
      <c r="AG184" s="3069" t="s">
        <v>9198</v>
      </c>
      <c r="AH184" s="2969" t="s">
        <v>416</v>
      </c>
      <c r="AI184" s="3078"/>
      <c r="AJ184" s="3078"/>
      <c r="AK184" s="3138"/>
      <c r="AL184" s="3078">
        <f t="shared" si="334"/>
        <v>8</v>
      </c>
      <c r="AM184" s="3138"/>
      <c r="AN184" s="3078"/>
      <c r="AO184" s="3141"/>
      <c r="AP184" s="3080">
        <f t="shared" si="333"/>
        <v>8</v>
      </c>
      <c r="AQ184" s="3080"/>
      <c r="AR184" s="3080"/>
      <c r="AS184" s="3081"/>
      <c r="AT184" s="3142"/>
      <c r="AU184" s="3141"/>
      <c r="AV184" s="3141"/>
      <c r="AW184" s="3139"/>
      <c r="AX184" s="3085">
        <f t="shared" si="348"/>
        <v>8</v>
      </c>
      <c r="AY184" s="3080"/>
      <c r="AZ184" s="3080"/>
      <c r="BA184" s="3086"/>
      <c r="BB184" s="3080"/>
      <c r="BC184" s="3080"/>
      <c r="BD184" s="3080"/>
      <c r="BE184" s="3080"/>
      <c r="BF184" s="3080"/>
      <c r="BG184" s="3080"/>
      <c r="BH184" s="3080"/>
      <c r="BI184" s="3080"/>
      <c r="BJ184" s="3080"/>
      <c r="BK184" s="3080">
        <f t="shared" si="347"/>
        <v>8</v>
      </c>
      <c r="BL184" s="3080" t="s">
        <v>9164</v>
      </c>
      <c r="BM184" s="3141"/>
      <c r="BN184" s="3080">
        <f t="shared" si="349"/>
        <v>8</v>
      </c>
      <c r="BO184" s="3080"/>
      <c r="BP184" s="3080"/>
      <c r="BQ184" s="3080"/>
      <c r="BR184" s="3080">
        <f t="shared" si="310"/>
        <v>0</v>
      </c>
      <c r="BS184" s="3088"/>
      <c r="BT184" s="3088"/>
      <c r="BU184" s="3088"/>
      <c r="BV184" s="3088"/>
      <c r="BW184" s="3088"/>
      <c r="BX184" s="3088"/>
    </row>
    <row r="185" s="3031" customFormat="1" ht="32" customHeight="1" spans="1:76">
      <c r="A185" s="3151">
        <v>45824</v>
      </c>
      <c r="B185" s="3064" t="s">
        <v>1641</v>
      </c>
      <c r="C185" s="3065" t="s">
        <v>396</v>
      </c>
      <c r="D185" s="3066">
        <v>4500170160</v>
      </c>
      <c r="E185" s="3091" t="s">
        <v>9670</v>
      </c>
      <c r="F185" s="3066" t="s">
        <v>9671</v>
      </c>
      <c r="G185" s="3098" t="s">
        <v>9197</v>
      </c>
      <c r="H185" s="3069" t="s">
        <v>9098</v>
      </c>
      <c r="I185" s="2969">
        <v>8</v>
      </c>
      <c r="J185" s="2969">
        <v>0</v>
      </c>
      <c r="K185" s="2969">
        <v>8</v>
      </c>
      <c r="L185" s="2969">
        <f t="shared" si="344"/>
        <v>1</v>
      </c>
      <c r="M185" s="3070">
        <v>45856</v>
      </c>
      <c r="N185" s="3070">
        <v>45852</v>
      </c>
      <c r="O185" s="2996"/>
      <c r="P185" s="2996" t="s">
        <v>82</v>
      </c>
      <c r="Q185" s="3071"/>
      <c r="R185" s="3071"/>
      <c r="S185" s="3071"/>
      <c r="T185" s="3071"/>
      <c r="U185" s="3072" t="s">
        <v>1504</v>
      </c>
      <c r="V185" s="2996"/>
      <c r="W185" s="3073" t="s">
        <v>4276</v>
      </c>
      <c r="X185" s="3073"/>
      <c r="Y185" s="3073" t="s">
        <v>9192</v>
      </c>
      <c r="Z185" s="3073" t="s">
        <v>9652</v>
      </c>
      <c r="AA185" s="3073"/>
      <c r="AB185" s="3091" t="s">
        <v>9653</v>
      </c>
      <c r="AC185" s="2969" t="s">
        <v>369</v>
      </c>
      <c r="AD185" s="3075">
        <v>4.2589</v>
      </c>
      <c r="AE185" s="3076">
        <f t="shared" si="346"/>
        <v>34.0712</v>
      </c>
      <c r="AF185" s="2969"/>
      <c r="AG185" s="3069" t="s">
        <v>9198</v>
      </c>
      <c r="AH185" s="2969" t="s">
        <v>416</v>
      </c>
      <c r="AI185" s="3078"/>
      <c r="AJ185" s="3078"/>
      <c r="AK185" s="3138"/>
      <c r="AL185" s="3078">
        <f t="shared" si="334"/>
        <v>8</v>
      </c>
      <c r="AM185" s="3138"/>
      <c r="AN185" s="3078"/>
      <c r="AO185" s="3141"/>
      <c r="AP185" s="3080">
        <f t="shared" si="333"/>
        <v>8</v>
      </c>
      <c r="AQ185" s="3080"/>
      <c r="AR185" s="3080"/>
      <c r="AS185" s="3081"/>
      <c r="AT185" s="3142"/>
      <c r="AU185" s="3141"/>
      <c r="AV185" s="3141"/>
      <c r="AW185" s="3139"/>
      <c r="AX185" s="3085">
        <f t="shared" si="348"/>
        <v>8</v>
      </c>
      <c r="AY185" s="3080"/>
      <c r="AZ185" s="3080"/>
      <c r="BA185" s="3086"/>
      <c r="BB185" s="3080"/>
      <c r="BC185" s="3080"/>
      <c r="BD185" s="3080"/>
      <c r="BE185" s="3080"/>
      <c r="BF185" s="3080"/>
      <c r="BG185" s="3080"/>
      <c r="BH185" s="3080"/>
      <c r="BI185" s="3080"/>
      <c r="BJ185" s="3080"/>
      <c r="BK185" s="3080">
        <f t="shared" si="347"/>
        <v>8</v>
      </c>
      <c r="BL185" s="3080" t="s">
        <v>9164</v>
      </c>
      <c r="BM185" s="3141"/>
      <c r="BN185" s="3080">
        <f t="shared" si="349"/>
        <v>8</v>
      </c>
      <c r="BO185" s="3080"/>
      <c r="BP185" s="3080"/>
      <c r="BQ185" s="3080"/>
      <c r="BR185" s="3080">
        <f t="shared" si="310"/>
        <v>0</v>
      </c>
      <c r="BS185" s="3088"/>
      <c r="BT185" s="3088"/>
      <c r="BU185" s="3088"/>
      <c r="BV185" s="3088"/>
      <c r="BW185" s="3088"/>
      <c r="BX185" s="3088"/>
    </row>
    <row r="186" s="3031" customFormat="1" ht="32" customHeight="1" spans="1:76">
      <c r="A186" s="3151">
        <v>45824</v>
      </c>
      <c r="B186" s="3064" t="s">
        <v>1641</v>
      </c>
      <c r="C186" s="3065" t="s">
        <v>396</v>
      </c>
      <c r="D186" s="3066">
        <v>4500170160</v>
      </c>
      <c r="E186" s="3091" t="s">
        <v>9672</v>
      </c>
      <c r="F186" s="3066" t="s">
        <v>9673</v>
      </c>
      <c r="G186" s="3098" t="s">
        <v>9197</v>
      </c>
      <c r="H186" s="3069" t="s">
        <v>9098</v>
      </c>
      <c r="I186" s="2969">
        <v>8</v>
      </c>
      <c r="J186" s="2969">
        <v>0</v>
      </c>
      <c r="K186" s="2969">
        <v>8</v>
      </c>
      <c r="L186" s="2969">
        <f t="shared" si="344"/>
        <v>1</v>
      </c>
      <c r="M186" s="3070">
        <v>45856</v>
      </c>
      <c r="N186" s="3070">
        <v>45852</v>
      </c>
      <c r="O186" s="2996"/>
      <c r="P186" s="2996" t="s">
        <v>82</v>
      </c>
      <c r="Q186" s="3071"/>
      <c r="R186" s="3071"/>
      <c r="S186" s="3071"/>
      <c r="T186" s="3071"/>
      <c r="U186" s="3072" t="s">
        <v>1504</v>
      </c>
      <c r="V186" s="2996"/>
      <c r="W186" s="3073" t="s">
        <v>4276</v>
      </c>
      <c r="X186" s="3073"/>
      <c r="Y186" s="3073" t="s">
        <v>9192</v>
      </c>
      <c r="Z186" s="3073" t="s">
        <v>9652</v>
      </c>
      <c r="AA186" s="3073"/>
      <c r="AB186" s="3091" t="s">
        <v>9653</v>
      </c>
      <c r="AC186" s="2969" t="s">
        <v>369</v>
      </c>
      <c r="AD186" s="3075">
        <v>4.2589</v>
      </c>
      <c r="AE186" s="3076">
        <f t="shared" si="346"/>
        <v>34.0712</v>
      </c>
      <c r="AF186" s="2969"/>
      <c r="AG186" s="3069" t="s">
        <v>9198</v>
      </c>
      <c r="AH186" s="2969" t="s">
        <v>416</v>
      </c>
      <c r="AI186" s="3078"/>
      <c r="AJ186" s="3078"/>
      <c r="AK186" s="3138"/>
      <c r="AL186" s="3078">
        <f t="shared" si="334"/>
        <v>8</v>
      </c>
      <c r="AM186" s="3138"/>
      <c r="AN186" s="3078"/>
      <c r="AO186" s="3141"/>
      <c r="AP186" s="3080">
        <f t="shared" si="333"/>
        <v>8</v>
      </c>
      <c r="AQ186" s="3080"/>
      <c r="AR186" s="3080"/>
      <c r="AS186" s="3081"/>
      <c r="AT186" s="3142"/>
      <c r="AU186" s="3141"/>
      <c r="AV186" s="3141"/>
      <c r="AW186" s="3139"/>
      <c r="AX186" s="3085">
        <f t="shared" si="348"/>
        <v>8</v>
      </c>
      <c r="AY186" s="3080"/>
      <c r="AZ186" s="3080"/>
      <c r="BA186" s="3086"/>
      <c r="BB186" s="3080"/>
      <c r="BC186" s="3080"/>
      <c r="BD186" s="3080"/>
      <c r="BE186" s="3080"/>
      <c r="BF186" s="3080"/>
      <c r="BG186" s="3080"/>
      <c r="BH186" s="3080"/>
      <c r="BI186" s="3080"/>
      <c r="BJ186" s="3080"/>
      <c r="BK186" s="3080">
        <f t="shared" si="347"/>
        <v>8</v>
      </c>
      <c r="BL186" s="3080" t="s">
        <v>9164</v>
      </c>
      <c r="BM186" s="3141"/>
      <c r="BN186" s="3080">
        <f t="shared" si="349"/>
        <v>8</v>
      </c>
      <c r="BO186" s="3080"/>
      <c r="BP186" s="3080"/>
      <c r="BQ186" s="3080"/>
      <c r="BR186" s="3080">
        <f t="shared" si="310"/>
        <v>0</v>
      </c>
      <c r="BS186" s="3088"/>
      <c r="BT186" s="3088"/>
      <c r="BU186" s="3088"/>
      <c r="BV186" s="3088"/>
      <c r="BW186" s="3088"/>
      <c r="BX186" s="3088"/>
    </row>
    <row r="187" s="3031" customFormat="1" ht="32" customHeight="1" spans="1:76">
      <c r="A187" s="3063">
        <v>45812</v>
      </c>
      <c r="B187" s="3064" t="s">
        <v>872</v>
      </c>
      <c r="C187" s="3065" t="s">
        <v>873</v>
      </c>
      <c r="D187" s="3066">
        <v>4500168727</v>
      </c>
      <c r="E187" s="3091"/>
      <c r="F187" s="3066" t="s">
        <v>9674</v>
      </c>
      <c r="G187" s="3098" t="s">
        <v>9419</v>
      </c>
      <c r="H187" s="3069" t="s">
        <v>9100</v>
      </c>
      <c r="I187" s="2969">
        <v>1552</v>
      </c>
      <c r="J187" s="2969">
        <v>0</v>
      </c>
      <c r="K187" s="2969">
        <v>8</v>
      </c>
      <c r="L187" s="2969">
        <f t="shared" ref="L187:L195" si="350">I187/K187</f>
        <v>194</v>
      </c>
      <c r="M187" s="3070">
        <v>45848</v>
      </c>
      <c r="N187" s="3070">
        <v>45845</v>
      </c>
      <c r="O187" s="2996"/>
      <c r="P187" s="2996" t="s">
        <v>82</v>
      </c>
      <c r="Q187" s="3071"/>
      <c r="R187" s="3071"/>
      <c r="S187" s="3071"/>
      <c r="T187" s="3071"/>
      <c r="U187" s="3072" t="s">
        <v>4123</v>
      </c>
      <c r="V187" s="2996"/>
      <c r="W187" s="3073" t="s">
        <v>1425</v>
      </c>
      <c r="X187" s="3073"/>
      <c r="Y187" s="3073" t="s">
        <v>9675</v>
      </c>
      <c r="Z187" s="3073"/>
      <c r="AA187" s="3073"/>
      <c r="AB187" s="3091" t="s">
        <v>9676</v>
      </c>
      <c r="AC187" s="2969" t="s">
        <v>1131</v>
      </c>
      <c r="AD187" s="3075">
        <v>4.1596</v>
      </c>
      <c r="AE187" s="3076">
        <f t="shared" si="346"/>
        <v>6455.6992</v>
      </c>
      <c r="AF187" s="2969" t="s">
        <v>9677</v>
      </c>
      <c r="AG187" s="2969" t="s">
        <v>9419</v>
      </c>
      <c r="AH187" s="2969" t="s">
        <v>416</v>
      </c>
      <c r="AI187" s="3077"/>
      <c r="AJ187" s="3078">
        <f t="shared" ref="AJ187:AJ189" si="351">I187</f>
        <v>1552</v>
      </c>
      <c r="AK187" s="3092"/>
      <c r="AL187" s="3078"/>
      <c r="AM187" s="3092"/>
      <c r="AN187" s="3078"/>
      <c r="AO187" s="3097"/>
      <c r="AP187" s="3080">
        <f t="shared" si="333"/>
        <v>1552</v>
      </c>
      <c r="AQ187" s="3080"/>
      <c r="AR187" s="3080"/>
      <c r="AS187" s="3081"/>
      <c r="AT187" s="3149"/>
      <c r="AU187" s="3097"/>
      <c r="AV187" s="3097"/>
      <c r="AW187" s="3150"/>
      <c r="AX187" s="3085"/>
      <c r="AY187" s="3080"/>
      <c r="AZ187" s="3080">
        <f>I188</f>
        <v>2032</v>
      </c>
      <c r="BA187" s="3086"/>
      <c r="BB187" s="3087"/>
      <c r="BC187" s="3080"/>
      <c r="BD187" s="3080"/>
      <c r="BE187" s="3080"/>
      <c r="BF187" s="3080"/>
      <c r="BG187" s="3080"/>
      <c r="BH187" s="3080"/>
      <c r="BI187" s="3080"/>
      <c r="BJ187" s="3080">
        <f t="shared" ref="BJ187:BJ195" si="352">I187</f>
        <v>1552</v>
      </c>
      <c r="BK187" s="3080"/>
      <c r="BL187" s="3080" t="s">
        <v>9164</v>
      </c>
      <c r="BM187" s="3097"/>
      <c r="BN187" s="3080"/>
      <c r="BO187" s="3080"/>
      <c r="BP187" s="3080">
        <f>I187</f>
        <v>1552</v>
      </c>
      <c r="BQ187" s="3080"/>
      <c r="BR187" s="3080">
        <f t="shared" si="310"/>
        <v>0</v>
      </c>
      <c r="BS187" s="3088"/>
      <c r="BT187" s="3088"/>
      <c r="BU187" s="3088"/>
      <c r="BV187" s="3088"/>
      <c r="BW187" s="3088"/>
      <c r="BX187" s="3088"/>
    </row>
    <row r="188" s="3031" customFormat="1" ht="32" customHeight="1" spans="1:76">
      <c r="A188" s="3063">
        <v>45812</v>
      </c>
      <c r="B188" s="3064" t="s">
        <v>872</v>
      </c>
      <c r="C188" s="3065" t="s">
        <v>873</v>
      </c>
      <c r="D188" s="3066">
        <v>4500168727</v>
      </c>
      <c r="E188" s="3091"/>
      <c r="F188" s="3066" t="s">
        <v>9678</v>
      </c>
      <c r="G188" s="3098" t="s">
        <v>9255</v>
      </c>
      <c r="H188" s="3069" t="s">
        <v>9098</v>
      </c>
      <c r="I188" s="2969">
        <v>2032</v>
      </c>
      <c r="J188" s="2969">
        <v>0</v>
      </c>
      <c r="K188" s="2969">
        <v>8</v>
      </c>
      <c r="L188" s="2969">
        <f t="shared" si="350"/>
        <v>254</v>
      </c>
      <c r="M188" s="3070">
        <v>45848</v>
      </c>
      <c r="N188" s="3070">
        <v>45845</v>
      </c>
      <c r="O188" s="2996"/>
      <c r="P188" s="2996" t="s">
        <v>82</v>
      </c>
      <c r="Q188" s="3071"/>
      <c r="R188" s="3071"/>
      <c r="S188" s="3071"/>
      <c r="T188" s="3071"/>
      <c r="U188" s="3072" t="s">
        <v>7104</v>
      </c>
      <c r="V188" s="2996"/>
      <c r="W188" s="3073" t="s">
        <v>1425</v>
      </c>
      <c r="X188" s="3073"/>
      <c r="Y188" s="3073" t="s">
        <v>9675</v>
      </c>
      <c r="Z188" s="3073"/>
      <c r="AA188" s="3073"/>
      <c r="AB188" s="3091" t="s">
        <v>9676</v>
      </c>
      <c r="AC188" s="2969" t="s">
        <v>1131</v>
      </c>
      <c r="AD188" s="3075">
        <v>4.1486</v>
      </c>
      <c r="AE188" s="3076">
        <f t="shared" si="346"/>
        <v>8429.9552</v>
      </c>
      <c r="AF188" s="2969" t="s">
        <v>7106</v>
      </c>
      <c r="AG188" s="2969" t="s">
        <v>9255</v>
      </c>
      <c r="AH188" s="2969" t="s">
        <v>416</v>
      </c>
      <c r="AI188" s="3077"/>
      <c r="AJ188" s="3078">
        <f t="shared" si="351"/>
        <v>2032</v>
      </c>
      <c r="AK188" s="3092"/>
      <c r="AL188" s="3078"/>
      <c r="AM188" s="3092"/>
      <c r="AN188" s="3078"/>
      <c r="AO188" s="3097"/>
      <c r="AP188" s="3080">
        <f t="shared" si="333"/>
        <v>2032</v>
      </c>
      <c r="AQ188" s="3080"/>
      <c r="AR188" s="3080"/>
      <c r="AS188" s="3081"/>
      <c r="AT188" s="3149"/>
      <c r="AU188" s="3097"/>
      <c r="AV188" s="3097"/>
      <c r="AW188" s="3150"/>
      <c r="AX188" s="3085">
        <f>I188</f>
        <v>2032</v>
      </c>
      <c r="AY188" s="3080"/>
      <c r="AZ188" s="3080"/>
      <c r="BA188" s="3086"/>
      <c r="BB188" s="3087"/>
      <c r="BC188" s="3080"/>
      <c r="BD188" s="3080"/>
      <c r="BE188" s="3080"/>
      <c r="BF188" s="3080"/>
      <c r="BG188" s="3080"/>
      <c r="BH188" s="3080"/>
      <c r="BI188" s="3080"/>
      <c r="BJ188" s="3080">
        <f t="shared" si="352"/>
        <v>2032</v>
      </c>
      <c r="BK188" s="3080"/>
      <c r="BL188" s="3080" t="s">
        <v>9164</v>
      </c>
      <c r="BM188" s="3097"/>
      <c r="BN188" s="3080">
        <f>I188</f>
        <v>2032</v>
      </c>
      <c r="BO188" s="3080"/>
      <c r="BP188" s="3080"/>
      <c r="BQ188" s="3080"/>
      <c r="BR188" s="3080">
        <f t="shared" si="310"/>
        <v>0</v>
      </c>
      <c r="BS188" s="3088"/>
      <c r="BT188" s="3088"/>
      <c r="BU188" s="3088"/>
      <c r="BV188" s="3088"/>
      <c r="BW188" s="3088"/>
      <c r="BX188" s="3088"/>
    </row>
    <row r="189" s="3031" customFormat="1" ht="32" customHeight="1" spans="1:76">
      <c r="A189" s="3063">
        <v>45812</v>
      </c>
      <c r="B189" s="3064" t="s">
        <v>872</v>
      </c>
      <c r="C189" s="3065" t="s">
        <v>873</v>
      </c>
      <c r="D189" s="3066">
        <v>4500168727</v>
      </c>
      <c r="E189" s="3091"/>
      <c r="F189" s="3066" t="s">
        <v>9679</v>
      </c>
      <c r="G189" s="3098" t="s">
        <v>9431</v>
      </c>
      <c r="H189" s="3069" t="s">
        <v>9099</v>
      </c>
      <c r="I189" s="2969">
        <v>2032</v>
      </c>
      <c r="J189" s="2969">
        <v>0</v>
      </c>
      <c r="K189" s="2969">
        <v>8</v>
      </c>
      <c r="L189" s="2969">
        <f t="shared" si="350"/>
        <v>254</v>
      </c>
      <c r="M189" s="3070">
        <v>45848</v>
      </c>
      <c r="N189" s="3070">
        <v>45845</v>
      </c>
      <c r="O189" s="2996"/>
      <c r="P189" s="2996" t="s">
        <v>82</v>
      </c>
      <c r="Q189" s="3071"/>
      <c r="R189" s="3071"/>
      <c r="S189" s="3071"/>
      <c r="T189" s="3071"/>
      <c r="U189" s="3072" t="s">
        <v>7104</v>
      </c>
      <c r="V189" s="2996"/>
      <c r="W189" s="3073" t="s">
        <v>1425</v>
      </c>
      <c r="X189" s="3073"/>
      <c r="Y189" s="3073" t="s">
        <v>9675</v>
      </c>
      <c r="Z189" s="3073"/>
      <c r="AA189" s="3073"/>
      <c r="AB189" s="3091" t="s">
        <v>9676</v>
      </c>
      <c r="AC189" s="2969" t="s">
        <v>1131</v>
      </c>
      <c r="AD189" s="3075">
        <v>4.1486</v>
      </c>
      <c r="AE189" s="3076">
        <f t="shared" si="346"/>
        <v>8429.9552</v>
      </c>
      <c r="AF189" s="2969" t="s">
        <v>7106</v>
      </c>
      <c r="AG189" s="2969" t="s">
        <v>9431</v>
      </c>
      <c r="AH189" s="2969" t="s">
        <v>416</v>
      </c>
      <c r="AI189" s="3077"/>
      <c r="AJ189" s="3078">
        <f t="shared" si="351"/>
        <v>2032</v>
      </c>
      <c r="AK189" s="3092"/>
      <c r="AL189" s="3078"/>
      <c r="AM189" s="3092"/>
      <c r="AN189" s="3078"/>
      <c r="AO189" s="3097"/>
      <c r="AP189" s="3080">
        <f t="shared" si="333"/>
        <v>2032</v>
      </c>
      <c r="AQ189" s="3080"/>
      <c r="AR189" s="3080"/>
      <c r="AS189" s="3081"/>
      <c r="AT189" s="3149"/>
      <c r="AU189" s="3097"/>
      <c r="AV189" s="3097"/>
      <c r="AW189" s="3150"/>
      <c r="AX189" s="3085"/>
      <c r="AY189" s="3080">
        <f>I189</f>
        <v>2032</v>
      </c>
      <c r="AZ189" s="3080"/>
      <c r="BA189" s="3086"/>
      <c r="BB189" s="3087"/>
      <c r="BC189" s="3080"/>
      <c r="BD189" s="3080"/>
      <c r="BE189" s="3080"/>
      <c r="BF189" s="3080"/>
      <c r="BG189" s="3080"/>
      <c r="BH189" s="3080"/>
      <c r="BI189" s="3080"/>
      <c r="BJ189" s="3080">
        <f t="shared" si="352"/>
        <v>2032</v>
      </c>
      <c r="BK189" s="3080"/>
      <c r="BL189" s="3080" t="s">
        <v>9164</v>
      </c>
      <c r="BM189" s="3097"/>
      <c r="BN189" s="3080"/>
      <c r="BO189" s="3080">
        <f>I189</f>
        <v>2032</v>
      </c>
      <c r="BP189" s="3080"/>
      <c r="BQ189" s="3080"/>
      <c r="BR189" s="3080">
        <f t="shared" si="310"/>
        <v>0</v>
      </c>
      <c r="BS189" s="3088"/>
      <c r="BT189" s="3088"/>
      <c r="BU189" s="3088"/>
      <c r="BV189" s="3088"/>
      <c r="BW189" s="3088"/>
      <c r="BX189" s="3088"/>
    </row>
    <row r="190" s="3031" customFormat="1" ht="32" customHeight="1" spans="1:76">
      <c r="A190" s="3063">
        <v>45818</v>
      </c>
      <c r="B190" s="3064" t="s">
        <v>9680</v>
      </c>
      <c r="C190" s="3065" t="s">
        <v>2776</v>
      </c>
      <c r="D190" s="3066">
        <v>4500169474</v>
      </c>
      <c r="E190" s="3091" t="s">
        <v>9681</v>
      </c>
      <c r="F190" s="3066" t="s">
        <v>9682</v>
      </c>
      <c r="G190" s="3098" t="s">
        <v>9154</v>
      </c>
      <c r="H190" s="3069" t="s">
        <v>9155</v>
      </c>
      <c r="I190" s="2969">
        <v>3600</v>
      </c>
      <c r="J190" s="2969">
        <v>0</v>
      </c>
      <c r="K190" s="2969">
        <v>8</v>
      </c>
      <c r="L190" s="2969">
        <f t="shared" si="350"/>
        <v>450</v>
      </c>
      <c r="M190" s="3070">
        <v>45849</v>
      </c>
      <c r="N190" s="3070">
        <f t="shared" ref="N190:N194" si="353">M190-4</f>
        <v>45845</v>
      </c>
      <c r="O190" s="2996"/>
      <c r="P190" s="2996" t="s">
        <v>82</v>
      </c>
      <c r="Q190" s="3071"/>
      <c r="R190" s="3071"/>
      <c r="S190" s="3071"/>
      <c r="T190" s="3071"/>
      <c r="U190" s="3072" t="s">
        <v>9683</v>
      </c>
      <c r="V190" s="2996"/>
      <c r="W190" s="3073" t="s">
        <v>9684</v>
      </c>
      <c r="X190" s="3073"/>
      <c r="Y190" s="3073" t="s">
        <v>9685</v>
      </c>
      <c r="Z190" s="3073"/>
      <c r="AA190" s="3073"/>
      <c r="AB190" s="3091" t="s">
        <v>9686</v>
      </c>
      <c r="AC190" s="2969" t="s">
        <v>459</v>
      </c>
      <c r="AD190" s="3075">
        <v>3.9964</v>
      </c>
      <c r="AE190" s="3076">
        <f t="shared" si="346"/>
        <v>14387.04</v>
      </c>
      <c r="AF190" s="2969" t="s">
        <v>9687</v>
      </c>
      <c r="AG190" s="3098" t="s">
        <v>9239</v>
      </c>
      <c r="AH190" s="2969" t="s">
        <v>416</v>
      </c>
      <c r="AI190" s="3077"/>
      <c r="AJ190" s="3078"/>
      <c r="AK190" s="3092"/>
      <c r="AL190" s="3078">
        <f>I190</f>
        <v>3600</v>
      </c>
      <c r="AM190" s="3092"/>
      <c r="AN190" s="3078"/>
      <c r="AO190" s="3097"/>
      <c r="AP190" s="3080">
        <f t="shared" si="333"/>
        <v>3600</v>
      </c>
      <c r="AQ190" s="3080"/>
      <c r="AR190" s="3080"/>
      <c r="AS190" s="3081"/>
      <c r="AT190" s="3149"/>
      <c r="AU190" s="3097"/>
      <c r="AV190" s="3097"/>
      <c r="AW190" s="3150"/>
      <c r="AX190" s="3085">
        <f t="shared" ref="AX190:AX195" si="354">I190/4</f>
        <v>900</v>
      </c>
      <c r="AY190" s="3080">
        <f t="shared" ref="AY190:AY193" si="355">I190/4</f>
        <v>900</v>
      </c>
      <c r="AZ190" s="3080">
        <f t="shared" ref="AZ190:AZ193" si="356">I190/4</f>
        <v>900</v>
      </c>
      <c r="BA190" s="3086">
        <f t="shared" ref="BA190:BA193" si="357">I190/4</f>
        <v>900</v>
      </c>
      <c r="BB190" s="3087"/>
      <c r="BC190" s="3080"/>
      <c r="BD190" s="3080"/>
      <c r="BE190" s="3080"/>
      <c r="BF190" s="3080"/>
      <c r="BG190" s="3080"/>
      <c r="BH190" s="3080"/>
      <c r="BI190" s="3080"/>
      <c r="BJ190" s="3080">
        <f t="shared" si="352"/>
        <v>3600</v>
      </c>
      <c r="BK190" s="3080"/>
      <c r="BL190" s="3080" t="s">
        <v>9164</v>
      </c>
      <c r="BM190" s="3097"/>
      <c r="BN190" s="3080">
        <f t="shared" ref="BN190:BN195" si="358">I190/4</f>
        <v>900</v>
      </c>
      <c r="BO190" s="3080">
        <f t="shared" ref="BO190:BO195" si="359">I190/4</f>
        <v>900</v>
      </c>
      <c r="BP190" s="3080">
        <f t="shared" ref="BP190:BP195" si="360">I190/4</f>
        <v>900</v>
      </c>
      <c r="BQ190" s="3080">
        <f t="shared" ref="BQ190:BQ195" si="361">I190/4</f>
        <v>900</v>
      </c>
      <c r="BR190" s="3080">
        <f t="shared" si="310"/>
        <v>0</v>
      </c>
      <c r="BS190" s="3088"/>
      <c r="BT190" s="3088"/>
      <c r="BU190" s="3088"/>
      <c r="BV190" s="3088"/>
      <c r="BW190" s="3088"/>
      <c r="BX190" s="3088"/>
    </row>
    <row r="191" s="3031" customFormat="1" ht="32" customHeight="1" spans="1:76">
      <c r="A191" s="3063">
        <v>45728</v>
      </c>
      <c r="B191" s="3064" t="s">
        <v>77</v>
      </c>
      <c r="C191" s="3065" t="s">
        <v>78</v>
      </c>
      <c r="D191" s="3066">
        <v>4500159868</v>
      </c>
      <c r="E191" s="3091">
        <v>4401015366</v>
      </c>
      <c r="F191" s="3066" t="s">
        <v>9688</v>
      </c>
      <c r="G191" s="3098" t="s">
        <v>9519</v>
      </c>
      <c r="H191" s="3069" t="s">
        <v>9155</v>
      </c>
      <c r="I191" s="2969">
        <v>6984</v>
      </c>
      <c r="J191" s="2969">
        <v>0</v>
      </c>
      <c r="K191" s="2969">
        <v>4</v>
      </c>
      <c r="L191" s="2969">
        <f t="shared" si="350"/>
        <v>1746</v>
      </c>
      <c r="M191" s="3070">
        <v>45852</v>
      </c>
      <c r="N191" s="3070">
        <f t="shared" si="353"/>
        <v>45848</v>
      </c>
      <c r="O191" s="2996"/>
      <c r="P191" s="2996" t="s">
        <v>82</v>
      </c>
      <c r="Q191" s="3071"/>
      <c r="R191" s="3071"/>
      <c r="S191" s="3071"/>
      <c r="T191" s="3071"/>
      <c r="U191" s="3072" t="s">
        <v>4047</v>
      </c>
      <c r="V191" s="2996"/>
      <c r="W191" s="3073" t="s">
        <v>5716</v>
      </c>
      <c r="X191" s="3073"/>
      <c r="Y191" s="3073" t="s">
        <v>9521</v>
      </c>
      <c r="Z191" s="3073"/>
      <c r="AA191" s="3073"/>
      <c r="AB191" s="3091" t="s">
        <v>9522</v>
      </c>
      <c r="AC191" s="2969" t="s">
        <v>338</v>
      </c>
      <c r="AD191" s="3075">
        <v>16.8851</v>
      </c>
      <c r="AE191" s="3076">
        <f t="shared" ref="AE191:AE195" si="362">AD191*L191</f>
        <v>29481.3846</v>
      </c>
      <c r="AF191" s="2969"/>
      <c r="AG191" s="3098" t="s">
        <v>9519</v>
      </c>
      <c r="AH191" s="2969" t="s">
        <v>416</v>
      </c>
      <c r="AI191" s="3126"/>
      <c r="AJ191" s="3078"/>
      <c r="AK191" s="3126"/>
      <c r="AL191" s="3078"/>
      <c r="AM191" s="3131"/>
      <c r="AN191" s="3078">
        <f t="shared" ref="AN191:AN195" si="363">I191</f>
        <v>6984</v>
      </c>
      <c r="AO191" s="3083"/>
      <c r="AP191" s="3080"/>
      <c r="AQ191" s="3080"/>
      <c r="AR191" s="3080"/>
      <c r="AS191" s="3081">
        <f t="shared" ref="AS191:AS195" si="364">I191</f>
        <v>6984</v>
      </c>
      <c r="AT191" s="3082"/>
      <c r="AU191" s="3083"/>
      <c r="AV191" s="3083"/>
      <c r="AW191" s="3084"/>
      <c r="AX191" s="3085">
        <f t="shared" si="354"/>
        <v>1746</v>
      </c>
      <c r="AY191" s="3080">
        <f t="shared" si="355"/>
        <v>1746</v>
      </c>
      <c r="AZ191" s="3080">
        <f t="shared" si="356"/>
        <v>1746</v>
      </c>
      <c r="BA191" s="3086">
        <f t="shared" si="357"/>
        <v>1746</v>
      </c>
      <c r="BB191" s="3087"/>
      <c r="BC191" s="3080"/>
      <c r="BD191" s="3080"/>
      <c r="BE191" s="3080"/>
      <c r="BF191" s="3080"/>
      <c r="BG191" s="3080"/>
      <c r="BH191" s="3080"/>
      <c r="BI191" s="3080"/>
      <c r="BJ191" s="3080">
        <f t="shared" si="352"/>
        <v>6984</v>
      </c>
      <c r="BK191" s="3080"/>
      <c r="BL191" s="3080" t="s">
        <v>9164</v>
      </c>
      <c r="BM191" s="3132"/>
      <c r="BN191" s="3080">
        <f t="shared" si="358"/>
        <v>1746</v>
      </c>
      <c r="BO191" s="3080">
        <f t="shared" si="359"/>
        <v>1746</v>
      </c>
      <c r="BP191" s="3080">
        <f t="shared" si="360"/>
        <v>1746</v>
      </c>
      <c r="BQ191" s="3080">
        <f t="shared" si="361"/>
        <v>1746</v>
      </c>
      <c r="BR191" s="3080">
        <f t="shared" si="310"/>
        <v>0</v>
      </c>
      <c r="BS191" s="3088">
        <f t="shared" ref="BS191:BS195" si="365">BN191+BO191+BP191+BQ191+$BS$369</f>
        <v>519464</v>
      </c>
      <c r="BT191" s="3088">
        <f t="shared" ref="BT191:BW191" si="366">BT168-BN191</f>
        <v>-18931</v>
      </c>
      <c r="BU191" s="3088">
        <f t="shared" si="366"/>
        <v>-18931</v>
      </c>
      <c r="BV191" s="3088">
        <f t="shared" si="366"/>
        <v>-18931</v>
      </c>
      <c r="BW191" s="3088">
        <f t="shared" si="366"/>
        <v>-18931</v>
      </c>
      <c r="BX191" s="3088"/>
    </row>
    <row r="192" s="3031" customFormat="1" ht="32" customHeight="1" spans="1:76">
      <c r="A192" s="3063">
        <v>45807</v>
      </c>
      <c r="B192" s="3064" t="s">
        <v>9689</v>
      </c>
      <c r="C192" s="3065" t="s">
        <v>2756</v>
      </c>
      <c r="D192" s="3066">
        <v>4500168108</v>
      </c>
      <c r="E192" s="3091"/>
      <c r="F192" s="3066" t="s">
        <v>9690</v>
      </c>
      <c r="G192" s="3098" t="s">
        <v>9154</v>
      </c>
      <c r="H192" s="3069" t="s">
        <v>9155</v>
      </c>
      <c r="I192" s="2969">
        <v>2400</v>
      </c>
      <c r="J192" s="2969">
        <v>0</v>
      </c>
      <c r="K192" s="2969">
        <v>8</v>
      </c>
      <c r="L192" s="2969">
        <f t="shared" si="350"/>
        <v>300</v>
      </c>
      <c r="M192" s="3070">
        <v>45853</v>
      </c>
      <c r="N192" s="3070">
        <v>45849</v>
      </c>
      <c r="O192" s="2996"/>
      <c r="P192" s="2996" t="s">
        <v>82</v>
      </c>
      <c r="Q192" s="3071"/>
      <c r="R192" s="3071"/>
      <c r="S192" s="3071"/>
      <c r="T192" s="3071"/>
      <c r="U192" s="3072" t="s">
        <v>4047</v>
      </c>
      <c r="V192" s="2996"/>
      <c r="W192" s="3073" t="s">
        <v>9691</v>
      </c>
      <c r="X192" s="3073"/>
      <c r="Y192" s="3073" t="s">
        <v>9692</v>
      </c>
      <c r="Z192" s="3073"/>
      <c r="AA192" s="3073"/>
      <c r="AB192" s="3091" t="s">
        <v>9693</v>
      </c>
      <c r="AC192" s="2969" t="s">
        <v>3720</v>
      </c>
      <c r="AD192" s="3075">
        <v>4.1486</v>
      </c>
      <c r="AE192" s="3076">
        <f t="shared" ref="AE192:AE198" si="367">AD192*I192</f>
        <v>9956.64</v>
      </c>
      <c r="AF192" s="2969"/>
      <c r="AG192" s="3098" t="s">
        <v>9239</v>
      </c>
      <c r="AH192" s="2969" t="s">
        <v>416</v>
      </c>
      <c r="AI192" s="3126"/>
      <c r="AJ192" s="3078"/>
      <c r="AK192" s="3131"/>
      <c r="AL192" s="3078">
        <f t="shared" ref="AL192:AL198" si="368">I192</f>
        <v>2400</v>
      </c>
      <c r="AM192" s="3131"/>
      <c r="AN192" s="3078"/>
      <c r="AO192" s="3132"/>
      <c r="AP192" s="3080">
        <f t="shared" ref="AP192:AP198" si="369">I192</f>
        <v>2400</v>
      </c>
      <c r="AQ192" s="3080"/>
      <c r="AR192" s="3080"/>
      <c r="AS192" s="3081"/>
      <c r="AT192" s="3147"/>
      <c r="AU192" s="3132"/>
      <c r="AV192" s="3132"/>
      <c r="AW192" s="3148"/>
      <c r="AX192" s="3085">
        <f t="shared" si="354"/>
        <v>600</v>
      </c>
      <c r="AY192" s="3080">
        <f t="shared" si="355"/>
        <v>600</v>
      </c>
      <c r="AZ192" s="3080">
        <f t="shared" si="356"/>
        <v>600</v>
      </c>
      <c r="BA192" s="3086">
        <f t="shared" si="357"/>
        <v>600</v>
      </c>
      <c r="BB192" s="3087"/>
      <c r="BC192" s="3080"/>
      <c r="BD192" s="3080"/>
      <c r="BE192" s="3080"/>
      <c r="BF192" s="3080"/>
      <c r="BG192" s="3080"/>
      <c r="BH192" s="3080"/>
      <c r="BI192" s="3080"/>
      <c r="BJ192" s="3080">
        <f t="shared" si="352"/>
        <v>2400</v>
      </c>
      <c r="BK192" s="3080"/>
      <c r="BL192" s="3080" t="s">
        <v>9164</v>
      </c>
      <c r="BM192" s="3132"/>
      <c r="BN192" s="3080">
        <f t="shared" si="358"/>
        <v>600</v>
      </c>
      <c r="BO192" s="3080">
        <f t="shared" si="359"/>
        <v>600</v>
      </c>
      <c r="BP192" s="3080">
        <f t="shared" si="360"/>
        <v>600</v>
      </c>
      <c r="BQ192" s="3080">
        <f t="shared" si="361"/>
        <v>600</v>
      </c>
      <c r="BR192" s="3080">
        <f t="shared" si="310"/>
        <v>0</v>
      </c>
      <c r="BS192" s="3088"/>
      <c r="BT192" s="3088"/>
      <c r="BU192" s="3088"/>
      <c r="BV192" s="3088"/>
      <c r="BW192" s="3088"/>
      <c r="BX192" s="3088"/>
    </row>
    <row r="193" s="3031" customFormat="1" ht="32" customHeight="1" spans="1:76">
      <c r="A193" s="3063">
        <v>45728</v>
      </c>
      <c r="B193" s="3064" t="s">
        <v>77</v>
      </c>
      <c r="C193" s="3065" t="s">
        <v>78</v>
      </c>
      <c r="D193" s="3066">
        <v>4500159868</v>
      </c>
      <c r="E193" s="3091">
        <v>4401015368</v>
      </c>
      <c r="F193" s="3066" t="s">
        <v>9694</v>
      </c>
      <c r="G193" s="3098" t="s">
        <v>9519</v>
      </c>
      <c r="H193" s="3069" t="s">
        <v>9520</v>
      </c>
      <c r="I193" s="2969">
        <v>6984</v>
      </c>
      <c r="J193" s="2969">
        <v>0</v>
      </c>
      <c r="K193" s="2969">
        <v>4</v>
      </c>
      <c r="L193" s="2969">
        <f t="shared" si="350"/>
        <v>1746</v>
      </c>
      <c r="M193" s="3070">
        <v>45856</v>
      </c>
      <c r="N193" s="3070">
        <f t="shared" si="353"/>
        <v>45852</v>
      </c>
      <c r="O193" s="2996"/>
      <c r="P193" s="2996" t="s">
        <v>82</v>
      </c>
      <c r="Q193" s="3071"/>
      <c r="R193" s="3071"/>
      <c r="S193" s="3071"/>
      <c r="T193" s="3071"/>
      <c r="U193" s="3072" t="s">
        <v>4047</v>
      </c>
      <c r="V193" s="2996"/>
      <c r="W193" s="3073" t="s">
        <v>5716</v>
      </c>
      <c r="X193" s="3073"/>
      <c r="Y193" s="3073" t="s">
        <v>9521</v>
      </c>
      <c r="Z193" s="3073"/>
      <c r="AA193" s="3073"/>
      <c r="AB193" s="3091" t="s">
        <v>9522</v>
      </c>
      <c r="AC193" s="2969" t="s">
        <v>338</v>
      </c>
      <c r="AD193" s="3075">
        <v>16.8851</v>
      </c>
      <c r="AE193" s="3076">
        <f t="shared" si="362"/>
        <v>29481.3846</v>
      </c>
      <c r="AF193" s="2969"/>
      <c r="AG193" s="3098" t="s">
        <v>9519</v>
      </c>
      <c r="AH193" s="2969" t="s">
        <v>416</v>
      </c>
      <c r="AI193" s="3078"/>
      <c r="AJ193" s="3078"/>
      <c r="AK193" s="3078"/>
      <c r="AL193" s="3078"/>
      <c r="AM193" s="3138"/>
      <c r="AN193" s="3078">
        <f t="shared" si="363"/>
        <v>6984</v>
      </c>
      <c r="AO193" s="3080"/>
      <c r="AP193" s="3080"/>
      <c r="AQ193" s="3080"/>
      <c r="AR193" s="3080"/>
      <c r="AS193" s="3081">
        <f t="shared" si="364"/>
        <v>6984</v>
      </c>
      <c r="AT193" s="3085"/>
      <c r="AU193" s="3080"/>
      <c r="AV193" s="3080"/>
      <c r="AW193" s="3086"/>
      <c r="AX193" s="3085">
        <f t="shared" si="354"/>
        <v>1746</v>
      </c>
      <c r="AY193" s="3080">
        <f t="shared" si="355"/>
        <v>1746</v>
      </c>
      <c r="AZ193" s="3080">
        <f t="shared" si="356"/>
        <v>1746</v>
      </c>
      <c r="BA193" s="3086">
        <f t="shared" si="357"/>
        <v>1746</v>
      </c>
      <c r="BB193" s="3087"/>
      <c r="BC193" s="3080"/>
      <c r="BD193" s="3080"/>
      <c r="BE193" s="3080"/>
      <c r="BF193" s="3080"/>
      <c r="BG193" s="3080"/>
      <c r="BH193" s="3080"/>
      <c r="BI193" s="3080"/>
      <c r="BJ193" s="3080">
        <f t="shared" si="352"/>
        <v>6984</v>
      </c>
      <c r="BK193" s="3080"/>
      <c r="BL193" s="3080" t="s">
        <v>9164</v>
      </c>
      <c r="BM193" s="3141"/>
      <c r="BN193" s="3080">
        <f t="shared" si="358"/>
        <v>1746</v>
      </c>
      <c r="BO193" s="3080">
        <f t="shared" si="359"/>
        <v>1746</v>
      </c>
      <c r="BP193" s="3080">
        <f t="shared" si="360"/>
        <v>1746</v>
      </c>
      <c r="BQ193" s="3080">
        <f t="shared" si="361"/>
        <v>1746</v>
      </c>
      <c r="BR193" s="3080">
        <f t="shared" si="310"/>
        <v>0</v>
      </c>
      <c r="BS193" s="3088">
        <f t="shared" si="365"/>
        <v>519464</v>
      </c>
      <c r="BT193" s="3088">
        <f t="shared" ref="BT193:BW193" si="370">BT191-BN193</f>
        <v>-20677</v>
      </c>
      <c r="BU193" s="3088">
        <f t="shared" si="370"/>
        <v>-20677</v>
      </c>
      <c r="BV193" s="3088">
        <f t="shared" si="370"/>
        <v>-20677</v>
      </c>
      <c r="BW193" s="3088">
        <f t="shared" si="370"/>
        <v>-20677</v>
      </c>
      <c r="BX193" s="3088"/>
    </row>
    <row r="194" s="3031" customFormat="1" ht="32" customHeight="1" spans="1:76">
      <c r="A194" s="3063">
        <v>45728</v>
      </c>
      <c r="B194" s="3064" t="s">
        <v>77</v>
      </c>
      <c r="C194" s="3065" t="s">
        <v>78</v>
      </c>
      <c r="D194" s="3066">
        <v>4500159868</v>
      </c>
      <c r="E194" s="3091">
        <v>4401015351</v>
      </c>
      <c r="F194" s="3066" t="s">
        <v>9695</v>
      </c>
      <c r="G194" s="3098" t="s">
        <v>9519</v>
      </c>
      <c r="H194" s="3069" t="s">
        <v>9520</v>
      </c>
      <c r="I194" s="2969">
        <v>6984</v>
      </c>
      <c r="J194" s="2969">
        <v>0</v>
      </c>
      <c r="K194" s="2969">
        <v>4</v>
      </c>
      <c r="L194" s="2969">
        <f t="shared" si="350"/>
        <v>1746</v>
      </c>
      <c r="M194" s="3070">
        <v>45859</v>
      </c>
      <c r="N194" s="3070">
        <f t="shared" si="353"/>
        <v>45855</v>
      </c>
      <c r="O194" s="2996"/>
      <c r="P194" s="2996" t="s">
        <v>82</v>
      </c>
      <c r="Q194" s="3071"/>
      <c r="R194" s="3071"/>
      <c r="S194" s="3071"/>
      <c r="T194" s="3071"/>
      <c r="U194" s="3072" t="s">
        <v>208</v>
      </c>
      <c r="V194" s="2996"/>
      <c r="W194" s="3073" t="s">
        <v>5716</v>
      </c>
      <c r="X194" s="3073"/>
      <c r="Y194" s="3073" t="s">
        <v>9521</v>
      </c>
      <c r="Z194" s="3073"/>
      <c r="AA194" s="3073"/>
      <c r="AB194" s="3091" t="s">
        <v>9522</v>
      </c>
      <c r="AC194" s="2969" t="s">
        <v>338</v>
      </c>
      <c r="AD194" s="3075">
        <v>16.8851</v>
      </c>
      <c r="AE194" s="3076">
        <f t="shared" si="362"/>
        <v>29481.3846</v>
      </c>
      <c r="AF194" s="2969"/>
      <c r="AG194" s="3098" t="s">
        <v>9519</v>
      </c>
      <c r="AH194" s="2969" t="s">
        <v>416</v>
      </c>
      <c r="AI194" s="3078"/>
      <c r="AJ194" s="3078"/>
      <c r="AK194" s="3078"/>
      <c r="AL194" s="3078"/>
      <c r="AM194" s="3138"/>
      <c r="AN194" s="3078">
        <f t="shared" si="363"/>
        <v>6984</v>
      </c>
      <c r="AO194" s="3080"/>
      <c r="AP194" s="3080"/>
      <c r="AQ194" s="3080"/>
      <c r="AR194" s="3080"/>
      <c r="AS194" s="3081">
        <f t="shared" si="364"/>
        <v>6984</v>
      </c>
      <c r="AT194" s="3085"/>
      <c r="AU194" s="3080"/>
      <c r="AV194" s="3080"/>
      <c r="AW194" s="3086"/>
      <c r="AX194" s="3085">
        <f t="shared" si="354"/>
        <v>1746</v>
      </c>
      <c r="AY194" s="3080">
        <f t="shared" ref="AY194:AY200" si="371">AX194</f>
        <v>1746</v>
      </c>
      <c r="AZ194" s="3080">
        <f t="shared" ref="AZ194:AZ200" si="372">AX194</f>
        <v>1746</v>
      </c>
      <c r="BA194" s="3086">
        <f t="shared" ref="BA194:BA200" si="373">AX194</f>
        <v>1746</v>
      </c>
      <c r="BB194" s="3087"/>
      <c r="BC194" s="3080"/>
      <c r="BD194" s="3080"/>
      <c r="BE194" s="3080"/>
      <c r="BF194" s="3080"/>
      <c r="BG194" s="3080"/>
      <c r="BH194" s="3080"/>
      <c r="BI194" s="3080"/>
      <c r="BJ194" s="3080">
        <f t="shared" si="352"/>
        <v>6984</v>
      </c>
      <c r="BK194" s="3080"/>
      <c r="BL194" s="3080" t="s">
        <v>9164</v>
      </c>
      <c r="BM194" s="3141"/>
      <c r="BN194" s="3080">
        <f t="shared" si="358"/>
        <v>1746</v>
      </c>
      <c r="BO194" s="3080">
        <f t="shared" si="359"/>
        <v>1746</v>
      </c>
      <c r="BP194" s="3080">
        <f t="shared" si="360"/>
        <v>1746</v>
      </c>
      <c r="BQ194" s="3080">
        <f t="shared" si="361"/>
        <v>1746</v>
      </c>
      <c r="BR194" s="3080">
        <f t="shared" si="310"/>
        <v>0</v>
      </c>
      <c r="BS194" s="3088">
        <f t="shared" si="365"/>
        <v>519464</v>
      </c>
      <c r="BT194" s="3088">
        <f t="shared" ref="BT194:BW194" si="374">BT193-BN194</f>
        <v>-22423</v>
      </c>
      <c r="BU194" s="3088">
        <f t="shared" si="374"/>
        <v>-22423</v>
      </c>
      <c r="BV194" s="3088">
        <f t="shared" si="374"/>
        <v>-22423</v>
      </c>
      <c r="BW194" s="3088">
        <f t="shared" si="374"/>
        <v>-22423</v>
      </c>
      <c r="BX194" s="3088"/>
    </row>
    <row r="195" s="3031" customFormat="1" ht="32" customHeight="1" spans="1:76">
      <c r="A195" s="3063">
        <v>45728</v>
      </c>
      <c r="B195" s="3064" t="s">
        <v>77</v>
      </c>
      <c r="C195" s="3065" t="s">
        <v>78</v>
      </c>
      <c r="D195" s="3066">
        <v>4500159868</v>
      </c>
      <c r="E195" s="3091">
        <v>4401015359</v>
      </c>
      <c r="F195" s="3066" t="s">
        <v>9696</v>
      </c>
      <c r="G195" s="3098" t="s">
        <v>9519</v>
      </c>
      <c r="H195" s="3069" t="s">
        <v>9520</v>
      </c>
      <c r="I195" s="2969">
        <v>6984</v>
      </c>
      <c r="J195" s="2969">
        <v>0</v>
      </c>
      <c r="K195" s="2969">
        <v>4</v>
      </c>
      <c r="L195" s="2969">
        <f t="shared" si="350"/>
        <v>1746</v>
      </c>
      <c r="M195" s="3070">
        <v>45860</v>
      </c>
      <c r="N195" s="3070">
        <v>45856</v>
      </c>
      <c r="O195" s="2996"/>
      <c r="P195" s="2996" t="s">
        <v>82</v>
      </c>
      <c r="Q195" s="3071"/>
      <c r="R195" s="3071"/>
      <c r="S195" s="3071"/>
      <c r="T195" s="3071"/>
      <c r="U195" s="3072" t="s">
        <v>5989</v>
      </c>
      <c r="V195" s="2996"/>
      <c r="W195" s="3073" t="s">
        <v>5716</v>
      </c>
      <c r="X195" s="3073"/>
      <c r="Y195" s="3073" t="s">
        <v>9521</v>
      </c>
      <c r="Z195" s="3073"/>
      <c r="AA195" s="3073"/>
      <c r="AB195" s="3091" t="s">
        <v>9522</v>
      </c>
      <c r="AC195" s="2969" t="s">
        <v>338</v>
      </c>
      <c r="AD195" s="3075">
        <v>16.8851</v>
      </c>
      <c r="AE195" s="3076">
        <f t="shared" si="362"/>
        <v>29481.3846</v>
      </c>
      <c r="AF195" s="2969"/>
      <c r="AG195" s="3098" t="s">
        <v>9519</v>
      </c>
      <c r="AH195" s="2969" t="s">
        <v>416</v>
      </c>
      <c r="AI195" s="3078"/>
      <c r="AJ195" s="3078"/>
      <c r="AK195" s="3078"/>
      <c r="AL195" s="3078"/>
      <c r="AM195" s="3138"/>
      <c r="AN195" s="3078">
        <f t="shared" si="363"/>
        <v>6984</v>
      </c>
      <c r="AO195" s="3080"/>
      <c r="AP195" s="3080"/>
      <c r="AQ195" s="3080"/>
      <c r="AR195" s="3080"/>
      <c r="AS195" s="3081">
        <f t="shared" si="364"/>
        <v>6984</v>
      </c>
      <c r="AT195" s="3085"/>
      <c r="AU195" s="3080"/>
      <c r="AV195" s="3080"/>
      <c r="AW195" s="3086"/>
      <c r="AX195" s="3085">
        <f t="shared" si="354"/>
        <v>1746</v>
      </c>
      <c r="AY195" s="3080">
        <f t="shared" si="371"/>
        <v>1746</v>
      </c>
      <c r="AZ195" s="3080">
        <f t="shared" si="372"/>
        <v>1746</v>
      </c>
      <c r="BA195" s="3086">
        <f t="shared" si="373"/>
        <v>1746</v>
      </c>
      <c r="BB195" s="3087"/>
      <c r="BC195" s="3080"/>
      <c r="BD195" s="3080"/>
      <c r="BE195" s="3080"/>
      <c r="BF195" s="3080"/>
      <c r="BG195" s="3080"/>
      <c r="BH195" s="3080"/>
      <c r="BI195" s="3080"/>
      <c r="BJ195" s="3080">
        <f t="shared" si="352"/>
        <v>6984</v>
      </c>
      <c r="BK195" s="3080"/>
      <c r="BL195" s="3080" t="s">
        <v>9164</v>
      </c>
      <c r="BM195" s="3141"/>
      <c r="BN195" s="3080">
        <f t="shared" si="358"/>
        <v>1746</v>
      </c>
      <c r="BO195" s="3080">
        <f t="shared" si="359"/>
        <v>1746</v>
      </c>
      <c r="BP195" s="3080">
        <f t="shared" si="360"/>
        <v>1746</v>
      </c>
      <c r="BQ195" s="3080">
        <f t="shared" si="361"/>
        <v>1746</v>
      </c>
      <c r="BR195" s="3080">
        <f t="shared" si="310"/>
        <v>0</v>
      </c>
      <c r="BS195" s="3088">
        <f t="shared" si="365"/>
        <v>519464</v>
      </c>
      <c r="BT195" s="3088">
        <f t="shared" ref="BT195:BW195" si="375">BT199-BN195</f>
        <v>-27739</v>
      </c>
      <c r="BU195" s="3088">
        <f t="shared" si="375"/>
        <v>-27739</v>
      </c>
      <c r="BV195" s="3088">
        <f t="shared" si="375"/>
        <v>-27739</v>
      </c>
      <c r="BW195" s="3088">
        <f t="shared" si="375"/>
        <v>-27739</v>
      </c>
      <c r="BX195" s="3088"/>
    </row>
    <row r="196" s="3031" customFormat="1" ht="32" customHeight="1" spans="1:76">
      <c r="A196" s="3063">
        <v>45824</v>
      </c>
      <c r="B196" s="3064" t="s">
        <v>1641</v>
      </c>
      <c r="C196" s="3065" t="s">
        <v>396</v>
      </c>
      <c r="D196" s="3066">
        <v>4500170146</v>
      </c>
      <c r="E196" s="3091" t="s">
        <v>9697</v>
      </c>
      <c r="F196" s="3066" t="s">
        <v>9698</v>
      </c>
      <c r="G196" s="3098" t="s">
        <v>9191</v>
      </c>
      <c r="H196" s="3069" t="s">
        <v>9099</v>
      </c>
      <c r="I196" s="2969">
        <v>16</v>
      </c>
      <c r="J196" s="2969">
        <v>0</v>
      </c>
      <c r="K196" s="2969">
        <v>8</v>
      </c>
      <c r="L196" s="2969">
        <v>2</v>
      </c>
      <c r="M196" s="3070">
        <v>45859</v>
      </c>
      <c r="N196" s="3070">
        <f>M196-4</f>
        <v>45855</v>
      </c>
      <c r="O196" s="2996"/>
      <c r="P196" s="2996" t="s">
        <v>82</v>
      </c>
      <c r="Q196" s="3071"/>
      <c r="R196" s="3071"/>
      <c r="S196" s="3071"/>
      <c r="T196" s="3071"/>
      <c r="U196" s="3072" t="s">
        <v>1504</v>
      </c>
      <c r="V196" s="2996"/>
      <c r="W196" s="3073" t="s">
        <v>4276</v>
      </c>
      <c r="X196" s="3073"/>
      <c r="Y196" s="3073" t="s">
        <v>9192</v>
      </c>
      <c r="Z196" s="3073" t="s">
        <v>4223</v>
      </c>
      <c r="AA196" s="3073"/>
      <c r="AB196" s="3091" t="s">
        <v>9699</v>
      </c>
      <c r="AC196" s="2969" t="s">
        <v>369</v>
      </c>
      <c r="AD196" s="3075">
        <v>4.2589</v>
      </c>
      <c r="AE196" s="3076">
        <f t="shared" si="367"/>
        <v>68.1424</v>
      </c>
      <c r="AF196" s="2969"/>
      <c r="AG196" s="3069" t="s">
        <v>9194</v>
      </c>
      <c r="AH196" s="2969" t="s">
        <v>416</v>
      </c>
      <c r="AI196" s="3126"/>
      <c r="AJ196" s="3078"/>
      <c r="AK196" s="3131"/>
      <c r="AL196" s="3078">
        <f t="shared" si="368"/>
        <v>16</v>
      </c>
      <c r="AM196" s="3131"/>
      <c r="AN196" s="3078"/>
      <c r="AO196" s="3132"/>
      <c r="AP196" s="3080">
        <f t="shared" si="369"/>
        <v>16</v>
      </c>
      <c r="AQ196" s="3080"/>
      <c r="AR196" s="3080"/>
      <c r="AS196" s="3081"/>
      <c r="AT196" s="3147"/>
      <c r="AU196" s="3132"/>
      <c r="AV196" s="3132"/>
      <c r="AW196" s="3148"/>
      <c r="AX196" s="3085"/>
      <c r="AY196" s="3080">
        <f t="shared" ref="AY196:AY201" si="376">I196</f>
        <v>16</v>
      </c>
      <c r="AZ196" s="3080"/>
      <c r="BA196" s="3086"/>
      <c r="BB196" s="3087"/>
      <c r="BC196" s="3080">
        <f>I196</f>
        <v>16</v>
      </c>
      <c r="BD196" s="3080"/>
      <c r="BE196" s="3080"/>
      <c r="BF196" s="3080"/>
      <c r="BG196" s="3080"/>
      <c r="BH196" s="3080"/>
      <c r="BI196" s="3080"/>
      <c r="BJ196" s="3080"/>
      <c r="BK196" s="3080">
        <f>I196</f>
        <v>16</v>
      </c>
      <c r="BL196" s="3080" t="s">
        <v>9164</v>
      </c>
      <c r="BM196" s="3132"/>
      <c r="BN196" s="3080"/>
      <c r="BO196" s="3080">
        <f t="shared" ref="BO196:BO201" si="377">I196</f>
        <v>16</v>
      </c>
      <c r="BP196" s="3080"/>
      <c r="BQ196" s="3080"/>
      <c r="BR196" s="3080">
        <f t="shared" si="310"/>
        <v>0</v>
      </c>
      <c r="BS196" s="3088"/>
      <c r="BT196" s="3088"/>
      <c r="BU196" s="3088"/>
      <c r="BV196" s="3088"/>
      <c r="BW196" s="3088"/>
      <c r="BX196" s="3088"/>
    </row>
    <row r="197" s="3031" customFormat="1" ht="32" customHeight="1" spans="1:76">
      <c r="A197" s="3063">
        <v>45824</v>
      </c>
      <c r="B197" s="3064" t="s">
        <v>1641</v>
      </c>
      <c r="C197" s="3065" t="s">
        <v>396</v>
      </c>
      <c r="D197" s="3066">
        <v>4500170146</v>
      </c>
      <c r="E197" s="3091" t="s">
        <v>9700</v>
      </c>
      <c r="F197" s="3066" t="s">
        <v>9701</v>
      </c>
      <c r="G197" s="3098" t="s">
        <v>9191</v>
      </c>
      <c r="H197" s="3069" t="s">
        <v>9099</v>
      </c>
      <c r="I197" s="2969">
        <v>16</v>
      </c>
      <c r="J197" s="2969">
        <v>0</v>
      </c>
      <c r="K197" s="2969">
        <v>8</v>
      </c>
      <c r="L197" s="2969">
        <v>2</v>
      </c>
      <c r="M197" s="3070">
        <v>45859</v>
      </c>
      <c r="N197" s="3070">
        <f>M197-4</f>
        <v>45855</v>
      </c>
      <c r="O197" s="2996"/>
      <c r="P197" s="2996" t="s">
        <v>82</v>
      </c>
      <c r="Q197" s="3071"/>
      <c r="R197" s="3071"/>
      <c r="S197" s="3071"/>
      <c r="T197" s="3071"/>
      <c r="U197" s="3072" t="s">
        <v>1504</v>
      </c>
      <c r="V197" s="2996"/>
      <c r="W197" s="3073" t="s">
        <v>4276</v>
      </c>
      <c r="X197" s="3073"/>
      <c r="Y197" s="3073" t="s">
        <v>9192</v>
      </c>
      <c r="Z197" s="3073" t="s">
        <v>4223</v>
      </c>
      <c r="AA197" s="3073"/>
      <c r="AB197" s="3091" t="s">
        <v>9699</v>
      </c>
      <c r="AC197" s="2969" t="s">
        <v>369</v>
      </c>
      <c r="AD197" s="3075">
        <v>4.2589</v>
      </c>
      <c r="AE197" s="3076">
        <f t="shared" si="367"/>
        <v>68.1424</v>
      </c>
      <c r="AF197" s="2969"/>
      <c r="AG197" s="3069" t="s">
        <v>9194</v>
      </c>
      <c r="AH197" s="2969" t="s">
        <v>416</v>
      </c>
      <c r="AI197" s="3126"/>
      <c r="AJ197" s="3078"/>
      <c r="AK197" s="3131"/>
      <c r="AL197" s="3078">
        <f t="shared" si="368"/>
        <v>16</v>
      </c>
      <c r="AM197" s="3131"/>
      <c r="AN197" s="3078"/>
      <c r="AO197" s="3132"/>
      <c r="AP197" s="3080">
        <f t="shared" si="369"/>
        <v>16</v>
      </c>
      <c r="AQ197" s="3080"/>
      <c r="AR197" s="3080"/>
      <c r="AS197" s="3081"/>
      <c r="AT197" s="3147"/>
      <c r="AU197" s="3132"/>
      <c r="AV197" s="3132"/>
      <c r="AW197" s="3148"/>
      <c r="AX197" s="3085"/>
      <c r="AY197" s="3080">
        <f t="shared" si="376"/>
        <v>16</v>
      </c>
      <c r="AZ197" s="3080"/>
      <c r="BA197" s="3086"/>
      <c r="BB197" s="3087"/>
      <c r="BC197" s="3080">
        <f>I197</f>
        <v>16</v>
      </c>
      <c r="BD197" s="3081"/>
      <c r="BE197" s="3080"/>
      <c r="BF197" s="3080"/>
      <c r="BG197" s="3080"/>
      <c r="BH197" s="3080"/>
      <c r="BI197" s="3080"/>
      <c r="BJ197" s="3080"/>
      <c r="BK197" s="3080">
        <f>I197</f>
        <v>16</v>
      </c>
      <c r="BL197" s="3080" t="s">
        <v>9164</v>
      </c>
      <c r="BM197" s="3132"/>
      <c r="BN197" s="3080"/>
      <c r="BO197" s="3080">
        <f t="shared" si="377"/>
        <v>16</v>
      </c>
      <c r="BP197" s="3080"/>
      <c r="BQ197" s="3080"/>
      <c r="BR197" s="3080">
        <f t="shared" si="310"/>
        <v>0</v>
      </c>
      <c r="BS197" s="3088"/>
      <c r="BT197" s="3088"/>
      <c r="BU197" s="3088"/>
      <c r="BV197" s="3088"/>
      <c r="BW197" s="3088"/>
      <c r="BX197" s="3088"/>
    </row>
    <row r="198" s="3031" customFormat="1" ht="32" customHeight="1" spans="1:76">
      <c r="A198" s="3063">
        <v>45813</v>
      </c>
      <c r="B198" s="3064" t="s">
        <v>2755</v>
      </c>
      <c r="C198" s="3065" t="s">
        <v>2756</v>
      </c>
      <c r="D198" s="3066">
        <v>4500163278</v>
      </c>
      <c r="E198" s="3091"/>
      <c r="F198" s="3066" t="s">
        <v>9702</v>
      </c>
      <c r="G198" s="3098" t="s">
        <v>9154</v>
      </c>
      <c r="H198" s="3069" t="s">
        <v>9155</v>
      </c>
      <c r="I198" s="2969">
        <v>400</v>
      </c>
      <c r="J198" s="2969">
        <v>0</v>
      </c>
      <c r="K198" s="2969">
        <v>8</v>
      </c>
      <c r="L198" s="2969">
        <f t="shared" ref="L198:L201" si="378">I198/K198</f>
        <v>50</v>
      </c>
      <c r="M198" s="3070">
        <v>45858</v>
      </c>
      <c r="N198" s="3070">
        <v>45854</v>
      </c>
      <c r="O198" s="2996"/>
      <c r="P198" s="2996" t="s">
        <v>82</v>
      </c>
      <c r="Q198" s="3071"/>
      <c r="R198" s="3071"/>
      <c r="S198" s="3071"/>
      <c r="T198" s="3071"/>
      <c r="U198" s="3072" t="s">
        <v>5989</v>
      </c>
      <c r="V198" s="2996"/>
      <c r="W198" s="3073" t="s">
        <v>1566</v>
      </c>
      <c r="X198" s="3073"/>
      <c r="Y198" s="3073" t="s">
        <v>9703</v>
      </c>
      <c r="Z198" s="3073"/>
      <c r="AA198" s="3073"/>
      <c r="AB198" s="3091" t="s">
        <v>9704</v>
      </c>
      <c r="AC198" s="2969" t="s">
        <v>578</v>
      </c>
      <c r="AD198" s="3075">
        <v>4.0187</v>
      </c>
      <c r="AE198" s="3076">
        <f t="shared" si="367"/>
        <v>1607.48</v>
      </c>
      <c r="AF198" s="2969" t="s">
        <v>9705</v>
      </c>
      <c r="AG198" s="3098" t="s">
        <v>9239</v>
      </c>
      <c r="AH198" s="2969" t="s">
        <v>416</v>
      </c>
      <c r="AI198" s="3078"/>
      <c r="AJ198" s="3078"/>
      <c r="AK198" s="3138"/>
      <c r="AL198" s="3078">
        <f t="shared" si="368"/>
        <v>400</v>
      </c>
      <c r="AM198" s="3138"/>
      <c r="AN198" s="3078"/>
      <c r="AO198" s="3141"/>
      <c r="AP198" s="3080">
        <f t="shared" si="369"/>
        <v>400</v>
      </c>
      <c r="AQ198" s="3080"/>
      <c r="AR198" s="3080"/>
      <c r="AS198" s="3081"/>
      <c r="AT198" s="3142"/>
      <c r="AU198" s="3141"/>
      <c r="AV198" s="3141"/>
      <c r="AW198" s="3143"/>
      <c r="AX198" s="3085">
        <f t="shared" ref="AX198:AX200" si="379">I198/4</f>
        <v>100</v>
      </c>
      <c r="AY198" s="3080">
        <f>I198/4</f>
        <v>100</v>
      </c>
      <c r="AZ198" s="3080">
        <f>I198/4</f>
        <v>100</v>
      </c>
      <c r="BA198" s="3086">
        <f>I198/4</f>
        <v>100</v>
      </c>
      <c r="BB198" s="3087"/>
      <c r="BC198" s="3080"/>
      <c r="BD198" s="3081"/>
      <c r="BE198" s="3080"/>
      <c r="BF198" s="3080"/>
      <c r="BG198" s="3080"/>
      <c r="BH198" s="3080"/>
      <c r="BI198" s="3080"/>
      <c r="BJ198" s="3080">
        <f t="shared" ref="BJ198:BJ204" si="380">I198</f>
        <v>400</v>
      </c>
      <c r="BK198" s="3080"/>
      <c r="BL198" s="3080" t="s">
        <v>9164</v>
      </c>
      <c r="BM198" s="3141"/>
      <c r="BN198" s="3080">
        <f t="shared" ref="BN198:BN200" si="381">I198/4</f>
        <v>100</v>
      </c>
      <c r="BO198" s="3080">
        <f t="shared" ref="BO198:BO200" si="382">I198/4</f>
        <v>100</v>
      </c>
      <c r="BP198" s="3080">
        <f t="shared" ref="BP198:BP200" si="383">I198/4</f>
        <v>100</v>
      </c>
      <c r="BQ198" s="3080">
        <f t="shared" ref="BQ198:BQ200" si="384">I198/4</f>
        <v>100</v>
      </c>
      <c r="BR198" s="3080">
        <f t="shared" si="310"/>
        <v>0</v>
      </c>
      <c r="BS198" s="3088">
        <f t="shared" ref="BS198:BS200" si="385">BN198+BO198+BP198+BQ198+$BS$369</f>
        <v>512880</v>
      </c>
      <c r="BT198" s="3088">
        <f t="shared" ref="BT198:BW198" si="386">BT171-BN198</f>
        <v>-20777</v>
      </c>
      <c r="BU198" s="3088">
        <f t="shared" si="386"/>
        <v>-20777</v>
      </c>
      <c r="BV198" s="3088">
        <f t="shared" si="386"/>
        <v>-21017</v>
      </c>
      <c r="BW198" s="3088">
        <f t="shared" si="386"/>
        <v>-20777</v>
      </c>
      <c r="BX198" s="3088"/>
    </row>
    <row r="199" s="3031" customFormat="1" ht="32" customHeight="1" spans="1:76">
      <c r="A199" s="3063">
        <v>45728</v>
      </c>
      <c r="B199" s="3064" t="s">
        <v>77</v>
      </c>
      <c r="C199" s="3065" t="s">
        <v>78</v>
      </c>
      <c r="D199" s="3066">
        <v>4500159868</v>
      </c>
      <c r="E199" s="3091">
        <v>4401015364</v>
      </c>
      <c r="F199" s="3066" t="s">
        <v>9706</v>
      </c>
      <c r="G199" s="3098" t="s">
        <v>9519</v>
      </c>
      <c r="H199" s="3069" t="s">
        <v>9520</v>
      </c>
      <c r="I199" s="2969">
        <v>6984</v>
      </c>
      <c r="J199" s="2969">
        <v>0</v>
      </c>
      <c r="K199" s="2969">
        <v>4</v>
      </c>
      <c r="L199" s="2969">
        <f t="shared" si="378"/>
        <v>1746</v>
      </c>
      <c r="M199" s="3070">
        <v>45859</v>
      </c>
      <c r="N199" s="3070">
        <v>45855</v>
      </c>
      <c r="O199" s="2996"/>
      <c r="P199" s="2996" t="s">
        <v>82</v>
      </c>
      <c r="Q199" s="3071"/>
      <c r="R199" s="3071"/>
      <c r="S199" s="3071"/>
      <c r="T199" s="3071"/>
      <c r="U199" s="3072" t="s">
        <v>213</v>
      </c>
      <c r="V199" s="2996"/>
      <c r="W199" s="3073" t="s">
        <v>5716</v>
      </c>
      <c r="X199" s="3073"/>
      <c r="Y199" s="3073" t="s">
        <v>9521</v>
      </c>
      <c r="Z199" s="3073"/>
      <c r="AA199" s="3073"/>
      <c r="AB199" s="3091" t="s">
        <v>9522</v>
      </c>
      <c r="AC199" s="2969" t="s">
        <v>338</v>
      </c>
      <c r="AD199" s="3075">
        <v>16.8851</v>
      </c>
      <c r="AE199" s="3076">
        <f t="shared" ref="AE199:AE202" si="387">AD199*L199</f>
        <v>29481.3846</v>
      </c>
      <c r="AF199" s="2969"/>
      <c r="AG199" s="3098" t="s">
        <v>9519</v>
      </c>
      <c r="AH199" s="2969" t="s">
        <v>416</v>
      </c>
      <c r="AI199" s="3126"/>
      <c r="AJ199" s="3078"/>
      <c r="AK199" s="3126"/>
      <c r="AL199" s="3078"/>
      <c r="AM199" s="3131"/>
      <c r="AN199" s="3078">
        <f t="shared" ref="AN199:AN202" si="388">I199</f>
        <v>6984</v>
      </c>
      <c r="AO199" s="3083"/>
      <c r="AP199" s="3080"/>
      <c r="AQ199" s="3080"/>
      <c r="AR199" s="3080"/>
      <c r="AS199" s="3081">
        <f t="shared" ref="AS199:AS202" si="389">I199</f>
        <v>6984</v>
      </c>
      <c r="AT199" s="3082"/>
      <c r="AU199" s="3083"/>
      <c r="AV199" s="3083"/>
      <c r="AW199" s="3084"/>
      <c r="AX199" s="3085">
        <f t="shared" si="379"/>
        <v>1746</v>
      </c>
      <c r="AY199" s="3080">
        <f t="shared" si="371"/>
        <v>1746</v>
      </c>
      <c r="AZ199" s="3080">
        <f t="shared" si="372"/>
        <v>1746</v>
      </c>
      <c r="BA199" s="3086">
        <f t="shared" si="373"/>
        <v>1746</v>
      </c>
      <c r="BB199" s="3087"/>
      <c r="BC199" s="3080"/>
      <c r="BD199" s="3081"/>
      <c r="BE199" s="3080"/>
      <c r="BF199" s="3080"/>
      <c r="BG199" s="3080"/>
      <c r="BH199" s="3080"/>
      <c r="BI199" s="3080"/>
      <c r="BJ199" s="3080">
        <f t="shared" si="380"/>
        <v>6984</v>
      </c>
      <c r="BK199" s="3080"/>
      <c r="BL199" s="3080" t="s">
        <v>9164</v>
      </c>
      <c r="BM199" s="3132"/>
      <c r="BN199" s="3080">
        <f t="shared" si="381"/>
        <v>1746</v>
      </c>
      <c r="BO199" s="3080">
        <f t="shared" si="382"/>
        <v>1746</v>
      </c>
      <c r="BP199" s="3080">
        <f t="shared" si="383"/>
        <v>1746</v>
      </c>
      <c r="BQ199" s="3080">
        <f t="shared" si="384"/>
        <v>1746</v>
      </c>
      <c r="BR199" s="3080">
        <f t="shared" si="310"/>
        <v>0</v>
      </c>
      <c r="BS199" s="3088">
        <f t="shared" si="385"/>
        <v>519464</v>
      </c>
      <c r="BT199" s="3088">
        <f t="shared" ref="BT199:BW199" si="390">BT202-BN199</f>
        <v>-25993</v>
      </c>
      <c r="BU199" s="3088">
        <f t="shared" si="390"/>
        <v>-25993</v>
      </c>
      <c r="BV199" s="3088">
        <f t="shared" si="390"/>
        <v>-25993</v>
      </c>
      <c r="BW199" s="3088">
        <f t="shared" si="390"/>
        <v>-25993</v>
      </c>
      <c r="BX199" s="3088"/>
    </row>
    <row r="200" s="3031" customFormat="1" ht="32" customHeight="1" spans="1:76">
      <c r="A200" s="3063">
        <v>45728</v>
      </c>
      <c r="B200" s="3064" t="s">
        <v>77</v>
      </c>
      <c r="C200" s="3065" t="s">
        <v>78</v>
      </c>
      <c r="D200" s="3066">
        <v>4500159868</v>
      </c>
      <c r="E200" s="3091">
        <v>4401015369</v>
      </c>
      <c r="F200" s="3066" t="s">
        <v>9707</v>
      </c>
      <c r="G200" s="3098" t="s">
        <v>9519</v>
      </c>
      <c r="H200" s="3069" t="s">
        <v>9520</v>
      </c>
      <c r="I200" s="2969">
        <v>6984</v>
      </c>
      <c r="J200" s="2969">
        <v>0</v>
      </c>
      <c r="K200" s="2969">
        <v>4</v>
      </c>
      <c r="L200" s="2969">
        <f t="shared" si="378"/>
        <v>1746</v>
      </c>
      <c r="M200" s="3070">
        <v>45860</v>
      </c>
      <c r="N200" s="3070">
        <v>45856</v>
      </c>
      <c r="O200" s="2996"/>
      <c r="P200" s="2996" t="s">
        <v>82</v>
      </c>
      <c r="Q200" s="3071"/>
      <c r="R200" s="3071"/>
      <c r="S200" s="3071"/>
      <c r="T200" s="3071"/>
      <c r="U200" s="3072" t="s">
        <v>208</v>
      </c>
      <c r="V200" s="2996"/>
      <c r="W200" s="3073" t="s">
        <v>5716</v>
      </c>
      <c r="X200" s="3073"/>
      <c r="Y200" s="3073" t="s">
        <v>9521</v>
      </c>
      <c r="Z200" s="3073"/>
      <c r="AA200" s="3073"/>
      <c r="AB200" s="3091" t="s">
        <v>9522</v>
      </c>
      <c r="AC200" s="2969" t="s">
        <v>338</v>
      </c>
      <c r="AD200" s="3075">
        <v>16.8851</v>
      </c>
      <c r="AE200" s="3076">
        <f t="shared" si="387"/>
        <v>29481.3846</v>
      </c>
      <c r="AF200" s="2969"/>
      <c r="AG200" s="3098" t="s">
        <v>9519</v>
      </c>
      <c r="AH200" s="2969" t="s">
        <v>416</v>
      </c>
      <c r="AI200" s="3077"/>
      <c r="AJ200" s="3078"/>
      <c r="AK200" s="3077"/>
      <c r="AL200" s="3078"/>
      <c r="AM200" s="3092"/>
      <c r="AN200" s="3078">
        <f t="shared" si="388"/>
        <v>6984</v>
      </c>
      <c r="AO200" s="3079"/>
      <c r="AP200" s="3080"/>
      <c r="AQ200" s="3080"/>
      <c r="AR200" s="3080"/>
      <c r="AS200" s="3081">
        <f t="shared" si="389"/>
        <v>6984</v>
      </c>
      <c r="AT200" s="3109"/>
      <c r="AU200" s="3079"/>
      <c r="AV200" s="3079"/>
      <c r="AW200" s="3110"/>
      <c r="AX200" s="3085">
        <f t="shared" si="379"/>
        <v>1746</v>
      </c>
      <c r="AY200" s="3080">
        <f t="shared" si="371"/>
        <v>1746</v>
      </c>
      <c r="AZ200" s="3080">
        <f t="shared" si="372"/>
        <v>1746</v>
      </c>
      <c r="BA200" s="3086">
        <f t="shared" si="373"/>
        <v>1746</v>
      </c>
      <c r="BB200" s="3087"/>
      <c r="BC200" s="3080"/>
      <c r="BD200" s="3081"/>
      <c r="BE200" s="3080"/>
      <c r="BF200" s="3080"/>
      <c r="BG200" s="3080"/>
      <c r="BH200" s="3080"/>
      <c r="BI200" s="3080"/>
      <c r="BJ200" s="3080">
        <f t="shared" si="380"/>
        <v>6984</v>
      </c>
      <c r="BK200" s="3080"/>
      <c r="BL200" s="3080" t="s">
        <v>9164</v>
      </c>
      <c r="BM200" s="3097"/>
      <c r="BN200" s="3080">
        <f t="shared" si="381"/>
        <v>1746</v>
      </c>
      <c r="BO200" s="3080">
        <f t="shared" si="382"/>
        <v>1746</v>
      </c>
      <c r="BP200" s="3080">
        <f t="shared" si="383"/>
        <v>1746</v>
      </c>
      <c r="BQ200" s="3080">
        <f t="shared" si="384"/>
        <v>1746</v>
      </c>
      <c r="BR200" s="3080">
        <f t="shared" si="310"/>
        <v>0</v>
      </c>
      <c r="BS200" s="3088">
        <f t="shared" si="385"/>
        <v>519464</v>
      </c>
      <c r="BT200" s="3088">
        <f t="shared" ref="BT200:BW200" si="391">BT206-BN200</f>
        <v>-31231</v>
      </c>
      <c r="BU200" s="3088">
        <f t="shared" si="391"/>
        <v>-31231</v>
      </c>
      <c r="BV200" s="3088">
        <f t="shared" si="391"/>
        <v>-31231</v>
      </c>
      <c r="BW200" s="3088">
        <f t="shared" si="391"/>
        <v>-31231</v>
      </c>
      <c r="BX200" s="3088"/>
    </row>
    <row r="201" s="3031" customFormat="1" ht="32" customHeight="1" spans="1:76">
      <c r="A201" s="3063">
        <v>45841</v>
      </c>
      <c r="B201" s="3064" t="s">
        <v>1641</v>
      </c>
      <c r="C201" s="3065" t="s">
        <v>396</v>
      </c>
      <c r="D201" s="3066">
        <v>4500172623</v>
      </c>
      <c r="E201" s="3091" t="s">
        <v>9708</v>
      </c>
      <c r="F201" s="3066" t="s">
        <v>9709</v>
      </c>
      <c r="G201" s="3098" t="s">
        <v>9191</v>
      </c>
      <c r="H201" s="3069" t="s">
        <v>9099</v>
      </c>
      <c r="I201" s="2969">
        <v>16</v>
      </c>
      <c r="J201" s="2969">
        <v>0</v>
      </c>
      <c r="K201" s="2969">
        <v>8</v>
      </c>
      <c r="L201" s="2969">
        <f t="shared" si="378"/>
        <v>2</v>
      </c>
      <c r="M201" s="3070">
        <v>45877</v>
      </c>
      <c r="N201" s="3070">
        <v>45873</v>
      </c>
      <c r="O201" s="3073"/>
      <c r="P201" s="2996" t="s">
        <v>82</v>
      </c>
      <c r="Q201" s="3071"/>
      <c r="R201" s="3071"/>
      <c r="S201" s="3071"/>
      <c r="T201" s="3071"/>
      <c r="U201" s="3072" t="s">
        <v>1541</v>
      </c>
      <c r="V201" s="2996"/>
      <c r="W201" s="3073" t="s">
        <v>1644</v>
      </c>
      <c r="X201" s="3073"/>
      <c r="Y201" s="3073" t="s">
        <v>9710</v>
      </c>
      <c r="Z201" s="3073"/>
      <c r="AA201" s="3073"/>
      <c r="AB201" s="3091" t="s">
        <v>9711</v>
      </c>
      <c r="AC201" s="2969" t="s">
        <v>369</v>
      </c>
      <c r="AD201" s="3075">
        <v>4.5889</v>
      </c>
      <c r="AE201" s="3076">
        <f t="shared" ref="AE201:AE205" si="392">AD201*I201</f>
        <v>73.4224</v>
      </c>
      <c r="AF201" s="2969"/>
      <c r="AG201" s="3098" t="s">
        <v>9194</v>
      </c>
      <c r="AH201" s="2969" t="s">
        <v>416</v>
      </c>
      <c r="AI201" s="3108"/>
      <c r="AJ201" s="3078"/>
      <c r="AK201" s="3093"/>
      <c r="AL201" s="3078">
        <f t="shared" ref="AL201:AL204" si="393">I201</f>
        <v>16</v>
      </c>
      <c r="AM201" s="3093"/>
      <c r="AN201" s="3078"/>
      <c r="AO201" s="3094"/>
      <c r="AP201" s="3080">
        <f t="shared" ref="AP201:AP205" si="394">I201</f>
        <v>16</v>
      </c>
      <c r="AQ201" s="3080"/>
      <c r="AR201" s="3080"/>
      <c r="AS201" s="3081"/>
      <c r="AT201" s="3123"/>
      <c r="AU201" s="3094"/>
      <c r="AV201" s="3094"/>
      <c r="AW201" s="3124"/>
      <c r="AX201" s="3085"/>
      <c r="AY201" s="3080">
        <f t="shared" si="376"/>
        <v>16</v>
      </c>
      <c r="AZ201" s="3080"/>
      <c r="BA201" s="3086"/>
      <c r="BB201" s="3087"/>
      <c r="BC201" s="3080"/>
      <c r="BD201" s="3081"/>
      <c r="BE201" s="3080"/>
      <c r="BF201" s="3034"/>
      <c r="BG201" s="3034"/>
      <c r="BH201" s="3034"/>
      <c r="BI201" s="3034"/>
      <c r="BJ201" s="3089">
        <f t="shared" si="380"/>
        <v>16</v>
      </c>
      <c r="BK201" s="3080"/>
      <c r="BL201" s="3080" t="s">
        <v>9164</v>
      </c>
      <c r="BM201" s="3094"/>
      <c r="BN201" s="3080"/>
      <c r="BO201" s="3080">
        <f t="shared" si="377"/>
        <v>16</v>
      </c>
      <c r="BP201" s="3080"/>
      <c r="BQ201" s="3080"/>
      <c r="BR201" s="3080">
        <f t="shared" si="310"/>
        <v>0</v>
      </c>
      <c r="BS201" s="3088"/>
      <c r="BT201" s="3088"/>
      <c r="BU201" s="3088"/>
      <c r="BV201" s="3088"/>
      <c r="BW201" s="3088"/>
      <c r="BX201" s="3088"/>
    </row>
    <row r="202" s="3031" customFormat="1" ht="32" customHeight="1" spans="1:76">
      <c r="A202" s="3063">
        <v>45728</v>
      </c>
      <c r="B202" s="3064" t="s">
        <v>77</v>
      </c>
      <c r="C202" s="3065" t="s">
        <v>78</v>
      </c>
      <c r="D202" s="3066">
        <v>4500159868</v>
      </c>
      <c r="E202" s="3091">
        <v>4401015347</v>
      </c>
      <c r="F202" s="3066" t="s">
        <v>9712</v>
      </c>
      <c r="G202" s="3098" t="s">
        <v>9519</v>
      </c>
      <c r="H202" s="3069" t="s">
        <v>9520</v>
      </c>
      <c r="I202" s="2969">
        <v>6984</v>
      </c>
      <c r="J202" s="2969">
        <v>0</v>
      </c>
      <c r="K202" s="2969">
        <v>4</v>
      </c>
      <c r="L202" s="2969">
        <f t="shared" ref="L202:L265" si="395">I202/K202</f>
        <v>1746</v>
      </c>
      <c r="M202" s="3070">
        <v>45862</v>
      </c>
      <c r="N202" s="3070">
        <f>M202-3</f>
        <v>45859</v>
      </c>
      <c r="O202" s="2996"/>
      <c r="P202" s="2996" t="s">
        <v>82</v>
      </c>
      <c r="Q202" s="3071"/>
      <c r="R202" s="3071"/>
      <c r="S202" s="3071"/>
      <c r="T202" s="3071"/>
      <c r="U202" s="3072" t="s">
        <v>213</v>
      </c>
      <c r="V202" s="2996"/>
      <c r="W202" s="3073" t="s">
        <v>5716</v>
      </c>
      <c r="X202" s="3073"/>
      <c r="Y202" s="3073" t="s">
        <v>9521</v>
      </c>
      <c r="Z202" s="3073"/>
      <c r="AA202" s="3073"/>
      <c r="AB202" s="3091" t="s">
        <v>9522</v>
      </c>
      <c r="AC202" s="2969" t="s">
        <v>338</v>
      </c>
      <c r="AD202" s="3075">
        <v>16.8851</v>
      </c>
      <c r="AE202" s="3076">
        <f t="shared" si="387"/>
        <v>29481.3846</v>
      </c>
      <c r="AF202" s="2969"/>
      <c r="AG202" s="3098" t="s">
        <v>9519</v>
      </c>
      <c r="AH202" s="2969" t="s">
        <v>416</v>
      </c>
      <c r="AI202" s="3078"/>
      <c r="AJ202" s="3078"/>
      <c r="AK202" s="3078"/>
      <c r="AL202" s="3078"/>
      <c r="AM202" s="3138"/>
      <c r="AN202" s="3078">
        <f t="shared" si="388"/>
        <v>6984</v>
      </c>
      <c r="AO202" s="3080"/>
      <c r="AP202" s="3080"/>
      <c r="AQ202" s="3080"/>
      <c r="AR202" s="3080"/>
      <c r="AS202" s="3081">
        <f t="shared" si="389"/>
        <v>6984</v>
      </c>
      <c r="AT202" s="3085"/>
      <c r="AU202" s="3080"/>
      <c r="AV202" s="3080"/>
      <c r="AW202" s="3086"/>
      <c r="AX202" s="3085">
        <f t="shared" ref="AX202:AX232" si="396">I202/4</f>
        <v>1746</v>
      </c>
      <c r="AY202" s="3080">
        <f t="shared" ref="AY202:AY208" si="397">AX202</f>
        <v>1746</v>
      </c>
      <c r="AZ202" s="3080">
        <f t="shared" ref="AZ202:AZ208" si="398">AX202</f>
        <v>1746</v>
      </c>
      <c r="BA202" s="3086">
        <f t="shared" ref="BA202:BA208" si="399">AX202</f>
        <v>1746</v>
      </c>
      <c r="BB202" s="3087"/>
      <c r="BC202" s="3080"/>
      <c r="BD202" s="3081"/>
      <c r="BE202" s="3080"/>
      <c r="BF202" s="3080"/>
      <c r="BG202" s="3080"/>
      <c r="BH202" s="3080"/>
      <c r="BI202" s="3080"/>
      <c r="BJ202" s="3080">
        <f t="shared" si="380"/>
        <v>6984</v>
      </c>
      <c r="BK202" s="3080"/>
      <c r="BL202" s="3080" t="s">
        <v>9164</v>
      </c>
      <c r="BM202" s="3141"/>
      <c r="BN202" s="3080">
        <f t="shared" ref="BN202:BN232" si="400">I202/4</f>
        <v>1746</v>
      </c>
      <c r="BO202" s="3080">
        <f t="shared" ref="BO202:BO232" si="401">I202/4</f>
        <v>1746</v>
      </c>
      <c r="BP202" s="3080">
        <f t="shared" ref="BP202:BP232" si="402">I202/4</f>
        <v>1746</v>
      </c>
      <c r="BQ202" s="3080">
        <f t="shared" ref="BQ202:BQ232" si="403">I202/4</f>
        <v>1746</v>
      </c>
      <c r="BR202" s="3080">
        <f t="shared" si="310"/>
        <v>0</v>
      </c>
      <c r="BS202" s="3088">
        <f t="shared" ref="BS202:BS208" si="404">BN202+BO202+BP202+BQ202+$BS$369</f>
        <v>519464</v>
      </c>
      <c r="BT202" s="3088">
        <f t="shared" ref="BT202:BW202" si="405">BT204-BN202</f>
        <v>-24247</v>
      </c>
      <c r="BU202" s="3088">
        <f t="shared" si="405"/>
        <v>-24247</v>
      </c>
      <c r="BV202" s="3088">
        <f t="shared" si="405"/>
        <v>-24247</v>
      </c>
      <c r="BW202" s="3088">
        <f t="shared" si="405"/>
        <v>-24247</v>
      </c>
      <c r="BX202" s="3088"/>
    </row>
    <row r="203" s="3031" customFormat="1" ht="32" customHeight="1" spans="1:76">
      <c r="A203" s="3063">
        <v>45771</v>
      </c>
      <c r="B203" s="3064" t="s">
        <v>1538</v>
      </c>
      <c r="C203" s="3065" t="s">
        <v>1142</v>
      </c>
      <c r="D203" s="3066">
        <v>4500159848</v>
      </c>
      <c r="E203" s="3091" t="s">
        <v>1539</v>
      </c>
      <c r="F203" s="3066" t="s">
        <v>9713</v>
      </c>
      <c r="G203" s="3098" t="s">
        <v>9154</v>
      </c>
      <c r="H203" s="3069" t="s">
        <v>9155</v>
      </c>
      <c r="I203" s="2969">
        <v>72</v>
      </c>
      <c r="J203" s="2969">
        <v>0</v>
      </c>
      <c r="K203" s="2969">
        <v>8</v>
      </c>
      <c r="L203" s="2969">
        <f t="shared" si="395"/>
        <v>9</v>
      </c>
      <c r="M203" s="3070">
        <v>45859</v>
      </c>
      <c r="N203" s="3070">
        <v>45862</v>
      </c>
      <c r="O203" s="2996"/>
      <c r="P203" s="2996" t="s">
        <v>82</v>
      </c>
      <c r="Q203" s="3071"/>
      <c r="R203" s="3071"/>
      <c r="S203" s="3071"/>
      <c r="T203" s="3071"/>
      <c r="U203" s="3072" t="s">
        <v>1541</v>
      </c>
      <c r="V203" s="2996"/>
      <c r="W203" s="3073" t="s">
        <v>1479</v>
      </c>
      <c r="X203" s="3073"/>
      <c r="Y203" s="3073" t="s">
        <v>4346</v>
      </c>
      <c r="Z203" s="3073"/>
      <c r="AA203" s="3073" t="s">
        <v>1543</v>
      </c>
      <c r="AB203" s="3091" t="s">
        <v>9714</v>
      </c>
      <c r="AC203" s="2969" t="s">
        <v>459</v>
      </c>
      <c r="AD203" s="3075">
        <v>4.1708</v>
      </c>
      <c r="AE203" s="3076">
        <f t="shared" si="392"/>
        <v>300.2976</v>
      </c>
      <c r="AF203" s="3160" t="s">
        <v>9715</v>
      </c>
      <c r="AG203" s="3098" t="s">
        <v>9239</v>
      </c>
      <c r="AH203" s="2969" t="s">
        <v>416</v>
      </c>
      <c r="AI203" s="3126"/>
      <c r="AJ203" s="3078"/>
      <c r="AK203" s="3131"/>
      <c r="AL203" s="3078">
        <f t="shared" si="393"/>
        <v>72</v>
      </c>
      <c r="AM203" s="3131"/>
      <c r="AN203" s="3078"/>
      <c r="AO203" s="3132"/>
      <c r="AP203" s="3080">
        <f t="shared" si="394"/>
        <v>72</v>
      </c>
      <c r="AQ203" s="3080"/>
      <c r="AR203" s="3080"/>
      <c r="AS203" s="3081"/>
      <c r="AT203" s="3147"/>
      <c r="AU203" s="3132"/>
      <c r="AV203" s="3132"/>
      <c r="AW203" s="3148"/>
      <c r="AX203" s="3085">
        <f t="shared" si="396"/>
        <v>18</v>
      </c>
      <c r="AY203" s="3080">
        <f t="shared" si="397"/>
        <v>18</v>
      </c>
      <c r="AZ203" s="3080">
        <f t="shared" si="398"/>
        <v>18</v>
      </c>
      <c r="BA203" s="3086">
        <f t="shared" si="399"/>
        <v>18</v>
      </c>
      <c r="BB203" s="3087"/>
      <c r="BC203" s="3080"/>
      <c r="BD203" s="3081"/>
      <c r="BE203" s="3080"/>
      <c r="BF203" s="3080"/>
      <c r="BG203" s="3080"/>
      <c r="BH203" s="3080"/>
      <c r="BI203" s="3080"/>
      <c r="BJ203" s="3080">
        <f t="shared" si="380"/>
        <v>72</v>
      </c>
      <c r="BK203" s="3080"/>
      <c r="BL203" s="3080" t="s">
        <v>9164</v>
      </c>
      <c r="BM203" s="3132"/>
      <c r="BN203" s="3080">
        <f t="shared" si="400"/>
        <v>18</v>
      </c>
      <c r="BO203" s="3080">
        <f t="shared" si="401"/>
        <v>18</v>
      </c>
      <c r="BP203" s="3080">
        <f t="shared" si="402"/>
        <v>18</v>
      </c>
      <c r="BQ203" s="3088">
        <f t="shared" si="403"/>
        <v>18</v>
      </c>
      <c r="BR203" s="3080">
        <f t="shared" si="310"/>
        <v>0</v>
      </c>
      <c r="BS203" s="3088">
        <f t="shared" si="404"/>
        <v>512552</v>
      </c>
      <c r="BT203" s="3088">
        <f t="shared" ref="BT203:BW203" si="406">BT194-BN203</f>
        <v>-22441</v>
      </c>
      <c r="BU203" s="3088">
        <f t="shared" si="406"/>
        <v>-22441</v>
      </c>
      <c r="BV203" s="3088">
        <f t="shared" si="406"/>
        <v>-22441</v>
      </c>
      <c r="BW203" s="3088">
        <f t="shared" si="406"/>
        <v>-22441</v>
      </c>
      <c r="BX203" s="3088"/>
    </row>
    <row r="204" s="3031" customFormat="1" ht="32" customHeight="1" spans="1:76">
      <c r="A204" s="3063">
        <v>45771</v>
      </c>
      <c r="B204" s="3064" t="s">
        <v>1545</v>
      </c>
      <c r="C204" s="3065" t="s">
        <v>1546</v>
      </c>
      <c r="D204" s="3066">
        <v>4500164774</v>
      </c>
      <c r="E204" s="3091" t="s">
        <v>1547</v>
      </c>
      <c r="F204" s="3066" t="s">
        <v>9716</v>
      </c>
      <c r="G204" s="3098" t="s">
        <v>9154</v>
      </c>
      <c r="H204" s="3069" t="s">
        <v>9155</v>
      </c>
      <c r="I204" s="2969">
        <v>240</v>
      </c>
      <c r="J204" s="2969">
        <v>0</v>
      </c>
      <c r="K204" s="2969">
        <v>8</v>
      </c>
      <c r="L204" s="2969">
        <f t="shared" si="395"/>
        <v>30</v>
      </c>
      <c r="M204" s="3070">
        <v>45859</v>
      </c>
      <c r="N204" s="3070">
        <v>45862</v>
      </c>
      <c r="O204" s="2996"/>
      <c r="P204" s="2996" t="s">
        <v>82</v>
      </c>
      <c r="Q204" s="3071"/>
      <c r="R204" s="3071"/>
      <c r="S204" s="3071"/>
      <c r="T204" s="3071"/>
      <c r="U204" s="3072" t="s">
        <v>211</v>
      </c>
      <c r="V204" s="2996"/>
      <c r="W204" s="3073" t="s">
        <v>1479</v>
      </c>
      <c r="X204" s="3073"/>
      <c r="Y204" s="3073" t="s">
        <v>4346</v>
      </c>
      <c r="Z204" s="3073"/>
      <c r="AA204" s="3073" t="s">
        <v>1543</v>
      </c>
      <c r="AB204" s="3091" t="s">
        <v>9717</v>
      </c>
      <c r="AC204" s="2969" t="s">
        <v>459</v>
      </c>
      <c r="AD204" s="3075">
        <v>4.1708</v>
      </c>
      <c r="AE204" s="3076">
        <f t="shared" si="392"/>
        <v>1000.992</v>
      </c>
      <c r="AF204" s="2969" t="s">
        <v>9718</v>
      </c>
      <c r="AG204" s="3098" t="s">
        <v>9239</v>
      </c>
      <c r="AH204" s="2969" t="s">
        <v>416</v>
      </c>
      <c r="AI204" s="3126"/>
      <c r="AJ204" s="3078"/>
      <c r="AK204" s="3131"/>
      <c r="AL204" s="3078">
        <f t="shared" si="393"/>
        <v>240</v>
      </c>
      <c r="AM204" s="3131"/>
      <c r="AN204" s="3078"/>
      <c r="AO204" s="3132"/>
      <c r="AP204" s="3080">
        <f t="shared" si="394"/>
        <v>240</v>
      </c>
      <c r="AQ204" s="3080"/>
      <c r="AR204" s="3080"/>
      <c r="AS204" s="3081"/>
      <c r="AT204" s="3147"/>
      <c r="AU204" s="3132"/>
      <c r="AV204" s="3132"/>
      <c r="AW204" s="3148"/>
      <c r="AX204" s="3085">
        <f t="shared" si="396"/>
        <v>60</v>
      </c>
      <c r="AY204" s="3080">
        <f t="shared" si="397"/>
        <v>60</v>
      </c>
      <c r="AZ204" s="3080">
        <f t="shared" si="398"/>
        <v>60</v>
      </c>
      <c r="BA204" s="3086">
        <f t="shared" si="399"/>
        <v>60</v>
      </c>
      <c r="BB204" s="3087"/>
      <c r="BC204" s="3080"/>
      <c r="BD204" s="3081"/>
      <c r="BE204" s="3080"/>
      <c r="BF204" s="3080"/>
      <c r="BG204" s="3080"/>
      <c r="BH204" s="3080"/>
      <c r="BI204" s="3080"/>
      <c r="BJ204" s="3080">
        <f t="shared" si="380"/>
        <v>240</v>
      </c>
      <c r="BK204" s="3080"/>
      <c r="BL204" s="3080" t="s">
        <v>9164</v>
      </c>
      <c r="BM204" s="3132"/>
      <c r="BN204" s="3080">
        <f t="shared" si="400"/>
        <v>60</v>
      </c>
      <c r="BO204" s="3080">
        <f t="shared" si="401"/>
        <v>60</v>
      </c>
      <c r="BP204" s="3080">
        <f t="shared" si="402"/>
        <v>60</v>
      </c>
      <c r="BQ204" s="3088">
        <f t="shared" si="403"/>
        <v>60</v>
      </c>
      <c r="BR204" s="3080">
        <f t="shared" si="310"/>
        <v>0</v>
      </c>
      <c r="BS204" s="3088">
        <f t="shared" si="404"/>
        <v>512720</v>
      </c>
      <c r="BT204" s="3088">
        <f t="shared" ref="BT204:BW204" si="407">BT203-BN204</f>
        <v>-22501</v>
      </c>
      <c r="BU204" s="3088">
        <f t="shared" si="407"/>
        <v>-22501</v>
      </c>
      <c r="BV204" s="3088">
        <f t="shared" si="407"/>
        <v>-22501</v>
      </c>
      <c r="BW204" s="3088">
        <f t="shared" si="407"/>
        <v>-22501</v>
      </c>
      <c r="BX204" s="3088"/>
    </row>
    <row r="205" s="3031" customFormat="1" ht="32" customHeight="1" spans="1:76">
      <c r="A205" s="3063">
        <v>45798</v>
      </c>
      <c r="B205" s="3064" t="s">
        <v>6682</v>
      </c>
      <c r="C205" s="3065" t="s">
        <v>396</v>
      </c>
      <c r="D205" s="3066">
        <v>4500167322</v>
      </c>
      <c r="E205" s="3091">
        <v>9900925827</v>
      </c>
      <c r="F205" s="3066" t="s">
        <v>9719</v>
      </c>
      <c r="G205" s="3098" t="s">
        <v>9158</v>
      </c>
      <c r="H205" s="3069" t="s">
        <v>9155</v>
      </c>
      <c r="I205" s="2969">
        <v>4375</v>
      </c>
      <c r="J205" s="2969">
        <v>0</v>
      </c>
      <c r="K205" s="2969">
        <v>1</v>
      </c>
      <c r="L205" s="2969">
        <f t="shared" si="395"/>
        <v>4375</v>
      </c>
      <c r="M205" s="3070">
        <v>45868</v>
      </c>
      <c r="N205" s="3070">
        <v>45864</v>
      </c>
      <c r="O205" s="3073" t="s">
        <v>9720</v>
      </c>
      <c r="P205" s="2996" t="s">
        <v>82</v>
      </c>
      <c r="Q205" s="3071"/>
      <c r="R205" s="3071"/>
      <c r="S205" s="3071"/>
      <c r="T205" s="3071"/>
      <c r="U205" s="3072" t="s">
        <v>220</v>
      </c>
      <c r="V205" s="2996"/>
      <c r="W205" s="3073" t="s">
        <v>2441</v>
      </c>
      <c r="X205" s="3073"/>
      <c r="Y205" s="3073" t="s">
        <v>9721</v>
      </c>
      <c r="Z205" s="3073"/>
      <c r="AA205" s="3073" t="s">
        <v>9722</v>
      </c>
      <c r="AB205" s="3091" t="s">
        <v>9723</v>
      </c>
      <c r="AC205" s="2969" t="s">
        <v>6688</v>
      </c>
      <c r="AD205" s="3075">
        <v>4.2972</v>
      </c>
      <c r="AE205" s="3076">
        <f t="shared" si="392"/>
        <v>18800.25</v>
      </c>
      <c r="AF205" s="2969"/>
      <c r="AG205" s="3069" t="s">
        <v>9163</v>
      </c>
      <c r="AH205" s="2969" t="s">
        <v>416</v>
      </c>
      <c r="AI205" s="3126"/>
      <c r="AJ205" s="3078"/>
      <c r="AK205" s="3131"/>
      <c r="AL205" s="3078"/>
      <c r="AM205" s="3131"/>
      <c r="AN205" s="3078">
        <f t="shared" ref="AN205:AN208" si="408">I205</f>
        <v>4375</v>
      </c>
      <c r="AO205" s="3132"/>
      <c r="AP205" s="3080">
        <f t="shared" si="394"/>
        <v>4375</v>
      </c>
      <c r="AQ205" s="3080"/>
      <c r="AR205" s="3080"/>
      <c r="AS205" s="3081"/>
      <c r="AT205" s="3147"/>
      <c r="AU205" s="3132"/>
      <c r="AV205" s="3132"/>
      <c r="AW205" s="3148"/>
      <c r="AX205" s="3085">
        <f t="shared" si="396"/>
        <v>1093.75</v>
      </c>
      <c r="AY205" s="3080">
        <f t="shared" si="397"/>
        <v>1093.75</v>
      </c>
      <c r="AZ205" s="3080">
        <f t="shared" si="398"/>
        <v>1093.75</v>
      </c>
      <c r="BA205" s="3086">
        <f t="shared" si="399"/>
        <v>1093.75</v>
      </c>
      <c r="BB205" s="3087"/>
      <c r="BC205" s="3080"/>
      <c r="BD205" s="3081"/>
      <c r="BE205" s="3080"/>
      <c r="BF205" s="3080"/>
      <c r="BG205" s="3080"/>
      <c r="BH205" s="3080"/>
      <c r="BI205" s="3080"/>
      <c r="BJ205" s="3080"/>
      <c r="BK205" s="3080">
        <f>I205</f>
        <v>4375</v>
      </c>
      <c r="BL205" s="3080" t="s">
        <v>9164</v>
      </c>
      <c r="BM205" s="3132"/>
      <c r="BN205" s="3080">
        <f t="shared" si="400"/>
        <v>1093.75</v>
      </c>
      <c r="BO205" s="3080">
        <f t="shared" si="401"/>
        <v>1093.75</v>
      </c>
      <c r="BP205" s="3080">
        <f t="shared" si="402"/>
        <v>1093.75</v>
      </c>
      <c r="BQ205" s="3080">
        <f t="shared" si="403"/>
        <v>1093.75</v>
      </c>
      <c r="BR205" s="3080">
        <f t="shared" si="310"/>
        <v>0</v>
      </c>
      <c r="BS205" s="3088">
        <f t="shared" si="404"/>
        <v>516855</v>
      </c>
      <c r="BT205" s="3088"/>
      <c r="BU205" s="3088"/>
      <c r="BV205" s="3088"/>
      <c r="BW205" s="3088"/>
      <c r="BX205" s="3088"/>
    </row>
    <row r="206" s="3031" customFormat="1" ht="32" customHeight="1" spans="1:76">
      <c r="A206" s="3063">
        <v>45728</v>
      </c>
      <c r="B206" s="3064" t="s">
        <v>77</v>
      </c>
      <c r="C206" s="3065" t="s">
        <v>78</v>
      </c>
      <c r="D206" s="3066">
        <v>4500159868</v>
      </c>
      <c r="E206" s="3091">
        <v>4401015341</v>
      </c>
      <c r="F206" s="3066" t="s">
        <v>9724</v>
      </c>
      <c r="G206" s="3098" t="s">
        <v>9519</v>
      </c>
      <c r="H206" s="3069" t="s">
        <v>9520</v>
      </c>
      <c r="I206" s="2969">
        <v>6984</v>
      </c>
      <c r="J206" s="2969">
        <v>0</v>
      </c>
      <c r="K206" s="2969">
        <v>4</v>
      </c>
      <c r="L206" s="2969">
        <f t="shared" si="395"/>
        <v>1746</v>
      </c>
      <c r="M206" s="3070">
        <v>45863</v>
      </c>
      <c r="N206" s="3070">
        <v>45859</v>
      </c>
      <c r="O206" s="2996"/>
      <c r="P206" s="2996" t="s">
        <v>82</v>
      </c>
      <c r="Q206" s="3071"/>
      <c r="R206" s="3071"/>
      <c r="S206" s="3071"/>
      <c r="T206" s="3071"/>
      <c r="U206" s="3072" t="s">
        <v>211</v>
      </c>
      <c r="V206" s="2996"/>
      <c r="W206" s="3073" t="s">
        <v>5716</v>
      </c>
      <c r="X206" s="3073"/>
      <c r="Y206" s="3073" t="s">
        <v>9521</v>
      </c>
      <c r="Z206" s="3073"/>
      <c r="AA206" s="3073"/>
      <c r="AB206" s="3091" t="s">
        <v>9522</v>
      </c>
      <c r="AC206" s="2969" t="s">
        <v>338</v>
      </c>
      <c r="AD206" s="3075">
        <v>16.8851</v>
      </c>
      <c r="AE206" s="3076">
        <f t="shared" ref="AE206:AE208" si="409">AD206*L206</f>
        <v>29481.3846</v>
      </c>
      <c r="AF206" s="2969"/>
      <c r="AG206" s="3098" t="s">
        <v>9519</v>
      </c>
      <c r="AH206" s="2969" t="s">
        <v>416</v>
      </c>
      <c r="AI206" s="3078"/>
      <c r="AJ206" s="3078"/>
      <c r="AK206" s="3078"/>
      <c r="AL206" s="3078"/>
      <c r="AM206" s="3138"/>
      <c r="AN206" s="3078">
        <f t="shared" si="408"/>
        <v>6984</v>
      </c>
      <c r="AO206" s="3080"/>
      <c r="AP206" s="3080"/>
      <c r="AQ206" s="3080"/>
      <c r="AR206" s="3080"/>
      <c r="AS206" s="3081">
        <f t="shared" ref="AS206:AS208" si="410">I206</f>
        <v>6984</v>
      </c>
      <c r="AT206" s="3085"/>
      <c r="AU206" s="3080"/>
      <c r="AV206" s="3080"/>
      <c r="AW206" s="3086"/>
      <c r="AX206" s="3085">
        <f t="shared" si="396"/>
        <v>1746</v>
      </c>
      <c r="AY206" s="3080">
        <f t="shared" si="397"/>
        <v>1746</v>
      </c>
      <c r="AZ206" s="3080">
        <f t="shared" si="398"/>
        <v>1746</v>
      </c>
      <c r="BA206" s="3086">
        <f t="shared" si="399"/>
        <v>1746</v>
      </c>
      <c r="BB206" s="3087"/>
      <c r="BC206" s="3080"/>
      <c r="BD206" s="3081"/>
      <c r="BE206" s="3080"/>
      <c r="BF206" s="3080"/>
      <c r="BG206" s="3080"/>
      <c r="BH206" s="3080"/>
      <c r="BI206" s="3080"/>
      <c r="BJ206" s="3080">
        <f t="shared" ref="BJ206:BJ211" si="411">I206</f>
        <v>6984</v>
      </c>
      <c r="BK206" s="3080"/>
      <c r="BL206" s="3080" t="s">
        <v>9164</v>
      </c>
      <c r="BM206" s="3141"/>
      <c r="BN206" s="3080">
        <f t="shared" si="400"/>
        <v>1746</v>
      </c>
      <c r="BO206" s="3080">
        <f t="shared" si="401"/>
        <v>1746</v>
      </c>
      <c r="BP206" s="3080">
        <f t="shared" si="402"/>
        <v>1746</v>
      </c>
      <c r="BQ206" s="3080">
        <f t="shared" si="403"/>
        <v>1746</v>
      </c>
      <c r="BR206" s="3080">
        <f t="shared" si="310"/>
        <v>0</v>
      </c>
      <c r="BS206" s="3088">
        <f t="shared" si="404"/>
        <v>519464</v>
      </c>
      <c r="BT206" s="3088">
        <f t="shared" ref="BT206:BW206" si="412">BT195-BN206</f>
        <v>-29485</v>
      </c>
      <c r="BU206" s="3088">
        <f t="shared" si="412"/>
        <v>-29485</v>
      </c>
      <c r="BV206" s="3088">
        <f t="shared" si="412"/>
        <v>-29485</v>
      </c>
      <c r="BW206" s="3088">
        <f t="shared" si="412"/>
        <v>-29485</v>
      </c>
      <c r="BX206" s="3088"/>
    </row>
    <row r="207" s="3031" customFormat="1" ht="32" customHeight="1" spans="1:76">
      <c r="A207" s="3063">
        <v>45728</v>
      </c>
      <c r="B207" s="3064" t="s">
        <v>77</v>
      </c>
      <c r="C207" s="3065" t="s">
        <v>78</v>
      </c>
      <c r="D207" s="3066">
        <v>4500159868</v>
      </c>
      <c r="E207" s="3091">
        <v>4401015349</v>
      </c>
      <c r="F207" s="3066" t="s">
        <v>9725</v>
      </c>
      <c r="G207" s="3098" t="s">
        <v>9519</v>
      </c>
      <c r="H207" s="3069" t="s">
        <v>9520</v>
      </c>
      <c r="I207" s="2969">
        <v>2980</v>
      </c>
      <c r="J207" s="2969">
        <v>0</v>
      </c>
      <c r="K207" s="2969">
        <v>4</v>
      </c>
      <c r="L207" s="2969">
        <f t="shared" si="395"/>
        <v>745</v>
      </c>
      <c r="M207" s="3070">
        <v>45870</v>
      </c>
      <c r="N207" s="3070">
        <f t="shared" ref="N207:N209" si="413">M207-4</f>
        <v>45866</v>
      </c>
      <c r="O207" s="2996"/>
      <c r="P207" s="2996" t="s">
        <v>82</v>
      </c>
      <c r="Q207" s="3071"/>
      <c r="R207" s="3071"/>
      <c r="S207" s="3071"/>
      <c r="T207" s="3071"/>
      <c r="U207" s="3072" t="s">
        <v>211</v>
      </c>
      <c r="V207" s="2996"/>
      <c r="W207" s="3073" t="s">
        <v>5716</v>
      </c>
      <c r="X207" s="3073"/>
      <c r="Y207" s="3073" t="s">
        <v>9521</v>
      </c>
      <c r="Z207" s="3073"/>
      <c r="AA207" s="3073"/>
      <c r="AB207" s="3091" t="s">
        <v>9522</v>
      </c>
      <c r="AC207" s="2969" t="s">
        <v>338</v>
      </c>
      <c r="AD207" s="3075">
        <v>17.1587</v>
      </c>
      <c r="AE207" s="3076">
        <f t="shared" si="409"/>
        <v>12783.2315</v>
      </c>
      <c r="AF207" s="2969"/>
      <c r="AG207" s="3098" t="s">
        <v>9519</v>
      </c>
      <c r="AH207" s="2969" t="s">
        <v>416</v>
      </c>
      <c r="AI207" s="3078"/>
      <c r="AJ207" s="3078"/>
      <c r="AK207" s="3078"/>
      <c r="AL207" s="3078"/>
      <c r="AM207" s="3138"/>
      <c r="AN207" s="3078">
        <f t="shared" si="408"/>
        <v>2980</v>
      </c>
      <c r="AO207" s="3080"/>
      <c r="AP207" s="3080"/>
      <c r="AQ207" s="3080"/>
      <c r="AR207" s="3080"/>
      <c r="AS207" s="3081">
        <f t="shared" si="410"/>
        <v>2980</v>
      </c>
      <c r="AT207" s="3085"/>
      <c r="AU207" s="3080"/>
      <c r="AV207" s="3080"/>
      <c r="AW207" s="3086"/>
      <c r="AX207" s="3085">
        <f t="shared" si="396"/>
        <v>745</v>
      </c>
      <c r="AY207" s="3080">
        <f t="shared" si="397"/>
        <v>745</v>
      </c>
      <c r="AZ207" s="3080">
        <f t="shared" si="398"/>
        <v>745</v>
      </c>
      <c r="BA207" s="3086">
        <f t="shared" si="399"/>
        <v>745</v>
      </c>
      <c r="BB207" s="3087"/>
      <c r="BC207" s="3080"/>
      <c r="BD207" s="3081"/>
      <c r="BE207" s="3080"/>
      <c r="BF207" s="3080"/>
      <c r="BG207" s="3080"/>
      <c r="BH207" s="3080"/>
      <c r="BI207" s="3080"/>
      <c r="BJ207" s="3080">
        <f t="shared" si="411"/>
        <v>2980</v>
      </c>
      <c r="BK207" s="3080"/>
      <c r="BL207" s="3080" t="s">
        <v>9164</v>
      </c>
      <c r="BM207" s="3141"/>
      <c r="BN207" s="3080">
        <f t="shared" si="400"/>
        <v>745</v>
      </c>
      <c r="BO207" s="3080">
        <f t="shared" si="401"/>
        <v>745</v>
      </c>
      <c r="BP207" s="3080">
        <f t="shared" si="402"/>
        <v>745</v>
      </c>
      <c r="BQ207" s="3080">
        <f t="shared" si="403"/>
        <v>745</v>
      </c>
      <c r="BR207" s="3080">
        <f t="shared" si="310"/>
        <v>0</v>
      </c>
      <c r="BS207" s="3088">
        <f t="shared" si="404"/>
        <v>515460</v>
      </c>
      <c r="BT207" s="3088">
        <f>'取消单-1'!BP92-BN207</f>
        <v>-33184</v>
      </c>
      <c r="BU207" s="3088">
        <f>'取消单-1'!BQ92-BO207</f>
        <v>-33184</v>
      </c>
      <c r="BV207" s="3088">
        <f>'取消单-1'!BR92-BP207</f>
        <v>-33184</v>
      </c>
      <c r="BW207" s="3088">
        <f>'取消单-1'!BS92-BQ207</f>
        <v>-33184</v>
      </c>
      <c r="BX207" s="3088"/>
    </row>
    <row r="208" s="3031" customFormat="1" ht="32" customHeight="1" spans="1:76">
      <c r="A208" s="3063">
        <v>45728</v>
      </c>
      <c r="B208" s="3064" t="s">
        <v>77</v>
      </c>
      <c r="C208" s="3065" t="s">
        <v>78</v>
      </c>
      <c r="D208" s="3066">
        <v>4500159868</v>
      </c>
      <c r="E208" s="3091">
        <v>4401015343</v>
      </c>
      <c r="F208" s="3066" t="s">
        <v>9726</v>
      </c>
      <c r="G208" s="3098" t="s">
        <v>9519</v>
      </c>
      <c r="H208" s="3069" t="s">
        <v>9520</v>
      </c>
      <c r="I208" s="2969">
        <v>2980</v>
      </c>
      <c r="J208" s="2969">
        <v>0</v>
      </c>
      <c r="K208" s="2969">
        <v>4</v>
      </c>
      <c r="L208" s="2969">
        <f t="shared" si="395"/>
        <v>745</v>
      </c>
      <c r="M208" s="3070">
        <v>45870</v>
      </c>
      <c r="N208" s="3070">
        <f t="shared" si="413"/>
        <v>45866</v>
      </c>
      <c r="O208" s="2996"/>
      <c r="P208" s="2996" t="s">
        <v>82</v>
      </c>
      <c r="Q208" s="3071"/>
      <c r="R208" s="3071"/>
      <c r="S208" s="3071"/>
      <c r="T208" s="3071"/>
      <c r="U208" s="3072" t="s">
        <v>224</v>
      </c>
      <c r="V208" s="2996"/>
      <c r="W208" s="3073" t="s">
        <v>5716</v>
      </c>
      <c r="X208" s="3073"/>
      <c r="Y208" s="3073" t="s">
        <v>9521</v>
      </c>
      <c r="Z208" s="3073"/>
      <c r="AA208" s="3073"/>
      <c r="AB208" s="3091" t="s">
        <v>9522</v>
      </c>
      <c r="AC208" s="2969" t="s">
        <v>338</v>
      </c>
      <c r="AD208" s="3075">
        <v>16.9297</v>
      </c>
      <c r="AE208" s="3076">
        <f t="shared" si="409"/>
        <v>12612.6265</v>
      </c>
      <c r="AF208" s="2969"/>
      <c r="AG208" s="3098" t="s">
        <v>9519</v>
      </c>
      <c r="AH208" s="2969" t="s">
        <v>416</v>
      </c>
      <c r="AI208" s="3078"/>
      <c r="AJ208" s="3078"/>
      <c r="AK208" s="3078"/>
      <c r="AL208" s="3078"/>
      <c r="AM208" s="3138"/>
      <c r="AN208" s="3078">
        <f t="shared" si="408"/>
        <v>2980</v>
      </c>
      <c r="AO208" s="3080"/>
      <c r="AP208" s="3080"/>
      <c r="AQ208" s="3080"/>
      <c r="AR208" s="3080"/>
      <c r="AS208" s="3081">
        <f t="shared" si="410"/>
        <v>2980</v>
      </c>
      <c r="AT208" s="3085"/>
      <c r="AU208" s="3080"/>
      <c r="AV208" s="3080"/>
      <c r="AW208" s="3086"/>
      <c r="AX208" s="3085">
        <f t="shared" si="396"/>
        <v>745</v>
      </c>
      <c r="AY208" s="3080">
        <f t="shared" si="397"/>
        <v>745</v>
      </c>
      <c r="AZ208" s="3080">
        <f t="shared" si="398"/>
        <v>745</v>
      </c>
      <c r="BA208" s="3086">
        <f t="shared" si="399"/>
        <v>745</v>
      </c>
      <c r="BB208" s="3087"/>
      <c r="BC208" s="3080"/>
      <c r="BD208" s="3081"/>
      <c r="BE208" s="3080"/>
      <c r="BF208" s="3080"/>
      <c r="BG208" s="3080"/>
      <c r="BH208" s="3080"/>
      <c r="BI208" s="3080"/>
      <c r="BJ208" s="3080">
        <f t="shared" si="411"/>
        <v>2980</v>
      </c>
      <c r="BK208" s="3080"/>
      <c r="BL208" s="3080" t="s">
        <v>9164</v>
      </c>
      <c r="BM208" s="3141"/>
      <c r="BN208" s="3080">
        <f t="shared" si="400"/>
        <v>745</v>
      </c>
      <c r="BO208" s="3080">
        <f t="shared" si="401"/>
        <v>745</v>
      </c>
      <c r="BP208" s="3080">
        <f t="shared" si="402"/>
        <v>745</v>
      </c>
      <c r="BQ208" s="3080">
        <f t="shared" si="403"/>
        <v>745</v>
      </c>
      <c r="BR208" s="3080">
        <f t="shared" si="310"/>
        <v>0</v>
      </c>
      <c r="BS208" s="3088">
        <f t="shared" si="404"/>
        <v>515460</v>
      </c>
      <c r="BT208" s="3088">
        <f t="shared" ref="BT208:BW208" si="414">BT207-BN208</f>
        <v>-33929</v>
      </c>
      <c r="BU208" s="3088">
        <f t="shared" si="414"/>
        <v>-33929</v>
      </c>
      <c r="BV208" s="3088">
        <f t="shared" si="414"/>
        <v>-33929</v>
      </c>
      <c r="BW208" s="3088">
        <f t="shared" si="414"/>
        <v>-33929</v>
      </c>
      <c r="BX208" s="3088"/>
    </row>
    <row r="209" s="3031" customFormat="1" ht="32" customHeight="1" spans="1:76 16382:16384">
      <c r="A209" s="3063">
        <v>45838</v>
      </c>
      <c r="B209" s="3064" t="s">
        <v>1596</v>
      </c>
      <c r="C209" s="3065" t="s">
        <v>1430</v>
      </c>
      <c r="D209" s="3066">
        <v>4500172103</v>
      </c>
      <c r="E209" s="3091"/>
      <c r="F209" s="3066" t="s">
        <v>9727</v>
      </c>
      <c r="G209" s="3098" t="s">
        <v>9154</v>
      </c>
      <c r="H209" s="3069" t="s">
        <v>9155</v>
      </c>
      <c r="I209" s="2969">
        <v>240</v>
      </c>
      <c r="J209" s="2969">
        <v>0</v>
      </c>
      <c r="K209" s="2969">
        <v>8</v>
      </c>
      <c r="L209" s="2969">
        <f t="shared" si="395"/>
        <v>30</v>
      </c>
      <c r="M209" s="3070">
        <v>45874</v>
      </c>
      <c r="N209" s="3070">
        <f t="shared" si="413"/>
        <v>45870</v>
      </c>
      <c r="O209" s="3073"/>
      <c r="P209" s="2996" t="s">
        <v>82</v>
      </c>
      <c r="Q209" s="3071"/>
      <c r="R209" s="3071"/>
      <c r="S209" s="3071"/>
      <c r="T209" s="3071"/>
      <c r="U209" s="3072" t="s">
        <v>224</v>
      </c>
      <c r="V209" s="2996"/>
      <c r="W209" s="3073" t="s">
        <v>1598</v>
      </c>
      <c r="X209" s="3073"/>
      <c r="Y209" s="3073" t="s">
        <v>9728</v>
      </c>
      <c r="Z209" s="3073"/>
      <c r="AA209" s="3073"/>
      <c r="AB209" s="3091" t="s">
        <v>9729</v>
      </c>
      <c r="AC209" s="2969" t="s">
        <v>1434</v>
      </c>
      <c r="AD209" s="3075">
        <v>4.1708</v>
      </c>
      <c r="AE209" s="3076">
        <f t="shared" ref="AE209:AE224" si="415">AD209*I209</f>
        <v>1000.992</v>
      </c>
      <c r="AF209" s="3160" t="s">
        <v>9730</v>
      </c>
      <c r="AG209" s="3098" t="s">
        <v>9239</v>
      </c>
      <c r="AH209" s="2969" t="s">
        <v>416</v>
      </c>
      <c r="AI209" s="3126"/>
      <c r="AJ209" s="3078"/>
      <c r="AK209" s="3131"/>
      <c r="AL209" s="3078">
        <f>I209</f>
        <v>240</v>
      </c>
      <c r="AM209" s="3131"/>
      <c r="AN209" s="3078"/>
      <c r="AO209" s="3132"/>
      <c r="AP209" s="3080">
        <f t="shared" ref="AP209:AP246" si="416">I209</f>
        <v>240</v>
      </c>
      <c r="AQ209" s="3080"/>
      <c r="AR209" s="3080"/>
      <c r="AS209" s="3081"/>
      <c r="AT209" s="3147"/>
      <c r="AU209" s="3132"/>
      <c r="AV209" s="3132"/>
      <c r="AW209" s="3148"/>
      <c r="AX209" s="3085">
        <f t="shared" si="396"/>
        <v>60</v>
      </c>
      <c r="AY209" s="3080">
        <f t="shared" ref="AY209:AY224" si="417">I209/4</f>
        <v>60</v>
      </c>
      <c r="AZ209" s="3080">
        <f t="shared" ref="AZ209:AZ224" si="418">I209/4</f>
        <v>60</v>
      </c>
      <c r="BA209" s="3086">
        <f t="shared" ref="BA209:BA224" si="419">I209/4</f>
        <v>60</v>
      </c>
      <c r="BB209" s="3087"/>
      <c r="BC209" s="3080"/>
      <c r="BD209" s="3081"/>
      <c r="BE209" s="3080"/>
      <c r="BF209" s="3034"/>
      <c r="BG209" s="3034"/>
      <c r="BH209" s="3034"/>
      <c r="BI209" s="3034"/>
      <c r="BJ209" s="3089">
        <f t="shared" si="411"/>
        <v>240</v>
      </c>
      <c r="BK209" s="3080"/>
      <c r="BL209" s="3080" t="s">
        <v>9164</v>
      </c>
      <c r="BM209" s="3132"/>
      <c r="BN209" s="3080">
        <f t="shared" si="400"/>
        <v>60</v>
      </c>
      <c r="BO209" s="3080">
        <f t="shared" si="401"/>
        <v>60</v>
      </c>
      <c r="BP209" s="3080">
        <f t="shared" si="402"/>
        <v>60</v>
      </c>
      <c r="BQ209" s="3088">
        <f t="shared" si="403"/>
        <v>60</v>
      </c>
      <c r="BR209" s="3080">
        <f t="shared" si="310"/>
        <v>0</v>
      </c>
      <c r="BS209" s="3088"/>
      <c r="BT209" s="3088"/>
      <c r="BU209" s="3088"/>
      <c r="BV209" s="3088"/>
      <c r="BW209" s="3088"/>
      <c r="BX209" s="3088"/>
    </row>
    <row r="210" s="3031" customFormat="1" ht="32" customHeight="1" spans="1:76 16382:16384">
      <c r="A210" s="3063">
        <v>45836</v>
      </c>
      <c r="B210" s="3064" t="s">
        <v>1617</v>
      </c>
      <c r="C210" s="3065" t="s">
        <v>91</v>
      </c>
      <c r="D210" s="3066">
        <v>4500171778</v>
      </c>
      <c r="E210" s="3091">
        <v>70072654</v>
      </c>
      <c r="F210" s="3066" t="s">
        <v>9731</v>
      </c>
      <c r="G210" s="3098" t="s">
        <v>9154</v>
      </c>
      <c r="H210" s="3069" t="s">
        <v>9155</v>
      </c>
      <c r="I210" s="2969">
        <v>1200</v>
      </c>
      <c r="J210" s="2969">
        <v>0</v>
      </c>
      <c r="K210" s="2969">
        <v>8</v>
      </c>
      <c r="L210" s="2969">
        <f t="shared" si="395"/>
        <v>150</v>
      </c>
      <c r="M210" s="3070">
        <v>45874</v>
      </c>
      <c r="N210" s="3070">
        <v>45870</v>
      </c>
      <c r="O210" s="3073"/>
      <c r="P210" s="2996" t="s">
        <v>82</v>
      </c>
      <c r="Q210" s="3071"/>
      <c r="R210" s="3071"/>
      <c r="S210" s="3071"/>
      <c r="T210" s="3071"/>
      <c r="U210" s="3072" t="s">
        <v>224</v>
      </c>
      <c r="V210" s="2996"/>
      <c r="W210" s="3073" t="s">
        <v>390</v>
      </c>
      <c r="X210" s="3073"/>
      <c r="Y210" s="3073" t="s">
        <v>98</v>
      </c>
      <c r="Z210" s="3073" t="s">
        <v>8647</v>
      </c>
      <c r="AA210" s="3073"/>
      <c r="AB210" s="3091" t="s">
        <v>1621</v>
      </c>
      <c r="AC210" s="2969" t="s">
        <v>393</v>
      </c>
      <c r="AD210" s="3075">
        <v>2.4045</v>
      </c>
      <c r="AE210" s="3076">
        <f t="shared" si="415"/>
        <v>2885.4</v>
      </c>
      <c r="AF210" s="2969" t="s">
        <v>1622</v>
      </c>
      <c r="AG210" s="2969" t="s">
        <v>9154</v>
      </c>
      <c r="AH210" s="2969" t="s">
        <v>416</v>
      </c>
      <c r="AI210" s="3126"/>
      <c r="AJ210" s="3078">
        <f t="shared" ref="AJ210:AJ217" si="420">I210</f>
        <v>1200</v>
      </c>
      <c r="AK210" s="3131"/>
      <c r="AL210" s="3078"/>
      <c r="AM210" s="3131"/>
      <c r="AN210" s="3078"/>
      <c r="AO210" s="3132"/>
      <c r="AP210" s="3080">
        <f t="shared" si="416"/>
        <v>1200</v>
      </c>
      <c r="AQ210" s="3080"/>
      <c r="AR210" s="3080"/>
      <c r="AS210" s="3081"/>
      <c r="AT210" s="3147"/>
      <c r="AU210" s="3132"/>
      <c r="AV210" s="3132"/>
      <c r="AW210" s="3148"/>
      <c r="AX210" s="3085">
        <f t="shared" si="396"/>
        <v>300</v>
      </c>
      <c r="AY210" s="3080">
        <f t="shared" si="417"/>
        <v>300</v>
      </c>
      <c r="AZ210" s="3080">
        <f t="shared" si="418"/>
        <v>300</v>
      </c>
      <c r="BA210" s="3086">
        <f t="shared" si="419"/>
        <v>300</v>
      </c>
      <c r="BB210" s="3087"/>
      <c r="BC210" s="3080"/>
      <c r="BD210" s="3081"/>
      <c r="BE210" s="3080"/>
      <c r="BF210" s="3034"/>
      <c r="BG210" s="3034"/>
      <c r="BH210" s="3034"/>
      <c r="BI210" s="3034"/>
      <c r="BJ210" s="3089">
        <f t="shared" si="411"/>
        <v>1200</v>
      </c>
      <c r="BK210" s="3080"/>
      <c r="BL210" s="3080" t="s">
        <v>9164</v>
      </c>
      <c r="BM210" s="3132"/>
      <c r="BN210" s="3080">
        <f t="shared" si="400"/>
        <v>300</v>
      </c>
      <c r="BO210" s="3080">
        <f t="shared" si="401"/>
        <v>300</v>
      </c>
      <c r="BP210" s="3080">
        <f t="shared" si="402"/>
        <v>300</v>
      </c>
      <c r="BQ210" s="3088">
        <f t="shared" si="403"/>
        <v>300</v>
      </c>
      <c r="BR210" s="3080">
        <f t="shared" si="310"/>
        <v>0</v>
      </c>
      <c r="BS210" s="3088"/>
      <c r="BT210" s="3088"/>
      <c r="BU210" s="3088"/>
      <c r="BV210" s="3088"/>
      <c r="BW210" s="3088"/>
      <c r="BX210" s="3088"/>
    </row>
    <row r="211" s="3031" customFormat="1" ht="32" customHeight="1" spans="1:76 16382:16384">
      <c r="A211" s="3063">
        <v>45839</v>
      </c>
      <c r="B211" s="3064" t="s">
        <v>407</v>
      </c>
      <c r="C211" s="3065" t="s">
        <v>91</v>
      </c>
      <c r="D211" s="3066">
        <v>4500172203</v>
      </c>
      <c r="E211" s="3091">
        <v>60235975</v>
      </c>
      <c r="F211" s="3066" t="s">
        <v>9732</v>
      </c>
      <c r="G211" s="3098" t="s">
        <v>9154</v>
      </c>
      <c r="H211" s="3069" t="s">
        <v>9155</v>
      </c>
      <c r="I211" s="2969">
        <v>2504</v>
      </c>
      <c r="J211" s="2969">
        <v>0</v>
      </c>
      <c r="K211" s="2969">
        <v>8</v>
      </c>
      <c r="L211" s="2969">
        <f t="shared" si="395"/>
        <v>313</v>
      </c>
      <c r="M211" s="3070">
        <v>45870</v>
      </c>
      <c r="N211" s="3070">
        <f>M211-4</f>
        <v>45866</v>
      </c>
      <c r="O211" s="3073"/>
      <c r="P211" s="2996" t="s">
        <v>82</v>
      </c>
      <c r="Q211" s="3071"/>
      <c r="R211" s="3071"/>
      <c r="S211" s="3071"/>
      <c r="T211" s="3071"/>
      <c r="U211" s="3072" t="s">
        <v>1394</v>
      </c>
      <c r="V211" s="2996"/>
      <c r="W211" s="3073" t="s">
        <v>390</v>
      </c>
      <c r="X211" s="3073"/>
      <c r="Y211" s="3073" t="s">
        <v>98</v>
      </c>
      <c r="Z211" s="3073" t="s">
        <v>8647</v>
      </c>
      <c r="AA211" s="3073"/>
      <c r="AB211" s="3091" t="s">
        <v>1621</v>
      </c>
      <c r="AC211" s="2969" t="s">
        <v>393</v>
      </c>
      <c r="AD211" s="3075">
        <v>1.9978</v>
      </c>
      <c r="AE211" s="3076">
        <f t="shared" si="415"/>
        <v>5002.4912</v>
      </c>
      <c r="AF211" s="2969" t="s">
        <v>1725</v>
      </c>
      <c r="AG211" s="2969" t="s">
        <v>9154</v>
      </c>
      <c r="AH211" s="2969" t="s">
        <v>416</v>
      </c>
      <c r="AI211" s="3126"/>
      <c r="AJ211" s="3078">
        <f t="shared" si="420"/>
        <v>2504</v>
      </c>
      <c r="AK211" s="3131"/>
      <c r="AL211" s="3078"/>
      <c r="AM211" s="3131"/>
      <c r="AN211" s="3078"/>
      <c r="AO211" s="3132"/>
      <c r="AP211" s="3080">
        <f t="shared" si="416"/>
        <v>2504</v>
      </c>
      <c r="AQ211" s="3080"/>
      <c r="AR211" s="3080"/>
      <c r="AS211" s="3081"/>
      <c r="AT211" s="3147"/>
      <c r="AU211" s="3132"/>
      <c r="AV211" s="3132"/>
      <c r="AW211" s="3148"/>
      <c r="AX211" s="3085">
        <f t="shared" si="396"/>
        <v>626</v>
      </c>
      <c r="AY211" s="3080">
        <f t="shared" ref="AY211:AY213" si="421">AX211</f>
        <v>626</v>
      </c>
      <c r="AZ211" s="3080">
        <f t="shared" ref="AZ211:AZ213" si="422">AX211</f>
        <v>626</v>
      </c>
      <c r="BA211" s="3086">
        <f t="shared" ref="BA211:BA213" si="423">AX211</f>
        <v>626</v>
      </c>
      <c r="BB211" s="3087"/>
      <c r="BC211" s="3080"/>
      <c r="BD211" s="3081"/>
      <c r="BE211" s="3080"/>
      <c r="BF211" s="3034"/>
      <c r="BG211" s="3034"/>
      <c r="BH211" s="3034"/>
      <c r="BI211" s="3034"/>
      <c r="BJ211" s="3080">
        <f t="shared" si="411"/>
        <v>2504</v>
      </c>
      <c r="BK211" s="3080"/>
      <c r="BL211" s="3080" t="s">
        <v>9164</v>
      </c>
      <c r="BM211" s="3132"/>
      <c r="BN211" s="3080">
        <f t="shared" si="400"/>
        <v>626</v>
      </c>
      <c r="BO211" s="3080">
        <f t="shared" si="401"/>
        <v>626</v>
      </c>
      <c r="BP211" s="3080">
        <f t="shared" si="402"/>
        <v>626</v>
      </c>
      <c r="BQ211" s="3088">
        <f t="shared" si="403"/>
        <v>626</v>
      </c>
      <c r="BR211" s="3080">
        <f t="shared" si="310"/>
        <v>0</v>
      </c>
      <c r="BS211" s="3088"/>
      <c r="BT211" s="3088"/>
      <c r="BU211" s="3088"/>
      <c r="BV211" s="3088"/>
      <c r="BW211" s="3088"/>
      <c r="BX211" s="3088"/>
    </row>
    <row r="212" s="3031" customFormat="1" ht="32" customHeight="1" spans="1:76 16382:16384">
      <c r="A212" s="3063">
        <v>45747</v>
      </c>
      <c r="B212" s="3064" t="s">
        <v>4576</v>
      </c>
      <c r="C212" s="3065" t="s">
        <v>569</v>
      </c>
      <c r="D212" s="3066">
        <v>4500162048</v>
      </c>
      <c r="E212" s="3091"/>
      <c r="F212" s="3066" t="s">
        <v>9733</v>
      </c>
      <c r="G212" s="3098" t="s">
        <v>9355</v>
      </c>
      <c r="H212" s="3069" t="s">
        <v>9356</v>
      </c>
      <c r="I212" s="2969">
        <v>504</v>
      </c>
      <c r="J212" s="2969">
        <v>0</v>
      </c>
      <c r="K212" s="2969">
        <v>8</v>
      </c>
      <c r="L212" s="2969">
        <f t="shared" si="395"/>
        <v>63</v>
      </c>
      <c r="M212" s="3070">
        <v>45884</v>
      </c>
      <c r="N212" s="3070">
        <v>45880</v>
      </c>
      <c r="O212" s="2996"/>
      <c r="P212" s="2996" t="s">
        <v>82</v>
      </c>
      <c r="Q212" s="3071"/>
      <c r="R212" s="3071"/>
      <c r="S212" s="3071"/>
      <c r="T212" s="3071"/>
      <c r="U212" s="3072" t="s">
        <v>1541</v>
      </c>
      <c r="V212" s="2996"/>
      <c r="W212" s="3073" t="s">
        <v>7057</v>
      </c>
      <c r="X212" s="3073"/>
      <c r="Y212" s="3073" t="s">
        <v>9734</v>
      </c>
      <c r="Z212" s="3073"/>
      <c r="AA212" s="3073" t="s">
        <v>9735</v>
      </c>
      <c r="AB212" s="3137" t="s">
        <v>9736</v>
      </c>
      <c r="AC212" s="2969" t="s">
        <v>4582</v>
      </c>
      <c r="AD212" s="3075">
        <v>4.0075</v>
      </c>
      <c r="AE212" s="3076">
        <f t="shared" si="415"/>
        <v>2019.78</v>
      </c>
      <c r="AF212" s="2969"/>
      <c r="AG212" s="2969" t="s">
        <v>9359</v>
      </c>
      <c r="AH212" s="2969" t="s">
        <v>416</v>
      </c>
      <c r="AI212" s="3078"/>
      <c r="AJ212" s="3078"/>
      <c r="AK212" s="3078"/>
      <c r="AL212" s="3078">
        <f>I212</f>
        <v>504</v>
      </c>
      <c r="AM212" s="3133"/>
      <c r="AN212" s="3080"/>
      <c r="AO212" s="3080"/>
      <c r="AP212" s="3080">
        <f t="shared" si="416"/>
        <v>504</v>
      </c>
      <c r="AQ212" s="3080"/>
      <c r="AR212" s="3080"/>
      <c r="AS212" s="3080"/>
      <c r="AT212" s="3135"/>
      <c r="AU212" s="3134"/>
      <c r="AV212" s="3134"/>
      <c r="AW212" s="3136"/>
      <c r="AX212" s="3085">
        <f t="shared" si="396"/>
        <v>126</v>
      </c>
      <c r="AY212" s="3080">
        <f t="shared" si="421"/>
        <v>126</v>
      </c>
      <c r="AZ212" s="3080">
        <f t="shared" si="422"/>
        <v>126</v>
      </c>
      <c r="BA212" s="3086">
        <f t="shared" si="423"/>
        <v>126</v>
      </c>
      <c r="BB212" s="3080"/>
      <c r="BC212" s="3080"/>
      <c r="BD212" s="3081"/>
      <c r="BE212" s="3080"/>
      <c r="BF212" s="3080"/>
      <c r="BG212" s="3080"/>
      <c r="BH212" s="3080"/>
      <c r="BI212" s="3080"/>
      <c r="BJ212" s="3080"/>
      <c r="BK212" s="3080">
        <f>I212</f>
        <v>504</v>
      </c>
      <c r="BL212" s="3080" t="s">
        <v>9164</v>
      </c>
      <c r="BM212" s="3134"/>
      <c r="BN212" s="3080">
        <f t="shared" si="400"/>
        <v>126</v>
      </c>
      <c r="BO212" s="3080">
        <f t="shared" si="401"/>
        <v>126</v>
      </c>
      <c r="BP212" s="3088">
        <f t="shared" si="402"/>
        <v>126</v>
      </c>
      <c r="BQ212" s="3088">
        <f t="shared" si="403"/>
        <v>126</v>
      </c>
      <c r="BR212" s="3080">
        <f t="shared" si="310"/>
        <v>0</v>
      </c>
      <c r="BS212" s="3088">
        <f>BN212+BO212+BP212+BQ212+$BS$369</f>
        <v>512984</v>
      </c>
      <c r="BT212" s="3088">
        <f t="shared" ref="BT212:BW212" si="424">BT139-BN212</f>
        <v>100546.166666666</v>
      </c>
      <c r="BU212" s="3088">
        <f t="shared" si="424"/>
        <v>101754.166666666</v>
      </c>
      <c r="BV212" s="3088">
        <f t="shared" si="424"/>
        <v>101763.166666666</v>
      </c>
      <c r="BW212" s="3088">
        <f t="shared" si="424"/>
        <v>103149.833333333</v>
      </c>
      <c r="BX212" s="3088"/>
      <c r="XFB212" s="3119"/>
      <c r="XFC212" s="3064"/>
      <c r="XFD212" s="3065"/>
    </row>
    <row r="213" s="3031" customFormat="1" ht="32" customHeight="1" spans="1:76 16382:16384">
      <c r="A213" s="3063">
        <v>45826</v>
      </c>
      <c r="B213" s="3064" t="s">
        <v>6682</v>
      </c>
      <c r="C213" s="3065" t="s">
        <v>396</v>
      </c>
      <c r="D213" s="3066">
        <v>4500170454</v>
      </c>
      <c r="E213" s="3091">
        <v>2700951508</v>
      </c>
      <c r="F213" s="3066" t="s">
        <v>9737</v>
      </c>
      <c r="G213" s="3098" t="s">
        <v>9158</v>
      </c>
      <c r="H213" s="3069" t="s">
        <v>9155</v>
      </c>
      <c r="I213" s="2969">
        <v>8102</v>
      </c>
      <c r="J213" s="2969">
        <v>0</v>
      </c>
      <c r="K213" s="2969">
        <v>1</v>
      </c>
      <c r="L213" s="2969">
        <f t="shared" si="395"/>
        <v>8102</v>
      </c>
      <c r="M213" s="3070">
        <v>45882</v>
      </c>
      <c r="N213" s="3070">
        <v>45878</v>
      </c>
      <c r="O213" s="3073" t="s">
        <v>9738</v>
      </c>
      <c r="P213" s="2996" t="s">
        <v>82</v>
      </c>
      <c r="Q213" s="3071"/>
      <c r="R213" s="3071"/>
      <c r="S213" s="3071"/>
      <c r="T213" s="3071"/>
      <c r="U213" s="3072" t="s">
        <v>1821</v>
      </c>
      <c r="V213" s="2996"/>
      <c r="W213" s="3073" t="s">
        <v>1598</v>
      </c>
      <c r="X213" s="3073"/>
      <c r="Y213" s="3073" t="s">
        <v>98</v>
      </c>
      <c r="Z213" s="3073" t="s">
        <v>9739</v>
      </c>
      <c r="AA213" s="3073"/>
      <c r="AB213" s="3091" t="s">
        <v>9740</v>
      </c>
      <c r="AC213" s="2969" t="s">
        <v>6688</v>
      </c>
      <c r="AD213" s="3075">
        <v>4.2664</v>
      </c>
      <c r="AE213" s="3076">
        <f t="shared" si="415"/>
        <v>34566.3728</v>
      </c>
      <c r="AF213" s="2969" t="s">
        <v>9741</v>
      </c>
      <c r="AG213" s="3069" t="s">
        <v>9742</v>
      </c>
      <c r="AH213" s="2969" t="s">
        <v>416</v>
      </c>
      <c r="AI213" s="3077"/>
      <c r="AJ213" s="3078"/>
      <c r="AK213" s="3092"/>
      <c r="AL213" s="3078"/>
      <c r="AM213" s="3092"/>
      <c r="AN213" s="3078">
        <f>I213</f>
        <v>8102</v>
      </c>
      <c r="AO213" s="3097"/>
      <c r="AP213" s="3080">
        <f t="shared" si="416"/>
        <v>8102</v>
      </c>
      <c r="AQ213" s="3080"/>
      <c r="AR213" s="3080"/>
      <c r="AS213" s="3081"/>
      <c r="AT213" s="3149"/>
      <c r="AU213" s="3097"/>
      <c r="AV213" s="3097"/>
      <c r="AW213" s="3150"/>
      <c r="AX213" s="3085">
        <f t="shared" si="396"/>
        <v>2025.5</v>
      </c>
      <c r="AY213" s="3080">
        <f t="shared" si="421"/>
        <v>2025.5</v>
      </c>
      <c r="AZ213" s="3080">
        <f t="shared" si="422"/>
        <v>2025.5</v>
      </c>
      <c r="BA213" s="3086">
        <f t="shared" si="423"/>
        <v>2025.5</v>
      </c>
      <c r="BB213" s="3087"/>
      <c r="BC213" s="3080"/>
      <c r="BD213" s="3081"/>
      <c r="BE213" s="3080"/>
      <c r="BF213" s="3034"/>
      <c r="BG213" s="3034"/>
      <c r="BH213" s="3034"/>
      <c r="BI213" s="3034"/>
      <c r="BJ213" s="3034"/>
      <c r="BK213" s="3080">
        <f>I213</f>
        <v>8102</v>
      </c>
      <c r="BL213" s="3080" t="s">
        <v>9164</v>
      </c>
      <c r="BM213" s="3097"/>
      <c r="BN213" s="3080">
        <f t="shared" si="400"/>
        <v>2025.5</v>
      </c>
      <c r="BO213" s="3080">
        <f t="shared" si="401"/>
        <v>2025.5</v>
      </c>
      <c r="BP213" s="3080">
        <f t="shared" si="402"/>
        <v>2025.5</v>
      </c>
      <c r="BQ213" s="3080">
        <f t="shared" si="403"/>
        <v>2025.5</v>
      </c>
      <c r="BR213" s="3080">
        <f t="shared" si="310"/>
        <v>0</v>
      </c>
      <c r="BS213" s="3088"/>
      <c r="BT213" s="3088"/>
      <c r="BU213" s="3088"/>
      <c r="BV213" s="3088"/>
      <c r="BW213" s="3088"/>
      <c r="BX213" s="3088"/>
    </row>
    <row r="214" s="3031" customFormat="1" ht="32" customHeight="1" spans="1:76 16382:16384">
      <c r="A214" s="3063">
        <v>45852</v>
      </c>
      <c r="B214" s="3064" t="s">
        <v>9743</v>
      </c>
      <c r="C214" s="3065" t="s">
        <v>7318</v>
      </c>
      <c r="D214" s="3066">
        <v>4500173798</v>
      </c>
      <c r="E214" s="3091"/>
      <c r="F214" s="3066" t="s">
        <v>9744</v>
      </c>
      <c r="G214" s="3098" t="s">
        <v>9154</v>
      </c>
      <c r="H214" s="3069" t="s">
        <v>9155</v>
      </c>
      <c r="I214" s="2969">
        <v>384</v>
      </c>
      <c r="J214" s="2969">
        <v>0</v>
      </c>
      <c r="K214" s="2969">
        <v>8</v>
      </c>
      <c r="L214" s="2969">
        <f t="shared" si="395"/>
        <v>48</v>
      </c>
      <c r="M214" s="3070">
        <v>45884</v>
      </c>
      <c r="N214" s="3070">
        <v>45880</v>
      </c>
      <c r="O214" s="3073"/>
      <c r="P214" s="2996" t="s">
        <v>82</v>
      </c>
      <c r="Q214" s="3071"/>
      <c r="R214" s="3071"/>
      <c r="S214" s="3071"/>
      <c r="T214" s="3071"/>
      <c r="U214" s="3072" t="s">
        <v>1746</v>
      </c>
      <c r="V214" s="2996"/>
      <c r="W214" s="3073" t="s">
        <v>1895</v>
      </c>
      <c r="X214" s="3073"/>
      <c r="Y214" s="3073" t="s">
        <v>9745</v>
      </c>
      <c r="Z214" s="3073"/>
      <c r="AA214" s="3073"/>
      <c r="AB214" s="3091" t="s">
        <v>9746</v>
      </c>
      <c r="AC214" s="3064" t="s">
        <v>9747</v>
      </c>
      <c r="AD214" s="3075">
        <v>4.1708</v>
      </c>
      <c r="AE214" s="3076">
        <f t="shared" si="415"/>
        <v>1601.5872</v>
      </c>
      <c r="AF214" s="2969"/>
      <c r="AG214" s="2969" t="s">
        <v>9154</v>
      </c>
      <c r="AH214" s="2969" t="s">
        <v>416</v>
      </c>
      <c r="AI214" s="3078"/>
      <c r="AJ214" s="3078">
        <f t="shared" si="420"/>
        <v>384</v>
      </c>
      <c r="AK214" s="3138"/>
      <c r="AL214" s="3078"/>
      <c r="AM214" s="3138"/>
      <c r="AN214" s="3078"/>
      <c r="AO214" s="3141"/>
      <c r="AP214" s="3080">
        <f t="shared" si="416"/>
        <v>384</v>
      </c>
      <c r="AQ214" s="3080"/>
      <c r="AR214" s="3080"/>
      <c r="AS214" s="3081"/>
      <c r="AT214" s="3142"/>
      <c r="AU214" s="3141"/>
      <c r="AV214" s="3141"/>
      <c r="AW214" s="3143"/>
      <c r="AX214" s="3085">
        <f t="shared" si="396"/>
        <v>96</v>
      </c>
      <c r="AY214" s="3080">
        <f t="shared" si="417"/>
        <v>96</v>
      </c>
      <c r="AZ214" s="3080">
        <f t="shared" si="418"/>
        <v>96</v>
      </c>
      <c r="BA214" s="3086">
        <f t="shared" si="419"/>
        <v>96</v>
      </c>
      <c r="BB214" s="3087"/>
      <c r="BC214" s="3080"/>
      <c r="BD214" s="3081"/>
      <c r="BE214" s="3080"/>
      <c r="BF214" s="3034"/>
      <c r="BG214" s="3034"/>
      <c r="BH214" s="3034"/>
      <c r="BI214" s="3034"/>
      <c r="BJ214" s="3089">
        <f t="shared" ref="BJ214:BJ217" si="425">I214</f>
        <v>384</v>
      </c>
      <c r="BK214" s="3080"/>
      <c r="BL214" s="3080" t="s">
        <v>9164</v>
      </c>
      <c r="BM214" s="3141"/>
      <c r="BN214" s="3080">
        <f t="shared" si="400"/>
        <v>96</v>
      </c>
      <c r="BO214" s="3080">
        <f t="shared" si="401"/>
        <v>96</v>
      </c>
      <c r="BP214" s="3080">
        <f t="shared" si="402"/>
        <v>96</v>
      </c>
      <c r="BQ214" s="3088">
        <f t="shared" si="403"/>
        <v>96</v>
      </c>
      <c r="BR214" s="3080">
        <f t="shared" si="310"/>
        <v>0</v>
      </c>
      <c r="BS214" s="3088"/>
      <c r="BT214" s="3088"/>
      <c r="BU214" s="3088"/>
      <c r="BV214" s="3088"/>
      <c r="BW214" s="3088"/>
      <c r="BX214" s="3088"/>
    </row>
    <row r="215" s="3031" customFormat="1" ht="32" customHeight="1" spans="1:76 16382:16384">
      <c r="A215" s="3063">
        <v>45856</v>
      </c>
      <c r="B215" s="3064" t="s">
        <v>2285</v>
      </c>
      <c r="C215" s="3065" t="s">
        <v>351</v>
      </c>
      <c r="D215" s="3066">
        <v>4500173295</v>
      </c>
      <c r="E215" s="3091" t="s">
        <v>3330</v>
      </c>
      <c r="F215" s="3066" t="s">
        <v>9748</v>
      </c>
      <c r="G215" s="3098" t="s">
        <v>9154</v>
      </c>
      <c r="H215" s="3069" t="s">
        <v>9155</v>
      </c>
      <c r="I215" s="2969">
        <v>128</v>
      </c>
      <c r="J215" s="2969">
        <v>0</v>
      </c>
      <c r="K215" s="2969">
        <v>8</v>
      </c>
      <c r="L215" s="2969">
        <f t="shared" si="395"/>
        <v>16</v>
      </c>
      <c r="M215" s="3070">
        <v>45887</v>
      </c>
      <c r="N215" s="3070">
        <v>45883</v>
      </c>
      <c r="O215" s="2996"/>
      <c r="P215" s="2996" t="s">
        <v>82</v>
      </c>
      <c r="Q215" s="3071"/>
      <c r="R215" s="3071"/>
      <c r="S215" s="3071"/>
      <c r="T215" s="3071"/>
      <c r="U215" s="3072" t="s">
        <v>228</v>
      </c>
      <c r="V215" s="2996"/>
      <c r="W215" s="3073" t="s">
        <v>1859</v>
      </c>
      <c r="X215" s="3073"/>
      <c r="Y215" s="3073" t="s">
        <v>9749</v>
      </c>
      <c r="Z215" s="3073"/>
      <c r="AA215" s="3073"/>
      <c r="AB215" s="3091" t="s">
        <v>9750</v>
      </c>
      <c r="AC215" s="2969" t="s">
        <v>1199</v>
      </c>
      <c r="AD215" s="3075">
        <v>4.1708</v>
      </c>
      <c r="AE215" s="3076">
        <f t="shared" si="415"/>
        <v>533.8624</v>
      </c>
      <c r="AF215" s="2969" t="s">
        <v>9751</v>
      </c>
      <c r="AG215" s="2969" t="s">
        <v>9154</v>
      </c>
      <c r="AH215" s="2969" t="s">
        <v>416</v>
      </c>
      <c r="AI215" s="3078"/>
      <c r="AJ215" s="3078">
        <f t="shared" si="420"/>
        <v>128</v>
      </c>
      <c r="AK215" s="3138"/>
      <c r="AL215" s="3078"/>
      <c r="AM215" s="3138"/>
      <c r="AN215" s="3078"/>
      <c r="AO215" s="3141"/>
      <c r="AP215" s="3080">
        <f t="shared" si="416"/>
        <v>128</v>
      </c>
      <c r="AQ215" s="3080"/>
      <c r="AR215" s="3080"/>
      <c r="AS215" s="3081"/>
      <c r="AT215" s="3142"/>
      <c r="AU215" s="3141"/>
      <c r="AV215" s="3141"/>
      <c r="AW215" s="3143"/>
      <c r="AX215" s="3085">
        <f t="shared" si="396"/>
        <v>32</v>
      </c>
      <c r="AY215" s="3080">
        <f t="shared" si="417"/>
        <v>32</v>
      </c>
      <c r="AZ215" s="3080">
        <f t="shared" si="418"/>
        <v>32</v>
      </c>
      <c r="BA215" s="3086">
        <f t="shared" si="419"/>
        <v>32</v>
      </c>
      <c r="BB215" s="3087"/>
      <c r="BC215" s="3080"/>
      <c r="BD215" s="3081"/>
      <c r="BE215" s="3080"/>
      <c r="BF215" s="3080"/>
      <c r="BG215" s="3080"/>
      <c r="BH215" s="3080"/>
      <c r="BI215" s="3080"/>
      <c r="BJ215" s="3080">
        <f t="shared" si="425"/>
        <v>128</v>
      </c>
      <c r="BK215" s="3080"/>
      <c r="BL215" s="3080" t="s">
        <v>9164</v>
      </c>
      <c r="BM215" s="3141"/>
      <c r="BN215" s="3080">
        <f t="shared" si="400"/>
        <v>32</v>
      </c>
      <c r="BO215" s="3080">
        <f t="shared" si="401"/>
        <v>32</v>
      </c>
      <c r="BP215" s="3080">
        <f t="shared" si="402"/>
        <v>32</v>
      </c>
      <c r="BQ215" s="3088">
        <f t="shared" si="403"/>
        <v>32</v>
      </c>
      <c r="BR215" s="3080">
        <f t="shared" si="310"/>
        <v>0</v>
      </c>
      <c r="BS215" s="3088"/>
      <c r="BT215" s="3088"/>
      <c r="BU215" s="3088"/>
      <c r="BV215" s="3088"/>
      <c r="BW215" s="3088"/>
      <c r="BX215" s="3088"/>
    </row>
    <row r="216" s="3031" customFormat="1" ht="32" customHeight="1" spans="1:76 16382:16384">
      <c r="A216" s="3063">
        <v>45856</v>
      </c>
      <c r="B216" s="3064" t="s">
        <v>2285</v>
      </c>
      <c r="C216" s="3065" t="s">
        <v>351</v>
      </c>
      <c r="D216" s="3066">
        <v>4500173295</v>
      </c>
      <c r="E216" s="3091" t="s">
        <v>3336</v>
      </c>
      <c r="F216" s="3066" t="s">
        <v>9752</v>
      </c>
      <c r="G216" s="3098" t="s">
        <v>9154</v>
      </c>
      <c r="H216" s="3069" t="s">
        <v>9155</v>
      </c>
      <c r="I216" s="2969">
        <v>48</v>
      </c>
      <c r="J216" s="2969">
        <v>0</v>
      </c>
      <c r="K216" s="2969">
        <v>8</v>
      </c>
      <c r="L216" s="2969">
        <f t="shared" si="395"/>
        <v>6</v>
      </c>
      <c r="M216" s="3070">
        <v>45887</v>
      </c>
      <c r="N216" s="3070">
        <v>45883</v>
      </c>
      <c r="O216" s="3073"/>
      <c r="P216" s="2996" t="s">
        <v>82</v>
      </c>
      <c r="Q216" s="3071"/>
      <c r="R216" s="3071"/>
      <c r="S216" s="3071"/>
      <c r="T216" s="3071"/>
      <c r="U216" s="3072" t="s">
        <v>228</v>
      </c>
      <c r="V216" s="2996"/>
      <c r="W216" s="3073" t="s">
        <v>1859</v>
      </c>
      <c r="X216" s="3073"/>
      <c r="Y216" s="3073" t="s">
        <v>9749</v>
      </c>
      <c r="Z216" s="3073"/>
      <c r="AA216" s="3073"/>
      <c r="AB216" s="3091" t="s">
        <v>9750</v>
      </c>
      <c r="AC216" s="2969" t="s">
        <v>1199</v>
      </c>
      <c r="AD216" s="3075">
        <v>4.1708</v>
      </c>
      <c r="AE216" s="3076">
        <f t="shared" si="415"/>
        <v>200.1984</v>
      </c>
      <c r="AF216" s="2969" t="s">
        <v>9753</v>
      </c>
      <c r="AG216" s="2969" t="s">
        <v>9154</v>
      </c>
      <c r="AH216" s="2969" t="s">
        <v>416</v>
      </c>
      <c r="AI216" s="3078"/>
      <c r="AJ216" s="3078">
        <f t="shared" si="420"/>
        <v>48</v>
      </c>
      <c r="AK216" s="3138"/>
      <c r="AL216" s="3078"/>
      <c r="AM216" s="3138"/>
      <c r="AN216" s="3078"/>
      <c r="AO216" s="3141"/>
      <c r="AP216" s="3080">
        <f t="shared" si="416"/>
        <v>48</v>
      </c>
      <c r="AQ216" s="3080"/>
      <c r="AR216" s="3080"/>
      <c r="AS216" s="3081"/>
      <c r="AT216" s="3142"/>
      <c r="AU216" s="3141"/>
      <c r="AV216" s="3141"/>
      <c r="AW216" s="3143"/>
      <c r="AX216" s="3085">
        <f t="shared" si="396"/>
        <v>12</v>
      </c>
      <c r="AY216" s="3080">
        <f t="shared" si="417"/>
        <v>12</v>
      </c>
      <c r="AZ216" s="3080">
        <f t="shared" si="418"/>
        <v>12</v>
      </c>
      <c r="BA216" s="3086">
        <f t="shared" si="419"/>
        <v>12</v>
      </c>
      <c r="BB216" s="3087"/>
      <c r="BC216" s="3080"/>
      <c r="BD216" s="3081"/>
      <c r="BE216" s="3080"/>
      <c r="BF216" s="3034"/>
      <c r="BG216" s="3034"/>
      <c r="BH216" s="3034"/>
      <c r="BI216" s="3034"/>
      <c r="BJ216" s="3080">
        <f t="shared" si="425"/>
        <v>48</v>
      </c>
      <c r="BK216" s="3080"/>
      <c r="BL216" s="3080" t="s">
        <v>9164</v>
      </c>
      <c r="BM216" s="3141"/>
      <c r="BN216" s="3080">
        <f t="shared" si="400"/>
        <v>12</v>
      </c>
      <c r="BO216" s="3080">
        <f t="shared" si="401"/>
        <v>12</v>
      </c>
      <c r="BP216" s="3080">
        <f t="shared" si="402"/>
        <v>12</v>
      </c>
      <c r="BQ216" s="3088">
        <f t="shared" si="403"/>
        <v>12</v>
      </c>
      <c r="BR216" s="3080">
        <f t="shared" si="310"/>
        <v>0</v>
      </c>
      <c r="BS216" s="3088"/>
      <c r="BT216" s="3088"/>
      <c r="BU216" s="3088"/>
      <c r="BV216" s="3088"/>
      <c r="BW216" s="3088"/>
      <c r="BX216" s="3088"/>
    </row>
    <row r="217" s="3031" customFormat="1" ht="32" customHeight="1" spans="1:76 16382:16384">
      <c r="A217" s="3063">
        <v>45836</v>
      </c>
      <c r="B217" s="3064" t="s">
        <v>1617</v>
      </c>
      <c r="C217" s="3065" t="s">
        <v>91</v>
      </c>
      <c r="D217" s="3066">
        <v>4500171781</v>
      </c>
      <c r="E217" s="3091" t="s">
        <v>4565</v>
      </c>
      <c r="F217" s="3066" t="s">
        <v>9754</v>
      </c>
      <c r="G217" s="3098" t="s">
        <v>9154</v>
      </c>
      <c r="H217" s="3069" t="s">
        <v>9155</v>
      </c>
      <c r="I217" s="2969">
        <v>600</v>
      </c>
      <c r="J217" s="2969">
        <v>0</v>
      </c>
      <c r="K217" s="2969">
        <v>8</v>
      </c>
      <c r="L217" s="2969">
        <f t="shared" si="395"/>
        <v>75</v>
      </c>
      <c r="M217" s="3070">
        <v>45882</v>
      </c>
      <c r="N217" s="3070">
        <v>45878</v>
      </c>
      <c r="O217" s="3073"/>
      <c r="P217" s="2996" t="s">
        <v>82</v>
      </c>
      <c r="Q217" s="3071"/>
      <c r="R217" s="3071"/>
      <c r="S217" s="3071"/>
      <c r="T217" s="3071"/>
      <c r="U217" s="3072" t="s">
        <v>4567</v>
      </c>
      <c r="V217" s="2996"/>
      <c r="W217" s="3073" t="s">
        <v>390</v>
      </c>
      <c r="X217" s="3073"/>
      <c r="Y217" s="3073" t="s">
        <v>98</v>
      </c>
      <c r="Z217" s="3073" t="s">
        <v>9755</v>
      </c>
      <c r="AA217" s="3073"/>
      <c r="AB217" s="3091" t="s">
        <v>1621</v>
      </c>
      <c r="AC217" s="2969" t="s">
        <v>393</v>
      </c>
      <c r="AD217" s="3075">
        <v>2.4045</v>
      </c>
      <c r="AE217" s="3076">
        <f t="shared" si="415"/>
        <v>1442.7</v>
      </c>
      <c r="AF217" s="2969" t="s">
        <v>9756</v>
      </c>
      <c r="AG217" s="2969" t="s">
        <v>9154</v>
      </c>
      <c r="AH217" s="2969" t="s">
        <v>416</v>
      </c>
      <c r="AI217" s="3078"/>
      <c r="AJ217" s="3078">
        <f t="shared" si="420"/>
        <v>600</v>
      </c>
      <c r="AK217" s="3138"/>
      <c r="AL217" s="3078"/>
      <c r="AM217" s="3138"/>
      <c r="AN217" s="3078"/>
      <c r="AO217" s="3141"/>
      <c r="AP217" s="3080">
        <f t="shared" si="416"/>
        <v>600</v>
      </c>
      <c r="AQ217" s="3080"/>
      <c r="AR217" s="3080"/>
      <c r="AS217" s="3081"/>
      <c r="AT217" s="3142"/>
      <c r="AU217" s="3141"/>
      <c r="AV217" s="3141"/>
      <c r="AW217" s="3143"/>
      <c r="AX217" s="3085">
        <f t="shared" si="396"/>
        <v>150</v>
      </c>
      <c r="AY217" s="3080">
        <f t="shared" si="417"/>
        <v>150</v>
      </c>
      <c r="AZ217" s="3080">
        <f t="shared" si="418"/>
        <v>150</v>
      </c>
      <c r="BA217" s="3086">
        <f t="shared" si="419"/>
        <v>150</v>
      </c>
      <c r="BB217" s="3087"/>
      <c r="BC217" s="3080"/>
      <c r="BD217" s="3081"/>
      <c r="BE217" s="3080"/>
      <c r="BF217" s="3034"/>
      <c r="BG217" s="3034"/>
      <c r="BH217" s="3034"/>
      <c r="BI217" s="3034"/>
      <c r="BJ217" s="3089">
        <f t="shared" si="425"/>
        <v>600</v>
      </c>
      <c r="BK217" s="3080"/>
      <c r="BL217" s="3080" t="s">
        <v>9164</v>
      </c>
      <c r="BM217" s="3141"/>
      <c r="BN217" s="3080">
        <f t="shared" si="400"/>
        <v>150</v>
      </c>
      <c r="BO217" s="3080">
        <f t="shared" si="401"/>
        <v>150</v>
      </c>
      <c r="BP217" s="3080">
        <f t="shared" si="402"/>
        <v>150</v>
      </c>
      <c r="BQ217" s="3088">
        <f t="shared" si="403"/>
        <v>150</v>
      </c>
      <c r="BR217" s="3080">
        <f t="shared" si="310"/>
        <v>0</v>
      </c>
      <c r="BS217" s="3088"/>
      <c r="BT217" s="3088"/>
      <c r="BU217" s="3088"/>
      <c r="BV217" s="3088"/>
      <c r="BW217" s="3088"/>
      <c r="BX217" s="3088"/>
    </row>
    <row r="218" s="3031" customFormat="1" ht="32" customHeight="1" spans="1:76 16382:16384">
      <c r="A218" s="3063">
        <v>45834</v>
      </c>
      <c r="B218" s="3064" t="s">
        <v>1057</v>
      </c>
      <c r="C218" s="3065" t="s">
        <v>396</v>
      </c>
      <c r="D218" s="3066">
        <v>4500171342</v>
      </c>
      <c r="E218" s="3091" t="s">
        <v>1584</v>
      </c>
      <c r="F218" s="3066" t="s">
        <v>9757</v>
      </c>
      <c r="G218" s="3098" t="s">
        <v>9355</v>
      </c>
      <c r="H218" s="3069" t="s">
        <v>9356</v>
      </c>
      <c r="I218" s="2969">
        <v>960</v>
      </c>
      <c r="J218" s="2969">
        <v>0</v>
      </c>
      <c r="K218" s="2969">
        <v>8</v>
      </c>
      <c r="L218" s="2969">
        <f t="shared" si="395"/>
        <v>120</v>
      </c>
      <c r="M218" s="3070">
        <v>45888</v>
      </c>
      <c r="N218" s="3070">
        <f t="shared" ref="N218:N223" si="426">M218-4</f>
        <v>45884</v>
      </c>
      <c r="O218" s="2996"/>
      <c r="P218" s="2996" t="s">
        <v>82</v>
      </c>
      <c r="Q218" s="3071"/>
      <c r="R218" s="3071"/>
      <c r="S218" s="3071"/>
      <c r="T218" s="3071"/>
      <c r="U218" s="3072"/>
      <c r="V218" s="2996"/>
      <c r="W218" s="3073" t="s">
        <v>1577</v>
      </c>
      <c r="X218" s="3073"/>
      <c r="Y218" s="3073" t="s">
        <v>7270</v>
      </c>
      <c r="Z218" s="3073" t="s">
        <v>1578</v>
      </c>
      <c r="AA218" s="3073" t="s">
        <v>9758</v>
      </c>
      <c r="AB218" s="3091" t="s">
        <v>9759</v>
      </c>
      <c r="AC218" s="2969" t="s">
        <v>405</v>
      </c>
      <c r="AD218" s="3075">
        <v>4.1486</v>
      </c>
      <c r="AE218" s="3076">
        <f t="shared" si="415"/>
        <v>3982.656</v>
      </c>
      <c r="AF218" s="2969"/>
      <c r="AG218" s="2969" t="s">
        <v>9359</v>
      </c>
      <c r="AH218" s="2969" t="s">
        <v>416</v>
      </c>
      <c r="AI218" s="3077"/>
      <c r="AJ218" s="3078"/>
      <c r="AK218" s="3092"/>
      <c r="AL218" s="3078">
        <f t="shared" ref="AL218:AL223" si="427">I218</f>
        <v>960</v>
      </c>
      <c r="AM218" s="3092"/>
      <c r="AN218" s="3078"/>
      <c r="AO218" s="3097"/>
      <c r="AP218" s="3080">
        <f t="shared" si="416"/>
        <v>960</v>
      </c>
      <c r="AQ218" s="3080"/>
      <c r="AR218" s="3080"/>
      <c r="AS218" s="3081"/>
      <c r="AT218" s="3149"/>
      <c r="AU218" s="3097"/>
      <c r="AV218" s="3097"/>
      <c r="AW218" s="3150"/>
      <c r="AX218" s="3085">
        <f t="shared" si="396"/>
        <v>240</v>
      </c>
      <c r="AY218" s="3080">
        <f t="shared" si="417"/>
        <v>240</v>
      </c>
      <c r="AZ218" s="3080">
        <f t="shared" si="418"/>
        <v>240</v>
      </c>
      <c r="BA218" s="3086">
        <f t="shared" si="419"/>
        <v>240</v>
      </c>
      <c r="BB218" s="3087"/>
      <c r="BC218" s="3080"/>
      <c r="BD218" s="3081"/>
      <c r="BE218" s="3080"/>
      <c r="BF218" s="3080"/>
      <c r="BG218" s="3080"/>
      <c r="BH218" s="3080"/>
      <c r="BI218" s="3080"/>
      <c r="BJ218" s="3080"/>
      <c r="BK218" s="3080">
        <f t="shared" ref="BK218:BK223" si="428">I218</f>
        <v>960</v>
      </c>
      <c r="BL218" s="3080" t="s">
        <v>9164</v>
      </c>
      <c r="BM218" s="3097"/>
      <c r="BN218" s="3080">
        <f t="shared" si="400"/>
        <v>240</v>
      </c>
      <c r="BO218" s="3080">
        <f t="shared" si="401"/>
        <v>240</v>
      </c>
      <c r="BP218" s="3088">
        <f t="shared" si="402"/>
        <v>240</v>
      </c>
      <c r="BQ218" s="3088">
        <f t="shared" si="403"/>
        <v>240</v>
      </c>
      <c r="BR218" s="3080">
        <f t="shared" ref="BR218:BR223" si="429">BN218+BO218+BP218+BQ218-I218</f>
        <v>0</v>
      </c>
      <c r="BS218" s="3088"/>
      <c r="BT218" s="3088"/>
      <c r="BU218" s="3088"/>
      <c r="BV218" s="3088"/>
      <c r="BW218" s="3088"/>
      <c r="BX218" s="3088"/>
    </row>
    <row r="219" s="3031" customFormat="1" ht="32" customHeight="1" spans="1:76 16382:16384">
      <c r="A219" s="3063">
        <v>45834</v>
      </c>
      <c r="B219" s="3064" t="s">
        <v>1057</v>
      </c>
      <c r="C219" s="3065" t="s">
        <v>396</v>
      </c>
      <c r="D219" s="3066">
        <v>4500171342</v>
      </c>
      <c r="E219" s="3091" t="s">
        <v>1584</v>
      </c>
      <c r="F219" s="3066" t="s">
        <v>9760</v>
      </c>
      <c r="G219" s="3098" t="s">
        <v>9355</v>
      </c>
      <c r="H219" s="3069" t="s">
        <v>9356</v>
      </c>
      <c r="I219" s="2969">
        <v>240</v>
      </c>
      <c r="J219" s="2969">
        <v>0</v>
      </c>
      <c r="K219" s="2969">
        <v>8</v>
      </c>
      <c r="L219" s="2969">
        <f t="shared" si="395"/>
        <v>30</v>
      </c>
      <c r="M219" s="3070">
        <v>45888</v>
      </c>
      <c r="N219" s="3070">
        <f t="shared" si="426"/>
        <v>45884</v>
      </c>
      <c r="O219" s="3073"/>
      <c r="P219" s="2996" t="s">
        <v>82</v>
      </c>
      <c r="Q219" s="3071"/>
      <c r="R219" s="3071"/>
      <c r="S219" s="3071"/>
      <c r="T219" s="3071"/>
      <c r="U219" s="3072"/>
      <c r="V219" s="2996"/>
      <c r="W219" s="3073" t="s">
        <v>1577</v>
      </c>
      <c r="X219" s="3073"/>
      <c r="Y219" s="3073" t="s">
        <v>7270</v>
      </c>
      <c r="Z219" s="3073" t="s">
        <v>1578</v>
      </c>
      <c r="AA219" s="3073" t="s">
        <v>9758</v>
      </c>
      <c r="AB219" s="3091" t="s">
        <v>9759</v>
      </c>
      <c r="AC219" s="2969" t="s">
        <v>405</v>
      </c>
      <c r="AD219" s="3075">
        <v>4.1486</v>
      </c>
      <c r="AE219" s="3076">
        <f t="shared" si="415"/>
        <v>995.664</v>
      </c>
      <c r="AF219" s="2969"/>
      <c r="AG219" s="2969" t="s">
        <v>9359</v>
      </c>
      <c r="AH219" s="2969" t="s">
        <v>416</v>
      </c>
      <c r="AI219" s="3077"/>
      <c r="AJ219" s="3078"/>
      <c r="AK219" s="3092"/>
      <c r="AL219" s="3078">
        <f t="shared" si="427"/>
        <v>240</v>
      </c>
      <c r="AM219" s="3092"/>
      <c r="AN219" s="3078"/>
      <c r="AO219" s="3097"/>
      <c r="AP219" s="3080">
        <f t="shared" si="416"/>
        <v>240</v>
      </c>
      <c r="AQ219" s="3080"/>
      <c r="AR219" s="3080"/>
      <c r="AS219" s="3081"/>
      <c r="AT219" s="3149"/>
      <c r="AU219" s="3097"/>
      <c r="AV219" s="3097"/>
      <c r="AW219" s="3150"/>
      <c r="AX219" s="3085">
        <f t="shared" si="396"/>
        <v>60</v>
      </c>
      <c r="AY219" s="3080">
        <f t="shared" si="417"/>
        <v>60</v>
      </c>
      <c r="AZ219" s="3080">
        <f t="shared" si="418"/>
        <v>60</v>
      </c>
      <c r="BA219" s="3086">
        <f t="shared" si="419"/>
        <v>60</v>
      </c>
      <c r="BB219" s="3087"/>
      <c r="BC219" s="3080"/>
      <c r="BD219" s="3081"/>
      <c r="BE219" s="3080"/>
      <c r="BF219" s="3034"/>
      <c r="BG219" s="3034"/>
      <c r="BH219" s="3034"/>
      <c r="BI219" s="3034"/>
      <c r="BJ219" s="3034"/>
      <c r="BK219" s="3080">
        <f t="shared" si="428"/>
        <v>240</v>
      </c>
      <c r="BL219" s="3080" t="s">
        <v>9164</v>
      </c>
      <c r="BM219" s="3097"/>
      <c r="BN219" s="3080">
        <f t="shared" si="400"/>
        <v>60</v>
      </c>
      <c r="BO219" s="3080">
        <f t="shared" si="401"/>
        <v>60</v>
      </c>
      <c r="BP219" s="3088">
        <f t="shared" si="402"/>
        <v>60</v>
      </c>
      <c r="BQ219" s="3088">
        <f t="shared" si="403"/>
        <v>60</v>
      </c>
      <c r="BR219" s="3080">
        <f t="shared" si="429"/>
        <v>0</v>
      </c>
      <c r="BS219" s="3088"/>
      <c r="BT219" s="3088"/>
      <c r="BU219" s="3088"/>
      <c r="BV219" s="3088"/>
      <c r="BW219" s="3088"/>
      <c r="BX219" s="3088"/>
    </row>
    <row r="220" s="3031" customFormat="1" ht="32" customHeight="1" spans="1:76 16382:16384">
      <c r="A220" s="3063">
        <v>45834</v>
      </c>
      <c r="B220" s="3064" t="s">
        <v>1057</v>
      </c>
      <c r="C220" s="3065" t="s">
        <v>396</v>
      </c>
      <c r="D220" s="3066">
        <v>4500171342</v>
      </c>
      <c r="E220" s="3091" t="s">
        <v>1584</v>
      </c>
      <c r="F220" s="3066" t="s">
        <v>9761</v>
      </c>
      <c r="G220" s="3098" t="s">
        <v>9355</v>
      </c>
      <c r="H220" s="3069" t="s">
        <v>9356</v>
      </c>
      <c r="I220" s="2969">
        <v>960</v>
      </c>
      <c r="J220" s="2969">
        <v>0</v>
      </c>
      <c r="K220" s="2969">
        <v>8</v>
      </c>
      <c r="L220" s="2969">
        <f t="shared" si="395"/>
        <v>120</v>
      </c>
      <c r="M220" s="3070">
        <v>45888</v>
      </c>
      <c r="N220" s="3070">
        <f t="shared" si="426"/>
        <v>45884</v>
      </c>
      <c r="O220" s="3073"/>
      <c r="P220" s="2996" t="s">
        <v>82</v>
      </c>
      <c r="Q220" s="3071"/>
      <c r="R220" s="3071"/>
      <c r="S220" s="3071"/>
      <c r="T220" s="3071"/>
      <c r="U220" s="3072"/>
      <c r="V220" s="2996"/>
      <c r="W220" s="3073" t="s">
        <v>1577</v>
      </c>
      <c r="X220" s="3073"/>
      <c r="Y220" s="3073" t="s">
        <v>7270</v>
      </c>
      <c r="Z220" s="3073" t="s">
        <v>1578</v>
      </c>
      <c r="AA220" s="3073" t="s">
        <v>9758</v>
      </c>
      <c r="AB220" s="3091" t="s">
        <v>9759</v>
      </c>
      <c r="AC220" s="2969" t="s">
        <v>405</v>
      </c>
      <c r="AD220" s="3075">
        <v>4.1486</v>
      </c>
      <c r="AE220" s="3076">
        <f t="shared" si="415"/>
        <v>3982.656</v>
      </c>
      <c r="AF220" s="2969"/>
      <c r="AG220" s="2969" t="s">
        <v>9359</v>
      </c>
      <c r="AH220" s="2969" t="s">
        <v>416</v>
      </c>
      <c r="AI220" s="3077"/>
      <c r="AJ220" s="3078"/>
      <c r="AK220" s="3092"/>
      <c r="AL220" s="3078">
        <f t="shared" si="427"/>
        <v>960</v>
      </c>
      <c r="AM220" s="3092"/>
      <c r="AN220" s="3078"/>
      <c r="AO220" s="3097"/>
      <c r="AP220" s="3080">
        <f t="shared" si="416"/>
        <v>960</v>
      </c>
      <c r="AQ220" s="3080"/>
      <c r="AR220" s="3080"/>
      <c r="AS220" s="3081"/>
      <c r="AT220" s="3149"/>
      <c r="AU220" s="3097"/>
      <c r="AV220" s="3097"/>
      <c r="AW220" s="3150"/>
      <c r="AX220" s="3085">
        <f t="shared" si="396"/>
        <v>240</v>
      </c>
      <c r="AY220" s="3080">
        <f t="shared" si="417"/>
        <v>240</v>
      </c>
      <c r="AZ220" s="3080">
        <f t="shared" si="418"/>
        <v>240</v>
      </c>
      <c r="BA220" s="3086">
        <f t="shared" si="419"/>
        <v>240</v>
      </c>
      <c r="BB220" s="3087"/>
      <c r="BC220" s="3080"/>
      <c r="BD220" s="3081"/>
      <c r="BE220" s="3080"/>
      <c r="BF220" s="3034"/>
      <c r="BG220" s="3034"/>
      <c r="BH220" s="3034"/>
      <c r="BI220" s="3034"/>
      <c r="BJ220" s="3034"/>
      <c r="BK220" s="3080">
        <f t="shared" si="428"/>
        <v>960</v>
      </c>
      <c r="BL220" s="3080" t="s">
        <v>9164</v>
      </c>
      <c r="BM220" s="3097"/>
      <c r="BN220" s="3080">
        <f t="shared" si="400"/>
        <v>240</v>
      </c>
      <c r="BO220" s="3080">
        <f t="shared" si="401"/>
        <v>240</v>
      </c>
      <c r="BP220" s="3088">
        <f t="shared" si="402"/>
        <v>240</v>
      </c>
      <c r="BQ220" s="3088">
        <f t="shared" si="403"/>
        <v>240</v>
      </c>
      <c r="BR220" s="3080">
        <f t="shared" si="429"/>
        <v>0</v>
      </c>
      <c r="BS220" s="3088"/>
      <c r="BT220" s="3088"/>
      <c r="BU220" s="3088"/>
      <c r="BV220" s="3088"/>
      <c r="BW220" s="3088"/>
      <c r="BX220" s="3088"/>
    </row>
    <row r="221" s="3031" customFormat="1" ht="32" customHeight="1" spans="1:76 16382:16384">
      <c r="A221" s="3063">
        <v>45834</v>
      </c>
      <c r="B221" s="3064" t="s">
        <v>1057</v>
      </c>
      <c r="C221" s="3065" t="s">
        <v>396</v>
      </c>
      <c r="D221" s="3066">
        <v>4500171342</v>
      </c>
      <c r="E221" s="3091" t="s">
        <v>1584</v>
      </c>
      <c r="F221" s="3066" t="s">
        <v>9762</v>
      </c>
      <c r="G221" s="3098" t="s">
        <v>9355</v>
      </c>
      <c r="H221" s="3069" t="s">
        <v>9356</v>
      </c>
      <c r="I221" s="2969">
        <v>240</v>
      </c>
      <c r="J221" s="2969">
        <v>0</v>
      </c>
      <c r="K221" s="2969">
        <v>8</v>
      </c>
      <c r="L221" s="2969">
        <f t="shared" si="395"/>
        <v>30</v>
      </c>
      <c r="M221" s="3070">
        <v>45888</v>
      </c>
      <c r="N221" s="3070">
        <f t="shared" si="426"/>
        <v>45884</v>
      </c>
      <c r="O221" s="3073"/>
      <c r="P221" s="2996" t="s">
        <v>82</v>
      </c>
      <c r="Q221" s="3071"/>
      <c r="R221" s="3071"/>
      <c r="S221" s="3071"/>
      <c r="T221" s="3071"/>
      <c r="U221" s="3072"/>
      <c r="V221" s="2996"/>
      <c r="W221" s="3073" t="s">
        <v>1577</v>
      </c>
      <c r="X221" s="3073"/>
      <c r="Y221" s="3073" t="s">
        <v>7270</v>
      </c>
      <c r="Z221" s="3073" t="s">
        <v>1578</v>
      </c>
      <c r="AA221" s="3073" t="s">
        <v>9758</v>
      </c>
      <c r="AB221" s="3091" t="s">
        <v>9759</v>
      </c>
      <c r="AC221" s="2969" t="s">
        <v>405</v>
      </c>
      <c r="AD221" s="3075">
        <v>4.1486</v>
      </c>
      <c r="AE221" s="3076">
        <f t="shared" si="415"/>
        <v>995.664</v>
      </c>
      <c r="AF221" s="2969"/>
      <c r="AG221" s="2969" t="s">
        <v>9359</v>
      </c>
      <c r="AH221" s="2969" t="s">
        <v>416</v>
      </c>
      <c r="AI221" s="3077"/>
      <c r="AJ221" s="3078"/>
      <c r="AK221" s="3092"/>
      <c r="AL221" s="3078">
        <f t="shared" si="427"/>
        <v>240</v>
      </c>
      <c r="AM221" s="3092"/>
      <c r="AN221" s="3078"/>
      <c r="AO221" s="3097"/>
      <c r="AP221" s="3080">
        <f t="shared" si="416"/>
        <v>240</v>
      </c>
      <c r="AQ221" s="3080"/>
      <c r="AR221" s="3080"/>
      <c r="AS221" s="3081"/>
      <c r="AT221" s="3149"/>
      <c r="AU221" s="3097"/>
      <c r="AV221" s="3097"/>
      <c r="AW221" s="3150"/>
      <c r="AX221" s="3085">
        <f t="shared" si="396"/>
        <v>60</v>
      </c>
      <c r="AY221" s="3080">
        <f t="shared" si="417"/>
        <v>60</v>
      </c>
      <c r="AZ221" s="3080">
        <f t="shared" si="418"/>
        <v>60</v>
      </c>
      <c r="BA221" s="3086">
        <f t="shared" si="419"/>
        <v>60</v>
      </c>
      <c r="BB221" s="3087"/>
      <c r="BC221" s="3080"/>
      <c r="BD221" s="3081"/>
      <c r="BE221" s="3080"/>
      <c r="BF221" s="3034"/>
      <c r="BG221" s="3034"/>
      <c r="BH221" s="3034"/>
      <c r="BI221" s="3034"/>
      <c r="BJ221" s="3034"/>
      <c r="BK221" s="3080">
        <f t="shared" si="428"/>
        <v>240</v>
      </c>
      <c r="BL221" s="3080" t="s">
        <v>9164</v>
      </c>
      <c r="BM221" s="3097"/>
      <c r="BN221" s="3080">
        <f t="shared" si="400"/>
        <v>60</v>
      </c>
      <c r="BO221" s="3080">
        <f t="shared" si="401"/>
        <v>60</v>
      </c>
      <c r="BP221" s="3088">
        <f t="shared" si="402"/>
        <v>60</v>
      </c>
      <c r="BQ221" s="3088">
        <f t="shared" si="403"/>
        <v>60</v>
      </c>
      <c r="BR221" s="3080">
        <f t="shared" si="429"/>
        <v>0</v>
      </c>
      <c r="BS221" s="3088"/>
      <c r="BT221" s="3088"/>
      <c r="BU221" s="3088"/>
      <c r="BV221" s="3088"/>
      <c r="BW221" s="3088"/>
      <c r="BX221" s="3088"/>
    </row>
    <row r="222" s="3031" customFormat="1" ht="32" customHeight="1" spans="1:76 16382:16384">
      <c r="A222" s="3063">
        <v>45834</v>
      </c>
      <c r="B222" s="3064" t="s">
        <v>1057</v>
      </c>
      <c r="C222" s="3065" t="s">
        <v>396</v>
      </c>
      <c r="D222" s="3066">
        <v>4500171342</v>
      </c>
      <c r="E222" s="3091" t="s">
        <v>1584</v>
      </c>
      <c r="F222" s="3066" t="s">
        <v>9763</v>
      </c>
      <c r="G222" s="3098" t="s">
        <v>9355</v>
      </c>
      <c r="H222" s="3069" t="s">
        <v>9356</v>
      </c>
      <c r="I222" s="2969">
        <v>160</v>
      </c>
      <c r="J222" s="2969">
        <v>0</v>
      </c>
      <c r="K222" s="2969">
        <v>8</v>
      </c>
      <c r="L222" s="2969">
        <f t="shared" si="395"/>
        <v>20</v>
      </c>
      <c r="M222" s="3070">
        <v>45888</v>
      </c>
      <c r="N222" s="3070">
        <f t="shared" si="426"/>
        <v>45884</v>
      </c>
      <c r="O222" s="3073"/>
      <c r="P222" s="2996" t="s">
        <v>82</v>
      </c>
      <c r="Q222" s="3071"/>
      <c r="R222" s="3071"/>
      <c r="S222" s="3071"/>
      <c r="T222" s="3071"/>
      <c r="U222" s="3072"/>
      <c r="V222" s="2996"/>
      <c r="W222" s="3073" t="s">
        <v>1577</v>
      </c>
      <c r="X222" s="3073"/>
      <c r="Y222" s="3073" t="s">
        <v>7270</v>
      </c>
      <c r="Z222" s="3073" t="s">
        <v>1578</v>
      </c>
      <c r="AA222" s="3073" t="s">
        <v>9758</v>
      </c>
      <c r="AB222" s="3091" t="s">
        <v>9759</v>
      </c>
      <c r="AC222" s="2969" t="s">
        <v>405</v>
      </c>
      <c r="AD222" s="3075">
        <v>4.1486</v>
      </c>
      <c r="AE222" s="3076">
        <f t="shared" si="415"/>
        <v>663.776</v>
      </c>
      <c r="AF222" s="2969"/>
      <c r="AG222" s="2969" t="s">
        <v>9359</v>
      </c>
      <c r="AH222" s="2969" t="s">
        <v>416</v>
      </c>
      <c r="AI222" s="3077"/>
      <c r="AJ222" s="3078"/>
      <c r="AK222" s="3092"/>
      <c r="AL222" s="3078">
        <f t="shared" si="427"/>
        <v>160</v>
      </c>
      <c r="AM222" s="3092"/>
      <c r="AN222" s="3078"/>
      <c r="AO222" s="3097"/>
      <c r="AP222" s="3080">
        <f t="shared" si="416"/>
        <v>160</v>
      </c>
      <c r="AQ222" s="3080"/>
      <c r="AR222" s="3080"/>
      <c r="AS222" s="3081"/>
      <c r="AT222" s="3149"/>
      <c r="AU222" s="3097"/>
      <c r="AV222" s="3097"/>
      <c r="AW222" s="3150"/>
      <c r="AX222" s="3085">
        <f t="shared" si="396"/>
        <v>40</v>
      </c>
      <c r="AY222" s="3080">
        <f t="shared" si="417"/>
        <v>40</v>
      </c>
      <c r="AZ222" s="3080">
        <f t="shared" si="418"/>
        <v>40</v>
      </c>
      <c r="BA222" s="3086">
        <f t="shared" si="419"/>
        <v>40</v>
      </c>
      <c r="BB222" s="3087"/>
      <c r="BC222" s="3080"/>
      <c r="BD222" s="3081"/>
      <c r="BE222" s="3080"/>
      <c r="BF222" s="3034"/>
      <c r="BG222" s="3034"/>
      <c r="BH222" s="3034"/>
      <c r="BI222" s="3034"/>
      <c r="BJ222" s="3034"/>
      <c r="BK222" s="3080">
        <f t="shared" si="428"/>
        <v>160</v>
      </c>
      <c r="BL222" s="3080" t="s">
        <v>9164</v>
      </c>
      <c r="BM222" s="3097"/>
      <c r="BN222" s="3080">
        <f t="shared" si="400"/>
        <v>40</v>
      </c>
      <c r="BO222" s="3080">
        <f t="shared" si="401"/>
        <v>40</v>
      </c>
      <c r="BP222" s="3088">
        <f t="shared" si="402"/>
        <v>40</v>
      </c>
      <c r="BQ222" s="3088">
        <f t="shared" si="403"/>
        <v>40</v>
      </c>
      <c r="BR222" s="3080">
        <f t="shared" si="429"/>
        <v>0</v>
      </c>
      <c r="BS222" s="3088"/>
      <c r="BT222" s="3088"/>
      <c r="BU222" s="3088"/>
      <c r="BV222" s="3088"/>
      <c r="BW222" s="3088"/>
      <c r="BX222" s="3088"/>
    </row>
    <row r="223" s="3031" customFormat="1" ht="32" customHeight="1" spans="1:76 16382:16384">
      <c r="A223" s="3063">
        <v>45834</v>
      </c>
      <c r="B223" s="3064" t="s">
        <v>1057</v>
      </c>
      <c r="C223" s="3065" t="s">
        <v>396</v>
      </c>
      <c r="D223" s="3066">
        <v>4500171342</v>
      </c>
      <c r="E223" s="3091" t="s">
        <v>1584</v>
      </c>
      <c r="F223" s="3066" t="s">
        <v>9764</v>
      </c>
      <c r="G223" s="3098" t="s">
        <v>9355</v>
      </c>
      <c r="H223" s="3069" t="s">
        <v>9356</v>
      </c>
      <c r="I223" s="2969">
        <v>80</v>
      </c>
      <c r="J223" s="2969">
        <v>0</v>
      </c>
      <c r="K223" s="2969">
        <v>8</v>
      </c>
      <c r="L223" s="2969">
        <f t="shared" si="395"/>
        <v>10</v>
      </c>
      <c r="M223" s="3070">
        <v>45888</v>
      </c>
      <c r="N223" s="3070">
        <f t="shared" si="426"/>
        <v>45884</v>
      </c>
      <c r="O223" s="3073"/>
      <c r="P223" s="2996" t="s">
        <v>82</v>
      </c>
      <c r="Q223" s="3071"/>
      <c r="R223" s="3071"/>
      <c r="S223" s="3071"/>
      <c r="T223" s="3071"/>
      <c r="U223" s="3072"/>
      <c r="V223" s="2996"/>
      <c r="W223" s="3073" t="s">
        <v>1577</v>
      </c>
      <c r="X223" s="3073"/>
      <c r="Y223" s="3073" t="s">
        <v>7270</v>
      </c>
      <c r="Z223" s="3073" t="s">
        <v>1578</v>
      </c>
      <c r="AA223" s="3073" t="s">
        <v>9758</v>
      </c>
      <c r="AB223" s="3091" t="s">
        <v>9759</v>
      </c>
      <c r="AC223" s="2969" t="s">
        <v>405</v>
      </c>
      <c r="AD223" s="3075">
        <v>4.1486</v>
      </c>
      <c r="AE223" s="3076">
        <f t="shared" si="415"/>
        <v>331.888</v>
      </c>
      <c r="AF223" s="2969"/>
      <c r="AG223" s="2969" t="s">
        <v>9359</v>
      </c>
      <c r="AH223" s="2969" t="s">
        <v>416</v>
      </c>
      <c r="AI223" s="3077"/>
      <c r="AJ223" s="3078"/>
      <c r="AK223" s="3092"/>
      <c r="AL223" s="3078">
        <f t="shared" si="427"/>
        <v>80</v>
      </c>
      <c r="AM223" s="3092"/>
      <c r="AN223" s="3078"/>
      <c r="AO223" s="3097"/>
      <c r="AP223" s="3080">
        <f t="shared" si="416"/>
        <v>80</v>
      </c>
      <c r="AQ223" s="3080"/>
      <c r="AR223" s="3080"/>
      <c r="AS223" s="3081"/>
      <c r="AT223" s="3149"/>
      <c r="AU223" s="3097"/>
      <c r="AV223" s="3097"/>
      <c r="AW223" s="3150"/>
      <c r="AX223" s="3085">
        <f t="shared" si="396"/>
        <v>20</v>
      </c>
      <c r="AY223" s="3080">
        <f t="shared" si="417"/>
        <v>20</v>
      </c>
      <c r="AZ223" s="3080">
        <f t="shared" si="418"/>
        <v>20</v>
      </c>
      <c r="BA223" s="3086">
        <f t="shared" si="419"/>
        <v>20</v>
      </c>
      <c r="BB223" s="3087"/>
      <c r="BC223" s="3080"/>
      <c r="BD223" s="3081"/>
      <c r="BE223" s="3080"/>
      <c r="BF223" s="3034"/>
      <c r="BG223" s="3034"/>
      <c r="BH223" s="3034"/>
      <c r="BI223" s="3034"/>
      <c r="BJ223" s="3034"/>
      <c r="BK223" s="3080">
        <f t="shared" si="428"/>
        <v>80</v>
      </c>
      <c r="BL223" s="3080" t="s">
        <v>9164</v>
      </c>
      <c r="BM223" s="3097"/>
      <c r="BN223" s="3080">
        <f t="shared" si="400"/>
        <v>20</v>
      </c>
      <c r="BO223" s="3080">
        <f t="shared" si="401"/>
        <v>20</v>
      </c>
      <c r="BP223" s="3088">
        <f t="shared" si="402"/>
        <v>20</v>
      </c>
      <c r="BQ223" s="3088">
        <f t="shared" si="403"/>
        <v>20</v>
      </c>
      <c r="BR223" s="3080">
        <f t="shared" si="429"/>
        <v>0</v>
      </c>
      <c r="BS223" s="3088"/>
      <c r="BT223" s="3088"/>
      <c r="BU223" s="3088"/>
      <c r="BV223" s="3088"/>
      <c r="BW223" s="3088"/>
      <c r="BX223" s="3088"/>
    </row>
    <row r="224" s="3031" customFormat="1" ht="32" customHeight="1" spans="1:76 16382:16384">
      <c r="A224" s="3063">
        <v>45836</v>
      </c>
      <c r="B224" s="3064" t="s">
        <v>1617</v>
      </c>
      <c r="C224" s="3065" t="s">
        <v>91</v>
      </c>
      <c r="D224" s="3066">
        <v>4500171783</v>
      </c>
      <c r="E224" s="3091" t="s">
        <v>4613</v>
      </c>
      <c r="F224" s="3066" t="s">
        <v>9765</v>
      </c>
      <c r="G224" s="3098" t="s">
        <v>9154</v>
      </c>
      <c r="H224" s="3069" t="s">
        <v>9155</v>
      </c>
      <c r="I224" s="2969">
        <v>1200</v>
      </c>
      <c r="J224" s="2969">
        <v>0</v>
      </c>
      <c r="K224" s="2969">
        <v>8</v>
      </c>
      <c r="L224" s="2969">
        <f t="shared" si="395"/>
        <v>150</v>
      </c>
      <c r="M224" s="3070">
        <v>45889</v>
      </c>
      <c r="N224" s="3070">
        <v>45885</v>
      </c>
      <c r="O224" s="3073"/>
      <c r="P224" s="2996" t="s">
        <v>82</v>
      </c>
      <c r="Q224" s="3071"/>
      <c r="R224" s="3071"/>
      <c r="S224" s="3071"/>
      <c r="T224" s="3071"/>
      <c r="U224" s="3072" t="s">
        <v>4615</v>
      </c>
      <c r="V224" s="2996"/>
      <c r="W224" s="3073" t="s">
        <v>390</v>
      </c>
      <c r="X224" s="3073"/>
      <c r="Y224" s="3073" t="s">
        <v>98</v>
      </c>
      <c r="Z224" s="3073" t="s">
        <v>9766</v>
      </c>
      <c r="AA224" s="3073"/>
      <c r="AB224" s="3091" t="s">
        <v>1621</v>
      </c>
      <c r="AC224" s="2969" t="s">
        <v>393</v>
      </c>
      <c r="AD224" s="3075">
        <v>2.4958</v>
      </c>
      <c r="AE224" s="3076">
        <f t="shared" si="415"/>
        <v>2994.96</v>
      </c>
      <c r="AF224" s="2969" t="s">
        <v>9767</v>
      </c>
      <c r="AG224" s="2969" t="s">
        <v>9154</v>
      </c>
      <c r="AH224" s="2969" t="s">
        <v>416</v>
      </c>
      <c r="AI224" s="3077"/>
      <c r="AJ224" s="3078">
        <f t="shared" ref="AJ224:AJ229" si="430">I224</f>
        <v>1200</v>
      </c>
      <c r="AK224" s="3092"/>
      <c r="AL224" s="3078"/>
      <c r="AM224" s="3092"/>
      <c r="AN224" s="3078"/>
      <c r="AO224" s="3097"/>
      <c r="AP224" s="3080">
        <f t="shared" si="416"/>
        <v>1200</v>
      </c>
      <c r="AQ224" s="3080"/>
      <c r="AR224" s="3080"/>
      <c r="AS224" s="3081"/>
      <c r="AT224" s="3149"/>
      <c r="AU224" s="3097"/>
      <c r="AV224" s="3097"/>
      <c r="AW224" s="3150"/>
      <c r="AX224" s="3085">
        <f t="shared" si="396"/>
        <v>300</v>
      </c>
      <c r="AY224" s="3080">
        <f t="shared" si="417"/>
        <v>300</v>
      </c>
      <c r="AZ224" s="3080">
        <f t="shared" si="418"/>
        <v>300</v>
      </c>
      <c r="BA224" s="3086">
        <f t="shared" si="419"/>
        <v>300</v>
      </c>
      <c r="BB224" s="3087"/>
      <c r="BC224" s="3080"/>
      <c r="BD224" s="3081"/>
      <c r="BE224" s="3080"/>
      <c r="BF224" s="3034"/>
      <c r="BG224" s="3034"/>
      <c r="BH224" s="3034"/>
      <c r="BI224" s="3034"/>
      <c r="BJ224" s="3089">
        <f t="shared" ref="BJ224:BJ232" si="431">I224</f>
        <v>1200</v>
      </c>
      <c r="BK224" s="3080"/>
      <c r="BL224" s="3080" t="s">
        <v>9164</v>
      </c>
      <c r="BM224" s="3097"/>
      <c r="BN224" s="3080">
        <f t="shared" si="400"/>
        <v>300</v>
      </c>
      <c r="BO224" s="3080">
        <f t="shared" si="401"/>
        <v>300</v>
      </c>
      <c r="BP224" s="3080">
        <f t="shared" si="402"/>
        <v>300</v>
      </c>
      <c r="BQ224" s="3088">
        <f t="shared" si="403"/>
        <v>300</v>
      </c>
      <c r="BR224" s="3080">
        <f t="shared" ref="BR224:BR287" si="432">BN224+BO224+BP224+BQ224-I224</f>
        <v>0</v>
      </c>
      <c r="BS224" s="3088"/>
      <c r="BT224" s="3088"/>
      <c r="BU224" s="3088"/>
      <c r="BV224" s="3088"/>
      <c r="BW224" s="3088"/>
      <c r="BX224" s="3088"/>
    </row>
    <row r="225" s="3031" customFormat="1" ht="32" customHeight="1" spans="1:243 16384:16384">
      <c r="A225" s="3063">
        <v>45798</v>
      </c>
      <c r="B225" s="3064" t="s">
        <v>6682</v>
      </c>
      <c r="C225" s="3065" t="s">
        <v>396</v>
      </c>
      <c r="D225" s="3066">
        <v>4500167327</v>
      </c>
      <c r="E225" s="3091">
        <v>9900925830</v>
      </c>
      <c r="F225" s="3066" t="s">
        <v>9768</v>
      </c>
      <c r="G225" s="3098" t="s">
        <v>9769</v>
      </c>
      <c r="H225" s="3069" t="s">
        <v>9770</v>
      </c>
      <c r="I225" s="2969">
        <v>440</v>
      </c>
      <c r="J225" s="2969">
        <v>0</v>
      </c>
      <c r="K225" s="2969">
        <v>40</v>
      </c>
      <c r="L225" s="2969">
        <f t="shared" si="395"/>
        <v>11</v>
      </c>
      <c r="M225" s="3070">
        <v>45894</v>
      </c>
      <c r="N225" s="3070">
        <f>M225-4</f>
        <v>45890</v>
      </c>
      <c r="O225" s="2996" t="s">
        <v>9771</v>
      </c>
      <c r="P225" s="2996" t="s">
        <v>82</v>
      </c>
      <c r="Q225" s="3071"/>
      <c r="R225" s="3071"/>
      <c r="S225" s="3071"/>
      <c r="T225" s="3071"/>
      <c r="U225" s="3072" t="s">
        <v>236</v>
      </c>
      <c r="V225" s="2996"/>
      <c r="W225" s="3073" t="s">
        <v>2441</v>
      </c>
      <c r="X225" s="3073"/>
      <c r="Y225" s="3073" t="s">
        <v>9721</v>
      </c>
      <c r="Z225" s="3073" t="s">
        <v>9772</v>
      </c>
      <c r="AA225" s="3073" t="s">
        <v>9722</v>
      </c>
      <c r="AB225" s="3091" t="s">
        <v>9773</v>
      </c>
      <c r="AC225" s="2969" t="s">
        <v>6688</v>
      </c>
      <c r="AD225" s="3075">
        <v>192.7305</v>
      </c>
      <c r="AE225" s="3076">
        <f>AD225*L225</f>
        <v>2120.0355</v>
      </c>
      <c r="AF225" s="2969" t="s">
        <v>9774</v>
      </c>
      <c r="AG225" s="3098" t="s">
        <v>9775</v>
      </c>
      <c r="AH225" s="2969" t="s">
        <v>416</v>
      </c>
      <c r="AI225" s="3161"/>
      <c r="AJ225" s="3078"/>
      <c r="AK225" s="3092"/>
      <c r="AL225" s="3078"/>
      <c r="AM225" s="3092"/>
      <c r="AN225" s="3078">
        <f>I225</f>
        <v>440</v>
      </c>
      <c r="AO225" s="3097"/>
      <c r="AP225" s="3080">
        <f t="shared" si="416"/>
        <v>440</v>
      </c>
      <c r="AQ225" s="3080"/>
      <c r="AR225" s="3080"/>
      <c r="AS225" s="3081"/>
      <c r="AT225" s="3149"/>
      <c r="AU225" s="3097"/>
      <c r="AV225" s="3097"/>
      <c r="AW225" s="3150"/>
      <c r="AX225" s="3085">
        <f t="shared" si="396"/>
        <v>110</v>
      </c>
      <c r="AY225" s="3080">
        <f>AX225</f>
        <v>110</v>
      </c>
      <c r="AZ225" s="3080">
        <f>AX225</f>
        <v>110</v>
      </c>
      <c r="BA225" s="3086">
        <f>AX225</f>
        <v>110</v>
      </c>
      <c r="BB225" s="3087"/>
      <c r="BC225" s="3080"/>
      <c r="BD225" s="3081"/>
      <c r="BE225" s="3080"/>
      <c r="BF225" s="3080"/>
      <c r="BG225" s="3080">
        <f>L225</f>
        <v>11</v>
      </c>
      <c r="BH225" s="3080"/>
      <c r="BI225" s="3080"/>
      <c r="BJ225" s="3080"/>
      <c r="BK225" s="3080">
        <f>I225</f>
        <v>440</v>
      </c>
      <c r="BL225" s="3080" t="s">
        <v>9164</v>
      </c>
      <c r="BM225" s="3097"/>
      <c r="BN225" s="3080">
        <f t="shared" si="400"/>
        <v>110</v>
      </c>
      <c r="BO225" s="3080">
        <f t="shared" si="401"/>
        <v>110</v>
      </c>
      <c r="BP225" s="3080">
        <f t="shared" si="402"/>
        <v>110</v>
      </c>
      <c r="BQ225" s="3080">
        <f t="shared" si="403"/>
        <v>110</v>
      </c>
      <c r="BR225" s="3080">
        <f t="shared" si="432"/>
        <v>0</v>
      </c>
      <c r="BS225" s="3088">
        <f>BN225+BO225+BP225+BQ225+$BS$369</f>
        <v>512920</v>
      </c>
      <c r="BT225" s="3088"/>
      <c r="BU225" s="3088"/>
      <c r="BV225" s="3088"/>
      <c r="BW225" s="3088"/>
      <c r="BX225" s="3088"/>
    </row>
    <row r="226" s="3031" customFormat="1" ht="32" customHeight="1" spans="1:243 16384:16384">
      <c r="A226" s="3063">
        <v>45860</v>
      </c>
      <c r="B226" s="3064" t="s">
        <v>2285</v>
      </c>
      <c r="C226" s="3065" t="s">
        <v>351</v>
      </c>
      <c r="D226" s="3066">
        <v>4500173317</v>
      </c>
      <c r="E226" s="3091" t="s">
        <v>3330</v>
      </c>
      <c r="F226" s="3066" t="s">
        <v>9776</v>
      </c>
      <c r="G226" s="3098" t="s">
        <v>9154</v>
      </c>
      <c r="H226" s="3069" t="s">
        <v>9155</v>
      </c>
      <c r="I226" s="2969">
        <v>1936</v>
      </c>
      <c r="J226" s="2969">
        <v>0</v>
      </c>
      <c r="K226" s="2969">
        <v>8</v>
      </c>
      <c r="L226" s="2969">
        <f t="shared" si="395"/>
        <v>242</v>
      </c>
      <c r="M226" s="3070">
        <v>45899</v>
      </c>
      <c r="N226" s="3070">
        <v>45895</v>
      </c>
      <c r="O226" s="2996"/>
      <c r="P226" s="2996" t="s">
        <v>82</v>
      </c>
      <c r="Q226" s="3071"/>
      <c r="R226" s="3071"/>
      <c r="S226" s="3071"/>
      <c r="T226" s="3071"/>
      <c r="U226" s="3072"/>
      <c r="V226" s="2996"/>
      <c r="W226" s="3073" t="s">
        <v>1859</v>
      </c>
      <c r="X226" s="3073"/>
      <c r="Y226" s="3073" t="s">
        <v>9749</v>
      </c>
      <c r="Z226" s="3073"/>
      <c r="AA226" s="3073"/>
      <c r="AB226" s="3091" t="s">
        <v>9777</v>
      </c>
      <c r="AC226" s="2969" t="s">
        <v>1199</v>
      </c>
      <c r="AD226" s="3075">
        <v>4.1486</v>
      </c>
      <c r="AE226" s="3076">
        <f t="shared" ref="AE226:AE239" si="433">AD226*I226</f>
        <v>8031.6896</v>
      </c>
      <c r="AF226" s="2969" t="s">
        <v>9778</v>
      </c>
      <c r="AG226" s="2969" t="s">
        <v>9154</v>
      </c>
      <c r="AH226" s="2969" t="s">
        <v>416</v>
      </c>
      <c r="AI226" s="3162"/>
      <c r="AJ226" s="3078">
        <f t="shared" si="430"/>
        <v>1936</v>
      </c>
      <c r="AK226" s="3138"/>
      <c r="AL226" s="3078"/>
      <c r="AM226" s="3138"/>
      <c r="AN226" s="3078"/>
      <c r="AO226" s="3141"/>
      <c r="AP226" s="3080">
        <f t="shared" si="416"/>
        <v>1936</v>
      </c>
      <c r="AQ226" s="3080"/>
      <c r="AR226" s="3080"/>
      <c r="AS226" s="3081"/>
      <c r="AT226" s="3142"/>
      <c r="AU226" s="3141"/>
      <c r="AV226" s="3141"/>
      <c r="AW226" s="3143"/>
      <c r="AX226" s="3085">
        <f t="shared" si="396"/>
        <v>484</v>
      </c>
      <c r="AY226" s="3080">
        <f t="shared" ref="AY226:AY232" si="434">I226/4</f>
        <v>484</v>
      </c>
      <c r="AZ226" s="3080">
        <f t="shared" ref="AZ226:AZ232" si="435">I226/4</f>
        <v>484</v>
      </c>
      <c r="BA226" s="3086">
        <f t="shared" ref="BA226:BA232" si="436">I226/4</f>
        <v>484</v>
      </c>
      <c r="BB226" s="3087"/>
      <c r="BC226" s="3080"/>
      <c r="BD226" s="3081"/>
      <c r="BE226" s="3080"/>
      <c r="BF226" s="3080"/>
      <c r="BG226" s="3080"/>
      <c r="BH226" s="3080"/>
      <c r="BI226" s="3080"/>
      <c r="BJ226" s="3080">
        <f t="shared" si="431"/>
        <v>1936</v>
      </c>
      <c r="BK226" s="3080"/>
      <c r="BL226" s="3080" t="s">
        <v>9164</v>
      </c>
      <c r="BM226" s="3141"/>
      <c r="BN226" s="3080">
        <f t="shared" si="400"/>
        <v>484</v>
      </c>
      <c r="BO226" s="3080">
        <f t="shared" si="401"/>
        <v>484</v>
      </c>
      <c r="BP226" s="3080">
        <f t="shared" si="402"/>
        <v>484</v>
      </c>
      <c r="BQ226" s="3088">
        <f t="shared" si="403"/>
        <v>484</v>
      </c>
      <c r="BR226" s="3080">
        <f t="shared" si="432"/>
        <v>0</v>
      </c>
      <c r="BS226" s="3088"/>
      <c r="BT226" s="3088"/>
      <c r="BU226" s="3088"/>
      <c r="BV226" s="3088"/>
      <c r="BW226" s="3088"/>
      <c r="BX226" s="3088"/>
    </row>
    <row r="227" s="3031" customFormat="1" ht="32" customHeight="1" spans="1:243 16384:16384">
      <c r="A227" s="3063">
        <v>45860</v>
      </c>
      <c r="B227" s="3064" t="s">
        <v>2285</v>
      </c>
      <c r="C227" s="3065" t="s">
        <v>351</v>
      </c>
      <c r="D227" s="3066">
        <v>4500173317</v>
      </c>
      <c r="E227" s="3091" t="s">
        <v>3336</v>
      </c>
      <c r="F227" s="3066" t="s">
        <v>9779</v>
      </c>
      <c r="G227" s="3098" t="s">
        <v>9154</v>
      </c>
      <c r="H227" s="3069" t="s">
        <v>9155</v>
      </c>
      <c r="I227" s="2969">
        <v>720</v>
      </c>
      <c r="J227" s="2969">
        <v>0</v>
      </c>
      <c r="K227" s="2969">
        <v>8</v>
      </c>
      <c r="L227" s="2969">
        <f t="shared" si="395"/>
        <v>90</v>
      </c>
      <c r="M227" s="3070">
        <v>45899</v>
      </c>
      <c r="N227" s="3070">
        <v>45895</v>
      </c>
      <c r="O227" s="2996"/>
      <c r="P227" s="2996" t="s">
        <v>82</v>
      </c>
      <c r="Q227" s="3071"/>
      <c r="R227" s="3071"/>
      <c r="S227" s="3071"/>
      <c r="T227" s="3071"/>
      <c r="U227" s="3072" t="s">
        <v>1883</v>
      </c>
      <c r="V227" s="2996"/>
      <c r="W227" s="3073" t="s">
        <v>1859</v>
      </c>
      <c r="X227" s="3073"/>
      <c r="Y227" s="3073" t="s">
        <v>9749</v>
      </c>
      <c r="Z227" s="3073"/>
      <c r="AA227" s="3073"/>
      <c r="AB227" s="3091" t="s">
        <v>9777</v>
      </c>
      <c r="AC227" s="2969" t="s">
        <v>1199</v>
      </c>
      <c r="AD227" s="3075">
        <v>4.1486</v>
      </c>
      <c r="AE227" s="3076">
        <f t="shared" si="433"/>
        <v>2986.992</v>
      </c>
      <c r="AF227" s="2969" t="s">
        <v>9780</v>
      </c>
      <c r="AG227" s="2969" t="s">
        <v>9154</v>
      </c>
      <c r="AH227" s="2969" t="s">
        <v>416</v>
      </c>
      <c r="AI227" s="3162"/>
      <c r="AJ227" s="3078">
        <f t="shared" si="430"/>
        <v>720</v>
      </c>
      <c r="AK227" s="3138"/>
      <c r="AL227" s="3078"/>
      <c r="AM227" s="3138"/>
      <c r="AN227" s="3078"/>
      <c r="AO227" s="3141"/>
      <c r="AP227" s="3080">
        <f t="shared" si="416"/>
        <v>720</v>
      </c>
      <c r="AQ227" s="3080"/>
      <c r="AR227" s="3080"/>
      <c r="AS227" s="3081"/>
      <c r="AT227" s="3142"/>
      <c r="AU227" s="3141"/>
      <c r="AV227" s="3141"/>
      <c r="AW227" s="3143"/>
      <c r="AX227" s="3085">
        <f t="shared" si="396"/>
        <v>180</v>
      </c>
      <c r="AY227" s="3080">
        <f t="shared" si="434"/>
        <v>180</v>
      </c>
      <c r="AZ227" s="3080">
        <f t="shared" si="435"/>
        <v>180</v>
      </c>
      <c r="BA227" s="3086">
        <f t="shared" si="436"/>
        <v>180</v>
      </c>
      <c r="BB227" s="3087"/>
      <c r="BC227" s="3080"/>
      <c r="BD227" s="3081"/>
      <c r="BE227" s="3080"/>
      <c r="BF227" s="3080"/>
      <c r="BG227" s="3080"/>
      <c r="BH227" s="3080"/>
      <c r="BI227" s="3080"/>
      <c r="BJ227" s="3080">
        <f t="shared" si="431"/>
        <v>720</v>
      </c>
      <c r="BK227" s="3080"/>
      <c r="BL227" s="3080" t="s">
        <v>9164</v>
      </c>
      <c r="BM227" s="3141"/>
      <c r="BN227" s="3080">
        <f t="shared" si="400"/>
        <v>180</v>
      </c>
      <c r="BO227" s="3080">
        <f t="shared" si="401"/>
        <v>180</v>
      </c>
      <c r="BP227" s="3080">
        <f t="shared" si="402"/>
        <v>180</v>
      </c>
      <c r="BQ227" s="3088">
        <f t="shared" si="403"/>
        <v>180</v>
      </c>
      <c r="BR227" s="3080">
        <f t="shared" si="432"/>
        <v>0</v>
      </c>
      <c r="BS227" s="3088"/>
      <c r="BT227" s="3088"/>
      <c r="BU227" s="3088"/>
      <c r="BV227" s="3088"/>
      <c r="BW227" s="3088"/>
      <c r="BX227" s="3088"/>
    </row>
    <row r="228" s="3031" customFormat="1" ht="32" customHeight="1" spans="1:243 16384:16384">
      <c r="A228" s="3063">
        <v>45862</v>
      </c>
      <c r="B228" s="3064" t="s">
        <v>2005</v>
      </c>
      <c r="C228" s="3065" t="s">
        <v>673</v>
      </c>
      <c r="D228" s="3066">
        <v>4500174847</v>
      </c>
      <c r="E228" s="3091">
        <v>5000001948</v>
      </c>
      <c r="F228" s="3066" t="s">
        <v>9781</v>
      </c>
      <c r="G228" s="3098" t="s">
        <v>9270</v>
      </c>
      <c r="H228" s="3069" t="s">
        <v>9155</v>
      </c>
      <c r="I228" s="2969">
        <v>600</v>
      </c>
      <c r="J228" s="2969">
        <v>0</v>
      </c>
      <c r="K228" s="2969">
        <v>4</v>
      </c>
      <c r="L228" s="2969">
        <f t="shared" si="395"/>
        <v>150</v>
      </c>
      <c r="M228" s="3070">
        <v>45902</v>
      </c>
      <c r="N228" s="3070">
        <f t="shared" ref="N228:N232" si="437">M228-4</f>
        <v>45898</v>
      </c>
      <c r="O228" s="2996"/>
      <c r="P228" s="2996" t="s">
        <v>82</v>
      </c>
      <c r="Q228" s="3071"/>
      <c r="R228" s="3071"/>
      <c r="S228" s="3071"/>
      <c r="T228" s="3071"/>
      <c r="U228" s="3072" t="s">
        <v>1883</v>
      </c>
      <c r="V228" s="2996"/>
      <c r="W228" s="3073" t="s">
        <v>9782</v>
      </c>
      <c r="X228" s="3073"/>
      <c r="Y228" s="3073" t="s">
        <v>9783</v>
      </c>
      <c r="Z228" s="3073"/>
      <c r="AA228" s="3073"/>
      <c r="AB228" s="3091" t="s">
        <v>9784</v>
      </c>
      <c r="AC228" s="2969" t="s">
        <v>993</v>
      </c>
      <c r="AD228" s="3075">
        <v>4.035</v>
      </c>
      <c r="AE228" s="3076">
        <f t="shared" si="433"/>
        <v>2421</v>
      </c>
      <c r="AF228" s="2969" t="s">
        <v>9785</v>
      </c>
      <c r="AG228" s="2969" t="s">
        <v>9364</v>
      </c>
      <c r="AH228" s="2969" t="s">
        <v>416</v>
      </c>
      <c r="AI228" s="3162"/>
      <c r="AJ228" s="3078">
        <f t="shared" si="430"/>
        <v>600</v>
      </c>
      <c r="AK228" s="3138"/>
      <c r="AL228" s="3078"/>
      <c r="AM228" s="3138"/>
      <c r="AN228" s="3078"/>
      <c r="AO228" s="3141"/>
      <c r="AP228" s="3080">
        <f t="shared" si="416"/>
        <v>600</v>
      </c>
      <c r="AQ228" s="3080"/>
      <c r="AR228" s="3080"/>
      <c r="AS228" s="3081"/>
      <c r="AT228" s="3142"/>
      <c r="AU228" s="3141"/>
      <c r="AV228" s="3141"/>
      <c r="AW228" s="3143"/>
      <c r="AX228" s="3085">
        <f t="shared" si="396"/>
        <v>150</v>
      </c>
      <c r="AY228" s="3080">
        <f t="shared" si="434"/>
        <v>150</v>
      </c>
      <c r="AZ228" s="3080">
        <f t="shared" si="435"/>
        <v>150</v>
      </c>
      <c r="BA228" s="3086">
        <f t="shared" si="436"/>
        <v>150</v>
      </c>
      <c r="BB228" s="3087"/>
      <c r="BC228" s="3080"/>
      <c r="BD228" s="3081"/>
      <c r="BE228" s="3080"/>
      <c r="BF228" s="3080"/>
      <c r="BG228" s="3080"/>
      <c r="BH228" s="3080"/>
      <c r="BI228" s="3080"/>
      <c r="BJ228" s="3080">
        <f t="shared" si="431"/>
        <v>600</v>
      </c>
      <c r="BK228" s="3080"/>
      <c r="BL228" s="3080" t="s">
        <v>9563</v>
      </c>
      <c r="BM228" s="3141"/>
      <c r="BN228" s="3080">
        <f t="shared" si="400"/>
        <v>150</v>
      </c>
      <c r="BO228" s="3080">
        <f t="shared" si="401"/>
        <v>150</v>
      </c>
      <c r="BP228" s="3080">
        <f t="shared" si="402"/>
        <v>150</v>
      </c>
      <c r="BQ228" s="3088">
        <f t="shared" si="403"/>
        <v>150</v>
      </c>
      <c r="BR228" s="3080">
        <f t="shared" si="432"/>
        <v>0</v>
      </c>
      <c r="BS228" s="3088"/>
      <c r="BT228" s="3088"/>
      <c r="BU228" s="3088"/>
      <c r="BV228" s="3088"/>
      <c r="BW228" s="3088"/>
      <c r="BX228" s="3088"/>
    </row>
    <row r="229" s="3031" customFormat="1" ht="32" customHeight="1" spans="1:243 16384:16384">
      <c r="A229" s="3063">
        <v>45853</v>
      </c>
      <c r="B229" s="3064" t="s">
        <v>4674</v>
      </c>
      <c r="C229" s="3065" t="s">
        <v>1385</v>
      </c>
      <c r="D229" s="3066">
        <v>4500173241</v>
      </c>
      <c r="E229" s="3091" t="s">
        <v>4675</v>
      </c>
      <c r="F229" s="3066" t="s">
        <v>9786</v>
      </c>
      <c r="G229" s="3098" t="s">
        <v>9154</v>
      </c>
      <c r="H229" s="3069" t="s">
        <v>9155</v>
      </c>
      <c r="I229" s="2969">
        <v>208</v>
      </c>
      <c r="J229" s="2969">
        <v>0</v>
      </c>
      <c r="K229" s="2969">
        <v>8</v>
      </c>
      <c r="L229" s="2969">
        <f t="shared" si="395"/>
        <v>26</v>
      </c>
      <c r="M229" s="3070">
        <v>45894</v>
      </c>
      <c r="N229" s="3070">
        <v>45890</v>
      </c>
      <c r="O229" s="2996"/>
      <c r="P229" s="2996" t="s">
        <v>82</v>
      </c>
      <c r="Q229" s="3071"/>
      <c r="R229" s="3071"/>
      <c r="S229" s="3071"/>
      <c r="T229" s="3071"/>
      <c r="U229" s="3072"/>
      <c r="V229" s="2996"/>
      <c r="W229" s="3073" t="s">
        <v>1936</v>
      </c>
      <c r="X229" s="3073"/>
      <c r="Y229" s="3073" t="s">
        <v>98</v>
      </c>
      <c r="Z229" s="2996"/>
      <c r="AA229" s="3073"/>
      <c r="AB229" s="3091" t="s">
        <v>2140</v>
      </c>
      <c r="AC229" s="2969" t="s">
        <v>1434</v>
      </c>
      <c r="AD229" s="3075">
        <v>4.1708</v>
      </c>
      <c r="AE229" s="3076">
        <f t="shared" si="433"/>
        <v>867.5264</v>
      </c>
      <c r="AF229" s="2969"/>
      <c r="AG229" s="2969" t="s">
        <v>9154</v>
      </c>
      <c r="AH229" s="2969" t="s">
        <v>416</v>
      </c>
      <c r="AI229" s="3162"/>
      <c r="AJ229" s="3078">
        <f t="shared" si="430"/>
        <v>208</v>
      </c>
      <c r="AK229" s="3138"/>
      <c r="AL229" s="3078"/>
      <c r="AM229" s="3138"/>
      <c r="AN229" s="3078"/>
      <c r="AO229" s="3141"/>
      <c r="AP229" s="3080">
        <f t="shared" si="416"/>
        <v>208</v>
      </c>
      <c r="AQ229" s="3080"/>
      <c r="AR229" s="3080"/>
      <c r="AS229" s="3081"/>
      <c r="AT229" s="3142"/>
      <c r="AU229" s="3141"/>
      <c r="AV229" s="3141"/>
      <c r="AW229" s="3143"/>
      <c r="AX229" s="3085">
        <f t="shared" si="396"/>
        <v>52</v>
      </c>
      <c r="AY229" s="3080">
        <f t="shared" si="434"/>
        <v>52</v>
      </c>
      <c r="AZ229" s="3080">
        <f t="shared" si="435"/>
        <v>52</v>
      </c>
      <c r="BA229" s="3086">
        <f t="shared" si="436"/>
        <v>52</v>
      </c>
      <c r="BB229" s="3087"/>
      <c r="BC229" s="3080"/>
      <c r="BD229" s="3081"/>
      <c r="BE229" s="3080"/>
      <c r="BF229" s="3080"/>
      <c r="BG229" s="3080"/>
      <c r="BH229" s="3080"/>
      <c r="BI229" s="3080"/>
      <c r="BJ229" s="3089">
        <f t="shared" si="431"/>
        <v>208</v>
      </c>
      <c r="BK229" s="3080"/>
      <c r="BL229" s="3080" t="s">
        <v>9164</v>
      </c>
      <c r="BM229" s="3141"/>
      <c r="BN229" s="3080">
        <f t="shared" si="400"/>
        <v>52</v>
      </c>
      <c r="BO229" s="3080">
        <f t="shared" si="401"/>
        <v>52</v>
      </c>
      <c r="BP229" s="3080">
        <f t="shared" si="402"/>
        <v>52</v>
      </c>
      <c r="BQ229" s="3088">
        <f t="shared" si="403"/>
        <v>52</v>
      </c>
      <c r="BR229" s="3080">
        <f t="shared" si="432"/>
        <v>0</v>
      </c>
      <c r="BS229" s="3088"/>
      <c r="BT229" s="3088"/>
      <c r="BU229" s="3088"/>
      <c r="BV229" s="3088"/>
      <c r="BW229" s="3088"/>
      <c r="BX229" s="3088"/>
    </row>
    <row r="230" s="3031" customFormat="1" ht="32" customHeight="1" spans="1:243 16384:16384">
      <c r="A230" s="3063">
        <v>45852</v>
      </c>
      <c r="B230" s="3064" t="s">
        <v>5560</v>
      </c>
      <c r="C230" s="3065" t="s">
        <v>562</v>
      </c>
      <c r="D230" s="3066">
        <v>4500173750</v>
      </c>
      <c r="E230" s="3091"/>
      <c r="F230" s="3066" t="s">
        <v>9787</v>
      </c>
      <c r="G230" s="3098" t="s">
        <v>9154</v>
      </c>
      <c r="H230" s="3069" t="s">
        <v>9155</v>
      </c>
      <c r="I230" s="2969">
        <v>504</v>
      </c>
      <c r="J230" s="2969">
        <v>0</v>
      </c>
      <c r="K230" s="2969">
        <v>8</v>
      </c>
      <c r="L230" s="2969">
        <f t="shared" si="395"/>
        <v>63</v>
      </c>
      <c r="M230" s="3070">
        <v>45909</v>
      </c>
      <c r="N230" s="3070">
        <v>45905</v>
      </c>
      <c r="O230" s="2996"/>
      <c r="P230" s="2996" t="s">
        <v>82</v>
      </c>
      <c r="Q230" s="3071"/>
      <c r="R230" s="3071"/>
      <c r="S230" s="3071"/>
      <c r="T230" s="3071"/>
      <c r="U230" s="3072" t="s">
        <v>243</v>
      </c>
      <c r="V230" s="2996"/>
      <c r="W230" s="3073" t="s">
        <v>7561</v>
      </c>
      <c r="X230" s="3073"/>
      <c r="Y230" s="3073" t="s">
        <v>9788</v>
      </c>
      <c r="Z230" s="2996"/>
      <c r="AA230" s="3073"/>
      <c r="AB230" s="3091" t="s">
        <v>9789</v>
      </c>
      <c r="AC230" s="2969" t="s">
        <v>9790</v>
      </c>
      <c r="AD230" s="3075">
        <v>4.0075</v>
      </c>
      <c r="AE230" s="3076">
        <f t="shared" si="433"/>
        <v>2019.78</v>
      </c>
      <c r="AF230" s="2969" t="s">
        <v>9791</v>
      </c>
      <c r="AG230" s="3098" t="s">
        <v>9239</v>
      </c>
      <c r="AH230" s="2969" t="s">
        <v>416</v>
      </c>
      <c r="AI230" s="3163"/>
      <c r="AJ230" s="3078"/>
      <c r="AK230" s="3131"/>
      <c r="AL230" s="3078">
        <f t="shared" ref="AL230:AL239" si="438">I230</f>
        <v>504</v>
      </c>
      <c r="AM230" s="3131"/>
      <c r="AN230" s="3078"/>
      <c r="AO230" s="3132"/>
      <c r="AP230" s="3080">
        <f t="shared" si="416"/>
        <v>504</v>
      </c>
      <c r="AQ230" s="3080"/>
      <c r="AR230" s="3080"/>
      <c r="AS230" s="3081"/>
      <c r="AT230" s="3147"/>
      <c r="AU230" s="3132"/>
      <c r="AV230" s="3132"/>
      <c r="AW230" s="3148"/>
      <c r="AX230" s="3085">
        <f t="shared" si="396"/>
        <v>126</v>
      </c>
      <c r="AY230" s="3080">
        <f t="shared" si="434"/>
        <v>126</v>
      </c>
      <c r="AZ230" s="3080">
        <f t="shared" si="435"/>
        <v>126</v>
      </c>
      <c r="BA230" s="3086">
        <f t="shared" si="436"/>
        <v>126</v>
      </c>
      <c r="BB230" s="3087"/>
      <c r="BC230" s="3080"/>
      <c r="BD230" s="3080"/>
      <c r="BE230" s="3080"/>
      <c r="BF230" s="3080"/>
      <c r="BG230" s="3080"/>
      <c r="BH230" s="3080"/>
      <c r="BI230" s="3080"/>
      <c r="BJ230" s="3089">
        <f t="shared" si="431"/>
        <v>504</v>
      </c>
      <c r="BK230" s="3080"/>
      <c r="BL230" s="3080" t="s">
        <v>9164</v>
      </c>
      <c r="BM230" s="3132"/>
      <c r="BN230" s="3080">
        <f t="shared" si="400"/>
        <v>126</v>
      </c>
      <c r="BO230" s="3080">
        <f t="shared" si="401"/>
        <v>126</v>
      </c>
      <c r="BP230" s="3080">
        <f t="shared" si="402"/>
        <v>126</v>
      </c>
      <c r="BQ230" s="3088">
        <f t="shared" si="403"/>
        <v>126</v>
      </c>
      <c r="BR230" s="3080">
        <f t="shared" si="432"/>
        <v>0</v>
      </c>
      <c r="BS230" s="3088"/>
      <c r="BT230" s="3088"/>
      <c r="BU230" s="3088"/>
      <c r="BV230" s="3088"/>
      <c r="BW230" s="3088"/>
      <c r="BX230" s="3088"/>
    </row>
    <row r="231" s="3031" customFormat="1" ht="32" customHeight="1" spans="1:243 16384:16384">
      <c r="A231" s="3151">
        <v>45860</v>
      </c>
      <c r="B231" s="3064" t="s">
        <v>1602</v>
      </c>
      <c r="C231" s="3065" t="s">
        <v>91</v>
      </c>
      <c r="D231" s="3066">
        <v>4500174561</v>
      </c>
      <c r="E231" s="3067" t="s">
        <v>9792</v>
      </c>
      <c r="F231" s="3066" t="s">
        <v>9793</v>
      </c>
      <c r="G231" s="3098" t="s">
        <v>9154</v>
      </c>
      <c r="H231" s="3069" t="s">
        <v>9155</v>
      </c>
      <c r="I231" s="2969">
        <v>200</v>
      </c>
      <c r="J231" s="2969">
        <v>0</v>
      </c>
      <c r="K231" s="2969">
        <v>8</v>
      </c>
      <c r="L231" s="2969">
        <f t="shared" si="395"/>
        <v>25</v>
      </c>
      <c r="M231" s="3070">
        <v>45903</v>
      </c>
      <c r="N231" s="3070">
        <f t="shared" si="437"/>
        <v>45899</v>
      </c>
      <c r="O231" s="2996"/>
      <c r="P231" s="2996" t="s">
        <v>82</v>
      </c>
      <c r="Q231" s="3071"/>
      <c r="R231" s="3071"/>
      <c r="S231" s="3071"/>
      <c r="T231" s="3071"/>
      <c r="U231" s="3072" t="s">
        <v>1883</v>
      </c>
      <c r="V231" s="3073"/>
      <c r="W231" s="3089" t="s">
        <v>1884</v>
      </c>
      <c r="X231" s="3073"/>
      <c r="Y231" s="3073" t="s">
        <v>98</v>
      </c>
      <c r="Z231" s="3073" t="s">
        <v>9794</v>
      </c>
      <c r="AA231" s="3120"/>
      <c r="AB231" s="3064" t="s">
        <v>1886</v>
      </c>
      <c r="AC231" s="3075" t="s">
        <v>1607</v>
      </c>
      <c r="AD231" s="3075">
        <v>2.5025</v>
      </c>
      <c r="AE231" s="3076">
        <f t="shared" si="433"/>
        <v>500.5</v>
      </c>
      <c r="AF231" s="3098" t="s">
        <v>9795</v>
      </c>
      <c r="AG231" s="2969" t="s">
        <v>9154</v>
      </c>
      <c r="AH231" s="2969" t="s">
        <v>416</v>
      </c>
      <c r="AI231" s="3032"/>
      <c r="AJ231" s="3078">
        <f>I231</f>
        <v>200</v>
      </c>
      <c r="AK231" s="3164"/>
      <c r="AL231" s="3078"/>
      <c r="AM231" s="3092"/>
      <c r="AN231" s="3078"/>
      <c r="AO231" s="3092"/>
      <c r="AP231" s="3080">
        <f t="shared" si="416"/>
        <v>200</v>
      </c>
      <c r="AQ231" s="3081"/>
      <c r="AR231" s="3081"/>
      <c r="AS231" s="3080"/>
      <c r="AT231" s="3097"/>
      <c r="AU231" s="3097"/>
      <c r="AV231" s="3150"/>
      <c r="AW231" s="3149"/>
      <c r="AX231" s="3085">
        <f t="shared" si="396"/>
        <v>50</v>
      </c>
      <c r="AY231" s="3080">
        <f t="shared" si="434"/>
        <v>50</v>
      </c>
      <c r="AZ231" s="3080">
        <f t="shared" si="435"/>
        <v>50</v>
      </c>
      <c r="BA231" s="3086">
        <f t="shared" si="436"/>
        <v>50</v>
      </c>
      <c r="BB231" s="3080"/>
      <c r="BC231" s="3080"/>
      <c r="BD231" s="3081"/>
      <c r="BE231" s="3080"/>
      <c r="BF231" s="3080"/>
      <c r="BG231" s="3080"/>
      <c r="BH231" s="3080"/>
      <c r="BI231" s="3080"/>
      <c r="BJ231" s="3080">
        <f t="shared" si="431"/>
        <v>200</v>
      </c>
      <c r="BK231" s="3080"/>
      <c r="BL231" s="3080" t="s">
        <v>9164</v>
      </c>
      <c r="BM231" s="3097"/>
      <c r="BN231" s="3080">
        <f t="shared" si="400"/>
        <v>50</v>
      </c>
      <c r="BO231" s="3080">
        <f t="shared" si="401"/>
        <v>50</v>
      </c>
      <c r="BP231" s="3080">
        <f t="shared" si="402"/>
        <v>50</v>
      </c>
      <c r="BQ231" s="3088">
        <f t="shared" si="403"/>
        <v>50</v>
      </c>
      <c r="BR231" s="3080">
        <f t="shared" si="432"/>
        <v>0</v>
      </c>
      <c r="BS231" s="3088"/>
      <c r="BT231" s="3088"/>
      <c r="BU231" s="3088"/>
      <c r="BV231" s="3088"/>
      <c r="BW231" s="3088"/>
      <c r="BX231" s="3088"/>
      <c r="BY231" s="3157"/>
      <c r="BZ231" s="3107"/>
      <c r="CA231" s="3107"/>
      <c r="CB231" s="3107"/>
      <c r="CC231" s="3107"/>
      <c r="CD231" s="3107"/>
      <c r="CE231" s="3107"/>
      <c r="CF231" s="3107"/>
      <c r="CG231" s="3107"/>
      <c r="CH231" s="3107"/>
      <c r="CI231" s="3107"/>
      <c r="CJ231" s="3107"/>
      <c r="CK231" s="3107"/>
      <c r="CL231" s="3107"/>
      <c r="CM231" s="3107"/>
      <c r="CN231" s="3107"/>
      <c r="CO231" s="3107"/>
      <c r="CP231" s="3107"/>
      <c r="CQ231" s="3107"/>
      <c r="CR231" s="3107"/>
      <c r="CS231" s="3107"/>
      <c r="CT231" s="3107"/>
      <c r="CU231" s="3107"/>
      <c r="CV231" s="3107"/>
      <c r="CW231" s="3107"/>
      <c r="CX231" s="3107"/>
      <c r="CY231" s="3107"/>
      <c r="CZ231" s="3107"/>
      <c r="DA231" s="3107"/>
      <c r="DB231" s="3107"/>
      <c r="DC231" s="3107"/>
      <c r="DD231" s="3107"/>
      <c r="DE231" s="3107"/>
      <c r="DF231" s="3107"/>
      <c r="DG231" s="3107"/>
      <c r="DH231" s="3107"/>
      <c r="DI231" s="3107"/>
      <c r="DJ231" s="3107"/>
      <c r="DK231" s="3107"/>
      <c r="DL231" s="3107"/>
      <c r="DM231" s="3107"/>
      <c r="DN231" s="3107"/>
      <c r="DO231" s="3107"/>
      <c r="DP231" s="3107"/>
      <c r="DQ231" s="3107"/>
      <c r="DR231" s="3107"/>
      <c r="DS231" s="3107"/>
      <c r="DT231" s="3107"/>
      <c r="DU231" s="3107"/>
      <c r="DV231" s="3107"/>
      <c r="DW231" s="3107"/>
      <c r="DX231" s="3107"/>
      <c r="DY231" s="3107"/>
      <c r="DZ231" s="3107"/>
      <c r="EA231" s="3107"/>
      <c r="EB231" s="3107"/>
      <c r="EC231" s="3107"/>
      <c r="ED231" s="3107"/>
      <c r="EE231" s="3107"/>
      <c r="EF231" s="3107"/>
      <c r="EG231" s="3107"/>
      <c r="EH231" s="3107"/>
      <c r="EI231" s="3107"/>
      <c r="EJ231" s="3107"/>
      <c r="EK231" s="3107"/>
      <c r="EL231" s="3107"/>
      <c r="EM231" s="3107"/>
      <c r="EN231" s="3107"/>
      <c r="EO231" s="3107"/>
      <c r="EP231" s="3107"/>
      <c r="EQ231" s="3107"/>
      <c r="ER231" s="3107"/>
      <c r="ES231" s="3107"/>
      <c r="ET231" s="3107"/>
      <c r="EU231" s="3107"/>
      <c r="EV231" s="3107"/>
      <c r="EW231" s="3107"/>
      <c r="EX231" s="3107"/>
      <c r="EY231" s="3107"/>
      <c r="EZ231" s="3107"/>
      <c r="FA231" s="3107"/>
      <c r="FB231" s="3107"/>
      <c r="FC231" s="3107"/>
      <c r="FD231" s="3107"/>
      <c r="FE231" s="3107"/>
      <c r="FF231" s="3107"/>
      <c r="FG231" s="3107"/>
      <c r="FH231" s="3107"/>
      <c r="FI231" s="3107"/>
      <c r="FJ231" s="3107"/>
      <c r="FK231" s="3107"/>
      <c r="FL231" s="3107"/>
      <c r="FM231" s="3107"/>
      <c r="FN231" s="3107"/>
      <c r="FO231" s="3107"/>
      <c r="FP231" s="3107"/>
      <c r="FQ231" s="3107"/>
      <c r="FR231" s="3107"/>
      <c r="FS231" s="3107"/>
      <c r="FT231" s="3107"/>
      <c r="FU231" s="3107"/>
      <c r="FV231" s="3107"/>
      <c r="FW231" s="3107"/>
      <c r="FX231" s="3107"/>
      <c r="FY231" s="3107"/>
      <c r="FZ231" s="3107"/>
      <c r="GA231" s="3107"/>
      <c r="GB231" s="3107"/>
      <c r="GC231" s="3107"/>
      <c r="GD231" s="3107"/>
      <c r="GE231" s="3107"/>
      <c r="GF231" s="3107"/>
      <c r="GG231" s="3107"/>
      <c r="GH231" s="3107"/>
      <c r="GI231" s="3107"/>
      <c r="GJ231" s="3107"/>
      <c r="GK231" s="3107"/>
      <c r="GL231" s="3107"/>
      <c r="GM231" s="3107"/>
      <c r="GN231" s="3107"/>
      <c r="GO231" s="3107"/>
      <c r="GP231" s="3107"/>
      <c r="GQ231" s="3107"/>
      <c r="GR231" s="3107"/>
      <c r="GS231" s="3107"/>
      <c r="GT231" s="3107"/>
      <c r="GU231" s="3107"/>
      <c r="GV231" s="3107"/>
      <c r="GW231" s="3107"/>
      <c r="GX231" s="3107"/>
      <c r="GY231" s="3107"/>
      <c r="GZ231" s="3107"/>
      <c r="HA231" s="3107"/>
      <c r="HB231" s="3107"/>
      <c r="HC231" s="3107"/>
      <c r="HD231" s="3107"/>
      <c r="HE231" s="3107"/>
      <c r="HF231" s="3107"/>
      <c r="HG231" s="3107"/>
      <c r="HH231" s="3107"/>
      <c r="HI231" s="3107"/>
      <c r="HJ231" s="3107"/>
      <c r="HK231" s="3107"/>
      <c r="HL231" s="3107"/>
      <c r="HM231" s="3107"/>
      <c r="HN231" s="3107"/>
      <c r="HO231" s="3107"/>
      <c r="HP231" s="3107"/>
      <c r="HQ231" s="3107"/>
      <c r="HR231" s="3107"/>
      <c r="HS231" s="3107"/>
      <c r="HT231" s="3107"/>
      <c r="HU231" s="3107"/>
      <c r="HV231" s="3107"/>
      <c r="HW231" s="3107"/>
      <c r="HX231" s="3107"/>
      <c r="HY231" s="3107"/>
      <c r="HZ231" s="3107"/>
      <c r="IA231" s="3107"/>
      <c r="IB231" s="3107"/>
      <c r="IC231" s="3107"/>
      <c r="ID231" s="3107"/>
      <c r="IE231" s="3107"/>
      <c r="IF231" s="3107"/>
      <c r="IG231" s="3107"/>
      <c r="IH231" s="3107"/>
      <c r="II231" s="3107"/>
      <c r="XFD231" s="3165"/>
    </row>
    <row r="232" s="3031" customFormat="1" ht="32" customHeight="1" spans="1:243 16384:16384">
      <c r="A232" s="3151">
        <v>45860</v>
      </c>
      <c r="B232" s="3064" t="s">
        <v>1602</v>
      </c>
      <c r="C232" s="3065" t="s">
        <v>91</v>
      </c>
      <c r="D232" s="3066">
        <v>4500174558</v>
      </c>
      <c r="E232" s="3067" t="s">
        <v>9796</v>
      </c>
      <c r="F232" s="3066" t="s">
        <v>9797</v>
      </c>
      <c r="G232" s="3098" t="s">
        <v>9154</v>
      </c>
      <c r="H232" s="3069" t="s">
        <v>9155</v>
      </c>
      <c r="I232" s="2969">
        <v>400</v>
      </c>
      <c r="J232" s="2969">
        <v>0</v>
      </c>
      <c r="K232" s="2969">
        <v>8</v>
      </c>
      <c r="L232" s="2969">
        <f t="shared" si="395"/>
        <v>50</v>
      </c>
      <c r="M232" s="3070">
        <v>45903</v>
      </c>
      <c r="N232" s="3070">
        <f t="shared" si="437"/>
        <v>45899</v>
      </c>
      <c r="O232" s="2996"/>
      <c r="P232" s="2996" t="s">
        <v>82</v>
      </c>
      <c r="Q232" s="3071"/>
      <c r="R232" s="3071"/>
      <c r="S232" s="3071"/>
      <c r="T232" s="3071"/>
      <c r="U232" s="3072" t="s">
        <v>1883</v>
      </c>
      <c r="V232" s="3073"/>
      <c r="W232" s="3089" t="s">
        <v>1884</v>
      </c>
      <c r="X232" s="3073"/>
      <c r="Y232" s="3073" t="s">
        <v>98</v>
      </c>
      <c r="Z232" s="3073" t="s">
        <v>9794</v>
      </c>
      <c r="AA232" s="3120"/>
      <c r="AB232" s="3064" t="s">
        <v>1886</v>
      </c>
      <c r="AC232" s="3075" t="s">
        <v>1607</v>
      </c>
      <c r="AD232" s="3075">
        <v>2.5025</v>
      </c>
      <c r="AE232" s="3076">
        <f t="shared" si="433"/>
        <v>1001</v>
      </c>
      <c r="AF232" s="3098" t="s">
        <v>9798</v>
      </c>
      <c r="AG232" s="2969" t="s">
        <v>9154</v>
      </c>
      <c r="AH232" s="2969" t="s">
        <v>416</v>
      </c>
      <c r="AI232" s="3032"/>
      <c r="AJ232" s="3078">
        <f>I232</f>
        <v>400</v>
      </c>
      <c r="AK232" s="3164"/>
      <c r="AL232" s="3078"/>
      <c r="AM232" s="3092"/>
      <c r="AN232" s="3078"/>
      <c r="AO232" s="3092"/>
      <c r="AP232" s="3080">
        <f t="shared" si="416"/>
        <v>400</v>
      </c>
      <c r="AQ232" s="3081"/>
      <c r="AR232" s="3081"/>
      <c r="AS232" s="3080"/>
      <c r="AT232" s="3097"/>
      <c r="AU232" s="3097"/>
      <c r="AV232" s="3150"/>
      <c r="AW232" s="3149"/>
      <c r="AX232" s="3085">
        <f t="shared" si="396"/>
        <v>100</v>
      </c>
      <c r="AY232" s="3080">
        <f t="shared" si="434"/>
        <v>100</v>
      </c>
      <c r="AZ232" s="3080">
        <f t="shared" si="435"/>
        <v>100</v>
      </c>
      <c r="BA232" s="3086">
        <f t="shared" si="436"/>
        <v>100</v>
      </c>
      <c r="BB232" s="3080"/>
      <c r="BC232" s="3080"/>
      <c r="BD232" s="3081"/>
      <c r="BE232" s="3166"/>
      <c r="BF232" s="3166"/>
      <c r="BG232" s="3166"/>
      <c r="BH232" s="3166"/>
      <c r="BI232" s="3080"/>
      <c r="BJ232" s="3080">
        <f t="shared" si="431"/>
        <v>400</v>
      </c>
      <c r="BK232" s="3080"/>
      <c r="BL232" s="3080" t="s">
        <v>9164</v>
      </c>
      <c r="BM232" s="3097"/>
      <c r="BN232" s="3080">
        <f t="shared" si="400"/>
        <v>100</v>
      </c>
      <c r="BO232" s="3080">
        <f t="shared" si="401"/>
        <v>100</v>
      </c>
      <c r="BP232" s="3080">
        <f t="shared" si="402"/>
        <v>100</v>
      </c>
      <c r="BQ232" s="3088">
        <f t="shared" si="403"/>
        <v>100</v>
      </c>
      <c r="BR232" s="3080">
        <f t="shared" si="432"/>
        <v>0</v>
      </c>
      <c r="BS232" s="3088"/>
      <c r="BT232" s="3088"/>
      <c r="BU232" s="3088"/>
      <c r="BV232" s="3088"/>
      <c r="BW232" s="3088"/>
      <c r="BX232" s="3088"/>
      <c r="BY232" s="3157"/>
      <c r="BZ232" s="3107"/>
      <c r="CA232" s="3107"/>
      <c r="CB232" s="3107"/>
      <c r="CC232" s="3107"/>
      <c r="CD232" s="3107"/>
      <c r="CE232" s="3107"/>
      <c r="CF232" s="3107"/>
      <c r="CG232" s="3107"/>
      <c r="CH232" s="3107"/>
      <c r="CI232" s="3107"/>
      <c r="CJ232" s="3107"/>
      <c r="CK232" s="3107"/>
      <c r="CL232" s="3107"/>
      <c r="CM232" s="3107"/>
      <c r="CN232" s="3107"/>
      <c r="CO232" s="3107"/>
      <c r="CP232" s="3107"/>
      <c r="CQ232" s="3107"/>
      <c r="CR232" s="3107"/>
      <c r="CS232" s="3107"/>
      <c r="CT232" s="3107"/>
      <c r="CU232" s="3107"/>
      <c r="CV232" s="3107"/>
      <c r="CW232" s="3107"/>
      <c r="CX232" s="3107"/>
      <c r="CY232" s="3107"/>
      <c r="CZ232" s="3107"/>
      <c r="DA232" s="3107"/>
      <c r="DB232" s="3107"/>
      <c r="DC232" s="3107"/>
      <c r="DD232" s="3107"/>
      <c r="DE232" s="3107"/>
      <c r="DF232" s="3107"/>
      <c r="DG232" s="3107"/>
      <c r="DH232" s="3107"/>
      <c r="DI232" s="3107"/>
      <c r="DJ232" s="3107"/>
      <c r="DK232" s="3107"/>
      <c r="DL232" s="3107"/>
      <c r="DM232" s="3107"/>
      <c r="DN232" s="3107"/>
      <c r="DO232" s="3107"/>
      <c r="DP232" s="3107"/>
      <c r="DQ232" s="3107"/>
      <c r="DR232" s="3107"/>
      <c r="DS232" s="3107"/>
      <c r="DT232" s="3107"/>
      <c r="DU232" s="3107"/>
      <c r="DV232" s="3107"/>
      <c r="DW232" s="3107"/>
      <c r="DX232" s="3107"/>
      <c r="DY232" s="3107"/>
      <c r="DZ232" s="3107"/>
      <c r="EA232" s="3107"/>
      <c r="EB232" s="3107"/>
      <c r="EC232" s="3107"/>
      <c r="ED232" s="3107"/>
      <c r="EE232" s="3107"/>
      <c r="EF232" s="3107"/>
      <c r="EG232" s="3107"/>
      <c r="EH232" s="3107"/>
      <c r="EI232" s="3107"/>
      <c r="EJ232" s="3107"/>
      <c r="EK232" s="3107"/>
      <c r="EL232" s="3107"/>
      <c r="EM232" s="3107"/>
      <c r="EN232" s="3107"/>
      <c r="EO232" s="3107"/>
      <c r="EP232" s="3107"/>
      <c r="EQ232" s="3107"/>
      <c r="ER232" s="3107"/>
      <c r="ES232" s="3107"/>
      <c r="ET232" s="3107"/>
      <c r="EU232" s="3107"/>
      <c r="EV232" s="3107"/>
      <c r="EW232" s="3107"/>
      <c r="EX232" s="3107"/>
      <c r="EY232" s="3107"/>
      <c r="EZ232" s="3107"/>
      <c r="FA232" s="3107"/>
      <c r="FB232" s="3107"/>
      <c r="FC232" s="3107"/>
      <c r="FD232" s="3107"/>
      <c r="FE232" s="3107"/>
      <c r="FF232" s="3107"/>
      <c r="FG232" s="3107"/>
      <c r="FH232" s="3107"/>
      <c r="FI232" s="3107"/>
      <c r="FJ232" s="3107"/>
      <c r="FK232" s="3107"/>
      <c r="FL232" s="3107"/>
      <c r="FM232" s="3107"/>
      <c r="FN232" s="3107"/>
      <c r="FO232" s="3107"/>
      <c r="FP232" s="3107"/>
      <c r="FQ232" s="3107"/>
      <c r="FR232" s="3107"/>
      <c r="FS232" s="3107"/>
      <c r="FT232" s="3107"/>
      <c r="FU232" s="3107"/>
      <c r="FV232" s="3107"/>
      <c r="FW232" s="3107"/>
      <c r="FX232" s="3107"/>
      <c r="FY232" s="3107"/>
      <c r="FZ232" s="3107"/>
      <c r="GA232" s="3107"/>
      <c r="GB232" s="3107"/>
      <c r="GC232" s="3107"/>
      <c r="GD232" s="3107"/>
      <c r="GE232" s="3107"/>
      <c r="GF232" s="3107"/>
      <c r="GG232" s="3107"/>
      <c r="GH232" s="3107"/>
      <c r="GI232" s="3107"/>
      <c r="GJ232" s="3107"/>
      <c r="GK232" s="3107"/>
      <c r="GL232" s="3107"/>
      <c r="GM232" s="3107"/>
      <c r="GN232" s="3107"/>
      <c r="GO232" s="3107"/>
      <c r="GP232" s="3107"/>
      <c r="GQ232" s="3107"/>
      <c r="GR232" s="3107"/>
      <c r="GS232" s="3107"/>
      <c r="GT232" s="3107"/>
      <c r="GU232" s="3107"/>
      <c r="GV232" s="3107"/>
      <c r="GW232" s="3107"/>
      <c r="GX232" s="3107"/>
      <c r="GY232" s="3107"/>
      <c r="GZ232" s="3107"/>
      <c r="HA232" s="3107"/>
      <c r="HB232" s="3107"/>
      <c r="HC232" s="3107"/>
      <c r="HD232" s="3107"/>
      <c r="HE232" s="3107"/>
      <c r="HF232" s="3107"/>
      <c r="HG232" s="3107"/>
      <c r="HH232" s="3107"/>
      <c r="HI232" s="3107"/>
      <c r="HJ232" s="3107"/>
      <c r="HK232" s="3107"/>
      <c r="HL232" s="3107"/>
      <c r="HM232" s="3107"/>
      <c r="HN232" s="3107"/>
      <c r="HO232" s="3107"/>
      <c r="HP232" s="3107"/>
      <c r="HQ232" s="3107"/>
      <c r="HR232" s="3107"/>
      <c r="HS232" s="3107"/>
      <c r="HT232" s="3107"/>
      <c r="HU232" s="3107"/>
      <c r="HV232" s="3107"/>
      <c r="HW232" s="3107"/>
      <c r="HX232" s="3107"/>
      <c r="HY232" s="3107"/>
      <c r="HZ232" s="3107"/>
      <c r="IA232" s="3107"/>
      <c r="IB232" s="3107"/>
      <c r="IC232" s="3107"/>
      <c r="ID232" s="3107"/>
      <c r="IE232" s="3107"/>
      <c r="IF232" s="3107"/>
      <c r="IG232" s="3107"/>
      <c r="IH232" s="3107"/>
      <c r="II232" s="3107"/>
      <c r="XFD232" s="3165"/>
    </row>
    <row r="233" s="3031" customFormat="1" ht="32" customHeight="1" spans="1:243 16384:16384">
      <c r="A233" s="3063">
        <v>45863</v>
      </c>
      <c r="B233" s="3064" t="s">
        <v>1641</v>
      </c>
      <c r="C233" s="3065" t="s">
        <v>396</v>
      </c>
      <c r="D233" s="3066">
        <v>4500175055</v>
      </c>
      <c r="E233" s="3091" t="s">
        <v>9799</v>
      </c>
      <c r="F233" s="3066" t="s">
        <v>9800</v>
      </c>
      <c r="G233" s="3098" t="s">
        <v>9191</v>
      </c>
      <c r="H233" s="3069" t="s">
        <v>9099</v>
      </c>
      <c r="I233" s="2969">
        <v>16</v>
      </c>
      <c r="J233" s="2969">
        <v>0</v>
      </c>
      <c r="K233" s="2969">
        <v>8</v>
      </c>
      <c r="L233" s="2969">
        <f t="shared" si="395"/>
        <v>2</v>
      </c>
      <c r="M233" s="3070">
        <v>45905</v>
      </c>
      <c r="N233" s="3070">
        <v>45901</v>
      </c>
      <c r="O233" s="2996"/>
      <c r="P233" s="2996" t="s">
        <v>82</v>
      </c>
      <c r="Q233" s="3071"/>
      <c r="R233" s="3071"/>
      <c r="S233" s="3071"/>
      <c r="T233" s="3071"/>
      <c r="U233" s="3072" t="s">
        <v>1858</v>
      </c>
      <c r="V233" s="2996"/>
      <c r="W233" s="3069" t="s">
        <v>1859</v>
      </c>
      <c r="X233" s="3073"/>
      <c r="Y233" s="3073" t="s">
        <v>9710</v>
      </c>
      <c r="Z233" s="3073"/>
      <c r="AA233" s="3073"/>
      <c r="AB233" s="3091" t="s">
        <v>9801</v>
      </c>
      <c r="AC233" s="2969" t="s">
        <v>369</v>
      </c>
      <c r="AD233" s="3075">
        <v>4.2589</v>
      </c>
      <c r="AE233" s="3076">
        <f t="shared" si="433"/>
        <v>68.1424</v>
      </c>
      <c r="AF233" s="2969" t="s">
        <v>9802</v>
      </c>
      <c r="AG233" s="3098" t="s">
        <v>9194</v>
      </c>
      <c r="AH233" s="2969" t="s">
        <v>416</v>
      </c>
      <c r="AI233" s="3161"/>
      <c r="AJ233" s="3078"/>
      <c r="AK233" s="3092"/>
      <c r="AL233" s="3078">
        <f t="shared" si="438"/>
        <v>16</v>
      </c>
      <c r="AM233" s="3092"/>
      <c r="AN233" s="3078"/>
      <c r="AO233" s="3097"/>
      <c r="AP233" s="3080">
        <f t="shared" si="416"/>
        <v>16</v>
      </c>
      <c r="AQ233" s="3080"/>
      <c r="AR233" s="3080"/>
      <c r="AS233" s="3081"/>
      <c r="AT233" s="3149"/>
      <c r="AU233" s="3097"/>
      <c r="AV233" s="3097"/>
      <c r="AW233" s="3150"/>
      <c r="AX233" s="3085"/>
      <c r="AY233" s="3167">
        <f t="shared" ref="AY233:AY235" si="439">I233</f>
        <v>16</v>
      </c>
      <c r="AZ233" s="3080"/>
      <c r="BA233" s="3086"/>
      <c r="BB233" s="3087"/>
      <c r="BC233" s="3080"/>
      <c r="BD233" s="3080"/>
      <c r="BE233" s="3080"/>
      <c r="BF233" s="3080"/>
      <c r="BG233" s="3080"/>
      <c r="BH233" s="3080"/>
      <c r="BI233" s="3080"/>
      <c r="BJ233" s="3080"/>
      <c r="BK233" s="3080">
        <f t="shared" ref="BK233:BK240" si="440">I233</f>
        <v>16</v>
      </c>
      <c r="BL233" s="3080" t="s">
        <v>9164</v>
      </c>
      <c r="BM233" s="3097"/>
      <c r="BN233" s="3080"/>
      <c r="BO233" s="3080">
        <f t="shared" ref="BO233:BO235" si="441">I233</f>
        <v>16</v>
      </c>
      <c r="BP233" s="3080"/>
      <c r="BQ233" s="3080"/>
      <c r="BR233" s="3080">
        <f t="shared" si="432"/>
        <v>0</v>
      </c>
      <c r="BS233" s="3088"/>
      <c r="BT233" s="3088"/>
      <c r="BU233" s="3088"/>
      <c r="BV233" s="3088"/>
      <c r="BW233" s="3088"/>
      <c r="BX233" s="3088"/>
    </row>
    <row r="234" s="3031" customFormat="1" ht="32" customHeight="1" spans="1:243 16384:16384">
      <c r="A234" s="3063">
        <v>45863</v>
      </c>
      <c r="B234" s="3064" t="s">
        <v>1641</v>
      </c>
      <c r="C234" s="3065" t="s">
        <v>396</v>
      </c>
      <c r="D234" s="3066">
        <v>4500175055</v>
      </c>
      <c r="E234" s="3091" t="s">
        <v>9803</v>
      </c>
      <c r="F234" s="3066" t="s">
        <v>9804</v>
      </c>
      <c r="G234" s="3098" t="s">
        <v>9191</v>
      </c>
      <c r="H234" s="3069" t="s">
        <v>9099</v>
      </c>
      <c r="I234" s="2969">
        <v>16</v>
      </c>
      <c r="J234" s="2969">
        <v>0</v>
      </c>
      <c r="K234" s="2969">
        <v>8</v>
      </c>
      <c r="L234" s="2969">
        <f t="shared" si="395"/>
        <v>2</v>
      </c>
      <c r="M234" s="3070">
        <v>45905</v>
      </c>
      <c r="N234" s="3070">
        <v>45901</v>
      </c>
      <c r="O234" s="2996"/>
      <c r="P234" s="2996" t="s">
        <v>82</v>
      </c>
      <c r="Q234" s="3071"/>
      <c r="R234" s="3071"/>
      <c r="S234" s="3071"/>
      <c r="T234" s="3071"/>
      <c r="U234" s="3072" t="s">
        <v>1858</v>
      </c>
      <c r="V234" s="2996"/>
      <c r="W234" s="3069" t="s">
        <v>1859</v>
      </c>
      <c r="X234" s="3073"/>
      <c r="Y234" s="3073" t="s">
        <v>9710</v>
      </c>
      <c r="Z234" s="3073"/>
      <c r="AA234" s="3073"/>
      <c r="AB234" s="3091" t="s">
        <v>9801</v>
      </c>
      <c r="AC234" s="2969" t="s">
        <v>369</v>
      </c>
      <c r="AD234" s="3075">
        <v>4.2589</v>
      </c>
      <c r="AE234" s="3076">
        <f t="shared" si="433"/>
        <v>68.1424</v>
      </c>
      <c r="AF234" s="2969" t="s">
        <v>9802</v>
      </c>
      <c r="AG234" s="3098" t="s">
        <v>9194</v>
      </c>
      <c r="AH234" s="2969" t="s">
        <v>416</v>
      </c>
      <c r="AI234" s="3161"/>
      <c r="AJ234" s="3078"/>
      <c r="AK234" s="3092"/>
      <c r="AL234" s="3078">
        <f t="shared" si="438"/>
        <v>16</v>
      </c>
      <c r="AM234" s="3092"/>
      <c r="AN234" s="3078"/>
      <c r="AO234" s="3097"/>
      <c r="AP234" s="3080">
        <f t="shared" si="416"/>
        <v>16</v>
      </c>
      <c r="AQ234" s="3080"/>
      <c r="AR234" s="3080"/>
      <c r="AS234" s="3081"/>
      <c r="AT234" s="3149"/>
      <c r="AU234" s="3097"/>
      <c r="AV234" s="3097"/>
      <c r="AW234" s="3150"/>
      <c r="AX234" s="3085"/>
      <c r="AY234" s="3167">
        <f t="shared" si="439"/>
        <v>16</v>
      </c>
      <c r="AZ234" s="3080"/>
      <c r="BA234" s="3086"/>
      <c r="BB234" s="3087"/>
      <c r="BC234" s="3080"/>
      <c r="BD234" s="3080"/>
      <c r="BE234" s="3080"/>
      <c r="BF234" s="3080"/>
      <c r="BG234" s="3080"/>
      <c r="BH234" s="3080"/>
      <c r="BI234" s="3080"/>
      <c r="BJ234" s="3080"/>
      <c r="BK234" s="3080">
        <f t="shared" si="440"/>
        <v>16</v>
      </c>
      <c r="BL234" s="3080" t="s">
        <v>9164</v>
      </c>
      <c r="BM234" s="3097"/>
      <c r="BN234" s="3080"/>
      <c r="BO234" s="3080">
        <f t="shared" si="441"/>
        <v>16</v>
      </c>
      <c r="BP234" s="3080"/>
      <c r="BQ234" s="3080"/>
      <c r="BR234" s="3080">
        <f t="shared" si="432"/>
        <v>0</v>
      </c>
      <c r="BS234" s="3088"/>
      <c r="BT234" s="3088"/>
      <c r="BU234" s="3088"/>
      <c r="BV234" s="3088"/>
      <c r="BW234" s="3088"/>
      <c r="BX234" s="3088"/>
    </row>
    <row r="235" s="3031" customFormat="1" ht="32" customHeight="1" spans="1:243 16384:16384">
      <c r="A235" s="3063">
        <v>45863</v>
      </c>
      <c r="B235" s="3064" t="s">
        <v>1641</v>
      </c>
      <c r="C235" s="3065" t="s">
        <v>396</v>
      </c>
      <c r="D235" s="3066">
        <v>4500175055</v>
      </c>
      <c r="E235" s="3091" t="s">
        <v>9805</v>
      </c>
      <c r="F235" s="3066" t="s">
        <v>9806</v>
      </c>
      <c r="G235" s="3098" t="s">
        <v>9191</v>
      </c>
      <c r="H235" s="3069" t="s">
        <v>9099</v>
      </c>
      <c r="I235" s="2969">
        <v>16</v>
      </c>
      <c r="J235" s="2969">
        <v>0</v>
      </c>
      <c r="K235" s="2969">
        <v>8</v>
      </c>
      <c r="L235" s="2969">
        <f t="shared" si="395"/>
        <v>2</v>
      </c>
      <c r="M235" s="3070">
        <v>45905</v>
      </c>
      <c r="N235" s="3070">
        <v>45901</v>
      </c>
      <c r="O235" s="2996"/>
      <c r="P235" s="2996" t="s">
        <v>82</v>
      </c>
      <c r="Q235" s="3071"/>
      <c r="R235" s="3071"/>
      <c r="S235" s="3071"/>
      <c r="T235" s="3071"/>
      <c r="U235" s="3072" t="s">
        <v>1858</v>
      </c>
      <c r="V235" s="2996"/>
      <c r="W235" s="3069" t="s">
        <v>1859</v>
      </c>
      <c r="X235" s="3073"/>
      <c r="Y235" s="3073" t="s">
        <v>9710</v>
      </c>
      <c r="Z235" s="3073"/>
      <c r="AA235" s="3073"/>
      <c r="AB235" s="3091" t="s">
        <v>9801</v>
      </c>
      <c r="AC235" s="2969" t="s">
        <v>369</v>
      </c>
      <c r="AD235" s="3075">
        <v>4.2589</v>
      </c>
      <c r="AE235" s="3076">
        <f t="shared" si="433"/>
        <v>68.1424</v>
      </c>
      <c r="AF235" s="2969" t="s">
        <v>9802</v>
      </c>
      <c r="AG235" s="3098" t="s">
        <v>9194</v>
      </c>
      <c r="AH235" s="2969" t="s">
        <v>416</v>
      </c>
      <c r="AI235" s="3161"/>
      <c r="AJ235" s="3078"/>
      <c r="AK235" s="3092"/>
      <c r="AL235" s="3078">
        <f t="shared" si="438"/>
        <v>16</v>
      </c>
      <c r="AM235" s="3092"/>
      <c r="AN235" s="3078"/>
      <c r="AO235" s="3097"/>
      <c r="AP235" s="3080">
        <f t="shared" si="416"/>
        <v>16</v>
      </c>
      <c r="AQ235" s="3080"/>
      <c r="AR235" s="3080"/>
      <c r="AS235" s="3081"/>
      <c r="AT235" s="3149"/>
      <c r="AU235" s="3097"/>
      <c r="AV235" s="3097"/>
      <c r="AW235" s="3150"/>
      <c r="AX235" s="3085"/>
      <c r="AY235" s="3167">
        <f t="shared" si="439"/>
        <v>16</v>
      </c>
      <c r="AZ235" s="3080"/>
      <c r="BA235" s="3086"/>
      <c r="BB235" s="3087"/>
      <c r="BC235" s="3080"/>
      <c r="BD235" s="3080"/>
      <c r="BE235" s="3080"/>
      <c r="BF235" s="3080"/>
      <c r="BG235" s="3080"/>
      <c r="BH235" s="3080"/>
      <c r="BI235" s="3080"/>
      <c r="BJ235" s="3080"/>
      <c r="BK235" s="3080">
        <f t="shared" si="440"/>
        <v>16</v>
      </c>
      <c r="BL235" s="3080" t="s">
        <v>9164</v>
      </c>
      <c r="BM235" s="3097"/>
      <c r="BN235" s="3080"/>
      <c r="BO235" s="3080">
        <f t="shared" si="441"/>
        <v>16</v>
      </c>
      <c r="BP235" s="3080"/>
      <c r="BQ235" s="3080"/>
      <c r="BR235" s="3080">
        <f t="shared" si="432"/>
        <v>0</v>
      </c>
      <c r="BS235" s="3088"/>
      <c r="BT235" s="3088"/>
      <c r="BU235" s="3088"/>
      <c r="BV235" s="3088"/>
      <c r="BW235" s="3088"/>
      <c r="BX235" s="3088"/>
    </row>
    <row r="236" s="3031" customFormat="1" ht="32" customHeight="1" spans="1:243 16384:16384">
      <c r="A236" s="3063">
        <v>45863</v>
      </c>
      <c r="B236" s="3064" t="s">
        <v>1641</v>
      </c>
      <c r="C236" s="3065" t="s">
        <v>396</v>
      </c>
      <c r="D236" s="3066">
        <v>4500175055</v>
      </c>
      <c r="E236" s="3091" t="s">
        <v>9807</v>
      </c>
      <c r="F236" s="3066" t="s">
        <v>9808</v>
      </c>
      <c r="G236" s="3098" t="s">
        <v>9197</v>
      </c>
      <c r="H236" s="3069" t="s">
        <v>9098</v>
      </c>
      <c r="I236" s="2969">
        <v>8</v>
      </c>
      <c r="J236" s="2969">
        <v>0</v>
      </c>
      <c r="K236" s="2969">
        <v>8</v>
      </c>
      <c r="L236" s="2969">
        <f t="shared" si="395"/>
        <v>1</v>
      </c>
      <c r="M236" s="3070">
        <v>45905</v>
      </c>
      <c r="N236" s="3070">
        <v>45901</v>
      </c>
      <c r="O236" s="2996"/>
      <c r="P236" s="2996" t="s">
        <v>82</v>
      </c>
      <c r="Q236" s="3071"/>
      <c r="R236" s="3071"/>
      <c r="S236" s="3071"/>
      <c r="T236" s="3071"/>
      <c r="U236" s="3072" t="s">
        <v>1858</v>
      </c>
      <c r="V236" s="2996"/>
      <c r="W236" s="3069" t="s">
        <v>1859</v>
      </c>
      <c r="X236" s="3073"/>
      <c r="Y236" s="3073" t="s">
        <v>9710</v>
      </c>
      <c r="Z236" s="3073"/>
      <c r="AA236" s="3073"/>
      <c r="AB236" s="3091" t="s">
        <v>9801</v>
      </c>
      <c r="AC236" s="2969" t="s">
        <v>369</v>
      </c>
      <c r="AD236" s="3075">
        <v>4.2589</v>
      </c>
      <c r="AE236" s="3076">
        <f t="shared" si="433"/>
        <v>34.0712</v>
      </c>
      <c r="AF236" s="2969" t="s">
        <v>9802</v>
      </c>
      <c r="AG236" s="3098" t="s">
        <v>9198</v>
      </c>
      <c r="AH236" s="2969" t="s">
        <v>416</v>
      </c>
      <c r="AI236" s="3161"/>
      <c r="AJ236" s="3078"/>
      <c r="AK236" s="3092"/>
      <c r="AL236" s="3078">
        <f t="shared" si="438"/>
        <v>8</v>
      </c>
      <c r="AM236" s="3092"/>
      <c r="AN236" s="3078"/>
      <c r="AO236" s="3097"/>
      <c r="AP236" s="3080">
        <f t="shared" si="416"/>
        <v>8</v>
      </c>
      <c r="AQ236" s="3080"/>
      <c r="AR236" s="3080"/>
      <c r="AS236" s="3081"/>
      <c r="AT236" s="3149"/>
      <c r="AU236" s="3097"/>
      <c r="AV236" s="3097"/>
      <c r="AW236" s="3150"/>
      <c r="AX236" s="3085">
        <f t="shared" ref="AX236:AX239" si="442">I236</f>
        <v>8</v>
      </c>
      <c r="AY236" s="3080"/>
      <c r="AZ236" s="3080"/>
      <c r="BA236" s="3086"/>
      <c r="BB236" s="3087"/>
      <c r="BC236" s="3080"/>
      <c r="BD236" s="3080"/>
      <c r="BE236" s="3080"/>
      <c r="BF236" s="3080"/>
      <c r="BG236" s="3080"/>
      <c r="BH236" s="3080"/>
      <c r="BI236" s="3080"/>
      <c r="BJ236" s="3080"/>
      <c r="BK236" s="3080">
        <f t="shared" si="440"/>
        <v>8</v>
      </c>
      <c r="BL236" s="3080" t="s">
        <v>9164</v>
      </c>
      <c r="BM236" s="3097"/>
      <c r="BN236" s="3080">
        <f t="shared" ref="BN236:BN239" si="443">I236</f>
        <v>8</v>
      </c>
      <c r="BO236" s="3080"/>
      <c r="BP236" s="3080"/>
      <c r="BQ236" s="3080"/>
      <c r="BR236" s="3080">
        <f t="shared" si="432"/>
        <v>0</v>
      </c>
      <c r="BS236" s="3088"/>
      <c r="BT236" s="3088"/>
      <c r="BU236" s="3088"/>
      <c r="BV236" s="3088"/>
      <c r="BW236" s="3088"/>
      <c r="BX236" s="3088"/>
    </row>
    <row r="237" s="3031" customFormat="1" ht="32" customHeight="1" spans="1:243 16384:16384">
      <c r="A237" s="3063">
        <v>45863</v>
      </c>
      <c r="B237" s="3064" t="s">
        <v>1641</v>
      </c>
      <c r="C237" s="3065" t="s">
        <v>396</v>
      </c>
      <c r="D237" s="3066">
        <v>4500175055</v>
      </c>
      <c r="E237" s="3091" t="s">
        <v>9809</v>
      </c>
      <c r="F237" s="3066" t="s">
        <v>9810</v>
      </c>
      <c r="G237" s="3098" t="s">
        <v>9197</v>
      </c>
      <c r="H237" s="3069" t="s">
        <v>9098</v>
      </c>
      <c r="I237" s="2969">
        <v>16</v>
      </c>
      <c r="J237" s="2969">
        <v>0</v>
      </c>
      <c r="K237" s="2969">
        <v>8</v>
      </c>
      <c r="L237" s="2969">
        <f t="shared" si="395"/>
        <v>2</v>
      </c>
      <c r="M237" s="3070">
        <v>45905</v>
      </c>
      <c r="N237" s="3070">
        <v>45901</v>
      </c>
      <c r="O237" s="2996"/>
      <c r="P237" s="2996" t="s">
        <v>82</v>
      </c>
      <c r="Q237" s="3071"/>
      <c r="R237" s="3071"/>
      <c r="S237" s="3071"/>
      <c r="T237" s="3071"/>
      <c r="U237" s="3072" t="s">
        <v>1858</v>
      </c>
      <c r="V237" s="2996"/>
      <c r="W237" s="3069" t="s">
        <v>1859</v>
      </c>
      <c r="X237" s="3073"/>
      <c r="Y237" s="3073" t="s">
        <v>9710</v>
      </c>
      <c r="Z237" s="3073"/>
      <c r="AA237" s="3073"/>
      <c r="AB237" s="3091" t="s">
        <v>9801</v>
      </c>
      <c r="AC237" s="2969" t="s">
        <v>369</v>
      </c>
      <c r="AD237" s="3075">
        <v>4.2589</v>
      </c>
      <c r="AE237" s="3076">
        <f t="shared" si="433"/>
        <v>68.1424</v>
      </c>
      <c r="AF237" s="2969" t="s">
        <v>9802</v>
      </c>
      <c r="AG237" s="3098" t="s">
        <v>9198</v>
      </c>
      <c r="AH237" s="2969" t="s">
        <v>416</v>
      </c>
      <c r="AI237" s="3161"/>
      <c r="AJ237" s="3078"/>
      <c r="AK237" s="3092"/>
      <c r="AL237" s="3078">
        <f t="shared" si="438"/>
        <v>16</v>
      </c>
      <c r="AM237" s="3092"/>
      <c r="AN237" s="3078"/>
      <c r="AO237" s="3097"/>
      <c r="AP237" s="3080">
        <f t="shared" si="416"/>
        <v>16</v>
      </c>
      <c r="AQ237" s="3080"/>
      <c r="AR237" s="3080"/>
      <c r="AS237" s="3081"/>
      <c r="AT237" s="3149"/>
      <c r="AU237" s="3097"/>
      <c r="AV237" s="3097"/>
      <c r="AW237" s="3150"/>
      <c r="AX237" s="3085">
        <f t="shared" si="442"/>
        <v>16</v>
      </c>
      <c r="AY237" s="3080"/>
      <c r="AZ237" s="3080"/>
      <c r="BA237" s="3086"/>
      <c r="BB237" s="3087"/>
      <c r="BC237" s="3080"/>
      <c r="BD237" s="3080"/>
      <c r="BE237" s="3080"/>
      <c r="BF237" s="3080"/>
      <c r="BG237" s="3080"/>
      <c r="BH237" s="3080"/>
      <c r="BI237" s="3080"/>
      <c r="BJ237" s="3080"/>
      <c r="BK237" s="3080">
        <f t="shared" si="440"/>
        <v>16</v>
      </c>
      <c r="BL237" s="3080" t="s">
        <v>9164</v>
      </c>
      <c r="BM237" s="3097"/>
      <c r="BN237" s="3080">
        <f t="shared" si="443"/>
        <v>16</v>
      </c>
      <c r="BO237" s="3080"/>
      <c r="BP237" s="3080"/>
      <c r="BQ237" s="3080"/>
      <c r="BR237" s="3080">
        <f t="shared" si="432"/>
        <v>0</v>
      </c>
      <c r="BS237" s="3088"/>
      <c r="BT237" s="3088"/>
      <c r="BU237" s="3088"/>
      <c r="BV237" s="3088"/>
      <c r="BW237" s="3088"/>
      <c r="BX237" s="3088"/>
    </row>
    <row r="238" s="3031" customFormat="1" ht="32" customHeight="1" spans="1:243 16384:16384">
      <c r="A238" s="3063">
        <v>45863</v>
      </c>
      <c r="B238" s="3064" t="s">
        <v>1641</v>
      </c>
      <c r="C238" s="3065" t="s">
        <v>396</v>
      </c>
      <c r="D238" s="3066">
        <v>4500175055</v>
      </c>
      <c r="E238" s="3091" t="s">
        <v>9811</v>
      </c>
      <c r="F238" s="3066" t="s">
        <v>9812</v>
      </c>
      <c r="G238" s="3098" t="s">
        <v>9197</v>
      </c>
      <c r="H238" s="3069" t="s">
        <v>9098</v>
      </c>
      <c r="I238" s="2969">
        <v>8</v>
      </c>
      <c r="J238" s="2969">
        <v>0</v>
      </c>
      <c r="K238" s="2969">
        <v>8</v>
      </c>
      <c r="L238" s="2969">
        <f t="shared" si="395"/>
        <v>1</v>
      </c>
      <c r="M238" s="3070">
        <v>45905</v>
      </c>
      <c r="N238" s="3070">
        <v>45901</v>
      </c>
      <c r="O238" s="2996"/>
      <c r="P238" s="2996" t="s">
        <v>82</v>
      </c>
      <c r="Q238" s="3071"/>
      <c r="R238" s="3071"/>
      <c r="S238" s="3071"/>
      <c r="T238" s="3071"/>
      <c r="U238" s="3072" t="s">
        <v>1858</v>
      </c>
      <c r="V238" s="2996"/>
      <c r="W238" s="3069" t="s">
        <v>1859</v>
      </c>
      <c r="X238" s="3073"/>
      <c r="Y238" s="3073" t="s">
        <v>9710</v>
      </c>
      <c r="Z238" s="3073"/>
      <c r="AA238" s="3073"/>
      <c r="AB238" s="3091" t="s">
        <v>9801</v>
      </c>
      <c r="AC238" s="2969" t="s">
        <v>369</v>
      </c>
      <c r="AD238" s="3075">
        <v>4.2589</v>
      </c>
      <c r="AE238" s="3076">
        <f t="shared" si="433"/>
        <v>34.0712</v>
      </c>
      <c r="AF238" s="2969" t="s">
        <v>9802</v>
      </c>
      <c r="AG238" s="3098" t="s">
        <v>9198</v>
      </c>
      <c r="AH238" s="2969" t="s">
        <v>416</v>
      </c>
      <c r="AI238" s="3161"/>
      <c r="AJ238" s="3078"/>
      <c r="AK238" s="3092"/>
      <c r="AL238" s="3078">
        <f t="shared" si="438"/>
        <v>8</v>
      </c>
      <c r="AM238" s="3092"/>
      <c r="AN238" s="3078"/>
      <c r="AO238" s="3097"/>
      <c r="AP238" s="3080">
        <f t="shared" si="416"/>
        <v>8</v>
      </c>
      <c r="AQ238" s="3080"/>
      <c r="AR238" s="3080"/>
      <c r="AS238" s="3081"/>
      <c r="AT238" s="3149"/>
      <c r="AU238" s="3097"/>
      <c r="AV238" s="3097"/>
      <c r="AW238" s="3150"/>
      <c r="AX238" s="3085">
        <f t="shared" si="442"/>
        <v>8</v>
      </c>
      <c r="AY238" s="3080"/>
      <c r="AZ238" s="3080"/>
      <c r="BA238" s="3086"/>
      <c r="BB238" s="3087"/>
      <c r="BC238" s="3080"/>
      <c r="BD238" s="3080"/>
      <c r="BE238" s="3080"/>
      <c r="BF238" s="3080"/>
      <c r="BG238" s="3080"/>
      <c r="BH238" s="3080"/>
      <c r="BI238" s="3080"/>
      <c r="BJ238" s="3080"/>
      <c r="BK238" s="3080">
        <f t="shared" si="440"/>
        <v>8</v>
      </c>
      <c r="BL238" s="3080" t="s">
        <v>9164</v>
      </c>
      <c r="BM238" s="3097"/>
      <c r="BN238" s="3080">
        <f t="shared" si="443"/>
        <v>8</v>
      </c>
      <c r="BO238" s="3080"/>
      <c r="BP238" s="3080"/>
      <c r="BQ238" s="3080"/>
      <c r="BR238" s="3080">
        <f t="shared" si="432"/>
        <v>0</v>
      </c>
      <c r="BS238" s="3088"/>
      <c r="BT238" s="3088"/>
      <c r="BU238" s="3088"/>
      <c r="BV238" s="3088"/>
      <c r="BW238" s="3088"/>
      <c r="BX238" s="3088"/>
    </row>
    <row r="239" s="3031" customFormat="1" ht="32" customHeight="1" spans="1:243 16384:16384">
      <c r="A239" s="3063">
        <v>45863</v>
      </c>
      <c r="B239" s="3064" t="s">
        <v>1641</v>
      </c>
      <c r="C239" s="3065" t="s">
        <v>396</v>
      </c>
      <c r="D239" s="3066">
        <v>4500175055</v>
      </c>
      <c r="E239" s="3091" t="s">
        <v>9813</v>
      </c>
      <c r="F239" s="3066" t="s">
        <v>9814</v>
      </c>
      <c r="G239" s="3098" t="s">
        <v>9197</v>
      </c>
      <c r="H239" s="3069" t="s">
        <v>9098</v>
      </c>
      <c r="I239" s="2969">
        <v>16</v>
      </c>
      <c r="J239" s="2969">
        <v>0</v>
      </c>
      <c r="K239" s="2969">
        <v>8</v>
      </c>
      <c r="L239" s="2969">
        <f t="shared" si="395"/>
        <v>2</v>
      </c>
      <c r="M239" s="3070">
        <v>45905</v>
      </c>
      <c r="N239" s="3070">
        <v>45901</v>
      </c>
      <c r="O239" s="2996"/>
      <c r="P239" s="2996" t="s">
        <v>82</v>
      </c>
      <c r="Q239" s="3071"/>
      <c r="R239" s="3071"/>
      <c r="S239" s="3071"/>
      <c r="T239" s="3071"/>
      <c r="U239" s="3072" t="s">
        <v>1858</v>
      </c>
      <c r="V239" s="2996"/>
      <c r="W239" s="3069" t="s">
        <v>1859</v>
      </c>
      <c r="X239" s="3073"/>
      <c r="Y239" s="3073" t="s">
        <v>9710</v>
      </c>
      <c r="Z239" s="3073"/>
      <c r="AA239" s="3073"/>
      <c r="AB239" s="3091" t="s">
        <v>9801</v>
      </c>
      <c r="AC239" s="2969" t="s">
        <v>369</v>
      </c>
      <c r="AD239" s="3075">
        <v>4.2589</v>
      </c>
      <c r="AE239" s="3076">
        <f t="shared" si="433"/>
        <v>68.1424</v>
      </c>
      <c r="AF239" s="2969" t="s">
        <v>9802</v>
      </c>
      <c r="AG239" s="3098" t="s">
        <v>9198</v>
      </c>
      <c r="AH239" s="2969" t="s">
        <v>416</v>
      </c>
      <c r="AI239" s="3161"/>
      <c r="AJ239" s="3078"/>
      <c r="AK239" s="3092"/>
      <c r="AL239" s="3078">
        <f t="shared" si="438"/>
        <v>16</v>
      </c>
      <c r="AM239" s="3092"/>
      <c r="AN239" s="3078"/>
      <c r="AO239" s="3097"/>
      <c r="AP239" s="3080">
        <f t="shared" si="416"/>
        <v>16</v>
      </c>
      <c r="AQ239" s="3080"/>
      <c r="AR239" s="3080"/>
      <c r="AS239" s="3081"/>
      <c r="AT239" s="3149"/>
      <c r="AU239" s="3097"/>
      <c r="AV239" s="3097"/>
      <c r="AW239" s="3150"/>
      <c r="AX239" s="3085">
        <f t="shared" si="442"/>
        <v>16</v>
      </c>
      <c r="AY239" s="3080"/>
      <c r="AZ239" s="3080"/>
      <c r="BA239" s="3086"/>
      <c r="BB239" s="3087"/>
      <c r="BC239" s="3080"/>
      <c r="BD239" s="3080"/>
      <c r="BE239" s="3080"/>
      <c r="BF239" s="3080"/>
      <c r="BG239" s="3080"/>
      <c r="BH239" s="3080"/>
      <c r="BI239" s="3080"/>
      <c r="BJ239" s="3080"/>
      <c r="BK239" s="3080">
        <f t="shared" si="440"/>
        <v>16</v>
      </c>
      <c r="BL239" s="3080" t="s">
        <v>9164</v>
      </c>
      <c r="BM239" s="3097"/>
      <c r="BN239" s="3080">
        <f t="shared" si="443"/>
        <v>16</v>
      </c>
      <c r="BO239" s="3080"/>
      <c r="BP239" s="3080"/>
      <c r="BQ239" s="3080"/>
      <c r="BR239" s="3080">
        <f t="shared" si="432"/>
        <v>0</v>
      </c>
      <c r="BS239" s="3088"/>
      <c r="BT239" s="3088"/>
      <c r="BU239" s="3088"/>
      <c r="BV239" s="3088"/>
      <c r="BW239" s="3088"/>
      <c r="BX239" s="3088"/>
    </row>
    <row r="240" s="3031" customFormat="1" ht="32" customHeight="1" spans="1:243 16384:16384">
      <c r="A240" s="3063">
        <v>45798</v>
      </c>
      <c r="B240" s="3064" t="s">
        <v>6682</v>
      </c>
      <c r="C240" s="3065" t="s">
        <v>396</v>
      </c>
      <c r="D240" s="3066">
        <v>4500167327</v>
      </c>
      <c r="E240" s="3091">
        <v>9900925829</v>
      </c>
      <c r="F240" s="3066" t="s">
        <v>9815</v>
      </c>
      <c r="G240" s="3098" t="s">
        <v>9769</v>
      </c>
      <c r="H240" s="3069" t="s">
        <v>9770</v>
      </c>
      <c r="I240" s="2969">
        <v>25760</v>
      </c>
      <c r="J240" s="2969">
        <v>0</v>
      </c>
      <c r="K240" s="2969">
        <v>40</v>
      </c>
      <c r="L240" s="2969">
        <f t="shared" si="395"/>
        <v>644</v>
      </c>
      <c r="M240" s="3070">
        <v>45901</v>
      </c>
      <c r="N240" s="3070">
        <f>M240-4</f>
        <v>45897</v>
      </c>
      <c r="O240" s="2996" t="s">
        <v>9771</v>
      </c>
      <c r="P240" s="2996" t="s">
        <v>82</v>
      </c>
      <c r="Q240" s="3071"/>
      <c r="R240" s="3071"/>
      <c r="S240" s="3071"/>
      <c r="T240" s="3071"/>
      <c r="U240" s="3072" t="s">
        <v>243</v>
      </c>
      <c r="V240" s="2996"/>
      <c r="W240" s="3073" t="s">
        <v>2441</v>
      </c>
      <c r="X240" s="3073"/>
      <c r="Y240" s="3073" t="s">
        <v>9721</v>
      </c>
      <c r="Z240" s="3073" t="s">
        <v>9772</v>
      </c>
      <c r="AA240" s="3073" t="s">
        <v>9722</v>
      </c>
      <c r="AB240" s="3091" t="s">
        <v>9773</v>
      </c>
      <c r="AC240" s="2969" t="s">
        <v>6688</v>
      </c>
      <c r="AD240" s="3075">
        <v>192.7305</v>
      </c>
      <c r="AE240" s="3076">
        <f>AD240*L240</f>
        <v>124118.442</v>
      </c>
      <c r="AF240" s="2969" t="s">
        <v>9774</v>
      </c>
      <c r="AG240" s="3098" t="s">
        <v>9775</v>
      </c>
      <c r="AH240" s="2969" t="s">
        <v>416</v>
      </c>
      <c r="AI240" s="3163"/>
      <c r="AJ240" s="3078"/>
      <c r="AK240" s="3131"/>
      <c r="AL240" s="3078"/>
      <c r="AM240" s="3131"/>
      <c r="AN240" s="3078">
        <f>I240</f>
        <v>25760</v>
      </c>
      <c r="AO240" s="3132"/>
      <c r="AP240" s="3080">
        <f t="shared" si="416"/>
        <v>25760</v>
      </c>
      <c r="AQ240" s="3080"/>
      <c r="AR240" s="3080"/>
      <c r="AS240" s="3081"/>
      <c r="AT240" s="3147"/>
      <c r="AU240" s="3132"/>
      <c r="AV240" s="3132"/>
      <c r="AW240" s="3148"/>
      <c r="AX240" s="3085">
        <f t="shared" ref="AX240:AX252" si="444">I240/4</f>
        <v>6440</v>
      </c>
      <c r="AY240" s="3080">
        <f>AX240</f>
        <v>6440</v>
      </c>
      <c r="AZ240" s="3080">
        <f>AX240</f>
        <v>6440</v>
      </c>
      <c r="BA240" s="3086">
        <f>AX240</f>
        <v>6440</v>
      </c>
      <c r="BB240" s="3087"/>
      <c r="BC240" s="3080"/>
      <c r="BD240" s="3081"/>
      <c r="BE240" s="3080"/>
      <c r="BF240" s="3080"/>
      <c r="BG240" s="3080">
        <f>L240</f>
        <v>644</v>
      </c>
      <c r="BH240" s="3080"/>
      <c r="BI240" s="3080"/>
      <c r="BJ240" s="3080"/>
      <c r="BK240" s="3080">
        <f t="shared" si="440"/>
        <v>25760</v>
      </c>
      <c r="BL240" s="3080" t="s">
        <v>9164</v>
      </c>
      <c r="BM240" s="3132"/>
      <c r="BN240" s="3080">
        <f t="shared" ref="BN240:BN279" si="445">I240/4</f>
        <v>6440</v>
      </c>
      <c r="BO240" s="3080">
        <f t="shared" ref="BO240:BO279" si="446">I240/4</f>
        <v>6440</v>
      </c>
      <c r="BP240" s="3080">
        <f t="shared" ref="BP240:BP279" si="447">I240/4</f>
        <v>6440</v>
      </c>
      <c r="BQ240" s="3080">
        <f t="shared" ref="BQ240:BQ279" si="448">I240/4</f>
        <v>6440</v>
      </c>
      <c r="BR240" s="3080">
        <f t="shared" si="432"/>
        <v>0</v>
      </c>
      <c r="BS240" s="3088">
        <f>BN240+BO240+BP240+BQ240+$BS$369</f>
        <v>538240</v>
      </c>
      <c r="BT240" s="3088"/>
      <c r="BU240" s="3088"/>
      <c r="BV240" s="3088"/>
      <c r="BW240" s="3088"/>
      <c r="BX240" s="3088"/>
    </row>
    <row r="241" s="3031" customFormat="1" ht="32" customHeight="1" spans="1:76">
      <c r="A241" s="3063">
        <v>45862</v>
      </c>
      <c r="B241" s="3064" t="s">
        <v>1617</v>
      </c>
      <c r="C241" s="3065" t="s">
        <v>91</v>
      </c>
      <c r="D241" s="3066">
        <v>4500174767</v>
      </c>
      <c r="E241" s="3091">
        <v>70072688</v>
      </c>
      <c r="F241" s="3066" t="s">
        <v>9816</v>
      </c>
      <c r="G241" s="3098" t="s">
        <v>9154</v>
      </c>
      <c r="H241" s="3069" t="s">
        <v>9155</v>
      </c>
      <c r="I241" s="2969">
        <v>600</v>
      </c>
      <c r="J241" s="2969">
        <v>0</v>
      </c>
      <c r="K241" s="2969">
        <v>8</v>
      </c>
      <c r="L241" s="2969">
        <f t="shared" si="395"/>
        <v>75</v>
      </c>
      <c r="M241" s="3070">
        <v>45910</v>
      </c>
      <c r="N241" s="3070">
        <v>45906</v>
      </c>
      <c r="O241" s="2996"/>
      <c r="P241" s="2996" t="s">
        <v>82</v>
      </c>
      <c r="Q241" s="3071"/>
      <c r="R241" s="3071"/>
      <c r="S241" s="3071"/>
      <c r="T241" s="3071"/>
      <c r="U241" s="3072"/>
      <c r="V241" s="2996"/>
      <c r="W241" s="3069" t="s">
        <v>390</v>
      </c>
      <c r="X241" s="3073"/>
      <c r="Y241" s="3073" t="s">
        <v>98</v>
      </c>
      <c r="Z241" s="3073" t="s">
        <v>9794</v>
      </c>
      <c r="AA241" s="3073"/>
      <c r="AB241" s="3091" t="s">
        <v>1621</v>
      </c>
      <c r="AC241" s="2969" t="s">
        <v>1880</v>
      </c>
      <c r="AD241" s="3075">
        <v>2.4958</v>
      </c>
      <c r="AE241" s="3076">
        <f t="shared" ref="AE241:AE255" si="449">AD241*I241</f>
        <v>1497.48</v>
      </c>
      <c r="AF241" s="2969" t="s">
        <v>4774</v>
      </c>
      <c r="AG241" s="2969" t="s">
        <v>9154</v>
      </c>
      <c r="AH241" s="2969" t="s">
        <v>416</v>
      </c>
      <c r="AI241" s="3163"/>
      <c r="AJ241" s="3078">
        <f t="shared" ref="AJ241:AJ244" si="450">I241</f>
        <v>600</v>
      </c>
      <c r="AK241" s="3131"/>
      <c r="AL241" s="3078"/>
      <c r="AM241" s="3131"/>
      <c r="AN241" s="3078"/>
      <c r="AO241" s="3132"/>
      <c r="AP241" s="3080">
        <f t="shared" si="416"/>
        <v>600</v>
      </c>
      <c r="AQ241" s="3080"/>
      <c r="AR241" s="3080"/>
      <c r="AS241" s="3081"/>
      <c r="AT241" s="3147"/>
      <c r="AU241" s="3132"/>
      <c r="AV241" s="3132"/>
      <c r="AW241" s="3148"/>
      <c r="AX241" s="3085">
        <f t="shared" si="444"/>
        <v>150</v>
      </c>
      <c r="AY241" s="3080">
        <f t="shared" ref="AY241:AY246" si="451">I241/4</f>
        <v>150</v>
      </c>
      <c r="AZ241" s="3080">
        <f t="shared" ref="AZ241:AZ246" si="452">I241/4</f>
        <v>150</v>
      </c>
      <c r="BA241" s="3086">
        <f t="shared" ref="BA241:BA246" si="453">I241/4</f>
        <v>150</v>
      </c>
      <c r="BB241" s="3087"/>
      <c r="BC241" s="3080"/>
      <c r="BD241" s="3080"/>
      <c r="BE241" s="3080"/>
      <c r="BF241" s="3080"/>
      <c r="BG241" s="3080"/>
      <c r="BH241" s="3080"/>
      <c r="BI241" s="3080"/>
      <c r="BJ241" s="3080">
        <f t="shared" ref="BJ241:BJ244" si="454">I241</f>
        <v>600</v>
      </c>
      <c r="BK241" s="3080"/>
      <c r="BL241" s="3080" t="s">
        <v>9164</v>
      </c>
      <c r="BM241" s="3132"/>
      <c r="BN241" s="3080">
        <f t="shared" si="445"/>
        <v>150</v>
      </c>
      <c r="BO241" s="3080">
        <f t="shared" si="446"/>
        <v>150</v>
      </c>
      <c r="BP241" s="3080">
        <f t="shared" si="447"/>
        <v>150</v>
      </c>
      <c r="BQ241" s="3088">
        <f t="shared" si="448"/>
        <v>150</v>
      </c>
      <c r="BR241" s="3080">
        <f t="shared" si="432"/>
        <v>0</v>
      </c>
      <c r="BS241" s="3088"/>
      <c r="BT241" s="3088"/>
      <c r="BU241" s="3088"/>
      <c r="BV241" s="3088"/>
      <c r="BW241" s="3088"/>
      <c r="BX241" s="3088"/>
    </row>
    <row r="242" s="3031" customFormat="1" ht="32" customHeight="1" spans="1:76">
      <c r="A242" s="3063">
        <v>45868</v>
      </c>
      <c r="B242" s="3064" t="s">
        <v>1919</v>
      </c>
      <c r="C242" s="3065" t="s">
        <v>1920</v>
      </c>
      <c r="D242" s="3066">
        <v>4500175435</v>
      </c>
      <c r="E242" s="3091"/>
      <c r="F242" s="3066" t="s">
        <v>9817</v>
      </c>
      <c r="G242" s="3098" t="s">
        <v>9154</v>
      </c>
      <c r="H242" s="3069" t="s">
        <v>9155</v>
      </c>
      <c r="I242" s="2969">
        <v>160</v>
      </c>
      <c r="J242" s="2969">
        <v>0</v>
      </c>
      <c r="K242" s="2969">
        <v>8</v>
      </c>
      <c r="L242" s="2969">
        <f t="shared" si="395"/>
        <v>20</v>
      </c>
      <c r="M242" s="3070">
        <v>45915</v>
      </c>
      <c r="N242" s="3070">
        <v>45911</v>
      </c>
      <c r="O242" s="2996"/>
      <c r="P242" s="2996" t="s">
        <v>82</v>
      </c>
      <c r="Q242" s="3071"/>
      <c r="R242" s="3071"/>
      <c r="S242" s="3071"/>
      <c r="T242" s="3071"/>
      <c r="U242" s="3072" t="s">
        <v>1922</v>
      </c>
      <c r="V242" s="2996"/>
      <c r="W242" s="3069" t="s">
        <v>1884</v>
      </c>
      <c r="X242" s="3073"/>
      <c r="Y242" s="3073" t="s">
        <v>1923</v>
      </c>
      <c r="Z242" s="3073"/>
      <c r="AA242" s="3073"/>
      <c r="AB242" s="3091" t="s">
        <v>9818</v>
      </c>
      <c r="AC242" s="2969" t="s">
        <v>357</v>
      </c>
      <c r="AD242" s="3075">
        <v>4.1708</v>
      </c>
      <c r="AE242" s="3076">
        <f t="shared" si="449"/>
        <v>667.328</v>
      </c>
      <c r="AF242" s="2969"/>
      <c r="AG242" s="2969" t="s">
        <v>9154</v>
      </c>
      <c r="AH242" s="2969" t="s">
        <v>416</v>
      </c>
      <c r="AI242" s="3163"/>
      <c r="AJ242" s="3078">
        <f t="shared" si="450"/>
        <v>160</v>
      </c>
      <c r="AK242" s="3131"/>
      <c r="AL242" s="3078"/>
      <c r="AM242" s="3131"/>
      <c r="AN242" s="3078"/>
      <c r="AO242" s="3132"/>
      <c r="AP242" s="3080">
        <f t="shared" si="416"/>
        <v>160</v>
      </c>
      <c r="AQ242" s="3080"/>
      <c r="AR242" s="3080"/>
      <c r="AS242" s="3081"/>
      <c r="AT242" s="3147"/>
      <c r="AU242" s="3132"/>
      <c r="AV242" s="3132"/>
      <c r="AW242" s="3148"/>
      <c r="AX242" s="3085">
        <f t="shared" si="444"/>
        <v>40</v>
      </c>
      <c r="AY242" s="3080">
        <f t="shared" si="451"/>
        <v>40</v>
      </c>
      <c r="AZ242" s="3080">
        <f t="shared" si="452"/>
        <v>40</v>
      </c>
      <c r="BA242" s="3086">
        <f t="shared" si="453"/>
        <v>40</v>
      </c>
      <c r="BB242" s="3087"/>
      <c r="BC242" s="3080"/>
      <c r="BD242" s="3080"/>
      <c r="BE242" s="3080"/>
      <c r="BF242" s="3080"/>
      <c r="BG242" s="3080"/>
      <c r="BH242" s="3080"/>
      <c r="BI242" s="3080"/>
      <c r="BJ242" s="3080">
        <f t="shared" si="454"/>
        <v>160</v>
      </c>
      <c r="BK242" s="3080"/>
      <c r="BL242" s="3080" t="s">
        <v>9164</v>
      </c>
      <c r="BM242" s="3132"/>
      <c r="BN242" s="3080">
        <f t="shared" si="445"/>
        <v>40</v>
      </c>
      <c r="BO242" s="3080">
        <f t="shared" si="446"/>
        <v>40</v>
      </c>
      <c r="BP242" s="3080">
        <f t="shared" si="447"/>
        <v>40</v>
      </c>
      <c r="BQ242" s="3088">
        <f t="shared" si="448"/>
        <v>40</v>
      </c>
      <c r="BR242" s="3080">
        <f t="shared" si="432"/>
        <v>0</v>
      </c>
      <c r="BS242" s="3088"/>
      <c r="BT242" s="3088"/>
      <c r="BU242" s="3088"/>
      <c r="BV242" s="3088"/>
      <c r="BW242" s="3088"/>
      <c r="BX242" s="3088"/>
    </row>
    <row r="243" s="3031" customFormat="1" ht="32" customHeight="1" spans="1:76">
      <c r="A243" s="3063">
        <v>45862</v>
      </c>
      <c r="B243" s="3064" t="s">
        <v>1617</v>
      </c>
      <c r="C243" s="3065" t="s">
        <v>91</v>
      </c>
      <c r="D243" s="3066">
        <v>4500174768</v>
      </c>
      <c r="E243" s="3091" t="s">
        <v>9819</v>
      </c>
      <c r="F243" s="3066" t="s">
        <v>9820</v>
      </c>
      <c r="G243" s="3098" t="s">
        <v>9154</v>
      </c>
      <c r="H243" s="3069" t="s">
        <v>9155</v>
      </c>
      <c r="I243" s="2969">
        <v>600</v>
      </c>
      <c r="J243" s="2969">
        <v>0</v>
      </c>
      <c r="K243" s="2969">
        <v>8</v>
      </c>
      <c r="L243" s="2969">
        <f t="shared" si="395"/>
        <v>75</v>
      </c>
      <c r="M243" s="3070">
        <v>45918</v>
      </c>
      <c r="N243" s="3070">
        <v>45915</v>
      </c>
      <c r="O243" s="2996"/>
      <c r="P243" s="2996" t="s">
        <v>82</v>
      </c>
      <c r="Q243" s="3071"/>
      <c r="R243" s="3071"/>
      <c r="S243" s="3071"/>
      <c r="T243" s="3071"/>
      <c r="U243" s="3072" t="s">
        <v>1911</v>
      </c>
      <c r="V243" s="2996"/>
      <c r="W243" s="3069" t="s">
        <v>390</v>
      </c>
      <c r="X243" s="3073"/>
      <c r="Y243" s="3073" t="s">
        <v>98</v>
      </c>
      <c r="Z243" s="3073" t="s">
        <v>9794</v>
      </c>
      <c r="AA243" s="3073"/>
      <c r="AB243" s="3091" t="s">
        <v>1621</v>
      </c>
      <c r="AC243" s="2969" t="s">
        <v>1880</v>
      </c>
      <c r="AD243" s="3075">
        <v>2.4958</v>
      </c>
      <c r="AE243" s="3076">
        <f t="shared" si="449"/>
        <v>1497.48</v>
      </c>
      <c r="AF243" s="2969" t="s">
        <v>1912</v>
      </c>
      <c r="AG243" s="2969" t="s">
        <v>9154</v>
      </c>
      <c r="AH243" s="2969" t="s">
        <v>416</v>
      </c>
      <c r="AI243" s="3163"/>
      <c r="AJ243" s="3078">
        <f t="shared" si="450"/>
        <v>600</v>
      </c>
      <c r="AK243" s="3131"/>
      <c r="AL243" s="3078"/>
      <c r="AM243" s="3131"/>
      <c r="AN243" s="3078"/>
      <c r="AO243" s="3132"/>
      <c r="AP243" s="3080">
        <f t="shared" si="416"/>
        <v>600</v>
      </c>
      <c r="AQ243" s="3080"/>
      <c r="AR243" s="3080"/>
      <c r="AS243" s="3081"/>
      <c r="AT243" s="3147"/>
      <c r="AU243" s="3132"/>
      <c r="AV243" s="3132"/>
      <c r="AW243" s="3148"/>
      <c r="AX243" s="3085">
        <f t="shared" si="444"/>
        <v>150</v>
      </c>
      <c r="AY243" s="3080">
        <f t="shared" si="451"/>
        <v>150</v>
      </c>
      <c r="AZ243" s="3080">
        <f t="shared" si="452"/>
        <v>150</v>
      </c>
      <c r="BA243" s="3086">
        <f t="shared" si="453"/>
        <v>150</v>
      </c>
      <c r="BB243" s="3087"/>
      <c r="BC243" s="3080"/>
      <c r="BD243" s="3080"/>
      <c r="BE243" s="3080"/>
      <c r="BF243" s="3080"/>
      <c r="BG243" s="3080"/>
      <c r="BH243" s="3080"/>
      <c r="BI243" s="3080"/>
      <c r="BJ243" s="3080">
        <f t="shared" si="454"/>
        <v>600</v>
      </c>
      <c r="BK243" s="3080"/>
      <c r="BL243" s="3080" t="s">
        <v>9164</v>
      </c>
      <c r="BM243" s="3132"/>
      <c r="BN243" s="3080">
        <f t="shared" si="445"/>
        <v>150</v>
      </c>
      <c r="BO243" s="3080">
        <f t="shared" si="446"/>
        <v>150</v>
      </c>
      <c r="BP243" s="3080">
        <f t="shared" si="447"/>
        <v>150</v>
      </c>
      <c r="BQ243" s="3088">
        <f t="shared" si="448"/>
        <v>150</v>
      </c>
      <c r="BR243" s="3080">
        <f t="shared" si="432"/>
        <v>0</v>
      </c>
      <c r="BS243" s="3088"/>
      <c r="BT243" s="3088"/>
      <c r="BU243" s="3088"/>
      <c r="BV243" s="3088"/>
      <c r="BW243" s="3088"/>
      <c r="BX243" s="3088"/>
    </row>
    <row r="244" s="3031" customFormat="1" ht="32" customHeight="1" spans="1:76">
      <c r="A244" s="3063">
        <v>45875</v>
      </c>
      <c r="B244" s="3064" t="s">
        <v>8747</v>
      </c>
      <c r="C244" s="3065" t="s">
        <v>91</v>
      </c>
      <c r="D244" s="3066">
        <v>4500175994</v>
      </c>
      <c r="E244" s="3091" t="s">
        <v>9821</v>
      </c>
      <c r="F244" s="3066" t="s">
        <v>9822</v>
      </c>
      <c r="G244" s="3098" t="s">
        <v>9154</v>
      </c>
      <c r="H244" s="3069" t="s">
        <v>9155</v>
      </c>
      <c r="I244" s="2969">
        <v>208</v>
      </c>
      <c r="J244" s="2969">
        <v>0</v>
      </c>
      <c r="K244" s="2969">
        <v>8</v>
      </c>
      <c r="L244" s="2969">
        <f t="shared" si="395"/>
        <v>26</v>
      </c>
      <c r="M244" s="3070">
        <v>45919</v>
      </c>
      <c r="N244" s="3070">
        <v>45915</v>
      </c>
      <c r="O244" s="2996"/>
      <c r="P244" s="2996" t="s">
        <v>82</v>
      </c>
      <c r="Q244" s="3071"/>
      <c r="R244" s="3071"/>
      <c r="S244" s="3071"/>
      <c r="T244" s="3071"/>
      <c r="U244" s="3072" t="s">
        <v>1965</v>
      </c>
      <c r="V244" s="2996"/>
      <c r="W244" s="3069" t="s">
        <v>9823</v>
      </c>
      <c r="X244" s="3073"/>
      <c r="Y244" s="3073" t="s">
        <v>98</v>
      </c>
      <c r="Z244" s="3073"/>
      <c r="AA244" s="3073"/>
      <c r="AB244" s="3091" t="s">
        <v>9824</v>
      </c>
      <c r="AC244" s="2969" t="s">
        <v>2808</v>
      </c>
      <c r="AD244" s="3075">
        <v>2.5025</v>
      </c>
      <c r="AE244" s="3076">
        <f t="shared" si="449"/>
        <v>520.52</v>
      </c>
      <c r="AF244" s="2969" t="s">
        <v>9825</v>
      </c>
      <c r="AG244" s="2969" t="s">
        <v>9154</v>
      </c>
      <c r="AH244" s="2969" t="s">
        <v>416</v>
      </c>
      <c r="AI244" s="3161"/>
      <c r="AJ244" s="3078">
        <f t="shared" si="450"/>
        <v>208</v>
      </c>
      <c r="AK244" s="3092"/>
      <c r="AL244" s="3078"/>
      <c r="AM244" s="3092"/>
      <c r="AN244" s="3078"/>
      <c r="AO244" s="3097"/>
      <c r="AP244" s="3080">
        <f t="shared" si="416"/>
        <v>208</v>
      </c>
      <c r="AQ244" s="3080"/>
      <c r="AR244" s="3080"/>
      <c r="AS244" s="3081"/>
      <c r="AT244" s="3149"/>
      <c r="AU244" s="3097"/>
      <c r="AV244" s="3097"/>
      <c r="AW244" s="3150"/>
      <c r="AX244" s="3085">
        <f t="shared" si="444"/>
        <v>52</v>
      </c>
      <c r="AY244" s="3080">
        <f t="shared" si="451"/>
        <v>52</v>
      </c>
      <c r="AZ244" s="3080">
        <f t="shared" si="452"/>
        <v>52</v>
      </c>
      <c r="BA244" s="3086">
        <f t="shared" si="453"/>
        <v>52</v>
      </c>
      <c r="BB244" s="3087"/>
      <c r="BC244" s="3080"/>
      <c r="BD244" s="3080"/>
      <c r="BE244" s="3080"/>
      <c r="BF244" s="3080"/>
      <c r="BG244" s="3080"/>
      <c r="BH244" s="3080"/>
      <c r="BI244" s="3080"/>
      <c r="BJ244" s="3080">
        <f t="shared" si="454"/>
        <v>208</v>
      </c>
      <c r="BK244" s="3080"/>
      <c r="BL244" s="3080" t="s">
        <v>9164</v>
      </c>
      <c r="BM244" s="3097"/>
      <c r="BN244" s="3080">
        <f t="shared" si="445"/>
        <v>52</v>
      </c>
      <c r="BO244" s="3080">
        <f t="shared" si="446"/>
        <v>52</v>
      </c>
      <c r="BP244" s="3080">
        <f t="shared" si="447"/>
        <v>52</v>
      </c>
      <c r="BQ244" s="3088">
        <f t="shared" si="448"/>
        <v>52</v>
      </c>
      <c r="BR244" s="3080">
        <f t="shared" si="432"/>
        <v>0</v>
      </c>
      <c r="BS244" s="3088"/>
      <c r="BT244" s="3088"/>
      <c r="BU244" s="3088"/>
      <c r="BV244" s="3088"/>
      <c r="BW244" s="3088"/>
      <c r="BX244" s="3088"/>
    </row>
    <row r="245" s="3031" customFormat="1" ht="32" customHeight="1" spans="1:76">
      <c r="A245" s="3063">
        <v>45868</v>
      </c>
      <c r="B245" s="3064" t="s">
        <v>4766</v>
      </c>
      <c r="C245" s="3065" t="s">
        <v>471</v>
      </c>
      <c r="D245" s="3066">
        <v>4500175520</v>
      </c>
      <c r="E245" s="3091">
        <v>5200007335</v>
      </c>
      <c r="F245" s="3066" t="s">
        <v>9826</v>
      </c>
      <c r="G245" s="3098" t="s">
        <v>9827</v>
      </c>
      <c r="H245" s="3069" t="s">
        <v>9155</v>
      </c>
      <c r="I245" s="2969">
        <v>8012</v>
      </c>
      <c r="J245" s="2969">
        <v>0</v>
      </c>
      <c r="K245" s="2969">
        <v>4</v>
      </c>
      <c r="L245" s="2969">
        <f t="shared" si="395"/>
        <v>2003</v>
      </c>
      <c r="M245" s="3070">
        <v>45910</v>
      </c>
      <c r="N245" s="3070">
        <v>45906</v>
      </c>
      <c r="O245" s="2996"/>
      <c r="P245" s="2996" t="s">
        <v>82</v>
      </c>
      <c r="Q245" s="3071"/>
      <c r="R245" s="3071"/>
      <c r="S245" s="3071"/>
      <c r="T245" s="3071"/>
      <c r="U245" s="3072" t="s">
        <v>1832</v>
      </c>
      <c r="V245" s="2996"/>
      <c r="W245" s="3069" t="s">
        <v>7561</v>
      </c>
      <c r="X245" s="3073"/>
      <c r="Y245" s="3073" t="s">
        <v>9828</v>
      </c>
      <c r="Z245" s="3073"/>
      <c r="AA245" s="3073"/>
      <c r="AB245" s="3091" t="s">
        <v>9829</v>
      </c>
      <c r="AC245" s="2969" t="s">
        <v>4392</v>
      </c>
      <c r="AD245" s="3075">
        <v>4.1436</v>
      </c>
      <c r="AE245" s="3076">
        <f t="shared" si="449"/>
        <v>33198.5232</v>
      </c>
      <c r="AF245" s="2969" t="s">
        <v>9830</v>
      </c>
      <c r="AG245" s="3098" t="s">
        <v>9831</v>
      </c>
      <c r="AH245" s="2969" t="s">
        <v>416</v>
      </c>
      <c r="AI245" s="3162"/>
      <c r="AJ245" s="3078"/>
      <c r="AK245" s="3138"/>
      <c r="AL245" s="3078">
        <f>I245</f>
        <v>8012</v>
      </c>
      <c r="AM245" s="3138"/>
      <c r="AN245" s="3078"/>
      <c r="AO245" s="3141"/>
      <c r="AP245" s="3080">
        <f t="shared" si="416"/>
        <v>8012</v>
      </c>
      <c r="AQ245" s="3080"/>
      <c r="AR245" s="3080"/>
      <c r="AS245" s="3081"/>
      <c r="AT245" s="3142"/>
      <c r="AU245" s="3141"/>
      <c r="AV245" s="3141"/>
      <c r="AW245" s="3143"/>
      <c r="AX245" s="3085">
        <f t="shared" si="444"/>
        <v>2003</v>
      </c>
      <c r="AY245" s="3080">
        <f t="shared" si="451"/>
        <v>2003</v>
      </c>
      <c r="AZ245" s="3080">
        <f t="shared" si="452"/>
        <v>2003</v>
      </c>
      <c r="BA245" s="3086">
        <f t="shared" si="453"/>
        <v>2003</v>
      </c>
      <c r="BB245" s="3087"/>
      <c r="BC245" s="3080"/>
      <c r="BD245" s="3080"/>
      <c r="BE245" s="3080"/>
      <c r="BF245" s="3080"/>
      <c r="BG245" s="3080"/>
      <c r="BH245" s="3080"/>
      <c r="BI245" s="3080"/>
      <c r="BJ245" s="3080"/>
      <c r="BK245" s="3080">
        <f>I245</f>
        <v>8012</v>
      </c>
      <c r="BL245" s="3080" t="s">
        <v>9164</v>
      </c>
      <c r="BM245" s="3141"/>
      <c r="BN245" s="3080">
        <f t="shared" si="445"/>
        <v>2003</v>
      </c>
      <c r="BO245" s="3080">
        <f t="shared" si="446"/>
        <v>2003</v>
      </c>
      <c r="BP245" s="3080">
        <f t="shared" si="447"/>
        <v>2003</v>
      </c>
      <c r="BQ245" s="3088">
        <f t="shared" si="448"/>
        <v>2003</v>
      </c>
      <c r="BR245" s="3080">
        <f t="shared" si="432"/>
        <v>0</v>
      </c>
      <c r="BS245" s="3088"/>
      <c r="BT245" s="3088"/>
      <c r="BU245" s="3088"/>
      <c r="BV245" s="3088"/>
      <c r="BW245" s="3088"/>
      <c r="BX245" s="3088"/>
    </row>
    <row r="246" s="3031" customFormat="1" ht="32" customHeight="1" spans="1:76">
      <c r="A246" s="3063">
        <v>45839</v>
      </c>
      <c r="B246" s="3064" t="s">
        <v>407</v>
      </c>
      <c r="C246" s="3065" t="s">
        <v>91</v>
      </c>
      <c r="D246" s="3066">
        <v>4500172208</v>
      </c>
      <c r="E246" s="3091" t="s">
        <v>4822</v>
      </c>
      <c r="F246" s="3066" t="s">
        <v>9832</v>
      </c>
      <c r="G246" s="3098" t="s">
        <v>9154</v>
      </c>
      <c r="H246" s="3069" t="s">
        <v>9155</v>
      </c>
      <c r="I246" s="2969">
        <v>4504</v>
      </c>
      <c r="J246" s="2969">
        <v>0</v>
      </c>
      <c r="K246" s="2969">
        <v>8</v>
      </c>
      <c r="L246" s="2969">
        <f t="shared" si="395"/>
        <v>563</v>
      </c>
      <c r="M246" s="3070">
        <v>45919</v>
      </c>
      <c r="N246" s="3070">
        <v>45915</v>
      </c>
      <c r="O246" s="3073"/>
      <c r="P246" s="2996" t="s">
        <v>82</v>
      </c>
      <c r="Q246" s="3071"/>
      <c r="R246" s="3071"/>
      <c r="S246" s="3071"/>
      <c r="T246" s="3071"/>
      <c r="U246" s="3072" t="s">
        <v>1965</v>
      </c>
      <c r="V246" s="2996"/>
      <c r="W246" s="3073" t="s">
        <v>390</v>
      </c>
      <c r="X246" s="3073"/>
      <c r="Y246" s="3073" t="s">
        <v>98</v>
      </c>
      <c r="Z246" s="3073" t="s">
        <v>9833</v>
      </c>
      <c r="AA246" s="3073"/>
      <c r="AB246" s="3091" t="s">
        <v>1621</v>
      </c>
      <c r="AC246" s="2969" t="s">
        <v>393</v>
      </c>
      <c r="AD246" s="3075">
        <v>2.3978</v>
      </c>
      <c r="AE246" s="3076">
        <f t="shared" si="449"/>
        <v>10799.6912</v>
      </c>
      <c r="AF246" s="2969" t="s">
        <v>4824</v>
      </c>
      <c r="AG246" s="2969" t="s">
        <v>9154</v>
      </c>
      <c r="AH246" s="2969" t="s">
        <v>416</v>
      </c>
      <c r="AI246" s="3162"/>
      <c r="AJ246" s="3078">
        <f t="shared" ref="AJ246:AJ251" si="455">I246</f>
        <v>4504</v>
      </c>
      <c r="AK246" s="3138"/>
      <c r="AL246" s="3078"/>
      <c r="AM246" s="3138"/>
      <c r="AN246" s="3078"/>
      <c r="AO246" s="3141"/>
      <c r="AP246" s="3080">
        <f t="shared" si="416"/>
        <v>4504</v>
      </c>
      <c r="AQ246" s="3080"/>
      <c r="AR246" s="3080"/>
      <c r="AS246" s="3081"/>
      <c r="AT246" s="3142"/>
      <c r="AU246" s="3141"/>
      <c r="AV246" s="3141"/>
      <c r="AW246" s="3143"/>
      <c r="AX246" s="3085">
        <f t="shared" si="444"/>
        <v>1126</v>
      </c>
      <c r="AY246" s="3080">
        <f t="shared" si="451"/>
        <v>1126</v>
      </c>
      <c r="AZ246" s="3080">
        <f t="shared" si="452"/>
        <v>1126</v>
      </c>
      <c r="BA246" s="3086">
        <f t="shared" si="453"/>
        <v>1126</v>
      </c>
      <c r="BB246" s="3087"/>
      <c r="BC246" s="3080"/>
      <c r="BD246" s="3081"/>
      <c r="BE246" s="3080"/>
      <c r="BF246" s="3034"/>
      <c r="BG246" s="3034"/>
      <c r="BH246" s="3034"/>
      <c r="BI246" s="3034"/>
      <c r="BJ246" s="3089">
        <f t="shared" ref="BJ246:BJ256" si="456">I246</f>
        <v>4504</v>
      </c>
      <c r="BK246" s="3080"/>
      <c r="BL246" s="3080" t="s">
        <v>9164</v>
      </c>
      <c r="BM246" s="3141"/>
      <c r="BN246" s="3080">
        <f t="shared" si="445"/>
        <v>1126</v>
      </c>
      <c r="BO246" s="3080">
        <f t="shared" si="446"/>
        <v>1126</v>
      </c>
      <c r="BP246" s="3080">
        <f t="shared" si="447"/>
        <v>1126</v>
      </c>
      <c r="BQ246" s="3088">
        <f t="shared" si="448"/>
        <v>1126</v>
      </c>
      <c r="BR246" s="3080">
        <f t="shared" si="432"/>
        <v>0</v>
      </c>
      <c r="BS246" s="3088"/>
      <c r="BT246" s="3088"/>
      <c r="BU246" s="3088"/>
      <c r="BV246" s="3088"/>
      <c r="BW246" s="3088"/>
      <c r="BX246" s="3088"/>
    </row>
    <row r="247" s="3031" customFormat="1" ht="32" customHeight="1" spans="1:76">
      <c r="A247" s="3063">
        <v>45848</v>
      </c>
      <c r="B247" s="3064" t="s">
        <v>6682</v>
      </c>
      <c r="C247" s="3065" t="s">
        <v>396</v>
      </c>
      <c r="D247" s="3066">
        <v>4500173369</v>
      </c>
      <c r="E247" s="3091">
        <v>2700952161</v>
      </c>
      <c r="F247" s="3066" t="s">
        <v>9834</v>
      </c>
      <c r="G247" s="3098" t="s">
        <v>9158</v>
      </c>
      <c r="H247" s="3069" t="s">
        <v>9155</v>
      </c>
      <c r="I247" s="2969">
        <v>8102</v>
      </c>
      <c r="J247" s="2969">
        <v>0</v>
      </c>
      <c r="K247" s="2969">
        <v>1</v>
      </c>
      <c r="L247" s="2969">
        <f t="shared" si="395"/>
        <v>8102</v>
      </c>
      <c r="M247" s="3070">
        <v>45910</v>
      </c>
      <c r="N247" s="3070">
        <v>45906</v>
      </c>
      <c r="O247" s="2996" t="s">
        <v>9835</v>
      </c>
      <c r="P247" s="2996" t="s">
        <v>82</v>
      </c>
      <c r="Q247" s="3071"/>
      <c r="R247" s="3071"/>
      <c r="S247" s="3071"/>
      <c r="T247" s="3071"/>
      <c r="U247" s="3072" t="s">
        <v>9836</v>
      </c>
      <c r="V247" s="2996"/>
      <c r="W247" s="3073" t="s">
        <v>1859</v>
      </c>
      <c r="X247" s="3073"/>
      <c r="Y247" s="3073" t="s">
        <v>98</v>
      </c>
      <c r="Z247" s="2996" t="s">
        <v>9739</v>
      </c>
      <c r="AA247" s="3073"/>
      <c r="AB247" s="3091" t="s">
        <v>9837</v>
      </c>
      <c r="AC247" s="2969" t="s">
        <v>6688</v>
      </c>
      <c r="AD247" s="3075">
        <v>4.2664</v>
      </c>
      <c r="AE247" s="3076">
        <f t="shared" si="449"/>
        <v>34566.3728</v>
      </c>
      <c r="AF247" s="2969" t="s">
        <v>9838</v>
      </c>
      <c r="AG247" s="3069" t="s">
        <v>9742</v>
      </c>
      <c r="AH247" s="2969" t="s">
        <v>416</v>
      </c>
      <c r="AI247" s="3078"/>
      <c r="AJ247" s="3078"/>
      <c r="AK247" s="3138"/>
      <c r="AL247" s="3078"/>
      <c r="AM247" s="3138"/>
      <c r="AN247" s="3078">
        <f>L247</f>
        <v>8102</v>
      </c>
      <c r="AO247" s="3141"/>
      <c r="AP247" s="3080">
        <f>L247</f>
        <v>8102</v>
      </c>
      <c r="AQ247" s="3080"/>
      <c r="AR247" s="3080"/>
      <c r="AS247" s="3081"/>
      <c r="AT247" s="3142"/>
      <c r="AU247" s="3141"/>
      <c r="AV247" s="3141"/>
      <c r="AW247" s="3143"/>
      <c r="AX247" s="3085">
        <f t="shared" si="444"/>
        <v>2025.5</v>
      </c>
      <c r="AY247" s="3080">
        <f>AX247</f>
        <v>2025.5</v>
      </c>
      <c r="AZ247" s="3080">
        <f>AX247</f>
        <v>2025.5</v>
      </c>
      <c r="BA247" s="3086">
        <f>AX247</f>
        <v>2025.5</v>
      </c>
      <c r="BB247" s="3087"/>
      <c r="BC247" s="3080"/>
      <c r="BD247" s="3080"/>
      <c r="BE247" s="3080"/>
      <c r="BF247" s="3080"/>
      <c r="BG247" s="3080"/>
      <c r="BH247" s="3080"/>
      <c r="BI247" s="3080"/>
      <c r="BJ247" s="3080"/>
      <c r="BK247" s="3080">
        <f>I247</f>
        <v>8102</v>
      </c>
      <c r="BL247" s="3080" t="s">
        <v>9164</v>
      </c>
      <c r="BM247" s="3141"/>
      <c r="BN247" s="3080">
        <f t="shared" si="445"/>
        <v>2025.5</v>
      </c>
      <c r="BO247" s="3080">
        <f t="shared" si="446"/>
        <v>2025.5</v>
      </c>
      <c r="BP247" s="3080">
        <f t="shared" si="447"/>
        <v>2025.5</v>
      </c>
      <c r="BQ247" s="3080">
        <f t="shared" si="448"/>
        <v>2025.5</v>
      </c>
      <c r="BR247" s="3080">
        <f t="shared" si="432"/>
        <v>0</v>
      </c>
      <c r="BS247" s="3088">
        <f>BN247+BO247+BP247+BQ247+$BS$369</f>
        <v>520582</v>
      </c>
      <c r="BT247" s="3088"/>
      <c r="BU247" s="3088"/>
      <c r="BV247" s="3088"/>
      <c r="BW247" s="3088"/>
      <c r="BX247" s="3088"/>
    </row>
    <row r="248" s="3031" customFormat="1" ht="32" customHeight="1" spans="1:76">
      <c r="A248" s="3063">
        <v>45862</v>
      </c>
      <c r="B248" s="3064" t="s">
        <v>1617</v>
      </c>
      <c r="C248" s="3065" t="s">
        <v>91</v>
      </c>
      <c r="D248" s="3066">
        <v>4500174771</v>
      </c>
      <c r="E248" s="3091" t="s">
        <v>9839</v>
      </c>
      <c r="F248" s="3066" t="s">
        <v>9840</v>
      </c>
      <c r="G248" s="3098" t="s">
        <v>9154</v>
      </c>
      <c r="H248" s="3069" t="s">
        <v>9155</v>
      </c>
      <c r="I248" s="2969">
        <v>600</v>
      </c>
      <c r="J248" s="2969">
        <v>0</v>
      </c>
      <c r="K248" s="2969">
        <v>8</v>
      </c>
      <c r="L248" s="2969">
        <f t="shared" si="395"/>
        <v>75</v>
      </c>
      <c r="M248" s="3070">
        <v>45928</v>
      </c>
      <c r="N248" s="3070">
        <v>45924</v>
      </c>
      <c r="O248" s="2996"/>
      <c r="P248" s="3072" t="s">
        <v>82</v>
      </c>
      <c r="Q248" s="3168"/>
      <c r="R248" s="3168"/>
      <c r="S248" s="3168"/>
      <c r="T248" s="3168"/>
      <c r="U248" s="3072" t="s">
        <v>1990</v>
      </c>
      <c r="V248" s="2996"/>
      <c r="W248" s="3069" t="s">
        <v>390</v>
      </c>
      <c r="X248" s="3073"/>
      <c r="Y248" s="3073" t="s">
        <v>98</v>
      </c>
      <c r="Z248" s="3073" t="s">
        <v>9841</v>
      </c>
      <c r="AA248" s="3073"/>
      <c r="AB248" s="3091" t="s">
        <v>1621</v>
      </c>
      <c r="AC248" s="2969" t="s">
        <v>393</v>
      </c>
      <c r="AD248" s="3075">
        <v>2.4958</v>
      </c>
      <c r="AE248" s="3076">
        <f t="shared" si="449"/>
        <v>1497.48</v>
      </c>
      <c r="AF248" s="2969" t="s">
        <v>1992</v>
      </c>
      <c r="AG248" s="2969" t="s">
        <v>9154</v>
      </c>
      <c r="AH248" s="2969" t="s">
        <v>416</v>
      </c>
      <c r="AI248" s="3163"/>
      <c r="AJ248" s="3078">
        <f t="shared" si="455"/>
        <v>600</v>
      </c>
      <c r="AK248" s="3131"/>
      <c r="AL248" s="3078"/>
      <c r="AM248" s="3131"/>
      <c r="AN248" s="3078"/>
      <c r="AO248" s="3132"/>
      <c r="AP248" s="3080">
        <f t="shared" ref="AP248:AP252" si="457">I248</f>
        <v>600</v>
      </c>
      <c r="AQ248" s="3080"/>
      <c r="AR248" s="3080"/>
      <c r="AS248" s="3081"/>
      <c r="AT248" s="3147"/>
      <c r="AU248" s="3132"/>
      <c r="AV248" s="3132"/>
      <c r="AW248" s="3148"/>
      <c r="AX248" s="3085">
        <f t="shared" si="444"/>
        <v>150</v>
      </c>
      <c r="AY248" s="3080">
        <f t="shared" ref="AY248:AY252" si="458">I248/4</f>
        <v>150</v>
      </c>
      <c r="AZ248" s="3080">
        <f t="shared" ref="AZ248:AZ252" si="459">I248/4</f>
        <v>150</v>
      </c>
      <c r="BA248" s="3086">
        <f t="shared" ref="BA248:BA252" si="460">I248/4</f>
        <v>150</v>
      </c>
      <c r="BB248" s="3087"/>
      <c r="BC248" s="3080"/>
      <c r="BD248" s="3080"/>
      <c r="BE248" s="3080"/>
      <c r="BF248" s="3080"/>
      <c r="BG248" s="3080"/>
      <c r="BH248" s="3080"/>
      <c r="BI248" s="3080"/>
      <c r="BJ248" s="3080">
        <f t="shared" si="456"/>
        <v>600</v>
      </c>
      <c r="BK248" s="3080"/>
      <c r="BL248" s="3080" t="s">
        <v>9164</v>
      </c>
      <c r="BM248" s="3132"/>
      <c r="BN248" s="3080">
        <f t="shared" si="445"/>
        <v>150</v>
      </c>
      <c r="BO248" s="3080">
        <f t="shared" si="446"/>
        <v>150</v>
      </c>
      <c r="BP248" s="3080">
        <f t="shared" si="447"/>
        <v>150</v>
      </c>
      <c r="BQ248" s="3088">
        <f t="shared" si="448"/>
        <v>150</v>
      </c>
      <c r="BR248" s="3080">
        <f t="shared" si="432"/>
        <v>0</v>
      </c>
      <c r="BS248" s="3088"/>
      <c r="BT248" s="3088"/>
      <c r="BU248" s="3088"/>
      <c r="BV248" s="3088"/>
      <c r="BW248" s="3088"/>
      <c r="BX248" s="3088"/>
    </row>
    <row r="249" s="3031" customFormat="1" ht="32" customHeight="1" spans="1:76">
      <c r="A249" s="3063">
        <v>45862</v>
      </c>
      <c r="B249" s="3064" t="s">
        <v>407</v>
      </c>
      <c r="C249" s="3065" t="s">
        <v>91</v>
      </c>
      <c r="D249" s="3066">
        <v>4500173508</v>
      </c>
      <c r="E249" s="3091">
        <v>60235931</v>
      </c>
      <c r="F249" s="3066" t="s">
        <v>9842</v>
      </c>
      <c r="G249" s="3098" t="s">
        <v>9154</v>
      </c>
      <c r="H249" s="3069" t="s">
        <v>9155</v>
      </c>
      <c r="I249" s="2969">
        <v>3000</v>
      </c>
      <c r="J249" s="2969">
        <v>0</v>
      </c>
      <c r="K249" s="2969">
        <v>8</v>
      </c>
      <c r="L249" s="2969">
        <f t="shared" si="395"/>
        <v>375</v>
      </c>
      <c r="M249" s="3070">
        <v>45925</v>
      </c>
      <c r="N249" s="3070">
        <v>45921</v>
      </c>
      <c r="O249" s="2996"/>
      <c r="P249" s="3072" t="s">
        <v>82</v>
      </c>
      <c r="Q249" s="3168"/>
      <c r="R249" s="3168"/>
      <c r="S249" s="3168"/>
      <c r="T249" s="3168"/>
      <c r="U249" s="3072" t="s">
        <v>1990</v>
      </c>
      <c r="V249" s="2996"/>
      <c r="W249" s="3069" t="s">
        <v>390</v>
      </c>
      <c r="X249" s="3073"/>
      <c r="Y249" s="3073" t="s">
        <v>98</v>
      </c>
      <c r="Z249" s="3073" t="s">
        <v>9841</v>
      </c>
      <c r="AA249" s="3073"/>
      <c r="AB249" s="3091" t="s">
        <v>1621</v>
      </c>
      <c r="AC249" s="2969" t="s">
        <v>1880</v>
      </c>
      <c r="AD249" s="3075">
        <v>2.3978</v>
      </c>
      <c r="AE249" s="3076">
        <f t="shared" si="449"/>
        <v>7193.4</v>
      </c>
      <c r="AF249" s="2969" t="s">
        <v>7666</v>
      </c>
      <c r="AG249" s="2969" t="s">
        <v>9154</v>
      </c>
      <c r="AH249" s="2969" t="s">
        <v>416</v>
      </c>
      <c r="AI249" s="3162"/>
      <c r="AJ249" s="3078">
        <f t="shared" si="455"/>
        <v>3000</v>
      </c>
      <c r="AK249" s="3138"/>
      <c r="AL249" s="3078"/>
      <c r="AM249" s="3138"/>
      <c r="AN249" s="3078"/>
      <c r="AO249" s="3141"/>
      <c r="AP249" s="3080">
        <f t="shared" si="457"/>
        <v>3000</v>
      </c>
      <c r="AQ249" s="3080"/>
      <c r="AR249" s="3080"/>
      <c r="AS249" s="3081"/>
      <c r="AT249" s="3142"/>
      <c r="AU249" s="3141"/>
      <c r="AV249" s="3141"/>
      <c r="AW249" s="3143"/>
      <c r="AX249" s="3085">
        <f t="shared" si="444"/>
        <v>750</v>
      </c>
      <c r="AY249" s="3080">
        <f t="shared" si="458"/>
        <v>750</v>
      </c>
      <c r="AZ249" s="3080">
        <f t="shared" si="459"/>
        <v>750</v>
      </c>
      <c r="BA249" s="3086">
        <f t="shared" si="460"/>
        <v>750</v>
      </c>
      <c r="BB249" s="3087"/>
      <c r="BC249" s="3080"/>
      <c r="BD249" s="3080"/>
      <c r="BE249" s="3080"/>
      <c r="BF249" s="3080"/>
      <c r="BG249" s="3080"/>
      <c r="BH249" s="3080"/>
      <c r="BI249" s="3080"/>
      <c r="BJ249" s="3080">
        <f t="shared" si="456"/>
        <v>3000</v>
      </c>
      <c r="BK249" s="3080"/>
      <c r="BL249" s="3080" t="s">
        <v>9164</v>
      </c>
      <c r="BM249" s="3141"/>
      <c r="BN249" s="3080">
        <f t="shared" si="445"/>
        <v>750</v>
      </c>
      <c r="BO249" s="3080">
        <f t="shared" si="446"/>
        <v>750</v>
      </c>
      <c r="BP249" s="3080">
        <f t="shared" si="447"/>
        <v>750</v>
      </c>
      <c r="BQ249" s="3088">
        <f t="shared" si="448"/>
        <v>750</v>
      </c>
      <c r="BR249" s="3080">
        <f t="shared" si="432"/>
        <v>0</v>
      </c>
      <c r="BS249" s="3088"/>
      <c r="BT249" s="3088"/>
      <c r="BU249" s="3088"/>
      <c r="BV249" s="3088"/>
      <c r="BW249" s="3088"/>
      <c r="BX249" s="3088"/>
    </row>
    <row r="250" s="3031" customFormat="1" ht="32" customHeight="1" spans="1:76">
      <c r="A250" s="3063">
        <v>45891</v>
      </c>
      <c r="B250" s="3064" t="s">
        <v>2020</v>
      </c>
      <c r="C250" s="3065" t="s">
        <v>1121</v>
      </c>
      <c r="D250" s="3066">
        <v>4500177534</v>
      </c>
      <c r="E250" s="3091"/>
      <c r="F250" s="3066" t="s">
        <v>9843</v>
      </c>
      <c r="G250" s="3098" t="s">
        <v>9154</v>
      </c>
      <c r="H250" s="3069" t="s">
        <v>9155</v>
      </c>
      <c r="I250" s="2969">
        <v>120</v>
      </c>
      <c r="J250" s="2969">
        <v>0</v>
      </c>
      <c r="K250" s="2969">
        <v>8</v>
      </c>
      <c r="L250" s="2969">
        <f t="shared" si="395"/>
        <v>15</v>
      </c>
      <c r="M250" s="3070">
        <v>45940</v>
      </c>
      <c r="N250" s="3070">
        <v>45936</v>
      </c>
      <c r="O250" s="2996"/>
      <c r="P250" s="2996" t="s">
        <v>82</v>
      </c>
      <c r="Q250" s="3071"/>
      <c r="R250" s="3071"/>
      <c r="S250" s="3071"/>
      <c r="T250" s="3071"/>
      <c r="U250" s="3072" t="s">
        <v>1974</v>
      </c>
      <c r="V250" s="2996"/>
      <c r="W250" s="3069" t="s">
        <v>2022</v>
      </c>
      <c r="X250" s="3073"/>
      <c r="Y250" s="3073" t="s">
        <v>2023</v>
      </c>
      <c r="Z250" s="3073"/>
      <c r="AA250" s="3073"/>
      <c r="AB250" s="3091" t="s">
        <v>9506</v>
      </c>
      <c r="AC250" s="2969" t="s">
        <v>1199</v>
      </c>
      <c r="AD250" s="3075">
        <v>4.2276</v>
      </c>
      <c r="AE250" s="3076">
        <f t="shared" si="449"/>
        <v>507.312</v>
      </c>
      <c r="AF250" s="2969"/>
      <c r="AG250" s="2969" t="s">
        <v>9154</v>
      </c>
      <c r="AH250" s="2969" t="s">
        <v>416</v>
      </c>
      <c r="AI250" s="3162"/>
      <c r="AJ250" s="3078">
        <f t="shared" si="455"/>
        <v>120</v>
      </c>
      <c r="AK250" s="3078"/>
      <c r="AL250" s="3078"/>
      <c r="AM250" s="3078"/>
      <c r="AN250" s="3078"/>
      <c r="AO250" s="3080"/>
      <c r="AP250" s="3080">
        <f t="shared" si="457"/>
        <v>120</v>
      </c>
      <c r="AQ250" s="3080"/>
      <c r="AR250" s="3080"/>
      <c r="AS250" s="3081"/>
      <c r="AT250" s="3085"/>
      <c r="AU250" s="3080"/>
      <c r="AV250" s="3080"/>
      <c r="AW250" s="3086"/>
      <c r="AX250" s="3085">
        <f t="shared" si="444"/>
        <v>30</v>
      </c>
      <c r="AY250" s="3080">
        <f t="shared" si="458"/>
        <v>30</v>
      </c>
      <c r="AZ250" s="3080">
        <f t="shared" si="459"/>
        <v>30</v>
      </c>
      <c r="BA250" s="3086">
        <f t="shared" si="460"/>
        <v>30</v>
      </c>
      <c r="BB250" s="3087"/>
      <c r="BC250" s="3080"/>
      <c r="BD250" s="3080"/>
      <c r="BE250" s="3080"/>
      <c r="BF250" s="3080"/>
      <c r="BG250" s="3080"/>
      <c r="BH250" s="3080"/>
      <c r="BI250" s="3080"/>
      <c r="BJ250" s="3080">
        <f t="shared" si="456"/>
        <v>120</v>
      </c>
      <c r="BK250" s="3080"/>
      <c r="BL250" s="3080" t="s">
        <v>9164</v>
      </c>
      <c r="BM250" s="3080"/>
      <c r="BN250" s="3080">
        <f t="shared" si="445"/>
        <v>30</v>
      </c>
      <c r="BO250" s="3080">
        <f t="shared" si="446"/>
        <v>30</v>
      </c>
      <c r="BP250" s="3080">
        <f t="shared" si="447"/>
        <v>30</v>
      </c>
      <c r="BQ250" s="3088">
        <f t="shared" si="448"/>
        <v>30</v>
      </c>
      <c r="BR250" s="3080">
        <f t="shared" si="432"/>
        <v>0</v>
      </c>
      <c r="BS250" s="3088"/>
      <c r="BT250" s="3088"/>
      <c r="BU250" s="3088"/>
      <c r="BV250" s="3088"/>
      <c r="BW250" s="3088"/>
      <c r="BX250" s="3088"/>
    </row>
    <row r="251" s="3031" customFormat="1" ht="32" customHeight="1" spans="1:76">
      <c r="A251" s="3063">
        <v>45876</v>
      </c>
      <c r="B251" s="3064" t="s">
        <v>1617</v>
      </c>
      <c r="C251" s="3065" t="s">
        <v>91</v>
      </c>
      <c r="D251" s="3066">
        <v>4500176184</v>
      </c>
      <c r="E251" s="3091" t="s">
        <v>2036</v>
      </c>
      <c r="F251" s="3066" t="s">
        <v>9844</v>
      </c>
      <c r="G251" s="3098" t="s">
        <v>9154</v>
      </c>
      <c r="H251" s="3069" t="s">
        <v>9155</v>
      </c>
      <c r="I251" s="2969">
        <v>600</v>
      </c>
      <c r="J251" s="2969">
        <v>0</v>
      </c>
      <c r="K251" s="2969">
        <v>8</v>
      </c>
      <c r="L251" s="2969">
        <f t="shared" si="395"/>
        <v>75</v>
      </c>
      <c r="M251" s="3070">
        <v>45943</v>
      </c>
      <c r="N251" s="3070">
        <v>45939</v>
      </c>
      <c r="O251" s="2996"/>
      <c r="P251" s="2996" t="s">
        <v>82</v>
      </c>
      <c r="Q251" s="3071"/>
      <c r="R251" s="3071"/>
      <c r="S251" s="3071"/>
      <c r="T251" s="3071"/>
      <c r="U251" s="3072" t="s">
        <v>2038</v>
      </c>
      <c r="V251" s="2996"/>
      <c r="W251" s="3069" t="s">
        <v>2013</v>
      </c>
      <c r="X251" s="3073"/>
      <c r="Y251" s="3073" t="s">
        <v>98</v>
      </c>
      <c r="Z251" s="3073" t="s">
        <v>9841</v>
      </c>
      <c r="AA251" s="3073"/>
      <c r="AB251" s="3091" t="s">
        <v>2039</v>
      </c>
      <c r="AC251" s="2969" t="s">
        <v>393</v>
      </c>
      <c r="AD251" s="3075">
        <v>2.4958</v>
      </c>
      <c r="AE251" s="3076">
        <f t="shared" si="449"/>
        <v>1497.48</v>
      </c>
      <c r="AF251" s="2969" t="s">
        <v>2040</v>
      </c>
      <c r="AG251" s="2969" t="s">
        <v>9154</v>
      </c>
      <c r="AH251" s="2969" t="s">
        <v>416</v>
      </c>
      <c r="AI251" s="3162"/>
      <c r="AJ251" s="3078">
        <f t="shared" si="455"/>
        <v>600</v>
      </c>
      <c r="AK251" s="3078"/>
      <c r="AL251" s="3078"/>
      <c r="AM251" s="3078"/>
      <c r="AN251" s="3078"/>
      <c r="AO251" s="3080"/>
      <c r="AP251" s="3080">
        <f t="shared" si="457"/>
        <v>600</v>
      </c>
      <c r="AQ251" s="3080"/>
      <c r="AR251" s="3080"/>
      <c r="AS251" s="3081"/>
      <c r="AT251" s="3085"/>
      <c r="AU251" s="3080"/>
      <c r="AV251" s="3080"/>
      <c r="AW251" s="3086"/>
      <c r="AX251" s="3085">
        <f t="shared" si="444"/>
        <v>150</v>
      </c>
      <c r="AY251" s="3080">
        <f t="shared" si="458"/>
        <v>150</v>
      </c>
      <c r="AZ251" s="3080">
        <f t="shared" si="459"/>
        <v>150</v>
      </c>
      <c r="BA251" s="3086">
        <f t="shared" si="460"/>
        <v>150</v>
      </c>
      <c r="BB251" s="3087"/>
      <c r="BC251" s="3080"/>
      <c r="BD251" s="3080"/>
      <c r="BE251" s="3080"/>
      <c r="BF251" s="3080"/>
      <c r="BG251" s="3080"/>
      <c r="BH251" s="3080"/>
      <c r="BI251" s="3080"/>
      <c r="BJ251" s="3080">
        <f t="shared" si="456"/>
        <v>600</v>
      </c>
      <c r="BK251" s="3080"/>
      <c r="BL251" s="3080" t="s">
        <v>9164</v>
      </c>
      <c r="BM251" s="3080"/>
      <c r="BN251" s="3080">
        <f t="shared" si="445"/>
        <v>150</v>
      </c>
      <c r="BO251" s="3080">
        <f t="shared" si="446"/>
        <v>150</v>
      </c>
      <c r="BP251" s="3080">
        <f t="shared" si="447"/>
        <v>150</v>
      </c>
      <c r="BQ251" s="3088">
        <f t="shared" si="448"/>
        <v>150</v>
      </c>
      <c r="BR251" s="3080">
        <f t="shared" si="432"/>
        <v>0</v>
      </c>
      <c r="BS251" s="3088"/>
      <c r="BT251" s="3088"/>
      <c r="BU251" s="3088"/>
      <c r="BV251" s="3088"/>
      <c r="BW251" s="3088"/>
      <c r="BX251" s="3088"/>
    </row>
    <row r="252" s="3032" customFormat="1" ht="32" customHeight="1" spans="1:76">
      <c r="A252" s="3169">
        <v>45895</v>
      </c>
      <c r="B252" s="3170" t="s">
        <v>5013</v>
      </c>
      <c r="C252" s="3171" t="s">
        <v>738</v>
      </c>
      <c r="D252" s="3172">
        <v>4500177865</v>
      </c>
      <c r="E252" s="3173" t="s">
        <v>5014</v>
      </c>
      <c r="F252" s="3172" t="s">
        <v>9845</v>
      </c>
      <c r="G252" s="3174" t="s">
        <v>9154</v>
      </c>
      <c r="H252" s="3175" t="s">
        <v>9155</v>
      </c>
      <c r="I252" s="3176">
        <v>304</v>
      </c>
      <c r="J252" s="3176">
        <v>0</v>
      </c>
      <c r="K252" s="3176">
        <v>8</v>
      </c>
      <c r="L252" s="3176">
        <f t="shared" si="395"/>
        <v>38</v>
      </c>
      <c r="M252" s="3177">
        <v>45958</v>
      </c>
      <c r="N252" s="3177">
        <v>45954</v>
      </c>
      <c r="O252" s="2983"/>
      <c r="P252" s="2996" t="s">
        <v>82</v>
      </c>
      <c r="Q252" s="3071"/>
      <c r="R252" s="3071"/>
      <c r="S252" s="3071"/>
      <c r="T252" s="3071"/>
      <c r="U252" s="2999" t="s">
        <v>7670</v>
      </c>
      <c r="V252" s="2983"/>
      <c r="W252" s="3175" t="s">
        <v>5016</v>
      </c>
      <c r="X252" s="3003"/>
      <c r="Y252" s="3003" t="s">
        <v>8410</v>
      </c>
      <c r="Z252" s="3003"/>
      <c r="AA252" s="3003"/>
      <c r="AB252" s="3173" t="s">
        <v>9846</v>
      </c>
      <c r="AC252" s="3176" t="s">
        <v>1257</v>
      </c>
      <c r="AD252" s="3178">
        <v>4.0187</v>
      </c>
      <c r="AE252" s="3179">
        <f t="shared" si="449"/>
        <v>1221.6848</v>
      </c>
      <c r="AF252" s="3176"/>
      <c r="AG252" s="3176" t="s">
        <v>9239</v>
      </c>
      <c r="AH252" s="3176" t="s">
        <v>416</v>
      </c>
      <c r="AI252" s="3161"/>
      <c r="AJ252" s="3077"/>
      <c r="AK252" s="3103"/>
      <c r="AL252" s="3077">
        <f>I252</f>
        <v>304</v>
      </c>
      <c r="AM252" s="3103"/>
      <c r="AN252" s="3077"/>
      <c r="AO252" s="3102"/>
      <c r="AP252" s="3079">
        <f t="shared" si="457"/>
        <v>304</v>
      </c>
      <c r="AQ252" s="3079"/>
      <c r="AR252" s="3079"/>
      <c r="AS252" s="3180"/>
      <c r="AT252" s="3116"/>
      <c r="AU252" s="3102"/>
      <c r="AV252" s="3102"/>
      <c r="AW252" s="3117"/>
      <c r="AX252" s="3109">
        <f t="shared" si="444"/>
        <v>76</v>
      </c>
      <c r="AY252" s="3079">
        <f t="shared" si="458"/>
        <v>76</v>
      </c>
      <c r="AZ252" s="3079">
        <f t="shared" si="459"/>
        <v>76</v>
      </c>
      <c r="BA252" s="3110">
        <f t="shared" si="460"/>
        <v>76</v>
      </c>
      <c r="BB252" s="3181"/>
      <c r="BC252" s="3079"/>
      <c r="BD252" s="3079"/>
      <c r="BE252" s="3079"/>
      <c r="BF252" s="3079"/>
      <c r="BG252" s="3079"/>
      <c r="BH252" s="3079"/>
      <c r="BI252" s="3079"/>
      <c r="BJ252" s="3079">
        <f t="shared" si="456"/>
        <v>304</v>
      </c>
      <c r="BK252" s="3079"/>
      <c r="BL252" s="3079" t="s">
        <v>9164</v>
      </c>
      <c r="BM252" s="3102"/>
      <c r="BN252" s="3079">
        <f t="shared" si="445"/>
        <v>76</v>
      </c>
      <c r="BO252" s="3079">
        <f t="shared" si="446"/>
        <v>76</v>
      </c>
      <c r="BP252" s="3079">
        <f t="shared" si="447"/>
        <v>76</v>
      </c>
      <c r="BQ252" s="3182">
        <f t="shared" si="448"/>
        <v>76</v>
      </c>
      <c r="BR252" s="3079">
        <f t="shared" si="432"/>
        <v>0</v>
      </c>
      <c r="BS252" s="3182"/>
      <c r="BT252" s="3182"/>
      <c r="BU252" s="3182"/>
      <c r="BV252" s="3182"/>
      <c r="BW252" s="3182"/>
      <c r="BX252" s="3182"/>
    </row>
    <row r="253" s="3031" customFormat="1" ht="32" customHeight="1" spans="1:76">
      <c r="A253" s="3063">
        <v>45903</v>
      </c>
      <c r="B253" s="3064" t="s">
        <v>2005</v>
      </c>
      <c r="C253" s="3065" t="s">
        <v>673</v>
      </c>
      <c r="D253" s="3066">
        <v>4500178603</v>
      </c>
      <c r="E253" s="3091">
        <v>5000001980</v>
      </c>
      <c r="F253" s="3066" t="s">
        <v>9847</v>
      </c>
      <c r="G253" s="3098" t="s">
        <v>9270</v>
      </c>
      <c r="H253" s="3069" t="s">
        <v>9155</v>
      </c>
      <c r="I253" s="2969">
        <v>1200</v>
      </c>
      <c r="J253" s="2969">
        <v>0</v>
      </c>
      <c r="K253" s="2969">
        <v>4</v>
      </c>
      <c r="L253" s="2969">
        <f t="shared" si="395"/>
        <v>300</v>
      </c>
      <c r="M253" s="3070">
        <v>45950</v>
      </c>
      <c r="N253" s="3070">
        <v>45946</v>
      </c>
      <c r="O253" s="2996"/>
      <c r="P253" s="2996" t="s">
        <v>82</v>
      </c>
      <c r="Q253" s="3071"/>
      <c r="R253" s="3071"/>
      <c r="S253" s="3071"/>
      <c r="T253" s="3071"/>
      <c r="U253" s="3072" t="s">
        <v>5047</v>
      </c>
      <c r="V253" s="2996"/>
      <c r="W253" s="3069" t="s">
        <v>9848</v>
      </c>
      <c r="X253" s="3073"/>
      <c r="Y253" s="3073" t="s">
        <v>9849</v>
      </c>
      <c r="Z253" s="3073"/>
      <c r="AA253" s="3073"/>
      <c r="AB253" s="3091" t="s">
        <v>9850</v>
      </c>
      <c r="AC253" s="2969" t="s">
        <v>993</v>
      </c>
      <c r="AD253" s="3075">
        <v>4.035</v>
      </c>
      <c r="AE253" s="3076">
        <f t="shared" si="449"/>
        <v>4842</v>
      </c>
      <c r="AF253" s="2969" t="s">
        <v>9851</v>
      </c>
      <c r="AG253" s="2969" t="s">
        <v>9364</v>
      </c>
      <c r="AH253" s="2969" t="s">
        <v>416</v>
      </c>
      <c r="AI253" s="3162"/>
      <c r="AJ253" s="3078">
        <f t="shared" ref="AJ253:AJ256" si="461">I253</f>
        <v>1200</v>
      </c>
      <c r="AK253" s="3078"/>
      <c r="AL253" s="3078"/>
      <c r="AM253" s="3078"/>
      <c r="AN253" s="3078"/>
      <c r="AO253" s="3080"/>
      <c r="AP253" s="3080"/>
      <c r="AQ253" s="3080"/>
      <c r="AR253" s="3167">
        <f t="shared" ref="AR253:AR255" si="462">I253</f>
        <v>1200</v>
      </c>
      <c r="AS253" s="3081"/>
      <c r="AT253" s="3085"/>
      <c r="AU253" s="3080"/>
      <c r="AV253" s="3080"/>
      <c r="AW253" s="3086"/>
      <c r="AX253" s="3085"/>
      <c r="AY253" s="3080"/>
      <c r="AZ253" s="3080"/>
      <c r="BA253" s="3086"/>
      <c r="BB253" s="3087">
        <f t="shared" ref="BB253:BB255" si="463">I253/4</f>
        <v>300</v>
      </c>
      <c r="BC253" s="3080">
        <f t="shared" ref="BC253:BC255" si="464">I253/4</f>
        <v>300</v>
      </c>
      <c r="BD253" s="3080">
        <f t="shared" ref="BD253:BD255" si="465">I253/4</f>
        <v>300</v>
      </c>
      <c r="BE253" s="3080">
        <f t="shared" ref="BE253:BE255" si="466">I253/4</f>
        <v>300</v>
      </c>
      <c r="BF253" s="3080"/>
      <c r="BG253" s="3080"/>
      <c r="BH253" s="3080"/>
      <c r="BI253" s="3080"/>
      <c r="BJ253" s="3080">
        <f t="shared" si="456"/>
        <v>1200</v>
      </c>
      <c r="BK253" s="3080"/>
      <c r="BL253" s="3080" t="s">
        <v>9164</v>
      </c>
      <c r="BM253" s="3080"/>
      <c r="BN253" s="3080">
        <f t="shared" si="445"/>
        <v>300</v>
      </c>
      <c r="BO253" s="3080">
        <f t="shared" si="446"/>
        <v>300</v>
      </c>
      <c r="BP253" s="3080">
        <f t="shared" si="447"/>
        <v>300</v>
      </c>
      <c r="BQ253" s="3088">
        <f t="shared" si="448"/>
        <v>300</v>
      </c>
      <c r="BR253" s="3080">
        <f t="shared" si="432"/>
        <v>0</v>
      </c>
      <c r="BS253" s="3088"/>
      <c r="BT253" s="3088"/>
      <c r="BU253" s="3088"/>
      <c r="BV253" s="3088"/>
      <c r="BW253" s="3088"/>
      <c r="BX253" s="3088"/>
    </row>
    <row r="254" s="3031" customFormat="1" ht="32" customHeight="1" spans="1:76">
      <c r="A254" s="3063">
        <v>45909</v>
      </c>
      <c r="B254" s="3064" t="s">
        <v>2005</v>
      </c>
      <c r="C254" s="3065" t="s">
        <v>673</v>
      </c>
      <c r="D254" s="3066">
        <v>4500178603</v>
      </c>
      <c r="E254" s="3091">
        <v>5000001980</v>
      </c>
      <c r="F254" s="3066" t="s">
        <v>9852</v>
      </c>
      <c r="G254" s="3098" t="s">
        <v>9270</v>
      </c>
      <c r="H254" s="3069" t="s">
        <v>9155</v>
      </c>
      <c r="I254" s="2969">
        <v>800</v>
      </c>
      <c r="J254" s="2969">
        <v>0</v>
      </c>
      <c r="K254" s="2969">
        <v>4</v>
      </c>
      <c r="L254" s="2969">
        <f t="shared" si="395"/>
        <v>200</v>
      </c>
      <c r="M254" s="3070">
        <v>45950</v>
      </c>
      <c r="N254" s="3070">
        <v>45946</v>
      </c>
      <c r="O254" s="2996"/>
      <c r="P254" s="2996" t="s">
        <v>82</v>
      </c>
      <c r="Q254" s="3071"/>
      <c r="R254" s="3071"/>
      <c r="S254" s="3071"/>
      <c r="T254" s="3071"/>
      <c r="U254" s="3072"/>
      <c r="V254" s="2996"/>
      <c r="W254" s="3069" t="s">
        <v>9853</v>
      </c>
      <c r="X254" s="3073"/>
      <c r="Y254" s="3073" t="s">
        <v>9854</v>
      </c>
      <c r="Z254" s="3073"/>
      <c r="AA254" s="3073"/>
      <c r="AB254" s="3091" t="s">
        <v>9850</v>
      </c>
      <c r="AC254" s="2969" t="s">
        <v>993</v>
      </c>
      <c r="AD254" s="3075">
        <v>4.0239</v>
      </c>
      <c r="AE254" s="3076">
        <f t="shared" si="449"/>
        <v>3219.12</v>
      </c>
      <c r="AF254" s="2969" t="s">
        <v>9851</v>
      </c>
      <c r="AG254" s="2969" t="s">
        <v>9364</v>
      </c>
      <c r="AH254" s="2969" t="s">
        <v>416</v>
      </c>
      <c r="AI254" s="3162"/>
      <c r="AJ254" s="3078">
        <f t="shared" si="461"/>
        <v>800</v>
      </c>
      <c r="AK254" s="3138"/>
      <c r="AL254" s="3078"/>
      <c r="AM254" s="3138"/>
      <c r="AN254" s="3078"/>
      <c r="AO254" s="3141"/>
      <c r="AP254" s="3080"/>
      <c r="AQ254" s="3080"/>
      <c r="AR254" s="3167">
        <f t="shared" si="462"/>
        <v>800</v>
      </c>
      <c r="AS254" s="3081"/>
      <c r="AT254" s="3142"/>
      <c r="AU254" s="3141"/>
      <c r="AV254" s="3141"/>
      <c r="AW254" s="3143"/>
      <c r="AX254" s="3085"/>
      <c r="AY254" s="3080"/>
      <c r="AZ254" s="3080"/>
      <c r="BA254" s="3086"/>
      <c r="BB254" s="3087">
        <f t="shared" si="463"/>
        <v>200</v>
      </c>
      <c r="BC254" s="3080">
        <f t="shared" si="464"/>
        <v>200</v>
      </c>
      <c r="BD254" s="3080">
        <f t="shared" si="465"/>
        <v>200</v>
      </c>
      <c r="BE254" s="3080">
        <f t="shared" si="466"/>
        <v>200</v>
      </c>
      <c r="BF254" s="3080"/>
      <c r="BG254" s="3080"/>
      <c r="BH254" s="3080"/>
      <c r="BI254" s="3080"/>
      <c r="BJ254" s="3080">
        <f t="shared" si="456"/>
        <v>800</v>
      </c>
      <c r="BK254" s="3080"/>
      <c r="BL254" s="3080" t="s">
        <v>9164</v>
      </c>
      <c r="BM254" s="3141"/>
      <c r="BN254" s="3080">
        <f t="shared" si="445"/>
        <v>200</v>
      </c>
      <c r="BO254" s="3080">
        <f t="shared" si="446"/>
        <v>200</v>
      </c>
      <c r="BP254" s="3080">
        <f t="shared" si="447"/>
        <v>200</v>
      </c>
      <c r="BQ254" s="3088">
        <f t="shared" si="448"/>
        <v>200</v>
      </c>
      <c r="BR254" s="3080">
        <f t="shared" si="432"/>
        <v>0</v>
      </c>
      <c r="BS254" s="3088"/>
      <c r="BT254" s="3088"/>
      <c r="BU254" s="3088"/>
      <c r="BV254" s="3088"/>
      <c r="BW254" s="3088"/>
      <c r="BX254" s="3088"/>
    </row>
    <row r="255" s="3032" customFormat="1" ht="32" customHeight="1" spans="1:76">
      <c r="A255" s="3169">
        <v>45923</v>
      </c>
      <c r="B255" s="3170" t="s">
        <v>2005</v>
      </c>
      <c r="C255" s="3171" t="s">
        <v>673</v>
      </c>
      <c r="D255" s="3172">
        <v>4500178603</v>
      </c>
      <c r="E255" s="3173">
        <v>5000001980</v>
      </c>
      <c r="F255" s="3172" t="s">
        <v>9855</v>
      </c>
      <c r="G255" s="3174" t="s">
        <v>9270</v>
      </c>
      <c r="H255" s="3175" t="s">
        <v>9155</v>
      </c>
      <c r="I255" s="3176">
        <v>1200</v>
      </c>
      <c r="J255" s="3176">
        <v>0</v>
      </c>
      <c r="K255" s="3176">
        <v>4</v>
      </c>
      <c r="L255" s="3176">
        <f t="shared" si="395"/>
        <v>300</v>
      </c>
      <c r="M255" s="3177">
        <v>45964</v>
      </c>
      <c r="N255" s="3177">
        <f>M255-4</f>
        <v>45960</v>
      </c>
      <c r="O255" s="2983"/>
      <c r="P255" s="2996" t="s">
        <v>82</v>
      </c>
      <c r="Q255" s="3071"/>
      <c r="R255" s="3071"/>
      <c r="S255" s="3071"/>
      <c r="T255" s="3071"/>
      <c r="U255" s="2999"/>
      <c r="V255" s="2983"/>
      <c r="W255" s="3175" t="s">
        <v>9853</v>
      </c>
      <c r="X255" s="3003"/>
      <c r="Y255" s="3003" t="s">
        <v>9856</v>
      </c>
      <c r="Z255" s="3003"/>
      <c r="AA255" s="3003"/>
      <c r="AB255" s="3173" t="s">
        <v>9850</v>
      </c>
      <c r="AC255" s="3176" t="s">
        <v>993</v>
      </c>
      <c r="AD255" s="3178">
        <v>4.0239</v>
      </c>
      <c r="AE255" s="3179">
        <f t="shared" si="449"/>
        <v>4828.68</v>
      </c>
      <c r="AF255" s="3176" t="s">
        <v>9857</v>
      </c>
      <c r="AG255" s="3176" t="s">
        <v>9364</v>
      </c>
      <c r="AH255" s="3176" t="s">
        <v>416</v>
      </c>
      <c r="AI255" s="3161"/>
      <c r="AJ255" s="3077">
        <f t="shared" si="461"/>
        <v>1200</v>
      </c>
      <c r="AK255" s="3077"/>
      <c r="AL255" s="3077"/>
      <c r="AM255" s="3077"/>
      <c r="AN255" s="3077"/>
      <c r="AO255" s="3079"/>
      <c r="AP255" s="3079"/>
      <c r="AQ255" s="3079"/>
      <c r="AR255" s="3183">
        <f t="shared" si="462"/>
        <v>1200</v>
      </c>
      <c r="AS255" s="3180"/>
      <c r="AT255" s="3109"/>
      <c r="AU255" s="3079"/>
      <c r="AV255" s="3079"/>
      <c r="AW255" s="3110"/>
      <c r="AX255" s="3109"/>
      <c r="AY255" s="3079"/>
      <c r="AZ255" s="3079"/>
      <c r="BA255" s="3110"/>
      <c r="BB255" s="3181">
        <f t="shared" si="463"/>
        <v>300</v>
      </c>
      <c r="BC255" s="3079">
        <f t="shared" si="464"/>
        <v>300</v>
      </c>
      <c r="BD255" s="3079">
        <f t="shared" si="465"/>
        <v>300</v>
      </c>
      <c r="BE255" s="3079">
        <f t="shared" si="466"/>
        <v>300</v>
      </c>
      <c r="BF255" s="3079"/>
      <c r="BG255" s="3079"/>
      <c r="BH255" s="3079"/>
      <c r="BI255" s="3079"/>
      <c r="BJ255" s="3079">
        <f t="shared" si="456"/>
        <v>1200</v>
      </c>
      <c r="BK255" s="3079"/>
      <c r="BL255" s="3079" t="s">
        <v>9164</v>
      </c>
      <c r="BM255" s="3079"/>
      <c r="BN255" s="3079">
        <f t="shared" si="445"/>
        <v>300</v>
      </c>
      <c r="BO255" s="3079">
        <f t="shared" si="446"/>
        <v>300</v>
      </c>
      <c r="BP255" s="3079">
        <f t="shared" si="447"/>
        <v>300</v>
      </c>
      <c r="BQ255" s="3182">
        <f t="shared" si="448"/>
        <v>300</v>
      </c>
      <c r="BR255" s="3079">
        <f t="shared" si="432"/>
        <v>0</v>
      </c>
      <c r="BS255" s="3182"/>
      <c r="BT255" s="3182"/>
      <c r="BU255" s="3182"/>
      <c r="BV255" s="3182"/>
      <c r="BW255" s="3182"/>
      <c r="BX255" s="3182"/>
    </row>
    <row r="256" s="3032" customFormat="1" ht="32" customHeight="1" spans="1:76">
      <c r="A256" s="3169">
        <v>45925</v>
      </c>
      <c r="B256" s="3170" t="s">
        <v>5030</v>
      </c>
      <c r="C256" s="3171" t="s">
        <v>341</v>
      </c>
      <c r="D256" s="3172">
        <v>4500180371</v>
      </c>
      <c r="E256" s="3173" t="s">
        <v>9858</v>
      </c>
      <c r="F256" s="3172" t="s">
        <v>9859</v>
      </c>
      <c r="G256" s="3174" t="s">
        <v>9209</v>
      </c>
      <c r="H256" s="3175" t="s">
        <v>9210</v>
      </c>
      <c r="I256" s="3176">
        <v>968</v>
      </c>
      <c r="J256" s="3176">
        <v>0</v>
      </c>
      <c r="K256" s="3176">
        <v>88</v>
      </c>
      <c r="L256" s="3176">
        <f t="shared" si="395"/>
        <v>11</v>
      </c>
      <c r="M256" s="3177">
        <v>45965</v>
      </c>
      <c r="N256" s="3177">
        <f>M256-4</f>
        <v>45961</v>
      </c>
      <c r="O256" s="2983"/>
      <c r="P256" s="2996" t="s">
        <v>82</v>
      </c>
      <c r="Q256" s="3071"/>
      <c r="R256" s="3071"/>
      <c r="S256" s="3071"/>
      <c r="T256" s="3071"/>
      <c r="U256" s="2999" t="s">
        <v>5034</v>
      </c>
      <c r="V256" s="2983"/>
      <c r="W256" s="3175" t="s">
        <v>5006</v>
      </c>
      <c r="X256" s="3003"/>
      <c r="Y256" s="3003" t="s">
        <v>9860</v>
      </c>
      <c r="Z256" s="3003"/>
      <c r="AA256" s="3003"/>
      <c r="AB256" s="3173" t="s">
        <v>9861</v>
      </c>
      <c r="AC256" s="3176" t="s">
        <v>5036</v>
      </c>
      <c r="AD256" s="3178">
        <v>384.6653</v>
      </c>
      <c r="AE256" s="3179">
        <f>AD256*L256</f>
        <v>4231.3183</v>
      </c>
      <c r="AF256" s="3176"/>
      <c r="AG256" s="3176" t="s">
        <v>9209</v>
      </c>
      <c r="AH256" s="3176" t="s">
        <v>416</v>
      </c>
      <c r="AI256" s="3161"/>
      <c r="AJ256" s="3077">
        <f t="shared" si="461"/>
        <v>968</v>
      </c>
      <c r="AK256" s="3077"/>
      <c r="AL256" s="3077"/>
      <c r="AM256" s="3077"/>
      <c r="AN256" s="3077"/>
      <c r="AO256" s="3079"/>
      <c r="AP256" s="3079">
        <f t="shared" ref="AP256:AP267" si="467">I256</f>
        <v>968</v>
      </c>
      <c r="AQ256" s="3079"/>
      <c r="AR256" s="3079"/>
      <c r="AS256" s="3180"/>
      <c r="AT256" s="3109"/>
      <c r="AU256" s="3079"/>
      <c r="AV256" s="3079"/>
      <c r="AW256" s="3110"/>
      <c r="AX256" s="3109">
        <f t="shared" ref="AX256:AX267" si="468">I256/4</f>
        <v>242</v>
      </c>
      <c r="AY256" s="3079">
        <f t="shared" ref="AY256:AY267" si="469">I256/4</f>
        <v>242</v>
      </c>
      <c r="AZ256" s="3079">
        <f t="shared" ref="AZ256:AZ267" si="470">I256/4</f>
        <v>242</v>
      </c>
      <c r="BA256" s="3110">
        <f t="shared" ref="BA256:BA267" si="471">I256/4</f>
        <v>242</v>
      </c>
      <c r="BB256" s="3181"/>
      <c r="BC256" s="3079"/>
      <c r="BD256" s="3079"/>
      <c r="BE256" s="3079"/>
      <c r="BF256" s="3079"/>
      <c r="BG256" s="3079"/>
      <c r="BH256" s="3079"/>
      <c r="BI256" s="3079"/>
      <c r="BJ256" s="3079">
        <f t="shared" si="456"/>
        <v>968</v>
      </c>
      <c r="BK256" s="3079"/>
      <c r="BL256" s="3079" t="s">
        <v>9164</v>
      </c>
      <c r="BM256" s="3079"/>
      <c r="BN256" s="3079">
        <f t="shared" si="445"/>
        <v>242</v>
      </c>
      <c r="BO256" s="3079">
        <f t="shared" si="446"/>
        <v>242</v>
      </c>
      <c r="BP256" s="3079">
        <f t="shared" si="447"/>
        <v>242</v>
      </c>
      <c r="BQ256" s="3079">
        <f t="shared" si="448"/>
        <v>242</v>
      </c>
      <c r="BR256" s="3079">
        <f t="shared" si="432"/>
        <v>0</v>
      </c>
      <c r="BS256" s="3088">
        <f t="shared" ref="BS256:BS259" si="472">BN256+BO256+BP256+BQ256+$BS$369</f>
        <v>513448</v>
      </c>
      <c r="BT256" s="3182"/>
      <c r="BU256" s="3182"/>
      <c r="BV256" s="3182"/>
      <c r="BW256" s="3182"/>
      <c r="BX256" s="3182"/>
    </row>
    <row r="257" s="3031" customFormat="1" ht="32" customHeight="1" spans="1:76 16376:16384">
      <c r="A257" s="3063">
        <v>45875</v>
      </c>
      <c r="B257" s="3064" t="s">
        <v>6968</v>
      </c>
      <c r="C257" s="3065" t="s">
        <v>6969</v>
      </c>
      <c r="D257" s="3066">
        <v>4500175911</v>
      </c>
      <c r="E257" s="3091"/>
      <c r="F257" s="3066" t="s">
        <v>9862</v>
      </c>
      <c r="G257" s="3098" t="s">
        <v>9355</v>
      </c>
      <c r="H257" s="3069" t="s">
        <v>9356</v>
      </c>
      <c r="I257" s="2969">
        <v>504</v>
      </c>
      <c r="J257" s="2969">
        <v>0</v>
      </c>
      <c r="K257" s="2969">
        <v>8</v>
      </c>
      <c r="L257" s="2969">
        <f t="shared" si="395"/>
        <v>63</v>
      </c>
      <c r="M257" s="3070">
        <v>45973</v>
      </c>
      <c r="N257" s="3070">
        <v>45969</v>
      </c>
      <c r="O257" s="2996"/>
      <c r="P257" s="2996" t="s">
        <v>82</v>
      </c>
      <c r="Q257" s="3071"/>
      <c r="R257" s="3071"/>
      <c r="S257" s="3071"/>
      <c r="T257" s="3071"/>
      <c r="U257" s="3072"/>
      <c r="V257" s="2996"/>
      <c r="W257" s="3069" t="s">
        <v>9863</v>
      </c>
      <c r="X257" s="3073"/>
      <c r="Y257" s="3073" t="s">
        <v>9864</v>
      </c>
      <c r="Z257" s="3073"/>
      <c r="AA257" s="3073"/>
      <c r="AB257" s="3091" t="s">
        <v>9865</v>
      </c>
      <c r="AC257" s="2969" t="s">
        <v>6785</v>
      </c>
      <c r="AD257" s="3075">
        <v>4.1596</v>
      </c>
      <c r="AE257" s="3076">
        <f t="shared" ref="AE257:AE272" si="473">AD257*I257</f>
        <v>2096.4384</v>
      </c>
      <c r="AF257" s="2969"/>
      <c r="AG257" s="3098" t="s">
        <v>9359</v>
      </c>
      <c r="AH257" s="2969" t="s">
        <v>416</v>
      </c>
      <c r="AI257" s="3162"/>
      <c r="AJ257" s="3078"/>
      <c r="AK257" s="3078"/>
      <c r="AL257" s="3078">
        <f t="shared" ref="AL257:AL264" si="474">I257</f>
        <v>504</v>
      </c>
      <c r="AM257" s="3078"/>
      <c r="AN257" s="3078"/>
      <c r="AO257" s="3080"/>
      <c r="AP257" s="3080">
        <f t="shared" si="467"/>
        <v>504</v>
      </c>
      <c r="AQ257" s="3080"/>
      <c r="AR257" s="3080"/>
      <c r="AS257" s="3081"/>
      <c r="AT257" s="3085"/>
      <c r="AU257" s="3080"/>
      <c r="AV257" s="3080"/>
      <c r="AW257" s="3086"/>
      <c r="AX257" s="3085">
        <f t="shared" si="468"/>
        <v>126</v>
      </c>
      <c r="AY257" s="3080">
        <f t="shared" si="469"/>
        <v>126</v>
      </c>
      <c r="AZ257" s="3080">
        <f t="shared" si="470"/>
        <v>126</v>
      </c>
      <c r="BA257" s="3086">
        <f t="shared" si="471"/>
        <v>126</v>
      </c>
      <c r="BB257" s="3087"/>
      <c r="BC257" s="3080"/>
      <c r="BD257" s="3080"/>
      <c r="BE257" s="3080"/>
      <c r="BF257" s="3080"/>
      <c r="BG257" s="3080"/>
      <c r="BH257" s="3080"/>
      <c r="BI257" s="3080"/>
      <c r="BJ257" s="3080"/>
      <c r="BK257" s="3080">
        <f>I257</f>
        <v>504</v>
      </c>
      <c r="BL257" s="3080" t="s">
        <v>9164</v>
      </c>
      <c r="BM257" s="3080"/>
      <c r="BN257" s="3080">
        <f t="shared" si="445"/>
        <v>126</v>
      </c>
      <c r="BO257" s="3080">
        <f t="shared" si="446"/>
        <v>126</v>
      </c>
      <c r="BP257" s="3088">
        <f t="shared" si="447"/>
        <v>126</v>
      </c>
      <c r="BQ257" s="3088">
        <f t="shared" si="448"/>
        <v>126</v>
      </c>
      <c r="BR257" s="3080">
        <f t="shared" si="432"/>
        <v>0</v>
      </c>
      <c r="BS257" s="3088"/>
      <c r="BT257" s="3088"/>
      <c r="BU257" s="3088"/>
      <c r="BV257" s="3088"/>
      <c r="BW257" s="3088"/>
      <c r="BX257" s="3088"/>
    </row>
    <row r="258" s="3033" customFormat="1" ht="32" customHeight="1" spans="1:76 16376:16384">
      <c r="A258" s="3184">
        <v>45916</v>
      </c>
      <c r="B258" s="3185" t="s">
        <v>3578</v>
      </c>
      <c r="C258" s="3186" t="s">
        <v>91</v>
      </c>
      <c r="D258" s="3187">
        <v>4500179587</v>
      </c>
      <c r="E258" s="3188" t="s">
        <v>9866</v>
      </c>
      <c r="F258" s="3187" t="s">
        <v>9867</v>
      </c>
      <c r="G258" s="3189" t="s">
        <v>9246</v>
      </c>
      <c r="H258" s="3190" t="s">
        <v>9155</v>
      </c>
      <c r="I258" s="3191">
        <v>630</v>
      </c>
      <c r="J258" s="3191">
        <v>0</v>
      </c>
      <c r="K258" s="3191">
        <v>2</v>
      </c>
      <c r="L258" s="3191">
        <f t="shared" si="395"/>
        <v>315</v>
      </c>
      <c r="M258" s="3192">
        <v>45972</v>
      </c>
      <c r="N258" s="3192">
        <v>45968</v>
      </c>
      <c r="O258" s="3193"/>
      <c r="P258" s="2996" t="s">
        <v>82</v>
      </c>
      <c r="Q258" s="3071"/>
      <c r="R258" s="3071"/>
      <c r="S258" s="3071"/>
      <c r="T258" s="3071"/>
      <c r="U258" s="3194" t="s">
        <v>5103</v>
      </c>
      <c r="V258" s="3193"/>
      <c r="W258" s="3190" t="s">
        <v>9868</v>
      </c>
      <c r="X258" s="3195"/>
      <c r="Y258" s="3195" t="s">
        <v>98</v>
      </c>
      <c r="Z258" s="3195"/>
      <c r="AA258" s="3195"/>
      <c r="AB258" s="3188" t="s">
        <v>9869</v>
      </c>
      <c r="AC258" s="3191" t="s">
        <v>9870</v>
      </c>
      <c r="AD258" s="3196">
        <v>2.84</v>
      </c>
      <c r="AE258" s="3197">
        <f t="shared" si="473"/>
        <v>1789.2</v>
      </c>
      <c r="AF258" s="3191" t="s">
        <v>9871</v>
      </c>
      <c r="AG258" s="3191" t="s">
        <v>9246</v>
      </c>
      <c r="AH258" s="3191" t="s">
        <v>416</v>
      </c>
      <c r="AI258" s="3163"/>
      <c r="AJ258" s="3126">
        <f t="shared" ref="AJ258:AJ260" si="475">I258</f>
        <v>630</v>
      </c>
      <c r="AK258" s="3126"/>
      <c r="AL258" s="3126"/>
      <c r="AM258" s="3126"/>
      <c r="AN258" s="3126"/>
      <c r="AO258" s="3083"/>
      <c r="AP258" s="3083">
        <f t="shared" si="467"/>
        <v>630</v>
      </c>
      <c r="AQ258" s="3083"/>
      <c r="AR258" s="3083"/>
      <c r="AS258" s="3198"/>
      <c r="AT258" s="3082"/>
      <c r="AU258" s="3083"/>
      <c r="AV258" s="3083"/>
      <c r="AW258" s="3084"/>
      <c r="AX258" s="3082">
        <f t="shared" si="468"/>
        <v>157.5</v>
      </c>
      <c r="AY258" s="3083">
        <f t="shared" si="469"/>
        <v>157.5</v>
      </c>
      <c r="AZ258" s="3083">
        <f t="shared" si="470"/>
        <v>157.5</v>
      </c>
      <c r="BA258" s="3084">
        <f t="shared" si="471"/>
        <v>157.5</v>
      </c>
      <c r="BB258" s="3199"/>
      <c r="BC258" s="3083"/>
      <c r="BD258" s="3083"/>
      <c r="BE258" s="3083"/>
      <c r="BF258" s="3083">
        <f>SUM(AT258:BE258)-I258</f>
        <v>0</v>
      </c>
      <c r="BG258" s="3083"/>
      <c r="BH258" s="3083"/>
      <c r="BI258" s="3083"/>
      <c r="BJ258" s="3200">
        <f t="shared" ref="BJ258:BJ262" si="476">I258</f>
        <v>630</v>
      </c>
      <c r="BK258" s="3083"/>
      <c r="BL258" s="3083" t="s">
        <v>9164</v>
      </c>
      <c r="BM258" s="3083"/>
      <c r="BN258" s="3200">
        <f t="shared" si="445"/>
        <v>157.5</v>
      </c>
      <c r="BO258" s="3200">
        <f t="shared" si="446"/>
        <v>157.5</v>
      </c>
      <c r="BP258" s="3200">
        <f t="shared" si="447"/>
        <v>157.5</v>
      </c>
      <c r="BQ258" s="3200">
        <f t="shared" si="448"/>
        <v>157.5</v>
      </c>
      <c r="BR258" s="3083">
        <f t="shared" si="432"/>
        <v>0</v>
      </c>
      <c r="BS258" s="3201">
        <f t="shared" si="472"/>
        <v>513110</v>
      </c>
      <c r="BT258" s="3201">
        <f t="shared" ref="BT258:BW258" si="477">BT252-BN258</f>
        <v>-157.5</v>
      </c>
      <c r="BU258" s="3201">
        <f t="shared" si="477"/>
        <v>-157.5</v>
      </c>
      <c r="BV258" s="3201">
        <f t="shared" si="477"/>
        <v>-157.5</v>
      </c>
      <c r="BW258" s="3201">
        <f t="shared" si="477"/>
        <v>-157.5</v>
      </c>
      <c r="BX258" s="3201"/>
    </row>
    <row r="259" s="3033" customFormat="1" ht="32" customHeight="1" spans="1:76 16376:16384">
      <c r="A259" s="3184">
        <v>45916</v>
      </c>
      <c r="B259" s="3185" t="s">
        <v>3578</v>
      </c>
      <c r="C259" s="3186" t="s">
        <v>91</v>
      </c>
      <c r="D259" s="3187">
        <v>4500179587</v>
      </c>
      <c r="E259" s="3188" t="s">
        <v>9872</v>
      </c>
      <c r="F259" s="3187" t="s">
        <v>9873</v>
      </c>
      <c r="G259" s="3189" t="s">
        <v>9246</v>
      </c>
      <c r="H259" s="3190" t="s">
        <v>9155</v>
      </c>
      <c r="I259" s="3191">
        <v>1170</v>
      </c>
      <c r="J259" s="3191">
        <v>0</v>
      </c>
      <c r="K259" s="3191">
        <v>2</v>
      </c>
      <c r="L259" s="3191">
        <f t="shared" si="395"/>
        <v>585</v>
      </c>
      <c r="M259" s="3192">
        <v>45972</v>
      </c>
      <c r="N259" s="3192">
        <v>45968</v>
      </c>
      <c r="O259" s="3193"/>
      <c r="P259" s="2996" t="s">
        <v>82</v>
      </c>
      <c r="Q259" s="3071"/>
      <c r="R259" s="3071"/>
      <c r="S259" s="3071"/>
      <c r="T259" s="3071"/>
      <c r="U259" s="3194"/>
      <c r="V259" s="3193"/>
      <c r="W259" s="3190" t="s">
        <v>9868</v>
      </c>
      <c r="X259" s="3195"/>
      <c r="Y259" s="3195" t="s">
        <v>98</v>
      </c>
      <c r="Z259" s="3195"/>
      <c r="AA259" s="3195"/>
      <c r="AB259" s="3188" t="s">
        <v>9869</v>
      </c>
      <c r="AC259" s="3191" t="s">
        <v>9870</v>
      </c>
      <c r="AD259" s="3196">
        <v>2.84</v>
      </c>
      <c r="AE259" s="3197">
        <f t="shared" si="473"/>
        <v>3322.8</v>
      </c>
      <c r="AF259" s="3191" t="s">
        <v>9871</v>
      </c>
      <c r="AG259" s="3191" t="s">
        <v>9246</v>
      </c>
      <c r="AH259" s="3191" t="s">
        <v>416</v>
      </c>
      <c r="AI259" s="3126"/>
      <c r="AJ259" s="3126">
        <f t="shared" si="475"/>
        <v>1170</v>
      </c>
      <c r="AK259" s="3154"/>
      <c r="AL259" s="3083"/>
      <c r="AM259" s="3127"/>
      <c r="AN259" s="3083"/>
      <c r="AO259" s="3155"/>
      <c r="AP259" s="3083">
        <f t="shared" si="467"/>
        <v>1170</v>
      </c>
      <c r="AQ259" s="3083"/>
      <c r="AR259" s="3083"/>
      <c r="AS259" s="3084"/>
      <c r="AT259" s="3202"/>
      <c r="AU259" s="3127"/>
      <c r="AV259" s="3127"/>
      <c r="AW259" s="3127"/>
      <c r="AX259" s="3082">
        <f t="shared" si="468"/>
        <v>292.5</v>
      </c>
      <c r="AY259" s="3083">
        <f t="shared" si="469"/>
        <v>292.5</v>
      </c>
      <c r="AZ259" s="3083">
        <f t="shared" si="470"/>
        <v>292.5</v>
      </c>
      <c r="BA259" s="3084">
        <f t="shared" si="471"/>
        <v>292.5</v>
      </c>
      <c r="BB259" s="3083"/>
      <c r="BC259" s="3083"/>
      <c r="BD259" s="3083"/>
      <c r="BE259" s="3083"/>
      <c r="BF259" s="3083">
        <f>SUM(AT259:BE259)-I259</f>
        <v>0</v>
      </c>
      <c r="BG259" s="3083"/>
      <c r="BH259" s="3083"/>
      <c r="BI259" s="3083"/>
      <c r="BJ259" s="3200">
        <f t="shared" si="476"/>
        <v>1170</v>
      </c>
      <c r="BK259" s="3201"/>
      <c r="BL259" s="3083" t="s">
        <v>9164</v>
      </c>
      <c r="BM259" s="3130"/>
      <c r="BN259" s="3203">
        <f t="shared" si="445"/>
        <v>292.5</v>
      </c>
      <c r="BO259" s="3203">
        <f t="shared" si="446"/>
        <v>292.5</v>
      </c>
      <c r="BP259" s="3204">
        <f t="shared" si="447"/>
        <v>292.5</v>
      </c>
      <c r="BQ259" s="3204">
        <f t="shared" si="448"/>
        <v>292.5</v>
      </c>
      <c r="BR259" s="3191">
        <f t="shared" si="432"/>
        <v>0</v>
      </c>
      <c r="BS259" s="3201">
        <f t="shared" si="472"/>
        <v>513650</v>
      </c>
      <c r="BT259" s="3201">
        <f t="shared" ref="BT259:BW259" si="478">BT258-BN259</f>
        <v>-450</v>
      </c>
      <c r="BU259" s="3201">
        <f t="shared" si="478"/>
        <v>-450</v>
      </c>
      <c r="BV259" s="3201">
        <f t="shared" si="478"/>
        <v>-450</v>
      </c>
      <c r="BW259" s="3201">
        <f t="shared" si="478"/>
        <v>-450</v>
      </c>
      <c r="BX259" s="3205"/>
      <c r="XEV259" s="3184"/>
      <c r="XEW259" s="3185"/>
      <c r="XEX259" s="3186"/>
      <c r="XEY259" s="3187"/>
      <c r="XEZ259" s="3188"/>
      <c r="XFA259" s="3187"/>
      <c r="XFB259" s="3189"/>
      <c r="XFC259" s="3190"/>
      <c r="XFD259" s="3191"/>
    </row>
    <row r="260" s="3032" customFormat="1" ht="32" customHeight="1" spans="1:76 16376:16384">
      <c r="A260" s="3169">
        <v>45880</v>
      </c>
      <c r="B260" s="3170" t="s">
        <v>1617</v>
      </c>
      <c r="C260" s="3171" t="s">
        <v>91</v>
      </c>
      <c r="D260" s="3172">
        <v>4500176585</v>
      </c>
      <c r="E260" s="3173">
        <v>70072748</v>
      </c>
      <c r="F260" s="3172" t="s">
        <v>9874</v>
      </c>
      <c r="G260" s="3174" t="s">
        <v>9154</v>
      </c>
      <c r="H260" s="3175" t="s">
        <v>9155</v>
      </c>
      <c r="I260" s="3176">
        <v>600</v>
      </c>
      <c r="J260" s="3176">
        <v>0</v>
      </c>
      <c r="K260" s="3176">
        <v>8</v>
      </c>
      <c r="L260" s="3176">
        <f t="shared" si="395"/>
        <v>75</v>
      </c>
      <c r="M260" s="3177">
        <v>45981</v>
      </c>
      <c r="N260" s="3177">
        <v>45978</v>
      </c>
      <c r="O260" s="2983"/>
      <c r="P260" s="2996" t="s">
        <v>82</v>
      </c>
      <c r="Q260" s="3071"/>
      <c r="R260" s="3071"/>
      <c r="S260" s="3071"/>
      <c r="T260" s="3071"/>
      <c r="U260" s="2999" t="s">
        <v>5088</v>
      </c>
      <c r="V260" s="2983"/>
      <c r="W260" s="3175" t="s">
        <v>5089</v>
      </c>
      <c r="X260" s="3003"/>
      <c r="Y260" s="3003" t="s">
        <v>98</v>
      </c>
      <c r="Z260" s="3003" t="s">
        <v>2127</v>
      </c>
      <c r="AA260" s="3003"/>
      <c r="AB260" s="3173" t="s">
        <v>1621</v>
      </c>
      <c r="AC260" s="3176" t="s">
        <v>393</v>
      </c>
      <c r="AD260" s="3178">
        <v>2.4958</v>
      </c>
      <c r="AE260" s="3179">
        <f t="shared" si="473"/>
        <v>1497.48</v>
      </c>
      <c r="AF260" s="3176" t="s">
        <v>9875</v>
      </c>
      <c r="AG260" s="3174" t="s">
        <v>9154</v>
      </c>
      <c r="AH260" s="3176" t="s">
        <v>416</v>
      </c>
      <c r="AI260" s="3161"/>
      <c r="AJ260" s="3077">
        <f t="shared" si="475"/>
        <v>600</v>
      </c>
      <c r="AK260" s="3077"/>
      <c r="AL260" s="3077"/>
      <c r="AM260" s="3077"/>
      <c r="AN260" s="3077"/>
      <c r="AO260" s="3079"/>
      <c r="AP260" s="3079">
        <f t="shared" si="467"/>
        <v>600</v>
      </c>
      <c r="AQ260" s="3079"/>
      <c r="AR260" s="3079"/>
      <c r="AS260" s="3180"/>
      <c r="AT260" s="3109"/>
      <c r="AU260" s="3079"/>
      <c r="AV260" s="3079"/>
      <c r="AW260" s="3110"/>
      <c r="AX260" s="3109">
        <f t="shared" si="468"/>
        <v>150</v>
      </c>
      <c r="AY260" s="3079">
        <f t="shared" si="469"/>
        <v>150</v>
      </c>
      <c r="AZ260" s="3079">
        <f t="shared" si="470"/>
        <v>150</v>
      </c>
      <c r="BA260" s="3110">
        <f t="shared" si="471"/>
        <v>150</v>
      </c>
      <c r="BB260" s="3181"/>
      <c r="BC260" s="3079"/>
      <c r="BD260" s="3079"/>
      <c r="BE260" s="3079"/>
      <c r="BF260" s="3079"/>
      <c r="BG260" s="3079"/>
      <c r="BH260" s="3079"/>
      <c r="BI260" s="3079"/>
      <c r="BJ260" s="3079">
        <f t="shared" si="476"/>
        <v>600</v>
      </c>
      <c r="BK260" s="3079"/>
      <c r="BL260" s="3079" t="s">
        <v>9164</v>
      </c>
      <c r="BM260" s="3079"/>
      <c r="BN260" s="3079">
        <f t="shared" si="445"/>
        <v>150</v>
      </c>
      <c r="BO260" s="3079">
        <f t="shared" si="446"/>
        <v>150</v>
      </c>
      <c r="BP260" s="3079">
        <f t="shared" si="447"/>
        <v>150</v>
      </c>
      <c r="BQ260" s="3182">
        <f t="shared" si="448"/>
        <v>150</v>
      </c>
      <c r="BR260" s="3079">
        <f t="shared" si="432"/>
        <v>0</v>
      </c>
      <c r="BS260" s="3182"/>
      <c r="BT260" s="3182"/>
      <c r="BU260" s="3182"/>
      <c r="BV260" s="3182"/>
      <c r="BW260" s="3182"/>
      <c r="BX260" s="3182"/>
    </row>
    <row r="261" s="3032" customFormat="1" ht="32" customHeight="1" spans="1:76 16376:16384">
      <c r="A261" s="3169">
        <v>45912</v>
      </c>
      <c r="B261" s="3170" t="s">
        <v>3608</v>
      </c>
      <c r="C261" s="3171" t="s">
        <v>738</v>
      </c>
      <c r="D261" s="3172">
        <v>4500179449</v>
      </c>
      <c r="E261" s="3173">
        <v>5251218101</v>
      </c>
      <c r="F261" s="3172" t="s">
        <v>9876</v>
      </c>
      <c r="G261" s="3174" t="s">
        <v>9154</v>
      </c>
      <c r="H261" s="3175" t="s">
        <v>9877</v>
      </c>
      <c r="I261" s="3176">
        <v>2640</v>
      </c>
      <c r="J261" s="3176">
        <v>0</v>
      </c>
      <c r="K261" s="3176">
        <v>8</v>
      </c>
      <c r="L261" s="3176">
        <f t="shared" si="395"/>
        <v>330</v>
      </c>
      <c r="M261" s="3177">
        <v>45981</v>
      </c>
      <c r="N261" s="3177">
        <v>45978</v>
      </c>
      <c r="O261" s="2983"/>
      <c r="P261" s="2996" t="s">
        <v>82</v>
      </c>
      <c r="Q261" s="3071"/>
      <c r="R261" s="3071"/>
      <c r="S261" s="3071"/>
      <c r="T261" s="3071"/>
      <c r="U261" s="2983" t="s">
        <v>9878</v>
      </c>
      <c r="V261" s="2983"/>
      <c r="W261" s="3175" t="s">
        <v>5089</v>
      </c>
      <c r="X261" s="3003"/>
      <c r="Y261" s="3003" t="s">
        <v>9879</v>
      </c>
      <c r="Z261" s="3003"/>
      <c r="AA261" s="3003"/>
      <c r="AB261" s="3173" t="s">
        <v>9880</v>
      </c>
      <c r="AC261" s="3176" t="s">
        <v>1257</v>
      </c>
      <c r="AD261" s="3178">
        <v>4.1178</v>
      </c>
      <c r="AE261" s="3179">
        <f t="shared" si="473"/>
        <v>10870.992</v>
      </c>
      <c r="AF261" s="3176" t="s">
        <v>9881</v>
      </c>
      <c r="AG261" s="3174" t="s">
        <v>9239</v>
      </c>
      <c r="AH261" s="3176" t="s">
        <v>416</v>
      </c>
      <c r="AI261" s="3161"/>
      <c r="AJ261" s="3077"/>
      <c r="AK261" s="3092"/>
      <c r="AL261" s="3077">
        <f t="shared" si="474"/>
        <v>2640</v>
      </c>
      <c r="AM261" s="3092"/>
      <c r="AN261" s="3077"/>
      <c r="AO261" s="3097"/>
      <c r="AP261" s="3079">
        <f t="shared" si="467"/>
        <v>2640</v>
      </c>
      <c r="AQ261" s="3079"/>
      <c r="AR261" s="3079"/>
      <c r="AS261" s="3180"/>
      <c r="AT261" s="3149"/>
      <c r="AU261" s="3097"/>
      <c r="AV261" s="3097"/>
      <c r="AW261" s="3150"/>
      <c r="AX261" s="3109">
        <f t="shared" si="468"/>
        <v>660</v>
      </c>
      <c r="AY261" s="3079">
        <f t="shared" si="469"/>
        <v>660</v>
      </c>
      <c r="AZ261" s="3079">
        <f t="shared" si="470"/>
        <v>660</v>
      </c>
      <c r="BA261" s="3110">
        <f t="shared" si="471"/>
        <v>660</v>
      </c>
      <c r="BB261" s="3181"/>
      <c r="BC261" s="3079"/>
      <c r="BD261" s="3079"/>
      <c r="BE261" s="3079"/>
      <c r="BF261" s="3079"/>
      <c r="BG261" s="3079"/>
      <c r="BH261" s="3079"/>
      <c r="BI261" s="3079"/>
      <c r="BJ261" s="3079">
        <f t="shared" si="476"/>
        <v>2640</v>
      </c>
      <c r="BK261" s="3079"/>
      <c r="BL261" s="3079" t="s">
        <v>9164</v>
      </c>
      <c r="BM261" s="3097"/>
      <c r="BN261" s="3079">
        <f t="shared" si="445"/>
        <v>660</v>
      </c>
      <c r="BO261" s="3079">
        <f t="shared" si="446"/>
        <v>660</v>
      </c>
      <c r="BP261" s="3079">
        <f t="shared" si="447"/>
        <v>660</v>
      </c>
      <c r="BQ261" s="3182">
        <f t="shared" si="448"/>
        <v>660</v>
      </c>
      <c r="BR261" s="3079">
        <f t="shared" si="432"/>
        <v>0</v>
      </c>
      <c r="BS261" s="3182"/>
      <c r="BT261" s="3182"/>
      <c r="BU261" s="3182"/>
      <c r="BV261" s="3182"/>
      <c r="BW261" s="3182"/>
      <c r="BX261" s="3182"/>
    </row>
    <row r="262" s="3032" customFormat="1" ht="32" customHeight="1" spans="1:76 16376:16384">
      <c r="A262" s="3169">
        <v>45912</v>
      </c>
      <c r="B262" s="3170" t="s">
        <v>3608</v>
      </c>
      <c r="C262" s="3171" t="s">
        <v>738</v>
      </c>
      <c r="D262" s="3172">
        <v>4500179449</v>
      </c>
      <c r="E262" s="3173">
        <v>5251218101</v>
      </c>
      <c r="F262" s="3172" t="s">
        <v>9882</v>
      </c>
      <c r="G262" s="3174" t="s">
        <v>9154</v>
      </c>
      <c r="H262" s="3175" t="s">
        <v>9877</v>
      </c>
      <c r="I262" s="3176">
        <v>2640</v>
      </c>
      <c r="J262" s="3176">
        <v>0</v>
      </c>
      <c r="K262" s="3176">
        <v>8</v>
      </c>
      <c r="L262" s="3176">
        <f t="shared" si="395"/>
        <v>330</v>
      </c>
      <c r="M262" s="3177">
        <v>45981</v>
      </c>
      <c r="N262" s="3177">
        <v>45978</v>
      </c>
      <c r="O262" s="2983"/>
      <c r="P262" s="2996" t="s">
        <v>82</v>
      </c>
      <c r="Q262" s="3071"/>
      <c r="R262" s="3071"/>
      <c r="S262" s="3071"/>
      <c r="T262" s="3071"/>
      <c r="U262" s="2983" t="s">
        <v>9878</v>
      </c>
      <c r="V262" s="2983"/>
      <c r="W262" s="3175" t="s">
        <v>5089</v>
      </c>
      <c r="X262" s="3003"/>
      <c r="Y262" s="3003" t="s">
        <v>9879</v>
      </c>
      <c r="Z262" s="3003"/>
      <c r="AA262" s="3003"/>
      <c r="AB262" s="3173" t="s">
        <v>9880</v>
      </c>
      <c r="AC262" s="3176" t="s">
        <v>1257</v>
      </c>
      <c r="AD262" s="3178">
        <v>4.1178</v>
      </c>
      <c r="AE262" s="3179">
        <f t="shared" si="473"/>
        <v>10870.992</v>
      </c>
      <c r="AF262" s="3176" t="s">
        <v>9883</v>
      </c>
      <c r="AG262" s="3174" t="s">
        <v>9239</v>
      </c>
      <c r="AH262" s="3176" t="s">
        <v>416</v>
      </c>
      <c r="AI262" s="3161"/>
      <c r="AJ262" s="3077"/>
      <c r="AK262" s="3092"/>
      <c r="AL262" s="3077">
        <f t="shared" si="474"/>
        <v>2640</v>
      </c>
      <c r="AM262" s="3092"/>
      <c r="AN262" s="3077"/>
      <c r="AO262" s="3097"/>
      <c r="AP262" s="3079">
        <f t="shared" si="467"/>
        <v>2640</v>
      </c>
      <c r="AQ262" s="3079"/>
      <c r="AR262" s="3079"/>
      <c r="AS262" s="3180"/>
      <c r="AT262" s="3149"/>
      <c r="AU262" s="3097"/>
      <c r="AV262" s="3097"/>
      <c r="AW262" s="3150"/>
      <c r="AX262" s="3109">
        <f t="shared" si="468"/>
        <v>660</v>
      </c>
      <c r="AY262" s="3079">
        <f t="shared" si="469"/>
        <v>660</v>
      </c>
      <c r="AZ262" s="3079">
        <f t="shared" si="470"/>
        <v>660</v>
      </c>
      <c r="BA262" s="3110">
        <f t="shared" si="471"/>
        <v>660</v>
      </c>
      <c r="BB262" s="3181"/>
      <c r="BC262" s="3079"/>
      <c r="BD262" s="3079"/>
      <c r="BE262" s="3079"/>
      <c r="BF262" s="3079"/>
      <c r="BG262" s="3079"/>
      <c r="BH262" s="3079"/>
      <c r="BI262" s="3079"/>
      <c r="BJ262" s="3079">
        <f t="shared" si="476"/>
        <v>2640</v>
      </c>
      <c r="BK262" s="3079"/>
      <c r="BL262" s="3079" t="s">
        <v>9164</v>
      </c>
      <c r="BM262" s="3097"/>
      <c r="BN262" s="3079">
        <f t="shared" si="445"/>
        <v>660</v>
      </c>
      <c r="BO262" s="3079">
        <f t="shared" si="446"/>
        <v>660</v>
      </c>
      <c r="BP262" s="3079">
        <f t="shared" si="447"/>
        <v>660</v>
      </c>
      <c r="BQ262" s="3182">
        <f t="shared" si="448"/>
        <v>660</v>
      </c>
      <c r="BR262" s="3079">
        <f t="shared" si="432"/>
        <v>0</v>
      </c>
      <c r="BS262" s="3182"/>
      <c r="BT262" s="3182"/>
      <c r="BU262" s="3182"/>
      <c r="BV262" s="3182"/>
      <c r="BW262" s="3182"/>
      <c r="BX262" s="3182"/>
    </row>
    <row r="263" s="3032" customFormat="1" ht="32" customHeight="1" spans="1:76 16376:16384">
      <c r="A263" s="3169">
        <v>45930</v>
      </c>
      <c r="B263" s="3170" t="s">
        <v>7337</v>
      </c>
      <c r="C263" s="3171" t="s">
        <v>6225</v>
      </c>
      <c r="D263" s="3172">
        <v>4500181046</v>
      </c>
      <c r="E263" s="3173" t="s">
        <v>9884</v>
      </c>
      <c r="F263" s="3172" t="s">
        <v>9885</v>
      </c>
      <c r="G263" s="3174" t="s">
        <v>9355</v>
      </c>
      <c r="H263" s="3175" t="s">
        <v>9356</v>
      </c>
      <c r="I263" s="3176">
        <v>1280</v>
      </c>
      <c r="J263" s="3176">
        <v>0</v>
      </c>
      <c r="K263" s="3176">
        <v>8</v>
      </c>
      <c r="L263" s="3176">
        <f t="shared" si="395"/>
        <v>160</v>
      </c>
      <c r="M263" s="3177">
        <v>45988</v>
      </c>
      <c r="N263" s="3177">
        <v>45985</v>
      </c>
      <c r="O263" s="2983"/>
      <c r="P263" s="2996" t="s">
        <v>82</v>
      </c>
      <c r="Q263" s="3071"/>
      <c r="R263" s="3071"/>
      <c r="S263" s="3071"/>
      <c r="T263" s="3071"/>
      <c r="U263" s="2999" t="s">
        <v>2592</v>
      </c>
      <c r="V263" s="2983"/>
      <c r="W263" s="3175" t="s">
        <v>5028</v>
      </c>
      <c r="X263" s="3003"/>
      <c r="Y263" s="2983" t="s">
        <v>9886</v>
      </c>
      <c r="Z263" s="3003"/>
      <c r="AA263" s="3003"/>
      <c r="AB263" s="3173" t="s">
        <v>9887</v>
      </c>
      <c r="AC263" s="3176" t="s">
        <v>6785</v>
      </c>
      <c r="AD263" s="3178">
        <v>4.0075</v>
      </c>
      <c r="AE263" s="3179">
        <f t="shared" si="473"/>
        <v>5129.6</v>
      </c>
      <c r="AF263" s="3176" t="s">
        <v>9888</v>
      </c>
      <c r="AG263" s="3174" t="s">
        <v>9359</v>
      </c>
      <c r="AH263" s="3176" t="s">
        <v>416</v>
      </c>
      <c r="AI263" s="3161"/>
      <c r="AJ263" s="3077"/>
      <c r="AK263" s="3103"/>
      <c r="AL263" s="3077">
        <f t="shared" si="474"/>
        <v>1280</v>
      </c>
      <c r="AM263" s="3103"/>
      <c r="AN263" s="3077"/>
      <c r="AO263" s="3102"/>
      <c r="AP263" s="3079">
        <f t="shared" si="467"/>
        <v>1280</v>
      </c>
      <c r="AQ263" s="3079"/>
      <c r="AR263" s="3079"/>
      <c r="AS263" s="3180"/>
      <c r="AT263" s="3116"/>
      <c r="AU263" s="3102"/>
      <c r="AV263" s="3102"/>
      <c r="AW263" s="3117"/>
      <c r="AX263" s="3109">
        <f t="shared" si="468"/>
        <v>320</v>
      </c>
      <c r="AY263" s="3079">
        <f t="shared" si="469"/>
        <v>320</v>
      </c>
      <c r="AZ263" s="3079">
        <f t="shared" si="470"/>
        <v>320</v>
      </c>
      <c r="BA263" s="3110">
        <f t="shared" si="471"/>
        <v>320</v>
      </c>
      <c r="BB263" s="3181"/>
      <c r="BC263" s="3079"/>
      <c r="BD263" s="3079"/>
      <c r="BE263" s="3079"/>
      <c r="BF263" s="3079"/>
      <c r="BG263" s="3079"/>
      <c r="BH263" s="3079"/>
      <c r="BI263" s="3079"/>
      <c r="BJ263" s="3079"/>
      <c r="BK263" s="3079">
        <f>I263</f>
        <v>1280</v>
      </c>
      <c r="BL263" s="3079" t="s">
        <v>9164</v>
      </c>
      <c r="BM263" s="3102"/>
      <c r="BN263" s="3079">
        <f t="shared" si="445"/>
        <v>320</v>
      </c>
      <c r="BO263" s="3079">
        <f t="shared" si="446"/>
        <v>320</v>
      </c>
      <c r="BP263" s="3182">
        <f t="shared" si="447"/>
        <v>320</v>
      </c>
      <c r="BQ263" s="3182">
        <f t="shared" si="448"/>
        <v>320</v>
      </c>
      <c r="BR263" s="3079">
        <f t="shared" si="432"/>
        <v>0</v>
      </c>
      <c r="BS263" s="3182"/>
      <c r="BT263" s="3182"/>
      <c r="BU263" s="3182"/>
      <c r="BV263" s="3182"/>
      <c r="BW263" s="3182"/>
      <c r="BX263" s="3182"/>
    </row>
    <row r="264" s="3032" customFormat="1" ht="32" customHeight="1" spans="1:76 16376:16384">
      <c r="A264" s="3169">
        <v>45959</v>
      </c>
      <c r="B264" s="3170" t="s">
        <v>3901</v>
      </c>
      <c r="C264" s="3171" t="s">
        <v>1316</v>
      </c>
      <c r="D264" s="3172">
        <v>4500183478</v>
      </c>
      <c r="E264" s="3173" t="s">
        <v>9889</v>
      </c>
      <c r="F264" s="3172" t="s">
        <v>9890</v>
      </c>
      <c r="G264" s="3174" t="s">
        <v>9154</v>
      </c>
      <c r="H264" s="3175" t="s">
        <v>9155</v>
      </c>
      <c r="I264" s="3176">
        <v>600</v>
      </c>
      <c r="J264" s="3176">
        <v>0</v>
      </c>
      <c r="K264" s="3176">
        <v>8</v>
      </c>
      <c r="L264" s="3176">
        <f t="shared" si="395"/>
        <v>75</v>
      </c>
      <c r="M264" s="3177">
        <v>46001</v>
      </c>
      <c r="N264" s="3177">
        <v>45997</v>
      </c>
      <c r="O264" s="2983"/>
      <c r="P264" s="2996" t="s">
        <v>82</v>
      </c>
      <c r="Q264" s="3071"/>
      <c r="R264" s="3071"/>
      <c r="S264" s="3071"/>
      <c r="T264" s="3071"/>
      <c r="U264" s="2999" t="s">
        <v>7829</v>
      </c>
      <c r="V264" s="2983"/>
      <c r="W264" s="3175" t="s">
        <v>5245</v>
      </c>
      <c r="X264" s="3003"/>
      <c r="Y264" s="3003" t="s">
        <v>9891</v>
      </c>
      <c r="Z264" s="3003"/>
      <c r="AA264" s="3003"/>
      <c r="AB264" s="3173" t="s">
        <v>9892</v>
      </c>
      <c r="AC264" s="3176" t="s">
        <v>4481</v>
      </c>
      <c r="AD264" s="3178">
        <v>4.1596</v>
      </c>
      <c r="AE264" s="3179">
        <f t="shared" si="473"/>
        <v>2495.76</v>
      </c>
      <c r="AF264" s="3176"/>
      <c r="AG264" s="3174" t="s">
        <v>9239</v>
      </c>
      <c r="AH264" s="3176" t="s">
        <v>416</v>
      </c>
      <c r="AI264" s="3161"/>
      <c r="AJ264" s="3077"/>
      <c r="AK264" s="3103"/>
      <c r="AL264" s="3077">
        <f t="shared" si="474"/>
        <v>600</v>
      </c>
      <c r="AM264" s="3103"/>
      <c r="AN264" s="3077"/>
      <c r="AO264" s="3102"/>
      <c r="AP264" s="3079">
        <f t="shared" si="467"/>
        <v>600</v>
      </c>
      <c r="AQ264" s="3079"/>
      <c r="AR264" s="3079"/>
      <c r="AS264" s="3180"/>
      <c r="AT264" s="3116"/>
      <c r="AU264" s="3102"/>
      <c r="AV264" s="3102"/>
      <c r="AW264" s="3117"/>
      <c r="AX264" s="3109">
        <f t="shared" si="468"/>
        <v>150</v>
      </c>
      <c r="AY264" s="3079">
        <f t="shared" si="469"/>
        <v>150</v>
      </c>
      <c r="AZ264" s="3079">
        <f t="shared" si="470"/>
        <v>150</v>
      </c>
      <c r="BA264" s="3110">
        <f t="shared" si="471"/>
        <v>150</v>
      </c>
      <c r="BB264" s="3181"/>
      <c r="BC264" s="3079"/>
      <c r="BD264" s="3079"/>
      <c r="BE264" s="3079"/>
      <c r="BF264" s="3079"/>
      <c r="BG264" s="3079"/>
      <c r="BH264" s="3079"/>
      <c r="BI264" s="3079"/>
      <c r="BJ264" s="3079">
        <f t="shared" ref="BJ264:BJ322" si="479">I264</f>
        <v>600</v>
      </c>
      <c r="BK264" s="3079"/>
      <c r="BL264" s="3079" t="s">
        <v>9164</v>
      </c>
      <c r="BM264" s="3102"/>
      <c r="BN264" s="3079">
        <f t="shared" si="445"/>
        <v>150</v>
      </c>
      <c r="BO264" s="3079">
        <f t="shared" si="446"/>
        <v>150</v>
      </c>
      <c r="BP264" s="3079">
        <f t="shared" si="447"/>
        <v>150</v>
      </c>
      <c r="BQ264" s="3182">
        <f t="shared" si="448"/>
        <v>150</v>
      </c>
      <c r="BR264" s="3079">
        <f t="shared" si="432"/>
        <v>0</v>
      </c>
      <c r="BS264" s="3182"/>
      <c r="BT264" s="3182"/>
      <c r="BU264" s="3182"/>
      <c r="BV264" s="3182"/>
      <c r="BW264" s="3182"/>
      <c r="BX264" s="3182"/>
    </row>
    <row r="265" s="3032" customFormat="1" ht="32" customHeight="1" spans="1:76 16376:16384">
      <c r="A265" s="3169">
        <v>45978</v>
      </c>
      <c r="B265" s="3170" t="s">
        <v>1617</v>
      </c>
      <c r="C265" s="3171" t="s">
        <v>91</v>
      </c>
      <c r="D265" s="3172">
        <v>4500185354</v>
      </c>
      <c r="E265" s="3173">
        <v>70079741</v>
      </c>
      <c r="F265" s="3172" t="s">
        <v>9893</v>
      </c>
      <c r="G265" s="3174" t="s">
        <v>9154</v>
      </c>
      <c r="H265" s="3175" t="s">
        <v>9155</v>
      </c>
      <c r="I265" s="3176">
        <v>360</v>
      </c>
      <c r="J265" s="3176">
        <v>0</v>
      </c>
      <c r="K265" s="3176">
        <v>8</v>
      </c>
      <c r="L265" s="3176">
        <f t="shared" si="395"/>
        <v>45</v>
      </c>
      <c r="M265" s="3177">
        <v>46010</v>
      </c>
      <c r="N265" s="3177">
        <v>46006</v>
      </c>
      <c r="O265" s="2983"/>
      <c r="P265" s="2996" t="s">
        <v>82</v>
      </c>
      <c r="Q265" s="3071"/>
      <c r="R265" s="3071"/>
      <c r="S265" s="3071"/>
      <c r="T265" s="3071"/>
      <c r="U265" s="2999" t="s">
        <v>2227</v>
      </c>
      <c r="V265" s="2983"/>
      <c r="W265" s="3175" t="s">
        <v>5290</v>
      </c>
      <c r="X265" s="3003"/>
      <c r="Y265" s="3003" t="s">
        <v>98</v>
      </c>
      <c r="Z265" s="3003" t="s">
        <v>9894</v>
      </c>
      <c r="AA265" s="3003"/>
      <c r="AB265" s="3173" t="s">
        <v>1621</v>
      </c>
      <c r="AC265" s="3176" t="s">
        <v>9895</v>
      </c>
      <c r="AD265" s="3178">
        <v>2.5025</v>
      </c>
      <c r="AE265" s="3179">
        <f t="shared" si="473"/>
        <v>900.9</v>
      </c>
      <c r="AF265" s="3176"/>
      <c r="AG265" s="3176" t="s">
        <v>9154</v>
      </c>
      <c r="AH265" s="3176" t="s">
        <v>416</v>
      </c>
      <c r="AI265" s="3161"/>
      <c r="AJ265" s="3077">
        <f t="shared" ref="AJ265:AJ273" si="480">I265</f>
        <v>360</v>
      </c>
      <c r="AK265" s="3092"/>
      <c r="AL265" s="3077"/>
      <c r="AM265" s="3092"/>
      <c r="AN265" s="3077"/>
      <c r="AO265" s="3097"/>
      <c r="AP265" s="3079">
        <f t="shared" si="467"/>
        <v>360</v>
      </c>
      <c r="AQ265" s="3079"/>
      <c r="AR265" s="3079"/>
      <c r="AS265" s="3180"/>
      <c r="AT265" s="3149"/>
      <c r="AU265" s="3097"/>
      <c r="AV265" s="3097"/>
      <c r="AW265" s="3150"/>
      <c r="AX265" s="3109">
        <f t="shared" si="468"/>
        <v>90</v>
      </c>
      <c r="AY265" s="3079">
        <f t="shared" si="469"/>
        <v>90</v>
      </c>
      <c r="AZ265" s="3079">
        <f t="shared" si="470"/>
        <v>90</v>
      </c>
      <c r="BA265" s="3110">
        <f t="shared" si="471"/>
        <v>90</v>
      </c>
      <c r="BB265" s="3181"/>
      <c r="BC265" s="3079"/>
      <c r="BD265" s="3079"/>
      <c r="BE265" s="3079"/>
      <c r="BF265" s="3079"/>
      <c r="BG265" s="3079"/>
      <c r="BH265" s="3079"/>
      <c r="BI265" s="3079"/>
      <c r="BJ265" s="3079">
        <f t="shared" si="479"/>
        <v>360</v>
      </c>
      <c r="BK265" s="3079"/>
      <c r="BL265" s="3079" t="s">
        <v>9164</v>
      </c>
      <c r="BM265" s="3097"/>
      <c r="BN265" s="3079">
        <f t="shared" si="445"/>
        <v>90</v>
      </c>
      <c r="BO265" s="3079">
        <f t="shared" si="446"/>
        <v>90</v>
      </c>
      <c r="BP265" s="3079">
        <f t="shared" si="447"/>
        <v>90</v>
      </c>
      <c r="BQ265" s="3182">
        <f t="shared" si="448"/>
        <v>90</v>
      </c>
      <c r="BR265" s="3079">
        <f t="shared" si="432"/>
        <v>0</v>
      </c>
      <c r="BS265" s="3182"/>
      <c r="BT265" s="3182"/>
      <c r="BU265" s="3182"/>
      <c r="BV265" s="3182"/>
      <c r="BW265" s="3182"/>
      <c r="BX265" s="3182"/>
    </row>
    <row r="266" s="3033" customFormat="1" ht="32" customHeight="1" spans="1:76 16376:16384">
      <c r="A266" s="3184">
        <v>45959</v>
      </c>
      <c r="B266" s="3185" t="s">
        <v>2914</v>
      </c>
      <c r="C266" s="3186" t="s">
        <v>341</v>
      </c>
      <c r="D266" s="3187">
        <v>4500183596</v>
      </c>
      <c r="E266" s="3188" t="s">
        <v>9896</v>
      </c>
      <c r="F266" s="3187" t="s">
        <v>9897</v>
      </c>
      <c r="G266" s="3189" t="s">
        <v>9154</v>
      </c>
      <c r="H266" s="3190" t="s">
        <v>9155</v>
      </c>
      <c r="I266" s="3191">
        <v>4000</v>
      </c>
      <c r="J266" s="3191">
        <v>0</v>
      </c>
      <c r="K266" s="3191">
        <v>8</v>
      </c>
      <c r="L266" s="3191">
        <f t="shared" ref="L266:L322" si="481">I266/K266</f>
        <v>500</v>
      </c>
      <c r="M266" s="3192">
        <v>46007</v>
      </c>
      <c r="N266" s="3192">
        <v>46003</v>
      </c>
      <c r="O266" s="3193"/>
      <c r="P266" s="2996" t="s">
        <v>82</v>
      </c>
      <c r="Q266" s="3071"/>
      <c r="R266" s="3071"/>
      <c r="S266" s="3071"/>
      <c r="T266" s="3071"/>
      <c r="U266" s="3194" t="s">
        <v>2205</v>
      </c>
      <c r="V266" s="3193"/>
      <c r="W266" s="3190" t="s">
        <v>5245</v>
      </c>
      <c r="X266" s="3195"/>
      <c r="Y266" s="3195" t="s">
        <v>9898</v>
      </c>
      <c r="Z266" s="3195"/>
      <c r="AA266" s="3195"/>
      <c r="AB266" s="3188" t="s">
        <v>9899</v>
      </c>
      <c r="AC266" s="3191" t="s">
        <v>5106</v>
      </c>
      <c r="AD266" s="3196">
        <v>4.1486</v>
      </c>
      <c r="AE266" s="3197">
        <f t="shared" si="473"/>
        <v>16594.4</v>
      </c>
      <c r="AF266" s="3191"/>
      <c r="AG266" s="3191" t="s">
        <v>9154</v>
      </c>
      <c r="AH266" s="3191" t="s">
        <v>416</v>
      </c>
      <c r="AI266" s="3163"/>
      <c r="AJ266" s="3126">
        <f t="shared" si="480"/>
        <v>4000</v>
      </c>
      <c r="AK266" s="3154"/>
      <c r="AL266" s="3126"/>
      <c r="AM266" s="3154"/>
      <c r="AN266" s="3126"/>
      <c r="AO266" s="3127"/>
      <c r="AP266" s="3083">
        <f t="shared" si="467"/>
        <v>4000</v>
      </c>
      <c r="AQ266" s="3083"/>
      <c r="AR266" s="3083"/>
      <c r="AS266" s="3198"/>
      <c r="AT266" s="3128"/>
      <c r="AU266" s="3127"/>
      <c r="AV266" s="3127"/>
      <c r="AW266" s="3129"/>
      <c r="AX266" s="3082">
        <f t="shared" si="468"/>
        <v>1000</v>
      </c>
      <c r="AY266" s="3083">
        <f t="shared" si="469"/>
        <v>1000</v>
      </c>
      <c r="AZ266" s="3083">
        <f t="shared" si="470"/>
        <v>1000</v>
      </c>
      <c r="BA266" s="3084">
        <f t="shared" si="471"/>
        <v>1000</v>
      </c>
      <c r="BB266" s="3199"/>
      <c r="BC266" s="3083"/>
      <c r="BD266" s="3083"/>
      <c r="BE266" s="3083"/>
      <c r="BF266" s="3083"/>
      <c r="BG266" s="3083"/>
      <c r="BH266" s="3083"/>
      <c r="BI266" s="3083"/>
      <c r="BJ266" s="3083">
        <f t="shared" si="479"/>
        <v>4000</v>
      </c>
      <c r="BK266" s="3083"/>
      <c r="BL266" s="3083" t="s">
        <v>9164</v>
      </c>
      <c r="BM266" s="3127"/>
      <c r="BN266" s="3083">
        <f t="shared" si="445"/>
        <v>1000</v>
      </c>
      <c r="BO266" s="3083">
        <f t="shared" si="446"/>
        <v>1000</v>
      </c>
      <c r="BP266" s="3083">
        <f t="shared" si="447"/>
        <v>1000</v>
      </c>
      <c r="BQ266" s="3201">
        <f t="shared" si="448"/>
        <v>1000</v>
      </c>
      <c r="BR266" s="3083">
        <f t="shared" si="432"/>
        <v>0</v>
      </c>
      <c r="BS266" s="3201"/>
      <c r="BT266" s="3201"/>
      <c r="BU266" s="3201"/>
      <c r="BV266" s="3201"/>
      <c r="BW266" s="3201"/>
      <c r="BX266" s="3201"/>
    </row>
    <row r="267" s="3032" customFormat="1" ht="32" customHeight="1" spans="1:76 16376:16384">
      <c r="A267" s="3169">
        <v>45897</v>
      </c>
      <c r="B267" s="3170" t="s">
        <v>5234</v>
      </c>
      <c r="C267" s="3171" t="s">
        <v>738</v>
      </c>
      <c r="D267" s="3172">
        <v>4500177857</v>
      </c>
      <c r="E267" s="3173">
        <v>62007522</v>
      </c>
      <c r="F267" s="3172" t="s">
        <v>9900</v>
      </c>
      <c r="G267" s="3174" t="s">
        <v>9154</v>
      </c>
      <c r="H267" s="3175" t="s">
        <v>9155</v>
      </c>
      <c r="I267" s="3176">
        <v>704</v>
      </c>
      <c r="J267" s="3176">
        <v>0</v>
      </c>
      <c r="K267" s="3176">
        <v>8</v>
      </c>
      <c r="L267" s="3176">
        <f t="shared" si="481"/>
        <v>88</v>
      </c>
      <c r="M267" s="3177">
        <v>46006</v>
      </c>
      <c r="N267" s="3177">
        <v>46002</v>
      </c>
      <c r="O267" s="2983"/>
      <c r="P267" s="2996" t="s">
        <v>82</v>
      </c>
      <c r="Q267" s="3071"/>
      <c r="R267" s="3071"/>
      <c r="S267" s="3071"/>
      <c r="T267" s="3071"/>
      <c r="U267" s="2999" t="s">
        <v>455</v>
      </c>
      <c r="V267" s="2983"/>
      <c r="W267" s="3175" t="s">
        <v>5104</v>
      </c>
      <c r="X267" s="3003"/>
      <c r="Y267" s="3003" t="s">
        <v>9901</v>
      </c>
      <c r="Z267" s="3003"/>
      <c r="AA267" s="3003"/>
      <c r="AB267" s="3173" t="s">
        <v>9902</v>
      </c>
      <c r="AC267" s="3176" t="s">
        <v>459</v>
      </c>
      <c r="AD267" s="3178">
        <v>4.1596</v>
      </c>
      <c r="AE267" s="3179">
        <f t="shared" si="473"/>
        <v>2928.3584</v>
      </c>
      <c r="AF267" s="3176"/>
      <c r="AG267" s="3176" t="s">
        <v>9239</v>
      </c>
      <c r="AH267" s="3176" t="s">
        <v>416</v>
      </c>
      <c r="AI267" s="3161"/>
      <c r="AJ267" s="3077"/>
      <c r="AK267" s="3103"/>
      <c r="AL267" s="3077">
        <f>I267</f>
        <v>704</v>
      </c>
      <c r="AM267" s="3103"/>
      <c r="AN267" s="3077"/>
      <c r="AO267" s="3102"/>
      <c r="AP267" s="3079">
        <f t="shared" si="467"/>
        <v>704</v>
      </c>
      <c r="AQ267" s="3079"/>
      <c r="AR267" s="3079"/>
      <c r="AS267" s="3180"/>
      <c r="AT267" s="3116"/>
      <c r="AU267" s="3102"/>
      <c r="AV267" s="3102"/>
      <c r="AW267" s="3117"/>
      <c r="AX267" s="3109">
        <f t="shared" si="468"/>
        <v>176</v>
      </c>
      <c r="AY267" s="3079">
        <f t="shared" si="469"/>
        <v>176</v>
      </c>
      <c r="AZ267" s="3079">
        <f t="shared" si="470"/>
        <v>176</v>
      </c>
      <c r="BA267" s="3110">
        <f t="shared" si="471"/>
        <v>176</v>
      </c>
      <c r="BB267" s="3181"/>
      <c r="BC267" s="3079"/>
      <c r="BD267" s="3079"/>
      <c r="BE267" s="3079"/>
      <c r="BF267" s="3079"/>
      <c r="BG267" s="3079"/>
      <c r="BH267" s="3079"/>
      <c r="BI267" s="3079"/>
      <c r="BJ267" s="3079">
        <f t="shared" si="479"/>
        <v>704</v>
      </c>
      <c r="BK267" s="3079"/>
      <c r="BL267" s="3079" t="s">
        <v>9164</v>
      </c>
      <c r="BM267" s="3102"/>
      <c r="BN267" s="3079">
        <f t="shared" si="445"/>
        <v>176</v>
      </c>
      <c r="BO267" s="3079">
        <f t="shared" si="446"/>
        <v>176</v>
      </c>
      <c r="BP267" s="3079">
        <f t="shared" si="447"/>
        <v>176</v>
      </c>
      <c r="BQ267" s="3182">
        <f t="shared" si="448"/>
        <v>176</v>
      </c>
      <c r="BR267" s="3079">
        <f t="shared" si="432"/>
        <v>0</v>
      </c>
      <c r="BS267" s="3182"/>
      <c r="BT267" s="3182"/>
      <c r="BU267" s="3182"/>
      <c r="BV267" s="3182"/>
      <c r="BW267" s="3182"/>
      <c r="BX267" s="3182"/>
    </row>
    <row r="268" s="3032" customFormat="1" ht="32" customHeight="1" spans="1:76 16376:16384">
      <c r="A268" s="3169">
        <v>45972</v>
      </c>
      <c r="B268" s="3170" t="s">
        <v>2005</v>
      </c>
      <c r="C268" s="3171" t="s">
        <v>673</v>
      </c>
      <c r="D268" s="3172">
        <v>4500185221</v>
      </c>
      <c r="E268" s="3173">
        <v>5000002057</v>
      </c>
      <c r="F268" s="3172" t="s">
        <v>9903</v>
      </c>
      <c r="G268" s="3174" t="s">
        <v>9270</v>
      </c>
      <c r="H268" s="3175" t="s">
        <v>9155</v>
      </c>
      <c r="I268" s="3176">
        <v>1200</v>
      </c>
      <c r="J268" s="3176">
        <v>0</v>
      </c>
      <c r="K268" s="3176">
        <v>4</v>
      </c>
      <c r="L268" s="3176">
        <f t="shared" si="481"/>
        <v>300</v>
      </c>
      <c r="M268" s="3177">
        <v>46014</v>
      </c>
      <c r="N268" s="3206">
        <v>46010</v>
      </c>
      <c r="O268" s="2983"/>
      <c r="P268" s="2996" t="s">
        <v>82</v>
      </c>
      <c r="Q268" s="3071"/>
      <c r="R268" s="3071"/>
      <c r="S268" s="3071"/>
      <c r="T268" s="3071"/>
      <c r="U268" s="2999" t="s">
        <v>2213</v>
      </c>
      <c r="V268" s="2983"/>
      <c r="W268" s="3175" t="s">
        <v>9904</v>
      </c>
      <c r="X268" s="3003"/>
      <c r="Y268" s="3003" t="s">
        <v>9905</v>
      </c>
      <c r="Z268" s="3003" t="s">
        <v>9906</v>
      </c>
      <c r="AA268" s="3003"/>
      <c r="AB268" s="3173" t="s">
        <v>9907</v>
      </c>
      <c r="AC268" s="3176" t="s">
        <v>993</v>
      </c>
      <c r="AD268" s="3178">
        <v>4.035</v>
      </c>
      <c r="AE268" s="3179">
        <f t="shared" si="473"/>
        <v>4842</v>
      </c>
      <c r="AF268" s="3176"/>
      <c r="AG268" s="3176" t="s">
        <v>9364</v>
      </c>
      <c r="AH268" s="3176" t="s">
        <v>416</v>
      </c>
      <c r="AI268" s="3161"/>
      <c r="AJ268" s="3077">
        <f t="shared" si="480"/>
        <v>1200</v>
      </c>
      <c r="AK268" s="3077"/>
      <c r="AL268" s="3077"/>
      <c r="AM268" s="3077"/>
      <c r="AN268" s="3077"/>
      <c r="AO268" s="3079"/>
      <c r="AP268" s="3079"/>
      <c r="AQ268" s="3079"/>
      <c r="AR268" s="3079">
        <f>I268</f>
        <v>1200</v>
      </c>
      <c r="AS268" s="3180"/>
      <c r="AT268" s="3109"/>
      <c r="AU268" s="3079"/>
      <c r="AV268" s="3079"/>
      <c r="AW268" s="3110"/>
      <c r="AX268" s="3109"/>
      <c r="AY268" s="3079"/>
      <c r="AZ268" s="3079"/>
      <c r="BA268" s="3110"/>
      <c r="BB268" s="3181">
        <f>I268/4</f>
        <v>300</v>
      </c>
      <c r="BC268" s="3079">
        <f>I268/4</f>
        <v>300</v>
      </c>
      <c r="BD268" s="3079">
        <f>I268/4</f>
        <v>300</v>
      </c>
      <c r="BE268" s="3079">
        <f>I268/4</f>
        <v>300</v>
      </c>
      <c r="BF268" s="3079"/>
      <c r="BG268" s="3079"/>
      <c r="BH268" s="3079"/>
      <c r="BI268" s="3079"/>
      <c r="BJ268" s="3079">
        <f t="shared" si="479"/>
        <v>1200</v>
      </c>
      <c r="BK268" s="3079"/>
      <c r="BL268" s="3079" t="s">
        <v>9563</v>
      </c>
      <c r="BM268" s="3079"/>
      <c r="BN268" s="3079">
        <f t="shared" si="445"/>
        <v>300</v>
      </c>
      <c r="BO268" s="3079">
        <f t="shared" si="446"/>
        <v>300</v>
      </c>
      <c r="BP268" s="3079">
        <f t="shared" si="447"/>
        <v>300</v>
      </c>
      <c r="BQ268" s="3182">
        <f t="shared" si="448"/>
        <v>300</v>
      </c>
      <c r="BR268" s="3079">
        <f t="shared" si="432"/>
        <v>0</v>
      </c>
      <c r="BS268" s="3182"/>
      <c r="BT268" s="3182"/>
      <c r="BU268" s="3182"/>
      <c r="BV268" s="3182"/>
      <c r="BW268" s="3182"/>
      <c r="BX268" s="3182"/>
    </row>
    <row r="269" s="3032" customFormat="1" ht="32" customHeight="1" spans="1:76 16376:16384">
      <c r="A269" s="3169">
        <v>45965</v>
      </c>
      <c r="B269" s="3170" t="s">
        <v>2914</v>
      </c>
      <c r="C269" s="3171" t="s">
        <v>341</v>
      </c>
      <c r="D269" s="3172">
        <v>4500184385</v>
      </c>
      <c r="E269" s="3173" t="s">
        <v>7890</v>
      </c>
      <c r="F269" s="3172" t="s">
        <v>9908</v>
      </c>
      <c r="G269" s="3174" t="s">
        <v>9154</v>
      </c>
      <c r="H269" s="3175" t="s">
        <v>9155</v>
      </c>
      <c r="I269" s="3176">
        <v>4000</v>
      </c>
      <c r="J269" s="3176">
        <v>0</v>
      </c>
      <c r="K269" s="3176">
        <v>8</v>
      </c>
      <c r="L269" s="3176">
        <f t="shared" si="481"/>
        <v>500</v>
      </c>
      <c r="M269" s="3177">
        <v>46010</v>
      </c>
      <c r="N269" s="3177">
        <v>46006</v>
      </c>
      <c r="O269" s="2983"/>
      <c r="P269" s="2996" t="s">
        <v>82</v>
      </c>
      <c r="Q269" s="3071"/>
      <c r="R269" s="3071"/>
      <c r="S269" s="3071"/>
      <c r="T269" s="3071"/>
      <c r="U269" s="2999" t="s">
        <v>2223</v>
      </c>
      <c r="V269" s="2983"/>
      <c r="W269" s="3175" t="s">
        <v>97</v>
      </c>
      <c r="X269" s="3003"/>
      <c r="Y269" s="3003" t="s">
        <v>5168</v>
      </c>
      <c r="Z269" s="3003"/>
      <c r="AA269" s="3003"/>
      <c r="AB269" s="3173" t="s">
        <v>9909</v>
      </c>
      <c r="AC269" s="3176" t="s">
        <v>5106</v>
      </c>
      <c r="AD269" s="3178">
        <v>4.1486</v>
      </c>
      <c r="AE269" s="3179">
        <f t="shared" si="473"/>
        <v>16594.4</v>
      </c>
      <c r="AF269" s="3176"/>
      <c r="AG269" s="3176" t="s">
        <v>9154</v>
      </c>
      <c r="AH269" s="3176" t="s">
        <v>416</v>
      </c>
      <c r="AI269" s="3161"/>
      <c r="AJ269" s="3077">
        <f t="shared" si="480"/>
        <v>4000</v>
      </c>
      <c r="AK269" s="3103"/>
      <c r="AL269" s="3077"/>
      <c r="AM269" s="3103"/>
      <c r="AN269" s="3077"/>
      <c r="AO269" s="3102"/>
      <c r="AP269" s="3079">
        <f t="shared" ref="AP269:AP322" si="482">I269</f>
        <v>4000</v>
      </c>
      <c r="AQ269" s="3079"/>
      <c r="AR269" s="3079"/>
      <c r="AS269" s="3180"/>
      <c r="AT269" s="3116"/>
      <c r="AU269" s="3102"/>
      <c r="AV269" s="3102"/>
      <c r="AW269" s="3117"/>
      <c r="AX269" s="3109">
        <f t="shared" ref="AX269:AX279" si="483">I269/4</f>
        <v>1000</v>
      </c>
      <c r="AY269" s="3079">
        <f t="shared" ref="AY269:AY271" si="484">I269/4</f>
        <v>1000</v>
      </c>
      <c r="AZ269" s="3079">
        <f t="shared" ref="AZ269:AZ271" si="485">I269/4</f>
        <v>1000</v>
      </c>
      <c r="BA269" s="3110">
        <f t="shared" ref="BA269:BA271" si="486">I269/4</f>
        <v>1000</v>
      </c>
      <c r="BB269" s="3181"/>
      <c r="BC269" s="3079"/>
      <c r="BD269" s="3079"/>
      <c r="BE269" s="3079"/>
      <c r="BF269" s="3079"/>
      <c r="BG269" s="3079"/>
      <c r="BH269" s="3079"/>
      <c r="BI269" s="3079"/>
      <c r="BJ269" s="3079">
        <f t="shared" si="479"/>
        <v>4000</v>
      </c>
      <c r="BK269" s="3079"/>
      <c r="BL269" s="3079" t="s">
        <v>9164</v>
      </c>
      <c r="BM269" s="3102"/>
      <c r="BN269" s="3079">
        <f t="shared" si="445"/>
        <v>1000</v>
      </c>
      <c r="BO269" s="3079">
        <f t="shared" si="446"/>
        <v>1000</v>
      </c>
      <c r="BP269" s="3079">
        <f t="shared" si="447"/>
        <v>1000</v>
      </c>
      <c r="BQ269" s="3182">
        <f t="shared" si="448"/>
        <v>1000</v>
      </c>
      <c r="BR269" s="3079">
        <f t="shared" si="432"/>
        <v>0</v>
      </c>
      <c r="BS269" s="3182"/>
      <c r="BT269" s="3182"/>
      <c r="BU269" s="3182"/>
      <c r="BV269" s="3182"/>
      <c r="BW269" s="3182"/>
      <c r="BX269" s="3182"/>
    </row>
    <row r="270" s="3032" customFormat="1" ht="32" customHeight="1" spans="1:76 16376:16384">
      <c r="A270" s="3169">
        <v>45965</v>
      </c>
      <c r="B270" s="3170" t="s">
        <v>2914</v>
      </c>
      <c r="C270" s="3171" t="s">
        <v>341</v>
      </c>
      <c r="D270" s="3172">
        <v>4500184385</v>
      </c>
      <c r="E270" s="3173" t="s">
        <v>7864</v>
      </c>
      <c r="F270" s="3172" t="s">
        <v>9910</v>
      </c>
      <c r="G270" s="3174" t="s">
        <v>9154</v>
      </c>
      <c r="H270" s="3175" t="s">
        <v>9155</v>
      </c>
      <c r="I270" s="3176">
        <v>4000</v>
      </c>
      <c r="J270" s="3176">
        <v>0</v>
      </c>
      <c r="K270" s="3176">
        <v>8</v>
      </c>
      <c r="L270" s="3176">
        <f t="shared" si="481"/>
        <v>500</v>
      </c>
      <c r="M270" s="3177">
        <v>46014</v>
      </c>
      <c r="N270" s="3206">
        <f>M270-4</f>
        <v>46010</v>
      </c>
      <c r="O270" s="2983"/>
      <c r="P270" s="2996" t="s">
        <v>82</v>
      </c>
      <c r="Q270" s="3071"/>
      <c r="R270" s="3071"/>
      <c r="S270" s="3071"/>
      <c r="T270" s="3071"/>
      <c r="U270" s="2999" t="s">
        <v>2223</v>
      </c>
      <c r="V270" s="2983"/>
      <c r="W270" s="3175" t="s">
        <v>97</v>
      </c>
      <c r="X270" s="3003"/>
      <c r="Y270" s="3003" t="s">
        <v>5168</v>
      </c>
      <c r="Z270" s="3003"/>
      <c r="AA270" s="3003"/>
      <c r="AB270" s="3173" t="s">
        <v>9909</v>
      </c>
      <c r="AC270" s="3176" t="s">
        <v>5106</v>
      </c>
      <c r="AD270" s="3178">
        <v>4.1486</v>
      </c>
      <c r="AE270" s="3179">
        <f t="shared" si="473"/>
        <v>16594.4</v>
      </c>
      <c r="AF270" s="3176"/>
      <c r="AG270" s="3176" t="s">
        <v>9154</v>
      </c>
      <c r="AH270" s="3176" t="s">
        <v>416</v>
      </c>
      <c r="AI270" s="3161"/>
      <c r="AJ270" s="3077">
        <f t="shared" si="480"/>
        <v>4000</v>
      </c>
      <c r="AK270" s="3103"/>
      <c r="AL270" s="3077"/>
      <c r="AM270" s="3103"/>
      <c r="AN270" s="3077"/>
      <c r="AO270" s="3102"/>
      <c r="AP270" s="3079">
        <f t="shared" si="482"/>
        <v>4000</v>
      </c>
      <c r="AQ270" s="3079"/>
      <c r="AR270" s="3079"/>
      <c r="AS270" s="3180"/>
      <c r="AT270" s="3116"/>
      <c r="AU270" s="3102"/>
      <c r="AV270" s="3102"/>
      <c r="AW270" s="3117"/>
      <c r="AX270" s="3109">
        <f t="shared" si="483"/>
        <v>1000</v>
      </c>
      <c r="AY270" s="3079">
        <f t="shared" si="484"/>
        <v>1000</v>
      </c>
      <c r="AZ270" s="3079">
        <f t="shared" si="485"/>
        <v>1000</v>
      </c>
      <c r="BA270" s="3110">
        <f t="shared" si="486"/>
        <v>1000</v>
      </c>
      <c r="BB270" s="3181"/>
      <c r="BC270" s="3079"/>
      <c r="BD270" s="3079"/>
      <c r="BE270" s="3079"/>
      <c r="BF270" s="3079"/>
      <c r="BG270" s="3079"/>
      <c r="BH270" s="3079"/>
      <c r="BI270" s="3079"/>
      <c r="BJ270" s="3079">
        <f t="shared" si="479"/>
        <v>4000</v>
      </c>
      <c r="BK270" s="3079"/>
      <c r="BL270" s="3079" t="s">
        <v>9164</v>
      </c>
      <c r="BM270" s="3102"/>
      <c r="BN270" s="3079">
        <f t="shared" si="445"/>
        <v>1000</v>
      </c>
      <c r="BO270" s="3079">
        <f t="shared" si="446"/>
        <v>1000</v>
      </c>
      <c r="BP270" s="3079">
        <f t="shared" si="447"/>
        <v>1000</v>
      </c>
      <c r="BQ270" s="3182">
        <f t="shared" si="448"/>
        <v>1000</v>
      </c>
      <c r="BR270" s="3079">
        <f t="shared" si="432"/>
        <v>0</v>
      </c>
      <c r="BS270" s="3182"/>
      <c r="BT270" s="3182"/>
      <c r="BU270" s="3182"/>
      <c r="BV270" s="3182"/>
      <c r="BW270" s="3182"/>
      <c r="BX270" s="3182"/>
    </row>
    <row r="271" s="3031" customFormat="1" ht="32" customHeight="1" spans="1:76 16376:16384">
      <c r="A271" s="3063">
        <v>45985</v>
      </c>
      <c r="B271" s="3064" t="s">
        <v>2136</v>
      </c>
      <c r="C271" s="3065" t="s">
        <v>2137</v>
      </c>
      <c r="D271" s="3066">
        <v>4500186837</v>
      </c>
      <c r="E271" s="3091"/>
      <c r="F271" s="3066" t="s">
        <v>9911</v>
      </c>
      <c r="G271" s="3098" t="s">
        <v>9154</v>
      </c>
      <c r="H271" s="3069" t="s">
        <v>9155</v>
      </c>
      <c r="I271" s="2969">
        <v>200</v>
      </c>
      <c r="J271" s="2969">
        <v>0</v>
      </c>
      <c r="K271" s="2969">
        <v>8</v>
      </c>
      <c r="L271" s="2969">
        <f t="shared" si="481"/>
        <v>25</v>
      </c>
      <c r="M271" s="3070">
        <v>46016</v>
      </c>
      <c r="N271" s="3207">
        <v>46013</v>
      </c>
      <c r="O271" s="2996"/>
      <c r="P271" s="2996" t="s">
        <v>82</v>
      </c>
      <c r="Q271" s="3071"/>
      <c r="R271" s="3071"/>
      <c r="S271" s="3071"/>
      <c r="T271" s="3071"/>
      <c r="U271" s="3072" t="s">
        <v>104</v>
      </c>
      <c r="V271" s="2996"/>
      <c r="W271" s="3069" t="s">
        <v>2236</v>
      </c>
      <c r="X271" s="3073"/>
      <c r="Y271" s="3073" t="s">
        <v>98</v>
      </c>
      <c r="Z271" s="3073"/>
      <c r="AA271" s="3073"/>
      <c r="AB271" s="3091" t="s">
        <v>9912</v>
      </c>
      <c r="AC271" s="2969" t="s">
        <v>2141</v>
      </c>
      <c r="AD271" s="3075">
        <v>4.0187</v>
      </c>
      <c r="AE271" s="3076">
        <f t="shared" si="473"/>
        <v>803.74</v>
      </c>
      <c r="AF271" s="2969"/>
      <c r="AG271" s="2969" t="s">
        <v>9154</v>
      </c>
      <c r="AH271" s="2969" t="s">
        <v>416</v>
      </c>
      <c r="AI271" s="3162"/>
      <c r="AJ271" s="3078">
        <f t="shared" si="480"/>
        <v>200</v>
      </c>
      <c r="AK271" s="3133"/>
      <c r="AL271" s="3078"/>
      <c r="AM271" s="3133"/>
      <c r="AN271" s="3078"/>
      <c r="AO271" s="3134"/>
      <c r="AP271" s="3080">
        <f t="shared" si="482"/>
        <v>200</v>
      </c>
      <c r="AQ271" s="3080"/>
      <c r="AR271" s="3080"/>
      <c r="AS271" s="3081"/>
      <c r="AT271" s="3135"/>
      <c r="AU271" s="3134"/>
      <c r="AV271" s="3134"/>
      <c r="AW271" s="3136"/>
      <c r="AX271" s="3085">
        <f t="shared" si="483"/>
        <v>50</v>
      </c>
      <c r="AY271" s="3080">
        <f t="shared" si="484"/>
        <v>50</v>
      </c>
      <c r="AZ271" s="3080">
        <f t="shared" si="485"/>
        <v>50</v>
      </c>
      <c r="BA271" s="3086">
        <f t="shared" si="486"/>
        <v>50</v>
      </c>
      <c r="BB271" s="3087"/>
      <c r="BC271" s="3080"/>
      <c r="BD271" s="3080"/>
      <c r="BE271" s="3080"/>
      <c r="BF271" s="3080"/>
      <c r="BG271" s="3080"/>
      <c r="BH271" s="3080"/>
      <c r="BI271" s="3080"/>
      <c r="BJ271" s="3080">
        <f t="shared" si="479"/>
        <v>200</v>
      </c>
      <c r="BK271" s="3080"/>
      <c r="BL271" s="3080" t="s">
        <v>9164</v>
      </c>
      <c r="BM271" s="3134"/>
      <c r="BN271" s="3080">
        <f t="shared" si="445"/>
        <v>50</v>
      </c>
      <c r="BO271" s="3080">
        <f t="shared" si="446"/>
        <v>50</v>
      </c>
      <c r="BP271" s="3080">
        <f t="shared" si="447"/>
        <v>50</v>
      </c>
      <c r="BQ271" s="3088">
        <f t="shared" si="448"/>
        <v>50</v>
      </c>
      <c r="BR271" s="3080">
        <f t="shared" si="432"/>
        <v>0</v>
      </c>
      <c r="BS271" s="3088"/>
      <c r="BT271" s="3088"/>
      <c r="BU271" s="3088"/>
      <c r="BV271" s="3088"/>
      <c r="BW271" s="3088"/>
      <c r="BX271" s="3088"/>
    </row>
    <row r="272" s="3031" customFormat="1" ht="32" customHeight="1" spans="1:76 16376:16384">
      <c r="A272" s="3063">
        <v>45982</v>
      </c>
      <c r="B272" s="3064" t="s">
        <v>331</v>
      </c>
      <c r="C272" s="3065" t="s">
        <v>7896</v>
      </c>
      <c r="D272" s="3066">
        <v>4500186548</v>
      </c>
      <c r="E272" s="3091" t="s">
        <v>9913</v>
      </c>
      <c r="F272" s="3066" t="s">
        <v>9914</v>
      </c>
      <c r="G272" s="3098" t="s">
        <v>9585</v>
      </c>
      <c r="H272" s="3069" t="s">
        <v>9155</v>
      </c>
      <c r="I272" s="2969">
        <v>1000</v>
      </c>
      <c r="J272" s="2969">
        <v>0</v>
      </c>
      <c r="K272" s="2969">
        <v>1</v>
      </c>
      <c r="L272" s="2969">
        <f t="shared" si="481"/>
        <v>1000</v>
      </c>
      <c r="M272" s="3070">
        <v>46017</v>
      </c>
      <c r="N272" s="3207">
        <v>46013</v>
      </c>
      <c r="O272" s="2996"/>
      <c r="P272" s="2996" t="s">
        <v>82</v>
      </c>
      <c r="Q272" s="3071"/>
      <c r="R272" s="3071"/>
      <c r="S272" s="3071"/>
      <c r="T272" s="3071"/>
      <c r="U272" s="3072" t="s">
        <v>5405</v>
      </c>
      <c r="V272" s="2996"/>
      <c r="W272" s="3069" t="s">
        <v>2694</v>
      </c>
      <c r="X272" s="3073"/>
      <c r="Y272" s="3073" t="s">
        <v>9915</v>
      </c>
      <c r="Z272" s="3073"/>
      <c r="AA272" s="3073"/>
      <c r="AB272" s="3091" t="s">
        <v>9916</v>
      </c>
      <c r="AC272" s="2969" t="s">
        <v>5135</v>
      </c>
      <c r="AD272" s="3075">
        <v>4.3083</v>
      </c>
      <c r="AE272" s="3076">
        <f t="shared" si="473"/>
        <v>4308.3</v>
      </c>
      <c r="AF272" s="2969" t="s">
        <v>7901</v>
      </c>
      <c r="AG272" s="2969" t="s">
        <v>9585</v>
      </c>
      <c r="AH272" s="2969" t="s">
        <v>416</v>
      </c>
      <c r="AI272" s="3162"/>
      <c r="AJ272" s="3078">
        <f t="shared" si="480"/>
        <v>1000</v>
      </c>
      <c r="AK272" s="3133"/>
      <c r="AL272" s="3078"/>
      <c r="AM272" s="3133"/>
      <c r="AN272" s="3078"/>
      <c r="AO272" s="3134"/>
      <c r="AP272" s="3080">
        <f t="shared" si="482"/>
        <v>1000</v>
      </c>
      <c r="AQ272" s="3080"/>
      <c r="AR272" s="3080"/>
      <c r="AS272" s="3081"/>
      <c r="AT272" s="3135"/>
      <c r="AU272" s="3134"/>
      <c r="AV272" s="3134"/>
      <c r="AW272" s="3136"/>
      <c r="AX272" s="3085">
        <f t="shared" si="483"/>
        <v>250</v>
      </c>
      <c r="AY272" s="3080">
        <f>AX272</f>
        <v>250</v>
      </c>
      <c r="AZ272" s="3080">
        <f>AX272</f>
        <v>250</v>
      </c>
      <c r="BA272" s="3086">
        <f>AX272</f>
        <v>250</v>
      </c>
      <c r="BB272" s="3087"/>
      <c r="BC272" s="3080"/>
      <c r="BD272" s="3080"/>
      <c r="BE272" s="3080"/>
      <c r="BF272" s="3080"/>
      <c r="BG272" s="3080"/>
      <c r="BH272" s="3080"/>
      <c r="BI272" s="3080"/>
      <c r="BJ272" s="3080">
        <f t="shared" si="479"/>
        <v>1000</v>
      </c>
      <c r="BK272" s="3080"/>
      <c r="BL272" s="3080" t="s">
        <v>9164</v>
      </c>
      <c r="BM272" s="3134"/>
      <c r="BN272" s="3080">
        <f t="shared" si="445"/>
        <v>250</v>
      </c>
      <c r="BO272" s="3080">
        <f t="shared" si="446"/>
        <v>250</v>
      </c>
      <c r="BP272" s="3080">
        <f t="shared" si="447"/>
        <v>250</v>
      </c>
      <c r="BQ272" s="3088">
        <f t="shared" si="448"/>
        <v>250</v>
      </c>
      <c r="BR272" s="3080">
        <f t="shared" si="432"/>
        <v>0</v>
      </c>
      <c r="BS272" s="3088">
        <f>BN272+BO272+BP272+BQ272+$BS$369</f>
        <v>513480</v>
      </c>
      <c r="BT272" s="3088"/>
      <c r="BU272" s="3088"/>
      <c r="BV272" s="3088"/>
      <c r="BW272" s="3088"/>
      <c r="BX272" s="3088"/>
    </row>
    <row r="273" s="3031" customFormat="1" ht="32" customHeight="1" spans="1:76">
      <c r="A273" s="3063">
        <v>45992</v>
      </c>
      <c r="B273" s="3064" t="s">
        <v>5030</v>
      </c>
      <c r="C273" s="3065" t="s">
        <v>341</v>
      </c>
      <c r="D273" s="3066">
        <v>4500187528</v>
      </c>
      <c r="E273" s="3091">
        <v>2950867452</v>
      </c>
      <c r="F273" s="3066" t="s">
        <v>9917</v>
      </c>
      <c r="G273" s="3098" t="s">
        <v>9209</v>
      </c>
      <c r="H273" s="3069" t="s">
        <v>9210</v>
      </c>
      <c r="I273" s="2969">
        <v>968</v>
      </c>
      <c r="J273" s="2969">
        <v>0</v>
      </c>
      <c r="K273" s="2969">
        <v>88</v>
      </c>
      <c r="L273" s="2969">
        <f t="shared" si="481"/>
        <v>11</v>
      </c>
      <c r="M273" s="3070">
        <v>46034</v>
      </c>
      <c r="N273" s="3207">
        <v>46030</v>
      </c>
      <c r="O273" s="2996"/>
      <c r="P273" s="2996" t="s">
        <v>82</v>
      </c>
      <c r="Q273" s="3208">
        <v>968</v>
      </c>
      <c r="R273" s="3209">
        <f t="shared" ref="R273:R317" si="487">Q273-I273</f>
        <v>0</v>
      </c>
      <c r="S273" s="3071" t="s">
        <v>98</v>
      </c>
      <c r="T273" s="3071" t="s">
        <v>321</v>
      </c>
      <c r="U273" s="3072" t="s">
        <v>138</v>
      </c>
      <c r="V273" s="2996"/>
      <c r="W273" s="3069" t="s">
        <v>5265</v>
      </c>
      <c r="X273" s="3073"/>
      <c r="Y273" s="3073" t="s">
        <v>98</v>
      </c>
      <c r="Z273" s="3073"/>
      <c r="AA273" s="3073"/>
      <c r="AB273" s="3091" t="s">
        <v>9918</v>
      </c>
      <c r="AC273" s="2969" t="s">
        <v>5106</v>
      </c>
      <c r="AD273" s="3075">
        <v>39.6701</v>
      </c>
      <c r="AE273" s="3076">
        <f>AD273*L273</f>
        <v>436.3711</v>
      </c>
      <c r="AF273" s="2969"/>
      <c r="AG273" s="2969" t="s">
        <v>9209</v>
      </c>
      <c r="AH273" s="2969" t="s">
        <v>416</v>
      </c>
      <c r="AI273" s="3162"/>
      <c r="AJ273" s="3078">
        <f t="shared" si="480"/>
        <v>968</v>
      </c>
      <c r="AK273" s="3133"/>
      <c r="AL273" s="3078"/>
      <c r="AM273" s="3133"/>
      <c r="AN273" s="3078"/>
      <c r="AO273" s="3134"/>
      <c r="AP273" s="3080">
        <f t="shared" si="482"/>
        <v>968</v>
      </c>
      <c r="AQ273" s="3080"/>
      <c r="AR273" s="3080"/>
      <c r="AS273" s="3081"/>
      <c r="AT273" s="3135"/>
      <c r="AU273" s="3134"/>
      <c r="AV273" s="3134"/>
      <c r="AW273" s="3136"/>
      <c r="AX273" s="3085">
        <f t="shared" si="483"/>
        <v>242</v>
      </c>
      <c r="AY273" s="3080">
        <f t="shared" ref="AY273:AY279" si="488">I273/4</f>
        <v>242</v>
      </c>
      <c r="AZ273" s="3080">
        <f t="shared" ref="AZ273:AZ279" si="489">I273/4</f>
        <v>242</v>
      </c>
      <c r="BA273" s="3086">
        <f t="shared" ref="BA273:BA279" si="490">I273/4</f>
        <v>242</v>
      </c>
      <c r="BB273" s="3087"/>
      <c r="BC273" s="3080"/>
      <c r="BD273" s="3080"/>
      <c r="BE273" s="3080"/>
      <c r="BF273" s="3080"/>
      <c r="BG273" s="3080"/>
      <c r="BH273" s="3080"/>
      <c r="BI273" s="3080"/>
      <c r="BJ273" s="3080">
        <f t="shared" si="479"/>
        <v>968</v>
      </c>
      <c r="BK273" s="3080"/>
      <c r="BL273" s="3080" t="s">
        <v>9164</v>
      </c>
      <c r="BM273" s="3134"/>
      <c r="BN273" s="3080">
        <f t="shared" si="445"/>
        <v>242</v>
      </c>
      <c r="BO273" s="3080">
        <f t="shared" si="446"/>
        <v>242</v>
      </c>
      <c r="BP273" s="3080">
        <f t="shared" si="447"/>
        <v>242</v>
      </c>
      <c r="BQ273" s="3080">
        <f t="shared" si="448"/>
        <v>242</v>
      </c>
      <c r="BR273" s="3080">
        <f t="shared" si="432"/>
        <v>0</v>
      </c>
      <c r="BS273" s="3088">
        <f>BN273+BO273+BP273+BQ273+$BS$369</f>
        <v>513448</v>
      </c>
      <c r="BT273" s="3088"/>
      <c r="BU273" s="3088"/>
      <c r="BV273" s="3088"/>
      <c r="BW273" s="3088"/>
      <c r="BX273" s="3088"/>
    </row>
    <row r="274" s="3031" customFormat="1" ht="32" customHeight="1" spans="1:76">
      <c r="A274" s="3063">
        <v>45978</v>
      </c>
      <c r="B274" s="3064" t="s">
        <v>9919</v>
      </c>
      <c r="C274" s="3065" t="s">
        <v>2776</v>
      </c>
      <c r="D274" s="3066">
        <v>4500185782</v>
      </c>
      <c r="E274" s="3091"/>
      <c r="F274" s="3066" t="s">
        <v>9920</v>
      </c>
      <c r="G274" s="3098" t="s">
        <v>9154</v>
      </c>
      <c r="H274" s="3069" t="s">
        <v>9155</v>
      </c>
      <c r="I274" s="2969">
        <v>2504</v>
      </c>
      <c r="J274" s="2969">
        <v>0</v>
      </c>
      <c r="K274" s="2969">
        <v>8</v>
      </c>
      <c r="L274" s="2969">
        <f t="shared" si="481"/>
        <v>313</v>
      </c>
      <c r="M274" s="3070">
        <v>46027</v>
      </c>
      <c r="N274" s="3207">
        <v>46023</v>
      </c>
      <c r="O274" s="2996"/>
      <c r="P274" s="2996" t="s">
        <v>82</v>
      </c>
      <c r="Q274" s="3208">
        <v>2504</v>
      </c>
      <c r="R274" s="3209">
        <f t="shared" si="487"/>
        <v>0</v>
      </c>
      <c r="S274" s="3071" t="s">
        <v>2297</v>
      </c>
      <c r="T274" s="3071" t="s">
        <v>321</v>
      </c>
      <c r="U274" s="3072" t="s">
        <v>5337</v>
      </c>
      <c r="V274" s="2996"/>
      <c r="W274" s="3069" t="s">
        <v>5521</v>
      </c>
      <c r="X274" s="3073"/>
      <c r="Y274" s="3073" t="s">
        <v>9921</v>
      </c>
      <c r="Z274" s="3073"/>
      <c r="AA274" s="3073"/>
      <c r="AB274" s="3091" t="s">
        <v>9922</v>
      </c>
      <c r="AC274" s="2969" t="s">
        <v>1434</v>
      </c>
      <c r="AD274" s="3075">
        <v>4.1486</v>
      </c>
      <c r="AE274" s="3076">
        <f t="shared" ref="AE274:AE290" si="491">AD274*I274</f>
        <v>10388.0944</v>
      </c>
      <c r="AF274" s="2969"/>
      <c r="AG274" s="2969" t="s">
        <v>9239</v>
      </c>
      <c r="AH274" s="2969" t="s">
        <v>416</v>
      </c>
      <c r="AI274" s="3162"/>
      <c r="AJ274" s="3078"/>
      <c r="AK274" s="3138"/>
      <c r="AL274" s="3078">
        <f>I274</f>
        <v>2504</v>
      </c>
      <c r="AM274" s="3138"/>
      <c r="AN274" s="3078"/>
      <c r="AO274" s="3141"/>
      <c r="AP274" s="3080">
        <f t="shared" si="482"/>
        <v>2504</v>
      </c>
      <c r="AQ274" s="3080"/>
      <c r="AR274" s="3080"/>
      <c r="AS274" s="3081"/>
      <c r="AT274" s="3142"/>
      <c r="AU274" s="3141"/>
      <c r="AV274" s="3141"/>
      <c r="AW274" s="3143"/>
      <c r="AX274" s="3085">
        <f t="shared" si="483"/>
        <v>626</v>
      </c>
      <c r="AY274" s="3080">
        <f t="shared" si="488"/>
        <v>626</v>
      </c>
      <c r="AZ274" s="3080">
        <f t="shared" si="489"/>
        <v>626</v>
      </c>
      <c r="BA274" s="3086">
        <f t="shared" si="490"/>
        <v>626</v>
      </c>
      <c r="BB274" s="3087"/>
      <c r="BC274" s="3080"/>
      <c r="BD274" s="3080"/>
      <c r="BE274" s="3080"/>
      <c r="BF274" s="3080"/>
      <c r="BG274" s="3080"/>
      <c r="BH274" s="3080"/>
      <c r="BI274" s="3080"/>
      <c r="BJ274" s="3080">
        <f t="shared" si="479"/>
        <v>2504</v>
      </c>
      <c r="BK274" s="3080"/>
      <c r="BL274" s="3080" t="s">
        <v>9164</v>
      </c>
      <c r="BM274" s="3141"/>
      <c r="BN274" s="3080">
        <f t="shared" si="445"/>
        <v>626</v>
      </c>
      <c r="BO274" s="3080">
        <f t="shared" si="446"/>
        <v>626</v>
      </c>
      <c r="BP274" s="3080">
        <f t="shared" si="447"/>
        <v>626</v>
      </c>
      <c r="BQ274" s="3088">
        <f t="shared" si="448"/>
        <v>626</v>
      </c>
      <c r="BR274" s="3080">
        <f t="shared" si="432"/>
        <v>0</v>
      </c>
      <c r="BS274" s="3088"/>
      <c r="BT274" s="3088"/>
      <c r="BU274" s="3088"/>
      <c r="BV274" s="3088"/>
      <c r="BW274" s="3088"/>
      <c r="BX274" s="3088"/>
    </row>
    <row r="275" s="3031" customFormat="1" ht="32" customHeight="1" spans="1:76">
      <c r="A275" s="3063">
        <v>45993</v>
      </c>
      <c r="B275" s="3064" t="s">
        <v>3811</v>
      </c>
      <c r="C275" s="3065" t="s">
        <v>3812</v>
      </c>
      <c r="D275" s="3066">
        <v>4500187640</v>
      </c>
      <c r="E275" s="3091" t="s">
        <v>9923</v>
      </c>
      <c r="F275" s="3066" t="s">
        <v>9924</v>
      </c>
      <c r="G275" s="3098" t="s">
        <v>9154</v>
      </c>
      <c r="H275" s="3069" t="s">
        <v>9155</v>
      </c>
      <c r="I275" s="2969">
        <v>704</v>
      </c>
      <c r="J275" s="2969">
        <v>0</v>
      </c>
      <c r="K275" s="2969">
        <v>8</v>
      </c>
      <c r="L275" s="2969">
        <f t="shared" si="481"/>
        <v>88</v>
      </c>
      <c r="M275" s="3070">
        <v>46042</v>
      </c>
      <c r="N275" s="3207">
        <v>46038</v>
      </c>
      <c r="O275" s="2996"/>
      <c r="P275" s="2996" t="s">
        <v>82</v>
      </c>
      <c r="Q275" s="3208">
        <v>704</v>
      </c>
      <c r="R275" s="3210">
        <f t="shared" si="487"/>
        <v>0</v>
      </c>
      <c r="S275" s="3071" t="s">
        <v>2297</v>
      </c>
      <c r="T275" s="3071" t="s">
        <v>321</v>
      </c>
      <c r="U275" s="3072" t="s">
        <v>2345</v>
      </c>
      <c r="V275" s="2996"/>
      <c r="W275" s="3069" t="s">
        <v>5521</v>
      </c>
      <c r="X275" s="3073"/>
      <c r="Y275" s="3073" t="s">
        <v>9925</v>
      </c>
      <c r="Z275" s="3073"/>
      <c r="AA275" s="3073"/>
      <c r="AB275" s="3091" t="s">
        <v>9926</v>
      </c>
      <c r="AC275" s="2969" t="s">
        <v>459</v>
      </c>
      <c r="AD275" s="3075">
        <v>4.1596</v>
      </c>
      <c r="AE275" s="3076">
        <f t="shared" si="491"/>
        <v>2928.3584</v>
      </c>
      <c r="AF275" s="2969"/>
      <c r="AG275" s="2969" t="s">
        <v>9239</v>
      </c>
      <c r="AH275" s="2969" t="s">
        <v>416</v>
      </c>
      <c r="AI275" s="3162"/>
      <c r="AJ275" s="3078"/>
      <c r="AK275" s="3133"/>
      <c r="AL275" s="3078">
        <f>I275</f>
        <v>704</v>
      </c>
      <c r="AM275" s="3133"/>
      <c r="AN275" s="3078"/>
      <c r="AO275" s="3134"/>
      <c r="AP275" s="3080">
        <f t="shared" si="482"/>
        <v>704</v>
      </c>
      <c r="AQ275" s="3080"/>
      <c r="AR275" s="3080"/>
      <c r="AS275" s="3081"/>
      <c r="AT275" s="3135"/>
      <c r="AU275" s="3134"/>
      <c r="AV275" s="3134"/>
      <c r="AW275" s="3136"/>
      <c r="AX275" s="3085">
        <f t="shared" si="483"/>
        <v>176</v>
      </c>
      <c r="AY275" s="3080">
        <f t="shared" si="488"/>
        <v>176</v>
      </c>
      <c r="AZ275" s="3080">
        <f t="shared" si="489"/>
        <v>176</v>
      </c>
      <c r="BA275" s="3086">
        <f t="shared" si="490"/>
        <v>176</v>
      </c>
      <c r="BB275" s="3087"/>
      <c r="BC275" s="3080"/>
      <c r="BD275" s="3080"/>
      <c r="BE275" s="3080"/>
      <c r="BF275" s="3080"/>
      <c r="BG275" s="3080"/>
      <c r="BH275" s="3080"/>
      <c r="BI275" s="3080"/>
      <c r="BJ275" s="3080">
        <f t="shared" si="479"/>
        <v>704</v>
      </c>
      <c r="BK275" s="3080"/>
      <c r="BL275" s="3080" t="s">
        <v>9164</v>
      </c>
      <c r="BM275" s="3134"/>
      <c r="BN275" s="3080">
        <f t="shared" si="445"/>
        <v>176</v>
      </c>
      <c r="BO275" s="3080">
        <f t="shared" si="446"/>
        <v>176</v>
      </c>
      <c r="BP275" s="3080">
        <f t="shared" si="447"/>
        <v>176</v>
      </c>
      <c r="BQ275" s="3088">
        <f t="shared" si="448"/>
        <v>176</v>
      </c>
      <c r="BR275" s="3080">
        <f t="shared" si="432"/>
        <v>0</v>
      </c>
      <c r="BS275" s="3088"/>
      <c r="BT275" s="3088"/>
      <c r="BU275" s="3088"/>
      <c r="BV275" s="3088"/>
      <c r="BW275" s="3088"/>
      <c r="BX275" s="3088"/>
    </row>
    <row r="276" s="3031" customFormat="1" ht="32" customHeight="1" spans="1:76">
      <c r="A276" s="3063">
        <v>45974</v>
      </c>
      <c r="B276" s="3064" t="s">
        <v>2914</v>
      </c>
      <c r="C276" s="3065" t="s">
        <v>341</v>
      </c>
      <c r="D276" s="3066">
        <v>4500185539</v>
      </c>
      <c r="E276" s="3091" t="s">
        <v>9927</v>
      </c>
      <c r="F276" s="3066" t="s">
        <v>9928</v>
      </c>
      <c r="G276" s="3098" t="s">
        <v>9154</v>
      </c>
      <c r="H276" s="3069" t="s">
        <v>9155</v>
      </c>
      <c r="I276" s="2969">
        <v>4000</v>
      </c>
      <c r="J276" s="2969">
        <v>0</v>
      </c>
      <c r="K276" s="2969">
        <v>8</v>
      </c>
      <c r="L276" s="2969">
        <f t="shared" si="481"/>
        <v>500</v>
      </c>
      <c r="M276" s="3070">
        <v>46038</v>
      </c>
      <c r="N276" s="3207">
        <v>46034</v>
      </c>
      <c r="O276" s="2996"/>
      <c r="P276" s="2996" t="s">
        <v>82</v>
      </c>
      <c r="Q276" s="3208">
        <v>4000</v>
      </c>
      <c r="R276" s="3210">
        <f t="shared" si="487"/>
        <v>0</v>
      </c>
      <c r="S276" s="3071" t="s">
        <v>2297</v>
      </c>
      <c r="T276" s="3071" t="s">
        <v>321</v>
      </c>
      <c r="U276" s="3072" t="s">
        <v>138</v>
      </c>
      <c r="V276" s="2996"/>
      <c r="W276" s="3069" t="s">
        <v>5226</v>
      </c>
      <c r="X276" s="3073"/>
      <c r="Y276" s="3073" t="s">
        <v>5168</v>
      </c>
      <c r="Z276" s="3073"/>
      <c r="AA276" s="3073"/>
      <c r="AB276" s="3091" t="s">
        <v>9909</v>
      </c>
      <c r="AC276" s="2969" t="s">
        <v>5106</v>
      </c>
      <c r="AD276" s="3075">
        <v>4.1486</v>
      </c>
      <c r="AE276" s="3076">
        <f t="shared" si="491"/>
        <v>16594.4</v>
      </c>
      <c r="AF276" s="2969" t="s">
        <v>9929</v>
      </c>
      <c r="AG276" s="2969" t="s">
        <v>9154</v>
      </c>
      <c r="AH276" s="2969" t="s">
        <v>416</v>
      </c>
      <c r="AI276" s="3162"/>
      <c r="AJ276" s="3078">
        <f t="shared" ref="AJ276:AJ283" si="492">I276</f>
        <v>4000</v>
      </c>
      <c r="AK276" s="3078"/>
      <c r="AL276" s="3078"/>
      <c r="AM276" s="3078"/>
      <c r="AN276" s="3078"/>
      <c r="AO276" s="3080"/>
      <c r="AP276" s="3080">
        <f t="shared" si="482"/>
        <v>4000</v>
      </c>
      <c r="AQ276" s="3080"/>
      <c r="AR276" s="3080"/>
      <c r="AS276" s="3081"/>
      <c r="AT276" s="3085"/>
      <c r="AU276" s="3080"/>
      <c r="AV276" s="3080"/>
      <c r="AW276" s="3086"/>
      <c r="AX276" s="3085">
        <f t="shared" si="483"/>
        <v>1000</v>
      </c>
      <c r="AY276" s="3080">
        <f t="shared" si="488"/>
        <v>1000</v>
      </c>
      <c r="AZ276" s="3080">
        <f t="shared" si="489"/>
        <v>1000</v>
      </c>
      <c r="BA276" s="3086">
        <f t="shared" si="490"/>
        <v>1000</v>
      </c>
      <c r="BB276" s="3087"/>
      <c r="BC276" s="3080"/>
      <c r="BD276" s="3080"/>
      <c r="BE276" s="3080"/>
      <c r="BF276" s="3080"/>
      <c r="BG276" s="3080"/>
      <c r="BH276" s="3080"/>
      <c r="BI276" s="3080"/>
      <c r="BJ276" s="3080">
        <f t="shared" si="479"/>
        <v>4000</v>
      </c>
      <c r="BK276" s="3080"/>
      <c r="BL276" s="3080" t="s">
        <v>9164</v>
      </c>
      <c r="BM276" s="3080"/>
      <c r="BN276" s="3080">
        <f t="shared" si="445"/>
        <v>1000</v>
      </c>
      <c r="BO276" s="3080">
        <f t="shared" si="446"/>
        <v>1000</v>
      </c>
      <c r="BP276" s="3080">
        <f t="shared" si="447"/>
        <v>1000</v>
      </c>
      <c r="BQ276" s="3088">
        <f t="shared" si="448"/>
        <v>1000</v>
      </c>
      <c r="BR276" s="3080">
        <f t="shared" si="432"/>
        <v>0</v>
      </c>
      <c r="BS276" s="3088"/>
      <c r="BT276" s="3088"/>
      <c r="BU276" s="3088"/>
      <c r="BV276" s="3088"/>
      <c r="BW276" s="3088"/>
      <c r="BX276" s="3088"/>
    </row>
    <row r="277" s="3031" customFormat="1" ht="32" customHeight="1" spans="1:76">
      <c r="A277" s="3063">
        <v>45993</v>
      </c>
      <c r="B277" s="3064" t="s">
        <v>2914</v>
      </c>
      <c r="C277" s="3065" t="s">
        <v>341</v>
      </c>
      <c r="D277" s="3066">
        <v>4500187663</v>
      </c>
      <c r="E277" s="3091" t="s">
        <v>7961</v>
      </c>
      <c r="F277" s="3066" t="s">
        <v>9930</v>
      </c>
      <c r="G277" s="3098" t="s">
        <v>9154</v>
      </c>
      <c r="H277" s="3069" t="s">
        <v>9155</v>
      </c>
      <c r="I277" s="2969">
        <v>4000</v>
      </c>
      <c r="J277" s="2969">
        <v>0</v>
      </c>
      <c r="K277" s="2969">
        <v>8</v>
      </c>
      <c r="L277" s="2969">
        <f t="shared" si="481"/>
        <v>500</v>
      </c>
      <c r="M277" s="3070">
        <v>46038</v>
      </c>
      <c r="N277" s="3207">
        <v>46034</v>
      </c>
      <c r="O277" s="2996"/>
      <c r="P277" s="2996" t="s">
        <v>82</v>
      </c>
      <c r="Q277" s="3208">
        <v>4000</v>
      </c>
      <c r="R277" s="3210">
        <f t="shared" si="487"/>
        <v>0</v>
      </c>
      <c r="S277" s="3071" t="s">
        <v>2297</v>
      </c>
      <c r="T277" s="3071" t="s">
        <v>321</v>
      </c>
      <c r="U277" s="3072"/>
      <c r="V277" s="2996"/>
      <c r="W277" s="3069" t="s">
        <v>729</v>
      </c>
      <c r="X277" s="3073"/>
      <c r="Y277" s="3073" t="s">
        <v>5168</v>
      </c>
      <c r="Z277" s="3073"/>
      <c r="AA277" s="3073"/>
      <c r="AB277" s="3091" t="s">
        <v>9931</v>
      </c>
      <c r="AC277" s="2969" t="s">
        <v>5106</v>
      </c>
      <c r="AD277" s="3075">
        <v>4.1486</v>
      </c>
      <c r="AE277" s="3076">
        <f t="shared" si="491"/>
        <v>16594.4</v>
      </c>
      <c r="AF277" s="2969"/>
      <c r="AG277" s="2969" t="s">
        <v>9154</v>
      </c>
      <c r="AH277" s="2969" t="s">
        <v>416</v>
      </c>
      <c r="AI277" s="3162"/>
      <c r="AJ277" s="3078">
        <f t="shared" si="492"/>
        <v>4000</v>
      </c>
      <c r="AK277" s="3133"/>
      <c r="AL277" s="3078"/>
      <c r="AM277" s="3133"/>
      <c r="AN277" s="3078"/>
      <c r="AO277" s="3134"/>
      <c r="AP277" s="3080">
        <f t="shared" si="482"/>
        <v>4000</v>
      </c>
      <c r="AQ277" s="3080"/>
      <c r="AR277" s="3080"/>
      <c r="AS277" s="3081"/>
      <c r="AT277" s="3135"/>
      <c r="AU277" s="3134"/>
      <c r="AV277" s="3134"/>
      <c r="AW277" s="3136"/>
      <c r="AX277" s="3085">
        <f t="shared" si="483"/>
        <v>1000</v>
      </c>
      <c r="AY277" s="3080">
        <f t="shared" si="488"/>
        <v>1000</v>
      </c>
      <c r="AZ277" s="3080">
        <f t="shared" si="489"/>
        <v>1000</v>
      </c>
      <c r="BA277" s="3086">
        <f t="shared" si="490"/>
        <v>1000</v>
      </c>
      <c r="BB277" s="3087"/>
      <c r="BC277" s="3080"/>
      <c r="BD277" s="3080"/>
      <c r="BE277" s="3080"/>
      <c r="BF277" s="3080"/>
      <c r="BG277" s="3080"/>
      <c r="BH277" s="3080"/>
      <c r="BI277" s="3080"/>
      <c r="BJ277" s="3080">
        <f t="shared" si="479"/>
        <v>4000</v>
      </c>
      <c r="BK277" s="3080"/>
      <c r="BL277" s="3080" t="s">
        <v>9164</v>
      </c>
      <c r="BM277" s="3134"/>
      <c r="BN277" s="3080">
        <f t="shared" si="445"/>
        <v>1000</v>
      </c>
      <c r="BO277" s="3080">
        <f t="shared" si="446"/>
        <v>1000</v>
      </c>
      <c r="BP277" s="3080">
        <f t="shared" si="447"/>
        <v>1000</v>
      </c>
      <c r="BQ277" s="3088">
        <f t="shared" si="448"/>
        <v>1000</v>
      </c>
      <c r="BR277" s="3080">
        <f t="shared" si="432"/>
        <v>0</v>
      </c>
      <c r="BS277" s="3088"/>
      <c r="BT277" s="3088"/>
      <c r="BU277" s="3088"/>
      <c r="BV277" s="3088"/>
      <c r="BW277" s="3088"/>
      <c r="BX277" s="3088"/>
    </row>
    <row r="278" s="3031" customFormat="1" ht="32" customHeight="1" spans="1:76">
      <c r="A278" s="3063">
        <v>45996</v>
      </c>
      <c r="B278" s="3064" t="s">
        <v>2914</v>
      </c>
      <c r="C278" s="3065" t="s">
        <v>341</v>
      </c>
      <c r="D278" s="3066">
        <v>4500188247</v>
      </c>
      <c r="E278" s="3091" t="s">
        <v>5519</v>
      </c>
      <c r="F278" s="3066" t="s">
        <v>9932</v>
      </c>
      <c r="G278" s="3098" t="s">
        <v>9154</v>
      </c>
      <c r="H278" s="3069" t="s">
        <v>9155</v>
      </c>
      <c r="I278" s="2969">
        <v>2560</v>
      </c>
      <c r="J278" s="2969">
        <v>0</v>
      </c>
      <c r="K278" s="2969">
        <v>8</v>
      </c>
      <c r="L278" s="2969">
        <f t="shared" si="481"/>
        <v>320</v>
      </c>
      <c r="M278" s="3070">
        <v>46057</v>
      </c>
      <c r="N278" s="3207">
        <v>46053</v>
      </c>
      <c r="O278" s="2996"/>
      <c r="P278" s="2996" t="s">
        <v>82</v>
      </c>
      <c r="Q278" s="3208">
        <v>2560</v>
      </c>
      <c r="R278" s="3210">
        <f t="shared" si="487"/>
        <v>0</v>
      </c>
      <c r="S278" s="3071"/>
      <c r="T278" s="3071"/>
      <c r="U278" s="3072" t="s">
        <v>153</v>
      </c>
      <c r="V278" s="2996"/>
      <c r="W278" s="3069" t="s">
        <v>5521</v>
      </c>
      <c r="X278" s="3073"/>
      <c r="Y278" s="3073" t="s">
        <v>5168</v>
      </c>
      <c r="Z278" s="3073"/>
      <c r="AA278" s="3073"/>
      <c r="AB278" s="3091" t="s">
        <v>9931</v>
      </c>
      <c r="AC278" s="2969" t="s">
        <v>5106</v>
      </c>
      <c r="AD278" s="3075">
        <v>4.1486</v>
      </c>
      <c r="AE278" s="3076">
        <f t="shared" si="491"/>
        <v>10620.416</v>
      </c>
      <c r="AF278" s="2969"/>
      <c r="AG278" s="2969" t="s">
        <v>9154</v>
      </c>
      <c r="AH278" s="2969" t="s">
        <v>416</v>
      </c>
      <c r="AI278" s="3162"/>
      <c r="AJ278" s="3078">
        <f t="shared" si="492"/>
        <v>2560</v>
      </c>
      <c r="AK278" s="3133"/>
      <c r="AL278" s="3078"/>
      <c r="AM278" s="3133"/>
      <c r="AN278" s="3078"/>
      <c r="AO278" s="3134"/>
      <c r="AP278" s="3080">
        <f t="shared" si="482"/>
        <v>2560</v>
      </c>
      <c r="AQ278" s="3080"/>
      <c r="AR278" s="3080"/>
      <c r="AS278" s="3081"/>
      <c r="AT278" s="3135"/>
      <c r="AU278" s="3134"/>
      <c r="AV278" s="3134"/>
      <c r="AW278" s="3136"/>
      <c r="AX278" s="3085">
        <f t="shared" si="483"/>
        <v>640</v>
      </c>
      <c r="AY278" s="3080">
        <f t="shared" si="488"/>
        <v>640</v>
      </c>
      <c r="AZ278" s="3080">
        <f t="shared" si="489"/>
        <v>640</v>
      </c>
      <c r="BA278" s="3086">
        <f t="shared" si="490"/>
        <v>640</v>
      </c>
      <c r="BB278" s="3087"/>
      <c r="BC278" s="3080"/>
      <c r="BD278" s="3080"/>
      <c r="BE278" s="3080"/>
      <c r="BF278" s="3080"/>
      <c r="BG278" s="3080"/>
      <c r="BH278" s="3080"/>
      <c r="BI278" s="3080"/>
      <c r="BJ278" s="3080">
        <f t="shared" si="479"/>
        <v>2560</v>
      </c>
      <c r="BK278" s="3080"/>
      <c r="BL278" s="3080" t="s">
        <v>9164</v>
      </c>
      <c r="BM278" s="3134"/>
      <c r="BN278" s="3080">
        <f t="shared" si="445"/>
        <v>640</v>
      </c>
      <c r="BO278" s="3080">
        <f t="shared" si="446"/>
        <v>640</v>
      </c>
      <c r="BP278" s="3080">
        <f t="shared" si="447"/>
        <v>640</v>
      </c>
      <c r="BQ278" s="3088">
        <f t="shared" si="448"/>
        <v>640</v>
      </c>
      <c r="BR278" s="3080">
        <f t="shared" si="432"/>
        <v>0</v>
      </c>
      <c r="BS278" s="3088"/>
      <c r="BT278" s="3088"/>
      <c r="BU278" s="3088"/>
      <c r="BV278" s="3088"/>
      <c r="BW278" s="3088"/>
      <c r="BX278" s="3088"/>
    </row>
    <row r="279" s="3031" customFormat="1" ht="32" customHeight="1" spans="1:76">
      <c r="A279" s="3063">
        <v>46014</v>
      </c>
      <c r="B279" s="3064" t="s">
        <v>1596</v>
      </c>
      <c r="C279" s="3065" t="s">
        <v>1430</v>
      </c>
      <c r="D279" s="3066">
        <v>4500188307</v>
      </c>
      <c r="E279" s="3091"/>
      <c r="F279" s="3066" t="s">
        <v>9933</v>
      </c>
      <c r="G279" s="3098" t="s">
        <v>9154</v>
      </c>
      <c r="H279" s="3069" t="s">
        <v>9155</v>
      </c>
      <c r="I279" s="2969">
        <v>120</v>
      </c>
      <c r="J279" s="2969">
        <v>0</v>
      </c>
      <c r="K279" s="2969">
        <v>8</v>
      </c>
      <c r="L279" s="2969">
        <f t="shared" si="481"/>
        <v>15</v>
      </c>
      <c r="M279" s="3070">
        <v>46052</v>
      </c>
      <c r="N279" s="3070">
        <v>46048</v>
      </c>
      <c r="O279" s="2996"/>
      <c r="P279" s="2996" t="s">
        <v>82</v>
      </c>
      <c r="Q279" s="3208">
        <v>120</v>
      </c>
      <c r="R279" s="3210">
        <f t="shared" si="487"/>
        <v>0</v>
      </c>
      <c r="S279" s="3071"/>
      <c r="T279" s="3071" t="s">
        <v>321</v>
      </c>
      <c r="U279" s="3072" t="s">
        <v>2362</v>
      </c>
      <c r="V279" s="2996"/>
      <c r="W279" s="3069" t="s">
        <v>2350</v>
      </c>
      <c r="X279" s="3073"/>
      <c r="Y279" s="3073" t="s">
        <v>98</v>
      </c>
      <c r="Z279" s="3073"/>
      <c r="AA279" s="3073"/>
      <c r="AB279" s="3091" t="s">
        <v>9934</v>
      </c>
      <c r="AC279" s="2969" t="s">
        <v>1434</v>
      </c>
      <c r="AD279" s="3075">
        <v>4.0874</v>
      </c>
      <c r="AE279" s="3076">
        <f t="shared" si="491"/>
        <v>490.488</v>
      </c>
      <c r="AF279" s="2969"/>
      <c r="AG279" s="2969" t="s">
        <v>9154</v>
      </c>
      <c r="AH279" s="2969" t="s">
        <v>416</v>
      </c>
      <c r="AI279" s="3162"/>
      <c r="AJ279" s="3078">
        <f t="shared" si="492"/>
        <v>120</v>
      </c>
      <c r="AK279" s="3133"/>
      <c r="AL279" s="3078"/>
      <c r="AM279" s="3133"/>
      <c r="AN279" s="3078"/>
      <c r="AO279" s="3134"/>
      <c r="AP279" s="3080">
        <f t="shared" si="482"/>
        <v>120</v>
      </c>
      <c r="AQ279" s="3080"/>
      <c r="AR279" s="3080"/>
      <c r="AS279" s="3081"/>
      <c r="AT279" s="3135"/>
      <c r="AU279" s="3134"/>
      <c r="AV279" s="3134"/>
      <c r="AW279" s="3136"/>
      <c r="AX279" s="3085">
        <f t="shared" si="483"/>
        <v>30</v>
      </c>
      <c r="AY279" s="3080">
        <f t="shared" si="488"/>
        <v>30</v>
      </c>
      <c r="AZ279" s="3080">
        <f t="shared" si="489"/>
        <v>30</v>
      </c>
      <c r="BA279" s="3086">
        <f t="shared" si="490"/>
        <v>30</v>
      </c>
      <c r="BB279" s="3087"/>
      <c r="BC279" s="3080"/>
      <c r="BD279" s="3080"/>
      <c r="BE279" s="3080"/>
      <c r="BF279" s="3080"/>
      <c r="BG279" s="3080"/>
      <c r="BH279" s="3080"/>
      <c r="BI279" s="3080"/>
      <c r="BJ279" s="3080">
        <f t="shared" si="479"/>
        <v>120</v>
      </c>
      <c r="BK279" s="3080"/>
      <c r="BL279" s="3080" t="s">
        <v>9164</v>
      </c>
      <c r="BM279" s="3134"/>
      <c r="BN279" s="3080">
        <f t="shared" si="445"/>
        <v>30</v>
      </c>
      <c r="BO279" s="3080">
        <f t="shared" si="446"/>
        <v>30</v>
      </c>
      <c r="BP279" s="3080">
        <f t="shared" si="447"/>
        <v>30</v>
      </c>
      <c r="BQ279" s="3088">
        <f t="shared" si="448"/>
        <v>30</v>
      </c>
      <c r="BR279" s="3080">
        <f t="shared" si="432"/>
        <v>0</v>
      </c>
      <c r="BS279" s="3088"/>
      <c r="BT279" s="3088"/>
      <c r="BU279" s="3088"/>
      <c r="BV279" s="3088"/>
      <c r="BW279" s="3088"/>
      <c r="BX279" s="3088"/>
    </row>
    <row r="280" s="3031" customFormat="1" ht="32" customHeight="1" spans="1:76">
      <c r="A280" s="3063">
        <v>46010</v>
      </c>
      <c r="B280" s="3064" t="s">
        <v>1477</v>
      </c>
      <c r="C280" s="3065" t="s">
        <v>351</v>
      </c>
      <c r="D280" s="3066">
        <v>4500189439</v>
      </c>
      <c r="E280" s="3091"/>
      <c r="F280" s="3066" t="s">
        <v>9935</v>
      </c>
      <c r="G280" s="3098" t="s">
        <v>9419</v>
      </c>
      <c r="H280" s="3069" t="s">
        <v>9100</v>
      </c>
      <c r="I280" s="2969">
        <v>520</v>
      </c>
      <c r="J280" s="2969">
        <v>0</v>
      </c>
      <c r="K280" s="2969">
        <v>8</v>
      </c>
      <c r="L280" s="2969">
        <f t="shared" si="481"/>
        <v>65</v>
      </c>
      <c r="M280" s="3070">
        <v>46055</v>
      </c>
      <c r="N280" s="3207">
        <v>46051</v>
      </c>
      <c r="O280" s="2996"/>
      <c r="P280" s="2996" t="s">
        <v>82</v>
      </c>
      <c r="Q280" s="3208">
        <v>520</v>
      </c>
      <c r="R280" s="3210">
        <f t="shared" si="487"/>
        <v>0</v>
      </c>
      <c r="S280" s="3211" t="s">
        <v>2297</v>
      </c>
      <c r="T280" s="3071" t="s">
        <v>321</v>
      </c>
      <c r="U280" s="3072" t="s">
        <v>2362</v>
      </c>
      <c r="V280" s="2996"/>
      <c r="W280" s="3069" t="s">
        <v>2363</v>
      </c>
      <c r="X280" s="3073"/>
      <c r="Y280" s="3073" t="s">
        <v>9936</v>
      </c>
      <c r="Z280" s="3073"/>
      <c r="AA280" s="3073"/>
      <c r="AB280" s="3091" t="s">
        <v>9937</v>
      </c>
      <c r="AC280" s="2969" t="s">
        <v>357</v>
      </c>
      <c r="AD280" s="3075">
        <v>4.0075</v>
      </c>
      <c r="AE280" s="3076">
        <f t="shared" si="491"/>
        <v>2083.9</v>
      </c>
      <c r="AF280" s="2969"/>
      <c r="AG280" s="2969" t="s">
        <v>9419</v>
      </c>
      <c r="AH280" s="2969" t="s">
        <v>416</v>
      </c>
      <c r="AI280" s="3162"/>
      <c r="AJ280" s="3078">
        <f t="shared" si="492"/>
        <v>520</v>
      </c>
      <c r="AK280" s="3133"/>
      <c r="AL280" s="3078"/>
      <c r="AM280" s="3133"/>
      <c r="AN280" s="3078"/>
      <c r="AO280" s="3134"/>
      <c r="AP280" s="3080">
        <f t="shared" si="482"/>
        <v>520</v>
      </c>
      <c r="AQ280" s="3080"/>
      <c r="AR280" s="3080"/>
      <c r="AS280" s="3081"/>
      <c r="AT280" s="3135"/>
      <c r="AU280" s="3134"/>
      <c r="AV280" s="3134"/>
      <c r="AW280" s="3136"/>
      <c r="AX280" s="3085"/>
      <c r="AY280" s="3080"/>
      <c r="AZ280" s="3080">
        <f>I280</f>
        <v>520</v>
      </c>
      <c r="BA280" s="3086"/>
      <c r="BB280" s="3087"/>
      <c r="BC280" s="3080"/>
      <c r="BD280" s="3080"/>
      <c r="BE280" s="3080"/>
      <c r="BF280" s="3080"/>
      <c r="BG280" s="3080"/>
      <c r="BH280" s="3080"/>
      <c r="BI280" s="3080"/>
      <c r="BJ280" s="3080">
        <f t="shared" si="479"/>
        <v>520</v>
      </c>
      <c r="BK280" s="3080"/>
      <c r="BL280" s="3080" t="s">
        <v>9164</v>
      </c>
      <c r="BM280" s="3134"/>
      <c r="BN280" s="3080"/>
      <c r="BO280" s="3080"/>
      <c r="BP280" s="3080">
        <f>I280</f>
        <v>520</v>
      </c>
      <c r="BQ280" s="3088"/>
      <c r="BR280" s="3080">
        <f t="shared" si="432"/>
        <v>0</v>
      </c>
      <c r="BS280" s="3088"/>
      <c r="BT280" s="3088"/>
      <c r="BU280" s="3088"/>
      <c r="BV280" s="3088"/>
      <c r="BW280" s="3088"/>
      <c r="BX280" s="3088"/>
    </row>
    <row r="281" s="3031" customFormat="1" ht="32" customHeight="1" spans="1:76">
      <c r="A281" s="3063">
        <v>46010</v>
      </c>
      <c r="B281" s="3064" t="s">
        <v>1477</v>
      </c>
      <c r="C281" s="3065" t="s">
        <v>351</v>
      </c>
      <c r="D281" s="3066">
        <v>4500189439</v>
      </c>
      <c r="E281" s="3091"/>
      <c r="F281" s="3066" t="s">
        <v>9938</v>
      </c>
      <c r="G281" s="3098" t="s">
        <v>9255</v>
      </c>
      <c r="H281" s="3069" t="s">
        <v>9098</v>
      </c>
      <c r="I281" s="2969">
        <v>520</v>
      </c>
      <c r="J281" s="2969">
        <v>0</v>
      </c>
      <c r="K281" s="2969">
        <v>8</v>
      </c>
      <c r="L281" s="2969">
        <f t="shared" si="481"/>
        <v>65</v>
      </c>
      <c r="M281" s="3070">
        <v>46055</v>
      </c>
      <c r="N281" s="3207">
        <v>46051</v>
      </c>
      <c r="O281" s="2996"/>
      <c r="P281" s="2996" t="s">
        <v>82</v>
      </c>
      <c r="Q281" s="3208">
        <v>520</v>
      </c>
      <c r="R281" s="3210">
        <f t="shared" si="487"/>
        <v>0</v>
      </c>
      <c r="S281" s="3212"/>
      <c r="T281" s="3071" t="s">
        <v>321</v>
      </c>
      <c r="U281" s="3072" t="s">
        <v>2362</v>
      </c>
      <c r="V281" s="2996"/>
      <c r="W281" s="3069" t="s">
        <v>2363</v>
      </c>
      <c r="X281" s="3073"/>
      <c r="Y281" s="3073" t="s">
        <v>9936</v>
      </c>
      <c r="Z281" s="3073"/>
      <c r="AA281" s="3073"/>
      <c r="AB281" s="3091" t="s">
        <v>9939</v>
      </c>
      <c r="AC281" s="2969" t="s">
        <v>357</v>
      </c>
      <c r="AD281" s="3075">
        <v>4.0075</v>
      </c>
      <c r="AE281" s="3076">
        <f t="shared" si="491"/>
        <v>2083.9</v>
      </c>
      <c r="AF281" s="2969"/>
      <c r="AG281" s="2969" t="s">
        <v>9255</v>
      </c>
      <c r="AH281" s="2969" t="s">
        <v>416</v>
      </c>
      <c r="AI281" s="3162"/>
      <c r="AJ281" s="3078">
        <f t="shared" si="492"/>
        <v>520</v>
      </c>
      <c r="AK281" s="3133"/>
      <c r="AL281" s="3078"/>
      <c r="AM281" s="3133"/>
      <c r="AN281" s="3078"/>
      <c r="AO281" s="3134"/>
      <c r="AP281" s="3080">
        <f t="shared" si="482"/>
        <v>520</v>
      </c>
      <c r="AQ281" s="3080"/>
      <c r="AR281" s="3080"/>
      <c r="AS281" s="3081"/>
      <c r="AT281" s="3135"/>
      <c r="AU281" s="3134"/>
      <c r="AV281" s="3134"/>
      <c r="AW281" s="3136"/>
      <c r="AX281" s="3085">
        <f>I281</f>
        <v>520</v>
      </c>
      <c r="AY281" s="3080"/>
      <c r="AZ281" s="3080"/>
      <c r="BA281" s="3086"/>
      <c r="BB281" s="3087"/>
      <c r="BC281" s="3080"/>
      <c r="BD281" s="3080"/>
      <c r="BE281" s="3080"/>
      <c r="BF281" s="3080"/>
      <c r="BG281" s="3080"/>
      <c r="BH281" s="3080"/>
      <c r="BI281" s="3080"/>
      <c r="BJ281" s="3080">
        <f t="shared" si="479"/>
        <v>520</v>
      </c>
      <c r="BK281" s="3080"/>
      <c r="BL281" s="3080" t="s">
        <v>9164</v>
      </c>
      <c r="BM281" s="3134"/>
      <c r="BN281" s="3080">
        <f>I281</f>
        <v>520</v>
      </c>
      <c r="BO281" s="3080"/>
      <c r="BP281" s="3080"/>
      <c r="BQ281" s="3088"/>
      <c r="BR281" s="3080">
        <f t="shared" si="432"/>
        <v>0</v>
      </c>
      <c r="BS281" s="3088"/>
      <c r="BT281" s="3088"/>
      <c r="BU281" s="3088"/>
      <c r="BV281" s="3088"/>
      <c r="BW281" s="3088"/>
      <c r="BX281" s="3088"/>
    </row>
    <row r="282" s="3031" customFormat="1" ht="32" customHeight="1" spans="1:76">
      <c r="A282" s="3063">
        <v>46010</v>
      </c>
      <c r="B282" s="3064" t="s">
        <v>1477</v>
      </c>
      <c r="C282" s="3065" t="s">
        <v>351</v>
      </c>
      <c r="D282" s="3066">
        <v>4500189439</v>
      </c>
      <c r="E282" s="3091"/>
      <c r="F282" s="3066" t="s">
        <v>9940</v>
      </c>
      <c r="G282" s="3098" t="s">
        <v>9431</v>
      </c>
      <c r="H282" s="3069" t="s">
        <v>9099</v>
      </c>
      <c r="I282" s="2969">
        <v>520</v>
      </c>
      <c r="J282" s="2969">
        <v>0</v>
      </c>
      <c r="K282" s="2969">
        <v>8</v>
      </c>
      <c r="L282" s="2969">
        <f t="shared" si="481"/>
        <v>65</v>
      </c>
      <c r="M282" s="3070">
        <v>46055</v>
      </c>
      <c r="N282" s="3207">
        <v>46051</v>
      </c>
      <c r="O282" s="2996"/>
      <c r="P282" s="2996" t="s">
        <v>82</v>
      </c>
      <c r="Q282" s="3208">
        <v>520</v>
      </c>
      <c r="R282" s="3210">
        <f t="shared" si="487"/>
        <v>0</v>
      </c>
      <c r="S282" s="3213"/>
      <c r="T282" s="3071" t="s">
        <v>321</v>
      </c>
      <c r="U282" s="3072" t="s">
        <v>2362</v>
      </c>
      <c r="V282" s="2996"/>
      <c r="W282" s="3069" t="s">
        <v>2363</v>
      </c>
      <c r="X282" s="3073"/>
      <c r="Y282" s="3073" t="s">
        <v>9936</v>
      </c>
      <c r="Z282" s="3073"/>
      <c r="AA282" s="3073"/>
      <c r="AB282" s="3091" t="s">
        <v>9941</v>
      </c>
      <c r="AC282" s="2969" t="s">
        <v>357</v>
      </c>
      <c r="AD282" s="3075">
        <v>4.0075</v>
      </c>
      <c r="AE282" s="3076">
        <f t="shared" si="491"/>
        <v>2083.9</v>
      </c>
      <c r="AF282" s="2969"/>
      <c r="AG282" s="2969" t="s">
        <v>9431</v>
      </c>
      <c r="AH282" s="2969" t="s">
        <v>416</v>
      </c>
      <c r="AI282" s="3162"/>
      <c r="AJ282" s="3078">
        <f t="shared" si="492"/>
        <v>520</v>
      </c>
      <c r="AK282" s="3133"/>
      <c r="AL282" s="3078"/>
      <c r="AM282" s="3133"/>
      <c r="AN282" s="3078"/>
      <c r="AO282" s="3134"/>
      <c r="AP282" s="3080">
        <f t="shared" si="482"/>
        <v>520</v>
      </c>
      <c r="AQ282" s="3080"/>
      <c r="AR282" s="3080"/>
      <c r="AS282" s="3081"/>
      <c r="AT282" s="3135"/>
      <c r="AU282" s="3134"/>
      <c r="AV282" s="3134"/>
      <c r="AW282" s="3136"/>
      <c r="AX282" s="3085"/>
      <c r="AY282" s="3080">
        <f>I282</f>
        <v>520</v>
      </c>
      <c r="AZ282" s="3080"/>
      <c r="BA282" s="3086"/>
      <c r="BB282" s="3087"/>
      <c r="BC282" s="3080"/>
      <c r="BD282" s="3080"/>
      <c r="BE282" s="3080"/>
      <c r="BF282" s="3080"/>
      <c r="BG282" s="3080"/>
      <c r="BH282" s="3080"/>
      <c r="BI282" s="3080"/>
      <c r="BJ282" s="3080">
        <f t="shared" si="479"/>
        <v>520</v>
      </c>
      <c r="BK282" s="3080"/>
      <c r="BL282" s="3080" t="s">
        <v>9164</v>
      </c>
      <c r="BM282" s="3134"/>
      <c r="BN282" s="3080"/>
      <c r="BO282" s="3080">
        <f>I282</f>
        <v>520</v>
      </c>
      <c r="BP282" s="3080"/>
      <c r="BQ282" s="3088"/>
      <c r="BR282" s="3080">
        <f t="shared" si="432"/>
        <v>0</v>
      </c>
      <c r="BS282" s="3088"/>
      <c r="BT282" s="3088"/>
      <c r="BU282" s="3088"/>
      <c r="BV282" s="3088"/>
      <c r="BW282" s="3088"/>
      <c r="BX282" s="3088"/>
    </row>
    <row r="283" s="3031" customFormat="1" ht="32" customHeight="1" spans="1:76">
      <c r="A283" s="3063">
        <v>45995</v>
      </c>
      <c r="B283" s="3064" t="s">
        <v>1617</v>
      </c>
      <c r="C283" s="3065" t="s">
        <v>91</v>
      </c>
      <c r="D283" s="3066">
        <v>4500187747</v>
      </c>
      <c r="E283" s="3091">
        <v>70079745</v>
      </c>
      <c r="F283" s="3066" t="s">
        <v>9942</v>
      </c>
      <c r="G283" s="3098" t="s">
        <v>9154</v>
      </c>
      <c r="H283" s="3069" t="s">
        <v>9155</v>
      </c>
      <c r="I283" s="2969">
        <v>360</v>
      </c>
      <c r="J283" s="2969">
        <v>0</v>
      </c>
      <c r="K283" s="2969">
        <v>8</v>
      </c>
      <c r="L283" s="2969">
        <f t="shared" si="481"/>
        <v>45</v>
      </c>
      <c r="M283" s="3070">
        <v>46073</v>
      </c>
      <c r="N283" s="3207">
        <v>46069</v>
      </c>
      <c r="O283" s="2996"/>
      <c r="P283" s="2996" t="s">
        <v>82</v>
      </c>
      <c r="Q283" s="3208">
        <v>360</v>
      </c>
      <c r="R283" s="3210">
        <f t="shared" si="487"/>
        <v>0</v>
      </c>
      <c r="S283" s="3071" t="s">
        <v>2297</v>
      </c>
      <c r="T283" s="3071" t="s">
        <v>321</v>
      </c>
      <c r="U283" s="3072" t="s">
        <v>2392</v>
      </c>
      <c r="V283" s="2996"/>
      <c r="W283" s="3214" t="s">
        <v>2370</v>
      </c>
      <c r="X283" s="3073"/>
      <c r="Y283" s="3073" t="s">
        <v>98</v>
      </c>
      <c r="Z283" s="3073" t="s">
        <v>9943</v>
      </c>
      <c r="AA283" s="3073"/>
      <c r="AB283" s="3091" t="s">
        <v>9944</v>
      </c>
      <c r="AC283" s="2969" t="s">
        <v>9895</v>
      </c>
      <c r="AD283" s="3075">
        <v>2.5025</v>
      </c>
      <c r="AE283" s="3076">
        <f t="shared" si="491"/>
        <v>900.9</v>
      </c>
      <c r="AF283" s="2969"/>
      <c r="AG283" s="2969" t="s">
        <v>9154</v>
      </c>
      <c r="AH283" s="2969" t="s">
        <v>416</v>
      </c>
      <c r="AI283" s="3162"/>
      <c r="AJ283" s="3078">
        <f t="shared" si="492"/>
        <v>360</v>
      </c>
      <c r="AK283" s="3133"/>
      <c r="AL283" s="3078"/>
      <c r="AM283" s="3133"/>
      <c r="AN283" s="3078"/>
      <c r="AO283" s="3134"/>
      <c r="AP283" s="3080">
        <f t="shared" si="482"/>
        <v>360</v>
      </c>
      <c r="AQ283" s="3080"/>
      <c r="AR283" s="3080"/>
      <c r="AS283" s="3081"/>
      <c r="AT283" s="3135"/>
      <c r="AU283" s="3134"/>
      <c r="AV283" s="3134"/>
      <c r="AW283" s="3136"/>
      <c r="AX283" s="3085">
        <f t="shared" ref="AX283:AX291" si="493">I283/4</f>
        <v>90</v>
      </c>
      <c r="AY283" s="3080">
        <f t="shared" ref="AY283:AY291" si="494">I283/4</f>
        <v>90</v>
      </c>
      <c r="AZ283" s="3080">
        <f t="shared" ref="AZ283:AZ291" si="495">I283/4</f>
        <v>90</v>
      </c>
      <c r="BA283" s="3086">
        <f t="shared" ref="BA283:BA291" si="496">I283/4</f>
        <v>90</v>
      </c>
      <c r="BB283" s="3087"/>
      <c r="BC283" s="3080"/>
      <c r="BD283" s="3080"/>
      <c r="BE283" s="3080"/>
      <c r="BF283" s="3080"/>
      <c r="BG283" s="3080"/>
      <c r="BH283" s="3080"/>
      <c r="BI283" s="3080"/>
      <c r="BJ283" s="3080">
        <f t="shared" si="479"/>
        <v>360</v>
      </c>
      <c r="BK283" s="3080"/>
      <c r="BL283" s="3080" t="s">
        <v>9164</v>
      </c>
      <c r="BM283" s="3134"/>
      <c r="BN283" s="3080">
        <f t="shared" ref="BN283:BN291" si="497">I283/4</f>
        <v>90</v>
      </c>
      <c r="BO283" s="3080">
        <f t="shared" ref="BO283:BO291" si="498">I283/4</f>
        <v>90</v>
      </c>
      <c r="BP283" s="3080">
        <f t="shared" ref="BP283:BP291" si="499">I283/4</f>
        <v>90</v>
      </c>
      <c r="BQ283" s="3088">
        <f t="shared" ref="BQ283:BQ291" si="500">I283/4</f>
        <v>90</v>
      </c>
      <c r="BR283" s="3080">
        <f t="shared" si="432"/>
        <v>0</v>
      </c>
      <c r="BS283" s="3088"/>
      <c r="BT283" s="3088"/>
      <c r="BU283" s="3088"/>
      <c r="BV283" s="3088"/>
      <c r="BW283" s="3088"/>
      <c r="BX283" s="3088"/>
    </row>
    <row r="284" s="3031" customFormat="1" ht="32" customHeight="1" spans="1:76">
      <c r="A284" s="3063">
        <v>45993</v>
      </c>
      <c r="B284" s="3064" t="s">
        <v>9919</v>
      </c>
      <c r="C284" s="3065" t="s">
        <v>2776</v>
      </c>
      <c r="D284" s="3066">
        <v>4500187691</v>
      </c>
      <c r="E284" s="3091" t="s">
        <v>9945</v>
      </c>
      <c r="F284" s="3066" t="s">
        <v>9946</v>
      </c>
      <c r="G284" s="3098" t="s">
        <v>9154</v>
      </c>
      <c r="H284" s="3069" t="s">
        <v>9155</v>
      </c>
      <c r="I284" s="2969">
        <v>2504</v>
      </c>
      <c r="J284" s="2969">
        <v>0</v>
      </c>
      <c r="K284" s="2969">
        <v>8</v>
      </c>
      <c r="L284" s="2969">
        <f t="shared" si="481"/>
        <v>313</v>
      </c>
      <c r="M284" s="3070">
        <v>46132</v>
      </c>
      <c r="N284" s="3207">
        <v>46128</v>
      </c>
      <c r="O284" s="2996"/>
      <c r="P284" s="2996" t="s">
        <v>82</v>
      </c>
      <c r="Q284" s="3208">
        <v>2504</v>
      </c>
      <c r="R284" s="3210">
        <f t="shared" si="487"/>
        <v>0</v>
      </c>
      <c r="S284" s="3071" t="s">
        <v>2297</v>
      </c>
      <c r="T284" s="3071" t="s">
        <v>321</v>
      </c>
      <c r="U284" s="3072"/>
      <c r="V284" s="2996"/>
      <c r="W284" s="3069" t="s">
        <v>9947</v>
      </c>
      <c r="X284" s="3073"/>
      <c r="Y284" s="3073" t="s">
        <v>9948</v>
      </c>
      <c r="Z284" s="3073"/>
      <c r="AA284" s="3073"/>
      <c r="AB284" s="3091" t="s">
        <v>9949</v>
      </c>
      <c r="AC284" s="2969" t="s">
        <v>1434</v>
      </c>
      <c r="AD284" s="3075">
        <v>3.9964</v>
      </c>
      <c r="AE284" s="3076">
        <f t="shared" si="491"/>
        <v>10006.9856</v>
      </c>
      <c r="AF284" s="2969"/>
      <c r="AG284" s="2969" t="s">
        <v>9239</v>
      </c>
      <c r="AH284" s="2969" t="s">
        <v>416</v>
      </c>
      <c r="AI284" s="3162"/>
      <c r="AJ284" s="3078"/>
      <c r="AK284" s="3078"/>
      <c r="AL284" s="3078">
        <f t="shared" ref="AL284:AL290" si="501">I284</f>
        <v>2504</v>
      </c>
      <c r="AM284" s="3078"/>
      <c r="AN284" s="3078"/>
      <c r="AO284" s="3080"/>
      <c r="AP284" s="3080">
        <f t="shared" si="482"/>
        <v>2504</v>
      </c>
      <c r="AQ284" s="3080"/>
      <c r="AR284" s="3080"/>
      <c r="AS284" s="3081"/>
      <c r="AT284" s="3085"/>
      <c r="AU284" s="3080"/>
      <c r="AV284" s="3080"/>
      <c r="AW284" s="3086"/>
      <c r="AX284" s="3085">
        <f t="shared" si="493"/>
        <v>626</v>
      </c>
      <c r="AY284" s="3080">
        <f t="shared" si="494"/>
        <v>626</v>
      </c>
      <c r="AZ284" s="3080">
        <f t="shared" si="495"/>
        <v>626</v>
      </c>
      <c r="BA284" s="3086">
        <f t="shared" si="496"/>
        <v>626</v>
      </c>
      <c r="BB284" s="3087"/>
      <c r="BC284" s="3080"/>
      <c r="BD284" s="3080"/>
      <c r="BE284" s="3080"/>
      <c r="BF284" s="3080"/>
      <c r="BG284" s="3080"/>
      <c r="BH284" s="3080"/>
      <c r="BI284" s="3080"/>
      <c r="BJ284" s="3080">
        <f t="shared" si="479"/>
        <v>2504</v>
      </c>
      <c r="BK284" s="3080"/>
      <c r="BL284" s="3080" t="s">
        <v>9164</v>
      </c>
      <c r="BM284" s="3080"/>
      <c r="BN284" s="3080">
        <f t="shared" si="497"/>
        <v>626</v>
      </c>
      <c r="BO284" s="3080">
        <f t="shared" si="498"/>
        <v>626</v>
      </c>
      <c r="BP284" s="3080">
        <f t="shared" si="499"/>
        <v>626</v>
      </c>
      <c r="BQ284" s="3088">
        <f t="shared" si="500"/>
        <v>626</v>
      </c>
      <c r="BR284" s="3080">
        <f t="shared" si="432"/>
        <v>0</v>
      </c>
      <c r="BS284" s="3088"/>
      <c r="BT284" s="3088"/>
      <c r="BU284" s="3088"/>
      <c r="BV284" s="3088"/>
      <c r="BW284" s="3088"/>
      <c r="BX284" s="3088"/>
    </row>
    <row r="285" s="3031" customFormat="1" ht="32" customHeight="1" spans="1:76">
      <c r="A285" s="3063">
        <v>46079</v>
      </c>
      <c r="B285" s="3064" t="s">
        <v>1206</v>
      </c>
      <c r="C285" s="3065" t="s">
        <v>351</v>
      </c>
      <c r="D285" s="3066">
        <v>4500194261</v>
      </c>
      <c r="E285" s="3091"/>
      <c r="F285" s="3066" t="s">
        <v>9950</v>
      </c>
      <c r="G285" s="3098" t="s">
        <v>9419</v>
      </c>
      <c r="H285" s="3069" t="s">
        <v>9100</v>
      </c>
      <c r="I285" s="2969">
        <v>256</v>
      </c>
      <c r="J285" s="2969">
        <v>0</v>
      </c>
      <c r="K285" s="2969">
        <v>8</v>
      </c>
      <c r="L285" s="2969">
        <f t="shared" si="481"/>
        <v>32</v>
      </c>
      <c r="M285" s="3070">
        <v>46132</v>
      </c>
      <c r="N285" s="3207">
        <v>46128</v>
      </c>
      <c r="O285" s="2996"/>
      <c r="P285" s="2996" t="s">
        <v>82</v>
      </c>
      <c r="Q285" s="3208">
        <v>256</v>
      </c>
      <c r="R285" s="3210">
        <f t="shared" si="487"/>
        <v>0</v>
      </c>
      <c r="S285" s="3071" t="s">
        <v>2297</v>
      </c>
      <c r="T285" s="3071" t="s">
        <v>321</v>
      </c>
      <c r="U285" s="3072" t="s">
        <v>1115</v>
      </c>
      <c r="V285" s="2996"/>
      <c r="W285" s="3069" t="s">
        <v>999</v>
      </c>
      <c r="X285" s="3073"/>
      <c r="Y285" s="3073" t="s">
        <v>9951</v>
      </c>
      <c r="Z285" s="3073"/>
      <c r="AA285" s="3073"/>
      <c r="AB285" s="3091" t="s">
        <v>9952</v>
      </c>
      <c r="AC285" s="2969" t="s">
        <v>1199</v>
      </c>
      <c r="AD285" s="3075">
        <v>4.1708</v>
      </c>
      <c r="AE285" s="3076">
        <f t="shared" si="491"/>
        <v>1067.7248</v>
      </c>
      <c r="AF285" s="2969"/>
      <c r="AG285" s="2969" t="s">
        <v>9419</v>
      </c>
      <c r="AH285" s="2969" t="s">
        <v>416</v>
      </c>
      <c r="AI285" s="3162"/>
      <c r="AJ285" s="3078">
        <f t="shared" ref="AJ285:AJ287" si="502">I285</f>
        <v>256</v>
      </c>
      <c r="AK285" s="3133"/>
      <c r="AL285" s="3078"/>
      <c r="AM285" s="3133"/>
      <c r="AN285" s="3078"/>
      <c r="AO285" s="3134"/>
      <c r="AP285" s="3080">
        <f t="shared" si="482"/>
        <v>256</v>
      </c>
      <c r="AQ285" s="3080"/>
      <c r="AR285" s="3080"/>
      <c r="AS285" s="3081"/>
      <c r="AT285" s="3135"/>
      <c r="AU285" s="3134"/>
      <c r="AV285" s="3134"/>
      <c r="AW285" s="3136"/>
      <c r="AX285" s="3085"/>
      <c r="AY285" s="3080"/>
      <c r="AZ285" s="3080">
        <f>I285</f>
        <v>256</v>
      </c>
      <c r="BA285" s="3086"/>
      <c r="BB285" s="3087"/>
      <c r="BC285" s="3080"/>
      <c r="BD285" s="3080"/>
      <c r="BE285" s="3080"/>
      <c r="BF285" s="3080"/>
      <c r="BG285" s="3080"/>
      <c r="BH285" s="3080"/>
      <c r="BI285" s="3080"/>
      <c r="BJ285" s="3080">
        <f t="shared" si="479"/>
        <v>256</v>
      </c>
      <c r="BK285" s="3080"/>
      <c r="BL285" s="3080" t="s">
        <v>9164</v>
      </c>
      <c r="BM285" s="3134"/>
      <c r="BN285" s="3080"/>
      <c r="BO285" s="3080"/>
      <c r="BP285" s="3080">
        <f>I285</f>
        <v>256</v>
      </c>
      <c r="BQ285" s="3088"/>
      <c r="BR285" s="3080">
        <f t="shared" si="432"/>
        <v>0</v>
      </c>
      <c r="BS285" s="3088"/>
      <c r="BT285" s="3088"/>
      <c r="BU285" s="3088"/>
      <c r="BV285" s="3088"/>
      <c r="BW285" s="3088"/>
      <c r="BX285" s="3088"/>
    </row>
    <row r="286" s="3031" customFormat="1" ht="32" customHeight="1" spans="1:76">
      <c r="A286" s="3063">
        <v>46079</v>
      </c>
      <c r="B286" s="3064" t="s">
        <v>1206</v>
      </c>
      <c r="C286" s="3065" t="s">
        <v>351</v>
      </c>
      <c r="D286" s="3066">
        <v>4500194261</v>
      </c>
      <c r="E286" s="3091"/>
      <c r="F286" s="3066" t="s">
        <v>9953</v>
      </c>
      <c r="G286" s="3098" t="s">
        <v>9255</v>
      </c>
      <c r="H286" s="3069" t="s">
        <v>9098</v>
      </c>
      <c r="I286" s="2969">
        <v>256</v>
      </c>
      <c r="J286" s="2969">
        <v>0</v>
      </c>
      <c r="K286" s="2969">
        <v>8</v>
      </c>
      <c r="L286" s="2969">
        <f t="shared" si="481"/>
        <v>32</v>
      </c>
      <c r="M286" s="3070">
        <v>46132</v>
      </c>
      <c r="N286" s="3207">
        <v>46128</v>
      </c>
      <c r="O286" s="2996"/>
      <c r="P286" s="2996" t="s">
        <v>82</v>
      </c>
      <c r="Q286" s="3208">
        <v>256</v>
      </c>
      <c r="R286" s="3210">
        <f t="shared" si="487"/>
        <v>0</v>
      </c>
      <c r="S286" s="3071" t="s">
        <v>2297</v>
      </c>
      <c r="T286" s="3071" t="s">
        <v>321</v>
      </c>
      <c r="U286" s="3072" t="s">
        <v>1115</v>
      </c>
      <c r="V286" s="2996"/>
      <c r="W286" s="3069" t="s">
        <v>999</v>
      </c>
      <c r="X286" s="3073"/>
      <c r="Y286" s="3073" t="s">
        <v>9951</v>
      </c>
      <c r="Z286" s="3073"/>
      <c r="AA286" s="3073"/>
      <c r="AB286" s="3091" t="s">
        <v>9952</v>
      </c>
      <c r="AC286" s="2969" t="s">
        <v>1199</v>
      </c>
      <c r="AD286" s="3075">
        <v>4.1708</v>
      </c>
      <c r="AE286" s="3076">
        <f t="shared" si="491"/>
        <v>1067.7248</v>
      </c>
      <c r="AF286" s="2969"/>
      <c r="AG286" s="2969" t="s">
        <v>9255</v>
      </c>
      <c r="AH286" s="2969" t="s">
        <v>416</v>
      </c>
      <c r="AI286" s="3162"/>
      <c r="AJ286" s="3078">
        <f t="shared" si="502"/>
        <v>256</v>
      </c>
      <c r="AK286" s="3133"/>
      <c r="AL286" s="3078"/>
      <c r="AM286" s="3133"/>
      <c r="AN286" s="3078"/>
      <c r="AO286" s="3134"/>
      <c r="AP286" s="3080">
        <f t="shared" si="482"/>
        <v>256</v>
      </c>
      <c r="AQ286" s="3080"/>
      <c r="AR286" s="3080"/>
      <c r="AS286" s="3081"/>
      <c r="AT286" s="3135"/>
      <c r="AU286" s="3134"/>
      <c r="AV286" s="3134"/>
      <c r="AW286" s="3136"/>
      <c r="AX286" s="3085">
        <f>I286</f>
        <v>256</v>
      </c>
      <c r="AY286" s="3080"/>
      <c r="AZ286" s="3080"/>
      <c r="BA286" s="3086"/>
      <c r="BB286" s="3087"/>
      <c r="BC286" s="3080"/>
      <c r="BD286" s="3080"/>
      <c r="BE286" s="3080"/>
      <c r="BF286" s="3080"/>
      <c r="BG286" s="3080"/>
      <c r="BH286" s="3080"/>
      <c r="BI286" s="3080"/>
      <c r="BJ286" s="3080">
        <f t="shared" si="479"/>
        <v>256</v>
      </c>
      <c r="BK286" s="3080"/>
      <c r="BL286" s="3080" t="s">
        <v>9164</v>
      </c>
      <c r="BM286" s="3134"/>
      <c r="BN286" s="3080">
        <f>I286</f>
        <v>256</v>
      </c>
      <c r="BO286" s="3080"/>
      <c r="BP286" s="3080"/>
      <c r="BQ286" s="3088"/>
      <c r="BR286" s="3080">
        <f t="shared" si="432"/>
        <v>0</v>
      </c>
      <c r="BS286" s="3088"/>
      <c r="BT286" s="3088"/>
      <c r="BU286" s="3088"/>
      <c r="BV286" s="3088"/>
      <c r="BW286" s="3088"/>
      <c r="BX286" s="3088"/>
    </row>
    <row r="287" s="3031" customFormat="1" ht="32" customHeight="1" spans="1:76">
      <c r="A287" s="3063">
        <v>46079</v>
      </c>
      <c r="B287" s="3064" t="s">
        <v>1206</v>
      </c>
      <c r="C287" s="3065" t="s">
        <v>351</v>
      </c>
      <c r="D287" s="3066">
        <v>4500194261</v>
      </c>
      <c r="E287" s="3091"/>
      <c r="F287" s="3066" t="s">
        <v>9954</v>
      </c>
      <c r="G287" s="3098" t="s">
        <v>9431</v>
      </c>
      <c r="H287" s="3069" t="s">
        <v>9099</v>
      </c>
      <c r="I287" s="2969">
        <v>256</v>
      </c>
      <c r="J287" s="2969">
        <v>0</v>
      </c>
      <c r="K287" s="2969">
        <v>8</v>
      </c>
      <c r="L287" s="2969">
        <f t="shared" si="481"/>
        <v>32</v>
      </c>
      <c r="M287" s="3070">
        <v>46132</v>
      </c>
      <c r="N287" s="3207">
        <v>46128</v>
      </c>
      <c r="O287" s="2996"/>
      <c r="P287" s="2996" t="s">
        <v>82</v>
      </c>
      <c r="Q287" s="3208">
        <v>256</v>
      </c>
      <c r="R287" s="3210">
        <f t="shared" si="487"/>
        <v>0</v>
      </c>
      <c r="S287" s="3071" t="s">
        <v>2297</v>
      </c>
      <c r="T287" s="3071" t="s">
        <v>321</v>
      </c>
      <c r="U287" s="3072" t="s">
        <v>1115</v>
      </c>
      <c r="V287" s="2996"/>
      <c r="W287" s="3069" t="s">
        <v>999</v>
      </c>
      <c r="X287" s="3073"/>
      <c r="Y287" s="3073" t="s">
        <v>9951</v>
      </c>
      <c r="Z287" s="3073"/>
      <c r="AA287" s="3073"/>
      <c r="AB287" s="3091" t="s">
        <v>9952</v>
      </c>
      <c r="AC287" s="2969" t="s">
        <v>1199</v>
      </c>
      <c r="AD287" s="3075">
        <v>4.1708</v>
      </c>
      <c r="AE287" s="3076">
        <f t="shared" si="491"/>
        <v>1067.7248</v>
      </c>
      <c r="AF287" s="2969"/>
      <c r="AG287" s="2969" t="s">
        <v>9431</v>
      </c>
      <c r="AH287" s="2969" t="s">
        <v>416</v>
      </c>
      <c r="AI287" s="3162"/>
      <c r="AJ287" s="3078">
        <f t="shared" si="502"/>
        <v>256</v>
      </c>
      <c r="AK287" s="3133"/>
      <c r="AL287" s="3078"/>
      <c r="AM287" s="3133"/>
      <c r="AN287" s="3078"/>
      <c r="AO287" s="3134"/>
      <c r="AP287" s="3080">
        <f t="shared" si="482"/>
        <v>256</v>
      </c>
      <c r="AQ287" s="3080"/>
      <c r="AR287" s="3080"/>
      <c r="AS287" s="3081"/>
      <c r="AT287" s="3135"/>
      <c r="AU287" s="3134"/>
      <c r="AV287" s="3134"/>
      <c r="AW287" s="3136"/>
      <c r="AX287" s="3085"/>
      <c r="AY287" s="3080">
        <f>I287</f>
        <v>256</v>
      </c>
      <c r="AZ287" s="3080"/>
      <c r="BA287" s="3086"/>
      <c r="BB287" s="3087"/>
      <c r="BC287" s="3080"/>
      <c r="BD287" s="3080"/>
      <c r="BE287" s="3080"/>
      <c r="BF287" s="3080"/>
      <c r="BG287" s="3080"/>
      <c r="BH287" s="3080"/>
      <c r="BI287" s="3080"/>
      <c r="BJ287" s="3080">
        <f t="shared" si="479"/>
        <v>256</v>
      </c>
      <c r="BK287" s="3080"/>
      <c r="BL287" s="3080" t="s">
        <v>9164</v>
      </c>
      <c r="BM287" s="3134"/>
      <c r="BN287" s="3080"/>
      <c r="BO287" s="3080">
        <f>I287</f>
        <v>256</v>
      </c>
      <c r="BP287" s="3080"/>
      <c r="BQ287" s="3088"/>
      <c r="BR287" s="3080">
        <f t="shared" si="432"/>
        <v>0</v>
      </c>
      <c r="BS287" s="3088"/>
      <c r="BT287" s="3088"/>
      <c r="BU287" s="3088"/>
      <c r="BV287" s="3088"/>
      <c r="BW287" s="3088"/>
      <c r="BX287" s="3088"/>
    </row>
    <row r="288" s="3031" customFormat="1" ht="32" customHeight="1" spans="1:76">
      <c r="A288" s="3063">
        <v>46092</v>
      </c>
      <c r="B288" s="3064" t="s">
        <v>1141</v>
      </c>
      <c r="C288" s="3065" t="s">
        <v>1142</v>
      </c>
      <c r="D288" s="3066">
        <v>4500195950</v>
      </c>
      <c r="E288" s="3091" t="s">
        <v>8792</v>
      </c>
      <c r="F288" s="3066" t="s">
        <v>9955</v>
      </c>
      <c r="G288" s="3098" t="s">
        <v>9154</v>
      </c>
      <c r="H288" s="3069" t="s">
        <v>9155</v>
      </c>
      <c r="I288" s="2969">
        <v>720</v>
      </c>
      <c r="J288" s="2969">
        <v>0</v>
      </c>
      <c r="K288" s="2969">
        <v>8</v>
      </c>
      <c r="L288" s="2969">
        <f t="shared" si="481"/>
        <v>90</v>
      </c>
      <c r="M288" s="3070">
        <v>46132</v>
      </c>
      <c r="N288" s="3207">
        <v>46128</v>
      </c>
      <c r="O288" s="2996"/>
      <c r="P288" s="2996" t="s">
        <v>82</v>
      </c>
      <c r="Q288" s="3208">
        <v>720</v>
      </c>
      <c r="R288" s="3210">
        <f t="shared" si="487"/>
        <v>0</v>
      </c>
      <c r="S288" s="3211" t="s">
        <v>2297</v>
      </c>
      <c r="T288" s="3071" t="s">
        <v>321</v>
      </c>
      <c r="U288" s="3072" t="s">
        <v>5827</v>
      </c>
      <c r="V288" s="2996"/>
      <c r="W288" s="3069" t="s">
        <v>1012</v>
      </c>
      <c r="X288" s="3073"/>
      <c r="Y288" s="3073" t="s">
        <v>9956</v>
      </c>
      <c r="Z288" s="3073"/>
      <c r="AA288" s="3073"/>
      <c r="AB288" s="3091" t="s">
        <v>8795</v>
      </c>
      <c r="AC288" s="2969" t="s">
        <v>8796</v>
      </c>
      <c r="AD288" s="3075">
        <v>4.1743</v>
      </c>
      <c r="AE288" s="3076">
        <f t="shared" si="491"/>
        <v>3005.496</v>
      </c>
      <c r="AF288" s="2969"/>
      <c r="AG288" s="2969" t="s">
        <v>9239</v>
      </c>
      <c r="AH288" s="2969" t="s">
        <v>416</v>
      </c>
      <c r="AI288" s="3162"/>
      <c r="AJ288" s="3078"/>
      <c r="AK288" s="3133"/>
      <c r="AL288" s="3078">
        <f t="shared" si="501"/>
        <v>720</v>
      </c>
      <c r="AM288" s="3133"/>
      <c r="AN288" s="3078"/>
      <c r="AO288" s="3134"/>
      <c r="AP288" s="3080">
        <f t="shared" si="482"/>
        <v>720</v>
      </c>
      <c r="AQ288" s="3080"/>
      <c r="AR288" s="3080"/>
      <c r="AS288" s="3081"/>
      <c r="AT288" s="3135"/>
      <c r="AU288" s="3134"/>
      <c r="AV288" s="3134"/>
      <c r="AW288" s="3136"/>
      <c r="AX288" s="3085">
        <f t="shared" si="493"/>
        <v>180</v>
      </c>
      <c r="AY288" s="3080">
        <f t="shared" si="494"/>
        <v>180</v>
      </c>
      <c r="AZ288" s="3080">
        <f t="shared" si="495"/>
        <v>180</v>
      </c>
      <c r="BA288" s="3086">
        <f t="shared" si="496"/>
        <v>180</v>
      </c>
      <c r="BB288" s="3087"/>
      <c r="BC288" s="3080"/>
      <c r="BD288" s="3080"/>
      <c r="BE288" s="3080"/>
      <c r="BF288" s="3080"/>
      <c r="BG288" s="3080"/>
      <c r="BH288" s="3080"/>
      <c r="BI288" s="3080"/>
      <c r="BJ288" s="3080">
        <f t="shared" si="479"/>
        <v>720</v>
      </c>
      <c r="BK288" s="3080"/>
      <c r="BL288" s="3080" t="s">
        <v>9164</v>
      </c>
      <c r="BM288" s="3134"/>
      <c r="BN288" s="3080">
        <f t="shared" si="497"/>
        <v>180</v>
      </c>
      <c r="BO288" s="3080">
        <f t="shared" si="498"/>
        <v>180</v>
      </c>
      <c r="BP288" s="3080">
        <f t="shared" si="499"/>
        <v>180</v>
      </c>
      <c r="BQ288" s="3088">
        <f t="shared" si="500"/>
        <v>180</v>
      </c>
      <c r="BR288" s="3080">
        <f t="shared" ref="BR288:BR318" si="503">BN288+BO288+BP288+BQ288-I288</f>
        <v>0</v>
      </c>
      <c r="BS288" s="3088"/>
      <c r="BT288" s="3088"/>
      <c r="BU288" s="3088"/>
      <c r="BV288" s="3088"/>
      <c r="BW288" s="3088"/>
      <c r="BX288" s="3088"/>
    </row>
    <row r="289" s="3031" customFormat="1" ht="32" customHeight="1" spans="1:77 16361:16384">
      <c r="A289" s="3063">
        <v>46092</v>
      </c>
      <c r="B289" s="3064" t="s">
        <v>1538</v>
      </c>
      <c r="C289" s="3065" t="s">
        <v>3428</v>
      </c>
      <c r="D289" s="3066">
        <v>4500196056</v>
      </c>
      <c r="E289" s="3091" t="s">
        <v>9957</v>
      </c>
      <c r="F289" s="3066" t="s">
        <v>9958</v>
      </c>
      <c r="G289" s="3098" t="s">
        <v>9154</v>
      </c>
      <c r="H289" s="3069" t="s">
        <v>9155</v>
      </c>
      <c r="I289" s="2969">
        <v>88</v>
      </c>
      <c r="J289" s="2969">
        <v>0</v>
      </c>
      <c r="K289" s="2969">
        <v>8</v>
      </c>
      <c r="L289" s="2969">
        <f t="shared" si="481"/>
        <v>11</v>
      </c>
      <c r="M289" s="3070">
        <v>46132</v>
      </c>
      <c r="N289" s="3207">
        <v>46128</v>
      </c>
      <c r="O289" s="2996"/>
      <c r="P289" s="2996" t="s">
        <v>82</v>
      </c>
      <c r="Q289" s="3208">
        <v>88</v>
      </c>
      <c r="R289" s="3210">
        <f t="shared" si="487"/>
        <v>0</v>
      </c>
      <c r="S289" s="3212"/>
      <c r="T289" s="3071" t="s">
        <v>321</v>
      </c>
      <c r="U289" s="3072" t="s">
        <v>9959</v>
      </c>
      <c r="V289" s="2996"/>
      <c r="W289" s="3069" t="s">
        <v>1012</v>
      </c>
      <c r="X289" s="3073"/>
      <c r="Y289" s="3073" t="s">
        <v>9956</v>
      </c>
      <c r="Z289" s="3073"/>
      <c r="AA289" s="3073"/>
      <c r="AB289" s="3091" t="s">
        <v>8795</v>
      </c>
      <c r="AC289" s="2969" t="s">
        <v>8796</v>
      </c>
      <c r="AD289" s="3075">
        <v>4.1743</v>
      </c>
      <c r="AE289" s="3076">
        <f t="shared" si="491"/>
        <v>367.3384</v>
      </c>
      <c r="AF289" s="2969"/>
      <c r="AG289" s="2969" t="s">
        <v>9239</v>
      </c>
      <c r="AH289" s="2969" t="s">
        <v>416</v>
      </c>
      <c r="AI289" s="3162"/>
      <c r="AJ289" s="3078"/>
      <c r="AK289" s="3133"/>
      <c r="AL289" s="3078">
        <f t="shared" si="501"/>
        <v>88</v>
      </c>
      <c r="AM289" s="3133"/>
      <c r="AN289" s="3078"/>
      <c r="AO289" s="3134"/>
      <c r="AP289" s="3080">
        <f t="shared" si="482"/>
        <v>88</v>
      </c>
      <c r="AQ289" s="3080"/>
      <c r="AR289" s="3080"/>
      <c r="AS289" s="3081"/>
      <c r="AT289" s="3135"/>
      <c r="AU289" s="3134"/>
      <c r="AV289" s="3134"/>
      <c r="AW289" s="3136"/>
      <c r="AX289" s="3085">
        <f t="shared" si="493"/>
        <v>22</v>
      </c>
      <c r="AY289" s="3080">
        <f t="shared" si="494"/>
        <v>22</v>
      </c>
      <c r="AZ289" s="3080">
        <f t="shared" si="495"/>
        <v>22</v>
      </c>
      <c r="BA289" s="3086">
        <f t="shared" si="496"/>
        <v>22</v>
      </c>
      <c r="BB289" s="3087"/>
      <c r="BC289" s="3080"/>
      <c r="BD289" s="3080"/>
      <c r="BE289" s="3080"/>
      <c r="BF289" s="3080"/>
      <c r="BG289" s="3080"/>
      <c r="BH289" s="3080"/>
      <c r="BI289" s="3080"/>
      <c r="BJ289" s="3080">
        <f t="shared" si="479"/>
        <v>88</v>
      </c>
      <c r="BK289" s="3080"/>
      <c r="BL289" s="3080" t="s">
        <v>9164</v>
      </c>
      <c r="BM289" s="3134"/>
      <c r="BN289" s="3080">
        <f t="shared" si="497"/>
        <v>22</v>
      </c>
      <c r="BO289" s="3080">
        <f t="shared" si="498"/>
        <v>22</v>
      </c>
      <c r="BP289" s="3080">
        <f t="shared" si="499"/>
        <v>22</v>
      </c>
      <c r="BQ289" s="3088">
        <f t="shared" si="500"/>
        <v>22</v>
      </c>
      <c r="BR289" s="3080">
        <f t="shared" si="503"/>
        <v>0</v>
      </c>
      <c r="BS289" s="3088"/>
      <c r="BT289" s="3088"/>
      <c r="BU289" s="3088"/>
      <c r="BV289" s="3088"/>
      <c r="BW289" s="3088"/>
      <c r="BX289" s="3088"/>
    </row>
    <row r="290" s="3031" customFormat="1" ht="32" customHeight="1" spans="1:77 16361:16384">
      <c r="A290" s="3063">
        <v>46092</v>
      </c>
      <c r="B290" s="3064" t="s">
        <v>1545</v>
      </c>
      <c r="C290" s="3065" t="s">
        <v>1546</v>
      </c>
      <c r="D290" s="3066">
        <v>4500196119</v>
      </c>
      <c r="E290" s="3091" t="s">
        <v>8797</v>
      </c>
      <c r="F290" s="3066" t="s">
        <v>9960</v>
      </c>
      <c r="G290" s="3098" t="s">
        <v>9154</v>
      </c>
      <c r="H290" s="3069" t="s">
        <v>9155</v>
      </c>
      <c r="I290" s="2969">
        <v>240</v>
      </c>
      <c r="J290" s="2969">
        <v>0</v>
      </c>
      <c r="K290" s="2969">
        <v>8</v>
      </c>
      <c r="L290" s="2969">
        <f t="shared" si="481"/>
        <v>30</v>
      </c>
      <c r="M290" s="3070">
        <v>46132</v>
      </c>
      <c r="N290" s="3207">
        <v>46128</v>
      </c>
      <c r="O290" s="2996"/>
      <c r="P290" s="2996" t="s">
        <v>82</v>
      </c>
      <c r="Q290" s="3208">
        <v>240</v>
      </c>
      <c r="R290" s="3210">
        <f t="shared" si="487"/>
        <v>0</v>
      </c>
      <c r="S290" s="3213"/>
      <c r="T290" s="3071" t="s">
        <v>321</v>
      </c>
      <c r="U290" s="3072" t="s">
        <v>5721</v>
      </c>
      <c r="V290" s="2996"/>
      <c r="W290" s="3069" t="s">
        <v>1012</v>
      </c>
      <c r="X290" s="3073"/>
      <c r="Y290" s="3073" t="s">
        <v>9956</v>
      </c>
      <c r="Z290" s="3073"/>
      <c r="AA290" s="3073"/>
      <c r="AB290" s="3091" t="s">
        <v>8795</v>
      </c>
      <c r="AC290" s="2969" t="s">
        <v>8796</v>
      </c>
      <c r="AD290" s="3075">
        <v>4.1743</v>
      </c>
      <c r="AE290" s="3076">
        <f t="shared" si="491"/>
        <v>1001.832</v>
      </c>
      <c r="AF290" s="2969"/>
      <c r="AG290" s="2969" t="s">
        <v>9239</v>
      </c>
      <c r="AH290" s="2969" t="s">
        <v>416</v>
      </c>
      <c r="AI290" s="3162"/>
      <c r="AJ290" s="3078"/>
      <c r="AK290" s="3133"/>
      <c r="AL290" s="3078">
        <f t="shared" si="501"/>
        <v>240</v>
      </c>
      <c r="AM290" s="3133"/>
      <c r="AN290" s="3078"/>
      <c r="AO290" s="3134"/>
      <c r="AP290" s="3080">
        <f t="shared" si="482"/>
        <v>240</v>
      </c>
      <c r="AQ290" s="3080"/>
      <c r="AR290" s="3080"/>
      <c r="AS290" s="3081"/>
      <c r="AT290" s="3135"/>
      <c r="AU290" s="3134"/>
      <c r="AV290" s="3134"/>
      <c r="AW290" s="3136"/>
      <c r="AX290" s="3085">
        <f t="shared" si="493"/>
        <v>60</v>
      </c>
      <c r="AY290" s="3080">
        <f t="shared" si="494"/>
        <v>60</v>
      </c>
      <c r="AZ290" s="3080">
        <f t="shared" si="495"/>
        <v>60</v>
      </c>
      <c r="BA290" s="3086">
        <f t="shared" si="496"/>
        <v>60</v>
      </c>
      <c r="BB290" s="3087"/>
      <c r="BC290" s="3080"/>
      <c r="BD290" s="3080"/>
      <c r="BE290" s="3080"/>
      <c r="BF290" s="3080"/>
      <c r="BG290" s="3080"/>
      <c r="BH290" s="3080"/>
      <c r="BI290" s="3080"/>
      <c r="BJ290" s="3080">
        <f t="shared" si="479"/>
        <v>240</v>
      </c>
      <c r="BK290" s="3080"/>
      <c r="BL290" s="3080" t="s">
        <v>9164</v>
      </c>
      <c r="BM290" s="3134"/>
      <c r="BN290" s="3080">
        <f t="shared" si="497"/>
        <v>60</v>
      </c>
      <c r="BO290" s="3080">
        <f t="shared" si="498"/>
        <v>60</v>
      </c>
      <c r="BP290" s="3080">
        <f t="shared" si="499"/>
        <v>60</v>
      </c>
      <c r="BQ290" s="3088">
        <f t="shared" si="500"/>
        <v>60</v>
      </c>
      <c r="BR290" s="3080">
        <f t="shared" si="503"/>
        <v>0</v>
      </c>
      <c r="BS290" s="3088"/>
      <c r="BT290" s="3088"/>
      <c r="BU290" s="3088"/>
      <c r="BV290" s="3088"/>
      <c r="BW290" s="3088"/>
      <c r="BX290" s="3088"/>
    </row>
    <row r="291" s="3031" customFormat="1" ht="32" customHeight="1" spans="1:77 16361:16384">
      <c r="A291" s="3063">
        <v>46105</v>
      </c>
      <c r="B291" s="3064" t="s">
        <v>8799</v>
      </c>
      <c r="C291" s="3065" t="s">
        <v>8800</v>
      </c>
      <c r="D291" s="3066">
        <v>4500198237</v>
      </c>
      <c r="E291" s="3067"/>
      <c r="F291" s="3068" t="s">
        <v>9961</v>
      </c>
      <c r="G291" s="3069" t="s">
        <v>9154</v>
      </c>
      <c r="H291" s="3069" t="s">
        <v>9155</v>
      </c>
      <c r="I291" s="2969">
        <v>120</v>
      </c>
      <c r="J291" s="2969">
        <v>0</v>
      </c>
      <c r="K291" s="2969">
        <v>8</v>
      </c>
      <c r="L291" s="2969">
        <f t="shared" si="481"/>
        <v>15</v>
      </c>
      <c r="M291" s="3070">
        <v>46148</v>
      </c>
      <c r="N291" s="3070">
        <v>46144</v>
      </c>
      <c r="O291" s="2996"/>
      <c r="P291" s="2996" t="s">
        <v>82</v>
      </c>
      <c r="Q291" s="3208">
        <v>120</v>
      </c>
      <c r="R291" s="3210">
        <f t="shared" si="487"/>
        <v>0</v>
      </c>
      <c r="S291" s="3071" t="s">
        <v>2297</v>
      </c>
      <c r="T291" s="3071" t="s">
        <v>321</v>
      </c>
      <c r="U291" s="3072" t="s">
        <v>3367</v>
      </c>
      <c r="V291" s="2996"/>
      <c r="W291" s="3073" t="s">
        <v>3468</v>
      </c>
      <c r="X291" s="3073"/>
      <c r="Y291" s="3073" t="s">
        <v>8802</v>
      </c>
      <c r="Z291" s="3073"/>
      <c r="AA291" s="3073"/>
      <c r="AB291" s="3074" t="s">
        <v>9962</v>
      </c>
      <c r="AC291" s="2969" t="s">
        <v>1199</v>
      </c>
      <c r="AD291" s="3215">
        <v>4.0328</v>
      </c>
      <c r="AE291" s="3076">
        <f>I291*AD291</f>
        <v>483.936</v>
      </c>
      <c r="AF291" s="2969"/>
      <c r="AG291" s="2969" t="s">
        <v>9154</v>
      </c>
      <c r="AH291" s="2969" t="s">
        <v>416</v>
      </c>
      <c r="AI291" s="3078"/>
      <c r="AJ291" s="3078">
        <f t="shared" ref="AJ291:AJ294" si="504">I291</f>
        <v>120</v>
      </c>
      <c r="AK291" s="3133"/>
      <c r="AL291" s="3078"/>
      <c r="AM291" s="3133"/>
      <c r="AN291" s="3078"/>
      <c r="AO291" s="3134"/>
      <c r="AP291" s="3080">
        <f t="shared" si="482"/>
        <v>120</v>
      </c>
      <c r="AQ291" s="3080"/>
      <c r="AR291" s="3080"/>
      <c r="AS291" s="3081"/>
      <c r="AT291" s="3135"/>
      <c r="AU291" s="3134"/>
      <c r="AV291" s="3134"/>
      <c r="AW291" s="3136"/>
      <c r="AX291" s="3085">
        <f t="shared" si="493"/>
        <v>30</v>
      </c>
      <c r="AY291" s="3080">
        <f t="shared" si="494"/>
        <v>30</v>
      </c>
      <c r="AZ291" s="3080">
        <f t="shared" si="495"/>
        <v>30</v>
      </c>
      <c r="BA291" s="3086">
        <f t="shared" si="496"/>
        <v>30</v>
      </c>
      <c r="BB291" s="3087"/>
      <c r="BC291" s="3080"/>
      <c r="BD291" s="3080"/>
      <c r="BE291" s="3080"/>
      <c r="BF291" s="3080"/>
      <c r="BG291" s="3080"/>
      <c r="BH291" s="3080"/>
      <c r="BI291" s="3080"/>
      <c r="BJ291" s="3080">
        <f t="shared" si="479"/>
        <v>120</v>
      </c>
      <c r="BK291" s="3080"/>
      <c r="BL291" s="3080" t="s">
        <v>9164</v>
      </c>
      <c r="BM291" s="3134"/>
      <c r="BN291" s="3080">
        <f t="shared" si="497"/>
        <v>30</v>
      </c>
      <c r="BO291" s="3080">
        <f t="shared" si="498"/>
        <v>30</v>
      </c>
      <c r="BP291" s="3080">
        <f t="shared" si="499"/>
        <v>30</v>
      </c>
      <c r="BQ291" s="3080">
        <f t="shared" si="500"/>
        <v>30</v>
      </c>
      <c r="BR291" s="3080">
        <f t="shared" si="503"/>
        <v>0</v>
      </c>
      <c r="BS291" s="3088"/>
      <c r="BT291" s="3088"/>
      <c r="BU291" s="3088"/>
      <c r="BV291" s="3088"/>
      <c r="BW291" s="3088"/>
      <c r="BX291" s="3088"/>
    </row>
    <row r="292" s="3031" customFormat="1" ht="32" customHeight="1" spans="1:77 16361:16384">
      <c r="A292" s="3063">
        <v>46091</v>
      </c>
      <c r="B292" s="3064" t="s">
        <v>1206</v>
      </c>
      <c r="C292" s="3065" t="s">
        <v>351</v>
      </c>
      <c r="D292" s="3066">
        <v>4500196073</v>
      </c>
      <c r="E292" s="3091"/>
      <c r="F292" s="3066" t="s">
        <v>9963</v>
      </c>
      <c r="G292" s="3098" t="s">
        <v>9419</v>
      </c>
      <c r="H292" s="3069" t="s">
        <v>9100</v>
      </c>
      <c r="I292" s="2969">
        <v>200</v>
      </c>
      <c r="J292" s="2969">
        <v>0</v>
      </c>
      <c r="K292" s="2969">
        <v>8</v>
      </c>
      <c r="L292" s="2969">
        <f t="shared" si="481"/>
        <v>25</v>
      </c>
      <c r="M292" s="3070">
        <v>46133</v>
      </c>
      <c r="N292" s="3207">
        <v>46129</v>
      </c>
      <c r="O292" s="2996"/>
      <c r="P292" s="2996" t="s">
        <v>82</v>
      </c>
      <c r="Q292" s="3208">
        <v>200</v>
      </c>
      <c r="R292" s="3210">
        <f t="shared" si="487"/>
        <v>0</v>
      </c>
      <c r="S292" s="3071" t="s">
        <v>2297</v>
      </c>
      <c r="T292" s="3071" t="s">
        <v>321</v>
      </c>
      <c r="U292" s="3072" t="s">
        <v>1054</v>
      </c>
      <c r="V292" s="2996"/>
      <c r="W292" s="3069" t="s">
        <v>5822</v>
      </c>
      <c r="X292" s="3073"/>
      <c r="Y292" s="3073" t="s">
        <v>9964</v>
      </c>
      <c r="Z292" s="3073"/>
      <c r="AA292" s="3073"/>
      <c r="AB292" s="3091" t="s">
        <v>9965</v>
      </c>
      <c r="AC292" s="2969" t="s">
        <v>1199</v>
      </c>
      <c r="AD292" s="3075">
        <v>4.0187</v>
      </c>
      <c r="AE292" s="3076">
        <f t="shared" ref="AE292:AE294" si="505">AD292*I292</f>
        <v>803.74</v>
      </c>
      <c r="AF292" s="2969"/>
      <c r="AG292" s="3098" t="s">
        <v>9419</v>
      </c>
      <c r="AH292" s="2969" t="s">
        <v>416</v>
      </c>
      <c r="AI292" s="3162"/>
      <c r="AJ292" s="3078">
        <f t="shared" si="504"/>
        <v>200</v>
      </c>
      <c r="AK292" s="3133"/>
      <c r="AL292" s="3078"/>
      <c r="AM292" s="3133"/>
      <c r="AN292" s="3078"/>
      <c r="AO292" s="3134"/>
      <c r="AP292" s="3080">
        <f t="shared" si="482"/>
        <v>200</v>
      </c>
      <c r="AQ292" s="3080"/>
      <c r="AR292" s="3080"/>
      <c r="AS292" s="3081"/>
      <c r="AT292" s="3135"/>
      <c r="AU292" s="3134"/>
      <c r="AV292" s="3134"/>
      <c r="AW292" s="3136"/>
      <c r="AX292" s="3085"/>
      <c r="AY292" s="3080"/>
      <c r="AZ292" s="3080">
        <f>I292</f>
        <v>200</v>
      </c>
      <c r="BA292" s="3086"/>
      <c r="BB292" s="3087"/>
      <c r="BC292" s="3080"/>
      <c r="BD292" s="3080"/>
      <c r="BE292" s="3080"/>
      <c r="BF292" s="3080"/>
      <c r="BG292" s="3080"/>
      <c r="BH292" s="3080"/>
      <c r="BI292" s="3080"/>
      <c r="BJ292" s="3080">
        <f t="shared" si="479"/>
        <v>200</v>
      </c>
      <c r="BK292" s="3080"/>
      <c r="BL292" s="3080" t="s">
        <v>9164</v>
      </c>
      <c r="BM292" s="3134"/>
      <c r="BN292" s="3080"/>
      <c r="BO292" s="3080"/>
      <c r="BP292" s="3080">
        <f>I292</f>
        <v>200</v>
      </c>
      <c r="BQ292" s="3088"/>
      <c r="BR292" s="3080">
        <f t="shared" si="503"/>
        <v>0</v>
      </c>
      <c r="BS292" s="3088"/>
      <c r="BT292" s="3088"/>
      <c r="BU292" s="3088"/>
      <c r="BV292" s="3088"/>
      <c r="BW292" s="3088"/>
      <c r="BX292" s="3088"/>
    </row>
    <row r="293" s="3031" customFormat="1" ht="32" customHeight="1" spans="1:77 16361:16384">
      <c r="A293" s="3063">
        <v>46091</v>
      </c>
      <c r="B293" s="3064" t="s">
        <v>1206</v>
      </c>
      <c r="C293" s="3065" t="s">
        <v>351</v>
      </c>
      <c r="D293" s="3066">
        <v>4500196073</v>
      </c>
      <c r="E293" s="3091"/>
      <c r="F293" s="3066" t="s">
        <v>9966</v>
      </c>
      <c r="G293" s="3098" t="s">
        <v>9255</v>
      </c>
      <c r="H293" s="3069" t="s">
        <v>9098</v>
      </c>
      <c r="I293" s="2969">
        <v>200</v>
      </c>
      <c r="J293" s="2969">
        <v>0</v>
      </c>
      <c r="K293" s="2969">
        <v>8</v>
      </c>
      <c r="L293" s="2969">
        <f t="shared" si="481"/>
        <v>25</v>
      </c>
      <c r="M293" s="3070">
        <v>46133</v>
      </c>
      <c r="N293" s="3207">
        <v>46129</v>
      </c>
      <c r="O293" s="2996"/>
      <c r="P293" s="2996" t="s">
        <v>82</v>
      </c>
      <c r="Q293" s="3208">
        <v>200</v>
      </c>
      <c r="R293" s="3210">
        <f t="shared" si="487"/>
        <v>0</v>
      </c>
      <c r="S293" s="3071" t="s">
        <v>2297</v>
      </c>
      <c r="T293" s="3071" t="s">
        <v>321</v>
      </c>
      <c r="U293" s="3072" t="s">
        <v>1054</v>
      </c>
      <c r="V293" s="2996"/>
      <c r="W293" s="3069" t="s">
        <v>5822</v>
      </c>
      <c r="X293" s="3073"/>
      <c r="Y293" s="3073" t="s">
        <v>9964</v>
      </c>
      <c r="Z293" s="3073"/>
      <c r="AA293" s="3073"/>
      <c r="AB293" s="3091" t="s">
        <v>9965</v>
      </c>
      <c r="AC293" s="2969" t="s">
        <v>1199</v>
      </c>
      <c r="AD293" s="3075">
        <v>4.0187</v>
      </c>
      <c r="AE293" s="3076">
        <f t="shared" si="505"/>
        <v>803.74</v>
      </c>
      <c r="AF293" s="2969"/>
      <c r="AG293" s="3098" t="s">
        <v>9255</v>
      </c>
      <c r="AH293" s="2969" t="s">
        <v>416</v>
      </c>
      <c r="AI293" s="3162"/>
      <c r="AJ293" s="3078">
        <f t="shared" si="504"/>
        <v>200</v>
      </c>
      <c r="AK293" s="3133"/>
      <c r="AL293" s="3078"/>
      <c r="AM293" s="3133"/>
      <c r="AN293" s="3078"/>
      <c r="AO293" s="3134"/>
      <c r="AP293" s="3080">
        <f t="shared" si="482"/>
        <v>200</v>
      </c>
      <c r="AQ293" s="3080"/>
      <c r="AR293" s="3080"/>
      <c r="AS293" s="3081"/>
      <c r="AT293" s="3135"/>
      <c r="AU293" s="3134"/>
      <c r="AV293" s="3134"/>
      <c r="AW293" s="3136"/>
      <c r="AX293" s="3085">
        <f>I293</f>
        <v>200</v>
      </c>
      <c r="AY293" s="3080"/>
      <c r="AZ293" s="3080"/>
      <c r="BA293" s="3086"/>
      <c r="BB293" s="3087"/>
      <c r="BC293" s="3080"/>
      <c r="BD293" s="3080"/>
      <c r="BE293" s="3080"/>
      <c r="BF293" s="3080"/>
      <c r="BG293" s="3080"/>
      <c r="BH293" s="3080"/>
      <c r="BI293" s="3080"/>
      <c r="BJ293" s="3080">
        <f t="shared" si="479"/>
        <v>200</v>
      </c>
      <c r="BK293" s="3080"/>
      <c r="BL293" s="3080" t="s">
        <v>9164</v>
      </c>
      <c r="BM293" s="3134"/>
      <c r="BN293" s="3080">
        <f>I293</f>
        <v>200</v>
      </c>
      <c r="BO293" s="3080"/>
      <c r="BP293" s="3080"/>
      <c r="BQ293" s="3088"/>
      <c r="BR293" s="3080">
        <f t="shared" si="503"/>
        <v>0</v>
      </c>
      <c r="BS293" s="3088"/>
      <c r="BT293" s="3088"/>
      <c r="BU293" s="3088"/>
      <c r="BV293" s="3088"/>
      <c r="BW293" s="3088"/>
      <c r="BX293" s="3088"/>
    </row>
    <row r="294" s="3031" customFormat="1" ht="32" customHeight="1" spans="1:77 16361:16384">
      <c r="A294" s="3063">
        <v>46091</v>
      </c>
      <c r="B294" s="3064" t="s">
        <v>1206</v>
      </c>
      <c r="C294" s="3065" t="s">
        <v>351</v>
      </c>
      <c r="D294" s="3066">
        <v>4500196073</v>
      </c>
      <c r="E294" s="3091"/>
      <c r="F294" s="3066" t="s">
        <v>9967</v>
      </c>
      <c r="G294" s="3098" t="s">
        <v>9431</v>
      </c>
      <c r="H294" s="3069" t="s">
        <v>9099</v>
      </c>
      <c r="I294" s="2969">
        <v>200</v>
      </c>
      <c r="J294" s="2969">
        <v>0</v>
      </c>
      <c r="K294" s="2969">
        <v>8</v>
      </c>
      <c r="L294" s="2969">
        <f t="shared" si="481"/>
        <v>25</v>
      </c>
      <c r="M294" s="3070">
        <v>46133</v>
      </c>
      <c r="N294" s="3207">
        <v>46129</v>
      </c>
      <c r="O294" s="2996"/>
      <c r="P294" s="2996" t="s">
        <v>82</v>
      </c>
      <c r="Q294" s="3208">
        <v>200</v>
      </c>
      <c r="R294" s="3210">
        <f t="shared" si="487"/>
        <v>0</v>
      </c>
      <c r="S294" s="3071" t="s">
        <v>2297</v>
      </c>
      <c r="T294" s="3071" t="s">
        <v>321</v>
      </c>
      <c r="U294" s="3072" t="s">
        <v>1054</v>
      </c>
      <c r="V294" s="2996"/>
      <c r="W294" s="3069" t="s">
        <v>5822</v>
      </c>
      <c r="X294" s="3073"/>
      <c r="Y294" s="3073" t="s">
        <v>9964</v>
      </c>
      <c r="Z294" s="3073"/>
      <c r="AA294" s="3073"/>
      <c r="AB294" s="3091" t="s">
        <v>9965</v>
      </c>
      <c r="AC294" s="2969" t="s">
        <v>1199</v>
      </c>
      <c r="AD294" s="3075">
        <v>4.0187</v>
      </c>
      <c r="AE294" s="3076">
        <f t="shared" si="505"/>
        <v>803.74</v>
      </c>
      <c r="AF294" s="2969"/>
      <c r="AG294" s="3098" t="s">
        <v>9431</v>
      </c>
      <c r="AH294" s="2969" t="s">
        <v>416</v>
      </c>
      <c r="AI294" s="3162"/>
      <c r="AJ294" s="3078">
        <f t="shared" si="504"/>
        <v>200</v>
      </c>
      <c r="AK294" s="3133"/>
      <c r="AL294" s="3078"/>
      <c r="AM294" s="3133"/>
      <c r="AN294" s="3078"/>
      <c r="AO294" s="3134"/>
      <c r="AP294" s="3080">
        <f t="shared" si="482"/>
        <v>200</v>
      </c>
      <c r="AQ294" s="3080"/>
      <c r="AR294" s="3080"/>
      <c r="AS294" s="3081"/>
      <c r="AT294" s="3135"/>
      <c r="AU294" s="3134"/>
      <c r="AV294" s="3134"/>
      <c r="AW294" s="3136"/>
      <c r="AX294" s="3085"/>
      <c r="AY294" s="3080">
        <f>I294</f>
        <v>200</v>
      </c>
      <c r="AZ294" s="3080"/>
      <c r="BA294" s="3086"/>
      <c r="BB294" s="3087"/>
      <c r="BC294" s="3080"/>
      <c r="BD294" s="3080"/>
      <c r="BE294" s="3080"/>
      <c r="BF294" s="3080"/>
      <c r="BG294" s="3080"/>
      <c r="BH294" s="3080"/>
      <c r="BI294" s="3080"/>
      <c r="BJ294" s="3080">
        <f t="shared" si="479"/>
        <v>200</v>
      </c>
      <c r="BK294" s="3080"/>
      <c r="BL294" s="3080" t="s">
        <v>9164</v>
      </c>
      <c r="BM294" s="3134"/>
      <c r="BN294" s="3080"/>
      <c r="BO294" s="3080">
        <f>I294</f>
        <v>200</v>
      </c>
      <c r="BP294" s="3080"/>
      <c r="BQ294" s="3088"/>
      <c r="BR294" s="3080">
        <f t="shared" si="503"/>
        <v>0</v>
      </c>
      <c r="BS294" s="3088"/>
      <c r="BT294" s="3088"/>
      <c r="BU294" s="3088"/>
      <c r="BV294" s="3088"/>
      <c r="BW294" s="3088"/>
      <c r="BX294" s="3088"/>
    </row>
    <row r="295" s="3031" customFormat="1" ht="32" customHeight="1" spans="1:77 16361:16384">
      <c r="A295" s="3063">
        <v>46085</v>
      </c>
      <c r="B295" s="3064" t="s">
        <v>9451</v>
      </c>
      <c r="C295" s="3065" t="s">
        <v>2776</v>
      </c>
      <c r="D295" s="3066">
        <v>4500194849</v>
      </c>
      <c r="E295" s="3091" t="s">
        <v>9968</v>
      </c>
      <c r="F295" s="3066" t="s">
        <v>9969</v>
      </c>
      <c r="G295" s="3098" t="s">
        <v>9453</v>
      </c>
      <c r="H295" s="3069" t="s">
        <v>9454</v>
      </c>
      <c r="I295" s="2969">
        <v>1650</v>
      </c>
      <c r="J295" s="2969">
        <v>0</v>
      </c>
      <c r="K295" s="2969">
        <v>30</v>
      </c>
      <c r="L295" s="2969">
        <f t="shared" si="481"/>
        <v>55</v>
      </c>
      <c r="M295" s="3070">
        <v>46142</v>
      </c>
      <c r="N295" s="3207">
        <v>46139</v>
      </c>
      <c r="O295" s="2996" t="s">
        <v>9970</v>
      </c>
      <c r="P295" s="2996" t="s">
        <v>82</v>
      </c>
      <c r="Q295" s="3208">
        <v>1650</v>
      </c>
      <c r="R295" s="3210">
        <f t="shared" si="487"/>
        <v>0</v>
      </c>
      <c r="S295" s="3071" t="s">
        <v>2297</v>
      </c>
      <c r="T295" s="3071" t="s">
        <v>321</v>
      </c>
      <c r="U295" s="3072" t="s">
        <v>1146</v>
      </c>
      <c r="V295" s="2996"/>
      <c r="W295" s="3069" t="s">
        <v>1012</v>
      </c>
      <c r="X295" s="3073"/>
      <c r="Y295" s="3073" t="s">
        <v>9971</v>
      </c>
      <c r="Z295" s="3073"/>
      <c r="AA295" s="3073"/>
      <c r="AB295" s="3091" t="s">
        <v>9972</v>
      </c>
      <c r="AC295" s="2969" t="s">
        <v>1434</v>
      </c>
      <c r="AD295" s="3075">
        <v>149.5897</v>
      </c>
      <c r="AE295" s="3076">
        <f>AD295*L295</f>
        <v>8227.4335</v>
      </c>
      <c r="AF295" s="2969"/>
      <c r="AG295" s="3069" t="s">
        <v>9462</v>
      </c>
      <c r="AH295" s="2969" t="s">
        <v>416</v>
      </c>
      <c r="AI295" s="3162"/>
      <c r="AJ295" s="3078"/>
      <c r="AK295" s="3133"/>
      <c r="AL295" s="3078">
        <f>I295</f>
        <v>1650</v>
      </c>
      <c r="AM295" s="3133"/>
      <c r="AN295" s="3078"/>
      <c r="AO295" s="3134"/>
      <c r="AP295" s="3080">
        <f t="shared" si="482"/>
        <v>1650</v>
      </c>
      <c r="AQ295" s="3080"/>
      <c r="AR295" s="3080"/>
      <c r="AS295" s="3081"/>
      <c r="AT295" s="3135"/>
      <c r="AU295" s="3134"/>
      <c r="AV295" s="3134"/>
      <c r="AW295" s="3136"/>
      <c r="AX295" s="3085">
        <f t="shared" ref="AX295:AX297" si="506">I295/4</f>
        <v>412.5</v>
      </c>
      <c r="AY295" s="3080">
        <f t="shared" ref="AY295:AY297" si="507">I295/4</f>
        <v>412.5</v>
      </c>
      <c r="AZ295" s="3080">
        <f t="shared" ref="AZ295:AZ297" si="508">I295/4</f>
        <v>412.5</v>
      </c>
      <c r="BA295" s="3086">
        <f t="shared" ref="BA295:BA297" si="509">I295/4</f>
        <v>412.5</v>
      </c>
      <c r="BB295" s="3087"/>
      <c r="BC295" s="3080"/>
      <c r="BD295" s="3080"/>
      <c r="BE295" s="3080"/>
      <c r="BF295" s="3080"/>
      <c r="BG295" s="3080">
        <f>L295</f>
        <v>55</v>
      </c>
      <c r="BH295" s="3080"/>
      <c r="BI295" s="3080"/>
      <c r="BJ295" s="3080">
        <f t="shared" si="479"/>
        <v>1650</v>
      </c>
      <c r="BK295" s="3080"/>
      <c r="BL295" s="3080" t="s">
        <v>9164</v>
      </c>
      <c r="BM295" s="3134"/>
      <c r="BN295" s="3080">
        <f t="shared" ref="BN295:BN297" si="510">I295/4</f>
        <v>412.5</v>
      </c>
      <c r="BO295" s="3080">
        <f t="shared" ref="BO295:BO297" si="511">I295/4</f>
        <v>412.5</v>
      </c>
      <c r="BP295" s="3080">
        <f t="shared" ref="BP295:BP297" si="512">I295/4</f>
        <v>412.5</v>
      </c>
      <c r="BQ295" s="3080">
        <f t="shared" ref="BQ295:BQ297" si="513">I295/4</f>
        <v>412.5</v>
      </c>
      <c r="BR295" s="3080">
        <f t="shared" si="503"/>
        <v>0</v>
      </c>
      <c r="BS295" s="3088"/>
      <c r="BT295" s="3088"/>
      <c r="BU295" s="3088"/>
      <c r="BV295" s="3088"/>
      <c r="BW295" s="3088"/>
      <c r="BX295" s="3088"/>
    </row>
    <row r="296" s="3031" customFormat="1" ht="32" customHeight="1" spans="1:77 16361:16384">
      <c r="A296" s="3063">
        <v>46112</v>
      </c>
      <c r="B296" s="3064" t="s">
        <v>9973</v>
      </c>
      <c r="C296" s="3065" t="s">
        <v>1237</v>
      </c>
      <c r="D296" s="3066">
        <v>4500199430</v>
      </c>
      <c r="E296" s="3091" t="s">
        <v>2434</v>
      </c>
      <c r="F296" s="3066" t="s">
        <v>9974</v>
      </c>
      <c r="G296" s="3098" t="s">
        <v>9154</v>
      </c>
      <c r="H296" s="3069" t="s">
        <v>9155</v>
      </c>
      <c r="I296" s="2969">
        <v>288</v>
      </c>
      <c r="J296" s="2969">
        <v>0</v>
      </c>
      <c r="K296" s="2969">
        <v>8</v>
      </c>
      <c r="L296" s="2969">
        <f t="shared" si="481"/>
        <v>36</v>
      </c>
      <c r="M296" s="3070">
        <v>46154</v>
      </c>
      <c r="N296" s="3207">
        <v>46150</v>
      </c>
      <c r="O296" s="2996"/>
      <c r="P296" s="2996" t="s">
        <v>82</v>
      </c>
      <c r="Q296" s="3208">
        <v>288</v>
      </c>
      <c r="R296" s="3210">
        <f t="shared" si="487"/>
        <v>0</v>
      </c>
      <c r="S296" s="3071" t="s">
        <v>98</v>
      </c>
      <c r="T296" s="3071" t="s">
        <v>321</v>
      </c>
      <c r="U296" s="3072" t="s">
        <v>1162</v>
      </c>
      <c r="V296" s="2996"/>
      <c r="W296" s="3073" t="s">
        <v>3675</v>
      </c>
      <c r="X296" s="3073"/>
      <c r="Y296" s="3073" t="s">
        <v>98</v>
      </c>
      <c r="Z296" s="3073"/>
      <c r="AA296" s="3073"/>
      <c r="AB296" s="3091" t="s">
        <v>9975</v>
      </c>
      <c r="AC296" s="2969" t="s">
        <v>448</v>
      </c>
      <c r="AD296" s="3215">
        <v>4.0328</v>
      </c>
      <c r="AE296" s="3076">
        <f>AD296*I296</f>
        <v>1161.4464</v>
      </c>
      <c r="AF296" s="2969"/>
      <c r="AG296" s="2969" t="s">
        <v>9154</v>
      </c>
      <c r="AH296" s="2969" t="s">
        <v>416</v>
      </c>
      <c r="AI296" s="3162"/>
      <c r="AJ296" s="3078">
        <f>I296</f>
        <v>288</v>
      </c>
      <c r="AK296" s="3133"/>
      <c r="AL296" s="3078"/>
      <c r="AM296" s="3133"/>
      <c r="AN296" s="3078"/>
      <c r="AO296" s="3134"/>
      <c r="AP296" s="3080">
        <f t="shared" si="482"/>
        <v>288</v>
      </c>
      <c r="AQ296" s="3080"/>
      <c r="AR296" s="3080"/>
      <c r="AS296" s="3081"/>
      <c r="AT296" s="3135"/>
      <c r="AU296" s="3134"/>
      <c r="AV296" s="3134"/>
      <c r="AW296" s="3136"/>
      <c r="AX296" s="3216">
        <f t="shared" si="506"/>
        <v>72</v>
      </c>
      <c r="AY296" s="3167">
        <f t="shared" si="507"/>
        <v>72</v>
      </c>
      <c r="AZ296" s="3167">
        <f t="shared" si="508"/>
        <v>72</v>
      </c>
      <c r="BA296" s="3217">
        <f t="shared" si="509"/>
        <v>72</v>
      </c>
      <c r="BB296" s="3087"/>
      <c r="BC296" s="3080"/>
      <c r="BD296" s="3080"/>
      <c r="BE296" s="3080"/>
      <c r="BF296" s="3080"/>
      <c r="BG296" s="3080"/>
      <c r="BH296" s="3080"/>
      <c r="BI296" s="3080"/>
      <c r="BJ296" s="3080">
        <f t="shared" si="479"/>
        <v>288</v>
      </c>
      <c r="BK296" s="3080"/>
      <c r="BL296" s="3080" t="s">
        <v>9164</v>
      </c>
      <c r="BM296" s="3134"/>
      <c r="BN296" s="3218">
        <f t="shared" si="510"/>
        <v>72</v>
      </c>
      <c r="BO296" s="3218">
        <f t="shared" si="511"/>
        <v>72</v>
      </c>
      <c r="BP296" s="3218">
        <f t="shared" si="512"/>
        <v>72</v>
      </c>
      <c r="BQ296" s="3218">
        <f t="shared" si="513"/>
        <v>72</v>
      </c>
      <c r="BR296" s="3218">
        <f t="shared" si="503"/>
        <v>0</v>
      </c>
      <c r="BS296" s="3219"/>
      <c r="BT296" s="3219"/>
      <c r="BU296" s="3219"/>
      <c r="BV296" s="3219"/>
      <c r="BW296" s="3219"/>
      <c r="BX296" s="3219"/>
    </row>
    <row r="297" s="3034" customFormat="1" ht="32" customHeight="1" spans="1:77 16361:16384">
      <c r="A297" s="3207">
        <v>46119</v>
      </c>
      <c r="B297" s="3064" t="s">
        <v>2136</v>
      </c>
      <c r="C297" s="3065" t="s">
        <v>2137</v>
      </c>
      <c r="D297" s="3066" t="s">
        <v>9976</v>
      </c>
      <c r="E297" s="3091" t="s">
        <v>2434</v>
      </c>
      <c r="F297" s="3066" t="s">
        <v>9977</v>
      </c>
      <c r="G297" s="3098" t="s">
        <v>9154</v>
      </c>
      <c r="H297" s="3069" t="s">
        <v>9155</v>
      </c>
      <c r="I297" s="2969">
        <v>504</v>
      </c>
      <c r="J297" s="2969">
        <v>0</v>
      </c>
      <c r="K297" s="2969">
        <v>8</v>
      </c>
      <c r="L297" s="2969">
        <f t="shared" si="481"/>
        <v>63</v>
      </c>
      <c r="M297" s="3070">
        <v>46167</v>
      </c>
      <c r="N297" s="3207">
        <v>46163</v>
      </c>
      <c r="O297" s="2996"/>
      <c r="P297" s="2996" t="s">
        <v>82</v>
      </c>
      <c r="Q297" s="3208">
        <v>504</v>
      </c>
      <c r="R297" s="3210">
        <f t="shared" si="487"/>
        <v>0</v>
      </c>
      <c r="S297" s="3071" t="s">
        <v>98</v>
      </c>
      <c r="T297" s="3071" t="s">
        <v>321</v>
      </c>
      <c r="U297" s="3072" t="s">
        <v>5809</v>
      </c>
      <c r="V297" s="2996"/>
      <c r="W297" s="3073" t="s">
        <v>5882</v>
      </c>
      <c r="X297" s="3073"/>
      <c r="Y297" s="3073" t="s">
        <v>98</v>
      </c>
      <c r="Z297" s="3073"/>
      <c r="AA297" s="3073"/>
      <c r="AB297" s="3091" t="s">
        <v>9978</v>
      </c>
      <c r="AC297" s="2969" t="s">
        <v>2141</v>
      </c>
      <c r="AD297" s="3215">
        <v>4.0216</v>
      </c>
      <c r="AE297" s="3076">
        <f>AD297*I297</f>
        <v>2026.8864</v>
      </c>
      <c r="AF297" s="2969"/>
      <c r="AG297" s="2969" t="s">
        <v>9154</v>
      </c>
      <c r="AH297" s="2969" t="s">
        <v>416</v>
      </c>
      <c r="AI297" s="3078"/>
      <c r="AJ297" s="3078">
        <f>I297</f>
        <v>504</v>
      </c>
      <c r="AK297" s="3078"/>
      <c r="AL297" s="3080"/>
      <c r="AM297" s="3081"/>
      <c r="AN297" s="3167"/>
      <c r="AO297" s="3167"/>
      <c r="AP297" s="3167">
        <f t="shared" si="482"/>
        <v>504</v>
      </c>
      <c r="AQ297" s="3080"/>
      <c r="AR297" s="3080"/>
      <c r="AS297" s="3080"/>
      <c r="AT297" s="3080"/>
      <c r="AU297" s="3080"/>
      <c r="AV297" s="3080"/>
      <c r="AW297" s="3080"/>
      <c r="AX297" s="3216">
        <f t="shared" si="506"/>
        <v>126</v>
      </c>
      <c r="AY297" s="3167">
        <f t="shared" si="507"/>
        <v>126</v>
      </c>
      <c r="AZ297" s="3167">
        <f t="shared" si="508"/>
        <v>126</v>
      </c>
      <c r="BA297" s="3217">
        <f t="shared" si="509"/>
        <v>126</v>
      </c>
      <c r="BB297" s="3080"/>
      <c r="BC297" s="3080"/>
      <c r="BD297" s="3088"/>
      <c r="BE297" s="3088"/>
      <c r="BF297" s="3088"/>
      <c r="BG297" s="3088"/>
      <c r="BH297" s="3088"/>
      <c r="BJ297" s="3080">
        <f t="shared" si="479"/>
        <v>504</v>
      </c>
      <c r="BK297" s="3088"/>
      <c r="BL297" s="3088" t="s">
        <v>9164</v>
      </c>
      <c r="BM297" s="3031"/>
      <c r="BN297" s="3089">
        <f t="shared" si="510"/>
        <v>126</v>
      </c>
      <c r="BO297" s="3089">
        <f t="shared" si="511"/>
        <v>126</v>
      </c>
      <c r="BP297" s="3089">
        <f t="shared" si="512"/>
        <v>126</v>
      </c>
      <c r="BQ297" s="3089">
        <f t="shared" si="513"/>
        <v>126</v>
      </c>
      <c r="BR297" s="3089">
        <f t="shared" si="503"/>
        <v>0</v>
      </c>
      <c r="BS297" s="3089"/>
      <c r="XEO297" s="3207"/>
      <c r="XEP297" s="3064"/>
      <c r="XEQ297" s="3065"/>
      <c r="XER297" s="3066"/>
      <c r="XES297" s="3091"/>
      <c r="XET297" s="3066"/>
      <c r="XEU297" s="3098"/>
      <c r="XEV297" s="3069"/>
      <c r="XEW297" s="3207"/>
      <c r="XEX297" s="3064"/>
      <c r="XEY297" s="3065"/>
      <c r="XEZ297" s="3066"/>
      <c r="XFA297" s="3091"/>
      <c r="XFB297" s="3066"/>
      <c r="XFC297" s="3098"/>
      <c r="XFD297" s="3069"/>
    </row>
    <row r="298" s="3031" customFormat="1" ht="32" customHeight="1" spans="1:77 16361:16384">
      <c r="A298" s="3063">
        <v>46107</v>
      </c>
      <c r="B298" s="3064" t="s">
        <v>3608</v>
      </c>
      <c r="C298" s="3065" t="s">
        <v>738</v>
      </c>
      <c r="D298" s="3066">
        <v>4500198544</v>
      </c>
      <c r="E298" s="3067">
        <v>5251219674</v>
      </c>
      <c r="F298" s="3068" t="s">
        <v>9979</v>
      </c>
      <c r="G298" s="3069" t="s">
        <v>9154</v>
      </c>
      <c r="H298" s="3069" t="s">
        <v>9980</v>
      </c>
      <c r="I298" s="2969">
        <v>13000</v>
      </c>
      <c r="J298" s="2969">
        <v>0</v>
      </c>
      <c r="K298" s="2969">
        <v>8</v>
      </c>
      <c r="L298" s="2969">
        <f t="shared" si="481"/>
        <v>1625</v>
      </c>
      <c r="M298" s="3070">
        <v>46163</v>
      </c>
      <c r="N298" s="3070">
        <v>46160</v>
      </c>
      <c r="O298" s="2996"/>
      <c r="P298" s="2996" t="s">
        <v>82</v>
      </c>
      <c r="Q298" s="3208">
        <v>13000</v>
      </c>
      <c r="R298" s="3210">
        <f t="shared" si="487"/>
        <v>0</v>
      </c>
      <c r="S298" s="3071" t="s">
        <v>2297</v>
      </c>
      <c r="T298" s="3071" t="s">
        <v>321</v>
      </c>
      <c r="U298" s="3072" t="s">
        <v>401</v>
      </c>
      <c r="V298" s="2996"/>
      <c r="W298" s="3073" t="s">
        <v>5852</v>
      </c>
      <c r="X298" s="3073"/>
      <c r="Y298" s="3073" t="s">
        <v>9981</v>
      </c>
      <c r="Z298" s="3073"/>
      <c r="AA298" s="3073"/>
      <c r="AB298" s="3074" t="s">
        <v>9982</v>
      </c>
      <c r="AC298" s="2969" t="s">
        <v>1257</v>
      </c>
      <c r="AD298" s="3215">
        <v>4.1058</v>
      </c>
      <c r="AE298" s="3076">
        <f>I298*AD298</f>
        <v>53375.4</v>
      </c>
      <c r="AF298" s="2969"/>
      <c r="AG298" s="2969" t="s">
        <v>9239</v>
      </c>
      <c r="AH298" s="2969" t="s">
        <v>416</v>
      </c>
      <c r="AI298" s="3078"/>
      <c r="AJ298" s="3078"/>
      <c r="AK298" s="3133"/>
      <c r="AL298" s="3078">
        <f>I298</f>
        <v>13000</v>
      </c>
      <c r="AM298" s="3133"/>
      <c r="AN298" s="3078"/>
      <c r="AO298" s="3134"/>
      <c r="AP298" s="3080">
        <f t="shared" si="482"/>
        <v>13000</v>
      </c>
      <c r="AQ298" s="3080"/>
      <c r="AR298" s="3080"/>
      <c r="AS298" s="3081"/>
      <c r="AT298" s="3135"/>
      <c r="AU298" s="3134"/>
      <c r="AV298" s="3134"/>
      <c r="AW298" s="3136"/>
      <c r="AX298" s="3216">
        <f>I298/10*2.2</f>
        <v>2860</v>
      </c>
      <c r="AY298" s="3167">
        <f>I298/10*1.5</f>
        <v>1950</v>
      </c>
      <c r="AZ298" s="3167">
        <f>I298/10*2.8</f>
        <v>3640</v>
      </c>
      <c r="BA298" s="3217">
        <f>I298/10*3.5</f>
        <v>4550</v>
      </c>
      <c r="BB298" s="3087"/>
      <c r="BC298" s="3080"/>
      <c r="BD298" s="3080"/>
      <c r="BE298" s="3080"/>
      <c r="BF298" s="3080"/>
      <c r="BG298" s="3080"/>
      <c r="BH298" s="3080"/>
      <c r="BI298" s="3080"/>
      <c r="BJ298" s="3080">
        <f t="shared" si="479"/>
        <v>13000</v>
      </c>
      <c r="BK298" s="3080"/>
      <c r="BL298" s="3080" t="s">
        <v>9164</v>
      </c>
      <c r="BM298" s="3134"/>
      <c r="BN298" s="3080">
        <f>I298/10*2.2</f>
        <v>2860</v>
      </c>
      <c r="BO298" s="3080">
        <f>I298/10*1.5</f>
        <v>1950</v>
      </c>
      <c r="BP298" s="3080">
        <f>I298/10*2.8</f>
        <v>3640</v>
      </c>
      <c r="BQ298" s="3080">
        <f>I298/10*3.5</f>
        <v>4550</v>
      </c>
      <c r="BR298" s="3220">
        <f t="shared" si="503"/>
        <v>0</v>
      </c>
      <c r="BS298" s="3221"/>
      <c r="BT298" s="3221"/>
      <c r="BU298" s="3221"/>
      <c r="BV298" s="3221"/>
      <c r="BW298" s="3221"/>
      <c r="BX298" s="3221"/>
    </row>
    <row r="299" s="3034" customFormat="1" ht="32" customHeight="1" spans="1:77 16361:16384">
      <c r="A299" s="3207">
        <v>46121</v>
      </c>
      <c r="B299" s="3064" t="s">
        <v>331</v>
      </c>
      <c r="C299" s="3065" t="s">
        <v>793</v>
      </c>
      <c r="D299" s="3066" t="s">
        <v>8193</v>
      </c>
      <c r="E299" s="3091" t="s">
        <v>9983</v>
      </c>
      <c r="F299" s="3066" t="s">
        <v>9984</v>
      </c>
      <c r="G299" s="3098" t="s">
        <v>9585</v>
      </c>
      <c r="H299" s="3069" t="s">
        <v>9155</v>
      </c>
      <c r="I299" s="2969">
        <v>1500</v>
      </c>
      <c r="J299" s="2969">
        <v>0</v>
      </c>
      <c r="K299" s="2969">
        <v>1</v>
      </c>
      <c r="L299" s="2969">
        <f t="shared" si="481"/>
        <v>1500</v>
      </c>
      <c r="M299" s="3070">
        <v>46167</v>
      </c>
      <c r="N299" s="3207">
        <v>46163</v>
      </c>
      <c r="O299" s="2996"/>
      <c r="P299" s="2996" t="s">
        <v>82</v>
      </c>
      <c r="Q299" s="3208">
        <f>270+1230</f>
        <v>1500</v>
      </c>
      <c r="R299" s="3210">
        <f t="shared" si="487"/>
        <v>0</v>
      </c>
      <c r="S299" s="3071" t="s">
        <v>2297</v>
      </c>
      <c r="T299" s="3071" t="s">
        <v>321</v>
      </c>
      <c r="U299" s="3072"/>
      <c r="V299" s="2996"/>
      <c r="W299" s="3073" t="s">
        <v>1249</v>
      </c>
      <c r="X299" s="3073"/>
      <c r="Y299" s="3073" t="s">
        <v>9985</v>
      </c>
      <c r="Z299" s="3073"/>
      <c r="AA299" s="3073"/>
      <c r="AB299" s="3091" t="s">
        <v>8816</v>
      </c>
      <c r="AC299" s="2969" t="s">
        <v>8198</v>
      </c>
      <c r="AD299" s="3075">
        <v>4.2221</v>
      </c>
      <c r="AE299" s="3076">
        <f t="shared" ref="AE299:AE315" si="514">AD299*I299</f>
        <v>6333.15</v>
      </c>
      <c r="AF299" s="2969"/>
      <c r="AG299" s="2969" t="s">
        <v>9585</v>
      </c>
      <c r="AH299" s="2969" t="s">
        <v>416</v>
      </c>
      <c r="AI299" s="3078"/>
      <c r="AJ299" s="3078">
        <f t="shared" ref="AJ299:AJ304" si="515">I299</f>
        <v>1500</v>
      </c>
      <c r="AK299" s="3078"/>
      <c r="AL299" s="3078"/>
      <c r="AM299" s="3080"/>
      <c r="AN299" s="3080"/>
      <c r="AO299" s="3080"/>
      <c r="AP299" s="3080">
        <f t="shared" si="482"/>
        <v>1500</v>
      </c>
      <c r="AQ299" s="3080"/>
      <c r="AR299" s="3080"/>
      <c r="AS299" s="3080"/>
      <c r="AT299" s="3086"/>
      <c r="AU299" s="3087"/>
      <c r="AV299" s="3080"/>
      <c r="AW299" s="3080"/>
      <c r="AX299" s="3216">
        <f t="shared" ref="AX299:AX314" si="516">I299/4</f>
        <v>375</v>
      </c>
      <c r="AY299" s="3167">
        <f t="shared" ref="AY299:AY314" si="517">I299/4</f>
        <v>375</v>
      </c>
      <c r="AZ299" s="3167">
        <f t="shared" ref="AZ299:AZ314" si="518">I299/4</f>
        <v>375</v>
      </c>
      <c r="BA299" s="3217">
        <f t="shared" ref="BA299:BA313" si="519">I299/4</f>
        <v>375</v>
      </c>
      <c r="BB299" s="3080"/>
      <c r="BC299" s="3080"/>
      <c r="BD299" s="3080"/>
      <c r="BE299" s="3080"/>
      <c r="BF299" s="3080"/>
      <c r="BG299" s="3080"/>
      <c r="BH299" s="3080"/>
      <c r="BI299" s="3088"/>
      <c r="BJ299" s="3080">
        <f t="shared" si="479"/>
        <v>1500</v>
      </c>
      <c r="BK299" s="3088"/>
      <c r="BL299" s="3088" t="s">
        <v>9164</v>
      </c>
      <c r="BM299" s="3088"/>
      <c r="BN299" s="3088">
        <f>I299/4</f>
        <v>375</v>
      </c>
      <c r="BO299" s="3088">
        <f>I299/4</f>
        <v>375</v>
      </c>
      <c r="BP299" s="3088">
        <f>I299/4</f>
        <v>375</v>
      </c>
      <c r="BQ299" s="3089">
        <f>I299/4</f>
        <v>375</v>
      </c>
      <c r="BR299" s="3089">
        <f t="shared" si="503"/>
        <v>0</v>
      </c>
      <c r="BS299" s="3089">
        <f>BN299+BO299+BP299+BQ299+$BS$369</f>
        <v>513980</v>
      </c>
      <c r="XEW299" s="3207"/>
      <c r="XEX299" s="3064"/>
      <c r="XEY299" s="3065"/>
      <c r="XEZ299" s="3066"/>
      <c r="XFA299" s="3091"/>
      <c r="XFB299" s="3066"/>
      <c r="XFC299" s="3098"/>
      <c r="XFD299" s="3069"/>
    </row>
    <row r="300" s="3034" customFormat="1" ht="32" customHeight="1" spans="1:77 16361:16384">
      <c r="A300" s="3207">
        <v>46120</v>
      </c>
      <c r="B300" s="3064" t="s">
        <v>5860</v>
      </c>
      <c r="C300" s="3065" t="s">
        <v>1193</v>
      </c>
      <c r="D300" s="3066" t="s">
        <v>5861</v>
      </c>
      <c r="E300" s="3091" t="s">
        <v>2434</v>
      </c>
      <c r="F300" s="3066" t="s">
        <v>9986</v>
      </c>
      <c r="G300" s="3098" t="s">
        <v>9154</v>
      </c>
      <c r="H300" s="3069" t="s">
        <v>9155</v>
      </c>
      <c r="I300" s="2969">
        <v>192</v>
      </c>
      <c r="J300" s="2969">
        <v>0</v>
      </c>
      <c r="K300" s="2969">
        <v>8</v>
      </c>
      <c r="L300" s="2969">
        <f t="shared" si="481"/>
        <v>24</v>
      </c>
      <c r="M300" s="3070">
        <v>46169</v>
      </c>
      <c r="N300" s="3207">
        <v>46165</v>
      </c>
      <c r="O300" s="2996"/>
      <c r="P300" s="2996" t="s">
        <v>82</v>
      </c>
      <c r="Q300" s="3208">
        <v>192</v>
      </c>
      <c r="R300" s="3210">
        <f t="shared" si="487"/>
        <v>0</v>
      </c>
      <c r="S300" s="3071" t="s">
        <v>2297</v>
      </c>
      <c r="T300" s="3071" t="s">
        <v>321</v>
      </c>
      <c r="U300" s="3072" t="s">
        <v>5863</v>
      </c>
      <c r="V300" s="2996"/>
      <c r="W300" s="3073" t="s">
        <v>5848</v>
      </c>
      <c r="X300" s="3073"/>
      <c r="Y300" s="3073" t="s">
        <v>2414</v>
      </c>
      <c r="Z300" s="3073"/>
      <c r="AA300" s="3073"/>
      <c r="AB300" s="3091" t="s">
        <v>5865</v>
      </c>
      <c r="AC300" s="2969" t="s">
        <v>357</v>
      </c>
      <c r="AD300" s="3215">
        <v>4.0328</v>
      </c>
      <c r="AE300" s="3076">
        <f t="shared" si="514"/>
        <v>774.2976</v>
      </c>
      <c r="AF300" s="2969"/>
      <c r="AG300" s="2969" t="s">
        <v>9154</v>
      </c>
      <c r="AH300" s="2969" t="s">
        <v>416</v>
      </c>
      <c r="AI300" s="3078"/>
      <c r="AJ300" s="3078">
        <f t="shared" si="515"/>
        <v>192</v>
      </c>
      <c r="AK300" s="3080"/>
      <c r="AL300" s="3167"/>
      <c r="AM300" s="3167"/>
      <c r="AN300" s="3080"/>
      <c r="AO300" s="3080"/>
      <c r="AP300" s="3080">
        <f t="shared" si="482"/>
        <v>192</v>
      </c>
      <c r="AQ300" s="3080"/>
      <c r="AR300" s="3080"/>
      <c r="AS300" s="3080"/>
      <c r="AT300" s="3080"/>
      <c r="AU300" s="3080"/>
      <c r="AV300" s="3080"/>
      <c r="AW300" s="3088"/>
      <c r="AX300" s="3216">
        <f t="shared" si="516"/>
        <v>48</v>
      </c>
      <c r="AY300" s="3167">
        <f t="shared" si="517"/>
        <v>48</v>
      </c>
      <c r="AZ300" s="3167">
        <f t="shared" si="518"/>
        <v>48</v>
      </c>
      <c r="BA300" s="3217">
        <f t="shared" si="519"/>
        <v>48</v>
      </c>
      <c r="BJ300" s="3089">
        <f t="shared" si="479"/>
        <v>192</v>
      </c>
      <c r="BL300" s="3089" t="s">
        <v>9164</v>
      </c>
      <c r="BN300" s="3089">
        <f>I300/4</f>
        <v>48</v>
      </c>
      <c r="BO300" s="3089">
        <f>I300/4</f>
        <v>48</v>
      </c>
      <c r="BP300" s="3089">
        <f>I300/4</f>
        <v>48</v>
      </c>
      <c r="BQ300" s="3089">
        <f>I300/4</f>
        <v>48</v>
      </c>
      <c r="BR300" s="3089">
        <f t="shared" si="503"/>
        <v>0</v>
      </c>
      <c r="BS300" s="3089"/>
      <c r="XEG300" s="3207"/>
      <c r="XEH300" s="3064"/>
      <c r="XEI300" s="3065"/>
      <c r="XEJ300" s="3066"/>
      <c r="XEK300" s="3091"/>
      <c r="XEL300" s="3066"/>
      <c r="XEM300" s="3098"/>
      <c r="XEN300" s="3069"/>
      <c r="XEO300" s="3207"/>
      <c r="XEP300" s="3064"/>
      <c r="XEQ300" s="3065"/>
      <c r="XER300" s="3066"/>
      <c r="XES300" s="3091"/>
      <c r="XET300" s="3066"/>
      <c r="XEU300" s="3098"/>
      <c r="XEV300" s="3069"/>
      <c r="XEW300" s="3207"/>
      <c r="XEX300" s="3064"/>
      <c r="XEY300" s="3065"/>
      <c r="XEZ300" s="3066"/>
      <c r="XFA300" s="3091"/>
      <c r="XFB300" s="3066"/>
      <c r="XFC300" s="3098"/>
      <c r="XFD300" s="3069"/>
    </row>
    <row r="301" s="3034" customFormat="1" ht="32" customHeight="1" spans="1:77 16361:16384">
      <c r="A301" s="3207">
        <v>46121</v>
      </c>
      <c r="B301" s="3064" t="s">
        <v>331</v>
      </c>
      <c r="C301" s="3065" t="s">
        <v>793</v>
      </c>
      <c r="D301" s="3066" t="s">
        <v>8193</v>
      </c>
      <c r="E301" s="3091" t="s">
        <v>9987</v>
      </c>
      <c r="F301" s="3066" t="s">
        <v>9988</v>
      </c>
      <c r="G301" s="3098" t="s">
        <v>9585</v>
      </c>
      <c r="H301" s="3069" t="s">
        <v>9155</v>
      </c>
      <c r="I301" s="2969">
        <v>1500</v>
      </c>
      <c r="J301" s="2969">
        <v>0</v>
      </c>
      <c r="K301" s="2969">
        <v>1</v>
      </c>
      <c r="L301" s="2969">
        <f t="shared" si="481"/>
        <v>1500</v>
      </c>
      <c r="M301" s="3070">
        <v>46178</v>
      </c>
      <c r="N301" s="3207">
        <v>46174</v>
      </c>
      <c r="O301" s="2996"/>
      <c r="P301" s="2996" t="s">
        <v>82</v>
      </c>
      <c r="Q301" s="3208">
        <v>1500</v>
      </c>
      <c r="R301" s="3210">
        <f t="shared" si="487"/>
        <v>0</v>
      </c>
      <c r="S301" s="3071" t="s">
        <v>2297</v>
      </c>
      <c r="T301" s="3071" t="s">
        <v>321</v>
      </c>
      <c r="U301" s="3072"/>
      <c r="V301" s="2996"/>
      <c r="W301" s="3073" t="s">
        <v>1249</v>
      </c>
      <c r="X301" s="3073"/>
      <c r="Y301" s="3073" t="s">
        <v>9985</v>
      </c>
      <c r="Z301" s="3073"/>
      <c r="AA301" s="3073"/>
      <c r="AB301" s="3091" t="s">
        <v>8816</v>
      </c>
      <c r="AC301" s="2969" t="s">
        <v>8198</v>
      </c>
      <c r="AD301" s="3075">
        <v>4.2221</v>
      </c>
      <c r="AE301" s="3076">
        <f t="shared" si="514"/>
        <v>6333.15</v>
      </c>
      <c r="AF301" s="2969"/>
      <c r="AG301" s="2969" t="s">
        <v>9585</v>
      </c>
      <c r="AH301" s="2969" t="s">
        <v>416</v>
      </c>
      <c r="AI301" s="3078"/>
      <c r="AJ301" s="3078">
        <f t="shared" si="515"/>
        <v>1500</v>
      </c>
      <c r="AK301" s="3078"/>
      <c r="AL301" s="3078"/>
      <c r="AM301" s="3080"/>
      <c r="AN301" s="3080"/>
      <c r="AO301" s="3080"/>
      <c r="AP301" s="3080">
        <f t="shared" si="482"/>
        <v>1500</v>
      </c>
      <c r="AQ301" s="3080"/>
      <c r="AR301" s="3080"/>
      <c r="AS301" s="3080"/>
      <c r="AT301" s="3086"/>
      <c r="AU301" s="3087"/>
      <c r="AV301" s="3080"/>
      <c r="AW301" s="3080"/>
      <c r="AX301" s="3216">
        <f t="shared" si="516"/>
        <v>375</v>
      </c>
      <c r="AY301" s="3167">
        <f t="shared" si="517"/>
        <v>375</v>
      </c>
      <c r="AZ301" s="3167">
        <f t="shared" si="518"/>
        <v>375</v>
      </c>
      <c r="BA301" s="3217">
        <f t="shared" si="519"/>
        <v>375</v>
      </c>
      <c r="BB301" s="3080"/>
      <c r="BC301" s="3080"/>
      <c r="BD301" s="3080"/>
      <c r="BE301" s="3080"/>
      <c r="BF301" s="3080"/>
      <c r="BG301" s="3080"/>
      <c r="BH301" s="3080"/>
      <c r="BI301" s="3088"/>
      <c r="BJ301" s="3080">
        <f t="shared" si="479"/>
        <v>1500</v>
      </c>
      <c r="BK301" s="3088"/>
      <c r="BL301" s="3088" t="s">
        <v>9164</v>
      </c>
      <c r="BM301" s="3088"/>
      <c r="BN301" s="3088">
        <f>I301/4</f>
        <v>375</v>
      </c>
      <c r="BO301" s="3088">
        <f>I301/4</f>
        <v>375</v>
      </c>
      <c r="BP301" s="3088">
        <f>I301/4</f>
        <v>375</v>
      </c>
      <c r="BQ301" s="3089">
        <f>I301/4</f>
        <v>375</v>
      </c>
      <c r="BR301" s="3089">
        <f t="shared" si="503"/>
        <v>0</v>
      </c>
      <c r="BS301" s="3222">
        <f>BN301+BO301+BP301+BQ301+$BS$369</f>
        <v>513980</v>
      </c>
      <c r="XEW301" s="3207"/>
      <c r="XEX301" s="3064"/>
      <c r="XEY301" s="3065"/>
      <c r="XEZ301" s="3066"/>
      <c r="XFA301" s="3091"/>
      <c r="XFB301" s="3066"/>
      <c r="XFC301" s="3098"/>
      <c r="XFD301" s="3069"/>
    </row>
    <row r="302" s="3035" customFormat="1" ht="32" customHeight="1" spans="1:77 16361:16384">
      <c r="A302" s="3206">
        <v>46119</v>
      </c>
      <c r="B302" s="3170" t="s">
        <v>1206</v>
      </c>
      <c r="C302" s="3171" t="s">
        <v>2580</v>
      </c>
      <c r="D302" s="3172" t="s">
        <v>9989</v>
      </c>
      <c r="E302" s="3173" t="s">
        <v>2434</v>
      </c>
      <c r="F302" s="3172" t="s">
        <v>9990</v>
      </c>
      <c r="G302" s="3174" t="s">
        <v>9419</v>
      </c>
      <c r="H302" s="3175" t="s">
        <v>9100</v>
      </c>
      <c r="I302" s="3176">
        <v>240</v>
      </c>
      <c r="J302" s="3176">
        <v>0</v>
      </c>
      <c r="K302" s="3176">
        <v>8</v>
      </c>
      <c r="L302" s="3176">
        <f t="shared" si="481"/>
        <v>30</v>
      </c>
      <c r="M302" s="3177">
        <v>46188</v>
      </c>
      <c r="N302" s="3206">
        <v>46184</v>
      </c>
      <c r="O302" s="2983"/>
      <c r="P302" s="2996" t="s">
        <v>82</v>
      </c>
      <c r="Q302" s="3223">
        <v>240</v>
      </c>
      <c r="R302" s="3224">
        <f t="shared" si="487"/>
        <v>0</v>
      </c>
      <c r="S302" s="3225" t="s">
        <v>2297</v>
      </c>
      <c r="T302" s="3225" t="s">
        <v>321</v>
      </c>
      <c r="U302" s="2999" t="s">
        <v>5893</v>
      </c>
      <c r="V302" s="2983"/>
      <c r="W302" s="3003" t="s">
        <v>1186</v>
      </c>
      <c r="X302" s="3003"/>
      <c r="Y302" s="3003" t="s">
        <v>5828</v>
      </c>
      <c r="Z302" s="3003"/>
      <c r="AA302" s="3003"/>
      <c r="AB302" s="3173" t="s">
        <v>9991</v>
      </c>
      <c r="AC302" s="3176" t="s">
        <v>1199</v>
      </c>
      <c r="AD302" s="3178">
        <v>4.0187</v>
      </c>
      <c r="AE302" s="3179">
        <f t="shared" si="514"/>
        <v>964.488</v>
      </c>
      <c r="AF302" s="3176"/>
      <c r="AG302" s="3174" t="s">
        <v>9419</v>
      </c>
      <c r="AH302" s="3176" t="s">
        <v>416</v>
      </c>
      <c r="AI302" s="3077"/>
      <c r="AJ302" s="3077">
        <f t="shared" si="515"/>
        <v>240</v>
      </c>
      <c r="AK302" s="3077"/>
      <c r="AL302" s="3077"/>
      <c r="AM302" s="3079"/>
      <c r="AN302" s="3079"/>
      <c r="AO302" s="3079"/>
      <c r="AP302" s="3079">
        <f t="shared" si="482"/>
        <v>240</v>
      </c>
      <c r="AQ302" s="3079"/>
      <c r="AR302" s="3079"/>
      <c r="AS302" s="3079"/>
      <c r="AT302" s="3079"/>
      <c r="AU302" s="3079"/>
      <c r="AV302" s="3079"/>
      <c r="AW302" s="3079"/>
      <c r="AX302" s="3226">
        <f t="shared" si="516"/>
        <v>60</v>
      </c>
      <c r="AY302" s="3183">
        <f t="shared" si="517"/>
        <v>60</v>
      </c>
      <c r="AZ302" s="3183">
        <f t="shared" si="518"/>
        <v>60</v>
      </c>
      <c r="BA302" s="3227">
        <f t="shared" si="519"/>
        <v>60</v>
      </c>
      <c r="BB302" s="3079"/>
      <c r="BC302" s="3079"/>
      <c r="BD302" s="3079"/>
      <c r="BE302" s="3079"/>
      <c r="BF302" s="3079"/>
      <c r="BG302" s="3079"/>
      <c r="BH302" s="3079"/>
      <c r="BI302" s="3182"/>
      <c r="BJ302" s="3079">
        <f t="shared" si="479"/>
        <v>240</v>
      </c>
      <c r="BK302" s="3182"/>
      <c r="BL302" s="3182" t="s">
        <v>9164</v>
      </c>
      <c r="BM302" s="3182"/>
      <c r="BN302" s="3182"/>
      <c r="BO302" s="3182"/>
      <c r="BP302" s="3182">
        <f>I302</f>
        <v>240</v>
      </c>
      <c r="BQ302" s="3228"/>
      <c r="BR302" s="3228">
        <f t="shared" si="503"/>
        <v>0</v>
      </c>
      <c r="BS302" s="3229"/>
      <c r="XEW302" s="3206"/>
      <c r="XEX302" s="3170"/>
      <c r="XEY302" s="3171"/>
      <c r="XEZ302" s="3172"/>
      <c r="XFA302" s="3173"/>
      <c r="XFB302" s="3172"/>
      <c r="XFC302" s="3174"/>
      <c r="XFD302" s="3175"/>
    </row>
    <row r="303" s="3035" customFormat="1" ht="32" customHeight="1" spans="1:77 16361:16384">
      <c r="A303" s="3206">
        <v>46119</v>
      </c>
      <c r="B303" s="3170" t="s">
        <v>1206</v>
      </c>
      <c r="C303" s="3171" t="s">
        <v>2580</v>
      </c>
      <c r="D303" s="3172" t="s">
        <v>9989</v>
      </c>
      <c r="E303" s="3173" t="s">
        <v>2434</v>
      </c>
      <c r="F303" s="3172" t="s">
        <v>9992</v>
      </c>
      <c r="G303" s="3174" t="s">
        <v>9255</v>
      </c>
      <c r="H303" s="3175" t="s">
        <v>9098</v>
      </c>
      <c r="I303" s="3176">
        <v>240</v>
      </c>
      <c r="J303" s="3176">
        <v>0</v>
      </c>
      <c r="K303" s="3176">
        <v>8</v>
      </c>
      <c r="L303" s="3176">
        <f t="shared" si="481"/>
        <v>30</v>
      </c>
      <c r="M303" s="3177">
        <v>46188</v>
      </c>
      <c r="N303" s="3206">
        <v>46184</v>
      </c>
      <c r="O303" s="2983"/>
      <c r="P303" s="2996" t="s">
        <v>82</v>
      </c>
      <c r="Q303" s="3223">
        <v>240</v>
      </c>
      <c r="R303" s="3224">
        <f t="shared" si="487"/>
        <v>0</v>
      </c>
      <c r="S303" s="3225" t="s">
        <v>2297</v>
      </c>
      <c r="T303" s="3225" t="s">
        <v>321</v>
      </c>
      <c r="U303" s="2999" t="s">
        <v>5893</v>
      </c>
      <c r="V303" s="2983"/>
      <c r="W303" s="3003" t="s">
        <v>1186</v>
      </c>
      <c r="X303" s="3003"/>
      <c r="Y303" s="3003" t="s">
        <v>5828</v>
      </c>
      <c r="Z303" s="3003"/>
      <c r="AA303" s="3003"/>
      <c r="AB303" s="3173" t="s">
        <v>9991</v>
      </c>
      <c r="AC303" s="3176" t="s">
        <v>1199</v>
      </c>
      <c r="AD303" s="3178">
        <v>4.0187</v>
      </c>
      <c r="AE303" s="3179">
        <f t="shared" si="514"/>
        <v>964.488</v>
      </c>
      <c r="AF303" s="3176"/>
      <c r="AG303" s="3174" t="s">
        <v>9255</v>
      </c>
      <c r="AH303" s="3176" t="s">
        <v>416</v>
      </c>
      <c r="AI303" s="3077"/>
      <c r="AJ303" s="3077">
        <f t="shared" si="515"/>
        <v>240</v>
      </c>
      <c r="AK303" s="3077"/>
      <c r="AL303" s="3077"/>
      <c r="AM303" s="3079"/>
      <c r="AN303" s="3079"/>
      <c r="AO303" s="3079"/>
      <c r="AP303" s="3079">
        <f t="shared" si="482"/>
        <v>240</v>
      </c>
      <c r="AQ303" s="3079"/>
      <c r="AR303" s="3079"/>
      <c r="AS303" s="3079"/>
      <c r="AT303" s="3079"/>
      <c r="AU303" s="3079"/>
      <c r="AV303" s="3079"/>
      <c r="AW303" s="3079"/>
      <c r="AX303" s="3226">
        <f t="shared" si="516"/>
        <v>60</v>
      </c>
      <c r="AY303" s="3183">
        <f t="shared" si="517"/>
        <v>60</v>
      </c>
      <c r="AZ303" s="3183">
        <f t="shared" si="518"/>
        <v>60</v>
      </c>
      <c r="BA303" s="3227">
        <f t="shared" si="519"/>
        <v>60</v>
      </c>
      <c r="BB303" s="3079"/>
      <c r="BC303" s="3079"/>
      <c r="BD303" s="3079"/>
      <c r="BE303" s="3079"/>
      <c r="BF303" s="3079"/>
      <c r="BG303" s="3079"/>
      <c r="BH303" s="3079"/>
      <c r="BI303" s="3182"/>
      <c r="BJ303" s="3079">
        <f t="shared" si="479"/>
        <v>240</v>
      </c>
      <c r="BK303" s="3182"/>
      <c r="BL303" s="3182" t="s">
        <v>9164</v>
      </c>
      <c r="BM303" s="3182"/>
      <c r="BN303" s="3182">
        <f>I303</f>
        <v>240</v>
      </c>
      <c r="BO303" s="3182"/>
      <c r="BP303" s="3182"/>
      <c r="BQ303" s="3228"/>
      <c r="BR303" s="3228">
        <f t="shared" si="503"/>
        <v>0</v>
      </c>
      <c r="BS303" s="3228"/>
      <c r="BY303" s="3230"/>
      <c r="XEW303" s="3206"/>
      <c r="XEX303" s="3170"/>
      <c r="XEY303" s="3171"/>
      <c r="XEZ303" s="3172"/>
      <c r="XFA303" s="3173"/>
      <c r="XFB303" s="3172"/>
      <c r="XFC303" s="3174"/>
      <c r="XFD303" s="3175"/>
    </row>
    <row r="304" s="3035" customFormat="1" ht="32" customHeight="1" spans="1:77 16361:16384">
      <c r="A304" s="3206">
        <v>46119</v>
      </c>
      <c r="B304" s="3170" t="s">
        <v>1206</v>
      </c>
      <c r="C304" s="3171" t="s">
        <v>2580</v>
      </c>
      <c r="D304" s="3172" t="s">
        <v>9989</v>
      </c>
      <c r="E304" s="3173" t="s">
        <v>2434</v>
      </c>
      <c r="F304" s="3172" t="s">
        <v>9993</v>
      </c>
      <c r="G304" s="3174" t="s">
        <v>9431</v>
      </c>
      <c r="H304" s="3175" t="s">
        <v>9099</v>
      </c>
      <c r="I304" s="3176">
        <v>240</v>
      </c>
      <c r="J304" s="3176">
        <v>0</v>
      </c>
      <c r="K304" s="3176">
        <v>8</v>
      </c>
      <c r="L304" s="3176">
        <f t="shared" si="481"/>
        <v>30</v>
      </c>
      <c r="M304" s="3177">
        <v>46188</v>
      </c>
      <c r="N304" s="3206">
        <v>46184</v>
      </c>
      <c r="O304" s="2983"/>
      <c r="P304" s="2996" t="s">
        <v>82</v>
      </c>
      <c r="Q304" s="3223">
        <v>240</v>
      </c>
      <c r="R304" s="3224">
        <f t="shared" si="487"/>
        <v>0</v>
      </c>
      <c r="S304" s="3225" t="s">
        <v>2297</v>
      </c>
      <c r="T304" s="3225" t="s">
        <v>321</v>
      </c>
      <c r="U304" s="2999" t="s">
        <v>5893</v>
      </c>
      <c r="V304" s="2983"/>
      <c r="W304" s="3003" t="s">
        <v>1186</v>
      </c>
      <c r="X304" s="3003"/>
      <c r="Y304" s="3003" t="s">
        <v>5828</v>
      </c>
      <c r="Z304" s="3003"/>
      <c r="AA304" s="3003"/>
      <c r="AB304" s="3173" t="s">
        <v>9991</v>
      </c>
      <c r="AC304" s="3176" t="s">
        <v>1199</v>
      </c>
      <c r="AD304" s="3178">
        <v>4.0187</v>
      </c>
      <c r="AE304" s="3179">
        <f t="shared" si="514"/>
        <v>964.488</v>
      </c>
      <c r="AF304" s="3176"/>
      <c r="AG304" s="3174" t="s">
        <v>9431</v>
      </c>
      <c r="AH304" s="3176" t="s">
        <v>416</v>
      </c>
      <c r="AI304" s="3077"/>
      <c r="AJ304" s="3077">
        <f t="shared" si="515"/>
        <v>240</v>
      </c>
      <c r="AK304" s="3077"/>
      <c r="AL304" s="3077"/>
      <c r="AM304" s="3079"/>
      <c r="AN304" s="3079"/>
      <c r="AO304" s="3079"/>
      <c r="AP304" s="3079">
        <f t="shared" si="482"/>
        <v>240</v>
      </c>
      <c r="AQ304" s="3079"/>
      <c r="AR304" s="3079"/>
      <c r="AS304" s="3079"/>
      <c r="AT304" s="3079"/>
      <c r="AU304" s="3079"/>
      <c r="AV304" s="3079"/>
      <c r="AW304" s="3079"/>
      <c r="AX304" s="3226">
        <f t="shared" si="516"/>
        <v>60</v>
      </c>
      <c r="AY304" s="3183">
        <f t="shared" si="517"/>
        <v>60</v>
      </c>
      <c r="AZ304" s="3183">
        <f t="shared" si="518"/>
        <v>60</v>
      </c>
      <c r="BA304" s="3227">
        <f t="shared" si="519"/>
        <v>60</v>
      </c>
      <c r="BB304" s="3079"/>
      <c r="BC304" s="3079"/>
      <c r="BD304" s="3079"/>
      <c r="BE304" s="3079"/>
      <c r="BF304" s="3079"/>
      <c r="BG304" s="3079"/>
      <c r="BH304" s="3079"/>
      <c r="BI304" s="3182"/>
      <c r="BJ304" s="3079">
        <f t="shared" si="479"/>
        <v>240</v>
      </c>
      <c r="BK304" s="3182"/>
      <c r="BL304" s="3118" t="s">
        <v>9164</v>
      </c>
      <c r="BM304" s="3182"/>
      <c r="BN304" s="3182"/>
      <c r="BO304" s="3182">
        <f>I304</f>
        <v>240</v>
      </c>
      <c r="BP304" s="3182"/>
      <c r="BQ304" s="3228"/>
      <c r="BR304" s="3228">
        <f t="shared" si="503"/>
        <v>0</v>
      </c>
      <c r="BS304" s="3228"/>
      <c r="BY304" s="3230"/>
      <c r="XEW304" s="3206"/>
      <c r="XEX304" s="3170"/>
      <c r="XEY304" s="3171"/>
      <c r="XEZ304" s="3172"/>
      <c r="XFA304" s="3173"/>
      <c r="XFB304" s="3172"/>
      <c r="XFC304" s="3174"/>
      <c r="XFD304" s="3175"/>
    </row>
    <row r="305" s="3032" customFormat="1" ht="32" customHeight="1" spans="1:77 16353:16384">
      <c r="A305" s="3169">
        <v>46151</v>
      </c>
      <c r="B305" s="3170" t="s">
        <v>9994</v>
      </c>
      <c r="C305" s="3171" t="s">
        <v>2756</v>
      </c>
      <c r="D305" s="3172" t="s">
        <v>9995</v>
      </c>
      <c r="E305" s="3173" t="s">
        <v>9996</v>
      </c>
      <c r="F305" s="3172" t="s">
        <v>9997</v>
      </c>
      <c r="G305" s="3174" t="s">
        <v>9154</v>
      </c>
      <c r="H305" s="3175" t="s">
        <v>9155</v>
      </c>
      <c r="I305" s="3176">
        <v>1760</v>
      </c>
      <c r="J305" s="3176">
        <v>0</v>
      </c>
      <c r="K305" s="3176">
        <v>8</v>
      </c>
      <c r="L305" s="3176">
        <f t="shared" si="481"/>
        <v>220</v>
      </c>
      <c r="M305" s="3177">
        <v>46191</v>
      </c>
      <c r="N305" s="3206">
        <f>M305-3</f>
        <v>46188</v>
      </c>
      <c r="O305" s="2983" t="s">
        <v>9998</v>
      </c>
      <c r="P305" s="2996" t="s">
        <v>82</v>
      </c>
      <c r="Q305" s="3223">
        <f>32+1728</f>
        <v>1760</v>
      </c>
      <c r="R305" s="3224">
        <f t="shared" si="487"/>
        <v>0</v>
      </c>
      <c r="S305" s="3225" t="s">
        <v>2297</v>
      </c>
      <c r="T305" s="3225" t="s">
        <v>321</v>
      </c>
      <c r="U305" s="2999" t="s">
        <v>3947</v>
      </c>
      <c r="V305" s="2983"/>
      <c r="W305" s="3003" t="s">
        <v>1349</v>
      </c>
      <c r="X305" s="3003"/>
      <c r="Y305" s="3003" t="s">
        <v>9999</v>
      </c>
      <c r="Z305" s="3003"/>
      <c r="AA305" s="3003"/>
      <c r="AB305" s="3173" t="s">
        <v>10000</v>
      </c>
      <c r="AC305" s="3176" t="s">
        <v>10001</v>
      </c>
      <c r="AD305" s="3231">
        <v>4.2832</v>
      </c>
      <c r="AE305" s="3179">
        <f t="shared" si="514"/>
        <v>7538.432</v>
      </c>
      <c r="AF305" s="3176"/>
      <c r="AG305" s="3176" t="s">
        <v>9239</v>
      </c>
      <c r="AH305" s="3176" t="s">
        <v>416</v>
      </c>
      <c r="AI305" s="3161"/>
      <c r="AJ305" s="3077"/>
      <c r="AK305" s="3103"/>
      <c r="AL305" s="3077">
        <f>I305</f>
        <v>1760</v>
      </c>
      <c r="AM305" s="3103"/>
      <c r="AN305" s="3077"/>
      <c r="AO305" s="3102"/>
      <c r="AP305" s="3079">
        <f t="shared" si="482"/>
        <v>1760</v>
      </c>
      <c r="AQ305" s="3079"/>
      <c r="AR305" s="3079"/>
      <c r="AS305" s="3180"/>
      <c r="AT305" s="3116"/>
      <c r="AU305" s="3102"/>
      <c r="AV305" s="3102"/>
      <c r="AW305" s="3117"/>
      <c r="AX305" s="3226">
        <f t="shared" si="516"/>
        <v>440</v>
      </c>
      <c r="AY305" s="3183">
        <f t="shared" si="517"/>
        <v>440</v>
      </c>
      <c r="AZ305" s="3183">
        <f t="shared" si="518"/>
        <v>440</v>
      </c>
      <c r="BA305" s="3227">
        <f t="shared" si="519"/>
        <v>440</v>
      </c>
      <c r="BB305" s="3181"/>
      <c r="BC305" s="3079"/>
      <c r="BD305" s="3079"/>
      <c r="BE305" s="3079"/>
      <c r="BF305" s="3079"/>
      <c r="BG305" s="3079"/>
      <c r="BH305" s="3079"/>
      <c r="BI305" s="3079"/>
      <c r="BJ305" s="3079">
        <f t="shared" si="479"/>
        <v>1760</v>
      </c>
      <c r="BK305" s="3079"/>
      <c r="BL305" s="3079" t="s">
        <v>9164</v>
      </c>
      <c r="BM305" s="3102"/>
      <c r="BN305" s="3079">
        <f t="shared" ref="BN305:BN311" si="520">I305/4</f>
        <v>440</v>
      </c>
      <c r="BO305" s="3079">
        <f t="shared" ref="BO305:BO311" si="521">I305/4</f>
        <v>440</v>
      </c>
      <c r="BP305" s="3079">
        <f t="shared" ref="BP305:BP311" si="522">I305/4</f>
        <v>440</v>
      </c>
      <c r="BQ305" s="3182">
        <f t="shared" ref="BQ305:BQ311" si="523">I305/4</f>
        <v>440</v>
      </c>
      <c r="BR305" s="3079">
        <f t="shared" si="503"/>
        <v>0</v>
      </c>
      <c r="BS305" s="3182"/>
      <c r="BT305" s="3182"/>
      <c r="BU305" s="3182"/>
      <c r="BV305" s="3182"/>
      <c r="BW305" s="3182"/>
      <c r="BX305" s="3182"/>
    </row>
    <row r="306" s="3035" customFormat="1" ht="32" customHeight="1" spans="1:77 16353:16384">
      <c r="A306" s="3206">
        <v>46149</v>
      </c>
      <c r="B306" s="3170" t="s">
        <v>10002</v>
      </c>
      <c r="C306" s="3171" t="s">
        <v>1316</v>
      </c>
      <c r="D306" s="3172" t="s">
        <v>10003</v>
      </c>
      <c r="E306" s="3173" t="s">
        <v>2434</v>
      </c>
      <c r="F306" s="3172" t="s">
        <v>10004</v>
      </c>
      <c r="G306" s="3174" t="s">
        <v>9154</v>
      </c>
      <c r="H306" s="3175" t="s">
        <v>9155</v>
      </c>
      <c r="I306" s="3176">
        <v>1000</v>
      </c>
      <c r="J306" s="3176">
        <v>0</v>
      </c>
      <c r="K306" s="3176">
        <v>8</v>
      </c>
      <c r="L306" s="3176">
        <f t="shared" si="481"/>
        <v>125</v>
      </c>
      <c r="M306" s="3177">
        <v>46191</v>
      </c>
      <c r="N306" s="3206">
        <v>46188</v>
      </c>
      <c r="O306" s="2983"/>
      <c r="P306" s="2996" t="s">
        <v>82</v>
      </c>
      <c r="Q306" s="3223">
        <v>1000</v>
      </c>
      <c r="R306" s="3224">
        <f t="shared" si="487"/>
        <v>0</v>
      </c>
      <c r="S306" s="3225" t="s">
        <v>2297</v>
      </c>
      <c r="T306" s="3225" t="s">
        <v>321</v>
      </c>
      <c r="U306" s="2999" t="s">
        <v>200</v>
      </c>
      <c r="V306" s="2983"/>
      <c r="W306" s="3003" t="s">
        <v>3917</v>
      </c>
      <c r="X306" s="3003"/>
      <c r="Y306" s="3003" t="s">
        <v>10005</v>
      </c>
      <c r="Z306" s="3003"/>
      <c r="AA306" s="3003"/>
      <c r="AB306" s="3173" t="s">
        <v>10006</v>
      </c>
      <c r="AC306" s="3176" t="s">
        <v>1326</v>
      </c>
      <c r="AD306" s="3231">
        <v>4.2832</v>
      </c>
      <c r="AE306" s="3179">
        <f t="shared" si="514"/>
        <v>4283.2</v>
      </c>
      <c r="AF306" s="3176"/>
      <c r="AG306" s="3176" t="s">
        <v>9239</v>
      </c>
      <c r="AH306" s="3176" t="s">
        <v>416</v>
      </c>
      <c r="AI306" s="3077"/>
      <c r="AJ306" s="3077"/>
      <c r="AK306" s="3232"/>
      <c r="AL306" s="3079">
        <f>I306</f>
        <v>1000</v>
      </c>
      <c r="AM306" s="3102"/>
      <c r="AN306" s="3079"/>
      <c r="AO306" s="3102"/>
      <c r="AP306" s="3079">
        <f t="shared" si="482"/>
        <v>1000</v>
      </c>
      <c r="AQ306" s="3226"/>
      <c r="AR306" s="3183"/>
      <c r="AS306" s="3183"/>
      <c r="AT306" s="3233"/>
      <c r="AU306" s="3234"/>
      <c r="AV306" s="3234"/>
      <c r="AW306" s="3234"/>
      <c r="AX306" s="3226">
        <f t="shared" si="516"/>
        <v>250</v>
      </c>
      <c r="AY306" s="3183">
        <f t="shared" si="517"/>
        <v>250</v>
      </c>
      <c r="AZ306" s="3183">
        <f t="shared" si="518"/>
        <v>250</v>
      </c>
      <c r="BA306" s="3227">
        <f t="shared" si="519"/>
        <v>250</v>
      </c>
      <c r="BC306" s="3228"/>
      <c r="BE306" s="3228"/>
      <c r="BF306" s="3228"/>
      <c r="BG306" s="3228"/>
      <c r="BH306" s="3228"/>
      <c r="BI306" s="3228"/>
      <c r="BJ306" s="3228">
        <f t="shared" si="479"/>
        <v>1000</v>
      </c>
      <c r="BK306" s="3228"/>
      <c r="BL306" s="3228" t="s">
        <v>9164</v>
      </c>
      <c r="BM306" s="3234"/>
      <c r="BN306" s="3228">
        <f t="shared" si="520"/>
        <v>250</v>
      </c>
      <c r="BO306" s="3228">
        <f t="shared" si="521"/>
        <v>250</v>
      </c>
      <c r="BP306" s="3228">
        <f t="shared" si="522"/>
        <v>250</v>
      </c>
      <c r="BQ306" s="3228">
        <f t="shared" si="523"/>
        <v>250</v>
      </c>
      <c r="BR306" s="3228">
        <f t="shared" si="503"/>
        <v>0</v>
      </c>
      <c r="BY306" s="3230"/>
      <c r="XDY306" s="3206"/>
      <c r="XDZ306" s="3170"/>
      <c r="XEA306" s="3171"/>
      <c r="XEB306" s="3172"/>
      <c r="XEC306" s="3173"/>
      <c r="XED306" s="3172"/>
      <c r="XEE306" s="3174"/>
      <c r="XEF306" s="3175"/>
      <c r="XEG306" s="3206"/>
      <c r="XEH306" s="3170"/>
      <c r="XEI306" s="3171"/>
      <c r="XEJ306" s="3172"/>
      <c r="XEK306" s="3173"/>
      <c r="XEL306" s="3172"/>
      <c r="XEM306" s="3174"/>
      <c r="XEN306" s="3175"/>
      <c r="XEO306" s="3206"/>
      <c r="XEP306" s="3170"/>
      <c r="XEQ306" s="3171"/>
      <c r="XER306" s="3172"/>
      <c r="XES306" s="3173"/>
      <c r="XET306" s="3172"/>
      <c r="XEU306" s="3174"/>
      <c r="XEV306" s="3175"/>
      <c r="XEW306" s="3206"/>
      <c r="XEX306" s="3170"/>
      <c r="XEY306" s="3171"/>
      <c r="XEZ306" s="3172"/>
      <c r="XFA306" s="3173"/>
      <c r="XFB306" s="3172"/>
      <c r="XFC306" s="3174"/>
      <c r="XFD306" s="3175"/>
    </row>
    <row r="307" s="3035" customFormat="1" ht="32" customHeight="1" spans="1:77 16353:16384">
      <c r="A307" s="3206">
        <v>46115</v>
      </c>
      <c r="B307" s="3170" t="s">
        <v>10007</v>
      </c>
      <c r="C307" s="3171" t="s">
        <v>2776</v>
      </c>
      <c r="D307" s="3172" t="s">
        <v>10008</v>
      </c>
      <c r="E307" s="3173" t="s">
        <v>2434</v>
      </c>
      <c r="F307" s="3172" t="s">
        <v>10009</v>
      </c>
      <c r="G307" s="3174" t="s">
        <v>9154</v>
      </c>
      <c r="H307" s="3175" t="s">
        <v>9155</v>
      </c>
      <c r="I307" s="3176">
        <v>1800</v>
      </c>
      <c r="J307" s="3176">
        <v>0</v>
      </c>
      <c r="K307" s="3176">
        <v>8</v>
      </c>
      <c r="L307" s="3176">
        <f t="shared" si="481"/>
        <v>225</v>
      </c>
      <c r="M307" s="3177">
        <v>46195</v>
      </c>
      <c r="N307" s="3206">
        <f>M307-4</f>
        <v>46191</v>
      </c>
      <c r="O307" s="2983"/>
      <c r="P307" s="2996" t="s">
        <v>82</v>
      </c>
      <c r="Q307" s="3223">
        <v>1800</v>
      </c>
      <c r="R307" s="3224">
        <f t="shared" si="487"/>
        <v>0</v>
      </c>
      <c r="S307" s="3225" t="s">
        <v>2297</v>
      </c>
      <c r="T307" s="3225" t="s">
        <v>321</v>
      </c>
      <c r="U307" s="2999" t="s">
        <v>5893</v>
      </c>
      <c r="V307" s="2983"/>
      <c r="W307" s="3175" t="s">
        <v>1216</v>
      </c>
      <c r="X307" s="3003"/>
      <c r="Y307" s="3003" t="s">
        <v>10010</v>
      </c>
      <c r="Z307" s="3003"/>
      <c r="AA307" s="3003"/>
      <c r="AB307" s="3173" t="s">
        <v>10011</v>
      </c>
      <c r="AC307" s="3176" t="s">
        <v>1434</v>
      </c>
      <c r="AD307" s="3231">
        <v>4.0216</v>
      </c>
      <c r="AE307" s="3179">
        <f t="shared" si="514"/>
        <v>7238.88</v>
      </c>
      <c r="AF307" s="3176"/>
      <c r="AG307" s="3176" t="s">
        <v>9239</v>
      </c>
      <c r="AH307" s="3176" t="s">
        <v>416</v>
      </c>
      <c r="AI307" s="3077"/>
      <c r="AJ307" s="3077"/>
      <c r="AK307" s="3077"/>
      <c r="AL307" s="3077">
        <f>I307</f>
        <v>1800</v>
      </c>
      <c r="AM307" s="3079"/>
      <c r="AN307" s="3079"/>
      <c r="AO307" s="3079"/>
      <c r="AP307" s="3079">
        <f t="shared" si="482"/>
        <v>1800</v>
      </c>
      <c r="AQ307" s="3183"/>
      <c r="AR307" s="3183"/>
      <c r="AS307" s="3183"/>
      <c r="AT307" s="3227"/>
      <c r="AU307" s="3181"/>
      <c r="AV307" s="3079"/>
      <c r="AW307" s="3079"/>
      <c r="AX307" s="3226">
        <f t="shared" si="516"/>
        <v>450</v>
      </c>
      <c r="AY307" s="3183">
        <f t="shared" si="517"/>
        <v>450</v>
      </c>
      <c r="AZ307" s="3183">
        <f t="shared" si="518"/>
        <v>450</v>
      </c>
      <c r="BA307" s="3227">
        <f t="shared" si="519"/>
        <v>450</v>
      </c>
      <c r="BB307" s="3079"/>
      <c r="BC307" s="3079"/>
      <c r="BD307" s="3079"/>
      <c r="BE307" s="3079"/>
      <c r="BF307" s="3079"/>
      <c r="BG307" s="3079"/>
      <c r="BH307" s="3079"/>
      <c r="BI307" s="3079"/>
      <c r="BJ307" s="3079">
        <f t="shared" si="479"/>
        <v>1800</v>
      </c>
      <c r="BK307" s="3182"/>
      <c r="BL307" s="3182" t="s">
        <v>9164</v>
      </c>
      <c r="BM307" s="3182"/>
      <c r="BN307" s="3182">
        <f t="shared" si="520"/>
        <v>450</v>
      </c>
      <c r="BO307" s="3182">
        <f t="shared" si="521"/>
        <v>450</v>
      </c>
      <c r="BP307" s="3182">
        <f t="shared" si="522"/>
        <v>450</v>
      </c>
      <c r="BQ307" s="3228">
        <f t="shared" si="523"/>
        <v>450</v>
      </c>
      <c r="BR307" s="3228">
        <f t="shared" si="503"/>
        <v>0</v>
      </c>
      <c r="BS307" s="3228"/>
      <c r="XEW307" s="3206"/>
      <c r="XEX307" s="3170"/>
      <c r="XEY307" s="3171"/>
      <c r="XEZ307" s="3172"/>
      <c r="XFA307" s="3173"/>
      <c r="XFB307" s="3172"/>
      <c r="XFC307" s="3174"/>
      <c r="XFD307" s="3175"/>
    </row>
    <row r="308" s="3032" customFormat="1" ht="32" customHeight="1" spans="1:77 16353:16384">
      <c r="A308" s="3169">
        <v>46158</v>
      </c>
      <c r="B308" s="3170" t="s">
        <v>10012</v>
      </c>
      <c r="C308" s="3171" t="s">
        <v>1316</v>
      </c>
      <c r="D308" s="3172" t="s">
        <v>10013</v>
      </c>
      <c r="E308" s="3173" t="s">
        <v>2434</v>
      </c>
      <c r="F308" s="3172" t="s">
        <v>10014</v>
      </c>
      <c r="G308" s="3174" t="s">
        <v>9154</v>
      </c>
      <c r="H308" s="3175" t="s">
        <v>9155</v>
      </c>
      <c r="I308" s="3176">
        <v>1000</v>
      </c>
      <c r="J308" s="3176">
        <v>0</v>
      </c>
      <c r="K308" s="3176">
        <v>8</v>
      </c>
      <c r="L308" s="3176">
        <f t="shared" si="481"/>
        <v>125</v>
      </c>
      <c r="M308" s="3177">
        <v>46203</v>
      </c>
      <c r="N308" s="3206">
        <v>46199</v>
      </c>
      <c r="O308" s="2983"/>
      <c r="P308" s="2996" t="s">
        <v>82</v>
      </c>
      <c r="Q308" s="3223">
        <v>1000</v>
      </c>
      <c r="R308" s="3224">
        <f t="shared" si="487"/>
        <v>0</v>
      </c>
      <c r="S308" s="3225" t="s">
        <v>2297</v>
      </c>
      <c r="T308" s="3225" t="s">
        <v>321</v>
      </c>
      <c r="U308" s="2999"/>
      <c r="V308" s="2983"/>
      <c r="W308" s="3003" t="s">
        <v>1342</v>
      </c>
      <c r="X308" s="3003"/>
      <c r="Y308" s="3003" t="s">
        <v>10015</v>
      </c>
      <c r="Z308" s="3003"/>
      <c r="AA308" s="3003"/>
      <c r="AB308" s="3173" t="s">
        <v>10016</v>
      </c>
      <c r="AC308" s="3176" t="s">
        <v>1326</v>
      </c>
      <c r="AD308" s="3231">
        <v>4.2832</v>
      </c>
      <c r="AE308" s="3179">
        <f t="shared" si="514"/>
        <v>4283.2</v>
      </c>
      <c r="AF308" s="3176"/>
      <c r="AG308" s="3176" t="s">
        <v>9239</v>
      </c>
      <c r="AH308" s="3176" t="s">
        <v>416</v>
      </c>
      <c r="AI308" s="3161"/>
      <c r="AJ308" s="3077"/>
      <c r="AK308" s="3103"/>
      <c r="AL308" s="3077">
        <f>I308</f>
        <v>1000</v>
      </c>
      <c r="AM308" s="3103"/>
      <c r="AN308" s="3077"/>
      <c r="AO308" s="3102"/>
      <c r="AP308" s="3079">
        <f t="shared" si="482"/>
        <v>1000</v>
      </c>
      <c r="AQ308" s="3079"/>
      <c r="AR308" s="3079"/>
      <c r="AS308" s="3180"/>
      <c r="AT308" s="3116"/>
      <c r="AU308" s="3102"/>
      <c r="AV308" s="3102"/>
      <c r="AW308" s="3117"/>
      <c r="AX308" s="3226">
        <f t="shared" si="516"/>
        <v>250</v>
      </c>
      <c r="AY308" s="3183">
        <f t="shared" si="517"/>
        <v>250</v>
      </c>
      <c r="AZ308" s="3183">
        <f t="shared" si="518"/>
        <v>250</v>
      </c>
      <c r="BA308" s="3227">
        <f t="shared" si="519"/>
        <v>250</v>
      </c>
      <c r="BB308" s="3181"/>
      <c r="BC308" s="3079"/>
      <c r="BD308" s="3079"/>
      <c r="BE308" s="3079"/>
      <c r="BF308" s="3079"/>
      <c r="BG308" s="3079"/>
      <c r="BH308" s="3079"/>
      <c r="BI308" s="3079"/>
      <c r="BJ308" s="3079">
        <f t="shared" si="479"/>
        <v>1000</v>
      </c>
      <c r="BK308" s="3079"/>
      <c r="BL308" s="3079" t="s">
        <v>9164</v>
      </c>
      <c r="BM308" s="3102"/>
      <c r="BN308" s="3079">
        <f t="shared" si="520"/>
        <v>250</v>
      </c>
      <c r="BO308" s="3079">
        <f t="shared" si="521"/>
        <v>250</v>
      </c>
      <c r="BP308" s="3079">
        <f t="shared" si="522"/>
        <v>250</v>
      </c>
      <c r="BQ308" s="3182">
        <f t="shared" si="523"/>
        <v>250</v>
      </c>
      <c r="BR308" s="3079">
        <f t="shared" si="503"/>
        <v>0</v>
      </c>
      <c r="BS308" s="3182"/>
      <c r="BT308" s="3182"/>
      <c r="BU308" s="3182"/>
      <c r="BV308" s="3182"/>
      <c r="BW308" s="3182"/>
      <c r="BX308" s="3182"/>
    </row>
    <row r="309" s="3032" customFormat="1" ht="32" customHeight="1" spans="1:77 16353:16384">
      <c r="A309" s="3169">
        <v>46105</v>
      </c>
      <c r="B309" s="3170" t="s">
        <v>2285</v>
      </c>
      <c r="C309" s="3171" t="s">
        <v>2580</v>
      </c>
      <c r="D309" s="3172">
        <v>4500198079</v>
      </c>
      <c r="E309" s="3173" t="s">
        <v>8864</v>
      </c>
      <c r="F309" s="3172" t="s">
        <v>10017</v>
      </c>
      <c r="G309" s="3174" t="s">
        <v>9154</v>
      </c>
      <c r="H309" s="3175" t="s">
        <v>9155</v>
      </c>
      <c r="I309" s="3176">
        <v>560</v>
      </c>
      <c r="J309" s="3176">
        <v>0</v>
      </c>
      <c r="K309" s="3176">
        <v>8</v>
      </c>
      <c r="L309" s="3176">
        <f t="shared" si="481"/>
        <v>70</v>
      </c>
      <c r="M309" s="3177">
        <v>46203</v>
      </c>
      <c r="N309" s="3169">
        <f>M309-4</f>
        <v>46199</v>
      </c>
      <c r="O309" s="2983"/>
      <c r="P309" s="2996" t="s">
        <v>82</v>
      </c>
      <c r="Q309" s="3223">
        <v>560</v>
      </c>
      <c r="R309" s="3224">
        <f t="shared" si="487"/>
        <v>0</v>
      </c>
      <c r="S309" s="3225" t="s">
        <v>2297</v>
      </c>
      <c r="T309" s="3225" t="s">
        <v>321</v>
      </c>
      <c r="U309" s="2999" t="s">
        <v>4083</v>
      </c>
      <c r="V309" s="2983"/>
      <c r="W309" s="3003" t="s">
        <v>3675</v>
      </c>
      <c r="X309" s="3003"/>
      <c r="Y309" s="3003" t="s">
        <v>8861</v>
      </c>
      <c r="Z309" s="3003"/>
      <c r="AA309" s="3003"/>
      <c r="AB309" s="3173" t="s">
        <v>8873</v>
      </c>
      <c r="AC309" s="3176" t="s">
        <v>8871</v>
      </c>
      <c r="AD309" s="3231">
        <v>4.1743</v>
      </c>
      <c r="AE309" s="3179">
        <f t="shared" si="514"/>
        <v>2337.608</v>
      </c>
      <c r="AF309" s="3176"/>
      <c r="AG309" s="3176" t="s">
        <v>9154</v>
      </c>
      <c r="AH309" s="3176" t="s">
        <v>416</v>
      </c>
      <c r="AI309" s="3161"/>
      <c r="AJ309" s="3077">
        <f>I309</f>
        <v>560</v>
      </c>
      <c r="AK309" s="3103"/>
      <c r="AL309" s="3077"/>
      <c r="AM309" s="3103"/>
      <c r="AN309" s="3077"/>
      <c r="AO309" s="3102"/>
      <c r="AP309" s="3079">
        <f t="shared" si="482"/>
        <v>560</v>
      </c>
      <c r="AQ309" s="3079"/>
      <c r="AR309" s="3079"/>
      <c r="AS309" s="3180"/>
      <c r="AT309" s="3116"/>
      <c r="AU309" s="3102"/>
      <c r="AV309" s="3102"/>
      <c r="AW309" s="3117"/>
      <c r="AX309" s="3226">
        <f t="shared" si="516"/>
        <v>140</v>
      </c>
      <c r="AY309" s="3183">
        <f t="shared" si="517"/>
        <v>140</v>
      </c>
      <c r="AZ309" s="3183">
        <f t="shared" si="518"/>
        <v>140</v>
      </c>
      <c r="BA309" s="3227">
        <f t="shared" si="519"/>
        <v>140</v>
      </c>
      <c r="BB309" s="3181"/>
      <c r="BC309" s="3079"/>
      <c r="BD309" s="3079"/>
      <c r="BE309" s="3079"/>
      <c r="BF309" s="3079"/>
      <c r="BG309" s="3079"/>
      <c r="BH309" s="3079"/>
      <c r="BI309" s="3079"/>
      <c r="BJ309" s="3079">
        <f t="shared" si="479"/>
        <v>560</v>
      </c>
      <c r="BK309" s="3079"/>
      <c r="BL309" s="3079" t="s">
        <v>9164</v>
      </c>
      <c r="BM309" s="3102"/>
      <c r="BN309" s="3079">
        <f t="shared" si="520"/>
        <v>140</v>
      </c>
      <c r="BO309" s="3079">
        <f t="shared" si="521"/>
        <v>140</v>
      </c>
      <c r="BP309" s="3079">
        <f t="shared" si="522"/>
        <v>140</v>
      </c>
      <c r="BQ309" s="3079">
        <f t="shared" si="523"/>
        <v>140</v>
      </c>
      <c r="BR309" s="3079">
        <f t="shared" si="503"/>
        <v>0</v>
      </c>
      <c r="BS309" s="3182"/>
      <c r="BT309" s="3182"/>
      <c r="BU309" s="3182"/>
      <c r="BV309" s="3182"/>
      <c r="BW309" s="3182"/>
      <c r="BX309" s="3182"/>
    </row>
    <row r="310" s="3032" customFormat="1" ht="32" customHeight="1" spans="1:77 16353:16384">
      <c r="A310" s="3169">
        <v>46105</v>
      </c>
      <c r="B310" s="3170" t="s">
        <v>2285</v>
      </c>
      <c r="C310" s="3171" t="s">
        <v>2580</v>
      </c>
      <c r="D310" s="3172">
        <v>4500198067</v>
      </c>
      <c r="E310" s="3173" t="s">
        <v>8859</v>
      </c>
      <c r="F310" s="3172" t="s">
        <v>10018</v>
      </c>
      <c r="G310" s="3174" t="s">
        <v>9154</v>
      </c>
      <c r="H310" s="3175" t="s">
        <v>9155</v>
      </c>
      <c r="I310" s="3176">
        <v>1440</v>
      </c>
      <c r="J310" s="3176">
        <v>0</v>
      </c>
      <c r="K310" s="3176">
        <v>8</v>
      </c>
      <c r="L310" s="3176">
        <f t="shared" si="481"/>
        <v>180</v>
      </c>
      <c r="M310" s="3177">
        <v>46203</v>
      </c>
      <c r="N310" s="3169">
        <f>M310-4</f>
        <v>46199</v>
      </c>
      <c r="O310" s="2983"/>
      <c r="P310" s="2983" t="s">
        <v>82</v>
      </c>
      <c r="Q310" s="3223">
        <v>1440</v>
      </c>
      <c r="R310" s="3224">
        <f t="shared" si="487"/>
        <v>0</v>
      </c>
      <c r="S310" s="3225" t="s">
        <v>2297</v>
      </c>
      <c r="T310" s="3225" t="s">
        <v>321</v>
      </c>
      <c r="U310" s="3072" t="s">
        <v>7104</v>
      </c>
      <c r="V310" s="2983"/>
      <c r="W310" s="3003" t="s">
        <v>3675</v>
      </c>
      <c r="X310" s="3003"/>
      <c r="Y310" s="3003" t="s">
        <v>10019</v>
      </c>
      <c r="Z310" s="3003"/>
      <c r="AA310" s="3003"/>
      <c r="AB310" s="3173" t="s">
        <v>8870</v>
      </c>
      <c r="AC310" s="3176" t="s">
        <v>8871</v>
      </c>
      <c r="AD310" s="3231">
        <v>4.1743</v>
      </c>
      <c r="AE310" s="3179">
        <f t="shared" si="514"/>
        <v>6010.992</v>
      </c>
      <c r="AF310" s="3176"/>
      <c r="AG310" s="3176" t="s">
        <v>9154</v>
      </c>
      <c r="AH310" s="3176" t="s">
        <v>416</v>
      </c>
      <c r="AI310" s="3161"/>
      <c r="AJ310" s="3077">
        <f>I310</f>
        <v>1440</v>
      </c>
      <c r="AK310" s="3103"/>
      <c r="AL310" s="3077"/>
      <c r="AM310" s="3103"/>
      <c r="AN310" s="3077"/>
      <c r="AO310" s="3102"/>
      <c r="AP310" s="3079">
        <f t="shared" si="482"/>
        <v>1440</v>
      </c>
      <c r="AQ310" s="3079"/>
      <c r="AR310" s="3079"/>
      <c r="AS310" s="3180"/>
      <c r="AT310" s="3116"/>
      <c r="AU310" s="3102"/>
      <c r="AV310" s="3102"/>
      <c r="AW310" s="3117"/>
      <c r="AX310" s="3226">
        <f t="shared" si="516"/>
        <v>360</v>
      </c>
      <c r="AY310" s="3183">
        <f t="shared" si="517"/>
        <v>360</v>
      </c>
      <c r="AZ310" s="3183">
        <f t="shared" si="518"/>
        <v>360</v>
      </c>
      <c r="BA310" s="3227">
        <f t="shared" si="519"/>
        <v>360</v>
      </c>
      <c r="BB310" s="3181"/>
      <c r="BC310" s="3079"/>
      <c r="BD310" s="3079"/>
      <c r="BE310" s="3079"/>
      <c r="BF310" s="3079"/>
      <c r="BG310" s="3079"/>
      <c r="BH310" s="3079"/>
      <c r="BI310" s="3079"/>
      <c r="BJ310" s="3079">
        <f t="shared" si="479"/>
        <v>1440</v>
      </c>
      <c r="BK310" s="3079"/>
      <c r="BL310" s="3079" t="s">
        <v>9164</v>
      </c>
      <c r="BM310" s="3102"/>
      <c r="BN310" s="3079">
        <f t="shared" si="520"/>
        <v>360</v>
      </c>
      <c r="BO310" s="3079">
        <f t="shared" si="521"/>
        <v>360</v>
      </c>
      <c r="BP310" s="3079">
        <f t="shared" si="522"/>
        <v>360</v>
      </c>
      <c r="BQ310" s="3079">
        <f t="shared" si="523"/>
        <v>360</v>
      </c>
      <c r="BR310" s="3079">
        <f t="shared" si="503"/>
        <v>0</v>
      </c>
      <c r="BS310" s="3182"/>
      <c r="BT310" s="3182"/>
      <c r="BU310" s="3182"/>
      <c r="BV310" s="3182"/>
      <c r="BW310" s="3182"/>
      <c r="BX310" s="3182"/>
    </row>
    <row r="311" s="3031" customFormat="1" ht="32" customHeight="1" spans="1:77 16353:16384">
      <c r="A311" s="3063">
        <v>46156</v>
      </c>
      <c r="B311" s="3064" t="s">
        <v>1617</v>
      </c>
      <c r="C311" s="3065" t="s">
        <v>91</v>
      </c>
      <c r="D311" s="3066" t="s">
        <v>10020</v>
      </c>
      <c r="E311" s="3091" t="s">
        <v>10021</v>
      </c>
      <c r="F311" s="3066" t="s">
        <v>10022</v>
      </c>
      <c r="G311" s="3098" t="s">
        <v>9154</v>
      </c>
      <c r="H311" s="3069" t="s">
        <v>9155</v>
      </c>
      <c r="I311" s="2969">
        <v>600</v>
      </c>
      <c r="J311" s="2969">
        <v>0</v>
      </c>
      <c r="K311" s="2969">
        <v>8</v>
      </c>
      <c r="L311" s="2969">
        <f t="shared" si="481"/>
        <v>75</v>
      </c>
      <c r="M311" s="3070">
        <v>46205</v>
      </c>
      <c r="N311" s="3207">
        <v>46202</v>
      </c>
      <c r="O311" s="2996"/>
      <c r="P311" s="2983" t="s">
        <v>82</v>
      </c>
      <c r="Q311" s="3208">
        <v>600</v>
      </c>
      <c r="R311" s="3210">
        <f t="shared" si="487"/>
        <v>0</v>
      </c>
      <c r="S311" s="3235" t="s">
        <v>2297</v>
      </c>
      <c r="T311" s="3071" t="s">
        <v>321</v>
      </c>
      <c r="U311" s="3072" t="s">
        <v>4042</v>
      </c>
      <c r="V311" s="2996"/>
      <c r="W311" s="3073" t="s">
        <v>3978</v>
      </c>
      <c r="X311" s="3073"/>
      <c r="Y311" s="3073" t="s">
        <v>98</v>
      </c>
      <c r="Z311" s="3073" t="s">
        <v>5984</v>
      </c>
      <c r="AA311" s="3073"/>
      <c r="AB311" s="3091" t="s">
        <v>10023</v>
      </c>
      <c r="AC311" s="2969" t="s">
        <v>405</v>
      </c>
      <c r="AD311" s="3215">
        <v>2.4759</v>
      </c>
      <c r="AE311" s="3076">
        <f t="shared" si="514"/>
        <v>1485.54</v>
      </c>
      <c r="AF311" s="2969"/>
      <c r="AG311" s="2969" t="s">
        <v>9154</v>
      </c>
      <c r="AH311" s="2969" t="s">
        <v>416</v>
      </c>
      <c r="AI311" s="3162"/>
      <c r="AJ311" s="3078">
        <f>I311</f>
        <v>600</v>
      </c>
      <c r="AK311" s="3133"/>
      <c r="AL311" s="3078"/>
      <c r="AM311" s="3133"/>
      <c r="AN311" s="3078"/>
      <c r="AO311" s="3134"/>
      <c r="AP311" s="3080">
        <f t="shared" si="482"/>
        <v>600</v>
      </c>
      <c r="AQ311" s="3080"/>
      <c r="AR311" s="3080"/>
      <c r="AS311" s="3081"/>
      <c r="AT311" s="3135"/>
      <c r="AU311" s="3134"/>
      <c r="AV311" s="3134"/>
      <c r="AW311" s="3136"/>
      <c r="AX311" s="3216">
        <f t="shared" si="516"/>
        <v>150</v>
      </c>
      <c r="AY311" s="3167">
        <f t="shared" si="517"/>
        <v>150</v>
      </c>
      <c r="AZ311" s="3167">
        <f t="shared" si="518"/>
        <v>150</v>
      </c>
      <c r="BA311" s="3217">
        <f t="shared" si="519"/>
        <v>150</v>
      </c>
      <c r="BB311" s="3087"/>
      <c r="BC311" s="3080"/>
      <c r="BD311" s="3080"/>
      <c r="BE311" s="3080"/>
      <c r="BF311" s="3080"/>
      <c r="BG311" s="3080"/>
      <c r="BH311" s="3080"/>
      <c r="BI311" s="3080"/>
      <c r="BJ311" s="3080">
        <f t="shared" si="479"/>
        <v>600</v>
      </c>
      <c r="BK311" s="3080"/>
      <c r="BL311" s="3080" t="s">
        <v>9164</v>
      </c>
      <c r="BM311" s="3134"/>
      <c r="BN311" s="3080">
        <f t="shared" si="520"/>
        <v>150</v>
      </c>
      <c r="BO311" s="3080">
        <f t="shared" si="521"/>
        <v>150</v>
      </c>
      <c r="BP311" s="3080">
        <f t="shared" si="522"/>
        <v>150</v>
      </c>
      <c r="BQ311" s="3088">
        <f t="shared" si="523"/>
        <v>150</v>
      </c>
      <c r="BR311" s="3080">
        <f t="shared" si="503"/>
        <v>0</v>
      </c>
      <c r="BS311" s="3088"/>
      <c r="BT311" s="3088"/>
      <c r="BU311" s="3088"/>
      <c r="BV311" s="3088"/>
      <c r="BW311" s="3088"/>
      <c r="BX311" s="3088"/>
    </row>
    <row r="312" s="3032" customFormat="1" ht="32" customHeight="1" spans="1:77 16353:16384">
      <c r="A312" s="3169">
        <v>46171</v>
      </c>
      <c r="B312" s="3170" t="s">
        <v>10024</v>
      </c>
      <c r="C312" s="3171" t="s">
        <v>396</v>
      </c>
      <c r="D312" s="3172" t="s">
        <v>10025</v>
      </c>
      <c r="E312" s="3173" t="s">
        <v>10026</v>
      </c>
      <c r="F312" s="3172" t="s">
        <v>10027</v>
      </c>
      <c r="G312" s="3174" t="s">
        <v>9424</v>
      </c>
      <c r="H312" s="3175" t="s">
        <v>8571</v>
      </c>
      <c r="I312" s="3176">
        <v>8</v>
      </c>
      <c r="J312" s="3176">
        <v>0</v>
      </c>
      <c r="K312" s="3176">
        <v>8</v>
      </c>
      <c r="L312" s="3176">
        <f t="shared" ref="L312:L324" si="524">I312/K312</f>
        <v>1</v>
      </c>
      <c r="M312" s="3177">
        <v>46218</v>
      </c>
      <c r="N312" s="3206">
        <v>46214</v>
      </c>
      <c r="O312" s="2983"/>
      <c r="P312" s="2983" t="s">
        <v>82</v>
      </c>
      <c r="Q312" s="3223">
        <v>8</v>
      </c>
      <c r="R312" s="3224">
        <f t="shared" ref="R312:R359" si="525">Q312-I312</f>
        <v>0</v>
      </c>
      <c r="S312" s="3236" t="s">
        <v>2297</v>
      </c>
      <c r="T312" s="3225" t="s">
        <v>321</v>
      </c>
      <c r="U312" s="2999" t="s">
        <v>208</v>
      </c>
      <c r="V312" s="2983"/>
      <c r="W312" s="3003" t="s">
        <v>1455</v>
      </c>
      <c r="X312" s="3003"/>
      <c r="Y312" s="3003" t="s">
        <v>10028</v>
      </c>
      <c r="Z312" s="3003" t="s">
        <v>5998</v>
      </c>
      <c r="AA312" s="3003"/>
      <c r="AB312" s="3173" t="s">
        <v>10029</v>
      </c>
      <c r="AC312" s="3176" t="s">
        <v>10030</v>
      </c>
      <c r="AD312" s="3231">
        <v>4.1708</v>
      </c>
      <c r="AE312" s="3179">
        <f t="shared" ref="AE312:AE321" si="526">AD312*I312</f>
        <v>33.3664</v>
      </c>
      <c r="AF312" s="3176"/>
      <c r="AG312" s="3176" t="s">
        <v>9426</v>
      </c>
      <c r="AH312" s="3176" t="s">
        <v>416</v>
      </c>
      <c r="AI312" s="3161"/>
      <c r="AJ312" s="3077"/>
      <c r="AK312" s="3103"/>
      <c r="AL312" s="3077">
        <f>I312</f>
        <v>8</v>
      </c>
      <c r="AM312" s="3103"/>
      <c r="AN312" s="3077"/>
      <c r="AO312" s="3102"/>
      <c r="AP312" s="3079">
        <f t="shared" ref="AP312:AP363" si="527">I312</f>
        <v>8</v>
      </c>
      <c r="AQ312" s="3079"/>
      <c r="AR312" s="3079"/>
      <c r="AS312" s="3180"/>
      <c r="AT312" s="3116"/>
      <c r="AU312" s="3102"/>
      <c r="AV312" s="3102"/>
      <c r="AW312" s="3117"/>
      <c r="AX312" s="3226"/>
      <c r="AY312" s="3183"/>
      <c r="AZ312" s="3183"/>
      <c r="BA312" s="3227">
        <f>I312</f>
        <v>8</v>
      </c>
      <c r="BB312" s="3181"/>
      <c r="BC312" s="3079"/>
      <c r="BD312" s="3079"/>
      <c r="BE312" s="3079"/>
      <c r="BF312" s="3079"/>
      <c r="BG312" s="3079"/>
      <c r="BH312" s="3079"/>
      <c r="BI312" s="3079"/>
      <c r="BJ312" s="3079"/>
      <c r="BK312" s="3079">
        <f>I312</f>
        <v>8</v>
      </c>
      <c r="BL312" s="3079" t="s">
        <v>9164</v>
      </c>
      <c r="BM312" s="3102"/>
      <c r="BN312" s="3079"/>
      <c r="BO312" s="3079"/>
      <c r="BP312" s="3079"/>
      <c r="BQ312" s="3182">
        <f>I312</f>
        <v>8</v>
      </c>
      <c r="BR312" s="3079">
        <f t="shared" ref="BR312:BR346" si="528">BN312+BO312+BP312+BQ312-I312</f>
        <v>0</v>
      </c>
      <c r="BS312" s="3182"/>
      <c r="BT312" s="3182"/>
      <c r="BU312" s="3182"/>
      <c r="BV312" s="3182"/>
      <c r="BW312" s="3182"/>
      <c r="BX312" s="3182"/>
    </row>
    <row r="313" s="3032" customFormat="1" ht="32" customHeight="1" spans="1:77 16353:16384">
      <c r="A313" s="3169">
        <v>46171</v>
      </c>
      <c r="B313" s="3170" t="s">
        <v>10024</v>
      </c>
      <c r="C313" s="3171" t="s">
        <v>396</v>
      </c>
      <c r="D313" s="3172" t="s">
        <v>10025</v>
      </c>
      <c r="E313" s="3173" t="s">
        <v>10031</v>
      </c>
      <c r="F313" s="3172" t="s">
        <v>10032</v>
      </c>
      <c r="G313" s="3174" t="s">
        <v>9424</v>
      </c>
      <c r="H313" s="3175" t="s">
        <v>8571</v>
      </c>
      <c r="I313" s="3176">
        <v>8</v>
      </c>
      <c r="J313" s="3176">
        <v>0</v>
      </c>
      <c r="K313" s="3176">
        <v>8</v>
      </c>
      <c r="L313" s="3176">
        <f t="shared" si="524"/>
        <v>1</v>
      </c>
      <c r="M313" s="3177">
        <v>46218</v>
      </c>
      <c r="N313" s="3206">
        <v>46214</v>
      </c>
      <c r="O313" s="2983"/>
      <c r="P313" s="2983" t="s">
        <v>82</v>
      </c>
      <c r="Q313" s="3223">
        <v>8</v>
      </c>
      <c r="R313" s="3224">
        <f t="shared" si="525"/>
        <v>0</v>
      </c>
      <c r="S313" s="3237"/>
      <c r="T313" s="3225" t="s">
        <v>321</v>
      </c>
      <c r="U313" s="2999" t="s">
        <v>208</v>
      </c>
      <c r="V313" s="2983"/>
      <c r="W313" s="3003" t="s">
        <v>1455</v>
      </c>
      <c r="X313" s="3003"/>
      <c r="Y313" s="3003" t="s">
        <v>10028</v>
      </c>
      <c r="Z313" s="3003" t="s">
        <v>5998</v>
      </c>
      <c r="AA313" s="3003"/>
      <c r="AB313" s="3173" t="s">
        <v>10029</v>
      </c>
      <c r="AC313" s="3176" t="s">
        <v>10030</v>
      </c>
      <c r="AD313" s="3231">
        <v>4.1708</v>
      </c>
      <c r="AE313" s="3179">
        <f t="shared" si="526"/>
        <v>33.3664</v>
      </c>
      <c r="AF313" s="3176"/>
      <c r="AG313" s="3176" t="s">
        <v>9426</v>
      </c>
      <c r="AH313" s="3176" t="s">
        <v>416</v>
      </c>
      <c r="AI313" s="3161"/>
      <c r="AJ313" s="3077"/>
      <c r="AK313" s="3103"/>
      <c r="AL313" s="3077">
        <f t="shared" ref="AL313:AL333" si="529">I313</f>
        <v>8</v>
      </c>
      <c r="AM313" s="3103"/>
      <c r="AN313" s="3077"/>
      <c r="AO313" s="3102"/>
      <c r="AP313" s="3079">
        <f t="shared" si="527"/>
        <v>8</v>
      </c>
      <c r="AQ313" s="3079"/>
      <c r="AR313" s="3079"/>
      <c r="AS313" s="3180"/>
      <c r="AT313" s="3116"/>
      <c r="AU313" s="3102"/>
      <c r="AV313" s="3102"/>
      <c r="AW313" s="3117"/>
      <c r="AX313" s="3226"/>
      <c r="AY313" s="3183"/>
      <c r="AZ313" s="3183"/>
      <c r="BA313" s="3227">
        <f>I313</f>
        <v>8</v>
      </c>
      <c r="BB313" s="3181"/>
      <c r="BC313" s="3079"/>
      <c r="BD313" s="3079"/>
      <c r="BE313" s="3079"/>
      <c r="BF313" s="3079"/>
      <c r="BG313" s="3079"/>
      <c r="BH313" s="3079"/>
      <c r="BI313" s="3079"/>
      <c r="BJ313" s="3079"/>
      <c r="BK313" s="3079">
        <f t="shared" ref="BK313:BK333" si="530">I313</f>
        <v>8</v>
      </c>
      <c r="BL313" s="3079" t="s">
        <v>9164</v>
      </c>
      <c r="BM313" s="3102"/>
      <c r="BN313" s="3079"/>
      <c r="BO313" s="3079"/>
      <c r="BP313" s="3079"/>
      <c r="BQ313" s="3182">
        <f>I313</f>
        <v>8</v>
      </c>
      <c r="BR313" s="3079">
        <f t="shared" si="528"/>
        <v>0</v>
      </c>
      <c r="BS313" s="3182"/>
      <c r="BT313" s="3182"/>
      <c r="BU313" s="3182"/>
      <c r="BV313" s="3182"/>
      <c r="BW313" s="3182"/>
      <c r="BX313" s="3182"/>
    </row>
    <row r="314" s="3032" customFormat="1" ht="32" customHeight="1" spans="1:77 16353:16384">
      <c r="A314" s="3169">
        <v>46171</v>
      </c>
      <c r="B314" s="3170" t="s">
        <v>10024</v>
      </c>
      <c r="C314" s="3171" t="s">
        <v>396</v>
      </c>
      <c r="D314" s="3172" t="s">
        <v>10025</v>
      </c>
      <c r="E314" s="3173" t="s">
        <v>10033</v>
      </c>
      <c r="F314" s="3172" t="s">
        <v>10034</v>
      </c>
      <c r="G314" s="3174" t="s">
        <v>9424</v>
      </c>
      <c r="H314" s="3175" t="s">
        <v>8571</v>
      </c>
      <c r="I314" s="3176">
        <v>8</v>
      </c>
      <c r="J314" s="3176">
        <v>0</v>
      </c>
      <c r="K314" s="3176">
        <v>8</v>
      </c>
      <c r="L314" s="3176">
        <f t="shared" si="524"/>
        <v>1</v>
      </c>
      <c r="M314" s="3177">
        <v>46218</v>
      </c>
      <c r="N314" s="3206">
        <v>46214</v>
      </c>
      <c r="O314" s="2983"/>
      <c r="P314" s="2983" t="s">
        <v>82</v>
      </c>
      <c r="Q314" s="3223">
        <v>8</v>
      </c>
      <c r="R314" s="3224">
        <f t="shared" si="525"/>
        <v>0</v>
      </c>
      <c r="S314" s="3237"/>
      <c r="T314" s="3225" t="s">
        <v>321</v>
      </c>
      <c r="U314" s="2999" t="s">
        <v>208</v>
      </c>
      <c r="V314" s="2983"/>
      <c r="W314" s="3003" t="s">
        <v>1455</v>
      </c>
      <c r="X314" s="3003"/>
      <c r="Y314" s="3003" t="s">
        <v>10028</v>
      </c>
      <c r="Z314" s="3003" t="s">
        <v>5998</v>
      </c>
      <c r="AA314" s="3003"/>
      <c r="AB314" s="3173" t="s">
        <v>10029</v>
      </c>
      <c r="AC314" s="3176" t="s">
        <v>10030</v>
      </c>
      <c r="AD314" s="3231">
        <v>4.1708</v>
      </c>
      <c r="AE314" s="3179">
        <f t="shared" si="526"/>
        <v>33.3664</v>
      </c>
      <c r="AF314" s="3176"/>
      <c r="AG314" s="3176" t="s">
        <v>9426</v>
      </c>
      <c r="AH314" s="3176" t="s">
        <v>416</v>
      </c>
      <c r="AI314" s="3161"/>
      <c r="AJ314" s="3077"/>
      <c r="AK314" s="3103"/>
      <c r="AL314" s="3077">
        <f t="shared" si="529"/>
        <v>8</v>
      </c>
      <c r="AM314" s="3103"/>
      <c r="AN314" s="3077"/>
      <c r="AO314" s="3102"/>
      <c r="AP314" s="3079">
        <f t="shared" si="527"/>
        <v>8</v>
      </c>
      <c r="AQ314" s="3079"/>
      <c r="AR314" s="3079"/>
      <c r="AS314" s="3180"/>
      <c r="AT314" s="3116"/>
      <c r="AU314" s="3102"/>
      <c r="AV314" s="3102"/>
      <c r="AW314" s="3117"/>
      <c r="AX314" s="3226"/>
      <c r="AY314" s="3183"/>
      <c r="AZ314" s="3183"/>
      <c r="BA314" s="3227">
        <f>I314</f>
        <v>8</v>
      </c>
      <c r="BB314" s="3181"/>
      <c r="BC314" s="3079"/>
      <c r="BD314" s="3079"/>
      <c r="BE314" s="3079"/>
      <c r="BF314" s="3079"/>
      <c r="BG314" s="3079"/>
      <c r="BH314" s="3079"/>
      <c r="BI314" s="3079"/>
      <c r="BJ314" s="3079"/>
      <c r="BK314" s="3079">
        <f t="shared" si="530"/>
        <v>8</v>
      </c>
      <c r="BL314" s="3079" t="s">
        <v>9164</v>
      </c>
      <c r="BM314" s="3102"/>
      <c r="BN314" s="3079"/>
      <c r="BO314" s="3079"/>
      <c r="BP314" s="3079"/>
      <c r="BQ314" s="3182">
        <f>I314</f>
        <v>8</v>
      </c>
      <c r="BR314" s="3079">
        <f t="shared" si="528"/>
        <v>0</v>
      </c>
      <c r="BS314" s="3182"/>
      <c r="BT314" s="3182"/>
      <c r="BU314" s="3182"/>
      <c r="BV314" s="3182"/>
      <c r="BW314" s="3182"/>
      <c r="BX314" s="3182"/>
    </row>
    <row r="315" s="3032" customFormat="1" ht="32" customHeight="1" spans="1:77 16353:16384">
      <c r="A315" s="3169">
        <v>46171</v>
      </c>
      <c r="B315" s="3170" t="s">
        <v>10024</v>
      </c>
      <c r="C315" s="3171" t="s">
        <v>396</v>
      </c>
      <c r="D315" s="3172" t="s">
        <v>10025</v>
      </c>
      <c r="E315" s="3173" t="s">
        <v>10035</v>
      </c>
      <c r="F315" s="3172" t="s">
        <v>10036</v>
      </c>
      <c r="G315" s="3174" t="s">
        <v>9424</v>
      </c>
      <c r="H315" s="3175" t="s">
        <v>8571</v>
      </c>
      <c r="I315" s="3176">
        <v>8</v>
      </c>
      <c r="J315" s="3176">
        <v>0</v>
      </c>
      <c r="K315" s="3176">
        <v>8</v>
      </c>
      <c r="L315" s="3176">
        <f t="shared" si="524"/>
        <v>1</v>
      </c>
      <c r="M315" s="3177">
        <v>46218</v>
      </c>
      <c r="N315" s="3206">
        <v>46214</v>
      </c>
      <c r="O315" s="2983"/>
      <c r="P315" s="2983" t="s">
        <v>82</v>
      </c>
      <c r="Q315" s="3223">
        <v>8</v>
      </c>
      <c r="R315" s="3224">
        <f t="shared" si="525"/>
        <v>0</v>
      </c>
      <c r="S315" s="3237"/>
      <c r="T315" s="3225" t="s">
        <v>321</v>
      </c>
      <c r="U315" s="2999" t="s">
        <v>208</v>
      </c>
      <c r="V315" s="2983"/>
      <c r="W315" s="3003" t="s">
        <v>1455</v>
      </c>
      <c r="X315" s="3003"/>
      <c r="Y315" s="3003" t="s">
        <v>10028</v>
      </c>
      <c r="Z315" s="3003" t="s">
        <v>5998</v>
      </c>
      <c r="AA315" s="3003"/>
      <c r="AB315" s="3173" t="s">
        <v>10029</v>
      </c>
      <c r="AC315" s="3176" t="s">
        <v>10030</v>
      </c>
      <c r="AD315" s="3231">
        <v>4.1708</v>
      </c>
      <c r="AE315" s="3179">
        <f t="shared" si="526"/>
        <v>33.3664</v>
      </c>
      <c r="AF315" s="3176"/>
      <c r="AG315" s="3176" t="s">
        <v>9426</v>
      </c>
      <c r="AH315" s="3176" t="s">
        <v>416</v>
      </c>
      <c r="AI315" s="3161"/>
      <c r="AJ315" s="3077"/>
      <c r="AK315" s="3103"/>
      <c r="AL315" s="3077">
        <f t="shared" si="529"/>
        <v>8</v>
      </c>
      <c r="AM315" s="3103"/>
      <c r="AN315" s="3077"/>
      <c r="AO315" s="3102"/>
      <c r="AP315" s="3079">
        <f t="shared" si="527"/>
        <v>8</v>
      </c>
      <c r="AQ315" s="3079"/>
      <c r="AR315" s="3079"/>
      <c r="AS315" s="3180"/>
      <c r="AT315" s="3116"/>
      <c r="AU315" s="3102"/>
      <c r="AV315" s="3102"/>
      <c r="AW315" s="3117"/>
      <c r="AX315" s="3226"/>
      <c r="AY315" s="3183"/>
      <c r="AZ315" s="3183"/>
      <c r="BA315" s="3227">
        <f>I315</f>
        <v>8</v>
      </c>
      <c r="BB315" s="3181"/>
      <c r="BC315" s="3079"/>
      <c r="BD315" s="3079"/>
      <c r="BE315" s="3079"/>
      <c r="BF315" s="3079"/>
      <c r="BG315" s="3079"/>
      <c r="BH315" s="3079"/>
      <c r="BI315" s="3079"/>
      <c r="BJ315" s="3079"/>
      <c r="BK315" s="3079">
        <f t="shared" si="530"/>
        <v>8</v>
      </c>
      <c r="BL315" s="3079" t="s">
        <v>9164</v>
      </c>
      <c r="BM315" s="3102"/>
      <c r="BN315" s="3079"/>
      <c r="BO315" s="3079"/>
      <c r="BP315" s="3079"/>
      <c r="BQ315" s="3182">
        <f>I315</f>
        <v>8</v>
      </c>
      <c r="BR315" s="3079">
        <f t="shared" si="528"/>
        <v>0</v>
      </c>
      <c r="BS315" s="3182"/>
      <c r="BT315" s="3182"/>
      <c r="BU315" s="3182"/>
      <c r="BV315" s="3182"/>
      <c r="BW315" s="3182"/>
      <c r="BX315" s="3182"/>
    </row>
    <row r="316" s="3032" customFormat="1" ht="32" customHeight="1" spans="1:77 16353:16384">
      <c r="A316" s="3169">
        <v>46171</v>
      </c>
      <c r="B316" s="3170" t="s">
        <v>10024</v>
      </c>
      <c r="C316" s="3171" t="s">
        <v>396</v>
      </c>
      <c r="D316" s="3172" t="s">
        <v>10025</v>
      </c>
      <c r="E316" s="3173" t="s">
        <v>10037</v>
      </c>
      <c r="F316" s="3172" t="s">
        <v>10038</v>
      </c>
      <c r="G316" s="3174" t="s">
        <v>9424</v>
      </c>
      <c r="H316" s="3175" t="s">
        <v>8571</v>
      </c>
      <c r="I316" s="3176">
        <v>8</v>
      </c>
      <c r="J316" s="3176">
        <v>0</v>
      </c>
      <c r="K316" s="3176">
        <v>8</v>
      </c>
      <c r="L316" s="3176">
        <f t="shared" si="524"/>
        <v>1</v>
      </c>
      <c r="M316" s="3177">
        <v>46218</v>
      </c>
      <c r="N316" s="3206">
        <v>46214</v>
      </c>
      <c r="O316" s="2983"/>
      <c r="P316" s="2983" t="s">
        <v>82</v>
      </c>
      <c r="Q316" s="3223">
        <v>8</v>
      </c>
      <c r="R316" s="3224">
        <f t="shared" si="525"/>
        <v>0</v>
      </c>
      <c r="S316" s="3238"/>
      <c r="T316" s="3225" t="s">
        <v>321</v>
      </c>
      <c r="U316" s="2999" t="s">
        <v>208</v>
      </c>
      <c r="V316" s="2983"/>
      <c r="W316" s="3003" t="s">
        <v>1455</v>
      </c>
      <c r="X316" s="3003"/>
      <c r="Y316" s="3003" t="s">
        <v>10028</v>
      </c>
      <c r="Z316" s="3003" t="s">
        <v>5998</v>
      </c>
      <c r="AA316" s="3003"/>
      <c r="AB316" s="3173" t="s">
        <v>10029</v>
      </c>
      <c r="AC316" s="3176" t="s">
        <v>10030</v>
      </c>
      <c r="AD316" s="3231">
        <v>4.1708</v>
      </c>
      <c r="AE316" s="3179">
        <f t="shared" si="526"/>
        <v>33.3664</v>
      </c>
      <c r="AF316" s="3176"/>
      <c r="AG316" s="3176" t="s">
        <v>9426</v>
      </c>
      <c r="AH316" s="3176" t="s">
        <v>416</v>
      </c>
      <c r="AI316" s="3161"/>
      <c r="AJ316" s="3077"/>
      <c r="AK316" s="3103"/>
      <c r="AL316" s="3077">
        <f t="shared" si="529"/>
        <v>8</v>
      </c>
      <c r="AM316" s="3103"/>
      <c r="AN316" s="3077"/>
      <c r="AO316" s="3102"/>
      <c r="AP316" s="3079">
        <f t="shared" si="527"/>
        <v>8</v>
      </c>
      <c r="AQ316" s="3079"/>
      <c r="AR316" s="3079"/>
      <c r="AS316" s="3180"/>
      <c r="AT316" s="3116"/>
      <c r="AU316" s="3102"/>
      <c r="AV316" s="3102"/>
      <c r="AW316" s="3117"/>
      <c r="AX316" s="3226"/>
      <c r="AY316" s="3183"/>
      <c r="AZ316" s="3183"/>
      <c r="BA316" s="3227">
        <f>I316</f>
        <v>8</v>
      </c>
      <c r="BB316" s="3181"/>
      <c r="BC316" s="3079"/>
      <c r="BD316" s="3079"/>
      <c r="BE316" s="3079"/>
      <c r="BF316" s="3079"/>
      <c r="BG316" s="3079"/>
      <c r="BH316" s="3079"/>
      <c r="BI316" s="3079"/>
      <c r="BJ316" s="3079"/>
      <c r="BK316" s="3079">
        <f t="shared" si="530"/>
        <v>8</v>
      </c>
      <c r="BL316" s="3079" t="s">
        <v>9164</v>
      </c>
      <c r="BM316" s="3102"/>
      <c r="BN316" s="3079"/>
      <c r="BO316" s="3079"/>
      <c r="BP316" s="3079"/>
      <c r="BQ316" s="3182">
        <f>I316</f>
        <v>8</v>
      </c>
      <c r="BR316" s="3079">
        <f t="shared" si="528"/>
        <v>0</v>
      </c>
      <c r="BS316" s="3182"/>
      <c r="BT316" s="3182"/>
      <c r="BU316" s="3182"/>
      <c r="BV316" s="3182"/>
      <c r="BW316" s="3182"/>
      <c r="BX316" s="3182"/>
    </row>
    <row r="317" s="3032" customFormat="1" ht="32" customHeight="1" spans="1:77 16353:16384">
      <c r="A317" s="3169">
        <v>46171</v>
      </c>
      <c r="B317" s="3170" t="s">
        <v>10024</v>
      </c>
      <c r="C317" s="3171" t="s">
        <v>396</v>
      </c>
      <c r="D317" s="3172" t="s">
        <v>10025</v>
      </c>
      <c r="E317" s="3173" t="s">
        <v>10039</v>
      </c>
      <c r="F317" s="3172" t="s">
        <v>10040</v>
      </c>
      <c r="G317" s="3174" t="s">
        <v>9419</v>
      </c>
      <c r="H317" s="3175" t="s">
        <v>9100</v>
      </c>
      <c r="I317" s="3176">
        <v>8</v>
      </c>
      <c r="J317" s="3176">
        <v>0</v>
      </c>
      <c r="K317" s="3176">
        <v>8</v>
      </c>
      <c r="L317" s="3176">
        <f t="shared" si="524"/>
        <v>1</v>
      </c>
      <c r="M317" s="3177">
        <v>46218</v>
      </c>
      <c r="N317" s="3206">
        <v>46214</v>
      </c>
      <c r="O317" s="2983"/>
      <c r="P317" s="2983" t="s">
        <v>82</v>
      </c>
      <c r="Q317" s="3223">
        <v>8</v>
      </c>
      <c r="R317" s="3224">
        <f t="shared" si="525"/>
        <v>0</v>
      </c>
      <c r="S317" s="3236">
        <v>1</v>
      </c>
      <c r="T317" s="3225" t="s">
        <v>321</v>
      </c>
      <c r="U317" s="2999" t="s">
        <v>208</v>
      </c>
      <c r="V317" s="2983"/>
      <c r="W317" s="3003" t="s">
        <v>1455</v>
      </c>
      <c r="X317" s="3003"/>
      <c r="Y317" s="3003" t="s">
        <v>10028</v>
      </c>
      <c r="Z317" s="3003" t="s">
        <v>5998</v>
      </c>
      <c r="AA317" s="3003"/>
      <c r="AB317" s="3173" t="s">
        <v>10029</v>
      </c>
      <c r="AC317" s="3176" t="s">
        <v>10030</v>
      </c>
      <c r="AD317" s="3231">
        <v>4.1708</v>
      </c>
      <c r="AE317" s="3179">
        <f t="shared" si="526"/>
        <v>33.3664</v>
      </c>
      <c r="AF317" s="3176"/>
      <c r="AG317" s="3176" t="s">
        <v>9422</v>
      </c>
      <c r="AH317" s="3176" t="s">
        <v>416</v>
      </c>
      <c r="AI317" s="3161"/>
      <c r="AJ317" s="3077"/>
      <c r="AK317" s="3103"/>
      <c r="AL317" s="3077">
        <f t="shared" si="529"/>
        <v>8</v>
      </c>
      <c r="AM317" s="3103"/>
      <c r="AN317" s="3077"/>
      <c r="AO317" s="3102"/>
      <c r="AP317" s="3079">
        <f t="shared" si="527"/>
        <v>8</v>
      </c>
      <c r="AQ317" s="3079"/>
      <c r="AR317" s="3079"/>
      <c r="AS317" s="3180"/>
      <c r="AT317" s="3116"/>
      <c r="AU317" s="3102"/>
      <c r="AV317" s="3102"/>
      <c r="AW317" s="3117"/>
      <c r="AX317" s="3226"/>
      <c r="AY317" s="3183"/>
      <c r="AZ317" s="3183">
        <f>I317</f>
        <v>8</v>
      </c>
      <c r="BA317" s="3227"/>
      <c r="BB317" s="3181"/>
      <c r="BC317" s="3079"/>
      <c r="BD317" s="3079"/>
      <c r="BE317" s="3079"/>
      <c r="BF317" s="3079"/>
      <c r="BG317" s="3079"/>
      <c r="BH317" s="3079"/>
      <c r="BI317" s="3079"/>
      <c r="BJ317" s="3079"/>
      <c r="BK317" s="3079">
        <f t="shared" si="530"/>
        <v>8</v>
      </c>
      <c r="BL317" s="3079" t="s">
        <v>9164</v>
      </c>
      <c r="BM317" s="3102"/>
      <c r="BN317" s="3079"/>
      <c r="BO317" s="3079"/>
      <c r="BP317" s="3079">
        <f>I317</f>
        <v>8</v>
      </c>
      <c r="BQ317" s="3182"/>
      <c r="BR317" s="3079">
        <f t="shared" si="528"/>
        <v>0</v>
      </c>
      <c r="BS317" s="3182"/>
      <c r="BT317" s="3182"/>
      <c r="BU317" s="3182"/>
      <c r="BV317" s="3182"/>
      <c r="BW317" s="3182"/>
      <c r="BX317" s="3182"/>
    </row>
    <row r="318" s="3032" customFormat="1" ht="32" customHeight="1" spans="1:77 16353:16384">
      <c r="A318" s="3169">
        <v>46171</v>
      </c>
      <c r="B318" s="3170" t="s">
        <v>10024</v>
      </c>
      <c r="C318" s="3171" t="s">
        <v>396</v>
      </c>
      <c r="D318" s="3172" t="s">
        <v>10025</v>
      </c>
      <c r="E318" s="3173" t="s">
        <v>10041</v>
      </c>
      <c r="F318" s="3172" t="s">
        <v>10042</v>
      </c>
      <c r="G318" s="3174" t="s">
        <v>9419</v>
      </c>
      <c r="H318" s="3175" t="s">
        <v>9100</v>
      </c>
      <c r="I318" s="3176">
        <v>8</v>
      </c>
      <c r="J318" s="3176">
        <v>0</v>
      </c>
      <c r="K318" s="3176">
        <v>8</v>
      </c>
      <c r="L318" s="3176">
        <f t="shared" si="524"/>
        <v>1</v>
      </c>
      <c r="M318" s="3177">
        <v>46218</v>
      </c>
      <c r="N318" s="3206">
        <v>46214</v>
      </c>
      <c r="O318" s="2983"/>
      <c r="P318" s="2983" t="s">
        <v>82</v>
      </c>
      <c r="Q318" s="3223">
        <v>8</v>
      </c>
      <c r="R318" s="3224">
        <f t="shared" si="525"/>
        <v>0</v>
      </c>
      <c r="S318" s="3237"/>
      <c r="T318" s="3225" t="s">
        <v>321</v>
      </c>
      <c r="U318" s="2999" t="s">
        <v>208</v>
      </c>
      <c r="V318" s="2983"/>
      <c r="W318" s="3003" t="s">
        <v>1455</v>
      </c>
      <c r="X318" s="3003"/>
      <c r="Y318" s="3003" t="s">
        <v>10028</v>
      </c>
      <c r="Z318" s="3003" t="s">
        <v>5998</v>
      </c>
      <c r="AA318" s="3003"/>
      <c r="AB318" s="3173" t="s">
        <v>10029</v>
      </c>
      <c r="AC318" s="3176" t="s">
        <v>10030</v>
      </c>
      <c r="AD318" s="3231">
        <v>4.1708</v>
      </c>
      <c r="AE318" s="3179">
        <f t="shared" si="526"/>
        <v>33.3664</v>
      </c>
      <c r="AF318" s="3176"/>
      <c r="AG318" s="3176" t="s">
        <v>9422</v>
      </c>
      <c r="AH318" s="3176" t="s">
        <v>416</v>
      </c>
      <c r="AI318" s="3161"/>
      <c r="AJ318" s="3077"/>
      <c r="AK318" s="3103"/>
      <c r="AL318" s="3077">
        <f t="shared" si="529"/>
        <v>8</v>
      </c>
      <c r="AM318" s="3103"/>
      <c r="AN318" s="3077"/>
      <c r="AO318" s="3102"/>
      <c r="AP318" s="3079">
        <f t="shared" si="527"/>
        <v>8</v>
      </c>
      <c r="AQ318" s="3079"/>
      <c r="AR318" s="3079"/>
      <c r="AS318" s="3180"/>
      <c r="AT318" s="3116"/>
      <c r="AU318" s="3102"/>
      <c r="AV318" s="3102"/>
      <c r="AW318" s="3117"/>
      <c r="AX318" s="3226"/>
      <c r="AY318" s="3183"/>
      <c r="AZ318" s="3183">
        <f>I318</f>
        <v>8</v>
      </c>
      <c r="BA318" s="3227"/>
      <c r="BB318" s="3181"/>
      <c r="BC318" s="3079"/>
      <c r="BD318" s="3079"/>
      <c r="BE318" s="3079"/>
      <c r="BF318" s="3079"/>
      <c r="BG318" s="3079"/>
      <c r="BH318" s="3079"/>
      <c r="BI318" s="3079"/>
      <c r="BJ318" s="3079"/>
      <c r="BK318" s="3079">
        <f t="shared" si="530"/>
        <v>8</v>
      </c>
      <c r="BL318" s="3079" t="s">
        <v>9164</v>
      </c>
      <c r="BM318" s="3102"/>
      <c r="BN318" s="3079"/>
      <c r="BO318" s="3079"/>
      <c r="BP318" s="3079">
        <f>I318</f>
        <v>8</v>
      </c>
      <c r="BQ318" s="3182"/>
      <c r="BR318" s="3079">
        <f t="shared" si="528"/>
        <v>0</v>
      </c>
      <c r="BS318" s="3182"/>
      <c r="BT318" s="3182"/>
      <c r="BU318" s="3182"/>
      <c r="BV318" s="3182"/>
      <c r="BW318" s="3182"/>
      <c r="BX318" s="3182"/>
    </row>
    <row r="319" s="3032" customFormat="1" ht="32" customHeight="1" spans="1:77 16353:16384">
      <c r="A319" s="3169">
        <v>46171</v>
      </c>
      <c r="B319" s="3170" t="s">
        <v>10024</v>
      </c>
      <c r="C319" s="3171" t="s">
        <v>396</v>
      </c>
      <c r="D319" s="3172" t="s">
        <v>10025</v>
      </c>
      <c r="E319" s="3173" t="s">
        <v>10043</v>
      </c>
      <c r="F319" s="3172" t="s">
        <v>10044</v>
      </c>
      <c r="G319" s="3174" t="s">
        <v>9419</v>
      </c>
      <c r="H319" s="3175" t="s">
        <v>9100</v>
      </c>
      <c r="I319" s="3176">
        <v>8</v>
      </c>
      <c r="J319" s="3176">
        <v>0</v>
      </c>
      <c r="K319" s="3176">
        <v>8</v>
      </c>
      <c r="L319" s="3176">
        <f t="shared" si="524"/>
        <v>1</v>
      </c>
      <c r="M319" s="3177">
        <v>46218</v>
      </c>
      <c r="N319" s="3206">
        <v>46214</v>
      </c>
      <c r="O319" s="2983"/>
      <c r="P319" s="2983" t="s">
        <v>82</v>
      </c>
      <c r="Q319" s="3223">
        <v>8</v>
      </c>
      <c r="R319" s="3224">
        <f t="shared" si="525"/>
        <v>0</v>
      </c>
      <c r="S319" s="3237"/>
      <c r="T319" s="3225" t="s">
        <v>321</v>
      </c>
      <c r="U319" s="2999" t="s">
        <v>208</v>
      </c>
      <c r="V319" s="2983"/>
      <c r="W319" s="3003" t="s">
        <v>1455</v>
      </c>
      <c r="X319" s="3003"/>
      <c r="Y319" s="3003" t="s">
        <v>10028</v>
      </c>
      <c r="Z319" s="3003" t="s">
        <v>5998</v>
      </c>
      <c r="AA319" s="3003"/>
      <c r="AB319" s="3173" t="s">
        <v>10029</v>
      </c>
      <c r="AC319" s="3176" t="s">
        <v>10030</v>
      </c>
      <c r="AD319" s="3231">
        <v>4.1708</v>
      </c>
      <c r="AE319" s="3179">
        <f t="shared" si="526"/>
        <v>33.3664</v>
      </c>
      <c r="AF319" s="3176"/>
      <c r="AG319" s="3176" t="s">
        <v>9422</v>
      </c>
      <c r="AH319" s="3176" t="s">
        <v>416</v>
      </c>
      <c r="AI319" s="3161"/>
      <c r="AJ319" s="3077"/>
      <c r="AK319" s="3103"/>
      <c r="AL319" s="3077">
        <f t="shared" si="529"/>
        <v>8</v>
      </c>
      <c r="AM319" s="3103"/>
      <c r="AN319" s="3077"/>
      <c r="AO319" s="3102"/>
      <c r="AP319" s="3079">
        <f t="shared" si="527"/>
        <v>8</v>
      </c>
      <c r="AQ319" s="3079"/>
      <c r="AR319" s="3079"/>
      <c r="AS319" s="3180"/>
      <c r="AT319" s="3116"/>
      <c r="AU319" s="3102"/>
      <c r="AV319" s="3102"/>
      <c r="AW319" s="3117"/>
      <c r="AX319" s="3226"/>
      <c r="AY319" s="3183"/>
      <c r="AZ319" s="3183">
        <f>I319</f>
        <v>8</v>
      </c>
      <c r="BA319" s="3227"/>
      <c r="BB319" s="3181"/>
      <c r="BC319" s="3079"/>
      <c r="BD319" s="3079"/>
      <c r="BE319" s="3079"/>
      <c r="BF319" s="3079"/>
      <c r="BG319" s="3079"/>
      <c r="BH319" s="3079"/>
      <c r="BI319" s="3079"/>
      <c r="BJ319" s="3079"/>
      <c r="BK319" s="3079">
        <f t="shared" si="530"/>
        <v>8</v>
      </c>
      <c r="BL319" s="3079" t="s">
        <v>9164</v>
      </c>
      <c r="BM319" s="3102"/>
      <c r="BN319" s="3079"/>
      <c r="BO319" s="3079"/>
      <c r="BP319" s="3079">
        <f>I319</f>
        <v>8</v>
      </c>
      <c r="BQ319" s="3182"/>
      <c r="BR319" s="3079">
        <f t="shared" si="528"/>
        <v>0</v>
      </c>
      <c r="BS319" s="3182"/>
      <c r="BT319" s="3182"/>
      <c r="BU319" s="3182"/>
      <c r="BV319" s="3182"/>
      <c r="BW319" s="3182"/>
      <c r="BX319" s="3182"/>
    </row>
    <row r="320" s="3032" customFormat="1" ht="32" customHeight="1" spans="1:77 16353:16384">
      <c r="A320" s="3169">
        <v>46171</v>
      </c>
      <c r="B320" s="3170" t="s">
        <v>10024</v>
      </c>
      <c r="C320" s="3171" t="s">
        <v>396</v>
      </c>
      <c r="D320" s="3172" t="s">
        <v>10025</v>
      </c>
      <c r="E320" s="3173" t="s">
        <v>10045</v>
      </c>
      <c r="F320" s="3172" t="s">
        <v>10046</v>
      </c>
      <c r="G320" s="3174" t="s">
        <v>9419</v>
      </c>
      <c r="H320" s="3175" t="s">
        <v>9100</v>
      </c>
      <c r="I320" s="3176">
        <v>8</v>
      </c>
      <c r="J320" s="3176">
        <v>0</v>
      </c>
      <c r="K320" s="3176">
        <v>8</v>
      </c>
      <c r="L320" s="3176">
        <f t="shared" si="524"/>
        <v>1</v>
      </c>
      <c r="M320" s="3177">
        <v>46218</v>
      </c>
      <c r="N320" s="3206">
        <v>46214</v>
      </c>
      <c r="O320" s="2983"/>
      <c r="P320" s="2983" t="s">
        <v>82</v>
      </c>
      <c r="Q320" s="3223">
        <v>8</v>
      </c>
      <c r="R320" s="3224">
        <f t="shared" si="525"/>
        <v>0</v>
      </c>
      <c r="S320" s="3237"/>
      <c r="T320" s="3225" t="s">
        <v>321</v>
      </c>
      <c r="U320" s="2999" t="s">
        <v>208</v>
      </c>
      <c r="V320" s="2983"/>
      <c r="W320" s="3003" t="s">
        <v>1455</v>
      </c>
      <c r="X320" s="3003"/>
      <c r="Y320" s="3003" t="s">
        <v>10028</v>
      </c>
      <c r="Z320" s="3003" t="s">
        <v>5998</v>
      </c>
      <c r="AA320" s="3003"/>
      <c r="AB320" s="3173" t="s">
        <v>10029</v>
      </c>
      <c r="AC320" s="3176" t="s">
        <v>10030</v>
      </c>
      <c r="AD320" s="3231">
        <v>4.1708</v>
      </c>
      <c r="AE320" s="3179">
        <f t="shared" si="526"/>
        <v>33.3664</v>
      </c>
      <c r="AF320" s="3176"/>
      <c r="AG320" s="3176" t="s">
        <v>9422</v>
      </c>
      <c r="AH320" s="3176" t="s">
        <v>416</v>
      </c>
      <c r="AI320" s="3161"/>
      <c r="AJ320" s="3077"/>
      <c r="AK320" s="3103"/>
      <c r="AL320" s="3077">
        <f t="shared" si="529"/>
        <v>8</v>
      </c>
      <c r="AM320" s="3103"/>
      <c r="AN320" s="3077"/>
      <c r="AO320" s="3102"/>
      <c r="AP320" s="3079">
        <f t="shared" si="527"/>
        <v>8</v>
      </c>
      <c r="AQ320" s="3079"/>
      <c r="AR320" s="3079"/>
      <c r="AS320" s="3180"/>
      <c r="AT320" s="3116"/>
      <c r="AU320" s="3102"/>
      <c r="AV320" s="3102"/>
      <c r="AW320" s="3117"/>
      <c r="AX320" s="3226"/>
      <c r="AY320" s="3183"/>
      <c r="AZ320" s="3183">
        <f>I320</f>
        <v>8</v>
      </c>
      <c r="BA320" s="3227"/>
      <c r="BB320" s="3181"/>
      <c r="BC320" s="3079"/>
      <c r="BD320" s="3079"/>
      <c r="BE320" s="3079"/>
      <c r="BF320" s="3079"/>
      <c r="BG320" s="3079"/>
      <c r="BH320" s="3079"/>
      <c r="BI320" s="3079"/>
      <c r="BJ320" s="3079"/>
      <c r="BK320" s="3079">
        <f t="shared" si="530"/>
        <v>8</v>
      </c>
      <c r="BL320" s="3079" t="s">
        <v>9164</v>
      </c>
      <c r="BM320" s="3102"/>
      <c r="BN320" s="3079"/>
      <c r="BO320" s="3079"/>
      <c r="BP320" s="3079">
        <f>I320</f>
        <v>8</v>
      </c>
      <c r="BQ320" s="3182"/>
      <c r="BR320" s="3079">
        <f t="shared" si="528"/>
        <v>0</v>
      </c>
      <c r="BS320" s="3182"/>
      <c r="BT320" s="3182"/>
      <c r="BU320" s="3182"/>
      <c r="BV320" s="3182"/>
      <c r="BW320" s="3182"/>
      <c r="BX320" s="3182"/>
    </row>
    <row r="321" s="3032" customFormat="1" ht="32" customHeight="1" spans="1:76 16377:16384">
      <c r="A321" s="3169">
        <v>46171</v>
      </c>
      <c r="B321" s="3170" t="s">
        <v>10024</v>
      </c>
      <c r="C321" s="3171" t="s">
        <v>396</v>
      </c>
      <c r="D321" s="3172" t="s">
        <v>10025</v>
      </c>
      <c r="E321" s="3173" t="s">
        <v>10047</v>
      </c>
      <c r="F321" s="3172" t="s">
        <v>10048</v>
      </c>
      <c r="G321" s="3174" t="s">
        <v>9419</v>
      </c>
      <c r="H321" s="3175" t="s">
        <v>9100</v>
      </c>
      <c r="I321" s="3176">
        <v>8</v>
      </c>
      <c r="J321" s="3176">
        <v>0</v>
      </c>
      <c r="K321" s="3176">
        <v>8</v>
      </c>
      <c r="L321" s="3176">
        <f t="shared" si="524"/>
        <v>1</v>
      </c>
      <c r="M321" s="3177">
        <v>46218</v>
      </c>
      <c r="N321" s="3206">
        <v>46214</v>
      </c>
      <c r="O321" s="2983"/>
      <c r="P321" s="2983" t="s">
        <v>82</v>
      </c>
      <c r="Q321" s="3223">
        <v>8</v>
      </c>
      <c r="R321" s="3224">
        <f t="shared" si="525"/>
        <v>0</v>
      </c>
      <c r="S321" s="3238"/>
      <c r="T321" s="3225" t="s">
        <v>321</v>
      </c>
      <c r="U321" s="2999" t="s">
        <v>208</v>
      </c>
      <c r="V321" s="2983"/>
      <c r="W321" s="3003" t="s">
        <v>1455</v>
      </c>
      <c r="X321" s="3003"/>
      <c r="Y321" s="3003" t="s">
        <v>10028</v>
      </c>
      <c r="Z321" s="3003" t="s">
        <v>5998</v>
      </c>
      <c r="AA321" s="3003"/>
      <c r="AB321" s="3173" t="s">
        <v>10029</v>
      </c>
      <c r="AC321" s="3176" t="s">
        <v>10030</v>
      </c>
      <c r="AD321" s="3231">
        <v>4.1708</v>
      </c>
      <c r="AE321" s="3179">
        <f t="shared" si="526"/>
        <v>33.3664</v>
      </c>
      <c r="AF321" s="3176"/>
      <c r="AG321" s="3176" t="s">
        <v>9422</v>
      </c>
      <c r="AH321" s="3176" t="s">
        <v>416</v>
      </c>
      <c r="AI321" s="3161"/>
      <c r="AJ321" s="3077"/>
      <c r="AK321" s="3103"/>
      <c r="AL321" s="3077">
        <f t="shared" si="529"/>
        <v>8</v>
      </c>
      <c r="AM321" s="3103"/>
      <c r="AN321" s="3077"/>
      <c r="AO321" s="3102"/>
      <c r="AP321" s="3079">
        <f t="shared" si="527"/>
        <v>8</v>
      </c>
      <c r="AQ321" s="3079"/>
      <c r="AR321" s="3079"/>
      <c r="AS321" s="3180"/>
      <c r="AT321" s="3116"/>
      <c r="AU321" s="3102"/>
      <c r="AV321" s="3102"/>
      <c r="AW321" s="3117"/>
      <c r="AX321" s="3226"/>
      <c r="AY321" s="3183"/>
      <c r="AZ321" s="3183">
        <f>I321</f>
        <v>8</v>
      </c>
      <c r="BA321" s="3227"/>
      <c r="BB321" s="3181"/>
      <c r="BC321" s="3079"/>
      <c r="BD321" s="3079"/>
      <c r="BE321" s="3079"/>
      <c r="BF321" s="3079"/>
      <c r="BG321" s="3079"/>
      <c r="BH321" s="3079"/>
      <c r="BI321" s="3079"/>
      <c r="BJ321" s="3079"/>
      <c r="BK321" s="3079">
        <f t="shared" si="530"/>
        <v>8</v>
      </c>
      <c r="BL321" s="3079" t="s">
        <v>9164</v>
      </c>
      <c r="BM321" s="3102"/>
      <c r="BN321" s="3079"/>
      <c r="BO321" s="3079"/>
      <c r="BP321" s="3079">
        <f>I321</f>
        <v>8</v>
      </c>
      <c r="BQ321" s="3182"/>
      <c r="BR321" s="3079">
        <f t="shared" si="528"/>
        <v>0</v>
      </c>
      <c r="BS321" s="3182"/>
      <c r="BT321" s="3182"/>
      <c r="BU321" s="3182"/>
      <c r="BV321" s="3182"/>
      <c r="BW321" s="3182"/>
      <c r="BX321" s="3182"/>
    </row>
    <row r="322" s="3032" customFormat="1" ht="32" customHeight="1" spans="1:76 16377:16384">
      <c r="A322" s="3169">
        <v>46171</v>
      </c>
      <c r="B322" s="3170" t="s">
        <v>10024</v>
      </c>
      <c r="C322" s="3171" t="s">
        <v>396</v>
      </c>
      <c r="D322" s="3172" t="s">
        <v>10025</v>
      </c>
      <c r="E322" s="3173" t="s">
        <v>10049</v>
      </c>
      <c r="F322" s="3172" t="s">
        <v>10050</v>
      </c>
      <c r="G322" s="3174" t="s">
        <v>9197</v>
      </c>
      <c r="H322" s="3175" t="s">
        <v>9098</v>
      </c>
      <c r="I322" s="3176">
        <v>16</v>
      </c>
      <c r="J322" s="3176">
        <v>0</v>
      </c>
      <c r="K322" s="3176">
        <v>8</v>
      </c>
      <c r="L322" s="3176">
        <f t="shared" si="524"/>
        <v>2</v>
      </c>
      <c r="M322" s="3177">
        <v>46218</v>
      </c>
      <c r="N322" s="3206">
        <v>46214</v>
      </c>
      <c r="O322" s="2983"/>
      <c r="P322" s="2983" t="s">
        <v>82</v>
      </c>
      <c r="Q322" s="3223">
        <v>16</v>
      </c>
      <c r="R322" s="3224">
        <f t="shared" si="525"/>
        <v>0</v>
      </c>
      <c r="S322" s="3236" t="s">
        <v>2297</v>
      </c>
      <c r="T322" s="3225" t="s">
        <v>321</v>
      </c>
      <c r="U322" s="2999" t="s">
        <v>208</v>
      </c>
      <c r="V322" s="2983"/>
      <c r="W322" s="3003" t="s">
        <v>1455</v>
      </c>
      <c r="X322" s="3003"/>
      <c r="Y322" s="3003" t="s">
        <v>10028</v>
      </c>
      <c r="Z322" s="3003" t="s">
        <v>5998</v>
      </c>
      <c r="AA322" s="3003"/>
      <c r="AB322" s="3173" t="s">
        <v>10029</v>
      </c>
      <c r="AC322" s="3176" t="s">
        <v>10030</v>
      </c>
      <c r="AD322" s="3231">
        <v>4.1708</v>
      </c>
      <c r="AE322" s="3179">
        <f t="shared" ref="AE322:AE361" si="531">AD322*I322</f>
        <v>66.7328</v>
      </c>
      <c r="AF322" s="3176"/>
      <c r="AG322" s="3176" t="s">
        <v>9198</v>
      </c>
      <c r="AH322" s="3176" t="s">
        <v>416</v>
      </c>
      <c r="AI322" s="3161"/>
      <c r="AJ322" s="3077"/>
      <c r="AK322" s="3103"/>
      <c r="AL322" s="3077">
        <f t="shared" si="529"/>
        <v>16</v>
      </c>
      <c r="AM322" s="3103"/>
      <c r="AN322" s="3077"/>
      <c r="AO322" s="3102"/>
      <c r="AP322" s="3079">
        <f t="shared" si="527"/>
        <v>16</v>
      </c>
      <c r="AQ322" s="3079"/>
      <c r="AR322" s="3079"/>
      <c r="AS322" s="3180"/>
      <c r="AT322" s="3116"/>
      <c r="AU322" s="3102"/>
      <c r="AV322" s="3102"/>
      <c r="AW322" s="3117"/>
      <c r="AX322" s="3226">
        <f t="shared" ref="AX322:AX327" si="532">I322</f>
        <v>16</v>
      </c>
      <c r="AY322" s="3183"/>
      <c r="AZ322" s="3183"/>
      <c r="BA322" s="3227"/>
      <c r="BB322" s="3181"/>
      <c r="BC322" s="3079"/>
      <c r="BD322" s="3079"/>
      <c r="BE322" s="3079"/>
      <c r="BF322" s="3079"/>
      <c r="BG322" s="3079"/>
      <c r="BH322" s="3079"/>
      <c r="BI322" s="3079"/>
      <c r="BJ322" s="3079"/>
      <c r="BK322" s="3079">
        <f t="shared" si="530"/>
        <v>16</v>
      </c>
      <c r="BL322" s="3079" t="s">
        <v>9164</v>
      </c>
      <c r="BM322" s="3102"/>
      <c r="BN322" s="3079">
        <f t="shared" ref="BN322:BN327" si="533">I322</f>
        <v>16</v>
      </c>
      <c r="BO322" s="3079"/>
      <c r="BP322" s="3079"/>
      <c r="BQ322" s="3182"/>
      <c r="BR322" s="3079">
        <f t="shared" si="528"/>
        <v>0</v>
      </c>
      <c r="BS322" s="3182"/>
      <c r="BT322" s="3182"/>
      <c r="BU322" s="3182"/>
      <c r="BV322" s="3182"/>
      <c r="BW322" s="3182"/>
      <c r="BX322" s="3182"/>
    </row>
    <row r="323" s="3032" customFormat="1" ht="32" customHeight="1" spans="1:76 16377:16384">
      <c r="A323" s="3169">
        <v>46171</v>
      </c>
      <c r="B323" s="3170" t="s">
        <v>10024</v>
      </c>
      <c r="C323" s="3171" t="s">
        <v>396</v>
      </c>
      <c r="D323" s="3172" t="s">
        <v>10025</v>
      </c>
      <c r="E323" s="3173" t="s">
        <v>10051</v>
      </c>
      <c r="F323" s="3172" t="s">
        <v>10052</v>
      </c>
      <c r="G323" s="3174" t="s">
        <v>9197</v>
      </c>
      <c r="H323" s="3175" t="s">
        <v>9098</v>
      </c>
      <c r="I323" s="3176">
        <v>8</v>
      </c>
      <c r="J323" s="3176">
        <v>0</v>
      </c>
      <c r="K323" s="3176">
        <v>8</v>
      </c>
      <c r="L323" s="3176">
        <f t="shared" si="524"/>
        <v>1</v>
      </c>
      <c r="M323" s="3177">
        <v>46218</v>
      </c>
      <c r="N323" s="3206">
        <v>46214</v>
      </c>
      <c r="O323" s="2983"/>
      <c r="P323" s="2983" t="s">
        <v>82</v>
      </c>
      <c r="Q323" s="3223">
        <v>8</v>
      </c>
      <c r="R323" s="3224">
        <f t="shared" si="525"/>
        <v>0</v>
      </c>
      <c r="S323" s="3237"/>
      <c r="T323" s="3225" t="s">
        <v>321</v>
      </c>
      <c r="U323" s="2999" t="s">
        <v>208</v>
      </c>
      <c r="V323" s="2983"/>
      <c r="W323" s="3003" t="s">
        <v>1455</v>
      </c>
      <c r="X323" s="3003"/>
      <c r="Y323" s="3003" t="s">
        <v>10028</v>
      </c>
      <c r="Z323" s="3003" t="s">
        <v>5998</v>
      </c>
      <c r="AA323" s="3003"/>
      <c r="AB323" s="3173" t="s">
        <v>10029</v>
      </c>
      <c r="AC323" s="3176" t="s">
        <v>10030</v>
      </c>
      <c r="AD323" s="3231">
        <v>4.1708</v>
      </c>
      <c r="AE323" s="3179">
        <f t="shared" si="531"/>
        <v>33.3664</v>
      </c>
      <c r="AF323" s="3176"/>
      <c r="AG323" s="3176" t="s">
        <v>9198</v>
      </c>
      <c r="AH323" s="3176" t="s">
        <v>416</v>
      </c>
      <c r="AI323" s="3161"/>
      <c r="AJ323" s="3077"/>
      <c r="AK323" s="3103"/>
      <c r="AL323" s="3077">
        <f t="shared" si="529"/>
        <v>8</v>
      </c>
      <c r="AM323" s="3103"/>
      <c r="AN323" s="3077"/>
      <c r="AO323" s="3102"/>
      <c r="AP323" s="3079">
        <f t="shared" si="527"/>
        <v>8</v>
      </c>
      <c r="AQ323" s="3079"/>
      <c r="AR323" s="3079"/>
      <c r="AS323" s="3180"/>
      <c r="AT323" s="3116"/>
      <c r="AU323" s="3102"/>
      <c r="AV323" s="3102"/>
      <c r="AW323" s="3117"/>
      <c r="AX323" s="3226">
        <f t="shared" si="532"/>
        <v>8</v>
      </c>
      <c r="AY323" s="3183"/>
      <c r="AZ323" s="3183"/>
      <c r="BA323" s="3227"/>
      <c r="BB323" s="3181"/>
      <c r="BC323" s="3079"/>
      <c r="BD323" s="3079"/>
      <c r="BE323" s="3079"/>
      <c r="BF323" s="3079"/>
      <c r="BG323" s="3079"/>
      <c r="BH323" s="3079"/>
      <c r="BI323" s="3079"/>
      <c r="BJ323" s="3079"/>
      <c r="BK323" s="3079">
        <f t="shared" si="530"/>
        <v>8</v>
      </c>
      <c r="BL323" s="3079" t="s">
        <v>9164</v>
      </c>
      <c r="BM323" s="3102"/>
      <c r="BN323" s="3079">
        <f t="shared" si="533"/>
        <v>8</v>
      </c>
      <c r="BO323" s="3079"/>
      <c r="BP323" s="3079"/>
      <c r="BQ323" s="3182"/>
      <c r="BR323" s="3079">
        <f t="shared" si="528"/>
        <v>0</v>
      </c>
      <c r="BS323" s="3182"/>
      <c r="BT323" s="3182"/>
      <c r="BU323" s="3182"/>
      <c r="BV323" s="3182"/>
      <c r="BW323" s="3182"/>
      <c r="BX323" s="3182"/>
    </row>
    <row r="324" s="3032" customFormat="1" ht="32" customHeight="1" spans="1:76 16377:16384">
      <c r="A324" s="3169">
        <v>46171</v>
      </c>
      <c r="B324" s="3170" t="s">
        <v>10024</v>
      </c>
      <c r="C324" s="3171" t="s">
        <v>396</v>
      </c>
      <c r="D324" s="3172" t="s">
        <v>10025</v>
      </c>
      <c r="E324" s="3173" t="s">
        <v>10053</v>
      </c>
      <c r="F324" s="3172" t="s">
        <v>10054</v>
      </c>
      <c r="G324" s="3174" t="s">
        <v>9197</v>
      </c>
      <c r="H324" s="3175" t="s">
        <v>9098</v>
      </c>
      <c r="I324" s="3176">
        <v>8</v>
      </c>
      <c r="J324" s="3176">
        <v>0</v>
      </c>
      <c r="K324" s="3176">
        <v>8</v>
      </c>
      <c r="L324" s="3176">
        <f t="shared" si="524"/>
        <v>1</v>
      </c>
      <c r="M324" s="3177">
        <v>46218</v>
      </c>
      <c r="N324" s="3206">
        <v>46214</v>
      </c>
      <c r="O324" s="2983"/>
      <c r="P324" s="2983" t="s">
        <v>82</v>
      </c>
      <c r="Q324" s="3223">
        <v>8</v>
      </c>
      <c r="R324" s="3224">
        <f t="shared" si="525"/>
        <v>0</v>
      </c>
      <c r="S324" s="3237"/>
      <c r="T324" s="3225" t="s">
        <v>321</v>
      </c>
      <c r="U324" s="2999" t="s">
        <v>208</v>
      </c>
      <c r="V324" s="2983"/>
      <c r="W324" s="3003" t="s">
        <v>1455</v>
      </c>
      <c r="X324" s="3003"/>
      <c r="Y324" s="3003" t="s">
        <v>10028</v>
      </c>
      <c r="Z324" s="3003" t="s">
        <v>5998</v>
      </c>
      <c r="AA324" s="3003"/>
      <c r="AB324" s="3173" t="s">
        <v>10029</v>
      </c>
      <c r="AC324" s="3176" t="s">
        <v>10030</v>
      </c>
      <c r="AD324" s="3231">
        <v>4.1708</v>
      </c>
      <c r="AE324" s="3179">
        <f t="shared" si="531"/>
        <v>33.3664</v>
      </c>
      <c r="AF324" s="3176"/>
      <c r="AG324" s="3176" t="s">
        <v>9198</v>
      </c>
      <c r="AH324" s="3176" t="s">
        <v>416</v>
      </c>
      <c r="AI324" s="3161"/>
      <c r="AJ324" s="3077"/>
      <c r="AK324" s="3103"/>
      <c r="AL324" s="3077">
        <f t="shared" si="529"/>
        <v>8</v>
      </c>
      <c r="AM324" s="3103"/>
      <c r="AN324" s="3077"/>
      <c r="AO324" s="3102"/>
      <c r="AP324" s="3079">
        <f t="shared" si="527"/>
        <v>8</v>
      </c>
      <c r="AQ324" s="3079"/>
      <c r="AR324" s="3079"/>
      <c r="AS324" s="3180"/>
      <c r="AT324" s="3116"/>
      <c r="AU324" s="3102"/>
      <c r="AV324" s="3102"/>
      <c r="AW324" s="3117"/>
      <c r="AX324" s="3226">
        <f t="shared" si="532"/>
        <v>8</v>
      </c>
      <c r="AY324" s="3183"/>
      <c r="AZ324" s="3183"/>
      <c r="BA324" s="3227"/>
      <c r="BB324" s="3181"/>
      <c r="BC324" s="3079"/>
      <c r="BD324" s="3079"/>
      <c r="BE324" s="3079"/>
      <c r="BF324" s="3079"/>
      <c r="BG324" s="3079"/>
      <c r="BH324" s="3079"/>
      <c r="BI324" s="3079"/>
      <c r="BJ324" s="3079"/>
      <c r="BK324" s="3079">
        <f t="shared" si="530"/>
        <v>8</v>
      </c>
      <c r="BL324" s="3079" t="s">
        <v>9164</v>
      </c>
      <c r="BM324" s="3102"/>
      <c r="BN324" s="3079">
        <f t="shared" si="533"/>
        <v>8</v>
      </c>
      <c r="BO324" s="3079"/>
      <c r="BP324" s="3079"/>
      <c r="BQ324" s="3182"/>
      <c r="BR324" s="3079">
        <f t="shared" si="528"/>
        <v>0</v>
      </c>
      <c r="BS324" s="3182"/>
      <c r="BT324" s="3182"/>
      <c r="BU324" s="3182"/>
      <c r="BV324" s="3182"/>
      <c r="BW324" s="3182"/>
      <c r="BX324" s="3182"/>
    </row>
    <row r="325" s="3032" customFormat="1" ht="32" customHeight="1" spans="1:76 16377:16384">
      <c r="A325" s="3169">
        <v>46171</v>
      </c>
      <c r="B325" s="3170" t="s">
        <v>10024</v>
      </c>
      <c r="C325" s="3171" t="s">
        <v>396</v>
      </c>
      <c r="D325" s="3172" t="s">
        <v>10025</v>
      </c>
      <c r="E325" s="3173" t="s">
        <v>10055</v>
      </c>
      <c r="F325" s="3172" t="s">
        <v>10056</v>
      </c>
      <c r="G325" s="3174" t="s">
        <v>9197</v>
      </c>
      <c r="H325" s="3175" t="s">
        <v>9098</v>
      </c>
      <c r="I325" s="3176">
        <v>8</v>
      </c>
      <c r="J325" s="3176">
        <v>0</v>
      </c>
      <c r="K325" s="3176">
        <v>8</v>
      </c>
      <c r="L325" s="3176">
        <f t="shared" ref="L325:L363" si="534">I325/K325</f>
        <v>1</v>
      </c>
      <c r="M325" s="3177">
        <v>46218</v>
      </c>
      <c r="N325" s="3206">
        <v>46214</v>
      </c>
      <c r="O325" s="2983"/>
      <c r="P325" s="2983" t="s">
        <v>82</v>
      </c>
      <c r="Q325" s="3223">
        <v>8</v>
      </c>
      <c r="R325" s="3224">
        <f t="shared" si="525"/>
        <v>0</v>
      </c>
      <c r="S325" s="3237"/>
      <c r="T325" s="3225" t="s">
        <v>321</v>
      </c>
      <c r="U325" s="2999" t="s">
        <v>208</v>
      </c>
      <c r="V325" s="2983"/>
      <c r="W325" s="3003" t="s">
        <v>1455</v>
      </c>
      <c r="X325" s="3003"/>
      <c r="Y325" s="3003" t="s">
        <v>10028</v>
      </c>
      <c r="Z325" s="3003" t="s">
        <v>5998</v>
      </c>
      <c r="AA325" s="3003"/>
      <c r="AB325" s="3173" t="s">
        <v>10029</v>
      </c>
      <c r="AC325" s="3176" t="s">
        <v>10030</v>
      </c>
      <c r="AD325" s="3231">
        <v>4.1708</v>
      </c>
      <c r="AE325" s="3179">
        <f t="shared" si="531"/>
        <v>33.3664</v>
      </c>
      <c r="AF325" s="3176"/>
      <c r="AG325" s="3176" t="s">
        <v>9198</v>
      </c>
      <c r="AH325" s="3176" t="s">
        <v>416</v>
      </c>
      <c r="AI325" s="3161"/>
      <c r="AJ325" s="3077"/>
      <c r="AK325" s="3103"/>
      <c r="AL325" s="3077">
        <f t="shared" si="529"/>
        <v>8</v>
      </c>
      <c r="AM325" s="3103"/>
      <c r="AN325" s="3077"/>
      <c r="AO325" s="3102"/>
      <c r="AP325" s="3079">
        <f t="shared" si="527"/>
        <v>8</v>
      </c>
      <c r="AQ325" s="3079"/>
      <c r="AR325" s="3079"/>
      <c r="AS325" s="3180"/>
      <c r="AT325" s="3116"/>
      <c r="AU325" s="3102"/>
      <c r="AV325" s="3102"/>
      <c r="AW325" s="3117"/>
      <c r="AX325" s="3226">
        <f t="shared" si="532"/>
        <v>8</v>
      </c>
      <c r="AY325" s="3183"/>
      <c r="AZ325" s="3183"/>
      <c r="BA325" s="3227"/>
      <c r="BB325" s="3181"/>
      <c r="BC325" s="3079"/>
      <c r="BD325" s="3079"/>
      <c r="BE325" s="3079"/>
      <c r="BF325" s="3079"/>
      <c r="BG325" s="3079"/>
      <c r="BH325" s="3079"/>
      <c r="BI325" s="3079"/>
      <c r="BJ325" s="3079"/>
      <c r="BK325" s="3079">
        <f t="shared" si="530"/>
        <v>8</v>
      </c>
      <c r="BL325" s="3079" t="s">
        <v>9164</v>
      </c>
      <c r="BM325" s="3102"/>
      <c r="BN325" s="3079">
        <f t="shared" si="533"/>
        <v>8</v>
      </c>
      <c r="BO325" s="3079"/>
      <c r="BP325" s="3079"/>
      <c r="BQ325" s="3182"/>
      <c r="BR325" s="3079">
        <f t="shared" si="528"/>
        <v>0</v>
      </c>
      <c r="BS325" s="3182"/>
      <c r="BT325" s="3182"/>
      <c r="BU325" s="3182"/>
      <c r="BV325" s="3182"/>
      <c r="BW325" s="3182"/>
      <c r="BX325" s="3182"/>
    </row>
    <row r="326" s="3032" customFormat="1" ht="32" customHeight="1" spans="1:76 16377:16384">
      <c r="A326" s="3169">
        <v>46171</v>
      </c>
      <c r="B326" s="3170" t="s">
        <v>10024</v>
      </c>
      <c r="C326" s="3171" t="s">
        <v>396</v>
      </c>
      <c r="D326" s="3172" t="s">
        <v>10025</v>
      </c>
      <c r="E326" s="3173" t="s">
        <v>10057</v>
      </c>
      <c r="F326" s="3172" t="s">
        <v>10058</v>
      </c>
      <c r="G326" s="3174" t="s">
        <v>9197</v>
      </c>
      <c r="H326" s="3175" t="s">
        <v>9098</v>
      </c>
      <c r="I326" s="3176">
        <v>8</v>
      </c>
      <c r="J326" s="3176">
        <v>0</v>
      </c>
      <c r="K326" s="3176">
        <v>8</v>
      </c>
      <c r="L326" s="3176">
        <f t="shared" si="534"/>
        <v>1</v>
      </c>
      <c r="M326" s="3177">
        <v>46218</v>
      </c>
      <c r="N326" s="3206">
        <v>46214</v>
      </c>
      <c r="O326" s="2983"/>
      <c r="P326" s="2983" t="s">
        <v>82</v>
      </c>
      <c r="Q326" s="3223">
        <v>8</v>
      </c>
      <c r="R326" s="3224">
        <f t="shared" si="525"/>
        <v>0</v>
      </c>
      <c r="S326" s="3237"/>
      <c r="T326" s="3225" t="s">
        <v>321</v>
      </c>
      <c r="U326" s="2999" t="s">
        <v>208</v>
      </c>
      <c r="V326" s="2983"/>
      <c r="W326" s="3003" t="s">
        <v>1455</v>
      </c>
      <c r="X326" s="3003"/>
      <c r="Y326" s="3003" t="s">
        <v>10028</v>
      </c>
      <c r="Z326" s="3003" t="s">
        <v>5998</v>
      </c>
      <c r="AA326" s="3003"/>
      <c r="AB326" s="3173" t="s">
        <v>10029</v>
      </c>
      <c r="AC326" s="3176" t="s">
        <v>10030</v>
      </c>
      <c r="AD326" s="3231">
        <v>4.1708</v>
      </c>
      <c r="AE326" s="3179">
        <f t="shared" si="531"/>
        <v>33.3664</v>
      </c>
      <c r="AF326" s="3176"/>
      <c r="AG326" s="3176" t="s">
        <v>9198</v>
      </c>
      <c r="AH326" s="3176" t="s">
        <v>416</v>
      </c>
      <c r="AI326" s="3161"/>
      <c r="AJ326" s="3077"/>
      <c r="AK326" s="3103"/>
      <c r="AL326" s="3077">
        <f t="shared" si="529"/>
        <v>8</v>
      </c>
      <c r="AM326" s="3103"/>
      <c r="AN326" s="3077"/>
      <c r="AO326" s="3102"/>
      <c r="AP326" s="3079">
        <f t="shared" si="527"/>
        <v>8</v>
      </c>
      <c r="AQ326" s="3079"/>
      <c r="AR326" s="3079"/>
      <c r="AS326" s="3180"/>
      <c r="AT326" s="3116"/>
      <c r="AU326" s="3102"/>
      <c r="AV326" s="3102"/>
      <c r="AW326" s="3117"/>
      <c r="AX326" s="3226">
        <f t="shared" si="532"/>
        <v>8</v>
      </c>
      <c r="AY326" s="3183"/>
      <c r="AZ326" s="3183"/>
      <c r="BA326" s="3227"/>
      <c r="BB326" s="3181"/>
      <c r="BC326" s="3079"/>
      <c r="BD326" s="3079"/>
      <c r="BE326" s="3079"/>
      <c r="BF326" s="3079"/>
      <c r="BG326" s="3079"/>
      <c r="BH326" s="3079"/>
      <c r="BI326" s="3079"/>
      <c r="BJ326" s="3079"/>
      <c r="BK326" s="3079">
        <f t="shared" si="530"/>
        <v>8</v>
      </c>
      <c r="BL326" s="3079" t="s">
        <v>9164</v>
      </c>
      <c r="BM326" s="3102"/>
      <c r="BN326" s="3079">
        <f t="shared" si="533"/>
        <v>8</v>
      </c>
      <c r="BO326" s="3079"/>
      <c r="BP326" s="3079"/>
      <c r="BQ326" s="3182"/>
      <c r="BR326" s="3079">
        <f t="shared" si="528"/>
        <v>0</v>
      </c>
      <c r="BS326" s="3182"/>
      <c r="BT326" s="3182"/>
      <c r="BU326" s="3182"/>
      <c r="BV326" s="3182"/>
      <c r="BW326" s="3182"/>
      <c r="BX326" s="3182"/>
    </row>
    <row r="327" s="3032" customFormat="1" ht="32" customHeight="1" spans="1:76 16377:16384">
      <c r="A327" s="3169">
        <v>46171</v>
      </c>
      <c r="B327" s="3170" t="s">
        <v>10024</v>
      </c>
      <c r="C327" s="3171" t="s">
        <v>396</v>
      </c>
      <c r="D327" s="3172" t="s">
        <v>10025</v>
      </c>
      <c r="E327" s="3173" t="s">
        <v>10059</v>
      </c>
      <c r="F327" s="3172" t="s">
        <v>10060</v>
      </c>
      <c r="G327" s="3174" t="s">
        <v>9197</v>
      </c>
      <c r="H327" s="3175" t="s">
        <v>9098</v>
      </c>
      <c r="I327" s="3176">
        <v>8</v>
      </c>
      <c r="J327" s="3176">
        <v>0</v>
      </c>
      <c r="K327" s="3176">
        <v>8</v>
      </c>
      <c r="L327" s="3176">
        <f t="shared" si="534"/>
        <v>1</v>
      </c>
      <c r="M327" s="3177">
        <v>46218</v>
      </c>
      <c r="N327" s="3206">
        <v>46214</v>
      </c>
      <c r="O327" s="2983"/>
      <c r="P327" s="2983" t="s">
        <v>82</v>
      </c>
      <c r="Q327" s="3223">
        <v>8</v>
      </c>
      <c r="R327" s="3224">
        <f t="shared" si="525"/>
        <v>0</v>
      </c>
      <c r="S327" s="3238"/>
      <c r="T327" s="3225" t="s">
        <v>321</v>
      </c>
      <c r="U327" s="2999" t="s">
        <v>208</v>
      </c>
      <c r="V327" s="2983"/>
      <c r="W327" s="3003" t="s">
        <v>1455</v>
      </c>
      <c r="X327" s="3003"/>
      <c r="Y327" s="3003" t="s">
        <v>10028</v>
      </c>
      <c r="Z327" s="3003" t="s">
        <v>5998</v>
      </c>
      <c r="AA327" s="3003"/>
      <c r="AB327" s="3173" t="s">
        <v>10029</v>
      </c>
      <c r="AC327" s="3176" t="s">
        <v>10030</v>
      </c>
      <c r="AD327" s="3231">
        <v>4.1708</v>
      </c>
      <c r="AE327" s="3179">
        <f t="shared" si="531"/>
        <v>33.3664</v>
      </c>
      <c r="AF327" s="3176"/>
      <c r="AG327" s="3176" t="s">
        <v>9198</v>
      </c>
      <c r="AH327" s="3176" t="s">
        <v>416</v>
      </c>
      <c r="AI327" s="3161"/>
      <c r="AJ327" s="3077"/>
      <c r="AK327" s="3103"/>
      <c r="AL327" s="3077">
        <f t="shared" si="529"/>
        <v>8</v>
      </c>
      <c r="AM327" s="3103"/>
      <c r="AN327" s="3077"/>
      <c r="AO327" s="3102"/>
      <c r="AP327" s="3079">
        <f t="shared" si="527"/>
        <v>8</v>
      </c>
      <c r="AQ327" s="3079"/>
      <c r="AR327" s="3079"/>
      <c r="AS327" s="3180"/>
      <c r="AT327" s="3116"/>
      <c r="AU327" s="3102"/>
      <c r="AV327" s="3102"/>
      <c r="AW327" s="3117"/>
      <c r="AX327" s="3226">
        <f t="shared" si="532"/>
        <v>8</v>
      </c>
      <c r="AY327" s="3183"/>
      <c r="AZ327" s="3183"/>
      <c r="BA327" s="3227"/>
      <c r="BB327" s="3181"/>
      <c r="BC327" s="3079"/>
      <c r="BD327" s="3079"/>
      <c r="BE327" s="3079"/>
      <c r="BF327" s="3079"/>
      <c r="BG327" s="3079"/>
      <c r="BH327" s="3079"/>
      <c r="BI327" s="3079"/>
      <c r="BJ327" s="3079"/>
      <c r="BK327" s="3079">
        <f t="shared" si="530"/>
        <v>8</v>
      </c>
      <c r="BL327" s="3079" t="s">
        <v>9164</v>
      </c>
      <c r="BM327" s="3102"/>
      <c r="BN327" s="3079">
        <f t="shared" si="533"/>
        <v>8</v>
      </c>
      <c r="BO327" s="3079"/>
      <c r="BP327" s="3079"/>
      <c r="BQ327" s="3182"/>
      <c r="BR327" s="3079">
        <f t="shared" si="528"/>
        <v>0</v>
      </c>
      <c r="BS327" s="3182"/>
      <c r="BT327" s="3182"/>
      <c r="BU327" s="3182"/>
      <c r="BV327" s="3182"/>
      <c r="BW327" s="3182"/>
      <c r="BX327" s="3182"/>
    </row>
    <row r="328" s="3032" customFormat="1" ht="32" customHeight="1" spans="1:76 16377:16384">
      <c r="A328" s="3169">
        <v>46171</v>
      </c>
      <c r="B328" s="3170" t="s">
        <v>10024</v>
      </c>
      <c r="C328" s="3171" t="s">
        <v>396</v>
      </c>
      <c r="D328" s="3172" t="s">
        <v>10025</v>
      </c>
      <c r="E328" s="3173" t="s">
        <v>10061</v>
      </c>
      <c r="F328" s="3172" t="s">
        <v>10062</v>
      </c>
      <c r="G328" s="3174" t="s">
        <v>9191</v>
      </c>
      <c r="H328" s="3175" t="s">
        <v>9099</v>
      </c>
      <c r="I328" s="3176">
        <v>8</v>
      </c>
      <c r="J328" s="3176">
        <v>0</v>
      </c>
      <c r="K328" s="3176">
        <v>8</v>
      </c>
      <c r="L328" s="3176">
        <f t="shared" si="534"/>
        <v>1</v>
      </c>
      <c r="M328" s="3177">
        <v>46218</v>
      </c>
      <c r="N328" s="3206">
        <v>46214</v>
      </c>
      <c r="O328" s="2983"/>
      <c r="P328" s="2983" t="s">
        <v>82</v>
      </c>
      <c r="Q328" s="3223">
        <v>8</v>
      </c>
      <c r="R328" s="3224">
        <f t="shared" si="525"/>
        <v>0</v>
      </c>
      <c r="S328" s="3236" t="s">
        <v>2297</v>
      </c>
      <c r="T328" s="3225" t="s">
        <v>321</v>
      </c>
      <c r="U328" s="2999" t="s">
        <v>208</v>
      </c>
      <c r="V328" s="2983"/>
      <c r="W328" s="3003" t="s">
        <v>1455</v>
      </c>
      <c r="X328" s="3003"/>
      <c r="Y328" s="3003" t="s">
        <v>10028</v>
      </c>
      <c r="Z328" s="3003" t="s">
        <v>5998</v>
      </c>
      <c r="AA328" s="3003"/>
      <c r="AB328" s="3173" t="s">
        <v>10029</v>
      </c>
      <c r="AC328" s="3176" t="s">
        <v>10030</v>
      </c>
      <c r="AD328" s="3231">
        <v>4.1708</v>
      </c>
      <c r="AE328" s="3179">
        <f t="shared" si="531"/>
        <v>33.3664</v>
      </c>
      <c r="AF328" s="3176"/>
      <c r="AG328" s="3176" t="s">
        <v>9194</v>
      </c>
      <c r="AH328" s="3176" t="s">
        <v>416</v>
      </c>
      <c r="AI328" s="3161"/>
      <c r="AJ328" s="3077"/>
      <c r="AK328" s="3103"/>
      <c r="AL328" s="3077">
        <f t="shared" si="529"/>
        <v>8</v>
      </c>
      <c r="AM328" s="3103"/>
      <c r="AN328" s="3077"/>
      <c r="AO328" s="3102"/>
      <c r="AP328" s="3079">
        <f t="shared" si="527"/>
        <v>8</v>
      </c>
      <c r="AQ328" s="3079"/>
      <c r="AR328" s="3079"/>
      <c r="AS328" s="3180"/>
      <c r="AT328" s="3116"/>
      <c r="AU328" s="3102"/>
      <c r="AV328" s="3102"/>
      <c r="AW328" s="3117"/>
      <c r="AX328" s="3226"/>
      <c r="AY328" s="3183">
        <f t="shared" ref="AY328:AY333" si="535">I328</f>
        <v>8</v>
      </c>
      <c r="AZ328" s="3183"/>
      <c r="BA328" s="3227"/>
      <c r="BB328" s="3181"/>
      <c r="BC328" s="3079"/>
      <c r="BD328" s="3079"/>
      <c r="BE328" s="3079"/>
      <c r="BF328" s="3079"/>
      <c r="BG328" s="3079"/>
      <c r="BH328" s="3079"/>
      <c r="BI328" s="3079"/>
      <c r="BJ328" s="3079"/>
      <c r="BK328" s="3079">
        <f t="shared" si="530"/>
        <v>8</v>
      </c>
      <c r="BL328" s="3079" t="s">
        <v>9164</v>
      </c>
      <c r="BM328" s="3102"/>
      <c r="BN328" s="3079"/>
      <c r="BO328" s="3079">
        <f t="shared" ref="BO328:BO333" si="536">I328</f>
        <v>8</v>
      </c>
      <c r="BP328" s="3079"/>
      <c r="BQ328" s="3182"/>
      <c r="BR328" s="3079">
        <f t="shared" si="528"/>
        <v>0</v>
      </c>
      <c r="BS328" s="3182"/>
      <c r="BT328" s="3182"/>
      <c r="BU328" s="3182"/>
      <c r="BV328" s="3182"/>
      <c r="BW328" s="3182"/>
      <c r="BX328" s="3182"/>
    </row>
    <row r="329" s="3032" customFormat="1" ht="32" customHeight="1" spans="1:76 16377:16384">
      <c r="A329" s="3169">
        <v>46171</v>
      </c>
      <c r="B329" s="3170" t="s">
        <v>10024</v>
      </c>
      <c r="C329" s="3171" t="s">
        <v>396</v>
      </c>
      <c r="D329" s="3172" t="s">
        <v>10025</v>
      </c>
      <c r="E329" s="3173" t="s">
        <v>10063</v>
      </c>
      <c r="F329" s="3172" t="s">
        <v>10064</v>
      </c>
      <c r="G329" s="3174" t="s">
        <v>9191</v>
      </c>
      <c r="H329" s="3175" t="s">
        <v>9099</v>
      </c>
      <c r="I329" s="3176">
        <v>8</v>
      </c>
      <c r="J329" s="3176">
        <v>0</v>
      </c>
      <c r="K329" s="3176">
        <v>8</v>
      </c>
      <c r="L329" s="3176">
        <f t="shared" si="534"/>
        <v>1</v>
      </c>
      <c r="M329" s="3177">
        <v>46218</v>
      </c>
      <c r="N329" s="3206">
        <v>46214</v>
      </c>
      <c r="O329" s="2983"/>
      <c r="P329" s="2983" t="s">
        <v>82</v>
      </c>
      <c r="Q329" s="3223">
        <v>8</v>
      </c>
      <c r="R329" s="3224">
        <f t="shared" si="525"/>
        <v>0</v>
      </c>
      <c r="S329" s="3237"/>
      <c r="T329" s="3225" t="s">
        <v>321</v>
      </c>
      <c r="U329" s="2999" t="s">
        <v>208</v>
      </c>
      <c r="V329" s="2983"/>
      <c r="W329" s="3003" t="s">
        <v>1455</v>
      </c>
      <c r="X329" s="3003"/>
      <c r="Y329" s="3003" t="s">
        <v>10028</v>
      </c>
      <c r="Z329" s="3003" t="s">
        <v>5998</v>
      </c>
      <c r="AA329" s="3003"/>
      <c r="AB329" s="3173" t="s">
        <v>10029</v>
      </c>
      <c r="AC329" s="3176" t="s">
        <v>10030</v>
      </c>
      <c r="AD329" s="3231">
        <v>4.1708</v>
      </c>
      <c r="AE329" s="3179">
        <f t="shared" si="531"/>
        <v>33.3664</v>
      </c>
      <c r="AF329" s="3176"/>
      <c r="AG329" s="3176" t="s">
        <v>9194</v>
      </c>
      <c r="AH329" s="3176" t="s">
        <v>416</v>
      </c>
      <c r="AI329" s="3161"/>
      <c r="AJ329" s="3077"/>
      <c r="AK329" s="3103"/>
      <c r="AL329" s="3077">
        <f t="shared" si="529"/>
        <v>8</v>
      </c>
      <c r="AM329" s="3103"/>
      <c r="AN329" s="3077"/>
      <c r="AO329" s="3102"/>
      <c r="AP329" s="3079">
        <f t="shared" si="527"/>
        <v>8</v>
      </c>
      <c r="AQ329" s="3079"/>
      <c r="AR329" s="3079"/>
      <c r="AS329" s="3180"/>
      <c r="AT329" s="3116"/>
      <c r="AU329" s="3102"/>
      <c r="AV329" s="3102"/>
      <c r="AW329" s="3117"/>
      <c r="AX329" s="3226"/>
      <c r="AY329" s="3183">
        <f t="shared" si="535"/>
        <v>8</v>
      </c>
      <c r="AZ329" s="3183"/>
      <c r="BA329" s="3227"/>
      <c r="BB329" s="3181"/>
      <c r="BC329" s="3079"/>
      <c r="BD329" s="3079"/>
      <c r="BE329" s="3079"/>
      <c r="BF329" s="3079"/>
      <c r="BG329" s="3079"/>
      <c r="BH329" s="3079"/>
      <c r="BI329" s="3079"/>
      <c r="BJ329" s="3079"/>
      <c r="BK329" s="3079">
        <f t="shared" si="530"/>
        <v>8</v>
      </c>
      <c r="BL329" s="3079" t="s">
        <v>9164</v>
      </c>
      <c r="BM329" s="3102"/>
      <c r="BN329" s="3079"/>
      <c r="BO329" s="3079">
        <f t="shared" si="536"/>
        <v>8</v>
      </c>
      <c r="BP329" s="3079"/>
      <c r="BQ329" s="3182"/>
      <c r="BR329" s="3079">
        <f t="shared" si="528"/>
        <v>0</v>
      </c>
      <c r="BS329" s="3182"/>
      <c r="BT329" s="3182"/>
      <c r="BU329" s="3182"/>
      <c r="BV329" s="3182"/>
      <c r="BW329" s="3182"/>
      <c r="BX329" s="3182"/>
    </row>
    <row r="330" s="3032" customFormat="1" ht="32" customHeight="1" spans="1:76 16377:16384">
      <c r="A330" s="3169">
        <v>46171</v>
      </c>
      <c r="B330" s="3170" t="s">
        <v>10024</v>
      </c>
      <c r="C330" s="3171" t="s">
        <v>396</v>
      </c>
      <c r="D330" s="3172" t="s">
        <v>10025</v>
      </c>
      <c r="E330" s="3173" t="s">
        <v>10065</v>
      </c>
      <c r="F330" s="3172" t="s">
        <v>10066</v>
      </c>
      <c r="G330" s="3174" t="s">
        <v>9191</v>
      </c>
      <c r="H330" s="3175" t="s">
        <v>9099</v>
      </c>
      <c r="I330" s="3176">
        <v>8</v>
      </c>
      <c r="J330" s="3176">
        <v>0</v>
      </c>
      <c r="K330" s="3176">
        <v>8</v>
      </c>
      <c r="L330" s="3176">
        <f t="shared" si="534"/>
        <v>1</v>
      </c>
      <c r="M330" s="3177">
        <v>46218</v>
      </c>
      <c r="N330" s="3206">
        <v>46214</v>
      </c>
      <c r="O330" s="2983"/>
      <c r="P330" s="2983" t="s">
        <v>82</v>
      </c>
      <c r="Q330" s="3223">
        <v>8</v>
      </c>
      <c r="R330" s="3224">
        <f t="shared" si="525"/>
        <v>0</v>
      </c>
      <c r="S330" s="3237"/>
      <c r="T330" s="3225" t="s">
        <v>321</v>
      </c>
      <c r="U330" s="2999" t="s">
        <v>208</v>
      </c>
      <c r="V330" s="2983"/>
      <c r="W330" s="3003" t="s">
        <v>1455</v>
      </c>
      <c r="X330" s="3003"/>
      <c r="Y330" s="3003" t="s">
        <v>10028</v>
      </c>
      <c r="Z330" s="3003" t="s">
        <v>5998</v>
      </c>
      <c r="AA330" s="3003"/>
      <c r="AB330" s="3173" t="s">
        <v>10029</v>
      </c>
      <c r="AC330" s="3176" t="s">
        <v>10030</v>
      </c>
      <c r="AD330" s="3231">
        <v>4.1708</v>
      </c>
      <c r="AE330" s="3179">
        <f t="shared" si="531"/>
        <v>33.3664</v>
      </c>
      <c r="AF330" s="3176"/>
      <c r="AG330" s="3176" t="s">
        <v>9194</v>
      </c>
      <c r="AH330" s="3176" t="s">
        <v>416</v>
      </c>
      <c r="AI330" s="3161"/>
      <c r="AJ330" s="3077"/>
      <c r="AK330" s="3103"/>
      <c r="AL330" s="3077">
        <f t="shared" si="529"/>
        <v>8</v>
      </c>
      <c r="AM330" s="3103"/>
      <c r="AN330" s="3077"/>
      <c r="AO330" s="3102"/>
      <c r="AP330" s="3079">
        <f t="shared" si="527"/>
        <v>8</v>
      </c>
      <c r="AQ330" s="3079"/>
      <c r="AR330" s="3079"/>
      <c r="AS330" s="3180"/>
      <c r="AT330" s="3116"/>
      <c r="AU330" s="3102"/>
      <c r="AV330" s="3102"/>
      <c r="AW330" s="3117"/>
      <c r="AX330" s="3226"/>
      <c r="AY330" s="3183">
        <f t="shared" si="535"/>
        <v>8</v>
      </c>
      <c r="AZ330" s="3183"/>
      <c r="BA330" s="3227"/>
      <c r="BB330" s="3181"/>
      <c r="BC330" s="3079"/>
      <c r="BD330" s="3079"/>
      <c r="BE330" s="3079"/>
      <c r="BF330" s="3079"/>
      <c r="BG330" s="3079"/>
      <c r="BH330" s="3079"/>
      <c r="BI330" s="3079"/>
      <c r="BJ330" s="3079"/>
      <c r="BK330" s="3079">
        <f t="shared" si="530"/>
        <v>8</v>
      </c>
      <c r="BL330" s="3079" t="s">
        <v>9164</v>
      </c>
      <c r="BM330" s="3102"/>
      <c r="BN330" s="3079"/>
      <c r="BO330" s="3079">
        <f t="shared" si="536"/>
        <v>8</v>
      </c>
      <c r="BP330" s="3079"/>
      <c r="BQ330" s="3182"/>
      <c r="BR330" s="3079">
        <f t="shared" si="528"/>
        <v>0</v>
      </c>
      <c r="BS330" s="3182"/>
      <c r="BT330" s="3182"/>
      <c r="BU330" s="3182"/>
      <c r="BV330" s="3182"/>
      <c r="BW330" s="3182"/>
      <c r="BX330" s="3182"/>
    </row>
    <row r="331" s="3032" customFormat="1" ht="32" customHeight="1" spans="1:76 16377:16384">
      <c r="A331" s="3169">
        <v>46171</v>
      </c>
      <c r="B331" s="3170" t="s">
        <v>10024</v>
      </c>
      <c r="C331" s="3171" t="s">
        <v>396</v>
      </c>
      <c r="D331" s="3172" t="s">
        <v>10025</v>
      </c>
      <c r="E331" s="3173" t="s">
        <v>10067</v>
      </c>
      <c r="F331" s="3172" t="s">
        <v>10068</v>
      </c>
      <c r="G331" s="3174" t="s">
        <v>9191</v>
      </c>
      <c r="H331" s="3175" t="s">
        <v>9099</v>
      </c>
      <c r="I331" s="3176">
        <v>8</v>
      </c>
      <c r="J331" s="3176">
        <v>0</v>
      </c>
      <c r="K331" s="3176">
        <v>8</v>
      </c>
      <c r="L331" s="3176">
        <f t="shared" si="534"/>
        <v>1</v>
      </c>
      <c r="M331" s="3177">
        <v>46218</v>
      </c>
      <c r="N331" s="3206">
        <v>46214</v>
      </c>
      <c r="O331" s="2983"/>
      <c r="P331" s="2983" t="s">
        <v>82</v>
      </c>
      <c r="Q331" s="3223">
        <v>8</v>
      </c>
      <c r="R331" s="3224">
        <f t="shared" si="525"/>
        <v>0</v>
      </c>
      <c r="S331" s="3237"/>
      <c r="T331" s="3225" t="s">
        <v>321</v>
      </c>
      <c r="U331" s="2999" t="s">
        <v>208</v>
      </c>
      <c r="V331" s="2983"/>
      <c r="W331" s="3003" t="s">
        <v>1455</v>
      </c>
      <c r="X331" s="3003"/>
      <c r="Y331" s="3003" t="s">
        <v>10028</v>
      </c>
      <c r="Z331" s="3003" t="s">
        <v>5998</v>
      </c>
      <c r="AA331" s="3003"/>
      <c r="AB331" s="3173" t="s">
        <v>10029</v>
      </c>
      <c r="AC331" s="3176" t="s">
        <v>10030</v>
      </c>
      <c r="AD331" s="3231">
        <v>4.1708</v>
      </c>
      <c r="AE331" s="3179">
        <f t="shared" si="531"/>
        <v>33.3664</v>
      </c>
      <c r="AF331" s="3176"/>
      <c r="AG331" s="3176" t="s">
        <v>9194</v>
      </c>
      <c r="AH331" s="3176" t="s">
        <v>416</v>
      </c>
      <c r="AI331" s="3161"/>
      <c r="AJ331" s="3077"/>
      <c r="AK331" s="3103"/>
      <c r="AL331" s="3077">
        <f t="shared" si="529"/>
        <v>8</v>
      </c>
      <c r="AM331" s="3103"/>
      <c r="AN331" s="3077"/>
      <c r="AO331" s="3102"/>
      <c r="AP331" s="3079">
        <f t="shared" si="527"/>
        <v>8</v>
      </c>
      <c r="AQ331" s="3079"/>
      <c r="AR331" s="3079"/>
      <c r="AS331" s="3180"/>
      <c r="AT331" s="3116"/>
      <c r="AU331" s="3102"/>
      <c r="AV331" s="3102"/>
      <c r="AW331" s="3117"/>
      <c r="AX331" s="3226"/>
      <c r="AY331" s="3183">
        <f t="shared" si="535"/>
        <v>8</v>
      </c>
      <c r="AZ331" s="3183"/>
      <c r="BA331" s="3227"/>
      <c r="BB331" s="3181"/>
      <c r="BC331" s="3079"/>
      <c r="BD331" s="3079"/>
      <c r="BE331" s="3079"/>
      <c r="BF331" s="3079"/>
      <c r="BG331" s="3079"/>
      <c r="BH331" s="3079"/>
      <c r="BI331" s="3079"/>
      <c r="BJ331" s="3079"/>
      <c r="BK331" s="3079">
        <f t="shared" si="530"/>
        <v>8</v>
      </c>
      <c r="BL331" s="3079" t="s">
        <v>9164</v>
      </c>
      <c r="BM331" s="3102"/>
      <c r="BN331" s="3079"/>
      <c r="BO331" s="3079">
        <f t="shared" si="536"/>
        <v>8</v>
      </c>
      <c r="BP331" s="3079"/>
      <c r="BQ331" s="3182"/>
      <c r="BR331" s="3079">
        <f t="shared" si="528"/>
        <v>0</v>
      </c>
      <c r="BS331" s="3182"/>
      <c r="BT331" s="3182"/>
      <c r="BU331" s="3182"/>
      <c r="BV331" s="3182"/>
      <c r="BW331" s="3182"/>
      <c r="BX331" s="3182"/>
    </row>
    <row r="332" s="3032" customFormat="1" ht="32" customHeight="1" spans="1:76 16377:16384">
      <c r="A332" s="3169">
        <v>46171</v>
      </c>
      <c r="B332" s="3170" t="s">
        <v>10024</v>
      </c>
      <c r="C332" s="3171" t="s">
        <v>396</v>
      </c>
      <c r="D332" s="3172" t="s">
        <v>10025</v>
      </c>
      <c r="E332" s="3173" t="s">
        <v>10069</v>
      </c>
      <c r="F332" s="3172" t="s">
        <v>10070</v>
      </c>
      <c r="G332" s="3174" t="s">
        <v>9191</v>
      </c>
      <c r="H332" s="3175" t="s">
        <v>9099</v>
      </c>
      <c r="I332" s="3176">
        <v>8</v>
      </c>
      <c r="J332" s="3176">
        <v>0</v>
      </c>
      <c r="K332" s="3176">
        <v>8</v>
      </c>
      <c r="L332" s="3176">
        <f t="shared" si="534"/>
        <v>1</v>
      </c>
      <c r="M332" s="3177">
        <v>46218</v>
      </c>
      <c r="N332" s="3206">
        <v>46214</v>
      </c>
      <c r="O332" s="2983"/>
      <c r="P332" s="2983" t="s">
        <v>82</v>
      </c>
      <c r="Q332" s="3223">
        <v>8</v>
      </c>
      <c r="R332" s="3224">
        <f t="shared" si="525"/>
        <v>0</v>
      </c>
      <c r="S332" s="3237"/>
      <c r="T332" s="3225" t="s">
        <v>321</v>
      </c>
      <c r="U332" s="2999" t="s">
        <v>208</v>
      </c>
      <c r="V332" s="2983"/>
      <c r="W332" s="3003" t="s">
        <v>1455</v>
      </c>
      <c r="X332" s="3003"/>
      <c r="Y332" s="3003" t="s">
        <v>10028</v>
      </c>
      <c r="Z332" s="3003" t="s">
        <v>5998</v>
      </c>
      <c r="AA332" s="3003"/>
      <c r="AB332" s="3173" t="s">
        <v>10029</v>
      </c>
      <c r="AC332" s="3176" t="s">
        <v>10030</v>
      </c>
      <c r="AD332" s="3231">
        <v>4.1708</v>
      </c>
      <c r="AE332" s="3179">
        <f t="shared" si="531"/>
        <v>33.3664</v>
      </c>
      <c r="AF332" s="3176"/>
      <c r="AG332" s="3176" t="s">
        <v>9194</v>
      </c>
      <c r="AH332" s="3176" t="s">
        <v>416</v>
      </c>
      <c r="AI332" s="3161"/>
      <c r="AJ332" s="3077"/>
      <c r="AK332" s="3103"/>
      <c r="AL332" s="3077">
        <f t="shared" si="529"/>
        <v>8</v>
      </c>
      <c r="AM332" s="3103"/>
      <c r="AN332" s="3077"/>
      <c r="AO332" s="3102"/>
      <c r="AP332" s="3079">
        <f t="shared" si="527"/>
        <v>8</v>
      </c>
      <c r="AQ332" s="3079"/>
      <c r="AR332" s="3079"/>
      <c r="AS332" s="3180"/>
      <c r="AT332" s="3116"/>
      <c r="AU332" s="3102"/>
      <c r="AV332" s="3102"/>
      <c r="AW332" s="3117"/>
      <c r="AX332" s="3226"/>
      <c r="AY332" s="3183">
        <f t="shared" si="535"/>
        <v>8</v>
      </c>
      <c r="AZ332" s="3183"/>
      <c r="BA332" s="3227"/>
      <c r="BB332" s="3181"/>
      <c r="BC332" s="3079"/>
      <c r="BD332" s="3079"/>
      <c r="BE332" s="3079"/>
      <c r="BF332" s="3079"/>
      <c r="BG332" s="3079"/>
      <c r="BH332" s="3079"/>
      <c r="BI332" s="3079"/>
      <c r="BJ332" s="3079"/>
      <c r="BK332" s="3079">
        <f t="shared" si="530"/>
        <v>8</v>
      </c>
      <c r="BL332" s="3079" t="s">
        <v>9164</v>
      </c>
      <c r="BM332" s="3102"/>
      <c r="BN332" s="3079"/>
      <c r="BO332" s="3079">
        <f t="shared" si="536"/>
        <v>8</v>
      </c>
      <c r="BP332" s="3079"/>
      <c r="BQ332" s="3182"/>
      <c r="BR332" s="3079">
        <f t="shared" si="528"/>
        <v>0</v>
      </c>
      <c r="BS332" s="3182"/>
      <c r="BT332" s="3182"/>
      <c r="BU332" s="3182"/>
      <c r="BV332" s="3182"/>
      <c r="BW332" s="3182"/>
      <c r="BX332" s="3182"/>
    </row>
    <row r="333" s="3032" customFormat="1" ht="32" customHeight="1" spans="1:76 16377:16384">
      <c r="A333" s="3169">
        <v>46171</v>
      </c>
      <c r="B333" s="3170" t="s">
        <v>10024</v>
      </c>
      <c r="C333" s="3171" t="s">
        <v>396</v>
      </c>
      <c r="D333" s="3172" t="s">
        <v>10025</v>
      </c>
      <c r="E333" s="3173" t="s">
        <v>10071</v>
      </c>
      <c r="F333" s="3172" t="s">
        <v>10072</v>
      </c>
      <c r="G333" s="3174" t="s">
        <v>9191</v>
      </c>
      <c r="H333" s="3175" t="s">
        <v>9099</v>
      </c>
      <c r="I333" s="3176">
        <v>8</v>
      </c>
      <c r="J333" s="3176">
        <v>0</v>
      </c>
      <c r="K333" s="3176">
        <v>8</v>
      </c>
      <c r="L333" s="3176">
        <f t="shared" si="534"/>
        <v>1</v>
      </c>
      <c r="M333" s="3177">
        <v>46218</v>
      </c>
      <c r="N333" s="3206">
        <v>46214</v>
      </c>
      <c r="O333" s="2983"/>
      <c r="P333" s="2983" t="s">
        <v>82</v>
      </c>
      <c r="Q333" s="3223">
        <v>8</v>
      </c>
      <c r="R333" s="3224">
        <f t="shared" si="525"/>
        <v>0</v>
      </c>
      <c r="S333" s="3238"/>
      <c r="T333" s="3225" t="s">
        <v>321</v>
      </c>
      <c r="U333" s="2999" t="s">
        <v>208</v>
      </c>
      <c r="V333" s="2983"/>
      <c r="W333" s="3003" t="s">
        <v>1455</v>
      </c>
      <c r="X333" s="3003"/>
      <c r="Y333" s="3003" t="s">
        <v>10028</v>
      </c>
      <c r="Z333" s="3003" t="s">
        <v>5998</v>
      </c>
      <c r="AA333" s="3003"/>
      <c r="AB333" s="3173" t="s">
        <v>10029</v>
      </c>
      <c r="AC333" s="3176" t="s">
        <v>10030</v>
      </c>
      <c r="AD333" s="3231">
        <v>4.1708</v>
      </c>
      <c r="AE333" s="3179">
        <f t="shared" si="531"/>
        <v>33.3664</v>
      </c>
      <c r="AF333" s="3176"/>
      <c r="AG333" s="3176" t="s">
        <v>9194</v>
      </c>
      <c r="AH333" s="3176" t="s">
        <v>416</v>
      </c>
      <c r="AI333" s="3161"/>
      <c r="AJ333" s="3077"/>
      <c r="AK333" s="3103"/>
      <c r="AL333" s="3077">
        <f t="shared" si="529"/>
        <v>8</v>
      </c>
      <c r="AM333" s="3103"/>
      <c r="AN333" s="3077"/>
      <c r="AO333" s="3102"/>
      <c r="AP333" s="3079">
        <f t="shared" si="527"/>
        <v>8</v>
      </c>
      <c r="AQ333" s="3079"/>
      <c r="AR333" s="3079"/>
      <c r="AS333" s="3180"/>
      <c r="AT333" s="3116"/>
      <c r="AU333" s="3102"/>
      <c r="AV333" s="3102"/>
      <c r="AW333" s="3117"/>
      <c r="AX333" s="3226"/>
      <c r="AY333" s="3183">
        <f t="shared" si="535"/>
        <v>8</v>
      </c>
      <c r="AZ333" s="3183"/>
      <c r="BA333" s="3227"/>
      <c r="BB333" s="3181"/>
      <c r="BC333" s="3079"/>
      <c r="BD333" s="3079"/>
      <c r="BE333" s="3079"/>
      <c r="BF333" s="3079"/>
      <c r="BG333" s="3079"/>
      <c r="BH333" s="3079"/>
      <c r="BI333" s="3079"/>
      <c r="BJ333" s="3079"/>
      <c r="BK333" s="3079">
        <f t="shared" si="530"/>
        <v>8</v>
      </c>
      <c r="BL333" s="3079" t="s">
        <v>9164</v>
      </c>
      <c r="BM333" s="3102"/>
      <c r="BN333" s="3079"/>
      <c r="BO333" s="3079">
        <f t="shared" si="536"/>
        <v>8</v>
      </c>
      <c r="BP333" s="3079"/>
      <c r="BQ333" s="3182"/>
      <c r="BR333" s="3079">
        <f t="shared" si="528"/>
        <v>0</v>
      </c>
      <c r="BS333" s="3182"/>
      <c r="BT333" s="3182"/>
      <c r="BU333" s="3182"/>
      <c r="BV333" s="3182"/>
      <c r="BW333" s="3182"/>
      <c r="BX333" s="3182"/>
    </row>
    <row r="334" s="3032" customFormat="1" ht="32" customHeight="1" spans="1:76 16377:16384">
      <c r="A334" s="3169">
        <v>46171</v>
      </c>
      <c r="B334" s="3170" t="s">
        <v>10073</v>
      </c>
      <c r="C334" s="3171" t="s">
        <v>91</v>
      </c>
      <c r="D334" s="3172" t="s">
        <v>8903</v>
      </c>
      <c r="E334" s="3173">
        <v>385090408</v>
      </c>
      <c r="F334" s="3172" t="s">
        <v>10074</v>
      </c>
      <c r="G334" s="3174" t="s">
        <v>9154</v>
      </c>
      <c r="H334" s="3175" t="s">
        <v>9155</v>
      </c>
      <c r="I334" s="3176">
        <v>2000</v>
      </c>
      <c r="J334" s="3176">
        <v>0</v>
      </c>
      <c r="K334" s="3176">
        <v>8</v>
      </c>
      <c r="L334" s="3176">
        <f t="shared" si="534"/>
        <v>250</v>
      </c>
      <c r="M334" s="3177">
        <v>46218</v>
      </c>
      <c r="N334" s="3206">
        <v>46214</v>
      </c>
      <c r="O334" s="2983"/>
      <c r="P334" s="2983" t="s">
        <v>82</v>
      </c>
      <c r="Q334" s="3223">
        <v>2000</v>
      </c>
      <c r="R334" s="3224">
        <f t="shared" si="525"/>
        <v>0</v>
      </c>
      <c r="S334" s="3225" t="s">
        <v>2297</v>
      </c>
      <c r="T334" s="3225" t="s">
        <v>321</v>
      </c>
      <c r="U334" s="2999"/>
      <c r="V334" s="2983"/>
      <c r="W334" s="3003" t="s">
        <v>2436</v>
      </c>
      <c r="X334" s="3003"/>
      <c r="Y334" s="3003" t="s">
        <v>98</v>
      </c>
      <c r="Z334" s="3003" t="s">
        <v>10075</v>
      </c>
      <c r="AA334" s="3003"/>
      <c r="AB334" s="3173" t="s">
        <v>10076</v>
      </c>
      <c r="AC334" s="3176" t="s">
        <v>10077</v>
      </c>
      <c r="AD334" s="3231">
        <v>2.5631</v>
      </c>
      <c r="AE334" s="3179">
        <f t="shared" si="531"/>
        <v>5126.2</v>
      </c>
      <c r="AF334" s="3176"/>
      <c r="AG334" s="3176" t="s">
        <v>9154</v>
      </c>
      <c r="AH334" s="3176" t="s">
        <v>416</v>
      </c>
      <c r="AI334" s="3161"/>
      <c r="AJ334" s="3077">
        <f t="shared" ref="AJ334:AJ339" si="537">I334</f>
        <v>2000</v>
      </c>
      <c r="AK334" s="3103"/>
      <c r="AL334" s="3077"/>
      <c r="AM334" s="3103"/>
      <c r="AN334" s="3077"/>
      <c r="AO334" s="3102"/>
      <c r="AP334" s="3079">
        <f t="shared" si="527"/>
        <v>2000</v>
      </c>
      <c r="AQ334" s="3079"/>
      <c r="AR334" s="3079"/>
      <c r="AS334" s="3180"/>
      <c r="AT334" s="3116"/>
      <c r="AU334" s="3102"/>
      <c r="AV334" s="3102"/>
      <c r="AW334" s="3117"/>
      <c r="AX334" s="3226">
        <f>I334/4</f>
        <v>500</v>
      </c>
      <c r="AY334" s="3183">
        <f>I334/4</f>
        <v>500</v>
      </c>
      <c r="AZ334" s="3183">
        <f>I334/4</f>
        <v>500</v>
      </c>
      <c r="BA334" s="3227">
        <f>I334/4</f>
        <v>500</v>
      </c>
      <c r="BB334" s="3181"/>
      <c r="BC334" s="3079"/>
      <c r="BD334" s="3079"/>
      <c r="BE334" s="3079"/>
      <c r="BF334" s="3079"/>
      <c r="BG334" s="3079"/>
      <c r="BH334" s="3079"/>
      <c r="BI334" s="3079"/>
      <c r="BJ334" s="3079">
        <f t="shared" ref="BJ334:BJ354" si="538">I334</f>
        <v>2000</v>
      </c>
      <c r="BK334" s="3079"/>
      <c r="BL334" s="3079" t="s">
        <v>9164</v>
      </c>
      <c r="BM334" s="3102"/>
      <c r="BN334" s="3079">
        <f>I334/4</f>
        <v>500</v>
      </c>
      <c r="BO334" s="3079">
        <f>I334/4</f>
        <v>500</v>
      </c>
      <c r="BP334" s="3079">
        <f>I334/4</f>
        <v>500</v>
      </c>
      <c r="BQ334" s="3182">
        <f>I334/4</f>
        <v>500</v>
      </c>
      <c r="BR334" s="3079">
        <f t="shared" si="528"/>
        <v>0</v>
      </c>
      <c r="BS334" s="3182"/>
      <c r="BT334" s="3182"/>
      <c r="BU334" s="3182"/>
      <c r="BV334" s="3182"/>
      <c r="BW334" s="3182"/>
      <c r="BX334" s="3182"/>
    </row>
    <row r="335" s="3032" customFormat="1" ht="32" customHeight="1" spans="1:76 16377:16384">
      <c r="A335" s="3169">
        <v>46108</v>
      </c>
      <c r="B335" s="3239" t="s">
        <v>1206</v>
      </c>
      <c r="C335" s="3240" t="s">
        <v>351</v>
      </c>
      <c r="D335" s="3241">
        <v>4500198921</v>
      </c>
      <c r="E335" s="3242"/>
      <c r="F335" s="3241" t="s">
        <v>10078</v>
      </c>
      <c r="G335" s="3243" t="s">
        <v>9419</v>
      </c>
      <c r="H335" s="3244" t="s">
        <v>9100</v>
      </c>
      <c r="I335" s="3245">
        <v>3000</v>
      </c>
      <c r="J335" s="3245">
        <v>0</v>
      </c>
      <c r="K335" s="3245">
        <v>8</v>
      </c>
      <c r="L335" s="3245">
        <f t="shared" si="534"/>
        <v>375</v>
      </c>
      <c r="M335" s="3246">
        <v>46209</v>
      </c>
      <c r="N335" s="3169">
        <v>46205</v>
      </c>
      <c r="O335" s="2983"/>
      <c r="P335" s="2983" t="s">
        <v>82</v>
      </c>
      <c r="Q335" s="3223">
        <v>3000</v>
      </c>
      <c r="R335" s="3247">
        <f t="shared" si="525"/>
        <v>0</v>
      </c>
      <c r="S335" s="3248" t="s">
        <v>2297</v>
      </c>
      <c r="T335" s="3249" t="s">
        <v>321</v>
      </c>
      <c r="U335" s="3250" t="s">
        <v>4021</v>
      </c>
      <c r="V335" s="3251"/>
      <c r="W335" s="3252" t="s">
        <v>3734</v>
      </c>
      <c r="X335" s="3252"/>
      <c r="Y335" s="3252" t="s">
        <v>10079</v>
      </c>
      <c r="Z335" s="3252"/>
      <c r="AA335" s="3252"/>
      <c r="AB335" s="3242" t="s">
        <v>10080</v>
      </c>
      <c r="AC335" s="3245" t="s">
        <v>357</v>
      </c>
      <c r="AD335" s="3253">
        <v>3.9964</v>
      </c>
      <c r="AE335" s="3254">
        <f t="shared" si="531"/>
        <v>11989.2</v>
      </c>
      <c r="AF335" s="3245"/>
      <c r="AG335" s="3176" t="s">
        <v>9419</v>
      </c>
      <c r="AH335" s="3245" t="s">
        <v>416</v>
      </c>
      <c r="AI335" s="3255"/>
      <c r="AJ335" s="3256">
        <f t="shared" si="537"/>
        <v>3000</v>
      </c>
      <c r="AK335" s="3257"/>
      <c r="AL335" s="3256"/>
      <c r="AM335" s="3257"/>
      <c r="AN335" s="3256"/>
      <c r="AO335" s="3258"/>
      <c r="AP335" s="3259">
        <f t="shared" si="527"/>
        <v>3000</v>
      </c>
      <c r="AQ335" s="3260"/>
      <c r="AR335" s="3261"/>
      <c r="AS335" s="3261"/>
      <c r="AT335" s="3262"/>
      <c r="AU335" s="3263"/>
      <c r="AV335" s="3258"/>
      <c r="AW335" s="3258"/>
      <c r="AX335" s="3226"/>
      <c r="AY335" s="3183"/>
      <c r="AZ335" s="3183">
        <f>I335</f>
        <v>3000</v>
      </c>
      <c r="BA335" s="3227"/>
      <c r="BB335" s="3261"/>
      <c r="BC335" s="3261"/>
      <c r="BD335" s="3261"/>
      <c r="BE335" s="3261"/>
      <c r="BF335" s="3261"/>
      <c r="BG335" s="3261"/>
      <c r="BH335" s="3261"/>
      <c r="BI335" s="3261"/>
      <c r="BJ335" s="3079">
        <f t="shared" si="538"/>
        <v>3000</v>
      </c>
      <c r="BK335" s="3261"/>
      <c r="BL335" s="3079" t="s">
        <v>9164</v>
      </c>
      <c r="BM335" s="3258"/>
      <c r="BN335" s="3079"/>
      <c r="BO335" s="3079"/>
      <c r="BP335" s="3079">
        <f>I335</f>
        <v>3000</v>
      </c>
      <c r="BQ335" s="3182"/>
      <c r="BR335" s="3079">
        <f t="shared" si="528"/>
        <v>0</v>
      </c>
      <c r="BS335" s="3182"/>
      <c r="BT335" s="3182"/>
      <c r="BU335" s="3182"/>
      <c r="BV335" s="3182"/>
      <c r="BW335" s="3182"/>
      <c r="BX335" s="3182"/>
      <c r="XEW335" s="3264"/>
      <c r="XEX335" s="3264"/>
      <c r="XEY335" s="3264"/>
      <c r="XEZ335" s="3264"/>
      <c r="XFA335" s="3264"/>
      <c r="XFB335" s="3264"/>
      <c r="XFC335" s="3264"/>
      <c r="XFD335" s="3264"/>
    </row>
    <row r="336" s="3032" customFormat="1" ht="32" customHeight="1" spans="1:76 16377:16384">
      <c r="A336" s="3169">
        <v>46108</v>
      </c>
      <c r="B336" s="3170" t="s">
        <v>1206</v>
      </c>
      <c r="C336" s="3171" t="s">
        <v>351</v>
      </c>
      <c r="D336" s="3172">
        <v>4500198921</v>
      </c>
      <c r="E336" s="3173"/>
      <c r="F336" s="3172" t="s">
        <v>10081</v>
      </c>
      <c r="G336" s="3174" t="s">
        <v>9255</v>
      </c>
      <c r="H336" s="3175" t="s">
        <v>9098</v>
      </c>
      <c r="I336" s="3176">
        <v>4000</v>
      </c>
      <c r="J336" s="3176">
        <v>0</v>
      </c>
      <c r="K336" s="3176">
        <v>8</v>
      </c>
      <c r="L336" s="3176">
        <f t="shared" si="534"/>
        <v>500</v>
      </c>
      <c r="M336" s="3177">
        <v>46209</v>
      </c>
      <c r="N336" s="3206">
        <v>46205</v>
      </c>
      <c r="O336" s="2983"/>
      <c r="P336" s="2983" t="s">
        <v>82</v>
      </c>
      <c r="Q336" s="3223">
        <v>4000</v>
      </c>
      <c r="R336" s="3224">
        <f t="shared" si="525"/>
        <v>0</v>
      </c>
      <c r="S336" s="3238" t="s">
        <v>2297</v>
      </c>
      <c r="T336" s="3225" t="s">
        <v>321</v>
      </c>
      <c r="U336" s="3250" t="s">
        <v>4021</v>
      </c>
      <c r="V336" s="2983"/>
      <c r="W336" s="3003" t="s">
        <v>3734</v>
      </c>
      <c r="X336" s="3003"/>
      <c r="Y336" s="3003" t="s">
        <v>10079</v>
      </c>
      <c r="Z336" s="3003"/>
      <c r="AA336" s="3003"/>
      <c r="AB336" s="3173" t="s">
        <v>10080</v>
      </c>
      <c r="AC336" s="3176" t="s">
        <v>357</v>
      </c>
      <c r="AD336" s="3231">
        <v>3.9964</v>
      </c>
      <c r="AE336" s="3179">
        <f t="shared" si="531"/>
        <v>15985.6</v>
      </c>
      <c r="AF336" s="3176"/>
      <c r="AG336" s="3176" t="s">
        <v>9255</v>
      </c>
      <c r="AH336" s="3176" t="s">
        <v>416</v>
      </c>
      <c r="AI336" s="3161"/>
      <c r="AJ336" s="3077">
        <f t="shared" si="537"/>
        <v>4000</v>
      </c>
      <c r="AK336" s="3103"/>
      <c r="AL336" s="3077"/>
      <c r="AM336" s="3103"/>
      <c r="AN336" s="3077"/>
      <c r="AO336" s="3102"/>
      <c r="AP336" s="3079">
        <f t="shared" si="527"/>
        <v>4000</v>
      </c>
      <c r="AQ336" s="3079"/>
      <c r="AR336" s="3079"/>
      <c r="AS336" s="3180"/>
      <c r="AT336" s="3116"/>
      <c r="AU336" s="3102"/>
      <c r="AV336" s="3102"/>
      <c r="AW336" s="3117"/>
      <c r="AX336" s="3226">
        <f>I336</f>
        <v>4000</v>
      </c>
      <c r="AY336" s="3183"/>
      <c r="AZ336" s="3183"/>
      <c r="BA336" s="3227"/>
      <c r="BB336" s="3181"/>
      <c r="BC336" s="3079"/>
      <c r="BD336" s="3079"/>
      <c r="BE336" s="3079"/>
      <c r="BF336" s="3079"/>
      <c r="BG336" s="3079"/>
      <c r="BH336" s="3079"/>
      <c r="BI336" s="3079"/>
      <c r="BJ336" s="3079">
        <f t="shared" si="538"/>
        <v>4000</v>
      </c>
      <c r="BK336" s="3079"/>
      <c r="BL336" s="3079" t="s">
        <v>9164</v>
      </c>
      <c r="BM336" s="3102"/>
      <c r="BN336" s="3079">
        <f>I336</f>
        <v>4000</v>
      </c>
      <c r="BO336" s="3079"/>
      <c r="BP336" s="3079"/>
      <c r="BQ336" s="3182"/>
      <c r="BR336" s="3079">
        <f t="shared" si="528"/>
        <v>0</v>
      </c>
      <c r="BS336" s="3182"/>
      <c r="BT336" s="3182"/>
      <c r="BU336" s="3182"/>
      <c r="BV336" s="3182"/>
      <c r="BW336" s="3182"/>
      <c r="BX336" s="3182"/>
    </row>
    <row r="337" s="3032" customFormat="1" ht="32" customHeight="1" spans="1:76 16369:16384">
      <c r="A337" s="3169">
        <v>46108</v>
      </c>
      <c r="B337" s="3170" t="s">
        <v>1206</v>
      </c>
      <c r="C337" s="3171" t="s">
        <v>351</v>
      </c>
      <c r="D337" s="3172">
        <v>4500198921</v>
      </c>
      <c r="E337" s="3173"/>
      <c r="F337" s="3172" t="s">
        <v>10082</v>
      </c>
      <c r="G337" s="3174" t="s">
        <v>9431</v>
      </c>
      <c r="H337" s="3175" t="s">
        <v>9099</v>
      </c>
      <c r="I337" s="3176">
        <v>2000</v>
      </c>
      <c r="J337" s="3176">
        <v>0</v>
      </c>
      <c r="K337" s="3176">
        <v>8</v>
      </c>
      <c r="L337" s="3176">
        <f t="shared" si="534"/>
        <v>250</v>
      </c>
      <c r="M337" s="3177">
        <v>46209</v>
      </c>
      <c r="N337" s="3206">
        <v>46205</v>
      </c>
      <c r="O337" s="2983"/>
      <c r="P337" s="2983" t="s">
        <v>82</v>
      </c>
      <c r="Q337" s="3223">
        <v>2000</v>
      </c>
      <c r="R337" s="3224">
        <f t="shared" si="525"/>
        <v>0</v>
      </c>
      <c r="S337" s="3225" t="s">
        <v>2297</v>
      </c>
      <c r="T337" s="3225" t="s">
        <v>321</v>
      </c>
      <c r="U337" s="3250" t="s">
        <v>4021</v>
      </c>
      <c r="V337" s="2983"/>
      <c r="W337" s="3003" t="s">
        <v>3734</v>
      </c>
      <c r="X337" s="3003"/>
      <c r="Y337" s="3003" t="s">
        <v>10079</v>
      </c>
      <c r="Z337" s="3003"/>
      <c r="AA337" s="3003"/>
      <c r="AB337" s="3173" t="s">
        <v>10080</v>
      </c>
      <c r="AC337" s="3176" t="s">
        <v>357</v>
      </c>
      <c r="AD337" s="3231">
        <v>3.9964</v>
      </c>
      <c r="AE337" s="3179">
        <f t="shared" si="531"/>
        <v>7992.8</v>
      </c>
      <c r="AF337" s="3176"/>
      <c r="AG337" s="3176" t="s">
        <v>9431</v>
      </c>
      <c r="AH337" s="3176" t="s">
        <v>416</v>
      </c>
      <c r="AI337" s="3161"/>
      <c r="AJ337" s="3077">
        <f t="shared" si="537"/>
        <v>2000</v>
      </c>
      <c r="AK337" s="3103"/>
      <c r="AL337" s="3077"/>
      <c r="AM337" s="3103"/>
      <c r="AN337" s="3077"/>
      <c r="AO337" s="3102"/>
      <c r="AP337" s="3079">
        <f t="shared" si="527"/>
        <v>2000</v>
      </c>
      <c r="AQ337" s="3079"/>
      <c r="AR337" s="3079"/>
      <c r="AS337" s="3180"/>
      <c r="AT337" s="3116"/>
      <c r="AU337" s="3102"/>
      <c r="AV337" s="3102"/>
      <c r="AW337" s="3117"/>
      <c r="AX337" s="3226"/>
      <c r="AY337" s="3183">
        <f>I337</f>
        <v>2000</v>
      </c>
      <c r="AZ337" s="3183"/>
      <c r="BA337" s="3227"/>
      <c r="BB337" s="3181"/>
      <c r="BC337" s="3079"/>
      <c r="BD337" s="3079"/>
      <c r="BE337" s="3079"/>
      <c r="BF337" s="3079"/>
      <c r="BG337" s="3079"/>
      <c r="BH337" s="3079"/>
      <c r="BI337" s="3079"/>
      <c r="BJ337" s="3079">
        <f t="shared" si="538"/>
        <v>2000</v>
      </c>
      <c r="BK337" s="3079"/>
      <c r="BL337" s="3079" t="s">
        <v>9164</v>
      </c>
      <c r="BM337" s="3102"/>
      <c r="BN337" s="3079"/>
      <c r="BO337" s="3079">
        <f>I337</f>
        <v>2000</v>
      </c>
      <c r="BP337" s="3079"/>
      <c r="BQ337" s="3182"/>
      <c r="BR337" s="3079">
        <f t="shared" si="528"/>
        <v>0</v>
      </c>
      <c r="BS337" s="3182"/>
      <c r="BT337" s="3182"/>
      <c r="BU337" s="3182"/>
      <c r="BV337" s="3182"/>
      <c r="BW337" s="3182"/>
      <c r="BX337" s="3182"/>
    </row>
    <row r="338" s="3032" customFormat="1" ht="32" customHeight="1" spans="1:76 16369:16384">
      <c r="A338" s="3169">
        <v>46105</v>
      </c>
      <c r="B338" s="3239" t="s">
        <v>2285</v>
      </c>
      <c r="C338" s="3240" t="s">
        <v>2580</v>
      </c>
      <c r="D338" s="3241">
        <v>4500198142</v>
      </c>
      <c r="E338" s="3242" t="s">
        <v>8859</v>
      </c>
      <c r="F338" s="3241" t="s">
        <v>10083</v>
      </c>
      <c r="G338" s="3243" t="s">
        <v>9154</v>
      </c>
      <c r="H338" s="3244" t="s">
        <v>9155</v>
      </c>
      <c r="I338" s="3245">
        <v>1440</v>
      </c>
      <c r="J338" s="3245">
        <v>0</v>
      </c>
      <c r="K338" s="3245">
        <v>8</v>
      </c>
      <c r="L338" s="3245">
        <f t="shared" si="534"/>
        <v>180</v>
      </c>
      <c r="M338" s="3246">
        <v>46230</v>
      </c>
      <c r="N338" s="3169">
        <f>M338-4</f>
        <v>46226</v>
      </c>
      <c r="O338" s="3251"/>
      <c r="P338" s="2983" t="s">
        <v>82</v>
      </c>
      <c r="Q338" s="3223">
        <v>1440</v>
      </c>
      <c r="R338" s="3224">
        <f t="shared" si="525"/>
        <v>0</v>
      </c>
      <c r="S338" s="3225" t="s">
        <v>2297</v>
      </c>
      <c r="T338" s="3225" t="s">
        <v>321</v>
      </c>
      <c r="U338" s="3250" t="s">
        <v>213</v>
      </c>
      <c r="V338" s="3251"/>
      <c r="W338" s="3252" t="s">
        <v>3675</v>
      </c>
      <c r="X338" s="3252"/>
      <c r="Y338" s="3003" t="s">
        <v>10084</v>
      </c>
      <c r="Z338" s="3252"/>
      <c r="AA338" s="3252"/>
      <c r="AB338" s="3242" t="s">
        <v>10085</v>
      </c>
      <c r="AC338" s="3245" t="s">
        <v>1199</v>
      </c>
      <c r="AD338" s="3253">
        <v>4.1632</v>
      </c>
      <c r="AE338" s="3254">
        <f t="shared" si="531"/>
        <v>5995.008</v>
      </c>
      <c r="AF338" s="3245"/>
      <c r="AG338" s="3245" t="s">
        <v>9154</v>
      </c>
      <c r="AH338" s="3245" t="s">
        <v>416</v>
      </c>
      <c r="AI338" s="3255"/>
      <c r="AJ338" s="3256">
        <f t="shared" si="537"/>
        <v>1440</v>
      </c>
      <c r="AK338" s="3257"/>
      <c r="AL338" s="3256"/>
      <c r="AM338" s="3257"/>
      <c r="AN338" s="3256"/>
      <c r="AO338" s="3258"/>
      <c r="AP338" s="3261">
        <f t="shared" si="527"/>
        <v>1440</v>
      </c>
      <c r="AQ338" s="3261"/>
      <c r="AR338" s="3261"/>
      <c r="AS338" s="3259"/>
      <c r="AT338" s="3265"/>
      <c r="AU338" s="3258"/>
      <c r="AV338" s="3258"/>
      <c r="AW338" s="3262"/>
      <c r="AX338" s="3266">
        <f t="shared" ref="AX338:AX360" si="539">I338/4</f>
        <v>360</v>
      </c>
      <c r="AY338" s="3267">
        <f t="shared" ref="AY338:AY360" si="540">I338/4</f>
        <v>360</v>
      </c>
      <c r="AZ338" s="3267">
        <f t="shared" ref="AZ338:AZ360" si="541">I338/4</f>
        <v>360</v>
      </c>
      <c r="BA338" s="3268">
        <f t="shared" ref="BA338:BA360" si="542">I338/4</f>
        <v>360</v>
      </c>
      <c r="BB338" s="3269"/>
      <c r="BC338" s="3261"/>
      <c r="BD338" s="3261"/>
      <c r="BE338" s="3261"/>
      <c r="BF338" s="3261"/>
      <c r="BG338" s="3261"/>
      <c r="BH338" s="3261"/>
      <c r="BI338" s="3261"/>
      <c r="BJ338" s="3261">
        <f t="shared" si="538"/>
        <v>1440</v>
      </c>
      <c r="BK338" s="3261"/>
      <c r="BL338" s="3261" t="s">
        <v>9164</v>
      </c>
      <c r="BM338" s="3258"/>
      <c r="BN338" s="3079">
        <f t="shared" ref="BN338:BN346" si="543">I338/4</f>
        <v>360</v>
      </c>
      <c r="BO338" s="3079">
        <f t="shared" ref="BO338:BO346" si="544">I338/4</f>
        <v>360</v>
      </c>
      <c r="BP338" s="3079">
        <f t="shared" ref="BP338:BP346" si="545">I338/4</f>
        <v>360</v>
      </c>
      <c r="BQ338" s="3079">
        <f t="shared" ref="BQ338:BQ346" si="546">I338/4</f>
        <v>360</v>
      </c>
      <c r="BR338" s="3079">
        <f t="shared" si="528"/>
        <v>0</v>
      </c>
      <c r="BS338" s="3182"/>
      <c r="BT338" s="3182"/>
      <c r="BU338" s="3182"/>
      <c r="BV338" s="3182"/>
      <c r="BW338" s="3182"/>
      <c r="BX338" s="3182"/>
    </row>
    <row r="339" s="3032" customFormat="1" ht="32" customHeight="1" spans="1:76 16369:16384">
      <c r="A339" s="3169">
        <v>46105</v>
      </c>
      <c r="B339" s="3170" t="s">
        <v>2285</v>
      </c>
      <c r="C339" s="3171" t="s">
        <v>2580</v>
      </c>
      <c r="D339" s="3172">
        <v>4500198142</v>
      </c>
      <c r="E339" s="3173" t="s">
        <v>8864</v>
      </c>
      <c r="F339" s="3172" t="s">
        <v>10086</v>
      </c>
      <c r="G339" s="3174" t="s">
        <v>9154</v>
      </c>
      <c r="H339" s="3175" t="s">
        <v>9155</v>
      </c>
      <c r="I339" s="3176">
        <v>560</v>
      </c>
      <c r="J339" s="3176">
        <v>0</v>
      </c>
      <c r="K339" s="3176">
        <v>8</v>
      </c>
      <c r="L339" s="3176">
        <f t="shared" si="534"/>
        <v>70</v>
      </c>
      <c r="M339" s="3246">
        <v>46230</v>
      </c>
      <c r="N339" s="3169">
        <f>M339-4</f>
        <v>46226</v>
      </c>
      <c r="O339" s="2983"/>
      <c r="P339" s="2983" t="s">
        <v>82</v>
      </c>
      <c r="Q339" s="3223">
        <v>560</v>
      </c>
      <c r="R339" s="3224">
        <f t="shared" si="525"/>
        <v>0</v>
      </c>
      <c r="S339" s="3225" t="s">
        <v>2297</v>
      </c>
      <c r="T339" s="3225" t="s">
        <v>321</v>
      </c>
      <c r="U339" s="3250" t="s">
        <v>213</v>
      </c>
      <c r="V339" s="2983"/>
      <c r="W339" s="3003" t="s">
        <v>3675</v>
      </c>
      <c r="X339" s="3003"/>
      <c r="Y339" s="3003" t="s">
        <v>10084</v>
      </c>
      <c r="Z339" s="3003"/>
      <c r="AA339" s="3003"/>
      <c r="AB339" s="3242" t="s">
        <v>10085</v>
      </c>
      <c r="AC339" s="3176" t="s">
        <v>1199</v>
      </c>
      <c r="AD339" s="3231">
        <v>4.1632</v>
      </c>
      <c r="AE339" s="3179">
        <f t="shared" si="531"/>
        <v>2331.392</v>
      </c>
      <c r="AF339" s="3176"/>
      <c r="AG339" s="3176" t="s">
        <v>9154</v>
      </c>
      <c r="AH339" s="3176" t="s">
        <v>416</v>
      </c>
      <c r="AI339" s="3161"/>
      <c r="AJ339" s="3077">
        <f t="shared" si="537"/>
        <v>560</v>
      </c>
      <c r="AK339" s="3103"/>
      <c r="AL339" s="3077"/>
      <c r="AM339" s="3103"/>
      <c r="AN339" s="3077"/>
      <c r="AO339" s="3102"/>
      <c r="AP339" s="3079">
        <f t="shared" si="527"/>
        <v>560</v>
      </c>
      <c r="AQ339" s="3079"/>
      <c r="AR339" s="3079"/>
      <c r="AS339" s="3180"/>
      <c r="AT339" s="3116"/>
      <c r="AU339" s="3102"/>
      <c r="AV339" s="3102"/>
      <c r="AW339" s="3117"/>
      <c r="AX339" s="3226">
        <f t="shared" si="539"/>
        <v>140</v>
      </c>
      <c r="AY339" s="3183">
        <f t="shared" si="540"/>
        <v>140</v>
      </c>
      <c r="AZ339" s="3183">
        <f t="shared" si="541"/>
        <v>140</v>
      </c>
      <c r="BA339" s="3227">
        <f t="shared" si="542"/>
        <v>140</v>
      </c>
      <c r="BB339" s="3181"/>
      <c r="BC339" s="3079"/>
      <c r="BD339" s="3079"/>
      <c r="BE339" s="3079"/>
      <c r="BF339" s="3079"/>
      <c r="BG339" s="3079"/>
      <c r="BH339" s="3079"/>
      <c r="BI339" s="3079"/>
      <c r="BJ339" s="3079">
        <f t="shared" si="538"/>
        <v>560</v>
      </c>
      <c r="BK339" s="3079"/>
      <c r="BL339" s="3079" t="s">
        <v>9164</v>
      </c>
      <c r="BM339" s="3102"/>
      <c r="BN339" s="3079">
        <f t="shared" si="543"/>
        <v>140</v>
      </c>
      <c r="BO339" s="3079">
        <f t="shared" si="544"/>
        <v>140</v>
      </c>
      <c r="BP339" s="3079">
        <f t="shared" si="545"/>
        <v>140</v>
      </c>
      <c r="BQ339" s="3079">
        <f t="shared" si="546"/>
        <v>140</v>
      </c>
      <c r="BR339" s="3079">
        <f t="shared" si="528"/>
        <v>0</v>
      </c>
      <c r="BS339" s="3182"/>
      <c r="BT339" s="3182"/>
      <c r="BU339" s="3182"/>
      <c r="BV339" s="3182"/>
      <c r="BW339" s="3182"/>
      <c r="BX339" s="3182"/>
    </row>
    <row r="340" s="3036" customFormat="1" ht="32" customHeight="1" spans="1:76 16369:16384">
      <c r="A340" s="3270">
        <v>46132</v>
      </c>
      <c r="B340" s="3271" t="s">
        <v>5234</v>
      </c>
      <c r="C340" s="3272" t="s">
        <v>738</v>
      </c>
      <c r="D340" s="3273" t="s">
        <v>5991</v>
      </c>
      <c r="E340" s="3274" t="s">
        <v>2434</v>
      </c>
      <c r="F340" s="3273" t="s">
        <v>10087</v>
      </c>
      <c r="G340" s="3275" t="s">
        <v>9154</v>
      </c>
      <c r="H340" s="3276" t="s">
        <v>9155</v>
      </c>
      <c r="I340" s="3277">
        <v>600</v>
      </c>
      <c r="J340" s="3277">
        <v>0</v>
      </c>
      <c r="K340" s="3277">
        <v>8</v>
      </c>
      <c r="L340" s="3277">
        <f t="shared" si="534"/>
        <v>75</v>
      </c>
      <c r="M340" s="3278">
        <v>46191</v>
      </c>
      <c r="N340" s="3279">
        <v>46218</v>
      </c>
      <c r="O340" s="3280"/>
      <c r="P340" s="2983" t="s">
        <v>82</v>
      </c>
      <c r="Q340" s="3281">
        <v>600</v>
      </c>
      <c r="R340" s="3209">
        <f t="shared" si="525"/>
        <v>0</v>
      </c>
      <c r="S340" s="3282" t="s">
        <v>2297</v>
      </c>
      <c r="T340" s="3282" t="s">
        <v>321</v>
      </c>
      <c r="U340" s="3283" t="s">
        <v>4358</v>
      </c>
      <c r="V340" s="3280"/>
      <c r="W340" s="3284" t="s">
        <v>1336</v>
      </c>
      <c r="X340" s="3284"/>
      <c r="Y340" s="3284" t="s">
        <v>10088</v>
      </c>
      <c r="Z340" s="3284" t="s">
        <v>10089</v>
      </c>
      <c r="AA340" s="3284"/>
      <c r="AB340" s="3274" t="s">
        <v>10090</v>
      </c>
      <c r="AC340" s="3277" t="s">
        <v>459</v>
      </c>
      <c r="AD340" s="3285">
        <v>4.1743</v>
      </c>
      <c r="AE340" s="3286">
        <f t="shared" si="531"/>
        <v>2504.58</v>
      </c>
      <c r="AF340" s="3277"/>
      <c r="AG340" s="3277" t="s">
        <v>9239</v>
      </c>
      <c r="AH340" s="3277" t="s">
        <v>416</v>
      </c>
      <c r="AI340" s="3287"/>
      <c r="AJ340" s="3288"/>
      <c r="AK340" s="3289"/>
      <c r="AL340" s="3288">
        <f>I340</f>
        <v>600</v>
      </c>
      <c r="AM340" s="3290"/>
      <c r="AN340" s="3291"/>
      <c r="AO340" s="3290"/>
      <c r="AP340" s="3291">
        <f t="shared" si="527"/>
        <v>600</v>
      </c>
      <c r="AQ340" s="3292"/>
      <c r="AR340" s="3292"/>
      <c r="AS340" s="3293"/>
      <c r="AT340" s="3294"/>
      <c r="AU340" s="3290"/>
      <c r="AV340" s="3290"/>
      <c r="AW340" s="3295"/>
      <c r="AX340" s="3296">
        <f t="shared" si="539"/>
        <v>150</v>
      </c>
      <c r="AY340" s="3292">
        <f t="shared" si="540"/>
        <v>150</v>
      </c>
      <c r="AZ340" s="3292">
        <f t="shared" si="541"/>
        <v>150</v>
      </c>
      <c r="BA340" s="3297">
        <f t="shared" si="542"/>
        <v>150</v>
      </c>
      <c r="BB340" s="3298"/>
      <c r="BC340" s="3291"/>
      <c r="BD340" s="3291"/>
      <c r="BE340" s="3291"/>
      <c r="BF340" s="3291"/>
      <c r="BG340" s="3291"/>
      <c r="BH340" s="3291"/>
      <c r="BI340" s="3291"/>
      <c r="BJ340" s="3291">
        <f t="shared" si="538"/>
        <v>600</v>
      </c>
      <c r="BK340" s="3299"/>
      <c r="BL340" s="3299" t="s">
        <v>9164</v>
      </c>
      <c r="BM340" s="3300"/>
      <c r="BN340" s="3299">
        <f t="shared" si="543"/>
        <v>150</v>
      </c>
      <c r="BO340" s="3299">
        <f t="shared" si="544"/>
        <v>150</v>
      </c>
      <c r="BP340" s="3299">
        <f t="shared" si="545"/>
        <v>150</v>
      </c>
      <c r="BQ340" s="3301">
        <f t="shared" si="546"/>
        <v>150</v>
      </c>
      <c r="BR340" s="3301">
        <f t="shared" si="528"/>
        <v>0</v>
      </c>
      <c r="BS340" s="3302"/>
      <c r="BT340" s="3302"/>
      <c r="BU340" s="3302"/>
      <c r="BV340" s="3302"/>
      <c r="BW340" s="3302"/>
      <c r="BX340" s="3302"/>
      <c r="XEW340" s="3303"/>
      <c r="XEX340" s="3304"/>
      <c r="XEY340" s="3305"/>
      <c r="XEZ340" s="3306"/>
      <c r="XFA340" s="3307"/>
      <c r="XFB340" s="3306"/>
      <c r="XFC340" s="3308"/>
      <c r="XFD340" s="3309"/>
    </row>
    <row r="341" s="3033" customFormat="1" ht="32" customHeight="1" spans="1:76 16369:16384">
      <c r="A341" s="3184">
        <v>46168</v>
      </c>
      <c r="B341" s="3185" t="s">
        <v>2285</v>
      </c>
      <c r="C341" s="3186" t="s">
        <v>351</v>
      </c>
      <c r="D341" s="3187" t="s">
        <v>10091</v>
      </c>
      <c r="E341" s="3188" t="s">
        <v>10092</v>
      </c>
      <c r="F341" s="3187" t="s">
        <v>10093</v>
      </c>
      <c r="G341" s="3189" t="s">
        <v>9154</v>
      </c>
      <c r="H341" s="3190" t="s">
        <v>9155</v>
      </c>
      <c r="I341" s="3191">
        <v>2160</v>
      </c>
      <c r="J341" s="3191">
        <v>0</v>
      </c>
      <c r="K341" s="3191">
        <v>8</v>
      </c>
      <c r="L341" s="3191">
        <f t="shared" si="534"/>
        <v>270</v>
      </c>
      <c r="M341" s="3192">
        <v>46227</v>
      </c>
      <c r="N341" s="3310">
        <v>46223</v>
      </c>
      <c r="O341" s="3193"/>
      <c r="P341" s="2983" t="s">
        <v>82</v>
      </c>
      <c r="Q341" s="3311">
        <f>1248+312+600</f>
        <v>2160</v>
      </c>
      <c r="R341" s="3312">
        <f t="shared" si="525"/>
        <v>0</v>
      </c>
      <c r="S341" s="3313" t="s">
        <v>2297</v>
      </c>
      <c r="T341" s="3313" t="s">
        <v>321</v>
      </c>
      <c r="U341" s="3194" t="s">
        <v>1504</v>
      </c>
      <c r="V341" s="3193"/>
      <c r="W341" s="3195" t="s">
        <v>1412</v>
      </c>
      <c r="X341" s="3195"/>
      <c r="Y341" s="3195" t="s">
        <v>10094</v>
      </c>
      <c r="Z341" s="3195"/>
      <c r="AA341" s="3195"/>
      <c r="AB341" s="3188" t="s">
        <v>10095</v>
      </c>
      <c r="AC341" s="3191" t="s">
        <v>1199</v>
      </c>
      <c r="AD341" s="3314">
        <v>4.1151</v>
      </c>
      <c r="AE341" s="3197">
        <f t="shared" si="531"/>
        <v>8888.616</v>
      </c>
      <c r="AF341" s="3191"/>
      <c r="AG341" s="3191" t="s">
        <v>9154</v>
      </c>
      <c r="AH341" s="3191" t="s">
        <v>416</v>
      </c>
      <c r="AI341" s="3163"/>
      <c r="AJ341" s="3126">
        <f>I341</f>
        <v>2160</v>
      </c>
      <c r="AK341" s="3154"/>
      <c r="AL341" s="3126"/>
      <c r="AM341" s="3154"/>
      <c r="AN341" s="3126"/>
      <c r="AO341" s="3127"/>
      <c r="AP341" s="3083">
        <f t="shared" si="527"/>
        <v>2160</v>
      </c>
      <c r="AQ341" s="3083"/>
      <c r="AR341" s="3083"/>
      <c r="AS341" s="3198"/>
      <c r="AT341" s="3128"/>
      <c r="AU341" s="3127"/>
      <c r="AV341" s="3127"/>
      <c r="AW341" s="3129"/>
      <c r="AX341" s="3315">
        <f t="shared" si="539"/>
        <v>540</v>
      </c>
      <c r="AY341" s="3316">
        <f t="shared" si="540"/>
        <v>540</v>
      </c>
      <c r="AZ341" s="3316">
        <f t="shared" si="541"/>
        <v>540</v>
      </c>
      <c r="BA341" s="3317">
        <f t="shared" si="542"/>
        <v>540</v>
      </c>
      <c r="BB341" s="3199"/>
      <c r="BC341" s="3083"/>
      <c r="BD341" s="3083"/>
      <c r="BE341" s="3083"/>
      <c r="BF341" s="3083"/>
      <c r="BG341" s="3083"/>
      <c r="BH341" s="3083"/>
      <c r="BI341" s="3083"/>
      <c r="BJ341" s="3083">
        <f t="shared" si="538"/>
        <v>2160</v>
      </c>
      <c r="BK341" s="3083"/>
      <c r="BL341" s="3083" t="s">
        <v>9164</v>
      </c>
      <c r="BM341" s="3127"/>
      <c r="BN341" s="3083">
        <f t="shared" si="543"/>
        <v>540</v>
      </c>
      <c r="BO341" s="3083">
        <f t="shared" si="544"/>
        <v>540</v>
      </c>
      <c r="BP341" s="3083">
        <f t="shared" si="545"/>
        <v>540</v>
      </c>
      <c r="BQ341" s="3201">
        <f t="shared" si="546"/>
        <v>540</v>
      </c>
      <c r="BR341" s="3083">
        <f t="shared" si="528"/>
        <v>0</v>
      </c>
      <c r="BS341" s="3201"/>
      <c r="BT341" s="3201"/>
      <c r="BU341" s="3201"/>
      <c r="BV341" s="3201"/>
      <c r="BW341" s="3201"/>
      <c r="BX341" s="3201"/>
    </row>
    <row r="342" s="3033" customFormat="1" ht="32" customHeight="1" spans="1:76 16369:16384">
      <c r="A342" s="3184">
        <v>46168</v>
      </c>
      <c r="B342" s="3185" t="s">
        <v>2285</v>
      </c>
      <c r="C342" s="3186" t="s">
        <v>351</v>
      </c>
      <c r="D342" s="3187" t="s">
        <v>10096</v>
      </c>
      <c r="E342" s="3188" t="s">
        <v>10097</v>
      </c>
      <c r="F342" s="3187" t="s">
        <v>10098</v>
      </c>
      <c r="G342" s="3189" t="s">
        <v>9154</v>
      </c>
      <c r="H342" s="3190" t="s">
        <v>9155</v>
      </c>
      <c r="I342" s="3191">
        <v>840</v>
      </c>
      <c r="J342" s="3191">
        <v>0</v>
      </c>
      <c r="K342" s="3191">
        <v>8</v>
      </c>
      <c r="L342" s="3191">
        <f t="shared" si="534"/>
        <v>105</v>
      </c>
      <c r="M342" s="3192">
        <v>46227</v>
      </c>
      <c r="N342" s="3310">
        <v>46223</v>
      </c>
      <c r="O342" s="3193"/>
      <c r="P342" s="2983" t="s">
        <v>82</v>
      </c>
      <c r="Q342" s="3281">
        <v>840</v>
      </c>
      <c r="R342" s="3312">
        <f t="shared" si="525"/>
        <v>0</v>
      </c>
      <c r="S342" s="3313" t="s">
        <v>2297</v>
      </c>
      <c r="T342" s="3313" t="s">
        <v>321</v>
      </c>
      <c r="U342" s="3194"/>
      <c r="V342" s="3193"/>
      <c r="W342" s="3195" t="s">
        <v>1412</v>
      </c>
      <c r="X342" s="3195"/>
      <c r="Y342" s="3195" t="s">
        <v>10094</v>
      </c>
      <c r="Z342" s="3195"/>
      <c r="AA342" s="3195"/>
      <c r="AB342" s="3188" t="s">
        <v>10099</v>
      </c>
      <c r="AC342" s="3191" t="s">
        <v>1199</v>
      </c>
      <c r="AD342" s="3314">
        <v>4.1265</v>
      </c>
      <c r="AE342" s="3197">
        <f t="shared" si="531"/>
        <v>3466.26</v>
      </c>
      <c r="AF342" s="3191"/>
      <c r="AG342" s="3191" t="s">
        <v>9154</v>
      </c>
      <c r="AH342" s="3191" t="s">
        <v>416</v>
      </c>
      <c r="AI342" s="3163"/>
      <c r="AJ342" s="3126">
        <f>I342</f>
        <v>840</v>
      </c>
      <c r="AK342" s="3154"/>
      <c r="AL342" s="3126"/>
      <c r="AM342" s="3154"/>
      <c r="AN342" s="3126"/>
      <c r="AO342" s="3127"/>
      <c r="AP342" s="3083">
        <f t="shared" si="527"/>
        <v>840</v>
      </c>
      <c r="AQ342" s="3083"/>
      <c r="AR342" s="3083"/>
      <c r="AS342" s="3198"/>
      <c r="AT342" s="3128"/>
      <c r="AU342" s="3127"/>
      <c r="AV342" s="3127"/>
      <c r="AW342" s="3129"/>
      <c r="AX342" s="3315">
        <f t="shared" si="539"/>
        <v>210</v>
      </c>
      <c r="AY342" s="3316">
        <f t="shared" si="540"/>
        <v>210</v>
      </c>
      <c r="AZ342" s="3316">
        <f t="shared" si="541"/>
        <v>210</v>
      </c>
      <c r="BA342" s="3317">
        <f t="shared" si="542"/>
        <v>210</v>
      </c>
      <c r="BB342" s="3199"/>
      <c r="BC342" s="3083"/>
      <c r="BD342" s="3083"/>
      <c r="BE342" s="3083"/>
      <c r="BF342" s="3083"/>
      <c r="BG342" s="3083"/>
      <c r="BH342" s="3083"/>
      <c r="BI342" s="3083"/>
      <c r="BJ342" s="3083">
        <f t="shared" si="538"/>
        <v>840</v>
      </c>
      <c r="BK342" s="3083"/>
      <c r="BL342" s="3083" t="s">
        <v>9164</v>
      </c>
      <c r="BM342" s="3127"/>
      <c r="BN342" s="3083">
        <f t="shared" si="543"/>
        <v>210</v>
      </c>
      <c r="BO342" s="3083">
        <f t="shared" si="544"/>
        <v>210</v>
      </c>
      <c r="BP342" s="3083">
        <f t="shared" si="545"/>
        <v>210</v>
      </c>
      <c r="BQ342" s="3201">
        <f t="shared" si="546"/>
        <v>210</v>
      </c>
      <c r="BR342" s="3083">
        <f t="shared" si="528"/>
        <v>0</v>
      </c>
      <c r="BS342" s="3201"/>
      <c r="BT342" s="3201"/>
      <c r="BU342" s="3201"/>
      <c r="BV342" s="3201"/>
      <c r="BW342" s="3201"/>
      <c r="BX342" s="3201"/>
    </row>
    <row r="343" s="3033" customFormat="1" ht="32" customHeight="1" spans="1:76 16369:16384">
      <c r="A343" s="3184">
        <v>46188</v>
      </c>
      <c r="B343" s="3185" t="s">
        <v>4533</v>
      </c>
      <c r="C343" s="3186" t="s">
        <v>738</v>
      </c>
      <c r="D343" s="3187" t="s">
        <v>8925</v>
      </c>
      <c r="E343" s="3188" t="s">
        <v>2434</v>
      </c>
      <c r="F343" s="3187" t="s">
        <v>10100</v>
      </c>
      <c r="G343" s="3189" t="s">
        <v>9154</v>
      </c>
      <c r="H343" s="3190" t="s">
        <v>9155</v>
      </c>
      <c r="I343" s="3191">
        <v>144</v>
      </c>
      <c r="J343" s="3191">
        <v>0</v>
      </c>
      <c r="K343" s="3191">
        <v>8</v>
      </c>
      <c r="L343" s="3191">
        <f t="shared" si="534"/>
        <v>18</v>
      </c>
      <c r="M343" s="3192">
        <v>46223</v>
      </c>
      <c r="N343" s="3310">
        <v>46219</v>
      </c>
      <c r="O343" s="3193"/>
      <c r="P343" s="2983" t="s">
        <v>82</v>
      </c>
      <c r="Q343" s="3311">
        <v>144</v>
      </c>
      <c r="R343" s="3312">
        <f t="shared" si="525"/>
        <v>0</v>
      </c>
      <c r="S343" s="3313" t="s">
        <v>2297</v>
      </c>
      <c r="T343" s="3313" t="s">
        <v>321</v>
      </c>
      <c r="U343" s="3194" t="s">
        <v>7104</v>
      </c>
      <c r="V343" s="3193"/>
      <c r="W343" s="3195" t="s">
        <v>4276</v>
      </c>
      <c r="X343" s="3195"/>
      <c r="Y343" s="3195" t="s">
        <v>7139</v>
      </c>
      <c r="Z343" s="3195"/>
      <c r="AA343" s="3195"/>
      <c r="AB343" s="3188" t="s">
        <v>10101</v>
      </c>
      <c r="AC343" s="3191" t="s">
        <v>1257</v>
      </c>
      <c r="AD343" s="3314">
        <v>4.2947</v>
      </c>
      <c r="AE343" s="3197">
        <f t="shared" si="531"/>
        <v>618.4368</v>
      </c>
      <c r="AF343" s="3191"/>
      <c r="AG343" s="3191" t="s">
        <v>9154</v>
      </c>
      <c r="AH343" s="3191" t="s">
        <v>416</v>
      </c>
      <c r="AI343" s="3163"/>
      <c r="AJ343" s="3126">
        <f>I343</f>
        <v>144</v>
      </c>
      <c r="AK343" s="3154"/>
      <c r="AL343" s="3126"/>
      <c r="AM343" s="3154"/>
      <c r="AN343" s="3126"/>
      <c r="AO343" s="3127"/>
      <c r="AP343" s="3083">
        <f t="shared" si="527"/>
        <v>144</v>
      </c>
      <c r="AQ343" s="3083"/>
      <c r="AR343" s="3083"/>
      <c r="AS343" s="3198"/>
      <c r="AT343" s="3128"/>
      <c r="AU343" s="3127"/>
      <c r="AV343" s="3127"/>
      <c r="AW343" s="3129"/>
      <c r="AX343" s="3315">
        <f t="shared" si="539"/>
        <v>36</v>
      </c>
      <c r="AY343" s="3316">
        <f t="shared" si="540"/>
        <v>36</v>
      </c>
      <c r="AZ343" s="3316">
        <f t="shared" si="541"/>
        <v>36</v>
      </c>
      <c r="BA343" s="3317">
        <f t="shared" si="542"/>
        <v>36</v>
      </c>
      <c r="BB343" s="3199"/>
      <c r="BC343" s="3083"/>
      <c r="BD343" s="3083"/>
      <c r="BE343" s="3083"/>
      <c r="BF343" s="3083"/>
      <c r="BG343" s="3083"/>
      <c r="BH343" s="3083"/>
      <c r="BI343" s="3083"/>
      <c r="BJ343" s="3083">
        <f t="shared" si="538"/>
        <v>144</v>
      </c>
      <c r="BK343" s="3083"/>
      <c r="BL343" s="3083" t="s">
        <v>9164</v>
      </c>
      <c r="BM343" s="3127"/>
      <c r="BN343" s="3083">
        <f t="shared" si="543"/>
        <v>36</v>
      </c>
      <c r="BO343" s="3083">
        <f t="shared" si="544"/>
        <v>36</v>
      </c>
      <c r="BP343" s="3083">
        <f t="shared" si="545"/>
        <v>36</v>
      </c>
      <c r="BQ343" s="3201">
        <f t="shared" si="546"/>
        <v>36</v>
      </c>
      <c r="BR343" s="3083">
        <f t="shared" si="528"/>
        <v>0</v>
      </c>
      <c r="BS343" s="3201"/>
      <c r="BT343" s="3201"/>
      <c r="BU343" s="3201"/>
      <c r="BV343" s="3201"/>
      <c r="BW343" s="3201"/>
      <c r="BX343" s="3201"/>
    </row>
    <row r="344" s="3033" customFormat="1" ht="32" customHeight="1" spans="1:76 16369:16384">
      <c r="A344" s="3184">
        <v>46185</v>
      </c>
      <c r="B344" s="3185" t="s">
        <v>8950</v>
      </c>
      <c r="C344" s="3186" t="s">
        <v>524</v>
      </c>
      <c r="D344" s="3187">
        <v>4500212151</v>
      </c>
      <c r="E344" s="3188"/>
      <c r="F344" s="3187" t="s">
        <v>10102</v>
      </c>
      <c r="G344" s="3189" t="s">
        <v>9154</v>
      </c>
      <c r="H344" s="3190" t="s">
        <v>9155</v>
      </c>
      <c r="I344" s="3191">
        <v>160</v>
      </c>
      <c r="J344" s="3191">
        <v>0</v>
      </c>
      <c r="K344" s="3191">
        <v>8</v>
      </c>
      <c r="L344" s="3191">
        <f t="shared" si="534"/>
        <v>20</v>
      </c>
      <c r="M344" s="3192">
        <v>46233</v>
      </c>
      <c r="N344" s="3310">
        <v>46230</v>
      </c>
      <c r="O344" s="3193"/>
      <c r="P344" s="2983" t="s">
        <v>82</v>
      </c>
      <c r="Q344" s="3311">
        <v>160</v>
      </c>
      <c r="R344" s="3312">
        <f t="shared" si="525"/>
        <v>0</v>
      </c>
      <c r="S344" s="3313" t="s">
        <v>2297</v>
      </c>
      <c r="T344" s="3313" t="s">
        <v>321</v>
      </c>
      <c r="U344" s="3194" t="s">
        <v>2461</v>
      </c>
      <c r="V344" s="3193"/>
      <c r="W344" s="3195" t="s">
        <v>8679</v>
      </c>
      <c r="X344" s="3195"/>
      <c r="Y344" s="3195" t="s">
        <v>10103</v>
      </c>
      <c r="Z344" s="3195"/>
      <c r="AA344" s="3195"/>
      <c r="AB344" s="3318" t="s">
        <v>10104</v>
      </c>
      <c r="AC344" s="3318" t="s">
        <v>10105</v>
      </c>
      <c r="AD344" s="3318">
        <v>4.2947</v>
      </c>
      <c r="AE344" s="3197">
        <f t="shared" si="531"/>
        <v>687.152</v>
      </c>
      <c r="AF344" s="3191"/>
      <c r="AG344" s="3191" t="s">
        <v>9239</v>
      </c>
      <c r="AH344" s="3191" t="s">
        <v>416</v>
      </c>
      <c r="AI344" s="3163"/>
      <c r="AJ344" s="3126"/>
      <c r="AK344" s="3154"/>
      <c r="AL344" s="3126">
        <f>I344</f>
        <v>160</v>
      </c>
      <c r="AM344" s="3154"/>
      <c r="AN344" s="3126"/>
      <c r="AO344" s="3127"/>
      <c r="AP344" s="3083">
        <f t="shared" si="527"/>
        <v>160</v>
      </c>
      <c r="AQ344" s="3083"/>
      <c r="AR344" s="3083"/>
      <c r="AS344" s="3198"/>
      <c r="AT344" s="3128"/>
      <c r="AU344" s="3127"/>
      <c r="AV344" s="3127"/>
      <c r="AW344" s="3129"/>
      <c r="AX344" s="3319">
        <f t="shared" si="539"/>
        <v>40</v>
      </c>
      <c r="AY344" s="3200">
        <f t="shared" si="540"/>
        <v>40</v>
      </c>
      <c r="AZ344" s="3200">
        <f t="shared" si="541"/>
        <v>40</v>
      </c>
      <c r="BA344" s="3320">
        <f t="shared" si="542"/>
        <v>40</v>
      </c>
      <c r="BB344" s="3199"/>
      <c r="BC344" s="3083"/>
      <c r="BD344" s="3083"/>
      <c r="BE344" s="3083"/>
      <c r="BF344" s="3083"/>
      <c r="BG344" s="3083"/>
      <c r="BH344" s="3083"/>
      <c r="BI344" s="3083"/>
      <c r="BJ344" s="3083">
        <f t="shared" si="538"/>
        <v>160</v>
      </c>
      <c r="BK344" s="3083"/>
      <c r="BL344" s="3083" t="s">
        <v>9164</v>
      </c>
      <c r="BM344" s="3127"/>
      <c r="BN344" s="3083">
        <f t="shared" si="543"/>
        <v>40</v>
      </c>
      <c r="BO344" s="3083">
        <f t="shared" si="544"/>
        <v>40</v>
      </c>
      <c r="BP344" s="3083">
        <f t="shared" si="545"/>
        <v>40</v>
      </c>
      <c r="BQ344" s="3201">
        <f t="shared" si="546"/>
        <v>40</v>
      </c>
      <c r="BR344" s="3083">
        <f t="shared" si="528"/>
        <v>0</v>
      </c>
      <c r="BS344" s="3201"/>
      <c r="BT344" s="3201"/>
      <c r="BU344" s="3201"/>
      <c r="BV344" s="3201"/>
      <c r="BW344" s="3201"/>
      <c r="BX344" s="3201"/>
    </row>
    <row r="345" s="3033" customFormat="1" ht="32" customHeight="1" spans="1:76 16369:16384">
      <c r="A345" s="3184">
        <v>46171</v>
      </c>
      <c r="B345" s="3185" t="s">
        <v>10106</v>
      </c>
      <c r="C345" s="3186" t="s">
        <v>1920</v>
      </c>
      <c r="D345" s="3187" t="s">
        <v>10107</v>
      </c>
      <c r="E345" s="3188" t="s">
        <v>2434</v>
      </c>
      <c r="F345" s="3187" t="s">
        <v>10108</v>
      </c>
      <c r="G345" s="3189" t="s">
        <v>9154</v>
      </c>
      <c r="H345" s="3190" t="s">
        <v>9155</v>
      </c>
      <c r="I345" s="3191">
        <v>200</v>
      </c>
      <c r="J345" s="3191">
        <v>0</v>
      </c>
      <c r="K345" s="3191">
        <v>8</v>
      </c>
      <c r="L345" s="3191">
        <f t="shared" si="534"/>
        <v>25</v>
      </c>
      <c r="M345" s="3192">
        <v>46241</v>
      </c>
      <c r="N345" s="3310">
        <v>46237</v>
      </c>
      <c r="O345" s="3193"/>
      <c r="P345" s="2983" t="s">
        <v>82</v>
      </c>
      <c r="Q345" s="3311">
        <v>200</v>
      </c>
      <c r="R345" s="3312">
        <f t="shared" si="525"/>
        <v>0</v>
      </c>
      <c r="S345" s="3313" t="s">
        <v>2297</v>
      </c>
      <c r="T345" s="3313" t="s">
        <v>321</v>
      </c>
      <c r="U345" s="3194" t="s">
        <v>1394</v>
      </c>
      <c r="V345" s="3193"/>
      <c r="W345" s="3195" t="s">
        <v>1455</v>
      </c>
      <c r="X345" s="3195"/>
      <c r="Y345" s="3195" t="s">
        <v>10109</v>
      </c>
      <c r="Z345" s="3195"/>
      <c r="AA345" s="3195"/>
      <c r="AB345" s="3188" t="s">
        <v>10110</v>
      </c>
      <c r="AC345" s="3191" t="s">
        <v>1199</v>
      </c>
      <c r="AD345" s="3314">
        <v>4.1381</v>
      </c>
      <c r="AE345" s="3197">
        <f t="shared" si="531"/>
        <v>827.62</v>
      </c>
      <c r="AF345" s="3191"/>
      <c r="AG345" s="3191" t="s">
        <v>9154</v>
      </c>
      <c r="AH345" s="3191" t="s">
        <v>416</v>
      </c>
      <c r="AI345" s="3163"/>
      <c r="AJ345" s="3126">
        <f>I345</f>
        <v>200</v>
      </c>
      <c r="AK345" s="3154"/>
      <c r="AL345" s="3126"/>
      <c r="AM345" s="3154"/>
      <c r="AN345" s="3126"/>
      <c r="AO345" s="3127"/>
      <c r="AP345" s="3083">
        <f t="shared" si="527"/>
        <v>200</v>
      </c>
      <c r="AQ345" s="3083"/>
      <c r="AR345" s="3083"/>
      <c r="AS345" s="3198"/>
      <c r="AT345" s="3128"/>
      <c r="AU345" s="3127"/>
      <c r="AV345" s="3127"/>
      <c r="AW345" s="3129"/>
      <c r="AX345" s="3319">
        <f t="shared" si="539"/>
        <v>50</v>
      </c>
      <c r="AY345" s="3200">
        <f t="shared" si="540"/>
        <v>50</v>
      </c>
      <c r="AZ345" s="3200">
        <f t="shared" si="541"/>
        <v>50</v>
      </c>
      <c r="BA345" s="3320">
        <f t="shared" si="542"/>
        <v>50</v>
      </c>
      <c r="BB345" s="3199"/>
      <c r="BC345" s="3083"/>
      <c r="BD345" s="3083"/>
      <c r="BE345" s="3083"/>
      <c r="BF345" s="3083"/>
      <c r="BG345" s="3083"/>
      <c r="BH345" s="3083"/>
      <c r="BI345" s="3083"/>
      <c r="BJ345" s="3083">
        <f t="shared" si="538"/>
        <v>200</v>
      </c>
      <c r="BK345" s="3083"/>
      <c r="BL345" s="3083" t="s">
        <v>9164</v>
      </c>
      <c r="BM345" s="3127"/>
      <c r="BN345" s="3083">
        <f t="shared" si="543"/>
        <v>50</v>
      </c>
      <c r="BO345" s="3083">
        <f t="shared" si="544"/>
        <v>50</v>
      </c>
      <c r="BP345" s="3083">
        <f t="shared" si="545"/>
        <v>50</v>
      </c>
      <c r="BQ345" s="3201">
        <f t="shared" si="546"/>
        <v>50</v>
      </c>
      <c r="BR345" s="3321">
        <f t="shared" si="528"/>
        <v>0</v>
      </c>
      <c r="BS345" s="3201"/>
      <c r="BT345" s="3201"/>
      <c r="BU345" s="3201"/>
      <c r="BV345" s="3201"/>
      <c r="BW345" s="3201"/>
      <c r="BX345" s="3201"/>
    </row>
    <row r="346" s="3037" customFormat="1" ht="32" customHeight="1" spans="1:76 16369:16384">
      <c r="A346" s="3322">
        <v>46203</v>
      </c>
      <c r="B346" s="3323" t="s">
        <v>3608</v>
      </c>
      <c r="C346" s="3324" t="s">
        <v>738</v>
      </c>
      <c r="D346" s="3325" t="s">
        <v>10111</v>
      </c>
      <c r="E346" s="3326" t="s">
        <v>10112</v>
      </c>
      <c r="F346" s="3325" t="s">
        <v>10113</v>
      </c>
      <c r="G346" s="3327" t="s">
        <v>9154</v>
      </c>
      <c r="H346" s="3328" t="s">
        <v>10114</v>
      </c>
      <c r="I346" s="3329">
        <v>12000</v>
      </c>
      <c r="J346" s="3329">
        <v>0</v>
      </c>
      <c r="K346" s="3329">
        <v>8</v>
      </c>
      <c r="L346" s="3329">
        <f t="shared" si="534"/>
        <v>1500</v>
      </c>
      <c r="M346" s="3330">
        <v>46254</v>
      </c>
      <c r="N346" s="3331">
        <v>46251</v>
      </c>
      <c r="O346" s="3332"/>
      <c r="P346" s="3208"/>
      <c r="Q346" s="3208"/>
      <c r="R346" s="3210">
        <f t="shared" si="525"/>
        <v>-12000</v>
      </c>
      <c r="S346" s="3333" t="s">
        <v>2297</v>
      </c>
      <c r="T346" s="3225" t="s">
        <v>321</v>
      </c>
      <c r="U346" s="3334"/>
      <c r="V346" s="3332"/>
      <c r="W346" s="3335" t="s">
        <v>2475</v>
      </c>
      <c r="X346" s="3336"/>
      <c r="Y346" s="3335" t="s">
        <v>10115</v>
      </c>
      <c r="Z346" s="3336"/>
      <c r="AA346" s="3336"/>
      <c r="AB346" s="3337" t="s">
        <v>10116</v>
      </c>
      <c r="AC346" s="3329" t="s">
        <v>1257</v>
      </c>
      <c r="AD346" s="3338">
        <v>4.2129</v>
      </c>
      <c r="AE346" s="3339">
        <f t="shared" si="531"/>
        <v>50554.8</v>
      </c>
      <c r="AF346" s="3329"/>
      <c r="AG346" s="3340" t="s">
        <v>9239</v>
      </c>
      <c r="AH346" s="3340" t="s">
        <v>416</v>
      </c>
      <c r="AI346" s="3341"/>
      <c r="AJ346" s="3108"/>
      <c r="AK346" s="3112"/>
      <c r="AL346" s="3108">
        <f>I346</f>
        <v>12000</v>
      </c>
      <c r="AM346" s="3112"/>
      <c r="AN346" s="3108"/>
      <c r="AO346" s="3113"/>
      <c r="AP346" s="3096">
        <f t="shared" si="527"/>
        <v>12000</v>
      </c>
      <c r="AQ346" s="3096"/>
      <c r="AR346" s="3096"/>
      <c r="AS346" s="3342"/>
      <c r="AT346" s="3121"/>
      <c r="AU346" s="3113"/>
      <c r="AV346" s="3113"/>
      <c r="AW346" s="3122"/>
      <c r="AX346" s="3343">
        <f t="shared" si="539"/>
        <v>3000</v>
      </c>
      <c r="AY346" s="3344">
        <f t="shared" si="540"/>
        <v>3000</v>
      </c>
      <c r="AZ346" s="3344">
        <f t="shared" si="541"/>
        <v>3000</v>
      </c>
      <c r="BA346" s="3345">
        <f t="shared" si="542"/>
        <v>3000</v>
      </c>
      <c r="BB346" s="3346"/>
      <c r="BC346" s="3096"/>
      <c r="BD346" s="3096"/>
      <c r="BE346" s="3096"/>
      <c r="BF346" s="3096"/>
      <c r="BG346" s="3096"/>
      <c r="BH346" s="3096"/>
      <c r="BI346" s="3096"/>
      <c r="BJ346" s="3096">
        <f t="shared" si="538"/>
        <v>12000</v>
      </c>
      <c r="BK346" s="3096"/>
      <c r="BL346" s="3347" t="s">
        <v>9164</v>
      </c>
      <c r="BM346" s="3113"/>
      <c r="BN346" s="3083">
        <f t="shared" si="543"/>
        <v>3000</v>
      </c>
      <c r="BO346" s="3083">
        <f t="shared" si="544"/>
        <v>3000</v>
      </c>
      <c r="BP346" s="3083">
        <f t="shared" si="545"/>
        <v>3000</v>
      </c>
      <c r="BQ346" s="3201">
        <f t="shared" si="546"/>
        <v>3000</v>
      </c>
      <c r="BR346" s="3321">
        <f t="shared" si="528"/>
        <v>0</v>
      </c>
      <c r="BS346" s="3348"/>
      <c r="BT346" s="3349"/>
      <c r="BU346" s="3349"/>
      <c r="BV346" s="3349"/>
      <c r="BW346" s="3349"/>
      <c r="BX346" s="3349"/>
    </row>
    <row r="347" s="3037" customFormat="1" ht="32" customHeight="1" spans="1:76 16369:16384">
      <c r="A347" s="3322">
        <v>46168</v>
      </c>
      <c r="B347" s="3323" t="s">
        <v>2285</v>
      </c>
      <c r="C347" s="3324" t="s">
        <v>351</v>
      </c>
      <c r="D347" s="3325" t="s">
        <v>10117</v>
      </c>
      <c r="E347" s="3326" t="s">
        <v>10092</v>
      </c>
      <c r="F347" s="3325" t="s">
        <v>10118</v>
      </c>
      <c r="G347" s="3327" t="s">
        <v>9154</v>
      </c>
      <c r="H347" s="3350" t="s">
        <v>9155</v>
      </c>
      <c r="I347" s="3329">
        <v>1440</v>
      </c>
      <c r="J347" s="3329">
        <v>0</v>
      </c>
      <c r="K347" s="3329">
        <v>8</v>
      </c>
      <c r="L347" s="3329">
        <f t="shared" si="534"/>
        <v>180</v>
      </c>
      <c r="M347" s="3330">
        <v>46255</v>
      </c>
      <c r="N347" s="3331">
        <v>46251</v>
      </c>
      <c r="O347" s="3332"/>
      <c r="P347" s="3208"/>
      <c r="Q347" s="3208"/>
      <c r="R347" s="3210">
        <f t="shared" si="525"/>
        <v>-1440</v>
      </c>
      <c r="S347" s="3333" t="s">
        <v>2297</v>
      </c>
      <c r="T347" s="3225" t="s">
        <v>321</v>
      </c>
      <c r="U347" s="3334"/>
      <c r="V347" s="3332"/>
      <c r="W347" s="3336" t="s">
        <v>1412</v>
      </c>
      <c r="X347" s="3336"/>
      <c r="Y347" s="3335" t="s">
        <v>10119</v>
      </c>
      <c r="Z347" s="3336"/>
      <c r="AA347" s="3336"/>
      <c r="AB347" s="3337" t="s">
        <v>10120</v>
      </c>
      <c r="AC347" s="3329" t="s">
        <v>1199</v>
      </c>
      <c r="AD347" s="3338">
        <v>4.1265</v>
      </c>
      <c r="AE347" s="3339">
        <f t="shared" si="531"/>
        <v>5942.16</v>
      </c>
      <c r="AF347" s="3329"/>
      <c r="AG347" s="3329" t="s">
        <v>9154</v>
      </c>
      <c r="AH347" s="3340" t="s">
        <v>416</v>
      </c>
      <c r="AI347" s="3341"/>
      <c r="AJ347" s="3108">
        <f>I347</f>
        <v>1440</v>
      </c>
      <c r="AK347" s="3112"/>
      <c r="AL347" s="3108"/>
      <c r="AM347" s="3112"/>
      <c r="AN347" s="3108"/>
      <c r="AO347" s="3113"/>
      <c r="AP347" s="3096">
        <f t="shared" si="527"/>
        <v>1440</v>
      </c>
      <c r="AQ347" s="3096"/>
      <c r="AR347" s="3096"/>
      <c r="AS347" s="3342"/>
      <c r="AT347" s="3121"/>
      <c r="AU347" s="3113"/>
      <c r="AV347" s="3113"/>
      <c r="AW347" s="3122"/>
      <c r="AX347" s="3343">
        <f t="shared" si="539"/>
        <v>360</v>
      </c>
      <c r="AY347" s="3344">
        <f t="shared" si="540"/>
        <v>360</v>
      </c>
      <c r="AZ347" s="3344">
        <f t="shared" si="541"/>
        <v>360</v>
      </c>
      <c r="BA347" s="3345">
        <f t="shared" si="542"/>
        <v>360</v>
      </c>
      <c r="BB347" s="3346"/>
      <c r="BC347" s="3096"/>
      <c r="BD347" s="3096"/>
      <c r="BE347" s="3096"/>
      <c r="BF347" s="3096"/>
      <c r="BG347" s="3096"/>
      <c r="BH347" s="3096"/>
      <c r="BI347" s="3096"/>
      <c r="BJ347" s="3351">
        <f t="shared" si="538"/>
        <v>1440</v>
      </c>
      <c r="BK347" s="3351"/>
      <c r="BL347" s="3351" t="s">
        <v>9164</v>
      </c>
      <c r="BM347" s="3352"/>
      <c r="BN347" s="3351">
        <f t="shared" ref="BN347:BN360" si="547">I347/4</f>
        <v>360</v>
      </c>
      <c r="BO347" s="3351">
        <f t="shared" ref="BO347:BO360" si="548">I347/4</f>
        <v>360</v>
      </c>
      <c r="BP347" s="3351">
        <f t="shared" ref="BP347:BP360" si="549">I347/4</f>
        <v>360</v>
      </c>
      <c r="BQ347" s="3353">
        <f t="shared" ref="BQ347:BQ360" si="550">I347/4</f>
        <v>360</v>
      </c>
      <c r="BR347" s="3354">
        <f t="shared" ref="BR347:BR360" si="551">BN347+BO347+BP347+BQ347-I347</f>
        <v>0</v>
      </c>
      <c r="BS347" s="3355"/>
      <c r="BT347" s="3356"/>
      <c r="BU347" s="3356"/>
      <c r="BV347" s="3356"/>
      <c r="BW347" s="3356"/>
      <c r="BX347" s="3356"/>
    </row>
    <row r="348" s="3037" customFormat="1" ht="32" customHeight="1" spans="1:76 16369:16384">
      <c r="A348" s="3322">
        <v>46168</v>
      </c>
      <c r="B348" s="3323" t="s">
        <v>2285</v>
      </c>
      <c r="C348" s="3324" t="s">
        <v>351</v>
      </c>
      <c r="D348" s="3325" t="s">
        <v>10121</v>
      </c>
      <c r="E348" s="3326" t="s">
        <v>10097</v>
      </c>
      <c r="F348" s="3325" t="s">
        <v>10122</v>
      </c>
      <c r="G348" s="3327" t="s">
        <v>9154</v>
      </c>
      <c r="H348" s="3350" t="s">
        <v>9155</v>
      </c>
      <c r="I348" s="3329">
        <v>560</v>
      </c>
      <c r="J348" s="3329">
        <v>0</v>
      </c>
      <c r="K348" s="3329">
        <v>8</v>
      </c>
      <c r="L348" s="3329">
        <f t="shared" si="534"/>
        <v>70</v>
      </c>
      <c r="M348" s="3330">
        <v>46255</v>
      </c>
      <c r="N348" s="3331">
        <v>46251</v>
      </c>
      <c r="O348" s="3332"/>
      <c r="P348" s="3208"/>
      <c r="Q348" s="3208"/>
      <c r="R348" s="3210">
        <f t="shared" si="525"/>
        <v>-560</v>
      </c>
      <c r="S348" s="3333" t="s">
        <v>2297</v>
      </c>
      <c r="T348" s="3225" t="s">
        <v>321</v>
      </c>
      <c r="U348" s="3334"/>
      <c r="V348" s="3332"/>
      <c r="W348" s="3336" t="s">
        <v>1412</v>
      </c>
      <c r="X348" s="3336"/>
      <c r="Y348" s="3335" t="s">
        <v>10119</v>
      </c>
      <c r="Z348" s="3336"/>
      <c r="AA348" s="3336"/>
      <c r="AB348" s="3337" t="s">
        <v>10123</v>
      </c>
      <c r="AC348" s="3329" t="s">
        <v>1199</v>
      </c>
      <c r="AD348" s="3338">
        <v>4.2832</v>
      </c>
      <c r="AE348" s="3339">
        <f t="shared" si="531"/>
        <v>2398.592</v>
      </c>
      <c r="AF348" s="3329"/>
      <c r="AG348" s="3329" t="s">
        <v>9154</v>
      </c>
      <c r="AH348" s="3340" t="s">
        <v>416</v>
      </c>
      <c r="AI348" s="3341"/>
      <c r="AJ348" s="3108">
        <f>I348</f>
        <v>560</v>
      </c>
      <c r="AK348" s="3112"/>
      <c r="AL348" s="3357"/>
      <c r="AM348" s="3358"/>
      <c r="AN348" s="3357"/>
      <c r="AO348" s="3352"/>
      <c r="AP348" s="3351">
        <f t="shared" si="527"/>
        <v>560</v>
      </c>
      <c r="AQ348" s="3096"/>
      <c r="AR348" s="3096"/>
      <c r="AS348" s="3342"/>
      <c r="AT348" s="3121"/>
      <c r="AU348" s="3113"/>
      <c r="AV348" s="3113"/>
      <c r="AW348" s="3122"/>
      <c r="AX348" s="3343">
        <f t="shared" si="539"/>
        <v>140</v>
      </c>
      <c r="AY348" s="3344">
        <f t="shared" si="540"/>
        <v>140</v>
      </c>
      <c r="AZ348" s="3344">
        <f t="shared" si="541"/>
        <v>140</v>
      </c>
      <c r="BA348" s="3345">
        <f t="shared" si="542"/>
        <v>140</v>
      </c>
      <c r="BB348" s="3346"/>
      <c r="BC348" s="3096"/>
      <c r="BD348" s="3096"/>
      <c r="BE348" s="3096"/>
      <c r="BF348" s="3096"/>
      <c r="BG348" s="3096"/>
      <c r="BH348" s="3096"/>
      <c r="BI348" s="3342"/>
      <c r="BJ348" s="3359">
        <f t="shared" si="538"/>
        <v>560</v>
      </c>
      <c r="BK348" s="3359"/>
      <c r="BL348" s="3359" t="s">
        <v>9164</v>
      </c>
      <c r="BM348" s="3360"/>
      <c r="BN348" s="3359">
        <f t="shared" si="547"/>
        <v>140</v>
      </c>
      <c r="BO348" s="3359">
        <f t="shared" si="548"/>
        <v>140</v>
      </c>
      <c r="BP348" s="3359">
        <f t="shared" si="549"/>
        <v>140</v>
      </c>
      <c r="BQ348" s="3361">
        <f t="shared" si="550"/>
        <v>140</v>
      </c>
      <c r="BR348" s="3359">
        <f t="shared" si="551"/>
        <v>0</v>
      </c>
      <c r="BS348" s="3361"/>
      <c r="BT348" s="3361"/>
      <c r="BU348" s="3361"/>
      <c r="BV348" s="3361"/>
      <c r="BW348" s="3361"/>
      <c r="BX348" s="3361"/>
    </row>
    <row r="349" s="3038" customFormat="1" ht="32" customHeight="1" spans="1:76 16369:16384">
      <c r="A349" s="3322">
        <v>46218</v>
      </c>
      <c r="B349" s="3323" t="s">
        <v>1596</v>
      </c>
      <c r="C349" s="3324" t="s">
        <v>1430</v>
      </c>
      <c r="D349" s="3325">
        <v>4500216583</v>
      </c>
      <c r="E349" s="3326" t="s">
        <v>10124</v>
      </c>
      <c r="F349" s="3325" t="s">
        <v>10125</v>
      </c>
      <c r="G349" s="3327" t="s">
        <v>9154</v>
      </c>
      <c r="H349" s="3350" t="s">
        <v>9155</v>
      </c>
      <c r="I349" s="3329">
        <v>240</v>
      </c>
      <c r="J349" s="3329">
        <v>0</v>
      </c>
      <c r="K349" s="3329">
        <v>8</v>
      </c>
      <c r="L349" s="3329">
        <f t="shared" si="534"/>
        <v>30</v>
      </c>
      <c r="M349" s="3330">
        <v>46262</v>
      </c>
      <c r="N349" s="3331">
        <v>46258</v>
      </c>
      <c r="O349" s="3332"/>
      <c r="P349" s="3208"/>
      <c r="Q349" s="3208"/>
      <c r="R349" s="3210">
        <f t="shared" si="525"/>
        <v>-240</v>
      </c>
      <c r="S349" s="3333" t="s">
        <v>2297</v>
      </c>
      <c r="T349" s="3225" t="s">
        <v>321</v>
      </c>
      <c r="U349" s="3334"/>
      <c r="V349" s="3332"/>
      <c r="W349" s="3335" t="s">
        <v>1975</v>
      </c>
      <c r="X349" s="3336"/>
      <c r="Y349" s="3335" t="s">
        <v>10126</v>
      </c>
      <c r="Z349" s="3336"/>
      <c r="AA349" s="3336"/>
      <c r="AB349" s="3337" t="s">
        <v>10127</v>
      </c>
      <c r="AC349" s="3329" t="s">
        <v>1434</v>
      </c>
      <c r="AD349" s="3338">
        <v>4.1381</v>
      </c>
      <c r="AE349" s="3339">
        <f t="shared" si="531"/>
        <v>993.144</v>
      </c>
      <c r="AF349" s="3329"/>
      <c r="AG349" s="3340" t="s">
        <v>9239</v>
      </c>
      <c r="AH349" s="3340" t="s">
        <v>416</v>
      </c>
      <c r="AI349" s="3341"/>
      <c r="AJ349" s="3108"/>
      <c r="AK349" s="3362"/>
      <c r="AL349" s="3363">
        <f>I349</f>
        <v>240</v>
      </c>
      <c r="AM349" s="3360"/>
      <c r="AN349" s="3359"/>
      <c r="AO349" s="3360"/>
      <c r="AP349" s="3359">
        <f t="shared" si="527"/>
        <v>240</v>
      </c>
      <c r="AQ349" s="3364"/>
      <c r="AR349" s="3344"/>
      <c r="AS349" s="3344"/>
      <c r="AT349" s="3365"/>
      <c r="AU349" s="3366"/>
      <c r="AV349" s="3113"/>
      <c r="AW349" s="3113"/>
      <c r="AX349" s="3343">
        <f t="shared" si="539"/>
        <v>60</v>
      </c>
      <c r="AY349" s="3344">
        <f t="shared" si="540"/>
        <v>60</v>
      </c>
      <c r="AZ349" s="3344">
        <f t="shared" si="541"/>
        <v>60</v>
      </c>
      <c r="BA349" s="3345">
        <f t="shared" si="542"/>
        <v>60</v>
      </c>
      <c r="BB349" s="3096"/>
      <c r="BC349" s="3096"/>
      <c r="BD349" s="3096"/>
      <c r="BE349" s="3096"/>
      <c r="BF349" s="3096"/>
      <c r="BG349" s="3096"/>
      <c r="BH349" s="3096"/>
      <c r="BI349" s="3367"/>
      <c r="BJ349" s="3359">
        <f t="shared" si="538"/>
        <v>240</v>
      </c>
      <c r="BK349" s="3361"/>
      <c r="BL349" s="3368" t="s">
        <v>9164</v>
      </c>
      <c r="BM349" s="3369"/>
      <c r="BN349" s="3361">
        <f t="shared" si="547"/>
        <v>60</v>
      </c>
      <c r="BO349" s="3361">
        <f t="shared" si="548"/>
        <v>60</v>
      </c>
      <c r="BP349" s="3361">
        <f t="shared" si="549"/>
        <v>60</v>
      </c>
      <c r="BQ349" s="3370">
        <f t="shared" si="550"/>
        <v>60</v>
      </c>
      <c r="BR349" s="3370">
        <f t="shared" si="551"/>
        <v>0</v>
      </c>
      <c r="BS349" s="3370"/>
      <c r="BT349" s="3370"/>
      <c r="BU349" s="3370"/>
      <c r="BV349" s="3370"/>
      <c r="BW349" s="3370"/>
      <c r="BX349" s="3370"/>
      <c r="XEW349" s="3371"/>
      <c r="XEX349" s="3372"/>
      <c r="XEY349" s="3373"/>
      <c r="XEZ349" s="3374"/>
      <c r="XFA349" s="3375"/>
      <c r="XFB349" s="3374"/>
      <c r="XFC349" s="3376"/>
      <c r="XFD349" s="3377"/>
    </row>
    <row r="350" s="3039" customFormat="1" ht="32" customHeight="1" spans="1:76 16369:16384">
      <c r="A350" s="3378">
        <v>46224</v>
      </c>
      <c r="B350" s="3379" t="s">
        <v>4595</v>
      </c>
      <c r="C350" s="3380" t="s">
        <v>506</v>
      </c>
      <c r="D350" s="3381">
        <v>4500217241</v>
      </c>
      <c r="E350" s="3337" t="s">
        <v>10128</v>
      </c>
      <c r="F350" s="3381" t="s">
        <v>10129</v>
      </c>
      <c r="G350" s="3382" t="s">
        <v>9154</v>
      </c>
      <c r="H350" s="3328" t="s">
        <v>9155</v>
      </c>
      <c r="I350" s="3340">
        <v>504</v>
      </c>
      <c r="J350" s="3340">
        <v>0</v>
      </c>
      <c r="K350" s="3340">
        <v>8</v>
      </c>
      <c r="L350" s="3340">
        <f t="shared" si="534"/>
        <v>63</v>
      </c>
      <c r="M350" s="3383">
        <v>46265</v>
      </c>
      <c r="N350" s="3384">
        <v>46261</v>
      </c>
      <c r="O350" s="3385"/>
      <c r="P350" s="3386"/>
      <c r="Q350" s="3386"/>
      <c r="R350" s="3210">
        <f t="shared" si="525"/>
        <v>-504</v>
      </c>
      <c r="S350" s="3333" t="s">
        <v>98</v>
      </c>
      <c r="T350" s="3333" t="s">
        <v>321</v>
      </c>
      <c r="U350" s="3387"/>
      <c r="V350" s="3385"/>
      <c r="W350" s="3335" t="s">
        <v>1833</v>
      </c>
      <c r="X350" s="3335"/>
      <c r="Y350" s="3335" t="s">
        <v>98</v>
      </c>
      <c r="Z350" s="3335"/>
      <c r="AA350" s="3335"/>
      <c r="AB350" s="3337" t="s">
        <v>10130</v>
      </c>
      <c r="AC350" s="3340" t="s">
        <v>10131</v>
      </c>
      <c r="AD350" s="3388">
        <v>4.6159</v>
      </c>
      <c r="AE350" s="3389">
        <f t="shared" si="531"/>
        <v>2326.4136</v>
      </c>
      <c r="AF350" s="3340"/>
      <c r="AG350" s="3329" t="s">
        <v>9154</v>
      </c>
      <c r="AH350" s="3340" t="s">
        <v>416</v>
      </c>
      <c r="AI350" s="3390"/>
      <c r="AJ350" s="3391">
        <f>I350</f>
        <v>504</v>
      </c>
      <c r="AK350" s="3392"/>
      <c r="AL350" s="3393"/>
      <c r="AM350" s="3394"/>
      <c r="AN350" s="3395"/>
      <c r="AO350" s="3396"/>
      <c r="AP350" s="3395">
        <f t="shared" si="527"/>
        <v>504</v>
      </c>
      <c r="AQ350" s="3397"/>
      <c r="AR350" s="3398"/>
      <c r="AS350" s="3398"/>
      <c r="AT350" s="3399"/>
      <c r="AU350" s="3400"/>
      <c r="AV350" s="3400"/>
      <c r="AW350" s="3400"/>
      <c r="AX350" s="3347">
        <f t="shared" si="539"/>
        <v>126</v>
      </c>
      <c r="AY350" s="3347">
        <f t="shared" si="540"/>
        <v>126</v>
      </c>
      <c r="AZ350" s="3347">
        <f t="shared" si="541"/>
        <v>126</v>
      </c>
      <c r="BA350" s="3347">
        <f t="shared" si="542"/>
        <v>126</v>
      </c>
      <c r="BB350" s="3401"/>
      <c r="BC350" s="3347"/>
      <c r="BD350" s="3401"/>
      <c r="BE350" s="3401"/>
      <c r="BF350" s="3401"/>
      <c r="BG350" s="3401"/>
      <c r="BH350" s="3402"/>
      <c r="BI350" s="3403"/>
      <c r="BJ350" s="3359">
        <f t="shared" si="538"/>
        <v>504</v>
      </c>
      <c r="BK350" s="3404"/>
      <c r="BL350" s="3368" t="s">
        <v>9164</v>
      </c>
      <c r="BM350" s="3405"/>
      <c r="BN350" s="3404">
        <f t="shared" si="547"/>
        <v>126</v>
      </c>
      <c r="BO350" s="3404">
        <f t="shared" si="548"/>
        <v>126</v>
      </c>
      <c r="BP350" s="3404">
        <f t="shared" si="549"/>
        <v>126</v>
      </c>
      <c r="BQ350" s="3404">
        <f t="shared" si="550"/>
        <v>126</v>
      </c>
      <c r="BR350" s="3404">
        <f t="shared" si="551"/>
        <v>0</v>
      </c>
      <c r="BS350" s="3404"/>
      <c r="BT350" s="3404"/>
      <c r="BU350" s="3404"/>
      <c r="BV350" s="3404"/>
      <c r="BW350" s="3404"/>
      <c r="BX350" s="3404"/>
      <c r="XEO350" s="3378"/>
      <c r="XEP350" s="3379"/>
      <c r="XEQ350" s="3380"/>
      <c r="XER350" s="3381"/>
      <c r="XES350" s="3337"/>
      <c r="XET350" s="3381"/>
      <c r="XEU350" s="3382"/>
      <c r="XEV350" s="3328"/>
      <c r="XEW350" s="3378"/>
      <c r="XEX350" s="3379"/>
      <c r="XEY350" s="3380"/>
      <c r="XEZ350" s="3381"/>
      <c r="XFA350" s="3337"/>
      <c r="XFB350" s="3381"/>
      <c r="XFC350" s="3382"/>
      <c r="XFD350" s="3328"/>
    </row>
    <row r="351" s="3037" customFormat="1" ht="32" customHeight="1" spans="1:76 16369:16384">
      <c r="A351" s="3322">
        <v>46185</v>
      </c>
      <c r="B351" s="3323" t="s">
        <v>1617</v>
      </c>
      <c r="C351" s="3324" t="s">
        <v>91</v>
      </c>
      <c r="D351" s="3325" t="s">
        <v>10132</v>
      </c>
      <c r="E351" s="3326" t="s">
        <v>10133</v>
      </c>
      <c r="F351" s="3325" t="s">
        <v>10134</v>
      </c>
      <c r="G351" s="3327" t="s">
        <v>9154</v>
      </c>
      <c r="H351" s="3350" t="s">
        <v>9155</v>
      </c>
      <c r="I351" s="3329">
        <v>600</v>
      </c>
      <c r="J351" s="3329">
        <v>0</v>
      </c>
      <c r="K351" s="3329">
        <v>8</v>
      </c>
      <c r="L351" s="3329">
        <f t="shared" si="534"/>
        <v>75</v>
      </c>
      <c r="M351" s="3330">
        <v>46268</v>
      </c>
      <c r="N351" s="3331">
        <v>46265</v>
      </c>
      <c r="O351" s="3332"/>
      <c r="P351" s="3208"/>
      <c r="Q351" s="3208"/>
      <c r="R351" s="3210">
        <f t="shared" si="525"/>
        <v>-600</v>
      </c>
      <c r="S351" s="3333" t="s">
        <v>2297</v>
      </c>
      <c r="T351" s="3225" t="s">
        <v>321</v>
      </c>
      <c r="U351" s="3334"/>
      <c r="V351" s="3332"/>
      <c r="W351" s="3335" t="s">
        <v>4331</v>
      </c>
      <c r="X351" s="3336"/>
      <c r="Y351" s="3335" t="s">
        <v>98</v>
      </c>
      <c r="Z351" s="3335" t="s">
        <v>7616</v>
      </c>
      <c r="AA351" s="3336"/>
      <c r="AB351" s="3326" t="s">
        <v>10135</v>
      </c>
      <c r="AC351" s="3329" t="s">
        <v>9895</v>
      </c>
      <c r="AD351" s="3338">
        <v>2.5699</v>
      </c>
      <c r="AE351" s="3339">
        <f t="shared" si="531"/>
        <v>1541.94</v>
      </c>
      <c r="AF351" s="3329"/>
      <c r="AG351" s="3329" t="s">
        <v>9154</v>
      </c>
      <c r="AH351" s="3340" t="s">
        <v>416</v>
      </c>
      <c r="AI351" s="3341"/>
      <c r="AJ351" s="3108">
        <f>I351</f>
        <v>600</v>
      </c>
      <c r="AK351" s="3112"/>
      <c r="AL351" s="3406"/>
      <c r="AM351" s="3407"/>
      <c r="AN351" s="3406"/>
      <c r="AO351" s="3408"/>
      <c r="AP351" s="3409">
        <f t="shared" si="527"/>
        <v>600</v>
      </c>
      <c r="AQ351" s="3096"/>
      <c r="AR351" s="3096"/>
      <c r="AS351" s="3342"/>
      <c r="AT351" s="3121"/>
      <c r="AU351" s="3113"/>
      <c r="AV351" s="3113"/>
      <c r="AW351" s="3122"/>
      <c r="AX351" s="3343">
        <f t="shared" si="539"/>
        <v>150</v>
      </c>
      <c r="AY351" s="3344">
        <f t="shared" si="540"/>
        <v>150</v>
      </c>
      <c r="AZ351" s="3344">
        <f t="shared" si="541"/>
        <v>150</v>
      </c>
      <c r="BA351" s="3345">
        <f t="shared" si="542"/>
        <v>150</v>
      </c>
      <c r="BB351" s="3346"/>
      <c r="BC351" s="3096"/>
      <c r="BD351" s="3096"/>
      <c r="BE351" s="3096"/>
      <c r="BF351" s="3096"/>
      <c r="BG351" s="3096"/>
      <c r="BH351" s="3096"/>
      <c r="BI351" s="3096"/>
      <c r="BJ351" s="3409">
        <f t="shared" si="538"/>
        <v>600</v>
      </c>
      <c r="BK351" s="3409"/>
      <c r="BL351" s="3410" t="s">
        <v>9164</v>
      </c>
      <c r="BM351" s="3408"/>
      <c r="BN351" s="3409">
        <f t="shared" si="547"/>
        <v>150</v>
      </c>
      <c r="BO351" s="3409">
        <f t="shared" si="548"/>
        <v>150</v>
      </c>
      <c r="BP351" s="3409">
        <f t="shared" si="549"/>
        <v>150</v>
      </c>
      <c r="BQ351" s="3411">
        <f t="shared" si="550"/>
        <v>150</v>
      </c>
      <c r="BR351" s="3412">
        <f t="shared" si="551"/>
        <v>0</v>
      </c>
      <c r="BS351" s="3413"/>
      <c r="BT351" s="3414"/>
      <c r="BU351" s="3414"/>
      <c r="BV351" s="3414"/>
      <c r="BW351" s="3414"/>
      <c r="BX351" s="3414"/>
    </row>
    <row r="352" s="3037" customFormat="1" ht="32" customHeight="1" spans="1:76 16369:16384">
      <c r="A352" s="3322">
        <v>46185</v>
      </c>
      <c r="B352" s="3323" t="s">
        <v>1602</v>
      </c>
      <c r="C352" s="3324" t="s">
        <v>91</v>
      </c>
      <c r="D352" s="3325" t="s">
        <v>10136</v>
      </c>
      <c r="E352" s="3326" t="s">
        <v>10137</v>
      </c>
      <c r="F352" s="3325" t="s">
        <v>10138</v>
      </c>
      <c r="G352" s="3327" t="s">
        <v>9154</v>
      </c>
      <c r="H352" s="3350" t="s">
        <v>9155</v>
      </c>
      <c r="I352" s="3329">
        <v>1168</v>
      </c>
      <c r="J352" s="3329">
        <v>0</v>
      </c>
      <c r="K352" s="3329">
        <v>8</v>
      </c>
      <c r="L352" s="3329">
        <f t="shared" si="534"/>
        <v>146</v>
      </c>
      <c r="M352" s="3330">
        <v>46269</v>
      </c>
      <c r="N352" s="3331">
        <v>46265</v>
      </c>
      <c r="O352" s="3332"/>
      <c r="P352" s="3208"/>
      <c r="Q352" s="3208"/>
      <c r="R352" s="3210">
        <f t="shared" si="525"/>
        <v>-1168</v>
      </c>
      <c r="S352" s="3333" t="s">
        <v>2297</v>
      </c>
      <c r="T352" s="3225" t="s">
        <v>321</v>
      </c>
      <c r="U352" s="3334"/>
      <c r="V352" s="3332"/>
      <c r="W352" s="3335" t="s">
        <v>4331</v>
      </c>
      <c r="X352" s="3336"/>
      <c r="Y352" s="3335" t="s">
        <v>98</v>
      </c>
      <c r="Z352" s="3335" t="s">
        <v>7616</v>
      </c>
      <c r="AA352" s="3336"/>
      <c r="AB352" s="3326" t="s">
        <v>10139</v>
      </c>
      <c r="AC352" s="3329" t="s">
        <v>1607</v>
      </c>
      <c r="AD352" s="3338">
        <v>2.5699</v>
      </c>
      <c r="AE352" s="3339">
        <f t="shared" si="531"/>
        <v>3001.6432</v>
      </c>
      <c r="AF352" s="3329"/>
      <c r="AG352" s="3329" t="s">
        <v>9154</v>
      </c>
      <c r="AH352" s="3340" t="s">
        <v>416</v>
      </c>
      <c r="AI352" s="3341"/>
      <c r="AJ352" s="3108">
        <f>I352</f>
        <v>1168</v>
      </c>
      <c r="AK352" s="3112"/>
      <c r="AL352" s="3108"/>
      <c r="AM352" s="3112"/>
      <c r="AN352" s="3108"/>
      <c r="AO352" s="3113"/>
      <c r="AP352" s="3096">
        <f t="shared" si="527"/>
        <v>1168</v>
      </c>
      <c r="AQ352" s="3096"/>
      <c r="AR352" s="3096"/>
      <c r="AS352" s="3342"/>
      <c r="AT352" s="3121"/>
      <c r="AU352" s="3113"/>
      <c r="AV352" s="3113"/>
      <c r="AW352" s="3122"/>
      <c r="AX352" s="3343">
        <f t="shared" si="539"/>
        <v>292</v>
      </c>
      <c r="AY352" s="3344">
        <f t="shared" si="540"/>
        <v>292</v>
      </c>
      <c r="AZ352" s="3344">
        <f t="shared" si="541"/>
        <v>292</v>
      </c>
      <c r="BA352" s="3345">
        <f t="shared" si="542"/>
        <v>292</v>
      </c>
      <c r="BB352" s="3346"/>
      <c r="BC352" s="3096"/>
      <c r="BD352" s="3096"/>
      <c r="BE352" s="3096"/>
      <c r="BF352" s="3096"/>
      <c r="BG352" s="3096"/>
      <c r="BH352" s="3096"/>
      <c r="BI352" s="3096"/>
      <c r="BJ352" s="3096">
        <f t="shared" si="538"/>
        <v>1168</v>
      </c>
      <c r="BK352" s="3096"/>
      <c r="BL352" s="3347" t="s">
        <v>9164</v>
      </c>
      <c r="BM352" s="3113"/>
      <c r="BN352" s="3096">
        <f t="shared" si="547"/>
        <v>292</v>
      </c>
      <c r="BO352" s="3096">
        <f t="shared" si="548"/>
        <v>292</v>
      </c>
      <c r="BP352" s="3096">
        <f t="shared" si="549"/>
        <v>292</v>
      </c>
      <c r="BQ352" s="3367">
        <f t="shared" si="550"/>
        <v>292</v>
      </c>
      <c r="BR352" s="3359">
        <f t="shared" si="551"/>
        <v>0</v>
      </c>
      <c r="BS352" s="3348"/>
      <c r="BT352" s="3349"/>
      <c r="BU352" s="3349"/>
      <c r="BV352" s="3349"/>
      <c r="BW352" s="3349"/>
      <c r="BX352" s="3349"/>
    </row>
    <row r="353" s="3037" customFormat="1" ht="32" customHeight="1" spans="1:76 16369:16384">
      <c r="A353" s="3322">
        <v>46185</v>
      </c>
      <c r="B353" s="3323" t="s">
        <v>1602</v>
      </c>
      <c r="C353" s="3324" t="s">
        <v>91</v>
      </c>
      <c r="D353" s="3325" t="s">
        <v>10136</v>
      </c>
      <c r="E353" s="3326" t="s">
        <v>10140</v>
      </c>
      <c r="F353" s="3325" t="s">
        <v>10141</v>
      </c>
      <c r="G353" s="3327" t="s">
        <v>9154</v>
      </c>
      <c r="H353" s="3350" t="s">
        <v>9155</v>
      </c>
      <c r="I353" s="3329">
        <v>96</v>
      </c>
      <c r="J353" s="3329">
        <v>0</v>
      </c>
      <c r="K353" s="3329">
        <v>8</v>
      </c>
      <c r="L353" s="3329">
        <f t="shared" si="534"/>
        <v>12</v>
      </c>
      <c r="M353" s="3330">
        <v>46269</v>
      </c>
      <c r="N353" s="3331">
        <v>46265</v>
      </c>
      <c r="O353" s="3332"/>
      <c r="P353" s="3208"/>
      <c r="Q353" s="3208"/>
      <c r="R353" s="3210">
        <f t="shared" si="525"/>
        <v>-96</v>
      </c>
      <c r="S353" s="3333" t="s">
        <v>2297</v>
      </c>
      <c r="T353" s="3225" t="s">
        <v>321</v>
      </c>
      <c r="U353" s="3334"/>
      <c r="V353" s="3332"/>
      <c r="W353" s="3335" t="s">
        <v>4331</v>
      </c>
      <c r="X353" s="3336"/>
      <c r="Y353" s="3335" t="s">
        <v>98</v>
      </c>
      <c r="Z353" s="3335" t="s">
        <v>7616</v>
      </c>
      <c r="AA353" s="3336"/>
      <c r="AB353" s="3326" t="s">
        <v>10139</v>
      </c>
      <c r="AC353" s="3329" t="s">
        <v>1607</v>
      </c>
      <c r="AD353" s="3338">
        <v>2.5768</v>
      </c>
      <c r="AE353" s="3339">
        <f t="shared" si="531"/>
        <v>247.3728</v>
      </c>
      <c r="AF353" s="3329"/>
      <c r="AG353" s="3329" t="s">
        <v>9154</v>
      </c>
      <c r="AH353" s="3340" t="s">
        <v>416</v>
      </c>
      <c r="AI353" s="3341"/>
      <c r="AJ353" s="3108">
        <f>I353</f>
        <v>96</v>
      </c>
      <c r="AK353" s="3112"/>
      <c r="AL353" s="3108"/>
      <c r="AM353" s="3112"/>
      <c r="AN353" s="3108"/>
      <c r="AO353" s="3113"/>
      <c r="AP353" s="3096">
        <f t="shared" si="527"/>
        <v>96</v>
      </c>
      <c r="AQ353" s="3096"/>
      <c r="AR353" s="3096"/>
      <c r="AS353" s="3342"/>
      <c r="AT353" s="3121"/>
      <c r="AU353" s="3113"/>
      <c r="AV353" s="3113"/>
      <c r="AW353" s="3122"/>
      <c r="AX353" s="3343">
        <f t="shared" si="539"/>
        <v>24</v>
      </c>
      <c r="AY353" s="3344">
        <f t="shared" si="540"/>
        <v>24</v>
      </c>
      <c r="AZ353" s="3344">
        <f t="shared" si="541"/>
        <v>24</v>
      </c>
      <c r="BA353" s="3345">
        <f t="shared" si="542"/>
        <v>24</v>
      </c>
      <c r="BB353" s="3346"/>
      <c r="BC353" s="3096"/>
      <c r="BD353" s="3096"/>
      <c r="BE353" s="3096"/>
      <c r="BF353" s="3096"/>
      <c r="BG353" s="3096"/>
      <c r="BH353" s="3096"/>
      <c r="BI353" s="3096"/>
      <c r="BJ353" s="3096">
        <f t="shared" si="538"/>
        <v>96</v>
      </c>
      <c r="BK353" s="3096"/>
      <c r="BL353" s="3347" t="s">
        <v>9164</v>
      </c>
      <c r="BM353" s="3113"/>
      <c r="BN353" s="3096">
        <f t="shared" si="547"/>
        <v>24</v>
      </c>
      <c r="BO353" s="3096">
        <f t="shared" si="548"/>
        <v>24</v>
      </c>
      <c r="BP353" s="3096">
        <f t="shared" si="549"/>
        <v>24</v>
      </c>
      <c r="BQ353" s="3349">
        <f t="shared" si="550"/>
        <v>24</v>
      </c>
      <c r="BR353" s="3409">
        <f t="shared" si="551"/>
        <v>0</v>
      </c>
      <c r="BS353" s="3349"/>
      <c r="BT353" s="3349"/>
      <c r="BU353" s="3349"/>
      <c r="BV353" s="3349"/>
      <c r="BW353" s="3349"/>
      <c r="BX353" s="3349"/>
    </row>
    <row r="354" s="3037" customFormat="1" ht="32" customHeight="1" spans="1:76 16369:16384">
      <c r="A354" s="3322">
        <v>46185</v>
      </c>
      <c r="B354" s="3323" t="s">
        <v>1602</v>
      </c>
      <c r="C354" s="3324" t="s">
        <v>91</v>
      </c>
      <c r="D354" s="3325" t="s">
        <v>10136</v>
      </c>
      <c r="E354" s="3326" t="s">
        <v>10142</v>
      </c>
      <c r="F354" s="3325" t="s">
        <v>10143</v>
      </c>
      <c r="G354" s="3327" t="s">
        <v>9154</v>
      </c>
      <c r="H354" s="3350" t="s">
        <v>9155</v>
      </c>
      <c r="I354" s="3329">
        <v>536</v>
      </c>
      <c r="J354" s="3329">
        <v>0</v>
      </c>
      <c r="K354" s="3329">
        <v>8</v>
      </c>
      <c r="L354" s="3329">
        <f t="shared" si="534"/>
        <v>67</v>
      </c>
      <c r="M354" s="3330">
        <v>46269</v>
      </c>
      <c r="N354" s="3331">
        <v>46265</v>
      </c>
      <c r="O354" s="3332"/>
      <c r="P354" s="3208"/>
      <c r="Q354" s="3208"/>
      <c r="R354" s="3210">
        <f t="shared" si="525"/>
        <v>-536</v>
      </c>
      <c r="S354" s="3333" t="s">
        <v>2297</v>
      </c>
      <c r="T354" s="3225" t="s">
        <v>321</v>
      </c>
      <c r="U354" s="3334"/>
      <c r="V354" s="3332"/>
      <c r="W354" s="3335" t="s">
        <v>4331</v>
      </c>
      <c r="X354" s="3336"/>
      <c r="Y354" s="3335" t="s">
        <v>98</v>
      </c>
      <c r="Z354" s="3335" t="s">
        <v>7616</v>
      </c>
      <c r="AA354" s="3336"/>
      <c r="AB354" s="3326" t="s">
        <v>10139</v>
      </c>
      <c r="AC354" s="3329" t="s">
        <v>1607</v>
      </c>
      <c r="AD354" s="3338">
        <v>2.4759</v>
      </c>
      <c r="AE354" s="3339">
        <f t="shared" si="531"/>
        <v>1327.0824</v>
      </c>
      <c r="AF354" s="3329"/>
      <c r="AG354" s="3329" t="s">
        <v>9154</v>
      </c>
      <c r="AH354" s="3340" t="s">
        <v>416</v>
      </c>
      <c r="AI354" s="3341"/>
      <c r="AJ354" s="3108">
        <f>I354</f>
        <v>536</v>
      </c>
      <c r="AK354" s="3112"/>
      <c r="AL354" s="3108"/>
      <c r="AM354" s="3112"/>
      <c r="AN354" s="3108"/>
      <c r="AO354" s="3113"/>
      <c r="AP354" s="3096">
        <f t="shared" si="527"/>
        <v>536</v>
      </c>
      <c r="AQ354" s="3096"/>
      <c r="AR354" s="3096"/>
      <c r="AS354" s="3342"/>
      <c r="AT354" s="3121"/>
      <c r="AU354" s="3113"/>
      <c r="AV354" s="3113"/>
      <c r="AW354" s="3122"/>
      <c r="AX354" s="3343">
        <f t="shared" si="539"/>
        <v>134</v>
      </c>
      <c r="AY354" s="3344">
        <f t="shared" si="540"/>
        <v>134</v>
      </c>
      <c r="AZ354" s="3344">
        <f t="shared" si="541"/>
        <v>134</v>
      </c>
      <c r="BA354" s="3345">
        <f t="shared" si="542"/>
        <v>134</v>
      </c>
      <c r="BB354" s="3346"/>
      <c r="BC354" s="3096"/>
      <c r="BD354" s="3096"/>
      <c r="BE354" s="3096"/>
      <c r="BF354" s="3096"/>
      <c r="BG354" s="3096"/>
      <c r="BH354" s="3096"/>
      <c r="BI354" s="3096"/>
      <c r="BJ354" s="3096">
        <f t="shared" si="538"/>
        <v>536</v>
      </c>
      <c r="BK354" s="3096"/>
      <c r="BL354" s="3347" t="s">
        <v>9164</v>
      </c>
      <c r="BM354" s="3113"/>
      <c r="BN354" s="3096">
        <f t="shared" si="547"/>
        <v>134</v>
      </c>
      <c r="BO354" s="3096">
        <f t="shared" si="548"/>
        <v>134</v>
      </c>
      <c r="BP354" s="3096">
        <f t="shared" si="549"/>
        <v>134</v>
      </c>
      <c r="BQ354" s="3356">
        <f t="shared" si="550"/>
        <v>134</v>
      </c>
      <c r="BR354" s="3351">
        <f t="shared" si="551"/>
        <v>0</v>
      </c>
      <c r="BS354" s="3356"/>
      <c r="BT354" s="3356"/>
      <c r="BU354" s="3356"/>
      <c r="BV354" s="3356"/>
      <c r="BW354" s="3356"/>
      <c r="BX354" s="3356"/>
    </row>
    <row r="355" s="3039" customFormat="1" ht="32" customHeight="1" spans="1:76 16369:16384">
      <c r="A355" s="3378">
        <v>46233</v>
      </c>
      <c r="B355" s="3379" t="s">
        <v>10144</v>
      </c>
      <c r="C355" s="3380" t="s">
        <v>396</v>
      </c>
      <c r="D355" s="3381">
        <v>4500218248</v>
      </c>
      <c r="E355" s="3337">
        <v>40370248</v>
      </c>
      <c r="F355" s="3381" t="s">
        <v>10145</v>
      </c>
      <c r="G355" s="3382" t="s">
        <v>9355</v>
      </c>
      <c r="H355" s="3328" t="s">
        <v>9356</v>
      </c>
      <c r="I355" s="3340">
        <v>904</v>
      </c>
      <c r="J355" s="3340">
        <v>0</v>
      </c>
      <c r="K355" s="3340">
        <v>8</v>
      </c>
      <c r="L355" s="3340">
        <f t="shared" si="534"/>
        <v>113</v>
      </c>
      <c r="M355" s="3383">
        <v>46269</v>
      </c>
      <c r="N355" s="3383">
        <v>46265</v>
      </c>
      <c r="O355" s="3385"/>
      <c r="P355" s="3385"/>
      <c r="Q355" s="3208"/>
      <c r="R355" s="3210">
        <f t="shared" si="525"/>
        <v>-904</v>
      </c>
      <c r="S355" s="3333" t="s">
        <v>2297</v>
      </c>
      <c r="T355" s="3333" t="s">
        <v>321</v>
      </c>
      <c r="U355" s="3387"/>
      <c r="V355" s="3385"/>
      <c r="W355" s="3328" t="s">
        <v>7561</v>
      </c>
      <c r="X355" s="3335"/>
      <c r="Y355" s="3385" t="s">
        <v>10146</v>
      </c>
      <c r="Z355" s="3335"/>
      <c r="AA355" s="3335"/>
      <c r="AB355" s="3337" t="s">
        <v>10147</v>
      </c>
      <c r="AC355" s="3340" t="s">
        <v>10148</v>
      </c>
      <c r="AD355" s="3415">
        <v>4.2718</v>
      </c>
      <c r="AE355" s="3389">
        <f t="shared" si="531"/>
        <v>3861.7072</v>
      </c>
      <c r="AF355" s="3340"/>
      <c r="AG355" s="3174" t="s">
        <v>9359</v>
      </c>
      <c r="AH355" s="3340" t="s">
        <v>416</v>
      </c>
      <c r="AI355" s="3390"/>
      <c r="AJ355" s="3391"/>
      <c r="AK355" s="3103"/>
      <c r="AL355" s="3391">
        <f>I355</f>
        <v>904</v>
      </c>
      <c r="AM355" s="3102"/>
      <c r="AN355" s="3347"/>
      <c r="AO355" s="3102"/>
      <c r="AP355" s="3416">
        <f t="shared" si="527"/>
        <v>904</v>
      </c>
      <c r="AQ355" s="3417"/>
      <c r="AR355" s="3347"/>
      <c r="AS355" s="3347"/>
      <c r="AT355" s="3117"/>
      <c r="AU355" s="3418"/>
      <c r="AV355" s="3102"/>
      <c r="AW355" s="3102"/>
      <c r="AX355" s="3343">
        <f t="shared" si="539"/>
        <v>226</v>
      </c>
      <c r="AY355" s="3344">
        <f t="shared" si="540"/>
        <v>226</v>
      </c>
      <c r="AZ355" s="3344">
        <f t="shared" si="541"/>
        <v>226</v>
      </c>
      <c r="BA355" s="3345">
        <f t="shared" si="542"/>
        <v>226</v>
      </c>
      <c r="BB355" s="3347"/>
      <c r="BC355" s="3347"/>
      <c r="BD355" s="3347"/>
      <c r="BE355" s="3347"/>
      <c r="BF355" s="3347"/>
      <c r="BG355" s="3347"/>
      <c r="BH355" s="3401"/>
      <c r="BI355" s="3401"/>
      <c r="BJ355" s="3347"/>
      <c r="BK355" s="3401">
        <f>I355</f>
        <v>904</v>
      </c>
      <c r="BL355" s="3401" t="s">
        <v>9164</v>
      </c>
      <c r="BM355" s="3118"/>
      <c r="BN355" s="3401">
        <f t="shared" si="547"/>
        <v>226</v>
      </c>
      <c r="BO355" s="3401">
        <f t="shared" si="548"/>
        <v>226</v>
      </c>
      <c r="BP355" s="3402">
        <f t="shared" si="549"/>
        <v>226</v>
      </c>
      <c r="BQ355" s="3404">
        <f t="shared" si="550"/>
        <v>226</v>
      </c>
      <c r="BR355" s="3404">
        <f t="shared" si="551"/>
        <v>0</v>
      </c>
      <c r="BS355" s="3041"/>
      <c r="BT355" s="3041"/>
      <c r="BU355" s="3041"/>
      <c r="BV355" s="3041"/>
      <c r="BW355" s="3041"/>
      <c r="BX355" s="3041"/>
      <c r="XEW355" s="3378"/>
      <c r="XEX355" s="3379"/>
      <c r="XEY355" s="3380"/>
      <c r="XEZ355" s="3381"/>
      <c r="XFA355" s="3337"/>
      <c r="XFB355" s="3381"/>
      <c r="XFC355" s="3382"/>
      <c r="XFD355" s="3328"/>
    </row>
    <row r="356" s="3039" customFormat="1" ht="32" customHeight="1" spans="1:76 16369:16384">
      <c r="A356" s="3378">
        <v>46233</v>
      </c>
      <c r="B356" s="3379" t="s">
        <v>10144</v>
      </c>
      <c r="C356" s="3380" t="s">
        <v>396</v>
      </c>
      <c r="D356" s="3381">
        <v>4500218248</v>
      </c>
      <c r="E356" s="3337">
        <v>40370219</v>
      </c>
      <c r="F356" s="3381" t="s">
        <v>10149</v>
      </c>
      <c r="G356" s="3382" t="s">
        <v>9355</v>
      </c>
      <c r="H356" s="3328" t="s">
        <v>9356</v>
      </c>
      <c r="I356" s="3340">
        <v>296</v>
      </c>
      <c r="J356" s="3340">
        <v>0</v>
      </c>
      <c r="K356" s="3340">
        <v>8</v>
      </c>
      <c r="L356" s="3340">
        <f t="shared" si="534"/>
        <v>37</v>
      </c>
      <c r="M356" s="3383">
        <v>46269</v>
      </c>
      <c r="N356" s="3383">
        <v>46265</v>
      </c>
      <c r="O356" s="3385"/>
      <c r="P356" s="3385"/>
      <c r="Q356" s="3208"/>
      <c r="R356" s="3210">
        <f t="shared" si="525"/>
        <v>-296</v>
      </c>
      <c r="S356" s="3333" t="s">
        <v>2297</v>
      </c>
      <c r="T356" s="3333" t="s">
        <v>321</v>
      </c>
      <c r="U356" s="3387"/>
      <c r="V356" s="3385"/>
      <c r="W356" s="3328" t="s">
        <v>7561</v>
      </c>
      <c r="X356" s="3335"/>
      <c r="Y356" s="3385" t="s">
        <v>10146</v>
      </c>
      <c r="Z356" s="3335"/>
      <c r="AA356" s="3335"/>
      <c r="AB356" s="3337" t="s">
        <v>10147</v>
      </c>
      <c r="AC356" s="3340" t="s">
        <v>10148</v>
      </c>
      <c r="AD356" s="3415">
        <v>4.2718</v>
      </c>
      <c r="AE356" s="3389">
        <f t="shared" si="531"/>
        <v>1264.4528</v>
      </c>
      <c r="AF356" s="3340"/>
      <c r="AG356" s="3174" t="s">
        <v>9359</v>
      </c>
      <c r="AH356" s="3340" t="s">
        <v>416</v>
      </c>
      <c r="AI356" s="3390"/>
      <c r="AJ356" s="3391"/>
      <c r="AK356" s="3103"/>
      <c r="AL356" s="3391">
        <f>I356</f>
        <v>296</v>
      </c>
      <c r="AM356" s="3102"/>
      <c r="AN356" s="3347"/>
      <c r="AO356" s="3102"/>
      <c r="AP356" s="3416">
        <f t="shared" si="527"/>
        <v>296</v>
      </c>
      <c r="AQ356" s="3417"/>
      <c r="AR356" s="3347"/>
      <c r="AS356" s="3347"/>
      <c r="AT356" s="3117"/>
      <c r="AU356" s="3418"/>
      <c r="AV356" s="3102"/>
      <c r="AW356" s="3102"/>
      <c r="AX356" s="3343">
        <f t="shared" si="539"/>
        <v>74</v>
      </c>
      <c r="AY356" s="3344">
        <f t="shared" si="540"/>
        <v>74</v>
      </c>
      <c r="AZ356" s="3344">
        <f t="shared" si="541"/>
        <v>74</v>
      </c>
      <c r="BA356" s="3345">
        <f t="shared" si="542"/>
        <v>74</v>
      </c>
      <c r="BB356" s="3347"/>
      <c r="BC356" s="3347"/>
      <c r="BD356" s="3347"/>
      <c r="BE356" s="3347"/>
      <c r="BF356" s="3347"/>
      <c r="BG356" s="3347"/>
      <c r="BH356" s="3401"/>
      <c r="BI356" s="3401"/>
      <c r="BJ356" s="3347"/>
      <c r="BK356" s="3401">
        <f>I356</f>
        <v>296</v>
      </c>
      <c r="BL356" s="3401" t="s">
        <v>9164</v>
      </c>
      <c r="BM356" s="3118"/>
      <c r="BN356" s="3401">
        <f t="shared" si="547"/>
        <v>74</v>
      </c>
      <c r="BO356" s="3401">
        <f t="shared" si="548"/>
        <v>74</v>
      </c>
      <c r="BP356" s="3402">
        <f t="shared" si="549"/>
        <v>74</v>
      </c>
      <c r="BQ356" s="3404">
        <f t="shared" si="550"/>
        <v>74</v>
      </c>
      <c r="BR356" s="3404">
        <f t="shared" si="551"/>
        <v>0</v>
      </c>
      <c r="BS356" s="3041"/>
      <c r="BT356" s="3041"/>
      <c r="BU356" s="3041"/>
      <c r="BV356" s="3041"/>
      <c r="BW356" s="3041"/>
      <c r="BX356" s="3041"/>
      <c r="XEW356" s="3378"/>
      <c r="XEX356" s="3379"/>
      <c r="XEY356" s="3380"/>
      <c r="XEZ356" s="3381"/>
      <c r="XFA356" s="3337"/>
      <c r="XFB356" s="3381"/>
      <c r="XFC356" s="3382"/>
      <c r="XFD356" s="3328"/>
    </row>
    <row r="357" s="3039" customFormat="1" ht="32" customHeight="1" spans="1:76 16369:16384">
      <c r="A357" s="3378">
        <v>46233</v>
      </c>
      <c r="B357" s="3379" t="s">
        <v>10144</v>
      </c>
      <c r="C357" s="3380" t="s">
        <v>396</v>
      </c>
      <c r="D357" s="3381">
        <v>4500218248</v>
      </c>
      <c r="E357" s="3337">
        <v>40370239</v>
      </c>
      <c r="F357" s="3381" t="s">
        <v>10150</v>
      </c>
      <c r="G357" s="3382" t="s">
        <v>9355</v>
      </c>
      <c r="H357" s="3328" t="s">
        <v>9356</v>
      </c>
      <c r="I357" s="3340">
        <v>600</v>
      </c>
      <c r="J357" s="3340">
        <v>0</v>
      </c>
      <c r="K357" s="3340">
        <v>8</v>
      </c>
      <c r="L357" s="3340">
        <f t="shared" si="534"/>
        <v>75</v>
      </c>
      <c r="M357" s="3383">
        <v>46269</v>
      </c>
      <c r="N357" s="3383">
        <v>46265</v>
      </c>
      <c r="O357" s="3385"/>
      <c r="P357" s="3385"/>
      <c r="Q357" s="3208"/>
      <c r="R357" s="3210">
        <f t="shared" si="525"/>
        <v>-600</v>
      </c>
      <c r="S357" s="3333" t="s">
        <v>2297</v>
      </c>
      <c r="T357" s="3333" t="s">
        <v>321</v>
      </c>
      <c r="U357" s="3387"/>
      <c r="V357" s="3385"/>
      <c r="W357" s="3328" t="s">
        <v>7561</v>
      </c>
      <c r="X357" s="3335"/>
      <c r="Y357" s="3385" t="s">
        <v>10146</v>
      </c>
      <c r="Z357" s="3335"/>
      <c r="AA357" s="3335"/>
      <c r="AB357" s="3337" t="s">
        <v>10147</v>
      </c>
      <c r="AC357" s="3340" t="s">
        <v>10148</v>
      </c>
      <c r="AD357" s="3415">
        <v>4.2718</v>
      </c>
      <c r="AE357" s="3389">
        <f t="shared" si="531"/>
        <v>2563.08</v>
      </c>
      <c r="AF357" s="3340"/>
      <c r="AG357" s="3174" t="s">
        <v>9359</v>
      </c>
      <c r="AH357" s="3340" t="s">
        <v>416</v>
      </c>
      <c r="AI357" s="3390"/>
      <c r="AJ357" s="3391"/>
      <c r="AK357" s="3103"/>
      <c r="AL357" s="3391">
        <f>I357</f>
        <v>600</v>
      </c>
      <c r="AM357" s="3102"/>
      <c r="AN357" s="3347"/>
      <c r="AO357" s="3102"/>
      <c r="AP357" s="3416">
        <f t="shared" si="527"/>
        <v>600</v>
      </c>
      <c r="AQ357" s="3417"/>
      <c r="AR357" s="3347"/>
      <c r="AS357" s="3347"/>
      <c r="AT357" s="3117"/>
      <c r="AU357" s="3418"/>
      <c r="AV357" s="3102"/>
      <c r="AW357" s="3102"/>
      <c r="AX357" s="3343">
        <f t="shared" si="539"/>
        <v>150</v>
      </c>
      <c r="AY357" s="3344">
        <f t="shared" si="540"/>
        <v>150</v>
      </c>
      <c r="AZ357" s="3344">
        <f t="shared" si="541"/>
        <v>150</v>
      </c>
      <c r="BA357" s="3345">
        <f t="shared" si="542"/>
        <v>150</v>
      </c>
      <c r="BB357" s="3347"/>
      <c r="BC357" s="3347"/>
      <c r="BD357" s="3347"/>
      <c r="BE357" s="3347"/>
      <c r="BF357" s="3347"/>
      <c r="BG357" s="3347"/>
      <c r="BH357" s="3401"/>
      <c r="BI357" s="3401"/>
      <c r="BJ357" s="3347"/>
      <c r="BK357" s="3401">
        <f>I357</f>
        <v>600</v>
      </c>
      <c r="BL357" s="3401" t="s">
        <v>9164</v>
      </c>
      <c r="BM357" s="3118"/>
      <c r="BN357" s="3401">
        <f t="shared" si="547"/>
        <v>150</v>
      </c>
      <c r="BO357" s="3401">
        <f t="shared" si="548"/>
        <v>150</v>
      </c>
      <c r="BP357" s="3402">
        <f t="shared" si="549"/>
        <v>150</v>
      </c>
      <c r="BQ357" s="3404">
        <f t="shared" si="550"/>
        <v>150</v>
      </c>
      <c r="BR357" s="3404">
        <f t="shared" si="551"/>
        <v>0</v>
      </c>
      <c r="BS357" s="3041"/>
      <c r="BT357" s="3041"/>
      <c r="BU357" s="3041"/>
      <c r="BV357" s="3041"/>
      <c r="BW357" s="3041"/>
      <c r="BX357" s="3041"/>
      <c r="XEW357" s="3378"/>
      <c r="XEX357" s="3379"/>
      <c r="XEY357" s="3380"/>
      <c r="XEZ357" s="3381"/>
      <c r="XFA357" s="3337"/>
      <c r="XFB357" s="3381"/>
      <c r="XFC357" s="3382"/>
      <c r="XFD357" s="3328"/>
    </row>
    <row r="358" s="3039" customFormat="1" ht="32" customHeight="1" spans="1:76 16369:16384">
      <c r="A358" s="3378">
        <v>46233</v>
      </c>
      <c r="B358" s="3379" t="s">
        <v>10144</v>
      </c>
      <c r="C358" s="3380" t="s">
        <v>396</v>
      </c>
      <c r="D358" s="3381">
        <v>4500218248</v>
      </c>
      <c r="E358" s="3337">
        <v>40370241</v>
      </c>
      <c r="F358" s="3381" t="s">
        <v>10151</v>
      </c>
      <c r="G358" s="3382" t="s">
        <v>9355</v>
      </c>
      <c r="H358" s="3328" t="s">
        <v>9356</v>
      </c>
      <c r="I358" s="3340">
        <v>200</v>
      </c>
      <c r="J358" s="3340">
        <v>0</v>
      </c>
      <c r="K358" s="3340">
        <v>8</v>
      </c>
      <c r="L358" s="3340">
        <f t="shared" si="534"/>
        <v>25</v>
      </c>
      <c r="M358" s="3383">
        <v>46269</v>
      </c>
      <c r="N358" s="3383">
        <v>46265</v>
      </c>
      <c r="O358" s="3385"/>
      <c r="P358" s="3385"/>
      <c r="Q358" s="3208"/>
      <c r="R358" s="3210">
        <f t="shared" si="525"/>
        <v>-200</v>
      </c>
      <c r="S358" s="3333" t="s">
        <v>2297</v>
      </c>
      <c r="T358" s="3333" t="s">
        <v>321</v>
      </c>
      <c r="U358" s="3387"/>
      <c r="V358" s="3385"/>
      <c r="W358" s="3328" t="s">
        <v>7561</v>
      </c>
      <c r="X358" s="3335"/>
      <c r="Y358" s="3385" t="s">
        <v>10146</v>
      </c>
      <c r="Z358" s="3335"/>
      <c r="AA358" s="3335"/>
      <c r="AB358" s="3337" t="s">
        <v>10147</v>
      </c>
      <c r="AC358" s="3340" t="s">
        <v>10148</v>
      </c>
      <c r="AD358" s="3415">
        <v>4.2718</v>
      </c>
      <c r="AE358" s="3389">
        <f t="shared" si="531"/>
        <v>854.36</v>
      </c>
      <c r="AF358" s="3340"/>
      <c r="AG358" s="3174" t="s">
        <v>9359</v>
      </c>
      <c r="AH358" s="3340" t="s">
        <v>416</v>
      </c>
      <c r="AI358" s="3390"/>
      <c r="AJ358" s="3391"/>
      <c r="AK358" s="3103"/>
      <c r="AL358" s="3391">
        <f>I358</f>
        <v>200</v>
      </c>
      <c r="AM358" s="3102"/>
      <c r="AN358" s="3347"/>
      <c r="AO358" s="3102"/>
      <c r="AP358" s="3416">
        <f t="shared" si="527"/>
        <v>200</v>
      </c>
      <c r="AQ358" s="3417"/>
      <c r="AR358" s="3347"/>
      <c r="AS358" s="3347"/>
      <c r="AT358" s="3117"/>
      <c r="AU358" s="3418"/>
      <c r="AV358" s="3102"/>
      <c r="AW358" s="3102"/>
      <c r="AX358" s="3343">
        <f t="shared" si="539"/>
        <v>50</v>
      </c>
      <c r="AY358" s="3344">
        <f t="shared" si="540"/>
        <v>50</v>
      </c>
      <c r="AZ358" s="3344">
        <f t="shared" si="541"/>
        <v>50</v>
      </c>
      <c r="BA358" s="3345">
        <f t="shared" si="542"/>
        <v>50</v>
      </c>
      <c r="BB358" s="3347"/>
      <c r="BC358" s="3347"/>
      <c r="BD358" s="3347"/>
      <c r="BE358" s="3347"/>
      <c r="BF358" s="3347"/>
      <c r="BG358" s="3347"/>
      <c r="BH358" s="3401"/>
      <c r="BI358" s="3401"/>
      <c r="BJ358" s="3347"/>
      <c r="BK358" s="3401">
        <f>I358</f>
        <v>200</v>
      </c>
      <c r="BL358" s="3401" t="s">
        <v>9164</v>
      </c>
      <c r="BM358" s="3118"/>
      <c r="BN358" s="3401">
        <f t="shared" si="547"/>
        <v>50</v>
      </c>
      <c r="BO358" s="3401">
        <f t="shared" si="548"/>
        <v>50</v>
      </c>
      <c r="BP358" s="3402">
        <f t="shared" si="549"/>
        <v>50</v>
      </c>
      <c r="BQ358" s="3404">
        <f t="shared" si="550"/>
        <v>50</v>
      </c>
      <c r="BR358" s="3404">
        <f t="shared" si="551"/>
        <v>0</v>
      </c>
      <c r="BS358" s="3041"/>
      <c r="BT358" s="3041"/>
      <c r="BU358" s="3041"/>
      <c r="BV358" s="3041"/>
      <c r="BW358" s="3041"/>
      <c r="BX358" s="3041"/>
      <c r="XEW358" s="3378"/>
      <c r="XEX358" s="3379"/>
      <c r="XEY358" s="3380"/>
      <c r="XEZ358" s="3381"/>
      <c r="XFA358" s="3337"/>
      <c r="XFB358" s="3381"/>
      <c r="XFC358" s="3382"/>
      <c r="XFD358" s="3328"/>
    </row>
    <row r="359" s="3039" customFormat="1" ht="32" customHeight="1" spans="1:76 16369:16384">
      <c r="A359" s="3378">
        <v>46232</v>
      </c>
      <c r="B359" s="3379" t="s">
        <v>9072</v>
      </c>
      <c r="C359" s="3380" t="s">
        <v>91</v>
      </c>
      <c r="D359" s="3381">
        <v>4500218039</v>
      </c>
      <c r="E359" s="3337"/>
      <c r="F359" s="3381" t="s">
        <v>10152</v>
      </c>
      <c r="G359" s="3382" t="s">
        <v>9154</v>
      </c>
      <c r="H359" s="3328" t="s">
        <v>9155</v>
      </c>
      <c r="I359" s="3340">
        <v>208</v>
      </c>
      <c r="J359" s="3340">
        <v>0</v>
      </c>
      <c r="K359" s="3340">
        <v>8</v>
      </c>
      <c r="L359" s="3340">
        <f t="shared" si="534"/>
        <v>26</v>
      </c>
      <c r="M359" s="3383">
        <v>46276</v>
      </c>
      <c r="N359" s="3384">
        <v>46272</v>
      </c>
      <c r="O359" s="3385"/>
      <c r="P359" s="3386"/>
      <c r="Q359" s="3208"/>
      <c r="R359" s="3210">
        <f t="shared" si="525"/>
        <v>-208</v>
      </c>
      <c r="S359" s="3333"/>
      <c r="T359" s="3333" t="s">
        <v>321</v>
      </c>
      <c r="U359" s="3387"/>
      <c r="V359" s="3385"/>
      <c r="W359" s="3335" t="s">
        <v>7625</v>
      </c>
      <c r="X359" s="3335"/>
      <c r="Y359" s="3335" t="s">
        <v>98</v>
      </c>
      <c r="Z359" s="3335"/>
      <c r="AA359" s="3335"/>
      <c r="AB359" s="3337" t="s">
        <v>10153</v>
      </c>
      <c r="AC359" s="3340" t="s">
        <v>10154</v>
      </c>
      <c r="AD359" s="3388">
        <v>2.5768</v>
      </c>
      <c r="AE359" s="3389">
        <f t="shared" si="531"/>
        <v>535.9744</v>
      </c>
      <c r="AF359" s="3340"/>
      <c r="AG359" s="3329" t="s">
        <v>9154</v>
      </c>
      <c r="AH359" s="3340" t="s">
        <v>416</v>
      </c>
      <c r="AI359" s="3390"/>
      <c r="AJ359" s="3391">
        <f>I359</f>
        <v>208</v>
      </c>
      <c r="AK359" s="3112"/>
      <c r="AL359" s="3391"/>
      <c r="AM359" s="3113"/>
      <c r="AN359" s="3347"/>
      <c r="AO359" s="3113"/>
      <c r="AP359" s="3416">
        <f t="shared" si="527"/>
        <v>208</v>
      </c>
      <c r="AQ359" s="3419"/>
      <c r="AR359" s="3398"/>
      <c r="AS359" s="3398"/>
      <c r="AT359" s="3365"/>
      <c r="AU359" s="3366"/>
      <c r="AV359" s="3113"/>
      <c r="AW359" s="3113"/>
      <c r="AX359" s="3343">
        <f t="shared" si="539"/>
        <v>52</v>
      </c>
      <c r="AY359" s="3344">
        <f t="shared" si="540"/>
        <v>52</v>
      </c>
      <c r="AZ359" s="3344">
        <f t="shared" si="541"/>
        <v>52</v>
      </c>
      <c r="BA359" s="3345">
        <f t="shared" si="542"/>
        <v>52</v>
      </c>
      <c r="BB359" s="3347"/>
      <c r="BC359" s="3347"/>
      <c r="BD359" s="3347"/>
      <c r="BE359" s="3347"/>
      <c r="BF359" s="3347"/>
      <c r="BG359" s="3347"/>
      <c r="BH359" s="3347"/>
      <c r="BI359" s="3401"/>
      <c r="BJ359" s="3347">
        <f>I359</f>
        <v>208</v>
      </c>
      <c r="BK359" s="3401"/>
      <c r="BL359" s="3401" t="s">
        <v>9164</v>
      </c>
      <c r="BM359" s="3420"/>
      <c r="BN359" s="3401">
        <f t="shared" si="547"/>
        <v>52</v>
      </c>
      <c r="BO359" s="3401">
        <f t="shared" si="548"/>
        <v>52</v>
      </c>
      <c r="BP359" s="3402">
        <f t="shared" si="549"/>
        <v>52</v>
      </c>
      <c r="BQ359" s="3404">
        <f t="shared" si="550"/>
        <v>52</v>
      </c>
      <c r="BR359" s="3404">
        <f t="shared" si="551"/>
        <v>0</v>
      </c>
      <c r="BS359" s="3041"/>
      <c r="BT359" s="3041"/>
      <c r="BU359" s="3041"/>
      <c r="BV359" s="3041"/>
      <c r="BW359" s="3041"/>
      <c r="BX359" s="3041"/>
      <c r="XEW359" s="3378"/>
      <c r="XEX359" s="3379"/>
      <c r="XEY359" s="3380"/>
      <c r="XEZ359" s="3381"/>
      <c r="XFA359" s="3337"/>
      <c r="XFB359" s="3381"/>
      <c r="XFC359" s="3382"/>
      <c r="XFD359" s="3328"/>
    </row>
    <row r="360" s="3040" customFormat="1" ht="32" customHeight="1" spans="1:76 16369:16384">
      <c r="A360" s="3421">
        <v>46245</v>
      </c>
      <c r="B360" s="3422" t="s">
        <v>10155</v>
      </c>
      <c r="C360" s="3423" t="s">
        <v>1193</v>
      </c>
      <c r="D360" s="3424" t="s">
        <v>10156</v>
      </c>
      <c r="E360" s="3425"/>
      <c r="F360" s="3424" t="s">
        <v>10157</v>
      </c>
      <c r="G360" s="3426" t="s">
        <v>9154</v>
      </c>
      <c r="H360" s="3427" t="s">
        <v>9155</v>
      </c>
      <c r="I360" s="3428">
        <v>160</v>
      </c>
      <c r="J360" s="3428">
        <v>0</v>
      </c>
      <c r="K360" s="3428">
        <v>8</v>
      </c>
      <c r="L360" s="3428">
        <f t="shared" si="534"/>
        <v>20</v>
      </c>
      <c r="M360" s="3429">
        <v>46279</v>
      </c>
      <c r="N360" s="3430">
        <v>46275</v>
      </c>
      <c r="O360" s="3431"/>
      <c r="P360" s="3432"/>
      <c r="Q360" s="3433"/>
      <c r="R360" s="3434"/>
      <c r="S360" s="3435"/>
      <c r="T360" s="3333" t="s">
        <v>321</v>
      </c>
      <c r="U360" s="3436"/>
      <c r="V360" s="3431"/>
      <c r="W360" s="3437" t="s">
        <v>2016</v>
      </c>
      <c r="X360" s="3437"/>
      <c r="Y360" s="3437" t="s">
        <v>10158</v>
      </c>
      <c r="Z360" s="3437"/>
      <c r="AA360" s="3437"/>
      <c r="AB360" s="3425" t="s">
        <v>10159</v>
      </c>
      <c r="AC360" s="3428" t="s">
        <v>10160</v>
      </c>
      <c r="AD360" s="3438">
        <v>4.2947</v>
      </c>
      <c r="AE360" s="3439">
        <f t="shared" si="531"/>
        <v>687.152</v>
      </c>
      <c r="AF360" s="3428"/>
      <c r="AG360" s="3329" t="s">
        <v>9154</v>
      </c>
      <c r="AH360" s="3428" t="s">
        <v>416</v>
      </c>
      <c r="AI360" s="3440"/>
      <c r="AJ360" s="3441">
        <f>I360</f>
        <v>160</v>
      </c>
      <c r="AK360" s="3112"/>
      <c r="AL360" s="3441"/>
      <c r="AM360" s="3113"/>
      <c r="AN360" s="3442"/>
      <c r="AO360" s="3113"/>
      <c r="AP360" s="3443">
        <f t="shared" si="527"/>
        <v>160</v>
      </c>
      <c r="AQ360" s="3444"/>
      <c r="AR360" s="3445"/>
      <c r="AS360" s="3445"/>
      <c r="AT360" s="3365"/>
      <c r="AU360" s="3366"/>
      <c r="AV360" s="3113"/>
      <c r="AW360" s="3113"/>
      <c r="AX360" s="3446">
        <f t="shared" si="539"/>
        <v>40</v>
      </c>
      <c r="AY360" s="3447">
        <f t="shared" si="540"/>
        <v>40</v>
      </c>
      <c r="AZ360" s="3447">
        <f t="shared" si="541"/>
        <v>40</v>
      </c>
      <c r="BA360" s="3448">
        <f t="shared" si="542"/>
        <v>40</v>
      </c>
      <c r="BB360" s="3442"/>
      <c r="BC360" s="3442"/>
      <c r="BD360" s="3442"/>
      <c r="BE360" s="3442"/>
      <c r="BF360" s="3442"/>
      <c r="BG360" s="3442"/>
      <c r="BH360" s="3442"/>
      <c r="BI360" s="3449"/>
      <c r="BJ360" s="3442">
        <f>I360</f>
        <v>160</v>
      </c>
      <c r="BK360" s="3449"/>
      <c r="BL360" s="3449" t="s">
        <v>9164</v>
      </c>
      <c r="BM360" s="3420"/>
      <c r="BN360" s="3449">
        <f t="shared" si="547"/>
        <v>40</v>
      </c>
      <c r="BO360" s="3449">
        <f t="shared" si="548"/>
        <v>40</v>
      </c>
      <c r="BP360" s="3450">
        <f t="shared" si="549"/>
        <v>40</v>
      </c>
      <c r="BQ360" s="3451">
        <f t="shared" si="550"/>
        <v>40</v>
      </c>
      <c r="BR360" s="3451">
        <f t="shared" si="551"/>
        <v>0</v>
      </c>
      <c r="BS360" s="3452"/>
      <c r="BT360" s="3452"/>
      <c r="BU360" s="3452"/>
      <c r="BV360" s="3452"/>
      <c r="BW360" s="3452"/>
      <c r="BX360" s="3452"/>
      <c r="XEW360" s="3421"/>
      <c r="XEX360" s="3422"/>
      <c r="XEY360" s="3423"/>
      <c r="XEZ360" s="3424"/>
      <c r="XFA360" s="3425"/>
      <c r="XFB360" s="3424"/>
      <c r="XFC360" s="3426"/>
      <c r="XFD360" s="3427"/>
    </row>
    <row r="361" s="3037" customFormat="1" ht="32" customHeight="1" spans="1:76 16369:16384">
      <c r="A361" s="3322">
        <v>46205</v>
      </c>
      <c r="B361" s="3323" t="s">
        <v>1206</v>
      </c>
      <c r="C361" s="3324" t="s">
        <v>2580</v>
      </c>
      <c r="D361" s="3325" t="s">
        <v>10161</v>
      </c>
      <c r="E361" s="3326" t="s">
        <v>2434</v>
      </c>
      <c r="F361" s="3325" t="s">
        <v>10162</v>
      </c>
      <c r="G361" s="3327" t="s">
        <v>9255</v>
      </c>
      <c r="H361" s="3350" t="s">
        <v>9098</v>
      </c>
      <c r="I361" s="3329">
        <v>1504</v>
      </c>
      <c r="J361" s="3329">
        <v>0</v>
      </c>
      <c r="K361" s="3329">
        <v>8</v>
      </c>
      <c r="L361" s="3329">
        <f t="shared" si="534"/>
        <v>188</v>
      </c>
      <c r="M361" s="3330">
        <v>46283</v>
      </c>
      <c r="N361" s="3331">
        <v>46279</v>
      </c>
      <c r="O361" s="3332"/>
      <c r="P361" s="3208"/>
      <c r="Q361" s="3208"/>
      <c r="R361" s="3210">
        <f>Q361-I361</f>
        <v>-1504</v>
      </c>
      <c r="S361" s="3453"/>
      <c r="T361" s="3225" t="s">
        <v>321</v>
      </c>
      <c r="U361" s="3334"/>
      <c r="V361" s="3332"/>
      <c r="W361" s="3335" t="s">
        <v>1628</v>
      </c>
      <c r="X361" s="3336"/>
      <c r="Y361" s="3335" t="s">
        <v>2508</v>
      </c>
      <c r="Z361" s="3335"/>
      <c r="AA361" s="3336"/>
      <c r="AB361" s="3326" t="s">
        <v>10163</v>
      </c>
      <c r="AC361" s="3329" t="s">
        <v>8935</v>
      </c>
      <c r="AD361" s="3338">
        <v>4.0075</v>
      </c>
      <c r="AE361" s="3339">
        <f t="shared" si="531"/>
        <v>6027.28</v>
      </c>
      <c r="AF361" s="3329"/>
      <c r="AG361" s="3327" t="s">
        <v>9255</v>
      </c>
      <c r="AH361" s="3340" t="s">
        <v>416</v>
      </c>
      <c r="AI361" s="3341"/>
      <c r="AJ361" s="3108">
        <f>I361</f>
        <v>1504</v>
      </c>
      <c r="AK361" s="3112"/>
      <c r="AL361" s="3108"/>
      <c r="AM361" s="3112"/>
      <c r="AN361" s="3108"/>
      <c r="AO361" s="3113"/>
      <c r="AP361" s="3096">
        <f t="shared" si="527"/>
        <v>1504</v>
      </c>
      <c r="AQ361" s="3096"/>
      <c r="AR361" s="3096"/>
      <c r="AS361" s="3342"/>
      <c r="AT361" s="3121"/>
      <c r="AU361" s="3113"/>
      <c r="AV361" s="3113"/>
      <c r="AW361" s="3122"/>
      <c r="AX361" s="3343">
        <f>I361</f>
        <v>1504</v>
      </c>
      <c r="AY361" s="3344"/>
      <c r="AZ361" s="3344"/>
      <c r="BA361" s="3345"/>
      <c r="BB361" s="3346"/>
      <c r="BC361" s="3096"/>
      <c r="BD361" s="3096"/>
      <c r="BE361" s="3096"/>
      <c r="BF361" s="3096"/>
      <c r="BG361" s="3096"/>
      <c r="BH361" s="3096"/>
      <c r="BI361" s="3096"/>
      <c r="BJ361" s="3096">
        <f>I361</f>
        <v>1504</v>
      </c>
      <c r="BK361" s="3096"/>
      <c r="BL361" s="3347" t="s">
        <v>9164</v>
      </c>
      <c r="BM361" s="3113"/>
      <c r="BN361" s="3096">
        <f>I361</f>
        <v>1504</v>
      </c>
      <c r="BO361" s="3096"/>
      <c r="BP361" s="3096"/>
      <c r="BQ361" s="3414"/>
      <c r="BR361" s="3409"/>
      <c r="BS361" s="3414"/>
      <c r="BT361" s="3414"/>
      <c r="BU361" s="3414"/>
      <c r="BV361" s="3414"/>
      <c r="BW361" s="3414"/>
      <c r="BX361" s="3414"/>
    </row>
    <row r="362" s="3037" customFormat="1" ht="32" customHeight="1" spans="1:76 16369:16384">
      <c r="A362" s="3454">
        <v>46205</v>
      </c>
      <c r="B362" s="3455" t="s">
        <v>1206</v>
      </c>
      <c r="C362" s="3456" t="s">
        <v>2580</v>
      </c>
      <c r="D362" s="3457" t="s">
        <v>10161</v>
      </c>
      <c r="E362" s="3458" t="s">
        <v>2434</v>
      </c>
      <c r="F362" s="3457" t="s">
        <v>10164</v>
      </c>
      <c r="G362" s="3459" t="s">
        <v>9419</v>
      </c>
      <c r="H362" s="3460" t="s">
        <v>9100</v>
      </c>
      <c r="I362" s="3461">
        <v>504</v>
      </c>
      <c r="J362" s="3461">
        <v>0</v>
      </c>
      <c r="K362" s="3461">
        <v>8</v>
      </c>
      <c r="L362" s="3461">
        <f t="shared" si="534"/>
        <v>63</v>
      </c>
      <c r="M362" s="3462">
        <v>46283</v>
      </c>
      <c r="N362" s="3463">
        <v>46279</v>
      </c>
      <c r="O362" s="3464"/>
      <c r="P362" s="3465"/>
      <c r="Q362" s="3465"/>
      <c r="R362" s="3466">
        <f>Q362-I362</f>
        <v>-504</v>
      </c>
      <c r="S362" s="3467"/>
      <c r="T362" s="3236" t="s">
        <v>321</v>
      </c>
      <c r="U362" s="3468"/>
      <c r="V362" s="3464"/>
      <c r="W362" s="3469" t="s">
        <v>1628</v>
      </c>
      <c r="X362" s="3470"/>
      <c r="Y362" s="3469" t="s">
        <v>2508</v>
      </c>
      <c r="Z362" s="3469"/>
      <c r="AA362" s="3470"/>
      <c r="AB362" s="3458" t="s">
        <v>10163</v>
      </c>
      <c r="AC362" s="3461" t="s">
        <v>8935</v>
      </c>
      <c r="AD362" s="3471">
        <v>4.0075</v>
      </c>
      <c r="AE362" s="3472">
        <f>L362*AD362</f>
        <v>252.4725</v>
      </c>
      <c r="AF362" s="3461"/>
      <c r="AG362" s="3459" t="s">
        <v>9419</v>
      </c>
      <c r="AH362" s="3473" t="s">
        <v>416</v>
      </c>
      <c r="AI362" s="3474"/>
      <c r="AJ362" s="3357">
        <f>I362</f>
        <v>504</v>
      </c>
      <c r="AK362" s="3358"/>
      <c r="AL362" s="3357"/>
      <c r="AM362" s="3358"/>
      <c r="AN362" s="3357"/>
      <c r="AO362" s="3352"/>
      <c r="AP362" s="3351">
        <f t="shared" si="527"/>
        <v>504</v>
      </c>
      <c r="AQ362" s="3351"/>
      <c r="AR362" s="3351"/>
      <c r="AS362" s="3475"/>
      <c r="AT362" s="3476"/>
      <c r="AU362" s="3352"/>
      <c r="AV362" s="3352"/>
      <c r="AW362" s="3477"/>
      <c r="AX362" s="3478"/>
      <c r="AY362" s="3479"/>
      <c r="AZ362" s="3479">
        <f>I362</f>
        <v>504</v>
      </c>
      <c r="BA362" s="3480"/>
      <c r="BB362" s="3481"/>
      <c r="BC362" s="3351"/>
      <c r="BD362" s="3351"/>
      <c r="BE362" s="3351"/>
      <c r="BF362" s="3351"/>
      <c r="BG362" s="3351"/>
      <c r="BH362" s="3351"/>
      <c r="BI362" s="3351"/>
      <c r="BJ362" s="3351">
        <f>I362</f>
        <v>504</v>
      </c>
      <c r="BK362" s="3351"/>
      <c r="BL362" s="3482" t="s">
        <v>9164</v>
      </c>
      <c r="BM362" s="3352"/>
      <c r="BN362" s="3351"/>
      <c r="BO362" s="3351"/>
      <c r="BP362" s="3351">
        <f>I362</f>
        <v>504</v>
      </c>
      <c r="BQ362" s="3356"/>
      <c r="BR362" s="3351"/>
      <c r="BS362" s="3356"/>
      <c r="BT362" s="3356"/>
      <c r="BU362" s="3356"/>
      <c r="BV362" s="3356"/>
      <c r="BW362" s="3356"/>
      <c r="BX362" s="3356"/>
    </row>
    <row r="363" s="3041" customFormat="1" ht="32" customHeight="1" spans="1:76 16369:16384">
      <c r="A363" s="3483">
        <v>46237</v>
      </c>
      <c r="B363" s="3484" t="s">
        <v>1617</v>
      </c>
      <c r="C363" s="3485" t="s">
        <v>91</v>
      </c>
      <c r="D363" s="3486">
        <v>4500214894</v>
      </c>
      <c r="E363" s="3487">
        <v>70089442</v>
      </c>
      <c r="F363" s="3486" t="s">
        <v>10165</v>
      </c>
      <c r="G363" s="3488" t="s">
        <v>9154</v>
      </c>
      <c r="H363" s="3489" t="s">
        <v>9155</v>
      </c>
      <c r="I363" s="3490">
        <v>600</v>
      </c>
      <c r="J363" s="3490">
        <v>0</v>
      </c>
      <c r="K363" s="3490">
        <v>8</v>
      </c>
      <c r="L363" s="3491">
        <f t="shared" si="534"/>
        <v>75</v>
      </c>
      <c r="M363" s="3492">
        <v>46331</v>
      </c>
      <c r="N363" s="3483">
        <v>46328</v>
      </c>
      <c r="O363" s="3493"/>
      <c r="P363" s="3494"/>
      <c r="Q363" s="3495"/>
      <c r="R363" s="3496"/>
      <c r="S363" s="3497"/>
      <c r="T363" s="3333" t="s">
        <v>321</v>
      </c>
      <c r="U363" s="3498"/>
      <c r="V363" s="3493"/>
      <c r="W363" s="3499" t="s">
        <v>4749</v>
      </c>
      <c r="X363" s="3500"/>
      <c r="Y363" s="3500" t="s">
        <v>98</v>
      </c>
      <c r="Z363" s="3500" t="s">
        <v>2540</v>
      </c>
      <c r="AA363" s="3500"/>
      <c r="AB363" s="3487" t="s">
        <v>10166</v>
      </c>
      <c r="AC363" s="3490" t="s">
        <v>9895</v>
      </c>
      <c r="AD363" s="3501">
        <v>2.4759</v>
      </c>
      <c r="AE363" s="3502">
        <f>AD363*I363</f>
        <v>1485.54</v>
      </c>
      <c r="AF363" s="3490"/>
      <c r="AG363" s="3491" t="s">
        <v>9154</v>
      </c>
      <c r="AH363" s="3490" t="s">
        <v>416</v>
      </c>
      <c r="AI363" s="3503"/>
      <c r="AJ363" s="3503">
        <f>I363</f>
        <v>600</v>
      </c>
      <c r="AK363" s="3504"/>
      <c r="AL363" s="3393"/>
      <c r="AM363" s="3394"/>
      <c r="AN363" s="3395"/>
      <c r="AO363" s="3396"/>
      <c r="AP363" s="3395">
        <f t="shared" si="527"/>
        <v>600</v>
      </c>
      <c r="AQ363" s="3505"/>
      <c r="AR363" s="3505"/>
      <c r="AS363" s="3505"/>
      <c r="AT363" s="3506"/>
      <c r="AU363" s="3394"/>
      <c r="AV363" s="3394"/>
      <c r="AW363" s="3394"/>
      <c r="AX363" s="3393">
        <f>I363/4</f>
        <v>150</v>
      </c>
      <c r="AY363" s="3393">
        <f>I363/4</f>
        <v>150</v>
      </c>
      <c r="AZ363" s="3393">
        <f>I363/4</f>
        <v>150</v>
      </c>
      <c r="BA363" s="3393">
        <f>I363/4</f>
        <v>150</v>
      </c>
      <c r="BB363" s="3368"/>
      <c r="BC363" s="3393"/>
      <c r="BD363" s="3368"/>
      <c r="BE363" s="3368"/>
      <c r="BF363" s="3368"/>
      <c r="BG363" s="3368"/>
      <c r="BH363" s="3368"/>
      <c r="BI363" s="3404"/>
      <c r="BJ363" s="3404">
        <f>I363</f>
        <v>600</v>
      </c>
      <c r="BL363" s="3404" t="s">
        <v>9164</v>
      </c>
      <c r="BM363" s="3507"/>
      <c r="BN363" s="3404">
        <f>I363/4</f>
        <v>150</v>
      </c>
      <c r="BO363" s="3404">
        <f>I363/4</f>
        <v>150</v>
      </c>
      <c r="BP363" s="3404">
        <f>I363/4</f>
        <v>150</v>
      </c>
      <c r="BQ363" s="3404">
        <f>I363/4</f>
        <v>150</v>
      </c>
      <c r="BR363" s="3404">
        <f>BN363+BO363+BP363+BQ363-I363</f>
        <v>0</v>
      </c>
      <c r="XEO363" s="3483"/>
      <c r="XEP363" s="3484"/>
      <c r="XEQ363" s="3485"/>
      <c r="XER363" s="3486"/>
      <c r="XES363" s="3487"/>
      <c r="XET363" s="3486"/>
      <c r="XEU363" s="3488"/>
      <c r="XEV363" s="3489"/>
      <c r="XEW363" s="3483"/>
      <c r="XEX363" s="3484"/>
      <c r="XEY363" s="3485"/>
      <c r="XEZ363" s="3486"/>
      <c r="XFA363" s="3487"/>
      <c r="XFB363" s="3486"/>
      <c r="XFC363" s="3488"/>
      <c r="XFD363" s="3489"/>
    </row>
    <row r="364" s="2841" customFormat="1" ht="32" customHeight="1" spans="1:76 16369:16384">
      <c r="A364" s="3508"/>
      <c r="B364" s="3509"/>
      <c r="C364" s="3510"/>
      <c r="D364" s="3511"/>
      <c r="E364" s="3512"/>
      <c r="F364" s="3513"/>
      <c r="G364" s="3514"/>
      <c r="H364" s="3515"/>
      <c r="I364" s="3516"/>
      <c r="J364" s="3516"/>
      <c r="K364" s="3516"/>
      <c r="L364" s="3516"/>
      <c r="M364" s="3517"/>
      <c r="N364" s="3517"/>
      <c r="O364" s="3518"/>
      <c r="P364" s="3519"/>
      <c r="Q364" s="3519"/>
      <c r="R364" s="3520"/>
      <c r="S364" s="3520"/>
      <c r="T364" s="3520"/>
      <c r="U364" s="3521"/>
      <c r="V364" s="3518"/>
      <c r="W364" s="3522"/>
      <c r="X364" s="3522"/>
      <c r="Y364" s="3522"/>
      <c r="Z364" s="3522"/>
      <c r="AA364" s="3522"/>
      <c r="AB364" s="3523"/>
      <c r="AC364" s="3516"/>
      <c r="AD364" s="3524"/>
      <c r="AE364" s="3525"/>
      <c r="AF364" s="3516"/>
      <c r="AG364" s="3516"/>
      <c r="AH364" s="3516"/>
      <c r="AI364" s="3526"/>
      <c r="AJ364" s="3526"/>
      <c r="AK364" s="3526"/>
      <c r="AL364" s="3526"/>
      <c r="AM364" s="3527"/>
      <c r="AN364" s="3526"/>
      <c r="AO364" s="3528"/>
      <c r="AP364" s="3528"/>
      <c r="AQ364" s="3529"/>
      <c r="AR364" s="3528"/>
      <c r="AS364" s="3530"/>
      <c r="AT364" s="3531"/>
      <c r="AU364" s="3528"/>
      <c r="AV364" s="3528"/>
      <c r="AW364" s="3532"/>
      <c r="AX364" s="3531"/>
      <c r="AY364" s="3528"/>
      <c r="AZ364" s="3528"/>
      <c r="BA364" s="3532"/>
      <c r="BB364" s="3533"/>
      <c r="BC364" s="3528"/>
      <c r="BD364" s="3528"/>
      <c r="BE364" s="3528"/>
      <c r="BF364" s="3534"/>
      <c r="BG364" s="3528"/>
      <c r="BH364" s="3528"/>
      <c r="BI364" s="3528"/>
      <c r="BJ364" s="3528"/>
      <c r="BK364" s="3528"/>
      <c r="BL364" s="3528"/>
      <c r="BM364" s="3529"/>
      <c r="BN364" s="3535"/>
      <c r="BO364" s="3535"/>
      <c r="BP364" s="3535"/>
      <c r="BQ364" s="3536"/>
      <c r="BR364" s="3528"/>
      <c r="BS364" s="3537">
        <f t="shared" ref="BS364:BS366" si="552">BN364+BO364+BP364+BQ364+$BS$369</f>
        <v>512480</v>
      </c>
      <c r="BT364" s="3538">
        <f t="shared" ref="BT364:BW364" si="553">BT208-BN364</f>
        <v>-33929</v>
      </c>
      <c r="BU364" s="3538">
        <f t="shared" si="553"/>
        <v>-33929</v>
      </c>
      <c r="BV364" s="3538">
        <f t="shared" si="553"/>
        <v>-33929</v>
      </c>
      <c r="BW364" s="3538">
        <f t="shared" si="553"/>
        <v>-33929</v>
      </c>
      <c r="BX364" s="3539"/>
    </row>
    <row r="365" s="2841" customFormat="1" ht="32" customHeight="1" spans="1:76 16369:16384">
      <c r="A365" s="3005"/>
      <c r="B365" s="2903"/>
      <c r="C365" s="3006"/>
      <c r="D365" s="3007"/>
      <c r="E365" s="3008"/>
      <c r="F365" s="3009"/>
      <c r="G365" s="3010"/>
      <c r="H365" s="3011"/>
      <c r="I365" s="2863"/>
      <c r="J365" s="2863"/>
      <c r="K365" s="2863"/>
      <c r="L365" s="2863"/>
      <c r="M365" s="3012"/>
      <c r="N365" s="3012"/>
      <c r="O365" s="3013"/>
      <c r="P365" s="3540"/>
      <c r="Q365" s="3540"/>
      <c r="R365" s="3541"/>
      <c r="S365" s="3541"/>
      <c r="T365" s="3541"/>
      <c r="U365" s="3542"/>
      <c r="V365" s="3013"/>
      <c r="W365" s="3014"/>
      <c r="X365" s="3014"/>
      <c r="Y365" s="3014"/>
      <c r="Z365" s="3014"/>
      <c r="AA365" s="3014"/>
      <c r="AB365" s="3326"/>
      <c r="AC365" s="2863"/>
      <c r="AD365" s="3015"/>
      <c r="AE365" s="3016"/>
      <c r="AF365" s="2863"/>
      <c r="AG365" s="2863"/>
      <c r="AH365" s="2863"/>
      <c r="AI365" s="2936"/>
      <c r="AJ365" s="2936"/>
      <c r="AK365" s="2936"/>
      <c r="AL365" s="2936"/>
      <c r="AM365" s="3543"/>
      <c r="AN365" s="2936"/>
      <c r="AO365" s="3017"/>
      <c r="AP365" s="3017"/>
      <c r="AQ365" s="3544"/>
      <c r="AR365" s="3017"/>
      <c r="AS365" s="3545"/>
      <c r="AT365" s="3018"/>
      <c r="AU365" s="3017"/>
      <c r="AV365" s="3017"/>
      <c r="AW365" s="3019"/>
      <c r="AX365" s="3018"/>
      <c r="AY365" s="3017"/>
      <c r="AZ365" s="3017"/>
      <c r="BA365" s="3019"/>
      <c r="BB365" s="3020"/>
      <c r="BC365" s="3017"/>
      <c r="BD365" s="3017"/>
      <c r="BE365" s="3017"/>
      <c r="BF365" s="3017"/>
      <c r="BG365" s="3017"/>
      <c r="BH365" s="3017"/>
      <c r="BI365" s="3017"/>
      <c r="BJ365" s="3017"/>
      <c r="BK365" s="3017"/>
      <c r="BL365" s="3017"/>
      <c r="BM365" s="3544"/>
      <c r="BN365" s="3017"/>
      <c r="BO365" s="3017"/>
      <c r="BP365" s="3017"/>
      <c r="BQ365" s="3017"/>
      <c r="BR365" s="3017"/>
      <c r="BS365" s="3546">
        <f t="shared" si="552"/>
        <v>512480</v>
      </c>
      <c r="BT365" s="2993">
        <f t="shared" ref="BT365:BW365" si="554">BT364-BN365</f>
        <v>-33929</v>
      </c>
      <c r="BU365" s="2993">
        <f t="shared" si="554"/>
        <v>-33929</v>
      </c>
      <c r="BV365" s="2993">
        <f t="shared" si="554"/>
        <v>-33929</v>
      </c>
      <c r="BW365" s="2993">
        <f t="shared" si="554"/>
        <v>-33929</v>
      </c>
      <c r="BX365" s="3021"/>
    </row>
    <row r="366" s="2841" customFormat="1" ht="32" customHeight="1" spans="1:76 16369:16384">
      <c r="A366" s="3005"/>
      <c r="B366" s="2903"/>
      <c r="C366" s="3006"/>
      <c r="D366" s="3007"/>
      <c r="E366" s="3008"/>
      <c r="F366" s="3009"/>
      <c r="G366" s="3010"/>
      <c r="H366" s="3011"/>
      <c r="I366" s="2863"/>
      <c r="J366" s="2863"/>
      <c r="K366" s="2863"/>
      <c r="L366" s="2863"/>
      <c r="M366" s="3012"/>
      <c r="N366" s="3012"/>
      <c r="O366" s="3013"/>
      <c r="P366" s="3540"/>
      <c r="Q366" s="3540"/>
      <c r="R366" s="3541"/>
      <c r="S366" s="3541"/>
      <c r="T366" s="3541"/>
      <c r="U366" s="3542"/>
      <c r="V366" s="3013"/>
      <c r="W366" s="3014"/>
      <c r="X366" s="3014"/>
      <c r="Y366" s="3014"/>
      <c r="Z366" s="3014"/>
      <c r="AA366" s="3014"/>
      <c r="AB366" s="3326"/>
      <c r="AC366" s="2863"/>
      <c r="AD366" s="3015"/>
      <c r="AE366" s="3016"/>
      <c r="AF366" s="2863"/>
      <c r="AG366" s="2863"/>
      <c r="AH366" s="2863"/>
      <c r="AI366" s="2936"/>
      <c r="AJ366" s="2936"/>
      <c r="AK366" s="2936"/>
      <c r="AL366" s="2936"/>
      <c r="AM366" s="3543"/>
      <c r="AN366" s="2936"/>
      <c r="AO366" s="3017"/>
      <c r="AP366" s="3017"/>
      <c r="AQ366" s="3544"/>
      <c r="AR366" s="3017"/>
      <c r="AS366" s="3545"/>
      <c r="AT366" s="3547"/>
      <c r="AU366" s="3548"/>
      <c r="AV366" s="3548"/>
      <c r="AW366" s="3549"/>
      <c r="AX366" s="3547"/>
      <c r="AY366" s="3548"/>
      <c r="AZ366" s="3548"/>
      <c r="BA366" s="3549"/>
      <c r="BB366" s="3020"/>
      <c r="BC366" s="3017"/>
      <c r="BD366" s="3017"/>
      <c r="BE366" s="3017"/>
      <c r="BF366" s="3017"/>
      <c r="BG366" s="3017"/>
      <c r="BH366" s="3017"/>
      <c r="BI366" s="3017"/>
      <c r="BJ366" s="3017"/>
      <c r="BK366" s="3017"/>
      <c r="BL366" s="3017"/>
      <c r="BM366" s="3544"/>
      <c r="BN366" s="3017"/>
      <c r="BO366" s="3017"/>
      <c r="BP366" s="3017"/>
      <c r="BQ366" s="3017"/>
      <c r="BR366" s="3017"/>
      <c r="BS366" s="3546">
        <f t="shared" si="552"/>
        <v>512480</v>
      </c>
      <c r="BT366" s="2993">
        <f t="shared" ref="BT366:BW366" si="555">BT365-BN366</f>
        <v>-33929</v>
      </c>
      <c r="BU366" s="2993">
        <f t="shared" si="555"/>
        <v>-33929</v>
      </c>
      <c r="BV366" s="2993">
        <f t="shared" si="555"/>
        <v>-33929</v>
      </c>
      <c r="BW366" s="2993">
        <f t="shared" si="555"/>
        <v>-33929</v>
      </c>
      <c r="BX366" s="3021"/>
    </row>
    <row r="367" s="2846" customFormat="1" spans="1:76 16369:16384">
      <c r="A367" s="3042"/>
      <c r="F367" s="2847"/>
      <c r="Q367" s="3550"/>
      <c r="R367" s="3043"/>
      <c r="S367" s="3043"/>
      <c r="T367" s="3043"/>
      <c r="U367" s="3042"/>
      <c r="AB367" s="3044"/>
      <c r="AH367" s="2846" t="s">
        <v>9150</v>
      </c>
      <c r="AI367" s="3045">
        <f t="shared" ref="AI367:BE367" si="556">SUM(AI4:AI366)</f>
        <v>17816</v>
      </c>
      <c r="AJ367" s="3045">
        <f t="shared" si="556"/>
        <v>143254</v>
      </c>
      <c r="AK367" s="3045">
        <f t="shared" si="556"/>
        <v>0</v>
      </c>
      <c r="AL367" s="3045">
        <f t="shared" si="556"/>
        <v>113224</v>
      </c>
      <c r="AM367" s="3045">
        <f t="shared" si="556"/>
        <v>0</v>
      </c>
      <c r="AN367" s="3045">
        <f t="shared" si="556"/>
        <v>295671</v>
      </c>
      <c r="AO367" s="3045">
        <f t="shared" si="556"/>
        <v>14128</v>
      </c>
      <c r="AP367" s="3045">
        <f t="shared" si="556"/>
        <v>302005</v>
      </c>
      <c r="AQ367" s="3045">
        <f t="shared" si="556"/>
        <v>0</v>
      </c>
      <c r="AR367" s="3045">
        <f t="shared" si="556"/>
        <v>6100</v>
      </c>
      <c r="AS367" s="3045">
        <f t="shared" si="556"/>
        <v>247732</v>
      </c>
      <c r="AT367" s="3551">
        <f t="shared" si="556"/>
        <v>6521.08333333333</v>
      </c>
      <c r="AU367" s="3551">
        <f t="shared" si="556"/>
        <v>6521.08333333333</v>
      </c>
      <c r="AV367" s="3551">
        <f t="shared" si="556"/>
        <v>6520.08333333333</v>
      </c>
      <c r="AW367" s="3551">
        <f t="shared" si="556"/>
        <v>7686.75</v>
      </c>
      <c r="AX367" s="3551">
        <f t="shared" si="556"/>
        <v>139102.333333333</v>
      </c>
      <c r="AY367" s="3551">
        <f t="shared" si="556"/>
        <v>133424.333333333</v>
      </c>
      <c r="AZ367" s="3551">
        <f t="shared" si="556"/>
        <v>136490.333333333</v>
      </c>
      <c r="BA367" s="3551">
        <f t="shared" si="556"/>
        <v>128079</v>
      </c>
      <c r="BB367" s="3045">
        <f t="shared" si="556"/>
        <v>1525</v>
      </c>
      <c r="BC367" s="3045">
        <f t="shared" si="556"/>
        <v>1557</v>
      </c>
      <c r="BD367" s="3045">
        <f t="shared" si="556"/>
        <v>1525</v>
      </c>
      <c r="BE367" s="3045">
        <f t="shared" si="556"/>
        <v>1525</v>
      </c>
      <c r="BF367" s="3045"/>
      <c r="BG367" s="3045">
        <f>SUM(BG4:BG366)</f>
        <v>740</v>
      </c>
      <c r="BH367" s="3045">
        <f>SUM(BH4:BH366)</f>
        <v>0</v>
      </c>
      <c r="BI367" s="3045"/>
      <c r="BJ367" s="3045">
        <f>SUM(BJ4:BJ366)</f>
        <v>482950</v>
      </c>
      <c r="BK367" s="3045">
        <f>SUM(BK4:BK366)</f>
        <v>80901</v>
      </c>
      <c r="BL367" s="3045">
        <f>SUM(BL4:BL366)</f>
        <v>0</v>
      </c>
      <c r="BM367" s="3045"/>
      <c r="BN367" s="3552">
        <f>SUM(BN4:BN366)</f>
        <v>147212.416666667</v>
      </c>
      <c r="BO367" s="3552">
        <f>SUM(BO4:BO366)</f>
        <v>141534.416666667</v>
      </c>
      <c r="BP367" s="3552">
        <f>SUM(BP4:BP366)</f>
        <v>144111.416666667</v>
      </c>
      <c r="BQ367" s="3552">
        <f>SUM(BQ4:BQ366)</f>
        <v>137106.75</v>
      </c>
      <c r="BR367" s="3045"/>
      <c r="BS367" s="3045"/>
    </row>
    <row r="368" s="2844" customFormat="1" ht="17" customHeight="1" spans="1:76 16369:16384">
      <c r="A368" s="3027"/>
      <c r="F368" s="3028"/>
      <c r="Q368" s="3550"/>
      <c r="R368" s="3553"/>
      <c r="S368" s="3553"/>
      <c r="T368" s="3553"/>
      <c r="U368" s="3027"/>
      <c r="AB368" s="3554"/>
      <c r="AM368" s="2846"/>
      <c r="AQ368" s="2846"/>
    </row>
    <row r="369" s="2846" customFormat="1" ht="17" customHeight="1" spans="1:75">
      <c r="A369" s="3042"/>
      <c r="F369" s="2847"/>
      <c r="Q369" s="3550"/>
      <c r="R369" s="3043"/>
      <c r="S369" s="3043"/>
      <c r="T369" s="3043"/>
      <c r="U369" s="3042"/>
      <c r="AB369" s="3044"/>
      <c r="AH369" s="3555" t="s">
        <v>8299</v>
      </c>
      <c r="AI369" s="3556">
        <f t="shared" ref="AI369:BQ369" si="557">SUM(AI5:AI90)</f>
        <v>17816</v>
      </c>
      <c r="AJ369" s="3556">
        <f t="shared" si="557"/>
        <v>25026</v>
      </c>
      <c r="AK369" s="3556">
        <f t="shared" si="557"/>
        <v>0</v>
      </c>
      <c r="AL369" s="3556">
        <f t="shared" si="557"/>
        <v>14016</v>
      </c>
      <c r="AM369" s="3556">
        <f t="shared" si="557"/>
        <v>0</v>
      </c>
      <c r="AN369" s="3556">
        <f t="shared" si="557"/>
        <v>9480</v>
      </c>
      <c r="AO369" s="3556">
        <f t="shared" si="557"/>
        <v>14128</v>
      </c>
      <c r="AP369" s="3556">
        <f t="shared" si="557"/>
        <v>42690</v>
      </c>
      <c r="AQ369" s="3556">
        <f t="shared" si="557"/>
        <v>0</v>
      </c>
      <c r="AR369" s="3556">
        <f t="shared" si="557"/>
        <v>1200</v>
      </c>
      <c r="AS369" s="3556">
        <f t="shared" si="557"/>
        <v>8320</v>
      </c>
      <c r="AT369" s="3556">
        <f t="shared" si="557"/>
        <v>6521.08333333333</v>
      </c>
      <c r="AU369" s="3556">
        <f t="shared" si="557"/>
        <v>6521.08333333333</v>
      </c>
      <c r="AV369" s="3556">
        <f t="shared" si="557"/>
        <v>6520.08333333333</v>
      </c>
      <c r="AW369" s="3556">
        <f t="shared" si="557"/>
        <v>7686.75</v>
      </c>
      <c r="AX369" s="3556">
        <f t="shared" si="557"/>
        <v>10836.5833333333</v>
      </c>
      <c r="AY369" s="3556">
        <f t="shared" si="557"/>
        <v>9628.58333333333</v>
      </c>
      <c r="AZ369" s="3556">
        <f t="shared" si="557"/>
        <v>9628.58333333333</v>
      </c>
      <c r="BA369" s="3556">
        <f t="shared" si="557"/>
        <v>7795.25</v>
      </c>
      <c r="BB369" s="3556">
        <f t="shared" si="557"/>
        <v>300</v>
      </c>
      <c r="BC369" s="3556">
        <f t="shared" si="557"/>
        <v>300</v>
      </c>
      <c r="BD369" s="3556">
        <f t="shared" si="557"/>
        <v>300</v>
      </c>
      <c r="BE369" s="3556">
        <f t="shared" si="557"/>
        <v>300</v>
      </c>
      <c r="BF369" s="3556">
        <f t="shared" si="557"/>
        <v>0</v>
      </c>
      <c r="BG369" s="3556">
        <f t="shared" si="557"/>
        <v>0</v>
      </c>
      <c r="BH369" s="3556">
        <f t="shared" si="557"/>
        <v>0</v>
      </c>
      <c r="BI369" s="3556">
        <f t="shared" si="557"/>
        <v>6000</v>
      </c>
      <c r="BJ369" s="3556">
        <f t="shared" si="557"/>
        <v>53322</v>
      </c>
      <c r="BK369" s="3556">
        <f t="shared" si="557"/>
        <v>7016</v>
      </c>
      <c r="BL369" s="3556">
        <f t="shared" si="557"/>
        <v>0</v>
      </c>
      <c r="BM369" s="3556">
        <f t="shared" si="557"/>
        <v>818</v>
      </c>
      <c r="BN369" s="3556">
        <f t="shared" si="557"/>
        <v>17661.6666666667</v>
      </c>
      <c r="BO369" s="3556">
        <f t="shared" si="557"/>
        <v>16453.6666666667</v>
      </c>
      <c r="BP369" s="3556">
        <f t="shared" si="557"/>
        <v>16444.6666666667</v>
      </c>
      <c r="BQ369" s="3556">
        <f t="shared" si="557"/>
        <v>15778</v>
      </c>
      <c r="BR369" s="3045"/>
      <c r="BS369" s="3552">
        <v>512480</v>
      </c>
      <c r="BT369" s="3551">
        <v>113210.666666667</v>
      </c>
      <c r="BU369" s="3551">
        <v>114498.666666667</v>
      </c>
      <c r="BV369" s="3551">
        <v>111930.666666667</v>
      </c>
      <c r="BW369" s="3551">
        <v>111992</v>
      </c>
    </row>
    <row r="370" s="2846" customFormat="1" ht="17" customHeight="1" spans="1:75">
      <c r="A370" s="3042"/>
      <c r="F370" s="2847"/>
      <c r="Q370" s="3043"/>
      <c r="R370" s="3043"/>
      <c r="S370" s="3043"/>
      <c r="T370" s="3043"/>
      <c r="U370" s="3042"/>
      <c r="AB370" s="3044"/>
      <c r="AH370" s="3555" t="s">
        <v>10167</v>
      </c>
      <c r="AI370" s="3555">
        <f t="shared" ref="AI370:BE370" si="558">AI367-AI369</f>
        <v>0</v>
      </c>
      <c r="AJ370" s="3555">
        <f t="shared" si="558"/>
        <v>118228</v>
      </c>
      <c r="AK370" s="3555">
        <f t="shared" si="558"/>
        <v>0</v>
      </c>
      <c r="AL370" s="3555">
        <f t="shared" si="558"/>
        <v>99208</v>
      </c>
      <c r="AM370" s="3555">
        <f t="shared" si="558"/>
        <v>0</v>
      </c>
      <c r="AN370" s="3555">
        <f t="shared" si="558"/>
        <v>286191</v>
      </c>
      <c r="AO370" s="3555">
        <f t="shared" si="558"/>
        <v>0</v>
      </c>
      <c r="AP370" s="3555">
        <f t="shared" si="558"/>
        <v>259315</v>
      </c>
      <c r="AQ370" s="3555">
        <f t="shared" si="558"/>
        <v>0</v>
      </c>
      <c r="AR370" s="3555">
        <f t="shared" si="558"/>
        <v>4900</v>
      </c>
      <c r="AS370" s="3555">
        <f t="shared" si="558"/>
        <v>239412</v>
      </c>
      <c r="AT370" s="3557">
        <f t="shared" si="558"/>
        <v>0</v>
      </c>
      <c r="AU370" s="3557">
        <f t="shared" si="558"/>
        <v>0</v>
      </c>
      <c r="AV370" s="3557">
        <f t="shared" si="558"/>
        <v>0</v>
      </c>
      <c r="AW370" s="3557">
        <f t="shared" si="558"/>
        <v>0</v>
      </c>
      <c r="AX370" s="3557">
        <f t="shared" si="558"/>
        <v>128265.75</v>
      </c>
      <c r="AY370" s="3557">
        <f t="shared" si="558"/>
        <v>123795.75</v>
      </c>
      <c r="AZ370" s="3557">
        <f t="shared" si="558"/>
        <v>126861.75</v>
      </c>
      <c r="BA370" s="3557">
        <f t="shared" si="558"/>
        <v>120283.75</v>
      </c>
      <c r="BB370" s="3555">
        <f t="shared" si="558"/>
        <v>1225</v>
      </c>
      <c r="BC370" s="3555">
        <f t="shared" si="558"/>
        <v>1257</v>
      </c>
      <c r="BD370" s="3555">
        <f t="shared" si="558"/>
        <v>1225</v>
      </c>
      <c r="BE370" s="3555">
        <f t="shared" si="558"/>
        <v>1225</v>
      </c>
      <c r="BF370" s="3555"/>
      <c r="BG370" s="3555">
        <f t="shared" ref="BG370:BQ370" si="559">BG367-BG369</f>
        <v>740</v>
      </c>
      <c r="BH370" s="3555">
        <f t="shared" si="559"/>
        <v>0</v>
      </c>
      <c r="BI370" s="3555">
        <f t="shared" si="559"/>
        <v>-6000</v>
      </c>
      <c r="BJ370" s="3555">
        <f t="shared" si="559"/>
        <v>429628</v>
      </c>
      <c r="BK370" s="3555">
        <f t="shared" si="559"/>
        <v>73885</v>
      </c>
      <c r="BL370" s="3555">
        <f t="shared" si="559"/>
        <v>0</v>
      </c>
      <c r="BM370" s="3555">
        <f t="shared" si="559"/>
        <v>-818</v>
      </c>
      <c r="BN370" s="3557">
        <f t="shared" si="559"/>
        <v>129550.75</v>
      </c>
      <c r="BO370" s="3557">
        <f t="shared" si="559"/>
        <v>125080.75</v>
      </c>
      <c r="BP370" s="3557">
        <f t="shared" si="559"/>
        <v>127666.75</v>
      </c>
      <c r="BQ370" s="3557">
        <f t="shared" si="559"/>
        <v>121328.75</v>
      </c>
      <c r="BR370" s="3045"/>
      <c r="BS370" s="3045"/>
      <c r="BT370" s="3045"/>
      <c r="BU370" s="3045"/>
      <c r="BV370" s="3045"/>
      <c r="BW370" s="3045"/>
    </row>
    <row r="371" s="2846" customFormat="1" ht="17" customHeight="1" spans="1:75">
      <c r="A371" s="3042"/>
      <c r="F371" s="2847"/>
      <c r="M371" s="2847"/>
      <c r="N371" s="2847"/>
      <c r="Q371" s="3043"/>
      <c r="R371" s="3043"/>
      <c r="S371" s="3043"/>
      <c r="T371" s="3043"/>
      <c r="U371" s="3042"/>
      <c r="AA371" s="2847"/>
      <c r="AB371" s="3558"/>
      <c r="AI371" s="3543">
        <f>I371</f>
        <v>0</v>
      </c>
      <c r="AJ371" s="3543"/>
      <c r="AK371" s="3543"/>
      <c r="AL371" s="3543"/>
      <c r="AN371" s="3543"/>
      <c r="AO371" s="3544">
        <f>I371</f>
        <v>0</v>
      </c>
      <c r="AP371" s="3544"/>
      <c r="AR371" s="3544"/>
      <c r="AS371" s="3544"/>
      <c r="BS371" s="3045">
        <f>BX2-BS369</f>
        <v>540520</v>
      </c>
      <c r="BT371" s="3552"/>
      <c r="BV371" s="3552"/>
      <c r="BW371" s="3552"/>
    </row>
    <row r="372" s="2846" customFormat="1" spans="1:75">
      <c r="A372" s="3042"/>
      <c r="F372" s="2847"/>
      <c r="Q372" s="3043"/>
      <c r="R372" s="3043"/>
      <c r="S372" s="3043"/>
      <c r="T372" s="3043"/>
      <c r="U372" s="3042"/>
      <c r="AB372" s="3558"/>
      <c r="BN372" s="3559"/>
      <c r="BO372" s="3559"/>
      <c r="BU372" s="3552"/>
    </row>
    <row r="373" s="2846" customFormat="1" spans="1:75">
      <c r="A373" s="3042"/>
      <c r="F373" s="2847"/>
      <c r="Q373" s="3043"/>
      <c r="R373" s="3043"/>
      <c r="S373" s="3043"/>
      <c r="T373" s="3043"/>
      <c r="U373" s="3042"/>
      <c r="AB373" s="3044"/>
      <c r="BN373" s="3559"/>
      <c r="BO373" s="3559"/>
    </row>
    <row r="374" s="2846" customFormat="1" spans="1:75">
      <c r="A374" s="3042"/>
      <c r="F374" s="2847"/>
      <c r="Q374" s="3043"/>
      <c r="R374" s="3043"/>
      <c r="S374" s="3043"/>
      <c r="T374" s="3043"/>
      <c r="U374" s="3042"/>
      <c r="AB374" s="3044"/>
      <c r="BN374" s="3560" t="s">
        <v>9150</v>
      </c>
      <c r="BO374" s="3560">
        <f>SUM(BN367,BO367,BP367,BQ367)</f>
        <v>569965</v>
      </c>
    </row>
    <row r="375" s="2846" customFormat="1" spans="1:75">
      <c r="A375" s="3042"/>
      <c r="F375" s="2847"/>
      <c r="Q375" s="3043"/>
      <c r="R375" s="3043"/>
      <c r="S375" s="3043"/>
      <c r="T375" s="3043"/>
      <c r="U375" s="3042"/>
      <c r="AB375" s="3044"/>
      <c r="BN375" s="2950"/>
      <c r="BO375" s="3560">
        <f>BO374-I368</f>
        <v>569965</v>
      </c>
    </row>
    <row r="376" s="2846" customFormat="1" spans="1:75">
      <c r="A376" s="3042"/>
      <c r="F376" s="2847"/>
      <c r="G376" s="2847"/>
      <c r="Q376" s="3043"/>
      <c r="R376" s="3043"/>
      <c r="S376" s="3043"/>
      <c r="T376" s="3043"/>
      <c r="U376" s="3042"/>
      <c r="AB376" s="3558"/>
    </row>
    <row r="377" s="2846" customFormat="1" spans="1:75">
      <c r="A377" s="3042"/>
      <c r="F377" s="2847"/>
      <c r="G377" s="2847"/>
      <c r="Q377" s="3043"/>
      <c r="R377" s="3043"/>
      <c r="S377" s="3043"/>
      <c r="T377" s="3043"/>
      <c r="U377" s="3042"/>
      <c r="AB377" s="3044"/>
    </row>
    <row r="378" s="2846" customFormat="1" spans="1:75">
      <c r="A378" s="3042"/>
      <c r="F378" s="2847"/>
      <c r="Q378" s="3043"/>
      <c r="R378" s="3043"/>
      <c r="S378" s="3043"/>
      <c r="T378" s="3043"/>
      <c r="U378" s="3042"/>
      <c r="AB378" s="3044"/>
      <c r="BN378" s="3045">
        <f t="shared" ref="BN378:BQ378" si="560">SUM(BN4:BN4)</f>
        <v>0</v>
      </c>
      <c r="BO378" s="3045">
        <f t="shared" si="560"/>
        <v>0</v>
      </c>
      <c r="BP378" s="3045">
        <f t="shared" si="560"/>
        <v>0</v>
      </c>
      <c r="BQ378" s="3045">
        <f t="shared" si="560"/>
        <v>0</v>
      </c>
      <c r="BR378" s="2846">
        <f>SUM(BN378:BQ378)</f>
        <v>0</v>
      </c>
    </row>
    <row r="379" s="2846" customFormat="1" spans="1:75">
      <c r="A379" s="3042"/>
      <c r="F379" s="2847"/>
      <c r="Q379" s="3043"/>
      <c r="R379" s="3043"/>
      <c r="S379" s="3043"/>
      <c r="T379" s="3043"/>
      <c r="U379" s="3042"/>
      <c r="AB379" s="3558"/>
      <c r="BJ379" s="3045"/>
    </row>
    <row r="380" s="2846" customFormat="1" spans="1:75">
      <c r="A380" s="3042"/>
      <c r="F380" s="3561"/>
      <c r="Q380" s="3043"/>
      <c r="R380" s="3043"/>
      <c r="S380" s="3043"/>
      <c r="T380" s="3043"/>
      <c r="U380" s="3042"/>
      <c r="AB380" s="3044"/>
      <c r="BJ380" s="3045"/>
    </row>
    <row r="381" s="2846" customFormat="1" spans="1:75">
      <c r="A381" s="3042"/>
      <c r="F381" s="3561"/>
      <c r="Q381" s="3043"/>
      <c r="R381" s="3043"/>
      <c r="S381" s="3043"/>
      <c r="T381" s="3043"/>
      <c r="U381" s="3042"/>
      <c r="AB381" s="3044"/>
      <c r="BJ381" s="3045"/>
      <c r="BN381" s="3551">
        <v>129513.833333333</v>
      </c>
      <c r="BO381" s="3551">
        <v>129593.833333333</v>
      </c>
      <c r="BP381" s="3551">
        <v>127016.833333333</v>
      </c>
      <c r="BQ381" s="3551">
        <v>126411.5</v>
      </c>
    </row>
    <row r="382" s="2846" customFormat="1" spans="1:75">
      <c r="A382" s="3042"/>
      <c r="F382" s="3561"/>
      <c r="Q382" s="3043"/>
      <c r="R382" s="3043"/>
      <c r="S382" s="3043"/>
      <c r="T382" s="3043"/>
      <c r="U382" s="3042"/>
      <c r="AB382" s="3044"/>
      <c r="BJ382" s="3045"/>
      <c r="BN382" s="3551">
        <f t="shared" ref="BN382:BQ382" si="561">BN381-BN367</f>
        <v>-17698.5833333337</v>
      </c>
      <c r="BO382" s="3551">
        <f t="shared" si="561"/>
        <v>-11940.5833333337</v>
      </c>
      <c r="BP382" s="3551">
        <f t="shared" si="561"/>
        <v>-17094.5833333337</v>
      </c>
      <c r="BQ382" s="3551">
        <f t="shared" si="561"/>
        <v>-10695.25</v>
      </c>
    </row>
    <row r="383" s="2846" customFormat="1" spans="1:75">
      <c r="A383" s="3042"/>
      <c r="F383" s="3561"/>
      <c r="G383" s="2847"/>
      <c r="H383" s="2847"/>
      <c r="I383" s="2847"/>
      <c r="Q383" s="3043"/>
      <c r="R383" s="3043"/>
      <c r="S383" s="3043"/>
      <c r="T383" s="3043"/>
      <c r="U383" s="3042"/>
      <c r="AB383" s="3044"/>
      <c r="BJ383" s="3045"/>
    </row>
    <row r="384" s="2846" customFormat="1" spans="1:75">
      <c r="A384" s="3042"/>
      <c r="F384" s="3561"/>
      <c r="Q384" s="3043"/>
      <c r="R384" s="3043"/>
      <c r="S384" s="3043"/>
      <c r="T384" s="3043"/>
      <c r="U384" s="3042"/>
      <c r="AB384" s="3044"/>
      <c r="BJ384" s="3045"/>
      <c r="BN384" s="3551">
        <v>129513.833333333</v>
      </c>
      <c r="BO384" s="3551">
        <v>129593.833333333</v>
      </c>
      <c r="BP384" s="3551">
        <v>127016.833333333</v>
      </c>
      <c r="BQ384" s="3551">
        <v>126411.5</v>
      </c>
    </row>
    <row r="385" s="2846" customFormat="1" spans="1:62">
      <c r="A385" s="3042"/>
      <c r="F385" s="3561"/>
      <c r="G385" s="2847"/>
      <c r="H385" s="2847"/>
      <c r="Q385" s="3043"/>
      <c r="R385" s="3043"/>
      <c r="S385" s="3043"/>
      <c r="T385" s="3043"/>
      <c r="U385" s="3042"/>
      <c r="AB385" s="3558"/>
      <c r="AF385" s="2846" t="s">
        <v>4337</v>
      </c>
      <c r="AH385" s="2979"/>
      <c r="BJ385" s="3045"/>
    </row>
    <row r="386" spans="1:62">
      <c r="F386" s="3561"/>
      <c r="H386" s="2847"/>
      <c r="I386" s="2847"/>
      <c r="AB386" s="3558"/>
    </row>
    <row r="387" spans="1:62">
      <c r="F387" s="3562"/>
    </row>
    <row r="388" spans="1:62">
      <c r="F388" s="3561"/>
      <c r="G388" s="2847"/>
      <c r="H388" s="2847"/>
    </row>
    <row r="389" spans="1:62">
      <c r="F389" s="3561"/>
    </row>
    <row r="390" spans="1:62">
      <c r="F390" s="3561"/>
      <c r="H390" s="2847"/>
      <c r="I390" s="2847"/>
    </row>
    <row r="391" spans="1:62">
      <c r="F391" s="3561"/>
      <c r="AT391" s="2846" t="s">
        <v>10168</v>
      </c>
    </row>
    <row r="392" spans="1:62">
      <c r="F392" s="3561"/>
      <c r="I392" s="3045"/>
    </row>
    <row r="393" spans="1:62">
      <c r="F393" s="3561"/>
    </row>
    <row r="394" spans="1:62">
      <c r="F394" s="3561"/>
    </row>
    <row r="395" spans="1:62">
      <c r="F395" s="3561"/>
    </row>
    <row r="396" spans="1:62">
      <c r="F396" s="3561"/>
    </row>
    <row r="397" spans="1:62">
      <c r="F397" s="3561"/>
    </row>
    <row r="398" spans="1:62">
      <c r="F398" s="3561"/>
    </row>
    <row r="399" spans="1:62">
      <c r="F399" s="3561"/>
    </row>
    <row r="400" spans="1:62">
      <c r="F400" s="3561"/>
    </row>
    <row r="401" spans="6:15">
      <c r="F401" s="2846"/>
      <c r="O401" s="3045"/>
    </row>
    <row r="402" spans="6:15">
      <c r="F402" s="2846"/>
      <c r="O402" s="3045"/>
    </row>
    <row r="403" spans="6:15">
      <c r="F403" s="3561"/>
    </row>
    <row r="404" spans="6:15">
      <c r="F404" s="3561"/>
      <c r="I404" s="2847"/>
      <c r="J404" s="2847"/>
    </row>
    <row r="405" spans="6:15">
      <c r="F405" s="3561"/>
    </row>
    <row r="406" spans="6:15">
      <c r="F406" s="3561"/>
    </row>
  </sheetData>
  <sheetProtection formatCells="0" formatColumns="0" formatRows="0" insertRows="0" insertColumns="0" insertHyperlinks="0" deleteColumns="0" deleteRows="0" sort="0" autoFilter="0" pivotTables="0"/>
  <protectedRanges>
    <protectedRange sqref="Q$1:CG$1048576" name="Range1"/>
    <protectedRange sqref="A$1:P$1048576 U$1:BZ$1048576" name="Range2"/>
  </protectedRanges>
  <autoFilter xmlns:etc="http://www.wps.cn/officeDocument/2017/etCustomData" ref="A3:XFD406" etc:filterBottomFollowUsedRange="1">
    <extLst/>
  </autoFilter>
  <sortState ref="305:351">
    <sortCondition ref="N305"/>
  </sortState>
  <mergeCells count="15">
    <mergeCell ref="W2:AA2"/>
    <mergeCell ref="AI2:AN2"/>
    <mergeCell ref="AO2:AS2"/>
    <mergeCell ref="AT2:AW2"/>
    <mergeCell ref="AX2:BA2"/>
    <mergeCell ref="BB2:BE2"/>
    <mergeCell ref="BG2:BH2"/>
    <mergeCell ref="BJ2:BK2"/>
    <mergeCell ref="S280:S282"/>
    <mergeCell ref="S288:S290"/>
    <mergeCell ref="S312:S316"/>
    <mergeCell ref="S317:S321"/>
    <mergeCell ref="S322:S327"/>
    <mergeCell ref="S328:S333"/>
    <mergeCell ref="A1:I2"/>
  </mergeCells>
  <conditionalFormatting sqref="Z3">
    <cfRule type="containsText" dxfId="0" priority="559" operator="between" text="欠">
      <formula>NOT(ISERROR(SEARCH("欠",Z3)))</formula>
    </cfRule>
  </conditionalFormatting>
  <conditionalFormatting sqref="W4">
    <cfRule type="containsText" dxfId="0" priority="552" operator="between" text="欠">
      <formula>NOT(ISERROR(SEARCH("欠",W4)))</formula>
    </cfRule>
  </conditionalFormatting>
  <conditionalFormatting sqref="X4">
    <cfRule type="containsText" dxfId="0" priority="551" operator="between" text="欠">
      <formula>NOT(ISERROR(SEARCH("欠",X4)))</formula>
    </cfRule>
  </conditionalFormatting>
  <conditionalFormatting sqref="Y4">
    <cfRule type="containsText" dxfId="0" priority="550" operator="between" text="欠">
      <formula>NOT(ISERROR(SEARCH("欠",Y4)))</formula>
    </cfRule>
  </conditionalFormatting>
  <conditionalFormatting sqref="Z4">
    <cfRule type="containsText" dxfId="0" priority="553" operator="between" text="欠">
      <formula>NOT(ISERROR(SEARCH("欠",Z4)))</formula>
    </cfRule>
  </conditionalFormatting>
  <conditionalFormatting sqref="W5">
    <cfRule type="containsText" dxfId="0" priority="541" operator="between" text="欠">
      <formula>NOT(ISERROR(SEARCH("欠",W5)))</formula>
    </cfRule>
  </conditionalFormatting>
  <conditionalFormatting sqref="X37">
    <cfRule type="containsText" dxfId="0" priority="537" operator="between" text="欠">
      <formula>NOT(ISERROR(SEARCH("欠",X37)))</formula>
    </cfRule>
  </conditionalFormatting>
  <conditionalFormatting sqref="Y37">
    <cfRule type="containsText" dxfId="0" priority="538" operator="between" text="欠">
      <formula>NOT(ISERROR(SEARCH("欠",Y37)))</formula>
    </cfRule>
  </conditionalFormatting>
  <conditionalFormatting sqref="Z37">
    <cfRule type="containsText" dxfId="0" priority="540" operator="between" text="欠">
      <formula>NOT(ISERROR(SEARCH("欠",Z37)))</formula>
    </cfRule>
  </conditionalFormatting>
  <conditionalFormatting sqref="Y39">
    <cfRule type="containsText" dxfId="0" priority="511" operator="between" text="欠">
      <formula>NOT(ISERROR(SEARCH("欠",Y39)))</formula>
    </cfRule>
  </conditionalFormatting>
  <conditionalFormatting sqref="W47">
    <cfRule type="containsText" dxfId="0" priority="518" operator="between" text="欠">
      <formula>NOT(ISERROR(SEARCH("欠",W47)))</formula>
    </cfRule>
  </conditionalFormatting>
  <conditionalFormatting sqref="X47">
    <cfRule type="containsText" dxfId="0" priority="517" operator="between" text="欠">
      <formula>NOT(ISERROR(SEARCH("欠",X47)))</formula>
    </cfRule>
  </conditionalFormatting>
  <conditionalFormatting sqref="Y47">
    <cfRule type="containsText" dxfId="0" priority="516" operator="between" text="欠">
      <formula>NOT(ISERROR(SEARCH("欠",Y47)))</formula>
    </cfRule>
  </conditionalFormatting>
  <conditionalFormatting sqref="W71">
    <cfRule type="containsText" dxfId="0" priority="504" operator="between" text="欠">
      <formula>NOT(ISERROR(SEARCH("欠",W71)))</formula>
    </cfRule>
  </conditionalFormatting>
  <conditionalFormatting sqref="X71">
    <cfRule type="containsText" dxfId="0" priority="502" operator="between" text="欠">
      <formula>NOT(ISERROR(SEARCH("欠",X71)))</formula>
    </cfRule>
  </conditionalFormatting>
  <conditionalFormatting sqref="Y71">
    <cfRule type="containsText" dxfId="0" priority="503" operator="between" text="欠">
      <formula>NOT(ISERROR(SEARCH("欠",Y71)))</formula>
    </cfRule>
  </conditionalFormatting>
  <conditionalFormatting sqref="Z71">
    <cfRule type="containsText" dxfId="0" priority="505" operator="between" text="欠">
      <formula>NOT(ISERROR(SEARCH("欠",Z71)))</formula>
    </cfRule>
  </conditionalFormatting>
  <conditionalFormatting sqref="W72">
    <cfRule type="containsText" dxfId="0" priority="500" operator="between" text="欠">
      <formula>NOT(ISERROR(SEARCH("欠",W72)))</formula>
    </cfRule>
  </conditionalFormatting>
  <conditionalFormatting sqref="X72">
    <cfRule type="containsText" dxfId="0" priority="498" operator="between" text="欠">
      <formula>NOT(ISERROR(SEARCH("欠",X72)))</formula>
    </cfRule>
  </conditionalFormatting>
  <conditionalFormatting sqref="Y72">
    <cfRule type="containsText" dxfId="0" priority="499" operator="between" text="欠">
      <formula>NOT(ISERROR(SEARCH("欠",Y72)))</formula>
    </cfRule>
  </conditionalFormatting>
  <conditionalFormatting sqref="Z72">
    <cfRule type="containsText" dxfId="0" priority="501" operator="between" text="欠">
      <formula>NOT(ISERROR(SEARCH("欠",Z72)))</formula>
    </cfRule>
  </conditionalFormatting>
  <conditionalFormatting sqref="W73">
    <cfRule type="containsText" dxfId="0" priority="496" operator="between" text="欠">
      <formula>NOT(ISERROR(SEARCH("欠",W73)))</formula>
    </cfRule>
  </conditionalFormatting>
  <conditionalFormatting sqref="X73">
    <cfRule type="containsText" dxfId="0" priority="494" operator="between" text="欠">
      <formula>NOT(ISERROR(SEARCH("欠",X73)))</formula>
    </cfRule>
  </conditionalFormatting>
  <conditionalFormatting sqref="Y73">
    <cfRule type="containsText" dxfId="0" priority="495" operator="between" text="欠">
      <formula>NOT(ISERROR(SEARCH("欠",Y73)))</formula>
    </cfRule>
  </conditionalFormatting>
  <conditionalFormatting sqref="Z73">
    <cfRule type="containsText" dxfId="0" priority="497" operator="between" text="欠">
      <formula>NOT(ISERROR(SEARCH("欠",Z73)))</formula>
    </cfRule>
  </conditionalFormatting>
  <conditionalFormatting sqref="X81">
    <cfRule type="containsText" dxfId="0" priority="487" operator="between" text="欠">
      <formula>NOT(ISERROR(SEARCH("欠",X81)))</formula>
    </cfRule>
  </conditionalFormatting>
  <conditionalFormatting sqref="Z81">
    <cfRule type="containsText" dxfId="0" priority="485" operator="between" text="欠">
      <formula>NOT(ISERROR(SEARCH("欠",Z81)))</formula>
    </cfRule>
  </conditionalFormatting>
  <conditionalFormatting sqref="X82">
    <cfRule type="containsText" dxfId="0" priority="486" operator="between" text="欠">
      <formula>NOT(ISERROR(SEARCH("欠",X82)))</formula>
    </cfRule>
  </conditionalFormatting>
  <conditionalFormatting sqref="Z82">
    <cfRule type="containsText" dxfId="0" priority="484" operator="between" text="欠">
      <formula>NOT(ISERROR(SEARCH("欠",Z82)))</formula>
    </cfRule>
  </conditionalFormatting>
  <conditionalFormatting sqref="X83">
    <cfRule type="containsText" dxfId="0" priority="483" operator="between" text="欠">
      <formula>NOT(ISERROR(SEARCH("欠",X83)))</formula>
    </cfRule>
  </conditionalFormatting>
  <conditionalFormatting sqref="Z83">
    <cfRule type="containsText" dxfId="0" priority="482" operator="between" text="欠">
      <formula>NOT(ISERROR(SEARCH("欠",Z83)))</formula>
    </cfRule>
  </conditionalFormatting>
  <conditionalFormatting sqref="W89">
    <cfRule type="containsText" dxfId="0" priority="467" operator="between" text="欠">
      <formula>NOT(ISERROR(SEARCH("欠",W89)))</formula>
    </cfRule>
  </conditionalFormatting>
  <conditionalFormatting sqref="X89">
    <cfRule type="containsText" dxfId="0" priority="466" operator="between" text="欠">
      <formula>NOT(ISERROR(SEARCH("欠",X89)))</formula>
    </cfRule>
  </conditionalFormatting>
  <conditionalFormatting sqref="Y89">
    <cfRule type="containsText" dxfId="0" priority="464" operator="between" text="欠">
      <formula>NOT(ISERROR(SEARCH("欠",Y89)))</formula>
    </cfRule>
  </conditionalFormatting>
  <conditionalFormatting sqref="Z89">
    <cfRule type="containsText" dxfId="0" priority="465" operator="between" text="欠">
      <formula>NOT(ISERROR(SEARCH("欠",Z89)))</formula>
    </cfRule>
  </conditionalFormatting>
  <conditionalFormatting sqref="V92">
    <cfRule type="containsText" dxfId="0" priority="473" operator="between" text="欠">
      <formula>NOT(ISERROR(SEARCH("欠",V92)))</formula>
    </cfRule>
  </conditionalFormatting>
  <conditionalFormatting sqref="X92">
    <cfRule type="containsText" dxfId="0" priority="472" operator="between" text="欠">
      <formula>NOT(ISERROR(SEARCH("欠",X92)))</formula>
    </cfRule>
  </conditionalFormatting>
  <conditionalFormatting sqref="X98">
    <cfRule type="containsText" dxfId="0" priority="458" operator="between" text="欠">
      <formula>NOT(ISERROR(SEARCH("欠",X98)))</formula>
    </cfRule>
  </conditionalFormatting>
  <conditionalFormatting sqref="Z98">
    <cfRule type="containsText" dxfId="0" priority="462" operator="between" text="欠">
      <formula>NOT(ISERROR(SEARCH("欠",Z98)))</formula>
    </cfRule>
  </conditionalFormatting>
  <conditionalFormatting sqref="X99">
    <cfRule type="containsText" dxfId="0" priority="459" operator="between" text="欠">
      <formula>NOT(ISERROR(SEARCH("欠",X99)))</formula>
    </cfRule>
  </conditionalFormatting>
  <conditionalFormatting sqref="Z99">
    <cfRule type="containsText" dxfId="0" priority="463" operator="between" text="欠">
      <formula>NOT(ISERROR(SEARCH("欠",Z99)))</formula>
    </cfRule>
  </conditionalFormatting>
  <conditionalFormatting sqref="X100">
    <cfRule type="containsText" dxfId="0" priority="457" operator="between" text="欠">
      <formula>NOT(ISERROR(SEARCH("欠",X100)))</formula>
    </cfRule>
  </conditionalFormatting>
  <conditionalFormatting sqref="Z100">
    <cfRule type="containsText" dxfId="0" priority="461" operator="between" text="欠">
      <formula>NOT(ISERROR(SEARCH("欠",Z100)))</formula>
    </cfRule>
  </conditionalFormatting>
  <conditionalFormatting sqref="W105">
    <cfRule type="containsText" dxfId="0" priority="455" operator="between" text="欠">
      <formula>NOT(ISERROR(SEARCH("欠",W105)))</formula>
    </cfRule>
  </conditionalFormatting>
  <conditionalFormatting sqref="X105">
    <cfRule type="containsText" dxfId="0" priority="454" operator="between" text="欠">
      <formula>NOT(ISERROR(SEARCH("欠",X105)))</formula>
    </cfRule>
  </conditionalFormatting>
  <conditionalFormatting sqref="Y105">
    <cfRule type="containsText" dxfId="0" priority="453" operator="between" text="欠">
      <formula>NOT(ISERROR(SEARCH("欠",Y105)))</formula>
    </cfRule>
  </conditionalFormatting>
  <conditionalFormatting sqref="Z105">
    <cfRule type="containsText" dxfId="0" priority="468" operator="between" text="欠">
      <formula>NOT(ISERROR(SEARCH("欠",Z105)))</formula>
    </cfRule>
  </conditionalFormatting>
  <conditionalFormatting sqref="W113">
    <cfRule type="containsText" dxfId="0" priority="452" operator="between" text="欠">
      <formula>NOT(ISERROR(SEARCH("欠",W113)))</formula>
    </cfRule>
  </conditionalFormatting>
  <conditionalFormatting sqref="X113">
    <cfRule type="containsText" dxfId="0" priority="451" operator="between" text="欠">
      <formula>NOT(ISERROR(SEARCH("欠",X113)))</formula>
    </cfRule>
  </conditionalFormatting>
  <conditionalFormatting sqref="Y113">
    <cfRule type="containsText" dxfId="0" priority="449" operator="between" text="欠">
      <formula>NOT(ISERROR(SEARCH("欠",Y113)))</formula>
    </cfRule>
  </conditionalFormatting>
  <conditionalFormatting sqref="Z113">
    <cfRule type="containsText" dxfId="0" priority="450" operator="between" text="欠">
      <formula>NOT(ISERROR(SEARCH("欠",Z113)))</formula>
    </cfRule>
  </conditionalFormatting>
  <conditionalFormatting sqref="X114">
    <cfRule type="containsText" dxfId="0" priority="439" operator="between" text="欠">
      <formula>NOT(ISERROR(SEARCH("欠",X114)))</formula>
    </cfRule>
  </conditionalFormatting>
  <conditionalFormatting sqref="Y114">
    <cfRule type="containsText" dxfId="0" priority="438" operator="between" text="欠">
      <formula>NOT(ISERROR(SEARCH("欠",Y114)))</formula>
    </cfRule>
  </conditionalFormatting>
  <conditionalFormatting sqref="Z114">
    <cfRule type="containsText" dxfId="0" priority="442" operator="between" text="欠">
      <formula>NOT(ISERROR(SEARCH("欠",Z114)))</formula>
    </cfRule>
  </conditionalFormatting>
  <conditionalFormatting sqref="BM114">
    <cfRule type="expression" dxfId="2" priority="441">
      <formula>$BS$3="合计"</formula>
    </cfRule>
  </conditionalFormatting>
  <conditionalFormatting sqref="Y128">
    <cfRule type="containsText" dxfId="0" priority="427" operator="between" text="欠">
      <formula>NOT(ISERROR(SEARCH("欠",Y128)))</formula>
    </cfRule>
  </conditionalFormatting>
  <conditionalFormatting sqref="W142">
    <cfRule type="containsText" dxfId="0" priority="434" operator="between" text="欠">
      <formula>NOT(ISERROR(SEARCH("欠",W142)))</formula>
    </cfRule>
  </conditionalFormatting>
  <conditionalFormatting sqref="X142">
    <cfRule type="containsText" dxfId="0" priority="436" operator="between" text="欠">
      <formula>NOT(ISERROR(SEARCH("欠",X142)))</formula>
    </cfRule>
  </conditionalFormatting>
  <conditionalFormatting sqref="Y142">
    <cfRule type="containsText" dxfId="0" priority="435" operator="between" text="欠">
      <formula>NOT(ISERROR(SEARCH("欠",Y142)))</formula>
    </cfRule>
  </conditionalFormatting>
  <conditionalFormatting sqref="Z142">
    <cfRule type="containsText" dxfId="0" priority="437" operator="between" text="欠">
      <formula>NOT(ISERROR(SEARCH("欠",Z142)))</formula>
    </cfRule>
  </conditionalFormatting>
  <conditionalFormatting sqref="X148">
    <cfRule type="containsText" dxfId="0" priority="447" operator="between" text="欠">
      <formula>NOT(ISERROR(SEARCH("欠",X148)))</formula>
    </cfRule>
  </conditionalFormatting>
  <conditionalFormatting sqref="Y148">
    <cfRule type="containsText" dxfId="0" priority="448" operator="between" text="欠">
      <formula>NOT(ISERROR(SEARCH("欠",Y148)))</formula>
    </cfRule>
  </conditionalFormatting>
  <conditionalFormatting sqref="W158">
    <cfRule type="containsText" dxfId="0" priority="424" operator="between" text="欠">
      <formula>NOT(ISERROR(SEARCH("欠",W158)))</formula>
    </cfRule>
  </conditionalFormatting>
  <conditionalFormatting sqref="X158">
    <cfRule type="containsText" dxfId="0" priority="423" operator="between" text="欠">
      <formula>NOT(ISERROR(SEARCH("欠",X158)))</formula>
    </cfRule>
  </conditionalFormatting>
  <conditionalFormatting sqref="Y158">
    <cfRule type="containsText" dxfId="0" priority="422" operator="between" text="欠">
      <formula>NOT(ISERROR(SEARCH("欠",Y158)))</formula>
    </cfRule>
  </conditionalFormatting>
  <conditionalFormatting sqref="Z158">
    <cfRule type="containsText" dxfId="0" priority="426" operator="between" text="欠">
      <formula>NOT(ISERROR(SEARCH("欠",Z158)))</formula>
    </cfRule>
  </conditionalFormatting>
  <conditionalFormatting sqref="V174">
    <cfRule type="containsText" dxfId="0" priority="403" operator="between" text="欠">
      <formula>NOT(ISERROR(SEARCH("欠",V174)))</formula>
    </cfRule>
  </conditionalFormatting>
  <conditionalFormatting sqref="X174">
    <cfRule type="containsText" dxfId="0" priority="402" operator="between" text="欠">
      <formula>NOT(ISERROR(SEARCH("欠",X174)))</formula>
    </cfRule>
  </conditionalFormatting>
  <conditionalFormatting sqref="V175">
    <cfRule type="containsText" dxfId="0" priority="407" operator="between" text="欠">
      <formula>NOT(ISERROR(SEARCH("欠",V175)))</formula>
    </cfRule>
  </conditionalFormatting>
  <conditionalFormatting sqref="X175">
    <cfRule type="containsText" dxfId="0" priority="406" operator="between" text="欠">
      <formula>NOT(ISERROR(SEARCH("欠",X175)))</formula>
    </cfRule>
  </conditionalFormatting>
  <conditionalFormatting sqref="X176">
    <cfRule type="containsText" dxfId="0" priority="385" operator="between" text="欠">
      <formula>NOT(ISERROR(SEARCH("欠",X176)))</formula>
    </cfRule>
  </conditionalFormatting>
  <conditionalFormatting sqref="BS176">
    <cfRule type="expression" dxfId="2" priority="396">
      <formula>$BS$3="合计"</formula>
    </cfRule>
  </conditionalFormatting>
  <conditionalFormatting sqref="X177">
    <cfRule type="containsText" dxfId="0" priority="384" operator="between" text="欠">
      <formula>NOT(ISERROR(SEARCH("欠",X177)))</formula>
    </cfRule>
  </conditionalFormatting>
  <conditionalFormatting sqref="BS177">
    <cfRule type="expression" dxfId="2" priority="395">
      <formula>$BS$3="合计"</formula>
    </cfRule>
  </conditionalFormatting>
  <conditionalFormatting sqref="X178">
    <cfRule type="containsText" dxfId="0" priority="383" operator="between" text="欠">
      <formula>NOT(ISERROR(SEARCH("欠",X178)))</formula>
    </cfRule>
  </conditionalFormatting>
  <conditionalFormatting sqref="BS178">
    <cfRule type="expression" dxfId="2" priority="394">
      <formula>$BS$3="合计"</formula>
    </cfRule>
  </conditionalFormatting>
  <conditionalFormatting sqref="X179">
    <cfRule type="containsText" dxfId="0" priority="382" operator="between" text="欠">
      <formula>NOT(ISERROR(SEARCH("欠",X179)))</formula>
    </cfRule>
  </conditionalFormatting>
  <conditionalFormatting sqref="BS179">
    <cfRule type="expression" dxfId="2" priority="393">
      <formula>$BS$3="合计"</formula>
    </cfRule>
  </conditionalFormatting>
  <conditionalFormatting sqref="X180">
    <cfRule type="containsText" dxfId="0" priority="381" operator="between" text="欠">
      <formula>NOT(ISERROR(SEARCH("欠",X180)))</formula>
    </cfRule>
  </conditionalFormatting>
  <conditionalFormatting sqref="BS180">
    <cfRule type="expression" dxfId="2" priority="392">
      <formula>$BS$3="合计"</formula>
    </cfRule>
  </conditionalFormatting>
  <conditionalFormatting sqref="X181">
    <cfRule type="containsText" dxfId="0" priority="380" operator="between" text="欠">
      <formula>NOT(ISERROR(SEARCH("欠",X181)))</formula>
    </cfRule>
  </conditionalFormatting>
  <conditionalFormatting sqref="BS181">
    <cfRule type="expression" dxfId="2" priority="391">
      <formula>$BS$3="合计"</formula>
    </cfRule>
  </conditionalFormatting>
  <conditionalFormatting sqref="X182">
    <cfRule type="containsText" dxfId="0" priority="379" operator="between" text="欠">
      <formula>NOT(ISERROR(SEARCH("欠",X182)))</formula>
    </cfRule>
  </conditionalFormatting>
  <conditionalFormatting sqref="BS182">
    <cfRule type="expression" dxfId="2" priority="390">
      <formula>$BS$3="合计"</formula>
    </cfRule>
  </conditionalFormatting>
  <conditionalFormatting sqref="X183">
    <cfRule type="containsText" dxfId="0" priority="378" operator="between" text="欠">
      <formula>NOT(ISERROR(SEARCH("欠",X183)))</formula>
    </cfRule>
  </conditionalFormatting>
  <conditionalFormatting sqref="BS183">
    <cfRule type="expression" dxfId="2" priority="389">
      <formula>$BS$3="合计"</formula>
    </cfRule>
  </conditionalFormatting>
  <conditionalFormatting sqref="X184">
    <cfRule type="containsText" dxfId="0" priority="377" operator="between" text="欠">
      <formula>NOT(ISERROR(SEARCH("欠",X184)))</formula>
    </cfRule>
  </conditionalFormatting>
  <conditionalFormatting sqref="BS184">
    <cfRule type="expression" dxfId="2" priority="388">
      <formula>$BS$3="合计"</formula>
    </cfRule>
  </conditionalFormatting>
  <conditionalFormatting sqref="X185">
    <cfRule type="containsText" dxfId="0" priority="376" operator="between" text="欠">
      <formula>NOT(ISERROR(SEARCH("欠",X185)))</formula>
    </cfRule>
  </conditionalFormatting>
  <conditionalFormatting sqref="BS185">
    <cfRule type="expression" dxfId="2" priority="387">
      <formula>$BS$3="合计"</formula>
    </cfRule>
  </conditionalFormatting>
  <conditionalFormatting sqref="X186">
    <cfRule type="containsText" dxfId="0" priority="375" operator="between" text="欠">
      <formula>NOT(ISERROR(SEARCH("欠",X186)))</formula>
    </cfRule>
  </conditionalFormatting>
  <conditionalFormatting sqref="BS186">
    <cfRule type="expression" dxfId="2" priority="386">
      <formula>$BS$3="合计"</formula>
    </cfRule>
  </conditionalFormatting>
  <conditionalFormatting sqref="X187">
    <cfRule type="containsText" dxfId="0" priority="410" operator="between" text="欠">
      <formula>NOT(ISERROR(SEARCH("欠",X187)))</formula>
    </cfRule>
  </conditionalFormatting>
  <conditionalFormatting sqref="Z187">
    <cfRule type="containsText" dxfId="0" priority="413" operator="between" text="欠">
      <formula>NOT(ISERROR(SEARCH("欠",Z187)))</formula>
    </cfRule>
  </conditionalFormatting>
  <conditionalFormatting sqref="BS187">
    <cfRule type="expression" dxfId="2" priority="412">
      <formula>$BS$3="合计"</formula>
    </cfRule>
  </conditionalFormatting>
  <conditionalFormatting sqref="BS192">
    <cfRule type="expression" dxfId="2" priority="417">
      <formula>$BS$3="合计"</formula>
    </cfRule>
  </conditionalFormatting>
  <conditionalFormatting sqref="X196">
    <cfRule type="containsText" dxfId="0" priority="369" operator="between" text="欠">
      <formula>NOT(ISERROR(SEARCH("欠",X196)))</formula>
    </cfRule>
  </conditionalFormatting>
  <conditionalFormatting sqref="BS196">
    <cfRule type="expression" dxfId="2" priority="371">
      <formula>$BS$3="合计"</formula>
    </cfRule>
  </conditionalFormatting>
  <conditionalFormatting sqref="X197">
    <cfRule type="containsText" dxfId="0" priority="368" operator="between" text="欠">
      <formula>NOT(ISERROR(SEARCH("欠",X197)))</formula>
    </cfRule>
  </conditionalFormatting>
  <conditionalFormatting sqref="BS197">
    <cfRule type="expression" dxfId="2" priority="370">
      <formula>$BS$3="合计"</formula>
    </cfRule>
  </conditionalFormatting>
  <conditionalFormatting sqref="O201">
    <cfRule type="containsText" dxfId="0" priority="325" operator="between" text="欠">
      <formula>NOT(ISERROR(SEARCH("欠",O201)))</formula>
    </cfRule>
  </conditionalFormatting>
  <conditionalFormatting sqref="W201">
    <cfRule type="containsText" dxfId="0" priority="328" operator="between" text="欠">
      <formula>NOT(ISERROR(SEARCH("欠",W201)))</formula>
    </cfRule>
  </conditionalFormatting>
  <conditionalFormatting sqref="X201">
    <cfRule type="containsText" dxfId="0" priority="327" operator="between" text="欠">
      <formula>NOT(ISERROR(SEARCH("欠",X201)))</formula>
    </cfRule>
  </conditionalFormatting>
  <conditionalFormatting sqref="Y201">
    <cfRule type="containsText" dxfId="0" priority="326" operator="between" text="欠">
      <formula>NOT(ISERROR(SEARCH("欠",Y201)))</formula>
    </cfRule>
  </conditionalFormatting>
  <conditionalFormatting sqref="Z201">
    <cfRule type="containsText" dxfId="0" priority="330" operator="between" text="欠">
      <formula>NOT(ISERROR(SEARCH("欠",Z201)))</formula>
    </cfRule>
  </conditionalFormatting>
  <conditionalFormatting sqref="BS201">
    <cfRule type="expression" dxfId="2" priority="329">
      <formula>$BS$3="合计"</formula>
    </cfRule>
  </conditionalFormatting>
  <conditionalFormatting sqref="W203">
    <cfRule type="containsText" dxfId="0" priority="400" operator="between" text="欠">
      <formula>NOT(ISERROR(SEARCH("欠",W203)))</formula>
    </cfRule>
  </conditionalFormatting>
  <conditionalFormatting sqref="W204">
    <cfRule type="containsText" dxfId="0" priority="399" operator="between" text="欠">
      <formula>NOT(ISERROR(SEARCH("欠",W204)))</formula>
    </cfRule>
  </conditionalFormatting>
  <conditionalFormatting sqref="O205">
    <cfRule type="containsText" dxfId="0" priority="398" operator="between" text="欠">
      <formula>NOT(ISERROR(SEARCH("欠",O205)))</formula>
    </cfRule>
  </conditionalFormatting>
  <conditionalFormatting sqref="O209">
    <cfRule type="containsText" dxfId="0" priority="331" operator="between" text="欠">
      <formula>NOT(ISERROR(SEARCH("欠",O209)))</formula>
    </cfRule>
  </conditionalFormatting>
  <conditionalFormatting sqref="W209">
    <cfRule type="containsText" dxfId="0" priority="352" operator="between" text="欠">
      <formula>NOT(ISERROR(SEARCH("欠",W209)))</formula>
    </cfRule>
  </conditionalFormatting>
  <conditionalFormatting sqref="X209">
    <cfRule type="containsText" dxfId="0" priority="333" operator="between" text="欠">
      <formula>NOT(ISERROR(SEARCH("欠",X209)))</formula>
    </cfRule>
  </conditionalFormatting>
  <conditionalFormatting sqref="Y209">
    <cfRule type="containsText" dxfId="0" priority="332" operator="between" text="欠">
      <formula>NOT(ISERROR(SEARCH("欠",Y209)))</formula>
    </cfRule>
  </conditionalFormatting>
  <conditionalFormatting sqref="Z209">
    <cfRule type="containsText" dxfId="0" priority="335" operator="between" text="欠">
      <formula>NOT(ISERROR(SEARCH("欠",Z209)))</formula>
    </cfRule>
  </conditionalFormatting>
  <conditionalFormatting sqref="BS209">
    <cfRule type="expression" dxfId="2" priority="334">
      <formula>$BS$3="合计"</formula>
    </cfRule>
  </conditionalFormatting>
  <conditionalFormatting sqref="O210">
    <cfRule type="containsText" dxfId="0" priority="349" operator="between" text="欠">
      <formula>NOT(ISERROR(SEARCH("欠",O210)))</formula>
    </cfRule>
  </conditionalFormatting>
  <conditionalFormatting sqref="X210">
    <cfRule type="containsText" dxfId="0" priority="351" operator="between" text="欠">
      <formula>NOT(ISERROR(SEARCH("欠",X210)))</formula>
    </cfRule>
  </conditionalFormatting>
  <conditionalFormatting sqref="Y210">
    <cfRule type="containsText" dxfId="0" priority="350" operator="between" text="欠">
      <formula>NOT(ISERROR(SEARCH("欠",Y210)))</formula>
    </cfRule>
  </conditionalFormatting>
  <conditionalFormatting sqref="Z210">
    <cfRule type="containsText" dxfId="0" priority="354" operator="between" text="欠">
      <formula>NOT(ISERROR(SEARCH("欠",Z210)))</formula>
    </cfRule>
  </conditionalFormatting>
  <conditionalFormatting sqref="BS210">
    <cfRule type="expression" dxfId="2" priority="353">
      <formula>$BS$3="合计"</formula>
    </cfRule>
  </conditionalFormatting>
  <conditionalFormatting sqref="O211">
    <cfRule type="containsText" dxfId="0" priority="339" operator="between" text="欠">
      <formula>NOT(ISERROR(SEARCH("欠",O211)))</formula>
    </cfRule>
  </conditionalFormatting>
  <conditionalFormatting sqref="X211">
    <cfRule type="containsText" dxfId="0" priority="341" operator="between" text="欠">
      <formula>NOT(ISERROR(SEARCH("欠",X211)))</formula>
    </cfRule>
  </conditionalFormatting>
  <conditionalFormatting sqref="Y211">
    <cfRule type="containsText" dxfId="0" priority="340" operator="between" text="欠">
      <formula>NOT(ISERROR(SEARCH("欠",Y211)))</formula>
    </cfRule>
  </conditionalFormatting>
  <conditionalFormatting sqref="Z211">
    <cfRule type="containsText" dxfId="0" priority="324" operator="between" text="欠">
      <formula>NOT(ISERROR(SEARCH("欠",Z211)))</formula>
    </cfRule>
  </conditionalFormatting>
  <conditionalFormatting sqref="BS211">
    <cfRule type="expression" dxfId="2" priority="342">
      <formula>$BS$3="合计"</formula>
    </cfRule>
  </conditionalFormatting>
  <conditionalFormatting sqref="P213:T213">
    <cfRule type="containsText" dxfId="0" priority="309" operator="between" text="欠">
      <formula>NOT(ISERROR(SEARCH("欠",P213)))</formula>
    </cfRule>
  </conditionalFormatting>
  <conditionalFormatting sqref="W213">
    <cfRule type="containsText" dxfId="0" priority="363" operator="between" text="欠">
      <formula>NOT(ISERROR(SEARCH("欠",W213)))</formula>
    </cfRule>
  </conditionalFormatting>
  <conditionalFormatting sqref="Y213">
    <cfRule type="containsText" dxfId="0" priority="361" operator="between" text="欠">
      <formula>NOT(ISERROR(SEARCH("欠",Y213)))</formula>
    </cfRule>
  </conditionalFormatting>
  <conditionalFormatting sqref="Z213">
    <cfRule type="containsText" dxfId="0" priority="365" operator="between" text="欠">
      <formula>NOT(ISERROR(SEARCH("欠",Z213)))</formula>
    </cfRule>
  </conditionalFormatting>
  <conditionalFormatting sqref="P214:T214">
    <cfRule type="containsText" dxfId="0" priority="251" operator="between" text="欠">
      <formula>NOT(ISERROR(SEARCH("欠",P214)))</formula>
    </cfRule>
  </conditionalFormatting>
  <conditionalFormatting sqref="P215:T215">
    <cfRule type="containsText" dxfId="0" priority="250" operator="between" text="欠">
      <formula>NOT(ISERROR(SEARCH("欠",P215)))</formula>
    </cfRule>
  </conditionalFormatting>
  <conditionalFormatting sqref="X215">
    <cfRule type="containsText" dxfId="0" priority="311" operator="between" text="欠">
      <formula>NOT(ISERROR(SEARCH("欠",X215)))</formula>
    </cfRule>
  </conditionalFormatting>
  <conditionalFormatting sqref="Z215">
    <cfRule type="containsText" dxfId="0" priority="314" operator="between" text="欠">
      <formula>NOT(ISERROR(SEARCH("欠",Z215)))</formula>
    </cfRule>
  </conditionalFormatting>
  <conditionalFormatting sqref="BS215">
    <cfRule type="expression" dxfId="2" priority="313">
      <formula>$BS$3="合计"</formula>
    </cfRule>
  </conditionalFormatting>
  <conditionalFormatting sqref="X218">
    <cfRule type="containsText" dxfId="0" priority="356" operator="between" text="欠">
      <formula>NOT(ISERROR(SEARCH("欠",X218)))</formula>
    </cfRule>
  </conditionalFormatting>
  <conditionalFormatting sqref="BS218">
    <cfRule type="expression" dxfId="2" priority="358">
      <formula>$BS$3="合计"</formula>
    </cfRule>
  </conditionalFormatting>
  <conditionalFormatting sqref="O224">
    <cfRule type="containsText" dxfId="0" priority="346" operator="between" text="欠">
      <formula>NOT(ISERROR(SEARCH("欠",O224)))</formula>
    </cfRule>
  </conditionalFormatting>
  <conditionalFormatting sqref="X224">
    <cfRule type="containsText" dxfId="0" priority="347" operator="between" text="欠">
      <formula>NOT(ISERROR(SEARCH("欠",X224)))</formula>
    </cfRule>
  </conditionalFormatting>
  <conditionalFormatting sqref="BS224">
    <cfRule type="expression" dxfId="2" priority="348">
      <formula>$BS$3="合计"</formula>
    </cfRule>
  </conditionalFormatting>
  <conditionalFormatting sqref="W229">
    <cfRule type="containsText" dxfId="0" priority="318" operator="between" text="欠">
      <formula>NOT(ISERROR(SEARCH("欠",W229)))</formula>
    </cfRule>
  </conditionalFormatting>
  <conditionalFormatting sqref="X229">
    <cfRule type="containsText" dxfId="0" priority="317" operator="between" text="欠">
      <formula>NOT(ISERROR(SEARCH("欠",X229)))</formula>
    </cfRule>
  </conditionalFormatting>
  <conditionalFormatting sqref="Y229">
    <cfRule type="containsText" dxfId="0" priority="316" operator="between" text="欠">
      <formula>NOT(ISERROR(SEARCH("欠",Y229)))</formula>
    </cfRule>
  </conditionalFormatting>
  <conditionalFormatting sqref="BS229">
    <cfRule type="expression" dxfId="2" priority="319">
      <formula>$BS$3="合计"</formula>
    </cfRule>
  </conditionalFormatting>
  <conditionalFormatting sqref="P230:T230">
    <cfRule type="containsText" dxfId="0" priority="239" operator="between" text="欠">
      <formula>NOT(ISERROR(SEARCH("欠",P230)))</formula>
    </cfRule>
  </conditionalFormatting>
  <conditionalFormatting sqref="W230">
    <cfRule type="containsText" dxfId="0" priority="315" operator="between" text="欠">
      <formula>NOT(ISERROR(SEARCH("欠",W230)))</formula>
    </cfRule>
  </conditionalFormatting>
  <conditionalFormatting sqref="Y230">
    <cfRule type="containsText" dxfId="0" priority="320" operator="between" text="欠">
      <formula>NOT(ISERROR(SEARCH("欠",Y230)))</formula>
    </cfRule>
  </conditionalFormatting>
  <conditionalFormatting sqref="X233">
    <cfRule type="containsText" dxfId="0" priority="293" operator="between" text="欠">
      <formula>NOT(ISERROR(SEARCH("欠",X233)))</formula>
    </cfRule>
  </conditionalFormatting>
  <conditionalFormatting sqref="Z233">
    <cfRule type="cellIs" dxfId="0" priority="285" operator="equal">
      <formula>"欠"</formula>
    </cfRule>
    <cfRule type="containsText" dxfId="0" priority="277" operator="between" text="欠">
      <formula>NOT(ISERROR(SEARCH("欠",Z233)))</formula>
    </cfRule>
  </conditionalFormatting>
  <conditionalFormatting sqref="BS233">
    <cfRule type="expression" dxfId="2" priority="300">
      <formula>$BS$3="合计"</formula>
    </cfRule>
  </conditionalFormatting>
  <conditionalFormatting sqref="X234">
    <cfRule type="containsText" dxfId="0" priority="292" operator="between" text="欠">
      <formula>NOT(ISERROR(SEARCH("欠",X234)))</formula>
    </cfRule>
  </conditionalFormatting>
  <conditionalFormatting sqref="Z234">
    <cfRule type="cellIs" dxfId="0" priority="284" operator="equal">
      <formula>"欠"</formula>
    </cfRule>
    <cfRule type="containsText" dxfId="0" priority="276" operator="between" text="欠">
      <formula>NOT(ISERROR(SEARCH("欠",Z234)))</formula>
    </cfRule>
  </conditionalFormatting>
  <conditionalFormatting sqref="BS234">
    <cfRule type="expression" dxfId="2" priority="299">
      <formula>$BS$3="合计"</formula>
    </cfRule>
  </conditionalFormatting>
  <conditionalFormatting sqref="X235">
    <cfRule type="containsText" dxfId="0" priority="291" operator="between" text="欠">
      <formula>NOT(ISERROR(SEARCH("欠",X235)))</formula>
    </cfRule>
  </conditionalFormatting>
  <conditionalFormatting sqref="Z235">
    <cfRule type="cellIs" dxfId="0" priority="283" operator="equal">
      <formula>"欠"</formula>
    </cfRule>
    <cfRule type="containsText" dxfId="0" priority="275" operator="between" text="欠">
      <formula>NOT(ISERROR(SEARCH("欠",Z235)))</formula>
    </cfRule>
  </conditionalFormatting>
  <conditionalFormatting sqref="BS235">
    <cfRule type="expression" dxfId="2" priority="298">
      <formula>$BS$3="合计"</formula>
    </cfRule>
  </conditionalFormatting>
  <conditionalFormatting sqref="X236">
    <cfRule type="containsText" dxfId="0" priority="290" operator="between" text="欠">
      <formula>NOT(ISERROR(SEARCH("欠",X236)))</formula>
    </cfRule>
  </conditionalFormatting>
  <conditionalFormatting sqref="Z236">
    <cfRule type="cellIs" dxfId="0" priority="282" operator="equal">
      <formula>"欠"</formula>
    </cfRule>
    <cfRule type="containsText" dxfId="0" priority="274" operator="between" text="欠">
      <formula>NOT(ISERROR(SEARCH("欠",Z236)))</formula>
    </cfRule>
  </conditionalFormatting>
  <conditionalFormatting sqref="BS236">
    <cfRule type="expression" dxfId="2" priority="297">
      <formula>$BS$3="合计"</formula>
    </cfRule>
  </conditionalFormatting>
  <conditionalFormatting sqref="X237">
    <cfRule type="containsText" dxfId="0" priority="289" operator="between" text="欠">
      <formula>NOT(ISERROR(SEARCH("欠",X237)))</formula>
    </cfRule>
  </conditionalFormatting>
  <conditionalFormatting sqref="Z237">
    <cfRule type="cellIs" dxfId="0" priority="281" operator="equal">
      <formula>"欠"</formula>
    </cfRule>
    <cfRule type="containsText" dxfId="0" priority="273" operator="between" text="欠">
      <formula>NOT(ISERROR(SEARCH("欠",Z237)))</formula>
    </cfRule>
  </conditionalFormatting>
  <conditionalFormatting sqref="BS237">
    <cfRule type="expression" dxfId="2" priority="296">
      <formula>$BS$3="合计"</formula>
    </cfRule>
  </conditionalFormatting>
  <conditionalFormatting sqref="X238">
    <cfRule type="containsText" dxfId="0" priority="288" operator="between" text="欠">
      <formula>NOT(ISERROR(SEARCH("欠",X238)))</formula>
    </cfRule>
  </conditionalFormatting>
  <conditionalFormatting sqref="Z238">
    <cfRule type="cellIs" dxfId="0" priority="280" operator="equal">
      <formula>"欠"</formula>
    </cfRule>
    <cfRule type="containsText" dxfId="0" priority="272" operator="between" text="欠">
      <formula>NOT(ISERROR(SEARCH("欠",Z238)))</formula>
    </cfRule>
  </conditionalFormatting>
  <conditionalFormatting sqref="BS238">
    <cfRule type="expression" dxfId="2" priority="295">
      <formula>$BS$3="合计"</formula>
    </cfRule>
  </conditionalFormatting>
  <conditionalFormatting sqref="X239">
    <cfRule type="containsText" dxfId="0" priority="287" operator="between" text="欠">
      <formula>NOT(ISERROR(SEARCH("欠",X239)))</formula>
    </cfRule>
  </conditionalFormatting>
  <conditionalFormatting sqref="Z239">
    <cfRule type="cellIs" dxfId="0" priority="279" operator="equal">
      <formula>"欠"</formula>
    </cfRule>
    <cfRule type="containsText" dxfId="0" priority="271" operator="between" text="欠">
      <formula>NOT(ISERROR(SEARCH("欠",Z239)))</formula>
    </cfRule>
  </conditionalFormatting>
  <conditionalFormatting sqref="BS239">
    <cfRule type="expression" dxfId="2" priority="294">
      <formula>$BS$3="合计"</formula>
    </cfRule>
  </conditionalFormatting>
  <conditionalFormatting sqref="W242">
    <cfRule type="cellIs" dxfId="0" priority="266" operator="equal">
      <formula>"欠"</formula>
    </cfRule>
  </conditionalFormatting>
  <conditionalFormatting sqref="X242">
    <cfRule type="containsText" dxfId="0" priority="269" operator="between" text="欠">
      <formula>NOT(ISERROR(SEARCH("欠",X242)))</formula>
    </cfRule>
  </conditionalFormatting>
  <conditionalFormatting sqref="Y242">
    <cfRule type="containsText" dxfId="0" priority="268" operator="between" text="欠">
      <formula>NOT(ISERROR(SEARCH("欠",Y242)))</formula>
    </cfRule>
  </conditionalFormatting>
  <conditionalFormatting sqref="Z242">
    <cfRule type="cellIs" dxfId="0" priority="267" operator="equal">
      <formula>"欠"</formula>
    </cfRule>
    <cfRule type="containsText" dxfId="0" priority="265" operator="between" text="欠">
      <formula>NOT(ISERROR(SEARCH("欠",Z242)))</formula>
    </cfRule>
  </conditionalFormatting>
  <conditionalFormatting sqref="BS242">
    <cfRule type="expression" dxfId="2" priority="270">
      <formula>$BS$3="合计"</formula>
    </cfRule>
  </conditionalFormatting>
  <conditionalFormatting sqref="W244">
    <cfRule type="cellIs" dxfId="0" priority="258" operator="equal">
      <formula>"欠"</formula>
    </cfRule>
  </conditionalFormatting>
  <conditionalFormatting sqref="Y244">
    <cfRule type="containsText" dxfId="0" priority="257" operator="between" text="欠">
      <formula>NOT(ISERROR(SEARCH("欠",Y244)))</formula>
    </cfRule>
  </conditionalFormatting>
  <conditionalFormatting sqref="W250">
    <cfRule type="cellIs" dxfId="0" priority="244" operator="equal">
      <formula>"欠"</formula>
    </cfRule>
  </conditionalFormatting>
  <conditionalFormatting sqref="X250">
    <cfRule type="containsText" dxfId="0" priority="246" operator="between" text="欠">
      <formula>NOT(ISERROR(SEARCH("欠",X250)))</formula>
    </cfRule>
  </conditionalFormatting>
  <conditionalFormatting sqref="Y250">
    <cfRule type="containsText" dxfId="0" priority="247" operator="between" text="欠">
      <formula>NOT(ISERROR(SEARCH("欠",Y250)))</formula>
    </cfRule>
  </conditionalFormatting>
  <conditionalFormatting sqref="Z250">
    <cfRule type="cellIs" dxfId="0" priority="245" operator="equal">
      <formula>"欠"</formula>
    </cfRule>
    <cfRule type="containsText" dxfId="0" priority="243" operator="between" text="欠">
      <formula>NOT(ISERROR(SEARCH("欠",Z250)))</formula>
    </cfRule>
  </conditionalFormatting>
  <conditionalFormatting sqref="BS250">
    <cfRule type="expression" dxfId="2" priority="248">
      <formula>$BS$3="合计"</formula>
    </cfRule>
  </conditionalFormatting>
  <conditionalFormatting sqref="Z251">
    <cfRule type="cellIs" dxfId="0" priority="233" operator="equal">
      <formula>"欠"</formula>
    </cfRule>
    <cfRule type="containsText" dxfId="0" priority="232" operator="between" text="欠">
      <formula>NOT(ISERROR(SEARCH("欠",Z251)))</formula>
    </cfRule>
  </conditionalFormatting>
  <conditionalFormatting sqref="X259">
    <cfRule type="containsText" dxfId="0" priority="231" operator="between" text="欠">
      <formula>NOT(ISERROR(SEARCH("欠",X259)))</formula>
    </cfRule>
  </conditionalFormatting>
  <conditionalFormatting sqref="Z259">
    <cfRule type="cellIs" dxfId="0" priority="230" operator="equal">
      <formula>"欠"</formula>
    </cfRule>
    <cfRule type="containsText" dxfId="0" priority="229" operator="between" text="欠">
      <formula>NOT(ISERROR(SEARCH("欠",Z259)))</formula>
    </cfRule>
  </conditionalFormatting>
  <conditionalFormatting sqref="Y264">
    <cfRule type="containsText" dxfId="0" priority="225" operator="between" text="欠">
      <formula>NOT(ISERROR(SEARCH("欠",Y264)))</formula>
    </cfRule>
  </conditionalFormatting>
  <conditionalFormatting sqref="X269">
    <cfRule type="containsText" dxfId="0" priority="222" operator="between" text="欠">
      <formula>NOT(ISERROR(SEARCH("欠",X269)))</formula>
    </cfRule>
  </conditionalFormatting>
  <conditionalFormatting sqref="Z269">
    <cfRule type="cellIs" dxfId="0" priority="220" operator="equal">
      <formula>"欠"</formula>
    </cfRule>
    <cfRule type="containsText" dxfId="0" priority="219" operator="between" text="欠">
      <formula>NOT(ISERROR(SEARCH("欠",Z269)))</formula>
    </cfRule>
  </conditionalFormatting>
  <conditionalFormatting sqref="BS269">
    <cfRule type="expression" dxfId="2" priority="223">
      <formula>$BS$3="合计"</formula>
    </cfRule>
  </conditionalFormatting>
  <conditionalFormatting sqref="W271">
    <cfRule type="cellIs" dxfId="0" priority="207" operator="equal">
      <formula>"欠"</formula>
    </cfRule>
  </conditionalFormatting>
  <conditionalFormatting sqref="X271">
    <cfRule type="containsText" dxfId="0" priority="210" operator="between" text="欠">
      <formula>NOT(ISERROR(SEARCH("欠",X271)))</formula>
    </cfRule>
  </conditionalFormatting>
  <conditionalFormatting sqref="Y271">
    <cfRule type="containsText" dxfId="0" priority="206" operator="between" text="欠">
      <formula>NOT(ISERROR(SEARCH("欠",Y271)))</formula>
    </cfRule>
  </conditionalFormatting>
  <conditionalFormatting sqref="Z271">
    <cfRule type="cellIs" dxfId="0" priority="209" operator="equal">
      <formula>"欠"</formula>
    </cfRule>
    <cfRule type="containsText" dxfId="0" priority="208" operator="between" text="欠">
      <formula>NOT(ISERROR(SEARCH("欠",Z271)))</formula>
    </cfRule>
  </conditionalFormatting>
  <conditionalFormatting sqref="BS271">
    <cfRule type="expression" dxfId="2" priority="211">
      <formula>$BS$3="合计"</formula>
    </cfRule>
  </conditionalFormatting>
  <conditionalFormatting sqref="W272">
    <cfRule type="cellIs" dxfId="0" priority="202" operator="equal">
      <formula>"欠"</formula>
    </cfRule>
  </conditionalFormatting>
  <conditionalFormatting sqref="X272">
    <cfRule type="containsText" dxfId="0" priority="205" operator="between" text="欠">
      <formula>NOT(ISERROR(SEARCH("欠",X272)))</formula>
    </cfRule>
  </conditionalFormatting>
  <conditionalFormatting sqref="Y272">
    <cfRule type="containsText" dxfId="0" priority="201" operator="between" text="欠">
      <formula>NOT(ISERROR(SEARCH("欠",Y272)))</formula>
    </cfRule>
  </conditionalFormatting>
  <conditionalFormatting sqref="Z272">
    <cfRule type="cellIs" dxfId="0" priority="204" operator="equal">
      <formula>"欠"</formula>
    </cfRule>
    <cfRule type="containsText" dxfId="0" priority="203" operator="between" text="欠">
      <formula>NOT(ISERROR(SEARCH("欠",Z272)))</formula>
    </cfRule>
  </conditionalFormatting>
  <conditionalFormatting sqref="W273">
    <cfRule type="cellIs" dxfId="0" priority="191" operator="equal">
      <formula>"欠"</formula>
    </cfRule>
  </conditionalFormatting>
  <conditionalFormatting sqref="X273">
    <cfRule type="containsText" dxfId="0" priority="194" operator="between" text="欠">
      <formula>NOT(ISERROR(SEARCH("欠",X273)))</formula>
    </cfRule>
  </conditionalFormatting>
  <conditionalFormatting sqref="Y273">
    <cfRule type="containsText" dxfId="0" priority="190" operator="between" text="欠">
      <formula>NOT(ISERROR(SEARCH("欠",Y273)))</formula>
    </cfRule>
  </conditionalFormatting>
  <conditionalFormatting sqref="Z273">
    <cfRule type="cellIs" dxfId="0" priority="193" operator="equal">
      <formula>"欠"</formula>
    </cfRule>
    <cfRule type="containsText" dxfId="0" priority="192" operator="between" text="欠">
      <formula>NOT(ISERROR(SEARCH("欠",Z273)))</formula>
    </cfRule>
  </conditionalFormatting>
  <conditionalFormatting sqref="W279">
    <cfRule type="cellIs" dxfId="0" priority="185" operator="equal">
      <formula>"欠"</formula>
    </cfRule>
  </conditionalFormatting>
  <conditionalFormatting sqref="X279">
    <cfRule type="containsText" dxfId="0" priority="188" operator="between" text="欠">
      <formula>NOT(ISERROR(SEARCH("欠",X279)))</formula>
    </cfRule>
  </conditionalFormatting>
  <conditionalFormatting sqref="Y279">
    <cfRule type="containsText" dxfId="0" priority="184" operator="between" text="欠">
      <formula>NOT(ISERROR(SEARCH("欠",Y279)))</formula>
    </cfRule>
  </conditionalFormatting>
  <conditionalFormatting sqref="Z279">
    <cfRule type="cellIs" dxfId="0" priority="187" operator="equal">
      <formula>"欠"</formula>
    </cfRule>
    <cfRule type="containsText" dxfId="0" priority="186" operator="between" text="欠">
      <formula>NOT(ISERROR(SEARCH("欠",Z279)))</formula>
    </cfRule>
  </conditionalFormatting>
  <conditionalFormatting sqref="BS279">
    <cfRule type="expression" dxfId="2" priority="189">
      <formula>$BS$3="合计"</formula>
    </cfRule>
  </conditionalFormatting>
  <conditionalFormatting sqref="W291">
    <cfRule type="containsText" dxfId="0" priority="162" operator="between" text="欠">
      <formula>NOT(ISERROR(SEARCH("欠",W291)))</formula>
    </cfRule>
    <cfRule type="cellIs" dxfId="0" priority="158" operator="equal">
      <formula>"欠"</formula>
    </cfRule>
  </conditionalFormatting>
  <conditionalFormatting sqref="X291">
    <cfRule type="containsText" dxfId="0" priority="161" operator="between" text="欠">
      <formula>NOT(ISERROR(SEARCH("欠",X291)))</formula>
    </cfRule>
  </conditionalFormatting>
  <conditionalFormatting sqref="Y291">
    <cfRule type="containsText" dxfId="0" priority="160" operator="between" text="欠">
      <formula>NOT(ISERROR(SEARCH("欠",Y291)))</formula>
    </cfRule>
  </conditionalFormatting>
  <conditionalFormatting sqref="Z291">
    <cfRule type="containsText" dxfId="0" priority="163" operator="between" text="欠">
      <formula>NOT(ISERROR(SEARCH("欠",Z291)))</formula>
    </cfRule>
    <cfRule type="cellIs" dxfId="0" priority="159" operator="equal">
      <formula>"欠"</formula>
    </cfRule>
    <cfRule type="containsText" dxfId="0" priority="157" operator="between" text="欠">
      <formula>NOT(ISERROR(SEARCH("欠",Z291)))</formula>
    </cfRule>
  </conditionalFormatting>
  <conditionalFormatting sqref="T295">
    <cfRule type="containsText" dxfId="0" priority="176" operator="between" text="欠">
      <formula>NOT(ISERROR(SEARCH("欠",T295)))</formula>
    </cfRule>
  </conditionalFormatting>
  <conditionalFormatting sqref="W295">
    <cfRule type="cellIs" dxfId="0" priority="178" operator="equal">
      <formula>"欠"</formula>
    </cfRule>
  </conditionalFormatting>
  <conditionalFormatting sqref="X295">
    <cfRule type="containsText" dxfId="0" priority="179" operator="between" text="欠">
      <formula>NOT(ISERROR(SEARCH("欠",X295)))</formula>
    </cfRule>
  </conditionalFormatting>
  <conditionalFormatting sqref="Y295">
    <cfRule type="containsText" dxfId="0" priority="177" operator="between" text="欠">
      <formula>NOT(ISERROR(SEARCH("欠",Y295)))</formula>
    </cfRule>
  </conditionalFormatting>
  <conditionalFormatting sqref="W296">
    <cfRule type="containsText" dxfId="0" priority="122" operator="between" text="欠">
      <formula>NOT(ISERROR(SEARCH("欠",W296)))</formula>
    </cfRule>
  </conditionalFormatting>
  <conditionalFormatting sqref="X296">
    <cfRule type="containsText" dxfId="0" priority="126" operator="between" text="欠">
      <formula>NOT(ISERROR(SEARCH("欠",X296)))</formula>
    </cfRule>
  </conditionalFormatting>
  <conditionalFormatting sqref="Y296">
    <cfRule type="containsText" dxfId="0" priority="127" operator="between" text="欠">
      <formula>NOT(ISERROR(SEARCH("欠",Y296)))</formula>
    </cfRule>
  </conditionalFormatting>
  <conditionalFormatting sqref="Z296">
    <cfRule type="cellIs" dxfId="0" priority="125" operator="equal">
      <formula>"欠"</formula>
    </cfRule>
    <cfRule type="containsText" dxfId="0" priority="124" operator="between" text="欠">
      <formula>NOT(ISERROR(SEARCH("欠",Z296)))</formula>
    </cfRule>
  </conditionalFormatting>
  <conditionalFormatting sqref="BS296">
    <cfRule type="expression" dxfId="2" priority="128">
      <formula>$BS$3="合计"</formula>
    </cfRule>
  </conditionalFormatting>
  <conditionalFormatting sqref="W297">
    <cfRule type="containsText" dxfId="0" priority="110" operator="between" text="欠">
      <formula>NOT(ISERROR(SEARCH("欠",W297)))</formula>
    </cfRule>
  </conditionalFormatting>
  <conditionalFormatting sqref="X297">
    <cfRule type="containsText" dxfId="0" priority="113" operator="between" text="欠">
      <formula>NOT(ISERROR(SEARCH("欠",X297)))</formula>
    </cfRule>
  </conditionalFormatting>
  <conditionalFormatting sqref="Y297">
    <cfRule type="containsText" dxfId="0" priority="77" operator="between" text="欠">
      <formula>NOT(ISERROR(SEARCH("欠",Y297)))</formula>
    </cfRule>
  </conditionalFormatting>
  <conditionalFormatting sqref="Z297">
    <cfRule type="cellIs" dxfId="0" priority="112" operator="equal">
      <formula>"欠"</formula>
    </cfRule>
    <cfRule type="containsText" dxfId="0" priority="111" operator="between" text="欠">
      <formula>NOT(ISERROR(SEARCH("欠",Z297)))</formula>
    </cfRule>
  </conditionalFormatting>
  <conditionalFormatting sqref="BD297">
    <cfRule type="expression" dxfId="2" priority="114">
      <formula>$BS$3="合计"</formula>
    </cfRule>
  </conditionalFormatting>
  <conditionalFormatting sqref="X298">
    <cfRule type="containsText" dxfId="0" priority="155" operator="between" text="欠">
      <formula>NOT(ISERROR(SEARCH("欠",X298)))</formula>
    </cfRule>
  </conditionalFormatting>
  <conditionalFormatting sqref="Y298">
    <cfRule type="containsText" dxfId="0" priority="154" operator="between" text="欠">
      <formula>NOT(ISERROR(SEARCH("欠",Y298)))</formula>
    </cfRule>
  </conditionalFormatting>
  <conditionalFormatting sqref="Z298">
    <cfRule type="containsText" dxfId="0" priority="156" operator="between" text="欠">
      <formula>NOT(ISERROR(SEARCH("欠",Z298)))</formula>
    </cfRule>
    <cfRule type="cellIs" dxfId="0" priority="153" operator="equal">
      <formula>"欠"</formula>
    </cfRule>
    <cfRule type="containsText" dxfId="0" priority="152" operator="between" text="欠">
      <formula>NOT(ISERROR(SEARCH("欠",Z298)))</formula>
    </cfRule>
  </conditionalFormatting>
  <conditionalFormatting sqref="W299">
    <cfRule type="containsText" dxfId="0" priority="81" operator="between" text="欠">
      <formula>NOT(ISERROR(SEARCH("欠",W299)))</formula>
    </cfRule>
  </conditionalFormatting>
  <conditionalFormatting sqref="X299">
    <cfRule type="containsText" dxfId="0" priority="88" operator="between" text="欠">
      <formula>NOT(ISERROR(SEARCH("欠",X299)))</formula>
    </cfRule>
  </conditionalFormatting>
  <conditionalFormatting sqref="Y299">
    <cfRule type="containsText" dxfId="0" priority="83" operator="between" text="欠">
      <formula>NOT(ISERROR(SEARCH("欠",Y299)))</formula>
    </cfRule>
  </conditionalFormatting>
  <conditionalFormatting sqref="Z299">
    <cfRule type="cellIs" dxfId="0" priority="87" operator="equal">
      <formula>"欠"</formula>
    </cfRule>
    <cfRule type="containsText" dxfId="0" priority="85" operator="between" text="欠">
      <formula>NOT(ISERROR(SEARCH("欠",Z299)))</formula>
    </cfRule>
  </conditionalFormatting>
  <conditionalFormatting sqref="S300">
    <cfRule type="containsText" dxfId="0" priority="104" operator="between" text="欠">
      <formula>NOT(ISERROR(SEARCH("欠",S300)))</formula>
    </cfRule>
  </conditionalFormatting>
  <conditionalFormatting sqref="W300">
    <cfRule type="containsText" dxfId="0" priority="82" operator="between" text="欠">
      <formula>NOT(ISERROR(SEARCH("欠",W300)))</formula>
    </cfRule>
  </conditionalFormatting>
  <conditionalFormatting sqref="X300">
    <cfRule type="containsText" dxfId="0" priority="107" operator="between" text="欠">
      <formula>NOT(ISERROR(SEARCH("欠",X300)))</formula>
    </cfRule>
  </conditionalFormatting>
  <conditionalFormatting sqref="Y300">
    <cfRule type="containsText" dxfId="0" priority="108" operator="between" text="欠">
      <formula>NOT(ISERROR(SEARCH("欠",Y300)))</formula>
    </cfRule>
  </conditionalFormatting>
  <conditionalFormatting sqref="Z300">
    <cfRule type="cellIs" dxfId="0" priority="106" operator="equal">
      <formula>"欠"</formula>
    </cfRule>
    <cfRule type="containsText" dxfId="0" priority="105" operator="between" text="欠">
      <formula>NOT(ISERROR(SEARCH("欠",Z300)))</formula>
    </cfRule>
  </conditionalFormatting>
  <conditionalFormatting sqref="AW300">
    <cfRule type="expression" dxfId="2" priority="109">
      <formula>$BS$3="合计"</formula>
    </cfRule>
  </conditionalFormatting>
  <conditionalFormatting sqref="S301">
    <cfRule type="containsText" dxfId="0" priority="39" operator="between" text="欠">
      <formula>NOT(ISERROR(SEARCH("欠",S301)))</formula>
    </cfRule>
  </conditionalFormatting>
  <conditionalFormatting sqref="W301">
    <cfRule type="containsText" dxfId="0" priority="67" operator="between" text="欠">
      <formula>NOT(ISERROR(SEARCH("欠",W301)))</formula>
    </cfRule>
  </conditionalFormatting>
  <conditionalFormatting sqref="X301">
    <cfRule type="containsText" dxfId="0" priority="80" operator="between" text="欠">
      <formula>NOT(ISERROR(SEARCH("欠",X301)))</formula>
    </cfRule>
  </conditionalFormatting>
  <conditionalFormatting sqref="Y301">
    <cfRule type="containsText" dxfId="0" priority="79" operator="between" text="欠">
      <formula>NOT(ISERROR(SEARCH("欠",Y301)))</formula>
    </cfRule>
  </conditionalFormatting>
  <conditionalFormatting sqref="BK301">
    <cfRule type="expression" dxfId="2" priority="90">
      <formula>$BS$3="合计"</formula>
    </cfRule>
  </conditionalFormatting>
  <conditionalFormatting sqref="S302">
    <cfRule type="containsText" dxfId="0" priority="100" operator="between" text="欠">
      <formula>NOT(ISERROR(SEARCH("欠",S302)))</formula>
    </cfRule>
  </conditionalFormatting>
  <conditionalFormatting sqref="X302">
    <cfRule type="containsText" dxfId="0" priority="102" operator="between" text="欠">
      <formula>NOT(ISERROR(SEARCH("欠",X302)))</formula>
    </cfRule>
  </conditionalFormatting>
  <conditionalFormatting sqref="BK302">
    <cfRule type="expression" dxfId="2" priority="103">
      <formula>$BS$3="合计"</formula>
    </cfRule>
  </conditionalFormatting>
  <conditionalFormatting sqref="X303">
    <cfRule type="containsText" dxfId="0" priority="98" operator="between" text="欠">
      <formula>NOT(ISERROR(SEARCH("欠",X303)))</formula>
    </cfRule>
  </conditionalFormatting>
  <conditionalFormatting sqref="Z303">
    <cfRule type="containsText" dxfId="0" priority="96" operator="between" text="欠">
      <formula>NOT(ISERROR(SEARCH("欠",Z303)))</formula>
    </cfRule>
    <cfRule type="cellIs" dxfId="0" priority="97" operator="equal">
      <formula>"欠"</formula>
    </cfRule>
  </conditionalFormatting>
  <conditionalFormatting sqref="BK303">
    <cfRule type="expression" dxfId="2" priority="99">
      <formula>$BS$3="合计"</formula>
    </cfRule>
  </conditionalFormatting>
  <conditionalFormatting sqref="X304">
    <cfRule type="containsText" dxfId="0" priority="94" operator="between" text="欠">
      <formula>NOT(ISERROR(SEARCH("欠",X304)))</formula>
    </cfRule>
  </conditionalFormatting>
  <conditionalFormatting sqref="Z304">
    <cfRule type="containsText" dxfId="0" priority="92" operator="between" text="欠">
      <formula>NOT(ISERROR(SEARCH("欠",Z304)))</formula>
    </cfRule>
    <cfRule type="cellIs" dxfId="0" priority="93" operator="equal">
      <formula>"欠"</formula>
    </cfRule>
  </conditionalFormatting>
  <conditionalFormatting sqref="BK304">
    <cfRule type="expression" dxfId="2" priority="95">
      <formula>$BS$3="合计"</formula>
    </cfRule>
  </conditionalFormatting>
  <conditionalFormatting sqref="S305">
    <cfRule type="containsText" dxfId="0" priority="55" operator="between" text="欠">
      <formula>NOT(ISERROR(SEARCH("欠",S305)))</formula>
    </cfRule>
  </conditionalFormatting>
  <conditionalFormatting sqref="W305">
    <cfRule type="containsText" dxfId="0" priority="54" operator="between" text="欠">
      <formula>NOT(ISERROR(SEARCH("欠",W305)))</formula>
    </cfRule>
  </conditionalFormatting>
  <conditionalFormatting sqref="X305">
    <cfRule type="containsText" dxfId="0" priority="58" operator="between" text="欠">
      <formula>NOT(ISERROR(SEARCH("欠",X305)))</formula>
    </cfRule>
  </conditionalFormatting>
  <conditionalFormatting sqref="Y305">
    <cfRule type="containsText" dxfId="0" priority="59" operator="between" text="欠">
      <formula>NOT(ISERROR(SEARCH("欠",Y305)))</formula>
    </cfRule>
  </conditionalFormatting>
  <conditionalFormatting sqref="Z305">
    <cfRule type="containsText" dxfId="0" priority="56" operator="between" text="欠">
      <formula>NOT(ISERROR(SEARCH("欠",Z305)))</formula>
    </cfRule>
    <cfRule type="cellIs" dxfId="0" priority="57" operator="equal">
      <formula>"欠"</formula>
    </cfRule>
  </conditionalFormatting>
  <conditionalFormatting sqref="BS305">
    <cfRule type="expression" dxfId="2" priority="60">
      <formula>$BS$3="合计"</formula>
    </cfRule>
  </conditionalFormatting>
  <conditionalFormatting sqref="S306">
    <cfRule type="containsText" dxfId="0" priority="62" operator="between" text="欠">
      <formula>NOT(ISERROR(SEARCH("欠",S306)))</formula>
    </cfRule>
  </conditionalFormatting>
  <conditionalFormatting sqref="W306">
    <cfRule type="containsText" dxfId="0" priority="61" operator="between" text="欠">
      <formula>NOT(ISERROR(SEARCH("欠",W306)))</formula>
    </cfRule>
  </conditionalFormatting>
  <conditionalFormatting sqref="X306">
    <cfRule type="containsText" dxfId="0" priority="65" operator="between" text="欠">
      <formula>NOT(ISERROR(SEARCH("欠",X306)))</formula>
    </cfRule>
  </conditionalFormatting>
  <conditionalFormatting sqref="Y306">
    <cfRule type="containsText" dxfId="0" priority="66" operator="between" text="欠">
      <formula>NOT(ISERROR(SEARCH("欠",Y306)))</formula>
    </cfRule>
  </conditionalFormatting>
  <conditionalFormatting sqref="Z306">
    <cfRule type="containsText" dxfId="0" priority="63" operator="between" text="欠">
      <formula>NOT(ISERROR(SEARCH("欠",Z306)))</formula>
    </cfRule>
    <cfRule type="cellIs" dxfId="0" priority="64" operator="equal">
      <formula>"欠"</formula>
    </cfRule>
  </conditionalFormatting>
  <conditionalFormatting sqref="S307">
    <cfRule type="containsText" dxfId="0" priority="115" operator="between" text="欠">
      <formula>NOT(ISERROR(SEARCH("欠",S307)))</formula>
    </cfRule>
  </conditionalFormatting>
  <conditionalFormatting sqref="W307">
    <cfRule type="cellIs" dxfId="0" priority="76" operator="equal">
      <formula>"欠"</formula>
    </cfRule>
  </conditionalFormatting>
  <conditionalFormatting sqref="X307">
    <cfRule type="containsText" dxfId="0" priority="118" operator="between" text="欠">
      <formula>NOT(ISERROR(SEARCH("欠",X307)))</formula>
    </cfRule>
  </conditionalFormatting>
  <conditionalFormatting sqref="Y307">
    <cfRule type="containsText" dxfId="0" priority="119" operator="between" text="欠">
      <formula>NOT(ISERROR(SEARCH("欠",Y307)))</formula>
    </cfRule>
  </conditionalFormatting>
  <conditionalFormatting sqref="Z307">
    <cfRule type="containsText" dxfId="0" priority="116" operator="between" text="欠">
      <formula>NOT(ISERROR(SEARCH("欠",Z307)))</formula>
    </cfRule>
    <cfRule type="cellIs" dxfId="0" priority="117" operator="equal">
      <formula>"欠"</formula>
    </cfRule>
  </conditionalFormatting>
  <conditionalFormatting sqref="BK307">
    <cfRule type="expression" dxfId="2" priority="120">
      <formula>$BS$3="合计"</formula>
    </cfRule>
  </conditionalFormatting>
  <conditionalFormatting sqref="S308">
    <cfRule type="containsText" dxfId="0" priority="41" operator="between" text="欠">
      <formula>NOT(ISERROR(SEARCH("欠",S308)))</formula>
    </cfRule>
  </conditionalFormatting>
  <conditionalFormatting sqref="W308">
    <cfRule type="containsText" dxfId="0" priority="40" operator="between" text="欠">
      <formula>NOT(ISERROR(SEARCH("欠",W308)))</formula>
    </cfRule>
  </conditionalFormatting>
  <conditionalFormatting sqref="X308">
    <cfRule type="containsText" dxfId="0" priority="44" operator="between" text="欠">
      <formula>NOT(ISERROR(SEARCH("欠",X308)))</formula>
    </cfRule>
  </conditionalFormatting>
  <conditionalFormatting sqref="Y308">
    <cfRule type="containsText" dxfId="0" priority="45" operator="between" text="欠">
      <formula>NOT(ISERROR(SEARCH("欠",Y308)))</formula>
    </cfRule>
  </conditionalFormatting>
  <conditionalFormatting sqref="Z308">
    <cfRule type="containsText" dxfId="0" priority="42" operator="between" text="欠">
      <formula>NOT(ISERROR(SEARCH("欠",Z308)))</formula>
    </cfRule>
    <cfRule type="cellIs" dxfId="0" priority="43" operator="equal">
      <formula>"欠"</formula>
    </cfRule>
  </conditionalFormatting>
  <conditionalFormatting sqref="BS308">
    <cfRule type="expression" dxfId="2" priority="46">
      <formula>$BS$3="合计"</formula>
    </cfRule>
  </conditionalFormatting>
  <conditionalFormatting sqref="S309">
    <cfRule type="containsText" dxfId="0" priority="171" operator="between" text="欠">
      <formula>NOT(ISERROR(SEARCH("欠",S309)))</formula>
    </cfRule>
  </conditionalFormatting>
  <conditionalFormatting sqref="X309">
    <cfRule type="containsText" dxfId="0" priority="175" operator="between" text="欠">
      <formula>NOT(ISERROR(SEARCH("欠",X309)))</formula>
    </cfRule>
  </conditionalFormatting>
  <conditionalFormatting sqref="Z309">
    <cfRule type="containsText" dxfId="0" priority="173" operator="between" text="欠">
      <formula>NOT(ISERROR(SEARCH("欠",Z309)))</formula>
    </cfRule>
    <cfRule type="cellIs" dxfId="0" priority="174" operator="equal">
      <formula>"欠"</formula>
    </cfRule>
  </conditionalFormatting>
  <conditionalFormatting sqref="S310">
    <cfRule type="containsText" dxfId="0" priority="75" operator="between" text="欠">
      <formula>NOT(ISERROR(SEARCH("欠",S310)))</formula>
    </cfRule>
  </conditionalFormatting>
  <conditionalFormatting sqref="X310">
    <cfRule type="containsText" dxfId="0" priority="170" operator="between" text="欠">
      <formula>NOT(ISERROR(SEARCH("欠",X310)))</formula>
    </cfRule>
  </conditionalFormatting>
  <conditionalFormatting sqref="Z310">
    <cfRule type="containsText" dxfId="0" priority="168" operator="between" text="欠">
      <formula>NOT(ISERROR(SEARCH("欠",Z310)))</formula>
    </cfRule>
    <cfRule type="cellIs" dxfId="0" priority="169" operator="equal">
      <formula>"欠"</formula>
    </cfRule>
  </conditionalFormatting>
  <conditionalFormatting sqref="S311">
    <cfRule type="containsText" dxfId="0" priority="48" operator="between" text="欠">
      <formula>NOT(ISERROR(SEARCH("欠",S311)))</formula>
    </cfRule>
  </conditionalFormatting>
  <conditionalFormatting sqref="W311">
    <cfRule type="containsText" dxfId="0" priority="47" operator="between" text="欠">
      <formula>NOT(ISERROR(SEARCH("欠",W311)))</formula>
    </cfRule>
  </conditionalFormatting>
  <conditionalFormatting sqref="X311">
    <cfRule type="containsText" dxfId="0" priority="51" operator="between" text="欠">
      <formula>NOT(ISERROR(SEARCH("欠",X311)))</formula>
    </cfRule>
  </conditionalFormatting>
  <conditionalFormatting sqref="Y311">
    <cfRule type="containsText" dxfId="0" priority="52" operator="between" text="欠">
      <formula>NOT(ISERROR(SEARCH("欠",Y311)))</formula>
    </cfRule>
  </conditionalFormatting>
  <conditionalFormatting sqref="Z311">
    <cfRule type="containsText" dxfId="0" priority="49" operator="between" text="欠">
      <formula>NOT(ISERROR(SEARCH("欠",Z311)))</formula>
    </cfRule>
    <cfRule type="cellIs" dxfId="0" priority="50" operator="equal">
      <formula>"欠"</formula>
    </cfRule>
  </conditionalFormatting>
  <conditionalFormatting sqref="BS311">
    <cfRule type="expression" dxfId="2" priority="53">
      <formula>$BS$3="合计"</formula>
    </cfRule>
  </conditionalFormatting>
  <conditionalFormatting sqref="S335">
    <cfRule type="containsText" dxfId="0" priority="69" operator="between" text="欠">
      <formula>NOT(ISERROR(SEARCH("欠",S335)))</formula>
    </cfRule>
  </conditionalFormatting>
  <conditionalFormatting sqref="W335">
    <cfRule type="containsText" dxfId="0" priority="68" operator="between" text="欠">
      <formula>NOT(ISERROR(SEARCH("欠",W335)))</formula>
    </cfRule>
  </conditionalFormatting>
  <conditionalFormatting sqref="X335">
    <cfRule type="containsText" dxfId="0" priority="73" operator="between" text="欠">
      <formula>NOT(ISERROR(SEARCH("欠",X335)))</formula>
    </cfRule>
  </conditionalFormatting>
  <conditionalFormatting sqref="Y335">
    <cfRule type="containsText" dxfId="0" priority="70" operator="between" text="欠">
      <formula>NOT(ISERROR(SEARCH("欠",Y335)))</formula>
    </cfRule>
  </conditionalFormatting>
  <conditionalFormatting sqref="Z335">
    <cfRule type="containsText" dxfId="0" priority="71" operator="between" text="欠">
      <formula>NOT(ISERROR(SEARCH("欠",Z335)))</formula>
    </cfRule>
    <cfRule type="cellIs" dxfId="0" priority="72" operator="equal">
      <formula>"欠"</formula>
    </cfRule>
  </conditionalFormatting>
  <conditionalFormatting sqref="BK335">
    <cfRule type="expression" dxfId="2" priority="74">
      <formula>$BS$3="合计"</formula>
    </cfRule>
  </conditionalFormatting>
  <conditionalFormatting sqref="S336">
    <cfRule type="containsText" dxfId="0" priority="132" operator="between" text="欠">
      <formula>NOT(ISERROR(SEARCH("欠",S336)))</formula>
    </cfRule>
  </conditionalFormatting>
  <conditionalFormatting sqref="X336">
    <cfRule type="containsText" dxfId="0" priority="143" operator="between" text="欠">
      <formula>NOT(ISERROR(SEARCH("欠",X336)))</formula>
    </cfRule>
  </conditionalFormatting>
  <conditionalFormatting sqref="Z336">
    <cfRule type="containsText" dxfId="0" priority="135" operator="between" text="欠">
      <formula>NOT(ISERROR(SEARCH("欠",Z336)))</formula>
    </cfRule>
    <cfRule type="cellIs" dxfId="0" priority="139" operator="equal">
      <formula>"欠"</formula>
    </cfRule>
  </conditionalFormatting>
  <conditionalFormatting sqref="BS336">
    <cfRule type="expression" dxfId="2" priority="149">
      <formula>$BS$3="合计"</formula>
    </cfRule>
  </conditionalFormatting>
  <conditionalFormatting sqref="S337">
    <cfRule type="containsText" dxfId="0" priority="131" operator="between" text="欠">
      <formula>NOT(ISERROR(SEARCH("欠",S337)))</formula>
    </cfRule>
  </conditionalFormatting>
  <conditionalFormatting sqref="X337">
    <cfRule type="containsText" dxfId="0" priority="142" operator="between" text="欠">
      <formula>NOT(ISERROR(SEARCH("欠",X337)))</formula>
    </cfRule>
  </conditionalFormatting>
  <conditionalFormatting sqref="Z337">
    <cfRule type="containsText" dxfId="0" priority="134" operator="between" text="欠">
      <formula>NOT(ISERROR(SEARCH("欠",Z337)))</formula>
    </cfRule>
    <cfRule type="cellIs" dxfId="0" priority="138" operator="equal">
      <formula>"欠"</formula>
    </cfRule>
  </conditionalFormatting>
  <conditionalFormatting sqref="BS337">
    <cfRule type="expression" dxfId="2" priority="148">
      <formula>$BS$3="合计"</formula>
    </cfRule>
  </conditionalFormatting>
  <conditionalFormatting sqref="S338">
    <cfRule type="containsText" dxfId="0" priority="37" operator="between" text="欠">
      <formula>NOT(ISERROR(SEARCH("欠",S338)))</formula>
    </cfRule>
  </conditionalFormatting>
  <conditionalFormatting sqref="X338">
    <cfRule type="containsText" dxfId="0" priority="167" operator="between" text="欠">
      <formula>NOT(ISERROR(SEARCH("欠",X338)))</formula>
    </cfRule>
  </conditionalFormatting>
  <conditionalFormatting sqref="Y338">
    <cfRule type="containsText" dxfId="0" priority="164" operator="between" text="欠">
      <formula>NOT(ISERROR(SEARCH("欠",Y338)))</formula>
    </cfRule>
  </conditionalFormatting>
  <conditionalFormatting sqref="Z338">
    <cfRule type="containsText" dxfId="0" priority="165" operator="between" text="欠">
      <formula>NOT(ISERROR(SEARCH("欠",Z338)))</formula>
    </cfRule>
    <cfRule type="cellIs" dxfId="0" priority="166" operator="equal">
      <formula>"欠"</formula>
    </cfRule>
  </conditionalFormatting>
  <conditionalFormatting sqref="S339">
    <cfRule type="containsText" dxfId="0" priority="36" operator="between" text="欠">
      <formula>NOT(ISERROR(SEARCH("欠",S339)))</formula>
    </cfRule>
  </conditionalFormatting>
  <conditionalFormatting sqref="X339">
    <cfRule type="containsText" dxfId="0" priority="144" operator="between" text="欠">
      <formula>NOT(ISERROR(SEARCH("欠",X339)))</formula>
    </cfRule>
  </conditionalFormatting>
  <conditionalFormatting sqref="Y339">
    <cfRule type="containsText" dxfId="0" priority="146" operator="between" text="欠">
      <formula>NOT(ISERROR(SEARCH("欠",Y339)))</formula>
    </cfRule>
  </conditionalFormatting>
  <conditionalFormatting sqref="Z339">
    <cfRule type="containsText" dxfId="0" priority="136" operator="between" text="欠">
      <formula>NOT(ISERROR(SEARCH("欠",Z339)))</formula>
    </cfRule>
    <cfRule type="cellIs" dxfId="0" priority="140" operator="equal">
      <formula>"欠"</formula>
    </cfRule>
  </conditionalFormatting>
  <conditionalFormatting sqref="BS339">
    <cfRule type="expression" dxfId="2" priority="150">
      <formula>$BS$3="合计"</formula>
    </cfRule>
  </conditionalFormatting>
  <conditionalFormatting sqref="S340">
    <cfRule type="containsText" dxfId="0" priority="130" operator="between" text="欠">
      <formula>NOT(ISERROR(SEARCH("欠",S340)))</formula>
    </cfRule>
  </conditionalFormatting>
  <conditionalFormatting sqref="X340">
    <cfRule type="containsText" dxfId="0" priority="141" operator="between" text="欠">
      <formula>NOT(ISERROR(SEARCH("欠",X340)))</formula>
    </cfRule>
  </conditionalFormatting>
  <conditionalFormatting sqref="Z340">
    <cfRule type="containsText" dxfId="0" priority="133" operator="between" text="欠">
      <formula>NOT(ISERROR(SEARCH("欠",Z340)))</formula>
    </cfRule>
    <cfRule type="cellIs" dxfId="0" priority="137" operator="equal">
      <formula>"欠"</formula>
    </cfRule>
  </conditionalFormatting>
  <conditionalFormatting sqref="BS340">
    <cfRule type="expression" dxfId="2" priority="147">
      <formula>$BS$3="合计"</formula>
    </cfRule>
  </conditionalFormatting>
  <conditionalFormatting sqref="S341">
    <cfRule type="containsText" dxfId="0" priority="15" operator="between" text="欠">
      <formula>NOT(ISERROR(SEARCH("欠",S341)))</formula>
    </cfRule>
  </conditionalFormatting>
  <conditionalFormatting sqref="X341">
    <cfRule type="containsText" dxfId="0" priority="27" operator="between" text="欠">
      <formula>NOT(ISERROR(SEARCH("欠",X341)))</formula>
    </cfRule>
  </conditionalFormatting>
  <conditionalFormatting sqref="Z341">
    <cfRule type="containsText" dxfId="0" priority="19" operator="between" text="欠">
      <formula>NOT(ISERROR(SEARCH("欠",Z341)))</formula>
    </cfRule>
    <cfRule type="cellIs" dxfId="0" priority="23" operator="equal">
      <formula>"欠"</formula>
    </cfRule>
  </conditionalFormatting>
  <conditionalFormatting sqref="BS341">
    <cfRule type="expression" dxfId="2" priority="35">
      <formula>$BS$3="合计"</formula>
    </cfRule>
  </conditionalFormatting>
  <conditionalFormatting sqref="S342">
    <cfRule type="containsText" dxfId="0" priority="14" operator="between" text="欠">
      <formula>NOT(ISERROR(SEARCH("欠",S342)))</formula>
    </cfRule>
  </conditionalFormatting>
  <conditionalFormatting sqref="X342">
    <cfRule type="containsText" dxfId="0" priority="26" operator="between" text="欠">
      <formula>NOT(ISERROR(SEARCH("欠",X342)))</formula>
    </cfRule>
  </conditionalFormatting>
  <conditionalFormatting sqref="Z342">
    <cfRule type="containsText" dxfId="0" priority="18" operator="between" text="欠">
      <formula>NOT(ISERROR(SEARCH("欠",Z342)))</formula>
    </cfRule>
    <cfRule type="cellIs" dxfId="0" priority="22" operator="equal">
      <formula>"欠"</formula>
    </cfRule>
  </conditionalFormatting>
  <conditionalFormatting sqref="S347">
    <cfRule type="containsText" dxfId="0" priority="13" operator="between" text="欠">
      <formula>NOT(ISERROR(SEARCH("欠",S347)))</formula>
    </cfRule>
  </conditionalFormatting>
  <conditionalFormatting sqref="X347">
    <cfRule type="containsText" dxfId="0" priority="25" operator="between" text="欠">
      <formula>NOT(ISERROR(SEARCH("欠",X347)))</formula>
    </cfRule>
  </conditionalFormatting>
  <conditionalFormatting sqref="Z347">
    <cfRule type="containsText" dxfId="0" priority="17" operator="between" text="欠">
      <formula>NOT(ISERROR(SEARCH("欠",Z347)))</formula>
    </cfRule>
    <cfRule type="cellIs" dxfId="0" priority="21" operator="equal">
      <formula>"欠"</formula>
    </cfRule>
  </conditionalFormatting>
  <conditionalFormatting sqref="BS347">
    <cfRule type="expression" dxfId="2" priority="33">
      <formula>$BS$3="合计"</formula>
    </cfRule>
  </conditionalFormatting>
  <conditionalFormatting sqref="Z364">
    <cfRule type="containsText" dxfId="0" priority="557" operator="between" text="欠">
      <formula>NOT(ISERROR(SEARCH("欠",Z364)))</formula>
    </cfRule>
  </conditionalFormatting>
  <conditionalFormatting sqref="Z365">
    <cfRule type="containsText" dxfId="0" priority="556" operator="between" text="欠">
      <formula>NOT(ISERROR(SEARCH("欠",Z365)))</formula>
    </cfRule>
  </conditionalFormatting>
  <conditionalFormatting sqref="Z366">
    <cfRule type="containsText" dxfId="0" priority="555" operator="between" text="欠">
      <formula>NOT(ISERROR(SEARCH("欠",Z366)))</formula>
    </cfRule>
  </conditionalFormatting>
  <conditionalFormatting sqref="S296:S297">
    <cfRule type="containsText" dxfId="0" priority="123" operator="between" text="欠">
      <formula>NOT(ISERROR(SEARCH("欠",S296)))</formula>
    </cfRule>
  </conditionalFormatting>
  <conditionalFormatting sqref="S303:S304">
    <cfRule type="containsText" dxfId="0" priority="38" operator="between" text="欠">
      <formula>NOT(ISERROR(SEARCH("欠",S303)))</formula>
    </cfRule>
  </conditionalFormatting>
  <conditionalFormatting sqref="S345:S346">
    <cfRule type="containsText" dxfId="0" priority="2" operator="between" text="欠">
      <formula>NOT(ISERROR(SEARCH("欠",S345)))</formula>
    </cfRule>
  </conditionalFormatting>
  <conditionalFormatting sqref="V231:V232">
    <cfRule type="containsText" dxfId="0" priority="308" operator="between" text="欠">
      <formula>NOT(ISERROR(SEARCH("欠",V231)))</formula>
    </cfRule>
  </conditionalFormatting>
  <conditionalFormatting sqref="W26:W28">
    <cfRule type="containsText" dxfId="0" priority="522" operator="between" text="欠">
      <formula>NOT(ISERROR(SEARCH("欠",W26)))</formula>
    </cfRule>
  </conditionalFormatting>
  <conditionalFormatting sqref="W79:W80">
    <cfRule type="containsText" dxfId="0" priority="493" operator="between" text="欠">
      <formula>NOT(ISERROR(SEARCH("欠",W79)))</formula>
    </cfRule>
  </conditionalFormatting>
  <conditionalFormatting sqref="W81:W84">
    <cfRule type="containsText" dxfId="0" priority="489" operator="between" text="欠">
      <formula>NOT(ISERROR(SEARCH("欠",W81)))</formula>
    </cfRule>
  </conditionalFormatting>
  <conditionalFormatting sqref="W85:W86">
    <cfRule type="containsText" dxfId="0" priority="481" operator="between" text="欠">
      <formula>NOT(ISERROR(SEARCH("欠",W85)))</formula>
    </cfRule>
  </conditionalFormatting>
  <conditionalFormatting sqref="W171:W173">
    <cfRule type="containsText" dxfId="0" priority="408" operator="between" text="欠">
      <formula>NOT(ISERROR(SEARCH("欠",W171)))</formula>
    </cfRule>
  </conditionalFormatting>
  <conditionalFormatting sqref="W174:W175">
    <cfRule type="containsText" dxfId="0" priority="405" operator="between" text="欠">
      <formula>NOT(ISERROR(SEARCH("欠",W174)))</formula>
    </cfRule>
  </conditionalFormatting>
  <conditionalFormatting sqref="W176:W186">
    <cfRule type="containsText" dxfId="0" priority="373" operator="between" text="欠">
      <formula>NOT(ISERROR(SEARCH("欠",W176)))</formula>
    </cfRule>
  </conditionalFormatting>
  <conditionalFormatting sqref="W187:W189">
    <cfRule type="containsText" dxfId="0" priority="411" operator="between" text="欠">
      <formula>NOT(ISERROR(SEARCH("欠",W187)))</formula>
    </cfRule>
  </conditionalFormatting>
  <conditionalFormatting sqref="W196:W197">
    <cfRule type="containsText" dxfId="0" priority="366" operator="between" text="欠">
      <formula>NOT(ISERROR(SEARCH("欠",W196)))</formula>
    </cfRule>
  </conditionalFormatting>
  <conditionalFormatting sqref="W215:W216">
    <cfRule type="containsText" dxfId="0" priority="312" operator="between" text="欠">
      <formula>NOT(ISERROR(SEARCH("欠",W215)))</formula>
    </cfRule>
  </conditionalFormatting>
  <conditionalFormatting sqref="W218:W223">
    <cfRule type="containsText" dxfId="0" priority="357" operator="between" text="欠">
      <formula>NOT(ISERROR(SEARCH("欠",W218)))</formula>
    </cfRule>
  </conditionalFormatting>
  <conditionalFormatting sqref="W233:W239">
    <cfRule type="cellIs" dxfId="0" priority="278" operator="equal">
      <formula>"欠"</formula>
    </cfRule>
  </conditionalFormatting>
  <conditionalFormatting sqref="W251:W267">
    <cfRule type="cellIs" dxfId="0" priority="260" operator="equal">
      <formula>"欠"</formula>
    </cfRule>
  </conditionalFormatting>
  <conditionalFormatting sqref="W280:W282">
    <cfRule type="cellIs" dxfId="0" priority="182" operator="equal">
      <formula>"欠"</formula>
    </cfRule>
  </conditionalFormatting>
  <conditionalFormatting sqref="W302:W304">
    <cfRule type="containsText" dxfId="0" priority="78" operator="between" text="欠">
      <formula>NOT(ISERROR(SEARCH("欠",W302)))</formula>
    </cfRule>
  </conditionalFormatting>
  <conditionalFormatting sqref="W336:W338">
    <cfRule type="containsText" dxfId="0" priority="129" operator="between" text="欠">
      <formula>NOT(ISERROR(SEARCH("欠",W336)))</formula>
    </cfRule>
  </conditionalFormatting>
  <conditionalFormatting sqref="W338:W339">
    <cfRule type="containsText" dxfId="0" priority="121" operator="between" text="欠">
      <formula>NOT(ISERROR(SEARCH("欠",W338)))</formula>
    </cfRule>
  </conditionalFormatting>
  <conditionalFormatting sqref="W345:W346">
    <cfRule type="containsText" dxfId="0" priority="1" operator="between" text="欠">
      <formula>NOT(ISERROR(SEARCH("欠",W345)))</formula>
    </cfRule>
  </conditionalFormatting>
  <conditionalFormatting sqref="X26:X28">
    <cfRule type="containsText" dxfId="0" priority="520" operator="between" text="欠">
      <formula>NOT(ISERROR(SEARCH("欠",X26)))</formula>
    </cfRule>
  </conditionalFormatting>
  <conditionalFormatting sqref="X79:X80">
    <cfRule type="containsText" dxfId="0" priority="491" operator="between" text="欠">
      <formula>NOT(ISERROR(SEARCH("欠",X79)))</formula>
    </cfRule>
  </conditionalFormatting>
  <conditionalFormatting sqref="X84:X86">
    <cfRule type="containsText" dxfId="0" priority="479" operator="between" text="欠">
      <formula>NOT(ISERROR(SEARCH("欠",X84)))</formula>
    </cfRule>
  </conditionalFormatting>
  <conditionalFormatting sqref="X135:X136">
    <cfRule type="containsText" dxfId="0" priority="432" operator="between" text="欠">
      <formula>NOT(ISERROR(SEARCH("欠",X135)))</formula>
    </cfRule>
  </conditionalFormatting>
  <conditionalFormatting sqref="X188:X189">
    <cfRule type="containsText" dxfId="0" priority="419" operator="between" text="欠">
      <formula>NOT(ISERROR(SEARCH("欠",X188)))</formula>
    </cfRule>
  </conditionalFormatting>
  <conditionalFormatting sqref="X231:X232">
    <cfRule type="containsText" dxfId="0" priority="306" operator="between" text="欠">
      <formula>NOT(ISERROR(SEARCH("欠",X231)))</formula>
    </cfRule>
  </conditionalFormatting>
  <conditionalFormatting sqref="X243:X244">
    <cfRule type="containsText" dxfId="0" priority="304" operator="between" text="欠">
      <formula>NOT(ISERROR(SEARCH("欠",X243)))</formula>
    </cfRule>
  </conditionalFormatting>
  <conditionalFormatting sqref="X280:X282">
    <cfRule type="containsText" dxfId="0" priority="183" operator="between" text="欠">
      <formula>NOT(ISERROR(SEARCH("欠",X280)))</formula>
    </cfRule>
  </conditionalFormatting>
  <conditionalFormatting sqref="X322:X363">
    <cfRule type="containsText" dxfId="0" priority="24" operator="between" text="欠">
      <formula>NOT(ISERROR(SEARCH("欠",X322)))</formula>
    </cfRule>
  </conditionalFormatting>
  <conditionalFormatting sqref="X345:X346">
    <cfRule type="containsText" dxfId="0" priority="5" operator="between" text="欠">
      <formula>NOT(ISERROR(SEARCH("欠",X345)))</formula>
    </cfRule>
  </conditionalFormatting>
  <conditionalFormatting sqref="Y14:Y17">
    <cfRule type="containsText" dxfId="0" priority="514" operator="between" text="欠">
      <formula>NOT(ISERROR(SEARCH("欠",Y14)))</formula>
    </cfRule>
  </conditionalFormatting>
  <conditionalFormatting sqref="Y19:Y20">
    <cfRule type="containsText" dxfId="0" priority="513" operator="between" text="欠">
      <formula>NOT(ISERROR(SEARCH("欠",Y19)))</formula>
    </cfRule>
  </conditionalFormatting>
  <conditionalFormatting sqref="Y26:Y28">
    <cfRule type="containsText" dxfId="0" priority="521" operator="between" text="欠">
      <formula>NOT(ISERROR(SEARCH("欠",Y26)))</formula>
    </cfRule>
  </conditionalFormatting>
  <conditionalFormatting sqref="Y41:Y42">
    <cfRule type="containsText" dxfId="0" priority="535" operator="between" text="欠">
      <formula>NOT(ISERROR(SEARCH("欠",Y41)))</formula>
    </cfRule>
  </conditionalFormatting>
  <conditionalFormatting sqref="Y53:Y54">
    <cfRule type="containsText" dxfId="0" priority="526" operator="between" text="欠">
      <formula>NOT(ISERROR(SEARCH("欠",Y53)))</formula>
    </cfRule>
  </conditionalFormatting>
  <conditionalFormatting sqref="Y79:Y80">
    <cfRule type="containsText" dxfId="0" priority="492" operator="between" text="欠">
      <formula>NOT(ISERROR(SEARCH("欠",Y79)))</formula>
    </cfRule>
  </conditionalFormatting>
  <conditionalFormatting sqref="Y81:Y84">
    <cfRule type="containsText" dxfId="0" priority="488" operator="between" text="欠">
      <formula>NOT(ISERROR(SEARCH("欠",Y81)))</formula>
    </cfRule>
  </conditionalFormatting>
  <conditionalFormatting sqref="Y85:Y86">
    <cfRule type="containsText" dxfId="0" priority="480" operator="between" text="欠">
      <formula>NOT(ISERROR(SEARCH("欠",Y85)))</formula>
    </cfRule>
  </conditionalFormatting>
  <conditionalFormatting sqref="Y98:Y100">
    <cfRule type="containsText" dxfId="0" priority="460" operator="between" text="欠">
      <formula>NOT(ISERROR(SEARCH("欠",Y98)))</formula>
    </cfRule>
  </conditionalFormatting>
  <conditionalFormatting sqref="Y135:Y136">
    <cfRule type="containsText" dxfId="0" priority="431" operator="between" text="欠">
      <formula>NOT(ISERROR(SEARCH("欠",Y135)))</formula>
    </cfRule>
  </conditionalFormatting>
  <conditionalFormatting sqref="Y174:Y175">
    <cfRule type="containsText" dxfId="0" priority="404" operator="between" text="欠">
      <formula>NOT(ISERROR(SEARCH("欠",Y174)))</formula>
    </cfRule>
  </conditionalFormatting>
  <conditionalFormatting sqref="Y176:Y186">
    <cfRule type="containsText" dxfId="0" priority="374" operator="between" text="欠">
      <formula>NOT(ISERROR(SEARCH("欠",Y176)))</formula>
    </cfRule>
  </conditionalFormatting>
  <conditionalFormatting sqref="Y187:Y189">
    <cfRule type="containsText" dxfId="0" priority="409" operator="between" text="欠">
      <formula>NOT(ISERROR(SEARCH("欠",Y187)))</formula>
    </cfRule>
  </conditionalFormatting>
  <conditionalFormatting sqref="Y196:Y197">
    <cfRule type="containsText" dxfId="0" priority="367" operator="between" text="欠">
      <formula>NOT(ISERROR(SEARCH("欠",Y196)))</formula>
    </cfRule>
  </conditionalFormatting>
  <conditionalFormatting sqref="Y215:Y216">
    <cfRule type="containsText" dxfId="0" priority="310" operator="between" text="欠">
      <formula>NOT(ISERROR(SEARCH("欠",Y215)))</formula>
    </cfRule>
  </conditionalFormatting>
  <conditionalFormatting sqref="Y218:Y223">
    <cfRule type="containsText" dxfId="0" priority="355" operator="between" text="欠">
      <formula>NOT(ISERROR(SEARCH("欠",Y218)))</formula>
    </cfRule>
  </conditionalFormatting>
  <conditionalFormatting sqref="Y233:Y239">
    <cfRule type="containsText" dxfId="0" priority="286" operator="between" text="欠">
      <formula>NOT(ISERROR(SEARCH("欠",Y233)))</formula>
    </cfRule>
  </conditionalFormatting>
  <conditionalFormatting sqref="Y269:Y270">
    <cfRule type="containsText" dxfId="0" priority="221" operator="between" text="欠">
      <formula>NOT(ISERROR(SEARCH("欠",Y269)))</formula>
    </cfRule>
  </conditionalFormatting>
  <conditionalFormatting sqref="Y280:Y282">
    <cfRule type="containsText" dxfId="0" priority="181" operator="between" text="欠">
      <formula>NOT(ISERROR(SEARCH("欠",Y280)))</formula>
    </cfRule>
  </conditionalFormatting>
  <conditionalFormatting sqref="Y302:Y304">
    <cfRule type="containsText" dxfId="0" priority="101" operator="between" text="欠">
      <formula>NOT(ISERROR(SEARCH("欠",Y302)))</formula>
    </cfRule>
  </conditionalFormatting>
  <conditionalFormatting sqref="Y309:Y310">
    <cfRule type="containsText" dxfId="0" priority="172" operator="between" text="欠">
      <formula>NOT(ISERROR(SEARCH("欠",Y309)))</formula>
    </cfRule>
  </conditionalFormatting>
  <conditionalFormatting sqref="Y336:Y338">
    <cfRule type="containsText" dxfId="0" priority="145" operator="between" text="欠">
      <formula>NOT(ISERROR(SEARCH("欠",Y336)))</formula>
    </cfRule>
  </conditionalFormatting>
  <conditionalFormatting sqref="Y345:Y346">
    <cfRule type="containsText" dxfId="0" priority="6" operator="between" text="欠">
      <formula>NOT(ISERROR(SEARCH("欠",Y345)))</formula>
    </cfRule>
  </conditionalFormatting>
  <conditionalFormatting sqref="Z1:Z2">
    <cfRule type="containsText" dxfId="0" priority="560" operator="between" text="欠">
      <formula>NOT(ISERROR(SEARCH("欠",Z1)))</formula>
    </cfRule>
  </conditionalFormatting>
  <conditionalFormatting sqref="Z9:Z10">
    <cfRule type="containsText" dxfId="0" priority="532" operator="between" text="欠">
      <formula>NOT(ISERROR(SEARCH("欠",Z9)))</formula>
    </cfRule>
  </conditionalFormatting>
  <conditionalFormatting sqref="Z14:Z17">
    <cfRule type="containsText" dxfId="0" priority="515" operator="between" text="欠">
      <formula>NOT(ISERROR(SEARCH("欠",Z14)))</formula>
    </cfRule>
  </conditionalFormatting>
  <conditionalFormatting sqref="Z19:Z20">
    <cfRule type="containsText" dxfId="0" priority="512" operator="between" text="欠">
      <formula>NOT(ISERROR(SEARCH("欠",Z19)))</formula>
    </cfRule>
  </conditionalFormatting>
  <conditionalFormatting sqref="Z26:Z28">
    <cfRule type="containsText" dxfId="0" priority="523" operator="between" text="欠">
      <formula>NOT(ISERROR(SEARCH("欠",Z26)))</formula>
    </cfRule>
  </conditionalFormatting>
  <conditionalFormatting sqref="Z49:Z52">
    <cfRule type="containsText" dxfId="0" priority="510" operator="between" text="欠">
      <formula>NOT(ISERROR(SEARCH("欠",Z49)))</formula>
    </cfRule>
  </conditionalFormatting>
  <conditionalFormatting sqref="Z75:Z78">
    <cfRule type="containsText" dxfId="0" priority="524" operator="between" text="欠">
      <formula>NOT(ISERROR(SEARCH("欠",Z75)))</formula>
    </cfRule>
  </conditionalFormatting>
  <conditionalFormatting sqref="Z79:Z80">
    <cfRule type="containsText" dxfId="0" priority="490" operator="between" text="欠">
      <formula>NOT(ISERROR(SEARCH("欠",Z79)))</formula>
    </cfRule>
  </conditionalFormatting>
  <conditionalFormatting sqref="Z84:Z86">
    <cfRule type="containsText" dxfId="0" priority="478" operator="between" text="欠">
      <formula>NOT(ISERROR(SEARCH("欠",Z84)))</formula>
    </cfRule>
  </conditionalFormatting>
  <conditionalFormatting sqref="Z135:Z136">
    <cfRule type="containsText" dxfId="0" priority="433" operator="between" text="欠">
      <formula>NOT(ISERROR(SEARCH("欠",Z135)))</formula>
    </cfRule>
  </conditionalFormatting>
  <conditionalFormatting sqref="Z174:Z175">
    <cfRule type="containsText" dxfId="0" priority="401" operator="between" text="欠">
      <formula>NOT(ISERROR(SEARCH("欠",Z174)))</formula>
    </cfRule>
  </conditionalFormatting>
  <conditionalFormatting sqref="Z176:Z186">
    <cfRule type="containsText" dxfId="0" priority="397" operator="between" text="欠">
      <formula>NOT(ISERROR(SEARCH("欠",Z176)))</formula>
    </cfRule>
  </conditionalFormatting>
  <conditionalFormatting sqref="Z188:Z189">
    <cfRule type="containsText" dxfId="0" priority="421" operator="between" text="欠">
      <formula>NOT(ISERROR(SEARCH("欠",Z188)))</formula>
    </cfRule>
  </conditionalFormatting>
  <conditionalFormatting sqref="Z196:Z197">
    <cfRule type="containsText" dxfId="0" priority="372" operator="between" text="欠">
      <formula>NOT(ISERROR(SEARCH("欠",Z196)))</formula>
    </cfRule>
  </conditionalFormatting>
  <conditionalFormatting sqref="Z218:Z223">
    <cfRule type="containsText" dxfId="0" priority="359" operator="between" text="欠">
      <formula>NOT(ISERROR(SEARCH("欠",Z218)))</formula>
    </cfRule>
  </conditionalFormatting>
  <conditionalFormatting sqref="Z248:Z249">
    <cfRule type="cellIs" dxfId="0" priority="235" operator="equal">
      <formula>"欠"</formula>
    </cfRule>
    <cfRule type="containsText" dxfId="0" priority="234" operator="between" text="欠">
      <formula>NOT(ISERROR(SEARCH("欠",Z248)))</formula>
    </cfRule>
  </conditionalFormatting>
  <conditionalFormatting sqref="Z301:Z302">
    <cfRule type="containsText" dxfId="0" priority="84" operator="between" text="欠">
      <formula>NOT(ISERROR(SEARCH("欠",Z301)))</formula>
    </cfRule>
    <cfRule type="cellIs" dxfId="0" priority="86" operator="equal">
      <formula>"欠"</formula>
    </cfRule>
  </conditionalFormatting>
  <conditionalFormatting sqref="Z322:Z363">
    <cfRule type="containsText" dxfId="0" priority="16" operator="between" text="欠">
      <formula>NOT(ISERROR(SEARCH("欠",Z322)))</formula>
    </cfRule>
    <cfRule type="cellIs" dxfId="0" priority="20" operator="equal">
      <formula>"欠"</formula>
    </cfRule>
  </conditionalFormatting>
  <conditionalFormatting sqref="Z345:Z346">
    <cfRule type="containsText" dxfId="0" priority="3" operator="between" text="欠">
      <formula>NOT(ISERROR(SEARCH("欠",Z345)))</formula>
    </cfRule>
    <cfRule type="cellIs" dxfId="0" priority="4" operator="equal">
      <formula>"欠"</formula>
    </cfRule>
  </conditionalFormatting>
  <conditionalFormatting sqref="BS188:BS189">
    <cfRule type="expression" dxfId="2" priority="420">
      <formula>$BS$3="合计"</formula>
    </cfRule>
  </conditionalFormatting>
  <conditionalFormatting sqref="BS231:BS232">
    <cfRule type="expression" dxfId="2" priority="227">
      <formula>#REF!="合计"</formula>
    </cfRule>
    <cfRule type="expression" dxfId="2" priority="228">
      <formula>$BS$3="合计"</formula>
    </cfRule>
  </conditionalFormatting>
  <conditionalFormatting sqref="BS251:BS255">
    <cfRule type="expression" dxfId="2" priority="264">
      <formula>$BS$3="合计"</formula>
    </cfRule>
  </conditionalFormatting>
  <conditionalFormatting sqref="BS322:BS363">
    <cfRule type="expression" dxfId="2" priority="32">
      <formula>$BS$3="合计"</formula>
    </cfRule>
  </conditionalFormatting>
  <conditionalFormatting sqref="BS343:BS344">
    <cfRule type="expression" dxfId="2" priority="34">
      <formula>$BS$3="合计"</formula>
    </cfRule>
  </conditionalFormatting>
  <conditionalFormatting sqref="W1:W232 W240:W241 W243 W245:W249 W364:W1048576">
    <cfRule type="cellIs" dxfId="0" priority="302" operator="equal">
      <formula>"欠"</formula>
    </cfRule>
  </conditionalFormatting>
  <conditionalFormatting sqref="Z1:Z232 Z240:Z241 Z243:Z247 Z257 Z364:Z1048576">
    <cfRule type="containsText" dxfId="0" priority="301" operator="between" text="欠">
      <formula>NOT(ISERROR(SEARCH("欠",Z1)))</formula>
    </cfRule>
    <cfRule type="cellIs" dxfId="0" priority="303" operator="equal">
      <formula>"欠"</formula>
    </cfRule>
  </conditionalFormatting>
  <conditionalFormatting sqref="BS3:BS157 BS159:BS168 BS170:BS175 BS191 BS193:BS195 BS198:BS200 BS202:BS208 BS212 BS225 BS240 BS247 BS256 BS258:BS259 BS272:BS273 BS364:BS367">
    <cfRule type="expression" dxfId="2" priority="549">
      <formula>$BS$3="合计"</formula>
    </cfRule>
  </conditionalFormatting>
  <conditionalFormatting sqref="Y5:Y7 Y43 Y45 Y74 Y96:Y97 Y106 W364:Y366">
    <cfRule type="containsText" dxfId="0" priority="554" operator="between" text="欠">
      <formula>NOT(ISERROR(SEARCH("欠",W5)))</formula>
    </cfRule>
  </conditionalFormatting>
  <conditionalFormatting sqref="X43:X45 X106 X96:X97 X74 X5:X7 X38:X39">
    <cfRule type="containsText" dxfId="0" priority="548" operator="between" text="欠">
      <formula>NOT(ISERROR(SEARCH("欠",X5)))</formula>
    </cfRule>
  </conditionalFormatting>
  <conditionalFormatting sqref="Z43:Z47 Z240 Z206:Z208 Z193:Z195 Z190:Z191 Z225 Z198:Z200 Z202:Z204 Z148:Z149 Z106 Z96:Z97 Z115:Z134 Z156:Z157 Z171:Z173 Z159:Z169 Z137:Z141 Z143:Z146 Z151:Z154 Z62 Z74 Z91:Z92 Z64:Z70 Z5:Z8 Z18 Z38:Z40 Z21:Z25 Z55:Z60 Z29:Z34 Z11:Z13">
    <cfRule type="containsText" dxfId="0" priority="558" operator="between" text="欠">
      <formula>NOT(ISERROR(SEARCH("欠",Z5)))</formula>
    </cfRule>
  </conditionalFormatting>
  <conditionalFormatting sqref="W6:W7 W240 W217 W193:W195 W214 W198:W200 W210:W211 W205:W208 W246:W247 W224:W228 W202 W190:W191 W91:W92 W149:W154 W143:W147 W96:W100 W137 W140:W141 W159:W169 W156:W157 W106 W74 W115:W131 W63:W70 W49:W52 W11 W14:W25 W29:W34 W38:W40 W43:W46 W55:W61">
    <cfRule type="containsText" dxfId="0" priority="547" operator="between" text="欠">
      <formula>NOT(ISERROR(SEARCH("欠",W6)))</formula>
    </cfRule>
  </conditionalFormatting>
  <conditionalFormatting sqref="W8 W12:W13">
    <cfRule type="containsText" dxfId="0" priority="544" operator="between" text="欠">
      <formula>NOT(ISERROR(SEARCH("欠",W8)))</formula>
    </cfRule>
  </conditionalFormatting>
  <conditionalFormatting sqref="X8 X40 X29:X34 X11:X25">
    <cfRule type="containsText" dxfId="0" priority="545" operator="between" text="欠">
      <formula>NOT(ISERROR(SEARCH("欠",X8)))</formula>
    </cfRule>
  </conditionalFormatting>
  <conditionalFormatting sqref="Y11:Y13 Y40 Y44 Y38 Y18 Y8 Y29:Y34 Y21:Y25">
    <cfRule type="containsText" dxfId="0" priority="546" operator="between" text="欠">
      <formula>NOT(ISERROR(SEARCH("欠",Y8)))</formula>
    </cfRule>
  </conditionalFormatting>
  <conditionalFormatting sqref="W9:W10 W75:W78">
    <cfRule type="containsText" dxfId="0" priority="531" operator="between" text="欠">
      <formula>NOT(ISERROR(SEARCH("欠",W9)))</formula>
    </cfRule>
  </conditionalFormatting>
  <conditionalFormatting sqref="X9:X10 X75:X78">
    <cfRule type="containsText" dxfId="0" priority="529" operator="between" text="欠">
      <formula>NOT(ISERROR(SEARCH("欠",X9)))</formula>
    </cfRule>
  </conditionalFormatting>
  <conditionalFormatting sqref="Y9:Y10 Y75:Y78">
    <cfRule type="containsText" dxfId="0" priority="530" operator="between" text="欠">
      <formula>NOT(ISERROR(SEARCH("欠",Y9)))</formula>
    </cfRule>
  </conditionalFormatting>
  <conditionalFormatting sqref="W35:W37 W41:W42">
    <cfRule type="containsText" dxfId="0" priority="539" operator="between" text="欠">
      <formula>NOT(ISERROR(SEARCH("欠",W35)))</formula>
    </cfRule>
  </conditionalFormatting>
  <conditionalFormatting sqref="X35:X36 X41:X42">
    <cfRule type="containsText" dxfId="0" priority="534" operator="between" text="欠">
      <formula>NOT(ISERROR(SEARCH("欠",X35)))</formula>
    </cfRule>
  </conditionalFormatting>
  <conditionalFormatting sqref="Y35:Y36 Y48 Y57:Y59">
    <cfRule type="containsText" dxfId="0" priority="519" operator="between" text="欠">
      <formula>NOT(ISERROR(SEARCH("欠",Y35)))</formula>
    </cfRule>
  </conditionalFormatting>
  <conditionalFormatting sqref="Z35:Z36 Z41:Z42">
    <cfRule type="containsText" dxfId="0" priority="536" operator="between" text="欠">
      <formula>NOT(ISERROR(SEARCH("欠",Z35)))</formula>
    </cfRule>
  </conditionalFormatting>
  <conditionalFormatting sqref="X55:X60 X240 X225 X247 X190:X191 X202:X208 X198:X200 X193:X195 X171:X173 X159:X169 X137:X141 X149 X143:X146 X91 X156:X157 X151:X154 X115:X134 X62 X64:X70 X46 X49:X52">
    <cfRule type="containsText" dxfId="0" priority="542" operator="between" text="欠">
      <formula>NOT(ISERROR(SEARCH("欠",X46)))</formula>
    </cfRule>
  </conditionalFormatting>
  <conditionalFormatting sqref="Y49:Y52 Y46">
    <cfRule type="containsText" dxfId="0" priority="509" operator="between" text="欠">
      <formula>NOT(ISERROR(SEARCH("欠",Y46)))</formula>
    </cfRule>
  </conditionalFormatting>
  <conditionalFormatting sqref="W53:W54 W62 W48">
    <cfRule type="containsText" dxfId="0" priority="527" operator="between" text="欠">
      <formula>NOT(ISERROR(SEARCH("欠",W48)))</formula>
    </cfRule>
  </conditionalFormatting>
  <conditionalFormatting sqref="X53:X54 X48">
    <cfRule type="containsText" dxfId="0" priority="525" operator="between" text="欠">
      <formula>NOT(ISERROR(SEARCH("欠",X48)))</formula>
    </cfRule>
  </conditionalFormatting>
  <conditionalFormatting sqref="Z53:Z54 Z48">
    <cfRule type="containsText" dxfId="0" priority="528" operator="between" text="欠">
      <formula>NOT(ISERROR(SEARCH("欠",Z48)))</formula>
    </cfRule>
  </conditionalFormatting>
  <conditionalFormatting sqref="Y55:Y56 Y91:Y92 Y62 Y66:Y70 Y60">
    <cfRule type="containsText" dxfId="0" priority="543" operator="between" text="欠">
      <formula>NOT(ISERROR(SEARCH("欠",Y55)))</formula>
    </cfRule>
  </conditionalFormatting>
  <conditionalFormatting sqref="V63 V61">
    <cfRule type="containsText" dxfId="0" priority="507" operator="between" text="欠">
      <formula>NOT(ISERROR(SEARCH("欠",V61)))</formula>
    </cfRule>
  </conditionalFormatting>
  <conditionalFormatting sqref="X63 X61">
    <cfRule type="containsText" dxfId="0" priority="506" operator="between" text="欠">
      <formula>NOT(ISERROR(SEARCH("欠",X61)))</formula>
    </cfRule>
  </conditionalFormatting>
  <conditionalFormatting sqref="Y63 Y61">
    <cfRule type="containsText" dxfId="0" priority="508" operator="between" text="欠">
      <formula>NOT(ISERROR(SEARCH("欠",Y61)))</formula>
    </cfRule>
  </conditionalFormatting>
  <conditionalFormatting sqref="Y64:Y65 Y240 Y193:Y195 Y190:Y191 Y247 Y225 Y202:Y208 Y198:Y200 Y156:Y157 Y115:Y127 Y149 Y143:Y146 Y171:Y173 Y159:Y169 Y137:Y141 Y151:Y154 Y129:Y134">
    <cfRule type="containsText" dxfId="0" priority="533" operator="between" text="欠">
      <formula>NOT(ISERROR(SEARCH("欠",Y64)))</formula>
    </cfRule>
  </conditionalFormatting>
  <conditionalFormatting sqref="W93:W95 W90 W87:W88">
    <cfRule type="containsText" dxfId="0" priority="477" operator="between" text="欠">
      <formula>NOT(ISERROR(SEARCH("欠",W87)))</formula>
    </cfRule>
  </conditionalFormatting>
  <conditionalFormatting sqref="X93:X95 X90 X87:X88">
    <cfRule type="containsText" dxfId="0" priority="476" operator="between" text="欠">
      <formula>NOT(ISERROR(SEARCH("欠",X87)))</formula>
    </cfRule>
  </conditionalFormatting>
  <conditionalFormatting sqref="Y93:Y95 Y90 Y87:Y88">
    <cfRule type="containsText" dxfId="0" priority="474" operator="between" text="欠">
      <formula>NOT(ISERROR(SEARCH("欠",Y87)))</formula>
    </cfRule>
  </conditionalFormatting>
  <conditionalFormatting sqref="Z93:Z95 Z90 Z87:Z88">
    <cfRule type="containsText" dxfId="0" priority="475" operator="between" text="欠">
      <formula>NOT(ISERROR(SEARCH("欠",Z87)))</formula>
    </cfRule>
  </conditionalFormatting>
  <conditionalFormatting sqref="W101:W104 W107:W112">
    <cfRule type="containsText" dxfId="0" priority="471" operator="between" text="欠">
      <formula>NOT(ISERROR(SEARCH("欠",W101)))</formula>
    </cfRule>
  </conditionalFormatting>
  <conditionalFormatting sqref="X101:X104 X107:X112">
    <cfRule type="containsText" dxfId="0" priority="470" operator="between" text="欠">
      <formula>NOT(ISERROR(SEARCH("欠",X101)))</formula>
    </cfRule>
  </conditionalFormatting>
  <conditionalFormatting sqref="Y101:Y104 Y107:Y112">
    <cfRule type="containsText" dxfId="0" priority="456" operator="between" text="欠">
      <formula>NOT(ISERROR(SEARCH("欠",Y101)))</formula>
    </cfRule>
  </conditionalFormatting>
  <conditionalFormatting sqref="Z101:Z104 Z107:Z112">
    <cfRule type="containsText" dxfId="0" priority="469" operator="between" text="欠">
      <formula>NOT(ISERROR(SEARCH("欠",Z101)))</formula>
    </cfRule>
  </conditionalFormatting>
  <conditionalFormatting sqref="W114 W212 W155">
    <cfRule type="containsText" dxfId="0" priority="440" operator="between" text="欠">
      <formula>NOT(ISERROR(SEARCH("欠",W114)))</formula>
    </cfRule>
  </conditionalFormatting>
  <conditionalFormatting sqref="W148 W132:W136 W138:W139">
    <cfRule type="containsText" dxfId="0" priority="446" operator="between" text="欠">
      <formula>NOT(ISERROR(SEARCH("欠",W132)))</formula>
    </cfRule>
  </conditionalFormatting>
  <conditionalFormatting sqref="X147 X150">
    <cfRule type="containsText" dxfId="0" priority="428" operator="between" text="欠">
      <formula>NOT(ISERROR(SEARCH("欠",X147)))</formula>
    </cfRule>
  </conditionalFormatting>
  <conditionalFormatting sqref="Y147 Y150">
    <cfRule type="containsText" dxfId="0" priority="429" operator="between" text="欠">
      <formula>NOT(ISERROR(SEARCH("欠",Y147)))</formula>
    </cfRule>
  </conditionalFormatting>
  <conditionalFormatting sqref="Z147 Z150">
    <cfRule type="containsText" dxfId="0" priority="430" operator="between" text="欠">
      <formula>NOT(ISERROR(SEARCH("欠",Z147)))</formula>
    </cfRule>
  </conditionalFormatting>
  <conditionalFormatting sqref="X155 X212">
    <cfRule type="containsText" dxfId="0" priority="444" operator="between" text="欠">
      <formula>NOT(ISERROR(SEARCH("欠",X155)))</formula>
    </cfRule>
  </conditionalFormatting>
  <conditionalFormatting sqref="Y155 Y212">
    <cfRule type="containsText" dxfId="0" priority="443" operator="between" text="欠">
      <formula>NOT(ISERROR(SEARCH("欠",Y155)))</formula>
    </cfRule>
  </conditionalFormatting>
  <conditionalFormatting sqref="Z155 Z212">
    <cfRule type="containsText" dxfId="0" priority="445" operator="between" text="欠">
      <formula>NOT(ISERROR(SEARCH("欠",Z155)))</formula>
    </cfRule>
  </conditionalFormatting>
  <conditionalFormatting sqref="BS158 BS169 BS190">
    <cfRule type="expression" dxfId="2" priority="425">
      <formula>$BS$3="合计"</formula>
    </cfRule>
  </conditionalFormatting>
  <conditionalFormatting sqref="W170 W192">
    <cfRule type="containsText" dxfId="0" priority="416" operator="between" text="欠">
      <formula>NOT(ISERROR(SEARCH("欠",W170)))</formula>
    </cfRule>
  </conditionalFormatting>
  <conditionalFormatting sqref="X170 X192">
    <cfRule type="containsText" dxfId="0" priority="415" operator="between" text="欠">
      <formula>NOT(ISERROR(SEARCH("欠",X170)))</formula>
    </cfRule>
  </conditionalFormatting>
  <conditionalFormatting sqref="Y170 Y192">
    <cfRule type="containsText" dxfId="0" priority="414" operator="between" text="欠">
      <formula>NOT(ISERROR(SEARCH("欠",Y170)))</formula>
    </cfRule>
  </conditionalFormatting>
  <conditionalFormatting sqref="Z170 Z205 Z192">
    <cfRule type="containsText" dxfId="0" priority="418" operator="between" text="欠">
      <formula>NOT(ISERROR(SEARCH("欠",Z170)))</formula>
    </cfRule>
  </conditionalFormatting>
  <conditionalFormatting sqref="O219:O223 O213">
    <cfRule type="containsText" dxfId="0" priority="360" operator="between" text="欠">
      <formula>NOT(ISERROR(SEARCH("欠",O213)))</formula>
    </cfRule>
  </conditionalFormatting>
  <conditionalFormatting sqref="X219:X223 X213">
    <cfRule type="containsText" dxfId="0" priority="362" operator="between" text="欠">
      <formula>NOT(ISERROR(SEARCH("欠",X213)))</formula>
    </cfRule>
  </conditionalFormatting>
  <conditionalFormatting sqref="BS213 BS219:BS223">
    <cfRule type="expression" dxfId="2" priority="364">
      <formula>$BS$3="合计"</formula>
    </cfRule>
  </conditionalFormatting>
  <conditionalFormatting sqref="O214 O216:O217">
    <cfRule type="containsText" dxfId="0" priority="343" operator="between" text="欠">
      <formula>NOT(ISERROR(SEARCH("欠",O214)))</formula>
    </cfRule>
  </conditionalFormatting>
  <conditionalFormatting sqref="X214 X216:X217">
    <cfRule type="containsText" dxfId="0" priority="344" operator="between" text="欠">
      <formula>NOT(ISERROR(SEARCH("欠",X214)))</formula>
    </cfRule>
  </conditionalFormatting>
  <conditionalFormatting sqref="Y217 Y246 Y226:Y228 Y224 Y214">
    <cfRule type="containsText" dxfId="0" priority="322" operator="between" text="欠">
      <formula>NOT(ISERROR(SEARCH("欠",Y214)))</formula>
    </cfRule>
  </conditionalFormatting>
  <conditionalFormatting sqref="Z216:Z217 Z246 Z226:Z228 Z214 Z224">
    <cfRule type="containsText" dxfId="0" priority="323" operator="between" text="欠">
      <formula>NOT(ISERROR(SEARCH("欠",Z214)))</formula>
    </cfRule>
  </conditionalFormatting>
  <conditionalFormatting sqref="BS214 BS216:BS217">
    <cfRule type="expression" dxfId="2" priority="345">
      <formula>$BS$3="合计"</formula>
    </cfRule>
  </conditionalFormatting>
  <conditionalFormatting sqref="P216:T225">
    <cfRule type="containsText" dxfId="0" priority="249" operator="between" text="欠">
      <formula>NOT(ISERROR(SEARCH("欠",P216)))</formula>
    </cfRule>
  </conditionalFormatting>
  <conditionalFormatting sqref="O226:O228 O246">
    <cfRule type="containsText" dxfId="0" priority="336" operator="between" text="欠">
      <formula>NOT(ISERROR(SEARCH("欠",O226)))</formula>
    </cfRule>
  </conditionalFormatting>
  <conditionalFormatting sqref="P226:T227">
    <cfRule type="containsText" dxfId="0" priority="241" operator="between" text="欠">
      <formula>NOT(ISERROR(SEARCH("欠",P226)))</formula>
    </cfRule>
  </conditionalFormatting>
  <conditionalFormatting sqref="X226:X228 X246">
    <cfRule type="containsText" dxfId="0" priority="337" operator="between" text="欠">
      <formula>NOT(ISERROR(SEARCH("欠",X226)))</formula>
    </cfRule>
  </conditionalFormatting>
  <conditionalFormatting sqref="BS226:BS228 BS230 BS241 BS243:BS246 BS248:BS249 BS257">
    <cfRule type="expression" dxfId="2" priority="338">
      <formula>$BS$3="合计"</formula>
    </cfRule>
  </conditionalFormatting>
  <conditionalFormatting sqref="P228:T229">
    <cfRule type="containsText" dxfId="0" priority="240" operator="between" text="欠">
      <formula>NOT(ISERROR(SEARCH("欠",P228)))</formula>
    </cfRule>
  </conditionalFormatting>
  <conditionalFormatting sqref="X230 X249 X245 X241">
    <cfRule type="containsText" dxfId="0" priority="321" operator="between" text="欠">
      <formula>NOT(ISERROR(SEARCH("欠",X230)))</formula>
    </cfRule>
  </conditionalFormatting>
  <conditionalFormatting sqref="P231:T232">
    <cfRule type="containsText" dxfId="0" priority="238" operator="between" text="欠">
      <formula>NOT(ISERROR(SEARCH("欠",P231)))</formula>
    </cfRule>
  </conditionalFormatting>
  <conditionalFormatting sqref="Y231:Y232 Y257 Y245 Y243 Y241 Y248:Y249">
    <cfRule type="containsText" dxfId="0" priority="307" operator="between" text="欠">
      <formula>NOT(ISERROR(SEARCH("欠",Y231)))</formula>
    </cfRule>
  </conditionalFormatting>
  <conditionalFormatting sqref="P233:T243">
    <cfRule type="containsText" dxfId="0" priority="237" operator="between" text="欠">
      <formula>NOT(ISERROR(SEARCH("欠",P233)))</formula>
    </cfRule>
  </conditionalFormatting>
  <conditionalFormatting sqref="P244:T245">
    <cfRule type="containsText" dxfId="0" priority="236" operator="between" text="欠">
      <formula>NOT(ISERROR(SEARCH("欠",P244)))</formula>
    </cfRule>
  </conditionalFormatting>
  <conditionalFormatting sqref="P246:T247">
    <cfRule type="containsText" dxfId="0" priority="242" operator="between" text="欠">
      <formula>NOT(ISERROR(SEARCH("欠",P246)))</formula>
    </cfRule>
  </conditionalFormatting>
  <conditionalFormatting sqref="X248 X257">
    <cfRule type="containsText" dxfId="0" priority="305" operator="between" text="欠">
      <formula>NOT(ISERROR(SEARCH("欠",X248)))</formula>
    </cfRule>
  </conditionalFormatting>
  <conditionalFormatting sqref="P250:T272 P273:P274 S273:T274 P275:P277 T275:T277 P278:P290 T279:T290 P291:P294 T292:T294 P295:P345">
    <cfRule type="containsText" dxfId="0" priority="226" operator="between" text="欠">
      <formula>NOT(ISERROR(SEARCH("欠",P250)))</formula>
    </cfRule>
  </conditionalFormatting>
  <conditionalFormatting sqref="X251:X256 X258">
    <cfRule type="containsText" dxfId="0" priority="262" operator="between" text="欠">
      <formula>NOT(ISERROR(SEARCH("欠",X251)))</formula>
    </cfRule>
  </conditionalFormatting>
  <conditionalFormatting sqref="Y251:Y256 Y258:Y259">
    <cfRule type="containsText" dxfId="0" priority="263" operator="between" text="欠">
      <formula>NOT(ISERROR(SEARCH("欠",Y251)))</formula>
    </cfRule>
  </conditionalFormatting>
  <conditionalFormatting sqref="Z252:Z256 Z258">
    <cfRule type="cellIs" dxfId="0" priority="261" operator="equal">
      <formula>"欠"</formula>
    </cfRule>
    <cfRule type="containsText" dxfId="0" priority="259" operator="between" text="欠">
      <formula>NOT(ISERROR(SEARCH("欠",Z252)))</formula>
    </cfRule>
  </conditionalFormatting>
  <conditionalFormatting sqref="X260:X268 X274 X270">
    <cfRule type="containsText" dxfId="0" priority="255" operator="between" text="欠">
      <formula>NOT(ISERROR(SEARCH("欠",X260)))</formula>
    </cfRule>
  </conditionalFormatting>
  <conditionalFormatting sqref="Y260:Y262 Y265:Y267">
    <cfRule type="containsText" dxfId="0" priority="254" operator="between" text="欠">
      <formula>NOT(ISERROR(SEARCH("欠",Y260)))</formula>
    </cfRule>
  </conditionalFormatting>
  <conditionalFormatting sqref="Z260:Z268 Z274 Z270">
    <cfRule type="cellIs" dxfId="0" priority="253" operator="equal">
      <formula>"欠"</formula>
    </cfRule>
    <cfRule type="containsText" dxfId="0" priority="252" operator="between" text="欠">
      <formula>NOT(ISERROR(SEARCH("欠",Z260)))</formula>
    </cfRule>
  </conditionalFormatting>
  <conditionalFormatting sqref="BS260:BS268 BS270 BS274">
    <cfRule type="expression" dxfId="2" priority="256">
      <formula>$BS$3="合计"</formula>
    </cfRule>
  </conditionalFormatting>
  <conditionalFormatting sqref="W268:W270 W274">
    <cfRule type="cellIs" dxfId="0" priority="224" operator="equal">
      <formula>"欠"</formula>
    </cfRule>
  </conditionalFormatting>
  <conditionalFormatting sqref="Y268 Y274">
    <cfRule type="containsText" dxfId="0" priority="218" operator="between" text="欠">
      <formula>NOT(ISERROR(SEARCH("欠",Y268)))</formula>
    </cfRule>
  </conditionalFormatting>
  <conditionalFormatting sqref="W275 W283 W278">
    <cfRule type="cellIs" dxfId="0" priority="196" operator="equal">
      <formula>"欠"</formula>
    </cfRule>
  </conditionalFormatting>
  <conditionalFormatting sqref="X275 X283 X278">
    <cfRule type="containsText" dxfId="0" priority="199" operator="between" text="欠">
      <formula>NOT(ISERROR(SEARCH("欠",X275)))</formula>
    </cfRule>
  </conditionalFormatting>
  <conditionalFormatting sqref="Y275 Y283 Y278">
    <cfRule type="containsText" dxfId="0" priority="195" operator="between" text="欠">
      <formula>NOT(ISERROR(SEARCH("欠",Y275)))</formula>
    </cfRule>
  </conditionalFormatting>
  <conditionalFormatting sqref="Z275 Z280:Z283 Z278">
    <cfRule type="cellIs" dxfId="0" priority="198" operator="equal">
      <formula>"欠"</formula>
    </cfRule>
    <cfRule type="containsText" dxfId="0" priority="197" operator="between" text="欠">
      <formula>NOT(ISERROR(SEARCH("欠",Z275)))</formula>
    </cfRule>
  </conditionalFormatting>
  <conditionalFormatting sqref="BS275 BS278 BS280:BS283">
    <cfRule type="expression" dxfId="2" priority="200">
      <formula>$BS$3="合计"</formula>
    </cfRule>
  </conditionalFormatting>
  <conditionalFormatting sqref="W276:W277 W284:W290 W292:W294">
    <cfRule type="cellIs" dxfId="0" priority="213" operator="equal">
      <formula>"欠"</formula>
    </cfRule>
  </conditionalFormatting>
  <conditionalFormatting sqref="X276:X277 X284:X290 X292:X294">
    <cfRule type="containsText" dxfId="0" priority="216" operator="between" text="欠">
      <formula>NOT(ISERROR(SEARCH("欠",X276)))</formula>
    </cfRule>
  </conditionalFormatting>
  <conditionalFormatting sqref="Y276:Y277 Y284:Y290 Y292:Y294">
    <cfRule type="containsText" dxfId="0" priority="212" operator="between" text="欠">
      <formula>NOT(ISERROR(SEARCH("欠",Y276)))</formula>
    </cfRule>
  </conditionalFormatting>
  <conditionalFormatting sqref="Z276:Z277 Z284:Z290 Z292:Z295">
    <cfRule type="cellIs" dxfId="0" priority="215" operator="equal">
      <formula>"欠"</formula>
    </cfRule>
    <cfRule type="containsText" dxfId="0" priority="214" operator="between" text="欠">
      <formula>NOT(ISERROR(SEARCH("欠",Z276)))</formula>
    </cfRule>
  </conditionalFormatting>
  <conditionalFormatting sqref="BS276:BS277 BS284:BS295 BS298 BS308:BS310">
    <cfRule type="expression" dxfId="2" priority="217">
      <formula>$BS$3="合计"</formula>
    </cfRule>
  </conditionalFormatting>
  <conditionalFormatting sqref="S284:S288 S292:S295">
    <cfRule type="containsText" dxfId="0" priority="180" operator="between" text="欠">
      <formula>NOT(ISERROR(SEARCH("欠",S284)))</formula>
    </cfRule>
  </conditionalFormatting>
  <conditionalFormatting sqref="BK297 BK299">
    <cfRule type="expression" dxfId="2" priority="91">
      <formula>$BS$3="合计"</formula>
    </cfRule>
  </conditionalFormatting>
  <conditionalFormatting sqref="W298 W309:W310">
    <cfRule type="containsText" dxfId="0" priority="151" operator="between" text="欠">
      <formula>NOT(ISERROR(SEARCH("欠",W298)))</formula>
    </cfRule>
  </conditionalFormatting>
  <conditionalFormatting sqref="S299:T299 T301">
    <cfRule type="containsText" dxfId="0" priority="89" operator="between" text="欠">
      <formula>NOT(ISERROR(SEARCH("欠",S299)))</formula>
    </cfRule>
  </conditionalFormatting>
  <conditionalFormatting sqref="W316:W341 W345:W363">
    <cfRule type="containsText" dxfId="0" priority="11" operator="between" text="欠">
      <formula>NOT(ISERROR(SEARCH("欠",W316)))</formula>
    </cfRule>
  </conditionalFormatting>
  <conditionalFormatting sqref="Y316:Y341 Y345:Y363">
    <cfRule type="containsText" dxfId="0" priority="31" operator="between" text="欠">
      <formula>NOT(ISERROR(SEARCH("欠",Y316)))</formula>
    </cfRule>
  </conditionalFormatting>
  <conditionalFormatting sqref="S322:S327 S333:S363">
    <cfRule type="containsText" dxfId="0" priority="12" operator="between" text="欠">
      <formula>NOT(ISERROR(SEARCH("欠",S322)))</formula>
    </cfRule>
  </conditionalFormatting>
  <dataValidations count="1">
    <dataValidation type="list" allowBlank="1" showInputMessage="1" showErrorMessage="1" sqref="AH5:AH149 AH151:AH385">
      <formula1>"已入,无BOM"</formula1>
    </dataValidation>
  </dataValidations>
  <pageMargins left="0.7" right="0.7" top="0.75" bottom="0.75" header="0.3" footer="0.3"/>
  <pageSetup paperSize="9" orientation="portrait"/>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70"/>
  <sheetViews>
    <sheetView zoomScale="80" zoomScaleNormal="80" workbookViewId="0">
      <pane xSplit="14" ySplit="3" topLeftCell="BK119" activePane="bottomRight" state="frozen"/>
      <selection/>
      <selection pane="topRight"/>
      <selection pane="bottomLeft"/>
      <selection pane="bottomRight" activeCell="BK119" sqref="BK119"/>
    </sheetView>
  </sheetViews>
  <sheetFormatPr defaultColWidth="8.1" defaultRowHeight="12"/>
  <cols>
    <col min="1" max="1" width="15.3083333333333" style="2845" customWidth="1"/>
    <col min="2" max="2" width="10.9166666666667" style="2846" customWidth="1"/>
    <col min="3" max="3" width="7.05833333333333" style="2846" customWidth="1"/>
    <col min="4" max="4" width="11.7333333333333" style="2846" customWidth="1"/>
    <col min="5" max="5" width="9.63333333333333" style="2846" customWidth="1"/>
    <col min="6" max="6" width="11.8666666666667" style="2847" customWidth="1"/>
    <col min="7" max="7" width="12.5333333333333" style="2846" customWidth="1"/>
    <col min="8" max="8" width="14" style="2846" customWidth="1"/>
    <col min="9" max="9" width="8.675" style="2846" customWidth="1"/>
    <col min="10" max="11" width="7.34166666666667" style="2846" customWidth="1"/>
    <col min="12" max="12" width="7.70833333333333" style="2846" customWidth="1"/>
    <col min="13" max="14" width="12.6916666666667" style="2846" customWidth="1"/>
    <col min="15" max="15" width="10.6833333333333" style="2846" customWidth="1"/>
    <col min="16" max="19" width="8.1" style="2846" customWidth="1"/>
    <col min="20" max="20" width="9.28333333333333" style="2846" customWidth="1"/>
    <col min="21" max="21" width="8.1" style="2846" customWidth="1"/>
    <col min="22" max="22" width="12" style="2846" customWidth="1"/>
    <col min="23" max="23" width="24.75" style="2846" customWidth="1"/>
    <col min="24" max="24" width="10.2833333333333" style="2846" customWidth="1"/>
    <col min="25" max="25" width="9.15833333333333" style="2846" customWidth="1"/>
    <col min="26" max="26" width="10.4416666666667" style="2846" customWidth="1"/>
    <col min="27" max="27" width="11.65" style="2846" customWidth="1"/>
    <col min="28" max="28" width="15.4166666666667" style="2847" customWidth="1"/>
    <col min="29" max="29" width="8.1" style="2846"/>
    <col min="30" max="30" width="10.7" style="2846"/>
    <col min="31" max="31" width="8.1" style="2846"/>
    <col min="32" max="32" width="9.7" style="2846" hidden="1" customWidth="1"/>
    <col min="33" max="33" width="8.1" style="2846"/>
    <col min="34" max="35" width="8.7" style="2846"/>
    <col min="36" max="36" width="10.7" style="2846"/>
    <col min="37" max="37" width="8.1" style="2846"/>
    <col min="38" max="38" width="8.7" style="2846"/>
    <col min="39" max="39" width="9.7" style="2846"/>
    <col min="40" max="40" width="8.7" style="2846"/>
    <col min="41" max="44" width="9.7" style="2846"/>
    <col min="45" max="46" width="8.7" style="2846"/>
    <col min="47" max="47" width="8.1" style="2846"/>
    <col min="48" max="48" width="8.7" style="2846"/>
    <col min="49" max="52" width="8.1" style="2846" customWidth="1"/>
    <col min="53" max="54" width="8.1" style="2846"/>
    <col min="55" max="55" width="8.7" style="2846"/>
    <col min="56" max="56" width="10.7" style="2846"/>
    <col min="57" max="57" width="9.7" style="2846"/>
    <col min="58" max="58" width="11.5" style="2846"/>
    <col min="59" max="59" width="9.2" style="2846"/>
    <col min="60" max="60" width="8.1" style="2846"/>
    <col min="61" max="61" width="8.54166666666667" style="2846" customWidth="1"/>
    <col min="62" max="62" width="8.44166666666667" style="2846" customWidth="1"/>
    <col min="63" max="68" width="8.54166666666667" style="2846" customWidth="1"/>
    <col min="69" max="69" width="9.7" style="2846"/>
    <col min="70" max="77" width="8.54166666666667" style="2846" customWidth="1"/>
    <col min="78" max="16384" width="8.1" style="2846"/>
  </cols>
  <sheetData>
    <row r="1" s="2835" customFormat="1" ht="16" customHeight="1" spans="1:239">
      <c r="A1" s="2848" t="s">
        <v>10169</v>
      </c>
      <c r="B1" s="2849"/>
      <c r="C1" s="2849"/>
      <c r="D1" s="2849"/>
      <c r="E1" s="2849"/>
      <c r="F1" s="2849"/>
      <c r="G1" s="2849"/>
      <c r="H1" s="2849"/>
      <c r="I1" s="2849"/>
      <c r="J1" s="2850" t="s">
        <v>10170</v>
      </c>
      <c r="M1" s="2851"/>
      <c r="N1" s="2851"/>
      <c r="O1" s="2851"/>
      <c r="P1" s="2852"/>
      <c r="Q1" s="2853"/>
      <c r="R1" s="2851"/>
      <c r="S1" s="2851"/>
      <c r="T1" s="2852"/>
      <c r="U1" s="2851"/>
      <c r="V1" s="2853"/>
      <c r="W1" s="2853"/>
      <c r="X1" s="2854"/>
      <c r="Y1" s="2854"/>
      <c r="Z1" s="2852"/>
      <c r="AA1" s="2852"/>
      <c r="AB1" s="2852"/>
      <c r="AC1" s="2852"/>
      <c r="AD1" s="2855"/>
      <c r="AE1" s="2855"/>
      <c r="AF1" s="2855"/>
      <c r="AG1" s="2855"/>
      <c r="AH1" s="2855"/>
      <c r="AI1" s="2855"/>
      <c r="AJ1" s="2856"/>
      <c r="AK1" s="2856"/>
      <c r="AL1" s="2856"/>
      <c r="AM1" s="2856"/>
      <c r="AN1" s="2856"/>
      <c r="AO1" s="2857"/>
      <c r="AP1" s="2857"/>
      <c r="AQ1" s="2857"/>
      <c r="BC1" s="2858" t="s">
        <v>9097</v>
      </c>
      <c r="BF1" s="2859" t="s">
        <v>10171</v>
      </c>
      <c r="BG1" s="2859">
        <f>'IC MA'!S10-'IC MA'!S6-BF128</f>
        <v>987311</v>
      </c>
      <c r="BH1" s="2860"/>
      <c r="BR1" s="2861" t="s">
        <v>10172</v>
      </c>
      <c r="BS1" s="2862" t="s">
        <v>10173</v>
      </c>
      <c r="BT1" s="2862" t="s">
        <v>10174</v>
      </c>
      <c r="BU1" s="2862" t="s">
        <v>10175</v>
      </c>
      <c r="BV1" s="2862" t="s">
        <v>10176</v>
      </c>
      <c r="BW1" s="2862" t="s">
        <v>10177</v>
      </c>
      <c r="BX1" s="2862" t="s">
        <v>10178</v>
      </c>
      <c r="BY1" s="2862" t="s">
        <v>10179</v>
      </c>
      <c r="BZ1" s="2863"/>
    </row>
    <row r="2" s="2836" customFormat="1" ht="14" customHeight="1" spans="1:239">
      <c r="A2" s="2864"/>
      <c r="B2" s="2865"/>
      <c r="C2" s="2865"/>
      <c r="D2" s="2865"/>
      <c r="E2" s="2865"/>
      <c r="F2" s="2865"/>
      <c r="G2" s="2865"/>
      <c r="H2" s="2865"/>
      <c r="I2" s="2865"/>
      <c r="J2" s="2851"/>
      <c r="K2" s="2835"/>
      <c r="N2" s="2866"/>
      <c r="Q2" s="2867"/>
      <c r="R2" s="2868"/>
      <c r="S2" s="2868"/>
      <c r="T2" s="2868"/>
      <c r="U2" s="2868"/>
      <c r="V2" s="2868"/>
      <c r="W2" s="2868"/>
      <c r="X2" s="2869"/>
      <c r="Y2" s="2869"/>
      <c r="Z2" s="2870"/>
      <c r="AA2" s="2871"/>
      <c r="AB2" s="2871"/>
      <c r="AC2" s="2871"/>
      <c r="AD2" s="2872" t="s">
        <v>9101</v>
      </c>
      <c r="AE2" s="2872"/>
      <c r="AF2" s="2872"/>
      <c r="AG2" s="2872"/>
      <c r="AH2" s="2872"/>
      <c r="AI2" s="2872"/>
      <c r="AJ2" s="2873" t="s">
        <v>286</v>
      </c>
      <c r="AK2" s="2873"/>
      <c r="AL2" s="2873"/>
      <c r="AM2" s="2873"/>
      <c r="AN2" s="2874"/>
      <c r="AO2" s="2875" t="s">
        <v>9102</v>
      </c>
      <c r="AP2" s="2876"/>
      <c r="AQ2" s="2876"/>
      <c r="AR2" s="2877"/>
      <c r="AS2" s="2878" t="s">
        <v>9103</v>
      </c>
      <c r="AT2" s="2879"/>
      <c r="AU2" s="2879"/>
      <c r="AV2" s="2880"/>
      <c r="AW2" s="2881" t="s">
        <v>9104</v>
      </c>
      <c r="AX2" s="2876"/>
      <c r="AY2" s="2876"/>
      <c r="AZ2" s="2877"/>
      <c r="BA2" s="2882" t="s">
        <v>10180</v>
      </c>
      <c r="BB2" s="2883"/>
      <c r="BC2" s="2884">
        <v>134696</v>
      </c>
      <c r="BD2" s="2874" t="s">
        <v>287</v>
      </c>
      <c r="BE2" s="2885"/>
      <c r="BF2" s="2886" t="s">
        <v>10181</v>
      </c>
      <c r="BG2" s="2887" t="s">
        <v>9106</v>
      </c>
      <c r="BH2" s="2887"/>
      <c r="BI2" s="2862" t="s">
        <v>10172</v>
      </c>
      <c r="BJ2" s="2862" t="s">
        <v>10173</v>
      </c>
      <c r="BK2" s="2862" t="s">
        <v>10174</v>
      </c>
      <c r="BL2" s="2862" t="s">
        <v>10175</v>
      </c>
      <c r="BM2" s="2862" t="s">
        <v>10176</v>
      </c>
      <c r="BN2" s="2862" t="s">
        <v>10177</v>
      </c>
      <c r="BO2" s="2862" t="s">
        <v>10178</v>
      </c>
      <c r="BP2" s="2862" t="s">
        <v>10179</v>
      </c>
      <c r="BQ2" s="2888" t="s">
        <v>10182</v>
      </c>
      <c r="BR2" s="2889">
        <f>'生产MA-1'!O19</f>
        <v>80000</v>
      </c>
      <c r="BS2" s="2889">
        <f>'生产MA-1'!P19</f>
        <v>80000</v>
      </c>
      <c r="BT2" s="2889">
        <f>'生产MA-1'!Q19</f>
        <v>80000</v>
      </c>
      <c r="BU2" s="2889">
        <f>'生产MA-1'!R19</f>
        <v>80000</v>
      </c>
      <c r="BV2" s="2889">
        <f>'生产MA-1'!S19</f>
        <v>122000</v>
      </c>
      <c r="BW2" s="2889">
        <f>'生产MA-1'!T19</f>
        <v>122000</v>
      </c>
      <c r="BX2" s="2889">
        <f>'生产MA-1'!U19</f>
        <v>80000</v>
      </c>
      <c r="BY2" s="2889">
        <f>'生产MA-1'!V19</f>
        <v>80000</v>
      </c>
      <c r="BZ2" s="2890">
        <f>SUM(BR2:BY2)/2</f>
        <v>362000</v>
      </c>
    </row>
    <row r="3" s="2837" customFormat="1" ht="50" customHeight="1" spans="1:239">
      <c r="A3" s="2891" t="s">
        <v>9108</v>
      </c>
      <c r="B3" s="2892" t="s">
        <v>15</v>
      </c>
      <c r="C3" s="2892" t="s">
        <v>16</v>
      </c>
      <c r="D3" s="2892" t="s">
        <v>17</v>
      </c>
      <c r="E3" s="2892">
        <v>173317</v>
      </c>
      <c r="F3" s="2892" t="s">
        <v>9109</v>
      </c>
      <c r="G3" s="2892" t="s">
        <v>9110</v>
      </c>
      <c r="H3" s="2892" t="s">
        <v>9111</v>
      </c>
      <c r="I3" s="2892" t="s">
        <v>9112</v>
      </c>
      <c r="J3" s="2892" t="s">
        <v>24</v>
      </c>
      <c r="K3" s="2892" t="s">
        <v>9113</v>
      </c>
      <c r="L3" s="2892" t="s">
        <v>26</v>
      </c>
      <c r="M3" s="2892" t="s">
        <v>9114</v>
      </c>
      <c r="N3" s="2892" t="s">
        <v>9115</v>
      </c>
      <c r="O3" s="2893" t="s">
        <v>9116</v>
      </c>
      <c r="P3" s="2892" t="s">
        <v>30</v>
      </c>
      <c r="Q3" s="2892" t="s">
        <v>33</v>
      </c>
      <c r="R3" s="2892" t="s">
        <v>9119</v>
      </c>
      <c r="S3" s="2892" t="s">
        <v>9120</v>
      </c>
      <c r="T3" s="2893" t="s">
        <v>9121</v>
      </c>
      <c r="U3" s="2893" t="s">
        <v>37</v>
      </c>
      <c r="V3" s="2893" t="s">
        <v>38</v>
      </c>
      <c r="W3" s="2894" t="s">
        <v>39</v>
      </c>
      <c r="X3" s="2892" t="s">
        <v>9122</v>
      </c>
      <c r="Y3" s="2892" t="s">
        <v>41</v>
      </c>
      <c r="Z3" s="2895" t="s">
        <v>42</v>
      </c>
      <c r="AA3" s="2896" t="s">
        <v>43</v>
      </c>
      <c r="AB3" s="2897" t="s">
        <v>20</v>
      </c>
      <c r="AC3" s="2897" t="s">
        <v>44</v>
      </c>
      <c r="AD3" s="2892" t="s">
        <v>9123</v>
      </c>
      <c r="AE3" s="2898" t="s">
        <v>9124</v>
      </c>
      <c r="AF3" s="2892" t="s">
        <v>9125</v>
      </c>
      <c r="AG3" s="2898" t="s">
        <v>9126</v>
      </c>
      <c r="AH3" s="2892" t="s">
        <v>10183</v>
      </c>
      <c r="AI3" s="2892" t="s">
        <v>9128</v>
      </c>
      <c r="AJ3" s="2886" t="s">
        <v>9129</v>
      </c>
      <c r="AK3" s="2899" t="s">
        <v>9130</v>
      </c>
      <c r="AL3" s="2892" t="s">
        <v>10183</v>
      </c>
      <c r="AM3" s="2886" t="s">
        <v>9131</v>
      </c>
      <c r="AN3" s="2900" t="s">
        <v>9128</v>
      </c>
      <c r="AO3" s="2901" t="s">
        <v>10184</v>
      </c>
      <c r="AP3" s="2886" t="s">
        <v>10185</v>
      </c>
      <c r="AQ3" s="2886" t="s">
        <v>10186</v>
      </c>
      <c r="AR3" s="2902" t="s">
        <v>10187</v>
      </c>
      <c r="AS3" s="2901" t="s">
        <v>10184</v>
      </c>
      <c r="AT3" s="2886" t="s">
        <v>10185</v>
      </c>
      <c r="AU3" s="2886" t="s">
        <v>10186</v>
      </c>
      <c r="AV3" s="2902" t="s">
        <v>10187</v>
      </c>
      <c r="AW3" s="2901" t="s">
        <v>10188</v>
      </c>
      <c r="AX3" s="2886" t="s">
        <v>10189</v>
      </c>
      <c r="AY3" s="2886" t="s">
        <v>10190</v>
      </c>
      <c r="AZ3" s="2902" t="s">
        <v>10191</v>
      </c>
      <c r="BA3" s="2901" t="s">
        <v>2575</v>
      </c>
      <c r="BB3" s="2902" t="s">
        <v>10192</v>
      </c>
      <c r="BC3" s="2884" t="s">
        <v>9142</v>
      </c>
      <c r="BD3" s="2886" t="s">
        <v>9143</v>
      </c>
      <c r="BE3" s="2886" t="s">
        <v>9144</v>
      </c>
      <c r="BF3" s="2886" t="s">
        <v>9164</v>
      </c>
      <c r="BG3" s="2886" t="s">
        <v>9145</v>
      </c>
      <c r="BH3" s="2886"/>
      <c r="BI3" s="2887" t="s">
        <v>10193</v>
      </c>
      <c r="BK3" s="2887" t="s">
        <v>10194</v>
      </c>
      <c r="BM3" s="2887" t="s">
        <v>10195</v>
      </c>
      <c r="BO3" s="2887" t="s">
        <v>10196</v>
      </c>
      <c r="BP3" s="2903"/>
      <c r="BQ3" s="2887" t="s">
        <v>10197</v>
      </c>
      <c r="BR3" s="2904" t="s">
        <v>9151</v>
      </c>
      <c r="BS3" s="2903" t="s">
        <v>9151</v>
      </c>
      <c r="BT3" s="2903" t="s">
        <v>9151</v>
      </c>
      <c r="BU3" s="2903" t="s">
        <v>9151</v>
      </c>
      <c r="BV3" s="2903" t="s">
        <v>9151</v>
      </c>
      <c r="BW3" s="2903" t="s">
        <v>9151</v>
      </c>
      <c r="BX3" s="2903" t="s">
        <v>9151</v>
      </c>
      <c r="BY3" s="2903" t="s">
        <v>9151</v>
      </c>
      <c r="BZ3" s="2903"/>
    </row>
    <row r="4" s="2838" customFormat="1" ht="32" customHeight="1" spans="1:239">
      <c r="A4" s="2905">
        <v>45289</v>
      </c>
      <c r="B4" s="2906" t="s">
        <v>323</v>
      </c>
      <c r="C4" s="2907" t="s">
        <v>324</v>
      </c>
      <c r="D4" s="2908" t="s">
        <v>10198</v>
      </c>
      <c r="E4" s="2909" t="s">
        <v>9153</v>
      </c>
      <c r="F4" s="2910"/>
      <c r="G4" s="2911" t="s">
        <v>10199</v>
      </c>
      <c r="H4" s="2911" t="s">
        <v>9155</v>
      </c>
      <c r="I4" s="2912">
        <v>294</v>
      </c>
      <c r="J4" s="2912">
        <v>0</v>
      </c>
      <c r="K4" s="2912">
        <v>4</v>
      </c>
      <c r="L4" s="2912">
        <f t="shared" ref="L4:L58" si="0">I4/K4</f>
        <v>73.5</v>
      </c>
      <c r="M4" s="2913">
        <v>45316</v>
      </c>
      <c r="N4" s="2913">
        <v>45313</v>
      </c>
      <c r="O4" s="2914"/>
      <c r="P4" s="2914"/>
      <c r="Q4" s="2914"/>
      <c r="R4" s="2915" t="s">
        <v>98</v>
      </c>
      <c r="S4" s="2915" t="s">
        <v>98</v>
      </c>
      <c r="T4" s="2915" t="s">
        <v>98</v>
      </c>
      <c r="U4" s="2915"/>
      <c r="V4" s="2915"/>
      <c r="W4" s="2916" t="s">
        <v>10200</v>
      </c>
      <c r="X4" s="2912"/>
      <c r="Y4" s="2917"/>
      <c r="Z4" s="2918"/>
      <c r="AA4" s="2912"/>
      <c r="AB4" s="2912" t="s">
        <v>326</v>
      </c>
      <c r="AC4" s="2912" t="s">
        <v>326</v>
      </c>
      <c r="AD4" s="2919"/>
      <c r="AE4" s="2919"/>
      <c r="AF4" s="2920"/>
      <c r="AG4" s="2919"/>
      <c r="AH4" s="2919"/>
      <c r="AI4" s="2919"/>
      <c r="AJ4" s="2921"/>
      <c r="AK4" s="2921"/>
      <c r="AL4" s="2921"/>
      <c r="AM4" s="2921"/>
      <c r="AN4" s="2922"/>
      <c r="AO4" s="2923"/>
      <c r="AP4" s="2921"/>
      <c r="AQ4" s="2921"/>
      <c r="AR4" s="2924"/>
      <c r="AS4" s="2923"/>
      <c r="AT4" s="2921"/>
      <c r="AU4" s="2921"/>
      <c r="AV4" s="2924"/>
      <c r="AW4" s="2923"/>
      <c r="AX4" s="2921"/>
      <c r="AY4" s="2921"/>
      <c r="AZ4" s="2924"/>
      <c r="BA4" s="2923"/>
      <c r="BB4" s="2924"/>
      <c r="BC4" s="2925"/>
      <c r="BD4" s="2921"/>
      <c r="BE4" s="2921"/>
      <c r="BF4" s="2921"/>
      <c r="BG4" s="2921" t="s">
        <v>9164</v>
      </c>
      <c r="BH4" s="2921"/>
      <c r="BI4" s="2921">
        <v>0</v>
      </c>
      <c r="BJ4" s="2921">
        <v>0</v>
      </c>
      <c r="BK4" s="2921">
        <v>0</v>
      </c>
      <c r="BL4" s="2921">
        <v>0</v>
      </c>
      <c r="BM4" s="2921">
        <v>0</v>
      </c>
      <c r="BN4" s="2921">
        <v>0</v>
      </c>
      <c r="BO4" s="2921">
        <v>0</v>
      </c>
      <c r="BP4" s="2921">
        <v>0</v>
      </c>
      <c r="BQ4" s="2926">
        <f t="shared" ref="BQ4:BQ67" si="1">$BQ$136+BJ4+BL4+BN4+BP4</f>
        <v>238025</v>
      </c>
      <c r="BR4" s="2926">
        <f>$BR$2-BR136-BI4</f>
        <v>27131.75</v>
      </c>
      <c r="BS4" s="2926">
        <f>$BR$2-BS136-BJ4</f>
        <v>27131.75</v>
      </c>
      <c r="BT4" s="2926">
        <f>$BT$2-BT136-BK4</f>
        <v>27003.75</v>
      </c>
      <c r="BU4" s="2926">
        <f>$BU$2-BU136-BL4</f>
        <v>27003.75</v>
      </c>
      <c r="BV4" s="2926">
        <f>$BV$2-BV136-BM4</f>
        <v>42215.75</v>
      </c>
      <c r="BW4" s="2926">
        <f>$BW$2-BW136-BN4</f>
        <v>42215.75</v>
      </c>
      <c r="BX4" s="2926">
        <f>$BX$2-BX136-BO4</f>
        <v>27623.75</v>
      </c>
      <c r="BY4" s="2926">
        <f>$BY$2-BY136-BP4</f>
        <v>27623.75</v>
      </c>
      <c r="BZ4" s="2912"/>
      <c r="CA4" s="2927"/>
      <c r="CB4" s="2927"/>
      <c r="CC4" s="2927"/>
      <c r="CD4" s="2927"/>
      <c r="CE4" s="2927"/>
      <c r="CF4" s="2927"/>
      <c r="CG4" s="2927"/>
      <c r="CH4" s="2927"/>
      <c r="CI4" s="2927"/>
      <c r="CJ4" s="2927"/>
      <c r="CK4" s="2927"/>
      <c r="CL4" s="2927"/>
      <c r="CM4" s="2927"/>
      <c r="CN4" s="2927"/>
      <c r="CO4" s="2927"/>
      <c r="CP4" s="2927"/>
      <c r="CQ4" s="2927"/>
      <c r="CR4" s="2927"/>
      <c r="CS4" s="2927"/>
      <c r="CT4" s="2927"/>
      <c r="CU4" s="2927"/>
      <c r="CV4" s="2927"/>
      <c r="CW4" s="2927"/>
      <c r="CX4" s="2927"/>
      <c r="CY4" s="2927"/>
      <c r="CZ4" s="2927"/>
      <c r="DA4" s="2927"/>
      <c r="DB4" s="2927"/>
      <c r="DC4" s="2927"/>
      <c r="DD4" s="2927"/>
      <c r="DE4" s="2927"/>
      <c r="DF4" s="2927"/>
      <c r="DG4" s="2927"/>
      <c r="DH4" s="2927"/>
      <c r="DI4" s="2927"/>
      <c r="DJ4" s="2927"/>
      <c r="DK4" s="2927"/>
      <c r="DL4" s="2927"/>
      <c r="DM4" s="2927"/>
      <c r="DN4" s="2927"/>
      <c r="DO4" s="2927"/>
      <c r="DP4" s="2927"/>
      <c r="DQ4" s="2927"/>
      <c r="DR4" s="2927"/>
      <c r="DS4" s="2927"/>
      <c r="DT4" s="2927"/>
      <c r="DU4" s="2927"/>
      <c r="DV4" s="2927"/>
      <c r="DW4" s="2927"/>
      <c r="DX4" s="2927"/>
      <c r="DY4" s="2927"/>
      <c r="DZ4" s="2927"/>
      <c r="EA4" s="2927"/>
      <c r="EB4" s="2927"/>
      <c r="EC4" s="2927"/>
      <c r="ED4" s="2927"/>
      <c r="EE4" s="2927"/>
      <c r="EF4" s="2927"/>
      <c r="EG4" s="2927"/>
      <c r="EH4" s="2927"/>
      <c r="EI4" s="2927"/>
      <c r="EJ4" s="2927"/>
      <c r="EK4" s="2927"/>
      <c r="EL4" s="2927"/>
      <c r="EM4" s="2927"/>
      <c r="EN4" s="2927"/>
      <c r="EO4" s="2927"/>
      <c r="EP4" s="2927"/>
      <c r="EQ4" s="2927"/>
      <c r="ER4" s="2927"/>
      <c r="ES4" s="2927"/>
      <c r="ET4" s="2927"/>
      <c r="EU4" s="2927"/>
      <c r="EV4" s="2927"/>
      <c r="EW4" s="2927"/>
      <c r="EX4" s="2927"/>
      <c r="EY4" s="2927"/>
      <c r="EZ4" s="2927"/>
      <c r="FA4" s="2927"/>
      <c r="FB4" s="2927"/>
      <c r="FC4" s="2927"/>
      <c r="FD4" s="2927"/>
      <c r="FE4" s="2927"/>
      <c r="FF4" s="2927"/>
      <c r="FG4" s="2927"/>
      <c r="FH4" s="2927"/>
      <c r="FI4" s="2927"/>
      <c r="FJ4" s="2927"/>
      <c r="FK4" s="2927"/>
      <c r="FL4" s="2927"/>
      <c r="FM4" s="2927"/>
      <c r="FN4" s="2927"/>
      <c r="FO4" s="2927"/>
      <c r="FP4" s="2927"/>
      <c r="FQ4" s="2927"/>
      <c r="FR4" s="2927"/>
      <c r="FS4" s="2927"/>
      <c r="FT4" s="2927"/>
      <c r="FU4" s="2927"/>
      <c r="FV4" s="2927"/>
      <c r="FW4" s="2927"/>
      <c r="FX4" s="2927"/>
      <c r="FY4" s="2927"/>
      <c r="FZ4" s="2927"/>
      <c r="GA4" s="2927"/>
      <c r="GB4" s="2927"/>
      <c r="GC4" s="2927"/>
      <c r="GD4" s="2927"/>
      <c r="GE4" s="2927"/>
      <c r="GF4" s="2927"/>
      <c r="GG4" s="2927"/>
      <c r="GH4" s="2927"/>
      <c r="GI4" s="2927"/>
      <c r="GJ4" s="2927"/>
      <c r="GK4" s="2927"/>
      <c r="GL4" s="2927"/>
      <c r="GM4" s="2927"/>
      <c r="GN4" s="2927"/>
      <c r="GO4" s="2927"/>
      <c r="GP4" s="2927"/>
      <c r="GQ4" s="2927"/>
      <c r="GR4" s="2927"/>
      <c r="GS4" s="2927"/>
      <c r="GT4" s="2927"/>
      <c r="GU4" s="2927"/>
      <c r="GV4" s="2927"/>
      <c r="GW4" s="2927"/>
      <c r="GX4" s="2927"/>
      <c r="GY4" s="2927"/>
      <c r="GZ4" s="2927"/>
      <c r="HA4" s="2927"/>
      <c r="HB4" s="2927"/>
      <c r="HC4" s="2927"/>
      <c r="HD4" s="2927"/>
      <c r="HE4" s="2927"/>
      <c r="HF4" s="2927"/>
      <c r="HG4" s="2927"/>
      <c r="HH4" s="2927"/>
      <c r="HI4" s="2927"/>
      <c r="HJ4" s="2927"/>
      <c r="HK4" s="2927"/>
      <c r="HL4" s="2927"/>
      <c r="HM4" s="2927"/>
      <c r="HN4" s="2927"/>
      <c r="HO4" s="2927"/>
      <c r="HP4" s="2927"/>
      <c r="HQ4" s="2927"/>
      <c r="HR4" s="2927"/>
      <c r="HS4" s="2927"/>
      <c r="HT4" s="2927"/>
      <c r="HU4" s="2927"/>
      <c r="HV4" s="2927"/>
      <c r="HW4" s="2927"/>
      <c r="HX4" s="2927"/>
      <c r="HY4" s="2927"/>
      <c r="HZ4" s="2927"/>
      <c r="IA4" s="2927"/>
      <c r="IB4" s="2927"/>
      <c r="IC4" s="2927"/>
      <c r="ID4" s="2927"/>
      <c r="IE4" s="2927"/>
    </row>
    <row r="5" s="2838" customFormat="1" ht="32" customHeight="1" spans="1:239">
      <c r="A5" s="2905">
        <v>45390</v>
      </c>
      <c r="B5" s="2906" t="s">
        <v>323</v>
      </c>
      <c r="C5" s="2907" t="s">
        <v>324</v>
      </c>
      <c r="D5" s="2908" t="s">
        <v>10201</v>
      </c>
      <c r="E5" s="2909"/>
      <c r="F5" s="2910"/>
      <c r="G5" s="2911" t="s">
        <v>10202</v>
      </c>
      <c r="H5" s="2911" t="s">
        <v>10203</v>
      </c>
      <c r="I5" s="2912">
        <v>6</v>
      </c>
      <c r="J5" s="2912">
        <v>0</v>
      </c>
      <c r="K5" s="2912">
        <v>2</v>
      </c>
      <c r="L5" s="2912">
        <f t="shared" si="0"/>
        <v>3</v>
      </c>
      <c r="M5" s="2913">
        <v>45399</v>
      </c>
      <c r="N5" s="2913">
        <v>45395</v>
      </c>
      <c r="O5" s="2914"/>
      <c r="P5" s="2914"/>
      <c r="Q5" s="2914"/>
      <c r="R5" s="2915" t="s">
        <v>98</v>
      </c>
      <c r="S5" s="2915" t="s">
        <v>98</v>
      </c>
      <c r="T5" s="2915" t="s">
        <v>98</v>
      </c>
      <c r="U5" s="2915"/>
      <c r="V5" s="2915"/>
      <c r="W5" s="2928" t="s">
        <v>10204</v>
      </c>
      <c r="X5" s="2912"/>
      <c r="Y5" s="2917"/>
      <c r="Z5" s="2918"/>
      <c r="AA5" s="2912"/>
      <c r="AB5" s="2906" t="s">
        <v>10202</v>
      </c>
      <c r="AC5" s="2912" t="s">
        <v>416</v>
      </c>
      <c r="AD5" s="2919">
        <f t="shared" ref="AD5:AD11" si="2">I5</f>
        <v>6</v>
      </c>
      <c r="AE5" s="2919"/>
      <c r="AF5" s="2920"/>
      <c r="AG5" s="2919"/>
      <c r="AH5" s="2919"/>
      <c r="AI5" s="2919"/>
      <c r="AJ5" s="2921">
        <f>AD5</f>
        <v>6</v>
      </c>
      <c r="AK5" s="2921"/>
      <c r="AL5" s="2921"/>
      <c r="AM5" s="2921"/>
      <c r="AN5" s="2922"/>
      <c r="AO5" s="2923"/>
      <c r="AP5" s="2921"/>
      <c r="AQ5" s="2921">
        <f>AJ5</f>
        <v>6</v>
      </c>
      <c r="AR5" s="2924"/>
      <c r="AS5" s="2923"/>
      <c r="AT5" s="2921"/>
      <c r="AU5" s="2921"/>
      <c r="AV5" s="2924"/>
      <c r="AW5" s="2923"/>
      <c r="AX5" s="2921"/>
      <c r="AY5" s="2921"/>
      <c r="AZ5" s="2924"/>
      <c r="BA5" s="2923"/>
      <c r="BB5" s="2924"/>
      <c r="BC5" s="2925"/>
      <c r="BD5" s="2921">
        <f t="shared" ref="BD5:BD11" si="3">I5</f>
        <v>6</v>
      </c>
      <c r="BE5" s="2921"/>
      <c r="BF5" s="2921">
        <f t="shared" ref="BF5:BF60" si="4">I5</f>
        <v>6</v>
      </c>
      <c r="BG5" s="2921" t="s">
        <v>9164</v>
      </c>
      <c r="BH5" s="2921"/>
      <c r="BI5" s="2921"/>
      <c r="BJ5" s="2921"/>
      <c r="BK5" s="2921"/>
      <c r="BL5" s="2921"/>
      <c r="BM5" s="2921">
        <f>I5</f>
        <v>6</v>
      </c>
      <c r="BN5" s="2921">
        <f>BM5</f>
        <v>6</v>
      </c>
      <c r="BO5" s="2926"/>
      <c r="BP5" s="2921"/>
      <c r="BQ5" s="2926">
        <f t="shared" si="1"/>
        <v>238031</v>
      </c>
      <c r="BR5" s="2926">
        <f t="shared" ref="BR5:BY5" si="5">BR4-BI5</f>
        <v>27131.75</v>
      </c>
      <c r="BS5" s="2926">
        <f t="shared" si="5"/>
        <v>27131.75</v>
      </c>
      <c r="BT5" s="2926">
        <f t="shared" si="5"/>
        <v>27003.75</v>
      </c>
      <c r="BU5" s="2926">
        <f t="shared" si="5"/>
        <v>27003.75</v>
      </c>
      <c r="BV5" s="2926">
        <f t="shared" si="5"/>
        <v>42209.75</v>
      </c>
      <c r="BW5" s="2926">
        <f t="shared" si="5"/>
        <v>42209.75</v>
      </c>
      <c r="BX5" s="2926">
        <f t="shared" si="5"/>
        <v>27623.75</v>
      </c>
      <c r="BY5" s="2926">
        <f t="shared" si="5"/>
        <v>27623.75</v>
      </c>
      <c r="BZ5" s="2912"/>
      <c r="CA5" s="2927"/>
      <c r="CB5" s="2927"/>
      <c r="CC5" s="2927"/>
      <c r="CD5" s="2927"/>
      <c r="CE5" s="2927"/>
      <c r="CF5" s="2927"/>
      <c r="CG5" s="2927"/>
      <c r="CH5" s="2927"/>
      <c r="CI5" s="2927"/>
      <c r="CJ5" s="2927"/>
      <c r="CK5" s="2927"/>
      <c r="CL5" s="2927"/>
      <c r="CM5" s="2927"/>
      <c r="CN5" s="2927"/>
      <c r="CO5" s="2927"/>
      <c r="CP5" s="2927"/>
      <c r="CQ5" s="2927"/>
      <c r="CR5" s="2927"/>
      <c r="CS5" s="2927"/>
      <c r="CT5" s="2927"/>
      <c r="CU5" s="2927"/>
      <c r="CV5" s="2927"/>
      <c r="CW5" s="2927"/>
      <c r="CX5" s="2927"/>
      <c r="CY5" s="2927"/>
      <c r="CZ5" s="2927"/>
      <c r="DA5" s="2927"/>
      <c r="DB5" s="2927"/>
      <c r="DC5" s="2927"/>
      <c r="DD5" s="2927"/>
      <c r="DE5" s="2927"/>
      <c r="DF5" s="2927"/>
      <c r="DG5" s="2927"/>
      <c r="DH5" s="2927"/>
      <c r="DI5" s="2927"/>
      <c r="DJ5" s="2927"/>
      <c r="DK5" s="2927"/>
      <c r="DL5" s="2927"/>
      <c r="DM5" s="2927"/>
      <c r="DN5" s="2927"/>
      <c r="DO5" s="2927"/>
      <c r="DP5" s="2927"/>
      <c r="DQ5" s="2927"/>
      <c r="DR5" s="2927"/>
      <c r="DS5" s="2927"/>
      <c r="DT5" s="2927"/>
      <c r="DU5" s="2927"/>
      <c r="DV5" s="2927"/>
      <c r="DW5" s="2927"/>
      <c r="DX5" s="2927"/>
      <c r="DY5" s="2927"/>
      <c r="DZ5" s="2927"/>
      <c r="EA5" s="2927"/>
      <c r="EB5" s="2927"/>
      <c r="EC5" s="2927"/>
      <c r="ED5" s="2927"/>
      <c r="EE5" s="2927"/>
      <c r="EF5" s="2927"/>
      <c r="EG5" s="2927"/>
      <c r="EH5" s="2927"/>
      <c r="EI5" s="2927"/>
      <c r="EJ5" s="2927"/>
      <c r="EK5" s="2927"/>
      <c r="EL5" s="2927"/>
      <c r="EM5" s="2927"/>
      <c r="EN5" s="2927"/>
      <c r="EO5" s="2927"/>
      <c r="EP5" s="2927"/>
      <c r="EQ5" s="2927"/>
      <c r="ER5" s="2927"/>
      <c r="ES5" s="2927"/>
      <c r="ET5" s="2927"/>
      <c r="EU5" s="2927"/>
      <c r="EV5" s="2927"/>
      <c r="EW5" s="2927"/>
      <c r="EX5" s="2927"/>
      <c r="EY5" s="2927"/>
      <c r="EZ5" s="2927"/>
      <c r="FA5" s="2927"/>
      <c r="FB5" s="2927"/>
      <c r="FC5" s="2927"/>
      <c r="FD5" s="2927"/>
      <c r="FE5" s="2927"/>
      <c r="FF5" s="2927"/>
      <c r="FG5" s="2927"/>
      <c r="FH5" s="2927"/>
      <c r="FI5" s="2927"/>
      <c r="FJ5" s="2927"/>
      <c r="FK5" s="2927"/>
      <c r="FL5" s="2927"/>
      <c r="FM5" s="2927"/>
      <c r="FN5" s="2927"/>
      <c r="FO5" s="2927"/>
      <c r="FP5" s="2927"/>
      <c r="FQ5" s="2927"/>
      <c r="FR5" s="2927"/>
      <c r="FS5" s="2927"/>
      <c r="FT5" s="2927"/>
      <c r="FU5" s="2927"/>
      <c r="FV5" s="2927"/>
      <c r="FW5" s="2927"/>
      <c r="FX5" s="2927"/>
      <c r="FY5" s="2927"/>
      <c r="FZ5" s="2927"/>
      <c r="GA5" s="2927"/>
      <c r="GB5" s="2927"/>
      <c r="GC5" s="2927"/>
      <c r="GD5" s="2927"/>
      <c r="GE5" s="2927"/>
      <c r="GF5" s="2927"/>
      <c r="GG5" s="2927"/>
      <c r="GH5" s="2927"/>
      <c r="GI5" s="2927"/>
      <c r="GJ5" s="2927"/>
      <c r="GK5" s="2927"/>
      <c r="GL5" s="2927"/>
      <c r="GM5" s="2927"/>
      <c r="GN5" s="2927"/>
      <c r="GO5" s="2927"/>
      <c r="GP5" s="2927"/>
      <c r="GQ5" s="2927"/>
      <c r="GR5" s="2927"/>
      <c r="GS5" s="2927"/>
      <c r="GT5" s="2927"/>
      <c r="GU5" s="2927"/>
      <c r="GV5" s="2927"/>
      <c r="GW5" s="2927"/>
      <c r="GX5" s="2927"/>
      <c r="GY5" s="2927"/>
      <c r="GZ5" s="2927"/>
      <c r="HA5" s="2927"/>
      <c r="HB5" s="2927"/>
      <c r="HC5" s="2927"/>
      <c r="HD5" s="2927"/>
      <c r="HE5" s="2927"/>
      <c r="HF5" s="2927"/>
      <c r="HG5" s="2927"/>
      <c r="HH5" s="2927"/>
      <c r="HI5" s="2927"/>
      <c r="HJ5" s="2927"/>
      <c r="HK5" s="2927"/>
      <c r="HL5" s="2927"/>
      <c r="HM5" s="2927"/>
      <c r="HN5" s="2927"/>
      <c r="HO5" s="2927"/>
      <c r="HP5" s="2927"/>
      <c r="HQ5" s="2927"/>
      <c r="HR5" s="2927"/>
      <c r="HS5" s="2927"/>
      <c r="HT5" s="2927"/>
      <c r="HU5" s="2927"/>
      <c r="HV5" s="2927"/>
      <c r="HW5" s="2927"/>
      <c r="HX5" s="2927"/>
      <c r="HY5" s="2927"/>
      <c r="HZ5" s="2927"/>
      <c r="IA5" s="2927"/>
      <c r="IB5" s="2927"/>
      <c r="IC5" s="2927"/>
      <c r="ID5" s="2927"/>
      <c r="IE5" s="2927"/>
    </row>
    <row r="6" s="2838" customFormat="1" ht="32" customHeight="1" spans="1:239">
      <c r="A6" s="2905">
        <v>45516</v>
      </c>
      <c r="B6" s="2906" t="s">
        <v>323</v>
      </c>
      <c r="C6" s="2907" t="s">
        <v>324</v>
      </c>
      <c r="D6" s="2908" t="s">
        <v>10205</v>
      </c>
      <c r="E6" s="2909"/>
      <c r="F6" s="2908"/>
      <c r="G6" s="2911" t="s">
        <v>10199</v>
      </c>
      <c r="H6" s="2911" t="s">
        <v>9155</v>
      </c>
      <c r="I6" s="2912">
        <v>180</v>
      </c>
      <c r="J6" s="2912">
        <v>0</v>
      </c>
      <c r="K6" s="2912">
        <v>4</v>
      </c>
      <c r="L6" s="2912">
        <f t="shared" si="0"/>
        <v>45</v>
      </c>
      <c r="M6" s="2913">
        <v>45531</v>
      </c>
      <c r="N6" s="2913">
        <v>45527</v>
      </c>
      <c r="O6" s="2914"/>
      <c r="P6" s="2914" t="s">
        <v>10206</v>
      </c>
      <c r="Q6" s="2914"/>
      <c r="R6" s="2915">
        <v>45516</v>
      </c>
      <c r="S6" s="2915"/>
      <c r="T6" s="2915"/>
      <c r="U6" s="2915"/>
      <c r="V6" s="2915"/>
      <c r="W6" s="2929" t="s">
        <v>10207</v>
      </c>
      <c r="X6" s="2912"/>
      <c r="Y6" s="2917"/>
      <c r="Z6" s="2918"/>
      <c r="AA6" s="2912"/>
      <c r="AB6" s="2906" t="s">
        <v>10199</v>
      </c>
      <c r="AC6" s="2912" t="s">
        <v>416</v>
      </c>
      <c r="AD6" s="2919">
        <f t="shared" si="2"/>
        <v>180</v>
      </c>
      <c r="AE6" s="2919"/>
      <c r="AF6" s="2920"/>
      <c r="AG6" s="2919"/>
      <c r="AH6" s="2919"/>
      <c r="AI6" s="2919"/>
      <c r="AJ6" s="2921">
        <f t="shared" ref="AJ6:AJ13" si="6">I6</f>
        <v>180</v>
      </c>
      <c r="AK6" s="2921"/>
      <c r="AL6" s="2921"/>
      <c r="AM6" s="2921"/>
      <c r="AN6" s="2922"/>
      <c r="AO6" s="2923">
        <f>I6/4</f>
        <v>45</v>
      </c>
      <c r="AP6" s="2921">
        <f t="shared" ref="AP6:AR6" si="7">AO6</f>
        <v>45</v>
      </c>
      <c r="AQ6" s="2921">
        <f t="shared" si="7"/>
        <v>45</v>
      </c>
      <c r="AR6" s="2924">
        <f t="shared" si="7"/>
        <v>45</v>
      </c>
      <c r="AS6" s="2923"/>
      <c r="AT6" s="2921"/>
      <c r="AU6" s="2921"/>
      <c r="AV6" s="2924"/>
      <c r="AW6" s="2923"/>
      <c r="AX6" s="2921"/>
      <c r="AY6" s="2921"/>
      <c r="AZ6" s="2924"/>
      <c r="BA6" s="2923"/>
      <c r="BB6" s="2924"/>
      <c r="BC6" s="2925"/>
      <c r="BD6" s="2921">
        <f t="shared" si="3"/>
        <v>180</v>
      </c>
      <c r="BE6" s="2921"/>
      <c r="BF6" s="2921">
        <f t="shared" si="4"/>
        <v>180</v>
      </c>
      <c r="BG6" s="2921" t="s">
        <v>9164</v>
      </c>
      <c r="BH6" s="2921"/>
      <c r="BI6" s="2921">
        <f t="shared" ref="BI6:BI13" si="8">I6/4</f>
        <v>45</v>
      </c>
      <c r="BJ6" s="2921">
        <f t="shared" ref="BJ6:BP6" si="9">BI6</f>
        <v>45</v>
      </c>
      <c r="BK6" s="2921">
        <f>I6/4</f>
        <v>45</v>
      </c>
      <c r="BL6" s="2921">
        <f t="shared" si="9"/>
        <v>45</v>
      </c>
      <c r="BM6" s="2926">
        <f>I6/4</f>
        <v>45</v>
      </c>
      <c r="BN6" s="2921">
        <f t="shared" si="9"/>
        <v>45</v>
      </c>
      <c r="BO6" s="2926">
        <f t="shared" si="9"/>
        <v>45</v>
      </c>
      <c r="BP6" s="2921">
        <f t="shared" si="9"/>
        <v>45</v>
      </c>
      <c r="BQ6" s="2926">
        <f t="shared" si="1"/>
        <v>238205</v>
      </c>
      <c r="BR6" s="2926">
        <f t="shared" ref="BR6:BY6" si="10">BR5-BI6</f>
        <v>27086.75</v>
      </c>
      <c r="BS6" s="2926">
        <f t="shared" si="10"/>
        <v>27086.75</v>
      </c>
      <c r="BT6" s="2926">
        <f t="shared" si="10"/>
        <v>26958.75</v>
      </c>
      <c r="BU6" s="2926">
        <f t="shared" si="10"/>
        <v>26958.75</v>
      </c>
      <c r="BV6" s="2926">
        <f t="shared" si="10"/>
        <v>42164.75</v>
      </c>
      <c r="BW6" s="2926">
        <f t="shared" si="10"/>
        <v>42164.75</v>
      </c>
      <c r="BX6" s="2926">
        <f t="shared" si="10"/>
        <v>27578.75</v>
      </c>
      <c r="BY6" s="2926">
        <f t="shared" si="10"/>
        <v>27578.75</v>
      </c>
      <c r="BZ6" s="2912"/>
      <c r="CA6" s="2927"/>
      <c r="CB6" s="2927"/>
      <c r="CC6" s="2927"/>
      <c r="CD6" s="2927"/>
      <c r="CE6" s="2927"/>
      <c r="CF6" s="2927"/>
      <c r="CG6" s="2927"/>
      <c r="CH6" s="2927"/>
      <c r="CI6" s="2927"/>
      <c r="CJ6" s="2927"/>
      <c r="CK6" s="2927"/>
      <c r="CL6" s="2927"/>
      <c r="CM6" s="2927"/>
      <c r="CN6" s="2927"/>
      <c r="CO6" s="2927"/>
      <c r="CP6" s="2927"/>
      <c r="CQ6" s="2927"/>
      <c r="CR6" s="2927"/>
      <c r="CS6" s="2927"/>
      <c r="CT6" s="2927"/>
      <c r="CU6" s="2927"/>
      <c r="CV6" s="2927"/>
      <c r="CW6" s="2927"/>
      <c r="CX6" s="2927"/>
      <c r="CY6" s="2927"/>
      <c r="CZ6" s="2927"/>
      <c r="DA6" s="2927"/>
      <c r="DB6" s="2927"/>
      <c r="DC6" s="2927"/>
      <c r="DD6" s="2927"/>
      <c r="DE6" s="2927"/>
      <c r="DF6" s="2927"/>
      <c r="DG6" s="2927"/>
      <c r="DH6" s="2927"/>
      <c r="DI6" s="2927"/>
      <c r="DJ6" s="2927"/>
      <c r="DK6" s="2927"/>
      <c r="DL6" s="2927"/>
      <c r="DM6" s="2927"/>
      <c r="DN6" s="2927"/>
      <c r="DO6" s="2927"/>
      <c r="DP6" s="2927"/>
      <c r="DQ6" s="2927"/>
      <c r="DR6" s="2927"/>
      <c r="DS6" s="2927"/>
      <c r="DT6" s="2927"/>
      <c r="DU6" s="2927"/>
      <c r="DV6" s="2927"/>
      <c r="DW6" s="2927"/>
      <c r="DX6" s="2927"/>
      <c r="DY6" s="2927"/>
      <c r="DZ6" s="2927"/>
      <c r="EA6" s="2927"/>
      <c r="EB6" s="2927"/>
      <c r="EC6" s="2927"/>
      <c r="ED6" s="2927"/>
      <c r="EE6" s="2927"/>
      <c r="EF6" s="2927"/>
      <c r="EG6" s="2927"/>
      <c r="EH6" s="2927"/>
      <c r="EI6" s="2927"/>
      <c r="EJ6" s="2927"/>
      <c r="EK6" s="2927"/>
      <c r="EL6" s="2927"/>
      <c r="EM6" s="2927"/>
      <c r="EN6" s="2927"/>
      <c r="EO6" s="2927"/>
      <c r="EP6" s="2927"/>
      <c r="EQ6" s="2927"/>
      <c r="ER6" s="2927"/>
      <c r="ES6" s="2927"/>
      <c r="ET6" s="2927"/>
      <c r="EU6" s="2927"/>
      <c r="EV6" s="2927"/>
      <c r="EW6" s="2927"/>
      <c r="EX6" s="2927"/>
      <c r="EY6" s="2927"/>
      <c r="EZ6" s="2927"/>
      <c r="FA6" s="2927"/>
      <c r="FB6" s="2927"/>
      <c r="FC6" s="2927"/>
      <c r="FD6" s="2927"/>
      <c r="FE6" s="2927"/>
      <c r="FF6" s="2927"/>
      <c r="FG6" s="2927"/>
      <c r="FH6" s="2927"/>
      <c r="FI6" s="2927"/>
      <c r="FJ6" s="2927"/>
      <c r="FK6" s="2927"/>
      <c r="FL6" s="2927"/>
      <c r="FM6" s="2927"/>
      <c r="FN6" s="2927"/>
      <c r="FO6" s="2927"/>
      <c r="FP6" s="2927"/>
      <c r="FQ6" s="2927"/>
      <c r="FR6" s="2927"/>
      <c r="FS6" s="2927"/>
      <c r="FT6" s="2927"/>
      <c r="FU6" s="2927"/>
      <c r="FV6" s="2927"/>
      <c r="FW6" s="2927"/>
      <c r="FX6" s="2927"/>
      <c r="FY6" s="2927"/>
      <c r="FZ6" s="2927"/>
      <c r="GA6" s="2927"/>
      <c r="GB6" s="2927"/>
      <c r="GC6" s="2927"/>
      <c r="GD6" s="2927"/>
      <c r="GE6" s="2927"/>
      <c r="GF6" s="2927"/>
      <c r="GG6" s="2927"/>
      <c r="GH6" s="2927"/>
      <c r="GI6" s="2927"/>
      <c r="GJ6" s="2927"/>
      <c r="GK6" s="2927"/>
      <c r="GL6" s="2927"/>
      <c r="GM6" s="2927"/>
      <c r="GN6" s="2927"/>
      <c r="GO6" s="2927"/>
      <c r="GP6" s="2927"/>
      <c r="GQ6" s="2927"/>
      <c r="GR6" s="2927"/>
      <c r="GS6" s="2927"/>
      <c r="GT6" s="2927"/>
      <c r="GU6" s="2927"/>
      <c r="GV6" s="2927"/>
      <c r="GW6" s="2927"/>
      <c r="GX6" s="2927"/>
      <c r="GY6" s="2927"/>
      <c r="GZ6" s="2927"/>
      <c r="HA6" s="2927"/>
      <c r="HB6" s="2927"/>
      <c r="HC6" s="2927"/>
      <c r="HD6" s="2927"/>
      <c r="HE6" s="2927"/>
      <c r="HF6" s="2927"/>
      <c r="HG6" s="2927"/>
      <c r="HH6" s="2927"/>
      <c r="HI6" s="2927"/>
      <c r="HJ6" s="2927"/>
      <c r="HK6" s="2927"/>
      <c r="HL6" s="2927"/>
      <c r="HM6" s="2927"/>
      <c r="HN6" s="2927"/>
      <c r="HO6" s="2927"/>
      <c r="HP6" s="2927"/>
      <c r="HQ6" s="2927"/>
      <c r="HR6" s="2927"/>
      <c r="HS6" s="2927"/>
      <c r="HT6" s="2927"/>
      <c r="HU6" s="2927"/>
      <c r="HV6" s="2927"/>
      <c r="HW6" s="2927"/>
      <c r="HX6" s="2927"/>
      <c r="HY6" s="2927"/>
      <c r="HZ6" s="2927"/>
      <c r="IA6" s="2927"/>
      <c r="IB6" s="2927"/>
      <c r="IC6" s="2927"/>
      <c r="ID6" s="2927"/>
      <c r="IE6" s="2927"/>
    </row>
    <row r="7" s="2838" customFormat="1" ht="32" customHeight="1" spans="1:239">
      <c r="A7" s="2905">
        <v>45561</v>
      </c>
      <c r="B7" s="2906" t="s">
        <v>6682</v>
      </c>
      <c r="C7" s="2907" t="s">
        <v>396</v>
      </c>
      <c r="D7" s="2908">
        <v>4500146212</v>
      </c>
      <c r="E7" s="2909"/>
      <c r="F7" s="2908" t="s">
        <v>10208</v>
      </c>
      <c r="G7" s="2930" t="s">
        <v>10209</v>
      </c>
      <c r="H7" s="2911" t="s">
        <v>9155</v>
      </c>
      <c r="I7" s="2912">
        <v>1218</v>
      </c>
      <c r="J7" s="2912">
        <v>0</v>
      </c>
      <c r="K7" s="2912">
        <v>1</v>
      </c>
      <c r="L7" s="2912">
        <f t="shared" si="0"/>
        <v>1218</v>
      </c>
      <c r="M7" s="2913">
        <v>45621</v>
      </c>
      <c r="N7" s="2913">
        <v>45617</v>
      </c>
      <c r="O7" s="2914" t="s">
        <v>9159</v>
      </c>
      <c r="P7" s="2914" t="s">
        <v>10206</v>
      </c>
      <c r="Q7" s="2914" t="s">
        <v>518</v>
      </c>
      <c r="R7" s="2915" t="s">
        <v>2243</v>
      </c>
      <c r="S7" s="2915" t="s">
        <v>98</v>
      </c>
      <c r="T7" s="2915" t="s">
        <v>9160</v>
      </c>
      <c r="U7" s="2915"/>
      <c r="V7" s="2915"/>
      <c r="W7" s="2931" t="s">
        <v>10210</v>
      </c>
      <c r="X7" s="2912" t="s">
        <v>6688</v>
      </c>
      <c r="Y7" s="2917">
        <v>7.4679</v>
      </c>
      <c r="Z7" s="2918">
        <f t="shared" ref="Z7:Z13" si="11">Y7*I7</f>
        <v>9095.9022</v>
      </c>
      <c r="AA7" s="2912" t="s">
        <v>9162</v>
      </c>
      <c r="AB7" s="2912" t="s">
        <v>10211</v>
      </c>
      <c r="AC7" s="2912" t="s">
        <v>416</v>
      </c>
      <c r="AD7" s="2919"/>
      <c r="AE7" s="2919"/>
      <c r="AF7" s="2920">
        <f>I7</f>
        <v>1218</v>
      </c>
      <c r="AG7" s="2919"/>
      <c r="AH7" s="2919"/>
      <c r="AI7" s="2919"/>
      <c r="AJ7" s="2921">
        <f t="shared" si="6"/>
        <v>1218</v>
      </c>
      <c r="AK7" s="2921"/>
      <c r="AL7" s="2921"/>
      <c r="AM7" s="2921"/>
      <c r="AN7" s="2922"/>
      <c r="AO7" s="2923">
        <f>I7/4</f>
        <v>304.5</v>
      </c>
      <c r="AP7" s="2921">
        <f t="shared" ref="AP7:AR7" si="12">AO7</f>
        <v>304.5</v>
      </c>
      <c r="AQ7" s="2921">
        <f t="shared" si="12"/>
        <v>304.5</v>
      </c>
      <c r="AR7" s="2924">
        <f t="shared" si="12"/>
        <v>304.5</v>
      </c>
      <c r="AS7" s="2923"/>
      <c r="AT7" s="2921"/>
      <c r="AU7" s="2921"/>
      <c r="AV7" s="2924"/>
      <c r="AW7" s="2923"/>
      <c r="AX7" s="2921"/>
      <c r="AY7" s="2921"/>
      <c r="AZ7" s="2924"/>
      <c r="BA7" s="2923"/>
      <c r="BB7" s="2924"/>
      <c r="BC7" s="2925"/>
      <c r="BD7" s="2921"/>
      <c r="BE7" s="2921">
        <f>I7</f>
        <v>1218</v>
      </c>
      <c r="BF7" s="2921">
        <f t="shared" si="4"/>
        <v>1218</v>
      </c>
      <c r="BG7" s="2921" t="s">
        <v>9164</v>
      </c>
      <c r="BH7" s="2921"/>
      <c r="BI7" s="2921">
        <f t="shared" si="8"/>
        <v>304.5</v>
      </c>
      <c r="BJ7" s="2921">
        <f t="shared" ref="BJ7:BP7" si="13">BI7</f>
        <v>304.5</v>
      </c>
      <c r="BK7" s="2921">
        <f t="shared" si="13"/>
        <v>304.5</v>
      </c>
      <c r="BL7" s="2921">
        <f t="shared" si="13"/>
        <v>304.5</v>
      </c>
      <c r="BM7" s="2926">
        <f t="shared" si="13"/>
        <v>304.5</v>
      </c>
      <c r="BN7" s="2921">
        <f t="shared" si="13"/>
        <v>304.5</v>
      </c>
      <c r="BO7" s="2926">
        <f t="shared" si="13"/>
        <v>304.5</v>
      </c>
      <c r="BP7" s="2921">
        <f t="shared" si="13"/>
        <v>304.5</v>
      </c>
      <c r="BQ7" s="2926">
        <f t="shared" si="1"/>
        <v>239243</v>
      </c>
      <c r="BR7" s="2926">
        <f t="shared" ref="BR7:BY7" si="14">BR6-BI7</f>
        <v>26782.25</v>
      </c>
      <c r="BS7" s="2926">
        <f t="shared" si="14"/>
        <v>26782.25</v>
      </c>
      <c r="BT7" s="2926">
        <f t="shared" si="14"/>
        <v>26654.25</v>
      </c>
      <c r="BU7" s="2926">
        <f t="shared" si="14"/>
        <v>26654.25</v>
      </c>
      <c r="BV7" s="2926">
        <f t="shared" si="14"/>
        <v>41860.25</v>
      </c>
      <c r="BW7" s="2926">
        <f t="shared" si="14"/>
        <v>41860.25</v>
      </c>
      <c r="BX7" s="2926">
        <f t="shared" si="14"/>
        <v>27274.25</v>
      </c>
      <c r="BY7" s="2926">
        <f t="shared" si="14"/>
        <v>27274.25</v>
      </c>
      <c r="BZ7" s="2912"/>
      <c r="CA7" s="2927"/>
      <c r="CB7" s="2927"/>
      <c r="CC7" s="2927"/>
      <c r="CD7" s="2927"/>
      <c r="CE7" s="2927"/>
      <c r="CF7" s="2927"/>
      <c r="CG7" s="2927"/>
      <c r="CH7" s="2927"/>
      <c r="CI7" s="2927"/>
      <c r="CJ7" s="2927"/>
      <c r="CK7" s="2927"/>
      <c r="CL7" s="2927"/>
      <c r="CM7" s="2927"/>
      <c r="CN7" s="2927"/>
      <c r="CO7" s="2927"/>
      <c r="CP7" s="2927"/>
      <c r="CQ7" s="2927"/>
      <c r="CR7" s="2927"/>
      <c r="CS7" s="2927"/>
      <c r="CT7" s="2927"/>
      <c r="CU7" s="2927"/>
      <c r="CV7" s="2927"/>
      <c r="CW7" s="2927"/>
      <c r="CX7" s="2927"/>
      <c r="CY7" s="2927"/>
      <c r="CZ7" s="2927"/>
      <c r="DA7" s="2927"/>
      <c r="DB7" s="2927"/>
      <c r="DC7" s="2927"/>
      <c r="DD7" s="2927"/>
      <c r="DE7" s="2927"/>
      <c r="DF7" s="2927"/>
      <c r="DG7" s="2927"/>
      <c r="DH7" s="2927"/>
      <c r="DI7" s="2927"/>
      <c r="DJ7" s="2927"/>
      <c r="DK7" s="2927"/>
      <c r="DL7" s="2927"/>
      <c r="DM7" s="2927"/>
      <c r="DN7" s="2927"/>
      <c r="DO7" s="2927"/>
      <c r="DP7" s="2927"/>
      <c r="DQ7" s="2927"/>
      <c r="DR7" s="2927"/>
      <c r="DS7" s="2927"/>
      <c r="DT7" s="2927"/>
      <c r="DU7" s="2927"/>
      <c r="DV7" s="2927"/>
      <c r="DW7" s="2927"/>
      <c r="DX7" s="2927"/>
      <c r="DY7" s="2927"/>
      <c r="DZ7" s="2927"/>
      <c r="EA7" s="2927"/>
      <c r="EB7" s="2927"/>
      <c r="EC7" s="2927"/>
      <c r="ED7" s="2927"/>
      <c r="EE7" s="2927"/>
      <c r="EF7" s="2927"/>
      <c r="EG7" s="2927"/>
      <c r="EH7" s="2927"/>
      <c r="EI7" s="2927"/>
      <c r="EJ7" s="2927"/>
      <c r="EK7" s="2927"/>
      <c r="EL7" s="2927"/>
      <c r="EM7" s="2927"/>
      <c r="EN7" s="2927"/>
      <c r="EO7" s="2927"/>
      <c r="EP7" s="2927"/>
      <c r="EQ7" s="2927"/>
      <c r="ER7" s="2927"/>
      <c r="ES7" s="2927"/>
      <c r="ET7" s="2927"/>
      <c r="EU7" s="2927"/>
      <c r="EV7" s="2927"/>
      <c r="EW7" s="2927"/>
      <c r="EX7" s="2927"/>
      <c r="EY7" s="2927"/>
      <c r="EZ7" s="2927"/>
      <c r="FA7" s="2927"/>
      <c r="FB7" s="2927"/>
      <c r="FC7" s="2927"/>
      <c r="FD7" s="2927"/>
      <c r="FE7" s="2927"/>
      <c r="FF7" s="2927"/>
      <c r="FG7" s="2927"/>
      <c r="FH7" s="2927"/>
      <c r="FI7" s="2927"/>
      <c r="FJ7" s="2927"/>
      <c r="FK7" s="2927"/>
      <c r="FL7" s="2927"/>
      <c r="FM7" s="2927"/>
      <c r="FN7" s="2927"/>
      <c r="FO7" s="2927"/>
      <c r="FP7" s="2927"/>
      <c r="FQ7" s="2927"/>
      <c r="FR7" s="2927"/>
      <c r="FS7" s="2927"/>
      <c r="FT7" s="2927"/>
      <c r="FU7" s="2927"/>
      <c r="FV7" s="2927"/>
      <c r="FW7" s="2927"/>
      <c r="FX7" s="2927"/>
      <c r="FY7" s="2927"/>
      <c r="FZ7" s="2927"/>
      <c r="GA7" s="2927"/>
      <c r="GB7" s="2927"/>
      <c r="GC7" s="2927"/>
      <c r="GD7" s="2927"/>
      <c r="GE7" s="2927"/>
      <c r="GF7" s="2927"/>
      <c r="GG7" s="2927"/>
      <c r="GH7" s="2927"/>
      <c r="GI7" s="2927"/>
      <c r="GJ7" s="2927"/>
      <c r="GK7" s="2927"/>
      <c r="GL7" s="2927"/>
      <c r="GM7" s="2927"/>
      <c r="GN7" s="2927"/>
      <c r="GO7" s="2927"/>
      <c r="GP7" s="2927"/>
      <c r="GQ7" s="2927"/>
      <c r="GR7" s="2927"/>
      <c r="GS7" s="2927"/>
      <c r="GT7" s="2927"/>
      <c r="GU7" s="2927"/>
      <c r="GV7" s="2927"/>
      <c r="GW7" s="2927"/>
      <c r="GX7" s="2927"/>
      <c r="GY7" s="2927"/>
      <c r="GZ7" s="2927"/>
      <c r="HA7" s="2927"/>
      <c r="HB7" s="2927"/>
      <c r="HC7" s="2927"/>
      <c r="HD7" s="2927"/>
      <c r="HE7" s="2927"/>
      <c r="HF7" s="2927"/>
      <c r="HG7" s="2927"/>
      <c r="HH7" s="2927"/>
      <c r="HI7" s="2927"/>
      <c r="HJ7" s="2927"/>
      <c r="HK7" s="2927"/>
      <c r="HL7" s="2927"/>
      <c r="HM7" s="2927"/>
      <c r="HN7" s="2927"/>
      <c r="HO7" s="2927"/>
      <c r="HP7" s="2927"/>
      <c r="HQ7" s="2927"/>
      <c r="HR7" s="2927"/>
      <c r="HS7" s="2927"/>
      <c r="HT7" s="2927"/>
      <c r="HU7" s="2927"/>
      <c r="HV7" s="2927"/>
      <c r="HW7" s="2927"/>
      <c r="HX7" s="2927"/>
      <c r="HY7" s="2927"/>
      <c r="HZ7" s="2927"/>
      <c r="IA7" s="2927"/>
      <c r="IB7" s="2927"/>
      <c r="IC7" s="2927"/>
      <c r="ID7" s="2927"/>
      <c r="IE7" s="2927"/>
    </row>
    <row r="8" s="2838" customFormat="1" ht="32" customHeight="1" spans="1:239">
      <c r="A8" s="2905">
        <v>45602</v>
      </c>
      <c r="B8" s="2906" t="s">
        <v>2285</v>
      </c>
      <c r="C8" s="2907" t="s">
        <v>351</v>
      </c>
      <c r="D8" s="2908">
        <v>4500150264</v>
      </c>
      <c r="E8" s="2909" t="s">
        <v>3330</v>
      </c>
      <c r="F8" s="2908" t="s">
        <v>10212</v>
      </c>
      <c r="G8" s="2930" t="s">
        <v>10199</v>
      </c>
      <c r="H8" s="2911" t="s">
        <v>9155</v>
      </c>
      <c r="I8" s="2912">
        <v>472</v>
      </c>
      <c r="J8" s="2912">
        <v>0</v>
      </c>
      <c r="K8" s="2912">
        <v>4</v>
      </c>
      <c r="L8" s="2912">
        <f t="shared" si="0"/>
        <v>118</v>
      </c>
      <c r="M8" s="2913">
        <v>45652</v>
      </c>
      <c r="N8" s="2913">
        <v>45638</v>
      </c>
      <c r="O8" s="2914"/>
      <c r="P8" s="2914" t="s">
        <v>10206</v>
      </c>
      <c r="Q8" s="2914" t="s">
        <v>2235</v>
      </c>
      <c r="R8" s="2915" t="s">
        <v>6117</v>
      </c>
      <c r="S8" s="2915"/>
      <c r="T8" s="2915" t="s">
        <v>10213</v>
      </c>
      <c r="U8" s="2915"/>
      <c r="V8" s="2915" t="s">
        <v>8440</v>
      </c>
      <c r="W8" s="2929" t="s">
        <v>10214</v>
      </c>
      <c r="X8" s="2912" t="s">
        <v>357</v>
      </c>
      <c r="Y8" s="2917">
        <v>7.3277</v>
      </c>
      <c r="Z8" s="2918">
        <f t="shared" si="11"/>
        <v>3458.6744</v>
      </c>
      <c r="AA8" s="2912" t="s">
        <v>10215</v>
      </c>
      <c r="AB8" s="2906" t="s">
        <v>10199</v>
      </c>
      <c r="AC8" s="2912" t="s">
        <v>416</v>
      </c>
      <c r="AD8" s="2919">
        <f t="shared" si="2"/>
        <v>472</v>
      </c>
      <c r="AE8" s="2919"/>
      <c r="AF8" s="2920"/>
      <c r="AG8" s="2919"/>
      <c r="AH8" s="2919"/>
      <c r="AI8" s="2919"/>
      <c r="AJ8" s="2921">
        <f t="shared" si="6"/>
        <v>472</v>
      </c>
      <c r="AK8" s="2921"/>
      <c r="AL8" s="2921"/>
      <c r="AM8" s="2921"/>
      <c r="AN8" s="2922"/>
      <c r="AO8" s="2923"/>
      <c r="AP8" s="2921"/>
      <c r="AQ8" s="2921">
        <f t="shared" ref="AQ8:AQ13" si="15">I8/4</f>
        <v>118</v>
      </c>
      <c r="AR8" s="2924">
        <f>I8/4</f>
        <v>118</v>
      </c>
      <c r="AS8" s="2923">
        <f t="shared" ref="AS8:AS13" si="16">I8/4</f>
        <v>118</v>
      </c>
      <c r="AT8" s="2921">
        <f t="shared" ref="AT8:AT13" si="17">AS8</f>
        <v>118</v>
      </c>
      <c r="AU8" s="2921"/>
      <c r="AV8" s="2924"/>
      <c r="AW8" s="2923"/>
      <c r="AX8" s="2921"/>
      <c r="AY8" s="2921"/>
      <c r="AZ8" s="2924"/>
      <c r="BA8" s="2923"/>
      <c r="BB8" s="2924"/>
      <c r="BC8" s="2925"/>
      <c r="BD8" s="2921">
        <f t="shared" si="3"/>
        <v>472</v>
      </c>
      <c r="BE8" s="2921"/>
      <c r="BF8" s="2921">
        <f t="shared" si="4"/>
        <v>472</v>
      </c>
      <c r="BG8" s="2921" t="s">
        <v>9164</v>
      </c>
      <c r="BH8" s="2921"/>
      <c r="BI8" s="2921">
        <f t="shared" si="8"/>
        <v>118</v>
      </c>
      <c r="BJ8" s="2921">
        <f t="shared" ref="BJ8:BP8" si="18">BI8</f>
        <v>118</v>
      </c>
      <c r="BK8" s="2921">
        <f t="shared" si="18"/>
        <v>118</v>
      </c>
      <c r="BL8" s="2921">
        <f t="shared" si="18"/>
        <v>118</v>
      </c>
      <c r="BM8" s="2926">
        <f t="shared" si="18"/>
        <v>118</v>
      </c>
      <c r="BN8" s="2921">
        <f t="shared" si="18"/>
        <v>118</v>
      </c>
      <c r="BO8" s="2926">
        <f t="shared" si="18"/>
        <v>118</v>
      </c>
      <c r="BP8" s="2921">
        <f t="shared" si="18"/>
        <v>118</v>
      </c>
      <c r="BQ8" s="2926">
        <f t="shared" si="1"/>
        <v>238497</v>
      </c>
      <c r="BR8" s="2926">
        <f t="shared" ref="BR8:BY8" si="19">BR7-BI8</f>
        <v>26664.25</v>
      </c>
      <c r="BS8" s="2926">
        <f t="shared" si="19"/>
        <v>26664.25</v>
      </c>
      <c r="BT8" s="2926">
        <f t="shared" si="19"/>
        <v>26536.25</v>
      </c>
      <c r="BU8" s="2926">
        <f t="shared" si="19"/>
        <v>26536.25</v>
      </c>
      <c r="BV8" s="2926">
        <f t="shared" si="19"/>
        <v>41742.25</v>
      </c>
      <c r="BW8" s="2926">
        <f t="shared" si="19"/>
        <v>41742.25</v>
      </c>
      <c r="BX8" s="2926">
        <f t="shared" si="19"/>
        <v>27156.25</v>
      </c>
      <c r="BY8" s="2926">
        <f t="shared" si="19"/>
        <v>27156.25</v>
      </c>
      <c r="BZ8" s="2912"/>
      <c r="CA8" s="2927"/>
      <c r="CB8" s="2927"/>
      <c r="CC8" s="2927"/>
      <c r="CD8" s="2927"/>
      <c r="CE8" s="2927"/>
      <c r="CF8" s="2927"/>
      <c r="CG8" s="2927"/>
      <c r="CH8" s="2927"/>
      <c r="CI8" s="2927"/>
      <c r="CJ8" s="2927"/>
      <c r="CK8" s="2927"/>
      <c r="CL8" s="2927"/>
      <c r="CM8" s="2927"/>
      <c r="CN8" s="2927"/>
      <c r="CO8" s="2927"/>
      <c r="CP8" s="2927"/>
      <c r="CQ8" s="2927"/>
      <c r="CR8" s="2927"/>
      <c r="CS8" s="2927"/>
      <c r="CT8" s="2927"/>
      <c r="CU8" s="2927"/>
      <c r="CV8" s="2927"/>
      <c r="CW8" s="2927"/>
      <c r="CX8" s="2927"/>
      <c r="CY8" s="2927"/>
      <c r="CZ8" s="2927"/>
      <c r="DA8" s="2927"/>
      <c r="DB8" s="2927"/>
      <c r="DC8" s="2927"/>
      <c r="DD8" s="2927"/>
      <c r="DE8" s="2927"/>
      <c r="DF8" s="2927"/>
      <c r="DG8" s="2927"/>
      <c r="DH8" s="2927"/>
      <c r="DI8" s="2927"/>
      <c r="DJ8" s="2927"/>
      <c r="DK8" s="2927"/>
      <c r="DL8" s="2927"/>
      <c r="DM8" s="2927"/>
      <c r="DN8" s="2927"/>
      <c r="DO8" s="2927"/>
      <c r="DP8" s="2927"/>
      <c r="DQ8" s="2927"/>
      <c r="DR8" s="2927"/>
      <c r="DS8" s="2927"/>
      <c r="DT8" s="2927"/>
      <c r="DU8" s="2927"/>
      <c r="DV8" s="2927"/>
      <c r="DW8" s="2927"/>
      <c r="DX8" s="2927"/>
      <c r="DY8" s="2927"/>
      <c r="DZ8" s="2927"/>
      <c r="EA8" s="2927"/>
      <c r="EB8" s="2927"/>
      <c r="EC8" s="2927"/>
      <c r="ED8" s="2927"/>
      <c r="EE8" s="2927"/>
      <c r="EF8" s="2927"/>
      <c r="EG8" s="2927"/>
      <c r="EH8" s="2927"/>
      <c r="EI8" s="2927"/>
      <c r="EJ8" s="2927"/>
      <c r="EK8" s="2927"/>
      <c r="EL8" s="2927"/>
      <c r="EM8" s="2927"/>
      <c r="EN8" s="2927"/>
      <c r="EO8" s="2927"/>
      <c r="EP8" s="2927"/>
      <c r="EQ8" s="2927"/>
      <c r="ER8" s="2927"/>
      <c r="ES8" s="2927"/>
      <c r="ET8" s="2927"/>
      <c r="EU8" s="2927"/>
      <c r="EV8" s="2927"/>
      <c r="EW8" s="2927"/>
      <c r="EX8" s="2927"/>
      <c r="EY8" s="2927"/>
      <c r="EZ8" s="2927"/>
      <c r="FA8" s="2927"/>
      <c r="FB8" s="2927"/>
      <c r="FC8" s="2927"/>
      <c r="FD8" s="2927"/>
      <c r="FE8" s="2927"/>
      <c r="FF8" s="2927"/>
      <c r="FG8" s="2927"/>
      <c r="FH8" s="2927"/>
      <c r="FI8" s="2927"/>
      <c r="FJ8" s="2927"/>
      <c r="FK8" s="2927"/>
      <c r="FL8" s="2927"/>
      <c r="FM8" s="2927"/>
      <c r="FN8" s="2927"/>
      <c r="FO8" s="2927"/>
      <c r="FP8" s="2927"/>
      <c r="FQ8" s="2927"/>
      <c r="FR8" s="2927"/>
      <c r="FS8" s="2927"/>
      <c r="FT8" s="2927"/>
      <c r="FU8" s="2927"/>
      <c r="FV8" s="2927"/>
      <c r="FW8" s="2927"/>
      <c r="FX8" s="2927"/>
      <c r="FY8" s="2927"/>
      <c r="FZ8" s="2927"/>
      <c r="GA8" s="2927"/>
      <c r="GB8" s="2927"/>
      <c r="GC8" s="2927"/>
      <c r="GD8" s="2927"/>
      <c r="GE8" s="2927"/>
      <c r="GF8" s="2927"/>
      <c r="GG8" s="2927"/>
      <c r="GH8" s="2927"/>
      <c r="GI8" s="2927"/>
      <c r="GJ8" s="2927"/>
      <c r="GK8" s="2927"/>
      <c r="GL8" s="2927"/>
      <c r="GM8" s="2927"/>
      <c r="GN8" s="2927"/>
      <c r="GO8" s="2927"/>
      <c r="GP8" s="2927"/>
      <c r="GQ8" s="2927"/>
      <c r="GR8" s="2927"/>
      <c r="GS8" s="2927"/>
      <c r="GT8" s="2927"/>
      <c r="GU8" s="2927"/>
      <c r="GV8" s="2927"/>
      <c r="GW8" s="2927"/>
      <c r="GX8" s="2927"/>
      <c r="GY8" s="2927"/>
      <c r="GZ8" s="2927"/>
      <c r="HA8" s="2927"/>
      <c r="HB8" s="2927"/>
      <c r="HC8" s="2927"/>
      <c r="HD8" s="2927"/>
      <c r="HE8" s="2927"/>
      <c r="HF8" s="2927"/>
      <c r="HG8" s="2927"/>
      <c r="HH8" s="2927"/>
      <c r="HI8" s="2927"/>
      <c r="HJ8" s="2927"/>
      <c r="HK8" s="2927"/>
      <c r="HL8" s="2927"/>
      <c r="HM8" s="2927"/>
      <c r="HN8" s="2927"/>
      <c r="HO8" s="2927"/>
      <c r="HP8" s="2927"/>
      <c r="HQ8" s="2927"/>
      <c r="HR8" s="2927"/>
      <c r="HS8" s="2927"/>
      <c r="HT8" s="2927"/>
      <c r="HU8" s="2927"/>
      <c r="HV8" s="2927"/>
      <c r="HW8" s="2927"/>
      <c r="HX8" s="2927"/>
      <c r="HY8" s="2927"/>
      <c r="HZ8" s="2927"/>
      <c r="IA8" s="2927"/>
      <c r="IB8" s="2927"/>
      <c r="IC8" s="2927"/>
      <c r="ID8" s="2927"/>
      <c r="IE8" s="2927"/>
    </row>
    <row r="9" s="2838" customFormat="1" ht="32" customHeight="1" spans="1:239">
      <c r="A9" s="2905">
        <v>45601</v>
      </c>
      <c r="B9" s="2906" t="s">
        <v>387</v>
      </c>
      <c r="C9" s="2907" t="s">
        <v>91</v>
      </c>
      <c r="D9" s="2908">
        <v>4500150187</v>
      </c>
      <c r="E9" s="2909" t="s">
        <v>9173</v>
      </c>
      <c r="F9" s="2908" t="s">
        <v>10216</v>
      </c>
      <c r="G9" s="2930" t="s">
        <v>10199</v>
      </c>
      <c r="H9" s="2911" t="s">
        <v>9155</v>
      </c>
      <c r="I9" s="2912">
        <v>360</v>
      </c>
      <c r="J9" s="2912">
        <v>0</v>
      </c>
      <c r="K9" s="2912">
        <v>4</v>
      </c>
      <c r="L9" s="2912">
        <f t="shared" si="0"/>
        <v>90</v>
      </c>
      <c r="M9" s="2913">
        <v>45653</v>
      </c>
      <c r="N9" s="2913">
        <v>45649</v>
      </c>
      <c r="O9" s="2914"/>
      <c r="P9" s="2914" t="s">
        <v>10206</v>
      </c>
      <c r="Q9" s="2914" t="s">
        <v>389</v>
      </c>
      <c r="R9" s="2915" t="s">
        <v>390</v>
      </c>
      <c r="S9" s="2915"/>
      <c r="T9" s="2915" t="s">
        <v>9175</v>
      </c>
      <c r="U9" s="2915"/>
      <c r="V9" s="2915"/>
      <c r="W9" s="2929" t="s">
        <v>392</v>
      </c>
      <c r="X9" s="2912" t="s">
        <v>393</v>
      </c>
      <c r="Y9" s="2917">
        <v>7.3277</v>
      </c>
      <c r="Z9" s="2918">
        <f t="shared" si="11"/>
        <v>2637.972</v>
      </c>
      <c r="AA9" s="2912" t="s">
        <v>394</v>
      </c>
      <c r="AB9" s="2906" t="s">
        <v>10199</v>
      </c>
      <c r="AC9" s="2912" t="s">
        <v>416</v>
      </c>
      <c r="AD9" s="2919">
        <f t="shared" si="2"/>
        <v>360</v>
      </c>
      <c r="AE9" s="2919"/>
      <c r="AF9" s="2920"/>
      <c r="AG9" s="2919"/>
      <c r="AH9" s="2919"/>
      <c r="AI9" s="2919"/>
      <c r="AJ9" s="2921">
        <f t="shared" si="6"/>
        <v>360</v>
      </c>
      <c r="AK9" s="2921"/>
      <c r="AL9" s="2921"/>
      <c r="AM9" s="2921"/>
      <c r="AN9" s="2922"/>
      <c r="AO9" s="2923"/>
      <c r="AP9" s="2921"/>
      <c r="AQ9" s="2921">
        <f t="shared" si="15"/>
        <v>90</v>
      </c>
      <c r="AR9" s="2924">
        <f>I9/4</f>
        <v>90</v>
      </c>
      <c r="AS9" s="2923">
        <f t="shared" si="16"/>
        <v>90</v>
      </c>
      <c r="AT9" s="2921">
        <f t="shared" si="17"/>
        <v>90</v>
      </c>
      <c r="AU9" s="2921"/>
      <c r="AV9" s="2924"/>
      <c r="AW9" s="2923"/>
      <c r="AX9" s="2921"/>
      <c r="AY9" s="2921"/>
      <c r="AZ9" s="2924"/>
      <c r="BA9" s="2923"/>
      <c r="BB9" s="2924"/>
      <c r="BC9" s="2925"/>
      <c r="BD9" s="2921">
        <f t="shared" si="3"/>
        <v>360</v>
      </c>
      <c r="BE9" s="2921"/>
      <c r="BF9" s="2921">
        <f t="shared" si="4"/>
        <v>360</v>
      </c>
      <c r="BG9" s="2921" t="s">
        <v>9164</v>
      </c>
      <c r="BH9" s="2921"/>
      <c r="BI9" s="2921">
        <f t="shared" si="8"/>
        <v>90</v>
      </c>
      <c r="BJ9" s="2921">
        <f t="shared" ref="BJ9:BP9" si="20">BI9</f>
        <v>90</v>
      </c>
      <c r="BK9" s="2921">
        <f t="shared" si="20"/>
        <v>90</v>
      </c>
      <c r="BL9" s="2921">
        <f t="shared" si="20"/>
        <v>90</v>
      </c>
      <c r="BM9" s="2926">
        <f t="shared" si="20"/>
        <v>90</v>
      </c>
      <c r="BN9" s="2921">
        <f t="shared" si="20"/>
        <v>90</v>
      </c>
      <c r="BO9" s="2926">
        <f t="shared" si="20"/>
        <v>90</v>
      </c>
      <c r="BP9" s="2921">
        <f t="shared" si="20"/>
        <v>90</v>
      </c>
      <c r="BQ9" s="2926">
        <f t="shared" si="1"/>
        <v>238385</v>
      </c>
      <c r="BR9" s="2926">
        <f t="shared" ref="BR9:BY9" si="21">BR8-BI9</f>
        <v>26574.25</v>
      </c>
      <c r="BS9" s="2926">
        <f t="shared" si="21"/>
        <v>26574.25</v>
      </c>
      <c r="BT9" s="2926">
        <f t="shared" si="21"/>
        <v>26446.25</v>
      </c>
      <c r="BU9" s="2926">
        <f t="shared" si="21"/>
        <v>26446.25</v>
      </c>
      <c r="BV9" s="2926">
        <f t="shared" si="21"/>
        <v>41652.25</v>
      </c>
      <c r="BW9" s="2926">
        <f t="shared" si="21"/>
        <v>41652.25</v>
      </c>
      <c r="BX9" s="2926">
        <f t="shared" si="21"/>
        <v>27066.25</v>
      </c>
      <c r="BY9" s="2926">
        <f t="shared" si="21"/>
        <v>27066.25</v>
      </c>
      <c r="BZ9" s="2912"/>
      <c r="CA9" s="2927"/>
      <c r="CB9" s="2927"/>
      <c r="CC9" s="2927"/>
      <c r="CD9" s="2927"/>
      <c r="CE9" s="2927"/>
      <c r="CF9" s="2927"/>
      <c r="CG9" s="2927"/>
      <c r="CH9" s="2927"/>
      <c r="CI9" s="2927"/>
      <c r="CJ9" s="2927"/>
      <c r="CK9" s="2927"/>
      <c r="CL9" s="2927"/>
      <c r="CM9" s="2927"/>
      <c r="CN9" s="2927"/>
      <c r="CO9" s="2927"/>
      <c r="CP9" s="2927"/>
      <c r="CQ9" s="2927"/>
      <c r="CR9" s="2927"/>
      <c r="CS9" s="2927"/>
      <c r="CT9" s="2927"/>
      <c r="CU9" s="2927"/>
      <c r="CV9" s="2927"/>
      <c r="CW9" s="2927"/>
      <c r="CX9" s="2927"/>
      <c r="CY9" s="2927"/>
      <c r="CZ9" s="2927"/>
      <c r="DA9" s="2927"/>
      <c r="DB9" s="2927"/>
      <c r="DC9" s="2927"/>
      <c r="DD9" s="2927"/>
      <c r="DE9" s="2927"/>
      <c r="DF9" s="2927"/>
      <c r="DG9" s="2927"/>
      <c r="DH9" s="2927"/>
      <c r="DI9" s="2927"/>
      <c r="DJ9" s="2927"/>
      <c r="DK9" s="2927"/>
      <c r="DL9" s="2927"/>
      <c r="DM9" s="2927"/>
      <c r="DN9" s="2927"/>
      <c r="DO9" s="2927"/>
      <c r="DP9" s="2927"/>
      <c r="DQ9" s="2927"/>
      <c r="DR9" s="2927"/>
      <c r="DS9" s="2927"/>
      <c r="DT9" s="2927"/>
      <c r="DU9" s="2927"/>
      <c r="DV9" s="2927"/>
      <c r="DW9" s="2927"/>
      <c r="DX9" s="2927"/>
      <c r="DY9" s="2927"/>
      <c r="DZ9" s="2927"/>
      <c r="EA9" s="2927"/>
      <c r="EB9" s="2927"/>
      <c r="EC9" s="2927"/>
      <c r="ED9" s="2927"/>
      <c r="EE9" s="2927"/>
      <c r="EF9" s="2927"/>
      <c r="EG9" s="2927"/>
      <c r="EH9" s="2927"/>
      <c r="EI9" s="2927"/>
      <c r="EJ9" s="2927"/>
      <c r="EK9" s="2927"/>
      <c r="EL9" s="2927"/>
      <c r="EM9" s="2927"/>
      <c r="EN9" s="2927"/>
      <c r="EO9" s="2927"/>
      <c r="EP9" s="2927"/>
      <c r="EQ9" s="2927"/>
      <c r="ER9" s="2927"/>
      <c r="ES9" s="2927"/>
      <c r="ET9" s="2927"/>
      <c r="EU9" s="2927"/>
      <c r="EV9" s="2927"/>
      <c r="EW9" s="2927"/>
      <c r="EX9" s="2927"/>
      <c r="EY9" s="2927"/>
      <c r="EZ9" s="2927"/>
      <c r="FA9" s="2927"/>
      <c r="FB9" s="2927"/>
      <c r="FC9" s="2927"/>
      <c r="FD9" s="2927"/>
      <c r="FE9" s="2927"/>
      <c r="FF9" s="2927"/>
      <c r="FG9" s="2927"/>
      <c r="FH9" s="2927"/>
      <c r="FI9" s="2927"/>
      <c r="FJ9" s="2927"/>
      <c r="FK9" s="2927"/>
      <c r="FL9" s="2927"/>
      <c r="FM9" s="2927"/>
      <c r="FN9" s="2927"/>
      <c r="FO9" s="2927"/>
      <c r="FP9" s="2927"/>
      <c r="FQ9" s="2927"/>
      <c r="FR9" s="2927"/>
      <c r="FS9" s="2927"/>
      <c r="FT9" s="2927"/>
      <c r="FU9" s="2927"/>
      <c r="FV9" s="2927"/>
      <c r="FW9" s="2927"/>
      <c r="FX9" s="2927"/>
      <c r="FY9" s="2927"/>
      <c r="FZ9" s="2927"/>
      <c r="GA9" s="2927"/>
      <c r="GB9" s="2927"/>
      <c r="GC9" s="2927"/>
      <c r="GD9" s="2927"/>
      <c r="GE9" s="2927"/>
      <c r="GF9" s="2927"/>
      <c r="GG9" s="2927"/>
      <c r="GH9" s="2927"/>
      <c r="GI9" s="2927"/>
      <c r="GJ9" s="2927"/>
      <c r="GK9" s="2927"/>
      <c r="GL9" s="2927"/>
      <c r="GM9" s="2927"/>
      <c r="GN9" s="2927"/>
      <c r="GO9" s="2927"/>
      <c r="GP9" s="2927"/>
      <c r="GQ9" s="2927"/>
      <c r="GR9" s="2927"/>
      <c r="GS9" s="2927"/>
      <c r="GT9" s="2927"/>
      <c r="GU9" s="2927"/>
      <c r="GV9" s="2927"/>
      <c r="GW9" s="2927"/>
      <c r="GX9" s="2927"/>
      <c r="GY9" s="2927"/>
      <c r="GZ9" s="2927"/>
      <c r="HA9" s="2927"/>
      <c r="HB9" s="2927"/>
      <c r="HC9" s="2927"/>
      <c r="HD9" s="2927"/>
      <c r="HE9" s="2927"/>
      <c r="HF9" s="2927"/>
      <c r="HG9" s="2927"/>
      <c r="HH9" s="2927"/>
      <c r="HI9" s="2927"/>
      <c r="HJ9" s="2927"/>
      <c r="HK9" s="2927"/>
      <c r="HL9" s="2927"/>
      <c r="HM9" s="2927"/>
      <c r="HN9" s="2927"/>
      <c r="HO9" s="2927"/>
      <c r="HP9" s="2927"/>
      <c r="HQ9" s="2927"/>
      <c r="HR9" s="2927"/>
      <c r="HS9" s="2927"/>
      <c r="HT9" s="2927"/>
      <c r="HU9" s="2927"/>
      <c r="HV9" s="2927"/>
      <c r="HW9" s="2927"/>
      <c r="HX9" s="2927"/>
      <c r="HY9" s="2927"/>
      <c r="HZ9" s="2927"/>
      <c r="IA9" s="2927"/>
      <c r="IB9" s="2927"/>
      <c r="IC9" s="2927"/>
      <c r="ID9" s="2927"/>
      <c r="IE9" s="2927"/>
    </row>
    <row r="10" s="2838" customFormat="1" ht="32" customHeight="1" spans="1:239">
      <c r="A10" s="2905">
        <v>45614</v>
      </c>
      <c r="B10" s="2906" t="s">
        <v>493</v>
      </c>
      <c r="C10" s="2907" t="s">
        <v>91</v>
      </c>
      <c r="D10" s="2908">
        <v>4500151479</v>
      </c>
      <c r="E10" s="2909" t="s">
        <v>10217</v>
      </c>
      <c r="F10" s="2908">
        <v>4500151479</v>
      </c>
      <c r="G10" s="2930" t="s">
        <v>10199</v>
      </c>
      <c r="H10" s="2911" t="s">
        <v>9155</v>
      </c>
      <c r="I10" s="2912">
        <v>1800</v>
      </c>
      <c r="J10" s="2912">
        <v>0</v>
      </c>
      <c r="K10" s="2912">
        <v>4</v>
      </c>
      <c r="L10" s="2912">
        <f t="shared" si="0"/>
        <v>450</v>
      </c>
      <c r="M10" s="2913">
        <v>45663</v>
      </c>
      <c r="N10" s="2913">
        <v>45659</v>
      </c>
      <c r="O10" s="2914"/>
      <c r="P10" s="2914" t="s">
        <v>10206</v>
      </c>
      <c r="Q10" s="2914" t="s">
        <v>401</v>
      </c>
      <c r="R10" s="2915" t="s">
        <v>497</v>
      </c>
      <c r="S10" s="2915"/>
      <c r="T10" s="2915" t="s">
        <v>10218</v>
      </c>
      <c r="U10" s="2915"/>
      <c r="V10" s="2915"/>
      <c r="W10" s="2929" t="s">
        <v>6161</v>
      </c>
      <c r="X10" s="2912" t="s">
        <v>500</v>
      </c>
      <c r="Y10" s="2917">
        <v>7.0129</v>
      </c>
      <c r="Z10" s="2918">
        <f t="shared" si="11"/>
        <v>12623.22</v>
      </c>
      <c r="AA10" s="2912" t="s">
        <v>6162</v>
      </c>
      <c r="AB10" s="2906" t="s">
        <v>10199</v>
      </c>
      <c r="AC10" s="2912" t="s">
        <v>416</v>
      </c>
      <c r="AD10" s="2919">
        <f t="shared" si="2"/>
        <v>1800</v>
      </c>
      <c r="AE10" s="2919"/>
      <c r="AF10" s="2920"/>
      <c r="AG10" s="2919"/>
      <c r="AH10" s="2919"/>
      <c r="AI10" s="2919"/>
      <c r="AJ10" s="2921">
        <f t="shared" si="6"/>
        <v>1800</v>
      </c>
      <c r="AK10" s="2839"/>
      <c r="AL10" s="2921"/>
      <c r="AM10" s="2921"/>
      <c r="AN10" s="2922"/>
      <c r="AO10" s="2923"/>
      <c r="AP10" s="2921"/>
      <c r="AQ10" s="2921">
        <f t="shared" si="15"/>
        <v>450</v>
      </c>
      <c r="AR10" s="2924"/>
      <c r="AS10" s="2923">
        <f t="shared" si="16"/>
        <v>450</v>
      </c>
      <c r="AT10" s="2921">
        <f t="shared" si="17"/>
        <v>450</v>
      </c>
      <c r="AU10" s="2921"/>
      <c r="AV10" s="2924">
        <f t="shared" ref="AV10:AV13" si="22">AS10</f>
        <v>450</v>
      </c>
      <c r="AW10" s="2923"/>
      <c r="AX10" s="2921"/>
      <c r="AY10" s="2921"/>
      <c r="AZ10" s="2924"/>
      <c r="BA10" s="2923"/>
      <c r="BB10" s="2924"/>
      <c r="BC10" s="2925"/>
      <c r="BD10" s="2921">
        <f t="shared" si="3"/>
        <v>1800</v>
      </c>
      <c r="BE10" s="2921"/>
      <c r="BF10" s="2921">
        <f t="shared" si="4"/>
        <v>1800</v>
      </c>
      <c r="BG10" s="2921" t="s">
        <v>9164</v>
      </c>
      <c r="BH10" s="2921"/>
      <c r="BI10" s="2921">
        <f t="shared" si="8"/>
        <v>450</v>
      </c>
      <c r="BJ10" s="2921">
        <f t="shared" ref="BJ10:BP10" si="23">BI10</f>
        <v>450</v>
      </c>
      <c r="BK10" s="2921">
        <f t="shared" si="23"/>
        <v>450</v>
      </c>
      <c r="BL10" s="2921">
        <f t="shared" si="23"/>
        <v>450</v>
      </c>
      <c r="BM10" s="2926">
        <f t="shared" si="23"/>
        <v>450</v>
      </c>
      <c r="BN10" s="2921">
        <f t="shared" si="23"/>
        <v>450</v>
      </c>
      <c r="BO10" s="2926">
        <f t="shared" si="23"/>
        <v>450</v>
      </c>
      <c r="BP10" s="2921">
        <f t="shared" si="23"/>
        <v>450</v>
      </c>
      <c r="BQ10" s="2926">
        <f t="shared" si="1"/>
        <v>239825</v>
      </c>
      <c r="BR10" s="2926">
        <f t="shared" ref="BR10:BY10" si="24">BR9-BI10</f>
        <v>26124.25</v>
      </c>
      <c r="BS10" s="2926">
        <f t="shared" si="24"/>
        <v>26124.25</v>
      </c>
      <c r="BT10" s="2926">
        <f t="shared" si="24"/>
        <v>25996.25</v>
      </c>
      <c r="BU10" s="2926">
        <f t="shared" si="24"/>
        <v>25996.25</v>
      </c>
      <c r="BV10" s="2926">
        <f t="shared" si="24"/>
        <v>41202.25</v>
      </c>
      <c r="BW10" s="2926">
        <f t="shared" si="24"/>
        <v>41202.25</v>
      </c>
      <c r="BX10" s="2926">
        <f t="shared" si="24"/>
        <v>26616.25</v>
      </c>
      <c r="BY10" s="2926">
        <f t="shared" si="24"/>
        <v>26616.25</v>
      </c>
      <c r="BZ10" s="2912"/>
      <c r="CA10" s="2927"/>
      <c r="CB10" s="2927"/>
      <c r="CC10" s="2927"/>
      <c r="CD10" s="2927"/>
      <c r="CE10" s="2927"/>
      <c r="CF10" s="2927"/>
      <c r="CG10" s="2927"/>
      <c r="CH10" s="2927"/>
      <c r="CI10" s="2927"/>
      <c r="CJ10" s="2927"/>
      <c r="CK10" s="2927"/>
      <c r="CL10" s="2927"/>
      <c r="CM10" s="2927"/>
      <c r="CN10" s="2927"/>
      <c r="CO10" s="2927"/>
      <c r="CP10" s="2927"/>
      <c r="CQ10" s="2927"/>
      <c r="CR10" s="2927"/>
      <c r="CS10" s="2927"/>
      <c r="CT10" s="2927"/>
      <c r="CU10" s="2927"/>
      <c r="CV10" s="2927"/>
      <c r="CW10" s="2927"/>
      <c r="CX10" s="2927"/>
      <c r="CY10" s="2927"/>
      <c r="CZ10" s="2927"/>
      <c r="DA10" s="2927"/>
      <c r="DB10" s="2927"/>
      <c r="DC10" s="2927"/>
      <c r="DD10" s="2927"/>
      <c r="DE10" s="2927"/>
      <c r="DF10" s="2927"/>
      <c r="DG10" s="2927"/>
      <c r="DH10" s="2927"/>
      <c r="DI10" s="2927"/>
      <c r="DJ10" s="2927"/>
      <c r="DK10" s="2927"/>
      <c r="DL10" s="2927"/>
      <c r="DM10" s="2927"/>
      <c r="DN10" s="2927"/>
      <c r="DO10" s="2927"/>
      <c r="DP10" s="2927"/>
      <c r="DQ10" s="2927"/>
      <c r="DR10" s="2927"/>
      <c r="DS10" s="2927"/>
      <c r="DT10" s="2927"/>
      <c r="DU10" s="2927"/>
      <c r="DV10" s="2927"/>
      <c r="DW10" s="2927"/>
      <c r="DX10" s="2927"/>
      <c r="DY10" s="2927"/>
      <c r="DZ10" s="2927"/>
      <c r="EA10" s="2927"/>
      <c r="EB10" s="2927"/>
      <c r="EC10" s="2927"/>
      <c r="ED10" s="2927"/>
      <c r="EE10" s="2927"/>
      <c r="EF10" s="2927"/>
      <c r="EG10" s="2927"/>
      <c r="EH10" s="2927"/>
      <c r="EI10" s="2927"/>
      <c r="EJ10" s="2927"/>
      <c r="EK10" s="2927"/>
      <c r="EL10" s="2927"/>
      <c r="EM10" s="2927"/>
      <c r="EN10" s="2927"/>
      <c r="EO10" s="2927"/>
      <c r="EP10" s="2927"/>
      <c r="EQ10" s="2927"/>
      <c r="ER10" s="2927"/>
      <c r="ES10" s="2927"/>
      <c r="ET10" s="2927"/>
      <c r="EU10" s="2927"/>
      <c r="EV10" s="2927"/>
      <c r="EW10" s="2927"/>
      <c r="EX10" s="2927"/>
      <c r="EY10" s="2927"/>
      <c r="EZ10" s="2927"/>
      <c r="FA10" s="2927"/>
      <c r="FB10" s="2927"/>
      <c r="FC10" s="2927"/>
      <c r="FD10" s="2927"/>
      <c r="FE10" s="2927"/>
      <c r="FF10" s="2927"/>
      <c r="FG10" s="2927"/>
      <c r="FH10" s="2927"/>
      <c r="FI10" s="2927"/>
      <c r="FJ10" s="2927"/>
      <c r="FK10" s="2927"/>
      <c r="FL10" s="2927"/>
      <c r="FM10" s="2927"/>
      <c r="FN10" s="2927"/>
      <c r="FO10" s="2927"/>
      <c r="FP10" s="2927"/>
      <c r="FQ10" s="2927"/>
      <c r="FR10" s="2927"/>
      <c r="FS10" s="2927"/>
      <c r="FT10" s="2927"/>
      <c r="FU10" s="2927"/>
      <c r="FV10" s="2927"/>
      <c r="FW10" s="2927"/>
      <c r="FX10" s="2927"/>
      <c r="FY10" s="2927"/>
      <c r="FZ10" s="2927"/>
      <c r="GA10" s="2927"/>
      <c r="GB10" s="2927"/>
      <c r="GC10" s="2927"/>
      <c r="GD10" s="2927"/>
      <c r="GE10" s="2927"/>
      <c r="GF10" s="2927"/>
      <c r="GG10" s="2927"/>
      <c r="GH10" s="2927"/>
      <c r="GI10" s="2927"/>
      <c r="GJ10" s="2927"/>
      <c r="GK10" s="2927"/>
      <c r="GL10" s="2927"/>
      <c r="GM10" s="2927"/>
      <c r="GN10" s="2927"/>
      <c r="GO10" s="2927"/>
      <c r="GP10" s="2927"/>
      <c r="GQ10" s="2927"/>
      <c r="GR10" s="2927"/>
      <c r="GS10" s="2927"/>
      <c r="GT10" s="2927"/>
      <c r="GU10" s="2927"/>
      <c r="GV10" s="2927"/>
      <c r="GW10" s="2927"/>
      <c r="GX10" s="2927"/>
      <c r="GY10" s="2927"/>
      <c r="GZ10" s="2927"/>
      <c r="HA10" s="2927"/>
      <c r="HB10" s="2927"/>
      <c r="HC10" s="2927"/>
      <c r="HD10" s="2927"/>
      <c r="HE10" s="2927"/>
      <c r="HF10" s="2927"/>
      <c r="HG10" s="2927"/>
      <c r="HH10" s="2927"/>
      <c r="HI10" s="2927"/>
      <c r="HJ10" s="2927"/>
      <c r="HK10" s="2927"/>
      <c r="HL10" s="2927"/>
      <c r="HM10" s="2927"/>
      <c r="HN10" s="2927"/>
      <c r="HO10" s="2927"/>
      <c r="HP10" s="2927"/>
      <c r="HQ10" s="2927"/>
      <c r="HR10" s="2927"/>
      <c r="HS10" s="2927"/>
      <c r="HT10" s="2927"/>
      <c r="HU10" s="2927"/>
      <c r="HV10" s="2927"/>
      <c r="HW10" s="2927"/>
      <c r="HX10" s="2927"/>
      <c r="HY10" s="2927"/>
      <c r="HZ10" s="2927"/>
      <c r="IA10" s="2927"/>
      <c r="IB10" s="2927"/>
      <c r="IC10" s="2927"/>
      <c r="ID10" s="2927"/>
      <c r="IE10" s="2927"/>
    </row>
    <row r="11" s="2838" customFormat="1" ht="32" customHeight="1" spans="1:239">
      <c r="A11" s="2905">
        <v>45615</v>
      </c>
      <c r="B11" s="2906" t="s">
        <v>2791</v>
      </c>
      <c r="C11" s="2907" t="s">
        <v>91</v>
      </c>
      <c r="D11" s="2908">
        <v>4500151635</v>
      </c>
      <c r="E11" s="2909" t="s">
        <v>10219</v>
      </c>
      <c r="F11" s="2908" t="s">
        <v>10220</v>
      </c>
      <c r="G11" s="2930" t="s">
        <v>10199</v>
      </c>
      <c r="H11" s="2911" t="s">
        <v>9155</v>
      </c>
      <c r="I11" s="2912">
        <v>1980</v>
      </c>
      <c r="J11" s="2912">
        <v>0</v>
      </c>
      <c r="K11" s="2912">
        <v>4</v>
      </c>
      <c r="L11" s="2912">
        <f t="shared" si="0"/>
        <v>495</v>
      </c>
      <c r="M11" s="2913">
        <v>45665</v>
      </c>
      <c r="N11" s="2913">
        <v>45661</v>
      </c>
      <c r="O11" s="2914"/>
      <c r="P11" s="2914" t="s">
        <v>10206</v>
      </c>
      <c r="Q11" s="2914" t="s">
        <v>138</v>
      </c>
      <c r="R11" s="2915" t="s">
        <v>384</v>
      </c>
      <c r="S11" s="2915"/>
      <c r="T11" s="2915" t="s">
        <v>10221</v>
      </c>
      <c r="U11" s="2915"/>
      <c r="V11" s="2915"/>
      <c r="W11" s="2929" t="s">
        <v>10222</v>
      </c>
      <c r="X11" s="2906" t="s">
        <v>2795</v>
      </c>
      <c r="Y11" s="2917">
        <v>7.0129</v>
      </c>
      <c r="Z11" s="2918">
        <f t="shared" si="11"/>
        <v>13885.542</v>
      </c>
      <c r="AA11" s="2912" t="s">
        <v>6188</v>
      </c>
      <c r="AB11" s="2906" t="s">
        <v>10199</v>
      </c>
      <c r="AC11" s="2912" t="s">
        <v>416</v>
      </c>
      <c r="AD11" s="2919">
        <f t="shared" si="2"/>
        <v>1980</v>
      </c>
      <c r="AE11" s="2919"/>
      <c r="AF11" s="2920"/>
      <c r="AG11" s="2919"/>
      <c r="AH11" s="2919"/>
      <c r="AI11" s="2919"/>
      <c r="AJ11" s="2921">
        <f t="shared" si="6"/>
        <v>1980</v>
      </c>
      <c r="AK11" s="2921"/>
      <c r="AL11" s="2921"/>
      <c r="AM11" s="2921"/>
      <c r="AN11" s="2922"/>
      <c r="AO11" s="2923"/>
      <c r="AP11" s="2921"/>
      <c r="AQ11" s="2921">
        <f t="shared" si="15"/>
        <v>495</v>
      </c>
      <c r="AR11" s="2924"/>
      <c r="AS11" s="2923">
        <f t="shared" si="16"/>
        <v>495</v>
      </c>
      <c r="AT11" s="2921">
        <f t="shared" si="17"/>
        <v>495</v>
      </c>
      <c r="AU11" s="2921"/>
      <c r="AV11" s="2924">
        <f t="shared" si="22"/>
        <v>495</v>
      </c>
      <c r="AW11" s="2923"/>
      <c r="AX11" s="2921"/>
      <c r="AY11" s="2921"/>
      <c r="AZ11" s="2924"/>
      <c r="BA11" s="2923"/>
      <c r="BB11" s="2924"/>
      <c r="BC11" s="2925"/>
      <c r="BD11" s="2921">
        <f t="shared" si="3"/>
        <v>1980</v>
      </c>
      <c r="BE11" s="2921"/>
      <c r="BF11" s="2921">
        <f t="shared" si="4"/>
        <v>1980</v>
      </c>
      <c r="BG11" s="2921" t="s">
        <v>9164</v>
      </c>
      <c r="BH11" s="2921"/>
      <c r="BI11" s="2921">
        <f t="shared" si="8"/>
        <v>495</v>
      </c>
      <c r="BJ11" s="2921">
        <f t="shared" ref="BJ11:BP11" si="25">BI11</f>
        <v>495</v>
      </c>
      <c r="BK11" s="2921">
        <f t="shared" si="25"/>
        <v>495</v>
      </c>
      <c r="BL11" s="2921">
        <f t="shared" si="25"/>
        <v>495</v>
      </c>
      <c r="BM11" s="2926">
        <f t="shared" si="25"/>
        <v>495</v>
      </c>
      <c r="BN11" s="2921">
        <f t="shared" si="25"/>
        <v>495</v>
      </c>
      <c r="BO11" s="2926">
        <f t="shared" si="25"/>
        <v>495</v>
      </c>
      <c r="BP11" s="2921">
        <f t="shared" si="25"/>
        <v>495</v>
      </c>
      <c r="BQ11" s="2926">
        <f t="shared" si="1"/>
        <v>240005</v>
      </c>
      <c r="BR11" s="2926">
        <f t="shared" ref="BR11:BY11" si="26">BR10-BI11</f>
        <v>25629.25</v>
      </c>
      <c r="BS11" s="2926">
        <f t="shared" si="26"/>
        <v>25629.25</v>
      </c>
      <c r="BT11" s="2926">
        <f t="shared" si="26"/>
        <v>25501.25</v>
      </c>
      <c r="BU11" s="2926">
        <f t="shared" si="26"/>
        <v>25501.25</v>
      </c>
      <c r="BV11" s="2926">
        <f t="shared" si="26"/>
        <v>40707.25</v>
      </c>
      <c r="BW11" s="2926">
        <f t="shared" si="26"/>
        <v>40707.25</v>
      </c>
      <c r="BX11" s="2926">
        <f t="shared" si="26"/>
        <v>26121.25</v>
      </c>
      <c r="BY11" s="2926">
        <f t="shared" si="26"/>
        <v>26121.25</v>
      </c>
      <c r="BZ11" s="2912"/>
      <c r="CA11" s="2927"/>
      <c r="CB11" s="2927"/>
      <c r="CC11" s="2927"/>
      <c r="CD11" s="2927"/>
      <c r="CE11" s="2927"/>
      <c r="CF11" s="2927"/>
      <c r="CG11" s="2927"/>
      <c r="CH11" s="2927"/>
      <c r="CI11" s="2927"/>
      <c r="CJ11" s="2927"/>
      <c r="CK11" s="2927"/>
      <c r="CL11" s="2927"/>
      <c r="CM11" s="2927"/>
      <c r="CN11" s="2927"/>
      <c r="CO11" s="2927"/>
      <c r="CP11" s="2927"/>
      <c r="CQ11" s="2927"/>
      <c r="CR11" s="2927"/>
      <c r="CS11" s="2927"/>
      <c r="CT11" s="2927"/>
      <c r="CU11" s="2927"/>
      <c r="CV11" s="2927"/>
      <c r="CW11" s="2927"/>
      <c r="CX11" s="2927"/>
      <c r="CY11" s="2927"/>
      <c r="CZ11" s="2927"/>
      <c r="DA11" s="2927"/>
      <c r="DB11" s="2927"/>
      <c r="DC11" s="2927"/>
      <c r="DD11" s="2927"/>
      <c r="DE11" s="2927"/>
      <c r="DF11" s="2927"/>
      <c r="DG11" s="2927"/>
      <c r="DH11" s="2927"/>
      <c r="DI11" s="2927"/>
      <c r="DJ11" s="2927"/>
      <c r="DK11" s="2927"/>
      <c r="DL11" s="2927"/>
      <c r="DM11" s="2927"/>
      <c r="DN11" s="2927"/>
      <c r="DO11" s="2927"/>
      <c r="DP11" s="2927"/>
      <c r="DQ11" s="2927"/>
      <c r="DR11" s="2927"/>
      <c r="DS11" s="2927"/>
      <c r="DT11" s="2927"/>
      <c r="DU11" s="2927"/>
      <c r="DV11" s="2927"/>
      <c r="DW11" s="2927"/>
      <c r="DX11" s="2927"/>
      <c r="DY11" s="2927"/>
      <c r="DZ11" s="2927"/>
      <c r="EA11" s="2927"/>
      <c r="EB11" s="2927"/>
      <c r="EC11" s="2927"/>
      <c r="ED11" s="2927"/>
      <c r="EE11" s="2927"/>
      <c r="EF11" s="2927"/>
      <c r="EG11" s="2927"/>
      <c r="EH11" s="2927"/>
      <c r="EI11" s="2927"/>
      <c r="EJ11" s="2927"/>
      <c r="EK11" s="2927"/>
      <c r="EL11" s="2927"/>
      <c r="EM11" s="2927"/>
      <c r="EN11" s="2927"/>
      <c r="EO11" s="2927"/>
      <c r="EP11" s="2927"/>
      <c r="EQ11" s="2927"/>
      <c r="ER11" s="2927"/>
      <c r="ES11" s="2927"/>
      <c r="ET11" s="2927"/>
      <c r="EU11" s="2927"/>
      <c r="EV11" s="2927"/>
      <c r="EW11" s="2927"/>
      <c r="EX11" s="2927"/>
      <c r="EY11" s="2927"/>
      <c r="EZ11" s="2927"/>
      <c r="FA11" s="2927"/>
      <c r="FB11" s="2927"/>
      <c r="FC11" s="2927"/>
      <c r="FD11" s="2927"/>
      <c r="FE11" s="2927"/>
      <c r="FF11" s="2927"/>
      <c r="FG11" s="2927"/>
      <c r="FH11" s="2927"/>
      <c r="FI11" s="2927"/>
      <c r="FJ11" s="2927"/>
      <c r="FK11" s="2927"/>
      <c r="FL11" s="2927"/>
      <c r="FM11" s="2927"/>
      <c r="FN11" s="2927"/>
      <c r="FO11" s="2927"/>
      <c r="FP11" s="2927"/>
      <c r="FQ11" s="2927"/>
      <c r="FR11" s="2927"/>
      <c r="FS11" s="2927"/>
      <c r="FT11" s="2927"/>
      <c r="FU11" s="2927"/>
      <c r="FV11" s="2927"/>
      <c r="FW11" s="2927"/>
      <c r="FX11" s="2927"/>
      <c r="FY11" s="2927"/>
      <c r="FZ11" s="2927"/>
      <c r="GA11" s="2927"/>
      <c r="GB11" s="2927"/>
      <c r="GC11" s="2927"/>
      <c r="GD11" s="2927"/>
      <c r="GE11" s="2927"/>
      <c r="GF11" s="2927"/>
      <c r="GG11" s="2927"/>
      <c r="GH11" s="2927"/>
      <c r="GI11" s="2927"/>
      <c r="GJ11" s="2927"/>
      <c r="GK11" s="2927"/>
      <c r="GL11" s="2927"/>
      <c r="GM11" s="2927"/>
      <c r="GN11" s="2927"/>
      <c r="GO11" s="2927"/>
      <c r="GP11" s="2927"/>
      <c r="GQ11" s="2927"/>
      <c r="GR11" s="2927"/>
      <c r="GS11" s="2927"/>
      <c r="GT11" s="2927"/>
      <c r="GU11" s="2927"/>
      <c r="GV11" s="2927"/>
      <c r="GW11" s="2927"/>
      <c r="GX11" s="2927"/>
      <c r="GY11" s="2927"/>
      <c r="GZ11" s="2927"/>
      <c r="HA11" s="2927"/>
      <c r="HB11" s="2927"/>
      <c r="HC11" s="2927"/>
      <c r="HD11" s="2927"/>
      <c r="HE11" s="2927"/>
      <c r="HF11" s="2927"/>
      <c r="HG11" s="2927"/>
      <c r="HH11" s="2927"/>
      <c r="HI11" s="2927"/>
      <c r="HJ11" s="2927"/>
      <c r="HK11" s="2927"/>
      <c r="HL11" s="2927"/>
      <c r="HM11" s="2927"/>
      <c r="HN11" s="2927"/>
      <c r="HO11" s="2927"/>
      <c r="HP11" s="2927"/>
      <c r="HQ11" s="2927"/>
      <c r="HR11" s="2927"/>
      <c r="HS11" s="2927"/>
      <c r="HT11" s="2927"/>
      <c r="HU11" s="2927"/>
      <c r="HV11" s="2927"/>
      <c r="HW11" s="2927"/>
      <c r="HX11" s="2927"/>
      <c r="HY11" s="2927"/>
      <c r="HZ11" s="2927"/>
      <c r="IA11" s="2927"/>
      <c r="IB11" s="2927"/>
      <c r="IC11" s="2927"/>
      <c r="ID11" s="2927"/>
      <c r="IE11" s="2927"/>
    </row>
    <row r="12" s="2838" customFormat="1" ht="32" customHeight="1" spans="1:239">
      <c r="A12" s="2905">
        <v>45579</v>
      </c>
      <c r="B12" s="2906" t="s">
        <v>6682</v>
      </c>
      <c r="C12" s="2907" t="s">
        <v>396</v>
      </c>
      <c r="D12" s="2908">
        <v>4500147521</v>
      </c>
      <c r="E12" s="2909" t="s">
        <v>10223</v>
      </c>
      <c r="F12" s="2908" t="s">
        <v>10224</v>
      </c>
      <c r="G12" s="2930" t="s">
        <v>10209</v>
      </c>
      <c r="H12" s="2911" t="s">
        <v>9155</v>
      </c>
      <c r="I12" s="2912">
        <v>870</v>
      </c>
      <c r="J12" s="2912">
        <v>0</v>
      </c>
      <c r="K12" s="2912">
        <v>1</v>
      </c>
      <c r="L12" s="2912">
        <f t="shared" si="0"/>
        <v>870</v>
      </c>
      <c r="M12" s="2913">
        <v>45666</v>
      </c>
      <c r="N12" s="2913">
        <v>45663</v>
      </c>
      <c r="O12" s="2914" t="s">
        <v>9291</v>
      </c>
      <c r="P12" s="2914" t="s">
        <v>10206</v>
      </c>
      <c r="Q12" s="2914" t="s">
        <v>9292</v>
      </c>
      <c r="R12" s="2915" t="s">
        <v>729</v>
      </c>
      <c r="S12" s="2915" t="s">
        <v>98</v>
      </c>
      <c r="T12" s="2915" t="s">
        <v>9293</v>
      </c>
      <c r="U12" s="2915"/>
      <c r="V12" s="2915"/>
      <c r="W12" s="2929" t="s">
        <v>10225</v>
      </c>
      <c r="X12" s="2912" t="s">
        <v>6688</v>
      </c>
      <c r="Y12" s="2917">
        <v>7.1318</v>
      </c>
      <c r="Z12" s="2918">
        <f t="shared" si="11"/>
        <v>6204.666</v>
      </c>
      <c r="AA12" s="2912" t="s">
        <v>9295</v>
      </c>
      <c r="AB12" s="2912" t="s">
        <v>10211</v>
      </c>
      <c r="AC12" s="2912" t="s">
        <v>416</v>
      </c>
      <c r="AD12" s="2919"/>
      <c r="AE12" s="2919"/>
      <c r="AF12" s="2920">
        <f t="shared" ref="AF12:AF16" si="27">I12</f>
        <v>870</v>
      </c>
      <c r="AG12" s="2919"/>
      <c r="AH12" s="2919"/>
      <c r="AI12" s="2919"/>
      <c r="AJ12" s="2921">
        <f t="shared" si="6"/>
        <v>870</v>
      </c>
      <c r="AK12" s="2921"/>
      <c r="AL12" s="2921"/>
      <c r="AM12" s="2921"/>
      <c r="AN12" s="2922"/>
      <c r="AO12" s="2923"/>
      <c r="AP12" s="2921"/>
      <c r="AQ12" s="2921">
        <f t="shared" si="15"/>
        <v>217.5</v>
      </c>
      <c r="AR12" s="2924"/>
      <c r="AS12" s="2923">
        <f t="shared" si="16"/>
        <v>217.5</v>
      </c>
      <c r="AT12" s="2921">
        <f t="shared" si="17"/>
        <v>217.5</v>
      </c>
      <c r="AU12" s="2921"/>
      <c r="AV12" s="2924">
        <f t="shared" si="22"/>
        <v>217.5</v>
      </c>
      <c r="AW12" s="2923"/>
      <c r="AX12" s="2921"/>
      <c r="AY12" s="2921"/>
      <c r="AZ12" s="2924"/>
      <c r="BA12" s="2923"/>
      <c r="BB12" s="2924"/>
      <c r="BC12" s="2925"/>
      <c r="BD12" s="2921"/>
      <c r="BE12" s="2921">
        <f t="shared" ref="BE12:BE16" si="28">I12</f>
        <v>870</v>
      </c>
      <c r="BF12" s="2921">
        <f t="shared" si="4"/>
        <v>870</v>
      </c>
      <c r="BG12" s="2921" t="s">
        <v>9164</v>
      </c>
      <c r="BH12" s="2921"/>
      <c r="BI12" s="2921">
        <f t="shared" si="8"/>
        <v>217.5</v>
      </c>
      <c r="BJ12" s="2921">
        <f t="shared" ref="BJ12:BP12" si="29">BI12</f>
        <v>217.5</v>
      </c>
      <c r="BK12" s="2921">
        <f t="shared" si="29"/>
        <v>217.5</v>
      </c>
      <c r="BL12" s="2921">
        <f t="shared" si="29"/>
        <v>217.5</v>
      </c>
      <c r="BM12" s="2926">
        <f t="shared" si="29"/>
        <v>217.5</v>
      </c>
      <c r="BN12" s="2921">
        <f t="shared" si="29"/>
        <v>217.5</v>
      </c>
      <c r="BO12" s="2926">
        <f t="shared" si="29"/>
        <v>217.5</v>
      </c>
      <c r="BP12" s="2921">
        <f t="shared" si="29"/>
        <v>217.5</v>
      </c>
      <c r="BQ12" s="2926">
        <f t="shared" si="1"/>
        <v>238895</v>
      </c>
      <c r="BR12" s="2926">
        <f t="shared" ref="BR12:BY12" si="30">BR11-BI12</f>
        <v>25411.75</v>
      </c>
      <c r="BS12" s="2926">
        <f t="shared" si="30"/>
        <v>25411.75</v>
      </c>
      <c r="BT12" s="2926">
        <f t="shared" si="30"/>
        <v>25283.75</v>
      </c>
      <c r="BU12" s="2926">
        <f t="shared" si="30"/>
        <v>25283.75</v>
      </c>
      <c r="BV12" s="2926">
        <f t="shared" si="30"/>
        <v>40489.75</v>
      </c>
      <c r="BW12" s="2926">
        <f t="shared" si="30"/>
        <v>40489.75</v>
      </c>
      <c r="BX12" s="2926">
        <f t="shared" si="30"/>
        <v>25903.75</v>
      </c>
      <c r="BY12" s="2926">
        <f t="shared" si="30"/>
        <v>25903.75</v>
      </c>
      <c r="BZ12" s="2912"/>
      <c r="CA12" s="2927"/>
      <c r="CB12" s="2927"/>
      <c r="CC12" s="2927"/>
      <c r="CD12" s="2927"/>
      <c r="CE12" s="2927"/>
      <c r="CF12" s="2927"/>
      <c r="CG12" s="2927"/>
      <c r="CH12" s="2927"/>
      <c r="CI12" s="2927"/>
      <c r="CJ12" s="2927"/>
      <c r="CK12" s="2927"/>
      <c r="CL12" s="2927"/>
      <c r="CM12" s="2927"/>
      <c r="CN12" s="2927"/>
      <c r="CO12" s="2927"/>
      <c r="CP12" s="2927"/>
      <c r="CQ12" s="2927"/>
      <c r="CR12" s="2927"/>
      <c r="CS12" s="2927"/>
      <c r="CT12" s="2927"/>
      <c r="CU12" s="2927"/>
      <c r="CV12" s="2927"/>
      <c r="CW12" s="2927"/>
      <c r="CX12" s="2927"/>
      <c r="CY12" s="2927"/>
      <c r="CZ12" s="2927"/>
      <c r="DA12" s="2927"/>
      <c r="DB12" s="2927"/>
      <c r="DC12" s="2927"/>
      <c r="DD12" s="2927"/>
      <c r="DE12" s="2927"/>
      <c r="DF12" s="2927"/>
      <c r="DG12" s="2927"/>
      <c r="DH12" s="2927"/>
      <c r="DI12" s="2927"/>
      <c r="DJ12" s="2927"/>
      <c r="DK12" s="2927"/>
      <c r="DL12" s="2927"/>
      <c r="DM12" s="2927"/>
      <c r="DN12" s="2927"/>
      <c r="DO12" s="2927"/>
      <c r="DP12" s="2927"/>
      <c r="DQ12" s="2927"/>
      <c r="DR12" s="2927"/>
      <c r="DS12" s="2927"/>
      <c r="DT12" s="2927"/>
      <c r="DU12" s="2927"/>
      <c r="DV12" s="2927"/>
      <c r="DW12" s="2927"/>
      <c r="DX12" s="2927"/>
      <c r="DY12" s="2927"/>
      <c r="DZ12" s="2927"/>
      <c r="EA12" s="2927"/>
      <c r="EB12" s="2927"/>
      <c r="EC12" s="2927"/>
      <c r="ED12" s="2927"/>
      <c r="EE12" s="2927"/>
      <c r="EF12" s="2927"/>
      <c r="EG12" s="2927"/>
      <c r="EH12" s="2927"/>
      <c r="EI12" s="2927"/>
      <c r="EJ12" s="2927"/>
      <c r="EK12" s="2927"/>
      <c r="EL12" s="2927"/>
      <c r="EM12" s="2927"/>
      <c r="EN12" s="2927"/>
      <c r="EO12" s="2927"/>
      <c r="EP12" s="2927"/>
      <c r="EQ12" s="2927"/>
      <c r="ER12" s="2927"/>
      <c r="ES12" s="2927"/>
      <c r="ET12" s="2927"/>
      <c r="EU12" s="2927"/>
      <c r="EV12" s="2927"/>
      <c r="EW12" s="2927"/>
      <c r="EX12" s="2927"/>
      <c r="EY12" s="2927"/>
      <c r="EZ12" s="2927"/>
      <c r="FA12" s="2927"/>
      <c r="FB12" s="2927"/>
      <c r="FC12" s="2927"/>
      <c r="FD12" s="2927"/>
      <c r="FE12" s="2927"/>
      <c r="FF12" s="2927"/>
      <c r="FG12" s="2927"/>
      <c r="FH12" s="2927"/>
      <c r="FI12" s="2927"/>
      <c r="FJ12" s="2927"/>
      <c r="FK12" s="2927"/>
      <c r="FL12" s="2927"/>
      <c r="FM12" s="2927"/>
      <c r="FN12" s="2927"/>
      <c r="FO12" s="2927"/>
      <c r="FP12" s="2927"/>
      <c r="FQ12" s="2927"/>
      <c r="FR12" s="2927"/>
      <c r="FS12" s="2927"/>
      <c r="FT12" s="2927"/>
      <c r="FU12" s="2927"/>
      <c r="FV12" s="2927"/>
      <c r="FW12" s="2927"/>
      <c r="FX12" s="2927"/>
      <c r="FY12" s="2927"/>
      <c r="FZ12" s="2927"/>
      <c r="GA12" s="2927"/>
      <c r="GB12" s="2927"/>
      <c r="GC12" s="2927"/>
      <c r="GD12" s="2927"/>
      <c r="GE12" s="2927"/>
      <c r="GF12" s="2927"/>
      <c r="GG12" s="2927"/>
      <c r="GH12" s="2927"/>
      <c r="GI12" s="2927"/>
      <c r="GJ12" s="2927"/>
      <c r="GK12" s="2927"/>
      <c r="GL12" s="2927"/>
      <c r="GM12" s="2927"/>
      <c r="GN12" s="2927"/>
      <c r="GO12" s="2927"/>
      <c r="GP12" s="2927"/>
      <c r="GQ12" s="2927"/>
      <c r="GR12" s="2927"/>
      <c r="GS12" s="2927"/>
      <c r="GT12" s="2927"/>
      <c r="GU12" s="2927"/>
      <c r="GV12" s="2927"/>
      <c r="GW12" s="2927"/>
      <c r="GX12" s="2927"/>
      <c r="GY12" s="2927"/>
      <c r="GZ12" s="2927"/>
      <c r="HA12" s="2927"/>
      <c r="HB12" s="2927"/>
      <c r="HC12" s="2927"/>
      <c r="HD12" s="2927"/>
      <c r="HE12" s="2927"/>
      <c r="HF12" s="2927"/>
      <c r="HG12" s="2927"/>
      <c r="HH12" s="2927"/>
      <c r="HI12" s="2927"/>
      <c r="HJ12" s="2927"/>
      <c r="HK12" s="2927"/>
      <c r="HL12" s="2927"/>
      <c r="HM12" s="2927"/>
      <c r="HN12" s="2927"/>
      <c r="HO12" s="2927"/>
      <c r="HP12" s="2927"/>
      <c r="HQ12" s="2927"/>
      <c r="HR12" s="2927"/>
      <c r="HS12" s="2927"/>
      <c r="HT12" s="2927"/>
      <c r="HU12" s="2927"/>
      <c r="HV12" s="2927"/>
      <c r="HW12" s="2927"/>
      <c r="HX12" s="2927"/>
      <c r="HY12" s="2927"/>
      <c r="HZ12" s="2927"/>
      <c r="IA12" s="2927"/>
      <c r="IB12" s="2927"/>
      <c r="IC12" s="2927"/>
      <c r="ID12" s="2927"/>
      <c r="IE12" s="2927"/>
    </row>
    <row r="13" s="2838" customFormat="1" ht="32" customHeight="1" spans="1:239">
      <c r="A13" s="2905">
        <v>45579</v>
      </c>
      <c r="B13" s="2906" t="s">
        <v>6682</v>
      </c>
      <c r="C13" s="2907" t="s">
        <v>396</v>
      </c>
      <c r="D13" s="2908">
        <v>4500147521</v>
      </c>
      <c r="E13" s="2909" t="s">
        <v>10226</v>
      </c>
      <c r="F13" s="2908" t="s">
        <v>10227</v>
      </c>
      <c r="G13" s="2930" t="s">
        <v>10209</v>
      </c>
      <c r="H13" s="2911" t="s">
        <v>9155</v>
      </c>
      <c r="I13" s="2912">
        <v>522</v>
      </c>
      <c r="J13" s="2912">
        <v>0</v>
      </c>
      <c r="K13" s="2912">
        <v>1</v>
      </c>
      <c r="L13" s="2912">
        <f t="shared" si="0"/>
        <v>522</v>
      </c>
      <c r="M13" s="2913">
        <v>45672</v>
      </c>
      <c r="N13" s="2913">
        <v>45668</v>
      </c>
      <c r="O13" s="2914" t="s">
        <v>9302</v>
      </c>
      <c r="P13" s="2914" t="s">
        <v>10206</v>
      </c>
      <c r="Q13" s="2914" t="s">
        <v>147</v>
      </c>
      <c r="R13" s="2915" t="s">
        <v>729</v>
      </c>
      <c r="S13" s="2915" t="s">
        <v>98</v>
      </c>
      <c r="T13" s="2915" t="s">
        <v>9293</v>
      </c>
      <c r="U13" s="2915"/>
      <c r="V13" s="2915"/>
      <c r="W13" s="2929" t="s">
        <v>10225</v>
      </c>
      <c r="X13" s="2912" t="s">
        <v>6688</v>
      </c>
      <c r="Y13" s="2917">
        <v>7.1318</v>
      </c>
      <c r="Z13" s="2918">
        <f t="shared" si="11"/>
        <v>3722.7996</v>
      </c>
      <c r="AA13" s="2912" t="s">
        <v>9303</v>
      </c>
      <c r="AB13" s="2912" t="s">
        <v>10211</v>
      </c>
      <c r="AC13" s="2912" t="s">
        <v>416</v>
      </c>
      <c r="AD13" s="2919"/>
      <c r="AE13" s="2919"/>
      <c r="AF13" s="2920">
        <f t="shared" si="27"/>
        <v>522</v>
      </c>
      <c r="AG13" s="2919"/>
      <c r="AH13" s="2919"/>
      <c r="AI13" s="2919"/>
      <c r="AJ13" s="2921">
        <f t="shared" si="6"/>
        <v>522</v>
      </c>
      <c r="AK13" s="2921"/>
      <c r="AL13" s="2921"/>
      <c r="AM13" s="2921"/>
      <c r="AN13" s="2922"/>
      <c r="AO13" s="2923"/>
      <c r="AP13" s="2921"/>
      <c r="AQ13" s="2921">
        <f t="shared" si="15"/>
        <v>130.5</v>
      </c>
      <c r="AR13" s="2924"/>
      <c r="AS13" s="2923">
        <f t="shared" si="16"/>
        <v>130.5</v>
      </c>
      <c r="AT13" s="2921">
        <f t="shared" si="17"/>
        <v>130.5</v>
      </c>
      <c r="AU13" s="2921"/>
      <c r="AV13" s="2924">
        <f t="shared" si="22"/>
        <v>130.5</v>
      </c>
      <c r="AW13" s="2923"/>
      <c r="AX13" s="2921"/>
      <c r="AY13" s="2921"/>
      <c r="AZ13" s="2924"/>
      <c r="BA13" s="2923"/>
      <c r="BB13" s="2924"/>
      <c r="BC13" s="2925"/>
      <c r="BD13" s="2921"/>
      <c r="BE13" s="2921">
        <f t="shared" si="28"/>
        <v>522</v>
      </c>
      <c r="BF13" s="2921">
        <f t="shared" si="4"/>
        <v>522</v>
      </c>
      <c r="BG13" s="2921" t="s">
        <v>9164</v>
      </c>
      <c r="BH13" s="2921"/>
      <c r="BI13" s="2921">
        <f t="shared" si="8"/>
        <v>130.5</v>
      </c>
      <c r="BJ13" s="2921">
        <f t="shared" ref="BJ13:BP13" si="31">BI13</f>
        <v>130.5</v>
      </c>
      <c r="BK13" s="2921">
        <f t="shared" si="31"/>
        <v>130.5</v>
      </c>
      <c r="BL13" s="2921">
        <f t="shared" si="31"/>
        <v>130.5</v>
      </c>
      <c r="BM13" s="2926">
        <f t="shared" si="31"/>
        <v>130.5</v>
      </c>
      <c r="BN13" s="2921">
        <f t="shared" si="31"/>
        <v>130.5</v>
      </c>
      <c r="BO13" s="2926">
        <f t="shared" si="31"/>
        <v>130.5</v>
      </c>
      <c r="BP13" s="2921">
        <f t="shared" si="31"/>
        <v>130.5</v>
      </c>
      <c r="BQ13" s="2926">
        <f t="shared" si="1"/>
        <v>238547</v>
      </c>
      <c r="BR13" s="2926">
        <f t="shared" ref="BR13:BY13" si="32">BR12-BI13</f>
        <v>25281.25</v>
      </c>
      <c r="BS13" s="2926">
        <f t="shared" si="32"/>
        <v>25281.25</v>
      </c>
      <c r="BT13" s="2926">
        <f t="shared" si="32"/>
        <v>25153.25</v>
      </c>
      <c r="BU13" s="2926">
        <f t="shared" si="32"/>
        <v>25153.25</v>
      </c>
      <c r="BV13" s="2926">
        <f t="shared" si="32"/>
        <v>40359.25</v>
      </c>
      <c r="BW13" s="2926">
        <f t="shared" si="32"/>
        <v>40359.25</v>
      </c>
      <c r="BX13" s="2926">
        <f t="shared" si="32"/>
        <v>25773.25</v>
      </c>
      <c r="BY13" s="2926">
        <f t="shared" si="32"/>
        <v>25773.25</v>
      </c>
      <c r="BZ13" s="2912"/>
      <c r="CA13" s="2927"/>
      <c r="CB13" s="2927"/>
      <c r="CC13" s="2927"/>
      <c r="CD13" s="2927"/>
      <c r="CE13" s="2927"/>
      <c r="CF13" s="2927"/>
      <c r="CG13" s="2927"/>
      <c r="CH13" s="2927"/>
      <c r="CI13" s="2927"/>
      <c r="CJ13" s="2927"/>
      <c r="CK13" s="2927"/>
      <c r="CL13" s="2927"/>
      <c r="CM13" s="2927"/>
      <c r="CN13" s="2927"/>
      <c r="CO13" s="2927"/>
      <c r="CP13" s="2927"/>
      <c r="CQ13" s="2927"/>
      <c r="CR13" s="2927"/>
      <c r="CS13" s="2927"/>
      <c r="CT13" s="2927"/>
      <c r="CU13" s="2927"/>
      <c r="CV13" s="2927"/>
      <c r="CW13" s="2927"/>
      <c r="CX13" s="2927"/>
      <c r="CY13" s="2927"/>
      <c r="CZ13" s="2927"/>
      <c r="DA13" s="2927"/>
      <c r="DB13" s="2927"/>
      <c r="DC13" s="2927"/>
      <c r="DD13" s="2927"/>
      <c r="DE13" s="2927"/>
      <c r="DF13" s="2927"/>
      <c r="DG13" s="2927"/>
      <c r="DH13" s="2927"/>
      <c r="DI13" s="2927"/>
      <c r="DJ13" s="2927"/>
      <c r="DK13" s="2927"/>
      <c r="DL13" s="2927"/>
      <c r="DM13" s="2927"/>
      <c r="DN13" s="2927"/>
      <c r="DO13" s="2927"/>
      <c r="DP13" s="2927"/>
      <c r="DQ13" s="2927"/>
      <c r="DR13" s="2927"/>
      <c r="DS13" s="2927"/>
      <c r="DT13" s="2927"/>
      <c r="DU13" s="2927"/>
      <c r="DV13" s="2927"/>
      <c r="DW13" s="2927"/>
      <c r="DX13" s="2927"/>
      <c r="DY13" s="2927"/>
      <c r="DZ13" s="2927"/>
      <c r="EA13" s="2927"/>
      <c r="EB13" s="2927"/>
      <c r="EC13" s="2927"/>
      <c r="ED13" s="2927"/>
      <c r="EE13" s="2927"/>
      <c r="EF13" s="2927"/>
      <c r="EG13" s="2927"/>
      <c r="EH13" s="2927"/>
      <c r="EI13" s="2927"/>
      <c r="EJ13" s="2927"/>
      <c r="EK13" s="2927"/>
      <c r="EL13" s="2927"/>
      <c r="EM13" s="2927"/>
      <c r="EN13" s="2927"/>
      <c r="EO13" s="2927"/>
      <c r="EP13" s="2927"/>
      <c r="EQ13" s="2927"/>
      <c r="ER13" s="2927"/>
      <c r="ES13" s="2927"/>
      <c r="ET13" s="2927"/>
      <c r="EU13" s="2927"/>
      <c r="EV13" s="2927"/>
      <c r="EW13" s="2927"/>
      <c r="EX13" s="2927"/>
      <c r="EY13" s="2927"/>
      <c r="EZ13" s="2927"/>
      <c r="FA13" s="2927"/>
      <c r="FB13" s="2927"/>
      <c r="FC13" s="2927"/>
      <c r="FD13" s="2927"/>
      <c r="FE13" s="2927"/>
      <c r="FF13" s="2927"/>
      <c r="FG13" s="2927"/>
      <c r="FH13" s="2927"/>
      <c r="FI13" s="2927"/>
      <c r="FJ13" s="2927"/>
      <c r="FK13" s="2927"/>
      <c r="FL13" s="2927"/>
      <c r="FM13" s="2927"/>
      <c r="FN13" s="2927"/>
      <c r="FO13" s="2927"/>
      <c r="FP13" s="2927"/>
      <c r="FQ13" s="2927"/>
      <c r="FR13" s="2927"/>
      <c r="FS13" s="2927"/>
      <c r="FT13" s="2927"/>
      <c r="FU13" s="2927"/>
      <c r="FV13" s="2927"/>
      <c r="FW13" s="2927"/>
      <c r="FX13" s="2927"/>
      <c r="FY13" s="2927"/>
      <c r="FZ13" s="2927"/>
      <c r="GA13" s="2927"/>
      <c r="GB13" s="2927"/>
      <c r="GC13" s="2927"/>
      <c r="GD13" s="2927"/>
      <c r="GE13" s="2927"/>
      <c r="GF13" s="2927"/>
      <c r="GG13" s="2927"/>
      <c r="GH13" s="2927"/>
      <c r="GI13" s="2927"/>
      <c r="GJ13" s="2927"/>
      <c r="GK13" s="2927"/>
      <c r="GL13" s="2927"/>
      <c r="GM13" s="2927"/>
      <c r="GN13" s="2927"/>
      <c r="GO13" s="2927"/>
      <c r="GP13" s="2927"/>
      <c r="GQ13" s="2927"/>
      <c r="GR13" s="2927"/>
      <c r="GS13" s="2927"/>
      <c r="GT13" s="2927"/>
      <c r="GU13" s="2927"/>
      <c r="GV13" s="2927"/>
      <c r="GW13" s="2927"/>
      <c r="GX13" s="2927"/>
      <c r="GY13" s="2927"/>
      <c r="GZ13" s="2927"/>
      <c r="HA13" s="2927"/>
      <c r="HB13" s="2927"/>
      <c r="HC13" s="2927"/>
      <c r="HD13" s="2927"/>
      <c r="HE13" s="2927"/>
      <c r="HF13" s="2927"/>
      <c r="HG13" s="2927"/>
      <c r="HH13" s="2927"/>
      <c r="HI13" s="2927"/>
      <c r="HJ13" s="2927"/>
      <c r="HK13" s="2927"/>
      <c r="HL13" s="2927"/>
      <c r="HM13" s="2927"/>
      <c r="HN13" s="2927"/>
      <c r="HO13" s="2927"/>
      <c r="HP13" s="2927"/>
      <c r="HQ13" s="2927"/>
      <c r="HR13" s="2927"/>
      <c r="HS13" s="2927"/>
      <c r="HT13" s="2927"/>
      <c r="HU13" s="2927"/>
      <c r="HV13" s="2927"/>
      <c r="HW13" s="2927"/>
      <c r="HX13" s="2927"/>
      <c r="HY13" s="2927"/>
      <c r="HZ13" s="2927"/>
      <c r="IA13" s="2927"/>
      <c r="IB13" s="2927"/>
      <c r="IC13" s="2927"/>
      <c r="ID13" s="2927"/>
      <c r="IE13" s="2927"/>
    </row>
    <row r="14" s="2838" customFormat="1" ht="32" customHeight="1" spans="1:239">
      <c r="A14" s="2905">
        <v>45636</v>
      </c>
      <c r="B14" s="2906"/>
      <c r="C14" s="2907"/>
      <c r="D14" s="2908" t="s">
        <v>9276</v>
      </c>
      <c r="E14" s="2909"/>
      <c r="F14" s="2908"/>
      <c r="G14" s="2930" t="s">
        <v>10209</v>
      </c>
      <c r="H14" s="2911" t="s">
        <v>9155</v>
      </c>
      <c r="I14" s="2912">
        <v>2</v>
      </c>
      <c r="J14" s="2912">
        <v>0</v>
      </c>
      <c r="K14" s="2912">
        <v>1</v>
      </c>
      <c r="L14" s="2912">
        <f t="shared" si="0"/>
        <v>2</v>
      </c>
      <c r="M14" s="2913">
        <v>45649</v>
      </c>
      <c r="N14" s="2913">
        <v>45645</v>
      </c>
      <c r="O14" s="2914"/>
      <c r="P14" s="2914" t="s">
        <v>9277</v>
      </c>
      <c r="Q14" s="2914"/>
      <c r="R14" s="2915" t="s">
        <v>335</v>
      </c>
      <c r="S14" s="2915"/>
      <c r="T14" s="2915" t="s">
        <v>9278</v>
      </c>
      <c r="U14" s="2915"/>
      <c r="V14" s="2915"/>
      <c r="W14" s="2929" t="s">
        <v>10228</v>
      </c>
      <c r="X14" s="2912"/>
      <c r="Y14" s="2917"/>
      <c r="Z14" s="2918"/>
      <c r="AA14" s="2912"/>
      <c r="AB14" s="2912" t="s">
        <v>326</v>
      </c>
      <c r="AC14" s="2912" t="s">
        <v>326</v>
      </c>
      <c r="AD14" s="2919"/>
      <c r="AE14" s="2919"/>
      <c r="AF14" s="2920"/>
      <c r="AG14" s="2919"/>
      <c r="AH14" s="2919"/>
      <c r="AI14" s="2919"/>
      <c r="AJ14" s="2921"/>
      <c r="AK14" s="2921"/>
      <c r="AL14" s="2921"/>
      <c r="AM14" s="2921"/>
      <c r="AN14" s="2922"/>
      <c r="AO14" s="2923"/>
      <c r="AP14" s="2921"/>
      <c r="AQ14" s="2921"/>
      <c r="AR14" s="2924"/>
      <c r="AS14" s="2923"/>
      <c r="AT14" s="2921"/>
      <c r="AU14" s="2921"/>
      <c r="AV14" s="2924"/>
      <c r="AW14" s="2923"/>
      <c r="AX14" s="2921"/>
      <c r="AY14" s="2921"/>
      <c r="AZ14" s="2924"/>
      <c r="BA14" s="2923"/>
      <c r="BB14" s="2924"/>
      <c r="BC14" s="2925"/>
      <c r="BD14" s="2921"/>
      <c r="BE14" s="2921"/>
      <c r="BF14" s="2921">
        <f t="shared" si="4"/>
        <v>2</v>
      </c>
      <c r="BG14" s="2921" t="s">
        <v>9164</v>
      </c>
      <c r="BH14" s="2921"/>
      <c r="BI14" s="2921"/>
      <c r="BJ14" s="2921"/>
      <c r="BK14" s="2921"/>
      <c r="BL14" s="2921"/>
      <c r="BM14" s="2926"/>
      <c r="BN14" s="2921"/>
      <c r="BO14" s="2926"/>
      <c r="BP14" s="2921"/>
      <c r="BQ14" s="2926">
        <f t="shared" si="1"/>
        <v>238025</v>
      </c>
      <c r="BR14" s="2926">
        <f t="shared" ref="BR14:BY14" si="33">BR13-BI14</f>
        <v>25281.25</v>
      </c>
      <c r="BS14" s="2926">
        <f t="shared" si="33"/>
        <v>25281.25</v>
      </c>
      <c r="BT14" s="2926">
        <f t="shared" si="33"/>
        <v>25153.25</v>
      </c>
      <c r="BU14" s="2926">
        <f t="shared" si="33"/>
        <v>25153.25</v>
      </c>
      <c r="BV14" s="2926">
        <f t="shared" si="33"/>
        <v>40359.25</v>
      </c>
      <c r="BW14" s="2926">
        <f t="shared" si="33"/>
        <v>40359.25</v>
      </c>
      <c r="BX14" s="2926">
        <f t="shared" si="33"/>
        <v>25773.25</v>
      </c>
      <c r="BY14" s="2926">
        <f t="shared" si="33"/>
        <v>25773.25</v>
      </c>
      <c r="BZ14" s="2912"/>
      <c r="CA14" s="2927"/>
      <c r="CB14" s="2927"/>
      <c r="CC14" s="2927"/>
      <c r="CD14" s="2927"/>
      <c r="CE14" s="2927"/>
      <c r="CF14" s="2927"/>
      <c r="CG14" s="2927"/>
      <c r="CH14" s="2927"/>
      <c r="CI14" s="2927"/>
      <c r="CJ14" s="2927"/>
      <c r="CK14" s="2927"/>
      <c r="CL14" s="2927"/>
      <c r="CM14" s="2927"/>
      <c r="CN14" s="2927"/>
      <c r="CO14" s="2927"/>
      <c r="CP14" s="2927"/>
      <c r="CQ14" s="2927"/>
      <c r="CR14" s="2927"/>
      <c r="CS14" s="2927"/>
      <c r="CT14" s="2927"/>
      <c r="CU14" s="2927"/>
      <c r="CV14" s="2927"/>
      <c r="CW14" s="2927"/>
      <c r="CX14" s="2927"/>
      <c r="CY14" s="2927"/>
      <c r="CZ14" s="2927"/>
      <c r="DA14" s="2927"/>
      <c r="DB14" s="2927"/>
      <c r="DC14" s="2927"/>
      <c r="DD14" s="2927"/>
      <c r="DE14" s="2927"/>
      <c r="DF14" s="2927"/>
      <c r="DG14" s="2927"/>
      <c r="DH14" s="2927"/>
      <c r="DI14" s="2927"/>
      <c r="DJ14" s="2927"/>
      <c r="DK14" s="2927"/>
      <c r="DL14" s="2927"/>
      <c r="DM14" s="2927"/>
      <c r="DN14" s="2927"/>
      <c r="DO14" s="2927"/>
      <c r="DP14" s="2927"/>
      <c r="DQ14" s="2927"/>
      <c r="DR14" s="2927"/>
      <c r="DS14" s="2927"/>
      <c r="DT14" s="2927"/>
      <c r="DU14" s="2927"/>
      <c r="DV14" s="2927"/>
      <c r="DW14" s="2927"/>
      <c r="DX14" s="2927"/>
      <c r="DY14" s="2927"/>
      <c r="DZ14" s="2927"/>
      <c r="EA14" s="2927"/>
      <c r="EB14" s="2927"/>
      <c r="EC14" s="2927"/>
      <c r="ED14" s="2927"/>
      <c r="EE14" s="2927"/>
      <c r="EF14" s="2927"/>
      <c r="EG14" s="2927"/>
      <c r="EH14" s="2927"/>
      <c r="EI14" s="2927"/>
      <c r="EJ14" s="2927"/>
      <c r="EK14" s="2927"/>
      <c r="EL14" s="2927"/>
      <c r="EM14" s="2927"/>
      <c r="EN14" s="2927"/>
      <c r="EO14" s="2927"/>
      <c r="EP14" s="2927"/>
      <c r="EQ14" s="2927"/>
      <c r="ER14" s="2927"/>
      <c r="ES14" s="2927"/>
      <c r="ET14" s="2927"/>
      <c r="EU14" s="2927"/>
      <c r="EV14" s="2927"/>
      <c r="EW14" s="2927"/>
      <c r="EX14" s="2927"/>
      <c r="EY14" s="2927"/>
      <c r="EZ14" s="2927"/>
      <c r="FA14" s="2927"/>
      <c r="FB14" s="2927"/>
      <c r="FC14" s="2927"/>
      <c r="FD14" s="2927"/>
      <c r="FE14" s="2927"/>
      <c r="FF14" s="2927"/>
      <c r="FG14" s="2927"/>
      <c r="FH14" s="2927"/>
      <c r="FI14" s="2927"/>
      <c r="FJ14" s="2927"/>
      <c r="FK14" s="2927"/>
      <c r="FL14" s="2927"/>
      <c r="FM14" s="2927"/>
      <c r="FN14" s="2927"/>
      <c r="FO14" s="2927"/>
      <c r="FP14" s="2927"/>
      <c r="FQ14" s="2927"/>
      <c r="FR14" s="2927"/>
      <c r="FS14" s="2927"/>
      <c r="FT14" s="2927"/>
      <c r="FU14" s="2927"/>
      <c r="FV14" s="2927"/>
      <c r="FW14" s="2927"/>
      <c r="FX14" s="2927"/>
      <c r="FY14" s="2927"/>
      <c r="FZ14" s="2927"/>
      <c r="GA14" s="2927"/>
      <c r="GB14" s="2927"/>
      <c r="GC14" s="2927"/>
      <c r="GD14" s="2927"/>
      <c r="GE14" s="2927"/>
      <c r="GF14" s="2927"/>
      <c r="GG14" s="2927"/>
      <c r="GH14" s="2927"/>
      <c r="GI14" s="2927"/>
      <c r="GJ14" s="2927"/>
      <c r="GK14" s="2927"/>
      <c r="GL14" s="2927"/>
      <c r="GM14" s="2927"/>
      <c r="GN14" s="2927"/>
      <c r="GO14" s="2927"/>
      <c r="GP14" s="2927"/>
      <c r="GQ14" s="2927"/>
      <c r="GR14" s="2927"/>
      <c r="GS14" s="2927"/>
      <c r="GT14" s="2927"/>
      <c r="GU14" s="2927"/>
      <c r="GV14" s="2927"/>
      <c r="GW14" s="2927"/>
      <c r="GX14" s="2927"/>
      <c r="GY14" s="2927"/>
      <c r="GZ14" s="2927"/>
      <c r="HA14" s="2927"/>
      <c r="HB14" s="2927"/>
      <c r="HC14" s="2927"/>
      <c r="HD14" s="2927"/>
      <c r="HE14" s="2927"/>
      <c r="HF14" s="2927"/>
      <c r="HG14" s="2927"/>
      <c r="HH14" s="2927"/>
      <c r="HI14" s="2927"/>
      <c r="HJ14" s="2927"/>
      <c r="HK14" s="2927"/>
      <c r="HL14" s="2927"/>
      <c r="HM14" s="2927"/>
      <c r="HN14" s="2927"/>
      <c r="HO14" s="2927"/>
      <c r="HP14" s="2927"/>
      <c r="HQ14" s="2927"/>
      <c r="HR14" s="2927"/>
      <c r="HS14" s="2927"/>
      <c r="HT14" s="2927"/>
      <c r="HU14" s="2927"/>
      <c r="HV14" s="2927"/>
      <c r="HW14" s="2927"/>
      <c r="HX14" s="2927"/>
      <c r="HY14" s="2927"/>
      <c r="HZ14" s="2927"/>
      <c r="IA14" s="2927"/>
      <c r="IB14" s="2927"/>
      <c r="IC14" s="2927"/>
      <c r="ID14" s="2927"/>
      <c r="IE14" s="2927"/>
    </row>
    <row r="15" s="2838" customFormat="1" ht="32" customHeight="1" spans="1:239">
      <c r="A15" s="2905">
        <v>45638</v>
      </c>
      <c r="B15" s="2906" t="s">
        <v>2804</v>
      </c>
      <c r="C15" s="2907" t="s">
        <v>91</v>
      </c>
      <c r="D15" s="2908">
        <v>4500151779</v>
      </c>
      <c r="E15" s="2929">
        <v>31200</v>
      </c>
      <c r="F15" s="2908" t="s">
        <v>10229</v>
      </c>
      <c r="G15" s="2930" t="s">
        <v>10199</v>
      </c>
      <c r="H15" s="2911" t="s">
        <v>9155</v>
      </c>
      <c r="I15" s="2912">
        <v>336</v>
      </c>
      <c r="J15" s="2912">
        <v>0</v>
      </c>
      <c r="K15" s="2912">
        <v>4</v>
      </c>
      <c r="L15" s="2912">
        <f t="shared" si="0"/>
        <v>84</v>
      </c>
      <c r="M15" s="2913">
        <v>45666</v>
      </c>
      <c r="N15" s="2913">
        <v>45663</v>
      </c>
      <c r="O15" s="2914"/>
      <c r="P15" s="2914" t="s">
        <v>10206</v>
      </c>
      <c r="Q15" s="2914" t="s">
        <v>427</v>
      </c>
      <c r="R15" s="2915" t="s">
        <v>2807</v>
      </c>
      <c r="S15" s="2915"/>
      <c r="T15" s="2915" t="s">
        <v>98</v>
      </c>
      <c r="U15" s="2915"/>
      <c r="V15" s="2915"/>
      <c r="W15" s="2929" t="s">
        <v>10230</v>
      </c>
      <c r="X15" s="2912" t="s">
        <v>2808</v>
      </c>
      <c r="Y15" s="2917">
        <v>7.3277</v>
      </c>
      <c r="Z15" s="2918">
        <f t="shared" ref="Z15:Z20" si="34">Y15*I15</f>
        <v>2462.1072</v>
      </c>
      <c r="AA15" s="2912" t="s">
        <v>2809</v>
      </c>
      <c r="AB15" s="2906" t="s">
        <v>10199</v>
      </c>
      <c r="AC15" s="2912" t="s">
        <v>416</v>
      </c>
      <c r="AD15" s="2919">
        <f t="shared" ref="AD15:AD24" si="35">I15</f>
        <v>336</v>
      </c>
      <c r="AE15" s="2919"/>
      <c r="AF15" s="2920"/>
      <c r="AG15" s="2919"/>
      <c r="AH15" s="2919"/>
      <c r="AI15" s="2919"/>
      <c r="AJ15" s="2921">
        <f t="shared" ref="AJ15:AJ27" si="36">I15</f>
        <v>336</v>
      </c>
      <c r="AK15" s="2921"/>
      <c r="AL15" s="2921"/>
      <c r="AM15" s="2921"/>
      <c r="AN15" s="2922"/>
      <c r="AO15" s="2923"/>
      <c r="AP15" s="2921"/>
      <c r="AQ15" s="2921">
        <f t="shared" ref="AQ15:AQ28" si="37">I15/4</f>
        <v>84</v>
      </c>
      <c r="AR15" s="2924"/>
      <c r="AS15" s="2923">
        <f t="shared" ref="AS15:AS28" si="38">I15/4</f>
        <v>84</v>
      </c>
      <c r="AT15" s="2921">
        <f t="shared" ref="AT15:AT27" si="39">AS15</f>
        <v>84</v>
      </c>
      <c r="AU15" s="2921"/>
      <c r="AV15" s="2924">
        <f t="shared" ref="AV15:AV27" si="40">AS15</f>
        <v>84</v>
      </c>
      <c r="AW15" s="2923"/>
      <c r="AX15" s="2921"/>
      <c r="AY15" s="2921"/>
      <c r="AZ15" s="2924"/>
      <c r="BA15" s="2923"/>
      <c r="BB15" s="2924"/>
      <c r="BC15" s="2925"/>
      <c r="BD15" s="2921">
        <f t="shared" ref="BD15:BD24" si="41">I15</f>
        <v>336</v>
      </c>
      <c r="BE15" s="2921"/>
      <c r="BF15" s="2921">
        <f t="shared" si="4"/>
        <v>336</v>
      </c>
      <c r="BG15" s="2921" t="s">
        <v>9164</v>
      </c>
      <c r="BH15" s="2921"/>
      <c r="BI15" s="2921">
        <f t="shared" ref="BI15:BI28" si="42">I15/4</f>
        <v>84</v>
      </c>
      <c r="BJ15" s="2921">
        <f t="shared" ref="BJ15:BP15" si="43">BI15</f>
        <v>84</v>
      </c>
      <c r="BK15" s="2921">
        <f t="shared" si="43"/>
        <v>84</v>
      </c>
      <c r="BL15" s="2921">
        <f t="shared" si="43"/>
        <v>84</v>
      </c>
      <c r="BM15" s="2926">
        <f t="shared" si="43"/>
        <v>84</v>
      </c>
      <c r="BN15" s="2921">
        <f t="shared" si="43"/>
        <v>84</v>
      </c>
      <c r="BO15" s="2926">
        <f t="shared" si="43"/>
        <v>84</v>
      </c>
      <c r="BP15" s="2921">
        <f t="shared" si="43"/>
        <v>84</v>
      </c>
      <c r="BQ15" s="2926">
        <f t="shared" si="1"/>
        <v>238361</v>
      </c>
      <c r="BR15" s="2926">
        <f t="shared" ref="BR15:BY15" si="44">BR14-BI15</f>
        <v>25197.25</v>
      </c>
      <c r="BS15" s="2926">
        <f t="shared" si="44"/>
        <v>25197.25</v>
      </c>
      <c r="BT15" s="2926">
        <f t="shared" si="44"/>
        <v>25069.25</v>
      </c>
      <c r="BU15" s="2926">
        <f t="shared" si="44"/>
        <v>25069.25</v>
      </c>
      <c r="BV15" s="2926">
        <f t="shared" si="44"/>
        <v>40275.25</v>
      </c>
      <c r="BW15" s="2926">
        <f t="shared" si="44"/>
        <v>40275.25</v>
      </c>
      <c r="BX15" s="2926">
        <f t="shared" si="44"/>
        <v>25689.25</v>
      </c>
      <c r="BY15" s="2926">
        <f t="shared" si="44"/>
        <v>25689.25</v>
      </c>
      <c r="BZ15" s="2912"/>
      <c r="CA15" s="2927"/>
      <c r="CB15" s="2927"/>
      <c r="CC15" s="2927"/>
      <c r="CD15" s="2927"/>
      <c r="CE15" s="2927"/>
      <c r="CF15" s="2927"/>
      <c r="CG15" s="2927"/>
      <c r="CH15" s="2927"/>
      <c r="CI15" s="2927"/>
      <c r="CJ15" s="2927"/>
      <c r="CK15" s="2927"/>
      <c r="CL15" s="2927"/>
      <c r="CM15" s="2927"/>
      <c r="CN15" s="2927"/>
      <c r="CO15" s="2927"/>
      <c r="CP15" s="2927"/>
      <c r="CQ15" s="2927"/>
      <c r="CR15" s="2927"/>
      <c r="CS15" s="2927"/>
      <c r="CT15" s="2927"/>
      <c r="CU15" s="2927"/>
      <c r="CV15" s="2927"/>
      <c r="CW15" s="2927"/>
      <c r="CX15" s="2927"/>
      <c r="CY15" s="2927"/>
      <c r="CZ15" s="2927"/>
      <c r="DA15" s="2927"/>
      <c r="DB15" s="2927"/>
      <c r="DC15" s="2927"/>
      <c r="DD15" s="2927"/>
      <c r="DE15" s="2927"/>
      <c r="DF15" s="2927"/>
      <c r="DG15" s="2927"/>
      <c r="DH15" s="2927"/>
      <c r="DI15" s="2927"/>
      <c r="DJ15" s="2927"/>
      <c r="DK15" s="2927"/>
      <c r="DL15" s="2927"/>
      <c r="DM15" s="2927"/>
      <c r="DN15" s="2927"/>
      <c r="DO15" s="2927"/>
      <c r="DP15" s="2927"/>
      <c r="DQ15" s="2927"/>
      <c r="DR15" s="2927"/>
      <c r="DS15" s="2927"/>
      <c r="DT15" s="2927"/>
      <c r="DU15" s="2927"/>
      <c r="DV15" s="2927"/>
      <c r="DW15" s="2927"/>
      <c r="DX15" s="2927"/>
      <c r="DY15" s="2927"/>
      <c r="DZ15" s="2927"/>
      <c r="EA15" s="2927"/>
      <c r="EB15" s="2927"/>
      <c r="EC15" s="2927"/>
      <c r="ED15" s="2927"/>
      <c r="EE15" s="2927"/>
      <c r="EF15" s="2927"/>
      <c r="EG15" s="2927"/>
      <c r="EH15" s="2927"/>
      <c r="EI15" s="2927"/>
      <c r="EJ15" s="2927"/>
      <c r="EK15" s="2927"/>
      <c r="EL15" s="2927"/>
      <c r="EM15" s="2927"/>
      <c r="EN15" s="2927"/>
      <c r="EO15" s="2927"/>
      <c r="EP15" s="2927"/>
      <c r="EQ15" s="2927"/>
      <c r="ER15" s="2927"/>
      <c r="ES15" s="2927"/>
      <c r="ET15" s="2927"/>
      <c r="EU15" s="2927"/>
      <c r="EV15" s="2927"/>
      <c r="EW15" s="2927"/>
      <c r="EX15" s="2927"/>
      <c r="EY15" s="2927"/>
      <c r="EZ15" s="2927"/>
      <c r="FA15" s="2927"/>
      <c r="FB15" s="2927"/>
      <c r="FC15" s="2927"/>
      <c r="FD15" s="2927"/>
      <c r="FE15" s="2927"/>
      <c r="FF15" s="2927"/>
      <c r="FG15" s="2927"/>
      <c r="FH15" s="2927"/>
      <c r="FI15" s="2927"/>
      <c r="FJ15" s="2927"/>
      <c r="FK15" s="2927"/>
      <c r="FL15" s="2927"/>
      <c r="FM15" s="2927"/>
      <c r="FN15" s="2927"/>
      <c r="FO15" s="2927"/>
      <c r="FP15" s="2927"/>
      <c r="FQ15" s="2927"/>
      <c r="FR15" s="2927"/>
      <c r="FS15" s="2927"/>
      <c r="FT15" s="2927"/>
      <c r="FU15" s="2927"/>
      <c r="FV15" s="2927"/>
      <c r="FW15" s="2927"/>
      <c r="FX15" s="2927"/>
      <c r="FY15" s="2927"/>
      <c r="FZ15" s="2927"/>
      <c r="GA15" s="2927"/>
      <c r="GB15" s="2927"/>
      <c r="GC15" s="2927"/>
      <c r="GD15" s="2927"/>
      <c r="GE15" s="2927"/>
      <c r="GF15" s="2927"/>
      <c r="GG15" s="2927"/>
      <c r="GH15" s="2927"/>
      <c r="GI15" s="2927"/>
      <c r="GJ15" s="2927"/>
      <c r="GK15" s="2927"/>
      <c r="GL15" s="2927"/>
      <c r="GM15" s="2927"/>
      <c r="GN15" s="2927"/>
      <c r="GO15" s="2927"/>
      <c r="GP15" s="2927"/>
      <c r="GQ15" s="2927"/>
      <c r="GR15" s="2927"/>
      <c r="GS15" s="2927"/>
      <c r="GT15" s="2927"/>
      <c r="GU15" s="2927"/>
      <c r="GV15" s="2927"/>
      <c r="GW15" s="2927"/>
      <c r="GX15" s="2927"/>
      <c r="GY15" s="2927"/>
      <c r="GZ15" s="2927"/>
      <c r="HA15" s="2927"/>
      <c r="HB15" s="2927"/>
      <c r="HC15" s="2927"/>
      <c r="HD15" s="2927"/>
      <c r="HE15" s="2927"/>
      <c r="HF15" s="2927"/>
      <c r="HG15" s="2927"/>
      <c r="HH15" s="2927"/>
      <c r="HI15" s="2927"/>
      <c r="HJ15" s="2927"/>
      <c r="HK15" s="2927"/>
      <c r="HL15" s="2927"/>
      <c r="HM15" s="2927"/>
      <c r="HN15" s="2927"/>
      <c r="HO15" s="2927"/>
      <c r="HP15" s="2927"/>
      <c r="HQ15" s="2927"/>
      <c r="HR15" s="2927"/>
      <c r="HS15" s="2927"/>
      <c r="HT15" s="2927"/>
      <c r="HU15" s="2927"/>
      <c r="HV15" s="2927"/>
      <c r="HW15" s="2927"/>
      <c r="HX15" s="2927"/>
      <c r="HY15" s="2927"/>
      <c r="HZ15" s="2927"/>
      <c r="IA15" s="2927"/>
      <c r="IB15" s="2927"/>
      <c r="IC15" s="2927"/>
      <c r="ID15" s="2927"/>
      <c r="IE15" s="2927"/>
    </row>
    <row r="16" s="2838" customFormat="1" ht="32" customHeight="1" spans="1:239">
      <c r="A16" s="2905">
        <v>45616</v>
      </c>
      <c r="B16" s="2906" t="s">
        <v>10231</v>
      </c>
      <c r="C16" s="2907" t="s">
        <v>1624</v>
      </c>
      <c r="D16" s="2908">
        <v>4500151829</v>
      </c>
      <c r="E16" s="2909" t="s">
        <v>10232</v>
      </c>
      <c r="F16" s="2908" t="s">
        <v>10233</v>
      </c>
      <c r="G16" s="2930" t="s">
        <v>10234</v>
      </c>
      <c r="H16" s="2911" t="s">
        <v>9356</v>
      </c>
      <c r="I16" s="2912">
        <v>160</v>
      </c>
      <c r="J16" s="2912">
        <v>0</v>
      </c>
      <c r="K16" s="2912">
        <v>4</v>
      </c>
      <c r="L16" s="2912">
        <f t="shared" si="0"/>
        <v>40</v>
      </c>
      <c r="M16" s="2913">
        <v>45660</v>
      </c>
      <c r="N16" s="2913">
        <v>45656</v>
      </c>
      <c r="O16" s="2914"/>
      <c r="P16" s="2914" t="s">
        <v>10206</v>
      </c>
      <c r="Q16" s="2914" t="s">
        <v>110</v>
      </c>
      <c r="R16" s="2915" t="s">
        <v>2694</v>
      </c>
      <c r="S16" s="2915"/>
      <c r="T16" s="2915" t="s">
        <v>10235</v>
      </c>
      <c r="U16" s="2915"/>
      <c r="V16" s="2915"/>
      <c r="W16" s="2929" t="s">
        <v>10236</v>
      </c>
      <c r="X16" s="2912" t="s">
        <v>424</v>
      </c>
      <c r="Y16" s="2917">
        <v>7.3277</v>
      </c>
      <c r="Z16" s="2918">
        <f t="shared" si="34"/>
        <v>1172.432</v>
      </c>
      <c r="AA16" s="2912" t="s">
        <v>10237</v>
      </c>
      <c r="AB16" s="2912" t="s">
        <v>10238</v>
      </c>
      <c r="AC16" s="2912" t="s">
        <v>416</v>
      </c>
      <c r="AD16" s="2919"/>
      <c r="AE16" s="2919"/>
      <c r="AF16" s="2920">
        <f t="shared" si="27"/>
        <v>160</v>
      </c>
      <c r="AG16" s="2919"/>
      <c r="AI16" s="2919"/>
      <c r="AJ16" s="2921">
        <f t="shared" si="36"/>
        <v>160</v>
      </c>
      <c r="AK16" s="2921"/>
      <c r="AL16" s="2921"/>
      <c r="AM16" s="2921"/>
      <c r="AN16" s="2922"/>
      <c r="AO16" s="2923"/>
      <c r="AP16" s="2921"/>
      <c r="AQ16" s="2921">
        <f t="shared" si="37"/>
        <v>40</v>
      </c>
      <c r="AR16" s="2924">
        <f>I16/4</f>
        <v>40</v>
      </c>
      <c r="AS16" s="2923">
        <f t="shared" si="38"/>
        <v>40</v>
      </c>
      <c r="AT16" s="2921">
        <f t="shared" si="39"/>
        <v>40</v>
      </c>
      <c r="AU16" s="2921"/>
      <c r="AV16" s="2924"/>
      <c r="AW16" s="2923"/>
      <c r="AX16" s="2921"/>
      <c r="AY16" s="2921"/>
      <c r="AZ16" s="2924"/>
      <c r="BA16" s="2923"/>
      <c r="BB16" s="2924"/>
      <c r="BC16" s="2925"/>
      <c r="BD16" s="2921"/>
      <c r="BE16" s="2921">
        <f t="shared" si="28"/>
        <v>160</v>
      </c>
      <c r="BF16" s="2921">
        <f t="shared" si="4"/>
        <v>160</v>
      </c>
      <c r="BG16" s="2921" t="s">
        <v>9164</v>
      </c>
      <c r="BH16" s="2921"/>
      <c r="BI16" s="2921">
        <f t="shared" si="42"/>
        <v>40</v>
      </c>
      <c r="BJ16" s="2921">
        <f t="shared" ref="BJ16:BP16" si="45">BI16</f>
        <v>40</v>
      </c>
      <c r="BK16" s="2921">
        <f t="shared" si="45"/>
        <v>40</v>
      </c>
      <c r="BL16" s="2921">
        <f t="shared" si="45"/>
        <v>40</v>
      </c>
      <c r="BM16" s="2926">
        <f t="shared" si="45"/>
        <v>40</v>
      </c>
      <c r="BN16" s="2921">
        <f t="shared" si="45"/>
        <v>40</v>
      </c>
      <c r="BO16" s="2926">
        <f t="shared" si="45"/>
        <v>40</v>
      </c>
      <c r="BP16" s="2921">
        <f t="shared" si="45"/>
        <v>40</v>
      </c>
      <c r="BQ16" s="2926">
        <f t="shared" si="1"/>
        <v>238185</v>
      </c>
      <c r="BR16" s="2926">
        <f t="shared" ref="BR16:BY16" si="46">BR15-BI16</f>
        <v>25157.25</v>
      </c>
      <c r="BS16" s="2926">
        <f t="shared" si="46"/>
        <v>25157.25</v>
      </c>
      <c r="BT16" s="2926">
        <f t="shared" si="46"/>
        <v>25029.25</v>
      </c>
      <c r="BU16" s="2926">
        <f t="shared" si="46"/>
        <v>25029.25</v>
      </c>
      <c r="BV16" s="2926">
        <f t="shared" si="46"/>
        <v>40235.25</v>
      </c>
      <c r="BW16" s="2926">
        <f t="shared" si="46"/>
        <v>40235.25</v>
      </c>
      <c r="BX16" s="2926">
        <f t="shared" si="46"/>
        <v>25649.25</v>
      </c>
      <c r="BY16" s="2926">
        <f t="shared" si="46"/>
        <v>25649.25</v>
      </c>
      <c r="BZ16" s="2912"/>
      <c r="CA16" s="2927"/>
      <c r="CB16" s="2927"/>
      <c r="CC16" s="2927"/>
      <c r="CD16" s="2927"/>
      <c r="CE16" s="2927"/>
      <c r="CF16" s="2927"/>
      <c r="CG16" s="2927"/>
      <c r="CH16" s="2927"/>
      <c r="CI16" s="2927"/>
      <c r="CJ16" s="2927"/>
      <c r="CK16" s="2927"/>
      <c r="CL16" s="2927"/>
      <c r="CM16" s="2927"/>
      <c r="CN16" s="2927"/>
      <c r="CO16" s="2927"/>
      <c r="CP16" s="2927"/>
      <c r="CQ16" s="2927"/>
      <c r="CR16" s="2927"/>
      <c r="CS16" s="2927"/>
      <c r="CT16" s="2927"/>
      <c r="CU16" s="2927"/>
      <c r="CV16" s="2927"/>
      <c r="CW16" s="2927"/>
      <c r="CX16" s="2927"/>
      <c r="CY16" s="2927"/>
      <c r="CZ16" s="2927"/>
      <c r="DA16" s="2927"/>
      <c r="DB16" s="2927"/>
      <c r="DC16" s="2927"/>
      <c r="DD16" s="2927"/>
      <c r="DE16" s="2927"/>
      <c r="DF16" s="2927"/>
      <c r="DG16" s="2927"/>
      <c r="DH16" s="2927"/>
      <c r="DI16" s="2927"/>
      <c r="DJ16" s="2927"/>
      <c r="DK16" s="2927"/>
      <c r="DL16" s="2927"/>
      <c r="DM16" s="2927"/>
      <c r="DN16" s="2927"/>
      <c r="DO16" s="2927"/>
      <c r="DP16" s="2927"/>
      <c r="DQ16" s="2927"/>
      <c r="DR16" s="2927"/>
      <c r="DS16" s="2927"/>
      <c r="DT16" s="2927"/>
      <c r="DU16" s="2927"/>
      <c r="DV16" s="2927"/>
      <c r="DW16" s="2927"/>
      <c r="DX16" s="2927"/>
      <c r="DY16" s="2927"/>
      <c r="DZ16" s="2927"/>
      <c r="EA16" s="2927"/>
      <c r="EB16" s="2927"/>
      <c r="EC16" s="2927"/>
      <c r="ED16" s="2927"/>
      <c r="EE16" s="2927"/>
      <c r="EF16" s="2927"/>
      <c r="EG16" s="2927"/>
      <c r="EH16" s="2927"/>
      <c r="EI16" s="2927"/>
      <c r="EJ16" s="2927"/>
      <c r="EK16" s="2927"/>
      <c r="EL16" s="2927"/>
      <c r="EM16" s="2927"/>
      <c r="EN16" s="2927"/>
      <c r="EO16" s="2927"/>
      <c r="EP16" s="2927"/>
      <c r="EQ16" s="2927"/>
      <c r="ER16" s="2927"/>
      <c r="ES16" s="2927"/>
      <c r="ET16" s="2927"/>
      <c r="EU16" s="2927"/>
      <c r="EV16" s="2927"/>
      <c r="EW16" s="2927"/>
      <c r="EX16" s="2927"/>
      <c r="EY16" s="2927"/>
      <c r="EZ16" s="2927"/>
      <c r="FA16" s="2927"/>
      <c r="FB16" s="2927"/>
      <c r="FC16" s="2927"/>
      <c r="FD16" s="2927"/>
      <c r="FE16" s="2927"/>
      <c r="FF16" s="2927"/>
      <c r="FG16" s="2927"/>
      <c r="FH16" s="2927"/>
      <c r="FI16" s="2927"/>
      <c r="FJ16" s="2927"/>
      <c r="FK16" s="2927"/>
      <c r="FL16" s="2927"/>
      <c r="FM16" s="2927"/>
      <c r="FN16" s="2927"/>
      <c r="FO16" s="2927"/>
      <c r="FP16" s="2927"/>
      <c r="FQ16" s="2927"/>
      <c r="FR16" s="2927"/>
      <c r="FS16" s="2927"/>
      <c r="FT16" s="2927"/>
      <c r="FU16" s="2927"/>
      <c r="FV16" s="2927"/>
      <c r="FW16" s="2927"/>
      <c r="FX16" s="2927"/>
      <c r="FY16" s="2927"/>
      <c r="FZ16" s="2927"/>
      <c r="GA16" s="2927"/>
      <c r="GB16" s="2927"/>
      <c r="GC16" s="2927"/>
      <c r="GD16" s="2927"/>
      <c r="GE16" s="2927"/>
      <c r="GF16" s="2927"/>
      <c r="GG16" s="2927"/>
      <c r="GH16" s="2927"/>
      <c r="GI16" s="2927"/>
      <c r="GJ16" s="2927"/>
      <c r="GK16" s="2927"/>
      <c r="GL16" s="2927"/>
      <c r="GM16" s="2927"/>
      <c r="GN16" s="2927"/>
      <c r="GO16" s="2927"/>
      <c r="GP16" s="2927"/>
      <c r="GQ16" s="2927"/>
      <c r="GR16" s="2927"/>
      <c r="GS16" s="2927"/>
      <c r="GT16" s="2927"/>
      <c r="GU16" s="2927"/>
      <c r="GV16" s="2927"/>
      <c r="GW16" s="2927"/>
      <c r="GX16" s="2927"/>
      <c r="GY16" s="2927"/>
      <c r="GZ16" s="2927"/>
      <c r="HA16" s="2927"/>
      <c r="HB16" s="2927"/>
      <c r="HC16" s="2927"/>
      <c r="HD16" s="2927"/>
      <c r="HE16" s="2927"/>
      <c r="HF16" s="2927"/>
      <c r="HG16" s="2927"/>
      <c r="HH16" s="2927"/>
      <c r="HI16" s="2927"/>
      <c r="HJ16" s="2927"/>
      <c r="HK16" s="2927"/>
      <c r="HL16" s="2927"/>
      <c r="HM16" s="2927"/>
      <c r="HN16" s="2927"/>
      <c r="HO16" s="2927"/>
      <c r="HP16" s="2927"/>
      <c r="HQ16" s="2927"/>
      <c r="HR16" s="2927"/>
      <c r="HS16" s="2927"/>
      <c r="HT16" s="2927"/>
      <c r="HU16" s="2927"/>
      <c r="HV16" s="2927"/>
      <c r="HW16" s="2927"/>
      <c r="HX16" s="2927"/>
      <c r="HY16" s="2927"/>
      <c r="HZ16" s="2927"/>
      <c r="IA16" s="2927"/>
      <c r="IB16" s="2927"/>
      <c r="IC16" s="2927"/>
      <c r="ID16" s="2927"/>
      <c r="IE16" s="2927"/>
    </row>
    <row r="17" s="2838" customFormat="1" ht="32" customHeight="1" spans="1:239">
      <c r="A17" s="2905">
        <v>45609</v>
      </c>
      <c r="B17" s="2906" t="s">
        <v>3771</v>
      </c>
      <c r="C17" s="2907" t="s">
        <v>3772</v>
      </c>
      <c r="D17" s="2908">
        <v>4500151230</v>
      </c>
      <c r="E17" s="2909" t="s">
        <v>8345</v>
      </c>
      <c r="F17" s="2908" t="s">
        <v>10239</v>
      </c>
      <c r="G17" s="2930" t="s">
        <v>10240</v>
      </c>
      <c r="H17" s="2911" t="s">
        <v>9155</v>
      </c>
      <c r="I17" s="2912">
        <v>3000</v>
      </c>
      <c r="J17" s="2912">
        <v>0</v>
      </c>
      <c r="K17" s="2912">
        <v>4</v>
      </c>
      <c r="L17" s="2912">
        <f t="shared" si="0"/>
        <v>750</v>
      </c>
      <c r="M17" s="2913">
        <v>45666</v>
      </c>
      <c r="N17" s="2913">
        <v>45663</v>
      </c>
      <c r="O17" s="2914"/>
      <c r="P17" s="2914" t="s">
        <v>10206</v>
      </c>
      <c r="Q17" s="2914"/>
      <c r="R17" s="2915" t="s">
        <v>5226</v>
      </c>
      <c r="S17" s="2915"/>
      <c r="T17" s="2915" t="s">
        <v>98</v>
      </c>
      <c r="U17" s="2915"/>
      <c r="V17" s="2915" t="s">
        <v>9298</v>
      </c>
      <c r="W17" s="2929" t="s">
        <v>10241</v>
      </c>
      <c r="X17" s="2912" t="s">
        <v>559</v>
      </c>
      <c r="Y17" s="2917">
        <v>7.3188</v>
      </c>
      <c r="Z17" s="2918">
        <f t="shared" si="34"/>
        <v>21956.4</v>
      </c>
      <c r="AA17" s="2912" t="s">
        <v>8349</v>
      </c>
      <c r="AB17" s="2911" t="s">
        <v>10240</v>
      </c>
      <c r="AC17" s="2912" t="s">
        <v>416</v>
      </c>
      <c r="AD17" s="2919"/>
      <c r="AE17" s="2919"/>
      <c r="AF17" s="2920"/>
      <c r="AG17" s="2919"/>
      <c r="AH17" s="2919">
        <f>I17</f>
        <v>3000</v>
      </c>
      <c r="AI17" s="2919"/>
      <c r="AJ17" s="2839"/>
      <c r="AK17" s="2839"/>
      <c r="AL17" s="2921">
        <f>I17</f>
        <v>3000</v>
      </c>
      <c r="AM17" s="2921"/>
      <c r="AN17" s="2922"/>
      <c r="AO17" s="2923"/>
      <c r="AP17" s="2921"/>
      <c r="AQ17" s="2921">
        <f t="shared" si="37"/>
        <v>750</v>
      </c>
      <c r="AR17" s="2924"/>
      <c r="AS17" s="2923">
        <f t="shared" si="38"/>
        <v>750</v>
      </c>
      <c r="AT17" s="2921">
        <f t="shared" si="39"/>
        <v>750</v>
      </c>
      <c r="AU17" s="2921"/>
      <c r="AV17" s="2924">
        <f t="shared" si="40"/>
        <v>750</v>
      </c>
      <c r="AW17" s="2923"/>
      <c r="AX17" s="2921"/>
      <c r="AY17" s="2921"/>
      <c r="AZ17" s="2924"/>
      <c r="BA17" s="2923"/>
      <c r="BB17" s="2924"/>
      <c r="BC17" s="2925">
        <f>I17</f>
        <v>3000</v>
      </c>
      <c r="BD17" s="2921"/>
      <c r="BE17" s="2921"/>
      <c r="BF17" s="2921">
        <f t="shared" si="4"/>
        <v>3000</v>
      </c>
      <c r="BG17" s="2921" t="s">
        <v>9164</v>
      </c>
      <c r="BH17" s="2921"/>
      <c r="BI17" s="2921">
        <f t="shared" si="42"/>
        <v>750</v>
      </c>
      <c r="BJ17" s="2921">
        <f t="shared" ref="BJ17:BP17" si="47">BI17</f>
        <v>750</v>
      </c>
      <c r="BK17" s="2921">
        <f t="shared" si="47"/>
        <v>750</v>
      </c>
      <c r="BL17" s="2921">
        <f t="shared" si="47"/>
        <v>750</v>
      </c>
      <c r="BM17" s="2926">
        <f t="shared" si="47"/>
        <v>750</v>
      </c>
      <c r="BN17" s="2921">
        <f t="shared" si="47"/>
        <v>750</v>
      </c>
      <c r="BO17" s="2926">
        <f t="shared" si="47"/>
        <v>750</v>
      </c>
      <c r="BP17" s="2921">
        <f t="shared" si="47"/>
        <v>750</v>
      </c>
      <c r="BQ17" s="2926">
        <f t="shared" si="1"/>
        <v>241025</v>
      </c>
      <c r="BR17" s="2926">
        <f t="shared" ref="BR17:BY17" si="48">BR16-BI17</f>
        <v>24407.25</v>
      </c>
      <c r="BS17" s="2926">
        <f t="shared" si="48"/>
        <v>24407.25</v>
      </c>
      <c r="BT17" s="2926">
        <f t="shared" si="48"/>
        <v>24279.25</v>
      </c>
      <c r="BU17" s="2926">
        <f t="shared" si="48"/>
        <v>24279.25</v>
      </c>
      <c r="BV17" s="2926">
        <f t="shared" si="48"/>
        <v>39485.25</v>
      </c>
      <c r="BW17" s="2926">
        <f t="shared" si="48"/>
        <v>39485.25</v>
      </c>
      <c r="BX17" s="2926">
        <f t="shared" si="48"/>
        <v>24899.25</v>
      </c>
      <c r="BY17" s="2926">
        <f t="shared" si="48"/>
        <v>24899.25</v>
      </c>
      <c r="BZ17" s="2912"/>
      <c r="CA17" s="2927"/>
      <c r="CB17" s="2927"/>
      <c r="CC17" s="2927"/>
      <c r="CD17" s="2927"/>
      <c r="CE17" s="2927"/>
      <c r="CF17" s="2927"/>
      <c r="CG17" s="2927"/>
      <c r="CH17" s="2927"/>
      <c r="CI17" s="2927"/>
      <c r="CJ17" s="2927"/>
      <c r="CK17" s="2927"/>
      <c r="CL17" s="2927"/>
      <c r="CM17" s="2927"/>
      <c r="CN17" s="2927"/>
      <c r="CO17" s="2927"/>
      <c r="CP17" s="2927"/>
      <c r="CQ17" s="2927"/>
      <c r="CR17" s="2927"/>
      <c r="CS17" s="2927"/>
      <c r="CT17" s="2927"/>
      <c r="CU17" s="2927"/>
      <c r="CV17" s="2927"/>
      <c r="CW17" s="2927"/>
      <c r="CX17" s="2927"/>
      <c r="CY17" s="2927"/>
      <c r="CZ17" s="2927"/>
      <c r="DA17" s="2927"/>
      <c r="DB17" s="2927"/>
      <c r="DC17" s="2927"/>
      <c r="DD17" s="2927"/>
      <c r="DE17" s="2927"/>
      <c r="DF17" s="2927"/>
      <c r="DG17" s="2927"/>
      <c r="DH17" s="2927"/>
      <c r="DI17" s="2927"/>
      <c r="DJ17" s="2927"/>
      <c r="DK17" s="2927"/>
      <c r="DL17" s="2927"/>
      <c r="DM17" s="2927"/>
      <c r="DN17" s="2927"/>
      <c r="DO17" s="2927"/>
      <c r="DP17" s="2927"/>
      <c r="DQ17" s="2927"/>
      <c r="DR17" s="2927"/>
      <c r="DS17" s="2927"/>
      <c r="DT17" s="2927"/>
      <c r="DU17" s="2927"/>
      <c r="DV17" s="2927"/>
      <c r="DW17" s="2927"/>
      <c r="DX17" s="2927"/>
      <c r="DY17" s="2927"/>
      <c r="DZ17" s="2927"/>
      <c r="EA17" s="2927"/>
      <c r="EB17" s="2927"/>
      <c r="EC17" s="2927"/>
      <c r="ED17" s="2927"/>
      <c r="EE17" s="2927"/>
      <c r="EF17" s="2927"/>
      <c r="EG17" s="2927"/>
      <c r="EH17" s="2927"/>
      <c r="EI17" s="2927"/>
      <c r="EJ17" s="2927"/>
      <c r="EK17" s="2927"/>
      <c r="EL17" s="2927"/>
      <c r="EM17" s="2927"/>
      <c r="EN17" s="2927"/>
      <c r="EO17" s="2927"/>
      <c r="EP17" s="2927"/>
      <c r="EQ17" s="2927"/>
      <c r="ER17" s="2927"/>
      <c r="ES17" s="2927"/>
      <c r="ET17" s="2927"/>
      <c r="EU17" s="2927"/>
      <c r="EV17" s="2927"/>
      <c r="EW17" s="2927"/>
      <c r="EX17" s="2927"/>
      <c r="EY17" s="2927"/>
      <c r="EZ17" s="2927"/>
      <c r="FA17" s="2927"/>
      <c r="FB17" s="2927"/>
      <c r="FC17" s="2927"/>
      <c r="FD17" s="2927"/>
      <c r="FE17" s="2927"/>
      <c r="FF17" s="2927"/>
      <c r="FG17" s="2927"/>
      <c r="FH17" s="2927"/>
      <c r="FI17" s="2927"/>
      <c r="FJ17" s="2927"/>
      <c r="FK17" s="2927"/>
      <c r="FL17" s="2927"/>
      <c r="FM17" s="2927"/>
      <c r="FN17" s="2927"/>
      <c r="FO17" s="2927"/>
      <c r="FP17" s="2927"/>
      <c r="FQ17" s="2927"/>
      <c r="FR17" s="2927"/>
      <c r="FS17" s="2927"/>
      <c r="FT17" s="2927"/>
      <c r="FU17" s="2927"/>
      <c r="FV17" s="2927"/>
      <c r="FW17" s="2927"/>
      <c r="FX17" s="2927"/>
      <c r="FY17" s="2927"/>
      <c r="FZ17" s="2927"/>
      <c r="GA17" s="2927"/>
      <c r="GB17" s="2927"/>
      <c r="GC17" s="2927"/>
      <c r="GD17" s="2927"/>
      <c r="GE17" s="2927"/>
      <c r="GF17" s="2927"/>
      <c r="GG17" s="2927"/>
      <c r="GH17" s="2927"/>
      <c r="GI17" s="2927"/>
      <c r="GJ17" s="2927"/>
      <c r="GK17" s="2927"/>
      <c r="GL17" s="2927"/>
      <c r="GM17" s="2927"/>
      <c r="GN17" s="2927"/>
      <c r="GO17" s="2927"/>
      <c r="GP17" s="2927"/>
      <c r="GQ17" s="2927"/>
      <c r="GR17" s="2927"/>
      <c r="GS17" s="2927"/>
      <c r="GT17" s="2927"/>
      <c r="GU17" s="2927"/>
      <c r="GV17" s="2927"/>
      <c r="GW17" s="2927"/>
      <c r="GX17" s="2927"/>
      <c r="GY17" s="2927"/>
      <c r="GZ17" s="2927"/>
      <c r="HA17" s="2927"/>
      <c r="HB17" s="2927"/>
      <c r="HC17" s="2927"/>
      <c r="HD17" s="2927"/>
      <c r="HE17" s="2927"/>
      <c r="HF17" s="2927"/>
      <c r="HG17" s="2927"/>
      <c r="HH17" s="2927"/>
      <c r="HI17" s="2927"/>
      <c r="HJ17" s="2927"/>
      <c r="HK17" s="2927"/>
      <c r="HL17" s="2927"/>
      <c r="HM17" s="2927"/>
      <c r="HN17" s="2927"/>
      <c r="HO17" s="2927"/>
      <c r="HP17" s="2927"/>
      <c r="HQ17" s="2927"/>
      <c r="HR17" s="2927"/>
      <c r="HS17" s="2927"/>
      <c r="HT17" s="2927"/>
      <c r="HU17" s="2927"/>
      <c r="HV17" s="2927"/>
      <c r="HW17" s="2927"/>
      <c r="HX17" s="2927"/>
      <c r="HY17" s="2927"/>
      <c r="HZ17" s="2927"/>
      <c r="IA17" s="2927"/>
      <c r="IB17" s="2927"/>
      <c r="IC17" s="2927"/>
      <c r="ID17" s="2927"/>
      <c r="IE17" s="2927"/>
    </row>
    <row r="18" s="2838" customFormat="1" ht="32" customHeight="1" spans="1:239">
      <c r="A18" s="2905">
        <v>45637</v>
      </c>
      <c r="B18" s="2906" t="s">
        <v>872</v>
      </c>
      <c r="C18" s="2907" t="s">
        <v>873</v>
      </c>
      <c r="D18" s="2908">
        <v>4500153567</v>
      </c>
      <c r="E18" s="2929"/>
      <c r="F18" s="2908" t="s">
        <v>10242</v>
      </c>
      <c r="G18" s="2930" t="s">
        <v>10199</v>
      </c>
      <c r="H18" s="2911" t="s">
        <v>9155</v>
      </c>
      <c r="I18" s="2912">
        <v>280</v>
      </c>
      <c r="J18" s="2912">
        <v>0</v>
      </c>
      <c r="K18" s="2912">
        <v>4</v>
      </c>
      <c r="L18" s="2912">
        <f t="shared" si="0"/>
        <v>70</v>
      </c>
      <c r="M18" s="2913">
        <v>45670</v>
      </c>
      <c r="N18" s="2913">
        <v>45666</v>
      </c>
      <c r="O18" s="2914"/>
      <c r="P18" s="2914" t="s">
        <v>10206</v>
      </c>
      <c r="Q18" s="2914" t="s">
        <v>2599</v>
      </c>
      <c r="R18" s="2915" t="s">
        <v>2600</v>
      </c>
      <c r="S18" s="2915"/>
      <c r="T18" s="2915" t="s">
        <v>583</v>
      </c>
      <c r="U18" s="2915"/>
      <c r="V18" s="2915"/>
      <c r="W18" s="2929" t="s">
        <v>10243</v>
      </c>
      <c r="X18" s="2912" t="s">
        <v>357</v>
      </c>
      <c r="Y18" s="2917">
        <v>7.3277</v>
      </c>
      <c r="Z18" s="2918">
        <f t="shared" si="34"/>
        <v>2051.756</v>
      </c>
      <c r="AA18" s="2912" t="s">
        <v>6211</v>
      </c>
      <c r="AB18" s="2906" t="s">
        <v>10199</v>
      </c>
      <c r="AC18" s="2912" t="s">
        <v>416</v>
      </c>
      <c r="AD18" s="2919">
        <f t="shared" si="35"/>
        <v>280</v>
      </c>
      <c r="AE18" s="2919"/>
      <c r="AF18" s="2920"/>
      <c r="AG18" s="2919"/>
      <c r="AH18" s="2919"/>
      <c r="AI18" s="2919"/>
      <c r="AJ18" s="2921">
        <f t="shared" si="36"/>
        <v>280</v>
      </c>
      <c r="AK18" s="2921"/>
      <c r="AL18" s="2921"/>
      <c r="AM18" s="2921"/>
      <c r="AN18" s="2922"/>
      <c r="AO18" s="2923"/>
      <c r="AP18" s="2921"/>
      <c r="AQ18" s="2921">
        <f t="shared" si="37"/>
        <v>70</v>
      </c>
      <c r="AR18" s="2924"/>
      <c r="AS18" s="2923">
        <f t="shared" si="38"/>
        <v>70</v>
      </c>
      <c r="AT18" s="2921">
        <f t="shared" si="39"/>
        <v>70</v>
      </c>
      <c r="AU18" s="2921"/>
      <c r="AV18" s="2924">
        <f t="shared" si="40"/>
        <v>70</v>
      </c>
      <c r="AW18" s="2923"/>
      <c r="AX18" s="2921"/>
      <c r="AY18" s="2921"/>
      <c r="AZ18" s="2924"/>
      <c r="BA18" s="2923"/>
      <c r="BB18" s="2924"/>
      <c r="BC18" s="2925"/>
      <c r="BD18" s="2921">
        <f t="shared" si="41"/>
        <v>280</v>
      </c>
      <c r="BE18" s="2921"/>
      <c r="BF18" s="2921">
        <f t="shared" si="4"/>
        <v>280</v>
      </c>
      <c r="BG18" s="2921" t="s">
        <v>9164</v>
      </c>
      <c r="BH18" s="2921"/>
      <c r="BI18" s="2921">
        <f t="shared" si="42"/>
        <v>70</v>
      </c>
      <c r="BJ18" s="2921">
        <f t="shared" ref="BJ18:BP18" si="49">BI18</f>
        <v>70</v>
      </c>
      <c r="BK18" s="2921">
        <f t="shared" si="49"/>
        <v>70</v>
      </c>
      <c r="BL18" s="2921">
        <f t="shared" si="49"/>
        <v>70</v>
      </c>
      <c r="BM18" s="2926">
        <f t="shared" si="49"/>
        <v>70</v>
      </c>
      <c r="BN18" s="2921">
        <f t="shared" si="49"/>
        <v>70</v>
      </c>
      <c r="BO18" s="2926">
        <f t="shared" si="49"/>
        <v>70</v>
      </c>
      <c r="BP18" s="2921">
        <f t="shared" si="49"/>
        <v>70</v>
      </c>
      <c r="BQ18" s="2926">
        <f t="shared" si="1"/>
        <v>238305</v>
      </c>
      <c r="BR18" s="2926">
        <f t="shared" ref="BR18:BY18" si="50">BR17-BI18</f>
        <v>24337.25</v>
      </c>
      <c r="BS18" s="2926">
        <f t="shared" si="50"/>
        <v>24337.25</v>
      </c>
      <c r="BT18" s="2926">
        <f t="shared" si="50"/>
        <v>24209.25</v>
      </c>
      <c r="BU18" s="2926">
        <f t="shared" si="50"/>
        <v>24209.25</v>
      </c>
      <c r="BV18" s="2926">
        <f t="shared" si="50"/>
        <v>39415.25</v>
      </c>
      <c r="BW18" s="2926">
        <f t="shared" si="50"/>
        <v>39415.25</v>
      </c>
      <c r="BX18" s="2926">
        <f t="shared" si="50"/>
        <v>24829.25</v>
      </c>
      <c r="BY18" s="2926">
        <f t="shared" si="50"/>
        <v>24829.25</v>
      </c>
      <c r="BZ18" s="2912"/>
      <c r="CA18" s="2927"/>
      <c r="CB18" s="2927"/>
      <c r="CC18" s="2927"/>
      <c r="CD18" s="2927"/>
      <c r="CE18" s="2927"/>
      <c r="CF18" s="2927"/>
      <c r="CG18" s="2927"/>
      <c r="CH18" s="2927"/>
      <c r="CI18" s="2927"/>
      <c r="CJ18" s="2927"/>
      <c r="CK18" s="2927"/>
      <c r="CL18" s="2927"/>
      <c r="CM18" s="2927"/>
      <c r="CN18" s="2927"/>
      <c r="CO18" s="2927"/>
      <c r="CP18" s="2927"/>
      <c r="CQ18" s="2927"/>
      <c r="CR18" s="2927"/>
      <c r="CS18" s="2927"/>
      <c r="CT18" s="2927"/>
      <c r="CU18" s="2927"/>
      <c r="CV18" s="2927"/>
      <c r="CW18" s="2927"/>
      <c r="CX18" s="2927"/>
      <c r="CY18" s="2927"/>
      <c r="CZ18" s="2927"/>
      <c r="DA18" s="2927"/>
      <c r="DB18" s="2927"/>
      <c r="DC18" s="2927"/>
      <c r="DD18" s="2927"/>
      <c r="DE18" s="2927"/>
      <c r="DF18" s="2927"/>
      <c r="DG18" s="2927"/>
      <c r="DH18" s="2927"/>
      <c r="DI18" s="2927"/>
      <c r="DJ18" s="2927"/>
      <c r="DK18" s="2927"/>
      <c r="DL18" s="2927"/>
      <c r="DM18" s="2927"/>
      <c r="DN18" s="2927"/>
      <c r="DO18" s="2927"/>
      <c r="DP18" s="2927"/>
      <c r="DQ18" s="2927"/>
      <c r="DR18" s="2927"/>
      <c r="DS18" s="2927"/>
      <c r="DT18" s="2927"/>
      <c r="DU18" s="2927"/>
      <c r="DV18" s="2927"/>
      <c r="DW18" s="2927"/>
      <c r="DX18" s="2927"/>
      <c r="DY18" s="2927"/>
      <c r="DZ18" s="2927"/>
      <c r="EA18" s="2927"/>
      <c r="EB18" s="2927"/>
      <c r="EC18" s="2927"/>
      <c r="ED18" s="2927"/>
      <c r="EE18" s="2927"/>
      <c r="EF18" s="2927"/>
      <c r="EG18" s="2927"/>
      <c r="EH18" s="2927"/>
      <c r="EI18" s="2927"/>
      <c r="EJ18" s="2927"/>
      <c r="EK18" s="2927"/>
      <c r="EL18" s="2927"/>
      <c r="EM18" s="2927"/>
      <c r="EN18" s="2927"/>
      <c r="EO18" s="2927"/>
      <c r="EP18" s="2927"/>
      <c r="EQ18" s="2927"/>
      <c r="ER18" s="2927"/>
      <c r="ES18" s="2927"/>
      <c r="ET18" s="2927"/>
      <c r="EU18" s="2927"/>
      <c r="EV18" s="2927"/>
      <c r="EW18" s="2927"/>
      <c r="EX18" s="2927"/>
      <c r="EY18" s="2927"/>
      <c r="EZ18" s="2927"/>
      <c r="FA18" s="2927"/>
      <c r="FB18" s="2927"/>
      <c r="FC18" s="2927"/>
      <c r="FD18" s="2927"/>
      <c r="FE18" s="2927"/>
      <c r="FF18" s="2927"/>
      <c r="FG18" s="2927"/>
      <c r="FH18" s="2927"/>
      <c r="FI18" s="2927"/>
      <c r="FJ18" s="2927"/>
      <c r="FK18" s="2927"/>
      <c r="FL18" s="2927"/>
      <c r="FM18" s="2927"/>
      <c r="FN18" s="2927"/>
      <c r="FO18" s="2927"/>
      <c r="FP18" s="2927"/>
      <c r="FQ18" s="2927"/>
      <c r="FR18" s="2927"/>
      <c r="FS18" s="2927"/>
      <c r="FT18" s="2927"/>
      <c r="FU18" s="2927"/>
      <c r="FV18" s="2927"/>
      <c r="FW18" s="2927"/>
      <c r="FX18" s="2927"/>
      <c r="FY18" s="2927"/>
      <c r="FZ18" s="2927"/>
      <c r="GA18" s="2927"/>
      <c r="GB18" s="2927"/>
      <c r="GC18" s="2927"/>
      <c r="GD18" s="2927"/>
      <c r="GE18" s="2927"/>
      <c r="GF18" s="2927"/>
      <c r="GG18" s="2927"/>
      <c r="GH18" s="2927"/>
      <c r="GI18" s="2927"/>
      <c r="GJ18" s="2927"/>
      <c r="GK18" s="2927"/>
      <c r="GL18" s="2927"/>
      <c r="GM18" s="2927"/>
      <c r="GN18" s="2927"/>
      <c r="GO18" s="2927"/>
      <c r="GP18" s="2927"/>
      <c r="GQ18" s="2927"/>
      <c r="GR18" s="2927"/>
      <c r="GS18" s="2927"/>
      <c r="GT18" s="2927"/>
      <c r="GU18" s="2927"/>
      <c r="GV18" s="2927"/>
      <c r="GW18" s="2927"/>
      <c r="GX18" s="2927"/>
      <c r="GY18" s="2927"/>
      <c r="GZ18" s="2927"/>
      <c r="HA18" s="2927"/>
      <c r="HB18" s="2927"/>
      <c r="HC18" s="2927"/>
      <c r="HD18" s="2927"/>
      <c r="HE18" s="2927"/>
      <c r="HF18" s="2927"/>
      <c r="HG18" s="2927"/>
      <c r="HH18" s="2927"/>
      <c r="HI18" s="2927"/>
      <c r="HJ18" s="2927"/>
      <c r="HK18" s="2927"/>
      <c r="HL18" s="2927"/>
      <c r="HM18" s="2927"/>
      <c r="HN18" s="2927"/>
      <c r="HO18" s="2927"/>
      <c r="HP18" s="2927"/>
      <c r="HQ18" s="2927"/>
      <c r="HR18" s="2927"/>
      <c r="HS18" s="2927"/>
      <c r="HT18" s="2927"/>
      <c r="HU18" s="2927"/>
      <c r="HV18" s="2927"/>
      <c r="HW18" s="2927"/>
      <c r="HX18" s="2927"/>
      <c r="HY18" s="2927"/>
      <c r="HZ18" s="2927"/>
      <c r="IA18" s="2927"/>
      <c r="IB18" s="2927"/>
      <c r="IC18" s="2927"/>
      <c r="ID18" s="2927"/>
      <c r="IE18" s="2927"/>
    </row>
    <row r="19" s="2838" customFormat="1" ht="32" customHeight="1" spans="1:239">
      <c r="A19" s="2905">
        <v>45635</v>
      </c>
      <c r="B19" s="2906" t="s">
        <v>4959</v>
      </c>
      <c r="C19" s="2907" t="s">
        <v>4960</v>
      </c>
      <c r="D19" s="2908">
        <v>4500153513</v>
      </c>
      <c r="E19" s="2909"/>
      <c r="F19" s="2908" t="s">
        <v>10244</v>
      </c>
      <c r="G19" s="2930" t="s">
        <v>10199</v>
      </c>
      <c r="H19" s="2911" t="s">
        <v>9155</v>
      </c>
      <c r="I19" s="2912">
        <v>600</v>
      </c>
      <c r="J19" s="2912">
        <v>0</v>
      </c>
      <c r="K19" s="2912">
        <v>4</v>
      </c>
      <c r="L19" s="2912">
        <f t="shared" si="0"/>
        <v>150</v>
      </c>
      <c r="M19" s="2913">
        <v>45672</v>
      </c>
      <c r="N19" s="2913">
        <v>45668</v>
      </c>
      <c r="O19" s="2914"/>
      <c r="P19" s="2914" t="s">
        <v>10206</v>
      </c>
      <c r="Q19" s="2914" t="s">
        <v>401</v>
      </c>
      <c r="R19" s="2915" t="s">
        <v>2807</v>
      </c>
      <c r="S19" s="2915"/>
      <c r="T19" s="2915" t="s">
        <v>9274</v>
      </c>
      <c r="U19" s="2915"/>
      <c r="V19" s="2915"/>
      <c r="W19" s="2929" t="s">
        <v>10245</v>
      </c>
      <c r="X19" s="2912" t="s">
        <v>559</v>
      </c>
      <c r="Y19" s="2917">
        <v>7.3108</v>
      </c>
      <c r="Z19" s="2918">
        <f t="shared" si="34"/>
        <v>4386.48</v>
      </c>
      <c r="AA19" s="2912" t="s">
        <v>10246</v>
      </c>
      <c r="AB19" s="2912" t="s">
        <v>10247</v>
      </c>
      <c r="AC19" s="2912" t="s">
        <v>416</v>
      </c>
      <c r="AD19" s="2919"/>
      <c r="AE19" s="2919"/>
      <c r="AF19" s="2920">
        <f>I19</f>
        <v>600</v>
      </c>
      <c r="AG19" s="2919"/>
      <c r="AH19" s="2919"/>
      <c r="AI19" s="2919"/>
      <c r="AJ19" s="2921">
        <f t="shared" si="36"/>
        <v>600</v>
      </c>
      <c r="AK19" s="2921"/>
      <c r="AL19" s="2921"/>
      <c r="AM19" s="2921"/>
      <c r="AN19" s="2922"/>
      <c r="AO19" s="2923"/>
      <c r="AP19" s="2921"/>
      <c r="AQ19" s="2921">
        <f t="shared" si="37"/>
        <v>150</v>
      </c>
      <c r="AR19" s="2924"/>
      <c r="AS19" s="2923">
        <f t="shared" si="38"/>
        <v>150</v>
      </c>
      <c r="AT19" s="2921">
        <f t="shared" si="39"/>
        <v>150</v>
      </c>
      <c r="AU19" s="2921"/>
      <c r="AV19" s="2924">
        <f t="shared" si="40"/>
        <v>150</v>
      </c>
      <c r="AW19" s="2923"/>
      <c r="AX19" s="2921"/>
      <c r="AY19" s="2921"/>
      <c r="AZ19" s="2924"/>
      <c r="BA19" s="2923"/>
      <c r="BB19" s="2924"/>
      <c r="BC19" s="2925"/>
      <c r="BD19" s="2921">
        <f t="shared" si="41"/>
        <v>600</v>
      </c>
      <c r="BE19" s="2921"/>
      <c r="BF19" s="2921">
        <f t="shared" si="4"/>
        <v>600</v>
      </c>
      <c r="BG19" s="2921" t="s">
        <v>9164</v>
      </c>
      <c r="BH19" s="2921"/>
      <c r="BI19" s="2921">
        <f t="shared" si="42"/>
        <v>150</v>
      </c>
      <c r="BJ19" s="2921">
        <f t="shared" ref="BJ19:BP19" si="51">BI19</f>
        <v>150</v>
      </c>
      <c r="BK19" s="2921">
        <f t="shared" si="51"/>
        <v>150</v>
      </c>
      <c r="BL19" s="2921">
        <f t="shared" si="51"/>
        <v>150</v>
      </c>
      <c r="BM19" s="2926">
        <f t="shared" si="51"/>
        <v>150</v>
      </c>
      <c r="BN19" s="2921">
        <f t="shared" si="51"/>
        <v>150</v>
      </c>
      <c r="BO19" s="2926">
        <f t="shared" si="51"/>
        <v>150</v>
      </c>
      <c r="BP19" s="2921">
        <f t="shared" si="51"/>
        <v>150</v>
      </c>
      <c r="BQ19" s="2926">
        <f t="shared" si="1"/>
        <v>238625</v>
      </c>
      <c r="BR19" s="2926">
        <f t="shared" ref="BR19:BY19" si="52">BR18-BI19</f>
        <v>24187.25</v>
      </c>
      <c r="BS19" s="2926">
        <f t="shared" si="52"/>
        <v>24187.25</v>
      </c>
      <c r="BT19" s="2926">
        <f t="shared" si="52"/>
        <v>24059.25</v>
      </c>
      <c r="BU19" s="2926">
        <f t="shared" si="52"/>
        <v>24059.25</v>
      </c>
      <c r="BV19" s="2926">
        <f t="shared" si="52"/>
        <v>39265.25</v>
      </c>
      <c r="BW19" s="2926">
        <f t="shared" si="52"/>
        <v>39265.25</v>
      </c>
      <c r="BX19" s="2926">
        <f t="shared" si="52"/>
        <v>24679.25</v>
      </c>
      <c r="BY19" s="2926">
        <f t="shared" si="52"/>
        <v>24679.25</v>
      </c>
      <c r="BZ19" s="2912"/>
      <c r="CA19" s="2927"/>
      <c r="CB19" s="2927"/>
      <c r="CC19" s="2927"/>
      <c r="CD19" s="2927"/>
      <c r="CE19" s="2927"/>
      <c r="CF19" s="2927"/>
      <c r="CG19" s="2927"/>
      <c r="CH19" s="2927"/>
      <c r="CI19" s="2927"/>
      <c r="CJ19" s="2927"/>
      <c r="CK19" s="2927"/>
      <c r="CL19" s="2927"/>
      <c r="CM19" s="2927"/>
      <c r="CN19" s="2927"/>
      <c r="CO19" s="2927"/>
      <c r="CP19" s="2927"/>
      <c r="CQ19" s="2927"/>
      <c r="CR19" s="2927"/>
      <c r="CS19" s="2927"/>
      <c r="CT19" s="2927"/>
      <c r="CU19" s="2927"/>
      <c r="CV19" s="2927"/>
      <c r="CW19" s="2927"/>
      <c r="CX19" s="2927"/>
      <c r="CY19" s="2927"/>
      <c r="CZ19" s="2927"/>
      <c r="DA19" s="2927"/>
      <c r="DB19" s="2927"/>
      <c r="DC19" s="2927"/>
      <c r="DD19" s="2927"/>
      <c r="DE19" s="2927"/>
      <c r="DF19" s="2927"/>
      <c r="DG19" s="2927"/>
      <c r="DH19" s="2927"/>
      <c r="DI19" s="2927"/>
      <c r="DJ19" s="2927"/>
      <c r="DK19" s="2927"/>
      <c r="DL19" s="2927"/>
      <c r="DM19" s="2927"/>
      <c r="DN19" s="2927"/>
      <c r="DO19" s="2927"/>
      <c r="DP19" s="2927"/>
      <c r="DQ19" s="2927"/>
      <c r="DR19" s="2927"/>
      <c r="DS19" s="2927"/>
      <c r="DT19" s="2927"/>
      <c r="DU19" s="2927"/>
      <c r="DV19" s="2927"/>
      <c r="DW19" s="2927"/>
      <c r="DX19" s="2927"/>
      <c r="DY19" s="2927"/>
      <c r="DZ19" s="2927"/>
      <c r="EA19" s="2927"/>
      <c r="EB19" s="2927"/>
      <c r="EC19" s="2927"/>
      <c r="ED19" s="2927"/>
      <c r="EE19" s="2927"/>
      <c r="EF19" s="2927"/>
      <c r="EG19" s="2927"/>
      <c r="EH19" s="2927"/>
      <c r="EI19" s="2927"/>
      <c r="EJ19" s="2927"/>
      <c r="EK19" s="2927"/>
      <c r="EL19" s="2927"/>
      <c r="EM19" s="2927"/>
      <c r="EN19" s="2927"/>
      <c r="EO19" s="2927"/>
      <c r="EP19" s="2927"/>
      <c r="EQ19" s="2927"/>
      <c r="ER19" s="2927"/>
      <c r="ES19" s="2927"/>
      <c r="ET19" s="2927"/>
      <c r="EU19" s="2927"/>
      <c r="EV19" s="2927"/>
      <c r="EW19" s="2927"/>
      <c r="EX19" s="2927"/>
      <c r="EY19" s="2927"/>
      <c r="EZ19" s="2927"/>
      <c r="FA19" s="2927"/>
      <c r="FB19" s="2927"/>
      <c r="FC19" s="2927"/>
      <c r="FD19" s="2927"/>
      <c r="FE19" s="2927"/>
      <c r="FF19" s="2927"/>
      <c r="FG19" s="2927"/>
      <c r="FH19" s="2927"/>
      <c r="FI19" s="2927"/>
      <c r="FJ19" s="2927"/>
      <c r="FK19" s="2927"/>
      <c r="FL19" s="2927"/>
      <c r="FM19" s="2927"/>
      <c r="FN19" s="2927"/>
      <c r="FO19" s="2927"/>
      <c r="FP19" s="2927"/>
      <c r="FQ19" s="2927"/>
      <c r="FR19" s="2927"/>
      <c r="FS19" s="2927"/>
      <c r="FT19" s="2927"/>
      <c r="FU19" s="2927"/>
      <c r="FV19" s="2927"/>
      <c r="FW19" s="2927"/>
      <c r="FX19" s="2927"/>
      <c r="FY19" s="2927"/>
      <c r="FZ19" s="2927"/>
      <c r="GA19" s="2927"/>
      <c r="GB19" s="2927"/>
      <c r="GC19" s="2927"/>
      <c r="GD19" s="2927"/>
      <c r="GE19" s="2927"/>
      <c r="GF19" s="2927"/>
      <c r="GG19" s="2927"/>
      <c r="GH19" s="2927"/>
      <c r="GI19" s="2927"/>
      <c r="GJ19" s="2927"/>
      <c r="GK19" s="2927"/>
      <c r="GL19" s="2927"/>
      <c r="GM19" s="2927"/>
      <c r="GN19" s="2927"/>
      <c r="GO19" s="2927"/>
      <c r="GP19" s="2927"/>
      <c r="GQ19" s="2927"/>
      <c r="GR19" s="2927"/>
      <c r="GS19" s="2927"/>
      <c r="GT19" s="2927"/>
      <c r="GU19" s="2927"/>
      <c r="GV19" s="2927"/>
      <c r="GW19" s="2927"/>
      <c r="GX19" s="2927"/>
      <c r="GY19" s="2927"/>
      <c r="GZ19" s="2927"/>
      <c r="HA19" s="2927"/>
      <c r="HB19" s="2927"/>
      <c r="HC19" s="2927"/>
      <c r="HD19" s="2927"/>
      <c r="HE19" s="2927"/>
      <c r="HF19" s="2927"/>
      <c r="HG19" s="2927"/>
      <c r="HH19" s="2927"/>
      <c r="HI19" s="2927"/>
      <c r="HJ19" s="2927"/>
      <c r="HK19" s="2927"/>
      <c r="HL19" s="2927"/>
      <c r="HM19" s="2927"/>
      <c r="HN19" s="2927"/>
      <c r="HO19" s="2927"/>
      <c r="HP19" s="2927"/>
      <c r="HQ19" s="2927"/>
      <c r="HR19" s="2927"/>
      <c r="HS19" s="2927"/>
      <c r="HT19" s="2927"/>
      <c r="HU19" s="2927"/>
      <c r="HV19" s="2927"/>
      <c r="HW19" s="2927"/>
      <c r="HX19" s="2927"/>
      <c r="HY19" s="2927"/>
      <c r="HZ19" s="2927"/>
      <c r="IA19" s="2927"/>
      <c r="IB19" s="2927"/>
      <c r="IC19" s="2927"/>
      <c r="ID19" s="2927"/>
      <c r="IE19" s="2927"/>
    </row>
    <row r="20" s="2838" customFormat="1" ht="32" customHeight="1" spans="1:239">
      <c r="A20" s="2905">
        <v>45603</v>
      </c>
      <c r="B20" s="2906" t="s">
        <v>407</v>
      </c>
      <c r="C20" s="2907" t="s">
        <v>91</v>
      </c>
      <c r="D20" s="2908">
        <v>4500150480</v>
      </c>
      <c r="E20" s="2909" t="s">
        <v>9304</v>
      </c>
      <c r="F20" s="2908" t="s">
        <v>10248</v>
      </c>
      <c r="G20" s="2930" t="s">
        <v>10199</v>
      </c>
      <c r="H20" s="2911" t="s">
        <v>9155</v>
      </c>
      <c r="I20" s="2912">
        <v>800</v>
      </c>
      <c r="J20" s="2912">
        <v>0</v>
      </c>
      <c r="K20" s="2912">
        <v>4</v>
      </c>
      <c r="L20" s="2912">
        <f t="shared" si="0"/>
        <v>200</v>
      </c>
      <c r="M20" s="2913">
        <v>45677</v>
      </c>
      <c r="N20" s="2913">
        <v>45673</v>
      </c>
      <c r="O20" s="2914"/>
      <c r="P20" s="2914" t="s">
        <v>10206</v>
      </c>
      <c r="Q20" s="2914" t="s">
        <v>144</v>
      </c>
      <c r="R20" s="2915" t="s">
        <v>390</v>
      </c>
      <c r="S20" s="2915"/>
      <c r="T20" s="2915" t="s">
        <v>98</v>
      </c>
      <c r="U20" s="2915" t="s">
        <v>630</v>
      </c>
      <c r="V20" s="2915"/>
      <c r="W20" s="2929" t="s">
        <v>413</v>
      </c>
      <c r="X20" s="2912" t="s">
        <v>2595</v>
      </c>
      <c r="Y20" s="2917">
        <v>7.0129</v>
      </c>
      <c r="Z20" s="2918">
        <f t="shared" si="34"/>
        <v>5610.32</v>
      </c>
      <c r="AA20" s="2912" t="s">
        <v>9306</v>
      </c>
      <c r="AB20" s="2906" t="s">
        <v>10199</v>
      </c>
      <c r="AC20" s="2912" t="s">
        <v>416</v>
      </c>
      <c r="AD20" s="2919">
        <f t="shared" si="35"/>
        <v>800</v>
      </c>
      <c r="AE20" s="2919"/>
      <c r="AF20" s="2920"/>
      <c r="AG20" s="2919"/>
      <c r="AH20" s="2919"/>
      <c r="AI20" s="2919"/>
      <c r="AJ20" s="2921">
        <f t="shared" si="36"/>
        <v>800</v>
      </c>
      <c r="AK20" s="2921"/>
      <c r="AL20" s="2921"/>
      <c r="AM20" s="2921"/>
      <c r="AN20" s="2922"/>
      <c r="AO20" s="2923"/>
      <c r="AP20" s="2921"/>
      <c r="AQ20" s="2921">
        <f t="shared" si="37"/>
        <v>200</v>
      </c>
      <c r="AR20" s="2924"/>
      <c r="AS20" s="2923">
        <f t="shared" si="38"/>
        <v>200</v>
      </c>
      <c r="AT20" s="2921">
        <f t="shared" si="39"/>
        <v>200</v>
      </c>
      <c r="AU20" s="2921"/>
      <c r="AV20" s="2924">
        <f t="shared" si="40"/>
        <v>200</v>
      </c>
      <c r="AW20" s="2923"/>
      <c r="AX20" s="2921"/>
      <c r="AY20" s="2921"/>
      <c r="AZ20" s="2924"/>
      <c r="BA20" s="2923"/>
      <c r="BB20" s="2924"/>
      <c r="BC20" s="2925"/>
      <c r="BD20" s="2921">
        <f t="shared" si="41"/>
        <v>800</v>
      </c>
      <c r="BE20" s="2921"/>
      <c r="BF20" s="2921">
        <f t="shared" si="4"/>
        <v>800</v>
      </c>
      <c r="BG20" s="2921" t="s">
        <v>9164</v>
      </c>
      <c r="BH20" s="2921"/>
      <c r="BI20" s="2921">
        <f t="shared" si="42"/>
        <v>200</v>
      </c>
      <c r="BJ20" s="2921">
        <f t="shared" ref="BJ20:BP20" si="53">BI20</f>
        <v>200</v>
      </c>
      <c r="BK20" s="2921">
        <f t="shared" si="53"/>
        <v>200</v>
      </c>
      <c r="BL20" s="2921">
        <f t="shared" si="53"/>
        <v>200</v>
      </c>
      <c r="BM20" s="2926">
        <f t="shared" si="53"/>
        <v>200</v>
      </c>
      <c r="BN20" s="2921">
        <f t="shared" si="53"/>
        <v>200</v>
      </c>
      <c r="BO20" s="2926">
        <f t="shared" si="53"/>
        <v>200</v>
      </c>
      <c r="BP20" s="2921">
        <f t="shared" si="53"/>
        <v>200</v>
      </c>
      <c r="BQ20" s="2926">
        <f t="shared" si="1"/>
        <v>238825</v>
      </c>
      <c r="BR20" s="2926">
        <f t="shared" ref="BR20:BY20" si="54">BR19-BI20</f>
        <v>23987.25</v>
      </c>
      <c r="BS20" s="2926">
        <f t="shared" si="54"/>
        <v>23987.25</v>
      </c>
      <c r="BT20" s="2926">
        <f t="shared" si="54"/>
        <v>23859.25</v>
      </c>
      <c r="BU20" s="2926">
        <f t="shared" si="54"/>
        <v>23859.25</v>
      </c>
      <c r="BV20" s="2926">
        <f t="shared" si="54"/>
        <v>39065.25</v>
      </c>
      <c r="BW20" s="2926">
        <f t="shared" si="54"/>
        <v>39065.25</v>
      </c>
      <c r="BX20" s="2926">
        <f t="shared" si="54"/>
        <v>24479.25</v>
      </c>
      <c r="BY20" s="2926">
        <f t="shared" si="54"/>
        <v>24479.25</v>
      </c>
      <c r="BZ20" s="2912"/>
      <c r="CA20" s="2927"/>
      <c r="CB20" s="2927"/>
      <c r="CC20" s="2927"/>
      <c r="CD20" s="2927"/>
      <c r="CE20" s="2927"/>
      <c r="CF20" s="2927"/>
      <c r="CG20" s="2927"/>
      <c r="CH20" s="2927"/>
      <c r="CI20" s="2927"/>
      <c r="CJ20" s="2927"/>
      <c r="CK20" s="2927"/>
      <c r="CL20" s="2927"/>
      <c r="CM20" s="2927"/>
      <c r="CN20" s="2927"/>
      <c r="CO20" s="2927"/>
      <c r="CP20" s="2927"/>
      <c r="CQ20" s="2927"/>
      <c r="CR20" s="2927"/>
      <c r="CS20" s="2927"/>
      <c r="CT20" s="2927"/>
      <c r="CU20" s="2927"/>
      <c r="CV20" s="2927"/>
      <c r="CW20" s="2927"/>
      <c r="CX20" s="2927"/>
      <c r="CY20" s="2927"/>
      <c r="CZ20" s="2927"/>
      <c r="DA20" s="2927"/>
      <c r="DB20" s="2927"/>
      <c r="DC20" s="2927"/>
      <c r="DD20" s="2927"/>
      <c r="DE20" s="2927"/>
      <c r="DF20" s="2927"/>
      <c r="DG20" s="2927"/>
      <c r="DH20" s="2927"/>
      <c r="DI20" s="2927"/>
      <c r="DJ20" s="2927"/>
      <c r="DK20" s="2927"/>
      <c r="DL20" s="2927"/>
      <c r="DM20" s="2927"/>
      <c r="DN20" s="2927"/>
      <c r="DO20" s="2927"/>
      <c r="DP20" s="2927"/>
      <c r="DQ20" s="2927"/>
      <c r="DR20" s="2927"/>
      <c r="DS20" s="2927"/>
      <c r="DT20" s="2927"/>
      <c r="DU20" s="2927"/>
      <c r="DV20" s="2927"/>
      <c r="DW20" s="2927"/>
      <c r="DX20" s="2927"/>
      <c r="DY20" s="2927"/>
      <c r="DZ20" s="2927"/>
      <c r="EA20" s="2927"/>
      <c r="EB20" s="2927"/>
      <c r="EC20" s="2927"/>
      <c r="ED20" s="2927"/>
      <c r="EE20" s="2927"/>
      <c r="EF20" s="2927"/>
      <c r="EG20" s="2927"/>
      <c r="EH20" s="2927"/>
      <c r="EI20" s="2927"/>
      <c r="EJ20" s="2927"/>
      <c r="EK20" s="2927"/>
      <c r="EL20" s="2927"/>
      <c r="EM20" s="2927"/>
      <c r="EN20" s="2927"/>
      <c r="EO20" s="2927"/>
      <c r="EP20" s="2927"/>
      <c r="EQ20" s="2927"/>
      <c r="ER20" s="2927"/>
      <c r="ES20" s="2927"/>
      <c r="ET20" s="2927"/>
      <c r="EU20" s="2927"/>
      <c r="EV20" s="2927"/>
      <c r="EW20" s="2927"/>
      <c r="EX20" s="2927"/>
      <c r="EY20" s="2927"/>
      <c r="EZ20" s="2927"/>
      <c r="FA20" s="2927"/>
      <c r="FB20" s="2927"/>
      <c r="FC20" s="2927"/>
      <c r="FD20" s="2927"/>
      <c r="FE20" s="2927"/>
      <c r="FF20" s="2927"/>
      <c r="FG20" s="2927"/>
      <c r="FH20" s="2927"/>
      <c r="FI20" s="2927"/>
      <c r="FJ20" s="2927"/>
      <c r="FK20" s="2927"/>
      <c r="FL20" s="2927"/>
      <c r="FM20" s="2927"/>
      <c r="FN20" s="2927"/>
      <c r="FO20" s="2927"/>
      <c r="FP20" s="2927"/>
      <c r="FQ20" s="2927"/>
      <c r="FR20" s="2927"/>
      <c r="FS20" s="2927"/>
      <c r="FT20" s="2927"/>
      <c r="FU20" s="2927"/>
      <c r="FV20" s="2927"/>
      <c r="FW20" s="2927"/>
      <c r="FX20" s="2927"/>
      <c r="FY20" s="2927"/>
      <c r="FZ20" s="2927"/>
      <c r="GA20" s="2927"/>
      <c r="GB20" s="2927"/>
      <c r="GC20" s="2927"/>
      <c r="GD20" s="2927"/>
      <c r="GE20" s="2927"/>
      <c r="GF20" s="2927"/>
      <c r="GG20" s="2927"/>
      <c r="GH20" s="2927"/>
      <c r="GI20" s="2927"/>
      <c r="GJ20" s="2927"/>
      <c r="GK20" s="2927"/>
      <c r="GL20" s="2927"/>
      <c r="GM20" s="2927"/>
      <c r="GN20" s="2927"/>
      <c r="GO20" s="2927"/>
      <c r="GP20" s="2927"/>
      <c r="GQ20" s="2927"/>
      <c r="GR20" s="2927"/>
      <c r="GS20" s="2927"/>
      <c r="GT20" s="2927"/>
      <c r="GU20" s="2927"/>
      <c r="GV20" s="2927"/>
      <c r="GW20" s="2927"/>
      <c r="GX20" s="2927"/>
      <c r="GY20" s="2927"/>
      <c r="GZ20" s="2927"/>
      <c r="HA20" s="2927"/>
      <c r="HB20" s="2927"/>
      <c r="HC20" s="2927"/>
      <c r="HD20" s="2927"/>
      <c r="HE20" s="2927"/>
      <c r="HF20" s="2927"/>
      <c r="HG20" s="2927"/>
      <c r="HH20" s="2927"/>
      <c r="HI20" s="2927"/>
      <c r="HJ20" s="2927"/>
      <c r="HK20" s="2927"/>
      <c r="HL20" s="2927"/>
      <c r="HM20" s="2927"/>
      <c r="HN20" s="2927"/>
      <c r="HO20" s="2927"/>
      <c r="HP20" s="2927"/>
      <c r="HQ20" s="2927"/>
      <c r="HR20" s="2927"/>
      <c r="HS20" s="2927"/>
      <c r="HT20" s="2927"/>
      <c r="HU20" s="2927"/>
      <c r="HV20" s="2927"/>
      <c r="HW20" s="2927"/>
      <c r="HX20" s="2927"/>
      <c r="HY20" s="2927"/>
      <c r="HZ20" s="2927"/>
      <c r="IA20" s="2927"/>
      <c r="IB20" s="2927"/>
      <c r="IC20" s="2927"/>
      <c r="ID20" s="2927"/>
      <c r="IE20" s="2927"/>
    </row>
    <row r="21" s="2838" customFormat="1" ht="32" customHeight="1" spans="1:239">
      <c r="A21" s="2905">
        <v>45645</v>
      </c>
      <c r="B21" s="2906"/>
      <c r="C21" s="2907"/>
      <c r="D21" s="2908" t="s">
        <v>9265</v>
      </c>
      <c r="E21" s="2909"/>
      <c r="F21" s="2908"/>
      <c r="G21" s="2930" t="s">
        <v>10199</v>
      </c>
      <c r="H21" s="2911" t="s">
        <v>9155</v>
      </c>
      <c r="I21" s="2912">
        <v>120</v>
      </c>
      <c r="J21" s="2912">
        <v>0</v>
      </c>
      <c r="K21" s="2912">
        <v>4</v>
      </c>
      <c r="L21" s="2912">
        <f t="shared" si="0"/>
        <v>30</v>
      </c>
      <c r="M21" s="2913">
        <v>45665</v>
      </c>
      <c r="N21" s="2913">
        <v>45661</v>
      </c>
      <c r="O21" s="2914"/>
      <c r="P21" s="2914" t="s">
        <v>3052</v>
      </c>
      <c r="Q21" s="2914"/>
      <c r="R21" s="2915" t="s">
        <v>335</v>
      </c>
      <c r="S21" s="2915"/>
      <c r="T21" s="2915" t="s">
        <v>98</v>
      </c>
      <c r="U21" s="2915"/>
      <c r="V21" s="2915"/>
      <c r="W21" s="2929" t="s">
        <v>10249</v>
      </c>
      <c r="X21" s="2912" t="s">
        <v>792</v>
      </c>
      <c r="Y21" s="2917"/>
      <c r="Z21" s="2918"/>
      <c r="AA21" s="2912"/>
      <c r="AB21" s="2906" t="s">
        <v>10199</v>
      </c>
      <c r="AC21" s="2912" t="s">
        <v>416</v>
      </c>
      <c r="AD21" s="2919">
        <f t="shared" si="35"/>
        <v>120</v>
      </c>
      <c r="AE21" s="2919"/>
      <c r="AF21" s="2920"/>
      <c r="AG21" s="2919"/>
      <c r="AH21" s="2919"/>
      <c r="AI21" s="2919"/>
      <c r="AJ21" s="2921">
        <f t="shared" si="36"/>
        <v>120</v>
      </c>
      <c r="AK21" s="2921"/>
      <c r="AL21" s="2921"/>
      <c r="AM21" s="2921"/>
      <c r="AN21" s="2922"/>
      <c r="AO21" s="2923"/>
      <c r="AP21" s="2921"/>
      <c r="AQ21" s="2921">
        <f t="shared" si="37"/>
        <v>30</v>
      </c>
      <c r="AR21" s="2924"/>
      <c r="AS21" s="2923">
        <f t="shared" si="38"/>
        <v>30</v>
      </c>
      <c r="AT21" s="2921">
        <f t="shared" si="39"/>
        <v>30</v>
      </c>
      <c r="AU21" s="2921"/>
      <c r="AV21" s="2924">
        <f t="shared" si="40"/>
        <v>30</v>
      </c>
      <c r="AW21" s="2923"/>
      <c r="AX21" s="2921"/>
      <c r="AY21" s="2921"/>
      <c r="AZ21" s="2924"/>
      <c r="BA21" s="2923"/>
      <c r="BB21" s="2924"/>
      <c r="BC21" s="2925"/>
      <c r="BD21" s="2921">
        <f t="shared" si="41"/>
        <v>120</v>
      </c>
      <c r="BE21" s="2921"/>
      <c r="BF21" s="2921">
        <f t="shared" si="4"/>
        <v>120</v>
      </c>
      <c r="BG21" s="2921" t="s">
        <v>9164</v>
      </c>
      <c r="BH21" s="2921"/>
      <c r="BI21" s="2921">
        <f t="shared" si="42"/>
        <v>30</v>
      </c>
      <c r="BJ21" s="2921">
        <f t="shared" ref="BJ21:BP21" si="55">BI21</f>
        <v>30</v>
      </c>
      <c r="BK21" s="2921">
        <f t="shared" si="55"/>
        <v>30</v>
      </c>
      <c r="BL21" s="2921">
        <f t="shared" si="55"/>
        <v>30</v>
      </c>
      <c r="BM21" s="2926">
        <f t="shared" si="55"/>
        <v>30</v>
      </c>
      <c r="BN21" s="2921">
        <f t="shared" si="55"/>
        <v>30</v>
      </c>
      <c r="BO21" s="2926">
        <f t="shared" si="55"/>
        <v>30</v>
      </c>
      <c r="BP21" s="2921">
        <f t="shared" si="55"/>
        <v>30</v>
      </c>
      <c r="BQ21" s="2926">
        <f t="shared" si="1"/>
        <v>238145</v>
      </c>
      <c r="BR21" s="2926">
        <f t="shared" ref="BR21:BY21" si="56">BR20-BI21</f>
        <v>23957.25</v>
      </c>
      <c r="BS21" s="2926">
        <f t="shared" si="56"/>
        <v>23957.25</v>
      </c>
      <c r="BT21" s="2926">
        <f t="shared" si="56"/>
        <v>23829.25</v>
      </c>
      <c r="BU21" s="2926">
        <f t="shared" si="56"/>
        <v>23829.25</v>
      </c>
      <c r="BV21" s="2926">
        <f t="shared" si="56"/>
        <v>39035.25</v>
      </c>
      <c r="BW21" s="2926">
        <f t="shared" si="56"/>
        <v>39035.25</v>
      </c>
      <c r="BX21" s="2926">
        <f t="shared" si="56"/>
        <v>24449.25</v>
      </c>
      <c r="BY21" s="2926">
        <f t="shared" si="56"/>
        <v>24449.25</v>
      </c>
      <c r="BZ21" s="2912"/>
      <c r="CA21" s="2927"/>
      <c r="CB21" s="2927"/>
      <c r="CC21" s="2927"/>
      <c r="CD21" s="2927"/>
      <c r="CE21" s="2927"/>
      <c r="CF21" s="2927"/>
      <c r="CG21" s="2927"/>
      <c r="CH21" s="2927"/>
      <c r="CI21" s="2927"/>
      <c r="CJ21" s="2927"/>
      <c r="CK21" s="2927"/>
      <c r="CL21" s="2927"/>
      <c r="CM21" s="2927"/>
      <c r="CN21" s="2927"/>
      <c r="CO21" s="2927"/>
      <c r="CP21" s="2927"/>
      <c r="CQ21" s="2927"/>
      <c r="CR21" s="2927"/>
      <c r="CS21" s="2927"/>
      <c r="CT21" s="2927"/>
      <c r="CU21" s="2927"/>
      <c r="CV21" s="2927"/>
      <c r="CW21" s="2927"/>
      <c r="CX21" s="2927"/>
      <c r="CY21" s="2927"/>
      <c r="CZ21" s="2927"/>
      <c r="DA21" s="2927"/>
      <c r="DB21" s="2927"/>
      <c r="DC21" s="2927"/>
      <c r="DD21" s="2927"/>
      <c r="DE21" s="2927"/>
      <c r="DF21" s="2927"/>
      <c r="DG21" s="2927"/>
      <c r="DH21" s="2927"/>
      <c r="DI21" s="2927"/>
      <c r="DJ21" s="2927"/>
      <c r="DK21" s="2927"/>
      <c r="DL21" s="2927"/>
      <c r="DM21" s="2927"/>
      <c r="DN21" s="2927"/>
      <c r="DO21" s="2927"/>
      <c r="DP21" s="2927"/>
      <c r="DQ21" s="2927"/>
      <c r="DR21" s="2927"/>
      <c r="DS21" s="2927"/>
      <c r="DT21" s="2927"/>
      <c r="DU21" s="2927"/>
      <c r="DV21" s="2927"/>
      <c r="DW21" s="2927"/>
      <c r="DX21" s="2927"/>
      <c r="DY21" s="2927"/>
      <c r="DZ21" s="2927"/>
      <c r="EA21" s="2927"/>
      <c r="EB21" s="2927"/>
      <c r="EC21" s="2927"/>
      <c r="ED21" s="2927"/>
      <c r="EE21" s="2927"/>
      <c r="EF21" s="2927"/>
      <c r="EG21" s="2927"/>
      <c r="EH21" s="2927"/>
      <c r="EI21" s="2927"/>
      <c r="EJ21" s="2927"/>
      <c r="EK21" s="2927"/>
      <c r="EL21" s="2927"/>
      <c r="EM21" s="2927"/>
      <c r="EN21" s="2927"/>
      <c r="EO21" s="2927"/>
      <c r="EP21" s="2927"/>
      <c r="EQ21" s="2927"/>
      <c r="ER21" s="2927"/>
      <c r="ES21" s="2927"/>
      <c r="ET21" s="2927"/>
      <c r="EU21" s="2927"/>
      <c r="EV21" s="2927"/>
      <c r="EW21" s="2927"/>
      <c r="EX21" s="2927"/>
      <c r="EY21" s="2927"/>
      <c r="EZ21" s="2927"/>
      <c r="FA21" s="2927"/>
      <c r="FB21" s="2927"/>
      <c r="FC21" s="2927"/>
      <c r="FD21" s="2927"/>
      <c r="FE21" s="2927"/>
      <c r="FF21" s="2927"/>
      <c r="FG21" s="2927"/>
      <c r="FH21" s="2927"/>
      <c r="FI21" s="2927"/>
      <c r="FJ21" s="2927"/>
      <c r="FK21" s="2927"/>
      <c r="FL21" s="2927"/>
      <c r="FM21" s="2927"/>
      <c r="FN21" s="2927"/>
      <c r="FO21" s="2927"/>
      <c r="FP21" s="2927"/>
      <c r="FQ21" s="2927"/>
      <c r="FR21" s="2927"/>
      <c r="FS21" s="2927"/>
      <c r="FT21" s="2927"/>
      <c r="FU21" s="2927"/>
      <c r="FV21" s="2927"/>
      <c r="FW21" s="2927"/>
      <c r="FX21" s="2927"/>
      <c r="FY21" s="2927"/>
      <c r="FZ21" s="2927"/>
      <c r="GA21" s="2927"/>
      <c r="GB21" s="2927"/>
      <c r="GC21" s="2927"/>
      <c r="GD21" s="2927"/>
      <c r="GE21" s="2927"/>
      <c r="GF21" s="2927"/>
      <c r="GG21" s="2927"/>
      <c r="GH21" s="2927"/>
      <c r="GI21" s="2927"/>
      <c r="GJ21" s="2927"/>
      <c r="GK21" s="2927"/>
      <c r="GL21" s="2927"/>
      <c r="GM21" s="2927"/>
      <c r="GN21" s="2927"/>
      <c r="GO21" s="2927"/>
      <c r="GP21" s="2927"/>
      <c r="GQ21" s="2927"/>
      <c r="GR21" s="2927"/>
      <c r="GS21" s="2927"/>
      <c r="GT21" s="2927"/>
      <c r="GU21" s="2927"/>
      <c r="GV21" s="2927"/>
      <c r="GW21" s="2927"/>
      <c r="GX21" s="2927"/>
      <c r="GY21" s="2927"/>
      <c r="GZ21" s="2927"/>
      <c r="HA21" s="2927"/>
      <c r="HB21" s="2927"/>
      <c r="HC21" s="2927"/>
      <c r="HD21" s="2927"/>
      <c r="HE21" s="2927"/>
      <c r="HF21" s="2927"/>
      <c r="HG21" s="2927"/>
      <c r="HH21" s="2927"/>
      <c r="HI21" s="2927"/>
      <c r="HJ21" s="2927"/>
      <c r="HK21" s="2927"/>
      <c r="HL21" s="2927"/>
      <c r="HM21" s="2927"/>
      <c r="HN21" s="2927"/>
      <c r="HO21" s="2927"/>
      <c r="HP21" s="2927"/>
      <c r="HQ21" s="2927"/>
      <c r="HR21" s="2927"/>
      <c r="HS21" s="2927"/>
      <c r="HT21" s="2927"/>
      <c r="HU21" s="2927"/>
      <c r="HV21" s="2927"/>
      <c r="HW21" s="2927"/>
      <c r="HX21" s="2927"/>
      <c r="HY21" s="2927"/>
      <c r="HZ21" s="2927"/>
      <c r="IA21" s="2927"/>
      <c r="IB21" s="2927"/>
      <c r="IC21" s="2927"/>
      <c r="ID21" s="2927"/>
      <c r="IE21" s="2927"/>
    </row>
    <row r="22" s="2838" customFormat="1" ht="32" customHeight="1" spans="1:239">
      <c r="A22" s="2905">
        <v>45602</v>
      </c>
      <c r="B22" s="2906" t="s">
        <v>2285</v>
      </c>
      <c r="C22" s="2907" t="s">
        <v>351</v>
      </c>
      <c r="D22" s="2908">
        <v>4500150271</v>
      </c>
      <c r="E22" s="2909" t="s">
        <v>3330</v>
      </c>
      <c r="F22" s="2908" t="s">
        <v>10250</v>
      </c>
      <c r="G22" s="2930" t="s">
        <v>10199</v>
      </c>
      <c r="H22" s="2911" t="s">
        <v>9155</v>
      </c>
      <c r="I22" s="2912">
        <v>56</v>
      </c>
      <c r="J22" s="2912">
        <v>0</v>
      </c>
      <c r="K22" s="2912">
        <v>4</v>
      </c>
      <c r="L22" s="2912">
        <f t="shared" si="0"/>
        <v>14</v>
      </c>
      <c r="M22" s="2913">
        <v>45697</v>
      </c>
      <c r="N22" s="2913">
        <f>M22-4</f>
        <v>45693</v>
      </c>
      <c r="O22" s="2914"/>
      <c r="P22" s="2914" t="s">
        <v>10206</v>
      </c>
      <c r="Q22" s="2914" t="s">
        <v>6337</v>
      </c>
      <c r="R22" s="2915" t="s">
        <v>6117</v>
      </c>
      <c r="S22" s="2915"/>
      <c r="T22" s="2915" t="s">
        <v>10251</v>
      </c>
      <c r="U22" s="2915"/>
      <c r="V22" s="2915" t="s">
        <v>8440</v>
      </c>
      <c r="W22" s="2929" t="s">
        <v>10252</v>
      </c>
      <c r="X22" s="2912" t="s">
        <v>357</v>
      </c>
      <c r="Y22" s="2917">
        <v>7.3277</v>
      </c>
      <c r="Z22" s="2918">
        <f t="shared" ref="Z22:Z36" si="57">Y22*I22</f>
        <v>410.3512</v>
      </c>
      <c r="AA22" s="2912" t="s">
        <v>10253</v>
      </c>
      <c r="AB22" s="2906" t="s">
        <v>10199</v>
      </c>
      <c r="AC22" s="2912" t="s">
        <v>416</v>
      </c>
      <c r="AD22" s="2919">
        <f t="shared" si="35"/>
        <v>56</v>
      </c>
      <c r="AE22" s="2919"/>
      <c r="AF22" s="2920"/>
      <c r="AG22" s="2919"/>
      <c r="AH22" s="2919"/>
      <c r="AI22" s="2919"/>
      <c r="AJ22" s="2921">
        <f t="shared" si="36"/>
        <v>56</v>
      </c>
      <c r="AK22" s="2921"/>
      <c r="AL22" s="2921"/>
      <c r="AM22" s="2921"/>
      <c r="AN22" s="2922"/>
      <c r="AO22" s="2923"/>
      <c r="AP22" s="2921"/>
      <c r="AQ22" s="2921">
        <f t="shared" si="37"/>
        <v>14</v>
      </c>
      <c r="AR22" s="2924"/>
      <c r="AS22" s="2923">
        <f t="shared" si="38"/>
        <v>14</v>
      </c>
      <c r="AT22" s="2921">
        <f t="shared" si="39"/>
        <v>14</v>
      </c>
      <c r="AU22" s="2921"/>
      <c r="AV22" s="2924">
        <f t="shared" si="40"/>
        <v>14</v>
      </c>
      <c r="AW22" s="2923"/>
      <c r="AX22" s="2921"/>
      <c r="AY22" s="2921"/>
      <c r="AZ22" s="2924"/>
      <c r="BA22" s="2923"/>
      <c r="BB22" s="2924"/>
      <c r="BC22" s="2925"/>
      <c r="BD22" s="2921">
        <f t="shared" si="41"/>
        <v>56</v>
      </c>
      <c r="BE22" s="2921"/>
      <c r="BF22" s="2921">
        <f t="shared" si="4"/>
        <v>56</v>
      </c>
      <c r="BG22" s="2921" t="s">
        <v>9164</v>
      </c>
      <c r="BH22" s="2921"/>
      <c r="BI22" s="2921">
        <f t="shared" si="42"/>
        <v>14</v>
      </c>
      <c r="BJ22" s="2921">
        <f t="shared" ref="BJ22:BP22" si="58">BI22</f>
        <v>14</v>
      </c>
      <c r="BK22" s="2921">
        <f t="shared" si="58"/>
        <v>14</v>
      </c>
      <c r="BL22" s="2921">
        <f t="shared" si="58"/>
        <v>14</v>
      </c>
      <c r="BM22" s="2926">
        <f t="shared" si="58"/>
        <v>14</v>
      </c>
      <c r="BN22" s="2921">
        <f t="shared" si="58"/>
        <v>14</v>
      </c>
      <c r="BO22" s="2926">
        <f t="shared" si="58"/>
        <v>14</v>
      </c>
      <c r="BP22" s="2921">
        <f t="shared" si="58"/>
        <v>14</v>
      </c>
      <c r="BQ22" s="2926">
        <f t="shared" si="1"/>
        <v>238081</v>
      </c>
      <c r="BR22" s="2926">
        <f t="shared" ref="BR22:BY22" si="59">BR21-BI22</f>
        <v>23943.25</v>
      </c>
      <c r="BS22" s="2926">
        <f t="shared" si="59"/>
        <v>23943.25</v>
      </c>
      <c r="BT22" s="2926">
        <f t="shared" si="59"/>
        <v>23815.25</v>
      </c>
      <c r="BU22" s="2926">
        <f t="shared" si="59"/>
        <v>23815.25</v>
      </c>
      <c r="BV22" s="2926">
        <f t="shared" si="59"/>
        <v>39021.25</v>
      </c>
      <c r="BW22" s="2926">
        <f t="shared" si="59"/>
        <v>39021.25</v>
      </c>
      <c r="BX22" s="2926">
        <f t="shared" si="59"/>
        <v>24435.25</v>
      </c>
      <c r="BY22" s="2926">
        <f t="shared" si="59"/>
        <v>24435.25</v>
      </c>
      <c r="BZ22" s="2912"/>
      <c r="CA22" s="2927"/>
      <c r="CB22" s="2927"/>
      <c r="CC22" s="2927"/>
      <c r="CD22" s="2927"/>
      <c r="CE22" s="2927"/>
      <c r="CF22" s="2927"/>
      <c r="CG22" s="2927"/>
      <c r="CH22" s="2927"/>
      <c r="CI22" s="2927"/>
      <c r="CJ22" s="2927"/>
      <c r="CK22" s="2927"/>
      <c r="CL22" s="2927"/>
      <c r="CM22" s="2927"/>
      <c r="CN22" s="2927"/>
      <c r="CO22" s="2927"/>
      <c r="CP22" s="2927"/>
      <c r="CQ22" s="2927"/>
      <c r="CR22" s="2927"/>
      <c r="CS22" s="2927"/>
      <c r="CT22" s="2927"/>
      <c r="CU22" s="2927"/>
      <c r="CV22" s="2927"/>
      <c r="CW22" s="2927"/>
      <c r="CX22" s="2927"/>
      <c r="CY22" s="2927"/>
      <c r="CZ22" s="2927"/>
      <c r="DA22" s="2927"/>
      <c r="DB22" s="2927"/>
      <c r="DC22" s="2927"/>
      <c r="DD22" s="2927"/>
      <c r="DE22" s="2927"/>
      <c r="DF22" s="2927"/>
      <c r="DG22" s="2927"/>
      <c r="DH22" s="2927"/>
      <c r="DI22" s="2927"/>
      <c r="DJ22" s="2927"/>
      <c r="DK22" s="2927"/>
      <c r="DL22" s="2927"/>
      <c r="DM22" s="2927"/>
      <c r="DN22" s="2927"/>
      <c r="DO22" s="2927"/>
      <c r="DP22" s="2927"/>
      <c r="DQ22" s="2927"/>
      <c r="DR22" s="2927"/>
      <c r="DS22" s="2927"/>
      <c r="DT22" s="2927"/>
      <c r="DU22" s="2927"/>
      <c r="DV22" s="2927"/>
      <c r="DW22" s="2927"/>
      <c r="DX22" s="2927"/>
      <c r="DY22" s="2927"/>
      <c r="DZ22" s="2927"/>
      <c r="EA22" s="2927"/>
      <c r="EB22" s="2927"/>
      <c r="EC22" s="2927"/>
      <c r="ED22" s="2927"/>
      <c r="EE22" s="2927"/>
      <c r="EF22" s="2927"/>
      <c r="EG22" s="2927"/>
      <c r="EH22" s="2927"/>
      <c r="EI22" s="2927"/>
      <c r="EJ22" s="2927"/>
      <c r="EK22" s="2927"/>
      <c r="EL22" s="2927"/>
      <c r="EM22" s="2927"/>
      <c r="EN22" s="2927"/>
      <c r="EO22" s="2927"/>
      <c r="EP22" s="2927"/>
      <c r="EQ22" s="2927"/>
      <c r="ER22" s="2927"/>
      <c r="ES22" s="2927"/>
      <c r="ET22" s="2927"/>
      <c r="EU22" s="2927"/>
      <c r="EV22" s="2927"/>
      <c r="EW22" s="2927"/>
      <c r="EX22" s="2927"/>
      <c r="EY22" s="2927"/>
      <c r="EZ22" s="2927"/>
      <c r="FA22" s="2927"/>
      <c r="FB22" s="2927"/>
      <c r="FC22" s="2927"/>
      <c r="FD22" s="2927"/>
      <c r="FE22" s="2927"/>
      <c r="FF22" s="2927"/>
      <c r="FG22" s="2927"/>
      <c r="FH22" s="2927"/>
      <c r="FI22" s="2927"/>
      <c r="FJ22" s="2927"/>
      <c r="FK22" s="2927"/>
      <c r="FL22" s="2927"/>
      <c r="FM22" s="2927"/>
      <c r="FN22" s="2927"/>
      <c r="FO22" s="2927"/>
      <c r="FP22" s="2927"/>
      <c r="FQ22" s="2927"/>
      <c r="FR22" s="2927"/>
      <c r="FS22" s="2927"/>
      <c r="FT22" s="2927"/>
      <c r="FU22" s="2927"/>
      <c r="FV22" s="2927"/>
      <c r="FW22" s="2927"/>
      <c r="FX22" s="2927"/>
      <c r="FY22" s="2927"/>
      <c r="FZ22" s="2927"/>
      <c r="GA22" s="2927"/>
      <c r="GB22" s="2927"/>
      <c r="GC22" s="2927"/>
      <c r="GD22" s="2927"/>
      <c r="GE22" s="2927"/>
      <c r="GF22" s="2927"/>
      <c r="GG22" s="2927"/>
      <c r="GH22" s="2927"/>
      <c r="GI22" s="2927"/>
      <c r="GJ22" s="2927"/>
      <c r="GK22" s="2927"/>
      <c r="GL22" s="2927"/>
      <c r="GM22" s="2927"/>
      <c r="GN22" s="2927"/>
      <c r="GO22" s="2927"/>
      <c r="GP22" s="2927"/>
      <c r="GQ22" s="2927"/>
      <c r="GR22" s="2927"/>
      <c r="GS22" s="2927"/>
      <c r="GT22" s="2927"/>
      <c r="GU22" s="2927"/>
      <c r="GV22" s="2927"/>
      <c r="GW22" s="2927"/>
      <c r="GX22" s="2927"/>
      <c r="GY22" s="2927"/>
      <c r="GZ22" s="2927"/>
      <c r="HA22" s="2927"/>
      <c r="HB22" s="2927"/>
      <c r="HC22" s="2927"/>
      <c r="HD22" s="2927"/>
      <c r="HE22" s="2927"/>
      <c r="HF22" s="2927"/>
      <c r="HG22" s="2927"/>
      <c r="HH22" s="2927"/>
      <c r="HI22" s="2927"/>
      <c r="HJ22" s="2927"/>
      <c r="HK22" s="2927"/>
      <c r="HL22" s="2927"/>
      <c r="HM22" s="2927"/>
      <c r="HN22" s="2927"/>
      <c r="HO22" s="2927"/>
      <c r="HP22" s="2927"/>
      <c r="HQ22" s="2927"/>
      <c r="HR22" s="2927"/>
      <c r="HS22" s="2927"/>
      <c r="HT22" s="2927"/>
      <c r="HU22" s="2927"/>
      <c r="HV22" s="2927"/>
      <c r="HW22" s="2927"/>
      <c r="HX22" s="2927"/>
      <c r="HY22" s="2927"/>
      <c r="HZ22" s="2927"/>
      <c r="IA22" s="2927"/>
      <c r="IB22" s="2927"/>
      <c r="IC22" s="2927"/>
      <c r="ID22" s="2927"/>
      <c r="IE22" s="2927"/>
    </row>
    <row r="23" s="2838" customFormat="1" ht="32" customHeight="1" spans="1:239">
      <c r="A23" s="2905">
        <v>45651</v>
      </c>
      <c r="B23" s="2906" t="s">
        <v>3905</v>
      </c>
      <c r="C23" s="2907" t="s">
        <v>1385</v>
      </c>
      <c r="D23" s="2908">
        <v>4500154694</v>
      </c>
      <c r="E23" s="2909" t="s">
        <v>8367</v>
      </c>
      <c r="F23" s="2908" t="s">
        <v>10254</v>
      </c>
      <c r="G23" s="2930" t="s">
        <v>10199</v>
      </c>
      <c r="H23" s="2911" t="s">
        <v>9155</v>
      </c>
      <c r="I23" s="2912">
        <v>284</v>
      </c>
      <c r="J23" s="2912">
        <v>0</v>
      </c>
      <c r="K23" s="2912">
        <v>4</v>
      </c>
      <c r="L23" s="2912">
        <f t="shared" si="0"/>
        <v>71</v>
      </c>
      <c r="M23" s="2913">
        <v>45713</v>
      </c>
      <c r="N23" s="2913">
        <v>45709</v>
      </c>
      <c r="O23" s="2914"/>
      <c r="P23" s="2914" t="s">
        <v>10206</v>
      </c>
      <c r="Q23" s="2914" t="s">
        <v>686</v>
      </c>
      <c r="R23" s="2915" t="s">
        <v>619</v>
      </c>
      <c r="S23" s="2915"/>
      <c r="T23" s="2915" t="s">
        <v>5495</v>
      </c>
      <c r="U23" s="2915"/>
      <c r="V23" s="2915"/>
      <c r="W23" s="2929" t="s">
        <v>8370</v>
      </c>
      <c r="X23" s="2912" t="s">
        <v>448</v>
      </c>
      <c r="Y23" s="2917">
        <v>7.0298</v>
      </c>
      <c r="Z23" s="2918">
        <f t="shared" si="57"/>
        <v>1996.4632</v>
      </c>
      <c r="AA23" s="2912" t="s">
        <v>8371</v>
      </c>
      <c r="AB23" s="2906" t="s">
        <v>10199</v>
      </c>
      <c r="AC23" s="2912" t="s">
        <v>416</v>
      </c>
      <c r="AD23" s="2919">
        <f t="shared" si="35"/>
        <v>284</v>
      </c>
      <c r="AE23" s="2919"/>
      <c r="AF23" s="2920"/>
      <c r="AG23" s="2919"/>
      <c r="AH23" s="2919"/>
      <c r="AI23" s="2919"/>
      <c r="AJ23" s="2921">
        <f t="shared" si="36"/>
        <v>284</v>
      </c>
      <c r="AK23" s="2921"/>
      <c r="AL23" s="2921"/>
      <c r="AM23" s="2921"/>
      <c r="AN23" s="2922"/>
      <c r="AO23" s="2923"/>
      <c r="AP23" s="2921"/>
      <c r="AQ23" s="2921">
        <f t="shared" si="37"/>
        <v>71</v>
      </c>
      <c r="AR23" s="2924"/>
      <c r="AS23" s="2923">
        <f t="shared" si="38"/>
        <v>71</v>
      </c>
      <c r="AT23" s="2921">
        <f t="shared" si="39"/>
        <v>71</v>
      </c>
      <c r="AU23" s="2921"/>
      <c r="AV23" s="2924">
        <f t="shared" si="40"/>
        <v>71</v>
      </c>
      <c r="AW23" s="2923"/>
      <c r="AX23" s="2921"/>
      <c r="AY23" s="2921"/>
      <c r="AZ23" s="2924"/>
      <c r="BA23" s="2923"/>
      <c r="BB23" s="2924"/>
      <c r="BC23" s="2925"/>
      <c r="BD23" s="2921">
        <f t="shared" si="41"/>
        <v>284</v>
      </c>
      <c r="BE23" s="2921"/>
      <c r="BF23" s="2921">
        <f t="shared" si="4"/>
        <v>284</v>
      </c>
      <c r="BG23" s="2921" t="s">
        <v>9164</v>
      </c>
      <c r="BH23" s="2921"/>
      <c r="BI23" s="2921">
        <f t="shared" si="42"/>
        <v>71</v>
      </c>
      <c r="BJ23" s="2921">
        <f t="shared" ref="BJ23:BP23" si="60">BI23</f>
        <v>71</v>
      </c>
      <c r="BK23" s="2921">
        <f t="shared" si="60"/>
        <v>71</v>
      </c>
      <c r="BL23" s="2921">
        <f t="shared" si="60"/>
        <v>71</v>
      </c>
      <c r="BM23" s="2926">
        <f t="shared" si="60"/>
        <v>71</v>
      </c>
      <c r="BN23" s="2921">
        <f t="shared" si="60"/>
        <v>71</v>
      </c>
      <c r="BO23" s="2926">
        <f t="shared" si="60"/>
        <v>71</v>
      </c>
      <c r="BP23" s="2921">
        <f t="shared" si="60"/>
        <v>71</v>
      </c>
      <c r="BQ23" s="2926">
        <f t="shared" si="1"/>
        <v>238309</v>
      </c>
      <c r="BR23" s="2926">
        <f t="shared" ref="BR23:BY23" si="61">BR22-BI23</f>
        <v>23872.25</v>
      </c>
      <c r="BS23" s="2926">
        <f t="shared" si="61"/>
        <v>23872.25</v>
      </c>
      <c r="BT23" s="2926">
        <f t="shared" si="61"/>
        <v>23744.25</v>
      </c>
      <c r="BU23" s="2926">
        <f t="shared" si="61"/>
        <v>23744.25</v>
      </c>
      <c r="BV23" s="2926">
        <f t="shared" si="61"/>
        <v>38950.25</v>
      </c>
      <c r="BW23" s="2926">
        <f t="shared" si="61"/>
        <v>38950.25</v>
      </c>
      <c r="BX23" s="2926">
        <f t="shared" si="61"/>
        <v>24364.25</v>
      </c>
      <c r="BY23" s="2926">
        <f t="shared" si="61"/>
        <v>24364.25</v>
      </c>
      <c r="BZ23" s="2912"/>
      <c r="CA23" s="2927"/>
      <c r="CB23" s="2927"/>
      <c r="CC23" s="2927"/>
      <c r="CD23" s="2927"/>
      <c r="CE23" s="2927"/>
      <c r="CF23" s="2927"/>
      <c r="CG23" s="2927"/>
      <c r="CH23" s="2927"/>
      <c r="CI23" s="2927"/>
      <c r="CJ23" s="2927"/>
      <c r="CK23" s="2927"/>
      <c r="CL23" s="2927"/>
      <c r="CM23" s="2927"/>
      <c r="CN23" s="2927"/>
      <c r="CO23" s="2927"/>
      <c r="CP23" s="2927"/>
      <c r="CQ23" s="2927"/>
      <c r="CR23" s="2927"/>
      <c r="CS23" s="2927"/>
      <c r="CT23" s="2927"/>
      <c r="CU23" s="2927"/>
      <c r="CV23" s="2927"/>
      <c r="CW23" s="2927"/>
      <c r="CX23" s="2927"/>
      <c r="CY23" s="2927"/>
      <c r="CZ23" s="2927"/>
      <c r="DA23" s="2927"/>
      <c r="DB23" s="2927"/>
      <c r="DC23" s="2927"/>
      <c r="DD23" s="2927"/>
      <c r="DE23" s="2927"/>
      <c r="DF23" s="2927"/>
      <c r="DG23" s="2927"/>
      <c r="DH23" s="2927"/>
      <c r="DI23" s="2927"/>
      <c r="DJ23" s="2927"/>
      <c r="DK23" s="2927"/>
      <c r="DL23" s="2927"/>
      <c r="DM23" s="2927"/>
      <c r="DN23" s="2927"/>
      <c r="DO23" s="2927"/>
      <c r="DP23" s="2927"/>
      <c r="DQ23" s="2927"/>
      <c r="DR23" s="2927"/>
      <c r="DS23" s="2927"/>
      <c r="DT23" s="2927"/>
      <c r="DU23" s="2927"/>
      <c r="DV23" s="2927"/>
      <c r="DW23" s="2927"/>
      <c r="DX23" s="2927"/>
      <c r="DY23" s="2927"/>
      <c r="DZ23" s="2927"/>
      <c r="EA23" s="2927"/>
      <c r="EB23" s="2927"/>
      <c r="EC23" s="2927"/>
      <c r="ED23" s="2927"/>
      <c r="EE23" s="2927"/>
      <c r="EF23" s="2927"/>
      <c r="EG23" s="2927"/>
      <c r="EH23" s="2927"/>
      <c r="EI23" s="2927"/>
      <c r="EJ23" s="2927"/>
      <c r="EK23" s="2927"/>
      <c r="EL23" s="2927"/>
      <c r="EM23" s="2927"/>
      <c r="EN23" s="2927"/>
      <c r="EO23" s="2927"/>
      <c r="EP23" s="2927"/>
      <c r="EQ23" s="2927"/>
      <c r="ER23" s="2927"/>
      <c r="ES23" s="2927"/>
      <c r="ET23" s="2927"/>
      <c r="EU23" s="2927"/>
      <c r="EV23" s="2927"/>
      <c r="EW23" s="2927"/>
      <c r="EX23" s="2927"/>
      <c r="EY23" s="2927"/>
      <c r="EZ23" s="2927"/>
      <c r="FA23" s="2927"/>
      <c r="FB23" s="2927"/>
      <c r="FC23" s="2927"/>
      <c r="FD23" s="2927"/>
      <c r="FE23" s="2927"/>
      <c r="FF23" s="2927"/>
      <c r="FG23" s="2927"/>
      <c r="FH23" s="2927"/>
      <c r="FI23" s="2927"/>
      <c r="FJ23" s="2927"/>
      <c r="FK23" s="2927"/>
      <c r="FL23" s="2927"/>
      <c r="FM23" s="2927"/>
      <c r="FN23" s="2927"/>
      <c r="FO23" s="2927"/>
      <c r="FP23" s="2927"/>
      <c r="FQ23" s="2927"/>
      <c r="FR23" s="2927"/>
      <c r="FS23" s="2927"/>
      <c r="FT23" s="2927"/>
      <c r="FU23" s="2927"/>
      <c r="FV23" s="2927"/>
      <c r="FW23" s="2927"/>
      <c r="FX23" s="2927"/>
      <c r="FY23" s="2927"/>
      <c r="FZ23" s="2927"/>
      <c r="GA23" s="2927"/>
      <c r="GB23" s="2927"/>
      <c r="GC23" s="2927"/>
      <c r="GD23" s="2927"/>
      <c r="GE23" s="2927"/>
      <c r="GF23" s="2927"/>
      <c r="GG23" s="2927"/>
      <c r="GH23" s="2927"/>
      <c r="GI23" s="2927"/>
      <c r="GJ23" s="2927"/>
      <c r="GK23" s="2927"/>
      <c r="GL23" s="2927"/>
      <c r="GM23" s="2927"/>
      <c r="GN23" s="2927"/>
      <c r="GO23" s="2927"/>
      <c r="GP23" s="2927"/>
      <c r="GQ23" s="2927"/>
      <c r="GR23" s="2927"/>
      <c r="GS23" s="2927"/>
      <c r="GT23" s="2927"/>
      <c r="GU23" s="2927"/>
      <c r="GV23" s="2927"/>
      <c r="GW23" s="2927"/>
      <c r="GX23" s="2927"/>
      <c r="GY23" s="2927"/>
      <c r="GZ23" s="2927"/>
      <c r="HA23" s="2927"/>
      <c r="HB23" s="2927"/>
      <c r="HC23" s="2927"/>
      <c r="HD23" s="2927"/>
      <c r="HE23" s="2927"/>
      <c r="HF23" s="2927"/>
      <c r="HG23" s="2927"/>
      <c r="HH23" s="2927"/>
      <c r="HI23" s="2927"/>
      <c r="HJ23" s="2927"/>
      <c r="HK23" s="2927"/>
      <c r="HL23" s="2927"/>
      <c r="HM23" s="2927"/>
      <c r="HN23" s="2927"/>
      <c r="HO23" s="2927"/>
      <c r="HP23" s="2927"/>
      <c r="HQ23" s="2927"/>
      <c r="HR23" s="2927"/>
      <c r="HS23" s="2927"/>
      <c r="HT23" s="2927"/>
      <c r="HU23" s="2927"/>
      <c r="HV23" s="2927"/>
      <c r="HW23" s="2927"/>
      <c r="HX23" s="2927"/>
      <c r="HY23" s="2927"/>
      <c r="HZ23" s="2927"/>
      <c r="IA23" s="2927"/>
      <c r="IB23" s="2927"/>
      <c r="IC23" s="2927"/>
      <c r="ID23" s="2927"/>
      <c r="IE23" s="2927"/>
    </row>
    <row r="24" s="2838" customFormat="1" ht="32" customHeight="1" spans="1:239">
      <c r="A24" s="2905">
        <v>45643</v>
      </c>
      <c r="B24" s="2906" t="s">
        <v>8625</v>
      </c>
      <c r="C24" s="2907" t="s">
        <v>9366</v>
      </c>
      <c r="D24" s="2908">
        <v>4500154192</v>
      </c>
      <c r="E24" s="2909"/>
      <c r="F24" s="2908" t="s">
        <v>10255</v>
      </c>
      <c r="G24" s="2930" t="s">
        <v>10199</v>
      </c>
      <c r="H24" s="2911" t="s">
        <v>9155</v>
      </c>
      <c r="I24" s="2912">
        <v>960</v>
      </c>
      <c r="J24" s="2912">
        <v>0</v>
      </c>
      <c r="K24" s="2912">
        <v>4</v>
      </c>
      <c r="L24" s="2912">
        <f t="shared" si="0"/>
        <v>240</v>
      </c>
      <c r="M24" s="2913">
        <v>45716</v>
      </c>
      <c r="N24" s="2913">
        <v>45712</v>
      </c>
      <c r="O24" s="2914"/>
      <c r="P24" s="2914" t="s">
        <v>10206</v>
      </c>
      <c r="Q24" s="2914"/>
      <c r="R24" s="2915" t="s">
        <v>2346</v>
      </c>
      <c r="S24" s="2915"/>
      <c r="T24" s="2915" t="s">
        <v>9368</v>
      </c>
      <c r="U24" s="2915"/>
      <c r="V24" s="2915"/>
      <c r="W24" s="2929" t="s">
        <v>10256</v>
      </c>
      <c r="X24" s="2912" t="s">
        <v>4481</v>
      </c>
      <c r="Y24" s="2917">
        <v>7.3108</v>
      </c>
      <c r="Z24" s="2918">
        <f t="shared" si="57"/>
        <v>7018.368</v>
      </c>
      <c r="AA24" s="2912" t="s">
        <v>9370</v>
      </c>
      <c r="AB24" s="2906" t="s">
        <v>10199</v>
      </c>
      <c r="AC24" s="2912" t="s">
        <v>416</v>
      </c>
      <c r="AD24" s="2919">
        <f t="shared" si="35"/>
        <v>960</v>
      </c>
      <c r="AE24" s="2919"/>
      <c r="AF24" s="2920"/>
      <c r="AG24" s="2919"/>
      <c r="AH24" s="2919"/>
      <c r="AI24" s="2919"/>
      <c r="AJ24" s="2921">
        <f t="shared" si="36"/>
        <v>960</v>
      </c>
      <c r="AK24" s="2921"/>
      <c r="AL24" s="2921"/>
      <c r="AM24" s="2921"/>
      <c r="AN24" s="2922"/>
      <c r="AO24" s="2923"/>
      <c r="AP24" s="2921"/>
      <c r="AQ24" s="2921">
        <f t="shared" si="37"/>
        <v>240</v>
      </c>
      <c r="AR24" s="2924"/>
      <c r="AS24" s="2923">
        <f t="shared" si="38"/>
        <v>240</v>
      </c>
      <c r="AT24" s="2921">
        <f t="shared" si="39"/>
        <v>240</v>
      </c>
      <c r="AU24" s="2921"/>
      <c r="AV24" s="2924">
        <f t="shared" si="40"/>
        <v>240</v>
      </c>
      <c r="AW24" s="2923"/>
      <c r="AX24" s="2921"/>
      <c r="AY24" s="2921"/>
      <c r="AZ24" s="2924"/>
      <c r="BA24" s="2923"/>
      <c r="BB24" s="2924"/>
      <c r="BC24" s="2925"/>
      <c r="BD24" s="2921">
        <f t="shared" si="41"/>
        <v>960</v>
      </c>
      <c r="BE24" s="2921"/>
      <c r="BF24" s="2921">
        <f t="shared" si="4"/>
        <v>960</v>
      </c>
      <c r="BG24" s="2921" t="s">
        <v>9164</v>
      </c>
      <c r="BH24" s="2921"/>
      <c r="BI24" s="2921">
        <f t="shared" si="42"/>
        <v>240</v>
      </c>
      <c r="BJ24" s="2921">
        <f t="shared" ref="BJ24:BP24" si="62">BI24</f>
        <v>240</v>
      </c>
      <c r="BK24" s="2921">
        <f t="shared" si="62"/>
        <v>240</v>
      </c>
      <c r="BL24" s="2921">
        <f t="shared" si="62"/>
        <v>240</v>
      </c>
      <c r="BM24" s="2926">
        <f t="shared" si="62"/>
        <v>240</v>
      </c>
      <c r="BN24" s="2921">
        <f t="shared" si="62"/>
        <v>240</v>
      </c>
      <c r="BO24" s="2926">
        <f t="shared" si="62"/>
        <v>240</v>
      </c>
      <c r="BP24" s="2921">
        <f t="shared" si="62"/>
        <v>240</v>
      </c>
      <c r="BQ24" s="2926">
        <f t="shared" si="1"/>
        <v>238985</v>
      </c>
      <c r="BR24" s="2926">
        <f t="shared" ref="BR24:BY24" si="63">BR23-BI24</f>
        <v>23632.25</v>
      </c>
      <c r="BS24" s="2926">
        <f t="shared" si="63"/>
        <v>23632.25</v>
      </c>
      <c r="BT24" s="2926">
        <f t="shared" si="63"/>
        <v>23504.25</v>
      </c>
      <c r="BU24" s="2926">
        <f t="shared" si="63"/>
        <v>23504.25</v>
      </c>
      <c r="BV24" s="2926">
        <f t="shared" si="63"/>
        <v>38710.25</v>
      </c>
      <c r="BW24" s="2926">
        <f t="shared" si="63"/>
        <v>38710.25</v>
      </c>
      <c r="BX24" s="2926">
        <f t="shared" si="63"/>
        <v>24124.25</v>
      </c>
      <c r="BY24" s="2926">
        <f t="shared" si="63"/>
        <v>24124.25</v>
      </c>
      <c r="BZ24" s="2912"/>
      <c r="CA24" s="2927"/>
      <c r="CB24" s="2927"/>
      <c r="CC24" s="2927"/>
      <c r="CD24" s="2927"/>
      <c r="CE24" s="2927"/>
      <c r="CF24" s="2927"/>
      <c r="CG24" s="2927"/>
      <c r="CH24" s="2927"/>
      <c r="CI24" s="2927"/>
      <c r="CJ24" s="2927"/>
      <c r="CK24" s="2927"/>
      <c r="CL24" s="2927"/>
      <c r="CM24" s="2927"/>
      <c r="CN24" s="2927"/>
      <c r="CO24" s="2927"/>
      <c r="CP24" s="2927"/>
      <c r="CQ24" s="2927"/>
      <c r="CR24" s="2927"/>
      <c r="CS24" s="2927"/>
      <c r="CT24" s="2927"/>
      <c r="CU24" s="2927"/>
      <c r="CV24" s="2927"/>
      <c r="CW24" s="2927"/>
      <c r="CX24" s="2927"/>
      <c r="CY24" s="2927"/>
      <c r="CZ24" s="2927"/>
      <c r="DA24" s="2927"/>
      <c r="DB24" s="2927"/>
      <c r="DC24" s="2927"/>
      <c r="DD24" s="2927"/>
      <c r="DE24" s="2927"/>
      <c r="DF24" s="2927"/>
      <c r="DG24" s="2927"/>
      <c r="DH24" s="2927"/>
      <c r="DI24" s="2927"/>
      <c r="DJ24" s="2927"/>
      <c r="DK24" s="2927"/>
      <c r="DL24" s="2927"/>
      <c r="DM24" s="2927"/>
      <c r="DN24" s="2927"/>
      <c r="DO24" s="2927"/>
      <c r="DP24" s="2927"/>
      <c r="DQ24" s="2927"/>
      <c r="DR24" s="2927"/>
      <c r="DS24" s="2927"/>
      <c r="DT24" s="2927"/>
      <c r="DU24" s="2927"/>
      <c r="DV24" s="2927"/>
      <c r="DW24" s="2927"/>
      <c r="DX24" s="2927"/>
      <c r="DY24" s="2927"/>
      <c r="DZ24" s="2927"/>
      <c r="EA24" s="2927"/>
      <c r="EB24" s="2927"/>
      <c r="EC24" s="2927"/>
      <c r="ED24" s="2927"/>
      <c r="EE24" s="2927"/>
      <c r="EF24" s="2927"/>
      <c r="EG24" s="2927"/>
      <c r="EH24" s="2927"/>
      <c r="EI24" s="2927"/>
      <c r="EJ24" s="2927"/>
      <c r="EK24" s="2927"/>
      <c r="EL24" s="2927"/>
      <c r="EM24" s="2927"/>
      <c r="EN24" s="2927"/>
      <c r="EO24" s="2927"/>
      <c r="EP24" s="2927"/>
      <c r="EQ24" s="2927"/>
      <c r="ER24" s="2927"/>
      <c r="ES24" s="2927"/>
      <c r="ET24" s="2927"/>
      <c r="EU24" s="2927"/>
      <c r="EV24" s="2927"/>
      <c r="EW24" s="2927"/>
      <c r="EX24" s="2927"/>
      <c r="EY24" s="2927"/>
      <c r="EZ24" s="2927"/>
      <c r="FA24" s="2927"/>
      <c r="FB24" s="2927"/>
      <c r="FC24" s="2927"/>
      <c r="FD24" s="2927"/>
      <c r="FE24" s="2927"/>
      <c r="FF24" s="2927"/>
      <c r="FG24" s="2927"/>
      <c r="FH24" s="2927"/>
      <c r="FI24" s="2927"/>
      <c r="FJ24" s="2927"/>
      <c r="FK24" s="2927"/>
      <c r="FL24" s="2927"/>
      <c r="FM24" s="2927"/>
      <c r="FN24" s="2927"/>
      <c r="FO24" s="2927"/>
      <c r="FP24" s="2927"/>
      <c r="FQ24" s="2927"/>
      <c r="FR24" s="2927"/>
      <c r="FS24" s="2927"/>
      <c r="FT24" s="2927"/>
      <c r="FU24" s="2927"/>
      <c r="FV24" s="2927"/>
      <c r="FW24" s="2927"/>
      <c r="FX24" s="2927"/>
      <c r="FY24" s="2927"/>
      <c r="FZ24" s="2927"/>
      <c r="GA24" s="2927"/>
      <c r="GB24" s="2927"/>
      <c r="GC24" s="2927"/>
      <c r="GD24" s="2927"/>
      <c r="GE24" s="2927"/>
      <c r="GF24" s="2927"/>
      <c r="GG24" s="2927"/>
      <c r="GH24" s="2927"/>
      <c r="GI24" s="2927"/>
      <c r="GJ24" s="2927"/>
      <c r="GK24" s="2927"/>
      <c r="GL24" s="2927"/>
      <c r="GM24" s="2927"/>
      <c r="GN24" s="2927"/>
      <c r="GO24" s="2927"/>
      <c r="GP24" s="2927"/>
      <c r="GQ24" s="2927"/>
      <c r="GR24" s="2927"/>
      <c r="GS24" s="2927"/>
      <c r="GT24" s="2927"/>
      <c r="GU24" s="2927"/>
      <c r="GV24" s="2927"/>
      <c r="GW24" s="2927"/>
      <c r="GX24" s="2927"/>
      <c r="GY24" s="2927"/>
      <c r="GZ24" s="2927"/>
      <c r="HA24" s="2927"/>
      <c r="HB24" s="2927"/>
      <c r="HC24" s="2927"/>
      <c r="HD24" s="2927"/>
      <c r="HE24" s="2927"/>
      <c r="HF24" s="2927"/>
      <c r="HG24" s="2927"/>
      <c r="HH24" s="2927"/>
      <c r="HI24" s="2927"/>
      <c r="HJ24" s="2927"/>
      <c r="HK24" s="2927"/>
      <c r="HL24" s="2927"/>
      <c r="HM24" s="2927"/>
      <c r="HN24" s="2927"/>
      <c r="HO24" s="2927"/>
      <c r="HP24" s="2927"/>
      <c r="HQ24" s="2927"/>
      <c r="HR24" s="2927"/>
      <c r="HS24" s="2927"/>
      <c r="HT24" s="2927"/>
      <c r="HU24" s="2927"/>
      <c r="HV24" s="2927"/>
      <c r="HW24" s="2927"/>
      <c r="HX24" s="2927"/>
      <c r="HY24" s="2927"/>
      <c r="HZ24" s="2927"/>
      <c r="IA24" s="2927"/>
      <c r="IB24" s="2927"/>
      <c r="IC24" s="2927"/>
      <c r="ID24" s="2927"/>
      <c r="IE24" s="2927"/>
    </row>
    <row r="25" s="2838" customFormat="1" ht="32" customHeight="1" spans="1:239">
      <c r="A25" s="2905">
        <v>45579</v>
      </c>
      <c r="B25" s="2906" t="s">
        <v>6682</v>
      </c>
      <c r="C25" s="2907" t="s">
        <v>396</v>
      </c>
      <c r="D25" s="2908">
        <v>4500147525</v>
      </c>
      <c r="E25" s="2909" t="s">
        <v>10257</v>
      </c>
      <c r="F25" s="2908" t="s">
        <v>10258</v>
      </c>
      <c r="G25" s="2930" t="s">
        <v>10209</v>
      </c>
      <c r="H25" s="2911" t="s">
        <v>9155</v>
      </c>
      <c r="I25" s="2912">
        <v>466</v>
      </c>
      <c r="J25" s="2912">
        <v>0</v>
      </c>
      <c r="K25" s="2912">
        <v>1</v>
      </c>
      <c r="L25" s="2912">
        <f t="shared" si="0"/>
        <v>466</v>
      </c>
      <c r="M25" s="2913">
        <v>45722</v>
      </c>
      <c r="N25" s="2913">
        <v>45719</v>
      </c>
      <c r="O25" s="2914" t="s">
        <v>10259</v>
      </c>
      <c r="P25" s="2914" t="s">
        <v>10206</v>
      </c>
      <c r="Q25" s="2914" t="s">
        <v>889</v>
      </c>
      <c r="R25" s="2915" t="s">
        <v>3121</v>
      </c>
      <c r="S25" s="2915" t="s">
        <v>98</v>
      </c>
      <c r="T25" s="2915" t="s">
        <v>9293</v>
      </c>
      <c r="U25" s="2915"/>
      <c r="V25" s="2915"/>
      <c r="W25" s="2929" t="s">
        <v>10260</v>
      </c>
      <c r="X25" s="2912" t="s">
        <v>6688</v>
      </c>
      <c r="Y25" s="2917">
        <v>7.1318</v>
      </c>
      <c r="Z25" s="2918">
        <f t="shared" si="57"/>
        <v>3323.4188</v>
      </c>
      <c r="AA25" s="2912" t="s">
        <v>9388</v>
      </c>
      <c r="AB25" s="2912" t="s">
        <v>10211</v>
      </c>
      <c r="AC25" s="2912" t="s">
        <v>416</v>
      </c>
      <c r="AD25" s="2919"/>
      <c r="AE25" s="2919"/>
      <c r="AF25" s="2920">
        <f>I25</f>
        <v>466</v>
      </c>
      <c r="AG25" s="2919"/>
      <c r="AH25" s="2919"/>
      <c r="AI25" s="2919"/>
      <c r="AJ25" s="2921">
        <f t="shared" si="36"/>
        <v>466</v>
      </c>
      <c r="AK25" s="2921"/>
      <c r="AL25" s="2921"/>
      <c r="AM25" s="2921"/>
      <c r="AN25" s="2922"/>
      <c r="AO25" s="2923"/>
      <c r="AP25" s="2921"/>
      <c r="AQ25" s="2921">
        <f t="shared" si="37"/>
        <v>116.5</v>
      </c>
      <c r="AR25" s="2924"/>
      <c r="AS25" s="2923">
        <f t="shared" si="38"/>
        <v>116.5</v>
      </c>
      <c r="AT25" s="2921">
        <f t="shared" si="39"/>
        <v>116.5</v>
      </c>
      <c r="AU25" s="2921"/>
      <c r="AV25" s="2924">
        <f t="shared" si="40"/>
        <v>116.5</v>
      </c>
      <c r="AW25" s="2923"/>
      <c r="AX25" s="2921"/>
      <c r="AY25" s="2921"/>
      <c r="AZ25" s="2924"/>
      <c r="BA25" s="2923"/>
      <c r="BB25" s="2924"/>
      <c r="BC25" s="2925"/>
      <c r="BD25" s="2921"/>
      <c r="BE25" s="2921">
        <f>I25</f>
        <v>466</v>
      </c>
      <c r="BF25" s="2921">
        <f t="shared" si="4"/>
        <v>466</v>
      </c>
      <c r="BG25" s="2921" t="s">
        <v>9164</v>
      </c>
      <c r="BH25" s="2921"/>
      <c r="BI25" s="2921">
        <f t="shared" si="42"/>
        <v>116.5</v>
      </c>
      <c r="BJ25" s="2921">
        <f t="shared" ref="BJ25:BP25" si="64">BI25</f>
        <v>116.5</v>
      </c>
      <c r="BK25" s="2921">
        <f t="shared" si="64"/>
        <v>116.5</v>
      </c>
      <c r="BL25" s="2921">
        <f t="shared" si="64"/>
        <v>116.5</v>
      </c>
      <c r="BM25" s="2926">
        <f t="shared" si="64"/>
        <v>116.5</v>
      </c>
      <c r="BN25" s="2921">
        <f t="shared" si="64"/>
        <v>116.5</v>
      </c>
      <c r="BO25" s="2926">
        <f t="shared" si="64"/>
        <v>116.5</v>
      </c>
      <c r="BP25" s="2921">
        <f t="shared" si="64"/>
        <v>116.5</v>
      </c>
      <c r="BQ25" s="2926">
        <f t="shared" si="1"/>
        <v>238491</v>
      </c>
      <c r="BR25" s="2926">
        <f t="shared" ref="BR25:BY25" si="65">BR24-BI25</f>
        <v>23515.75</v>
      </c>
      <c r="BS25" s="2926">
        <f t="shared" si="65"/>
        <v>23515.75</v>
      </c>
      <c r="BT25" s="2926">
        <f t="shared" si="65"/>
        <v>23387.75</v>
      </c>
      <c r="BU25" s="2926">
        <f t="shared" si="65"/>
        <v>23387.75</v>
      </c>
      <c r="BV25" s="2926">
        <f t="shared" si="65"/>
        <v>38593.75</v>
      </c>
      <c r="BW25" s="2926">
        <f t="shared" si="65"/>
        <v>38593.75</v>
      </c>
      <c r="BX25" s="2926">
        <f t="shared" si="65"/>
        <v>24007.75</v>
      </c>
      <c r="BY25" s="2926">
        <f t="shared" si="65"/>
        <v>24007.75</v>
      </c>
      <c r="BZ25" s="2912"/>
      <c r="CA25" s="2927"/>
      <c r="CB25" s="2927"/>
      <c r="CC25" s="2927"/>
      <c r="CD25" s="2927"/>
      <c r="CE25" s="2927"/>
      <c r="CF25" s="2927"/>
      <c r="CG25" s="2927"/>
      <c r="CH25" s="2927"/>
      <c r="CI25" s="2927"/>
      <c r="CJ25" s="2927"/>
      <c r="CK25" s="2927"/>
      <c r="CL25" s="2927"/>
      <c r="CM25" s="2927"/>
      <c r="CN25" s="2927"/>
      <c r="CO25" s="2927"/>
      <c r="CP25" s="2927"/>
      <c r="CQ25" s="2927"/>
      <c r="CR25" s="2927"/>
      <c r="CS25" s="2927"/>
      <c r="CT25" s="2927"/>
      <c r="CU25" s="2927"/>
      <c r="CV25" s="2927"/>
      <c r="CW25" s="2927"/>
      <c r="CX25" s="2927"/>
      <c r="CY25" s="2927"/>
      <c r="CZ25" s="2927"/>
      <c r="DA25" s="2927"/>
      <c r="DB25" s="2927"/>
      <c r="DC25" s="2927"/>
      <c r="DD25" s="2927"/>
      <c r="DE25" s="2927"/>
      <c r="DF25" s="2927"/>
      <c r="DG25" s="2927"/>
      <c r="DH25" s="2927"/>
      <c r="DI25" s="2927"/>
      <c r="DJ25" s="2927"/>
      <c r="DK25" s="2927"/>
      <c r="DL25" s="2927"/>
      <c r="DM25" s="2927"/>
      <c r="DN25" s="2927"/>
      <c r="DO25" s="2927"/>
      <c r="DP25" s="2927"/>
      <c r="DQ25" s="2927"/>
      <c r="DR25" s="2927"/>
      <c r="DS25" s="2927"/>
      <c r="DT25" s="2927"/>
      <c r="DU25" s="2927"/>
      <c r="DV25" s="2927"/>
      <c r="DW25" s="2927"/>
      <c r="DX25" s="2927"/>
      <c r="DY25" s="2927"/>
      <c r="DZ25" s="2927"/>
      <c r="EA25" s="2927"/>
      <c r="EB25" s="2927"/>
      <c r="EC25" s="2927"/>
      <c r="ED25" s="2927"/>
      <c r="EE25" s="2927"/>
      <c r="EF25" s="2927"/>
      <c r="EG25" s="2927"/>
      <c r="EH25" s="2927"/>
      <c r="EI25" s="2927"/>
      <c r="EJ25" s="2927"/>
      <c r="EK25" s="2927"/>
      <c r="EL25" s="2927"/>
      <c r="EM25" s="2927"/>
      <c r="EN25" s="2927"/>
      <c r="EO25" s="2927"/>
      <c r="EP25" s="2927"/>
      <c r="EQ25" s="2927"/>
      <c r="ER25" s="2927"/>
      <c r="ES25" s="2927"/>
      <c r="ET25" s="2927"/>
      <c r="EU25" s="2927"/>
      <c r="EV25" s="2927"/>
      <c r="EW25" s="2927"/>
      <c r="EX25" s="2927"/>
      <c r="EY25" s="2927"/>
      <c r="EZ25" s="2927"/>
      <c r="FA25" s="2927"/>
      <c r="FB25" s="2927"/>
      <c r="FC25" s="2927"/>
      <c r="FD25" s="2927"/>
      <c r="FE25" s="2927"/>
      <c r="FF25" s="2927"/>
      <c r="FG25" s="2927"/>
      <c r="FH25" s="2927"/>
      <c r="FI25" s="2927"/>
      <c r="FJ25" s="2927"/>
      <c r="FK25" s="2927"/>
      <c r="FL25" s="2927"/>
      <c r="FM25" s="2927"/>
      <c r="FN25" s="2927"/>
      <c r="FO25" s="2927"/>
      <c r="FP25" s="2927"/>
      <c r="FQ25" s="2927"/>
      <c r="FR25" s="2927"/>
      <c r="FS25" s="2927"/>
      <c r="FT25" s="2927"/>
      <c r="FU25" s="2927"/>
      <c r="FV25" s="2927"/>
      <c r="FW25" s="2927"/>
      <c r="FX25" s="2927"/>
      <c r="FY25" s="2927"/>
      <c r="FZ25" s="2927"/>
      <c r="GA25" s="2927"/>
      <c r="GB25" s="2927"/>
      <c r="GC25" s="2927"/>
      <c r="GD25" s="2927"/>
      <c r="GE25" s="2927"/>
      <c r="GF25" s="2927"/>
      <c r="GG25" s="2927"/>
      <c r="GH25" s="2927"/>
      <c r="GI25" s="2927"/>
      <c r="GJ25" s="2927"/>
      <c r="GK25" s="2927"/>
      <c r="GL25" s="2927"/>
      <c r="GM25" s="2927"/>
      <c r="GN25" s="2927"/>
      <c r="GO25" s="2927"/>
      <c r="GP25" s="2927"/>
      <c r="GQ25" s="2927"/>
      <c r="GR25" s="2927"/>
      <c r="GS25" s="2927"/>
      <c r="GT25" s="2927"/>
      <c r="GU25" s="2927"/>
      <c r="GV25" s="2927"/>
      <c r="GW25" s="2927"/>
      <c r="GX25" s="2927"/>
      <c r="GY25" s="2927"/>
      <c r="GZ25" s="2927"/>
      <c r="HA25" s="2927"/>
      <c r="HB25" s="2927"/>
      <c r="HC25" s="2927"/>
      <c r="HD25" s="2927"/>
      <c r="HE25" s="2927"/>
      <c r="HF25" s="2927"/>
      <c r="HG25" s="2927"/>
      <c r="HH25" s="2927"/>
      <c r="HI25" s="2927"/>
      <c r="HJ25" s="2927"/>
      <c r="HK25" s="2927"/>
      <c r="HL25" s="2927"/>
      <c r="HM25" s="2927"/>
      <c r="HN25" s="2927"/>
      <c r="HO25" s="2927"/>
      <c r="HP25" s="2927"/>
      <c r="HQ25" s="2927"/>
      <c r="HR25" s="2927"/>
      <c r="HS25" s="2927"/>
      <c r="HT25" s="2927"/>
      <c r="HU25" s="2927"/>
      <c r="HV25" s="2927"/>
      <c r="HW25" s="2927"/>
      <c r="HX25" s="2927"/>
      <c r="HY25" s="2927"/>
      <c r="HZ25" s="2927"/>
      <c r="IA25" s="2927"/>
      <c r="IB25" s="2927"/>
      <c r="IC25" s="2927"/>
      <c r="ID25" s="2927"/>
      <c r="IE25" s="2927"/>
    </row>
    <row r="26" s="2838" customFormat="1" ht="35" customHeight="1" spans="1:239">
      <c r="A26" s="2905">
        <v>45637</v>
      </c>
      <c r="B26" s="2906" t="s">
        <v>2732</v>
      </c>
      <c r="C26" s="2907" t="s">
        <v>10261</v>
      </c>
      <c r="D26" s="2908">
        <v>4500153609</v>
      </c>
      <c r="E26" s="2909" t="s">
        <v>10262</v>
      </c>
      <c r="F26" s="2908" t="s">
        <v>10263</v>
      </c>
      <c r="G26" s="2930" t="s">
        <v>10199</v>
      </c>
      <c r="H26" s="2911" t="s">
        <v>9155</v>
      </c>
      <c r="I26" s="2912">
        <v>376</v>
      </c>
      <c r="J26" s="2912">
        <v>0</v>
      </c>
      <c r="K26" s="2912">
        <v>4</v>
      </c>
      <c r="L26" s="2912">
        <f t="shared" si="0"/>
        <v>94</v>
      </c>
      <c r="M26" s="2913">
        <v>45726</v>
      </c>
      <c r="N26" s="2913">
        <v>45722</v>
      </c>
      <c r="O26" s="2914"/>
      <c r="P26" s="2914" t="s">
        <v>10206</v>
      </c>
      <c r="Q26" s="2914" t="s">
        <v>3114</v>
      </c>
      <c r="R26" s="2915" t="s">
        <v>2807</v>
      </c>
      <c r="S26" s="2915"/>
      <c r="T26" s="2915" t="s">
        <v>98</v>
      </c>
      <c r="U26" s="2915"/>
      <c r="V26" s="2915"/>
      <c r="W26" s="2929" t="s">
        <v>10264</v>
      </c>
      <c r="X26" s="2912" t="s">
        <v>2735</v>
      </c>
      <c r="Y26" s="2917">
        <v>7.3277</v>
      </c>
      <c r="Z26" s="2918">
        <f t="shared" si="57"/>
        <v>2755.2152</v>
      </c>
      <c r="AA26" s="2912" t="s">
        <v>9398</v>
      </c>
      <c r="AB26" s="2906" t="s">
        <v>10199</v>
      </c>
      <c r="AC26" s="2912" t="s">
        <v>416</v>
      </c>
      <c r="AD26" s="2919">
        <f t="shared" ref="AD26:AD28" si="66">I26</f>
        <v>376</v>
      </c>
      <c r="AE26" s="2919"/>
      <c r="AF26" s="2920"/>
      <c r="AG26" s="2919"/>
      <c r="AH26" s="2919"/>
      <c r="AI26" s="2919"/>
      <c r="AJ26" s="2921">
        <f t="shared" si="36"/>
        <v>376</v>
      </c>
      <c r="AK26" s="2921"/>
      <c r="AL26" s="2921"/>
      <c r="AM26" s="2921"/>
      <c r="AN26" s="2922"/>
      <c r="AO26" s="2923"/>
      <c r="AP26" s="2921"/>
      <c r="AQ26" s="2921">
        <f t="shared" si="37"/>
        <v>94</v>
      </c>
      <c r="AR26" s="2924"/>
      <c r="AS26" s="2923">
        <f t="shared" si="38"/>
        <v>94</v>
      </c>
      <c r="AT26" s="2921">
        <f t="shared" si="39"/>
        <v>94</v>
      </c>
      <c r="AU26" s="2921"/>
      <c r="AV26" s="2924">
        <f t="shared" si="40"/>
        <v>94</v>
      </c>
      <c r="AW26" s="2923"/>
      <c r="AX26" s="2921"/>
      <c r="AY26" s="2921"/>
      <c r="AZ26" s="2924"/>
      <c r="BA26" s="2923"/>
      <c r="BB26" s="2924"/>
      <c r="BC26" s="2925"/>
      <c r="BD26" s="2921">
        <f t="shared" ref="BD26:BD38" si="67">I26</f>
        <v>376</v>
      </c>
      <c r="BE26" s="2921"/>
      <c r="BF26" s="2921">
        <f t="shared" si="4"/>
        <v>376</v>
      </c>
      <c r="BG26" s="2921" t="s">
        <v>9164</v>
      </c>
      <c r="BH26" s="2921"/>
      <c r="BI26" s="2921">
        <f t="shared" si="42"/>
        <v>94</v>
      </c>
      <c r="BJ26" s="2921">
        <f t="shared" ref="BJ26:BP26" si="68">BI26</f>
        <v>94</v>
      </c>
      <c r="BK26" s="2921">
        <f t="shared" si="68"/>
        <v>94</v>
      </c>
      <c r="BL26" s="2921">
        <f t="shared" si="68"/>
        <v>94</v>
      </c>
      <c r="BM26" s="2926">
        <f t="shared" si="68"/>
        <v>94</v>
      </c>
      <c r="BN26" s="2921">
        <f t="shared" si="68"/>
        <v>94</v>
      </c>
      <c r="BO26" s="2926">
        <f t="shared" si="68"/>
        <v>94</v>
      </c>
      <c r="BP26" s="2921">
        <f t="shared" si="68"/>
        <v>94</v>
      </c>
      <c r="BQ26" s="2926">
        <f t="shared" si="1"/>
        <v>238401</v>
      </c>
      <c r="BR26" s="2926">
        <f t="shared" ref="BR26:BY26" si="69">BR25-BI26</f>
        <v>23421.75</v>
      </c>
      <c r="BS26" s="2926">
        <f t="shared" si="69"/>
        <v>23421.75</v>
      </c>
      <c r="BT26" s="2926">
        <f t="shared" si="69"/>
        <v>23293.75</v>
      </c>
      <c r="BU26" s="2926">
        <f t="shared" si="69"/>
        <v>23293.75</v>
      </c>
      <c r="BV26" s="2926">
        <f t="shared" si="69"/>
        <v>38499.75</v>
      </c>
      <c r="BW26" s="2926">
        <f t="shared" si="69"/>
        <v>38499.75</v>
      </c>
      <c r="BX26" s="2926">
        <f t="shared" si="69"/>
        <v>23913.75</v>
      </c>
      <c r="BY26" s="2926">
        <f t="shared" si="69"/>
        <v>23913.75</v>
      </c>
      <c r="BZ26" s="2912"/>
      <c r="CA26" s="2927"/>
      <c r="CB26" s="2927"/>
      <c r="CC26" s="2927"/>
      <c r="CD26" s="2927"/>
      <c r="CE26" s="2927"/>
      <c r="CF26" s="2927"/>
      <c r="CG26" s="2927"/>
      <c r="CH26" s="2927"/>
      <c r="CI26" s="2927"/>
      <c r="CJ26" s="2927"/>
      <c r="CK26" s="2927"/>
      <c r="CL26" s="2927"/>
      <c r="CM26" s="2927"/>
      <c r="CN26" s="2927"/>
      <c r="CO26" s="2927"/>
      <c r="CP26" s="2927"/>
      <c r="CQ26" s="2927"/>
      <c r="CR26" s="2927"/>
      <c r="CS26" s="2927"/>
      <c r="CT26" s="2927"/>
      <c r="CU26" s="2927"/>
      <c r="CV26" s="2927"/>
      <c r="CW26" s="2927"/>
      <c r="CX26" s="2927"/>
      <c r="CY26" s="2927"/>
      <c r="CZ26" s="2927"/>
      <c r="DA26" s="2927"/>
      <c r="DB26" s="2927"/>
      <c r="DC26" s="2927"/>
      <c r="DD26" s="2927"/>
      <c r="DE26" s="2927"/>
      <c r="DF26" s="2927"/>
      <c r="DG26" s="2927"/>
      <c r="DH26" s="2927"/>
      <c r="DI26" s="2927"/>
      <c r="DJ26" s="2927"/>
      <c r="DK26" s="2927"/>
      <c r="DL26" s="2927"/>
      <c r="DM26" s="2927"/>
      <c r="DN26" s="2927"/>
      <c r="DO26" s="2927"/>
      <c r="DP26" s="2927"/>
      <c r="DQ26" s="2927"/>
      <c r="DR26" s="2927"/>
      <c r="DS26" s="2927"/>
      <c r="DT26" s="2927"/>
      <c r="DU26" s="2927"/>
      <c r="DV26" s="2927"/>
      <c r="DW26" s="2927"/>
      <c r="DX26" s="2927"/>
      <c r="DY26" s="2927"/>
      <c r="DZ26" s="2927"/>
      <c r="EA26" s="2927"/>
      <c r="EB26" s="2927"/>
      <c r="EC26" s="2927"/>
      <c r="ED26" s="2927"/>
      <c r="EE26" s="2927"/>
      <c r="EF26" s="2927"/>
      <c r="EG26" s="2927"/>
      <c r="EH26" s="2927"/>
      <c r="EI26" s="2927"/>
      <c r="EJ26" s="2927"/>
      <c r="EK26" s="2927"/>
      <c r="EL26" s="2927"/>
      <c r="EM26" s="2927"/>
      <c r="EN26" s="2927"/>
      <c r="EO26" s="2927"/>
      <c r="EP26" s="2927"/>
      <c r="EQ26" s="2927"/>
      <c r="ER26" s="2927"/>
      <c r="ES26" s="2927"/>
      <c r="ET26" s="2927"/>
      <c r="EU26" s="2927"/>
      <c r="EV26" s="2927"/>
      <c r="EW26" s="2927"/>
      <c r="EX26" s="2927"/>
      <c r="EY26" s="2927"/>
      <c r="EZ26" s="2927"/>
      <c r="FA26" s="2927"/>
      <c r="FB26" s="2927"/>
      <c r="FC26" s="2927"/>
      <c r="FD26" s="2927"/>
      <c r="FE26" s="2927"/>
      <c r="FF26" s="2927"/>
      <c r="FG26" s="2927"/>
      <c r="FH26" s="2927"/>
      <c r="FI26" s="2927"/>
      <c r="FJ26" s="2927"/>
      <c r="FK26" s="2927"/>
      <c r="FL26" s="2927"/>
      <c r="FM26" s="2927"/>
      <c r="FN26" s="2927"/>
      <c r="FO26" s="2927"/>
      <c r="FP26" s="2927"/>
      <c r="FQ26" s="2927"/>
      <c r="FR26" s="2927"/>
      <c r="FS26" s="2927"/>
      <c r="FT26" s="2927"/>
      <c r="FU26" s="2927"/>
      <c r="FV26" s="2927"/>
      <c r="FW26" s="2927"/>
      <c r="FX26" s="2927"/>
      <c r="FY26" s="2927"/>
      <c r="FZ26" s="2927"/>
      <c r="GA26" s="2927"/>
      <c r="GB26" s="2927"/>
      <c r="GC26" s="2927"/>
      <c r="GD26" s="2927"/>
      <c r="GE26" s="2927"/>
      <c r="GF26" s="2927"/>
      <c r="GG26" s="2927"/>
      <c r="GH26" s="2927"/>
      <c r="GI26" s="2927"/>
      <c r="GJ26" s="2927"/>
      <c r="GK26" s="2927"/>
      <c r="GL26" s="2927"/>
      <c r="GM26" s="2927"/>
      <c r="GN26" s="2927"/>
      <c r="GO26" s="2927"/>
      <c r="GP26" s="2927"/>
      <c r="GQ26" s="2927"/>
      <c r="GR26" s="2927"/>
      <c r="GS26" s="2927"/>
      <c r="GT26" s="2927"/>
      <c r="GU26" s="2927"/>
      <c r="GV26" s="2927"/>
      <c r="GW26" s="2927"/>
      <c r="GX26" s="2927"/>
      <c r="GY26" s="2927"/>
      <c r="GZ26" s="2927"/>
      <c r="HA26" s="2927"/>
      <c r="HB26" s="2927"/>
      <c r="HC26" s="2927"/>
      <c r="HD26" s="2927"/>
      <c r="HE26" s="2927"/>
      <c r="HF26" s="2927"/>
      <c r="HG26" s="2927"/>
      <c r="HH26" s="2927"/>
      <c r="HI26" s="2927"/>
      <c r="HJ26" s="2927"/>
      <c r="HK26" s="2927"/>
      <c r="HL26" s="2927"/>
      <c r="HM26" s="2927"/>
      <c r="HN26" s="2927"/>
      <c r="HO26" s="2927"/>
      <c r="HP26" s="2927"/>
      <c r="HQ26" s="2927"/>
      <c r="HR26" s="2927"/>
      <c r="HS26" s="2927"/>
      <c r="HT26" s="2927"/>
      <c r="HU26" s="2927"/>
      <c r="HV26" s="2927"/>
      <c r="HW26" s="2927"/>
      <c r="HX26" s="2927"/>
      <c r="HY26" s="2927"/>
      <c r="HZ26" s="2927"/>
      <c r="IA26" s="2927"/>
      <c r="IB26" s="2927"/>
      <c r="IC26" s="2927"/>
      <c r="ID26" s="2927"/>
      <c r="IE26" s="2927"/>
    </row>
    <row r="27" s="2838" customFormat="1" ht="35" customHeight="1" spans="1:239">
      <c r="A27" s="2905">
        <v>45637</v>
      </c>
      <c r="B27" s="2906" t="s">
        <v>2732</v>
      </c>
      <c r="C27" s="2907" t="s">
        <v>840</v>
      </c>
      <c r="D27" s="2908">
        <v>4500153723</v>
      </c>
      <c r="E27" s="2909" t="s">
        <v>10265</v>
      </c>
      <c r="F27" s="2908" t="s">
        <v>10266</v>
      </c>
      <c r="G27" s="2930" t="s">
        <v>10199</v>
      </c>
      <c r="H27" s="2911" t="s">
        <v>9155</v>
      </c>
      <c r="I27" s="2912">
        <v>124</v>
      </c>
      <c r="J27" s="2912">
        <v>0</v>
      </c>
      <c r="K27" s="2912">
        <v>4</v>
      </c>
      <c r="L27" s="2912">
        <f t="shared" si="0"/>
        <v>31</v>
      </c>
      <c r="M27" s="2913">
        <v>45726</v>
      </c>
      <c r="N27" s="2913">
        <v>45722</v>
      </c>
      <c r="O27" s="2914"/>
      <c r="P27" s="2914" t="s">
        <v>10206</v>
      </c>
      <c r="Q27" s="2914" t="s">
        <v>3114</v>
      </c>
      <c r="R27" s="2915" t="s">
        <v>2807</v>
      </c>
      <c r="S27" s="2915"/>
      <c r="T27" s="2915" t="s">
        <v>98</v>
      </c>
      <c r="U27" s="2915"/>
      <c r="V27" s="2915"/>
      <c r="W27" s="2929" t="s">
        <v>10267</v>
      </c>
      <c r="X27" s="2912" t="s">
        <v>2735</v>
      </c>
      <c r="Y27" s="2917">
        <v>7.0298</v>
      </c>
      <c r="Z27" s="2918">
        <f t="shared" si="57"/>
        <v>871.6952</v>
      </c>
      <c r="AA27" s="2912" t="s">
        <v>9401</v>
      </c>
      <c r="AB27" s="2906" t="s">
        <v>10199</v>
      </c>
      <c r="AC27" s="2912" t="s">
        <v>416</v>
      </c>
      <c r="AD27" s="2919">
        <f t="shared" si="66"/>
        <v>124</v>
      </c>
      <c r="AE27" s="2919"/>
      <c r="AF27" s="2920"/>
      <c r="AG27" s="2919"/>
      <c r="AH27" s="2919"/>
      <c r="AI27" s="2919"/>
      <c r="AJ27" s="2921">
        <f t="shared" si="36"/>
        <v>124</v>
      </c>
      <c r="AK27" s="2921"/>
      <c r="AL27" s="2921"/>
      <c r="AM27" s="2921"/>
      <c r="AN27" s="2922"/>
      <c r="AO27" s="2923"/>
      <c r="AP27" s="2921"/>
      <c r="AQ27" s="2921">
        <f t="shared" si="37"/>
        <v>31</v>
      </c>
      <c r="AR27" s="2924"/>
      <c r="AS27" s="2923">
        <f t="shared" si="38"/>
        <v>31</v>
      </c>
      <c r="AT27" s="2921">
        <f t="shared" si="39"/>
        <v>31</v>
      </c>
      <c r="AU27" s="2921"/>
      <c r="AV27" s="2924">
        <f t="shared" si="40"/>
        <v>31</v>
      </c>
      <c r="AW27" s="2923"/>
      <c r="AX27" s="2921"/>
      <c r="AY27" s="2921"/>
      <c r="AZ27" s="2924"/>
      <c r="BA27" s="2923"/>
      <c r="BB27" s="2924"/>
      <c r="BC27" s="2925"/>
      <c r="BD27" s="2921">
        <f t="shared" si="67"/>
        <v>124</v>
      </c>
      <c r="BE27" s="2921"/>
      <c r="BF27" s="2921">
        <f t="shared" si="4"/>
        <v>124</v>
      </c>
      <c r="BG27" s="2921" t="s">
        <v>9164</v>
      </c>
      <c r="BH27" s="2921"/>
      <c r="BI27" s="2921">
        <f t="shared" si="42"/>
        <v>31</v>
      </c>
      <c r="BJ27" s="2921">
        <f t="shared" ref="BJ27:BP27" si="70">BI27</f>
        <v>31</v>
      </c>
      <c r="BK27" s="2921">
        <f t="shared" si="70"/>
        <v>31</v>
      </c>
      <c r="BL27" s="2921">
        <f t="shared" si="70"/>
        <v>31</v>
      </c>
      <c r="BM27" s="2926">
        <f t="shared" si="70"/>
        <v>31</v>
      </c>
      <c r="BN27" s="2921">
        <f t="shared" si="70"/>
        <v>31</v>
      </c>
      <c r="BO27" s="2926">
        <f t="shared" si="70"/>
        <v>31</v>
      </c>
      <c r="BP27" s="2921">
        <f t="shared" si="70"/>
        <v>31</v>
      </c>
      <c r="BQ27" s="2926">
        <f t="shared" si="1"/>
        <v>238149</v>
      </c>
      <c r="BR27" s="2926">
        <f t="shared" ref="BR27:BY27" si="71">BR26-BI27</f>
        <v>23390.75</v>
      </c>
      <c r="BS27" s="2926">
        <f t="shared" si="71"/>
        <v>23390.75</v>
      </c>
      <c r="BT27" s="2926">
        <f t="shared" si="71"/>
        <v>23262.75</v>
      </c>
      <c r="BU27" s="2926">
        <f t="shared" si="71"/>
        <v>23262.75</v>
      </c>
      <c r="BV27" s="2926">
        <f t="shared" si="71"/>
        <v>38468.75</v>
      </c>
      <c r="BW27" s="2926">
        <f t="shared" si="71"/>
        <v>38468.75</v>
      </c>
      <c r="BX27" s="2926">
        <f t="shared" si="71"/>
        <v>23882.75</v>
      </c>
      <c r="BY27" s="2926">
        <f t="shared" si="71"/>
        <v>23882.75</v>
      </c>
      <c r="BZ27" s="2912"/>
      <c r="CA27" s="2927"/>
      <c r="CB27" s="2927"/>
      <c r="CC27" s="2927"/>
      <c r="CD27" s="2927"/>
      <c r="CE27" s="2927"/>
      <c r="CF27" s="2927"/>
      <c r="CG27" s="2927"/>
      <c r="CH27" s="2927"/>
      <c r="CI27" s="2927"/>
      <c r="CJ27" s="2927"/>
      <c r="CK27" s="2927"/>
      <c r="CL27" s="2927"/>
      <c r="CM27" s="2927"/>
      <c r="CN27" s="2927"/>
      <c r="CO27" s="2927"/>
      <c r="CP27" s="2927"/>
      <c r="CQ27" s="2927"/>
      <c r="CR27" s="2927"/>
      <c r="CS27" s="2927"/>
      <c r="CT27" s="2927"/>
      <c r="CU27" s="2927"/>
      <c r="CV27" s="2927"/>
      <c r="CW27" s="2927"/>
      <c r="CX27" s="2927"/>
      <c r="CY27" s="2927"/>
      <c r="CZ27" s="2927"/>
      <c r="DA27" s="2927"/>
      <c r="DB27" s="2927"/>
      <c r="DC27" s="2927"/>
      <c r="DD27" s="2927"/>
      <c r="DE27" s="2927"/>
      <c r="DF27" s="2927"/>
      <c r="DG27" s="2927"/>
      <c r="DH27" s="2927"/>
      <c r="DI27" s="2927"/>
      <c r="DJ27" s="2927"/>
      <c r="DK27" s="2927"/>
      <c r="DL27" s="2927"/>
      <c r="DM27" s="2927"/>
      <c r="DN27" s="2927"/>
      <c r="DO27" s="2927"/>
      <c r="DP27" s="2927"/>
      <c r="DQ27" s="2927"/>
      <c r="DR27" s="2927"/>
      <c r="DS27" s="2927"/>
      <c r="DT27" s="2927"/>
      <c r="DU27" s="2927"/>
      <c r="DV27" s="2927"/>
      <c r="DW27" s="2927"/>
      <c r="DX27" s="2927"/>
      <c r="DY27" s="2927"/>
      <c r="DZ27" s="2927"/>
      <c r="EA27" s="2927"/>
      <c r="EB27" s="2927"/>
      <c r="EC27" s="2927"/>
      <c r="ED27" s="2927"/>
      <c r="EE27" s="2927"/>
      <c r="EF27" s="2927"/>
      <c r="EG27" s="2927"/>
      <c r="EH27" s="2927"/>
      <c r="EI27" s="2927"/>
      <c r="EJ27" s="2927"/>
      <c r="EK27" s="2927"/>
      <c r="EL27" s="2927"/>
      <c r="EM27" s="2927"/>
      <c r="EN27" s="2927"/>
      <c r="EO27" s="2927"/>
      <c r="EP27" s="2927"/>
      <c r="EQ27" s="2927"/>
      <c r="ER27" s="2927"/>
      <c r="ES27" s="2927"/>
      <c r="ET27" s="2927"/>
      <c r="EU27" s="2927"/>
      <c r="EV27" s="2927"/>
      <c r="EW27" s="2927"/>
      <c r="EX27" s="2927"/>
      <c r="EY27" s="2927"/>
      <c r="EZ27" s="2927"/>
      <c r="FA27" s="2927"/>
      <c r="FB27" s="2927"/>
      <c r="FC27" s="2927"/>
      <c r="FD27" s="2927"/>
      <c r="FE27" s="2927"/>
      <c r="FF27" s="2927"/>
      <c r="FG27" s="2927"/>
      <c r="FH27" s="2927"/>
      <c r="FI27" s="2927"/>
      <c r="FJ27" s="2927"/>
      <c r="FK27" s="2927"/>
      <c r="FL27" s="2927"/>
      <c r="FM27" s="2927"/>
      <c r="FN27" s="2927"/>
      <c r="FO27" s="2927"/>
      <c r="FP27" s="2927"/>
      <c r="FQ27" s="2927"/>
      <c r="FR27" s="2927"/>
      <c r="FS27" s="2927"/>
      <c r="FT27" s="2927"/>
      <c r="FU27" s="2927"/>
      <c r="FV27" s="2927"/>
      <c r="FW27" s="2927"/>
      <c r="FX27" s="2927"/>
      <c r="FY27" s="2927"/>
      <c r="FZ27" s="2927"/>
      <c r="GA27" s="2927"/>
      <c r="GB27" s="2927"/>
      <c r="GC27" s="2927"/>
      <c r="GD27" s="2927"/>
      <c r="GE27" s="2927"/>
      <c r="GF27" s="2927"/>
      <c r="GG27" s="2927"/>
      <c r="GH27" s="2927"/>
      <c r="GI27" s="2927"/>
      <c r="GJ27" s="2927"/>
      <c r="GK27" s="2927"/>
      <c r="GL27" s="2927"/>
      <c r="GM27" s="2927"/>
      <c r="GN27" s="2927"/>
      <c r="GO27" s="2927"/>
      <c r="GP27" s="2927"/>
      <c r="GQ27" s="2927"/>
      <c r="GR27" s="2927"/>
      <c r="GS27" s="2927"/>
      <c r="GT27" s="2927"/>
      <c r="GU27" s="2927"/>
      <c r="GV27" s="2927"/>
      <c r="GW27" s="2927"/>
      <c r="GX27" s="2927"/>
      <c r="GY27" s="2927"/>
      <c r="GZ27" s="2927"/>
      <c r="HA27" s="2927"/>
      <c r="HB27" s="2927"/>
      <c r="HC27" s="2927"/>
      <c r="HD27" s="2927"/>
      <c r="HE27" s="2927"/>
      <c r="HF27" s="2927"/>
      <c r="HG27" s="2927"/>
      <c r="HH27" s="2927"/>
      <c r="HI27" s="2927"/>
      <c r="HJ27" s="2927"/>
      <c r="HK27" s="2927"/>
      <c r="HL27" s="2927"/>
      <c r="HM27" s="2927"/>
      <c r="HN27" s="2927"/>
      <c r="HO27" s="2927"/>
      <c r="HP27" s="2927"/>
      <c r="HQ27" s="2927"/>
      <c r="HR27" s="2927"/>
      <c r="HS27" s="2927"/>
      <c r="HT27" s="2927"/>
      <c r="HU27" s="2927"/>
      <c r="HV27" s="2927"/>
      <c r="HW27" s="2927"/>
      <c r="HX27" s="2927"/>
      <c r="HY27" s="2927"/>
      <c r="HZ27" s="2927"/>
      <c r="IA27" s="2927"/>
      <c r="IB27" s="2927"/>
      <c r="IC27" s="2927"/>
      <c r="ID27" s="2927"/>
      <c r="IE27" s="2927"/>
    </row>
    <row r="28" s="2838" customFormat="1" ht="35" customHeight="1" spans="1:239">
      <c r="A28" s="2905">
        <v>45681</v>
      </c>
      <c r="B28" s="2906" t="s">
        <v>438</v>
      </c>
      <c r="C28" s="2907" t="s">
        <v>439</v>
      </c>
      <c r="D28" s="2908">
        <v>4500156433</v>
      </c>
      <c r="E28" s="2909" t="s">
        <v>9408</v>
      </c>
      <c r="F28" s="2908" t="s">
        <v>10268</v>
      </c>
      <c r="G28" s="2930" t="s">
        <v>10234</v>
      </c>
      <c r="H28" s="2911" t="s">
        <v>9356</v>
      </c>
      <c r="I28" s="2912">
        <v>2400</v>
      </c>
      <c r="J28" s="2912">
        <v>0</v>
      </c>
      <c r="K28" s="2912">
        <v>4</v>
      </c>
      <c r="L28" s="2912">
        <f t="shared" si="0"/>
        <v>600</v>
      </c>
      <c r="M28" s="2913">
        <v>45729</v>
      </c>
      <c r="N28" s="2913">
        <v>45726</v>
      </c>
      <c r="O28" s="2914"/>
      <c r="P28" s="2914" t="s">
        <v>10206</v>
      </c>
      <c r="Q28" s="2914" t="s">
        <v>803</v>
      </c>
      <c r="R28" s="2915" t="s">
        <v>9412</v>
      </c>
      <c r="S28" s="2915"/>
      <c r="T28" s="2915" t="s">
        <v>9413</v>
      </c>
      <c r="U28" s="2915"/>
      <c r="V28" s="2915" t="s">
        <v>9414</v>
      </c>
      <c r="W28" s="2929" t="s">
        <v>10269</v>
      </c>
      <c r="X28" s="2912" t="s">
        <v>448</v>
      </c>
      <c r="Y28" s="2917">
        <v>7.294</v>
      </c>
      <c r="Z28" s="2918">
        <f t="shared" si="57"/>
        <v>17505.6</v>
      </c>
      <c r="AA28" s="2912" t="s">
        <v>9416</v>
      </c>
      <c r="AB28" s="2906" t="s">
        <v>10270</v>
      </c>
      <c r="AC28" s="2912" t="s">
        <v>416</v>
      </c>
      <c r="AD28" s="2919">
        <f t="shared" si="66"/>
        <v>2400</v>
      </c>
      <c r="AE28" s="2919"/>
      <c r="AF28" s="2920"/>
      <c r="AG28" s="2919"/>
      <c r="AH28" s="2919"/>
      <c r="AI28" s="2919"/>
      <c r="AJ28" s="2921"/>
      <c r="AK28" s="2921"/>
      <c r="AL28" s="2921"/>
      <c r="AM28" s="2921"/>
      <c r="AN28" s="2922">
        <f>I28</f>
        <v>2400</v>
      </c>
      <c r="AO28" s="2923"/>
      <c r="AP28" s="2921"/>
      <c r="AQ28" s="2921">
        <f t="shared" si="37"/>
        <v>600</v>
      </c>
      <c r="AR28" s="2924"/>
      <c r="AS28" s="2921">
        <f t="shared" si="38"/>
        <v>600</v>
      </c>
      <c r="AT28" s="2921">
        <f>I28/4</f>
        <v>600</v>
      </c>
      <c r="AU28" s="2921"/>
      <c r="AV28" s="2924">
        <f>I28/4</f>
        <v>600</v>
      </c>
      <c r="AW28" s="2923"/>
      <c r="AX28" s="2921"/>
      <c r="AY28" s="2921"/>
      <c r="AZ28" s="2924"/>
      <c r="BA28" s="2923"/>
      <c r="BB28" s="2924"/>
      <c r="BC28" s="2925"/>
      <c r="BD28" s="2921"/>
      <c r="BE28" s="2921">
        <f>I28</f>
        <v>2400</v>
      </c>
      <c r="BF28" s="2921">
        <f t="shared" si="4"/>
        <v>2400</v>
      </c>
      <c r="BG28" s="2921" t="s">
        <v>9164</v>
      </c>
      <c r="BH28" s="2921"/>
      <c r="BI28" s="2921">
        <f t="shared" si="42"/>
        <v>600</v>
      </c>
      <c r="BJ28" s="2921">
        <f t="shared" ref="BJ28:BP28" si="72">BI28</f>
        <v>600</v>
      </c>
      <c r="BK28" s="2921">
        <f t="shared" si="72"/>
        <v>600</v>
      </c>
      <c r="BL28" s="2921">
        <f t="shared" si="72"/>
        <v>600</v>
      </c>
      <c r="BM28" s="2926">
        <f t="shared" si="72"/>
        <v>600</v>
      </c>
      <c r="BN28" s="2921">
        <f t="shared" si="72"/>
        <v>600</v>
      </c>
      <c r="BO28" s="2926">
        <f t="shared" si="72"/>
        <v>600</v>
      </c>
      <c r="BP28" s="2921">
        <f t="shared" si="72"/>
        <v>600</v>
      </c>
      <c r="BQ28" s="2926">
        <f t="shared" si="1"/>
        <v>240425</v>
      </c>
      <c r="BR28" s="2926">
        <f t="shared" ref="BR28:BY28" si="73">BR27-BI28</f>
        <v>22790.75</v>
      </c>
      <c r="BS28" s="2926">
        <f t="shared" si="73"/>
        <v>22790.75</v>
      </c>
      <c r="BT28" s="2926">
        <f t="shared" si="73"/>
        <v>22662.75</v>
      </c>
      <c r="BU28" s="2926">
        <f t="shared" si="73"/>
        <v>22662.75</v>
      </c>
      <c r="BV28" s="2926">
        <f t="shared" si="73"/>
        <v>37868.75</v>
      </c>
      <c r="BW28" s="2926">
        <f t="shared" si="73"/>
        <v>37868.75</v>
      </c>
      <c r="BX28" s="2926">
        <f t="shared" si="73"/>
        <v>23282.75</v>
      </c>
      <c r="BY28" s="2926">
        <f t="shared" si="73"/>
        <v>23282.75</v>
      </c>
      <c r="BZ28" s="2912"/>
      <c r="CA28" s="2927"/>
      <c r="CB28" s="2927"/>
      <c r="CC28" s="2927"/>
      <c r="CD28" s="2927"/>
      <c r="CE28" s="2927"/>
      <c r="CF28" s="2927"/>
      <c r="CG28" s="2927"/>
      <c r="CH28" s="2927"/>
      <c r="CI28" s="2927"/>
      <c r="CJ28" s="2927"/>
      <c r="CK28" s="2927"/>
      <c r="CL28" s="2927"/>
      <c r="CM28" s="2927"/>
      <c r="CN28" s="2927"/>
      <c r="CO28" s="2927"/>
      <c r="CP28" s="2927"/>
      <c r="CQ28" s="2927"/>
      <c r="CR28" s="2927"/>
      <c r="CS28" s="2927"/>
      <c r="CT28" s="2927"/>
      <c r="CU28" s="2927"/>
      <c r="CV28" s="2927"/>
      <c r="CW28" s="2927"/>
      <c r="CX28" s="2927"/>
      <c r="CY28" s="2927"/>
      <c r="CZ28" s="2927"/>
      <c r="DA28" s="2927"/>
      <c r="DB28" s="2927"/>
      <c r="DC28" s="2927"/>
      <c r="DD28" s="2927"/>
      <c r="DE28" s="2927"/>
      <c r="DF28" s="2927"/>
      <c r="DG28" s="2927"/>
      <c r="DH28" s="2927"/>
      <c r="DI28" s="2927"/>
      <c r="DJ28" s="2927"/>
      <c r="DK28" s="2927"/>
      <c r="DL28" s="2927"/>
      <c r="DM28" s="2927"/>
      <c r="DN28" s="2927"/>
      <c r="DO28" s="2927"/>
      <c r="DP28" s="2927"/>
      <c r="DQ28" s="2927"/>
      <c r="DR28" s="2927"/>
      <c r="DS28" s="2927"/>
      <c r="DT28" s="2927"/>
      <c r="DU28" s="2927"/>
      <c r="DV28" s="2927"/>
      <c r="DW28" s="2927"/>
      <c r="DX28" s="2927"/>
      <c r="DY28" s="2927"/>
      <c r="DZ28" s="2927"/>
      <c r="EA28" s="2927"/>
      <c r="EB28" s="2927"/>
      <c r="EC28" s="2927"/>
      <c r="ED28" s="2927"/>
      <c r="EE28" s="2927"/>
      <c r="EF28" s="2927"/>
      <c r="EG28" s="2927"/>
      <c r="EH28" s="2927"/>
      <c r="EI28" s="2927"/>
      <c r="EJ28" s="2927"/>
      <c r="EK28" s="2927"/>
      <c r="EL28" s="2927"/>
      <c r="EM28" s="2927"/>
      <c r="EN28" s="2927"/>
      <c r="EO28" s="2927"/>
      <c r="EP28" s="2927"/>
      <c r="EQ28" s="2927"/>
      <c r="ER28" s="2927"/>
      <c r="ES28" s="2927"/>
      <c r="ET28" s="2927"/>
      <c r="EU28" s="2927"/>
      <c r="EV28" s="2927"/>
      <c r="EW28" s="2927"/>
      <c r="EX28" s="2927"/>
      <c r="EY28" s="2927"/>
      <c r="EZ28" s="2927"/>
      <c r="FA28" s="2927"/>
      <c r="FB28" s="2927"/>
      <c r="FC28" s="2927"/>
      <c r="FD28" s="2927"/>
      <c r="FE28" s="2927"/>
      <c r="FF28" s="2927"/>
      <c r="FG28" s="2927"/>
      <c r="FH28" s="2927"/>
      <c r="FI28" s="2927"/>
      <c r="FJ28" s="2927"/>
      <c r="FK28" s="2927"/>
      <c r="FL28" s="2927"/>
      <c r="FM28" s="2927"/>
      <c r="FN28" s="2927"/>
      <c r="FO28" s="2927"/>
      <c r="FP28" s="2927"/>
      <c r="FQ28" s="2927"/>
      <c r="FR28" s="2927"/>
      <c r="FS28" s="2927"/>
      <c r="FT28" s="2927"/>
      <c r="FU28" s="2927"/>
      <c r="FV28" s="2927"/>
      <c r="FW28" s="2927"/>
      <c r="FX28" s="2927"/>
      <c r="FY28" s="2927"/>
      <c r="FZ28" s="2927"/>
      <c r="GA28" s="2927"/>
      <c r="GB28" s="2927"/>
      <c r="GC28" s="2927"/>
      <c r="GD28" s="2927"/>
      <c r="GE28" s="2927"/>
      <c r="GF28" s="2927"/>
      <c r="GG28" s="2927"/>
      <c r="GH28" s="2927"/>
      <c r="GI28" s="2927"/>
      <c r="GJ28" s="2927"/>
      <c r="GK28" s="2927"/>
      <c r="GL28" s="2927"/>
      <c r="GM28" s="2927"/>
      <c r="GN28" s="2927"/>
      <c r="GO28" s="2927"/>
      <c r="GP28" s="2927"/>
      <c r="GQ28" s="2927"/>
      <c r="GR28" s="2927"/>
      <c r="GS28" s="2927"/>
      <c r="GT28" s="2927"/>
      <c r="GU28" s="2927"/>
      <c r="GV28" s="2927"/>
      <c r="GW28" s="2927"/>
      <c r="GX28" s="2927"/>
      <c r="GY28" s="2927"/>
      <c r="GZ28" s="2927"/>
      <c r="HA28" s="2927"/>
      <c r="HB28" s="2927"/>
      <c r="HC28" s="2927"/>
      <c r="HD28" s="2927"/>
      <c r="HE28" s="2927"/>
      <c r="HF28" s="2927"/>
      <c r="HG28" s="2927"/>
      <c r="HH28" s="2927"/>
      <c r="HI28" s="2927"/>
      <c r="HJ28" s="2927"/>
      <c r="HK28" s="2927"/>
      <c r="HL28" s="2927"/>
      <c r="HM28" s="2927"/>
      <c r="HN28" s="2927"/>
      <c r="HO28" s="2927"/>
      <c r="HP28" s="2927"/>
      <c r="HQ28" s="2927"/>
      <c r="HR28" s="2927"/>
      <c r="HS28" s="2927"/>
      <c r="HT28" s="2927"/>
      <c r="HU28" s="2927"/>
      <c r="HV28" s="2927"/>
      <c r="HW28" s="2927"/>
      <c r="HX28" s="2927"/>
      <c r="HY28" s="2927"/>
      <c r="HZ28" s="2927"/>
      <c r="IA28" s="2927"/>
      <c r="IB28" s="2927"/>
      <c r="IC28" s="2927"/>
      <c r="ID28" s="2927"/>
      <c r="IE28" s="2927"/>
    </row>
    <row r="29" s="2838" customFormat="1" ht="35" customHeight="1" spans="1:239">
      <c r="A29" s="2905">
        <v>45677</v>
      </c>
      <c r="B29" s="2906" t="s">
        <v>3172</v>
      </c>
      <c r="C29" s="2907" t="s">
        <v>840</v>
      </c>
      <c r="D29" s="2908">
        <v>4500156115</v>
      </c>
      <c r="E29" s="2909" t="s">
        <v>10271</v>
      </c>
      <c r="F29" s="2908" t="s">
        <v>10272</v>
      </c>
      <c r="G29" s="2930" t="s">
        <v>10273</v>
      </c>
      <c r="H29" s="2911" t="s">
        <v>10274</v>
      </c>
      <c r="I29" s="2912">
        <v>100</v>
      </c>
      <c r="J29" s="2912">
        <v>1</v>
      </c>
      <c r="K29" s="2912">
        <v>2</v>
      </c>
      <c r="L29" s="2912">
        <f t="shared" si="0"/>
        <v>50</v>
      </c>
      <c r="M29" s="2913">
        <v>45730</v>
      </c>
      <c r="N29" s="2913">
        <v>45726</v>
      </c>
      <c r="O29" s="2914"/>
      <c r="P29" s="2914" t="s">
        <v>10206</v>
      </c>
      <c r="Q29" s="2914" t="s">
        <v>3175</v>
      </c>
      <c r="R29" s="2915" t="s">
        <v>835</v>
      </c>
      <c r="S29" s="2915"/>
      <c r="T29" s="2915" t="s">
        <v>10275</v>
      </c>
      <c r="U29" s="2915"/>
      <c r="V29" s="2915" t="s">
        <v>6524</v>
      </c>
      <c r="W29" s="2929" t="s">
        <v>10276</v>
      </c>
      <c r="X29" s="2912" t="s">
        <v>380</v>
      </c>
      <c r="Y29" s="2917">
        <v>7.3794</v>
      </c>
      <c r="Z29" s="2918">
        <f t="shared" si="57"/>
        <v>737.94</v>
      </c>
      <c r="AA29" s="2912" t="s">
        <v>3178</v>
      </c>
      <c r="AB29" s="2930" t="s">
        <v>10277</v>
      </c>
      <c r="AC29" s="2912" t="s">
        <v>416</v>
      </c>
      <c r="AD29" s="2919"/>
      <c r="AE29" s="2919"/>
      <c r="AF29" s="2920"/>
      <c r="AG29" s="2919">
        <f t="shared" ref="AG29:AG32" si="74">I29</f>
        <v>100</v>
      </c>
      <c r="AH29" s="2919"/>
      <c r="AI29" s="2919"/>
      <c r="AJ29" s="2921">
        <f t="shared" ref="AJ29:AJ67" si="75">I29</f>
        <v>100</v>
      </c>
      <c r="AK29" s="2921"/>
      <c r="AL29" s="2921"/>
      <c r="AM29" s="2921"/>
      <c r="AN29" s="2922"/>
      <c r="AO29" s="2923"/>
      <c r="AP29" s="2921"/>
      <c r="AQ29" s="2921"/>
      <c r="AR29" s="2924"/>
      <c r="AS29" s="2921"/>
      <c r="AT29" s="2921">
        <f>I29</f>
        <v>100</v>
      </c>
      <c r="AU29" s="2921"/>
      <c r="AV29" s="2924">
        <f>I29/4</f>
        <v>25</v>
      </c>
      <c r="AW29" s="2923"/>
      <c r="AX29" s="2921"/>
      <c r="AY29" s="2921"/>
      <c r="AZ29" s="2924"/>
      <c r="BA29" s="2923"/>
      <c r="BB29" s="2924"/>
      <c r="BC29" s="2925"/>
      <c r="BD29" s="2921">
        <f t="shared" si="67"/>
        <v>100</v>
      </c>
      <c r="BE29" s="2921"/>
      <c r="BF29" s="2921">
        <f t="shared" si="4"/>
        <v>100</v>
      </c>
      <c r="BG29" s="2921" t="s">
        <v>9164</v>
      </c>
      <c r="BH29" s="2921"/>
      <c r="BI29" s="2921"/>
      <c r="BJ29" s="2921"/>
      <c r="BK29" s="2921">
        <f>I29</f>
        <v>100</v>
      </c>
      <c r="BL29" s="2921">
        <f>BK29</f>
        <v>100</v>
      </c>
      <c r="BM29" s="2926"/>
      <c r="BN29" s="2921"/>
      <c r="BO29" s="2926"/>
      <c r="BP29" s="2921"/>
      <c r="BQ29" s="2926">
        <f t="shared" si="1"/>
        <v>238125</v>
      </c>
      <c r="BR29" s="2926">
        <f t="shared" ref="BR29:BY29" si="76">BR28-BI29</f>
        <v>22790.75</v>
      </c>
      <c r="BS29" s="2926">
        <f t="shared" si="76"/>
        <v>22790.75</v>
      </c>
      <c r="BT29" s="2926">
        <f t="shared" si="76"/>
        <v>22562.75</v>
      </c>
      <c r="BU29" s="2926">
        <f t="shared" si="76"/>
        <v>22562.75</v>
      </c>
      <c r="BV29" s="2926">
        <f t="shared" si="76"/>
        <v>37868.75</v>
      </c>
      <c r="BW29" s="2926">
        <f t="shared" si="76"/>
        <v>37868.75</v>
      </c>
      <c r="BX29" s="2926">
        <f t="shared" si="76"/>
        <v>23282.75</v>
      </c>
      <c r="BY29" s="2926">
        <f t="shared" si="76"/>
        <v>23282.75</v>
      </c>
      <c r="BZ29" s="2912"/>
      <c r="CA29" s="2927"/>
      <c r="CB29" s="2927"/>
      <c r="CC29" s="2927"/>
      <c r="CD29" s="2927"/>
      <c r="CE29" s="2927"/>
      <c r="CF29" s="2927"/>
      <c r="CG29" s="2927"/>
      <c r="CH29" s="2927"/>
      <c r="CI29" s="2927"/>
      <c r="CJ29" s="2927"/>
      <c r="CK29" s="2927"/>
      <c r="CL29" s="2927"/>
      <c r="CM29" s="2927"/>
      <c r="CN29" s="2927"/>
      <c r="CO29" s="2927"/>
      <c r="CP29" s="2927"/>
      <c r="CQ29" s="2927"/>
      <c r="CR29" s="2927"/>
      <c r="CS29" s="2927"/>
      <c r="CT29" s="2927"/>
      <c r="CU29" s="2927"/>
      <c r="CV29" s="2927"/>
      <c r="CW29" s="2927"/>
      <c r="CX29" s="2927"/>
      <c r="CY29" s="2927"/>
      <c r="CZ29" s="2927"/>
      <c r="DA29" s="2927"/>
      <c r="DB29" s="2927"/>
      <c r="DC29" s="2927"/>
      <c r="DD29" s="2927"/>
      <c r="DE29" s="2927"/>
      <c r="DF29" s="2927"/>
      <c r="DG29" s="2927"/>
      <c r="DH29" s="2927"/>
      <c r="DI29" s="2927"/>
      <c r="DJ29" s="2927"/>
      <c r="DK29" s="2927"/>
      <c r="DL29" s="2927"/>
      <c r="DM29" s="2927"/>
      <c r="DN29" s="2927"/>
      <c r="DO29" s="2927"/>
      <c r="DP29" s="2927"/>
      <c r="DQ29" s="2927"/>
      <c r="DR29" s="2927"/>
      <c r="DS29" s="2927"/>
      <c r="DT29" s="2927"/>
      <c r="DU29" s="2927"/>
      <c r="DV29" s="2927"/>
      <c r="DW29" s="2927"/>
      <c r="DX29" s="2927"/>
      <c r="DY29" s="2927"/>
      <c r="DZ29" s="2927"/>
      <c r="EA29" s="2927"/>
      <c r="EB29" s="2927"/>
      <c r="EC29" s="2927"/>
      <c r="ED29" s="2927"/>
      <c r="EE29" s="2927"/>
      <c r="EF29" s="2927"/>
      <c r="EG29" s="2927"/>
      <c r="EH29" s="2927"/>
      <c r="EI29" s="2927"/>
      <c r="EJ29" s="2927"/>
      <c r="EK29" s="2927"/>
      <c r="EL29" s="2927"/>
      <c r="EM29" s="2927"/>
      <c r="EN29" s="2927"/>
      <c r="EO29" s="2927"/>
      <c r="EP29" s="2927"/>
      <c r="EQ29" s="2927"/>
      <c r="ER29" s="2927"/>
      <c r="ES29" s="2927"/>
      <c r="ET29" s="2927"/>
      <c r="EU29" s="2927"/>
      <c r="EV29" s="2927"/>
      <c r="EW29" s="2927"/>
      <c r="EX29" s="2927"/>
      <c r="EY29" s="2927"/>
      <c r="EZ29" s="2927"/>
      <c r="FA29" s="2927"/>
      <c r="FB29" s="2927"/>
      <c r="FC29" s="2927"/>
      <c r="FD29" s="2927"/>
      <c r="FE29" s="2927"/>
      <c r="FF29" s="2927"/>
      <c r="FG29" s="2927"/>
      <c r="FH29" s="2927"/>
      <c r="FI29" s="2927"/>
      <c r="FJ29" s="2927"/>
      <c r="FK29" s="2927"/>
      <c r="FL29" s="2927"/>
      <c r="FM29" s="2927"/>
      <c r="FN29" s="2927"/>
      <c r="FO29" s="2927"/>
      <c r="FP29" s="2927"/>
      <c r="FQ29" s="2927"/>
      <c r="FR29" s="2927"/>
      <c r="FS29" s="2927"/>
      <c r="FT29" s="2927"/>
      <c r="FU29" s="2927"/>
      <c r="FV29" s="2927"/>
      <c r="FW29" s="2927"/>
      <c r="FX29" s="2927"/>
      <c r="FY29" s="2927"/>
      <c r="FZ29" s="2927"/>
      <c r="GA29" s="2927"/>
      <c r="GB29" s="2927"/>
      <c r="GC29" s="2927"/>
      <c r="GD29" s="2927"/>
      <c r="GE29" s="2927"/>
      <c r="GF29" s="2927"/>
      <c r="GG29" s="2927"/>
      <c r="GH29" s="2927"/>
      <c r="GI29" s="2927"/>
      <c r="GJ29" s="2927"/>
      <c r="GK29" s="2927"/>
      <c r="GL29" s="2927"/>
      <c r="GM29" s="2927"/>
      <c r="GN29" s="2927"/>
      <c r="GO29" s="2927"/>
      <c r="GP29" s="2927"/>
      <c r="GQ29" s="2927"/>
      <c r="GR29" s="2927"/>
      <c r="GS29" s="2927"/>
      <c r="GT29" s="2927"/>
      <c r="GU29" s="2927"/>
      <c r="GV29" s="2927"/>
      <c r="GW29" s="2927"/>
      <c r="GX29" s="2927"/>
      <c r="GY29" s="2927"/>
      <c r="GZ29" s="2927"/>
      <c r="HA29" s="2927"/>
      <c r="HB29" s="2927"/>
      <c r="HC29" s="2927"/>
      <c r="HD29" s="2927"/>
      <c r="HE29" s="2927"/>
      <c r="HF29" s="2927"/>
      <c r="HG29" s="2927"/>
      <c r="HH29" s="2927"/>
      <c r="HI29" s="2927"/>
      <c r="HJ29" s="2927"/>
      <c r="HK29" s="2927"/>
      <c r="HL29" s="2927"/>
      <c r="HM29" s="2927"/>
      <c r="HN29" s="2927"/>
      <c r="HO29" s="2927"/>
      <c r="HP29" s="2927"/>
      <c r="HQ29" s="2927"/>
      <c r="HR29" s="2927"/>
      <c r="HS29" s="2927"/>
      <c r="HT29" s="2927"/>
      <c r="HU29" s="2927"/>
      <c r="HV29" s="2927"/>
      <c r="HW29" s="2927"/>
      <c r="HX29" s="2927"/>
      <c r="HY29" s="2927"/>
      <c r="HZ29" s="2927"/>
      <c r="IA29" s="2927"/>
      <c r="IB29" s="2927"/>
      <c r="IC29" s="2927"/>
      <c r="ID29" s="2927"/>
      <c r="IE29" s="2927"/>
    </row>
    <row r="30" s="2838" customFormat="1" ht="35" customHeight="1" spans="1:239">
      <c r="A30" s="2905">
        <v>45677</v>
      </c>
      <c r="B30" s="2906" t="s">
        <v>3172</v>
      </c>
      <c r="C30" s="2907" t="s">
        <v>840</v>
      </c>
      <c r="D30" s="2908">
        <v>4500156115</v>
      </c>
      <c r="E30" s="2909" t="s">
        <v>10271</v>
      </c>
      <c r="F30" s="2908" t="s">
        <v>10278</v>
      </c>
      <c r="G30" s="2930" t="s">
        <v>10279</v>
      </c>
      <c r="H30" s="2911" t="s">
        <v>10280</v>
      </c>
      <c r="I30" s="2912">
        <v>100</v>
      </c>
      <c r="J30" s="2912">
        <v>1</v>
      </c>
      <c r="K30" s="2912">
        <v>2</v>
      </c>
      <c r="L30" s="2912">
        <f t="shared" si="0"/>
        <v>50</v>
      </c>
      <c r="M30" s="2913">
        <v>45730</v>
      </c>
      <c r="N30" s="2913">
        <v>45726</v>
      </c>
      <c r="O30" s="2914"/>
      <c r="P30" s="2914" t="s">
        <v>10206</v>
      </c>
      <c r="Q30" s="2914" t="s">
        <v>3175</v>
      </c>
      <c r="R30" s="2915" t="s">
        <v>835</v>
      </c>
      <c r="S30" s="2915"/>
      <c r="T30" s="2915" t="s">
        <v>10275</v>
      </c>
      <c r="U30" s="2915"/>
      <c r="V30" s="2915" t="s">
        <v>6524</v>
      </c>
      <c r="W30" s="2929" t="s">
        <v>10281</v>
      </c>
      <c r="X30" s="2912" t="s">
        <v>380</v>
      </c>
      <c r="Y30" s="2917">
        <v>7.3794</v>
      </c>
      <c r="Z30" s="2918">
        <f t="shared" si="57"/>
        <v>737.94</v>
      </c>
      <c r="AA30" s="2912" t="s">
        <v>3178</v>
      </c>
      <c r="AB30" s="2930" t="s">
        <v>10282</v>
      </c>
      <c r="AC30" s="2912" t="s">
        <v>416</v>
      </c>
      <c r="AD30" s="2919"/>
      <c r="AE30" s="2919"/>
      <c r="AF30" s="2920"/>
      <c r="AG30" s="2919">
        <f t="shared" si="74"/>
        <v>100</v>
      </c>
      <c r="AH30" s="2919"/>
      <c r="AI30" s="2919"/>
      <c r="AJ30" s="2921">
        <f t="shared" si="75"/>
        <v>100</v>
      </c>
      <c r="AK30" s="2921"/>
      <c r="AL30" s="2921"/>
      <c r="AM30" s="2921"/>
      <c r="AN30" s="2922"/>
      <c r="AO30" s="2923"/>
      <c r="AP30" s="2921"/>
      <c r="AQ30" s="2921"/>
      <c r="AR30" s="2924"/>
      <c r="AS30" s="2921">
        <f>I30</f>
        <v>100</v>
      </c>
      <c r="AT30" s="2921"/>
      <c r="AU30" s="2921"/>
      <c r="AV30" s="2924"/>
      <c r="AW30" s="2923"/>
      <c r="AX30" s="2921"/>
      <c r="AY30" s="2921"/>
      <c r="AZ30" s="2924"/>
      <c r="BA30" s="2923"/>
      <c r="BB30" s="2924"/>
      <c r="BC30" s="2925"/>
      <c r="BD30" s="2921">
        <f t="shared" si="67"/>
        <v>100</v>
      </c>
      <c r="BE30" s="2921"/>
      <c r="BF30" s="2921">
        <f t="shared" si="4"/>
        <v>100</v>
      </c>
      <c r="BG30" s="2921" t="s">
        <v>9164</v>
      </c>
      <c r="BH30" s="2921"/>
      <c r="BI30" s="2921">
        <f>I30</f>
        <v>100</v>
      </c>
      <c r="BJ30" s="2921">
        <f>BI30</f>
        <v>100</v>
      </c>
      <c r="BK30" s="2921"/>
      <c r="BL30" s="2921"/>
      <c r="BM30" s="2926"/>
      <c r="BN30" s="2921"/>
      <c r="BO30" s="2926"/>
      <c r="BP30" s="2921"/>
      <c r="BQ30" s="2926">
        <f t="shared" si="1"/>
        <v>238125</v>
      </c>
      <c r="BR30" s="2926">
        <f t="shared" ref="BR30:BY30" si="77">BR29-BI30</f>
        <v>22690.75</v>
      </c>
      <c r="BS30" s="2926">
        <f t="shared" si="77"/>
        <v>22690.75</v>
      </c>
      <c r="BT30" s="2926">
        <f t="shared" si="77"/>
        <v>22562.75</v>
      </c>
      <c r="BU30" s="2926">
        <f t="shared" si="77"/>
        <v>22562.75</v>
      </c>
      <c r="BV30" s="2926">
        <f t="shared" si="77"/>
        <v>37868.75</v>
      </c>
      <c r="BW30" s="2926">
        <f t="shared" si="77"/>
        <v>37868.75</v>
      </c>
      <c r="BX30" s="2926">
        <f t="shared" si="77"/>
        <v>23282.75</v>
      </c>
      <c r="BY30" s="2926">
        <f t="shared" si="77"/>
        <v>23282.75</v>
      </c>
      <c r="BZ30" s="2912"/>
      <c r="CA30" s="2927"/>
      <c r="CB30" s="2927"/>
      <c r="CC30" s="2927"/>
      <c r="CD30" s="2927"/>
      <c r="CE30" s="2927"/>
      <c r="CF30" s="2927"/>
      <c r="CG30" s="2927"/>
      <c r="CH30" s="2927"/>
      <c r="CI30" s="2927"/>
      <c r="CJ30" s="2927"/>
      <c r="CK30" s="2927"/>
      <c r="CL30" s="2927"/>
      <c r="CM30" s="2927"/>
      <c r="CN30" s="2927"/>
      <c r="CO30" s="2927"/>
      <c r="CP30" s="2927"/>
      <c r="CQ30" s="2927"/>
      <c r="CR30" s="2927"/>
      <c r="CS30" s="2927"/>
      <c r="CT30" s="2927"/>
      <c r="CU30" s="2927"/>
      <c r="CV30" s="2927"/>
      <c r="CW30" s="2927"/>
      <c r="CX30" s="2927"/>
      <c r="CY30" s="2927"/>
      <c r="CZ30" s="2927"/>
      <c r="DA30" s="2927"/>
      <c r="DB30" s="2927"/>
      <c r="DC30" s="2927"/>
      <c r="DD30" s="2927"/>
      <c r="DE30" s="2927"/>
      <c r="DF30" s="2927"/>
      <c r="DG30" s="2927"/>
      <c r="DH30" s="2927"/>
      <c r="DI30" s="2927"/>
      <c r="DJ30" s="2927"/>
      <c r="DK30" s="2927"/>
      <c r="DL30" s="2927"/>
      <c r="DM30" s="2927"/>
      <c r="DN30" s="2927"/>
      <c r="DO30" s="2927"/>
      <c r="DP30" s="2927"/>
      <c r="DQ30" s="2927"/>
      <c r="DR30" s="2927"/>
      <c r="DS30" s="2927"/>
      <c r="DT30" s="2927"/>
      <c r="DU30" s="2927"/>
      <c r="DV30" s="2927"/>
      <c r="DW30" s="2927"/>
      <c r="DX30" s="2927"/>
      <c r="DY30" s="2927"/>
      <c r="DZ30" s="2927"/>
      <c r="EA30" s="2927"/>
      <c r="EB30" s="2927"/>
      <c r="EC30" s="2927"/>
      <c r="ED30" s="2927"/>
      <c r="EE30" s="2927"/>
      <c r="EF30" s="2927"/>
      <c r="EG30" s="2927"/>
      <c r="EH30" s="2927"/>
      <c r="EI30" s="2927"/>
      <c r="EJ30" s="2927"/>
      <c r="EK30" s="2927"/>
      <c r="EL30" s="2927"/>
      <c r="EM30" s="2927"/>
      <c r="EN30" s="2927"/>
      <c r="EO30" s="2927"/>
      <c r="EP30" s="2927"/>
      <c r="EQ30" s="2927"/>
      <c r="ER30" s="2927"/>
      <c r="ES30" s="2927"/>
      <c r="ET30" s="2927"/>
      <c r="EU30" s="2927"/>
      <c r="EV30" s="2927"/>
      <c r="EW30" s="2927"/>
      <c r="EX30" s="2927"/>
      <c r="EY30" s="2927"/>
      <c r="EZ30" s="2927"/>
      <c r="FA30" s="2927"/>
      <c r="FB30" s="2927"/>
      <c r="FC30" s="2927"/>
      <c r="FD30" s="2927"/>
      <c r="FE30" s="2927"/>
      <c r="FF30" s="2927"/>
      <c r="FG30" s="2927"/>
      <c r="FH30" s="2927"/>
      <c r="FI30" s="2927"/>
      <c r="FJ30" s="2927"/>
      <c r="FK30" s="2927"/>
      <c r="FL30" s="2927"/>
      <c r="FM30" s="2927"/>
      <c r="FN30" s="2927"/>
      <c r="FO30" s="2927"/>
      <c r="FP30" s="2927"/>
      <c r="FQ30" s="2927"/>
      <c r="FR30" s="2927"/>
      <c r="FS30" s="2927"/>
      <c r="FT30" s="2927"/>
      <c r="FU30" s="2927"/>
      <c r="FV30" s="2927"/>
      <c r="FW30" s="2927"/>
      <c r="FX30" s="2927"/>
      <c r="FY30" s="2927"/>
      <c r="FZ30" s="2927"/>
      <c r="GA30" s="2927"/>
      <c r="GB30" s="2927"/>
      <c r="GC30" s="2927"/>
      <c r="GD30" s="2927"/>
      <c r="GE30" s="2927"/>
      <c r="GF30" s="2927"/>
      <c r="GG30" s="2927"/>
      <c r="GH30" s="2927"/>
      <c r="GI30" s="2927"/>
      <c r="GJ30" s="2927"/>
      <c r="GK30" s="2927"/>
      <c r="GL30" s="2927"/>
      <c r="GM30" s="2927"/>
      <c r="GN30" s="2927"/>
      <c r="GO30" s="2927"/>
      <c r="GP30" s="2927"/>
      <c r="GQ30" s="2927"/>
      <c r="GR30" s="2927"/>
      <c r="GS30" s="2927"/>
      <c r="GT30" s="2927"/>
      <c r="GU30" s="2927"/>
      <c r="GV30" s="2927"/>
      <c r="GW30" s="2927"/>
      <c r="GX30" s="2927"/>
      <c r="GY30" s="2927"/>
      <c r="GZ30" s="2927"/>
      <c r="HA30" s="2927"/>
      <c r="HB30" s="2927"/>
      <c r="HC30" s="2927"/>
      <c r="HD30" s="2927"/>
      <c r="HE30" s="2927"/>
      <c r="HF30" s="2927"/>
      <c r="HG30" s="2927"/>
      <c r="HH30" s="2927"/>
      <c r="HI30" s="2927"/>
      <c r="HJ30" s="2927"/>
      <c r="HK30" s="2927"/>
      <c r="HL30" s="2927"/>
      <c r="HM30" s="2927"/>
      <c r="HN30" s="2927"/>
      <c r="HO30" s="2927"/>
      <c r="HP30" s="2927"/>
      <c r="HQ30" s="2927"/>
      <c r="HR30" s="2927"/>
      <c r="HS30" s="2927"/>
      <c r="HT30" s="2927"/>
      <c r="HU30" s="2927"/>
      <c r="HV30" s="2927"/>
      <c r="HW30" s="2927"/>
      <c r="HX30" s="2927"/>
      <c r="HY30" s="2927"/>
      <c r="HZ30" s="2927"/>
      <c r="IA30" s="2927"/>
      <c r="IB30" s="2927"/>
      <c r="IC30" s="2927"/>
      <c r="ID30" s="2927"/>
      <c r="IE30" s="2927"/>
    </row>
    <row r="31" s="2838" customFormat="1" ht="35" customHeight="1" spans="1:239">
      <c r="A31" s="2905">
        <v>45677</v>
      </c>
      <c r="B31" s="2906" t="s">
        <v>3172</v>
      </c>
      <c r="C31" s="2907" t="s">
        <v>840</v>
      </c>
      <c r="D31" s="2908">
        <v>4500156115</v>
      </c>
      <c r="E31" s="2909" t="s">
        <v>10271</v>
      </c>
      <c r="F31" s="2908" t="s">
        <v>10283</v>
      </c>
      <c r="G31" s="2930" t="s">
        <v>10284</v>
      </c>
      <c r="H31" s="2911" t="s">
        <v>10285</v>
      </c>
      <c r="I31" s="2912">
        <v>100</v>
      </c>
      <c r="J31" s="2912">
        <v>1</v>
      </c>
      <c r="K31" s="2912">
        <v>2</v>
      </c>
      <c r="L31" s="2912">
        <f t="shared" si="0"/>
        <v>50</v>
      </c>
      <c r="M31" s="2913">
        <v>45730</v>
      </c>
      <c r="N31" s="2913">
        <v>45726</v>
      </c>
      <c r="O31" s="2914"/>
      <c r="P31" s="2914" t="s">
        <v>10206</v>
      </c>
      <c r="Q31" s="2914" t="s">
        <v>3175</v>
      </c>
      <c r="R31" s="2915" t="s">
        <v>835</v>
      </c>
      <c r="S31" s="2915"/>
      <c r="T31" s="2915" t="s">
        <v>10275</v>
      </c>
      <c r="U31" s="2915"/>
      <c r="V31" s="2915" t="s">
        <v>6524</v>
      </c>
      <c r="W31" s="2929" t="s">
        <v>10286</v>
      </c>
      <c r="X31" s="2912" t="s">
        <v>380</v>
      </c>
      <c r="Y31" s="2917">
        <v>7.3794</v>
      </c>
      <c r="Z31" s="2918">
        <f t="shared" si="57"/>
        <v>737.94</v>
      </c>
      <c r="AA31" s="2912" t="s">
        <v>3178</v>
      </c>
      <c r="AB31" s="2930" t="s">
        <v>10287</v>
      </c>
      <c r="AC31" s="2912" t="s">
        <v>416</v>
      </c>
      <c r="AD31" s="2919"/>
      <c r="AE31" s="2919"/>
      <c r="AF31" s="2920"/>
      <c r="AG31" s="2919">
        <f t="shared" si="74"/>
        <v>100</v>
      </c>
      <c r="AH31" s="2919"/>
      <c r="AI31" s="2919"/>
      <c r="AJ31" s="2921">
        <f t="shared" si="75"/>
        <v>100</v>
      </c>
      <c r="AK31" s="2921"/>
      <c r="AL31" s="2921"/>
      <c r="AM31" s="2921"/>
      <c r="AN31" s="2922"/>
      <c r="AO31" s="2923"/>
      <c r="AP31" s="2921"/>
      <c r="AQ31" s="2921"/>
      <c r="AR31" s="2924"/>
      <c r="AS31" s="2921"/>
      <c r="AT31" s="2921"/>
      <c r="AU31" s="2921"/>
      <c r="AV31" s="2924">
        <f>I31</f>
        <v>100</v>
      </c>
      <c r="AW31" s="2923"/>
      <c r="AX31" s="2921"/>
      <c r="AY31" s="2921"/>
      <c r="AZ31" s="2924"/>
      <c r="BA31" s="2923"/>
      <c r="BB31" s="2924"/>
      <c r="BC31" s="2925"/>
      <c r="BD31" s="2921">
        <f t="shared" si="67"/>
        <v>100</v>
      </c>
      <c r="BE31" s="2921"/>
      <c r="BF31" s="2921">
        <f t="shared" si="4"/>
        <v>100</v>
      </c>
      <c r="BG31" s="2921" t="s">
        <v>9164</v>
      </c>
      <c r="BH31" s="2921"/>
      <c r="BI31" s="2921"/>
      <c r="BJ31" s="2921"/>
      <c r="BK31" s="2921"/>
      <c r="BL31" s="2921"/>
      <c r="BM31" s="2926"/>
      <c r="BN31" s="2921"/>
      <c r="BO31" s="2926">
        <f>I31</f>
        <v>100</v>
      </c>
      <c r="BP31" s="2921">
        <f>BO31</f>
        <v>100</v>
      </c>
      <c r="BQ31" s="2926">
        <f t="shared" si="1"/>
        <v>238125</v>
      </c>
      <c r="BR31" s="2926">
        <f t="shared" ref="BR31:BY31" si="78">BR30-BI31</f>
        <v>22690.75</v>
      </c>
      <c r="BS31" s="2926">
        <f t="shared" si="78"/>
        <v>22690.75</v>
      </c>
      <c r="BT31" s="2926">
        <f t="shared" si="78"/>
        <v>22562.75</v>
      </c>
      <c r="BU31" s="2926">
        <f t="shared" si="78"/>
        <v>22562.75</v>
      </c>
      <c r="BV31" s="2926">
        <f t="shared" si="78"/>
        <v>37868.75</v>
      </c>
      <c r="BW31" s="2926">
        <f t="shared" si="78"/>
        <v>37868.75</v>
      </c>
      <c r="BX31" s="2926">
        <f t="shared" si="78"/>
        <v>23182.75</v>
      </c>
      <c r="BY31" s="2926">
        <f t="shared" si="78"/>
        <v>23182.75</v>
      </c>
      <c r="BZ31" s="2912"/>
      <c r="CA31" s="2927"/>
      <c r="CB31" s="2927"/>
      <c r="CC31" s="2927"/>
      <c r="CD31" s="2927"/>
      <c r="CE31" s="2927"/>
      <c r="CF31" s="2927"/>
      <c r="CG31" s="2927"/>
      <c r="CH31" s="2927"/>
      <c r="CI31" s="2927"/>
      <c r="CJ31" s="2927"/>
      <c r="CK31" s="2927"/>
      <c r="CL31" s="2927"/>
      <c r="CM31" s="2927"/>
      <c r="CN31" s="2927"/>
      <c r="CO31" s="2927"/>
      <c r="CP31" s="2927"/>
      <c r="CQ31" s="2927"/>
      <c r="CR31" s="2927"/>
      <c r="CS31" s="2927"/>
      <c r="CT31" s="2927"/>
      <c r="CU31" s="2927"/>
      <c r="CV31" s="2927"/>
      <c r="CW31" s="2927"/>
      <c r="CX31" s="2927"/>
      <c r="CY31" s="2927"/>
      <c r="CZ31" s="2927"/>
      <c r="DA31" s="2927"/>
      <c r="DB31" s="2927"/>
      <c r="DC31" s="2927"/>
      <c r="DD31" s="2927"/>
      <c r="DE31" s="2927"/>
      <c r="DF31" s="2927"/>
      <c r="DG31" s="2927"/>
      <c r="DH31" s="2927"/>
      <c r="DI31" s="2927"/>
      <c r="DJ31" s="2927"/>
      <c r="DK31" s="2927"/>
      <c r="DL31" s="2927"/>
      <c r="DM31" s="2927"/>
      <c r="DN31" s="2927"/>
      <c r="DO31" s="2927"/>
      <c r="DP31" s="2927"/>
      <c r="DQ31" s="2927"/>
      <c r="DR31" s="2927"/>
      <c r="DS31" s="2927"/>
      <c r="DT31" s="2927"/>
      <c r="DU31" s="2927"/>
      <c r="DV31" s="2927"/>
      <c r="DW31" s="2927"/>
      <c r="DX31" s="2927"/>
      <c r="DY31" s="2927"/>
      <c r="DZ31" s="2927"/>
      <c r="EA31" s="2927"/>
      <c r="EB31" s="2927"/>
      <c r="EC31" s="2927"/>
      <c r="ED31" s="2927"/>
      <c r="EE31" s="2927"/>
      <c r="EF31" s="2927"/>
      <c r="EG31" s="2927"/>
      <c r="EH31" s="2927"/>
      <c r="EI31" s="2927"/>
      <c r="EJ31" s="2927"/>
      <c r="EK31" s="2927"/>
      <c r="EL31" s="2927"/>
      <c r="EM31" s="2927"/>
      <c r="EN31" s="2927"/>
      <c r="EO31" s="2927"/>
      <c r="EP31" s="2927"/>
      <c r="EQ31" s="2927"/>
      <c r="ER31" s="2927"/>
      <c r="ES31" s="2927"/>
      <c r="ET31" s="2927"/>
      <c r="EU31" s="2927"/>
      <c r="EV31" s="2927"/>
      <c r="EW31" s="2927"/>
      <c r="EX31" s="2927"/>
      <c r="EY31" s="2927"/>
      <c r="EZ31" s="2927"/>
      <c r="FA31" s="2927"/>
      <c r="FB31" s="2927"/>
      <c r="FC31" s="2927"/>
      <c r="FD31" s="2927"/>
      <c r="FE31" s="2927"/>
      <c r="FF31" s="2927"/>
      <c r="FG31" s="2927"/>
      <c r="FH31" s="2927"/>
      <c r="FI31" s="2927"/>
      <c r="FJ31" s="2927"/>
      <c r="FK31" s="2927"/>
      <c r="FL31" s="2927"/>
      <c r="FM31" s="2927"/>
      <c r="FN31" s="2927"/>
      <c r="FO31" s="2927"/>
      <c r="FP31" s="2927"/>
      <c r="FQ31" s="2927"/>
      <c r="FR31" s="2927"/>
      <c r="FS31" s="2927"/>
      <c r="FT31" s="2927"/>
      <c r="FU31" s="2927"/>
      <c r="FV31" s="2927"/>
      <c r="FW31" s="2927"/>
      <c r="FX31" s="2927"/>
      <c r="FY31" s="2927"/>
      <c r="FZ31" s="2927"/>
      <c r="GA31" s="2927"/>
      <c r="GB31" s="2927"/>
      <c r="GC31" s="2927"/>
      <c r="GD31" s="2927"/>
      <c r="GE31" s="2927"/>
      <c r="GF31" s="2927"/>
      <c r="GG31" s="2927"/>
      <c r="GH31" s="2927"/>
      <c r="GI31" s="2927"/>
      <c r="GJ31" s="2927"/>
      <c r="GK31" s="2927"/>
      <c r="GL31" s="2927"/>
      <c r="GM31" s="2927"/>
      <c r="GN31" s="2927"/>
      <c r="GO31" s="2927"/>
      <c r="GP31" s="2927"/>
      <c r="GQ31" s="2927"/>
      <c r="GR31" s="2927"/>
      <c r="GS31" s="2927"/>
      <c r="GT31" s="2927"/>
      <c r="GU31" s="2927"/>
      <c r="GV31" s="2927"/>
      <c r="GW31" s="2927"/>
      <c r="GX31" s="2927"/>
      <c r="GY31" s="2927"/>
      <c r="GZ31" s="2927"/>
      <c r="HA31" s="2927"/>
      <c r="HB31" s="2927"/>
      <c r="HC31" s="2927"/>
      <c r="HD31" s="2927"/>
      <c r="HE31" s="2927"/>
      <c r="HF31" s="2927"/>
      <c r="HG31" s="2927"/>
      <c r="HH31" s="2927"/>
      <c r="HI31" s="2927"/>
      <c r="HJ31" s="2927"/>
      <c r="HK31" s="2927"/>
      <c r="HL31" s="2927"/>
      <c r="HM31" s="2927"/>
      <c r="HN31" s="2927"/>
      <c r="HO31" s="2927"/>
      <c r="HP31" s="2927"/>
      <c r="HQ31" s="2927"/>
      <c r="HR31" s="2927"/>
      <c r="HS31" s="2927"/>
      <c r="HT31" s="2927"/>
      <c r="HU31" s="2927"/>
      <c r="HV31" s="2927"/>
      <c r="HW31" s="2927"/>
      <c r="HX31" s="2927"/>
      <c r="HY31" s="2927"/>
      <c r="HZ31" s="2927"/>
      <c r="IA31" s="2927"/>
      <c r="IB31" s="2927"/>
      <c r="IC31" s="2927"/>
      <c r="ID31" s="2927"/>
      <c r="IE31" s="2927"/>
    </row>
    <row r="32" s="2838" customFormat="1" ht="35" customHeight="1" spans="1:239">
      <c r="A32" s="2905">
        <v>45677</v>
      </c>
      <c r="B32" s="2906" t="s">
        <v>3172</v>
      </c>
      <c r="C32" s="2907" t="s">
        <v>840</v>
      </c>
      <c r="D32" s="2908">
        <v>4500156115</v>
      </c>
      <c r="E32" s="2909" t="s">
        <v>10271</v>
      </c>
      <c r="F32" s="2908" t="s">
        <v>10288</v>
      </c>
      <c r="G32" s="2930" t="s">
        <v>10202</v>
      </c>
      <c r="H32" s="2911" t="s">
        <v>10203</v>
      </c>
      <c r="I32" s="2912">
        <v>100</v>
      </c>
      <c r="J32" s="2912">
        <v>0</v>
      </c>
      <c r="K32" s="2912">
        <v>2</v>
      </c>
      <c r="L32" s="2912">
        <f t="shared" si="0"/>
        <v>50</v>
      </c>
      <c r="M32" s="2913">
        <v>45730</v>
      </c>
      <c r="N32" s="2913">
        <v>45726</v>
      </c>
      <c r="O32" s="2914"/>
      <c r="P32" s="2914" t="s">
        <v>10206</v>
      </c>
      <c r="Q32" s="2914" t="s">
        <v>3175</v>
      </c>
      <c r="R32" s="2915" t="s">
        <v>835</v>
      </c>
      <c r="S32" s="2915"/>
      <c r="T32" s="2915" t="s">
        <v>10275</v>
      </c>
      <c r="U32" s="2915"/>
      <c r="V32" s="2915" t="s">
        <v>6524</v>
      </c>
      <c r="W32" s="2929" t="s">
        <v>10289</v>
      </c>
      <c r="X32" s="2912" t="s">
        <v>380</v>
      </c>
      <c r="Y32" s="2917">
        <v>7.3794</v>
      </c>
      <c r="Z32" s="2918">
        <f t="shared" si="57"/>
        <v>737.94</v>
      </c>
      <c r="AA32" s="2912" t="s">
        <v>3178</v>
      </c>
      <c r="AB32" s="2911" t="s">
        <v>10290</v>
      </c>
      <c r="AC32" s="2912" t="s">
        <v>416</v>
      </c>
      <c r="AD32" s="2919"/>
      <c r="AE32" s="2919"/>
      <c r="AF32" s="2920"/>
      <c r="AG32" s="2919">
        <f t="shared" si="74"/>
        <v>100</v>
      </c>
      <c r="AH32" s="2919"/>
      <c r="AI32" s="2919"/>
      <c r="AJ32" s="2921">
        <f t="shared" si="75"/>
        <v>100</v>
      </c>
      <c r="AK32" s="2921"/>
      <c r="AL32" s="2921"/>
      <c r="AM32" s="2921"/>
      <c r="AN32" s="2922"/>
      <c r="AO32" s="2923"/>
      <c r="AP32" s="2921"/>
      <c r="AQ32" s="2921">
        <f>I32</f>
        <v>100</v>
      </c>
      <c r="AR32" s="2924"/>
      <c r="AS32" s="2921"/>
      <c r="AT32" s="2921"/>
      <c r="AU32" s="2921"/>
      <c r="AV32" s="2924"/>
      <c r="AW32" s="2923"/>
      <c r="AX32" s="2921"/>
      <c r="AY32" s="2921"/>
      <c r="AZ32" s="2924"/>
      <c r="BA32" s="2923"/>
      <c r="BB32" s="2924"/>
      <c r="BC32" s="2925"/>
      <c r="BD32" s="2921">
        <f t="shared" si="67"/>
        <v>100</v>
      </c>
      <c r="BE32" s="2921"/>
      <c r="BF32" s="2921">
        <f t="shared" si="4"/>
        <v>100</v>
      </c>
      <c r="BG32" s="2921" t="s">
        <v>9164</v>
      </c>
      <c r="BH32" s="2921"/>
      <c r="BI32" s="2921"/>
      <c r="BJ32" s="2921"/>
      <c r="BK32" s="2921"/>
      <c r="BL32" s="2921"/>
      <c r="BM32" s="2921">
        <f>I32</f>
        <v>100</v>
      </c>
      <c r="BN32" s="2921">
        <f>BM32</f>
        <v>100</v>
      </c>
      <c r="BO32" s="2926"/>
      <c r="BP32" s="2921"/>
      <c r="BQ32" s="2926">
        <f t="shared" si="1"/>
        <v>238125</v>
      </c>
      <c r="BR32" s="2926">
        <f t="shared" ref="BR32:BY32" si="79">BR31-BI32</f>
        <v>22690.75</v>
      </c>
      <c r="BS32" s="2926">
        <f t="shared" si="79"/>
        <v>22690.75</v>
      </c>
      <c r="BT32" s="2926">
        <f t="shared" si="79"/>
        <v>22562.75</v>
      </c>
      <c r="BU32" s="2926">
        <f t="shared" si="79"/>
        <v>22562.75</v>
      </c>
      <c r="BV32" s="2926">
        <f t="shared" si="79"/>
        <v>37768.75</v>
      </c>
      <c r="BW32" s="2926">
        <f t="shared" si="79"/>
        <v>37768.75</v>
      </c>
      <c r="BX32" s="2926">
        <f t="shared" si="79"/>
        <v>23182.75</v>
      </c>
      <c r="BY32" s="2926">
        <f t="shared" si="79"/>
        <v>23182.75</v>
      </c>
      <c r="BZ32" s="2912"/>
      <c r="CA32" s="2927"/>
      <c r="CB32" s="2927"/>
      <c r="CC32" s="2927"/>
      <c r="CD32" s="2927"/>
      <c r="CE32" s="2927"/>
      <c r="CF32" s="2927"/>
      <c r="CG32" s="2927"/>
      <c r="CH32" s="2927"/>
      <c r="CI32" s="2927"/>
      <c r="CJ32" s="2927"/>
      <c r="CK32" s="2927"/>
      <c r="CL32" s="2927"/>
      <c r="CM32" s="2927"/>
      <c r="CN32" s="2927"/>
      <c r="CO32" s="2927"/>
      <c r="CP32" s="2927"/>
      <c r="CQ32" s="2927"/>
      <c r="CR32" s="2927"/>
      <c r="CS32" s="2927"/>
      <c r="CT32" s="2927"/>
      <c r="CU32" s="2927"/>
      <c r="CV32" s="2927"/>
      <c r="CW32" s="2927"/>
      <c r="CX32" s="2927"/>
      <c r="CY32" s="2927"/>
      <c r="CZ32" s="2927"/>
      <c r="DA32" s="2927"/>
      <c r="DB32" s="2927"/>
      <c r="DC32" s="2927"/>
      <c r="DD32" s="2927"/>
      <c r="DE32" s="2927"/>
      <c r="DF32" s="2927"/>
      <c r="DG32" s="2927"/>
      <c r="DH32" s="2927"/>
      <c r="DI32" s="2927"/>
      <c r="DJ32" s="2927"/>
      <c r="DK32" s="2927"/>
      <c r="DL32" s="2927"/>
      <c r="DM32" s="2927"/>
      <c r="DN32" s="2927"/>
      <c r="DO32" s="2927"/>
      <c r="DP32" s="2927"/>
      <c r="DQ32" s="2927"/>
      <c r="DR32" s="2927"/>
      <c r="DS32" s="2927"/>
      <c r="DT32" s="2927"/>
      <c r="DU32" s="2927"/>
      <c r="DV32" s="2927"/>
      <c r="DW32" s="2927"/>
      <c r="DX32" s="2927"/>
      <c r="DY32" s="2927"/>
      <c r="DZ32" s="2927"/>
      <c r="EA32" s="2927"/>
      <c r="EB32" s="2927"/>
      <c r="EC32" s="2927"/>
      <c r="ED32" s="2927"/>
      <c r="EE32" s="2927"/>
      <c r="EF32" s="2927"/>
      <c r="EG32" s="2927"/>
      <c r="EH32" s="2927"/>
      <c r="EI32" s="2927"/>
      <c r="EJ32" s="2927"/>
      <c r="EK32" s="2927"/>
      <c r="EL32" s="2927"/>
      <c r="EM32" s="2927"/>
      <c r="EN32" s="2927"/>
      <c r="EO32" s="2927"/>
      <c r="EP32" s="2927"/>
      <c r="EQ32" s="2927"/>
      <c r="ER32" s="2927"/>
      <c r="ES32" s="2927"/>
      <c r="ET32" s="2927"/>
      <c r="EU32" s="2927"/>
      <c r="EV32" s="2927"/>
      <c r="EW32" s="2927"/>
      <c r="EX32" s="2927"/>
      <c r="EY32" s="2927"/>
      <c r="EZ32" s="2927"/>
      <c r="FA32" s="2927"/>
      <c r="FB32" s="2927"/>
      <c r="FC32" s="2927"/>
      <c r="FD32" s="2927"/>
      <c r="FE32" s="2927"/>
      <c r="FF32" s="2927"/>
      <c r="FG32" s="2927"/>
      <c r="FH32" s="2927"/>
      <c r="FI32" s="2927"/>
      <c r="FJ32" s="2927"/>
      <c r="FK32" s="2927"/>
      <c r="FL32" s="2927"/>
      <c r="FM32" s="2927"/>
      <c r="FN32" s="2927"/>
      <c r="FO32" s="2927"/>
      <c r="FP32" s="2927"/>
      <c r="FQ32" s="2927"/>
      <c r="FR32" s="2927"/>
      <c r="FS32" s="2927"/>
      <c r="FT32" s="2927"/>
      <c r="FU32" s="2927"/>
      <c r="FV32" s="2927"/>
      <c r="FW32" s="2927"/>
      <c r="FX32" s="2927"/>
      <c r="FY32" s="2927"/>
      <c r="FZ32" s="2927"/>
      <c r="GA32" s="2927"/>
      <c r="GB32" s="2927"/>
      <c r="GC32" s="2927"/>
      <c r="GD32" s="2927"/>
      <c r="GE32" s="2927"/>
      <c r="GF32" s="2927"/>
      <c r="GG32" s="2927"/>
      <c r="GH32" s="2927"/>
      <c r="GI32" s="2927"/>
      <c r="GJ32" s="2927"/>
      <c r="GK32" s="2927"/>
      <c r="GL32" s="2927"/>
      <c r="GM32" s="2927"/>
      <c r="GN32" s="2927"/>
      <c r="GO32" s="2927"/>
      <c r="GP32" s="2927"/>
      <c r="GQ32" s="2927"/>
      <c r="GR32" s="2927"/>
      <c r="GS32" s="2927"/>
      <c r="GT32" s="2927"/>
      <c r="GU32" s="2927"/>
      <c r="GV32" s="2927"/>
      <c r="GW32" s="2927"/>
      <c r="GX32" s="2927"/>
      <c r="GY32" s="2927"/>
      <c r="GZ32" s="2927"/>
      <c r="HA32" s="2927"/>
      <c r="HB32" s="2927"/>
      <c r="HC32" s="2927"/>
      <c r="HD32" s="2927"/>
      <c r="HE32" s="2927"/>
      <c r="HF32" s="2927"/>
      <c r="HG32" s="2927"/>
      <c r="HH32" s="2927"/>
      <c r="HI32" s="2927"/>
      <c r="HJ32" s="2927"/>
      <c r="HK32" s="2927"/>
      <c r="HL32" s="2927"/>
      <c r="HM32" s="2927"/>
      <c r="HN32" s="2927"/>
      <c r="HO32" s="2927"/>
      <c r="HP32" s="2927"/>
      <c r="HQ32" s="2927"/>
      <c r="HR32" s="2927"/>
      <c r="HS32" s="2927"/>
      <c r="HT32" s="2927"/>
      <c r="HU32" s="2927"/>
      <c r="HV32" s="2927"/>
      <c r="HW32" s="2927"/>
      <c r="HX32" s="2927"/>
      <c r="HY32" s="2927"/>
      <c r="HZ32" s="2927"/>
      <c r="IA32" s="2927"/>
      <c r="IB32" s="2927"/>
      <c r="IC32" s="2927"/>
      <c r="ID32" s="2927"/>
      <c r="IE32" s="2927"/>
    </row>
    <row r="33" s="2838" customFormat="1" ht="35" customHeight="1" spans="1:239">
      <c r="A33" s="2905">
        <v>45683</v>
      </c>
      <c r="B33" s="2906" t="s">
        <v>872</v>
      </c>
      <c r="C33" s="2907" t="s">
        <v>873</v>
      </c>
      <c r="D33" s="2908">
        <v>4500156659</v>
      </c>
      <c r="E33" s="2909"/>
      <c r="F33" s="2908" t="s">
        <v>10291</v>
      </c>
      <c r="G33" s="2930" t="s">
        <v>10292</v>
      </c>
      <c r="H33" s="2911" t="s">
        <v>10293</v>
      </c>
      <c r="I33" s="2912">
        <v>460</v>
      </c>
      <c r="J33" s="2912">
        <v>0</v>
      </c>
      <c r="K33" s="2912">
        <v>4</v>
      </c>
      <c r="L33" s="2912">
        <f t="shared" si="0"/>
        <v>115</v>
      </c>
      <c r="M33" s="2913">
        <v>45734</v>
      </c>
      <c r="N33" s="2913">
        <v>45730</v>
      </c>
      <c r="O33" s="2914"/>
      <c r="P33" s="2914" t="s">
        <v>10206</v>
      </c>
      <c r="Q33" s="2914" t="s">
        <v>875</v>
      </c>
      <c r="R33" s="2915" t="s">
        <v>876</v>
      </c>
      <c r="S33" s="2915"/>
      <c r="T33" s="2915" t="s">
        <v>10294</v>
      </c>
      <c r="U33" s="2915"/>
      <c r="V33" s="2915"/>
      <c r="W33" s="2929" t="s">
        <v>10295</v>
      </c>
      <c r="X33" s="2912" t="s">
        <v>357</v>
      </c>
      <c r="Y33" s="2917">
        <v>7.3277</v>
      </c>
      <c r="Z33" s="2918">
        <f t="shared" si="57"/>
        <v>3370.742</v>
      </c>
      <c r="AA33" s="2912" t="s">
        <v>878</v>
      </c>
      <c r="AB33" s="2930" t="s">
        <v>10292</v>
      </c>
      <c r="AC33" s="2912" t="s">
        <v>416</v>
      </c>
      <c r="AD33" s="2919">
        <f t="shared" ref="AD33:AD35" si="80">I33</f>
        <v>460</v>
      </c>
      <c r="AE33" s="2919"/>
      <c r="AF33" s="2920"/>
      <c r="AG33" s="2919"/>
      <c r="AH33" s="2919"/>
      <c r="AI33" s="2919"/>
      <c r="AJ33" s="2921">
        <f t="shared" si="75"/>
        <v>460</v>
      </c>
      <c r="AK33" s="2921"/>
      <c r="AL33" s="2921"/>
      <c r="AM33" s="2921"/>
      <c r="AN33" s="2922"/>
      <c r="AO33" s="2923"/>
      <c r="AP33" s="2921"/>
      <c r="AQ33" s="2921"/>
      <c r="AR33" s="2924"/>
      <c r="AS33" s="2921"/>
      <c r="AT33" s="2921">
        <f>I33</f>
        <v>460</v>
      </c>
      <c r="AU33" s="2921"/>
      <c r="AV33" s="2924"/>
      <c r="AW33" s="2923"/>
      <c r="AX33" s="2921"/>
      <c r="AY33" s="2921"/>
      <c r="AZ33" s="2924"/>
      <c r="BA33" s="2923"/>
      <c r="BB33" s="2924"/>
      <c r="BC33" s="2925"/>
      <c r="BD33" s="2921">
        <f t="shared" si="67"/>
        <v>460</v>
      </c>
      <c r="BE33" s="2921"/>
      <c r="BF33" s="2921">
        <f t="shared" si="4"/>
        <v>460</v>
      </c>
      <c r="BG33" s="2921" t="s">
        <v>9164</v>
      </c>
      <c r="BH33" s="2921"/>
      <c r="BI33" s="2921"/>
      <c r="BJ33" s="2921"/>
      <c r="BK33" s="2921">
        <f>I33</f>
        <v>460</v>
      </c>
      <c r="BL33" s="2921">
        <f>I33</f>
        <v>460</v>
      </c>
      <c r="BM33" s="2921"/>
      <c r="BN33" s="2921"/>
      <c r="BO33" s="2926"/>
      <c r="BP33" s="2921"/>
      <c r="BQ33" s="2926">
        <f t="shared" si="1"/>
        <v>238485</v>
      </c>
      <c r="BR33" s="2926">
        <f t="shared" ref="BR33:BY33" si="81">BR32-BI33</f>
        <v>22690.75</v>
      </c>
      <c r="BS33" s="2926">
        <f t="shared" si="81"/>
        <v>22690.75</v>
      </c>
      <c r="BT33" s="2926">
        <f t="shared" si="81"/>
        <v>22102.75</v>
      </c>
      <c r="BU33" s="2926">
        <f t="shared" si="81"/>
        <v>22102.75</v>
      </c>
      <c r="BV33" s="2926">
        <f t="shared" si="81"/>
        <v>37768.75</v>
      </c>
      <c r="BW33" s="2926">
        <f t="shared" si="81"/>
        <v>37768.75</v>
      </c>
      <c r="BX33" s="2926">
        <f t="shared" si="81"/>
        <v>23182.75</v>
      </c>
      <c r="BY33" s="2926">
        <f t="shared" si="81"/>
        <v>23182.75</v>
      </c>
      <c r="BZ33" s="2912"/>
      <c r="CA33" s="2927"/>
      <c r="CB33" s="2927"/>
      <c r="CC33" s="2927"/>
      <c r="CD33" s="2927"/>
      <c r="CE33" s="2927"/>
      <c r="CF33" s="2927"/>
      <c r="CG33" s="2927"/>
      <c r="CH33" s="2927"/>
      <c r="CI33" s="2927"/>
      <c r="CJ33" s="2927"/>
      <c r="CK33" s="2927"/>
      <c r="CL33" s="2927"/>
      <c r="CM33" s="2927"/>
      <c r="CN33" s="2927"/>
      <c r="CO33" s="2927"/>
      <c r="CP33" s="2927"/>
      <c r="CQ33" s="2927"/>
      <c r="CR33" s="2927"/>
      <c r="CS33" s="2927"/>
      <c r="CT33" s="2927"/>
      <c r="CU33" s="2927"/>
      <c r="CV33" s="2927"/>
      <c r="CW33" s="2927"/>
      <c r="CX33" s="2927"/>
      <c r="CY33" s="2927"/>
      <c r="CZ33" s="2927"/>
      <c r="DA33" s="2927"/>
      <c r="DB33" s="2927"/>
      <c r="DC33" s="2927"/>
      <c r="DD33" s="2927"/>
      <c r="DE33" s="2927"/>
      <c r="DF33" s="2927"/>
      <c r="DG33" s="2927"/>
      <c r="DH33" s="2927"/>
      <c r="DI33" s="2927"/>
      <c r="DJ33" s="2927"/>
      <c r="DK33" s="2927"/>
      <c r="DL33" s="2927"/>
      <c r="DM33" s="2927"/>
      <c r="DN33" s="2927"/>
      <c r="DO33" s="2927"/>
      <c r="DP33" s="2927"/>
      <c r="DQ33" s="2927"/>
      <c r="DR33" s="2927"/>
      <c r="DS33" s="2927"/>
      <c r="DT33" s="2927"/>
      <c r="DU33" s="2927"/>
      <c r="DV33" s="2927"/>
      <c r="DW33" s="2927"/>
      <c r="DX33" s="2927"/>
      <c r="DY33" s="2927"/>
      <c r="DZ33" s="2927"/>
      <c r="EA33" s="2927"/>
      <c r="EB33" s="2927"/>
      <c r="EC33" s="2927"/>
      <c r="ED33" s="2927"/>
      <c r="EE33" s="2927"/>
      <c r="EF33" s="2927"/>
      <c r="EG33" s="2927"/>
      <c r="EH33" s="2927"/>
      <c r="EI33" s="2927"/>
      <c r="EJ33" s="2927"/>
      <c r="EK33" s="2927"/>
      <c r="EL33" s="2927"/>
      <c r="EM33" s="2927"/>
      <c r="EN33" s="2927"/>
      <c r="EO33" s="2927"/>
      <c r="EP33" s="2927"/>
      <c r="EQ33" s="2927"/>
      <c r="ER33" s="2927"/>
      <c r="ES33" s="2927"/>
      <c r="ET33" s="2927"/>
      <c r="EU33" s="2927"/>
      <c r="EV33" s="2927"/>
      <c r="EW33" s="2927"/>
      <c r="EX33" s="2927"/>
      <c r="EY33" s="2927"/>
      <c r="EZ33" s="2927"/>
      <c r="FA33" s="2927"/>
      <c r="FB33" s="2927"/>
      <c r="FC33" s="2927"/>
      <c r="FD33" s="2927"/>
      <c r="FE33" s="2927"/>
      <c r="FF33" s="2927"/>
      <c r="FG33" s="2927"/>
      <c r="FH33" s="2927"/>
      <c r="FI33" s="2927"/>
      <c r="FJ33" s="2927"/>
      <c r="FK33" s="2927"/>
      <c r="FL33" s="2927"/>
      <c r="FM33" s="2927"/>
      <c r="FN33" s="2927"/>
      <c r="FO33" s="2927"/>
      <c r="FP33" s="2927"/>
      <c r="FQ33" s="2927"/>
      <c r="FR33" s="2927"/>
      <c r="FS33" s="2927"/>
      <c r="FT33" s="2927"/>
      <c r="FU33" s="2927"/>
      <c r="FV33" s="2927"/>
      <c r="FW33" s="2927"/>
      <c r="FX33" s="2927"/>
      <c r="FY33" s="2927"/>
      <c r="FZ33" s="2927"/>
      <c r="GA33" s="2927"/>
      <c r="GB33" s="2927"/>
      <c r="GC33" s="2927"/>
      <c r="GD33" s="2927"/>
      <c r="GE33" s="2927"/>
      <c r="GF33" s="2927"/>
      <c r="GG33" s="2927"/>
      <c r="GH33" s="2927"/>
      <c r="GI33" s="2927"/>
      <c r="GJ33" s="2927"/>
      <c r="GK33" s="2927"/>
      <c r="GL33" s="2927"/>
      <c r="GM33" s="2927"/>
      <c r="GN33" s="2927"/>
      <c r="GO33" s="2927"/>
      <c r="GP33" s="2927"/>
      <c r="GQ33" s="2927"/>
      <c r="GR33" s="2927"/>
      <c r="GS33" s="2927"/>
      <c r="GT33" s="2927"/>
      <c r="GU33" s="2927"/>
      <c r="GV33" s="2927"/>
      <c r="GW33" s="2927"/>
      <c r="GX33" s="2927"/>
      <c r="GY33" s="2927"/>
      <c r="GZ33" s="2927"/>
      <c r="HA33" s="2927"/>
      <c r="HB33" s="2927"/>
      <c r="HC33" s="2927"/>
      <c r="HD33" s="2927"/>
      <c r="HE33" s="2927"/>
      <c r="HF33" s="2927"/>
      <c r="HG33" s="2927"/>
      <c r="HH33" s="2927"/>
      <c r="HI33" s="2927"/>
      <c r="HJ33" s="2927"/>
      <c r="HK33" s="2927"/>
      <c r="HL33" s="2927"/>
      <c r="HM33" s="2927"/>
      <c r="HN33" s="2927"/>
      <c r="HO33" s="2927"/>
      <c r="HP33" s="2927"/>
      <c r="HQ33" s="2927"/>
      <c r="HR33" s="2927"/>
      <c r="HS33" s="2927"/>
      <c r="HT33" s="2927"/>
      <c r="HU33" s="2927"/>
      <c r="HV33" s="2927"/>
      <c r="HW33" s="2927"/>
      <c r="HX33" s="2927"/>
      <c r="HY33" s="2927"/>
      <c r="HZ33" s="2927"/>
      <c r="IA33" s="2927"/>
      <c r="IB33" s="2927"/>
      <c r="IC33" s="2927"/>
      <c r="ID33" s="2927"/>
      <c r="IE33" s="2927"/>
    </row>
    <row r="34" s="2838" customFormat="1" ht="35" customHeight="1" spans="1:239">
      <c r="A34" s="2905">
        <v>45683</v>
      </c>
      <c r="B34" s="2906" t="s">
        <v>872</v>
      </c>
      <c r="C34" s="2907" t="s">
        <v>873</v>
      </c>
      <c r="D34" s="2908">
        <v>4500156659</v>
      </c>
      <c r="E34" s="2909"/>
      <c r="F34" s="2908" t="s">
        <v>10296</v>
      </c>
      <c r="G34" s="2930" t="s">
        <v>10297</v>
      </c>
      <c r="H34" s="2911" t="s">
        <v>10298</v>
      </c>
      <c r="I34" s="2912">
        <v>460</v>
      </c>
      <c r="J34" s="2912">
        <v>0</v>
      </c>
      <c r="K34" s="2912">
        <v>4</v>
      </c>
      <c r="L34" s="2912">
        <f t="shared" si="0"/>
        <v>115</v>
      </c>
      <c r="M34" s="2913">
        <v>45734</v>
      </c>
      <c r="N34" s="2913">
        <v>45730</v>
      </c>
      <c r="O34" s="2914"/>
      <c r="P34" s="2914" t="s">
        <v>10206</v>
      </c>
      <c r="Q34" s="2914" t="s">
        <v>875</v>
      </c>
      <c r="R34" s="2915" t="s">
        <v>876</v>
      </c>
      <c r="S34" s="2915"/>
      <c r="T34" s="2915" t="s">
        <v>10294</v>
      </c>
      <c r="U34" s="2915"/>
      <c r="V34" s="2915"/>
      <c r="W34" s="2929" t="s">
        <v>10299</v>
      </c>
      <c r="X34" s="2912" t="s">
        <v>357</v>
      </c>
      <c r="Y34" s="2917">
        <v>7.3277</v>
      </c>
      <c r="Z34" s="2918">
        <f t="shared" si="57"/>
        <v>3370.742</v>
      </c>
      <c r="AA34" s="2912" t="s">
        <v>878</v>
      </c>
      <c r="AB34" s="2930" t="s">
        <v>10297</v>
      </c>
      <c r="AC34" s="2912" t="s">
        <v>416</v>
      </c>
      <c r="AD34" s="2919">
        <f t="shared" si="80"/>
        <v>460</v>
      </c>
      <c r="AE34" s="2919"/>
      <c r="AF34" s="2920"/>
      <c r="AG34" s="2919"/>
      <c r="AH34" s="2919"/>
      <c r="AI34" s="2919"/>
      <c r="AJ34" s="2921">
        <f t="shared" si="75"/>
        <v>460</v>
      </c>
      <c r="AK34" s="2921"/>
      <c r="AL34" s="2921"/>
      <c r="AM34" s="2921"/>
      <c r="AN34" s="2922"/>
      <c r="AO34" s="2923"/>
      <c r="AP34" s="2921"/>
      <c r="AQ34" s="2921">
        <f>I34</f>
        <v>460</v>
      </c>
      <c r="AR34" s="2924"/>
      <c r="AS34" s="2921"/>
      <c r="AT34" s="2921"/>
      <c r="AU34" s="2921"/>
      <c r="AV34" s="2924"/>
      <c r="AW34" s="2923"/>
      <c r="AX34" s="2921"/>
      <c r="AY34" s="2921"/>
      <c r="AZ34" s="2924"/>
      <c r="BA34" s="2923"/>
      <c r="BB34" s="2924"/>
      <c r="BC34" s="2925"/>
      <c r="BD34" s="2921">
        <f t="shared" si="67"/>
        <v>460</v>
      </c>
      <c r="BE34" s="2921"/>
      <c r="BF34" s="2921">
        <f t="shared" si="4"/>
        <v>460</v>
      </c>
      <c r="BG34" s="2921" t="s">
        <v>9164</v>
      </c>
      <c r="BH34" s="2921"/>
      <c r="BI34" s="2921"/>
      <c r="BJ34" s="2921"/>
      <c r="BK34" s="2921"/>
      <c r="BL34" s="2921"/>
      <c r="BM34" s="2921">
        <f>I34</f>
        <v>460</v>
      </c>
      <c r="BN34" s="2921">
        <f>I34</f>
        <v>460</v>
      </c>
      <c r="BO34" s="2926"/>
      <c r="BP34" s="2921"/>
      <c r="BQ34" s="2926">
        <f t="shared" si="1"/>
        <v>238485</v>
      </c>
      <c r="BR34" s="2926">
        <f t="shared" ref="BR34:BY34" si="82">BR33-BI34</f>
        <v>22690.75</v>
      </c>
      <c r="BS34" s="2926">
        <f t="shared" si="82"/>
        <v>22690.75</v>
      </c>
      <c r="BT34" s="2926">
        <f t="shared" si="82"/>
        <v>22102.75</v>
      </c>
      <c r="BU34" s="2926">
        <f t="shared" si="82"/>
        <v>22102.75</v>
      </c>
      <c r="BV34" s="2926">
        <f t="shared" si="82"/>
        <v>37308.75</v>
      </c>
      <c r="BW34" s="2926">
        <f t="shared" si="82"/>
        <v>37308.75</v>
      </c>
      <c r="BX34" s="2926">
        <f t="shared" si="82"/>
        <v>23182.75</v>
      </c>
      <c r="BY34" s="2926">
        <f t="shared" si="82"/>
        <v>23182.75</v>
      </c>
      <c r="BZ34" s="2912"/>
      <c r="CA34" s="2927"/>
      <c r="CB34" s="2927"/>
      <c r="CC34" s="2927"/>
      <c r="CD34" s="2927"/>
      <c r="CE34" s="2927"/>
      <c r="CF34" s="2927"/>
      <c r="CG34" s="2927"/>
      <c r="CH34" s="2927"/>
      <c r="CI34" s="2927"/>
      <c r="CJ34" s="2927"/>
      <c r="CK34" s="2927"/>
      <c r="CL34" s="2927"/>
      <c r="CM34" s="2927"/>
      <c r="CN34" s="2927"/>
      <c r="CO34" s="2927"/>
      <c r="CP34" s="2927"/>
      <c r="CQ34" s="2927"/>
      <c r="CR34" s="2927"/>
      <c r="CS34" s="2927"/>
      <c r="CT34" s="2927"/>
      <c r="CU34" s="2927"/>
      <c r="CV34" s="2927"/>
      <c r="CW34" s="2927"/>
      <c r="CX34" s="2927"/>
      <c r="CY34" s="2927"/>
      <c r="CZ34" s="2927"/>
      <c r="DA34" s="2927"/>
      <c r="DB34" s="2927"/>
      <c r="DC34" s="2927"/>
      <c r="DD34" s="2927"/>
      <c r="DE34" s="2927"/>
      <c r="DF34" s="2927"/>
      <c r="DG34" s="2927"/>
      <c r="DH34" s="2927"/>
      <c r="DI34" s="2927"/>
      <c r="DJ34" s="2927"/>
      <c r="DK34" s="2927"/>
      <c r="DL34" s="2927"/>
      <c r="DM34" s="2927"/>
      <c r="DN34" s="2927"/>
      <c r="DO34" s="2927"/>
      <c r="DP34" s="2927"/>
      <c r="DQ34" s="2927"/>
      <c r="DR34" s="2927"/>
      <c r="DS34" s="2927"/>
      <c r="DT34" s="2927"/>
      <c r="DU34" s="2927"/>
      <c r="DV34" s="2927"/>
      <c r="DW34" s="2927"/>
      <c r="DX34" s="2927"/>
      <c r="DY34" s="2927"/>
      <c r="DZ34" s="2927"/>
      <c r="EA34" s="2927"/>
      <c r="EB34" s="2927"/>
      <c r="EC34" s="2927"/>
      <c r="ED34" s="2927"/>
      <c r="EE34" s="2927"/>
      <c r="EF34" s="2927"/>
      <c r="EG34" s="2927"/>
      <c r="EH34" s="2927"/>
      <c r="EI34" s="2927"/>
      <c r="EJ34" s="2927"/>
      <c r="EK34" s="2927"/>
      <c r="EL34" s="2927"/>
      <c r="EM34" s="2927"/>
      <c r="EN34" s="2927"/>
      <c r="EO34" s="2927"/>
      <c r="EP34" s="2927"/>
      <c r="EQ34" s="2927"/>
      <c r="ER34" s="2927"/>
      <c r="ES34" s="2927"/>
      <c r="ET34" s="2927"/>
      <c r="EU34" s="2927"/>
      <c r="EV34" s="2927"/>
      <c r="EW34" s="2927"/>
      <c r="EX34" s="2927"/>
      <c r="EY34" s="2927"/>
      <c r="EZ34" s="2927"/>
      <c r="FA34" s="2927"/>
      <c r="FB34" s="2927"/>
      <c r="FC34" s="2927"/>
      <c r="FD34" s="2927"/>
      <c r="FE34" s="2927"/>
      <c r="FF34" s="2927"/>
      <c r="FG34" s="2927"/>
      <c r="FH34" s="2927"/>
      <c r="FI34" s="2927"/>
      <c r="FJ34" s="2927"/>
      <c r="FK34" s="2927"/>
      <c r="FL34" s="2927"/>
      <c r="FM34" s="2927"/>
      <c r="FN34" s="2927"/>
      <c r="FO34" s="2927"/>
      <c r="FP34" s="2927"/>
      <c r="FQ34" s="2927"/>
      <c r="FR34" s="2927"/>
      <c r="FS34" s="2927"/>
      <c r="FT34" s="2927"/>
      <c r="FU34" s="2927"/>
      <c r="FV34" s="2927"/>
      <c r="FW34" s="2927"/>
      <c r="FX34" s="2927"/>
      <c r="FY34" s="2927"/>
      <c r="FZ34" s="2927"/>
      <c r="GA34" s="2927"/>
      <c r="GB34" s="2927"/>
      <c r="GC34" s="2927"/>
      <c r="GD34" s="2927"/>
      <c r="GE34" s="2927"/>
      <c r="GF34" s="2927"/>
      <c r="GG34" s="2927"/>
      <c r="GH34" s="2927"/>
      <c r="GI34" s="2927"/>
      <c r="GJ34" s="2927"/>
      <c r="GK34" s="2927"/>
      <c r="GL34" s="2927"/>
      <c r="GM34" s="2927"/>
      <c r="GN34" s="2927"/>
      <c r="GO34" s="2927"/>
      <c r="GP34" s="2927"/>
      <c r="GQ34" s="2927"/>
      <c r="GR34" s="2927"/>
      <c r="GS34" s="2927"/>
      <c r="GT34" s="2927"/>
      <c r="GU34" s="2927"/>
      <c r="GV34" s="2927"/>
      <c r="GW34" s="2927"/>
      <c r="GX34" s="2927"/>
      <c r="GY34" s="2927"/>
      <c r="GZ34" s="2927"/>
      <c r="HA34" s="2927"/>
      <c r="HB34" s="2927"/>
      <c r="HC34" s="2927"/>
      <c r="HD34" s="2927"/>
      <c r="HE34" s="2927"/>
      <c r="HF34" s="2927"/>
      <c r="HG34" s="2927"/>
      <c r="HH34" s="2927"/>
      <c r="HI34" s="2927"/>
      <c r="HJ34" s="2927"/>
      <c r="HK34" s="2927"/>
      <c r="HL34" s="2927"/>
      <c r="HM34" s="2927"/>
      <c r="HN34" s="2927"/>
      <c r="HO34" s="2927"/>
      <c r="HP34" s="2927"/>
      <c r="HQ34" s="2927"/>
      <c r="HR34" s="2927"/>
      <c r="HS34" s="2927"/>
      <c r="HT34" s="2927"/>
      <c r="HU34" s="2927"/>
      <c r="HV34" s="2927"/>
      <c r="HW34" s="2927"/>
      <c r="HX34" s="2927"/>
      <c r="HY34" s="2927"/>
      <c r="HZ34" s="2927"/>
      <c r="IA34" s="2927"/>
      <c r="IB34" s="2927"/>
      <c r="IC34" s="2927"/>
      <c r="ID34" s="2927"/>
      <c r="IE34" s="2927"/>
    </row>
    <row r="35" s="2838" customFormat="1" ht="35" customHeight="1" spans="1:239">
      <c r="A35" s="2905">
        <v>45683</v>
      </c>
      <c r="B35" s="2906" t="s">
        <v>872</v>
      </c>
      <c r="C35" s="2907" t="s">
        <v>873</v>
      </c>
      <c r="D35" s="2908">
        <v>4500156659</v>
      </c>
      <c r="E35" s="2909"/>
      <c r="F35" s="2908" t="s">
        <v>10300</v>
      </c>
      <c r="G35" s="2930" t="s">
        <v>10199</v>
      </c>
      <c r="H35" s="2911" t="s">
        <v>9155</v>
      </c>
      <c r="I35" s="2912">
        <v>568</v>
      </c>
      <c r="J35" s="2912">
        <v>0</v>
      </c>
      <c r="K35" s="2912">
        <v>4</v>
      </c>
      <c r="L35" s="2912">
        <f t="shared" si="0"/>
        <v>142</v>
      </c>
      <c r="M35" s="2913">
        <v>45736</v>
      </c>
      <c r="N35" s="2913">
        <v>45733</v>
      </c>
      <c r="O35" s="2914"/>
      <c r="P35" s="2914" t="s">
        <v>10206</v>
      </c>
      <c r="Q35" s="2914" t="s">
        <v>875</v>
      </c>
      <c r="R35" s="2915" t="s">
        <v>876</v>
      </c>
      <c r="S35" s="2915"/>
      <c r="T35" s="2915" t="s">
        <v>10301</v>
      </c>
      <c r="U35" s="2915"/>
      <c r="V35" s="2915"/>
      <c r="W35" s="2929" t="s">
        <v>10302</v>
      </c>
      <c r="X35" s="2912" t="s">
        <v>357</v>
      </c>
      <c r="Y35" s="2917">
        <v>7.3108</v>
      </c>
      <c r="Z35" s="2918">
        <f t="shared" si="57"/>
        <v>4152.5344</v>
      </c>
      <c r="AA35" s="2930" t="s">
        <v>878</v>
      </c>
      <c r="AB35" s="2906" t="s">
        <v>10199</v>
      </c>
      <c r="AC35" s="2912" t="s">
        <v>416</v>
      </c>
      <c r="AD35" s="2919">
        <f t="shared" si="80"/>
        <v>568</v>
      </c>
      <c r="AE35" s="2919"/>
      <c r="AF35" s="2920"/>
      <c r="AG35" s="2919"/>
      <c r="AH35" s="2919"/>
      <c r="AI35" s="2919"/>
      <c r="AJ35" s="2921">
        <f t="shared" si="75"/>
        <v>568</v>
      </c>
      <c r="AK35" s="2921"/>
      <c r="AL35" s="2921"/>
      <c r="AM35" s="2921"/>
      <c r="AN35" s="2922"/>
      <c r="AO35" s="2923"/>
      <c r="AP35" s="2921"/>
      <c r="AQ35" s="2921">
        <f t="shared" ref="AQ35:AQ50" si="83">I35/4</f>
        <v>142</v>
      </c>
      <c r="AR35" s="2924"/>
      <c r="AS35" s="2921">
        <f t="shared" ref="AS35:AS50" si="84">I35/4</f>
        <v>142</v>
      </c>
      <c r="AT35" s="2921">
        <f t="shared" ref="AT35:AT50" si="85">I35/4</f>
        <v>142</v>
      </c>
      <c r="AU35" s="2921"/>
      <c r="AV35" s="2924">
        <f>I35/4</f>
        <v>142</v>
      </c>
      <c r="AW35" s="2923"/>
      <c r="AX35" s="2921"/>
      <c r="AY35" s="2921"/>
      <c r="AZ35" s="2924"/>
      <c r="BA35" s="2923"/>
      <c r="BB35" s="2924"/>
      <c r="BC35" s="2925"/>
      <c r="BD35" s="2921">
        <f t="shared" si="67"/>
        <v>568</v>
      </c>
      <c r="BE35" s="2921"/>
      <c r="BF35" s="2921">
        <f t="shared" si="4"/>
        <v>568</v>
      </c>
      <c r="BG35" s="2921" t="s">
        <v>9164</v>
      </c>
      <c r="BH35" s="2921"/>
      <c r="BI35" s="2921">
        <f t="shared" ref="BI35:BI50" si="86">I35/4</f>
        <v>142</v>
      </c>
      <c r="BJ35" s="2921">
        <f t="shared" ref="BJ35:BP35" si="87">BI35</f>
        <v>142</v>
      </c>
      <c r="BK35" s="2921">
        <f t="shared" si="87"/>
        <v>142</v>
      </c>
      <c r="BL35" s="2921">
        <f t="shared" si="87"/>
        <v>142</v>
      </c>
      <c r="BM35" s="2926">
        <f t="shared" si="87"/>
        <v>142</v>
      </c>
      <c r="BN35" s="2921">
        <f t="shared" si="87"/>
        <v>142</v>
      </c>
      <c r="BO35" s="2926">
        <f t="shared" si="87"/>
        <v>142</v>
      </c>
      <c r="BP35" s="2921">
        <f t="shared" si="87"/>
        <v>142</v>
      </c>
      <c r="BQ35" s="2926">
        <f t="shared" si="1"/>
        <v>238593</v>
      </c>
      <c r="BR35" s="2926">
        <f t="shared" ref="BR35:BY35" si="88">BR34-BI35</f>
        <v>22548.75</v>
      </c>
      <c r="BS35" s="2926">
        <f t="shared" si="88"/>
        <v>22548.75</v>
      </c>
      <c r="BT35" s="2926">
        <f t="shared" si="88"/>
        <v>21960.75</v>
      </c>
      <c r="BU35" s="2926">
        <f t="shared" si="88"/>
        <v>21960.75</v>
      </c>
      <c r="BV35" s="2926">
        <f t="shared" si="88"/>
        <v>37166.75</v>
      </c>
      <c r="BW35" s="2926">
        <f t="shared" si="88"/>
        <v>37166.75</v>
      </c>
      <c r="BX35" s="2926">
        <f t="shared" si="88"/>
        <v>23040.75</v>
      </c>
      <c r="BY35" s="2926">
        <f t="shared" si="88"/>
        <v>23040.75</v>
      </c>
      <c r="BZ35" s="2912"/>
      <c r="CA35" s="2927"/>
      <c r="CB35" s="2927"/>
      <c r="CC35" s="2927"/>
      <c r="CD35" s="2927"/>
      <c r="CE35" s="2927"/>
      <c r="CF35" s="2927"/>
      <c r="CG35" s="2927"/>
      <c r="CH35" s="2927"/>
      <c r="CI35" s="2927"/>
      <c r="CJ35" s="2927"/>
      <c r="CK35" s="2927"/>
      <c r="CL35" s="2927"/>
      <c r="CM35" s="2927"/>
      <c r="CN35" s="2927"/>
      <c r="CO35" s="2927"/>
      <c r="CP35" s="2927"/>
      <c r="CQ35" s="2927"/>
      <c r="CR35" s="2927"/>
      <c r="CS35" s="2927"/>
      <c r="CT35" s="2927"/>
      <c r="CU35" s="2927"/>
      <c r="CV35" s="2927"/>
      <c r="CW35" s="2927"/>
      <c r="CX35" s="2927"/>
      <c r="CY35" s="2927"/>
      <c r="CZ35" s="2927"/>
      <c r="DA35" s="2927"/>
      <c r="DB35" s="2927"/>
      <c r="DC35" s="2927"/>
      <c r="DD35" s="2927"/>
      <c r="DE35" s="2927"/>
      <c r="DF35" s="2927"/>
      <c r="DG35" s="2927"/>
      <c r="DH35" s="2927"/>
      <c r="DI35" s="2927"/>
      <c r="DJ35" s="2927"/>
      <c r="DK35" s="2927"/>
      <c r="DL35" s="2927"/>
      <c r="DM35" s="2927"/>
      <c r="DN35" s="2927"/>
      <c r="DO35" s="2927"/>
      <c r="DP35" s="2927"/>
      <c r="DQ35" s="2927"/>
      <c r="DR35" s="2927"/>
      <c r="DS35" s="2927"/>
      <c r="DT35" s="2927"/>
      <c r="DU35" s="2927"/>
      <c r="DV35" s="2927"/>
      <c r="DW35" s="2927"/>
      <c r="DX35" s="2927"/>
      <c r="DY35" s="2927"/>
      <c r="DZ35" s="2927"/>
      <c r="EA35" s="2927"/>
      <c r="EB35" s="2927"/>
      <c r="EC35" s="2927"/>
      <c r="ED35" s="2927"/>
      <c r="EE35" s="2927"/>
      <c r="EF35" s="2927"/>
      <c r="EG35" s="2927"/>
      <c r="EH35" s="2927"/>
      <c r="EI35" s="2927"/>
      <c r="EJ35" s="2927"/>
      <c r="EK35" s="2927"/>
      <c r="EL35" s="2927"/>
      <c r="EM35" s="2927"/>
      <c r="EN35" s="2927"/>
      <c r="EO35" s="2927"/>
      <c r="EP35" s="2927"/>
      <c r="EQ35" s="2927"/>
      <c r="ER35" s="2927"/>
      <c r="ES35" s="2927"/>
      <c r="ET35" s="2927"/>
      <c r="EU35" s="2927"/>
      <c r="EV35" s="2927"/>
      <c r="EW35" s="2927"/>
      <c r="EX35" s="2927"/>
      <c r="EY35" s="2927"/>
      <c r="EZ35" s="2927"/>
      <c r="FA35" s="2927"/>
      <c r="FB35" s="2927"/>
      <c r="FC35" s="2927"/>
      <c r="FD35" s="2927"/>
      <c r="FE35" s="2927"/>
      <c r="FF35" s="2927"/>
      <c r="FG35" s="2927"/>
      <c r="FH35" s="2927"/>
      <c r="FI35" s="2927"/>
      <c r="FJ35" s="2927"/>
      <c r="FK35" s="2927"/>
      <c r="FL35" s="2927"/>
      <c r="FM35" s="2927"/>
      <c r="FN35" s="2927"/>
      <c r="FO35" s="2927"/>
      <c r="FP35" s="2927"/>
      <c r="FQ35" s="2927"/>
      <c r="FR35" s="2927"/>
      <c r="FS35" s="2927"/>
      <c r="FT35" s="2927"/>
      <c r="FU35" s="2927"/>
      <c r="FV35" s="2927"/>
      <c r="FW35" s="2927"/>
      <c r="FX35" s="2927"/>
      <c r="FY35" s="2927"/>
      <c r="FZ35" s="2927"/>
      <c r="GA35" s="2927"/>
      <c r="GB35" s="2927"/>
      <c r="GC35" s="2927"/>
      <c r="GD35" s="2927"/>
      <c r="GE35" s="2927"/>
      <c r="GF35" s="2927"/>
      <c r="GG35" s="2927"/>
      <c r="GH35" s="2927"/>
      <c r="GI35" s="2927"/>
      <c r="GJ35" s="2927"/>
      <c r="GK35" s="2927"/>
      <c r="GL35" s="2927"/>
      <c r="GM35" s="2927"/>
      <c r="GN35" s="2927"/>
      <c r="GO35" s="2927"/>
      <c r="GP35" s="2927"/>
      <c r="GQ35" s="2927"/>
      <c r="GR35" s="2927"/>
      <c r="GS35" s="2927"/>
      <c r="GT35" s="2927"/>
      <c r="GU35" s="2927"/>
      <c r="GV35" s="2927"/>
      <c r="GW35" s="2927"/>
      <c r="GX35" s="2927"/>
      <c r="GY35" s="2927"/>
      <c r="GZ35" s="2927"/>
      <c r="HA35" s="2927"/>
      <c r="HB35" s="2927"/>
      <c r="HC35" s="2927"/>
      <c r="HD35" s="2927"/>
      <c r="HE35" s="2927"/>
      <c r="HF35" s="2927"/>
      <c r="HG35" s="2927"/>
      <c r="HH35" s="2927"/>
      <c r="HI35" s="2927"/>
      <c r="HJ35" s="2927"/>
      <c r="HK35" s="2927"/>
      <c r="HL35" s="2927"/>
      <c r="HM35" s="2927"/>
      <c r="HN35" s="2927"/>
      <c r="HO35" s="2927"/>
      <c r="HP35" s="2927"/>
      <c r="HQ35" s="2927"/>
      <c r="HR35" s="2927"/>
      <c r="HS35" s="2927"/>
      <c r="HT35" s="2927"/>
      <c r="HU35" s="2927"/>
      <c r="HV35" s="2927"/>
      <c r="HW35" s="2927"/>
      <c r="HX35" s="2927"/>
      <c r="HY35" s="2927"/>
      <c r="HZ35" s="2927"/>
      <c r="IA35" s="2927"/>
      <c r="IB35" s="2927"/>
      <c r="IC35" s="2927"/>
      <c r="ID35" s="2927"/>
      <c r="IE35" s="2927"/>
    </row>
    <row r="36" s="2838" customFormat="1" ht="32" customHeight="1" spans="1:239">
      <c r="A36" s="2905">
        <v>45652</v>
      </c>
      <c r="B36" s="2906" t="s">
        <v>9451</v>
      </c>
      <c r="C36" s="2907" t="s">
        <v>2776</v>
      </c>
      <c r="D36" s="2908">
        <v>4500154827</v>
      </c>
      <c r="E36" s="2909"/>
      <c r="F36" s="2908" t="s">
        <v>10303</v>
      </c>
      <c r="G36" s="2930" t="s">
        <v>10199</v>
      </c>
      <c r="H36" s="2911" t="s">
        <v>9155</v>
      </c>
      <c r="I36" s="2912">
        <v>300</v>
      </c>
      <c r="J36" s="2912">
        <v>0</v>
      </c>
      <c r="K36" s="2912">
        <v>4</v>
      </c>
      <c r="L36" s="2912">
        <f t="shared" si="0"/>
        <v>75</v>
      </c>
      <c r="M36" s="2913">
        <v>45737</v>
      </c>
      <c r="N36" s="2913">
        <v>45733</v>
      </c>
      <c r="O36" s="2914" t="s">
        <v>9455</v>
      </c>
      <c r="P36" s="2914" t="s">
        <v>10206</v>
      </c>
      <c r="Q36" s="2914" t="s">
        <v>923</v>
      </c>
      <c r="R36" s="2915" t="s">
        <v>9456</v>
      </c>
      <c r="S36" s="2915"/>
      <c r="T36" s="2915" t="s">
        <v>10304</v>
      </c>
      <c r="U36" s="2915" t="s">
        <v>9458</v>
      </c>
      <c r="V36" s="2915" t="s">
        <v>9459</v>
      </c>
      <c r="W36" s="2929" t="s">
        <v>10305</v>
      </c>
      <c r="X36" s="2912" t="s">
        <v>459</v>
      </c>
      <c r="Y36" s="2917">
        <v>7.0298</v>
      </c>
      <c r="Z36" s="2918">
        <f t="shared" si="57"/>
        <v>2108.94</v>
      </c>
      <c r="AA36" s="2912" t="s">
        <v>9461</v>
      </c>
      <c r="AB36" s="2912" t="s">
        <v>10247</v>
      </c>
      <c r="AC36" s="2912" t="s">
        <v>416</v>
      </c>
      <c r="AD36" s="2919"/>
      <c r="AE36" s="2919"/>
      <c r="AF36" s="2920"/>
      <c r="AG36" s="2919">
        <f t="shared" ref="AG36:AG39" si="89">I36</f>
        <v>300</v>
      </c>
      <c r="AH36" s="2919"/>
      <c r="AI36" s="2919"/>
      <c r="AJ36" s="2921">
        <f t="shared" si="75"/>
        <v>300</v>
      </c>
      <c r="AK36" s="2921"/>
      <c r="AL36" s="2921"/>
      <c r="AM36" s="2921"/>
      <c r="AN36" s="2922"/>
      <c r="AO36" s="2923"/>
      <c r="AP36" s="2921"/>
      <c r="AQ36" s="2921">
        <f t="shared" si="83"/>
        <v>75</v>
      </c>
      <c r="AR36" s="2924"/>
      <c r="AS36" s="2923">
        <f t="shared" si="84"/>
        <v>75</v>
      </c>
      <c r="AT36" s="2921">
        <f t="shared" si="85"/>
        <v>75</v>
      </c>
      <c r="AU36" s="2921"/>
      <c r="AV36" s="2924">
        <f t="shared" ref="AV36:AV50" si="90">AS36</f>
        <v>75</v>
      </c>
      <c r="AW36" s="2923"/>
      <c r="AX36" s="2921"/>
      <c r="AY36" s="2921"/>
      <c r="AZ36" s="2924"/>
      <c r="BA36" s="2923"/>
      <c r="BB36" s="2924"/>
      <c r="BC36" s="2925"/>
      <c r="BD36" s="2921">
        <f t="shared" si="67"/>
        <v>300</v>
      </c>
      <c r="BE36" s="2921"/>
      <c r="BF36" s="2921">
        <f t="shared" si="4"/>
        <v>300</v>
      </c>
      <c r="BG36" s="2921" t="s">
        <v>9164</v>
      </c>
      <c r="BH36" s="2921"/>
      <c r="BI36" s="2921">
        <f t="shared" si="86"/>
        <v>75</v>
      </c>
      <c r="BJ36" s="2921">
        <f t="shared" ref="BJ36:BP36" si="91">BI36</f>
        <v>75</v>
      </c>
      <c r="BK36" s="2921">
        <f t="shared" si="91"/>
        <v>75</v>
      </c>
      <c r="BL36" s="2921">
        <f t="shared" si="91"/>
        <v>75</v>
      </c>
      <c r="BM36" s="2926">
        <f t="shared" si="91"/>
        <v>75</v>
      </c>
      <c r="BN36" s="2921">
        <f t="shared" si="91"/>
        <v>75</v>
      </c>
      <c r="BO36" s="2926">
        <f t="shared" si="91"/>
        <v>75</v>
      </c>
      <c r="BP36" s="2921">
        <f t="shared" si="91"/>
        <v>75</v>
      </c>
      <c r="BQ36" s="2926">
        <f t="shared" si="1"/>
        <v>238325</v>
      </c>
      <c r="BR36" s="2926">
        <f t="shared" ref="BR36:BY36" si="92">BR35-BI36</f>
        <v>22473.75</v>
      </c>
      <c r="BS36" s="2926">
        <f t="shared" si="92"/>
        <v>22473.75</v>
      </c>
      <c r="BT36" s="2926">
        <f t="shared" si="92"/>
        <v>21885.75</v>
      </c>
      <c r="BU36" s="2926">
        <f t="shared" si="92"/>
        <v>21885.75</v>
      </c>
      <c r="BV36" s="2926">
        <f t="shared" si="92"/>
        <v>37091.75</v>
      </c>
      <c r="BW36" s="2926">
        <f t="shared" si="92"/>
        <v>37091.75</v>
      </c>
      <c r="BX36" s="2926">
        <f t="shared" si="92"/>
        <v>22965.75</v>
      </c>
      <c r="BY36" s="2926">
        <f t="shared" si="92"/>
        <v>22965.75</v>
      </c>
      <c r="BZ36" s="2912"/>
      <c r="CA36" s="2927"/>
      <c r="CB36" s="2927"/>
      <c r="CC36" s="2927"/>
      <c r="CD36" s="2927"/>
      <c r="CE36" s="2927"/>
      <c r="CF36" s="2927"/>
      <c r="CG36" s="2927"/>
      <c r="CH36" s="2927"/>
      <c r="CI36" s="2927"/>
      <c r="CJ36" s="2927"/>
      <c r="CK36" s="2927"/>
      <c r="CL36" s="2927"/>
      <c r="CM36" s="2927"/>
      <c r="CN36" s="2927"/>
      <c r="CO36" s="2927"/>
      <c r="CP36" s="2927"/>
      <c r="CQ36" s="2927"/>
      <c r="CR36" s="2927"/>
      <c r="CS36" s="2927"/>
      <c r="CT36" s="2927"/>
      <c r="CU36" s="2927"/>
      <c r="CV36" s="2927"/>
      <c r="CW36" s="2927"/>
      <c r="CX36" s="2927"/>
      <c r="CY36" s="2927"/>
      <c r="CZ36" s="2927"/>
      <c r="DA36" s="2927"/>
      <c r="DB36" s="2927"/>
      <c r="DC36" s="2927"/>
      <c r="DD36" s="2927"/>
      <c r="DE36" s="2927"/>
      <c r="DF36" s="2927"/>
      <c r="DG36" s="2927"/>
      <c r="DH36" s="2927"/>
      <c r="DI36" s="2927"/>
      <c r="DJ36" s="2927"/>
      <c r="DK36" s="2927"/>
      <c r="DL36" s="2927"/>
      <c r="DM36" s="2927"/>
      <c r="DN36" s="2927"/>
      <c r="DO36" s="2927"/>
      <c r="DP36" s="2927"/>
      <c r="DQ36" s="2927"/>
      <c r="DR36" s="2927"/>
      <c r="DS36" s="2927"/>
      <c r="DT36" s="2927"/>
      <c r="DU36" s="2927"/>
      <c r="DV36" s="2927"/>
      <c r="DW36" s="2927"/>
      <c r="DX36" s="2927"/>
      <c r="DY36" s="2927"/>
      <c r="DZ36" s="2927"/>
      <c r="EA36" s="2927"/>
      <c r="EB36" s="2927"/>
      <c r="EC36" s="2927"/>
      <c r="ED36" s="2927"/>
      <c r="EE36" s="2927"/>
      <c r="EF36" s="2927"/>
      <c r="EG36" s="2927"/>
      <c r="EH36" s="2927"/>
      <c r="EI36" s="2927"/>
      <c r="EJ36" s="2927"/>
      <c r="EK36" s="2927"/>
      <c r="EL36" s="2927"/>
      <c r="EM36" s="2927"/>
      <c r="EN36" s="2927"/>
      <c r="EO36" s="2927"/>
      <c r="EP36" s="2927"/>
      <c r="EQ36" s="2927"/>
      <c r="ER36" s="2927"/>
      <c r="ES36" s="2927"/>
      <c r="ET36" s="2927"/>
      <c r="EU36" s="2927"/>
      <c r="EV36" s="2927"/>
      <c r="EW36" s="2927"/>
      <c r="EX36" s="2927"/>
      <c r="EY36" s="2927"/>
      <c r="EZ36" s="2927"/>
      <c r="FA36" s="2927"/>
      <c r="FB36" s="2927"/>
      <c r="FC36" s="2927"/>
      <c r="FD36" s="2927"/>
      <c r="FE36" s="2927"/>
      <c r="FF36" s="2927"/>
      <c r="FG36" s="2927"/>
      <c r="FH36" s="2927"/>
      <c r="FI36" s="2927"/>
      <c r="FJ36" s="2927"/>
      <c r="FK36" s="2927"/>
      <c r="FL36" s="2927"/>
      <c r="FM36" s="2927"/>
      <c r="FN36" s="2927"/>
      <c r="FO36" s="2927"/>
      <c r="FP36" s="2927"/>
      <c r="FQ36" s="2927"/>
      <c r="FR36" s="2927"/>
      <c r="FS36" s="2927"/>
      <c r="FT36" s="2927"/>
      <c r="FU36" s="2927"/>
      <c r="FV36" s="2927"/>
      <c r="FW36" s="2927"/>
      <c r="FX36" s="2927"/>
      <c r="FY36" s="2927"/>
      <c r="FZ36" s="2927"/>
      <c r="GA36" s="2927"/>
      <c r="GB36" s="2927"/>
      <c r="GC36" s="2927"/>
      <c r="GD36" s="2927"/>
      <c r="GE36" s="2927"/>
      <c r="GF36" s="2927"/>
      <c r="GG36" s="2927"/>
      <c r="GH36" s="2927"/>
      <c r="GI36" s="2927"/>
      <c r="GJ36" s="2927"/>
      <c r="GK36" s="2927"/>
      <c r="GL36" s="2927"/>
      <c r="GM36" s="2927"/>
      <c r="GN36" s="2927"/>
      <c r="GO36" s="2927"/>
      <c r="GP36" s="2927"/>
      <c r="GQ36" s="2927"/>
      <c r="GR36" s="2927"/>
      <c r="GS36" s="2927"/>
      <c r="GT36" s="2927"/>
      <c r="GU36" s="2927"/>
      <c r="GV36" s="2927"/>
      <c r="GW36" s="2927"/>
      <c r="GX36" s="2927"/>
      <c r="GY36" s="2927"/>
      <c r="GZ36" s="2927"/>
      <c r="HA36" s="2927"/>
      <c r="HB36" s="2927"/>
      <c r="HC36" s="2927"/>
      <c r="HD36" s="2927"/>
      <c r="HE36" s="2927"/>
      <c r="HF36" s="2927"/>
      <c r="HG36" s="2927"/>
      <c r="HH36" s="2927"/>
      <c r="HI36" s="2927"/>
      <c r="HJ36" s="2927"/>
      <c r="HK36" s="2927"/>
      <c r="HL36" s="2927"/>
      <c r="HM36" s="2927"/>
      <c r="HN36" s="2927"/>
      <c r="HO36" s="2927"/>
      <c r="HP36" s="2927"/>
      <c r="HQ36" s="2927"/>
      <c r="HR36" s="2927"/>
      <c r="HS36" s="2927"/>
      <c r="HT36" s="2927"/>
      <c r="HU36" s="2927"/>
      <c r="HV36" s="2927"/>
      <c r="HW36" s="2927"/>
      <c r="HX36" s="2927"/>
      <c r="HY36" s="2927"/>
      <c r="HZ36" s="2927"/>
      <c r="IA36" s="2927"/>
      <c r="IB36" s="2927"/>
      <c r="IC36" s="2927"/>
      <c r="ID36" s="2927"/>
      <c r="IE36" s="2927"/>
    </row>
    <row r="37" s="2838" customFormat="1" ht="35" customHeight="1" spans="1:239">
      <c r="A37" s="2905">
        <v>45698</v>
      </c>
      <c r="B37" s="2906" t="s">
        <v>9451</v>
      </c>
      <c r="C37" s="2907" t="s">
        <v>2776</v>
      </c>
      <c r="D37" s="2908">
        <v>4500154827</v>
      </c>
      <c r="E37" s="2909"/>
      <c r="F37" s="2908" t="s">
        <v>10306</v>
      </c>
      <c r="G37" s="2930" t="s">
        <v>10307</v>
      </c>
      <c r="H37" s="2911" t="s">
        <v>9454</v>
      </c>
      <c r="I37" s="2912">
        <v>360</v>
      </c>
      <c r="J37" s="2912">
        <v>0</v>
      </c>
      <c r="K37" s="2912">
        <v>24</v>
      </c>
      <c r="L37" s="2912">
        <f t="shared" si="0"/>
        <v>15</v>
      </c>
      <c r="M37" s="2913">
        <v>45737</v>
      </c>
      <c r="N37" s="2913">
        <v>45733</v>
      </c>
      <c r="O37" s="2914" t="s">
        <v>9455</v>
      </c>
      <c r="P37" s="2914" t="s">
        <v>10206</v>
      </c>
      <c r="Q37" s="2914" t="s">
        <v>923</v>
      </c>
      <c r="R37" s="2915" t="s">
        <v>9456</v>
      </c>
      <c r="S37" s="2915"/>
      <c r="T37" s="2915" t="s">
        <v>10304</v>
      </c>
      <c r="U37" s="2915" t="s">
        <v>9458</v>
      </c>
      <c r="V37" s="2915" t="s">
        <v>9459</v>
      </c>
      <c r="W37" s="2929" t="s">
        <v>10308</v>
      </c>
      <c r="X37" s="2912" t="s">
        <v>459</v>
      </c>
      <c r="Y37" s="2917">
        <v>34.2746</v>
      </c>
      <c r="Z37" s="2918">
        <f>Y37*L37</f>
        <v>514.119</v>
      </c>
      <c r="AA37" s="2912" t="s">
        <v>9461</v>
      </c>
      <c r="AB37" s="2930" t="s">
        <v>10309</v>
      </c>
      <c r="AC37" s="2912" t="s">
        <v>416</v>
      </c>
      <c r="AD37" s="2919"/>
      <c r="AE37" s="2919"/>
      <c r="AF37" s="2920"/>
      <c r="AG37" s="2919">
        <f t="shared" si="89"/>
        <v>360</v>
      </c>
      <c r="AH37" s="2919"/>
      <c r="AI37" s="2919"/>
      <c r="AJ37" s="2921">
        <f t="shared" si="75"/>
        <v>360</v>
      </c>
      <c r="AK37" s="2921"/>
      <c r="AL37" s="2921"/>
      <c r="AM37" s="2921"/>
      <c r="AN37" s="2922"/>
      <c r="AO37" s="2923"/>
      <c r="AP37" s="2921"/>
      <c r="AQ37" s="2921">
        <f t="shared" si="83"/>
        <v>90</v>
      </c>
      <c r="AR37" s="2924"/>
      <c r="AS37" s="2923">
        <f t="shared" si="84"/>
        <v>90</v>
      </c>
      <c r="AT37" s="2921">
        <f t="shared" si="85"/>
        <v>90</v>
      </c>
      <c r="AU37" s="2921"/>
      <c r="AV37" s="2924">
        <f t="shared" si="90"/>
        <v>90</v>
      </c>
      <c r="AW37" s="2923"/>
      <c r="AX37" s="2921"/>
      <c r="AY37" s="2921"/>
      <c r="AZ37" s="2924"/>
      <c r="BA37" s="2923">
        <f>L37</f>
        <v>15</v>
      </c>
      <c r="BB37" s="2924"/>
      <c r="BC37" s="2925"/>
      <c r="BD37" s="2921">
        <f t="shared" si="67"/>
        <v>360</v>
      </c>
      <c r="BE37" s="2921"/>
      <c r="BF37" s="2921">
        <f t="shared" si="4"/>
        <v>360</v>
      </c>
      <c r="BG37" s="2921" t="s">
        <v>9164</v>
      </c>
      <c r="BH37" s="2921"/>
      <c r="BI37" s="2921">
        <f t="shared" si="86"/>
        <v>90</v>
      </c>
      <c r="BJ37" s="2921">
        <f t="shared" ref="BJ37:BP37" si="93">BI37</f>
        <v>90</v>
      </c>
      <c r="BK37" s="2921">
        <f t="shared" si="93"/>
        <v>90</v>
      </c>
      <c r="BL37" s="2921">
        <f t="shared" si="93"/>
        <v>90</v>
      </c>
      <c r="BM37" s="2926">
        <f t="shared" si="93"/>
        <v>90</v>
      </c>
      <c r="BN37" s="2921">
        <f t="shared" si="93"/>
        <v>90</v>
      </c>
      <c r="BO37" s="2926">
        <f t="shared" si="93"/>
        <v>90</v>
      </c>
      <c r="BP37" s="2921">
        <f t="shared" si="93"/>
        <v>90</v>
      </c>
      <c r="BQ37" s="2926">
        <f t="shared" si="1"/>
        <v>238385</v>
      </c>
      <c r="BR37" s="2926">
        <f t="shared" ref="BR37:BY37" si="94">BR36-BI37</f>
        <v>22383.75</v>
      </c>
      <c r="BS37" s="2926">
        <f t="shared" si="94"/>
        <v>22383.75</v>
      </c>
      <c r="BT37" s="2926">
        <f t="shared" si="94"/>
        <v>21795.75</v>
      </c>
      <c r="BU37" s="2926">
        <f t="shared" si="94"/>
        <v>21795.75</v>
      </c>
      <c r="BV37" s="2926">
        <f t="shared" si="94"/>
        <v>37001.75</v>
      </c>
      <c r="BW37" s="2926">
        <f t="shared" si="94"/>
        <v>37001.75</v>
      </c>
      <c r="BX37" s="2926">
        <f t="shared" si="94"/>
        <v>22875.75</v>
      </c>
      <c r="BY37" s="2926">
        <f t="shared" si="94"/>
        <v>22875.75</v>
      </c>
      <c r="BZ37" s="2912"/>
      <c r="CA37" s="2927"/>
      <c r="CB37" s="2927"/>
      <c r="CC37" s="2927"/>
      <c r="CD37" s="2927"/>
      <c r="CE37" s="2927"/>
      <c r="CF37" s="2927"/>
      <c r="CG37" s="2927"/>
      <c r="CH37" s="2927"/>
      <c r="CI37" s="2927"/>
      <c r="CJ37" s="2927"/>
      <c r="CK37" s="2927"/>
      <c r="CL37" s="2927"/>
      <c r="CM37" s="2927"/>
      <c r="CN37" s="2927"/>
      <c r="CO37" s="2927"/>
      <c r="CP37" s="2927"/>
      <c r="CQ37" s="2927"/>
      <c r="CR37" s="2927"/>
      <c r="CS37" s="2927"/>
      <c r="CT37" s="2927"/>
      <c r="CU37" s="2927"/>
      <c r="CV37" s="2927"/>
      <c r="CW37" s="2927"/>
      <c r="CX37" s="2927"/>
      <c r="CY37" s="2927"/>
      <c r="CZ37" s="2927"/>
      <c r="DA37" s="2927"/>
      <c r="DB37" s="2927"/>
      <c r="DC37" s="2927"/>
      <c r="DD37" s="2927"/>
      <c r="DE37" s="2927"/>
      <c r="DF37" s="2927"/>
      <c r="DG37" s="2927"/>
      <c r="DH37" s="2927"/>
      <c r="DI37" s="2927"/>
      <c r="DJ37" s="2927"/>
      <c r="DK37" s="2927"/>
      <c r="DL37" s="2927"/>
      <c r="DM37" s="2927"/>
      <c r="DN37" s="2927"/>
      <c r="DO37" s="2927"/>
      <c r="DP37" s="2927"/>
      <c r="DQ37" s="2927"/>
      <c r="DR37" s="2927"/>
      <c r="DS37" s="2927"/>
      <c r="DT37" s="2927"/>
      <c r="DU37" s="2927"/>
      <c r="DV37" s="2927"/>
      <c r="DW37" s="2927"/>
      <c r="DX37" s="2927"/>
      <c r="DY37" s="2927"/>
      <c r="DZ37" s="2927"/>
      <c r="EA37" s="2927"/>
      <c r="EB37" s="2927"/>
      <c r="EC37" s="2927"/>
      <c r="ED37" s="2927"/>
      <c r="EE37" s="2927"/>
      <c r="EF37" s="2927"/>
      <c r="EG37" s="2927"/>
      <c r="EH37" s="2927"/>
      <c r="EI37" s="2927"/>
      <c r="EJ37" s="2927"/>
      <c r="EK37" s="2927"/>
      <c r="EL37" s="2927"/>
      <c r="EM37" s="2927"/>
      <c r="EN37" s="2927"/>
      <c r="EO37" s="2927"/>
      <c r="EP37" s="2927"/>
      <c r="EQ37" s="2927"/>
      <c r="ER37" s="2927"/>
      <c r="ES37" s="2927"/>
      <c r="ET37" s="2927"/>
      <c r="EU37" s="2927"/>
      <c r="EV37" s="2927"/>
      <c r="EW37" s="2927"/>
      <c r="EX37" s="2927"/>
      <c r="EY37" s="2927"/>
      <c r="EZ37" s="2927"/>
      <c r="FA37" s="2927"/>
      <c r="FB37" s="2927"/>
      <c r="FC37" s="2927"/>
      <c r="FD37" s="2927"/>
      <c r="FE37" s="2927"/>
      <c r="FF37" s="2927"/>
      <c r="FG37" s="2927"/>
      <c r="FH37" s="2927"/>
      <c r="FI37" s="2927"/>
      <c r="FJ37" s="2927"/>
      <c r="FK37" s="2927"/>
      <c r="FL37" s="2927"/>
      <c r="FM37" s="2927"/>
      <c r="FN37" s="2927"/>
      <c r="FO37" s="2927"/>
      <c r="FP37" s="2927"/>
      <c r="FQ37" s="2927"/>
      <c r="FR37" s="2927"/>
      <c r="FS37" s="2927"/>
      <c r="FT37" s="2927"/>
      <c r="FU37" s="2927"/>
      <c r="FV37" s="2927"/>
      <c r="FW37" s="2927"/>
      <c r="FX37" s="2927"/>
      <c r="FY37" s="2927"/>
      <c r="FZ37" s="2927"/>
      <c r="GA37" s="2927"/>
      <c r="GB37" s="2927"/>
      <c r="GC37" s="2927"/>
      <c r="GD37" s="2927"/>
      <c r="GE37" s="2927"/>
      <c r="GF37" s="2927"/>
      <c r="GG37" s="2927"/>
      <c r="GH37" s="2927"/>
      <c r="GI37" s="2927"/>
      <c r="GJ37" s="2927"/>
      <c r="GK37" s="2927"/>
      <c r="GL37" s="2927"/>
      <c r="GM37" s="2927"/>
      <c r="GN37" s="2927"/>
      <c r="GO37" s="2927"/>
      <c r="GP37" s="2927"/>
      <c r="GQ37" s="2927"/>
      <c r="GR37" s="2927"/>
      <c r="GS37" s="2927"/>
      <c r="GT37" s="2927"/>
      <c r="GU37" s="2927"/>
      <c r="GV37" s="2927"/>
      <c r="GW37" s="2927"/>
      <c r="GX37" s="2927"/>
      <c r="GY37" s="2927"/>
      <c r="GZ37" s="2927"/>
      <c r="HA37" s="2927"/>
      <c r="HB37" s="2927"/>
      <c r="HC37" s="2927"/>
      <c r="HD37" s="2927"/>
      <c r="HE37" s="2927"/>
      <c r="HF37" s="2927"/>
      <c r="HG37" s="2927"/>
      <c r="HH37" s="2927"/>
      <c r="HI37" s="2927"/>
      <c r="HJ37" s="2927"/>
      <c r="HK37" s="2927"/>
      <c r="HL37" s="2927"/>
      <c r="HM37" s="2927"/>
      <c r="HN37" s="2927"/>
      <c r="HO37" s="2927"/>
      <c r="HP37" s="2927"/>
      <c r="HQ37" s="2927"/>
      <c r="HR37" s="2927"/>
      <c r="HS37" s="2927"/>
      <c r="HT37" s="2927"/>
      <c r="HU37" s="2927"/>
      <c r="HV37" s="2927"/>
      <c r="HW37" s="2927"/>
      <c r="HX37" s="2927"/>
      <c r="HY37" s="2927"/>
      <c r="HZ37" s="2927"/>
      <c r="IA37" s="2927"/>
      <c r="IB37" s="2927"/>
      <c r="IC37" s="2927"/>
      <c r="ID37" s="2927"/>
      <c r="IE37" s="2927"/>
    </row>
    <row r="38" s="2838" customFormat="1" ht="35" customHeight="1" spans="1:239">
      <c r="A38" s="2905">
        <v>45705</v>
      </c>
      <c r="B38" s="2906" t="s">
        <v>3264</v>
      </c>
      <c r="C38" s="2907" t="s">
        <v>858</v>
      </c>
      <c r="D38" s="2908">
        <v>4500157780</v>
      </c>
      <c r="E38" s="2909"/>
      <c r="F38" s="2908" t="s">
        <v>10310</v>
      </c>
      <c r="G38" s="2930" t="s">
        <v>10199</v>
      </c>
      <c r="H38" s="2911" t="s">
        <v>9155</v>
      </c>
      <c r="I38" s="2912">
        <v>120</v>
      </c>
      <c r="J38" s="2912">
        <v>0</v>
      </c>
      <c r="K38" s="2912">
        <v>4</v>
      </c>
      <c r="L38" s="2912">
        <f t="shared" si="0"/>
        <v>30</v>
      </c>
      <c r="M38" s="2913">
        <v>45741</v>
      </c>
      <c r="N38" s="2913">
        <v>45737</v>
      </c>
      <c r="O38" s="2914"/>
      <c r="P38" s="2914" t="s">
        <v>10206</v>
      </c>
      <c r="Q38" s="2914" t="s">
        <v>2403</v>
      </c>
      <c r="R38" s="2915" t="s">
        <v>876</v>
      </c>
      <c r="S38" s="2915"/>
      <c r="T38" s="2915" t="s">
        <v>98</v>
      </c>
      <c r="U38" s="2915"/>
      <c r="V38" s="2915"/>
      <c r="W38" s="2929" t="s">
        <v>10311</v>
      </c>
      <c r="X38" s="2912" t="s">
        <v>357</v>
      </c>
      <c r="Y38" s="2917">
        <v>7.0298</v>
      </c>
      <c r="Z38" s="2918">
        <f t="shared" ref="Z38:Z57" si="95">Y38*I38</f>
        <v>843.576</v>
      </c>
      <c r="AA38" s="2912" t="s">
        <v>3268</v>
      </c>
      <c r="AB38" s="2906" t="s">
        <v>10312</v>
      </c>
      <c r="AC38" s="2912" t="s">
        <v>416</v>
      </c>
      <c r="AD38" s="2919">
        <f t="shared" ref="AD38:AD43" si="96">I38</f>
        <v>120</v>
      </c>
      <c r="AE38" s="2919"/>
      <c r="AF38" s="2920"/>
      <c r="AG38" s="2919"/>
      <c r="AH38" s="2919"/>
      <c r="AI38" s="2919"/>
      <c r="AJ38" s="2921">
        <f t="shared" si="75"/>
        <v>120</v>
      </c>
      <c r="AK38" s="2921"/>
      <c r="AL38" s="2921"/>
      <c r="AM38" s="2921"/>
      <c r="AN38" s="2922"/>
      <c r="AO38" s="2923"/>
      <c r="AP38" s="2921"/>
      <c r="AQ38" s="2921">
        <f t="shared" si="83"/>
        <v>30</v>
      </c>
      <c r="AR38" s="2924"/>
      <c r="AS38" s="2923">
        <f t="shared" si="84"/>
        <v>30</v>
      </c>
      <c r="AT38" s="2921">
        <f t="shared" si="85"/>
        <v>30</v>
      </c>
      <c r="AU38" s="2921"/>
      <c r="AV38" s="2924">
        <f t="shared" si="90"/>
        <v>30</v>
      </c>
      <c r="AW38" s="2923"/>
      <c r="AX38" s="2921"/>
      <c r="AY38" s="2921"/>
      <c r="AZ38" s="2924"/>
      <c r="BA38" s="2923"/>
      <c r="BB38" s="2924"/>
      <c r="BC38" s="2925"/>
      <c r="BD38" s="2921">
        <f t="shared" si="67"/>
        <v>120</v>
      </c>
      <c r="BE38" s="2921"/>
      <c r="BF38" s="2921">
        <f t="shared" si="4"/>
        <v>120</v>
      </c>
      <c r="BG38" s="2921" t="s">
        <v>9164</v>
      </c>
      <c r="BH38" s="2921"/>
      <c r="BI38" s="2921">
        <f t="shared" si="86"/>
        <v>30</v>
      </c>
      <c r="BJ38" s="2921">
        <f t="shared" ref="BJ38:BP38" si="97">BI38</f>
        <v>30</v>
      </c>
      <c r="BK38" s="2921">
        <f t="shared" si="97"/>
        <v>30</v>
      </c>
      <c r="BL38" s="2921">
        <f t="shared" si="97"/>
        <v>30</v>
      </c>
      <c r="BM38" s="2926">
        <f t="shared" si="97"/>
        <v>30</v>
      </c>
      <c r="BN38" s="2921">
        <f t="shared" si="97"/>
        <v>30</v>
      </c>
      <c r="BO38" s="2926">
        <f t="shared" si="97"/>
        <v>30</v>
      </c>
      <c r="BP38" s="2921">
        <f t="shared" si="97"/>
        <v>30</v>
      </c>
      <c r="BQ38" s="2926">
        <f t="shared" si="1"/>
        <v>238145</v>
      </c>
      <c r="BR38" s="2926">
        <f t="shared" ref="BR38:BY38" si="98">BR37-BI38</f>
        <v>22353.75</v>
      </c>
      <c r="BS38" s="2926">
        <f t="shared" si="98"/>
        <v>22353.75</v>
      </c>
      <c r="BT38" s="2926">
        <f t="shared" si="98"/>
        <v>21765.75</v>
      </c>
      <c r="BU38" s="2926">
        <f t="shared" si="98"/>
        <v>21765.75</v>
      </c>
      <c r="BV38" s="2926">
        <f t="shared" si="98"/>
        <v>36971.75</v>
      </c>
      <c r="BW38" s="2926">
        <f t="shared" si="98"/>
        <v>36971.75</v>
      </c>
      <c r="BX38" s="2926">
        <f t="shared" si="98"/>
        <v>22845.75</v>
      </c>
      <c r="BY38" s="2926">
        <f t="shared" si="98"/>
        <v>22845.75</v>
      </c>
      <c r="BZ38" s="2912"/>
      <c r="CA38" s="2927"/>
      <c r="CB38" s="2927"/>
      <c r="CC38" s="2927"/>
      <c r="CD38" s="2927"/>
      <c r="CE38" s="2927"/>
      <c r="CF38" s="2927"/>
      <c r="CG38" s="2927"/>
      <c r="CH38" s="2927"/>
      <c r="CI38" s="2927"/>
      <c r="CJ38" s="2927"/>
      <c r="CK38" s="2927"/>
      <c r="CL38" s="2927"/>
      <c r="CM38" s="2927"/>
      <c r="CN38" s="2927"/>
      <c r="CO38" s="2927"/>
      <c r="CP38" s="2927"/>
      <c r="CQ38" s="2927"/>
      <c r="CR38" s="2927"/>
      <c r="CS38" s="2927"/>
      <c r="CT38" s="2927"/>
      <c r="CU38" s="2927"/>
      <c r="CV38" s="2927"/>
      <c r="CW38" s="2927"/>
      <c r="CX38" s="2927"/>
      <c r="CY38" s="2927"/>
      <c r="CZ38" s="2927"/>
      <c r="DA38" s="2927"/>
      <c r="DB38" s="2927"/>
      <c r="DC38" s="2927"/>
      <c r="DD38" s="2927"/>
      <c r="DE38" s="2927"/>
      <c r="DF38" s="2927"/>
      <c r="DG38" s="2927"/>
      <c r="DH38" s="2927"/>
      <c r="DI38" s="2927"/>
      <c r="DJ38" s="2927"/>
      <c r="DK38" s="2927"/>
      <c r="DL38" s="2927"/>
      <c r="DM38" s="2927"/>
      <c r="DN38" s="2927"/>
      <c r="DO38" s="2927"/>
      <c r="DP38" s="2927"/>
      <c r="DQ38" s="2927"/>
      <c r="DR38" s="2927"/>
      <c r="DS38" s="2927"/>
      <c r="DT38" s="2927"/>
      <c r="DU38" s="2927"/>
      <c r="DV38" s="2927"/>
      <c r="DW38" s="2927"/>
      <c r="DX38" s="2927"/>
      <c r="DY38" s="2927"/>
      <c r="DZ38" s="2927"/>
      <c r="EA38" s="2927"/>
      <c r="EB38" s="2927"/>
      <c r="EC38" s="2927"/>
      <c r="ED38" s="2927"/>
      <c r="EE38" s="2927"/>
      <c r="EF38" s="2927"/>
      <c r="EG38" s="2927"/>
      <c r="EH38" s="2927"/>
      <c r="EI38" s="2927"/>
      <c r="EJ38" s="2927"/>
      <c r="EK38" s="2927"/>
      <c r="EL38" s="2927"/>
      <c r="EM38" s="2927"/>
      <c r="EN38" s="2927"/>
      <c r="EO38" s="2927"/>
      <c r="EP38" s="2927"/>
      <c r="EQ38" s="2927"/>
      <c r="ER38" s="2927"/>
      <c r="ES38" s="2927"/>
      <c r="ET38" s="2927"/>
      <c r="EU38" s="2927"/>
      <c r="EV38" s="2927"/>
      <c r="EW38" s="2927"/>
      <c r="EX38" s="2927"/>
      <c r="EY38" s="2927"/>
      <c r="EZ38" s="2927"/>
      <c r="FA38" s="2927"/>
      <c r="FB38" s="2927"/>
      <c r="FC38" s="2927"/>
      <c r="FD38" s="2927"/>
      <c r="FE38" s="2927"/>
      <c r="FF38" s="2927"/>
      <c r="FG38" s="2927"/>
      <c r="FH38" s="2927"/>
      <c r="FI38" s="2927"/>
      <c r="FJ38" s="2927"/>
      <c r="FK38" s="2927"/>
      <c r="FL38" s="2927"/>
      <c r="FM38" s="2927"/>
      <c r="FN38" s="2927"/>
      <c r="FO38" s="2927"/>
      <c r="FP38" s="2927"/>
      <c r="FQ38" s="2927"/>
      <c r="FR38" s="2927"/>
      <c r="FS38" s="2927"/>
      <c r="FT38" s="2927"/>
      <c r="FU38" s="2927"/>
      <c r="FV38" s="2927"/>
      <c r="FW38" s="2927"/>
      <c r="FX38" s="2927"/>
      <c r="FY38" s="2927"/>
      <c r="FZ38" s="2927"/>
      <c r="GA38" s="2927"/>
      <c r="GB38" s="2927"/>
      <c r="GC38" s="2927"/>
      <c r="GD38" s="2927"/>
      <c r="GE38" s="2927"/>
      <c r="GF38" s="2927"/>
      <c r="GG38" s="2927"/>
      <c r="GH38" s="2927"/>
      <c r="GI38" s="2927"/>
      <c r="GJ38" s="2927"/>
      <c r="GK38" s="2927"/>
      <c r="GL38" s="2927"/>
      <c r="GM38" s="2927"/>
      <c r="GN38" s="2927"/>
      <c r="GO38" s="2927"/>
      <c r="GP38" s="2927"/>
      <c r="GQ38" s="2927"/>
      <c r="GR38" s="2927"/>
      <c r="GS38" s="2927"/>
      <c r="GT38" s="2927"/>
      <c r="GU38" s="2927"/>
      <c r="GV38" s="2927"/>
      <c r="GW38" s="2927"/>
      <c r="GX38" s="2927"/>
      <c r="GY38" s="2927"/>
      <c r="GZ38" s="2927"/>
      <c r="HA38" s="2927"/>
      <c r="HB38" s="2927"/>
      <c r="HC38" s="2927"/>
      <c r="HD38" s="2927"/>
      <c r="HE38" s="2927"/>
      <c r="HF38" s="2927"/>
      <c r="HG38" s="2927"/>
      <c r="HH38" s="2927"/>
      <c r="HI38" s="2927"/>
      <c r="HJ38" s="2927"/>
      <c r="HK38" s="2927"/>
      <c r="HL38" s="2927"/>
      <c r="HM38" s="2927"/>
      <c r="HN38" s="2927"/>
      <c r="HO38" s="2927"/>
      <c r="HP38" s="2927"/>
      <c r="HQ38" s="2927"/>
      <c r="HR38" s="2927"/>
      <c r="HS38" s="2927"/>
      <c r="HT38" s="2927"/>
      <c r="HU38" s="2927"/>
      <c r="HV38" s="2927"/>
      <c r="HW38" s="2927"/>
      <c r="HX38" s="2927"/>
      <c r="HY38" s="2927"/>
      <c r="HZ38" s="2927"/>
      <c r="IA38" s="2927"/>
      <c r="IB38" s="2927"/>
      <c r="IC38" s="2927"/>
      <c r="ID38" s="2927"/>
      <c r="IE38" s="2927"/>
    </row>
    <row r="39" s="2838" customFormat="1" ht="35" customHeight="1" spans="1:239">
      <c r="A39" s="2905">
        <v>45579</v>
      </c>
      <c r="B39" s="2906" t="s">
        <v>6682</v>
      </c>
      <c r="C39" s="2907" t="s">
        <v>396</v>
      </c>
      <c r="D39" s="2908">
        <v>4500147528</v>
      </c>
      <c r="E39" s="2909" t="s">
        <v>10313</v>
      </c>
      <c r="F39" s="2908" t="s">
        <v>10314</v>
      </c>
      <c r="G39" s="2930" t="s">
        <v>10209</v>
      </c>
      <c r="H39" s="2911" t="s">
        <v>9155</v>
      </c>
      <c r="I39" s="2912">
        <v>305</v>
      </c>
      <c r="J39" s="2912">
        <v>0</v>
      </c>
      <c r="K39" s="2912">
        <v>1</v>
      </c>
      <c r="L39" s="2912">
        <f t="shared" si="0"/>
        <v>305</v>
      </c>
      <c r="M39" s="2913">
        <v>45748</v>
      </c>
      <c r="N39" s="2913">
        <v>45744</v>
      </c>
      <c r="O39" s="2914" t="s">
        <v>9475</v>
      </c>
      <c r="P39" s="2914" t="s">
        <v>10206</v>
      </c>
      <c r="Q39" s="2914" t="s">
        <v>180</v>
      </c>
      <c r="R39" s="2915" t="s">
        <v>936</v>
      </c>
      <c r="S39" s="2915" t="s">
        <v>98</v>
      </c>
      <c r="T39" s="2915" t="s">
        <v>9293</v>
      </c>
      <c r="U39" s="2915"/>
      <c r="V39" s="2915"/>
      <c r="W39" s="2929" t="s">
        <v>10260</v>
      </c>
      <c r="X39" s="2912" t="s">
        <v>6688</v>
      </c>
      <c r="Y39" s="2917">
        <v>7.4848</v>
      </c>
      <c r="Z39" s="2918">
        <f t="shared" si="95"/>
        <v>2282.864</v>
      </c>
      <c r="AA39" s="2912" t="s">
        <v>9476</v>
      </c>
      <c r="AB39" s="2912" t="s">
        <v>10211</v>
      </c>
      <c r="AC39" s="2912" t="s">
        <v>416</v>
      </c>
      <c r="AD39" s="2919"/>
      <c r="AE39" s="2919"/>
      <c r="AF39" s="2920"/>
      <c r="AG39" s="2919">
        <f t="shared" si="89"/>
        <v>305</v>
      </c>
      <c r="AH39" s="2919"/>
      <c r="AI39" s="2919"/>
      <c r="AJ39" s="2921">
        <f t="shared" si="75"/>
        <v>305</v>
      </c>
      <c r="AK39" s="2921"/>
      <c r="AL39" s="2921"/>
      <c r="AM39" s="2921"/>
      <c r="AN39" s="2922"/>
      <c r="AO39" s="2923"/>
      <c r="AP39" s="2921"/>
      <c r="AQ39" s="2921">
        <f t="shared" si="83"/>
        <v>76.25</v>
      </c>
      <c r="AR39" s="2924"/>
      <c r="AS39" s="2923">
        <f t="shared" si="84"/>
        <v>76.25</v>
      </c>
      <c r="AT39" s="2921">
        <f t="shared" si="85"/>
        <v>76.25</v>
      </c>
      <c r="AU39" s="2921"/>
      <c r="AV39" s="2924">
        <f t="shared" si="90"/>
        <v>76.25</v>
      </c>
      <c r="AW39" s="2923"/>
      <c r="AX39" s="2921"/>
      <c r="AY39" s="2921"/>
      <c r="AZ39" s="2924"/>
      <c r="BA39" s="2923"/>
      <c r="BB39" s="2924"/>
      <c r="BC39" s="2925"/>
      <c r="BD39" s="2921"/>
      <c r="BE39" s="2921">
        <f>I39</f>
        <v>305</v>
      </c>
      <c r="BF39" s="2921">
        <f t="shared" si="4"/>
        <v>305</v>
      </c>
      <c r="BG39" s="2921" t="s">
        <v>9164</v>
      </c>
      <c r="BH39" s="2921"/>
      <c r="BI39" s="2921">
        <f t="shared" si="86"/>
        <v>76.25</v>
      </c>
      <c r="BJ39" s="2921">
        <f t="shared" ref="BJ39:BP39" si="99">BI39</f>
        <v>76.25</v>
      </c>
      <c r="BK39" s="2921">
        <f t="shared" si="99"/>
        <v>76.25</v>
      </c>
      <c r="BL39" s="2921">
        <f t="shared" si="99"/>
        <v>76.25</v>
      </c>
      <c r="BM39" s="2926">
        <f t="shared" si="99"/>
        <v>76.25</v>
      </c>
      <c r="BN39" s="2921">
        <f t="shared" si="99"/>
        <v>76.25</v>
      </c>
      <c r="BO39" s="2926">
        <f t="shared" si="99"/>
        <v>76.25</v>
      </c>
      <c r="BP39" s="2921">
        <f t="shared" si="99"/>
        <v>76.25</v>
      </c>
      <c r="BQ39" s="2926">
        <f t="shared" si="1"/>
        <v>238330</v>
      </c>
      <c r="BR39" s="2926">
        <f t="shared" ref="BR39:BY39" si="100">BR38-BI39</f>
        <v>22277.5</v>
      </c>
      <c r="BS39" s="2926">
        <f t="shared" si="100"/>
        <v>22277.5</v>
      </c>
      <c r="BT39" s="2926">
        <f t="shared" si="100"/>
        <v>21689.5</v>
      </c>
      <c r="BU39" s="2926">
        <f t="shared" si="100"/>
        <v>21689.5</v>
      </c>
      <c r="BV39" s="2926">
        <f t="shared" si="100"/>
        <v>36895.5</v>
      </c>
      <c r="BW39" s="2926">
        <f t="shared" si="100"/>
        <v>36895.5</v>
      </c>
      <c r="BX39" s="2926">
        <f t="shared" si="100"/>
        <v>22769.5</v>
      </c>
      <c r="BY39" s="2926">
        <f t="shared" si="100"/>
        <v>22769.5</v>
      </c>
      <c r="BZ39" s="2912"/>
      <c r="CA39" s="2927"/>
      <c r="CB39" s="2927"/>
      <c r="CC39" s="2927"/>
      <c r="CD39" s="2927"/>
      <c r="CE39" s="2927"/>
      <c r="CF39" s="2927"/>
      <c r="CG39" s="2927"/>
      <c r="CH39" s="2927"/>
      <c r="CI39" s="2927"/>
      <c r="CJ39" s="2927"/>
      <c r="CK39" s="2927"/>
      <c r="CL39" s="2927"/>
      <c r="CM39" s="2927"/>
      <c r="CN39" s="2927"/>
      <c r="CO39" s="2927"/>
      <c r="CP39" s="2927"/>
      <c r="CQ39" s="2927"/>
      <c r="CR39" s="2927"/>
      <c r="CS39" s="2927"/>
      <c r="CT39" s="2927"/>
      <c r="CU39" s="2927"/>
      <c r="CV39" s="2927"/>
      <c r="CW39" s="2927"/>
      <c r="CX39" s="2927"/>
      <c r="CY39" s="2927"/>
      <c r="CZ39" s="2927"/>
      <c r="DA39" s="2927"/>
      <c r="DB39" s="2927"/>
      <c r="DC39" s="2927"/>
      <c r="DD39" s="2927"/>
      <c r="DE39" s="2927"/>
      <c r="DF39" s="2927"/>
      <c r="DG39" s="2927"/>
      <c r="DH39" s="2927"/>
      <c r="DI39" s="2927"/>
      <c r="DJ39" s="2927"/>
      <c r="DK39" s="2927"/>
      <c r="DL39" s="2927"/>
      <c r="DM39" s="2927"/>
      <c r="DN39" s="2927"/>
      <c r="DO39" s="2927"/>
      <c r="DP39" s="2927"/>
      <c r="DQ39" s="2927"/>
      <c r="DR39" s="2927"/>
      <c r="DS39" s="2927"/>
      <c r="DT39" s="2927"/>
      <c r="DU39" s="2927"/>
      <c r="DV39" s="2927"/>
      <c r="DW39" s="2927"/>
      <c r="DX39" s="2927"/>
      <c r="DY39" s="2927"/>
      <c r="DZ39" s="2927"/>
      <c r="EA39" s="2927"/>
      <c r="EB39" s="2927"/>
      <c r="EC39" s="2927"/>
      <c r="ED39" s="2927"/>
      <c r="EE39" s="2927"/>
      <c r="EF39" s="2927"/>
      <c r="EG39" s="2927"/>
      <c r="EH39" s="2927"/>
      <c r="EI39" s="2927"/>
      <c r="EJ39" s="2927"/>
      <c r="EK39" s="2927"/>
      <c r="EL39" s="2927"/>
      <c r="EM39" s="2927"/>
      <c r="EN39" s="2927"/>
      <c r="EO39" s="2927"/>
      <c r="EP39" s="2927"/>
      <c r="EQ39" s="2927"/>
      <c r="ER39" s="2927"/>
      <c r="ES39" s="2927"/>
      <c r="ET39" s="2927"/>
      <c r="EU39" s="2927"/>
      <c r="EV39" s="2927"/>
      <c r="EW39" s="2927"/>
      <c r="EX39" s="2927"/>
      <c r="EY39" s="2927"/>
      <c r="EZ39" s="2927"/>
      <c r="FA39" s="2927"/>
      <c r="FB39" s="2927"/>
      <c r="FC39" s="2927"/>
      <c r="FD39" s="2927"/>
      <c r="FE39" s="2927"/>
      <c r="FF39" s="2927"/>
      <c r="FG39" s="2927"/>
      <c r="FH39" s="2927"/>
      <c r="FI39" s="2927"/>
      <c r="FJ39" s="2927"/>
      <c r="FK39" s="2927"/>
      <c r="FL39" s="2927"/>
      <c r="FM39" s="2927"/>
      <c r="FN39" s="2927"/>
      <c r="FO39" s="2927"/>
      <c r="FP39" s="2927"/>
      <c r="FQ39" s="2927"/>
      <c r="FR39" s="2927"/>
      <c r="FS39" s="2927"/>
      <c r="FT39" s="2927"/>
      <c r="FU39" s="2927"/>
      <c r="FV39" s="2927"/>
      <c r="FW39" s="2927"/>
      <c r="FX39" s="2927"/>
      <c r="FY39" s="2927"/>
      <c r="FZ39" s="2927"/>
      <c r="GA39" s="2927"/>
      <c r="GB39" s="2927"/>
      <c r="GC39" s="2927"/>
      <c r="GD39" s="2927"/>
      <c r="GE39" s="2927"/>
      <c r="GF39" s="2927"/>
      <c r="GG39" s="2927"/>
      <c r="GH39" s="2927"/>
      <c r="GI39" s="2927"/>
      <c r="GJ39" s="2927"/>
      <c r="GK39" s="2927"/>
      <c r="GL39" s="2927"/>
      <c r="GM39" s="2927"/>
      <c r="GN39" s="2927"/>
      <c r="GO39" s="2927"/>
      <c r="GP39" s="2927"/>
      <c r="GQ39" s="2927"/>
      <c r="GR39" s="2927"/>
      <c r="GS39" s="2927"/>
      <c r="GT39" s="2927"/>
      <c r="GU39" s="2927"/>
      <c r="GV39" s="2927"/>
      <c r="GW39" s="2927"/>
      <c r="GX39" s="2927"/>
      <c r="GY39" s="2927"/>
      <c r="GZ39" s="2927"/>
      <c r="HA39" s="2927"/>
      <c r="HB39" s="2927"/>
      <c r="HC39" s="2927"/>
      <c r="HD39" s="2927"/>
      <c r="HE39" s="2927"/>
      <c r="HF39" s="2927"/>
      <c r="HG39" s="2927"/>
      <c r="HH39" s="2927"/>
      <c r="HI39" s="2927"/>
      <c r="HJ39" s="2927"/>
      <c r="HK39" s="2927"/>
      <c r="HL39" s="2927"/>
      <c r="HM39" s="2927"/>
      <c r="HN39" s="2927"/>
      <c r="HO39" s="2927"/>
      <c r="HP39" s="2927"/>
      <c r="HQ39" s="2927"/>
      <c r="HR39" s="2927"/>
      <c r="HS39" s="2927"/>
      <c r="HT39" s="2927"/>
      <c r="HU39" s="2927"/>
      <c r="HV39" s="2927"/>
      <c r="HW39" s="2927"/>
      <c r="HX39" s="2927"/>
      <c r="HY39" s="2927"/>
      <c r="HZ39" s="2927"/>
      <c r="IA39" s="2927"/>
      <c r="IB39" s="2927"/>
      <c r="IC39" s="2927"/>
      <c r="ID39" s="2927"/>
      <c r="IE39" s="2927"/>
    </row>
    <row r="40" s="2838" customFormat="1" ht="32" customHeight="1" spans="1:239">
      <c r="A40" s="2905">
        <v>45765</v>
      </c>
      <c r="B40" s="2906" t="s">
        <v>2285</v>
      </c>
      <c r="C40" s="2907" t="s">
        <v>351</v>
      </c>
      <c r="D40" s="2908">
        <v>4500163959</v>
      </c>
      <c r="E40" s="2909" t="s">
        <v>10315</v>
      </c>
      <c r="F40" s="2908" t="s">
        <v>10316</v>
      </c>
      <c r="G40" s="2930" t="s">
        <v>10199</v>
      </c>
      <c r="H40" s="2911" t="s">
        <v>9155</v>
      </c>
      <c r="I40" s="2912">
        <v>1420</v>
      </c>
      <c r="J40" s="2912">
        <v>0</v>
      </c>
      <c r="K40" s="2912">
        <v>4</v>
      </c>
      <c r="L40" s="2912">
        <f t="shared" si="0"/>
        <v>355</v>
      </c>
      <c r="M40" s="2913">
        <v>45765</v>
      </c>
      <c r="N40" s="2913">
        <v>45761</v>
      </c>
      <c r="O40" s="2914" t="s">
        <v>10317</v>
      </c>
      <c r="P40" s="2914" t="s">
        <v>10206</v>
      </c>
      <c r="Q40" s="2914" t="s">
        <v>1123</v>
      </c>
      <c r="R40" s="2915" t="s">
        <v>974</v>
      </c>
      <c r="S40" s="2915"/>
      <c r="T40" s="2915" t="s">
        <v>10318</v>
      </c>
      <c r="U40" s="2915"/>
      <c r="V40" s="2915" t="s">
        <v>10319</v>
      </c>
      <c r="W40" s="2929" t="s">
        <v>8441</v>
      </c>
      <c r="X40" s="2932" t="s">
        <v>1199</v>
      </c>
      <c r="Y40" s="2917">
        <v>7.1595</v>
      </c>
      <c r="Z40" s="2918">
        <f t="shared" si="95"/>
        <v>10166.49</v>
      </c>
      <c r="AA40" s="2912" t="s">
        <v>8442</v>
      </c>
      <c r="AB40" s="2906" t="s">
        <v>10312</v>
      </c>
      <c r="AC40" s="2912" t="s">
        <v>416</v>
      </c>
      <c r="AD40" s="2919">
        <f t="shared" si="96"/>
        <v>1420</v>
      </c>
      <c r="AE40" s="2919"/>
      <c r="AF40" s="2933"/>
      <c r="AG40" s="2919"/>
      <c r="AH40" s="2919"/>
      <c r="AI40" s="2919"/>
      <c r="AJ40" s="2921">
        <f t="shared" si="75"/>
        <v>1420</v>
      </c>
      <c r="AK40" s="2921"/>
      <c r="AL40" s="2921"/>
      <c r="AM40" s="2921"/>
      <c r="AN40" s="2922"/>
      <c r="AO40" s="2923"/>
      <c r="AP40" s="2921"/>
      <c r="AQ40" s="2921">
        <f t="shared" si="83"/>
        <v>355</v>
      </c>
      <c r="AR40" s="2924"/>
      <c r="AS40" s="2923">
        <f t="shared" si="84"/>
        <v>355</v>
      </c>
      <c r="AT40" s="2921">
        <f t="shared" si="85"/>
        <v>355</v>
      </c>
      <c r="AU40" s="2921"/>
      <c r="AV40" s="2924">
        <f t="shared" si="90"/>
        <v>355</v>
      </c>
      <c r="AW40" s="2923"/>
      <c r="AX40" s="2921"/>
      <c r="AY40" s="2921"/>
      <c r="AZ40" s="2924"/>
      <c r="BA40" s="2923"/>
      <c r="BB40" s="2924"/>
      <c r="BC40" s="2925"/>
      <c r="BD40" s="2921">
        <f t="shared" ref="BD40:BD43" si="101">I40</f>
        <v>1420</v>
      </c>
      <c r="BE40" s="2921"/>
      <c r="BF40" s="2921">
        <f t="shared" si="4"/>
        <v>1420</v>
      </c>
      <c r="BG40" s="2921" t="s">
        <v>9164</v>
      </c>
      <c r="BH40" s="2921"/>
      <c r="BI40" s="2921">
        <f t="shared" si="86"/>
        <v>355</v>
      </c>
      <c r="BJ40" s="2921">
        <f t="shared" ref="BJ40:BP40" si="102">BI40</f>
        <v>355</v>
      </c>
      <c r="BK40" s="2921">
        <f t="shared" si="102"/>
        <v>355</v>
      </c>
      <c r="BL40" s="2921">
        <f t="shared" si="102"/>
        <v>355</v>
      </c>
      <c r="BM40" s="2926">
        <f t="shared" si="102"/>
        <v>355</v>
      </c>
      <c r="BN40" s="2921">
        <f t="shared" si="102"/>
        <v>355</v>
      </c>
      <c r="BO40" s="2926">
        <f t="shared" si="102"/>
        <v>355</v>
      </c>
      <c r="BP40" s="2921">
        <f t="shared" si="102"/>
        <v>355</v>
      </c>
      <c r="BQ40" s="2926">
        <f t="shared" si="1"/>
        <v>239445</v>
      </c>
      <c r="BR40" s="2926">
        <f t="shared" ref="BR40:BY40" si="103">BR39-BI40</f>
        <v>21922.5</v>
      </c>
      <c r="BS40" s="2926">
        <f t="shared" si="103"/>
        <v>21922.5</v>
      </c>
      <c r="BT40" s="2926">
        <f t="shared" si="103"/>
        <v>21334.5</v>
      </c>
      <c r="BU40" s="2926">
        <f t="shared" si="103"/>
        <v>21334.5</v>
      </c>
      <c r="BV40" s="2926">
        <f t="shared" si="103"/>
        <v>36540.5</v>
      </c>
      <c r="BW40" s="2926">
        <f t="shared" si="103"/>
        <v>36540.5</v>
      </c>
      <c r="BX40" s="2926">
        <f t="shared" si="103"/>
        <v>22414.5</v>
      </c>
      <c r="BY40" s="2926">
        <f t="shared" si="103"/>
        <v>22414.5</v>
      </c>
      <c r="BZ40" s="2912"/>
      <c r="CA40" s="2927"/>
      <c r="CB40" s="2927"/>
      <c r="CC40" s="2927"/>
      <c r="CD40" s="2927"/>
      <c r="CE40" s="2927"/>
      <c r="CF40" s="2927"/>
      <c r="CG40" s="2927"/>
      <c r="CH40" s="2927"/>
      <c r="CI40" s="2927"/>
      <c r="CJ40" s="2927"/>
      <c r="CK40" s="2927"/>
      <c r="CL40" s="2927"/>
      <c r="CM40" s="2927"/>
      <c r="CN40" s="2927"/>
      <c r="CO40" s="2927"/>
      <c r="CP40" s="2927"/>
      <c r="CQ40" s="2927"/>
      <c r="CR40" s="2927"/>
      <c r="CS40" s="2927"/>
      <c r="CT40" s="2927"/>
      <c r="CU40" s="2927"/>
      <c r="CV40" s="2927"/>
      <c r="CW40" s="2927"/>
      <c r="CX40" s="2927"/>
      <c r="CY40" s="2927"/>
      <c r="CZ40" s="2927"/>
      <c r="DA40" s="2927"/>
      <c r="DB40" s="2927"/>
      <c r="DC40" s="2927"/>
      <c r="DD40" s="2927"/>
      <c r="DE40" s="2927"/>
      <c r="DF40" s="2927"/>
      <c r="DG40" s="2927"/>
      <c r="DH40" s="2927"/>
      <c r="DI40" s="2927"/>
      <c r="DJ40" s="2927"/>
      <c r="DK40" s="2927"/>
      <c r="DL40" s="2927"/>
      <c r="DM40" s="2927"/>
      <c r="DN40" s="2927"/>
      <c r="DO40" s="2927"/>
      <c r="DP40" s="2927"/>
      <c r="DQ40" s="2927"/>
      <c r="DR40" s="2927"/>
      <c r="DS40" s="2927"/>
      <c r="DT40" s="2927"/>
      <c r="DU40" s="2927"/>
      <c r="DV40" s="2927"/>
      <c r="DW40" s="2927"/>
      <c r="DX40" s="2927"/>
      <c r="DY40" s="2927"/>
      <c r="DZ40" s="2927"/>
      <c r="EA40" s="2927"/>
      <c r="EB40" s="2927"/>
      <c r="EC40" s="2927"/>
      <c r="ED40" s="2927"/>
      <c r="EE40" s="2927"/>
      <c r="EF40" s="2927"/>
      <c r="EG40" s="2927"/>
      <c r="EH40" s="2927"/>
      <c r="EI40" s="2927"/>
      <c r="EJ40" s="2927"/>
      <c r="EK40" s="2927"/>
      <c r="EL40" s="2927"/>
      <c r="EM40" s="2927"/>
      <c r="EN40" s="2927"/>
      <c r="EO40" s="2927"/>
      <c r="EP40" s="2927"/>
      <c r="EQ40" s="2927"/>
      <c r="ER40" s="2927"/>
      <c r="ES40" s="2927"/>
      <c r="ET40" s="2927"/>
      <c r="EU40" s="2927"/>
      <c r="EV40" s="2927"/>
      <c r="EW40" s="2927"/>
      <c r="EX40" s="2927"/>
      <c r="EY40" s="2927"/>
      <c r="EZ40" s="2927"/>
      <c r="FA40" s="2927"/>
      <c r="FB40" s="2927"/>
      <c r="FC40" s="2927"/>
      <c r="FD40" s="2927"/>
      <c r="FE40" s="2927"/>
      <c r="FF40" s="2927"/>
      <c r="FG40" s="2927"/>
      <c r="FH40" s="2927"/>
      <c r="FI40" s="2927"/>
      <c r="FJ40" s="2927"/>
      <c r="FK40" s="2927"/>
      <c r="FL40" s="2927"/>
      <c r="FM40" s="2927"/>
      <c r="FN40" s="2927"/>
      <c r="FO40" s="2927"/>
      <c r="FP40" s="2927"/>
      <c r="FQ40" s="2927"/>
      <c r="FR40" s="2927"/>
      <c r="FS40" s="2927"/>
      <c r="FT40" s="2927"/>
      <c r="FU40" s="2927"/>
      <c r="FV40" s="2927"/>
      <c r="FW40" s="2927"/>
      <c r="FX40" s="2927"/>
      <c r="FY40" s="2927"/>
      <c r="FZ40" s="2927"/>
      <c r="GA40" s="2927"/>
      <c r="GB40" s="2927"/>
      <c r="GC40" s="2927"/>
      <c r="GD40" s="2927"/>
      <c r="GE40" s="2927"/>
      <c r="GF40" s="2927"/>
      <c r="GG40" s="2927"/>
      <c r="GH40" s="2927"/>
      <c r="GI40" s="2927"/>
      <c r="GJ40" s="2927"/>
      <c r="GK40" s="2927"/>
      <c r="GL40" s="2927"/>
      <c r="GM40" s="2927"/>
      <c r="GN40" s="2927"/>
      <c r="GO40" s="2927"/>
      <c r="GP40" s="2927"/>
      <c r="GQ40" s="2927"/>
      <c r="GR40" s="2927"/>
      <c r="GS40" s="2927"/>
      <c r="GT40" s="2927"/>
      <c r="GU40" s="2927"/>
      <c r="GV40" s="2927"/>
      <c r="GW40" s="2927"/>
      <c r="GX40" s="2927"/>
      <c r="GY40" s="2927"/>
      <c r="GZ40" s="2927"/>
      <c r="HA40" s="2927"/>
      <c r="HB40" s="2927"/>
      <c r="HC40" s="2927"/>
      <c r="HD40" s="2927"/>
      <c r="HE40" s="2927"/>
      <c r="HF40" s="2927"/>
      <c r="HG40" s="2927"/>
      <c r="HH40" s="2927"/>
      <c r="HI40" s="2927"/>
      <c r="HJ40" s="2927"/>
      <c r="HK40" s="2927"/>
      <c r="HL40" s="2927"/>
      <c r="HM40" s="2927"/>
      <c r="HN40" s="2927"/>
      <c r="HO40" s="2927"/>
      <c r="HP40" s="2927"/>
      <c r="HQ40" s="2927"/>
      <c r="HR40" s="2927"/>
      <c r="HS40" s="2927"/>
      <c r="HT40" s="2927"/>
      <c r="HU40" s="2927"/>
      <c r="HV40" s="2927"/>
      <c r="HW40" s="2927"/>
      <c r="HX40" s="2927"/>
      <c r="HY40" s="2927"/>
      <c r="HZ40" s="2927"/>
      <c r="IA40" s="2927"/>
      <c r="IB40" s="2927"/>
      <c r="IC40" s="2927"/>
      <c r="ID40" s="2927"/>
      <c r="IE40" s="2927"/>
    </row>
    <row r="41" s="2838" customFormat="1" ht="32" customHeight="1" spans="1:239">
      <c r="A41" s="2905">
        <v>45765</v>
      </c>
      <c r="B41" s="2906" t="s">
        <v>2285</v>
      </c>
      <c r="C41" s="2907" t="s">
        <v>351</v>
      </c>
      <c r="D41" s="2908">
        <v>4500163959</v>
      </c>
      <c r="E41" s="2909" t="s">
        <v>10320</v>
      </c>
      <c r="F41" s="2908" t="s">
        <v>10321</v>
      </c>
      <c r="G41" s="2930" t="s">
        <v>10199</v>
      </c>
      <c r="H41" s="2911" t="s">
        <v>9155</v>
      </c>
      <c r="I41" s="2912">
        <v>580</v>
      </c>
      <c r="J41" s="2912">
        <v>0</v>
      </c>
      <c r="K41" s="2912">
        <v>4</v>
      </c>
      <c r="L41" s="2912">
        <f t="shared" si="0"/>
        <v>145</v>
      </c>
      <c r="M41" s="2913">
        <v>45765</v>
      </c>
      <c r="N41" s="2913">
        <v>45761</v>
      </c>
      <c r="O41" s="2914" t="s">
        <v>10317</v>
      </c>
      <c r="P41" s="2914" t="s">
        <v>10206</v>
      </c>
      <c r="Q41" s="2914" t="s">
        <v>1123</v>
      </c>
      <c r="R41" s="2915" t="s">
        <v>974</v>
      </c>
      <c r="S41" s="2915"/>
      <c r="T41" s="2915" t="s">
        <v>10318</v>
      </c>
      <c r="U41" s="2915"/>
      <c r="V41" s="2915" t="s">
        <v>10319</v>
      </c>
      <c r="W41" s="2929" t="s">
        <v>8441</v>
      </c>
      <c r="X41" s="2932" t="s">
        <v>1199</v>
      </c>
      <c r="Y41" s="2917">
        <v>7.1595</v>
      </c>
      <c r="Z41" s="2918">
        <f t="shared" si="95"/>
        <v>4152.51</v>
      </c>
      <c r="AA41" s="2912" t="s">
        <v>8442</v>
      </c>
      <c r="AB41" s="2906" t="s">
        <v>10312</v>
      </c>
      <c r="AC41" s="2912" t="s">
        <v>416</v>
      </c>
      <c r="AD41" s="2919">
        <f t="shared" si="96"/>
        <v>580</v>
      </c>
      <c r="AE41" s="2919"/>
      <c r="AF41" s="2933"/>
      <c r="AG41" s="2919"/>
      <c r="AH41" s="2919"/>
      <c r="AI41" s="2919"/>
      <c r="AJ41" s="2921">
        <f t="shared" si="75"/>
        <v>580</v>
      </c>
      <c r="AK41" s="2921"/>
      <c r="AL41" s="2921"/>
      <c r="AM41" s="2921"/>
      <c r="AN41" s="2922"/>
      <c r="AO41" s="2923"/>
      <c r="AP41" s="2921"/>
      <c r="AQ41" s="2921">
        <f t="shared" si="83"/>
        <v>145</v>
      </c>
      <c r="AR41" s="2924"/>
      <c r="AS41" s="2923">
        <f t="shared" si="84"/>
        <v>145</v>
      </c>
      <c r="AT41" s="2921">
        <f t="shared" si="85"/>
        <v>145</v>
      </c>
      <c r="AU41" s="2921"/>
      <c r="AV41" s="2924">
        <f t="shared" si="90"/>
        <v>145</v>
      </c>
      <c r="AW41" s="2923"/>
      <c r="AX41" s="2921"/>
      <c r="AY41" s="2921"/>
      <c r="AZ41" s="2924"/>
      <c r="BA41" s="2923"/>
      <c r="BB41" s="2924"/>
      <c r="BC41" s="2925"/>
      <c r="BD41" s="2921">
        <f t="shared" si="101"/>
        <v>580</v>
      </c>
      <c r="BE41" s="2921"/>
      <c r="BF41" s="2921">
        <f t="shared" si="4"/>
        <v>580</v>
      </c>
      <c r="BG41" s="2921" t="s">
        <v>9164</v>
      </c>
      <c r="BH41" s="2921"/>
      <c r="BI41" s="2921">
        <f t="shared" si="86"/>
        <v>145</v>
      </c>
      <c r="BJ41" s="2921">
        <f t="shared" ref="BJ41:BP41" si="104">BI41</f>
        <v>145</v>
      </c>
      <c r="BK41" s="2921">
        <f t="shared" si="104"/>
        <v>145</v>
      </c>
      <c r="BL41" s="2921">
        <f t="shared" si="104"/>
        <v>145</v>
      </c>
      <c r="BM41" s="2926">
        <f t="shared" si="104"/>
        <v>145</v>
      </c>
      <c r="BN41" s="2921">
        <f t="shared" si="104"/>
        <v>145</v>
      </c>
      <c r="BO41" s="2926">
        <f t="shared" si="104"/>
        <v>145</v>
      </c>
      <c r="BP41" s="2921">
        <f t="shared" si="104"/>
        <v>145</v>
      </c>
      <c r="BQ41" s="2926">
        <f t="shared" si="1"/>
        <v>238605</v>
      </c>
      <c r="BR41" s="2926">
        <f t="shared" ref="BR41:BY41" si="105">BR40-BI41</f>
        <v>21777.5</v>
      </c>
      <c r="BS41" s="2926">
        <f t="shared" si="105"/>
        <v>21777.5</v>
      </c>
      <c r="BT41" s="2926">
        <f t="shared" si="105"/>
        <v>21189.5</v>
      </c>
      <c r="BU41" s="2926">
        <f t="shared" si="105"/>
        <v>21189.5</v>
      </c>
      <c r="BV41" s="2926">
        <f t="shared" si="105"/>
        <v>36395.5</v>
      </c>
      <c r="BW41" s="2926">
        <f t="shared" si="105"/>
        <v>36395.5</v>
      </c>
      <c r="BX41" s="2926">
        <f t="shared" si="105"/>
        <v>22269.5</v>
      </c>
      <c r="BY41" s="2926">
        <f t="shared" si="105"/>
        <v>22269.5</v>
      </c>
      <c r="BZ41" s="2912"/>
      <c r="CA41" s="2927"/>
      <c r="CB41" s="2927"/>
      <c r="CC41" s="2927"/>
      <c r="CD41" s="2927"/>
      <c r="CE41" s="2927"/>
      <c r="CF41" s="2927"/>
      <c r="CG41" s="2927"/>
      <c r="CH41" s="2927"/>
      <c r="CI41" s="2927"/>
      <c r="CJ41" s="2927"/>
      <c r="CK41" s="2927"/>
      <c r="CL41" s="2927"/>
      <c r="CM41" s="2927"/>
      <c r="CN41" s="2927"/>
      <c r="CO41" s="2927"/>
      <c r="CP41" s="2927"/>
      <c r="CQ41" s="2927"/>
      <c r="CR41" s="2927"/>
      <c r="CS41" s="2927"/>
      <c r="CT41" s="2927"/>
      <c r="CU41" s="2927"/>
      <c r="CV41" s="2927"/>
      <c r="CW41" s="2927"/>
      <c r="CX41" s="2927"/>
      <c r="CY41" s="2927"/>
      <c r="CZ41" s="2927"/>
      <c r="DA41" s="2927"/>
      <c r="DB41" s="2927"/>
      <c r="DC41" s="2927"/>
      <c r="DD41" s="2927"/>
      <c r="DE41" s="2927"/>
      <c r="DF41" s="2927"/>
      <c r="DG41" s="2927"/>
      <c r="DH41" s="2927"/>
      <c r="DI41" s="2927"/>
      <c r="DJ41" s="2927"/>
      <c r="DK41" s="2927"/>
      <c r="DL41" s="2927"/>
      <c r="DM41" s="2927"/>
      <c r="DN41" s="2927"/>
      <c r="DO41" s="2927"/>
      <c r="DP41" s="2927"/>
      <c r="DQ41" s="2927"/>
      <c r="DR41" s="2927"/>
      <c r="DS41" s="2927"/>
      <c r="DT41" s="2927"/>
      <c r="DU41" s="2927"/>
      <c r="DV41" s="2927"/>
      <c r="DW41" s="2927"/>
      <c r="DX41" s="2927"/>
      <c r="DY41" s="2927"/>
      <c r="DZ41" s="2927"/>
      <c r="EA41" s="2927"/>
      <c r="EB41" s="2927"/>
      <c r="EC41" s="2927"/>
      <c r="ED41" s="2927"/>
      <c r="EE41" s="2927"/>
      <c r="EF41" s="2927"/>
      <c r="EG41" s="2927"/>
      <c r="EH41" s="2927"/>
      <c r="EI41" s="2927"/>
      <c r="EJ41" s="2927"/>
      <c r="EK41" s="2927"/>
      <c r="EL41" s="2927"/>
      <c r="EM41" s="2927"/>
      <c r="EN41" s="2927"/>
      <c r="EO41" s="2927"/>
      <c r="EP41" s="2927"/>
      <c r="EQ41" s="2927"/>
      <c r="ER41" s="2927"/>
      <c r="ES41" s="2927"/>
      <c r="ET41" s="2927"/>
      <c r="EU41" s="2927"/>
      <c r="EV41" s="2927"/>
      <c r="EW41" s="2927"/>
      <c r="EX41" s="2927"/>
      <c r="EY41" s="2927"/>
      <c r="EZ41" s="2927"/>
      <c r="FA41" s="2927"/>
      <c r="FB41" s="2927"/>
      <c r="FC41" s="2927"/>
      <c r="FD41" s="2927"/>
      <c r="FE41" s="2927"/>
      <c r="FF41" s="2927"/>
      <c r="FG41" s="2927"/>
      <c r="FH41" s="2927"/>
      <c r="FI41" s="2927"/>
      <c r="FJ41" s="2927"/>
      <c r="FK41" s="2927"/>
      <c r="FL41" s="2927"/>
      <c r="FM41" s="2927"/>
      <c r="FN41" s="2927"/>
      <c r="FO41" s="2927"/>
      <c r="FP41" s="2927"/>
      <c r="FQ41" s="2927"/>
      <c r="FR41" s="2927"/>
      <c r="FS41" s="2927"/>
      <c r="FT41" s="2927"/>
      <c r="FU41" s="2927"/>
      <c r="FV41" s="2927"/>
      <c r="FW41" s="2927"/>
      <c r="FX41" s="2927"/>
      <c r="FY41" s="2927"/>
      <c r="FZ41" s="2927"/>
      <c r="GA41" s="2927"/>
      <c r="GB41" s="2927"/>
      <c r="GC41" s="2927"/>
      <c r="GD41" s="2927"/>
      <c r="GE41" s="2927"/>
      <c r="GF41" s="2927"/>
      <c r="GG41" s="2927"/>
      <c r="GH41" s="2927"/>
      <c r="GI41" s="2927"/>
      <c r="GJ41" s="2927"/>
      <c r="GK41" s="2927"/>
      <c r="GL41" s="2927"/>
      <c r="GM41" s="2927"/>
      <c r="GN41" s="2927"/>
      <c r="GO41" s="2927"/>
      <c r="GP41" s="2927"/>
      <c r="GQ41" s="2927"/>
      <c r="GR41" s="2927"/>
      <c r="GS41" s="2927"/>
      <c r="GT41" s="2927"/>
      <c r="GU41" s="2927"/>
      <c r="GV41" s="2927"/>
      <c r="GW41" s="2927"/>
      <c r="GX41" s="2927"/>
      <c r="GY41" s="2927"/>
      <c r="GZ41" s="2927"/>
      <c r="HA41" s="2927"/>
      <c r="HB41" s="2927"/>
      <c r="HC41" s="2927"/>
      <c r="HD41" s="2927"/>
      <c r="HE41" s="2927"/>
      <c r="HF41" s="2927"/>
      <c r="HG41" s="2927"/>
      <c r="HH41" s="2927"/>
      <c r="HI41" s="2927"/>
      <c r="HJ41" s="2927"/>
      <c r="HK41" s="2927"/>
      <c r="HL41" s="2927"/>
      <c r="HM41" s="2927"/>
      <c r="HN41" s="2927"/>
      <c r="HO41" s="2927"/>
      <c r="HP41" s="2927"/>
      <c r="HQ41" s="2927"/>
      <c r="HR41" s="2927"/>
      <c r="HS41" s="2927"/>
      <c r="HT41" s="2927"/>
      <c r="HU41" s="2927"/>
      <c r="HV41" s="2927"/>
      <c r="HW41" s="2927"/>
      <c r="HX41" s="2927"/>
      <c r="HY41" s="2927"/>
      <c r="HZ41" s="2927"/>
      <c r="IA41" s="2927"/>
      <c r="IB41" s="2927"/>
      <c r="IC41" s="2927"/>
      <c r="ID41" s="2927"/>
      <c r="IE41" s="2927"/>
    </row>
    <row r="42" s="2838" customFormat="1" ht="32" customHeight="1" spans="1:239">
      <c r="A42" s="2905">
        <v>45765</v>
      </c>
      <c r="B42" s="2906" t="s">
        <v>2285</v>
      </c>
      <c r="C42" s="2907" t="s">
        <v>351</v>
      </c>
      <c r="D42" s="2908">
        <v>4500164028</v>
      </c>
      <c r="E42" s="2909" t="s">
        <v>10320</v>
      </c>
      <c r="F42" s="2908" t="s">
        <v>10322</v>
      </c>
      <c r="G42" s="2930" t="s">
        <v>10199</v>
      </c>
      <c r="H42" s="2911" t="s">
        <v>9155</v>
      </c>
      <c r="I42" s="2912">
        <v>860</v>
      </c>
      <c r="J42" s="2912">
        <v>0</v>
      </c>
      <c r="K42" s="2912">
        <v>4</v>
      </c>
      <c r="L42" s="2912">
        <f t="shared" si="0"/>
        <v>215</v>
      </c>
      <c r="M42" s="2913">
        <v>45765</v>
      </c>
      <c r="N42" s="2913">
        <v>45761</v>
      </c>
      <c r="O42" s="2914" t="s">
        <v>10317</v>
      </c>
      <c r="P42" s="2914" t="s">
        <v>10206</v>
      </c>
      <c r="Q42" s="2914"/>
      <c r="R42" s="2915" t="s">
        <v>974</v>
      </c>
      <c r="S42" s="2915"/>
      <c r="T42" s="2915" t="s">
        <v>10318</v>
      </c>
      <c r="U42" s="2915"/>
      <c r="V42" s="2915" t="s">
        <v>10319</v>
      </c>
      <c r="W42" s="2929" t="s">
        <v>8441</v>
      </c>
      <c r="X42" s="2932" t="s">
        <v>1199</v>
      </c>
      <c r="Y42" s="2917">
        <v>7.1595</v>
      </c>
      <c r="Z42" s="2918">
        <f t="shared" si="95"/>
        <v>6157.17</v>
      </c>
      <c r="AA42" s="2912"/>
      <c r="AB42" s="2906" t="s">
        <v>10312</v>
      </c>
      <c r="AC42" s="2912" t="s">
        <v>416</v>
      </c>
      <c r="AD42" s="2919">
        <f t="shared" si="96"/>
        <v>860</v>
      </c>
      <c r="AE42" s="2919"/>
      <c r="AF42" s="2933"/>
      <c r="AG42" s="2919"/>
      <c r="AH42" s="2919"/>
      <c r="AI42" s="2919"/>
      <c r="AJ42" s="2921">
        <f t="shared" si="75"/>
        <v>860</v>
      </c>
      <c r="AK42" s="2921"/>
      <c r="AL42" s="2921"/>
      <c r="AM42" s="2921"/>
      <c r="AN42" s="2922"/>
      <c r="AO42" s="2923"/>
      <c r="AP42" s="2921"/>
      <c r="AQ42" s="2921">
        <f t="shared" si="83"/>
        <v>215</v>
      </c>
      <c r="AR42" s="2924"/>
      <c r="AS42" s="2923">
        <f t="shared" si="84"/>
        <v>215</v>
      </c>
      <c r="AT42" s="2921">
        <f t="shared" si="85"/>
        <v>215</v>
      </c>
      <c r="AU42" s="2921"/>
      <c r="AV42" s="2924">
        <f t="shared" si="90"/>
        <v>215</v>
      </c>
      <c r="AW42" s="2923"/>
      <c r="AX42" s="2921"/>
      <c r="AY42" s="2921"/>
      <c r="AZ42" s="2924"/>
      <c r="BA42" s="2923"/>
      <c r="BB42" s="2924"/>
      <c r="BC42" s="2925"/>
      <c r="BD42" s="2921">
        <f t="shared" si="101"/>
        <v>860</v>
      </c>
      <c r="BE42" s="2921"/>
      <c r="BF42" s="2921">
        <f t="shared" si="4"/>
        <v>860</v>
      </c>
      <c r="BG42" s="2921" t="s">
        <v>9164</v>
      </c>
      <c r="BH42" s="2921"/>
      <c r="BI42" s="2921">
        <f t="shared" si="86"/>
        <v>215</v>
      </c>
      <c r="BJ42" s="2921">
        <f t="shared" ref="BJ42:BP42" si="106">BI42</f>
        <v>215</v>
      </c>
      <c r="BK42" s="2921">
        <f t="shared" si="106"/>
        <v>215</v>
      </c>
      <c r="BL42" s="2921">
        <f t="shared" si="106"/>
        <v>215</v>
      </c>
      <c r="BM42" s="2926">
        <f t="shared" si="106"/>
        <v>215</v>
      </c>
      <c r="BN42" s="2921">
        <f t="shared" si="106"/>
        <v>215</v>
      </c>
      <c r="BO42" s="2926">
        <f t="shared" si="106"/>
        <v>215</v>
      </c>
      <c r="BP42" s="2921">
        <f t="shared" si="106"/>
        <v>215</v>
      </c>
      <c r="BQ42" s="2926">
        <f t="shared" si="1"/>
        <v>238885</v>
      </c>
      <c r="BR42" s="2926">
        <f t="shared" ref="BR42:BY42" si="107">BR41-BI42</f>
        <v>21562.5</v>
      </c>
      <c r="BS42" s="2926">
        <f t="shared" si="107"/>
        <v>21562.5</v>
      </c>
      <c r="BT42" s="2926">
        <f t="shared" si="107"/>
        <v>20974.5</v>
      </c>
      <c r="BU42" s="2926">
        <f t="shared" si="107"/>
        <v>20974.5</v>
      </c>
      <c r="BV42" s="2926">
        <f t="shared" si="107"/>
        <v>36180.5</v>
      </c>
      <c r="BW42" s="2926">
        <f t="shared" si="107"/>
        <v>36180.5</v>
      </c>
      <c r="BX42" s="2926">
        <f t="shared" si="107"/>
        <v>22054.5</v>
      </c>
      <c r="BY42" s="2926">
        <f t="shared" si="107"/>
        <v>22054.5</v>
      </c>
      <c r="BZ42" s="2912"/>
      <c r="CA42" s="2927"/>
      <c r="CB42" s="2927"/>
      <c r="CC42" s="2927"/>
      <c r="CD42" s="2927"/>
      <c r="CE42" s="2927"/>
      <c r="CF42" s="2927"/>
      <c r="CG42" s="2927"/>
      <c r="CH42" s="2927"/>
      <c r="CI42" s="2927"/>
      <c r="CJ42" s="2927"/>
      <c r="CK42" s="2927"/>
      <c r="CL42" s="2927"/>
      <c r="CM42" s="2927"/>
      <c r="CN42" s="2927"/>
      <c r="CO42" s="2927"/>
      <c r="CP42" s="2927"/>
      <c r="CQ42" s="2927"/>
      <c r="CR42" s="2927"/>
      <c r="CS42" s="2927"/>
      <c r="CT42" s="2927"/>
      <c r="CU42" s="2927"/>
      <c r="CV42" s="2927"/>
      <c r="CW42" s="2927"/>
      <c r="CX42" s="2927"/>
      <c r="CY42" s="2927"/>
      <c r="CZ42" s="2927"/>
      <c r="DA42" s="2927"/>
      <c r="DB42" s="2927"/>
      <c r="DC42" s="2927"/>
      <c r="DD42" s="2927"/>
      <c r="DE42" s="2927"/>
      <c r="DF42" s="2927"/>
      <c r="DG42" s="2927"/>
      <c r="DH42" s="2927"/>
      <c r="DI42" s="2927"/>
      <c r="DJ42" s="2927"/>
      <c r="DK42" s="2927"/>
      <c r="DL42" s="2927"/>
      <c r="DM42" s="2927"/>
      <c r="DN42" s="2927"/>
      <c r="DO42" s="2927"/>
      <c r="DP42" s="2927"/>
      <c r="DQ42" s="2927"/>
      <c r="DR42" s="2927"/>
      <c r="DS42" s="2927"/>
      <c r="DT42" s="2927"/>
      <c r="DU42" s="2927"/>
      <c r="DV42" s="2927"/>
      <c r="DW42" s="2927"/>
      <c r="DX42" s="2927"/>
      <c r="DY42" s="2927"/>
      <c r="DZ42" s="2927"/>
      <c r="EA42" s="2927"/>
      <c r="EB42" s="2927"/>
      <c r="EC42" s="2927"/>
      <c r="ED42" s="2927"/>
      <c r="EE42" s="2927"/>
      <c r="EF42" s="2927"/>
      <c r="EG42" s="2927"/>
      <c r="EH42" s="2927"/>
      <c r="EI42" s="2927"/>
      <c r="EJ42" s="2927"/>
      <c r="EK42" s="2927"/>
      <c r="EL42" s="2927"/>
      <c r="EM42" s="2927"/>
      <c r="EN42" s="2927"/>
      <c r="EO42" s="2927"/>
      <c r="EP42" s="2927"/>
      <c r="EQ42" s="2927"/>
      <c r="ER42" s="2927"/>
      <c r="ES42" s="2927"/>
      <c r="ET42" s="2927"/>
      <c r="EU42" s="2927"/>
      <c r="EV42" s="2927"/>
      <c r="EW42" s="2927"/>
      <c r="EX42" s="2927"/>
      <c r="EY42" s="2927"/>
      <c r="EZ42" s="2927"/>
      <c r="FA42" s="2927"/>
      <c r="FB42" s="2927"/>
      <c r="FC42" s="2927"/>
      <c r="FD42" s="2927"/>
      <c r="FE42" s="2927"/>
      <c r="FF42" s="2927"/>
      <c r="FG42" s="2927"/>
      <c r="FH42" s="2927"/>
      <c r="FI42" s="2927"/>
      <c r="FJ42" s="2927"/>
      <c r="FK42" s="2927"/>
      <c r="FL42" s="2927"/>
      <c r="FM42" s="2927"/>
      <c r="FN42" s="2927"/>
      <c r="FO42" s="2927"/>
      <c r="FP42" s="2927"/>
      <c r="FQ42" s="2927"/>
      <c r="FR42" s="2927"/>
      <c r="FS42" s="2927"/>
      <c r="FT42" s="2927"/>
      <c r="FU42" s="2927"/>
      <c r="FV42" s="2927"/>
      <c r="FW42" s="2927"/>
      <c r="FX42" s="2927"/>
      <c r="FY42" s="2927"/>
      <c r="FZ42" s="2927"/>
      <c r="GA42" s="2927"/>
      <c r="GB42" s="2927"/>
      <c r="GC42" s="2927"/>
      <c r="GD42" s="2927"/>
      <c r="GE42" s="2927"/>
      <c r="GF42" s="2927"/>
      <c r="GG42" s="2927"/>
      <c r="GH42" s="2927"/>
      <c r="GI42" s="2927"/>
      <c r="GJ42" s="2927"/>
      <c r="GK42" s="2927"/>
      <c r="GL42" s="2927"/>
      <c r="GM42" s="2927"/>
      <c r="GN42" s="2927"/>
      <c r="GO42" s="2927"/>
      <c r="GP42" s="2927"/>
      <c r="GQ42" s="2927"/>
      <c r="GR42" s="2927"/>
      <c r="GS42" s="2927"/>
      <c r="GT42" s="2927"/>
      <c r="GU42" s="2927"/>
      <c r="GV42" s="2927"/>
      <c r="GW42" s="2927"/>
      <c r="GX42" s="2927"/>
      <c r="GY42" s="2927"/>
      <c r="GZ42" s="2927"/>
      <c r="HA42" s="2927"/>
      <c r="HB42" s="2927"/>
      <c r="HC42" s="2927"/>
      <c r="HD42" s="2927"/>
      <c r="HE42" s="2927"/>
      <c r="HF42" s="2927"/>
      <c r="HG42" s="2927"/>
      <c r="HH42" s="2927"/>
      <c r="HI42" s="2927"/>
      <c r="HJ42" s="2927"/>
      <c r="HK42" s="2927"/>
      <c r="HL42" s="2927"/>
      <c r="HM42" s="2927"/>
      <c r="HN42" s="2927"/>
      <c r="HO42" s="2927"/>
      <c r="HP42" s="2927"/>
      <c r="HQ42" s="2927"/>
      <c r="HR42" s="2927"/>
      <c r="HS42" s="2927"/>
      <c r="HT42" s="2927"/>
      <c r="HU42" s="2927"/>
      <c r="HV42" s="2927"/>
      <c r="HW42" s="2927"/>
      <c r="HX42" s="2927"/>
      <c r="HY42" s="2927"/>
      <c r="HZ42" s="2927"/>
      <c r="IA42" s="2927"/>
      <c r="IB42" s="2927"/>
      <c r="IC42" s="2927"/>
      <c r="ID42" s="2927"/>
      <c r="IE42" s="2927"/>
    </row>
    <row r="43" s="2838" customFormat="1" ht="32" customHeight="1" spans="1:239">
      <c r="A43" s="2905">
        <v>45765</v>
      </c>
      <c r="B43" s="2906" t="s">
        <v>2285</v>
      </c>
      <c r="C43" s="2907" t="s">
        <v>351</v>
      </c>
      <c r="D43" s="2908">
        <v>4500164028</v>
      </c>
      <c r="E43" s="2909" t="s">
        <v>10320</v>
      </c>
      <c r="F43" s="2908" t="s">
        <v>10323</v>
      </c>
      <c r="G43" s="2930" t="s">
        <v>10199</v>
      </c>
      <c r="H43" s="2911" t="s">
        <v>9155</v>
      </c>
      <c r="I43" s="2912">
        <v>312</v>
      </c>
      <c r="J43" s="2912">
        <v>0</v>
      </c>
      <c r="K43" s="2912">
        <v>4</v>
      </c>
      <c r="L43" s="2912">
        <f t="shared" si="0"/>
        <v>78</v>
      </c>
      <c r="M43" s="2913">
        <v>45765</v>
      </c>
      <c r="N43" s="2913">
        <v>45761</v>
      </c>
      <c r="O43" s="2914" t="s">
        <v>10317</v>
      </c>
      <c r="P43" s="2914" t="s">
        <v>10206</v>
      </c>
      <c r="Q43" s="2914" t="s">
        <v>1175</v>
      </c>
      <c r="R43" s="2915" t="s">
        <v>974</v>
      </c>
      <c r="S43" s="2915"/>
      <c r="T43" s="2915" t="s">
        <v>10318</v>
      </c>
      <c r="U43" s="2915"/>
      <c r="V43" s="2915" t="s">
        <v>10319</v>
      </c>
      <c r="W43" s="2929" t="s">
        <v>8441</v>
      </c>
      <c r="X43" s="2932" t="s">
        <v>1199</v>
      </c>
      <c r="Y43" s="2917">
        <v>7.1595</v>
      </c>
      <c r="Z43" s="2918">
        <f t="shared" si="95"/>
        <v>2233.764</v>
      </c>
      <c r="AA43" s="2912"/>
      <c r="AB43" s="2906" t="s">
        <v>10312</v>
      </c>
      <c r="AC43" s="2912" t="s">
        <v>416</v>
      </c>
      <c r="AD43" s="2919">
        <f t="shared" si="96"/>
        <v>312</v>
      </c>
      <c r="AE43" s="2919"/>
      <c r="AF43" s="2933"/>
      <c r="AG43" s="2919"/>
      <c r="AH43" s="2919"/>
      <c r="AI43" s="2919"/>
      <c r="AJ43" s="2921">
        <f t="shared" si="75"/>
        <v>312</v>
      </c>
      <c r="AK43" s="2921"/>
      <c r="AL43" s="2921"/>
      <c r="AM43" s="2921"/>
      <c r="AN43" s="2922"/>
      <c r="AO43" s="2923"/>
      <c r="AP43" s="2921"/>
      <c r="AQ43" s="2921">
        <f t="shared" si="83"/>
        <v>78</v>
      </c>
      <c r="AR43" s="2924"/>
      <c r="AS43" s="2923">
        <f t="shared" si="84"/>
        <v>78</v>
      </c>
      <c r="AT43" s="2921">
        <f t="shared" si="85"/>
        <v>78</v>
      </c>
      <c r="AU43" s="2921"/>
      <c r="AV43" s="2924">
        <f t="shared" si="90"/>
        <v>78</v>
      </c>
      <c r="AW43" s="2923"/>
      <c r="AX43" s="2921"/>
      <c r="AY43" s="2921"/>
      <c r="AZ43" s="2924"/>
      <c r="BA43" s="2923"/>
      <c r="BB43" s="2924"/>
      <c r="BC43" s="2925"/>
      <c r="BD43" s="2921">
        <f t="shared" si="101"/>
        <v>312</v>
      </c>
      <c r="BE43" s="2921"/>
      <c r="BF43" s="2921">
        <f t="shared" si="4"/>
        <v>312</v>
      </c>
      <c r="BG43" s="2921" t="s">
        <v>9164</v>
      </c>
      <c r="BH43" s="2921"/>
      <c r="BI43" s="2921">
        <f t="shared" si="86"/>
        <v>78</v>
      </c>
      <c r="BJ43" s="2921">
        <f t="shared" ref="BJ43:BP43" si="108">BI43</f>
        <v>78</v>
      </c>
      <c r="BK43" s="2921">
        <f t="shared" si="108"/>
        <v>78</v>
      </c>
      <c r="BL43" s="2921">
        <f t="shared" si="108"/>
        <v>78</v>
      </c>
      <c r="BM43" s="2926">
        <f t="shared" si="108"/>
        <v>78</v>
      </c>
      <c r="BN43" s="2921">
        <f t="shared" si="108"/>
        <v>78</v>
      </c>
      <c r="BO43" s="2926">
        <f t="shared" si="108"/>
        <v>78</v>
      </c>
      <c r="BP43" s="2921">
        <f t="shared" si="108"/>
        <v>78</v>
      </c>
      <c r="BQ43" s="2926">
        <f t="shared" si="1"/>
        <v>238337</v>
      </c>
      <c r="BR43" s="2926">
        <f t="shared" ref="BR43:BY43" si="109">BR42-BI43</f>
        <v>21484.5</v>
      </c>
      <c r="BS43" s="2926">
        <f t="shared" si="109"/>
        <v>21484.5</v>
      </c>
      <c r="BT43" s="2926">
        <f t="shared" si="109"/>
        <v>20896.5</v>
      </c>
      <c r="BU43" s="2926">
        <f t="shared" si="109"/>
        <v>20896.5</v>
      </c>
      <c r="BV43" s="2926">
        <f t="shared" si="109"/>
        <v>36102.5</v>
      </c>
      <c r="BW43" s="2926">
        <f t="shared" si="109"/>
        <v>36102.5</v>
      </c>
      <c r="BX43" s="2926">
        <f t="shared" si="109"/>
        <v>21976.5</v>
      </c>
      <c r="BY43" s="2926">
        <f t="shared" si="109"/>
        <v>21976.5</v>
      </c>
      <c r="BZ43" s="2912"/>
      <c r="CA43" s="2927"/>
      <c r="CB43" s="2927"/>
      <c r="CC43" s="2927"/>
      <c r="CD43" s="2927"/>
      <c r="CE43" s="2927"/>
      <c r="CF43" s="2927"/>
      <c r="CG43" s="2927"/>
      <c r="CH43" s="2927"/>
      <c r="CI43" s="2927"/>
      <c r="CJ43" s="2927"/>
      <c r="CK43" s="2927"/>
      <c r="CL43" s="2927"/>
      <c r="CM43" s="2927"/>
      <c r="CN43" s="2927"/>
      <c r="CO43" s="2927"/>
      <c r="CP43" s="2927"/>
      <c r="CQ43" s="2927"/>
      <c r="CR43" s="2927"/>
      <c r="CS43" s="2927"/>
      <c r="CT43" s="2927"/>
      <c r="CU43" s="2927"/>
      <c r="CV43" s="2927"/>
      <c r="CW43" s="2927"/>
      <c r="CX43" s="2927"/>
      <c r="CY43" s="2927"/>
      <c r="CZ43" s="2927"/>
      <c r="DA43" s="2927"/>
      <c r="DB43" s="2927"/>
      <c r="DC43" s="2927"/>
      <c r="DD43" s="2927"/>
      <c r="DE43" s="2927"/>
      <c r="DF43" s="2927"/>
      <c r="DG43" s="2927"/>
      <c r="DH43" s="2927"/>
      <c r="DI43" s="2927"/>
      <c r="DJ43" s="2927"/>
      <c r="DK43" s="2927"/>
      <c r="DL43" s="2927"/>
      <c r="DM43" s="2927"/>
      <c r="DN43" s="2927"/>
      <c r="DO43" s="2927"/>
      <c r="DP43" s="2927"/>
      <c r="DQ43" s="2927"/>
      <c r="DR43" s="2927"/>
      <c r="DS43" s="2927"/>
      <c r="DT43" s="2927"/>
      <c r="DU43" s="2927"/>
      <c r="DV43" s="2927"/>
      <c r="DW43" s="2927"/>
      <c r="DX43" s="2927"/>
      <c r="DY43" s="2927"/>
      <c r="DZ43" s="2927"/>
      <c r="EA43" s="2927"/>
      <c r="EB43" s="2927"/>
      <c r="EC43" s="2927"/>
      <c r="ED43" s="2927"/>
      <c r="EE43" s="2927"/>
      <c r="EF43" s="2927"/>
      <c r="EG43" s="2927"/>
      <c r="EH43" s="2927"/>
      <c r="EI43" s="2927"/>
      <c r="EJ43" s="2927"/>
      <c r="EK43" s="2927"/>
      <c r="EL43" s="2927"/>
      <c r="EM43" s="2927"/>
      <c r="EN43" s="2927"/>
      <c r="EO43" s="2927"/>
      <c r="EP43" s="2927"/>
      <c r="EQ43" s="2927"/>
      <c r="ER43" s="2927"/>
      <c r="ES43" s="2927"/>
      <c r="ET43" s="2927"/>
      <c r="EU43" s="2927"/>
      <c r="EV43" s="2927"/>
      <c r="EW43" s="2927"/>
      <c r="EX43" s="2927"/>
      <c r="EY43" s="2927"/>
      <c r="EZ43" s="2927"/>
      <c r="FA43" s="2927"/>
      <c r="FB43" s="2927"/>
      <c r="FC43" s="2927"/>
      <c r="FD43" s="2927"/>
      <c r="FE43" s="2927"/>
      <c r="FF43" s="2927"/>
      <c r="FG43" s="2927"/>
      <c r="FH43" s="2927"/>
      <c r="FI43" s="2927"/>
      <c r="FJ43" s="2927"/>
      <c r="FK43" s="2927"/>
      <c r="FL43" s="2927"/>
      <c r="FM43" s="2927"/>
      <c r="FN43" s="2927"/>
      <c r="FO43" s="2927"/>
      <c r="FP43" s="2927"/>
      <c r="FQ43" s="2927"/>
      <c r="FR43" s="2927"/>
      <c r="FS43" s="2927"/>
      <c r="FT43" s="2927"/>
      <c r="FU43" s="2927"/>
      <c r="FV43" s="2927"/>
      <c r="FW43" s="2927"/>
      <c r="FX43" s="2927"/>
      <c r="FY43" s="2927"/>
      <c r="FZ43" s="2927"/>
      <c r="GA43" s="2927"/>
      <c r="GB43" s="2927"/>
      <c r="GC43" s="2927"/>
      <c r="GD43" s="2927"/>
      <c r="GE43" s="2927"/>
      <c r="GF43" s="2927"/>
      <c r="GG43" s="2927"/>
      <c r="GH43" s="2927"/>
      <c r="GI43" s="2927"/>
      <c r="GJ43" s="2927"/>
      <c r="GK43" s="2927"/>
      <c r="GL43" s="2927"/>
      <c r="GM43" s="2927"/>
      <c r="GN43" s="2927"/>
      <c r="GO43" s="2927"/>
      <c r="GP43" s="2927"/>
      <c r="GQ43" s="2927"/>
      <c r="GR43" s="2927"/>
      <c r="GS43" s="2927"/>
      <c r="GT43" s="2927"/>
      <c r="GU43" s="2927"/>
      <c r="GV43" s="2927"/>
      <c r="GW43" s="2927"/>
      <c r="GX43" s="2927"/>
      <c r="GY43" s="2927"/>
      <c r="GZ43" s="2927"/>
      <c r="HA43" s="2927"/>
      <c r="HB43" s="2927"/>
      <c r="HC43" s="2927"/>
      <c r="HD43" s="2927"/>
      <c r="HE43" s="2927"/>
      <c r="HF43" s="2927"/>
      <c r="HG43" s="2927"/>
      <c r="HH43" s="2927"/>
      <c r="HI43" s="2927"/>
      <c r="HJ43" s="2927"/>
      <c r="HK43" s="2927"/>
      <c r="HL43" s="2927"/>
      <c r="HM43" s="2927"/>
      <c r="HN43" s="2927"/>
      <c r="HO43" s="2927"/>
      <c r="HP43" s="2927"/>
      <c r="HQ43" s="2927"/>
      <c r="HR43" s="2927"/>
      <c r="HS43" s="2927"/>
      <c r="HT43" s="2927"/>
      <c r="HU43" s="2927"/>
      <c r="HV43" s="2927"/>
      <c r="HW43" s="2927"/>
      <c r="HX43" s="2927"/>
      <c r="HY43" s="2927"/>
      <c r="HZ43" s="2927"/>
      <c r="IA43" s="2927"/>
      <c r="IB43" s="2927"/>
      <c r="IC43" s="2927"/>
      <c r="ID43" s="2927"/>
      <c r="IE43" s="2927"/>
    </row>
    <row r="44" s="2838" customFormat="1" ht="32" customHeight="1" spans="1:239">
      <c r="A44" s="2905">
        <v>45743</v>
      </c>
      <c r="B44" s="2906" t="s">
        <v>6682</v>
      </c>
      <c r="C44" s="2907" t="s">
        <v>396</v>
      </c>
      <c r="D44" s="2908">
        <v>4500161639</v>
      </c>
      <c r="E44" s="2909" t="s">
        <v>10324</v>
      </c>
      <c r="F44" s="2908" t="s">
        <v>10325</v>
      </c>
      <c r="G44" s="2930" t="s">
        <v>10209</v>
      </c>
      <c r="H44" s="2911" t="s">
        <v>9155</v>
      </c>
      <c r="I44" s="2912">
        <v>200</v>
      </c>
      <c r="J44" s="2912">
        <v>0</v>
      </c>
      <c r="K44" s="2912">
        <v>1</v>
      </c>
      <c r="L44" s="2912">
        <f t="shared" si="0"/>
        <v>200</v>
      </c>
      <c r="M44" s="2913">
        <v>45772</v>
      </c>
      <c r="N44" s="2913">
        <v>45768</v>
      </c>
      <c r="O44" s="2914" t="s">
        <v>10326</v>
      </c>
      <c r="P44" s="2914" t="s">
        <v>10206</v>
      </c>
      <c r="Q44" s="2914" t="s">
        <v>185</v>
      </c>
      <c r="R44" s="2915" t="s">
        <v>6722</v>
      </c>
      <c r="S44" s="2915"/>
      <c r="T44" s="2915" t="s">
        <v>10327</v>
      </c>
      <c r="U44" s="2915"/>
      <c r="V44" s="2915"/>
      <c r="W44" s="2929" t="s">
        <v>10328</v>
      </c>
      <c r="X44" s="2932" t="s">
        <v>6688</v>
      </c>
      <c r="Y44" s="2917">
        <v>7.4848</v>
      </c>
      <c r="Z44" s="2918">
        <f t="shared" si="95"/>
        <v>1496.96</v>
      </c>
      <c r="AA44" s="2912" t="s">
        <v>10329</v>
      </c>
      <c r="AB44" s="2906" t="s">
        <v>10330</v>
      </c>
      <c r="AC44" s="2912" t="s">
        <v>416</v>
      </c>
      <c r="AD44" s="2919"/>
      <c r="AE44" s="2919"/>
      <c r="AF44" s="2920"/>
      <c r="AG44" s="2919">
        <f t="shared" ref="AG44:AG50" si="110">I44</f>
        <v>200</v>
      </c>
      <c r="AH44" s="2919"/>
      <c r="AI44" s="2919"/>
      <c r="AJ44" s="2921">
        <f t="shared" si="75"/>
        <v>200</v>
      </c>
      <c r="AK44" s="2921"/>
      <c r="AL44" s="2921"/>
      <c r="AM44" s="2921"/>
      <c r="AN44" s="2922"/>
      <c r="AO44" s="2923"/>
      <c r="AP44" s="2921"/>
      <c r="AQ44" s="2921">
        <f t="shared" si="83"/>
        <v>50</v>
      </c>
      <c r="AR44" s="2924"/>
      <c r="AS44" s="2923">
        <f t="shared" si="84"/>
        <v>50</v>
      </c>
      <c r="AT44" s="2921">
        <f t="shared" si="85"/>
        <v>50</v>
      </c>
      <c r="AU44" s="2921"/>
      <c r="AV44" s="2924">
        <f t="shared" si="90"/>
        <v>50</v>
      </c>
      <c r="AW44" s="2923"/>
      <c r="AX44" s="2921"/>
      <c r="AY44" s="2921"/>
      <c r="AZ44" s="2924"/>
      <c r="BA44" s="2923"/>
      <c r="BB44" s="2924"/>
      <c r="BC44" s="2925"/>
      <c r="BD44" s="2921"/>
      <c r="BE44" s="2921">
        <f>I44</f>
        <v>200</v>
      </c>
      <c r="BF44" s="2921">
        <f t="shared" si="4"/>
        <v>200</v>
      </c>
      <c r="BG44" s="2921" t="s">
        <v>9164</v>
      </c>
      <c r="BH44" s="2921"/>
      <c r="BI44" s="2921">
        <f t="shared" si="86"/>
        <v>50</v>
      </c>
      <c r="BJ44" s="2921">
        <f t="shared" ref="BJ44:BP44" si="111">BI44</f>
        <v>50</v>
      </c>
      <c r="BK44" s="2921">
        <f t="shared" si="111"/>
        <v>50</v>
      </c>
      <c r="BL44" s="2921">
        <f t="shared" si="111"/>
        <v>50</v>
      </c>
      <c r="BM44" s="2926">
        <f t="shared" si="111"/>
        <v>50</v>
      </c>
      <c r="BN44" s="2921">
        <f t="shared" si="111"/>
        <v>50</v>
      </c>
      <c r="BO44" s="2926">
        <f t="shared" si="111"/>
        <v>50</v>
      </c>
      <c r="BP44" s="2921">
        <f t="shared" si="111"/>
        <v>50</v>
      </c>
      <c r="BQ44" s="2926">
        <f t="shared" si="1"/>
        <v>238225</v>
      </c>
      <c r="BR44" s="2926">
        <f t="shared" ref="BR44:BY44" si="112">BR43-BI44</f>
        <v>21434.5</v>
      </c>
      <c r="BS44" s="2926">
        <f t="shared" si="112"/>
        <v>21434.5</v>
      </c>
      <c r="BT44" s="2926">
        <f t="shared" si="112"/>
        <v>20846.5</v>
      </c>
      <c r="BU44" s="2926">
        <f t="shared" si="112"/>
        <v>20846.5</v>
      </c>
      <c r="BV44" s="2926">
        <f t="shared" si="112"/>
        <v>36052.5</v>
      </c>
      <c r="BW44" s="2926">
        <f t="shared" si="112"/>
        <v>36052.5</v>
      </c>
      <c r="BX44" s="2926">
        <f t="shared" si="112"/>
        <v>21926.5</v>
      </c>
      <c r="BY44" s="2926">
        <f t="shared" si="112"/>
        <v>21926.5</v>
      </c>
      <c r="BZ44" s="2912"/>
      <c r="CA44" s="2927"/>
      <c r="CB44" s="2927"/>
      <c r="CC44" s="2927"/>
      <c r="CD44" s="2927"/>
      <c r="CE44" s="2927"/>
      <c r="CF44" s="2927"/>
      <c r="CG44" s="2927"/>
      <c r="CH44" s="2927"/>
      <c r="CI44" s="2927"/>
      <c r="CJ44" s="2927"/>
      <c r="CK44" s="2927"/>
      <c r="CL44" s="2927"/>
      <c r="CM44" s="2927"/>
      <c r="CN44" s="2927"/>
      <c r="CO44" s="2927"/>
      <c r="CP44" s="2927"/>
      <c r="CQ44" s="2927"/>
      <c r="CR44" s="2927"/>
      <c r="CS44" s="2927"/>
      <c r="CT44" s="2927"/>
      <c r="CU44" s="2927"/>
      <c r="CV44" s="2927"/>
      <c r="CW44" s="2927"/>
      <c r="CX44" s="2927"/>
      <c r="CY44" s="2927"/>
      <c r="CZ44" s="2927"/>
      <c r="DA44" s="2927"/>
      <c r="DB44" s="2927"/>
      <c r="DC44" s="2927"/>
      <c r="DD44" s="2927"/>
      <c r="DE44" s="2927"/>
      <c r="DF44" s="2927"/>
      <c r="DG44" s="2927"/>
      <c r="DH44" s="2927"/>
      <c r="DI44" s="2927"/>
      <c r="DJ44" s="2927"/>
      <c r="DK44" s="2927"/>
      <c r="DL44" s="2927"/>
      <c r="DM44" s="2927"/>
      <c r="DN44" s="2927"/>
      <c r="DO44" s="2927"/>
      <c r="DP44" s="2927"/>
      <c r="DQ44" s="2927"/>
      <c r="DR44" s="2927"/>
      <c r="DS44" s="2927"/>
      <c r="DT44" s="2927"/>
      <c r="DU44" s="2927"/>
      <c r="DV44" s="2927"/>
      <c r="DW44" s="2927"/>
      <c r="DX44" s="2927"/>
      <c r="DY44" s="2927"/>
      <c r="DZ44" s="2927"/>
      <c r="EA44" s="2927"/>
      <c r="EB44" s="2927"/>
      <c r="EC44" s="2927"/>
      <c r="ED44" s="2927"/>
      <c r="EE44" s="2927"/>
      <c r="EF44" s="2927"/>
      <c r="EG44" s="2927"/>
      <c r="EH44" s="2927"/>
      <c r="EI44" s="2927"/>
      <c r="EJ44" s="2927"/>
      <c r="EK44" s="2927"/>
      <c r="EL44" s="2927"/>
      <c r="EM44" s="2927"/>
      <c r="EN44" s="2927"/>
      <c r="EO44" s="2927"/>
      <c r="EP44" s="2927"/>
      <c r="EQ44" s="2927"/>
      <c r="ER44" s="2927"/>
      <c r="ES44" s="2927"/>
      <c r="ET44" s="2927"/>
      <c r="EU44" s="2927"/>
      <c r="EV44" s="2927"/>
      <c r="EW44" s="2927"/>
      <c r="EX44" s="2927"/>
      <c r="EY44" s="2927"/>
      <c r="EZ44" s="2927"/>
      <c r="FA44" s="2927"/>
      <c r="FB44" s="2927"/>
      <c r="FC44" s="2927"/>
      <c r="FD44" s="2927"/>
      <c r="FE44" s="2927"/>
      <c r="FF44" s="2927"/>
      <c r="FG44" s="2927"/>
      <c r="FH44" s="2927"/>
      <c r="FI44" s="2927"/>
      <c r="FJ44" s="2927"/>
      <c r="FK44" s="2927"/>
      <c r="FL44" s="2927"/>
      <c r="FM44" s="2927"/>
      <c r="FN44" s="2927"/>
      <c r="FO44" s="2927"/>
      <c r="FP44" s="2927"/>
      <c r="FQ44" s="2927"/>
      <c r="FR44" s="2927"/>
      <c r="FS44" s="2927"/>
      <c r="FT44" s="2927"/>
      <c r="FU44" s="2927"/>
      <c r="FV44" s="2927"/>
      <c r="FW44" s="2927"/>
      <c r="FX44" s="2927"/>
      <c r="FY44" s="2927"/>
      <c r="FZ44" s="2927"/>
      <c r="GA44" s="2927"/>
      <c r="GB44" s="2927"/>
      <c r="GC44" s="2927"/>
      <c r="GD44" s="2927"/>
      <c r="GE44" s="2927"/>
      <c r="GF44" s="2927"/>
      <c r="GG44" s="2927"/>
      <c r="GH44" s="2927"/>
      <c r="GI44" s="2927"/>
      <c r="GJ44" s="2927"/>
      <c r="GK44" s="2927"/>
      <c r="GL44" s="2927"/>
      <c r="GM44" s="2927"/>
      <c r="GN44" s="2927"/>
      <c r="GO44" s="2927"/>
      <c r="GP44" s="2927"/>
      <c r="GQ44" s="2927"/>
      <c r="GR44" s="2927"/>
      <c r="GS44" s="2927"/>
      <c r="GT44" s="2927"/>
      <c r="GU44" s="2927"/>
      <c r="GV44" s="2927"/>
      <c r="GW44" s="2927"/>
      <c r="GX44" s="2927"/>
      <c r="GY44" s="2927"/>
      <c r="GZ44" s="2927"/>
      <c r="HA44" s="2927"/>
      <c r="HB44" s="2927"/>
      <c r="HC44" s="2927"/>
      <c r="HD44" s="2927"/>
      <c r="HE44" s="2927"/>
      <c r="HF44" s="2927"/>
      <c r="HG44" s="2927"/>
      <c r="HH44" s="2927"/>
      <c r="HI44" s="2927"/>
      <c r="HJ44" s="2927"/>
      <c r="HK44" s="2927"/>
      <c r="HL44" s="2927"/>
      <c r="HM44" s="2927"/>
      <c r="HN44" s="2927"/>
      <c r="HO44" s="2927"/>
      <c r="HP44" s="2927"/>
      <c r="HQ44" s="2927"/>
      <c r="HR44" s="2927"/>
      <c r="HS44" s="2927"/>
      <c r="HT44" s="2927"/>
      <c r="HU44" s="2927"/>
      <c r="HV44" s="2927"/>
      <c r="HW44" s="2927"/>
      <c r="HX44" s="2927"/>
      <c r="HY44" s="2927"/>
      <c r="HZ44" s="2927"/>
      <c r="IA44" s="2927"/>
      <c r="IB44" s="2927"/>
      <c r="IC44" s="2927"/>
      <c r="ID44" s="2927"/>
      <c r="IE44" s="2927"/>
    </row>
    <row r="45" s="2838" customFormat="1" ht="32" customHeight="1" spans="1:239">
      <c r="A45" s="2905">
        <v>45737</v>
      </c>
      <c r="B45" s="2906" t="s">
        <v>7632</v>
      </c>
      <c r="C45" s="2907" t="s">
        <v>1385</v>
      </c>
      <c r="D45" s="2908">
        <v>4500161136</v>
      </c>
      <c r="E45" s="2909"/>
      <c r="F45" s="2908" t="s">
        <v>10331</v>
      </c>
      <c r="G45" s="2930" t="s">
        <v>10199</v>
      </c>
      <c r="H45" s="2911" t="s">
        <v>9155</v>
      </c>
      <c r="I45" s="2912">
        <v>240</v>
      </c>
      <c r="J45" s="2912">
        <v>0</v>
      </c>
      <c r="K45" s="2912">
        <v>4</v>
      </c>
      <c r="L45" s="2912">
        <f t="shared" si="0"/>
        <v>60</v>
      </c>
      <c r="M45" s="2913">
        <v>45770</v>
      </c>
      <c r="N45" s="2913">
        <v>45766</v>
      </c>
      <c r="O45" s="2914"/>
      <c r="P45" s="2914" t="s">
        <v>10206</v>
      </c>
      <c r="Q45" s="2914" t="s">
        <v>6646</v>
      </c>
      <c r="R45" s="2915" t="s">
        <v>3840</v>
      </c>
      <c r="S45" s="2915"/>
      <c r="T45" s="2915" t="s">
        <v>98</v>
      </c>
      <c r="U45" s="2915"/>
      <c r="V45" s="2915"/>
      <c r="W45" s="2929" t="s">
        <v>10332</v>
      </c>
      <c r="X45" s="2912" t="s">
        <v>448</v>
      </c>
      <c r="Y45" s="2917">
        <v>6.8843</v>
      </c>
      <c r="Z45" s="2918">
        <f t="shared" si="95"/>
        <v>1652.232</v>
      </c>
      <c r="AA45" s="2912" t="s">
        <v>10333</v>
      </c>
      <c r="AB45" s="2906" t="s">
        <v>10312</v>
      </c>
      <c r="AC45" s="2912" t="s">
        <v>416</v>
      </c>
      <c r="AD45" s="2919">
        <f>I45</f>
        <v>240</v>
      </c>
      <c r="AE45" s="2919"/>
      <c r="AF45" s="2920"/>
      <c r="AG45" s="2919"/>
      <c r="AH45" s="2919"/>
      <c r="AI45" s="2919"/>
      <c r="AJ45" s="2921">
        <f t="shared" si="75"/>
        <v>240</v>
      </c>
      <c r="AK45" s="2921"/>
      <c r="AL45" s="2921"/>
      <c r="AM45" s="2921"/>
      <c r="AN45" s="2922"/>
      <c r="AO45" s="2923"/>
      <c r="AP45" s="2921"/>
      <c r="AQ45" s="2921">
        <f t="shared" si="83"/>
        <v>60</v>
      </c>
      <c r="AR45" s="2924"/>
      <c r="AS45" s="2923">
        <f t="shared" si="84"/>
        <v>60</v>
      </c>
      <c r="AT45" s="2921">
        <f t="shared" si="85"/>
        <v>60</v>
      </c>
      <c r="AU45" s="2921"/>
      <c r="AV45" s="2924">
        <f t="shared" si="90"/>
        <v>60</v>
      </c>
      <c r="AW45" s="2923"/>
      <c r="AX45" s="2921"/>
      <c r="AY45" s="2921"/>
      <c r="AZ45" s="2924"/>
      <c r="BA45" s="2923"/>
      <c r="BB45" s="2924"/>
      <c r="BC45" s="2925"/>
      <c r="BD45" s="2921">
        <f t="shared" ref="BD45:BD55" si="113">I45</f>
        <v>240</v>
      </c>
      <c r="BE45" s="2921"/>
      <c r="BF45" s="2921">
        <f t="shared" si="4"/>
        <v>240</v>
      </c>
      <c r="BG45" s="2921" t="s">
        <v>9164</v>
      </c>
      <c r="BH45" s="2921"/>
      <c r="BI45" s="2921">
        <f t="shared" si="86"/>
        <v>60</v>
      </c>
      <c r="BJ45" s="2921">
        <f t="shared" ref="BJ45:BP45" si="114">BI45</f>
        <v>60</v>
      </c>
      <c r="BK45" s="2921">
        <f t="shared" si="114"/>
        <v>60</v>
      </c>
      <c r="BL45" s="2921">
        <f t="shared" si="114"/>
        <v>60</v>
      </c>
      <c r="BM45" s="2926">
        <f t="shared" si="114"/>
        <v>60</v>
      </c>
      <c r="BN45" s="2921">
        <f t="shared" si="114"/>
        <v>60</v>
      </c>
      <c r="BO45" s="2926">
        <f t="shared" si="114"/>
        <v>60</v>
      </c>
      <c r="BP45" s="2921">
        <f t="shared" si="114"/>
        <v>60</v>
      </c>
      <c r="BQ45" s="2926">
        <f t="shared" si="1"/>
        <v>238265</v>
      </c>
      <c r="BR45" s="2926">
        <f t="shared" ref="BR45:BY45" si="115">BR44-BI45</f>
        <v>21374.5</v>
      </c>
      <c r="BS45" s="2926">
        <f t="shared" si="115"/>
        <v>21374.5</v>
      </c>
      <c r="BT45" s="2926">
        <f t="shared" si="115"/>
        <v>20786.5</v>
      </c>
      <c r="BU45" s="2926">
        <f t="shared" si="115"/>
        <v>20786.5</v>
      </c>
      <c r="BV45" s="2926">
        <f t="shared" si="115"/>
        <v>35992.5</v>
      </c>
      <c r="BW45" s="2926">
        <f t="shared" si="115"/>
        <v>35992.5</v>
      </c>
      <c r="BX45" s="2926">
        <f t="shared" si="115"/>
        <v>21866.5</v>
      </c>
      <c r="BY45" s="2926">
        <f t="shared" si="115"/>
        <v>21866.5</v>
      </c>
      <c r="BZ45" s="2912"/>
      <c r="CA45" s="2927"/>
      <c r="CB45" s="2927"/>
      <c r="CC45" s="2927"/>
      <c r="CD45" s="2927"/>
      <c r="CE45" s="2927"/>
      <c r="CF45" s="2927"/>
      <c r="CG45" s="2927"/>
      <c r="CH45" s="2927"/>
      <c r="CI45" s="2927"/>
      <c r="CJ45" s="2927"/>
      <c r="CK45" s="2927"/>
      <c r="CL45" s="2927"/>
      <c r="CM45" s="2927"/>
      <c r="CN45" s="2927"/>
      <c r="CO45" s="2927"/>
      <c r="CP45" s="2927"/>
      <c r="CQ45" s="2927"/>
      <c r="CR45" s="2927"/>
      <c r="CS45" s="2927"/>
      <c r="CT45" s="2927"/>
      <c r="CU45" s="2927"/>
      <c r="CV45" s="2927"/>
      <c r="CW45" s="2927"/>
      <c r="CX45" s="2927"/>
      <c r="CY45" s="2927"/>
      <c r="CZ45" s="2927"/>
      <c r="DA45" s="2927"/>
      <c r="DB45" s="2927"/>
      <c r="DC45" s="2927"/>
      <c r="DD45" s="2927"/>
      <c r="DE45" s="2927"/>
      <c r="DF45" s="2927"/>
      <c r="DG45" s="2927"/>
      <c r="DH45" s="2927"/>
      <c r="DI45" s="2927"/>
      <c r="DJ45" s="2927"/>
      <c r="DK45" s="2927"/>
      <c r="DL45" s="2927"/>
      <c r="DM45" s="2927"/>
      <c r="DN45" s="2927"/>
      <c r="DO45" s="2927"/>
      <c r="DP45" s="2927"/>
      <c r="DQ45" s="2927"/>
      <c r="DR45" s="2927"/>
      <c r="DS45" s="2927"/>
      <c r="DT45" s="2927"/>
      <c r="DU45" s="2927"/>
      <c r="DV45" s="2927"/>
      <c r="DW45" s="2927"/>
      <c r="DX45" s="2927"/>
      <c r="DY45" s="2927"/>
      <c r="DZ45" s="2927"/>
      <c r="EA45" s="2927"/>
      <c r="EB45" s="2927"/>
      <c r="EC45" s="2927"/>
      <c r="ED45" s="2927"/>
      <c r="EE45" s="2927"/>
      <c r="EF45" s="2927"/>
      <c r="EG45" s="2927"/>
      <c r="EH45" s="2927"/>
      <c r="EI45" s="2927"/>
      <c r="EJ45" s="2927"/>
      <c r="EK45" s="2927"/>
      <c r="EL45" s="2927"/>
      <c r="EM45" s="2927"/>
      <c r="EN45" s="2927"/>
      <c r="EO45" s="2927"/>
      <c r="EP45" s="2927"/>
      <c r="EQ45" s="2927"/>
      <c r="ER45" s="2927"/>
      <c r="ES45" s="2927"/>
      <c r="ET45" s="2927"/>
      <c r="EU45" s="2927"/>
      <c r="EV45" s="2927"/>
      <c r="EW45" s="2927"/>
      <c r="EX45" s="2927"/>
      <c r="EY45" s="2927"/>
      <c r="EZ45" s="2927"/>
      <c r="FA45" s="2927"/>
      <c r="FB45" s="2927"/>
      <c r="FC45" s="2927"/>
      <c r="FD45" s="2927"/>
      <c r="FE45" s="2927"/>
      <c r="FF45" s="2927"/>
      <c r="FG45" s="2927"/>
      <c r="FH45" s="2927"/>
      <c r="FI45" s="2927"/>
      <c r="FJ45" s="2927"/>
      <c r="FK45" s="2927"/>
      <c r="FL45" s="2927"/>
      <c r="FM45" s="2927"/>
      <c r="FN45" s="2927"/>
      <c r="FO45" s="2927"/>
      <c r="FP45" s="2927"/>
      <c r="FQ45" s="2927"/>
      <c r="FR45" s="2927"/>
      <c r="FS45" s="2927"/>
      <c r="FT45" s="2927"/>
      <c r="FU45" s="2927"/>
      <c r="FV45" s="2927"/>
      <c r="FW45" s="2927"/>
      <c r="FX45" s="2927"/>
      <c r="FY45" s="2927"/>
      <c r="FZ45" s="2927"/>
      <c r="GA45" s="2927"/>
      <c r="GB45" s="2927"/>
      <c r="GC45" s="2927"/>
      <c r="GD45" s="2927"/>
      <c r="GE45" s="2927"/>
      <c r="GF45" s="2927"/>
      <c r="GG45" s="2927"/>
      <c r="GH45" s="2927"/>
      <c r="GI45" s="2927"/>
      <c r="GJ45" s="2927"/>
      <c r="GK45" s="2927"/>
      <c r="GL45" s="2927"/>
      <c r="GM45" s="2927"/>
      <c r="GN45" s="2927"/>
      <c r="GO45" s="2927"/>
      <c r="GP45" s="2927"/>
      <c r="GQ45" s="2927"/>
      <c r="GR45" s="2927"/>
      <c r="GS45" s="2927"/>
      <c r="GT45" s="2927"/>
      <c r="GU45" s="2927"/>
      <c r="GV45" s="2927"/>
      <c r="GW45" s="2927"/>
      <c r="GX45" s="2927"/>
      <c r="GY45" s="2927"/>
      <c r="GZ45" s="2927"/>
      <c r="HA45" s="2927"/>
      <c r="HB45" s="2927"/>
      <c r="HC45" s="2927"/>
      <c r="HD45" s="2927"/>
      <c r="HE45" s="2927"/>
      <c r="HF45" s="2927"/>
      <c r="HG45" s="2927"/>
      <c r="HH45" s="2927"/>
      <c r="HI45" s="2927"/>
      <c r="HJ45" s="2927"/>
      <c r="HK45" s="2927"/>
      <c r="HL45" s="2927"/>
      <c r="HM45" s="2927"/>
      <c r="HN45" s="2927"/>
      <c r="HO45" s="2927"/>
      <c r="HP45" s="2927"/>
      <c r="HQ45" s="2927"/>
      <c r="HR45" s="2927"/>
      <c r="HS45" s="2927"/>
      <c r="HT45" s="2927"/>
      <c r="HU45" s="2927"/>
      <c r="HV45" s="2927"/>
      <c r="HW45" s="2927"/>
      <c r="HX45" s="2927"/>
      <c r="HY45" s="2927"/>
      <c r="HZ45" s="2927"/>
      <c r="IA45" s="2927"/>
      <c r="IB45" s="2927"/>
      <c r="IC45" s="2927"/>
      <c r="ID45" s="2927"/>
      <c r="IE45" s="2927"/>
    </row>
    <row r="46" s="2838" customFormat="1" ht="32" customHeight="1" spans="1:239">
      <c r="A46" s="2905">
        <v>45722</v>
      </c>
      <c r="B46" s="2906" t="s">
        <v>5013</v>
      </c>
      <c r="C46" s="2907" t="s">
        <v>738</v>
      </c>
      <c r="D46" s="2908">
        <v>4500159263</v>
      </c>
      <c r="E46" s="2909" t="s">
        <v>8423</v>
      </c>
      <c r="F46" s="2908" t="s">
        <v>10334</v>
      </c>
      <c r="G46" s="2930" t="s">
        <v>10199</v>
      </c>
      <c r="H46" s="2911" t="s">
        <v>9155</v>
      </c>
      <c r="I46" s="2912">
        <v>256</v>
      </c>
      <c r="J46" s="2912">
        <v>0</v>
      </c>
      <c r="K46" s="2912">
        <v>4</v>
      </c>
      <c r="L46" s="2912">
        <f t="shared" si="0"/>
        <v>64</v>
      </c>
      <c r="M46" s="2913">
        <v>45771</v>
      </c>
      <c r="N46" s="2913">
        <v>45768</v>
      </c>
      <c r="O46" s="2914"/>
      <c r="P46" s="2914" t="s">
        <v>10206</v>
      </c>
      <c r="Q46" s="2914" t="s">
        <v>5721</v>
      </c>
      <c r="R46" s="2915" t="s">
        <v>3558</v>
      </c>
      <c r="S46" s="2915"/>
      <c r="T46" s="2915" t="s">
        <v>10335</v>
      </c>
      <c r="U46" s="2915"/>
      <c r="V46" s="2915"/>
      <c r="W46" s="2929" t="s">
        <v>10336</v>
      </c>
      <c r="X46" s="2912" t="s">
        <v>1257</v>
      </c>
      <c r="Y46" s="2917">
        <v>7.0298</v>
      </c>
      <c r="Z46" s="2918">
        <f t="shared" si="95"/>
        <v>1799.6288</v>
      </c>
      <c r="AA46" s="2912" t="s">
        <v>8425</v>
      </c>
      <c r="AB46" s="2906" t="s">
        <v>10337</v>
      </c>
      <c r="AC46" s="2912" t="s">
        <v>416</v>
      </c>
      <c r="AD46" s="2919"/>
      <c r="AE46" s="2919"/>
      <c r="AF46" s="2920"/>
      <c r="AG46" s="2919">
        <f t="shared" si="110"/>
        <v>256</v>
      </c>
      <c r="AH46" s="2919"/>
      <c r="AI46" s="2919"/>
      <c r="AJ46" s="2921">
        <f t="shared" si="75"/>
        <v>256</v>
      </c>
      <c r="AK46" s="2921"/>
      <c r="AL46" s="2921"/>
      <c r="AM46" s="2921"/>
      <c r="AN46" s="2922"/>
      <c r="AO46" s="2923"/>
      <c r="AP46" s="2921"/>
      <c r="AQ46" s="2921">
        <f t="shared" si="83"/>
        <v>64</v>
      </c>
      <c r="AR46" s="2924"/>
      <c r="AS46" s="2923">
        <f t="shared" si="84"/>
        <v>64</v>
      </c>
      <c r="AT46" s="2921">
        <f t="shared" si="85"/>
        <v>64</v>
      </c>
      <c r="AU46" s="2921"/>
      <c r="AV46" s="2924">
        <f t="shared" si="90"/>
        <v>64</v>
      </c>
      <c r="AW46" s="2923"/>
      <c r="AX46" s="2921"/>
      <c r="AY46" s="2921"/>
      <c r="AZ46" s="2924"/>
      <c r="BA46" s="2923"/>
      <c r="BB46" s="2924"/>
      <c r="BC46" s="2925"/>
      <c r="BD46" s="2921">
        <f t="shared" si="113"/>
        <v>256</v>
      </c>
      <c r="BE46" s="2921"/>
      <c r="BF46" s="2921">
        <f t="shared" si="4"/>
        <v>256</v>
      </c>
      <c r="BG46" s="2921" t="s">
        <v>9164</v>
      </c>
      <c r="BH46" s="2921"/>
      <c r="BI46" s="2921">
        <f t="shared" si="86"/>
        <v>64</v>
      </c>
      <c r="BJ46" s="2921">
        <f t="shared" ref="BJ46:BP46" si="116">BI46</f>
        <v>64</v>
      </c>
      <c r="BK46" s="2921">
        <f t="shared" si="116"/>
        <v>64</v>
      </c>
      <c r="BL46" s="2921">
        <f t="shared" si="116"/>
        <v>64</v>
      </c>
      <c r="BM46" s="2926">
        <f t="shared" si="116"/>
        <v>64</v>
      </c>
      <c r="BN46" s="2921">
        <f t="shared" si="116"/>
        <v>64</v>
      </c>
      <c r="BO46" s="2926">
        <f t="shared" si="116"/>
        <v>64</v>
      </c>
      <c r="BP46" s="2921">
        <f t="shared" si="116"/>
        <v>64</v>
      </c>
      <c r="BQ46" s="2926">
        <f t="shared" si="1"/>
        <v>238281</v>
      </c>
      <c r="BR46" s="2926">
        <f t="shared" ref="BR46:BY46" si="117">BR45-BI46</f>
        <v>21310.5</v>
      </c>
      <c r="BS46" s="2926">
        <f t="shared" si="117"/>
        <v>21310.5</v>
      </c>
      <c r="BT46" s="2926">
        <f t="shared" si="117"/>
        <v>20722.5</v>
      </c>
      <c r="BU46" s="2926">
        <f t="shared" si="117"/>
        <v>20722.5</v>
      </c>
      <c r="BV46" s="2926">
        <f t="shared" si="117"/>
        <v>35928.5</v>
      </c>
      <c r="BW46" s="2926">
        <f t="shared" si="117"/>
        <v>35928.5</v>
      </c>
      <c r="BX46" s="2926">
        <f t="shared" si="117"/>
        <v>21802.5</v>
      </c>
      <c r="BY46" s="2926">
        <f t="shared" si="117"/>
        <v>21802.5</v>
      </c>
      <c r="BZ46" s="2912"/>
      <c r="CA46" s="2927"/>
      <c r="CB46" s="2927"/>
      <c r="CC46" s="2927"/>
      <c r="CD46" s="2927"/>
      <c r="CE46" s="2927"/>
      <c r="CF46" s="2927"/>
      <c r="CG46" s="2927"/>
      <c r="CH46" s="2927"/>
      <c r="CI46" s="2927"/>
      <c r="CJ46" s="2927"/>
      <c r="CK46" s="2927"/>
      <c r="CL46" s="2927"/>
      <c r="CM46" s="2927"/>
      <c r="CN46" s="2927"/>
      <c r="CO46" s="2927"/>
      <c r="CP46" s="2927"/>
      <c r="CQ46" s="2927"/>
      <c r="CR46" s="2927"/>
      <c r="CS46" s="2927"/>
      <c r="CT46" s="2927"/>
      <c r="CU46" s="2927"/>
      <c r="CV46" s="2927"/>
      <c r="CW46" s="2927"/>
      <c r="CX46" s="2927"/>
      <c r="CY46" s="2927"/>
      <c r="CZ46" s="2927"/>
      <c r="DA46" s="2927"/>
      <c r="DB46" s="2927"/>
      <c r="DC46" s="2927"/>
      <c r="DD46" s="2927"/>
      <c r="DE46" s="2927"/>
      <c r="DF46" s="2927"/>
      <c r="DG46" s="2927"/>
      <c r="DH46" s="2927"/>
      <c r="DI46" s="2927"/>
      <c r="DJ46" s="2927"/>
      <c r="DK46" s="2927"/>
      <c r="DL46" s="2927"/>
      <c r="DM46" s="2927"/>
      <c r="DN46" s="2927"/>
      <c r="DO46" s="2927"/>
      <c r="DP46" s="2927"/>
      <c r="DQ46" s="2927"/>
      <c r="DR46" s="2927"/>
      <c r="DS46" s="2927"/>
      <c r="DT46" s="2927"/>
      <c r="DU46" s="2927"/>
      <c r="DV46" s="2927"/>
      <c r="DW46" s="2927"/>
      <c r="DX46" s="2927"/>
      <c r="DY46" s="2927"/>
      <c r="DZ46" s="2927"/>
      <c r="EA46" s="2927"/>
      <c r="EB46" s="2927"/>
      <c r="EC46" s="2927"/>
      <c r="ED46" s="2927"/>
      <c r="EE46" s="2927"/>
      <c r="EF46" s="2927"/>
      <c r="EG46" s="2927"/>
      <c r="EH46" s="2927"/>
      <c r="EI46" s="2927"/>
      <c r="EJ46" s="2927"/>
      <c r="EK46" s="2927"/>
      <c r="EL46" s="2927"/>
      <c r="EM46" s="2927"/>
      <c r="EN46" s="2927"/>
      <c r="EO46" s="2927"/>
      <c r="EP46" s="2927"/>
      <c r="EQ46" s="2927"/>
      <c r="ER46" s="2927"/>
      <c r="ES46" s="2927"/>
      <c r="ET46" s="2927"/>
      <c r="EU46" s="2927"/>
      <c r="EV46" s="2927"/>
      <c r="EW46" s="2927"/>
      <c r="EX46" s="2927"/>
      <c r="EY46" s="2927"/>
      <c r="EZ46" s="2927"/>
      <c r="FA46" s="2927"/>
      <c r="FB46" s="2927"/>
      <c r="FC46" s="2927"/>
      <c r="FD46" s="2927"/>
      <c r="FE46" s="2927"/>
      <c r="FF46" s="2927"/>
      <c r="FG46" s="2927"/>
      <c r="FH46" s="2927"/>
      <c r="FI46" s="2927"/>
      <c r="FJ46" s="2927"/>
      <c r="FK46" s="2927"/>
      <c r="FL46" s="2927"/>
      <c r="FM46" s="2927"/>
      <c r="FN46" s="2927"/>
      <c r="FO46" s="2927"/>
      <c r="FP46" s="2927"/>
      <c r="FQ46" s="2927"/>
      <c r="FR46" s="2927"/>
      <c r="FS46" s="2927"/>
      <c r="FT46" s="2927"/>
      <c r="FU46" s="2927"/>
      <c r="FV46" s="2927"/>
      <c r="FW46" s="2927"/>
      <c r="FX46" s="2927"/>
      <c r="FY46" s="2927"/>
      <c r="FZ46" s="2927"/>
      <c r="GA46" s="2927"/>
      <c r="GB46" s="2927"/>
      <c r="GC46" s="2927"/>
      <c r="GD46" s="2927"/>
      <c r="GE46" s="2927"/>
      <c r="GF46" s="2927"/>
      <c r="GG46" s="2927"/>
      <c r="GH46" s="2927"/>
      <c r="GI46" s="2927"/>
      <c r="GJ46" s="2927"/>
      <c r="GK46" s="2927"/>
      <c r="GL46" s="2927"/>
      <c r="GM46" s="2927"/>
      <c r="GN46" s="2927"/>
      <c r="GO46" s="2927"/>
      <c r="GP46" s="2927"/>
      <c r="GQ46" s="2927"/>
      <c r="GR46" s="2927"/>
      <c r="GS46" s="2927"/>
      <c r="GT46" s="2927"/>
      <c r="GU46" s="2927"/>
      <c r="GV46" s="2927"/>
      <c r="GW46" s="2927"/>
      <c r="GX46" s="2927"/>
      <c r="GY46" s="2927"/>
      <c r="GZ46" s="2927"/>
      <c r="HA46" s="2927"/>
      <c r="HB46" s="2927"/>
      <c r="HC46" s="2927"/>
      <c r="HD46" s="2927"/>
      <c r="HE46" s="2927"/>
      <c r="HF46" s="2927"/>
      <c r="HG46" s="2927"/>
      <c r="HH46" s="2927"/>
      <c r="HI46" s="2927"/>
      <c r="HJ46" s="2927"/>
      <c r="HK46" s="2927"/>
      <c r="HL46" s="2927"/>
      <c r="HM46" s="2927"/>
      <c r="HN46" s="2927"/>
      <c r="HO46" s="2927"/>
      <c r="HP46" s="2927"/>
      <c r="HQ46" s="2927"/>
      <c r="HR46" s="2927"/>
      <c r="HS46" s="2927"/>
      <c r="HT46" s="2927"/>
      <c r="HU46" s="2927"/>
      <c r="HV46" s="2927"/>
      <c r="HW46" s="2927"/>
      <c r="HX46" s="2927"/>
      <c r="HY46" s="2927"/>
      <c r="HZ46" s="2927"/>
      <c r="IA46" s="2927"/>
      <c r="IB46" s="2927"/>
      <c r="IC46" s="2927"/>
      <c r="ID46" s="2927"/>
      <c r="IE46" s="2927"/>
    </row>
    <row r="47" s="2838" customFormat="1" ht="32" customHeight="1" spans="1:239">
      <c r="A47" s="2905">
        <v>45722</v>
      </c>
      <c r="B47" s="2906" t="s">
        <v>5013</v>
      </c>
      <c r="C47" s="2907" t="s">
        <v>738</v>
      </c>
      <c r="D47" s="2908">
        <v>4500159262</v>
      </c>
      <c r="E47" s="2909" t="s">
        <v>8419</v>
      </c>
      <c r="F47" s="2908" t="s">
        <v>10338</v>
      </c>
      <c r="G47" s="2930" t="s">
        <v>10199</v>
      </c>
      <c r="H47" s="2911" t="s">
        <v>9155</v>
      </c>
      <c r="I47" s="2912">
        <v>428</v>
      </c>
      <c r="J47" s="2912">
        <v>0</v>
      </c>
      <c r="K47" s="2912">
        <v>4</v>
      </c>
      <c r="L47" s="2912">
        <f t="shared" si="0"/>
        <v>107</v>
      </c>
      <c r="M47" s="2913">
        <v>45771</v>
      </c>
      <c r="N47" s="2913">
        <v>45768</v>
      </c>
      <c r="O47" s="2914"/>
      <c r="P47" s="2914" t="s">
        <v>10206</v>
      </c>
      <c r="Q47" s="2934" t="s">
        <v>1123</v>
      </c>
      <c r="R47" s="2915" t="s">
        <v>3558</v>
      </c>
      <c r="S47" s="2915"/>
      <c r="T47" s="2915" t="s">
        <v>10335</v>
      </c>
      <c r="U47" s="2915"/>
      <c r="V47" s="2915"/>
      <c r="W47" s="2929" t="s">
        <v>10336</v>
      </c>
      <c r="X47" s="2912" t="s">
        <v>1257</v>
      </c>
      <c r="Y47" s="2917">
        <v>7.3277</v>
      </c>
      <c r="Z47" s="2918">
        <f t="shared" si="95"/>
        <v>3136.2556</v>
      </c>
      <c r="AA47" s="2912" t="s">
        <v>8422</v>
      </c>
      <c r="AB47" s="2906" t="s">
        <v>10337</v>
      </c>
      <c r="AC47" s="2912" t="s">
        <v>416</v>
      </c>
      <c r="AD47" s="2919"/>
      <c r="AE47" s="2919"/>
      <c r="AF47" s="2920"/>
      <c r="AG47" s="2919">
        <f t="shared" si="110"/>
        <v>428</v>
      </c>
      <c r="AH47" s="2919"/>
      <c r="AI47" s="2919"/>
      <c r="AJ47" s="2921">
        <f t="shared" si="75"/>
        <v>428</v>
      </c>
      <c r="AK47" s="2921"/>
      <c r="AL47" s="2921"/>
      <c r="AM47" s="2921"/>
      <c r="AN47" s="2922"/>
      <c r="AO47" s="2923"/>
      <c r="AP47" s="2921"/>
      <c r="AQ47" s="2921">
        <f t="shared" si="83"/>
        <v>107</v>
      </c>
      <c r="AR47" s="2924"/>
      <c r="AS47" s="2923">
        <f t="shared" si="84"/>
        <v>107</v>
      </c>
      <c r="AT47" s="2921">
        <f t="shared" si="85"/>
        <v>107</v>
      </c>
      <c r="AU47" s="2921"/>
      <c r="AV47" s="2924">
        <f t="shared" si="90"/>
        <v>107</v>
      </c>
      <c r="AW47" s="2923"/>
      <c r="AX47" s="2921"/>
      <c r="AY47" s="2921"/>
      <c r="AZ47" s="2924"/>
      <c r="BA47" s="2923"/>
      <c r="BB47" s="2924"/>
      <c r="BC47" s="2925"/>
      <c r="BD47" s="2921">
        <f t="shared" si="113"/>
        <v>428</v>
      </c>
      <c r="BE47" s="2921"/>
      <c r="BF47" s="2921">
        <f t="shared" si="4"/>
        <v>428</v>
      </c>
      <c r="BG47" s="2921" t="s">
        <v>9164</v>
      </c>
      <c r="BH47" s="2921"/>
      <c r="BI47" s="2921">
        <f t="shared" si="86"/>
        <v>107</v>
      </c>
      <c r="BJ47" s="2921">
        <f t="shared" ref="BJ47:BP47" si="118">BI47</f>
        <v>107</v>
      </c>
      <c r="BK47" s="2921">
        <f t="shared" si="118"/>
        <v>107</v>
      </c>
      <c r="BL47" s="2921">
        <f t="shared" si="118"/>
        <v>107</v>
      </c>
      <c r="BM47" s="2926">
        <f t="shared" si="118"/>
        <v>107</v>
      </c>
      <c r="BN47" s="2921">
        <f t="shared" si="118"/>
        <v>107</v>
      </c>
      <c r="BO47" s="2926">
        <f t="shared" si="118"/>
        <v>107</v>
      </c>
      <c r="BP47" s="2921">
        <f t="shared" si="118"/>
        <v>107</v>
      </c>
      <c r="BQ47" s="2926">
        <f t="shared" si="1"/>
        <v>238453</v>
      </c>
      <c r="BR47" s="2926">
        <f t="shared" ref="BR47:BY47" si="119">BR46-BI47</f>
        <v>21203.5</v>
      </c>
      <c r="BS47" s="2926">
        <f t="shared" si="119"/>
        <v>21203.5</v>
      </c>
      <c r="BT47" s="2926">
        <f t="shared" si="119"/>
        <v>20615.5</v>
      </c>
      <c r="BU47" s="2926">
        <f t="shared" si="119"/>
        <v>20615.5</v>
      </c>
      <c r="BV47" s="2926">
        <f t="shared" si="119"/>
        <v>35821.5</v>
      </c>
      <c r="BW47" s="2926">
        <f t="shared" si="119"/>
        <v>35821.5</v>
      </c>
      <c r="BX47" s="2926">
        <f t="shared" si="119"/>
        <v>21695.5</v>
      </c>
      <c r="BY47" s="2926">
        <f t="shared" si="119"/>
        <v>21695.5</v>
      </c>
      <c r="BZ47" s="2912"/>
      <c r="CA47" s="2927"/>
      <c r="CB47" s="2927"/>
      <c r="CC47" s="2927"/>
      <c r="CD47" s="2927"/>
      <c r="CE47" s="2927"/>
      <c r="CF47" s="2927"/>
      <c r="CG47" s="2927"/>
      <c r="CH47" s="2927"/>
      <c r="CI47" s="2927"/>
      <c r="CJ47" s="2927"/>
      <c r="CK47" s="2927"/>
      <c r="CL47" s="2927"/>
      <c r="CM47" s="2927"/>
      <c r="CN47" s="2927"/>
      <c r="CO47" s="2927"/>
      <c r="CP47" s="2927"/>
      <c r="CQ47" s="2927"/>
      <c r="CR47" s="2927"/>
      <c r="CS47" s="2927"/>
      <c r="CT47" s="2927"/>
      <c r="CU47" s="2927"/>
      <c r="CV47" s="2927"/>
      <c r="CW47" s="2927"/>
      <c r="CX47" s="2927"/>
      <c r="CY47" s="2927"/>
      <c r="CZ47" s="2927"/>
      <c r="DA47" s="2927"/>
      <c r="DB47" s="2927"/>
      <c r="DC47" s="2927"/>
      <c r="DD47" s="2927"/>
      <c r="DE47" s="2927"/>
      <c r="DF47" s="2927"/>
      <c r="DG47" s="2927"/>
      <c r="DH47" s="2927"/>
      <c r="DI47" s="2927"/>
      <c r="DJ47" s="2927"/>
      <c r="DK47" s="2927"/>
      <c r="DL47" s="2927"/>
      <c r="DM47" s="2927"/>
      <c r="DN47" s="2927"/>
      <c r="DO47" s="2927"/>
      <c r="DP47" s="2927"/>
      <c r="DQ47" s="2927"/>
      <c r="DR47" s="2927"/>
      <c r="DS47" s="2927"/>
      <c r="DT47" s="2927"/>
      <c r="DU47" s="2927"/>
      <c r="DV47" s="2927"/>
      <c r="DW47" s="2927"/>
      <c r="DX47" s="2927"/>
      <c r="DY47" s="2927"/>
      <c r="DZ47" s="2927"/>
      <c r="EA47" s="2927"/>
      <c r="EB47" s="2927"/>
      <c r="EC47" s="2927"/>
      <c r="ED47" s="2927"/>
      <c r="EE47" s="2927"/>
      <c r="EF47" s="2927"/>
      <c r="EG47" s="2927"/>
      <c r="EH47" s="2927"/>
      <c r="EI47" s="2927"/>
      <c r="EJ47" s="2927"/>
      <c r="EK47" s="2927"/>
      <c r="EL47" s="2927"/>
      <c r="EM47" s="2927"/>
      <c r="EN47" s="2927"/>
      <c r="EO47" s="2927"/>
      <c r="EP47" s="2927"/>
      <c r="EQ47" s="2927"/>
      <c r="ER47" s="2927"/>
      <c r="ES47" s="2927"/>
      <c r="ET47" s="2927"/>
      <c r="EU47" s="2927"/>
      <c r="EV47" s="2927"/>
      <c r="EW47" s="2927"/>
      <c r="EX47" s="2927"/>
      <c r="EY47" s="2927"/>
      <c r="EZ47" s="2927"/>
      <c r="FA47" s="2927"/>
      <c r="FB47" s="2927"/>
      <c r="FC47" s="2927"/>
      <c r="FD47" s="2927"/>
      <c r="FE47" s="2927"/>
      <c r="FF47" s="2927"/>
      <c r="FG47" s="2927"/>
      <c r="FH47" s="2927"/>
      <c r="FI47" s="2927"/>
      <c r="FJ47" s="2927"/>
      <c r="FK47" s="2927"/>
      <c r="FL47" s="2927"/>
      <c r="FM47" s="2927"/>
      <c r="FN47" s="2927"/>
      <c r="FO47" s="2927"/>
      <c r="FP47" s="2927"/>
      <c r="FQ47" s="2927"/>
      <c r="FR47" s="2927"/>
      <c r="FS47" s="2927"/>
      <c r="FT47" s="2927"/>
      <c r="FU47" s="2927"/>
      <c r="FV47" s="2927"/>
      <c r="FW47" s="2927"/>
      <c r="FX47" s="2927"/>
      <c r="FY47" s="2927"/>
      <c r="FZ47" s="2927"/>
      <c r="GA47" s="2927"/>
      <c r="GB47" s="2927"/>
      <c r="GC47" s="2927"/>
      <c r="GD47" s="2927"/>
      <c r="GE47" s="2927"/>
      <c r="GF47" s="2927"/>
      <c r="GG47" s="2927"/>
      <c r="GH47" s="2927"/>
      <c r="GI47" s="2927"/>
      <c r="GJ47" s="2927"/>
      <c r="GK47" s="2927"/>
      <c r="GL47" s="2927"/>
      <c r="GM47" s="2927"/>
      <c r="GN47" s="2927"/>
      <c r="GO47" s="2927"/>
      <c r="GP47" s="2927"/>
      <c r="GQ47" s="2927"/>
      <c r="GR47" s="2927"/>
      <c r="GS47" s="2927"/>
      <c r="GT47" s="2927"/>
      <c r="GU47" s="2927"/>
      <c r="GV47" s="2927"/>
      <c r="GW47" s="2927"/>
      <c r="GX47" s="2927"/>
      <c r="GY47" s="2927"/>
      <c r="GZ47" s="2927"/>
      <c r="HA47" s="2927"/>
      <c r="HB47" s="2927"/>
      <c r="HC47" s="2927"/>
      <c r="HD47" s="2927"/>
      <c r="HE47" s="2927"/>
      <c r="HF47" s="2927"/>
      <c r="HG47" s="2927"/>
      <c r="HH47" s="2927"/>
      <c r="HI47" s="2927"/>
      <c r="HJ47" s="2927"/>
      <c r="HK47" s="2927"/>
      <c r="HL47" s="2927"/>
      <c r="HM47" s="2927"/>
      <c r="HN47" s="2927"/>
      <c r="HO47" s="2927"/>
      <c r="HP47" s="2927"/>
      <c r="HQ47" s="2927"/>
      <c r="HR47" s="2927"/>
      <c r="HS47" s="2927"/>
      <c r="HT47" s="2927"/>
      <c r="HU47" s="2927"/>
      <c r="HV47" s="2927"/>
      <c r="HW47" s="2927"/>
      <c r="HX47" s="2927"/>
      <c r="HY47" s="2927"/>
      <c r="HZ47" s="2927"/>
      <c r="IA47" s="2927"/>
      <c r="IB47" s="2927"/>
      <c r="IC47" s="2927"/>
      <c r="ID47" s="2927"/>
      <c r="IE47" s="2927"/>
    </row>
    <row r="48" s="2838" customFormat="1" ht="32" customHeight="1" spans="1:239">
      <c r="A48" s="2905">
        <v>45722</v>
      </c>
      <c r="B48" s="2906" t="s">
        <v>5013</v>
      </c>
      <c r="C48" s="2907" t="s">
        <v>738</v>
      </c>
      <c r="D48" s="2908">
        <v>4500159256</v>
      </c>
      <c r="E48" s="2909" t="s">
        <v>8416</v>
      </c>
      <c r="F48" s="2908" t="s">
        <v>10339</v>
      </c>
      <c r="G48" s="2930" t="s">
        <v>10199</v>
      </c>
      <c r="H48" s="2911" t="s">
        <v>9155</v>
      </c>
      <c r="I48" s="2912">
        <v>616</v>
      </c>
      <c r="J48" s="2912">
        <v>0</v>
      </c>
      <c r="K48" s="2912">
        <v>4</v>
      </c>
      <c r="L48" s="2912">
        <f t="shared" si="0"/>
        <v>154</v>
      </c>
      <c r="M48" s="2913">
        <v>45771</v>
      </c>
      <c r="N48" s="2913">
        <v>45768</v>
      </c>
      <c r="O48" s="2914"/>
      <c r="P48" s="2914" t="s">
        <v>10206</v>
      </c>
      <c r="Q48" s="2914" t="s">
        <v>1054</v>
      </c>
      <c r="R48" s="2915" t="s">
        <v>3558</v>
      </c>
      <c r="S48" s="2915"/>
      <c r="T48" s="2915" t="s">
        <v>10335</v>
      </c>
      <c r="U48" s="2915"/>
      <c r="V48" s="2915"/>
      <c r="W48" s="2929" t="s">
        <v>10340</v>
      </c>
      <c r="X48" s="2912" t="s">
        <v>1257</v>
      </c>
      <c r="Y48" s="2917">
        <v>7.3108</v>
      </c>
      <c r="Z48" s="2918">
        <f t="shared" si="95"/>
        <v>4503.4528</v>
      </c>
      <c r="AA48" s="2912" t="s">
        <v>8418</v>
      </c>
      <c r="AB48" s="2906" t="s">
        <v>10337</v>
      </c>
      <c r="AC48" s="2912" t="s">
        <v>416</v>
      </c>
      <c r="AD48" s="2919"/>
      <c r="AE48" s="2919"/>
      <c r="AF48" s="2920"/>
      <c r="AG48" s="2919">
        <f t="shared" si="110"/>
        <v>616</v>
      </c>
      <c r="AH48" s="2919"/>
      <c r="AI48" s="2919"/>
      <c r="AJ48" s="2921">
        <f t="shared" si="75"/>
        <v>616</v>
      </c>
      <c r="AK48" s="2921"/>
      <c r="AL48" s="2921"/>
      <c r="AM48" s="2921"/>
      <c r="AN48" s="2922"/>
      <c r="AO48" s="2923"/>
      <c r="AP48" s="2921"/>
      <c r="AQ48" s="2921">
        <f t="shared" si="83"/>
        <v>154</v>
      </c>
      <c r="AR48" s="2924"/>
      <c r="AS48" s="2923">
        <f t="shared" si="84"/>
        <v>154</v>
      </c>
      <c r="AT48" s="2921">
        <f t="shared" si="85"/>
        <v>154</v>
      </c>
      <c r="AU48" s="2921"/>
      <c r="AV48" s="2924">
        <f t="shared" si="90"/>
        <v>154</v>
      </c>
      <c r="AW48" s="2923"/>
      <c r="AX48" s="2921"/>
      <c r="AY48" s="2921"/>
      <c r="AZ48" s="2924"/>
      <c r="BA48" s="2923"/>
      <c r="BB48" s="2924"/>
      <c r="BC48" s="2925"/>
      <c r="BD48" s="2921">
        <f t="shared" si="113"/>
        <v>616</v>
      </c>
      <c r="BE48" s="2921"/>
      <c r="BF48" s="2921">
        <f t="shared" si="4"/>
        <v>616</v>
      </c>
      <c r="BG48" s="2921" t="s">
        <v>9164</v>
      </c>
      <c r="BH48" s="2921"/>
      <c r="BI48" s="2921">
        <f t="shared" si="86"/>
        <v>154</v>
      </c>
      <c r="BJ48" s="2921">
        <f t="shared" ref="BJ48:BP48" si="120">BI48</f>
        <v>154</v>
      </c>
      <c r="BK48" s="2921">
        <f t="shared" si="120"/>
        <v>154</v>
      </c>
      <c r="BL48" s="2921">
        <f t="shared" si="120"/>
        <v>154</v>
      </c>
      <c r="BM48" s="2926">
        <f t="shared" si="120"/>
        <v>154</v>
      </c>
      <c r="BN48" s="2921">
        <f t="shared" si="120"/>
        <v>154</v>
      </c>
      <c r="BO48" s="2926">
        <f t="shared" si="120"/>
        <v>154</v>
      </c>
      <c r="BP48" s="2921">
        <f t="shared" si="120"/>
        <v>154</v>
      </c>
      <c r="BQ48" s="2926">
        <f t="shared" si="1"/>
        <v>238641</v>
      </c>
      <c r="BR48" s="2926">
        <f t="shared" ref="BR48:BY48" si="121">BR47-BI48</f>
        <v>21049.5</v>
      </c>
      <c r="BS48" s="2926">
        <f t="shared" si="121"/>
        <v>21049.5</v>
      </c>
      <c r="BT48" s="2926">
        <f t="shared" si="121"/>
        <v>20461.5</v>
      </c>
      <c r="BU48" s="2926">
        <f t="shared" si="121"/>
        <v>20461.5</v>
      </c>
      <c r="BV48" s="2926">
        <f t="shared" si="121"/>
        <v>35667.5</v>
      </c>
      <c r="BW48" s="2926">
        <f t="shared" si="121"/>
        <v>35667.5</v>
      </c>
      <c r="BX48" s="2926">
        <f t="shared" si="121"/>
        <v>21541.5</v>
      </c>
      <c r="BY48" s="2926">
        <f t="shared" si="121"/>
        <v>21541.5</v>
      </c>
      <c r="BZ48" s="2912"/>
      <c r="CA48" s="2927"/>
      <c r="CB48" s="2927"/>
      <c r="CC48" s="2927"/>
      <c r="CD48" s="2927"/>
      <c r="CE48" s="2927"/>
      <c r="CF48" s="2927"/>
      <c r="CG48" s="2927"/>
      <c r="CH48" s="2927"/>
      <c r="CI48" s="2927"/>
      <c r="CJ48" s="2927"/>
      <c r="CK48" s="2927"/>
      <c r="CL48" s="2927"/>
      <c r="CM48" s="2927"/>
      <c r="CN48" s="2927"/>
      <c r="CO48" s="2927"/>
      <c r="CP48" s="2927"/>
      <c r="CQ48" s="2927"/>
      <c r="CR48" s="2927"/>
      <c r="CS48" s="2927"/>
      <c r="CT48" s="2927"/>
      <c r="CU48" s="2927"/>
      <c r="CV48" s="2927"/>
      <c r="CW48" s="2927"/>
      <c r="CX48" s="2927"/>
      <c r="CY48" s="2927"/>
      <c r="CZ48" s="2927"/>
      <c r="DA48" s="2927"/>
      <c r="DB48" s="2927"/>
      <c r="DC48" s="2927"/>
      <c r="DD48" s="2927"/>
      <c r="DE48" s="2927"/>
      <c r="DF48" s="2927"/>
      <c r="DG48" s="2927"/>
      <c r="DH48" s="2927"/>
      <c r="DI48" s="2927"/>
      <c r="DJ48" s="2927"/>
      <c r="DK48" s="2927"/>
      <c r="DL48" s="2927"/>
      <c r="DM48" s="2927"/>
      <c r="DN48" s="2927"/>
      <c r="DO48" s="2927"/>
      <c r="DP48" s="2927"/>
      <c r="DQ48" s="2927"/>
      <c r="DR48" s="2927"/>
      <c r="DS48" s="2927"/>
      <c r="DT48" s="2927"/>
      <c r="DU48" s="2927"/>
      <c r="DV48" s="2927"/>
      <c r="DW48" s="2927"/>
      <c r="DX48" s="2927"/>
      <c r="DY48" s="2927"/>
      <c r="DZ48" s="2927"/>
      <c r="EA48" s="2927"/>
      <c r="EB48" s="2927"/>
      <c r="EC48" s="2927"/>
      <c r="ED48" s="2927"/>
      <c r="EE48" s="2927"/>
      <c r="EF48" s="2927"/>
      <c r="EG48" s="2927"/>
      <c r="EH48" s="2927"/>
      <c r="EI48" s="2927"/>
      <c r="EJ48" s="2927"/>
      <c r="EK48" s="2927"/>
      <c r="EL48" s="2927"/>
      <c r="EM48" s="2927"/>
      <c r="EN48" s="2927"/>
      <c r="EO48" s="2927"/>
      <c r="EP48" s="2927"/>
      <c r="EQ48" s="2927"/>
      <c r="ER48" s="2927"/>
      <c r="ES48" s="2927"/>
      <c r="ET48" s="2927"/>
      <c r="EU48" s="2927"/>
      <c r="EV48" s="2927"/>
      <c r="EW48" s="2927"/>
      <c r="EX48" s="2927"/>
      <c r="EY48" s="2927"/>
      <c r="EZ48" s="2927"/>
      <c r="FA48" s="2927"/>
      <c r="FB48" s="2927"/>
      <c r="FC48" s="2927"/>
      <c r="FD48" s="2927"/>
      <c r="FE48" s="2927"/>
      <c r="FF48" s="2927"/>
      <c r="FG48" s="2927"/>
      <c r="FH48" s="2927"/>
      <c r="FI48" s="2927"/>
      <c r="FJ48" s="2927"/>
      <c r="FK48" s="2927"/>
      <c r="FL48" s="2927"/>
      <c r="FM48" s="2927"/>
      <c r="FN48" s="2927"/>
      <c r="FO48" s="2927"/>
      <c r="FP48" s="2927"/>
      <c r="FQ48" s="2927"/>
      <c r="FR48" s="2927"/>
      <c r="FS48" s="2927"/>
      <c r="FT48" s="2927"/>
      <c r="FU48" s="2927"/>
      <c r="FV48" s="2927"/>
      <c r="FW48" s="2927"/>
      <c r="FX48" s="2927"/>
      <c r="FY48" s="2927"/>
      <c r="FZ48" s="2927"/>
      <c r="GA48" s="2927"/>
      <c r="GB48" s="2927"/>
      <c r="GC48" s="2927"/>
      <c r="GD48" s="2927"/>
      <c r="GE48" s="2927"/>
      <c r="GF48" s="2927"/>
      <c r="GG48" s="2927"/>
      <c r="GH48" s="2927"/>
      <c r="GI48" s="2927"/>
      <c r="GJ48" s="2927"/>
      <c r="GK48" s="2927"/>
      <c r="GL48" s="2927"/>
      <c r="GM48" s="2927"/>
      <c r="GN48" s="2927"/>
      <c r="GO48" s="2927"/>
      <c r="GP48" s="2927"/>
      <c r="GQ48" s="2927"/>
      <c r="GR48" s="2927"/>
      <c r="GS48" s="2927"/>
      <c r="GT48" s="2927"/>
      <c r="GU48" s="2927"/>
      <c r="GV48" s="2927"/>
      <c r="GW48" s="2927"/>
      <c r="GX48" s="2927"/>
      <c r="GY48" s="2927"/>
      <c r="GZ48" s="2927"/>
      <c r="HA48" s="2927"/>
      <c r="HB48" s="2927"/>
      <c r="HC48" s="2927"/>
      <c r="HD48" s="2927"/>
      <c r="HE48" s="2927"/>
      <c r="HF48" s="2927"/>
      <c r="HG48" s="2927"/>
      <c r="HH48" s="2927"/>
      <c r="HI48" s="2927"/>
      <c r="HJ48" s="2927"/>
      <c r="HK48" s="2927"/>
      <c r="HL48" s="2927"/>
      <c r="HM48" s="2927"/>
      <c r="HN48" s="2927"/>
      <c r="HO48" s="2927"/>
      <c r="HP48" s="2927"/>
      <c r="HQ48" s="2927"/>
      <c r="HR48" s="2927"/>
      <c r="HS48" s="2927"/>
      <c r="HT48" s="2927"/>
      <c r="HU48" s="2927"/>
      <c r="HV48" s="2927"/>
      <c r="HW48" s="2927"/>
      <c r="HX48" s="2927"/>
      <c r="HY48" s="2927"/>
      <c r="HZ48" s="2927"/>
      <c r="IA48" s="2927"/>
      <c r="IB48" s="2927"/>
      <c r="IC48" s="2927"/>
      <c r="ID48" s="2927"/>
      <c r="IE48" s="2927"/>
    </row>
    <row r="49" s="2838" customFormat="1" ht="32" customHeight="1" spans="1:239 16379:16379">
      <c r="A49" s="2905">
        <v>45722</v>
      </c>
      <c r="B49" s="2906" t="s">
        <v>5013</v>
      </c>
      <c r="C49" s="2907" t="s">
        <v>738</v>
      </c>
      <c r="D49" s="2908">
        <v>4500159248</v>
      </c>
      <c r="E49" s="2909" t="s">
        <v>8413</v>
      </c>
      <c r="F49" s="2908" t="s">
        <v>10341</v>
      </c>
      <c r="G49" s="2930" t="s">
        <v>10199</v>
      </c>
      <c r="H49" s="2911" t="s">
        <v>9155</v>
      </c>
      <c r="I49" s="2912">
        <v>396</v>
      </c>
      <c r="J49" s="2912">
        <v>0</v>
      </c>
      <c r="K49" s="2912">
        <v>4</v>
      </c>
      <c r="L49" s="2912">
        <f t="shared" si="0"/>
        <v>99</v>
      </c>
      <c r="M49" s="2913">
        <v>45771</v>
      </c>
      <c r="N49" s="2913">
        <v>45768</v>
      </c>
      <c r="O49" s="2914"/>
      <c r="P49" s="2914" t="s">
        <v>10206</v>
      </c>
      <c r="Q49" s="2914"/>
      <c r="R49" s="2915" t="s">
        <v>3558</v>
      </c>
      <c r="S49" s="2915"/>
      <c r="T49" s="2915" t="s">
        <v>10335</v>
      </c>
      <c r="U49" s="2915"/>
      <c r="V49" s="2915"/>
      <c r="W49" s="2929" t="s">
        <v>10340</v>
      </c>
      <c r="X49" s="2912" t="s">
        <v>1257</v>
      </c>
      <c r="Y49" s="2917">
        <v>7.3277</v>
      </c>
      <c r="Z49" s="2918">
        <f t="shared" si="95"/>
        <v>2901.7692</v>
      </c>
      <c r="AA49" s="2912" t="s">
        <v>8415</v>
      </c>
      <c r="AB49" s="2906" t="s">
        <v>10337</v>
      </c>
      <c r="AC49" s="2912" t="s">
        <v>416</v>
      </c>
      <c r="AD49" s="2919"/>
      <c r="AE49" s="2919"/>
      <c r="AF49" s="2920"/>
      <c r="AG49" s="2919">
        <f t="shared" si="110"/>
        <v>396</v>
      </c>
      <c r="AH49" s="2919"/>
      <c r="AI49" s="2919"/>
      <c r="AJ49" s="2921">
        <f t="shared" si="75"/>
        <v>396</v>
      </c>
      <c r="AK49" s="2921"/>
      <c r="AL49" s="2921"/>
      <c r="AM49" s="2921"/>
      <c r="AN49" s="2922"/>
      <c r="AO49" s="2923"/>
      <c r="AP49" s="2921"/>
      <c r="AQ49" s="2921">
        <f t="shared" si="83"/>
        <v>99</v>
      </c>
      <c r="AR49" s="2924"/>
      <c r="AS49" s="2923">
        <f t="shared" si="84"/>
        <v>99</v>
      </c>
      <c r="AT49" s="2921">
        <f t="shared" si="85"/>
        <v>99</v>
      </c>
      <c r="AU49" s="2921"/>
      <c r="AV49" s="2924">
        <f t="shared" si="90"/>
        <v>99</v>
      </c>
      <c r="AW49" s="2923"/>
      <c r="AX49" s="2921"/>
      <c r="AY49" s="2921"/>
      <c r="AZ49" s="2924"/>
      <c r="BA49" s="2923"/>
      <c r="BB49" s="2924"/>
      <c r="BC49" s="2925"/>
      <c r="BD49" s="2921">
        <f t="shared" si="113"/>
        <v>396</v>
      </c>
      <c r="BE49" s="2921"/>
      <c r="BF49" s="2921">
        <f t="shared" si="4"/>
        <v>396</v>
      </c>
      <c r="BG49" s="2921" t="s">
        <v>9164</v>
      </c>
      <c r="BH49" s="2921"/>
      <c r="BI49" s="2921">
        <f t="shared" si="86"/>
        <v>99</v>
      </c>
      <c r="BJ49" s="2921">
        <f t="shared" ref="BJ49:BP49" si="122">BI49</f>
        <v>99</v>
      </c>
      <c r="BK49" s="2921">
        <f t="shared" si="122"/>
        <v>99</v>
      </c>
      <c r="BL49" s="2921">
        <f t="shared" si="122"/>
        <v>99</v>
      </c>
      <c r="BM49" s="2926">
        <f t="shared" si="122"/>
        <v>99</v>
      </c>
      <c r="BN49" s="2921">
        <f t="shared" si="122"/>
        <v>99</v>
      </c>
      <c r="BO49" s="2926">
        <f t="shared" si="122"/>
        <v>99</v>
      </c>
      <c r="BP49" s="2921">
        <f t="shared" si="122"/>
        <v>99</v>
      </c>
      <c r="BQ49" s="2926">
        <f t="shared" si="1"/>
        <v>238421</v>
      </c>
      <c r="BR49" s="2926">
        <f t="shared" ref="BR49:BY49" si="123">BR48-BI49</f>
        <v>20950.5</v>
      </c>
      <c r="BS49" s="2926">
        <f t="shared" si="123"/>
        <v>20950.5</v>
      </c>
      <c r="BT49" s="2926">
        <f t="shared" si="123"/>
        <v>20362.5</v>
      </c>
      <c r="BU49" s="2926">
        <f t="shared" si="123"/>
        <v>20362.5</v>
      </c>
      <c r="BV49" s="2926">
        <f t="shared" si="123"/>
        <v>35568.5</v>
      </c>
      <c r="BW49" s="2926">
        <f t="shared" si="123"/>
        <v>35568.5</v>
      </c>
      <c r="BX49" s="2926">
        <f t="shared" si="123"/>
        <v>21442.5</v>
      </c>
      <c r="BY49" s="2926">
        <f t="shared" si="123"/>
        <v>21442.5</v>
      </c>
      <c r="BZ49" s="2912"/>
      <c r="CA49" s="2927"/>
      <c r="CB49" s="2927"/>
      <c r="CC49" s="2927"/>
      <c r="CD49" s="2927"/>
      <c r="CE49" s="2927"/>
      <c r="CF49" s="2927"/>
      <c r="CG49" s="2927"/>
      <c r="CH49" s="2927"/>
      <c r="CI49" s="2927"/>
      <c r="CJ49" s="2927"/>
      <c r="CK49" s="2927"/>
      <c r="CL49" s="2927"/>
      <c r="CM49" s="2927"/>
      <c r="CN49" s="2927"/>
      <c r="CO49" s="2927"/>
      <c r="CP49" s="2927"/>
      <c r="CQ49" s="2927"/>
      <c r="CR49" s="2927"/>
      <c r="CS49" s="2927"/>
      <c r="CT49" s="2927"/>
      <c r="CU49" s="2927"/>
      <c r="CV49" s="2927"/>
      <c r="CW49" s="2927"/>
      <c r="CX49" s="2927"/>
      <c r="CY49" s="2927"/>
      <c r="CZ49" s="2927"/>
      <c r="DA49" s="2927"/>
      <c r="DB49" s="2927"/>
      <c r="DC49" s="2927"/>
      <c r="DD49" s="2927"/>
      <c r="DE49" s="2927"/>
      <c r="DF49" s="2927"/>
      <c r="DG49" s="2927"/>
      <c r="DH49" s="2927"/>
      <c r="DI49" s="2927"/>
      <c r="DJ49" s="2927"/>
      <c r="DK49" s="2927"/>
      <c r="DL49" s="2927"/>
      <c r="DM49" s="2927"/>
      <c r="DN49" s="2927"/>
      <c r="DO49" s="2927"/>
      <c r="DP49" s="2927"/>
      <c r="DQ49" s="2927"/>
      <c r="DR49" s="2927"/>
      <c r="DS49" s="2927"/>
      <c r="DT49" s="2927"/>
      <c r="DU49" s="2927"/>
      <c r="DV49" s="2927"/>
      <c r="DW49" s="2927"/>
      <c r="DX49" s="2927"/>
      <c r="DY49" s="2927"/>
      <c r="DZ49" s="2927"/>
      <c r="EA49" s="2927"/>
      <c r="EB49" s="2927"/>
      <c r="EC49" s="2927"/>
      <c r="ED49" s="2927"/>
      <c r="EE49" s="2927"/>
      <c r="EF49" s="2927"/>
      <c r="EG49" s="2927"/>
      <c r="EH49" s="2927"/>
      <c r="EI49" s="2927"/>
      <c r="EJ49" s="2927"/>
      <c r="EK49" s="2927"/>
      <c r="EL49" s="2927"/>
      <c r="EM49" s="2927"/>
      <c r="EN49" s="2927"/>
      <c r="EO49" s="2927"/>
      <c r="EP49" s="2927"/>
      <c r="EQ49" s="2927"/>
      <c r="ER49" s="2927"/>
      <c r="ES49" s="2927"/>
      <c r="ET49" s="2927"/>
      <c r="EU49" s="2927"/>
      <c r="EV49" s="2927"/>
      <c r="EW49" s="2927"/>
      <c r="EX49" s="2927"/>
      <c r="EY49" s="2927"/>
      <c r="EZ49" s="2927"/>
      <c r="FA49" s="2927"/>
      <c r="FB49" s="2927"/>
      <c r="FC49" s="2927"/>
      <c r="FD49" s="2927"/>
      <c r="FE49" s="2927"/>
      <c r="FF49" s="2927"/>
      <c r="FG49" s="2927"/>
      <c r="FH49" s="2927"/>
      <c r="FI49" s="2927"/>
      <c r="FJ49" s="2927"/>
      <c r="FK49" s="2927"/>
      <c r="FL49" s="2927"/>
      <c r="FM49" s="2927"/>
      <c r="FN49" s="2927"/>
      <c r="FO49" s="2927"/>
      <c r="FP49" s="2927"/>
      <c r="FQ49" s="2927"/>
      <c r="FR49" s="2927"/>
      <c r="FS49" s="2927"/>
      <c r="FT49" s="2927"/>
      <c r="FU49" s="2927"/>
      <c r="FV49" s="2927"/>
      <c r="FW49" s="2927"/>
      <c r="FX49" s="2927"/>
      <c r="FY49" s="2927"/>
      <c r="FZ49" s="2927"/>
      <c r="GA49" s="2927"/>
      <c r="GB49" s="2927"/>
      <c r="GC49" s="2927"/>
      <c r="GD49" s="2927"/>
      <c r="GE49" s="2927"/>
      <c r="GF49" s="2927"/>
      <c r="GG49" s="2927"/>
      <c r="GH49" s="2927"/>
      <c r="GI49" s="2927"/>
      <c r="GJ49" s="2927"/>
      <c r="GK49" s="2927"/>
      <c r="GL49" s="2927"/>
      <c r="GM49" s="2927"/>
      <c r="GN49" s="2927"/>
      <c r="GO49" s="2927"/>
      <c r="GP49" s="2927"/>
      <c r="GQ49" s="2927"/>
      <c r="GR49" s="2927"/>
      <c r="GS49" s="2927"/>
      <c r="GT49" s="2927"/>
      <c r="GU49" s="2927"/>
      <c r="GV49" s="2927"/>
      <c r="GW49" s="2927"/>
      <c r="GX49" s="2927"/>
      <c r="GY49" s="2927"/>
      <c r="GZ49" s="2927"/>
      <c r="HA49" s="2927"/>
      <c r="HB49" s="2927"/>
      <c r="HC49" s="2927"/>
      <c r="HD49" s="2927"/>
      <c r="HE49" s="2927"/>
      <c r="HF49" s="2927"/>
      <c r="HG49" s="2927"/>
      <c r="HH49" s="2927"/>
      <c r="HI49" s="2927"/>
      <c r="HJ49" s="2927"/>
      <c r="HK49" s="2927"/>
      <c r="HL49" s="2927"/>
      <c r="HM49" s="2927"/>
      <c r="HN49" s="2927"/>
      <c r="HO49" s="2927"/>
      <c r="HP49" s="2927"/>
      <c r="HQ49" s="2927"/>
      <c r="HR49" s="2927"/>
      <c r="HS49" s="2927"/>
      <c r="HT49" s="2927"/>
      <c r="HU49" s="2927"/>
      <c r="HV49" s="2927"/>
      <c r="HW49" s="2927"/>
      <c r="HX49" s="2927"/>
      <c r="HY49" s="2927"/>
      <c r="HZ49" s="2927"/>
      <c r="IA49" s="2927"/>
      <c r="IB49" s="2927"/>
      <c r="IC49" s="2927"/>
      <c r="ID49" s="2927"/>
      <c r="IE49" s="2927"/>
    </row>
    <row r="50" s="2838" customFormat="1" ht="32" customHeight="1" spans="1:239 16379:16379">
      <c r="A50" s="2905">
        <v>45722</v>
      </c>
      <c r="B50" s="2906" t="s">
        <v>5013</v>
      </c>
      <c r="C50" s="2907" t="s">
        <v>738</v>
      </c>
      <c r="D50" s="2908">
        <v>4500159234</v>
      </c>
      <c r="E50" s="2909" t="s">
        <v>8408</v>
      </c>
      <c r="F50" s="2908" t="s">
        <v>10342</v>
      </c>
      <c r="G50" s="2930" t="s">
        <v>10199</v>
      </c>
      <c r="H50" s="2911" t="s">
        <v>9155</v>
      </c>
      <c r="I50" s="2912">
        <v>244</v>
      </c>
      <c r="J50" s="2912">
        <v>0</v>
      </c>
      <c r="K50" s="2912">
        <v>4</v>
      </c>
      <c r="L50" s="2912">
        <f t="shared" si="0"/>
        <v>61</v>
      </c>
      <c r="M50" s="2913">
        <v>45771</v>
      </c>
      <c r="N50" s="2913">
        <v>45768</v>
      </c>
      <c r="O50" s="2914"/>
      <c r="P50" s="2914" t="s">
        <v>10206</v>
      </c>
      <c r="Q50" s="2934" t="s">
        <v>1123</v>
      </c>
      <c r="R50" s="2915" t="s">
        <v>3558</v>
      </c>
      <c r="S50" s="2915"/>
      <c r="T50" s="2915" t="s">
        <v>10335</v>
      </c>
      <c r="U50" s="2915"/>
      <c r="V50" s="2915"/>
      <c r="W50" s="2929" t="s">
        <v>10343</v>
      </c>
      <c r="X50" s="2912" t="s">
        <v>1257</v>
      </c>
      <c r="Y50" s="2917">
        <v>7.3277</v>
      </c>
      <c r="Z50" s="2918">
        <f t="shared" si="95"/>
        <v>1787.9588</v>
      </c>
      <c r="AA50" s="2912" t="s">
        <v>8412</v>
      </c>
      <c r="AB50" s="2906" t="s">
        <v>10337</v>
      </c>
      <c r="AC50" s="2912" t="s">
        <v>416</v>
      </c>
      <c r="AD50" s="2919"/>
      <c r="AE50" s="2919"/>
      <c r="AF50" s="2920"/>
      <c r="AG50" s="2919">
        <f t="shared" si="110"/>
        <v>244</v>
      </c>
      <c r="AH50" s="2919"/>
      <c r="AI50" s="2919"/>
      <c r="AJ50" s="2921">
        <f t="shared" si="75"/>
        <v>244</v>
      </c>
      <c r="AK50" s="2921"/>
      <c r="AL50" s="2921"/>
      <c r="AM50" s="2921"/>
      <c r="AN50" s="2922"/>
      <c r="AO50" s="2923"/>
      <c r="AP50" s="2921"/>
      <c r="AQ50" s="2921">
        <f t="shared" si="83"/>
        <v>61</v>
      </c>
      <c r="AR50" s="2924"/>
      <c r="AS50" s="2923">
        <f t="shared" si="84"/>
        <v>61</v>
      </c>
      <c r="AT50" s="2921">
        <f t="shared" si="85"/>
        <v>61</v>
      </c>
      <c r="AU50" s="2921"/>
      <c r="AV50" s="2924">
        <f t="shared" si="90"/>
        <v>61</v>
      </c>
      <c r="AW50" s="2923"/>
      <c r="AX50" s="2921"/>
      <c r="AY50" s="2921"/>
      <c r="AZ50" s="2924"/>
      <c r="BA50" s="2923"/>
      <c r="BB50" s="2924"/>
      <c r="BC50" s="2925"/>
      <c r="BD50" s="2921">
        <f t="shared" si="113"/>
        <v>244</v>
      </c>
      <c r="BE50" s="2921"/>
      <c r="BF50" s="2921">
        <f t="shared" si="4"/>
        <v>244</v>
      </c>
      <c r="BG50" s="2921" t="s">
        <v>9164</v>
      </c>
      <c r="BH50" s="2921"/>
      <c r="BI50" s="2921">
        <f t="shared" si="86"/>
        <v>61</v>
      </c>
      <c r="BJ50" s="2921">
        <f t="shared" ref="BJ50:BP50" si="124">BI50</f>
        <v>61</v>
      </c>
      <c r="BK50" s="2921">
        <f t="shared" si="124"/>
        <v>61</v>
      </c>
      <c r="BL50" s="2921">
        <f t="shared" si="124"/>
        <v>61</v>
      </c>
      <c r="BM50" s="2926">
        <f t="shared" si="124"/>
        <v>61</v>
      </c>
      <c r="BN50" s="2921">
        <f t="shared" si="124"/>
        <v>61</v>
      </c>
      <c r="BO50" s="2926">
        <f t="shared" si="124"/>
        <v>61</v>
      </c>
      <c r="BP50" s="2921">
        <f t="shared" si="124"/>
        <v>61</v>
      </c>
      <c r="BQ50" s="2926">
        <f t="shared" si="1"/>
        <v>238269</v>
      </c>
      <c r="BR50" s="2926">
        <f t="shared" ref="BR50:BY50" si="125">BR49-BI50</f>
        <v>20889.5</v>
      </c>
      <c r="BS50" s="2926">
        <f t="shared" si="125"/>
        <v>20889.5</v>
      </c>
      <c r="BT50" s="2926">
        <f t="shared" si="125"/>
        <v>20301.5</v>
      </c>
      <c r="BU50" s="2926">
        <f t="shared" si="125"/>
        <v>20301.5</v>
      </c>
      <c r="BV50" s="2926">
        <f t="shared" si="125"/>
        <v>35507.5</v>
      </c>
      <c r="BW50" s="2926">
        <f t="shared" si="125"/>
        <v>35507.5</v>
      </c>
      <c r="BX50" s="2926">
        <f t="shared" si="125"/>
        <v>21381.5</v>
      </c>
      <c r="BY50" s="2926">
        <f t="shared" si="125"/>
        <v>21381.5</v>
      </c>
      <c r="BZ50" s="2912"/>
      <c r="CA50" s="2927"/>
      <c r="CB50" s="2927"/>
      <c r="CC50" s="2927"/>
      <c r="CD50" s="2927"/>
      <c r="CE50" s="2927"/>
      <c r="CF50" s="2927"/>
      <c r="CG50" s="2927"/>
      <c r="CH50" s="2927"/>
      <c r="CI50" s="2927"/>
      <c r="CJ50" s="2927"/>
      <c r="CK50" s="2927"/>
      <c r="CL50" s="2927"/>
      <c r="CM50" s="2927"/>
      <c r="CN50" s="2927"/>
      <c r="CO50" s="2927"/>
      <c r="CP50" s="2927"/>
      <c r="CQ50" s="2927"/>
      <c r="CR50" s="2927"/>
      <c r="CS50" s="2927"/>
      <c r="CT50" s="2927"/>
      <c r="CU50" s="2927"/>
      <c r="CV50" s="2927"/>
      <c r="CW50" s="2927"/>
      <c r="CX50" s="2927"/>
      <c r="CY50" s="2927"/>
      <c r="CZ50" s="2927"/>
      <c r="DA50" s="2927"/>
      <c r="DB50" s="2927"/>
      <c r="DC50" s="2927"/>
      <c r="DD50" s="2927"/>
      <c r="DE50" s="2927"/>
      <c r="DF50" s="2927"/>
      <c r="DG50" s="2927"/>
      <c r="DH50" s="2927"/>
      <c r="DI50" s="2927"/>
      <c r="DJ50" s="2927"/>
      <c r="DK50" s="2927"/>
      <c r="DL50" s="2927"/>
      <c r="DM50" s="2927"/>
      <c r="DN50" s="2927"/>
      <c r="DO50" s="2927"/>
      <c r="DP50" s="2927"/>
      <c r="DQ50" s="2927"/>
      <c r="DR50" s="2927"/>
      <c r="DS50" s="2927"/>
      <c r="DT50" s="2927"/>
      <c r="DU50" s="2927"/>
      <c r="DV50" s="2927"/>
      <c r="DW50" s="2927"/>
      <c r="DX50" s="2927"/>
      <c r="DY50" s="2927"/>
      <c r="DZ50" s="2927"/>
      <c r="EA50" s="2927"/>
      <c r="EB50" s="2927"/>
      <c r="EC50" s="2927"/>
      <c r="ED50" s="2927"/>
      <c r="EE50" s="2927"/>
      <c r="EF50" s="2927"/>
      <c r="EG50" s="2927"/>
      <c r="EH50" s="2927"/>
      <c r="EI50" s="2927"/>
      <c r="EJ50" s="2927"/>
      <c r="EK50" s="2927"/>
      <c r="EL50" s="2927"/>
      <c r="EM50" s="2927"/>
      <c r="EN50" s="2927"/>
      <c r="EO50" s="2927"/>
      <c r="EP50" s="2927"/>
      <c r="EQ50" s="2927"/>
      <c r="ER50" s="2927"/>
      <c r="ES50" s="2927"/>
      <c r="ET50" s="2927"/>
      <c r="EU50" s="2927"/>
      <c r="EV50" s="2927"/>
      <c r="EW50" s="2927"/>
      <c r="EX50" s="2927"/>
      <c r="EY50" s="2927"/>
      <c r="EZ50" s="2927"/>
      <c r="FA50" s="2927"/>
      <c r="FB50" s="2927"/>
      <c r="FC50" s="2927"/>
      <c r="FD50" s="2927"/>
      <c r="FE50" s="2927"/>
      <c r="FF50" s="2927"/>
      <c r="FG50" s="2927"/>
      <c r="FH50" s="2927"/>
      <c r="FI50" s="2927"/>
      <c r="FJ50" s="2927"/>
      <c r="FK50" s="2927"/>
      <c r="FL50" s="2927"/>
      <c r="FM50" s="2927"/>
      <c r="FN50" s="2927"/>
      <c r="FO50" s="2927"/>
      <c r="FP50" s="2927"/>
      <c r="FQ50" s="2927"/>
      <c r="FR50" s="2927"/>
      <c r="FS50" s="2927"/>
      <c r="FT50" s="2927"/>
      <c r="FU50" s="2927"/>
      <c r="FV50" s="2927"/>
      <c r="FW50" s="2927"/>
      <c r="FX50" s="2927"/>
      <c r="FY50" s="2927"/>
      <c r="FZ50" s="2927"/>
      <c r="GA50" s="2927"/>
      <c r="GB50" s="2927"/>
      <c r="GC50" s="2927"/>
      <c r="GD50" s="2927"/>
      <c r="GE50" s="2927"/>
      <c r="GF50" s="2927"/>
      <c r="GG50" s="2927"/>
      <c r="GH50" s="2927"/>
      <c r="GI50" s="2927"/>
      <c r="GJ50" s="2927"/>
      <c r="GK50" s="2927"/>
      <c r="GL50" s="2927"/>
      <c r="GM50" s="2927"/>
      <c r="GN50" s="2927"/>
      <c r="GO50" s="2927"/>
      <c r="GP50" s="2927"/>
      <c r="GQ50" s="2927"/>
      <c r="GR50" s="2927"/>
      <c r="GS50" s="2927"/>
      <c r="GT50" s="2927"/>
      <c r="GU50" s="2927"/>
      <c r="GV50" s="2927"/>
      <c r="GW50" s="2927"/>
      <c r="GX50" s="2927"/>
      <c r="GY50" s="2927"/>
      <c r="GZ50" s="2927"/>
      <c r="HA50" s="2927"/>
      <c r="HB50" s="2927"/>
      <c r="HC50" s="2927"/>
      <c r="HD50" s="2927"/>
      <c r="HE50" s="2927"/>
      <c r="HF50" s="2927"/>
      <c r="HG50" s="2927"/>
      <c r="HH50" s="2927"/>
      <c r="HI50" s="2927"/>
      <c r="HJ50" s="2927"/>
      <c r="HK50" s="2927"/>
      <c r="HL50" s="2927"/>
      <c r="HM50" s="2927"/>
      <c r="HN50" s="2927"/>
      <c r="HO50" s="2927"/>
      <c r="HP50" s="2927"/>
      <c r="HQ50" s="2927"/>
      <c r="HR50" s="2927"/>
      <c r="HS50" s="2927"/>
      <c r="HT50" s="2927"/>
      <c r="HU50" s="2927"/>
      <c r="HV50" s="2927"/>
      <c r="HW50" s="2927"/>
      <c r="HX50" s="2927"/>
      <c r="HY50" s="2927"/>
      <c r="HZ50" s="2927"/>
      <c r="IA50" s="2927"/>
      <c r="IB50" s="2927"/>
      <c r="IC50" s="2927"/>
      <c r="ID50" s="2927"/>
      <c r="IE50" s="2927"/>
    </row>
    <row r="51" s="2838" customFormat="1" ht="32" customHeight="1" spans="1:239 16379:16379">
      <c r="A51" s="2905">
        <v>45735</v>
      </c>
      <c r="B51" s="2906" t="s">
        <v>872</v>
      </c>
      <c r="C51" s="2907" t="s">
        <v>873</v>
      </c>
      <c r="D51" s="2908">
        <v>4500160671</v>
      </c>
      <c r="E51" s="2909"/>
      <c r="F51" s="2908" t="s">
        <v>10344</v>
      </c>
      <c r="G51" s="2930" t="s">
        <v>10345</v>
      </c>
      <c r="H51" s="2911" t="s">
        <v>10346</v>
      </c>
      <c r="I51" s="2912">
        <v>200</v>
      </c>
      <c r="J51" s="2912">
        <v>0</v>
      </c>
      <c r="K51" s="2912">
        <v>4</v>
      </c>
      <c r="L51" s="2912">
        <f t="shared" si="0"/>
        <v>50</v>
      </c>
      <c r="M51" s="2913">
        <v>45772</v>
      </c>
      <c r="N51" s="2913">
        <v>45768</v>
      </c>
      <c r="O51" s="2914"/>
      <c r="P51" s="2914" t="s">
        <v>10206</v>
      </c>
      <c r="Q51" s="2914" t="s">
        <v>1050</v>
      </c>
      <c r="R51" s="2915" t="s">
        <v>8446</v>
      </c>
      <c r="S51" s="2915"/>
      <c r="T51" s="2915" t="s">
        <v>9492</v>
      </c>
      <c r="U51" s="2915"/>
      <c r="V51" s="2915"/>
      <c r="W51" s="2929" t="s">
        <v>10347</v>
      </c>
      <c r="X51" s="2932" t="s">
        <v>1131</v>
      </c>
      <c r="Y51" s="2917">
        <v>7.3277</v>
      </c>
      <c r="Z51" s="2918">
        <f t="shared" si="95"/>
        <v>1465.54</v>
      </c>
      <c r="AA51" s="2912" t="s">
        <v>9494</v>
      </c>
      <c r="AB51" s="2930" t="s">
        <v>10348</v>
      </c>
      <c r="AC51" s="2912" t="s">
        <v>416</v>
      </c>
      <c r="AD51" s="2919">
        <f t="shared" ref="AD51:AD53" si="126">I51</f>
        <v>200</v>
      </c>
      <c r="AE51" s="2919"/>
      <c r="AF51" s="2920"/>
      <c r="AG51" s="2919"/>
      <c r="AH51" s="2919"/>
      <c r="AI51" s="2919"/>
      <c r="AJ51" s="2921">
        <f t="shared" si="75"/>
        <v>200</v>
      </c>
      <c r="AK51" s="2921"/>
      <c r="AL51" s="2921"/>
      <c r="AM51" s="2921"/>
      <c r="AN51" s="2922"/>
      <c r="AO51" s="2923"/>
      <c r="AP51" s="2921"/>
      <c r="AQ51" s="2921"/>
      <c r="AR51" s="2924"/>
      <c r="AS51" s="2923"/>
      <c r="AT51" s="2921"/>
      <c r="AU51" s="2921"/>
      <c r="AV51" s="2924">
        <f>I51</f>
        <v>200</v>
      </c>
      <c r="AW51" s="2923"/>
      <c r="AX51" s="2921"/>
      <c r="AY51" s="2921"/>
      <c r="AZ51" s="2924"/>
      <c r="BA51" s="2923"/>
      <c r="BB51" s="2924"/>
      <c r="BC51" s="2925"/>
      <c r="BD51" s="2921">
        <f t="shared" si="113"/>
        <v>200</v>
      </c>
      <c r="BE51" s="2921"/>
      <c r="BF51" s="2921">
        <f t="shared" si="4"/>
        <v>200</v>
      </c>
      <c r="BG51" s="2921" t="s">
        <v>9164</v>
      </c>
      <c r="BH51" s="2921"/>
      <c r="BI51" s="2921"/>
      <c r="BJ51" s="2921"/>
      <c r="BK51" s="2921"/>
      <c r="BL51" s="2921"/>
      <c r="BM51" s="2926"/>
      <c r="BN51" s="2921"/>
      <c r="BO51" s="2926">
        <f>I51</f>
        <v>200</v>
      </c>
      <c r="BP51" s="2921">
        <f>I51</f>
        <v>200</v>
      </c>
      <c r="BQ51" s="2926">
        <f t="shared" si="1"/>
        <v>238225</v>
      </c>
      <c r="BR51" s="2926">
        <f t="shared" ref="BR51:BY51" si="127">BR50-BI51</f>
        <v>20889.5</v>
      </c>
      <c r="BS51" s="2926">
        <f t="shared" si="127"/>
        <v>20889.5</v>
      </c>
      <c r="BT51" s="2926">
        <f t="shared" si="127"/>
        <v>20301.5</v>
      </c>
      <c r="BU51" s="2926">
        <f t="shared" si="127"/>
        <v>20301.5</v>
      </c>
      <c r="BV51" s="2926">
        <f t="shared" si="127"/>
        <v>35507.5</v>
      </c>
      <c r="BW51" s="2926">
        <f t="shared" si="127"/>
        <v>35507.5</v>
      </c>
      <c r="BX51" s="2926">
        <f t="shared" si="127"/>
        <v>21181.5</v>
      </c>
      <c r="BY51" s="2926">
        <f t="shared" si="127"/>
        <v>21181.5</v>
      </c>
      <c r="BZ51" s="2912"/>
      <c r="CA51" s="2927"/>
      <c r="CB51" s="2927"/>
      <c r="CC51" s="2927"/>
      <c r="CD51" s="2927"/>
      <c r="CE51" s="2927"/>
      <c r="CF51" s="2927"/>
      <c r="CG51" s="2927"/>
      <c r="CH51" s="2927"/>
      <c r="CI51" s="2927"/>
      <c r="CJ51" s="2927"/>
      <c r="CK51" s="2927"/>
      <c r="CL51" s="2927"/>
      <c r="CM51" s="2927"/>
      <c r="CN51" s="2927"/>
      <c r="CO51" s="2927"/>
      <c r="CP51" s="2927"/>
      <c r="CQ51" s="2927"/>
      <c r="CR51" s="2927"/>
      <c r="CS51" s="2927"/>
      <c r="CT51" s="2927"/>
      <c r="CU51" s="2927"/>
      <c r="CV51" s="2927"/>
      <c r="CW51" s="2927"/>
      <c r="CX51" s="2927"/>
      <c r="CY51" s="2927"/>
      <c r="CZ51" s="2927"/>
      <c r="DA51" s="2927"/>
      <c r="DB51" s="2927"/>
      <c r="DC51" s="2927"/>
      <c r="DD51" s="2927"/>
      <c r="DE51" s="2927"/>
      <c r="DF51" s="2927"/>
      <c r="DG51" s="2927"/>
      <c r="DH51" s="2927"/>
      <c r="DI51" s="2927"/>
      <c r="DJ51" s="2927"/>
      <c r="DK51" s="2927"/>
      <c r="DL51" s="2927"/>
      <c r="DM51" s="2927"/>
      <c r="DN51" s="2927"/>
      <c r="DO51" s="2927"/>
      <c r="DP51" s="2927"/>
      <c r="DQ51" s="2927"/>
      <c r="DR51" s="2927"/>
      <c r="DS51" s="2927"/>
      <c r="DT51" s="2927"/>
      <c r="DU51" s="2927"/>
      <c r="DV51" s="2927"/>
      <c r="DW51" s="2927"/>
      <c r="DX51" s="2927"/>
      <c r="DY51" s="2927"/>
      <c r="DZ51" s="2927"/>
      <c r="EA51" s="2927"/>
      <c r="EB51" s="2927"/>
      <c r="EC51" s="2927"/>
      <c r="ED51" s="2927"/>
      <c r="EE51" s="2927"/>
      <c r="EF51" s="2927"/>
      <c r="EG51" s="2927"/>
      <c r="EH51" s="2927"/>
      <c r="EI51" s="2927"/>
      <c r="EJ51" s="2927"/>
      <c r="EK51" s="2927"/>
      <c r="EL51" s="2927"/>
      <c r="EM51" s="2927"/>
      <c r="EN51" s="2927"/>
      <c r="EO51" s="2927"/>
      <c r="EP51" s="2927"/>
      <c r="EQ51" s="2927"/>
      <c r="ER51" s="2927"/>
      <c r="ES51" s="2927"/>
      <c r="ET51" s="2927"/>
      <c r="EU51" s="2927"/>
      <c r="EV51" s="2927"/>
      <c r="EW51" s="2927"/>
      <c r="EX51" s="2927"/>
      <c r="EY51" s="2927"/>
      <c r="EZ51" s="2927"/>
      <c r="FA51" s="2927"/>
      <c r="FB51" s="2927"/>
      <c r="FC51" s="2927"/>
      <c r="FD51" s="2927"/>
      <c r="FE51" s="2927"/>
      <c r="FF51" s="2927"/>
      <c r="FG51" s="2927"/>
      <c r="FH51" s="2927"/>
      <c r="FI51" s="2927"/>
      <c r="FJ51" s="2927"/>
      <c r="FK51" s="2927"/>
      <c r="FL51" s="2927"/>
      <c r="FM51" s="2927"/>
      <c r="FN51" s="2927"/>
      <c r="FO51" s="2927"/>
      <c r="FP51" s="2927"/>
      <c r="FQ51" s="2927"/>
      <c r="FR51" s="2927"/>
      <c r="FS51" s="2927"/>
      <c r="FT51" s="2927"/>
      <c r="FU51" s="2927"/>
      <c r="FV51" s="2927"/>
      <c r="FW51" s="2927"/>
      <c r="FX51" s="2927"/>
      <c r="FY51" s="2927"/>
      <c r="FZ51" s="2927"/>
      <c r="GA51" s="2927"/>
      <c r="GB51" s="2927"/>
      <c r="GC51" s="2927"/>
      <c r="GD51" s="2927"/>
      <c r="GE51" s="2927"/>
      <c r="GF51" s="2927"/>
      <c r="GG51" s="2927"/>
      <c r="GH51" s="2927"/>
      <c r="GI51" s="2927"/>
      <c r="GJ51" s="2927"/>
      <c r="GK51" s="2927"/>
      <c r="GL51" s="2927"/>
      <c r="GM51" s="2927"/>
      <c r="GN51" s="2927"/>
      <c r="GO51" s="2927"/>
      <c r="GP51" s="2927"/>
      <c r="GQ51" s="2927"/>
      <c r="GR51" s="2927"/>
      <c r="GS51" s="2927"/>
      <c r="GT51" s="2927"/>
      <c r="GU51" s="2927"/>
      <c r="GV51" s="2927"/>
      <c r="GW51" s="2927"/>
      <c r="GX51" s="2927"/>
      <c r="GY51" s="2927"/>
      <c r="GZ51" s="2927"/>
      <c r="HA51" s="2927"/>
      <c r="HB51" s="2927"/>
      <c r="HC51" s="2927"/>
      <c r="HD51" s="2927"/>
      <c r="HE51" s="2927"/>
      <c r="HF51" s="2927"/>
      <c r="HG51" s="2927"/>
      <c r="HH51" s="2927"/>
      <c r="HI51" s="2927"/>
      <c r="HJ51" s="2927"/>
      <c r="HK51" s="2927"/>
      <c r="HL51" s="2927"/>
      <c r="HM51" s="2927"/>
      <c r="HN51" s="2927"/>
      <c r="HO51" s="2927"/>
      <c r="HP51" s="2927"/>
      <c r="HQ51" s="2927"/>
      <c r="HR51" s="2927"/>
      <c r="HS51" s="2927"/>
      <c r="HT51" s="2927"/>
      <c r="HU51" s="2927"/>
      <c r="HV51" s="2927"/>
      <c r="HW51" s="2927"/>
      <c r="HX51" s="2927"/>
      <c r="HY51" s="2927"/>
      <c r="HZ51" s="2927"/>
      <c r="IA51" s="2927"/>
      <c r="IB51" s="2927"/>
      <c r="IC51" s="2927"/>
      <c r="ID51" s="2927"/>
      <c r="IE51" s="2927"/>
    </row>
    <row r="52" s="2838" customFormat="1" ht="32" customHeight="1" spans="1:239 16379:16379">
      <c r="A52" s="2905">
        <v>45735</v>
      </c>
      <c r="B52" s="2906" t="s">
        <v>872</v>
      </c>
      <c r="C52" s="2907" t="s">
        <v>873</v>
      </c>
      <c r="D52" s="2908">
        <v>4500160671</v>
      </c>
      <c r="E52" s="2909"/>
      <c r="F52" s="2908" t="s">
        <v>10349</v>
      </c>
      <c r="G52" s="2930" t="s">
        <v>10292</v>
      </c>
      <c r="H52" s="2911" t="s">
        <v>10293</v>
      </c>
      <c r="I52" s="2912">
        <v>200</v>
      </c>
      <c r="J52" s="2912">
        <v>0</v>
      </c>
      <c r="K52" s="2912">
        <v>4</v>
      </c>
      <c r="L52" s="2912">
        <f t="shared" si="0"/>
        <v>50</v>
      </c>
      <c r="M52" s="2913">
        <v>45772</v>
      </c>
      <c r="N52" s="2913">
        <v>45768</v>
      </c>
      <c r="O52" s="2914"/>
      <c r="P52" s="2914" t="s">
        <v>10206</v>
      </c>
      <c r="Q52" s="2914" t="s">
        <v>1050</v>
      </c>
      <c r="R52" s="2915" t="s">
        <v>8446</v>
      </c>
      <c r="S52" s="2915"/>
      <c r="T52" s="2915" t="s">
        <v>9492</v>
      </c>
      <c r="U52" s="2915"/>
      <c r="V52" s="2915"/>
      <c r="W52" s="2929" t="s">
        <v>10347</v>
      </c>
      <c r="X52" s="2932" t="s">
        <v>1131</v>
      </c>
      <c r="Y52" s="2917">
        <v>7.0298</v>
      </c>
      <c r="Z52" s="2918">
        <f t="shared" si="95"/>
        <v>1405.96</v>
      </c>
      <c r="AA52" s="2912" t="s">
        <v>9494</v>
      </c>
      <c r="AB52" s="2930" t="s">
        <v>10350</v>
      </c>
      <c r="AC52" s="2912" t="s">
        <v>416</v>
      </c>
      <c r="AD52" s="2919">
        <f t="shared" si="126"/>
        <v>200</v>
      </c>
      <c r="AE52" s="2919"/>
      <c r="AF52" s="2920"/>
      <c r="AG52" s="2919"/>
      <c r="AH52" s="2919"/>
      <c r="AI52" s="2919"/>
      <c r="AJ52" s="2921">
        <f t="shared" si="75"/>
        <v>200</v>
      </c>
      <c r="AK52" s="2921"/>
      <c r="AL52" s="2921"/>
      <c r="AM52" s="2921"/>
      <c r="AN52" s="2922"/>
      <c r="AO52" s="2923"/>
      <c r="AP52" s="2921"/>
      <c r="AQ52" s="2921"/>
      <c r="AR52" s="2924"/>
      <c r="AS52" s="2923"/>
      <c r="AT52" s="2921">
        <f>I52</f>
        <v>200</v>
      </c>
      <c r="AU52" s="2921"/>
      <c r="AV52" s="2924"/>
      <c r="AW52" s="2923"/>
      <c r="AX52" s="2921"/>
      <c r="AY52" s="2921"/>
      <c r="AZ52" s="2924"/>
      <c r="BA52" s="2923"/>
      <c r="BB52" s="2924"/>
      <c r="BC52" s="2925"/>
      <c r="BD52" s="2921">
        <f t="shared" si="113"/>
        <v>200</v>
      </c>
      <c r="BE52" s="2921"/>
      <c r="BF52" s="2921">
        <f t="shared" si="4"/>
        <v>200</v>
      </c>
      <c r="BG52" s="2921" t="s">
        <v>9164</v>
      </c>
      <c r="BH52" s="2921"/>
      <c r="BI52" s="2921"/>
      <c r="BJ52" s="2921"/>
      <c r="BK52" s="2921">
        <f>I52</f>
        <v>200</v>
      </c>
      <c r="BL52" s="2921">
        <f>I52</f>
        <v>200</v>
      </c>
      <c r="BM52" s="2926"/>
      <c r="BN52" s="2921"/>
      <c r="BO52" s="2926"/>
      <c r="BP52" s="2921"/>
      <c r="BQ52" s="2926">
        <f t="shared" si="1"/>
        <v>238225</v>
      </c>
      <c r="BR52" s="2926">
        <f t="shared" ref="BR52:BY52" si="128">BR51-BI52</f>
        <v>20889.5</v>
      </c>
      <c r="BS52" s="2926">
        <f t="shared" si="128"/>
        <v>20889.5</v>
      </c>
      <c r="BT52" s="2926">
        <f t="shared" si="128"/>
        <v>20101.5</v>
      </c>
      <c r="BU52" s="2926">
        <f t="shared" si="128"/>
        <v>20101.5</v>
      </c>
      <c r="BV52" s="2926">
        <f t="shared" si="128"/>
        <v>35507.5</v>
      </c>
      <c r="BW52" s="2926">
        <f t="shared" si="128"/>
        <v>35507.5</v>
      </c>
      <c r="BX52" s="2926">
        <f t="shared" si="128"/>
        <v>21181.5</v>
      </c>
      <c r="BY52" s="2926">
        <f t="shared" si="128"/>
        <v>21181.5</v>
      </c>
      <c r="BZ52" s="2912"/>
      <c r="CA52" s="2927"/>
      <c r="CB52" s="2927"/>
      <c r="CC52" s="2927"/>
      <c r="CD52" s="2927"/>
      <c r="CE52" s="2927"/>
      <c r="CF52" s="2927"/>
      <c r="CG52" s="2927"/>
      <c r="CH52" s="2927"/>
      <c r="CI52" s="2927"/>
      <c r="CJ52" s="2927"/>
      <c r="CK52" s="2927"/>
      <c r="CL52" s="2927"/>
      <c r="CM52" s="2927"/>
      <c r="CN52" s="2927"/>
      <c r="CO52" s="2927"/>
      <c r="CP52" s="2927"/>
      <c r="CQ52" s="2927"/>
      <c r="CR52" s="2927"/>
      <c r="CS52" s="2927"/>
      <c r="CT52" s="2927"/>
      <c r="CU52" s="2927"/>
      <c r="CV52" s="2927"/>
      <c r="CW52" s="2927"/>
      <c r="CX52" s="2927"/>
      <c r="CY52" s="2927"/>
      <c r="CZ52" s="2927"/>
      <c r="DA52" s="2927"/>
      <c r="DB52" s="2927"/>
      <c r="DC52" s="2927"/>
      <c r="DD52" s="2927"/>
      <c r="DE52" s="2927"/>
      <c r="DF52" s="2927"/>
      <c r="DG52" s="2927"/>
      <c r="DH52" s="2927"/>
      <c r="DI52" s="2927"/>
      <c r="DJ52" s="2927"/>
      <c r="DK52" s="2927"/>
      <c r="DL52" s="2927"/>
      <c r="DM52" s="2927"/>
      <c r="DN52" s="2927"/>
      <c r="DO52" s="2927"/>
      <c r="DP52" s="2927"/>
      <c r="DQ52" s="2927"/>
      <c r="DR52" s="2927"/>
      <c r="DS52" s="2927"/>
      <c r="DT52" s="2927"/>
      <c r="DU52" s="2927"/>
      <c r="DV52" s="2927"/>
      <c r="DW52" s="2927"/>
      <c r="DX52" s="2927"/>
      <c r="DY52" s="2927"/>
      <c r="DZ52" s="2927"/>
      <c r="EA52" s="2927"/>
      <c r="EB52" s="2927"/>
      <c r="EC52" s="2927"/>
      <c r="ED52" s="2927"/>
      <c r="EE52" s="2927"/>
      <c r="EF52" s="2927"/>
      <c r="EG52" s="2927"/>
      <c r="EH52" s="2927"/>
      <c r="EI52" s="2927"/>
      <c r="EJ52" s="2927"/>
      <c r="EK52" s="2927"/>
      <c r="EL52" s="2927"/>
      <c r="EM52" s="2927"/>
      <c r="EN52" s="2927"/>
      <c r="EO52" s="2927"/>
      <c r="EP52" s="2927"/>
      <c r="EQ52" s="2927"/>
      <c r="ER52" s="2927"/>
      <c r="ES52" s="2927"/>
      <c r="ET52" s="2927"/>
      <c r="EU52" s="2927"/>
      <c r="EV52" s="2927"/>
      <c r="EW52" s="2927"/>
      <c r="EX52" s="2927"/>
      <c r="EY52" s="2927"/>
      <c r="EZ52" s="2927"/>
      <c r="FA52" s="2927"/>
      <c r="FB52" s="2927"/>
      <c r="FC52" s="2927"/>
      <c r="FD52" s="2927"/>
      <c r="FE52" s="2927"/>
      <c r="FF52" s="2927"/>
      <c r="FG52" s="2927"/>
      <c r="FH52" s="2927"/>
      <c r="FI52" s="2927"/>
      <c r="FJ52" s="2927"/>
      <c r="FK52" s="2927"/>
      <c r="FL52" s="2927"/>
      <c r="FM52" s="2927"/>
      <c r="FN52" s="2927"/>
      <c r="FO52" s="2927"/>
      <c r="FP52" s="2927"/>
      <c r="FQ52" s="2927"/>
      <c r="FR52" s="2927"/>
      <c r="FS52" s="2927"/>
      <c r="FT52" s="2927"/>
      <c r="FU52" s="2927"/>
      <c r="FV52" s="2927"/>
      <c r="FW52" s="2927"/>
      <c r="FX52" s="2927"/>
      <c r="FY52" s="2927"/>
      <c r="FZ52" s="2927"/>
      <c r="GA52" s="2927"/>
      <c r="GB52" s="2927"/>
      <c r="GC52" s="2927"/>
      <c r="GD52" s="2927"/>
      <c r="GE52" s="2927"/>
      <c r="GF52" s="2927"/>
      <c r="GG52" s="2927"/>
      <c r="GH52" s="2927"/>
      <c r="GI52" s="2927"/>
      <c r="GJ52" s="2927"/>
      <c r="GK52" s="2927"/>
      <c r="GL52" s="2927"/>
      <c r="GM52" s="2927"/>
      <c r="GN52" s="2927"/>
      <c r="GO52" s="2927"/>
      <c r="GP52" s="2927"/>
      <c r="GQ52" s="2927"/>
      <c r="GR52" s="2927"/>
      <c r="GS52" s="2927"/>
      <c r="GT52" s="2927"/>
      <c r="GU52" s="2927"/>
      <c r="GV52" s="2927"/>
      <c r="GW52" s="2927"/>
      <c r="GX52" s="2927"/>
      <c r="GY52" s="2927"/>
      <c r="GZ52" s="2927"/>
      <c r="HA52" s="2927"/>
      <c r="HB52" s="2927"/>
      <c r="HC52" s="2927"/>
      <c r="HD52" s="2927"/>
      <c r="HE52" s="2927"/>
      <c r="HF52" s="2927"/>
      <c r="HG52" s="2927"/>
      <c r="HH52" s="2927"/>
      <c r="HI52" s="2927"/>
      <c r="HJ52" s="2927"/>
      <c r="HK52" s="2927"/>
      <c r="HL52" s="2927"/>
      <c r="HM52" s="2927"/>
      <c r="HN52" s="2927"/>
      <c r="HO52" s="2927"/>
      <c r="HP52" s="2927"/>
      <c r="HQ52" s="2927"/>
      <c r="HR52" s="2927"/>
      <c r="HS52" s="2927"/>
      <c r="HT52" s="2927"/>
      <c r="HU52" s="2927"/>
      <c r="HV52" s="2927"/>
      <c r="HW52" s="2927"/>
      <c r="HX52" s="2927"/>
      <c r="HY52" s="2927"/>
      <c r="HZ52" s="2927"/>
      <c r="IA52" s="2927"/>
      <c r="IB52" s="2927"/>
      <c r="IC52" s="2927"/>
      <c r="ID52" s="2927"/>
      <c r="IE52" s="2927"/>
    </row>
    <row r="53" s="2838" customFormat="1" ht="32" customHeight="1" spans="1:239 16379:16379">
      <c r="A53" s="2905">
        <v>45735</v>
      </c>
      <c r="B53" s="2906" t="s">
        <v>872</v>
      </c>
      <c r="C53" s="2907" t="s">
        <v>873</v>
      </c>
      <c r="D53" s="2908">
        <v>4500160671</v>
      </c>
      <c r="E53" s="2909"/>
      <c r="F53" s="2908" t="s">
        <v>10351</v>
      </c>
      <c r="G53" s="2930" t="s">
        <v>10297</v>
      </c>
      <c r="H53" s="2911" t="s">
        <v>10298</v>
      </c>
      <c r="I53" s="2912">
        <v>200</v>
      </c>
      <c r="J53" s="2912">
        <v>0</v>
      </c>
      <c r="K53" s="2912">
        <v>4</v>
      </c>
      <c r="L53" s="2912">
        <f t="shared" si="0"/>
        <v>50</v>
      </c>
      <c r="M53" s="2913">
        <v>45772</v>
      </c>
      <c r="N53" s="2913">
        <v>45768</v>
      </c>
      <c r="O53" s="2914"/>
      <c r="P53" s="2914" t="s">
        <v>10206</v>
      </c>
      <c r="Q53" s="2914" t="s">
        <v>1050</v>
      </c>
      <c r="R53" s="2915" t="s">
        <v>8446</v>
      </c>
      <c r="S53" s="2915"/>
      <c r="T53" s="2915" t="s">
        <v>9492</v>
      </c>
      <c r="U53" s="2915"/>
      <c r="V53" s="2915"/>
      <c r="W53" s="2929" t="s">
        <v>10347</v>
      </c>
      <c r="X53" s="2932" t="s">
        <v>1131</v>
      </c>
      <c r="Y53" s="2917">
        <v>7.0298</v>
      </c>
      <c r="Z53" s="2918">
        <f t="shared" si="95"/>
        <v>1405.96</v>
      </c>
      <c r="AA53" s="2912" t="s">
        <v>9494</v>
      </c>
      <c r="AB53" s="2930" t="s">
        <v>10352</v>
      </c>
      <c r="AC53" s="2912" t="s">
        <v>416</v>
      </c>
      <c r="AD53" s="2919">
        <f t="shared" si="126"/>
        <v>200</v>
      </c>
      <c r="AE53" s="2919"/>
      <c r="AF53" s="2920"/>
      <c r="AG53" s="2919"/>
      <c r="AH53" s="2919"/>
      <c r="AI53" s="2919"/>
      <c r="AJ53" s="2921">
        <f t="shared" si="75"/>
        <v>200</v>
      </c>
      <c r="AK53" s="2921"/>
      <c r="AL53" s="2921"/>
      <c r="AM53" s="2921"/>
      <c r="AN53" s="2922"/>
      <c r="AO53" s="2923"/>
      <c r="AP53" s="2921"/>
      <c r="AQ53" s="2921">
        <f>I53</f>
        <v>200</v>
      </c>
      <c r="AR53" s="2924"/>
      <c r="AS53" s="2923"/>
      <c r="AT53" s="2921"/>
      <c r="AU53" s="2921"/>
      <c r="AV53" s="2924"/>
      <c r="AW53" s="2923"/>
      <c r="AX53" s="2921"/>
      <c r="AY53" s="2921"/>
      <c r="AZ53" s="2924"/>
      <c r="BA53" s="2923"/>
      <c r="BB53" s="2924"/>
      <c r="BC53" s="2925"/>
      <c r="BD53" s="2921">
        <f t="shared" si="113"/>
        <v>200</v>
      </c>
      <c r="BE53" s="2921"/>
      <c r="BF53" s="2921">
        <f t="shared" si="4"/>
        <v>200</v>
      </c>
      <c r="BG53" s="2921" t="s">
        <v>9164</v>
      </c>
      <c r="BH53" s="2921"/>
      <c r="BI53" s="2921"/>
      <c r="BJ53" s="2921"/>
      <c r="BK53" s="2921"/>
      <c r="BL53" s="2921"/>
      <c r="BM53" s="2921">
        <f>I53</f>
        <v>200</v>
      </c>
      <c r="BN53" s="2921">
        <f>I53</f>
        <v>200</v>
      </c>
      <c r="BO53" s="2926"/>
      <c r="BP53" s="2921"/>
      <c r="BQ53" s="2926">
        <f t="shared" si="1"/>
        <v>238225</v>
      </c>
      <c r="BR53" s="2926">
        <f t="shared" ref="BR53:BY53" si="129">BR52-BI53</f>
        <v>20889.5</v>
      </c>
      <c r="BS53" s="2926">
        <f t="shared" si="129"/>
        <v>20889.5</v>
      </c>
      <c r="BT53" s="2926">
        <f t="shared" si="129"/>
        <v>20101.5</v>
      </c>
      <c r="BU53" s="2926">
        <f t="shared" si="129"/>
        <v>20101.5</v>
      </c>
      <c r="BV53" s="2926">
        <f t="shared" si="129"/>
        <v>35307.5</v>
      </c>
      <c r="BW53" s="2926">
        <f t="shared" si="129"/>
        <v>35307.5</v>
      </c>
      <c r="BX53" s="2926">
        <f t="shared" si="129"/>
        <v>21181.5</v>
      </c>
      <c r="BY53" s="2926">
        <f t="shared" si="129"/>
        <v>21181.5</v>
      </c>
      <c r="BZ53" s="2912"/>
      <c r="CA53" s="2927"/>
      <c r="CB53" s="2927"/>
      <c r="CC53" s="2927"/>
      <c r="CD53" s="2927"/>
      <c r="CE53" s="2927"/>
      <c r="CF53" s="2927"/>
      <c r="CG53" s="2927"/>
      <c r="CH53" s="2927"/>
      <c r="CI53" s="2927"/>
      <c r="CJ53" s="2927"/>
      <c r="CK53" s="2927"/>
      <c r="CL53" s="2927"/>
      <c r="CM53" s="2927"/>
      <c r="CN53" s="2927"/>
      <c r="CO53" s="2927"/>
      <c r="CP53" s="2927"/>
      <c r="CQ53" s="2927"/>
      <c r="CR53" s="2927"/>
      <c r="CS53" s="2927"/>
      <c r="CT53" s="2927"/>
      <c r="CU53" s="2927"/>
      <c r="CV53" s="2927"/>
      <c r="CW53" s="2927"/>
      <c r="CX53" s="2927"/>
      <c r="CY53" s="2927"/>
      <c r="CZ53" s="2927"/>
      <c r="DA53" s="2927"/>
      <c r="DB53" s="2927"/>
      <c r="DC53" s="2927"/>
      <c r="DD53" s="2927"/>
      <c r="DE53" s="2927"/>
      <c r="DF53" s="2927"/>
      <c r="DG53" s="2927"/>
      <c r="DH53" s="2927"/>
      <c r="DI53" s="2927"/>
      <c r="DJ53" s="2927"/>
      <c r="DK53" s="2927"/>
      <c r="DL53" s="2927"/>
      <c r="DM53" s="2927"/>
      <c r="DN53" s="2927"/>
      <c r="DO53" s="2927"/>
      <c r="DP53" s="2927"/>
      <c r="DQ53" s="2927"/>
      <c r="DR53" s="2927"/>
      <c r="DS53" s="2927"/>
      <c r="DT53" s="2927"/>
      <c r="DU53" s="2927"/>
      <c r="DV53" s="2927"/>
      <c r="DW53" s="2927"/>
      <c r="DX53" s="2927"/>
      <c r="DY53" s="2927"/>
      <c r="DZ53" s="2927"/>
      <c r="EA53" s="2927"/>
      <c r="EB53" s="2927"/>
      <c r="EC53" s="2927"/>
      <c r="ED53" s="2927"/>
      <c r="EE53" s="2927"/>
      <c r="EF53" s="2927"/>
      <c r="EG53" s="2927"/>
      <c r="EH53" s="2927"/>
      <c r="EI53" s="2927"/>
      <c r="EJ53" s="2927"/>
      <c r="EK53" s="2927"/>
      <c r="EL53" s="2927"/>
      <c r="EM53" s="2927"/>
      <c r="EN53" s="2927"/>
      <c r="EO53" s="2927"/>
      <c r="EP53" s="2927"/>
      <c r="EQ53" s="2927"/>
      <c r="ER53" s="2927"/>
      <c r="ES53" s="2927"/>
      <c r="ET53" s="2927"/>
      <c r="EU53" s="2927"/>
      <c r="EV53" s="2927"/>
      <c r="EW53" s="2927"/>
      <c r="EX53" s="2927"/>
      <c r="EY53" s="2927"/>
      <c r="EZ53" s="2927"/>
      <c r="FA53" s="2927"/>
      <c r="FB53" s="2927"/>
      <c r="FC53" s="2927"/>
      <c r="FD53" s="2927"/>
      <c r="FE53" s="2927"/>
      <c r="FF53" s="2927"/>
      <c r="FG53" s="2927"/>
      <c r="FH53" s="2927"/>
      <c r="FI53" s="2927"/>
      <c r="FJ53" s="2927"/>
      <c r="FK53" s="2927"/>
      <c r="FL53" s="2927"/>
      <c r="FM53" s="2927"/>
      <c r="FN53" s="2927"/>
      <c r="FO53" s="2927"/>
      <c r="FP53" s="2927"/>
      <c r="FQ53" s="2927"/>
      <c r="FR53" s="2927"/>
      <c r="FS53" s="2927"/>
      <c r="FT53" s="2927"/>
      <c r="FU53" s="2927"/>
      <c r="FV53" s="2927"/>
      <c r="FW53" s="2927"/>
      <c r="FX53" s="2927"/>
      <c r="FY53" s="2927"/>
      <c r="FZ53" s="2927"/>
      <c r="GA53" s="2927"/>
      <c r="GB53" s="2927"/>
      <c r="GC53" s="2927"/>
      <c r="GD53" s="2927"/>
      <c r="GE53" s="2927"/>
      <c r="GF53" s="2927"/>
      <c r="GG53" s="2927"/>
      <c r="GH53" s="2927"/>
      <c r="GI53" s="2927"/>
      <c r="GJ53" s="2927"/>
      <c r="GK53" s="2927"/>
      <c r="GL53" s="2927"/>
      <c r="GM53" s="2927"/>
      <c r="GN53" s="2927"/>
      <c r="GO53" s="2927"/>
      <c r="GP53" s="2927"/>
      <c r="GQ53" s="2927"/>
      <c r="GR53" s="2927"/>
      <c r="GS53" s="2927"/>
      <c r="GT53" s="2927"/>
      <c r="GU53" s="2927"/>
      <c r="GV53" s="2927"/>
      <c r="GW53" s="2927"/>
      <c r="GX53" s="2927"/>
      <c r="GY53" s="2927"/>
      <c r="GZ53" s="2927"/>
      <c r="HA53" s="2927"/>
      <c r="HB53" s="2927"/>
      <c r="HC53" s="2927"/>
      <c r="HD53" s="2927"/>
      <c r="HE53" s="2927"/>
      <c r="HF53" s="2927"/>
      <c r="HG53" s="2927"/>
      <c r="HH53" s="2927"/>
      <c r="HI53" s="2927"/>
      <c r="HJ53" s="2927"/>
      <c r="HK53" s="2927"/>
      <c r="HL53" s="2927"/>
      <c r="HM53" s="2927"/>
      <c r="HN53" s="2927"/>
      <c r="HO53" s="2927"/>
      <c r="HP53" s="2927"/>
      <c r="HQ53" s="2927"/>
      <c r="HR53" s="2927"/>
      <c r="HS53" s="2927"/>
      <c r="HT53" s="2927"/>
      <c r="HU53" s="2927"/>
      <c r="HV53" s="2927"/>
      <c r="HW53" s="2927"/>
      <c r="HX53" s="2927"/>
      <c r="HY53" s="2927"/>
      <c r="HZ53" s="2927"/>
      <c r="IA53" s="2927"/>
      <c r="IB53" s="2927"/>
      <c r="IC53" s="2927"/>
      <c r="ID53" s="2927"/>
      <c r="IE53" s="2927"/>
    </row>
    <row r="54" s="2838" customFormat="1" ht="32" customHeight="1" spans="1:239 16379:16379">
      <c r="A54" s="2905">
        <v>45730</v>
      </c>
      <c r="B54" s="2906" t="s">
        <v>1141</v>
      </c>
      <c r="C54" s="2907" t="s">
        <v>1151</v>
      </c>
      <c r="D54" s="2908">
        <v>4500160092</v>
      </c>
      <c r="E54" s="2909" t="s">
        <v>1152</v>
      </c>
      <c r="F54" s="2908" t="s">
        <v>10353</v>
      </c>
      <c r="G54" s="2930" t="s">
        <v>10199</v>
      </c>
      <c r="H54" s="2911" t="s">
        <v>9155</v>
      </c>
      <c r="I54" s="2912">
        <v>600</v>
      </c>
      <c r="J54" s="2912">
        <v>0</v>
      </c>
      <c r="K54" s="2912">
        <v>4</v>
      </c>
      <c r="L54" s="2912">
        <f t="shared" si="0"/>
        <v>150</v>
      </c>
      <c r="M54" s="2913">
        <v>45775</v>
      </c>
      <c r="N54" s="2913">
        <v>45783</v>
      </c>
      <c r="O54" s="2914"/>
      <c r="P54" s="2914" t="s">
        <v>82</v>
      </c>
      <c r="Q54" s="2935" t="s">
        <v>1146</v>
      </c>
      <c r="R54" s="2915" t="s">
        <v>1147</v>
      </c>
      <c r="S54" s="2915"/>
      <c r="T54" s="2915" t="s">
        <v>3534</v>
      </c>
      <c r="U54" s="2915"/>
      <c r="V54" s="2915" t="s">
        <v>1149</v>
      </c>
      <c r="W54" s="2929" t="s">
        <v>10354</v>
      </c>
      <c r="X54" s="2932" t="s">
        <v>459</v>
      </c>
      <c r="Y54" s="2917">
        <v>7.1595</v>
      </c>
      <c r="Z54" s="2918">
        <f t="shared" si="95"/>
        <v>4295.7</v>
      </c>
      <c r="AA54" s="2912"/>
      <c r="AB54" s="2906" t="s">
        <v>10337</v>
      </c>
      <c r="AC54" s="2912" t="s">
        <v>416</v>
      </c>
      <c r="AD54" s="2919"/>
      <c r="AE54" s="2919"/>
      <c r="AF54" s="2936"/>
      <c r="AG54" s="2919">
        <f t="shared" ref="AG54:AG56" si="130">I54</f>
        <v>600</v>
      </c>
      <c r="AH54" s="2919"/>
      <c r="AI54" s="2919"/>
      <c r="AJ54" s="2921">
        <f t="shared" si="75"/>
        <v>600</v>
      </c>
      <c r="AK54" s="2921"/>
      <c r="AL54" s="2921"/>
      <c r="AM54" s="2921"/>
      <c r="AN54" s="2922"/>
      <c r="AO54" s="2923"/>
      <c r="AP54" s="2921"/>
      <c r="AQ54" s="2921">
        <f t="shared" ref="AQ54:AQ63" si="131">I54/4</f>
        <v>150</v>
      </c>
      <c r="AR54" s="2924"/>
      <c r="AS54" s="2923">
        <f t="shared" ref="AS54:AS63" si="132">I54/4</f>
        <v>150</v>
      </c>
      <c r="AT54" s="2921">
        <f t="shared" ref="AT54:AT63" si="133">I54/4</f>
        <v>150</v>
      </c>
      <c r="AU54" s="2921"/>
      <c r="AV54" s="2924">
        <f t="shared" ref="AV54:AV57" si="134">AS54</f>
        <v>150</v>
      </c>
      <c r="AW54" s="2923"/>
      <c r="AX54" s="2921"/>
      <c r="AY54" s="2921"/>
      <c r="AZ54" s="2924"/>
      <c r="BA54" s="2923"/>
      <c r="BB54" s="2924"/>
      <c r="BC54" s="2925"/>
      <c r="BD54" s="2921">
        <f t="shared" si="113"/>
        <v>600</v>
      </c>
      <c r="BE54" s="2921"/>
      <c r="BF54" s="2921">
        <f t="shared" si="4"/>
        <v>600</v>
      </c>
      <c r="BG54" s="2921" t="s">
        <v>9164</v>
      </c>
      <c r="BH54" s="2921"/>
      <c r="BI54" s="2921">
        <f t="shared" ref="BI54:BI57" si="135">I54/4</f>
        <v>150</v>
      </c>
      <c r="BJ54" s="2921">
        <f t="shared" ref="BJ54:BP54" si="136">BI54</f>
        <v>150</v>
      </c>
      <c r="BK54" s="2921">
        <f t="shared" si="136"/>
        <v>150</v>
      </c>
      <c r="BL54" s="2921">
        <f t="shared" si="136"/>
        <v>150</v>
      </c>
      <c r="BM54" s="2926">
        <f t="shared" si="136"/>
        <v>150</v>
      </c>
      <c r="BN54" s="2921">
        <f t="shared" si="136"/>
        <v>150</v>
      </c>
      <c r="BO54" s="2926">
        <f t="shared" si="136"/>
        <v>150</v>
      </c>
      <c r="BP54" s="2921">
        <f t="shared" si="136"/>
        <v>150</v>
      </c>
      <c r="BQ54" s="2926">
        <f t="shared" si="1"/>
        <v>238625</v>
      </c>
      <c r="BR54" s="2926">
        <f t="shared" ref="BR54:BY54" si="137">BR53-BI54</f>
        <v>20739.5</v>
      </c>
      <c r="BS54" s="2926">
        <f t="shared" si="137"/>
        <v>20739.5</v>
      </c>
      <c r="BT54" s="2926">
        <f t="shared" si="137"/>
        <v>19951.5</v>
      </c>
      <c r="BU54" s="2926">
        <f t="shared" si="137"/>
        <v>19951.5</v>
      </c>
      <c r="BV54" s="2926">
        <f t="shared" si="137"/>
        <v>35157.5</v>
      </c>
      <c r="BW54" s="2926">
        <f t="shared" si="137"/>
        <v>35157.5</v>
      </c>
      <c r="BX54" s="2926">
        <f t="shared" si="137"/>
        <v>21031.5</v>
      </c>
      <c r="BY54" s="2926">
        <f t="shared" si="137"/>
        <v>21031.5</v>
      </c>
      <c r="BZ54" s="2912"/>
      <c r="CA54" s="2927"/>
      <c r="CB54" s="2927"/>
      <c r="CC54" s="2927"/>
      <c r="CD54" s="2927"/>
      <c r="CE54" s="2927"/>
      <c r="CF54" s="2927"/>
      <c r="CG54" s="2927"/>
      <c r="CH54" s="2927"/>
      <c r="CI54" s="2927"/>
      <c r="CJ54" s="2927"/>
      <c r="CK54" s="2927"/>
      <c r="CL54" s="2927"/>
      <c r="CM54" s="2927"/>
      <c r="CN54" s="2927"/>
      <c r="CO54" s="2927"/>
      <c r="CP54" s="2927"/>
      <c r="CQ54" s="2927"/>
      <c r="CR54" s="2927"/>
      <c r="CS54" s="2927"/>
      <c r="CT54" s="2927"/>
      <c r="CU54" s="2927"/>
      <c r="CV54" s="2927"/>
      <c r="CW54" s="2927"/>
      <c r="CX54" s="2927"/>
      <c r="CY54" s="2927"/>
      <c r="CZ54" s="2927"/>
      <c r="DA54" s="2927"/>
      <c r="DB54" s="2927"/>
      <c r="DC54" s="2927"/>
      <c r="DD54" s="2927"/>
      <c r="DE54" s="2927"/>
      <c r="DF54" s="2927"/>
      <c r="DG54" s="2927"/>
      <c r="DH54" s="2927"/>
      <c r="DI54" s="2927"/>
      <c r="DJ54" s="2927"/>
      <c r="DK54" s="2927"/>
      <c r="DL54" s="2927"/>
      <c r="DM54" s="2927"/>
      <c r="DN54" s="2927"/>
      <c r="DO54" s="2927"/>
      <c r="DP54" s="2927"/>
      <c r="DQ54" s="2927"/>
      <c r="DR54" s="2927"/>
      <c r="DS54" s="2927"/>
      <c r="DT54" s="2927"/>
      <c r="DU54" s="2927"/>
      <c r="DV54" s="2927"/>
      <c r="DW54" s="2927"/>
      <c r="DX54" s="2927"/>
      <c r="DY54" s="2927"/>
      <c r="DZ54" s="2927"/>
      <c r="EA54" s="2927"/>
      <c r="EB54" s="2927"/>
      <c r="EC54" s="2927"/>
      <c r="ED54" s="2927"/>
      <c r="EE54" s="2927"/>
      <c r="EF54" s="2927"/>
      <c r="EG54" s="2927"/>
      <c r="EH54" s="2927"/>
      <c r="EI54" s="2927"/>
      <c r="EJ54" s="2927"/>
      <c r="EK54" s="2927"/>
      <c r="EL54" s="2927"/>
      <c r="EM54" s="2927"/>
      <c r="EN54" s="2927"/>
      <c r="EO54" s="2927"/>
      <c r="EP54" s="2927"/>
      <c r="EQ54" s="2927"/>
      <c r="ER54" s="2927"/>
      <c r="ES54" s="2927"/>
      <c r="ET54" s="2927"/>
      <c r="EU54" s="2927"/>
      <c r="EV54" s="2927"/>
      <c r="EW54" s="2927"/>
      <c r="EX54" s="2927"/>
      <c r="EY54" s="2927"/>
      <c r="EZ54" s="2927"/>
      <c r="FA54" s="2927"/>
      <c r="FB54" s="2927"/>
      <c r="FC54" s="2927"/>
      <c r="FD54" s="2927"/>
      <c r="FE54" s="2927"/>
      <c r="FF54" s="2927"/>
      <c r="FG54" s="2927"/>
      <c r="FH54" s="2927"/>
      <c r="FI54" s="2927"/>
      <c r="FJ54" s="2927"/>
      <c r="FK54" s="2927"/>
      <c r="FL54" s="2927"/>
      <c r="FM54" s="2927"/>
      <c r="FN54" s="2927"/>
      <c r="FO54" s="2927"/>
      <c r="FP54" s="2927"/>
      <c r="FQ54" s="2927"/>
      <c r="FR54" s="2927"/>
      <c r="FS54" s="2927"/>
      <c r="FT54" s="2927"/>
      <c r="FU54" s="2927"/>
      <c r="FV54" s="2927"/>
      <c r="FW54" s="2927"/>
      <c r="FX54" s="2927"/>
      <c r="FY54" s="2927"/>
      <c r="FZ54" s="2927"/>
      <c r="GA54" s="2927"/>
      <c r="GB54" s="2927"/>
      <c r="GC54" s="2927"/>
      <c r="GD54" s="2927"/>
      <c r="GE54" s="2927"/>
      <c r="GF54" s="2927"/>
      <c r="GG54" s="2927"/>
      <c r="GH54" s="2927"/>
      <c r="GI54" s="2927"/>
      <c r="GJ54" s="2927"/>
      <c r="GK54" s="2927"/>
      <c r="GL54" s="2927"/>
      <c r="GM54" s="2927"/>
      <c r="GN54" s="2927"/>
      <c r="GO54" s="2927"/>
      <c r="GP54" s="2927"/>
      <c r="GQ54" s="2927"/>
      <c r="GR54" s="2927"/>
      <c r="GS54" s="2927"/>
      <c r="GT54" s="2927"/>
      <c r="GU54" s="2927"/>
      <c r="GV54" s="2927"/>
      <c r="GW54" s="2927"/>
      <c r="GX54" s="2927"/>
      <c r="GY54" s="2927"/>
      <c r="GZ54" s="2927"/>
      <c r="HA54" s="2927"/>
      <c r="HB54" s="2927"/>
      <c r="HC54" s="2927"/>
      <c r="HD54" s="2927"/>
      <c r="HE54" s="2927"/>
      <c r="HF54" s="2927"/>
      <c r="HG54" s="2927"/>
      <c r="HH54" s="2927"/>
      <c r="HI54" s="2927"/>
      <c r="HJ54" s="2927"/>
      <c r="HK54" s="2927"/>
      <c r="HL54" s="2927"/>
      <c r="HM54" s="2927"/>
      <c r="HN54" s="2927"/>
      <c r="HO54" s="2927"/>
      <c r="HP54" s="2927"/>
      <c r="HQ54" s="2927"/>
      <c r="HR54" s="2927"/>
      <c r="HS54" s="2927"/>
      <c r="HT54" s="2927"/>
      <c r="HU54" s="2927"/>
      <c r="HV54" s="2927"/>
      <c r="HW54" s="2927"/>
      <c r="HX54" s="2927"/>
      <c r="HY54" s="2927"/>
      <c r="HZ54" s="2927"/>
      <c r="IA54" s="2927"/>
      <c r="IB54" s="2927"/>
      <c r="IC54" s="2927"/>
      <c r="ID54" s="2927"/>
      <c r="IE54" s="2927"/>
    </row>
    <row r="55" s="2838" customFormat="1" ht="32" customHeight="1" spans="1:239 16379:16379">
      <c r="A55" s="2905">
        <v>45721</v>
      </c>
      <c r="B55" s="2906" t="s">
        <v>9451</v>
      </c>
      <c r="C55" s="2907" t="s">
        <v>2776</v>
      </c>
      <c r="D55" s="2908">
        <v>4500159153</v>
      </c>
      <c r="E55" s="2909" t="s">
        <v>9527</v>
      </c>
      <c r="F55" s="2908" t="s">
        <v>10355</v>
      </c>
      <c r="G55" s="2930" t="s">
        <v>10199</v>
      </c>
      <c r="H55" s="2911" t="s">
        <v>9155</v>
      </c>
      <c r="I55" s="2912">
        <v>100</v>
      </c>
      <c r="J55" s="2912">
        <v>0</v>
      </c>
      <c r="K55" s="2912">
        <v>4</v>
      </c>
      <c r="L55" s="2912">
        <f t="shared" si="0"/>
        <v>25</v>
      </c>
      <c r="M55" s="2913">
        <v>45792</v>
      </c>
      <c r="N55" s="2913">
        <v>45789</v>
      </c>
      <c r="O55" s="2914" t="s">
        <v>9529</v>
      </c>
      <c r="P55" s="2914" t="s">
        <v>10206</v>
      </c>
      <c r="Q55" s="2914">
        <v>45807</v>
      </c>
      <c r="R55" s="2915" t="s">
        <v>8405</v>
      </c>
      <c r="S55" s="2915"/>
      <c r="T55" s="2915" t="s">
        <v>10356</v>
      </c>
      <c r="U55" s="2915" t="s">
        <v>9458</v>
      </c>
      <c r="V55" s="2915"/>
      <c r="W55" s="2931" t="s">
        <v>10357</v>
      </c>
      <c r="X55" s="2912" t="s">
        <v>459</v>
      </c>
      <c r="Y55" s="2917">
        <v>7.0298</v>
      </c>
      <c r="Z55" s="2918">
        <f t="shared" si="95"/>
        <v>702.98</v>
      </c>
      <c r="AA55" s="2912"/>
      <c r="AB55" s="2906" t="s">
        <v>10337</v>
      </c>
      <c r="AC55" s="2912" t="s">
        <v>416</v>
      </c>
      <c r="AD55" s="2919"/>
      <c r="AE55" s="2919"/>
      <c r="AF55" s="2920"/>
      <c r="AG55" s="2919">
        <f t="shared" si="130"/>
        <v>100</v>
      </c>
      <c r="AH55" s="2919"/>
      <c r="AI55" s="2919"/>
      <c r="AJ55" s="2921">
        <f t="shared" si="75"/>
        <v>100</v>
      </c>
      <c r="AK55" s="2921"/>
      <c r="AL55" s="2921"/>
      <c r="AM55" s="2921"/>
      <c r="AN55" s="2922"/>
      <c r="AO55" s="2923"/>
      <c r="AP55" s="2921"/>
      <c r="AQ55" s="2937">
        <f t="shared" si="131"/>
        <v>25</v>
      </c>
      <c r="AR55" s="2924"/>
      <c r="AS55" s="2938">
        <f t="shared" si="132"/>
        <v>25</v>
      </c>
      <c r="AT55" s="2937">
        <f t="shared" si="133"/>
        <v>25</v>
      </c>
      <c r="AU55" s="2921"/>
      <c r="AV55" s="2939">
        <f t="shared" si="134"/>
        <v>25</v>
      </c>
      <c r="AW55" s="2923"/>
      <c r="AX55" s="2921"/>
      <c r="AY55" s="2921"/>
      <c r="AZ55" s="2924"/>
      <c r="BA55" s="2923"/>
      <c r="BB55" s="2924"/>
      <c r="BC55" s="2925"/>
      <c r="BD55" s="2937">
        <f t="shared" si="113"/>
        <v>100</v>
      </c>
      <c r="BE55" s="2921"/>
      <c r="BF55" s="2921">
        <f t="shared" si="4"/>
        <v>100</v>
      </c>
      <c r="BG55" s="2921" t="s">
        <v>9164</v>
      </c>
      <c r="BH55" s="2921"/>
      <c r="BI55" s="2921">
        <f t="shared" si="135"/>
        <v>25</v>
      </c>
      <c r="BJ55" s="2921">
        <f t="shared" ref="BJ55:BP55" si="138">BI55</f>
        <v>25</v>
      </c>
      <c r="BK55" s="2921">
        <f t="shared" si="138"/>
        <v>25</v>
      </c>
      <c r="BL55" s="2921">
        <f t="shared" si="138"/>
        <v>25</v>
      </c>
      <c r="BM55" s="2926">
        <f t="shared" si="138"/>
        <v>25</v>
      </c>
      <c r="BN55" s="2921">
        <f t="shared" si="138"/>
        <v>25</v>
      </c>
      <c r="BO55" s="2926">
        <f t="shared" si="138"/>
        <v>25</v>
      </c>
      <c r="BP55" s="2921">
        <f t="shared" si="138"/>
        <v>25</v>
      </c>
      <c r="BQ55" s="2926">
        <f t="shared" si="1"/>
        <v>238125</v>
      </c>
      <c r="BR55" s="2926">
        <f t="shared" ref="BR55:BY55" si="139">BR57-BI55</f>
        <v>20218.5</v>
      </c>
      <c r="BS55" s="2926">
        <f t="shared" si="139"/>
        <v>20218.5</v>
      </c>
      <c r="BT55" s="2926">
        <f t="shared" si="139"/>
        <v>19430.5</v>
      </c>
      <c r="BU55" s="2926">
        <f t="shared" si="139"/>
        <v>19430.5</v>
      </c>
      <c r="BV55" s="2926">
        <f t="shared" si="139"/>
        <v>34636.5</v>
      </c>
      <c r="BW55" s="2926">
        <f t="shared" si="139"/>
        <v>34636.5</v>
      </c>
      <c r="BX55" s="2926">
        <f t="shared" si="139"/>
        <v>20510.5</v>
      </c>
      <c r="BY55" s="2926">
        <f t="shared" si="139"/>
        <v>20510.5</v>
      </c>
      <c r="BZ55" s="2912"/>
      <c r="CA55" s="2927"/>
      <c r="CB55" s="2927"/>
      <c r="CC55" s="2927"/>
      <c r="CD55" s="2927"/>
      <c r="CE55" s="2927"/>
      <c r="CF55" s="2927"/>
      <c r="CG55" s="2927"/>
      <c r="CH55" s="2927"/>
      <c r="CI55" s="2927"/>
      <c r="CJ55" s="2927"/>
      <c r="CK55" s="2927"/>
      <c r="CL55" s="2927"/>
      <c r="CM55" s="2927"/>
      <c r="CN55" s="2927"/>
      <c r="CO55" s="2927"/>
      <c r="CP55" s="2927"/>
      <c r="CQ55" s="2927"/>
      <c r="CR55" s="2927"/>
      <c r="CS55" s="2927"/>
      <c r="CT55" s="2927"/>
      <c r="CU55" s="2927"/>
      <c r="CV55" s="2927"/>
      <c r="CW55" s="2927"/>
      <c r="CX55" s="2927"/>
      <c r="CY55" s="2927"/>
      <c r="CZ55" s="2927"/>
      <c r="DA55" s="2927"/>
      <c r="DB55" s="2927"/>
      <c r="DC55" s="2927"/>
      <c r="DD55" s="2927"/>
      <c r="DE55" s="2927"/>
      <c r="DF55" s="2927"/>
      <c r="DG55" s="2927"/>
      <c r="DH55" s="2927"/>
      <c r="DI55" s="2927"/>
      <c r="DJ55" s="2927"/>
      <c r="DK55" s="2927"/>
      <c r="DL55" s="2927"/>
      <c r="DM55" s="2927"/>
      <c r="DN55" s="2927"/>
      <c r="DO55" s="2927"/>
      <c r="DP55" s="2927"/>
      <c r="DQ55" s="2927"/>
      <c r="DR55" s="2927"/>
      <c r="DS55" s="2927"/>
      <c r="DT55" s="2927"/>
      <c r="DU55" s="2927"/>
      <c r="DV55" s="2927"/>
      <c r="DW55" s="2927"/>
      <c r="DX55" s="2927"/>
      <c r="DY55" s="2927"/>
      <c r="DZ55" s="2927"/>
      <c r="EA55" s="2927"/>
      <c r="EB55" s="2927"/>
      <c r="EC55" s="2927"/>
      <c r="ED55" s="2927"/>
      <c r="EE55" s="2927"/>
      <c r="EF55" s="2927"/>
      <c r="EG55" s="2927"/>
      <c r="EH55" s="2927"/>
      <c r="EI55" s="2927"/>
      <c r="EJ55" s="2927"/>
      <c r="EK55" s="2927"/>
      <c r="EL55" s="2927"/>
      <c r="EM55" s="2927"/>
      <c r="EN55" s="2927"/>
      <c r="EO55" s="2927"/>
      <c r="EP55" s="2927"/>
      <c r="EQ55" s="2927"/>
      <c r="ER55" s="2927"/>
      <c r="ES55" s="2927"/>
      <c r="ET55" s="2927"/>
      <c r="EU55" s="2927"/>
      <c r="EV55" s="2927"/>
      <c r="EW55" s="2927"/>
      <c r="EX55" s="2927"/>
      <c r="EY55" s="2927"/>
      <c r="EZ55" s="2927"/>
      <c r="FA55" s="2927"/>
      <c r="FB55" s="2927"/>
      <c r="FC55" s="2927"/>
      <c r="FD55" s="2927"/>
      <c r="FE55" s="2927"/>
      <c r="FF55" s="2927"/>
      <c r="FG55" s="2927"/>
      <c r="FH55" s="2927"/>
      <c r="FI55" s="2927"/>
      <c r="FJ55" s="2927"/>
      <c r="FK55" s="2927"/>
      <c r="FL55" s="2927"/>
      <c r="FM55" s="2927"/>
      <c r="FN55" s="2927"/>
      <c r="FO55" s="2927"/>
      <c r="FP55" s="2927"/>
      <c r="FQ55" s="2927"/>
      <c r="FR55" s="2927"/>
      <c r="FS55" s="2927"/>
      <c r="FT55" s="2927"/>
      <c r="FU55" s="2927"/>
      <c r="FV55" s="2927"/>
      <c r="FW55" s="2927"/>
      <c r="FX55" s="2927"/>
      <c r="FY55" s="2927"/>
      <c r="FZ55" s="2927"/>
      <c r="GA55" s="2927"/>
      <c r="GB55" s="2927"/>
      <c r="GC55" s="2927"/>
      <c r="GD55" s="2927"/>
      <c r="GE55" s="2927"/>
      <c r="GF55" s="2927"/>
      <c r="GG55" s="2927"/>
      <c r="GH55" s="2927"/>
      <c r="GI55" s="2927"/>
      <c r="GJ55" s="2927"/>
      <c r="GK55" s="2927"/>
      <c r="GL55" s="2927"/>
      <c r="GM55" s="2927"/>
      <c r="GN55" s="2927"/>
      <c r="GO55" s="2927"/>
      <c r="GP55" s="2927"/>
      <c r="GQ55" s="2927"/>
      <c r="GR55" s="2927"/>
      <c r="GS55" s="2927"/>
      <c r="GT55" s="2927"/>
      <c r="GU55" s="2927"/>
      <c r="GV55" s="2927"/>
      <c r="GW55" s="2927"/>
      <c r="GX55" s="2927"/>
      <c r="GY55" s="2927"/>
      <c r="GZ55" s="2927"/>
      <c r="HA55" s="2927"/>
      <c r="HB55" s="2927"/>
      <c r="HC55" s="2927"/>
      <c r="HD55" s="2927"/>
      <c r="HE55" s="2927"/>
      <c r="HF55" s="2927"/>
      <c r="HG55" s="2927"/>
      <c r="HH55" s="2927"/>
      <c r="HI55" s="2927"/>
      <c r="HJ55" s="2927"/>
      <c r="HK55" s="2927"/>
      <c r="HL55" s="2927"/>
      <c r="HM55" s="2927"/>
      <c r="HN55" s="2927"/>
      <c r="HO55" s="2927"/>
      <c r="HP55" s="2927"/>
      <c r="HQ55" s="2927"/>
      <c r="HR55" s="2927"/>
      <c r="HS55" s="2927"/>
      <c r="HT55" s="2927"/>
      <c r="HU55" s="2927"/>
      <c r="HV55" s="2927"/>
      <c r="HW55" s="2927"/>
      <c r="HX55" s="2927"/>
      <c r="HY55" s="2927"/>
      <c r="HZ55" s="2927"/>
      <c r="IA55" s="2927"/>
      <c r="IB55" s="2927"/>
      <c r="IC55" s="2927"/>
      <c r="ID55" s="2927"/>
      <c r="IE55" s="2927"/>
    </row>
    <row r="56" s="2838" customFormat="1" ht="32" customHeight="1" spans="1:239 16379:16379">
      <c r="A56" s="2905">
        <v>45749</v>
      </c>
      <c r="B56" s="2906" t="s">
        <v>6786</v>
      </c>
      <c r="C56" s="2907" t="s">
        <v>6781</v>
      </c>
      <c r="D56" s="2908">
        <v>4500162375</v>
      </c>
      <c r="E56" s="2909" t="s">
        <v>10358</v>
      </c>
      <c r="F56" s="2910" t="s">
        <v>10359</v>
      </c>
      <c r="G56" s="2930" t="s">
        <v>10360</v>
      </c>
      <c r="H56" s="2911" t="s">
        <v>9155</v>
      </c>
      <c r="I56" s="2912">
        <v>132</v>
      </c>
      <c r="J56" s="2912">
        <v>0</v>
      </c>
      <c r="K56" s="2912">
        <v>3</v>
      </c>
      <c r="L56" s="2912">
        <f t="shared" si="0"/>
        <v>44</v>
      </c>
      <c r="M56" s="2913">
        <v>45797</v>
      </c>
      <c r="N56" s="2913">
        <v>45793</v>
      </c>
      <c r="O56" s="2914"/>
      <c r="P56" s="2914" t="s">
        <v>10206</v>
      </c>
      <c r="Q56" s="2914" t="s">
        <v>1180</v>
      </c>
      <c r="R56" s="2915" t="s">
        <v>1322</v>
      </c>
      <c r="S56" s="2915"/>
      <c r="T56" s="2915" t="s">
        <v>9540</v>
      </c>
      <c r="U56" s="2915"/>
      <c r="V56" s="2915"/>
      <c r="W56" s="2931" t="s">
        <v>10361</v>
      </c>
      <c r="X56" s="2912" t="s">
        <v>4665</v>
      </c>
      <c r="Y56" s="2917">
        <v>7.4042</v>
      </c>
      <c r="Z56" s="2918">
        <f t="shared" si="95"/>
        <v>977.3544</v>
      </c>
      <c r="AA56" s="2912"/>
      <c r="AB56" s="2906" t="s">
        <v>10362</v>
      </c>
      <c r="AC56" s="2912" t="s">
        <v>416</v>
      </c>
      <c r="AD56" s="2919"/>
      <c r="AE56" s="2919"/>
      <c r="AF56" s="2920"/>
      <c r="AG56" s="2919">
        <f t="shared" si="130"/>
        <v>132</v>
      </c>
      <c r="AH56" s="2919"/>
      <c r="AI56" s="2919"/>
      <c r="AJ56" s="2921">
        <f t="shared" si="75"/>
        <v>132</v>
      </c>
      <c r="AK56" s="2921"/>
      <c r="AL56" s="2921"/>
      <c r="AM56" s="2921"/>
      <c r="AN56" s="2922"/>
      <c r="AO56" s="2923"/>
      <c r="AP56" s="2921"/>
      <c r="AQ56" s="2921">
        <f t="shared" si="131"/>
        <v>33</v>
      </c>
      <c r="AR56" s="2924"/>
      <c r="AS56" s="2923">
        <f t="shared" si="132"/>
        <v>33</v>
      </c>
      <c r="AT56" s="2921">
        <f t="shared" si="133"/>
        <v>33</v>
      </c>
      <c r="AU56" s="2921"/>
      <c r="AV56" s="2924">
        <f>I56/4</f>
        <v>33</v>
      </c>
      <c r="AW56" s="2923"/>
      <c r="AX56" s="2921"/>
      <c r="AY56" s="2921"/>
      <c r="AZ56" s="2924"/>
      <c r="BA56" s="2923"/>
      <c r="BB56" s="2924"/>
      <c r="BC56" s="2925"/>
      <c r="BD56" s="2921"/>
      <c r="BE56" s="2921">
        <f>I56</f>
        <v>132</v>
      </c>
      <c r="BF56" s="2921">
        <f t="shared" si="4"/>
        <v>132</v>
      </c>
      <c r="BG56" s="2921" t="s">
        <v>9164</v>
      </c>
      <c r="BH56" s="2921"/>
      <c r="BI56" s="2921">
        <f t="shared" si="135"/>
        <v>33</v>
      </c>
      <c r="BJ56" s="2921">
        <f t="shared" ref="BJ56:BP56" si="140">BI56</f>
        <v>33</v>
      </c>
      <c r="BK56" s="2921">
        <f t="shared" si="140"/>
        <v>33</v>
      </c>
      <c r="BL56" s="2921">
        <f t="shared" si="140"/>
        <v>33</v>
      </c>
      <c r="BM56" s="2926">
        <f t="shared" si="140"/>
        <v>33</v>
      </c>
      <c r="BN56" s="2921">
        <f t="shared" si="140"/>
        <v>33</v>
      </c>
      <c r="BO56" s="2926">
        <f t="shared" si="140"/>
        <v>33</v>
      </c>
      <c r="BP56" s="2921">
        <f t="shared" si="140"/>
        <v>33</v>
      </c>
      <c r="BQ56" s="2926">
        <f t="shared" si="1"/>
        <v>238157</v>
      </c>
      <c r="BR56" s="2926">
        <f t="shared" ref="BR56:BY56" si="141">BR55-BI56</f>
        <v>20185.5</v>
      </c>
      <c r="BS56" s="2926">
        <f t="shared" si="141"/>
        <v>20185.5</v>
      </c>
      <c r="BT56" s="2926">
        <f t="shared" si="141"/>
        <v>19397.5</v>
      </c>
      <c r="BU56" s="2926">
        <f t="shared" si="141"/>
        <v>19397.5</v>
      </c>
      <c r="BV56" s="2926">
        <f t="shared" si="141"/>
        <v>34603.5</v>
      </c>
      <c r="BW56" s="2926">
        <f t="shared" si="141"/>
        <v>34603.5</v>
      </c>
      <c r="BX56" s="2926">
        <f t="shared" si="141"/>
        <v>20477.5</v>
      </c>
      <c r="BY56" s="2926">
        <f t="shared" si="141"/>
        <v>20477.5</v>
      </c>
      <c r="BZ56" s="2912"/>
      <c r="CA56" s="2927"/>
      <c r="CB56" s="2927"/>
      <c r="CC56" s="2927"/>
      <c r="CD56" s="2927"/>
      <c r="CE56" s="2927"/>
      <c r="CF56" s="2927"/>
      <c r="CG56" s="2927"/>
      <c r="CH56" s="2927"/>
      <c r="CI56" s="2927"/>
      <c r="CJ56" s="2927"/>
      <c r="CK56" s="2927"/>
      <c r="CL56" s="2927"/>
      <c r="CM56" s="2927"/>
      <c r="CN56" s="2927"/>
      <c r="CO56" s="2927"/>
      <c r="CP56" s="2927"/>
      <c r="CQ56" s="2927"/>
      <c r="CR56" s="2927"/>
      <c r="CS56" s="2927"/>
      <c r="CT56" s="2927"/>
      <c r="CU56" s="2927"/>
      <c r="CV56" s="2927"/>
      <c r="CW56" s="2927"/>
      <c r="CX56" s="2927"/>
      <c r="CY56" s="2927"/>
      <c r="CZ56" s="2927"/>
      <c r="DA56" s="2927"/>
      <c r="DB56" s="2927"/>
      <c r="DC56" s="2927"/>
      <c r="DD56" s="2927"/>
      <c r="DE56" s="2927"/>
      <c r="DF56" s="2927"/>
      <c r="DG56" s="2927"/>
      <c r="DH56" s="2927"/>
      <c r="DI56" s="2927"/>
      <c r="DJ56" s="2927"/>
      <c r="DK56" s="2927"/>
      <c r="DL56" s="2927"/>
      <c r="DM56" s="2927"/>
      <c r="DN56" s="2927"/>
      <c r="DO56" s="2927"/>
      <c r="DP56" s="2927"/>
      <c r="DQ56" s="2927"/>
      <c r="DR56" s="2927"/>
      <c r="DS56" s="2927"/>
      <c r="DT56" s="2927"/>
      <c r="DU56" s="2927"/>
      <c r="DV56" s="2927"/>
      <c r="DW56" s="2927"/>
      <c r="DX56" s="2927"/>
      <c r="DY56" s="2927"/>
      <c r="DZ56" s="2927"/>
      <c r="EA56" s="2927"/>
      <c r="EB56" s="2927"/>
      <c r="EC56" s="2927"/>
      <c r="ED56" s="2927"/>
      <c r="EE56" s="2927"/>
      <c r="EF56" s="2927"/>
      <c r="EG56" s="2927"/>
      <c r="EH56" s="2927"/>
      <c r="EI56" s="2927"/>
      <c r="EJ56" s="2927"/>
      <c r="EK56" s="2927"/>
      <c r="EL56" s="2927"/>
      <c r="EM56" s="2927"/>
      <c r="EN56" s="2927"/>
      <c r="EO56" s="2927"/>
      <c r="EP56" s="2927"/>
      <c r="EQ56" s="2927"/>
      <c r="ER56" s="2927"/>
      <c r="ES56" s="2927"/>
      <c r="ET56" s="2927"/>
      <c r="EU56" s="2927"/>
      <c r="EV56" s="2927"/>
      <c r="EW56" s="2927"/>
      <c r="EX56" s="2927"/>
      <c r="EY56" s="2927"/>
      <c r="EZ56" s="2927"/>
      <c r="FA56" s="2927"/>
      <c r="FB56" s="2927"/>
      <c r="FC56" s="2927"/>
      <c r="FD56" s="2927"/>
      <c r="FE56" s="2927"/>
      <c r="FF56" s="2927"/>
      <c r="FG56" s="2927"/>
      <c r="FH56" s="2927"/>
      <c r="FI56" s="2927"/>
      <c r="FJ56" s="2927"/>
      <c r="FK56" s="2927"/>
      <c r="FL56" s="2927"/>
      <c r="FM56" s="2927"/>
      <c r="FN56" s="2927"/>
      <c r="FO56" s="2927"/>
      <c r="FP56" s="2927"/>
      <c r="FQ56" s="2927"/>
      <c r="FR56" s="2927"/>
      <c r="FS56" s="2927"/>
      <c r="FT56" s="2927"/>
      <c r="FU56" s="2927"/>
      <c r="FV56" s="2927"/>
      <c r="FW56" s="2927"/>
      <c r="FX56" s="2927"/>
      <c r="FY56" s="2927"/>
      <c r="FZ56" s="2927"/>
      <c r="GA56" s="2927"/>
      <c r="GB56" s="2927"/>
      <c r="GC56" s="2927"/>
      <c r="GD56" s="2927"/>
      <c r="GE56" s="2927"/>
      <c r="GF56" s="2927"/>
      <c r="GG56" s="2927"/>
      <c r="GH56" s="2927"/>
      <c r="GI56" s="2927"/>
      <c r="GJ56" s="2927"/>
      <c r="GK56" s="2927"/>
      <c r="GL56" s="2927"/>
      <c r="GM56" s="2927"/>
      <c r="GN56" s="2927"/>
      <c r="GO56" s="2927"/>
      <c r="GP56" s="2927"/>
      <c r="GQ56" s="2927"/>
      <c r="GR56" s="2927"/>
      <c r="GS56" s="2927"/>
      <c r="GT56" s="2927"/>
      <c r="GU56" s="2927"/>
      <c r="GV56" s="2927"/>
      <c r="GW56" s="2927"/>
      <c r="GX56" s="2927"/>
      <c r="GY56" s="2927"/>
      <c r="GZ56" s="2927"/>
      <c r="HA56" s="2927"/>
      <c r="HB56" s="2927"/>
      <c r="HC56" s="2927"/>
      <c r="HD56" s="2927"/>
      <c r="HE56" s="2927"/>
      <c r="HF56" s="2927"/>
      <c r="HG56" s="2927"/>
      <c r="HH56" s="2927"/>
      <c r="HI56" s="2927"/>
      <c r="HJ56" s="2927"/>
      <c r="HK56" s="2927"/>
      <c r="HL56" s="2927"/>
      <c r="HM56" s="2927"/>
      <c r="HN56" s="2927"/>
      <c r="HO56" s="2927"/>
      <c r="HP56" s="2927"/>
      <c r="HQ56" s="2927"/>
      <c r="HR56" s="2927"/>
      <c r="HS56" s="2927"/>
      <c r="HT56" s="2927"/>
      <c r="HU56" s="2927"/>
      <c r="HV56" s="2927"/>
      <c r="HW56" s="2927"/>
      <c r="HX56" s="2927"/>
      <c r="HY56" s="2927"/>
      <c r="HZ56" s="2927"/>
      <c r="IA56" s="2927"/>
      <c r="IB56" s="2927"/>
      <c r="IC56" s="2927"/>
      <c r="ID56" s="2927"/>
      <c r="IE56" s="2927"/>
    </row>
    <row r="57" s="2838" customFormat="1" ht="32" customHeight="1" spans="1:239 16379:16379">
      <c r="A57" s="2905">
        <v>45615</v>
      </c>
      <c r="B57" s="2906" t="s">
        <v>387</v>
      </c>
      <c r="C57" s="2907" t="s">
        <v>91</v>
      </c>
      <c r="D57" s="2908">
        <v>4500151563</v>
      </c>
      <c r="E57" s="2909" t="s">
        <v>10363</v>
      </c>
      <c r="F57" s="2908" t="s">
        <v>10364</v>
      </c>
      <c r="G57" s="2930" t="s">
        <v>10199</v>
      </c>
      <c r="H57" s="2911" t="s">
        <v>9155</v>
      </c>
      <c r="I57" s="2912">
        <v>360</v>
      </c>
      <c r="J57" s="2912">
        <v>0</v>
      </c>
      <c r="K57" s="2912">
        <v>4</v>
      </c>
      <c r="L57" s="2912">
        <f t="shared" si="0"/>
        <v>90</v>
      </c>
      <c r="M57" s="2913">
        <v>45841</v>
      </c>
      <c r="N57" s="2913">
        <v>45838</v>
      </c>
      <c r="O57" s="2914"/>
      <c r="P57" s="2914" t="s">
        <v>10206</v>
      </c>
      <c r="Q57" s="2914"/>
      <c r="R57" s="2915" t="s">
        <v>390</v>
      </c>
      <c r="S57" s="2915"/>
      <c r="T57" s="2915" t="s">
        <v>98</v>
      </c>
      <c r="U57" s="2915"/>
      <c r="V57" s="2915"/>
      <c r="W57" s="2929" t="s">
        <v>1531</v>
      </c>
      <c r="X57" s="2912" t="s">
        <v>393</v>
      </c>
      <c r="Y57" s="2917">
        <v>7.3277</v>
      </c>
      <c r="Z57" s="2918">
        <f t="shared" si="95"/>
        <v>2637.972</v>
      </c>
      <c r="AA57" s="2912"/>
      <c r="AB57" s="2906" t="s">
        <v>10199</v>
      </c>
      <c r="AC57" s="2912" t="s">
        <v>416</v>
      </c>
      <c r="AD57" s="2919">
        <f t="shared" ref="AD57:AD59" si="142">I57</f>
        <v>360</v>
      </c>
      <c r="AE57" s="2919"/>
      <c r="AF57" s="2920"/>
      <c r="AG57" s="2919"/>
      <c r="AH57" s="2919"/>
      <c r="AI57" s="2919"/>
      <c r="AJ57" s="2921">
        <f t="shared" si="75"/>
        <v>360</v>
      </c>
      <c r="AK57" s="2921"/>
      <c r="AL57" s="2921"/>
      <c r="AM57" s="2921"/>
      <c r="AN57" s="2922"/>
      <c r="AO57" s="2923"/>
      <c r="AP57" s="2921"/>
      <c r="AQ57" s="2921">
        <f t="shared" si="131"/>
        <v>90</v>
      </c>
      <c r="AR57" s="2924"/>
      <c r="AS57" s="2923">
        <f t="shared" si="132"/>
        <v>90</v>
      </c>
      <c r="AT57" s="2921">
        <f t="shared" si="133"/>
        <v>90</v>
      </c>
      <c r="AU57" s="2921"/>
      <c r="AV57" s="2924">
        <f t="shared" si="134"/>
        <v>90</v>
      </c>
      <c r="AW57" s="2923"/>
      <c r="AX57" s="2921"/>
      <c r="AY57" s="2921"/>
      <c r="AZ57" s="2924"/>
      <c r="BA57" s="2923"/>
      <c r="BB57" s="2924"/>
      <c r="BC57" s="2925"/>
      <c r="BD57" s="2921">
        <f t="shared" ref="BD57:BD120" si="143">I57</f>
        <v>360</v>
      </c>
      <c r="BE57" s="2921"/>
      <c r="BF57" s="2921">
        <f t="shared" si="4"/>
        <v>360</v>
      </c>
      <c r="BG57" s="2921" t="s">
        <v>9164</v>
      </c>
      <c r="BH57" s="2921"/>
      <c r="BI57" s="2921">
        <f t="shared" si="135"/>
        <v>90</v>
      </c>
      <c r="BJ57" s="2921">
        <f t="shared" ref="BJ57:BP57" si="144">BI57</f>
        <v>90</v>
      </c>
      <c r="BK57" s="2921">
        <f t="shared" si="144"/>
        <v>90</v>
      </c>
      <c r="BL57" s="2921">
        <f t="shared" si="144"/>
        <v>90</v>
      </c>
      <c r="BM57" s="2926">
        <f t="shared" si="144"/>
        <v>90</v>
      </c>
      <c r="BN57" s="2921">
        <f t="shared" si="144"/>
        <v>90</v>
      </c>
      <c r="BO57" s="2926">
        <f t="shared" si="144"/>
        <v>90</v>
      </c>
      <c r="BP57" s="2921">
        <f t="shared" si="144"/>
        <v>90</v>
      </c>
      <c r="BQ57" s="2926">
        <f t="shared" si="1"/>
        <v>238385</v>
      </c>
      <c r="BR57" s="2926">
        <f>'取消单-1'!BR88-BI57</f>
        <v>20243.5</v>
      </c>
      <c r="BS57" s="2926">
        <f>'取消单-1'!BS88-BJ57</f>
        <v>20243.5</v>
      </c>
      <c r="BT57" s="2926">
        <f>'取消单-1'!BT88-BK57</f>
        <v>19455.5</v>
      </c>
      <c r="BU57" s="2926">
        <f>'取消单-1'!BU88-BL57</f>
        <v>19455.5</v>
      </c>
      <c r="BV57" s="2926">
        <f>'取消单-1'!BV88-BM57</f>
        <v>34661.5</v>
      </c>
      <c r="BW57" s="2926">
        <f>'取消单-1'!BW88-BN57</f>
        <v>34661.5</v>
      </c>
      <c r="BX57" s="2926">
        <f>'取消单-1'!BX88-BO57</f>
        <v>20535.5</v>
      </c>
      <c r="BY57" s="2926">
        <f>'取消单-1'!BY88-BP57</f>
        <v>20535.5</v>
      </c>
      <c r="BZ57" s="2912"/>
      <c r="CA57" s="2927"/>
      <c r="CB57" s="2927"/>
      <c r="CC57" s="2927"/>
      <c r="CD57" s="2927"/>
      <c r="CE57" s="2927"/>
      <c r="CF57" s="2927"/>
      <c r="CG57" s="2927"/>
      <c r="CH57" s="2927"/>
      <c r="CI57" s="2927"/>
      <c r="CJ57" s="2927"/>
      <c r="CK57" s="2927"/>
      <c r="CL57" s="2927"/>
      <c r="CM57" s="2927"/>
      <c r="CN57" s="2927"/>
      <c r="CO57" s="2927"/>
      <c r="CP57" s="2927"/>
      <c r="CQ57" s="2927"/>
      <c r="CR57" s="2927"/>
      <c r="CS57" s="2927"/>
      <c r="CT57" s="2927"/>
      <c r="CU57" s="2927"/>
      <c r="CV57" s="2927"/>
      <c r="CW57" s="2927"/>
      <c r="CX57" s="2927"/>
      <c r="CY57" s="2927"/>
      <c r="CZ57" s="2927"/>
      <c r="DA57" s="2927"/>
      <c r="DB57" s="2927"/>
      <c r="DC57" s="2927"/>
      <c r="DD57" s="2927"/>
      <c r="DE57" s="2927"/>
      <c r="DF57" s="2927"/>
      <c r="DG57" s="2927"/>
      <c r="DH57" s="2927"/>
      <c r="DI57" s="2927"/>
      <c r="DJ57" s="2927"/>
      <c r="DK57" s="2927"/>
      <c r="DL57" s="2927"/>
      <c r="DM57" s="2927"/>
      <c r="DN57" s="2927"/>
      <c r="DO57" s="2927"/>
      <c r="DP57" s="2927"/>
      <c r="DQ57" s="2927"/>
      <c r="DR57" s="2927"/>
      <c r="DS57" s="2927"/>
      <c r="DT57" s="2927"/>
      <c r="DU57" s="2927"/>
      <c r="DV57" s="2927"/>
      <c r="DW57" s="2927"/>
      <c r="DX57" s="2927"/>
      <c r="DY57" s="2927"/>
      <c r="DZ57" s="2927"/>
      <c r="EA57" s="2927"/>
      <c r="EB57" s="2927"/>
      <c r="EC57" s="2927"/>
      <c r="ED57" s="2927"/>
      <c r="EE57" s="2927"/>
      <c r="EF57" s="2927"/>
      <c r="EG57" s="2927"/>
      <c r="EH57" s="2927"/>
      <c r="EI57" s="2927"/>
      <c r="EJ57" s="2927"/>
      <c r="EK57" s="2927"/>
      <c r="EL57" s="2927"/>
      <c r="EM57" s="2927"/>
      <c r="EN57" s="2927"/>
      <c r="EO57" s="2927"/>
      <c r="EP57" s="2927"/>
      <c r="EQ57" s="2927"/>
      <c r="ER57" s="2927"/>
      <c r="ES57" s="2927"/>
      <c r="ET57" s="2927"/>
      <c r="EU57" s="2927"/>
      <c r="EV57" s="2927"/>
      <c r="EW57" s="2927"/>
      <c r="EX57" s="2927"/>
      <c r="EY57" s="2927"/>
      <c r="EZ57" s="2927"/>
      <c r="FA57" s="2927"/>
      <c r="FB57" s="2927"/>
      <c r="FC57" s="2927"/>
      <c r="FD57" s="2927"/>
      <c r="FE57" s="2927"/>
      <c r="FF57" s="2927"/>
      <c r="FG57" s="2927"/>
      <c r="FH57" s="2927"/>
      <c r="FI57" s="2927"/>
      <c r="FJ57" s="2927"/>
      <c r="FK57" s="2927"/>
      <c r="FL57" s="2927"/>
      <c r="FM57" s="2927"/>
      <c r="FN57" s="2927"/>
      <c r="FO57" s="2927"/>
      <c r="FP57" s="2927"/>
      <c r="FQ57" s="2927"/>
      <c r="FR57" s="2927"/>
      <c r="FS57" s="2927"/>
      <c r="FT57" s="2927"/>
      <c r="FU57" s="2927"/>
      <c r="FV57" s="2927"/>
      <c r="FW57" s="2927"/>
      <c r="FX57" s="2927"/>
      <c r="FY57" s="2927"/>
      <c r="FZ57" s="2927"/>
      <c r="GA57" s="2927"/>
      <c r="GB57" s="2927"/>
      <c r="GC57" s="2927"/>
      <c r="GD57" s="2927"/>
      <c r="GE57" s="2927"/>
      <c r="GF57" s="2927"/>
      <c r="GG57" s="2927"/>
      <c r="GH57" s="2927"/>
      <c r="GI57" s="2927"/>
      <c r="GJ57" s="2927"/>
      <c r="GK57" s="2927"/>
      <c r="GL57" s="2927"/>
      <c r="GM57" s="2927"/>
      <c r="GN57" s="2927"/>
      <c r="GO57" s="2927"/>
      <c r="GP57" s="2927"/>
      <c r="GQ57" s="2927"/>
      <c r="GR57" s="2927"/>
      <c r="GS57" s="2927"/>
      <c r="GT57" s="2927"/>
      <c r="GU57" s="2927"/>
      <c r="GV57" s="2927"/>
      <c r="GW57" s="2927"/>
      <c r="GX57" s="2927"/>
      <c r="GY57" s="2927"/>
      <c r="GZ57" s="2927"/>
      <c r="HA57" s="2927"/>
      <c r="HB57" s="2927"/>
      <c r="HC57" s="2927"/>
      <c r="HD57" s="2927"/>
      <c r="HE57" s="2927"/>
      <c r="HF57" s="2927"/>
      <c r="HG57" s="2927"/>
      <c r="HH57" s="2927"/>
      <c r="HI57" s="2927"/>
      <c r="HJ57" s="2927"/>
      <c r="HK57" s="2927"/>
      <c r="HL57" s="2927"/>
      <c r="HM57" s="2927"/>
      <c r="HN57" s="2927"/>
      <c r="HO57" s="2927"/>
      <c r="HP57" s="2927"/>
      <c r="HQ57" s="2927"/>
      <c r="HR57" s="2927"/>
      <c r="HS57" s="2927"/>
      <c r="HT57" s="2927"/>
      <c r="HU57" s="2927"/>
      <c r="HV57" s="2927"/>
      <c r="HW57" s="2927"/>
      <c r="HX57" s="2927"/>
      <c r="HY57" s="2927"/>
      <c r="HZ57" s="2927"/>
      <c r="IA57" s="2927"/>
      <c r="IB57" s="2927"/>
      <c r="IC57" s="2927"/>
      <c r="ID57" s="2927"/>
      <c r="IE57" s="2927"/>
    </row>
    <row r="58" s="2838" customFormat="1" ht="32" customHeight="1" spans="1:239 16379:16379">
      <c r="A58" s="2905">
        <v>45755</v>
      </c>
      <c r="B58" s="2906" t="s">
        <v>331</v>
      </c>
      <c r="C58" s="2907" t="s">
        <v>10365</v>
      </c>
      <c r="D58" s="2908">
        <v>4500162935</v>
      </c>
      <c r="E58" s="2909" t="s">
        <v>8482</v>
      </c>
      <c r="F58" s="2910" t="s">
        <v>10366</v>
      </c>
      <c r="G58" s="2930" t="s">
        <v>10367</v>
      </c>
      <c r="H58" s="2911" t="s">
        <v>9155</v>
      </c>
      <c r="I58" s="2912">
        <v>2500</v>
      </c>
      <c r="J58" s="2912">
        <v>0</v>
      </c>
      <c r="K58" s="2912">
        <v>1</v>
      </c>
      <c r="L58" s="2912">
        <f t="shared" si="0"/>
        <v>2500</v>
      </c>
      <c r="M58" s="2913">
        <v>45810</v>
      </c>
      <c r="N58" s="2913">
        <v>45806</v>
      </c>
      <c r="O58" s="2914"/>
      <c r="P58" s="2914" t="s">
        <v>10206</v>
      </c>
      <c r="Q58" s="2914" t="s">
        <v>191</v>
      </c>
      <c r="R58" s="2915" t="s">
        <v>1249</v>
      </c>
      <c r="S58" s="2915"/>
      <c r="T58" s="2915" t="s">
        <v>8485</v>
      </c>
      <c r="U58" s="2915"/>
      <c r="V58" s="2915"/>
      <c r="W58" s="2931" t="s">
        <v>10368</v>
      </c>
      <c r="X58" s="2912" t="s">
        <v>2382</v>
      </c>
      <c r="Y58" s="2917">
        <v>6.9678</v>
      </c>
      <c r="Z58" s="2918">
        <v>17419.5</v>
      </c>
      <c r="AA58" s="2912"/>
      <c r="AB58" s="2906" t="s">
        <v>10369</v>
      </c>
      <c r="AC58" s="2912" t="s">
        <v>416</v>
      </c>
      <c r="AD58" s="2919">
        <f t="shared" si="142"/>
        <v>2500</v>
      </c>
      <c r="AE58" s="2919"/>
      <c r="AF58" s="2940"/>
      <c r="AG58" s="2919"/>
      <c r="AH58" s="2919"/>
      <c r="AI58" s="2919"/>
      <c r="AJ58" s="2921">
        <f t="shared" si="75"/>
        <v>2500</v>
      </c>
      <c r="AK58" s="2921"/>
      <c r="AL58" s="2921"/>
      <c r="AM58" s="2921"/>
      <c r="AN58" s="2922"/>
      <c r="AO58" s="2923"/>
      <c r="AP58" s="2921"/>
      <c r="AQ58" s="2921">
        <f t="shared" si="131"/>
        <v>625</v>
      </c>
      <c r="AR58" s="2924"/>
      <c r="AS58" s="2923">
        <f t="shared" si="132"/>
        <v>625</v>
      </c>
      <c r="AT58" s="2921">
        <f t="shared" si="133"/>
        <v>625</v>
      </c>
      <c r="AU58" s="2921"/>
      <c r="AV58" s="2924">
        <f>I58/4</f>
        <v>625</v>
      </c>
      <c r="AW58" s="2923"/>
      <c r="AX58" s="2921"/>
      <c r="AY58" s="2921"/>
      <c r="AZ58" s="2924"/>
      <c r="BA58" s="2923"/>
      <c r="BB58" s="2924"/>
      <c r="BC58" s="2925"/>
      <c r="BD58" s="2921">
        <f t="shared" si="143"/>
        <v>2500</v>
      </c>
      <c r="BE58" s="2921"/>
      <c r="BF58" s="2921">
        <f t="shared" si="4"/>
        <v>2500</v>
      </c>
      <c r="BG58" s="2921" t="s">
        <v>9164</v>
      </c>
      <c r="BH58" s="2921"/>
      <c r="BI58" s="2921">
        <v>625</v>
      </c>
      <c r="BJ58" s="2921">
        <v>625</v>
      </c>
      <c r="BK58" s="2921">
        <v>625</v>
      </c>
      <c r="BL58" s="2921">
        <v>625</v>
      </c>
      <c r="BM58" s="2926">
        <v>625</v>
      </c>
      <c r="BN58" s="2921">
        <v>625</v>
      </c>
      <c r="BO58" s="2926">
        <v>625</v>
      </c>
      <c r="BP58" s="2921">
        <v>625</v>
      </c>
      <c r="BQ58" s="2926">
        <f t="shared" si="1"/>
        <v>240525</v>
      </c>
      <c r="BR58" s="2926">
        <f t="shared" ref="BR58:BY58" si="145">BR56-BI58</f>
        <v>19560.5</v>
      </c>
      <c r="BS58" s="2926">
        <f t="shared" si="145"/>
        <v>19560.5</v>
      </c>
      <c r="BT58" s="2926">
        <f t="shared" si="145"/>
        <v>18772.5</v>
      </c>
      <c r="BU58" s="2926">
        <f t="shared" si="145"/>
        <v>18772.5</v>
      </c>
      <c r="BV58" s="2926">
        <f t="shared" si="145"/>
        <v>33978.5</v>
      </c>
      <c r="BW58" s="2926">
        <f t="shared" si="145"/>
        <v>33978.5</v>
      </c>
      <c r="BX58" s="2926">
        <f t="shared" si="145"/>
        <v>19852.5</v>
      </c>
      <c r="BY58" s="2926">
        <f t="shared" si="145"/>
        <v>19852.5</v>
      </c>
      <c r="BZ58" s="2912"/>
      <c r="CA58" s="2927"/>
      <c r="CB58" s="2927"/>
      <c r="CC58" s="2927"/>
      <c r="CD58" s="2927"/>
      <c r="CE58" s="2927"/>
      <c r="CF58" s="2927"/>
      <c r="CG58" s="2927"/>
      <c r="CH58" s="2927"/>
      <c r="CI58" s="2927"/>
      <c r="CJ58" s="2927"/>
      <c r="CK58" s="2927"/>
      <c r="CL58" s="2927"/>
      <c r="CM58" s="2927"/>
      <c r="CN58" s="2927"/>
      <c r="CO58" s="2927"/>
      <c r="CP58" s="2927"/>
      <c r="CQ58" s="2927"/>
      <c r="CR58" s="2927"/>
      <c r="CS58" s="2927"/>
      <c r="CT58" s="2927"/>
      <c r="CU58" s="2927"/>
      <c r="CV58" s="2927"/>
      <c r="CW58" s="2927"/>
      <c r="CX58" s="2927"/>
      <c r="CY58" s="2927"/>
      <c r="CZ58" s="2927"/>
      <c r="DA58" s="2927"/>
      <c r="DB58" s="2927"/>
      <c r="DC58" s="2927"/>
      <c r="DD58" s="2927"/>
      <c r="DE58" s="2927"/>
      <c r="DF58" s="2927"/>
      <c r="DG58" s="2927"/>
      <c r="DH58" s="2927"/>
      <c r="DI58" s="2927"/>
      <c r="DJ58" s="2927"/>
      <c r="DK58" s="2927"/>
      <c r="DL58" s="2927"/>
      <c r="DM58" s="2927"/>
      <c r="DN58" s="2927"/>
      <c r="DO58" s="2927"/>
      <c r="DP58" s="2927"/>
      <c r="DQ58" s="2927"/>
      <c r="DR58" s="2927"/>
      <c r="DS58" s="2927"/>
      <c r="DT58" s="2927"/>
      <c r="DU58" s="2927"/>
      <c r="DV58" s="2927"/>
      <c r="DW58" s="2927"/>
      <c r="DX58" s="2927"/>
      <c r="DY58" s="2927"/>
      <c r="DZ58" s="2927"/>
      <c r="EA58" s="2927"/>
      <c r="EB58" s="2927"/>
      <c r="EC58" s="2927"/>
      <c r="ED58" s="2927"/>
      <c r="EE58" s="2927"/>
      <c r="EF58" s="2927"/>
      <c r="EG58" s="2927"/>
      <c r="EH58" s="2927"/>
      <c r="EI58" s="2927"/>
      <c r="EJ58" s="2927"/>
      <c r="EK58" s="2927"/>
      <c r="EL58" s="2927"/>
      <c r="EM58" s="2927"/>
      <c r="EN58" s="2927"/>
      <c r="EO58" s="2927"/>
      <c r="EP58" s="2927"/>
      <c r="EQ58" s="2927"/>
      <c r="ER58" s="2927"/>
      <c r="ES58" s="2927"/>
      <c r="ET58" s="2927"/>
      <c r="EU58" s="2927"/>
      <c r="EV58" s="2927"/>
      <c r="EW58" s="2927"/>
      <c r="EX58" s="2927"/>
      <c r="EY58" s="2927"/>
      <c r="EZ58" s="2927"/>
      <c r="FA58" s="2927"/>
      <c r="FB58" s="2927"/>
      <c r="FC58" s="2927"/>
      <c r="FD58" s="2927"/>
      <c r="FE58" s="2927"/>
      <c r="FF58" s="2927"/>
      <c r="FG58" s="2927"/>
      <c r="FH58" s="2927"/>
      <c r="FI58" s="2927"/>
      <c r="FJ58" s="2927"/>
      <c r="FK58" s="2927"/>
      <c r="FL58" s="2927"/>
      <c r="FM58" s="2927"/>
      <c r="FN58" s="2927"/>
      <c r="FO58" s="2927"/>
      <c r="FP58" s="2927"/>
      <c r="FQ58" s="2927"/>
      <c r="FR58" s="2927"/>
      <c r="FS58" s="2927"/>
      <c r="FT58" s="2927"/>
      <c r="FU58" s="2927"/>
      <c r="FV58" s="2927"/>
      <c r="FW58" s="2927"/>
      <c r="FX58" s="2927"/>
      <c r="FY58" s="2927"/>
      <c r="FZ58" s="2927"/>
      <c r="GA58" s="2927"/>
      <c r="GB58" s="2927"/>
      <c r="GC58" s="2927"/>
      <c r="GD58" s="2927"/>
      <c r="GE58" s="2927"/>
      <c r="GF58" s="2927"/>
      <c r="GG58" s="2927"/>
      <c r="GH58" s="2927"/>
      <c r="GI58" s="2927"/>
      <c r="GJ58" s="2927"/>
      <c r="GK58" s="2927"/>
      <c r="GL58" s="2927"/>
      <c r="GM58" s="2927"/>
      <c r="GN58" s="2927"/>
      <c r="GO58" s="2927"/>
      <c r="GP58" s="2927"/>
      <c r="GQ58" s="2927"/>
      <c r="GR58" s="2927"/>
      <c r="GS58" s="2927"/>
      <c r="GT58" s="2927"/>
      <c r="GU58" s="2927"/>
      <c r="GV58" s="2927"/>
      <c r="GW58" s="2927"/>
      <c r="GX58" s="2927"/>
      <c r="GY58" s="2927"/>
      <c r="GZ58" s="2927"/>
      <c r="HA58" s="2927"/>
      <c r="HB58" s="2927"/>
      <c r="HC58" s="2927"/>
      <c r="HD58" s="2927"/>
      <c r="HE58" s="2927"/>
      <c r="HF58" s="2927"/>
      <c r="HG58" s="2927"/>
      <c r="HH58" s="2927"/>
      <c r="HI58" s="2927"/>
      <c r="HJ58" s="2927"/>
      <c r="HK58" s="2927"/>
      <c r="HL58" s="2927"/>
      <c r="HM58" s="2927"/>
      <c r="HN58" s="2927"/>
      <c r="HO58" s="2927"/>
      <c r="HP58" s="2927"/>
      <c r="HQ58" s="2927"/>
      <c r="HR58" s="2927"/>
      <c r="HS58" s="2927"/>
      <c r="HT58" s="2927"/>
      <c r="HU58" s="2927"/>
      <c r="HV58" s="2927"/>
      <c r="HW58" s="2927"/>
      <c r="HX58" s="2927"/>
      <c r="HY58" s="2927"/>
      <c r="HZ58" s="2927"/>
      <c r="IA58" s="2927"/>
      <c r="IB58" s="2927"/>
      <c r="IC58" s="2927"/>
      <c r="ID58" s="2927"/>
      <c r="IE58" s="2927"/>
    </row>
    <row r="59" s="2838" customFormat="1" ht="32" customHeight="1" spans="1:239 16379:16379">
      <c r="A59" s="2905">
        <v>45735</v>
      </c>
      <c r="B59" s="2906" t="s">
        <v>6907</v>
      </c>
      <c r="C59" s="2907" t="s">
        <v>91</v>
      </c>
      <c r="D59" s="2908">
        <v>4500160726</v>
      </c>
      <c r="E59" s="2909" t="s">
        <v>9587</v>
      </c>
      <c r="F59" s="2908" t="s">
        <v>10370</v>
      </c>
      <c r="G59" s="2930" t="s">
        <v>10199</v>
      </c>
      <c r="H59" s="2911" t="s">
        <v>9155</v>
      </c>
      <c r="I59" s="2912">
        <v>532</v>
      </c>
      <c r="J59" s="2912">
        <v>0</v>
      </c>
      <c r="K59" s="2912">
        <v>4</v>
      </c>
      <c r="L59" s="2912">
        <f t="shared" ref="L59:L122" si="146">I59/K59</f>
        <v>133</v>
      </c>
      <c r="M59" s="2913">
        <v>45818</v>
      </c>
      <c r="N59" s="2913">
        <v>45814</v>
      </c>
      <c r="O59" s="2914"/>
      <c r="P59" s="2914" t="s">
        <v>10206</v>
      </c>
      <c r="Q59" s="2914" t="s">
        <v>3739</v>
      </c>
      <c r="R59" s="2915" t="s">
        <v>5968</v>
      </c>
      <c r="S59" s="2915"/>
      <c r="T59" s="2915" t="s">
        <v>1040</v>
      </c>
      <c r="U59" s="2915"/>
      <c r="V59" s="2915"/>
      <c r="W59" s="2929" t="s">
        <v>9589</v>
      </c>
      <c r="X59" s="2932" t="s">
        <v>6911</v>
      </c>
      <c r="Y59" s="2917">
        <v>7.1595</v>
      </c>
      <c r="Z59" s="2918">
        <f t="shared" ref="Z59:Z67" si="147">Y59*I59</f>
        <v>3808.854</v>
      </c>
      <c r="AA59" s="2912"/>
      <c r="AB59" s="2906" t="s">
        <v>10312</v>
      </c>
      <c r="AC59" s="2912" t="s">
        <v>416</v>
      </c>
      <c r="AD59" s="2919">
        <f t="shared" si="142"/>
        <v>532</v>
      </c>
      <c r="AE59" s="2919"/>
      <c r="AF59" s="2919"/>
      <c r="AG59" s="2919"/>
      <c r="AH59" s="2919"/>
      <c r="AI59" s="2919"/>
      <c r="AJ59" s="2921">
        <f t="shared" si="75"/>
        <v>532</v>
      </c>
      <c r="AK59" s="2921"/>
      <c r="AL59" s="2921"/>
      <c r="AM59" s="2921"/>
      <c r="AN59" s="2922"/>
      <c r="AO59" s="2923"/>
      <c r="AP59" s="2921"/>
      <c r="AQ59" s="2921">
        <f t="shared" si="131"/>
        <v>133</v>
      </c>
      <c r="AR59" s="2924"/>
      <c r="AS59" s="2923">
        <f t="shared" si="132"/>
        <v>133</v>
      </c>
      <c r="AT59" s="2921">
        <f t="shared" si="133"/>
        <v>133</v>
      </c>
      <c r="AU59" s="2921"/>
      <c r="AV59" s="2924">
        <f t="shared" ref="AV59:AV63" si="148">AS59</f>
        <v>133</v>
      </c>
      <c r="AW59" s="2923"/>
      <c r="AX59" s="2921"/>
      <c r="AY59" s="2921"/>
      <c r="AZ59" s="2924"/>
      <c r="BA59" s="2923"/>
      <c r="BB59" s="2924"/>
      <c r="BC59" s="2925"/>
      <c r="BD59" s="2921">
        <f t="shared" si="143"/>
        <v>532</v>
      </c>
      <c r="BE59" s="2921"/>
      <c r="BF59" s="2921">
        <f t="shared" si="4"/>
        <v>532</v>
      </c>
      <c r="BG59" s="2921" t="s">
        <v>9164</v>
      </c>
      <c r="BH59" s="2921"/>
      <c r="BI59" s="2921">
        <f t="shared" ref="BI59:BI63" si="149">I59/4</f>
        <v>133</v>
      </c>
      <c r="BJ59" s="2921">
        <f t="shared" ref="BJ59:BP59" si="150">BI59</f>
        <v>133</v>
      </c>
      <c r="BK59" s="2921">
        <f t="shared" si="150"/>
        <v>133</v>
      </c>
      <c r="BL59" s="2921">
        <f t="shared" si="150"/>
        <v>133</v>
      </c>
      <c r="BM59" s="2926">
        <f t="shared" si="150"/>
        <v>133</v>
      </c>
      <c r="BN59" s="2921">
        <f t="shared" si="150"/>
        <v>133</v>
      </c>
      <c r="BO59" s="2926">
        <f t="shared" si="150"/>
        <v>133</v>
      </c>
      <c r="BP59" s="2921">
        <f t="shared" si="150"/>
        <v>133</v>
      </c>
      <c r="BQ59" s="2926">
        <f t="shared" si="1"/>
        <v>238557</v>
      </c>
      <c r="BR59" s="2926">
        <f t="shared" ref="BR59:BY59" si="151">BR60-BI59</f>
        <v>18302.5</v>
      </c>
      <c r="BS59" s="2926">
        <f t="shared" si="151"/>
        <v>18302.5</v>
      </c>
      <c r="BT59" s="2926">
        <f t="shared" si="151"/>
        <v>17514.5</v>
      </c>
      <c r="BU59" s="2926">
        <f t="shared" si="151"/>
        <v>17514.5</v>
      </c>
      <c r="BV59" s="2926">
        <f t="shared" si="151"/>
        <v>32720.5</v>
      </c>
      <c r="BW59" s="2926">
        <f t="shared" si="151"/>
        <v>32720.5</v>
      </c>
      <c r="BX59" s="2926">
        <f t="shared" si="151"/>
        <v>18594.5</v>
      </c>
      <c r="BY59" s="2926">
        <f t="shared" si="151"/>
        <v>18594.5</v>
      </c>
      <c r="BZ59" s="2912"/>
      <c r="CA59" s="2927"/>
      <c r="CB59" s="2927"/>
      <c r="CC59" s="2927"/>
      <c r="CD59" s="2927"/>
      <c r="CE59" s="2927"/>
      <c r="CF59" s="2927"/>
      <c r="CG59" s="2927"/>
      <c r="CH59" s="2927"/>
      <c r="CI59" s="2927"/>
      <c r="CJ59" s="2927"/>
      <c r="CK59" s="2927"/>
      <c r="CL59" s="2927"/>
      <c r="CM59" s="2927"/>
      <c r="CN59" s="2927"/>
      <c r="CO59" s="2927"/>
      <c r="CP59" s="2927"/>
      <c r="CQ59" s="2927"/>
      <c r="CR59" s="2927"/>
      <c r="CS59" s="2927"/>
      <c r="CT59" s="2927"/>
      <c r="CU59" s="2927"/>
      <c r="CV59" s="2927"/>
      <c r="CW59" s="2927"/>
      <c r="CX59" s="2927"/>
      <c r="CY59" s="2927"/>
      <c r="CZ59" s="2927"/>
      <c r="DA59" s="2927"/>
      <c r="DB59" s="2927"/>
      <c r="DC59" s="2927"/>
      <c r="DD59" s="2927"/>
      <c r="DE59" s="2927"/>
      <c r="DF59" s="2927"/>
      <c r="DG59" s="2927"/>
      <c r="DH59" s="2927"/>
      <c r="DI59" s="2927"/>
      <c r="DJ59" s="2927"/>
      <c r="DK59" s="2927"/>
      <c r="DL59" s="2927"/>
      <c r="DM59" s="2927"/>
      <c r="DN59" s="2927"/>
      <c r="DO59" s="2927"/>
      <c r="DP59" s="2927"/>
      <c r="DQ59" s="2927"/>
      <c r="DR59" s="2927"/>
      <c r="DS59" s="2927"/>
      <c r="DT59" s="2927"/>
      <c r="DU59" s="2927"/>
      <c r="DV59" s="2927"/>
      <c r="DW59" s="2927"/>
      <c r="DX59" s="2927"/>
      <c r="DY59" s="2927"/>
      <c r="DZ59" s="2927"/>
      <c r="EA59" s="2927"/>
      <c r="EB59" s="2927"/>
      <c r="EC59" s="2927"/>
      <c r="ED59" s="2927"/>
      <c r="EE59" s="2927"/>
      <c r="EF59" s="2927"/>
      <c r="EG59" s="2927"/>
      <c r="EH59" s="2927"/>
      <c r="EI59" s="2927"/>
      <c r="EJ59" s="2927"/>
      <c r="EK59" s="2927"/>
      <c r="EL59" s="2927"/>
      <c r="EM59" s="2927"/>
      <c r="EN59" s="2927"/>
      <c r="EO59" s="2927"/>
      <c r="EP59" s="2927"/>
      <c r="EQ59" s="2927"/>
      <c r="ER59" s="2927"/>
      <c r="ES59" s="2927"/>
      <c r="ET59" s="2927"/>
      <c r="EU59" s="2927"/>
      <c r="EV59" s="2927"/>
      <c r="EW59" s="2927"/>
      <c r="EX59" s="2927"/>
      <c r="EY59" s="2927"/>
      <c r="EZ59" s="2927"/>
      <c r="FA59" s="2927"/>
      <c r="FB59" s="2927"/>
      <c r="FC59" s="2927"/>
      <c r="FD59" s="2927"/>
      <c r="FE59" s="2927"/>
      <c r="FF59" s="2927"/>
      <c r="FG59" s="2927"/>
      <c r="FH59" s="2927"/>
      <c r="FI59" s="2927"/>
      <c r="FJ59" s="2927"/>
      <c r="FK59" s="2927"/>
      <c r="FL59" s="2927"/>
      <c r="FM59" s="2927"/>
      <c r="FN59" s="2927"/>
      <c r="FO59" s="2927"/>
      <c r="FP59" s="2927"/>
      <c r="FQ59" s="2927"/>
      <c r="FR59" s="2927"/>
      <c r="FS59" s="2927"/>
      <c r="FT59" s="2927"/>
      <c r="FU59" s="2927"/>
      <c r="FV59" s="2927"/>
      <c r="FW59" s="2927"/>
      <c r="FX59" s="2927"/>
      <c r="FY59" s="2927"/>
      <c r="FZ59" s="2927"/>
      <c r="GA59" s="2927"/>
      <c r="GB59" s="2927"/>
      <c r="GC59" s="2927"/>
      <c r="GD59" s="2927"/>
      <c r="GE59" s="2927"/>
      <c r="GF59" s="2927"/>
      <c r="GG59" s="2927"/>
      <c r="GH59" s="2927"/>
      <c r="GI59" s="2927"/>
      <c r="GJ59" s="2927"/>
      <c r="GK59" s="2927"/>
      <c r="GL59" s="2927"/>
      <c r="GM59" s="2927"/>
      <c r="GN59" s="2927"/>
      <c r="GO59" s="2927"/>
      <c r="GP59" s="2927"/>
      <c r="GQ59" s="2927"/>
      <c r="GR59" s="2927"/>
      <c r="GS59" s="2927"/>
      <c r="GT59" s="2927"/>
      <c r="GU59" s="2927"/>
      <c r="GV59" s="2927"/>
      <c r="GW59" s="2927"/>
      <c r="GX59" s="2927"/>
      <c r="GY59" s="2927"/>
      <c r="GZ59" s="2927"/>
      <c r="HA59" s="2927"/>
      <c r="HB59" s="2927"/>
      <c r="HC59" s="2927"/>
      <c r="HD59" s="2927"/>
      <c r="HE59" s="2927"/>
      <c r="HF59" s="2927"/>
      <c r="HG59" s="2927"/>
      <c r="HH59" s="2927"/>
      <c r="HI59" s="2927"/>
      <c r="HJ59" s="2927"/>
      <c r="HK59" s="2927"/>
      <c r="HL59" s="2927"/>
      <c r="HM59" s="2927"/>
      <c r="HN59" s="2927"/>
      <c r="HO59" s="2927"/>
      <c r="HP59" s="2927"/>
      <c r="HQ59" s="2927"/>
      <c r="HR59" s="2927"/>
      <c r="HS59" s="2927"/>
      <c r="HT59" s="2927"/>
      <c r="HU59" s="2927"/>
      <c r="HV59" s="2927"/>
      <c r="HW59" s="2927"/>
      <c r="HX59" s="2927"/>
      <c r="HY59" s="2927"/>
      <c r="HZ59" s="2927"/>
      <c r="IA59" s="2927"/>
      <c r="IB59" s="2927"/>
      <c r="IC59" s="2927"/>
      <c r="ID59" s="2927"/>
      <c r="IE59" s="2927"/>
    </row>
    <row r="60" s="2838" customFormat="1" ht="32" customHeight="1" spans="1:239 16379:16379">
      <c r="A60" s="2905">
        <v>45734</v>
      </c>
      <c r="B60" s="2906" t="s">
        <v>3608</v>
      </c>
      <c r="C60" s="2907" t="s">
        <v>738</v>
      </c>
      <c r="D60" s="2908">
        <v>4500160573</v>
      </c>
      <c r="E60" s="2909" t="s">
        <v>10371</v>
      </c>
      <c r="F60" s="2910" t="s">
        <v>10372</v>
      </c>
      <c r="G60" s="2930" t="s">
        <v>10199</v>
      </c>
      <c r="H60" s="2911" t="s">
        <v>9877</v>
      </c>
      <c r="I60" s="2912">
        <v>4500</v>
      </c>
      <c r="J60" s="2912">
        <v>0</v>
      </c>
      <c r="K60" s="2912">
        <v>4</v>
      </c>
      <c r="L60" s="2912">
        <f t="shared" si="146"/>
        <v>1125</v>
      </c>
      <c r="M60" s="2913">
        <v>45831</v>
      </c>
      <c r="N60" s="2913">
        <v>45827</v>
      </c>
      <c r="O60" s="2914" t="s">
        <v>10373</v>
      </c>
      <c r="P60" s="2914" t="s">
        <v>10206</v>
      </c>
      <c r="Q60" s="2915" t="s">
        <v>200</v>
      </c>
      <c r="R60" s="2915" t="s">
        <v>3610</v>
      </c>
      <c r="S60" s="2915"/>
      <c r="T60" s="2915" t="s">
        <v>10374</v>
      </c>
      <c r="U60" s="2915"/>
      <c r="V60" s="2915" t="s">
        <v>8552</v>
      </c>
      <c r="W60" s="2931" t="s">
        <v>10375</v>
      </c>
      <c r="X60" s="2912" t="s">
        <v>1257</v>
      </c>
      <c r="Y60" s="2917">
        <v>7.143</v>
      </c>
      <c r="Z60" s="2918">
        <f t="shared" si="147"/>
        <v>32143.5</v>
      </c>
      <c r="AA60" s="2912" t="s">
        <v>10376</v>
      </c>
      <c r="AB60" s="2906" t="s">
        <v>10337</v>
      </c>
      <c r="AC60" s="2912" t="s">
        <v>416</v>
      </c>
      <c r="AD60" s="2919"/>
      <c r="AE60" s="2919"/>
      <c r="AF60" s="2920"/>
      <c r="AG60" s="2919">
        <f>I60</f>
        <v>4500</v>
      </c>
      <c r="AH60" s="2919"/>
      <c r="AI60" s="2919"/>
      <c r="AJ60" s="2921">
        <f t="shared" si="75"/>
        <v>4500</v>
      </c>
      <c r="AK60" s="2921"/>
      <c r="AL60" s="2921"/>
      <c r="AM60" s="2921"/>
      <c r="AN60" s="2922"/>
      <c r="AO60" s="2923"/>
      <c r="AP60" s="2921"/>
      <c r="AQ60" s="2921">
        <f t="shared" si="131"/>
        <v>1125</v>
      </c>
      <c r="AR60" s="2924"/>
      <c r="AS60" s="2923">
        <f t="shared" si="132"/>
        <v>1125</v>
      </c>
      <c r="AT60" s="2921">
        <f t="shared" si="133"/>
        <v>1125</v>
      </c>
      <c r="AU60" s="2921"/>
      <c r="AV60" s="2924">
        <f t="shared" si="148"/>
        <v>1125</v>
      </c>
      <c r="AW60" s="2923"/>
      <c r="AX60" s="2921"/>
      <c r="AY60" s="2921"/>
      <c r="AZ60" s="2924"/>
      <c r="BA60" s="2923"/>
      <c r="BB60" s="2924"/>
      <c r="BC60" s="2925"/>
      <c r="BD60" s="2921">
        <f t="shared" si="143"/>
        <v>4500</v>
      </c>
      <c r="BE60" s="2921"/>
      <c r="BF60" s="2921">
        <f t="shared" si="4"/>
        <v>4500</v>
      </c>
      <c r="BG60" s="2921" t="s">
        <v>9164</v>
      </c>
      <c r="BH60" s="2921"/>
      <c r="BI60" s="2921">
        <f t="shared" si="149"/>
        <v>1125</v>
      </c>
      <c r="BJ60" s="2921">
        <f t="shared" ref="BJ60:BP60" si="152">BI60</f>
        <v>1125</v>
      </c>
      <c r="BK60" s="2921">
        <f t="shared" si="152"/>
        <v>1125</v>
      </c>
      <c r="BL60" s="2921">
        <f t="shared" si="152"/>
        <v>1125</v>
      </c>
      <c r="BM60" s="2926">
        <f t="shared" si="152"/>
        <v>1125</v>
      </c>
      <c r="BN60" s="2921">
        <f t="shared" si="152"/>
        <v>1125</v>
      </c>
      <c r="BO60" s="2926">
        <f t="shared" si="152"/>
        <v>1125</v>
      </c>
      <c r="BP60" s="2921">
        <f t="shared" si="152"/>
        <v>1125</v>
      </c>
      <c r="BQ60" s="2926">
        <f t="shared" si="1"/>
        <v>242525</v>
      </c>
      <c r="BR60" s="2926">
        <f t="shared" ref="BR60:BY60" si="153">BR58-BI60</f>
        <v>18435.5</v>
      </c>
      <c r="BS60" s="2926">
        <f t="shared" si="153"/>
        <v>18435.5</v>
      </c>
      <c r="BT60" s="2926">
        <f t="shared" si="153"/>
        <v>17647.5</v>
      </c>
      <c r="BU60" s="2926">
        <f t="shared" si="153"/>
        <v>17647.5</v>
      </c>
      <c r="BV60" s="2926">
        <f t="shared" si="153"/>
        <v>32853.5</v>
      </c>
      <c r="BW60" s="2926">
        <f t="shared" si="153"/>
        <v>32853.5</v>
      </c>
      <c r="BX60" s="2926">
        <f t="shared" si="153"/>
        <v>18727.5</v>
      </c>
      <c r="BY60" s="2926">
        <f t="shared" si="153"/>
        <v>18727.5</v>
      </c>
      <c r="BZ60" s="2912"/>
      <c r="CA60" s="2927"/>
      <c r="CB60" s="2927"/>
      <c r="CC60" s="2927"/>
      <c r="CD60" s="2927"/>
      <c r="CE60" s="2927"/>
      <c r="CF60" s="2927"/>
      <c r="CG60" s="2927"/>
      <c r="CH60" s="2927"/>
      <c r="CI60" s="2927"/>
      <c r="CJ60" s="2927"/>
      <c r="CK60" s="2927"/>
      <c r="CL60" s="2927"/>
      <c r="CM60" s="2927"/>
      <c r="CN60" s="2927"/>
      <c r="CO60" s="2927"/>
      <c r="CP60" s="2927"/>
      <c r="CQ60" s="2927"/>
      <c r="CR60" s="2927"/>
      <c r="CS60" s="2927"/>
      <c r="CT60" s="2927"/>
      <c r="CU60" s="2927"/>
      <c r="CV60" s="2927"/>
      <c r="CW60" s="2927"/>
      <c r="CX60" s="2927"/>
      <c r="CY60" s="2927"/>
      <c r="CZ60" s="2927"/>
      <c r="DA60" s="2927"/>
      <c r="DB60" s="2927"/>
      <c r="DC60" s="2927"/>
      <c r="DD60" s="2927"/>
      <c r="DE60" s="2927"/>
      <c r="DF60" s="2927"/>
      <c r="DG60" s="2927"/>
      <c r="DH60" s="2927"/>
      <c r="DI60" s="2927"/>
      <c r="DJ60" s="2927"/>
      <c r="DK60" s="2927"/>
      <c r="DL60" s="2927"/>
      <c r="DM60" s="2927"/>
      <c r="DN60" s="2927"/>
      <c r="DO60" s="2927"/>
      <c r="DP60" s="2927"/>
      <c r="DQ60" s="2927"/>
      <c r="DR60" s="2927"/>
      <c r="DS60" s="2927"/>
      <c r="DT60" s="2927"/>
      <c r="DU60" s="2927"/>
      <c r="DV60" s="2927"/>
      <c r="DW60" s="2927"/>
      <c r="DX60" s="2927"/>
      <c r="DY60" s="2927"/>
      <c r="DZ60" s="2927"/>
      <c r="EA60" s="2927"/>
      <c r="EB60" s="2927"/>
      <c r="EC60" s="2927"/>
      <c r="ED60" s="2927"/>
      <c r="EE60" s="2927"/>
      <c r="EF60" s="2927"/>
      <c r="EG60" s="2927"/>
      <c r="EH60" s="2927"/>
      <c r="EI60" s="2927"/>
      <c r="EJ60" s="2927"/>
      <c r="EK60" s="2927"/>
      <c r="EL60" s="2927"/>
      <c r="EM60" s="2927"/>
      <c r="EN60" s="2927"/>
      <c r="EO60" s="2927"/>
      <c r="EP60" s="2927"/>
      <c r="EQ60" s="2927"/>
      <c r="ER60" s="2927"/>
      <c r="ES60" s="2927"/>
      <c r="ET60" s="2927"/>
      <c r="EU60" s="2927"/>
      <c r="EV60" s="2927"/>
      <c r="EW60" s="2927"/>
      <c r="EX60" s="2927"/>
      <c r="EY60" s="2927"/>
      <c r="EZ60" s="2927"/>
      <c r="FA60" s="2927"/>
      <c r="FB60" s="2927"/>
      <c r="FC60" s="2927"/>
      <c r="FD60" s="2927"/>
      <c r="FE60" s="2927"/>
      <c r="FF60" s="2927"/>
      <c r="FG60" s="2927"/>
      <c r="FH60" s="2927"/>
      <c r="FI60" s="2927"/>
      <c r="FJ60" s="2927"/>
      <c r="FK60" s="2927"/>
      <c r="FL60" s="2927"/>
      <c r="FM60" s="2927"/>
      <c r="FN60" s="2927"/>
      <c r="FO60" s="2927"/>
      <c r="FP60" s="2927"/>
      <c r="FQ60" s="2927"/>
      <c r="FR60" s="2927"/>
      <c r="FS60" s="2927"/>
      <c r="FT60" s="2927"/>
      <c r="FU60" s="2927"/>
      <c r="FV60" s="2927"/>
      <c r="FW60" s="2927"/>
      <c r="FX60" s="2927"/>
      <c r="FY60" s="2927"/>
      <c r="FZ60" s="2927"/>
      <c r="GA60" s="2927"/>
      <c r="GB60" s="2927"/>
      <c r="GC60" s="2927"/>
      <c r="GD60" s="2927"/>
      <c r="GE60" s="2927"/>
      <c r="GF60" s="2927"/>
      <c r="GG60" s="2927"/>
      <c r="GH60" s="2927"/>
      <c r="GI60" s="2927"/>
      <c r="GJ60" s="2927"/>
      <c r="GK60" s="2927"/>
      <c r="GL60" s="2927"/>
      <c r="GM60" s="2927"/>
      <c r="GN60" s="2927"/>
      <c r="GO60" s="2927"/>
      <c r="GP60" s="2927"/>
      <c r="GQ60" s="2927"/>
      <c r="GR60" s="2927"/>
      <c r="GS60" s="2927"/>
      <c r="GT60" s="2927"/>
      <c r="GU60" s="2927"/>
      <c r="GV60" s="2927"/>
      <c r="GW60" s="2927"/>
      <c r="GX60" s="2927"/>
      <c r="GY60" s="2927"/>
      <c r="GZ60" s="2927"/>
      <c r="HA60" s="2927"/>
      <c r="HB60" s="2927"/>
      <c r="HC60" s="2927"/>
      <c r="HD60" s="2927"/>
      <c r="HE60" s="2927"/>
      <c r="HF60" s="2927"/>
      <c r="HG60" s="2927"/>
      <c r="HH60" s="2927"/>
      <c r="HI60" s="2927"/>
      <c r="HJ60" s="2927"/>
      <c r="HK60" s="2927"/>
      <c r="HL60" s="2927"/>
      <c r="HM60" s="2927"/>
      <c r="HN60" s="2927"/>
      <c r="HO60" s="2927"/>
      <c r="HP60" s="2927"/>
      <c r="HQ60" s="2927"/>
      <c r="HR60" s="2927"/>
      <c r="HS60" s="2927"/>
      <c r="HT60" s="2927"/>
      <c r="HU60" s="2927"/>
      <c r="HV60" s="2927"/>
      <c r="HW60" s="2927"/>
      <c r="HX60" s="2927"/>
      <c r="HY60" s="2927"/>
      <c r="HZ60" s="2927"/>
      <c r="IA60" s="2927"/>
      <c r="IB60" s="2927"/>
      <c r="IC60" s="2927"/>
      <c r="ID60" s="2927"/>
      <c r="IE60" s="2927"/>
    </row>
    <row r="61" s="2838" customFormat="1" ht="32" customHeight="1" spans="1:239 16379:16379">
      <c r="A61" s="2905">
        <v>45799</v>
      </c>
      <c r="B61" s="2906" t="s">
        <v>6954</v>
      </c>
      <c r="C61" s="2907" t="s">
        <v>91</v>
      </c>
      <c r="D61" s="2908">
        <v>4500161570</v>
      </c>
      <c r="E61" s="2909"/>
      <c r="F61" s="2908" t="s">
        <v>10377</v>
      </c>
      <c r="G61" s="2930" t="s">
        <v>10199</v>
      </c>
      <c r="H61" s="2911" t="s">
        <v>9155</v>
      </c>
      <c r="I61" s="2912">
        <v>56</v>
      </c>
      <c r="J61" s="2912">
        <v>0</v>
      </c>
      <c r="K61" s="2912">
        <v>4</v>
      </c>
      <c r="L61" s="2912">
        <f t="shared" si="146"/>
        <v>14</v>
      </c>
      <c r="M61" s="2913">
        <v>45833</v>
      </c>
      <c r="N61" s="2913">
        <v>45829</v>
      </c>
      <c r="O61" s="2914"/>
      <c r="P61" s="2914" t="s">
        <v>10206</v>
      </c>
      <c r="Q61" s="2914"/>
      <c r="R61" s="2915" t="s">
        <v>3925</v>
      </c>
      <c r="S61" s="2915"/>
      <c r="T61" s="2915" t="s">
        <v>98</v>
      </c>
      <c r="U61" s="2915"/>
      <c r="V61" s="2915"/>
      <c r="W61" s="2931" t="s">
        <v>6957</v>
      </c>
      <c r="X61" s="2912" t="s">
        <v>3262</v>
      </c>
      <c r="Y61" s="2917">
        <v>4.6771</v>
      </c>
      <c r="Z61" s="2918">
        <f t="shared" si="147"/>
        <v>261.9176</v>
      </c>
      <c r="AA61" s="2912"/>
      <c r="AB61" s="2906" t="s">
        <v>10312</v>
      </c>
      <c r="AC61" s="2912" t="s">
        <v>416</v>
      </c>
      <c r="AD61" s="2919">
        <f t="shared" ref="AD61:AD65" si="154">I61</f>
        <v>56</v>
      </c>
      <c r="AE61" s="2919"/>
      <c r="AF61" s="2933"/>
      <c r="AG61" s="2919"/>
      <c r="AH61" s="2919"/>
      <c r="AI61" s="2919"/>
      <c r="AJ61" s="2921">
        <f t="shared" si="75"/>
        <v>56</v>
      </c>
      <c r="AK61" s="2921"/>
      <c r="AL61" s="2921"/>
      <c r="AM61" s="2922"/>
      <c r="AN61" s="2922"/>
      <c r="AO61" s="2923"/>
      <c r="AP61" s="2921"/>
      <c r="AQ61" s="2921">
        <f t="shared" si="131"/>
        <v>14</v>
      </c>
      <c r="AR61" s="2924"/>
      <c r="AS61" s="2923">
        <f t="shared" si="132"/>
        <v>14</v>
      </c>
      <c r="AT61" s="2921">
        <f t="shared" si="133"/>
        <v>14</v>
      </c>
      <c r="AU61" s="2921"/>
      <c r="AV61" s="2924">
        <f t="shared" si="148"/>
        <v>14</v>
      </c>
      <c r="AW61" s="2923"/>
      <c r="AX61" s="2921"/>
      <c r="AY61" s="2921"/>
      <c r="AZ61" s="2924"/>
      <c r="BA61" s="2923"/>
      <c r="BB61" s="2924"/>
      <c r="BC61" s="2925"/>
      <c r="BD61" s="2921">
        <f t="shared" si="143"/>
        <v>56</v>
      </c>
      <c r="BE61" s="2921"/>
      <c r="BF61" s="2921"/>
      <c r="BG61" s="2921" t="s">
        <v>9164</v>
      </c>
      <c r="BH61" s="2921"/>
      <c r="BI61" s="2921">
        <f t="shared" si="149"/>
        <v>14</v>
      </c>
      <c r="BJ61" s="2921">
        <f t="shared" ref="BJ61:BP61" si="155">BI61</f>
        <v>14</v>
      </c>
      <c r="BK61" s="2921">
        <f t="shared" si="155"/>
        <v>14</v>
      </c>
      <c r="BL61" s="2921">
        <f t="shared" si="155"/>
        <v>14</v>
      </c>
      <c r="BM61" s="2926">
        <f t="shared" si="155"/>
        <v>14</v>
      </c>
      <c r="BN61" s="2921">
        <f t="shared" si="155"/>
        <v>14</v>
      </c>
      <c r="BO61" s="2926">
        <f t="shared" si="155"/>
        <v>14</v>
      </c>
      <c r="BP61" s="2921">
        <f t="shared" si="155"/>
        <v>14</v>
      </c>
      <c r="BQ61" s="2926">
        <f t="shared" si="1"/>
        <v>238081</v>
      </c>
      <c r="BR61" s="2926">
        <f t="shared" ref="BR61:BY61" si="156">BR59-BI61</f>
        <v>18288.5</v>
      </c>
      <c r="BS61" s="2926">
        <f t="shared" si="156"/>
        <v>18288.5</v>
      </c>
      <c r="BT61" s="2926">
        <f t="shared" si="156"/>
        <v>17500.5</v>
      </c>
      <c r="BU61" s="2926">
        <f t="shared" si="156"/>
        <v>17500.5</v>
      </c>
      <c r="BV61" s="2926">
        <f t="shared" si="156"/>
        <v>32706.5</v>
      </c>
      <c r="BW61" s="2926">
        <f t="shared" si="156"/>
        <v>32706.5</v>
      </c>
      <c r="BX61" s="2926">
        <f t="shared" si="156"/>
        <v>18580.5</v>
      </c>
      <c r="BY61" s="2926">
        <f t="shared" si="156"/>
        <v>18580.5</v>
      </c>
      <c r="BZ61" s="2912"/>
      <c r="CA61" s="2927"/>
      <c r="CB61" s="2927"/>
      <c r="CC61" s="2927"/>
      <c r="CD61" s="2927"/>
      <c r="CE61" s="2927"/>
      <c r="CF61" s="2927"/>
      <c r="CG61" s="2927"/>
      <c r="CH61" s="2927"/>
      <c r="CI61" s="2927"/>
      <c r="CJ61" s="2927"/>
      <c r="CK61" s="2927"/>
      <c r="CL61" s="2927"/>
      <c r="CM61" s="2927"/>
      <c r="CN61" s="2927"/>
      <c r="CO61" s="2927"/>
      <c r="CP61" s="2927"/>
      <c r="CQ61" s="2927"/>
      <c r="CR61" s="2927"/>
      <c r="CS61" s="2927"/>
      <c r="CT61" s="2927"/>
      <c r="CU61" s="2927"/>
      <c r="CV61" s="2927"/>
      <c r="CW61" s="2927"/>
      <c r="CX61" s="2927"/>
      <c r="CY61" s="2927"/>
      <c r="CZ61" s="2927"/>
      <c r="DA61" s="2927"/>
      <c r="DB61" s="2927"/>
      <c r="DC61" s="2927"/>
      <c r="DD61" s="2927"/>
      <c r="DE61" s="2927"/>
      <c r="DF61" s="2927"/>
      <c r="DG61" s="2927"/>
      <c r="DH61" s="2927"/>
      <c r="DI61" s="2927"/>
      <c r="DJ61" s="2927"/>
      <c r="DK61" s="2927"/>
      <c r="DL61" s="2927"/>
      <c r="DM61" s="2927"/>
      <c r="DN61" s="2927"/>
      <c r="DO61" s="2927"/>
      <c r="DP61" s="2927"/>
      <c r="DQ61" s="2927"/>
      <c r="DR61" s="2927"/>
      <c r="DS61" s="2927"/>
      <c r="DT61" s="2927"/>
      <c r="DU61" s="2927"/>
      <c r="DV61" s="2927"/>
      <c r="DW61" s="2927"/>
      <c r="DX61" s="2927"/>
      <c r="DY61" s="2927"/>
      <c r="DZ61" s="2927"/>
      <c r="EA61" s="2927"/>
      <c r="EB61" s="2927"/>
      <c r="EC61" s="2927"/>
      <c r="ED61" s="2927"/>
      <c r="EE61" s="2927"/>
      <c r="EF61" s="2927"/>
      <c r="EG61" s="2927"/>
      <c r="EH61" s="2927"/>
      <c r="EI61" s="2927"/>
      <c r="EJ61" s="2927"/>
      <c r="EK61" s="2927"/>
      <c r="EL61" s="2927"/>
      <c r="EM61" s="2927"/>
      <c r="EN61" s="2927"/>
      <c r="EO61" s="2927"/>
      <c r="EP61" s="2927"/>
      <c r="EQ61" s="2927"/>
      <c r="ER61" s="2927"/>
      <c r="ES61" s="2927"/>
      <c r="ET61" s="2927"/>
      <c r="EU61" s="2927"/>
      <c r="EV61" s="2927"/>
      <c r="EW61" s="2927"/>
      <c r="EX61" s="2927"/>
      <c r="EY61" s="2927"/>
      <c r="EZ61" s="2927"/>
      <c r="FA61" s="2927"/>
      <c r="FB61" s="2927"/>
      <c r="FC61" s="2927"/>
      <c r="FD61" s="2927"/>
      <c r="FE61" s="2927"/>
      <c r="FF61" s="2927"/>
      <c r="FG61" s="2927"/>
      <c r="FH61" s="2927"/>
      <c r="FI61" s="2927"/>
      <c r="FJ61" s="2927"/>
      <c r="FK61" s="2927"/>
      <c r="FL61" s="2927"/>
      <c r="FM61" s="2927"/>
      <c r="FN61" s="2927"/>
      <c r="FO61" s="2927"/>
      <c r="FP61" s="2927"/>
      <c r="FQ61" s="2927"/>
      <c r="FR61" s="2927"/>
      <c r="FS61" s="2927"/>
      <c r="FT61" s="2927"/>
      <c r="FU61" s="2927"/>
      <c r="FV61" s="2927"/>
      <c r="FW61" s="2927"/>
      <c r="FX61" s="2927"/>
      <c r="FY61" s="2927"/>
      <c r="FZ61" s="2927"/>
      <c r="GA61" s="2927"/>
      <c r="GB61" s="2927"/>
      <c r="GC61" s="2927"/>
      <c r="GD61" s="2927"/>
      <c r="GE61" s="2927"/>
      <c r="GF61" s="2927"/>
      <c r="GG61" s="2927"/>
      <c r="GH61" s="2927"/>
      <c r="GI61" s="2927"/>
      <c r="GJ61" s="2927"/>
      <c r="GK61" s="2927"/>
      <c r="GL61" s="2927"/>
      <c r="GM61" s="2927"/>
      <c r="GN61" s="2927"/>
      <c r="GO61" s="2927"/>
      <c r="GP61" s="2927"/>
      <c r="GQ61" s="2927"/>
      <c r="GR61" s="2927"/>
      <c r="GS61" s="2927"/>
      <c r="GT61" s="2927"/>
      <c r="GU61" s="2927"/>
      <c r="GV61" s="2927"/>
      <c r="GW61" s="2927"/>
      <c r="GX61" s="2927"/>
      <c r="GY61" s="2927"/>
      <c r="GZ61" s="2927"/>
      <c r="HA61" s="2927"/>
      <c r="HB61" s="2927"/>
      <c r="HC61" s="2927"/>
      <c r="HD61" s="2927"/>
      <c r="HE61" s="2927"/>
      <c r="HF61" s="2927"/>
      <c r="HG61" s="2927"/>
      <c r="HH61" s="2927"/>
      <c r="HI61" s="2927"/>
      <c r="HJ61" s="2927"/>
      <c r="HK61" s="2927"/>
      <c r="HL61" s="2927"/>
      <c r="HM61" s="2927"/>
      <c r="HN61" s="2927"/>
      <c r="HO61" s="2927"/>
      <c r="HP61" s="2927"/>
      <c r="HQ61" s="2927"/>
      <c r="HR61" s="2927"/>
      <c r="HS61" s="2927"/>
      <c r="HT61" s="2927"/>
      <c r="HU61" s="2927"/>
      <c r="HV61" s="2927"/>
      <c r="HW61" s="2927"/>
      <c r="HX61" s="2927"/>
      <c r="HY61" s="2927"/>
      <c r="HZ61" s="2927"/>
      <c r="IA61" s="2927"/>
      <c r="IB61" s="2927"/>
      <c r="IC61" s="2927"/>
      <c r="ID61" s="2927"/>
      <c r="IE61" s="2927"/>
    </row>
    <row r="62" s="2838" customFormat="1" ht="32" customHeight="1" spans="1:239 16379:16379">
      <c r="A62" s="2941">
        <v>45792</v>
      </c>
      <c r="B62" s="2906" t="s">
        <v>1384</v>
      </c>
      <c r="C62" s="2907" t="s">
        <v>1385</v>
      </c>
      <c r="D62" s="2908">
        <v>4500166516</v>
      </c>
      <c r="E62" s="2909"/>
      <c r="F62" s="2908" t="s">
        <v>10378</v>
      </c>
      <c r="G62" s="2930" t="s">
        <v>10199</v>
      </c>
      <c r="H62" s="2911" t="s">
        <v>9155</v>
      </c>
      <c r="I62" s="2912">
        <v>48</v>
      </c>
      <c r="J62" s="2912">
        <v>0</v>
      </c>
      <c r="K62" s="2912">
        <v>4</v>
      </c>
      <c r="L62" s="2912">
        <f t="shared" si="146"/>
        <v>12</v>
      </c>
      <c r="M62" s="2913">
        <v>45838</v>
      </c>
      <c r="N62" s="2913">
        <v>45834</v>
      </c>
      <c r="O62" s="2914"/>
      <c r="P62" s="2914" t="s">
        <v>10206</v>
      </c>
      <c r="Q62" s="2914" t="s">
        <v>1387</v>
      </c>
      <c r="R62" s="2915" t="s">
        <v>229</v>
      </c>
      <c r="S62" s="2915"/>
      <c r="T62" s="2915" t="s">
        <v>98</v>
      </c>
      <c r="U62" s="2915"/>
      <c r="V62" s="2915"/>
      <c r="W62" s="2931" t="s">
        <v>1388</v>
      </c>
      <c r="X62" s="2912" t="s">
        <v>1389</v>
      </c>
      <c r="Y62" s="2917">
        <v>7.1761</v>
      </c>
      <c r="Z62" s="2918">
        <f t="shared" si="147"/>
        <v>344.4528</v>
      </c>
      <c r="AA62" s="2912" t="s">
        <v>1390</v>
      </c>
      <c r="AB62" s="2906" t="s">
        <v>10312</v>
      </c>
      <c r="AC62" s="2912" t="s">
        <v>416</v>
      </c>
      <c r="AD62" s="2919">
        <f t="shared" si="154"/>
        <v>48</v>
      </c>
      <c r="AE62" s="2919"/>
      <c r="AF62" s="2920"/>
      <c r="AG62" s="2919"/>
      <c r="AH62" s="2919"/>
      <c r="AI62" s="2921"/>
      <c r="AJ62" s="2921">
        <f t="shared" si="75"/>
        <v>48</v>
      </c>
      <c r="AK62" s="2921"/>
      <c r="AL62" s="2921"/>
      <c r="AM62" s="2922"/>
      <c r="AN62" s="2922"/>
      <c r="AO62" s="2923"/>
      <c r="AP62" s="2921"/>
      <c r="AQ62" s="2921">
        <f t="shared" si="131"/>
        <v>12</v>
      </c>
      <c r="AR62" s="2924"/>
      <c r="AS62" s="2923">
        <f t="shared" si="132"/>
        <v>12</v>
      </c>
      <c r="AT62" s="2921">
        <f t="shared" si="133"/>
        <v>12</v>
      </c>
      <c r="AU62" s="2921"/>
      <c r="AV62" s="2924">
        <f t="shared" si="148"/>
        <v>12</v>
      </c>
      <c r="AW62" s="2923"/>
      <c r="AX62" s="2921"/>
      <c r="AY62" s="2921"/>
      <c r="AZ62" s="2924"/>
      <c r="BA62" s="2923"/>
      <c r="BB62" s="2924"/>
      <c r="BC62" s="2921"/>
      <c r="BD62" s="2921">
        <f t="shared" si="143"/>
        <v>48</v>
      </c>
      <c r="BE62" s="2921"/>
      <c r="BF62" s="2921"/>
      <c r="BG62" s="2921" t="s">
        <v>9164</v>
      </c>
      <c r="BH62" s="2921"/>
      <c r="BI62" s="2921">
        <f t="shared" si="149"/>
        <v>12</v>
      </c>
      <c r="BJ62" s="2921">
        <f>I62/4</f>
        <v>12</v>
      </c>
      <c r="BK62" s="2921">
        <f>I62/4</f>
        <v>12</v>
      </c>
      <c r="BL62" s="2926">
        <f>I62/4</f>
        <v>12</v>
      </c>
      <c r="BM62" s="2921">
        <f>I62/4</f>
        <v>12</v>
      </c>
      <c r="BN62" s="2926">
        <f>I62/4</f>
        <v>12</v>
      </c>
      <c r="BO62" s="2921">
        <f>I62/4</f>
        <v>12</v>
      </c>
      <c r="BP62" s="2926">
        <f>I62/4</f>
        <v>12</v>
      </c>
      <c r="BQ62" s="2926">
        <f t="shared" si="1"/>
        <v>238073</v>
      </c>
      <c r="BR62" s="2926">
        <f>'取消单-1'!BR87-BI62</f>
        <v>18065.5</v>
      </c>
      <c r="BS62" s="2926">
        <f>'取消单-1'!BS87-BJ62</f>
        <v>-12</v>
      </c>
      <c r="BT62" s="2926">
        <f>'取消单-1'!BT87-BK62</f>
        <v>-12</v>
      </c>
      <c r="BU62" s="2926">
        <f>'取消单-1'!BU87-BL62</f>
        <v>-12</v>
      </c>
      <c r="BV62" s="2926">
        <f>'取消单-1'!BV87-BM62</f>
        <v>-12</v>
      </c>
      <c r="BW62" s="2926">
        <f>'取消单-1'!BW87-BN62</f>
        <v>-12</v>
      </c>
      <c r="BX62" s="2926">
        <f>'取消单-1'!BX87-BO62</f>
        <v>-12</v>
      </c>
      <c r="BY62" s="2926">
        <f>'取消单-1'!BY87-BP62</f>
        <v>-12</v>
      </c>
      <c r="BZ62" s="2912"/>
      <c r="CA62" s="2927"/>
      <c r="CB62" s="2927"/>
      <c r="CC62" s="2927"/>
      <c r="CD62" s="2927"/>
      <c r="CE62" s="2927"/>
      <c r="CF62" s="2927"/>
      <c r="CG62" s="2927"/>
      <c r="CH62" s="2927"/>
      <c r="CI62" s="2927"/>
      <c r="CJ62" s="2927"/>
      <c r="CK62" s="2927"/>
      <c r="CL62" s="2927"/>
      <c r="CM62" s="2927"/>
      <c r="CN62" s="2927"/>
      <c r="CO62" s="2927"/>
      <c r="CP62" s="2927"/>
      <c r="CQ62" s="2927"/>
      <c r="CR62" s="2927"/>
      <c r="CS62" s="2927"/>
      <c r="CT62" s="2927"/>
      <c r="CU62" s="2927"/>
      <c r="CV62" s="2927"/>
      <c r="CW62" s="2927"/>
      <c r="CX62" s="2927"/>
      <c r="CY62" s="2927"/>
      <c r="CZ62" s="2927"/>
      <c r="DA62" s="2927"/>
      <c r="DB62" s="2927"/>
      <c r="DC62" s="2927"/>
      <c r="DD62" s="2927"/>
      <c r="DE62" s="2927"/>
      <c r="DF62" s="2927"/>
      <c r="DG62" s="2927"/>
      <c r="DH62" s="2927"/>
      <c r="DI62" s="2927"/>
      <c r="DJ62" s="2927"/>
      <c r="DK62" s="2927"/>
      <c r="DL62" s="2927"/>
      <c r="DM62" s="2927"/>
      <c r="DN62" s="2927"/>
      <c r="DO62" s="2927"/>
      <c r="DP62" s="2927"/>
      <c r="DQ62" s="2927"/>
      <c r="DR62" s="2927"/>
      <c r="DS62" s="2927"/>
      <c r="DT62" s="2927"/>
      <c r="DU62" s="2927"/>
      <c r="DV62" s="2927"/>
      <c r="DW62" s="2927"/>
      <c r="DX62" s="2927"/>
      <c r="DY62" s="2927"/>
      <c r="DZ62" s="2927"/>
      <c r="EA62" s="2927"/>
      <c r="EB62" s="2927"/>
      <c r="EC62" s="2927"/>
      <c r="ED62" s="2927"/>
      <c r="EE62" s="2927"/>
      <c r="EF62" s="2927"/>
      <c r="EG62" s="2927"/>
      <c r="EH62" s="2927"/>
      <c r="EI62" s="2927"/>
      <c r="EJ62" s="2927"/>
      <c r="EK62" s="2927"/>
      <c r="EL62" s="2927"/>
      <c r="EM62" s="2927"/>
      <c r="EN62" s="2927"/>
      <c r="EO62" s="2927"/>
      <c r="EP62" s="2927"/>
      <c r="EQ62" s="2927"/>
      <c r="ER62" s="2927"/>
      <c r="ES62" s="2927"/>
      <c r="ET62" s="2927"/>
      <c r="EU62" s="2927"/>
      <c r="EV62" s="2927"/>
      <c r="EW62" s="2927"/>
      <c r="EX62" s="2927"/>
      <c r="EY62" s="2927"/>
      <c r="EZ62" s="2927"/>
      <c r="FA62" s="2927"/>
      <c r="FB62" s="2927"/>
      <c r="FC62" s="2927"/>
      <c r="FD62" s="2927"/>
      <c r="FE62" s="2927"/>
      <c r="FF62" s="2927"/>
      <c r="FG62" s="2927"/>
      <c r="FH62" s="2927"/>
      <c r="FI62" s="2927"/>
      <c r="FJ62" s="2927"/>
      <c r="FK62" s="2927"/>
      <c r="FL62" s="2927"/>
      <c r="FM62" s="2927"/>
      <c r="FN62" s="2927"/>
      <c r="FO62" s="2927"/>
      <c r="FP62" s="2927"/>
      <c r="FQ62" s="2927"/>
      <c r="FR62" s="2927"/>
      <c r="FS62" s="2927"/>
      <c r="FT62" s="2927"/>
      <c r="FU62" s="2927"/>
      <c r="FV62" s="2927"/>
      <c r="FW62" s="2927"/>
      <c r="FX62" s="2927"/>
      <c r="FY62" s="2927"/>
      <c r="FZ62" s="2927"/>
      <c r="GA62" s="2927"/>
      <c r="GB62" s="2927"/>
      <c r="GC62" s="2927"/>
      <c r="GD62" s="2927"/>
      <c r="GE62" s="2927"/>
      <c r="GF62" s="2927"/>
      <c r="GG62" s="2927"/>
      <c r="GH62" s="2927"/>
      <c r="GI62" s="2927"/>
      <c r="GJ62" s="2927"/>
      <c r="GK62" s="2927"/>
      <c r="GL62" s="2927"/>
      <c r="GM62" s="2927"/>
      <c r="GN62" s="2927"/>
      <c r="GO62" s="2927"/>
      <c r="GP62" s="2927"/>
      <c r="GQ62" s="2927"/>
      <c r="GR62" s="2927"/>
      <c r="GS62" s="2927"/>
      <c r="GT62" s="2927"/>
      <c r="GU62" s="2927"/>
      <c r="GV62" s="2927"/>
      <c r="GW62" s="2927"/>
      <c r="GX62" s="2927"/>
      <c r="GY62" s="2927"/>
      <c r="GZ62" s="2927"/>
      <c r="HA62" s="2927"/>
      <c r="HB62" s="2927"/>
      <c r="HC62" s="2927"/>
      <c r="HD62" s="2927"/>
      <c r="HE62" s="2927"/>
      <c r="HF62" s="2927"/>
      <c r="HG62" s="2927"/>
      <c r="HH62" s="2927"/>
      <c r="HI62" s="2927"/>
      <c r="HJ62" s="2927"/>
      <c r="HK62" s="2927"/>
      <c r="HL62" s="2927"/>
      <c r="HM62" s="2927"/>
      <c r="HN62" s="2927"/>
      <c r="HO62" s="2927"/>
      <c r="HP62" s="2927"/>
      <c r="HQ62" s="2927"/>
      <c r="HR62" s="2927"/>
      <c r="HS62" s="2927"/>
      <c r="HT62" s="2927"/>
      <c r="HU62" s="2927"/>
      <c r="HV62" s="2927"/>
      <c r="HW62" s="2927"/>
      <c r="HX62" s="2927"/>
      <c r="HY62" s="2927"/>
      <c r="HZ62" s="2927"/>
      <c r="IA62" s="2927"/>
      <c r="IB62" s="2927"/>
      <c r="IC62" s="2927"/>
      <c r="ID62" s="2927"/>
      <c r="XEY62" s="2942"/>
    </row>
    <row r="63" s="2838" customFormat="1" ht="32" customHeight="1" spans="1:239 16379:16379">
      <c r="A63" s="2905">
        <v>45713</v>
      </c>
      <c r="B63" s="2906" t="s">
        <v>2285</v>
      </c>
      <c r="C63" s="2907" t="s">
        <v>351</v>
      </c>
      <c r="D63" s="2908">
        <v>4500158550</v>
      </c>
      <c r="E63" s="2909" t="s">
        <v>3330</v>
      </c>
      <c r="F63" s="2908" t="s">
        <v>10379</v>
      </c>
      <c r="G63" s="2930" t="s">
        <v>10199</v>
      </c>
      <c r="H63" s="2911" t="s">
        <v>9155</v>
      </c>
      <c r="I63" s="2912">
        <v>1164</v>
      </c>
      <c r="J63" s="2912">
        <v>0</v>
      </c>
      <c r="K63" s="2912">
        <v>4</v>
      </c>
      <c r="L63" s="2912">
        <f t="shared" si="146"/>
        <v>291</v>
      </c>
      <c r="M63" s="2913">
        <v>45899</v>
      </c>
      <c r="N63" s="2913">
        <v>45895</v>
      </c>
      <c r="O63" s="2914" t="s">
        <v>10380</v>
      </c>
      <c r="P63" s="2914" t="s">
        <v>82</v>
      </c>
      <c r="Q63" s="2914" t="s">
        <v>1853</v>
      </c>
      <c r="R63" s="2915" t="s">
        <v>974</v>
      </c>
      <c r="S63" s="2915"/>
      <c r="T63" s="2915" t="s">
        <v>10318</v>
      </c>
      <c r="U63" s="2915"/>
      <c r="V63" s="2915" t="s">
        <v>10319</v>
      </c>
      <c r="W63" s="2929" t="s">
        <v>10381</v>
      </c>
      <c r="X63" s="2912" t="s">
        <v>357</v>
      </c>
      <c r="Y63" s="2917">
        <v>7.3108</v>
      </c>
      <c r="Z63" s="2918">
        <f t="shared" si="147"/>
        <v>8509.7712</v>
      </c>
      <c r="AA63" s="2912" t="s">
        <v>10382</v>
      </c>
      <c r="AB63" s="2906" t="s">
        <v>10312</v>
      </c>
      <c r="AC63" s="2912" t="s">
        <v>416</v>
      </c>
      <c r="AD63" s="2919">
        <f t="shared" si="154"/>
        <v>1164</v>
      </c>
      <c r="AE63" s="2919"/>
      <c r="AF63" s="2920"/>
      <c r="AG63" s="2919"/>
      <c r="AH63" s="2919"/>
      <c r="AI63" s="2919"/>
      <c r="AJ63" s="2921">
        <f t="shared" si="75"/>
        <v>1164</v>
      </c>
      <c r="AK63" s="2921"/>
      <c r="AL63" s="2921"/>
      <c r="AM63" s="2921"/>
      <c r="AN63" s="2922"/>
      <c r="AO63" s="2923"/>
      <c r="AP63" s="2921"/>
      <c r="AQ63" s="2921">
        <f t="shared" si="131"/>
        <v>291</v>
      </c>
      <c r="AR63" s="2924"/>
      <c r="AS63" s="2923">
        <f t="shared" si="132"/>
        <v>291</v>
      </c>
      <c r="AT63" s="2921">
        <f t="shared" si="133"/>
        <v>291</v>
      </c>
      <c r="AU63" s="2921"/>
      <c r="AV63" s="2924">
        <f t="shared" si="148"/>
        <v>291</v>
      </c>
      <c r="AW63" s="2923"/>
      <c r="AX63" s="2921"/>
      <c r="AY63" s="2921"/>
      <c r="AZ63" s="2924"/>
      <c r="BA63" s="2923"/>
      <c r="BB63" s="2924"/>
      <c r="BC63" s="2925"/>
      <c r="BD63" s="2921">
        <f t="shared" si="143"/>
        <v>1164</v>
      </c>
      <c r="BE63" s="2921"/>
      <c r="BF63" s="2921">
        <f>I63</f>
        <v>1164</v>
      </c>
      <c r="BG63" s="2921" t="s">
        <v>9164</v>
      </c>
      <c r="BH63" s="2921"/>
      <c r="BI63" s="2921">
        <f t="shared" si="149"/>
        <v>291</v>
      </c>
      <c r="BJ63" s="2921">
        <f t="shared" ref="BJ63:BP63" si="157">BI63</f>
        <v>291</v>
      </c>
      <c r="BK63" s="2921">
        <f t="shared" si="157"/>
        <v>291</v>
      </c>
      <c r="BL63" s="2921">
        <f t="shared" si="157"/>
        <v>291</v>
      </c>
      <c r="BM63" s="2926">
        <f t="shared" si="157"/>
        <v>291</v>
      </c>
      <c r="BN63" s="2921">
        <f t="shared" si="157"/>
        <v>291</v>
      </c>
      <c r="BO63" s="2926">
        <f t="shared" si="157"/>
        <v>291</v>
      </c>
      <c r="BP63" s="2921">
        <f t="shared" si="157"/>
        <v>291</v>
      </c>
      <c r="BQ63" s="2926">
        <f t="shared" si="1"/>
        <v>239189</v>
      </c>
      <c r="BR63" s="2926">
        <f t="shared" ref="BR63:BY63" si="158">BR54-BI63</f>
        <v>20448.5</v>
      </c>
      <c r="BS63" s="2926">
        <f t="shared" si="158"/>
        <v>20448.5</v>
      </c>
      <c r="BT63" s="2926">
        <f t="shared" si="158"/>
        <v>19660.5</v>
      </c>
      <c r="BU63" s="2926">
        <f t="shared" si="158"/>
        <v>19660.5</v>
      </c>
      <c r="BV63" s="2926">
        <f t="shared" si="158"/>
        <v>34866.5</v>
      </c>
      <c r="BW63" s="2926">
        <f t="shared" si="158"/>
        <v>34866.5</v>
      </c>
      <c r="BX63" s="2926">
        <f t="shared" si="158"/>
        <v>20740.5</v>
      </c>
      <c r="BY63" s="2926">
        <f t="shared" si="158"/>
        <v>20740.5</v>
      </c>
      <c r="BZ63" s="2912"/>
      <c r="CA63" s="2927"/>
      <c r="CB63" s="2927"/>
      <c r="CC63" s="2927"/>
      <c r="CD63" s="2927"/>
      <c r="CE63" s="2927"/>
      <c r="CF63" s="2927"/>
      <c r="CG63" s="2927"/>
      <c r="CH63" s="2927"/>
      <c r="CI63" s="2927"/>
      <c r="CJ63" s="2927"/>
      <c r="CK63" s="2927"/>
      <c r="CL63" s="2927"/>
      <c r="CM63" s="2927"/>
      <c r="CN63" s="2927"/>
      <c r="CO63" s="2927"/>
      <c r="CP63" s="2927"/>
      <c r="CQ63" s="2927"/>
      <c r="CR63" s="2927"/>
      <c r="CS63" s="2927"/>
      <c r="CT63" s="2927"/>
      <c r="CU63" s="2927"/>
      <c r="CV63" s="2927"/>
      <c r="CW63" s="2927"/>
      <c r="CX63" s="2927"/>
      <c r="CY63" s="2927"/>
      <c r="CZ63" s="2927"/>
      <c r="DA63" s="2927"/>
      <c r="DB63" s="2927"/>
      <c r="DC63" s="2927"/>
      <c r="DD63" s="2927"/>
      <c r="DE63" s="2927"/>
      <c r="DF63" s="2927"/>
      <c r="DG63" s="2927"/>
      <c r="DH63" s="2927"/>
      <c r="DI63" s="2927"/>
      <c r="DJ63" s="2927"/>
      <c r="DK63" s="2927"/>
      <c r="DL63" s="2927"/>
      <c r="DM63" s="2927"/>
      <c r="DN63" s="2927"/>
      <c r="DO63" s="2927"/>
      <c r="DP63" s="2927"/>
      <c r="DQ63" s="2927"/>
      <c r="DR63" s="2927"/>
      <c r="DS63" s="2927"/>
      <c r="DT63" s="2927"/>
      <c r="DU63" s="2927"/>
      <c r="DV63" s="2927"/>
      <c r="DW63" s="2927"/>
      <c r="DX63" s="2927"/>
      <c r="DY63" s="2927"/>
      <c r="DZ63" s="2927"/>
      <c r="EA63" s="2927"/>
      <c r="EB63" s="2927"/>
      <c r="EC63" s="2927"/>
      <c r="ED63" s="2927"/>
      <c r="EE63" s="2927"/>
      <c r="EF63" s="2927"/>
      <c r="EG63" s="2927"/>
      <c r="EH63" s="2927"/>
      <c r="EI63" s="2927"/>
      <c r="EJ63" s="2927"/>
      <c r="EK63" s="2927"/>
      <c r="EL63" s="2927"/>
      <c r="EM63" s="2927"/>
      <c r="EN63" s="2927"/>
      <c r="EO63" s="2927"/>
      <c r="EP63" s="2927"/>
      <c r="EQ63" s="2927"/>
      <c r="ER63" s="2927"/>
      <c r="ES63" s="2927"/>
      <c r="ET63" s="2927"/>
      <c r="EU63" s="2927"/>
      <c r="EV63" s="2927"/>
      <c r="EW63" s="2927"/>
      <c r="EX63" s="2927"/>
      <c r="EY63" s="2927"/>
      <c r="EZ63" s="2927"/>
      <c r="FA63" s="2927"/>
      <c r="FB63" s="2927"/>
      <c r="FC63" s="2927"/>
      <c r="FD63" s="2927"/>
      <c r="FE63" s="2927"/>
      <c r="FF63" s="2927"/>
      <c r="FG63" s="2927"/>
      <c r="FH63" s="2927"/>
      <c r="FI63" s="2927"/>
      <c r="FJ63" s="2927"/>
      <c r="FK63" s="2927"/>
      <c r="FL63" s="2927"/>
      <c r="FM63" s="2927"/>
      <c r="FN63" s="2927"/>
      <c r="FO63" s="2927"/>
      <c r="FP63" s="2927"/>
      <c r="FQ63" s="2927"/>
      <c r="FR63" s="2927"/>
      <c r="FS63" s="2927"/>
      <c r="FT63" s="2927"/>
      <c r="FU63" s="2927"/>
      <c r="FV63" s="2927"/>
      <c r="FW63" s="2927"/>
      <c r="FX63" s="2927"/>
      <c r="FY63" s="2927"/>
      <c r="FZ63" s="2927"/>
      <c r="GA63" s="2927"/>
      <c r="GB63" s="2927"/>
      <c r="GC63" s="2927"/>
      <c r="GD63" s="2927"/>
      <c r="GE63" s="2927"/>
      <c r="GF63" s="2927"/>
      <c r="GG63" s="2927"/>
      <c r="GH63" s="2927"/>
      <c r="GI63" s="2927"/>
      <c r="GJ63" s="2927"/>
      <c r="GK63" s="2927"/>
      <c r="GL63" s="2927"/>
      <c r="GM63" s="2927"/>
      <c r="GN63" s="2927"/>
      <c r="GO63" s="2927"/>
      <c r="GP63" s="2927"/>
      <c r="GQ63" s="2927"/>
      <c r="GR63" s="2927"/>
      <c r="GS63" s="2927"/>
      <c r="GT63" s="2927"/>
      <c r="GU63" s="2927"/>
      <c r="GV63" s="2927"/>
      <c r="GW63" s="2927"/>
      <c r="GX63" s="2927"/>
      <c r="GY63" s="2927"/>
      <c r="GZ63" s="2927"/>
      <c r="HA63" s="2927"/>
      <c r="HB63" s="2927"/>
      <c r="HC63" s="2927"/>
      <c r="HD63" s="2927"/>
      <c r="HE63" s="2927"/>
      <c r="HF63" s="2927"/>
      <c r="HG63" s="2927"/>
      <c r="HH63" s="2927"/>
      <c r="HI63" s="2927"/>
      <c r="HJ63" s="2927"/>
      <c r="HK63" s="2927"/>
      <c r="HL63" s="2927"/>
      <c r="HM63" s="2927"/>
      <c r="HN63" s="2927"/>
      <c r="HO63" s="2927"/>
      <c r="HP63" s="2927"/>
      <c r="HQ63" s="2927"/>
      <c r="HR63" s="2927"/>
      <c r="HS63" s="2927"/>
      <c r="HT63" s="2927"/>
      <c r="HU63" s="2927"/>
      <c r="HV63" s="2927"/>
      <c r="HW63" s="2927"/>
      <c r="HX63" s="2927"/>
      <c r="HY63" s="2927"/>
      <c r="HZ63" s="2927"/>
      <c r="IA63" s="2927"/>
      <c r="IB63" s="2927"/>
      <c r="IC63" s="2927"/>
      <c r="ID63" s="2927"/>
      <c r="IE63" s="2927"/>
    </row>
    <row r="64" s="2838" customFormat="1" ht="32" customHeight="1" spans="1:239 16379:16379">
      <c r="A64" s="2941">
        <v>45812</v>
      </c>
      <c r="B64" s="2906" t="s">
        <v>872</v>
      </c>
      <c r="C64" s="2907" t="s">
        <v>873</v>
      </c>
      <c r="D64" s="2908">
        <v>4500168727</v>
      </c>
      <c r="E64" s="2909"/>
      <c r="F64" s="2908" t="s">
        <v>10383</v>
      </c>
      <c r="G64" s="2930" t="s">
        <v>10384</v>
      </c>
      <c r="H64" s="2911" t="s">
        <v>10293</v>
      </c>
      <c r="I64" s="2912">
        <v>1168</v>
      </c>
      <c r="J64" s="2912">
        <v>0</v>
      </c>
      <c r="K64" s="2912">
        <v>4</v>
      </c>
      <c r="L64" s="2912">
        <f t="shared" si="146"/>
        <v>292</v>
      </c>
      <c r="M64" s="2913">
        <v>45848</v>
      </c>
      <c r="N64" s="2913">
        <v>45845</v>
      </c>
      <c r="O64" s="2914"/>
      <c r="P64" s="2914" t="s">
        <v>82</v>
      </c>
      <c r="Q64" s="2914" t="s">
        <v>4135</v>
      </c>
      <c r="R64" s="2915" t="s">
        <v>1425</v>
      </c>
      <c r="S64" s="2915"/>
      <c r="T64" s="2915" t="s">
        <v>9675</v>
      </c>
      <c r="U64" s="2915"/>
      <c r="V64" s="2915"/>
      <c r="W64" s="2931" t="s">
        <v>10385</v>
      </c>
      <c r="X64" s="2912" t="s">
        <v>1131</v>
      </c>
      <c r="Y64" s="2917">
        <v>7.1595</v>
      </c>
      <c r="Z64" s="2918">
        <f t="shared" si="147"/>
        <v>8362.296</v>
      </c>
      <c r="AA64" s="2912" t="s">
        <v>7106</v>
      </c>
      <c r="AB64" s="2930" t="s">
        <v>10386</v>
      </c>
      <c r="AC64" s="2912" t="s">
        <v>416</v>
      </c>
      <c r="AD64" s="2919">
        <f t="shared" si="154"/>
        <v>1168</v>
      </c>
      <c r="AE64" s="2919"/>
      <c r="AF64" s="2920"/>
      <c r="AG64" s="2919"/>
      <c r="AH64" s="2919"/>
      <c r="AI64" s="2921"/>
      <c r="AJ64" s="2921">
        <f t="shared" si="75"/>
        <v>1168</v>
      </c>
      <c r="AK64" s="2921"/>
      <c r="AL64" s="2921"/>
      <c r="AM64" s="2922"/>
      <c r="AN64" s="2922"/>
      <c r="AO64" s="2923"/>
      <c r="AP64" s="2921"/>
      <c r="AQ64" s="2921"/>
      <c r="AR64" s="2924"/>
      <c r="AS64" s="2923"/>
      <c r="AT64" s="2921">
        <f>I64</f>
        <v>1168</v>
      </c>
      <c r="AU64" s="2921"/>
      <c r="AV64" s="2924"/>
      <c r="AW64" s="2923"/>
      <c r="AX64" s="2921"/>
      <c r="AY64" s="2921"/>
      <c r="AZ64" s="2924"/>
      <c r="BA64" s="2923"/>
      <c r="BB64" s="2924"/>
      <c r="BC64" s="2925"/>
      <c r="BD64" s="2921">
        <f t="shared" si="143"/>
        <v>1168</v>
      </c>
      <c r="BE64" s="2921"/>
      <c r="BF64" s="2921"/>
      <c r="BG64" s="2921" t="s">
        <v>9164</v>
      </c>
      <c r="BH64" s="2921"/>
      <c r="BI64" s="2921"/>
      <c r="BJ64" s="2921"/>
      <c r="BK64" s="2921">
        <f>I64</f>
        <v>1168</v>
      </c>
      <c r="BL64" s="2921">
        <f>I64</f>
        <v>1168</v>
      </c>
      <c r="BM64" s="2921"/>
      <c r="BN64" s="2926"/>
      <c r="BO64" s="2921"/>
      <c r="BP64" s="2926"/>
      <c r="BQ64" s="2926">
        <f t="shared" si="1"/>
        <v>239193</v>
      </c>
      <c r="BR64" s="2926">
        <f t="shared" ref="BR64:BY64" si="159">BR70-BI64</f>
        <v>18077.5</v>
      </c>
      <c r="BS64" s="2926">
        <f t="shared" si="159"/>
        <v>0</v>
      </c>
      <c r="BT64" s="2926">
        <f t="shared" si="159"/>
        <v>-1168</v>
      </c>
      <c r="BU64" s="2926">
        <f t="shared" si="159"/>
        <v>-1168</v>
      </c>
      <c r="BV64" s="2926">
        <f t="shared" si="159"/>
        <v>0</v>
      </c>
      <c r="BW64" s="2926">
        <f t="shared" si="159"/>
        <v>0</v>
      </c>
      <c r="BX64" s="2926">
        <f t="shared" si="159"/>
        <v>-1168</v>
      </c>
      <c r="BY64" s="2926">
        <f t="shared" si="159"/>
        <v>-1168</v>
      </c>
      <c r="BZ64" s="2912"/>
      <c r="CA64" s="2927"/>
      <c r="CB64" s="2927"/>
      <c r="CC64" s="2927"/>
      <c r="CD64" s="2927"/>
      <c r="CE64" s="2927"/>
      <c r="CF64" s="2927"/>
      <c r="CG64" s="2927"/>
      <c r="CH64" s="2927"/>
      <c r="CI64" s="2927"/>
      <c r="CJ64" s="2927"/>
      <c r="CK64" s="2927"/>
      <c r="CL64" s="2927"/>
      <c r="CM64" s="2927"/>
      <c r="CN64" s="2927"/>
      <c r="CO64" s="2927"/>
      <c r="CP64" s="2927"/>
      <c r="CQ64" s="2927"/>
      <c r="CR64" s="2927"/>
      <c r="CS64" s="2927"/>
      <c r="CT64" s="2927"/>
      <c r="CU64" s="2927"/>
      <c r="CV64" s="2927"/>
      <c r="CW64" s="2927"/>
      <c r="CX64" s="2927"/>
      <c r="CY64" s="2927"/>
      <c r="CZ64" s="2927"/>
      <c r="DA64" s="2927"/>
      <c r="DB64" s="2927"/>
      <c r="DC64" s="2927"/>
      <c r="DD64" s="2927"/>
      <c r="DE64" s="2927"/>
      <c r="DF64" s="2927"/>
      <c r="DG64" s="2927"/>
      <c r="DH64" s="2927"/>
      <c r="DI64" s="2927"/>
      <c r="DJ64" s="2927"/>
      <c r="DK64" s="2927"/>
      <c r="DL64" s="2927"/>
      <c r="DM64" s="2927"/>
      <c r="DN64" s="2927"/>
      <c r="DO64" s="2927"/>
      <c r="DP64" s="2927"/>
      <c r="DQ64" s="2927"/>
      <c r="DR64" s="2927"/>
      <c r="DS64" s="2927"/>
      <c r="DT64" s="2927"/>
      <c r="DU64" s="2927"/>
      <c r="DV64" s="2927"/>
      <c r="DW64" s="2927"/>
      <c r="DX64" s="2927"/>
      <c r="DY64" s="2927"/>
      <c r="DZ64" s="2927"/>
      <c r="EA64" s="2927"/>
      <c r="EB64" s="2927"/>
      <c r="EC64" s="2927"/>
      <c r="ED64" s="2927"/>
      <c r="EE64" s="2927"/>
      <c r="EF64" s="2927"/>
      <c r="EG64" s="2927"/>
      <c r="EH64" s="2927"/>
      <c r="EI64" s="2927"/>
      <c r="EJ64" s="2927"/>
      <c r="EK64" s="2927"/>
      <c r="EL64" s="2927"/>
      <c r="EM64" s="2927"/>
      <c r="EN64" s="2927"/>
      <c r="EO64" s="2927"/>
      <c r="EP64" s="2927"/>
      <c r="EQ64" s="2927"/>
      <c r="ER64" s="2927"/>
      <c r="ES64" s="2927"/>
      <c r="ET64" s="2927"/>
      <c r="EU64" s="2927"/>
      <c r="EV64" s="2927"/>
      <c r="EW64" s="2927"/>
      <c r="EX64" s="2927"/>
      <c r="EY64" s="2927"/>
      <c r="EZ64" s="2927"/>
      <c r="FA64" s="2927"/>
      <c r="FB64" s="2927"/>
      <c r="FC64" s="2927"/>
      <c r="FD64" s="2927"/>
      <c r="FE64" s="2927"/>
      <c r="FF64" s="2927"/>
      <c r="FG64" s="2927"/>
      <c r="FH64" s="2927"/>
      <c r="FI64" s="2927"/>
      <c r="FJ64" s="2927"/>
      <c r="FK64" s="2927"/>
      <c r="FL64" s="2927"/>
      <c r="FM64" s="2927"/>
      <c r="FN64" s="2927"/>
      <c r="FO64" s="2927"/>
      <c r="FP64" s="2927"/>
      <c r="FQ64" s="2927"/>
      <c r="FR64" s="2927"/>
      <c r="FS64" s="2927"/>
      <c r="FT64" s="2927"/>
      <c r="FU64" s="2927"/>
      <c r="FV64" s="2927"/>
      <c r="FW64" s="2927"/>
      <c r="FX64" s="2927"/>
      <c r="FY64" s="2927"/>
      <c r="FZ64" s="2927"/>
      <c r="GA64" s="2927"/>
      <c r="GB64" s="2927"/>
      <c r="GC64" s="2927"/>
      <c r="GD64" s="2927"/>
      <c r="GE64" s="2927"/>
      <c r="GF64" s="2927"/>
      <c r="GG64" s="2927"/>
      <c r="GH64" s="2927"/>
      <c r="GI64" s="2927"/>
      <c r="GJ64" s="2927"/>
      <c r="GK64" s="2927"/>
      <c r="GL64" s="2927"/>
      <c r="GM64" s="2927"/>
      <c r="GN64" s="2927"/>
      <c r="GO64" s="2927"/>
      <c r="GP64" s="2927"/>
      <c r="GQ64" s="2927"/>
      <c r="GR64" s="2927"/>
      <c r="GS64" s="2927"/>
      <c r="GT64" s="2927"/>
      <c r="GU64" s="2927"/>
      <c r="GV64" s="2927"/>
      <c r="GW64" s="2927"/>
      <c r="GX64" s="2927"/>
      <c r="GY64" s="2927"/>
      <c r="GZ64" s="2927"/>
      <c r="HA64" s="2927"/>
      <c r="HB64" s="2927"/>
      <c r="HC64" s="2927"/>
      <c r="HD64" s="2927"/>
      <c r="HE64" s="2927"/>
      <c r="HF64" s="2927"/>
      <c r="HG64" s="2927"/>
      <c r="HH64" s="2927"/>
      <c r="HI64" s="2927"/>
      <c r="HJ64" s="2927"/>
      <c r="HK64" s="2927"/>
      <c r="HL64" s="2927"/>
      <c r="HM64" s="2927"/>
      <c r="HN64" s="2927"/>
      <c r="HO64" s="2927"/>
      <c r="HP64" s="2927"/>
      <c r="HQ64" s="2927"/>
      <c r="HR64" s="2927"/>
      <c r="HS64" s="2927"/>
      <c r="HT64" s="2927"/>
      <c r="HU64" s="2927"/>
      <c r="HV64" s="2927"/>
      <c r="HW64" s="2927"/>
      <c r="HX64" s="2927"/>
      <c r="HY64" s="2927"/>
      <c r="HZ64" s="2927"/>
      <c r="IA64" s="2927"/>
      <c r="IB64" s="2927"/>
      <c r="IC64" s="2927"/>
      <c r="ID64" s="2927"/>
      <c r="XEY64" s="2943"/>
    </row>
    <row r="65" s="2838" customFormat="1" ht="32" customHeight="1" spans="1:239 16379:16379">
      <c r="A65" s="2941">
        <v>45812</v>
      </c>
      <c r="B65" s="2906" t="s">
        <v>872</v>
      </c>
      <c r="C65" s="2907" t="s">
        <v>873</v>
      </c>
      <c r="D65" s="2908">
        <v>4500168727</v>
      </c>
      <c r="E65" s="2909"/>
      <c r="F65" s="2908" t="s">
        <v>10387</v>
      </c>
      <c r="G65" s="2930" t="s">
        <v>10388</v>
      </c>
      <c r="H65" s="2911" t="s">
        <v>10298</v>
      </c>
      <c r="I65" s="2912">
        <v>1168</v>
      </c>
      <c r="J65" s="2912">
        <v>0</v>
      </c>
      <c r="K65" s="2912">
        <v>4</v>
      </c>
      <c r="L65" s="2912">
        <f t="shared" si="146"/>
        <v>292</v>
      </c>
      <c r="M65" s="2913">
        <v>45848</v>
      </c>
      <c r="N65" s="2913">
        <v>45845</v>
      </c>
      <c r="O65" s="2914"/>
      <c r="P65" s="2914" t="s">
        <v>82</v>
      </c>
      <c r="Q65" s="2914" t="s">
        <v>4135</v>
      </c>
      <c r="R65" s="2915" t="s">
        <v>1425</v>
      </c>
      <c r="S65" s="2915"/>
      <c r="T65" s="2915" t="s">
        <v>9675</v>
      </c>
      <c r="U65" s="2915"/>
      <c r="V65" s="2915"/>
      <c r="W65" s="2931" t="s">
        <v>10385</v>
      </c>
      <c r="X65" s="2912" t="s">
        <v>1131</v>
      </c>
      <c r="Y65" s="2917">
        <v>7.1595</v>
      </c>
      <c r="Z65" s="2918">
        <f t="shared" si="147"/>
        <v>8362.296</v>
      </c>
      <c r="AA65" s="2912" t="s">
        <v>7106</v>
      </c>
      <c r="AB65" s="2930" t="s">
        <v>10389</v>
      </c>
      <c r="AC65" s="2912" t="s">
        <v>416</v>
      </c>
      <c r="AD65" s="2919">
        <f t="shared" si="154"/>
        <v>1168</v>
      </c>
      <c r="AE65" s="2919"/>
      <c r="AF65" s="2920"/>
      <c r="AG65" s="2919"/>
      <c r="AH65" s="2919"/>
      <c r="AI65" s="2921"/>
      <c r="AJ65" s="2921">
        <f t="shared" si="75"/>
        <v>1168</v>
      </c>
      <c r="AK65" s="2921"/>
      <c r="AL65" s="2921"/>
      <c r="AM65" s="2922"/>
      <c r="AN65" s="2922"/>
      <c r="AO65" s="2923"/>
      <c r="AP65" s="2921"/>
      <c r="AQ65" s="2921">
        <f>I65</f>
        <v>1168</v>
      </c>
      <c r="AR65" s="2924"/>
      <c r="AS65" s="2923"/>
      <c r="AT65" s="2921"/>
      <c r="AU65" s="2921"/>
      <c r="AV65" s="2924"/>
      <c r="AW65" s="2923"/>
      <c r="AX65" s="2921"/>
      <c r="AY65" s="2921"/>
      <c r="AZ65" s="2924"/>
      <c r="BA65" s="2923"/>
      <c r="BB65" s="2924"/>
      <c r="BC65" s="2925"/>
      <c r="BD65" s="2921">
        <f t="shared" si="143"/>
        <v>1168</v>
      </c>
      <c r="BE65" s="2921"/>
      <c r="BF65" s="2921"/>
      <c r="BG65" s="2921" t="s">
        <v>9164</v>
      </c>
      <c r="BH65" s="2921"/>
      <c r="BI65" s="2921"/>
      <c r="BJ65" s="2921"/>
      <c r="BK65" s="2921"/>
      <c r="BL65" s="2926"/>
      <c r="BM65" s="2921">
        <f>I65</f>
        <v>1168</v>
      </c>
      <c r="BN65" s="2921">
        <f>I65</f>
        <v>1168</v>
      </c>
      <c r="BO65" s="2921"/>
      <c r="BP65" s="2926"/>
      <c r="BQ65" s="2926">
        <f t="shared" si="1"/>
        <v>239193</v>
      </c>
      <c r="BR65" s="2926">
        <f t="shared" ref="BR65:BY65" si="160">BR64-BI65</f>
        <v>18077.5</v>
      </c>
      <c r="BS65" s="2926">
        <f t="shared" si="160"/>
        <v>0</v>
      </c>
      <c r="BT65" s="2926">
        <f t="shared" si="160"/>
        <v>-1168</v>
      </c>
      <c r="BU65" s="2926">
        <f t="shared" si="160"/>
        <v>-1168</v>
      </c>
      <c r="BV65" s="2926">
        <f t="shared" si="160"/>
        <v>-1168</v>
      </c>
      <c r="BW65" s="2926">
        <f t="shared" si="160"/>
        <v>-1168</v>
      </c>
      <c r="BX65" s="2926">
        <f t="shared" si="160"/>
        <v>-1168</v>
      </c>
      <c r="BY65" s="2926">
        <f t="shared" si="160"/>
        <v>-1168</v>
      </c>
      <c r="BZ65" s="2912"/>
      <c r="CA65" s="2927"/>
      <c r="CB65" s="2927"/>
      <c r="CC65" s="2927"/>
      <c r="CD65" s="2927"/>
      <c r="CE65" s="2927"/>
      <c r="CF65" s="2927"/>
      <c r="CG65" s="2927"/>
      <c r="CH65" s="2927"/>
      <c r="CI65" s="2927"/>
      <c r="CJ65" s="2927"/>
      <c r="CK65" s="2927"/>
      <c r="CL65" s="2927"/>
      <c r="CM65" s="2927"/>
      <c r="CN65" s="2927"/>
      <c r="CO65" s="2927"/>
      <c r="CP65" s="2927"/>
      <c r="CQ65" s="2927"/>
      <c r="CR65" s="2927"/>
      <c r="CS65" s="2927"/>
      <c r="CT65" s="2927"/>
      <c r="CU65" s="2927"/>
      <c r="CV65" s="2927"/>
      <c r="CW65" s="2927"/>
      <c r="CX65" s="2927"/>
      <c r="CY65" s="2927"/>
      <c r="CZ65" s="2927"/>
      <c r="DA65" s="2927"/>
      <c r="DB65" s="2927"/>
      <c r="DC65" s="2927"/>
      <c r="DD65" s="2927"/>
      <c r="DE65" s="2927"/>
      <c r="DF65" s="2927"/>
      <c r="DG65" s="2927"/>
      <c r="DH65" s="2927"/>
      <c r="DI65" s="2927"/>
      <c r="DJ65" s="2927"/>
      <c r="DK65" s="2927"/>
      <c r="DL65" s="2927"/>
      <c r="DM65" s="2927"/>
      <c r="DN65" s="2927"/>
      <c r="DO65" s="2927"/>
      <c r="DP65" s="2927"/>
      <c r="DQ65" s="2927"/>
      <c r="DR65" s="2927"/>
      <c r="DS65" s="2927"/>
      <c r="DT65" s="2927"/>
      <c r="DU65" s="2927"/>
      <c r="DV65" s="2927"/>
      <c r="DW65" s="2927"/>
      <c r="DX65" s="2927"/>
      <c r="DY65" s="2927"/>
      <c r="DZ65" s="2927"/>
      <c r="EA65" s="2927"/>
      <c r="EB65" s="2927"/>
      <c r="EC65" s="2927"/>
      <c r="ED65" s="2927"/>
      <c r="EE65" s="2927"/>
      <c r="EF65" s="2927"/>
      <c r="EG65" s="2927"/>
      <c r="EH65" s="2927"/>
      <c r="EI65" s="2927"/>
      <c r="EJ65" s="2927"/>
      <c r="EK65" s="2927"/>
      <c r="EL65" s="2927"/>
      <c r="EM65" s="2927"/>
      <c r="EN65" s="2927"/>
      <c r="EO65" s="2927"/>
      <c r="EP65" s="2927"/>
      <c r="EQ65" s="2927"/>
      <c r="ER65" s="2927"/>
      <c r="ES65" s="2927"/>
      <c r="ET65" s="2927"/>
      <c r="EU65" s="2927"/>
      <c r="EV65" s="2927"/>
      <c r="EW65" s="2927"/>
      <c r="EX65" s="2927"/>
      <c r="EY65" s="2927"/>
      <c r="EZ65" s="2927"/>
      <c r="FA65" s="2927"/>
      <c r="FB65" s="2927"/>
      <c r="FC65" s="2927"/>
      <c r="FD65" s="2927"/>
      <c r="FE65" s="2927"/>
      <c r="FF65" s="2927"/>
      <c r="FG65" s="2927"/>
      <c r="FH65" s="2927"/>
      <c r="FI65" s="2927"/>
      <c r="FJ65" s="2927"/>
      <c r="FK65" s="2927"/>
      <c r="FL65" s="2927"/>
      <c r="FM65" s="2927"/>
      <c r="FN65" s="2927"/>
      <c r="FO65" s="2927"/>
      <c r="FP65" s="2927"/>
      <c r="FQ65" s="2927"/>
      <c r="FR65" s="2927"/>
      <c r="FS65" s="2927"/>
      <c r="FT65" s="2927"/>
      <c r="FU65" s="2927"/>
      <c r="FV65" s="2927"/>
      <c r="FW65" s="2927"/>
      <c r="FX65" s="2927"/>
      <c r="FY65" s="2927"/>
      <c r="FZ65" s="2927"/>
      <c r="GA65" s="2927"/>
      <c r="GB65" s="2927"/>
      <c r="GC65" s="2927"/>
      <c r="GD65" s="2927"/>
      <c r="GE65" s="2927"/>
      <c r="GF65" s="2927"/>
      <c r="GG65" s="2927"/>
      <c r="GH65" s="2927"/>
      <c r="GI65" s="2927"/>
      <c r="GJ65" s="2927"/>
      <c r="GK65" s="2927"/>
      <c r="GL65" s="2927"/>
      <c r="GM65" s="2927"/>
      <c r="GN65" s="2927"/>
      <c r="GO65" s="2927"/>
      <c r="GP65" s="2927"/>
      <c r="GQ65" s="2927"/>
      <c r="GR65" s="2927"/>
      <c r="GS65" s="2927"/>
      <c r="GT65" s="2927"/>
      <c r="GU65" s="2927"/>
      <c r="GV65" s="2927"/>
      <c r="GW65" s="2927"/>
      <c r="GX65" s="2927"/>
      <c r="GY65" s="2927"/>
      <c r="GZ65" s="2927"/>
      <c r="HA65" s="2927"/>
      <c r="HB65" s="2927"/>
      <c r="HC65" s="2927"/>
      <c r="HD65" s="2927"/>
      <c r="HE65" s="2927"/>
      <c r="HF65" s="2927"/>
      <c r="HG65" s="2927"/>
      <c r="HH65" s="2927"/>
      <c r="HI65" s="2927"/>
      <c r="HJ65" s="2927"/>
      <c r="HK65" s="2927"/>
      <c r="HL65" s="2927"/>
      <c r="HM65" s="2927"/>
      <c r="HN65" s="2927"/>
      <c r="HO65" s="2927"/>
      <c r="HP65" s="2927"/>
      <c r="HQ65" s="2927"/>
      <c r="HR65" s="2927"/>
      <c r="HS65" s="2927"/>
      <c r="HT65" s="2927"/>
      <c r="HU65" s="2927"/>
      <c r="HV65" s="2927"/>
      <c r="HW65" s="2927"/>
      <c r="HX65" s="2927"/>
      <c r="HY65" s="2927"/>
      <c r="HZ65" s="2927"/>
      <c r="IA65" s="2927"/>
      <c r="IB65" s="2927"/>
      <c r="IC65" s="2927"/>
      <c r="ID65" s="2927"/>
      <c r="XEY65" s="2943"/>
    </row>
    <row r="66" s="2838" customFormat="1" ht="32" customHeight="1" spans="1:239 16379:16379">
      <c r="A66" s="2941">
        <v>45818</v>
      </c>
      <c r="B66" s="2906" t="s">
        <v>9680</v>
      </c>
      <c r="C66" s="2907" t="s">
        <v>2776</v>
      </c>
      <c r="D66" s="2908">
        <v>4500169474</v>
      </c>
      <c r="E66" s="2909" t="s">
        <v>9681</v>
      </c>
      <c r="F66" s="2908" t="s">
        <v>10390</v>
      </c>
      <c r="G66" s="2930" t="s">
        <v>10199</v>
      </c>
      <c r="H66" s="2911" t="s">
        <v>9155</v>
      </c>
      <c r="I66" s="2912">
        <v>1200</v>
      </c>
      <c r="J66" s="2912">
        <v>0</v>
      </c>
      <c r="K66" s="2912">
        <v>4</v>
      </c>
      <c r="L66" s="2912">
        <f t="shared" si="146"/>
        <v>300</v>
      </c>
      <c r="M66" s="2913">
        <v>45849</v>
      </c>
      <c r="N66" s="2913">
        <f>M66-4</f>
        <v>45845</v>
      </c>
      <c r="O66" s="2914"/>
      <c r="P66" s="2914" t="s">
        <v>82</v>
      </c>
      <c r="Q66" s="2914" t="s">
        <v>9683</v>
      </c>
      <c r="R66" s="2915" t="s">
        <v>1550</v>
      </c>
      <c r="S66" s="2915"/>
      <c r="T66" s="2915" t="s">
        <v>9685</v>
      </c>
      <c r="U66" s="2915"/>
      <c r="V66" s="2915"/>
      <c r="W66" s="2931" t="s">
        <v>9686</v>
      </c>
      <c r="X66" s="2912" t="s">
        <v>459</v>
      </c>
      <c r="Y66" s="2917">
        <v>7.1595</v>
      </c>
      <c r="Z66" s="2918">
        <f t="shared" si="147"/>
        <v>8591.4</v>
      </c>
      <c r="AA66" s="2912" t="s">
        <v>9687</v>
      </c>
      <c r="AB66" s="2906" t="s">
        <v>10391</v>
      </c>
      <c r="AC66" s="2912" t="s">
        <v>416</v>
      </c>
      <c r="AD66" s="2919"/>
      <c r="AE66" s="2919"/>
      <c r="AF66" s="2920"/>
      <c r="AG66" s="2919">
        <f t="shared" ref="AG66:AG69" si="161">I66</f>
        <v>1200</v>
      </c>
      <c r="AH66" s="2919"/>
      <c r="AI66" s="2921"/>
      <c r="AJ66" s="2921">
        <f t="shared" si="75"/>
        <v>1200</v>
      </c>
      <c r="AK66" s="2921"/>
      <c r="AL66" s="2921"/>
      <c r="AM66" s="2922"/>
      <c r="AN66" s="2922"/>
      <c r="AO66" s="2923"/>
      <c r="AP66" s="2921"/>
      <c r="AQ66" s="2921">
        <f t="shared" ref="AQ66:AQ69" si="162">I66/4</f>
        <v>300</v>
      </c>
      <c r="AR66" s="2924"/>
      <c r="AS66" s="2923">
        <f t="shared" ref="AS66:AS69" si="163">I66/4</f>
        <v>300</v>
      </c>
      <c r="AT66" s="2921">
        <f t="shared" ref="AT66:AT69" si="164">I66/4</f>
        <v>300</v>
      </c>
      <c r="AU66" s="2921"/>
      <c r="AV66" s="2924">
        <f t="shared" ref="AV66:AV69" si="165">I66/4</f>
        <v>300</v>
      </c>
      <c r="AW66" s="2923"/>
      <c r="AX66" s="2921"/>
      <c r="AY66" s="2921"/>
      <c r="AZ66" s="2924"/>
      <c r="BA66" s="2923"/>
      <c r="BB66" s="2924"/>
      <c r="BC66" s="2925"/>
      <c r="BD66" s="2921">
        <f t="shared" si="143"/>
        <v>1200</v>
      </c>
      <c r="BE66" s="2921"/>
      <c r="BF66" s="2921"/>
      <c r="BG66" s="2921" t="s">
        <v>9164</v>
      </c>
      <c r="BH66" s="2921"/>
      <c r="BI66" s="2921">
        <f>I66/4</f>
        <v>300</v>
      </c>
      <c r="BJ66" s="2921">
        <f>I66/4</f>
        <v>300</v>
      </c>
      <c r="BK66" s="2921">
        <f>I66/4</f>
        <v>300</v>
      </c>
      <c r="BL66" s="2926">
        <f>I66/4</f>
        <v>300</v>
      </c>
      <c r="BM66" s="2921">
        <f>I66/4</f>
        <v>300</v>
      </c>
      <c r="BN66" s="2926">
        <f>I66/4</f>
        <v>300</v>
      </c>
      <c r="BO66" s="2921">
        <f>I66/4</f>
        <v>300</v>
      </c>
      <c r="BP66" s="2926">
        <f>I66/4</f>
        <v>300</v>
      </c>
      <c r="BQ66" s="2926">
        <f t="shared" si="1"/>
        <v>239225</v>
      </c>
      <c r="BR66" s="2926">
        <f t="shared" ref="BR66:BY66" si="166">BR65-BI66</f>
        <v>17777.5</v>
      </c>
      <c r="BS66" s="2926">
        <f t="shared" si="166"/>
        <v>-300</v>
      </c>
      <c r="BT66" s="2926">
        <f t="shared" si="166"/>
        <v>-1468</v>
      </c>
      <c r="BU66" s="2926">
        <f t="shared" si="166"/>
        <v>-1468</v>
      </c>
      <c r="BV66" s="2926">
        <f t="shared" si="166"/>
        <v>-1468</v>
      </c>
      <c r="BW66" s="2926">
        <f t="shared" si="166"/>
        <v>-1468</v>
      </c>
      <c r="BX66" s="2926">
        <f t="shared" si="166"/>
        <v>-1468</v>
      </c>
      <c r="BY66" s="2926">
        <f t="shared" si="166"/>
        <v>-1468</v>
      </c>
      <c r="BZ66" s="2912"/>
      <c r="CA66" s="2927"/>
      <c r="CB66" s="2927"/>
      <c r="CC66" s="2927"/>
      <c r="CD66" s="2927"/>
      <c r="CE66" s="2927"/>
      <c r="CF66" s="2927"/>
      <c r="CG66" s="2927"/>
      <c r="CH66" s="2927"/>
      <c r="CI66" s="2927"/>
      <c r="CJ66" s="2927"/>
      <c r="CK66" s="2927"/>
      <c r="CL66" s="2927"/>
      <c r="CM66" s="2927"/>
      <c r="CN66" s="2927"/>
      <c r="CO66" s="2927"/>
      <c r="CP66" s="2927"/>
      <c r="CQ66" s="2927"/>
      <c r="CR66" s="2927"/>
      <c r="CS66" s="2927"/>
      <c r="CT66" s="2927"/>
      <c r="CU66" s="2927"/>
      <c r="CV66" s="2927"/>
      <c r="CW66" s="2927"/>
      <c r="CX66" s="2927"/>
      <c r="CY66" s="2927"/>
      <c r="CZ66" s="2927"/>
      <c r="DA66" s="2927"/>
      <c r="DB66" s="2927"/>
      <c r="DC66" s="2927"/>
      <c r="DD66" s="2927"/>
      <c r="DE66" s="2927"/>
      <c r="DF66" s="2927"/>
      <c r="DG66" s="2927"/>
      <c r="DH66" s="2927"/>
      <c r="DI66" s="2927"/>
      <c r="DJ66" s="2927"/>
      <c r="DK66" s="2927"/>
      <c r="DL66" s="2927"/>
      <c r="DM66" s="2927"/>
      <c r="DN66" s="2927"/>
      <c r="DO66" s="2927"/>
      <c r="DP66" s="2927"/>
      <c r="DQ66" s="2927"/>
      <c r="DR66" s="2927"/>
      <c r="DS66" s="2927"/>
      <c r="DT66" s="2927"/>
      <c r="DU66" s="2927"/>
      <c r="DV66" s="2927"/>
      <c r="DW66" s="2927"/>
      <c r="DX66" s="2927"/>
      <c r="DY66" s="2927"/>
      <c r="DZ66" s="2927"/>
      <c r="EA66" s="2927"/>
      <c r="EB66" s="2927"/>
      <c r="EC66" s="2927"/>
      <c r="ED66" s="2927"/>
      <c r="EE66" s="2927"/>
      <c r="EF66" s="2927"/>
      <c r="EG66" s="2927"/>
      <c r="EH66" s="2927"/>
      <c r="EI66" s="2927"/>
      <c r="EJ66" s="2927"/>
      <c r="EK66" s="2927"/>
      <c r="EL66" s="2927"/>
      <c r="EM66" s="2927"/>
      <c r="EN66" s="2927"/>
      <c r="EO66" s="2927"/>
      <c r="EP66" s="2927"/>
      <c r="EQ66" s="2927"/>
      <c r="ER66" s="2927"/>
      <c r="ES66" s="2927"/>
      <c r="ET66" s="2927"/>
      <c r="EU66" s="2927"/>
      <c r="EV66" s="2927"/>
      <c r="EW66" s="2927"/>
      <c r="EX66" s="2927"/>
      <c r="EY66" s="2927"/>
      <c r="EZ66" s="2927"/>
      <c r="FA66" s="2927"/>
      <c r="FB66" s="2927"/>
      <c r="FC66" s="2927"/>
      <c r="FD66" s="2927"/>
      <c r="FE66" s="2927"/>
      <c r="FF66" s="2927"/>
      <c r="FG66" s="2927"/>
      <c r="FH66" s="2927"/>
      <c r="FI66" s="2927"/>
      <c r="FJ66" s="2927"/>
      <c r="FK66" s="2927"/>
      <c r="FL66" s="2927"/>
      <c r="FM66" s="2927"/>
      <c r="FN66" s="2927"/>
      <c r="FO66" s="2927"/>
      <c r="FP66" s="2927"/>
      <c r="FQ66" s="2927"/>
      <c r="FR66" s="2927"/>
      <c r="FS66" s="2927"/>
      <c r="FT66" s="2927"/>
      <c r="FU66" s="2927"/>
      <c r="FV66" s="2927"/>
      <c r="FW66" s="2927"/>
      <c r="FX66" s="2927"/>
      <c r="FY66" s="2927"/>
      <c r="FZ66" s="2927"/>
      <c r="GA66" s="2927"/>
      <c r="GB66" s="2927"/>
      <c r="GC66" s="2927"/>
      <c r="GD66" s="2927"/>
      <c r="GE66" s="2927"/>
      <c r="GF66" s="2927"/>
      <c r="GG66" s="2927"/>
      <c r="GH66" s="2927"/>
      <c r="GI66" s="2927"/>
      <c r="GJ66" s="2927"/>
      <c r="GK66" s="2927"/>
      <c r="GL66" s="2927"/>
      <c r="GM66" s="2927"/>
      <c r="GN66" s="2927"/>
      <c r="GO66" s="2927"/>
      <c r="GP66" s="2927"/>
      <c r="GQ66" s="2927"/>
      <c r="GR66" s="2927"/>
      <c r="GS66" s="2927"/>
      <c r="GT66" s="2927"/>
      <c r="GU66" s="2927"/>
      <c r="GV66" s="2927"/>
      <c r="GW66" s="2927"/>
      <c r="GX66" s="2927"/>
      <c r="GY66" s="2927"/>
      <c r="GZ66" s="2927"/>
      <c r="HA66" s="2927"/>
      <c r="HB66" s="2927"/>
      <c r="HC66" s="2927"/>
      <c r="HD66" s="2927"/>
      <c r="HE66" s="2927"/>
      <c r="HF66" s="2927"/>
      <c r="HG66" s="2927"/>
      <c r="HH66" s="2927"/>
      <c r="HI66" s="2927"/>
      <c r="HJ66" s="2927"/>
      <c r="HK66" s="2927"/>
      <c r="HL66" s="2927"/>
      <c r="HM66" s="2927"/>
      <c r="HN66" s="2927"/>
      <c r="HO66" s="2927"/>
      <c r="HP66" s="2927"/>
      <c r="HQ66" s="2927"/>
      <c r="HR66" s="2927"/>
      <c r="HS66" s="2927"/>
      <c r="HT66" s="2927"/>
      <c r="HU66" s="2927"/>
      <c r="HV66" s="2927"/>
      <c r="HW66" s="2927"/>
      <c r="HX66" s="2927"/>
      <c r="HY66" s="2927"/>
      <c r="HZ66" s="2927"/>
      <c r="IA66" s="2927"/>
      <c r="IB66" s="2927"/>
      <c r="IC66" s="2927"/>
      <c r="ID66" s="2927"/>
      <c r="XEY66" s="2943"/>
    </row>
    <row r="67" s="2838" customFormat="1" ht="32" customHeight="1" spans="1:239 16379:16379">
      <c r="A67" s="2941">
        <v>45820</v>
      </c>
      <c r="B67" s="2906" t="s">
        <v>1477</v>
      </c>
      <c r="C67" s="2907" t="s">
        <v>351</v>
      </c>
      <c r="D67" s="2908">
        <v>4500169637</v>
      </c>
      <c r="E67" s="2929"/>
      <c r="F67" s="2908" t="s">
        <v>10392</v>
      </c>
      <c r="G67" s="2930" t="s">
        <v>10345</v>
      </c>
      <c r="H67" s="2911" t="s">
        <v>10346</v>
      </c>
      <c r="I67" s="2912">
        <v>1008</v>
      </c>
      <c r="J67" s="2912">
        <v>0</v>
      </c>
      <c r="K67" s="2912">
        <v>4</v>
      </c>
      <c r="L67" s="2912">
        <f t="shared" si="146"/>
        <v>252</v>
      </c>
      <c r="M67" s="2913">
        <v>45856</v>
      </c>
      <c r="N67" s="2913">
        <v>45852</v>
      </c>
      <c r="O67" s="2914"/>
      <c r="P67" s="2914" t="s">
        <v>82</v>
      </c>
      <c r="Q67" s="2914" t="s">
        <v>1424</v>
      </c>
      <c r="R67" s="2915" t="s">
        <v>1479</v>
      </c>
      <c r="S67" s="2915"/>
      <c r="T67" s="2915" t="s">
        <v>10393</v>
      </c>
      <c r="U67" s="2915"/>
      <c r="V67" s="2915"/>
      <c r="W67" s="2931" t="s">
        <v>10394</v>
      </c>
      <c r="X67" s="2912" t="s">
        <v>1199</v>
      </c>
      <c r="Y67" s="2917">
        <v>7.2236</v>
      </c>
      <c r="Z67" s="2918">
        <f t="shared" si="147"/>
        <v>7281.3888</v>
      </c>
      <c r="AA67" s="2912" t="s">
        <v>1481</v>
      </c>
      <c r="AB67" s="2930" t="s">
        <v>10348</v>
      </c>
      <c r="AC67" s="2912" t="s">
        <v>416</v>
      </c>
      <c r="AD67" s="2919">
        <f t="shared" ref="AD67:AD72" si="167">I67</f>
        <v>1008</v>
      </c>
      <c r="AE67" s="2919"/>
      <c r="AF67" s="2920"/>
      <c r="AG67" s="2919"/>
      <c r="AH67" s="2919"/>
      <c r="AI67" s="2919"/>
      <c r="AJ67" s="2921">
        <f t="shared" si="75"/>
        <v>1008</v>
      </c>
      <c r="AK67" s="2921"/>
      <c r="AL67" s="2921"/>
      <c r="AM67" s="2921"/>
      <c r="AN67" s="2922"/>
      <c r="AO67" s="2923"/>
      <c r="AP67" s="2921"/>
      <c r="AQ67" s="2921"/>
      <c r="AR67" s="2924"/>
      <c r="AS67" s="2923"/>
      <c r="AT67" s="2921"/>
      <c r="AU67" s="2921"/>
      <c r="AV67" s="2924">
        <f>I67</f>
        <v>1008</v>
      </c>
      <c r="AW67" s="2923"/>
      <c r="AX67" s="2921"/>
      <c r="AY67" s="2921"/>
      <c r="AZ67" s="2924"/>
      <c r="BA67" s="2923"/>
      <c r="BB67" s="2924"/>
      <c r="BC67" s="2925"/>
      <c r="BD67" s="2921">
        <f t="shared" si="143"/>
        <v>1008</v>
      </c>
      <c r="BE67" s="2921"/>
      <c r="BF67" s="2921" t="s">
        <v>9164</v>
      </c>
      <c r="BG67" s="2921"/>
      <c r="BH67" s="2921"/>
      <c r="BI67" s="2921"/>
      <c r="BJ67" s="2921"/>
      <c r="BK67" s="2921"/>
      <c r="BL67" s="2921"/>
      <c r="BM67" s="2926"/>
      <c r="BN67" s="2921"/>
      <c r="BO67" s="2926">
        <f>I67</f>
        <v>1008</v>
      </c>
      <c r="BP67" s="2921">
        <f>I67</f>
        <v>1008</v>
      </c>
      <c r="BQ67" s="2926">
        <f t="shared" si="1"/>
        <v>239033</v>
      </c>
      <c r="BR67" s="2926">
        <f t="shared" ref="BR67:BY67" si="168">BR69-BI67</f>
        <v>17075.5</v>
      </c>
      <c r="BS67" s="2926">
        <f t="shared" si="168"/>
        <v>-1002</v>
      </c>
      <c r="BT67" s="2926">
        <f t="shared" si="168"/>
        <v>-1002</v>
      </c>
      <c r="BU67" s="2926">
        <f t="shared" si="168"/>
        <v>-1002</v>
      </c>
      <c r="BV67" s="2926">
        <f t="shared" si="168"/>
        <v>-1002</v>
      </c>
      <c r="BW67" s="2926">
        <f t="shared" si="168"/>
        <v>-1002</v>
      </c>
      <c r="BX67" s="2926">
        <f t="shared" si="168"/>
        <v>-2010</v>
      </c>
      <c r="BY67" s="2926">
        <f t="shared" si="168"/>
        <v>-2010</v>
      </c>
      <c r="BZ67" s="2912"/>
      <c r="CA67" s="2927"/>
      <c r="CB67" s="2927"/>
      <c r="CC67" s="2927"/>
      <c r="CD67" s="2927"/>
      <c r="CE67" s="2927"/>
      <c r="CF67" s="2927"/>
      <c r="CG67" s="2927"/>
      <c r="CH67" s="2927"/>
      <c r="CI67" s="2927"/>
      <c r="CJ67" s="2927"/>
      <c r="CK67" s="2927"/>
      <c r="CL67" s="2927"/>
      <c r="CM67" s="2927"/>
      <c r="CN67" s="2927"/>
      <c r="CO67" s="2927"/>
      <c r="CP67" s="2927"/>
      <c r="CQ67" s="2927"/>
      <c r="CR67" s="2927"/>
      <c r="CS67" s="2927"/>
      <c r="CT67" s="2927"/>
      <c r="CU67" s="2927"/>
      <c r="CV67" s="2927"/>
      <c r="CW67" s="2927"/>
      <c r="CX67" s="2927"/>
      <c r="CY67" s="2927"/>
      <c r="CZ67" s="2927"/>
      <c r="DA67" s="2927"/>
      <c r="DB67" s="2927"/>
      <c r="DC67" s="2927"/>
      <c r="DD67" s="2927"/>
      <c r="DE67" s="2927"/>
      <c r="DF67" s="2927"/>
      <c r="DG67" s="2927"/>
      <c r="DH67" s="2927"/>
      <c r="DI67" s="2927"/>
      <c r="DJ67" s="2927"/>
      <c r="DK67" s="2927"/>
      <c r="DL67" s="2927"/>
      <c r="DM67" s="2927"/>
      <c r="DN67" s="2927"/>
      <c r="DO67" s="2927"/>
      <c r="DP67" s="2927"/>
      <c r="DQ67" s="2927"/>
      <c r="DR67" s="2927"/>
      <c r="DS67" s="2927"/>
      <c r="DT67" s="2927"/>
      <c r="DU67" s="2927"/>
      <c r="DV67" s="2927"/>
      <c r="DW67" s="2927"/>
      <c r="DX67" s="2927"/>
      <c r="DY67" s="2927"/>
      <c r="DZ67" s="2927"/>
      <c r="EA67" s="2927"/>
      <c r="EB67" s="2927"/>
      <c r="EC67" s="2927"/>
      <c r="ED67" s="2927"/>
      <c r="EE67" s="2927"/>
      <c r="EF67" s="2927"/>
      <c r="EG67" s="2927"/>
      <c r="EH67" s="2927"/>
      <c r="EI67" s="2927"/>
      <c r="EJ67" s="2927"/>
      <c r="EK67" s="2927"/>
      <c r="EL67" s="2927"/>
      <c r="EM67" s="2927"/>
      <c r="EN67" s="2927"/>
      <c r="EO67" s="2927"/>
      <c r="EP67" s="2927"/>
      <c r="EQ67" s="2927"/>
      <c r="ER67" s="2927"/>
      <c r="ES67" s="2927"/>
      <c r="ET67" s="2927"/>
      <c r="EU67" s="2927"/>
      <c r="EV67" s="2927"/>
      <c r="EW67" s="2927"/>
      <c r="EX67" s="2927"/>
      <c r="EY67" s="2927"/>
      <c r="EZ67" s="2927"/>
      <c r="FA67" s="2927"/>
      <c r="FB67" s="2927"/>
      <c r="FC67" s="2927"/>
      <c r="FD67" s="2927"/>
      <c r="FE67" s="2927"/>
      <c r="FF67" s="2927"/>
      <c r="FG67" s="2927"/>
      <c r="FH67" s="2927"/>
      <c r="FI67" s="2927"/>
      <c r="FJ67" s="2927"/>
      <c r="FK67" s="2927"/>
      <c r="FL67" s="2927"/>
      <c r="FM67" s="2927"/>
      <c r="FN67" s="2927"/>
      <c r="FO67" s="2927"/>
      <c r="FP67" s="2927"/>
      <c r="FQ67" s="2927"/>
      <c r="FR67" s="2927"/>
      <c r="FS67" s="2927"/>
      <c r="FT67" s="2927"/>
      <c r="FU67" s="2927"/>
      <c r="FV67" s="2927"/>
      <c r="FW67" s="2927"/>
      <c r="FX67" s="2927"/>
      <c r="FY67" s="2927"/>
      <c r="FZ67" s="2927"/>
      <c r="GA67" s="2927"/>
      <c r="GB67" s="2927"/>
      <c r="GC67" s="2927"/>
      <c r="GD67" s="2927"/>
      <c r="GE67" s="2927"/>
      <c r="GF67" s="2927"/>
      <c r="GG67" s="2927"/>
      <c r="GH67" s="2927"/>
      <c r="GI67" s="2927"/>
      <c r="GJ67" s="2927"/>
      <c r="GK67" s="2927"/>
      <c r="GL67" s="2927"/>
      <c r="GM67" s="2927"/>
      <c r="GN67" s="2927"/>
      <c r="GO67" s="2927"/>
      <c r="GP67" s="2927"/>
      <c r="GQ67" s="2927"/>
      <c r="GR67" s="2927"/>
      <c r="GS67" s="2927"/>
      <c r="GT67" s="2927"/>
      <c r="GU67" s="2927"/>
      <c r="GV67" s="2927"/>
      <c r="GW67" s="2927"/>
      <c r="GX67" s="2927"/>
      <c r="GY67" s="2927"/>
      <c r="GZ67" s="2927"/>
      <c r="HA67" s="2927"/>
      <c r="HB67" s="2927"/>
      <c r="HC67" s="2927"/>
      <c r="HD67" s="2927"/>
      <c r="HE67" s="2927"/>
      <c r="HF67" s="2927"/>
      <c r="HG67" s="2927"/>
      <c r="HH67" s="2927"/>
      <c r="HI67" s="2927"/>
      <c r="HJ67" s="2927"/>
      <c r="HK67" s="2927"/>
      <c r="HL67" s="2927"/>
      <c r="HM67" s="2927"/>
      <c r="HN67" s="2927"/>
      <c r="HO67" s="2927"/>
      <c r="HP67" s="2927"/>
      <c r="HQ67" s="2927"/>
      <c r="HR67" s="2927"/>
      <c r="HS67" s="2927"/>
      <c r="HT67" s="2927"/>
      <c r="HU67" s="2927"/>
      <c r="HV67" s="2927"/>
      <c r="HW67" s="2927"/>
      <c r="HX67" s="2927"/>
      <c r="HY67" s="2927"/>
      <c r="HZ67" s="2927"/>
      <c r="IA67" s="2927"/>
      <c r="IB67" s="2927"/>
      <c r="IC67" s="2927"/>
      <c r="ID67" s="2927"/>
      <c r="IE67" s="2927"/>
    </row>
    <row r="68" s="2838" customFormat="1" ht="32" customHeight="1" spans="1:239 16379:16379">
      <c r="A68" s="2941">
        <v>45754</v>
      </c>
      <c r="B68" s="2906" t="s">
        <v>10395</v>
      </c>
      <c r="C68" s="2907" t="s">
        <v>91</v>
      </c>
      <c r="D68" s="2908">
        <v>4500162730</v>
      </c>
      <c r="E68" s="2929">
        <v>15680783</v>
      </c>
      <c r="F68" s="2908" t="s">
        <v>10396</v>
      </c>
      <c r="G68" s="2930" t="s">
        <v>10397</v>
      </c>
      <c r="H68" s="2911" t="s">
        <v>10398</v>
      </c>
      <c r="I68" s="2912">
        <v>1980</v>
      </c>
      <c r="J68" s="2912">
        <v>0</v>
      </c>
      <c r="K68" s="2912">
        <v>45</v>
      </c>
      <c r="L68" s="2912">
        <f t="shared" si="146"/>
        <v>44</v>
      </c>
      <c r="M68" s="2913">
        <v>45856</v>
      </c>
      <c r="N68" s="2913">
        <v>45852</v>
      </c>
      <c r="O68" s="2914" t="s">
        <v>10399</v>
      </c>
      <c r="P68" s="2914" t="s">
        <v>82</v>
      </c>
      <c r="Q68" s="2914" t="s">
        <v>8978</v>
      </c>
      <c r="R68" s="2915" t="s">
        <v>4210</v>
      </c>
      <c r="S68" s="2915"/>
      <c r="T68" s="2915" t="s">
        <v>10400</v>
      </c>
      <c r="U68" s="2915"/>
      <c r="V68" s="2915" t="s">
        <v>10401</v>
      </c>
      <c r="W68" s="2931" t="s">
        <v>10402</v>
      </c>
      <c r="X68" s="2912" t="s">
        <v>459</v>
      </c>
      <c r="Y68" s="2917">
        <v>320.8596</v>
      </c>
      <c r="Z68" s="2918">
        <v>14117.8224</v>
      </c>
      <c r="AA68" s="2912" t="s">
        <v>10403</v>
      </c>
      <c r="AB68" s="2912" t="s">
        <v>10397</v>
      </c>
      <c r="AC68" s="2912" t="s">
        <v>416</v>
      </c>
      <c r="AD68" s="2919"/>
      <c r="AE68" s="2919"/>
      <c r="AF68" s="2944"/>
      <c r="AG68" s="2919">
        <f t="shared" si="161"/>
        <v>1980</v>
      </c>
      <c r="AH68" s="2919"/>
      <c r="AI68" s="2919"/>
      <c r="AJ68" s="2921">
        <v>1980</v>
      </c>
      <c r="AK68" s="2921"/>
      <c r="AL68" s="2921"/>
      <c r="AM68" s="2921"/>
      <c r="AN68" s="2922"/>
      <c r="AO68" s="2923"/>
      <c r="AP68" s="2921"/>
      <c r="AQ68" s="2921">
        <f t="shared" si="162"/>
        <v>495</v>
      </c>
      <c r="AR68" s="2924"/>
      <c r="AS68" s="2923">
        <f t="shared" si="163"/>
        <v>495</v>
      </c>
      <c r="AT68" s="2921">
        <f t="shared" si="164"/>
        <v>495</v>
      </c>
      <c r="AU68" s="2921"/>
      <c r="AV68" s="2924">
        <f t="shared" si="165"/>
        <v>495</v>
      </c>
      <c r="AW68" s="2923"/>
      <c r="AX68" s="2921"/>
      <c r="AY68" s="2921"/>
      <c r="AZ68" s="2924"/>
      <c r="BA68" s="2923"/>
      <c r="BB68" s="2924"/>
      <c r="BC68" s="2925"/>
      <c r="BD68" s="2921">
        <f t="shared" si="143"/>
        <v>1980</v>
      </c>
      <c r="BE68" s="2921"/>
      <c r="BF68" s="2921">
        <f>I68</f>
        <v>1980</v>
      </c>
      <c r="BG68" s="2921" t="s">
        <v>9164</v>
      </c>
      <c r="BH68" s="2921"/>
      <c r="BI68" s="2921">
        <v>495</v>
      </c>
      <c r="BJ68" s="2921">
        <v>495</v>
      </c>
      <c r="BK68" s="2921">
        <v>495</v>
      </c>
      <c r="BL68" s="2921">
        <v>495</v>
      </c>
      <c r="BM68" s="2926">
        <v>495</v>
      </c>
      <c r="BN68" s="2921">
        <v>495</v>
      </c>
      <c r="BO68" s="2926">
        <v>495</v>
      </c>
      <c r="BP68" s="2921">
        <v>495</v>
      </c>
      <c r="BQ68" s="2926">
        <f t="shared" ref="BQ68:BQ127" si="169">$BQ$136+BJ68+BL68+BN68+BP68</f>
        <v>240005</v>
      </c>
      <c r="BR68" s="2926">
        <f t="shared" ref="BR68:BY68" si="170">BR62-BI68</f>
        <v>17570.5</v>
      </c>
      <c r="BS68" s="2926">
        <f t="shared" si="170"/>
        <v>-507</v>
      </c>
      <c r="BT68" s="2926">
        <f t="shared" si="170"/>
        <v>-507</v>
      </c>
      <c r="BU68" s="2926">
        <f t="shared" si="170"/>
        <v>-507</v>
      </c>
      <c r="BV68" s="2926">
        <f t="shared" si="170"/>
        <v>-507</v>
      </c>
      <c r="BW68" s="2926">
        <f t="shared" si="170"/>
        <v>-507</v>
      </c>
      <c r="BX68" s="2926">
        <f t="shared" si="170"/>
        <v>-507</v>
      </c>
      <c r="BY68" s="2926">
        <f t="shared" si="170"/>
        <v>-507</v>
      </c>
      <c r="BZ68" s="2912"/>
      <c r="CA68" s="2927"/>
      <c r="CB68" s="2927"/>
      <c r="CC68" s="2927"/>
      <c r="CD68" s="2927"/>
      <c r="CE68" s="2927"/>
      <c r="CF68" s="2927"/>
      <c r="CG68" s="2927"/>
      <c r="CH68" s="2927"/>
      <c r="CI68" s="2927"/>
      <c r="CJ68" s="2927"/>
      <c r="CK68" s="2927"/>
      <c r="CL68" s="2927"/>
      <c r="CM68" s="2927"/>
      <c r="CN68" s="2927"/>
      <c r="CO68" s="2927"/>
      <c r="CP68" s="2927"/>
      <c r="CQ68" s="2927"/>
      <c r="CR68" s="2927"/>
      <c r="CS68" s="2927"/>
      <c r="CT68" s="2927"/>
      <c r="CU68" s="2927"/>
      <c r="CV68" s="2927"/>
      <c r="CW68" s="2927"/>
      <c r="CX68" s="2927"/>
      <c r="CY68" s="2927"/>
      <c r="CZ68" s="2927"/>
      <c r="DA68" s="2927"/>
      <c r="DB68" s="2927"/>
      <c r="DC68" s="2927"/>
      <c r="DD68" s="2927"/>
      <c r="DE68" s="2927"/>
      <c r="DF68" s="2927"/>
      <c r="DG68" s="2927"/>
      <c r="DH68" s="2927"/>
      <c r="DI68" s="2927"/>
      <c r="DJ68" s="2927"/>
      <c r="DK68" s="2927"/>
      <c r="DL68" s="2927"/>
      <c r="DM68" s="2927"/>
      <c r="DN68" s="2927"/>
      <c r="DO68" s="2927"/>
      <c r="DP68" s="2927"/>
      <c r="DQ68" s="2927"/>
      <c r="DR68" s="2927"/>
      <c r="DS68" s="2927"/>
      <c r="DT68" s="2927"/>
      <c r="DU68" s="2927"/>
      <c r="DV68" s="2927"/>
      <c r="DW68" s="2927"/>
      <c r="DX68" s="2927"/>
      <c r="DY68" s="2927"/>
      <c r="DZ68" s="2927"/>
      <c r="EA68" s="2927"/>
      <c r="EB68" s="2927"/>
      <c r="EC68" s="2927"/>
      <c r="ED68" s="2927"/>
      <c r="EE68" s="2927"/>
      <c r="EF68" s="2927"/>
      <c r="EG68" s="2927"/>
      <c r="EH68" s="2927"/>
      <c r="EI68" s="2927"/>
      <c r="EJ68" s="2927"/>
      <c r="EK68" s="2927"/>
      <c r="EL68" s="2927"/>
      <c r="EM68" s="2927"/>
      <c r="EN68" s="2927"/>
      <c r="EO68" s="2927"/>
      <c r="EP68" s="2927"/>
      <c r="EQ68" s="2927"/>
      <c r="ER68" s="2927"/>
      <c r="ES68" s="2927"/>
      <c r="ET68" s="2927"/>
      <c r="EU68" s="2927"/>
      <c r="EV68" s="2927"/>
      <c r="EW68" s="2927"/>
      <c r="EX68" s="2927"/>
      <c r="EY68" s="2927"/>
      <c r="EZ68" s="2927"/>
      <c r="FA68" s="2927"/>
      <c r="FB68" s="2927"/>
      <c r="FC68" s="2927"/>
      <c r="FD68" s="2927"/>
      <c r="FE68" s="2927"/>
      <c r="FF68" s="2927"/>
      <c r="FG68" s="2927"/>
      <c r="FH68" s="2927"/>
      <c r="FI68" s="2927"/>
      <c r="FJ68" s="2927"/>
      <c r="FK68" s="2927"/>
      <c r="FL68" s="2927"/>
      <c r="FM68" s="2927"/>
      <c r="FN68" s="2927"/>
      <c r="FO68" s="2927"/>
      <c r="FP68" s="2927"/>
      <c r="FQ68" s="2927"/>
      <c r="FR68" s="2927"/>
      <c r="FS68" s="2927"/>
      <c r="FT68" s="2927"/>
      <c r="FU68" s="2927"/>
      <c r="FV68" s="2927"/>
      <c r="FW68" s="2927"/>
      <c r="FX68" s="2927"/>
      <c r="FY68" s="2927"/>
      <c r="FZ68" s="2927"/>
      <c r="GA68" s="2927"/>
      <c r="GB68" s="2927"/>
      <c r="GC68" s="2927"/>
      <c r="GD68" s="2927"/>
      <c r="GE68" s="2927"/>
      <c r="GF68" s="2927"/>
      <c r="GG68" s="2927"/>
      <c r="GH68" s="2927"/>
      <c r="GI68" s="2927"/>
      <c r="GJ68" s="2927"/>
      <c r="GK68" s="2927"/>
      <c r="GL68" s="2927"/>
      <c r="GM68" s="2927"/>
      <c r="GN68" s="2927"/>
      <c r="GO68" s="2927"/>
      <c r="GP68" s="2927"/>
      <c r="GQ68" s="2927"/>
      <c r="GR68" s="2927"/>
      <c r="GS68" s="2927"/>
      <c r="GT68" s="2927"/>
      <c r="GU68" s="2927"/>
      <c r="GV68" s="2927"/>
      <c r="GW68" s="2927"/>
      <c r="GX68" s="2927"/>
      <c r="GY68" s="2927"/>
      <c r="GZ68" s="2927"/>
      <c r="HA68" s="2927"/>
      <c r="HB68" s="2927"/>
      <c r="HC68" s="2927"/>
      <c r="HD68" s="2927"/>
      <c r="HE68" s="2927"/>
      <c r="HF68" s="2927"/>
      <c r="HG68" s="2927"/>
      <c r="HH68" s="2927"/>
      <c r="HI68" s="2927"/>
      <c r="HJ68" s="2927"/>
      <c r="HK68" s="2927"/>
      <c r="HL68" s="2927"/>
      <c r="HM68" s="2927"/>
      <c r="HN68" s="2927"/>
      <c r="HO68" s="2927"/>
      <c r="HP68" s="2927"/>
      <c r="HQ68" s="2927"/>
      <c r="HR68" s="2927"/>
      <c r="HS68" s="2927"/>
      <c r="HT68" s="2927"/>
      <c r="HU68" s="2927"/>
      <c r="HV68" s="2927"/>
      <c r="HW68" s="2927"/>
      <c r="HX68" s="2927"/>
      <c r="HY68" s="2927"/>
      <c r="HZ68" s="2927"/>
      <c r="IA68" s="2927"/>
      <c r="IB68" s="2927"/>
      <c r="IC68" s="2927"/>
      <c r="ID68" s="2927"/>
      <c r="IE68" s="2927"/>
    </row>
    <row r="69" s="2838" customFormat="1" ht="32" customHeight="1" spans="1:239 16379:16379">
      <c r="A69" s="2941">
        <v>45754</v>
      </c>
      <c r="B69" s="2906" t="s">
        <v>10395</v>
      </c>
      <c r="C69" s="2907" t="s">
        <v>91</v>
      </c>
      <c r="D69" s="2908">
        <v>4500162730</v>
      </c>
      <c r="E69" s="2929">
        <v>15680799</v>
      </c>
      <c r="F69" s="2908" t="s">
        <v>10404</v>
      </c>
      <c r="G69" s="2930" t="s">
        <v>10397</v>
      </c>
      <c r="H69" s="2911" t="s">
        <v>10398</v>
      </c>
      <c r="I69" s="2912">
        <v>1980</v>
      </c>
      <c r="J69" s="2912">
        <v>0</v>
      </c>
      <c r="K69" s="2912">
        <v>45</v>
      </c>
      <c r="L69" s="2912">
        <f t="shared" si="146"/>
        <v>44</v>
      </c>
      <c r="M69" s="2913">
        <v>45856</v>
      </c>
      <c r="N69" s="2913">
        <v>45852</v>
      </c>
      <c r="O69" s="2914" t="s">
        <v>10399</v>
      </c>
      <c r="P69" s="2914" t="s">
        <v>82</v>
      </c>
      <c r="Q69" s="2914" t="s">
        <v>8978</v>
      </c>
      <c r="R69" s="2915" t="s">
        <v>4210</v>
      </c>
      <c r="S69" s="2915"/>
      <c r="T69" s="2915" t="s">
        <v>10400</v>
      </c>
      <c r="U69" s="2915"/>
      <c r="V69" s="2915" t="s">
        <v>10401</v>
      </c>
      <c r="W69" s="2931" t="s">
        <v>10402</v>
      </c>
      <c r="X69" s="2912" t="s">
        <v>459</v>
      </c>
      <c r="Y69" s="2917">
        <v>348.9015</v>
      </c>
      <c r="Z69" s="2918">
        <v>15351.666</v>
      </c>
      <c r="AA69" s="2906" t="s">
        <v>10405</v>
      </c>
      <c r="AB69" s="2912" t="s">
        <v>10397</v>
      </c>
      <c r="AC69" s="2912" t="s">
        <v>416</v>
      </c>
      <c r="AD69" s="2919"/>
      <c r="AE69" s="2919"/>
      <c r="AF69" s="2944"/>
      <c r="AG69" s="2919">
        <f t="shared" si="161"/>
        <v>1980</v>
      </c>
      <c r="AH69" s="2919"/>
      <c r="AI69" s="2919"/>
      <c r="AJ69" s="2921">
        <v>1980</v>
      </c>
      <c r="AK69" s="2921"/>
      <c r="AL69" s="2921"/>
      <c r="AM69" s="2921"/>
      <c r="AN69" s="2922"/>
      <c r="AO69" s="2923"/>
      <c r="AP69" s="2921"/>
      <c r="AQ69" s="2921">
        <f t="shared" si="162"/>
        <v>495</v>
      </c>
      <c r="AR69" s="2924"/>
      <c r="AS69" s="2923">
        <f t="shared" si="163"/>
        <v>495</v>
      </c>
      <c r="AT69" s="2921">
        <f t="shared" si="164"/>
        <v>495</v>
      </c>
      <c r="AU69" s="2921"/>
      <c r="AV69" s="2924">
        <f t="shared" si="165"/>
        <v>495</v>
      </c>
      <c r="AW69" s="2923"/>
      <c r="AX69" s="2921"/>
      <c r="AY69" s="2921"/>
      <c r="AZ69" s="2924"/>
      <c r="BA69" s="2923"/>
      <c r="BB69" s="2924"/>
      <c r="BC69" s="2925"/>
      <c r="BD69" s="2921">
        <f t="shared" si="143"/>
        <v>1980</v>
      </c>
      <c r="BE69" s="2921"/>
      <c r="BF69" s="2921">
        <f>I69</f>
        <v>1980</v>
      </c>
      <c r="BG69" s="2921" t="s">
        <v>9164</v>
      </c>
      <c r="BH69" s="2921"/>
      <c r="BI69" s="2921">
        <v>495</v>
      </c>
      <c r="BJ69" s="2921">
        <v>495</v>
      </c>
      <c r="BK69" s="2921">
        <v>495</v>
      </c>
      <c r="BL69" s="2921">
        <v>495</v>
      </c>
      <c r="BM69" s="2926">
        <v>495</v>
      </c>
      <c r="BN69" s="2921">
        <v>495</v>
      </c>
      <c r="BO69" s="2926">
        <v>495</v>
      </c>
      <c r="BP69" s="2921">
        <v>495</v>
      </c>
      <c r="BQ69" s="2926">
        <f t="shared" si="169"/>
        <v>240005</v>
      </c>
      <c r="BR69" s="2926">
        <f t="shared" ref="BR69:BY69" si="171">BR68-BI69</f>
        <v>17075.5</v>
      </c>
      <c r="BS69" s="2926">
        <f t="shared" si="171"/>
        <v>-1002</v>
      </c>
      <c r="BT69" s="2926">
        <f t="shared" si="171"/>
        <v>-1002</v>
      </c>
      <c r="BU69" s="2926">
        <f t="shared" si="171"/>
        <v>-1002</v>
      </c>
      <c r="BV69" s="2926">
        <f t="shared" si="171"/>
        <v>-1002</v>
      </c>
      <c r="BW69" s="2926">
        <f t="shared" si="171"/>
        <v>-1002</v>
      </c>
      <c r="BX69" s="2926">
        <f t="shared" si="171"/>
        <v>-1002</v>
      </c>
      <c r="BY69" s="2926">
        <f t="shared" si="171"/>
        <v>-1002</v>
      </c>
      <c r="BZ69" s="2912"/>
      <c r="CA69" s="2927"/>
      <c r="CB69" s="2927"/>
      <c r="CC69" s="2927"/>
      <c r="CD69" s="2927"/>
      <c r="CE69" s="2927"/>
      <c r="CF69" s="2927"/>
      <c r="CG69" s="2927"/>
      <c r="CH69" s="2927"/>
      <c r="CI69" s="2927"/>
      <c r="CJ69" s="2927"/>
      <c r="CK69" s="2927"/>
      <c r="CL69" s="2927"/>
      <c r="CM69" s="2927"/>
      <c r="CN69" s="2927"/>
      <c r="CO69" s="2927"/>
      <c r="CP69" s="2927"/>
      <c r="CQ69" s="2927"/>
      <c r="CR69" s="2927"/>
      <c r="CS69" s="2927"/>
      <c r="CT69" s="2927"/>
      <c r="CU69" s="2927"/>
      <c r="CV69" s="2927"/>
      <c r="CW69" s="2927"/>
      <c r="CX69" s="2927"/>
      <c r="CY69" s="2927"/>
      <c r="CZ69" s="2927"/>
      <c r="DA69" s="2927"/>
      <c r="DB69" s="2927"/>
      <c r="DC69" s="2927"/>
      <c r="DD69" s="2927"/>
      <c r="DE69" s="2927"/>
      <c r="DF69" s="2927"/>
      <c r="DG69" s="2927"/>
      <c r="DH69" s="2927"/>
      <c r="DI69" s="2927"/>
      <c r="DJ69" s="2927"/>
      <c r="DK69" s="2927"/>
      <c r="DL69" s="2927"/>
      <c r="DM69" s="2927"/>
      <c r="DN69" s="2927"/>
      <c r="DO69" s="2927"/>
      <c r="DP69" s="2927"/>
      <c r="DQ69" s="2927"/>
      <c r="DR69" s="2927"/>
      <c r="DS69" s="2927"/>
      <c r="DT69" s="2927"/>
      <c r="DU69" s="2927"/>
      <c r="DV69" s="2927"/>
      <c r="DW69" s="2927"/>
      <c r="DX69" s="2927"/>
      <c r="DY69" s="2927"/>
      <c r="DZ69" s="2927"/>
      <c r="EA69" s="2927"/>
      <c r="EB69" s="2927"/>
      <c r="EC69" s="2927"/>
      <c r="ED69" s="2927"/>
      <c r="EE69" s="2927"/>
      <c r="EF69" s="2927"/>
      <c r="EG69" s="2927"/>
      <c r="EH69" s="2927"/>
      <c r="EI69" s="2927"/>
      <c r="EJ69" s="2927"/>
      <c r="EK69" s="2927"/>
      <c r="EL69" s="2927"/>
      <c r="EM69" s="2927"/>
      <c r="EN69" s="2927"/>
      <c r="EO69" s="2927"/>
      <c r="EP69" s="2927"/>
      <c r="EQ69" s="2927"/>
      <c r="ER69" s="2927"/>
      <c r="ES69" s="2927"/>
      <c r="ET69" s="2927"/>
      <c r="EU69" s="2927"/>
      <c r="EV69" s="2927"/>
      <c r="EW69" s="2927"/>
      <c r="EX69" s="2927"/>
      <c r="EY69" s="2927"/>
      <c r="EZ69" s="2927"/>
      <c r="FA69" s="2927"/>
      <c r="FB69" s="2927"/>
      <c r="FC69" s="2927"/>
      <c r="FD69" s="2927"/>
      <c r="FE69" s="2927"/>
      <c r="FF69" s="2927"/>
      <c r="FG69" s="2927"/>
      <c r="FH69" s="2927"/>
      <c r="FI69" s="2927"/>
      <c r="FJ69" s="2927"/>
      <c r="FK69" s="2927"/>
      <c r="FL69" s="2927"/>
      <c r="FM69" s="2927"/>
      <c r="FN69" s="2927"/>
      <c r="FO69" s="2927"/>
      <c r="FP69" s="2927"/>
      <c r="FQ69" s="2927"/>
      <c r="FR69" s="2927"/>
      <c r="FS69" s="2927"/>
      <c r="FT69" s="2927"/>
      <c r="FU69" s="2927"/>
      <c r="FV69" s="2927"/>
      <c r="FW69" s="2927"/>
      <c r="FX69" s="2927"/>
      <c r="FY69" s="2927"/>
      <c r="FZ69" s="2927"/>
      <c r="GA69" s="2927"/>
      <c r="GB69" s="2927"/>
      <c r="GC69" s="2927"/>
      <c r="GD69" s="2927"/>
      <c r="GE69" s="2927"/>
      <c r="GF69" s="2927"/>
      <c r="GG69" s="2927"/>
      <c r="GH69" s="2927"/>
      <c r="GI69" s="2927"/>
      <c r="GJ69" s="2927"/>
      <c r="GK69" s="2927"/>
      <c r="GL69" s="2927"/>
      <c r="GM69" s="2927"/>
      <c r="GN69" s="2927"/>
      <c r="GO69" s="2927"/>
      <c r="GP69" s="2927"/>
      <c r="GQ69" s="2927"/>
      <c r="GR69" s="2927"/>
      <c r="GS69" s="2927"/>
      <c r="GT69" s="2927"/>
      <c r="GU69" s="2927"/>
      <c r="GV69" s="2927"/>
      <c r="GW69" s="2927"/>
      <c r="GX69" s="2927"/>
      <c r="GY69" s="2927"/>
      <c r="GZ69" s="2927"/>
      <c r="HA69" s="2927"/>
      <c r="HB69" s="2927"/>
      <c r="HC69" s="2927"/>
      <c r="HD69" s="2927"/>
      <c r="HE69" s="2927"/>
      <c r="HF69" s="2927"/>
      <c r="HG69" s="2927"/>
      <c r="HH69" s="2927"/>
      <c r="HI69" s="2927"/>
      <c r="HJ69" s="2927"/>
      <c r="HK69" s="2927"/>
      <c r="HL69" s="2927"/>
      <c r="HM69" s="2927"/>
      <c r="HN69" s="2927"/>
      <c r="HO69" s="2927"/>
      <c r="HP69" s="2927"/>
      <c r="HQ69" s="2927"/>
      <c r="HR69" s="2927"/>
      <c r="HS69" s="2927"/>
      <c r="HT69" s="2927"/>
      <c r="HU69" s="2927"/>
      <c r="HV69" s="2927"/>
      <c r="HW69" s="2927"/>
      <c r="HX69" s="2927"/>
      <c r="HY69" s="2927"/>
      <c r="HZ69" s="2927"/>
      <c r="IA69" s="2927"/>
      <c r="IB69" s="2927"/>
      <c r="IC69" s="2927"/>
      <c r="ID69" s="2927"/>
      <c r="IE69" s="2927"/>
    </row>
    <row r="70" s="2838" customFormat="1" ht="32" customHeight="1" spans="1:239 16379:16379">
      <c r="A70" s="2941">
        <v>45812</v>
      </c>
      <c r="B70" s="2906" t="s">
        <v>872</v>
      </c>
      <c r="C70" s="2907" t="s">
        <v>873</v>
      </c>
      <c r="D70" s="2908">
        <v>4500168727</v>
      </c>
      <c r="E70" s="2909"/>
      <c r="F70" s="2908" t="s">
        <v>10406</v>
      </c>
      <c r="G70" s="2930" t="s">
        <v>10407</v>
      </c>
      <c r="H70" s="2911" t="s">
        <v>10346</v>
      </c>
      <c r="I70" s="2912">
        <v>1168</v>
      </c>
      <c r="J70" s="2912">
        <v>0</v>
      </c>
      <c r="K70" s="2912">
        <v>4</v>
      </c>
      <c r="L70" s="2912">
        <f t="shared" si="146"/>
        <v>292</v>
      </c>
      <c r="M70" s="2913">
        <v>45848</v>
      </c>
      <c r="N70" s="2913">
        <v>45845</v>
      </c>
      <c r="O70" s="2914"/>
      <c r="P70" s="2914" t="s">
        <v>82</v>
      </c>
      <c r="Q70" s="2914" t="s">
        <v>4135</v>
      </c>
      <c r="R70" s="2915" t="s">
        <v>1425</v>
      </c>
      <c r="S70" s="2915"/>
      <c r="T70" s="2915" t="s">
        <v>9675</v>
      </c>
      <c r="U70" s="2915"/>
      <c r="V70" s="2915"/>
      <c r="W70" s="2931" t="s">
        <v>10385</v>
      </c>
      <c r="X70" s="2912" t="s">
        <v>1131</v>
      </c>
      <c r="Y70" s="2917">
        <v>7.1595</v>
      </c>
      <c r="Z70" s="2918">
        <f t="shared" ref="Z70:Z76" si="172">Y70*I70</f>
        <v>8362.296</v>
      </c>
      <c r="AA70" s="2912" t="s">
        <v>7106</v>
      </c>
      <c r="AB70" s="2930" t="s">
        <v>10408</v>
      </c>
      <c r="AC70" s="2912" t="s">
        <v>416</v>
      </c>
      <c r="AD70" s="2919">
        <f t="shared" si="167"/>
        <v>1168</v>
      </c>
      <c r="AE70" s="2919"/>
      <c r="AF70" s="2945"/>
      <c r="AG70" s="2919"/>
      <c r="AH70" s="2919"/>
      <c r="AI70" s="2921"/>
      <c r="AJ70" s="2921">
        <f t="shared" ref="AJ70:AJ72" si="173">I70</f>
        <v>1168</v>
      </c>
      <c r="AK70" s="2921"/>
      <c r="AL70" s="2921"/>
      <c r="AM70" s="2922"/>
      <c r="AN70" s="2922"/>
      <c r="AO70" s="2923"/>
      <c r="AP70" s="2921"/>
      <c r="AQ70" s="2921"/>
      <c r="AR70" s="2924"/>
      <c r="AS70" s="2923"/>
      <c r="AT70" s="2921"/>
      <c r="AU70" s="2921"/>
      <c r="AV70" s="2924">
        <f>I70</f>
        <v>1168</v>
      </c>
      <c r="AW70" s="2923"/>
      <c r="AX70" s="2921"/>
      <c r="AY70" s="2921"/>
      <c r="AZ70" s="2924"/>
      <c r="BA70" s="2923"/>
      <c r="BB70" s="2924"/>
      <c r="BC70" s="2921"/>
      <c r="BD70" s="2921">
        <f t="shared" si="143"/>
        <v>1168</v>
      </c>
      <c r="BE70" s="2921"/>
      <c r="BF70" s="2921"/>
      <c r="BG70" s="2921" t="s">
        <v>9164</v>
      </c>
      <c r="BH70" s="2921"/>
      <c r="BI70" s="2921"/>
      <c r="BJ70" s="2921"/>
      <c r="BK70" s="2921"/>
      <c r="BL70" s="2926"/>
      <c r="BM70" s="2921"/>
      <c r="BN70" s="2926"/>
      <c r="BO70" s="2926">
        <f>I70</f>
        <v>1168</v>
      </c>
      <c r="BP70" s="2921">
        <f>I70</f>
        <v>1168</v>
      </c>
      <c r="BQ70" s="2926">
        <f t="shared" si="169"/>
        <v>239193</v>
      </c>
      <c r="BR70" s="2926">
        <f>'取消单-1'!BR87-BI70</f>
        <v>18077.5</v>
      </c>
      <c r="BS70" s="2926">
        <f>'取消单-1'!BS87-BJ70</f>
        <v>0</v>
      </c>
      <c r="BT70" s="2926">
        <f>'取消单-1'!BT87-BK70</f>
        <v>0</v>
      </c>
      <c r="BU70" s="2926">
        <f>'取消单-1'!BU87-BL70</f>
        <v>0</v>
      </c>
      <c r="BV70" s="2926">
        <f>'取消单-1'!BV87-BM70</f>
        <v>0</v>
      </c>
      <c r="BW70" s="2926">
        <f>'取消单-1'!BW87-BN70</f>
        <v>0</v>
      </c>
      <c r="BX70" s="2926">
        <f>'取消单-1'!BX87-BO70</f>
        <v>-1168</v>
      </c>
      <c r="BY70" s="2926">
        <f>'取消单-1'!BY87-BP70</f>
        <v>-1168</v>
      </c>
      <c r="BZ70" s="2912"/>
      <c r="CA70" s="2927"/>
      <c r="CB70" s="2927"/>
      <c r="CC70" s="2927"/>
      <c r="CD70" s="2927"/>
      <c r="CE70" s="2927"/>
      <c r="CF70" s="2927"/>
      <c r="CG70" s="2927"/>
      <c r="CH70" s="2927"/>
      <c r="CI70" s="2927"/>
      <c r="CJ70" s="2927"/>
      <c r="CK70" s="2927"/>
      <c r="CL70" s="2927"/>
      <c r="CM70" s="2927"/>
      <c r="CN70" s="2927"/>
      <c r="CO70" s="2927"/>
      <c r="CP70" s="2927"/>
      <c r="CQ70" s="2927"/>
      <c r="CR70" s="2927"/>
      <c r="CS70" s="2927"/>
      <c r="CT70" s="2927"/>
      <c r="CU70" s="2927"/>
      <c r="CV70" s="2927"/>
      <c r="CW70" s="2927"/>
      <c r="CX70" s="2927"/>
      <c r="CY70" s="2927"/>
      <c r="CZ70" s="2927"/>
      <c r="DA70" s="2927"/>
      <c r="DB70" s="2927"/>
      <c r="DC70" s="2927"/>
      <c r="DD70" s="2927"/>
      <c r="DE70" s="2927"/>
      <c r="DF70" s="2927"/>
      <c r="DG70" s="2927"/>
      <c r="DH70" s="2927"/>
      <c r="DI70" s="2927"/>
      <c r="DJ70" s="2927"/>
      <c r="DK70" s="2927"/>
      <c r="DL70" s="2927"/>
      <c r="DM70" s="2927"/>
      <c r="DN70" s="2927"/>
      <c r="DO70" s="2927"/>
      <c r="DP70" s="2927"/>
      <c r="DQ70" s="2927"/>
      <c r="DR70" s="2927"/>
      <c r="DS70" s="2927"/>
      <c r="DT70" s="2927"/>
      <c r="DU70" s="2927"/>
      <c r="DV70" s="2927"/>
      <c r="DW70" s="2927"/>
      <c r="DX70" s="2927"/>
      <c r="DY70" s="2927"/>
      <c r="DZ70" s="2927"/>
      <c r="EA70" s="2927"/>
      <c r="EB70" s="2927"/>
      <c r="EC70" s="2927"/>
      <c r="ED70" s="2927"/>
      <c r="EE70" s="2927"/>
      <c r="EF70" s="2927"/>
      <c r="EG70" s="2927"/>
      <c r="EH70" s="2927"/>
      <c r="EI70" s="2927"/>
      <c r="EJ70" s="2927"/>
      <c r="EK70" s="2927"/>
      <c r="EL70" s="2927"/>
      <c r="EM70" s="2927"/>
      <c r="EN70" s="2927"/>
      <c r="EO70" s="2927"/>
      <c r="EP70" s="2927"/>
      <c r="EQ70" s="2927"/>
      <c r="ER70" s="2927"/>
      <c r="ES70" s="2927"/>
      <c r="ET70" s="2927"/>
      <c r="EU70" s="2927"/>
      <c r="EV70" s="2927"/>
      <c r="EW70" s="2927"/>
      <c r="EX70" s="2927"/>
      <c r="EY70" s="2927"/>
      <c r="EZ70" s="2927"/>
      <c r="FA70" s="2927"/>
      <c r="FB70" s="2927"/>
      <c r="FC70" s="2927"/>
      <c r="FD70" s="2927"/>
      <c r="FE70" s="2927"/>
      <c r="FF70" s="2927"/>
      <c r="FG70" s="2927"/>
      <c r="FH70" s="2927"/>
      <c r="FI70" s="2927"/>
      <c r="FJ70" s="2927"/>
      <c r="FK70" s="2927"/>
      <c r="FL70" s="2927"/>
      <c r="FM70" s="2927"/>
      <c r="FN70" s="2927"/>
      <c r="FO70" s="2927"/>
      <c r="FP70" s="2927"/>
      <c r="FQ70" s="2927"/>
      <c r="FR70" s="2927"/>
      <c r="FS70" s="2927"/>
      <c r="FT70" s="2927"/>
      <c r="FU70" s="2927"/>
      <c r="FV70" s="2927"/>
      <c r="FW70" s="2927"/>
      <c r="FX70" s="2927"/>
      <c r="FY70" s="2927"/>
      <c r="FZ70" s="2927"/>
      <c r="GA70" s="2927"/>
      <c r="GB70" s="2927"/>
      <c r="GC70" s="2927"/>
      <c r="GD70" s="2927"/>
      <c r="GE70" s="2927"/>
      <c r="GF70" s="2927"/>
      <c r="GG70" s="2927"/>
      <c r="GH70" s="2927"/>
      <c r="GI70" s="2927"/>
      <c r="GJ70" s="2927"/>
      <c r="GK70" s="2927"/>
      <c r="GL70" s="2927"/>
      <c r="GM70" s="2927"/>
      <c r="GN70" s="2927"/>
      <c r="GO70" s="2927"/>
      <c r="GP70" s="2927"/>
      <c r="GQ70" s="2927"/>
      <c r="GR70" s="2927"/>
      <c r="GS70" s="2927"/>
      <c r="GT70" s="2927"/>
      <c r="GU70" s="2927"/>
      <c r="GV70" s="2927"/>
      <c r="GW70" s="2927"/>
      <c r="GX70" s="2927"/>
      <c r="GY70" s="2927"/>
      <c r="GZ70" s="2927"/>
      <c r="HA70" s="2927"/>
      <c r="HB70" s="2927"/>
      <c r="HC70" s="2927"/>
      <c r="HD70" s="2927"/>
      <c r="HE70" s="2927"/>
      <c r="HF70" s="2927"/>
      <c r="HG70" s="2927"/>
      <c r="HH70" s="2927"/>
      <c r="HI70" s="2927"/>
      <c r="HJ70" s="2927"/>
      <c r="HK70" s="2927"/>
      <c r="HL70" s="2927"/>
      <c r="HM70" s="2927"/>
      <c r="HN70" s="2927"/>
      <c r="HO70" s="2927"/>
      <c r="HP70" s="2927"/>
      <c r="HQ70" s="2927"/>
      <c r="HR70" s="2927"/>
      <c r="HS70" s="2927"/>
      <c r="HT70" s="2927"/>
      <c r="HU70" s="2927"/>
      <c r="HV70" s="2927"/>
      <c r="HW70" s="2927"/>
      <c r="HX70" s="2927"/>
      <c r="HY70" s="2927"/>
      <c r="HZ70" s="2927"/>
      <c r="IA70" s="2927"/>
      <c r="IB70" s="2927"/>
      <c r="IC70" s="2927"/>
      <c r="ID70" s="2927"/>
      <c r="XEY70" s="2942"/>
    </row>
    <row r="71" s="2838" customFormat="1" ht="32" customHeight="1" spans="1:239 16379:16379">
      <c r="A71" s="2941">
        <v>45820</v>
      </c>
      <c r="B71" s="2906" t="s">
        <v>1477</v>
      </c>
      <c r="C71" s="2907" t="s">
        <v>351</v>
      </c>
      <c r="D71" s="2908">
        <v>4500169637</v>
      </c>
      <c r="E71" s="2929"/>
      <c r="F71" s="2908" t="s">
        <v>10409</v>
      </c>
      <c r="G71" s="2930" t="s">
        <v>10292</v>
      </c>
      <c r="H71" s="2911" t="s">
        <v>10293</v>
      </c>
      <c r="I71" s="2912">
        <v>1008</v>
      </c>
      <c r="J71" s="2912">
        <v>0</v>
      </c>
      <c r="K71" s="2912">
        <v>4</v>
      </c>
      <c r="L71" s="2912">
        <f t="shared" si="146"/>
        <v>252</v>
      </c>
      <c r="M71" s="2913">
        <v>45856</v>
      </c>
      <c r="N71" s="2913">
        <v>45852</v>
      </c>
      <c r="O71" s="2914"/>
      <c r="P71" s="2914" t="s">
        <v>82</v>
      </c>
      <c r="Q71" s="2914" t="s">
        <v>1424</v>
      </c>
      <c r="R71" s="2915" t="s">
        <v>1479</v>
      </c>
      <c r="S71" s="2915"/>
      <c r="T71" s="2915" t="s">
        <v>10393</v>
      </c>
      <c r="U71" s="2915"/>
      <c r="V71" s="2915"/>
      <c r="W71" s="2931" t="s">
        <v>10410</v>
      </c>
      <c r="X71" s="2912" t="s">
        <v>1199</v>
      </c>
      <c r="Y71" s="2917">
        <v>7.2236</v>
      </c>
      <c r="Z71" s="2918">
        <f t="shared" si="172"/>
        <v>7281.3888</v>
      </c>
      <c r="AA71" s="2912" t="s">
        <v>1481</v>
      </c>
      <c r="AB71" s="2930" t="s">
        <v>10350</v>
      </c>
      <c r="AC71" s="2912" t="s">
        <v>416</v>
      </c>
      <c r="AD71" s="2919">
        <f t="shared" si="167"/>
        <v>1008</v>
      </c>
      <c r="AE71" s="2919"/>
      <c r="AF71" s="2945"/>
      <c r="AG71" s="2919"/>
      <c r="AH71" s="2919"/>
      <c r="AI71" s="2919"/>
      <c r="AJ71" s="2921">
        <f t="shared" si="173"/>
        <v>1008</v>
      </c>
      <c r="AK71" s="2921"/>
      <c r="AL71" s="2921"/>
      <c r="AM71" s="2921"/>
      <c r="AN71" s="2922"/>
      <c r="AO71" s="2923"/>
      <c r="AP71" s="2921"/>
      <c r="AQ71" s="2921"/>
      <c r="AR71" s="2924"/>
      <c r="AS71" s="2923"/>
      <c r="AT71" s="2921">
        <f>I71</f>
        <v>1008</v>
      </c>
      <c r="AU71" s="2921"/>
      <c r="AV71" s="2924"/>
      <c r="AW71" s="2923"/>
      <c r="AX71" s="2921"/>
      <c r="AY71" s="2921"/>
      <c r="AZ71" s="2924"/>
      <c r="BA71" s="2923"/>
      <c r="BB71" s="2924"/>
      <c r="BC71" s="2925"/>
      <c r="BD71" s="2921">
        <f t="shared" si="143"/>
        <v>1008</v>
      </c>
      <c r="BE71" s="2921"/>
      <c r="BF71" s="2921" t="s">
        <v>9164</v>
      </c>
      <c r="BG71" s="2921"/>
      <c r="BH71" s="2921"/>
      <c r="BI71" s="2921"/>
      <c r="BJ71" s="2921"/>
      <c r="BK71" s="2921">
        <f>I71</f>
        <v>1008</v>
      </c>
      <c r="BL71" s="2921">
        <f>I71</f>
        <v>1008</v>
      </c>
      <c r="BM71" s="2926"/>
      <c r="BN71" s="2921"/>
      <c r="BO71" s="2926"/>
      <c r="BP71" s="2921"/>
      <c r="BQ71" s="2926">
        <f t="shared" si="169"/>
        <v>239033</v>
      </c>
      <c r="BR71" s="2926">
        <f t="shared" ref="BR71:BY71" si="174">BR67-BI71</f>
        <v>17075.5</v>
      </c>
      <c r="BS71" s="2926">
        <f t="shared" si="174"/>
        <v>-1002</v>
      </c>
      <c r="BT71" s="2926">
        <f t="shared" si="174"/>
        <v>-2010</v>
      </c>
      <c r="BU71" s="2926">
        <f t="shared" si="174"/>
        <v>-2010</v>
      </c>
      <c r="BV71" s="2926">
        <f t="shared" si="174"/>
        <v>-1002</v>
      </c>
      <c r="BW71" s="2926">
        <f t="shared" si="174"/>
        <v>-1002</v>
      </c>
      <c r="BX71" s="2926">
        <f t="shared" si="174"/>
        <v>-2010</v>
      </c>
      <c r="BY71" s="2926">
        <f t="shared" si="174"/>
        <v>-2010</v>
      </c>
      <c r="BZ71" s="2912"/>
      <c r="CA71" s="2927"/>
      <c r="CB71" s="2927"/>
      <c r="CC71" s="2927"/>
      <c r="CD71" s="2927"/>
      <c r="CE71" s="2927"/>
      <c r="CF71" s="2927"/>
      <c r="CG71" s="2927"/>
      <c r="CH71" s="2927"/>
      <c r="CI71" s="2927"/>
      <c r="CJ71" s="2927"/>
      <c r="CK71" s="2927"/>
      <c r="CL71" s="2927"/>
      <c r="CM71" s="2927"/>
      <c r="CN71" s="2927"/>
      <c r="CO71" s="2927"/>
      <c r="CP71" s="2927"/>
      <c r="CQ71" s="2927"/>
      <c r="CR71" s="2927"/>
      <c r="CS71" s="2927"/>
      <c r="CT71" s="2927"/>
      <c r="CU71" s="2927"/>
      <c r="CV71" s="2927"/>
      <c r="CW71" s="2927"/>
      <c r="CX71" s="2927"/>
      <c r="CY71" s="2927"/>
      <c r="CZ71" s="2927"/>
      <c r="DA71" s="2927"/>
      <c r="DB71" s="2927"/>
      <c r="DC71" s="2927"/>
      <c r="DD71" s="2927"/>
      <c r="DE71" s="2927"/>
      <c r="DF71" s="2927"/>
      <c r="DG71" s="2927"/>
      <c r="DH71" s="2927"/>
      <c r="DI71" s="2927"/>
      <c r="DJ71" s="2927"/>
      <c r="DK71" s="2927"/>
      <c r="DL71" s="2927"/>
      <c r="DM71" s="2927"/>
      <c r="DN71" s="2927"/>
      <c r="DO71" s="2927"/>
      <c r="DP71" s="2927"/>
      <c r="DQ71" s="2927"/>
      <c r="DR71" s="2927"/>
      <c r="DS71" s="2927"/>
      <c r="DT71" s="2927"/>
      <c r="DU71" s="2927"/>
      <c r="DV71" s="2927"/>
      <c r="DW71" s="2927"/>
      <c r="DX71" s="2927"/>
      <c r="DY71" s="2927"/>
      <c r="DZ71" s="2927"/>
      <c r="EA71" s="2927"/>
      <c r="EB71" s="2927"/>
      <c r="EC71" s="2927"/>
      <c r="ED71" s="2927"/>
      <c r="EE71" s="2927"/>
      <c r="EF71" s="2927"/>
      <c r="EG71" s="2927"/>
      <c r="EH71" s="2927"/>
      <c r="EI71" s="2927"/>
      <c r="EJ71" s="2927"/>
      <c r="EK71" s="2927"/>
      <c r="EL71" s="2927"/>
      <c r="EM71" s="2927"/>
      <c r="EN71" s="2927"/>
      <c r="EO71" s="2927"/>
      <c r="EP71" s="2927"/>
      <c r="EQ71" s="2927"/>
      <c r="ER71" s="2927"/>
      <c r="ES71" s="2927"/>
      <c r="ET71" s="2927"/>
      <c r="EU71" s="2927"/>
      <c r="EV71" s="2927"/>
      <c r="EW71" s="2927"/>
      <c r="EX71" s="2927"/>
      <c r="EY71" s="2927"/>
      <c r="EZ71" s="2927"/>
      <c r="FA71" s="2927"/>
      <c r="FB71" s="2927"/>
      <c r="FC71" s="2927"/>
      <c r="FD71" s="2927"/>
      <c r="FE71" s="2927"/>
      <c r="FF71" s="2927"/>
      <c r="FG71" s="2927"/>
      <c r="FH71" s="2927"/>
      <c r="FI71" s="2927"/>
      <c r="FJ71" s="2927"/>
      <c r="FK71" s="2927"/>
      <c r="FL71" s="2927"/>
      <c r="FM71" s="2927"/>
      <c r="FN71" s="2927"/>
      <c r="FO71" s="2927"/>
      <c r="FP71" s="2927"/>
      <c r="FQ71" s="2927"/>
      <c r="FR71" s="2927"/>
      <c r="FS71" s="2927"/>
      <c r="FT71" s="2927"/>
      <c r="FU71" s="2927"/>
      <c r="FV71" s="2927"/>
      <c r="FW71" s="2927"/>
      <c r="FX71" s="2927"/>
      <c r="FY71" s="2927"/>
      <c r="FZ71" s="2927"/>
      <c r="GA71" s="2927"/>
      <c r="GB71" s="2927"/>
      <c r="GC71" s="2927"/>
      <c r="GD71" s="2927"/>
      <c r="GE71" s="2927"/>
      <c r="GF71" s="2927"/>
      <c r="GG71" s="2927"/>
      <c r="GH71" s="2927"/>
      <c r="GI71" s="2927"/>
      <c r="GJ71" s="2927"/>
      <c r="GK71" s="2927"/>
      <c r="GL71" s="2927"/>
      <c r="GM71" s="2927"/>
      <c r="GN71" s="2927"/>
      <c r="GO71" s="2927"/>
      <c r="GP71" s="2927"/>
      <c r="GQ71" s="2927"/>
      <c r="GR71" s="2927"/>
      <c r="GS71" s="2927"/>
      <c r="GT71" s="2927"/>
      <c r="GU71" s="2927"/>
      <c r="GV71" s="2927"/>
      <c r="GW71" s="2927"/>
      <c r="GX71" s="2927"/>
      <c r="GY71" s="2927"/>
      <c r="GZ71" s="2927"/>
      <c r="HA71" s="2927"/>
      <c r="HB71" s="2927"/>
      <c r="HC71" s="2927"/>
      <c r="HD71" s="2927"/>
      <c r="HE71" s="2927"/>
      <c r="HF71" s="2927"/>
      <c r="HG71" s="2927"/>
      <c r="HH71" s="2927"/>
      <c r="HI71" s="2927"/>
      <c r="HJ71" s="2927"/>
      <c r="HK71" s="2927"/>
      <c r="HL71" s="2927"/>
      <c r="HM71" s="2927"/>
      <c r="HN71" s="2927"/>
      <c r="HO71" s="2927"/>
      <c r="HP71" s="2927"/>
      <c r="HQ71" s="2927"/>
      <c r="HR71" s="2927"/>
      <c r="HS71" s="2927"/>
      <c r="HT71" s="2927"/>
      <c r="HU71" s="2927"/>
      <c r="HV71" s="2927"/>
      <c r="HW71" s="2927"/>
      <c r="HX71" s="2927"/>
      <c r="HY71" s="2927"/>
      <c r="HZ71" s="2927"/>
      <c r="IA71" s="2927"/>
      <c r="IB71" s="2927"/>
      <c r="IC71" s="2927"/>
      <c r="ID71" s="2927"/>
      <c r="IE71" s="2927"/>
    </row>
    <row r="72" s="2838" customFormat="1" ht="32" customHeight="1" spans="1:239 16379:16379">
      <c r="A72" s="2941">
        <v>45820</v>
      </c>
      <c r="B72" s="2906" t="s">
        <v>1477</v>
      </c>
      <c r="C72" s="2907" t="s">
        <v>351</v>
      </c>
      <c r="D72" s="2908">
        <v>4500169637</v>
      </c>
      <c r="E72" s="2929"/>
      <c r="F72" s="2908" t="s">
        <v>10411</v>
      </c>
      <c r="G72" s="2930" t="s">
        <v>10297</v>
      </c>
      <c r="H72" s="2911" t="s">
        <v>10298</v>
      </c>
      <c r="I72" s="2912">
        <v>1008</v>
      </c>
      <c r="J72" s="2912">
        <v>0</v>
      </c>
      <c r="K72" s="2912">
        <v>4</v>
      </c>
      <c r="L72" s="2912">
        <f t="shared" si="146"/>
        <v>252</v>
      </c>
      <c r="M72" s="2913">
        <v>45856</v>
      </c>
      <c r="N72" s="2913">
        <v>45852</v>
      </c>
      <c r="O72" s="2914"/>
      <c r="P72" s="2914" t="s">
        <v>82</v>
      </c>
      <c r="Q72" s="2914" t="s">
        <v>1424</v>
      </c>
      <c r="R72" s="2915" t="s">
        <v>1479</v>
      </c>
      <c r="S72" s="2915"/>
      <c r="T72" s="2915" t="s">
        <v>10393</v>
      </c>
      <c r="U72" s="2915"/>
      <c r="V72" s="2915"/>
      <c r="W72" s="2931" t="s">
        <v>10412</v>
      </c>
      <c r="X72" s="2912" t="s">
        <v>1199</v>
      </c>
      <c r="Y72" s="2917">
        <v>7.2236</v>
      </c>
      <c r="Z72" s="2918">
        <f t="shared" si="172"/>
        <v>7281.3888</v>
      </c>
      <c r="AA72" s="2912" t="s">
        <v>1481</v>
      </c>
      <c r="AB72" s="2930" t="s">
        <v>10352</v>
      </c>
      <c r="AC72" s="2912" t="s">
        <v>416</v>
      </c>
      <c r="AD72" s="2919">
        <f t="shared" si="167"/>
        <v>1008</v>
      </c>
      <c r="AE72" s="2919"/>
      <c r="AF72" s="2945"/>
      <c r="AG72" s="2919"/>
      <c r="AH72" s="2919"/>
      <c r="AI72" s="2919"/>
      <c r="AJ72" s="2921">
        <f t="shared" si="173"/>
        <v>1008</v>
      </c>
      <c r="AK72" s="2921"/>
      <c r="AL72" s="2921"/>
      <c r="AM72" s="2921"/>
      <c r="AN72" s="2922"/>
      <c r="AO72" s="2923"/>
      <c r="AP72" s="2921"/>
      <c r="AQ72" s="2921">
        <f>I72</f>
        <v>1008</v>
      </c>
      <c r="AR72" s="2924"/>
      <c r="AS72" s="2923"/>
      <c r="AT72" s="2921"/>
      <c r="AU72" s="2921"/>
      <c r="AV72" s="2924"/>
      <c r="AW72" s="2923"/>
      <c r="AX72" s="2921"/>
      <c r="AY72" s="2921"/>
      <c r="AZ72" s="2924"/>
      <c r="BA72" s="2923"/>
      <c r="BB72" s="2924"/>
      <c r="BC72" s="2925"/>
      <c r="BD72" s="2921">
        <f t="shared" si="143"/>
        <v>1008</v>
      </c>
      <c r="BE72" s="2921"/>
      <c r="BF72" s="2921" t="s">
        <v>9164</v>
      </c>
      <c r="BG72" s="2921"/>
      <c r="BH72" s="2921"/>
      <c r="BI72" s="2921"/>
      <c r="BJ72" s="2921"/>
      <c r="BK72" s="2921"/>
      <c r="BL72" s="2921"/>
      <c r="BM72" s="2921">
        <f>I72</f>
        <v>1008</v>
      </c>
      <c r="BN72" s="2921">
        <f>I72</f>
        <v>1008</v>
      </c>
      <c r="BO72" s="2926"/>
      <c r="BP72" s="2921"/>
      <c r="BQ72" s="2926">
        <f t="shared" si="169"/>
        <v>239033</v>
      </c>
      <c r="BR72" s="2926">
        <f t="shared" ref="BR72:BY72" si="175">BR71-BI72</f>
        <v>17075.5</v>
      </c>
      <c r="BS72" s="2926">
        <f t="shared" si="175"/>
        <v>-1002</v>
      </c>
      <c r="BT72" s="2926">
        <f t="shared" si="175"/>
        <v>-2010</v>
      </c>
      <c r="BU72" s="2926">
        <f t="shared" si="175"/>
        <v>-2010</v>
      </c>
      <c r="BV72" s="2926">
        <f t="shared" si="175"/>
        <v>-2010</v>
      </c>
      <c r="BW72" s="2926">
        <f t="shared" si="175"/>
        <v>-2010</v>
      </c>
      <c r="BX72" s="2926">
        <f t="shared" si="175"/>
        <v>-2010</v>
      </c>
      <c r="BY72" s="2926">
        <f t="shared" si="175"/>
        <v>-2010</v>
      </c>
      <c r="BZ72" s="2912"/>
      <c r="CA72" s="2927"/>
      <c r="CB72" s="2927"/>
      <c r="CC72" s="2927"/>
      <c r="CD72" s="2927"/>
      <c r="CE72" s="2927"/>
      <c r="CF72" s="2927"/>
      <c r="CG72" s="2927"/>
      <c r="CH72" s="2927"/>
      <c r="CI72" s="2927"/>
      <c r="CJ72" s="2927"/>
      <c r="CK72" s="2927"/>
      <c r="CL72" s="2927"/>
      <c r="CM72" s="2927"/>
      <c r="CN72" s="2927"/>
      <c r="CO72" s="2927"/>
      <c r="CP72" s="2927"/>
      <c r="CQ72" s="2927"/>
      <c r="CR72" s="2927"/>
      <c r="CS72" s="2927"/>
      <c r="CT72" s="2927"/>
      <c r="CU72" s="2927"/>
      <c r="CV72" s="2927"/>
      <c r="CW72" s="2927"/>
      <c r="CX72" s="2927"/>
      <c r="CY72" s="2927"/>
      <c r="CZ72" s="2927"/>
      <c r="DA72" s="2927"/>
      <c r="DB72" s="2927"/>
      <c r="DC72" s="2927"/>
      <c r="DD72" s="2927"/>
      <c r="DE72" s="2927"/>
      <c r="DF72" s="2927"/>
      <c r="DG72" s="2927"/>
      <c r="DH72" s="2927"/>
      <c r="DI72" s="2927"/>
      <c r="DJ72" s="2927"/>
      <c r="DK72" s="2927"/>
      <c r="DL72" s="2927"/>
      <c r="DM72" s="2927"/>
      <c r="DN72" s="2927"/>
      <c r="DO72" s="2927"/>
      <c r="DP72" s="2927"/>
      <c r="DQ72" s="2927"/>
      <c r="DR72" s="2927"/>
      <c r="DS72" s="2927"/>
      <c r="DT72" s="2927"/>
      <c r="DU72" s="2927"/>
      <c r="DV72" s="2927"/>
      <c r="DW72" s="2927"/>
      <c r="DX72" s="2927"/>
      <c r="DY72" s="2927"/>
      <c r="DZ72" s="2927"/>
      <c r="EA72" s="2927"/>
      <c r="EB72" s="2927"/>
      <c r="EC72" s="2927"/>
      <c r="ED72" s="2927"/>
      <c r="EE72" s="2927"/>
      <c r="EF72" s="2927"/>
      <c r="EG72" s="2927"/>
      <c r="EH72" s="2927"/>
      <c r="EI72" s="2927"/>
      <c r="EJ72" s="2927"/>
      <c r="EK72" s="2927"/>
      <c r="EL72" s="2927"/>
      <c r="EM72" s="2927"/>
      <c r="EN72" s="2927"/>
      <c r="EO72" s="2927"/>
      <c r="EP72" s="2927"/>
      <c r="EQ72" s="2927"/>
      <c r="ER72" s="2927"/>
      <c r="ES72" s="2927"/>
      <c r="ET72" s="2927"/>
      <c r="EU72" s="2927"/>
      <c r="EV72" s="2927"/>
      <c r="EW72" s="2927"/>
      <c r="EX72" s="2927"/>
      <c r="EY72" s="2927"/>
      <c r="EZ72" s="2927"/>
      <c r="FA72" s="2927"/>
      <c r="FB72" s="2927"/>
      <c r="FC72" s="2927"/>
      <c r="FD72" s="2927"/>
      <c r="FE72" s="2927"/>
      <c r="FF72" s="2927"/>
      <c r="FG72" s="2927"/>
      <c r="FH72" s="2927"/>
      <c r="FI72" s="2927"/>
      <c r="FJ72" s="2927"/>
      <c r="FK72" s="2927"/>
      <c r="FL72" s="2927"/>
      <c r="FM72" s="2927"/>
      <c r="FN72" s="2927"/>
      <c r="FO72" s="2927"/>
      <c r="FP72" s="2927"/>
      <c r="FQ72" s="2927"/>
      <c r="FR72" s="2927"/>
      <c r="FS72" s="2927"/>
      <c r="FT72" s="2927"/>
      <c r="FU72" s="2927"/>
      <c r="FV72" s="2927"/>
      <c r="FW72" s="2927"/>
      <c r="FX72" s="2927"/>
      <c r="FY72" s="2927"/>
      <c r="FZ72" s="2927"/>
      <c r="GA72" s="2927"/>
      <c r="GB72" s="2927"/>
      <c r="GC72" s="2927"/>
      <c r="GD72" s="2927"/>
      <c r="GE72" s="2927"/>
      <c r="GF72" s="2927"/>
      <c r="GG72" s="2927"/>
      <c r="GH72" s="2927"/>
      <c r="GI72" s="2927"/>
      <c r="GJ72" s="2927"/>
      <c r="GK72" s="2927"/>
      <c r="GL72" s="2927"/>
      <c r="GM72" s="2927"/>
      <c r="GN72" s="2927"/>
      <c r="GO72" s="2927"/>
      <c r="GP72" s="2927"/>
      <c r="GQ72" s="2927"/>
      <c r="GR72" s="2927"/>
      <c r="GS72" s="2927"/>
      <c r="GT72" s="2927"/>
      <c r="GU72" s="2927"/>
      <c r="GV72" s="2927"/>
      <c r="GW72" s="2927"/>
      <c r="GX72" s="2927"/>
      <c r="GY72" s="2927"/>
      <c r="GZ72" s="2927"/>
      <c r="HA72" s="2927"/>
      <c r="HB72" s="2927"/>
      <c r="HC72" s="2927"/>
      <c r="HD72" s="2927"/>
      <c r="HE72" s="2927"/>
      <c r="HF72" s="2927"/>
      <c r="HG72" s="2927"/>
      <c r="HH72" s="2927"/>
      <c r="HI72" s="2927"/>
      <c r="HJ72" s="2927"/>
      <c r="HK72" s="2927"/>
      <c r="HL72" s="2927"/>
      <c r="HM72" s="2927"/>
      <c r="HN72" s="2927"/>
      <c r="HO72" s="2927"/>
      <c r="HP72" s="2927"/>
      <c r="HQ72" s="2927"/>
      <c r="HR72" s="2927"/>
      <c r="HS72" s="2927"/>
      <c r="HT72" s="2927"/>
      <c r="HU72" s="2927"/>
      <c r="HV72" s="2927"/>
      <c r="HW72" s="2927"/>
      <c r="HX72" s="2927"/>
      <c r="HY72" s="2927"/>
      <c r="HZ72" s="2927"/>
      <c r="IA72" s="2927"/>
      <c r="IB72" s="2927"/>
      <c r="IC72" s="2927"/>
      <c r="ID72" s="2927"/>
      <c r="IE72" s="2927"/>
    </row>
    <row r="73" s="2838" customFormat="1" ht="32" customHeight="1" spans="1:239 16379:16379">
      <c r="A73" s="2941">
        <v>45771</v>
      </c>
      <c r="B73" s="2906" t="s">
        <v>1538</v>
      </c>
      <c r="C73" s="2907" t="s">
        <v>1142</v>
      </c>
      <c r="D73" s="2908">
        <v>4500159848</v>
      </c>
      <c r="E73" s="2909" t="s">
        <v>1539</v>
      </c>
      <c r="F73" s="2908" t="s">
        <v>10413</v>
      </c>
      <c r="G73" s="2930" t="s">
        <v>10199</v>
      </c>
      <c r="H73" s="2911" t="s">
        <v>9155</v>
      </c>
      <c r="I73" s="2912">
        <v>60</v>
      </c>
      <c r="J73" s="2912">
        <v>0</v>
      </c>
      <c r="K73" s="2912">
        <v>4</v>
      </c>
      <c r="L73" s="2912">
        <f t="shared" si="146"/>
        <v>15</v>
      </c>
      <c r="M73" s="2913">
        <v>45859</v>
      </c>
      <c r="N73" s="2913">
        <v>45862</v>
      </c>
      <c r="O73" s="2914"/>
      <c r="P73" s="2914" t="s">
        <v>82</v>
      </c>
      <c r="Q73" s="2914" t="s">
        <v>1541</v>
      </c>
      <c r="R73" s="2915" t="s">
        <v>1479</v>
      </c>
      <c r="S73" s="2915"/>
      <c r="T73" s="2915" t="s">
        <v>4346</v>
      </c>
      <c r="U73" s="2915"/>
      <c r="V73" s="2915" t="s">
        <v>1543</v>
      </c>
      <c r="W73" s="2931" t="s">
        <v>10414</v>
      </c>
      <c r="X73" s="2912" t="s">
        <v>459</v>
      </c>
      <c r="Y73" s="2917">
        <v>7.1761</v>
      </c>
      <c r="Z73" s="2918">
        <f t="shared" si="172"/>
        <v>430.566</v>
      </c>
      <c r="AA73" s="2912" t="s">
        <v>10415</v>
      </c>
      <c r="AB73" s="2906" t="s">
        <v>10391</v>
      </c>
      <c r="AC73" s="2912" t="s">
        <v>416</v>
      </c>
      <c r="AD73" s="2919"/>
      <c r="AE73" s="2919"/>
      <c r="AF73" s="2945"/>
      <c r="AG73" s="2919">
        <f t="shared" ref="AG73:AG77" si="176">I73</f>
        <v>60</v>
      </c>
      <c r="AH73" s="2919"/>
      <c r="AI73" s="2919"/>
      <c r="AJ73" s="2921"/>
      <c r="AK73" s="2921">
        <f t="shared" ref="AK73:AK124" si="177">I73</f>
        <v>60</v>
      </c>
      <c r="AL73" s="2921"/>
      <c r="AM73" s="2921"/>
      <c r="AN73" s="2922"/>
      <c r="AO73" s="2923"/>
      <c r="AP73" s="2921"/>
      <c r="AQ73" s="2921">
        <f t="shared" ref="AQ73:AQ103" si="178">I73/4</f>
        <v>15</v>
      </c>
      <c r="AR73" s="2924"/>
      <c r="AS73" s="2923">
        <f>AQ73</f>
        <v>15</v>
      </c>
      <c r="AT73" s="2921">
        <f>AS73</f>
        <v>15</v>
      </c>
      <c r="AU73" s="2921"/>
      <c r="AV73" s="2924">
        <f>AS73</f>
        <v>15</v>
      </c>
      <c r="AW73" s="2923"/>
      <c r="AX73" s="2921"/>
      <c r="AY73" s="2921"/>
      <c r="AZ73" s="2924"/>
      <c r="BA73" s="2923"/>
      <c r="BB73" s="2924"/>
      <c r="BC73" s="2925"/>
      <c r="BD73" s="2921">
        <f t="shared" si="143"/>
        <v>60</v>
      </c>
      <c r="BE73" s="2921"/>
      <c r="BF73" s="2921"/>
      <c r="BG73" s="2921" t="s">
        <v>9164</v>
      </c>
      <c r="BH73" s="2921"/>
      <c r="BI73" s="2921">
        <f t="shared" ref="BI73:BI103" si="179">I73/4</f>
        <v>15</v>
      </c>
      <c r="BJ73" s="2921">
        <f t="shared" ref="BJ73:BP73" si="180">BI73</f>
        <v>15</v>
      </c>
      <c r="BK73" s="2921">
        <f t="shared" si="180"/>
        <v>15</v>
      </c>
      <c r="BL73" s="2921">
        <f t="shared" si="180"/>
        <v>15</v>
      </c>
      <c r="BM73" s="2926">
        <f t="shared" si="180"/>
        <v>15</v>
      </c>
      <c r="BN73" s="2921">
        <f t="shared" si="180"/>
        <v>15</v>
      </c>
      <c r="BO73" s="2926">
        <f t="shared" si="180"/>
        <v>15</v>
      </c>
      <c r="BP73" s="2921">
        <f t="shared" si="180"/>
        <v>15</v>
      </c>
      <c r="BQ73" s="2926">
        <f t="shared" si="169"/>
        <v>238085</v>
      </c>
      <c r="BR73" s="2926">
        <f t="shared" ref="BR73:BY73" si="181">BR69-BI73</f>
        <v>17060.5</v>
      </c>
      <c r="BS73" s="2926">
        <f t="shared" si="181"/>
        <v>-1017</v>
      </c>
      <c r="BT73" s="2926">
        <f t="shared" si="181"/>
        <v>-1017</v>
      </c>
      <c r="BU73" s="2926">
        <f t="shared" si="181"/>
        <v>-1017</v>
      </c>
      <c r="BV73" s="2926">
        <f t="shared" si="181"/>
        <v>-1017</v>
      </c>
      <c r="BW73" s="2926">
        <f t="shared" si="181"/>
        <v>-1017</v>
      </c>
      <c r="BX73" s="2926">
        <f t="shared" si="181"/>
        <v>-1017</v>
      </c>
      <c r="BY73" s="2926">
        <f t="shared" si="181"/>
        <v>-1017</v>
      </c>
      <c r="BZ73" s="2912"/>
      <c r="CA73" s="2927"/>
      <c r="CB73" s="2927"/>
      <c r="CC73" s="2927"/>
      <c r="CD73" s="2927"/>
      <c r="CE73" s="2927"/>
      <c r="CF73" s="2927"/>
      <c r="CG73" s="2927"/>
      <c r="CH73" s="2927"/>
      <c r="CI73" s="2927"/>
      <c r="CJ73" s="2927"/>
      <c r="CK73" s="2927"/>
      <c r="CL73" s="2927"/>
      <c r="CM73" s="2927"/>
      <c r="CN73" s="2927"/>
      <c r="CO73" s="2927"/>
      <c r="CP73" s="2927"/>
      <c r="CQ73" s="2927"/>
      <c r="CR73" s="2927"/>
      <c r="CS73" s="2927"/>
      <c r="CT73" s="2927"/>
      <c r="CU73" s="2927"/>
      <c r="CV73" s="2927"/>
      <c r="CW73" s="2927"/>
      <c r="CX73" s="2927"/>
      <c r="CY73" s="2927"/>
      <c r="CZ73" s="2927"/>
      <c r="DA73" s="2927"/>
      <c r="DB73" s="2927"/>
      <c r="DC73" s="2927"/>
      <c r="DD73" s="2927"/>
      <c r="DE73" s="2927"/>
      <c r="DF73" s="2927"/>
      <c r="DG73" s="2927"/>
      <c r="DH73" s="2927"/>
      <c r="DI73" s="2927"/>
      <c r="DJ73" s="2927"/>
      <c r="DK73" s="2927"/>
      <c r="DL73" s="2927"/>
      <c r="DM73" s="2927"/>
      <c r="DN73" s="2927"/>
      <c r="DO73" s="2927"/>
      <c r="DP73" s="2927"/>
      <c r="DQ73" s="2927"/>
      <c r="DR73" s="2927"/>
      <c r="DS73" s="2927"/>
      <c r="DT73" s="2927"/>
      <c r="DU73" s="2927"/>
      <c r="DV73" s="2927"/>
      <c r="DW73" s="2927"/>
      <c r="DX73" s="2927"/>
      <c r="DY73" s="2927"/>
      <c r="DZ73" s="2927"/>
      <c r="EA73" s="2927"/>
      <c r="EB73" s="2927"/>
      <c r="EC73" s="2927"/>
      <c r="ED73" s="2927"/>
      <c r="EE73" s="2927"/>
      <c r="EF73" s="2927"/>
      <c r="EG73" s="2927"/>
      <c r="EH73" s="2927"/>
      <c r="EI73" s="2927"/>
      <c r="EJ73" s="2927"/>
      <c r="EK73" s="2927"/>
      <c r="EL73" s="2927"/>
      <c r="EM73" s="2927"/>
      <c r="EN73" s="2927"/>
      <c r="EO73" s="2927"/>
      <c r="EP73" s="2927"/>
      <c r="EQ73" s="2927"/>
      <c r="ER73" s="2927"/>
      <c r="ES73" s="2927"/>
      <c r="ET73" s="2927"/>
      <c r="EU73" s="2927"/>
      <c r="EV73" s="2927"/>
      <c r="EW73" s="2927"/>
      <c r="EX73" s="2927"/>
      <c r="EY73" s="2927"/>
      <c r="EZ73" s="2927"/>
      <c r="FA73" s="2927"/>
      <c r="FB73" s="2927"/>
      <c r="FC73" s="2927"/>
      <c r="FD73" s="2927"/>
      <c r="FE73" s="2927"/>
      <c r="FF73" s="2927"/>
      <c r="FG73" s="2927"/>
      <c r="FH73" s="2927"/>
      <c r="FI73" s="2927"/>
      <c r="FJ73" s="2927"/>
      <c r="FK73" s="2927"/>
      <c r="FL73" s="2927"/>
      <c r="FM73" s="2927"/>
      <c r="FN73" s="2927"/>
      <c r="FO73" s="2927"/>
      <c r="FP73" s="2927"/>
      <c r="FQ73" s="2927"/>
      <c r="FR73" s="2927"/>
      <c r="FS73" s="2927"/>
      <c r="FT73" s="2927"/>
      <c r="FU73" s="2927"/>
      <c r="FV73" s="2927"/>
      <c r="FW73" s="2927"/>
      <c r="FX73" s="2927"/>
      <c r="FY73" s="2927"/>
      <c r="FZ73" s="2927"/>
      <c r="GA73" s="2927"/>
      <c r="GB73" s="2927"/>
      <c r="GC73" s="2927"/>
      <c r="GD73" s="2927"/>
      <c r="GE73" s="2927"/>
      <c r="GF73" s="2927"/>
      <c r="GG73" s="2927"/>
      <c r="GH73" s="2927"/>
      <c r="GI73" s="2927"/>
      <c r="GJ73" s="2927"/>
      <c r="GK73" s="2927"/>
      <c r="GL73" s="2927"/>
      <c r="GM73" s="2927"/>
      <c r="GN73" s="2927"/>
      <c r="GO73" s="2927"/>
      <c r="GP73" s="2927"/>
      <c r="GQ73" s="2927"/>
      <c r="GR73" s="2927"/>
      <c r="GS73" s="2927"/>
      <c r="GT73" s="2927"/>
      <c r="GU73" s="2927"/>
      <c r="GV73" s="2927"/>
      <c r="GW73" s="2927"/>
      <c r="GX73" s="2927"/>
      <c r="GY73" s="2927"/>
      <c r="GZ73" s="2927"/>
      <c r="HA73" s="2927"/>
      <c r="HB73" s="2927"/>
      <c r="HC73" s="2927"/>
      <c r="HD73" s="2927"/>
      <c r="HE73" s="2927"/>
      <c r="HF73" s="2927"/>
      <c r="HG73" s="2927"/>
      <c r="HH73" s="2927"/>
      <c r="HI73" s="2927"/>
      <c r="HJ73" s="2927"/>
      <c r="HK73" s="2927"/>
      <c r="HL73" s="2927"/>
      <c r="HM73" s="2927"/>
      <c r="HN73" s="2927"/>
      <c r="HO73" s="2927"/>
      <c r="HP73" s="2927"/>
      <c r="HQ73" s="2927"/>
      <c r="HR73" s="2927"/>
      <c r="HS73" s="2927"/>
      <c r="HT73" s="2927"/>
      <c r="HU73" s="2927"/>
      <c r="HV73" s="2927"/>
      <c r="HW73" s="2927"/>
      <c r="HX73" s="2927"/>
      <c r="HY73" s="2927"/>
      <c r="HZ73" s="2927"/>
      <c r="IA73" s="2927"/>
      <c r="IB73" s="2927"/>
      <c r="IC73" s="2927"/>
      <c r="ID73" s="2927"/>
      <c r="IE73" s="2927"/>
    </row>
    <row r="74" s="2838" customFormat="1" ht="32" customHeight="1" spans="1:239 16379:16379">
      <c r="A74" s="2941">
        <v>45771</v>
      </c>
      <c r="B74" s="2906" t="s">
        <v>1545</v>
      </c>
      <c r="C74" s="2907" t="s">
        <v>1546</v>
      </c>
      <c r="D74" s="2908">
        <v>4500164774</v>
      </c>
      <c r="E74" s="2909" t="s">
        <v>1547</v>
      </c>
      <c r="F74" s="2908" t="s">
        <v>10416</v>
      </c>
      <c r="G74" s="2930" t="s">
        <v>10199</v>
      </c>
      <c r="H74" s="2911" t="s">
        <v>9155</v>
      </c>
      <c r="I74" s="2912">
        <v>180</v>
      </c>
      <c r="J74" s="2912">
        <v>0</v>
      </c>
      <c r="K74" s="2912">
        <v>4</v>
      </c>
      <c r="L74" s="2912">
        <f t="shared" si="146"/>
        <v>45</v>
      </c>
      <c r="M74" s="2913">
        <v>45859</v>
      </c>
      <c r="N74" s="2913">
        <v>45862</v>
      </c>
      <c r="O74" s="2914"/>
      <c r="P74" s="2914" t="s">
        <v>82</v>
      </c>
      <c r="Q74" s="2914" t="s">
        <v>211</v>
      </c>
      <c r="R74" s="2915" t="s">
        <v>1479</v>
      </c>
      <c r="S74" s="2915"/>
      <c r="T74" s="2915" t="s">
        <v>4346</v>
      </c>
      <c r="U74" s="2915"/>
      <c r="V74" s="2915" t="s">
        <v>1543</v>
      </c>
      <c r="W74" s="2931" t="s">
        <v>10417</v>
      </c>
      <c r="X74" s="2912" t="s">
        <v>459</v>
      </c>
      <c r="Y74" s="2917">
        <v>7.1761</v>
      </c>
      <c r="Z74" s="2918">
        <f t="shared" si="172"/>
        <v>1291.698</v>
      </c>
      <c r="AA74" s="2912" t="s">
        <v>9718</v>
      </c>
      <c r="AB74" s="2906" t="s">
        <v>10391</v>
      </c>
      <c r="AC74" s="2912" t="s">
        <v>416</v>
      </c>
      <c r="AD74" s="2919"/>
      <c r="AE74" s="2919"/>
      <c r="AF74" s="2945"/>
      <c r="AG74" s="2919">
        <f t="shared" si="176"/>
        <v>180</v>
      </c>
      <c r="AH74" s="2919"/>
      <c r="AI74" s="2919"/>
      <c r="AJ74" s="2921"/>
      <c r="AK74" s="2921">
        <f t="shared" si="177"/>
        <v>180</v>
      </c>
      <c r="AL74" s="2921"/>
      <c r="AM74" s="2921"/>
      <c r="AN74" s="2922"/>
      <c r="AO74" s="2923"/>
      <c r="AP74" s="2921"/>
      <c r="AQ74" s="2921">
        <f t="shared" si="178"/>
        <v>45</v>
      </c>
      <c r="AR74" s="2924"/>
      <c r="AS74" s="2923">
        <f>AQ74</f>
        <v>45</v>
      </c>
      <c r="AT74" s="2921">
        <f>AS74</f>
        <v>45</v>
      </c>
      <c r="AU74" s="2921"/>
      <c r="AV74" s="2924">
        <f>AS74</f>
        <v>45</v>
      </c>
      <c r="AW74" s="2923"/>
      <c r="AX74" s="2921"/>
      <c r="AY74" s="2921"/>
      <c r="AZ74" s="2924"/>
      <c r="BA74" s="2923"/>
      <c r="BB74" s="2924"/>
      <c r="BC74" s="2925"/>
      <c r="BD74" s="2921">
        <f t="shared" si="143"/>
        <v>180</v>
      </c>
      <c r="BE74" s="2921"/>
      <c r="BF74" s="2921"/>
      <c r="BG74" s="2921" t="s">
        <v>9164</v>
      </c>
      <c r="BH74" s="2921"/>
      <c r="BI74" s="2921">
        <f t="shared" si="179"/>
        <v>45</v>
      </c>
      <c r="BJ74" s="2921">
        <f t="shared" ref="BJ74:BP74" si="182">BI74</f>
        <v>45</v>
      </c>
      <c r="BK74" s="2921">
        <f t="shared" si="182"/>
        <v>45</v>
      </c>
      <c r="BL74" s="2921">
        <f t="shared" si="182"/>
        <v>45</v>
      </c>
      <c r="BM74" s="2926">
        <f t="shared" si="182"/>
        <v>45</v>
      </c>
      <c r="BN74" s="2921">
        <f t="shared" si="182"/>
        <v>45</v>
      </c>
      <c r="BO74" s="2926">
        <f t="shared" si="182"/>
        <v>45</v>
      </c>
      <c r="BP74" s="2921">
        <f t="shared" si="182"/>
        <v>45</v>
      </c>
      <c r="BQ74" s="2926">
        <f t="shared" si="169"/>
        <v>238205</v>
      </c>
      <c r="BR74" s="2926">
        <f t="shared" ref="BR74:BY74" si="183">BR73-BI74</f>
        <v>17015.5</v>
      </c>
      <c r="BS74" s="2926">
        <f t="shared" si="183"/>
        <v>-1062</v>
      </c>
      <c r="BT74" s="2926">
        <f t="shared" si="183"/>
        <v>-1062</v>
      </c>
      <c r="BU74" s="2926">
        <f t="shared" si="183"/>
        <v>-1062</v>
      </c>
      <c r="BV74" s="2926">
        <f t="shared" si="183"/>
        <v>-1062</v>
      </c>
      <c r="BW74" s="2926">
        <f t="shared" si="183"/>
        <v>-1062</v>
      </c>
      <c r="BX74" s="2926">
        <f t="shared" si="183"/>
        <v>-1062</v>
      </c>
      <c r="BY74" s="2926">
        <f t="shared" si="183"/>
        <v>-1062</v>
      </c>
      <c r="BZ74" s="2912"/>
      <c r="CA74" s="2927"/>
      <c r="CB74" s="2927"/>
      <c r="CC74" s="2927"/>
      <c r="CD74" s="2927"/>
      <c r="CE74" s="2927"/>
      <c r="CF74" s="2927"/>
      <c r="CG74" s="2927"/>
      <c r="CH74" s="2927"/>
      <c r="CI74" s="2927"/>
      <c r="CJ74" s="2927"/>
      <c r="CK74" s="2927"/>
      <c r="CL74" s="2927"/>
      <c r="CM74" s="2927"/>
      <c r="CN74" s="2927"/>
      <c r="CO74" s="2927"/>
      <c r="CP74" s="2927"/>
      <c r="CQ74" s="2927"/>
      <c r="CR74" s="2927"/>
      <c r="CS74" s="2927"/>
      <c r="CT74" s="2927"/>
      <c r="CU74" s="2927"/>
      <c r="CV74" s="2927"/>
      <c r="CW74" s="2927"/>
      <c r="CX74" s="2927"/>
      <c r="CY74" s="2927"/>
      <c r="CZ74" s="2927"/>
      <c r="DA74" s="2927"/>
      <c r="DB74" s="2927"/>
      <c r="DC74" s="2927"/>
      <c r="DD74" s="2927"/>
      <c r="DE74" s="2927"/>
      <c r="DF74" s="2927"/>
      <c r="DG74" s="2927"/>
      <c r="DH74" s="2927"/>
      <c r="DI74" s="2927"/>
      <c r="DJ74" s="2927"/>
      <c r="DK74" s="2927"/>
      <c r="DL74" s="2927"/>
      <c r="DM74" s="2927"/>
      <c r="DN74" s="2927"/>
      <c r="DO74" s="2927"/>
      <c r="DP74" s="2927"/>
      <c r="DQ74" s="2927"/>
      <c r="DR74" s="2927"/>
      <c r="DS74" s="2927"/>
      <c r="DT74" s="2927"/>
      <c r="DU74" s="2927"/>
      <c r="DV74" s="2927"/>
      <c r="DW74" s="2927"/>
      <c r="DX74" s="2927"/>
      <c r="DY74" s="2927"/>
      <c r="DZ74" s="2927"/>
      <c r="EA74" s="2927"/>
      <c r="EB74" s="2927"/>
      <c r="EC74" s="2927"/>
      <c r="ED74" s="2927"/>
      <c r="EE74" s="2927"/>
      <c r="EF74" s="2927"/>
      <c r="EG74" s="2927"/>
      <c r="EH74" s="2927"/>
      <c r="EI74" s="2927"/>
      <c r="EJ74" s="2927"/>
      <c r="EK74" s="2927"/>
      <c r="EL74" s="2927"/>
      <c r="EM74" s="2927"/>
      <c r="EN74" s="2927"/>
      <c r="EO74" s="2927"/>
      <c r="EP74" s="2927"/>
      <c r="EQ74" s="2927"/>
      <c r="ER74" s="2927"/>
      <c r="ES74" s="2927"/>
      <c r="ET74" s="2927"/>
      <c r="EU74" s="2927"/>
      <c r="EV74" s="2927"/>
      <c r="EW74" s="2927"/>
      <c r="EX74" s="2927"/>
      <c r="EY74" s="2927"/>
      <c r="EZ74" s="2927"/>
      <c r="FA74" s="2927"/>
      <c r="FB74" s="2927"/>
      <c r="FC74" s="2927"/>
      <c r="FD74" s="2927"/>
      <c r="FE74" s="2927"/>
      <c r="FF74" s="2927"/>
      <c r="FG74" s="2927"/>
      <c r="FH74" s="2927"/>
      <c r="FI74" s="2927"/>
      <c r="FJ74" s="2927"/>
      <c r="FK74" s="2927"/>
      <c r="FL74" s="2927"/>
      <c r="FM74" s="2927"/>
      <c r="FN74" s="2927"/>
      <c r="FO74" s="2927"/>
      <c r="FP74" s="2927"/>
      <c r="FQ74" s="2927"/>
      <c r="FR74" s="2927"/>
      <c r="FS74" s="2927"/>
      <c r="FT74" s="2927"/>
      <c r="FU74" s="2927"/>
      <c r="FV74" s="2927"/>
      <c r="FW74" s="2927"/>
      <c r="FX74" s="2927"/>
      <c r="FY74" s="2927"/>
      <c r="FZ74" s="2927"/>
      <c r="GA74" s="2927"/>
      <c r="GB74" s="2927"/>
      <c r="GC74" s="2927"/>
      <c r="GD74" s="2927"/>
      <c r="GE74" s="2927"/>
      <c r="GF74" s="2927"/>
      <c r="GG74" s="2927"/>
      <c r="GH74" s="2927"/>
      <c r="GI74" s="2927"/>
      <c r="GJ74" s="2927"/>
      <c r="GK74" s="2927"/>
      <c r="GL74" s="2927"/>
      <c r="GM74" s="2927"/>
      <c r="GN74" s="2927"/>
      <c r="GO74" s="2927"/>
      <c r="GP74" s="2927"/>
      <c r="GQ74" s="2927"/>
      <c r="GR74" s="2927"/>
      <c r="GS74" s="2927"/>
      <c r="GT74" s="2927"/>
      <c r="GU74" s="2927"/>
      <c r="GV74" s="2927"/>
      <c r="GW74" s="2927"/>
      <c r="GX74" s="2927"/>
      <c r="GY74" s="2927"/>
      <c r="GZ74" s="2927"/>
      <c r="HA74" s="2927"/>
      <c r="HB74" s="2927"/>
      <c r="HC74" s="2927"/>
      <c r="HD74" s="2927"/>
      <c r="HE74" s="2927"/>
      <c r="HF74" s="2927"/>
      <c r="HG74" s="2927"/>
      <c r="HH74" s="2927"/>
      <c r="HI74" s="2927"/>
      <c r="HJ74" s="2927"/>
      <c r="HK74" s="2927"/>
      <c r="HL74" s="2927"/>
      <c r="HM74" s="2927"/>
      <c r="HN74" s="2927"/>
      <c r="HO74" s="2927"/>
      <c r="HP74" s="2927"/>
      <c r="HQ74" s="2927"/>
      <c r="HR74" s="2927"/>
      <c r="HS74" s="2927"/>
      <c r="HT74" s="2927"/>
      <c r="HU74" s="2927"/>
      <c r="HV74" s="2927"/>
      <c r="HW74" s="2927"/>
      <c r="HX74" s="2927"/>
      <c r="HY74" s="2927"/>
      <c r="HZ74" s="2927"/>
      <c r="IA74" s="2927"/>
      <c r="IB74" s="2927"/>
      <c r="IC74" s="2927"/>
      <c r="ID74" s="2927"/>
      <c r="IE74" s="2927"/>
    </row>
    <row r="75" s="2838" customFormat="1" ht="32" customHeight="1" spans="1:239 16379:16379">
      <c r="A75" s="2941">
        <v>45839</v>
      </c>
      <c r="B75" s="2906" t="s">
        <v>407</v>
      </c>
      <c r="C75" s="2907" t="s">
        <v>91</v>
      </c>
      <c r="D75" s="2908">
        <v>4500172203</v>
      </c>
      <c r="E75" s="2909">
        <v>60235975</v>
      </c>
      <c r="F75" s="2908" t="s">
        <v>10418</v>
      </c>
      <c r="G75" s="2930" t="s">
        <v>10199</v>
      </c>
      <c r="H75" s="2911" t="s">
        <v>9155</v>
      </c>
      <c r="I75" s="2912">
        <v>800</v>
      </c>
      <c r="J75" s="2912">
        <v>0</v>
      </c>
      <c r="K75" s="2912">
        <v>4</v>
      </c>
      <c r="L75" s="2912">
        <f t="shared" si="146"/>
        <v>200</v>
      </c>
      <c r="M75" s="2913">
        <v>45870</v>
      </c>
      <c r="N75" s="2913">
        <f>M75-4</f>
        <v>45866</v>
      </c>
      <c r="O75" s="2914"/>
      <c r="P75" s="2914" t="s">
        <v>82</v>
      </c>
      <c r="Q75" s="2914" t="s">
        <v>1394</v>
      </c>
      <c r="R75" s="2915" t="s">
        <v>390</v>
      </c>
      <c r="S75" s="2915"/>
      <c r="T75" s="2915" t="s">
        <v>98</v>
      </c>
      <c r="U75" s="2915" t="s">
        <v>8647</v>
      </c>
      <c r="V75" s="2915"/>
      <c r="W75" s="2931" t="s">
        <v>1621</v>
      </c>
      <c r="X75" s="2912" t="s">
        <v>393</v>
      </c>
      <c r="Y75" s="2917">
        <v>4.1207</v>
      </c>
      <c r="Z75" s="2918">
        <f t="shared" si="172"/>
        <v>3296.56</v>
      </c>
      <c r="AA75" s="2912" t="s">
        <v>1725</v>
      </c>
      <c r="AB75" s="2930" t="s">
        <v>10312</v>
      </c>
      <c r="AC75" s="2912" t="s">
        <v>416</v>
      </c>
      <c r="AD75" s="2919"/>
      <c r="AE75" s="2919">
        <f t="shared" ref="AE75:AE91" si="184">I75</f>
        <v>800</v>
      </c>
      <c r="AF75" s="2946"/>
      <c r="AG75" s="2919"/>
      <c r="AH75" s="2919"/>
      <c r="AI75" s="2921"/>
      <c r="AJ75" s="2921"/>
      <c r="AK75" s="2921">
        <f t="shared" si="177"/>
        <v>800</v>
      </c>
      <c r="AL75" s="2921"/>
      <c r="AM75" s="2922"/>
      <c r="AN75" s="2922"/>
      <c r="AO75" s="2923"/>
      <c r="AP75" s="2921"/>
      <c r="AQ75" s="2921">
        <f t="shared" si="178"/>
        <v>200</v>
      </c>
      <c r="AR75" s="2924"/>
      <c r="AS75" s="2923">
        <f t="shared" ref="AS75:AS103" si="185">I75/4</f>
        <v>200</v>
      </c>
      <c r="AT75" s="2921">
        <f t="shared" ref="AT75:AT103" si="186">I75/4</f>
        <v>200</v>
      </c>
      <c r="AU75" s="2921"/>
      <c r="AV75" s="2924">
        <f t="shared" ref="AV75:AV103" si="187">I75/4</f>
        <v>200</v>
      </c>
      <c r="AW75" s="2923"/>
      <c r="AX75" s="2921"/>
      <c r="AY75" s="2921"/>
      <c r="AZ75" s="2924"/>
      <c r="BA75" s="2923"/>
      <c r="BB75" s="2924"/>
      <c r="BC75" s="2921"/>
      <c r="BD75" s="2921">
        <f t="shared" si="143"/>
        <v>800</v>
      </c>
      <c r="BE75" s="2921"/>
      <c r="BF75" s="2921"/>
      <c r="BG75" s="2921" t="s">
        <v>9164</v>
      </c>
      <c r="BH75" s="2921"/>
      <c r="BI75" s="2921">
        <f t="shared" si="179"/>
        <v>200</v>
      </c>
      <c r="BJ75" s="2921">
        <f t="shared" ref="BJ75:BJ103" si="188">I75/4</f>
        <v>200</v>
      </c>
      <c r="BK75" s="2921">
        <f t="shared" ref="BK75:BK103" si="189">I75/4</f>
        <v>200</v>
      </c>
      <c r="BL75" s="2926">
        <f t="shared" ref="BL75:BL103" si="190">I75/4</f>
        <v>200</v>
      </c>
      <c r="BM75" s="2921">
        <f t="shared" ref="BM75:BM103" si="191">I75/4</f>
        <v>200</v>
      </c>
      <c r="BN75" s="2926">
        <f t="shared" ref="BN75:BN103" si="192">I75/4</f>
        <v>200</v>
      </c>
      <c r="BO75" s="2921">
        <f t="shared" ref="BO75:BO103" si="193">I75/4</f>
        <v>200</v>
      </c>
      <c r="BP75" s="2926">
        <f t="shared" ref="BP75:BP103" si="194">I75/4</f>
        <v>200</v>
      </c>
      <c r="BQ75" s="2926">
        <f t="shared" si="169"/>
        <v>238825</v>
      </c>
      <c r="BR75" s="2926">
        <f t="shared" ref="BR75:BY75" si="195">BR74-BI75</f>
        <v>16815.5</v>
      </c>
      <c r="BS75" s="2926">
        <f t="shared" si="195"/>
        <v>-1262</v>
      </c>
      <c r="BT75" s="2926">
        <f t="shared" si="195"/>
        <v>-1262</v>
      </c>
      <c r="BU75" s="2926">
        <f t="shared" si="195"/>
        <v>-1262</v>
      </c>
      <c r="BV75" s="2926">
        <f t="shared" si="195"/>
        <v>-1262</v>
      </c>
      <c r="BW75" s="2926">
        <f t="shared" si="195"/>
        <v>-1262</v>
      </c>
      <c r="BX75" s="2926">
        <f t="shared" si="195"/>
        <v>-1262</v>
      </c>
      <c r="BY75" s="2926">
        <f t="shared" si="195"/>
        <v>-1262</v>
      </c>
      <c r="BZ75" s="2912"/>
      <c r="CA75" s="2927"/>
      <c r="CB75" s="2927"/>
      <c r="CC75" s="2927"/>
      <c r="CD75" s="2927"/>
      <c r="CE75" s="2927"/>
      <c r="CF75" s="2927"/>
      <c r="CG75" s="2927"/>
      <c r="CH75" s="2927"/>
      <c r="CI75" s="2927"/>
      <c r="CJ75" s="2927"/>
      <c r="CK75" s="2927"/>
      <c r="CL75" s="2927"/>
      <c r="CM75" s="2927"/>
      <c r="CN75" s="2927"/>
      <c r="CO75" s="2927"/>
      <c r="CP75" s="2927"/>
      <c r="CQ75" s="2927"/>
      <c r="CR75" s="2927"/>
      <c r="CS75" s="2927"/>
      <c r="CT75" s="2927"/>
      <c r="CU75" s="2927"/>
      <c r="CV75" s="2927"/>
      <c r="CW75" s="2927"/>
      <c r="CX75" s="2927"/>
      <c r="CY75" s="2927"/>
      <c r="CZ75" s="2927"/>
      <c r="DA75" s="2927"/>
      <c r="DB75" s="2927"/>
      <c r="DC75" s="2927"/>
      <c r="DD75" s="2927"/>
      <c r="DE75" s="2927"/>
      <c r="DF75" s="2927"/>
      <c r="DG75" s="2927"/>
      <c r="DH75" s="2927"/>
      <c r="DI75" s="2927"/>
      <c r="DJ75" s="2927"/>
      <c r="DK75" s="2927"/>
      <c r="DL75" s="2927"/>
      <c r="DM75" s="2927"/>
      <c r="DN75" s="2927"/>
      <c r="DO75" s="2927"/>
      <c r="DP75" s="2927"/>
      <c r="DQ75" s="2927"/>
      <c r="DR75" s="2927"/>
      <c r="DS75" s="2927"/>
      <c r="DT75" s="2927"/>
      <c r="DU75" s="2927"/>
      <c r="DV75" s="2927"/>
      <c r="DW75" s="2927"/>
      <c r="DX75" s="2927"/>
      <c r="DY75" s="2927"/>
      <c r="DZ75" s="2927"/>
      <c r="EA75" s="2927"/>
      <c r="EB75" s="2927"/>
      <c r="EC75" s="2927"/>
      <c r="ED75" s="2927"/>
      <c r="EE75" s="2927"/>
      <c r="EF75" s="2927"/>
      <c r="EG75" s="2927"/>
      <c r="EH75" s="2927"/>
      <c r="EI75" s="2927"/>
      <c r="EJ75" s="2927"/>
      <c r="EK75" s="2927"/>
      <c r="EL75" s="2927"/>
      <c r="EM75" s="2927"/>
      <c r="EN75" s="2927"/>
      <c r="EO75" s="2927"/>
      <c r="EP75" s="2927"/>
      <c r="EQ75" s="2927"/>
      <c r="ER75" s="2927"/>
      <c r="ES75" s="2927"/>
      <c r="ET75" s="2927"/>
      <c r="EU75" s="2927"/>
      <c r="EV75" s="2927"/>
      <c r="EW75" s="2927"/>
      <c r="EX75" s="2927"/>
      <c r="EY75" s="2927"/>
      <c r="EZ75" s="2927"/>
      <c r="FA75" s="2927"/>
      <c r="FB75" s="2927"/>
      <c r="FC75" s="2927"/>
      <c r="FD75" s="2927"/>
      <c r="FE75" s="2927"/>
      <c r="FF75" s="2927"/>
      <c r="FG75" s="2927"/>
      <c r="FH75" s="2927"/>
      <c r="FI75" s="2927"/>
      <c r="FJ75" s="2927"/>
      <c r="FK75" s="2927"/>
      <c r="FL75" s="2927"/>
      <c r="FM75" s="2927"/>
      <c r="FN75" s="2927"/>
      <c r="FO75" s="2927"/>
      <c r="FP75" s="2927"/>
      <c r="FQ75" s="2927"/>
      <c r="FR75" s="2927"/>
      <c r="FS75" s="2927"/>
      <c r="FT75" s="2927"/>
      <c r="FU75" s="2927"/>
      <c r="FV75" s="2927"/>
      <c r="FW75" s="2927"/>
      <c r="FX75" s="2927"/>
      <c r="FY75" s="2927"/>
      <c r="FZ75" s="2927"/>
      <c r="GA75" s="2927"/>
      <c r="GB75" s="2927"/>
      <c r="GC75" s="2927"/>
      <c r="GD75" s="2927"/>
      <c r="GE75" s="2927"/>
      <c r="GF75" s="2927"/>
      <c r="GG75" s="2927"/>
      <c r="GH75" s="2927"/>
      <c r="GI75" s="2927"/>
      <c r="GJ75" s="2927"/>
      <c r="GK75" s="2927"/>
      <c r="GL75" s="2927"/>
      <c r="GM75" s="2927"/>
      <c r="GN75" s="2927"/>
      <c r="GO75" s="2927"/>
      <c r="GP75" s="2927"/>
      <c r="GQ75" s="2927"/>
      <c r="GR75" s="2927"/>
      <c r="GS75" s="2927"/>
      <c r="GT75" s="2927"/>
      <c r="GU75" s="2927"/>
      <c r="GV75" s="2927"/>
      <c r="GW75" s="2927"/>
      <c r="GX75" s="2927"/>
      <c r="GY75" s="2927"/>
      <c r="GZ75" s="2927"/>
      <c r="HA75" s="2927"/>
      <c r="HB75" s="2927"/>
      <c r="HC75" s="2927"/>
      <c r="HD75" s="2927"/>
      <c r="HE75" s="2927"/>
      <c r="HF75" s="2927"/>
      <c r="HG75" s="2927"/>
      <c r="HH75" s="2927"/>
      <c r="HI75" s="2927"/>
      <c r="HJ75" s="2927"/>
      <c r="HK75" s="2927"/>
      <c r="HL75" s="2927"/>
      <c r="HM75" s="2927"/>
      <c r="HN75" s="2927"/>
      <c r="HO75" s="2927"/>
      <c r="HP75" s="2927"/>
      <c r="HQ75" s="2927"/>
      <c r="HR75" s="2927"/>
      <c r="HS75" s="2927"/>
      <c r="HT75" s="2927"/>
      <c r="HU75" s="2927"/>
      <c r="HV75" s="2927"/>
      <c r="HW75" s="2927"/>
      <c r="HX75" s="2927"/>
      <c r="HY75" s="2927"/>
      <c r="HZ75" s="2927"/>
      <c r="IA75" s="2927"/>
      <c r="IB75" s="2927"/>
      <c r="IC75" s="2927"/>
      <c r="ID75" s="2927"/>
      <c r="XEY75" s="2942"/>
    </row>
    <row r="76" s="2838" customFormat="1" ht="32" customHeight="1" spans="1:239 16379:16379">
      <c r="A76" s="2941">
        <v>45836</v>
      </c>
      <c r="B76" s="2906" t="s">
        <v>1617</v>
      </c>
      <c r="C76" s="2907" t="s">
        <v>91</v>
      </c>
      <c r="D76" s="2908">
        <v>4500171778</v>
      </c>
      <c r="E76" s="2909">
        <v>70072654</v>
      </c>
      <c r="F76" s="2908" t="s">
        <v>10419</v>
      </c>
      <c r="G76" s="2930" t="s">
        <v>10199</v>
      </c>
      <c r="H76" s="2911" t="s">
        <v>9155</v>
      </c>
      <c r="I76" s="2912">
        <v>600</v>
      </c>
      <c r="J76" s="2912">
        <v>0</v>
      </c>
      <c r="K76" s="2912">
        <v>4</v>
      </c>
      <c r="L76" s="2912">
        <f t="shared" si="146"/>
        <v>150</v>
      </c>
      <c r="M76" s="2913">
        <v>45874</v>
      </c>
      <c r="N76" s="2913">
        <v>45870</v>
      </c>
      <c r="O76" s="2914"/>
      <c r="P76" s="2914" t="s">
        <v>82</v>
      </c>
      <c r="Q76" s="2914" t="s">
        <v>224</v>
      </c>
      <c r="R76" s="2915" t="s">
        <v>390</v>
      </c>
      <c r="S76" s="2915"/>
      <c r="T76" s="2915" t="s">
        <v>98</v>
      </c>
      <c r="U76" s="2915" t="s">
        <v>8647</v>
      </c>
      <c r="V76" s="2915"/>
      <c r="W76" s="2931" t="s">
        <v>1621</v>
      </c>
      <c r="X76" s="2912" t="s">
        <v>393</v>
      </c>
      <c r="Y76" s="2917">
        <v>4.1207</v>
      </c>
      <c r="Z76" s="2918">
        <f t="shared" si="172"/>
        <v>2472.42</v>
      </c>
      <c r="AA76" s="2912" t="s">
        <v>1622</v>
      </c>
      <c r="AB76" s="2930" t="s">
        <v>10312</v>
      </c>
      <c r="AC76" s="2912" t="s">
        <v>416</v>
      </c>
      <c r="AD76" s="2919"/>
      <c r="AE76" s="2919">
        <f t="shared" si="184"/>
        <v>600</v>
      </c>
      <c r="AF76" s="2946"/>
      <c r="AG76" s="2919"/>
      <c r="AH76" s="2919"/>
      <c r="AI76" s="2921"/>
      <c r="AJ76" s="2921"/>
      <c r="AK76" s="2921">
        <f t="shared" si="177"/>
        <v>600</v>
      </c>
      <c r="AL76" s="2921"/>
      <c r="AM76" s="2922"/>
      <c r="AN76" s="2922"/>
      <c r="AO76" s="2923"/>
      <c r="AP76" s="2921"/>
      <c r="AQ76" s="2921">
        <f t="shared" si="178"/>
        <v>150</v>
      </c>
      <c r="AR76" s="2924"/>
      <c r="AS76" s="2923">
        <f t="shared" si="185"/>
        <v>150</v>
      </c>
      <c r="AT76" s="2921">
        <f t="shared" si="186"/>
        <v>150</v>
      </c>
      <c r="AU76" s="2921"/>
      <c r="AV76" s="2924">
        <f t="shared" si="187"/>
        <v>150</v>
      </c>
      <c r="AW76" s="2923"/>
      <c r="AX76" s="2921"/>
      <c r="AY76" s="2921"/>
      <c r="AZ76" s="2924"/>
      <c r="BA76" s="2923"/>
      <c r="BB76" s="2924"/>
      <c r="BC76" s="2921"/>
      <c r="BD76" s="2921">
        <f t="shared" si="143"/>
        <v>600</v>
      </c>
      <c r="BE76" s="2921"/>
      <c r="BF76" s="2921"/>
      <c r="BG76" s="2921" t="s">
        <v>9164</v>
      </c>
      <c r="BH76" s="2921"/>
      <c r="BI76" s="2921">
        <f t="shared" si="179"/>
        <v>150</v>
      </c>
      <c r="BJ76" s="2921">
        <f t="shared" si="188"/>
        <v>150</v>
      </c>
      <c r="BK76" s="2921">
        <f t="shared" si="189"/>
        <v>150</v>
      </c>
      <c r="BL76" s="2926">
        <f t="shared" si="190"/>
        <v>150</v>
      </c>
      <c r="BM76" s="2921">
        <f t="shared" si="191"/>
        <v>150</v>
      </c>
      <c r="BN76" s="2926">
        <f t="shared" si="192"/>
        <v>150</v>
      </c>
      <c r="BO76" s="2921">
        <f t="shared" si="193"/>
        <v>150</v>
      </c>
      <c r="BP76" s="2926">
        <f t="shared" si="194"/>
        <v>150</v>
      </c>
      <c r="BQ76" s="2926">
        <f t="shared" si="169"/>
        <v>238625</v>
      </c>
      <c r="BR76" s="2926">
        <f t="shared" ref="BR76:BY76" si="196">BR75-BI76</f>
        <v>16665.5</v>
      </c>
      <c r="BS76" s="2926">
        <f t="shared" si="196"/>
        <v>-1412</v>
      </c>
      <c r="BT76" s="2926">
        <f t="shared" si="196"/>
        <v>-1412</v>
      </c>
      <c r="BU76" s="2926">
        <f t="shared" si="196"/>
        <v>-1412</v>
      </c>
      <c r="BV76" s="2926">
        <f t="shared" si="196"/>
        <v>-1412</v>
      </c>
      <c r="BW76" s="2926">
        <f t="shared" si="196"/>
        <v>-1412</v>
      </c>
      <c r="BX76" s="2926">
        <f t="shared" si="196"/>
        <v>-1412</v>
      </c>
      <c r="BY76" s="2926">
        <f t="shared" si="196"/>
        <v>-1412</v>
      </c>
      <c r="BZ76" s="2912"/>
      <c r="CA76" s="2927"/>
      <c r="CB76" s="2927"/>
      <c r="CC76" s="2927"/>
      <c r="CD76" s="2927"/>
      <c r="CE76" s="2927"/>
      <c r="CF76" s="2927"/>
      <c r="CG76" s="2927"/>
      <c r="CH76" s="2927"/>
      <c r="CI76" s="2927"/>
      <c r="CJ76" s="2927"/>
      <c r="CK76" s="2927"/>
      <c r="CL76" s="2927"/>
      <c r="CM76" s="2927"/>
      <c r="CN76" s="2927"/>
      <c r="CO76" s="2927"/>
      <c r="CP76" s="2927"/>
      <c r="CQ76" s="2927"/>
      <c r="CR76" s="2927"/>
      <c r="CS76" s="2927"/>
      <c r="CT76" s="2927"/>
      <c r="CU76" s="2927"/>
      <c r="CV76" s="2927"/>
      <c r="CW76" s="2927"/>
      <c r="CX76" s="2927"/>
      <c r="CY76" s="2927"/>
      <c r="CZ76" s="2927"/>
      <c r="DA76" s="2927"/>
      <c r="DB76" s="2927"/>
      <c r="DC76" s="2927"/>
      <c r="DD76" s="2927"/>
      <c r="DE76" s="2927"/>
      <c r="DF76" s="2927"/>
      <c r="DG76" s="2927"/>
      <c r="DH76" s="2927"/>
      <c r="DI76" s="2927"/>
      <c r="DJ76" s="2927"/>
      <c r="DK76" s="2927"/>
      <c r="DL76" s="2927"/>
      <c r="DM76" s="2927"/>
      <c r="DN76" s="2927"/>
      <c r="DO76" s="2927"/>
      <c r="DP76" s="2927"/>
      <c r="DQ76" s="2927"/>
      <c r="DR76" s="2927"/>
      <c r="DS76" s="2927"/>
      <c r="DT76" s="2927"/>
      <c r="DU76" s="2927"/>
      <c r="DV76" s="2927"/>
      <c r="DW76" s="2927"/>
      <c r="DX76" s="2927"/>
      <c r="DY76" s="2927"/>
      <c r="DZ76" s="2927"/>
      <c r="EA76" s="2927"/>
      <c r="EB76" s="2927"/>
      <c r="EC76" s="2927"/>
      <c r="ED76" s="2927"/>
      <c r="EE76" s="2927"/>
      <c r="EF76" s="2927"/>
      <c r="EG76" s="2927"/>
      <c r="EH76" s="2927"/>
      <c r="EI76" s="2927"/>
      <c r="EJ76" s="2927"/>
      <c r="EK76" s="2927"/>
      <c r="EL76" s="2927"/>
      <c r="EM76" s="2927"/>
      <c r="EN76" s="2927"/>
      <c r="EO76" s="2927"/>
      <c r="EP76" s="2927"/>
      <c r="EQ76" s="2927"/>
      <c r="ER76" s="2927"/>
      <c r="ES76" s="2927"/>
      <c r="ET76" s="2927"/>
      <c r="EU76" s="2927"/>
      <c r="EV76" s="2927"/>
      <c r="EW76" s="2927"/>
      <c r="EX76" s="2927"/>
      <c r="EY76" s="2927"/>
      <c r="EZ76" s="2927"/>
      <c r="FA76" s="2927"/>
      <c r="FB76" s="2927"/>
      <c r="FC76" s="2927"/>
      <c r="FD76" s="2927"/>
      <c r="FE76" s="2927"/>
      <c r="FF76" s="2927"/>
      <c r="FG76" s="2927"/>
      <c r="FH76" s="2927"/>
      <c r="FI76" s="2927"/>
      <c r="FJ76" s="2927"/>
      <c r="FK76" s="2927"/>
      <c r="FL76" s="2927"/>
      <c r="FM76" s="2927"/>
      <c r="FN76" s="2927"/>
      <c r="FO76" s="2927"/>
      <c r="FP76" s="2927"/>
      <c r="FQ76" s="2927"/>
      <c r="FR76" s="2927"/>
      <c r="FS76" s="2927"/>
      <c r="FT76" s="2927"/>
      <c r="FU76" s="2927"/>
      <c r="FV76" s="2927"/>
      <c r="FW76" s="2927"/>
      <c r="FX76" s="2927"/>
      <c r="FY76" s="2927"/>
      <c r="FZ76" s="2927"/>
      <c r="GA76" s="2927"/>
      <c r="GB76" s="2927"/>
      <c r="GC76" s="2927"/>
      <c r="GD76" s="2927"/>
      <c r="GE76" s="2927"/>
      <c r="GF76" s="2927"/>
      <c r="GG76" s="2927"/>
      <c r="GH76" s="2927"/>
      <c r="GI76" s="2927"/>
      <c r="GJ76" s="2927"/>
      <c r="GK76" s="2927"/>
      <c r="GL76" s="2927"/>
      <c r="GM76" s="2927"/>
      <c r="GN76" s="2927"/>
      <c r="GO76" s="2927"/>
      <c r="GP76" s="2927"/>
      <c r="GQ76" s="2927"/>
      <c r="GR76" s="2927"/>
      <c r="GS76" s="2927"/>
      <c r="GT76" s="2927"/>
      <c r="GU76" s="2927"/>
      <c r="GV76" s="2927"/>
      <c r="GW76" s="2927"/>
      <c r="GX76" s="2927"/>
      <c r="GY76" s="2927"/>
      <c r="GZ76" s="2927"/>
      <c r="HA76" s="2927"/>
      <c r="HB76" s="2927"/>
      <c r="HC76" s="2927"/>
      <c r="HD76" s="2927"/>
      <c r="HE76" s="2927"/>
      <c r="HF76" s="2927"/>
      <c r="HG76" s="2927"/>
      <c r="HH76" s="2927"/>
      <c r="HI76" s="2927"/>
      <c r="HJ76" s="2927"/>
      <c r="HK76" s="2927"/>
      <c r="HL76" s="2927"/>
      <c r="HM76" s="2927"/>
      <c r="HN76" s="2927"/>
      <c r="HO76" s="2927"/>
      <c r="HP76" s="2927"/>
      <c r="HQ76" s="2927"/>
      <c r="HR76" s="2927"/>
      <c r="HS76" s="2927"/>
      <c r="HT76" s="2927"/>
      <c r="HU76" s="2927"/>
      <c r="HV76" s="2927"/>
      <c r="HW76" s="2927"/>
      <c r="HX76" s="2927"/>
      <c r="HY76" s="2927"/>
      <c r="HZ76" s="2927"/>
      <c r="IA76" s="2927"/>
      <c r="IB76" s="2927"/>
      <c r="IC76" s="2927"/>
      <c r="ID76" s="2927"/>
      <c r="XEY76" s="2942"/>
    </row>
    <row r="77" s="2838" customFormat="1" ht="32" customHeight="1" spans="1:239 16379:16379">
      <c r="A77" s="2941">
        <v>45838</v>
      </c>
      <c r="B77" s="2906" t="s">
        <v>1596</v>
      </c>
      <c r="C77" s="2907" t="s">
        <v>1430</v>
      </c>
      <c r="D77" s="2908">
        <v>4500172103</v>
      </c>
      <c r="E77" s="2909"/>
      <c r="F77" s="2908" t="s">
        <v>10420</v>
      </c>
      <c r="G77" s="2930" t="s">
        <v>10199</v>
      </c>
      <c r="H77" s="2911" t="s">
        <v>9155</v>
      </c>
      <c r="I77" s="2912">
        <v>120</v>
      </c>
      <c r="J77" s="2912">
        <v>0</v>
      </c>
      <c r="K77" s="2912">
        <v>4</v>
      </c>
      <c r="L77" s="2912">
        <f t="shared" si="146"/>
        <v>30</v>
      </c>
      <c r="M77" s="2913">
        <v>45874</v>
      </c>
      <c r="N77" s="2913">
        <f>M77-4</f>
        <v>45870</v>
      </c>
      <c r="O77" s="2914"/>
      <c r="P77" s="2914" t="s">
        <v>82</v>
      </c>
      <c r="Q77" s="2914" t="s">
        <v>224</v>
      </c>
      <c r="R77" s="2915" t="s">
        <v>1598</v>
      </c>
      <c r="S77" s="2915"/>
      <c r="T77" s="2915" t="s">
        <v>9728</v>
      </c>
      <c r="U77" s="2915"/>
      <c r="V77" s="2915"/>
      <c r="W77" s="2931" t="s">
        <v>10421</v>
      </c>
      <c r="X77" s="2912" t="s">
        <v>1434</v>
      </c>
      <c r="Y77" s="2917">
        <v>4.1708</v>
      </c>
      <c r="Z77" s="2918" t="e">
        <f>Y77*H77</f>
        <v>#VALUE!</v>
      </c>
      <c r="AA77" s="2947" t="s">
        <v>9730</v>
      </c>
      <c r="AB77" s="2948" t="s">
        <v>10391</v>
      </c>
      <c r="AC77" s="2912" t="s">
        <v>416</v>
      </c>
      <c r="AD77" s="2919"/>
      <c r="AE77" s="2919"/>
      <c r="AF77" s="2949"/>
      <c r="AG77" s="2919">
        <f t="shared" si="176"/>
        <v>120</v>
      </c>
      <c r="AH77" s="2919"/>
      <c r="AI77" s="2921"/>
      <c r="AJ77" s="2921"/>
      <c r="AK77" s="2921">
        <f t="shared" si="177"/>
        <v>120</v>
      </c>
      <c r="AL77" s="2921"/>
      <c r="AM77" s="2922"/>
      <c r="AN77" s="2922"/>
      <c r="AO77" s="2923"/>
      <c r="AP77" s="2921"/>
      <c r="AQ77" s="2921">
        <f t="shared" si="178"/>
        <v>30</v>
      </c>
      <c r="AR77" s="2924"/>
      <c r="AS77" s="2923">
        <f t="shared" si="185"/>
        <v>30</v>
      </c>
      <c r="AT77" s="2921">
        <f t="shared" si="186"/>
        <v>30</v>
      </c>
      <c r="AU77" s="2921"/>
      <c r="AV77" s="2924">
        <f t="shared" si="187"/>
        <v>30</v>
      </c>
      <c r="AW77" s="2923"/>
      <c r="AX77" s="2921"/>
      <c r="AY77" s="2921"/>
      <c r="AZ77" s="2924"/>
      <c r="BA77" s="2923"/>
      <c r="BB77" s="2924"/>
      <c r="BC77" s="2921"/>
      <c r="BD77" s="2921">
        <f t="shared" si="143"/>
        <v>120</v>
      </c>
      <c r="BE77" s="2921"/>
      <c r="BF77" s="2921"/>
      <c r="BG77" s="2921" t="s">
        <v>9164</v>
      </c>
      <c r="BH77" s="2921"/>
      <c r="BI77" s="2921">
        <f t="shared" si="179"/>
        <v>30</v>
      </c>
      <c r="BJ77" s="2921">
        <f t="shared" si="188"/>
        <v>30</v>
      </c>
      <c r="BK77" s="2921">
        <f t="shared" si="189"/>
        <v>30</v>
      </c>
      <c r="BL77" s="2926">
        <f t="shared" si="190"/>
        <v>30</v>
      </c>
      <c r="BM77" s="2921">
        <f t="shared" si="191"/>
        <v>30</v>
      </c>
      <c r="BN77" s="2926">
        <f t="shared" si="192"/>
        <v>30</v>
      </c>
      <c r="BO77" s="2921">
        <f t="shared" si="193"/>
        <v>30</v>
      </c>
      <c r="BP77" s="2926">
        <f t="shared" si="194"/>
        <v>30</v>
      </c>
      <c r="BQ77" s="2926">
        <f t="shared" si="169"/>
        <v>238145</v>
      </c>
      <c r="BR77" s="2926">
        <f t="shared" ref="BR77:BY77" si="197">BR76-BI77</f>
        <v>16635.5</v>
      </c>
      <c r="BS77" s="2926">
        <f t="shared" si="197"/>
        <v>-1442</v>
      </c>
      <c r="BT77" s="2926">
        <f t="shared" si="197"/>
        <v>-1442</v>
      </c>
      <c r="BU77" s="2926">
        <f t="shared" si="197"/>
        <v>-1442</v>
      </c>
      <c r="BV77" s="2926">
        <f t="shared" si="197"/>
        <v>-1442</v>
      </c>
      <c r="BW77" s="2926">
        <f t="shared" si="197"/>
        <v>-1442</v>
      </c>
      <c r="BX77" s="2926">
        <f t="shared" si="197"/>
        <v>-1442</v>
      </c>
      <c r="BY77" s="2926">
        <f t="shared" si="197"/>
        <v>-1442</v>
      </c>
      <c r="BZ77" s="2912"/>
      <c r="CA77" s="2927"/>
      <c r="CB77" s="2927"/>
      <c r="CC77" s="2927"/>
      <c r="CD77" s="2927"/>
      <c r="CE77" s="2927"/>
      <c r="CF77" s="2927"/>
      <c r="CG77" s="2927"/>
      <c r="CH77" s="2927"/>
      <c r="CI77" s="2927"/>
      <c r="CJ77" s="2927"/>
      <c r="CK77" s="2927"/>
      <c r="CL77" s="2927"/>
      <c r="CM77" s="2927"/>
      <c r="CN77" s="2927"/>
      <c r="CO77" s="2927"/>
      <c r="CP77" s="2927"/>
      <c r="CQ77" s="2927"/>
      <c r="CR77" s="2927"/>
      <c r="CS77" s="2927"/>
      <c r="CT77" s="2927"/>
      <c r="CU77" s="2927"/>
      <c r="CV77" s="2927"/>
      <c r="CW77" s="2927"/>
      <c r="CX77" s="2927"/>
      <c r="CY77" s="2927"/>
      <c r="CZ77" s="2927"/>
      <c r="DA77" s="2927"/>
      <c r="DB77" s="2927"/>
      <c r="DC77" s="2927"/>
      <c r="DD77" s="2927"/>
      <c r="DE77" s="2927"/>
      <c r="DF77" s="2927"/>
      <c r="DG77" s="2927"/>
      <c r="DH77" s="2927"/>
      <c r="DI77" s="2927"/>
      <c r="DJ77" s="2927"/>
      <c r="DK77" s="2927"/>
      <c r="DL77" s="2927"/>
      <c r="DM77" s="2927"/>
      <c r="DN77" s="2927"/>
      <c r="DO77" s="2927"/>
      <c r="DP77" s="2927"/>
      <c r="DQ77" s="2927"/>
      <c r="DR77" s="2927"/>
      <c r="DS77" s="2927"/>
      <c r="DT77" s="2927"/>
      <c r="DU77" s="2927"/>
      <c r="DV77" s="2927"/>
      <c r="DW77" s="2927"/>
      <c r="DX77" s="2927"/>
      <c r="DY77" s="2927"/>
      <c r="DZ77" s="2927"/>
      <c r="EA77" s="2927"/>
      <c r="EB77" s="2927"/>
      <c r="EC77" s="2927"/>
      <c r="ED77" s="2927"/>
      <c r="EE77" s="2927"/>
      <c r="EF77" s="2927"/>
      <c r="EG77" s="2927"/>
      <c r="EH77" s="2927"/>
      <c r="EI77" s="2927"/>
      <c r="EJ77" s="2927"/>
      <c r="EK77" s="2927"/>
      <c r="EL77" s="2927"/>
      <c r="EM77" s="2927"/>
      <c r="EN77" s="2927"/>
      <c r="EO77" s="2927"/>
      <c r="EP77" s="2927"/>
      <c r="EQ77" s="2927"/>
      <c r="ER77" s="2927"/>
      <c r="ES77" s="2927"/>
      <c r="ET77" s="2927"/>
      <c r="EU77" s="2927"/>
      <c r="EV77" s="2927"/>
      <c r="EW77" s="2927"/>
      <c r="EX77" s="2927"/>
      <c r="EY77" s="2927"/>
      <c r="EZ77" s="2927"/>
      <c r="FA77" s="2927"/>
      <c r="FB77" s="2927"/>
      <c r="FC77" s="2927"/>
      <c r="FD77" s="2927"/>
      <c r="FE77" s="2927"/>
      <c r="FF77" s="2927"/>
      <c r="FG77" s="2927"/>
      <c r="FH77" s="2927"/>
      <c r="FI77" s="2927"/>
      <c r="FJ77" s="2927"/>
      <c r="FK77" s="2927"/>
      <c r="FL77" s="2927"/>
      <c r="FM77" s="2927"/>
      <c r="FN77" s="2927"/>
      <c r="FO77" s="2927"/>
      <c r="FP77" s="2927"/>
      <c r="FQ77" s="2927"/>
      <c r="FR77" s="2927"/>
      <c r="FS77" s="2927"/>
      <c r="FT77" s="2927"/>
      <c r="FU77" s="2927"/>
      <c r="FV77" s="2927"/>
      <c r="FW77" s="2927"/>
      <c r="FX77" s="2927"/>
      <c r="FY77" s="2927"/>
      <c r="FZ77" s="2927"/>
      <c r="GA77" s="2927"/>
      <c r="GB77" s="2927"/>
      <c r="GC77" s="2927"/>
      <c r="GD77" s="2927"/>
      <c r="GE77" s="2927"/>
      <c r="GF77" s="2927"/>
      <c r="GG77" s="2927"/>
      <c r="GH77" s="2927"/>
      <c r="GI77" s="2927"/>
      <c r="GJ77" s="2927"/>
      <c r="GK77" s="2927"/>
      <c r="GL77" s="2927"/>
      <c r="GM77" s="2927"/>
      <c r="GN77" s="2927"/>
      <c r="GO77" s="2927"/>
      <c r="GP77" s="2927"/>
      <c r="GQ77" s="2927"/>
      <c r="GR77" s="2927"/>
      <c r="GS77" s="2927"/>
      <c r="GT77" s="2927"/>
      <c r="GU77" s="2927"/>
      <c r="GV77" s="2927"/>
      <c r="GW77" s="2927"/>
      <c r="GX77" s="2927"/>
      <c r="GY77" s="2927"/>
      <c r="GZ77" s="2927"/>
      <c r="HA77" s="2927"/>
      <c r="HB77" s="2927"/>
      <c r="HC77" s="2927"/>
      <c r="HD77" s="2927"/>
      <c r="HE77" s="2927"/>
      <c r="HF77" s="2927"/>
      <c r="HG77" s="2927"/>
      <c r="HH77" s="2927"/>
      <c r="HI77" s="2927"/>
      <c r="HJ77" s="2927"/>
      <c r="HK77" s="2927"/>
      <c r="HL77" s="2927"/>
      <c r="HM77" s="2927"/>
      <c r="HN77" s="2927"/>
      <c r="HO77" s="2927"/>
      <c r="HP77" s="2927"/>
      <c r="HQ77" s="2927"/>
      <c r="HR77" s="2927"/>
      <c r="HS77" s="2927"/>
      <c r="HT77" s="2927"/>
      <c r="HU77" s="2927"/>
      <c r="HV77" s="2927"/>
      <c r="HW77" s="2927"/>
      <c r="HX77" s="2927"/>
      <c r="HY77" s="2927"/>
      <c r="HZ77" s="2927"/>
      <c r="IA77" s="2927"/>
      <c r="IB77" s="2927"/>
      <c r="IC77" s="2927"/>
      <c r="ID77" s="2927"/>
      <c r="XEY77" s="2942"/>
    </row>
    <row r="78" s="2838" customFormat="1" ht="32" customHeight="1" spans="1:239 16379:16379">
      <c r="A78" s="2941">
        <v>45838</v>
      </c>
      <c r="B78" s="2906" t="s">
        <v>1602</v>
      </c>
      <c r="C78" s="2907" t="s">
        <v>91</v>
      </c>
      <c r="D78" s="2908">
        <v>4500171933</v>
      </c>
      <c r="E78" s="2909">
        <v>1617037</v>
      </c>
      <c r="F78" s="2908" t="s">
        <v>10422</v>
      </c>
      <c r="G78" s="2930" t="s">
        <v>10199</v>
      </c>
      <c r="H78" s="2911" t="s">
        <v>9155</v>
      </c>
      <c r="I78" s="2912">
        <v>200</v>
      </c>
      <c r="J78" s="2912">
        <v>0</v>
      </c>
      <c r="K78" s="2912">
        <v>4</v>
      </c>
      <c r="L78" s="2912">
        <f t="shared" si="146"/>
        <v>50</v>
      </c>
      <c r="M78" s="2913">
        <v>45875</v>
      </c>
      <c r="N78" s="2913">
        <v>45871</v>
      </c>
      <c r="O78" s="2914"/>
      <c r="P78" s="2914" t="s">
        <v>82</v>
      </c>
      <c r="Q78" s="2914" t="s">
        <v>218</v>
      </c>
      <c r="R78" s="2915" t="s">
        <v>1604</v>
      </c>
      <c r="S78" s="2915"/>
      <c r="T78" s="2915"/>
      <c r="U78" s="2915" t="s">
        <v>10423</v>
      </c>
      <c r="V78" s="2915" t="s">
        <v>10424</v>
      </c>
      <c r="W78" s="2931" t="s">
        <v>10425</v>
      </c>
      <c r="X78" s="2912" t="s">
        <v>1607</v>
      </c>
      <c r="Y78" s="2917">
        <v>4.3057</v>
      </c>
      <c r="Z78" s="2918">
        <f t="shared" ref="Z78:Z115" si="198">Y78*I78</f>
        <v>861.14</v>
      </c>
      <c r="AA78" s="2912" t="s">
        <v>10426</v>
      </c>
      <c r="AB78" s="2930" t="s">
        <v>10312</v>
      </c>
      <c r="AC78" s="2912" t="s">
        <v>416</v>
      </c>
      <c r="AD78" s="2919"/>
      <c r="AE78" s="2919">
        <f t="shared" si="184"/>
        <v>200</v>
      </c>
      <c r="AF78" s="2949"/>
      <c r="AG78" s="2919"/>
      <c r="AH78" s="2919"/>
      <c r="AI78" s="2921"/>
      <c r="AJ78" s="2921"/>
      <c r="AK78" s="2921">
        <f t="shared" si="177"/>
        <v>200</v>
      </c>
      <c r="AL78" s="2921"/>
      <c r="AM78" s="2922"/>
      <c r="AN78" s="2922"/>
      <c r="AO78" s="2923"/>
      <c r="AP78" s="2921"/>
      <c r="AQ78" s="2921">
        <f t="shared" si="178"/>
        <v>50</v>
      </c>
      <c r="AR78" s="2924"/>
      <c r="AS78" s="2923">
        <f t="shared" si="185"/>
        <v>50</v>
      </c>
      <c r="AT78" s="2921">
        <f t="shared" si="186"/>
        <v>50</v>
      </c>
      <c r="AU78" s="2921"/>
      <c r="AV78" s="2924">
        <f t="shared" si="187"/>
        <v>50</v>
      </c>
      <c r="AW78" s="2923"/>
      <c r="AX78" s="2921"/>
      <c r="AY78" s="2921"/>
      <c r="AZ78" s="2924"/>
      <c r="BA78" s="2923"/>
      <c r="BB78" s="2924"/>
      <c r="BC78" s="2921"/>
      <c r="BD78" s="2921">
        <f t="shared" si="143"/>
        <v>200</v>
      </c>
      <c r="BE78" s="2921"/>
      <c r="BF78" s="2921"/>
      <c r="BG78" s="2921" t="s">
        <v>9164</v>
      </c>
      <c r="BH78" s="2921"/>
      <c r="BI78" s="2921">
        <f t="shared" si="179"/>
        <v>50</v>
      </c>
      <c r="BJ78" s="2921">
        <f t="shared" si="188"/>
        <v>50</v>
      </c>
      <c r="BK78" s="2921">
        <f t="shared" si="189"/>
        <v>50</v>
      </c>
      <c r="BL78" s="2926">
        <f t="shared" si="190"/>
        <v>50</v>
      </c>
      <c r="BM78" s="2921">
        <f t="shared" si="191"/>
        <v>50</v>
      </c>
      <c r="BN78" s="2926">
        <f t="shared" si="192"/>
        <v>50</v>
      </c>
      <c r="BO78" s="2921">
        <f t="shared" si="193"/>
        <v>50</v>
      </c>
      <c r="BP78" s="2926">
        <f t="shared" si="194"/>
        <v>50</v>
      </c>
      <c r="BQ78" s="2926">
        <f t="shared" si="169"/>
        <v>238225</v>
      </c>
      <c r="BR78" s="2926">
        <f t="shared" ref="BR78:BY78" si="199">BR77-BI78</f>
        <v>16585.5</v>
      </c>
      <c r="BS78" s="2926">
        <f t="shared" si="199"/>
        <v>-1492</v>
      </c>
      <c r="BT78" s="2926">
        <f t="shared" si="199"/>
        <v>-1492</v>
      </c>
      <c r="BU78" s="2926">
        <f t="shared" si="199"/>
        <v>-1492</v>
      </c>
      <c r="BV78" s="2926">
        <f t="shared" si="199"/>
        <v>-1492</v>
      </c>
      <c r="BW78" s="2926">
        <f t="shared" si="199"/>
        <v>-1492</v>
      </c>
      <c r="BX78" s="2926">
        <f t="shared" si="199"/>
        <v>-1492</v>
      </c>
      <c r="BY78" s="2926">
        <f t="shared" si="199"/>
        <v>-1492</v>
      </c>
      <c r="BZ78" s="2912"/>
      <c r="CA78" s="2927"/>
      <c r="CB78" s="2927"/>
      <c r="CC78" s="2927"/>
      <c r="CD78" s="2927"/>
      <c r="CE78" s="2927"/>
      <c r="CF78" s="2927"/>
      <c r="CG78" s="2927"/>
      <c r="CH78" s="2927"/>
      <c r="CI78" s="2927"/>
      <c r="CJ78" s="2927"/>
      <c r="CK78" s="2927"/>
      <c r="CL78" s="2927"/>
      <c r="CM78" s="2927"/>
      <c r="CN78" s="2927"/>
      <c r="CO78" s="2927"/>
      <c r="CP78" s="2927"/>
      <c r="CQ78" s="2927"/>
      <c r="CR78" s="2927"/>
      <c r="CS78" s="2927"/>
      <c r="CT78" s="2927"/>
      <c r="CU78" s="2927"/>
      <c r="CV78" s="2927"/>
      <c r="CW78" s="2927"/>
      <c r="CX78" s="2927"/>
      <c r="CY78" s="2927"/>
      <c r="CZ78" s="2927"/>
      <c r="DA78" s="2927"/>
      <c r="DB78" s="2927"/>
      <c r="DC78" s="2927"/>
      <c r="DD78" s="2927"/>
      <c r="DE78" s="2927"/>
      <c r="DF78" s="2927"/>
      <c r="DG78" s="2927"/>
      <c r="DH78" s="2927"/>
      <c r="DI78" s="2927"/>
      <c r="DJ78" s="2927"/>
      <c r="DK78" s="2927"/>
      <c r="DL78" s="2927"/>
      <c r="DM78" s="2927"/>
      <c r="DN78" s="2927"/>
      <c r="DO78" s="2927"/>
      <c r="DP78" s="2927"/>
      <c r="DQ78" s="2927"/>
      <c r="DR78" s="2927"/>
      <c r="DS78" s="2927"/>
      <c r="DT78" s="2927"/>
      <c r="DU78" s="2927"/>
      <c r="DV78" s="2927"/>
      <c r="DW78" s="2927"/>
      <c r="DX78" s="2927"/>
      <c r="DY78" s="2927"/>
      <c r="DZ78" s="2927"/>
      <c r="EA78" s="2927"/>
      <c r="EB78" s="2927"/>
      <c r="EC78" s="2927"/>
      <c r="ED78" s="2927"/>
      <c r="EE78" s="2927"/>
      <c r="EF78" s="2927"/>
      <c r="EG78" s="2927"/>
      <c r="EH78" s="2927"/>
      <c r="EI78" s="2927"/>
      <c r="EJ78" s="2927"/>
      <c r="EK78" s="2927"/>
      <c r="EL78" s="2927"/>
      <c r="EM78" s="2927"/>
      <c r="EN78" s="2927"/>
      <c r="EO78" s="2927"/>
      <c r="EP78" s="2927"/>
      <c r="EQ78" s="2927"/>
      <c r="ER78" s="2927"/>
      <c r="ES78" s="2927"/>
      <c r="ET78" s="2927"/>
      <c r="EU78" s="2927"/>
      <c r="EV78" s="2927"/>
      <c r="EW78" s="2927"/>
      <c r="EX78" s="2927"/>
      <c r="EY78" s="2927"/>
      <c r="EZ78" s="2927"/>
      <c r="FA78" s="2927"/>
      <c r="FB78" s="2927"/>
      <c r="FC78" s="2927"/>
      <c r="FD78" s="2927"/>
      <c r="FE78" s="2927"/>
      <c r="FF78" s="2927"/>
      <c r="FG78" s="2927"/>
      <c r="FH78" s="2927"/>
      <c r="FI78" s="2927"/>
      <c r="FJ78" s="2927"/>
      <c r="FK78" s="2927"/>
      <c r="FL78" s="2927"/>
      <c r="FM78" s="2927"/>
      <c r="FN78" s="2927"/>
      <c r="FO78" s="2927"/>
      <c r="FP78" s="2927"/>
      <c r="FQ78" s="2927"/>
      <c r="FR78" s="2927"/>
      <c r="FS78" s="2927"/>
      <c r="FT78" s="2927"/>
      <c r="FU78" s="2927"/>
      <c r="FV78" s="2927"/>
      <c r="FW78" s="2927"/>
      <c r="FX78" s="2927"/>
      <c r="FY78" s="2927"/>
      <c r="FZ78" s="2927"/>
      <c r="GA78" s="2927"/>
      <c r="GB78" s="2927"/>
      <c r="GC78" s="2927"/>
      <c r="GD78" s="2927"/>
      <c r="GE78" s="2927"/>
      <c r="GF78" s="2927"/>
      <c r="GG78" s="2927"/>
      <c r="GH78" s="2927"/>
      <c r="GI78" s="2927"/>
      <c r="GJ78" s="2927"/>
      <c r="GK78" s="2927"/>
      <c r="GL78" s="2927"/>
      <c r="GM78" s="2927"/>
      <c r="GN78" s="2927"/>
      <c r="GO78" s="2927"/>
      <c r="GP78" s="2927"/>
      <c r="GQ78" s="2927"/>
      <c r="GR78" s="2927"/>
      <c r="GS78" s="2927"/>
      <c r="GT78" s="2927"/>
      <c r="GU78" s="2927"/>
      <c r="GV78" s="2927"/>
      <c r="GW78" s="2927"/>
      <c r="GX78" s="2927"/>
      <c r="GY78" s="2927"/>
      <c r="GZ78" s="2927"/>
      <c r="HA78" s="2927"/>
      <c r="HB78" s="2927"/>
      <c r="HC78" s="2927"/>
      <c r="HD78" s="2927"/>
      <c r="HE78" s="2927"/>
      <c r="HF78" s="2927"/>
      <c r="HG78" s="2927"/>
      <c r="HH78" s="2927"/>
      <c r="HI78" s="2927"/>
      <c r="HJ78" s="2927"/>
      <c r="HK78" s="2927"/>
      <c r="HL78" s="2927"/>
      <c r="HM78" s="2927"/>
      <c r="HN78" s="2927"/>
      <c r="HO78" s="2927"/>
      <c r="HP78" s="2927"/>
      <c r="HQ78" s="2927"/>
      <c r="HR78" s="2927"/>
      <c r="HS78" s="2927"/>
      <c r="HT78" s="2927"/>
      <c r="HU78" s="2927"/>
      <c r="HV78" s="2927"/>
      <c r="HW78" s="2927"/>
      <c r="HX78" s="2927"/>
      <c r="HY78" s="2927"/>
      <c r="HZ78" s="2927"/>
      <c r="IA78" s="2927"/>
      <c r="IB78" s="2927"/>
      <c r="IC78" s="2927"/>
      <c r="ID78" s="2927"/>
      <c r="XEY78" s="2942"/>
    </row>
    <row r="79" s="2838" customFormat="1" ht="32" customHeight="1" spans="1:239 16379:16379">
      <c r="A79" s="2941">
        <v>45836</v>
      </c>
      <c r="B79" s="2906" t="s">
        <v>1617</v>
      </c>
      <c r="C79" s="2907" t="s">
        <v>91</v>
      </c>
      <c r="D79" s="2908">
        <v>4500171783</v>
      </c>
      <c r="E79" s="2909" t="s">
        <v>4613</v>
      </c>
      <c r="F79" s="2908" t="s">
        <v>10427</v>
      </c>
      <c r="G79" s="2930" t="s">
        <v>10199</v>
      </c>
      <c r="H79" s="2911" t="s">
        <v>9155</v>
      </c>
      <c r="I79" s="2912">
        <v>800</v>
      </c>
      <c r="J79" s="2912">
        <v>0</v>
      </c>
      <c r="K79" s="2912">
        <v>4</v>
      </c>
      <c r="L79" s="2912">
        <f t="shared" si="146"/>
        <v>200</v>
      </c>
      <c r="M79" s="2913">
        <v>45889</v>
      </c>
      <c r="N79" s="2913">
        <v>45885</v>
      </c>
      <c r="O79" s="2914"/>
      <c r="P79" s="2914" t="s">
        <v>82</v>
      </c>
      <c r="Q79" s="2914" t="s">
        <v>4615</v>
      </c>
      <c r="R79" s="2915" t="s">
        <v>390</v>
      </c>
      <c r="T79" s="2915" t="s">
        <v>98</v>
      </c>
      <c r="U79" s="2915" t="s">
        <v>9766</v>
      </c>
      <c r="V79" s="2915"/>
      <c r="W79" s="2931" t="s">
        <v>1621</v>
      </c>
      <c r="X79" s="2912" t="s">
        <v>393</v>
      </c>
      <c r="Y79" s="2917">
        <v>4.2957</v>
      </c>
      <c r="Z79" s="2918">
        <f t="shared" si="198"/>
        <v>3436.56</v>
      </c>
      <c r="AA79" s="2912" t="s">
        <v>9767</v>
      </c>
      <c r="AB79" s="2930" t="s">
        <v>10312</v>
      </c>
      <c r="AC79" s="2912" t="s">
        <v>416</v>
      </c>
      <c r="AD79" s="2839"/>
      <c r="AE79" s="2919">
        <f t="shared" si="184"/>
        <v>800</v>
      </c>
      <c r="AF79" s="2950"/>
      <c r="AG79" s="2839"/>
      <c r="AH79" s="2919"/>
      <c r="AI79" s="2919"/>
      <c r="AJ79" s="2919"/>
      <c r="AK79" s="2921">
        <f t="shared" si="177"/>
        <v>800</v>
      </c>
      <c r="AL79" s="2919"/>
      <c r="AM79" s="2921"/>
      <c r="AN79" s="2922"/>
      <c r="AO79" s="2923"/>
      <c r="AP79" s="2921"/>
      <c r="AQ79" s="2921">
        <f t="shared" si="178"/>
        <v>200</v>
      </c>
      <c r="AR79" s="2924"/>
      <c r="AS79" s="2923">
        <f t="shared" si="185"/>
        <v>200</v>
      </c>
      <c r="AT79" s="2921">
        <f t="shared" si="186"/>
        <v>200</v>
      </c>
      <c r="AU79" s="2921"/>
      <c r="AV79" s="2924">
        <f t="shared" si="187"/>
        <v>200</v>
      </c>
      <c r="AW79" s="2923"/>
      <c r="AX79" s="2921"/>
      <c r="AY79" s="2921"/>
      <c r="AZ79" s="2924"/>
      <c r="BA79" s="2923"/>
      <c r="BB79" s="2924"/>
      <c r="BC79" s="2921"/>
      <c r="BD79" s="2921">
        <f t="shared" si="143"/>
        <v>800</v>
      </c>
      <c r="BE79" s="2921"/>
      <c r="BF79" s="2921"/>
      <c r="BG79" s="2921" t="s">
        <v>9164</v>
      </c>
      <c r="BH79" s="2921"/>
      <c r="BI79" s="2921">
        <f t="shared" si="179"/>
        <v>200</v>
      </c>
      <c r="BJ79" s="2921">
        <f t="shared" si="188"/>
        <v>200</v>
      </c>
      <c r="BK79" s="2921">
        <f t="shared" si="189"/>
        <v>200</v>
      </c>
      <c r="BL79" s="2926">
        <f t="shared" si="190"/>
        <v>200</v>
      </c>
      <c r="BM79" s="2921">
        <f t="shared" si="191"/>
        <v>200</v>
      </c>
      <c r="BN79" s="2926">
        <f t="shared" si="192"/>
        <v>200</v>
      </c>
      <c r="BO79" s="2921">
        <f t="shared" si="193"/>
        <v>200</v>
      </c>
      <c r="BP79" s="2926">
        <f t="shared" si="194"/>
        <v>200</v>
      </c>
      <c r="BQ79" s="2926">
        <f t="shared" si="169"/>
        <v>238825</v>
      </c>
      <c r="BR79" s="2926">
        <f t="shared" ref="BR79:BY79" si="200">BR85-BI79</f>
        <v>14711.5</v>
      </c>
      <c r="BS79" s="2926">
        <f t="shared" si="200"/>
        <v>-3366</v>
      </c>
      <c r="BT79" s="2926">
        <f t="shared" si="200"/>
        <v>-3366</v>
      </c>
      <c r="BU79" s="2926">
        <f t="shared" si="200"/>
        <v>-3366</v>
      </c>
      <c r="BV79" s="2926">
        <f t="shared" si="200"/>
        <v>-3366</v>
      </c>
      <c r="BW79" s="2926">
        <f t="shared" si="200"/>
        <v>-3366</v>
      </c>
      <c r="BX79" s="2926">
        <f t="shared" si="200"/>
        <v>-3366</v>
      </c>
      <c r="BY79" s="2926">
        <f t="shared" si="200"/>
        <v>-3366</v>
      </c>
      <c r="BZ79" s="2912"/>
      <c r="CA79" s="2927"/>
      <c r="CB79" s="2927"/>
      <c r="CC79" s="2927"/>
      <c r="CD79" s="2927"/>
      <c r="CE79" s="2927"/>
      <c r="CF79" s="2927"/>
      <c r="CG79" s="2927"/>
      <c r="CH79" s="2927"/>
      <c r="CI79" s="2927"/>
      <c r="CJ79" s="2927"/>
      <c r="CK79" s="2927"/>
      <c r="CL79" s="2927"/>
      <c r="CM79" s="2927"/>
      <c r="CN79" s="2927"/>
      <c r="CO79" s="2927"/>
      <c r="CP79" s="2927"/>
      <c r="CQ79" s="2927"/>
      <c r="CR79" s="2927"/>
      <c r="CS79" s="2927"/>
      <c r="CT79" s="2927"/>
      <c r="CU79" s="2927"/>
      <c r="CV79" s="2927"/>
      <c r="CW79" s="2927"/>
      <c r="CX79" s="2927"/>
      <c r="CY79" s="2927"/>
      <c r="CZ79" s="2927"/>
      <c r="DA79" s="2927"/>
      <c r="DB79" s="2927"/>
      <c r="DC79" s="2927"/>
      <c r="DD79" s="2927"/>
      <c r="DE79" s="2927"/>
      <c r="DF79" s="2927"/>
      <c r="DG79" s="2927"/>
      <c r="DH79" s="2927"/>
      <c r="DI79" s="2927"/>
      <c r="DJ79" s="2927"/>
      <c r="DK79" s="2927"/>
      <c r="DL79" s="2927"/>
      <c r="DM79" s="2927"/>
      <c r="DN79" s="2927"/>
      <c r="DO79" s="2927"/>
      <c r="DP79" s="2927"/>
      <c r="DQ79" s="2927"/>
      <c r="DR79" s="2927"/>
      <c r="DS79" s="2927"/>
      <c r="DT79" s="2927"/>
      <c r="DU79" s="2927"/>
      <c r="DV79" s="2927"/>
      <c r="DW79" s="2927"/>
      <c r="DX79" s="2927"/>
      <c r="DY79" s="2927"/>
      <c r="DZ79" s="2927"/>
      <c r="EA79" s="2927"/>
      <c r="EB79" s="2927"/>
      <c r="EC79" s="2927"/>
      <c r="ED79" s="2927"/>
      <c r="EE79" s="2927"/>
      <c r="EF79" s="2927"/>
      <c r="EG79" s="2927"/>
      <c r="EH79" s="2927"/>
      <c r="EI79" s="2927"/>
      <c r="EJ79" s="2927"/>
      <c r="EK79" s="2927"/>
      <c r="EL79" s="2927"/>
      <c r="EM79" s="2927"/>
      <c r="EN79" s="2927"/>
      <c r="EO79" s="2927"/>
      <c r="EP79" s="2927"/>
      <c r="EQ79" s="2927"/>
      <c r="ER79" s="2927"/>
      <c r="ES79" s="2927"/>
      <c r="ET79" s="2927"/>
      <c r="EU79" s="2927"/>
      <c r="EV79" s="2927"/>
      <c r="EW79" s="2927"/>
      <c r="EX79" s="2927"/>
      <c r="EY79" s="2927"/>
      <c r="EZ79" s="2927"/>
      <c r="FA79" s="2927"/>
      <c r="FB79" s="2927"/>
      <c r="FC79" s="2927"/>
      <c r="FD79" s="2927"/>
      <c r="FE79" s="2927"/>
      <c r="FF79" s="2927"/>
      <c r="FG79" s="2927"/>
      <c r="FH79" s="2927"/>
      <c r="FI79" s="2927"/>
      <c r="FJ79" s="2927"/>
      <c r="FK79" s="2927"/>
      <c r="FL79" s="2927"/>
      <c r="FM79" s="2927"/>
      <c r="FN79" s="2927"/>
      <c r="FO79" s="2927"/>
      <c r="FP79" s="2927"/>
      <c r="FQ79" s="2927"/>
      <c r="FR79" s="2927"/>
      <c r="FS79" s="2927"/>
      <c r="FT79" s="2927"/>
      <c r="FU79" s="2927"/>
      <c r="FV79" s="2927"/>
      <c r="FW79" s="2927"/>
      <c r="FX79" s="2927"/>
      <c r="FY79" s="2927"/>
      <c r="FZ79" s="2927"/>
      <c r="GA79" s="2927"/>
      <c r="GB79" s="2927"/>
      <c r="GC79" s="2927"/>
      <c r="GD79" s="2927"/>
      <c r="GE79" s="2927"/>
      <c r="GF79" s="2927"/>
      <c r="GG79" s="2927"/>
      <c r="GH79" s="2927"/>
      <c r="GI79" s="2927"/>
      <c r="GJ79" s="2927"/>
      <c r="GK79" s="2927"/>
      <c r="GL79" s="2927"/>
      <c r="GM79" s="2927"/>
      <c r="GN79" s="2927"/>
      <c r="GO79" s="2927"/>
      <c r="GP79" s="2927"/>
      <c r="GQ79" s="2927"/>
      <c r="GR79" s="2927"/>
      <c r="GS79" s="2927"/>
      <c r="GT79" s="2927"/>
      <c r="GU79" s="2927"/>
      <c r="GV79" s="2927"/>
      <c r="GW79" s="2927"/>
      <c r="GX79" s="2927"/>
      <c r="GY79" s="2927"/>
      <c r="GZ79" s="2927"/>
      <c r="HA79" s="2927"/>
      <c r="HB79" s="2927"/>
      <c r="HC79" s="2927"/>
      <c r="HD79" s="2927"/>
      <c r="HE79" s="2927"/>
      <c r="HF79" s="2927"/>
      <c r="HG79" s="2927"/>
      <c r="HH79" s="2927"/>
      <c r="HI79" s="2927"/>
      <c r="HJ79" s="2927"/>
      <c r="HK79" s="2927"/>
      <c r="HL79" s="2927"/>
      <c r="HM79" s="2927"/>
      <c r="HN79" s="2927"/>
      <c r="HO79" s="2927"/>
      <c r="HP79" s="2927"/>
      <c r="HQ79" s="2927"/>
      <c r="HR79" s="2927"/>
      <c r="HS79" s="2927"/>
      <c r="HT79" s="2927"/>
      <c r="HU79" s="2927"/>
      <c r="HV79" s="2927"/>
      <c r="HW79" s="2927"/>
      <c r="HX79" s="2927"/>
      <c r="HY79" s="2927"/>
      <c r="HZ79" s="2927"/>
      <c r="IA79" s="2927"/>
      <c r="IB79" s="2927"/>
      <c r="IC79" s="2927"/>
      <c r="ID79" s="2927"/>
      <c r="XEY79" s="2942"/>
    </row>
    <row r="80" s="2838" customFormat="1" ht="32" customHeight="1" spans="1:239 16379:16379">
      <c r="A80" s="2941">
        <v>45852</v>
      </c>
      <c r="B80" s="2906" t="s">
        <v>9743</v>
      </c>
      <c r="C80" s="2907" t="s">
        <v>7318</v>
      </c>
      <c r="D80" s="2908">
        <v>4500173798</v>
      </c>
      <c r="E80" s="2909"/>
      <c r="F80" s="2908" t="s">
        <v>10428</v>
      </c>
      <c r="G80" s="2930" t="s">
        <v>10199</v>
      </c>
      <c r="H80" s="2911" t="s">
        <v>9155</v>
      </c>
      <c r="I80" s="2912">
        <v>352</v>
      </c>
      <c r="J80" s="2912">
        <v>0</v>
      </c>
      <c r="K80" s="2912">
        <v>4</v>
      </c>
      <c r="L80" s="2912">
        <f t="shared" si="146"/>
        <v>88</v>
      </c>
      <c r="M80" s="2913">
        <v>45884</v>
      </c>
      <c r="N80" s="2913">
        <v>45880</v>
      </c>
      <c r="O80" s="2914"/>
      <c r="P80" s="2914" t="s">
        <v>82</v>
      </c>
      <c r="Q80" s="2914" t="s">
        <v>1746</v>
      </c>
      <c r="R80" s="2915" t="s">
        <v>1895</v>
      </c>
      <c r="S80" s="2915"/>
      <c r="T80" s="2915" t="s">
        <v>9745</v>
      </c>
      <c r="U80" s="2915"/>
      <c r="V80" s="2915"/>
      <c r="W80" s="2931" t="s">
        <v>10429</v>
      </c>
      <c r="X80" s="2912" t="s">
        <v>9747</v>
      </c>
      <c r="Y80" s="2917">
        <v>7.1761</v>
      </c>
      <c r="Z80" s="2918">
        <f t="shared" si="198"/>
        <v>2525.9872</v>
      </c>
      <c r="AA80" s="2912"/>
      <c r="AB80" s="2930" t="s">
        <v>10312</v>
      </c>
      <c r="AC80" s="2912" t="s">
        <v>416</v>
      </c>
      <c r="AD80" s="2919"/>
      <c r="AE80" s="2919">
        <f t="shared" si="184"/>
        <v>352</v>
      </c>
      <c r="AF80" s="2946"/>
      <c r="AG80" s="2919"/>
      <c r="AH80" s="2919"/>
      <c r="AI80" s="2921"/>
      <c r="AJ80" s="2921"/>
      <c r="AK80" s="2921">
        <f t="shared" si="177"/>
        <v>352</v>
      </c>
      <c r="AL80" s="2921"/>
      <c r="AM80" s="2922"/>
      <c r="AN80" s="2922"/>
      <c r="AO80" s="2923"/>
      <c r="AP80" s="2921"/>
      <c r="AQ80" s="2921">
        <f t="shared" si="178"/>
        <v>88</v>
      </c>
      <c r="AR80" s="2924"/>
      <c r="AS80" s="2923">
        <f t="shared" si="185"/>
        <v>88</v>
      </c>
      <c r="AT80" s="2921">
        <f t="shared" si="186"/>
        <v>88</v>
      </c>
      <c r="AU80" s="2921"/>
      <c r="AV80" s="2924">
        <f t="shared" si="187"/>
        <v>88</v>
      </c>
      <c r="AW80" s="2923"/>
      <c r="AX80" s="2921"/>
      <c r="AY80" s="2921"/>
      <c r="AZ80" s="2924"/>
      <c r="BA80" s="2923"/>
      <c r="BB80" s="2924"/>
      <c r="BC80" s="2921"/>
      <c r="BD80" s="2921">
        <f t="shared" si="143"/>
        <v>352</v>
      </c>
      <c r="BE80" s="2921"/>
      <c r="BF80" s="2921"/>
      <c r="BG80" s="2921" t="s">
        <v>9164</v>
      </c>
      <c r="BH80" s="2921"/>
      <c r="BI80" s="2921">
        <f t="shared" si="179"/>
        <v>88</v>
      </c>
      <c r="BJ80" s="2921">
        <f t="shared" si="188"/>
        <v>88</v>
      </c>
      <c r="BK80" s="2921">
        <f t="shared" si="189"/>
        <v>88</v>
      </c>
      <c r="BL80" s="2926">
        <f t="shared" si="190"/>
        <v>88</v>
      </c>
      <c r="BM80" s="2921">
        <f t="shared" si="191"/>
        <v>88</v>
      </c>
      <c r="BN80" s="2926">
        <f t="shared" si="192"/>
        <v>88</v>
      </c>
      <c r="BO80" s="2921">
        <f t="shared" si="193"/>
        <v>88</v>
      </c>
      <c r="BP80" s="2926">
        <f t="shared" si="194"/>
        <v>88</v>
      </c>
      <c r="BQ80" s="2926">
        <f t="shared" si="169"/>
        <v>238377</v>
      </c>
      <c r="BR80" s="2926">
        <f t="shared" ref="BR80:BY80" si="201">BR81-BI80</f>
        <v>15097.5</v>
      </c>
      <c r="BS80" s="2926">
        <f t="shared" si="201"/>
        <v>-2980</v>
      </c>
      <c r="BT80" s="2926">
        <f t="shared" si="201"/>
        <v>-2980</v>
      </c>
      <c r="BU80" s="2926">
        <f t="shared" si="201"/>
        <v>-2980</v>
      </c>
      <c r="BV80" s="2926">
        <f t="shared" si="201"/>
        <v>-2980</v>
      </c>
      <c r="BW80" s="2926">
        <f t="shared" si="201"/>
        <v>-2980</v>
      </c>
      <c r="BX80" s="2926">
        <f t="shared" si="201"/>
        <v>-2980</v>
      </c>
      <c r="BY80" s="2926">
        <f t="shared" si="201"/>
        <v>-2980</v>
      </c>
      <c r="BZ80" s="2912"/>
      <c r="CA80" s="2927"/>
      <c r="CB80" s="2927"/>
      <c r="CC80" s="2927"/>
      <c r="CD80" s="2927"/>
      <c r="CE80" s="2927"/>
      <c r="CF80" s="2927"/>
      <c r="CG80" s="2927"/>
      <c r="CH80" s="2927"/>
      <c r="CI80" s="2927"/>
      <c r="CJ80" s="2927"/>
      <c r="CK80" s="2927"/>
      <c r="CL80" s="2927"/>
      <c r="CM80" s="2927"/>
      <c r="CN80" s="2927"/>
      <c r="CO80" s="2927"/>
      <c r="CP80" s="2927"/>
      <c r="CQ80" s="2927"/>
      <c r="CR80" s="2927"/>
      <c r="CS80" s="2927"/>
      <c r="CT80" s="2927"/>
      <c r="CU80" s="2927"/>
      <c r="CV80" s="2927"/>
      <c r="CW80" s="2927"/>
      <c r="CX80" s="2927"/>
      <c r="CY80" s="2927"/>
      <c r="CZ80" s="2927"/>
      <c r="DA80" s="2927"/>
      <c r="DB80" s="2927"/>
      <c r="DC80" s="2927"/>
      <c r="DD80" s="2927"/>
      <c r="DE80" s="2927"/>
      <c r="DF80" s="2927"/>
      <c r="DG80" s="2927"/>
      <c r="DH80" s="2927"/>
      <c r="DI80" s="2927"/>
      <c r="DJ80" s="2927"/>
      <c r="DK80" s="2927"/>
      <c r="DL80" s="2927"/>
      <c r="DM80" s="2927"/>
      <c r="DN80" s="2927"/>
      <c r="DO80" s="2927"/>
      <c r="DP80" s="2927"/>
      <c r="DQ80" s="2927"/>
      <c r="DR80" s="2927"/>
      <c r="DS80" s="2927"/>
      <c r="DT80" s="2927"/>
      <c r="DU80" s="2927"/>
      <c r="DV80" s="2927"/>
      <c r="DW80" s="2927"/>
      <c r="DX80" s="2927"/>
      <c r="DY80" s="2927"/>
      <c r="DZ80" s="2927"/>
      <c r="EA80" s="2927"/>
      <c r="EB80" s="2927"/>
      <c r="EC80" s="2927"/>
      <c r="ED80" s="2927"/>
      <c r="EE80" s="2927"/>
      <c r="EF80" s="2927"/>
      <c r="EG80" s="2927"/>
      <c r="EH80" s="2927"/>
      <c r="EI80" s="2927"/>
      <c r="EJ80" s="2927"/>
      <c r="EK80" s="2927"/>
      <c r="EL80" s="2927"/>
      <c r="EM80" s="2927"/>
      <c r="EN80" s="2927"/>
      <c r="EO80" s="2927"/>
      <c r="EP80" s="2927"/>
      <c r="EQ80" s="2927"/>
      <c r="ER80" s="2927"/>
      <c r="ES80" s="2927"/>
      <c r="ET80" s="2927"/>
      <c r="EU80" s="2927"/>
      <c r="EV80" s="2927"/>
      <c r="EW80" s="2927"/>
      <c r="EX80" s="2927"/>
      <c r="EY80" s="2927"/>
      <c r="EZ80" s="2927"/>
      <c r="FA80" s="2927"/>
      <c r="FB80" s="2927"/>
      <c r="FC80" s="2927"/>
      <c r="FD80" s="2927"/>
      <c r="FE80" s="2927"/>
      <c r="FF80" s="2927"/>
      <c r="FG80" s="2927"/>
      <c r="FH80" s="2927"/>
      <c r="FI80" s="2927"/>
      <c r="FJ80" s="2927"/>
      <c r="FK80" s="2927"/>
      <c r="FL80" s="2927"/>
      <c r="FM80" s="2927"/>
      <c r="FN80" s="2927"/>
      <c r="FO80" s="2927"/>
      <c r="FP80" s="2927"/>
      <c r="FQ80" s="2927"/>
      <c r="FR80" s="2927"/>
      <c r="FS80" s="2927"/>
      <c r="FT80" s="2927"/>
      <c r="FU80" s="2927"/>
      <c r="FV80" s="2927"/>
      <c r="FW80" s="2927"/>
      <c r="FX80" s="2927"/>
      <c r="FY80" s="2927"/>
      <c r="FZ80" s="2927"/>
      <c r="GA80" s="2927"/>
      <c r="GB80" s="2927"/>
      <c r="GC80" s="2927"/>
      <c r="GD80" s="2927"/>
      <c r="GE80" s="2927"/>
      <c r="GF80" s="2927"/>
      <c r="GG80" s="2927"/>
      <c r="GH80" s="2927"/>
      <c r="GI80" s="2927"/>
      <c r="GJ80" s="2927"/>
      <c r="GK80" s="2927"/>
      <c r="GL80" s="2927"/>
      <c r="GM80" s="2927"/>
      <c r="GN80" s="2927"/>
      <c r="GO80" s="2927"/>
      <c r="GP80" s="2927"/>
      <c r="GQ80" s="2927"/>
      <c r="GR80" s="2927"/>
      <c r="GS80" s="2927"/>
      <c r="GT80" s="2927"/>
      <c r="GU80" s="2927"/>
      <c r="GV80" s="2927"/>
      <c r="GW80" s="2927"/>
      <c r="GX80" s="2927"/>
      <c r="GY80" s="2927"/>
      <c r="GZ80" s="2927"/>
      <c r="HA80" s="2927"/>
      <c r="HB80" s="2927"/>
      <c r="HC80" s="2927"/>
      <c r="HD80" s="2927"/>
      <c r="HE80" s="2927"/>
      <c r="HF80" s="2927"/>
      <c r="HG80" s="2927"/>
      <c r="HH80" s="2927"/>
      <c r="HI80" s="2927"/>
      <c r="HJ80" s="2927"/>
      <c r="HK80" s="2927"/>
      <c r="HL80" s="2927"/>
      <c r="HM80" s="2927"/>
      <c r="HN80" s="2927"/>
      <c r="HO80" s="2927"/>
      <c r="HP80" s="2927"/>
      <c r="HQ80" s="2927"/>
      <c r="HR80" s="2927"/>
      <c r="HS80" s="2927"/>
      <c r="HT80" s="2927"/>
      <c r="HU80" s="2927"/>
      <c r="HV80" s="2927"/>
      <c r="HW80" s="2927"/>
      <c r="HX80" s="2927"/>
      <c r="HY80" s="2927"/>
      <c r="HZ80" s="2927"/>
      <c r="IA80" s="2927"/>
      <c r="IB80" s="2927"/>
      <c r="IC80" s="2927"/>
      <c r="ID80" s="2927"/>
      <c r="XEY80" s="2942"/>
    </row>
    <row r="81" s="2838" customFormat="1" ht="32" customHeight="1" spans="1:239 16379:16379">
      <c r="A81" s="2941">
        <v>45836</v>
      </c>
      <c r="B81" s="2906" t="s">
        <v>1617</v>
      </c>
      <c r="C81" s="2907" t="s">
        <v>91</v>
      </c>
      <c r="D81" s="2908">
        <v>4500171781</v>
      </c>
      <c r="E81" s="2909" t="s">
        <v>4565</v>
      </c>
      <c r="F81" s="2908" t="s">
        <v>10430</v>
      </c>
      <c r="G81" s="2930" t="s">
        <v>10199</v>
      </c>
      <c r="H81" s="2911" t="s">
        <v>9155</v>
      </c>
      <c r="I81" s="2912">
        <v>600</v>
      </c>
      <c r="J81" s="2912">
        <v>0</v>
      </c>
      <c r="K81" s="2912">
        <v>4</v>
      </c>
      <c r="L81" s="2912">
        <f t="shared" si="146"/>
        <v>150</v>
      </c>
      <c r="M81" s="2913">
        <v>45882</v>
      </c>
      <c r="N81" s="2913">
        <v>45878</v>
      </c>
      <c r="O81" s="2914"/>
      <c r="P81" s="2914" t="s">
        <v>82</v>
      </c>
      <c r="Q81" s="2914" t="s">
        <v>4567</v>
      </c>
      <c r="R81" s="2915" t="s">
        <v>390</v>
      </c>
      <c r="S81" s="2915"/>
      <c r="T81" s="2915" t="s">
        <v>98</v>
      </c>
      <c r="U81" s="2915" t="s">
        <v>9755</v>
      </c>
      <c r="V81" s="2915"/>
      <c r="W81" s="2931" t="s">
        <v>1621</v>
      </c>
      <c r="X81" s="2912" t="s">
        <v>393</v>
      </c>
      <c r="Y81" s="2917">
        <v>4.1207</v>
      </c>
      <c r="Z81" s="2918">
        <f t="shared" si="198"/>
        <v>2472.42</v>
      </c>
      <c r="AA81" s="2912" t="s">
        <v>9756</v>
      </c>
      <c r="AB81" s="2930" t="s">
        <v>10312</v>
      </c>
      <c r="AC81" s="2912" t="s">
        <v>416</v>
      </c>
      <c r="AD81" s="2919"/>
      <c r="AE81" s="2919">
        <f t="shared" si="184"/>
        <v>600</v>
      </c>
      <c r="AF81" s="2946"/>
      <c r="AG81" s="2919"/>
      <c r="AH81" s="2919"/>
      <c r="AI81" s="2921"/>
      <c r="AJ81" s="2921"/>
      <c r="AK81" s="2921">
        <f t="shared" si="177"/>
        <v>600</v>
      </c>
      <c r="AL81" s="2921"/>
      <c r="AM81" s="2922"/>
      <c r="AN81" s="2922"/>
      <c r="AO81" s="2923"/>
      <c r="AP81" s="2921"/>
      <c r="AQ81" s="2921">
        <f t="shared" si="178"/>
        <v>150</v>
      </c>
      <c r="AR81" s="2924"/>
      <c r="AS81" s="2923">
        <f t="shared" si="185"/>
        <v>150</v>
      </c>
      <c r="AT81" s="2921">
        <f t="shared" si="186"/>
        <v>150</v>
      </c>
      <c r="AU81" s="2921"/>
      <c r="AV81" s="2924">
        <f t="shared" si="187"/>
        <v>150</v>
      </c>
      <c r="AW81" s="2923"/>
      <c r="AX81" s="2921"/>
      <c r="AY81" s="2921"/>
      <c r="AZ81" s="2924"/>
      <c r="BA81" s="2923"/>
      <c r="BB81" s="2924"/>
      <c r="BC81" s="2921"/>
      <c r="BD81" s="2921">
        <f t="shared" si="143"/>
        <v>600</v>
      </c>
      <c r="BE81" s="2921"/>
      <c r="BF81" s="2921"/>
      <c r="BG81" s="2921" t="s">
        <v>9164</v>
      </c>
      <c r="BH81" s="2921"/>
      <c r="BI81" s="2921">
        <f t="shared" si="179"/>
        <v>150</v>
      </c>
      <c r="BJ81" s="2921">
        <f t="shared" si="188"/>
        <v>150</v>
      </c>
      <c r="BK81" s="2921">
        <f t="shared" si="189"/>
        <v>150</v>
      </c>
      <c r="BL81" s="2926">
        <f t="shared" si="190"/>
        <v>150</v>
      </c>
      <c r="BM81" s="2921">
        <f t="shared" si="191"/>
        <v>150</v>
      </c>
      <c r="BN81" s="2926">
        <f t="shared" si="192"/>
        <v>150</v>
      </c>
      <c r="BO81" s="2921">
        <f t="shared" si="193"/>
        <v>150</v>
      </c>
      <c r="BP81" s="2926">
        <f t="shared" si="194"/>
        <v>150</v>
      </c>
      <c r="BQ81" s="2926">
        <f t="shared" si="169"/>
        <v>238625</v>
      </c>
      <c r="BR81" s="2926">
        <f t="shared" ref="BR81:BY81" si="202">BR82-BI81</f>
        <v>15185.5</v>
      </c>
      <c r="BS81" s="2926">
        <f t="shared" si="202"/>
        <v>-2892</v>
      </c>
      <c r="BT81" s="2926">
        <f t="shared" si="202"/>
        <v>-2892</v>
      </c>
      <c r="BU81" s="2926">
        <f t="shared" si="202"/>
        <v>-2892</v>
      </c>
      <c r="BV81" s="2926">
        <f t="shared" si="202"/>
        <v>-2892</v>
      </c>
      <c r="BW81" s="2926">
        <f t="shared" si="202"/>
        <v>-2892</v>
      </c>
      <c r="BX81" s="2926">
        <f t="shared" si="202"/>
        <v>-2892</v>
      </c>
      <c r="BY81" s="2926">
        <f t="shared" si="202"/>
        <v>-2892</v>
      </c>
      <c r="BZ81" s="2912"/>
      <c r="CA81" s="2927"/>
      <c r="CB81" s="2927"/>
      <c r="CC81" s="2927"/>
      <c r="CD81" s="2927"/>
      <c r="CE81" s="2927"/>
      <c r="CF81" s="2927"/>
      <c r="CG81" s="2927"/>
      <c r="CH81" s="2927"/>
      <c r="CI81" s="2927"/>
      <c r="CJ81" s="2927"/>
      <c r="CK81" s="2927"/>
      <c r="CL81" s="2927"/>
      <c r="CM81" s="2927"/>
      <c r="CN81" s="2927"/>
      <c r="CO81" s="2927"/>
      <c r="CP81" s="2927"/>
      <c r="CQ81" s="2927"/>
      <c r="CR81" s="2927"/>
      <c r="CS81" s="2927"/>
      <c r="CT81" s="2927"/>
      <c r="CU81" s="2927"/>
      <c r="CV81" s="2927"/>
      <c r="CW81" s="2927"/>
      <c r="CX81" s="2927"/>
      <c r="CY81" s="2927"/>
      <c r="CZ81" s="2927"/>
      <c r="DA81" s="2927"/>
      <c r="DB81" s="2927"/>
      <c r="DC81" s="2927"/>
      <c r="DD81" s="2927"/>
      <c r="DE81" s="2927"/>
      <c r="DF81" s="2927"/>
      <c r="DG81" s="2927"/>
      <c r="DH81" s="2927"/>
      <c r="DI81" s="2927"/>
      <c r="DJ81" s="2927"/>
      <c r="DK81" s="2927"/>
      <c r="DL81" s="2927"/>
      <c r="DM81" s="2927"/>
      <c r="DN81" s="2927"/>
      <c r="DO81" s="2927"/>
      <c r="DP81" s="2927"/>
      <c r="DQ81" s="2927"/>
      <c r="DR81" s="2927"/>
      <c r="DS81" s="2927"/>
      <c r="DT81" s="2927"/>
      <c r="DU81" s="2927"/>
      <c r="DV81" s="2927"/>
      <c r="DW81" s="2927"/>
      <c r="DX81" s="2927"/>
      <c r="DY81" s="2927"/>
      <c r="DZ81" s="2927"/>
      <c r="EA81" s="2927"/>
      <c r="EB81" s="2927"/>
      <c r="EC81" s="2927"/>
      <c r="ED81" s="2927"/>
      <c r="EE81" s="2927"/>
      <c r="EF81" s="2927"/>
      <c r="EG81" s="2927"/>
      <c r="EH81" s="2927"/>
      <c r="EI81" s="2927"/>
      <c r="EJ81" s="2927"/>
      <c r="EK81" s="2927"/>
      <c r="EL81" s="2927"/>
      <c r="EM81" s="2927"/>
      <c r="EN81" s="2927"/>
      <c r="EO81" s="2927"/>
      <c r="EP81" s="2927"/>
      <c r="EQ81" s="2927"/>
      <c r="ER81" s="2927"/>
      <c r="ES81" s="2927"/>
      <c r="ET81" s="2927"/>
      <c r="EU81" s="2927"/>
      <c r="EV81" s="2927"/>
      <c r="EW81" s="2927"/>
      <c r="EX81" s="2927"/>
      <c r="EY81" s="2927"/>
      <c r="EZ81" s="2927"/>
      <c r="FA81" s="2927"/>
      <c r="FB81" s="2927"/>
      <c r="FC81" s="2927"/>
      <c r="FD81" s="2927"/>
      <c r="FE81" s="2927"/>
      <c r="FF81" s="2927"/>
      <c r="FG81" s="2927"/>
      <c r="FH81" s="2927"/>
      <c r="FI81" s="2927"/>
      <c r="FJ81" s="2927"/>
      <c r="FK81" s="2927"/>
      <c r="FL81" s="2927"/>
      <c r="FM81" s="2927"/>
      <c r="FN81" s="2927"/>
      <c r="FO81" s="2927"/>
      <c r="FP81" s="2927"/>
      <c r="FQ81" s="2927"/>
      <c r="FR81" s="2927"/>
      <c r="FS81" s="2927"/>
      <c r="FT81" s="2927"/>
      <c r="FU81" s="2927"/>
      <c r="FV81" s="2927"/>
      <c r="FW81" s="2927"/>
      <c r="FX81" s="2927"/>
      <c r="FY81" s="2927"/>
      <c r="FZ81" s="2927"/>
      <c r="GA81" s="2927"/>
      <c r="GB81" s="2927"/>
      <c r="GC81" s="2927"/>
      <c r="GD81" s="2927"/>
      <c r="GE81" s="2927"/>
      <c r="GF81" s="2927"/>
      <c r="GG81" s="2927"/>
      <c r="GH81" s="2927"/>
      <c r="GI81" s="2927"/>
      <c r="GJ81" s="2927"/>
      <c r="GK81" s="2927"/>
      <c r="GL81" s="2927"/>
      <c r="GM81" s="2927"/>
      <c r="GN81" s="2927"/>
      <c r="GO81" s="2927"/>
      <c r="GP81" s="2927"/>
      <c r="GQ81" s="2927"/>
      <c r="GR81" s="2927"/>
      <c r="GS81" s="2927"/>
      <c r="GT81" s="2927"/>
      <c r="GU81" s="2927"/>
      <c r="GV81" s="2927"/>
      <c r="GW81" s="2927"/>
      <c r="GX81" s="2927"/>
      <c r="GY81" s="2927"/>
      <c r="GZ81" s="2927"/>
      <c r="HA81" s="2927"/>
      <c r="HB81" s="2927"/>
      <c r="HC81" s="2927"/>
      <c r="HD81" s="2927"/>
      <c r="HE81" s="2927"/>
      <c r="HF81" s="2927"/>
      <c r="HG81" s="2927"/>
      <c r="HH81" s="2927"/>
      <c r="HI81" s="2927"/>
      <c r="HJ81" s="2927"/>
      <c r="HK81" s="2927"/>
      <c r="HL81" s="2927"/>
      <c r="HM81" s="2927"/>
      <c r="HN81" s="2927"/>
      <c r="HO81" s="2927"/>
      <c r="HP81" s="2927"/>
      <c r="HQ81" s="2927"/>
      <c r="HR81" s="2927"/>
      <c r="HS81" s="2927"/>
      <c r="HT81" s="2927"/>
      <c r="HU81" s="2927"/>
      <c r="HV81" s="2927"/>
      <c r="HW81" s="2927"/>
      <c r="HX81" s="2927"/>
      <c r="HY81" s="2927"/>
      <c r="HZ81" s="2927"/>
      <c r="IA81" s="2927"/>
      <c r="IB81" s="2927"/>
      <c r="IC81" s="2927"/>
      <c r="ID81" s="2927"/>
      <c r="XEY81" s="2942"/>
    </row>
    <row r="82" s="2838" customFormat="1" ht="32" customHeight="1" spans="1:239 16379:16379">
      <c r="A82" s="2941">
        <v>45842</v>
      </c>
      <c r="B82" s="2906" t="s">
        <v>1682</v>
      </c>
      <c r="C82" s="2907" t="s">
        <v>91</v>
      </c>
      <c r="D82" s="2908">
        <v>4500172745</v>
      </c>
      <c r="E82" s="2909" t="s">
        <v>10431</v>
      </c>
      <c r="F82" s="2908" t="s">
        <v>10432</v>
      </c>
      <c r="G82" s="2930" t="s">
        <v>10199</v>
      </c>
      <c r="H82" s="2911" t="s">
        <v>9155</v>
      </c>
      <c r="I82" s="2912">
        <v>5000</v>
      </c>
      <c r="J82" s="2912">
        <v>0</v>
      </c>
      <c r="K82" s="2912">
        <v>4</v>
      </c>
      <c r="L82" s="2912">
        <f t="shared" si="146"/>
        <v>1250</v>
      </c>
      <c r="M82" s="2913">
        <v>45881</v>
      </c>
      <c r="N82" s="2913">
        <v>45877</v>
      </c>
      <c r="O82" s="2914"/>
      <c r="P82" s="2914" t="s">
        <v>82</v>
      </c>
      <c r="Q82" s="2914" t="s">
        <v>4567</v>
      </c>
      <c r="R82" s="2915" t="s">
        <v>4559</v>
      </c>
      <c r="S82" s="2915"/>
      <c r="T82" s="2915" t="s">
        <v>10433</v>
      </c>
      <c r="U82" s="2915"/>
      <c r="V82" s="2915"/>
      <c r="W82" s="2931" t="s">
        <v>4561</v>
      </c>
      <c r="X82" s="2912" t="s">
        <v>500</v>
      </c>
      <c r="Y82" s="2917">
        <v>4.2606</v>
      </c>
      <c r="Z82" s="2918">
        <f t="shared" si="198"/>
        <v>21303</v>
      </c>
      <c r="AA82" s="2906" t="s">
        <v>10434</v>
      </c>
      <c r="AB82" s="2930" t="s">
        <v>10312</v>
      </c>
      <c r="AC82" s="2912" t="s">
        <v>416</v>
      </c>
      <c r="AD82" s="2919"/>
      <c r="AE82" s="2919">
        <f t="shared" si="184"/>
        <v>5000</v>
      </c>
      <c r="AF82" s="2949"/>
      <c r="AG82" s="2919"/>
      <c r="AH82" s="2919"/>
      <c r="AI82" s="2921"/>
      <c r="AJ82" s="2921"/>
      <c r="AK82" s="2921">
        <f t="shared" si="177"/>
        <v>5000</v>
      </c>
      <c r="AL82" s="2921"/>
      <c r="AM82" s="2922"/>
      <c r="AN82" s="2922"/>
      <c r="AO82" s="2923"/>
      <c r="AP82" s="2921"/>
      <c r="AQ82" s="2921">
        <f t="shared" si="178"/>
        <v>1250</v>
      </c>
      <c r="AR82" s="2924"/>
      <c r="AS82" s="2923">
        <f t="shared" si="185"/>
        <v>1250</v>
      </c>
      <c r="AT82" s="2921">
        <f t="shared" si="186"/>
        <v>1250</v>
      </c>
      <c r="AU82" s="2921"/>
      <c r="AV82" s="2924">
        <f t="shared" si="187"/>
        <v>1250</v>
      </c>
      <c r="AW82" s="2923"/>
      <c r="AX82" s="2921"/>
      <c r="AY82" s="2921"/>
      <c r="AZ82" s="2924"/>
      <c r="BA82" s="2923"/>
      <c r="BB82" s="2924"/>
      <c r="BC82" s="2921"/>
      <c r="BD82" s="2921">
        <f t="shared" si="143"/>
        <v>5000</v>
      </c>
      <c r="BE82" s="2921"/>
      <c r="BF82" s="2921"/>
      <c r="BG82" s="2921" t="s">
        <v>9164</v>
      </c>
      <c r="BH82" s="2921"/>
      <c r="BI82" s="2921">
        <f t="shared" si="179"/>
        <v>1250</v>
      </c>
      <c r="BJ82" s="2921">
        <f t="shared" si="188"/>
        <v>1250</v>
      </c>
      <c r="BK82" s="2921">
        <f t="shared" si="189"/>
        <v>1250</v>
      </c>
      <c r="BL82" s="2926">
        <f t="shared" si="190"/>
        <v>1250</v>
      </c>
      <c r="BM82" s="2921">
        <f t="shared" si="191"/>
        <v>1250</v>
      </c>
      <c r="BN82" s="2926">
        <f t="shared" si="192"/>
        <v>1250</v>
      </c>
      <c r="BO82" s="2921">
        <f t="shared" si="193"/>
        <v>1250</v>
      </c>
      <c r="BP82" s="2926">
        <f t="shared" si="194"/>
        <v>1250</v>
      </c>
      <c r="BQ82" s="2926">
        <f t="shared" si="169"/>
        <v>243025</v>
      </c>
      <c r="BR82" s="2926">
        <f t="shared" ref="BR82:BY82" si="203">BR78-BI82</f>
        <v>15335.5</v>
      </c>
      <c r="BS82" s="2926">
        <f t="shared" si="203"/>
        <v>-2742</v>
      </c>
      <c r="BT82" s="2926">
        <f t="shared" si="203"/>
        <v>-2742</v>
      </c>
      <c r="BU82" s="2926">
        <f t="shared" si="203"/>
        <v>-2742</v>
      </c>
      <c r="BV82" s="2926">
        <f t="shared" si="203"/>
        <v>-2742</v>
      </c>
      <c r="BW82" s="2926">
        <f t="shared" si="203"/>
        <v>-2742</v>
      </c>
      <c r="BX82" s="2926">
        <f t="shared" si="203"/>
        <v>-2742</v>
      </c>
      <c r="BY82" s="2926">
        <f t="shared" si="203"/>
        <v>-2742</v>
      </c>
      <c r="BZ82" s="2912"/>
      <c r="CA82" s="2927"/>
      <c r="CB82" s="2927"/>
      <c r="CC82" s="2927"/>
      <c r="CD82" s="2927"/>
      <c r="CE82" s="2927"/>
      <c r="CF82" s="2927"/>
      <c r="CG82" s="2927"/>
      <c r="CH82" s="2927"/>
      <c r="CI82" s="2927"/>
      <c r="CJ82" s="2927"/>
      <c r="CK82" s="2927"/>
      <c r="CL82" s="2927"/>
      <c r="CM82" s="2927"/>
      <c r="CN82" s="2927"/>
      <c r="CO82" s="2927"/>
      <c r="CP82" s="2927"/>
      <c r="CQ82" s="2927"/>
      <c r="CR82" s="2927"/>
      <c r="CS82" s="2927"/>
      <c r="CT82" s="2927"/>
      <c r="CU82" s="2927"/>
      <c r="CV82" s="2927"/>
      <c r="CW82" s="2927"/>
      <c r="CX82" s="2927"/>
      <c r="CY82" s="2927"/>
      <c r="CZ82" s="2927"/>
      <c r="DA82" s="2927"/>
      <c r="DB82" s="2927"/>
      <c r="DC82" s="2927"/>
      <c r="DD82" s="2927"/>
      <c r="DE82" s="2927"/>
      <c r="DF82" s="2927"/>
      <c r="DG82" s="2927"/>
      <c r="DH82" s="2927"/>
      <c r="DI82" s="2927"/>
      <c r="DJ82" s="2927"/>
      <c r="DK82" s="2927"/>
      <c r="DL82" s="2927"/>
      <c r="DM82" s="2927"/>
      <c r="DN82" s="2927"/>
      <c r="DO82" s="2927"/>
      <c r="DP82" s="2927"/>
      <c r="DQ82" s="2927"/>
      <c r="DR82" s="2927"/>
      <c r="DS82" s="2927"/>
      <c r="DT82" s="2927"/>
      <c r="DU82" s="2927"/>
      <c r="DV82" s="2927"/>
      <c r="DW82" s="2927"/>
      <c r="DX82" s="2927"/>
      <c r="DY82" s="2927"/>
      <c r="DZ82" s="2927"/>
      <c r="EA82" s="2927"/>
      <c r="EB82" s="2927"/>
      <c r="EC82" s="2927"/>
      <c r="ED82" s="2927"/>
      <c r="EE82" s="2927"/>
      <c r="EF82" s="2927"/>
      <c r="EG82" s="2927"/>
      <c r="EH82" s="2927"/>
      <c r="EI82" s="2927"/>
      <c r="EJ82" s="2927"/>
      <c r="EK82" s="2927"/>
      <c r="EL82" s="2927"/>
      <c r="EM82" s="2927"/>
      <c r="EN82" s="2927"/>
      <c r="EO82" s="2927"/>
      <c r="EP82" s="2927"/>
      <c r="EQ82" s="2927"/>
      <c r="ER82" s="2927"/>
      <c r="ES82" s="2927"/>
      <c r="ET82" s="2927"/>
      <c r="EU82" s="2927"/>
      <c r="EV82" s="2927"/>
      <c r="EW82" s="2927"/>
      <c r="EX82" s="2927"/>
      <c r="EY82" s="2927"/>
      <c r="EZ82" s="2927"/>
      <c r="FA82" s="2927"/>
      <c r="FB82" s="2927"/>
      <c r="FC82" s="2927"/>
      <c r="FD82" s="2927"/>
      <c r="FE82" s="2927"/>
      <c r="FF82" s="2927"/>
      <c r="FG82" s="2927"/>
      <c r="FH82" s="2927"/>
      <c r="FI82" s="2927"/>
      <c r="FJ82" s="2927"/>
      <c r="FK82" s="2927"/>
      <c r="FL82" s="2927"/>
      <c r="FM82" s="2927"/>
      <c r="FN82" s="2927"/>
      <c r="FO82" s="2927"/>
      <c r="FP82" s="2927"/>
      <c r="FQ82" s="2927"/>
      <c r="FR82" s="2927"/>
      <c r="FS82" s="2927"/>
      <c r="FT82" s="2927"/>
      <c r="FU82" s="2927"/>
      <c r="FV82" s="2927"/>
      <c r="FW82" s="2927"/>
      <c r="FX82" s="2927"/>
      <c r="FY82" s="2927"/>
      <c r="FZ82" s="2927"/>
      <c r="GA82" s="2927"/>
      <c r="GB82" s="2927"/>
      <c r="GC82" s="2927"/>
      <c r="GD82" s="2927"/>
      <c r="GE82" s="2927"/>
      <c r="GF82" s="2927"/>
      <c r="GG82" s="2927"/>
      <c r="GH82" s="2927"/>
      <c r="GI82" s="2927"/>
      <c r="GJ82" s="2927"/>
      <c r="GK82" s="2927"/>
      <c r="GL82" s="2927"/>
      <c r="GM82" s="2927"/>
      <c r="GN82" s="2927"/>
      <c r="GO82" s="2927"/>
      <c r="GP82" s="2927"/>
      <c r="GQ82" s="2927"/>
      <c r="GR82" s="2927"/>
      <c r="GS82" s="2927"/>
      <c r="GT82" s="2927"/>
      <c r="GU82" s="2927"/>
      <c r="GV82" s="2927"/>
      <c r="GW82" s="2927"/>
      <c r="GX82" s="2927"/>
      <c r="GY82" s="2927"/>
      <c r="GZ82" s="2927"/>
      <c r="HA82" s="2927"/>
      <c r="HB82" s="2927"/>
      <c r="HC82" s="2927"/>
      <c r="HD82" s="2927"/>
      <c r="HE82" s="2927"/>
      <c r="HF82" s="2927"/>
      <c r="HG82" s="2927"/>
      <c r="HH82" s="2927"/>
      <c r="HI82" s="2927"/>
      <c r="HJ82" s="2927"/>
      <c r="HK82" s="2927"/>
      <c r="HL82" s="2927"/>
      <c r="HM82" s="2927"/>
      <c r="HN82" s="2927"/>
      <c r="HO82" s="2927"/>
      <c r="HP82" s="2927"/>
      <c r="HQ82" s="2927"/>
      <c r="HR82" s="2927"/>
      <c r="HS82" s="2927"/>
      <c r="HT82" s="2927"/>
      <c r="HU82" s="2927"/>
      <c r="HV82" s="2927"/>
      <c r="HW82" s="2927"/>
      <c r="HX82" s="2927"/>
      <c r="HY82" s="2927"/>
      <c r="HZ82" s="2927"/>
      <c r="IA82" s="2927"/>
      <c r="IB82" s="2927"/>
      <c r="IC82" s="2927"/>
      <c r="ID82" s="2927"/>
      <c r="XEY82" s="2942"/>
    </row>
    <row r="83" s="2838" customFormat="1" ht="32" customHeight="1" spans="1:239 16379:16379">
      <c r="A83" s="2941">
        <v>45853</v>
      </c>
      <c r="B83" s="2906" t="s">
        <v>4674</v>
      </c>
      <c r="C83" s="2907" t="s">
        <v>1385</v>
      </c>
      <c r="D83" s="2908">
        <v>4500173241</v>
      </c>
      <c r="E83" s="2909" t="s">
        <v>4675</v>
      </c>
      <c r="F83" s="2908" t="s">
        <v>10435</v>
      </c>
      <c r="G83" s="2930" t="s">
        <v>10199</v>
      </c>
      <c r="H83" s="2911" t="s">
        <v>9155</v>
      </c>
      <c r="I83" s="2912">
        <v>52</v>
      </c>
      <c r="J83" s="2912">
        <v>0</v>
      </c>
      <c r="K83" s="2912">
        <v>4</v>
      </c>
      <c r="L83" s="2912">
        <f t="shared" si="146"/>
        <v>13</v>
      </c>
      <c r="M83" s="2913">
        <v>45894</v>
      </c>
      <c r="N83" s="2913">
        <v>45890</v>
      </c>
      <c r="O83" s="2914"/>
      <c r="P83" s="2914" t="s">
        <v>82</v>
      </c>
      <c r="Q83" s="2914"/>
      <c r="R83" s="2915" t="s">
        <v>1936</v>
      </c>
      <c r="S83" s="2915"/>
      <c r="T83" s="2915" t="s">
        <v>98</v>
      </c>
      <c r="U83" s="2915"/>
      <c r="V83" s="2915"/>
      <c r="W83" s="2931" t="s">
        <v>2140</v>
      </c>
      <c r="X83" s="2912" t="s">
        <v>1434</v>
      </c>
      <c r="Y83" s="2917">
        <v>7.1761</v>
      </c>
      <c r="Z83" s="2918">
        <f t="shared" si="198"/>
        <v>373.1572</v>
      </c>
      <c r="AA83" s="2912"/>
      <c r="AB83" s="2930" t="s">
        <v>10312</v>
      </c>
      <c r="AC83" s="2912" t="s">
        <v>416</v>
      </c>
      <c r="AD83" s="2919"/>
      <c r="AE83" s="2919">
        <f t="shared" si="184"/>
        <v>52</v>
      </c>
      <c r="AF83" s="2949"/>
      <c r="AG83" s="2919"/>
      <c r="AH83" s="2919"/>
      <c r="AI83" s="2921"/>
      <c r="AJ83" s="2921"/>
      <c r="AK83" s="2921">
        <f t="shared" si="177"/>
        <v>52</v>
      </c>
      <c r="AL83" s="2921"/>
      <c r="AM83" s="2922"/>
      <c r="AN83" s="2922"/>
      <c r="AO83" s="2923"/>
      <c r="AP83" s="2921"/>
      <c r="AQ83" s="2921">
        <f t="shared" si="178"/>
        <v>13</v>
      </c>
      <c r="AR83" s="2924"/>
      <c r="AS83" s="2923">
        <f t="shared" si="185"/>
        <v>13</v>
      </c>
      <c r="AT83" s="2921">
        <f t="shared" si="186"/>
        <v>13</v>
      </c>
      <c r="AU83" s="2921"/>
      <c r="AV83" s="2924">
        <f t="shared" si="187"/>
        <v>13</v>
      </c>
      <c r="AW83" s="2923"/>
      <c r="AX83" s="2921"/>
      <c r="AY83" s="2921"/>
      <c r="AZ83" s="2924"/>
      <c r="BA83" s="2923"/>
      <c r="BB83" s="2924"/>
      <c r="BC83" s="2921"/>
      <c r="BD83" s="2921">
        <f t="shared" si="143"/>
        <v>52</v>
      </c>
      <c r="BE83" s="2921"/>
      <c r="BF83" s="2921"/>
      <c r="BG83" s="2921" t="s">
        <v>9164</v>
      </c>
      <c r="BH83" s="2921"/>
      <c r="BI83" s="2921">
        <f t="shared" si="179"/>
        <v>13</v>
      </c>
      <c r="BJ83" s="2921">
        <f t="shared" si="188"/>
        <v>13</v>
      </c>
      <c r="BK83" s="2921">
        <f t="shared" si="189"/>
        <v>13</v>
      </c>
      <c r="BL83" s="2926">
        <f t="shared" si="190"/>
        <v>13</v>
      </c>
      <c r="BM83" s="2921">
        <f t="shared" si="191"/>
        <v>13</v>
      </c>
      <c r="BN83" s="2926">
        <f t="shared" si="192"/>
        <v>13</v>
      </c>
      <c r="BO83" s="2921">
        <f t="shared" si="193"/>
        <v>13</v>
      </c>
      <c r="BP83" s="2926">
        <f t="shared" si="194"/>
        <v>13</v>
      </c>
      <c r="BQ83" s="2926">
        <f t="shared" si="169"/>
        <v>238077</v>
      </c>
      <c r="BR83" s="2926">
        <f t="shared" ref="BR83:BY83" si="204">BR79-BI83</f>
        <v>14698.5</v>
      </c>
      <c r="BS83" s="2926">
        <f t="shared" si="204"/>
        <v>-3379</v>
      </c>
      <c r="BT83" s="2926">
        <f t="shared" si="204"/>
        <v>-3379</v>
      </c>
      <c r="BU83" s="2926">
        <f t="shared" si="204"/>
        <v>-3379</v>
      </c>
      <c r="BV83" s="2926">
        <f t="shared" si="204"/>
        <v>-3379</v>
      </c>
      <c r="BW83" s="2926">
        <f t="shared" si="204"/>
        <v>-3379</v>
      </c>
      <c r="BX83" s="2926">
        <f t="shared" si="204"/>
        <v>-3379</v>
      </c>
      <c r="BY83" s="2926">
        <f t="shared" si="204"/>
        <v>-3379</v>
      </c>
      <c r="BZ83" s="2912"/>
      <c r="CA83" s="2927"/>
      <c r="CB83" s="2927"/>
      <c r="CC83" s="2927"/>
      <c r="CD83" s="2927"/>
      <c r="CE83" s="2927"/>
      <c r="CF83" s="2927"/>
      <c r="CG83" s="2927"/>
      <c r="CH83" s="2927"/>
      <c r="CI83" s="2927"/>
      <c r="CJ83" s="2927"/>
      <c r="CK83" s="2927"/>
      <c r="CL83" s="2927"/>
      <c r="CM83" s="2927"/>
      <c r="CN83" s="2927"/>
      <c r="CO83" s="2927"/>
      <c r="CP83" s="2927"/>
      <c r="CQ83" s="2927"/>
      <c r="CR83" s="2927"/>
      <c r="CS83" s="2927"/>
      <c r="CT83" s="2927"/>
      <c r="CU83" s="2927"/>
      <c r="CV83" s="2927"/>
      <c r="CW83" s="2927"/>
      <c r="CX83" s="2927"/>
      <c r="CY83" s="2927"/>
      <c r="CZ83" s="2927"/>
      <c r="DA83" s="2927"/>
      <c r="DB83" s="2927"/>
      <c r="DC83" s="2927"/>
      <c r="DD83" s="2927"/>
      <c r="DE83" s="2927"/>
      <c r="DF83" s="2927"/>
      <c r="DG83" s="2927"/>
      <c r="DH83" s="2927"/>
      <c r="DI83" s="2927"/>
      <c r="DJ83" s="2927"/>
      <c r="DK83" s="2927"/>
      <c r="DL83" s="2927"/>
      <c r="DM83" s="2927"/>
      <c r="DN83" s="2927"/>
      <c r="DO83" s="2927"/>
      <c r="DP83" s="2927"/>
      <c r="DQ83" s="2927"/>
      <c r="DR83" s="2927"/>
      <c r="DS83" s="2927"/>
      <c r="DT83" s="2927"/>
      <c r="DU83" s="2927"/>
      <c r="DV83" s="2927"/>
      <c r="DW83" s="2927"/>
      <c r="DX83" s="2927"/>
      <c r="DY83" s="2927"/>
      <c r="DZ83" s="2927"/>
      <c r="EA83" s="2927"/>
      <c r="EB83" s="2927"/>
      <c r="EC83" s="2927"/>
      <c r="ED83" s="2927"/>
      <c r="EE83" s="2927"/>
      <c r="EF83" s="2927"/>
      <c r="EG83" s="2927"/>
      <c r="EH83" s="2927"/>
      <c r="EI83" s="2927"/>
      <c r="EJ83" s="2927"/>
      <c r="EK83" s="2927"/>
      <c r="EL83" s="2927"/>
      <c r="EM83" s="2927"/>
      <c r="EN83" s="2927"/>
      <c r="EO83" s="2927"/>
      <c r="EP83" s="2927"/>
      <c r="EQ83" s="2927"/>
      <c r="ER83" s="2927"/>
      <c r="ES83" s="2927"/>
      <c r="ET83" s="2927"/>
      <c r="EU83" s="2927"/>
      <c r="EV83" s="2927"/>
      <c r="EW83" s="2927"/>
      <c r="EX83" s="2927"/>
      <c r="EY83" s="2927"/>
      <c r="EZ83" s="2927"/>
      <c r="FA83" s="2927"/>
      <c r="FB83" s="2927"/>
      <c r="FC83" s="2927"/>
      <c r="FD83" s="2927"/>
      <c r="FE83" s="2927"/>
      <c r="FF83" s="2927"/>
      <c r="FG83" s="2927"/>
      <c r="FH83" s="2927"/>
      <c r="FI83" s="2927"/>
      <c r="FJ83" s="2927"/>
      <c r="FK83" s="2927"/>
      <c r="FL83" s="2927"/>
      <c r="FM83" s="2927"/>
      <c r="FN83" s="2927"/>
      <c r="FO83" s="2927"/>
      <c r="FP83" s="2927"/>
      <c r="FQ83" s="2927"/>
      <c r="FR83" s="2927"/>
      <c r="FS83" s="2927"/>
      <c r="FT83" s="2927"/>
      <c r="FU83" s="2927"/>
      <c r="FV83" s="2927"/>
      <c r="FW83" s="2927"/>
      <c r="FX83" s="2927"/>
      <c r="FY83" s="2927"/>
      <c r="FZ83" s="2927"/>
      <c r="GA83" s="2927"/>
      <c r="GB83" s="2927"/>
      <c r="GC83" s="2927"/>
      <c r="GD83" s="2927"/>
      <c r="GE83" s="2927"/>
      <c r="GF83" s="2927"/>
      <c r="GG83" s="2927"/>
      <c r="GH83" s="2927"/>
      <c r="GI83" s="2927"/>
      <c r="GJ83" s="2927"/>
      <c r="GK83" s="2927"/>
      <c r="GL83" s="2927"/>
      <c r="GM83" s="2927"/>
      <c r="GN83" s="2927"/>
      <c r="GO83" s="2927"/>
      <c r="GP83" s="2927"/>
      <c r="GQ83" s="2927"/>
      <c r="GR83" s="2927"/>
      <c r="GS83" s="2927"/>
      <c r="GT83" s="2927"/>
      <c r="GU83" s="2927"/>
      <c r="GV83" s="2927"/>
      <c r="GW83" s="2927"/>
      <c r="GX83" s="2927"/>
      <c r="GY83" s="2927"/>
      <c r="GZ83" s="2927"/>
      <c r="HA83" s="2927"/>
      <c r="HB83" s="2927"/>
      <c r="HC83" s="2927"/>
      <c r="HD83" s="2927"/>
      <c r="HE83" s="2927"/>
      <c r="HF83" s="2927"/>
      <c r="HG83" s="2927"/>
      <c r="HH83" s="2927"/>
      <c r="HI83" s="2927"/>
      <c r="HJ83" s="2927"/>
      <c r="HK83" s="2927"/>
      <c r="HL83" s="2927"/>
      <c r="HM83" s="2927"/>
      <c r="HN83" s="2927"/>
      <c r="HO83" s="2927"/>
      <c r="HP83" s="2927"/>
      <c r="HQ83" s="2927"/>
      <c r="HR83" s="2927"/>
      <c r="HS83" s="2927"/>
      <c r="HT83" s="2927"/>
      <c r="HU83" s="2927"/>
      <c r="HV83" s="2927"/>
      <c r="HW83" s="2927"/>
      <c r="HX83" s="2927"/>
      <c r="HY83" s="2927"/>
      <c r="HZ83" s="2927"/>
      <c r="IA83" s="2927"/>
      <c r="IB83" s="2927"/>
      <c r="IC83" s="2927"/>
      <c r="ID83" s="2927"/>
      <c r="XEY83" s="2942"/>
    </row>
    <row r="84" s="2838" customFormat="1" ht="32" customHeight="1" spans="1:239 16379:16379">
      <c r="A84" s="2941">
        <v>45856</v>
      </c>
      <c r="B84" s="2906" t="s">
        <v>2285</v>
      </c>
      <c r="C84" s="2907" t="s">
        <v>351</v>
      </c>
      <c r="D84" s="2908">
        <v>4500173295</v>
      </c>
      <c r="E84" s="2909" t="s">
        <v>10436</v>
      </c>
      <c r="F84" s="2908" t="s">
        <v>10437</v>
      </c>
      <c r="G84" s="2930" t="s">
        <v>10199</v>
      </c>
      <c r="H84" s="2911" t="s">
        <v>9155</v>
      </c>
      <c r="I84" s="2912">
        <v>560</v>
      </c>
      <c r="J84" s="2912">
        <v>0</v>
      </c>
      <c r="K84" s="2912">
        <v>4</v>
      </c>
      <c r="L84" s="2912">
        <f t="shared" si="146"/>
        <v>140</v>
      </c>
      <c r="M84" s="2913">
        <v>45887</v>
      </c>
      <c r="N84" s="2913">
        <v>45883</v>
      </c>
      <c r="O84" s="2914"/>
      <c r="P84" s="2914" t="s">
        <v>82</v>
      </c>
      <c r="Q84" s="2914" t="s">
        <v>222</v>
      </c>
      <c r="R84" s="2914" t="s">
        <v>10438</v>
      </c>
      <c r="S84" s="2915"/>
      <c r="T84" s="2914" t="s">
        <v>10438</v>
      </c>
      <c r="U84" s="2915"/>
      <c r="V84" s="2915"/>
      <c r="W84" s="2931" t="s">
        <v>10439</v>
      </c>
      <c r="X84" s="2912" t="s">
        <v>1199</v>
      </c>
      <c r="Y84" s="2917">
        <v>7.1595</v>
      </c>
      <c r="Z84" s="2918">
        <f t="shared" si="198"/>
        <v>4009.32</v>
      </c>
      <c r="AA84" s="2912" t="s">
        <v>9753</v>
      </c>
      <c r="AB84" s="2930" t="s">
        <v>10312</v>
      </c>
      <c r="AC84" s="2912" t="s">
        <v>416</v>
      </c>
      <c r="AD84" s="2919"/>
      <c r="AE84" s="2919">
        <f t="shared" si="184"/>
        <v>560</v>
      </c>
      <c r="AF84" s="2946"/>
      <c r="AG84" s="2919"/>
      <c r="AH84" s="2919"/>
      <c r="AI84" s="2921"/>
      <c r="AJ84" s="2921"/>
      <c r="AK84" s="2921">
        <f t="shared" si="177"/>
        <v>560</v>
      </c>
      <c r="AL84" s="2921"/>
      <c r="AM84" s="2922"/>
      <c r="AN84" s="2922"/>
      <c r="AO84" s="2923"/>
      <c r="AP84" s="2921"/>
      <c r="AQ84" s="2921">
        <f t="shared" si="178"/>
        <v>140</v>
      </c>
      <c r="AR84" s="2924"/>
      <c r="AS84" s="2923">
        <f t="shared" si="185"/>
        <v>140</v>
      </c>
      <c r="AT84" s="2921">
        <f t="shared" si="186"/>
        <v>140</v>
      </c>
      <c r="AU84" s="2921"/>
      <c r="AV84" s="2924">
        <f t="shared" si="187"/>
        <v>140</v>
      </c>
      <c r="AW84" s="2923"/>
      <c r="AX84" s="2921"/>
      <c r="AY84" s="2921"/>
      <c r="AZ84" s="2924"/>
      <c r="BA84" s="2923"/>
      <c r="BB84" s="2924"/>
      <c r="BC84" s="2921"/>
      <c r="BD84" s="2921">
        <f t="shared" si="143"/>
        <v>560</v>
      </c>
      <c r="BE84" s="2921"/>
      <c r="BF84" s="2921"/>
      <c r="BG84" s="2921" t="s">
        <v>9164</v>
      </c>
      <c r="BH84" s="2921"/>
      <c r="BI84" s="2921">
        <f t="shared" si="179"/>
        <v>140</v>
      </c>
      <c r="BJ84" s="2921">
        <f t="shared" si="188"/>
        <v>140</v>
      </c>
      <c r="BK84" s="2921">
        <f t="shared" si="189"/>
        <v>140</v>
      </c>
      <c r="BL84" s="2926">
        <f t="shared" si="190"/>
        <v>140</v>
      </c>
      <c r="BM84" s="2921">
        <f t="shared" si="191"/>
        <v>140</v>
      </c>
      <c r="BN84" s="2926">
        <f t="shared" si="192"/>
        <v>140</v>
      </c>
      <c r="BO84" s="2921">
        <f t="shared" si="193"/>
        <v>140</v>
      </c>
      <c r="BP84" s="2926">
        <f t="shared" si="194"/>
        <v>140</v>
      </c>
      <c r="BQ84" s="2926">
        <f t="shared" si="169"/>
        <v>238585</v>
      </c>
      <c r="BR84" s="2926">
        <f t="shared" ref="BR84:BY84" si="205">BR80-BI84</f>
        <v>14957.5</v>
      </c>
      <c r="BS84" s="2926">
        <f t="shared" si="205"/>
        <v>-3120</v>
      </c>
      <c r="BT84" s="2926">
        <f t="shared" si="205"/>
        <v>-3120</v>
      </c>
      <c r="BU84" s="2926">
        <f t="shared" si="205"/>
        <v>-3120</v>
      </c>
      <c r="BV84" s="2926">
        <f t="shared" si="205"/>
        <v>-3120</v>
      </c>
      <c r="BW84" s="2926">
        <f t="shared" si="205"/>
        <v>-3120</v>
      </c>
      <c r="BX84" s="2926">
        <f t="shared" si="205"/>
        <v>-3120</v>
      </c>
      <c r="BY84" s="2926">
        <f t="shared" si="205"/>
        <v>-3120</v>
      </c>
      <c r="BZ84" s="2912"/>
      <c r="CA84" s="2927"/>
      <c r="CB84" s="2927"/>
      <c r="CC84" s="2927"/>
      <c r="CD84" s="2927"/>
      <c r="CE84" s="2927"/>
      <c r="CF84" s="2927"/>
      <c r="CG84" s="2927"/>
      <c r="CH84" s="2927"/>
      <c r="CI84" s="2927"/>
      <c r="CJ84" s="2927"/>
      <c r="CK84" s="2927"/>
      <c r="CL84" s="2927"/>
      <c r="CM84" s="2927"/>
      <c r="CN84" s="2927"/>
      <c r="CO84" s="2927"/>
      <c r="CP84" s="2927"/>
      <c r="CQ84" s="2927"/>
      <c r="CR84" s="2927"/>
      <c r="CS84" s="2927"/>
      <c r="CT84" s="2927"/>
      <c r="CU84" s="2927"/>
      <c r="CV84" s="2927"/>
      <c r="CW84" s="2927"/>
      <c r="CX84" s="2927"/>
      <c r="CY84" s="2927"/>
      <c r="CZ84" s="2927"/>
      <c r="DA84" s="2927"/>
      <c r="DB84" s="2927"/>
      <c r="DC84" s="2927"/>
      <c r="DD84" s="2927"/>
      <c r="DE84" s="2927"/>
      <c r="DF84" s="2927"/>
      <c r="DG84" s="2927"/>
      <c r="DH84" s="2927"/>
      <c r="DI84" s="2927"/>
      <c r="DJ84" s="2927"/>
      <c r="DK84" s="2927"/>
      <c r="DL84" s="2927"/>
      <c r="DM84" s="2927"/>
      <c r="DN84" s="2927"/>
      <c r="DO84" s="2927"/>
      <c r="DP84" s="2927"/>
      <c r="DQ84" s="2927"/>
      <c r="DR84" s="2927"/>
      <c r="DS84" s="2927"/>
      <c r="DT84" s="2927"/>
      <c r="DU84" s="2927"/>
      <c r="DV84" s="2927"/>
      <c r="DW84" s="2927"/>
      <c r="DX84" s="2927"/>
      <c r="DY84" s="2927"/>
      <c r="DZ84" s="2927"/>
      <c r="EA84" s="2927"/>
      <c r="EB84" s="2927"/>
      <c r="EC84" s="2927"/>
      <c r="ED84" s="2927"/>
      <c r="EE84" s="2927"/>
      <c r="EF84" s="2927"/>
      <c r="EG84" s="2927"/>
      <c r="EH84" s="2927"/>
      <c r="EI84" s="2927"/>
      <c r="EJ84" s="2927"/>
      <c r="EK84" s="2927"/>
      <c r="EL84" s="2927"/>
      <c r="EM84" s="2927"/>
      <c r="EN84" s="2927"/>
      <c r="EO84" s="2927"/>
      <c r="EP84" s="2927"/>
      <c r="EQ84" s="2927"/>
      <c r="ER84" s="2927"/>
      <c r="ES84" s="2927"/>
      <c r="ET84" s="2927"/>
      <c r="EU84" s="2927"/>
      <c r="EV84" s="2927"/>
      <c r="EW84" s="2927"/>
      <c r="EX84" s="2927"/>
      <c r="EY84" s="2927"/>
      <c r="EZ84" s="2927"/>
      <c r="FA84" s="2927"/>
      <c r="FB84" s="2927"/>
      <c r="FC84" s="2927"/>
      <c r="FD84" s="2927"/>
      <c r="FE84" s="2927"/>
      <c r="FF84" s="2927"/>
      <c r="FG84" s="2927"/>
      <c r="FH84" s="2927"/>
      <c r="FI84" s="2927"/>
      <c r="FJ84" s="2927"/>
      <c r="FK84" s="2927"/>
      <c r="FL84" s="2927"/>
      <c r="FM84" s="2927"/>
      <c r="FN84" s="2927"/>
      <c r="FO84" s="2927"/>
      <c r="FP84" s="2927"/>
      <c r="FQ84" s="2927"/>
      <c r="FR84" s="2927"/>
      <c r="FS84" s="2927"/>
      <c r="FT84" s="2927"/>
      <c r="FU84" s="2927"/>
      <c r="FV84" s="2927"/>
      <c r="FW84" s="2927"/>
      <c r="FX84" s="2927"/>
      <c r="FY84" s="2927"/>
      <c r="FZ84" s="2927"/>
      <c r="GA84" s="2927"/>
      <c r="GB84" s="2927"/>
      <c r="GC84" s="2927"/>
      <c r="GD84" s="2927"/>
      <c r="GE84" s="2927"/>
      <c r="GF84" s="2927"/>
      <c r="GG84" s="2927"/>
      <c r="GH84" s="2927"/>
      <c r="GI84" s="2927"/>
      <c r="GJ84" s="2927"/>
      <c r="GK84" s="2927"/>
      <c r="GL84" s="2927"/>
      <c r="GM84" s="2927"/>
      <c r="GN84" s="2927"/>
      <c r="GO84" s="2927"/>
      <c r="GP84" s="2927"/>
      <c r="GQ84" s="2927"/>
      <c r="GR84" s="2927"/>
      <c r="GS84" s="2927"/>
      <c r="GT84" s="2927"/>
      <c r="GU84" s="2927"/>
      <c r="GV84" s="2927"/>
      <c r="GW84" s="2927"/>
      <c r="GX84" s="2927"/>
      <c r="GY84" s="2927"/>
      <c r="GZ84" s="2927"/>
      <c r="HA84" s="2927"/>
      <c r="HB84" s="2927"/>
      <c r="HC84" s="2927"/>
      <c r="HD84" s="2927"/>
      <c r="HE84" s="2927"/>
      <c r="HF84" s="2927"/>
      <c r="HG84" s="2927"/>
      <c r="HH84" s="2927"/>
      <c r="HI84" s="2927"/>
      <c r="HJ84" s="2927"/>
      <c r="HK84" s="2927"/>
      <c r="HL84" s="2927"/>
      <c r="HM84" s="2927"/>
      <c r="HN84" s="2927"/>
      <c r="HO84" s="2927"/>
      <c r="HP84" s="2927"/>
      <c r="HQ84" s="2927"/>
      <c r="HR84" s="2927"/>
      <c r="HS84" s="2927"/>
      <c r="HT84" s="2927"/>
      <c r="HU84" s="2927"/>
      <c r="HV84" s="2927"/>
      <c r="HW84" s="2927"/>
      <c r="HX84" s="2927"/>
      <c r="HY84" s="2927"/>
      <c r="HZ84" s="2927"/>
      <c r="IA84" s="2927"/>
      <c r="IB84" s="2927"/>
      <c r="IC84" s="2927"/>
      <c r="ID84" s="2927"/>
      <c r="XEY84" s="2942"/>
    </row>
    <row r="85" s="2838" customFormat="1" ht="32" customHeight="1" spans="1:239 16379:16379">
      <c r="A85" s="2941">
        <v>45856</v>
      </c>
      <c r="B85" s="2906" t="s">
        <v>2285</v>
      </c>
      <c r="C85" s="2907" t="s">
        <v>351</v>
      </c>
      <c r="D85" s="2908">
        <v>4500173295</v>
      </c>
      <c r="E85" s="2909" t="s">
        <v>10440</v>
      </c>
      <c r="F85" s="2908" t="s">
        <v>10441</v>
      </c>
      <c r="G85" s="2930" t="s">
        <v>10199</v>
      </c>
      <c r="H85" s="2911" t="s">
        <v>9155</v>
      </c>
      <c r="I85" s="2912">
        <v>184</v>
      </c>
      <c r="J85" s="2912">
        <v>0</v>
      </c>
      <c r="K85" s="2912">
        <v>4</v>
      </c>
      <c r="L85" s="2912">
        <f t="shared" si="146"/>
        <v>46</v>
      </c>
      <c r="M85" s="2913">
        <v>45887</v>
      </c>
      <c r="N85" s="2913">
        <v>45883</v>
      </c>
      <c r="O85" s="2914"/>
      <c r="P85" s="2914" t="s">
        <v>82</v>
      </c>
      <c r="Q85" s="2914" t="s">
        <v>228</v>
      </c>
      <c r="R85" s="2914" t="s">
        <v>10438</v>
      </c>
      <c r="S85" s="2915"/>
      <c r="T85" s="2914" t="s">
        <v>10438</v>
      </c>
      <c r="U85" s="2915"/>
      <c r="V85" s="2915"/>
      <c r="W85" s="2931" t="s">
        <v>10439</v>
      </c>
      <c r="X85" s="2912" t="s">
        <v>1199</v>
      </c>
      <c r="Y85" s="2917">
        <v>7.1595</v>
      </c>
      <c r="Z85" s="2918">
        <f t="shared" si="198"/>
        <v>1317.348</v>
      </c>
      <c r="AA85" s="2912" t="s">
        <v>9753</v>
      </c>
      <c r="AB85" s="2930" t="s">
        <v>10312</v>
      </c>
      <c r="AC85" s="2912" t="s">
        <v>416</v>
      </c>
      <c r="AD85" s="2919"/>
      <c r="AE85" s="2919">
        <f t="shared" si="184"/>
        <v>184</v>
      </c>
      <c r="AF85" s="2946"/>
      <c r="AG85" s="2919"/>
      <c r="AH85" s="2919"/>
      <c r="AI85" s="2921"/>
      <c r="AJ85" s="2921"/>
      <c r="AK85" s="2921">
        <f t="shared" si="177"/>
        <v>184</v>
      </c>
      <c r="AL85" s="2921"/>
      <c r="AM85" s="2922"/>
      <c r="AN85" s="2922"/>
      <c r="AO85" s="2923"/>
      <c r="AP85" s="2921"/>
      <c r="AQ85" s="2921">
        <f t="shared" si="178"/>
        <v>46</v>
      </c>
      <c r="AR85" s="2924"/>
      <c r="AS85" s="2923">
        <f t="shared" si="185"/>
        <v>46</v>
      </c>
      <c r="AT85" s="2921">
        <f t="shared" si="186"/>
        <v>46</v>
      </c>
      <c r="AU85" s="2921"/>
      <c r="AV85" s="2924">
        <f t="shared" si="187"/>
        <v>46</v>
      </c>
      <c r="AW85" s="2923"/>
      <c r="AX85" s="2921"/>
      <c r="AY85" s="2921"/>
      <c r="AZ85" s="2924"/>
      <c r="BA85" s="2923"/>
      <c r="BB85" s="2924"/>
      <c r="BC85" s="2921"/>
      <c r="BD85" s="2921">
        <f t="shared" si="143"/>
        <v>184</v>
      </c>
      <c r="BE85" s="2921"/>
      <c r="BF85" s="2921"/>
      <c r="BG85" s="2921" t="s">
        <v>9164</v>
      </c>
      <c r="BH85" s="2921"/>
      <c r="BI85" s="2921">
        <f t="shared" si="179"/>
        <v>46</v>
      </c>
      <c r="BJ85" s="2921">
        <f t="shared" si="188"/>
        <v>46</v>
      </c>
      <c r="BK85" s="2921">
        <f t="shared" si="189"/>
        <v>46</v>
      </c>
      <c r="BL85" s="2926">
        <f t="shared" si="190"/>
        <v>46</v>
      </c>
      <c r="BM85" s="2921">
        <f t="shared" si="191"/>
        <v>46</v>
      </c>
      <c r="BN85" s="2926">
        <f t="shared" si="192"/>
        <v>46</v>
      </c>
      <c r="BO85" s="2921">
        <f t="shared" si="193"/>
        <v>46</v>
      </c>
      <c r="BP85" s="2926">
        <f t="shared" si="194"/>
        <v>46</v>
      </c>
      <c r="BQ85" s="2926">
        <f t="shared" si="169"/>
        <v>238209</v>
      </c>
      <c r="BR85" s="2926">
        <f t="shared" ref="BR85:BY85" si="206">BR84-BI85</f>
        <v>14911.5</v>
      </c>
      <c r="BS85" s="2926">
        <f t="shared" si="206"/>
        <v>-3166</v>
      </c>
      <c r="BT85" s="2926">
        <f t="shared" si="206"/>
        <v>-3166</v>
      </c>
      <c r="BU85" s="2926">
        <f t="shared" si="206"/>
        <v>-3166</v>
      </c>
      <c r="BV85" s="2926">
        <f t="shared" si="206"/>
        <v>-3166</v>
      </c>
      <c r="BW85" s="2926">
        <f t="shared" si="206"/>
        <v>-3166</v>
      </c>
      <c r="BX85" s="2926">
        <f t="shared" si="206"/>
        <v>-3166</v>
      </c>
      <c r="BY85" s="2926">
        <f t="shared" si="206"/>
        <v>-3166</v>
      </c>
      <c r="BZ85" s="2912"/>
      <c r="CA85" s="2927"/>
      <c r="CB85" s="2927"/>
      <c r="CC85" s="2927"/>
      <c r="CD85" s="2927"/>
      <c r="CE85" s="2927"/>
      <c r="CF85" s="2927"/>
      <c r="CG85" s="2927"/>
      <c r="CH85" s="2927"/>
      <c r="CI85" s="2927"/>
      <c r="CJ85" s="2927"/>
      <c r="CK85" s="2927"/>
      <c r="CL85" s="2927"/>
      <c r="CM85" s="2927"/>
      <c r="CN85" s="2927"/>
      <c r="CO85" s="2927"/>
      <c r="CP85" s="2927"/>
      <c r="CQ85" s="2927"/>
      <c r="CR85" s="2927"/>
      <c r="CS85" s="2927"/>
      <c r="CT85" s="2927"/>
      <c r="CU85" s="2927"/>
      <c r="CV85" s="2927"/>
      <c r="CW85" s="2927"/>
      <c r="CX85" s="2927"/>
      <c r="CY85" s="2927"/>
      <c r="CZ85" s="2927"/>
      <c r="DA85" s="2927"/>
      <c r="DB85" s="2927"/>
      <c r="DC85" s="2927"/>
      <c r="DD85" s="2927"/>
      <c r="DE85" s="2927"/>
      <c r="DF85" s="2927"/>
      <c r="DG85" s="2927"/>
      <c r="DH85" s="2927"/>
      <c r="DI85" s="2927"/>
      <c r="DJ85" s="2927"/>
      <c r="DK85" s="2927"/>
      <c r="DL85" s="2927"/>
      <c r="DM85" s="2927"/>
      <c r="DN85" s="2927"/>
      <c r="DO85" s="2927"/>
      <c r="DP85" s="2927"/>
      <c r="DQ85" s="2927"/>
      <c r="DR85" s="2927"/>
      <c r="DS85" s="2927"/>
      <c r="DT85" s="2927"/>
      <c r="DU85" s="2927"/>
      <c r="DV85" s="2927"/>
      <c r="DW85" s="2927"/>
      <c r="DX85" s="2927"/>
      <c r="DY85" s="2927"/>
      <c r="DZ85" s="2927"/>
      <c r="EA85" s="2927"/>
      <c r="EB85" s="2927"/>
      <c r="EC85" s="2927"/>
      <c r="ED85" s="2927"/>
      <c r="EE85" s="2927"/>
      <c r="EF85" s="2927"/>
      <c r="EG85" s="2927"/>
      <c r="EH85" s="2927"/>
      <c r="EI85" s="2927"/>
      <c r="EJ85" s="2927"/>
      <c r="EK85" s="2927"/>
      <c r="EL85" s="2927"/>
      <c r="EM85" s="2927"/>
      <c r="EN85" s="2927"/>
      <c r="EO85" s="2927"/>
      <c r="EP85" s="2927"/>
      <c r="EQ85" s="2927"/>
      <c r="ER85" s="2927"/>
      <c r="ES85" s="2927"/>
      <c r="ET85" s="2927"/>
      <c r="EU85" s="2927"/>
      <c r="EV85" s="2927"/>
      <c r="EW85" s="2927"/>
      <c r="EX85" s="2927"/>
      <c r="EY85" s="2927"/>
      <c r="EZ85" s="2927"/>
      <c r="FA85" s="2927"/>
      <c r="FB85" s="2927"/>
      <c r="FC85" s="2927"/>
      <c r="FD85" s="2927"/>
      <c r="FE85" s="2927"/>
      <c r="FF85" s="2927"/>
      <c r="FG85" s="2927"/>
      <c r="FH85" s="2927"/>
      <c r="FI85" s="2927"/>
      <c r="FJ85" s="2927"/>
      <c r="FK85" s="2927"/>
      <c r="FL85" s="2927"/>
      <c r="FM85" s="2927"/>
      <c r="FN85" s="2927"/>
      <c r="FO85" s="2927"/>
      <c r="FP85" s="2927"/>
      <c r="FQ85" s="2927"/>
      <c r="FR85" s="2927"/>
      <c r="FS85" s="2927"/>
      <c r="FT85" s="2927"/>
      <c r="FU85" s="2927"/>
      <c r="FV85" s="2927"/>
      <c r="FW85" s="2927"/>
      <c r="FX85" s="2927"/>
      <c r="FY85" s="2927"/>
      <c r="FZ85" s="2927"/>
      <c r="GA85" s="2927"/>
      <c r="GB85" s="2927"/>
      <c r="GC85" s="2927"/>
      <c r="GD85" s="2927"/>
      <c r="GE85" s="2927"/>
      <c r="GF85" s="2927"/>
      <c r="GG85" s="2927"/>
      <c r="GH85" s="2927"/>
      <c r="GI85" s="2927"/>
      <c r="GJ85" s="2927"/>
      <c r="GK85" s="2927"/>
      <c r="GL85" s="2927"/>
      <c r="GM85" s="2927"/>
      <c r="GN85" s="2927"/>
      <c r="GO85" s="2927"/>
      <c r="GP85" s="2927"/>
      <c r="GQ85" s="2927"/>
      <c r="GR85" s="2927"/>
      <c r="GS85" s="2927"/>
      <c r="GT85" s="2927"/>
      <c r="GU85" s="2927"/>
      <c r="GV85" s="2927"/>
      <c r="GW85" s="2927"/>
      <c r="GX85" s="2927"/>
      <c r="GY85" s="2927"/>
      <c r="GZ85" s="2927"/>
      <c r="HA85" s="2927"/>
      <c r="HB85" s="2927"/>
      <c r="HC85" s="2927"/>
      <c r="HD85" s="2927"/>
      <c r="HE85" s="2927"/>
      <c r="HF85" s="2927"/>
      <c r="HG85" s="2927"/>
      <c r="HH85" s="2927"/>
      <c r="HI85" s="2927"/>
      <c r="HJ85" s="2927"/>
      <c r="HK85" s="2927"/>
      <c r="HL85" s="2927"/>
      <c r="HM85" s="2927"/>
      <c r="HN85" s="2927"/>
      <c r="HO85" s="2927"/>
      <c r="HP85" s="2927"/>
      <c r="HQ85" s="2927"/>
      <c r="HR85" s="2927"/>
      <c r="HS85" s="2927"/>
      <c r="HT85" s="2927"/>
      <c r="HU85" s="2927"/>
      <c r="HV85" s="2927"/>
      <c r="HW85" s="2927"/>
      <c r="HX85" s="2927"/>
      <c r="HY85" s="2927"/>
      <c r="HZ85" s="2927"/>
      <c r="IA85" s="2927"/>
      <c r="IB85" s="2927"/>
      <c r="IC85" s="2927"/>
      <c r="ID85" s="2927"/>
      <c r="XEY85" s="2942"/>
    </row>
    <row r="86" s="2839" customFormat="1" ht="32" customHeight="1" spans="1:239 16379:16379">
      <c r="A86" s="2951">
        <v>45860</v>
      </c>
      <c r="B86" s="2906" t="s">
        <v>1602</v>
      </c>
      <c r="C86" s="2907" t="s">
        <v>91</v>
      </c>
      <c r="D86" s="2908">
        <v>4500174627</v>
      </c>
      <c r="E86" s="2909" t="s">
        <v>10442</v>
      </c>
      <c r="F86" s="2908" t="s">
        <v>10443</v>
      </c>
      <c r="G86" s="2930" t="s">
        <v>10199</v>
      </c>
      <c r="H86" s="2911" t="s">
        <v>9155</v>
      </c>
      <c r="I86" s="2912">
        <v>360</v>
      </c>
      <c r="J86" s="2912">
        <v>0</v>
      </c>
      <c r="K86" s="2912">
        <v>4</v>
      </c>
      <c r="L86" s="2912">
        <f t="shared" si="146"/>
        <v>90</v>
      </c>
      <c r="M86" s="2913">
        <v>45903</v>
      </c>
      <c r="N86" s="2913">
        <f>M86-4</f>
        <v>45899</v>
      </c>
      <c r="O86" s="2914"/>
      <c r="P86" s="2914" t="s">
        <v>82</v>
      </c>
      <c r="Q86" s="2914" t="s">
        <v>1883</v>
      </c>
      <c r="R86" s="2915" t="s">
        <v>1884</v>
      </c>
      <c r="T86" s="2915" t="s">
        <v>98</v>
      </c>
      <c r="U86" s="2952" t="s">
        <v>9833</v>
      </c>
      <c r="V86" s="2915"/>
      <c r="W86" s="2931" t="s">
        <v>10425</v>
      </c>
      <c r="X86" s="2912" t="s">
        <v>1607</v>
      </c>
      <c r="Y86" s="2917">
        <v>4.1306</v>
      </c>
      <c r="Z86" s="2918">
        <f t="shared" si="198"/>
        <v>1487.016</v>
      </c>
      <c r="AA86" s="2912" t="s">
        <v>10444</v>
      </c>
      <c r="AB86" s="2930" t="s">
        <v>10312</v>
      </c>
      <c r="AC86" s="2912" t="s">
        <v>416</v>
      </c>
      <c r="AE86" s="2953">
        <f t="shared" si="184"/>
        <v>360</v>
      </c>
      <c r="AF86" s="2954"/>
      <c r="AH86" s="2919"/>
      <c r="AI86" s="2919"/>
      <c r="AJ86" s="2919"/>
      <c r="AK86" s="2919">
        <f t="shared" si="177"/>
        <v>360</v>
      </c>
      <c r="AL86" s="2919"/>
      <c r="AM86" s="2921"/>
      <c r="AN86" s="2922"/>
      <c r="AO86" s="2923"/>
      <c r="AP86" s="2921"/>
      <c r="AQ86" s="2921">
        <f t="shared" si="178"/>
        <v>90</v>
      </c>
      <c r="AR86" s="2924"/>
      <c r="AS86" s="2925">
        <f t="shared" si="185"/>
        <v>90</v>
      </c>
      <c r="AT86" s="2921">
        <f t="shared" si="186"/>
        <v>90</v>
      </c>
      <c r="AU86" s="2921"/>
      <c r="AV86" s="2922">
        <f t="shared" si="187"/>
        <v>90</v>
      </c>
      <c r="AW86" s="2923"/>
      <c r="AX86" s="2921"/>
      <c r="AY86" s="2921"/>
      <c r="AZ86" s="2924"/>
      <c r="BA86" s="2925"/>
      <c r="BB86" s="2922"/>
      <c r="BC86" s="2923"/>
      <c r="BD86" s="2921">
        <f t="shared" si="143"/>
        <v>360</v>
      </c>
      <c r="BE86" s="2921"/>
      <c r="BF86" s="2921"/>
      <c r="BG86" s="2921" t="s">
        <v>9164</v>
      </c>
      <c r="BH86" s="2921"/>
      <c r="BI86" s="2921">
        <f t="shared" si="179"/>
        <v>90</v>
      </c>
      <c r="BJ86" s="2921">
        <f t="shared" si="188"/>
        <v>90</v>
      </c>
      <c r="BK86" s="2921">
        <f t="shared" si="189"/>
        <v>90</v>
      </c>
      <c r="BL86" s="2926">
        <f t="shared" si="190"/>
        <v>90</v>
      </c>
      <c r="BM86" s="2921">
        <f t="shared" si="191"/>
        <v>90</v>
      </c>
      <c r="BN86" s="2926">
        <f t="shared" si="192"/>
        <v>90</v>
      </c>
      <c r="BO86" s="2921">
        <f t="shared" si="193"/>
        <v>90</v>
      </c>
      <c r="BP86" s="2926">
        <f t="shared" si="194"/>
        <v>90</v>
      </c>
      <c r="BQ86" s="2926">
        <f t="shared" si="169"/>
        <v>238385</v>
      </c>
      <c r="BR86" s="2926">
        <f t="shared" ref="BR86:BY86" si="207">BR91-BI86</f>
        <v>13858.5</v>
      </c>
      <c r="BS86" s="2926">
        <f t="shared" si="207"/>
        <v>-4219</v>
      </c>
      <c r="BT86" s="2926">
        <f t="shared" si="207"/>
        <v>-4219</v>
      </c>
      <c r="BU86" s="2926">
        <f t="shared" si="207"/>
        <v>-4219</v>
      </c>
      <c r="BV86" s="2926">
        <f t="shared" si="207"/>
        <v>-4219</v>
      </c>
      <c r="BW86" s="2926">
        <f t="shared" si="207"/>
        <v>-4219</v>
      </c>
      <c r="BX86" s="2926">
        <f t="shared" si="207"/>
        <v>-4219</v>
      </c>
      <c r="BY86" s="2926">
        <f t="shared" si="207"/>
        <v>-4219</v>
      </c>
      <c r="BZ86" s="2912"/>
      <c r="CA86" s="2955"/>
      <c r="CB86" s="2912"/>
      <c r="CC86" s="2912"/>
      <c r="CD86" s="2912"/>
      <c r="CE86" s="2912"/>
      <c r="CF86" s="2912"/>
      <c r="CG86" s="2912"/>
      <c r="CH86" s="2912"/>
      <c r="CI86" s="2912"/>
      <c r="CJ86" s="2912"/>
      <c r="CK86" s="2912"/>
      <c r="CL86" s="2912"/>
      <c r="CM86" s="2912"/>
      <c r="CN86" s="2912"/>
      <c r="CO86" s="2912"/>
      <c r="CP86" s="2912"/>
      <c r="CQ86" s="2912"/>
      <c r="CR86" s="2912"/>
      <c r="CS86" s="2912"/>
      <c r="CT86" s="2912"/>
      <c r="CU86" s="2912"/>
      <c r="CV86" s="2912"/>
      <c r="CW86" s="2912"/>
      <c r="CX86" s="2912"/>
      <c r="CY86" s="2912"/>
      <c r="CZ86" s="2912"/>
      <c r="DA86" s="2912"/>
      <c r="DB86" s="2912"/>
      <c r="DC86" s="2912"/>
      <c r="DD86" s="2912"/>
      <c r="DE86" s="2912"/>
      <c r="DF86" s="2912"/>
      <c r="DG86" s="2912"/>
      <c r="DH86" s="2912"/>
      <c r="DI86" s="2912"/>
      <c r="DJ86" s="2912"/>
      <c r="DK86" s="2912"/>
      <c r="DL86" s="2912"/>
      <c r="DM86" s="2912"/>
      <c r="DN86" s="2912"/>
      <c r="DO86" s="2912"/>
      <c r="DP86" s="2912"/>
      <c r="DQ86" s="2912"/>
      <c r="DR86" s="2912"/>
      <c r="DS86" s="2912"/>
      <c r="DT86" s="2912"/>
      <c r="DU86" s="2912"/>
      <c r="DV86" s="2912"/>
      <c r="DW86" s="2912"/>
      <c r="DX86" s="2912"/>
      <c r="DY86" s="2912"/>
      <c r="DZ86" s="2912"/>
      <c r="EA86" s="2912"/>
      <c r="EB86" s="2912"/>
      <c r="EC86" s="2912"/>
      <c r="ED86" s="2912"/>
      <c r="EE86" s="2912"/>
      <c r="EF86" s="2912"/>
      <c r="EG86" s="2912"/>
      <c r="EH86" s="2912"/>
      <c r="EI86" s="2912"/>
      <c r="EJ86" s="2912"/>
      <c r="EK86" s="2912"/>
      <c r="EL86" s="2912"/>
      <c r="EM86" s="2912"/>
      <c r="EN86" s="2912"/>
      <c r="EO86" s="2912"/>
      <c r="EP86" s="2912"/>
      <c r="EQ86" s="2912"/>
      <c r="ER86" s="2912"/>
      <c r="ES86" s="2912"/>
      <c r="ET86" s="2912"/>
      <c r="EU86" s="2912"/>
      <c r="EV86" s="2912"/>
      <c r="EW86" s="2912"/>
      <c r="EX86" s="2912"/>
      <c r="EY86" s="2912"/>
      <c r="EZ86" s="2912"/>
      <c r="FA86" s="2912"/>
      <c r="FB86" s="2912"/>
      <c r="FC86" s="2912"/>
      <c r="FD86" s="2912"/>
      <c r="FE86" s="2912"/>
      <c r="FF86" s="2912"/>
      <c r="FG86" s="2912"/>
      <c r="FH86" s="2912"/>
      <c r="FI86" s="2912"/>
      <c r="FJ86" s="2912"/>
      <c r="FK86" s="2912"/>
      <c r="FL86" s="2912"/>
      <c r="FM86" s="2912"/>
      <c r="FN86" s="2912"/>
      <c r="FO86" s="2912"/>
      <c r="FP86" s="2912"/>
      <c r="FQ86" s="2912"/>
      <c r="FR86" s="2912"/>
      <c r="FS86" s="2912"/>
      <c r="FT86" s="2912"/>
      <c r="FU86" s="2912"/>
      <c r="FV86" s="2912"/>
      <c r="FW86" s="2912"/>
      <c r="FX86" s="2912"/>
      <c r="FY86" s="2912"/>
      <c r="FZ86" s="2912"/>
      <c r="GA86" s="2912"/>
      <c r="GB86" s="2912"/>
      <c r="GC86" s="2912"/>
      <c r="GD86" s="2912"/>
      <c r="GE86" s="2912"/>
      <c r="GF86" s="2912"/>
      <c r="GG86" s="2912"/>
      <c r="GH86" s="2912"/>
      <c r="GI86" s="2912"/>
      <c r="GJ86" s="2912"/>
      <c r="GK86" s="2912"/>
      <c r="GL86" s="2912"/>
      <c r="GM86" s="2912"/>
      <c r="GN86" s="2912"/>
      <c r="GO86" s="2912"/>
      <c r="GP86" s="2912"/>
      <c r="GQ86" s="2912"/>
      <c r="GR86" s="2912"/>
      <c r="GS86" s="2912"/>
      <c r="GT86" s="2912"/>
      <c r="GU86" s="2912"/>
      <c r="GV86" s="2912"/>
      <c r="GW86" s="2912"/>
      <c r="GX86" s="2912"/>
      <c r="GY86" s="2912"/>
      <c r="GZ86" s="2912"/>
      <c r="HA86" s="2912"/>
      <c r="HB86" s="2912"/>
      <c r="HC86" s="2912"/>
      <c r="HD86" s="2912"/>
      <c r="HE86" s="2912"/>
      <c r="HF86" s="2912"/>
      <c r="HG86" s="2912"/>
      <c r="HH86" s="2912"/>
      <c r="HI86" s="2912"/>
      <c r="HJ86" s="2912"/>
      <c r="HK86" s="2912"/>
      <c r="HL86" s="2912"/>
      <c r="HM86" s="2912"/>
      <c r="HN86" s="2912"/>
      <c r="HO86" s="2912"/>
      <c r="HP86" s="2912"/>
      <c r="HQ86" s="2912"/>
      <c r="HR86" s="2912"/>
      <c r="HS86" s="2912"/>
      <c r="HT86" s="2912"/>
      <c r="HU86" s="2912"/>
      <c r="HV86" s="2912"/>
      <c r="HW86" s="2912"/>
      <c r="HX86" s="2912"/>
      <c r="HY86" s="2912"/>
      <c r="HZ86" s="2912"/>
      <c r="IA86" s="2912"/>
      <c r="IB86" s="2912"/>
      <c r="IC86" s="2912"/>
      <c r="ID86" s="2912"/>
      <c r="XEY86" s="2956"/>
    </row>
    <row r="87" s="2839" customFormat="1" ht="32" customHeight="1" spans="1:239 16379:16379">
      <c r="A87" s="2951">
        <v>45860</v>
      </c>
      <c r="B87" s="2906" t="s">
        <v>1602</v>
      </c>
      <c r="C87" s="2907" t="s">
        <v>91</v>
      </c>
      <c r="D87" s="2908">
        <v>4500174588</v>
      </c>
      <c r="E87" s="2909" t="s">
        <v>10445</v>
      </c>
      <c r="F87" s="2908" t="s">
        <v>10446</v>
      </c>
      <c r="G87" s="2930" t="s">
        <v>10199</v>
      </c>
      <c r="H87" s="2911" t="s">
        <v>9155</v>
      </c>
      <c r="I87" s="2912">
        <v>400</v>
      </c>
      <c r="J87" s="2912">
        <v>0</v>
      </c>
      <c r="K87" s="2912">
        <v>4</v>
      </c>
      <c r="L87" s="2912">
        <f t="shared" si="146"/>
        <v>100</v>
      </c>
      <c r="M87" s="2913">
        <v>45903</v>
      </c>
      <c r="N87" s="2913">
        <f>M87-4</f>
        <v>45899</v>
      </c>
      <c r="O87" s="2914"/>
      <c r="P87" s="2914" t="s">
        <v>82</v>
      </c>
      <c r="Q87" s="2914" t="s">
        <v>1883</v>
      </c>
      <c r="R87" s="2915" t="s">
        <v>1884</v>
      </c>
      <c r="T87" s="2915" t="s">
        <v>98</v>
      </c>
      <c r="U87" s="2915" t="s">
        <v>9833</v>
      </c>
      <c r="V87" s="2915"/>
      <c r="W87" s="2931" t="s">
        <v>10425</v>
      </c>
      <c r="X87" s="2912" t="s">
        <v>1607</v>
      </c>
      <c r="Y87" s="2917">
        <v>4.3057</v>
      </c>
      <c r="Z87" s="2918">
        <f t="shared" si="198"/>
        <v>1722.28</v>
      </c>
      <c r="AA87" s="2912" t="s">
        <v>10447</v>
      </c>
      <c r="AB87" s="2930" t="s">
        <v>10312</v>
      </c>
      <c r="AC87" s="2912" t="s">
        <v>416</v>
      </c>
      <c r="AE87" s="2953">
        <f t="shared" si="184"/>
        <v>400</v>
      </c>
      <c r="AF87" s="2954"/>
      <c r="AH87" s="2919"/>
      <c r="AI87" s="2919"/>
      <c r="AJ87" s="2919"/>
      <c r="AK87" s="2919">
        <f t="shared" si="177"/>
        <v>400</v>
      </c>
      <c r="AL87" s="2919"/>
      <c r="AM87" s="2921"/>
      <c r="AN87" s="2922"/>
      <c r="AO87" s="2923"/>
      <c r="AP87" s="2921"/>
      <c r="AQ87" s="2921">
        <f t="shared" si="178"/>
        <v>100</v>
      </c>
      <c r="AR87" s="2924"/>
      <c r="AS87" s="2925">
        <f t="shared" si="185"/>
        <v>100</v>
      </c>
      <c r="AT87" s="2921">
        <f t="shared" si="186"/>
        <v>100</v>
      </c>
      <c r="AU87" s="2921"/>
      <c r="AV87" s="2922">
        <f t="shared" si="187"/>
        <v>100</v>
      </c>
      <c r="AW87" s="2923"/>
      <c r="AX87" s="2921"/>
      <c r="AY87" s="2921"/>
      <c r="AZ87" s="2924"/>
      <c r="BA87" s="2925"/>
      <c r="BB87" s="2922"/>
      <c r="BC87" s="2923"/>
      <c r="BD87" s="2921">
        <f t="shared" si="143"/>
        <v>400</v>
      </c>
      <c r="BE87" s="2921"/>
      <c r="BF87" s="2921"/>
      <c r="BG87" s="2921" t="s">
        <v>9164</v>
      </c>
      <c r="BH87" s="2921"/>
      <c r="BI87" s="2921">
        <f t="shared" si="179"/>
        <v>100</v>
      </c>
      <c r="BJ87" s="2921">
        <f t="shared" si="188"/>
        <v>100</v>
      </c>
      <c r="BK87" s="2921">
        <f t="shared" si="189"/>
        <v>100</v>
      </c>
      <c r="BL87" s="2926">
        <f t="shared" si="190"/>
        <v>100</v>
      </c>
      <c r="BM87" s="2921">
        <f t="shared" si="191"/>
        <v>100</v>
      </c>
      <c r="BN87" s="2926">
        <f t="shared" si="192"/>
        <v>100</v>
      </c>
      <c r="BO87" s="2921">
        <f t="shared" si="193"/>
        <v>100</v>
      </c>
      <c r="BP87" s="2926">
        <f t="shared" si="194"/>
        <v>100</v>
      </c>
      <c r="BQ87" s="2926">
        <f t="shared" si="169"/>
        <v>238425</v>
      </c>
      <c r="BR87" s="2926">
        <f t="shared" ref="BR87:BY87" si="208">BR86-BI87</f>
        <v>13758.5</v>
      </c>
      <c r="BS87" s="2926">
        <f t="shared" si="208"/>
        <v>-4319</v>
      </c>
      <c r="BT87" s="2926">
        <f t="shared" si="208"/>
        <v>-4319</v>
      </c>
      <c r="BU87" s="2926">
        <f t="shared" si="208"/>
        <v>-4319</v>
      </c>
      <c r="BV87" s="2926">
        <f t="shared" si="208"/>
        <v>-4319</v>
      </c>
      <c r="BW87" s="2926">
        <f t="shared" si="208"/>
        <v>-4319</v>
      </c>
      <c r="BX87" s="2926">
        <f t="shared" si="208"/>
        <v>-4319</v>
      </c>
      <c r="BY87" s="2926">
        <f t="shared" si="208"/>
        <v>-4319</v>
      </c>
      <c r="BZ87" s="2912"/>
      <c r="CA87" s="2955"/>
      <c r="CB87" s="2912"/>
      <c r="CC87" s="2912"/>
      <c r="CD87" s="2912"/>
      <c r="CE87" s="2912"/>
      <c r="CF87" s="2912"/>
      <c r="CG87" s="2912"/>
      <c r="CH87" s="2912"/>
      <c r="CI87" s="2912"/>
      <c r="CJ87" s="2912"/>
      <c r="CK87" s="2912"/>
      <c r="CL87" s="2912"/>
      <c r="CM87" s="2912"/>
      <c r="CN87" s="2912"/>
      <c r="CO87" s="2912"/>
      <c r="CP87" s="2912"/>
      <c r="CQ87" s="2912"/>
      <c r="CR87" s="2912"/>
      <c r="CS87" s="2912"/>
      <c r="CT87" s="2912"/>
      <c r="CU87" s="2912"/>
      <c r="CV87" s="2912"/>
      <c r="CW87" s="2912"/>
      <c r="CX87" s="2912"/>
      <c r="CY87" s="2912"/>
      <c r="CZ87" s="2912"/>
      <c r="DA87" s="2912"/>
      <c r="DB87" s="2912"/>
      <c r="DC87" s="2912"/>
      <c r="DD87" s="2912"/>
      <c r="DE87" s="2912"/>
      <c r="DF87" s="2912"/>
      <c r="DG87" s="2912"/>
      <c r="DH87" s="2912"/>
      <c r="DI87" s="2912"/>
      <c r="DJ87" s="2912"/>
      <c r="DK87" s="2912"/>
      <c r="DL87" s="2912"/>
      <c r="DM87" s="2912"/>
      <c r="DN87" s="2912"/>
      <c r="DO87" s="2912"/>
      <c r="DP87" s="2912"/>
      <c r="DQ87" s="2912"/>
      <c r="DR87" s="2912"/>
      <c r="DS87" s="2912"/>
      <c r="DT87" s="2912"/>
      <c r="DU87" s="2912"/>
      <c r="DV87" s="2912"/>
      <c r="DW87" s="2912"/>
      <c r="DX87" s="2912"/>
      <c r="DY87" s="2912"/>
      <c r="DZ87" s="2912"/>
      <c r="EA87" s="2912"/>
      <c r="EB87" s="2912"/>
      <c r="EC87" s="2912"/>
      <c r="ED87" s="2912"/>
      <c r="EE87" s="2912"/>
      <c r="EF87" s="2912"/>
      <c r="EG87" s="2912"/>
      <c r="EH87" s="2912"/>
      <c r="EI87" s="2912"/>
      <c r="EJ87" s="2912"/>
      <c r="EK87" s="2912"/>
      <c r="EL87" s="2912"/>
      <c r="EM87" s="2912"/>
      <c r="EN87" s="2912"/>
      <c r="EO87" s="2912"/>
      <c r="EP87" s="2912"/>
      <c r="EQ87" s="2912"/>
      <c r="ER87" s="2912"/>
      <c r="ES87" s="2912"/>
      <c r="ET87" s="2912"/>
      <c r="EU87" s="2912"/>
      <c r="EV87" s="2912"/>
      <c r="EW87" s="2912"/>
      <c r="EX87" s="2912"/>
      <c r="EY87" s="2912"/>
      <c r="EZ87" s="2912"/>
      <c r="FA87" s="2912"/>
      <c r="FB87" s="2912"/>
      <c r="FC87" s="2912"/>
      <c r="FD87" s="2912"/>
      <c r="FE87" s="2912"/>
      <c r="FF87" s="2912"/>
      <c r="FG87" s="2912"/>
      <c r="FH87" s="2912"/>
      <c r="FI87" s="2912"/>
      <c r="FJ87" s="2912"/>
      <c r="FK87" s="2912"/>
      <c r="FL87" s="2912"/>
      <c r="FM87" s="2912"/>
      <c r="FN87" s="2912"/>
      <c r="FO87" s="2912"/>
      <c r="FP87" s="2912"/>
      <c r="FQ87" s="2912"/>
      <c r="FR87" s="2912"/>
      <c r="FS87" s="2912"/>
      <c r="FT87" s="2912"/>
      <c r="FU87" s="2912"/>
      <c r="FV87" s="2912"/>
      <c r="FW87" s="2912"/>
      <c r="FX87" s="2912"/>
      <c r="FY87" s="2912"/>
      <c r="FZ87" s="2912"/>
      <c r="GA87" s="2912"/>
      <c r="GB87" s="2912"/>
      <c r="GC87" s="2912"/>
      <c r="GD87" s="2912"/>
      <c r="GE87" s="2912"/>
      <c r="GF87" s="2912"/>
      <c r="GG87" s="2912"/>
      <c r="GH87" s="2912"/>
      <c r="GI87" s="2912"/>
      <c r="GJ87" s="2912"/>
      <c r="GK87" s="2912"/>
      <c r="GL87" s="2912"/>
      <c r="GM87" s="2912"/>
      <c r="GN87" s="2912"/>
      <c r="GO87" s="2912"/>
      <c r="GP87" s="2912"/>
      <c r="GQ87" s="2912"/>
      <c r="GR87" s="2912"/>
      <c r="GS87" s="2912"/>
      <c r="GT87" s="2912"/>
      <c r="GU87" s="2912"/>
      <c r="GV87" s="2912"/>
      <c r="GW87" s="2912"/>
      <c r="GX87" s="2912"/>
      <c r="GY87" s="2912"/>
      <c r="GZ87" s="2912"/>
      <c r="HA87" s="2912"/>
      <c r="HB87" s="2912"/>
      <c r="HC87" s="2912"/>
      <c r="HD87" s="2912"/>
      <c r="HE87" s="2912"/>
      <c r="HF87" s="2912"/>
      <c r="HG87" s="2912"/>
      <c r="HH87" s="2912"/>
      <c r="HI87" s="2912"/>
      <c r="HJ87" s="2912"/>
      <c r="HK87" s="2912"/>
      <c r="HL87" s="2912"/>
      <c r="HM87" s="2912"/>
      <c r="HN87" s="2912"/>
      <c r="HO87" s="2912"/>
      <c r="HP87" s="2912"/>
      <c r="HQ87" s="2912"/>
      <c r="HR87" s="2912"/>
      <c r="HS87" s="2912"/>
      <c r="HT87" s="2912"/>
      <c r="HU87" s="2912"/>
      <c r="HV87" s="2912"/>
      <c r="HW87" s="2912"/>
      <c r="HX87" s="2912"/>
      <c r="HY87" s="2912"/>
      <c r="HZ87" s="2912"/>
      <c r="IA87" s="2912"/>
      <c r="IB87" s="2912"/>
      <c r="IC87" s="2912"/>
      <c r="ID87" s="2912"/>
      <c r="XEY87" s="2956"/>
    </row>
    <row r="88" s="2838" customFormat="1" ht="32" customHeight="1" spans="1:239 16379:16379">
      <c r="A88" s="2941">
        <v>45862</v>
      </c>
      <c r="B88" s="2906" t="s">
        <v>1617</v>
      </c>
      <c r="C88" s="2907" t="s">
        <v>91</v>
      </c>
      <c r="D88" s="2908">
        <v>4500174768</v>
      </c>
      <c r="E88" s="2909" t="s">
        <v>9819</v>
      </c>
      <c r="F88" s="2908" t="s">
        <v>10448</v>
      </c>
      <c r="G88" s="2930" t="s">
        <v>10199</v>
      </c>
      <c r="H88" s="2957" t="s">
        <v>9155</v>
      </c>
      <c r="I88" s="2958">
        <v>600</v>
      </c>
      <c r="J88" s="2958">
        <v>0</v>
      </c>
      <c r="K88" s="2958">
        <v>4</v>
      </c>
      <c r="L88" s="2958">
        <f t="shared" si="146"/>
        <v>150</v>
      </c>
      <c r="M88" s="2913">
        <v>45918</v>
      </c>
      <c r="N88" s="2913">
        <v>45915</v>
      </c>
      <c r="O88" s="2914"/>
      <c r="P88" s="2914" t="s">
        <v>82</v>
      </c>
      <c r="Q88" s="2959" t="s">
        <v>1911</v>
      </c>
      <c r="R88" s="2915" t="s">
        <v>390</v>
      </c>
      <c r="S88" s="2915"/>
      <c r="T88" s="2915" t="s">
        <v>98</v>
      </c>
      <c r="U88" s="2952" t="s">
        <v>9833</v>
      </c>
      <c r="V88" s="2915"/>
      <c r="W88" s="2931" t="s">
        <v>1621</v>
      </c>
      <c r="X88" s="2912" t="s">
        <v>1880</v>
      </c>
      <c r="Y88" s="2960">
        <v>4.2957</v>
      </c>
      <c r="Z88" s="2961">
        <f t="shared" si="198"/>
        <v>2577.42</v>
      </c>
      <c r="AA88" s="2912" t="s">
        <v>1912</v>
      </c>
      <c r="AB88" s="2930" t="s">
        <v>10312</v>
      </c>
      <c r="AC88" s="2912" t="s">
        <v>416</v>
      </c>
      <c r="AD88" s="2919"/>
      <c r="AE88" s="2919">
        <f t="shared" si="184"/>
        <v>600</v>
      </c>
      <c r="AF88" s="2946"/>
      <c r="AG88" s="2919"/>
      <c r="AH88" s="2919"/>
      <c r="AI88" s="2919"/>
      <c r="AJ88" s="2921"/>
      <c r="AK88" s="2921">
        <f t="shared" si="177"/>
        <v>600</v>
      </c>
      <c r="AL88" s="2921"/>
      <c r="AM88" s="2922"/>
      <c r="AN88" s="2922"/>
      <c r="AO88" s="2923"/>
      <c r="AP88" s="2921"/>
      <c r="AQ88" s="2921">
        <f t="shared" si="178"/>
        <v>150</v>
      </c>
      <c r="AR88" s="2924"/>
      <c r="AS88" s="2921">
        <f t="shared" si="185"/>
        <v>150</v>
      </c>
      <c r="AT88" s="2921">
        <f t="shared" si="186"/>
        <v>150</v>
      </c>
      <c r="AU88" s="2921"/>
      <c r="AV88" s="2921">
        <f t="shared" si="187"/>
        <v>150</v>
      </c>
      <c r="AW88" s="2923"/>
      <c r="AX88" s="2921"/>
      <c r="AY88" s="2921"/>
      <c r="AZ88" s="2924"/>
      <c r="BA88" s="2923"/>
      <c r="BB88" s="2924"/>
      <c r="BC88" s="2925"/>
      <c r="BD88" s="2921">
        <f t="shared" si="143"/>
        <v>600</v>
      </c>
      <c r="BE88" s="2921"/>
      <c r="BF88" s="2921"/>
      <c r="BG88" s="2921" t="s">
        <v>9164</v>
      </c>
      <c r="BH88" s="2921"/>
      <c r="BI88" s="2921">
        <f t="shared" si="179"/>
        <v>150</v>
      </c>
      <c r="BJ88" s="2921">
        <f t="shared" si="188"/>
        <v>150</v>
      </c>
      <c r="BK88" s="2921">
        <f t="shared" si="189"/>
        <v>150</v>
      </c>
      <c r="BL88" s="2926">
        <f t="shared" si="190"/>
        <v>150</v>
      </c>
      <c r="BM88" s="2921">
        <f t="shared" si="191"/>
        <v>150</v>
      </c>
      <c r="BN88" s="2926">
        <f t="shared" si="192"/>
        <v>150</v>
      </c>
      <c r="BO88" s="2921">
        <f t="shared" si="193"/>
        <v>150</v>
      </c>
      <c r="BP88" s="2926">
        <f t="shared" si="194"/>
        <v>150</v>
      </c>
      <c r="BQ88" s="2926">
        <f t="shared" si="169"/>
        <v>238625</v>
      </c>
      <c r="BR88" s="2926">
        <f t="shared" ref="BR88:BY88" si="209">BR92-BI88</f>
        <v>13161.5</v>
      </c>
      <c r="BS88" s="2926">
        <f t="shared" si="209"/>
        <v>-4916</v>
      </c>
      <c r="BT88" s="2926">
        <f t="shared" si="209"/>
        <v>-4916</v>
      </c>
      <c r="BU88" s="2926">
        <f t="shared" si="209"/>
        <v>-4916</v>
      </c>
      <c r="BV88" s="2926">
        <f t="shared" si="209"/>
        <v>-4916</v>
      </c>
      <c r="BW88" s="2926">
        <f t="shared" si="209"/>
        <v>-4916</v>
      </c>
      <c r="BX88" s="2926">
        <f t="shared" si="209"/>
        <v>-4916</v>
      </c>
      <c r="BY88" s="2926">
        <f t="shared" si="209"/>
        <v>-4916</v>
      </c>
      <c r="BZ88" s="2912"/>
      <c r="CA88" s="2927"/>
      <c r="CB88" s="2927"/>
      <c r="CC88" s="2927"/>
      <c r="CD88" s="2927"/>
      <c r="CE88" s="2927"/>
      <c r="CF88" s="2927"/>
      <c r="CG88" s="2927"/>
      <c r="CH88" s="2927"/>
      <c r="CI88" s="2927"/>
      <c r="CJ88" s="2927"/>
      <c r="CK88" s="2927"/>
      <c r="CL88" s="2927"/>
      <c r="CM88" s="2927"/>
      <c r="CN88" s="2927"/>
      <c r="CO88" s="2927"/>
      <c r="CP88" s="2927"/>
      <c r="CQ88" s="2927"/>
      <c r="CR88" s="2927"/>
      <c r="CS88" s="2927"/>
      <c r="CT88" s="2927"/>
      <c r="CU88" s="2927"/>
      <c r="CV88" s="2927"/>
      <c r="CW88" s="2927"/>
      <c r="CX88" s="2927"/>
      <c r="CY88" s="2927"/>
      <c r="CZ88" s="2927"/>
      <c r="DA88" s="2927"/>
      <c r="DB88" s="2927"/>
      <c r="DC88" s="2927"/>
      <c r="DD88" s="2927"/>
      <c r="DE88" s="2927"/>
      <c r="DF88" s="2927"/>
      <c r="DG88" s="2927"/>
      <c r="DH88" s="2927"/>
      <c r="DI88" s="2927"/>
      <c r="DJ88" s="2927"/>
      <c r="DK88" s="2927"/>
      <c r="DL88" s="2927"/>
      <c r="DM88" s="2927"/>
      <c r="DN88" s="2927"/>
      <c r="DO88" s="2927"/>
      <c r="DP88" s="2927"/>
      <c r="DQ88" s="2927"/>
      <c r="DR88" s="2927"/>
      <c r="DS88" s="2927"/>
      <c r="DT88" s="2927"/>
      <c r="DU88" s="2927"/>
      <c r="DV88" s="2927"/>
      <c r="DW88" s="2927"/>
      <c r="DX88" s="2927"/>
      <c r="DY88" s="2927"/>
      <c r="DZ88" s="2927"/>
      <c r="EA88" s="2927"/>
      <c r="EB88" s="2927"/>
      <c r="EC88" s="2927"/>
      <c r="ED88" s="2927"/>
      <c r="EE88" s="2927"/>
      <c r="EF88" s="2927"/>
      <c r="EG88" s="2927"/>
      <c r="EH88" s="2927"/>
      <c r="EI88" s="2927"/>
      <c r="EJ88" s="2927"/>
      <c r="EK88" s="2927"/>
      <c r="EL88" s="2927"/>
      <c r="EM88" s="2927"/>
      <c r="EN88" s="2927"/>
      <c r="EO88" s="2927"/>
      <c r="EP88" s="2927"/>
      <c r="EQ88" s="2927"/>
      <c r="ER88" s="2927"/>
      <c r="ES88" s="2927"/>
      <c r="ET88" s="2927"/>
      <c r="EU88" s="2927"/>
      <c r="EV88" s="2927"/>
      <c r="EW88" s="2927"/>
      <c r="EX88" s="2927"/>
      <c r="EY88" s="2927"/>
      <c r="EZ88" s="2927"/>
      <c r="FA88" s="2927"/>
      <c r="FB88" s="2927"/>
      <c r="FC88" s="2927"/>
      <c r="FD88" s="2927"/>
      <c r="FE88" s="2927"/>
      <c r="FF88" s="2927"/>
      <c r="FG88" s="2927"/>
      <c r="FH88" s="2927"/>
      <c r="FI88" s="2927"/>
      <c r="FJ88" s="2927"/>
      <c r="FK88" s="2927"/>
      <c r="FL88" s="2927"/>
      <c r="FM88" s="2927"/>
      <c r="FN88" s="2927"/>
      <c r="FO88" s="2927"/>
      <c r="FP88" s="2927"/>
      <c r="FQ88" s="2927"/>
      <c r="FR88" s="2927"/>
      <c r="FS88" s="2927"/>
      <c r="FT88" s="2927"/>
      <c r="FU88" s="2927"/>
      <c r="FV88" s="2927"/>
      <c r="FW88" s="2927"/>
      <c r="FX88" s="2927"/>
      <c r="FY88" s="2927"/>
      <c r="FZ88" s="2927"/>
      <c r="GA88" s="2927"/>
      <c r="GB88" s="2927"/>
      <c r="GC88" s="2927"/>
      <c r="GD88" s="2927"/>
      <c r="GE88" s="2927"/>
      <c r="GF88" s="2927"/>
      <c r="GG88" s="2927"/>
      <c r="GH88" s="2927"/>
      <c r="GI88" s="2927"/>
      <c r="GJ88" s="2927"/>
      <c r="GK88" s="2927"/>
      <c r="GL88" s="2927"/>
      <c r="GM88" s="2927"/>
      <c r="GN88" s="2927"/>
      <c r="GO88" s="2927"/>
      <c r="GP88" s="2927"/>
      <c r="GQ88" s="2927"/>
      <c r="GR88" s="2927"/>
      <c r="GS88" s="2927"/>
      <c r="GT88" s="2927"/>
      <c r="GU88" s="2927"/>
      <c r="GV88" s="2927"/>
      <c r="GW88" s="2927"/>
      <c r="GX88" s="2927"/>
      <c r="GY88" s="2927"/>
      <c r="GZ88" s="2927"/>
      <c r="HA88" s="2927"/>
      <c r="HB88" s="2927"/>
      <c r="HC88" s="2927"/>
      <c r="HD88" s="2927"/>
      <c r="HE88" s="2927"/>
      <c r="HF88" s="2927"/>
      <c r="HG88" s="2927"/>
      <c r="HH88" s="2927"/>
      <c r="HI88" s="2927"/>
      <c r="HJ88" s="2927"/>
      <c r="HK88" s="2927"/>
      <c r="HL88" s="2927"/>
      <c r="HM88" s="2927"/>
      <c r="HN88" s="2927"/>
      <c r="HO88" s="2927"/>
      <c r="HP88" s="2927"/>
      <c r="HQ88" s="2927"/>
      <c r="HR88" s="2927"/>
      <c r="HS88" s="2927"/>
      <c r="HT88" s="2927"/>
      <c r="HU88" s="2927"/>
      <c r="HV88" s="2927"/>
      <c r="HW88" s="2927"/>
      <c r="HX88" s="2927"/>
      <c r="HY88" s="2927"/>
      <c r="HZ88" s="2927"/>
      <c r="IA88" s="2927"/>
      <c r="IB88" s="2927"/>
      <c r="IC88" s="2927"/>
      <c r="ID88" s="2927"/>
      <c r="IE88" s="2927"/>
    </row>
    <row r="89" s="2839" customFormat="1" ht="32" customHeight="1" spans="1:239 16379:16379">
      <c r="A89" s="2951">
        <v>45860</v>
      </c>
      <c r="B89" s="2906" t="s">
        <v>2285</v>
      </c>
      <c r="C89" s="2907" t="s">
        <v>351</v>
      </c>
      <c r="D89" s="2908">
        <v>4500173317</v>
      </c>
      <c r="E89" s="2909" t="s">
        <v>10449</v>
      </c>
      <c r="F89" s="2908" t="s">
        <v>10450</v>
      </c>
      <c r="G89" s="2930" t="s">
        <v>10199</v>
      </c>
      <c r="H89" s="2911" t="s">
        <v>9155</v>
      </c>
      <c r="I89" s="2912">
        <v>932</v>
      </c>
      <c r="J89" s="2912">
        <v>0</v>
      </c>
      <c r="K89" s="2912">
        <v>4</v>
      </c>
      <c r="L89" s="2912">
        <f t="shared" si="146"/>
        <v>233</v>
      </c>
      <c r="M89" s="2913">
        <v>45899</v>
      </c>
      <c r="N89" s="2913">
        <v>45895</v>
      </c>
      <c r="O89" s="2914"/>
      <c r="P89" s="2914" t="s">
        <v>82</v>
      </c>
      <c r="Q89" s="2914" t="s">
        <v>1883</v>
      </c>
      <c r="R89" s="2915" t="s">
        <v>10451</v>
      </c>
      <c r="S89" s="2915"/>
      <c r="T89" s="2915" t="s">
        <v>10452</v>
      </c>
      <c r="U89" s="2915"/>
      <c r="V89" s="2915"/>
      <c r="W89" s="2931" t="s">
        <v>10453</v>
      </c>
      <c r="X89" s="2912" t="s">
        <v>1199</v>
      </c>
      <c r="Y89" s="2917">
        <v>7.1595</v>
      </c>
      <c r="Z89" s="2918">
        <f t="shared" si="198"/>
        <v>6672.654</v>
      </c>
      <c r="AA89" s="2912" t="s">
        <v>9778</v>
      </c>
      <c r="AB89" s="2930" t="s">
        <v>10312</v>
      </c>
      <c r="AC89" s="2912" t="s">
        <v>416</v>
      </c>
      <c r="AD89" s="2919"/>
      <c r="AE89" s="2919">
        <f t="shared" si="184"/>
        <v>932</v>
      </c>
      <c r="AF89" s="2949"/>
      <c r="AG89" s="2919"/>
      <c r="AH89" s="2919"/>
      <c r="AI89" s="2921"/>
      <c r="AJ89" s="2921"/>
      <c r="AK89" s="2921">
        <f t="shared" si="177"/>
        <v>932</v>
      </c>
      <c r="AL89" s="2921"/>
      <c r="AM89" s="2921"/>
      <c r="AN89" s="2922"/>
      <c r="AO89" s="2923"/>
      <c r="AP89" s="2921"/>
      <c r="AQ89" s="2921">
        <f t="shared" si="178"/>
        <v>233</v>
      </c>
      <c r="AR89" s="2924"/>
      <c r="AS89" s="2925">
        <f t="shared" si="185"/>
        <v>233</v>
      </c>
      <c r="AT89" s="2921">
        <f t="shared" si="186"/>
        <v>233</v>
      </c>
      <c r="AU89" s="2921"/>
      <c r="AV89" s="2922">
        <f t="shared" si="187"/>
        <v>233</v>
      </c>
      <c r="AW89" s="2923"/>
      <c r="AX89" s="2921"/>
      <c r="AY89" s="2921"/>
      <c r="AZ89" s="2924"/>
      <c r="BA89" s="2925"/>
      <c r="BB89" s="2922"/>
      <c r="BC89" s="2923"/>
      <c r="BD89" s="2921">
        <f t="shared" si="143"/>
        <v>932</v>
      </c>
      <c r="BE89" s="2921"/>
      <c r="BF89" s="2921"/>
      <c r="BG89" s="2921" t="s">
        <v>9164</v>
      </c>
      <c r="BH89" s="2921"/>
      <c r="BI89" s="2921">
        <f t="shared" si="179"/>
        <v>233</v>
      </c>
      <c r="BJ89" s="2921">
        <f t="shared" si="188"/>
        <v>233</v>
      </c>
      <c r="BK89" s="2921">
        <f t="shared" si="189"/>
        <v>233</v>
      </c>
      <c r="BL89" s="2926">
        <f t="shared" si="190"/>
        <v>233</v>
      </c>
      <c r="BM89" s="2921">
        <f t="shared" si="191"/>
        <v>233</v>
      </c>
      <c r="BN89" s="2926">
        <f t="shared" si="192"/>
        <v>233</v>
      </c>
      <c r="BO89" s="2921">
        <f t="shared" si="193"/>
        <v>233</v>
      </c>
      <c r="BP89" s="2926">
        <f t="shared" si="194"/>
        <v>233</v>
      </c>
      <c r="BQ89" s="2926">
        <f t="shared" si="169"/>
        <v>238957</v>
      </c>
      <c r="BR89" s="2926">
        <f t="shared" ref="BR89:BY89" si="210">BR87-BI89</f>
        <v>13525.5</v>
      </c>
      <c r="BS89" s="2926">
        <f t="shared" si="210"/>
        <v>-4552</v>
      </c>
      <c r="BT89" s="2926">
        <f t="shared" si="210"/>
        <v>-4552</v>
      </c>
      <c r="BU89" s="2926">
        <f t="shared" si="210"/>
        <v>-4552</v>
      </c>
      <c r="BV89" s="2926">
        <f t="shared" si="210"/>
        <v>-4552</v>
      </c>
      <c r="BW89" s="2926">
        <f t="shared" si="210"/>
        <v>-4552</v>
      </c>
      <c r="BX89" s="2926">
        <f t="shared" si="210"/>
        <v>-4552</v>
      </c>
      <c r="BY89" s="2926">
        <f t="shared" si="210"/>
        <v>-4552</v>
      </c>
      <c r="BZ89" s="2912"/>
      <c r="CA89" s="2955"/>
      <c r="CB89" s="2912"/>
      <c r="CC89" s="2912"/>
      <c r="CD89" s="2912"/>
      <c r="CE89" s="2912"/>
      <c r="CF89" s="2912"/>
      <c r="CG89" s="2912"/>
      <c r="CH89" s="2912"/>
      <c r="CI89" s="2912"/>
      <c r="CJ89" s="2912"/>
      <c r="CK89" s="2912"/>
      <c r="CL89" s="2912"/>
      <c r="CM89" s="2912"/>
      <c r="CN89" s="2912"/>
      <c r="CO89" s="2912"/>
      <c r="CP89" s="2912"/>
      <c r="CQ89" s="2912"/>
      <c r="CR89" s="2912"/>
      <c r="CS89" s="2912"/>
      <c r="CT89" s="2912"/>
      <c r="CU89" s="2912"/>
      <c r="CV89" s="2912"/>
      <c r="CW89" s="2912"/>
      <c r="CX89" s="2912"/>
      <c r="CY89" s="2912"/>
      <c r="CZ89" s="2912"/>
      <c r="DA89" s="2912"/>
      <c r="DB89" s="2912"/>
      <c r="DC89" s="2912"/>
      <c r="DD89" s="2912"/>
      <c r="DE89" s="2912"/>
      <c r="DF89" s="2912"/>
      <c r="DG89" s="2912"/>
      <c r="DH89" s="2912"/>
      <c r="DI89" s="2912"/>
      <c r="DJ89" s="2912"/>
      <c r="DK89" s="2912"/>
      <c r="DL89" s="2912"/>
      <c r="DM89" s="2912"/>
      <c r="DN89" s="2912"/>
      <c r="DO89" s="2912"/>
      <c r="DP89" s="2912"/>
      <c r="DQ89" s="2912"/>
      <c r="DR89" s="2912"/>
      <c r="DS89" s="2912"/>
      <c r="DT89" s="2912"/>
      <c r="DU89" s="2912"/>
      <c r="DV89" s="2912"/>
      <c r="DW89" s="2912"/>
      <c r="DX89" s="2912"/>
      <c r="DY89" s="2912"/>
      <c r="DZ89" s="2912"/>
      <c r="EA89" s="2912"/>
      <c r="EB89" s="2912"/>
      <c r="EC89" s="2912"/>
      <c r="ED89" s="2912"/>
      <c r="EE89" s="2912"/>
      <c r="EF89" s="2912"/>
      <c r="EG89" s="2912"/>
      <c r="EH89" s="2912"/>
      <c r="EI89" s="2912"/>
      <c r="EJ89" s="2912"/>
      <c r="EK89" s="2912"/>
      <c r="EL89" s="2912"/>
      <c r="EM89" s="2912"/>
      <c r="EN89" s="2912"/>
      <c r="EO89" s="2912"/>
      <c r="EP89" s="2912"/>
      <c r="EQ89" s="2912"/>
      <c r="ER89" s="2912"/>
      <c r="ES89" s="2912"/>
      <c r="ET89" s="2912"/>
      <c r="EU89" s="2912"/>
      <c r="EV89" s="2912"/>
      <c r="EW89" s="2912"/>
      <c r="EX89" s="2912"/>
      <c r="EY89" s="2912"/>
      <c r="EZ89" s="2912"/>
      <c r="FA89" s="2912"/>
      <c r="FB89" s="2912"/>
      <c r="FC89" s="2912"/>
      <c r="FD89" s="2912"/>
      <c r="FE89" s="2912"/>
      <c r="FF89" s="2912"/>
      <c r="FG89" s="2912"/>
      <c r="FH89" s="2912"/>
      <c r="FI89" s="2912"/>
      <c r="FJ89" s="2912"/>
      <c r="FK89" s="2912"/>
      <c r="FL89" s="2912"/>
      <c r="FM89" s="2912"/>
      <c r="FN89" s="2912"/>
      <c r="FO89" s="2912"/>
      <c r="FP89" s="2912"/>
      <c r="FQ89" s="2912"/>
      <c r="FR89" s="2912"/>
      <c r="FS89" s="2912"/>
      <c r="FT89" s="2912"/>
      <c r="FU89" s="2912"/>
      <c r="FV89" s="2912"/>
      <c r="FW89" s="2912"/>
      <c r="FX89" s="2912"/>
      <c r="FY89" s="2912"/>
      <c r="FZ89" s="2912"/>
      <c r="GA89" s="2912"/>
      <c r="GB89" s="2912"/>
      <c r="GC89" s="2912"/>
      <c r="GD89" s="2912"/>
      <c r="GE89" s="2912"/>
      <c r="GF89" s="2912"/>
      <c r="GG89" s="2912"/>
      <c r="GH89" s="2912"/>
      <c r="GI89" s="2912"/>
      <c r="GJ89" s="2912"/>
      <c r="GK89" s="2912"/>
      <c r="GL89" s="2912"/>
      <c r="GM89" s="2912"/>
      <c r="GN89" s="2912"/>
      <c r="GO89" s="2912"/>
      <c r="GP89" s="2912"/>
      <c r="GQ89" s="2912"/>
      <c r="GR89" s="2912"/>
      <c r="GS89" s="2912"/>
      <c r="GT89" s="2912"/>
      <c r="GU89" s="2912"/>
      <c r="GV89" s="2912"/>
      <c r="GW89" s="2912"/>
      <c r="GX89" s="2912"/>
      <c r="GY89" s="2912"/>
      <c r="GZ89" s="2912"/>
      <c r="HA89" s="2912"/>
      <c r="HB89" s="2912"/>
      <c r="HC89" s="2912"/>
      <c r="HD89" s="2912"/>
      <c r="HE89" s="2912"/>
      <c r="HF89" s="2912"/>
      <c r="HG89" s="2912"/>
      <c r="HH89" s="2912"/>
      <c r="HI89" s="2912"/>
      <c r="HJ89" s="2912"/>
      <c r="HK89" s="2912"/>
      <c r="HL89" s="2912"/>
      <c r="HM89" s="2912"/>
      <c r="HN89" s="2912"/>
      <c r="HO89" s="2912"/>
      <c r="HP89" s="2912"/>
      <c r="HQ89" s="2912"/>
      <c r="HR89" s="2912"/>
      <c r="HS89" s="2912"/>
      <c r="HT89" s="2912"/>
      <c r="HU89" s="2912"/>
      <c r="HV89" s="2912"/>
      <c r="HW89" s="2912"/>
      <c r="HX89" s="2912"/>
      <c r="HY89" s="2912"/>
      <c r="HZ89" s="2912"/>
      <c r="IA89" s="2912"/>
      <c r="IB89" s="2912"/>
      <c r="IC89" s="2912"/>
      <c r="ID89" s="2912"/>
      <c r="XEY89" s="2956"/>
    </row>
    <row r="90" s="2839" customFormat="1" ht="32" customHeight="1" spans="1:239 16379:16379">
      <c r="A90" s="2951">
        <v>45860</v>
      </c>
      <c r="B90" s="2906" t="s">
        <v>2285</v>
      </c>
      <c r="C90" s="2907" t="s">
        <v>351</v>
      </c>
      <c r="D90" s="2908">
        <v>4500173317</v>
      </c>
      <c r="E90" s="2909" t="s">
        <v>10454</v>
      </c>
      <c r="F90" s="2908" t="s">
        <v>10455</v>
      </c>
      <c r="G90" s="2930" t="s">
        <v>10199</v>
      </c>
      <c r="H90" s="2911" t="s">
        <v>9155</v>
      </c>
      <c r="I90" s="2912">
        <v>352</v>
      </c>
      <c r="J90" s="2912">
        <v>0</v>
      </c>
      <c r="K90" s="2912">
        <v>4</v>
      </c>
      <c r="L90" s="2912">
        <f t="shared" si="146"/>
        <v>88</v>
      </c>
      <c r="M90" s="2913">
        <v>45899</v>
      </c>
      <c r="N90" s="2913">
        <v>45895</v>
      </c>
      <c r="O90" s="2914"/>
      <c r="P90" s="2914" t="s">
        <v>82</v>
      </c>
      <c r="Q90" s="2914" t="s">
        <v>1883</v>
      </c>
      <c r="R90" s="2915" t="s">
        <v>10451</v>
      </c>
      <c r="S90" s="2915"/>
      <c r="T90" s="2915" t="s">
        <v>10452</v>
      </c>
      <c r="U90" s="2915"/>
      <c r="V90" s="2915"/>
      <c r="W90" s="2931" t="s">
        <v>10453</v>
      </c>
      <c r="X90" s="2912" t="s">
        <v>1199</v>
      </c>
      <c r="Y90" s="2917">
        <v>7.1595</v>
      </c>
      <c r="Z90" s="2918">
        <f t="shared" si="198"/>
        <v>2520.144</v>
      </c>
      <c r="AA90" s="2912" t="s">
        <v>10456</v>
      </c>
      <c r="AB90" s="2930" t="s">
        <v>10312</v>
      </c>
      <c r="AC90" s="2912" t="s">
        <v>416</v>
      </c>
      <c r="AD90" s="2919"/>
      <c r="AE90" s="2919">
        <f t="shared" si="184"/>
        <v>352</v>
      </c>
      <c r="AF90" s="2949"/>
      <c r="AG90" s="2919"/>
      <c r="AH90" s="2919"/>
      <c r="AI90" s="2921"/>
      <c r="AJ90" s="2921"/>
      <c r="AK90" s="2921">
        <f t="shared" si="177"/>
        <v>352</v>
      </c>
      <c r="AL90" s="2921"/>
      <c r="AM90" s="2921"/>
      <c r="AN90" s="2922"/>
      <c r="AO90" s="2923"/>
      <c r="AP90" s="2921"/>
      <c r="AQ90" s="2921">
        <f t="shared" si="178"/>
        <v>88</v>
      </c>
      <c r="AR90" s="2924"/>
      <c r="AS90" s="2925">
        <f t="shared" si="185"/>
        <v>88</v>
      </c>
      <c r="AT90" s="2921">
        <f t="shared" si="186"/>
        <v>88</v>
      </c>
      <c r="AU90" s="2921"/>
      <c r="AV90" s="2922">
        <f t="shared" si="187"/>
        <v>88</v>
      </c>
      <c r="AW90" s="2923"/>
      <c r="AX90" s="2921"/>
      <c r="AY90" s="2921"/>
      <c r="AZ90" s="2924"/>
      <c r="BA90" s="2925"/>
      <c r="BB90" s="2922"/>
      <c r="BC90" s="2923"/>
      <c r="BD90" s="2921">
        <f t="shared" si="143"/>
        <v>352</v>
      </c>
      <c r="BE90" s="2921"/>
      <c r="BF90" s="2921"/>
      <c r="BG90" s="2921" t="s">
        <v>9164</v>
      </c>
      <c r="BH90" s="2921"/>
      <c r="BI90" s="2921">
        <f t="shared" si="179"/>
        <v>88</v>
      </c>
      <c r="BJ90" s="2921">
        <f t="shared" si="188"/>
        <v>88</v>
      </c>
      <c r="BK90" s="2921">
        <f t="shared" si="189"/>
        <v>88</v>
      </c>
      <c r="BL90" s="2926">
        <f t="shared" si="190"/>
        <v>88</v>
      </c>
      <c r="BM90" s="2921">
        <f t="shared" si="191"/>
        <v>88</v>
      </c>
      <c r="BN90" s="2926">
        <f t="shared" si="192"/>
        <v>88</v>
      </c>
      <c r="BO90" s="2921">
        <f t="shared" si="193"/>
        <v>88</v>
      </c>
      <c r="BP90" s="2926">
        <f t="shared" si="194"/>
        <v>88</v>
      </c>
      <c r="BQ90" s="2926">
        <f t="shared" si="169"/>
        <v>238377</v>
      </c>
      <c r="BR90" s="2926">
        <f t="shared" ref="BR90:BY90" si="211">BR89-BI90</f>
        <v>13437.5</v>
      </c>
      <c r="BS90" s="2926">
        <f t="shared" si="211"/>
        <v>-4640</v>
      </c>
      <c r="BT90" s="2926">
        <f t="shared" si="211"/>
        <v>-4640</v>
      </c>
      <c r="BU90" s="2926">
        <f t="shared" si="211"/>
        <v>-4640</v>
      </c>
      <c r="BV90" s="2926">
        <f t="shared" si="211"/>
        <v>-4640</v>
      </c>
      <c r="BW90" s="2926">
        <f t="shared" si="211"/>
        <v>-4640</v>
      </c>
      <c r="BX90" s="2926">
        <f t="shared" si="211"/>
        <v>-4640</v>
      </c>
      <c r="BY90" s="2926">
        <f t="shared" si="211"/>
        <v>-4640</v>
      </c>
      <c r="BZ90" s="2912"/>
      <c r="CA90" s="2955"/>
      <c r="CB90" s="2912"/>
      <c r="CC90" s="2912"/>
      <c r="CD90" s="2912"/>
      <c r="CE90" s="2912"/>
      <c r="CF90" s="2912"/>
      <c r="CG90" s="2912"/>
      <c r="CH90" s="2912"/>
      <c r="CI90" s="2912"/>
      <c r="CJ90" s="2912"/>
      <c r="CK90" s="2912"/>
      <c r="CL90" s="2912"/>
      <c r="CM90" s="2912"/>
      <c r="CN90" s="2912"/>
      <c r="CO90" s="2912"/>
      <c r="CP90" s="2912"/>
      <c r="CQ90" s="2912"/>
      <c r="CR90" s="2912"/>
      <c r="CS90" s="2912"/>
      <c r="CT90" s="2912"/>
      <c r="CU90" s="2912"/>
      <c r="CV90" s="2912"/>
      <c r="CW90" s="2912"/>
      <c r="CX90" s="2912"/>
      <c r="CY90" s="2912"/>
      <c r="CZ90" s="2912"/>
      <c r="DA90" s="2912"/>
      <c r="DB90" s="2912"/>
      <c r="DC90" s="2912"/>
      <c r="DD90" s="2912"/>
      <c r="DE90" s="2912"/>
      <c r="DF90" s="2912"/>
      <c r="DG90" s="2912"/>
      <c r="DH90" s="2912"/>
      <c r="DI90" s="2912"/>
      <c r="DJ90" s="2912"/>
      <c r="DK90" s="2912"/>
      <c r="DL90" s="2912"/>
      <c r="DM90" s="2912"/>
      <c r="DN90" s="2912"/>
      <c r="DO90" s="2912"/>
      <c r="DP90" s="2912"/>
      <c r="DQ90" s="2912"/>
      <c r="DR90" s="2912"/>
      <c r="DS90" s="2912"/>
      <c r="DT90" s="2912"/>
      <c r="DU90" s="2912"/>
      <c r="DV90" s="2912"/>
      <c r="DW90" s="2912"/>
      <c r="DX90" s="2912"/>
      <c r="DY90" s="2912"/>
      <c r="DZ90" s="2912"/>
      <c r="EA90" s="2912"/>
      <c r="EB90" s="2912"/>
      <c r="EC90" s="2912"/>
      <c r="ED90" s="2912"/>
      <c r="EE90" s="2912"/>
      <c r="EF90" s="2912"/>
      <c r="EG90" s="2912"/>
      <c r="EH90" s="2912"/>
      <c r="EI90" s="2912"/>
      <c r="EJ90" s="2912"/>
      <c r="EK90" s="2912"/>
      <c r="EL90" s="2912"/>
      <c r="EM90" s="2912"/>
      <c r="EN90" s="2912"/>
      <c r="EO90" s="2912"/>
      <c r="EP90" s="2912"/>
      <c r="EQ90" s="2912"/>
      <c r="ER90" s="2912"/>
      <c r="ES90" s="2912"/>
      <c r="ET90" s="2912"/>
      <c r="EU90" s="2912"/>
      <c r="EV90" s="2912"/>
      <c r="EW90" s="2912"/>
      <c r="EX90" s="2912"/>
      <c r="EY90" s="2912"/>
      <c r="EZ90" s="2912"/>
      <c r="FA90" s="2912"/>
      <c r="FB90" s="2912"/>
      <c r="FC90" s="2912"/>
      <c r="FD90" s="2912"/>
      <c r="FE90" s="2912"/>
      <c r="FF90" s="2912"/>
      <c r="FG90" s="2912"/>
      <c r="FH90" s="2912"/>
      <c r="FI90" s="2912"/>
      <c r="FJ90" s="2912"/>
      <c r="FK90" s="2912"/>
      <c r="FL90" s="2912"/>
      <c r="FM90" s="2912"/>
      <c r="FN90" s="2912"/>
      <c r="FO90" s="2912"/>
      <c r="FP90" s="2912"/>
      <c r="FQ90" s="2912"/>
      <c r="FR90" s="2912"/>
      <c r="FS90" s="2912"/>
      <c r="FT90" s="2912"/>
      <c r="FU90" s="2912"/>
      <c r="FV90" s="2912"/>
      <c r="FW90" s="2912"/>
      <c r="FX90" s="2912"/>
      <c r="FY90" s="2912"/>
      <c r="FZ90" s="2912"/>
      <c r="GA90" s="2912"/>
      <c r="GB90" s="2912"/>
      <c r="GC90" s="2912"/>
      <c r="GD90" s="2912"/>
      <c r="GE90" s="2912"/>
      <c r="GF90" s="2912"/>
      <c r="GG90" s="2912"/>
      <c r="GH90" s="2912"/>
      <c r="GI90" s="2912"/>
      <c r="GJ90" s="2912"/>
      <c r="GK90" s="2912"/>
      <c r="GL90" s="2912"/>
      <c r="GM90" s="2912"/>
      <c r="GN90" s="2912"/>
      <c r="GO90" s="2912"/>
      <c r="GP90" s="2912"/>
      <c r="GQ90" s="2912"/>
      <c r="GR90" s="2912"/>
      <c r="GS90" s="2912"/>
      <c r="GT90" s="2912"/>
      <c r="GU90" s="2912"/>
      <c r="GV90" s="2912"/>
      <c r="GW90" s="2912"/>
      <c r="GX90" s="2912"/>
      <c r="GY90" s="2912"/>
      <c r="GZ90" s="2912"/>
      <c r="HA90" s="2912"/>
      <c r="HB90" s="2912"/>
      <c r="HC90" s="2912"/>
      <c r="HD90" s="2912"/>
      <c r="HE90" s="2912"/>
      <c r="HF90" s="2912"/>
      <c r="HG90" s="2912"/>
      <c r="HH90" s="2912"/>
      <c r="HI90" s="2912"/>
      <c r="HJ90" s="2912"/>
      <c r="HK90" s="2912"/>
      <c r="HL90" s="2912"/>
      <c r="HM90" s="2912"/>
      <c r="HN90" s="2912"/>
      <c r="HO90" s="2912"/>
      <c r="HP90" s="2912"/>
      <c r="HQ90" s="2912"/>
      <c r="HR90" s="2912"/>
      <c r="HS90" s="2912"/>
      <c r="HT90" s="2912"/>
      <c r="HU90" s="2912"/>
      <c r="HV90" s="2912"/>
      <c r="HW90" s="2912"/>
      <c r="HX90" s="2912"/>
      <c r="HY90" s="2912"/>
      <c r="HZ90" s="2912"/>
      <c r="IA90" s="2912"/>
      <c r="IB90" s="2912"/>
      <c r="IC90" s="2912"/>
      <c r="ID90" s="2912"/>
      <c r="XEY90" s="2956"/>
    </row>
    <row r="91" s="2838" customFormat="1" ht="32" customHeight="1" spans="1:239 16379:16379">
      <c r="A91" s="2951">
        <v>45839</v>
      </c>
      <c r="B91" s="2906" t="s">
        <v>407</v>
      </c>
      <c r="C91" s="2907" t="s">
        <v>91</v>
      </c>
      <c r="D91" s="2908">
        <v>4500172208</v>
      </c>
      <c r="E91" s="2909" t="s">
        <v>4822</v>
      </c>
      <c r="F91" s="2908" t="s">
        <v>10457</v>
      </c>
      <c r="G91" s="2930" t="s">
        <v>10199</v>
      </c>
      <c r="H91" s="2911" t="s">
        <v>9155</v>
      </c>
      <c r="I91" s="2912">
        <v>3000</v>
      </c>
      <c r="J91" s="2912">
        <v>0</v>
      </c>
      <c r="K91" s="2912">
        <v>4</v>
      </c>
      <c r="L91" s="2912">
        <f t="shared" si="146"/>
        <v>750</v>
      </c>
      <c r="M91" s="2913">
        <v>45919</v>
      </c>
      <c r="N91" s="2913">
        <v>45915</v>
      </c>
      <c r="O91" s="2914"/>
      <c r="P91" s="2914" t="s">
        <v>82</v>
      </c>
      <c r="Q91" s="2959" t="s">
        <v>1965</v>
      </c>
      <c r="R91" s="2915" t="s">
        <v>390</v>
      </c>
      <c r="S91" s="2839"/>
      <c r="T91" s="2915" t="s">
        <v>98</v>
      </c>
      <c r="U91" s="2915" t="s">
        <v>9833</v>
      </c>
      <c r="V91" s="2915"/>
      <c r="W91" s="2931" t="s">
        <v>1621</v>
      </c>
      <c r="X91" s="2912" t="s">
        <v>393</v>
      </c>
      <c r="Y91" s="2917">
        <v>4.1108</v>
      </c>
      <c r="Z91" s="2918">
        <f t="shared" si="198"/>
        <v>12332.4</v>
      </c>
      <c r="AA91" s="2912" t="s">
        <v>4824</v>
      </c>
      <c r="AB91" s="2930" t="s">
        <v>10312</v>
      </c>
      <c r="AC91" s="2912" t="s">
        <v>416</v>
      </c>
      <c r="AD91" s="2839"/>
      <c r="AE91" s="2919">
        <f t="shared" si="184"/>
        <v>3000</v>
      </c>
      <c r="AF91" s="2950"/>
      <c r="AG91" s="2839"/>
      <c r="AH91" s="2919"/>
      <c r="AI91" s="2919"/>
      <c r="AJ91" s="2919"/>
      <c r="AK91" s="2921">
        <f t="shared" si="177"/>
        <v>3000</v>
      </c>
      <c r="AL91" s="2919"/>
      <c r="AM91" s="2921"/>
      <c r="AN91" s="2921"/>
      <c r="AO91" s="2921"/>
      <c r="AP91" s="2921"/>
      <c r="AQ91" s="2921">
        <f t="shared" si="178"/>
        <v>750</v>
      </c>
      <c r="AR91" s="2921"/>
      <c r="AS91" s="2921">
        <f t="shared" si="185"/>
        <v>750</v>
      </c>
      <c r="AT91" s="2921">
        <f t="shared" si="186"/>
        <v>750</v>
      </c>
      <c r="AU91" s="2921"/>
      <c r="AV91" s="2921">
        <f t="shared" si="187"/>
        <v>750</v>
      </c>
      <c r="AW91" s="2921"/>
      <c r="AX91" s="2921"/>
      <c r="AY91" s="2921"/>
      <c r="AZ91" s="2921"/>
      <c r="BA91" s="2921"/>
      <c r="BB91" s="2921"/>
      <c r="BC91" s="2921"/>
      <c r="BD91" s="2921">
        <f t="shared" si="143"/>
        <v>3000</v>
      </c>
      <c r="BE91" s="2921"/>
      <c r="BF91" s="2921"/>
      <c r="BG91" s="2921" t="s">
        <v>9164</v>
      </c>
      <c r="BH91" s="2921"/>
      <c r="BI91" s="2921">
        <f t="shared" si="179"/>
        <v>750</v>
      </c>
      <c r="BJ91" s="2921">
        <f t="shared" si="188"/>
        <v>750</v>
      </c>
      <c r="BK91" s="2921">
        <f t="shared" si="189"/>
        <v>750</v>
      </c>
      <c r="BL91" s="2926">
        <f t="shared" si="190"/>
        <v>750</v>
      </c>
      <c r="BM91" s="2921">
        <f t="shared" si="191"/>
        <v>750</v>
      </c>
      <c r="BN91" s="2926">
        <f t="shared" si="192"/>
        <v>750</v>
      </c>
      <c r="BO91" s="2921">
        <f t="shared" si="193"/>
        <v>750</v>
      </c>
      <c r="BP91" s="2926">
        <f t="shared" si="194"/>
        <v>750</v>
      </c>
      <c r="BQ91" s="2926">
        <f t="shared" si="169"/>
        <v>241025</v>
      </c>
      <c r="BR91" s="2926">
        <f t="shared" ref="BR91:BY91" si="212">BR83-BI91</f>
        <v>13948.5</v>
      </c>
      <c r="BS91" s="2926">
        <f t="shared" si="212"/>
        <v>-4129</v>
      </c>
      <c r="BT91" s="2926">
        <f t="shared" si="212"/>
        <v>-4129</v>
      </c>
      <c r="BU91" s="2926">
        <f t="shared" si="212"/>
        <v>-4129</v>
      </c>
      <c r="BV91" s="2926">
        <f t="shared" si="212"/>
        <v>-4129</v>
      </c>
      <c r="BW91" s="2926">
        <f t="shared" si="212"/>
        <v>-4129</v>
      </c>
      <c r="BX91" s="2926">
        <f t="shared" si="212"/>
        <v>-4129</v>
      </c>
      <c r="BY91" s="2926">
        <f t="shared" si="212"/>
        <v>-4129</v>
      </c>
      <c r="BZ91" s="2912"/>
      <c r="CA91" s="2927"/>
      <c r="CB91" s="2927"/>
      <c r="CC91" s="2927"/>
      <c r="CD91" s="2927"/>
      <c r="CE91" s="2927"/>
      <c r="CF91" s="2927"/>
      <c r="CG91" s="2927"/>
      <c r="CH91" s="2927"/>
      <c r="CI91" s="2927"/>
      <c r="CJ91" s="2927"/>
      <c r="CK91" s="2927"/>
      <c r="CL91" s="2927"/>
      <c r="CM91" s="2927"/>
      <c r="CN91" s="2927"/>
      <c r="CO91" s="2927"/>
      <c r="CP91" s="2927"/>
      <c r="CQ91" s="2927"/>
      <c r="CR91" s="2927"/>
      <c r="CS91" s="2927"/>
      <c r="CT91" s="2927"/>
      <c r="CU91" s="2927"/>
      <c r="CV91" s="2927"/>
      <c r="CW91" s="2927"/>
      <c r="CX91" s="2927"/>
      <c r="CY91" s="2927"/>
      <c r="CZ91" s="2927"/>
      <c r="DA91" s="2927"/>
      <c r="DB91" s="2927"/>
      <c r="DC91" s="2927"/>
      <c r="DD91" s="2927"/>
      <c r="DE91" s="2927"/>
      <c r="DF91" s="2927"/>
      <c r="DG91" s="2927"/>
      <c r="DH91" s="2927"/>
      <c r="DI91" s="2927"/>
      <c r="DJ91" s="2927"/>
      <c r="DK91" s="2927"/>
      <c r="DL91" s="2927"/>
      <c r="DM91" s="2927"/>
      <c r="DN91" s="2927"/>
      <c r="DO91" s="2927"/>
      <c r="DP91" s="2927"/>
      <c r="DQ91" s="2927"/>
      <c r="DR91" s="2927"/>
      <c r="DS91" s="2927"/>
      <c r="DT91" s="2927"/>
      <c r="DU91" s="2927"/>
      <c r="DV91" s="2927"/>
      <c r="DW91" s="2927"/>
      <c r="DX91" s="2927"/>
      <c r="DY91" s="2927"/>
      <c r="DZ91" s="2927"/>
      <c r="EA91" s="2927"/>
      <c r="EB91" s="2927"/>
      <c r="EC91" s="2927"/>
      <c r="ED91" s="2927"/>
      <c r="EE91" s="2927"/>
      <c r="EF91" s="2927"/>
      <c r="EG91" s="2927"/>
      <c r="EH91" s="2927"/>
      <c r="EI91" s="2927"/>
      <c r="EJ91" s="2927"/>
      <c r="EK91" s="2927"/>
      <c r="EL91" s="2927"/>
      <c r="EM91" s="2927"/>
      <c r="EN91" s="2927"/>
      <c r="EO91" s="2927"/>
      <c r="EP91" s="2927"/>
      <c r="EQ91" s="2927"/>
      <c r="ER91" s="2927"/>
      <c r="ES91" s="2927"/>
      <c r="ET91" s="2927"/>
      <c r="EU91" s="2927"/>
      <c r="EV91" s="2927"/>
      <c r="EW91" s="2927"/>
      <c r="EX91" s="2927"/>
      <c r="EY91" s="2927"/>
      <c r="EZ91" s="2927"/>
      <c r="FA91" s="2927"/>
      <c r="FB91" s="2927"/>
      <c r="FC91" s="2927"/>
      <c r="FD91" s="2927"/>
      <c r="FE91" s="2927"/>
      <c r="FF91" s="2927"/>
      <c r="FG91" s="2927"/>
      <c r="FH91" s="2927"/>
      <c r="FI91" s="2927"/>
      <c r="FJ91" s="2927"/>
      <c r="FK91" s="2927"/>
      <c r="FL91" s="2927"/>
      <c r="FM91" s="2927"/>
      <c r="FN91" s="2927"/>
      <c r="FO91" s="2927"/>
      <c r="FP91" s="2927"/>
      <c r="FQ91" s="2927"/>
      <c r="FR91" s="2927"/>
      <c r="FS91" s="2927"/>
      <c r="FT91" s="2927"/>
      <c r="FU91" s="2927"/>
      <c r="FV91" s="2927"/>
      <c r="FW91" s="2927"/>
      <c r="FX91" s="2927"/>
      <c r="FY91" s="2927"/>
      <c r="FZ91" s="2927"/>
      <c r="GA91" s="2927"/>
      <c r="GB91" s="2927"/>
      <c r="GC91" s="2927"/>
      <c r="GD91" s="2927"/>
      <c r="GE91" s="2927"/>
      <c r="GF91" s="2927"/>
      <c r="GG91" s="2927"/>
      <c r="GH91" s="2927"/>
      <c r="GI91" s="2927"/>
      <c r="GJ91" s="2927"/>
      <c r="GK91" s="2927"/>
      <c r="GL91" s="2927"/>
      <c r="GM91" s="2927"/>
      <c r="GN91" s="2927"/>
      <c r="GO91" s="2927"/>
      <c r="GP91" s="2927"/>
      <c r="GQ91" s="2927"/>
      <c r="GR91" s="2927"/>
      <c r="GS91" s="2927"/>
      <c r="GT91" s="2927"/>
      <c r="GU91" s="2927"/>
      <c r="GV91" s="2927"/>
      <c r="GW91" s="2927"/>
      <c r="GX91" s="2927"/>
      <c r="GY91" s="2927"/>
      <c r="GZ91" s="2927"/>
      <c r="HA91" s="2927"/>
      <c r="HB91" s="2927"/>
      <c r="HC91" s="2927"/>
      <c r="HD91" s="2927"/>
      <c r="HE91" s="2927"/>
      <c r="HF91" s="2927"/>
      <c r="HG91" s="2927"/>
      <c r="HH91" s="2927"/>
      <c r="HI91" s="2927"/>
      <c r="HJ91" s="2927"/>
      <c r="HK91" s="2927"/>
      <c r="HL91" s="2927"/>
      <c r="HM91" s="2927"/>
      <c r="HN91" s="2927"/>
      <c r="HO91" s="2927"/>
      <c r="HP91" s="2927"/>
      <c r="HQ91" s="2927"/>
      <c r="HR91" s="2927"/>
      <c r="HS91" s="2927"/>
      <c r="HT91" s="2927"/>
      <c r="HU91" s="2927"/>
      <c r="HV91" s="2927"/>
      <c r="HW91" s="2927"/>
      <c r="HX91" s="2927"/>
      <c r="HY91" s="2927"/>
      <c r="HZ91" s="2927"/>
      <c r="IA91" s="2927"/>
      <c r="IB91" s="2927"/>
      <c r="IC91" s="2927"/>
      <c r="ID91" s="2927"/>
      <c r="XEY91" s="2962"/>
    </row>
    <row r="92" s="2838" customFormat="1" ht="32" customHeight="1" spans="1:239 16379:16379">
      <c r="A92" s="2951">
        <v>45852</v>
      </c>
      <c r="B92" s="2906" t="s">
        <v>5560</v>
      </c>
      <c r="C92" s="2907" t="s">
        <v>562</v>
      </c>
      <c r="D92" s="2908">
        <v>4500173750</v>
      </c>
      <c r="E92" s="2909"/>
      <c r="F92" s="2908" t="s">
        <v>10458</v>
      </c>
      <c r="G92" s="2930" t="s">
        <v>10199</v>
      </c>
      <c r="H92" s="2911" t="s">
        <v>9155</v>
      </c>
      <c r="I92" s="2912">
        <v>504</v>
      </c>
      <c r="J92" s="2912">
        <v>0</v>
      </c>
      <c r="K92" s="2912">
        <v>4</v>
      </c>
      <c r="L92" s="2912">
        <f t="shared" si="146"/>
        <v>126</v>
      </c>
      <c r="M92" s="2913">
        <v>45909</v>
      </c>
      <c r="N92" s="2913">
        <v>45905</v>
      </c>
      <c r="O92" s="2914"/>
      <c r="P92" s="2914" t="s">
        <v>82</v>
      </c>
      <c r="Q92" s="2914" t="s">
        <v>243</v>
      </c>
      <c r="R92" s="2915" t="s">
        <v>7561</v>
      </c>
      <c r="S92" s="2915"/>
      <c r="T92" s="2915" t="s">
        <v>9788</v>
      </c>
      <c r="U92" s="2915"/>
      <c r="V92" s="2915"/>
      <c r="W92" s="2931" t="s">
        <v>10459</v>
      </c>
      <c r="X92" s="2912" t="s">
        <v>9790</v>
      </c>
      <c r="Y92" s="2917">
        <v>6.8678</v>
      </c>
      <c r="Z92" s="2918">
        <f t="shared" si="198"/>
        <v>3461.3712</v>
      </c>
      <c r="AA92" s="2912" t="s">
        <v>10460</v>
      </c>
      <c r="AB92" s="2963" t="s">
        <v>10391</v>
      </c>
      <c r="AC92" s="2912" t="s">
        <v>416</v>
      </c>
      <c r="AD92" s="2919"/>
      <c r="AE92" s="2964"/>
      <c r="AF92" s="2965"/>
      <c r="AG92" s="2964">
        <f>I92</f>
        <v>504</v>
      </c>
      <c r="AH92" s="2964"/>
      <c r="AI92" s="2966"/>
      <c r="AJ92" s="2966"/>
      <c r="AK92" s="2966">
        <f t="shared" si="177"/>
        <v>504</v>
      </c>
      <c r="AL92" s="2921"/>
      <c r="AM92" s="2921"/>
      <c r="AN92" s="2921"/>
      <c r="AO92" s="2921"/>
      <c r="AP92" s="2921"/>
      <c r="AQ92" s="2921">
        <f t="shared" si="178"/>
        <v>126</v>
      </c>
      <c r="AR92" s="2921"/>
      <c r="AS92" s="2921">
        <f t="shared" si="185"/>
        <v>126</v>
      </c>
      <c r="AT92" s="2921">
        <f t="shared" si="186"/>
        <v>126</v>
      </c>
      <c r="AU92" s="2921"/>
      <c r="AV92" s="2921">
        <f t="shared" si="187"/>
        <v>126</v>
      </c>
      <c r="AW92" s="2921"/>
      <c r="AX92" s="2921"/>
      <c r="AY92" s="2921"/>
      <c r="AZ92" s="2921"/>
      <c r="BA92" s="2921"/>
      <c r="BB92" s="2921"/>
      <c r="BC92" s="2921"/>
      <c r="BD92" s="2921">
        <f t="shared" si="143"/>
        <v>504</v>
      </c>
      <c r="BE92" s="2921"/>
      <c r="BF92" s="2921"/>
      <c r="BG92" s="2921" t="s">
        <v>9164</v>
      </c>
      <c r="BH92" s="2921"/>
      <c r="BI92" s="2921">
        <f t="shared" si="179"/>
        <v>126</v>
      </c>
      <c r="BJ92" s="2921">
        <f t="shared" si="188"/>
        <v>126</v>
      </c>
      <c r="BK92" s="2921">
        <f t="shared" si="189"/>
        <v>126</v>
      </c>
      <c r="BL92" s="2926">
        <f t="shared" si="190"/>
        <v>126</v>
      </c>
      <c r="BM92" s="2921">
        <f t="shared" si="191"/>
        <v>126</v>
      </c>
      <c r="BN92" s="2926">
        <f t="shared" si="192"/>
        <v>126</v>
      </c>
      <c r="BO92" s="2921">
        <f t="shared" si="193"/>
        <v>126</v>
      </c>
      <c r="BP92" s="2926">
        <f t="shared" si="194"/>
        <v>126</v>
      </c>
      <c r="BQ92" s="2926">
        <f t="shared" si="169"/>
        <v>238529</v>
      </c>
      <c r="BR92" s="2926">
        <f t="shared" ref="BR92:BY92" si="213">BR90-BI92</f>
        <v>13311.5</v>
      </c>
      <c r="BS92" s="2926">
        <f t="shared" si="213"/>
        <v>-4766</v>
      </c>
      <c r="BT92" s="2926">
        <f t="shared" si="213"/>
        <v>-4766</v>
      </c>
      <c r="BU92" s="2926">
        <f t="shared" si="213"/>
        <v>-4766</v>
      </c>
      <c r="BV92" s="2926">
        <f t="shared" si="213"/>
        <v>-4766</v>
      </c>
      <c r="BW92" s="2926">
        <f t="shared" si="213"/>
        <v>-4766</v>
      </c>
      <c r="BX92" s="2926">
        <f t="shared" si="213"/>
        <v>-4766</v>
      </c>
      <c r="BY92" s="2926">
        <f t="shared" si="213"/>
        <v>-4766</v>
      </c>
      <c r="BZ92" s="2912"/>
      <c r="CA92" s="2927"/>
      <c r="CB92" s="2927"/>
      <c r="CC92" s="2927"/>
      <c r="CD92" s="2927"/>
      <c r="CE92" s="2927"/>
      <c r="CF92" s="2927"/>
      <c r="CG92" s="2927"/>
      <c r="CH92" s="2927"/>
      <c r="CI92" s="2927"/>
      <c r="CJ92" s="2927"/>
      <c r="CK92" s="2927"/>
      <c r="CL92" s="2927"/>
      <c r="CM92" s="2927"/>
      <c r="CN92" s="2927"/>
      <c r="CO92" s="2927"/>
      <c r="CP92" s="2927"/>
      <c r="CQ92" s="2927"/>
      <c r="CR92" s="2927"/>
      <c r="CS92" s="2927"/>
      <c r="CT92" s="2927"/>
      <c r="CU92" s="2927"/>
      <c r="CV92" s="2927"/>
      <c r="CW92" s="2927"/>
      <c r="CX92" s="2927"/>
      <c r="CY92" s="2927"/>
      <c r="CZ92" s="2927"/>
      <c r="DA92" s="2927"/>
      <c r="DB92" s="2927"/>
      <c r="DC92" s="2927"/>
      <c r="DD92" s="2927"/>
      <c r="DE92" s="2927"/>
      <c r="DF92" s="2927"/>
      <c r="DG92" s="2927"/>
      <c r="DH92" s="2927"/>
      <c r="DI92" s="2927"/>
      <c r="DJ92" s="2927"/>
      <c r="DK92" s="2927"/>
      <c r="DL92" s="2927"/>
      <c r="DM92" s="2927"/>
      <c r="DN92" s="2927"/>
      <c r="DO92" s="2927"/>
      <c r="DP92" s="2927"/>
      <c r="DQ92" s="2927"/>
      <c r="DR92" s="2927"/>
      <c r="DS92" s="2927"/>
      <c r="DT92" s="2927"/>
      <c r="DU92" s="2927"/>
      <c r="DV92" s="2927"/>
      <c r="DW92" s="2927"/>
      <c r="DX92" s="2927"/>
      <c r="DY92" s="2927"/>
      <c r="DZ92" s="2927"/>
      <c r="EA92" s="2927"/>
      <c r="EB92" s="2927"/>
      <c r="EC92" s="2927"/>
      <c r="ED92" s="2927"/>
      <c r="EE92" s="2927"/>
      <c r="EF92" s="2927"/>
      <c r="EG92" s="2927"/>
      <c r="EH92" s="2927"/>
      <c r="EI92" s="2927"/>
      <c r="EJ92" s="2927"/>
      <c r="EK92" s="2927"/>
      <c r="EL92" s="2927"/>
      <c r="EM92" s="2927"/>
      <c r="EN92" s="2927"/>
      <c r="EO92" s="2927"/>
      <c r="EP92" s="2927"/>
      <c r="EQ92" s="2927"/>
      <c r="ER92" s="2927"/>
      <c r="ES92" s="2927"/>
      <c r="ET92" s="2927"/>
      <c r="EU92" s="2927"/>
      <c r="EV92" s="2927"/>
      <c r="EW92" s="2927"/>
      <c r="EX92" s="2927"/>
      <c r="EY92" s="2927"/>
      <c r="EZ92" s="2927"/>
      <c r="FA92" s="2927"/>
      <c r="FB92" s="2927"/>
      <c r="FC92" s="2927"/>
      <c r="FD92" s="2927"/>
      <c r="FE92" s="2927"/>
      <c r="FF92" s="2927"/>
      <c r="FG92" s="2927"/>
      <c r="FH92" s="2927"/>
      <c r="FI92" s="2927"/>
      <c r="FJ92" s="2927"/>
      <c r="FK92" s="2927"/>
      <c r="FL92" s="2927"/>
      <c r="FM92" s="2927"/>
      <c r="FN92" s="2927"/>
      <c r="FO92" s="2927"/>
      <c r="FP92" s="2927"/>
      <c r="FQ92" s="2927"/>
      <c r="FR92" s="2927"/>
      <c r="FS92" s="2927"/>
      <c r="FT92" s="2927"/>
      <c r="FU92" s="2927"/>
      <c r="FV92" s="2927"/>
      <c r="FW92" s="2927"/>
      <c r="FX92" s="2927"/>
      <c r="FY92" s="2927"/>
      <c r="FZ92" s="2927"/>
      <c r="GA92" s="2927"/>
      <c r="GB92" s="2927"/>
      <c r="GC92" s="2927"/>
      <c r="GD92" s="2927"/>
      <c r="GE92" s="2927"/>
      <c r="GF92" s="2927"/>
      <c r="GG92" s="2927"/>
      <c r="GH92" s="2927"/>
      <c r="GI92" s="2927"/>
      <c r="GJ92" s="2927"/>
      <c r="GK92" s="2927"/>
      <c r="GL92" s="2927"/>
      <c r="GM92" s="2927"/>
      <c r="GN92" s="2927"/>
      <c r="GO92" s="2927"/>
      <c r="GP92" s="2927"/>
      <c r="GQ92" s="2927"/>
      <c r="GR92" s="2927"/>
      <c r="GS92" s="2927"/>
      <c r="GT92" s="2927"/>
      <c r="GU92" s="2927"/>
      <c r="GV92" s="2927"/>
      <c r="GW92" s="2927"/>
      <c r="GX92" s="2927"/>
      <c r="GY92" s="2927"/>
      <c r="GZ92" s="2927"/>
      <c r="HA92" s="2927"/>
      <c r="HB92" s="2927"/>
      <c r="HC92" s="2927"/>
      <c r="HD92" s="2927"/>
      <c r="HE92" s="2927"/>
      <c r="HF92" s="2927"/>
      <c r="HG92" s="2927"/>
      <c r="HH92" s="2927"/>
      <c r="HI92" s="2927"/>
      <c r="HJ92" s="2927"/>
      <c r="HK92" s="2927"/>
      <c r="HL92" s="2927"/>
      <c r="HM92" s="2927"/>
      <c r="HN92" s="2927"/>
      <c r="HO92" s="2927"/>
      <c r="HP92" s="2927"/>
      <c r="HQ92" s="2927"/>
      <c r="HR92" s="2927"/>
      <c r="HS92" s="2927"/>
      <c r="HT92" s="2927"/>
      <c r="HU92" s="2927"/>
      <c r="HV92" s="2927"/>
      <c r="HW92" s="2927"/>
      <c r="HX92" s="2927"/>
      <c r="HY92" s="2927"/>
      <c r="HZ92" s="2927"/>
      <c r="IA92" s="2927"/>
      <c r="IB92" s="2927"/>
      <c r="IC92" s="2927"/>
      <c r="ID92" s="2927"/>
      <c r="XEY92" s="2942"/>
    </row>
    <row r="93" s="2838" customFormat="1" ht="32" customHeight="1" spans="1:239 16379:16379">
      <c r="A93" s="2951">
        <v>45874</v>
      </c>
      <c r="B93" s="2906" t="s">
        <v>8747</v>
      </c>
      <c r="C93" s="2907" t="s">
        <v>91</v>
      </c>
      <c r="D93" s="2908">
        <v>4500175977</v>
      </c>
      <c r="E93" s="2909" t="s">
        <v>10461</v>
      </c>
      <c r="F93" s="2908" t="s">
        <v>10462</v>
      </c>
      <c r="G93" s="2930" t="s">
        <v>10199</v>
      </c>
      <c r="H93" s="2911" t="s">
        <v>9155</v>
      </c>
      <c r="I93" s="2912">
        <v>104</v>
      </c>
      <c r="J93" s="2912">
        <v>0</v>
      </c>
      <c r="K93" s="2912">
        <v>4</v>
      </c>
      <c r="L93" s="2912">
        <f t="shared" si="146"/>
        <v>26</v>
      </c>
      <c r="M93" s="2913">
        <v>45919</v>
      </c>
      <c r="N93" s="2913">
        <v>45915</v>
      </c>
      <c r="O93" s="2914"/>
      <c r="P93" s="2914" t="s">
        <v>82</v>
      </c>
      <c r="Q93" s="2914" t="s">
        <v>1965</v>
      </c>
      <c r="R93" s="2911" t="s">
        <v>9823</v>
      </c>
      <c r="S93" s="2915"/>
      <c r="T93" s="2915" t="s">
        <v>98</v>
      </c>
      <c r="U93" s="2915"/>
      <c r="V93" s="2915"/>
      <c r="W93" s="2931" t="s">
        <v>10463</v>
      </c>
      <c r="X93" s="2912" t="s">
        <v>2808</v>
      </c>
      <c r="Y93" s="2960">
        <v>4.3057</v>
      </c>
      <c r="Z93" s="2961">
        <f t="shared" si="198"/>
        <v>447.7928</v>
      </c>
      <c r="AA93" s="2912" t="s">
        <v>10464</v>
      </c>
      <c r="AB93" s="2930" t="s">
        <v>10312</v>
      </c>
      <c r="AC93" s="2912" t="s">
        <v>416</v>
      </c>
      <c r="AD93" s="2919"/>
      <c r="AE93" s="2919">
        <f t="shared" ref="AE93:AE98" si="214">I93</f>
        <v>104</v>
      </c>
      <c r="AF93" s="2920"/>
      <c r="AG93" s="2919"/>
      <c r="AH93" s="2919"/>
      <c r="AI93" s="2919"/>
      <c r="AJ93" s="2921"/>
      <c r="AK93" s="2921">
        <f t="shared" si="177"/>
        <v>104</v>
      </c>
      <c r="AL93" s="2921"/>
      <c r="AM93" s="2921"/>
      <c r="AN93" s="2921"/>
      <c r="AO93" s="2921"/>
      <c r="AP93" s="2921"/>
      <c r="AQ93" s="2921">
        <f t="shared" si="178"/>
        <v>26</v>
      </c>
      <c r="AR93" s="2921"/>
      <c r="AS93" s="2921">
        <f t="shared" si="185"/>
        <v>26</v>
      </c>
      <c r="AT93" s="2921">
        <f t="shared" si="186"/>
        <v>26</v>
      </c>
      <c r="AU93" s="2921"/>
      <c r="AV93" s="2921">
        <f t="shared" si="187"/>
        <v>26</v>
      </c>
      <c r="AW93" s="2921"/>
      <c r="AX93" s="2921"/>
      <c r="AY93" s="2921"/>
      <c r="AZ93" s="2921"/>
      <c r="BA93" s="2921"/>
      <c r="BB93" s="2921"/>
      <c r="BC93" s="2921"/>
      <c r="BD93" s="2921">
        <f t="shared" si="143"/>
        <v>104</v>
      </c>
      <c r="BE93" s="2921"/>
      <c r="BF93" s="2921">
        <f t="shared" ref="BF93:BF124" si="215">I93</f>
        <v>104</v>
      </c>
      <c r="BG93" s="2921" t="s">
        <v>9164</v>
      </c>
      <c r="BH93" s="2921"/>
      <c r="BI93" s="2921">
        <f t="shared" si="179"/>
        <v>26</v>
      </c>
      <c r="BJ93" s="2921">
        <f t="shared" si="188"/>
        <v>26</v>
      </c>
      <c r="BK93" s="2921">
        <f t="shared" si="189"/>
        <v>26</v>
      </c>
      <c r="BL93" s="2926">
        <f t="shared" si="190"/>
        <v>26</v>
      </c>
      <c r="BM93" s="2921">
        <f t="shared" si="191"/>
        <v>26</v>
      </c>
      <c r="BN93" s="2926">
        <f t="shared" si="192"/>
        <v>26</v>
      </c>
      <c r="BO93" s="2921">
        <f t="shared" si="193"/>
        <v>26</v>
      </c>
      <c r="BP93" s="2926">
        <f t="shared" si="194"/>
        <v>26</v>
      </c>
      <c r="BQ93" s="2926">
        <f t="shared" si="169"/>
        <v>238129</v>
      </c>
      <c r="BR93" s="2926">
        <f t="shared" ref="BR93:BY93" si="216">BR88-BI93</f>
        <v>13135.5</v>
      </c>
      <c r="BS93" s="2926">
        <f t="shared" si="216"/>
        <v>-4942</v>
      </c>
      <c r="BT93" s="2926">
        <f t="shared" si="216"/>
        <v>-4942</v>
      </c>
      <c r="BU93" s="2926">
        <f t="shared" si="216"/>
        <v>-4942</v>
      </c>
      <c r="BV93" s="2926">
        <f t="shared" si="216"/>
        <v>-4942</v>
      </c>
      <c r="BW93" s="2926">
        <f t="shared" si="216"/>
        <v>-4942</v>
      </c>
      <c r="BX93" s="2926">
        <f t="shared" si="216"/>
        <v>-4942</v>
      </c>
      <c r="BY93" s="2926">
        <f t="shared" si="216"/>
        <v>-4942</v>
      </c>
      <c r="BZ93" s="2912"/>
      <c r="CA93" s="2927"/>
      <c r="CB93" s="2927"/>
      <c r="CC93" s="2927"/>
      <c r="CD93" s="2927"/>
      <c r="CE93" s="2927"/>
      <c r="CF93" s="2927"/>
      <c r="CG93" s="2927"/>
      <c r="CH93" s="2927"/>
      <c r="CI93" s="2927"/>
      <c r="CJ93" s="2927"/>
      <c r="CK93" s="2927"/>
      <c r="CL93" s="2927"/>
      <c r="CM93" s="2927"/>
      <c r="CN93" s="2927"/>
      <c r="CO93" s="2927"/>
      <c r="CP93" s="2927"/>
      <c r="CQ93" s="2927"/>
      <c r="CR93" s="2927"/>
      <c r="CS93" s="2927"/>
      <c r="CT93" s="2927"/>
      <c r="CU93" s="2927"/>
      <c r="CV93" s="2927"/>
      <c r="CW93" s="2927"/>
      <c r="CX93" s="2927"/>
      <c r="CY93" s="2927"/>
      <c r="CZ93" s="2927"/>
      <c r="DA93" s="2927"/>
      <c r="DB93" s="2927"/>
      <c r="DC93" s="2927"/>
      <c r="DD93" s="2927"/>
      <c r="DE93" s="2927"/>
      <c r="DF93" s="2927"/>
      <c r="DG93" s="2927"/>
      <c r="DH93" s="2927"/>
      <c r="DI93" s="2927"/>
      <c r="DJ93" s="2927"/>
      <c r="DK93" s="2927"/>
      <c r="DL93" s="2927"/>
      <c r="DM93" s="2927"/>
      <c r="DN93" s="2927"/>
      <c r="DO93" s="2927"/>
      <c r="DP93" s="2927"/>
      <c r="DQ93" s="2927"/>
      <c r="DR93" s="2927"/>
      <c r="DS93" s="2927"/>
      <c r="DT93" s="2927"/>
      <c r="DU93" s="2927"/>
      <c r="DV93" s="2927"/>
      <c r="DW93" s="2927"/>
      <c r="DX93" s="2927"/>
      <c r="DY93" s="2927"/>
      <c r="DZ93" s="2927"/>
      <c r="EA93" s="2927"/>
      <c r="EB93" s="2927"/>
      <c r="EC93" s="2927"/>
      <c r="ED93" s="2927"/>
      <c r="EE93" s="2927"/>
      <c r="EF93" s="2927"/>
      <c r="EG93" s="2927"/>
      <c r="EH93" s="2927"/>
      <c r="EI93" s="2927"/>
      <c r="EJ93" s="2927"/>
      <c r="EK93" s="2927"/>
      <c r="EL93" s="2927"/>
      <c r="EM93" s="2927"/>
      <c r="EN93" s="2927"/>
      <c r="EO93" s="2927"/>
      <c r="EP93" s="2927"/>
      <c r="EQ93" s="2927"/>
      <c r="ER93" s="2927"/>
      <c r="ES93" s="2927"/>
      <c r="ET93" s="2927"/>
      <c r="EU93" s="2927"/>
      <c r="EV93" s="2927"/>
      <c r="EW93" s="2927"/>
      <c r="EX93" s="2927"/>
      <c r="EY93" s="2927"/>
      <c r="EZ93" s="2927"/>
      <c r="FA93" s="2927"/>
      <c r="FB93" s="2927"/>
      <c r="FC93" s="2927"/>
      <c r="FD93" s="2927"/>
      <c r="FE93" s="2927"/>
      <c r="FF93" s="2927"/>
      <c r="FG93" s="2927"/>
      <c r="FH93" s="2927"/>
      <c r="FI93" s="2927"/>
      <c r="FJ93" s="2927"/>
      <c r="FK93" s="2927"/>
      <c r="FL93" s="2927"/>
      <c r="FM93" s="2927"/>
      <c r="FN93" s="2927"/>
      <c r="FO93" s="2927"/>
      <c r="FP93" s="2927"/>
      <c r="FQ93" s="2927"/>
      <c r="FR93" s="2927"/>
      <c r="FS93" s="2927"/>
      <c r="FT93" s="2927"/>
      <c r="FU93" s="2927"/>
      <c r="FV93" s="2927"/>
      <c r="FW93" s="2927"/>
      <c r="FX93" s="2927"/>
      <c r="FY93" s="2927"/>
      <c r="FZ93" s="2927"/>
      <c r="GA93" s="2927"/>
      <c r="GB93" s="2927"/>
      <c r="GC93" s="2927"/>
      <c r="GD93" s="2927"/>
      <c r="GE93" s="2927"/>
      <c r="GF93" s="2927"/>
      <c r="GG93" s="2927"/>
      <c r="GH93" s="2927"/>
      <c r="GI93" s="2927"/>
      <c r="GJ93" s="2927"/>
      <c r="GK93" s="2927"/>
      <c r="GL93" s="2927"/>
      <c r="GM93" s="2927"/>
      <c r="GN93" s="2927"/>
      <c r="GO93" s="2927"/>
      <c r="GP93" s="2927"/>
      <c r="GQ93" s="2927"/>
      <c r="GR93" s="2927"/>
      <c r="GS93" s="2927"/>
      <c r="GT93" s="2927"/>
      <c r="GU93" s="2927"/>
      <c r="GV93" s="2927"/>
      <c r="GW93" s="2927"/>
      <c r="GX93" s="2927"/>
      <c r="GY93" s="2927"/>
      <c r="GZ93" s="2927"/>
      <c r="HA93" s="2927"/>
      <c r="HB93" s="2927"/>
      <c r="HC93" s="2927"/>
      <c r="HD93" s="2927"/>
      <c r="HE93" s="2927"/>
      <c r="HF93" s="2927"/>
      <c r="HG93" s="2927"/>
      <c r="HH93" s="2927"/>
      <c r="HI93" s="2927"/>
      <c r="HJ93" s="2927"/>
      <c r="HK93" s="2927"/>
      <c r="HL93" s="2927"/>
      <c r="HM93" s="2927"/>
      <c r="HN93" s="2927"/>
      <c r="HO93" s="2927"/>
      <c r="HP93" s="2927"/>
      <c r="HQ93" s="2927"/>
      <c r="HR93" s="2927"/>
      <c r="HS93" s="2927"/>
      <c r="HT93" s="2927"/>
      <c r="HU93" s="2927"/>
      <c r="HV93" s="2927"/>
      <c r="HW93" s="2927"/>
      <c r="HX93" s="2927"/>
      <c r="HY93" s="2927"/>
      <c r="HZ93" s="2927"/>
      <c r="IA93" s="2927"/>
      <c r="IB93" s="2927"/>
      <c r="IC93" s="2927"/>
      <c r="ID93" s="2927"/>
      <c r="IE93" s="2927"/>
    </row>
    <row r="94" s="2838" customFormat="1" ht="32" customHeight="1" spans="1:239 16379:16379">
      <c r="A94" s="2951">
        <v>45862</v>
      </c>
      <c r="B94" s="2906" t="s">
        <v>407</v>
      </c>
      <c r="C94" s="2907" t="s">
        <v>91</v>
      </c>
      <c r="D94" s="2908">
        <v>4500173508</v>
      </c>
      <c r="E94" s="2909" t="s">
        <v>10465</v>
      </c>
      <c r="F94" s="2908" t="s">
        <v>10466</v>
      </c>
      <c r="G94" s="2930" t="s">
        <v>10199</v>
      </c>
      <c r="H94" s="2911" t="s">
        <v>9155</v>
      </c>
      <c r="I94" s="2912">
        <v>3000</v>
      </c>
      <c r="J94" s="2912">
        <v>0</v>
      </c>
      <c r="K94" s="2912">
        <v>4</v>
      </c>
      <c r="L94" s="2912">
        <f t="shared" si="146"/>
        <v>750</v>
      </c>
      <c r="M94" s="2913">
        <v>45925</v>
      </c>
      <c r="N94" s="2913">
        <v>45921</v>
      </c>
      <c r="O94" s="2914"/>
      <c r="P94" s="2914" t="s">
        <v>82</v>
      </c>
      <c r="Q94" s="2959" t="s">
        <v>1990</v>
      </c>
      <c r="R94" s="2915" t="s">
        <v>390</v>
      </c>
      <c r="S94" s="2915"/>
      <c r="T94" s="2915" t="s">
        <v>98</v>
      </c>
      <c r="U94" s="2915" t="s">
        <v>9841</v>
      </c>
      <c r="V94" s="2915"/>
      <c r="W94" s="2931" t="s">
        <v>1621</v>
      </c>
      <c r="X94" s="2912" t="s">
        <v>1880</v>
      </c>
      <c r="Y94" s="2917">
        <v>4.1108</v>
      </c>
      <c r="Z94" s="2918">
        <f t="shared" si="198"/>
        <v>12332.4</v>
      </c>
      <c r="AA94" s="2912" t="s">
        <v>7666</v>
      </c>
      <c r="AB94" s="2930" t="s">
        <v>10312</v>
      </c>
      <c r="AC94" s="2912" t="s">
        <v>416</v>
      </c>
      <c r="AD94" s="2919"/>
      <c r="AE94" s="2919">
        <f t="shared" si="214"/>
        <v>3000</v>
      </c>
      <c r="AF94" s="2919"/>
      <c r="AG94" s="2919"/>
      <c r="AH94" s="2919"/>
      <c r="AI94" s="2919"/>
      <c r="AJ94" s="2921"/>
      <c r="AK94" s="2921">
        <f t="shared" si="177"/>
        <v>3000</v>
      </c>
      <c r="AL94" s="2921"/>
      <c r="AM94" s="2922"/>
      <c r="AN94" s="2922"/>
      <c r="AO94" s="2923"/>
      <c r="AP94" s="2921"/>
      <c r="AQ94" s="2921">
        <f t="shared" si="178"/>
        <v>750</v>
      </c>
      <c r="AR94" s="2924"/>
      <c r="AS94" s="2921">
        <f t="shared" si="185"/>
        <v>750</v>
      </c>
      <c r="AT94" s="2921">
        <f t="shared" si="186"/>
        <v>750</v>
      </c>
      <c r="AU94" s="2921"/>
      <c r="AV94" s="2921">
        <f t="shared" si="187"/>
        <v>750</v>
      </c>
      <c r="AW94" s="2923"/>
      <c r="AX94" s="2921"/>
      <c r="AY94" s="2921"/>
      <c r="AZ94" s="2924"/>
      <c r="BA94" s="2923"/>
      <c r="BB94" s="2924"/>
      <c r="BC94" s="2925"/>
      <c r="BD94" s="2921">
        <f t="shared" si="143"/>
        <v>3000</v>
      </c>
      <c r="BE94" s="2921"/>
      <c r="BF94" s="2921"/>
      <c r="BG94" s="2921" t="s">
        <v>9164</v>
      </c>
      <c r="BH94" s="2921"/>
      <c r="BI94" s="2921">
        <f t="shared" si="179"/>
        <v>750</v>
      </c>
      <c r="BJ94" s="2921">
        <f t="shared" si="188"/>
        <v>750</v>
      </c>
      <c r="BK94" s="2921">
        <f t="shared" si="189"/>
        <v>750</v>
      </c>
      <c r="BL94" s="2926">
        <f t="shared" si="190"/>
        <v>750</v>
      </c>
      <c r="BM94" s="2921">
        <f t="shared" si="191"/>
        <v>750</v>
      </c>
      <c r="BN94" s="2926">
        <f t="shared" si="192"/>
        <v>750</v>
      </c>
      <c r="BO94" s="2921">
        <f t="shared" si="193"/>
        <v>750</v>
      </c>
      <c r="BP94" s="2926">
        <f t="shared" si="194"/>
        <v>750</v>
      </c>
      <c r="BQ94" s="2926">
        <f t="shared" si="169"/>
        <v>241025</v>
      </c>
      <c r="BR94" s="2926">
        <f t="shared" ref="BR94:BY94" si="217">BR88-BI94</f>
        <v>12411.5</v>
      </c>
      <c r="BS94" s="2926">
        <f t="shared" si="217"/>
        <v>-5666</v>
      </c>
      <c r="BT94" s="2926">
        <f t="shared" si="217"/>
        <v>-5666</v>
      </c>
      <c r="BU94" s="2926">
        <f t="shared" si="217"/>
        <v>-5666</v>
      </c>
      <c r="BV94" s="2926">
        <f t="shared" si="217"/>
        <v>-5666</v>
      </c>
      <c r="BW94" s="2926">
        <f t="shared" si="217"/>
        <v>-5666</v>
      </c>
      <c r="BX94" s="2926">
        <f t="shared" si="217"/>
        <v>-5666</v>
      </c>
      <c r="BY94" s="2926">
        <f t="shared" si="217"/>
        <v>-5666</v>
      </c>
      <c r="BZ94" s="2912"/>
      <c r="CA94" s="2927"/>
      <c r="CB94" s="2927"/>
      <c r="CC94" s="2927"/>
      <c r="CD94" s="2927"/>
      <c r="CE94" s="2927"/>
      <c r="CF94" s="2927"/>
      <c r="CG94" s="2927"/>
      <c r="CH94" s="2927"/>
      <c r="CI94" s="2927"/>
      <c r="CJ94" s="2927"/>
      <c r="CK94" s="2927"/>
      <c r="CL94" s="2927"/>
      <c r="CM94" s="2927"/>
      <c r="CN94" s="2927"/>
      <c r="CO94" s="2927"/>
      <c r="CP94" s="2927"/>
      <c r="CQ94" s="2927"/>
      <c r="CR94" s="2927"/>
      <c r="CS94" s="2927"/>
      <c r="CT94" s="2927"/>
      <c r="CU94" s="2927"/>
      <c r="CV94" s="2927"/>
      <c r="CW94" s="2927"/>
      <c r="CX94" s="2927"/>
      <c r="CY94" s="2927"/>
      <c r="CZ94" s="2927"/>
      <c r="DA94" s="2927"/>
      <c r="DB94" s="2927"/>
      <c r="DC94" s="2927"/>
      <c r="DD94" s="2927"/>
      <c r="DE94" s="2927"/>
      <c r="DF94" s="2927"/>
      <c r="DG94" s="2927"/>
      <c r="DH94" s="2927"/>
      <c r="DI94" s="2927"/>
      <c r="DJ94" s="2927"/>
      <c r="DK94" s="2927"/>
      <c r="DL94" s="2927"/>
      <c r="DM94" s="2927"/>
      <c r="DN94" s="2927"/>
      <c r="DO94" s="2927"/>
      <c r="DP94" s="2927"/>
      <c r="DQ94" s="2927"/>
      <c r="DR94" s="2927"/>
      <c r="DS94" s="2927"/>
      <c r="DT94" s="2927"/>
      <c r="DU94" s="2927"/>
      <c r="DV94" s="2927"/>
      <c r="DW94" s="2927"/>
      <c r="DX94" s="2927"/>
      <c r="DY94" s="2927"/>
      <c r="DZ94" s="2927"/>
      <c r="EA94" s="2927"/>
      <c r="EB94" s="2927"/>
      <c r="EC94" s="2927"/>
      <c r="ED94" s="2927"/>
      <c r="EE94" s="2927"/>
      <c r="EF94" s="2927"/>
      <c r="EG94" s="2927"/>
      <c r="EH94" s="2927"/>
      <c r="EI94" s="2927"/>
      <c r="EJ94" s="2927"/>
      <c r="EK94" s="2927"/>
      <c r="EL94" s="2927"/>
      <c r="EM94" s="2927"/>
      <c r="EN94" s="2927"/>
      <c r="EO94" s="2927"/>
      <c r="EP94" s="2927"/>
      <c r="EQ94" s="2927"/>
      <c r="ER94" s="2927"/>
      <c r="ES94" s="2927"/>
      <c r="ET94" s="2927"/>
      <c r="EU94" s="2927"/>
      <c r="EV94" s="2927"/>
      <c r="EW94" s="2927"/>
      <c r="EX94" s="2927"/>
      <c r="EY94" s="2927"/>
      <c r="EZ94" s="2927"/>
      <c r="FA94" s="2927"/>
      <c r="FB94" s="2927"/>
      <c r="FC94" s="2927"/>
      <c r="FD94" s="2927"/>
      <c r="FE94" s="2927"/>
      <c r="FF94" s="2927"/>
      <c r="FG94" s="2927"/>
      <c r="FH94" s="2927"/>
      <c r="FI94" s="2927"/>
      <c r="FJ94" s="2927"/>
      <c r="FK94" s="2927"/>
      <c r="FL94" s="2927"/>
      <c r="FM94" s="2927"/>
      <c r="FN94" s="2927"/>
      <c r="FO94" s="2927"/>
      <c r="FP94" s="2927"/>
      <c r="FQ94" s="2927"/>
      <c r="FR94" s="2927"/>
      <c r="FS94" s="2927"/>
      <c r="FT94" s="2927"/>
      <c r="FU94" s="2927"/>
      <c r="FV94" s="2927"/>
      <c r="FW94" s="2927"/>
      <c r="FX94" s="2927"/>
      <c r="FY94" s="2927"/>
      <c r="FZ94" s="2927"/>
      <c r="GA94" s="2927"/>
      <c r="GB94" s="2927"/>
      <c r="GC94" s="2927"/>
      <c r="GD94" s="2927"/>
      <c r="GE94" s="2927"/>
      <c r="GF94" s="2927"/>
      <c r="GG94" s="2927"/>
      <c r="GH94" s="2927"/>
      <c r="GI94" s="2927"/>
      <c r="GJ94" s="2927"/>
      <c r="GK94" s="2927"/>
      <c r="GL94" s="2927"/>
      <c r="GM94" s="2927"/>
      <c r="GN94" s="2927"/>
      <c r="GO94" s="2927"/>
      <c r="GP94" s="2927"/>
      <c r="GQ94" s="2927"/>
      <c r="GR94" s="2927"/>
      <c r="GS94" s="2927"/>
      <c r="GT94" s="2927"/>
      <c r="GU94" s="2927"/>
      <c r="GV94" s="2927"/>
      <c r="GW94" s="2927"/>
      <c r="GX94" s="2927"/>
      <c r="GY94" s="2927"/>
      <c r="GZ94" s="2927"/>
      <c r="HA94" s="2927"/>
      <c r="HB94" s="2927"/>
      <c r="HC94" s="2927"/>
      <c r="HD94" s="2927"/>
      <c r="HE94" s="2927"/>
      <c r="HF94" s="2927"/>
      <c r="HG94" s="2927"/>
      <c r="HH94" s="2927"/>
      <c r="HI94" s="2927"/>
      <c r="HJ94" s="2927"/>
      <c r="HK94" s="2927"/>
      <c r="HL94" s="2927"/>
      <c r="HM94" s="2927"/>
      <c r="HN94" s="2927"/>
      <c r="HO94" s="2927"/>
      <c r="HP94" s="2927"/>
      <c r="HQ94" s="2927"/>
      <c r="HR94" s="2927"/>
      <c r="HS94" s="2927"/>
      <c r="HT94" s="2927"/>
      <c r="HU94" s="2927"/>
      <c r="HV94" s="2927"/>
      <c r="HW94" s="2927"/>
      <c r="HX94" s="2927"/>
      <c r="HY94" s="2927"/>
      <c r="HZ94" s="2927"/>
      <c r="IA94" s="2927"/>
      <c r="IB94" s="2927"/>
      <c r="IC94" s="2927"/>
      <c r="ID94" s="2927"/>
      <c r="IE94" s="2927"/>
    </row>
    <row r="95" s="2838" customFormat="1" ht="32" customHeight="1" spans="1:239 16379:16379">
      <c r="A95" s="2951">
        <v>45876</v>
      </c>
      <c r="B95" s="2906" t="s">
        <v>1617</v>
      </c>
      <c r="C95" s="2907" t="s">
        <v>91</v>
      </c>
      <c r="D95" s="2908">
        <v>4500176177</v>
      </c>
      <c r="E95" s="2909" t="s">
        <v>2010</v>
      </c>
      <c r="F95" s="2908" t="s">
        <v>10467</v>
      </c>
      <c r="G95" s="2930" t="s">
        <v>10199</v>
      </c>
      <c r="H95" s="2911" t="s">
        <v>9155</v>
      </c>
      <c r="I95" s="2912">
        <v>600</v>
      </c>
      <c r="J95" s="2912">
        <v>0</v>
      </c>
      <c r="K95" s="2912">
        <v>4</v>
      </c>
      <c r="L95" s="2912">
        <f t="shared" si="146"/>
        <v>150</v>
      </c>
      <c r="M95" s="2913">
        <v>45938</v>
      </c>
      <c r="N95" s="2913">
        <v>45934</v>
      </c>
      <c r="O95" s="2914"/>
      <c r="P95" s="2914" t="s">
        <v>82</v>
      </c>
      <c r="Q95" s="2914" t="s">
        <v>2012</v>
      </c>
      <c r="R95" s="2915" t="s">
        <v>2013</v>
      </c>
      <c r="S95" s="2915"/>
      <c r="T95" s="2915" t="s">
        <v>98</v>
      </c>
      <c r="U95" s="2915" t="s">
        <v>9841</v>
      </c>
      <c r="V95" s="2915"/>
      <c r="W95" s="2931" t="s">
        <v>1621</v>
      </c>
      <c r="X95" s="2912" t="s">
        <v>393</v>
      </c>
      <c r="Y95" s="2917">
        <v>4.2957</v>
      </c>
      <c r="Z95" s="2918">
        <f t="shared" si="198"/>
        <v>2577.42</v>
      </c>
      <c r="AA95" s="2912" t="s">
        <v>2014</v>
      </c>
      <c r="AB95" s="2930" t="s">
        <v>10312</v>
      </c>
      <c r="AC95" s="2912" t="s">
        <v>416</v>
      </c>
      <c r="AD95" s="2919"/>
      <c r="AE95" s="2919">
        <f t="shared" si="214"/>
        <v>600</v>
      </c>
      <c r="AF95" s="2967"/>
      <c r="AG95" s="2919"/>
      <c r="AH95" s="2919"/>
      <c r="AI95" s="2919"/>
      <c r="AJ95" s="2921"/>
      <c r="AK95" s="2921">
        <f t="shared" si="177"/>
        <v>600</v>
      </c>
      <c r="AL95" s="2921"/>
      <c r="AM95" s="2922"/>
      <c r="AN95" s="2922"/>
      <c r="AO95" s="2923"/>
      <c r="AP95" s="2921"/>
      <c r="AQ95" s="2921">
        <f t="shared" si="178"/>
        <v>150</v>
      </c>
      <c r="AR95" s="2924"/>
      <c r="AS95" s="2921">
        <f t="shared" si="185"/>
        <v>150</v>
      </c>
      <c r="AT95" s="2921">
        <f t="shared" si="186"/>
        <v>150</v>
      </c>
      <c r="AU95" s="2921"/>
      <c r="AV95" s="2921">
        <f t="shared" si="187"/>
        <v>150</v>
      </c>
      <c r="AW95" s="2923"/>
      <c r="AX95" s="2921"/>
      <c r="AY95" s="2921"/>
      <c r="AZ95" s="2924"/>
      <c r="BA95" s="2923"/>
      <c r="BB95" s="2924"/>
      <c r="BC95" s="2925"/>
      <c r="BD95" s="2921">
        <f t="shared" si="143"/>
        <v>600</v>
      </c>
      <c r="BE95" s="2921"/>
      <c r="BF95" s="2921">
        <f t="shared" si="215"/>
        <v>600</v>
      </c>
      <c r="BG95" s="2921" t="s">
        <v>9164</v>
      </c>
      <c r="BH95" s="2921"/>
      <c r="BI95" s="2921">
        <f t="shared" si="179"/>
        <v>150</v>
      </c>
      <c r="BJ95" s="2921">
        <f t="shared" si="188"/>
        <v>150</v>
      </c>
      <c r="BK95" s="2921">
        <f t="shared" si="189"/>
        <v>150</v>
      </c>
      <c r="BL95" s="2926">
        <f t="shared" si="190"/>
        <v>150</v>
      </c>
      <c r="BM95" s="2921">
        <f t="shared" si="191"/>
        <v>150</v>
      </c>
      <c r="BN95" s="2926">
        <f t="shared" si="192"/>
        <v>150</v>
      </c>
      <c r="BO95" s="2921">
        <f t="shared" si="193"/>
        <v>150</v>
      </c>
      <c r="BP95" s="2926">
        <f t="shared" si="194"/>
        <v>150</v>
      </c>
      <c r="BQ95" s="2926">
        <f t="shared" si="169"/>
        <v>238625</v>
      </c>
      <c r="BR95" s="2926">
        <f t="shared" ref="BR95:BY95" si="218">BR93-BI95</f>
        <v>12985.5</v>
      </c>
      <c r="BS95" s="2926">
        <f t="shared" si="218"/>
        <v>-5092</v>
      </c>
      <c r="BT95" s="2926">
        <f t="shared" si="218"/>
        <v>-5092</v>
      </c>
      <c r="BU95" s="2926">
        <f t="shared" si="218"/>
        <v>-5092</v>
      </c>
      <c r="BV95" s="2926">
        <f t="shared" si="218"/>
        <v>-5092</v>
      </c>
      <c r="BW95" s="2926">
        <f t="shared" si="218"/>
        <v>-5092</v>
      </c>
      <c r="BX95" s="2926">
        <f t="shared" si="218"/>
        <v>-5092</v>
      </c>
      <c r="BY95" s="2926">
        <f t="shared" si="218"/>
        <v>-5092</v>
      </c>
      <c r="BZ95" s="2912"/>
      <c r="CA95" s="2927"/>
      <c r="CB95" s="2927"/>
      <c r="CC95" s="2927"/>
      <c r="CD95" s="2927"/>
      <c r="CE95" s="2927"/>
      <c r="CF95" s="2927"/>
      <c r="CG95" s="2927"/>
      <c r="CH95" s="2927"/>
      <c r="CI95" s="2927"/>
      <c r="CJ95" s="2927"/>
      <c r="CK95" s="2927"/>
      <c r="CL95" s="2927"/>
      <c r="CM95" s="2927"/>
      <c r="CN95" s="2927"/>
      <c r="CO95" s="2927"/>
      <c r="CP95" s="2927"/>
      <c r="CQ95" s="2927"/>
      <c r="CR95" s="2927"/>
      <c r="CS95" s="2927"/>
      <c r="CT95" s="2927"/>
      <c r="CU95" s="2927"/>
      <c r="CV95" s="2927"/>
      <c r="CW95" s="2927"/>
      <c r="CX95" s="2927"/>
      <c r="CY95" s="2927"/>
      <c r="CZ95" s="2927"/>
      <c r="DA95" s="2927"/>
      <c r="DB95" s="2927"/>
      <c r="DC95" s="2927"/>
      <c r="DD95" s="2927"/>
      <c r="DE95" s="2927"/>
      <c r="DF95" s="2927"/>
      <c r="DG95" s="2927"/>
      <c r="DH95" s="2927"/>
      <c r="DI95" s="2927"/>
      <c r="DJ95" s="2927"/>
      <c r="DK95" s="2927"/>
      <c r="DL95" s="2927"/>
      <c r="DM95" s="2927"/>
      <c r="DN95" s="2927"/>
      <c r="DO95" s="2927"/>
      <c r="DP95" s="2927"/>
      <c r="DQ95" s="2927"/>
      <c r="DR95" s="2927"/>
      <c r="DS95" s="2927"/>
      <c r="DT95" s="2927"/>
      <c r="DU95" s="2927"/>
      <c r="DV95" s="2927"/>
      <c r="DW95" s="2927"/>
      <c r="DX95" s="2927"/>
      <c r="DY95" s="2927"/>
      <c r="DZ95" s="2927"/>
      <c r="EA95" s="2927"/>
      <c r="EB95" s="2927"/>
      <c r="EC95" s="2927"/>
      <c r="ED95" s="2927"/>
      <c r="EE95" s="2927"/>
      <c r="EF95" s="2927"/>
      <c r="EG95" s="2927"/>
      <c r="EH95" s="2927"/>
      <c r="EI95" s="2927"/>
      <c r="EJ95" s="2927"/>
      <c r="EK95" s="2927"/>
      <c r="EL95" s="2927"/>
      <c r="EM95" s="2927"/>
      <c r="EN95" s="2927"/>
      <c r="EO95" s="2927"/>
      <c r="EP95" s="2927"/>
      <c r="EQ95" s="2927"/>
      <c r="ER95" s="2927"/>
      <c r="ES95" s="2927"/>
      <c r="ET95" s="2927"/>
      <c r="EU95" s="2927"/>
      <c r="EV95" s="2927"/>
      <c r="EW95" s="2927"/>
      <c r="EX95" s="2927"/>
      <c r="EY95" s="2927"/>
      <c r="EZ95" s="2927"/>
      <c r="FA95" s="2927"/>
      <c r="FB95" s="2927"/>
      <c r="FC95" s="2927"/>
      <c r="FD95" s="2927"/>
      <c r="FE95" s="2927"/>
      <c r="FF95" s="2927"/>
      <c r="FG95" s="2927"/>
      <c r="FH95" s="2927"/>
      <c r="FI95" s="2927"/>
      <c r="FJ95" s="2927"/>
      <c r="FK95" s="2927"/>
      <c r="FL95" s="2927"/>
      <c r="FM95" s="2927"/>
      <c r="FN95" s="2927"/>
      <c r="FO95" s="2927"/>
      <c r="FP95" s="2927"/>
      <c r="FQ95" s="2927"/>
      <c r="FR95" s="2927"/>
      <c r="FS95" s="2927"/>
      <c r="FT95" s="2927"/>
      <c r="FU95" s="2927"/>
      <c r="FV95" s="2927"/>
      <c r="FW95" s="2927"/>
      <c r="FX95" s="2927"/>
      <c r="FY95" s="2927"/>
      <c r="FZ95" s="2927"/>
      <c r="GA95" s="2927"/>
      <c r="GB95" s="2927"/>
      <c r="GC95" s="2927"/>
      <c r="GD95" s="2927"/>
      <c r="GE95" s="2927"/>
      <c r="GF95" s="2927"/>
      <c r="GG95" s="2927"/>
      <c r="GH95" s="2927"/>
      <c r="GI95" s="2927"/>
      <c r="GJ95" s="2927"/>
      <c r="GK95" s="2927"/>
      <c r="GL95" s="2927"/>
      <c r="GM95" s="2927"/>
      <c r="GN95" s="2927"/>
      <c r="GO95" s="2927"/>
      <c r="GP95" s="2927"/>
      <c r="GQ95" s="2927"/>
      <c r="GR95" s="2927"/>
      <c r="GS95" s="2927"/>
      <c r="GT95" s="2927"/>
      <c r="GU95" s="2927"/>
      <c r="GV95" s="2927"/>
      <c r="GW95" s="2927"/>
      <c r="GX95" s="2927"/>
      <c r="GY95" s="2927"/>
      <c r="GZ95" s="2927"/>
      <c r="HA95" s="2927"/>
      <c r="HB95" s="2927"/>
      <c r="HC95" s="2927"/>
      <c r="HD95" s="2927"/>
      <c r="HE95" s="2927"/>
      <c r="HF95" s="2927"/>
      <c r="HG95" s="2927"/>
      <c r="HH95" s="2927"/>
      <c r="HI95" s="2927"/>
      <c r="HJ95" s="2927"/>
      <c r="HK95" s="2927"/>
      <c r="HL95" s="2927"/>
      <c r="HM95" s="2927"/>
      <c r="HN95" s="2927"/>
      <c r="HO95" s="2927"/>
      <c r="HP95" s="2927"/>
      <c r="HQ95" s="2927"/>
      <c r="HR95" s="2927"/>
      <c r="HS95" s="2927"/>
      <c r="HT95" s="2927"/>
      <c r="HU95" s="2927"/>
      <c r="HV95" s="2927"/>
      <c r="HW95" s="2927"/>
      <c r="HX95" s="2927"/>
      <c r="HY95" s="2927"/>
      <c r="HZ95" s="2927"/>
      <c r="IA95" s="2927"/>
      <c r="IB95" s="2927"/>
      <c r="IC95" s="2927"/>
      <c r="ID95" s="2927"/>
      <c r="IE95" s="2927"/>
    </row>
    <row r="96" s="2838" customFormat="1" ht="32" customHeight="1" spans="1:239 16379:16379">
      <c r="A96" s="2951">
        <v>45876</v>
      </c>
      <c r="B96" s="2906" t="s">
        <v>1617</v>
      </c>
      <c r="C96" s="2907" t="s">
        <v>91</v>
      </c>
      <c r="D96" s="2908">
        <v>4500176184</v>
      </c>
      <c r="E96" s="2909" t="s">
        <v>2036</v>
      </c>
      <c r="F96" s="2908" t="s">
        <v>10468</v>
      </c>
      <c r="G96" s="2930" t="s">
        <v>10199</v>
      </c>
      <c r="H96" s="2911" t="s">
        <v>9155</v>
      </c>
      <c r="I96" s="2912">
        <v>800</v>
      </c>
      <c r="J96" s="2912">
        <v>0</v>
      </c>
      <c r="K96" s="2912">
        <v>4</v>
      </c>
      <c r="L96" s="2912">
        <f t="shared" si="146"/>
        <v>200</v>
      </c>
      <c r="M96" s="2913">
        <v>45943</v>
      </c>
      <c r="N96" s="2913">
        <v>45939</v>
      </c>
      <c r="O96" s="2914"/>
      <c r="P96" s="2914" t="s">
        <v>82</v>
      </c>
      <c r="Q96" s="2959" t="s">
        <v>2038</v>
      </c>
      <c r="R96" s="2915" t="s">
        <v>2013</v>
      </c>
      <c r="S96" s="2915"/>
      <c r="T96" s="2915" t="s">
        <v>98</v>
      </c>
      <c r="U96" s="2915" t="s">
        <v>9841</v>
      </c>
      <c r="V96" s="2915"/>
      <c r="W96" s="2931" t="s">
        <v>2039</v>
      </c>
      <c r="X96" s="2912" t="s">
        <v>393</v>
      </c>
      <c r="Y96" s="2917">
        <v>4.2957</v>
      </c>
      <c r="Z96" s="2918">
        <f t="shared" si="198"/>
        <v>3436.56</v>
      </c>
      <c r="AA96" s="2912" t="s">
        <v>2040</v>
      </c>
      <c r="AB96" s="2930" t="s">
        <v>10312</v>
      </c>
      <c r="AC96" s="2912" t="s">
        <v>416</v>
      </c>
      <c r="AD96" s="2919"/>
      <c r="AE96" s="2919">
        <f t="shared" si="214"/>
        <v>800</v>
      </c>
      <c r="AF96" s="2920"/>
      <c r="AG96" s="2919"/>
      <c r="AH96" s="2919"/>
      <c r="AI96" s="2919"/>
      <c r="AJ96" s="2921"/>
      <c r="AK96" s="2921">
        <f t="shared" si="177"/>
        <v>800</v>
      </c>
      <c r="AL96" s="2921"/>
      <c r="AM96" s="2922"/>
      <c r="AN96" s="2922"/>
      <c r="AO96" s="2923"/>
      <c r="AP96" s="2921"/>
      <c r="AQ96" s="2921">
        <f t="shared" si="178"/>
        <v>200</v>
      </c>
      <c r="AR96" s="2924"/>
      <c r="AS96" s="2921">
        <f t="shared" si="185"/>
        <v>200</v>
      </c>
      <c r="AT96" s="2921">
        <f t="shared" si="186"/>
        <v>200</v>
      </c>
      <c r="AU96" s="2921"/>
      <c r="AV96" s="2921">
        <f t="shared" si="187"/>
        <v>200</v>
      </c>
      <c r="AW96" s="2923"/>
      <c r="AX96" s="2921"/>
      <c r="AY96" s="2921"/>
      <c r="AZ96" s="2924"/>
      <c r="BA96" s="2923"/>
      <c r="BB96" s="2924"/>
      <c r="BC96" s="2925"/>
      <c r="BD96" s="2921">
        <f t="shared" si="143"/>
        <v>800</v>
      </c>
      <c r="BE96" s="2921"/>
      <c r="BF96" s="2921">
        <f t="shared" si="215"/>
        <v>800</v>
      </c>
      <c r="BG96" s="2921" t="s">
        <v>9164</v>
      </c>
      <c r="BH96" s="2921"/>
      <c r="BI96" s="2921">
        <f t="shared" si="179"/>
        <v>200</v>
      </c>
      <c r="BJ96" s="2921">
        <f t="shared" si="188"/>
        <v>200</v>
      </c>
      <c r="BK96" s="2921">
        <f t="shared" si="189"/>
        <v>200</v>
      </c>
      <c r="BL96" s="2926">
        <f t="shared" si="190"/>
        <v>200</v>
      </c>
      <c r="BM96" s="2921">
        <f t="shared" si="191"/>
        <v>200</v>
      </c>
      <c r="BN96" s="2926">
        <f t="shared" si="192"/>
        <v>200</v>
      </c>
      <c r="BO96" s="2921">
        <f t="shared" si="193"/>
        <v>200</v>
      </c>
      <c r="BP96" s="2926">
        <f t="shared" si="194"/>
        <v>200</v>
      </c>
      <c r="BQ96" s="2926">
        <f t="shared" si="169"/>
        <v>238825</v>
      </c>
      <c r="BR96" s="2926">
        <f t="shared" ref="BR96:BY96" si="219">BR94-BI96</f>
        <v>12211.5</v>
      </c>
      <c r="BS96" s="2926">
        <f t="shared" si="219"/>
        <v>-5866</v>
      </c>
      <c r="BT96" s="2926">
        <f t="shared" si="219"/>
        <v>-5866</v>
      </c>
      <c r="BU96" s="2926">
        <f t="shared" si="219"/>
        <v>-5866</v>
      </c>
      <c r="BV96" s="2926">
        <f t="shared" si="219"/>
        <v>-5866</v>
      </c>
      <c r="BW96" s="2926">
        <f t="shared" si="219"/>
        <v>-5866</v>
      </c>
      <c r="BX96" s="2926">
        <f t="shared" si="219"/>
        <v>-5866</v>
      </c>
      <c r="BY96" s="2926">
        <f t="shared" si="219"/>
        <v>-5866</v>
      </c>
      <c r="BZ96" s="2912"/>
      <c r="CA96" s="2927"/>
      <c r="CB96" s="2927"/>
      <c r="CC96" s="2927"/>
      <c r="CD96" s="2927"/>
      <c r="CE96" s="2927"/>
      <c r="CF96" s="2927"/>
      <c r="CG96" s="2927"/>
      <c r="CH96" s="2927"/>
      <c r="CI96" s="2927"/>
      <c r="CJ96" s="2927"/>
      <c r="CK96" s="2927"/>
      <c r="CL96" s="2927"/>
      <c r="CM96" s="2927"/>
      <c r="CN96" s="2927"/>
      <c r="CO96" s="2927"/>
      <c r="CP96" s="2927"/>
      <c r="CQ96" s="2927"/>
      <c r="CR96" s="2927"/>
      <c r="CS96" s="2927"/>
      <c r="CT96" s="2927"/>
      <c r="CU96" s="2927"/>
      <c r="CV96" s="2927"/>
      <c r="CW96" s="2927"/>
      <c r="CX96" s="2927"/>
      <c r="CY96" s="2927"/>
      <c r="CZ96" s="2927"/>
      <c r="DA96" s="2927"/>
      <c r="DB96" s="2927"/>
      <c r="DC96" s="2927"/>
      <c r="DD96" s="2927"/>
      <c r="DE96" s="2927"/>
      <c r="DF96" s="2927"/>
      <c r="DG96" s="2927"/>
      <c r="DH96" s="2927"/>
      <c r="DI96" s="2927"/>
      <c r="DJ96" s="2927"/>
      <c r="DK96" s="2927"/>
      <c r="DL96" s="2927"/>
      <c r="DM96" s="2927"/>
      <c r="DN96" s="2927"/>
      <c r="DO96" s="2927"/>
      <c r="DP96" s="2927"/>
      <c r="DQ96" s="2927"/>
      <c r="DR96" s="2927"/>
      <c r="DS96" s="2927"/>
      <c r="DT96" s="2927"/>
      <c r="DU96" s="2927"/>
      <c r="DV96" s="2927"/>
      <c r="DW96" s="2927"/>
      <c r="DX96" s="2927"/>
      <c r="DY96" s="2927"/>
      <c r="DZ96" s="2927"/>
      <c r="EA96" s="2927"/>
      <c r="EB96" s="2927"/>
      <c r="EC96" s="2927"/>
      <c r="ED96" s="2927"/>
      <c r="EE96" s="2927"/>
      <c r="EF96" s="2927"/>
      <c r="EG96" s="2927"/>
      <c r="EH96" s="2927"/>
      <c r="EI96" s="2927"/>
      <c r="EJ96" s="2927"/>
      <c r="EK96" s="2927"/>
      <c r="EL96" s="2927"/>
      <c r="EM96" s="2927"/>
      <c r="EN96" s="2927"/>
      <c r="EO96" s="2927"/>
      <c r="EP96" s="2927"/>
      <c r="EQ96" s="2927"/>
      <c r="ER96" s="2927"/>
      <c r="ES96" s="2927"/>
      <c r="ET96" s="2927"/>
      <c r="EU96" s="2927"/>
      <c r="EV96" s="2927"/>
      <c r="EW96" s="2927"/>
      <c r="EX96" s="2927"/>
      <c r="EY96" s="2927"/>
      <c r="EZ96" s="2927"/>
      <c r="FA96" s="2927"/>
      <c r="FB96" s="2927"/>
      <c r="FC96" s="2927"/>
      <c r="FD96" s="2927"/>
      <c r="FE96" s="2927"/>
      <c r="FF96" s="2927"/>
      <c r="FG96" s="2927"/>
      <c r="FH96" s="2927"/>
      <c r="FI96" s="2927"/>
      <c r="FJ96" s="2927"/>
      <c r="FK96" s="2927"/>
      <c r="FL96" s="2927"/>
      <c r="FM96" s="2927"/>
      <c r="FN96" s="2927"/>
      <c r="FO96" s="2927"/>
      <c r="FP96" s="2927"/>
      <c r="FQ96" s="2927"/>
      <c r="FR96" s="2927"/>
      <c r="FS96" s="2927"/>
      <c r="FT96" s="2927"/>
      <c r="FU96" s="2927"/>
      <c r="FV96" s="2927"/>
      <c r="FW96" s="2927"/>
      <c r="FX96" s="2927"/>
      <c r="FY96" s="2927"/>
      <c r="FZ96" s="2927"/>
      <c r="GA96" s="2927"/>
      <c r="GB96" s="2927"/>
      <c r="GC96" s="2927"/>
      <c r="GD96" s="2927"/>
      <c r="GE96" s="2927"/>
      <c r="GF96" s="2927"/>
      <c r="GG96" s="2927"/>
      <c r="GH96" s="2927"/>
      <c r="GI96" s="2927"/>
      <c r="GJ96" s="2927"/>
      <c r="GK96" s="2927"/>
      <c r="GL96" s="2927"/>
      <c r="GM96" s="2927"/>
      <c r="GN96" s="2927"/>
      <c r="GO96" s="2927"/>
      <c r="GP96" s="2927"/>
      <c r="GQ96" s="2927"/>
      <c r="GR96" s="2927"/>
      <c r="GS96" s="2927"/>
      <c r="GT96" s="2927"/>
      <c r="GU96" s="2927"/>
      <c r="GV96" s="2927"/>
      <c r="GW96" s="2927"/>
      <c r="GX96" s="2927"/>
      <c r="GY96" s="2927"/>
      <c r="GZ96" s="2927"/>
      <c r="HA96" s="2927"/>
      <c r="HB96" s="2927"/>
      <c r="HC96" s="2927"/>
      <c r="HD96" s="2927"/>
      <c r="HE96" s="2927"/>
      <c r="HF96" s="2927"/>
      <c r="HG96" s="2927"/>
      <c r="HH96" s="2927"/>
      <c r="HI96" s="2927"/>
      <c r="HJ96" s="2927"/>
      <c r="HK96" s="2927"/>
      <c r="HL96" s="2927"/>
      <c r="HM96" s="2927"/>
      <c r="HN96" s="2927"/>
      <c r="HO96" s="2927"/>
      <c r="HP96" s="2927"/>
      <c r="HQ96" s="2927"/>
      <c r="HR96" s="2927"/>
      <c r="HS96" s="2927"/>
      <c r="HT96" s="2927"/>
      <c r="HU96" s="2927"/>
      <c r="HV96" s="2927"/>
      <c r="HW96" s="2927"/>
      <c r="HX96" s="2927"/>
      <c r="HY96" s="2927"/>
      <c r="HZ96" s="2927"/>
      <c r="IA96" s="2927"/>
      <c r="IB96" s="2927"/>
      <c r="IC96" s="2927"/>
      <c r="ID96" s="2927"/>
      <c r="IE96" s="2927"/>
    </row>
    <row r="97" s="2838" customFormat="1" ht="32" customHeight="1" spans="1:239">
      <c r="A97" s="2951">
        <v>45944</v>
      </c>
      <c r="B97" s="2906" t="s">
        <v>3721</v>
      </c>
      <c r="C97" s="2907" t="s">
        <v>3722</v>
      </c>
      <c r="D97" s="2908">
        <v>4500181872</v>
      </c>
      <c r="E97" s="2909" t="s">
        <v>10469</v>
      </c>
      <c r="F97" s="2908" t="s">
        <v>10470</v>
      </c>
      <c r="G97" s="2930" t="s">
        <v>10199</v>
      </c>
      <c r="H97" s="2911" t="s">
        <v>9155</v>
      </c>
      <c r="I97" s="2912">
        <v>300</v>
      </c>
      <c r="J97" s="2912">
        <v>0</v>
      </c>
      <c r="K97" s="2912">
        <v>4</v>
      </c>
      <c r="L97" s="2912">
        <f t="shared" si="146"/>
        <v>75</v>
      </c>
      <c r="M97" s="2913">
        <v>45973</v>
      </c>
      <c r="N97" s="2913">
        <v>45969</v>
      </c>
      <c r="O97" s="2914"/>
      <c r="P97" s="2914" t="s">
        <v>82</v>
      </c>
      <c r="Q97" s="2914" t="s">
        <v>2107</v>
      </c>
      <c r="R97" s="2915" t="s">
        <v>2139</v>
      </c>
      <c r="S97" s="2915"/>
      <c r="T97" s="2915" t="s">
        <v>5084</v>
      </c>
      <c r="U97" s="2915"/>
      <c r="V97" s="2915"/>
      <c r="W97" s="2931" t="s">
        <v>10471</v>
      </c>
      <c r="X97" s="2912" t="s">
        <v>892</v>
      </c>
      <c r="Y97" s="2917">
        <v>6.8843</v>
      </c>
      <c r="Z97" s="2918">
        <f t="shared" si="198"/>
        <v>2065.29</v>
      </c>
      <c r="AA97" s="2912" t="s">
        <v>10472</v>
      </c>
      <c r="AB97" s="2930" t="s">
        <v>10312</v>
      </c>
      <c r="AC97" s="2912" t="s">
        <v>416</v>
      </c>
      <c r="AD97" s="2919"/>
      <c r="AE97" s="2919">
        <f t="shared" si="214"/>
        <v>300</v>
      </c>
      <c r="AF97" s="2933"/>
      <c r="AG97" s="2919"/>
      <c r="AH97" s="2919"/>
      <c r="AI97" s="2919"/>
      <c r="AJ97" s="2921"/>
      <c r="AK97" s="2921">
        <f t="shared" si="177"/>
        <v>300</v>
      </c>
      <c r="AL97" s="2921"/>
      <c r="AM97" s="2922"/>
      <c r="AN97" s="2922"/>
      <c r="AO97" s="2923"/>
      <c r="AP97" s="2921"/>
      <c r="AQ97" s="2921">
        <f t="shared" si="178"/>
        <v>75</v>
      </c>
      <c r="AR97" s="2924"/>
      <c r="AS97" s="2921">
        <f t="shared" si="185"/>
        <v>75</v>
      </c>
      <c r="AT97" s="2921">
        <f t="shared" si="186"/>
        <v>75</v>
      </c>
      <c r="AU97" s="2921"/>
      <c r="AV97" s="2921">
        <f t="shared" si="187"/>
        <v>75</v>
      </c>
      <c r="AW97" s="2923"/>
      <c r="AX97" s="2921"/>
      <c r="AY97" s="2921"/>
      <c r="AZ97" s="2924"/>
      <c r="BA97" s="2923"/>
      <c r="BB97" s="2924"/>
      <c r="BC97" s="2925"/>
      <c r="BD97" s="2921">
        <f t="shared" si="143"/>
        <v>300</v>
      </c>
      <c r="BE97" s="2921"/>
      <c r="BF97" s="2921">
        <f t="shared" si="215"/>
        <v>300</v>
      </c>
      <c r="BG97" s="2921" t="s">
        <v>9164</v>
      </c>
      <c r="BH97" s="2921"/>
      <c r="BI97" s="2921">
        <f t="shared" si="179"/>
        <v>75</v>
      </c>
      <c r="BJ97" s="2921">
        <f t="shared" si="188"/>
        <v>75</v>
      </c>
      <c r="BK97" s="2921">
        <f t="shared" si="189"/>
        <v>75</v>
      </c>
      <c r="BL97" s="2926">
        <f t="shared" si="190"/>
        <v>75</v>
      </c>
      <c r="BM97" s="2921">
        <f t="shared" si="191"/>
        <v>75</v>
      </c>
      <c r="BN97" s="2926">
        <f t="shared" si="192"/>
        <v>75</v>
      </c>
      <c r="BO97" s="2921">
        <f t="shared" si="193"/>
        <v>75</v>
      </c>
      <c r="BP97" s="2926">
        <f t="shared" si="194"/>
        <v>75</v>
      </c>
      <c r="BQ97" s="2926">
        <f t="shared" si="169"/>
        <v>238325</v>
      </c>
      <c r="BR97" s="2926"/>
      <c r="BS97" s="2926"/>
      <c r="BT97" s="2926"/>
      <c r="BU97" s="2926"/>
      <c r="BV97" s="2926"/>
      <c r="BW97" s="2926"/>
      <c r="BX97" s="2926"/>
      <c r="BY97" s="2926"/>
      <c r="BZ97" s="2912"/>
      <c r="CA97" s="2927"/>
      <c r="CB97" s="2927"/>
      <c r="CC97" s="2927"/>
      <c r="CD97" s="2927"/>
      <c r="CE97" s="2927"/>
      <c r="CF97" s="2927"/>
      <c r="CG97" s="2927"/>
      <c r="CH97" s="2927"/>
      <c r="CI97" s="2927"/>
      <c r="CJ97" s="2927"/>
      <c r="CK97" s="2927"/>
      <c r="CL97" s="2927"/>
      <c r="CM97" s="2927"/>
      <c r="CN97" s="2927"/>
      <c r="CO97" s="2927"/>
      <c r="CP97" s="2927"/>
      <c r="CQ97" s="2927"/>
      <c r="CR97" s="2927"/>
      <c r="CS97" s="2927"/>
      <c r="CT97" s="2927"/>
      <c r="CU97" s="2927"/>
      <c r="CV97" s="2927"/>
      <c r="CW97" s="2927"/>
      <c r="CX97" s="2927"/>
      <c r="CY97" s="2927"/>
      <c r="CZ97" s="2927"/>
      <c r="DA97" s="2927"/>
      <c r="DB97" s="2927"/>
      <c r="DC97" s="2927"/>
      <c r="DD97" s="2927"/>
      <c r="DE97" s="2927"/>
      <c r="DF97" s="2927"/>
      <c r="DG97" s="2927"/>
      <c r="DH97" s="2927"/>
      <c r="DI97" s="2927"/>
      <c r="DJ97" s="2927"/>
      <c r="DK97" s="2927"/>
      <c r="DL97" s="2927"/>
      <c r="DM97" s="2927"/>
      <c r="DN97" s="2927"/>
      <c r="DO97" s="2927"/>
      <c r="DP97" s="2927"/>
      <c r="DQ97" s="2927"/>
      <c r="DR97" s="2927"/>
      <c r="DS97" s="2927"/>
      <c r="DT97" s="2927"/>
      <c r="DU97" s="2927"/>
      <c r="DV97" s="2927"/>
      <c r="DW97" s="2927"/>
      <c r="DX97" s="2927"/>
      <c r="DY97" s="2927"/>
      <c r="DZ97" s="2927"/>
      <c r="EA97" s="2927"/>
      <c r="EB97" s="2927"/>
      <c r="EC97" s="2927"/>
      <c r="ED97" s="2927"/>
      <c r="EE97" s="2927"/>
      <c r="EF97" s="2927"/>
      <c r="EG97" s="2927"/>
      <c r="EH97" s="2927"/>
      <c r="EI97" s="2927"/>
      <c r="EJ97" s="2927"/>
      <c r="EK97" s="2927"/>
      <c r="EL97" s="2927"/>
      <c r="EM97" s="2927"/>
      <c r="EN97" s="2927"/>
      <c r="EO97" s="2927"/>
      <c r="EP97" s="2927"/>
      <c r="EQ97" s="2927"/>
      <c r="ER97" s="2927"/>
      <c r="ES97" s="2927"/>
      <c r="ET97" s="2927"/>
      <c r="EU97" s="2927"/>
      <c r="EV97" s="2927"/>
      <c r="EW97" s="2927"/>
      <c r="EX97" s="2927"/>
      <c r="EY97" s="2927"/>
      <c r="EZ97" s="2927"/>
      <c r="FA97" s="2927"/>
      <c r="FB97" s="2927"/>
      <c r="FC97" s="2927"/>
      <c r="FD97" s="2927"/>
      <c r="FE97" s="2927"/>
      <c r="FF97" s="2927"/>
      <c r="FG97" s="2927"/>
      <c r="FH97" s="2927"/>
      <c r="FI97" s="2927"/>
      <c r="FJ97" s="2927"/>
      <c r="FK97" s="2927"/>
      <c r="FL97" s="2927"/>
      <c r="FM97" s="2927"/>
      <c r="FN97" s="2927"/>
      <c r="FO97" s="2927"/>
      <c r="FP97" s="2927"/>
      <c r="FQ97" s="2927"/>
      <c r="FR97" s="2927"/>
      <c r="FS97" s="2927"/>
      <c r="FT97" s="2927"/>
      <c r="FU97" s="2927"/>
      <c r="FV97" s="2927"/>
      <c r="FW97" s="2927"/>
      <c r="FX97" s="2927"/>
      <c r="FY97" s="2927"/>
      <c r="FZ97" s="2927"/>
      <c r="GA97" s="2927"/>
      <c r="GB97" s="2927"/>
      <c r="GC97" s="2927"/>
      <c r="GD97" s="2927"/>
      <c r="GE97" s="2927"/>
      <c r="GF97" s="2927"/>
      <c r="GG97" s="2927"/>
      <c r="GH97" s="2927"/>
      <c r="GI97" s="2927"/>
      <c r="GJ97" s="2927"/>
      <c r="GK97" s="2927"/>
      <c r="GL97" s="2927"/>
      <c r="GM97" s="2927"/>
      <c r="GN97" s="2927"/>
      <c r="GO97" s="2927"/>
      <c r="GP97" s="2927"/>
      <c r="GQ97" s="2927"/>
      <c r="GR97" s="2927"/>
      <c r="GS97" s="2927"/>
      <c r="GT97" s="2927"/>
      <c r="GU97" s="2927"/>
      <c r="GV97" s="2927"/>
      <c r="GW97" s="2927"/>
      <c r="GX97" s="2927"/>
      <c r="GY97" s="2927"/>
      <c r="GZ97" s="2927"/>
      <c r="HA97" s="2927"/>
      <c r="HB97" s="2927"/>
      <c r="HC97" s="2927"/>
      <c r="HD97" s="2927"/>
      <c r="HE97" s="2927"/>
      <c r="HF97" s="2927"/>
      <c r="HG97" s="2927"/>
      <c r="HH97" s="2927"/>
      <c r="HI97" s="2927"/>
      <c r="HJ97" s="2927"/>
      <c r="HK97" s="2927"/>
      <c r="HL97" s="2927"/>
      <c r="HM97" s="2927"/>
      <c r="HN97" s="2927"/>
      <c r="HO97" s="2927"/>
      <c r="HP97" s="2927"/>
      <c r="HQ97" s="2927"/>
      <c r="HR97" s="2927"/>
      <c r="HS97" s="2927"/>
      <c r="HT97" s="2927"/>
      <c r="HU97" s="2927"/>
      <c r="HV97" s="2927"/>
      <c r="HW97" s="2927"/>
      <c r="HX97" s="2927"/>
      <c r="HY97" s="2927"/>
      <c r="HZ97" s="2927"/>
      <c r="IA97" s="2927"/>
      <c r="IB97" s="2927"/>
      <c r="IC97" s="2927"/>
      <c r="ID97" s="2927"/>
      <c r="IE97" s="2927"/>
    </row>
    <row r="98" s="2838" customFormat="1" ht="32" customHeight="1" spans="1:239">
      <c r="A98" s="2951">
        <v>45876</v>
      </c>
      <c r="B98" s="2839" t="s">
        <v>407</v>
      </c>
      <c r="C98" s="2907" t="s">
        <v>91</v>
      </c>
      <c r="D98" s="2906">
        <v>4500176156</v>
      </c>
      <c r="E98" s="2909"/>
      <c r="F98" s="2906" t="s">
        <v>10473</v>
      </c>
      <c r="G98" s="2930" t="s">
        <v>10199</v>
      </c>
      <c r="H98" s="2911" t="s">
        <v>9155</v>
      </c>
      <c r="I98" s="2912">
        <v>1500</v>
      </c>
      <c r="J98" s="2912">
        <v>0</v>
      </c>
      <c r="K98" s="2912">
        <v>4</v>
      </c>
      <c r="L98" s="2912">
        <f t="shared" si="146"/>
        <v>375</v>
      </c>
      <c r="M98" s="2913">
        <v>45981</v>
      </c>
      <c r="N98" s="2913">
        <v>45978</v>
      </c>
      <c r="O98" s="2914"/>
      <c r="P98" s="2914" t="s">
        <v>82</v>
      </c>
      <c r="Q98" s="2914" t="s">
        <v>5088</v>
      </c>
      <c r="R98" s="2915" t="s">
        <v>2013</v>
      </c>
      <c r="S98" s="2915"/>
      <c r="T98" s="2915" t="s">
        <v>98</v>
      </c>
      <c r="U98" s="2915" t="s">
        <v>2127</v>
      </c>
      <c r="V98" s="2915"/>
      <c r="W98" s="2931" t="s">
        <v>1621</v>
      </c>
      <c r="X98" s="2912" t="s">
        <v>1880</v>
      </c>
      <c r="Y98" s="2917">
        <v>4.1207</v>
      </c>
      <c r="Z98" s="2918">
        <f t="shared" si="198"/>
        <v>6181.05</v>
      </c>
      <c r="AA98" s="2912" t="s">
        <v>10474</v>
      </c>
      <c r="AB98" s="2930" t="s">
        <v>10312</v>
      </c>
      <c r="AC98" s="2912" t="s">
        <v>416</v>
      </c>
      <c r="AD98" s="2919"/>
      <c r="AE98" s="2919">
        <f t="shared" si="214"/>
        <v>1500</v>
      </c>
      <c r="AF98" s="2920"/>
      <c r="AG98" s="2919"/>
      <c r="AH98" s="2919"/>
      <c r="AI98" s="2919"/>
      <c r="AJ98" s="2921"/>
      <c r="AK98" s="2921">
        <f t="shared" si="177"/>
        <v>1500</v>
      </c>
      <c r="AL98" s="2921"/>
      <c r="AM98" s="2922"/>
      <c r="AN98" s="2922"/>
      <c r="AO98" s="2923"/>
      <c r="AP98" s="2921"/>
      <c r="AQ98" s="2921">
        <f t="shared" si="178"/>
        <v>375</v>
      </c>
      <c r="AR98" s="2924"/>
      <c r="AS98" s="2921">
        <f t="shared" si="185"/>
        <v>375</v>
      </c>
      <c r="AT98" s="2921">
        <f t="shared" si="186"/>
        <v>375</v>
      </c>
      <c r="AU98" s="2921"/>
      <c r="AV98" s="2921">
        <f t="shared" si="187"/>
        <v>375</v>
      </c>
      <c r="AW98" s="2923"/>
      <c r="AX98" s="2921"/>
      <c r="AY98" s="2921"/>
      <c r="AZ98" s="2924"/>
      <c r="BA98" s="2923"/>
      <c r="BB98" s="2924"/>
      <c r="BC98" s="2925"/>
      <c r="BD98" s="2921">
        <f t="shared" si="143"/>
        <v>1500</v>
      </c>
      <c r="BE98" s="2921"/>
      <c r="BF98" s="2921">
        <f t="shared" si="215"/>
        <v>1500</v>
      </c>
      <c r="BG98" s="2921" t="s">
        <v>9164</v>
      </c>
      <c r="BH98" s="2921"/>
      <c r="BI98" s="2921">
        <f t="shared" si="179"/>
        <v>375</v>
      </c>
      <c r="BJ98" s="2921">
        <f t="shared" si="188"/>
        <v>375</v>
      </c>
      <c r="BK98" s="2921">
        <f t="shared" si="189"/>
        <v>375</v>
      </c>
      <c r="BL98" s="2926">
        <f t="shared" si="190"/>
        <v>375</v>
      </c>
      <c r="BM98" s="2921">
        <f t="shared" si="191"/>
        <v>375</v>
      </c>
      <c r="BN98" s="2926">
        <f t="shared" si="192"/>
        <v>375</v>
      </c>
      <c r="BO98" s="2921">
        <f t="shared" si="193"/>
        <v>375</v>
      </c>
      <c r="BP98" s="2926">
        <f t="shared" si="194"/>
        <v>375</v>
      </c>
      <c r="BQ98" s="2926">
        <f t="shared" si="169"/>
        <v>239525</v>
      </c>
      <c r="BR98" s="2926">
        <f t="shared" ref="BR98:BY98" si="220">BR95-BI98</f>
        <v>12610.5</v>
      </c>
      <c r="BS98" s="2926">
        <f t="shared" si="220"/>
        <v>-5467</v>
      </c>
      <c r="BT98" s="2926">
        <f t="shared" si="220"/>
        <v>-5467</v>
      </c>
      <c r="BU98" s="2926">
        <f t="shared" si="220"/>
        <v>-5467</v>
      </c>
      <c r="BV98" s="2926">
        <f t="shared" si="220"/>
        <v>-5467</v>
      </c>
      <c r="BW98" s="2926">
        <f t="shared" si="220"/>
        <v>-5467</v>
      </c>
      <c r="BX98" s="2926">
        <f t="shared" si="220"/>
        <v>-5467</v>
      </c>
      <c r="BY98" s="2926">
        <f t="shared" si="220"/>
        <v>-5467</v>
      </c>
      <c r="BZ98" s="2912"/>
      <c r="CA98" s="2927"/>
      <c r="CB98" s="2927"/>
      <c r="CC98" s="2927"/>
      <c r="CD98" s="2927"/>
      <c r="CE98" s="2927"/>
      <c r="CF98" s="2927"/>
      <c r="CG98" s="2927"/>
      <c r="CH98" s="2927"/>
      <c r="CI98" s="2927"/>
      <c r="CJ98" s="2927"/>
      <c r="CK98" s="2927"/>
      <c r="CL98" s="2927"/>
      <c r="CM98" s="2927"/>
      <c r="CN98" s="2927"/>
      <c r="CO98" s="2927"/>
      <c r="CP98" s="2927"/>
      <c r="CQ98" s="2927"/>
      <c r="CR98" s="2927"/>
      <c r="CS98" s="2927"/>
      <c r="CT98" s="2927"/>
      <c r="CU98" s="2927"/>
      <c r="CV98" s="2927"/>
      <c r="CW98" s="2927"/>
      <c r="CX98" s="2927"/>
      <c r="CY98" s="2927"/>
      <c r="CZ98" s="2927"/>
      <c r="DA98" s="2927"/>
      <c r="DB98" s="2927"/>
      <c r="DC98" s="2927"/>
      <c r="DD98" s="2927"/>
      <c r="DE98" s="2927"/>
      <c r="DF98" s="2927"/>
      <c r="DG98" s="2927"/>
      <c r="DH98" s="2927"/>
      <c r="DI98" s="2927"/>
      <c r="DJ98" s="2927"/>
      <c r="DK98" s="2927"/>
      <c r="DL98" s="2927"/>
      <c r="DM98" s="2927"/>
      <c r="DN98" s="2927"/>
      <c r="DO98" s="2927"/>
      <c r="DP98" s="2927"/>
      <c r="DQ98" s="2927"/>
      <c r="DR98" s="2927"/>
      <c r="DS98" s="2927"/>
      <c r="DT98" s="2927"/>
      <c r="DU98" s="2927"/>
      <c r="DV98" s="2927"/>
      <c r="DW98" s="2927"/>
      <c r="DX98" s="2927"/>
      <c r="DY98" s="2927"/>
      <c r="DZ98" s="2927"/>
      <c r="EA98" s="2927"/>
      <c r="EB98" s="2927"/>
      <c r="EC98" s="2927"/>
      <c r="ED98" s="2927"/>
      <c r="EE98" s="2927"/>
      <c r="EF98" s="2927"/>
      <c r="EG98" s="2927"/>
      <c r="EH98" s="2927"/>
      <c r="EI98" s="2927"/>
      <c r="EJ98" s="2927"/>
      <c r="EK98" s="2927"/>
      <c r="EL98" s="2927"/>
      <c r="EM98" s="2927"/>
      <c r="EN98" s="2927"/>
      <c r="EO98" s="2927"/>
      <c r="EP98" s="2927"/>
      <c r="EQ98" s="2927"/>
      <c r="ER98" s="2927"/>
      <c r="ES98" s="2927"/>
      <c r="ET98" s="2927"/>
      <c r="EU98" s="2927"/>
      <c r="EV98" s="2927"/>
      <c r="EW98" s="2927"/>
      <c r="EX98" s="2927"/>
      <c r="EY98" s="2927"/>
      <c r="EZ98" s="2927"/>
      <c r="FA98" s="2927"/>
      <c r="FB98" s="2927"/>
      <c r="FC98" s="2927"/>
      <c r="FD98" s="2927"/>
      <c r="FE98" s="2927"/>
      <c r="FF98" s="2927"/>
      <c r="FG98" s="2927"/>
      <c r="FH98" s="2927"/>
      <c r="FI98" s="2927"/>
      <c r="FJ98" s="2927"/>
      <c r="FK98" s="2927"/>
      <c r="FL98" s="2927"/>
      <c r="FM98" s="2927"/>
      <c r="FN98" s="2927"/>
      <c r="FO98" s="2927"/>
      <c r="FP98" s="2927"/>
      <c r="FQ98" s="2927"/>
      <c r="FR98" s="2927"/>
      <c r="FS98" s="2927"/>
      <c r="FT98" s="2927"/>
      <c r="FU98" s="2927"/>
      <c r="FV98" s="2927"/>
      <c r="FW98" s="2927"/>
      <c r="FX98" s="2927"/>
      <c r="FY98" s="2927"/>
      <c r="FZ98" s="2927"/>
      <c r="GA98" s="2927"/>
      <c r="GB98" s="2927"/>
      <c r="GC98" s="2927"/>
      <c r="GD98" s="2927"/>
      <c r="GE98" s="2927"/>
      <c r="GF98" s="2927"/>
      <c r="GG98" s="2927"/>
      <c r="GH98" s="2927"/>
      <c r="GI98" s="2927"/>
      <c r="GJ98" s="2927"/>
      <c r="GK98" s="2927"/>
      <c r="GL98" s="2927"/>
      <c r="GM98" s="2927"/>
      <c r="GN98" s="2927"/>
      <c r="GO98" s="2927"/>
      <c r="GP98" s="2927"/>
      <c r="GQ98" s="2927"/>
      <c r="GR98" s="2927"/>
      <c r="GS98" s="2927"/>
      <c r="GT98" s="2927"/>
      <c r="GU98" s="2927"/>
      <c r="GV98" s="2927"/>
      <c r="GW98" s="2927"/>
      <c r="GX98" s="2927"/>
      <c r="GY98" s="2927"/>
      <c r="GZ98" s="2927"/>
      <c r="HA98" s="2927"/>
      <c r="HB98" s="2927"/>
      <c r="HC98" s="2927"/>
      <c r="HD98" s="2927"/>
      <c r="HE98" s="2927"/>
      <c r="HF98" s="2927"/>
      <c r="HG98" s="2927"/>
      <c r="HH98" s="2927"/>
      <c r="HI98" s="2927"/>
      <c r="HJ98" s="2927"/>
      <c r="HK98" s="2927"/>
      <c r="HL98" s="2927"/>
      <c r="HM98" s="2927"/>
      <c r="HN98" s="2927"/>
      <c r="HO98" s="2927"/>
      <c r="HP98" s="2927"/>
      <c r="HQ98" s="2927"/>
      <c r="HR98" s="2927"/>
      <c r="HS98" s="2927"/>
      <c r="HT98" s="2927"/>
      <c r="HU98" s="2927"/>
      <c r="HV98" s="2927"/>
      <c r="HW98" s="2927"/>
      <c r="HX98" s="2927"/>
      <c r="HY98" s="2927"/>
      <c r="HZ98" s="2927"/>
      <c r="IA98" s="2927"/>
      <c r="IB98" s="2927"/>
      <c r="IC98" s="2927"/>
      <c r="ID98" s="2927"/>
      <c r="IE98" s="2927"/>
    </row>
    <row r="99" s="2838" customFormat="1" ht="32" customHeight="1" spans="1:239">
      <c r="A99" s="2951">
        <v>45912</v>
      </c>
      <c r="B99" s="2839" t="s">
        <v>3608</v>
      </c>
      <c r="C99" s="2907" t="s">
        <v>738</v>
      </c>
      <c r="D99" s="2906">
        <v>4500179449</v>
      </c>
      <c r="E99" s="2909">
        <v>5251218101</v>
      </c>
      <c r="F99" s="2906" t="s">
        <v>10475</v>
      </c>
      <c r="G99" s="2930" t="s">
        <v>10199</v>
      </c>
      <c r="H99" s="2911" t="s">
        <v>9877</v>
      </c>
      <c r="I99" s="2912">
        <v>1256</v>
      </c>
      <c r="J99" s="2912">
        <v>0</v>
      </c>
      <c r="K99" s="2912">
        <v>4</v>
      </c>
      <c r="L99" s="2912">
        <f t="shared" si="146"/>
        <v>314</v>
      </c>
      <c r="M99" s="2913">
        <v>45981</v>
      </c>
      <c r="N99" s="2913">
        <v>45978</v>
      </c>
      <c r="O99" s="2914"/>
      <c r="P99" s="2914" t="s">
        <v>82</v>
      </c>
      <c r="Q99" s="2914" t="s">
        <v>9878</v>
      </c>
      <c r="R99" s="2915" t="s">
        <v>5089</v>
      </c>
      <c r="S99" s="2915"/>
      <c r="T99" s="2915" t="s">
        <v>10476</v>
      </c>
      <c r="U99" s="2915"/>
      <c r="V99" s="2915"/>
      <c r="W99" s="2931" t="s">
        <v>10477</v>
      </c>
      <c r="X99" s="2912" t="s">
        <v>1257</v>
      </c>
      <c r="Y99" s="2917">
        <v>7.1595</v>
      </c>
      <c r="Z99" s="2918">
        <f t="shared" si="198"/>
        <v>8992.332</v>
      </c>
      <c r="AA99" s="2912"/>
      <c r="AB99" s="2930" t="s">
        <v>10391</v>
      </c>
      <c r="AC99" s="2912" t="s">
        <v>416</v>
      </c>
      <c r="AD99" s="2919"/>
      <c r="AE99" s="2919"/>
      <c r="AF99" s="2968"/>
      <c r="AG99" s="2919">
        <f t="shared" ref="AG99:AG102" si="221">I99</f>
        <v>1256</v>
      </c>
      <c r="AH99" s="2919"/>
      <c r="AI99" s="2919"/>
      <c r="AJ99" s="2921"/>
      <c r="AK99" s="2921">
        <f t="shared" si="177"/>
        <v>1256</v>
      </c>
      <c r="AL99" s="2921"/>
      <c r="AM99" s="2922"/>
      <c r="AN99" s="2922"/>
      <c r="AO99" s="2923"/>
      <c r="AP99" s="2921"/>
      <c r="AQ99" s="2921">
        <f t="shared" si="178"/>
        <v>314</v>
      </c>
      <c r="AR99" s="2924"/>
      <c r="AS99" s="2921">
        <f t="shared" si="185"/>
        <v>314</v>
      </c>
      <c r="AT99" s="2921">
        <f t="shared" si="186"/>
        <v>314</v>
      </c>
      <c r="AU99" s="2921"/>
      <c r="AV99" s="2921">
        <f t="shared" si="187"/>
        <v>314</v>
      </c>
      <c r="AW99" s="2923"/>
      <c r="AX99" s="2921"/>
      <c r="AY99" s="2921"/>
      <c r="AZ99" s="2924"/>
      <c r="BA99" s="2923"/>
      <c r="BB99" s="2924"/>
      <c r="BC99" s="2925"/>
      <c r="BD99" s="2921">
        <f t="shared" si="143"/>
        <v>1256</v>
      </c>
      <c r="BE99" s="2921"/>
      <c r="BF99" s="2921">
        <f t="shared" si="215"/>
        <v>1256</v>
      </c>
      <c r="BG99" s="2921" t="s">
        <v>9164</v>
      </c>
      <c r="BH99" s="2921"/>
      <c r="BI99" s="2921">
        <f t="shared" si="179"/>
        <v>314</v>
      </c>
      <c r="BJ99" s="2921">
        <f t="shared" si="188"/>
        <v>314</v>
      </c>
      <c r="BK99" s="2921">
        <f t="shared" si="189"/>
        <v>314</v>
      </c>
      <c r="BL99" s="2926">
        <f t="shared" si="190"/>
        <v>314</v>
      </c>
      <c r="BM99" s="2921">
        <f t="shared" si="191"/>
        <v>314</v>
      </c>
      <c r="BN99" s="2926">
        <f t="shared" si="192"/>
        <v>314</v>
      </c>
      <c r="BO99" s="2921">
        <f t="shared" si="193"/>
        <v>314</v>
      </c>
      <c r="BP99" s="2926">
        <f t="shared" si="194"/>
        <v>314</v>
      </c>
      <c r="BQ99" s="2926">
        <f t="shared" si="169"/>
        <v>239281</v>
      </c>
      <c r="BR99" s="2926">
        <f t="shared" ref="BR99:BY99" si="222">BR96-BI99</f>
        <v>11897.5</v>
      </c>
      <c r="BS99" s="2926">
        <f t="shared" si="222"/>
        <v>-6180</v>
      </c>
      <c r="BT99" s="2926">
        <f t="shared" si="222"/>
        <v>-6180</v>
      </c>
      <c r="BU99" s="2926">
        <f t="shared" si="222"/>
        <v>-6180</v>
      </c>
      <c r="BV99" s="2926">
        <f t="shared" si="222"/>
        <v>-6180</v>
      </c>
      <c r="BW99" s="2926">
        <f t="shared" si="222"/>
        <v>-6180</v>
      </c>
      <c r="BX99" s="2926">
        <f t="shared" si="222"/>
        <v>-6180</v>
      </c>
      <c r="BY99" s="2926">
        <f t="shared" si="222"/>
        <v>-6180</v>
      </c>
      <c r="BZ99" s="2912"/>
      <c r="CA99" s="2927"/>
      <c r="CB99" s="2927"/>
      <c r="CC99" s="2927"/>
      <c r="CD99" s="2927"/>
      <c r="CE99" s="2927"/>
      <c r="CF99" s="2927"/>
      <c r="CG99" s="2927"/>
      <c r="CH99" s="2927"/>
      <c r="CI99" s="2927"/>
      <c r="CJ99" s="2927"/>
      <c r="CK99" s="2927"/>
      <c r="CL99" s="2927"/>
      <c r="CM99" s="2927"/>
      <c r="CN99" s="2927"/>
      <c r="CO99" s="2927"/>
      <c r="CP99" s="2927"/>
      <c r="CQ99" s="2927"/>
      <c r="CR99" s="2927"/>
      <c r="CS99" s="2927"/>
      <c r="CT99" s="2927"/>
      <c r="CU99" s="2927"/>
      <c r="CV99" s="2927"/>
      <c r="CW99" s="2927"/>
      <c r="CX99" s="2927"/>
      <c r="CY99" s="2927"/>
      <c r="CZ99" s="2927"/>
      <c r="DA99" s="2927"/>
      <c r="DB99" s="2927"/>
      <c r="DC99" s="2927"/>
      <c r="DD99" s="2927"/>
      <c r="DE99" s="2927"/>
      <c r="DF99" s="2927"/>
      <c r="DG99" s="2927"/>
      <c r="DH99" s="2927"/>
      <c r="DI99" s="2927"/>
      <c r="DJ99" s="2927"/>
      <c r="DK99" s="2927"/>
      <c r="DL99" s="2927"/>
      <c r="DM99" s="2927"/>
      <c r="DN99" s="2927"/>
      <c r="DO99" s="2927"/>
      <c r="DP99" s="2927"/>
      <c r="DQ99" s="2927"/>
      <c r="DR99" s="2927"/>
      <c r="DS99" s="2927"/>
      <c r="DT99" s="2927"/>
      <c r="DU99" s="2927"/>
      <c r="DV99" s="2927"/>
      <c r="DW99" s="2927"/>
      <c r="DX99" s="2927"/>
      <c r="DY99" s="2927"/>
      <c r="DZ99" s="2927"/>
      <c r="EA99" s="2927"/>
      <c r="EB99" s="2927"/>
      <c r="EC99" s="2927"/>
      <c r="ED99" s="2927"/>
      <c r="EE99" s="2927"/>
      <c r="EF99" s="2927"/>
      <c r="EG99" s="2927"/>
      <c r="EH99" s="2927"/>
      <c r="EI99" s="2927"/>
      <c r="EJ99" s="2927"/>
      <c r="EK99" s="2927"/>
      <c r="EL99" s="2927"/>
      <c r="EM99" s="2927"/>
      <c r="EN99" s="2927"/>
      <c r="EO99" s="2927"/>
      <c r="EP99" s="2927"/>
      <c r="EQ99" s="2927"/>
      <c r="ER99" s="2927"/>
      <c r="ES99" s="2927"/>
      <c r="ET99" s="2927"/>
      <c r="EU99" s="2927"/>
      <c r="EV99" s="2927"/>
      <c r="EW99" s="2927"/>
      <c r="EX99" s="2927"/>
      <c r="EY99" s="2927"/>
      <c r="EZ99" s="2927"/>
      <c r="FA99" s="2927"/>
      <c r="FB99" s="2927"/>
      <c r="FC99" s="2927"/>
      <c r="FD99" s="2927"/>
      <c r="FE99" s="2927"/>
      <c r="FF99" s="2927"/>
      <c r="FG99" s="2927"/>
      <c r="FH99" s="2927"/>
      <c r="FI99" s="2927"/>
      <c r="FJ99" s="2927"/>
      <c r="FK99" s="2927"/>
      <c r="FL99" s="2927"/>
      <c r="FM99" s="2927"/>
      <c r="FN99" s="2927"/>
      <c r="FO99" s="2927"/>
      <c r="FP99" s="2927"/>
      <c r="FQ99" s="2927"/>
      <c r="FR99" s="2927"/>
      <c r="FS99" s="2927"/>
      <c r="FT99" s="2927"/>
      <c r="FU99" s="2927"/>
      <c r="FV99" s="2927"/>
      <c r="FW99" s="2927"/>
      <c r="FX99" s="2927"/>
      <c r="FY99" s="2927"/>
      <c r="FZ99" s="2927"/>
      <c r="GA99" s="2927"/>
      <c r="GB99" s="2927"/>
      <c r="GC99" s="2927"/>
      <c r="GD99" s="2927"/>
      <c r="GE99" s="2927"/>
      <c r="GF99" s="2927"/>
      <c r="GG99" s="2927"/>
      <c r="GH99" s="2927"/>
      <c r="GI99" s="2927"/>
      <c r="GJ99" s="2927"/>
      <c r="GK99" s="2927"/>
      <c r="GL99" s="2927"/>
      <c r="GM99" s="2927"/>
      <c r="GN99" s="2927"/>
      <c r="GO99" s="2927"/>
      <c r="GP99" s="2927"/>
      <c r="GQ99" s="2927"/>
      <c r="GR99" s="2927"/>
      <c r="GS99" s="2927"/>
      <c r="GT99" s="2927"/>
      <c r="GU99" s="2927"/>
      <c r="GV99" s="2927"/>
      <c r="GW99" s="2927"/>
      <c r="GX99" s="2927"/>
      <c r="GY99" s="2927"/>
      <c r="GZ99" s="2927"/>
      <c r="HA99" s="2927"/>
      <c r="HB99" s="2927"/>
      <c r="HC99" s="2927"/>
      <c r="HD99" s="2927"/>
      <c r="HE99" s="2927"/>
      <c r="HF99" s="2927"/>
      <c r="HG99" s="2927"/>
      <c r="HH99" s="2927"/>
      <c r="HI99" s="2927"/>
      <c r="HJ99" s="2927"/>
      <c r="HK99" s="2927"/>
      <c r="HL99" s="2927"/>
      <c r="HM99" s="2927"/>
      <c r="HN99" s="2927"/>
      <c r="HO99" s="2927"/>
      <c r="HP99" s="2927"/>
      <c r="HQ99" s="2927"/>
      <c r="HR99" s="2927"/>
      <c r="HS99" s="2927"/>
      <c r="HT99" s="2927"/>
      <c r="HU99" s="2927"/>
      <c r="HV99" s="2927"/>
      <c r="HW99" s="2927"/>
      <c r="HX99" s="2927"/>
      <c r="HY99" s="2927"/>
      <c r="HZ99" s="2927"/>
      <c r="IA99" s="2927"/>
      <c r="IB99" s="2927"/>
      <c r="IC99" s="2927"/>
      <c r="ID99" s="2927"/>
      <c r="IE99" s="2927"/>
    </row>
    <row r="100" s="2838" customFormat="1" ht="32" customHeight="1" spans="1:239">
      <c r="A100" s="2951">
        <v>45897</v>
      </c>
      <c r="B100" s="2839" t="s">
        <v>5234</v>
      </c>
      <c r="C100" s="2907" t="s">
        <v>738</v>
      </c>
      <c r="D100" s="2906">
        <v>4500177859</v>
      </c>
      <c r="E100" s="2909" t="s">
        <v>10478</v>
      </c>
      <c r="F100" s="2906" t="s">
        <v>10479</v>
      </c>
      <c r="G100" s="2930" t="s">
        <v>10199</v>
      </c>
      <c r="H100" s="2911" t="s">
        <v>9155</v>
      </c>
      <c r="I100" s="2912">
        <v>600</v>
      </c>
      <c r="J100" s="2912">
        <v>0</v>
      </c>
      <c r="K100" s="2912">
        <v>4</v>
      </c>
      <c r="L100" s="2912">
        <f t="shared" si="146"/>
        <v>150</v>
      </c>
      <c r="M100" s="2913">
        <v>46006</v>
      </c>
      <c r="N100" s="2913">
        <v>46002</v>
      </c>
      <c r="O100" s="2914"/>
      <c r="P100" s="2914" t="s">
        <v>82</v>
      </c>
      <c r="Q100" s="2914" t="s">
        <v>455</v>
      </c>
      <c r="R100" s="2915" t="s">
        <v>5226</v>
      </c>
      <c r="S100" s="2915"/>
      <c r="T100" s="2915" t="s">
        <v>10480</v>
      </c>
      <c r="U100" s="2915"/>
      <c r="V100" s="2915"/>
      <c r="W100" s="2931" t="s">
        <v>10481</v>
      </c>
      <c r="X100" s="2912" t="s">
        <v>459</v>
      </c>
      <c r="Y100" s="2917">
        <v>7.1595</v>
      </c>
      <c r="Z100" s="2918">
        <f t="shared" si="198"/>
        <v>4295.7</v>
      </c>
      <c r="AA100" s="2969" t="s">
        <v>10482</v>
      </c>
      <c r="AB100" s="2930" t="s">
        <v>10391</v>
      </c>
      <c r="AC100" s="2912" t="s">
        <v>416</v>
      </c>
      <c r="AD100" s="2919"/>
      <c r="AE100" s="2919"/>
      <c r="AF100" s="2933"/>
      <c r="AG100" s="2919">
        <f t="shared" si="221"/>
        <v>600</v>
      </c>
      <c r="AH100" s="2919"/>
      <c r="AI100" s="2919"/>
      <c r="AJ100" s="2921"/>
      <c r="AK100" s="2921">
        <f t="shared" si="177"/>
        <v>600</v>
      </c>
      <c r="AL100" s="2921"/>
      <c r="AM100" s="2922"/>
      <c r="AN100" s="2922"/>
      <c r="AO100" s="2923"/>
      <c r="AP100" s="2921"/>
      <c r="AQ100" s="2921">
        <f t="shared" si="178"/>
        <v>150</v>
      </c>
      <c r="AR100" s="2924"/>
      <c r="AS100" s="2921">
        <f t="shared" si="185"/>
        <v>150</v>
      </c>
      <c r="AT100" s="2921">
        <f t="shared" si="186"/>
        <v>150</v>
      </c>
      <c r="AU100" s="2921"/>
      <c r="AV100" s="2921">
        <f t="shared" si="187"/>
        <v>150</v>
      </c>
      <c r="AW100" s="2923"/>
      <c r="AX100" s="2921"/>
      <c r="AY100" s="2921"/>
      <c r="AZ100" s="2924"/>
      <c r="BA100" s="2923"/>
      <c r="BB100" s="2924"/>
      <c r="BC100" s="2925"/>
      <c r="BD100" s="2921">
        <f t="shared" si="143"/>
        <v>600</v>
      </c>
      <c r="BE100" s="2921"/>
      <c r="BF100" s="2921">
        <f t="shared" si="215"/>
        <v>600</v>
      </c>
      <c r="BG100" s="2921" t="s">
        <v>9164</v>
      </c>
      <c r="BH100" s="2921"/>
      <c r="BI100" s="2921">
        <f t="shared" si="179"/>
        <v>150</v>
      </c>
      <c r="BJ100" s="2921">
        <f t="shared" si="188"/>
        <v>150</v>
      </c>
      <c r="BK100" s="2921">
        <f t="shared" si="189"/>
        <v>150</v>
      </c>
      <c r="BL100" s="2926">
        <f t="shared" si="190"/>
        <v>150</v>
      </c>
      <c r="BM100" s="2921">
        <f t="shared" si="191"/>
        <v>150</v>
      </c>
      <c r="BN100" s="2926">
        <f t="shared" si="192"/>
        <v>150</v>
      </c>
      <c r="BO100" s="2921">
        <f t="shared" si="193"/>
        <v>150</v>
      </c>
      <c r="BP100" s="2926">
        <f t="shared" si="194"/>
        <v>150</v>
      </c>
      <c r="BQ100" s="2926">
        <f t="shared" si="169"/>
        <v>238625</v>
      </c>
      <c r="BR100" s="2926">
        <f t="shared" ref="BR100:BY100" si="223">BR96-BI100</f>
        <v>12061.5</v>
      </c>
      <c r="BS100" s="2926">
        <f t="shared" si="223"/>
        <v>-6016</v>
      </c>
      <c r="BT100" s="2926">
        <f t="shared" si="223"/>
        <v>-6016</v>
      </c>
      <c r="BU100" s="2926">
        <f t="shared" si="223"/>
        <v>-6016</v>
      </c>
      <c r="BV100" s="2926">
        <f t="shared" si="223"/>
        <v>-6016</v>
      </c>
      <c r="BW100" s="2926">
        <f t="shared" si="223"/>
        <v>-6016</v>
      </c>
      <c r="BX100" s="2926">
        <f t="shared" si="223"/>
        <v>-6016</v>
      </c>
      <c r="BY100" s="2926">
        <f t="shared" si="223"/>
        <v>-6016</v>
      </c>
      <c r="BZ100" s="2912"/>
      <c r="CA100" s="2927"/>
      <c r="CB100" s="2927"/>
      <c r="CC100" s="2927"/>
      <c r="CD100" s="2927"/>
      <c r="CE100" s="2927"/>
      <c r="CF100" s="2927"/>
      <c r="CG100" s="2927"/>
      <c r="CH100" s="2927"/>
      <c r="CI100" s="2927"/>
      <c r="CJ100" s="2927"/>
      <c r="CK100" s="2927"/>
      <c r="CL100" s="2927"/>
      <c r="CM100" s="2927"/>
      <c r="CN100" s="2927"/>
      <c r="CO100" s="2927"/>
      <c r="CP100" s="2927"/>
      <c r="CQ100" s="2927"/>
      <c r="CR100" s="2927"/>
      <c r="CS100" s="2927"/>
      <c r="CT100" s="2927"/>
      <c r="CU100" s="2927"/>
      <c r="CV100" s="2927"/>
      <c r="CW100" s="2927"/>
      <c r="CX100" s="2927"/>
      <c r="CY100" s="2927"/>
      <c r="CZ100" s="2927"/>
      <c r="DA100" s="2927"/>
      <c r="DB100" s="2927"/>
      <c r="DC100" s="2927"/>
      <c r="DD100" s="2927"/>
      <c r="DE100" s="2927"/>
      <c r="DF100" s="2927"/>
      <c r="DG100" s="2927"/>
      <c r="DH100" s="2927"/>
      <c r="DI100" s="2927"/>
      <c r="DJ100" s="2927"/>
      <c r="DK100" s="2927"/>
      <c r="DL100" s="2927"/>
      <c r="DM100" s="2927"/>
      <c r="DN100" s="2927"/>
      <c r="DO100" s="2927"/>
      <c r="DP100" s="2927"/>
      <c r="DQ100" s="2927"/>
      <c r="DR100" s="2927"/>
      <c r="DS100" s="2927"/>
      <c r="DT100" s="2927"/>
      <c r="DU100" s="2927"/>
      <c r="DV100" s="2927"/>
      <c r="DW100" s="2927"/>
      <c r="DX100" s="2927"/>
      <c r="DY100" s="2927"/>
      <c r="DZ100" s="2927"/>
      <c r="EA100" s="2927"/>
      <c r="EB100" s="2927"/>
      <c r="EC100" s="2927"/>
      <c r="ED100" s="2927"/>
      <c r="EE100" s="2927"/>
      <c r="EF100" s="2927"/>
      <c r="EG100" s="2927"/>
      <c r="EH100" s="2927"/>
      <c r="EI100" s="2927"/>
      <c r="EJ100" s="2927"/>
      <c r="EK100" s="2927"/>
      <c r="EL100" s="2927"/>
      <c r="EM100" s="2927"/>
      <c r="EN100" s="2927"/>
      <c r="EO100" s="2927"/>
      <c r="EP100" s="2927"/>
      <c r="EQ100" s="2927"/>
      <c r="ER100" s="2927"/>
      <c r="ES100" s="2927"/>
      <c r="ET100" s="2927"/>
      <c r="EU100" s="2927"/>
      <c r="EV100" s="2927"/>
      <c r="EW100" s="2927"/>
      <c r="EX100" s="2927"/>
      <c r="EY100" s="2927"/>
      <c r="EZ100" s="2927"/>
      <c r="FA100" s="2927"/>
      <c r="FB100" s="2927"/>
      <c r="FC100" s="2927"/>
      <c r="FD100" s="2927"/>
      <c r="FE100" s="2927"/>
      <c r="FF100" s="2927"/>
      <c r="FG100" s="2927"/>
      <c r="FH100" s="2927"/>
      <c r="FI100" s="2927"/>
      <c r="FJ100" s="2927"/>
      <c r="FK100" s="2927"/>
      <c r="FL100" s="2927"/>
      <c r="FM100" s="2927"/>
      <c r="FN100" s="2927"/>
      <c r="FO100" s="2927"/>
      <c r="FP100" s="2927"/>
      <c r="FQ100" s="2927"/>
      <c r="FR100" s="2927"/>
      <c r="FS100" s="2927"/>
      <c r="FT100" s="2927"/>
      <c r="FU100" s="2927"/>
      <c r="FV100" s="2927"/>
      <c r="FW100" s="2927"/>
      <c r="FX100" s="2927"/>
      <c r="FY100" s="2927"/>
      <c r="FZ100" s="2927"/>
      <c r="GA100" s="2927"/>
      <c r="GB100" s="2927"/>
      <c r="GC100" s="2927"/>
      <c r="GD100" s="2927"/>
      <c r="GE100" s="2927"/>
      <c r="GF100" s="2927"/>
      <c r="GG100" s="2927"/>
      <c r="GH100" s="2927"/>
      <c r="GI100" s="2927"/>
      <c r="GJ100" s="2927"/>
      <c r="GK100" s="2927"/>
      <c r="GL100" s="2927"/>
      <c r="GM100" s="2927"/>
      <c r="GN100" s="2927"/>
      <c r="GO100" s="2927"/>
      <c r="GP100" s="2927"/>
      <c r="GQ100" s="2927"/>
      <c r="GR100" s="2927"/>
      <c r="GS100" s="2927"/>
      <c r="GT100" s="2927"/>
      <c r="GU100" s="2927"/>
      <c r="GV100" s="2927"/>
      <c r="GW100" s="2927"/>
      <c r="GX100" s="2927"/>
      <c r="GY100" s="2927"/>
      <c r="GZ100" s="2927"/>
      <c r="HA100" s="2927"/>
      <c r="HB100" s="2927"/>
      <c r="HC100" s="2927"/>
      <c r="HD100" s="2927"/>
      <c r="HE100" s="2927"/>
      <c r="HF100" s="2927"/>
      <c r="HG100" s="2927"/>
      <c r="HH100" s="2927"/>
      <c r="HI100" s="2927"/>
      <c r="HJ100" s="2927"/>
      <c r="HK100" s="2927"/>
      <c r="HL100" s="2927"/>
      <c r="HM100" s="2927"/>
      <c r="HN100" s="2927"/>
      <c r="HO100" s="2927"/>
      <c r="HP100" s="2927"/>
      <c r="HQ100" s="2927"/>
      <c r="HR100" s="2927"/>
      <c r="HS100" s="2927"/>
      <c r="HT100" s="2927"/>
      <c r="HU100" s="2927"/>
      <c r="HV100" s="2927"/>
      <c r="HW100" s="2927"/>
      <c r="HX100" s="2927"/>
      <c r="HY100" s="2927"/>
      <c r="HZ100" s="2927"/>
      <c r="IA100" s="2927"/>
      <c r="IB100" s="2927"/>
      <c r="IC100" s="2927"/>
      <c r="ID100" s="2927"/>
      <c r="IE100" s="2927"/>
    </row>
    <row r="101" s="2838" customFormat="1" ht="32" customHeight="1" spans="1:239">
      <c r="A101" s="2951">
        <v>45952</v>
      </c>
      <c r="B101" s="2839" t="s">
        <v>5234</v>
      </c>
      <c r="C101" s="2907" t="s">
        <v>738</v>
      </c>
      <c r="D101" s="2906">
        <v>4500182578</v>
      </c>
      <c r="E101" s="2909" t="s">
        <v>10483</v>
      </c>
      <c r="F101" s="2906" t="s">
        <v>10484</v>
      </c>
      <c r="G101" s="2930" t="s">
        <v>10199</v>
      </c>
      <c r="H101" s="2911" t="s">
        <v>9155</v>
      </c>
      <c r="I101" s="2912">
        <v>300</v>
      </c>
      <c r="J101" s="2912">
        <v>0</v>
      </c>
      <c r="K101" s="2912">
        <v>4</v>
      </c>
      <c r="L101" s="2912">
        <f t="shared" si="146"/>
        <v>75</v>
      </c>
      <c r="M101" s="2913">
        <v>46006</v>
      </c>
      <c r="N101" s="2913">
        <v>46002</v>
      </c>
      <c r="O101" s="2914" t="s">
        <v>10485</v>
      </c>
      <c r="P101" s="2914" t="s">
        <v>82</v>
      </c>
      <c r="Q101" s="2914" t="s">
        <v>127</v>
      </c>
      <c r="R101" s="2915" t="s">
        <v>2231</v>
      </c>
      <c r="S101" s="2915"/>
      <c r="T101" s="2915" t="s">
        <v>10486</v>
      </c>
      <c r="U101" s="2915"/>
      <c r="V101" s="2915"/>
      <c r="W101" s="2931" t="s">
        <v>10487</v>
      </c>
      <c r="X101" s="2912" t="s">
        <v>459</v>
      </c>
      <c r="Y101" s="2917">
        <v>7.1761</v>
      </c>
      <c r="Z101" s="2918">
        <f t="shared" si="198"/>
        <v>2152.83</v>
      </c>
      <c r="AA101" s="2970" t="s">
        <v>5238</v>
      </c>
      <c r="AB101" s="2930" t="s">
        <v>10391</v>
      </c>
      <c r="AC101" s="2912" t="s">
        <v>416</v>
      </c>
      <c r="AD101" s="2919"/>
      <c r="AE101" s="2919"/>
      <c r="AF101" s="2919"/>
      <c r="AG101" s="2919">
        <f t="shared" si="221"/>
        <v>300</v>
      </c>
      <c r="AH101" s="2919"/>
      <c r="AI101" s="2919"/>
      <c r="AJ101" s="2921"/>
      <c r="AK101" s="2921">
        <f t="shared" si="177"/>
        <v>300</v>
      </c>
      <c r="AL101" s="2921"/>
      <c r="AM101" s="2922"/>
      <c r="AN101" s="2922"/>
      <c r="AO101" s="2923"/>
      <c r="AP101" s="2921"/>
      <c r="AQ101" s="2921">
        <f t="shared" si="178"/>
        <v>75</v>
      </c>
      <c r="AR101" s="2924"/>
      <c r="AS101" s="2921">
        <f t="shared" si="185"/>
        <v>75</v>
      </c>
      <c r="AT101" s="2921">
        <f t="shared" si="186"/>
        <v>75</v>
      </c>
      <c r="AU101" s="2921"/>
      <c r="AV101" s="2921">
        <f t="shared" si="187"/>
        <v>75</v>
      </c>
      <c r="AW101" s="2923"/>
      <c r="AX101" s="2921"/>
      <c r="AY101" s="2921"/>
      <c r="AZ101" s="2924"/>
      <c r="BA101" s="2923"/>
      <c r="BB101" s="2924"/>
      <c r="BC101" s="2925"/>
      <c r="BD101" s="2921">
        <f t="shared" si="143"/>
        <v>300</v>
      </c>
      <c r="BE101" s="2921"/>
      <c r="BF101" s="2921">
        <f t="shared" si="215"/>
        <v>300</v>
      </c>
      <c r="BG101" s="2921" t="s">
        <v>9164</v>
      </c>
      <c r="BH101" s="2921"/>
      <c r="BI101" s="2921">
        <f t="shared" si="179"/>
        <v>75</v>
      </c>
      <c r="BJ101" s="2921">
        <f t="shared" si="188"/>
        <v>75</v>
      </c>
      <c r="BK101" s="2921">
        <f t="shared" si="189"/>
        <v>75</v>
      </c>
      <c r="BL101" s="2926">
        <f t="shared" si="190"/>
        <v>75</v>
      </c>
      <c r="BM101" s="2921">
        <f t="shared" si="191"/>
        <v>75</v>
      </c>
      <c r="BN101" s="2926">
        <f t="shared" si="192"/>
        <v>75</v>
      </c>
      <c r="BO101" s="2921">
        <f t="shared" si="193"/>
        <v>75</v>
      </c>
      <c r="BP101" s="2926">
        <f t="shared" si="194"/>
        <v>75</v>
      </c>
      <c r="BQ101" s="2926">
        <f t="shared" si="169"/>
        <v>238325</v>
      </c>
      <c r="BR101" s="2926">
        <f t="shared" ref="BR101:BY101" si="224">BR97-BI101</f>
        <v>-75</v>
      </c>
      <c r="BS101" s="2926">
        <f t="shared" si="224"/>
        <v>-75</v>
      </c>
      <c r="BT101" s="2926">
        <f t="shared" si="224"/>
        <v>-75</v>
      </c>
      <c r="BU101" s="2926">
        <f t="shared" si="224"/>
        <v>-75</v>
      </c>
      <c r="BV101" s="2926">
        <f t="shared" si="224"/>
        <v>-75</v>
      </c>
      <c r="BW101" s="2926">
        <f t="shared" si="224"/>
        <v>-75</v>
      </c>
      <c r="BX101" s="2926">
        <f t="shared" si="224"/>
        <v>-75</v>
      </c>
      <c r="BY101" s="2926">
        <f t="shared" si="224"/>
        <v>-75</v>
      </c>
      <c r="BZ101" s="2912"/>
      <c r="CA101" s="2927"/>
      <c r="CB101" s="2927"/>
      <c r="CC101" s="2927"/>
      <c r="CD101" s="2927"/>
      <c r="CE101" s="2927"/>
      <c r="CF101" s="2927"/>
      <c r="CG101" s="2927"/>
      <c r="CH101" s="2927"/>
      <c r="CI101" s="2927"/>
      <c r="CJ101" s="2927"/>
      <c r="CK101" s="2927"/>
      <c r="CL101" s="2927"/>
      <c r="CM101" s="2927"/>
      <c r="CN101" s="2927"/>
      <c r="CO101" s="2927"/>
      <c r="CP101" s="2927"/>
      <c r="CQ101" s="2927"/>
      <c r="CR101" s="2927"/>
      <c r="CS101" s="2927"/>
      <c r="CT101" s="2927"/>
      <c r="CU101" s="2927"/>
      <c r="CV101" s="2927"/>
      <c r="CW101" s="2927"/>
      <c r="CX101" s="2927"/>
      <c r="CY101" s="2927"/>
      <c r="CZ101" s="2927"/>
      <c r="DA101" s="2927"/>
      <c r="DB101" s="2927"/>
      <c r="DC101" s="2927"/>
      <c r="DD101" s="2927"/>
      <c r="DE101" s="2927"/>
      <c r="DF101" s="2927"/>
      <c r="DG101" s="2927"/>
      <c r="DH101" s="2927"/>
      <c r="DI101" s="2927"/>
      <c r="DJ101" s="2927"/>
      <c r="DK101" s="2927"/>
      <c r="DL101" s="2927"/>
      <c r="DM101" s="2927"/>
      <c r="DN101" s="2927"/>
      <c r="DO101" s="2927"/>
      <c r="DP101" s="2927"/>
      <c r="DQ101" s="2927"/>
      <c r="DR101" s="2927"/>
      <c r="DS101" s="2927"/>
      <c r="DT101" s="2927"/>
      <c r="DU101" s="2927"/>
      <c r="DV101" s="2927"/>
      <c r="DW101" s="2927"/>
      <c r="DX101" s="2927"/>
      <c r="DY101" s="2927"/>
      <c r="DZ101" s="2927"/>
      <c r="EA101" s="2927"/>
      <c r="EB101" s="2927"/>
      <c r="EC101" s="2927"/>
      <c r="ED101" s="2927"/>
      <c r="EE101" s="2927"/>
      <c r="EF101" s="2927"/>
      <c r="EG101" s="2927"/>
      <c r="EH101" s="2927"/>
      <c r="EI101" s="2927"/>
      <c r="EJ101" s="2927"/>
      <c r="EK101" s="2927"/>
      <c r="EL101" s="2927"/>
      <c r="EM101" s="2927"/>
      <c r="EN101" s="2927"/>
      <c r="EO101" s="2927"/>
      <c r="EP101" s="2927"/>
      <c r="EQ101" s="2927"/>
      <c r="ER101" s="2927"/>
      <c r="ES101" s="2927"/>
      <c r="ET101" s="2927"/>
      <c r="EU101" s="2927"/>
      <c r="EV101" s="2927"/>
      <c r="EW101" s="2927"/>
      <c r="EX101" s="2927"/>
      <c r="EY101" s="2927"/>
      <c r="EZ101" s="2927"/>
      <c r="FA101" s="2927"/>
      <c r="FB101" s="2927"/>
      <c r="FC101" s="2927"/>
      <c r="FD101" s="2927"/>
      <c r="FE101" s="2927"/>
      <c r="FF101" s="2927"/>
      <c r="FG101" s="2927"/>
      <c r="FH101" s="2927"/>
      <c r="FI101" s="2927"/>
      <c r="FJ101" s="2927"/>
      <c r="FK101" s="2927"/>
      <c r="FL101" s="2927"/>
      <c r="FM101" s="2927"/>
      <c r="FN101" s="2927"/>
      <c r="FO101" s="2927"/>
      <c r="FP101" s="2927"/>
      <c r="FQ101" s="2927"/>
      <c r="FR101" s="2927"/>
      <c r="FS101" s="2927"/>
      <c r="FT101" s="2927"/>
      <c r="FU101" s="2927"/>
      <c r="FV101" s="2927"/>
      <c r="FW101" s="2927"/>
      <c r="FX101" s="2927"/>
      <c r="FY101" s="2927"/>
      <c r="FZ101" s="2927"/>
      <c r="GA101" s="2927"/>
      <c r="GB101" s="2927"/>
      <c r="GC101" s="2927"/>
      <c r="GD101" s="2927"/>
      <c r="GE101" s="2927"/>
      <c r="GF101" s="2927"/>
      <c r="GG101" s="2927"/>
      <c r="GH101" s="2927"/>
      <c r="GI101" s="2927"/>
      <c r="GJ101" s="2927"/>
      <c r="GK101" s="2927"/>
      <c r="GL101" s="2927"/>
      <c r="GM101" s="2927"/>
      <c r="GN101" s="2927"/>
      <c r="GO101" s="2927"/>
      <c r="GP101" s="2927"/>
      <c r="GQ101" s="2927"/>
      <c r="GR101" s="2927"/>
      <c r="GS101" s="2927"/>
      <c r="GT101" s="2927"/>
      <c r="GU101" s="2927"/>
      <c r="GV101" s="2927"/>
      <c r="GW101" s="2927"/>
      <c r="GX101" s="2927"/>
      <c r="GY101" s="2927"/>
      <c r="GZ101" s="2927"/>
      <c r="HA101" s="2927"/>
      <c r="HB101" s="2927"/>
      <c r="HC101" s="2927"/>
      <c r="HD101" s="2927"/>
      <c r="HE101" s="2927"/>
      <c r="HF101" s="2927"/>
      <c r="HG101" s="2927"/>
      <c r="HH101" s="2927"/>
      <c r="HI101" s="2927"/>
      <c r="HJ101" s="2927"/>
      <c r="HK101" s="2927"/>
      <c r="HL101" s="2927"/>
      <c r="HM101" s="2927"/>
      <c r="HN101" s="2927"/>
      <c r="HO101" s="2927"/>
      <c r="HP101" s="2927"/>
      <c r="HQ101" s="2927"/>
      <c r="HR101" s="2927"/>
      <c r="HS101" s="2927"/>
      <c r="HT101" s="2927"/>
      <c r="HU101" s="2927"/>
      <c r="HV101" s="2927"/>
      <c r="HW101" s="2927"/>
      <c r="HX101" s="2927"/>
      <c r="HY101" s="2927"/>
      <c r="HZ101" s="2927"/>
      <c r="IA101" s="2927"/>
      <c r="IB101" s="2927"/>
      <c r="IC101" s="2927"/>
      <c r="ID101" s="2927"/>
      <c r="IE101" s="2927"/>
    </row>
    <row r="102" s="2838" customFormat="1" ht="32" customHeight="1" spans="1:239">
      <c r="A102" s="2951">
        <v>45978</v>
      </c>
      <c r="B102" s="2839" t="s">
        <v>9919</v>
      </c>
      <c r="C102" s="2907" t="s">
        <v>2776</v>
      </c>
      <c r="D102" s="2906">
        <v>4500185782</v>
      </c>
      <c r="E102" s="2909"/>
      <c r="F102" s="2906" t="s">
        <v>10488</v>
      </c>
      <c r="G102" s="2930" t="s">
        <v>10199</v>
      </c>
      <c r="H102" s="2911" t="s">
        <v>9155</v>
      </c>
      <c r="I102" s="2912">
        <v>1500</v>
      </c>
      <c r="J102" s="2912">
        <v>0</v>
      </c>
      <c r="K102" s="2912">
        <v>4</v>
      </c>
      <c r="L102" s="2912">
        <f t="shared" si="146"/>
        <v>375</v>
      </c>
      <c r="M102" s="2913">
        <v>46027</v>
      </c>
      <c r="N102" s="2913">
        <v>46023</v>
      </c>
      <c r="O102" s="2914"/>
      <c r="P102" s="2914" t="s">
        <v>82</v>
      </c>
      <c r="Q102" s="2959" t="s">
        <v>5337</v>
      </c>
      <c r="R102" s="2911" t="s">
        <v>5521</v>
      </c>
      <c r="S102" s="2915"/>
      <c r="T102" s="2915" t="s">
        <v>9921</v>
      </c>
      <c r="U102" s="2915"/>
      <c r="V102" s="2915"/>
      <c r="W102" s="2931" t="s">
        <v>10489</v>
      </c>
      <c r="X102" s="2912" t="s">
        <v>1434</v>
      </c>
      <c r="Y102" s="2917">
        <v>7.1595</v>
      </c>
      <c r="Z102" s="2918">
        <f t="shared" si="198"/>
        <v>10739.25</v>
      </c>
      <c r="AA102" s="2912"/>
      <c r="AB102" s="2930" t="s">
        <v>10391</v>
      </c>
      <c r="AC102" s="2912" t="s">
        <v>416</v>
      </c>
      <c r="AD102" s="2919"/>
      <c r="AE102" s="2919"/>
      <c r="AF102" s="2944"/>
      <c r="AG102" s="2919">
        <f t="shared" si="221"/>
        <v>1500</v>
      </c>
      <c r="AH102" s="2919"/>
      <c r="AI102" s="2919"/>
      <c r="AJ102" s="2921"/>
      <c r="AK102" s="2921">
        <f t="shared" si="177"/>
        <v>1500</v>
      </c>
      <c r="AL102" s="2921"/>
      <c r="AM102" s="2922"/>
      <c r="AN102" s="2922"/>
      <c r="AO102" s="2923"/>
      <c r="AP102" s="2921"/>
      <c r="AQ102" s="2921">
        <f t="shared" si="178"/>
        <v>375</v>
      </c>
      <c r="AR102" s="2924"/>
      <c r="AS102" s="2921">
        <f t="shared" si="185"/>
        <v>375</v>
      </c>
      <c r="AT102" s="2921">
        <f t="shared" si="186"/>
        <v>375</v>
      </c>
      <c r="AU102" s="2921"/>
      <c r="AV102" s="2921">
        <f t="shared" si="187"/>
        <v>375</v>
      </c>
      <c r="AW102" s="2923"/>
      <c r="AX102" s="2921"/>
      <c r="AY102" s="2921"/>
      <c r="AZ102" s="2924"/>
      <c r="BA102" s="2923"/>
      <c r="BB102" s="2924"/>
      <c r="BC102" s="2925"/>
      <c r="BD102" s="2921">
        <f t="shared" si="143"/>
        <v>1500</v>
      </c>
      <c r="BE102" s="2921"/>
      <c r="BF102" s="2921">
        <f t="shared" si="215"/>
        <v>1500</v>
      </c>
      <c r="BG102" s="2921" t="s">
        <v>9164</v>
      </c>
      <c r="BH102" s="2921"/>
      <c r="BI102" s="2921">
        <f t="shared" si="179"/>
        <v>375</v>
      </c>
      <c r="BJ102" s="2921">
        <f t="shared" si="188"/>
        <v>375</v>
      </c>
      <c r="BK102" s="2921">
        <f t="shared" si="189"/>
        <v>375</v>
      </c>
      <c r="BL102" s="2926">
        <f t="shared" si="190"/>
        <v>375</v>
      </c>
      <c r="BM102" s="2921">
        <f t="shared" si="191"/>
        <v>375</v>
      </c>
      <c r="BN102" s="2926">
        <f t="shared" si="192"/>
        <v>375</v>
      </c>
      <c r="BO102" s="2921">
        <f t="shared" si="193"/>
        <v>375</v>
      </c>
      <c r="BP102" s="2926">
        <f t="shared" si="194"/>
        <v>375</v>
      </c>
      <c r="BQ102" s="2926">
        <f t="shared" si="169"/>
        <v>239525</v>
      </c>
      <c r="BR102" s="2926">
        <f>BR98-BI102</f>
        <v>12235.5</v>
      </c>
      <c r="BS102" s="2926"/>
      <c r="BT102" s="2926"/>
      <c r="BU102" s="2926"/>
      <c r="BV102" s="2926"/>
      <c r="BW102" s="2926"/>
      <c r="BX102" s="2926"/>
      <c r="BY102" s="2926"/>
      <c r="BZ102" s="2912"/>
      <c r="CA102" s="2927"/>
      <c r="CB102" s="2927"/>
      <c r="CC102" s="2927"/>
      <c r="CD102" s="2927"/>
      <c r="CE102" s="2927"/>
      <c r="CF102" s="2927"/>
      <c r="CG102" s="2927"/>
      <c r="CH102" s="2927"/>
      <c r="CI102" s="2927"/>
      <c r="CJ102" s="2927"/>
      <c r="CK102" s="2927"/>
      <c r="CL102" s="2927"/>
      <c r="CM102" s="2927"/>
      <c r="CN102" s="2927"/>
      <c r="CO102" s="2927"/>
      <c r="CP102" s="2927"/>
      <c r="CQ102" s="2927"/>
      <c r="CR102" s="2927"/>
      <c r="CS102" s="2927"/>
      <c r="CT102" s="2927"/>
      <c r="CU102" s="2927"/>
      <c r="CV102" s="2927"/>
      <c r="CW102" s="2927"/>
      <c r="CX102" s="2927"/>
      <c r="CY102" s="2927"/>
      <c r="CZ102" s="2927"/>
      <c r="DA102" s="2927"/>
      <c r="DB102" s="2927"/>
      <c r="DC102" s="2927"/>
      <c r="DD102" s="2927"/>
      <c r="DE102" s="2927"/>
      <c r="DF102" s="2927"/>
      <c r="DG102" s="2927"/>
      <c r="DH102" s="2927"/>
      <c r="DI102" s="2927"/>
      <c r="DJ102" s="2927"/>
      <c r="DK102" s="2927"/>
      <c r="DL102" s="2927"/>
      <c r="DM102" s="2927"/>
      <c r="DN102" s="2927"/>
      <c r="DO102" s="2927"/>
      <c r="DP102" s="2927"/>
      <c r="DQ102" s="2927"/>
      <c r="DR102" s="2927"/>
      <c r="DS102" s="2927"/>
      <c r="DT102" s="2927"/>
      <c r="DU102" s="2927"/>
      <c r="DV102" s="2927"/>
      <c r="DW102" s="2927"/>
      <c r="DX102" s="2927"/>
      <c r="DY102" s="2927"/>
      <c r="DZ102" s="2927"/>
      <c r="EA102" s="2927"/>
      <c r="EB102" s="2927"/>
      <c r="EC102" s="2927"/>
      <c r="ED102" s="2927"/>
      <c r="EE102" s="2927"/>
      <c r="EF102" s="2927"/>
      <c r="EG102" s="2927"/>
      <c r="EH102" s="2927"/>
      <c r="EI102" s="2927"/>
      <c r="EJ102" s="2927"/>
      <c r="EK102" s="2927"/>
      <c r="EL102" s="2927"/>
      <c r="EM102" s="2927"/>
      <c r="EN102" s="2927"/>
      <c r="EO102" s="2927"/>
      <c r="EP102" s="2927"/>
      <c r="EQ102" s="2927"/>
      <c r="ER102" s="2927"/>
      <c r="ES102" s="2927"/>
      <c r="ET102" s="2927"/>
      <c r="EU102" s="2927"/>
      <c r="EV102" s="2927"/>
      <c r="EW102" s="2927"/>
      <c r="EX102" s="2927"/>
      <c r="EY102" s="2927"/>
      <c r="EZ102" s="2927"/>
      <c r="FA102" s="2927"/>
      <c r="FB102" s="2927"/>
      <c r="FC102" s="2927"/>
      <c r="FD102" s="2927"/>
      <c r="FE102" s="2927"/>
      <c r="FF102" s="2927"/>
      <c r="FG102" s="2927"/>
      <c r="FH102" s="2927"/>
      <c r="FI102" s="2927"/>
      <c r="FJ102" s="2927"/>
      <c r="FK102" s="2927"/>
      <c r="FL102" s="2927"/>
      <c r="FM102" s="2927"/>
      <c r="FN102" s="2927"/>
      <c r="FO102" s="2927"/>
      <c r="FP102" s="2927"/>
      <c r="FQ102" s="2927"/>
      <c r="FR102" s="2927"/>
      <c r="FS102" s="2927"/>
      <c r="FT102" s="2927"/>
      <c r="FU102" s="2927"/>
      <c r="FV102" s="2927"/>
      <c r="FW102" s="2927"/>
      <c r="FX102" s="2927"/>
      <c r="FY102" s="2927"/>
      <c r="FZ102" s="2927"/>
      <c r="GA102" s="2927"/>
      <c r="GB102" s="2927"/>
      <c r="GC102" s="2927"/>
      <c r="GD102" s="2927"/>
      <c r="GE102" s="2927"/>
      <c r="GF102" s="2927"/>
      <c r="GG102" s="2927"/>
      <c r="GH102" s="2927"/>
      <c r="GI102" s="2927"/>
      <c r="GJ102" s="2927"/>
      <c r="GK102" s="2927"/>
      <c r="GL102" s="2927"/>
      <c r="GM102" s="2927"/>
      <c r="GN102" s="2927"/>
      <c r="GO102" s="2927"/>
      <c r="GP102" s="2927"/>
      <c r="GQ102" s="2927"/>
      <c r="GR102" s="2927"/>
      <c r="GS102" s="2927"/>
      <c r="GT102" s="2927"/>
      <c r="GU102" s="2927"/>
      <c r="GV102" s="2927"/>
      <c r="GW102" s="2927"/>
      <c r="GX102" s="2927"/>
      <c r="GY102" s="2927"/>
      <c r="GZ102" s="2927"/>
      <c r="HA102" s="2927"/>
      <c r="HB102" s="2927"/>
      <c r="HC102" s="2927"/>
      <c r="HD102" s="2927"/>
      <c r="HE102" s="2927"/>
      <c r="HF102" s="2927"/>
      <c r="HG102" s="2927"/>
      <c r="HH102" s="2927"/>
      <c r="HI102" s="2927"/>
      <c r="HJ102" s="2927"/>
      <c r="HK102" s="2927"/>
      <c r="HL102" s="2927"/>
      <c r="HM102" s="2927"/>
      <c r="HN102" s="2927"/>
      <c r="HO102" s="2927"/>
      <c r="HP102" s="2927"/>
      <c r="HQ102" s="2927"/>
      <c r="HR102" s="2927"/>
      <c r="HS102" s="2927"/>
      <c r="HT102" s="2927"/>
      <c r="HU102" s="2927"/>
      <c r="HV102" s="2927"/>
      <c r="HW102" s="2927"/>
      <c r="HX102" s="2927"/>
      <c r="HY102" s="2927"/>
      <c r="HZ102" s="2927"/>
      <c r="IA102" s="2927"/>
      <c r="IB102" s="2927"/>
      <c r="IC102" s="2927"/>
      <c r="ID102" s="2927"/>
      <c r="IE102" s="2927"/>
    </row>
    <row r="103" s="2838" customFormat="1" ht="32" customHeight="1" spans="1:239">
      <c r="A103" s="2951">
        <v>46006</v>
      </c>
      <c r="B103" s="2839" t="s">
        <v>2136</v>
      </c>
      <c r="C103" s="2907" t="s">
        <v>2137</v>
      </c>
      <c r="D103" s="2906">
        <v>4500189086</v>
      </c>
      <c r="E103" s="2909"/>
      <c r="F103" s="2906" t="s">
        <v>10490</v>
      </c>
      <c r="G103" s="2930" t="s">
        <v>10199</v>
      </c>
      <c r="H103" s="2911" t="s">
        <v>9155</v>
      </c>
      <c r="I103" s="2912">
        <v>200</v>
      </c>
      <c r="J103" s="2912">
        <v>0</v>
      </c>
      <c r="K103" s="2912">
        <v>4</v>
      </c>
      <c r="L103" s="2912">
        <f t="shared" si="146"/>
        <v>50</v>
      </c>
      <c r="M103" s="2913">
        <v>46045</v>
      </c>
      <c r="N103" s="2913">
        <v>46041</v>
      </c>
      <c r="O103" s="2914"/>
      <c r="P103" s="2914" t="s">
        <v>82</v>
      </c>
      <c r="Q103" s="2914" t="s">
        <v>5369</v>
      </c>
      <c r="R103" s="2911" t="s">
        <v>7971</v>
      </c>
      <c r="S103" s="2915"/>
      <c r="T103" s="2915" t="s">
        <v>98</v>
      </c>
      <c r="U103" s="2915"/>
      <c r="V103" s="2915"/>
      <c r="W103" s="2931" t="s">
        <v>10491</v>
      </c>
      <c r="X103" s="2912" t="s">
        <v>2141</v>
      </c>
      <c r="Y103" s="2917">
        <v>7.1065</v>
      </c>
      <c r="Z103" s="2918">
        <f t="shared" si="198"/>
        <v>1421.3</v>
      </c>
      <c r="AA103" s="2912"/>
      <c r="AB103" s="2930" t="s">
        <v>10312</v>
      </c>
      <c r="AC103" s="2912" t="s">
        <v>416</v>
      </c>
      <c r="AD103" s="2919"/>
      <c r="AE103" s="2919">
        <f t="shared" ref="AE103:AE106" si="225">I103</f>
        <v>200</v>
      </c>
      <c r="AF103" s="2944"/>
      <c r="AG103" s="2919"/>
      <c r="AH103" s="2919"/>
      <c r="AI103" s="2919"/>
      <c r="AJ103" s="2921"/>
      <c r="AK103" s="2921">
        <f t="shared" si="177"/>
        <v>200</v>
      </c>
      <c r="AL103" s="2921"/>
      <c r="AM103" s="2922"/>
      <c r="AN103" s="2922"/>
      <c r="AO103" s="2923"/>
      <c r="AP103" s="2921"/>
      <c r="AQ103" s="2921">
        <f t="shared" si="178"/>
        <v>50</v>
      </c>
      <c r="AR103" s="2924"/>
      <c r="AS103" s="2921">
        <f t="shared" si="185"/>
        <v>50</v>
      </c>
      <c r="AT103" s="2921">
        <f t="shared" si="186"/>
        <v>50</v>
      </c>
      <c r="AU103" s="2921"/>
      <c r="AV103" s="2921">
        <f t="shared" si="187"/>
        <v>50</v>
      </c>
      <c r="AW103" s="2923"/>
      <c r="AX103" s="2921"/>
      <c r="AY103" s="2921"/>
      <c r="AZ103" s="2924"/>
      <c r="BA103" s="2923"/>
      <c r="BB103" s="2924"/>
      <c r="BC103" s="2925"/>
      <c r="BD103" s="2921">
        <f t="shared" si="143"/>
        <v>200</v>
      </c>
      <c r="BE103" s="2921"/>
      <c r="BF103" s="2921">
        <f t="shared" si="215"/>
        <v>200</v>
      </c>
      <c r="BG103" s="2921" t="s">
        <v>9164</v>
      </c>
      <c r="BH103" s="2921"/>
      <c r="BI103" s="2921">
        <f t="shared" si="179"/>
        <v>50</v>
      </c>
      <c r="BJ103" s="2921">
        <f t="shared" si="188"/>
        <v>50</v>
      </c>
      <c r="BK103" s="2921">
        <f t="shared" si="189"/>
        <v>50</v>
      </c>
      <c r="BL103" s="2926">
        <f t="shared" si="190"/>
        <v>50</v>
      </c>
      <c r="BM103" s="2921">
        <f t="shared" si="191"/>
        <v>50</v>
      </c>
      <c r="BN103" s="2926">
        <f t="shared" si="192"/>
        <v>50</v>
      </c>
      <c r="BO103" s="2921">
        <f t="shared" si="193"/>
        <v>50</v>
      </c>
      <c r="BP103" s="2926">
        <f t="shared" si="194"/>
        <v>50</v>
      </c>
      <c r="BQ103" s="2926">
        <f t="shared" si="169"/>
        <v>238225</v>
      </c>
      <c r="BR103" s="2926"/>
      <c r="BS103" s="2926"/>
      <c r="BT103" s="2926"/>
      <c r="BU103" s="2926"/>
      <c r="BV103" s="2926"/>
      <c r="BW103" s="2926"/>
      <c r="BX103" s="2926"/>
      <c r="BY103" s="2926"/>
      <c r="BZ103" s="2912"/>
      <c r="CA103" s="2927"/>
      <c r="CB103" s="2927"/>
      <c r="CC103" s="2927"/>
      <c r="CD103" s="2927"/>
      <c r="CE103" s="2927"/>
      <c r="CF103" s="2927"/>
      <c r="CG103" s="2927"/>
      <c r="CH103" s="2927"/>
      <c r="CI103" s="2927"/>
      <c r="CJ103" s="2927"/>
      <c r="CK103" s="2927"/>
      <c r="CL103" s="2927"/>
      <c r="CM103" s="2927"/>
      <c r="CN103" s="2927"/>
      <c r="CO103" s="2927"/>
      <c r="CP103" s="2927"/>
      <c r="CQ103" s="2927"/>
      <c r="CR103" s="2927"/>
      <c r="CS103" s="2927"/>
      <c r="CT103" s="2927"/>
      <c r="CU103" s="2927"/>
      <c r="CV103" s="2927"/>
      <c r="CW103" s="2927"/>
      <c r="CX103" s="2927"/>
      <c r="CY103" s="2927"/>
      <c r="CZ103" s="2927"/>
      <c r="DA103" s="2927"/>
      <c r="DB103" s="2927"/>
      <c r="DC103" s="2927"/>
      <c r="DD103" s="2927"/>
      <c r="DE103" s="2927"/>
      <c r="DF103" s="2927"/>
      <c r="DG103" s="2927"/>
      <c r="DH103" s="2927"/>
      <c r="DI103" s="2927"/>
      <c r="DJ103" s="2927"/>
      <c r="DK103" s="2927"/>
      <c r="DL103" s="2927"/>
      <c r="DM103" s="2927"/>
      <c r="DN103" s="2927"/>
      <c r="DO103" s="2927"/>
      <c r="DP103" s="2927"/>
      <c r="DQ103" s="2927"/>
      <c r="DR103" s="2927"/>
      <c r="DS103" s="2927"/>
      <c r="DT103" s="2927"/>
      <c r="DU103" s="2927"/>
      <c r="DV103" s="2927"/>
      <c r="DW103" s="2927"/>
      <c r="DX103" s="2927"/>
      <c r="DY103" s="2927"/>
      <c r="DZ103" s="2927"/>
      <c r="EA103" s="2927"/>
      <c r="EB103" s="2927"/>
      <c r="EC103" s="2927"/>
      <c r="ED103" s="2927"/>
      <c r="EE103" s="2927"/>
      <c r="EF103" s="2927"/>
      <c r="EG103" s="2927"/>
      <c r="EH103" s="2927"/>
      <c r="EI103" s="2927"/>
      <c r="EJ103" s="2927"/>
      <c r="EK103" s="2927"/>
      <c r="EL103" s="2927"/>
      <c r="EM103" s="2927"/>
      <c r="EN103" s="2927"/>
      <c r="EO103" s="2927"/>
      <c r="EP103" s="2927"/>
      <c r="EQ103" s="2927"/>
      <c r="ER103" s="2927"/>
      <c r="ES103" s="2927"/>
      <c r="ET103" s="2927"/>
      <c r="EU103" s="2927"/>
      <c r="EV103" s="2927"/>
      <c r="EW103" s="2927"/>
      <c r="EX103" s="2927"/>
      <c r="EY103" s="2927"/>
      <c r="EZ103" s="2927"/>
      <c r="FA103" s="2927"/>
      <c r="FB103" s="2927"/>
      <c r="FC103" s="2927"/>
      <c r="FD103" s="2927"/>
      <c r="FE103" s="2927"/>
      <c r="FF103" s="2927"/>
      <c r="FG103" s="2927"/>
      <c r="FH103" s="2927"/>
      <c r="FI103" s="2927"/>
      <c r="FJ103" s="2927"/>
      <c r="FK103" s="2927"/>
      <c r="FL103" s="2927"/>
      <c r="FM103" s="2927"/>
      <c r="FN103" s="2927"/>
      <c r="FO103" s="2927"/>
      <c r="FP103" s="2927"/>
      <c r="FQ103" s="2927"/>
      <c r="FR103" s="2927"/>
      <c r="FS103" s="2927"/>
      <c r="FT103" s="2927"/>
      <c r="FU103" s="2927"/>
      <c r="FV103" s="2927"/>
      <c r="FW103" s="2927"/>
      <c r="FX103" s="2927"/>
      <c r="FY103" s="2927"/>
      <c r="FZ103" s="2927"/>
      <c r="GA103" s="2927"/>
      <c r="GB103" s="2927"/>
      <c r="GC103" s="2927"/>
      <c r="GD103" s="2927"/>
      <c r="GE103" s="2927"/>
      <c r="GF103" s="2927"/>
      <c r="GG103" s="2927"/>
      <c r="GH103" s="2927"/>
      <c r="GI103" s="2927"/>
      <c r="GJ103" s="2927"/>
      <c r="GK103" s="2927"/>
      <c r="GL103" s="2927"/>
      <c r="GM103" s="2927"/>
      <c r="GN103" s="2927"/>
      <c r="GO103" s="2927"/>
      <c r="GP103" s="2927"/>
      <c r="GQ103" s="2927"/>
      <c r="GR103" s="2927"/>
      <c r="GS103" s="2927"/>
      <c r="GT103" s="2927"/>
      <c r="GU103" s="2927"/>
      <c r="GV103" s="2927"/>
      <c r="GW103" s="2927"/>
      <c r="GX103" s="2927"/>
      <c r="GY103" s="2927"/>
      <c r="GZ103" s="2927"/>
      <c r="HA103" s="2927"/>
      <c r="HB103" s="2927"/>
      <c r="HC103" s="2927"/>
      <c r="HD103" s="2927"/>
      <c r="HE103" s="2927"/>
      <c r="HF103" s="2927"/>
      <c r="HG103" s="2927"/>
      <c r="HH103" s="2927"/>
      <c r="HI103" s="2927"/>
      <c r="HJ103" s="2927"/>
      <c r="HK103" s="2927"/>
      <c r="HL103" s="2927"/>
      <c r="HM103" s="2927"/>
      <c r="HN103" s="2927"/>
      <c r="HO103" s="2927"/>
      <c r="HP103" s="2927"/>
      <c r="HQ103" s="2927"/>
      <c r="HR103" s="2927"/>
      <c r="HS103" s="2927"/>
      <c r="HT103" s="2927"/>
      <c r="HU103" s="2927"/>
      <c r="HV103" s="2927"/>
      <c r="HW103" s="2927"/>
      <c r="HX103" s="2927"/>
      <c r="HY103" s="2927"/>
      <c r="HZ103" s="2927"/>
      <c r="IA103" s="2927"/>
      <c r="IB103" s="2927"/>
      <c r="IC103" s="2927"/>
      <c r="ID103" s="2927"/>
      <c r="IE103" s="2927"/>
    </row>
    <row r="104" s="2838" customFormat="1" ht="32" customHeight="1" spans="1:239">
      <c r="A104" s="2905">
        <v>46010</v>
      </c>
      <c r="B104" s="2906" t="s">
        <v>1477</v>
      </c>
      <c r="C104" s="2907" t="s">
        <v>351</v>
      </c>
      <c r="D104" s="2908">
        <v>4500189439</v>
      </c>
      <c r="E104" s="2909"/>
      <c r="F104" s="2908" t="s">
        <v>10492</v>
      </c>
      <c r="G104" s="2930" t="s">
        <v>10345</v>
      </c>
      <c r="H104" s="2911" t="s">
        <v>10346</v>
      </c>
      <c r="I104" s="2912">
        <v>460</v>
      </c>
      <c r="J104" s="2912">
        <v>0</v>
      </c>
      <c r="K104" s="2912">
        <v>4</v>
      </c>
      <c r="L104" s="2912">
        <f t="shared" si="146"/>
        <v>115</v>
      </c>
      <c r="M104" s="2913">
        <v>46055</v>
      </c>
      <c r="N104" s="2913">
        <v>46051</v>
      </c>
      <c r="O104" s="2914"/>
      <c r="P104" s="2914" t="s">
        <v>82</v>
      </c>
      <c r="Q104" s="2914" t="s">
        <v>2362</v>
      </c>
      <c r="R104" s="2911" t="s">
        <v>2363</v>
      </c>
      <c r="S104" s="2915"/>
      <c r="T104" s="2915" t="s">
        <v>9936</v>
      </c>
      <c r="U104" s="2915"/>
      <c r="V104" s="2915"/>
      <c r="W104" s="2931" t="s">
        <v>10493</v>
      </c>
      <c r="X104" s="2912" t="s">
        <v>357</v>
      </c>
      <c r="Y104" s="2917">
        <v>6.9484</v>
      </c>
      <c r="Z104" s="2918">
        <f t="shared" si="198"/>
        <v>3196.264</v>
      </c>
      <c r="AA104" s="2912"/>
      <c r="AB104" s="2930" t="s">
        <v>10348</v>
      </c>
      <c r="AC104" s="2912" t="s">
        <v>416</v>
      </c>
      <c r="AD104" s="2919"/>
      <c r="AE104" s="2919">
        <f t="shared" si="225"/>
        <v>460</v>
      </c>
      <c r="AF104" s="2944"/>
      <c r="AG104" s="2919"/>
      <c r="AH104" s="2919"/>
      <c r="AI104" s="2919"/>
      <c r="AJ104" s="2921"/>
      <c r="AK104" s="2921">
        <f t="shared" si="177"/>
        <v>460</v>
      </c>
      <c r="AL104" s="2921"/>
      <c r="AM104" s="2922"/>
      <c r="AN104" s="2922"/>
      <c r="AO104" s="2923"/>
      <c r="AP104" s="2921"/>
      <c r="AQ104" s="2921"/>
      <c r="AR104" s="2924"/>
      <c r="AS104" s="2925"/>
      <c r="AT104" s="2921"/>
      <c r="AU104" s="2921"/>
      <c r="AV104" s="2924">
        <f>I104</f>
        <v>460</v>
      </c>
      <c r="AW104" s="2923"/>
      <c r="AX104" s="2921"/>
      <c r="AY104" s="2921"/>
      <c r="AZ104" s="2924"/>
      <c r="BA104" s="2923"/>
      <c r="BB104" s="2924"/>
      <c r="BC104" s="2925"/>
      <c r="BD104" s="2921">
        <f t="shared" si="143"/>
        <v>460</v>
      </c>
      <c r="BE104" s="2921"/>
      <c r="BF104" s="2921">
        <f t="shared" si="215"/>
        <v>460</v>
      </c>
      <c r="BG104" s="2921" t="s">
        <v>9164</v>
      </c>
      <c r="BH104" s="2921"/>
      <c r="BI104" s="2921"/>
      <c r="BJ104" s="2921"/>
      <c r="BK104" s="2921"/>
      <c r="BL104" s="2926"/>
      <c r="BM104" s="2921"/>
      <c r="BN104" s="2926"/>
      <c r="BO104" s="2921">
        <f>I104</f>
        <v>460</v>
      </c>
      <c r="BP104" s="2926">
        <f>I104</f>
        <v>460</v>
      </c>
      <c r="BQ104" s="2926">
        <f t="shared" si="169"/>
        <v>238485</v>
      </c>
      <c r="BR104" s="2926"/>
      <c r="BS104" s="2926"/>
      <c r="BT104" s="2926"/>
      <c r="BU104" s="2926"/>
      <c r="BV104" s="2926"/>
      <c r="BW104" s="2926"/>
      <c r="BX104" s="2926"/>
      <c r="BY104" s="2926"/>
      <c r="BZ104" s="2912"/>
      <c r="CA104" s="2927"/>
      <c r="CB104" s="2927"/>
      <c r="CC104" s="2927"/>
      <c r="CD104" s="2927"/>
      <c r="CE104" s="2927"/>
      <c r="CF104" s="2927"/>
      <c r="CG104" s="2927"/>
      <c r="CH104" s="2927"/>
      <c r="CI104" s="2927"/>
      <c r="CJ104" s="2927"/>
      <c r="CK104" s="2927"/>
      <c r="CL104" s="2927"/>
      <c r="CM104" s="2927"/>
      <c r="CN104" s="2927"/>
      <c r="CO104" s="2927"/>
      <c r="CP104" s="2927"/>
      <c r="CQ104" s="2927"/>
      <c r="CR104" s="2927"/>
      <c r="CS104" s="2927"/>
      <c r="CT104" s="2927"/>
      <c r="CU104" s="2927"/>
      <c r="CV104" s="2927"/>
      <c r="CW104" s="2927"/>
      <c r="CX104" s="2927"/>
      <c r="CY104" s="2927"/>
      <c r="CZ104" s="2927"/>
      <c r="DA104" s="2927"/>
      <c r="DB104" s="2927"/>
      <c r="DC104" s="2927"/>
      <c r="DD104" s="2927"/>
      <c r="DE104" s="2927"/>
      <c r="DF104" s="2927"/>
      <c r="DG104" s="2927"/>
      <c r="DH104" s="2927"/>
      <c r="DI104" s="2927"/>
      <c r="DJ104" s="2927"/>
      <c r="DK104" s="2927"/>
      <c r="DL104" s="2927"/>
      <c r="DM104" s="2927"/>
      <c r="DN104" s="2927"/>
      <c r="DO104" s="2927"/>
      <c r="DP104" s="2927"/>
      <c r="DQ104" s="2927"/>
      <c r="DR104" s="2927"/>
      <c r="DS104" s="2927"/>
      <c r="DT104" s="2927"/>
      <c r="DU104" s="2927"/>
      <c r="DV104" s="2927"/>
      <c r="DW104" s="2927"/>
      <c r="DX104" s="2927"/>
      <c r="DY104" s="2927"/>
      <c r="DZ104" s="2927"/>
      <c r="EA104" s="2927"/>
      <c r="EB104" s="2927"/>
      <c r="EC104" s="2927"/>
      <c r="ED104" s="2927"/>
      <c r="EE104" s="2927"/>
      <c r="EF104" s="2927"/>
      <c r="EG104" s="2927"/>
      <c r="EH104" s="2927"/>
      <c r="EI104" s="2927"/>
      <c r="EJ104" s="2927"/>
      <c r="EK104" s="2927"/>
      <c r="EL104" s="2927"/>
      <c r="EM104" s="2927"/>
      <c r="EN104" s="2927"/>
      <c r="EO104" s="2927"/>
      <c r="EP104" s="2927"/>
      <c r="EQ104" s="2927"/>
      <c r="ER104" s="2927"/>
      <c r="ES104" s="2927"/>
      <c r="ET104" s="2927"/>
      <c r="EU104" s="2927"/>
      <c r="EV104" s="2927"/>
      <c r="EW104" s="2927"/>
      <c r="EX104" s="2927"/>
      <c r="EY104" s="2927"/>
      <c r="EZ104" s="2927"/>
      <c r="FA104" s="2927"/>
      <c r="FB104" s="2927"/>
      <c r="FC104" s="2927"/>
      <c r="FD104" s="2927"/>
      <c r="FE104" s="2927"/>
      <c r="FF104" s="2927"/>
      <c r="FG104" s="2927"/>
      <c r="FH104" s="2927"/>
      <c r="FI104" s="2927"/>
      <c r="FJ104" s="2927"/>
      <c r="FK104" s="2927"/>
      <c r="FL104" s="2927"/>
      <c r="FM104" s="2927"/>
      <c r="FN104" s="2927"/>
      <c r="FO104" s="2927"/>
      <c r="FP104" s="2927"/>
      <c r="FQ104" s="2927"/>
      <c r="FR104" s="2927"/>
      <c r="FS104" s="2927"/>
      <c r="FT104" s="2927"/>
      <c r="FU104" s="2927"/>
      <c r="FV104" s="2927"/>
      <c r="FW104" s="2927"/>
      <c r="FX104" s="2927"/>
      <c r="FY104" s="2927"/>
      <c r="FZ104" s="2927"/>
      <c r="GA104" s="2927"/>
      <c r="GB104" s="2927"/>
      <c r="GC104" s="2927"/>
      <c r="GD104" s="2927"/>
      <c r="GE104" s="2927"/>
      <c r="GF104" s="2927"/>
      <c r="GG104" s="2927"/>
      <c r="GH104" s="2927"/>
      <c r="GI104" s="2927"/>
      <c r="GJ104" s="2927"/>
      <c r="GK104" s="2927"/>
      <c r="GL104" s="2927"/>
      <c r="GM104" s="2927"/>
      <c r="GN104" s="2927"/>
      <c r="GO104" s="2927"/>
      <c r="GP104" s="2927"/>
      <c r="GQ104" s="2927"/>
      <c r="GR104" s="2927"/>
      <c r="GS104" s="2927"/>
      <c r="GT104" s="2927"/>
      <c r="GU104" s="2927"/>
      <c r="GV104" s="2927"/>
      <c r="GW104" s="2927"/>
      <c r="GX104" s="2927"/>
      <c r="GY104" s="2927"/>
      <c r="GZ104" s="2927"/>
      <c r="HA104" s="2927"/>
      <c r="HB104" s="2927"/>
      <c r="HC104" s="2927"/>
      <c r="HD104" s="2927"/>
      <c r="HE104" s="2927"/>
      <c r="HF104" s="2927"/>
      <c r="HG104" s="2927"/>
      <c r="HH104" s="2927"/>
      <c r="HI104" s="2927"/>
      <c r="HJ104" s="2927"/>
      <c r="HK104" s="2927"/>
      <c r="HL104" s="2927"/>
      <c r="HM104" s="2927"/>
      <c r="HN104" s="2927"/>
      <c r="HO104" s="2927"/>
      <c r="HP104" s="2927"/>
      <c r="HQ104" s="2927"/>
      <c r="HR104" s="2927"/>
      <c r="HS104" s="2927"/>
      <c r="HT104" s="2927"/>
      <c r="HU104" s="2927"/>
      <c r="HV104" s="2927"/>
      <c r="HW104" s="2927"/>
      <c r="HX104" s="2927"/>
      <c r="HY104" s="2927"/>
      <c r="HZ104" s="2927"/>
      <c r="IA104" s="2927"/>
      <c r="IB104" s="2927"/>
      <c r="IC104" s="2927"/>
      <c r="ID104" s="2927"/>
      <c r="IE104" s="2927"/>
    </row>
    <row r="105" s="2838" customFormat="1" ht="32" customHeight="1" spans="1:239">
      <c r="A105" s="2905">
        <v>46010</v>
      </c>
      <c r="B105" s="2906" t="s">
        <v>1477</v>
      </c>
      <c r="C105" s="2907" t="s">
        <v>351</v>
      </c>
      <c r="D105" s="2908">
        <v>4500189439</v>
      </c>
      <c r="E105" s="2909"/>
      <c r="F105" s="2908" t="s">
        <v>10494</v>
      </c>
      <c r="G105" s="2930" t="s">
        <v>10292</v>
      </c>
      <c r="H105" s="2911" t="s">
        <v>10293</v>
      </c>
      <c r="I105" s="2912">
        <v>460</v>
      </c>
      <c r="J105" s="2912">
        <v>0</v>
      </c>
      <c r="K105" s="2912">
        <v>4</v>
      </c>
      <c r="L105" s="2912">
        <f t="shared" si="146"/>
        <v>115</v>
      </c>
      <c r="M105" s="2913">
        <v>46055</v>
      </c>
      <c r="N105" s="2913">
        <v>46051</v>
      </c>
      <c r="O105" s="2914"/>
      <c r="P105" s="2914" t="s">
        <v>82</v>
      </c>
      <c r="Q105" s="2914" t="s">
        <v>2362</v>
      </c>
      <c r="R105" s="2911" t="s">
        <v>2363</v>
      </c>
      <c r="S105" s="2915"/>
      <c r="T105" s="2915" t="s">
        <v>9936</v>
      </c>
      <c r="U105" s="2915"/>
      <c r="V105" s="2915"/>
      <c r="W105" s="2931" t="s">
        <v>10495</v>
      </c>
      <c r="X105" s="2912" t="s">
        <v>357</v>
      </c>
      <c r="Y105" s="2917">
        <v>6.9484</v>
      </c>
      <c r="Z105" s="2918">
        <f t="shared" si="198"/>
        <v>3196.264</v>
      </c>
      <c r="AA105" s="2912"/>
      <c r="AB105" s="2930" t="s">
        <v>10350</v>
      </c>
      <c r="AC105" s="2912" t="s">
        <v>416</v>
      </c>
      <c r="AD105" s="2919"/>
      <c r="AE105" s="2919">
        <f t="shared" si="225"/>
        <v>460</v>
      </c>
      <c r="AF105" s="2944"/>
      <c r="AG105" s="2919"/>
      <c r="AH105" s="2919"/>
      <c r="AI105" s="2919"/>
      <c r="AJ105" s="2921"/>
      <c r="AK105" s="2921">
        <f t="shared" si="177"/>
        <v>460</v>
      </c>
      <c r="AL105" s="2921"/>
      <c r="AM105" s="2922"/>
      <c r="AN105" s="2922"/>
      <c r="AO105" s="2923"/>
      <c r="AP105" s="2921"/>
      <c r="AQ105" s="2921"/>
      <c r="AR105" s="2924"/>
      <c r="AS105" s="2925"/>
      <c r="AT105" s="2921">
        <f>I105</f>
        <v>460</v>
      </c>
      <c r="AU105" s="2921"/>
      <c r="AV105" s="2922"/>
      <c r="AW105" s="2923"/>
      <c r="AX105" s="2921"/>
      <c r="AY105" s="2921"/>
      <c r="AZ105" s="2924"/>
      <c r="BA105" s="2923"/>
      <c r="BB105" s="2924"/>
      <c r="BC105" s="2925"/>
      <c r="BD105" s="2921">
        <f t="shared" si="143"/>
        <v>460</v>
      </c>
      <c r="BE105" s="2921"/>
      <c r="BF105" s="2921">
        <f t="shared" si="215"/>
        <v>460</v>
      </c>
      <c r="BG105" s="2921" t="s">
        <v>9164</v>
      </c>
      <c r="BH105" s="2921"/>
      <c r="BI105" s="2921"/>
      <c r="BJ105" s="2921"/>
      <c r="BK105" s="2921">
        <f>I105</f>
        <v>460</v>
      </c>
      <c r="BL105" s="2926">
        <f>I105</f>
        <v>460</v>
      </c>
      <c r="BM105" s="2921"/>
      <c r="BN105" s="2926"/>
      <c r="BO105" s="2921"/>
      <c r="BP105" s="2926"/>
      <c r="BQ105" s="2926">
        <f t="shared" si="169"/>
        <v>238485</v>
      </c>
      <c r="BR105" s="2926"/>
      <c r="BS105" s="2926"/>
      <c r="BT105" s="2926"/>
      <c r="BU105" s="2926"/>
      <c r="BV105" s="2926"/>
      <c r="BW105" s="2926"/>
      <c r="BX105" s="2926"/>
      <c r="BY105" s="2926"/>
      <c r="BZ105" s="2912"/>
      <c r="CA105" s="2927"/>
      <c r="CB105" s="2927"/>
      <c r="CC105" s="2927"/>
      <c r="CD105" s="2927"/>
      <c r="CE105" s="2927"/>
      <c r="CF105" s="2927"/>
      <c r="CG105" s="2927"/>
      <c r="CH105" s="2927"/>
      <c r="CI105" s="2927"/>
      <c r="CJ105" s="2927"/>
      <c r="CK105" s="2927"/>
      <c r="CL105" s="2927"/>
      <c r="CM105" s="2927"/>
      <c r="CN105" s="2927"/>
      <c r="CO105" s="2927"/>
      <c r="CP105" s="2927"/>
      <c r="CQ105" s="2927"/>
      <c r="CR105" s="2927"/>
      <c r="CS105" s="2927"/>
      <c r="CT105" s="2927"/>
      <c r="CU105" s="2927"/>
      <c r="CV105" s="2927"/>
      <c r="CW105" s="2927"/>
      <c r="CX105" s="2927"/>
      <c r="CY105" s="2927"/>
      <c r="CZ105" s="2927"/>
      <c r="DA105" s="2927"/>
      <c r="DB105" s="2927"/>
      <c r="DC105" s="2927"/>
      <c r="DD105" s="2927"/>
      <c r="DE105" s="2927"/>
      <c r="DF105" s="2927"/>
      <c r="DG105" s="2927"/>
      <c r="DH105" s="2927"/>
      <c r="DI105" s="2927"/>
      <c r="DJ105" s="2927"/>
      <c r="DK105" s="2927"/>
      <c r="DL105" s="2927"/>
      <c r="DM105" s="2927"/>
      <c r="DN105" s="2927"/>
      <c r="DO105" s="2927"/>
      <c r="DP105" s="2927"/>
      <c r="DQ105" s="2927"/>
      <c r="DR105" s="2927"/>
      <c r="DS105" s="2927"/>
      <c r="DT105" s="2927"/>
      <c r="DU105" s="2927"/>
      <c r="DV105" s="2927"/>
      <c r="DW105" s="2927"/>
      <c r="DX105" s="2927"/>
      <c r="DY105" s="2927"/>
      <c r="DZ105" s="2927"/>
      <c r="EA105" s="2927"/>
      <c r="EB105" s="2927"/>
      <c r="EC105" s="2927"/>
      <c r="ED105" s="2927"/>
      <c r="EE105" s="2927"/>
      <c r="EF105" s="2927"/>
      <c r="EG105" s="2927"/>
      <c r="EH105" s="2927"/>
      <c r="EI105" s="2927"/>
      <c r="EJ105" s="2927"/>
      <c r="EK105" s="2927"/>
      <c r="EL105" s="2927"/>
      <c r="EM105" s="2927"/>
      <c r="EN105" s="2927"/>
      <c r="EO105" s="2927"/>
      <c r="EP105" s="2927"/>
      <c r="EQ105" s="2927"/>
      <c r="ER105" s="2927"/>
      <c r="ES105" s="2927"/>
      <c r="ET105" s="2927"/>
      <c r="EU105" s="2927"/>
      <c r="EV105" s="2927"/>
      <c r="EW105" s="2927"/>
      <c r="EX105" s="2927"/>
      <c r="EY105" s="2927"/>
      <c r="EZ105" s="2927"/>
      <c r="FA105" s="2927"/>
      <c r="FB105" s="2927"/>
      <c r="FC105" s="2927"/>
      <c r="FD105" s="2927"/>
      <c r="FE105" s="2927"/>
      <c r="FF105" s="2927"/>
      <c r="FG105" s="2927"/>
      <c r="FH105" s="2927"/>
      <c r="FI105" s="2927"/>
      <c r="FJ105" s="2927"/>
      <c r="FK105" s="2927"/>
      <c r="FL105" s="2927"/>
      <c r="FM105" s="2927"/>
      <c r="FN105" s="2927"/>
      <c r="FO105" s="2927"/>
      <c r="FP105" s="2927"/>
      <c r="FQ105" s="2927"/>
      <c r="FR105" s="2927"/>
      <c r="FS105" s="2927"/>
      <c r="FT105" s="2927"/>
      <c r="FU105" s="2927"/>
      <c r="FV105" s="2927"/>
      <c r="FW105" s="2927"/>
      <c r="FX105" s="2927"/>
      <c r="FY105" s="2927"/>
      <c r="FZ105" s="2927"/>
      <c r="GA105" s="2927"/>
      <c r="GB105" s="2927"/>
      <c r="GC105" s="2927"/>
      <c r="GD105" s="2927"/>
      <c r="GE105" s="2927"/>
      <c r="GF105" s="2927"/>
      <c r="GG105" s="2927"/>
      <c r="GH105" s="2927"/>
      <c r="GI105" s="2927"/>
      <c r="GJ105" s="2927"/>
      <c r="GK105" s="2927"/>
      <c r="GL105" s="2927"/>
      <c r="GM105" s="2927"/>
      <c r="GN105" s="2927"/>
      <c r="GO105" s="2927"/>
      <c r="GP105" s="2927"/>
      <c r="GQ105" s="2927"/>
      <c r="GR105" s="2927"/>
      <c r="GS105" s="2927"/>
      <c r="GT105" s="2927"/>
      <c r="GU105" s="2927"/>
      <c r="GV105" s="2927"/>
      <c r="GW105" s="2927"/>
      <c r="GX105" s="2927"/>
      <c r="GY105" s="2927"/>
      <c r="GZ105" s="2927"/>
      <c r="HA105" s="2927"/>
      <c r="HB105" s="2927"/>
      <c r="HC105" s="2927"/>
      <c r="HD105" s="2927"/>
      <c r="HE105" s="2927"/>
      <c r="HF105" s="2927"/>
      <c r="HG105" s="2927"/>
      <c r="HH105" s="2927"/>
      <c r="HI105" s="2927"/>
      <c r="HJ105" s="2927"/>
      <c r="HK105" s="2927"/>
      <c r="HL105" s="2927"/>
      <c r="HM105" s="2927"/>
      <c r="HN105" s="2927"/>
      <c r="HO105" s="2927"/>
      <c r="HP105" s="2927"/>
      <c r="HQ105" s="2927"/>
      <c r="HR105" s="2927"/>
      <c r="HS105" s="2927"/>
      <c r="HT105" s="2927"/>
      <c r="HU105" s="2927"/>
      <c r="HV105" s="2927"/>
      <c r="HW105" s="2927"/>
      <c r="HX105" s="2927"/>
      <c r="HY105" s="2927"/>
      <c r="HZ105" s="2927"/>
      <c r="IA105" s="2927"/>
      <c r="IB105" s="2927"/>
      <c r="IC105" s="2927"/>
      <c r="ID105" s="2927"/>
      <c r="IE105" s="2927"/>
    </row>
    <row r="106" s="2838" customFormat="1" ht="32" customHeight="1" spans="1:239">
      <c r="A106" s="2905">
        <v>46010</v>
      </c>
      <c r="B106" s="2906" t="s">
        <v>1477</v>
      </c>
      <c r="C106" s="2907" t="s">
        <v>351</v>
      </c>
      <c r="D106" s="2908">
        <v>4500189439</v>
      </c>
      <c r="E106" s="2909"/>
      <c r="F106" s="2908" t="s">
        <v>10496</v>
      </c>
      <c r="G106" s="2930" t="s">
        <v>10297</v>
      </c>
      <c r="H106" s="2911" t="s">
        <v>10298</v>
      </c>
      <c r="I106" s="2912">
        <v>460</v>
      </c>
      <c r="J106" s="2912">
        <v>0</v>
      </c>
      <c r="K106" s="2912">
        <v>4</v>
      </c>
      <c r="L106" s="2912">
        <f t="shared" si="146"/>
        <v>115</v>
      </c>
      <c r="M106" s="2913">
        <v>46055</v>
      </c>
      <c r="N106" s="2913">
        <v>46051</v>
      </c>
      <c r="O106" s="2914"/>
      <c r="P106" s="2914" t="s">
        <v>82</v>
      </c>
      <c r="Q106" s="2914" t="s">
        <v>2362</v>
      </c>
      <c r="R106" s="2911" t="s">
        <v>2363</v>
      </c>
      <c r="S106" s="2915"/>
      <c r="T106" s="2915" t="s">
        <v>9936</v>
      </c>
      <c r="U106" s="2915"/>
      <c r="V106" s="2915"/>
      <c r="W106" s="2931" t="s">
        <v>10497</v>
      </c>
      <c r="X106" s="2912" t="s">
        <v>357</v>
      </c>
      <c r="Y106" s="2917">
        <v>6.9484</v>
      </c>
      <c r="Z106" s="2918">
        <f t="shared" si="198"/>
        <v>3196.264</v>
      </c>
      <c r="AA106" s="2912"/>
      <c r="AB106" s="2930" t="s">
        <v>10352</v>
      </c>
      <c r="AC106" s="2912" t="s">
        <v>416</v>
      </c>
      <c r="AD106" s="2919"/>
      <c r="AE106" s="2919">
        <f t="shared" si="225"/>
        <v>460</v>
      </c>
      <c r="AF106" s="2944"/>
      <c r="AG106" s="2919"/>
      <c r="AH106" s="2919"/>
      <c r="AI106" s="2919"/>
      <c r="AJ106" s="2921"/>
      <c r="AK106" s="2921">
        <f t="shared" si="177"/>
        <v>460</v>
      </c>
      <c r="AL106" s="2921"/>
      <c r="AM106" s="2922"/>
      <c r="AN106" s="2922"/>
      <c r="AO106" s="2923"/>
      <c r="AP106" s="2921"/>
      <c r="AQ106" s="2921">
        <f>I106</f>
        <v>460</v>
      </c>
      <c r="AR106" s="2924"/>
      <c r="AS106" s="2925"/>
      <c r="AT106" s="2921"/>
      <c r="AU106" s="2921"/>
      <c r="AV106" s="2922"/>
      <c r="AW106" s="2923"/>
      <c r="AX106" s="2921"/>
      <c r="AY106" s="2921"/>
      <c r="AZ106" s="2924"/>
      <c r="BA106" s="2923"/>
      <c r="BB106" s="2924"/>
      <c r="BC106" s="2925"/>
      <c r="BD106" s="2921">
        <f t="shared" si="143"/>
        <v>460</v>
      </c>
      <c r="BE106" s="2921"/>
      <c r="BF106" s="2921">
        <f t="shared" si="215"/>
        <v>460</v>
      </c>
      <c r="BG106" s="2921" t="s">
        <v>9164</v>
      </c>
      <c r="BH106" s="2921"/>
      <c r="BI106" s="2921"/>
      <c r="BJ106" s="2921"/>
      <c r="BK106" s="2921"/>
      <c r="BL106" s="2926"/>
      <c r="BM106" s="2921">
        <f>I106</f>
        <v>460</v>
      </c>
      <c r="BN106" s="2926">
        <f>I106</f>
        <v>460</v>
      </c>
      <c r="BO106" s="2921"/>
      <c r="BP106" s="2926"/>
      <c r="BQ106" s="2926">
        <f t="shared" si="169"/>
        <v>238485</v>
      </c>
      <c r="BR106" s="2926"/>
      <c r="BS106" s="2926"/>
      <c r="BT106" s="2926"/>
      <c r="BU106" s="2926"/>
      <c r="BV106" s="2926"/>
      <c r="BW106" s="2926"/>
      <c r="BX106" s="2926"/>
      <c r="BY106" s="2926"/>
      <c r="BZ106" s="2912"/>
      <c r="CA106" s="2927"/>
      <c r="CB106" s="2927"/>
      <c r="CC106" s="2927"/>
      <c r="CD106" s="2927"/>
      <c r="CE106" s="2927"/>
      <c r="CF106" s="2927"/>
      <c r="CG106" s="2927"/>
      <c r="CH106" s="2927"/>
      <c r="CI106" s="2927"/>
      <c r="CJ106" s="2927"/>
      <c r="CK106" s="2927"/>
      <c r="CL106" s="2927"/>
      <c r="CM106" s="2927"/>
      <c r="CN106" s="2927"/>
      <c r="CO106" s="2927"/>
      <c r="CP106" s="2927"/>
      <c r="CQ106" s="2927"/>
      <c r="CR106" s="2927"/>
      <c r="CS106" s="2927"/>
      <c r="CT106" s="2927"/>
      <c r="CU106" s="2927"/>
      <c r="CV106" s="2927"/>
      <c r="CW106" s="2927"/>
      <c r="CX106" s="2927"/>
      <c r="CY106" s="2927"/>
      <c r="CZ106" s="2927"/>
      <c r="DA106" s="2927"/>
      <c r="DB106" s="2927"/>
      <c r="DC106" s="2927"/>
      <c r="DD106" s="2927"/>
      <c r="DE106" s="2927"/>
      <c r="DF106" s="2927"/>
      <c r="DG106" s="2927"/>
      <c r="DH106" s="2927"/>
      <c r="DI106" s="2927"/>
      <c r="DJ106" s="2927"/>
      <c r="DK106" s="2927"/>
      <c r="DL106" s="2927"/>
      <c r="DM106" s="2927"/>
      <c r="DN106" s="2927"/>
      <c r="DO106" s="2927"/>
      <c r="DP106" s="2927"/>
      <c r="DQ106" s="2927"/>
      <c r="DR106" s="2927"/>
      <c r="DS106" s="2927"/>
      <c r="DT106" s="2927"/>
      <c r="DU106" s="2927"/>
      <c r="DV106" s="2927"/>
      <c r="DW106" s="2927"/>
      <c r="DX106" s="2927"/>
      <c r="DY106" s="2927"/>
      <c r="DZ106" s="2927"/>
      <c r="EA106" s="2927"/>
      <c r="EB106" s="2927"/>
      <c r="EC106" s="2927"/>
      <c r="ED106" s="2927"/>
      <c r="EE106" s="2927"/>
      <c r="EF106" s="2927"/>
      <c r="EG106" s="2927"/>
      <c r="EH106" s="2927"/>
      <c r="EI106" s="2927"/>
      <c r="EJ106" s="2927"/>
      <c r="EK106" s="2927"/>
      <c r="EL106" s="2927"/>
      <c r="EM106" s="2927"/>
      <c r="EN106" s="2927"/>
      <c r="EO106" s="2927"/>
      <c r="EP106" s="2927"/>
      <c r="EQ106" s="2927"/>
      <c r="ER106" s="2927"/>
      <c r="ES106" s="2927"/>
      <c r="ET106" s="2927"/>
      <c r="EU106" s="2927"/>
      <c r="EV106" s="2927"/>
      <c r="EW106" s="2927"/>
      <c r="EX106" s="2927"/>
      <c r="EY106" s="2927"/>
      <c r="EZ106" s="2927"/>
      <c r="FA106" s="2927"/>
      <c r="FB106" s="2927"/>
      <c r="FC106" s="2927"/>
      <c r="FD106" s="2927"/>
      <c r="FE106" s="2927"/>
      <c r="FF106" s="2927"/>
      <c r="FG106" s="2927"/>
      <c r="FH106" s="2927"/>
      <c r="FI106" s="2927"/>
      <c r="FJ106" s="2927"/>
      <c r="FK106" s="2927"/>
      <c r="FL106" s="2927"/>
      <c r="FM106" s="2927"/>
      <c r="FN106" s="2927"/>
      <c r="FO106" s="2927"/>
      <c r="FP106" s="2927"/>
      <c r="FQ106" s="2927"/>
      <c r="FR106" s="2927"/>
      <c r="FS106" s="2927"/>
      <c r="FT106" s="2927"/>
      <c r="FU106" s="2927"/>
      <c r="FV106" s="2927"/>
      <c r="FW106" s="2927"/>
      <c r="FX106" s="2927"/>
      <c r="FY106" s="2927"/>
      <c r="FZ106" s="2927"/>
      <c r="GA106" s="2927"/>
      <c r="GB106" s="2927"/>
      <c r="GC106" s="2927"/>
      <c r="GD106" s="2927"/>
      <c r="GE106" s="2927"/>
      <c r="GF106" s="2927"/>
      <c r="GG106" s="2927"/>
      <c r="GH106" s="2927"/>
      <c r="GI106" s="2927"/>
      <c r="GJ106" s="2927"/>
      <c r="GK106" s="2927"/>
      <c r="GL106" s="2927"/>
      <c r="GM106" s="2927"/>
      <c r="GN106" s="2927"/>
      <c r="GO106" s="2927"/>
      <c r="GP106" s="2927"/>
      <c r="GQ106" s="2927"/>
      <c r="GR106" s="2927"/>
      <c r="GS106" s="2927"/>
      <c r="GT106" s="2927"/>
      <c r="GU106" s="2927"/>
      <c r="GV106" s="2927"/>
      <c r="GW106" s="2927"/>
      <c r="GX106" s="2927"/>
      <c r="GY106" s="2927"/>
      <c r="GZ106" s="2927"/>
      <c r="HA106" s="2927"/>
      <c r="HB106" s="2927"/>
      <c r="HC106" s="2927"/>
      <c r="HD106" s="2927"/>
      <c r="HE106" s="2927"/>
      <c r="HF106" s="2927"/>
      <c r="HG106" s="2927"/>
      <c r="HH106" s="2927"/>
      <c r="HI106" s="2927"/>
      <c r="HJ106" s="2927"/>
      <c r="HK106" s="2927"/>
      <c r="HL106" s="2927"/>
      <c r="HM106" s="2927"/>
      <c r="HN106" s="2927"/>
      <c r="HO106" s="2927"/>
      <c r="HP106" s="2927"/>
      <c r="HQ106" s="2927"/>
      <c r="HR106" s="2927"/>
      <c r="HS106" s="2927"/>
      <c r="HT106" s="2927"/>
      <c r="HU106" s="2927"/>
      <c r="HV106" s="2927"/>
      <c r="HW106" s="2927"/>
      <c r="HX106" s="2927"/>
      <c r="HY106" s="2927"/>
      <c r="HZ106" s="2927"/>
      <c r="IA106" s="2927"/>
      <c r="IB106" s="2927"/>
      <c r="IC106" s="2927"/>
      <c r="ID106" s="2927"/>
      <c r="IE106" s="2927"/>
    </row>
    <row r="107" s="2838" customFormat="1" ht="32" customHeight="1" spans="1:239">
      <c r="A107" s="2905">
        <v>46091</v>
      </c>
      <c r="B107" s="2906" t="s">
        <v>10498</v>
      </c>
      <c r="C107" s="2907" t="s">
        <v>78</v>
      </c>
      <c r="D107" s="2908">
        <v>4500196013</v>
      </c>
      <c r="E107" s="2909" t="s">
        <v>10499</v>
      </c>
      <c r="F107" s="2908" t="s">
        <v>10500</v>
      </c>
      <c r="G107" s="2930" t="s">
        <v>10199</v>
      </c>
      <c r="H107" s="2911" t="s">
        <v>9155</v>
      </c>
      <c r="I107" s="2912">
        <v>10920</v>
      </c>
      <c r="J107" s="2912">
        <v>0</v>
      </c>
      <c r="K107" s="2912">
        <v>4</v>
      </c>
      <c r="L107" s="2912">
        <f t="shared" si="146"/>
        <v>2730</v>
      </c>
      <c r="M107" s="2913">
        <v>46128</v>
      </c>
      <c r="N107" s="2913">
        <v>46123</v>
      </c>
      <c r="O107" s="2914"/>
      <c r="P107" s="2914" t="s">
        <v>82</v>
      </c>
      <c r="Q107" s="2914" t="s">
        <v>8111</v>
      </c>
      <c r="R107" s="2911" t="s">
        <v>8123</v>
      </c>
      <c r="S107" s="2915"/>
      <c r="T107" s="2915" t="s">
        <v>10501</v>
      </c>
      <c r="U107" s="2915"/>
      <c r="V107" s="2915"/>
      <c r="W107" s="2931" t="s">
        <v>10502</v>
      </c>
      <c r="X107" s="2912" t="s">
        <v>1771</v>
      </c>
      <c r="Y107" s="2917">
        <v>7.0902</v>
      </c>
      <c r="Z107" s="2918">
        <f t="shared" si="198"/>
        <v>77424.984</v>
      </c>
      <c r="AA107" s="2912"/>
      <c r="AB107" s="2930" t="s">
        <v>10503</v>
      </c>
      <c r="AC107" s="2912" t="s">
        <v>416</v>
      </c>
      <c r="AD107" s="2919"/>
      <c r="AE107" s="2919"/>
      <c r="AF107" s="2944"/>
      <c r="AG107" s="2919">
        <f t="shared" ref="AG107:AG117" si="226">I107</f>
        <v>10920</v>
      </c>
      <c r="AH107" s="2919"/>
      <c r="AI107" s="2919"/>
      <c r="AJ107" s="2921"/>
      <c r="AK107" s="2921">
        <f t="shared" si="177"/>
        <v>10920</v>
      </c>
      <c r="AL107" s="2921"/>
      <c r="AM107" s="2922"/>
      <c r="AN107" s="2922"/>
      <c r="AO107" s="2923"/>
      <c r="AP107" s="2921"/>
      <c r="AQ107" s="2921">
        <f t="shared" ref="AQ107:AQ113" si="227">I107/3</f>
        <v>3640</v>
      </c>
      <c r="AR107" s="2924"/>
      <c r="AS107" s="2925">
        <f t="shared" ref="AS107:AS113" si="228">I107/3</f>
        <v>3640</v>
      </c>
      <c r="AT107" s="2921">
        <f t="shared" ref="AT107:AT113" si="229">I107/3</f>
        <v>3640</v>
      </c>
      <c r="AU107" s="2921"/>
      <c r="AV107" s="2922"/>
      <c r="AW107" s="2923"/>
      <c r="AX107" s="2921"/>
      <c r="AY107" s="2921"/>
      <c r="AZ107" s="2924"/>
      <c r="BA107" s="2923"/>
      <c r="BB107" s="2924"/>
      <c r="BC107" s="2925"/>
      <c r="BD107" s="2921">
        <f t="shared" si="143"/>
        <v>10920</v>
      </c>
      <c r="BE107" s="2921"/>
      <c r="BF107" s="2921">
        <f t="shared" si="215"/>
        <v>10920</v>
      </c>
      <c r="BG107" s="2921" t="s">
        <v>9164</v>
      </c>
      <c r="BH107" s="2921"/>
      <c r="BI107" s="2921">
        <f t="shared" ref="BI107:BI113" si="230">I107/3</f>
        <v>3640</v>
      </c>
      <c r="BJ107" s="2921">
        <f t="shared" ref="BJ107:BJ113" si="231">I107/3</f>
        <v>3640</v>
      </c>
      <c r="BK107" s="2921">
        <f t="shared" ref="BK107:BK113" si="232">I107/3</f>
        <v>3640</v>
      </c>
      <c r="BL107" s="2926">
        <f t="shared" ref="BL107:BL113" si="233">I107/3</f>
        <v>3640</v>
      </c>
      <c r="BM107" s="2921">
        <f t="shared" ref="BM107:BM113" si="234">I107/3</f>
        <v>3640</v>
      </c>
      <c r="BN107" s="2926">
        <f t="shared" ref="BN107:BN113" si="235">I107/3</f>
        <v>3640</v>
      </c>
      <c r="BO107" s="2921"/>
      <c r="BP107" s="2926"/>
      <c r="BQ107" s="2926">
        <f t="shared" si="169"/>
        <v>248945</v>
      </c>
      <c r="BR107" s="2926"/>
      <c r="BS107" s="2926"/>
      <c r="BT107" s="2926"/>
      <c r="BU107" s="2926"/>
      <c r="BV107" s="2926"/>
      <c r="BW107" s="2926"/>
      <c r="BX107" s="2926"/>
      <c r="BY107" s="2926"/>
      <c r="BZ107" s="2912"/>
      <c r="CA107" s="2927"/>
      <c r="CB107" s="2927"/>
      <c r="CC107" s="2927"/>
      <c r="CD107" s="2927"/>
      <c r="CE107" s="2927"/>
      <c r="CF107" s="2927"/>
      <c r="CG107" s="2927"/>
      <c r="CH107" s="2927"/>
      <c r="CI107" s="2927"/>
      <c r="CJ107" s="2927"/>
      <c r="CK107" s="2927"/>
      <c r="CL107" s="2927"/>
      <c r="CM107" s="2927"/>
      <c r="CN107" s="2927"/>
      <c r="CO107" s="2927"/>
      <c r="CP107" s="2927"/>
      <c r="CQ107" s="2927"/>
      <c r="CR107" s="2927"/>
      <c r="CS107" s="2927"/>
      <c r="CT107" s="2927"/>
      <c r="CU107" s="2927"/>
      <c r="CV107" s="2927"/>
      <c r="CW107" s="2927"/>
      <c r="CX107" s="2927"/>
      <c r="CY107" s="2927"/>
      <c r="CZ107" s="2927"/>
      <c r="DA107" s="2927"/>
      <c r="DB107" s="2927"/>
      <c r="DC107" s="2927"/>
      <c r="DD107" s="2927"/>
      <c r="DE107" s="2927"/>
      <c r="DF107" s="2927"/>
      <c r="DG107" s="2927"/>
      <c r="DH107" s="2927"/>
      <c r="DI107" s="2927"/>
      <c r="DJ107" s="2927"/>
      <c r="DK107" s="2927"/>
      <c r="DL107" s="2927"/>
      <c r="DM107" s="2927"/>
      <c r="DN107" s="2927"/>
      <c r="DO107" s="2927"/>
      <c r="DP107" s="2927"/>
      <c r="DQ107" s="2927"/>
      <c r="DR107" s="2927"/>
      <c r="DS107" s="2927"/>
      <c r="DT107" s="2927"/>
      <c r="DU107" s="2927"/>
      <c r="DV107" s="2927"/>
      <c r="DW107" s="2927"/>
      <c r="DX107" s="2927"/>
      <c r="DY107" s="2927"/>
      <c r="DZ107" s="2927"/>
      <c r="EA107" s="2927"/>
      <c r="EB107" s="2927"/>
      <c r="EC107" s="2927"/>
      <c r="ED107" s="2927"/>
      <c r="EE107" s="2927"/>
      <c r="EF107" s="2927"/>
      <c r="EG107" s="2927"/>
      <c r="EH107" s="2927"/>
      <c r="EI107" s="2927"/>
      <c r="EJ107" s="2927"/>
      <c r="EK107" s="2927"/>
      <c r="EL107" s="2927"/>
      <c r="EM107" s="2927"/>
      <c r="EN107" s="2927"/>
      <c r="EO107" s="2927"/>
      <c r="EP107" s="2927"/>
      <c r="EQ107" s="2927"/>
      <c r="ER107" s="2927"/>
      <c r="ES107" s="2927"/>
      <c r="ET107" s="2927"/>
      <c r="EU107" s="2927"/>
      <c r="EV107" s="2927"/>
      <c r="EW107" s="2927"/>
      <c r="EX107" s="2927"/>
      <c r="EY107" s="2927"/>
      <c r="EZ107" s="2927"/>
      <c r="FA107" s="2927"/>
      <c r="FB107" s="2927"/>
      <c r="FC107" s="2927"/>
      <c r="FD107" s="2927"/>
      <c r="FE107" s="2927"/>
      <c r="FF107" s="2927"/>
      <c r="FG107" s="2927"/>
      <c r="FH107" s="2927"/>
      <c r="FI107" s="2927"/>
      <c r="FJ107" s="2927"/>
      <c r="FK107" s="2927"/>
      <c r="FL107" s="2927"/>
      <c r="FM107" s="2927"/>
      <c r="FN107" s="2927"/>
      <c r="FO107" s="2927"/>
      <c r="FP107" s="2927"/>
      <c r="FQ107" s="2927"/>
      <c r="FR107" s="2927"/>
      <c r="FS107" s="2927"/>
      <c r="FT107" s="2927"/>
      <c r="FU107" s="2927"/>
      <c r="FV107" s="2927"/>
      <c r="FW107" s="2927"/>
      <c r="FX107" s="2927"/>
      <c r="FY107" s="2927"/>
      <c r="FZ107" s="2927"/>
      <c r="GA107" s="2927"/>
      <c r="GB107" s="2927"/>
      <c r="GC107" s="2927"/>
      <c r="GD107" s="2927"/>
      <c r="GE107" s="2927"/>
      <c r="GF107" s="2927"/>
      <c r="GG107" s="2927"/>
      <c r="GH107" s="2927"/>
      <c r="GI107" s="2927"/>
      <c r="GJ107" s="2927"/>
      <c r="GK107" s="2927"/>
      <c r="GL107" s="2927"/>
      <c r="GM107" s="2927"/>
      <c r="GN107" s="2927"/>
      <c r="GO107" s="2927"/>
      <c r="GP107" s="2927"/>
      <c r="GQ107" s="2927"/>
      <c r="GR107" s="2927"/>
      <c r="GS107" s="2927"/>
      <c r="GT107" s="2927"/>
      <c r="GU107" s="2927"/>
      <c r="GV107" s="2927"/>
      <c r="GW107" s="2927"/>
      <c r="GX107" s="2927"/>
      <c r="GY107" s="2927"/>
      <c r="GZ107" s="2927"/>
      <c r="HA107" s="2927"/>
      <c r="HB107" s="2927"/>
      <c r="HC107" s="2927"/>
      <c r="HD107" s="2927"/>
      <c r="HE107" s="2927"/>
      <c r="HF107" s="2927"/>
      <c r="HG107" s="2927"/>
      <c r="HH107" s="2927"/>
      <c r="HI107" s="2927"/>
      <c r="HJ107" s="2927"/>
      <c r="HK107" s="2927"/>
      <c r="HL107" s="2927"/>
      <c r="HM107" s="2927"/>
      <c r="HN107" s="2927"/>
      <c r="HO107" s="2927"/>
      <c r="HP107" s="2927"/>
      <c r="HQ107" s="2927"/>
      <c r="HR107" s="2927"/>
      <c r="HS107" s="2927"/>
      <c r="HT107" s="2927"/>
      <c r="HU107" s="2927"/>
      <c r="HV107" s="2927"/>
      <c r="HW107" s="2927"/>
      <c r="HX107" s="2927"/>
      <c r="HY107" s="2927"/>
      <c r="HZ107" s="2927"/>
      <c r="IA107" s="2927"/>
      <c r="IB107" s="2927"/>
      <c r="IC107" s="2927"/>
      <c r="ID107" s="2927"/>
      <c r="IE107" s="2927"/>
    </row>
    <row r="108" s="2838" customFormat="1" ht="32" customHeight="1" spans="1:239">
      <c r="A108" s="2941">
        <v>46092</v>
      </c>
      <c r="B108" s="2839" t="s">
        <v>1545</v>
      </c>
      <c r="C108" s="2907" t="s">
        <v>1546</v>
      </c>
      <c r="D108" s="2906">
        <v>4500196119</v>
      </c>
      <c r="E108" s="2909" t="s">
        <v>8797</v>
      </c>
      <c r="F108" s="2906" t="s">
        <v>10504</v>
      </c>
      <c r="G108" s="2930" t="s">
        <v>10199</v>
      </c>
      <c r="H108" s="2911" t="s">
        <v>9155</v>
      </c>
      <c r="I108" s="2912">
        <v>180</v>
      </c>
      <c r="J108" s="2912">
        <v>0</v>
      </c>
      <c r="K108" s="2912">
        <v>4</v>
      </c>
      <c r="L108" s="2912">
        <f t="shared" si="146"/>
        <v>45</v>
      </c>
      <c r="M108" s="2913">
        <v>46132</v>
      </c>
      <c r="N108" s="2971">
        <v>46128</v>
      </c>
      <c r="O108" s="2914"/>
      <c r="P108" s="2914" t="s">
        <v>82</v>
      </c>
      <c r="Q108" s="2914" t="s">
        <v>5721</v>
      </c>
      <c r="R108" s="2911" t="s">
        <v>1012</v>
      </c>
      <c r="S108" s="2915"/>
      <c r="T108" s="2915" t="s">
        <v>10505</v>
      </c>
      <c r="U108" s="2915"/>
      <c r="V108" s="2915"/>
      <c r="W108" s="2931" t="s">
        <v>10506</v>
      </c>
      <c r="X108" s="2912" t="s">
        <v>8796</v>
      </c>
      <c r="Y108" s="2917">
        <v>7.1848</v>
      </c>
      <c r="Z108" s="2918">
        <f t="shared" si="198"/>
        <v>1293.264</v>
      </c>
      <c r="AA108" s="2912"/>
      <c r="AB108" s="2930" t="s">
        <v>10507</v>
      </c>
      <c r="AC108" s="2912" t="s">
        <v>416</v>
      </c>
      <c r="AD108" s="2919"/>
      <c r="AE108" s="2919"/>
      <c r="AF108" s="2919"/>
      <c r="AG108" s="2919">
        <f t="shared" si="226"/>
        <v>180</v>
      </c>
      <c r="AH108" s="2919"/>
      <c r="AI108" s="2919"/>
      <c r="AJ108" s="2921"/>
      <c r="AK108" s="2921">
        <f t="shared" si="177"/>
        <v>180</v>
      </c>
      <c r="AL108" s="2921"/>
      <c r="AM108" s="2922"/>
      <c r="AN108" s="2922"/>
      <c r="AO108" s="2923"/>
      <c r="AP108" s="2921"/>
      <c r="AQ108" s="2921">
        <f t="shared" si="227"/>
        <v>60</v>
      </c>
      <c r="AR108" s="2924"/>
      <c r="AS108" s="2925">
        <f t="shared" si="228"/>
        <v>60</v>
      </c>
      <c r="AT108" s="2921">
        <f t="shared" si="229"/>
        <v>60</v>
      </c>
      <c r="AU108" s="2921"/>
      <c r="AV108" s="2922"/>
      <c r="AW108" s="2923"/>
      <c r="AX108" s="2921"/>
      <c r="AY108" s="2921"/>
      <c r="AZ108" s="2924"/>
      <c r="BA108" s="2923"/>
      <c r="BB108" s="2924"/>
      <c r="BC108" s="2925"/>
      <c r="BD108" s="2921">
        <f t="shared" si="143"/>
        <v>180</v>
      </c>
      <c r="BE108" s="2921"/>
      <c r="BF108" s="2921">
        <f t="shared" si="215"/>
        <v>180</v>
      </c>
      <c r="BG108" s="2921" t="s">
        <v>9164</v>
      </c>
      <c r="BH108" s="2921"/>
      <c r="BI108" s="2921">
        <f t="shared" si="230"/>
        <v>60</v>
      </c>
      <c r="BJ108" s="2921">
        <f t="shared" si="231"/>
        <v>60</v>
      </c>
      <c r="BK108" s="2921">
        <f t="shared" si="232"/>
        <v>60</v>
      </c>
      <c r="BL108" s="2926">
        <f t="shared" si="233"/>
        <v>60</v>
      </c>
      <c r="BM108" s="2921">
        <f t="shared" si="234"/>
        <v>60</v>
      </c>
      <c r="BN108" s="2926">
        <f t="shared" si="235"/>
        <v>60</v>
      </c>
      <c r="BO108" s="2921"/>
      <c r="BP108" s="2926"/>
      <c r="BQ108" s="2926">
        <f t="shared" si="169"/>
        <v>238205</v>
      </c>
      <c r="BR108" s="2926"/>
      <c r="BS108" s="2926"/>
      <c r="BT108" s="2926"/>
      <c r="BU108" s="2926"/>
      <c r="BV108" s="2926"/>
      <c r="BW108" s="2926"/>
      <c r="BX108" s="2926"/>
      <c r="BY108" s="2926"/>
      <c r="BZ108" s="2912"/>
      <c r="CA108" s="2927"/>
      <c r="CB108" s="2927"/>
      <c r="CC108" s="2927"/>
      <c r="CD108" s="2927"/>
      <c r="CE108" s="2927"/>
      <c r="CF108" s="2927"/>
      <c r="CG108" s="2927"/>
      <c r="CH108" s="2927"/>
      <c r="CI108" s="2927"/>
      <c r="CJ108" s="2927"/>
      <c r="CK108" s="2927"/>
      <c r="CL108" s="2927"/>
      <c r="CM108" s="2927"/>
      <c r="CN108" s="2927"/>
      <c r="CO108" s="2927"/>
      <c r="CP108" s="2927"/>
      <c r="CQ108" s="2927"/>
      <c r="CR108" s="2927"/>
      <c r="CS108" s="2927"/>
      <c r="CT108" s="2927"/>
      <c r="CU108" s="2927"/>
      <c r="CV108" s="2927"/>
      <c r="CW108" s="2927"/>
      <c r="CX108" s="2927"/>
      <c r="CY108" s="2927"/>
      <c r="CZ108" s="2927"/>
      <c r="DA108" s="2927"/>
      <c r="DB108" s="2927"/>
      <c r="DC108" s="2927"/>
      <c r="DD108" s="2927"/>
      <c r="DE108" s="2927"/>
      <c r="DF108" s="2927"/>
      <c r="DG108" s="2927"/>
      <c r="DH108" s="2927"/>
      <c r="DI108" s="2927"/>
      <c r="DJ108" s="2927"/>
      <c r="DK108" s="2927"/>
      <c r="DL108" s="2927"/>
      <c r="DM108" s="2927"/>
      <c r="DN108" s="2927"/>
      <c r="DO108" s="2927"/>
      <c r="DP108" s="2927"/>
      <c r="DQ108" s="2927"/>
      <c r="DR108" s="2927"/>
      <c r="DS108" s="2927"/>
      <c r="DT108" s="2927"/>
      <c r="DU108" s="2927"/>
      <c r="DV108" s="2927"/>
      <c r="DW108" s="2927"/>
      <c r="DX108" s="2927"/>
      <c r="DY108" s="2927"/>
      <c r="DZ108" s="2927"/>
      <c r="EA108" s="2927"/>
      <c r="EB108" s="2927"/>
      <c r="EC108" s="2927"/>
      <c r="ED108" s="2927"/>
      <c r="EE108" s="2927"/>
      <c r="EF108" s="2927"/>
      <c r="EG108" s="2927"/>
      <c r="EH108" s="2927"/>
      <c r="EI108" s="2927"/>
      <c r="EJ108" s="2927"/>
      <c r="EK108" s="2927"/>
      <c r="EL108" s="2927"/>
      <c r="EM108" s="2927"/>
      <c r="EN108" s="2927"/>
      <c r="EO108" s="2927"/>
      <c r="EP108" s="2927"/>
      <c r="EQ108" s="2927"/>
      <c r="ER108" s="2927"/>
      <c r="ES108" s="2927"/>
      <c r="ET108" s="2927"/>
      <c r="EU108" s="2927"/>
      <c r="EV108" s="2927"/>
      <c r="EW108" s="2927"/>
      <c r="EX108" s="2927"/>
      <c r="EY108" s="2927"/>
      <c r="EZ108" s="2927"/>
      <c r="FA108" s="2927"/>
      <c r="FB108" s="2927"/>
      <c r="FC108" s="2927"/>
      <c r="FD108" s="2927"/>
      <c r="FE108" s="2927"/>
      <c r="FF108" s="2927"/>
      <c r="FG108" s="2927"/>
      <c r="FH108" s="2927"/>
      <c r="FI108" s="2927"/>
      <c r="FJ108" s="2927"/>
      <c r="FK108" s="2927"/>
      <c r="FL108" s="2927"/>
      <c r="FM108" s="2927"/>
      <c r="FN108" s="2927"/>
      <c r="FO108" s="2927"/>
      <c r="FP108" s="2927"/>
      <c r="FQ108" s="2927"/>
      <c r="FR108" s="2927"/>
      <c r="FS108" s="2927"/>
      <c r="FT108" s="2927"/>
      <c r="FU108" s="2927"/>
      <c r="FV108" s="2927"/>
      <c r="FW108" s="2927"/>
      <c r="FX108" s="2927"/>
      <c r="FY108" s="2927"/>
      <c r="FZ108" s="2927"/>
      <c r="GA108" s="2927"/>
      <c r="GB108" s="2927"/>
      <c r="GC108" s="2927"/>
      <c r="GD108" s="2927"/>
      <c r="GE108" s="2927"/>
      <c r="GF108" s="2927"/>
      <c r="GG108" s="2927"/>
      <c r="GH108" s="2927"/>
      <c r="GI108" s="2927"/>
      <c r="GJ108" s="2927"/>
      <c r="GK108" s="2927"/>
      <c r="GL108" s="2927"/>
      <c r="GM108" s="2927"/>
      <c r="GN108" s="2927"/>
      <c r="GO108" s="2927"/>
      <c r="GP108" s="2927"/>
      <c r="GQ108" s="2927"/>
      <c r="GR108" s="2927"/>
      <c r="GS108" s="2927"/>
      <c r="GT108" s="2927"/>
      <c r="GU108" s="2927"/>
      <c r="GV108" s="2927"/>
      <c r="GW108" s="2927"/>
      <c r="GX108" s="2927"/>
      <c r="GY108" s="2927"/>
      <c r="GZ108" s="2927"/>
      <c r="HA108" s="2927"/>
      <c r="HB108" s="2927"/>
      <c r="HC108" s="2927"/>
      <c r="HD108" s="2927"/>
      <c r="HE108" s="2927"/>
      <c r="HF108" s="2927"/>
      <c r="HG108" s="2927"/>
      <c r="HH108" s="2927"/>
      <c r="HI108" s="2927"/>
      <c r="HJ108" s="2927"/>
      <c r="HK108" s="2927"/>
      <c r="HL108" s="2927"/>
      <c r="HM108" s="2927"/>
      <c r="HN108" s="2927"/>
      <c r="HO108" s="2927"/>
      <c r="HP108" s="2927"/>
      <c r="HQ108" s="2927"/>
      <c r="HR108" s="2927"/>
      <c r="HS108" s="2927"/>
      <c r="HT108" s="2927"/>
      <c r="HU108" s="2927"/>
      <c r="HV108" s="2927"/>
      <c r="HW108" s="2927"/>
      <c r="HX108" s="2927"/>
      <c r="HY108" s="2927"/>
      <c r="HZ108" s="2927"/>
      <c r="IA108" s="2927"/>
      <c r="IB108" s="2927"/>
      <c r="IC108" s="2927"/>
      <c r="ID108" s="2927"/>
      <c r="IE108" s="2927"/>
    </row>
    <row r="109" s="2838" customFormat="1" ht="32" customHeight="1" spans="1:239">
      <c r="A109" s="2951">
        <v>46079</v>
      </c>
      <c r="B109" s="2839" t="s">
        <v>1206</v>
      </c>
      <c r="C109" s="2907" t="s">
        <v>351</v>
      </c>
      <c r="D109" s="2906">
        <v>4500194261</v>
      </c>
      <c r="E109" s="2909"/>
      <c r="F109" s="2906" t="s">
        <v>10508</v>
      </c>
      <c r="G109" s="2930" t="s">
        <v>10345</v>
      </c>
      <c r="H109" s="2911" t="s">
        <v>10346</v>
      </c>
      <c r="I109" s="2912">
        <v>232</v>
      </c>
      <c r="J109" s="2912">
        <v>0</v>
      </c>
      <c r="K109" s="2912">
        <v>4</v>
      </c>
      <c r="L109" s="2912">
        <f t="shared" si="146"/>
        <v>58</v>
      </c>
      <c r="M109" s="2913">
        <v>46132</v>
      </c>
      <c r="N109" s="2971">
        <v>46128</v>
      </c>
      <c r="O109" s="2914"/>
      <c r="P109" s="2914" t="s">
        <v>82</v>
      </c>
      <c r="Q109" s="2914" t="s">
        <v>1115</v>
      </c>
      <c r="R109" s="2911" t="s">
        <v>999</v>
      </c>
      <c r="S109" s="2915"/>
      <c r="T109" s="2915" t="s">
        <v>9951</v>
      </c>
      <c r="U109" s="2915"/>
      <c r="V109" s="2915"/>
      <c r="W109" s="2931" t="s">
        <v>10509</v>
      </c>
      <c r="X109" s="2912" t="s">
        <v>1199</v>
      </c>
      <c r="Y109" s="2917">
        <v>7.2402</v>
      </c>
      <c r="Z109" s="2918">
        <f t="shared" si="198"/>
        <v>1679.7264</v>
      </c>
      <c r="AA109" s="2912"/>
      <c r="AB109" s="2930" t="s">
        <v>10348</v>
      </c>
      <c r="AC109" s="2912" t="s">
        <v>416</v>
      </c>
      <c r="AD109" s="2919"/>
      <c r="AE109" s="2919">
        <f t="shared" ref="AE109:AE111" si="236">I109</f>
        <v>232</v>
      </c>
      <c r="AF109" s="2944"/>
      <c r="AG109" s="2919"/>
      <c r="AH109" s="2919"/>
      <c r="AI109" s="2919"/>
      <c r="AJ109" s="2921"/>
      <c r="AK109" s="2921">
        <f t="shared" si="177"/>
        <v>232</v>
      </c>
      <c r="AL109" s="2921"/>
      <c r="AM109" s="2922"/>
      <c r="AN109" s="2922"/>
      <c r="AO109" s="2923"/>
      <c r="AP109" s="2921"/>
      <c r="AQ109" s="2921"/>
      <c r="AR109" s="2924"/>
      <c r="AS109" s="2925"/>
      <c r="AT109" s="2921"/>
      <c r="AU109" s="2921"/>
      <c r="AV109" s="2922">
        <f>I109</f>
        <v>232</v>
      </c>
      <c r="AW109" s="2923"/>
      <c r="AX109" s="2921"/>
      <c r="AY109" s="2921"/>
      <c r="AZ109" s="2924"/>
      <c r="BA109" s="2923"/>
      <c r="BB109" s="2924"/>
      <c r="BC109" s="2925"/>
      <c r="BD109" s="2921">
        <f t="shared" si="143"/>
        <v>232</v>
      </c>
      <c r="BE109" s="2921"/>
      <c r="BF109" s="2921">
        <f t="shared" si="215"/>
        <v>232</v>
      </c>
      <c r="BG109" s="2921" t="s">
        <v>9164</v>
      </c>
      <c r="BH109" s="2921"/>
      <c r="BI109" s="2921"/>
      <c r="BJ109" s="2921"/>
      <c r="BK109" s="2921"/>
      <c r="BL109" s="2926"/>
      <c r="BM109" s="2921"/>
      <c r="BN109" s="2926"/>
      <c r="BO109" s="2921">
        <f>I109</f>
        <v>232</v>
      </c>
      <c r="BP109" s="2926">
        <f>I109</f>
        <v>232</v>
      </c>
      <c r="BQ109" s="2926">
        <f t="shared" si="169"/>
        <v>238257</v>
      </c>
      <c r="BR109" s="2926"/>
      <c r="BS109" s="2926"/>
      <c r="BT109" s="2926"/>
      <c r="BU109" s="2926"/>
      <c r="BV109" s="2926"/>
      <c r="BW109" s="2926"/>
      <c r="BX109" s="2926"/>
      <c r="BY109" s="2926"/>
      <c r="BZ109" s="2912"/>
      <c r="CA109" s="2927"/>
      <c r="CB109" s="2927"/>
      <c r="CC109" s="2927"/>
      <c r="CD109" s="2927"/>
      <c r="CE109" s="2927"/>
      <c r="CF109" s="2927"/>
      <c r="CG109" s="2927"/>
      <c r="CH109" s="2927"/>
      <c r="CI109" s="2927"/>
      <c r="CJ109" s="2927"/>
      <c r="CK109" s="2927"/>
      <c r="CL109" s="2927"/>
      <c r="CM109" s="2927"/>
      <c r="CN109" s="2927"/>
      <c r="CO109" s="2927"/>
      <c r="CP109" s="2927"/>
      <c r="CQ109" s="2927"/>
      <c r="CR109" s="2927"/>
      <c r="CS109" s="2927"/>
      <c r="CT109" s="2927"/>
      <c r="CU109" s="2927"/>
      <c r="CV109" s="2927"/>
      <c r="CW109" s="2927"/>
      <c r="CX109" s="2927"/>
      <c r="CY109" s="2927"/>
      <c r="CZ109" s="2927"/>
      <c r="DA109" s="2927"/>
      <c r="DB109" s="2927"/>
      <c r="DC109" s="2927"/>
      <c r="DD109" s="2927"/>
      <c r="DE109" s="2927"/>
      <c r="DF109" s="2927"/>
      <c r="DG109" s="2927"/>
      <c r="DH109" s="2927"/>
      <c r="DI109" s="2927"/>
      <c r="DJ109" s="2927"/>
      <c r="DK109" s="2927"/>
      <c r="DL109" s="2927"/>
      <c r="DM109" s="2927"/>
      <c r="DN109" s="2927"/>
      <c r="DO109" s="2927"/>
      <c r="DP109" s="2927"/>
      <c r="DQ109" s="2927"/>
      <c r="DR109" s="2927"/>
      <c r="DS109" s="2927"/>
      <c r="DT109" s="2927"/>
      <c r="DU109" s="2927"/>
      <c r="DV109" s="2927"/>
      <c r="DW109" s="2927"/>
      <c r="DX109" s="2927"/>
      <c r="DY109" s="2927"/>
      <c r="DZ109" s="2927"/>
      <c r="EA109" s="2927"/>
      <c r="EB109" s="2927"/>
      <c r="EC109" s="2927"/>
      <c r="ED109" s="2927"/>
      <c r="EE109" s="2927"/>
      <c r="EF109" s="2927"/>
      <c r="EG109" s="2927"/>
      <c r="EH109" s="2927"/>
      <c r="EI109" s="2927"/>
      <c r="EJ109" s="2927"/>
      <c r="EK109" s="2927"/>
      <c r="EL109" s="2927"/>
      <c r="EM109" s="2927"/>
      <c r="EN109" s="2927"/>
      <c r="EO109" s="2927"/>
      <c r="EP109" s="2927"/>
      <c r="EQ109" s="2927"/>
      <c r="ER109" s="2927"/>
      <c r="ES109" s="2927"/>
      <c r="ET109" s="2927"/>
      <c r="EU109" s="2927"/>
      <c r="EV109" s="2927"/>
      <c r="EW109" s="2927"/>
      <c r="EX109" s="2927"/>
      <c r="EY109" s="2927"/>
      <c r="EZ109" s="2927"/>
      <c r="FA109" s="2927"/>
      <c r="FB109" s="2927"/>
      <c r="FC109" s="2927"/>
      <c r="FD109" s="2927"/>
      <c r="FE109" s="2927"/>
      <c r="FF109" s="2927"/>
      <c r="FG109" s="2927"/>
      <c r="FH109" s="2927"/>
      <c r="FI109" s="2927"/>
      <c r="FJ109" s="2927"/>
      <c r="FK109" s="2927"/>
      <c r="FL109" s="2927"/>
      <c r="FM109" s="2927"/>
      <c r="FN109" s="2927"/>
      <c r="FO109" s="2927"/>
      <c r="FP109" s="2927"/>
      <c r="FQ109" s="2927"/>
      <c r="FR109" s="2927"/>
      <c r="FS109" s="2927"/>
      <c r="FT109" s="2927"/>
      <c r="FU109" s="2927"/>
      <c r="FV109" s="2927"/>
      <c r="FW109" s="2927"/>
      <c r="FX109" s="2927"/>
      <c r="FY109" s="2927"/>
      <c r="FZ109" s="2927"/>
      <c r="GA109" s="2927"/>
      <c r="GB109" s="2927"/>
      <c r="GC109" s="2927"/>
      <c r="GD109" s="2927"/>
      <c r="GE109" s="2927"/>
      <c r="GF109" s="2927"/>
      <c r="GG109" s="2927"/>
      <c r="GH109" s="2927"/>
      <c r="GI109" s="2927"/>
      <c r="GJ109" s="2927"/>
      <c r="GK109" s="2927"/>
      <c r="GL109" s="2927"/>
      <c r="GM109" s="2927"/>
      <c r="GN109" s="2927"/>
      <c r="GO109" s="2927"/>
      <c r="GP109" s="2927"/>
      <c r="GQ109" s="2927"/>
      <c r="GR109" s="2927"/>
      <c r="GS109" s="2927"/>
      <c r="GT109" s="2927"/>
      <c r="GU109" s="2927"/>
      <c r="GV109" s="2927"/>
      <c r="GW109" s="2927"/>
      <c r="GX109" s="2927"/>
      <c r="GY109" s="2927"/>
      <c r="GZ109" s="2927"/>
      <c r="HA109" s="2927"/>
      <c r="HB109" s="2927"/>
      <c r="HC109" s="2927"/>
      <c r="HD109" s="2927"/>
      <c r="HE109" s="2927"/>
      <c r="HF109" s="2927"/>
      <c r="HG109" s="2927"/>
      <c r="HH109" s="2927"/>
      <c r="HI109" s="2927"/>
      <c r="HJ109" s="2927"/>
      <c r="HK109" s="2927"/>
      <c r="HL109" s="2927"/>
      <c r="HM109" s="2927"/>
      <c r="HN109" s="2927"/>
      <c r="HO109" s="2927"/>
      <c r="HP109" s="2927"/>
      <c r="HQ109" s="2927"/>
      <c r="HR109" s="2927"/>
      <c r="HS109" s="2927"/>
      <c r="HT109" s="2927"/>
      <c r="HU109" s="2927"/>
      <c r="HV109" s="2927"/>
      <c r="HW109" s="2927"/>
      <c r="HX109" s="2927"/>
      <c r="HY109" s="2927"/>
      <c r="HZ109" s="2927"/>
      <c r="IA109" s="2927"/>
      <c r="IB109" s="2927"/>
      <c r="IC109" s="2927"/>
      <c r="ID109" s="2927"/>
      <c r="IE109" s="2927"/>
    </row>
    <row r="110" s="2838" customFormat="1" ht="32" customHeight="1" spans="1:239">
      <c r="A110" s="2951">
        <v>46079</v>
      </c>
      <c r="B110" s="2839" t="s">
        <v>1206</v>
      </c>
      <c r="C110" s="2907" t="s">
        <v>351</v>
      </c>
      <c r="D110" s="2906">
        <v>4500194261</v>
      </c>
      <c r="E110" s="2909"/>
      <c r="F110" s="2906" t="s">
        <v>10510</v>
      </c>
      <c r="G110" s="2930" t="s">
        <v>10292</v>
      </c>
      <c r="H110" s="2911" t="s">
        <v>10293</v>
      </c>
      <c r="I110" s="2912">
        <v>232</v>
      </c>
      <c r="J110" s="2912">
        <v>0</v>
      </c>
      <c r="K110" s="2912">
        <v>4</v>
      </c>
      <c r="L110" s="2912">
        <f t="shared" si="146"/>
        <v>58</v>
      </c>
      <c r="M110" s="2913">
        <v>46132</v>
      </c>
      <c r="N110" s="2971">
        <v>46128</v>
      </c>
      <c r="O110" s="2914"/>
      <c r="P110" s="2914" t="s">
        <v>82</v>
      </c>
      <c r="Q110" s="2914" t="s">
        <v>1115</v>
      </c>
      <c r="R110" s="2911" t="s">
        <v>999</v>
      </c>
      <c r="S110" s="2915"/>
      <c r="T110" s="2915" t="s">
        <v>9951</v>
      </c>
      <c r="U110" s="2915"/>
      <c r="V110" s="2915"/>
      <c r="W110" s="2931" t="s">
        <v>10509</v>
      </c>
      <c r="X110" s="2912" t="s">
        <v>1199</v>
      </c>
      <c r="Y110" s="2917">
        <v>7.2402</v>
      </c>
      <c r="Z110" s="2918">
        <f t="shared" si="198"/>
        <v>1679.7264</v>
      </c>
      <c r="AA110" s="2912"/>
      <c r="AB110" s="2930" t="s">
        <v>10350</v>
      </c>
      <c r="AC110" s="2912" t="s">
        <v>416</v>
      </c>
      <c r="AD110" s="2919"/>
      <c r="AE110" s="2919">
        <f t="shared" si="236"/>
        <v>232</v>
      </c>
      <c r="AF110" s="2944"/>
      <c r="AG110" s="2919"/>
      <c r="AH110" s="2919"/>
      <c r="AI110" s="2919"/>
      <c r="AJ110" s="2921"/>
      <c r="AK110" s="2921">
        <f t="shared" si="177"/>
        <v>232</v>
      </c>
      <c r="AL110" s="2921"/>
      <c r="AM110" s="2922"/>
      <c r="AN110" s="2922"/>
      <c r="AO110" s="2923"/>
      <c r="AP110" s="2921"/>
      <c r="AQ110" s="2921"/>
      <c r="AR110" s="2924"/>
      <c r="AS110" s="2925"/>
      <c r="AT110" s="2921">
        <f>I110</f>
        <v>232</v>
      </c>
      <c r="AU110" s="2921"/>
      <c r="AV110" s="2922"/>
      <c r="AW110" s="2923"/>
      <c r="AX110" s="2921"/>
      <c r="AY110" s="2921"/>
      <c r="AZ110" s="2924"/>
      <c r="BA110" s="2923"/>
      <c r="BB110" s="2924"/>
      <c r="BC110" s="2925"/>
      <c r="BD110" s="2921">
        <f t="shared" si="143"/>
        <v>232</v>
      </c>
      <c r="BE110" s="2921"/>
      <c r="BF110" s="2921">
        <f t="shared" si="215"/>
        <v>232</v>
      </c>
      <c r="BG110" s="2921" t="s">
        <v>9164</v>
      </c>
      <c r="BH110" s="2921"/>
      <c r="BI110" s="2921"/>
      <c r="BJ110" s="2921"/>
      <c r="BK110" s="2921">
        <f>I110</f>
        <v>232</v>
      </c>
      <c r="BL110" s="2926">
        <f>I110</f>
        <v>232</v>
      </c>
      <c r="BM110" s="2921"/>
      <c r="BN110" s="2926"/>
      <c r="BO110" s="2921"/>
      <c r="BP110" s="2926"/>
      <c r="BQ110" s="2926">
        <f t="shared" si="169"/>
        <v>238257</v>
      </c>
      <c r="BR110" s="2926"/>
      <c r="BS110" s="2926"/>
      <c r="BT110" s="2926"/>
      <c r="BU110" s="2926"/>
      <c r="BV110" s="2926"/>
      <c r="BW110" s="2926"/>
      <c r="BX110" s="2926"/>
      <c r="BY110" s="2926"/>
      <c r="BZ110" s="2912"/>
      <c r="CA110" s="2927"/>
      <c r="CB110" s="2927"/>
      <c r="CC110" s="2927"/>
      <c r="CD110" s="2927"/>
      <c r="CE110" s="2927"/>
      <c r="CF110" s="2927"/>
      <c r="CG110" s="2927"/>
      <c r="CH110" s="2927"/>
      <c r="CI110" s="2927"/>
      <c r="CJ110" s="2927"/>
      <c r="CK110" s="2927"/>
      <c r="CL110" s="2927"/>
      <c r="CM110" s="2927"/>
      <c r="CN110" s="2927"/>
      <c r="CO110" s="2927"/>
      <c r="CP110" s="2927"/>
      <c r="CQ110" s="2927"/>
      <c r="CR110" s="2927"/>
      <c r="CS110" s="2927"/>
      <c r="CT110" s="2927"/>
      <c r="CU110" s="2927"/>
      <c r="CV110" s="2927"/>
      <c r="CW110" s="2927"/>
      <c r="CX110" s="2927"/>
      <c r="CY110" s="2927"/>
      <c r="CZ110" s="2927"/>
      <c r="DA110" s="2927"/>
      <c r="DB110" s="2927"/>
      <c r="DC110" s="2927"/>
      <c r="DD110" s="2927"/>
      <c r="DE110" s="2927"/>
      <c r="DF110" s="2927"/>
      <c r="DG110" s="2927"/>
      <c r="DH110" s="2927"/>
      <c r="DI110" s="2927"/>
      <c r="DJ110" s="2927"/>
      <c r="DK110" s="2927"/>
      <c r="DL110" s="2927"/>
      <c r="DM110" s="2927"/>
      <c r="DN110" s="2927"/>
      <c r="DO110" s="2927"/>
      <c r="DP110" s="2927"/>
      <c r="DQ110" s="2927"/>
      <c r="DR110" s="2927"/>
      <c r="DS110" s="2927"/>
      <c r="DT110" s="2927"/>
      <c r="DU110" s="2927"/>
      <c r="DV110" s="2927"/>
      <c r="DW110" s="2927"/>
      <c r="DX110" s="2927"/>
      <c r="DY110" s="2927"/>
      <c r="DZ110" s="2927"/>
      <c r="EA110" s="2927"/>
      <c r="EB110" s="2927"/>
      <c r="EC110" s="2927"/>
      <c r="ED110" s="2927"/>
      <c r="EE110" s="2927"/>
      <c r="EF110" s="2927"/>
      <c r="EG110" s="2927"/>
      <c r="EH110" s="2927"/>
      <c r="EI110" s="2927"/>
      <c r="EJ110" s="2927"/>
      <c r="EK110" s="2927"/>
      <c r="EL110" s="2927"/>
      <c r="EM110" s="2927"/>
      <c r="EN110" s="2927"/>
      <c r="EO110" s="2927"/>
      <c r="EP110" s="2927"/>
      <c r="EQ110" s="2927"/>
      <c r="ER110" s="2927"/>
      <c r="ES110" s="2927"/>
      <c r="ET110" s="2927"/>
      <c r="EU110" s="2927"/>
      <c r="EV110" s="2927"/>
      <c r="EW110" s="2927"/>
      <c r="EX110" s="2927"/>
      <c r="EY110" s="2927"/>
      <c r="EZ110" s="2927"/>
      <c r="FA110" s="2927"/>
      <c r="FB110" s="2927"/>
      <c r="FC110" s="2927"/>
      <c r="FD110" s="2927"/>
      <c r="FE110" s="2927"/>
      <c r="FF110" s="2927"/>
      <c r="FG110" s="2927"/>
      <c r="FH110" s="2927"/>
      <c r="FI110" s="2927"/>
      <c r="FJ110" s="2927"/>
      <c r="FK110" s="2927"/>
      <c r="FL110" s="2927"/>
      <c r="FM110" s="2927"/>
      <c r="FN110" s="2927"/>
      <c r="FO110" s="2927"/>
      <c r="FP110" s="2927"/>
      <c r="FQ110" s="2927"/>
      <c r="FR110" s="2927"/>
      <c r="FS110" s="2927"/>
      <c r="FT110" s="2927"/>
      <c r="FU110" s="2927"/>
      <c r="FV110" s="2927"/>
      <c r="FW110" s="2927"/>
      <c r="FX110" s="2927"/>
      <c r="FY110" s="2927"/>
      <c r="FZ110" s="2927"/>
      <c r="GA110" s="2927"/>
      <c r="GB110" s="2927"/>
      <c r="GC110" s="2927"/>
      <c r="GD110" s="2927"/>
      <c r="GE110" s="2927"/>
      <c r="GF110" s="2927"/>
      <c r="GG110" s="2927"/>
      <c r="GH110" s="2927"/>
      <c r="GI110" s="2927"/>
      <c r="GJ110" s="2927"/>
      <c r="GK110" s="2927"/>
      <c r="GL110" s="2927"/>
      <c r="GM110" s="2927"/>
      <c r="GN110" s="2927"/>
      <c r="GO110" s="2927"/>
      <c r="GP110" s="2927"/>
      <c r="GQ110" s="2927"/>
      <c r="GR110" s="2927"/>
      <c r="GS110" s="2927"/>
      <c r="GT110" s="2927"/>
      <c r="GU110" s="2927"/>
      <c r="GV110" s="2927"/>
      <c r="GW110" s="2927"/>
      <c r="GX110" s="2927"/>
      <c r="GY110" s="2927"/>
      <c r="GZ110" s="2927"/>
      <c r="HA110" s="2927"/>
      <c r="HB110" s="2927"/>
      <c r="HC110" s="2927"/>
      <c r="HD110" s="2927"/>
      <c r="HE110" s="2927"/>
      <c r="HF110" s="2927"/>
      <c r="HG110" s="2927"/>
      <c r="HH110" s="2927"/>
      <c r="HI110" s="2927"/>
      <c r="HJ110" s="2927"/>
      <c r="HK110" s="2927"/>
      <c r="HL110" s="2927"/>
      <c r="HM110" s="2927"/>
      <c r="HN110" s="2927"/>
      <c r="HO110" s="2927"/>
      <c r="HP110" s="2927"/>
      <c r="HQ110" s="2927"/>
      <c r="HR110" s="2927"/>
      <c r="HS110" s="2927"/>
      <c r="HT110" s="2927"/>
      <c r="HU110" s="2927"/>
      <c r="HV110" s="2927"/>
      <c r="HW110" s="2927"/>
      <c r="HX110" s="2927"/>
      <c r="HY110" s="2927"/>
      <c r="HZ110" s="2927"/>
      <c r="IA110" s="2927"/>
      <c r="IB110" s="2927"/>
      <c r="IC110" s="2927"/>
      <c r="ID110" s="2927"/>
      <c r="IE110" s="2927"/>
    </row>
    <row r="111" s="2838" customFormat="1" ht="32" customHeight="1" spans="1:239">
      <c r="A111" s="2951">
        <v>46079</v>
      </c>
      <c r="B111" s="2839" t="s">
        <v>1206</v>
      </c>
      <c r="C111" s="2907" t="s">
        <v>351</v>
      </c>
      <c r="D111" s="2906">
        <v>4500194261</v>
      </c>
      <c r="E111" s="2909"/>
      <c r="F111" s="2906" t="s">
        <v>10511</v>
      </c>
      <c r="G111" s="2930" t="s">
        <v>10297</v>
      </c>
      <c r="H111" s="2911" t="s">
        <v>10298</v>
      </c>
      <c r="I111" s="2912">
        <v>232</v>
      </c>
      <c r="J111" s="2912">
        <v>0</v>
      </c>
      <c r="K111" s="2912">
        <v>4</v>
      </c>
      <c r="L111" s="2912">
        <f t="shared" si="146"/>
        <v>58</v>
      </c>
      <c r="M111" s="2913">
        <v>46132</v>
      </c>
      <c r="N111" s="2971">
        <v>46128</v>
      </c>
      <c r="O111" s="2914"/>
      <c r="P111" s="2914" t="s">
        <v>82</v>
      </c>
      <c r="Q111" s="2914" t="s">
        <v>1115</v>
      </c>
      <c r="R111" s="2911" t="s">
        <v>999</v>
      </c>
      <c r="S111" s="2915"/>
      <c r="T111" s="2915" t="s">
        <v>9951</v>
      </c>
      <c r="U111" s="2915"/>
      <c r="V111" s="2915"/>
      <c r="W111" s="2931" t="s">
        <v>10509</v>
      </c>
      <c r="X111" s="2912" t="s">
        <v>1199</v>
      </c>
      <c r="Y111" s="2917">
        <v>7.2402</v>
      </c>
      <c r="Z111" s="2918">
        <f t="shared" si="198"/>
        <v>1679.7264</v>
      </c>
      <c r="AA111" s="2912"/>
      <c r="AB111" s="2930" t="s">
        <v>10352</v>
      </c>
      <c r="AC111" s="2912" t="s">
        <v>416</v>
      </c>
      <c r="AD111" s="2919"/>
      <c r="AE111" s="2919">
        <f t="shared" si="236"/>
        <v>232</v>
      </c>
      <c r="AF111" s="2944"/>
      <c r="AG111" s="2919"/>
      <c r="AH111" s="2919"/>
      <c r="AI111" s="2919"/>
      <c r="AJ111" s="2921"/>
      <c r="AK111" s="2921">
        <f t="shared" si="177"/>
        <v>232</v>
      </c>
      <c r="AL111" s="2921"/>
      <c r="AM111" s="2922"/>
      <c r="AN111" s="2922"/>
      <c r="AO111" s="2923"/>
      <c r="AP111" s="2921"/>
      <c r="AQ111" s="2921">
        <f>I111</f>
        <v>232</v>
      </c>
      <c r="AR111" s="2924"/>
      <c r="AS111" s="2925"/>
      <c r="AT111" s="2921"/>
      <c r="AU111" s="2921"/>
      <c r="AV111" s="2922"/>
      <c r="AW111" s="2923"/>
      <c r="AX111" s="2921"/>
      <c r="AY111" s="2921"/>
      <c r="AZ111" s="2924"/>
      <c r="BA111" s="2923"/>
      <c r="BB111" s="2924"/>
      <c r="BC111" s="2925"/>
      <c r="BD111" s="2921">
        <f t="shared" si="143"/>
        <v>232</v>
      </c>
      <c r="BE111" s="2921"/>
      <c r="BF111" s="2921">
        <f t="shared" si="215"/>
        <v>232</v>
      </c>
      <c r="BG111" s="2921" t="s">
        <v>9164</v>
      </c>
      <c r="BH111" s="2921"/>
      <c r="BI111" s="2921"/>
      <c r="BJ111" s="2921"/>
      <c r="BK111" s="2921"/>
      <c r="BL111" s="2926"/>
      <c r="BM111" s="2921">
        <f>I111</f>
        <v>232</v>
      </c>
      <c r="BN111" s="2926">
        <f>I111</f>
        <v>232</v>
      </c>
      <c r="BO111" s="2921"/>
      <c r="BP111" s="2926"/>
      <c r="BQ111" s="2926">
        <f t="shared" si="169"/>
        <v>238257</v>
      </c>
      <c r="BR111" s="2926"/>
      <c r="BS111" s="2926"/>
      <c r="BT111" s="2926"/>
      <c r="BU111" s="2926"/>
      <c r="BV111" s="2926"/>
      <c r="BW111" s="2926"/>
      <c r="BX111" s="2926"/>
      <c r="BY111" s="2926"/>
      <c r="BZ111" s="2912"/>
      <c r="CA111" s="2927"/>
      <c r="CB111" s="2927"/>
      <c r="CC111" s="2927"/>
      <c r="CD111" s="2927"/>
      <c r="CE111" s="2927"/>
      <c r="CF111" s="2927"/>
      <c r="CG111" s="2927"/>
      <c r="CH111" s="2927"/>
      <c r="CI111" s="2927"/>
      <c r="CJ111" s="2927"/>
      <c r="CK111" s="2927"/>
      <c r="CL111" s="2927"/>
      <c r="CM111" s="2927"/>
      <c r="CN111" s="2927"/>
      <c r="CO111" s="2927"/>
      <c r="CP111" s="2927"/>
      <c r="CQ111" s="2927"/>
      <c r="CR111" s="2927"/>
      <c r="CS111" s="2927"/>
      <c r="CT111" s="2927"/>
      <c r="CU111" s="2927"/>
      <c r="CV111" s="2927"/>
      <c r="CW111" s="2927"/>
      <c r="CX111" s="2927"/>
      <c r="CY111" s="2927"/>
      <c r="CZ111" s="2927"/>
      <c r="DA111" s="2927"/>
      <c r="DB111" s="2927"/>
      <c r="DC111" s="2927"/>
      <c r="DD111" s="2927"/>
      <c r="DE111" s="2927"/>
      <c r="DF111" s="2927"/>
      <c r="DG111" s="2927"/>
      <c r="DH111" s="2927"/>
      <c r="DI111" s="2927"/>
      <c r="DJ111" s="2927"/>
      <c r="DK111" s="2927"/>
      <c r="DL111" s="2927"/>
      <c r="DM111" s="2927"/>
      <c r="DN111" s="2927"/>
      <c r="DO111" s="2927"/>
      <c r="DP111" s="2927"/>
      <c r="DQ111" s="2927"/>
      <c r="DR111" s="2927"/>
      <c r="DS111" s="2927"/>
      <c r="DT111" s="2927"/>
      <c r="DU111" s="2927"/>
      <c r="DV111" s="2927"/>
      <c r="DW111" s="2927"/>
      <c r="DX111" s="2927"/>
      <c r="DY111" s="2927"/>
      <c r="DZ111" s="2927"/>
      <c r="EA111" s="2927"/>
      <c r="EB111" s="2927"/>
      <c r="EC111" s="2927"/>
      <c r="ED111" s="2927"/>
      <c r="EE111" s="2927"/>
      <c r="EF111" s="2927"/>
      <c r="EG111" s="2927"/>
      <c r="EH111" s="2927"/>
      <c r="EI111" s="2927"/>
      <c r="EJ111" s="2927"/>
      <c r="EK111" s="2927"/>
      <c r="EL111" s="2927"/>
      <c r="EM111" s="2927"/>
      <c r="EN111" s="2927"/>
      <c r="EO111" s="2927"/>
      <c r="EP111" s="2927"/>
      <c r="EQ111" s="2927"/>
      <c r="ER111" s="2927"/>
      <c r="ES111" s="2927"/>
      <c r="ET111" s="2927"/>
      <c r="EU111" s="2927"/>
      <c r="EV111" s="2927"/>
      <c r="EW111" s="2927"/>
      <c r="EX111" s="2927"/>
      <c r="EY111" s="2927"/>
      <c r="EZ111" s="2927"/>
      <c r="FA111" s="2927"/>
      <c r="FB111" s="2927"/>
      <c r="FC111" s="2927"/>
      <c r="FD111" s="2927"/>
      <c r="FE111" s="2927"/>
      <c r="FF111" s="2927"/>
      <c r="FG111" s="2927"/>
      <c r="FH111" s="2927"/>
      <c r="FI111" s="2927"/>
      <c r="FJ111" s="2927"/>
      <c r="FK111" s="2927"/>
      <c r="FL111" s="2927"/>
      <c r="FM111" s="2927"/>
      <c r="FN111" s="2927"/>
      <c r="FO111" s="2927"/>
      <c r="FP111" s="2927"/>
      <c r="FQ111" s="2927"/>
      <c r="FR111" s="2927"/>
      <c r="FS111" s="2927"/>
      <c r="FT111" s="2927"/>
      <c r="FU111" s="2927"/>
      <c r="FV111" s="2927"/>
      <c r="FW111" s="2927"/>
      <c r="FX111" s="2927"/>
      <c r="FY111" s="2927"/>
      <c r="FZ111" s="2927"/>
      <c r="GA111" s="2927"/>
      <c r="GB111" s="2927"/>
      <c r="GC111" s="2927"/>
      <c r="GD111" s="2927"/>
      <c r="GE111" s="2927"/>
      <c r="GF111" s="2927"/>
      <c r="GG111" s="2927"/>
      <c r="GH111" s="2927"/>
      <c r="GI111" s="2927"/>
      <c r="GJ111" s="2927"/>
      <c r="GK111" s="2927"/>
      <c r="GL111" s="2927"/>
      <c r="GM111" s="2927"/>
      <c r="GN111" s="2927"/>
      <c r="GO111" s="2927"/>
      <c r="GP111" s="2927"/>
      <c r="GQ111" s="2927"/>
      <c r="GR111" s="2927"/>
      <c r="GS111" s="2927"/>
      <c r="GT111" s="2927"/>
      <c r="GU111" s="2927"/>
      <c r="GV111" s="2927"/>
      <c r="GW111" s="2927"/>
      <c r="GX111" s="2927"/>
      <c r="GY111" s="2927"/>
      <c r="GZ111" s="2927"/>
      <c r="HA111" s="2927"/>
      <c r="HB111" s="2927"/>
      <c r="HC111" s="2927"/>
      <c r="HD111" s="2927"/>
      <c r="HE111" s="2927"/>
      <c r="HF111" s="2927"/>
      <c r="HG111" s="2927"/>
      <c r="HH111" s="2927"/>
      <c r="HI111" s="2927"/>
      <c r="HJ111" s="2927"/>
      <c r="HK111" s="2927"/>
      <c r="HL111" s="2927"/>
      <c r="HM111" s="2927"/>
      <c r="HN111" s="2927"/>
      <c r="HO111" s="2927"/>
      <c r="HP111" s="2927"/>
      <c r="HQ111" s="2927"/>
      <c r="HR111" s="2927"/>
      <c r="HS111" s="2927"/>
      <c r="HT111" s="2927"/>
      <c r="HU111" s="2927"/>
      <c r="HV111" s="2927"/>
      <c r="HW111" s="2927"/>
      <c r="HX111" s="2927"/>
      <c r="HY111" s="2927"/>
      <c r="HZ111" s="2927"/>
      <c r="IA111" s="2927"/>
      <c r="IB111" s="2927"/>
      <c r="IC111" s="2927"/>
      <c r="ID111" s="2927"/>
      <c r="IE111" s="2927"/>
    </row>
    <row r="112" s="2838" customFormat="1" ht="32" customHeight="1" spans="1:239">
      <c r="A112" s="2941">
        <v>46092</v>
      </c>
      <c r="B112" s="2839" t="s">
        <v>1141</v>
      </c>
      <c r="C112" s="2907" t="s">
        <v>1142</v>
      </c>
      <c r="D112" s="2906">
        <v>4500195950</v>
      </c>
      <c r="E112" s="2909" t="s">
        <v>8792</v>
      </c>
      <c r="F112" s="2906" t="s">
        <v>10512</v>
      </c>
      <c r="G112" s="2930" t="s">
        <v>10199</v>
      </c>
      <c r="H112" s="2911" t="s">
        <v>9155</v>
      </c>
      <c r="I112" s="2912">
        <v>600</v>
      </c>
      <c r="J112" s="2912">
        <v>0</v>
      </c>
      <c r="K112" s="2912">
        <v>4</v>
      </c>
      <c r="L112" s="2912">
        <f t="shared" si="146"/>
        <v>150</v>
      </c>
      <c r="M112" s="2913">
        <v>46132</v>
      </c>
      <c r="N112" s="2971">
        <v>46128</v>
      </c>
      <c r="O112" s="2914"/>
      <c r="P112" s="2914" t="s">
        <v>82</v>
      </c>
      <c r="Q112" s="2914" t="s">
        <v>5827</v>
      </c>
      <c r="R112" s="2911" t="s">
        <v>1012</v>
      </c>
      <c r="S112" s="2915"/>
      <c r="T112" s="2915" t="s">
        <v>10505</v>
      </c>
      <c r="U112" s="2915"/>
      <c r="V112" s="2915"/>
      <c r="W112" s="2931" t="s">
        <v>10506</v>
      </c>
      <c r="X112" s="2912" t="s">
        <v>8796</v>
      </c>
      <c r="Y112" s="2917">
        <v>7.1848</v>
      </c>
      <c r="Z112" s="2918">
        <f t="shared" si="198"/>
        <v>4310.88</v>
      </c>
      <c r="AA112" s="2912"/>
      <c r="AB112" s="2930" t="s">
        <v>10507</v>
      </c>
      <c r="AC112" s="2912" t="s">
        <v>416</v>
      </c>
      <c r="AD112" s="2919"/>
      <c r="AE112" s="2919"/>
      <c r="AF112" s="2919"/>
      <c r="AG112" s="2919">
        <f t="shared" si="226"/>
        <v>600</v>
      </c>
      <c r="AH112" s="2919"/>
      <c r="AI112" s="2919"/>
      <c r="AJ112" s="2921"/>
      <c r="AK112" s="2921">
        <f t="shared" si="177"/>
        <v>600</v>
      </c>
      <c r="AL112" s="2921"/>
      <c r="AM112" s="2922"/>
      <c r="AN112" s="2922"/>
      <c r="AO112" s="2923"/>
      <c r="AP112" s="2921"/>
      <c r="AQ112" s="2921">
        <f t="shared" si="227"/>
        <v>200</v>
      </c>
      <c r="AR112" s="2924"/>
      <c r="AS112" s="2925">
        <f t="shared" si="228"/>
        <v>200</v>
      </c>
      <c r="AT112" s="2921">
        <f t="shared" si="229"/>
        <v>200</v>
      </c>
      <c r="AU112" s="2921"/>
      <c r="AV112" s="2922"/>
      <c r="AW112" s="2923"/>
      <c r="AX112" s="2921"/>
      <c r="AY112" s="2921"/>
      <c r="AZ112" s="2924"/>
      <c r="BA112" s="2923"/>
      <c r="BB112" s="2924"/>
      <c r="BC112" s="2925"/>
      <c r="BD112" s="2921">
        <f t="shared" si="143"/>
        <v>600</v>
      </c>
      <c r="BE112" s="2921"/>
      <c r="BF112" s="2921">
        <f t="shared" si="215"/>
        <v>600</v>
      </c>
      <c r="BG112" s="2921" t="s">
        <v>9164</v>
      </c>
      <c r="BH112" s="2921"/>
      <c r="BI112" s="2921">
        <f t="shared" si="230"/>
        <v>200</v>
      </c>
      <c r="BJ112" s="2921">
        <f t="shared" si="231"/>
        <v>200</v>
      </c>
      <c r="BK112" s="2921">
        <f t="shared" si="232"/>
        <v>200</v>
      </c>
      <c r="BL112" s="2926">
        <f t="shared" si="233"/>
        <v>200</v>
      </c>
      <c r="BM112" s="2921">
        <f t="shared" si="234"/>
        <v>200</v>
      </c>
      <c r="BN112" s="2926">
        <f t="shared" si="235"/>
        <v>200</v>
      </c>
      <c r="BO112" s="2921"/>
      <c r="BP112" s="2926"/>
      <c r="BQ112" s="2926">
        <f t="shared" si="169"/>
        <v>238625</v>
      </c>
      <c r="BR112" s="2926"/>
      <c r="BS112" s="2926"/>
      <c r="BT112" s="2926"/>
      <c r="BU112" s="2926"/>
      <c r="BV112" s="2926"/>
      <c r="BW112" s="2926"/>
      <c r="BX112" s="2926"/>
      <c r="BY112" s="2926"/>
      <c r="BZ112" s="2912"/>
      <c r="CA112" s="2927"/>
      <c r="CB112" s="2927"/>
      <c r="CC112" s="2927"/>
      <c r="CD112" s="2927"/>
      <c r="CE112" s="2927"/>
      <c r="CF112" s="2927"/>
      <c r="CG112" s="2927"/>
      <c r="CH112" s="2927"/>
      <c r="CI112" s="2927"/>
      <c r="CJ112" s="2927"/>
      <c r="CK112" s="2927"/>
      <c r="CL112" s="2927"/>
      <c r="CM112" s="2927"/>
      <c r="CN112" s="2927"/>
      <c r="CO112" s="2927"/>
      <c r="CP112" s="2927"/>
      <c r="CQ112" s="2927"/>
      <c r="CR112" s="2927"/>
      <c r="CS112" s="2927"/>
      <c r="CT112" s="2927"/>
      <c r="CU112" s="2927"/>
      <c r="CV112" s="2927"/>
      <c r="CW112" s="2927"/>
      <c r="CX112" s="2927"/>
      <c r="CY112" s="2927"/>
      <c r="CZ112" s="2927"/>
      <c r="DA112" s="2927"/>
      <c r="DB112" s="2927"/>
      <c r="DC112" s="2927"/>
      <c r="DD112" s="2927"/>
      <c r="DE112" s="2927"/>
      <c r="DF112" s="2927"/>
      <c r="DG112" s="2927"/>
      <c r="DH112" s="2927"/>
      <c r="DI112" s="2927"/>
      <c r="DJ112" s="2927"/>
      <c r="DK112" s="2927"/>
      <c r="DL112" s="2927"/>
      <c r="DM112" s="2927"/>
      <c r="DN112" s="2927"/>
      <c r="DO112" s="2927"/>
      <c r="DP112" s="2927"/>
      <c r="DQ112" s="2927"/>
      <c r="DR112" s="2927"/>
      <c r="DS112" s="2927"/>
      <c r="DT112" s="2927"/>
      <c r="DU112" s="2927"/>
      <c r="DV112" s="2927"/>
      <c r="DW112" s="2927"/>
      <c r="DX112" s="2927"/>
      <c r="DY112" s="2927"/>
      <c r="DZ112" s="2927"/>
      <c r="EA112" s="2927"/>
      <c r="EB112" s="2927"/>
      <c r="EC112" s="2927"/>
      <c r="ED112" s="2927"/>
      <c r="EE112" s="2927"/>
      <c r="EF112" s="2927"/>
      <c r="EG112" s="2927"/>
      <c r="EH112" s="2927"/>
      <c r="EI112" s="2927"/>
      <c r="EJ112" s="2927"/>
      <c r="EK112" s="2927"/>
      <c r="EL112" s="2927"/>
      <c r="EM112" s="2927"/>
      <c r="EN112" s="2927"/>
      <c r="EO112" s="2927"/>
      <c r="EP112" s="2927"/>
      <c r="EQ112" s="2927"/>
      <c r="ER112" s="2927"/>
      <c r="ES112" s="2927"/>
      <c r="ET112" s="2927"/>
      <c r="EU112" s="2927"/>
      <c r="EV112" s="2927"/>
      <c r="EW112" s="2927"/>
      <c r="EX112" s="2927"/>
      <c r="EY112" s="2927"/>
      <c r="EZ112" s="2927"/>
      <c r="FA112" s="2927"/>
      <c r="FB112" s="2927"/>
      <c r="FC112" s="2927"/>
      <c r="FD112" s="2927"/>
      <c r="FE112" s="2927"/>
      <c r="FF112" s="2927"/>
      <c r="FG112" s="2927"/>
      <c r="FH112" s="2927"/>
      <c r="FI112" s="2927"/>
      <c r="FJ112" s="2927"/>
      <c r="FK112" s="2927"/>
      <c r="FL112" s="2927"/>
      <c r="FM112" s="2927"/>
      <c r="FN112" s="2927"/>
      <c r="FO112" s="2927"/>
      <c r="FP112" s="2927"/>
      <c r="FQ112" s="2927"/>
      <c r="FR112" s="2927"/>
      <c r="FS112" s="2927"/>
      <c r="FT112" s="2927"/>
      <c r="FU112" s="2927"/>
      <c r="FV112" s="2927"/>
      <c r="FW112" s="2927"/>
      <c r="FX112" s="2927"/>
      <c r="FY112" s="2927"/>
      <c r="FZ112" s="2927"/>
      <c r="GA112" s="2927"/>
      <c r="GB112" s="2927"/>
      <c r="GC112" s="2927"/>
      <c r="GD112" s="2927"/>
      <c r="GE112" s="2927"/>
      <c r="GF112" s="2927"/>
      <c r="GG112" s="2927"/>
      <c r="GH112" s="2927"/>
      <c r="GI112" s="2927"/>
      <c r="GJ112" s="2927"/>
      <c r="GK112" s="2927"/>
      <c r="GL112" s="2927"/>
      <c r="GM112" s="2927"/>
      <c r="GN112" s="2927"/>
      <c r="GO112" s="2927"/>
      <c r="GP112" s="2927"/>
      <c r="GQ112" s="2927"/>
      <c r="GR112" s="2927"/>
      <c r="GS112" s="2927"/>
      <c r="GT112" s="2927"/>
      <c r="GU112" s="2927"/>
      <c r="GV112" s="2927"/>
      <c r="GW112" s="2927"/>
      <c r="GX112" s="2927"/>
      <c r="GY112" s="2927"/>
      <c r="GZ112" s="2927"/>
      <c r="HA112" s="2927"/>
      <c r="HB112" s="2927"/>
      <c r="HC112" s="2927"/>
      <c r="HD112" s="2927"/>
      <c r="HE112" s="2927"/>
      <c r="HF112" s="2927"/>
      <c r="HG112" s="2927"/>
      <c r="HH112" s="2927"/>
      <c r="HI112" s="2927"/>
      <c r="HJ112" s="2927"/>
      <c r="HK112" s="2927"/>
      <c r="HL112" s="2927"/>
      <c r="HM112" s="2927"/>
      <c r="HN112" s="2927"/>
      <c r="HO112" s="2927"/>
      <c r="HP112" s="2927"/>
      <c r="HQ112" s="2927"/>
      <c r="HR112" s="2927"/>
      <c r="HS112" s="2927"/>
      <c r="HT112" s="2927"/>
      <c r="HU112" s="2927"/>
      <c r="HV112" s="2927"/>
      <c r="HW112" s="2927"/>
      <c r="HX112" s="2927"/>
      <c r="HY112" s="2927"/>
      <c r="HZ112" s="2927"/>
      <c r="IA112" s="2927"/>
      <c r="IB112" s="2927"/>
      <c r="IC112" s="2927"/>
      <c r="ID112" s="2927"/>
      <c r="IE112" s="2927"/>
    </row>
    <row r="113" s="2838" customFormat="1" ht="32" customHeight="1" spans="1:239 16384:16384">
      <c r="A113" s="2941">
        <v>46092</v>
      </c>
      <c r="B113" s="2839" t="s">
        <v>1538</v>
      </c>
      <c r="C113" s="2907" t="s">
        <v>3428</v>
      </c>
      <c r="D113" s="2906">
        <v>4500196056</v>
      </c>
      <c r="E113" s="2909" t="s">
        <v>9957</v>
      </c>
      <c r="F113" s="2906" t="s">
        <v>10513</v>
      </c>
      <c r="G113" s="2930" t="s">
        <v>10199</v>
      </c>
      <c r="H113" s="2911" t="s">
        <v>9155</v>
      </c>
      <c r="I113" s="2912">
        <v>84</v>
      </c>
      <c r="J113" s="2912">
        <v>0</v>
      </c>
      <c r="K113" s="2912">
        <v>4</v>
      </c>
      <c r="L113" s="2912">
        <f t="shared" si="146"/>
        <v>21</v>
      </c>
      <c r="M113" s="2913">
        <v>46132</v>
      </c>
      <c r="N113" s="2971">
        <v>46128</v>
      </c>
      <c r="O113" s="2914"/>
      <c r="P113" s="2914" t="s">
        <v>82</v>
      </c>
      <c r="Q113" s="2959" t="s">
        <v>9959</v>
      </c>
      <c r="R113" s="2911" t="s">
        <v>1012</v>
      </c>
      <c r="S113" s="2915"/>
      <c r="T113" s="2915" t="s">
        <v>10505</v>
      </c>
      <c r="U113" s="2915"/>
      <c r="V113" s="2915"/>
      <c r="W113" s="2931" t="s">
        <v>10506</v>
      </c>
      <c r="X113" s="2912" t="s">
        <v>8796</v>
      </c>
      <c r="Y113" s="2917">
        <v>7.1848</v>
      </c>
      <c r="Z113" s="2918">
        <f t="shared" si="198"/>
        <v>603.5232</v>
      </c>
      <c r="AA113" s="2912"/>
      <c r="AB113" s="2930" t="s">
        <v>10507</v>
      </c>
      <c r="AC113" s="2912" t="s">
        <v>416</v>
      </c>
      <c r="AD113" s="2919"/>
      <c r="AE113" s="2919"/>
      <c r="AF113" s="2919"/>
      <c r="AG113" s="2919">
        <f t="shared" si="226"/>
        <v>84</v>
      </c>
      <c r="AH113" s="2919"/>
      <c r="AI113" s="2919"/>
      <c r="AJ113" s="2921"/>
      <c r="AK113" s="2921">
        <f t="shared" si="177"/>
        <v>84</v>
      </c>
      <c r="AL113" s="2921"/>
      <c r="AM113" s="2922"/>
      <c r="AN113" s="2922"/>
      <c r="AO113" s="2923"/>
      <c r="AP113" s="2921"/>
      <c r="AQ113" s="2921">
        <f t="shared" si="227"/>
        <v>28</v>
      </c>
      <c r="AR113" s="2924"/>
      <c r="AS113" s="2925">
        <f t="shared" si="228"/>
        <v>28</v>
      </c>
      <c r="AT113" s="2921">
        <f t="shared" si="229"/>
        <v>28</v>
      </c>
      <c r="AU113" s="2921"/>
      <c r="AV113" s="2922"/>
      <c r="AW113" s="2923"/>
      <c r="AX113" s="2921"/>
      <c r="AY113" s="2921"/>
      <c r="AZ113" s="2924"/>
      <c r="BA113" s="2923"/>
      <c r="BB113" s="2924"/>
      <c r="BC113" s="2925"/>
      <c r="BD113" s="2921">
        <f t="shared" si="143"/>
        <v>84</v>
      </c>
      <c r="BE113" s="2921"/>
      <c r="BF113" s="2921">
        <f t="shared" si="215"/>
        <v>84</v>
      </c>
      <c r="BG113" s="2921" t="s">
        <v>9164</v>
      </c>
      <c r="BH113" s="2921"/>
      <c r="BI113" s="2921">
        <f t="shared" si="230"/>
        <v>28</v>
      </c>
      <c r="BJ113" s="2921">
        <f t="shared" si="231"/>
        <v>28</v>
      </c>
      <c r="BK113" s="2921">
        <f t="shared" si="232"/>
        <v>28</v>
      </c>
      <c r="BL113" s="2926">
        <f t="shared" si="233"/>
        <v>28</v>
      </c>
      <c r="BM113" s="2921">
        <f t="shared" si="234"/>
        <v>28</v>
      </c>
      <c r="BN113" s="2926">
        <f t="shared" si="235"/>
        <v>28</v>
      </c>
      <c r="BO113" s="2921"/>
      <c r="BP113" s="2926"/>
      <c r="BQ113" s="2926">
        <f t="shared" si="169"/>
        <v>238109</v>
      </c>
      <c r="BR113" s="2926"/>
      <c r="BS113" s="2926"/>
      <c r="BT113" s="2926"/>
      <c r="BU113" s="2926"/>
      <c r="BV113" s="2926"/>
      <c r="BW113" s="2926"/>
      <c r="BX113" s="2926"/>
      <c r="BY113" s="2926"/>
      <c r="BZ113" s="2912"/>
      <c r="CA113" s="2927"/>
      <c r="CB113" s="2927"/>
      <c r="CC113" s="2927"/>
      <c r="CD113" s="2927"/>
      <c r="CE113" s="2927"/>
      <c r="CF113" s="2927"/>
      <c r="CG113" s="2927"/>
      <c r="CH113" s="2927"/>
      <c r="CI113" s="2927"/>
      <c r="CJ113" s="2927"/>
      <c r="CK113" s="2927"/>
      <c r="CL113" s="2927"/>
      <c r="CM113" s="2927"/>
      <c r="CN113" s="2927"/>
      <c r="CO113" s="2927"/>
      <c r="CP113" s="2927"/>
      <c r="CQ113" s="2927"/>
      <c r="CR113" s="2927"/>
      <c r="CS113" s="2927"/>
      <c r="CT113" s="2927"/>
      <c r="CU113" s="2927"/>
      <c r="CV113" s="2927"/>
      <c r="CW113" s="2927"/>
      <c r="CX113" s="2927"/>
      <c r="CY113" s="2927"/>
      <c r="CZ113" s="2927"/>
      <c r="DA113" s="2927"/>
      <c r="DB113" s="2927"/>
      <c r="DC113" s="2927"/>
      <c r="DD113" s="2927"/>
      <c r="DE113" s="2927"/>
      <c r="DF113" s="2927"/>
      <c r="DG113" s="2927"/>
      <c r="DH113" s="2927"/>
      <c r="DI113" s="2927"/>
      <c r="DJ113" s="2927"/>
      <c r="DK113" s="2927"/>
      <c r="DL113" s="2927"/>
      <c r="DM113" s="2927"/>
      <c r="DN113" s="2927"/>
      <c r="DO113" s="2927"/>
      <c r="DP113" s="2927"/>
      <c r="DQ113" s="2927"/>
      <c r="DR113" s="2927"/>
      <c r="DS113" s="2927"/>
      <c r="DT113" s="2927"/>
      <c r="DU113" s="2927"/>
      <c r="DV113" s="2927"/>
      <c r="DW113" s="2927"/>
      <c r="DX113" s="2927"/>
      <c r="DY113" s="2927"/>
      <c r="DZ113" s="2927"/>
      <c r="EA113" s="2927"/>
      <c r="EB113" s="2927"/>
      <c r="EC113" s="2927"/>
      <c r="ED113" s="2927"/>
      <c r="EE113" s="2927"/>
      <c r="EF113" s="2927"/>
      <c r="EG113" s="2927"/>
      <c r="EH113" s="2927"/>
      <c r="EI113" s="2927"/>
      <c r="EJ113" s="2927"/>
      <c r="EK113" s="2927"/>
      <c r="EL113" s="2927"/>
      <c r="EM113" s="2927"/>
      <c r="EN113" s="2927"/>
      <c r="EO113" s="2927"/>
      <c r="EP113" s="2927"/>
      <c r="EQ113" s="2927"/>
      <c r="ER113" s="2927"/>
      <c r="ES113" s="2927"/>
      <c r="ET113" s="2927"/>
      <c r="EU113" s="2927"/>
      <c r="EV113" s="2927"/>
      <c r="EW113" s="2927"/>
      <c r="EX113" s="2927"/>
      <c r="EY113" s="2927"/>
      <c r="EZ113" s="2927"/>
      <c r="FA113" s="2927"/>
      <c r="FB113" s="2927"/>
      <c r="FC113" s="2927"/>
      <c r="FD113" s="2927"/>
      <c r="FE113" s="2927"/>
      <c r="FF113" s="2927"/>
      <c r="FG113" s="2927"/>
      <c r="FH113" s="2927"/>
      <c r="FI113" s="2927"/>
      <c r="FJ113" s="2927"/>
      <c r="FK113" s="2927"/>
      <c r="FL113" s="2927"/>
      <c r="FM113" s="2927"/>
      <c r="FN113" s="2927"/>
      <c r="FO113" s="2927"/>
      <c r="FP113" s="2927"/>
      <c r="FQ113" s="2927"/>
      <c r="FR113" s="2927"/>
      <c r="FS113" s="2927"/>
      <c r="FT113" s="2927"/>
      <c r="FU113" s="2927"/>
      <c r="FV113" s="2927"/>
      <c r="FW113" s="2927"/>
      <c r="FX113" s="2927"/>
      <c r="FY113" s="2927"/>
      <c r="FZ113" s="2927"/>
      <c r="GA113" s="2927"/>
      <c r="GB113" s="2927"/>
      <c r="GC113" s="2927"/>
      <c r="GD113" s="2927"/>
      <c r="GE113" s="2927"/>
      <c r="GF113" s="2927"/>
      <c r="GG113" s="2927"/>
      <c r="GH113" s="2927"/>
      <c r="GI113" s="2927"/>
      <c r="GJ113" s="2927"/>
      <c r="GK113" s="2927"/>
      <c r="GL113" s="2927"/>
      <c r="GM113" s="2927"/>
      <c r="GN113" s="2927"/>
      <c r="GO113" s="2927"/>
      <c r="GP113" s="2927"/>
      <c r="GQ113" s="2927"/>
      <c r="GR113" s="2927"/>
      <c r="GS113" s="2927"/>
      <c r="GT113" s="2927"/>
      <c r="GU113" s="2927"/>
      <c r="GV113" s="2927"/>
      <c r="GW113" s="2927"/>
      <c r="GX113" s="2927"/>
      <c r="GY113" s="2927"/>
      <c r="GZ113" s="2927"/>
      <c r="HA113" s="2927"/>
      <c r="HB113" s="2927"/>
      <c r="HC113" s="2927"/>
      <c r="HD113" s="2927"/>
      <c r="HE113" s="2927"/>
      <c r="HF113" s="2927"/>
      <c r="HG113" s="2927"/>
      <c r="HH113" s="2927"/>
      <c r="HI113" s="2927"/>
      <c r="HJ113" s="2927"/>
      <c r="HK113" s="2927"/>
      <c r="HL113" s="2927"/>
      <c r="HM113" s="2927"/>
      <c r="HN113" s="2927"/>
      <c r="HO113" s="2927"/>
      <c r="HP113" s="2927"/>
      <c r="HQ113" s="2927"/>
      <c r="HR113" s="2927"/>
      <c r="HS113" s="2927"/>
      <c r="HT113" s="2927"/>
      <c r="HU113" s="2927"/>
      <c r="HV113" s="2927"/>
      <c r="HW113" s="2927"/>
      <c r="HX113" s="2927"/>
      <c r="HY113" s="2927"/>
      <c r="HZ113" s="2927"/>
      <c r="IA113" s="2927"/>
      <c r="IB113" s="2927"/>
      <c r="IC113" s="2927"/>
      <c r="ID113" s="2927"/>
      <c r="IE113" s="2927"/>
    </row>
    <row r="114" s="2838" customFormat="1" ht="32" customHeight="1" spans="1:239 16384:16384">
      <c r="A114" s="2951">
        <v>45993</v>
      </c>
      <c r="B114" s="2839" t="s">
        <v>9919</v>
      </c>
      <c r="C114" s="2907" t="s">
        <v>2776</v>
      </c>
      <c r="D114" s="2906">
        <v>4500187691</v>
      </c>
      <c r="E114" s="2909" t="s">
        <v>9945</v>
      </c>
      <c r="F114" s="2906" t="s">
        <v>10514</v>
      </c>
      <c r="G114" s="2930" t="s">
        <v>10199</v>
      </c>
      <c r="H114" s="2911" t="s">
        <v>9155</v>
      </c>
      <c r="I114" s="2912">
        <v>1500</v>
      </c>
      <c r="J114" s="2912">
        <v>0</v>
      </c>
      <c r="K114" s="2912">
        <v>4</v>
      </c>
      <c r="L114" s="2912">
        <f t="shared" si="146"/>
        <v>375</v>
      </c>
      <c r="M114" s="2913">
        <v>46132</v>
      </c>
      <c r="N114" s="2971">
        <v>46128</v>
      </c>
      <c r="O114" s="2914"/>
      <c r="P114" s="2914" t="s">
        <v>82</v>
      </c>
      <c r="Q114" s="2914"/>
      <c r="R114" s="2911" t="s">
        <v>9947</v>
      </c>
      <c r="S114" s="2915"/>
      <c r="T114" s="2915" t="s">
        <v>9948</v>
      </c>
      <c r="U114" s="2915"/>
      <c r="V114" s="2915"/>
      <c r="W114" s="2931" t="s">
        <v>10515</v>
      </c>
      <c r="X114" s="2912" t="s">
        <v>1434</v>
      </c>
      <c r="Y114" s="2917">
        <v>6.8678</v>
      </c>
      <c r="Z114" s="2918">
        <f t="shared" si="198"/>
        <v>10301.7</v>
      </c>
      <c r="AA114" s="2912"/>
      <c r="AB114" s="2930" t="s">
        <v>10391</v>
      </c>
      <c r="AC114" s="2912" t="s">
        <v>416</v>
      </c>
      <c r="AD114" s="2919"/>
      <c r="AE114" s="2919"/>
      <c r="AF114" s="2919"/>
      <c r="AG114" s="2919">
        <f t="shared" si="226"/>
        <v>1500</v>
      </c>
      <c r="AH114" s="2919"/>
      <c r="AI114" s="2919"/>
      <c r="AJ114" s="2921"/>
      <c r="AK114" s="2921">
        <f t="shared" si="177"/>
        <v>1500</v>
      </c>
      <c r="AL114" s="2921"/>
      <c r="AM114" s="2922"/>
      <c r="AN114" s="2922"/>
      <c r="AO114" s="2923"/>
      <c r="AP114" s="2921"/>
      <c r="AQ114" s="2921">
        <f t="shared" ref="AQ114:AQ119" si="237">I114/4</f>
        <v>375</v>
      </c>
      <c r="AR114" s="2924"/>
      <c r="AS114" s="2921">
        <f t="shared" ref="AS114:AS119" si="238">I114/4</f>
        <v>375</v>
      </c>
      <c r="AT114" s="2921">
        <f t="shared" ref="AT114:AT119" si="239">I114/4</f>
        <v>375</v>
      </c>
      <c r="AU114" s="2921"/>
      <c r="AV114" s="2921">
        <f t="shared" ref="AV114:AV119" si="240">I114/4</f>
        <v>375</v>
      </c>
      <c r="AW114" s="2923"/>
      <c r="AX114" s="2921"/>
      <c r="AY114" s="2921"/>
      <c r="AZ114" s="2924"/>
      <c r="BA114" s="2923"/>
      <c r="BB114" s="2924"/>
      <c r="BC114" s="2925"/>
      <c r="BD114" s="2921">
        <f t="shared" si="143"/>
        <v>1500</v>
      </c>
      <c r="BE114" s="2921"/>
      <c r="BF114" s="2921">
        <f t="shared" si="215"/>
        <v>1500</v>
      </c>
      <c r="BG114" s="2921" t="s">
        <v>9164</v>
      </c>
      <c r="BH114" s="2921"/>
      <c r="BI114" s="2921">
        <f>I114/4</f>
        <v>375</v>
      </c>
      <c r="BJ114" s="2921">
        <f t="shared" ref="BJ114:BJ119" si="241">I114/4</f>
        <v>375</v>
      </c>
      <c r="BK114" s="2921">
        <f t="shared" ref="BK114:BK119" si="242">I114/4</f>
        <v>375</v>
      </c>
      <c r="BL114" s="2926">
        <f t="shared" ref="BL114:BL119" si="243">I114/4</f>
        <v>375</v>
      </c>
      <c r="BM114" s="2921">
        <f t="shared" ref="BM114:BM119" si="244">I114/4</f>
        <v>375</v>
      </c>
      <c r="BN114" s="2926">
        <f t="shared" ref="BN114:BN119" si="245">I114/4</f>
        <v>375</v>
      </c>
      <c r="BO114" s="2921">
        <f t="shared" ref="BO114:BO119" si="246">I114/4</f>
        <v>375</v>
      </c>
      <c r="BP114" s="2926">
        <f t="shared" ref="BP114:BP119" si="247">I114/4</f>
        <v>375</v>
      </c>
      <c r="BQ114" s="2926">
        <f t="shared" si="169"/>
        <v>239525</v>
      </c>
      <c r="BR114" s="2926"/>
      <c r="BS114" s="2926"/>
      <c r="BT114" s="2926"/>
      <c r="BU114" s="2926"/>
      <c r="BV114" s="2926"/>
      <c r="BW114" s="2926"/>
      <c r="BX114" s="2926"/>
      <c r="BY114" s="2926"/>
      <c r="BZ114" s="2912"/>
      <c r="CA114" s="2927"/>
      <c r="CB114" s="2927"/>
      <c r="CC114" s="2927"/>
      <c r="CD114" s="2927"/>
      <c r="CE114" s="2927"/>
      <c r="CF114" s="2927"/>
      <c r="CG114" s="2927"/>
      <c r="CH114" s="2927"/>
      <c r="CI114" s="2927"/>
      <c r="CJ114" s="2927"/>
      <c r="CK114" s="2927"/>
      <c r="CL114" s="2927"/>
      <c r="CM114" s="2927"/>
      <c r="CN114" s="2927"/>
      <c r="CO114" s="2927"/>
      <c r="CP114" s="2927"/>
      <c r="CQ114" s="2927"/>
      <c r="CR114" s="2927"/>
      <c r="CS114" s="2927"/>
      <c r="CT114" s="2927"/>
      <c r="CU114" s="2927"/>
      <c r="CV114" s="2927"/>
      <c r="CW114" s="2927"/>
      <c r="CX114" s="2927"/>
      <c r="CY114" s="2927"/>
      <c r="CZ114" s="2927"/>
      <c r="DA114" s="2927"/>
      <c r="DB114" s="2927"/>
      <c r="DC114" s="2927"/>
      <c r="DD114" s="2927"/>
      <c r="DE114" s="2927"/>
      <c r="DF114" s="2927"/>
      <c r="DG114" s="2927"/>
      <c r="DH114" s="2927"/>
      <c r="DI114" s="2927"/>
      <c r="DJ114" s="2927"/>
      <c r="DK114" s="2927"/>
      <c r="DL114" s="2927"/>
      <c r="DM114" s="2927"/>
      <c r="DN114" s="2927"/>
      <c r="DO114" s="2927"/>
      <c r="DP114" s="2927"/>
      <c r="DQ114" s="2927"/>
      <c r="DR114" s="2927"/>
      <c r="DS114" s="2927"/>
      <c r="DT114" s="2927"/>
      <c r="DU114" s="2927"/>
      <c r="DV114" s="2927"/>
      <c r="DW114" s="2927"/>
      <c r="DX114" s="2927"/>
      <c r="DY114" s="2927"/>
      <c r="DZ114" s="2927"/>
      <c r="EA114" s="2927"/>
      <c r="EB114" s="2927"/>
      <c r="EC114" s="2927"/>
      <c r="ED114" s="2927"/>
      <c r="EE114" s="2927"/>
      <c r="EF114" s="2927"/>
      <c r="EG114" s="2927"/>
      <c r="EH114" s="2927"/>
      <c r="EI114" s="2927"/>
      <c r="EJ114" s="2927"/>
      <c r="EK114" s="2927"/>
      <c r="EL114" s="2927"/>
      <c r="EM114" s="2927"/>
      <c r="EN114" s="2927"/>
      <c r="EO114" s="2927"/>
      <c r="EP114" s="2927"/>
      <c r="EQ114" s="2927"/>
      <c r="ER114" s="2927"/>
      <c r="ES114" s="2927"/>
      <c r="ET114" s="2927"/>
      <c r="EU114" s="2927"/>
      <c r="EV114" s="2927"/>
      <c r="EW114" s="2927"/>
      <c r="EX114" s="2927"/>
      <c r="EY114" s="2927"/>
      <c r="EZ114" s="2927"/>
      <c r="FA114" s="2927"/>
      <c r="FB114" s="2927"/>
      <c r="FC114" s="2927"/>
      <c r="FD114" s="2927"/>
      <c r="FE114" s="2927"/>
      <c r="FF114" s="2927"/>
      <c r="FG114" s="2927"/>
      <c r="FH114" s="2927"/>
      <c r="FI114" s="2927"/>
      <c r="FJ114" s="2927"/>
      <c r="FK114" s="2927"/>
      <c r="FL114" s="2927"/>
      <c r="FM114" s="2927"/>
      <c r="FN114" s="2927"/>
      <c r="FO114" s="2927"/>
      <c r="FP114" s="2927"/>
      <c r="FQ114" s="2927"/>
      <c r="FR114" s="2927"/>
      <c r="FS114" s="2927"/>
      <c r="FT114" s="2927"/>
      <c r="FU114" s="2927"/>
      <c r="FV114" s="2927"/>
      <c r="FW114" s="2927"/>
      <c r="FX114" s="2927"/>
      <c r="FY114" s="2927"/>
      <c r="FZ114" s="2927"/>
      <c r="GA114" s="2927"/>
      <c r="GB114" s="2927"/>
      <c r="GC114" s="2927"/>
      <c r="GD114" s="2927"/>
      <c r="GE114" s="2927"/>
      <c r="GF114" s="2927"/>
      <c r="GG114" s="2927"/>
      <c r="GH114" s="2927"/>
      <c r="GI114" s="2927"/>
      <c r="GJ114" s="2927"/>
      <c r="GK114" s="2927"/>
      <c r="GL114" s="2927"/>
      <c r="GM114" s="2927"/>
      <c r="GN114" s="2927"/>
      <c r="GO114" s="2927"/>
      <c r="GP114" s="2927"/>
      <c r="GQ114" s="2927"/>
      <c r="GR114" s="2927"/>
      <c r="GS114" s="2927"/>
      <c r="GT114" s="2927"/>
      <c r="GU114" s="2927"/>
      <c r="GV114" s="2927"/>
      <c r="GW114" s="2927"/>
      <c r="GX114" s="2927"/>
      <c r="GY114" s="2927"/>
      <c r="GZ114" s="2927"/>
      <c r="HA114" s="2927"/>
      <c r="HB114" s="2927"/>
      <c r="HC114" s="2927"/>
      <c r="HD114" s="2927"/>
      <c r="HE114" s="2927"/>
      <c r="HF114" s="2927"/>
      <c r="HG114" s="2927"/>
      <c r="HH114" s="2927"/>
      <c r="HI114" s="2927"/>
      <c r="HJ114" s="2927"/>
      <c r="HK114" s="2927"/>
      <c r="HL114" s="2927"/>
      <c r="HM114" s="2927"/>
      <c r="HN114" s="2927"/>
      <c r="HO114" s="2927"/>
      <c r="HP114" s="2927"/>
      <c r="HQ114" s="2927"/>
      <c r="HR114" s="2927"/>
      <c r="HS114" s="2927"/>
      <c r="HT114" s="2927"/>
      <c r="HU114" s="2927"/>
      <c r="HV114" s="2927"/>
      <c r="HW114" s="2927"/>
      <c r="HX114" s="2927"/>
      <c r="HY114" s="2927"/>
      <c r="HZ114" s="2927"/>
      <c r="IA114" s="2927"/>
      <c r="IB114" s="2927"/>
      <c r="IC114" s="2927"/>
      <c r="ID114" s="2927"/>
      <c r="IE114" s="2927"/>
    </row>
    <row r="115" s="2838" customFormat="1" ht="32" customHeight="1" spans="1:239 16384:16384">
      <c r="A115" s="2905">
        <v>46091</v>
      </c>
      <c r="B115" s="2906" t="s">
        <v>10498</v>
      </c>
      <c r="C115" s="2907" t="s">
        <v>78</v>
      </c>
      <c r="D115" s="2908">
        <v>4500196024</v>
      </c>
      <c r="E115" s="2909" t="s">
        <v>10499</v>
      </c>
      <c r="F115" s="2908" t="s">
        <v>10516</v>
      </c>
      <c r="G115" s="2930" t="s">
        <v>10199</v>
      </c>
      <c r="H115" s="2911" t="s">
        <v>9155</v>
      </c>
      <c r="I115" s="2912">
        <v>1600</v>
      </c>
      <c r="J115" s="2912">
        <v>0</v>
      </c>
      <c r="K115" s="2912">
        <v>4</v>
      </c>
      <c r="L115" s="2912">
        <f t="shared" si="146"/>
        <v>400</v>
      </c>
      <c r="M115" s="2913">
        <v>46139</v>
      </c>
      <c r="N115" s="2971">
        <v>46135</v>
      </c>
      <c r="O115" s="2914"/>
      <c r="P115" s="2914" t="s">
        <v>82</v>
      </c>
      <c r="Q115" s="2914" t="s">
        <v>1050</v>
      </c>
      <c r="R115" s="2911" t="s">
        <v>8123</v>
      </c>
      <c r="S115" s="2915"/>
      <c r="T115" s="2915" t="s">
        <v>10501</v>
      </c>
      <c r="U115" s="2915"/>
      <c r="V115" s="2915"/>
      <c r="W115" s="2931" t="s">
        <v>10517</v>
      </c>
      <c r="X115" s="2912" t="s">
        <v>1771</v>
      </c>
      <c r="Y115" s="2917">
        <v>7.1848</v>
      </c>
      <c r="Z115" s="2918">
        <f t="shared" si="198"/>
        <v>11495.68</v>
      </c>
      <c r="AA115" s="2912"/>
      <c r="AB115" s="2930" t="s">
        <v>10507</v>
      </c>
      <c r="AC115" s="2912" t="s">
        <v>416</v>
      </c>
      <c r="AD115" s="2919"/>
      <c r="AE115" s="2919"/>
      <c r="AF115" s="2919"/>
      <c r="AG115" s="2919">
        <f t="shared" si="226"/>
        <v>1600</v>
      </c>
      <c r="AH115" s="2919"/>
      <c r="AI115" s="2919"/>
      <c r="AJ115" s="2921"/>
      <c r="AK115" s="2921">
        <f t="shared" si="177"/>
        <v>1600</v>
      </c>
      <c r="AL115" s="2921"/>
      <c r="AM115" s="2922"/>
      <c r="AN115" s="2922"/>
      <c r="AO115" s="2923"/>
      <c r="AP115" s="2921"/>
      <c r="AQ115" s="2921">
        <f>I115/3</f>
        <v>533.333333333333</v>
      </c>
      <c r="AR115" s="2924"/>
      <c r="AS115" s="2925">
        <f>I115/3</f>
        <v>533.333333333333</v>
      </c>
      <c r="AT115" s="2921">
        <f>I115/3</f>
        <v>533.333333333333</v>
      </c>
      <c r="AU115" s="2921"/>
      <c r="AV115" s="2922"/>
      <c r="AW115" s="2923"/>
      <c r="AX115" s="2921"/>
      <c r="AY115" s="2921"/>
      <c r="AZ115" s="2924"/>
      <c r="BA115" s="2923"/>
      <c r="BB115" s="2924"/>
      <c r="BC115" s="2925"/>
      <c r="BD115" s="2921">
        <f t="shared" si="143"/>
        <v>1600</v>
      </c>
      <c r="BE115" s="2921"/>
      <c r="BF115" s="2921">
        <f t="shared" si="215"/>
        <v>1600</v>
      </c>
      <c r="BG115" s="2921" t="s">
        <v>9164</v>
      </c>
      <c r="BH115" s="2921"/>
      <c r="BI115" s="2921">
        <f>I115/3</f>
        <v>533.333333333333</v>
      </c>
      <c r="BJ115" s="2921">
        <f>I115/3</f>
        <v>533.333333333333</v>
      </c>
      <c r="BK115" s="2921">
        <f>I115/3</f>
        <v>533.333333333333</v>
      </c>
      <c r="BL115" s="2926">
        <f>I115/3</f>
        <v>533.333333333333</v>
      </c>
      <c r="BM115" s="2921">
        <f>I115/3</f>
        <v>533.333333333333</v>
      </c>
      <c r="BN115" s="2926">
        <f>I115/3</f>
        <v>533.333333333333</v>
      </c>
      <c r="BO115" s="2926"/>
      <c r="BP115" s="2921"/>
      <c r="BQ115" s="2926">
        <f t="shared" si="169"/>
        <v>239625</v>
      </c>
      <c r="BR115" s="2926"/>
      <c r="BS115" s="2926"/>
      <c r="BT115" s="2926"/>
      <c r="BU115" s="2926"/>
      <c r="BV115" s="2926"/>
      <c r="BW115" s="2926"/>
      <c r="BX115" s="2926"/>
      <c r="BY115" s="2926"/>
      <c r="BZ115" s="2912"/>
      <c r="CA115" s="2927"/>
      <c r="CB115" s="2927"/>
      <c r="CC115" s="2927"/>
      <c r="CD115" s="2927"/>
      <c r="CE115" s="2927"/>
      <c r="CF115" s="2927"/>
      <c r="CG115" s="2927"/>
      <c r="CH115" s="2927"/>
      <c r="CI115" s="2927"/>
      <c r="CJ115" s="2927"/>
      <c r="CK115" s="2927"/>
      <c r="CL115" s="2927"/>
      <c r="CM115" s="2927"/>
      <c r="CN115" s="2927"/>
      <c r="CO115" s="2927"/>
      <c r="CP115" s="2927"/>
      <c r="CQ115" s="2927"/>
      <c r="CR115" s="2927"/>
      <c r="CS115" s="2927"/>
      <c r="CT115" s="2927"/>
      <c r="CU115" s="2927"/>
      <c r="CV115" s="2927"/>
      <c r="CW115" s="2927"/>
      <c r="CX115" s="2927"/>
      <c r="CY115" s="2927"/>
      <c r="CZ115" s="2927"/>
      <c r="DA115" s="2927"/>
      <c r="DB115" s="2927"/>
      <c r="DC115" s="2927"/>
      <c r="DD115" s="2927"/>
      <c r="DE115" s="2927"/>
      <c r="DF115" s="2927"/>
      <c r="DG115" s="2927"/>
      <c r="DH115" s="2927"/>
      <c r="DI115" s="2927"/>
      <c r="DJ115" s="2927"/>
      <c r="DK115" s="2927"/>
      <c r="DL115" s="2927"/>
      <c r="DM115" s="2927"/>
      <c r="DN115" s="2927"/>
      <c r="DO115" s="2927"/>
      <c r="DP115" s="2927"/>
      <c r="DQ115" s="2927"/>
      <c r="DR115" s="2927"/>
      <c r="DS115" s="2927"/>
      <c r="DT115" s="2927"/>
      <c r="DU115" s="2927"/>
      <c r="DV115" s="2927"/>
      <c r="DW115" s="2927"/>
      <c r="DX115" s="2927"/>
      <c r="DY115" s="2927"/>
      <c r="DZ115" s="2927"/>
      <c r="EA115" s="2927"/>
      <c r="EB115" s="2927"/>
      <c r="EC115" s="2927"/>
      <c r="ED115" s="2927"/>
      <c r="EE115" s="2927"/>
      <c r="EF115" s="2927"/>
      <c r="EG115" s="2927"/>
      <c r="EH115" s="2927"/>
      <c r="EI115" s="2927"/>
      <c r="EJ115" s="2927"/>
      <c r="EK115" s="2927"/>
      <c r="EL115" s="2927"/>
      <c r="EM115" s="2927"/>
      <c r="EN115" s="2927"/>
      <c r="EO115" s="2927"/>
      <c r="EP115" s="2927"/>
      <c r="EQ115" s="2927"/>
      <c r="ER115" s="2927"/>
      <c r="ES115" s="2927"/>
      <c r="ET115" s="2927"/>
      <c r="EU115" s="2927"/>
      <c r="EV115" s="2927"/>
      <c r="EW115" s="2927"/>
      <c r="EX115" s="2927"/>
      <c r="EY115" s="2927"/>
      <c r="EZ115" s="2927"/>
      <c r="FA115" s="2927"/>
      <c r="FB115" s="2927"/>
      <c r="FC115" s="2927"/>
      <c r="FD115" s="2927"/>
      <c r="FE115" s="2927"/>
      <c r="FF115" s="2927"/>
      <c r="FG115" s="2927"/>
      <c r="FH115" s="2927"/>
      <c r="FI115" s="2927"/>
      <c r="FJ115" s="2927"/>
      <c r="FK115" s="2927"/>
      <c r="FL115" s="2927"/>
      <c r="FM115" s="2927"/>
      <c r="FN115" s="2927"/>
      <c r="FO115" s="2927"/>
      <c r="FP115" s="2927"/>
      <c r="FQ115" s="2927"/>
      <c r="FR115" s="2927"/>
      <c r="FS115" s="2927"/>
      <c r="FT115" s="2927"/>
      <c r="FU115" s="2927"/>
      <c r="FV115" s="2927"/>
      <c r="FW115" s="2927"/>
      <c r="FX115" s="2927"/>
      <c r="FY115" s="2927"/>
      <c r="FZ115" s="2927"/>
      <c r="GA115" s="2927"/>
      <c r="GB115" s="2927"/>
      <c r="GC115" s="2927"/>
      <c r="GD115" s="2927"/>
      <c r="GE115" s="2927"/>
      <c r="GF115" s="2927"/>
      <c r="GG115" s="2927"/>
      <c r="GH115" s="2927"/>
      <c r="GI115" s="2927"/>
      <c r="GJ115" s="2927"/>
      <c r="GK115" s="2927"/>
      <c r="GL115" s="2927"/>
      <c r="GM115" s="2927"/>
      <c r="GN115" s="2927"/>
      <c r="GO115" s="2927"/>
      <c r="GP115" s="2927"/>
      <c r="GQ115" s="2927"/>
      <c r="GR115" s="2927"/>
      <c r="GS115" s="2927"/>
      <c r="GT115" s="2927"/>
      <c r="GU115" s="2927"/>
      <c r="GV115" s="2927"/>
      <c r="GW115" s="2927"/>
      <c r="GX115" s="2927"/>
      <c r="GY115" s="2927"/>
      <c r="GZ115" s="2927"/>
      <c r="HA115" s="2927"/>
      <c r="HB115" s="2927"/>
      <c r="HC115" s="2927"/>
      <c r="HD115" s="2927"/>
      <c r="HE115" s="2927"/>
      <c r="HF115" s="2927"/>
      <c r="HG115" s="2927"/>
      <c r="HH115" s="2927"/>
      <c r="HI115" s="2927"/>
      <c r="HJ115" s="2927"/>
      <c r="HK115" s="2927"/>
      <c r="HL115" s="2927"/>
      <c r="HM115" s="2927"/>
      <c r="HN115" s="2927"/>
      <c r="HO115" s="2927"/>
      <c r="HP115" s="2927"/>
      <c r="HQ115" s="2927"/>
      <c r="HR115" s="2927"/>
      <c r="HS115" s="2927"/>
      <c r="HT115" s="2927"/>
      <c r="HU115" s="2927"/>
      <c r="HV115" s="2927"/>
      <c r="HW115" s="2927"/>
      <c r="HX115" s="2927"/>
      <c r="HY115" s="2927"/>
      <c r="HZ115" s="2927"/>
      <c r="IA115" s="2927"/>
      <c r="IB115" s="2927"/>
      <c r="IC115" s="2927"/>
      <c r="ID115" s="2927"/>
      <c r="IE115" s="2927"/>
    </row>
    <row r="116" s="2838" customFormat="1" ht="32" customHeight="1" spans="1:239 16384:16384">
      <c r="A116" s="2951">
        <v>46085</v>
      </c>
      <c r="B116" s="2839" t="s">
        <v>9451</v>
      </c>
      <c r="C116" s="2907" t="s">
        <v>2776</v>
      </c>
      <c r="D116" s="2906">
        <v>4500194849</v>
      </c>
      <c r="E116" s="2909" t="s">
        <v>9968</v>
      </c>
      <c r="F116" s="2906" t="s">
        <v>10518</v>
      </c>
      <c r="G116" s="2930" t="s">
        <v>10307</v>
      </c>
      <c r="H116" s="2911" t="s">
        <v>9454</v>
      </c>
      <c r="I116" s="2912">
        <v>360</v>
      </c>
      <c r="J116" s="2912">
        <v>0</v>
      </c>
      <c r="K116" s="2912">
        <v>24</v>
      </c>
      <c r="L116" s="2912">
        <f t="shared" si="146"/>
        <v>15</v>
      </c>
      <c r="M116" s="2913">
        <v>46142</v>
      </c>
      <c r="N116" s="2971">
        <v>46139</v>
      </c>
      <c r="O116" s="2914" t="s">
        <v>6694</v>
      </c>
      <c r="P116" s="2914" t="s">
        <v>82</v>
      </c>
      <c r="Q116" s="2959" t="s">
        <v>1146</v>
      </c>
      <c r="R116" s="2911" t="s">
        <v>1012</v>
      </c>
      <c r="S116" s="2915"/>
      <c r="T116" s="2915" t="s">
        <v>10519</v>
      </c>
      <c r="U116" s="2915"/>
      <c r="V116" s="2915"/>
      <c r="W116" s="2929" t="s">
        <v>9972</v>
      </c>
      <c r="X116" s="2912" t="s">
        <v>1434</v>
      </c>
      <c r="Y116" s="2917">
        <v>208.3836</v>
      </c>
      <c r="Z116" s="2918">
        <f>Y116*L116</f>
        <v>3125.754</v>
      </c>
      <c r="AA116" s="2912"/>
      <c r="AB116" s="2930" t="s">
        <v>10520</v>
      </c>
      <c r="AC116" s="2912" t="s">
        <v>416</v>
      </c>
      <c r="AD116" s="2919"/>
      <c r="AE116" s="2919"/>
      <c r="AF116" s="2919"/>
      <c r="AG116" s="2919">
        <f t="shared" si="226"/>
        <v>360</v>
      </c>
      <c r="AH116" s="2919"/>
      <c r="AI116" s="2919"/>
      <c r="AJ116" s="2921"/>
      <c r="AK116" s="2921">
        <f t="shared" si="177"/>
        <v>360</v>
      </c>
      <c r="AL116" s="2921"/>
      <c r="AM116" s="2922"/>
      <c r="AN116" s="2922"/>
      <c r="AO116" s="2923"/>
      <c r="AP116" s="2921"/>
      <c r="AQ116" s="2921">
        <f t="shared" si="237"/>
        <v>90</v>
      </c>
      <c r="AR116" s="2924"/>
      <c r="AS116" s="2925">
        <f t="shared" si="238"/>
        <v>90</v>
      </c>
      <c r="AT116" s="2921">
        <f t="shared" si="239"/>
        <v>90</v>
      </c>
      <c r="AU116" s="2921"/>
      <c r="AV116" s="2922">
        <f t="shared" si="240"/>
        <v>90</v>
      </c>
      <c r="AW116" s="2923"/>
      <c r="AX116" s="2921"/>
      <c r="AY116" s="2921"/>
      <c r="AZ116" s="2924"/>
      <c r="BA116" s="2923">
        <f>L116</f>
        <v>15</v>
      </c>
      <c r="BB116" s="2924"/>
      <c r="BC116" s="2925"/>
      <c r="BD116" s="2921">
        <f t="shared" si="143"/>
        <v>360</v>
      </c>
      <c r="BE116" s="2921"/>
      <c r="BF116" s="2921">
        <f t="shared" si="215"/>
        <v>360</v>
      </c>
      <c r="BG116" s="2921" t="s">
        <v>9164</v>
      </c>
      <c r="BH116" s="2921"/>
      <c r="BI116" s="2921">
        <f>I116/4</f>
        <v>90</v>
      </c>
      <c r="BJ116" s="2921">
        <f t="shared" ref="BJ116:BP116" si="248">BI116</f>
        <v>90</v>
      </c>
      <c r="BK116" s="2921">
        <f t="shared" si="248"/>
        <v>90</v>
      </c>
      <c r="BL116" s="2921">
        <f t="shared" si="248"/>
        <v>90</v>
      </c>
      <c r="BM116" s="2926">
        <f t="shared" si="248"/>
        <v>90</v>
      </c>
      <c r="BN116" s="2921">
        <f t="shared" si="248"/>
        <v>90</v>
      </c>
      <c r="BO116" s="2926">
        <f t="shared" si="248"/>
        <v>90</v>
      </c>
      <c r="BP116" s="2921">
        <f t="shared" si="248"/>
        <v>90</v>
      </c>
      <c r="BQ116" s="2926">
        <f t="shared" si="169"/>
        <v>238385</v>
      </c>
      <c r="BR116" s="2926"/>
      <c r="BS116" s="2926"/>
      <c r="BT116" s="2926"/>
      <c r="BU116" s="2926"/>
      <c r="BV116" s="2926"/>
      <c r="BW116" s="2926"/>
      <c r="BX116" s="2926"/>
      <c r="BY116" s="2926"/>
      <c r="BZ116" s="2912"/>
      <c r="CA116" s="2927"/>
      <c r="CB116" s="2927"/>
      <c r="CC116" s="2927"/>
      <c r="CD116" s="2927"/>
      <c r="CE116" s="2927"/>
      <c r="CF116" s="2927"/>
      <c r="CG116" s="2927"/>
      <c r="CH116" s="2927"/>
      <c r="CI116" s="2927"/>
      <c r="CJ116" s="2927"/>
      <c r="CK116" s="2927"/>
      <c r="CL116" s="2927"/>
      <c r="CM116" s="2927"/>
      <c r="CN116" s="2927"/>
      <c r="CO116" s="2927"/>
      <c r="CP116" s="2927"/>
      <c r="CQ116" s="2927"/>
      <c r="CR116" s="2927"/>
      <c r="CS116" s="2927"/>
      <c r="CT116" s="2927"/>
      <c r="CU116" s="2927"/>
      <c r="CV116" s="2927"/>
      <c r="CW116" s="2927"/>
      <c r="CX116" s="2927"/>
      <c r="CY116" s="2927"/>
      <c r="CZ116" s="2927"/>
      <c r="DA116" s="2927"/>
      <c r="DB116" s="2927"/>
      <c r="DC116" s="2927"/>
      <c r="DD116" s="2927"/>
      <c r="DE116" s="2927"/>
      <c r="DF116" s="2927"/>
      <c r="DG116" s="2927"/>
      <c r="DH116" s="2927"/>
      <c r="DI116" s="2927"/>
      <c r="DJ116" s="2927"/>
      <c r="DK116" s="2927"/>
      <c r="DL116" s="2927"/>
      <c r="DM116" s="2927"/>
      <c r="DN116" s="2927"/>
      <c r="DO116" s="2927"/>
      <c r="DP116" s="2927"/>
      <c r="DQ116" s="2927"/>
      <c r="DR116" s="2927"/>
      <c r="DS116" s="2927"/>
      <c r="DT116" s="2927"/>
      <c r="DU116" s="2927"/>
      <c r="DV116" s="2927"/>
      <c r="DW116" s="2927"/>
      <c r="DX116" s="2927"/>
      <c r="DY116" s="2927"/>
      <c r="DZ116" s="2927"/>
      <c r="EA116" s="2927"/>
      <c r="EB116" s="2927"/>
      <c r="EC116" s="2927"/>
      <c r="ED116" s="2927"/>
      <c r="EE116" s="2927"/>
      <c r="EF116" s="2927"/>
      <c r="EG116" s="2927"/>
      <c r="EH116" s="2927"/>
      <c r="EI116" s="2927"/>
      <c r="EJ116" s="2927"/>
      <c r="EK116" s="2927"/>
      <c r="EL116" s="2927"/>
      <c r="EM116" s="2927"/>
      <c r="EN116" s="2927"/>
      <c r="EO116" s="2927"/>
      <c r="EP116" s="2927"/>
      <c r="EQ116" s="2927"/>
      <c r="ER116" s="2927"/>
      <c r="ES116" s="2927"/>
      <c r="ET116" s="2927"/>
      <c r="EU116" s="2927"/>
      <c r="EV116" s="2927"/>
      <c r="EW116" s="2927"/>
      <c r="EX116" s="2927"/>
      <c r="EY116" s="2927"/>
      <c r="EZ116" s="2927"/>
      <c r="FA116" s="2927"/>
      <c r="FB116" s="2927"/>
      <c r="FC116" s="2927"/>
      <c r="FD116" s="2927"/>
      <c r="FE116" s="2927"/>
      <c r="FF116" s="2927"/>
      <c r="FG116" s="2927"/>
      <c r="FH116" s="2927"/>
      <c r="FI116" s="2927"/>
      <c r="FJ116" s="2927"/>
      <c r="FK116" s="2927"/>
      <c r="FL116" s="2927"/>
      <c r="FM116" s="2927"/>
      <c r="FN116" s="2927"/>
      <c r="FO116" s="2927"/>
      <c r="FP116" s="2927"/>
      <c r="FQ116" s="2927"/>
      <c r="FR116" s="2927"/>
      <c r="FS116" s="2927"/>
      <c r="FT116" s="2927"/>
      <c r="FU116" s="2927"/>
      <c r="FV116" s="2927"/>
      <c r="FW116" s="2927"/>
      <c r="FX116" s="2927"/>
      <c r="FY116" s="2927"/>
      <c r="FZ116" s="2927"/>
      <c r="GA116" s="2927"/>
      <c r="GB116" s="2927"/>
      <c r="GC116" s="2927"/>
      <c r="GD116" s="2927"/>
      <c r="GE116" s="2927"/>
      <c r="GF116" s="2927"/>
      <c r="GG116" s="2927"/>
      <c r="GH116" s="2927"/>
      <c r="GI116" s="2927"/>
      <c r="GJ116" s="2927"/>
      <c r="GK116" s="2927"/>
      <c r="GL116" s="2927"/>
      <c r="GM116" s="2927"/>
      <c r="GN116" s="2927"/>
      <c r="GO116" s="2927"/>
      <c r="GP116" s="2927"/>
      <c r="GQ116" s="2927"/>
      <c r="GR116" s="2927"/>
      <c r="GS116" s="2927"/>
      <c r="GT116" s="2927"/>
      <c r="GU116" s="2927"/>
      <c r="GV116" s="2927"/>
      <c r="GW116" s="2927"/>
      <c r="GX116" s="2927"/>
      <c r="GY116" s="2927"/>
      <c r="GZ116" s="2927"/>
      <c r="HA116" s="2927"/>
      <c r="HB116" s="2927"/>
      <c r="HC116" s="2927"/>
      <c r="HD116" s="2927"/>
      <c r="HE116" s="2927"/>
      <c r="HF116" s="2927"/>
      <c r="HG116" s="2927"/>
      <c r="HH116" s="2927"/>
      <c r="HI116" s="2927"/>
      <c r="HJ116" s="2927"/>
      <c r="HK116" s="2927"/>
      <c r="HL116" s="2927"/>
      <c r="HM116" s="2927"/>
      <c r="HN116" s="2927"/>
      <c r="HO116" s="2927"/>
      <c r="HP116" s="2927"/>
      <c r="HQ116" s="2927"/>
      <c r="HR116" s="2927"/>
      <c r="HS116" s="2927"/>
      <c r="HT116" s="2927"/>
      <c r="HU116" s="2927"/>
      <c r="HV116" s="2927"/>
      <c r="HW116" s="2927"/>
      <c r="HX116" s="2927"/>
      <c r="HY116" s="2927"/>
      <c r="HZ116" s="2927"/>
      <c r="IA116" s="2927"/>
      <c r="IB116" s="2927"/>
      <c r="IC116" s="2927"/>
      <c r="ID116" s="2927"/>
      <c r="IE116" s="2927"/>
    </row>
    <row r="117" s="2838" customFormat="1" ht="32" customHeight="1" spans="1:239 16384:16384">
      <c r="A117" s="2905">
        <v>46091</v>
      </c>
      <c r="B117" s="2906" t="s">
        <v>10498</v>
      </c>
      <c r="C117" s="2907" t="s">
        <v>78</v>
      </c>
      <c r="D117" s="2908">
        <v>4500196032</v>
      </c>
      <c r="E117" s="2909" t="s">
        <v>10521</v>
      </c>
      <c r="F117" s="2908" t="s">
        <v>10522</v>
      </c>
      <c r="G117" s="2930" t="s">
        <v>10199</v>
      </c>
      <c r="H117" s="2911" t="s">
        <v>9155</v>
      </c>
      <c r="I117" s="2912">
        <v>23664</v>
      </c>
      <c r="J117" s="2912">
        <v>0</v>
      </c>
      <c r="K117" s="2912">
        <v>4</v>
      </c>
      <c r="L117" s="2912">
        <f t="shared" si="146"/>
        <v>5916</v>
      </c>
      <c r="M117" s="2913">
        <v>46157</v>
      </c>
      <c r="N117" s="2971">
        <v>46153</v>
      </c>
      <c r="O117" s="2914"/>
      <c r="P117" s="2914" t="s">
        <v>82</v>
      </c>
      <c r="Q117" s="2914" t="s">
        <v>1162</v>
      </c>
      <c r="R117" s="2911" t="s">
        <v>8123</v>
      </c>
      <c r="S117" s="2915"/>
      <c r="T117" s="2915" t="s">
        <v>10501</v>
      </c>
      <c r="U117" s="2915"/>
      <c r="V117" s="2915"/>
      <c r="W117" s="2931" t="s">
        <v>10517</v>
      </c>
      <c r="X117" s="2912" t="s">
        <v>1771</v>
      </c>
      <c r="Y117" s="2917">
        <v>7.0902</v>
      </c>
      <c r="Z117" s="2918">
        <f t="shared" ref="Z117:Z120" si="249">Y117*I117</f>
        <v>167782.4928</v>
      </c>
      <c r="AA117" s="2912"/>
      <c r="AB117" s="2930" t="s">
        <v>10507</v>
      </c>
      <c r="AC117" s="2912" t="s">
        <v>416</v>
      </c>
      <c r="AD117" s="2919"/>
      <c r="AE117" s="2919"/>
      <c r="AF117" s="2919"/>
      <c r="AG117" s="2919">
        <f t="shared" si="226"/>
        <v>23664</v>
      </c>
      <c r="AH117" s="2919"/>
      <c r="AI117" s="2919"/>
      <c r="AJ117" s="2921"/>
      <c r="AK117" s="2921">
        <f t="shared" si="177"/>
        <v>23664</v>
      </c>
      <c r="AL117" s="2921"/>
      <c r="AM117" s="2922"/>
      <c r="AN117" s="2922"/>
      <c r="AO117" s="2923"/>
      <c r="AP117" s="2921"/>
      <c r="AQ117" s="2921">
        <f>5093</f>
        <v>5093</v>
      </c>
      <c r="AR117" s="2924"/>
      <c r="AS117" s="2925">
        <f>9286</f>
        <v>9286</v>
      </c>
      <c r="AT117" s="2921">
        <f>9285</f>
        <v>9285</v>
      </c>
      <c r="AU117" s="2921"/>
      <c r="AV117" s="2922"/>
      <c r="AW117" s="2923"/>
      <c r="AX117" s="2921"/>
      <c r="AY117" s="2921"/>
      <c r="AZ117" s="2924"/>
      <c r="BA117" s="2923"/>
      <c r="BB117" s="2924"/>
      <c r="BC117" s="2925"/>
      <c r="BD117" s="2921">
        <f t="shared" si="143"/>
        <v>23664</v>
      </c>
      <c r="BE117" s="2921"/>
      <c r="BF117" s="2921">
        <f t="shared" si="215"/>
        <v>23664</v>
      </c>
      <c r="BG117" s="2921" t="s">
        <v>9164</v>
      </c>
      <c r="BH117" s="2921"/>
      <c r="BI117" s="2921">
        <v>9286</v>
      </c>
      <c r="BJ117" s="2921">
        <v>9286</v>
      </c>
      <c r="BK117" s="2921">
        <v>9285</v>
      </c>
      <c r="BL117" s="2921">
        <v>9285</v>
      </c>
      <c r="BM117" s="2921">
        <v>5093</v>
      </c>
      <c r="BN117" s="2921">
        <v>5093</v>
      </c>
      <c r="BO117" s="2926"/>
      <c r="BP117" s="2921"/>
      <c r="BQ117" s="2926">
        <f t="shared" si="169"/>
        <v>261689</v>
      </c>
      <c r="BR117" s="2926"/>
      <c r="BS117" s="2926"/>
      <c r="BT117" s="2926"/>
      <c r="BU117" s="2926"/>
      <c r="BV117" s="2926"/>
      <c r="BW117" s="2926"/>
      <c r="BX117" s="2926"/>
      <c r="BY117" s="2926"/>
      <c r="BZ117" s="2912"/>
      <c r="CA117" s="2927"/>
      <c r="CB117" s="2927"/>
      <c r="CC117" s="2927"/>
      <c r="CD117" s="2927"/>
      <c r="CE117" s="2927"/>
      <c r="CF117" s="2927"/>
      <c r="CG117" s="2927"/>
      <c r="CH117" s="2927"/>
      <c r="CI117" s="2927"/>
      <c r="CJ117" s="2927"/>
      <c r="CK117" s="2927"/>
      <c r="CL117" s="2927"/>
      <c r="CM117" s="2927"/>
      <c r="CN117" s="2927"/>
      <c r="CO117" s="2927"/>
      <c r="CP117" s="2927"/>
      <c r="CQ117" s="2927"/>
      <c r="CR117" s="2927"/>
      <c r="CS117" s="2927"/>
      <c r="CT117" s="2927"/>
      <c r="CU117" s="2927"/>
      <c r="CV117" s="2927"/>
      <c r="CW117" s="2927"/>
      <c r="CX117" s="2927"/>
      <c r="CY117" s="2927"/>
      <c r="CZ117" s="2927"/>
      <c r="DA117" s="2927"/>
      <c r="DB117" s="2927"/>
      <c r="DC117" s="2927"/>
      <c r="DD117" s="2927"/>
      <c r="DE117" s="2927"/>
      <c r="DF117" s="2927"/>
      <c r="DG117" s="2927"/>
      <c r="DH117" s="2927"/>
      <c r="DI117" s="2927"/>
      <c r="DJ117" s="2927"/>
      <c r="DK117" s="2927"/>
      <c r="DL117" s="2927"/>
      <c r="DM117" s="2927"/>
      <c r="DN117" s="2927"/>
      <c r="DO117" s="2927"/>
      <c r="DP117" s="2927"/>
      <c r="DQ117" s="2927"/>
      <c r="DR117" s="2927"/>
      <c r="DS117" s="2927"/>
      <c r="DT117" s="2927"/>
      <c r="DU117" s="2927"/>
      <c r="DV117" s="2927"/>
      <c r="DW117" s="2927"/>
      <c r="DX117" s="2927"/>
      <c r="DY117" s="2927"/>
      <c r="DZ117" s="2927"/>
      <c r="EA117" s="2927"/>
      <c r="EB117" s="2927"/>
      <c r="EC117" s="2927"/>
      <c r="ED117" s="2927"/>
      <c r="EE117" s="2927"/>
      <c r="EF117" s="2927"/>
      <c r="EG117" s="2927"/>
      <c r="EH117" s="2927"/>
      <c r="EI117" s="2927"/>
      <c r="EJ117" s="2927"/>
      <c r="EK117" s="2927"/>
      <c r="EL117" s="2927"/>
      <c r="EM117" s="2927"/>
      <c r="EN117" s="2927"/>
      <c r="EO117" s="2927"/>
      <c r="EP117" s="2927"/>
      <c r="EQ117" s="2927"/>
      <c r="ER117" s="2927"/>
      <c r="ES117" s="2927"/>
      <c r="ET117" s="2927"/>
      <c r="EU117" s="2927"/>
      <c r="EV117" s="2927"/>
      <c r="EW117" s="2927"/>
      <c r="EX117" s="2927"/>
      <c r="EY117" s="2927"/>
      <c r="EZ117" s="2927"/>
      <c r="FA117" s="2927"/>
      <c r="FB117" s="2927"/>
      <c r="FC117" s="2927"/>
      <c r="FD117" s="2927"/>
      <c r="FE117" s="2927"/>
      <c r="FF117" s="2927"/>
      <c r="FG117" s="2927"/>
      <c r="FH117" s="2927"/>
      <c r="FI117" s="2927"/>
      <c r="FJ117" s="2927"/>
      <c r="FK117" s="2927"/>
      <c r="FL117" s="2927"/>
      <c r="FM117" s="2927"/>
      <c r="FN117" s="2927"/>
      <c r="FO117" s="2927"/>
      <c r="FP117" s="2927"/>
      <c r="FQ117" s="2927"/>
      <c r="FR117" s="2927"/>
      <c r="FS117" s="2927"/>
      <c r="FT117" s="2927"/>
      <c r="FU117" s="2927"/>
      <c r="FV117" s="2927"/>
      <c r="FW117" s="2927"/>
      <c r="FX117" s="2927"/>
      <c r="FY117" s="2927"/>
      <c r="FZ117" s="2927"/>
      <c r="GA117" s="2927"/>
      <c r="GB117" s="2927"/>
      <c r="GC117" s="2927"/>
      <c r="GD117" s="2927"/>
      <c r="GE117" s="2927"/>
      <c r="GF117" s="2927"/>
      <c r="GG117" s="2927"/>
      <c r="GH117" s="2927"/>
      <c r="GI117" s="2927"/>
      <c r="GJ117" s="2927"/>
      <c r="GK117" s="2927"/>
      <c r="GL117" s="2927"/>
      <c r="GM117" s="2927"/>
      <c r="GN117" s="2927"/>
      <c r="GO117" s="2927"/>
      <c r="GP117" s="2927"/>
      <c r="GQ117" s="2927"/>
      <c r="GR117" s="2927"/>
      <c r="GS117" s="2927"/>
      <c r="GT117" s="2927"/>
      <c r="GU117" s="2927"/>
      <c r="GV117" s="2927"/>
      <c r="GW117" s="2927"/>
      <c r="GX117" s="2927"/>
      <c r="GY117" s="2927"/>
      <c r="GZ117" s="2927"/>
      <c r="HA117" s="2927"/>
      <c r="HB117" s="2927"/>
      <c r="HC117" s="2927"/>
      <c r="HD117" s="2927"/>
      <c r="HE117" s="2927"/>
      <c r="HF117" s="2927"/>
      <c r="HG117" s="2927"/>
      <c r="HH117" s="2927"/>
      <c r="HI117" s="2927"/>
      <c r="HJ117" s="2927"/>
      <c r="HK117" s="2927"/>
      <c r="HL117" s="2927"/>
      <c r="HM117" s="2927"/>
      <c r="HN117" s="2927"/>
      <c r="HO117" s="2927"/>
      <c r="HP117" s="2927"/>
      <c r="HQ117" s="2927"/>
      <c r="HR117" s="2927"/>
      <c r="HS117" s="2927"/>
      <c r="HT117" s="2927"/>
      <c r="HU117" s="2927"/>
      <c r="HV117" s="2927"/>
      <c r="HW117" s="2927"/>
      <c r="HX117" s="2927"/>
      <c r="HY117" s="2927"/>
      <c r="HZ117" s="2927"/>
      <c r="IA117" s="2927"/>
      <c r="IB117" s="2927"/>
      <c r="IC117" s="2927"/>
      <c r="ID117" s="2927"/>
      <c r="IE117" s="2927"/>
    </row>
    <row r="118" s="2840" customFormat="1" ht="32" customHeight="1" spans="1:239 16384:16384">
      <c r="A118" s="2972">
        <v>46081</v>
      </c>
      <c r="B118" s="2950" t="s">
        <v>90</v>
      </c>
      <c r="C118" s="2973" t="s">
        <v>91</v>
      </c>
      <c r="D118" s="2974">
        <v>4500194778</v>
      </c>
      <c r="E118" s="2975" t="s">
        <v>10523</v>
      </c>
      <c r="F118" s="2974" t="s">
        <v>10524</v>
      </c>
      <c r="G118" s="2976" t="s">
        <v>10199</v>
      </c>
      <c r="H118" s="2977" t="s">
        <v>9155</v>
      </c>
      <c r="I118" s="2978">
        <v>3000</v>
      </c>
      <c r="J118" s="2979">
        <v>0</v>
      </c>
      <c r="K118" s="2979">
        <v>4</v>
      </c>
      <c r="L118" s="2979">
        <f t="shared" si="146"/>
        <v>750</v>
      </c>
      <c r="M118" s="2980">
        <v>46178</v>
      </c>
      <c r="N118" s="2981">
        <v>46174</v>
      </c>
      <c r="O118" s="2982"/>
      <c r="P118" s="2914" t="s">
        <v>82</v>
      </c>
      <c r="Q118" s="2983" t="s">
        <v>5815</v>
      </c>
      <c r="R118" s="2977" t="s">
        <v>3639</v>
      </c>
      <c r="S118" s="2984"/>
      <c r="T118" s="2984" t="s">
        <v>98</v>
      </c>
      <c r="U118" s="2984" t="s">
        <v>10525</v>
      </c>
      <c r="V118" s="2984"/>
      <c r="W118" s="2985" t="s">
        <v>10526</v>
      </c>
      <c r="X118" s="2979" t="s">
        <v>101</v>
      </c>
      <c r="Y118" s="2986">
        <v>4.301</v>
      </c>
      <c r="Z118" s="2987">
        <f t="shared" si="249"/>
        <v>12903</v>
      </c>
      <c r="AA118" s="2979"/>
      <c r="AB118" s="2976" t="s">
        <v>10312</v>
      </c>
      <c r="AC118" s="2979" t="s">
        <v>416</v>
      </c>
      <c r="AD118" s="2920"/>
      <c r="AE118" s="2920">
        <f>I118</f>
        <v>3000</v>
      </c>
      <c r="AF118" s="2920"/>
      <c r="AG118" s="2920"/>
      <c r="AH118" s="2920"/>
      <c r="AI118" s="2920"/>
      <c r="AJ118" s="2988"/>
      <c r="AK118" s="2988">
        <f t="shared" si="177"/>
        <v>3000</v>
      </c>
      <c r="AL118" s="2988"/>
      <c r="AM118" s="2989"/>
      <c r="AN118" s="2989"/>
      <c r="AO118" s="2990"/>
      <c r="AP118" s="2988"/>
      <c r="AQ118" s="2988">
        <f t="shared" si="237"/>
        <v>750</v>
      </c>
      <c r="AR118" s="2991"/>
      <c r="AS118" s="2992">
        <f t="shared" si="238"/>
        <v>750</v>
      </c>
      <c r="AT118" s="2988">
        <f t="shared" si="239"/>
        <v>750</v>
      </c>
      <c r="AU118" s="2988"/>
      <c r="AV118" s="2989">
        <f t="shared" si="240"/>
        <v>750</v>
      </c>
      <c r="AW118" s="2990"/>
      <c r="AX118" s="2988"/>
      <c r="AY118" s="2988"/>
      <c r="AZ118" s="2991"/>
      <c r="BA118" s="2990"/>
      <c r="BB118" s="2991"/>
      <c r="BC118" s="2992"/>
      <c r="BD118" s="2988">
        <f t="shared" si="143"/>
        <v>3000</v>
      </c>
      <c r="BE118" s="2988"/>
      <c r="BF118" s="2988">
        <f t="shared" si="215"/>
        <v>3000</v>
      </c>
      <c r="BG118" s="2988" t="s">
        <v>9164</v>
      </c>
      <c r="BH118" s="2988"/>
      <c r="BI118" s="2988">
        <f>I118/4</f>
        <v>750</v>
      </c>
      <c r="BJ118" s="2988">
        <f t="shared" si="241"/>
        <v>750</v>
      </c>
      <c r="BK118" s="2988">
        <f t="shared" si="242"/>
        <v>750</v>
      </c>
      <c r="BL118" s="2993">
        <f t="shared" si="243"/>
        <v>750</v>
      </c>
      <c r="BM118" s="2988">
        <f t="shared" si="244"/>
        <v>750</v>
      </c>
      <c r="BN118" s="2993">
        <f t="shared" si="245"/>
        <v>750</v>
      </c>
      <c r="BO118" s="2988">
        <f t="shared" si="246"/>
        <v>750</v>
      </c>
      <c r="BP118" s="2993">
        <f t="shared" si="247"/>
        <v>750</v>
      </c>
      <c r="BQ118" s="2993">
        <f t="shared" si="169"/>
        <v>241025</v>
      </c>
      <c r="BR118" s="2993"/>
      <c r="BS118" s="2993"/>
      <c r="BT118" s="2993"/>
      <c r="BU118" s="2993"/>
      <c r="BV118" s="2993"/>
      <c r="BW118" s="2993"/>
      <c r="BX118" s="2993"/>
      <c r="BY118" s="2993"/>
      <c r="BZ118" s="2979"/>
      <c r="CA118" s="2994"/>
      <c r="CB118" s="2994"/>
      <c r="CC118" s="2994"/>
      <c r="CD118" s="2994"/>
      <c r="CE118" s="2994"/>
      <c r="CF118" s="2994"/>
      <c r="CG118" s="2994"/>
      <c r="CH118" s="2994"/>
      <c r="CI118" s="2994"/>
      <c r="CJ118" s="2994"/>
      <c r="CK118" s="2994"/>
      <c r="CL118" s="2994"/>
      <c r="CM118" s="2994"/>
      <c r="CN118" s="2994"/>
      <c r="CO118" s="2994"/>
      <c r="CP118" s="2994"/>
      <c r="CQ118" s="2994"/>
      <c r="CR118" s="2994"/>
      <c r="CS118" s="2994"/>
      <c r="CT118" s="2994"/>
      <c r="CU118" s="2994"/>
      <c r="CV118" s="2994"/>
      <c r="CW118" s="2994"/>
      <c r="CX118" s="2994"/>
      <c r="CY118" s="2994"/>
      <c r="CZ118" s="2994"/>
      <c r="DA118" s="2994"/>
      <c r="DB118" s="2994"/>
      <c r="DC118" s="2994"/>
      <c r="DD118" s="2994"/>
      <c r="DE118" s="2994"/>
      <c r="DF118" s="2994"/>
      <c r="DG118" s="2994"/>
      <c r="DH118" s="2994"/>
      <c r="DI118" s="2994"/>
      <c r="DJ118" s="2994"/>
      <c r="DK118" s="2994"/>
      <c r="DL118" s="2994"/>
      <c r="DM118" s="2994"/>
      <c r="DN118" s="2994"/>
      <c r="DO118" s="2994"/>
      <c r="DP118" s="2994"/>
      <c r="DQ118" s="2994"/>
      <c r="DR118" s="2994"/>
      <c r="DS118" s="2994"/>
      <c r="DT118" s="2994"/>
      <c r="DU118" s="2994"/>
      <c r="DV118" s="2994"/>
      <c r="DW118" s="2994"/>
      <c r="DX118" s="2994"/>
      <c r="DY118" s="2994"/>
      <c r="DZ118" s="2994"/>
      <c r="EA118" s="2994"/>
      <c r="EB118" s="2994"/>
      <c r="EC118" s="2994"/>
      <c r="ED118" s="2994"/>
      <c r="EE118" s="2994"/>
      <c r="EF118" s="2994"/>
      <c r="EG118" s="2994"/>
      <c r="EH118" s="2994"/>
      <c r="EI118" s="2994"/>
      <c r="EJ118" s="2994"/>
      <c r="EK118" s="2994"/>
      <c r="EL118" s="2994"/>
      <c r="EM118" s="2994"/>
      <c r="EN118" s="2994"/>
      <c r="EO118" s="2994"/>
      <c r="EP118" s="2994"/>
      <c r="EQ118" s="2994"/>
      <c r="ER118" s="2994"/>
      <c r="ES118" s="2994"/>
      <c r="ET118" s="2994"/>
      <c r="EU118" s="2994"/>
      <c r="EV118" s="2994"/>
      <c r="EW118" s="2994"/>
      <c r="EX118" s="2994"/>
      <c r="EY118" s="2994"/>
      <c r="EZ118" s="2994"/>
      <c r="FA118" s="2994"/>
      <c r="FB118" s="2994"/>
      <c r="FC118" s="2994"/>
      <c r="FD118" s="2994"/>
      <c r="FE118" s="2994"/>
      <c r="FF118" s="2994"/>
      <c r="FG118" s="2994"/>
      <c r="FH118" s="2994"/>
      <c r="FI118" s="2994"/>
      <c r="FJ118" s="2994"/>
      <c r="FK118" s="2994"/>
      <c r="FL118" s="2994"/>
      <c r="FM118" s="2994"/>
      <c r="FN118" s="2994"/>
      <c r="FO118" s="2994"/>
      <c r="FP118" s="2994"/>
      <c r="FQ118" s="2994"/>
      <c r="FR118" s="2994"/>
      <c r="FS118" s="2994"/>
      <c r="FT118" s="2994"/>
      <c r="FU118" s="2994"/>
      <c r="FV118" s="2994"/>
      <c r="FW118" s="2994"/>
      <c r="FX118" s="2994"/>
      <c r="FY118" s="2994"/>
      <c r="FZ118" s="2994"/>
      <c r="GA118" s="2994"/>
      <c r="GB118" s="2994"/>
      <c r="GC118" s="2994"/>
      <c r="GD118" s="2994"/>
      <c r="GE118" s="2994"/>
      <c r="GF118" s="2994"/>
      <c r="GG118" s="2994"/>
      <c r="GH118" s="2994"/>
      <c r="GI118" s="2994"/>
      <c r="GJ118" s="2994"/>
      <c r="GK118" s="2994"/>
      <c r="GL118" s="2994"/>
      <c r="GM118" s="2994"/>
      <c r="GN118" s="2994"/>
      <c r="GO118" s="2994"/>
      <c r="GP118" s="2994"/>
      <c r="GQ118" s="2994"/>
      <c r="GR118" s="2994"/>
      <c r="GS118" s="2994"/>
      <c r="GT118" s="2994"/>
      <c r="GU118" s="2994"/>
      <c r="GV118" s="2994"/>
      <c r="GW118" s="2994"/>
      <c r="GX118" s="2994"/>
      <c r="GY118" s="2994"/>
      <c r="GZ118" s="2994"/>
      <c r="HA118" s="2994"/>
      <c r="HB118" s="2994"/>
      <c r="HC118" s="2994"/>
      <c r="HD118" s="2994"/>
      <c r="HE118" s="2994"/>
      <c r="HF118" s="2994"/>
      <c r="HG118" s="2994"/>
      <c r="HH118" s="2994"/>
      <c r="HI118" s="2994"/>
      <c r="HJ118" s="2994"/>
      <c r="HK118" s="2994"/>
      <c r="HL118" s="2994"/>
      <c r="HM118" s="2994"/>
      <c r="HN118" s="2994"/>
      <c r="HO118" s="2994"/>
      <c r="HP118" s="2994"/>
      <c r="HQ118" s="2994"/>
      <c r="HR118" s="2994"/>
      <c r="HS118" s="2994"/>
      <c r="HT118" s="2994"/>
      <c r="HU118" s="2994"/>
      <c r="HV118" s="2994"/>
      <c r="HW118" s="2994"/>
      <c r="HX118" s="2994"/>
      <c r="HY118" s="2994"/>
      <c r="HZ118" s="2994"/>
      <c r="IA118" s="2994"/>
      <c r="IB118" s="2994"/>
      <c r="IC118" s="2994"/>
      <c r="ID118" s="2994"/>
      <c r="IE118" s="2994"/>
    </row>
    <row r="119" s="2838" customFormat="1" ht="32" customHeight="1" spans="1:239 16384:16384">
      <c r="A119" s="2951">
        <v>46081</v>
      </c>
      <c r="B119" s="2839" t="s">
        <v>90</v>
      </c>
      <c r="C119" s="2907" t="s">
        <v>91</v>
      </c>
      <c r="D119" s="2906">
        <v>4500194776</v>
      </c>
      <c r="E119" s="2909" t="s">
        <v>10527</v>
      </c>
      <c r="F119" s="2906" t="s">
        <v>10528</v>
      </c>
      <c r="G119" s="2930" t="s">
        <v>10199</v>
      </c>
      <c r="H119" s="2911" t="s">
        <v>9155</v>
      </c>
      <c r="I119" s="2995">
        <v>3000</v>
      </c>
      <c r="J119" s="2912">
        <v>0</v>
      </c>
      <c r="K119" s="2912">
        <v>4</v>
      </c>
      <c r="L119" s="2912">
        <f t="shared" si="146"/>
        <v>750</v>
      </c>
      <c r="M119" s="2913">
        <v>46178</v>
      </c>
      <c r="N119" s="2971">
        <v>46174</v>
      </c>
      <c r="O119" s="2914"/>
      <c r="P119" s="2914" t="s">
        <v>82</v>
      </c>
      <c r="Q119" s="2996" t="s">
        <v>5815</v>
      </c>
      <c r="R119" s="2911" t="s">
        <v>3639</v>
      </c>
      <c r="S119" s="2915"/>
      <c r="T119" s="2915" t="s">
        <v>98</v>
      </c>
      <c r="U119" s="2915" t="s">
        <v>10525</v>
      </c>
      <c r="V119" s="2915"/>
      <c r="W119" s="2931" t="s">
        <v>10529</v>
      </c>
      <c r="X119" s="2912" t="s">
        <v>101</v>
      </c>
      <c r="Y119" s="2917">
        <v>4.301</v>
      </c>
      <c r="Z119" s="2918">
        <f t="shared" si="249"/>
        <v>12903</v>
      </c>
      <c r="AA119" s="2912"/>
      <c r="AB119" s="2930" t="s">
        <v>10312</v>
      </c>
      <c r="AC119" s="2912" t="s">
        <v>416</v>
      </c>
      <c r="AD119" s="2919"/>
      <c r="AE119" s="2919">
        <f>I119</f>
        <v>3000</v>
      </c>
      <c r="AF119" s="2919"/>
      <c r="AG119" s="2919"/>
      <c r="AH119" s="2919"/>
      <c r="AI119" s="2919"/>
      <c r="AJ119" s="2921"/>
      <c r="AK119" s="2921">
        <f t="shared" si="177"/>
        <v>3000</v>
      </c>
      <c r="AL119" s="2921"/>
      <c r="AM119" s="2922"/>
      <c r="AN119" s="2922"/>
      <c r="AO119" s="2923"/>
      <c r="AP119" s="2921"/>
      <c r="AQ119" s="2921">
        <f t="shared" si="237"/>
        <v>750</v>
      </c>
      <c r="AR119" s="2924"/>
      <c r="AS119" s="2925">
        <f t="shared" si="238"/>
        <v>750</v>
      </c>
      <c r="AT119" s="2921">
        <f t="shared" si="239"/>
        <v>750</v>
      </c>
      <c r="AU119" s="2921"/>
      <c r="AV119" s="2922">
        <f t="shared" si="240"/>
        <v>750</v>
      </c>
      <c r="AW119" s="2923"/>
      <c r="AX119" s="2921"/>
      <c r="AY119" s="2921"/>
      <c r="AZ119" s="2924"/>
      <c r="BA119" s="2923"/>
      <c r="BB119" s="2924"/>
      <c r="BC119" s="2925"/>
      <c r="BD119" s="2921">
        <f t="shared" si="143"/>
        <v>3000</v>
      </c>
      <c r="BE119" s="2921"/>
      <c r="BF119" s="2921">
        <f t="shared" si="215"/>
        <v>3000</v>
      </c>
      <c r="BG119" s="2921" t="s">
        <v>9164</v>
      </c>
      <c r="BH119" s="2921"/>
      <c r="BI119" s="2921">
        <f>I119/4</f>
        <v>750</v>
      </c>
      <c r="BJ119" s="2921">
        <f t="shared" si="241"/>
        <v>750</v>
      </c>
      <c r="BK119" s="2921">
        <f t="shared" si="242"/>
        <v>750</v>
      </c>
      <c r="BL119" s="2926">
        <f t="shared" si="243"/>
        <v>750</v>
      </c>
      <c r="BM119" s="2921">
        <f t="shared" si="244"/>
        <v>750</v>
      </c>
      <c r="BN119" s="2926">
        <f t="shared" si="245"/>
        <v>750</v>
      </c>
      <c r="BO119" s="2921">
        <f t="shared" si="246"/>
        <v>750</v>
      </c>
      <c r="BP119" s="2926">
        <f t="shared" si="247"/>
        <v>750</v>
      </c>
      <c r="BQ119" s="2926">
        <f t="shared" si="169"/>
        <v>241025</v>
      </c>
      <c r="BR119" s="2926"/>
      <c r="BS119" s="2926"/>
      <c r="BT119" s="2926"/>
      <c r="BU119" s="2926"/>
      <c r="BV119" s="2926"/>
      <c r="BW119" s="2926"/>
      <c r="BX119" s="2926"/>
      <c r="BY119" s="2926"/>
      <c r="BZ119" s="2912"/>
      <c r="CA119" s="2927"/>
      <c r="CB119" s="2927"/>
      <c r="CC119" s="2927"/>
      <c r="CD119" s="2927"/>
      <c r="CE119" s="2927"/>
      <c r="CF119" s="2927"/>
      <c r="CG119" s="2927"/>
      <c r="CH119" s="2927"/>
      <c r="CI119" s="2927"/>
      <c r="CJ119" s="2927"/>
      <c r="CK119" s="2927"/>
      <c r="CL119" s="2927"/>
      <c r="CM119" s="2927"/>
      <c r="CN119" s="2927"/>
      <c r="CO119" s="2927"/>
      <c r="CP119" s="2927"/>
      <c r="CQ119" s="2927"/>
      <c r="CR119" s="2927"/>
      <c r="CS119" s="2927"/>
      <c r="CT119" s="2927"/>
      <c r="CU119" s="2927"/>
      <c r="CV119" s="2927"/>
      <c r="CW119" s="2927"/>
      <c r="CX119" s="2927"/>
      <c r="CY119" s="2927"/>
      <c r="CZ119" s="2927"/>
      <c r="DA119" s="2927"/>
      <c r="DB119" s="2927"/>
      <c r="DC119" s="2927"/>
      <c r="DD119" s="2927"/>
      <c r="DE119" s="2927"/>
      <c r="DF119" s="2927"/>
      <c r="DG119" s="2927"/>
      <c r="DH119" s="2927"/>
      <c r="DI119" s="2927"/>
      <c r="DJ119" s="2927"/>
      <c r="DK119" s="2927"/>
      <c r="DL119" s="2927"/>
      <c r="DM119" s="2927"/>
      <c r="DN119" s="2927"/>
      <c r="DO119" s="2927"/>
      <c r="DP119" s="2927"/>
      <c r="DQ119" s="2927"/>
      <c r="DR119" s="2927"/>
      <c r="DS119" s="2927"/>
      <c r="DT119" s="2927"/>
      <c r="DU119" s="2927"/>
      <c r="DV119" s="2927"/>
      <c r="DW119" s="2927"/>
      <c r="DX119" s="2927"/>
      <c r="DY119" s="2927"/>
      <c r="DZ119" s="2927"/>
      <c r="EA119" s="2927"/>
      <c r="EB119" s="2927"/>
      <c r="EC119" s="2927"/>
      <c r="ED119" s="2927"/>
      <c r="EE119" s="2927"/>
      <c r="EF119" s="2927"/>
      <c r="EG119" s="2927"/>
      <c r="EH119" s="2927"/>
      <c r="EI119" s="2927"/>
      <c r="EJ119" s="2927"/>
      <c r="EK119" s="2927"/>
      <c r="EL119" s="2927"/>
      <c r="EM119" s="2927"/>
      <c r="EN119" s="2927"/>
      <c r="EO119" s="2927"/>
      <c r="EP119" s="2927"/>
      <c r="EQ119" s="2927"/>
      <c r="ER119" s="2927"/>
      <c r="ES119" s="2927"/>
      <c r="ET119" s="2927"/>
      <c r="EU119" s="2927"/>
      <c r="EV119" s="2927"/>
      <c r="EW119" s="2927"/>
      <c r="EX119" s="2927"/>
      <c r="EY119" s="2927"/>
      <c r="EZ119" s="2927"/>
      <c r="FA119" s="2927"/>
      <c r="FB119" s="2927"/>
      <c r="FC119" s="2927"/>
      <c r="FD119" s="2927"/>
      <c r="FE119" s="2927"/>
      <c r="FF119" s="2927"/>
      <c r="FG119" s="2927"/>
      <c r="FH119" s="2927"/>
      <c r="FI119" s="2927"/>
      <c r="FJ119" s="2927"/>
      <c r="FK119" s="2927"/>
      <c r="FL119" s="2927"/>
      <c r="FM119" s="2927"/>
      <c r="FN119" s="2927"/>
      <c r="FO119" s="2927"/>
      <c r="FP119" s="2927"/>
      <c r="FQ119" s="2927"/>
      <c r="FR119" s="2927"/>
      <c r="FS119" s="2927"/>
      <c r="FT119" s="2927"/>
      <c r="FU119" s="2927"/>
      <c r="FV119" s="2927"/>
      <c r="FW119" s="2927"/>
      <c r="FX119" s="2927"/>
      <c r="FY119" s="2927"/>
      <c r="FZ119" s="2927"/>
      <c r="GA119" s="2927"/>
      <c r="GB119" s="2927"/>
      <c r="GC119" s="2927"/>
      <c r="GD119" s="2927"/>
      <c r="GE119" s="2927"/>
      <c r="GF119" s="2927"/>
      <c r="GG119" s="2927"/>
      <c r="GH119" s="2927"/>
      <c r="GI119" s="2927"/>
      <c r="GJ119" s="2927"/>
      <c r="GK119" s="2927"/>
      <c r="GL119" s="2927"/>
      <c r="GM119" s="2927"/>
      <c r="GN119" s="2927"/>
      <c r="GO119" s="2927"/>
      <c r="GP119" s="2927"/>
      <c r="GQ119" s="2927"/>
      <c r="GR119" s="2927"/>
      <c r="GS119" s="2927"/>
      <c r="GT119" s="2927"/>
      <c r="GU119" s="2927"/>
      <c r="GV119" s="2927"/>
      <c r="GW119" s="2927"/>
      <c r="GX119" s="2927"/>
      <c r="GY119" s="2927"/>
      <c r="GZ119" s="2927"/>
      <c r="HA119" s="2927"/>
      <c r="HB119" s="2927"/>
      <c r="HC119" s="2927"/>
      <c r="HD119" s="2927"/>
      <c r="HE119" s="2927"/>
      <c r="HF119" s="2927"/>
      <c r="HG119" s="2927"/>
      <c r="HH119" s="2927"/>
      <c r="HI119" s="2927"/>
      <c r="HJ119" s="2927"/>
      <c r="HK119" s="2927"/>
      <c r="HL119" s="2927"/>
      <c r="HM119" s="2927"/>
      <c r="HN119" s="2927"/>
      <c r="HO119" s="2927"/>
      <c r="HP119" s="2927"/>
      <c r="HQ119" s="2927"/>
      <c r="HR119" s="2927"/>
      <c r="HS119" s="2927"/>
      <c r="HT119" s="2927"/>
      <c r="HU119" s="2927"/>
      <c r="HV119" s="2927"/>
      <c r="HW119" s="2927"/>
      <c r="HX119" s="2927"/>
      <c r="HY119" s="2927"/>
      <c r="HZ119" s="2927"/>
      <c r="IA119" s="2927"/>
      <c r="IB119" s="2927"/>
      <c r="IC119" s="2927"/>
      <c r="ID119" s="2927"/>
      <c r="IE119" s="2927"/>
    </row>
    <row r="120" s="2840" customFormat="1" ht="32" customHeight="1" spans="1:239 16384:16384">
      <c r="A120" s="2997">
        <v>46115</v>
      </c>
      <c r="B120" s="2974" t="s">
        <v>10007</v>
      </c>
      <c r="C120" s="2973" t="s">
        <v>2776</v>
      </c>
      <c r="D120" s="2998" t="s">
        <v>10008</v>
      </c>
      <c r="E120" s="2975" t="s">
        <v>2434</v>
      </c>
      <c r="F120" s="2998" t="s">
        <v>10530</v>
      </c>
      <c r="G120" s="2976" t="s">
        <v>10199</v>
      </c>
      <c r="H120" s="2977" t="s">
        <v>9155</v>
      </c>
      <c r="I120" s="2979">
        <v>1200</v>
      </c>
      <c r="J120" s="2979">
        <v>0</v>
      </c>
      <c r="K120" s="2979">
        <v>4</v>
      </c>
      <c r="L120" s="2979">
        <f t="shared" si="146"/>
        <v>300</v>
      </c>
      <c r="M120" s="2980">
        <v>46195</v>
      </c>
      <c r="N120" s="2981">
        <f>M120-4</f>
        <v>46191</v>
      </c>
      <c r="O120" s="2982"/>
      <c r="P120" s="2914" t="s">
        <v>82</v>
      </c>
      <c r="Q120" s="2999" t="s">
        <v>5893</v>
      </c>
      <c r="R120" s="2977" t="s">
        <v>1216</v>
      </c>
      <c r="S120" s="2984"/>
      <c r="T120" s="2984" t="s">
        <v>10010</v>
      </c>
      <c r="U120" s="2984"/>
      <c r="V120" s="2984"/>
      <c r="W120" s="2985" t="s">
        <v>10011</v>
      </c>
      <c r="X120" s="2979" t="s">
        <v>1434</v>
      </c>
      <c r="Y120" s="2986">
        <v>6.892</v>
      </c>
      <c r="Z120" s="2987">
        <f t="shared" si="249"/>
        <v>8270.4</v>
      </c>
      <c r="AA120" s="2979"/>
      <c r="AB120" s="2976" t="s">
        <v>10507</v>
      </c>
      <c r="AC120" s="2979" t="s">
        <v>416</v>
      </c>
      <c r="AD120" s="2920"/>
      <c r="AE120" s="2920"/>
      <c r="AF120" s="2920"/>
      <c r="AG120" s="2920">
        <f>I120</f>
        <v>1200</v>
      </c>
      <c r="AH120" s="2920"/>
      <c r="AI120" s="2988"/>
      <c r="AJ120" s="2988"/>
      <c r="AK120" s="2988">
        <f t="shared" si="177"/>
        <v>1200</v>
      </c>
      <c r="AL120" s="2989"/>
      <c r="AM120" s="2989"/>
      <c r="AN120" s="2991"/>
      <c r="AO120" s="2992"/>
      <c r="AP120" s="2988"/>
      <c r="AQ120" s="2989">
        <f>I120/3</f>
        <v>400</v>
      </c>
      <c r="AR120" s="2991"/>
      <c r="AS120" s="2992">
        <f>I120/3</f>
        <v>400</v>
      </c>
      <c r="AT120" s="2988">
        <f>I120/3</f>
        <v>400</v>
      </c>
      <c r="AU120" s="2988"/>
      <c r="AW120" s="2990"/>
      <c r="AX120" s="2988"/>
      <c r="AY120" s="2988"/>
      <c r="BA120" s="2990"/>
      <c r="BB120" s="2991"/>
      <c r="BC120" s="2988"/>
      <c r="BD120" s="2988">
        <f t="shared" si="143"/>
        <v>1200</v>
      </c>
      <c r="BE120" s="2988"/>
      <c r="BF120" s="2988">
        <f t="shared" si="215"/>
        <v>1200</v>
      </c>
      <c r="BG120" s="2988" t="s">
        <v>9164</v>
      </c>
      <c r="BH120" s="2988"/>
      <c r="BI120" s="2988">
        <f>I120/3</f>
        <v>400</v>
      </c>
      <c r="BJ120" s="2988">
        <f>I120/3</f>
        <v>400</v>
      </c>
      <c r="BK120" s="2993">
        <f>I120/3</f>
        <v>400</v>
      </c>
      <c r="BL120" s="2988">
        <f>I120/3</f>
        <v>400</v>
      </c>
      <c r="BM120" s="2993">
        <f>I120/3</f>
        <v>400</v>
      </c>
      <c r="BN120" s="2993">
        <f>I120/3</f>
        <v>400</v>
      </c>
      <c r="BO120" s="2988"/>
      <c r="BP120" s="2993"/>
      <c r="BQ120" s="2993">
        <f t="shared" si="169"/>
        <v>239225</v>
      </c>
      <c r="BR120" s="2993"/>
      <c r="BS120" s="2993"/>
      <c r="BT120" s="2993"/>
      <c r="BU120" s="2993"/>
      <c r="BV120" s="2993"/>
      <c r="BW120" s="2993"/>
      <c r="BX120" s="2993"/>
      <c r="BY120" s="2979"/>
      <c r="BZ120" s="2994"/>
      <c r="CA120" s="2994"/>
      <c r="CB120" s="2994"/>
      <c r="CC120" s="2994"/>
      <c r="CD120" s="2994"/>
      <c r="CE120" s="2994"/>
      <c r="CF120" s="2994"/>
      <c r="CG120" s="2994"/>
      <c r="CH120" s="2994"/>
      <c r="CI120" s="2994"/>
      <c r="CJ120" s="2994"/>
      <c r="CK120" s="2994"/>
      <c r="CL120" s="2994"/>
      <c r="CM120" s="2994"/>
      <c r="CN120" s="2994"/>
      <c r="CO120" s="2994"/>
      <c r="CP120" s="2994"/>
      <c r="CQ120" s="2994"/>
      <c r="CR120" s="2994"/>
      <c r="CS120" s="2994"/>
      <c r="CT120" s="2994"/>
      <c r="CU120" s="2994"/>
      <c r="CV120" s="2994"/>
      <c r="CW120" s="2994"/>
      <c r="CX120" s="2994"/>
      <c r="CY120" s="2994"/>
      <c r="CZ120" s="2994"/>
      <c r="DA120" s="2994"/>
      <c r="DB120" s="2994"/>
      <c r="DC120" s="2994"/>
      <c r="DD120" s="2994"/>
      <c r="DE120" s="2994"/>
      <c r="DF120" s="2994"/>
      <c r="DG120" s="2994"/>
      <c r="DH120" s="2994"/>
      <c r="DI120" s="2994"/>
      <c r="DJ120" s="2994"/>
      <c r="DK120" s="2994"/>
      <c r="DL120" s="2994"/>
      <c r="DM120" s="2994"/>
      <c r="DN120" s="2994"/>
      <c r="DO120" s="2994"/>
      <c r="DP120" s="2994"/>
      <c r="DQ120" s="2994"/>
      <c r="DR120" s="2994"/>
      <c r="DS120" s="2994"/>
      <c r="DT120" s="2994"/>
      <c r="DU120" s="2994"/>
      <c r="DV120" s="2994"/>
      <c r="DW120" s="2994"/>
      <c r="DX120" s="2994"/>
      <c r="DY120" s="2994"/>
      <c r="DZ120" s="2994"/>
      <c r="EA120" s="2994"/>
      <c r="EB120" s="2994"/>
      <c r="EC120" s="2994"/>
      <c r="ED120" s="2994"/>
      <c r="EE120" s="2994"/>
      <c r="EF120" s="2994"/>
      <c r="EG120" s="2994"/>
      <c r="EH120" s="2994"/>
      <c r="EI120" s="2994"/>
      <c r="EJ120" s="2994"/>
      <c r="EK120" s="2994"/>
      <c r="EL120" s="2994"/>
      <c r="EM120" s="2994"/>
      <c r="EN120" s="2994"/>
      <c r="EO120" s="2994"/>
      <c r="EP120" s="2994"/>
      <c r="EQ120" s="2994"/>
      <c r="ER120" s="2994"/>
      <c r="ES120" s="2994"/>
      <c r="ET120" s="2994"/>
      <c r="EU120" s="2994"/>
      <c r="EV120" s="2994"/>
      <c r="EW120" s="2994"/>
      <c r="EX120" s="2994"/>
      <c r="EY120" s="2994"/>
      <c r="EZ120" s="2994"/>
      <c r="FA120" s="2994"/>
      <c r="FB120" s="2994"/>
      <c r="FC120" s="2994"/>
      <c r="FD120" s="2994"/>
      <c r="FE120" s="2994"/>
      <c r="FF120" s="2994"/>
      <c r="FG120" s="2994"/>
      <c r="FH120" s="2994"/>
      <c r="FI120" s="2994"/>
      <c r="FJ120" s="2994"/>
      <c r="FK120" s="2994"/>
      <c r="FL120" s="2994"/>
      <c r="FM120" s="2994"/>
      <c r="FN120" s="2994"/>
      <c r="FO120" s="2994"/>
      <c r="FP120" s="2994"/>
      <c r="FQ120" s="2994"/>
      <c r="FR120" s="2994"/>
      <c r="FS120" s="2994"/>
      <c r="FT120" s="2994"/>
      <c r="FU120" s="2994"/>
      <c r="FV120" s="2994"/>
      <c r="FW120" s="2994"/>
      <c r="FX120" s="2994"/>
      <c r="FY120" s="2994"/>
      <c r="FZ120" s="2994"/>
      <c r="GA120" s="2994"/>
      <c r="GB120" s="2994"/>
      <c r="GC120" s="2994"/>
      <c r="GD120" s="2994"/>
      <c r="GE120" s="2994"/>
      <c r="GF120" s="2994"/>
      <c r="GG120" s="2994"/>
      <c r="GH120" s="2994"/>
      <c r="GI120" s="2994"/>
      <c r="GJ120" s="2994"/>
      <c r="GK120" s="2994"/>
      <c r="GL120" s="2994"/>
      <c r="GM120" s="2994"/>
      <c r="GN120" s="2994"/>
      <c r="GO120" s="2994"/>
      <c r="GP120" s="2994"/>
      <c r="GQ120" s="2994"/>
      <c r="GR120" s="2994"/>
      <c r="GS120" s="2994"/>
      <c r="GT120" s="2994"/>
      <c r="GU120" s="2994"/>
      <c r="GV120" s="2994"/>
      <c r="GW120" s="2994"/>
      <c r="GX120" s="2994"/>
      <c r="GY120" s="2994"/>
      <c r="GZ120" s="2994"/>
      <c r="HA120" s="2994"/>
      <c r="HB120" s="2994"/>
      <c r="HC120" s="2994"/>
      <c r="HD120" s="2994"/>
      <c r="HE120" s="2994"/>
      <c r="HF120" s="2994"/>
      <c r="HG120" s="2994"/>
      <c r="HH120" s="2994"/>
      <c r="HI120" s="2994"/>
      <c r="HJ120" s="2994"/>
      <c r="HK120" s="2994"/>
      <c r="HL120" s="2994"/>
      <c r="HM120" s="2994"/>
      <c r="HN120" s="2994"/>
      <c r="HO120" s="2994"/>
      <c r="HP120" s="2994"/>
      <c r="HQ120" s="2994"/>
      <c r="HR120" s="2994"/>
      <c r="HS120" s="2994"/>
      <c r="HT120" s="2994"/>
      <c r="HU120" s="2994"/>
      <c r="HV120" s="2994"/>
      <c r="HW120" s="2994"/>
      <c r="HX120" s="2994"/>
      <c r="HY120" s="2994"/>
      <c r="HZ120" s="2994"/>
      <c r="IA120" s="2994"/>
      <c r="IB120" s="2994"/>
      <c r="IC120" s="2994"/>
      <c r="ID120" s="2994"/>
      <c r="XFD120" s="2997"/>
    </row>
    <row r="121" s="2840" customFormat="1" ht="32" customHeight="1" spans="1:239 16384:16384">
      <c r="A121" s="2997">
        <v>46105</v>
      </c>
      <c r="B121" s="2974" t="s">
        <v>2285</v>
      </c>
      <c r="C121" s="2973" t="s">
        <v>2580</v>
      </c>
      <c r="D121" s="2998">
        <v>4500198079</v>
      </c>
      <c r="E121" s="2975" t="s">
        <v>8864</v>
      </c>
      <c r="F121" s="3000" t="s">
        <v>10531</v>
      </c>
      <c r="G121" s="2977" t="s">
        <v>10199</v>
      </c>
      <c r="H121" s="2977" t="s">
        <v>9155</v>
      </c>
      <c r="I121" s="2979">
        <v>420</v>
      </c>
      <c r="J121" s="2979">
        <v>0</v>
      </c>
      <c r="K121" s="2979">
        <v>4</v>
      </c>
      <c r="L121" s="2979">
        <f t="shared" si="146"/>
        <v>105</v>
      </c>
      <c r="M121" s="2980">
        <v>46203</v>
      </c>
      <c r="N121" s="2980">
        <f>M121-4</f>
        <v>46199</v>
      </c>
      <c r="O121" s="2982"/>
      <c r="P121" s="2914" t="s">
        <v>82</v>
      </c>
      <c r="Q121" s="2999" t="s">
        <v>4083</v>
      </c>
      <c r="R121" s="2984" t="s">
        <v>3675</v>
      </c>
      <c r="S121" s="2984"/>
      <c r="T121" s="2984" t="s">
        <v>8861</v>
      </c>
      <c r="U121" s="2984"/>
      <c r="V121" s="2984"/>
      <c r="W121" s="3001" t="s">
        <v>8873</v>
      </c>
      <c r="X121" s="2979" t="s">
        <v>8871</v>
      </c>
      <c r="Y121" s="3002">
        <v>7.2014</v>
      </c>
      <c r="Z121" s="2987">
        <f>I121*Y121</f>
        <v>3024.588</v>
      </c>
      <c r="AA121" s="2979"/>
      <c r="AB121" s="2974" t="s">
        <v>10312</v>
      </c>
      <c r="AC121" s="2979" t="s">
        <v>416</v>
      </c>
      <c r="AD121" s="2920"/>
      <c r="AE121" s="2920">
        <f>I121</f>
        <v>420</v>
      </c>
      <c r="AF121" s="2920"/>
      <c r="AG121" s="2920"/>
      <c r="AH121" s="2920"/>
      <c r="AI121" s="2920"/>
      <c r="AJ121" s="2988"/>
      <c r="AK121" s="2988">
        <f t="shared" si="177"/>
        <v>420</v>
      </c>
      <c r="AL121" s="2988"/>
      <c r="AM121" s="2988"/>
      <c r="AN121" s="2989"/>
      <c r="AO121" s="2990"/>
      <c r="AP121" s="2988"/>
      <c r="AQ121" s="2988">
        <f>I121/3</f>
        <v>140</v>
      </c>
      <c r="AR121" s="2991"/>
      <c r="AS121" s="2990">
        <f>I121/3</f>
        <v>140</v>
      </c>
      <c r="AT121" s="2988">
        <f>I121/3</f>
        <v>140</v>
      </c>
      <c r="AU121" s="2988"/>
      <c r="AV121" s="2991"/>
      <c r="AW121" s="2990"/>
      <c r="AX121" s="2988"/>
      <c r="AY121" s="2988"/>
      <c r="AZ121" s="2991"/>
      <c r="BA121" s="2990"/>
      <c r="BB121" s="2991"/>
      <c r="BC121" s="2992"/>
      <c r="BD121" s="2988">
        <f>I121</f>
        <v>420</v>
      </c>
      <c r="BE121" s="2988"/>
      <c r="BF121" s="2988">
        <f t="shared" si="215"/>
        <v>420</v>
      </c>
      <c r="BG121" s="2988" t="s">
        <v>9164</v>
      </c>
      <c r="BH121" s="2988"/>
      <c r="BI121" s="2988">
        <f>I121/4</f>
        <v>105</v>
      </c>
      <c r="BJ121" s="2988">
        <f t="shared" ref="BJ121:BP121" si="250">BI121</f>
        <v>105</v>
      </c>
      <c r="BK121" s="2988">
        <f t="shared" si="250"/>
        <v>105</v>
      </c>
      <c r="BL121" s="2988">
        <f t="shared" si="250"/>
        <v>105</v>
      </c>
      <c r="BM121" s="2993">
        <f t="shared" si="250"/>
        <v>105</v>
      </c>
      <c r="BN121" s="2988">
        <f t="shared" si="250"/>
        <v>105</v>
      </c>
      <c r="BO121" s="2993">
        <f t="shared" si="250"/>
        <v>105</v>
      </c>
      <c r="BP121" s="2988">
        <f t="shared" si="250"/>
        <v>105</v>
      </c>
      <c r="BQ121" s="2993">
        <f t="shared" si="169"/>
        <v>238445</v>
      </c>
      <c r="BR121" s="2993"/>
      <c r="BS121" s="2993"/>
      <c r="BT121" s="2993"/>
      <c r="BU121" s="2993"/>
      <c r="BV121" s="2993"/>
      <c r="BW121" s="2993"/>
      <c r="BX121" s="2993"/>
      <c r="BY121" s="2993"/>
      <c r="BZ121" s="2979"/>
      <c r="CA121" s="2994"/>
      <c r="CB121" s="2994"/>
      <c r="CC121" s="2994"/>
      <c r="CD121" s="2994"/>
      <c r="CE121" s="2994"/>
      <c r="CF121" s="2994"/>
      <c r="CG121" s="2994"/>
      <c r="CH121" s="2994"/>
      <c r="CI121" s="2994"/>
      <c r="CJ121" s="2994"/>
      <c r="CK121" s="2994"/>
      <c r="CL121" s="2994"/>
      <c r="CM121" s="2994"/>
      <c r="CN121" s="2994"/>
      <c r="CO121" s="2994"/>
      <c r="CP121" s="2994"/>
      <c r="CQ121" s="2994"/>
      <c r="CR121" s="2994"/>
      <c r="CS121" s="2994"/>
      <c r="CT121" s="2994"/>
      <c r="CU121" s="2994"/>
      <c r="CV121" s="2994"/>
      <c r="CW121" s="2994"/>
      <c r="CX121" s="2994"/>
      <c r="CY121" s="2994"/>
      <c r="CZ121" s="2994"/>
      <c r="DA121" s="2994"/>
      <c r="DB121" s="2994"/>
      <c r="DC121" s="2994"/>
      <c r="DD121" s="2994"/>
      <c r="DE121" s="2994"/>
      <c r="DF121" s="2994"/>
      <c r="DG121" s="2994"/>
      <c r="DH121" s="2994"/>
      <c r="DI121" s="2994"/>
      <c r="DJ121" s="2994"/>
      <c r="DK121" s="2994"/>
      <c r="DL121" s="2994"/>
      <c r="DM121" s="2994"/>
      <c r="DN121" s="2994"/>
      <c r="DO121" s="2994"/>
      <c r="DP121" s="2994"/>
      <c r="DQ121" s="2994"/>
      <c r="DR121" s="2994"/>
      <c r="DS121" s="2994"/>
      <c r="DT121" s="2994"/>
      <c r="DU121" s="2994"/>
      <c r="DV121" s="2994"/>
      <c r="DW121" s="2994"/>
      <c r="DX121" s="2994"/>
      <c r="DY121" s="2994"/>
      <c r="DZ121" s="2994"/>
      <c r="EA121" s="2994"/>
      <c r="EB121" s="2994"/>
      <c r="EC121" s="2994"/>
      <c r="ED121" s="2994"/>
      <c r="EE121" s="2994"/>
      <c r="EF121" s="2994"/>
      <c r="EG121" s="2994"/>
      <c r="EH121" s="2994"/>
      <c r="EI121" s="2994"/>
      <c r="EJ121" s="2994"/>
      <c r="EK121" s="2994"/>
      <c r="EL121" s="2994"/>
      <c r="EM121" s="2994"/>
      <c r="EN121" s="2994"/>
      <c r="EO121" s="2994"/>
      <c r="EP121" s="2994"/>
      <c r="EQ121" s="2994"/>
      <c r="ER121" s="2994"/>
      <c r="ES121" s="2994"/>
      <c r="ET121" s="2994"/>
      <c r="EU121" s="2994"/>
      <c r="EV121" s="2994"/>
      <c r="EW121" s="2994"/>
      <c r="EX121" s="2994"/>
      <c r="EY121" s="2994"/>
      <c r="EZ121" s="2994"/>
      <c r="FA121" s="2994"/>
      <c r="FB121" s="2994"/>
      <c r="FC121" s="2994"/>
      <c r="FD121" s="2994"/>
      <c r="FE121" s="2994"/>
      <c r="FF121" s="2994"/>
      <c r="FG121" s="2994"/>
      <c r="FH121" s="2994"/>
      <c r="FI121" s="2994"/>
      <c r="FJ121" s="2994"/>
      <c r="FK121" s="2994"/>
      <c r="FL121" s="2994"/>
      <c r="FM121" s="2994"/>
      <c r="FN121" s="2994"/>
      <c r="FO121" s="2994"/>
      <c r="FP121" s="2994"/>
      <c r="FQ121" s="2994"/>
      <c r="FR121" s="2994"/>
      <c r="FS121" s="2994"/>
      <c r="FT121" s="2994"/>
      <c r="FU121" s="2994"/>
      <c r="FV121" s="2994"/>
      <c r="FW121" s="2994"/>
      <c r="FX121" s="2994"/>
      <c r="FY121" s="2994"/>
      <c r="FZ121" s="2994"/>
      <c r="GA121" s="2994"/>
      <c r="GB121" s="2994"/>
      <c r="GC121" s="2994"/>
      <c r="GD121" s="2994"/>
      <c r="GE121" s="2994"/>
      <c r="GF121" s="2994"/>
      <c r="GG121" s="2994"/>
      <c r="GH121" s="2994"/>
      <c r="GI121" s="2994"/>
      <c r="GJ121" s="2994"/>
      <c r="GK121" s="2994"/>
      <c r="GL121" s="2994"/>
      <c r="GM121" s="2994"/>
      <c r="GN121" s="2994"/>
      <c r="GO121" s="2994"/>
      <c r="GP121" s="2994"/>
      <c r="GQ121" s="2994"/>
      <c r="GR121" s="2994"/>
      <c r="GS121" s="2994"/>
      <c r="GT121" s="2994"/>
      <c r="GU121" s="2994"/>
      <c r="GV121" s="2994"/>
      <c r="GW121" s="2994"/>
      <c r="GX121" s="2994"/>
      <c r="GY121" s="2994"/>
      <c r="GZ121" s="2994"/>
      <c r="HA121" s="2994"/>
      <c r="HB121" s="2994"/>
      <c r="HC121" s="2994"/>
      <c r="HD121" s="2994"/>
      <c r="HE121" s="2994"/>
      <c r="HF121" s="2994"/>
      <c r="HG121" s="2994"/>
      <c r="HH121" s="2994"/>
      <c r="HI121" s="2994"/>
      <c r="HJ121" s="2994"/>
      <c r="HK121" s="2994"/>
      <c r="HL121" s="2994"/>
      <c r="HM121" s="2994"/>
      <c r="HN121" s="2994"/>
      <c r="HO121" s="2994"/>
      <c r="HP121" s="2994"/>
      <c r="HQ121" s="2994"/>
      <c r="HR121" s="2994"/>
      <c r="HS121" s="2994"/>
      <c r="HT121" s="2994"/>
      <c r="HU121" s="2994"/>
      <c r="HV121" s="2994"/>
      <c r="HW121" s="2994"/>
      <c r="HX121" s="2994"/>
      <c r="HY121" s="2994"/>
      <c r="HZ121" s="2994"/>
      <c r="IA121" s="2994"/>
      <c r="IB121" s="2994"/>
      <c r="IC121" s="2994"/>
      <c r="ID121" s="2994"/>
      <c r="IE121" s="2994"/>
    </row>
    <row r="122" s="2840" customFormat="1" ht="32" customHeight="1" spans="1:239 16384:16384">
      <c r="A122" s="2997">
        <v>46105</v>
      </c>
      <c r="B122" s="2974" t="s">
        <v>2285</v>
      </c>
      <c r="C122" s="2973" t="s">
        <v>2580</v>
      </c>
      <c r="D122" s="2998">
        <v>4500198067</v>
      </c>
      <c r="E122" s="2975" t="s">
        <v>8859</v>
      </c>
      <c r="F122" s="3000" t="s">
        <v>10532</v>
      </c>
      <c r="G122" s="2977" t="s">
        <v>10199</v>
      </c>
      <c r="H122" s="2977" t="s">
        <v>9155</v>
      </c>
      <c r="I122" s="2979">
        <v>1080</v>
      </c>
      <c r="J122" s="2979">
        <v>0</v>
      </c>
      <c r="K122" s="2979">
        <v>4</v>
      </c>
      <c r="L122" s="2979">
        <f t="shared" si="146"/>
        <v>270</v>
      </c>
      <c r="M122" s="2980">
        <v>46203</v>
      </c>
      <c r="N122" s="2980">
        <f>M122-4</f>
        <v>46199</v>
      </c>
      <c r="O122" s="2982"/>
      <c r="P122" s="2914" t="s">
        <v>82</v>
      </c>
      <c r="Q122" s="2999" t="s">
        <v>401</v>
      </c>
      <c r="R122" s="2984" t="s">
        <v>3675</v>
      </c>
      <c r="S122" s="2984"/>
      <c r="T122" s="3003" t="s">
        <v>10533</v>
      </c>
      <c r="U122" s="2984"/>
      <c r="V122" s="2984"/>
      <c r="W122" s="3001" t="s">
        <v>8870</v>
      </c>
      <c r="X122" s="2979" t="s">
        <v>8871</v>
      </c>
      <c r="Y122" s="3002">
        <v>7.1848</v>
      </c>
      <c r="Z122" s="2987">
        <f>I122*Y122</f>
        <v>7759.584</v>
      </c>
      <c r="AA122" s="2979"/>
      <c r="AB122" s="2974" t="s">
        <v>10312</v>
      </c>
      <c r="AC122" s="2979" t="s">
        <v>416</v>
      </c>
      <c r="AD122" s="2920"/>
      <c r="AE122" s="2920">
        <f>I122</f>
        <v>1080</v>
      </c>
      <c r="AF122" s="2920"/>
      <c r="AG122" s="2920"/>
      <c r="AH122" s="2920"/>
      <c r="AI122" s="2920"/>
      <c r="AJ122" s="2988"/>
      <c r="AK122" s="2988">
        <f t="shared" si="177"/>
        <v>1080</v>
      </c>
      <c r="AL122" s="2988"/>
      <c r="AM122" s="2988"/>
      <c r="AN122" s="2989"/>
      <c r="AO122" s="2990"/>
      <c r="AP122" s="2988"/>
      <c r="AQ122" s="2988">
        <f>I122/3</f>
        <v>360</v>
      </c>
      <c r="AR122" s="2991"/>
      <c r="AS122" s="2990">
        <f>I122/3</f>
        <v>360</v>
      </c>
      <c r="AT122" s="2988">
        <f>I122/3</f>
        <v>360</v>
      </c>
      <c r="AU122" s="2988"/>
      <c r="AV122" s="2991"/>
      <c r="AW122" s="2990"/>
      <c r="AX122" s="2988"/>
      <c r="AY122" s="2988"/>
      <c r="AZ122" s="2991"/>
      <c r="BA122" s="2990"/>
      <c r="BB122" s="2991"/>
      <c r="BC122" s="2992"/>
      <c r="BD122" s="2988">
        <f>I122</f>
        <v>1080</v>
      </c>
      <c r="BE122" s="2988"/>
      <c r="BF122" s="2988">
        <f t="shared" si="215"/>
        <v>1080</v>
      </c>
      <c r="BG122" s="2988" t="s">
        <v>9164</v>
      </c>
      <c r="BH122" s="2988"/>
      <c r="BI122" s="2988">
        <f>I122/4</f>
        <v>270</v>
      </c>
      <c r="BJ122" s="2988">
        <f t="shared" ref="BJ122:BP122" si="251">BI122</f>
        <v>270</v>
      </c>
      <c r="BK122" s="2988">
        <f t="shared" si="251"/>
        <v>270</v>
      </c>
      <c r="BL122" s="2988">
        <f t="shared" si="251"/>
        <v>270</v>
      </c>
      <c r="BM122" s="2993">
        <f t="shared" si="251"/>
        <v>270</v>
      </c>
      <c r="BN122" s="2988">
        <f t="shared" si="251"/>
        <v>270</v>
      </c>
      <c r="BO122" s="2993">
        <f t="shared" si="251"/>
        <v>270</v>
      </c>
      <c r="BP122" s="2988">
        <f t="shared" si="251"/>
        <v>270</v>
      </c>
      <c r="BQ122" s="2993">
        <f t="shared" si="169"/>
        <v>239105</v>
      </c>
      <c r="BR122" s="2993"/>
      <c r="BS122" s="2993"/>
      <c r="BT122" s="2993"/>
      <c r="BU122" s="2993"/>
      <c r="BV122" s="2993"/>
      <c r="BW122" s="2993"/>
      <c r="BX122" s="2993"/>
      <c r="BY122" s="2993"/>
      <c r="BZ122" s="2979"/>
      <c r="CA122" s="2994"/>
      <c r="CB122" s="2994"/>
      <c r="CC122" s="2994"/>
      <c r="CD122" s="2994"/>
      <c r="CE122" s="2994"/>
      <c r="CF122" s="2994"/>
      <c r="CG122" s="2994"/>
      <c r="CH122" s="2994"/>
      <c r="CI122" s="2994"/>
      <c r="CJ122" s="2994"/>
      <c r="CK122" s="2994"/>
      <c r="CL122" s="2994"/>
      <c r="CM122" s="2994"/>
      <c r="CN122" s="2994"/>
      <c r="CO122" s="2994"/>
      <c r="CP122" s="2994"/>
      <c r="CQ122" s="2994"/>
      <c r="CR122" s="2994"/>
      <c r="CS122" s="2994"/>
      <c r="CT122" s="2994"/>
      <c r="CU122" s="2994"/>
      <c r="CV122" s="2994"/>
      <c r="CW122" s="2994"/>
      <c r="CX122" s="2994"/>
      <c r="CY122" s="2994"/>
      <c r="CZ122" s="2994"/>
      <c r="DA122" s="2994"/>
      <c r="DB122" s="2994"/>
      <c r="DC122" s="2994"/>
      <c r="DD122" s="2994"/>
      <c r="DE122" s="2994"/>
      <c r="DF122" s="2994"/>
      <c r="DG122" s="2994"/>
      <c r="DH122" s="2994"/>
      <c r="DI122" s="2994"/>
      <c r="DJ122" s="2994"/>
      <c r="DK122" s="2994"/>
      <c r="DL122" s="2994"/>
      <c r="DM122" s="2994"/>
      <c r="DN122" s="2994"/>
      <c r="DO122" s="2994"/>
      <c r="DP122" s="2994"/>
      <c r="DQ122" s="2994"/>
      <c r="DR122" s="2994"/>
      <c r="DS122" s="2994"/>
      <c r="DT122" s="2994"/>
      <c r="DU122" s="2994"/>
      <c r="DV122" s="2994"/>
      <c r="DW122" s="2994"/>
      <c r="DX122" s="2994"/>
      <c r="DY122" s="2994"/>
      <c r="DZ122" s="2994"/>
      <c r="EA122" s="2994"/>
      <c r="EB122" s="2994"/>
      <c r="EC122" s="2994"/>
      <c r="ED122" s="2994"/>
      <c r="EE122" s="2994"/>
      <c r="EF122" s="2994"/>
      <c r="EG122" s="2994"/>
      <c r="EH122" s="2994"/>
      <c r="EI122" s="2994"/>
      <c r="EJ122" s="2994"/>
      <c r="EK122" s="2994"/>
      <c r="EL122" s="2994"/>
      <c r="EM122" s="2994"/>
      <c r="EN122" s="2994"/>
      <c r="EO122" s="2994"/>
      <c r="EP122" s="2994"/>
      <c r="EQ122" s="2994"/>
      <c r="ER122" s="2994"/>
      <c r="ES122" s="2994"/>
      <c r="ET122" s="2994"/>
      <c r="EU122" s="2994"/>
      <c r="EV122" s="2994"/>
      <c r="EW122" s="2994"/>
      <c r="EX122" s="2994"/>
      <c r="EY122" s="2994"/>
      <c r="EZ122" s="2994"/>
      <c r="FA122" s="2994"/>
      <c r="FB122" s="2994"/>
      <c r="FC122" s="2994"/>
      <c r="FD122" s="2994"/>
      <c r="FE122" s="2994"/>
      <c r="FF122" s="2994"/>
      <c r="FG122" s="2994"/>
      <c r="FH122" s="2994"/>
      <c r="FI122" s="2994"/>
      <c r="FJ122" s="2994"/>
      <c r="FK122" s="2994"/>
      <c r="FL122" s="2994"/>
      <c r="FM122" s="2994"/>
      <c r="FN122" s="2994"/>
      <c r="FO122" s="2994"/>
      <c r="FP122" s="2994"/>
      <c r="FQ122" s="2994"/>
      <c r="FR122" s="2994"/>
      <c r="FS122" s="2994"/>
      <c r="FT122" s="2994"/>
      <c r="FU122" s="2994"/>
      <c r="FV122" s="2994"/>
      <c r="FW122" s="2994"/>
      <c r="FX122" s="2994"/>
      <c r="FY122" s="2994"/>
      <c r="FZ122" s="2994"/>
      <c r="GA122" s="2994"/>
      <c r="GB122" s="2994"/>
      <c r="GC122" s="2994"/>
      <c r="GD122" s="2994"/>
      <c r="GE122" s="2994"/>
      <c r="GF122" s="2994"/>
      <c r="GG122" s="2994"/>
      <c r="GH122" s="2994"/>
      <c r="GI122" s="2994"/>
      <c r="GJ122" s="2994"/>
      <c r="GK122" s="2994"/>
      <c r="GL122" s="2994"/>
      <c r="GM122" s="2994"/>
      <c r="GN122" s="2994"/>
      <c r="GO122" s="2994"/>
      <c r="GP122" s="2994"/>
      <c r="GQ122" s="2994"/>
      <c r="GR122" s="2994"/>
      <c r="GS122" s="2994"/>
      <c r="GT122" s="2994"/>
      <c r="GU122" s="2994"/>
      <c r="GV122" s="2994"/>
      <c r="GW122" s="2994"/>
      <c r="GX122" s="2994"/>
      <c r="GY122" s="2994"/>
      <c r="GZ122" s="2994"/>
      <c r="HA122" s="2994"/>
      <c r="HB122" s="2994"/>
      <c r="HC122" s="2994"/>
      <c r="HD122" s="2994"/>
      <c r="HE122" s="2994"/>
      <c r="HF122" s="2994"/>
      <c r="HG122" s="2994"/>
      <c r="HH122" s="2994"/>
      <c r="HI122" s="2994"/>
      <c r="HJ122" s="2994"/>
      <c r="HK122" s="2994"/>
      <c r="HL122" s="2994"/>
      <c r="HM122" s="2994"/>
      <c r="HN122" s="2994"/>
      <c r="HO122" s="2994"/>
      <c r="HP122" s="2994"/>
      <c r="HQ122" s="2994"/>
      <c r="HR122" s="2994"/>
      <c r="HS122" s="2994"/>
      <c r="HT122" s="2994"/>
      <c r="HU122" s="2994"/>
      <c r="HV122" s="2994"/>
      <c r="HW122" s="2994"/>
      <c r="HX122" s="2994"/>
      <c r="HY122" s="2994"/>
      <c r="HZ122" s="2994"/>
      <c r="IA122" s="2994"/>
      <c r="IB122" s="2994"/>
      <c r="IC122" s="2994"/>
      <c r="ID122" s="2994"/>
      <c r="IE122" s="2994"/>
    </row>
    <row r="123" s="2840" customFormat="1" ht="32" customHeight="1" spans="1:239 16384:16384">
      <c r="A123" s="2997">
        <v>46105</v>
      </c>
      <c r="B123" s="2974" t="s">
        <v>2285</v>
      </c>
      <c r="C123" s="2973" t="s">
        <v>2580</v>
      </c>
      <c r="D123" s="2998">
        <v>4500198142</v>
      </c>
      <c r="E123" s="2975" t="s">
        <v>8859</v>
      </c>
      <c r="F123" s="3000" t="s">
        <v>10534</v>
      </c>
      <c r="G123" s="2977" t="s">
        <v>10199</v>
      </c>
      <c r="H123" s="2977" t="s">
        <v>9155</v>
      </c>
      <c r="I123" s="2979">
        <v>1080</v>
      </c>
      <c r="J123" s="2979">
        <v>0</v>
      </c>
      <c r="K123" s="2979">
        <v>4</v>
      </c>
      <c r="L123" s="2979">
        <f>I123/K123</f>
        <v>270</v>
      </c>
      <c r="M123" s="2980">
        <v>46230</v>
      </c>
      <c r="N123" s="2980">
        <f>M123-4</f>
        <v>46226</v>
      </c>
      <c r="O123" s="2982"/>
      <c r="P123" s="2914" t="s">
        <v>82</v>
      </c>
      <c r="Q123" s="2983" t="s">
        <v>5977</v>
      </c>
      <c r="R123" s="2984" t="s">
        <v>3675</v>
      </c>
      <c r="S123" s="2984"/>
      <c r="T123" s="3003" t="s">
        <v>10084</v>
      </c>
      <c r="U123" s="2984"/>
      <c r="V123" s="2984"/>
      <c r="W123" s="3004" t="s">
        <v>10085</v>
      </c>
      <c r="X123" s="2979" t="s">
        <v>1199</v>
      </c>
      <c r="Y123" s="3002">
        <v>7.1848</v>
      </c>
      <c r="Z123" s="2987">
        <f>I123*Y123</f>
        <v>7759.584</v>
      </c>
      <c r="AA123" s="2979"/>
      <c r="AB123" s="2974" t="s">
        <v>10535</v>
      </c>
      <c r="AC123" s="2979" t="s">
        <v>416</v>
      </c>
      <c r="AD123" s="2920"/>
      <c r="AE123" s="2920">
        <f>I123</f>
        <v>1080</v>
      </c>
      <c r="AF123" s="2920"/>
      <c r="AG123" s="2920"/>
      <c r="AH123" s="2920"/>
      <c r="AI123" s="2920"/>
      <c r="AJ123" s="2988"/>
      <c r="AK123" s="2988">
        <f t="shared" si="177"/>
        <v>1080</v>
      </c>
      <c r="AL123" s="2988"/>
      <c r="AM123" s="2988"/>
      <c r="AN123" s="2989"/>
      <c r="AO123" s="2990"/>
      <c r="AP123" s="2988"/>
      <c r="AQ123" s="2988">
        <f>I123/3</f>
        <v>360</v>
      </c>
      <c r="AR123" s="2991"/>
      <c r="AS123" s="2990">
        <f>I123/3</f>
        <v>360</v>
      </c>
      <c r="AT123" s="2988">
        <f>I123/3</f>
        <v>360</v>
      </c>
      <c r="AU123" s="2988"/>
      <c r="AV123" s="2991"/>
      <c r="AW123" s="2990"/>
      <c r="AX123" s="2988"/>
      <c r="AY123" s="2988"/>
      <c r="AZ123" s="2991"/>
      <c r="BA123" s="2990"/>
      <c r="BB123" s="2991"/>
      <c r="BC123" s="2992"/>
      <c r="BD123" s="2988">
        <f>I123</f>
        <v>1080</v>
      </c>
      <c r="BE123" s="2988"/>
      <c r="BF123" s="2988">
        <f t="shared" si="215"/>
        <v>1080</v>
      </c>
      <c r="BG123" s="2988" t="s">
        <v>9164</v>
      </c>
      <c r="BH123" s="2988"/>
      <c r="BI123" s="2988">
        <f>I123/3</f>
        <v>360</v>
      </c>
      <c r="BJ123" s="2988">
        <f>I123/3</f>
        <v>360</v>
      </c>
      <c r="BK123" s="2988">
        <f>I123/3</f>
        <v>360</v>
      </c>
      <c r="BL123" s="2993">
        <f>I123/3</f>
        <v>360</v>
      </c>
      <c r="BM123" s="2988">
        <f>I123/3</f>
        <v>360</v>
      </c>
      <c r="BN123" s="2993">
        <f>I123/3</f>
        <v>360</v>
      </c>
      <c r="BO123" s="2988"/>
      <c r="BP123" s="2993"/>
      <c r="BQ123" s="2993">
        <f t="shared" si="169"/>
        <v>239105</v>
      </c>
      <c r="BR123" s="2993"/>
      <c r="BS123" s="2993"/>
      <c r="BT123" s="2993"/>
      <c r="BU123" s="2993"/>
      <c r="BV123" s="2993"/>
      <c r="BW123" s="2993"/>
      <c r="BX123" s="2993"/>
      <c r="BY123" s="2993"/>
      <c r="BZ123" s="2979"/>
      <c r="CA123" s="2994"/>
      <c r="CB123" s="2994"/>
      <c r="CC123" s="2994"/>
      <c r="CD123" s="2994"/>
      <c r="CE123" s="2994"/>
      <c r="CF123" s="2994"/>
      <c r="CG123" s="2994"/>
      <c r="CH123" s="2994"/>
      <c r="CI123" s="2994"/>
      <c r="CJ123" s="2994"/>
      <c r="CK123" s="2994"/>
      <c r="CL123" s="2994"/>
      <c r="CM123" s="2994"/>
      <c r="CN123" s="2994"/>
      <c r="CO123" s="2994"/>
      <c r="CP123" s="2994"/>
      <c r="CQ123" s="2994"/>
      <c r="CR123" s="2994"/>
      <c r="CS123" s="2994"/>
      <c r="CT123" s="2994"/>
      <c r="CU123" s="2994"/>
      <c r="CV123" s="2994"/>
      <c r="CW123" s="2994"/>
      <c r="CX123" s="2994"/>
      <c r="CY123" s="2994"/>
      <c r="CZ123" s="2994"/>
      <c r="DA123" s="2994"/>
      <c r="DB123" s="2994"/>
      <c r="DC123" s="2994"/>
      <c r="DD123" s="2994"/>
      <c r="DE123" s="2994"/>
      <c r="DF123" s="2994"/>
      <c r="DG123" s="2994"/>
      <c r="DH123" s="2994"/>
      <c r="DI123" s="2994"/>
      <c r="DJ123" s="2994"/>
      <c r="DK123" s="2994"/>
      <c r="DL123" s="2994"/>
      <c r="DM123" s="2994"/>
      <c r="DN123" s="2994"/>
      <c r="DO123" s="2994"/>
      <c r="DP123" s="2994"/>
      <c r="DQ123" s="2994"/>
      <c r="DR123" s="2994"/>
      <c r="DS123" s="2994"/>
      <c r="DT123" s="2994"/>
      <c r="DU123" s="2994"/>
      <c r="DV123" s="2994"/>
      <c r="DW123" s="2994"/>
      <c r="DX123" s="2994"/>
      <c r="DY123" s="2994"/>
      <c r="DZ123" s="2994"/>
      <c r="EA123" s="2994"/>
      <c r="EB123" s="2994"/>
      <c r="EC123" s="2994"/>
      <c r="ED123" s="2994"/>
      <c r="EE123" s="2994"/>
      <c r="EF123" s="2994"/>
      <c r="EG123" s="2994"/>
      <c r="EH123" s="2994"/>
      <c r="EI123" s="2994"/>
      <c r="EJ123" s="2994"/>
      <c r="EK123" s="2994"/>
      <c r="EL123" s="2994"/>
      <c r="EM123" s="2994"/>
      <c r="EN123" s="2994"/>
      <c r="EO123" s="2994"/>
      <c r="EP123" s="2994"/>
      <c r="EQ123" s="2994"/>
      <c r="ER123" s="2994"/>
      <c r="ES123" s="2994"/>
      <c r="ET123" s="2994"/>
      <c r="EU123" s="2994"/>
      <c r="EV123" s="2994"/>
      <c r="EW123" s="2994"/>
      <c r="EX123" s="2994"/>
      <c r="EY123" s="2994"/>
      <c r="EZ123" s="2994"/>
      <c r="FA123" s="2994"/>
      <c r="FB123" s="2994"/>
      <c r="FC123" s="2994"/>
      <c r="FD123" s="2994"/>
      <c r="FE123" s="2994"/>
      <c r="FF123" s="2994"/>
      <c r="FG123" s="2994"/>
      <c r="FH123" s="2994"/>
      <c r="FI123" s="2994"/>
      <c r="FJ123" s="2994"/>
      <c r="FK123" s="2994"/>
      <c r="FL123" s="2994"/>
      <c r="FM123" s="2994"/>
      <c r="FN123" s="2994"/>
      <c r="FO123" s="2994"/>
      <c r="FP123" s="2994"/>
      <c r="FQ123" s="2994"/>
      <c r="FR123" s="2994"/>
      <c r="FS123" s="2994"/>
      <c r="FT123" s="2994"/>
      <c r="FU123" s="2994"/>
      <c r="FV123" s="2994"/>
      <c r="FW123" s="2994"/>
      <c r="FX123" s="2994"/>
      <c r="FY123" s="2994"/>
      <c r="FZ123" s="2994"/>
      <c r="GA123" s="2994"/>
      <c r="GB123" s="2994"/>
      <c r="GC123" s="2994"/>
      <c r="GD123" s="2994"/>
      <c r="GE123" s="2994"/>
      <c r="GF123" s="2994"/>
      <c r="GG123" s="2994"/>
      <c r="GH123" s="2994"/>
      <c r="GI123" s="2994"/>
      <c r="GJ123" s="2994"/>
      <c r="GK123" s="2994"/>
      <c r="GL123" s="2994"/>
      <c r="GM123" s="2994"/>
      <c r="GN123" s="2994"/>
      <c r="GO123" s="2994"/>
      <c r="GP123" s="2994"/>
      <c r="GQ123" s="2994"/>
      <c r="GR123" s="2994"/>
      <c r="GS123" s="2994"/>
      <c r="GT123" s="2994"/>
      <c r="GU123" s="2994"/>
      <c r="GV123" s="2994"/>
      <c r="GW123" s="2994"/>
      <c r="GX123" s="2994"/>
      <c r="GY123" s="2994"/>
      <c r="GZ123" s="2994"/>
      <c r="HA123" s="2994"/>
      <c r="HB123" s="2994"/>
      <c r="HC123" s="2994"/>
      <c r="HD123" s="2994"/>
      <c r="HE123" s="2994"/>
      <c r="HF123" s="2994"/>
      <c r="HG123" s="2994"/>
      <c r="HH123" s="2994"/>
      <c r="HI123" s="2994"/>
      <c r="HJ123" s="2994"/>
      <c r="HK123" s="2994"/>
      <c r="HL123" s="2994"/>
      <c r="HM123" s="2994"/>
      <c r="HN123" s="2994"/>
      <c r="HO123" s="2994"/>
      <c r="HP123" s="2994"/>
      <c r="HQ123" s="2994"/>
      <c r="HR123" s="2994"/>
      <c r="HS123" s="2994"/>
      <c r="HT123" s="2994"/>
      <c r="HU123" s="2994"/>
      <c r="HV123" s="2994"/>
      <c r="HW123" s="2994"/>
      <c r="HX123" s="2994"/>
      <c r="HY123" s="2994"/>
      <c r="HZ123" s="2994"/>
      <c r="IA123" s="2994"/>
      <c r="IB123" s="2994"/>
      <c r="IC123" s="2994"/>
      <c r="ID123" s="2994"/>
      <c r="IE123" s="2994"/>
    </row>
    <row r="124" s="2840" customFormat="1" ht="32" customHeight="1" spans="1:239 16384:16384">
      <c r="A124" s="2997">
        <v>46105</v>
      </c>
      <c r="B124" s="2974" t="s">
        <v>2285</v>
      </c>
      <c r="C124" s="2973" t="s">
        <v>2580</v>
      </c>
      <c r="D124" s="2998">
        <v>4500198142</v>
      </c>
      <c r="E124" s="2975" t="s">
        <v>8864</v>
      </c>
      <c r="F124" s="3000" t="s">
        <v>10536</v>
      </c>
      <c r="G124" s="2977" t="s">
        <v>10199</v>
      </c>
      <c r="H124" s="2977" t="s">
        <v>9155</v>
      </c>
      <c r="I124" s="2979">
        <v>420</v>
      </c>
      <c r="J124" s="2979">
        <v>0</v>
      </c>
      <c r="K124" s="2979">
        <v>4</v>
      </c>
      <c r="L124" s="2979">
        <f>I124/K124</f>
        <v>105</v>
      </c>
      <c r="M124" s="2980">
        <v>46230</v>
      </c>
      <c r="N124" s="2980">
        <f>M124-4</f>
        <v>46226</v>
      </c>
      <c r="O124" s="2982"/>
      <c r="P124" s="2914" t="s">
        <v>82</v>
      </c>
      <c r="Q124" s="2983" t="s">
        <v>5977</v>
      </c>
      <c r="R124" s="2984" t="s">
        <v>3675</v>
      </c>
      <c r="S124" s="2984"/>
      <c r="T124" s="3003" t="s">
        <v>10084</v>
      </c>
      <c r="U124" s="2984"/>
      <c r="V124" s="2984"/>
      <c r="W124" s="3004" t="s">
        <v>10085</v>
      </c>
      <c r="X124" s="2979" t="s">
        <v>1199</v>
      </c>
      <c r="Y124" s="3002">
        <v>7.1848</v>
      </c>
      <c r="Z124" s="2987">
        <f>I124*Y124</f>
        <v>3017.616</v>
      </c>
      <c r="AA124" s="2979"/>
      <c r="AB124" s="2974" t="s">
        <v>10535</v>
      </c>
      <c r="AC124" s="2979" t="s">
        <v>416</v>
      </c>
      <c r="AD124" s="2920"/>
      <c r="AE124" s="2920">
        <f>I124</f>
        <v>420</v>
      </c>
      <c r="AF124" s="2920"/>
      <c r="AG124" s="2920"/>
      <c r="AH124" s="2920"/>
      <c r="AI124" s="2920"/>
      <c r="AJ124" s="2988"/>
      <c r="AK124" s="2988">
        <f t="shared" si="177"/>
        <v>420</v>
      </c>
      <c r="AL124" s="2988"/>
      <c r="AM124" s="2988"/>
      <c r="AN124" s="2989"/>
      <c r="AO124" s="2990"/>
      <c r="AP124" s="2988"/>
      <c r="AQ124" s="2988">
        <f>I124/3</f>
        <v>140</v>
      </c>
      <c r="AR124" s="2991"/>
      <c r="AS124" s="2990">
        <f>I124/3</f>
        <v>140</v>
      </c>
      <c r="AT124" s="2988">
        <f>I124/3</f>
        <v>140</v>
      </c>
      <c r="AU124" s="2988"/>
      <c r="AV124" s="2991"/>
      <c r="AW124" s="2990"/>
      <c r="AX124" s="2988"/>
      <c r="AY124" s="2988"/>
      <c r="AZ124" s="2991"/>
      <c r="BA124" s="2990"/>
      <c r="BB124" s="2991"/>
      <c r="BC124" s="2992"/>
      <c r="BD124" s="2988">
        <f>I124</f>
        <v>420</v>
      </c>
      <c r="BE124" s="2988"/>
      <c r="BF124" s="2988">
        <f t="shared" si="215"/>
        <v>420</v>
      </c>
      <c r="BG124" s="2988" t="s">
        <v>9164</v>
      </c>
      <c r="BH124" s="2988"/>
      <c r="BI124" s="2988">
        <f>I124/3</f>
        <v>140</v>
      </c>
      <c r="BJ124" s="2988">
        <f>I124/3</f>
        <v>140</v>
      </c>
      <c r="BK124" s="2988">
        <f>I124/3</f>
        <v>140</v>
      </c>
      <c r="BL124" s="2993">
        <f>I124/3</f>
        <v>140</v>
      </c>
      <c r="BM124" s="2988">
        <f>I124/3</f>
        <v>140</v>
      </c>
      <c r="BN124" s="2993">
        <f>I124/3</f>
        <v>140</v>
      </c>
      <c r="BO124" s="2988"/>
      <c r="BP124" s="2993"/>
      <c r="BQ124" s="2993">
        <f t="shared" si="169"/>
        <v>238445</v>
      </c>
      <c r="BR124" s="2993"/>
      <c r="BS124" s="2993"/>
      <c r="BT124" s="2993"/>
      <c r="BU124" s="2993"/>
      <c r="BV124" s="2993"/>
      <c r="BW124" s="2993"/>
      <c r="BX124" s="2993"/>
      <c r="BY124" s="2993"/>
      <c r="BZ124" s="2979"/>
      <c r="CA124" s="2994"/>
      <c r="CB124" s="2994"/>
      <c r="CC124" s="2994"/>
      <c r="CD124" s="2994"/>
      <c r="CE124" s="2994"/>
      <c r="CF124" s="2994"/>
      <c r="CG124" s="2994"/>
      <c r="CH124" s="2994"/>
      <c r="CI124" s="2994"/>
      <c r="CJ124" s="2994"/>
      <c r="CK124" s="2994"/>
      <c r="CL124" s="2994"/>
      <c r="CM124" s="2994"/>
      <c r="CN124" s="2994"/>
      <c r="CO124" s="2994"/>
      <c r="CP124" s="2994"/>
      <c r="CQ124" s="2994"/>
      <c r="CR124" s="2994"/>
      <c r="CS124" s="2994"/>
      <c r="CT124" s="2994"/>
      <c r="CU124" s="2994"/>
      <c r="CV124" s="2994"/>
      <c r="CW124" s="2994"/>
      <c r="CX124" s="2994"/>
      <c r="CY124" s="2994"/>
      <c r="CZ124" s="2994"/>
      <c r="DA124" s="2994"/>
      <c r="DB124" s="2994"/>
      <c r="DC124" s="2994"/>
      <c r="DD124" s="2994"/>
      <c r="DE124" s="2994"/>
      <c r="DF124" s="2994"/>
      <c r="DG124" s="2994"/>
      <c r="DH124" s="2994"/>
      <c r="DI124" s="2994"/>
      <c r="DJ124" s="2994"/>
      <c r="DK124" s="2994"/>
      <c r="DL124" s="2994"/>
      <c r="DM124" s="2994"/>
      <c r="DN124" s="2994"/>
      <c r="DO124" s="2994"/>
      <c r="DP124" s="2994"/>
      <c r="DQ124" s="2994"/>
      <c r="DR124" s="2994"/>
      <c r="DS124" s="2994"/>
      <c r="DT124" s="2994"/>
      <c r="DU124" s="2994"/>
      <c r="DV124" s="2994"/>
      <c r="DW124" s="2994"/>
      <c r="DX124" s="2994"/>
      <c r="DY124" s="2994"/>
      <c r="DZ124" s="2994"/>
      <c r="EA124" s="2994"/>
      <c r="EB124" s="2994"/>
      <c r="EC124" s="2994"/>
      <c r="ED124" s="2994"/>
      <c r="EE124" s="2994"/>
      <c r="EF124" s="2994"/>
      <c r="EG124" s="2994"/>
      <c r="EH124" s="2994"/>
      <c r="EI124" s="2994"/>
      <c r="EJ124" s="2994"/>
      <c r="EK124" s="2994"/>
      <c r="EL124" s="2994"/>
      <c r="EM124" s="2994"/>
      <c r="EN124" s="2994"/>
      <c r="EO124" s="2994"/>
      <c r="EP124" s="2994"/>
      <c r="EQ124" s="2994"/>
      <c r="ER124" s="2994"/>
      <c r="ES124" s="2994"/>
      <c r="ET124" s="2994"/>
      <c r="EU124" s="2994"/>
      <c r="EV124" s="2994"/>
      <c r="EW124" s="2994"/>
      <c r="EX124" s="2994"/>
      <c r="EY124" s="2994"/>
      <c r="EZ124" s="2994"/>
      <c r="FA124" s="2994"/>
      <c r="FB124" s="2994"/>
      <c r="FC124" s="2994"/>
      <c r="FD124" s="2994"/>
      <c r="FE124" s="2994"/>
      <c r="FF124" s="2994"/>
      <c r="FG124" s="2994"/>
      <c r="FH124" s="2994"/>
      <c r="FI124" s="2994"/>
      <c r="FJ124" s="2994"/>
      <c r="FK124" s="2994"/>
      <c r="FL124" s="2994"/>
      <c r="FM124" s="2994"/>
      <c r="FN124" s="2994"/>
      <c r="FO124" s="2994"/>
      <c r="FP124" s="2994"/>
      <c r="FQ124" s="2994"/>
      <c r="FR124" s="2994"/>
      <c r="FS124" s="2994"/>
      <c r="FT124" s="2994"/>
      <c r="FU124" s="2994"/>
      <c r="FV124" s="2994"/>
      <c r="FW124" s="2994"/>
      <c r="FX124" s="2994"/>
      <c r="FY124" s="2994"/>
      <c r="FZ124" s="2994"/>
      <c r="GA124" s="2994"/>
      <c r="GB124" s="2994"/>
      <c r="GC124" s="2994"/>
      <c r="GD124" s="2994"/>
      <c r="GE124" s="2994"/>
      <c r="GF124" s="2994"/>
      <c r="GG124" s="2994"/>
      <c r="GH124" s="2994"/>
      <c r="GI124" s="2994"/>
      <c r="GJ124" s="2994"/>
      <c r="GK124" s="2994"/>
      <c r="GL124" s="2994"/>
      <c r="GM124" s="2994"/>
      <c r="GN124" s="2994"/>
      <c r="GO124" s="2994"/>
      <c r="GP124" s="2994"/>
      <c r="GQ124" s="2994"/>
      <c r="GR124" s="2994"/>
      <c r="GS124" s="2994"/>
      <c r="GT124" s="2994"/>
      <c r="GU124" s="2994"/>
      <c r="GV124" s="2994"/>
      <c r="GW124" s="2994"/>
      <c r="GX124" s="2994"/>
      <c r="GY124" s="2994"/>
      <c r="GZ124" s="2994"/>
      <c r="HA124" s="2994"/>
      <c r="HB124" s="2994"/>
      <c r="HC124" s="2994"/>
      <c r="HD124" s="2994"/>
      <c r="HE124" s="2994"/>
      <c r="HF124" s="2994"/>
      <c r="HG124" s="2994"/>
      <c r="HH124" s="2994"/>
      <c r="HI124" s="2994"/>
      <c r="HJ124" s="2994"/>
      <c r="HK124" s="2994"/>
      <c r="HL124" s="2994"/>
      <c r="HM124" s="2994"/>
      <c r="HN124" s="2994"/>
      <c r="HO124" s="2994"/>
      <c r="HP124" s="2994"/>
      <c r="HQ124" s="2994"/>
      <c r="HR124" s="2994"/>
      <c r="HS124" s="2994"/>
      <c r="HT124" s="2994"/>
      <c r="HU124" s="2994"/>
      <c r="HV124" s="2994"/>
      <c r="HW124" s="2994"/>
      <c r="HX124" s="2994"/>
      <c r="HY124" s="2994"/>
      <c r="HZ124" s="2994"/>
      <c r="IA124" s="2994"/>
      <c r="IB124" s="2994"/>
      <c r="IC124" s="2994"/>
      <c r="ID124" s="2994"/>
      <c r="IE124" s="2994"/>
    </row>
    <row r="125" s="2841" customFormat="1" ht="32" customHeight="1" spans="1:239 16384:16384">
      <c r="A125" s="3005"/>
      <c r="B125" s="2903"/>
      <c r="C125" s="3006"/>
      <c r="D125" s="3007"/>
      <c r="E125" s="3008"/>
      <c r="F125" s="3009"/>
      <c r="G125" s="3010"/>
      <c r="H125" s="3011"/>
      <c r="I125" s="2863"/>
      <c r="J125" s="2863"/>
      <c r="K125" s="2863"/>
      <c r="L125" s="2863"/>
      <c r="M125" s="3012"/>
      <c r="N125" s="3012"/>
      <c r="O125" s="3013"/>
      <c r="P125" s="3013"/>
      <c r="Q125" s="3013"/>
      <c r="R125" s="3014"/>
      <c r="S125" s="3014"/>
      <c r="T125" s="3014"/>
      <c r="U125" s="3014"/>
      <c r="V125" s="3014"/>
      <c r="W125" s="2862"/>
      <c r="X125" s="2863"/>
      <c r="Y125" s="3015"/>
      <c r="Z125" s="3016"/>
      <c r="AA125" s="2863"/>
      <c r="AB125" s="2863"/>
      <c r="AC125" s="2863"/>
      <c r="AD125" s="2936"/>
      <c r="AE125" s="2936"/>
      <c r="AF125" s="2936"/>
      <c r="AG125" s="2936"/>
      <c r="AH125" s="2936"/>
      <c r="AI125" s="2936"/>
      <c r="AJ125" s="3017"/>
      <c r="AK125" s="3017"/>
      <c r="AL125" s="3017"/>
      <c r="AM125" s="3017"/>
      <c r="AN125" s="2989"/>
      <c r="AO125" s="3018"/>
      <c r="AP125" s="3017"/>
      <c r="AQ125" s="3017"/>
      <c r="AR125" s="3019"/>
      <c r="AS125" s="3018"/>
      <c r="AT125" s="3017"/>
      <c r="AU125" s="3017"/>
      <c r="AV125" s="3019"/>
      <c r="AW125" s="3018"/>
      <c r="AX125" s="3017"/>
      <c r="AY125" s="3017"/>
      <c r="AZ125" s="3019"/>
      <c r="BA125" s="3018"/>
      <c r="BB125" s="3019"/>
      <c r="BC125" s="3020"/>
      <c r="BD125" s="3017"/>
      <c r="BE125" s="3017"/>
      <c r="BF125" s="3017"/>
      <c r="BG125" s="3017"/>
      <c r="BH125" s="3017"/>
      <c r="BI125" s="3017"/>
      <c r="BJ125" s="3017"/>
      <c r="BK125" s="3017"/>
      <c r="BL125" s="3021"/>
      <c r="BM125" s="3021"/>
      <c r="BN125" s="3021"/>
      <c r="BO125" s="3021"/>
      <c r="BP125" s="3021"/>
      <c r="BQ125" s="3021">
        <f t="shared" si="169"/>
        <v>238025</v>
      </c>
      <c r="BR125" s="2993">
        <f>'取消单-1'!BR90-BI125</f>
        <v>16313.5</v>
      </c>
      <c r="BS125" s="2993">
        <f>'取消单-1'!BS90-BJ125</f>
        <v>-1764</v>
      </c>
      <c r="BT125" s="2993">
        <f>'取消单-1'!BT90-BK125</f>
        <v>-1764</v>
      </c>
      <c r="BU125" s="2993">
        <f>'取消单-1'!BU90-BL125</f>
        <v>-1764</v>
      </c>
      <c r="BV125" s="2993">
        <f>'取消单-1'!BV90-BM125</f>
        <v>-1764</v>
      </c>
      <c r="BW125" s="2993">
        <f>'取消单-1'!BW90-BN125</f>
        <v>-1764</v>
      </c>
      <c r="BX125" s="2993">
        <f>'取消单-1'!BX90-BO125</f>
        <v>-1764</v>
      </c>
      <c r="BY125" s="2993">
        <f>'取消单-1'!BY90-BP125</f>
        <v>-1764</v>
      </c>
      <c r="BZ125" s="2863"/>
      <c r="CA125" s="2835"/>
      <c r="CB125" s="2835"/>
      <c r="CC125" s="2835"/>
      <c r="CD125" s="2835"/>
      <c r="CE125" s="2835"/>
      <c r="CF125" s="2835"/>
      <c r="CG125" s="2835"/>
      <c r="CH125" s="2835"/>
      <c r="CI125" s="2835"/>
      <c r="CJ125" s="2835"/>
      <c r="CK125" s="2835"/>
      <c r="CL125" s="2835"/>
      <c r="CM125" s="2835"/>
      <c r="CN125" s="2835"/>
      <c r="CO125" s="2835"/>
      <c r="CP125" s="2835"/>
      <c r="CQ125" s="2835"/>
      <c r="CR125" s="2835"/>
      <c r="CS125" s="2835"/>
      <c r="CT125" s="2835"/>
      <c r="CU125" s="2835"/>
      <c r="CV125" s="2835"/>
      <c r="CW125" s="2835"/>
      <c r="CX125" s="2835"/>
      <c r="CY125" s="2835"/>
      <c r="CZ125" s="2835"/>
      <c r="DA125" s="2835"/>
      <c r="DB125" s="2835"/>
      <c r="DC125" s="2835"/>
      <c r="DD125" s="2835"/>
      <c r="DE125" s="2835"/>
      <c r="DF125" s="2835"/>
      <c r="DG125" s="2835"/>
      <c r="DH125" s="2835"/>
      <c r="DI125" s="2835"/>
      <c r="DJ125" s="2835"/>
      <c r="DK125" s="2835"/>
      <c r="DL125" s="2835"/>
      <c r="DM125" s="2835"/>
      <c r="DN125" s="2835"/>
      <c r="DO125" s="2835"/>
      <c r="DP125" s="2835"/>
      <c r="DQ125" s="2835"/>
      <c r="DR125" s="2835"/>
      <c r="DS125" s="2835"/>
      <c r="DT125" s="2835"/>
      <c r="DU125" s="2835"/>
      <c r="DV125" s="2835"/>
      <c r="DW125" s="2835"/>
      <c r="DX125" s="2835"/>
      <c r="DY125" s="2835"/>
      <c r="DZ125" s="2835"/>
      <c r="EA125" s="2835"/>
      <c r="EB125" s="2835"/>
      <c r="EC125" s="2835"/>
      <c r="ED125" s="2835"/>
      <c r="EE125" s="2835"/>
      <c r="EF125" s="2835"/>
      <c r="EG125" s="2835"/>
      <c r="EH125" s="2835"/>
      <c r="EI125" s="2835"/>
      <c r="EJ125" s="2835"/>
      <c r="EK125" s="2835"/>
      <c r="EL125" s="2835"/>
      <c r="EM125" s="2835"/>
      <c r="EN125" s="2835"/>
      <c r="EO125" s="2835"/>
      <c r="EP125" s="2835"/>
      <c r="EQ125" s="2835"/>
      <c r="ER125" s="2835"/>
      <c r="ES125" s="2835"/>
      <c r="ET125" s="2835"/>
      <c r="EU125" s="2835"/>
      <c r="EV125" s="2835"/>
      <c r="EW125" s="2835"/>
      <c r="EX125" s="2835"/>
      <c r="EY125" s="2835"/>
      <c r="EZ125" s="2835"/>
      <c r="FA125" s="2835"/>
      <c r="FB125" s="2835"/>
      <c r="FC125" s="2835"/>
      <c r="FD125" s="2835"/>
      <c r="FE125" s="2835"/>
      <c r="FF125" s="2835"/>
      <c r="FG125" s="2835"/>
      <c r="FH125" s="2835"/>
      <c r="FI125" s="2835"/>
      <c r="FJ125" s="2835"/>
      <c r="FK125" s="2835"/>
      <c r="FL125" s="2835"/>
      <c r="FM125" s="2835"/>
      <c r="FN125" s="2835"/>
      <c r="FO125" s="2835"/>
      <c r="FP125" s="2835"/>
      <c r="FQ125" s="2835"/>
      <c r="FR125" s="2835"/>
      <c r="FS125" s="2835"/>
      <c r="FT125" s="2835"/>
      <c r="FU125" s="2835"/>
      <c r="FV125" s="2835"/>
      <c r="FW125" s="2835"/>
      <c r="FX125" s="2835"/>
      <c r="FY125" s="2835"/>
      <c r="FZ125" s="2835"/>
      <c r="GA125" s="2835"/>
      <c r="GB125" s="2835"/>
      <c r="GC125" s="2835"/>
      <c r="GD125" s="2835"/>
      <c r="GE125" s="2835"/>
      <c r="GF125" s="2835"/>
      <c r="GG125" s="2835"/>
      <c r="GH125" s="2835"/>
      <c r="GI125" s="2835"/>
      <c r="GJ125" s="2835"/>
      <c r="GK125" s="2835"/>
      <c r="GL125" s="2835"/>
      <c r="GM125" s="2835"/>
      <c r="GN125" s="2835"/>
      <c r="GO125" s="2835"/>
      <c r="GP125" s="2835"/>
      <c r="GQ125" s="2835"/>
      <c r="GR125" s="2835"/>
      <c r="GS125" s="2835"/>
      <c r="GT125" s="2835"/>
      <c r="GU125" s="2835"/>
      <c r="GV125" s="2835"/>
      <c r="GW125" s="2835"/>
      <c r="GX125" s="2835"/>
      <c r="GY125" s="2835"/>
      <c r="GZ125" s="2835"/>
      <c r="HA125" s="2835"/>
      <c r="HB125" s="2835"/>
      <c r="HC125" s="2835"/>
      <c r="HD125" s="2835"/>
      <c r="HE125" s="2835"/>
      <c r="HF125" s="2835"/>
      <c r="HG125" s="2835"/>
      <c r="HH125" s="2835"/>
      <c r="HI125" s="2835"/>
      <c r="HJ125" s="2835"/>
      <c r="HK125" s="2835"/>
      <c r="HL125" s="2835"/>
      <c r="HM125" s="2835"/>
      <c r="HN125" s="2835"/>
      <c r="HO125" s="2835"/>
      <c r="HP125" s="2835"/>
      <c r="HQ125" s="2835"/>
      <c r="HR125" s="2835"/>
      <c r="HS125" s="2835"/>
      <c r="HT125" s="2835"/>
      <c r="HU125" s="2835"/>
      <c r="HV125" s="2835"/>
      <c r="HW125" s="2835"/>
      <c r="HX125" s="2835"/>
      <c r="HY125" s="2835"/>
      <c r="HZ125" s="2835"/>
      <c r="IA125" s="2835"/>
      <c r="IB125" s="2835"/>
      <c r="IC125" s="2835"/>
      <c r="ID125" s="2835"/>
      <c r="IE125" s="2835"/>
    </row>
    <row r="126" s="2841" customFormat="1" ht="32" customHeight="1" spans="1:239 16384:16384">
      <c r="A126" s="3005"/>
      <c r="B126" s="2903"/>
      <c r="C126" s="3006"/>
      <c r="D126" s="3007"/>
      <c r="E126" s="3008"/>
      <c r="F126" s="3009"/>
      <c r="G126" s="3010"/>
      <c r="H126" s="3011"/>
      <c r="I126" s="2863"/>
      <c r="J126" s="2863"/>
      <c r="K126" s="2863"/>
      <c r="L126" s="2863"/>
      <c r="M126" s="3012"/>
      <c r="N126" s="3012"/>
      <c r="O126" s="3013"/>
      <c r="P126" s="3013"/>
      <c r="Q126" s="3013"/>
      <c r="R126" s="3014"/>
      <c r="S126" s="3014"/>
      <c r="T126" s="3014"/>
      <c r="U126" s="3014"/>
      <c r="V126" s="3014"/>
      <c r="W126" s="3022"/>
      <c r="X126" s="2863"/>
      <c r="Y126" s="3015"/>
      <c r="Z126" s="3016"/>
      <c r="AA126" s="2863"/>
      <c r="AB126" s="2863"/>
      <c r="AC126" s="2863"/>
      <c r="AD126" s="2936"/>
      <c r="AE126" s="2936"/>
      <c r="AF126" s="2936"/>
      <c r="AG126" s="2936"/>
      <c r="AH126" s="2936"/>
      <c r="AI126" s="2936"/>
      <c r="AJ126" s="3017"/>
      <c r="AK126" s="3017"/>
      <c r="AL126" s="3017"/>
      <c r="AM126" s="3017"/>
      <c r="AN126" s="2989"/>
      <c r="AO126" s="3018"/>
      <c r="AP126" s="3017"/>
      <c r="AQ126" s="3017"/>
      <c r="AR126" s="3019"/>
      <c r="AS126" s="3018"/>
      <c r="AT126" s="3017"/>
      <c r="AU126" s="3017"/>
      <c r="AV126" s="3019"/>
      <c r="AW126" s="3018"/>
      <c r="AX126" s="3017"/>
      <c r="AY126" s="3017"/>
      <c r="AZ126" s="3019"/>
      <c r="BA126" s="3018"/>
      <c r="BB126" s="3019"/>
      <c r="BC126" s="3020"/>
      <c r="BD126" s="3017"/>
      <c r="BE126" s="3017"/>
      <c r="BF126" s="3017"/>
      <c r="BG126" s="3017"/>
      <c r="BH126" s="3017"/>
      <c r="BI126" s="3017"/>
      <c r="BJ126" s="3017"/>
      <c r="BK126" s="3017"/>
      <c r="BL126" s="3021"/>
      <c r="BM126" s="3021"/>
      <c r="BN126" s="3021"/>
      <c r="BO126" s="3021"/>
      <c r="BP126" s="3021"/>
      <c r="BQ126" s="3021">
        <f t="shared" si="169"/>
        <v>238025</v>
      </c>
      <c r="BR126" s="2993">
        <f t="shared" ref="BR126:BY126" si="252">BR125-BI126</f>
        <v>16313.5</v>
      </c>
      <c r="BS126" s="2993">
        <f t="shared" si="252"/>
        <v>-1764</v>
      </c>
      <c r="BT126" s="2993">
        <f t="shared" si="252"/>
        <v>-1764</v>
      </c>
      <c r="BU126" s="2993">
        <f t="shared" si="252"/>
        <v>-1764</v>
      </c>
      <c r="BV126" s="2993">
        <f t="shared" si="252"/>
        <v>-1764</v>
      </c>
      <c r="BW126" s="2993">
        <f t="shared" si="252"/>
        <v>-1764</v>
      </c>
      <c r="BX126" s="2993">
        <f t="shared" si="252"/>
        <v>-1764</v>
      </c>
      <c r="BY126" s="2993">
        <f t="shared" si="252"/>
        <v>-1764</v>
      </c>
      <c r="BZ126" s="2863"/>
      <c r="CA126" s="2835"/>
      <c r="CB126" s="2835"/>
      <c r="CC126" s="2835"/>
      <c r="CD126" s="2835"/>
      <c r="CE126" s="2835"/>
      <c r="CF126" s="2835"/>
      <c r="CG126" s="2835"/>
      <c r="CH126" s="2835"/>
      <c r="CI126" s="2835"/>
      <c r="CJ126" s="2835"/>
      <c r="CK126" s="2835"/>
      <c r="CL126" s="2835"/>
      <c r="CM126" s="2835"/>
      <c r="CN126" s="2835"/>
      <c r="CO126" s="2835"/>
      <c r="CP126" s="2835"/>
      <c r="CQ126" s="2835"/>
      <c r="CR126" s="2835"/>
      <c r="CS126" s="2835"/>
      <c r="CT126" s="2835"/>
      <c r="CU126" s="2835"/>
      <c r="CV126" s="2835"/>
      <c r="CW126" s="2835"/>
      <c r="CX126" s="2835"/>
      <c r="CY126" s="2835"/>
      <c r="CZ126" s="2835"/>
      <c r="DA126" s="2835"/>
      <c r="DB126" s="2835"/>
      <c r="DC126" s="2835"/>
      <c r="DD126" s="2835"/>
      <c r="DE126" s="2835"/>
      <c r="DF126" s="2835"/>
      <c r="DG126" s="2835"/>
      <c r="DH126" s="2835"/>
      <c r="DI126" s="2835"/>
      <c r="DJ126" s="2835"/>
      <c r="DK126" s="2835"/>
      <c r="DL126" s="2835"/>
      <c r="DM126" s="2835"/>
      <c r="DN126" s="2835"/>
      <c r="DO126" s="2835"/>
      <c r="DP126" s="2835"/>
      <c r="DQ126" s="2835"/>
      <c r="DR126" s="2835"/>
      <c r="DS126" s="2835"/>
      <c r="DT126" s="2835"/>
      <c r="DU126" s="2835"/>
      <c r="DV126" s="2835"/>
      <c r="DW126" s="2835"/>
      <c r="DX126" s="2835"/>
      <c r="DY126" s="2835"/>
      <c r="DZ126" s="2835"/>
      <c r="EA126" s="2835"/>
      <c r="EB126" s="2835"/>
      <c r="EC126" s="2835"/>
      <c r="ED126" s="2835"/>
      <c r="EE126" s="2835"/>
      <c r="EF126" s="2835"/>
      <c r="EG126" s="2835"/>
      <c r="EH126" s="2835"/>
      <c r="EI126" s="2835"/>
      <c r="EJ126" s="2835"/>
      <c r="EK126" s="2835"/>
      <c r="EL126" s="2835"/>
      <c r="EM126" s="2835"/>
      <c r="EN126" s="2835"/>
      <c r="EO126" s="2835"/>
      <c r="EP126" s="2835"/>
      <c r="EQ126" s="2835"/>
      <c r="ER126" s="2835"/>
      <c r="ES126" s="2835"/>
      <c r="ET126" s="2835"/>
      <c r="EU126" s="2835"/>
      <c r="EV126" s="2835"/>
      <c r="EW126" s="2835"/>
      <c r="EX126" s="2835"/>
      <c r="EY126" s="2835"/>
      <c r="EZ126" s="2835"/>
      <c r="FA126" s="2835"/>
      <c r="FB126" s="2835"/>
      <c r="FC126" s="2835"/>
      <c r="FD126" s="2835"/>
      <c r="FE126" s="2835"/>
      <c r="FF126" s="2835"/>
      <c r="FG126" s="2835"/>
      <c r="FH126" s="2835"/>
      <c r="FI126" s="2835"/>
      <c r="FJ126" s="2835"/>
      <c r="FK126" s="2835"/>
      <c r="FL126" s="2835"/>
      <c r="FM126" s="2835"/>
      <c r="FN126" s="2835"/>
      <c r="FO126" s="2835"/>
      <c r="FP126" s="2835"/>
      <c r="FQ126" s="2835"/>
      <c r="FR126" s="2835"/>
      <c r="FS126" s="2835"/>
      <c r="FT126" s="2835"/>
      <c r="FU126" s="2835"/>
      <c r="FV126" s="2835"/>
      <c r="FW126" s="2835"/>
      <c r="FX126" s="2835"/>
      <c r="FY126" s="2835"/>
      <c r="FZ126" s="2835"/>
      <c r="GA126" s="2835"/>
      <c r="GB126" s="2835"/>
      <c r="GC126" s="2835"/>
      <c r="GD126" s="2835"/>
      <c r="GE126" s="2835"/>
      <c r="GF126" s="2835"/>
      <c r="GG126" s="2835"/>
      <c r="GH126" s="2835"/>
      <c r="GI126" s="2835"/>
      <c r="GJ126" s="2835"/>
      <c r="GK126" s="2835"/>
      <c r="GL126" s="2835"/>
      <c r="GM126" s="2835"/>
      <c r="GN126" s="2835"/>
      <c r="GO126" s="2835"/>
      <c r="GP126" s="2835"/>
      <c r="GQ126" s="2835"/>
      <c r="GR126" s="2835"/>
      <c r="GS126" s="2835"/>
      <c r="GT126" s="2835"/>
      <c r="GU126" s="2835"/>
      <c r="GV126" s="2835"/>
      <c r="GW126" s="2835"/>
      <c r="GX126" s="2835"/>
      <c r="GY126" s="2835"/>
      <c r="GZ126" s="2835"/>
      <c r="HA126" s="2835"/>
      <c r="HB126" s="2835"/>
      <c r="HC126" s="2835"/>
      <c r="HD126" s="2835"/>
      <c r="HE126" s="2835"/>
      <c r="HF126" s="2835"/>
      <c r="HG126" s="2835"/>
      <c r="HH126" s="2835"/>
      <c r="HI126" s="2835"/>
      <c r="HJ126" s="2835"/>
      <c r="HK126" s="2835"/>
      <c r="HL126" s="2835"/>
      <c r="HM126" s="2835"/>
      <c r="HN126" s="2835"/>
      <c r="HO126" s="2835"/>
      <c r="HP126" s="2835"/>
      <c r="HQ126" s="2835"/>
      <c r="HR126" s="2835"/>
      <c r="HS126" s="2835"/>
      <c r="HT126" s="2835"/>
      <c r="HU126" s="2835"/>
      <c r="HV126" s="2835"/>
      <c r="HW126" s="2835"/>
      <c r="HX126" s="2835"/>
      <c r="HY126" s="2835"/>
      <c r="HZ126" s="2835"/>
      <c r="IA126" s="2835"/>
      <c r="IB126" s="2835"/>
      <c r="IC126" s="2835"/>
      <c r="ID126" s="2835"/>
      <c r="IE126" s="2835"/>
    </row>
    <row r="127" s="2841" customFormat="1" ht="32" customHeight="1" spans="1:239 16384:16384">
      <c r="A127" s="3005"/>
      <c r="B127" s="2903"/>
      <c r="C127" s="3006"/>
      <c r="D127" s="3007"/>
      <c r="E127" s="3008"/>
      <c r="F127" s="3009"/>
      <c r="G127" s="3010"/>
      <c r="H127" s="3011"/>
      <c r="I127" s="2863"/>
      <c r="J127" s="2863"/>
      <c r="K127" s="2863"/>
      <c r="L127" s="2863"/>
      <c r="M127" s="3012"/>
      <c r="N127" s="3012"/>
      <c r="O127" s="3013"/>
      <c r="P127" s="3013"/>
      <c r="Q127" s="3013"/>
      <c r="R127" s="3014"/>
      <c r="S127" s="3014"/>
      <c r="T127" s="3014"/>
      <c r="U127" s="3014"/>
      <c r="V127" s="3014"/>
      <c r="W127" s="3022"/>
      <c r="X127" s="2863"/>
      <c r="Y127" s="3015"/>
      <c r="Z127" s="3016"/>
      <c r="AA127" s="2863"/>
      <c r="AB127" s="2863"/>
      <c r="AC127" s="2863"/>
      <c r="AD127" s="2936"/>
      <c r="AE127" s="2936"/>
      <c r="AF127" s="2936"/>
      <c r="AG127" s="2936"/>
      <c r="AH127" s="2936"/>
      <c r="AI127" s="2936"/>
      <c r="AJ127" s="3017"/>
      <c r="AK127" s="3017"/>
      <c r="AL127" s="3017"/>
      <c r="AM127" s="3017"/>
      <c r="AN127" s="2989"/>
      <c r="AO127" s="3018"/>
      <c r="AP127" s="3017"/>
      <c r="AQ127" s="3017"/>
      <c r="AR127" s="3019"/>
      <c r="AS127" s="3018"/>
      <c r="AT127" s="3017"/>
      <c r="AU127" s="3017"/>
      <c r="AV127" s="3019"/>
      <c r="AW127" s="3018"/>
      <c r="AX127" s="3017"/>
      <c r="AY127" s="3017"/>
      <c r="AZ127" s="3019"/>
      <c r="BA127" s="3018"/>
      <c r="BB127" s="3019"/>
      <c r="BC127" s="3020"/>
      <c r="BD127" s="3017"/>
      <c r="BE127" s="3017"/>
      <c r="BF127" s="3017"/>
      <c r="BG127" s="3017"/>
      <c r="BH127" s="3017"/>
      <c r="BI127" s="3017"/>
      <c r="BJ127" s="3017"/>
      <c r="BK127" s="3017"/>
      <c r="BL127" s="3021"/>
      <c r="BM127" s="3021"/>
      <c r="BN127" s="3021"/>
      <c r="BO127" s="3021"/>
      <c r="BP127" s="3021"/>
      <c r="BQ127" s="3021">
        <f t="shared" si="169"/>
        <v>238025</v>
      </c>
      <c r="BR127" s="2993">
        <f t="shared" ref="BR127:BY127" si="253">BR126-BI127</f>
        <v>16313.5</v>
      </c>
      <c r="BS127" s="2993">
        <f t="shared" si="253"/>
        <v>-1764</v>
      </c>
      <c r="BT127" s="2993">
        <f t="shared" si="253"/>
        <v>-1764</v>
      </c>
      <c r="BU127" s="2993">
        <f t="shared" si="253"/>
        <v>-1764</v>
      </c>
      <c r="BV127" s="2993">
        <f t="shared" si="253"/>
        <v>-1764</v>
      </c>
      <c r="BW127" s="2993">
        <f t="shared" si="253"/>
        <v>-1764</v>
      </c>
      <c r="BX127" s="2993">
        <f t="shared" si="253"/>
        <v>-1764</v>
      </c>
      <c r="BY127" s="2993">
        <f t="shared" si="253"/>
        <v>-1764</v>
      </c>
      <c r="BZ127" s="2863"/>
      <c r="CA127" s="2835"/>
      <c r="CB127" s="2835"/>
      <c r="CC127" s="2835"/>
      <c r="CD127" s="2835"/>
      <c r="CE127" s="2835"/>
      <c r="CF127" s="2835"/>
      <c r="CG127" s="2835"/>
      <c r="CH127" s="2835"/>
      <c r="CI127" s="2835"/>
      <c r="CJ127" s="2835"/>
      <c r="CK127" s="2835"/>
      <c r="CL127" s="2835"/>
      <c r="CM127" s="2835"/>
      <c r="CN127" s="2835"/>
      <c r="CO127" s="2835"/>
      <c r="CP127" s="2835"/>
      <c r="CQ127" s="2835"/>
      <c r="CR127" s="2835"/>
      <c r="CS127" s="2835"/>
      <c r="CT127" s="2835"/>
      <c r="CU127" s="2835"/>
      <c r="CV127" s="2835"/>
      <c r="CW127" s="2835"/>
      <c r="CX127" s="2835"/>
      <c r="CY127" s="2835"/>
      <c r="CZ127" s="2835"/>
      <c r="DA127" s="2835"/>
      <c r="DB127" s="2835"/>
      <c r="DC127" s="2835"/>
      <c r="DD127" s="2835"/>
      <c r="DE127" s="2835"/>
      <c r="DF127" s="2835"/>
      <c r="DG127" s="2835"/>
      <c r="DH127" s="2835"/>
      <c r="DI127" s="2835"/>
      <c r="DJ127" s="2835"/>
      <c r="DK127" s="2835"/>
      <c r="DL127" s="2835"/>
      <c r="DM127" s="2835"/>
      <c r="DN127" s="2835"/>
      <c r="DO127" s="2835"/>
      <c r="DP127" s="2835"/>
      <c r="DQ127" s="2835"/>
      <c r="DR127" s="2835"/>
      <c r="DS127" s="2835"/>
      <c r="DT127" s="2835"/>
      <c r="DU127" s="2835"/>
      <c r="DV127" s="2835"/>
      <c r="DW127" s="2835"/>
      <c r="DX127" s="2835"/>
      <c r="DY127" s="2835"/>
      <c r="DZ127" s="2835"/>
      <c r="EA127" s="2835"/>
      <c r="EB127" s="2835"/>
      <c r="EC127" s="2835"/>
      <c r="ED127" s="2835"/>
      <c r="EE127" s="2835"/>
      <c r="EF127" s="2835"/>
      <c r="EG127" s="2835"/>
      <c r="EH127" s="2835"/>
      <c r="EI127" s="2835"/>
      <c r="EJ127" s="2835"/>
      <c r="EK127" s="2835"/>
      <c r="EL127" s="2835"/>
      <c r="EM127" s="2835"/>
      <c r="EN127" s="2835"/>
      <c r="EO127" s="2835"/>
      <c r="EP127" s="2835"/>
      <c r="EQ127" s="2835"/>
      <c r="ER127" s="2835"/>
      <c r="ES127" s="2835"/>
      <c r="ET127" s="2835"/>
      <c r="EU127" s="2835"/>
      <c r="EV127" s="2835"/>
      <c r="EW127" s="2835"/>
      <c r="EX127" s="2835"/>
      <c r="EY127" s="2835"/>
      <c r="EZ127" s="2835"/>
      <c r="FA127" s="2835"/>
      <c r="FB127" s="2835"/>
      <c r="FC127" s="2835"/>
      <c r="FD127" s="2835"/>
      <c r="FE127" s="2835"/>
      <c r="FF127" s="2835"/>
      <c r="FG127" s="2835"/>
      <c r="FH127" s="2835"/>
      <c r="FI127" s="2835"/>
      <c r="FJ127" s="2835"/>
      <c r="FK127" s="2835"/>
      <c r="FL127" s="2835"/>
      <c r="FM127" s="2835"/>
      <c r="FN127" s="2835"/>
      <c r="FO127" s="2835"/>
      <c r="FP127" s="2835"/>
      <c r="FQ127" s="2835"/>
      <c r="FR127" s="2835"/>
      <c r="FS127" s="2835"/>
      <c r="FT127" s="2835"/>
      <c r="FU127" s="2835"/>
      <c r="FV127" s="2835"/>
      <c r="FW127" s="2835"/>
      <c r="FX127" s="2835"/>
      <c r="FY127" s="2835"/>
      <c r="FZ127" s="2835"/>
      <c r="GA127" s="2835"/>
      <c r="GB127" s="2835"/>
      <c r="GC127" s="2835"/>
      <c r="GD127" s="2835"/>
      <c r="GE127" s="2835"/>
      <c r="GF127" s="2835"/>
      <c r="GG127" s="2835"/>
      <c r="GH127" s="2835"/>
      <c r="GI127" s="2835"/>
      <c r="GJ127" s="2835"/>
      <c r="GK127" s="2835"/>
      <c r="GL127" s="2835"/>
      <c r="GM127" s="2835"/>
      <c r="GN127" s="2835"/>
      <c r="GO127" s="2835"/>
      <c r="GP127" s="2835"/>
      <c r="GQ127" s="2835"/>
      <c r="GR127" s="2835"/>
      <c r="GS127" s="2835"/>
      <c r="GT127" s="2835"/>
      <c r="GU127" s="2835"/>
      <c r="GV127" s="2835"/>
      <c r="GW127" s="2835"/>
      <c r="GX127" s="2835"/>
      <c r="GY127" s="2835"/>
      <c r="GZ127" s="2835"/>
      <c r="HA127" s="2835"/>
      <c r="HB127" s="2835"/>
      <c r="HC127" s="2835"/>
      <c r="HD127" s="2835"/>
      <c r="HE127" s="2835"/>
      <c r="HF127" s="2835"/>
      <c r="HG127" s="2835"/>
      <c r="HH127" s="2835"/>
      <c r="HI127" s="2835"/>
      <c r="HJ127" s="2835"/>
      <c r="HK127" s="2835"/>
      <c r="HL127" s="2835"/>
      <c r="HM127" s="2835"/>
      <c r="HN127" s="2835"/>
      <c r="HO127" s="2835"/>
      <c r="HP127" s="2835"/>
      <c r="HQ127" s="2835"/>
      <c r="HR127" s="2835"/>
      <c r="HS127" s="2835"/>
      <c r="HT127" s="2835"/>
      <c r="HU127" s="2835"/>
      <c r="HV127" s="2835"/>
      <c r="HW127" s="2835"/>
      <c r="HX127" s="2835"/>
      <c r="HY127" s="2835"/>
      <c r="HZ127" s="2835"/>
      <c r="IA127" s="2835"/>
      <c r="IB127" s="2835"/>
      <c r="IC127" s="2835"/>
      <c r="ID127" s="2835"/>
      <c r="IE127" s="2835"/>
    </row>
    <row r="128" s="2842" customFormat="1" ht="30" customHeight="1" spans="1:239 16384:16384">
      <c r="A128" s="3023"/>
      <c r="B128" s="3024"/>
      <c r="C128" s="3024"/>
      <c r="D128" s="3024"/>
      <c r="E128" s="3024"/>
      <c r="F128" s="3024"/>
      <c r="G128" s="3025"/>
      <c r="H128" s="3025"/>
      <c r="I128" s="2842">
        <f>SUM(I4:I127)</f>
        <v>125471</v>
      </c>
      <c r="Z128" s="2842">
        <f>SUBTOTAL(9,Z44:Z69)</f>
        <v>154724.5884</v>
      </c>
      <c r="AC128" s="2842" t="s">
        <v>9150</v>
      </c>
      <c r="AD128" s="2842">
        <f t="shared" ref="AD128:AM128" si="254">SUM(AD4:AD127)</f>
        <v>27342</v>
      </c>
      <c r="AE128" s="2842">
        <f t="shared" si="254"/>
        <v>32372</v>
      </c>
      <c r="AF128" s="2842">
        <f t="shared" si="254"/>
        <v>3836</v>
      </c>
      <c r="AG128" s="2842">
        <f t="shared" si="254"/>
        <v>58625</v>
      </c>
      <c r="AH128" s="2842">
        <f t="shared" si="254"/>
        <v>3000</v>
      </c>
      <c r="AI128" s="2842">
        <f t="shared" si="254"/>
        <v>0</v>
      </c>
      <c r="AJ128" s="2842">
        <f t="shared" si="254"/>
        <v>42775</v>
      </c>
      <c r="AK128" s="2842">
        <f t="shared" si="254"/>
        <v>77000</v>
      </c>
      <c r="AL128" s="2842">
        <f t="shared" si="254"/>
        <v>3000</v>
      </c>
      <c r="AM128" s="2842">
        <f t="shared" si="254"/>
        <v>0</v>
      </c>
      <c r="AO128" s="2842">
        <f t="shared" ref="AO128:BB128" si="255">SUM(AO4:AO127)</f>
        <v>349.5</v>
      </c>
      <c r="AP128" s="2842">
        <f t="shared" si="255"/>
        <v>349.5</v>
      </c>
      <c r="AQ128" s="2842">
        <f t="shared" si="255"/>
        <v>32937.5833333333</v>
      </c>
      <c r="AR128" s="2842">
        <f t="shared" si="255"/>
        <v>597.5</v>
      </c>
      <c r="AS128" s="2842">
        <f t="shared" si="255"/>
        <v>33247.0833333333</v>
      </c>
      <c r="AT128" s="2842">
        <f t="shared" si="255"/>
        <v>36774.0833333333</v>
      </c>
      <c r="AU128" s="2842">
        <f t="shared" si="255"/>
        <v>0</v>
      </c>
      <c r="AV128" s="2842">
        <f t="shared" si="255"/>
        <v>20944.75</v>
      </c>
      <c r="AW128" s="2842">
        <f t="shared" si="255"/>
        <v>0</v>
      </c>
      <c r="AX128" s="2842">
        <f t="shared" si="255"/>
        <v>0</v>
      </c>
      <c r="AY128" s="2842">
        <f t="shared" si="255"/>
        <v>0</v>
      </c>
      <c r="AZ128" s="2842">
        <f t="shared" si="255"/>
        <v>0</v>
      </c>
      <c r="BA128" s="2842">
        <f t="shared" si="255"/>
        <v>30</v>
      </c>
      <c r="BB128" s="2842">
        <f t="shared" si="255"/>
        <v>0</v>
      </c>
      <c r="BD128" s="2842">
        <f>SUM(BD4:BD127)</f>
        <v>115902</v>
      </c>
      <c r="BE128" s="2842">
        <f>SUM(BE4:BE127)</f>
        <v>6273</v>
      </c>
      <c r="BF128" s="2842">
        <f>SUM(BF4:BF127)</f>
        <v>98689</v>
      </c>
      <c r="BG128" s="2842">
        <f>SUM(BG4:BG127)</f>
        <v>0</v>
      </c>
      <c r="BI128" s="2842">
        <f t="shared" ref="BI128:BP128" si="256">SUM(BI4:BI127)</f>
        <v>33471.5833333333</v>
      </c>
      <c r="BJ128" s="2842">
        <f t="shared" si="256"/>
        <v>33471.5833333333</v>
      </c>
      <c r="BK128" s="2842">
        <f t="shared" si="256"/>
        <v>36998.5833333333</v>
      </c>
      <c r="BL128" s="2842">
        <f t="shared" si="256"/>
        <v>36998.5833333333</v>
      </c>
      <c r="BM128" s="2842">
        <f t="shared" si="256"/>
        <v>32812.5833333333</v>
      </c>
      <c r="BN128" s="2842">
        <f t="shared" si="256"/>
        <v>32812.5833333333</v>
      </c>
      <c r="BO128" s="2842">
        <f t="shared" si="256"/>
        <v>21892.25</v>
      </c>
      <c r="BP128" s="2842">
        <f t="shared" si="256"/>
        <v>21892.25</v>
      </c>
      <c r="BQ128" s="2842">
        <f>BJ128+BL128+BN128+BP128</f>
        <v>125175</v>
      </c>
    </row>
    <row r="129" s="2842" customFormat="1" ht="30" customHeight="1" spans="1:77">
      <c r="A129" s="3023"/>
      <c r="B129" s="3024"/>
      <c r="C129" s="3024"/>
      <c r="D129" s="3024"/>
      <c r="E129" s="3024"/>
      <c r="F129" s="3024"/>
      <c r="G129" s="3025"/>
      <c r="H129" s="3025"/>
    </row>
    <row r="130" s="2842" customFormat="1" ht="30" customHeight="1" spans="1:77">
      <c r="A130" s="3023"/>
      <c r="B130" s="3024"/>
      <c r="C130" s="3024"/>
      <c r="D130" s="3024"/>
      <c r="E130" s="3024"/>
      <c r="F130" s="3024"/>
      <c r="G130" s="3025"/>
      <c r="H130" s="3025"/>
      <c r="AB130" s="3026"/>
      <c r="AC130" s="2842" t="s">
        <v>8299</v>
      </c>
      <c r="AD130" s="2842">
        <f t="shared" ref="AD130:BP130" si="257">SUM(AD5:AD23)</f>
        <v>6674</v>
      </c>
      <c r="AE130" s="2842">
        <f t="shared" si="257"/>
        <v>0</v>
      </c>
      <c r="AF130" s="2842">
        <f t="shared" si="257"/>
        <v>3370</v>
      </c>
      <c r="AG130" s="2842">
        <f t="shared" si="257"/>
        <v>0</v>
      </c>
      <c r="AH130" s="2842">
        <f t="shared" si="257"/>
        <v>3000</v>
      </c>
      <c r="AI130" s="2842">
        <f t="shared" si="257"/>
        <v>0</v>
      </c>
      <c r="AJ130" s="2842">
        <f t="shared" si="257"/>
        <v>10044</v>
      </c>
      <c r="AK130" s="2842">
        <f t="shared" si="257"/>
        <v>0</v>
      </c>
      <c r="AL130" s="2842">
        <f t="shared" si="257"/>
        <v>3000</v>
      </c>
      <c r="AM130" s="2842">
        <f t="shared" si="257"/>
        <v>0</v>
      </c>
      <c r="AN130" s="2842">
        <f t="shared" si="257"/>
        <v>0</v>
      </c>
      <c r="AO130" s="2842">
        <f t="shared" si="257"/>
        <v>349.5</v>
      </c>
      <c r="AP130" s="2842">
        <f t="shared" si="257"/>
        <v>349.5</v>
      </c>
      <c r="AQ130" s="2842">
        <f t="shared" si="257"/>
        <v>3265.5</v>
      </c>
      <c r="AR130" s="2842">
        <f t="shared" si="257"/>
        <v>597.5</v>
      </c>
      <c r="AS130" s="2842">
        <f t="shared" si="257"/>
        <v>2910</v>
      </c>
      <c r="AT130" s="2842">
        <f t="shared" si="257"/>
        <v>2910</v>
      </c>
      <c r="AU130" s="2842">
        <f t="shared" si="257"/>
        <v>0</v>
      </c>
      <c r="AV130" s="2842">
        <f t="shared" si="257"/>
        <v>2662</v>
      </c>
      <c r="AW130" s="2842">
        <f t="shared" si="257"/>
        <v>0</v>
      </c>
      <c r="AX130" s="2842">
        <f t="shared" si="257"/>
        <v>0</v>
      </c>
      <c r="AY130" s="2842">
        <f t="shared" si="257"/>
        <v>0</v>
      </c>
      <c r="AZ130" s="2842">
        <f t="shared" si="257"/>
        <v>0</v>
      </c>
      <c r="BA130" s="2842">
        <f t="shared" si="257"/>
        <v>0</v>
      </c>
      <c r="BB130" s="2842">
        <f t="shared" si="257"/>
        <v>0</v>
      </c>
      <c r="BC130" s="2842">
        <f t="shared" si="257"/>
        <v>3000</v>
      </c>
      <c r="BD130" s="2842">
        <f t="shared" si="257"/>
        <v>7274</v>
      </c>
      <c r="BE130" s="2842">
        <f t="shared" si="257"/>
        <v>2770</v>
      </c>
      <c r="BF130" s="2842">
        <f t="shared" si="257"/>
        <v>13046</v>
      </c>
      <c r="BG130" s="2842">
        <f t="shared" si="257"/>
        <v>0</v>
      </c>
      <c r="BH130" s="2842">
        <f t="shared" si="257"/>
        <v>0</v>
      </c>
      <c r="BI130" s="2842">
        <f t="shared" si="257"/>
        <v>3259.5</v>
      </c>
      <c r="BJ130" s="2842">
        <f t="shared" si="257"/>
        <v>3259.5</v>
      </c>
      <c r="BK130" s="2842">
        <f t="shared" si="257"/>
        <v>3259.5</v>
      </c>
      <c r="BL130" s="2842">
        <f t="shared" si="257"/>
        <v>3259.5</v>
      </c>
      <c r="BM130" s="2842">
        <f t="shared" si="257"/>
        <v>3265.5</v>
      </c>
      <c r="BN130" s="2842">
        <f t="shared" si="257"/>
        <v>3265.5</v>
      </c>
      <c r="BO130" s="2842">
        <f t="shared" si="257"/>
        <v>3259.5</v>
      </c>
      <c r="BP130" s="2842">
        <f t="shared" si="257"/>
        <v>3259.5</v>
      </c>
    </row>
    <row r="131" s="2842" customFormat="1" ht="30" customHeight="1" spans="1:77">
      <c r="A131" s="3023"/>
      <c r="B131" s="3024"/>
      <c r="C131" s="3024"/>
      <c r="D131" s="3024"/>
      <c r="E131" s="3024"/>
      <c r="F131" s="3024"/>
      <c r="G131" s="3025"/>
      <c r="H131" s="3025"/>
      <c r="AB131" s="3026"/>
      <c r="AC131" s="2842" t="s">
        <v>10167</v>
      </c>
      <c r="AD131" s="2842">
        <f t="shared" ref="AD131:BP131" si="258">AD128-AD130</f>
        <v>20668</v>
      </c>
      <c r="AE131" s="2842">
        <f t="shared" si="258"/>
        <v>32372</v>
      </c>
      <c r="AF131" s="2842">
        <f t="shared" si="258"/>
        <v>466</v>
      </c>
      <c r="AG131" s="2842">
        <f t="shared" si="258"/>
        <v>58625</v>
      </c>
      <c r="AH131" s="2842">
        <f t="shared" si="258"/>
        <v>0</v>
      </c>
      <c r="AI131" s="2842">
        <f t="shared" si="258"/>
        <v>0</v>
      </c>
      <c r="AJ131" s="2842">
        <f t="shared" si="258"/>
        <v>32731</v>
      </c>
      <c r="AK131" s="2842">
        <f t="shared" si="258"/>
        <v>77000</v>
      </c>
      <c r="AL131" s="2842">
        <f t="shared" si="258"/>
        <v>0</v>
      </c>
      <c r="AM131" s="2842">
        <f t="shared" si="258"/>
        <v>0</v>
      </c>
      <c r="AN131" s="2842">
        <f t="shared" si="258"/>
        <v>0</v>
      </c>
      <c r="AO131" s="2842">
        <f t="shared" si="258"/>
        <v>0</v>
      </c>
      <c r="AP131" s="2842">
        <f t="shared" si="258"/>
        <v>0</v>
      </c>
      <c r="AQ131" s="2842">
        <f t="shared" si="258"/>
        <v>29672.0833333333</v>
      </c>
      <c r="AR131" s="2842">
        <f t="shared" si="258"/>
        <v>0</v>
      </c>
      <c r="AS131" s="2842">
        <f t="shared" si="258"/>
        <v>30337.0833333333</v>
      </c>
      <c r="AT131" s="2842">
        <f t="shared" si="258"/>
        <v>33864.0833333333</v>
      </c>
      <c r="AU131" s="2842">
        <f t="shared" si="258"/>
        <v>0</v>
      </c>
      <c r="AV131" s="2842">
        <f t="shared" si="258"/>
        <v>18282.75</v>
      </c>
      <c r="AW131" s="2842">
        <f t="shared" si="258"/>
        <v>0</v>
      </c>
      <c r="AX131" s="2842">
        <f t="shared" si="258"/>
        <v>0</v>
      </c>
      <c r="AY131" s="2842">
        <f t="shared" si="258"/>
        <v>0</v>
      </c>
      <c r="AZ131" s="2842">
        <f t="shared" si="258"/>
        <v>0</v>
      </c>
      <c r="BA131" s="2842">
        <f t="shared" si="258"/>
        <v>30</v>
      </c>
      <c r="BB131" s="2842">
        <f t="shared" si="258"/>
        <v>0</v>
      </c>
      <c r="BC131" s="2842">
        <f t="shared" si="258"/>
        <v>-3000</v>
      </c>
      <c r="BD131" s="2842">
        <f t="shared" si="258"/>
        <v>108628</v>
      </c>
      <c r="BE131" s="2842">
        <f t="shared" si="258"/>
        <v>3503</v>
      </c>
      <c r="BF131" s="2842">
        <f t="shared" si="258"/>
        <v>85643</v>
      </c>
      <c r="BG131" s="2842">
        <f t="shared" si="258"/>
        <v>0</v>
      </c>
      <c r="BH131" s="2842">
        <f t="shared" si="258"/>
        <v>0</v>
      </c>
      <c r="BI131" s="2842">
        <f t="shared" si="258"/>
        <v>30212.0833333333</v>
      </c>
      <c r="BJ131" s="2842">
        <f t="shared" si="258"/>
        <v>30212.0833333333</v>
      </c>
      <c r="BK131" s="2842">
        <f t="shared" si="258"/>
        <v>33739.0833333333</v>
      </c>
      <c r="BL131" s="2842">
        <f t="shared" si="258"/>
        <v>33739.0833333333</v>
      </c>
      <c r="BM131" s="2842">
        <f t="shared" si="258"/>
        <v>29547.0833333333</v>
      </c>
      <c r="BN131" s="2842">
        <f t="shared" si="258"/>
        <v>29547.0833333333</v>
      </c>
      <c r="BO131" s="2842">
        <f t="shared" si="258"/>
        <v>18632.75</v>
      </c>
      <c r="BP131" s="2842">
        <f t="shared" si="258"/>
        <v>18632.75</v>
      </c>
    </row>
    <row r="132" s="2843" customFormat="1" ht="30" customHeight="1" spans="1:77">
      <c r="A132" s="3027"/>
      <c r="B132" s="2844"/>
      <c r="C132" s="2844"/>
      <c r="D132" s="2844"/>
      <c r="E132" s="2844"/>
      <c r="F132" s="2844"/>
      <c r="G132" s="3028"/>
      <c r="H132" s="3028"/>
      <c r="BK132" s="2843" t="s">
        <v>9150</v>
      </c>
      <c r="BL132" s="2843">
        <f>SUM(BI128,BK128,BM128,BO128)</f>
        <v>125175</v>
      </c>
    </row>
    <row r="133" s="2843" customFormat="1" ht="30" customHeight="1" spans="1:77">
      <c r="A133" s="3027"/>
      <c r="B133" s="2844"/>
      <c r="C133" s="2844"/>
      <c r="D133" s="2844"/>
      <c r="E133" s="2844"/>
      <c r="F133" s="2844"/>
      <c r="G133" s="3028"/>
      <c r="H133" s="3028"/>
      <c r="BL133" s="2843">
        <f>BL132-I130</f>
        <v>125175</v>
      </c>
    </row>
    <row r="134" s="2843" customFormat="1" ht="30" customHeight="1" spans="1:77">
      <c r="A134" s="3027"/>
      <c r="B134" s="2844"/>
      <c r="C134" s="2844"/>
      <c r="D134" s="2844"/>
      <c r="E134" s="2844"/>
      <c r="F134" s="2844"/>
      <c r="G134" s="3028"/>
      <c r="H134" s="3028"/>
    </row>
    <row r="135" s="2843" customFormat="1" ht="30" customHeight="1" spans="1:77">
      <c r="A135" s="3027"/>
      <c r="B135" s="2844"/>
      <c r="C135" s="2844"/>
      <c r="D135" s="2844"/>
      <c r="E135" s="2844"/>
      <c r="F135" s="2844"/>
      <c r="G135" s="3028"/>
      <c r="H135" s="3028"/>
    </row>
    <row r="136" s="2844" customFormat="1" spans="1:77">
      <c r="A136" s="3027"/>
      <c r="F136" s="3028"/>
      <c r="BI136" s="3029">
        <f t="shared" ref="BI136:BP136" si="259">SUM(BI4:BI6)</f>
        <v>45</v>
      </c>
      <c r="BJ136" s="3029">
        <f t="shared" si="259"/>
        <v>45</v>
      </c>
      <c r="BK136" s="3029">
        <f t="shared" si="259"/>
        <v>45</v>
      </c>
      <c r="BL136" s="3029">
        <f t="shared" si="259"/>
        <v>45</v>
      </c>
      <c r="BM136" s="3029">
        <f t="shared" si="259"/>
        <v>51</v>
      </c>
      <c r="BN136" s="3029">
        <f t="shared" si="259"/>
        <v>51</v>
      </c>
      <c r="BO136" s="3029">
        <f t="shared" si="259"/>
        <v>45</v>
      </c>
      <c r="BP136" s="3029">
        <f t="shared" si="259"/>
        <v>45</v>
      </c>
      <c r="BQ136" s="3029">
        <f>BR136+BT136+BV136+BX136</f>
        <v>238025</v>
      </c>
      <c r="BR136" s="3024">
        <v>52868.25</v>
      </c>
      <c r="BS136" s="3024">
        <v>52868.25</v>
      </c>
      <c r="BT136" s="3024">
        <v>52996.25</v>
      </c>
      <c r="BU136" s="3024">
        <v>52996.25</v>
      </c>
      <c r="BV136" s="3024">
        <v>79784.25</v>
      </c>
      <c r="BW136" s="3024">
        <v>79784.25</v>
      </c>
      <c r="BX136" s="3024">
        <v>52376.25</v>
      </c>
      <c r="BY136" s="3024">
        <v>52376.25</v>
      </c>
    </row>
    <row r="137" s="2844" customFormat="1" spans="1:77">
      <c r="A137" s="3027"/>
      <c r="F137" s="3028"/>
      <c r="K137" s="3030"/>
      <c r="AB137" s="3028"/>
      <c r="BR137" s="3024"/>
      <c r="BS137" s="3024"/>
      <c r="BT137" s="3024"/>
      <c r="BU137" s="3024"/>
      <c r="BV137" s="3024"/>
      <c r="BW137" s="3024"/>
      <c r="BX137" s="3024"/>
      <c r="BY137" s="3024"/>
    </row>
    <row r="138" s="2844" customFormat="1" spans="1:77">
      <c r="A138" s="3027"/>
      <c r="F138" s="3028"/>
      <c r="G138" s="3028"/>
      <c r="H138" s="3028"/>
      <c r="K138" s="3030"/>
      <c r="AB138" s="3028"/>
      <c r="BR138" s="3024"/>
      <c r="BS138" s="3024"/>
      <c r="BT138" s="3024"/>
      <c r="BU138" s="3024"/>
      <c r="BV138" s="3024"/>
      <c r="BW138" s="3024"/>
      <c r="BX138" s="3024"/>
      <c r="BY138" s="3024"/>
    </row>
    <row r="139" s="2844" customFormat="1" spans="1:77">
      <c r="A139" s="3027"/>
      <c r="F139" s="3028"/>
      <c r="AB139" s="3028"/>
    </row>
    <row r="140" s="2844" customFormat="1" spans="1:77">
      <c r="A140" s="3027"/>
      <c r="F140" s="3028"/>
      <c r="H140" s="3028"/>
      <c r="I140" s="3028"/>
      <c r="AB140" s="3028"/>
    </row>
    <row r="141" s="2844" customFormat="1" spans="1:77">
      <c r="A141" s="3027"/>
      <c r="F141" s="3028"/>
      <c r="AB141" s="3028"/>
    </row>
    <row r="142" s="2844" customFormat="1" spans="1:77">
      <c r="A142" s="3027"/>
      <c r="F142" s="3028"/>
      <c r="AB142" s="3028"/>
    </row>
    <row r="143" s="2844" customFormat="1" spans="1:77">
      <c r="A143" s="3027"/>
      <c r="F143" s="3028"/>
      <c r="AB143" s="3028"/>
    </row>
    <row r="144" s="2844" customFormat="1" spans="1:77">
      <c r="A144" s="3027"/>
      <c r="F144" s="3028"/>
      <c r="AB144" s="3028"/>
    </row>
    <row r="145" s="2844" customFormat="1" spans="1:28">
      <c r="A145" s="3027"/>
      <c r="F145" s="3028"/>
      <c r="AB145" s="3028"/>
    </row>
    <row r="146" s="2844" customFormat="1" spans="1:28">
      <c r="A146" s="3027"/>
      <c r="F146" s="3028"/>
      <c r="AB146" s="3028"/>
    </row>
    <row r="147" s="2844" customFormat="1" spans="1:28">
      <c r="A147" s="3027"/>
      <c r="F147" s="3028"/>
      <c r="AB147" s="3028"/>
    </row>
    <row r="148" s="2844" customFormat="1" spans="1:28">
      <c r="A148" s="3027"/>
      <c r="F148" s="3028"/>
      <c r="AB148" s="3028"/>
    </row>
    <row r="149" s="2844" customFormat="1" spans="1:28">
      <c r="A149" s="3027"/>
      <c r="F149" s="3028"/>
      <c r="AB149" s="3028"/>
    </row>
    <row r="150" s="2844" customFormat="1" spans="1:28">
      <c r="A150" s="3027"/>
      <c r="F150" s="3028"/>
      <c r="AB150" s="3028"/>
    </row>
    <row r="151" s="2844" customFormat="1" spans="1:28">
      <c r="A151" s="3027"/>
      <c r="F151" s="3028"/>
      <c r="AB151" s="3028"/>
    </row>
    <row r="152" s="2844" customFormat="1" spans="1:28">
      <c r="A152" s="3027"/>
      <c r="F152" s="3028"/>
      <c r="AB152" s="3028"/>
    </row>
    <row r="153" s="2844" customFormat="1" spans="1:28">
      <c r="A153" s="3027"/>
      <c r="F153" s="3028"/>
      <c r="AB153" s="3028"/>
    </row>
    <row r="154" s="2844" customFormat="1" spans="1:28">
      <c r="A154" s="3027"/>
      <c r="F154" s="3028"/>
      <c r="AB154" s="3028"/>
    </row>
    <row r="155" s="2844" customFormat="1" spans="1:28">
      <c r="A155" s="3027"/>
      <c r="F155" s="3028"/>
      <c r="AB155" s="3028"/>
    </row>
    <row r="156" s="2844" customFormat="1" spans="1:28">
      <c r="A156" s="3027"/>
      <c r="B156" s="3028"/>
      <c r="C156" s="3028"/>
      <c r="F156" s="3028"/>
      <c r="I156" s="3028"/>
      <c r="J156" s="3028"/>
      <c r="AB156" s="3028"/>
    </row>
    <row r="157" s="2844" customFormat="1" spans="1:28">
      <c r="A157" s="3027"/>
      <c r="F157" s="3028"/>
      <c r="AB157" s="3028"/>
    </row>
    <row r="158" s="2844" customFormat="1" spans="1:28">
      <c r="A158" s="3027"/>
      <c r="F158" s="3028"/>
      <c r="AB158" s="3028"/>
    </row>
    <row r="159" s="2844" customFormat="1" spans="1:28">
      <c r="A159" s="3027"/>
      <c r="F159" s="3028"/>
      <c r="AB159" s="3028"/>
    </row>
    <row r="160" s="2844" customFormat="1" spans="1:28">
      <c r="A160" s="3027"/>
      <c r="F160" s="3028"/>
      <c r="AB160" s="3028"/>
    </row>
    <row r="161" s="2844" customFormat="1" spans="1:28">
      <c r="A161" s="3027"/>
      <c r="F161" s="3028"/>
      <c r="AB161" s="3028"/>
    </row>
    <row r="162" s="2844" customFormat="1" spans="1:28">
      <c r="A162" s="3027"/>
      <c r="F162" s="3028"/>
      <c r="AB162" s="3028"/>
    </row>
    <row r="163" s="2844" customFormat="1" spans="1:28">
      <c r="A163" s="3027"/>
      <c r="F163" s="3028"/>
      <c r="AB163" s="3028"/>
    </row>
    <row r="164" s="2844" customFormat="1" spans="1:28">
      <c r="A164" s="3027"/>
      <c r="F164" s="3028"/>
      <c r="AB164" s="3028"/>
    </row>
    <row r="165" s="2844" customFormat="1" spans="1:28">
      <c r="A165" s="3027"/>
      <c r="F165" s="3028"/>
      <c r="AB165" s="3028"/>
    </row>
    <row r="166" s="2844" customFormat="1" spans="1:28">
      <c r="A166" s="3027"/>
      <c r="F166" s="3028"/>
      <c r="AB166" s="3028"/>
    </row>
    <row r="167" s="2844" customFormat="1" spans="1:28">
      <c r="A167" s="3027"/>
      <c r="F167" s="3028"/>
      <c r="AB167" s="3028"/>
    </row>
    <row r="168" s="2844" customFormat="1" spans="1:28">
      <c r="A168" s="3027"/>
      <c r="F168" s="3028"/>
      <c r="AB168" s="3028"/>
    </row>
    <row r="169" s="2844" customFormat="1" spans="1:28">
      <c r="A169" s="3027"/>
      <c r="F169" s="3028"/>
      <c r="AB169" s="3028"/>
    </row>
    <row r="170" s="2844" customFormat="1" spans="1:28">
      <c r="A170" s="3027"/>
      <c r="F170" s="3028"/>
      <c r="AB170" s="3028"/>
    </row>
  </sheetData>
  <sheetProtection selectLockedCells="1" autoFilter="0"/>
  <autoFilter xmlns:etc="http://www.wps.cn/officeDocument/2017/etCustomData" ref="A3:XFD170" etc:filterBottomFollowUsedRange="1">
    <extLst/>
  </autoFilter>
  <mergeCells count="9">
    <mergeCell ref="R2:V2"/>
    <mergeCell ref="AD2:AI2"/>
    <mergeCell ref="AJ2:AM2"/>
    <mergeCell ref="AO2:AR2"/>
    <mergeCell ref="AS2:AV2"/>
    <mergeCell ref="AW2:AZ2"/>
    <mergeCell ref="BA2:BB2"/>
    <mergeCell ref="BD2:BE2"/>
    <mergeCell ref="A1:I2"/>
  </mergeCells>
  <conditionalFormatting sqref="U3">
    <cfRule type="containsText" dxfId="0" priority="251" operator="between" text="欠">
      <formula>NOT(ISERROR(SEARCH("欠",U3)))</formula>
    </cfRule>
  </conditionalFormatting>
  <conditionalFormatting sqref="R4:T4">
    <cfRule type="containsText" dxfId="0" priority="243" operator="between" text="欠">
      <formula>NOT(ISERROR(SEARCH("欠",R4)))</formula>
    </cfRule>
  </conditionalFormatting>
  <conditionalFormatting sqref="U4">
    <cfRule type="containsText" dxfId="0" priority="244" operator="between" text="欠">
      <formula>NOT(ISERROR(SEARCH("欠",U4)))</formula>
    </cfRule>
  </conditionalFormatting>
  <conditionalFormatting sqref="R5">
    <cfRule type="containsText" dxfId="0" priority="239" operator="between" text="欠">
      <formula>NOT(ISERROR(SEARCH("欠",R5)))</formula>
    </cfRule>
  </conditionalFormatting>
  <conditionalFormatting sqref="S5">
    <cfRule type="containsText" dxfId="0" priority="238" operator="between" text="欠">
      <formula>NOT(ISERROR(SEARCH("欠",S5)))</formula>
    </cfRule>
  </conditionalFormatting>
  <conditionalFormatting sqref="T5">
    <cfRule type="containsText" dxfId="0" priority="237" operator="between" text="欠">
      <formula>NOT(ISERROR(SEARCH("欠",T5)))</formula>
    </cfRule>
  </conditionalFormatting>
  <conditionalFormatting sqref="U5">
    <cfRule type="containsText" dxfId="0" priority="240" operator="between" text="欠">
      <formula>NOT(ISERROR(SEARCH("欠",U5)))</formula>
    </cfRule>
  </conditionalFormatting>
  <conditionalFormatting sqref="R6">
    <cfRule type="containsText" dxfId="0" priority="236" operator="between" text="欠">
      <formula>NOT(ISERROR(SEARCH("欠",R6)))</formula>
    </cfRule>
  </conditionalFormatting>
  <conditionalFormatting sqref="S6">
    <cfRule type="containsText" dxfId="0" priority="234" operator="between" text="欠">
      <formula>NOT(ISERROR(SEARCH("欠",S6)))</formula>
    </cfRule>
  </conditionalFormatting>
  <conditionalFormatting sqref="T6">
    <cfRule type="containsText" dxfId="0" priority="235" operator="between" text="欠">
      <formula>NOT(ISERROR(SEARCH("欠",T6)))</formula>
    </cfRule>
  </conditionalFormatting>
  <conditionalFormatting sqref="U6">
    <cfRule type="containsText" dxfId="0" priority="250" operator="between" text="欠">
      <formula>NOT(ISERROR(SEARCH("欠",U6)))</formula>
    </cfRule>
  </conditionalFormatting>
  <conditionalFormatting sqref="T7">
    <cfRule type="containsText" dxfId="0" priority="233" operator="between" text="欠">
      <formula>NOT(ISERROR(SEARCH("欠",T7)))</formula>
    </cfRule>
  </conditionalFormatting>
  <conditionalFormatting sqref="T8">
    <cfRule type="containsText" dxfId="0" priority="230" operator="between" text="欠">
      <formula>NOT(ISERROR(SEARCH("欠",T8)))</formula>
    </cfRule>
  </conditionalFormatting>
  <conditionalFormatting sqref="T9">
    <cfRule type="containsText" dxfId="0" priority="209" operator="between" text="欠">
      <formula>NOT(ISERROR(SEARCH("欠",T9)))</formula>
    </cfRule>
  </conditionalFormatting>
  <conditionalFormatting sqref="R10">
    <cfRule type="containsText" dxfId="0" priority="214" operator="between" text="欠">
      <formula>NOT(ISERROR(SEARCH("欠",R10)))</formula>
    </cfRule>
  </conditionalFormatting>
  <conditionalFormatting sqref="S10">
    <cfRule type="containsText" dxfId="0" priority="215" operator="between" text="欠">
      <formula>NOT(ISERROR(SEARCH("欠",S10)))</formula>
    </cfRule>
  </conditionalFormatting>
  <conditionalFormatting sqref="T10">
    <cfRule type="containsText" dxfId="0" priority="216" operator="between" text="欠">
      <formula>NOT(ISERROR(SEARCH("欠",T10)))</formula>
    </cfRule>
  </conditionalFormatting>
  <conditionalFormatting sqref="U10">
    <cfRule type="containsText" dxfId="0" priority="217" operator="between" text="欠">
      <formula>NOT(ISERROR(SEARCH("欠",U10)))</formula>
    </cfRule>
  </conditionalFormatting>
  <conditionalFormatting sqref="S11">
    <cfRule type="containsText" dxfId="0" priority="219" operator="between" text="欠">
      <formula>NOT(ISERROR(SEARCH("欠",S11)))</formula>
    </cfRule>
  </conditionalFormatting>
  <conditionalFormatting sqref="T11">
    <cfRule type="containsText" dxfId="0" priority="218" operator="between" text="欠">
      <formula>NOT(ISERROR(SEARCH("欠",T11)))</formula>
    </cfRule>
  </conditionalFormatting>
  <conditionalFormatting sqref="R12">
    <cfRule type="containsText" dxfId="0" priority="208" operator="between" text="欠">
      <formula>NOT(ISERROR(SEARCH("欠",R12)))</formula>
    </cfRule>
  </conditionalFormatting>
  <conditionalFormatting sqref="R13">
    <cfRule type="containsText" dxfId="0" priority="207" operator="between" text="欠">
      <formula>NOT(ISERROR(SEARCH("欠",R13)))</formula>
    </cfRule>
  </conditionalFormatting>
  <conditionalFormatting sqref="R14">
    <cfRule type="containsText" dxfId="0" priority="206" operator="between" text="欠">
      <formula>NOT(ISERROR(SEARCH("欠",R14)))</formula>
    </cfRule>
  </conditionalFormatting>
  <conditionalFormatting sqref="S14">
    <cfRule type="containsText" dxfId="0" priority="204" operator="between" text="欠">
      <formula>NOT(ISERROR(SEARCH("欠",S14)))</formula>
    </cfRule>
  </conditionalFormatting>
  <conditionalFormatting sqref="T14">
    <cfRule type="containsText" dxfId="0" priority="205" operator="between" text="欠">
      <formula>NOT(ISERROR(SEARCH("欠",T14)))</formula>
    </cfRule>
  </conditionalFormatting>
  <conditionalFormatting sqref="T16">
    <cfRule type="containsText" dxfId="0" priority="225" operator="between" text="欠">
      <formula>NOT(ISERROR(SEARCH("欠",T16)))</formula>
    </cfRule>
  </conditionalFormatting>
  <conditionalFormatting sqref="R19">
    <cfRule type="containsText" dxfId="0" priority="203" operator="between" text="欠">
      <formula>NOT(ISERROR(SEARCH("欠",R19)))</formula>
    </cfRule>
  </conditionalFormatting>
  <conditionalFormatting sqref="T19">
    <cfRule type="containsText" dxfId="0" priority="198" operator="between" text="欠">
      <formula>NOT(ISERROR(SEARCH("欠",T19)))</formula>
    </cfRule>
  </conditionalFormatting>
  <conditionalFormatting sqref="R20">
    <cfRule type="containsText" dxfId="0" priority="224" operator="between" text="欠">
      <formula>NOT(ISERROR(SEARCH("欠",R20)))</formula>
    </cfRule>
  </conditionalFormatting>
  <conditionalFormatting sqref="S20">
    <cfRule type="containsText" dxfId="0" priority="222" operator="between" text="欠">
      <formula>NOT(ISERROR(SEARCH("欠",S20)))</formula>
    </cfRule>
  </conditionalFormatting>
  <conditionalFormatting sqref="T20">
    <cfRule type="containsText" dxfId="0" priority="223" operator="between" text="欠">
      <formula>NOT(ISERROR(SEARCH("欠",T20)))</formula>
    </cfRule>
  </conditionalFormatting>
  <conditionalFormatting sqref="U20">
    <cfRule type="containsText" dxfId="0" priority="191" operator="between" text="欠">
      <formula>NOT(ISERROR(SEARCH("欠",U20)))</formula>
    </cfRule>
  </conditionalFormatting>
  <conditionalFormatting sqref="R21">
    <cfRule type="containsText" dxfId="0" priority="197" operator="between" text="欠">
      <formula>NOT(ISERROR(SEARCH("欠",R21)))</formula>
    </cfRule>
  </conditionalFormatting>
  <conditionalFormatting sqref="S21">
    <cfRule type="containsText" dxfId="0" priority="196" operator="between" text="欠">
      <formula>NOT(ISERROR(SEARCH("欠",S21)))</formula>
    </cfRule>
  </conditionalFormatting>
  <conditionalFormatting sqref="T21">
    <cfRule type="containsText" dxfId="0" priority="195" operator="between" text="欠">
      <formula>NOT(ISERROR(SEARCH("欠",T21)))</formula>
    </cfRule>
  </conditionalFormatting>
  <conditionalFormatting sqref="R22">
    <cfRule type="containsText" dxfId="0" priority="221" operator="between" text="欠">
      <formula>NOT(ISERROR(SEARCH("欠",R22)))</formula>
    </cfRule>
  </conditionalFormatting>
  <conditionalFormatting sqref="R23">
    <cfRule type="containsText" dxfId="0" priority="190" operator="between" text="欠">
      <formula>NOT(ISERROR(SEARCH("欠",R23)))</formula>
    </cfRule>
  </conditionalFormatting>
  <conditionalFormatting sqref="S23">
    <cfRule type="containsText" dxfId="0" priority="189" operator="between" text="欠">
      <formula>NOT(ISERROR(SEARCH("欠",S23)))</formula>
    </cfRule>
  </conditionalFormatting>
  <conditionalFormatting sqref="R24">
    <cfRule type="containsText" dxfId="0" priority="194" operator="between" text="欠">
      <formula>NOT(ISERROR(SEARCH("欠",R24)))</formula>
    </cfRule>
  </conditionalFormatting>
  <conditionalFormatting sqref="S24">
    <cfRule type="containsText" dxfId="0" priority="192" operator="between" text="欠">
      <formula>NOT(ISERROR(SEARCH("欠",S24)))</formula>
    </cfRule>
  </conditionalFormatting>
  <conditionalFormatting sqref="R28">
    <cfRule type="containsText" dxfId="0" priority="179" operator="between" text="欠">
      <formula>NOT(ISERROR(SEARCH("欠",R28)))</formula>
    </cfRule>
  </conditionalFormatting>
  <conditionalFormatting sqref="S28">
    <cfRule type="containsText" dxfId="0" priority="177" operator="between" text="欠">
      <formula>NOT(ISERROR(SEARCH("欠",S28)))</formula>
    </cfRule>
  </conditionalFormatting>
  <conditionalFormatting sqref="T28">
    <cfRule type="containsText" dxfId="0" priority="178" operator="between" text="欠">
      <formula>NOT(ISERROR(SEARCH("欠",T28)))</formula>
    </cfRule>
  </conditionalFormatting>
  <conditionalFormatting sqref="U28">
    <cfRule type="containsText" dxfId="0" priority="176" operator="between" text="欠">
      <formula>NOT(ISERROR(SEARCH("欠",U28)))</formula>
    </cfRule>
  </conditionalFormatting>
  <conditionalFormatting sqref="S33">
    <cfRule type="containsText" dxfId="0" priority="181" operator="between" text="欠">
      <formula>NOT(ISERROR(SEARCH("欠",S33)))</formula>
    </cfRule>
  </conditionalFormatting>
  <conditionalFormatting sqref="U33">
    <cfRule type="containsText" dxfId="0" priority="185" operator="between" text="欠">
      <formula>NOT(ISERROR(SEARCH("欠",U33)))</formula>
    </cfRule>
  </conditionalFormatting>
  <conditionalFormatting sqref="S34">
    <cfRule type="containsText" dxfId="0" priority="180" operator="between" text="欠">
      <formula>NOT(ISERROR(SEARCH("欠",S34)))</formula>
    </cfRule>
  </conditionalFormatting>
  <conditionalFormatting sqref="U34">
    <cfRule type="containsText" dxfId="0" priority="184" operator="between" text="欠">
      <formula>NOT(ISERROR(SEARCH("欠",U34)))</formula>
    </cfRule>
  </conditionalFormatting>
  <conditionalFormatting sqref="S35">
    <cfRule type="containsText" dxfId="0" priority="186" operator="between" text="欠">
      <formula>NOT(ISERROR(SEARCH("欠",S35)))</formula>
    </cfRule>
  </conditionalFormatting>
  <conditionalFormatting sqref="U35">
    <cfRule type="containsText" dxfId="0" priority="187" operator="between" text="欠">
      <formula>NOT(ISERROR(SEARCH("欠",U35)))</formula>
    </cfRule>
  </conditionalFormatting>
  <conditionalFormatting sqref="U36">
    <cfRule type="containsText" dxfId="0" priority="152" operator="between" text="欠">
      <formula>NOT(ISERROR(SEARCH("欠",U36)))</formula>
    </cfRule>
  </conditionalFormatting>
  <conditionalFormatting sqref="U37">
    <cfRule type="containsText" dxfId="0" priority="151" operator="between" text="欠">
      <formula>NOT(ISERROR(SEARCH("欠",U37)))</formula>
    </cfRule>
  </conditionalFormatting>
  <conditionalFormatting sqref="R38">
    <cfRule type="containsText" dxfId="0" priority="173" operator="between" text="欠">
      <formula>NOT(ISERROR(SEARCH("欠",R38)))</formula>
    </cfRule>
  </conditionalFormatting>
  <conditionalFormatting sqref="S38">
    <cfRule type="containsText" dxfId="0" priority="172" operator="between" text="欠">
      <formula>NOT(ISERROR(SEARCH("欠",S38)))</formula>
    </cfRule>
  </conditionalFormatting>
  <conditionalFormatting sqref="T38">
    <cfRule type="containsText" dxfId="0" priority="171" operator="between" text="欠">
      <formula>NOT(ISERROR(SEARCH("欠",T38)))</formula>
    </cfRule>
  </conditionalFormatting>
  <conditionalFormatting sqref="U38">
    <cfRule type="containsText" dxfId="0" priority="174" operator="between" text="欠">
      <formula>NOT(ISERROR(SEARCH("欠",U38)))</formula>
    </cfRule>
  </conditionalFormatting>
  <conditionalFormatting sqref="R54">
    <cfRule type="containsText" dxfId="0" priority="159" operator="between" text="欠">
      <formula>NOT(ISERROR(SEARCH("欠",R54)))</formula>
    </cfRule>
  </conditionalFormatting>
  <conditionalFormatting sqref="S54">
    <cfRule type="containsText" dxfId="0" priority="158" operator="between" text="欠">
      <formula>NOT(ISERROR(SEARCH("欠",S54)))</formula>
    </cfRule>
  </conditionalFormatting>
  <conditionalFormatting sqref="T54">
    <cfRule type="containsText" dxfId="0" priority="157" operator="between" text="欠">
      <formula>NOT(ISERROR(SEARCH("欠",T54)))</formula>
    </cfRule>
  </conditionalFormatting>
  <conditionalFormatting sqref="U54">
    <cfRule type="containsText" dxfId="0" priority="160" operator="between" text="欠">
      <formula>NOT(ISERROR(SEARCH("欠",U54)))</formula>
    </cfRule>
  </conditionalFormatting>
  <conditionalFormatting sqref="T56">
    <cfRule type="containsText" dxfId="0" priority="143" operator="between" text="欠">
      <formula>NOT(ISERROR(SEARCH("欠",T56)))</formula>
    </cfRule>
  </conditionalFormatting>
  <conditionalFormatting sqref="S57">
    <cfRule type="containsText" dxfId="0" priority="211" operator="between" text="欠">
      <formula>NOT(ISERROR(SEARCH("欠",S57)))</formula>
    </cfRule>
  </conditionalFormatting>
  <conditionalFormatting sqref="T57">
    <cfRule type="containsText" dxfId="0" priority="210" operator="between" text="欠">
      <formula>NOT(ISERROR(SEARCH("欠",T57)))</formula>
    </cfRule>
  </conditionalFormatting>
  <conditionalFormatting sqref="S59">
    <cfRule type="containsText" dxfId="0" priority="154" operator="between" text="欠">
      <formula>NOT(ISERROR(SEARCH("欠",S59)))</formula>
    </cfRule>
  </conditionalFormatting>
  <conditionalFormatting sqref="T59">
    <cfRule type="containsText" dxfId="0" priority="155" operator="between" text="欠">
      <formula>NOT(ISERROR(SEARCH("欠",T59)))</formula>
    </cfRule>
  </conditionalFormatting>
  <conditionalFormatting sqref="U59">
    <cfRule type="containsText" dxfId="0" priority="156" operator="between" text="欠">
      <formula>NOT(ISERROR(SEARCH("欠",U59)))</formula>
    </cfRule>
  </conditionalFormatting>
  <conditionalFormatting sqref="Q60">
    <cfRule type="containsText" dxfId="0" priority="124" operator="between" text="欠">
      <formula>NOT(ISERROR(SEARCH("欠",Q60)))</formula>
    </cfRule>
  </conditionalFormatting>
  <conditionalFormatting sqref="T61">
    <cfRule type="containsText" dxfId="0" priority="132" operator="between" text="欠">
      <formula>NOT(ISERROR(SEARCH("欠",T61)))</formula>
    </cfRule>
  </conditionalFormatting>
  <conditionalFormatting sqref="R62">
    <cfRule type="containsText" dxfId="0" priority="133" operator="between" text="欠">
      <formula>NOT(ISERROR(SEARCH("欠",R62)))</formula>
    </cfRule>
  </conditionalFormatting>
  <conditionalFormatting sqref="T62">
    <cfRule type="containsText" dxfId="0" priority="134" operator="between" text="欠">
      <formula>NOT(ISERROR(SEARCH("欠",T62)))</formula>
    </cfRule>
  </conditionalFormatting>
  <conditionalFormatting sqref="R63">
    <cfRule type="containsText" dxfId="0" priority="166" operator="between" text="欠">
      <formula>NOT(ISERROR(SEARCH("欠",R63)))</formula>
    </cfRule>
  </conditionalFormatting>
  <conditionalFormatting sqref="S63">
    <cfRule type="containsText" dxfId="0" priority="167" operator="between" text="欠">
      <formula>NOT(ISERROR(SEARCH("欠",S63)))</formula>
    </cfRule>
  </conditionalFormatting>
  <conditionalFormatting sqref="T63">
    <cfRule type="containsText" dxfId="0" priority="168" operator="between" text="欠">
      <formula>NOT(ISERROR(SEARCH("欠",T63)))</formula>
    </cfRule>
  </conditionalFormatting>
  <conditionalFormatting sqref="U63">
    <cfRule type="containsText" dxfId="0" priority="169" operator="between" text="欠">
      <formula>NOT(ISERROR(SEARCH("欠",U63)))</formula>
    </cfRule>
  </conditionalFormatting>
  <conditionalFormatting sqref="R66">
    <cfRule type="containsText" dxfId="0" priority="126" operator="between" text="欠">
      <formula>NOT(ISERROR(SEARCH("欠",R66)))</formula>
    </cfRule>
  </conditionalFormatting>
  <conditionalFormatting sqref="S66">
    <cfRule type="containsText" dxfId="0" priority="128" operator="between" text="欠">
      <formula>NOT(ISERROR(SEARCH("欠",S66)))</formula>
    </cfRule>
  </conditionalFormatting>
  <conditionalFormatting sqref="T66">
    <cfRule type="containsText" dxfId="0" priority="125" operator="between" text="欠">
      <formula>NOT(ISERROR(SEARCH("欠",T66)))</formula>
    </cfRule>
  </conditionalFormatting>
  <conditionalFormatting sqref="U66">
    <cfRule type="containsText" dxfId="0" priority="127" operator="between" text="欠">
      <formula>NOT(ISERROR(SEARCH("欠",U66)))</formula>
    </cfRule>
  </conditionalFormatting>
  <conditionalFormatting sqref="S70">
    <cfRule type="containsText" dxfId="0" priority="131" operator="between" text="欠">
      <formula>NOT(ISERROR(SEARCH("欠",S70)))</formula>
    </cfRule>
  </conditionalFormatting>
  <conditionalFormatting sqref="U70">
    <cfRule type="containsText" dxfId="0" priority="130" operator="between" text="欠">
      <formula>NOT(ISERROR(SEARCH("欠",U70)))</formula>
    </cfRule>
  </conditionalFormatting>
  <conditionalFormatting sqref="R75">
    <cfRule type="containsText" dxfId="0" priority="113" operator="between" text="欠">
      <formula>NOT(ISERROR(SEARCH("欠",R75)))</formula>
    </cfRule>
  </conditionalFormatting>
  <conditionalFormatting sqref="S75">
    <cfRule type="containsText" dxfId="0" priority="121" operator="between" text="欠">
      <formula>NOT(ISERROR(SEARCH("欠",S75)))</formula>
    </cfRule>
  </conditionalFormatting>
  <conditionalFormatting sqref="T75">
    <cfRule type="containsText" dxfId="0" priority="114" operator="between" text="欠">
      <formula>NOT(ISERROR(SEARCH("欠",T75)))</formula>
    </cfRule>
  </conditionalFormatting>
  <conditionalFormatting sqref="U75">
    <cfRule type="containsText" dxfId="0" priority="120" operator="between" text="欠">
      <formula>NOT(ISERROR(SEARCH("欠",U75)))</formula>
    </cfRule>
  </conditionalFormatting>
  <conditionalFormatting sqref="S76">
    <cfRule type="containsText" dxfId="0" priority="123" operator="between" text="欠">
      <formula>NOT(ISERROR(SEARCH("欠",S76)))</formula>
    </cfRule>
  </conditionalFormatting>
  <conditionalFormatting sqref="T76">
    <cfRule type="containsText" dxfId="0" priority="110" operator="between" text="欠">
      <formula>NOT(ISERROR(SEARCH("欠",T76)))</formula>
    </cfRule>
  </conditionalFormatting>
  <conditionalFormatting sqref="U76">
    <cfRule type="containsText" dxfId="0" priority="111" operator="between" text="欠">
      <formula>NOT(ISERROR(SEARCH("欠",U76)))</formula>
    </cfRule>
  </conditionalFormatting>
  <conditionalFormatting sqref="R77">
    <cfRule type="containsText" dxfId="0" priority="112" operator="between" text="欠">
      <formula>NOT(ISERROR(SEARCH("欠",R77)))</formula>
    </cfRule>
  </conditionalFormatting>
  <conditionalFormatting sqref="S77">
    <cfRule type="containsText" dxfId="0" priority="116" operator="between" text="欠">
      <formula>NOT(ISERROR(SEARCH("欠",S77)))</formula>
    </cfRule>
  </conditionalFormatting>
  <conditionalFormatting sqref="T77">
    <cfRule type="containsText" dxfId="0" priority="109" operator="between" text="欠">
      <formula>NOT(ISERROR(SEARCH("欠",T77)))</formula>
    </cfRule>
  </conditionalFormatting>
  <conditionalFormatting sqref="U77">
    <cfRule type="containsText" dxfId="0" priority="115" operator="between" text="欠">
      <formula>NOT(ISERROR(SEARCH("欠",U77)))</formula>
    </cfRule>
  </conditionalFormatting>
  <conditionalFormatting sqref="R78">
    <cfRule type="containsText" dxfId="0" priority="117" operator="between" text="欠">
      <formula>NOT(ISERROR(SEARCH("欠",R78)))</formula>
    </cfRule>
  </conditionalFormatting>
  <conditionalFormatting sqref="S78">
    <cfRule type="containsText" dxfId="0" priority="119" operator="between" text="欠">
      <formula>NOT(ISERROR(SEARCH("欠",S78)))</formula>
    </cfRule>
  </conditionalFormatting>
  <conditionalFormatting sqref="T78">
    <cfRule type="containsText" dxfId="0" priority="118" operator="between" text="欠">
      <formula>NOT(ISERROR(SEARCH("欠",T78)))</formula>
    </cfRule>
  </conditionalFormatting>
  <conditionalFormatting sqref="U78">
    <cfRule type="containsText" dxfId="0" priority="106" operator="between" text="欠">
      <formula>NOT(ISERROR(SEARCH("欠",U78)))</formula>
    </cfRule>
  </conditionalFormatting>
  <conditionalFormatting sqref="R80">
    <cfRule type="containsText" dxfId="0" priority="96" operator="between" text="欠">
      <formula>NOT(ISERROR(SEARCH("欠",R80)))</formula>
    </cfRule>
  </conditionalFormatting>
  <conditionalFormatting sqref="S80">
    <cfRule type="containsText" dxfId="0" priority="98" operator="between" text="欠">
      <formula>NOT(ISERROR(SEARCH("欠",S80)))</formula>
    </cfRule>
  </conditionalFormatting>
  <conditionalFormatting sqref="T80">
    <cfRule type="containsText" dxfId="0" priority="71" operator="between" text="欠">
      <formula>NOT(ISERROR(SEARCH("欠",T80)))</formula>
    </cfRule>
  </conditionalFormatting>
  <conditionalFormatting sqref="U80">
    <cfRule type="containsText" dxfId="0" priority="97" operator="between" text="欠">
      <formula>NOT(ISERROR(SEARCH("欠",U80)))</formula>
    </cfRule>
  </conditionalFormatting>
  <conditionalFormatting sqref="S81">
    <cfRule type="containsText" dxfId="0" priority="122" operator="between" text="欠">
      <formula>NOT(ISERROR(SEARCH("欠",S81)))</formula>
    </cfRule>
  </conditionalFormatting>
  <conditionalFormatting sqref="R82">
    <cfRule type="containsText" dxfId="0" priority="103" operator="between" text="欠">
      <formula>NOT(ISERROR(SEARCH("欠",R82)))</formula>
    </cfRule>
  </conditionalFormatting>
  <conditionalFormatting sqref="S82">
    <cfRule type="containsText" dxfId="0" priority="105" operator="between" text="欠">
      <formula>NOT(ISERROR(SEARCH("欠",S82)))</formula>
    </cfRule>
  </conditionalFormatting>
  <conditionalFormatting sqref="T82">
    <cfRule type="containsText" dxfId="0" priority="104" operator="between" text="欠">
      <formula>NOT(ISERROR(SEARCH("欠",T82)))</formula>
    </cfRule>
  </conditionalFormatting>
  <conditionalFormatting sqref="U82">
    <cfRule type="containsText" dxfId="0" priority="102" operator="between" text="欠">
      <formula>NOT(ISERROR(SEARCH("欠",U82)))</formula>
    </cfRule>
  </conditionalFormatting>
  <conditionalFormatting sqref="R83">
    <cfRule type="containsText" dxfId="0" priority="87" operator="between" text="欠">
      <formula>NOT(ISERROR(SEARCH("欠",R83)))</formula>
    </cfRule>
  </conditionalFormatting>
  <conditionalFormatting sqref="S83">
    <cfRule type="containsText" dxfId="0" priority="90" operator="between" text="欠">
      <formula>NOT(ISERROR(SEARCH("欠",S83)))</formula>
    </cfRule>
  </conditionalFormatting>
  <conditionalFormatting sqref="T83">
    <cfRule type="containsText" dxfId="0" priority="88" operator="between" text="欠">
      <formula>NOT(ISERROR(SEARCH("欠",T83)))</formula>
    </cfRule>
  </conditionalFormatting>
  <conditionalFormatting sqref="U83">
    <cfRule type="containsText" dxfId="0" priority="89" operator="between" text="欠">
      <formula>NOT(ISERROR(SEARCH("欠",U83)))</formula>
    </cfRule>
  </conditionalFormatting>
  <conditionalFormatting sqref="S84">
    <cfRule type="containsText" dxfId="0" priority="84" operator="between" text="欠">
      <formula>NOT(ISERROR(SEARCH("欠",S84)))</formula>
    </cfRule>
  </conditionalFormatting>
  <conditionalFormatting sqref="U84">
    <cfRule type="containsText" dxfId="0" priority="82" operator="between" text="欠">
      <formula>NOT(ISERROR(SEARCH("欠",U84)))</formula>
    </cfRule>
  </conditionalFormatting>
  <conditionalFormatting sqref="R85">
    <cfRule type="containsText" dxfId="0" priority="80" operator="between" text="欠">
      <formula>NOT(ISERROR(SEARCH("欠",R85)))</formula>
    </cfRule>
  </conditionalFormatting>
  <conditionalFormatting sqref="S85">
    <cfRule type="containsText" dxfId="0" priority="83" operator="between" text="欠">
      <formula>NOT(ISERROR(SEARCH("欠",S85)))</formula>
    </cfRule>
  </conditionalFormatting>
  <conditionalFormatting sqref="T85">
    <cfRule type="containsText" dxfId="0" priority="79" operator="between" text="欠">
      <formula>NOT(ISERROR(SEARCH("欠",T85)))</formula>
    </cfRule>
  </conditionalFormatting>
  <conditionalFormatting sqref="U85">
    <cfRule type="containsText" dxfId="0" priority="81" operator="between" text="欠">
      <formula>NOT(ISERROR(SEARCH("欠",U85)))</formula>
    </cfRule>
  </conditionalFormatting>
  <conditionalFormatting sqref="U86">
    <cfRule type="containsText" dxfId="0" priority="70" operator="between" text="欠">
      <formula>NOT(ISERROR(SEARCH("欠",U86)))</formula>
    </cfRule>
  </conditionalFormatting>
  <conditionalFormatting sqref="U87">
    <cfRule type="containsText" dxfId="0" priority="69" operator="between" text="欠">
      <formula>NOT(ISERROR(SEARCH("欠",U87)))</formula>
    </cfRule>
  </conditionalFormatting>
  <conditionalFormatting sqref="U88">
    <cfRule type="containsText" dxfId="0" priority="68" operator="between" text="欠">
      <formula>NOT(ISERROR(SEARCH("欠",U88)))</formula>
    </cfRule>
  </conditionalFormatting>
  <conditionalFormatting sqref="R92">
    <cfRule type="containsText" dxfId="0" priority="86" operator="between" text="欠">
      <formula>NOT(ISERROR(SEARCH("欠",R92)))</formula>
    </cfRule>
  </conditionalFormatting>
  <conditionalFormatting sqref="T92">
    <cfRule type="containsText" dxfId="0" priority="85" operator="between" text="欠">
      <formula>NOT(ISERROR(SEARCH("欠",T92)))</formula>
    </cfRule>
  </conditionalFormatting>
  <conditionalFormatting sqref="U92">
    <cfRule type="containsText" dxfId="0" priority="99" operator="between" text="欠">
      <formula>NOT(ISERROR(SEARCH("欠",U92)))</formula>
    </cfRule>
  </conditionalFormatting>
  <conditionalFormatting sqref="R93">
    <cfRule type="cellIs" dxfId="0" priority="67" operator="equal">
      <formula>"欠"</formula>
    </cfRule>
  </conditionalFormatting>
  <conditionalFormatting sqref="U95">
    <cfRule type="cellIs" dxfId="0" priority="62" operator="equal">
      <formula>"欠"</formula>
    </cfRule>
    <cfRule type="containsText" dxfId="0" priority="61" operator="between" text="欠">
      <formula>NOT(ISERROR(SEARCH("欠",U95)))</formula>
    </cfRule>
  </conditionalFormatting>
  <conditionalFormatting sqref="R99">
    <cfRule type="containsText" dxfId="0" priority="65" operator="between" text="欠">
      <formula>NOT(ISERROR(SEARCH("欠",R99)))</formula>
    </cfRule>
  </conditionalFormatting>
  <conditionalFormatting sqref="S99">
    <cfRule type="containsText" dxfId="0" priority="66" operator="between" text="欠">
      <formula>NOT(ISERROR(SEARCH("欠",S99)))</formula>
    </cfRule>
  </conditionalFormatting>
  <conditionalFormatting sqref="T99">
    <cfRule type="containsText" dxfId="0" priority="58" operator="between" text="欠">
      <formula>NOT(ISERROR(SEARCH("欠",T99)))</formula>
    </cfRule>
  </conditionalFormatting>
  <conditionalFormatting sqref="U99">
    <cfRule type="cellIs" dxfId="0" priority="64" operator="equal">
      <formula>"欠"</formula>
    </cfRule>
    <cfRule type="containsText" dxfId="0" priority="63" operator="between" text="欠">
      <formula>NOT(ISERROR(SEARCH("欠",U99)))</formula>
    </cfRule>
  </conditionalFormatting>
  <conditionalFormatting sqref="R101">
    <cfRule type="containsText" dxfId="0" priority="56" operator="between" text="欠">
      <formula>NOT(ISERROR(SEARCH("欠",R101)))</formula>
    </cfRule>
  </conditionalFormatting>
  <conditionalFormatting sqref="S101">
    <cfRule type="containsText" dxfId="0" priority="57" operator="between" text="欠">
      <formula>NOT(ISERROR(SEARCH("欠",S101)))</formula>
    </cfRule>
  </conditionalFormatting>
  <conditionalFormatting sqref="T101">
    <cfRule type="containsText" dxfId="0" priority="55" operator="between" text="欠">
      <formula>NOT(ISERROR(SEARCH("欠",T101)))</formula>
    </cfRule>
  </conditionalFormatting>
  <conditionalFormatting sqref="U101">
    <cfRule type="cellIs" dxfId="0" priority="54" operator="equal">
      <formula>"欠"</formula>
    </cfRule>
    <cfRule type="containsText" dxfId="0" priority="53" operator="between" text="欠">
      <formula>NOT(ISERROR(SEARCH("欠",U101)))</formula>
    </cfRule>
  </conditionalFormatting>
  <conditionalFormatting sqref="R102">
    <cfRule type="cellIs" dxfId="0" priority="49" operator="equal">
      <formula>"欠"</formula>
    </cfRule>
  </conditionalFormatting>
  <conditionalFormatting sqref="S102">
    <cfRule type="containsText" dxfId="0" priority="52" operator="between" text="欠">
      <formula>NOT(ISERROR(SEARCH("欠",S102)))</formula>
    </cfRule>
  </conditionalFormatting>
  <conditionalFormatting sqref="T102">
    <cfRule type="containsText" dxfId="0" priority="48" operator="between" text="欠">
      <formula>NOT(ISERROR(SEARCH("欠",T102)))</formula>
    </cfRule>
  </conditionalFormatting>
  <conditionalFormatting sqref="U102">
    <cfRule type="cellIs" dxfId="0" priority="51" operator="equal">
      <formula>"欠"</formula>
    </cfRule>
    <cfRule type="containsText" dxfId="0" priority="50" operator="between" text="欠">
      <formula>NOT(ISERROR(SEARCH("欠",U102)))</formula>
    </cfRule>
  </conditionalFormatting>
  <conditionalFormatting sqref="T114">
    <cfRule type="containsText" dxfId="0" priority="43" operator="between" text="欠">
      <formula>NOT(ISERROR(SEARCH("欠",T114)))</formula>
    </cfRule>
  </conditionalFormatting>
  <conditionalFormatting sqref="T115">
    <cfRule type="containsText" dxfId="0" priority="24" operator="between" text="欠">
      <formula>NOT(ISERROR(SEARCH("欠",T115)))</formula>
    </cfRule>
  </conditionalFormatting>
  <conditionalFormatting sqref="R116">
    <cfRule type="cellIs" dxfId="0" priority="31" operator="equal">
      <formula>"欠"</formula>
    </cfRule>
  </conditionalFormatting>
  <conditionalFormatting sqref="T116">
    <cfRule type="containsText" dxfId="0" priority="30" operator="between" text="欠">
      <formula>NOT(ISERROR(SEARCH("欠",T116)))</formula>
    </cfRule>
  </conditionalFormatting>
  <conditionalFormatting sqref="T117">
    <cfRule type="containsText" dxfId="0" priority="23" operator="between" text="欠">
      <formula>NOT(ISERROR(SEARCH("欠",T117)))</formula>
    </cfRule>
  </conditionalFormatting>
  <conditionalFormatting sqref="R120">
    <cfRule type="cellIs" dxfId="0" priority="2" operator="equal">
      <formula>"欠"</formula>
    </cfRule>
  </conditionalFormatting>
  <conditionalFormatting sqref="S120">
    <cfRule type="containsText" dxfId="0" priority="3" operator="between" text="欠">
      <formula>NOT(ISERROR(SEARCH("欠",S120)))</formula>
    </cfRule>
  </conditionalFormatting>
  <conditionalFormatting sqref="T120">
    <cfRule type="containsText" dxfId="0" priority="1" operator="between" text="欠">
      <formula>NOT(ISERROR(SEARCH("欠",T120)))</formula>
    </cfRule>
  </conditionalFormatting>
  <conditionalFormatting sqref="U120">
    <cfRule type="containsText" dxfId="0" priority="4" operator="between" text="欠">
      <formula>NOT(ISERROR(SEARCH("欠",U120)))</formula>
    </cfRule>
    <cfRule type="cellIs" dxfId="0" priority="5" operator="equal">
      <formula>"欠"</formula>
    </cfRule>
  </conditionalFormatting>
  <conditionalFormatting sqref="BO120">
    <cfRule type="expression" dxfId="2" priority="6">
      <formula>#REF!="合计"</formula>
    </cfRule>
    <cfRule type="expression" dxfId="2" priority="7">
      <formula>$BO$3="合计"</formula>
    </cfRule>
  </conditionalFormatting>
  <conditionalFormatting sqref="BP120">
    <cfRule type="expression" dxfId="2" priority="8">
      <formula>#REF!="合计"</formula>
    </cfRule>
    <cfRule type="expression" dxfId="2" priority="9">
      <formula>$BO$3="合计"</formula>
    </cfRule>
  </conditionalFormatting>
  <conditionalFormatting sqref="R121">
    <cfRule type="containsText" dxfId="0" priority="12" operator="between" text="欠">
      <formula>NOT(ISERROR(SEARCH("欠",R121)))</formula>
    </cfRule>
  </conditionalFormatting>
  <conditionalFormatting sqref="S121">
    <cfRule type="containsText" dxfId="0" priority="21" operator="between" text="欠">
      <formula>NOT(ISERROR(SEARCH("欠",S121)))</formula>
    </cfRule>
  </conditionalFormatting>
  <conditionalFormatting sqref="U121">
    <cfRule type="containsText" dxfId="0" priority="22" operator="between" text="欠">
      <formula>NOT(ISERROR(SEARCH("欠",U121)))</formula>
    </cfRule>
  </conditionalFormatting>
  <conditionalFormatting sqref="R122">
    <cfRule type="containsText" dxfId="0" priority="11" operator="between" text="欠">
      <formula>NOT(ISERROR(SEARCH("欠",R122)))</formula>
    </cfRule>
  </conditionalFormatting>
  <conditionalFormatting sqref="S122">
    <cfRule type="containsText" dxfId="0" priority="14" operator="between" text="欠">
      <formula>NOT(ISERROR(SEARCH("欠",S122)))</formula>
    </cfRule>
  </conditionalFormatting>
  <conditionalFormatting sqref="U122">
    <cfRule type="containsText" dxfId="0" priority="20" operator="between" text="欠">
      <formula>NOT(ISERROR(SEARCH("欠",U122)))</formula>
    </cfRule>
  </conditionalFormatting>
  <conditionalFormatting sqref="S123">
    <cfRule type="containsText" dxfId="0" priority="18" operator="between" text="欠">
      <formula>NOT(ISERROR(SEARCH("欠",S123)))</formula>
    </cfRule>
  </conditionalFormatting>
  <conditionalFormatting sqref="U123">
    <cfRule type="containsText" dxfId="0" priority="19" operator="between" text="欠">
      <formula>NOT(ISERROR(SEARCH("欠",U123)))</formula>
    </cfRule>
  </conditionalFormatting>
  <conditionalFormatting sqref="S124">
    <cfRule type="containsText" dxfId="0" priority="16" operator="between" text="欠">
      <formula>NOT(ISERROR(SEARCH("欠",S124)))</formula>
    </cfRule>
  </conditionalFormatting>
  <conditionalFormatting sqref="U124">
    <cfRule type="containsText" dxfId="0" priority="17" operator="between" text="欠">
      <formula>NOT(ISERROR(SEARCH("欠",U124)))</formula>
    </cfRule>
  </conditionalFormatting>
  <conditionalFormatting sqref="U125">
    <cfRule type="containsText" dxfId="0" priority="248" operator="between" text="欠">
      <formula>NOT(ISERROR(SEARCH("欠",U125)))</formula>
    </cfRule>
  </conditionalFormatting>
  <conditionalFormatting sqref="U126">
    <cfRule type="containsText" dxfId="0" priority="247" operator="between" text="欠">
      <formula>NOT(ISERROR(SEARCH("欠",U126)))</formula>
    </cfRule>
  </conditionalFormatting>
  <conditionalFormatting sqref="U127">
    <cfRule type="containsText" dxfId="0" priority="246" operator="between" text="欠">
      <formula>NOT(ISERROR(SEARCH("欠",U127)))</formula>
    </cfRule>
  </conditionalFormatting>
  <conditionalFormatting sqref="R7:R8">
    <cfRule type="containsText" dxfId="0" priority="231" operator="between" text="欠">
      <formula>NOT(ISERROR(SEARCH("欠",R7)))</formula>
    </cfRule>
  </conditionalFormatting>
  <conditionalFormatting sqref="R26:R27">
    <cfRule type="containsText" dxfId="0" priority="202" operator="between" text="欠">
      <formula>NOT(ISERROR(SEARCH("欠",R26)))</formula>
    </cfRule>
  </conditionalFormatting>
  <conditionalFormatting sqref="R29:R32">
    <cfRule type="containsText" dxfId="0" priority="175" operator="between" text="欠">
      <formula>NOT(ISERROR(SEARCH("欠",R29)))</formula>
    </cfRule>
  </conditionalFormatting>
  <conditionalFormatting sqref="R33:R35">
    <cfRule type="containsText" dxfId="0" priority="183" operator="between" text="欠">
      <formula>NOT(ISERROR(SEARCH("欠",R33)))</formula>
    </cfRule>
  </conditionalFormatting>
  <conditionalFormatting sqref="R36:R37">
    <cfRule type="containsText" dxfId="0" priority="170" operator="between" text="欠">
      <formula>NOT(ISERROR(SEARCH("欠",R36)))</formula>
    </cfRule>
  </conditionalFormatting>
  <conditionalFormatting sqref="R55:R56">
    <cfRule type="containsText" dxfId="0" priority="164" operator="between" text="欠">
      <formula>NOT(ISERROR(SEARCH("欠",R55)))</formula>
    </cfRule>
  </conditionalFormatting>
  <conditionalFormatting sqref="R73:R74">
    <cfRule type="containsText" dxfId="0" priority="141" operator="between" text="欠">
      <formula>NOT(ISERROR(SEARCH("欠",R73)))</formula>
    </cfRule>
  </conditionalFormatting>
  <conditionalFormatting sqref="R89:R90">
    <cfRule type="containsText" dxfId="0" priority="75" operator="between" text="欠">
      <formula>NOT(ISERROR(SEARCH("欠",R89)))</formula>
    </cfRule>
  </conditionalFormatting>
  <conditionalFormatting sqref="R103:R107">
    <cfRule type="cellIs" dxfId="0" priority="39" operator="equal">
      <formula>"欠"</formula>
    </cfRule>
  </conditionalFormatting>
  <conditionalFormatting sqref="R108:R113">
    <cfRule type="cellIs" dxfId="0" priority="28" operator="equal">
      <formula>"欠"</formula>
    </cfRule>
  </conditionalFormatting>
  <conditionalFormatting sqref="R123:R124">
    <cfRule type="containsText" dxfId="0" priority="10" operator="between" text="欠">
      <formula>NOT(ISERROR(SEARCH("欠",R123)))</formula>
    </cfRule>
  </conditionalFormatting>
  <conditionalFormatting sqref="S36:S37">
    <cfRule type="containsText" dxfId="0" priority="188" operator="between" text="欠">
      <formula>NOT(ISERROR(SEARCH("欠",S36)))</formula>
    </cfRule>
  </conditionalFormatting>
  <conditionalFormatting sqref="S103:S107">
    <cfRule type="containsText" dxfId="0" priority="40" operator="between" text="欠">
      <formula>NOT(ISERROR(SEARCH("欠",S103)))</formula>
    </cfRule>
  </conditionalFormatting>
  <conditionalFormatting sqref="S108:S113">
    <cfRule type="containsText" dxfId="0" priority="29" operator="between" text="欠">
      <formula>NOT(ISERROR(SEARCH("欠",S108)))</formula>
    </cfRule>
  </conditionalFormatting>
  <conditionalFormatting sqref="S115:S117">
    <cfRule type="containsText" dxfId="0" priority="32" operator="between" text="欠">
      <formula>NOT(ISERROR(SEARCH("欠",S115)))</formula>
    </cfRule>
  </conditionalFormatting>
  <conditionalFormatting sqref="T23:T24">
    <cfRule type="containsText" dxfId="0" priority="193" operator="between" text="欠">
      <formula>NOT(ISERROR(SEARCH("欠",T23)))</formula>
    </cfRule>
  </conditionalFormatting>
  <conditionalFormatting sqref="T33:T35">
    <cfRule type="containsText" dxfId="0" priority="182" operator="between" text="欠">
      <formula>NOT(ISERROR(SEARCH("欠",T33)))</formula>
    </cfRule>
  </conditionalFormatting>
  <conditionalFormatting sqref="T36:T37">
    <cfRule type="containsText" dxfId="0" priority="161" operator="between" text="欠">
      <formula>NOT(ISERROR(SEARCH("欠",T36)))</formula>
    </cfRule>
  </conditionalFormatting>
  <conditionalFormatting sqref="T73:T74">
    <cfRule type="containsText" dxfId="0" priority="142" operator="between" text="欠">
      <formula>NOT(ISERROR(SEARCH("欠",T73)))</formula>
    </cfRule>
  </conditionalFormatting>
  <conditionalFormatting sqref="T86:T87">
    <cfRule type="containsText" dxfId="0" priority="72" operator="between" text="欠">
      <formula>NOT(ISERROR(SEARCH("欠",T86)))</formula>
    </cfRule>
  </conditionalFormatting>
  <conditionalFormatting sqref="T89:T91">
    <cfRule type="containsText" dxfId="0" priority="91" operator="between" text="欠">
      <formula>NOT(ISERROR(SEARCH("欠",T89)))</formula>
    </cfRule>
  </conditionalFormatting>
  <conditionalFormatting sqref="T103:T107">
    <cfRule type="containsText" dxfId="0" priority="38" operator="between" text="欠">
      <formula>NOT(ISERROR(SEARCH("欠",T103)))</formula>
    </cfRule>
  </conditionalFormatting>
  <conditionalFormatting sqref="T109:T111">
    <cfRule type="containsText" dxfId="0" priority="27" operator="between" text="欠">
      <formula>NOT(ISERROR(SEARCH("欠",T109)))</formula>
    </cfRule>
  </conditionalFormatting>
  <conditionalFormatting sqref="T118:T119">
    <cfRule type="containsText" dxfId="0" priority="37" operator="between" text="欠">
      <formula>NOT(ISERROR(SEARCH("欠",T118)))</formula>
    </cfRule>
  </conditionalFormatting>
  <conditionalFormatting sqref="T121:T122">
    <cfRule type="containsText" dxfId="0" priority="15" operator="between" text="欠">
      <formula>NOT(ISERROR(SEARCH("欠",T121)))</formula>
    </cfRule>
  </conditionalFormatting>
  <conditionalFormatting sqref="T123:T124">
    <cfRule type="containsText" dxfId="0" priority="13" operator="between" text="欠">
      <formula>NOT(ISERROR(SEARCH("欠",T123)))</formula>
    </cfRule>
  </conditionalFormatting>
  <conditionalFormatting sqref="U1:U2">
    <cfRule type="containsText" dxfId="0" priority="252" operator="between" text="欠">
      <formula>NOT(ISERROR(SEARCH("欠",U1)))</formula>
    </cfRule>
  </conditionalFormatting>
  <conditionalFormatting sqref="U55:U56">
    <cfRule type="containsText" dxfId="0" priority="147" operator="between" text="欠">
      <formula>NOT(ISERROR(SEARCH("欠",U55)))</formula>
    </cfRule>
  </conditionalFormatting>
  <conditionalFormatting sqref="U89:U91">
    <cfRule type="containsText" dxfId="0" priority="92" operator="between" text="欠">
      <formula>NOT(ISERROR(SEARCH("欠",U89)))</formula>
    </cfRule>
  </conditionalFormatting>
  <conditionalFormatting sqref="U96:U97">
    <cfRule type="cellIs" dxfId="0" priority="60" operator="equal">
      <formula>"欠"</formula>
    </cfRule>
    <cfRule type="containsText" dxfId="0" priority="59" operator="between" text="欠">
      <formula>NOT(ISERROR(SEARCH("欠",U96)))</formula>
    </cfRule>
  </conditionalFormatting>
  <conditionalFormatting sqref="U103:U107">
    <cfRule type="cellIs" dxfId="0" priority="42" operator="equal">
      <formula>"欠"</formula>
    </cfRule>
    <cfRule type="containsText" dxfId="0" priority="41" operator="between" text="欠">
      <formula>NOT(ISERROR(SEARCH("欠",U103)))</formula>
    </cfRule>
  </conditionalFormatting>
  <conditionalFormatting sqref="U115:U117">
    <cfRule type="cellIs" dxfId="0" priority="34" operator="equal">
      <formula>"欠"</formula>
    </cfRule>
    <cfRule type="containsText" dxfId="0" priority="33" operator="between" text="欠">
      <formula>NOT(ISERROR(SEARCH("欠",U115)))</formula>
    </cfRule>
  </conditionalFormatting>
  <conditionalFormatting sqref="BQ3:BQ61 BQ63 BQ67:BQ69 BQ71:BQ119 BQ121:BQ127">
    <cfRule type="expression" dxfId="2" priority="241">
      <formula>#REF!="合计"</formula>
    </cfRule>
    <cfRule type="expression" dxfId="2" priority="242">
      <formula>$BO$3="合计"</formula>
    </cfRule>
  </conditionalFormatting>
  <conditionalFormatting sqref="S7:S9 S16">
    <cfRule type="containsText" dxfId="0" priority="232" operator="between" text="欠">
      <formula>NOT(ISERROR(SEARCH("欠",S7)))</formula>
    </cfRule>
  </conditionalFormatting>
  <conditionalFormatting sqref="U7:U9 U39:U53 U29:U32 U25:U27 U22 U12:U19">
    <cfRule type="containsText" dxfId="0" priority="249" operator="between" text="欠">
      <formula>NOT(ISERROR(SEARCH("欠",U7)))</formula>
    </cfRule>
  </conditionalFormatting>
  <conditionalFormatting sqref="R9 R16 R11">
    <cfRule type="containsText" dxfId="0" priority="226" operator="between" text="欠">
      <formula>NOT(ISERROR(SEARCH("欠",R9)))</formula>
    </cfRule>
  </conditionalFormatting>
  <conditionalFormatting sqref="U11 U21">
    <cfRule type="containsText" dxfId="0" priority="220" operator="between" text="欠">
      <formula>NOT(ISERROR(SEARCH("欠",U11)))</formula>
    </cfRule>
  </conditionalFormatting>
  <conditionalFormatting sqref="S12:S13 S45:S50 S39:S43 S25 S22 S15 S17:S19">
    <cfRule type="containsText" dxfId="0" priority="228" operator="between" text="欠">
      <formula>NOT(ISERROR(SEARCH("欠",S12)))</formula>
    </cfRule>
  </conditionalFormatting>
  <conditionalFormatting sqref="T12:T13 T45:T50 T39:T43 T25 T17:T18 T22 T15">
    <cfRule type="containsText" dxfId="0" priority="229" operator="between" text="欠">
      <formula>NOT(ISERROR(SEARCH("欠",T12)))</formula>
    </cfRule>
  </conditionalFormatting>
  <conditionalFormatting sqref="R15 R18">
    <cfRule type="containsText" dxfId="0" priority="199" operator="between" text="欠">
      <formula>NOT(ISERROR(SEARCH("欠",R15)))</formula>
    </cfRule>
  </conditionalFormatting>
  <conditionalFormatting sqref="R17 R45:R50 R39:R43 R25">
    <cfRule type="containsText" dxfId="0" priority="227" operator="between" text="欠">
      <formula>NOT(ISERROR(SEARCH("欠",R17)))</formula>
    </cfRule>
  </conditionalFormatting>
  <conditionalFormatting sqref="U23:U24 U57">
    <cfRule type="containsText" dxfId="0" priority="213" operator="between" text="欠">
      <formula>NOT(ISERROR(SEARCH("欠",U23)))</formula>
    </cfRule>
  </conditionalFormatting>
  <conditionalFormatting sqref="S26:S27 S29:S32">
    <cfRule type="containsText" dxfId="0" priority="200" operator="between" text="欠">
      <formula>NOT(ISERROR(SEARCH("欠",S26)))</formula>
    </cfRule>
  </conditionalFormatting>
  <conditionalFormatting sqref="T26:T27 T29:T32">
    <cfRule type="containsText" dxfId="0" priority="201" operator="between" text="欠">
      <formula>NOT(ISERROR(SEARCH("欠",T26)))</formula>
    </cfRule>
  </conditionalFormatting>
  <conditionalFormatting sqref="R51:R53 R44">
    <cfRule type="containsText" dxfId="0" priority="150" operator="between" text="欠">
      <formula>NOT(ISERROR(SEARCH("欠",R44)))</formula>
    </cfRule>
  </conditionalFormatting>
  <conditionalFormatting sqref="S51:S53 S44">
    <cfRule type="containsText" dxfId="0" priority="149" operator="between" text="欠">
      <formula>NOT(ISERROR(SEARCH("欠",S44)))</formula>
    </cfRule>
  </conditionalFormatting>
  <conditionalFormatting sqref="T51:T53 T44">
    <cfRule type="containsText" dxfId="0" priority="148" operator="between" text="欠">
      <formula>NOT(ISERROR(SEARCH("欠",T44)))</formula>
    </cfRule>
  </conditionalFormatting>
  <conditionalFormatting sqref="S55:S56 S60:S61 S58">
    <cfRule type="containsText" dxfId="0" priority="163" operator="between" text="欠">
      <formula>NOT(ISERROR(SEARCH("欠",S55)))</formula>
    </cfRule>
  </conditionalFormatting>
  <conditionalFormatting sqref="T55 T60 T58">
    <cfRule type="containsText" dxfId="0" priority="162" operator="between" text="欠">
      <formula>NOT(ISERROR(SEARCH("欠",T55)))</formula>
    </cfRule>
  </conditionalFormatting>
  <conditionalFormatting sqref="R76 R81 R79 R57">
    <cfRule type="containsText" dxfId="0" priority="212" operator="between" text="欠">
      <formula>NOT(ISERROR(SEARCH("欠",R57)))</formula>
    </cfRule>
  </conditionalFormatting>
  <conditionalFormatting sqref="R58:R61 R67:R69 R71:R72">
    <cfRule type="containsText" dxfId="0" priority="153" operator="between" text="欠">
      <formula>NOT(ISERROR(SEARCH("欠",R58)))</formula>
    </cfRule>
  </conditionalFormatting>
  <conditionalFormatting sqref="U58 U60:U61">
    <cfRule type="containsText" dxfId="0" priority="165" operator="between" text="欠">
      <formula>NOT(ISERROR(SEARCH("欠",U58)))</formula>
    </cfRule>
  </conditionalFormatting>
  <conditionalFormatting sqref="S62 S64:S65">
    <cfRule type="containsText" dxfId="0" priority="136" operator="between" text="欠">
      <formula>NOT(ISERROR(SEARCH("欠",S62)))</formula>
    </cfRule>
  </conditionalFormatting>
  <conditionalFormatting sqref="U62 U64:U65">
    <cfRule type="containsText" dxfId="0" priority="135" operator="between" text="欠">
      <formula>NOT(ISERROR(SEARCH("欠",U62)))</formula>
    </cfRule>
  </conditionalFormatting>
  <conditionalFormatting sqref="BP62 BP64:BP65">
    <cfRule type="expression" dxfId="2" priority="137">
      <formula>#REF!="合计"</formula>
    </cfRule>
    <cfRule type="expression" dxfId="2" priority="139">
      <formula>$BO$3="合计"</formula>
    </cfRule>
  </conditionalFormatting>
  <conditionalFormatting sqref="R64:R65 R70">
    <cfRule type="containsText" dxfId="0" priority="129" operator="between" text="欠">
      <formula>NOT(ISERROR(SEARCH("欠",R64)))</formula>
    </cfRule>
  </conditionalFormatting>
  <conditionalFormatting sqref="T64:T65 T70">
    <cfRule type="containsText" dxfId="0" priority="101" operator="between" text="欠">
      <formula>NOT(ISERROR(SEARCH("欠",T64)))</formula>
    </cfRule>
  </conditionalFormatting>
  <conditionalFormatting sqref="BP66 BP75:BP85 BP92">
    <cfRule type="expression" dxfId="2" priority="138">
      <formula>#REF!="合计"</formula>
    </cfRule>
    <cfRule type="expression" dxfId="2" priority="140">
      <formula>$BO$3="合计"</formula>
    </cfRule>
  </conditionalFormatting>
  <conditionalFormatting sqref="S71:S74 S67:S69">
    <cfRule type="containsText" dxfId="0" priority="146" operator="between" text="欠">
      <formula>NOT(ISERROR(SEARCH("欠",S67)))</formula>
    </cfRule>
  </conditionalFormatting>
  <conditionalFormatting sqref="T71:T72 T67:T69">
    <cfRule type="containsText" dxfId="0" priority="145" operator="between" text="欠">
      <formula>NOT(ISERROR(SEARCH("欠",T67)))</formula>
    </cfRule>
  </conditionalFormatting>
  <conditionalFormatting sqref="U71:U74 U67:U69">
    <cfRule type="containsText" dxfId="0" priority="144" operator="between" text="欠">
      <formula>NOT(ISERROR(SEARCH("欠",U67)))</formula>
    </cfRule>
  </conditionalFormatting>
  <conditionalFormatting sqref="T79 T81">
    <cfRule type="containsText" dxfId="0" priority="107" operator="between" text="欠">
      <formula>NOT(ISERROR(SEARCH("欠",T79)))</formula>
    </cfRule>
  </conditionalFormatting>
  <conditionalFormatting sqref="U79 U81">
    <cfRule type="containsText" dxfId="0" priority="108" operator="between" text="欠">
      <formula>NOT(ISERROR(SEARCH("欠",U79)))</formula>
    </cfRule>
  </conditionalFormatting>
  <conditionalFormatting sqref="R86:R87 R91">
    <cfRule type="containsText" dxfId="0" priority="95" operator="between" text="欠">
      <formula>NOT(ISERROR(SEARCH("欠",R86)))</formula>
    </cfRule>
  </conditionalFormatting>
  <conditionalFormatting sqref="BP86:BP91 BP93:BP114 BP118:BP119 BP123:BP124">
    <cfRule type="expression" dxfId="2" priority="93">
      <formula>#REF!="合计"</formula>
    </cfRule>
    <cfRule type="expression" dxfId="2" priority="94">
      <formula>$BO$3="合计"</formula>
    </cfRule>
  </conditionalFormatting>
  <conditionalFormatting sqref="R94:R98 R100 R88">
    <cfRule type="containsText" dxfId="0" priority="77" operator="between" text="欠">
      <formula>NOT(ISERROR(SEARCH("欠",R88)))</formula>
    </cfRule>
  </conditionalFormatting>
  <conditionalFormatting sqref="S93 S88">
    <cfRule type="containsText" dxfId="0" priority="78" operator="between" text="欠">
      <formula>NOT(ISERROR(SEARCH("欠",S88)))</formula>
    </cfRule>
  </conditionalFormatting>
  <conditionalFormatting sqref="T93:T98 T100 T88">
    <cfRule type="containsText" dxfId="0" priority="76" operator="between" text="欠">
      <formula>NOT(ISERROR(SEARCH("欠",T88)))</formula>
    </cfRule>
  </conditionalFormatting>
  <conditionalFormatting sqref="S94:S98 S100 S92">
    <cfRule type="containsText" dxfId="0" priority="100" operator="between" text="欠">
      <formula>NOT(ISERROR(SEARCH("欠",S92)))</formula>
    </cfRule>
  </conditionalFormatting>
  <conditionalFormatting sqref="U93:U94 U100 U98">
    <cfRule type="cellIs" dxfId="0" priority="74" operator="equal">
      <formula>"欠"</formula>
    </cfRule>
    <cfRule type="containsText" dxfId="0" priority="73" operator="between" text="欠">
      <formula>NOT(ISERROR(SEARCH("欠",U93)))</formula>
    </cfRule>
  </conditionalFormatting>
  <conditionalFormatting sqref="T112:T113 T108">
    <cfRule type="containsText" dxfId="0" priority="25" operator="between" text="欠">
      <formula>NOT(ISERROR(SEARCH("欠",T108)))</formula>
    </cfRule>
  </conditionalFormatting>
  <conditionalFormatting sqref="U108:U114 U118:U119">
    <cfRule type="cellIs" dxfId="0" priority="47" operator="equal">
      <formula>"欠"</formula>
    </cfRule>
    <cfRule type="containsText" dxfId="0" priority="46" operator="between" text="欠">
      <formula>NOT(ISERROR(SEARCH("欠",U108)))</formula>
    </cfRule>
  </conditionalFormatting>
  <conditionalFormatting sqref="R114 R118:R119">
    <cfRule type="cellIs" dxfId="0" priority="44" operator="equal">
      <formula>"欠"</formula>
    </cfRule>
  </conditionalFormatting>
  <conditionalFormatting sqref="S114 S118:S119">
    <cfRule type="containsText" dxfId="0" priority="45" operator="between" text="欠">
      <formula>NOT(ISERROR(SEARCH("欠",S114)))</formula>
    </cfRule>
  </conditionalFormatting>
  <conditionalFormatting sqref="R115 R117">
    <cfRule type="cellIs" dxfId="0" priority="26" operator="equal">
      <formula>"欠"</formula>
    </cfRule>
  </conditionalFormatting>
  <conditionalFormatting sqref="BP115:BP117 BP121:BP122">
    <cfRule type="expression" dxfId="2" priority="35">
      <formula>#REF!="合计"</formula>
    </cfRule>
    <cfRule type="expression" dxfId="2" priority="36">
      <formula>$BO$3="合计"</formula>
    </cfRule>
  </conditionalFormatting>
  <conditionalFormatting sqref="R125:T127">
    <cfRule type="containsText" dxfId="0" priority="245" operator="between" text="欠">
      <formula>NOT(ISERROR(SEARCH("欠",R125)))</formula>
    </cfRule>
  </conditionalFormatting>
  <dataValidations count="1">
    <dataValidation type="list" allowBlank="1" showInputMessage="1" showErrorMessage="1" sqref="AC6:AC13 AC15:AC127">
      <formula1>"已入,无BOM"</formula1>
    </dataValidation>
  </dataValidation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897"/>
  <sheetViews>
    <sheetView zoomScale="85" zoomScaleNormal="85" topLeftCell="A70" workbookViewId="0">
      <selection activeCell="D1021" sqref="D1021"/>
    </sheetView>
  </sheetViews>
  <sheetFormatPr defaultColWidth="8.8" defaultRowHeight="14.25"/>
  <cols>
    <col min="1" max="1" width="10.625" customWidth="1"/>
    <col min="2" max="2" width="14.2166666666667" customWidth="1"/>
    <col min="3" max="4" width="11.25" customWidth="1"/>
    <col min="5" max="5" width="17.05" customWidth="1"/>
    <col min="6" max="7" width="11.25" customWidth="1"/>
    <col min="8" max="8" width="19.65" customWidth="1"/>
    <col min="9" max="9" width="11.25" customWidth="1"/>
    <col min="10" max="10" width="14.9916666666667" customWidth="1"/>
    <col min="11" max="11" width="16.7" customWidth="1"/>
    <col min="12" max="13" width="11.25" customWidth="1"/>
    <col min="14" max="14" width="17.8833333333333" customWidth="1"/>
    <col min="15" max="16" width="11.25" customWidth="1"/>
    <col min="17" max="17" width="13.5" customWidth="1"/>
  </cols>
  <sheetData>
    <row r="1" ht="18" hidden="1" spans="1:11">
      <c r="A1" s="2722" t="s">
        <v>10537</v>
      </c>
      <c r="B1" s="2723"/>
      <c r="C1" s="2723"/>
      <c r="D1" s="2723"/>
      <c r="E1" s="2723"/>
      <c r="F1" s="2723"/>
      <c r="G1" s="2723"/>
      <c r="H1" s="2723"/>
      <c r="I1" s="2723"/>
      <c r="J1" s="2723"/>
      <c r="K1" s="2724"/>
    </row>
    <row r="2" ht="21" hidden="1" customHeight="1" spans="1:11">
      <c r="A2" s="2725"/>
      <c r="B2" s="2725"/>
      <c r="C2" s="2726" t="s">
        <v>10538</v>
      </c>
      <c r="D2" s="2727"/>
      <c r="E2" s="2727"/>
      <c r="F2" s="2727"/>
      <c r="G2" s="2725"/>
    </row>
    <row r="3" ht="27" hidden="1" customHeight="1" spans="1:11">
      <c r="A3" s="1873" t="s">
        <v>10539</v>
      </c>
      <c r="B3" s="2728" t="s">
        <v>10540</v>
      </c>
      <c r="C3" s="2729" t="s">
        <v>10541</v>
      </c>
      <c r="D3" s="2730" t="s">
        <v>10542</v>
      </c>
      <c r="E3" s="2730" t="s">
        <v>10543</v>
      </c>
      <c r="F3" s="2730" t="s">
        <v>10544</v>
      </c>
      <c r="G3" s="2731" t="s">
        <v>10545</v>
      </c>
    </row>
    <row r="4" hidden="1" spans="1:11">
      <c r="A4" s="2732" t="s">
        <v>10546</v>
      </c>
      <c r="B4" s="1876">
        <v>43910</v>
      </c>
      <c r="C4" s="2733">
        <v>17500</v>
      </c>
      <c r="D4" s="2734">
        <v>17500</v>
      </c>
      <c r="E4" s="2734">
        <v>17500</v>
      </c>
      <c r="F4" s="2734">
        <v>17500</v>
      </c>
      <c r="G4" s="2735"/>
    </row>
    <row r="5" hidden="1" spans="1:11">
      <c r="A5" s="2732" t="s">
        <v>10546</v>
      </c>
      <c r="B5" s="1876">
        <v>43942</v>
      </c>
      <c r="C5" s="2733"/>
      <c r="D5" s="2734"/>
      <c r="E5" s="2734"/>
      <c r="F5" s="2734"/>
      <c r="G5" s="2735"/>
    </row>
    <row r="6" hidden="1" spans="1:11">
      <c r="A6" s="2732" t="s">
        <v>10546</v>
      </c>
      <c r="B6" s="1876">
        <v>43992</v>
      </c>
      <c r="C6" s="2733">
        <v>15000</v>
      </c>
      <c r="D6" s="2734">
        <v>15000</v>
      </c>
      <c r="E6" s="2734">
        <v>15000</v>
      </c>
      <c r="F6" s="2734">
        <v>15000</v>
      </c>
      <c r="G6" s="2735"/>
    </row>
    <row r="7" s="265" customFormat="1" hidden="1" spans="1:11">
      <c r="A7" s="2732" t="s">
        <v>10546</v>
      </c>
      <c r="B7" s="1876">
        <v>44026</v>
      </c>
      <c r="C7" s="2733"/>
      <c r="D7" s="2734"/>
      <c r="E7" s="2734"/>
      <c r="F7" s="2734">
        <v>10200</v>
      </c>
      <c r="G7" s="2735"/>
    </row>
    <row r="8" hidden="1" spans="1:11">
      <c r="A8" s="2732" t="s">
        <v>10546</v>
      </c>
      <c r="B8" s="1876">
        <v>44064</v>
      </c>
      <c r="C8" s="2733"/>
      <c r="D8" s="2734"/>
      <c r="E8" s="2734"/>
      <c r="F8" s="2734"/>
      <c r="G8" s="2735"/>
    </row>
    <row r="9" hidden="1" spans="1:11">
      <c r="A9" s="2732" t="s">
        <v>10546</v>
      </c>
      <c r="B9" s="1876">
        <v>44068</v>
      </c>
      <c r="C9" s="2733"/>
      <c r="D9" s="2734"/>
      <c r="E9" s="2734"/>
      <c r="F9" s="2734">
        <v>14400</v>
      </c>
      <c r="G9" s="2736">
        <v>4500037462</v>
      </c>
    </row>
    <row r="10" hidden="1" spans="1:11">
      <c r="A10" s="2737" t="s">
        <v>10546</v>
      </c>
      <c r="B10" s="2738">
        <v>44251</v>
      </c>
      <c r="C10" s="2739"/>
      <c r="D10" s="2740"/>
      <c r="E10" s="2740"/>
      <c r="F10" s="2741">
        <v>12000</v>
      </c>
      <c r="G10" s="2741">
        <v>4500045153</v>
      </c>
    </row>
    <row r="11" hidden="1" spans="1:11">
      <c r="A11" s="1873"/>
      <c r="B11" s="2728" t="s">
        <v>10547</v>
      </c>
      <c r="C11" s="2733">
        <f>SUM(C4:C10)</f>
        <v>32500</v>
      </c>
      <c r="D11" s="130">
        <f>SUM(D4:D10)</f>
        <v>32500</v>
      </c>
      <c r="E11" s="130">
        <f>SUM(E4:E10)</f>
        <v>32500</v>
      </c>
      <c r="F11" s="130">
        <f>SUM(F4:F10)</f>
        <v>69100</v>
      </c>
      <c r="G11" s="2742"/>
    </row>
    <row r="12" hidden="1" spans="1:11">
      <c r="A12" s="1873"/>
      <c r="B12" s="2728" t="s">
        <v>9150</v>
      </c>
      <c r="C12" s="2743">
        <f>SUM(C11:F11)</f>
        <v>166600</v>
      </c>
      <c r="D12" s="2744"/>
      <c r="E12" s="2744"/>
      <c r="F12" s="2744"/>
      <c r="G12" s="2742"/>
    </row>
    <row r="13" hidden="1" spans="1:11">
      <c r="A13" s="1873"/>
      <c r="B13" s="2728" t="s">
        <v>10548</v>
      </c>
      <c r="C13" s="2745" t="e">
        <f>#REF!+206112</f>
        <v>#REF!</v>
      </c>
      <c r="D13" s="2746"/>
      <c r="E13" s="2746"/>
      <c r="F13" s="2746"/>
      <c r="G13" s="2742"/>
    </row>
    <row r="14" hidden="1" spans="1:11">
      <c r="A14" s="2747"/>
      <c r="B14" s="2748" t="s">
        <v>10549</v>
      </c>
      <c r="C14" s="2749" t="e">
        <f>C12-C13</f>
        <v>#REF!</v>
      </c>
      <c r="D14" s="2750"/>
      <c r="E14" s="2750"/>
      <c r="F14" s="2750"/>
      <c r="G14" s="2751"/>
    </row>
    <row r="15" hidden="1" spans="1:11">
      <c r="A15" s="2752" t="s">
        <v>10550</v>
      </c>
      <c r="B15" s="2752"/>
      <c r="C15" s="2752"/>
      <c r="D15" s="2752"/>
      <c r="E15" s="2752"/>
      <c r="F15" s="2752"/>
      <c r="G15" s="2752"/>
    </row>
    <row r="16" hidden="1" spans="1:11">
      <c r="A16" s="2753"/>
      <c r="B16" s="2753"/>
      <c r="C16" s="2753"/>
      <c r="D16" s="2753"/>
      <c r="E16" s="2753"/>
      <c r="F16" s="2753"/>
    </row>
    <row r="17" ht="15" hidden="1"/>
    <row r="18" ht="18.75" hidden="1" spans="1:15">
      <c r="A18" s="2754" t="s">
        <v>10551</v>
      </c>
      <c r="B18" s="2755"/>
      <c r="C18" s="2755"/>
      <c r="D18" s="2755"/>
      <c r="E18" s="2755"/>
      <c r="F18" s="2755"/>
      <c r="G18" s="2756"/>
      <c r="I18" s="2757"/>
      <c r="J18" s="2757"/>
      <c r="K18" s="2757"/>
      <c r="L18" s="2757"/>
      <c r="M18" s="2757"/>
      <c r="N18" s="2757"/>
      <c r="O18" s="2757"/>
    </row>
    <row r="19" ht="18" hidden="1" spans="1:15">
      <c r="A19" s="2758"/>
      <c r="B19" s="2725"/>
      <c r="C19" s="2759" t="s">
        <v>10538</v>
      </c>
      <c r="D19" s="2727"/>
      <c r="E19" s="2727"/>
      <c r="F19" s="2727"/>
      <c r="G19" s="2760"/>
      <c r="I19" s="2757"/>
      <c r="J19" s="2757"/>
      <c r="K19" s="2761"/>
      <c r="L19" s="2762"/>
      <c r="M19" s="2762"/>
      <c r="N19" s="2762"/>
      <c r="O19" s="2757"/>
    </row>
    <row r="20" ht="27" hidden="1" spans="1:15">
      <c r="A20" s="1873" t="s">
        <v>10539</v>
      </c>
      <c r="B20" s="2728" t="s">
        <v>10540</v>
      </c>
      <c r="C20" s="2730" t="s">
        <v>10541</v>
      </c>
      <c r="D20" s="2730" t="s">
        <v>10542</v>
      </c>
      <c r="E20" s="2730" t="s">
        <v>10543</v>
      </c>
      <c r="F20" s="2730" t="s">
        <v>10544</v>
      </c>
      <c r="G20" s="2731" t="s">
        <v>10545</v>
      </c>
      <c r="I20" s="525"/>
      <c r="J20" s="2763"/>
      <c r="K20" s="2764"/>
      <c r="L20" s="2764"/>
      <c r="M20" s="2764"/>
      <c r="N20" s="2764"/>
      <c r="O20" s="2765"/>
    </row>
    <row r="21" hidden="1" spans="1:15">
      <c r="A21" s="2732" t="s">
        <v>10546</v>
      </c>
      <c r="B21" s="1876">
        <v>44118</v>
      </c>
      <c r="C21" s="130">
        <v>15000</v>
      </c>
      <c r="D21" s="130">
        <v>15000</v>
      </c>
      <c r="E21" s="130">
        <v>15000</v>
      </c>
      <c r="F21" s="130">
        <v>15000</v>
      </c>
      <c r="G21" s="2735"/>
      <c r="I21" s="2763"/>
      <c r="J21" s="2766"/>
      <c r="K21" s="2767"/>
      <c r="L21" s="2767"/>
      <c r="M21" s="2767"/>
      <c r="N21" s="2767"/>
      <c r="O21" s="2766"/>
    </row>
    <row r="22" hidden="1" spans="1:15">
      <c r="A22" s="2732" t="s">
        <v>10546</v>
      </c>
      <c r="B22" s="1876">
        <v>44252</v>
      </c>
      <c r="C22" s="130">
        <v>15000</v>
      </c>
      <c r="D22" s="130">
        <v>15000</v>
      </c>
      <c r="E22" s="130">
        <v>15000</v>
      </c>
      <c r="F22" s="130">
        <v>15000</v>
      </c>
      <c r="G22" s="2735"/>
      <c r="I22" s="2763"/>
      <c r="J22" s="2766"/>
      <c r="K22" s="2767"/>
      <c r="L22" s="2767"/>
      <c r="M22" s="2767"/>
      <c r="N22" s="2767"/>
      <c r="O22" s="2766"/>
    </row>
    <row r="23" hidden="1" spans="1:15">
      <c r="A23" s="2732" t="s">
        <v>10546</v>
      </c>
      <c r="B23" s="1876">
        <v>44341</v>
      </c>
      <c r="C23" s="130">
        <v>15000</v>
      </c>
      <c r="D23" s="130">
        <v>15000</v>
      </c>
      <c r="E23" s="130">
        <v>15000</v>
      </c>
      <c r="F23" s="130">
        <v>15000</v>
      </c>
      <c r="G23" s="2735"/>
      <c r="I23" s="2763"/>
      <c r="J23" s="2766"/>
      <c r="K23" s="2767"/>
      <c r="L23" s="2767"/>
      <c r="M23" s="2767"/>
      <c r="N23" s="2767"/>
      <c r="O23" s="2766"/>
    </row>
    <row r="24" hidden="1" spans="1:15">
      <c r="A24" s="2732" t="s">
        <v>10546</v>
      </c>
      <c r="B24" s="1876">
        <v>44529</v>
      </c>
      <c r="C24" s="130">
        <v>15000</v>
      </c>
      <c r="D24" s="130">
        <v>15000</v>
      </c>
      <c r="E24" s="130">
        <v>15000</v>
      </c>
      <c r="F24" s="130">
        <v>15000</v>
      </c>
      <c r="G24" s="2735"/>
      <c r="I24" s="2763"/>
      <c r="J24" s="2768"/>
      <c r="K24" s="2767"/>
      <c r="L24" s="2767"/>
      <c r="M24" s="2767"/>
      <c r="N24" s="2767"/>
      <c r="O24" s="2766"/>
    </row>
    <row r="25" hidden="1" spans="1:15">
      <c r="A25" s="2732"/>
      <c r="B25" s="1876"/>
      <c r="C25" s="130"/>
      <c r="D25" s="130"/>
      <c r="E25" s="130"/>
      <c r="F25" s="130"/>
      <c r="G25" s="2735"/>
      <c r="I25" s="2763"/>
      <c r="J25" s="2766"/>
      <c r="K25" s="2767"/>
      <c r="L25" s="2767"/>
      <c r="M25" s="2767"/>
      <c r="N25" s="2767"/>
      <c r="O25" s="2766"/>
    </row>
    <row r="26" hidden="1" spans="1:15">
      <c r="A26" s="2732"/>
      <c r="B26" s="1876"/>
      <c r="C26" s="130"/>
      <c r="D26" s="130"/>
      <c r="E26" s="130"/>
      <c r="F26" s="130"/>
      <c r="G26" s="2735"/>
      <c r="I26" s="2763"/>
      <c r="J26" s="2768"/>
      <c r="K26" s="2767"/>
      <c r="L26" s="2767"/>
      <c r="M26" s="2767"/>
      <c r="N26" s="2767"/>
      <c r="O26" s="2766"/>
    </row>
    <row r="27" hidden="1" spans="1:15">
      <c r="A27" s="1873"/>
      <c r="B27" s="2728" t="s">
        <v>10547</v>
      </c>
      <c r="C27" s="130">
        <f>SUM(C21:C26)</f>
        <v>60000</v>
      </c>
      <c r="D27" s="130">
        <f>SUM(D21:D26)</f>
        <v>60000</v>
      </c>
      <c r="E27" s="130">
        <f>SUM(E21:E26)</f>
        <v>60000</v>
      </c>
      <c r="F27" s="130">
        <f>SUM(F21:F26)</f>
        <v>60000</v>
      </c>
      <c r="G27" s="2742"/>
      <c r="I27" s="525"/>
      <c r="J27" s="2763"/>
      <c r="K27" s="2767"/>
      <c r="L27" s="2767"/>
      <c r="M27" s="2767"/>
      <c r="N27" s="2767"/>
      <c r="O27" s="525"/>
    </row>
    <row r="28" hidden="1" spans="1:15">
      <c r="A28" s="1873"/>
      <c r="B28" s="2728" t="s">
        <v>9150</v>
      </c>
      <c r="C28" s="130">
        <f>SUM(C27:F27)</f>
        <v>240000</v>
      </c>
      <c r="D28" s="130"/>
      <c r="E28" s="130"/>
      <c r="F28" s="130"/>
      <c r="G28" s="2742"/>
      <c r="I28" s="525"/>
      <c r="J28" s="2763"/>
      <c r="K28" s="2767"/>
      <c r="L28" s="2767"/>
      <c r="M28" s="2767"/>
      <c r="N28" s="2767"/>
      <c r="O28" s="525"/>
    </row>
    <row r="29" hidden="1" spans="1:15">
      <c r="A29" s="1873"/>
      <c r="B29" s="2728" t="s">
        <v>10548</v>
      </c>
      <c r="C29" s="2769" t="e">
        <f>#REF!+204324</f>
        <v>#REF!</v>
      </c>
      <c r="D29" s="2769"/>
      <c r="E29" s="2769"/>
      <c r="F29" s="2769"/>
      <c r="G29" s="2742"/>
      <c r="I29" s="525"/>
      <c r="J29" s="2763"/>
      <c r="K29" s="2770"/>
      <c r="L29" s="2770"/>
      <c r="M29" s="2770"/>
      <c r="N29" s="2770"/>
      <c r="O29" s="525"/>
    </row>
    <row r="30" ht="15" hidden="1" spans="1:15">
      <c r="A30" s="2771"/>
      <c r="B30" s="2772" t="s">
        <v>10549</v>
      </c>
      <c r="C30" s="2773" t="e">
        <f>C28-C29</f>
        <v>#REF!</v>
      </c>
      <c r="D30" s="2773"/>
      <c r="E30" s="2773"/>
      <c r="F30" s="2773"/>
      <c r="G30" s="2774"/>
      <c r="I30" s="525"/>
      <c r="J30" s="2763"/>
      <c r="K30" s="2775"/>
      <c r="L30" s="2775"/>
      <c r="M30" s="2775"/>
      <c r="N30" s="2775"/>
      <c r="O30" s="525"/>
    </row>
    <row r="33" ht="15"/>
    <row r="34" ht="18.75" spans="1:16">
      <c r="A34" s="2754" t="s">
        <v>10552</v>
      </c>
      <c r="B34" s="2755"/>
      <c r="C34" s="2755"/>
      <c r="D34" s="2755"/>
      <c r="E34" s="2755"/>
      <c r="F34" s="2756"/>
      <c r="G34" s="2776"/>
      <c r="I34" s="2754" t="s">
        <v>10553</v>
      </c>
      <c r="J34" s="2755"/>
      <c r="K34" s="2755"/>
      <c r="L34" s="2755"/>
      <c r="M34" s="2755"/>
      <c r="N34" s="2756"/>
    </row>
    <row r="35" ht="18.75" spans="1:16">
      <c r="A35" s="2777" t="s">
        <v>10554</v>
      </c>
      <c r="B35" s="2778"/>
      <c r="C35" s="2778"/>
      <c r="D35" s="2778"/>
      <c r="E35" s="2778"/>
      <c r="F35" s="2779"/>
      <c r="G35" s="2761"/>
      <c r="H35" s="2757"/>
      <c r="I35" s="2777" t="s">
        <v>10554</v>
      </c>
      <c r="J35" s="2778"/>
      <c r="K35" s="2778"/>
      <c r="L35" s="2778"/>
      <c r="M35" s="2778"/>
      <c r="N35" s="2779"/>
    </row>
    <row r="36" spans="1:16">
      <c r="A36" s="2780" t="s">
        <v>10539</v>
      </c>
      <c r="B36" s="2781" t="s">
        <v>10540</v>
      </c>
      <c r="C36" s="2782" t="s">
        <v>10555</v>
      </c>
      <c r="D36" s="2782" t="s">
        <v>10556</v>
      </c>
      <c r="E36" s="2782" t="s">
        <v>10557</v>
      </c>
      <c r="F36" s="2783" t="s">
        <v>10558</v>
      </c>
      <c r="G36" s="220"/>
      <c r="I36" s="2780" t="s">
        <v>10539</v>
      </c>
      <c r="J36" s="2781" t="s">
        <v>10540</v>
      </c>
      <c r="K36" s="2782" t="s">
        <v>10555</v>
      </c>
      <c r="L36" s="2782" t="s">
        <v>10556</v>
      </c>
      <c r="M36" s="2782" t="s">
        <v>10557</v>
      </c>
      <c r="N36" s="2783" t="s">
        <v>10558</v>
      </c>
    </row>
    <row r="37" spans="1:16">
      <c r="A37" s="2732" t="s">
        <v>10559</v>
      </c>
      <c r="B37" s="1876">
        <v>44613</v>
      </c>
      <c r="C37" s="130">
        <v>20000</v>
      </c>
      <c r="D37" s="130">
        <v>20000</v>
      </c>
      <c r="E37" s="130">
        <v>20000</v>
      </c>
      <c r="F37" s="2735"/>
      <c r="G37" s="2784"/>
      <c r="I37" s="2732" t="s">
        <v>10559</v>
      </c>
      <c r="J37" s="1876"/>
      <c r="K37" s="130"/>
      <c r="L37" s="130">
        <v>20000</v>
      </c>
      <c r="M37" s="130"/>
      <c r="N37" s="2735"/>
    </row>
    <row r="38" spans="1:16">
      <c r="A38" s="2732" t="s">
        <v>10559</v>
      </c>
      <c r="B38" s="1876">
        <v>44678</v>
      </c>
      <c r="C38" s="130">
        <v>20000</v>
      </c>
      <c r="D38" s="130">
        <v>20000</v>
      </c>
      <c r="E38" s="130">
        <v>20000</v>
      </c>
      <c r="F38" s="2735"/>
      <c r="G38" s="2784"/>
      <c r="I38" s="2732" t="s">
        <v>10559</v>
      </c>
      <c r="J38" s="1876"/>
      <c r="K38" s="130">
        <v>36000</v>
      </c>
      <c r="L38" s="130">
        <v>60000</v>
      </c>
      <c r="M38" s="130">
        <v>36000</v>
      </c>
      <c r="N38" s="2735"/>
      <c r="O38">
        <f>(13.2-6)/2</f>
        <v>3.6</v>
      </c>
    </row>
    <row r="39" spans="1:16">
      <c r="A39" s="2732" t="s">
        <v>10559</v>
      </c>
      <c r="B39" s="1876">
        <v>44810</v>
      </c>
      <c r="C39" s="130">
        <v>20000</v>
      </c>
      <c r="D39" s="130">
        <v>20000</v>
      </c>
      <c r="E39" s="130">
        <v>20000</v>
      </c>
      <c r="F39" s="2735"/>
      <c r="G39" s="2784"/>
      <c r="I39" s="2732" t="s">
        <v>10559</v>
      </c>
      <c r="J39" s="1876"/>
      <c r="K39" s="130">
        <v>40000</v>
      </c>
      <c r="L39" s="130">
        <v>40000</v>
      </c>
      <c r="M39" s="130">
        <v>40000</v>
      </c>
      <c r="N39" s="2735"/>
    </row>
    <row r="40" spans="1:16">
      <c r="A40" s="2785" t="s">
        <v>10559</v>
      </c>
      <c r="B40" s="1883">
        <v>45042</v>
      </c>
      <c r="C40" s="2786">
        <v>20000</v>
      </c>
      <c r="D40" s="2786">
        <v>20000</v>
      </c>
      <c r="E40" s="2786">
        <v>20000</v>
      </c>
      <c r="F40" s="2735"/>
      <c r="G40" s="2784"/>
      <c r="I40" s="2785"/>
      <c r="J40" s="1883"/>
      <c r="K40" s="2786"/>
      <c r="L40" s="2786"/>
      <c r="M40" s="2786"/>
      <c r="N40" s="2735"/>
    </row>
    <row r="41" spans="1:16">
      <c r="A41" s="2732"/>
      <c r="B41" s="1876"/>
      <c r="C41" s="130"/>
      <c r="D41" s="130"/>
      <c r="E41" s="130"/>
      <c r="F41" s="2735"/>
      <c r="G41" s="2784"/>
      <c r="I41" s="2732"/>
      <c r="J41" s="1876"/>
      <c r="K41" s="130"/>
      <c r="L41" s="130"/>
      <c r="M41" s="130"/>
      <c r="N41" s="2735"/>
    </row>
    <row r="42" spans="1:16">
      <c r="A42" s="2732"/>
      <c r="B42" s="1876"/>
      <c r="C42" s="130"/>
      <c r="D42" s="130"/>
      <c r="E42" s="130"/>
      <c r="F42" s="2735"/>
      <c r="G42" s="2784"/>
      <c r="I42" s="2732"/>
      <c r="J42" s="1876"/>
      <c r="K42" s="130"/>
      <c r="L42" s="130"/>
      <c r="M42" s="130"/>
      <c r="N42" s="2735"/>
    </row>
    <row r="43" spans="1:16">
      <c r="A43" s="1873"/>
      <c r="B43" s="2728" t="s">
        <v>10547</v>
      </c>
      <c r="C43" s="130">
        <f>SUM(C37:C42)</f>
        <v>80000</v>
      </c>
      <c r="D43" s="130">
        <f>SUM(D37:D42)</f>
        <v>80000</v>
      </c>
      <c r="E43" s="130">
        <f>SUM(E37:E42)</f>
        <v>80000</v>
      </c>
      <c r="F43" s="2742"/>
      <c r="G43" s="20"/>
      <c r="I43" s="1873"/>
      <c r="J43" s="2728" t="s">
        <v>10547</v>
      </c>
      <c r="K43" s="130">
        <f t="shared" ref="K43:M43" si="0">SUM(K37:K42)</f>
        <v>76000</v>
      </c>
      <c r="L43" s="130">
        <f t="shared" si="0"/>
        <v>120000</v>
      </c>
      <c r="M43" s="130">
        <f t="shared" si="0"/>
        <v>76000</v>
      </c>
      <c r="N43" s="2742"/>
    </row>
    <row r="44" ht="15" spans="1:16">
      <c r="A44" s="2771"/>
      <c r="B44" s="2772" t="s">
        <v>9150</v>
      </c>
      <c r="C44" s="2787">
        <f>SUM(C43:E43)</f>
        <v>240000</v>
      </c>
      <c r="D44" s="2788"/>
      <c r="E44" s="2788"/>
      <c r="F44" s="2789"/>
      <c r="G44" s="32"/>
      <c r="H44" s="2790" t="s">
        <v>10560</v>
      </c>
      <c r="I44" s="2771"/>
      <c r="J44" s="2772" t="s">
        <v>9150</v>
      </c>
      <c r="K44" s="2787">
        <f>SUM(K43:M43)</f>
        <v>272000</v>
      </c>
      <c r="L44" s="2788"/>
      <c r="M44" s="2788"/>
      <c r="N44" s="2789"/>
      <c r="O44" s="1"/>
      <c r="P44" s="2790" t="s">
        <v>10560</v>
      </c>
    </row>
    <row r="45" spans="1:16">
      <c r="A45" s="2780"/>
      <c r="B45" s="2781" t="s">
        <v>10548</v>
      </c>
      <c r="C45" s="2791">
        <f>'9259'!AP84+121404+H45</f>
        <v>198060</v>
      </c>
      <c r="D45" s="2791"/>
      <c r="E45" s="2791"/>
      <c r="F45" s="2792"/>
      <c r="G45" s="2793">
        <v>198060</v>
      </c>
      <c r="H45" s="2790">
        <v>76656</v>
      </c>
      <c r="I45" s="2780"/>
      <c r="J45" s="2781"/>
      <c r="K45" s="2791">
        <f>'9259'!AQ84+P45</f>
        <v>1238676</v>
      </c>
      <c r="L45" s="2791"/>
      <c r="M45" s="2791"/>
      <c r="N45" s="2792"/>
      <c r="O45" s="1">
        <f>942126</f>
        <v>942126</v>
      </c>
      <c r="P45" s="2790">
        <v>494976</v>
      </c>
    </row>
    <row r="46" ht="15" spans="1:16">
      <c r="A46" s="2771"/>
      <c r="B46" s="2794" t="s">
        <v>10549</v>
      </c>
      <c r="C46" s="2795">
        <f>C44-C45</f>
        <v>41940</v>
      </c>
      <c r="D46" s="2796"/>
      <c r="E46" s="2796"/>
      <c r="F46" s="2774"/>
      <c r="G46" s="20"/>
      <c r="I46" s="2771"/>
      <c r="J46" s="2794" t="s">
        <v>10549</v>
      </c>
      <c r="K46" s="2795">
        <f>K44-K45</f>
        <v>-966676</v>
      </c>
      <c r="L46" s="2796"/>
      <c r="M46" s="2796"/>
      <c r="N46" s="2774"/>
    </row>
    <row r="49" ht="15"/>
    <row r="50" ht="18" spans="1:11">
      <c r="A50" s="2722" t="s">
        <v>10561</v>
      </c>
      <c r="B50" s="2723"/>
      <c r="C50" s="2723"/>
      <c r="D50" s="2723"/>
      <c r="E50" s="2724"/>
      <c r="G50" s="2722" t="s">
        <v>10561</v>
      </c>
      <c r="H50" s="2723"/>
      <c r="I50" s="2723"/>
      <c r="J50" s="2723"/>
      <c r="K50" s="2724"/>
    </row>
    <row r="51" ht="15" spans="1:11">
      <c r="A51" s="2777" t="s">
        <v>10554</v>
      </c>
      <c r="B51" s="2778"/>
      <c r="C51" s="2778"/>
      <c r="D51" s="2778"/>
      <c r="E51" s="2779"/>
      <c r="G51" s="2777" t="s">
        <v>10562</v>
      </c>
      <c r="H51" s="2778"/>
      <c r="I51" s="2778"/>
      <c r="J51" s="2778"/>
      <c r="K51" s="2779"/>
    </row>
    <row r="52" spans="1:11">
      <c r="A52" s="2780" t="s">
        <v>10539</v>
      </c>
      <c r="B52" s="2781" t="s">
        <v>10540</v>
      </c>
      <c r="C52" s="2782" t="s">
        <v>10556</v>
      </c>
      <c r="D52" s="2782" t="s">
        <v>10557</v>
      </c>
      <c r="E52" s="2783" t="s">
        <v>10558</v>
      </c>
      <c r="G52" s="2780" t="s">
        <v>10539</v>
      </c>
      <c r="H52" s="2781" t="s">
        <v>10540</v>
      </c>
      <c r="I52" s="2782" t="s">
        <v>10556</v>
      </c>
      <c r="J52" s="2782" t="s">
        <v>10557</v>
      </c>
      <c r="K52" s="2783" t="s">
        <v>10558</v>
      </c>
    </row>
    <row r="53" spans="1:11">
      <c r="A53" s="2732" t="s">
        <v>10559</v>
      </c>
      <c r="B53" s="1876">
        <v>44959</v>
      </c>
      <c r="C53" s="130">
        <v>30000</v>
      </c>
      <c r="D53" s="130">
        <v>30000</v>
      </c>
      <c r="E53" s="2797" t="s">
        <v>10563</v>
      </c>
      <c r="G53" s="2732" t="s">
        <v>10559</v>
      </c>
      <c r="H53" s="1876">
        <v>45250</v>
      </c>
      <c r="I53" s="130">
        <v>30000</v>
      </c>
      <c r="J53" s="130">
        <v>30000</v>
      </c>
      <c r="K53" s="2797"/>
    </row>
    <row r="54" spans="1:11">
      <c r="A54" s="2732" t="s">
        <v>10559</v>
      </c>
      <c r="B54" s="1876">
        <v>45033</v>
      </c>
      <c r="C54" s="130">
        <v>30000</v>
      </c>
      <c r="D54" s="130">
        <v>30000</v>
      </c>
      <c r="E54" s="2797" t="s">
        <v>10563</v>
      </c>
      <c r="G54" s="2732" t="s">
        <v>10559</v>
      </c>
      <c r="H54" s="1876">
        <v>45419</v>
      </c>
      <c r="I54" s="130">
        <v>30000</v>
      </c>
      <c r="J54" s="130">
        <v>30000</v>
      </c>
      <c r="K54" s="2797"/>
    </row>
    <row r="55" spans="1:11">
      <c r="A55" s="2732" t="s">
        <v>10559</v>
      </c>
      <c r="B55" s="1876">
        <v>45107</v>
      </c>
      <c r="C55" s="130">
        <v>30000</v>
      </c>
      <c r="D55" s="130">
        <v>30000</v>
      </c>
      <c r="E55" s="2797" t="s">
        <v>10563</v>
      </c>
      <c r="G55" s="2732" t="s">
        <v>10559</v>
      </c>
      <c r="H55" s="1876">
        <v>45601</v>
      </c>
      <c r="I55" s="130">
        <v>30000</v>
      </c>
      <c r="J55" s="130">
        <v>30000</v>
      </c>
      <c r="K55" s="2798" t="s">
        <v>10564</v>
      </c>
    </row>
    <row r="56" spans="1:11">
      <c r="A56" s="2732"/>
      <c r="B56" s="1876"/>
      <c r="C56" s="130"/>
      <c r="D56" s="130"/>
      <c r="E56" s="2735"/>
      <c r="G56" s="2732"/>
      <c r="H56" s="1876"/>
      <c r="I56" s="130"/>
      <c r="J56" s="130"/>
      <c r="K56" s="2735"/>
    </row>
    <row r="57" spans="1:11">
      <c r="A57" s="2732"/>
      <c r="B57" s="1876"/>
      <c r="C57" s="130"/>
      <c r="D57" s="130"/>
      <c r="E57" s="2735"/>
      <c r="G57" s="2732"/>
      <c r="H57" s="1876"/>
      <c r="I57" s="130"/>
      <c r="J57" s="130"/>
      <c r="K57" s="2735"/>
    </row>
    <row r="58" spans="1:11">
      <c r="A58" s="2732"/>
      <c r="B58" s="1876"/>
      <c r="C58" s="130"/>
      <c r="D58" s="130"/>
      <c r="E58" s="2735"/>
      <c r="G58" s="2732"/>
      <c r="H58" s="1876"/>
      <c r="I58" s="130"/>
      <c r="J58" s="130"/>
      <c r="K58" s="2735"/>
    </row>
    <row r="59" spans="1:11">
      <c r="A59" s="1873"/>
      <c r="B59" s="2728" t="s">
        <v>10547</v>
      </c>
      <c r="C59" s="130">
        <f>SUM(C53:C58)</f>
        <v>90000</v>
      </c>
      <c r="D59" s="130">
        <f>SUM(D53:D58)</f>
        <v>90000</v>
      </c>
      <c r="E59" s="2742"/>
      <c r="G59" s="1873"/>
      <c r="H59" s="2728" t="s">
        <v>10547</v>
      </c>
      <c r="I59" s="130">
        <f>SUM(I53:I58)</f>
        <v>90000</v>
      </c>
      <c r="J59" s="130">
        <f>SUM(J53:J58)</f>
        <v>90000</v>
      </c>
      <c r="K59" s="2742"/>
    </row>
    <row r="60" ht="15" spans="1:11">
      <c r="A60" s="2771"/>
      <c r="B60" s="2772" t="s">
        <v>9150</v>
      </c>
      <c r="C60" s="2799">
        <f>C59+D59</f>
        <v>180000</v>
      </c>
      <c r="D60" s="2800"/>
      <c r="E60" s="2801"/>
      <c r="G60" s="2771"/>
      <c r="H60" s="2772" t="s">
        <v>9150</v>
      </c>
      <c r="I60" s="2799">
        <f>I59+J59</f>
        <v>180000</v>
      </c>
      <c r="J60" s="2800"/>
      <c r="K60" s="2801"/>
    </row>
    <row r="61" spans="1:11">
      <c r="A61" s="2780"/>
      <c r="B61" s="2781" t="s">
        <v>10548</v>
      </c>
      <c r="C61" s="2802">
        <f>'9279'!AU556+135289+E64</f>
        <v>165835</v>
      </c>
      <c r="D61" s="2803"/>
      <c r="E61" s="2804"/>
      <c r="G61" s="2780"/>
      <c r="H61" s="2781" t="s">
        <v>10548</v>
      </c>
      <c r="I61" s="2802">
        <f>'9279'!AT556+K64</f>
        <v>187216</v>
      </c>
      <c r="J61" s="2803"/>
      <c r="K61" s="2804"/>
    </row>
    <row r="62" ht="15" spans="1:11">
      <c r="A62" s="2771"/>
      <c r="B62" s="2794" t="s">
        <v>10549</v>
      </c>
      <c r="C62" s="2805">
        <f>C60-C61</f>
        <v>14165</v>
      </c>
      <c r="D62" s="2806"/>
      <c r="E62" s="2807"/>
      <c r="G62" s="2771"/>
      <c r="H62" s="2794" t="s">
        <v>10549</v>
      </c>
      <c r="I62" s="2805">
        <f>I60-I61</f>
        <v>-7216</v>
      </c>
      <c r="J62" s="2806"/>
      <c r="K62" s="2807"/>
    </row>
    <row r="63" spans="1:11">
      <c r="D63" s="1"/>
      <c r="E63" s="1">
        <v>165835</v>
      </c>
      <c r="F63" s="1"/>
      <c r="G63" s="1"/>
      <c r="H63" s="1"/>
      <c r="I63" s="1"/>
      <c r="J63" s="1"/>
      <c r="K63" s="1">
        <v>138946</v>
      </c>
    </row>
    <row r="64" spans="1:11">
      <c r="D64" s="2808" t="s">
        <v>10560</v>
      </c>
      <c r="E64" s="2808">
        <v>30546</v>
      </c>
      <c r="F64" s="1"/>
      <c r="G64" s="1"/>
      <c r="H64" s="1"/>
      <c r="I64" s="1"/>
      <c r="J64" s="2808" t="s">
        <v>10560</v>
      </c>
      <c r="K64" s="2808">
        <v>126334</v>
      </c>
    </row>
    <row r="66" ht="15"/>
    <row r="67" ht="18.75" spans="1:12">
      <c r="A67" s="2722" t="s">
        <v>10565</v>
      </c>
      <c r="B67" s="2723"/>
      <c r="C67" s="2723"/>
      <c r="D67" s="2723"/>
      <c r="E67" s="2724"/>
      <c r="G67" s="2722" t="s">
        <v>10565</v>
      </c>
      <c r="H67" s="2723"/>
      <c r="I67" s="2723"/>
      <c r="J67" s="2723"/>
      <c r="K67" s="2724"/>
    </row>
    <row r="68" ht="15" spans="1:12">
      <c r="A68" s="2777" t="s">
        <v>10554</v>
      </c>
      <c r="B68" s="2778"/>
      <c r="C68" s="2778"/>
      <c r="D68" s="2778"/>
      <c r="E68" s="2779"/>
      <c r="G68" s="2777" t="s">
        <v>10562</v>
      </c>
      <c r="H68" s="2778"/>
      <c r="I68" s="2778"/>
      <c r="J68" s="2778"/>
      <c r="K68" s="2779"/>
    </row>
    <row r="69" spans="1:12">
      <c r="A69" s="2780" t="s">
        <v>10539</v>
      </c>
      <c r="B69" s="2781" t="s">
        <v>10540</v>
      </c>
      <c r="C69" s="2809" t="s">
        <v>10566</v>
      </c>
      <c r="D69" s="2810"/>
      <c r="E69" s="2783" t="s">
        <v>10558</v>
      </c>
      <c r="G69" s="2780" t="s">
        <v>10539</v>
      </c>
      <c r="H69" s="2781" t="s">
        <v>10540</v>
      </c>
      <c r="I69" s="2809" t="s">
        <v>10566</v>
      </c>
      <c r="J69" s="2810"/>
      <c r="K69" s="2783" t="s">
        <v>10558</v>
      </c>
    </row>
    <row r="70" spans="1:12">
      <c r="A70" s="2732" t="s">
        <v>10567</v>
      </c>
      <c r="B70" s="1876">
        <v>45155</v>
      </c>
      <c r="C70" s="2734">
        <v>50000</v>
      </c>
      <c r="D70" s="2811"/>
      <c r="E70" s="2797" t="s">
        <v>10563</v>
      </c>
      <c r="G70" s="2732" t="s">
        <v>10567</v>
      </c>
      <c r="H70" s="1876">
        <v>45244</v>
      </c>
      <c r="I70" s="2734">
        <v>30000</v>
      </c>
      <c r="J70" s="2811"/>
      <c r="K70" s="2797" t="s">
        <v>10568</v>
      </c>
    </row>
    <row r="71" spans="1:12">
      <c r="A71" s="2732"/>
      <c r="B71" s="1876"/>
      <c r="C71" s="2734"/>
      <c r="D71" s="2811"/>
      <c r="E71" s="2735"/>
      <c r="G71" s="2732" t="s">
        <v>10567</v>
      </c>
      <c r="H71" s="1876">
        <v>45366</v>
      </c>
      <c r="I71" s="2734">
        <v>30000</v>
      </c>
      <c r="J71" s="2811"/>
      <c r="K71" s="2797" t="s">
        <v>10568</v>
      </c>
    </row>
    <row r="72" spans="1:12">
      <c r="A72" s="2732"/>
      <c r="B72" s="1876"/>
      <c r="C72" s="2734"/>
      <c r="D72" s="2811"/>
      <c r="E72" s="2735"/>
      <c r="G72" s="2732" t="s">
        <v>10567</v>
      </c>
      <c r="H72" s="1876">
        <v>45572</v>
      </c>
      <c r="I72" s="2734">
        <v>30000</v>
      </c>
      <c r="J72" s="2811"/>
      <c r="K72" s="2797" t="s">
        <v>10568</v>
      </c>
      <c r="L72" s="2812" t="s">
        <v>10569</v>
      </c>
    </row>
    <row r="73" spans="1:12">
      <c r="A73" s="2732"/>
      <c r="B73" s="1876"/>
      <c r="C73" s="2734"/>
      <c r="D73" s="2811"/>
      <c r="E73" s="2735"/>
      <c r="G73" s="2732" t="s">
        <v>10567</v>
      </c>
      <c r="H73" s="1876">
        <v>45610</v>
      </c>
      <c r="I73" s="2734">
        <v>60000</v>
      </c>
      <c r="J73" s="2811"/>
      <c r="K73" s="2797" t="s">
        <v>10568</v>
      </c>
    </row>
    <row r="74" spans="1:12">
      <c r="A74" s="2732"/>
      <c r="B74" s="1876"/>
      <c r="C74" s="2734"/>
      <c r="D74" s="2811"/>
      <c r="E74" s="2735"/>
      <c r="G74" s="2732" t="s">
        <v>10567</v>
      </c>
      <c r="H74" s="1876">
        <v>45708</v>
      </c>
      <c r="I74" s="2734">
        <v>30000</v>
      </c>
      <c r="J74" s="2811"/>
      <c r="K74" s="2797" t="s">
        <v>10568</v>
      </c>
    </row>
    <row r="75" spans="1:12">
      <c r="A75" s="2732"/>
      <c r="B75" s="1876"/>
      <c r="C75" s="2734"/>
      <c r="D75" s="2811"/>
      <c r="E75" s="2735"/>
      <c r="G75" s="2732" t="s">
        <v>10567</v>
      </c>
      <c r="H75" s="1876">
        <v>45798</v>
      </c>
      <c r="I75" s="2813">
        <v>50000</v>
      </c>
      <c r="J75" s="1912"/>
      <c r="K75" s="2797" t="s">
        <v>10568</v>
      </c>
      <c r="L75" t="s">
        <v>10570</v>
      </c>
    </row>
    <row r="76" spans="1:12">
      <c r="A76" s="2814"/>
      <c r="B76" s="2815"/>
      <c r="C76" s="2816"/>
      <c r="D76" s="2817"/>
      <c r="E76" s="2818"/>
      <c r="G76" s="2814"/>
      <c r="H76" s="2815"/>
      <c r="I76" s="2816">
        <v>50000</v>
      </c>
      <c r="J76" s="2817"/>
      <c r="K76" s="2819"/>
    </row>
    <row r="77" ht="15" spans="1:12">
      <c r="A77" s="2747"/>
      <c r="B77" s="2748"/>
      <c r="C77" s="2816"/>
      <c r="D77" s="2817"/>
      <c r="E77" s="2751"/>
      <c r="G77" s="2820" t="s">
        <v>10571</v>
      </c>
      <c r="H77" s="1883">
        <v>45939</v>
      </c>
      <c r="I77" s="2821">
        <v>30000</v>
      </c>
      <c r="J77" s="2822"/>
      <c r="K77" s="2823" t="s">
        <v>10568</v>
      </c>
    </row>
    <row r="78" spans="1:12">
      <c r="A78" s="2780"/>
      <c r="B78" s="2781" t="s">
        <v>9150</v>
      </c>
      <c r="C78" s="2824">
        <f>SUM(C70:D77)</f>
        <v>50000</v>
      </c>
      <c r="D78" s="2824"/>
      <c r="E78" s="2825"/>
      <c r="G78" s="2780"/>
      <c r="H78" s="2781" t="s">
        <v>9150</v>
      </c>
      <c r="I78" s="2824">
        <f>SUM(I70:J77)</f>
        <v>310000</v>
      </c>
      <c r="J78" s="2824"/>
      <c r="K78" s="2825"/>
    </row>
    <row r="79" spans="1:12">
      <c r="A79" s="1873"/>
      <c r="B79" s="2728" t="s">
        <v>10548</v>
      </c>
      <c r="C79" s="2769">
        <f>4960+E82</f>
        <v>50870</v>
      </c>
      <c r="D79" s="2769"/>
      <c r="E79" s="2826"/>
      <c r="G79" s="1873"/>
      <c r="H79" s="2728" t="s">
        <v>10548</v>
      </c>
      <c r="I79" s="2769">
        <f>'9298'!AU1076+K82+C79</f>
        <v>320609</v>
      </c>
      <c r="J79" s="2769"/>
      <c r="K79" s="2826"/>
    </row>
    <row r="80" ht="15" spans="1:12">
      <c r="A80" s="2771"/>
      <c r="B80" s="2772" t="s">
        <v>10549</v>
      </c>
      <c r="C80" s="2827">
        <f>C78-C79</f>
        <v>-870</v>
      </c>
      <c r="D80" s="2827"/>
      <c r="E80" s="2828"/>
      <c r="G80" s="2771"/>
      <c r="H80" s="2772" t="s">
        <v>10549</v>
      </c>
      <c r="I80" s="2827">
        <f>I78-I79</f>
        <v>-10609</v>
      </c>
      <c r="J80" s="2827"/>
      <c r="K80" s="2828"/>
    </row>
    <row r="81" spans="1:22">
      <c r="D81" s="2829"/>
      <c r="E81" s="2829">
        <v>50870</v>
      </c>
      <c r="F81" s="2829"/>
      <c r="G81" s="2829"/>
      <c r="H81" s="2829"/>
      <c r="I81" s="2829"/>
      <c r="J81" s="2829"/>
      <c r="K81" s="2829">
        <v>121194</v>
      </c>
    </row>
    <row r="82" ht="15" spans="1:22">
      <c r="D82" s="2808" t="s">
        <v>10560</v>
      </c>
      <c r="E82" s="2808">
        <v>45910</v>
      </c>
      <c r="F82" s="2829"/>
      <c r="G82" s="2829"/>
      <c r="H82" s="2829"/>
      <c r="I82" s="2829"/>
      <c r="J82" s="2808" t="s">
        <v>10560</v>
      </c>
      <c r="K82" s="2808">
        <v>75108</v>
      </c>
    </row>
    <row r="83" ht="15" spans="1:22">
      <c r="A83" s="2830" t="s">
        <v>10572</v>
      </c>
      <c r="B83" s="2831"/>
      <c r="C83" s="2831"/>
      <c r="D83" s="2831"/>
      <c r="E83" s="2832"/>
      <c r="I83" s="1" t="s">
        <v>10573</v>
      </c>
      <c r="J83" s="1">
        <f>C78+I78</f>
        <v>360000</v>
      </c>
    </row>
    <row r="84" spans="1:22">
      <c r="A84" s="2780" t="s">
        <v>10539</v>
      </c>
      <c r="B84" s="2781" t="s">
        <v>10540</v>
      </c>
      <c r="C84" s="2809" t="s">
        <v>10574</v>
      </c>
      <c r="D84" s="2810"/>
      <c r="E84" s="2783" t="s">
        <v>10558</v>
      </c>
      <c r="I84" s="1" t="s">
        <v>10575</v>
      </c>
      <c r="J84" s="1">
        <f>C79+I79</f>
        <v>371479</v>
      </c>
    </row>
    <row r="85" spans="1:22">
      <c r="A85" s="2732" t="s">
        <v>10559</v>
      </c>
      <c r="B85" s="1876">
        <v>45363</v>
      </c>
      <c r="C85" s="2734">
        <v>60000</v>
      </c>
      <c r="D85" s="2811"/>
      <c r="E85" s="2797" t="s">
        <v>10568</v>
      </c>
      <c r="I85" s="1" t="s">
        <v>10576</v>
      </c>
      <c r="J85" s="1">
        <f>J83-J84</f>
        <v>-11479</v>
      </c>
    </row>
    <row r="86" spans="1:22">
      <c r="A86" s="2732" t="s">
        <v>10559</v>
      </c>
      <c r="B86" s="1876">
        <v>45419</v>
      </c>
      <c r="C86" s="2734">
        <v>60000</v>
      </c>
      <c r="D86" s="2811"/>
      <c r="E86" s="2797" t="s">
        <v>10568</v>
      </c>
    </row>
    <row r="87" spans="1:22">
      <c r="A87" s="2732"/>
      <c r="B87" s="1876"/>
      <c r="C87" s="2734">
        <v>60000</v>
      </c>
      <c r="D87" s="2811"/>
      <c r="E87" s="2797" t="s">
        <v>10568</v>
      </c>
    </row>
    <row r="88" spans="1:22">
      <c r="A88" s="2732"/>
      <c r="B88" s="1876"/>
      <c r="C88" s="2734">
        <v>60000</v>
      </c>
      <c r="D88" s="2811"/>
      <c r="E88" s="2797"/>
    </row>
    <row r="89" spans="1:22">
      <c r="A89" s="2732" t="s">
        <v>10559</v>
      </c>
      <c r="B89" s="1876">
        <v>45861</v>
      </c>
      <c r="C89" s="2734">
        <v>60000</v>
      </c>
      <c r="D89" s="2811"/>
      <c r="E89" s="2797" t="s">
        <v>10568</v>
      </c>
    </row>
    <row r="90" spans="1:22">
      <c r="A90" s="2732"/>
      <c r="B90" s="1876"/>
      <c r="C90" s="2734"/>
      <c r="D90" s="2811"/>
      <c r="E90" s="2735"/>
    </row>
    <row r="91" ht="15" spans="1:22">
      <c r="A91" s="2747"/>
      <c r="B91" s="2748"/>
      <c r="C91" s="2816"/>
      <c r="D91" s="2817"/>
      <c r="E91" s="2751"/>
    </row>
    <row r="92" spans="1:22">
      <c r="A92" s="2780"/>
      <c r="B92" s="2781" t="s">
        <v>9150</v>
      </c>
      <c r="C92" s="2824">
        <f>SUM(C85:D91)</f>
        <v>300000</v>
      </c>
      <c r="D92" s="2824"/>
      <c r="E92" s="2825"/>
      <c r="Q92">
        <f>16025-3514</f>
        <v>12511</v>
      </c>
      <c r="R92">
        <f>29748-3514</f>
        <v>26234</v>
      </c>
      <c r="S92">
        <f>23242-3514</f>
        <v>19728</v>
      </c>
      <c r="T92">
        <f>24812-3514</f>
        <v>21298</v>
      </c>
      <c r="U92">
        <f>21535-2811</f>
        <v>18724</v>
      </c>
      <c r="V92">
        <f>21217-702</f>
        <v>20515</v>
      </c>
    </row>
    <row r="93" spans="1:22">
      <c r="A93" s="1873"/>
      <c r="B93" s="2728" t="s">
        <v>10548</v>
      </c>
      <c r="C93" s="2769">
        <f>'92104'!AU772+'92104'!AV772+E96</f>
        <v>310682</v>
      </c>
      <c r="D93" s="2769"/>
      <c r="E93" s="2826"/>
    </row>
    <row r="94" ht="15" spans="1:22">
      <c r="A94" s="2771"/>
      <c r="B94" s="2772" t="s">
        <v>10549</v>
      </c>
      <c r="C94" s="2796">
        <f>C92-C93</f>
        <v>-10682</v>
      </c>
      <c r="D94" s="2796"/>
      <c r="E94" s="2828"/>
    </row>
    <row r="95" spans="1:22">
      <c r="A95" s="20"/>
      <c r="B95" s="2833"/>
      <c r="C95" s="20"/>
      <c r="D95" s="20"/>
      <c r="E95" s="20">
        <v>153004</v>
      </c>
    </row>
    <row r="96" spans="1:22">
      <c r="A96" s="20"/>
      <c r="B96" s="2833"/>
      <c r="C96" s="20"/>
      <c r="D96" s="2808" t="s">
        <v>10560</v>
      </c>
      <c r="E96" s="1902">
        <v>118360</v>
      </c>
    </row>
    <row r="97" ht="15"/>
    <row r="98" ht="15" spans="1:5">
      <c r="A98" s="2830" t="s">
        <v>10577</v>
      </c>
      <c r="B98" s="2831"/>
      <c r="C98" s="2831"/>
      <c r="D98" s="2831"/>
      <c r="E98" s="2832"/>
    </row>
    <row r="99" spans="1:5">
      <c r="A99" s="2780" t="s">
        <v>10539</v>
      </c>
      <c r="B99" s="2781" t="s">
        <v>10540</v>
      </c>
      <c r="C99" s="2809" t="s">
        <v>10578</v>
      </c>
      <c r="D99" s="2810"/>
      <c r="E99" s="2783" t="s">
        <v>10558</v>
      </c>
    </row>
    <row r="100" spans="1:5">
      <c r="A100" s="2732" t="s">
        <v>10559</v>
      </c>
      <c r="B100" s="1876">
        <v>45363</v>
      </c>
      <c r="C100" s="2734">
        <v>30000</v>
      </c>
      <c r="D100" s="2811"/>
      <c r="E100" s="2797" t="s">
        <v>10568</v>
      </c>
    </row>
    <row r="101" spans="1:5">
      <c r="A101" s="2732" t="s">
        <v>10559</v>
      </c>
      <c r="B101" s="1876">
        <v>45601</v>
      </c>
      <c r="C101" s="2734">
        <v>30000</v>
      </c>
      <c r="D101" s="2811"/>
      <c r="E101" s="2798" t="s">
        <v>10564</v>
      </c>
    </row>
    <row r="102" spans="1:5">
      <c r="A102" s="2732"/>
      <c r="B102" s="1876"/>
      <c r="C102" s="2734"/>
      <c r="D102" s="2811"/>
      <c r="E102" s="2735"/>
    </row>
    <row r="103" spans="1:5">
      <c r="A103" s="2732"/>
      <c r="B103" s="1876"/>
      <c r="C103" s="2734"/>
      <c r="D103" s="2811"/>
      <c r="E103" s="2735"/>
    </row>
    <row r="104" spans="1:5">
      <c r="A104" s="2732"/>
      <c r="B104" s="1876"/>
      <c r="C104" s="2734"/>
      <c r="D104" s="2811"/>
      <c r="E104" s="2735"/>
    </row>
    <row r="105" spans="1:5">
      <c r="A105" s="2732"/>
      <c r="B105" s="1876"/>
      <c r="C105" s="2734"/>
      <c r="D105" s="2811"/>
      <c r="E105" s="2735"/>
    </row>
    <row r="106" ht="15" spans="1:5">
      <c r="A106" s="2747"/>
      <c r="B106" s="2748"/>
      <c r="C106" s="2816"/>
      <c r="D106" s="2817"/>
      <c r="E106" s="2751"/>
    </row>
    <row r="107" spans="1:5">
      <c r="A107" s="2780"/>
      <c r="B107" s="2781" t="s">
        <v>9150</v>
      </c>
      <c r="C107" s="2824">
        <f>SUM(C100:D106)</f>
        <v>60000</v>
      </c>
      <c r="D107" s="2824"/>
      <c r="E107" s="2825"/>
    </row>
    <row r="108" spans="1:5">
      <c r="A108" s="1873"/>
      <c r="B108" s="2728" t="s">
        <v>10548</v>
      </c>
      <c r="C108" s="2769">
        <f>'92106'!AM253+E111</f>
        <v>58718</v>
      </c>
      <c r="D108" s="2769"/>
      <c r="E108" s="2826"/>
    </row>
    <row r="109" ht="15" spans="1:5">
      <c r="A109" s="2771"/>
      <c r="B109" s="2772" t="s">
        <v>10549</v>
      </c>
      <c r="C109" s="2796">
        <f>C107-C108</f>
        <v>1282</v>
      </c>
      <c r="D109" s="2796"/>
      <c r="E109" s="2828"/>
    </row>
    <row r="110" spans="1:5">
      <c r="E110" s="1">
        <v>19446</v>
      </c>
    </row>
    <row r="111" spans="1:5">
      <c r="D111" s="2808" t="s">
        <v>10560</v>
      </c>
      <c r="E111" s="2790">
        <v>19446</v>
      </c>
    </row>
    <row r="885" spans="62:74">
      <c r="BJ885" s="2834"/>
      <c r="BK885" s="2834"/>
      <c r="BL885" s="2834"/>
      <c r="BM885" s="2834"/>
      <c r="BN885" s="2834"/>
      <c r="BO885" s="2834"/>
      <c r="BP885" s="2834"/>
      <c r="BQ885" s="2834"/>
      <c r="BR885" s="4"/>
      <c r="BS885" s="4"/>
      <c r="BT885" s="2834"/>
      <c r="BU885" s="2834"/>
      <c r="BV885" s="2834"/>
    </row>
    <row r="886" spans="62:74">
      <c r="BJ886" s="2834"/>
      <c r="BK886" s="2834"/>
      <c r="BL886" s="2834"/>
      <c r="BM886" s="2834"/>
      <c r="BN886" s="2834"/>
      <c r="BO886" s="2834"/>
      <c r="BP886" s="2834"/>
      <c r="BQ886" s="2834"/>
      <c r="BR886" s="4"/>
      <c r="BS886" s="4"/>
      <c r="BT886" s="2834"/>
      <c r="BU886" s="2834"/>
      <c r="BV886" s="2834"/>
    </row>
    <row r="887" spans="62:74">
      <c r="BJ887" s="2834"/>
      <c r="BK887" s="2834"/>
      <c r="BL887" s="2834"/>
      <c r="BM887" s="2834"/>
      <c r="BN887" s="2834"/>
      <c r="BO887" s="2834"/>
      <c r="BP887" s="2834"/>
      <c r="BQ887" s="2834"/>
      <c r="BR887" s="2834"/>
      <c r="BS887" s="2834"/>
      <c r="BT887" s="2834"/>
      <c r="BU887" s="2834"/>
      <c r="BV887" s="2834"/>
    </row>
    <row r="888" spans="62:74">
      <c r="BJ888" s="2834"/>
      <c r="BK888" s="2834"/>
      <c r="BL888" s="2834"/>
      <c r="BM888" s="2834"/>
      <c r="BN888" s="2834"/>
      <c r="BO888" s="2834"/>
      <c r="BP888" s="2834"/>
      <c r="BQ888" s="2834"/>
      <c r="BR888" s="2834"/>
      <c r="BS888" s="2834"/>
      <c r="BT888" s="2834"/>
      <c r="BU888" s="2834"/>
      <c r="BV888" s="2834"/>
    </row>
    <row r="889" spans="62:74">
      <c r="BJ889" s="2834"/>
      <c r="BK889" s="2834"/>
      <c r="BL889" s="2834"/>
      <c r="BM889" s="2834"/>
      <c r="BN889" s="2834"/>
      <c r="BO889" s="2834"/>
      <c r="BP889" s="2834"/>
      <c r="BQ889" s="2834"/>
      <c r="BR889" s="2834"/>
      <c r="BS889" s="2834"/>
      <c r="BT889" s="2834"/>
      <c r="BU889" s="2834"/>
      <c r="BV889" s="2834"/>
    </row>
    <row r="890" spans="62:74">
      <c r="BJ890" s="2834"/>
      <c r="BK890" s="2834"/>
      <c r="BL890" s="2834"/>
      <c r="BM890" s="2834"/>
      <c r="BN890" s="2834"/>
      <c r="BO890" s="2834"/>
      <c r="BP890" s="2834"/>
      <c r="BQ890" s="2834"/>
      <c r="BR890" s="2834"/>
      <c r="BS890" s="2834"/>
      <c r="BT890" s="2834"/>
      <c r="BU890" s="2834"/>
      <c r="BV890" s="2834"/>
    </row>
    <row r="891" spans="62:74">
      <c r="BJ891" s="2834"/>
      <c r="BK891" s="2834"/>
      <c r="BL891" s="2834"/>
      <c r="BM891" s="2834"/>
      <c r="BN891" s="2834"/>
      <c r="BO891" s="2834"/>
      <c r="BP891" s="2834"/>
      <c r="BQ891" s="2834"/>
      <c r="BR891" s="2834"/>
      <c r="BS891" s="2834"/>
      <c r="BT891" s="2834"/>
      <c r="BU891" s="2834"/>
      <c r="BV891" s="2834"/>
    </row>
    <row r="892" spans="62:74">
      <c r="BJ892" s="2834"/>
      <c r="BK892" s="2834"/>
      <c r="BL892" s="2834"/>
      <c r="BM892" s="2834"/>
      <c r="BN892" s="2834"/>
      <c r="BO892" s="2834"/>
      <c r="BP892" s="2834"/>
      <c r="BQ892" s="2834"/>
      <c r="BR892" s="2834"/>
      <c r="BS892" s="2834"/>
      <c r="BT892" s="2834"/>
      <c r="BU892" s="2834"/>
      <c r="BV892" s="2834"/>
    </row>
    <row r="893" spans="62:74">
      <c r="BJ893" s="2834"/>
      <c r="BK893" s="2834"/>
      <c r="BL893" s="2834"/>
      <c r="BM893" s="2834"/>
      <c r="BN893" s="2834"/>
      <c r="BO893" s="2834"/>
      <c r="BP893" s="2834"/>
      <c r="BQ893" s="2834"/>
      <c r="BR893" s="2834"/>
      <c r="BS893" s="2834"/>
      <c r="BT893" s="2834"/>
      <c r="BU893" s="2834"/>
      <c r="BV893" s="2834"/>
    </row>
    <row r="894" spans="62:74">
      <c r="BJ894" s="2834"/>
      <c r="BK894" s="2834"/>
      <c r="BL894" s="2834"/>
      <c r="BM894" s="2834"/>
      <c r="BN894" s="2834"/>
      <c r="BO894" s="2834"/>
      <c r="BP894" s="2834"/>
      <c r="BQ894" s="2834"/>
      <c r="BR894" s="2834"/>
      <c r="BS894" s="2834"/>
      <c r="BT894" s="2834"/>
      <c r="BU894" s="2834"/>
      <c r="BV894" s="2834"/>
    </row>
    <row r="895" spans="62:74">
      <c r="BJ895" s="2834"/>
      <c r="BK895" s="2834"/>
      <c r="BL895" s="2834"/>
      <c r="BM895" s="2834"/>
      <c r="BN895" s="2834"/>
      <c r="BO895" s="2834"/>
      <c r="BP895" s="2834"/>
      <c r="BQ895" s="2834"/>
      <c r="BR895" s="2834"/>
      <c r="BS895" s="2834"/>
      <c r="BT895" s="2834"/>
      <c r="BU895" s="2834"/>
      <c r="BV895" s="2834"/>
    </row>
    <row r="896" spans="62:74">
      <c r="BJ896" s="2834"/>
      <c r="BK896" s="2834"/>
      <c r="BL896" s="2834"/>
      <c r="BM896" s="2834"/>
      <c r="BN896" s="2834"/>
      <c r="BO896" s="2834"/>
      <c r="BP896" s="2834"/>
      <c r="BQ896" s="2834"/>
      <c r="BR896" s="2834"/>
      <c r="BS896" s="2834"/>
      <c r="BT896" s="2834"/>
      <c r="BU896" s="2834"/>
      <c r="BV896" s="2834"/>
    </row>
    <row r="897" spans="62:74">
      <c r="BJ897" s="2834"/>
      <c r="BK897" s="2834"/>
      <c r="BL897" s="2834"/>
      <c r="BM897" s="2834"/>
      <c r="BN897" s="2834"/>
      <c r="BO897" s="2834"/>
      <c r="BP897" s="2834"/>
      <c r="BQ897" s="2834"/>
      <c r="BR897" s="2834"/>
      <c r="BS897" s="2834"/>
      <c r="BT897" s="2834"/>
      <c r="BU897" s="2834"/>
      <c r="BV897" s="2834"/>
    </row>
  </sheetData>
  <sheetProtection formatCells="0" formatColumns="0" formatRows="0" insertRows="0" insertColumns="0" insertHyperlinks="0" deleteColumns="0" deleteRows="0" sort="0" autoFilter="0" pivotTables="0"/>
  <mergeCells count="87">
    <mergeCell ref="A1:K1"/>
    <mergeCell ref="C2:F2"/>
    <mergeCell ref="C12:F12"/>
    <mergeCell ref="C13:F13"/>
    <mergeCell ref="C14:F14"/>
    <mergeCell ref="A15:G15"/>
    <mergeCell ref="A18:G18"/>
    <mergeCell ref="I18:O18"/>
    <mergeCell ref="C19:F19"/>
    <mergeCell ref="K19:N19"/>
    <mergeCell ref="C28:F28"/>
    <mergeCell ref="K28:N28"/>
    <mergeCell ref="C29:F29"/>
    <mergeCell ref="K29:N29"/>
    <mergeCell ref="C30:F30"/>
    <mergeCell ref="K30:N30"/>
    <mergeCell ref="A34:F34"/>
    <mergeCell ref="I34:N34"/>
    <mergeCell ref="A35:F35"/>
    <mergeCell ref="I35:N35"/>
    <mergeCell ref="C44:F44"/>
    <mergeCell ref="K44:N44"/>
    <mergeCell ref="C45:F45"/>
    <mergeCell ref="K45:N45"/>
    <mergeCell ref="C46:F46"/>
    <mergeCell ref="K46:N46"/>
    <mergeCell ref="A50:E50"/>
    <mergeCell ref="G50:K50"/>
    <mergeCell ref="A51:E51"/>
    <mergeCell ref="G51:K51"/>
    <mergeCell ref="C60:E60"/>
    <mergeCell ref="I60:K60"/>
    <mergeCell ref="C61:E61"/>
    <mergeCell ref="I61:K61"/>
    <mergeCell ref="C62:E62"/>
    <mergeCell ref="I62:K62"/>
    <mergeCell ref="A67:E67"/>
    <mergeCell ref="G67:K67"/>
    <mergeCell ref="A68:E68"/>
    <mergeCell ref="G68:K68"/>
    <mergeCell ref="C69:D69"/>
    <mergeCell ref="I69:J69"/>
    <mergeCell ref="C70:D70"/>
    <mergeCell ref="I70:J70"/>
    <mergeCell ref="C71:D71"/>
    <mergeCell ref="I71:J71"/>
    <mergeCell ref="C72:D72"/>
    <mergeCell ref="I72:J72"/>
    <mergeCell ref="C73:D73"/>
    <mergeCell ref="I73:J73"/>
    <mergeCell ref="C74:D74"/>
    <mergeCell ref="I74:J74"/>
    <mergeCell ref="C75:D75"/>
    <mergeCell ref="I75:J75"/>
    <mergeCell ref="I76:J76"/>
    <mergeCell ref="C77:D77"/>
    <mergeCell ref="I77:J77"/>
    <mergeCell ref="C78:D78"/>
    <mergeCell ref="I78:J78"/>
    <mergeCell ref="C79:D79"/>
    <mergeCell ref="I79:J79"/>
    <mergeCell ref="C80:D80"/>
    <mergeCell ref="I80:J80"/>
    <mergeCell ref="A83:E83"/>
    <mergeCell ref="C84:D84"/>
    <mergeCell ref="C85:D85"/>
    <mergeCell ref="C86:D86"/>
    <mergeCell ref="C87:D87"/>
    <mergeCell ref="C88:D88"/>
    <mergeCell ref="C89:D89"/>
    <mergeCell ref="C90:D90"/>
    <mergeCell ref="C91:D91"/>
    <mergeCell ref="C92:D92"/>
    <mergeCell ref="C93:D93"/>
    <mergeCell ref="C94:D94"/>
    <mergeCell ref="A98:E98"/>
    <mergeCell ref="C99:D99"/>
    <mergeCell ref="C100:D100"/>
    <mergeCell ref="C101:D101"/>
    <mergeCell ref="C102:D102"/>
    <mergeCell ref="C103:D103"/>
    <mergeCell ref="C104:D104"/>
    <mergeCell ref="C105:D105"/>
    <mergeCell ref="C106:D106"/>
    <mergeCell ref="C107:D107"/>
    <mergeCell ref="C108:D108"/>
    <mergeCell ref="C109:D109"/>
  </mergeCells>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897"/>
  <sheetViews>
    <sheetView zoomScale="55" zoomScaleNormal="55" topLeftCell="A396" workbookViewId="0">
      <pane xSplit="3" topLeftCell="O1" activePane="topRight" state="frozen"/>
      <selection/>
      <selection pane="topRight" activeCell="D1021" sqref="D1021"/>
    </sheetView>
  </sheetViews>
  <sheetFormatPr defaultColWidth="8" defaultRowHeight="16.5" customHeight="1"/>
  <cols>
    <col min="1" max="1" width="8.875" style="2111" customWidth="1"/>
    <col min="2" max="3" width="9.375" style="2111" customWidth="1"/>
    <col min="4" max="4" width="24.85" style="2111" customWidth="1"/>
    <col min="5" max="5" width="8.75833333333333" style="2111" customWidth="1"/>
    <col min="6" max="6" width="9.75" style="2111" customWidth="1"/>
    <col min="7" max="8" width="19.7083333333333" style="2111" customWidth="1"/>
    <col min="9" max="9" width="12.1416666666667" style="2111" customWidth="1"/>
    <col min="10" max="10" width="11.125" style="2111" customWidth="1"/>
    <col min="11" max="11" width="13.4333333333333" style="2111" customWidth="1"/>
    <col min="12" max="13" width="13" style="2111" customWidth="1"/>
    <col min="14" max="14" width="12.625" style="2111" customWidth="1"/>
    <col min="15" max="15" width="10.9333333333333" style="2111" customWidth="1"/>
    <col min="16" max="16" width="13.7083333333333" style="2111" customWidth="1"/>
    <col min="17" max="17" width="13.275" style="2111" customWidth="1"/>
    <col min="18" max="18" width="14.1916666666667" style="2111" customWidth="1"/>
    <col min="19" max="19" width="13.75" style="2111" customWidth="1"/>
    <col min="20" max="20" width="12.6" style="2111" customWidth="1"/>
    <col min="21" max="21" width="12.575" style="2111" customWidth="1"/>
    <col min="22" max="22" width="17.8166666666667" style="2111" customWidth="1"/>
    <col min="23" max="23" width="12.375" style="2111" customWidth="1"/>
    <col min="24" max="25" width="12" style="2111"/>
    <col min="26" max="26" width="10.7166666666667" style="2111" customWidth="1"/>
    <col min="27" max="27" width="12" style="2111"/>
    <col min="28" max="28" width="12.6" style="2111"/>
    <col min="29" max="29" width="15.0833333333333" style="2111" customWidth="1"/>
    <col min="30" max="30" width="14.3583333333333" style="2111" customWidth="1"/>
    <col min="31" max="31" width="11" style="2111"/>
    <col min="32" max="32" width="12" style="2111"/>
    <col min="33" max="34" width="10.8" style="2111"/>
    <col min="35" max="35" width="11.425" style="2111" customWidth="1"/>
    <col min="36" max="36" width="14.1" style="2111" customWidth="1"/>
    <col min="37" max="37" width="10.8" style="2111"/>
    <col min="38" max="46" width="8" style="2111"/>
    <col min="47" max="47" width="12.7" style="2111" customWidth="1"/>
    <col min="48" max="50" width="8" style="2111"/>
    <col min="51" max="52" width="9.1" style="2111"/>
    <col min="53" max="16384" width="8" style="2111"/>
  </cols>
  <sheetData>
    <row r="1" hidden="1" customHeight="1" spans="1:23">
      <c r="A1" s="2112" t="s">
        <v>10579</v>
      </c>
      <c r="B1" s="2113" t="s">
        <v>10580</v>
      </c>
      <c r="C1" s="2114" t="s">
        <v>10581</v>
      </c>
      <c r="D1" s="2115" t="s">
        <v>10582</v>
      </c>
      <c r="E1" s="2116" t="s">
        <v>10581</v>
      </c>
      <c r="F1" s="2117" t="s">
        <v>10581</v>
      </c>
      <c r="G1" s="2114" t="s">
        <v>10583</v>
      </c>
      <c r="H1" s="2118" t="s">
        <v>10584</v>
      </c>
      <c r="I1" s="2118" t="s">
        <v>39</v>
      </c>
      <c r="J1" s="2119" t="s">
        <v>10585</v>
      </c>
      <c r="K1" s="2119" t="s">
        <v>10586</v>
      </c>
      <c r="L1" s="2120" t="s">
        <v>10587</v>
      </c>
      <c r="M1" s="2120" t="s">
        <v>10588</v>
      </c>
      <c r="N1" s="2120" t="s">
        <v>10589</v>
      </c>
      <c r="O1" s="2120" t="s">
        <v>10590</v>
      </c>
      <c r="P1" s="2120" t="s">
        <v>10591</v>
      </c>
      <c r="Q1" s="2120" t="s">
        <v>10592</v>
      </c>
      <c r="R1" s="2120" t="s">
        <v>10593</v>
      </c>
      <c r="S1" s="2120" t="s">
        <v>10594</v>
      </c>
      <c r="T1" s="2120" t="s">
        <v>10595</v>
      </c>
      <c r="U1" s="2121" t="s">
        <v>10596</v>
      </c>
      <c r="V1" s="2122" t="s">
        <v>10597</v>
      </c>
      <c r="W1" s="2123" t="s">
        <v>10598</v>
      </c>
    </row>
    <row r="2" hidden="1" customHeight="1" spans="1:23">
      <c r="A2" s="2124" t="s">
        <v>10599</v>
      </c>
      <c r="B2" s="2125"/>
      <c r="C2" s="2126" t="s">
        <v>10600</v>
      </c>
      <c r="D2" s="2127" t="s">
        <v>10601</v>
      </c>
      <c r="E2" s="2127" t="s">
        <v>10602</v>
      </c>
      <c r="F2" s="2128" t="s">
        <v>10603</v>
      </c>
      <c r="G2" s="2129"/>
      <c r="H2" s="2129"/>
      <c r="I2" s="2129"/>
      <c r="J2" s="2130"/>
      <c r="K2" s="2130"/>
      <c r="L2" s="2127">
        <v>43448</v>
      </c>
      <c r="M2" s="2127">
        <v>43531</v>
      </c>
      <c r="N2" s="2127">
        <v>43581</v>
      </c>
      <c r="O2" s="2127">
        <v>43633</v>
      </c>
      <c r="P2" s="2127">
        <v>43664</v>
      </c>
      <c r="Q2" s="2127">
        <v>43683</v>
      </c>
      <c r="R2" s="2127">
        <v>43713</v>
      </c>
      <c r="S2" s="2127">
        <v>43735</v>
      </c>
      <c r="T2" s="2127">
        <v>43775</v>
      </c>
      <c r="U2" s="2131">
        <v>43804</v>
      </c>
      <c r="V2" s="2130"/>
      <c r="W2" s="2132"/>
    </row>
    <row r="3" hidden="1" customHeight="1" spans="1:23">
      <c r="A3" s="2133" t="s">
        <v>10604</v>
      </c>
      <c r="B3" s="2134"/>
      <c r="C3" s="2135"/>
      <c r="D3" s="2136"/>
      <c r="E3" s="2136"/>
      <c r="F3" s="2137"/>
      <c r="G3" s="2138"/>
      <c r="H3" s="2138"/>
      <c r="I3" s="2138"/>
      <c r="J3" s="2139"/>
      <c r="K3" s="2139"/>
      <c r="L3" s="2140">
        <v>43478</v>
      </c>
      <c r="M3" s="2140">
        <v>43561</v>
      </c>
      <c r="N3" s="2140">
        <v>43613</v>
      </c>
      <c r="O3" s="2140">
        <v>43665</v>
      </c>
      <c r="P3" s="2140">
        <v>43696</v>
      </c>
      <c r="Q3" s="2140">
        <v>43714</v>
      </c>
      <c r="R3" s="2140">
        <v>43749</v>
      </c>
      <c r="S3" s="2140">
        <v>43771</v>
      </c>
      <c r="T3" s="2140">
        <v>43805</v>
      </c>
      <c r="U3" s="2141">
        <v>43834</v>
      </c>
      <c r="V3" s="2139"/>
      <c r="W3" s="2142"/>
    </row>
    <row r="4" hidden="1" customHeight="1" spans="1:23">
      <c r="A4" s="2143" t="s">
        <v>10605</v>
      </c>
      <c r="B4" s="2144" t="s">
        <v>10606</v>
      </c>
      <c r="C4" s="2145">
        <v>2</v>
      </c>
      <c r="D4" s="2146">
        <v>1</v>
      </c>
      <c r="E4" s="2146">
        <v>15</v>
      </c>
      <c r="F4" s="2147">
        <v>21</v>
      </c>
      <c r="G4" s="2148" t="s">
        <v>10607</v>
      </c>
      <c r="H4" s="2148" t="s">
        <v>10608</v>
      </c>
      <c r="I4" s="2148" t="s">
        <v>10609</v>
      </c>
      <c r="J4" s="2149">
        <v>1</v>
      </c>
      <c r="K4" s="2149">
        <v>990</v>
      </c>
      <c r="L4" s="2150">
        <v>87</v>
      </c>
      <c r="M4" s="2150">
        <v>65</v>
      </c>
      <c r="N4" s="2151">
        <v>62</v>
      </c>
      <c r="O4" s="2152">
        <v>43</v>
      </c>
      <c r="P4" s="2152">
        <v>36</v>
      </c>
      <c r="Q4" s="2152">
        <v>27</v>
      </c>
      <c r="R4" s="2152">
        <v>23</v>
      </c>
      <c r="S4" s="2152">
        <v>7</v>
      </c>
      <c r="T4" s="2152">
        <v>8</v>
      </c>
      <c r="U4" s="2152">
        <v>15</v>
      </c>
      <c r="V4" s="2153">
        <f t="shared" ref="V4:V27" si="0">SUM(L4:U4)</f>
        <v>373</v>
      </c>
      <c r="W4" s="2154">
        <f t="shared" ref="W4:W6" si="1">ROUND(V4/J4*K4,-1)</f>
        <v>369270</v>
      </c>
    </row>
    <row r="5" hidden="1" customHeight="1" spans="1:23">
      <c r="A5" s="2155"/>
      <c r="B5" s="2156"/>
      <c r="C5" s="2157"/>
      <c r="D5" s="2158"/>
      <c r="E5" s="2158"/>
      <c r="F5" s="2159"/>
      <c r="G5" s="2160" t="s">
        <v>10610</v>
      </c>
      <c r="H5" s="2160" t="s">
        <v>10611</v>
      </c>
      <c r="I5" s="2160" t="s">
        <v>10612</v>
      </c>
      <c r="J5" s="2161">
        <v>200</v>
      </c>
      <c r="K5" s="2161">
        <v>19286</v>
      </c>
      <c r="L5" s="2162">
        <v>892</v>
      </c>
      <c r="M5" s="2162">
        <v>664</v>
      </c>
      <c r="N5" s="2163">
        <v>633</v>
      </c>
      <c r="O5" s="2163">
        <v>447</v>
      </c>
      <c r="P5" s="2163">
        <v>367</v>
      </c>
      <c r="Q5" s="2163">
        <v>278</v>
      </c>
      <c r="R5" s="2163">
        <v>230</v>
      </c>
      <c r="S5" s="2163">
        <v>62</v>
      </c>
      <c r="T5" s="2163">
        <v>81</v>
      </c>
      <c r="U5" s="2163">
        <v>171</v>
      </c>
      <c r="V5" s="2164">
        <f t="shared" si="0"/>
        <v>3825</v>
      </c>
      <c r="W5" s="2165">
        <f t="shared" si="1"/>
        <v>368840</v>
      </c>
    </row>
    <row r="6" hidden="1" customHeight="1" spans="1:23">
      <c r="A6" s="2155"/>
      <c r="B6" s="2156"/>
      <c r="C6" s="2157"/>
      <c r="D6" s="2158"/>
      <c r="E6" s="2158"/>
      <c r="F6" s="2159"/>
      <c r="G6" s="2160" t="s">
        <v>10613</v>
      </c>
      <c r="H6" s="2160" t="s">
        <v>10614</v>
      </c>
      <c r="I6" s="2160"/>
      <c r="J6" s="2161">
        <v>500</v>
      </c>
      <c r="K6" s="2161">
        <v>189623</v>
      </c>
      <c r="L6" s="2162">
        <v>500</v>
      </c>
      <c r="M6" s="2163">
        <v>0</v>
      </c>
      <c r="N6" s="2162">
        <v>500</v>
      </c>
      <c r="O6" s="2163">
        <v>0</v>
      </c>
      <c r="P6" s="2163">
        <v>0</v>
      </c>
      <c r="Q6" s="2163">
        <v>0</v>
      </c>
      <c r="R6" s="2163">
        <v>0</v>
      </c>
      <c r="S6" s="2163">
        <v>0</v>
      </c>
      <c r="T6" s="2163">
        <v>0</v>
      </c>
      <c r="U6" s="2163">
        <v>0</v>
      </c>
      <c r="V6" s="2164">
        <f t="shared" si="0"/>
        <v>1000</v>
      </c>
      <c r="W6" s="2165">
        <f t="shared" si="1"/>
        <v>379250</v>
      </c>
    </row>
    <row r="7" hidden="1" customHeight="1" spans="1:23">
      <c r="A7" s="2155"/>
      <c r="B7" s="2166"/>
      <c r="C7" s="2167"/>
      <c r="D7" s="2168"/>
      <c r="E7" s="2168"/>
      <c r="F7" s="2169"/>
      <c r="G7" s="2170" t="s">
        <v>10615</v>
      </c>
      <c r="H7" s="2170"/>
      <c r="I7" s="2170"/>
      <c r="J7" s="2171"/>
      <c r="K7" s="2171"/>
      <c r="L7" s="2172">
        <v>86000</v>
      </c>
      <c r="M7" s="2173">
        <v>64000</v>
      </c>
      <c r="N7" s="2173">
        <v>61000</v>
      </c>
      <c r="O7" s="2173">
        <v>43100</v>
      </c>
      <c r="P7" s="2173">
        <v>35400</v>
      </c>
      <c r="Q7" s="2173">
        <v>26800</v>
      </c>
      <c r="R7" s="2173">
        <v>22200</v>
      </c>
      <c r="S7" s="2173">
        <v>6000</v>
      </c>
      <c r="T7" s="2173">
        <v>7800</v>
      </c>
      <c r="U7" s="2173">
        <v>16500</v>
      </c>
      <c r="V7" s="2174">
        <f t="shared" si="0"/>
        <v>368800</v>
      </c>
      <c r="W7" s="2175">
        <f>V7</f>
        <v>368800</v>
      </c>
    </row>
    <row r="8" hidden="1" customHeight="1" spans="1:23">
      <c r="A8" s="2155"/>
      <c r="B8" s="2144" t="s">
        <v>10616</v>
      </c>
      <c r="C8" s="2145">
        <v>1</v>
      </c>
      <c r="D8" s="2146">
        <v>1</v>
      </c>
      <c r="E8" s="2146">
        <v>7.5</v>
      </c>
      <c r="F8" s="2147">
        <v>10.5</v>
      </c>
      <c r="G8" s="2148" t="s">
        <v>10617</v>
      </c>
      <c r="H8" s="2148" t="s">
        <v>10608</v>
      </c>
      <c r="I8" s="2148" t="s">
        <v>10609</v>
      </c>
      <c r="J8" s="2149">
        <v>1</v>
      </c>
      <c r="K8" s="2149">
        <v>705</v>
      </c>
      <c r="L8" s="2150">
        <v>81</v>
      </c>
      <c r="M8" s="2150">
        <v>81</v>
      </c>
      <c r="N8" s="2151">
        <v>81</v>
      </c>
      <c r="O8" s="2152">
        <v>64</v>
      </c>
      <c r="P8" s="2152">
        <v>44</v>
      </c>
      <c r="Q8" s="2152">
        <v>37</v>
      </c>
      <c r="R8" s="2152">
        <v>22</v>
      </c>
      <c r="S8" s="2152">
        <v>6</v>
      </c>
      <c r="T8" s="2152">
        <v>2</v>
      </c>
      <c r="U8" s="2152">
        <v>20</v>
      </c>
      <c r="V8" s="2153">
        <f t="shared" si="0"/>
        <v>438</v>
      </c>
      <c r="W8" s="2154">
        <f t="shared" ref="W8:W10" si="2">ROUND(V8/J8*K8,-1)</f>
        <v>308790</v>
      </c>
    </row>
    <row r="9" hidden="1" customHeight="1" spans="1:23">
      <c r="A9" s="2155"/>
      <c r="B9" s="2156"/>
      <c r="C9" s="2157"/>
      <c r="D9" s="2158"/>
      <c r="E9" s="2158"/>
      <c r="F9" s="2159"/>
      <c r="G9" s="2160" t="s">
        <v>10610</v>
      </c>
      <c r="H9" s="2160" t="s">
        <v>10611</v>
      </c>
      <c r="I9" s="2160" t="s">
        <v>10612</v>
      </c>
      <c r="J9" s="2161">
        <v>200</v>
      </c>
      <c r="K9" s="2161">
        <v>19286</v>
      </c>
      <c r="L9" s="2162">
        <v>592</v>
      </c>
      <c r="M9" s="2162">
        <v>591</v>
      </c>
      <c r="N9" s="2163">
        <v>591</v>
      </c>
      <c r="O9" s="2163">
        <v>466</v>
      </c>
      <c r="P9" s="2163">
        <v>324</v>
      </c>
      <c r="Q9" s="2163">
        <v>270</v>
      </c>
      <c r="R9" s="2163">
        <v>164</v>
      </c>
      <c r="S9" s="2163">
        <v>42</v>
      </c>
      <c r="T9" s="2163">
        <v>13</v>
      </c>
      <c r="U9" s="2163">
        <v>149</v>
      </c>
      <c r="V9" s="2164">
        <f t="shared" si="0"/>
        <v>3202</v>
      </c>
      <c r="W9" s="2165">
        <f t="shared" si="2"/>
        <v>308770</v>
      </c>
    </row>
    <row r="10" hidden="1" customHeight="1" spans="1:23">
      <c r="A10" s="2155"/>
      <c r="B10" s="2156"/>
      <c r="C10" s="2157"/>
      <c r="D10" s="2158"/>
      <c r="E10" s="2158"/>
      <c r="F10" s="2159"/>
      <c r="G10" s="2160" t="s">
        <v>10618</v>
      </c>
      <c r="H10" s="2160" t="s">
        <v>10614</v>
      </c>
      <c r="I10" s="2160" t="s">
        <v>10619</v>
      </c>
      <c r="J10" s="2161">
        <v>500</v>
      </c>
      <c r="K10" s="2161">
        <v>63291</v>
      </c>
      <c r="L10" s="2162">
        <v>451</v>
      </c>
      <c r="M10" s="2162">
        <v>450</v>
      </c>
      <c r="N10" s="2163">
        <v>450</v>
      </c>
      <c r="O10" s="2163">
        <v>356</v>
      </c>
      <c r="P10" s="2163">
        <v>246</v>
      </c>
      <c r="Q10" s="2163">
        <v>206</v>
      </c>
      <c r="R10" s="2163">
        <v>293</v>
      </c>
      <c r="S10" s="2163">
        <v>-136.9</v>
      </c>
      <c r="T10" s="2176">
        <v>10</v>
      </c>
      <c r="U10" s="2176">
        <v>114</v>
      </c>
      <c r="V10" s="2164">
        <f t="shared" si="0"/>
        <v>2439.1</v>
      </c>
      <c r="W10" s="2165">
        <f t="shared" si="2"/>
        <v>308750</v>
      </c>
    </row>
    <row r="11" hidden="1" customHeight="1" spans="1:23">
      <c r="A11" s="2155"/>
      <c r="B11" s="2166"/>
      <c r="C11" s="2167"/>
      <c r="D11" s="2168"/>
      <c r="E11" s="2168"/>
      <c r="F11" s="2169"/>
      <c r="G11" s="2170" t="s">
        <v>10615</v>
      </c>
      <c r="H11" s="2170"/>
      <c r="I11" s="2170"/>
      <c r="J11" s="2171"/>
      <c r="K11" s="2171"/>
      <c r="L11" s="2172">
        <v>57000</v>
      </c>
      <c r="M11" s="2172">
        <v>57000</v>
      </c>
      <c r="N11" s="2173">
        <v>57000</v>
      </c>
      <c r="O11" s="2173">
        <v>45000</v>
      </c>
      <c r="P11" s="2173">
        <v>31200</v>
      </c>
      <c r="Q11" s="2173">
        <v>26000</v>
      </c>
      <c r="R11" s="2173">
        <v>15850</v>
      </c>
      <c r="S11" s="2173">
        <v>4000</v>
      </c>
      <c r="T11" s="2173">
        <v>1200</v>
      </c>
      <c r="U11" s="2173">
        <v>14500</v>
      </c>
      <c r="V11" s="2174">
        <f t="shared" si="0"/>
        <v>308750</v>
      </c>
      <c r="W11" s="2175">
        <f>V11</f>
        <v>308750</v>
      </c>
    </row>
    <row r="12" hidden="1" customHeight="1" spans="1:23">
      <c r="A12" s="2155"/>
      <c r="B12" s="2144" t="s">
        <v>10620</v>
      </c>
      <c r="C12" s="2145">
        <v>1</v>
      </c>
      <c r="D12" s="2146">
        <v>1</v>
      </c>
      <c r="E12" s="2146">
        <v>7.5</v>
      </c>
      <c r="F12" s="2147">
        <v>10.5</v>
      </c>
      <c r="G12" s="2148" t="s">
        <v>10621</v>
      </c>
      <c r="H12" s="2148" t="s">
        <v>10608</v>
      </c>
      <c r="I12" s="2148"/>
      <c r="J12" s="2149">
        <v>800</v>
      </c>
      <c r="K12" s="2149">
        <v>22191</v>
      </c>
      <c r="L12" s="2150">
        <v>2055</v>
      </c>
      <c r="M12" s="2150">
        <v>2055</v>
      </c>
      <c r="N12" s="2151">
        <v>2019</v>
      </c>
      <c r="O12" s="2152">
        <v>1118</v>
      </c>
      <c r="P12" s="2152">
        <v>1114</v>
      </c>
      <c r="Q12" s="2152">
        <v>930</v>
      </c>
      <c r="R12" s="2177">
        <v>650</v>
      </c>
      <c r="S12" s="2152">
        <v>800</v>
      </c>
      <c r="T12" s="2152">
        <v>0</v>
      </c>
      <c r="U12" s="2177">
        <v>386</v>
      </c>
      <c r="V12" s="2153">
        <f t="shared" si="0"/>
        <v>11127</v>
      </c>
      <c r="W12" s="2154">
        <f t="shared" ref="W12:W14" si="3">ROUND(V12/J12*K12,-1)</f>
        <v>308650</v>
      </c>
    </row>
    <row r="13" hidden="1" customHeight="1" spans="1:23">
      <c r="A13" s="2155"/>
      <c r="B13" s="2156"/>
      <c r="C13" s="2157"/>
      <c r="D13" s="2158"/>
      <c r="E13" s="2158"/>
      <c r="F13" s="2159"/>
      <c r="G13" s="2160" t="s">
        <v>10610</v>
      </c>
      <c r="H13" s="2160" t="s">
        <v>10611</v>
      </c>
      <c r="I13" s="2160" t="s">
        <v>10612</v>
      </c>
      <c r="J13" s="2161">
        <v>200</v>
      </c>
      <c r="K13" s="2161">
        <v>19286</v>
      </c>
      <c r="L13" s="2162">
        <v>592</v>
      </c>
      <c r="M13" s="2162">
        <v>591</v>
      </c>
      <c r="N13" s="2163">
        <v>581</v>
      </c>
      <c r="O13" s="2163">
        <v>322</v>
      </c>
      <c r="P13" s="2163">
        <v>319</v>
      </c>
      <c r="Q13" s="2163">
        <v>268</v>
      </c>
      <c r="R13" s="2163">
        <v>52</v>
      </c>
      <c r="S13" s="2163">
        <v>177</v>
      </c>
      <c r="T13" s="2163">
        <v>145</v>
      </c>
      <c r="U13" s="2163">
        <v>154</v>
      </c>
      <c r="V13" s="2164">
        <f t="shared" si="0"/>
        <v>3201</v>
      </c>
      <c r="W13" s="2165">
        <f t="shared" si="3"/>
        <v>308670</v>
      </c>
    </row>
    <row r="14" hidden="1" customHeight="1" spans="1:23">
      <c r="A14" s="2155"/>
      <c r="B14" s="2156"/>
      <c r="C14" s="2157"/>
      <c r="D14" s="2158"/>
      <c r="E14" s="2158"/>
      <c r="F14" s="2159"/>
      <c r="G14" s="2160" t="s">
        <v>10622</v>
      </c>
      <c r="H14" s="2160" t="s">
        <v>10614</v>
      </c>
      <c r="I14" s="2160" t="s">
        <v>10623</v>
      </c>
      <c r="J14" s="2161">
        <v>500</v>
      </c>
      <c r="K14" s="2161">
        <v>94339</v>
      </c>
      <c r="L14" s="2162">
        <v>303</v>
      </c>
      <c r="M14" s="2162">
        <v>302</v>
      </c>
      <c r="N14" s="2163">
        <v>296</v>
      </c>
      <c r="O14" s="2163">
        <v>251</v>
      </c>
      <c r="P14" s="2163">
        <v>250</v>
      </c>
      <c r="Q14" s="2163">
        <v>0</v>
      </c>
      <c r="R14" s="2176">
        <v>60</v>
      </c>
      <c r="S14" s="2163">
        <v>500</v>
      </c>
      <c r="T14" s="2178">
        <v>-74</v>
      </c>
      <c r="U14" s="2178">
        <v>-78</v>
      </c>
      <c r="V14" s="2164">
        <f t="shared" si="0"/>
        <v>1810</v>
      </c>
      <c r="W14" s="2165">
        <f t="shared" si="3"/>
        <v>341510</v>
      </c>
    </row>
    <row r="15" hidden="1" customHeight="1" spans="1:23">
      <c r="A15" s="2155"/>
      <c r="B15" s="2166"/>
      <c r="C15" s="2167"/>
      <c r="D15" s="2168"/>
      <c r="E15" s="2168"/>
      <c r="F15" s="2169"/>
      <c r="G15" s="2170" t="s">
        <v>10615</v>
      </c>
      <c r="H15" s="2170"/>
      <c r="I15" s="2170"/>
      <c r="J15" s="2171"/>
      <c r="K15" s="2171"/>
      <c r="L15" s="2172">
        <v>57000</v>
      </c>
      <c r="M15" s="2172">
        <v>57000</v>
      </c>
      <c r="N15" s="2173">
        <v>56000</v>
      </c>
      <c r="O15" s="2173">
        <v>31000</v>
      </c>
      <c r="P15" s="2173">
        <v>30900</v>
      </c>
      <c r="Q15" s="2173">
        <v>25800</v>
      </c>
      <c r="R15" s="2173">
        <v>5050</v>
      </c>
      <c r="S15" s="2173">
        <v>17000</v>
      </c>
      <c r="T15" s="2173">
        <v>14000</v>
      </c>
      <c r="U15" s="2173">
        <v>14900</v>
      </c>
      <c r="V15" s="2174">
        <f t="shared" si="0"/>
        <v>308650</v>
      </c>
      <c r="W15" s="2175">
        <f>V15</f>
        <v>308650</v>
      </c>
    </row>
    <row r="16" hidden="1" customHeight="1" spans="1:23">
      <c r="A16" s="2155"/>
      <c r="B16" s="2144" t="s">
        <v>10624</v>
      </c>
      <c r="C16" s="2145">
        <v>1</v>
      </c>
      <c r="D16" s="2146">
        <v>1</v>
      </c>
      <c r="E16" s="2146">
        <v>7.5</v>
      </c>
      <c r="F16" s="2147">
        <v>11</v>
      </c>
      <c r="G16" s="2148" t="s">
        <v>10625</v>
      </c>
      <c r="H16" s="2148" t="s">
        <v>10608</v>
      </c>
      <c r="I16" s="2148"/>
      <c r="J16" s="2149">
        <v>800</v>
      </c>
      <c r="K16" s="2149">
        <v>43881</v>
      </c>
      <c r="L16" s="2150">
        <v>1040</v>
      </c>
      <c r="M16" s="2150">
        <v>1039</v>
      </c>
      <c r="N16" s="2151">
        <v>1021</v>
      </c>
      <c r="O16" s="2152">
        <v>800</v>
      </c>
      <c r="P16" s="2152">
        <v>800</v>
      </c>
      <c r="Q16" s="2152">
        <v>0</v>
      </c>
      <c r="R16" s="2177">
        <v>400</v>
      </c>
      <c r="S16" s="2152">
        <v>0</v>
      </c>
      <c r="T16" s="2177">
        <v>256</v>
      </c>
      <c r="U16" s="2177">
        <v>268</v>
      </c>
      <c r="V16" s="2153">
        <f t="shared" si="0"/>
        <v>5624</v>
      </c>
      <c r="W16" s="2154">
        <f t="shared" ref="W16:W18" si="4">ROUND(V16/J16*K16,-1)</f>
        <v>308480</v>
      </c>
    </row>
    <row r="17" hidden="1" customHeight="1" spans="1:23">
      <c r="A17" s="2155"/>
      <c r="B17" s="2156"/>
      <c r="C17" s="2157"/>
      <c r="D17" s="2158"/>
      <c r="E17" s="2158"/>
      <c r="F17" s="2159"/>
      <c r="G17" s="2160" t="s">
        <v>10610</v>
      </c>
      <c r="H17" s="2160" t="s">
        <v>10611</v>
      </c>
      <c r="I17" s="2160" t="s">
        <v>10612</v>
      </c>
      <c r="J17" s="2161">
        <v>200</v>
      </c>
      <c r="K17" s="2161">
        <v>19286</v>
      </c>
      <c r="L17" s="2162">
        <v>592</v>
      </c>
      <c r="M17" s="2162">
        <v>591</v>
      </c>
      <c r="N17" s="2163">
        <v>580</v>
      </c>
      <c r="O17" s="2163">
        <v>319</v>
      </c>
      <c r="P17" s="2163">
        <v>321</v>
      </c>
      <c r="Q17" s="2163">
        <v>271</v>
      </c>
      <c r="R17" s="2163">
        <v>92</v>
      </c>
      <c r="S17" s="2163">
        <v>156</v>
      </c>
      <c r="T17" s="2163">
        <v>125</v>
      </c>
      <c r="U17" s="2163">
        <v>152</v>
      </c>
      <c r="V17" s="2164">
        <f t="shared" si="0"/>
        <v>3199</v>
      </c>
      <c r="W17" s="2165">
        <f t="shared" si="4"/>
        <v>308480</v>
      </c>
    </row>
    <row r="18" hidden="1" customHeight="1" spans="1:23">
      <c r="A18" s="2155"/>
      <c r="B18" s="2156"/>
      <c r="C18" s="2157"/>
      <c r="D18" s="2158"/>
      <c r="E18" s="2158"/>
      <c r="F18" s="2159"/>
      <c r="G18" s="2160" t="s">
        <v>10622</v>
      </c>
      <c r="H18" s="2160" t="s">
        <v>10614</v>
      </c>
      <c r="I18" s="2160" t="s">
        <v>10623</v>
      </c>
      <c r="J18" s="2161">
        <v>500</v>
      </c>
      <c r="K18" s="2161">
        <v>94339</v>
      </c>
      <c r="L18" s="2162">
        <v>303</v>
      </c>
      <c r="M18" s="2162">
        <v>302</v>
      </c>
      <c r="N18" s="2163">
        <v>296</v>
      </c>
      <c r="O18" s="2163">
        <v>249</v>
      </c>
      <c r="P18" s="2163">
        <v>250</v>
      </c>
      <c r="Q18" s="2163">
        <v>0</v>
      </c>
      <c r="R18" s="2176">
        <v>83</v>
      </c>
      <c r="S18" s="2163">
        <v>0</v>
      </c>
      <c r="T18" s="2178">
        <v>74</v>
      </c>
      <c r="U18" s="2178">
        <v>78</v>
      </c>
      <c r="V18" s="2164">
        <f t="shared" si="0"/>
        <v>1635</v>
      </c>
      <c r="W18" s="2165">
        <f t="shared" si="4"/>
        <v>308490</v>
      </c>
    </row>
    <row r="19" hidden="1" customHeight="1" spans="1:23">
      <c r="A19" s="2155"/>
      <c r="B19" s="2166"/>
      <c r="C19" s="2167"/>
      <c r="D19" s="2168"/>
      <c r="E19" s="2168"/>
      <c r="F19" s="2169"/>
      <c r="G19" s="2170" t="s">
        <v>10615</v>
      </c>
      <c r="H19" s="2170"/>
      <c r="I19" s="2170"/>
      <c r="J19" s="2171"/>
      <c r="K19" s="2171"/>
      <c r="L19" s="2172">
        <v>57000</v>
      </c>
      <c r="M19" s="2172">
        <v>57000</v>
      </c>
      <c r="N19" s="2173">
        <v>56000</v>
      </c>
      <c r="O19" s="2173">
        <v>30700</v>
      </c>
      <c r="P19" s="2173">
        <v>31000</v>
      </c>
      <c r="Q19" s="2173">
        <v>26100</v>
      </c>
      <c r="R19" s="2173">
        <v>8850</v>
      </c>
      <c r="S19" s="2173">
        <v>13090</v>
      </c>
      <c r="T19" s="2173">
        <v>14000</v>
      </c>
      <c r="U19" s="2173">
        <v>14700</v>
      </c>
      <c r="V19" s="2174">
        <f t="shared" si="0"/>
        <v>308440</v>
      </c>
      <c r="W19" s="2175">
        <f>V19</f>
        <v>308440</v>
      </c>
    </row>
    <row r="20" hidden="1" customHeight="1" spans="1:23">
      <c r="A20" s="2155"/>
      <c r="B20" s="2144" t="s">
        <v>10626</v>
      </c>
      <c r="C20" s="2145">
        <v>1</v>
      </c>
      <c r="D20" s="2146">
        <v>1</v>
      </c>
      <c r="E20" s="2146">
        <v>7.5</v>
      </c>
      <c r="F20" s="2147">
        <v>11</v>
      </c>
      <c r="G20" s="2148" t="s">
        <v>10627</v>
      </c>
      <c r="H20" s="2148" t="s">
        <v>10608</v>
      </c>
      <c r="I20" s="2148"/>
      <c r="J20" s="2149">
        <v>800</v>
      </c>
      <c r="K20" s="2149">
        <v>21940</v>
      </c>
      <c r="L20" s="2150">
        <v>2079</v>
      </c>
      <c r="M20" s="2150">
        <v>2079</v>
      </c>
      <c r="N20" s="2151">
        <v>2078</v>
      </c>
      <c r="O20" s="2152">
        <v>1093</v>
      </c>
      <c r="P20" s="2152">
        <v>1113</v>
      </c>
      <c r="Q20" s="2152">
        <v>966</v>
      </c>
      <c r="R20" s="2152">
        <v>800</v>
      </c>
      <c r="S20" s="2152">
        <v>0</v>
      </c>
      <c r="T20" s="2177">
        <v>511</v>
      </c>
      <c r="U20" s="2177">
        <v>537</v>
      </c>
      <c r="V20" s="2153">
        <f t="shared" si="0"/>
        <v>11256</v>
      </c>
      <c r="W20" s="2154">
        <f t="shared" ref="W20:W22" si="5">ROUND(V20/J20*K20,-1)</f>
        <v>308700</v>
      </c>
    </row>
    <row r="21" hidden="1" customHeight="1" spans="1:23">
      <c r="A21" s="2155"/>
      <c r="B21" s="2156"/>
      <c r="C21" s="2157"/>
      <c r="D21" s="2158"/>
      <c r="E21" s="2158"/>
      <c r="F21" s="2159"/>
      <c r="G21" s="2160" t="s">
        <v>10610</v>
      </c>
      <c r="H21" s="2160" t="s">
        <v>10611</v>
      </c>
      <c r="I21" s="2160" t="s">
        <v>10612</v>
      </c>
      <c r="J21" s="2161">
        <v>200</v>
      </c>
      <c r="K21" s="2161">
        <v>19286</v>
      </c>
      <c r="L21" s="2162">
        <v>592</v>
      </c>
      <c r="M21" s="2162">
        <v>591</v>
      </c>
      <c r="N21" s="2163">
        <v>591</v>
      </c>
      <c r="O21" s="2163">
        <v>311</v>
      </c>
      <c r="P21" s="2163">
        <v>316</v>
      </c>
      <c r="Q21" s="2163">
        <v>275</v>
      </c>
      <c r="R21" s="2163">
        <v>92</v>
      </c>
      <c r="S21" s="2163">
        <v>156</v>
      </c>
      <c r="T21" s="2163">
        <v>125</v>
      </c>
      <c r="U21" s="2163">
        <v>153</v>
      </c>
      <c r="V21" s="2164">
        <f t="shared" si="0"/>
        <v>3202</v>
      </c>
      <c r="W21" s="2165">
        <f t="shared" si="5"/>
        <v>308770</v>
      </c>
    </row>
    <row r="22" hidden="1" customHeight="1" spans="1:23">
      <c r="A22" s="2155"/>
      <c r="B22" s="2156"/>
      <c r="C22" s="2157"/>
      <c r="D22" s="2158"/>
      <c r="E22" s="2158"/>
      <c r="F22" s="2159"/>
      <c r="G22" s="2160" t="s">
        <v>10618</v>
      </c>
      <c r="H22" s="2160" t="s">
        <v>10614</v>
      </c>
      <c r="I22" s="2160" t="s">
        <v>10619</v>
      </c>
      <c r="J22" s="2161">
        <v>500</v>
      </c>
      <c r="K22" s="2161">
        <v>63291</v>
      </c>
      <c r="L22" s="2162">
        <v>451</v>
      </c>
      <c r="M22" s="2162">
        <v>450</v>
      </c>
      <c r="N22" s="2163">
        <v>450</v>
      </c>
      <c r="O22" s="2163">
        <v>237</v>
      </c>
      <c r="P22" s="2163">
        <v>241</v>
      </c>
      <c r="Q22" s="2163">
        <v>210</v>
      </c>
      <c r="R22" s="2163">
        <v>175</v>
      </c>
      <c r="S22" s="2163">
        <v>-2.4</v>
      </c>
      <c r="T22" s="2176">
        <v>111</v>
      </c>
      <c r="U22" s="2176">
        <v>117</v>
      </c>
      <c r="V22" s="2164">
        <f t="shared" si="0"/>
        <v>2439.6</v>
      </c>
      <c r="W22" s="2165">
        <f t="shared" si="5"/>
        <v>308810</v>
      </c>
    </row>
    <row r="23" hidden="1" customHeight="1" spans="1:23">
      <c r="A23" s="2155"/>
      <c r="B23" s="2166"/>
      <c r="C23" s="2167"/>
      <c r="D23" s="2168"/>
      <c r="E23" s="2168"/>
      <c r="F23" s="2169"/>
      <c r="G23" s="2170" t="s">
        <v>10615</v>
      </c>
      <c r="H23" s="2170"/>
      <c r="I23" s="2170"/>
      <c r="J23" s="2171"/>
      <c r="K23" s="2171"/>
      <c r="L23" s="2172">
        <v>57000</v>
      </c>
      <c r="M23" s="2172">
        <v>57000</v>
      </c>
      <c r="N23" s="2173">
        <v>57000</v>
      </c>
      <c r="O23" s="2173">
        <v>30000</v>
      </c>
      <c r="P23" s="2173">
        <v>30500</v>
      </c>
      <c r="Q23" s="2173">
        <v>26500</v>
      </c>
      <c r="R23" s="2173">
        <v>8850</v>
      </c>
      <c r="S23" s="2173">
        <v>13100</v>
      </c>
      <c r="T23" s="2173">
        <v>14000</v>
      </c>
      <c r="U23" s="2173">
        <v>14750</v>
      </c>
      <c r="V23" s="2174">
        <f t="shared" si="0"/>
        <v>308700</v>
      </c>
      <c r="W23" s="2175">
        <f>V23</f>
        <v>308700</v>
      </c>
    </row>
    <row r="24" hidden="1" customHeight="1" spans="1:23">
      <c r="A24" s="2155"/>
      <c r="B24" s="2144" t="s">
        <v>10628</v>
      </c>
      <c r="C24" s="2145">
        <v>2</v>
      </c>
      <c r="D24" s="2146">
        <v>1</v>
      </c>
      <c r="E24" s="2146">
        <v>15</v>
      </c>
      <c r="F24" s="2147">
        <v>21</v>
      </c>
      <c r="G24" s="2148" t="s">
        <v>10629</v>
      </c>
      <c r="H24" s="2148" t="s">
        <v>10608</v>
      </c>
      <c r="I24" s="2148"/>
      <c r="J24" s="2149">
        <v>800</v>
      </c>
      <c r="K24" s="2149">
        <v>22844</v>
      </c>
      <c r="L24" s="2150">
        <v>3012</v>
      </c>
      <c r="M24" s="2150">
        <v>2241</v>
      </c>
      <c r="N24" s="2151">
        <v>2137</v>
      </c>
      <c r="O24" s="2152">
        <v>1050</v>
      </c>
      <c r="P24" s="2152">
        <v>1156</v>
      </c>
      <c r="Q24" s="2152">
        <v>928</v>
      </c>
      <c r="R24" s="2152">
        <v>863</v>
      </c>
      <c r="S24" s="2152">
        <v>800</v>
      </c>
      <c r="T24" s="2152">
        <v>0</v>
      </c>
      <c r="U24" s="2177">
        <v>676</v>
      </c>
      <c r="V24" s="2153">
        <f t="shared" si="0"/>
        <v>12863</v>
      </c>
      <c r="W24" s="2154">
        <f t="shared" ref="W24:W26" si="6">ROUND(V24/J24*K24,-1)</f>
        <v>367300</v>
      </c>
    </row>
    <row r="25" hidden="1" customHeight="1" spans="1:23">
      <c r="A25" s="2155"/>
      <c r="B25" s="2156"/>
      <c r="C25" s="2157"/>
      <c r="D25" s="2158"/>
      <c r="E25" s="2158"/>
      <c r="F25" s="2159"/>
      <c r="G25" s="2160" t="s">
        <v>10610</v>
      </c>
      <c r="H25" s="2160" t="s">
        <v>10611</v>
      </c>
      <c r="I25" s="2160" t="s">
        <v>10612</v>
      </c>
      <c r="J25" s="2161">
        <v>200</v>
      </c>
      <c r="K25" s="2161">
        <v>19286</v>
      </c>
      <c r="L25" s="2162">
        <v>892</v>
      </c>
      <c r="M25" s="2162">
        <v>664</v>
      </c>
      <c r="N25" s="2163">
        <v>633</v>
      </c>
      <c r="O25" s="2163">
        <v>311</v>
      </c>
      <c r="P25" s="2163">
        <v>342</v>
      </c>
      <c r="Q25" s="2163">
        <v>275</v>
      </c>
      <c r="R25" s="2163">
        <v>121</v>
      </c>
      <c r="S25" s="2163">
        <v>197</v>
      </c>
      <c r="T25" s="2163">
        <v>174</v>
      </c>
      <c r="U25" s="2163">
        <v>200</v>
      </c>
      <c r="V25" s="2164">
        <f t="shared" si="0"/>
        <v>3809</v>
      </c>
      <c r="W25" s="2165">
        <f t="shared" si="6"/>
        <v>367300</v>
      </c>
    </row>
    <row r="26" hidden="1" customHeight="1" spans="1:23">
      <c r="A26" s="2155"/>
      <c r="B26" s="2179"/>
      <c r="C26" s="2157"/>
      <c r="D26" s="2158"/>
      <c r="E26" s="2158"/>
      <c r="F26" s="2159"/>
      <c r="G26" s="2160" t="s">
        <v>10618</v>
      </c>
      <c r="H26" s="2160" t="s">
        <v>10614</v>
      </c>
      <c r="I26" s="2160" t="s">
        <v>10619</v>
      </c>
      <c r="J26" s="2161">
        <v>500</v>
      </c>
      <c r="K26" s="2161">
        <v>63291</v>
      </c>
      <c r="L26" s="2162">
        <v>680</v>
      </c>
      <c r="M26" s="2162">
        <v>505</v>
      </c>
      <c r="N26" s="2163">
        <v>482</v>
      </c>
      <c r="O26" s="2163">
        <v>237</v>
      </c>
      <c r="P26" s="2163">
        <v>261</v>
      </c>
      <c r="Q26" s="2163">
        <v>209</v>
      </c>
      <c r="R26" s="2163">
        <v>195</v>
      </c>
      <c r="S26" s="2163">
        <f>136.9+2.4</f>
        <v>139.3</v>
      </c>
      <c r="T26" s="2176">
        <v>41</v>
      </c>
      <c r="U26" s="2176">
        <v>153</v>
      </c>
      <c r="V26" s="2164">
        <f t="shared" si="0"/>
        <v>2902.3</v>
      </c>
      <c r="W26" s="2165">
        <f t="shared" si="6"/>
        <v>367380</v>
      </c>
    </row>
    <row r="27" hidden="1" customHeight="1" spans="1:23">
      <c r="A27" s="2180"/>
      <c r="B27" s="2166"/>
      <c r="C27" s="2167"/>
      <c r="D27" s="2168"/>
      <c r="E27" s="2168"/>
      <c r="F27" s="2169"/>
      <c r="G27" s="2170" t="s">
        <v>10615</v>
      </c>
      <c r="H27" s="2170"/>
      <c r="I27" s="2170"/>
      <c r="J27" s="2171"/>
      <c r="K27" s="2171"/>
      <c r="L27" s="2172">
        <v>86000</v>
      </c>
      <c r="M27" s="2172">
        <v>64000</v>
      </c>
      <c r="N27" s="2173">
        <v>61000</v>
      </c>
      <c r="O27" s="2173">
        <v>30000</v>
      </c>
      <c r="P27" s="2173">
        <v>33000</v>
      </c>
      <c r="Q27" s="2173">
        <v>26500</v>
      </c>
      <c r="R27" s="2173">
        <v>11650</v>
      </c>
      <c r="S27" s="2173">
        <v>19000</v>
      </c>
      <c r="T27" s="2173">
        <v>16850</v>
      </c>
      <c r="U27" s="2173">
        <v>19300</v>
      </c>
      <c r="V27" s="2174">
        <f t="shared" si="0"/>
        <v>367300</v>
      </c>
      <c r="W27" s="2175">
        <f>V27</f>
        <v>367300</v>
      </c>
    </row>
    <row r="28" hidden="1" customHeight="1" spans="1:23">
      <c r="A28" s="2181"/>
      <c r="B28" s="2182" t="s">
        <v>10630</v>
      </c>
      <c r="C28" s="2183">
        <f t="shared" ref="C28:F28" si="7">SUM(C4:C27)</f>
        <v>8</v>
      </c>
      <c r="D28" s="2184">
        <f t="shared" si="7"/>
        <v>6</v>
      </c>
      <c r="E28" s="2184">
        <f t="shared" si="7"/>
        <v>60</v>
      </c>
      <c r="F28" s="2185">
        <f t="shared" si="7"/>
        <v>85</v>
      </c>
      <c r="G28" s="2186" t="s">
        <v>10631</v>
      </c>
      <c r="H28" s="2187"/>
      <c r="I28" s="2187" t="s">
        <v>10632</v>
      </c>
      <c r="J28" s="2188"/>
      <c r="K28" s="2188"/>
      <c r="L28" s="2188">
        <f t="shared" ref="L28:V28" si="8">SUM(L4,L6,L8,L12,L16,L20,L24)</f>
        <v>8854</v>
      </c>
      <c r="M28" s="2188">
        <f t="shared" si="8"/>
        <v>7560</v>
      </c>
      <c r="N28" s="2188">
        <f t="shared" si="8"/>
        <v>7898</v>
      </c>
      <c r="O28" s="2188">
        <f t="shared" si="8"/>
        <v>4168</v>
      </c>
      <c r="P28" s="2188">
        <f t="shared" si="8"/>
        <v>4263</v>
      </c>
      <c r="Q28" s="2188">
        <f t="shared" si="8"/>
        <v>2888</v>
      </c>
      <c r="R28" s="2188">
        <f t="shared" si="8"/>
        <v>2758</v>
      </c>
      <c r="S28" s="2188">
        <f t="shared" si="8"/>
        <v>1613</v>
      </c>
      <c r="T28" s="2188">
        <f t="shared" si="8"/>
        <v>777</v>
      </c>
      <c r="U28" s="2188">
        <f t="shared" si="8"/>
        <v>1902</v>
      </c>
      <c r="V28" s="2188">
        <f t="shared" si="8"/>
        <v>42681</v>
      </c>
      <c r="W28" s="2189">
        <f>SUM(W7,W11,W15,W19,W23,W27)</f>
        <v>1970640</v>
      </c>
    </row>
    <row r="29" hidden="1" customHeight="1" spans="1:23">
      <c r="A29" s="2190"/>
      <c r="B29" s="2191"/>
      <c r="C29" s="2192"/>
      <c r="D29" s="2191"/>
      <c r="E29" s="2191"/>
      <c r="F29" s="2193"/>
      <c r="G29" s="2194" t="s">
        <v>10633</v>
      </c>
      <c r="H29" s="2192"/>
      <c r="I29" s="2192" t="s">
        <v>10634</v>
      </c>
      <c r="J29" s="2195">
        <v>200</v>
      </c>
      <c r="K29" s="2195">
        <v>19286</v>
      </c>
      <c r="L29" s="2196">
        <f t="shared" ref="L29:V29" si="9">SUM(L5,L9,L13,L17,L21,L25)</f>
        <v>4152</v>
      </c>
      <c r="M29" s="2196">
        <f t="shared" si="9"/>
        <v>3692</v>
      </c>
      <c r="N29" s="2196">
        <f t="shared" si="9"/>
        <v>3609</v>
      </c>
      <c r="O29" s="2196">
        <f t="shared" si="9"/>
        <v>2176</v>
      </c>
      <c r="P29" s="2196">
        <f t="shared" si="9"/>
        <v>1989</v>
      </c>
      <c r="Q29" s="2196">
        <f t="shared" si="9"/>
        <v>1637</v>
      </c>
      <c r="R29" s="2196">
        <f t="shared" si="9"/>
        <v>751</v>
      </c>
      <c r="S29" s="2196">
        <f t="shared" si="9"/>
        <v>790</v>
      </c>
      <c r="T29" s="2196">
        <f t="shared" si="9"/>
        <v>663</v>
      </c>
      <c r="U29" s="2196">
        <f t="shared" si="9"/>
        <v>979</v>
      </c>
      <c r="V29" s="2196">
        <f t="shared" si="9"/>
        <v>20438</v>
      </c>
      <c r="W29" s="2197"/>
    </row>
    <row r="30" hidden="1" customHeight="1" spans="1:23">
      <c r="A30" s="2190"/>
      <c r="B30" s="2191"/>
      <c r="C30" s="2192"/>
      <c r="D30" s="2191"/>
      <c r="E30" s="2191"/>
      <c r="F30" s="2193"/>
      <c r="G30" s="2194" t="s">
        <v>10635</v>
      </c>
      <c r="H30" s="2192"/>
      <c r="I30" s="2192" t="s">
        <v>10636</v>
      </c>
      <c r="J30" s="2195">
        <v>500</v>
      </c>
      <c r="K30" s="2195">
        <v>63291</v>
      </c>
      <c r="L30" s="2196">
        <f t="shared" ref="L30:V30" si="10">SUM(L10,L22,L26)</f>
        <v>1582</v>
      </c>
      <c r="M30" s="2196">
        <f t="shared" si="10"/>
        <v>1405</v>
      </c>
      <c r="N30" s="2196">
        <f t="shared" si="10"/>
        <v>1382</v>
      </c>
      <c r="O30" s="2196">
        <f t="shared" si="10"/>
        <v>830</v>
      </c>
      <c r="P30" s="2196">
        <f t="shared" si="10"/>
        <v>748</v>
      </c>
      <c r="Q30" s="2196">
        <f t="shared" si="10"/>
        <v>625</v>
      </c>
      <c r="R30" s="2196">
        <f t="shared" si="10"/>
        <v>663</v>
      </c>
      <c r="S30" s="2196">
        <f t="shared" si="10"/>
        <v>0</v>
      </c>
      <c r="T30" s="2196">
        <f t="shared" si="10"/>
        <v>162</v>
      </c>
      <c r="U30" s="2196">
        <f t="shared" si="10"/>
        <v>384</v>
      </c>
      <c r="V30" s="2196">
        <f t="shared" si="10"/>
        <v>7781</v>
      </c>
      <c r="W30" s="2197"/>
    </row>
    <row r="31" hidden="1" customHeight="1" spans="1:23">
      <c r="A31" s="2190"/>
      <c r="B31" s="2191"/>
      <c r="C31" s="2192"/>
      <c r="D31" s="2191"/>
      <c r="E31" s="2191"/>
      <c r="F31" s="2193"/>
      <c r="G31" s="2194" t="s">
        <v>10637</v>
      </c>
      <c r="H31" s="2192"/>
      <c r="I31" s="2192" t="s">
        <v>10638</v>
      </c>
      <c r="J31" s="2195">
        <v>500</v>
      </c>
      <c r="K31" s="2195">
        <v>94339</v>
      </c>
      <c r="L31" s="2196">
        <f t="shared" ref="L31:V31" si="11">SUM(L18,L14)</f>
        <v>606</v>
      </c>
      <c r="M31" s="2196">
        <f t="shared" si="11"/>
        <v>604</v>
      </c>
      <c r="N31" s="2196">
        <f t="shared" si="11"/>
        <v>592</v>
      </c>
      <c r="O31" s="2196">
        <f t="shared" si="11"/>
        <v>500</v>
      </c>
      <c r="P31" s="2196">
        <f t="shared" si="11"/>
        <v>500</v>
      </c>
      <c r="Q31" s="2196">
        <f t="shared" si="11"/>
        <v>0</v>
      </c>
      <c r="R31" s="2196">
        <f t="shared" si="11"/>
        <v>143</v>
      </c>
      <c r="S31" s="2196">
        <f t="shared" si="11"/>
        <v>500</v>
      </c>
      <c r="T31" s="2196">
        <f t="shared" si="11"/>
        <v>0</v>
      </c>
      <c r="U31" s="2196">
        <f t="shared" si="11"/>
        <v>0</v>
      </c>
      <c r="V31" s="2196">
        <f t="shared" si="11"/>
        <v>3445</v>
      </c>
      <c r="W31" s="2197"/>
    </row>
    <row r="32" hidden="1" customHeight="1" spans="1:23">
      <c r="A32" s="2198"/>
      <c r="B32" s="2199"/>
      <c r="C32" s="2200"/>
      <c r="D32" s="2199"/>
      <c r="E32" s="2199"/>
      <c r="F32" s="2201"/>
      <c r="G32" s="2202" t="s">
        <v>10639</v>
      </c>
      <c r="H32" s="2203"/>
      <c r="I32" s="2203"/>
      <c r="J32" s="2204"/>
      <c r="K32" s="2204"/>
      <c r="L32" s="2204">
        <f t="shared" ref="L32:V32" si="12">SUM(L7,L11,L15,L19,L23,L27)</f>
        <v>400000</v>
      </c>
      <c r="M32" s="2204">
        <f t="shared" si="12"/>
        <v>356000</v>
      </c>
      <c r="N32" s="2204">
        <f t="shared" si="12"/>
        <v>348000</v>
      </c>
      <c r="O32" s="2204">
        <f t="shared" si="12"/>
        <v>209800</v>
      </c>
      <c r="P32" s="2204">
        <f t="shared" si="12"/>
        <v>192000</v>
      </c>
      <c r="Q32" s="2204">
        <f t="shared" si="12"/>
        <v>157700</v>
      </c>
      <c r="R32" s="2204">
        <f t="shared" si="12"/>
        <v>72450</v>
      </c>
      <c r="S32" s="2204">
        <f t="shared" si="12"/>
        <v>72190</v>
      </c>
      <c r="T32" s="2204">
        <f t="shared" si="12"/>
        <v>67850</v>
      </c>
      <c r="U32" s="2204">
        <f t="shared" si="12"/>
        <v>94650</v>
      </c>
      <c r="V32" s="2204">
        <f t="shared" si="12"/>
        <v>1970640</v>
      </c>
      <c r="W32" s="2205"/>
    </row>
    <row r="33" hidden="1" customHeight="1"/>
    <row r="34" hidden="1" customHeight="1"/>
    <row r="35" hidden="1" customHeight="1" spans="1:12">
      <c r="A35" s="2113" t="s">
        <v>10579</v>
      </c>
      <c r="B35" s="2206" t="s">
        <v>10580</v>
      </c>
      <c r="C35" s="2207" t="s">
        <v>10583</v>
      </c>
      <c r="D35" s="2114"/>
      <c r="E35" s="2208" t="s">
        <v>10585</v>
      </c>
      <c r="F35" s="2208" t="s">
        <v>10586</v>
      </c>
      <c r="G35" s="2121" t="s">
        <v>10640</v>
      </c>
      <c r="H35" s="2121" t="s">
        <v>10641</v>
      </c>
      <c r="I35" s="2121" t="s">
        <v>10642</v>
      </c>
      <c r="J35" s="2209"/>
      <c r="K35" s="2122" t="s">
        <v>10597</v>
      </c>
      <c r="L35" s="2123" t="s">
        <v>10643</v>
      </c>
    </row>
    <row r="36" hidden="1" customHeight="1" spans="1:12">
      <c r="A36" s="2210" t="s">
        <v>10599</v>
      </c>
      <c r="B36" s="2211"/>
      <c r="C36" s="2212"/>
      <c r="D36" s="2213"/>
      <c r="E36" s="2214"/>
      <c r="F36" s="2214"/>
      <c r="G36" s="2131">
        <v>43553</v>
      </c>
      <c r="H36" s="2131">
        <v>43606</v>
      </c>
      <c r="I36" s="2131">
        <v>43683</v>
      </c>
      <c r="J36" s="2127"/>
      <c r="K36" s="2215"/>
      <c r="L36" s="2216"/>
    </row>
    <row r="37" hidden="1" customHeight="1" spans="1:12">
      <c r="A37" s="2210" t="s">
        <v>10604</v>
      </c>
      <c r="B37" s="2211"/>
      <c r="C37" s="2212"/>
      <c r="D37" s="2213"/>
      <c r="E37" s="2214"/>
      <c r="F37" s="2214"/>
      <c r="G37" s="2131">
        <v>43583</v>
      </c>
      <c r="H37" s="2131">
        <v>43636</v>
      </c>
      <c r="I37" s="2131">
        <v>43714</v>
      </c>
      <c r="J37" s="2127"/>
      <c r="K37" s="2215"/>
      <c r="L37" s="2216"/>
    </row>
    <row r="38" hidden="1" customHeight="1" spans="1:12">
      <c r="A38" s="2217" t="s">
        <v>10644</v>
      </c>
      <c r="B38" s="2218" t="s">
        <v>10645</v>
      </c>
      <c r="C38" s="2219" t="s">
        <v>10646</v>
      </c>
      <c r="D38" s="2220" t="s">
        <v>10647</v>
      </c>
      <c r="E38" s="2221">
        <v>1000</v>
      </c>
      <c r="F38" s="2221">
        <v>3800</v>
      </c>
      <c r="G38" s="2222">
        <v>13158</v>
      </c>
      <c r="H38" s="2222">
        <v>8316</v>
      </c>
      <c r="I38" s="2223">
        <v>5474</v>
      </c>
      <c r="J38" s="2223"/>
      <c r="K38" s="2224">
        <f t="shared" ref="K38:K50" si="13">SUM(G38:J38)</f>
        <v>26948</v>
      </c>
      <c r="L38" s="2225">
        <f t="shared" ref="L38:L43" si="14">ROUND(K38/E38*F38,-1)</f>
        <v>102400</v>
      </c>
    </row>
    <row r="39" hidden="1" customHeight="1" spans="1:12">
      <c r="A39" s="2217"/>
      <c r="B39" s="2218"/>
      <c r="C39" s="2226" t="s">
        <v>10648</v>
      </c>
      <c r="D39" s="2220" t="s">
        <v>10649</v>
      </c>
      <c r="E39" s="2221">
        <v>200</v>
      </c>
      <c r="F39" s="2221">
        <v>4500</v>
      </c>
      <c r="G39" s="2222">
        <v>2222</v>
      </c>
      <c r="H39" s="2222">
        <v>1405</v>
      </c>
      <c r="I39" s="2223">
        <v>924</v>
      </c>
      <c r="J39" s="2223"/>
      <c r="K39" s="2164">
        <f t="shared" si="13"/>
        <v>4551</v>
      </c>
      <c r="L39" s="2165">
        <f t="shared" si="14"/>
        <v>102400</v>
      </c>
    </row>
    <row r="40" hidden="1" customHeight="1" spans="1:12">
      <c r="A40" s="2217"/>
      <c r="B40" s="2227"/>
      <c r="C40" s="2226" t="s">
        <v>10650</v>
      </c>
      <c r="D40" s="2160"/>
      <c r="E40" s="2161"/>
      <c r="F40" s="2161"/>
      <c r="G40" s="2162">
        <v>50000</v>
      </c>
      <c r="H40" s="2162">
        <v>31600</v>
      </c>
      <c r="I40" s="2163">
        <v>20800</v>
      </c>
      <c r="J40" s="2163"/>
      <c r="K40" s="2164">
        <f t="shared" si="13"/>
        <v>102400</v>
      </c>
      <c r="L40" s="2165">
        <f>K40</f>
        <v>102400</v>
      </c>
    </row>
    <row r="41" hidden="1" customHeight="1" spans="1:12">
      <c r="A41" s="2217"/>
      <c r="B41" s="2228"/>
      <c r="C41" s="2229" t="s">
        <v>10651</v>
      </c>
      <c r="D41" s="2170" t="s">
        <v>10652</v>
      </c>
      <c r="E41" s="2171">
        <v>30000</v>
      </c>
      <c r="F41" s="2171">
        <v>30000</v>
      </c>
      <c r="G41" s="2172">
        <v>50000</v>
      </c>
      <c r="H41" s="2230">
        <v>50500</v>
      </c>
      <c r="I41" s="2231">
        <v>1900</v>
      </c>
      <c r="J41" s="2173"/>
      <c r="K41" s="2174">
        <f t="shared" si="13"/>
        <v>102400</v>
      </c>
      <c r="L41" s="2175">
        <f>ROUND(K41/E41*F41,0)</f>
        <v>102400</v>
      </c>
    </row>
    <row r="42" hidden="1" customHeight="1" spans="1:12">
      <c r="A42" s="2217"/>
      <c r="B42" s="2232" t="s">
        <v>10653</v>
      </c>
      <c r="C42" s="2233" t="s">
        <v>10654</v>
      </c>
      <c r="D42" s="2148" t="s">
        <v>10647</v>
      </c>
      <c r="E42" s="2149">
        <v>1000</v>
      </c>
      <c r="F42" s="2149">
        <v>3300</v>
      </c>
      <c r="G42" s="2150">
        <v>15152</v>
      </c>
      <c r="H42" s="2150">
        <v>9091</v>
      </c>
      <c r="I42" s="2152">
        <v>6364</v>
      </c>
      <c r="J42" s="2152"/>
      <c r="K42" s="2153">
        <f t="shared" si="13"/>
        <v>30607</v>
      </c>
      <c r="L42" s="2154">
        <f t="shared" si="14"/>
        <v>101000</v>
      </c>
    </row>
    <row r="43" hidden="1" customHeight="1" spans="1:12">
      <c r="A43" s="2217"/>
      <c r="B43" s="2218"/>
      <c r="C43" s="2226" t="s">
        <v>10648</v>
      </c>
      <c r="D43" s="2220" t="s">
        <v>10649</v>
      </c>
      <c r="E43" s="2221">
        <v>200</v>
      </c>
      <c r="F43" s="2221">
        <v>4500</v>
      </c>
      <c r="G43" s="2222">
        <v>2222</v>
      </c>
      <c r="H43" s="2222">
        <v>1334</v>
      </c>
      <c r="I43" s="2223">
        <v>933</v>
      </c>
      <c r="J43" s="2223"/>
      <c r="K43" s="2164">
        <f t="shared" si="13"/>
        <v>4489</v>
      </c>
      <c r="L43" s="2165">
        <f t="shared" si="14"/>
        <v>101000</v>
      </c>
    </row>
    <row r="44" hidden="1" customHeight="1" spans="1:12">
      <c r="A44" s="2217"/>
      <c r="B44" s="2227"/>
      <c r="C44" s="2226" t="s">
        <v>10650</v>
      </c>
      <c r="D44" s="2160"/>
      <c r="E44" s="2161"/>
      <c r="F44" s="2161"/>
      <c r="G44" s="2162">
        <v>50000</v>
      </c>
      <c r="H44" s="2162">
        <v>30000</v>
      </c>
      <c r="I44" s="2163">
        <v>21000</v>
      </c>
      <c r="J44" s="2163"/>
      <c r="K44" s="2164">
        <f t="shared" si="13"/>
        <v>101000</v>
      </c>
      <c r="L44" s="2165">
        <f>K44</f>
        <v>101000</v>
      </c>
    </row>
    <row r="45" hidden="1" customHeight="1" spans="1:12">
      <c r="A45" s="2217"/>
      <c r="B45" s="2228"/>
      <c r="C45" s="2229" t="s">
        <v>10651</v>
      </c>
      <c r="D45" s="2170" t="s">
        <v>10652</v>
      </c>
      <c r="E45" s="2171">
        <v>30000</v>
      </c>
      <c r="F45" s="2171">
        <v>30000</v>
      </c>
      <c r="G45" s="2172">
        <v>50000</v>
      </c>
      <c r="H45" s="2230">
        <v>48900</v>
      </c>
      <c r="I45" s="2231">
        <v>2100</v>
      </c>
      <c r="J45" s="2173"/>
      <c r="K45" s="2174">
        <f t="shared" si="13"/>
        <v>101000</v>
      </c>
      <c r="L45" s="2175">
        <f>ROUND(K45/E45*F45,0)</f>
        <v>101000</v>
      </c>
    </row>
    <row r="46" hidden="1" customHeight="1" spans="1:12">
      <c r="A46" s="2217"/>
      <c r="B46" s="2232" t="s">
        <v>10655</v>
      </c>
      <c r="C46" s="2233" t="s">
        <v>10656</v>
      </c>
      <c r="D46" s="2148" t="s">
        <v>10647</v>
      </c>
      <c r="E46" s="2234">
        <v>1000</v>
      </c>
      <c r="F46" s="2149">
        <v>4500</v>
      </c>
      <c r="G46" s="2150">
        <v>11111</v>
      </c>
      <c r="H46" s="2150">
        <v>7044</v>
      </c>
      <c r="I46" s="2152">
        <v>4200</v>
      </c>
      <c r="J46" s="2152"/>
      <c r="K46" s="2153">
        <f t="shared" si="13"/>
        <v>22355</v>
      </c>
      <c r="L46" s="2165">
        <f t="shared" ref="L46:L48" si="15">ROUND(K46/E46*F46,-1)</f>
        <v>100600</v>
      </c>
    </row>
    <row r="47" hidden="1" customHeight="1" spans="1:12">
      <c r="A47" s="2217"/>
      <c r="B47" s="2227"/>
      <c r="C47" s="2226" t="s">
        <v>10657</v>
      </c>
      <c r="D47" s="2160" t="s">
        <v>10658</v>
      </c>
      <c r="E47" s="2235">
        <v>200</v>
      </c>
      <c r="F47" s="2161">
        <v>5000</v>
      </c>
      <c r="G47" s="2162">
        <v>2000</v>
      </c>
      <c r="H47" s="2162">
        <v>1268</v>
      </c>
      <c r="I47" s="2163">
        <v>756</v>
      </c>
      <c r="J47" s="2163"/>
      <c r="K47" s="2164">
        <f t="shared" si="13"/>
        <v>4024</v>
      </c>
      <c r="L47" s="2165">
        <f t="shared" si="15"/>
        <v>100600</v>
      </c>
    </row>
    <row r="48" hidden="1" customHeight="1" spans="1:12">
      <c r="A48" s="2217"/>
      <c r="B48" s="2227"/>
      <c r="C48" s="2226" t="s">
        <v>10659</v>
      </c>
      <c r="D48" s="2160" t="s">
        <v>10660</v>
      </c>
      <c r="E48" s="2235">
        <v>200</v>
      </c>
      <c r="F48" s="2161">
        <v>43500</v>
      </c>
      <c r="G48" s="2162">
        <v>230</v>
      </c>
      <c r="H48" s="2162">
        <v>146</v>
      </c>
      <c r="I48" s="2163">
        <v>87</v>
      </c>
      <c r="J48" s="2163"/>
      <c r="K48" s="2164">
        <f t="shared" si="13"/>
        <v>463</v>
      </c>
      <c r="L48" s="2165">
        <f t="shared" si="15"/>
        <v>100700</v>
      </c>
    </row>
    <row r="49" hidden="1" customHeight="1" spans="1:27">
      <c r="A49" s="2217"/>
      <c r="B49" s="2227"/>
      <c r="C49" s="2226" t="s">
        <v>10650</v>
      </c>
      <c r="D49" s="2160"/>
      <c r="E49" s="2161"/>
      <c r="F49" s="2161"/>
      <c r="G49" s="2162">
        <v>50000</v>
      </c>
      <c r="H49" s="2162">
        <v>31700</v>
      </c>
      <c r="I49" s="2163">
        <v>18900</v>
      </c>
      <c r="J49" s="2163"/>
      <c r="K49" s="2164">
        <f t="shared" si="13"/>
        <v>100600</v>
      </c>
      <c r="L49" s="2165">
        <f>K49</f>
        <v>100600</v>
      </c>
    </row>
    <row r="50" hidden="1" customHeight="1" spans="1:27">
      <c r="A50" s="2217"/>
      <c r="B50" s="2228"/>
      <c r="C50" s="2229" t="s">
        <v>10661</v>
      </c>
      <c r="D50" s="2170" t="s">
        <v>10652</v>
      </c>
      <c r="E50" s="2171">
        <v>30000</v>
      </c>
      <c r="F50" s="2171">
        <v>30000</v>
      </c>
      <c r="G50" s="2172">
        <v>50000</v>
      </c>
      <c r="H50" s="2230">
        <v>50600</v>
      </c>
      <c r="I50" s="2231"/>
      <c r="J50" s="2173"/>
      <c r="K50" s="2174">
        <f t="shared" si="13"/>
        <v>100600</v>
      </c>
      <c r="L50" s="2175">
        <f>ROUND(K50/E50*F50,0)</f>
        <v>100600</v>
      </c>
    </row>
    <row r="51" hidden="1" customHeight="1" spans="1:27">
      <c r="A51" s="2181"/>
      <c r="B51" s="2236" t="s">
        <v>10630</v>
      </c>
      <c r="C51" s="2186" t="s">
        <v>10631</v>
      </c>
      <c r="D51" s="2187"/>
      <c r="E51" s="2188"/>
      <c r="F51" s="2188"/>
      <c r="G51" s="2188">
        <f t="shared" ref="G51:L51" si="16">SUM(G38:G39,G42:G43,G46:G48)</f>
        <v>46095</v>
      </c>
      <c r="H51" s="2188">
        <f t="shared" si="16"/>
        <v>28604</v>
      </c>
      <c r="I51" s="2188">
        <f t="shared" si="16"/>
        <v>18738</v>
      </c>
      <c r="J51" s="2188">
        <f t="shared" si="16"/>
        <v>0</v>
      </c>
      <c r="K51" s="2188">
        <f t="shared" si="16"/>
        <v>93437</v>
      </c>
      <c r="L51" s="2237">
        <f t="shared" si="16"/>
        <v>708700</v>
      </c>
    </row>
    <row r="52" hidden="1" customHeight="1" spans="1:27">
      <c r="A52" s="2238"/>
      <c r="B52" s="2239"/>
      <c r="C52" s="2240" t="s">
        <v>10639</v>
      </c>
      <c r="D52" s="2241"/>
      <c r="E52" s="2195"/>
      <c r="F52" s="2195"/>
      <c r="G52" s="2195">
        <f t="shared" ref="G52:L52" si="17">SUM(G40,G44,G49)</f>
        <v>150000</v>
      </c>
      <c r="H52" s="2195">
        <f t="shared" si="17"/>
        <v>93300</v>
      </c>
      <c r="I52" s="2195">
        <f t="shared" si="17"/>
        <v>60700</v>
      </c>
      <c r="J52" s="2195">
        <f t="shared" si="17"/>
        <v>0</v>
      </c>
      <c r="K52" s="2195">
        <f t="shared" si="17"/>
        <v>304000</v>
      </c>
      <c r="L52" s="2242">
        <f t="shared" si="17"/>
        <v>304000</v>
      </c>
    </row>
    <row r="53" hidden="1" customHeight="1" spans="1:27">
      <c r="A53" s="2198"/>
      <c r="B53" s="2201"/>
      <c r="C53" s="2202" t="s">
        <v>10662</v>
      </c>
      <c r="D53" s="2203" t="s">
        <v>10652</v>
      </c>
      <c r="E53" s="2204"/>
      <c r="F53" s="2204"/>
      <c r="G53" s="2204">
        <f t="shared" ref="G53:L53" si="18">SUM(G41,G45,G50)</f>
        <v>150000</v>
      </c>
      <c r="H53" s="2204">
        <f t="shared" si="18"/>
        <v>150000</v>
      </c>
      <c r="I53" s="2204">
        <f t="shared" si="18"/>
        <v>4000</v>
      </c>
      <c r="J53" s="2204">
        <f t="shared" si="18"/>
        <v>0</v>
      </c>
      <c r="K53" s="2204">
        <f t="shared" si="18"/>
        <v>304000</v>
      </c>
      <c r="L53" s="2243">
        <f t="shared" si="18"/>
        <v>304000</v>
      </c>
    </row>
    <row r="54" hidden="1" customHeight="1"/>
    <row r="55" hidden="1" customHeight="1"/>
    <row r="57" hidden="1" customHeight="1" spans="1:27">
      <c r="A57" s="2244" t="s">
        <v>10579</v>
      </c>
      <c r="B57" s="2245" t="s">
        <v>10580</v>
      </c>
      <c r="C57" s="2246" t="s">
        <v>10581</v>
      </c>
      <c r="D57" s="2247" t="s">
        <v>10581</v>
      </c>
      <c r="E57" s="2247" t="s">
        <v>10581</v>
      </c>
      <c r="F57" s="2248" t="s">
        <v>10581</v>
      </c>
      <c r="G57" s="2246" t="s">
        <v>10583</v>
      </c>
      <c r="H57" s="2249" t="s">
        <v>10584</v>
      </c>
      <c r="I57" s="2249" t="s">
        <v>39</v>
      </c>
      <c r="J57" s="2250" t="s">
        <v>10585</v>
      </c>
      <c r="K57" s="2250" t="s">
        <v>10586</v>
      </c>
      <c r="L57" s="2251" t="s">
        <v>10663</v>
      </c>
      <c r="M57" s="2251" t="s">
        <v>10664</v>
      </c>
      <c r="N57" s="2251" t="s">
        <v>10665</v>
      </c>
      <c r="O57" s="2251" t="s">
        <v>10666</v>
      </c>
      <c r="P57" s="2251" t="s">
        <v>10667</v>
      </c>
      <c r="Q57" s="2251" t="s">
        <v>10668</v>
      </c>
      <c r="R57" s="2251" t="s">
        <v>10669</v>
      </c>
      <c r="S57" s="2251" t="s">
        <v>10670</v>
      </c>
      <c r="T57" s="2251" t="s">
        <v>10671</v>
      </c>
      <c r="U57" s="2251" t="s">
        <v>10672</v>
      </c>
      <c r="V57" s="2251" t="s">
        <v>10673</v>
      </c>
      <c r="W57" s="2251" t="s">
        <v>10674</v>
      </c>
      <c r="X57" s="2251" t="s">
        <v>10675</v>
      </c>
      <c r="Y57" s="2252" t="s">
        <v>10676</v>
      </c>
      <c r="Z57" s="2253" t="s">
        <v>10597</v>
      </c>
      <c r="AA57" s="2254" t="s">
        <v>10677</v>
      </c>
    </row>
    <row r="58" hidden="1" customHeight="1" spans="1:27">
      <c r="A58" s="2255" t="s">
        <v>10599</v>
      </c>
      <c r="B58" s="2256"/>
      <c r="C58" s="2257" t="s">
        <v>10600</v>
      </c>
      <c r="D58" s="2258" t="s">
        <v>10601</v>
      </c>
      <c r="E58" s="2258" t="s">
        <v>10602</v>
      </c>
      <c r="F58" s="2259" t="s">
        <v>10603</v>
      </c>
      <c r="G58" s="2260"/>
      <c r="H58" s="2260"/>
      <c r="I58" s="2260"/>
      <c r="J58" s="2261"/>
      <c r="K58" s="2261"/>
      <c r="L58" s="2258">
        <v>43754</v>
      </c>
      <c r="M58" s="2258">
        <v>43804</v>
      </c>
      <c r="N58" s="2258">
        <v>43896</v>
      </c>
      <c r="O58" s="2258">
        <v>43938</v>
      </c>
      <c r="P58" s="2258">
        <v>43966</v>
      </c>
      <c r="Q58" s="2258">
        <v>43997</v>
      </c>
      <c r="R58" s="2258">
        <v>44022</v>
      </c>
      <c r="S58" s="2258">
        <v>44056</v>
      </c>
      <c r="T58" s="2258">
        <v>44064</v>
      </c>
      <c r="U58" s="2258">
        <v>44097</v>
      </c>
      <c r="V58" s="2258">
        <v>44132</v>
      </c>
      <c r="W58" s="2258">
        <v>44176</v>
      </c>
      <c r="X58" s="2258">
        <v>44330</v>
      </c>
      <c r="Y58" s="2262">
        <v>44567</v>
      </c>
      <c r="Z58" s="2261"/>
      <c r="AA58" s="2263"/>
    </row>
    <row r="59" hidden="1" customHeight="1" spans="1:27">
      <c r="A59" s="2264" t="s">
        <v>10604</v>
      </c>
      <c r="B59" s="2265"/>
      <c r="C59" s="2266"/>
      <c r="D59" s="2267"/>
      <c r="E59" s="2267"/>
      <c r="F59" s="2268"/>
      <c r="G59" s="2269"/>
      <c r="H59" s="2269"/>
      <c r="I59" s="2269"/>
      <c r="J59" s="2270"/>
      <c r="K59" s="2270"/>
      <c r="L59" s="2271">
        <v>43784</v>
      </c>
      <c r="M59" s="2271">
        <v>43834</v>
      </c>
      <c r="N59" s="2271">
        <v>43928</v>
      </c>
      <c r="O59" s="2271">
        <f>O58+30+2</f>
        <v>43970</v>
      </c>
      <c r="P59" s="2271">
        <f>P58+30+2</f>
        <v>43998</v>
      </c>
      <c r="Q59" s="2271">
        <v>44028</v>
      </c>
      <c r="R59" s="2271">
        <v>44054</v>
      </c>
      <c r="S59" s="2271">
        <v>44088</v>
      </c>
      <c r="T59" s="2271">
        <v>44097</v>
      </c>
      <c r="U59" s="2271">
        <v>44129</v>
      </c>
      <c r="V59" s="2271">
        <v>44163</v>
      </c>
      <c r="W59" s="2271">
        <v>44207</v>
      </c>
      <c r="X59" s="2271">
        <v>44362</v>
      </c>
      <c r="Y59" s="2272">
        <v>44629</v>
      </c>
      <c r="Z59" s="2270"/>
      <c r="AA59" s="2273"/>
    </row>
    <row r="60" hidden="1" customHeight="1" spans="1:27">
      <c r="A60" s="2143" t="s">
        <v>10678</v>
      </c>
      <c r="B60" s="2274" t="s">
        <v>10679</v>
      </c>
      <c r="C60" s="2275"/>
      <c r="D60" s="2276"/>
      <c r="E60" s="2276"/>
      <c r="F60" s="2277"/>
      <c r="G60" s="2148" t="s">
        <v>10680</v>
      </c>
      <c r="H60" s="2148" t="s">
        <v>10647</v>
      </c>
      <c r="I60" s="2148"/>
      <c r="J60" s="2149">
        <v>800</v>
      </c>
      <c r="K60" s="2149">
        <v>18800</v>
      </c>
      <c r="L60" s="2278">
        <v>2979</v>
      </c>
      <c r="M60" s="2278">
        <v>1277</v>
      </c>
      <c r="N60" s="2279">
        <v>1404</v>
      </c>
      <c r="O60" s="2280">
        <v>936</v>
      </c>
      <c r="P60" s="2280">
        <v>1490</v>
      </c>
      <c r="Q60" s="2280">
        <v>1276</v>
      </c>
      <c r="R60" s="2280">
        <v>2468</v>
      </c>
      <c r="S60" s="2280">
        <v>2128</v>
      </c>
      <c r="T60" s="2280">
        <v>1277</v>
      </c>
      <c r="U60" s="2280">
        <v>900</v>
      </c>
      <c r="V60" s="2280">
        <v>1276</v>
      </c>
      <c r="W60" s="2280">
        <v>1266</v>
      </c>
      <c r="X60" s="2280">
        <v>1489</v>
      </c>
      <c r="Y60" s="2281">
        <v>1268</v>
      </c>
      <c r="Z60" s="2282">
        <f>SUM(L60:Y60)</f>
        <v>21434</v>
      </c>
      <c r="AA60" s="2283">
        <f t="shared" ref="AA60:AA62" si="19">ROUND(Z60/J60*K60,-1)</f>
        <v>503700</v>
      </c>
    </row>
    <row r="61" hidden="1" customHeight="1" spans="1:27">
      <c r="A61" s="2155"/>
      <c r="B61" s="2284"/>
      <c r="C61" s="2285"/>
      <c r="D61" s="2286"/>
      <c r="E61" s="2286"/>
      <c r="F61" s="2287"/>
      <c r="G61" s="2160" t="s">
        <v>10681</v>
      </c>
      <c r="H61" s="2160" t="s">
        <v>10682</v>
      </c>
      <c r="I61" s="2160"/>
      <c r="J61" s="2161">
        <v>500</v>
      </c>
      <c r="K61" s="2161">
        <v>166600</v>
      </c>
      <c r="L61" s="2288">
        <v>500</v>
      </c>
      <c r="M61" s="2288">
        <v>0</v>
      </c>
      <c r="N61" s="2288">
        <v>0</v>
      </c>
      <c r="O61" s="2288">
        <v>0</v>
      </c>
      <c r="P61" s="2289">
        <v>500</v>
      </c>
      <c r="Q61" s="2289">
        <v>0</v>
      </c>
      <c r="R61" s="2290">
        <v>0</v>
      </c>
      <c r="S61" s="2289">
        <v>185</v>
      </c>
      <c r="T61" s="2289">
        <v>0</v>
      </c>
      <c r="U61" s="2289">
        <v>0</v>
      </c>
      <c r="V61" s="2289">
        <v>500</v>
      </c>
      <c r="W61" s="2289"/>
      <c r="X61" s="2289"/>
      <c r="Y61" s="2291"/>
      <c r="Z61" s="2282">
        <f t="shared" ref="Z61:Z83" si="20">SUM(L61:Y61)</f>
        <v>1685</v>
      </c>
      <c r="AA61" s="2292">
        <f t="shared" si="19"/>
        <v>561440</v>
      </c>
    </row>
    <row r="62" hidden="1" customHeight="1" spans="1:27">
      <c r="A62" s="2155"/>
      <c r="B62" s="2293"/>
      <c r="C62" s="2285"/>
      <c r="D62" s="2286"/>
      <c r="E62" s="2286"/>
      <c r="F62" s="2287"/>
      <c r="G62" s="2160" t="s">
        <v>10683</v>
      </c>
      <c r="H62" s="2160" t="s">
        <v>10684</v>
      </c>
      <c r="I62" s="2160" t="s">
        <v>10685</v>
      </c>
      <c r="J62" s="2161">
        <v>300</v>
      </c>
      <c r="K62" s="2161">
        <v>37000</v>
      </c>
      <c r="L62" s="2294">
        <v>568</v>
      </c>
      <c r="M62" s="2294">
        <v>243</v>
      </c>
      <c r="N62" s="2294">
        <v>268</v>
      </c>
      <c r="O62" s="2295">
        <v>178</v>
      </c>
      <c r="P62" s="2295">
        <v>284</v>
      </c>
      <c r="Q62" s="2295">
        <v>243</v>
      </c>
      <c r="R62" s="2295">
        <v>471</v>
      </c>
      <c r="S62" s="2295">
        <v>405</v>
      </c>
      <c r="T62" s="2295">
        <v>243</v>
      </c>
      <c r="U62" s="2295">
        <v>172</v>
      </c>
      <c r="V62" s="2295">
        <v>243</v>
      </c>
      <c r="W62" s="2295">
        <v>241</v>
      </c>
      <c r="X62" s="2295">
        <v>284</v>
      </c>
      <c r="Y62" s="2296">
        <v>242</v>
      </c>
      <c r="Z62" s="2282">
        <f t="shared" si="20"/>
        <v>4085</v>
      </c>
      <c r="AA62" s="2292">
        <f t="shared" si="19"/>
        <v>503820</v>
      </c>
    </row>
    <row r="63" hidden="1" customHeight="1" spans="1:27">
      <c r="A63" s="2155"/>
      <c r="B63" s="2297"/>
      <c r="C63" s="2298"/>
      <c r="D63" s="2299"/>
      <c r="E63" s="2299"/>
      <c r="F63" s="2300"/>
      <c r="G63" s="2170" t="s">
        <v>10650</v>
      </c>
      <c r="H63" s="2170"/>
      <c r="I63" s="2170"/>
      <c r="J63" s="2171"/>
      <c r="K63" s="2171"/>
      <c r="L63" s="2301">
        <v>70000</v>
      </c>
      <c r="M63" s="2301">
        <v>30000</v>
      </c>
      <c r="N63" s="2302">
        <v>33000</v>
      </c>
      <c r="O63" s="2302">
        <v>22000</v>
      </c>
      <c r="P63" s="2302">
        <v>35000</v>
      </c>
      <c r="Q63" s="2302">
        <v>30000</v>
      </c>
      <c r="R63" s="2302">
        <v>58000</v>
      </c>
      <c r="S63" s="2302">
        <v>50000</v>
      </c>
      <c r="T63" s="2302">
        <v>30000</v>
      </c>
      <c r="U63" s="2302">
        <v>21150</v>
      </c>
      <c r="V63" s="2302">
        <v>30000</v>
      </c>
      <c r="W63" s="2302">
        <v>29750</v>
      </c>
      <c r="X63" s="2302">
        <v>35000</v>
      </c>
      <c r="Y63" s="2303">
        <v>29773</v>
      </c>
      <c r="Z63" s="2282">
        <f t="shared" si="20"/>
        <v>503673</v>
      </c>
      <c r="AA63" s="2304">
        <f>Z63</f>
        <v>503673</v>
      </c>
    </row>
    <row r="64" hidden="1" customHeight="1" spans="1:27">
      <c r="A64" s="2155"/>
      <c r="B64" s="2274" t="s">
        <v>10686</v>
      </c>
      <c r="C64" s="2275"/>
      <c r="D64" s="2276"/>
      <c r="E64" s="2276"/>
      <c r="F64" s="2277"/>
      <c r="G64" s="2148" t="s">
        <v>10687</v>
      </c>
      <c r="H64" s="2148" t="s">
        <v>10647</v>
      </c>
      <c r="I64" s="2148"/>
      <c r="J64" s="2149">
        <v>800</v>
      </c>
      <c r="K64" s="2149">
        <v>15600</v>
      </c>
      <c r="L64" s="2278">
        <v>3590</v>
      </c>
      <c r="M64" s="2278">
        <v>1538</v>
      </c>
      <c r="N64" s="2279">
        <v>1693</v>
      </c>
      <c r="O64" s="2280">
        <v>1128</v>
      </c>
      <c r="P64" s="2280">
        <v>1795</v>
      </c>
      <c r="Q64" s="2280">
        <v>1539</v>
      </c>
      <c r="R64" s="2280">
        <v>3282</v>
      </c>
      <c r="S64" s="2280">
        <v>2615</v>
      </c>
      <c r="T64" s="2280">
        <v>1590</v>
      </c>
      <c r="U64" s="2280">
        <v>1097</v>
      </c>
      <c r="V64" s="2280">
        <v>1539</v>
      </c>
      <c r="W64" s="2280">
        <v>1546</v>
      </c>
      <c r="X64" s="2280">
        <v>1887</v>
      </c>
      <c r="Y64" s="2281">
        <v>1673</v>
      </c>
      <c r="Z64" s="2282">
        <f t="shared" si="20"/>
        <v>26512</v>
      </c>
      <c r="AA64" s="2283">
        <f t="shared" ref="AA64:AA66" si="21">ROUND(Z64/J64*K64,-1)</f>
        <v>516980</v>
      </c>
    </row>
    <row r="65" hidden="1" customHeight="1" spans="1:27">
      <c r="A65" s="2155"/>
      <c r="B65" s="2284"/>
      <c r="C65" s="2285"/>
      <c r="D65" s="2286"/>
      <c r="E65" s="2286"/>
      <c r="F65" s="2287"/>
      <c r="G65" s="2160" t="s">
        <v>10688</v>
      </c>
      <c r="H65" s="2160" t="s">
        <v>10682</v>
      </c>
      <c r="I65" s="2160"/>
      <c r="J65" s="2161">
        <v>500</v>
      </c>
      <c r="K65" s="2161">
        <v>166600</v>
      </c>
      <c r="L65" s="2288">
        <v>500</v>
      </c>
      <c r="M65" s="2288">
        <v>0</v>
      </c>
      <c r="N65" s="2288">
        <v>0</v>
      </c>
      <c r="O65" s="2288">
        <v>0</v>
      </c>
      <c r="P65" s="2289">
        <v>500</v>
      </c>
      <c r="Q65" s="2289">
        <v>0</v>
      </c>
      <c r="R65" s="2290">
        <v>0</v>
      </c>
      <c r="S65" s="2289">
        <v>210</v>
      </c>
      <c r="T65" s="2289">
        <v>0</v>
      </c>
      <c r="U65" s="2289">
        <v>0</v>
      </c>
      <c r="V65" s="2289">
        <v>500</v>
      </c>
      <c r="W65" s="2289"/>
      <c r="X65" s="2289"/>
      <c r="Y65" s="2291"/>
      <c r="Z65" s="2282">
        <f t="shared" si="20"/>
        <v>1710</v>
      </c>
      <c r="AA65" s="2292">
        <f t="shared" si="21"/>
        <v>569770</v>
      </c>
    </row>
    <row r="66" hidden="1" customHeight="1" spans="1:27">
      <c r="A66" s="2155"/>
      <c r="B66" s="2284"/>
      <c r="C66" s="2285"/>
      <c r="D66" s="2286"/>
      <c r="E66" s="2286"/>
      <c r="F66" s="2287"/>
      <c r="G66" s="2160" t="s">
        <v>10689</v>
      </c>
      <c r="H66" s="2160" t="s">
        <v>10690</v>
      </c>
      <c r="I66" s="2160"/>
      <c r="J66" s="2161">
        <v>300</v>
      </c>
      <c r="K66" s="2161">
        <v>21400</v>
      </c>
      <c r="L66" s="2294">
        <v>982</v>
      </c>
      <c r="M66" s="2294">
        <v>420</v>
      </c>
      <c r="N66" s="2295">
        <v>463</v>
      </c>
      <c r="O66" s="2295">
        <v>308</v>
      </c>
      <c r="P66" s="2295">
        <v>491</v>
      </c>
      <c r="Q66" s="2295">
        <v>421</v>
      </c>
      <c r="R66" s="2295">
        <v>897</v>
      </c>
      <c r="S66" s="2295">
        <v>715</v>
      </c>
      <c r="T66" s="2295">
        <v>434</v>
      </c>
      <c r="U66" s="2295">
        <v>300</v>
      </c>
      <c r="V66" s="2295">
        <v>421</v>
      </c>
      <c r="W66" s="2295">
        <v>423</v>
      </c>
      <c r="X66" s="2295">
        <v>515</v>
      </c>
      <c r="Y66" s="2291">
        <v>458</v>
      </c>
      <c r="Z66" s="2282">
        <f t="shared" si="20"/>
        <v>7248</v>
      </c>
      <c r="AA66" s="2292">
        <f t="shared" si="21"/>
        <v>517020</v>
      </c>
    </row>
    <row r="67" hidden="1" customHeight="1" spans="1:27">
      <c r="A67" s="2155"/>
      <c r="B67" s="2297"/>
      <c r="C67" s="2298"/>
      <c r="D67" s="2299"/>
      <c r="E67" s="2299"/>
      <c r="F67" s="2300"/>
      <c r="G67" s="2170" t="s">
        <v>10650</v>
      </c>
      <c r="H67" s="2170"/>
      <c r="I67" s="2170"/>
      <c r="J67" s="2171"/>
      <c r="K67" s="2171"/>
      <c r="L67" s="2301">
        <v>70000</v>
      </c>
      <c r="M67" s="2301">
        <v>30000</v>
      </c>
      <c r="N67" s="2302">
        <v>33000</v>
      </c>
      <c r="O67" s="2302">
        <v>22000</v>
      </c>
      <c r="P67" s="2302">
        <v>35000</v>
      </c>
      <c r="Q67" s="2302">
        <v>30000</v>
      </c>
      <c r="R67" s="2302">
        <v>64000</v>
      </c>
      <c r="S67" s="2302">
        <v>51000</v>
      </c>
      <c r="T67" s="2302">
        <v>31000</v>
      </c>
      <c r="U67" s="2302">
        <v>21400</v>
      </c>
      <c r="V67" s="2302">
        <v>30000</v>
      </c>
      <c r="W67" s="2302">
        <v>30150</v>
      </c>
      <c r="X67" s="2302">
        <v>36800</v>
      </c>
      <c r="Y67" s="2303">
        <v>32613</v>
      </c>
      <c r="Z67" s="2282">
        <f t="shared" si="20"/>
        <v>516963</v>
      </c>
      <c r="AA67" s="2304">
        <f>Z67</f>
        <v>516963</v>
      </c>
    </row>
    <row r="68" hidden="1" customHeight="1" spans="1:27">
      <c r="A68" s="2155"/>
      <c r="B68" s="2274" t="s">
        <v>10691</v>
      </c>
      <c r="C68" s="2275"/>
      <c r="D68" s="2276"/>
      <c r="E68" s="2276"/>
      <c r="F68" s="2277"/>
      <c r="G68" s="2148" t="s">
        <v>10692</v>
      </c>
      <c r="H68" s="2148" t="s">
        <v>10647</v>
      </c>
      <c r="I68" s="2148"/>
      <c r="J68" s="2149">
        <v>800</v>
      </c>
      <c r="K68" s="2149">
        <v>18500</v>
      </c>
      <c r="L68" s="2278">
        <v>3028</v>
      </c>
      <c r="M68" s="2278">
        <v>1297</v>
      </c>
      <c r="N68" s="2279">
        <v>1427</v>
      </c>
      <c r="O68" s="2280">
        <v>951</v>
      </c>
      <c r="P68" s="2280">
        <v>1514</v>
      </c>
      <c r="Q68" s="2280">
        <v>1297</v>
      </c>
      <c r="R68" s="2280">
        <v>2638</v>
      </c>
      <c r="S68" s="2280">
        <v>2205</v>
      </c>
      <c r="T68" s="2280">
        <v>1384</v>
      </c>
      <c r="U68" s="2280">
        <v>895</v>
      </c>
      <c r="V68" s="2280">
        <v>1297</v>
      </c>
      <c r="W68" s="2280">
        <v>1267</v>
      </c>
      <c r="X68" s="2280">
        <v>1557</v>
      </c>
      <c r="Y68" s="2281">
        <v>351</v>
      </c>
      <c r="Z68" s="2282">
        <f t="shared" si="20"/>
        <v>21108</v>
      </c>
      <c r="AA68" s="2283">
        <f t="shared" ref="AA68:AA70" si="22">ROUND(Z68/J68*K68,-1)</f>
        <v>488120</v>
      </c>
    </row>
    <row r="69" hidden="1" customHeight="1" spans="1:27">
      <c r="A69" s="2155"/>
      <c r="B69" s="2284"/>
      <c r="C69" s="2285"/>
      <c r="D69" s="2286"/>
      <c r="E69" s="2286"/>
      <c r="F69" s="2287"/>
      <c r="G69" s="2160" t="s">
        <v>10693</v>
      </c>
      <c r="H69" s="2160" t="s">
        <v>10682</v>
      </c>
      <c r="I69" s="2160"/>
      <c r="J69" s="2161">
        <v>500</v>
      </c>
      <c r="K69" s="2161">
        <v>166600</v>
      </c>
      <c r="L69" s="2288">
        <v>500</v>
      </c>
      <c r="M69" s="2288">
        <v>0</v>
      </c>
      <c r="N69" s="2288">
        <v>0</v>
      </c>
      <c r="O69" s="2288">
        <v>0</v>
      </c>
      <c r="P69" s="2289">
        <v>500</v>
      </c>
      <c r="Q69" s="2289">
        <v>0</v>
      </c>
      <c r="R69" s="2290">
        <v>0</v>
      </c>
      <c r="S69" s="2289">
        <v>200</v>
      </c>
      <c r="T69" s="2289">
        <v>0</v>
      </c>
      <c r="U69" s="2289">
        <v>0</v>
      </c>
      <c r="V69" s="2289">
        <v>500</v>
      </c>
      <c r="W69" s="2289"/>
      <c r="X69" s="2289"/>
      <c r="Y69" s="2291"/>
      <c r="Z69" s="2282">
        <f t="shared" si="20"/>
        <v>1700</v>
      </c>
      <c r="AA69" s="2292">
        <f t="shared" si="22"/>
        <v>566440</v>
      </c>
    </row>
    <row r="70" hidden="1" customHeight="1" spans="1:27">
      <c r="A70" s="2155"/>
      <c r="B70" s="2293"/>
      <c r="C70" s="2285"/>
      <c r="D70" s="2286"/>
      <c r="E70" s="2286"/>
      <c r="F70" s="2287"/>
      <c r="G70" s="2160" t="s">
        <v>10694</v>
      </c>
      <c r="H70" s="2160" t="s">
        <v>10695</v>
      </c>
      <c r="I70" s="2160" t="s">
        <v>10696</v>
      </c>
      <c r="J70" s="2161">
        <v>300</v>
      </c>
      <c r="K70" s="2161">
        <v>75000</v>
      </c>
      <c r="L70" s="2294">
        <v>300</v>
      </c>
      <c r="M70" s="2294">
        <v>150</v>
      </c>
      <c r="N70" s="2290">
        <v>150</v>
      </c>
      <c r="O70" s="2290">
        <v>150</v>
      </c>
      <c r="P70" s="2290">
        <v>150</v>
      </c>
      <c r="Q70" s="2290">
        <v>0</v>
      </c>
      <c r="R70" s="2290">
        <v>236</v>
      </c>
      <c r="S70" s="2295">
        <v>192</v>
      </c>
      <c r="T70" s="2290">
        <v>150</v>
      </c>
      <c r="U70" s="2290">
        <v>150</v>
      </c>
      <c r="V70" s="2290">
        <v>150</v>
      </c>
      <c r="W70" s="2290">
        <v>-2</v>
      </c>
      <c r="X70" s="2290">
        <v>149</v>
      </c>
      <c r="Y70" s="2296">
        <v>33</v>
      </c>
      <c r="Z70" s="2282">
        <f t="shared" si="20"/>
        <v>1958</v>
      </c>
      <c r="AA70" s="2292">
        <f t="shared" si="22"/>
        <v>489500</v>
      </c>
    </row>
    <row r="71" hidden="1" customHeight="1" spans="1:27">
      <c r="A71" s="2155"/>
      <c r="B71" s="2297"/>
      <c r="C71" s="2298"/>
      <c r="D71" s="2299"/>
      <c r="E71" s="2299"/>
      <c r="F71" s="2300"/>
      <c r="G71" s="2170" t="s">
        <v>10650</v>
      </c>
      <c r="H71" s="2170"/>
      <c r="I71" s="2170"/>
      <c r="J71" s="2171"/>
      <c r="K71" s="2171"/>
      <c r="L71" s="2301">
        <v>70000</v>
      </c>
      <c r="M71" s="2301">
        <v>30000</v>
      </c>
      <c r="N71" s="2302">
        <v>33000</v>
      </c>
      <c r="O71" s="2302">
        <v>22000</v>
      </c>
      <c r="P71" s="2302">
        <v>35000</v>
      </c>
      <c r="Q71" s="2302">
        <v>30000</v>
      </c>
      <c r="R71" s="2302">
        <v>61000</v>
      </c>
      <c r="S71" s="2302">
        <v>51000</v>
      </c>
      <c r="T71" s="2302">
        <v>32000</v>
      </c>
      <c r="U71" s="2302">
        <v>20700</v>
      </c>
      <c r="V71" s="2302">
        <v>30000</v>
      </c>
      <c r="W71" s="2302">
        <v>29300</v>
      </c>
      <c r="X71" s="2302">
        <v>36000</v>
      </c>
      <c r="Y71" s="2303">
        <v>8094</v>
      </c>
      <c r="Z71" s="2282">
        <f t="shared" si="20"/>
        <v>488094</v>
      </c>
      <c r="AA71" s="2304">
        <f>Z71</f>
        <v>488094</v>
      </c>
    </row>
    <row r="72" hidden="1" customHeight="1" spans="1:27">
      <c r="A72" s="2155"/>
      <c r="B72" s="2274" t="s">
        <v>10697</v>
      </c>
      <c r="C72" s="2275"/>
      <c r="D72" s="2276"/>
      <c r="E72" s="2276"/>
      <c r="F72" s="2277"/>
      <c r="G72" s="2148" t="s">
        <v>10698</v>
      </c>
      <c r="H72" s="2148" t="s">
        <v>10647</v>
      </c>
      <c r="I72" s="2148"/>
      <c r="J72" s="2149">
        <v>800</v>
      </c>
      <c r="K72" s="2149">
        <v>18500</v>
      </c>
      <c r="L72" s="2278">
        <v>3028</v>
      </c>
      <c r="M72" s="2278">
        <v>1297</v>
      </c>
      <c r="N72" s="2279">
        <v>1427</v>
      </c>
      <c r="O72" s="2280">
        <v>951</v>
      </c>
      <c r="P72" s="2280">
        <v>1514</v>
      </c>
      <c r="Q72" s="2280">
        <v>1297</v>
      </c>
      <c r="R72" s="2280">
        <v>2638</v>
      </c>
      <c r="S72" s="2280">
        <v>2292</v>
      </c>
      <c r="T72" s="2280">
        <v>1427</v>
      </c>
      <c r="U72" s="2280">
        <v>888</v>
      </c>
      <c r="V72" s="2280">
        <v>1298</v>
      </c>
      <c r="W72" s="2280">
        <v>1297</v>
      </c>
      <c r="X72" s="2280">
        <v>1542</v>
      </c>
      <c r="Y72" s="2281">
        <v>1433</v>
      </c>
      <c r="Z72" s="2282">
        <f t="shared" si="20"/>
        <v>22329</v>
      </c>
      <c r="AA72" s="2283">
        <f t="shared" ref="AA72:AA74" si="23">ROUND(Z72/J72*K72,-1)</f>
        <v>516360</v>
      </c>
    </row>
    <row r="73" hidden="1" customHeight="1" spans="1:27">
      <c r="A73" s="2155"/>
      <c r="B73" s="2284"/>
      <c r="C73" s="2285"/>
      <c r="D73" s="2286"/>
      <c r="E73" s="2286"/>
      <c r="F73" s="2287"/>
      <c r="G73" s="2160" t="s">
        <v>10699</v>
      </c>
      <c r="H73" s="2160" t="s">
        <v>10682</v>
      </c>
      <c r="I73" s="2160"/>
      <c r="J73" s="2161">
        <v>500</v>
      </c>
      <c r="K73" s="2161">
        <v>166600</v>
      </c>
      <c r="L73" s="2288">
        <v>500</v>
      </c>
      <c r="M73" s="2288">
        <v>0</v>
      </c>
      <c r="N73" s="2288">
        <v>0</v>
      </c>
      <c r="O73" s="2288">
        <v>0</v>
      </c>
      <c r="P73" s="2289">
        <v>500</v>
      </c>
      <c r="Q73" s="2289">
        <v>0</v>
      </c>
      <c r="R73" s="2290">
        <v>0</v>
      </c>
      <c r="S73" s="2289">
        <v>205</v>
      </c>
      <c r="T73" s="2289">
        <v>0</v>
      </c>
      <c r="U73" s="2289">
        <v>0</v>
      </c>
      <c r="V73" s="2289">
        <v>500</v>
      </c>
      <c r="W73" s="2289"/>
      <c r="X73" s="2289"/>
      <c r="Y73" s="2291"/>
      <c r="Z73" s="2282">
        <f t="shared" si="20"/>
        <v>1705</v>
      </c>
      <c r="AA73" s="2292">
        <f t="shared" si="23"/>
        <v>568110</v>
      </c>
    </row>
    <row r="74" hidden="1" customHeight="1" spans="1:27">
      <c r="A74" s="2155"/>
      <c r="B74" s="2293"/>
      <c r="C74" s="2285"/>
      <c r="D74" s="2286"/>
      <c r="E74" s="2286"/>
      <c r="F74" s="2287"/>
      <c r="G74" s="2160" t="s">
        <v>10683</v>
      </c>
      <c r="H74" s="2160" t="s">
        <v>10684</v>
      </c>
      <c r="I74" s="2160" t="s">
        <v>10685</v>
      </c>
      <c r="J74" s="2161">
        <v>300</v>
      </c>
      <c r="K74" s="2161">
        <v>37000</v>
      </c>
      <c r="L74" s="2294">
        <v>568</v>
      </c>
      <c r="M74" s="2294">
        <v>243</v>
      </c>
      <c r="N74" s="2295">
        <v>268</v>
      </c>
      <c r="O74" s="2295">
        <v>178</v>
      </c>
      <c r="P74" s="2295">
        <v>284</v>
      </c>
      <c r="Q74" s="2295">
        <v>243</v>
      </c>
      <c r="R74" s="2295">
        <v>495</v>
      </c>
      <c r="S74" s="2295">
        <v>430</v>
      </c>
      <c r="T74" s="2295">
        <v>267</v>
      </c>
      <c r="U74" s="2295">
        <v>167</v>
      </c>
      <c r="V74" s="2295">
        <v>243</v>
      </c>
      <c r="W74" s="2295">
        <v>243</v>
      </c>
      <c r="X74" s="2295">
        <v>289</v>
      </c>
      <c r="Y74" s="2296">
        <v>270</v>
      </c>
      <c r="Z74" s="2282">
        <f t="shared" si="20"/>
        <v>4188</v>
      </c>
      <c r="AA74" s="2292">
        <f t="shared" si="23"/>
        <v>516520</v>
      </c>
    </row>
    <row r="75" hidden="1" customHeight="1" spans="1:27">
      <c r="A75" s="2155"/>
      <c r="B75" s="2297"/>
      <c r="C75" s="2298"/>
      <c r="D75" s="2299"/>
      <c r="E75" s="2299"/>
      <c r="F75" s="2300"/>
      <c r="G75" s="2170" t="s">
        <v>10650</v>
      </c>
      <c r="H75" s="2170"/>
      <c r="I75" s="2170"/>
      <c r="J75" s="2171"/>
      <c r="K75" s="2171"/>
      <c r="L75" s="2301">
        <v>70000</v>
      </c>
      <c r="M75" s="2301">
        <v>30000</v>
      </c>
      <c r="N75" s="2302">
        <v>33000</v>
      </c>
      <c r="O75" s="2302">
        <v>22000</v>
      </c>
      <c r="P75" s="2302">
        <v>35000</v>
      </c>
      <c r="Q75" s="2302">
        <v>30000</v>
      </c>
      <c r="R75" s="2302">
        <v>61000</v>
      </c>
      <c r="S75" s="2302">
        <v>53000</v>
      </c>
      <c r="T75" s="2302">
        <v>33000</v>
      </c>
      <c r="U75" s="2302">
        <v>20550</v>
      </c>
      <c r="V75" s="2302">
        <v>30000</v>
      </c>
      <c r="W75" s="2302">
        <v>30000</v>
      </c>
      <c r="X75" s="2302">
        <v>35650</v>
      </c>
      <c r="Y75" s="2303">
        <v>33123</v>
      </c>
      <c r="Z75" s="2282">
        <f t="shared" si="20"/>
        <v>516323</v>
      </c>
      <c r="AA75" s="2304">
        <f>Z75</f>
        <v>516323</v>
      </c>
    </row>
    <row r="76" hidden="1" customHeight="1" spans="1:27">
      <c r="A76" s="2155"/>
      <c r="B76" s="2274" t="s">
        <v>10700</v>
      </c>
      <c r="C76" s="2275"/>
      <c r="D76" s="2276"/>
      <c r="E76" s="2276"/>
      <c r="F76" s="2277"/>
      <c r="G76" s="2148" t="s">
        <v>10701</v>
      </c>
      <c r="H76" s="2148" t="s">
        <v>10647</v>
      </c>
      <c r="I76" s="2148" t="s">
        <v>10702</v>
      </c>
      <c r="J76" s="2149">
        <v>1</v>
      </c>
      <c r="K76" s="2149">
        <v>20</v>
      </c>
      <c r="L76" s="2278">
        <v>3500</v>
      </c>
      <c r="M76" s="2278">
        <v>1500</v>
      </c>
      <c r="N76" s="2279">
        <v>1650</v>
      </c>
      <c r="O76" s="2280">
        <v>1100</v>
      </c>
      <c r="P76" s="2280">
        <v>1750</v>
      </c>
      <c r="Q76" s="2280">
        <v>1500</v>
      </c>
      <c r="R76" s="2280">
        <v>3400</v>
      </c>
      <c r="S76" s="2280">
        <v>2400</v>
      </c>
      <c r="T76" s="2280">
        <v>1600</v>
      </c>
      <c r="U76" s="2280">
        <v>1068</v>
      </c>
      <c r="V76" s="2280">
        <v>1500</v>
      </c>
      <c r="W76" s="2280">
        <v>1482</v>
      </c>
      <c r="X76" s="2280">
        <v>1825</v>
      </c>
      <c r="Y76" s="2281">
        <v>1437</v>
      </c>
      <c r="Z76" s="2282">
        <f t="shared" si="20"/>
        <v>25712</v>
      </c>
      <c r="AA76" s="2283">
        <f t="shared" ref="AA76:AA78" si="24">ROUND(Z76/J76*K76,-1)</f>
        <v>514240</v>
      </c>
    </row>
    <row r="77" hidden="1" customHeight="1" spans="1:27">
      <c r="A77" s="2155"/>
      <c r="B77" s="2284"/>
      <c r="C77" s="2285"/>
      <c r="D77" s="2286"/>
      <c r="E77" s="2286"/>
      <c r="F77" s="2287"/>
      <c r="G77" s="2160" t="s">
        <v>10703</v>
      </c>
      <c r="H77" s="2160" t="s">
        <v>10682</v>
      </c>
      <c r="I77" s="2160"/>
      <c r="J77" s="2161">
        <v>500</v>
      </c>
      <c r="K77" s="2161">
        <v>166600</v>
      </c>
      <c r="L77" s="2288">
        <v>500</v>
      </c>
      <c r="M77" s="2288">
        <v>0</v>
      </c>
      <c r="N77" s="2288">
        <v>0</v>
      </c>
      <c r="O77" s="2288">
        <v>0</v>
      </c>
      <c r="P77" s="2289">
        <v>500</v>
      </c>
      <c r="Q77" s="2289">
        <v>0</v>
      </c>
      <c r="R77" s="2290">
        <v>0</v>
      </c>
      <c r="S77" s="2289">
        <v>210</v>
      </c>
      <c r="T77" s="2289">
        <v>0</v>
      </c>
      <c r="U77" s="2289">
        <v>0</v>
      </c>
      <c r="V77" s="2289">
        <v>500</v>
      </c>
      <c r="W77" s="2289"/>
      <c r="X77" s="2289"/>
      <c r="Y77" s="2291"/>
      <c r="Z77" s="2282">
        <f t="shared" si="20"/>
        <v>1710</v>
      </c>
      <c r="AA77" s="2292">
        <f t="shared" si="24"/>
        <v>569770</v>
      </c>
    </row>
    <row r="78" hidden="1" customHeight="1" spans="1:27">
      <c r="A78" s="2155"/>
      <c r="B78" s="2293"/>
      <c r="C78" s="2285"/>
      <c r="D78" s="2286"/>
      <c r="E78" s="2286"/>
      <c r="F78" s="2287"/>
      <c r="G78" s="2160" t="s">
        <v>10694</v>
      </c>
      <c r="H78" s="2160" t="s">
        <v>10695</v>
      </c>
      <c r="I78" s="2160" t="s">
        <v>10696</v>
      </c>
      <c r="J78" s="2161">
        <v>300</v>
      </c>
      <c r="K78" s="2161">
        <v>75000</v>
      </c>
      <c r="L78" s="2294">
        <v>300</v>
      </c>
      <c r="M78" s="2294">
        <v>150</v>
      </c>
      <c r="N78" s="2290">
        <v>150</v>
      </c>
      <c r="O78" s="2290">
        <v>150</v>
      </c>
      <c r="P78" s="2290">
        <v>150</v>
      </c>
      <c r="Q78" s="2290">
        <v>0</v>
      </c>
      <c r="R78" s="2290">
        <v>264</v>
      </c>
      <c r="S78" s="2295">
        <v>180</v>
      </c>
      <c r="T78" s="2290">
        <v>150</v>
      </c>
      <c r="U78" s="2290">
        <v>150</v>
      </c>
      <c r="V78" s="2290">
        <v>150</v>
      </c>
      <c r="W78" s="2290">
        <v>2</v>
      </c>
      <c r="X78" s="2290">
        <v>151</v>
      </c>
      <c r="Y78" s="2296">
        <v>114.96</v>
      </c>
      <c r="Z78" s="2282">
        <f t="shared" si="20"/>
        <v>2061.96</v>
      </c>
      <c r="AA78" s="2292">
        <f t="shared" si="24"/>
        <v>515490</v>
      </c>
    </row>
    <row r="79" hidden="1" customHeight="1" spans="1:27">
      <c r="A79" s="2155"/>
      <c r="B79" s="2297"/>
      <c r="C79" s="2298"/>
      <c r="D79" s="2299"/>
      <c r="E79" s="2299"/>
      <c r="F79" s="2300"/>
      <c r="G79" s="2170" t="s">
        <v>10650</v>
      </c>
      <c r="H79" s="2170"/>
      <c r="I79" s="2170"/>
      <c r="J79" s="2171"/>
      <c r="K79" s="2171"/>
      <c r="L79" s="2301">
        <v>70000</v>
      </c>
      <c r="M79" s="2301">
        <v>30000</v>
      </c>
      <c r="N79" s="2302">
        <v>33000</v>
      </c>
      <c r="O79" s="2302">
        <v>22000</v>
      </c>
      <c r="P79" s="2302">
        <v>35000</v>
      </c>
      <c r="Q79" s="2302">
        <v>30000</v>
      </c>
      <c r="R79" s="2302">
        <v>68000</v>
      </c>
      <c r="S79" s="2302">
        <v>48000</v>
      </c>
      <c r="T79" s="2302">
        <v>32000</v>
      </c>
      <c r="U79" s="2302">
        <v>21350</v>
      </c>
      <c r="V79" s="2302">
        <v>30000</v>
      </c>
      <c r="W79" s="2302">
        <v>29650</v>
      </c>
      <c r="X79" s="2302">
        <v>36500</v>
      </c>
      <c r="Y79" s="2303">
        <v>28740</v>
      </c>
      <c r="Z79" s="2282">
        <f t="shared" si="20"/>
        <v>514240</v>
      </c>
      <c r="AA79" s="2304">
        <f>Z79</f>
        <v>514240</v>
      </c>
    </row>
    <row r="80" hidden="1" customHeight="1" spans="1:27">
      <c r="A80" s="2155"/>
      <c r="B80" s="2274" t="s">
        <v>10704</v>
      </c>
      <c r="C80" s="2275"/>
      <c r="D80" s="2276"/>
      <c r="E80" s="2276"/>
      <c r="F80" s="2277"/>
      <c r="G80" s="2148" t="s">
        <v>10705</v>
      </c>
      <c r="H80" s="2148" t="s">
        <v>10647</v>
      </c>
      <c r="I80" s="2148"/>
      <c r="J80" s="2149">
        <v>1000</v>
      </c>
      <c r="K80" s="2149">
        <v>19400</v>
      </c>
      <c r="L80" s="2278">
        <v>3609</v>
      </c>
      <c r="M80" s="2278">
        <v>1546</v>
      </c>
      <c r="N80" s="2279">
        <v>1701</v>
      </c>
      <c r="O80" s="2280">
        <v>1134</v>
      </c>
      <c r="P80" s="2280">
        <v>1804</v>
      </c>
      <c r="Q80" s="2280">
        <v>1547</v>
      </c>
      <c r="R80" s="2280">
        <v>2989</v>
      </c>
      <c r="S80" s="2280">
        <v>2835</v>
      </c>
      <c r="T80" s="2280">
        <v>1598</v>
      </c>
      <c r="U80" s="2280">
        <v>1493</v>
      </c>
      <c r="V80" s="2280">
        <v>1752</v>
      </c>
      <c r="W80" s="2280">
        <v>1608</v>
      </c>
      <c r="X80" s="2280">
        <v>1696</v>
      </c>
      <c r="Y80" s="2281">
        <v>1216.28865979381</v>
      </c>
      <c r="Z80" s="2282">
        <f t="shared" si="20"/>
        <v>26528.2886597938</v>
      </c>
      <c r="AA80" s="2283">
        <f t="shared" ref="AA80:AA82" si="25">ROUND(Z80/J80*K80,-1)</f>
        <v>514650</v>
      </c>
    </row>
    <row r="81" hidden="1" customHeight="1" spans="1:27">
      <c r="A81" s="2155"/>
      <c r="B81" s="2284"/>
      <c r="C81" s="2285"/>
      <c r="D81" s="2286"/>
      <c r="E81" s="2286"/>
      <c r="F81" s="2287"/>
      <c r="G81" s="2160" t="s">
        <v>10706</v>
      </c>
      <c r="H81" s="2160" t="s">
        <v>10682</v>
      </c>
      <c r="I81" s="2160"/>
      <c r="J81" s="2161">
        <v>500</v>
      </c>
      <c r="K81" s="2161">
        <v>166600</v>
      </c>
      <c r="L81" s="2288">
        <v>500</v>
      </c>
      <c r="M81" s="2288">
        <v>0</v>
      </c>
      <c r="N81" s="2288">
        <v>0</v>
      </c>
      <c r="O81" s="2288">
        <v>0</v>
      </c>
      <c r="P81" s="2289">
        <v>500</v>
      </c>
      <c r="Q81" s="2289">
        <v>0</v>
      </c>
      <c r="R81" s="2290">
        <v>0</v>
      </c>
      <c r="S81" s="2289">
        <v>205</v>
      </c>
      <c r="T81" s="2289">
        <v>0</v>
      </c>
      <c r="U81" s="2289">
        <v>0</v>
      </c>
      <c r="V81" s="2289">
        <v>500</v>
      </c>
      <c r="W81" s="2289"/>
      <c r="X81" s="2289"/>
      <c r="Y81" s="2291"/>
      <c r="Z81" s="2282">
        <f t="shared" si="20"/>
        <v>1705</v>
      </c>
      <c r="AA81" s="2292">
        <f t="shared" si="25"/>
        <v>568110</v>
      </c>
    </row>
    <row r="82" hidden="1" customHeight="1" spans="1:27">
      <c r="A82" s="2155"/>
      <c r="B82" s="2293"/>
      <c r="C82" s="2285"/>
      <c r="D82" s="2286"/>
      <c r="E82" s="2286"/>
      <c r="F82" s="2287"/>
      <c r="G82" s="2160" t="s">
        <v>10683</v>
      </c>
      <c r="H82" s="2160" t="s">
        <v>10684</v>
      </c>
      <c r="I82" s="2160" t="s">
        <v>10685</v>
      </c>
      <c r="J82" s="2161">
        <v>300</v>
      </c>
      <c r="K82" s="2161">
        <v>37000</v>
      </c>
      <c r="L82" s="2294">
        <v>568</v>
      </c>
      <c r="M82" s="2294">
        <v>243</v>
      </c>
      <c r="N82" s="2295">
        <v>268</v>
      </c>
      <c r="O82" s="2295">
        <v>178</v>
      </c>
      <c r="P82" s="2295">
        <v>284</v>
      </c>
      <c r="Q82" s="2295">
        <v>243</v>
      </c>
      <c r="R82" s="2295">
        <v>471</v>
      </c>
      <c r="S82" s="2295">
        <v>445</v>
      </c>
      <c r="T82" s="2295">
        <v>252</v>
      </c>
      <c r="U82" s="2295">
        <v>235</v>
      </c>
      <c r="V82" s="2295">
        <v>275</v>
      </c>
      <c r="W82" s="2295">
        <v>253</v>
      </c>
      <c r="X82" s="2295">
        <v>267</v>
      </c>
      <c r="Y82" s="2296">
        <v>191.318918918919</v>
      </c>
      <c r="Z82" s="2282">
        <f t="shared" si="20"/>
        <v>4173.31891891892</v>
      </c>
      <c r="AA82" s="2292">
        <f t="shared" si="25"/>
        <v>514710</v>
      </c>
    </row>
    <row r="83" hidden="1" customHeight="1" spans="1:27">
      <c r="A83" s="2180"/>
      <c r="B83" s="2297"/>
      <c r="C83" s="2298"/>
      <c r="D83" s="2299"/>
      <c r="E83" s="2299"/>
      <c r="F83" s="2300"/>
      <c r="G83" s="2170" t="s">
        <v>10650</v>
      </c>
      <c r="H83" s="2170"/>
      <c r="I83" s="2170"/>
      <c r="J83" s="2171"/>
      <c r="K83" s="2171"/>
      <c r="L83" s="2301">
        <v>70000</v>
      </c>
      <c r="M83" s="2301">
        <v>30000</v>
      </c>
      <c r="N83" s="2302">
        <v>33000</v>
      </c>
      <c r="O83" s="2302">
        <v>22000</v>
      </c>
      <c r="P83" s="2302">
        <v>35000</v>
      </c>
      <c r="Q83" s="2302">
        <v>30000</v>
      </c>
      <c r="R83" s="2302">
        <v>58000</v>
      </c>
      <c r="S83" s="2302">
        <v>55000</v>
      </c>
      <c r="T83" s="2302">
        <v>31000</v>
      </c>
      <c r="U83" s="2302">
        <v>28950</v>
      </c>
      <c r="V83" s="2302">
        <v>34000</v>
      </c>
      <c r="W83" s="2302">
        <v>31200</v>
      </c>
      <c r="X83" s="2302">
        <v>32900</v>
      </c>
      <c r="Y83" s="2303">
        <v>23596</v>
      </c>
      <c r="Z83" s="2282">
        <f t="shared" si="20"/>
        <v>514646</v>
      </c>
      <c r="AA83" s="2304">
        <f>Z83</f>
        <v>514646</v>
      </c>
    </row>
    <row r="84" hidden="1" customHeight="1" spans="1:27">
      <c r="A84" s="2305"/>
      <c r="B84" s="2306" t="s">
        <v>10630</v>
      </c>
      <c r="C84" s="2307">
        <f t="shared" ref="C84:F84" si="26">SUM(C60:C83)</f>
        <v>0</v>
      </c>
      <c r="D84" s="2308">
        <f t="shared" si="26"/>
        <v>0</v>
      </c>
      <c r="E84" s="2308">
        <f t="shared" si="26"/>
        <v>0</v>
      </c>
      <c r="F84" s="2309">
        <f t="shared" si="26"/>
        <v>0</v>
      </c>
      <c r="G84" s="2306" t="s">
        <v>10707</v>
      </c>
      <c r="H84" s="2310"/>
      <c r="I84" s="2310" t="s">
        <v>10708</v>
      </c>
      <c r="J84" s="2311"/>
      <c r="K84" s="2311"/>
      <c r="L84" s="2311">
        <f t="shared" ref="L84:Y84" si="27">SUM(L60:L61,L64:L66,L68:L69,L72:L73,L76:L77,L80:L81)</f>
        <v>23716</v>
      </c>
      <c r="M84" s="2311">
        <f t="shared" si="27"/>
        <v>8875</v>
      </c>
      <c r="N84" s="2311">
        <f t="shared" si="27"/>
        <v>9765</v>
      </c>
      <c r="O84" s="2311">
        <f t="shared" si="27"/>
        <v>6508</v>
      </c>
      <c r="P84" s="2311">
        <f t="shared" si="27"/>
        <v>13358</v>
      </c>
      <c r="Q84" s="2311">
        <f t="shared" si="27"/>
        <v>8877</v>
      </c>
      <c r="R84" s="2311">
        <f t="shared" si="27"/>
        <v>18312</v>
      </c>
      <c r="S84" s="2311">
        <f t="shared" si="27"/>
        <v>16405</v>
      </c>
      <c r="T84" s="2311">
        <f t="shared" si="27"/>
        <v>9310</v>
      </c>
      <c r="U84" s="2311">
        <f t="shared" si="27"/>
        <v>6641</v>
      </c>
      <c r="V84" s="2311">
        <f t="shared" si="27"/>
        <v>12083</v>
      </c>
      <c r="W84" s="2311">
        <f t="shared" si="27"/>
        <v>8889</v>
      </c>
      <c r="X84" s="2311">
        <f t="shared" si="27"/>
        <v>10511</v>
      </c>
      <c r="Y84" s="2311">
        <f>SUM(Y60:Y61,Y64:Y66,Y68:Y69,Y72:Y73,Y76:Y77,Y80:Y81,)</f>
        <v>7836.28865979381</v>
      </c>
      <c r="Z84" s="2311">
        <f>SUM(Z60:Z61,Z64:Z66,Z68:Z69,Z72:Z73,Z76:Z77,Z80:Z81)</f>
        <v>161086.288659794</v>
      </c>
      <c r="AA84" s="2312">
        <f>SUM(AA63,AA67,AA71,AA75,AA79,AA83)</f>
        <v>3053939</v>
      </c>
    </row>
    <row r="85" hidden="1" customHeight="1" spans="1:27">
      <c r="A85" s="2313"/>
      <c r="B85" s="2314"/>
      <c r="C85" s="2315"/>
      <c r="D85" s="2314"/>
      <c r="E85" s="2314"/>
      <c r="F85" s="2316"/>
      <c r="G85" s="2314" t="s">
        <v>10709</v>
      </c>
      <c r="H85" s="2315"/>
      <c r="I85" s="2315" t="s">
        <v>10710</v>
      </c>
      <c r="J85" s="2317">
        <v>300</v>
      </c>
      <c r="K85" s="2317">
        <v>37000</v>
      </c>
      <c r="L85" s="2318">
        <f t="shared" ref="L85:Z85" si="28">SUM(L62,L74,L82)</f>
        <v>1704</v>
      </c>
      <c r="M85" s="2318">
        <f t="shared" si="28"/>
        <v>729</v>
      </c>
      <c r="N85" s="2318">
        <f t="shared" si="28"/>
        <v>804</v>
      </c>
      <c r="O85" s="2318">
        <f t="shared" si="28"/>
        <v>534</v>
      </c>
      <c r="P85" s="2318">
        <f t="shared" si="28"/>
        <v>852</v>
      </c>
      <c r="Q85" s="2318">
        <f t="shared" si="28"/>
        <v>729</v>
      </c>
      <c r="R85" s="2318">
        <f t="shared" si="28"/>
        <v>1437</v>
      </c>
      <c r="S85" s="2318">
        <f t="shared" si="28"/>
        <v>1280</v>
      </c>
      <c r="T85" s="2318">
        <f t="shared" si="28"/>
        <v>762</v>
      </c>
      <c r="U85" s="2318">
        <f t="shared" si="28"/>
        <v>574</v>
      </c>
      <c r="V85" s="2318">
        <f t="shared" si="28"/>
        <v>761</v>
      </c>
      <c r="W85" s="2318">
        <f t="shared" si="28"/>
        <v>737</v>
      </c>
      <c r="X85" s="2318">
        <f t="shared" si="28"/>
        <v>840</v>
      </c>
      <c r="Y85" s="2318">
        <f t="shared" si="28"/>
        <v>703.318918918919</v>
      </c>
      <c r="Z85" s="2318">
        <f t="shared" si="28"/>
        <v>12446.3189189189</v>
      </c>
      <c r="AA85" s="2319"/>
    </row>
    <row r="86" hidden="1" customHeight="1" spans="1:27">
      <c r="A86" s="2313"/>
      <c r="B86" s="2314"/>
      <c r="C86" s="2315"/>
      <c r="D86" s="2314"/>
      <c r="E86" s="2314"/>
      <c r="F86" s="2316"/>
      <c r="G86" s="2314" t="s">
        <v>10711</v>
      </c>
      <c r="H86" s="2315"/>
      <c r="I86" s="2315" t="s">
        <v>10712</v>
      </c>
      <c r="J86" s="2317">
        <v>300</v>
      </c>
      <c r="K86" s="2317">
        <v>75000</v>
      </c>
      <c r="L86" s="2318">
        <f t="shared" ref="L86:Z86" si="29">SUM(L70,L78)</f>
        <v>600</v>
      </c>
      <c r="M86" s="2318">
        <f t="shared" si="29"/>
        <v>300</v>
      </c>
      <c r="N86" s="2318">
        <f t="shared" si="29"/>
        <v>300</v>
      </c>
      <c r="O86" s="2318">
        <f t="shared" si="29"/>
        <v>300</v>
      </c>
      <c r="P86" s="2318">
        <f t="shared" si="29"/>
        <v>300</v>
      </c>
      <c r="Q86" s="2318">
        <f t="shared" si="29"/>
        <v>0</v>
      </c>
      <c r="R86" s="2318">
        <f t="shared" si="29"/>
        <v>500</v>
      </c>
      <c r="S86" s="2318">
        <f t="shared" si="29"/>
        <v>372</v>
      </c>
      <c r="T86" s="2318">
        <f t="shared" si="29"/>
        <v>300</v>
      </c>
      <c r="U86" s="2318">
        <f t="shared" si="29"/>
        <v>300</v>
      </c>
      <c r="V86" s="2318">
        <f t="shared" si="29"/>
        <v>300</v>
      </c>
      <c r="W86" s="2318">
        <f t="shared" si="29"/>
        <v>0</v>
      </c>
      <c r="X86" s="2318">
        <f t="shared" si="29"/>
        <v>300</v>
      </c>
      <c r="Y86" s="2318">
        <f t="shared" si="29"/>
        <v>147.96</v>
      </c>
      <c r="Z86" s="2318">
        <f t="shared" si="29"/>
        <v>4019.96</v>
      </c>
      <c r="AA86" s="2319"/>
    </row>
    <row r="87" hidden="1" customHeight="1" spans="1:27">
      <c r="A87" s="2320"/>
      <c r="B87" s="2321"/>
      <c r="C87" s="2322"/>
      <c r="D87" s="2321"/>
      <c r="E87" s="2321"/>
      <c r="F87" s="2323"/>
      <c r="G87" s="2324" t="s">
        <v>10713</v>
      </c>
      <c r="H87" s="2325"/>
      <c r="I87" s="2325"/>
      <c r="J87" s="2326"/>
      <c r="K87" s="2326"/>
      <c r="L87" s="2326">
        <f t="shared" ref="L87:Z87" si="30">SUM(L63,L67,L71,L75,L79,L83)</f>
        <v>420000</v>
      </c>
      <c r="M87" s="2326">
        <f t="shared" si="30"/>
        <v>180000</v>
      </c>
      <c r="N87" s="2326">
        <f t="shared" si="30"/>
        <v>198000</v>
      </c>
      <c r="O87" s="2326">
        <f t="shared" si="30"/>
        <v>132000</v>
      </c>
      <c r="P87" s="2326">
        <f t="shared" si="30"/>
        <v>210000</v>
      </c>
      <c r="Q87" s="2326">
        <f t="shared" si="30"/>
        <v>180000</v>
      </c>
      <c r="R87" s="2326">
        <f t="shared" si="30"/>
        <v>370000</v>
      </c>
      <c r="S87" s="2326">
        <f t="shared" si="30"/>
        <v>308000</v>
      </c>
      <c r="T87" s="2326">
        <f t="shared" si="30"/>
        <v>189000</v>
      </c>
      <c r="U87" s="2326">
        <f t="shared" si="30"/>
        <v>134100</v>
      </c>
      <c r="V87" s="2326">
        <f t="shared" si="30"/>
        <v>184000</v>
      </c>
      <c r="W87" s="2326">
        <f t="shared" si="30"/>
        <v>180050</v>
      </c>
      <c r="X87" s="2326">
        <f t="shared" si="30"/>
        <v>212850</v>
      </c>
      <c r="Y87" s="2326">
        <f t="shared" si="30"/>
        <v>155939</v>
      </c>
      <c r="Z87" s="2326">
        <f t="shared" si="30"/>
        <v>3053939</v>
      </c>
      <c r="AA87" s="2327"/>
    </row>
    <row r="88" hidden="1" customHeight="1"/>
    <row r="89" hidden="1" customHeight="1"/>
    <row r="90" hidden="1" customHeight="1" spans="1:27">
      <c r="A90" s="2328" t="s">
        <v>10579</v>
      </c>
      <c r="B90" s="2329" t="s">
        <v>10580</v>
      </c>
      <c r="C90" s="2330" t="s">
        <v>10583</v>
      </c>
      <c r="D90" s="2331" t="s">
        <v>10714</v>
      </c>
      <c r="E90" s="2332" t="s">
        <v>10585</v>
      </c>
      <c r="F90" s="2332" t="s">
        <v>10715</v>
      </c>
      <c r="G90" s="2332" t="s">
        <v>10715</v>
      </c>
      <c r="H90" s="2332" t="s">
        <v>10716</v>
      </c>
      <c r="I90" s="2333" t="s">
        <v>10717</v>
      </c>
      <c r="J90" s="2333" t="s">
        <v>10718</v>
      </c>
      <c r="K90" s="2334" t="s">
        <v>10719</v>
      </c>
      <c r="L90" s="2335"/>
      <c r="M90" s="2336" t="s">
        <v>10720</v>
      </c>
      <c r="N90" s="2337" t="s">
        <v>10721</v>
      </c>
    </row>
    <row r="91" hidden="1" customHeight="1" spans="1:27">
      <c r="A91" s="2210" t="s">
        <v>10599</v>
      </c>
      <c r="B91" s="2211"/>
      <c r="C91" s="2212"/>
      <c r="D91" s="2213"/>
      <c r="E91" s="2214"/>
      <c r="F91" s="2214"/>
      <c r="G91" s="2214"/>
      <c r="H91" s="2214"/>
      <c r="I91" s="2127">
        <v>43930</v>
      </c>
      <c r="J91" s="2127">
        <v>44022</v>
      </c>
      <c r="K91" s="2131">
        <v>44154</v>
      </c>
      <c r="L91" s="2127"/>
      <c r="M91" s="2215"/>
      <c r="N91" s="2216"/>
    </row>
    <row r="92" hidden="1" customHeight="1" spans="1:27">
      <c r="A92" s="2210" t="s">
        <v>10604</v>
      </c>
      <c r="B92" s="2211"/>
      <c r="C92" s="2212"/>
      <c r="D92" s="2213"/>
      <c r="E92" s="2214"/>
      <c r="F92" s="2214"/>
      <c r="G92" s="2214"/>
      <c r="H92" s="2214"/>
      <c r="I92" s="2127">
        <f>I91+28+2</f>
        <v>43960</v>
      </c>
      <c r="J92" s="2127">
        <v>44052</v>
      </c>
      <c r="K92" s="2131">
        <v>44184</v>
      </c>
      <c r="L92" s="2127"/>
      <c r="M92" s="2215"/>
      <c r="N92" s="2216"/>
      <c r="Q92" s="2111">
        <f>16025-3514</f>
        <v>12511</v>
      </c>
      <c r="R92" s="2111">
        <f>29748-3514</f>
        <v>26234</v>
      </c>
      <c r="S92" s="2111">
        <f>23242-3514</f>
        <v>19728</v>
      </c>
      <c r="T92" s="2111">
        <f>24812-3514</f>
        <v>21298</v>
      </c>
      <c r="U92" s="2111">
        <f>21535-2811</f>
        <v>18724</v>
      </c>
      <c r="V92" s="2111">
        <f>21217-702</f>
        <v>20515</v>
      </c>
    </row>
    <row r="93" hidden="1" customHeight="1" spans="1:27">
      <c r="A93" s="2217" t="s">
        <v>10722</v>
      </c>
      <c r="B93" s="2218" t="s">
        <v>10723</v>
      </c>
      <c r="C93" s="2219" t="s">
        <v>10724</v>
      </c>
      <c r="D93" s="2220" t="s">
        <v>10725</v>
      </c>
      <c r="E93" s="2221">
        <v>1000</v>
      </c>
      <c r="F93" s="2338">
        <v>0.226</v>
      </c>
      <c r="G93" s="2338">
        <v>0.226</v>
      </c>
      <c r="H93" s="2221">
        <f t="shared" ref="H93:H97" si="31">E93/G93</f>
        <v>4424.77876106195</v>
      </c>
      <c r="I93" s="2222">
        <v>11300</v>
      </c>
      <c r="J93" s="2222">
        <v>11300</v>
      </c>
      <c r="K93" s="2223">
        <v>3118.8</v>
      </c>
      <c r="L93" s="2223"/>
      <c r="M93" s="2224">
        <f t="shared" ref="M93:M118" si="32">SUM(I93:L93)</f>
        <v>25718.8</v>
      </c>
      <c r="N93" s="2339">
        <f t="shared" ref="N93:N95" si="33">ROUND(M93/E93*H93,-1)</f>
        <v>113800</v>
      </c>
    </row>
    <row r="94" hidden="1" customHeight="1" spans="1:27">
      <c r="A94" s="2217"/>
      <c r="B94" s="2218"/>
      <c r="C94" s="2226" t="s">
        <v>10726</v>
      </c>
      <c r="D94" s="2220" t="s">
        <v>10727</v>
      </c>
      <c r="E94" s="2221">
        <v>500</v>
      </c>
      <c r="F94" s="2338">
        <v>0.155</v>
      </c>
      <c r="G94" s="2338">
        <v>0.155</v>
      </c>
      <c r="H94" s="2221">
        <f t="shared" si="31"/>
        <v>3225.8064516129</v>
      </c>
      <c r="I94" s="2222">
        <v>7750</v>
      </c>
      <c r="J94" s="2222">
        <v>7750</v>
      </c>
      <c r="K94" s="2223">
        <v>2139</v>
      </c>
      <c r="L94" s="2223"/>
      <c r="M94" s="2164">
        <f t="shared" si="32"/>
        <v>17639</v>
      </c>
      <c r="N94" s="2340">
        <f t="shared" si="33"/>
        <v>113800</v>
      </c>
    </row>
    <row r="95" hidden="1" customHeight="1" spans="1:27">
      <c r="A95" s="2217"/>
      <c r="B95" s="2227"/>
      <c r="C95" s="2341" t="s">
        <v>10728</v>
      </c>
      <c r="D95" s="2342" t="s">
        <v>10729</v>
      </c>
      <c r="E95" s="2161">
        <v>500</v>
      </c>
      <c r="F95" s="2343">
        <v>0.035</v>
      </c>
      <c r="G95" s="2344">
        <v>0.011</v>
      </c>
      <c r="H95" s="2161">
        <f t="shared" si="31"/>
        <v>45454.5454545455</v>
      </c>
      <c r="I95" s="2162">
        <v>1750</v>
      </c>
      <c r="J95" s="2162"/>
      <c r="K95" s="2163"/>
      <c r="L95" s="2163"/>
      <c r="M95" s="2164">
        <f t="shared" si="32"/>
        <v>1750</v>
      </c>
      <c r="N95" s="2340">
        <f t="shared" si="33"/>
        <v>159090</v>
      </c>
    </row>
    <row r="96" hidden="1" customHeight="1" spans="1:27">
      <c r="A96" s="2217"/>
      <c r="B96" s="2345"/>
      <c r="C96" s="2346" t="s">
        <v>10730</v>
      </c>
      <c r="D96" s="2347" t="s">
        <v>10731</v>
      </c>
      <c r="E96" s="2348">
        <v>0</v>
      </c>
      <c r="F96" s="2349">
        <v>0</v>
      </c>
      <c r="G96" s="2350">
        <v>0.024</v>
      </c>
      <c r="H96" s="2161">
        <f t="shared" si="31"/>
        <v>0</v>
      </c>
      <c r="I96" s="2351">
        <f>50000*G96</f>
        <v>1200</v>
      </c>
      <c r="J96" s="2351">
        <v>1200</v>
      </c>
      <c r="K96" s="2352">
        <v>331.2</v>
      </c>
      <c r="L96" s="2352"/>
      <c r="M96" s="2164">
        <f t="shared" si="32"/>
        <v>2731.2</v>
      </c>
      <c r="N96" s="2340">
        <f>I96/G96</f>
        <v>50000</v>
      </c>
    </row>
    <row r="97" hidden="1" customHeight="1" spans="1:14">
      <c r="A97" s="2217"/>
      <c r="B97" s="2345"/>
      <c r="C97" s="2353" t="s">
        <v>10732</v>
      </c>
      <c r="D97" s="2354" t="s">
        <v>10733</v>
      </c>
      <c r="E97" s="2348">
        <v>300</v>
      </c>
      <c r="F97" s="2349">
        <v>0.095</v>
      </c>
      <c r="G97" s="2349">
        <v>0.095</v>
      </c>
      <c r="H97" s="2348">
        <f t="shared" si="31"/>
        <v>3157.89473684211</v>
      </c>
      <c r="I97" s="2351">
        <v>4750</v>
      </c>
      <c r="J97" s="2351">
        <v>4750</v>
      </c>
      <c r="K97" s="2352">
        <v>1311</v>
      </c>
      <c r="L97" s="2352"/>
      <c r="M97" s="2164">
        <f t="shared" si="32"/>
        <v>10811</v>
      </c>
      <c r="N97" s="2340">
        <f t="shared" ref="N97:N101" si="34">ROUND(M97/E97*H97,-1)</f>
        <v>113800</v>
      </c>
    </row>
    <row r="98" hidden="1" customHeight="1" spans="1:14">
      <c r="A98" s="2217"/>
      <c r="B98" s="2345"/>
      <c r="C98" s="2353" t="s">
        <v>10732</v>
      </c>
      <c r="D98" s="2354" t="s">
        <v>10734</v>
      </c>
      <c r="E98" s="2348">
        <v>300</v>
      </c>
      <c r="F98" s="2349">
        <v>0.014</v>
      </c>
      <c r="G98" s="2349">
        <v>0.014</v>
      </c>
      <c r="H98" s="2348">
        <v>21428.5714285714</v>
      </c>
      <c r="I98" s="2351">
        <v>700</v>
      </c>
      <c r="J98" s="2351">
        <v>700</v>
      </c>
      <c r="K98" s="2355">
        <v>336</v>
      </c>
      <c r="L98" s="2352"/>
      <c r="M98" s="2164">
        <f t="shared" si="32"/>
        <v>1736</v>
      </c>
      <c r="N98" s="2340">
        <f t="shared" si="34"/>
        <v>124000</v>
      </c>
    </row>
    <row r="99" hidden="1" customHeight="1" spans="1:14">
      <c r="A99" s="2217"/>
      <c r="B99" s="2345"/>
      <c r="C99" s="2353" t="s">
        <v>10735</v>
      </c>
      <c r="D99" s="2354" t="s">
        <v>10736</v>
      </c>
      <c r="E99" s="2348">
        <v>500</v>
      </c>
      <c r="F99" s="2349">
        <v>0.002</v>
      </c>
      <c r="G99" s="2349">
        <v>0.002</v>
      </c>
      <c r="H99" s="2348">
        <f t="shared" ref="H99:H101" si="35">E99/G99</f>
        <v>250000</v>
      </c>
      <c r="I99" s="2356">
        <v>500</v>
      </c>
      <c r="J99" s="2356"/>
      <c r="K99" s="2352"/>
      <c r="L99" s="2352"/>
      <c r="M99" s="2164">
        <f t="shared" si="32"/>
        <v>500</v>
      </c>
      <c r="N99" s="2340">
        <f t="shared" si="34"/>
        <v>250000</v>
      </c>
    </row>
    <row r="100" hidden="1" customHeight="1" spans="1:14">
      <c r="A100" s="2217"/>
      <c r="B100" s="2345"/>
      <c r="C100" s="2353" t="s">
        <v>10737</v>
      </c>
      <c r="D100" s="2354" t="s">
        <v>10738</v>
      </c>
      <c r="E100" s="2348">
        <v>500</v>
      </c>
      <c r="F100" s="2349">
        <v>0.002</v>
      </c>
      <c r="G100" s="2349">
        <v>0.002</v>
      </c>
      <c r="H100" s="2348">
        <f t="shared" si="35"/>
        <v>250000</v>
      </c>
      <c r="I100" s="2356">
        <v>500</v>
      </c>
      <c r="J100" s="2356"/>
      <c r="K100" s="2352"/>
      <c r="L100" s="2352"/>
      <c r="M100" s="2164">
        <f t="shared" si="32"/>
        <v>500</v>
      </c>
      <c r="N100" s="2340">
        <f t="shared" si="34"/>
        <v>250000</v>
      </c>
    </row>
    <row r="101" hidden="1" customHeight="1" spans="1:14">
      <c r="A101" s="2217"/>
      <c r="B101" s="2345"/>
      <c r="C101" s="2353" t="s">
        <v>10661</v>
      </c>
      <c r="D101" s="2354" t="s">
        <v>10652</v>
      </c>
      <c r="E101" s="2348">
        <v>30000</v>
      </c>
      <c r="F101" s="2349">
        <v>1</v>
      </c>
      <c r="G101" s="2349">
        <v>1</v>
      </c>
      <c r="H101" s="2348">
        <f t="shared" si="35"/>
        <v>30000</v>
      </c>
      <c r="I101" s="2351">
        <v>50000</v>
      </c>
      <c r="J101" s="2351">
        <v>50000</v>
      </c>
      <c r="K101" s="2352">
        <v>13800</v>
      </c>
      <c r="L101" s="2352"/>
      <c r="M101" s="2164">
        <f t="shared" si="32"/>
        <v>113800</v>
      </c>
      <c r="N101" s="2340">
        <f t="shared" si="34"/>
        <v>113800</v>
      </c>
    </row>
    <row r="102" hidden="1" customHeight="1" spans="1:14">
      <c r="A102" s="2217"/>
      <c r="B102" s="2228"/>
      <c r="C102" s="2229" t="s">
        <v>10650</v>
      </c>
      <c r="D102" s="2170"/>
      <c r="E102" s="2171"/>
      <c r="F102" s="2357"/>
      <c r="G102" s="2357"/>
      <c r="H102" s="2171"/>
      <c r="I102" s="2172">
        <v>50000</v>
      </c>
      <c r="J102" s="2172">
        <v>50000</v>
      </c>
      <c r="K102" s="2173">
        <v>13800</v>
      </c>
      <c r="L102" s="2173"/>
      <c r="M102" s="2174">
        <f t="shared" si="32"/>
        <v>113800</v>
      </c>
      <c r="N102" s="2340">
        <f>M102</f>
        <v>113800</v>
      </c>
    </row>
    <row r="103" hidden="1" customHeight="1" spans="1:14">
      <c r="A103" s="2217"/>
      <c r="B103" s="2232" t="s">
        <v>10739</v>
      </c>
      <c r="C103" s="2233" t="s">
        <v>10740</v>
      </c>
      <c r="D103" s="2148" t="s">
        <v>10741</v>
      </c>
      <c r="E103" s="2149">
        <v>1000</v>
      </c>
      <c r="F103" s="2358">
        <v>0.268</v>
      </c>
      <c r="G103" s="2358">
        <v>0.268</v>
      </c>
      <c r="H103" s="2149">
        <f t="shared" ref="H103:H106" si="36">E103/G103</f>
        <v>3731.34328358209</v>
      </c>
      <c r="I103" s="2150">
        <v>13400</v>
      </c>
      <c r="J103" s="2150">
        <v>13400</v>
      </c>
      <c r="K103" s="2152">
        <v>5360</v>
      </c>
      <c r="L103" s="2152"/>
      <c r="M103" s="2224">
        <f t="shared" si="32"/>
        <v>32160</v>
      </c>
      <c r="N103" s="2359">
        <f t="shared" ref="N103:N105" si="37">ROUND(M103/E103*H103,-1)</f>
        <v>120000</v>
      </c>
    </row>
    <row r="104" hidden="1" customHeight="1" spans="1:14">
      <c r="A104" s="2217"/>
      <c r="B104" s="2218"/>
      <c r="C104" s="2219" t="s">
        <v>10742</v>
      </c>
      <c r="D104" s="2220" t="s">
        <v>10743</v>
      </c>
      <c r="E104" s="2221">
        <v>500</v>
      </c>
      <c r="F104" s="2338">
        <v>0.117</v>
      </c>
      <c r="G104" s="2338">
        <v>0.117</v>
      </c>
      <c r="H104" s="2221">
        <f t="shared" si="36"/>
        <v>4273.50427350427</v>
      </c>
      <c r="I104" s="2222">
        <v>5850</v>
      </c>
      <c r="J104" s="2222">
        <v>5850</v>
      </c>
      <c r="K104" s="2223">
        <v>2340</v>
      </c>
      <c r="L104" s="2223"/>
      <c r="M104" s="2164">
        <f t="shared" si="32"/>
        <v>14040</v>
      </c>
      <c r="N104" s="2340">
        <f t="shared" si="37"/>
        <v>120000</v>
      </c>
    </row>
    <row r="105" hidden="1" customHeight="1" spans="1:14">
      <c r="A105" s="2217"/>
      <c r="B105" s="2218"/>
      <c r="C105" s="2360" t="s">
        <v>10744</v>
      </c>
      <c r="D105" s="2361" t="s">
        <v>10745</v>
      </c>
      <c r="E105" s="2221">
        <v>500</v>
      </c>
      <c r="F105" s="2338">
        <v>0.054</v>
      </c>
      <c r="G105" s="2362">
        <v>0.03</v>
      </c>
      <c r="H105" s="2221">
        <f t="shared" si="36"/>
        <v>16666.6666666667</v>
      </c>
      <c r="I105" s="2222">
        <v>2700</v>
      </c>
      <c r="J105" s="2222">
        <v>500</v>
      </c>
      <c r="K105" s="2223"/>
      <c r="L105" s="2223"/>
      <c r="M105" s="2164">
        <f t="shared" si="32"/>
        <v>3200</v>
      </c>
      <c r="N105" s="2340">
        <f t="shared" si="37"/>
        <v>106670</v>
      </c>
    </row>
    <row r="106" hidden="1" customHeight="1" spans="1:14">
      <c r="A106" s="2217"/>
      <c r="B106" s="2218"/>
      <c r="C106" s="2363" t="s">
        <v>10746</v>
      </c>
      <c r="D106" s="2364" t="s">
        <v>10731</v>
      </c>
      <c r="E106" s="2221">
        <v>0</v>
      </c>
      <c r="F106" s="2338">
        <v>0</v>
      </c>
      <c r="G106" s="2362">
        <v>0.024</v>
      </c>
      <c r="H106" s="2221">
        <f t="shared" si="36"/>
        <v>0</v>
      </c>
      <c r="I106" s="2222">
        <f>50000*G106</f>
        <v>1200</v>
      </c>
      <c r="J106" s="2222">
        <v>1200</v>
      </c>
      <c r="K106" s="2223">
        <v>480</v>
      </c>
      <c r="L106" s="2223"/>
      <c r="M106" s="2164">
        <f t="shared" si="32"/>
        <v>2880</v>
      </c>
      <c r="N106" s="2340">
        <f>I106/G106</f>
        <v>50000</v>
      </c>
    </row>
    <row r="107" hidden="1" customHeight="1" spans="1:14">
      <c r="A107" s="2217"/>
      <c r="B107" s="2218"/>
      <c r="C107" s="2219" t="s">
        <v>10747</v>
      </c>
      <c r="D107" s="2220" t="s">
        <v>10748</v>
      </c>
      <c r="E107" s="2221">
        <v>300</v>
      </c>
      <c r="F107" s="2338">
        <v>0.109</v>
      </c>
      <c r="G107" s="2338">
        <v>0.109</v>
      </c>
      <c r="H107" s="2221">
        <v>2752.29357798165</v>
      </c>
      <c r="I107" s="2222">
        <v>5450</v>
      </c>
      <c r="J107" s="2222">
        <v>5450</v>
      </c>
      <c r="K107" s="2223">
        <v>2180</v>
      </c>
      <c r="L107" s="2223"/>
      <c r="M107" s="2164">
        <f t="shared" si="32"/>
        <v>13080</v>
      </c>
      <c r="N107" s="2340">
        <f t="shared" ref="N107:N109" si="38">ROUND(M107/E107*H107,-1)</f>
        <v>120000</v>
      </c>
    </row>
    <row r="108" hidden="1" customHeight="1" spans="1:14">
      <c r="A108" s="2217"/>
      <c r="B108" s="2218"/>
      <c r="C108" s="2226" t="s">
        <v>10749</v>
      </c>
      <c r="D108" s="2220" t="s">
        <v>10750</v>
      </c>
      <c r="E108" s="2221">
        <v>300</v>
      </c>
      <c r="F108" s="2338">
        <v>0.004</v>
      </c>
      <c r="G108" s="2338">
        <v>0.004</v>
      </c>
      <c r="H108" s="2221">
        <f t="shared" ref="H108:H112" si="39">E108/G108</f>
        <v>75000</v>
      </c>
      <c r="I108" s="2365">
        <v>300</v>
      </c>
      <c r="J108" s="2365">
        <v>300</v>
      </c>
      <c r="K108" s="2223"/>
      <c r="L108" s="2223"/>
      <c r="M108" s="2164">
        <f t="shared" si="32"/>
        <v>600</v>
      </c>
      <c r="N108" s="2340">
        <f t="shared" si="38"/>
        <v>150000</v>
      </c>
    </row>
    <row r="109" hidden="1" customHeight="1" spans="1:14">
      <c r="A109" s="2217"/>
      <c r="B109" s="2227"/>
      <c r="C109" s="2226" t="s">
        <v>10661</v>
      </c>
      <c r="D109" s="2160" t="s">
        <v>10652</v>
      </c>
      <c r="E109" s="2161">
        <v>30000</v>
      </c>
      <c r="F109" s="2343">
        <v>1</v>
      </c>
      <c r="G109" s="2343">
        <v>1</v>
      </c>
      <c r="H109" s="2161">
        <f t="shared" si="39"/>
        <v>30000</v>
      </c>
      <c r="I109" s="2162">
        <v>50000</v>
      </c>
      <c r="J109" s="2162">
        <v>50000</v>
      </c>
      <c r="K109" s="2163">
        <v>20000</v>
      </c>
      <c r="L109" s="2163"/>
      <c r="M109" s="2164">
        <f t="shared" si="32"/>
        <v>120000</v>
      </c>
      <c r="N109" s="2340">
        <f t="shared" si="38"/>
        <v>120000</v>
      </c>
    </row>
    <row r="110" hidden="1" customHeight="1" spans="1:14">
      <c r="A110" s="2217"/>
      <c r="B110" s="2228"/>
      <c r="C110" s="2229" t="s">
        <v>10650</v>
      </c>
      <c r="D110" s="2170"/>
      <c r="E110" s="2171"/>
      <c r="F110" s="2357"/>
      <c r="G110" s="2357"/>
      <c r="H110" s="2171"/>
      <c r="I110" s="2172">
        <v>50000</v>
      </c>
      <c r="J110" s="2172">
        <v>50000</v>
      </c>
      <c r="K110" s="2173">
        <v>20000</v>
      </c>
      <c r="L110" s="2173"/>
      <c r="M110" s="2174">
        <f t="shared" si="32"/>
        <v>120000</v>
      </c>
      <c r="N110" s="2366">
        <f>M110</f>
        <v>120000</v>
      </c>
    </row>
    <row r="111" hidden="1" customHeight="1" spans="1:14">
      <c r="A111" s="2217"/>
      <c r="B111" s="2232" t="s">
        <v>10751</v>
      </c>
      <c r="C111" s="2233" t="s">
        <v>10752</v>
      </c>
      <c r="D111" s="2148" t="s">
        <v>10753</v>
      </c>
      <c r="E111" s="2234">
        <v>1000</v>
      </c>
      <c r="F111" s="2367">
        <v>0.3214</v>
      </c>
      <c r="G111" s="2367">
        <v>0.3214</v>
      </c>
      <c r="H111" s="2149">
        <f t="shared" si="39"/>
        <v>3111.38767890479</v>
      </c>
      <c r="I111" s="2150">
        <v>16070</v>
      </c>
      <c r="J111" s="2150">
        <v>16391.4</v>
      </c>
      <c r="K111" s="2152">
        <v>4821</v>
      </c>
      <c r="L111" s="2152"/>
      <c r="M111" s="2224">
        <f t="shared" si="32"/>
        <v>37282.4</v>
      </c>
      <c r="N111" s="2339">
        <f t="shared" ref="N111:N114" si="40">ROUND(M111/E111*H111,-1)</f>
        <v>116000</v>
      </c>
    </row>
    <row r="112" hidden="1" customHeight="1" spans="1:14">
      <c r="A112" s="2217"/>
      <c r="B112" s="2218"/>
      <c r="C112" s="2219" t="s">
        <v>10754</v>
      </c>
      <c r="D112" s="2220" t="s">
        <v>10755</v>
      </c>
      <c r="E112" s="2368">
        <v>500</v>
      </c>
      <c r="F112" s="2369">
        <v>0.103</v>
      </c>
      <c r="G112" s="2369">
        <v>0.103</v>
      </c>
      <c r="H112" s="2221">
        <f t="shared" si="39"/>
        <v>4854.36893203883</v>
      </c>
      <c r="I112" s="2222">
        <v>5150</v>
      </c>
      <c r="J112" s="2222">
        <v>5253</v>
      </c>
      <c r="K112" s="2223">
        <v>1545</v>
      </c>
      <c r="L112" s="2223"/>
      <c r="M112" s="2164">
        <f t="shared" si="32"/>
        <v>11948</v>
      </c>
      <c r="N112" s="2340">
        <f t="shared" si="40"/>
        <v>116000</v>
      </c>
    </row>
    <row r="113" hidden="1" customHeight="1" spans="1:23">
      <c r="A113" s="2217"/>
      <c r="B113" s="2218"/>
      <c r="C113" s="2219" t="s">
        <v>10756</v>
      </c>
      <c r="D113" s="2220" t="s">
        <v>10757</v>
      </c>
      <c r="E113" s="2368">
        <v>300</v>
      </c>
      <c r="F113" s="2369">
        <v>0.096</v>
      </c>
      <c r="G113" s="2369">
        <v>0.096</v>
      </c>
      <c r="H113" s="2221">
        <v>3125</v>
      </c>
      <c r="I113" s="2222">
        <v>4800</v>
      </c>
      <c r="J113" s="2222">
        <v>4896</v>
      </c>
      <c r="K113" s="2223">
        <v>1440</v>
      </c>
      <c r="L113" s="2223"/>
      <c r="M113" s="2164">
        <f t="shared" si="32"/>
        <v>11136</v>
      </c>
      <c r="N113" s="2340">
        <f t="shared" si="40"/>
        <v>116000</v>
      </c>
    </row>
    <row r="114" hidden="1" customHeight="1" spans="1:23">
      <c r="A114" s="2217"/>
      <c r="B114" s="2227"/>
      <c r="C114" s="2341" t="s">
        <v>10758</v>
      </c>
      <c r="D114" s="2342" t="s">
        <v>10759</v>
      </c>
      <c r="E114" s="2235">
        <v>500</v>
      </c>
      <c r="F114" s="2370">
        <v>0.0365</v>
      </c>
      <c r="G114" s="2371">
        <v>0.0125</v>
      </c>
      <c r="H114" s="2161">
        <f t="shared" ref="H114:H117" si="41">E114/G114</f>
        <v>40000</v>
      </c>
      <c r="I114" s="2162">
        <v>1825</v>
      </c>
      <c r="J114" s="2162"/>
      <c r="K114" s="2163"/>
      <c r="L114" s="2163"/>
      <c r="M114" s="2164">
        <f t="shared" si="32"/>
        <v>1825</v>
      </c>
      <c r="N114" s="2340">
        <f t="shared" si="40"/>
        <v>146000</v>
      </c>
    </row>
    <row r="115" hidden="1" customHeight="1" spans="1:23">
      <c r="A115" s="2217"/>
      <c r="B115" s="2227"/>
      <c r="C115" s="2372" t="s">
        <v>10760</v>
      </c>
      <c r="D115" s="2373" t="s">
        <v>10731</v>
      </c>
      <c r="E115" s="2235">
        <v>0</v>
      </c>
      <c r="F115" s="2370">
        <v>0</v>
      </c>
      <c r="G115" s="2371">
        <v>0.024</v>
      </c>
      <c r="H115" s="2161">
        <f t="shared" si="41"/>
        <v>0</v>
      </c>
      <c r="I115" s="2162">
        <f>50000*G115</f>
        <v>1200</v>
      </c>
      <c r="J115" s="2162">
        <v>1224</v>
      </c>
      <c r="K115" s="2163">
        <v>360</v>
      </c>
      <c r="L115" s="2163"/>
      <c r="M115" s="2164">
        <f t="shared" si="32"/>
        <v>2784</v>
      </c>
      <c r="N115" s="2340">
        <f>I115/G115</f>
        <v>50000</v>
      </c>
    </row>
    <row r="116" hidden="1" customHeight="1" spans="1:23">
      <c r="A116" s="2217"/>
      <c r="B116" s="2227"/>
      <c r="C116" s="2226" t="s">
        <v>10761</v>
      </c>
      <c r="D116" s="2160" t="s">
        <v>10750</v>
      </c>
      <c r="E116" s="2235">
        <v>300</v>
      </c>
      <c r="F116" s="2370">
        <v>0.004</v>
      </c>
      <c r="G116" s="2370">
        <v>0.004</v>
      </c>
      <c r="H116" s="2161">
        <f t="shared" si="41"/>
        <v>75000</v>
      </c>
      <c r="I116" s="2374">
        <v>300</v>
      </c>
      <c r="J116" s="2374">
        <v>300</v>
      </c>
      <c r="K116" s="2163"/>
      <c r="L116" s="2163"/>
      <c r="M116" s="2224">
        <f t="shared" si="32"/>
        <v>600</v>
      </c>
      <c r="N116" s="2340">
        <f>ROUND(M116/E116*H116,-1)</f>
        <v>150000</v>
      </c>
    </row>
    <row r="117" hidden="1" customHeight="1" spans="1:23">
      <c r="A117" s="2217"/>
      <c r="B117" s="2227"/>
      <c r="C117" s="2226" t="s">
        <v>10661</v>
      </c>
      <c r="D117" s="2160" t="s">
        <v>10652</v>
      </c>
      <c r="E117" s="2161">
        <v>30000</v>
      </c>
      <c r="F117" s="2343">
        <v>1</v>
      </c>
      <c r="G117" s="2343">
        <v>1</v>
      </c>
      <c r="H117" s="2161">
        <f t="shared" si="41"/>
        <v>30000</v>
      </c>
      <c r="I117" s="2162">
        <v>50000</v>
      </c>
      <c r="J117" s="2162">
        <v>51000</v>
      </c>
      <c r="K117" s="2163">
        <v>15000</v>
      </c>
      <c r="L117" s="2163"/>
      <c r="M117" s="2164">
        <f t="shared" si="32"/>
        <v>116000</v>
      </c>
      <c r="N117" s="2340">
        <f>ROUND(M117/E117*H117,-1)</f>
        <v>116000</v>
      </c>
    </row>
    <row r="118" hidden="1" customHeight="1" spans="1:23">
      <c r="A118" s="2217"/>
      <c r="B118" s="2228"/>
      <c r="C118" s="2229" t="s">
        <v>10650</v>
      </c>
      <c r="D118" s="2170"/>
      <c r="E118" s="2171"/>
      <c r="F118" s="2357"/>
      <c r="G118" s="2357"/>
      <c r="H118" s="2171"/>
      <c r="I118" s="2172">
        <v>50000</v>
      </c>
      <c r="J118" s="2172">
        <v>51000</v>
      </c>
      <c r="K118" s="2173">
        <v>15000</v>
      </c>
      <c r="L118" s="2173"/>
      <c r="M118" s="2164">
        <f t="shared" si="32"/>
        <v>116000</v>
      </c>
      <c r="N118" s="2366">
        <f>M118</f>
        <v>116000</v>
      </c>
    </row>
    <row r="119" hidden="1" customHeight="1" spans="1:23">
      <c r="A119" s="2113"/>
      <c r="B119" s="2375" t="s">
        <v>10630</v>
      </c>
      <c r="C119" s="2376" t="s">
        <v>10631</v>
      </c>
      <c r="D119" s="2377"/>
      <c r="E119" s="2378"/>
      <c r="F119" s="2378"/>
      <c r="G119" s="2378"/>
      <c r="H119" s="2378"/>
      <c r="I119" s="2378">
        <f>SUM(I93:I100,I103:I108,I111:I116)</f>
        <v>86695</v>
      </c>
      <c r="J119" s="2378">
        <f t="shared" ref="J119:L119" si="42">SUM(J93:J94,J103:J108,J111:J116)</f>
        <v>73814.4</v>
      </c>
      <c r="K119" s="2378">
        <f t="shared" si="42"/>
        <v>23783.8</v>
      </c>
      <c r="L119" s="2378">
        <f t="shared" si="42"/>
        <v>0</v>
      </c>
      <c r="M119" s="2378">
        <f>SUM(M93:M100,M103:M108,M111:M116)</f>
        <v>192921.4</v>
      </c>
      <c r="N119" s="2378">
        <f>MIN(N93:N102)+MIN(N103:N110)+MIN(N111:N118)</f>
        <v>150000</v>
      </c>
    </row>
    <row r="120" hidden="1" customHeight="1" spans="1:23">
      <c r="A120" s="2210"/>
      <c r="B120" s="2379"/>
      <c r="C120" s="2380" t="s">
        <v>10639</v>
      </c>
      <c r="D120" s="2381"/>
      <c r="E120" s="2382"/>
      <c r="F120" s="2382"/>
      <c r="G120" s="2382"/>
      <c r="H120" s="2382"/>
      <c r="I120" s="2382">
        <f t="shared" ref="I120:N120" si="43">SUM(I102,I110,I118)</f>
        <v>150000</v>
      </c>
      <c r="J120" s="2382">
        <f t="shared" ref="J120:L120" si="44">SUM(J95,J109,J117)</f>
        <v>101000</v>
      </c>
      <c r="K120" s="2382">
        <f t="shared" si="44"/>
        <v>35000</v>
      </c>
      <c r="L120" s="2382">
        <f t="shared" si="44"/>
        <v>0</v>
      </c>
      <c r="M120" s="2382">
        <f t="shared" si="43"/>
        <v>349800</v>
      </c>
      <c r="N120" s="2382">
        <f t="shared" si="43"/>
        <v>349800</v>
      </c>
    </row>
    <row r="121" hidden="1" customHeight="1" spans="1:23">
      <c r="A121" s="2383"/>
      <c r="B121" s="2384"/>
      <c r="C121" s="2385" t="s">
        <v>10662</v>
      </c>
      <c r="D121" s="2386"/>
      <c r="E121" s="2387"/>
      <c r="F121" s="2387"/>
      <c r="G121" s="2387"/>
      <c r="H121" s="2387"/>
      <c r="I121" s="2387">
        <f>SUM(I101,I109,I117)</f>
        <v>150000</v>
      </c>
      <c r="J121" s="2387">
        <f t="shared" ref="J121:L121" si="45">SUM(J102,J110,J118)</f>
        <v>151000</v>
      </c>
      <c r="K121" s="2387">
        <f t="shared" si="45"/>
        <v>48800</v>
      </c>
      <c r="L121" s="2387">
        <f t="shared" si="45"/>
        <v>0</v>
      </c>
      <c r="M121" s="2387">
        <f>SUM(M101,M109,M117)</f>
        <v>349800</v>
      </c>
      <c r="N121" s="2387">
        <f>SUM(N101,N109,N117)</f>
        <v>349800</v>
      </c>
    </row>
    <row r="122" hidden="1" customHeight="1"/>
    <row r="123" hidden="1" customHeight="1"/>
    <row r="124" hidden="1" customHeight="1" spans="1:23">
      <c r="A124" s="2244" t="s">
        <v>10579</v>
      </c>
      <c r="B124" s="2245" t="s">
        <v>10580</v>
      </c>
      <c r="C124" s="2246" t="s">
        <v>10581</v>
      </c>
      <c r="D124" s="2247" t="s">
        <v>10581</v>
      </c>
      <c r="E124" s="2247" t="s">
        <v>10581</v>
      </c>
      <c r="F124" s="2248" t="s">
        <v>10581</v>
      </c>
      <c r="G124" s="2246" t="s">
        <v>10583</v>
      </c>
      <c r="H124" s="2246" t="s">
        <v>10762</v>
      </c>
      <c r="I124" s="2246" t="s">
        <v>10763</v>
      </c>
      <c r="J124" s="2250" t="s">
        <v>10585</v>
      </c>
      <c r="K124" s="2388" t="s">
        <v>10764</v>
      </c>
      <c r="L124" s="2250" t="s">
        <v>10765</v>
      </c>
      <c r="M124" s="2251" t="s">
        <v>10766</v>
      </c>
      <c r="N124" s="2251" t="s">
        <v>10767</v>
      </c>
      <c r="O124" s="2251" t="s">
        <v>10768</v>
      </c>
      <c r="P124" s="2251" t="s">
        <v>10769</v>
      </c>
      <c r="Q124" s="2251" t="s">
        <v>10770</v>
      </c>
      <c r="R124" s="2251" t="s">
        <v>10771</v>
      </c>
      <c r="S124" s="2251" t="s">
        <v>10772</v>
      </c>
      <c r="T124" s="2251" t="s">
        <v>10773</v>
      </c>
      <c r="U124" s="2252"/>
      <c r="V124" s="2253" t="s">
        <v>10597</v>
      </c>
      <c r="W124" s="2254" t="s">
        <v>10677</v>
      </c>
    </row>
    <row r="125" hidden="1" customHeight="1" spans="1:23">
      <c r="A125" s="2255" t="s">
        <v>10599</v>
      </c>
      <c r="B125" s="2256"/>
      <c r="C125" s="2257" t="s">
        <v>10600</v>
      </c>
      <c r="D125" s="2258" t="s">
        <v>10601</v>
      </c>
      <c r="E125" s="2258" t="s">
        <v>10602</v>
      </c>
      <c r="F125" s="2259" t="s">
        <v>10603</v>
      </c>
      <c r="G125" s="2260"/>
      <c r="H125" s="2260"/>
      <c r="I125" s="2260"/>
      <c r="J125" s="2261"/>
      <c r="K125" s="2389"/>
      <c r="L125" s="2261"/>
      <c r="M125" s="2258">
        <v>44047</v>
      </c>
      <c r="N125" s="2258">
        <v>44120</v>
      </c>
      <c r="O125" s="2258">
        <v>44204</v>
      </c>
      <c r="P125" s="2258">
        <v>44264</v>
      </c>
      <c r="Q125" s="2258">
        <v>44298</v>
      </c>
      <c r="R125" s="2258">
        <v>44330</v>
      </c>
      <c r="S125" s="2258">
        <v>44349</v>
      </c>
      <c r="T125" s="2258">
        <v>44378</v>
      </c>
      <c r="U125" s="2262"/>
      <c r="V125" s="2261"/>
      <c r="W125" s="2263"/>
    </row>
    <row r="126" hidden="1" customHeight="1" spans="1:23">
      <c r="A126" s="2264" t="s">
        <v>10604</v>
      </c>
      <c r="B126" s="2265"/>
      <c r="C126" s="2266"/>
      <c r="D126" s="2267"/>
      <c r="E126" s="2267"/>
      <c r="F126" s="2268"/>
      <c r="G126" s="2269"/>
      <c r="H126" s="2269"/>
      <c r="I126" s="2269"/>
      <c r="J126" s="2270"/>
      <c r="K126" s="2390"/>
      <c r="L126" s="2270"/>
      <c r="M126" s="2271">
        <f>M125+30+2</f>
        <v>44079</v>
      </c>
      <c r="N126" s="2271">
        <f>N125+30+2</f>
        <v>44152</v>
      </c>
      <c r="O126" s="2271">
        <v>44270</v>
      </c>
      <c r="P126" s="2271">
        <v>44296</v>
      </c>
      <c r="Q126" s="2271">
        <v>44330</v>
      </c>
      <c r="R126" s="2271">
        <v>44362</v>
      </c>
      <c r="S126" s="2271">
        <v>44381</v>
      </c>
      <c r="T126" s="2271">
        <v>44410</v>
      </c>
      <c r="U126" s="2272"/>
      <c r="V126" s="2270"/>
      <c r="W126" s="2273"/>
    </row>
    <row r="127" hidden="1" customHeight="1" spans="1:23">
      <c r="A127" s="2143" t="s">
        <v>10774</v>
      </c>
      <c r="B127" s="2274" t="s">
        <v>10775</v>
      </c>
      <c r="C127" s="2391">
        <v>9</v>
      </c>
      <c r="D127" s="2391"/>
      <c r="E127" s="2391"/>
      <c r="F127" s="2392"/>
      <c r="G127" s="2148" t="s">
        <v>10776</v>
      </c>
      <c r="H127" s="2148" t="s">
        <v>10777</v>
      </c>
      <c r="I127" s="2148"/>
      <c r="J127" s="2149">
        <v>800</v>
      </c>
      <c r="K127" s="2393">
        <v>0.039655</v>
      </c>
      <c r="L127" s="2149">
        <f t="shared" ref="L127:L132" si="46">ROUND(J127/K127,0)</f>
        <v>20174</v>
      </c>
      <c r="M127" s="2278">
        <v>1785</v>
      </c>
      <c r="N127" s="2280">
        <v>1784</v>
      </c>
      <c r="O127" s="2280">
        <v>1785</v>
      </c>
      <c r="P127" s="2280">
        <v>2498</v>
      </c>
      <c r="Q127" s="2280">
        <v>4295</v>
      </c>
      <c r="R127" s="2280">
        <v>3914</v>
      </c>
      <c r="S127" s="2280">
        <v>1443</v>
      </c>
      <c r="T127" s="2280">
        <v>1226</v>
      </c>
      <c r="U127" s="2280"/>
      <c r="V127" s="2282">
        <f t="shared" ref="V127:V159" si="47">SUM(M127:U127)</f>
        <v>18730</v>
      </c>
      <c r="W127" s="2283">
        <f t="shared" ref="W127:W159" si="48">ROUND(V127/K127,-1)</f>
        <v>472320</v>
      </c>
    </row>
    <row r="128" hidden="1" customHeight="1" spans="1:23">
      <c r="A128" s="2155"/>
      <c r="B128" s="2284"/>
      <c r="C128" s="2394"/>
      <c r="D128" s="2394"/>
      <c r="E128" s="2394"/>
      <c r="F128" s="2395"/>
      <c r="G128" s="2160" t="s">
        <v>10778</v>
      </c>
      <c r="H128" s="2160" t="s">
        <v>10779</v>
      </c>
      <c r="I128" s="2160"/>
      <c r="J128" s="2161">
        <v>100</v>
      </c>
      <c r="K128" s="2396">
        <v>0.017201</v>
      </c>
      <c r="L128" s="2161">
        <f t="shared" si="46"/>
        <v>5814</v>
      </c>
      <c r="M128" s="2294">
        <v>775</v>
      </c>
      <c r="N128" s="2295">
        <v>774</v>
      </c>
      <c r="O128" s="2295">
        <v>774</v>
      </c>
      <c r="P128" s="2295">
        <v>1083</v>
      </c>
      <c r="Q128" s="2295">
        <v>1863</v>
      </c>
      <c r="R128" s="2295">
        <v>1698</v>
      </c>
      <c r="S128" s="2295">
        <v>626</v>
      </c>
      <c r="T128" s="2295">
        <v>532</v>
      </c>
      <c r="U128" s="2295"/>
      <c r="V128" s="2397">
        <f t="shared" si="47"/>
        <v>8125</v>
      </c>
      <c r="W128" s="2292">
        <f t="shared" si="48"/>
        <v>472360</v>
      </c>
    </row>
    <row r="129" hidden="1" customHeight="1" spans="1:23">
      <c r="A129" s="2155"/>
      <c r="B129" s="2284"/>
      <c r="C129" s="2394"/>
      <c r="D129" s="2394"/>
      <c r="E129" s="2394"/>
      <c r="F129" s="2395"/>
      <c r="G129" s="2160" t="s">
        <v>10780</v>
      </c>
      <c r="H129" s="2160" t="s">
        <v>10781</v>
      </c>
      <c r="I129" s="2160"/>
      <c r="J129" s="2161">
        <v>300</v>
      </c>
      <c r="K129" s="2396">
        <v>0.011433</v>
      </c>
      <c r="L129" s="2161">
        <f t="shared" si="46"/>
        <v>26240</v>
      </c>
      <c r="M129" s="2294">
        <v>515</v>
      </c>
      <c r="N129" s="2295">
        <v>514</v>
      </c>
      <c r="O129" s="2295">
        <v>515</v>
      </c>
      <c r="P129" s="2295">
        <v>720</v>
      </c>
      <c r="Q129" s="2295">
        <v>1238</v>
      </c>
      <c r="R129" s="2295">
        <v>1129</v>
      </c>
      <c r="S129" s="2295">
        <v>416</v>
      </c>
      <c r="T129" s="2295">
        <v>353</v>
      </c>
      <c r="U129" s="2295"/>
      <c r="V129" s="2397">
        <f t="shared" si="47"/>
        <v>5400</v>
      </c>
      <c r="W129" s="2292">
        <f t="shared" si="48"/>
        <v>472320</v>
      </c>
    </row>
    <row r="130" hidden="1" customHeight="1" spans="1:23">
      <c r="A130" s="2155"/>
      <c r="B130" s="2284"/>
      <c r="C130" s="2394"/>
      <c r="D130" s="2394"/>
      <c r="E130" s="2394"/>
      <c r="F130" s="2395"/>
      <c r="G130" s="2160" t="s">
        <v>10782</v>
      </c>
      <c r="H130" s="2160" t="s">
        <v>10783</v>
      </c>
      <c r="I130" s="2160"/>
      <c r="J130" s="2161">
        <v>800</v>
      </c>
      <c r="K130" s="2396">
        <v>0.0165</v>
      </c>
      <c r="L130" s="2161">
        <f t="shared" si="46"/>
        <v>48485</v>
      </c>
      <c r="M130" s="2288">
        <v>800</v>
      </c>
      <c r="N130" s="2290">
        <v>800</v>
      </c>
      <c r="O130" s="2290">
        <v>800</v>
      </c>
      <c r="P130" s="2295">
        <v>867</v>
      </c>
      <c r="Q130" s="2295">
        <v>1787</v>
      </c>
      <c r="R130" s="2295">
        <v>1629</v>
      </c>
      <c r="S130" s="2290">
        <v>800</v>
      </c>
      <c r="T130" s="2290">
        <v>800</v>
      </c>
      <c r="U130" s="2295"/>
      <c r="V130" s="2397">
        <f t="shared" si="47"/>
        <v>8283</v>
      </c>
      <c r="W130" s="2292">
        <f t="shared" si="48"/>
        <v>502000</v>
      </c>
    </row>
    <row r="131" hidden="1" customHeight="1" spans="1:23">
      <c r="A131" s="2155"/>
      <c r="B131" s="2284"/>
      <c r="C131" s="2394"/>
      <c r="D131" s="2394"/>
      <c r="E131" s="2394"/>
      <c r="F131" s="2395"/>
      <c r="G131" s="2160" t="s">
        <v>10784</v>
      </c>
      <c r="H131" s="2160" t="s">
        <v>10785</v>
      </c>
      <c r="I131" s="2160"/>
      <c r="J131" s="2161">
        <v>500</v>
      </c>
      <c r="K131" s="2396">
        <v>0.012772</v>
      </c>
      <c r="L131" s="2161">
        <f t="shared" si="46"/>
        <v>39148</v>
      </c>
      <c r="M131" s="2294">
        <v>575</v>
      </c>
      <c r="N131" s="2295">
        <v>575</v>
      </c>
      <c r="O131" s="2295">
        <v>575</v>
      </c>
      <c r="P131" s="2295">
        <v>804</v>
      </c>
      <c r="Q131" s="2295">
        <v>1384</v>
      </c>
      <c r="R131" s="2295">
        <v>1260</v>
      </c>
      <c r="S131" s="2288">
        <v>500</v>
      </c>
      <c r="T131" s="2290">
        <v>500</v>
      </c>
      <c r="U131" s="2290"/>
      <c r="V131" s="2397">
        <f t="shared" si="47"/>
        <v>6173</v>
      </c>
      <c r="W131" s="2292">
        <f t="shared" si="48"/>
        <v>483320</v>
      </c>
    </row>
    <row r="132" hidden="1" customHeight="1" spans="1:23">
      <c r="A132" s="2155"/>
      <c r="B132" s="2284"/>
      <c r="C132" s="2394"/>
      <c r="D132" s="2394"/>
      <c r="E132" s="2394"/>
      <c r="F132" s="2395"/>
      <c r="G132" s="2160" t="s">
        <v>10786</v>
      </c>
      <c r="H132" s="2160" t="s">
        <v>10787</v>
      </c>
      <c r="I132" s="2160"/>
      <c r="J132" s="2161">
        <v>500</v>
      </c>
      <c r="K132" s="2396">
        <v>0.002678</v>
      </c>
      <c r="L132" s="2161">
        <f t="shared" si="46"/>
        <v>186706</v>
      </c>
      <c r="M132" s="2288">
        <v>500</v>
      </c>
      <c r="N132" s="2295"/>
      <c r="O132" s="2295"/>
      <c r="P132" s="2288">
        <v>500</v>
      </c>
      <c r="Q132" s="2288"/>
      <c r="R132" s="2288">
        <v>500</v>
      </c>
      <c r="S132" s="2288"/>
      <c r="T132" s="2288"/>
      <c r="U132" s="2295"/>
      <c r="V132" s="2397">
        <f t="shared" si="47"/>
        <v>1500</v>
      </c>
      <c r="W132" s="2292">
        <f t="shared" si="48"/>
        <v>560120</v>
      </c>
    </row>
    <row r="133" hidden="1" customHeight="1" spans="1:23">
      <c r="A133" s="2155"/>
      <c r="B133" s="2297"/>
      <c r="C133" s="2398"/>
      <c r="D133" s="2398"/>
      <c r="E133" s="2398"/>
      <c r="F133" s="2399"/>
      <c r="G133" s="2170" t="s">
        <v>10788</v>
      </c>
      <c r="H133" s="2170"/>
      <c r="I133" s="2170"/>
      <c r="J133" s="2171"/>
      <c r="K133" s="2400">
        <v>1</v>
      </c>
      <c r="L133" s="2171"/>
      <c r="M133" s="2301">
        <v>45000</v>
      </c>
      <c r="N133" s="2302">
        <v>45000</v>
      </c>
      <c r="O133" s="2302">
        <v>45000</v>
      </c>
      <c r="P133" s="2302">
        <v>63000</v>
      </c>
      <c r="Q133" s="2302">
        <v>108300</v>
      </c>
      <c r="R133" s="2302">
        <v>98700</v>
      </c>
      <c r="S133" s="2302">
        <v>36400</v>
      </c>
      <c r="T133" s="2302">
        <v>30900</v>
      </c>
      <c r="U133" s="2302"/>
      <c r="V133" s="2401">
        <f t="shared" si="47"/>
        <v>472300</v>
      </c>
      <c r="W133" s="2304">
        <f t="shared" si="48"/>
        <v>472300</v>
      </c>
    </row>
    <row r="134" hidden="1" customHeight="1" spans="1:23">
      <c r="A134" s="2155"/>
      <c r="B134" s="2402" t="s">
        <v>10789</v>
      </c>
      <c r="C134" s="2394">
        <v>1</v>
      </c>
      <c r="D134" s="2394"/>
      <c r="E134" s="2394"/>
      <c r="F134" s="2395"/>
      <c r="G134" s="2220" t="s">
        <v>10790</v>
      </c>
      <c r="H134" s="2220" t="s">
        <v>10791</v>
      </c>
      <c r="I134" s="2220"/>
      <c r="J134" s="2221">
        <v>1</v>
      </c>
      <c r="K134" s="2403">
        <v>0.0451</v>
      </c>
      <c r="L134" s="2221">
        <f t="shared" ref="L134:L136" si="49">ROUND(J134/K134,0)</f>
        <v>22</v>
      </c>
      <c r="M134" s="2404">
        <v>1353</v>
      </c>
      <c r="N134" s="2405"/>
      <c r="O134" s="2405"/>
      <c r="P134" s="2405"/>
      <c r="Q134" s="2405">
        <v>451</v>
      </c>
      <c r="R134" s="2405">
        <v>451</v>
      </c>
      <c r="S134" s="2405">
        <v>451</v>
      </c>
      <c r="T134" s="2405"/>
      <c r="U134" s="2405"/>
      <c r="V134" s="2406">
        <f t="shared" si="47"/>
        <v>2706</v>
      </c>
      <c r="W134" s="2407">
        <f t="shared" si="48"/>
        <v>60000</v>
      </c>
    </row>
    <row r="135" hidden="1" customHeight="1" spans="1:23">
      <c r="A135" s="2155"/>
      <c r="B135" s="2408"/>
      <c r="C135" s="2394"/>
      <c r="D135" s="2391"/>
      <c r="E135" s="2391"/>
      <c r="F135" s="2392"/>
      <c r="G135" s="2160" t="s">
        <v>10792</v>
      </c>
      <c r="H135" s="2160" t="s">
        <v>10785</v>
      </c>
      <c r="I135" s="2160"/>
      <c r="J135" s="2161">
        <v>500</v>
      </c>
      <c r="K135" s="2396">
        <v>0.012772</v>
      </c>
      <c r="L135" s="2161">
        <f t="shared" si="49"/>
        <v>39148</v>
      </c>
      <c r="M135" s="2288">
        <v>500</v>
      </c>
      <c r="N135" s="2295"/>
      <c r="O135" s="2295"/>
      <c r="P135" s="2295"/>
      <c r="Q135" s="2290">
        <v>267</v>
      </c>
      <c r="R135" s="2290"/>
      <c r="S135" s="2290"/>
      <c r="T135" s="2290"/>
      <c r="U135" s="2295"/>
      <c r="V135" s="2397">
        <f t="shared" si="47"/>
        <v>767</v>
      </c>
      <c r="W135" s="2292">
        <f t="shared" si="48"/>
        <v>60050</v>
      </c>
    </row>
    <row r="136" hidden="1" customHeight="1" spans="1:23">
      <c r="A136" s="2155"/>
      <c r="B136" s="2408"/>
      <c r="C136" s="2394"/>
      <c r="D136" s="2394"/>
      <c r="E136" s="2394"/>
      <c r="F136" s="2395"/>
      <c r="G136" s="2160" t="s">
        <v>10793</v>
      </c>
      <c r="H136" s="2160" t="s">
        <v>10787</v>
      </c>
      <c r="I136" s="2160"/>
      <c r="J136" s="2161">
        <v>500</v>
      </c>
      <c r="K136" s="2396">
        <v>0.002678</v>
      </c>
      <c r="L136" s="2161">
        <f t="shared" si="49"/>
        <v>186706</v>
      </c>
      <c r="M136" s="2288">
        <v>105</v>
      </c>
      <c r="N136" s="2295"/>
      <c r="O136" s="2295"/>
      <c r="P136" s="2295"/>
      <c r="Q136" s="2290">
        <v>56</v>
      </c>
      <c r="R136" s="2290"/>
      <c r="S136" s="2290"/>
      <c r="T136" s="2290"/>
      <c r="U136" s="2295"/>
      <c r="V136" s="2397">
        <f t="shared" si="47"/>
        <v>161</v>
      </c>
      <c r="W136" s="2292">
        <f t="shared" si="48"/>
        <v>60120</v>
      </c>
    </row>
    <row r="137" hidden="1" customHeight="1" spans="1:23">
      <c r="A137" s="2155"/>
      <c r="B137" s="2409"/>
      <c r="C137" s="2398"/>
      <c r="D137" s="2398"/>
      <c r="E137" s="2398"/>
      <c r="F137" s="2399"/>
      <c r="G137" s="2170" t="s">
        <v>10788</v>
      </c>
      <c r="H137" s="2170"/>
      <c r="I137" s="2170"/>
      <c r="J137" s="2171"/>
      <c r="K137" s="2400">
        <v>1</v>
      </c>
      <c r="L137" s="2171"/>
      <c r="M137" s="2301">
        <v>30000</v>
      </c>
      <c r="N137" s="2302"/>
      <c r="O137" s="2302"/>
      <c r="P137" s="2302"/>
      <c r="Q137" s="2302">
        <v>10000</v>
      </c>
      <c r="R137" s="2302">
        <v>10000</v>
      </c>
      <c r="S137" s="2302">
        <v>10000</v>
      </c>
      <c r="T137" s="2302"/>
      <c r="U137" s="2302"/>
      <c r="V137" s="2401">
        <f t="shared" si="47"/>
        <v>60000</v>
      </c>
      <c r="W137" s="2304">
        <f t="shared" si="48"/>
        <v>60000</v>
      </c>
    </row>
    <row r="138" hidden="1" customHeight="1" spans="1:23">
      <c r="A138" s="2155"/>
      <c r="B138" s="2274" t="s">
        <v>10794</v>
      </c>
      <c r="C138" s="2391">
        <v>10</v>
      </c>
      <c r="D138" s="2391"/>
      <c r="E138" s="2391"/>
      <c r="F138" s="2392"/>
      <c r="G138" s="2148" t="s">
        <v>10795</v>
      </c>
      <c r="H138" s="2148" t="s">
        <v>10796</v>
      </c>
      <c r="I138" s="2148"/>
      <c r="J138" s="2149">
        <v>1000</v>
      </c>
      <c r="K138" s="2393">
        <v>0.055208</v>
      </c>
      <c r="L138" s="2149">
        <f t="shared" ref="L138:L140" si="50">ROUND(J138/K138,0)</f>
        <v>18113</v>
      </c>
      <c r="M138" s="2278">
        <v>2761</v>
      </c>
      <c r="N138" s="2280">
        <v>2760</v>
      </c>
      <c r="O138" s="2280">
        <v>2761</v>
      </c>
      <c r="P138" s="2280">
        <v>3864</v>
      </c>
      <c r="Q138" s="2280">
        <v>6625</v>
      </c>
      <c r="R138" s="2280">
        <v>6073</v>
      </c>
      <c r="S138" s="2280">
        <v>2219</v>
      </c>
      <c r="T138" s="2280">
        <v>1902</v>
      </c>
      <c r="U138" s="2280"/>
      <c r="V138" s="2282">
        <f t="shared" si="47"/>
        <v>28965</v>
      </c>
      <c r="W138" s="2283">
        <f t="shared" si="48"/>
        <v>524650</v>
      </c>
    </row>
    <row r="139" hidden="1" customHeight="1" spans="1:23">
      <c r="A139" s="2155"/>
      <c r="B139" s="2284"/>
      <c r="C139" s="2394"/>
      <c r="D139" s="2394"/>
      <c r="E139" s="2394"/>
      <c r="F139" s="2395"/>
      <c r="G139" s="2160" t="s">
        <v>10797</v>
      </c>
      <c r="H139" s="2160" t="s">
        <v>10785</v>
      </c>
      <c r="I139" s="2160"/>
      <c r="J139" s="2161">
        <v>500</v>
      </c>
      <c r="K139" s="2396">
        <v>0.012772</v>
      </c>
      <c r="L139" s="2161">
        <f t="shared" si="50"/>
        <v>39148</v>
      </c>
      <c r="M139" s="2294">
        <v>639</v>
      </c>
      <c r="N139" s="2295">
        <v>639</v>
      </c>
      <c r="O139" s="2295">
        <v>638</v>
      </c>
      <c r="P139" s="2295">
        <v>894</v>
      </c>
      <c r="Q139" s="2295">
        <v>1533</v>
      </c>
      <c r="R139" s="2295">
        <v>1405</v>
      </c>
      <c r="S139" s="2295">
        <v>513</v>
      </c>
      <c r="T139" s="2290">
        <v>500</v>
      </c>
      <c r="U139" s="2290"/>
      <c r="V139" s="2397">
        <f t="shared" si="47"/>
        <v>6761</v>
      </c>
      <c r="W139" s="2292">
        <f t="shared" si="48"/>
        <v>529360</v>
      </c>
    </row>
    <row r="140" hidden="1" customHeight="1" spans="1:23">
      <c r="A140" s="2155"/>
      <c r="B140" s="2284"/>
      <c r="C140" s="2394"/>
      <c r="D140" s="2394"/>
      <c r="E140" s="2394"/>
      <c r="F140" s="2395"/>
      <c r="G140" s="2160" t="s">
        <v>10798</v>
      </c>
      <c r="H140" s="2160" t="s">
        <v>10787</v>
      </c>
      <c r="I140" s="2160"/>
      <c r="J140" s="2161">
        <v>500</v>
      </c>
      <c r="K140" s="2396">
        <v>0.002678</v>
      </c>
      <c r="L140" s="2161">
        <f t="shared" si="50"/>
        <v>186706</v>
      </c>
      <c r="M140" s="2288">
        <v>500</v>
      </c>
      <c r="N140" s="2295"/>
      <c r="O140" s="2295"/>
      <c r="P140" s="2288">
        <v>500</v>
      </c>
      <c r="Q140" s="2288"/>
      <c r="R140" s="2288">
        <v>500</v>
      </c>
      <c r="S140" s="2288"/>
      <c r="T140" s="2288"/>
      <c r="U140" s="2295"/>
      <c r="V140" s="2397">
        <f t="shared" si="47"/>
        <v>1500</v>
      </c>
      <c r="W140" s="2292">
        <f t="shared" si="48"/>
        <v>560120</v>
      </c>
    </row>
    <row r="141" hidden="1" customHeight="1" spans="1:23">
      <c r="A141" s="2155"/>
      <c r="B141" s="2297"/>
      <c r="C141" s="2398"/>
      <c r="D141" s="2398"/>
      <c r="E141" s="2398"/>
      <c r="F141" s="2399"/>
      <c r="G141" s="2170" t="s">
        <v>10788</v>
      </c>
      <c r="H141" s="2170"/>
      <c r="I141" s="2170"/>
      <c r="J141" s="2171"/>
      <c r="K141" s="2400">
        <v>1</v>
      </c>
      <c r="L141" s="2171"/>
      <c r="M141" s="2301">
        <v>50000</v>
      </c>
      <c r="N141" s="2302">
        <v>50000</v>
      </c>
      <c r="O141" s="2302">
        <v>50000</v>
      </c>
      <c r="P141" s="2302">
        <v>70000</v>
      </c>
      <c r="Q141" s="2302">
        <v>120000</v>
      </c>
      <c r="R141" s="2302">
        <v>110000</v>
      </c>
      <c r="S141" s="2302">
        <v>40200</v>
      </c>
      <c r="T141" s="2302">
        <v>34450</v>
      </c>
      <c r="U141" s="2302"/>
      <c r="V141" s="2401">
        <f t="shared" si="47"/>
        <v>524650</v>
      </c>
      <c r="W141" s="2304">
        <f t="shared" si="48"/>
        <v>524650</v>
      </c>
    </row>
    <row r="142" hidden="1" customHeight="1" spans="1:23">
      <c r="A142" s="2155"/>
      <c r="B142" s="2274" t="s">
        <v>10799</v>
      </c>
      <c r="C142" s="2391">
        <v>10</v>
      </c>
      <c r="D142" s="2391"/>
      <c r="E142" s="2391"/>
      <c r="F142" s="2392"/>
      <c r="G142" s="2148" t="s">
        <v>10800</v>
      </c>
      <c r="H142" s="2148" t="s">
        <v>10791</v>
      </c>
      <c r="I142" s="2148"/>
      <c r="J142" s="2149">
        <v>500</v>
      </c>
      <c r="K142" s="2393">
        <v>0.043466</v>
      </c>
      <c r="L142" s="2149">
        <f t="shared" ref="L142:L145" si="51">ROUND(J142/K142,0)</f>
        <v>11503</v>
      </c>
      <c r="M142" s="2294">
        <v>2174</v>
      </c>
      <c r="N142" s="2295">
        <v>2173</v>
      </c>
      <c r="O142" s="2295">
        <v>2173</v>
      </c>
      <c r="P142" s="2295">
        <v>3043</v>
      </c>
      <c r="Q142" s="2295">
        <v>5216</v>
      </c>
      <c r="R142" s="2295">
        <v>4781</v>
      </c>
      <c r="S142" s="2295">
        <v>1739</v>
      </c>
      <c r="T142" s="2295">
        <v>1517</v>
      </c>
      <c r="U142" s="2295"/>
      <c r="V142" s="2397">
        <f t="shared" si="47"/>
        <v>22816</v>
      </c>
      <c r="W142" s="2292">
        <f t="shared" si="48"/>
        <v>524920</v>
      </c>
    </row>
    <row r="143" hidden="1" customHeight="1" spans="1:23">
      <c r="A143" s="2155"/>
      <c r="B143" s="2284"/>
      <c r="C143" s="2394"/>
      <c r="D143" s="2394"/>
      <c r="E143" s="2394"/>
      <c r="F143" s="2395"/>
      <c r="G143" s="2220" t="s">
        <v>10801</v>
      </c>
      <c r="H143" s="2220" t="s">
        <v>10802</v>
      </c>
      <c r="I143" s="2220"/>
      <c r="J143" s="2221">
        <v>800</v>
      </c>
      <c r="K143" s="2403">
        <v>0.0329291</v>
      </c>
      <c r="L143" s="2221">
        <f t="shared" si="51"/>
        <v>24295</v>
      </c>
      <c r="M143" s="2294">
        <v>1647</v>
      </c>
      <c r="N143" s="2295">
        <v>1646</v>
      </c>
      <c r="O143" s="2295">
        <v>1647</v>
      </c>
      <c r="P143" s="2295">
        <v>2305</v>
      </c>
      <c r="Q143" s="2295">
        <v>3951</v>
      </c>
      <c r="R143" s="2295">
        <v>3623</v>
      </c>
      <c r="S143" s="2295">
        <v>1317</v>
      </c>
      <c r="T143" s="2295">
        <v>1149</v>
      </c>
      <c r="U143" s="2295"/>
      <c r="V143" s="2397">
        <f t="shared" si="47"/>
        <v>17285</v>
      </c>
      <c r="W143" s="2292">
        <f t="shared" si="48"/>
        <v>524920</v>
      </c>
    </row>
    <row r="144" hidden="1" customHeight="1" spans="1:23">
      <c r="A144" s="2155"/>
      <c r="B144" s="2284"/>
      <c r="C144" s="2394"/>
      <c r="D144" s="2394"/>
      <c r="E144" s="2394"/>
      <c r="F144" s="2395"/>
      <c r="G144" s="2220" t="s">
        <v>10803</v>
      </c>
      <c r="H144" s="2220" t="s">
        <v>10785</v>
      </c>
      <c r="I144" s="2220"/>
      <c r="J144" s="2221">
        <v>500</v>
      </c>
      <c r="K144" s="2403">
        <v>0.012772</v>
      </c>
      <c r="L144" s="2221">
        <f t="shared" si="51"/>
        <v>39148</v>
      </c>
      <c r="M144" s="2294">
        <v>639</v>
      </c>
      <c r="N144" s="2295">
        <v>639</v>
      </c>
      <c r="O144" s="2295">
        <v>638</v>
      </c>
      <c r="P144" s="2295">
        <v>894</v>
      </c>
      <c r="Q144" s="2295">
        <v>1533</v>
      </c>
      <c r="R144" s="2295">
        <v>1405</v>
      </c>
      <c r="S144" s="2295">
        <v>511</v>
      </c>
      <c r="T144" s="2290">
        <v>500</v>
      </c>
      <c r="U144" s="2290"/>
      <c r="V144" s="2397">
        <f t="shared" si="47"/>
        <v>6759</v>
      </c>
      <c r="W144" s="2292">
        <f t="shared" si="48"/>
        <v>529200</v>
      </c>
    </row>
    <row r="145" hidden="1" customHeight="1" spans="1:23">
      <c r="A145" s="2155"/>
      <c r="B145" s="2284"/>
      <c r="C145" s="2394"/>
      <c r="D145" s="2394"/>
      <c r="E145" s="2394"/>
      <c r="F145" s="2395"/>
      <c r="G145" s="2160" t="s">
        <v>10804</v>
      </c>
      <c r="H145" s="2160" t="s">
        <v>10787</v>
      </c>
      <c r="I145" s="2160"/>
      <c r="J145" s="2161">
        <v>500</v>
      </c>
      <c r="K145" s="2396">
        <v>0.002678</v>
      </c>
      <c r="L145" s="2161">
        <f t="shared" si="51"/>
        <v>186706</v>
      </c>
      <c r="M145" s="2288">
        <v>500</v>
      </c>
      <c r="N145" s="2295"/>
      <c r="O145" s="2295"/>
      <c r="P145" s="2288">
        <v>500</v>
      </c>
      <c r="Q145" s="2288"/>
      <c r="R145" s="2288">
        <v>500</v>
      </c>
      <c r="S145" s="2288"/>
      <c r="T145" s="2288"/>
      <c r="U145" s="2295"/>
      <c r="V145" s="2397">
        <f t="shared" si="47"/>
        <v>1500</v>
      </c>
      <c r="W145" s="2292">
        <f t="shared" si="48"/>
        <v>560120</v>
      </c>
    </row>
    <row r="146" hidden="1" customHeight="1" spans="1:23">
      <c r="A146" s="2155"/>
      <c r="B146" s="2297"/>
      <c r="C146" s="2398"/>
      <c r="D146" s="2398"/>
      <c r="E146" s="2398"/>
      <c r="F146" s="2399"/>
      <c r="G146" s="2170" t="s">
        <v>10788</v>
      </c>
      <c r="H146" s="2170"/>
      <c r="I146" s="2170"/>
      <c r="J146" s="2171"/>
      <c r="K146" s="2400">
        <v>1</v>
      </c>
      <c r="L146" s="2171"/>
      <c r="M146" s="2301">
        <v>50000</v>
      </c>
      <c r="N146" s="2302">
        <v>50000</v>
      </c>
      <c r="O146" s="2302">
        <v>50000</v>
      </c>
      <c r="P146" s="2302">
        <v>70000</v>
      </c>
      <c r="Q146" s="2302">
        <v>120000</v>
      </c>
      <c r="R146" s="2302">
        <v>110000</v>
      </c>
      <c r="S146" s="2302">
        <v>40000</v>
      </c>
      <c r="T146" s="2302">
        <v>34900</v>
      </c>
      <c r="U146" s="2302"/>
      <c r="V146" s="2401">
        <f t="shared" si="47"/>
        <v>524900</v>
      </c>
      <c r="W146" s="2304">
        <f t="shared" si="48"/>
        <v>524900</v>
      </c>
    </row>
    <row r="147" hidden="1" customHeight="1" spans="1:23">
      <c r="A147" s="2155"/>
      <c r="B147" s="2274" t="s">
        <v>10805</v>
      </c>
      <c r="C147" s="2391">
        <v>10</v>
      </c>
      <c r="D147" s="2391"/>
      <c r="E147" s="2391"/>
      <c r="F147" s="2392"/>
      <c r="G147" s="2148" t="s">
        <v>10806</v>
      </c>
      <c r="H147" s="2148" t="s">
        <v>10796</v>
      </c>
      <c r="I147" s="2148"/>
      <c r="J147" s="2149">
        <v>800</v>
      </c>
      <c r="K147" s="2393">
        <v>0.053354</v>
      </c>
      <c r="L147" s="2149">
        <f t="shared" ref="L147:L150" si="52">ROUND(J147/K147,0)</f>
        <v>14994</v>
      </c>
      <c r="M147" s="2278">
        <v>2668</v>
      </c>
      <c r="N147" s="2280">
        <v>2668</v>
      </c>
      <c r="O147" s="2280">
        <v>2668</v>
      </c>
      <c r="P147" s="2280">
        <v>3734</v>
      </c>
      <c r="Q147" s="2280">
        <v>6403</v>
      </c>
      <c r="R147" s="2280">
        <v>5869</v>
      </c>
      <c r="S147" s="2280">
        <v>2134</v>
      </c>
      <c r="T147" s="2280">
        <v>1835</v>
      </c>
      <c r="U147" s="2280"/>
      <c r="V147" s="2282">
        <f t="shared" si="47"/>
        <v>27979</v>
      </c>
      <c r="W147" s="2283">
        <f t="shared" si="48"/>
        <v>524400</v>
      </c>
    </row>
    <row r="148" hidden="1" customHeight="1" spans="1:23">
      <c r="A148" s="2155"/>
      <c r="B148" s="2284"/>
      <c r="C148" s="2394"/>
      <c r="D148" s="2394"/>
      <c r="E148" s="2394"/>
      <c r="F148" s="2395"/>
      <c r="G148" s="2160" t="s">
        <v>10807</v>
      </c>
      <c r="H148" s="2160" t="s">
        <v>10808</v>
      </c>
      <c r="I148" s="2160"/>
      <c r="J148" s="2161">
        <v>800</v>
      </c>
      <c r="K148" s="2396">
        <v>0.0222171</v>
      </c>
      <c r="L148" s="2161">
        <f t="shared" si="52"/>
        <v>36008</v>
      </c>
      <c r="M148" s="2294">
        <v>1111</v>
      </c>
      <c r="N148" s="2295">
        <v>1111</v>
      </c>
      <c r="O148" s="2295">
        <v>1111</v>
      </c>
      <c r="P148" s="2295">
        <v>1555</v>
      </c>
      <c r="Q148" s="2295">
        <v>2666</v>
      </c>
      <c r="R148" s="2295">
        <v>2444</v>
      </c>
      <c r="S148" s="2295">
        <v>889</v>
      </c>
      <c r="T148" s="2290">
        <v>800</v>
      </c>
      <c r="U148" s="2290"/>
      <c r="V148" s="2397">
        <f t="shared" si="47"/>
        <v>11687</v>
      </c>
      <c r="W148" s="2292">
        <f t="shared" si="48"/>
        <v>526040</v>
      </c>
    </row>
    <row r="149" hidden="1" customHeight="1" spans="1:23">
      <c r="A149" s="2155"/>
      <c r="B149" s="2284"/>
      <c r="C149" s="2394"/>
      <c r="D149" s="2394"/>
      <c r="E149" s="2394"/>
      <c r="F149" s="2395"/>
      <c r="G149" s="2160" t="s">
        <v>10809</v>
      </c>
      <c r="H149" s="2160" t="s">
        <v>10785</v>
      </c>
      <c r="I149" s="2160"/>
      <c r="J149" s="2161">
        <v>500</v>
      </c>
      <c r="K149" s="2396">
        <v>0.012772</v>
      </c>
      <c r="L149" s="2161">
        <f t="shared" si="52"/>
        <v>39148</v>
      </c>
      <c r="M149" s="2294">
        <v>639</v>
      </c>
      <c r="N149" s="2295">
        <v>639</v>
      </c>
      <c r="O149" s="2295">
        <v>638</v>
      </c>
      <c r="P149" s="2295">
        <v>894</v>
      </c>
      <c r="Q149" s="2295">
        <v>1533</v>
      </c>
      <c r="R149" s="2295">
        <v>1405</v>
      </c>
      <c r="S149" s="2295">
        <v>511</v>
      </c>
      <c r="T149" s="2290">
        <v>500</v>
      </c>
      <c r="U149" s="2290"/>
      <c r="V149" s="2397">
        <f t="shared" si="47"/>
        <v>6759</v>
      </c>
      <c r="W149" s="2292">
        <f t="shared" si="48"/>
        <v>529200</v>
      </c>
    </row>
    <row r="150" hidden="1" customHeight="1" spans="1:23">
      <c r="A150" s="2155"/>
      <c r="B150" s="2284"/>
      <c r="C150" s="2394"/>
      <c r="D150" s="2394"/>
      <c r="E150" s="2394"/>
      <c r="F150" s="2395"/>
      <c r="G150" s="2160" t="s">
        <v>10810</v>
      </c>
      <c r="H150" s="2160" t="s">
        <v>10787</v>
      </c>
      <c r="I150" s="2160"/>
      <c r="J150" s="2161">
        <v>500</v>
      </c>
      <c r="K150" s="2396">
        <v>0.002678</v>
      </c>
      <c r="L150" s="2161">
        <f t="shared" si="52"/>
        <v>186706</v>
      </c>
      <c r="M150" s="2288">
        <v>500</v>
      </c>
      <c r="N150" s="2295"/>
      <c r="O150" s="2295"/>
      <c r="P150" s="2288">
        <v>500</v>
      </c>
      <c r="Q150" s="2288"/>
      <c r="R150" s="2288">
        <v>500</v>
      </c>
      <c r="S150" s="2288"/>
      <c r="T150" s="2288"/>
      <c r="U150" s="2295"/>
      <c r="V150" s="2397">
        <f t="shared" si="47"/>
        <v>1500</v>
      </c>
      <c r="W150" s="2292">
        <f t="shared" si="48"/>
        <v>560120</v>
      </c>
    </row>
    <row r="151" hidden="1" customHeight="1" spans="1:23">
      <c r="A151" s="2155"/>
      <c r="B151" s="2297"/>
      <c r="C151" s="2398"/>
      <c r="D151" s="2398"/>
      <c r="E151" s="2398"/>
      <c r="F151" s="2399"/>
      <c r="G151" s="2170" t="s">
        <v>10788</v>
      </c>
      <c r="H151" s="2170"/>
      <c r="I151" s="2170"/>
      <c r="J151" s="2171"/>
      <c r="K151" s="2400">
        <v>1</v>
      </c>
      <c r="L151" s="2171"/>
      <c r="M151" s="2301">
        <v>50000</v>
      </c>
      <c r="N151" s="2302">
        <v>50000</v>
      </c>
      <c r="O151" s="2302">
        <v>50000</v>
      </c>
      <c r="P151" s="2302">
        <v>70000</v>
      </c>
      <c r="Q151" s="2302">
        <v>120000</v>
      </c>
      <c r="R151" s="2302">
        <v>110000</v>
      </c>
      <c r="S151" s="2302">
        <v>40000</v>
      </c>
      <c r="T151" s="2302">
        <v>34400</v>
      </c>
      <c r="U151" s="2302"/>
      <c r="V151" s="2401">
        <f t="shared" si="47"/>
        <v>524400</v>
      </c>
      <c r="W151" s="2304">
        <f t="shared" si="48"/>
        <v>524400</v>
      </c>
    </row>
    <row r="152" hidden="1" customHeight="1" spans="1:23">
      <c r="A152" s="2155"/>
      <c r="B152" s="2274" t="s">
        <v>10811</v>
      </c>
      <c r="C152" s="2391">
        <v>10</v>
      </c>
      <c r="D152" s="2391"/>
      <c r="E152" s="2391"/>
      <c r="F152" s="2392"/>
      <c r="G152" s="2148" t="s">
        <v>10812</v>
      </c>
      <c r="H152" s="2148" t="s">
        <v>10813</v>
      </c>
      <c r="I152" s="2148"/>
      <c r="J152" s="2149">
        <v>800</v>
      </c>
      <c r="K152" s="2393">
        <v>0.0763951</v>
      </c>
      <c r="L152" s="2149">
        <f t="shared" ref="L152:L154" si="53">ROUND(J152/K152,0)</f>
        <v>10472</v>
      </c>
      <c r="M152" s="2278">
        <v>3820</v>
      </c>
      <c r="N152" s="2280">
        <v>3820</v>
      </c>
      <c r="O152" s="2280">
        <v>3820</v>
      </c>
      <c r="P152" s="2280">
        <v>5347</v>
      </c>
      <c r="Q152" s="2280">
        <v>9168</v>
      </c>
      <c r="R152" s="2280">
        <v>8403</v>
      </c>
      <c r="S152" s="2280">
        <v>3056</v>
      </c>
      <c r="T152" s="2280">
        <v>2628</v>
      </c>
      <c r="U152" s="2280"/>
      <c r="V152" s="2282">
        <f t="shared" si="47"/>
        <v>40062</v>
      </c>
      <c r="W152" s="2283">
        <f t="shared" si="48"/>
        <v>524410</v>
      </c>
    </row>
    <row r="153" hidden="1" customHeight="1" spans="1:23">
      <c r="A153" s="2155"/>
      <c r="B153" s="2284"/>
      <c r="C153" s="2394"/>
      <c r="D153" s="2394"/>
      <c r="E153" s="2394"/>
      <c r="F153" s="2395"/>
      <c r="G153" s="2160" t="s">
        <v>10814</v>
      </c>
      <c r="H153" s="2160" t="s">
        <v>10785</v>
      </c>
      <c r="I153" s="2160"/>
      <c r="J153" s="2161">
        <v>500</v>
      </c>
      <c r="K153" s="2396">
        <v>0.012772</v>
      </c>
      <c r="L153" s="2161">
        <f t="shared" si="53"/>
        <v>39148</v>
      </c>
      <c r="M153" s="2294">
        <v>639</v>
      </c>
      <c r="N153" s="2295">
        <v>639</v>
      </c>
      <c r="O153" s="2295">
        <v>638</v>
      </c>
      <c r="P153" s="2295">
        <v>894</v>
      </c>
      <c r="Q153" s="2295">
        <v>1533</v>
      </c>
      <c r="R153" s="2295">
        <v>1405</v>
      </c>
      <c r="S153" s="2295">
        <v>511</v>
      </c>
      <c r="T153" s="2290">
        <v>500</v>
      </c>
      <c r="U153" s="2290"/>
      <c r="V153" s="2397">
        <f t="shared" si="47"/>
        <v>6759</v>
      </c>
      <c r="W153" s="2292">
        <f t="shared" si="48"/>
        <v>529200</v>
      </c>
    </row>
    <row r="154" hidden="1" customHeight="1" spans="1:23">
      <c r="A154" s="2155"/>
      <c r="B154" s="2284"/>
      <c r="C154" s="2394"/>
      <c r="D154" s="2394"/>
      <c r="E154" s="2394"/>
      <c r="F154" s="2395"/>
      <c r="G154" s="2160" t="s">
        <v>10815</v>
      </c>
      <c r="H154" s="2160" t="s">
        <v>10787</v>
      </c>
      <c r="I154" s="2160"/>
      <c r="J154" s="2161">
        <v>500</v>
      </c>
      <c r="K154" s="2396">
        <v>0.002678</v>
      </c>
      <c r="L154" s="2161">
        <f t="shared" si="53"/>
        <v>186706</v>
      </c>
      <c r="M154" s="2288">
        <v>500</v>
      </c>
      <c r="N154" s="2295"/>
      <c r="O154" s="2295"/>
      <c r="P154" s="2288">
        <v>500</v>
      </c>
      <c r="Q154" s="2288"/>
      <c r="R154" s="2288">
        <v>500</v>
      </c>
      <c r="S154" s="2288"/>
      <c r="T154" s="2288"/>
      <c r="U154" s="2295"/>
      <c r="V154" s="2397">
        <f t="shared" si="47"/>
        <v>1500</v>
      </c>
      <c r="W154" s="2292">
        <f t="shared" si="48"/>
        <v>560120</v>
      </c>
    </row>
    <row r="155" hidden="1" customHeight="1" spans="1:23">
      <c r="A155" s="2155"/>
      <c r="B155" s="2297"/>
      <c r="C155" s="2398"/>
      <c r="D155" s="2398"/>
      <c r="E155" s="2398"/>
      <c r="F155" s="2399"/>
      <c r="G155" s="2170" t="s">
        <v>10788</v>
      </c>
      <c r="H155" s="2170"/>
      <c r="I155" s="2170"/>
      <c r="J155" s="2171"/>
      <c r="K155" s="2400">
        <v>1</v>
      </c>
      <c r="L155" s="2171"/>
      <c r="M155" s="2301">
        <v>50000</v>
      </c>
      <c r="N155" s="2302">
        <v>50000</v>
      </c>
      <c r="O155" s="2302">
        <v>50000</v>
      </c>
      <c r="P155" s="2302">
        <v>70000</v>
      </c>
      <c r="Q155" s="2302">
        <v>120000</v>
      </c>
      <c r="R155" s="2302">
        <v>110000</v>
      </c>
      <c r="S155" s="2302">
        <v>40000</v>
      </c>
      <c r="T155" s="2302">
        <v>34400</v>
      </c>
      <c r="U155" s="2302"/>
      <c r="V155" s="2401">
        <f t="shared" si="47"/>
        <v>524400</v>
      </c>
      <c r="W155" s="2304">
        <f t="shared" si="48"/>
        <v>524400</v>
      </c>
    </row>
    <row r="156" hidden="1" customHeight="1" spans="1:23">
      <c r="A156" s="2155"/>
      <c r="B156" s="2402" t="s">
        <v>10816</v>
      </c>
      <c r="C156" s="2391">
        <v>10</v>
      </c>
      <c r="D156" s="2394"/>
      <c r="E156" s="2394"/>
      <c r="F156" s="2395"/>
      <c r="G156" s="2160" t="s">
        <v>10790</v>
      </c>
      <c r="H156" s="2160" t="s">
        <v>10817</v>
      </c>
      <c r="I156" s="2160"/>
      <c r="J156" s="2161">
        <v>1</v>
      </c>
      <c r="K156" s="2396">
        <v>0.0766</v>
      </c>
      <c r="L156" s="2161">
        <f t="shared" ref="L156:L158" si="54">ROUND(J156/K156,0)</f>
        <v>13</v>
      </c>
      <c r="M156" s="2294">
        <v>3830</v>
      </c>
      <c r="N156" s="2295">
        <v>3830</v>
      </c>
      <c r="O156" s="2295">
        <v>3830</v>
      </c>
      <c r="P156" s="2295">
        <v>5362</v>
      </c>
      <c r="Q156" s="2295">
        <v>9192</v>
      </c>
      <c r="R156" s="2295">
        <v>8426</v>
      </c>
      <c r="S156" s="2295">
        <v>3080</v>
      </c>
      <c r="T156" s="2295">
        <v>2643</v>
      </c>
      <c r="U156" s="2295"/>
      <c r="V156" s="2397">
        <f t="shared" si="47"/>
        <v>40193</v>
      </c>
      <c r="W156" s="2292">
        <f t="shared" si="48"/>
        <v>524710</v>
      </c>
    </row>
    <row r="157" hidden="1" customHeight="1" spans="1:23">
      <c r="A157" s="2155"/>
      <c r="B157" s="2408"/>
      <c r="C157" s="2394"/>
      <c r="D157" s="2391"/>
      <c r="E157" s="2391"/>
      <c r="F157" s="2392"/>
      <c r="G157" s="2160" t="s">
        <v>10818</v>
      </c>
      <c r="H157" s="2160" t="s">
        <v>10785</v>
      </c>
      <c r="I157" s="2160"/>
      <c r="J157" s="2161">
        <v>500</v>
      </c>
      <c r="K157" s="2396">
        <v>0.012772</v>
      </c>
      <c r="L157" s="2161">
        <f t="shared" si="54"/>
        <v>39148</v>
      </c>
      <c r="M157" s="2294">
        <v>639</v>
      </c>
      <c r="N157" s="2295">
        <v>639</v>
      </c>
      <c r="O157" s="2295">
        <v>638</v>
      </c>
      <c r="P157" s="2295">
        <v>894</v>
      </c>
      <c r="Q157" s="2295">
        <v>1533</v>
      </c>
      <c r="R157" s="2295">
        <v>1405</v>
      </c>
      <c r="S157" s="2295">
        <v>513</v>
      </c>
      <c r="T157" s="2290">
        <v>500</v>
      </c>
      <c r="U157" s="2290"/>
      <c r="V157" s="2397">
        <f t="shared" si="47"/>
        <v>6761</v>
      </c>
      <c r="W157" s="2292">
        <f t="shared" si="48"/>
        <v>529360</v>
      </c>
    </row>
    <row r="158" hidden="1" customHeight="1" spans="1:23">
      <c r="A158" s="2155"/>
      <c r="B158" s="2408"/>
      <c r="C158" s="2394"/>
      <c r="D158" s="2394"/>
      <c r="E158" s="2394"/>
      <c r="F158" s="2395"/>
      <c r="G158" s="2160" t="s">
        <v>10819</v>
      </c>
      <c r="H158" s="2160" t="s">
        <v>10787</v>
      </c>
      <c r="I158" s="2160"/>
      <c r="J158" s="2161">
        <v>500</v>
      </c>
      <c r="K158" s="2396">
        <v>0.002678</v>
      </c>
      <c r="L158" s="2161">
        <f t="shared" si="54"/>
        <v>186706</v>
      </c>
      <c r="M158" s="2288">
        <v>500</v>
      </c>
      <c r="N158" s="2295"/>
      <c r="O158" s="2295"/>
      <c r="P158" s="2288">
        <v>500</v>
      </c>
      <c r="Q158" s="2288"/>
      <c r="R158" s="2288">
        <v>500</v>
      </c>
      <c r="S158" s="2288"/>
      <c r="T158" s="2288"/>
      <c r="U158" s="2295"/>
      <c r="V158" s="2397">
        <f t="shared" si="47"/>
        <v>1500</v>
      </c>
      <c r="W158" s="2292">
        <f t="shared" si="48"/>
        <v>560120</v>
      </c>
    </row>
    <row r="159" hidden="1" customHeight="1" spans="1:23">
      <c r="A159" s="2180"/>
      <c r="B159" s="2409"/>
      <c r="C159" s="2398"/>
      <c r="D159" s="2398"/>
      <c r="E159" s="2398"/>
      <c r="F159" s="2399"/>
      <c r="G159" s="2170" t="s">
        <v>10788</v>
      </c>
      <c r="H159" s="2170"/>
      <c r="I159" s="2170"/>
      <c r="J159" s="2171"/>
      <c r="K159" s="2400">
        <v>1</v>
      </c>
      <c r="L159" s="2171"/>
      <c r="M159" s="2301">
        <v>50000</v>
      </c>
      <c r="N159" s="2302">
        <v>50000</v>
      </c>
      <c r="O159" s="2302">
        <v>50000</v>
      </c>
      <c r="P159" s="2302">
        <v>70000</v>
      </c>
      <c r="Q159" s="2302">
        <v>120000</v>
      </c>
      <c r="R159" s="2302">
        <v>110000</v>
      </c>
      <c r="S159" s="2302">
        <v>40200</v>
      </c>
      <c r="T159" s="2302">
        <v>34500</v>
      </c>
      <c r="U159" s="2302"/>
      <c r="V159" s="2401">
        <f t="shared" si="47"/>
        <v>524700</v>
      </c>
      <c r="W159" s="2304">
        <f t="shared" si="48"/>
        <v>524700</v>
      </c>
    </row>
    <row r="160" hidden="1" customHeight="1" spans="1:23">
      <c r="A160" s="2305"/>
      <c r="B160" s="2306" t="s">
        <v>10630</v>
      </c>
      <c r="C160" s="2307">
        <f t="shared" ref="C160:F160" si="55">SUM(C127:C159)</f>
        <v>60</v>
      </c>
      <c r="D160" s="2308">
        <f t="shared" si="55"/>
        <v>0</v>
      </c>
      <c r="E160" s="2308">
        <f t="shared" si="55"/>
        <v>0</v>
      </c>
      <c r="F160" s="2309">
        <f t="shared" si="55"/>
        <v>0</v>
      </c>
      <c r="G160" s="2306" t="s">
        <v>10820</v>
      </c>
      <c r="H160" s="2310"/>
      <c r="I160" s="2310" t="s">
        <v>10708</v>
      </c>
      <c r="J160" s="2311"/>
      <c r="K160" s="2410"/>
      <c r="L160" s="2311"/>
      <c r="M160" s="2311">
        <f t="shared" ref="M160:V160" si="56">SUM(M127:M159)-M161</f>
        <v>30614</v>
      </c>
      <c r="N160" s="2311">
        <f t="shared" si="56"/>
        <v>25650</v>
      </c>
      <c r="O160" s="2311">
        <f t="shared" si="56"/>
        <v>25649</v>
      </c>
      <c r="P160" s="2311">
        <f t="shared" si="56"/>
        <v>38652</v>
      </c>
      <c r="Q160" s="2311">
        <f t="shared" si="56"/>
        <v>62227</v>
      </c>
      <c r="R160" s="2311">
        <f t="shared" si="56"/>
        <v>59725</v>
      </c>
      <c r="S160" s="2311">
        <f t="shared" si="56"/>
        <v>21229</v>
      </c>
      <c r="T160" s="2311">
        <f t="shared" si="56"/>
        <v>18385</v>
      </c>
      <c r="U160" s="2311"/>
      <c r="V160" s="2311">
        <f t="shared" si="56"/>
        <v>282131</v>
      </c>
      <c r="W160" s="2312">
        <f>V161</f>
        <v>3155350</v>
      </c>
    </row>
    <row r="161" hidden="1" customHeight="1" spans="1:23">
      <c r="A161" s="2320"/>
      <c r="B161" s="2321"/>
      <c r="C161" s="2322"/>
      <c r="D161" s="2321"/>
      <c r="E161" s="2321"/>
      <c r="F161" s="2323"/>
      <c r="G161" s="2324" t="s">
        <v>10821</v>
      </c>
      <c r="H161" s="2325"/>
      <c r="I161" s="2325"/>
      <c r="J161" s="2326"/>
      <c r="K161" s="2411"/>
      <c r="L161" s="2326"/>
      <c r="M161" s="2326">
        <f t="shared" ref="M161:V161" si="57">SUM(M133,M137,M141,M146,M151,M155,M159)</f>
        <v>325000</v>
      </c>
      <c r="N161" s="2326">
        <f t="shared" si="57"/>
        <v>295000</v>
      </c>
      <c r="O161" s="2326">
        <f t="shared" si="57"/>
        <v>295000</v>
      </c>
      <c r="P161" s="2326">
        <f t="shared" si="57"/>
        <v>413000</v>
      </c>
      <c r="Q161" s="2326">
        <f t="shared" si="57"/>
        <v>718300</v>
      </c>
      <c r="R161" s="2326">
        <f t="shared" si="57"/>
        <v>658700</v>
      </c>
      <c r="S161" s="2326">
        <f t="shared" si="57"/>
        <v>246800</v>
      </c>
      <c r="T161" s="2326">
        <f t="shared" si="57"/>
        <v>203550</v>
      </c>
      <c r="U161" s="2326"/>
      <c r="V161" s="2326">
        <f>SUM(V133,V137,V141,V146,V151,V155,V159)</f>
        <v>3155350</v>
      </c>
      <c r="W161" s="2327"/>
    </row>
    <row r="162" hidden="1" customHeight="1"/>
    <row r="163" hidden="1" customHeight="1" spans="1:23">
      <c r="V163" s="2412"/>
    </row>
    <row r="164" hidden="1" customHeight="1" spans="1:23">
      <c r="A164" s="2413" t="s">
        <v>10579</v>
      </c>
      <c r="B164" s="2414" t="s">
        <v>10580</v>
      </c>
      <c r="C164" s="2415" t="s">
        <v>10583</v>
      </c>
      <c r="D164" s="2416" t="s">
        <v>10714</v>
      </c>
      <c r="E164" s="2417" t="s">
        <v>10585</v>
      </c>
      <c r="F164" s="2417" t="s">
        <v>10715</v>
      </c>
      <c r="G164" s="2417" t="s">
        <v>10716</v>
      </c>
      <c r="H164" s="2418" t="s">
        <v>10822</v>
      </c>
      <c r="I164" s="2418" t="s">
        <v>10823</v>
      </c>
      <c r="J164" s="2418" t="s">
        <v>10824</v>
      </c>
      <c r="K164" s="2419" t="s">
        <v>10825</v>
      </c>
      <c r="L164" s="2419" t="s">
        <v>10826</v>
      </c>
      <c r="M164" s="2420" t="s">
        <v>10720</v>
      </c>
      <c r="N164" s="2421" t="s">
        <v>10721</v>
      </c>
    </row>
    <row r="165" hidden="1" customHeight="1" spans="1:23">
      <c r="A165" s="2422" t="s">
        <v>10599</v>
      </c>
      <c r="B165" s="2423"/>
      <c r="C165" s="2424"/>
      <c r="D165" s="2425"/>
      <c r="E165" s="2426"/>
      <c r="F165" s="2426"/>
      <c r="G165" s="2426"/>
      <c r="H165" s="2258">
        <v>44196</v>
      </c>
      <c r="I165" s="2258">
        <v>44298</v>
      </c>
      <c r="J165" s="2258">
        <v>44330</v>
      </c>
      <c r="K165" s="2262">
        <v>44397</v>
      </c>
      <c r="L165" s="2262">
        <v>0</v>
      </c>
      <c r="M165" s="2427"/>
      <c r="N165" s="2428"/>
    </row>
    <row r="166" hidden="1" customHeight="1" spans="1:23">
      <c r="A166" s="2422" t="s">
        <v>10604</v>
      </c>
      <c r="B166" s="2423"/>
      <c r="C166" s="2424"/>
      <c r="D166" s="2425"/>
      <c r="E166" s="2426"/>
      <c r="F166" s="2426"/>
      <c r="G166" s="2426"/>
      <c r="H166" s="2258">
        <f>H165+30+5</f>
        <v>44231</v>
      </c>
      <c r="I166" s="2258">
        <v>44330</v>
      </c>
      <c r="J166" s="2258">
        <v>44362</v>
      </c>
      <c r="K166" s="2262">
        <v>44429</v>
      </c>
      <c r="L166" s="2262">
        <v>0</v>
      </c>
      <c r="M166" s="2427"/>
      <c r="N166" s="2428"/>
    </row>
    <row r="167" hidden="1" customHeight="1" spans="1:23">
      <c r="A167" s="2217" t="s">
        <v>10827</v>
      </c>
      <c r="B167" s="2429" t="s">
        <v>10828</v>
      </c>
      <c r="C167" s="2219" t="s">
        <v>10829</v>
      </c>
      <c r="D167" s="2220" t="s">
        <v>10830</v>
      </c>
      <c r="E167" s="2221">
        <v>1000</v>
      </c>
      <c r="F167" s="2338">
        <v>0.223</v>
      </c>
      <c r="G167" s="2221">
        <f t="shared" ref="G167:G175" si="58">E167/F167</f>
        <v>4484.30493273543</v>
      </c>
      <c r="H167" s="2404">
        <v>11150</v>
      </c>
      <c r="I167" s="2404">
        <v>6690</v>
      </c>
      <c r="J167" s="2405">
        <v>6756.9</v>
      </c>
      <c r="K167" s="2405">
        <v>4727.6</v>
      </c>
      <c r="L167" s="2405">
        <v>0</v>
      </c>
      <c r="M167" s="2406">
        <f>SUM(H167:L167)</f>
        <v>29324.5</v>
      </c>
      <c r="N167" s="2407">
        <f t="shared" ref="N167:N173" si="59">ROUND(M167/E167*G167,-1)</f>
        <v>131500</v>
      </c>
    </row>
    <row r="168" hidden="1" customHeight="1" spans="1:23">
      <c r="A168" s="2217"/>
      <c r="B168" s="2430"/>
      <c r="C168" s="2226" t="s">
        <v>10831</v>
      </c>
      <c r="D168" s="2220" t="s">
        <v>10832</v>
      </c>
      <c r="E168" s="2221">
        <v>1000</v>
      </c>
      <c r="F168" s="2338">
        <v>0.31</v>
      </c>
      <c r="G168" s="2221">
        <f t="shared" si="58"/>
        <v>3225.8064516129</v>
      </c>
      <c r="H168" s="2404">
        <v>15500</v>
      </c>
      <c r="I168" s="2404">
        <v>9300</v>
      </c>
      <c r="J168" s="2405">
        <v>9393</v>
      </c>
      <c r="K168" s="2405">
        <v>6572</v>
      </c>
      <c r="L168" s="2405">
        <v>0</v>
      </c>
      <c r="M168" s="2406">
        <f t="shared" ref="M168:M201" si="60">SUM(H168:L168)</f>
        <v>40765</v>
      </c>
      <c r="N168" s="2292">
        <f t="shared" si="59"/>
        <v>131500</v>
      </c>
    </row>
    <row r="169" hidden="1" customHeight="1" spans="1:23">
      <c r="A169" s="2217"/>
      <c r="B169" s="2431"/>
      <c r="C169" s="2226" t="s">
        <v>10833</v>
      </c>
      <c r="D169" s="2160" t="s">
        <v>10834</v>
      </c>
      <c r="E169" s="2161">
        <v>500</v>
      </c>
      <c r="F169" s="2343">
        <v>0.0154</v>
      </c>
      <c r="G169" s="2221">
        <f t="shared" si="58"/>
        <v>32467.5324675325</v>
      </c>
      <c r="H169" s="2294">
        <v>770</v>
      </c>
      <c r="I169" s="2288">
        <v>500</v>
      </c>
      <c r="J169" s="2288">
        <v>500</v>
      </c>
      <c r="K169" s="2295">
        <v>540</v>
      </c>
      <c r="L169" s="2405">
        <v>0</v>
      </c>
      <c r="M169" s="2406">
        <f t="shared" si="60"/>
        <v>2310</v>
      </c>
      <c r="N169" s="2292">
        <f t="shared" si="59"/>
        <v>150000</v>
      </c>
    </row>
    <row r="170" hidden="1" customHeight="1" spans="1:23">
      <c r="A170" s="2217"/>
      <c r="B170" s="2432"/>
      <c r="C170" s="2353" t="s">
        <v>10835</v>
      </c>
      <c r="D170" s="2354" t="s">
        <v>10695</v>
      </c>
      <c r="E170" s="2348">
        <v>1000</v>
      </c>
      <c r="F170" s="2349">
        <v>0.0077</v>
      </c>
      <c r="G170" s="2221">
        <f t="shared" si="58"/>
        <v>129870.12987013</v>
      </c>
      <c r="H170" s="2433">
        <v>930</v>
      </c>
      <c r="I170" s="2434"/>
      <c r="J170" s="2435"/>
      <c r="K170" s="2435">
        <v>225</v>
      </c>
      <c r="L170" s="2295">
        <v>0</v>
      </c>
      <c r="M170" s="2406">
        <f t="shared" si="60"/>
        <v>1155</v>
      </c>
      <c r="N170" s="2292">
        <f t="shared" si="59"/>
        <v>150000</v>
      </c>
    </row>
    <row r="171" hidden="1" customHeight="1" spans="1:23">
      <c r="A171" s="2217"/>
      <c r="B171" s="2432"/>
      <c r="C171" s="2353" t="s">
        <v>10836</v>
      </c>
      <c r="D171" s="2354" t="s">
        <v>10837</v>
      </c>
      <c r="E171" s="2348">
        <v>500</v>
      </c>
      <c r="F171" s="2349">
        <v>0.064</v>
      </c>
      <c r="G171" s="2221">
        <f t="shared" si="58"/>
        <v>7812.5</v>
      </c>
      <c r="H171" s="2434">
        <v>3200</v>
      </c>
      <c r="I171" s="2434">
        <v>1920</v>
      </c>
      <c r="J171" s="2435">
        <v>1939.2</v>
      </c>
      <c r="K171" s="2435">
        <v>1356.8</v>
      </c>
      <c r="L171" s="2295">
        <v>0</v>
      </c>
      <c r="M171" s="2406">
        <f t="shared" si="60"/>
        <v>8416</v>
      </c>
      <c r="N171" s="2292">
        <f t="shared" si="59"/>
        <v>131500</v>
      </c>
    </row>
    <row r="172" hidden="1" customHeight="1" spans="1:23">
      <c r="A172" s="2217"/>
      <c r="B172" s="2432"/>
      <c r="C172" s="2353" t="s">
        <v>10838</v>
      </c>
      <c r="D172" s="2354" t="s">
        <v>10839</v>
      </c>
      <c r="E172" s="2348">
        <v>500</v>
      </c>
      <c r="F172" s="2349">
        <v>0.023</v>
      </c>
      <c r="G172" s="2221">
        <f t="shared" si="58"/>
        <v>21739.1304347826</v>
      </c>
      <c r="H172" s="2434">
        <v>1150</v>
      </c>
      <c r="I172" s="2434">
        <v>690</v>
      </c>
      <c r="J172" s="2435">
        <v>696.9</v>
      </c>
      <c r="K172" s="2435">
        <v>500</v>
      </c>
      <c r="L172" s="2295">
        <v>0</v>
      </c>
      <c r="M172" s="2406">
        <f t="shared" si="60"/>
        <v>3036.9</v>
      </c>
      <c r="N172" s="2292">
        <f t="shared" si="59"/>
        <v>132040</v>
      </c>
    </row>
    <row r="173" hidden="1" customHeight="1" spans="1:23">
      <c r="A173" s="2217"/>
      <c r="B173" s="2432"/>
      <c r="C173" s="2226" t="s">
        <v>10840</v>
      </c>
      <c r="D173" s="2160" t="s">
        <v>10750</v>
      </c>
      <c r="E173" s="2161">
        <v>500</v>
      </c>
      <c r="F173" s="2343">
        <v>0.0041</v>
      </c>
      <c r="G173" s="2221">
        <f t="shared" si="58"/>
        <v>121951.219512195</v>
      </c>
      <c r="H173" s="2288">
        <v>500</v>
      </c>
      <c r="I173" s="2294"/>
      <c r="J173" s="2295"/>
      <c r="K173" s="2435">
        <v>115</v>
      </c>
      <c r="L173" s="2295">
        <v>0</v>
      </c>
      <c r="M173" s="2406">
        <f t="shared" si="60"/>
        <v>615</v>
      </c>
      <c r="N173" s="2292">
        <f t="shared" si="59"/>
        <v>150000</v>
      </c>
    </row>
    <row r="174" hidden="1" customHeight="1" spans="1:23">
      <c r="A174" s="2217"/>
      <c r="B174" s="2432"/>
      <c r="C174" s="2353" t="s">
        <v>10841</v>
      </c>
      <c r="D174" s="2354"/>
      <c r="E174" s="2235">
        <v>1</v>
      </c>
      <c r="F174" s="2349">
        <v>2</v>
      </c>
      <c r="G174" s="2221">
        <f t="shared" si="58"/>
        <v>0.5</v>
      </c>
      <c r="H174" s="2434">
        <v>100000</v>
      </c>
      <c r="I174" s="2434">
        <v>60000</v>
      </c>
      <c r="J174" s="2435">
        <v>60600</v>
      </c>
      <c r="K174" s="2435">
        <v>42400</v>
      </c>
      <c r="L174" s="2295">
        <v>0</v>
      </c>
      <c r="M174" s="2406">
        <f t="shared" si="60"/>
        <v>263000</v>
      </c>
      <c r="N174" s="2292">
        <f>H174/F174</f>
        <v>50000</v>
      </c>
    </row>
    <row r="175" hidden="1" customHeight="1" spans="1:23">
      <c r="A175" s="2217"/>
      <c r="B175" s="2432"/>
      <c r="C175" s="2353" t="s">
        <v>10661</v>
      </c>
      <c r="D175" s="2354" t="s">
        <v>10652</v>
      </c>
      <c r="E175" s="2348">
        <v>30000</v>
      </c>
      <c r="F175" s="2349">
        <v>1</v>
      </c>
      <c r="G175" s="2221">
        <f t="shared" si="58"/>
        <v>30000</v>
      </c>
      <c r="H175" s="2434">
        <v>50000</v>
      </c>
      <c r="I175" s="2434">
        <v>30000</v>
      </c>
      <c r="J175" s="2435">
        <v>30300</v>
      </c>
      <c r="K175" s="2435">
        <v>21200</v>
      </c>
      <c r="L175" s="2295">
        <v>0</v>
      </c>
      <c r="M175" s="2406">
        <f t="shared" si="60"/>
        <v>131500</v>
      </c>
      <c r="N175" s="2292">
        <f t="shared" ref="N175:N185" si="61">ROUND(M175/E175*G175,-1)</f>
        <v>131500</v>
      </c>
    </row>
    <row r="176" hidden="1" customHeight="1" spans="1:23">
      <c r="A176" s="2217"/>
      <c r="B176" s="2432"/>
      <c r="C176" s="2353" t="s">
        <v>10650</v>
      </c>
      <c r="D176" s="2354"/>
      <c r="E176" s="2348"/>
      <c r="F176" s="2349">
        <v>1</v>
      </c>
      <c r="G176" s="2348"/>
      <c r="H176" s="2434">
        <v>50000</v>
      </c>
      <c r="I176" s="2434">
        <v>30000</v>
      </c>
      <c r="J176" s="2435">
        <v>30300</v>
      </c>
      <c r="K176" s="2435">
        <v>21200</v>
      </c>
      <c r="L176" s="2295">
        <v>0</v>
      </c>
      <c r="M176" s="2406">
        <f t="shared" si="60"/>
        <v>131500</v>
      </c>
      <c r="N176" s="2436">
        <f>M176</f>
        <v>131500</v>
      </c>
    </row>
    <row r="177" hidden="1" customHeight="1" spans="1:14">
      <c r="A177" s="2217"/>
      <c r="B177" s="2437" t="s">
        <v>10842</v>
      </c>
      <c r="C177" s="2233" t="s">
        <v>10843</v>
      </c>
      <c r="D177" s="2148" t="s">
        <v>10844</v>
      </c>
      <c r="E177" s="2149">
        <v>1000</v>
      </c>
      <c r="F177" s="2358">
        <v>0.34</v>
      </c>
      <c r="G177" s="2149">
        <f t="shared" ref="G177:G187" si="62">E177/F177</f>
        <v>2941.17647058824</v>
      </c>
      <c r="H177" s="2278">
        <v>17000</v>
      </c>
      <c r="I177" s="2278">
        <v>10200</v>
      </c>
      <c r="J177" s="2280">
        <v>9860</v>
      </c>
      <c r="K177" s="2280">
        <v>6698</v>
      </c>
      <c r="L177" s="2438">
        <v>10200</v>
      </c>
      <c r="M177" s="2406">
        <f t="shared" si="60"/>
        <v>53958</v>
      </c>
      <c r="N177" s="2283">
        <f t="shared" si="61"/>
        <v>158700</v>
      </c>
    </row>
    <row r="178" hidden="1" customHeight="1" spans="1:14">
      <c r="A178" s="2217"/>
      <c r="B178" s="2430"/>
      <c r="C178" s="2219" t="s">
        <v>10845</v>
      </c>
      <c r="D178" s="2220" t="s">
        <v>10846</v>
      </c>
      <c r="E178" s="2221">
        <v>500</v>
      </c>
      <c r="F178" s="2338">
        <v>0.0104</v>
      </c>
      <c r="G178" s="2221">
        <f t="shared" si="62"/>
        <v>48076.9230769231</v>
      </c>
      <c r="H178" s="2404">
        <v>520</v>
      </c>
      <c r="I178" s="2288">
        <v>520</v>
      </c>
      <c r="J178" s="2288">
        <v>500</v>
      </c>
      <c r="K178" s="2405"/>
      <c r="L178" s="2302">
        <v>110</v>
      </c>
      <c r="M178" s="2406">
        <f t="shared" si="60"/>
        <v>1650</v>
      </c>
      <c r="N178" s="2292">
        <f t="shared" si="61"/>
        <v>158650</v>
      </c>
    </row>
    <row r="179" hidden="1" customHeight="1" spans="1:14">
      <c r="A179" s="2217"/>
      <c r="B179" s="2430"/>
      <c r="C179" s="2219" t="s">
        <v>10847</v>
      </c>
      <c r="D179" s="2220" t="s">
        <v>10834</v>
      </c>
      <c r="E179" s="2221">
        <v>500</v>
      </c>
      <c r="F179" s="2338">
        <v>0.0299</v>
      </c>
      <c r="G179" s="2221">
        <f t="shared" si="62"/>
        <v>16722.4080267559</v>
      </c>
      <c r="H179" s="2404">
        <v>1495</v>
      </c>
      <c r="I179" s="2404">
        <v>897</v>
      </c>
      <c r="J179" s="2405">
        <v>867.1</v>
      </c>
      <c r="K179" s="2405">
        <v>589.03</v>
      </c>
      <c r="L179" s="2302">
        <v>897</v>
      </c>
      <c r="M179" s="2406">
        <f t="shared" si="60"/>
        <v>4745.13</v>
      </c>
      <c r="N179" s="2292">
        <f t="shared" si="61"/>
        <v>158700</v>
      </c>
    </row>
    <row r="180" hidden="1" customHeight="1" spans="1:14">
      <c r="A180" s="2217"/>
      <c r="B180" s="2430"/>
      <c r="C180" s="2219" t="s">
        <v>10848</v>
      </c>
      <c r="D180" s="2220" t="s">
        <v>10849</v>
      </c>
      <c r="E180" s="2221">
        <v>300</v>
      </c>
      <c r="F180" s="2338">
        <v>0.0067</v>
      </c>
      <c r="G180" s="2221">
        <f t="shared" si="62"/>
        <v>44776.1194029851</v>
      </c>
      <c r="H180" s="2404">
        <v>335</v>
      </c>
      <c r="I180" s="2404">
        <v>201</v>
      </c>
      <c r="J180" s="2439">
        <v>300</v>
      </c>
      <c r="K180" s="2405">
        <v>60</v>
      </c>
      <c r="L180" s="2405">
        <v>167</v>
      </c>
      <c r="M180" s="2406">
        <f t="shared" si="60"/>
        <v>1063</v>
      </c>
      <c r="N180" s="2292">
        <f t="shared" si="61"/>
        <v>158660</v>
      </c>
    </row>
    <row r="181" hidden="1" customHeight="1" spans="1:14">
      <c r="A181" s="2217"/>
      <c r="B181" s="2430"/>
      <c r="C181" s="2219" t="s">
        <v>10850</v>
      </c>
      <c r="D181" s="2220" t="s">
        <v>10851</v>
      </c>
      <c r="E181" s="2221">
        <v>500</v>
      </c>
      <c r="F181" s="2338">
        <v>0.069</v>
      </c>
      <c r="G181" s="2221">
        <f t="shared" si="62"/>
        <v>7246.3768115942</v>
      </c>
      <c r="H181" s="2404">
        <v>3450</v>
      </c>
      <c r="I181" s="2404">
        <v>2070</v>
      </c>
      <c r="J181" s="2405">
        <v>2001</v>
      </c>
      <c r="K181" s="2405">
        <v>1359.3</v>
      </c>
      <c r="L181" s="2405">
        <v>2070</v>
      </c>
      <c r="M181" s="2406">
        <f t="shared" si="60"/>
        <v>10950.3</v>
      </c>
      <c r="N181" s="2292">
        <f t="shared" si="61"/>
        <v>158700</v>
      </c>
    </row>
    <row r="182" hidden="1" customHeight="1" spans="1:14">
      <c r="A182" s="2217"/>
      <c r="B182" s="2430"/>
      <c r="C182" s="2219" t="s">
        <v>10852</v>
      </c>
      <c r="D182" s="2220" t="s">
        <v>10695</v>
      </c>
      <c r="E182" s="2221">
        <v>1000</v>
      </c>
      <c r="F182" s="2338">
        <v>0.0077</v>
      </c>
      <c r="G182" s="2221">
        <f t="shared" si="62"/>
        <v>129870.12987013</v>
      </c>
      <c r="H182" s="2440">
        <v>930</v>
      </c>
      <c r="I182" s="2404"/>
      <c r="J182" s="2405"/>
      <c r="K182" s="2405">
        <v>60.99</v>
      </c>
      <c r="L182" s="2405">
        <v>231</v>
      </c>
      <c r="M182" s="2406">
        <f t="shared" si="60"/>
        <v>1221.99</v>
      </c>
      <c r="N182" s="2292">
        <f t="shared" si="61"/>
        <v>158700</v>
      </c>
    </row>
    <row r="183" hidden="1" customHeight="1" spans="1:14">
      <c r="A183" s="2217"/>
      <c r="B183" s="2430"/>
      <c r="C183" s="2219" t="s">
        <v>10853</v>
      </c>
      <c r="D183" s="2220" t="s">
        <v>10854</v>
      </c>
      <c r="E183" s="2221">
        <v>500</v>
      </c>
      <c r="F183" s="2338">
        <v>0.0534188</v>
      </c>
      <c r="G183" s="2221">
        <f t="shared" si="62"/>
        <v>9360.00059904004</v>
      </c>
      <c r="H183" s="2404">
        <v>2670.94</v>
      </c>
      <c r="I183" s="2404">
        <v>1602.564</v>
      </c>
      <c r="J183" s="2405">
        <v>1549.1452</v>
      </c>
      <c r="K183" s="2405">
        <v>1052.35036</v>
      </c>
      <c r="L183" s="2405">
        <v>1602.564</v>
      </c>
      <c r="M183" s="2406">
        <f t="shared" si="60"/>
        <v>8477.56356</v>
      </c>
      <c r="N183" s="2292">
        <f t="shared" si="61"/>
        <v>158700</v>
      </c>
    </row>
    <row r="184" hidden="1" customHeight="1" spans="1:14">
      <c r="A184" s="2217"/>
      <c r="B184" s="2430"/>
      <c r="C184" s="2219" t="s">
        <v>10855</v>
      </c>
      <c r="D184" s="2220" t="s">
        <v>10839</v>
      </c>
      <c r="E184" s="2221">
        <v>500</v>
      </c>
      <c r="F184" s="2338">
        <v>0.023</v>
      </c>
      <c r="G184" s="2221">
        <f t="shared" si="62"/>
        <v>21739.1304347826</v>
      </c>
      <c r="H184" s="2404">
        <v>1150</v>
      </c>
      <c r="I184" s="2404">
        <v>690</v>
      </c>
      <c r="J184" s="2405">
        <v>667</v>
      </c>
      <c r="K184" s="2405">
        <v>500</v>
      </c>
      <c r="L184" s="2405">
        <v>643</v>
      </c>
      <c r="M184" s="2406">
        <f t="shared" si="60"/>
        <v>3650</v>
      </c>
      <c r="N184" s="2292">
        <f t="shared" si="61"/>
        <v>158700</v>
      </c>
    </row>
    <row r="185" hidden="1" customHeight="1" spans="1:14">
      <c r="A185" s="2217"/>
      <c r="B185" s="2430"/>
      <c r="C185" s="2219" t="s">
        <v>10856</v>
      </c>
      <c r="D185" s="2220" t="s">
        <v>10750</v>
      </c>
      <c r="E185" s="2221">
        <v>500</v>
      </c>
      <c r="F185" s="2338">
        <v>0.0041</v>
      </c>
      <c r="G185" s="2221">
        <f t="shared" si="62"/>
        <v>121951.219512195</v>
      </c>
      <c r="H185" s="2288">
        <v>500</v>
      </c>
      <c r="I185" s="2404"/>
      <c r="J185" s="2405"/>
      <c r="K185" s="2405">
        <v>115</v>
      </c>
      <c r="L185" s="2405">
        <v>36</v>
      </c>
      <c r="M185" s="2406">
        <f t="shared" si="60"/>
        <v>651</v>
      </c>
      <c r="N185" s="2292">
        <f t="shared" si="61"/>
        <v>158780</v>
      </c>
    </row>
    <row r="186" hidden="1" customHeight="1" spans="1:14">
      <c r="A186" s="2217"/>
      <c r="B186" s="2430"/>
      <c r="C186" s="2226" t="s">
        <v>10841</v>
      </c>
      <c r="D186" s="2441"/>
      <c r="E186" s="2161">
        <v>1</v>
      </c>
      <c r="F186" s="2343">
        <v>2</v>
      </c>
      <c r="G186" s="2161">
        <f t="shared" si="62"/>
        <v>0.5</v>
      </c>
      <c r="H186" s="2294">
        <v>100000</v>
      </c>
      <c r="I186" s="2404">
        <v>60000</v>
      </c>
      <c r="J186" s="2405">
        <v>58000</v>
      </c>
      <c r="K186" s="2405">
        <v>39400</v>
      </c>
      <c r="L186" s="2405">
        <v>60000</v>
      </c>
      <c r="M186" s="2406">
        <f t="shared" si="60"/>
        <v>317400</v>
      </c>
      <c r="N186" s="2292">
        <f>H186/F186</f>
        <v>50000</v>
      </c>
    </row>
    <row r="187" hidden="1" customHeight="1" spans="1:14">
      <c r="A187" s="2217"/>
      <c r="B187" s="2431"/>
      <c r="C187" s="2226" t="s">
        <v>10661</v>
      </c>
      <c r="D187" s="2160" t="s">
        <v>10652</v>
      </c>
      <c r="E187" s="2161">
        <v>30000</v>
      </c>
      <c r="F187" s="2343">
        <v>1</v>
      </c>
      <c r="G187" s="2221">
        <f t="shared" si="62"/>
        <v>30000</v>
      </c>
      <c r="H187" s="2294">
        <v>50000</v>
      </c>
      <c r="I187" s="2294">
        <v>30000</v>
      </c>
      <c r="J187" s="2295">
        <v>29000</v>
      </c>
      <c r="K187" s="2295">
        <v>19700</v>
      </c>
      <c r="L187" s="2405">
        <v>30000</v>
      </c>
      <c r="M187" s="2406">
        <f t="shared" si="60"/>
        <v>158700</v>
      </c>
      <c r="N187" s="2292">
        <f t="shared" ref="N187:N195" si="63">ROUND(M187/E187*G187,-1)</f>
        <v>158700</v>
      </c>
    </row>
    <row r="188" hidden="1" customHeight="1" spans="1:14">
      <c r="A188" s="2217"/>
      <c r="B188" s="2442"/>
      <c r="C188" s="2229" t="s">
        <v>10650</v>
      </c>
      <c r="D188" s="2170"/>
      <c r="E188" s="2171"/>
      <c r="F188" s="2357">
        <v>1</v>
      </c>
      <c r="G188" s="2171"/>
      <c r="H188" s="2301">
        <v>50000</v>
      </c>
      <c r="I188" s="2301">
        <v>30000</v>
      </c>
      <c r="J188" s="2302">
        <v>29000</v>
      </c>
      <c r="K188" s="2302">
        <v>19700</v>
      </c>
      <c r="L188" s="2443">
        <v>30000</v>
      </c>
      <c r="M188" s="2406">
        <f t="shared" si="60"/>
        <v>158700</v>
      </c>
      <c r="N188" s="2304">
        <f>M188</f>
        <v>158700</v>
      </c>
    </row>
    <row r="189" hidden="1" customHeight="1" spans="1:14">
      <c r="A189" s="2217"/>
      <c r="B189" s="2429" t="s">
        <v>10857</v>
      </c>
      <c r="C189" s="2219" t="s">
        <v>10646</v>
      </c>
      <c r="D189" s="2220" t="s">
        <v>10858</v>
      </c>
      <c r="E189" s="2368">
        <v>1000</v>
      </c>
      <c r="F189" s="2369">
        <v>0.328</v>
      </c>
      <c r="G189" s="2221">
        <f t="shared" ref="G189:G197" si="64">E189/F189</f>
        <v>3048.78048780488</v>
      </c>
      <c r="H189" s="2404">
        <v>16400</v>
      </c>
      <c r="I189" s="2404">
        <v>9840</v>
      </c>
      <c r="J189" s="2405">
        <v>10496</v>
      </c>
      <c r="K189" s="2405">
        <v>6396</v>
      </c>
      <c r="L189" s="2405">
        <v>0</v>
      </c>
      <c r="M189" s="2406">
        <f t="shared" si="60"/>
        <v>43132</v>
      </c>
      <c r="N189" s="2407">
        <f t="shared" si="63"/>
        <v>131500</v>
      </c>
    </row>
    <row r="190" hidden="1" customHeight="1" spans="1:14">
      <c r="A190" s="2217"/>
      <c r="B190" s="2430"/>
      <c r="C190" s="2219" t="s">
        <v>10859</v>
      </c>
      <c r="D190" s="2220" t="s">
        <v>10860</v>
      </c>
      <c r="E190" s="2368">
        <v>500</v>
      </c>
      <c r="F190" s="2369">
        <v>0.0104</v>
      </c>
      <c r="G190" s="2221">
        <f t="shared" si="64"/>
        <v>48076.9230769231</v>
      </c>
      <c r="H190" s="2404">
        <v>520</v>
      </c>
      <c r="I190" s="2288">
        <v>520</v>
      </c>
      <c r="J190" s="2288">
        <v>500</v>
      </c>
      <c r="K190" s="2405"/>
      <c r="L190" s="2405">
        <v>0</v>
      </c>
      <c r="M190" s="2406">
        <f t="shared" si="60"/>
        <v>1540</v>
      </c>
      <c r="N190" s="2292">
        <f t="shared" si="63"/>
        <v>148080</v>
      </c>
    </row>
    <row r="191" hidden="1" customHeight="1" spans="1:14">
      <c r="A191" s="2217"/>
      <c r="B191" s="2430"/>
      <c r="C191" s="2219" t="s">
        <v>10861</v>
      </c>
      <c r="D191" s="2220" t="s">
        <v>10695</v>
      </c>
      <c r="E191" s="2368">
        <v>1000</v>
      </c>
      <c r="F191" s="2369">
        <v>0.0077</v>
      </c>
      <c r="G191" s="2221">
        <f t="shared" si="64"/>
        <v>129870.12987013</v>
      </c>
      <c r="H191" s="2440">
        <v>930</v>
      </c>
      <c r="I191" s="2404"/>
      <c r="J191" s="2405"/>
      <c r="K191" s="2405">
        <v>225</v>
      </c>
      <c r="L191" s="2405">
        <v>0</v>
      </c>
      <c r="M191" s="2406">
        <f t="shared" si="60"/>
        <v>1155</v>
      </c>
      <c r="N191" s="2292">
        <f t="shared" si="63"/>
        <v>150000</v>
      </c>
    </row>
    <row r="192" hidden="1" customHeight="1" spans="1:14">
      <c r="A192" s="2217"/>
      <c r="B192" s="2430"/>
      <c r="C192" s="2219" t="s">
        <v>10848</v>
      </c>
      <c r="D192" s="2220" t="s">
        <v>10849</v>
      </c>
      <c r="E192" s="2368">
        <v>300</v>
      </c>
      <c r="F192" s="2369">
        <v>0.0104</v>
      </c>
      <c r="G192" s="2221">
        <f t="shared" si="64"/>
        <v>28846.1538461538</v>
      </c>
      <c r="H192" s="2404">
        <v>520</v>
      </c>
      <c r="I192" s="2404">
        <v>312</v>
      </c>
      <c r="J192" s="2405">
        <v>332.8</v>
      </c>
      <c r="K192" s="2405">
        <v>240</v>
      </c>
      <c r="L192" s="2405">
        <v>0</v>
      </c>
      <c r="M192" s="2406">
        <f t="shared" si="60"/>
        <v>1404.8</v>
      </c>
      <c r="N192" s="2292">
        <f t="shared" si="63"/>
        <v>135080</v>
      </c>
    </row>
    <row r="193" hidden="1" customHeight="1" spans="1:24">
      <c r="A193" s="2217"/>
      <c r="B193" s="2430"/>
      <c r="C193" s="2219" t="s">
        <v>10862</v>
      </c>
      <c r="D193" s="2220" t="s">
        <v>10854</v>
      </c>
      <c r="E193" s="2368">
        <v>500</v>
      </c>
      <c r="F193" s="2369">
        <v>0.0534188</v>
      </c>
      <c r="G193" s="2221">
        <f t="shared" si="64"/>
        <v>9360.00059904004</v>
      </c>
      <c r="H193" s="2404">
        <v>2670.94</v>
      </c>
      <c r="I193" s="2404">
        <v>1602.564</v>
      </c>
      <c r="J193" s="2405">
        <v>1709.4016</v>
      </c>
      <c r="K193" s="2405">
        <v>1041.6666</v>
      </c>
      <c r="L193" s="2405">
        <v>0</v>
      </c>
      <c r="M193" s="2406">
        <f t="shared" si="60"/>
        <v>7024.5722</v>
      </c>
      <c r="N193" s="2292">
        <f t="shared" si="63"/>
        <v>131500</v>
      </c>
    </row>
    <row r="194" hidden="1" customHeight="1" spans="1:24">
      <c r="A194" s="2217"/>
      <c r="B194" s="2430"/>
      <c r="C194" s="2219" t="s">
        <v>10863</v>
      </c>
      <c r="D194" s="2220" t="s">
        <v>10839</v>
      </c>
      <c r="E194" s="2368">
        <v>500</v>
      </c>
      <c r="F194" s="2369">
        <v>0.023</v>
      </c>
      <c r="G194" s="2221">
        <f t="shared" si="64"/>
        <v>21739.1304347826</v>
      </c>
      <c r="H194" s="2404">
        <v>1150</v>
      </c>
      <c r="I194" s="2404">
        <v>690</v>
      </c>
      <c r="J194" s="2405">
        <v>736</v>
      </c>
      <c r="K194" s="2405">
        <v>500</v>
      </c>
      <c r="L194" s="2405">
        <v>0</v>
      </c>
      <c r="M194" s="2406">
        <f t="shared" si="60"/>
        <v>3076</v>
      </c>
      <c r="N194" s="2292">
        <f t="shared" si="63"/>
        <v>133740</v>
      </c>
    </row>
    <row r="195" hidden="1" customHeight="1" spans="1:24">
      <c r="A195" s="2217"/>
      <c r="B195" s="2431"/>
      <c r="C195" s="2226" t="s">
        <v>10856</v>
      </c>
      <c r="D195" s="2160" t="s">
        <v>10750</v>
      </c>
      <c r="E195" s="2235">
        <v>500</v>
      </c>
      <c r="F195" s="2370">
        <v>0.0041</v>
      </c>
      <c r="G195" s="2221">
        <f t="shared" si="64"/>
        <v>121951.219512195</v>
      </c>
      <c r="H195" s="2288">
        <v>500</v>
      </c>
      <c r="I195" s="2294"/>
      <c r="J195" s="2295"/>
      <c r="K195" s="2295">
        <v>115</v>
      </c>
      <c r="L195" s="2405">
        <v>0</v>
      </c>
      <c r="M195" s="2406">
        <f t="shared" si="60"/>
        <v>615</v>
      </c>
      <c r="N195" s="2292">
        <f t="shared" si="63"/>
        <v>150000</v>
      </c>
    </row>
    <row r="196" hidden="1" customHeight="1" spans="1:24">
      <c r="A196" s="2217"/>
      <c r="B196" s="2431"/>
      <c r="C196" s="2226" t="s">
        <v>10841</v>
      </c>
      <c r="D196" s="2160"/>
      <c r="E196" s="2235">
        <v>1</v>
      </c>
      <c r="F196" s="2370">
        <v>2</v>
      </c>
      <c r="G196" s="2221">
        <f t="shared" si="64"/>
        <v>0.5</v>
      </c>
      <c r="H196" s="2294">
        <v>100000</v>
      </c>
      <c r="I196" s="2294">
        <v>60000</v>
      </c>
      <c r="J196" s="2295">
        <v>64000</v>
      </c>
      <c r="K196" s="2295">
        <v>39000</v>
      </c>
      <c r="L196" s="2405">
        <v>0</v>
      </c>
      <c r="M196" s="2406">
        <f t="shared" si="60"/>
        <v>263000</v>
      </c>
      <c r="N196" s="2292">
        <f>H196/F196</f>
        <v>50000</v>
      </c>
    </row>
    <row r="197" hidden="1" customHeight="1" spans="1:24">
      <c r="A197" s="2217"/>
      <c r="B197" s="2431"/>
      <c r="C197" s="2226" t="s">
        <v>10661</v>
      </c>
      <c r="D197" s="2160" t="s">
        <v>10652</v>
      </c>
      <c r="E197" s="2161">
        <v>30000</v>
      </c>
      <c r="F197" s="2343">
        <v>1</v>
      </c>
      <c r="G197" s="2221">
        <f t="shared" si="64"/>
        <v>30000</v>
      </c>
      <c r="H197" s="2294">
        <v>50000</v>
      </c>
      <c r="I197" s="2294">
        <v>30000</v>
      </c>
      <c r="J197" s="2295">
        <v>32000</v>
      </c>
      <c r="K197" s="2295">
        <v>19500</v>
      </c>
      <c r="L197" s="2405">
        <v>0</v>
      </c>
      <c r="M197" s="2406">
        <f t="shared" si="60"/>
        <v>131500</v>
      </c>
      <c r="N197" s="2292">
        <f>ROUND(M197/E197*G197,-1)</f>
        <v>131500</v>
      </c>
    </row>
    <row r="198" hidden="1" customHeight="1" spans="1:24">
      <c r="A198" s="2217"/>
      <c r="B198" s="2432"/>
      <c r="C198" s="2229" t="s">
        <v>10650</v>
      </c>
      <c r="D198" s="2170"/>
      <c r="E198" s="2171"/>
      <c r="F198" s="2357">
        <v>1</v>
      </c>
      <c r="G198" s="2221"/>
      <c r="H198" s="2301">
        <v>50000</v>
      </c>
      <c r="I198" s="2301">
        <v>30000</v>
      </c>
      <c r="J198" s="2302">
        <v>32000</v>
      </c>
      <c r="K198" s="2302">
        <v>19500</v>
      </c>
      <c r="L198" s="2405">
        <v>0</v>
      </c>
      <c r="M198" s="2406">
        <f t="shared" si="60"/>
        <v>131500</v>
      </c>
      <c r="N198" s="2304">
        <f>M198</f>
        <v>131500</v>
      </c>
    </row>
    <row r="199" hidden="1" customHeight="1" spans="1:24">
      <c r="A199" s="2305"/>
      <c r="B199" s="2444" t="s">
        <v>10630</v>
      </c>
      <c r="C199" s="2445" t="s">
        <v>10864</v>
      </c>
      <c r="D199" s="2310"/>
      <c r="E199" s="2311"/>
      <c r="F199" s="2311"/>
      <c r="G199" s="2311"/>
      <c r="H199" s="2311">
        <f>SUM(H167:H174,H177:H186,H189:H196)</f>
        <v>383941.88</v>
      </c>
      <c r="I199" s="2311">
        <f>SUM(I167:I168,I177:I186,I189:I196)</f>
        <v>165135.128</v>
      </c>
      <c r="J199" s="2311">
        <f t="shared" ref="I199:K199" si="65">SUM(J167:J168,J177:J186,J189:J196)</f>
        <v>167668.3468</v>
      </c>
      <c r="K199" s="2311">
        <v>108651.93696</v>
      </c>
      <c r="L199" s="2311">
        <v>75956.564</v>
      </c>
      <c r="M199" s="2446">
        <f t="shared" si="60"/>
        <v>901353.85576</v>
      </c>
      <c r="N199" s="2311">
        <f>MIN(N167:N176)+MIN(N177:N188)+MIN(N189:N198)</f>
        <v>150000</v>
      </c>
    </row>
    <row r="200" hidden="1" customHeight="1" spans="1:24">
      <c r="A200" s="2447"/>
      <c r="B200" s="2448"/>
      <c r="C200" s="2449" t="s">
        <v>10865</v>
      </c>
      <c r="D200" s="2450"/>
      <c r="E200" s="2317"/>
      <c r="F200" s="2317"/>
      <c r="G200" s="2317"/>
      <c r="H200" s="2317">
        <f>SUM(H176,H188,H198)</f>
        <v>150000</v>
      </c>
      <c r="I200" s="2317">
        <f>SUM(I169,I187,I197)</f>
        <v>60500</v>
      </c>
      <c r="J200" s="2317">
        <f>SUM(J169,J187,J197)</f>
        <v>61500</v>
      </c>
      <c r="K200" s="2317">
        <v>39740</v>
      </c>
      <c r="L200" s="2311">
        <v>30000</v>
      </c>
      <c r="M200" s="2446">
        <f t="shared" si="60"/>
        <v>341740</v>
      </c>
      <c r="N200" s="2317">
        <f>SUM(N176,N188,N198)</f>
        <v>421700</v>
      </c>
    </row>
    <row r="201" hidden="1" customHeight="1" spans="1:24">
      <c r="A201" s="2320"/>
      <c r="B201" s="2451"/>
      <c r="C201" s="2452" t="s">
        <v>10866</v>
      </c>
      <c r="D201" s="2325"/>
      <c r="E201" s="2326"/>
      <c r="F201" s="2326"/>
      <c r="G201" s="2326"/>
      <c r="H201" s="2326">
        <f>SUM(H175,H187,H197)</f>
        <v>150000</v>
      </c>
      <c r="I201" s="2326">
        <f>SUM(I176,I188,I198)</f>
        <v>90000</v>
      </c>
      <c r="J201" s="2326">
        <f>SUM(J176,J188,J198)</f>
        <v>91300</v>
      </c>
      <c r="K201" s="2326">
        <f>K176+K188+K198</f>
        <v>60400</v>
      </c>
      <c r="L201" s="2311">
        <v>30000</v>
      </c>
      <c r="M201" s="2446">
        <f t="shared" si="60"/>
        <v>421700</v>
      </c>
      <c r="N201" s="2326">
        <f>SUM(N175,N187,N197)</f>
        <v>421700</v>
      </c>
    </row>
    <row r="204" s="2111" customFormat="1" customHeight="1" spans="1:24">
      <c r="A204" s="2245" t="s">
        <v>10579</v>
      </c>
      <c r="B204" s="2453" t="s">
        <v>10580</v>
      </c>
      <c r="C204" s="2247" t="s">
        <v>10581</v>
      </c>
      <c r="D204" s="2247" t="s">
        <v>10581</v>
      </c>
      <c r="E204" s="2247" t="s">
        <v>10581</v>
      </c>
      <c r="F204" s="2247" t="s">
        <v>10581</v>
      </c>
      <c r="G204" s="2246" t="s">
        <v>10583</v>
      </c>
      <c r="H204" s="2246"/>
      <c r="I204" s="2454" t="s">
        <v>10585</v>
      </c>
      <c r="J204" s="2455" t="s">
        <v>10867</v>
      </c>
      <c r="K204" s="2454" t="s">
        <v>10868</v>
      </c>
      <c r="L204" s="2251" t="s">
        <v>10869</v>
      </c>
      <c r="M204" s="2456" t="s">
        <v>10870</v>
      </c>
      <c r="N204" s="2258" t="s">
        <v>10871</v>
      </c>
      <c r="O204" s="2457" t="s">
        <v>10872</v>
      </c>
      <c r="P204" s="2457" t="s">
        <v>10873</v>
      </c>
      <c r="Q204" s="2457" t="s">
        <v>10874</v>
      </c>
      <c r="R204" s="2457" t="s">
        <v>10875</v>
      </c>
      <c r="S204" s="2456" t="s">
        <v>10876</v>
      </c>
      <c r="T204" s="2456" t="s">
        <v>10877</v>
      </c>
      <c r="U204" s="2456" t="s">
        <v>10878</v>
      </c>
      <c r="V204" s="2456" t="s">
        <v>10879</v>
      </c>
      <c r="W204" s="2456"/>
      <c r="X204" s="2254" t="s">
        <v>10677</v>
      </c>
    </row>
    <row r="205" s="2111" customFormat="1" customHeight="1" spans="1:24">
      <c r="A205" s="2422" t="s">
        <v>10599</v>
      </c>
      <c r="B205" s="2423"/>
      <c r="C205" s="2458" t="s">
        <v>10880</v>
      </c>
      <c r="D205" s="2458" t="s">
        <v>10881</v>
      </c>
      <c r="E205" s="2458" t="s">
        <v>10882</v>
      </c>
      <c r="F205" s="2458" t="s">
        <v>10883</v>
      </c>
      <c r="G205" s="2425"/>
      <c r="H205" s="2425"/>
      <c r="I205" s="2426"/>
      <c r="J205" s="2459"/>
      <c r="K205" s="2426"/>
      <c r="L205" s="2258">
        <v>44487</v>
      </c>
      <c r="M205" s="2258">
        <v>44530</v>
      </c>
      <c r="N205" s="2258">
        <v>44614</v>
      </c>
      <c r="O205" s="2258">
        <v>44641</v>
      </c>
      <c r="P205" s="2258">
        <v>44664</v>
      </c>
      <c r="Q205" s="2258">
        <v>44694</v>
      </c>
      <c r="R205" s="2258">
        <v>44729</v>
      </c>
      <c r="S205" s="2258">
        <v>44798</v>
      </c>
      <c r="T205" s="2258">
        <v>44867</v>
      </c>
      <c r="U205" s="2258">
        <v>44896</v>
      </c>
      <c r="V205" s="2258">
        <v>44972</v>
      </c>
      <c r="W205" s="2258"/>
      <c r="X205" s="2428"/>
    </row>
    <row r="206" s="2111" customFormat="1" customHeight="1" spans="1:24">
      <c r="A206" s="2460" t="s">
        <v>10604</v>
      </c>
      <c r="B206" s="2461"/>
      <c r="C206" s="2462"/>
      <c r="D206" s="2462"/>
      <c r="E206" s="2462"/>
      <c r="F206" s="2462"/>
      <c r="G206" s="2463"/>
      <c r="H206" s="2463"/>
      <c r="I206" s="2464"/>
      <c r="J206" s="2465"/>
      <c r="K206" s="2464"/>
      <c r="L206" s="2271">
        <v>44522</v>
      </c>
      <c r="M206" s="2271">
        <v>44565</v>
      </c>
      <c r="N206" s="2271">
        <v>44650</v>
      </c>
      <c r="O206" s="2271">
        <v>44676</v>
      </c>
      <c r="P206" s="2271">
        <v>44699</v>
      </c>
      <c r="Q206" s="2271">
        <v>44729</v>
      </c>
      <c r="R206" s="2271">
        <v>44764</v>
      </c>
      <c r="S206" s="2271">
        <v>44827</v>
      </c>
      <c r="T206" s="2271">
        <v>44902</v>
      </c>
      <c r="U206" s="2271">
        <v>44931</v>
      </c>
      <c r="V206" s="2271"/>
      <c r="W206" s="2271"/>
      <c r="X206" s="2466"/>
    </row>
    <row r="207" s="2111" customFormat="1" customHeight="1" spans="1:24">
      <c r="A207" s="2467" t="s">
        <v>10884</v>
      </c>
      <c r="B207" s="2468" t="s">
        <v>10885</v>
      </c>
      <c r="C207" s="2286">
        <v>10</v>
      </c>
      <c r="D207" s="2286"/>
      <c r="E207" s="2286"/>
      <c r="F207" s="2286"/>
      <c r="G207" s="2469" t="s">
        <v>10886</v>
      </c>
      <c r="H207" s="2441"/>
      <c r="I207" s="2161">
        <v>800</v>
      </c>
      <c r="J207" s="2470">
        <v>0.0365</v>
      </c>
      <c r="K207" s="2161">
        <v>21918</v>
      </c>
      <c r="L207" s="2294">
        <v>1825</v>
      </c>
      <c r="M207" s="2295">
        <v>1825</v>
      </c>
      <c r="N207" s="2471">
        <v>1825</v>
      </c>
      <c r="O207" s="2288">
        <v>1095</v>
      </c>
      <c r="P207" s="2288">
        <v>1095</v>
      </c>
      <c r="Q207" s="2288">
        <v>1095</v>
      </c>
      <c r="R207" s="2288">
        <v>1533</v>
      </c>
      <c r="S207" s="2288">
        <v>1460</v>
      </c>
      <c r="T207" s="2288">
        <v>1460</v>
      </c>
      <c r="U207" s="2288">
        <v>1460</v>
      </c>
      <c r="V207" s="2288">
        <v>1095</v>
      </c>
      <c r="W207" s="2397">
        <f>SUM(L207:V207)</f>
        <v>15768</v>
      </c>
      <c r="X207" s="2292">
        <f>W207/J207</f>
        <v>432000</v>
      </c>
    </row>
    <row r="208" s="2111" customFormat="1" customHeight="1" spans="1:24">
      <c r="A208" s="2472"/>
      <c r="B208" s="2473"/>
      <c r="C208" s="2286"/>
      <c r="D208" s="2286"/>
      <c r="E208" s="2286"/>
      <c r="F208" s="2286"/>
      <c r="G208" s="2469" t="s">
        <v>10887</v>
      </c>
      <c r="H208" s="2441"/>
      <c r="I208" s="2161">
        <v>800</v>
      </c>
      <c r="J208" s="2470">
        <v>0.0025</v>
      </c>
      <c r="K208" s="2161">
        <v>320000</v>
      </c>
      <c r="L208" s="2288">
        <v>800</v>
      </c>
      <c r="M208" s="2295"/>
      <c r="N208" s="2471"/>
      <c r="O208" s="2295"/>
      <c r="P208" s="2295"/>
      <c r="Q208" s="2295"/>
      <c r="R208" s="2295"/>
      <c r="S208" s="2295">
        <v>800</v>
      </c>
      <c r="T208" s="2295"/>
      <c r="U208" s="2295"/>
      <c r="V208" s="2295"/>
      <c r="W208" s="2397">
        <f t="shared" ref="W208:W253" si="66">SUM(L208:V208)</f>
        <v>1600</v>
      </c>
      <c r="X208" s="2292">
        <f>W208/J208</f>
        <v>640000</v>
      </c>
    </row>
    <row r="209" s="2111" customFormat="1" customHeight="1" spans="1:24">
      <c r="A209" s="2472"/>
      <c r="B209" s="2473"/>
      <c r="C209" s="2286"/>
      <c r="D209" s="2286"/>
      <c r="E209" s="2286"/>
      <c r="F209" s="2286"/>
      <c r="G209" s="2469" t="s">
        <v>10888</v>
      </c>
      <c r="H209" s="2441"/>
      <c r="I209" s="2161">
        <v>800</v>
      </c>
      <c r="J209" s="2470">
        <v>0.0226</v>
      </c>
      <c r="K209" s="2161">
        <v>35398</v>
      </c>
      <c r="L209" s="2294">
        <v>1130</v>
      </c>
      <c r="M209" s="2295">
        <v>1130</v>
      </c>
      <c r="N209" s="2471">
        <v>1130</v>
      </c>
      <c r="O209" s="2295">
        <v>800</v>
      </c>
      <c r="P209" s="2295">
        <v>800</v>
      </c>
      <c r="Q209" s="2295">
        <v>800</v>
      </c>
      <c r="R209" s="2295">
        <v>800</v>
      </c>
      <c r="S209" s="2295">
        <v>800</v>
      </c>
      <c r="T209" s="2295">
        <v>800</v>
      </c>
      <c r="U209" s="2295">
        <v>896</v>
      </c>
      <c r="V209" s="2295">
        <v>800</v>
      </c>
      <c r="W209" s="2397">
        <f t="shared" si="66"/>
        <v>9886</v>
      </c>
      <c r="X209" s="2292">
        <f>W209/J209</f>
        <v>437433.628318584</v>
      </c>
    </row>
    <row r="210" s="2111" customFormat="1" customHeight="1" spans="1:24">
      <c r="A210" s="2472"/>
      <c r="B210" s="2473"/>
      <c r="C210" s="2286"/>
      <c r="D210" s="2286"/>
      <c r="E210" s="2286"/>
      <c r="F210" s="2286"/>
      <c r="G210" s="2469" t="s">
        <v>10889</v>
      </c>
      <c r="H210" s="2441" t="s">
        <v>10890</v>
      </c>
      <c r="I210" s="2161">
        <v>500</v>
      </c>
      <c r="J210" s="2470">
        <v>0.0153</v>
      </c>
      <c r="K210" s="2161">
        <v>32680</v>
      </c>
      <c r="L210" s="2294">
        <v>765</v>
      </c>
      <c r="M210" s="2295">
        <v>765</v>
      </c>
      <c r="N210" s="2471">
        <v>765</v>
      </c>
      <c r="O210" s="2295">
        <v>500</v>
      </c>
      <c r="P210" s="2295">
        <v>459</v>
      </c>
      <c r="Q210" s="2295">
        <v>459</v>
      </c>
      <c r="R210" s="2295">
        <v>602</v>
      </c>
      <c r="S210" s="2295">
        <v>612</v>
      </c>
      <c r="T210" s="2295">
        <v>612</v>
      </c>
      <c r="U210" s="2295">
        <v>612</v>
      </c>
      <c r="V210" s="2295">
        <v>459</v>
      </c>
      <c r="W210" s="2397">
        <f t="shared" si="66"/>
        <v>6610</v>
      </c>
      <c r="X210" s="2292">
        <f t="shared" ref="X210:X247" si="67">W210/J210</f>
        <v>432026.14379085</v>
      </c>
    </row>
    <row r="211" s="2111" customFormat="1" customHeight="1" spans="1:24">
      <c r="A211" s="2472"/>
      <c r="B211" s="2473"/>
      <c r="C211" s="2286"/>
      <c r="D211" s="2286"/>
      <c r="E211" s="2286"/>
      <c r="F211" s="2286"/>
      <c r="G211" s="2469" t="s">
        <v>10891</v>
      </c>
      <c r="H211" s="2441"/>
      <c r="I211" s="2161">
        <v>500</v>
      </c>
      <c r="J211" s="2470">
        <v>0.0023</v>
      </c>
      <c r="K211" s="2161">
        <v>217391</v>
      </c>
      <c r="L211" s="2288">
        <v>500</v>
      </c>
      <c r="M211" s="2295"/>
      <c r="N211" s="2471"/>
      <c r="O211" s="2295"/>
      <c r="P211" s="2295"/>
      <c r="Q211" s="2295">
        <v>500</v>
      </c>
      <c r="R211" s="2295"/>
      <c r="S211" s="2295"/>
      <c r="T211" s="2295"/>
      <c r="U211" s="2295"/>
      <c r="V211" s="2295"/>
      <c r="W211" s="2397">
        <f t="shared" si="66"/>
        <v>1000</v>
      </c>
      <c r="X211" s="2292">
        <f t="shared" si="67"/>
        <v>434782.608695652</v>
      </c>
    </row>
    <row r="212" s="2111" customFormat="1" customHeight="1" spans="1:24">
      <c r="A212" s="2472"/>
      <c r="B212" s="2474"/>
      <c r="C212" s="2475"/>
      <c r="D212" s="2475"/>
      <c r="E212" s="2475"/>
      <c r="F212" s="2475"/>
      <c r="G212" s="2476" t="s">
        <v>10650</v>
      </c>
      <c r="H212" s="2477"/>
      <c r="I212" s="2348">
        <v>1</v>
      </c>
      <c r="J212" s="2478">
        <v>1</v>
      </c>
      <c r="K212" s="2348">
        <v>1</v>
      </c>
      <c r="L212" s="2434">
        <v>50000</v>
      </c>
      <c r="M212" s="2435">
        <v>50000</v>
      </c>
      <c r="N212" s="2479">
        <v>50000</v>
      </c>
      <c r="O212" s="2435">
        <v>30000</v>
      </c>
      <c r="P212" s="2435">
        <v>30000</v>
      </c>
      <c r="Q212" s="2435">
        <v>30000</v>
      </c>
      <c r="R212" s="2435">
        <v>42000</v>
      </c>
      <c r="S212" s="2435">
        <v>40000</v>
      </c>
      <c r="T212" s="2435">
        <v>40000</v>
      </c>
      <c r="U212" s="2435">
        <v>40000</v>
      </c>
      <c r="V212" s="2435">
        <v>30000</v>
      </c>
      <c r="W212" s="2397">
        <f t="shared" si="66"/>
        <v>432000</v>
      </c>
      <c r="X212" s="2292">
        <f t="shared" si="67"/>
        <v>432000</v>
      </c>
    </row>
    <row r="213" s="2111" customFormat="1" customHeight="1" spans="1:24">
      <c r="A213" s="2472"/>
      <c r="B213" s="2480" t="s">
        <v>10892</v>
      </c>
      <c r="C213" s="2276">
        <v>10</v>
      </c>
      <c r="D213" s="2276"/>
      <c r="E213" s="2276"/>
      <c r="F213" s="2276"/>
      <c r="G213" s="2481" t="s">
        <v>10893</v>
      </c>
      <c r="H213" s="2482"/>
      <c r="I213" s="2149">
        <v>1</v>
      </c>
      <c r="J213" s="2483">
        <v>0.0468</v>
      </c>
      <c r="K213" s="2149">
        <v>21</v>
      </c>
      <c r="L213" s="2278">
        <v>2340</v>
      </c>
      <c r="M213" s="2280">
        <v>2340</v>
      </c>
      <c r="N213" s="2484">
        <v>2340</v>
      </c>
      <c r="O213" s="2280">
        <v>1404</v>
      </c>
      <c r="P213" s="2405">
        <v>1404</v>
      </c>
      <c r="Q213" s="2405">
        <v>1404</v>
      </c>
      <c r="R213" s="2405">
        <v>1966</v>
      </c>
      <c r="S213" s="2405">
        <v>1872</v>
      </c>
      <c r="T213" s="2405">
        <v>1872</v>
      </c>
      <c r="U213" s="2405">
        <v>1872</v>
      </c>
      <c r="V213" s="2405">
        <v>1404</v>
      </c>
      <c r="W213" s="2397">
        <f t="shared" si="66"/>
        <v>20218</v>
      </c>
      <c r="X213" s="2292">
        <f t="shared" si="67"/>
        <v>432008.547008547</v>
      </c>
    </row>
    <row r="214" s="2111" customFormat="1" customHeight="1" spans="1:24">
      <c r="A214" s="2472"/>
      <c r="B214" s="2473"/>
      <c r="C214" s="2286"/>
      <c r="D214" s="2286"/>
      <c r="E214" s="2286"/>
      <c r="F214" s="2286"/>
      <c r="G214" s="2469" t="s">
        <v>10894</v>
      </c>
      <c r="H214" s="2441"/>
      <c r="I214" s="2161">
        <v>500</v>
      </c>
      <c r="J214" s="2470">
        <v>0.0052</v>
      </c>
      <c r="K214" s="2161">
        <v>96154</v>
      </c>
      <c r="L214" s="2288">
        <v>500</v>
      </c>
      <c r="M214" s="2295">
        <v>500</v>
      </c>
      <c r="N214" s="2471"/>
      <c r="O214" s="2295"/>
      <c r="P214" s="2295">
        <v>500</v>
      </c>
      <c r="Q214" s="2295"/>
      <c r="R214" s="2295"/>
      <c r="S214" s="2295">
        <v>500</v>
      </c>
      <c r="T214" s="2295"/>
      <c r="U214" s="2295">
        <v>91</v>
      </c>
      <c r="V214" s="2295">
        <v>500</v>
      </c>
      <c r="W214" s="2397">
        <f t="shared" si="66"/>
        <v>2591</v>
      </c>
      <c r="X214" s="2292">
        <f t="shared" si="67"/>
        <v>498269.230769231</v>
      </c>
    </row>
    <row r="215" s="2111" customFormat="1" customHeight="1" spans="1:24">
      <c r="A215" s="2472"/>
      <c r="B215" s="2473"/>
      <c r="C215" s="2286"/>
      <c r="D215" s="2286"/>
      <c r="E215" s="2286"/>
      <c r="F215" s="2286"/>
      <c r="G215" s="2469" t="s">
        <v>10895</v>
      </c>
      <c r="H215" s="2441"/>
      <c r="I215" s="2161">
        <v>800</v>
      </c>
      <c r="J215" s="2470">
        <v>0.0123</v>
      </c>
      <c r="K215" s="2161">
        <v>65041</v>
      </c>
      <c r="L215" s="2288">
        <v>800</v>
      </c>
      <c r="M215" s="2295">
        <v>800</v>
      </c>
      <c r="N215" s="2471">
        <v>800</v>
      </c>
      <c r="O215" s="2295"/>
      <c r="P215" s="2295">
        <v>800</v>
      </c>
      <c r="Q215" s="2295"/>
      <c r="R215" s="2295">
        <v>800</v>
      </c>
      <c r="S215" s="2295"/>
      <c r="T215" s="2295">
        <v>800</v>
      </c>
      <c r="U215" s="2295">
        <v>145</v>
      </c>
      <c r="V215" s="2295">
        <v>800</v>
      </c>
      <c r="W215" s="2397">
        <f t="shared" si="66"/>
        <v>5745</v>
      </c>
      <c r="X215" s="2292">
        <f t="shared" si="67"/>
        <v>467073.170731707</v>
      </c>
    </row>
    <row r="216" s="2111" customFormat="1" customHeight="1" spans="1:24">
      <c r="A216" s="2472"/>
      <c r="B216" s="2473"/>
      <c r="C216" s="2286"/>
      <c r="D216" s="2286"/>
      <c r="E216" s="2286"/>
      <c r="F216" s="2286"/>
      <c r="G216" s="2469" t="s">
        <v>10896</v>
      </c>
      <c r="H216" s="2441"/>
      <c r="I216" s="2161">
        <v>500</v>
      </c>
      <c r="J216" s="2470">
        <v>0.0101</v>
      </c>
      <c r="K216" s="2161">
        <v>49505</v>
      </c>
      <c r="L216" s="2294">
        <v>505</v>
      </c>
      <c r="M216" s="2295">
        <v>505</v>
      </c>
      <c r="N216" s="2471">
        <v>505</v>
      </c>
      <c r="O216" s="2295">
        <v>500</v>
      </c>
      <c r="P216" s="2295">
        <v>500</v>
      </c>
      <c r="Q216" s="2295"/>
      <c r="R216" s="2295">
        <v>500</v>
      </c>
      <c r="S216" s="2295">
        <v>500</v>
      </c>
      <c r="T216" s="2295">
        <v>500</v>
      </c>
      <c r="U216" s="2295">
        <v>46</v>
      </c>
      <c r="V216" s="2295">
        <v>500</v>
      </c>
      <c r="W216" s="2397">
        <f t="shared" si="66"/>
        <v>4561</v>
      </c>
      <c r="X216" s="2292">
        <f t="shared" si="67"/>
        <v>451584.158415842</v>
      </c>
    </row>
    <row r="217" s="2111" customFormat="1" customHeight="1" spans="1:24">
      <c r="A217" s="2472"/>
      <c r="B217" s="2473"/>
      <c r="C217" s="2286"/>
      <c r="D217" s="2286"/>
      <c r="E217" s="2286"/>
      <c r="F217" s="2286"/>
      <c r="G217" s="2469" t="s">
        <v>10897</v>
      </c>
      <c r="H217" s="2441"/>
      <c r="I217" s="2161">
        <v>500</v>
      </c>
      <c r="J217" s="2470">
        <v>0.0023</v>
      </c>
      <c r="K217" s="2161">
        <v>217391</v>
      </c>
      <c r="L217" s="2295"/>
      <c r="M217" s="2295">
        <v>500</v>
      </c>
      <c r="N217" s="2471">
        <v>500</v>
      </c>
      <c r="O217" s="2295"/>
      <c r="P217" s="2295"/>
      <c r="Q217" s="2295"/>
      <c r="R217" s="2295"/>
      <c r="S217" s="2295"/>
      <c r="T217" s="2295"/>
      <c r="U217" s="2295"/>
      <c r="V217" s="2295"/>
      <c r="W217" s="2397">
        <f t="shared" si="66"/>
        <v>1000</v>
      </c>
      <c r="X217" s="2292">
        <f t="shared" si="67"/>
        <v>434782.608695652</v>
      </c>
    </row>
    <row r="218" s="2111" customFormat="1" customHeight="1" spans="1:24">
      <c r="A218" s="2472"/>
      <c r="B218" s="2485"/>
      <c r="C218" s="2299"/>
      <c r="D218" s="2299"/>
      <c r="E218" s="2299"/>
      <c r="F218" s="2299"/>
      <c r="G218" s="2486" t="s">
        <v>10650</v>
      </c>
      <c r="H218" s="2487"/>
      <c r="I218" s="2171">
        <v>1</v>
      </c>
      <c r="J218" s="2488">
        <v>1</v>
      </c>
      <c r="K218" s="2171">
        <v>1</v>
      </c>
      <c r="L218" s="2301">
        <v>50000</v>
      </c>
      <c r="M218" s="2302">
        <v>50000</v>
      </c>
      <c r="N218" s="2479">
        <v>50000</v>
      </c>
      <c r="O218" s="2302">
        <v>30000</v>
      </c>
      <c r="P218" s="2435">
        <v>30000</v>
      </c>
      <c r="Q218" s="2435">
        <v>30000</v>
      </c>
      <c r="R218" s="2435">
        <v>42000</v>
      </c>
      <c r="S218" s="2435">
        <v>40000</v>
      </c>
      <c r="T218" s="2435">
        <v>40000</v>
      </c>
      <c r="U218" s="2435">
        <v>40000</v>
      </c>
      <c r="V218" s="2435">
        <v>30000</v>
      </c>
      <c r="W218" s="2397">
        <f t="shared" si="66"/>
        <v>432000</v>
      </c>
      <c r="X218" s="2292">
        <f t="shared" si="67"/>
        <v>432000</v>
      </c>
    </row>
    <row r="219" s="2111" customFormat="1" customHeight="1" spans="1:24">
      <c r="A219" s="2472"/>
      <c r="B219" s="2489" t="s">
        <v>10898</v>
      </c>
      <c r="C219" s="2490">
        <v>10</v>
      </c>
      <c r="D219" s="2490"/>
      <c r="E219" s="2490"/>
      <c r="F219" s="2490"/>
      <c r="G219" s="2491" t="s">
        <v>10899</v>
      </c>
      <c r="H219" s="2492"/>
      <c r="I219" s="2221">
        <v>1</v>
      </c>
      <c r="J219" s="2493">
        <v>0.0591</v>
      </c>
      <c r="K219" s="2221">
        <v>17</v>
      </c>
      <c r="L219" s="2404">
        <v>2955</v>
      </c>
      <c r="M219" s="2405">
        <v>2955</v>
      </c>
      <c r="N219" s="2471">
        <v>2955</v>
      </c>
      <c r="O219" s="2405">
        <v>1773</v>
      </c>
      <c r="P219" s="2405">
        <v>1773</v>
      </c>
      <c r="Q219" s="2405">
        <v>1773</v>
      </c>
      <c r="R219" s="2405">
        <v>2483</v>
      </c>
      <c r="S219" s="2405">
        <v>2364</v>
      </c>
      <c r="T219" s="2405">
        <v>2364</v>
      </c>
      <c r="U219" s="2405">
        <v>2364</v>
      </c>
      <c r="V219" s="2405">
        <v>1773</v>
      </c>
      <c r="W219" s="2397">
        <f t="shared" si="66"/>
        <v>25532</v>
      </c>
      <c r="X219" s="2292">
        <f t="shared" si="67"/>
        <v>432013.536379019</v>
      </c>
    </row>
    <row r="220" s="2111" customFormat="1" customHeight="1" spans="1:24">
      <c r="A220" s="2472"/>
      <c r="B220" s="2473"/>
      <c r="C220" s="2286"/>
      <c r="D220" s="2286"/>
      <c r="E220" s="2286"/>
      <c r="F220" s="2286"/>
      <c r="G220" s="2469" t="s">
        <v>10900</v>
      </c>
      <c r="H220" s="2441"/>
      <c r="I220" s="2161">
        <v>500</v>
      </c>
      <c r="J220" s="2470">
        <v>0.0052</v>
      </c>
      <c r="K220" s="2161">
        <v>96154</v>
      </c>
      <c r="L220" s="2288">
        <v>500</v>
      </c>
      <c r="M220" s="2295">
        <v>500</v>
      </c>
      <c r="N220" s="2471"/>
      <c r="O220" s="2295"/>
      <c r="P220" s="2295">
        <v>500</v>
      </c>
      <c r="Q220" s="2295"/>
      <c r="R220" s="2295"/>
      <c r="S220" s="2295">
        <v>500</v>
      </c>
      <c r="T220" s="2295"/>
      <c r="U220" s="2295">
        <v>91</v>
      </c>
      <c r="V220" s="2295">
        <v>500</v>
      </c>
      <c r="W220" s="2397">
        <f t="shared" si="66"/>
        <v>2591</v>
      </c>
      <c r="X220" s="2292">
        <f t="shared" si="67"/>
        <v>498269.230769231</v>
      </c>
    </row>
    <row r="221" s="2111" customFormat="1" customHeight="1" spans="1:24">
      <c r="A221" s="2472"/>
      <c r="B221" s="2473"/>
      <c r="C221" s="2286"/>
      <c r="D221" s="2286"/>
      <c r="E221" s="2286"/>
      <c r="F221" s="2286"/>
      <c r="G221" s="2469" t="s">
        <v>10901</v>
      </c>
      <c r="H221" s="2441" t="s">
        <v>10890</v>
      </c>
      <c r="I221" s="2161">
        <v>500</v>
      </c>
      <c r="J221" s="2470">
        <v>0.0101</v>
      </c>
      <c r="K221" s="2161">
        <v>49505</v>
      </c>
      <c r="L221" s="2294">
        <v>505</v>
      </c>
      <c r="M221" s="2295">
        <v>505</v>
      </c>
      <c r="N221" s="2471">
        <v>505</v>
      </c>
      <c r="O221" s="2295">
        <v>500</v>
      </c>
      <c r="P221" s="2295">
        <v>303</v>
      </c>
      <c r="Q221" s="2295">
        <v>303</v>
      </c>
      <c r="R221" s="2295">
        <v>228</v>
      </c>
      <c r="S221" s="2295">
        <v>500</v>
      </c>
      <c r="T221" s="2295">
        <v>500</v>
      </c>
      <c r="U221" s="2295">
        <v>212</v>
      </c>
      <c r="V221" s="2295">
        <v>303</v>
      </c>
      <c r="W221" s="2397">
        <f t="shared" si="66"/>
        <v>4364</v>
      </c>
      <c r="X221" s="2292">
        <f t="shared" si="67"/>
        <v>432079.207920792</v>
      </c>
    </row>
    <row r="222" s="2111" customFormat="1" customHeight="1" spans="1:24">
      <c r="A222" s="2472"/>
      <c r="B222" s="2473"/>
      <c r="C222" s="2286"/>
      <c r="D222" s="2286"/>
      <c r="E222" s="2286"/>
      <c r="F222" s="2286"/>
      <c r="G222" s="2469" t="s">
        <v>10902</v>
      </c>
      <c r="H222" s="2441" t="s">
        <v>10685</v>
      </c>
      <c r="I222" s="2161">
        <v>500</v>
      </c>
      <c r="J222" s="2470">
        <v>0.0023</v>
      </c>
      <c r="K222" s="2161">
        <v>217391</v>
      </c>
      <c r="L222" s="2294">
        <v>115</v>
      </c>
      <c r="M222" s="2295">
        <v>115</v>
      </c>
      <c r="N222" s="2471">
        <v>115</v>
      </c>
      <c r="O222" s="2295">
        <v>250</v>
      </c>
      <c r="P222" s="2295"/>
      <c r="Q222" s="2295"/>
      <c r="R222" s="2295">
        <v>250</v>
      </c>
      <c r="S222" s="2295"/>
      <c r="T222" s="2295"/>
      <c r="U222" s="2295">
        <v>250</v>
      </c>
      <c r="V222" s="2295"/>
      <c r="W222" s="2397">
        <f t="shared" si="66"/>
        <v>1095</v>
      </c>
      <c r="X222" s="2292">
        <f t="shared" si="67"/>
        <v>476086.956521739</v>
      </c>
    </row>
    <row r="223" s="2111" customFormat="1" customHeight="1" spans="1:24">
      <c r="A223" s="2472"/>
      <c r="B223" s="2485"/>
      <c r="C223" s="2299"/>
      <c r="D223" s="2299"/>
      <c r="E223" s="2299"/>
      <c r="F223" s="2299"/>
      <c r="G223" s="2486" t="s">
        <v>10650</v>
      </c>
      <c r="H223" s="2487"/>
      <c r="I223" s="2171">
        <v>1</v>
      </c>
      <c r="J223" s="2488">
        <v>1</v>
      </c>
      <c r="K223" s="2171">
        <v>1</v>
      </c>
      <c r="L223" s="2301">
        <v>50000</v>
      </c>
      <c r="M223" s="2302">
        <v>50000</v>
      </c>
      <c r="N223" s="2479">
        <v>50000</v>
      </c>
      <c r="O223" s="2302">
        <v>30000</v>
      </c>
      <c r="P223" s="2435">
        <v>30000</v>
      </c>
      <c r="Q223" s="2435">
        <v>30000</v>
      </c>
      <c r="R223" s="2435">
        <v>42000</v>
      </c>
      <c r="S223" s="2435">
        <v>40000</v>
      </c>
      <c r="T223" s="2435">
        <v>40000</v>
      </c>
      <c r="U223" s="2435">
        <v>40000</v>
      </c>
      <c r="V223" s="2435">
        <v>30000</v>
      </c>
      <c r="W223" s="2397">
        <f t="shared" si="66"/>
        <v>432000</v>
      </c>
      <c r="X223" s="2292">
        <f t="shared" si="67"/>
        <v>432000</v>
      </c>
    </row>
    <row r="224" s="2111" customFormat="1" customHeight="1" spans="1:24">
      <c r="A224" s="2472"/>
      <c r="B224" s="2468" t="s">
        <v>10903</v>
      </c>
      <c r="C224" s="2286">
        <v>9</v>
      </c>
      <c r="D224" s="2286"/>
      <c r="E224" s="2286"/>
      <c r="F224" s="2286"/>
      <c r="G224" s="2469" t="s">
        <v>10904</v>
      </c>
      <c r="H224" s="2441" t="s">
        <v>10696</v>
      </c>
      <c r="I224" s="2161">
        <v>1</v>
      </c>
      <c r="J224" s="2470">
        <v>0.0416</v>
      </c>
      <c r="K224" s="2161">
        <v>24</v>
      </c>
      <c r="L224" s="2294">
        <v>1872</v>
      </c>
      <c r="M224" s="2288">
        <v>1872</v>
      </c>
      <c r="N224" s="2471">
        <v>1872</v>
      </c>
      <c r="O224" s="2288">
        <v>1248</v>
      </c>
      <c r="P224" s="2288">
        <v>1248</v>
      </c>
      <c r="Q224" s="2288">
        <v>1248</v>
      </c>
      <c r="R224" s="2288">
        <v>1248</v>
      </c>
      <c r="S224" s="2288">
        <v>1664</v>
      </c>
      <c r="T224" s="2288">
        <v>1456</v>
      </c>
      <c r="U224" s="2288">
        <v>1664</v>
      </c>
      <c r="V224" s="2288">
        <v>1248</v>
      </c>
      <c r="W224" s="2397">
        <f t="shared" si="66"/>
        <v>16640</v>
      </c>
      <c r="X224" s="2292">
        <f t="shared" si="67"/>
        <v>400000</v>
      </c>
    </row>
    <row r="225" s="2111" customFormat="1" customHeight="1" spans="1:24">
      <c r="A225" s="2472"/>
      <c r="B225" s="2473"/>
      <c r="C225" s="2286"/>
      <c r="D225" s="2286"/>
      <c r="E225" s="2286"/>
      <c r="F225" s="2286"/>
      <c r="G225" s="2469" t="s">
        <v>10905</v>
      </c>
      <c r="H225" s="2441"/>
      <c r="I225" s="2161">
        <v>800</v>
      </c>
      <c r="J225" s="2470">
        <v>0.0178</v>
      </c>
      <c r="K225" s="2161">
        <v>44944</v>
      </c>
      <c r="L225" s="2294">
        <v>801</v>
      </c>
      <c r="M225" s="2295">
        <v>801</v>
      </c>
      <c r="N225" s="2471">
        <v>801</v>
      </c>
      <c r="O225" s="2295">
        <v>800</v>
      </c>
      <c r="P225" s="2295">
        <v>800</v>
      </c>
      <c r="Q225" s="2295"/>
      <c r="R225" s="2295">
        <v>800</v>
      </c>
      <c r="S225" s="2295">
        <v>800</v>
      </c>
      <c r="T225" s="2295">
        <v>800</v>
      </c>
      <c r="U225" s="2295">
        <v>183</v>
      </c>
      <c r="V225" s="2295">
        <v>800</v>
      </c>
      <c r="W225" s="2397">
        <f t="shared" si="66"/>
        <v>7386</v>
      </c>
      <c r="X225" s="2292">
        <f t="shared" si="67"/>
        <v>414943.820224719</v>
      </c>
    </row>
    <row r="226" s="2111" customFormat="1" customHeight="1" spans="1:24">
      <c r="A226" s="2472"/>
      <c r="B226" s="2473"/>
      <c r="C226" s="2286"/>
      <c r="D226" s="2286"/>
      <c r="E226" s="2286"/>
      <c r="F226" s="2286"/>
      <c r="G226" s="2469" t="s">
        <v>10900</v>
      </c>
      <c r="H226" s="2441"/>
      <c r="I226" s="2161">
        <v>500</v>
      </c>
      <c r="J226" s="2470">
        <v>0.0057</v>
      </c>
      <c r="K226" s="2161">
        <v>87719</v>
      </c>
      <c r="L226" s="2288">
        <v>500</v>
      </c>
      <c r="M226" s="2295">
        <v>500</v>
      </c>
      <c r="N226" s="2471"/>
      <c r="O226" s="2295"/>
      <c r="P226" s="2295">
        <v>500</v>
      </c>
      <c r="Q226" s="2295"/>
      <c r="R226" s="2295"/>
      <c r="S226" s="2295">
        <v>500</v>
      </c>
      <c r="T226" s="2295"/>
      <c r="U226" s="2295">
        <v>109</v>
      </c>
      <c r="V226" s="2295">
        <v>500</v>
      </c>
      <c r="W226" s="2397">
        <f t="shared" si="66"/>
        <v>2609</v>
      </c>
      <c r="X226" s="2292">
        <f t="shared" si="67"/>
        <v>457719.298245614</v>
      </c>
    </row>
    <row r="227" s="2111" customFormat="1" customHeight="1" spans="1:24">
      <c r="A227" s="2472"/>
      <c r="B227" s="2473"/>
      <c r="C227" s="2286"/>
      <c r="D227" s="2286"/>
      <c r="E227" s="2286"/>
      <c r="F227" s="2286"/>
      <c r="G227" s="2469" t="s">
        <v>10906</v>
      </c>
      <c r="H227" s="2441" t="s">
        <v>10907</v>
      </c>
      <c r="I227" s="2161">
        <v>800</v>
      </c>
      <c r="J227" s="2470">
        <v>0.0093</v>
      </c>
      <c r="K227" s="2161">
        <v>86022</v>
      </c>
      <c r="L227" s="2294">
        <v>419</v>
      </c>
      <c r="M227" s="2295">
        <v>419</v>
      </c>
      <c r="N227" s="2494">
        <v>800</v>
      </c>
      <c r="O227" s="2295"/>
      <c r="P227" s="2295">
        <v>279</v>
      </c>
      <c r="Q227" s="2295">
        <v>800</v>
      </c>
      <c r="R227" s="2295"/>
      <c r="S227" s="2295">
        <v>800</v>
      </c>
      <c r="T227" s="2295"/>
      <c r="U227" s="2295"/>
      <c r="V227" s="2295">
        <v>203</v>
      </c>
      <c r="W227" s="2397">
        <f t="shared" si="66"/>
        <v>3720</v>
      </c>
      <c r="X227" s="2292">
        <f t="shared" si="67"/>
        <v>400000</v>
      </c>
    </row>
    <row r="228" s="2111" customFormat="1" customHeight="1" spans="1:24">
      <c r="A228" s="2472"/>
      <c r="B228" s="2473"/>
      <c r="C228" s="2286"/>
      <c r="D228" s="2286"/>
      <c r="E228" s="2286"/>
      <c r="F228" s="2286"/>
      <c r="G228" s="2469" t="s">
        <v>10908</v>
      </c>
      <c r="H228" s="2441"/>
      <c r="I228" s="2161">
        <v>500</v>
      </c>
      <c r="J228" s="2470">
        <v>0.0101</v>
      </c>
      <c r="K228" s="2161">
        <v>49505</v>
      </c>
      <c r="L228" s="2288">
        <v>500</v>
      </c>
      <c r="M228" s="2295">
        <v>500</v>
      </c>
      <c r="N228" s="2471">
        <v>500</v>
      </c>
      <c r="O228" s="2295">
        <v>500</v>
      </c>
      <c r="P228" s="2295"/>
      <c r="Q228" s="2295">
        <v>500</v>
      </c>
      <c r="R228" s="2295">
        <v>500</v>
      </c>
      <c r="S228" s="2295"/>
      <c r="T228" s="2295">
        <v>500</v>
      </c>
      <c r="U228" s="2295">
        <v>238</v>
      </c>
      <c r="V228" s="2295">
        <v>500</v>
      </c>
      <c r="W228" s="2397">
        <f t="shared" si="66"/>
        <v>4238</v>
      </c>
      <c r="X228" s="2292">
        <f t="shared" si="67"/>
        <v>419603.96039604</v>
      </c>
    </row>
    <row r="229" s="2111" customFormat="1" customHeight="1" spans="1:24">
      <c r="A229" s="2472"/>
      <c r="B229" s="2473"/>
      <c r="C229" s="2286"/>
      <c r="D229" s="2286"/>
      <c r="E229" s="2286"/>
      <c r="F229" s="2286"/>
      <c r="G229" s="2469" t="s">
        <v>10909</v>
      </c>
      <c r="H229" s="2441" t="s">
        <v>10685</v>
      </c>
      <c r="I229" s="2161">
        <v>500</v>
      </c>
      <c r="J229" s="2470">
        <v>0.0023</v>
      </c>
      <c r="K229" s="2161">
        <v>217391</v>
      </c>
      <c r="L229" s="2294">
        <v>104</v>
      </c>
      <c r="M229" s="2295">
        <v>104</v>
      </c>
      <c r="N229" s="2471">
        <v>103.5</v>
      </c>
      <c r="O229" s="2295">
        <v>250</v>
      </c>
      <c r="P229" s="2295"/>
      <c r="Q229" s="2295"/>
      <c r="R229" s="2295">
        <v>250</v>
      </c>
      <c r="S229" s="2295"/>
      <c r="T229" s="2295"/>
      <c r="U229" s="2295">
        <v>250</v>
      </c>
      <c r="V229" s="2295"/>
      <c r="W229" s="2397">
        <f t="shared" si="66"/>
        <v>1061.5</v>
      </c>
      <c r="X229" s="2292">
        <f t="shared" si="67"/>
        <v>461521.739130435</v>
      </c>
    </row>
    <row r="230" s="2111" customFormat="1" customHeight="1" spans="1:24">
      <c r="A230" s="2472"/>
      <c r="B230" s="2485"/>
      <c r="C230" s="2299"/>
      <c r="D230" s="2299"/>
      <c r="E230" s="2299"/>
      <c r="F230" s="2299"/>
      <c r="G230" s="2486" t="s">
        <v>10650</v>
      </c>
      <c r="H230" s="2487"/>
      <c r="I230" s="2171">
        <v>1</v>
      </c>
      <c r="J230" s="2488">
        <v>1</v>
      </c>
      <c r="K230" s="2171">
        <v>1</v>
      </c>
      <c r="L230" s="2301">
        <v>45000</v>
      </c>
      <c r="M230" s="2302">
        <v>45000</v>
      </c>
      <c r="N230" s="2479">
        <v>45000</v>
      </c>
      <c r="O230" s="2302">
        <v>30000</v>
      </c>
      <c r="P230" s="2435">
        <v>30000</v>
      </c>
      <c r="Q230" s="2435">
        <v>30000</v>
      </c>
      <c r="R230" s="2435">
        <v>30000</v>
      </c>
      <c r="S230" s="2435">
        <v>40000</v>
      </c>
      <c r="T230" s="2435">
        <v>35000</v>
      </c>
      <c r="U230" s="2435">
        <v>40000</v>
      </c>
      <c r="V230" s="2435">
        <v>30000</v>
      </c>
      <c r="W230" s="2397">
        <f t="shared" si="66"/>
        <v>400000</v>
      </c>
      <c r="X230" s="2292">
        <f t="shared" si="67"/>
        <v>400000</v>
      </c>
    </row>
    <row r="231" s="2111" customFormat="1" customHeight="1" spans="1:24">
      <c r="A231" s="2472"/>
      <c r="B231" s="2468" t="s">
        <v>10910</v>
      </c>
      <c r="C231" s="2286">
        <v>10</v>
      </c>
      <c r="D231" s="2286"/>
      <c r="E231" s="2286"/>
      <c r="F231" s="2286"/>
      <c r="G231" s="2469" t="s">
        <v>10911</v>
      </c>
      <c r="H231" s="2441"/>
      <c r="I231" s="2161">
        <v>1</v>
      </c>
      <c r="J231" s="2470">
        <v>0.0538</v>
      </c>
      <c r="K231" s="2161">
        <v>19</v>
      </c>
      <c r="L231" s="2294">
        <v>2690</v>
      </c>
      <c r="M231" s="2295">
        <v>2690</v>
      </c>
      <c r="N231" s="2471">
        <v>2690</v>
      </c>
      <c r="O231" s="2295">
        <v>1614</v>
      </c>
      <c r="P231" s="2295">
        <v>1614</v>
      </c>
      <c r="Q231" s="2295">
        <v>1614</v>
      </c>
      <c r="R231" s="2295">
        <v>2260</v>
      </c>
      <c r="S231" s="2295">
        <v>2152</v>
      </c>
      <c r="T231" s="2295">
        <v>2152</v>
      </c>
      <c r="U231" s="2295">
        <v>2152</v>
      </c>
      <c r="V231" s="2295">
        <v>1614</v>
      </c>
      <c r="W231" s="2397">
        <f t="shared" si="66"/>
        <v>23242</v>
      </c>
      <c r="X231" s="2292">
        <f t="shared" si="67"/>
        <v>432007.434944238</v>
      </c>
    </row>
    <row r="232" s="2111" customFormat="1" customHeight="1" spans="1:24">
      <c r="A232" s="2472"/>
      <c r="B232" s="2473"/>
      <c r="C232" s="2286"/>
      <c r="D232" s="2286"/>
      <c r="E232" s="2286"/>
      <c r="F232" s="2286"/>
      <c r="G232" s="2469" t="s">
        <v>10912</v>
      </c>
      <c r="H232" s="2441"/>
      <c r="I232" s="2161">
        <v>500</v>
      </c>
      <c r="J232" s="2470">
        <v>0.005</v>
      </c>
      <c r="K232" s="2161">
        <v>100000</v>
      </c>
      <c r="L232" s="2288">
        <v>500</v>
      </c>
      <c r="M232" s="2295"/>
      <c r="N232" s="2471">
        <v>500</v>
      </c>
      <c r="O232" s="2295"/>
      <c r="P232" s="2295">
        <v>500</v>
      </c>
      <c r="Q232" s="2295"/>
      <c r="R232" s="2295"/>
      <c r="S232" s="2295">
        <v>500</v>
      </c>
      <c r="T232" s="2295"/>
      <c r="U232" s="2295">
        <v>10</v>
      </c>
      <c r="V232" s="2295">
        <v>500</v>
      </c>
      <c r="W232" s="2397">
        <f t="shared" si="66"/>
        <v>2510</v>
      </c>
      <c r="X232" s="2292">
        <f t="shared" si="67"/>
        <v>502000</v>
      </c>
    </row>
    <row r="233" s="2111" customFormat="1" customHeight="1" spans="1:24">
      <c r="A233" s="2472"/>
      <c r="B233" s="2473"/>
      <c r="C233" s="2286"/>
      <c r="D233" s="2286"/>
      <c r="E233" s="2286"/>
      <c r="F233" s="2286"/>
      <c r="G233" s="2469" t="s">
        <v>10904</v>
      </c>
      <c r="H233" s="2441" t="s">
        <v>10696</v>
      </c>
      <c r="I233" s="2161">
        <v>1</v>
      </c>
      <c r="J233" s="2470">
        <v>0.0051</v>
      </c>
      <c r="K233" s="2161">
        <v>196</v>
      </c>
      <c r="L233" s="2294">
        <v>255</v>
      </c>
      <c r="M233" s="2295">
        <v>255</v>
      </c>
      <c r="N233" s="2471">
        <v>255</v>
      </c>
      <c r="O233" s="2295">
        <v>153</v>
      </c>
      <c r="P233" s="2295">
        <v>153</v>
      </c>
      <c r="Q233" s="2295">
        <v>153</v>
      </c>
      <c r="R233" s="2295">
        <v>215</v>
      </c>
      <c r="S233" s="2295">
        <v>204</v>
      </c>
      <c r="T233" s="2295">
        <v>204</v>
      </c>
      <c r="U233" s="2295">
        <v>204</v>
      </c>
      <c r="V233" s="2295">
        <v>153</v>
      </c>
      <c r="W233" s="2397">
        <f t="shared" si="66"/>
        <v>2204</v>
      </c>
      <c r="X233" s="2292">
        <f t="shared" si="67"/>
        <v>432156.862745098</v>
      </c>
    </row>
    <row r="234" s="2111" customFormat="1" customHeight="1" spans="1:24">
      <c r="A234" s="2472"/>
      <c r="B234" s="2473"/>
      <c r="C234" s="2286"/>
      <c r="D234" s="2286"/>
      <c r="E234" s="2286"/>
      <c r="F234" s="2286"/>
      <c r="G234" s="2469" t="s">
        <v>10913</v>
      </c>
      <c r="H234" s="2441"/>
      <c r="I234" s="2161">
        <v>500</v>
      </c>
      <c r="J234" s="2470">
        <v>0.0101</v>
      </c>
      <c r="K234" s="2161">
        <v>49505</v>
      </c>
      <c r="L234" s="2294">
        <v>505</v>
      </c>
      <c r="M234" s="2295">
        <v>505</v>
      </c>
      <c r="N234" s="2471">
        <v>505</v>
      </c>
      <c r="O234" s="2295">
        <v>500</v>
      </c>
      <c r="P234" s="2295">
        <v>500</v>
      </c>
      <c r="Q234" s="2295"/>
      <c r="R234" s="2295">
        <v>500</v>
      </c>
      <c r="S234" s="2295">
        <v>500</v>
      </c>
      <c r="T234" s="2295">
        <v>500</v>
      </c>
      <c r="U234" s="2295">
        <v>46</v>
      </c>
      <c r="V234" s="2295">
        <v>500</v>
      </c>
      <c r="W234" s="2397">
        <f t="shared" si="66"/>
        <v>4561</v>
      </c>
      <c r="X234" s="2292">
        <f t="shared" si="67"/>
        <v>451584.158415842</v>
      </c>
    </row>
    <row r="235" s="2111" customFormat="1" customHeight="1" spans="1:24">
      <c r="A235" s="2472"/>
      <c r="B235" s="2473"/>
      <c r="C235" s="2286"/>
      <c r="D235" s="2286"/>
      <c r="E235" s="2286"/>
      <c r="F235" s="2286"/>
      <c r="G235" s="2469" t="s">
        <v>10914</v>
      </c>
      <c r="H235" s="2441"/>
      <c r="I235" s="2161">
        <v>500</v>
      </c>
      <c r="J235" s="2470">
        <v>0.0023</v>
      </c>
      <c r="K235" s="2161">
        <v>217391</v>
      </c>
      <c r="L235" s="2288">
        <v>500</v>
      </c>
      <c r="M235" s="2295"/>
      <c r="N235" s="2471"/>
      <c r="O235" s="2295"/>
      <c r="P235" s="2295"/>
      <c r="Q235" s="2295">
        <v>500</v>
      </c>
      <c r="R235" s="2295"/>
      <c r="S235" s="2295"/>
      <c r="T235" s="2295"/>
      <c r="U235" s="2295"/>
      <c r="V235" s="2295"/>
      <c r="W235" s="2397">
        <f t="shared" si="66"/>
        <v>1000</v>
      </c>
      <c r="X235" s="2292">
        <f t="shared" si="67"/>
        <v>434782.608695652</v>
      </c>
    </row>
    <row r="236" s="2111" customFormat="1" customHeight="1" spans="1:24">
      <c r="A236" s="2472"/>
      <c r="B236" s="2485"/>
      <c r="C236" s="2299"/>
      <c r="D236" s="2299"/>
      <c r="E236" s="2299"/>
      <c r="F236" s="2299"/>
      <c r="G236" s="2486" t="s">
        <v>10650</v>
      </c>
      <c r="H236" s="2487"/>
      <c r="I236" s="2171">
        <v>1</v>
      </c>
      <c r="J236" s="2488">
        <v>1</v>
      </c>
      <c r="K236" s="2171">
        <v>1</v>
      </c>
      <c r="L236" s="2301">
        <v>50000</v>
      </c>
      <c r="M236" s="2302">
        <v>50000</v>
      </c>
      <c r="N236" s="2479">
        <v>50000</v>
      </c>
      <c r="O236" s="2302">
        <v>30000</v>
      </c>
      <c r="P236" s="2435">
        <v>30000</v>
      </c>
      <c r="Q236" s="2435">
        <v>30000</v>
      </c>
      <c r="R236" s="2435">
        <v>42000</v>
      </c>
      <c r="S236" s="2435">
        <v>40000</v>
      </c>
      <c r="T236" s="2435">
        <v>40000</v>
      </c>
      <c r="U236" s="2435">
        <v>40000</v>
      </c>
      <c r="V236" s="2435">
        <v>30000</v>
      </c>
      <c r="W236" s="2397">
        <f t="shared" si="66"/>
        <v>432000</v>
      </c>
      <c r="X236" s="2292">
        <f t="shared" si="67"/>
        <v>432000</v>
      </c>
    </row>
    <row r="237" s="2111" customFormat="1" customHeight="1" spans="1:24">
      <c r="A237" s="2472"/>
      <c r="B237" s="2468" t="s">
        <v>10915</v>
      </c>
      <c r="C237" s="2286">
        <v>1</v>
      </c>
      <c r="D237" s="2286"/>
      <c r="E237" s="2286"/>
      <c r="F237" s="2286"/>
      <c r="G237" s="2469" t="s">
        <v>10906</v>
      </c>
      <c r="H237" s="2441" t="s">
        <v>10907</v>
      </c>
      <c r="I237" s="2161">
        <v>800</v>
      </c>
      <c r="J237" s="2470">
        <v>0.0591</v>
      </c>
      <c r="K237" s="2161">
        <v>13536</v>
      </c>
      <c r="L237" s="2294">
        <v>1182</v>
      </c>
      <c r="M237" s="2290"/>
      <c r="N237" s="2471">
        <v>0</v>
      </c>
      <c r="O237" s="2295"/>
      <c r="P237" s="2295">
        <v>1182</v>
      </c>
      <c r="Q237" s="2295">
        <v>0</v>
      </c>
      <c r="R237" s="2295"/>
      <c r="S237" s="2295"/>
      <c r="T237" s="2295"/>
      <c r="U237" s="2295"/>
      <c r="V237" s="2295">
        <v>890</v>
      </c>
      <c r="W237" s="2397">
        <f t="shared" si="66"/>
        <v>3254</v>
      </c>
      <c r="X237" s="2292">
        <f t="shared" si="67"/>
        <v>55059.2216582064</v>
      </c>
    </row>
    <row r="238" s="2111" customFormat="1" customHeight="1" spans="1:24">
      <c r="A238" s="2472"/>
      <c r="B238" s="2473"/>
      <c r="C238" s="2286"/>
      <c r="D238" s="2286"/>
      <c r="E238" s="2286"/>
      <c r="F238" s="2286"/>
      <c r="G238" s="2469" t="s">
        <v>10916</v>
      </c>
      <c r="H238" s="2441"/>
      <c r="I238" s="2161">
        <v>500</v>
      </c>
      <c r="J238" s="2470">
        <v>0.0052</v>
      </c>
      <c r="K238" s="2161">
        <v>96154</v>
      </c>
      <c r="L238" s="2495">
        <v>312</v>
      </c>
      <c r="M238" s="2290"/>
      <c r="N238" s="2471">
        <v>0</v>
      </c>
      <c r="O238" s="2295"/>
      <c r="P238" s="2295"/>
      <c r="Q238" s="2295">
        <v>0</v>
      </c>
      <c r="R238" s="2295"/>
      <c r="S238" s="2295"/>
      <c r="T238" s="2295"/>
      <c r="U238" s="2295"/>
      <c r="V238" s="2295"/>
      <c r="W238" s="2397">
        <f t="shared" si="66"/>
        <v>312</v>
      </c>
      <c r="X238" s="2292">
        <f t="shared" si="67"/>
        <v>60000</v>
      </c>
    </row>
    <row r="239" s="2111" customFormat="1" customHeight="1" spans="1:24">
      <c r="A239" s="2472"/>
      <c r="B239" s="2473"/>
      <c r="C239" s="2286"/>
      <c r="D239" s="2286"/>
      <c r="E239" s="2286"/>
      <c r="F239" s="2286"/>
      <c r="G239" s="2469" t="s">
        <v>10917</v>
      </c>
      <c r="H239" s="2441"/>
      <c r="I239" s="2161">
        <v>500</v>
      </c>
      <c r="J239" s="2470">
        <v>0.0101</v>
      </c>
      <c r="K239" s="2161">
        <v>49505</v>
      </c>
      <c r="L239" s="2288">
        <v>500</v>
      </c>
      <c r="M239" s="2290"/>
      <c r="N239" s="2471">
        <v>0</v>
      </c>
      <c r="O239" s="2295"/>
      <c r="P239" s="2295"/>
      <c r="Q239" s="2295">
        <v>0</v>
      </c>
      <c r="R239" s="2295"/>
      <c r="S239" s="2295"/>
      <c r="T239" s="2295"/>
      <c r="U239" s="2295"/>
      <c r="V239" s="2295">
        <v>60</v>
      </c>
      <c r="W239" s="2397">
        <f t="shared" si="66"/>
        <v>560</v>
      </c>
      <c r="X239" s="2292">
        <f t="shared" si="67"/>
        <v>55445.5445544554</v>
      </c>
    </row>
    <row r="240" s="2111" customFormat="1" customHeight="1" spans="1:24">
      <c r="A240" s="2472"/>
      <c r="B240" s="2473"/>
      <c r="C240" s="2286"/>
      <c r="D240" s="2286"/>
      <c r="E240" s="2286"/>
      <c r="F240" s="2286"/>
      <c r="G240" s="2469" t="s">
        <v>10918</v>
      </c>
      <c r="H240" s="2441"/>
      <c r="I240" s="2161">
        <v>500</v>
      </c>
      <c r="J240" s="2470">
        <v>0.0023</v>
      </c>
      <c r="K240" s="2161">
        <v>217391</v>
      </c>
      <c r="L240" s="2495">
        <v>138</v>
      </c>
      <c r="M240" s="2295"/>
      <c r="N240" s="2471">
        <v>0</v>
      </c>
      <c r="O240" s="2295"/>
      <c r="P240" s="2295"/>
      <c r="Q240" s="2295">
        <v>0</v>
      </c>
      <c r="R240" s="2295"/>
      <c r="S240" s="2295"/>
      <c r="T240" s="2295"/>
      <c r="U240" s="2295"/>
      <c r="V240" s="2295"/>
      <c r="W240" s="2397">
        <f t="shared" si="66"/>
        <v>138</v>
      </c>
      <c r="X240" s="2292">
        <f t="shared" si="67"/>
        <v>60000</v>
      </c>
    </row>
    <row r="241" s="2111" customFormat="1" customHeight="1" spans="1:33">
      <c r="A241" s="2472"/>
      <c r="B241" s="2485"/>
      <c r="C241" s="2299"/>
      <c r="D241" s="2299"/>
      <c r="E241" s="2299"/>
      <c r="F241" s="2299"/>
      <c r="G241" s="2486" t="s">
        <v>10650</v>
      </c>
      <c r="H241" s="2487"/>
      <c r="I241" s="2171">
        <v>1</v>
      </c>
      <c r="J241" s="2488">
        <v>1</v>
      </c>
      <c r="K241" s="2171">
        <v>1</v>
      </c>
      <c r="L241" s="2301">
        <v>20000</v>
      </c>
      <c r="M241" s="2302"/>
      <c r="N241" s="2479">
        <v>0</v>
      </c>
      <c r="O241" s="2302"/>
      <c r="P241" s="2435">
        <v>20000</v>
      </c>
      <c r="Q241" s="2435">
        <v>0</v>
      </c>
      <c r="R241" s="2435"/>
      <c r="S241" s="2435"/>
      <c r="T241" s="2435"/>
      <c r="U241" s="2435"/>
      <c r="V241" s="2435">
        <v>15000</v>
      </c>
      <c r="W241" s="2397">
        <f t="shared" si="66"/>
        <v>55000</v>
      </c>
      <c r="X241" s="2292">
        <f t="shared" si="67"/>
        <v>55000</v>
      </c>
    </row>
    <row r="242" s="2111" customFormat="1" customHeight="1" spans="1:33">
      <c r="A242" s="2472"/>
      <c r="B242" s="2468" t="s">
        <v>10919</v>
      </c>
      <c r="C242" s="2286">
        <v>10</v>
      </c>
      <c r="D242" s="2286"/>
      <c r="E242" s="2286"/>
      <c r="F242" s="2286"/>
      <c r="G242" s="2469" t="s">
        <v>10920</v>
      </c>
      <c r="H242" s="2441"/>
      <c r="I242" s="2161">
        <v>1</v>
      </c>
      <c r="J242" s="2470">
        <v>0.0389</v>
      </c>
      <c r="K242" s="2161">
        <v>26</v>
      </c>
      <c r="L242" s="2294">
        <v>1945</v>
      </c>
      <c r="M242" s="2295">
        <v>1945</v>
      </c>
      <c r="N242" s="2471">
        <v>1945</v>
      </c>
      <c r="O242" s="2295">
        <v>1167</v>
      </c>
      <c r="P242" s="2295">
        <v>1167</v>
      </c>
      <c r="Q242" s="2295">
        <v>1167</v>
      </c>
      <c r="R242" s="2295">
        <v>1634</v>
      </c>
      <c r="S242" s="2295">
        <v>1556</v>
      </c>
      <c r="T242" s="2295">
        <v>1556</v>
      </c>
      <c r="U242" s="2295">
        <v>1556</v>
      </c>
      <c r="V242" s="2295">
        <v>1167</v>
      </c>
      <c r="W242" s="2397">
        <f t="shared" si="66"/>
        <v>16805</v>
      </c>
      <c r="X242" s="2292">
        <f t="shared" si="67"/>
        <v>432005.141388175</v>
      </c>
    </row>
    <row r="243" s="2111" customFormat="1" customHeight="1" spans="1:33">
      <c r="A243" s="2472"/>
      <c r="B243" s="2473"/>
      <c r="C243" s="2286"/>
      <c r="D243" s="2286"/>
      <c r="E243" s="2286"/>
      <c r="F243" s="2286"/>
      <c r="G243" s="2469" t="s">
        <v>10904</v>
      </c>
      <c r="H243" s="2441" t="s">
        <v>10685</v>
      </c>
      <c r="I243" s="2161">
        <v>1</v>
      </c>
      <c r="J243" s="2470">
        <v>0.0172</v>
      </c>
      <c r="K243" s="2161">
        <v>58</v>
      </c>
      <c r="L243" s="2294">
        <v>860</v>
      </c>
      <c r="M243" s="2295">
        <v>860</v>
      </c>
      <c r="N243" s="2471">
        <v>860</v>
      </c>
      <c r="O243" s="2295">
        <v>516</v>
      </c>
      <c r="P243" s="2295">
        <v>516</v>
      </c>
      <c r="Q243" s="2295">
        <v>516</v>
      </c>
      <c r="R243" s="2295">
        <v>723</v>
      </c>
      <c r="S243" s="2295">
        <v>688</v>
      </c>
      <c r="T243" s="2295">
        <v>688</v>
      </c>
      <c r="U243" s="2295">
        <v>688</v>
      </c>
      <c r="V243" s="2295">
        <v>516</v>
      </c>
      <c r="W243" s="2397">
        <f t="shared" si="66"/>
        <v>7431</v>
      </c>
      <c r="X243" s="2292">
        <f t="shared" si="67"/>
        <v>432034.88372093</v>
      </c>
    </row>
    <row r="244" s="2111" customFormat="1" customHeight="1" spans="1:33">
      <c r="A244" s="2472"/>
      <c r="B244" s="2473"/>
      <c r="C244" s="2286"/>
      <c r="D244" s="2286"/>
      <c r="E244" s="2286"/>
      <c r="F244" s="2286"/>
      <c r="G244" s="2469" t="s">
        <v>10912</v>
      </c>
      <c r="H244" s="2441"/>
      <c r="I244" s="2161">
        <v>500</v>
      </c>
      <c r="J244" s="2470">
        <v>0.0057</v>
      </c>
      <c r="K244" s="2161">
        <v>87719</v>
      </c>
      <c r="L244" s="2288">
        <v>500</v>
      </c>
      <c r="M244" s="2295">
        <v>500</v>
      </c>
      <c r="N244" s="2471"/>
      <c r="O244" s="2295">
        <v>500</v>
      </c>
      <c r="P244" s="2295"/>
      <c r="Q244" s="2295"/>
      <c r="R244" s="2295">
        <v>500</v>
      </c>
      <c r="S244" s="2295"/>
      <c r="T244" s="2295">
        <v>500</v>
      </c>
      <c r="U244" s="2295"/>
      <c r="V244" s="2295"/>
      <c r="W244" s="2397">
        <f t="shared" si="66"/>
        <v>2500</v>
      </c>
      <c r="X244" s="2292">
        <f t="shared" si="67"/>
        <v>438596.49122807</v>
      </c>
    </row>
    <row r="245" s="2111" customFormat="1" customHeight="1" spans="1:33">
      <c r="A245" s="2472"/>
      <c r="B245" s="2473"/>
      <c r="C245" s="2286"/>
      <c r="D245" s="2286"/>
      <c r="E245" s="2286"/>
      <c r="F245" s="2286"/>
      <c r="G245" s="2469" t="s">
        <v>10921</v>
      </c>
      <c r="H245" s="2441"/>
      <c r="I245" s="2161">
        <v>500</v>
      </c>
      <c r="J245" s="2470">
        <v>0.0101</v>
      </c>
      <c r="K245" s="2161">
        <v>49505</v>
      </c>
      <c r="L245" s="2294">
        <v>505</v>
      </c>
      <c r="M245" s="2295">
        <v>505</v>
      </c>
      <c r="N245" s="2471">
        <v>505</v>
      </c>
      <c r="O245" s="2295">
        <v>500</v>
      </c>
      <c r="P245" s="2295">
        <v>500</v>
      </c>
      <c r="Q245" s="2295"/>
      <c r="R245" s="2295">
        <v>500</v>
      </c>
      <c r="S245" s="2295">
        <v>500</v>
      </c>
      <c r="T245" s="2295">
        <v>500</v>
      </c>
      <c r="U245" s="2295">
        <v>46</v>
      </c>
      <c r="V245" s="2295">
        <v>500</v>
      </c>
      <c r="W245" s="2397">
        <f t="shared" si="66"/>
        <v>4561</v>
      </c>
      <c r="X245" s="2292">
        <f t="shared" si="67"/>
        <v>451584.158415842</v>
      </c>
    </row>
    <row r="246" s="2111" customFormat="1" customHeight="1" spans="1:33">
      <c r="A246" s="2472"/>
      <c r="B246" s="2473"/>
      <c r="C246" s="2286"/>
      <c r="D246" s="2286"/>
      <c r="E246" s="2286"/>
      <c r="F246" s="2286"/>
      <c r="G246" s="2469" t="s">
        <v>10922</v>
      </c>
      <c r="H246" s="2441"/>
      <c r="I246" s="2161">
        <v>500</v>
      </c>
      <c r="J246" s="2470">
        <v>0.0023</v>
      </c>
      <c r="K246" s="2161">
        <v>217391</v>
      </c>
      <c r="L246" s="2288">
        <v>500</v>
      </c>
      <c r="M246" s="2295"/>
      <c r="N246" s="2471"/>
      <c r="O246" s="2295"/>
      <c r="P246" s="2295"/>
      <c r="Q246" s="2295">
        <v>500</v>
      </c>
      <c r="R246" s="2295"/>
      <c r="S246" s="2295"/>
      <c r="T246" s="2295"/>
      <c r="U246" s="2295"/>
      <c r="V246" s="2295"/>
      <c r="W246" s="2397">
        <f t="shared" si="66"/>
        <v>1000</v>
      </c>
      <c r="X246" s="2292">
        <f t="shared" si="67"/>
        <v>434782.608695652</v>
      </c>
    </row>
    <row r="247" s="2111" customFormat="1" customHeight="1" spans="1:33">
      <c r="A247" s="2496"/>
      <c r="B247" s="2485"/>
      <c r="C247" s="2299"/>
      <c r="D247" s="2299"/>
      <c r="E247" s="2299"/>
      <c r="F247" s="2299"/>
      <c r="G247" s="2486" t="s">
        <v>10650</v>
      </c>
      <c r="H247" s="2487"/>
      <c r="I247" s="2171">
        <v>1</v>
      </c>
      <c r="J247" s="2488">
        <v>1</v>
      </c>
      <c r="K247" s="2171">
        <v>1</v>
      </c>
      <c r="L247" s="2301">
        <v>50000</v>
      </c>
      <c r="M247" s="2302">
        <v>50000</v>
      </c>
      <c r="N247" s="2479">
        <v>50000</v>
      </c>
      <c r="O247" s="2302">
        <v>30000</v>
      </c>
      <c r="P247" s="2435">
        <v>30000</v>
      </c>
      <c r="Q247" s="2435">
        <v>30000</v>
      </c>
      <c r="R247" s="2435">
        <v>42000</v>
      </c>
      <c r="S247" s="2435">
        <v>40000</v>
      </c>
      <c r="T247" s="2435">
        <v>40000</v>
      </c>
      <c r="U247" s="2435">
        <v>40000</v>
      </c>
      <c r="V247" s="2435">
        <v>30000</v>
      </c>
      <c r="W247" s="2397">
        <f t="shared" si="66"/>
        <v>432000</v>
      </c>
      <c r="X247" s="2292">
        <f t="shared" si="67"/>
        <v>432000</v>
      </c>
    </row>
    <row r="248" s="2111" customFormat="1" customHeight="1" spans="1:33">
      <c r="A248" s="2497"/>
      <c r="B248" s="2498" t="s">
        <v>10630</v>
      </c>
      <c r="C248" s="2499">
        <v>60</v>
      </c>
      <c r="D248" s="2499">
        <v>0</v>
      </c>
      <c r="E248" s="2499">
        <v>0</v>
      </c>
      <c r="F248" s="2499">
        <v>0</v>
      </c>
      <c r="G248" s="2314" t="s">
        <v>10923</v>
      </c>
      <c r="H248" s="2314"/>
      <c r="I248" s="2318"/>
      <c r="J248" s="2500"/>
      <c r="K248" s="2318"/>
      <c r="L248" s="2318">
        <f>SUM(L207:L247)-SUM(L249:L253)</f>
        <v>23111</v>
      </c>
      <c r="M248" s="2318">
        <f>SUM(M207:M247)-SUM(M249:M253)</f>
        <v>19861</v>
      </c>
      <c r="N248" s="2501">
        <f>SUM(N207:N247)-SUM(N249:N253)</f>
        <v>18361</v>
      </c>
      <c r="O248" s="2501">
        <f>SUM(O207:O247)-SUM(O249:O253)</f>
        <v>11669</v>
      </c>
      <c r="P248" s="2502">
        <v>13469</v>
      </c>
      <c r="Q248" s="2502">
        <v>10369</v>
      </c>
      <c r="R248" s="2502">
        <v>15499</v>
      </c>
      <c r="S248" s="2502">
        <v>15992</v>
      </c>
      <c r="T248" s="2502">
        <v>14992</v>
      </c>
      <c r="U248" s="2502">
        <v>11993</v>
      </c>
      <c r="V248" s="2502">
        <v>14029</v>
      </c>
      <c r="W248" s="2502">
        <f t="shared" si="66"/>
        <v>169345</v>
      </c>
      <c r="X248" s="2503">
        <f>W253</f>
        <v>2615000</v>
      </c>
    </row>
    <row r="249" s="2111" customFormat="1" customHeight="1" spans="1:33">
      <c r="A249" s="2504"/>
      <c r="B249" s="2449"/>
      <c r="C249" s="2505"/>
      <c r="D249" s="2505"/>
      <c r="E249" s="2505"/>
      <c r="F249" s="2505"/>
      <c r="G249" s="2505" t="s">
        <v>10902</v>
      </c>
      <c r="H249" s="2506" t="s">
        <v>10710</v>
      </c>
      <c r="I249" s="2317">
        <v>500</v>
      </c>
      <c r="J249" s="2507"/>
      <c r="K249" s="2317"/>
      <c r="L249" s="2508">
        <f>SUMIF(H207:H242,H249,L207:L242)</f>
        <v>219</v>
      </c>
      <c r="M249" s="2508">
        <f>SUMIF(H207:H241,H243,M207:M241)</f>
        <v>219</v>
      </c>
      <c r="N249" s="2509">
        <f>SUMIF(H207:H241,H249,N207:N247)</f>
        <v>218.5</v>
      </c>
      <c r="O249" s="2317">
        <f>SUMIF(H207:H241,H249,O207:O247)</f>
        <v>500</v>
      </c>
      <c r="P249" s="2317">
        <v>0</v>
      </c>
      <c r="Q249" s="2317">
        <v>0</v>
      </c>
      <c r="R249" s="2317">
        <v>500</v>
      </c>
      <c r="S249" s="2317">
        <v>0</v>
      </c>
      <c r="T249" s="2317">
        <v>0</v>
      </c>
      <c r="U249" s="2317">
        <v>500</v>
      </c>
      <c r="V249" s="2317">
        <v>0</v>
      </c>
      <c r="W249" s="2317">
        <f t="shared" si="66"/>
        <v>2156.5</v>
      </c>
      <c r="X249" s="2510"/>
    </row>
    <row r="250" s="2111" customFormat="1" customHeight="1" spans="1:33">
      <c r="A250" s="2504"/>
      <c r="B250" s="2449"/>
      <c r="C250" s="2505"/>
      <c r="D250" s="2505"/>
      <c r="E250" s="2505"/>
      <c r="F250" s="2505"/>
      <c r="G250" s="2505" t="s">
        <v>10904</v>
      </c>
      <c r="H250" s="2506" t="s">
        <v>10712</v>
      </c>
      <c r="I250" s="2317">
        <v>0</v>
      </c>
      <c r="J250" s="2507"/>
      <c r="K250" s="2317"/>
      <c r="L250" s="2508">
        <f>SUMIF(H208:H243,H250,L208:L243)</f>
        <v>2127</v>
      </c>
      <c r="M250" s="2508">
        <f>SUMIF(H207:H241,H250,M207:M247)</f>
        <v>2127</v>
      </c>
      <c r="N250" s="2509">
        <f>SUMIF(H208:H242,H250,N208:N248)</f>
        <v>2127</v>
      </c>
      <c r="O250" s="2317">
        <f>SUMIF(H208:H242,H250,O208:O248)</f>
        <v>1401</v>
      </c>
      <c r="P250" s="2317">
        <v>1401</v>
      </c>
      <c r="Q250" s="2317">
        <v>1401</v>
      </c>
      <c r="R250" s="2317">
        <v>1463</v>
      </c>
      <c r="S250" s="2317">
        <v>1868</v>
      </c>
      <c r="T250" s="2317">
        <v>1660</v>
      </c>
      <c r="U250" s="2317">
        <v>1868</v>
      </c>
      <c r="V250" s="2317">
        <v>1401</v>
      </c>
      <c r="W250" s="2317">
        <f t="shared" si="66"/>
        <v>18844</v>
      </c>
      <c r="X250" s="2510"/>
    </row>
    <row r="251" s="2111" customFormat="1" customHeight="1" spans="1:33">
      <c r="A251" s="2504"/>
      <c r="B251" s="2449"/>
      <c r="C251" s="2505"/>
      <c r="D251" s="2505"/>
      <c r="E251" s="2505"/>
      <c r="F251" s="2505"/>
      <c r="G251" s="2505" t="s">
        <v>10906</v>
      </c>
      <c r="H251" s="2505" t="s">
        <v>10907</v>
      </c>
      <c r="I251" s="2317">
        <v>800</v>
      </c>
      <c r="J251" s="2507"/>
      <c r="K251" s="2317"/>
      <c r="L251" s="2508">
        <f>SUMIF(H209:H244,H251,L209:L244)</f>
        <v>1601</v>
      </c>
      <c r="M251" s="2508">
        <f>SUMIF(H208:H242,H251,M208:M248)</f>
        <v>419</v>
      </c>
      <c r="N251" s="2509">
        <f>SUMIF(H209:H243,H251,N209:N249)</f>
        <v>800</v>
      </c>
      <c r="O251" s="2317">
        <f>SUMIF(H209:H243,H251,O209:O249)</f>
        <v>0</v>
      </c>
      <c r="P251" s="2317">
        <v>1461</v>
      </c>
      <c r="Q251" s="2317">
        <v>800</v>
      </c>
      <c r="R251" s="2317">
        <v>0</v>
      </c>
      <c r="S251" s="2317">
        <v>800</v>
      </c>
      <c r="T251" s="2317">
        <v>0</v>
      </c>
      <c r="U251" s="2317">
        <v>0</v>
      </c>
      <c r="V251" s="2317">
        <v>1093</v>
      </c>
      <c r="W251" s="2317">
        <f t="shared" si="66"/>
        <v>6974</v>
      </c>
      <c r="X251" s="2510"/>
    </row>
    <row r="252" s="2111" customFormat="1" customHeight="1" spans="1:33">
      <c r="A252" s="2504"/>
      <c r="B252" s="2449"/>
      <c r="C252" s="2505"/>
      <c r="D252" s="2505"/>
      <c r="E252" s="2505"/>
      <c r="F252" s="2505"/>
      <c r="G252" s="2506" t="s">
        <v>10924</v>
      </c>
      <c r="H252" s="2506" t="s">
        <v>10925</v>
      </c>
      <c r="I252" s="2317">
        <v>500</v>
      </c>
      <c r="J252" s="2507"/>
      <c r="K252" s="2317"/>
      <c r="L252" s="2508">
        <f>SUMIF(H210:H245,H252,L210:L245)</f>
        <v>1270</v>
      </c>
      <c r="M252" s="2508">
        <f>SUMIF(H209:H243,H252,M209:M249)</f>
        <v>1270</v>
      </c>
      <c r="N252" s="2509">
        <f>SUMIF(H210:H244,H252,N210:N250)</f>
        <v>1270</v>
      </c>
      <c r="O252" s="2317">
        <f>SUMIF(H210:H244,H252,O210:O250)</f>
        <v>1000</v>
      </c>
      <c r="P252" s="2317">
        <v>762</v>
      </c>
      <c r="Q252" s="2317">
        <v>762</v>
      </c>
      <c r="R252" s="2317">
        <v>830</v>
      </c>
      <c r="S252" s="2317">
        <v>1112</v>
      </c>
      <c r="T252" s="2317">
        <v>1112</v>
      </c>
      <c r="U252" s="2317">
        <v>824</v>
      </c>
      <c r="V252" s="2317">
        <v>762</v>
      </c>
      <c r="W252" s="2317">
        <f t="shared" si="66"/>
        <v>10974</v>
      </c>
      <c r="X252" s="2510"/>
    </row>
    <row r="253" s="2111" customFormat="1" customHeight="1" spans="1:33">
      <c r="A253" s="2511"/>
      <c r="B253" s="2452"/>
      <c r="C253" s="2324"/>
      <c r="D253" s="2324"/>
      <c r="E253" s="2324"/>
      <c r="F253" s="2324"/>
      <c r="G253" s="2324" t="s">
        <v>10650</v>
      </c>
      <c r="H253" s="2324"/>
      <c r="I253" s="2326"/>
      <c r="J253" s="2512"/>
      <c r="K253" s="2326"/>
      <c r="L253" s="2326">
        <f>SUMIF(G207:G247,G253,L207:L247)</f>
        <v>315000</v>
      </c>
      <c r="M253" s="2326">
        <f>SUMIF(G207:G247,G253,M207:M247)</f>
        <v>295000</v>
      </c>
      <c r="N253" s="2513">
        <f>SUMIF(G207:G247,G253,N207:N247)</f>
        <v>295000</v>
      </c>
      <c r="O253" s="2513">
        <f>SUMIF(G207:G247,G253,O207:O247)</f>
        <v>180000</v>
      </c>
      <c r="P253" s="2513">
        <v>200000</v>
      </c>
      <c r="Q253" s="2513">
        <v>180000</v>
      </c>
      <c r="R253" s="2513">
        <v>240000</v>
      </c>
      <c r="S253" s="2513">
        <v>240000</v>
      </c>
      <c r="T253" s="2513">
        <v>235000</v>
      </c>
      <c r="U253" s="2513">
        <v>240000</v>
      </c>
      <c r="V253" s="2513">
        <v>195000</v>
      </c>
      <c r="W253" s="2513">
        <f t="shared" si="66"/>
        <v>2615000</v>
      </c>
      <c r="X253" s="2514"/>
    </row>
    <row r="255" customHeight="1" spans="1:33">
      <c r="T255" s="2515" t="s">
        <v>10926</v>
      </c>
      <c r="U255" s="2515" t="s">
        <v>10926</v>
      </c>
      <c r="V255" s="2515" t="s">
        <v>10926</v>
      </c>
      <c r="W255" s="2515" t="s">
        <v>10926</v>
      </c>
    </row>
    <row r="256" customHeight="1" spans="1:33">
      <c r="A256" s="2245" t="s">
        <v>10579</v>
      </c>
      <c r="B256" s="2453" t="s">
        <v>10580</v>
      </c>
      <c r="C256" s="2247" t="s">
        <v>10581</v>
      </c>
      <c r="D256" s="2247" t="s">
        <v>10581</v>
      </c>
      <c r="E256" s="2247" t="s">
        <v>10581</v>
      </c>
      <c r="F256" s="2247" t="s">
        <v>10581</v>
      </c>
      <c r="G256" s="2246" t="s">
        <v>10583</v>
      </c>
      <c r="H256" s="2246"/>
      <c r="I256" s="2454" t="s">
        <v>10585</v>
      </c>
      <c r="J256" s="2516" t="s">
        <v>10927</v>
      </c>
      <c r="K256" s="2454" t="s">
        <v>10868</v>
      </c>
      <c r="L256" s="2456" t="s">
        <v>10928</v>
      </c>
      <c r="M256" s="2456" t="s">
        <v>10929</v>
      </c>
      <c r="N256" s="2456" t="s">
        <v>10930</v>
      </c>
      <c r="O256" s="2456" t="s">
        <v>10931</v>
      </c>
      <c r="P256" s="2456" t="s">
        <v>10932</v>
      </c>
      <c r="Q256" s="2456" t="s">
        <v>10933</v>
      </c>
      <c r="R256" s="2456" t="s">
        <v>10934</v>
      </c>
      <c r="S256" s="2456" t="s">
        <v>10935</v>
      </c>
      <c r="T256" s="2517" t="s">
        <v>10936</v>
      </c>
      <c r="U256" s="2517" t="s">
        <v>10937</v>
      </c>
      <c r="V256" s="2517" t="s">
        <v>10938</v>
      </c>
      <c r="W256" s="2517" t="s">
        <v>10939</v>
      </c>
      <c r="X256" s="2517" t="s">
        <v>10940</v>
      </c>
      <c r="Y256" s="2517" t="s">
        <v>10941</v>
      </c>
      <c r="Z256" s="2517" t="s">
        <v>10942</v>
      </c>
      <c r="AA256" s="2517" t="s">
        <v>10943</v>
      </c>
      <c r="AB256" s="2517" t="s">
        <v>10944</v>
      </c>
      <c r="AC256" s="2517" t="s">
        <v>10945</v>
      </c>
      <c r="AD256" s="2517" t="s">
        <v>10946</v>
      </c>
      <c r="AE256" s="2517" t="s">
        <v>10947</v>
      </c>
      <c r="AF256" s="2253" t="s">
        <v>10597</v>
      </c>
      <c r="AG256" s="2254" t="s">
        <v>10677</v>
      </c>
    </row>
    <row r="257" customHeight="1" spans="1:33">
      <c r="A257" s="2422" t="s">
        <v>10599</v>
      </c>
      <c r="B257" s="2423"/>
      <c r="C257" s="2458" t="s">
        <v>10880</v>
      </c>
      <c r="D257" s="2458" t="s">
        <v>10881</v>
      </c>
      <c r="E257" s="2458" t="s">
        <v>10882</v>
      </c>
      <c r="F257" s="2458" t="s">
        <v>10883</v>
      </c>
      <c r="G257" s="2425"/>
      <c r="H257" s="2425"/>
      <c r="I257" s="2426"/>
      <c r="J257" s="2459"/>
      <c r="K257" s="2426"/>
      <c r="L257" s="2258">
        <v>44795</v>
      </c>
      <c r="M257" s="2258">
        <v>44896</v>
      </c>
      <c r="N257" s="2258">
        <v>44966</v>
      </c>
      <c r="O257" s="2258">
        <v>45006</v>
      </c>
      <c r="P257" s="2258">
        <v>45029</v>
      </c>
      <c r="Q257" s="2258">
        <v>45056</v>
      </c>
      <c r="R257" s="2258">
        <v>45128</v>
      </c>
      <c r="S257" s="2258">
        <v>45149</v>
      </c>
      <c r="T257" s="2518">
        <v>45217</v>
      </c>
      <c r="U257" s="2518">
        <v>45244</v>
      </c>
      <c r="V257" s="2518">
        <v>45282</v>
      </c>
      <c r="W257" s="2518">
        <v>45350</v>
      </c>
      <c r="X257" s="2518">
        <v>45350</v>
      </c>
      <c r="Y257" s="2518">
        <v>45456</v>
      </c>
      <c r="Z257" s="2518">
        <v>45558</v>
      </c>
      <c r="AA257" s="2518">
        <v>45590</v>
      </c>
      <c r="AB257" s="2518">
        <v>45629</v>
      </c>
      <c r="AC257" s="2518">
        <v>45757</v>
      </c>
      <c r="AD257" s="2518">
        <v>45820</v>
      </c>
      <c r="AE257" s="2518">
        <v>45847</v>
      </c>
      <c r="AF257" s="2427"/>
      <c r="AG257" s="2428"/>
    </row>
    <row r="258" customHeight="1" spans="1:33">
      <c r="A258" s="2460" t="s">
        <v>10604</v>
      </c>
      <c r="B258" s="2461"/>
      <c r="C258" s="2519"/>
      <c r="D258" s="2519"/>
      <c r="E258" s="2519"/>
      <c r="F258" s="2519"/>
      <c r="G258" s="2463"/>
      <c r="H258" s="2463"/>
      <c r="I258" s="2464"/>
      <c r="J258" s="2465"/>
      <c r="K258" s="2464"/>
      <c r="L258" s="2271">
        <v>44830</v>
      </c>
      <c r="M258" s="2271">
        <v>44931</v>
      </c>
      <c r="N258" s="2271">
        <v>45001</v>
      </c>
      <c r="O258" s="2271">
        <f t="shared" ref="O258:T258" si="68">O257+35</f>
        <v>45041</v>
      </c>
      <c r="P258" s="2271">
        <f t="shared" si="68"/>
        <v>45064</v>
      </c>
      <c r="Q258" s="2271">
        <f t="shared" si="68"/>
        <v>45091</v>
      </c>
      <c r="R258" s="2271">
        <f t="shared" si="68"/>
        <v>45163</v>
      </c>
      <c r="S258" s="2271">
        <f t="shared" si="68"/>
        <v>45184</v>
      </c>
      <c r="T258" s="2520">
        <f t="shared" si="68"/>
        <v>45252</v>
      </c>
      <c r="U258" s="2520">
        <v>45279</v>
      </c>
      <c r="V258" s="2520">
        <v>45317</v>
      </c>
      <c r="W258" s="2520">
        <v>45385</v>
      </c>
      <c r="X258" s="2520">
        <v>45385</v>
      </c>
      <c r="Y258" s="2520">
        <v>45491</v>
      </c>
      <c r="Z258" s="2520">
        <v>45593</v>
      </c>
      <c r="AA258" s="2520">
        <v>45625</v>
      </c>
      <c r="AB258" s="2520">
        <v>45664</v>
      </c>
      <c r="AC258" s="2520">
        <v>45792</v>
      </c>
      <c r="AD258" s="2520">
        <v>45855</v>
      </c>
      <c r="AE258" s="2520">
        <v>45882</v>
      </c>
      <c r="AF258" s="2521"/>
      <c r="AG258" s="2466"/>
    </row>
    <row r="259" customHeight="1" spans="1:33">
      <c r="A259" s="2467" t="s">
        <v>10948</v>
      </c>
      <c r="B259" s="2480" t="s">
        <v>312</v>
      </c>
      <c r="C259" s="2276">
        <v>1</v>
      </c>
      <c r="D259" s="2276"/>
      <c r="E259" s="2276"/>
      <c r="F259" s="2276"/>
      <c r="G259" s="2481" t="s">
        <v>10949</v>
      </c>
      <c r="H259" s="2482"/>
      <c r="I259" s="2149">
        <v>0</v>
      </c>
      <c r="J259" s="2483">
        <v>0.032239</v>
      </c>
      <c r="K259" s="2149">
        <f t="shared" ref="K259:K270" si="69">ROUND(I259/J259,0)</f>
        <v>0</v>
      </c>
      <c r="L259" s="2278">
        <v>645</v>
      </c>
      <c r="M259" s="2278"/>
      <c r="N259" s="2404"/>
      <c r="O259" s="2404"/>
      <c r="P259" s="2404"/>
      <c r="Q259" s="2404">
        <v>645</v>
      </c>
      <c r="R259" s="2404"/>
      <c r="S259" s="2404"/>
      <c r="T259" s="2404">
        <v>322</v>
      </c>
      <c r="U259" s="2404"/>
      <c r="V259" s="2404"/>
      <c r="W259" s="2404">
        <v>323</v>
      </c>
      <c r="X259" s="2404"/>
      <c r="Y259" s="2404"/>
      <c r="Z259" s="2404"/>
      <c r="AA259" s="2404"/>
      <c r="AB259" s="2404"/>
      <c r="AC259" s="2404"/>
      <c r="AD259" s="2404"/>
      <c r="AE259" s="2404">
        <v>322</v>
      </c>
      <c r="AF259" s="2406">
        <f>SUM(L259:AE259)</f>
        <v>2257</v>
      </c>
      <c r="AG259" s="2283">
        <f t="shared" ref="AG259:AG322" si="70">ROUND(AF259/J259,0)</f>
        <v>70008</v>
      </c>
    </row>
    <row r="260" customHeight="1" spans="1:33">
      <c r="A260" s="2472"/>
      <c r="B260" s="2473"/>
      <c r="C260" s="2286"/>
      <c r="D260" s="2286"/>
      <c r="E260" s="2286"/>
      <c r="F260" s="2286"/>
      <c r="G260" s="2469" t="s">
        <v>10950</v>
      </c>
      <c r="H260" s="2441"/>
      <c r="I260" s="2161">
        <v>800</v>
      </c>
      <c r="J260" s="2470">
        <v>0.019055</v>
      </c>
      <c r="K260" s="2161">
        <f t="shared" si="69"/>
        <v>41984</v>
      </c>
      <c r="L260" s="2290">
        <v>800</v>
      </c>
      <c r="M260" s="2290"/>
      <c r="N260" s="2439"/>
      <c r="O260" s="2439"/>
      <c r="P260" s="2439"/>
      <c r="Q260" s="2439"/>
      <c r="R260" s="2439"/>
      <c r="S260" s="2439"/>
      <c r="T260" s="2439">
        <v>153</v>
      </c>
      <c r="U260" s="2439"/>
      <c r="V260" s="2439"/>
      <c r="W260" s="2439">
        <v>191</v>
      </c>
      <c r="X260" s="2439"/>
      <c r="Y260" s="2439"/>
      <c r="Z260" s="2439"/>
      <c r="AA260" s="2439"/>
      <c r="AB260" s="2439"/>
      <c r="AC260" s="2439"/>
      <c r="AD260" s="2439"/>
      <c r="AE260" s="2439">
        <v>190</v>
      </c>
      <c r="AF260" s="2406">
        <f t="shared" ref="AF260:AF291" si="71">SUM(L260:AE260)</f>
        <v>1334</v>
      </c>
      <c r="AG260" s="2292">
        <f t="shared" si="70"/>
        <v>70008</v>
      </c>
    </row>
    <row r="261" customHeight="1" spans="1:33">
      <c r="A261" s="2472"/>
      <c r="B261" s="2473"/>
      <c r="C261" s="2286"/>
      <c r="D261" s="2286"/>
      <c r="E261" s="2286"/>
      <c r="F261" s="2286"/>
      <c r="G261" s="2469" t="s">
        <v>10904</v>
      </c>
      <c r="H261" s="2441" t="s">
        <v>10685</v>
      </c>
      <c r="I261" s="2161">
        <v>0</v>
      </c>
      <c r="J261" s="2470">
        <v>0.01339</v>
      </c>
      <c r="K261" s="2161">
        <f t="shared" si="69"/>
        <v>0</v>
      </c>
      <c r="L261" s="2295">
        <v>268</v>
      </c>
      <c r="M261" s="2295"/>
      <c r="N261" s="2405"/>
      <c r="O261" s="2405"/>
      <c r="P261" s="2405"/>
      <c r="Q261" s="2405">
        <v>268</v>
      </c>
      <c r="R261" s="2405"/>
      <c r="S261" s="2405"/>
      <c r="T261" s="2405">
        <v>134</v>
      </c>
      <c r="U261" s="2405"/>
      <c r="V261" s="2405"/>
      <c r="W261" s="2405">
        <v>134</v>
      </c>
      <c r="X261" s="2405"/>
      <c r="Y261" s="2405"/>
      <c r="Z261" s="2405"/>
      <c r="AA261" s="2405"/>
      <c r="AB261" s="2405"/>
      <c r="AC261" s="2405"/>
      <c r="AD261" s="2405"/>
      <c r="AE261" s="2405">
        <v>134</v>
      </c>
      <c r="AF261" s="2406">
        <f t="shared" si="71"/>
        <v>938</v>
      </c>
      <c r="AG261" s="2292">
        <f t="shared" si="70"/>
        <v>70052</v>
      </c>
    </row>
    <row r="262" customHeight="1" spans="1:33">
      <c r="A262" s="2472"/>
      <c r="B262" s="2473"/>
      <c r="C262" s="2286"/>
      <c r="D262" s="2286"/>
      <c r="E262" s="2286"/>
      <c r="F262" s="2286"/>
      <c r="G262" s="2522" t="s">
        <v>10951</v>
      </c>
      <c r="H262" s="2441" t="s">
        <v>10696</v>
      </c>
      <c r="I262" s="2161">
        <v>500</v>
      </c>
      <c r="J262" s="2523">
        <v>0.021</v>
      </c>
      <c r="K262" s="2161">
        <f t="shared" si="69"/>
        <v>23810</v>
      </c>
      <c r="L262" s="2290">
        <v>420</v>
      </c>
      <c r="M262" s="2290"/>
      <c r="N262" s="2439"/>
      <c r="O262" s="2439"/>
      <c r="P262" s="2439"/>
      <c r="Q262" s="2439">
        <v>420</v>
      </c>
      <c r="R262" s="2439"/>
      <c r="S262" s="2439"/>
      <c r="T262" s="2439"/>
      <c r="U262" s="2439"/>
      <c r="V262" s="2439"/>
      <c r="W262" s="2439">
        <v>0</v>
      </c>
      <c r="X262" s="2439"/>
      <c r="Y262" s="2439"/>
      <c r="Z262" s="2439"/>
      <c r="AA262" s="2439"/>
      <c r="AB262" s="2439"/>
      <c r="AC262" s="2439"/>
      <c r="AD262" s="2439"/>
      <c r="AE262" s="2439">
        <v>0</v>
      </c>
      <c r="AF262" s="2406">
        <f t="shared" si="71"/>
        <v>840</v>
      </c>
      <c r="AG262" s="2292">
        <f t="shared" si="70"/>
        <v>40000</v>
      </c>
    </row>
    <row r="263" customHeight="1" spans="1:33">
      <c r="A263" s="2472"/>
      <c r="B263" s="2473"/>
      <c r="C263" s="2286"/>
      <c r="D263" s="2286"/>
      <c r="E263" s="2286"/>
      <c r="F263" s="2286"/>
      <c r="G263" s="2524" t="s">
        <v>10952</v>
      </c>
      <c r="H263" s="2441" t="s">
        <v>10696</v>
      </c>
      <c r="I263" s="2161">
        <v>500</v>
      </c>
      <c r="J263" s="2523">
        <v>0.0119</v>
      </c>
      <c r="K263" s="2161">
        <f t="shared" si="69"/>
        <v>42017</v>
      </c>
      <c r="L263" s="2290"/>
      <c r="M263" s="2290"/>
      <c r="N263" s="2439"/>
      <c r="O263" s="2439"/>
      <c r="P263" s="2439"/>
      <c r="Q263" s="2439"/>
      <c r="R263" s="2439"/>
      <c r="S263" s="2439"/>
      <c r="T263" s="2439">
        <v>119</v>
      </c>
      <c r="U263" s="2439"/>
      <c r="V263" s="2439"/>
      <c r="W263" s="2439">
        <v>119</v>
      </c>
      <c r="X263" s="2439"/>
      <c r="Y263" s="2439"/>
      <c r="Z263" s="2439"/>
      <c r="AA263" s="2439"/>
      <c r="AB263" s="2439"/>
      <c r="AC263" s="2439"/>
      <c r="AD263" s="2439"/>
      <c r="AE263" s="2439">
        <v>119</v>
      </c>
      <c r="AF263" s="2406">
        <f t="shared" si="71"/>
        <v>357</v>
      </c>
      <c r="AG263" s="2292">
        <f t="shared" si="70"/>
        <v>30000</v>
      </c>
    </row>
    <row r="264" customHeight="1" spans="1:33">
      <c r="A264" s="2472"/>
      <c r="B264" s="2473"/>
      <c r="C264" s="2286"/>
      <c r="D264" s="2286"/>
      <c r="E264" s="2286"/>
      <c r="F264" s="2286"/>
      <c r="G264" s="2469" t="s">
        <v>10953</v>
      </c>
      <c r="H264" s="2441" t="s">
        <v>10907</v>
      </c>
      <c r="I264" s="2161">
        <v>500</v>
      </c>
      <c r="J264" s="2470">
        <v>0.002369</v>
      </c>
      <c r="K264" s="2161">
        <f t="shared" si="69"/>
        <v>211060</v>
      </c>
      <c r="L264" s="2290">
        <v>100</v>
      </c>
      <c r="M264" s="2290"/>
      <c r="N264" s="2439"/>
      <c r="O264" s="2439"/>
      <c r="P264" s="2439"/>
      <c r="Q264" s="2439"/>
      <c r="R264" s="2439"/>
      <c r="S264" s="2439"/>
      <c r="T264" s="2439"/>
      <c r="U264" s="2439"/>
      <c r="V264" s="2439"/>
      <c r="W264" s="2439">
        <v>24</v>
      </c>
      <c r="X264" s="2439"/>
      <c r="Y264" s="2439"/>
      <c r="Z264" s="2439"/>
      <c r="AA264" s="2439"/>
      <c r="AB264" s="2439"/>
      <c r="AC264" s="2439"/>
      <c r="AD264" s="2439"/>
      <c r="AE264" s="2439">
        <v>23</v>
      </c>
      <c r="AF264" s="2406">
        <f t="shared" si="71"/>
        <v>147</v>
      </c>
      <c r="AG264" s="2292">
        <f t="shared" si="70"/>
        <v>62051</v>
      </c>
    </row>
    <row r="265" customHeight="1" spans="1:33">
      <c r="A265" s="2472"/>
      <c r="B265" s="2473"/>
      <c r="C265" s="2286"/>
      <c r="D265" s="2286"/>
      <c r="E265" s="2286"/>
      <c r="F265" s="2286"/>
      <c r="G265" s="2524" t="s">
        <v>10954</v>
      </c>
      <c r="H265" s="2441" t="s">
        <v>10955</v>
      </c>
      <c r="I265" s="2161">
        <v>0</v>
      </c>
      <c r="J265" s="2470">
        <v>0.0041</v>
      </c>
      <c r="K265" s="2161">
        <f t="shared" si="69"/>
        <v>0</v>
      </c>
      <c r="L265" s="2290"/>
      <c r="M265" s="2290"/>
      <c r="N265" s="2439"/>
      <c r="O265" s="2439"/>
      <c r="P265" s="2439"/>
      <c r="Q265" s="2439"/>
      <c r="R265" s="2439"/>
      <c r="S265" s="2439"/>
      <c r="T265" s="2439">
        <v>41</v>
      </c>
      <c r="U265" s="2439"/>
      <c r="V265" s="2439"/>
      <c r="W265" s="2439">
        <v>41</v>
      </c>
      <c r="X265" s="2439"/>
      <c r="Y265" s="2439"/>
      <c r="Z265" s="2439"/>
      <c r="AA265" s="2439"/>
      <c r="AB265" s="2439"/>
      <c r="AC265" s="2439"/>
      <c r="AD265" s="2439"/>
      <c r="AE265" s="2439">
        <v>41</v>
      </c>
      <c r="AF265" s="2406">
        <f t="shared" si="71"/>
        <v>123</v>
      </c>
      <c r="AG265" s="2292">
        <f t="shared" si="70"/>
        <v>30000</v>
      </c>
    </row>
    <row r="266" customHeight="1" spans="1:33">
      <c r="A266" s="2472"/>
      <c r="B266" s="2473"/>
      <c r="C266" s="2286"/>
      <c r="D266" s="2286"/>
      <c r="E266" s="2286"/>
      <c r="F266" s="2286"/>
      <c r="G266" s="2469" t="s">
        <v>9106</v>
      </c>
      <c r="H266" s="2441" t="s">
        <v>10890</v>
      </c>
      <c r="I266" s="2161">
        <v>0</v>
      </c>
      <c r="J266" s="2470">
        <v>2</v>
      </c>
      <c r="K266" s="2161">
        <f t="shared" si="69"/>
        <v>0</v>
      </c>
      <c r="L266" s="2295">
        <v>40000</v>
      </c>
      <c r="M266" s="2295"/>
      <c r="N266" s="2405"/>
      <c r="O266" s="2405"/>
      <c r="P266" s="2405"/>
      <c r="Q266" s="2405">
        <v>40000</v>
      </c>
      <c r="R266" s="2405"/>
      <c r="S266" s="2405"/>
      <c r="T266" s="2405">
        <v>20000</v>
      </c>
      <c r="U266" s="2405"/>
      <c r="V266" s="2405"/>
      <c r="W266" s="2405">
        <v>20000</v>
      </c>
      <c r="X266" s="2405"/>
      <c r="Y266" s="2405"/>
      <c r="Z266" s="2405"/>
      <c r="AA266" s="2405"/>
      <c r="AB266" s="2405"/>
      <c r="AC266" s="2405"/>
      <c r="AD266" s="2405"/>
      <c r="AE266" s="2405">
        <v>20000</v>
      </c>
      <c r="AF266" s="2406">
        <f t="shared" si="71"/>
        <v>140000</v>
      </c>
      <c r="AG266" s="2292">
        <f t="shared" si="70"/>
        <v>70000</v>
      </c>
    </row>
    <row r="267" customHeight="1" spans="1:33">
      <c r="A267" s="2472"/>
      <c r="B267" s="2473"/>
      <c r="C267" s="2286"/>
      <c r="D267" s="2286"/>
      <c r="E267" s="2286"/>
      <c r="F267" s="2286"/>
      <c r="G267" s="2469" t="s">
        <v>10956</v>
      </c>
      <c r="H267" s="2441" t="s">
        <v>10957</v>
      </c>
      <c r="I267" s="2161">
        <v>0</v>
      </c>
      <c r="J267" s="2470">
        <v>20</v>
      </c>
      <c r="K267" s="2161">
        <f t="shared" si="69"/>
        <v>0</v>
      </c>
      <c r="L267" s="2295">
        <v>400000</v>
      </c>
      <c r="M267" s="2295"/>
      <c r="N267" s="2405"/>
      <c r="O267" s="2405"/>
      <c r="P267" s="2405"/>
      <c r="Q267" s="2405">
        <v>400000</v>
      </c>
      <c r="R267" s="2405"/>
      <c r="S267" s="2405"/>
      <c r="T267" s="2405">
        <v>200000</v>
      </c>
      <c r="U267" s="2405"/>
      <c r="V267" s="2405"/>
      <c r="W267" s="2405">
        <v>200000</v>
      </c>
      <c r="X267" s="2405"/>
      <c r="Y267" s="2405"/>
      <c r="Z267" s="2405"/>
      <c r="AA267" s="2405"/>
      <c r="AB267" s="2405"/>
      <c r="AC267" s="2405"/>
      <c r="AD267" s="2405"/>
      <c r="AE267" s="2405">
        <v>200000</v>
      </c>
      <c r="AF267" s="2406">
        <f t="shared" si="71"/>
        <v>1400000</v>
      </c>
      <c r="AG267" s="2292">
        <f t="shared" si="70"/>
        <v>70000</v>
      </c>
    </row>
    <row r="268" customHeight="1" spans="1:33">
      <c r="A268" s="2472"/>
      <c r="B268" s="2473"/>
      <c r="C268" s="2286"/>
      <c r="D268" s="2286"/>
      <c r="E268" s="2286"/>
      <c r="F268" s="2286"/>
      <c r="G268" s="2469" t="s">
        <v>10958</v>
      </c>
      <c r="H268" s="2441" t="s">
        <v>10959</v>
      </c>
      <c r="I268" s="2161">
        <v>0</v>
      </c>
      <c r="J268" s="2470">
        <v>2.369</v>
      </c>
      <c r="K268" s="2161">
        <f t="shared" si="69"/>
        <v>0</v>
      </c>
      <c r="L268" s="2295">
        <v>47380</v>
      </c>
      <c r="M268" s="2295"/>
      <c r="N268" s="2405"/>
      <c r="O268" s="2405"/>
      <c r="P268" s="2405"/>
      <c r="Q268" s="2405">
        <v>47380</v>
      </c>
      <c r="R268" s="2405"/>
      <c r="S268" s="2405"/>
      <c r="T268" s="2405">
        <v>23690</v>
      </c>
      <c r="U268" s="2405"/>
      <c r="V268" s="2405"/>
      <c r="W268" s="2405">
        <v>23690</v>
      </c>
      <c r="X268" s="2405"/>
      <c r="Y268" s="2405"/>
      <c r="Z268" s="2405"/>
      <c r="AA268" s="2405"/>
      <c r="AB268" s="2405"/>
      <c r="AC268" s="2405"/>
      <c r="AD268" s="2405"/>
      <c r="AE268" s="2405">
        <v>23690</v>
      </c>
      <c r="AF268" s="2406">
        <f t="shared" si="71"/>
        <v>165830</v>
      </c>
      <c r="AG268" s="2292">
        <f t="shared" si="70"/>
        <v>70000</v>
      </c>
    </row>
    <row r="269" customHeight="1" spans="1:33">
      <c r="A269" s="2472"/>
      <c r="B269" s="2473"/>
      <c r="C269" s="2286"/>
      <c r="D269" s="2286"/>
      <c r="E269" s="2286"/>
      <c r="F269" s="2286"/>
      <c r="G269" s="2469" t="s">
        <v>10960</v>
      </c>
      <c r="H269" s="2441"/>
      <c r="I269" s="2161">
        <v>0</v>
      </c>
      <c r="J269" s="2470">
        <v>12.875</v>
      </c>
      <c r="K269" s="2161">
        <f t="shared" si="69"/>
        <v>0</v>
      </c>
      <c r="L269" s="2295">
        <v>257500</v>
      </c>
      <c r="M269" s="2295"/>
      <c r="N269" s="2405"/>
      <c r="O269" s="2405"/>
      <c r="P269" s="2405"/>
      <c r="Q269" s="2405">
        <v>257500</v>
      </c>
      <c r="R269" s="2405"/>
      <c r="S269" s="2405"/>
      <c r="T269" s="2405">
        <v>128750</v>
      </c>
      <c r="U269" s="2405"/>
      <c r="V269" s="2405"/>
      <c r="W269" s="2405">
        <v>128750</v>
      </c>
      <c r="X269" s="2405"/>
      <c r="Y269" s="2405"/>
      <c r="Z269" s="2405"/>
      <c r="AA269" s="2405"/>
      <c r="AB269" s="2405"/>
      <c r="AC269" s="2405"/>
      <c r="AD269" s="2405"/>
      <c r="AE269" s="2405">
        <v>128750</v>
      </c>
      <c r="AF269" s="2406">
        <f t="shared" si="71"/>
        <v>901250</v>
      </c>
      <c r="AG269" s="2292">
        <f t="shared" si="70"/>
        <v>70000</v>
      </c>
    </row>
    <row r="270" customHeight="1" spans="1:33">
      <c r="A270" s="2472"/>
      <c r="B270" s="2473"/>
      <c r="C270" s="2286"/>
      <c r="D270" s="2286"/>
      <c r="E270" s="2286"/>
      <c r="F270" s="2286"/>
      <c r="G270" s="2469" t="s">
        <v>10961</v>
      </c>
      <c r="H270" s="2441"/>
      <c r="I270" s="2161">
        <v>0</v>
      </c>
      <c r="J270" s="2470">
        <v>1</v>
      </c>
      <c r="K270" s="2161">
        <f t="shared" si="69"/>
        <v>0</v>
      </c>
      <c r="L270" s="2295">
        <v>20000</v>
      </c>
      <c r="M270" s="2295"/>
      <c r="N270" s="2405"/>
      <c r="O270" s="2405"/>
      <c r="P270" s="2405"/>
      <c r="Q270" s="2405">
        <v>20000</v>
      </c>
      <c r="R270" s="2405"/>
      <c r="S270" s="2405"/>
      <c r="T270" s="2405">
        <v>10000</v>
      </c>
      <c r="U270" s="2405"/>
      <c r="V270" s="2405"/>
      <c r="W270" s="2405">
        <v>10000</v>
      </c>
      <c r="X270" s="2405"/>
      <c r="Y270" s="2405"/>
      <c r="Z270" s="2405"/>
      <c r="AA270" s="2405"/>
      <c r="AB270" s="2405"/>
      <c r="AC270" s="2405"/>
      <c r="AD270" s="2405"/>
      <c r="AE270" s="2405">
        <v>10000</v>
      </c>
      <c r="AF270" s="2406">
        <f t="shared" si="71"/>
        <v>70000</v>
      </c>
      <c r="AG270" s="2292">
        <f t="shared" si="70"/>
        <v>70000</v>
      </c>
    </row>
    <row r="271" customHeight="1" spans="1:33">
      <c r="A271" s="2472"/>
      <c r="B271" s="2485"/>
      <c r="C271" s="2299"/>
      <c r="D271" s="2299"/>
      <c r="E271" s="2299"/>
      <c r="F271" s="2299"/>
      <c r="G271" s="2486" t="s">
        <v>10650</v>
      </c>
      <c r="H271" s="2487" t="s">
        <v>10650</v>
      </c>
      <c r="I271" s="2171">
        <v>0</v>
      </c>
      <c r="J271" s="2488">
        <v>1</v>
      </c>
      <c r="K271" s="2171">
        <v>0</v>
      </c>
      <c r="L271" s="2302">
        <v>20000</v>
      </c>
      <c r="M271" s="2302"/>
      <c r="N271" s="2302"/>
      <c r="O271" s="2302"/>
      <c r="P271" s="2302"/>
      <c r="Q271" s="2302">
        <v>20000</v>
      </c>
      <c r="R271" s="2302"/>
      <c r="S271" s="2302"/>
      <c r="T271" s="2302">
        <v>10000</v>
      </c>
      <c r="U271" s="2302"/>
      <c r="V271" s="2438"/>
      <c r="W271" s="2438">
        <v>10000</v>
      </c>
      <c r="X271" s="2438"/>
      <c r="Y271" s="2438"/>
      <c r="Z271" s="2438"/>
      <c r="AA271" s="2438"/>
      <c r="AB271" s="2438"/>
      <c r="AC271" s="2438"/>
      <c r="AD271" s="2438"/>
      <c r="AE271" s="2438">
        <v>10000</v>
      </c>
      <c r="AF271" s="2406">
        <f t="shared" si="71"/>
        <v>70000</v>
      </c>
      <c r="AG271" s="2292">
        <f t="shared" si="70"/>
        <v>70000</v>
      </c>
    </row>
    <row r="272" customHeight="1" spans="1:33">
      <c r="A272" s="2472"/>
      <c r="B272" s="2480" t="s">
        <v>10962</v>
      </c>
      <c r="C272" s="2276">
        <v>9</v>
      </c>
      <c r="D272" s="2276"/>
      <c r="E272" s="2276"/>
      <c r="F272" s="2276"/>
      <c r="G272" s="2481" t="s">
        <v>10904</v>
      </c>
      <c r="H272" s="2482" t="s">
        <v>10685</v>
      </c>
      <c r="I272" s="2149">
        <v>0</v>
      </c>
      <c r="J272" s="2483">
        <v>0.048513</v>
      </c>
      <c r="K272" s="2149">
        <f t="shared" ref="K272:K335" si="72">ROUND(I272/J272,0)</f>
        <v>0</v>
      </c>
      <c r="L272" s="2280">
        <v>1456</v>
      </c>
      <c r="M272" s="2280">
        <v>1940</v>
      </c>
      <c r="N272" s="2405">
        <v>1456</v>
      </c>
      <c r="O272" s="2405">
        <v>1455</v>
      </c>
      <c r="P272" s="2405">
        <v>1892</v>
      </c>
      <c r="Q272" s="2405">
        <v>1747</v>
      </c>
      <c r="R272" s="2405">
        <v>1552</v>
      </c>
      <c r="S272" s="2405">
        <v>1698</v>
      </c>
      <c r="T272" s="2405">
        <v>1455</v>
      </c>
      <c r="U272" s="2405">
        <v>1456</v>
      </c>
      <c r="V272" s="2405">
        <v>1455</v>
      </c>
      <c r="W272" s="2405">
        <v>1456</v>
      </c>
      <c r="X272" s="2405">
        <v>1455</v>
      </c>
      <c r="Y272" s="2405">
        <v>1455</v>
      </c>
      <c r="Z272" s="2405">
        <v>1698</v>
      </c>
      <c r="AA272" s="2405">
        <v>1698</v>
      </c>
      <c r="AB272" s="2405">
        <v>1456</v>
      </c>
      <c r="AC272" s="2405">
        <v>606</v>
      </c>
      <c r="AD272" s="2405">
        <v>485</v>
      </c>
      <c r="AE272" s="2405">
        <v>825</v>
      </c>
      <c r="AF272" s="2406">
        <f t="shared" si="71"/>
        <v>28696</v>
      </c>
      <c r="AG272" s="2283">
        <f t="shared" si="70"/>
        <v>591512</v>
      </c>
    </row>
    <row r="273" customHeight="1" spans="1:33">
      <c r="A273" s="2472"/>
      <c r="B273" s="2473"/>
      <c r="C273" s="2286"/>
      <c r="D273" s="2286"/>
      <c r="E273" s="2286"/>
      <c r="F273" s="2286"/>
      <c r="G273" s="2469" t="s">
        <v>10904</v>
      </c>
      <c r="H273" s="2441" t="s">
        <v>10685</v>
      </c>
      <c r="I273" s="2161">
        <v>0</v>
      </c>
      <c r="J273" s="2470">
        <v>0.01339</v>
      </c>
      <c r="K273" s="2161">
        <f t="shared" si="72"/>
        <v>0</v>
      </c>
      <c r="L273" s="2295">
        <v>402</v>
      </c>
      <c r="M273" s="2295">
        <v>536</v>
      </c>
      <c r="N273" s="2405">
        <v>401</v>
      </c>
      <c r="O273" s="2405">
        <v>402</v>
      </c>
      <c r="P273" s="2405">
        <v>522</v>
      </c>
      <c r="Q273" s="2405">
        <v>482</v>
      </c>
      <c r="R273" s="2405">
        <v>429</v>
      </c>
      <c r="S273" s="2405">
        <v>469</v>
      </c>
      <c r="T273" s="2405">
        <v>401</v>
      </c>
      <c r="U273" s="2405">
        <v>402</v>
      </c>
      <c r="V273" s="2405">
        <v>402</v>
      </c>
      <c r="W273" s="2405">
        <v>401</v>
      </c>
      <c r="X273" s="2405">
        <v>402</v>
      </c>
      <c r="Y273" s="2405">
        <v>402</v>
      </c>
      <c r="Z273" s="2405">
        <v>468</v>
      </c>
      <c r="AA273" s="2405">
        <v>469</v>
      </c>
      <c r="AB273" s="2405">
        <v>402</v>
      </c>
      <c r="AC273" s="2405">
        <v>167</v>
      </c>
      <c r="AD273" s="2405">
        <v>134</v>
      </c>
      <c r="AE273" s="2405">
        <v>228</v>
      </c>
      <c r="AF273" s="2406">
        <f t="shared" si="71"/>
        <v>7921</v>
      </c>
      <c r="AG273" s="2292">
        <f t="shared" si="70"/>
        <v>591561</v>
      </c>
    </row>
    <row r="274" customHeight="1" spans="1:33">
      <c r="A274" s="2472"/>
      <c r="B274" s="2473"/>
      <c r="C274" s="2286"/>
      <c r="D274" s="2286"/>
      <c r="E274" s="2286"/>
      <c r="F274" s="2286"/>
      <c r="G274" s="2522" t="s">
        <v>10963</v>
      </c>
      <c r="H274" s="2441"/>
      <c r="I274" s="2161">
        <v>500</v>
      </c>
      <c r="J274" s="2523">
        <v>0.019</v>
      </c>
      <c r="K274" s="2161">
        <f t="shared" si="72"/>
        <v>26316</v>
      </c>
      <c r="L274" s="2295">
        <v>570</v>
      </c>
      <c r="M274" s="2295">
        <v>760</v>
      </c>
      <c r="N274" s="2405">
        <v>570</v>
      </c>
      <c r="O274" s="2405">
        <v>570</v>
      </c>
      <c r="P274" s="2405">
        <v>741</v>
      </c>
      <c r="Q274" s="2405">
        <v>684</v>
      </c>
      <c r="R274" s="2405">
        <v>608</v>
      </c>
      <c r="S274" s="2405">
        <v>665</v>
      </c>
      <c r="T274" s="2405">
        <v>0</v>
      </c>
      <c r="U274" s="2405">
        <v>0</v>
      </c>
      <c r="V274" s="2405">
        <v>0</v>
      </c>
      <c r="W274" s="2405">
        <v>0</v>
      </c>
      <c r="X274" s="2405">
        <v>0</v>
      </c>
      <c r="Y274" s="2405">
        <v>3420</v>
      </c>
      <c r="Z274" s="2405">
        <v>0</v>
      </c>
      <c r="AA274" s="2405">
        <v>0</v>
      </c>
      <c r="AB274" s="2405">
        <v>0</v>
      </c>
      <c r="AC274" s="2405">
        <v>0</v>
      </c>
      <c r="AD274" s="2405">
        <v>0</v>
      </c>
      <c r="AE274" s="2405">
        <v>0</v>
      </c>
      <c r="AF274" s="2406">
        <f t="shared" si="71"/>
        <v>8588</v>
      </c>
      <c r="AG274" s="2292">
        <f t="shared" si="70"/>
        <v>452000</v>
      </c>
    </row>
    <row r="275" customHeight="1" spans="1:33">
      <c r="A275" s="2472"/>
      <c r="B275" s="2473"/>
      <c r="C275" s="2286"/>
      <c r="D275" s="2286"/>
      <c r="E275" s="2286"/>
      <c r="F275" s="2286"/>
      <c r="G275" s="2524" t="s">
        <v>10964</v>
      </c>
      <c r="H275" s="2441"/>
      <c r="I275" s="2161">
        <v>500</v>
      </c>
      <c r="J275" s="2523">
        <v>0.0156</v>
      </c>
      <c r="K275" s="2161">
        <f t="shared" si="72"/>
        <v>32051</v>
      </c>
      <c r="L275" s="2295"/>
      <c r="M275" s="2295"/>
      <c r="N275" s="2405"/>
      <c r="O275" s="2405"/>
      <c r="P275" s="2405"/>
      <c r="Q275" s="2405"/>
      <c r="R275" s="2405"/>
      <c r="S275" s="2405"/>
      <c r="T275" s="2405">
        <v>468</v>
      </c>
      <c r="U275" s="2405">
        <v>500</v>
      </c>
      <c r="V275" s="2405">
        <v>436</v>
      </c>
      <c r="W275" s="2405">
        <v>500</v>
      </c>
      <c r="X275" s="2405">
        <v>436</v>
      </c>
      <c r="Y275" s="2405">
        <v>468</v>
      </c>
      <c r="Z275" s="2405">
        <v>546</v>
      </c>
      <c r="AA275" s="2405">
        <v>546</v>
      </c>
      <c r="AB275" s="2405">
        <v>468</v>
      </c>
      <c r="AC275" s="2405">
        <v>195</v>
      </c>
      <c r="AD275" s="2405">
        <v>156</v>
      </c>
      <c r="AE275" s="2405">
        <v>266</v>
      </c>
      <c r="AF275" s="2406">
        <f t="shared" si="71"/>
        <v>4985</v>
      </c>
      <c r="AG275" s="2292">
        <f t="shared" si="70"/>
        <v>319551</v>
      </c>
    </row>
    <row r="276" customHeight="1" spans="1:33">
      <c r="A276" s="2472"/>
      <c r="B276" s="2473"/>
      <c r="C276" s="2286"/>
      <c r="D276" s="2286"/>
      <c r="E276" s="2286"/>
      <c r="F276" s="2286"/>
      <c r="G276" s="2469" t="s">
        <v>10965</v>
      </c>
      <c r="H276" s="2441"/>
      <c r="I276" s="2161">
        <v>500</v>
      </c>
      <c r="J276" s="2470">
        <v>0.002369</v>
      </c>
      <c r="K276" s="2161">
        <f t="shared" si="72"/>
        <v>211060</v>
      </c>
      <c r="L276" s="2290">
        <v>500</v>
      </c>
      <c r="M276" s="2290"/>
      <c r="N276" s="2439"/>
      <c r="O276" s="2439"/>
      <c r="P276" s="2439"/>
      <c r="Q276" s="2439"/>
      <c r="R276" s="2439">
        <v>500</v>
      </c>
      <c r="S276" s="2439"/>
      <c r="T276" s="2439"/>
      <c r="U276" s="2439"/>
      <c r="V276" s="2439"/>
      <c r="W276" s="2439"/>
      <c r="X276" s="2439"/>
      <c r="Y276" s="2439">
        <v>71</v>
      </c>
      <c r="Z276" s="2439">
        <v>83</v>
      </c>
      <c r="AA276" s="2439">
        <v>83</v>
      </c>
      <c r="AB276" s="2439">
        <v>71</v>
      </c>
      <c r="AC276" s="2439">
        <v>30</v>
      </c>
      <c r="AD276" s="2439">
        <v>23</v>
      </c>
      <c r="AE276" s="2439">
        <v>41</v>
      </c>
      <c r="AF276" s="2406">
        <f t="shared" si="71"/>
        <v>1402</v>
      </c>
      <c r="AG276" s="2292">
        <f t="shared" si="70"/>
        <v>591811</v>
      </c>
    </row>
    <row r="277" customHeight="1" spans="1:33">
      <c r="A277" s="2472"/>
      <c r="B277" s="2473"/>
      <c r="C277" s="2286"/>
      <c r="D277" s="2286"/>
      <c r="E277" s="2286"/>
      <c r="F277" s="2286"/>
      <c r="G277" s="2524" t="s">
        <v>10966</v>
      </c>
      <c r="H277" s="2441"/>
      <c r="I277" s="2161">
        <v>0</v>
      </c>
      <c r="J277" s="2470">
        <v>0.0041</v>
      </c>
      <c r="K277" s="2161">
        <f t="shared" si="72"/>
        <v>0</v>
      </c>
      <c r="L277" s="2290"/>
      <c r="M277" s="2290"/>
      <c r="N277" s="2439"/>
      <c r="O277" s="2439"/>
      <c r="P277" s="2439"/>
      <c r="Q277" s="2439"/>
      <c r="R277" s="2439"/>
      <c r="S277" s="2439"/>
      <c r="T277" s="2439">
        <v>123</v>
      </c>
      <c r="U277" s="2439">
        <v>123</v>
      </c>
      <c r="V277" s="2439">
        <v>123</v>
      </c>
      <c r="W277" s="2439">
        <v>123</v>
      </c>
      <c r="X277" s="2439">
        <v>123</v>
      </c>
      <c r="Y277" s="2439">
        <v>123</v>
      </c>
      <c r="Z277" s="2439">
        <v>144</v>
      </c>
      <c r="AA277" s="2439">
        <v>143</v>
      </c>
      <c r="AB277" s="2439">
        <v>123</v>
      </c>
      <c r="AC277" s="2439">
        <v>52</v>
      </c>
      <c r="AD277" s="2439">
        <v>41</v>
      </c>
      <c r="AE277" s="2439">
        <v>69</v>
      </c>
      <c r="AF277" s="2406">
        <f t="shared" si="71"/>
        <v>1310</v>
      </c>
      <c r="AG277" s="2292">
        <f t="shared" si="70"/>
        <v>319512</v>
      </c>
    </row>
    <row r="278" customHeight="1" spans="1:33">
      <c r="A278" s="2472"/>
      <c r="B278" s="2473"/>
      <c r="C278" s="2286"/>
      <c r="D278" s="2286"/>
      <c r="E278" s="2286"/>
      <c r="F278" s="2286"/>
      <c r="G278" s="2469" t="s">
        <v>9106</v>
      </c>
      <c r="H278" s="2441" t="s">
        <v>10890</v>
      </c>
      <c r="I278" s="2161">
        <v>0</v>
      </c>
      <c r="J278" s="2470">
        <v>2</v>
      </c>
      <c r="K278" s="2161">
        <f t="shared" si="72"/>
        <v>0</v>
      </c>
      <c r="L278" s="2295">
        <v>60000</v>
      </c>
      <c r="M278" s="2295">
        <v>80000</v>
      </c>
      <c r="N278" s="2405">
        <v>60000</v>
      </c>
      <c r="O278" s="2405">
        <v>60000</v>
      </c>
      <c r="P278" s="2405">
        <v>78000</v>
      </c>
      <c r="Q278" s="2405">
        <v>72000</v>
      </c>
      <c r="R278" s="2405">
        <v>64000</v>
      </c>
      <c r="S278" s="2405">
        <v>70000</v>
      </c>
      <c r="T278" s="2405">
        <v>60000</v>
      </c>
      <c r="U278" s="2405">
        <v>60000</v>
      </c>
      <c r="V278" s="2405">
        <v>60000</v>
      </c>
      <c r="W278" s="2405">
        <v>60000</v>
      </c>
      <c r="X278" s="2405">
        <v>60000</v>
      </c>
      <c r="Y278" s="2405">
        <v>60000</v>
      </c>
      <c r="Z278" s="2405">
        <v>70000</v>
      </c>
      <c r="AA278" s="2405">
        <v>70000</v>
      </c>
      <c r="AB278" s="2405">
        <v>60000</v>
      </c>
      <c r="AC278" s="2405">
        <v>25000</v>
      </c>
      <c r="AD278" s="2405">
        <v>20000</v>
      </c>
      <c r="AE278" s="2405">
        <v>34000</v>
      </c>
      <c r="AF278" s="2406">
        <f t="shared" si="71"/>
        <v>1183000</v>
      </c>
      <c r="AG278" s="2292">
        <f t="shared" si="70"/>
        <v>591500</v>
      </c>
    </row>
    <row r="279" customHeight="1" spans="1:33">
      <c r="A279" s="2472"/>
      <c r="B279" s="2473"/>
      <c r="C279" s="2286"/>
      <c r="D279" s="2286"/>
      <c r="E279" s="2286"/>
      <c r="F279" s="2286"/>
      <c r="G279" s="2469" t="s">
        <v>10956</v>
      </c>
      <c r="H279" s="2441" t="s">
        <v>10957</v>
      </c>
      <c r="I279" s="2161">
        <v>0</v>
      </c>
      <c r="J279" s="2470">
        <v>20</v>
      </c>
      <c r="K279" s="2161">
        <f t="shared" si="72"/>
        <v>0</v>
      </c>
      <c r="L279" s="2295">
        <v>600000</v>
      </c>
      <c r="M279" s="2295">
        <v>800000</v>
      </c>
      <c r="N279" s="2405">
        <v>600000</v>
      </c>
      <c r="O279" s="2405">
        <v>600000</v>
      </c>
      <c r="P279" s="2405">
        <v>780000</v>
      </c>
      <c r="Q279" s="2405">
        <v>720000</v>
      </c>
      <c r="R279" s="2405">
        <v>640000</v>
      </c>
      <c r="S279" s="2405">
        <v>700000</v>
      </c>
      <c r="T279" s="2405">
        <v>600000</v>
      </c>
      <c r="U279" s="2405">
        <v>600000</v>
      </c>
      <c r="V279" s="2405">
        <v>600000</v>
      </c>
      <c r="W279" s="2405">
        <v>600000</v>
      </c>
      <c r="X279" s="2405">
        <v>600000</v>
      </c>
      <c r="Y279" s="2405">
        <v>600000</v>
      </c>
      <c r="Z279" s="2405">
        <v>700000</v>
      </c>
      <c r="AA279" s="2405">
        <v>700000</v>
      </c>
      <c r="AB279" s="2405">
        <v>600000</v>
      </c>
      <c r="AC279" s="2405">
        <v>250000</v>
      </c>
      <c r="AD279" s="2405">
        <v>200000</v>
      </c>
      <c r="AE279" s="2405">
        <v>340000</v>
      </c>
      <c r="AF279" s="2406">
        <f t="shared" si="71"/>
        <v>11830000</v>
      </c>
      <c r="AG279" s="2292">
        <f t="shared" si="70"/>
        <v>591500</v>
      </c>
    </row>
    <row r="280" customHeight="1" spans="1:33">
      <c r="A280" s="2472"/>
      <c r="B280" s="2473"/>
      <c r="C280" s="2286"/>
      <c r="D280" s="2286"/>
      <c r="E280" s="2286"/>
      <c r="F280" s="2286"/>
      <c r="G280" s="2469" t="s">
        <v>10958</v>
      </c>
      <c r="H280" s="2441" t="s">
        <v>10959</v>
      </c>
      <c r="I280" s="2161">
        <v>0</v>
      </c>
      <c r="J280" s="2470">
        <v>2.369</v>
      </c>
      <c r="K280" s="2161">
        <f t="shared" si="72"/>
        <v>0</v>
      </c>
      <c r="L280" s="2295">
        <v>71070</v>
      </c>
      <c r="M280" s="2295">
        <v>94760</v>
      </c>
      <c r="N280" s="2405">
        <v>71070</v>
      </c>
      <c r="O280" s="2405">
        <v>71070</v>
      </c>
      <c r="P280" s="2405">
        <v>92391</v>
      </c>
      <c r="Q280" s="2405">
        <v>85284</v>
      </c>
      <c r="R280" s="2405">
        <v>75808</v>
      </c>
      <c r="S280" s="2405">
        <v>82915</v>
      </c>
      <c r="T280" s="2405">
        <v>71070</v>
      </c>
      <c r="U280" s="2405">
        <v>71070</v>
      </c>
      <c r="V280" s="2405">
        <v>71070</v>
      </c>
      <c r="W280" s="2405">
        <v>71070</v>
      </c>
      <c r="X280" s="2405">
        <v>71070</v>
      </c>
      <c r="Y280" s="2405">
        <v>71070</v>
      </c>
      <c r="Z280" s="2405">
        <v>82915</v>
      </c>
      <c r="AA280" s="2405">
        <v>82915</v>
      </c>
      <c r="AB280" s="2405">
        <v>71070</v>
      </c>
      <c r="AC280" s="2405">
        <v>29613</v>
      </c>
      <c r="AD280" s="2405">
        <v>23690</v>
      </c>
      <c r="AE280" s="2405">
        <v>40273</v>
      </c>
      <c r="AF280" s="2406">
        <f t="shared" si="71"/>
        <v>1401264</v>
      </c>
      <c r="AG280" s="2292">
        <f t="shared" si="70"/>
        <v>591500</v>
      </c>
    </row>
    <row r="281" customHeight="1" spans="1:33">
      <c r="A281" s="2472"/>
      <c r="B281" s="2473"/>
      <c r="C281" s="2286"/>
      <c r="D281" s="2286"/>
      <c r="E281" s="2286"/>
      <c r="F281" s="2286"/>
      <c r="G281" s="2469" t="s">
        <v>10960</v>
      </c>
      <c r="H281" s="2441"/>
      <c r="I281" s="2161">
        <v>0</v>
      </c>
      <c r="J281" s="2470">
        <v>12.875</v>
      </c>
      <c r="K281" s="2161">
        <f t="shared" si="72"/>
        <v>0</v>
      </c>
      <c r="L281" s="2295">
        <v>386250</v>
      </c>
      <c r="M281" s="2295">
        <v>515000</v>
      </c>
      <c r="N281" s="2405">
        <v>386250</v>
      </c>
      <c r="O281" s="2405">
        <v>386250</v>
      </c>
      <c r="P281" s="2405">
        <v>502125</v>
      </c>
      <c r="Q281" s="2405">
        <v>463500</v>
      </c>
      <c r="R281" s="2405">
        <v>412000</v>
      </c>
      <c r="S281" s="2405">
        <v>450625</v>
      </c>
      <c r="T281" s="2405">
        <v>386250</v>
      </c>
      <c r="U281" s="2405">
        <v>386250</v>
      </c>
      <c r="V281" s="2405">
        <v>386250</v>
      </c>
      <c r="W281" s="2405">
        <v>386250</v>
      </c>
      <c r="X281" s="2405">
        <v>386250</v>
      </c>
      <c r="Y281" s="2405">
        <v>386250</v>
      </c>
      <c r="Z281" s="2405">
        <v>450625</v>
      </c>
      <c r="AA281" s="2405">
        <v>450625</v>
      </c>
      <c r="AB281" s="2405">
        <v>386250</v>
      </c>
      <c r="AC281" s="2405">
        <v>160938</v>
      </c>
      <c r="AD281" s="2405">
        <v>128750</v>
      </c>
      <c r="AE281" s="2405">
        <v>218875</v>
      </c>
      <c r="AF281" s="2406">
        <f t="shared" si="71"/>
        <v>7615563</v>
      </c>
      <c r="AG281" s="2292">
        <f t="shared" si="70"/>
        <v>591500</v>
      </c>
    </row>
    <row r="282" customHeight="1" spans="1:33">
      <c r="A282" s="2472"/>
      <c r="B282" s="2473"/>
      <c r="C282" s="2286"/>
      <c r="D282" s="2286"/>
      <c r="E282" s="2286"/>
      <c r="F282" s="2286"/>
      <c r="G282" s="2469" t="s">
        <v>10961</v>
      </c>
      <c r="H282" s="2441"/>
      <c r="I282" s="2161">
        <v>0</v>
      </c>
      <c r="J282" s="2470">
        <v>1</v>
      </c>
      <c r="K282" s="2161">
        <f t="shared" si="72"/>
        <v>0</v>
      </c>
      <c r="L282" s="2295">
        <v>30000</v>
      </c>
      <c r="M282" s="2295">
        <v>40000</v>
      </c>
      <c r="N282" s="2405">
        <v>30000</v>
      </c>
      <c r="O282" s="2405">
        <v>30000</v>
      </c>
      <c r="P282" s="2405">
        <v>39000</v>
      </c>
      <c r="Q282" s="2405">
        <v>36000</v>
      </c>
      <c r="R282" s="2405">
        <v>32000</v>
      </c>
      <c r="S282" s="2405">
        <v>35000</v>
      </c>
      <c r="T282" s="2405">
        <v>30000</v>
      </c>
      <c r="U282" s="2405">
        <v>30000</v>
      </c>
      <c r="V282" s="2405">
        <v>30000</v>
      </c>
      <c r="W282" s="2405">
        <v>30000</v>
      </c>
      <c r="X282" s="2405">
        <v>30000</v>
      </c>
      <c r="Y282" s="2405">
        <v>30000</v>
      </c>
      <c r="Z282" s="2405">
        <v>35000</v>
      </c>
      <c r="AA282" s="2405">
        <v>35000</v>
      </c>
      <c r="AB282" s="2405">
        <v>30000</v>
      </c>
      <c r="AC282" s="2405">
        <v>12500</v>
      </c>
      <c r="AD282" s="2405">
        <v>10000</v>
      </c>
      <c r="AE282" s="2405">
        <v>17000</v>
      </c>
      <c r="AF282" s="2406">
        <f t="shared" si="71"/>
        <v>591500</v>
      </c>
      <c r="AG282" s="2292">
        <f t="shared" si="70"/>
        <v>591500</v>
      </c>
    </row>
    <row r="283" customHeight="1" spans="1:33">
      <c r="A283" s="2472"/>
      <c r="B283" s="2485"/>
      <c r="C283" s="2299"/>
      <c r="D283" s="2299"/>
      <c r="E283" s="2299"/>
      <c r="F283" s="2299"/>
      <c r="G283" s="2486" t="s">
        <v>10650</v>
      </c>
      <c r="H283" s="2487" t="s">
        <v>10650</v>
      </c>
      <c r="I283" s="2171">
        <v>0</v>
      </c>
      <c r="J283" s="2488">
        <v>1</v>
      </c>
      <c r="K283" s="2171">
        <f t="shared" si="72"/>
        <v>0</v>
      </c>
      <c r="L283" s="2302">
        <v>30000</v>
      </c>
      <c r="M283" s="2302">
        <v>40000</v>
      </c>
      <c r="N283" s="2302">
        <v>30000</v>
      </c>
      <c r="O283" s="2302">
        <v>30000</v>
      </c>
      <c r="P283" s="2302">
        <v>39000</v>
      </c>
      <c r="Q283" s="2302">
        <v>36000</v>
      </c>
      <c r="R283" s="2302">
        <v>32000</v>
      </c>
      <c r="S283" s="2302">
        <v>35000</v>
      </c>
      <c r="T283" s="2302">
        <v>30000</v>
      </c>
      <c r="U283" s="2302">
        <v>30000</v>
      </c>
      <c r="V283" s="2438">
        <v>30000</v>
      </c>
      <c r="W283" s="2438">
        <v>30000</v>
      </c>
      <c r="X283" s="2438">
        <v>30000</v>
      </c>
      <c r="Y283" s="2438">
        <v>30000</v>
      </c>
      <c r="Z283" s="2438">
        <v>35000</v>
      </c>
      <c r="AA283" s="2438">
        <v>35000</v>
      </c>
      <c r="AB283" s="2438">
        <v>30000</v>
      </c>
      <c r="AC283" s="2438">
        <v>12500</v>
      </c>
      <c r="AD283" s="2438">
        <v>10000</v>
      </c>
      <c r="AE283" s="2438">
        <v>17000</v>
      </c>
      <c r="AF283" s="2406">
        <f t="shared" si="71"/>
        <v>591500</v>
      </c>
      <c r="AG283" s="2304">
        <f t="shared" si="70"/>
        <v>591500</v>
      </c>
    </row>
    <row r="284" customHeight="1" spans="1:33">
      <c r="A284" s="2472"/>
      <c r="B284" s="2480" t="s">
        <v>10967</v>
      </c>
      <c r="C284" s="2276">
        <v>10</v>
      </c>
      <c r="D284" s="2276"/>
      <c r="E284" s="2276"/>
      <c r="F284" s="2276"/>
      <c r="G284" s="2481" t="s">
        <v>10895</v>
      </c>
      <c r="H284" s="2482"/>
      <c r="I284" s="2149">
        <v>800</v>
      </c>
      <c r="J284" s="2483">
        <v>0.043363</v>
      </c>
      <c r="K284" s="2149">
        <f t="shared" si="72"/>
        <v>18449</v>
      </c>
      <c r="L284" s="2280">
        <v>1301</v>
      </c>
      <c r="M284" s="2280">
        <v>1735</v>
      </c>
      <c r="N284" s="2405">
        <v>1734</v>
      </c>
      <c r="O284" s="2405">
        <v>1518</v>
      </c>
      <c r="P284" s="2405">
        <v>1821</v>
      </c>
      <c r="Q284" s="2405">
        <v>1518</v>
      </c>
      <c r="R284" s="2405">
        <v>1518</v>
      </c>
      <c r="S284" s="2405">
        <v>1517</v>
      </c>
      <c r="T284" s="2405">
        <v>1301</v>
      </c>
      <c r="U284" s="2405">
        <v>1518</v>
      </c>
      <c r="V284" s="2405">
        <v>1301</v>
      </c>
      <c r="W284" s="2405">
        <v>1518</v>
      </c>
      <c r="X284" s="2405">
        <v>1301</v>
      </c>
      <c r="Y284" s="2405">
        <v>1734</v>
      </c>
      <c r="Z284" s="2405">
        <v>1518</v>
      </c>
      <c r="AA284" s="2405">
        <v>1301</v>
      </c>
      <c r="AB284" s="2405">
        <v>1084</v>
      </c>
      <c r="AC284" s="2405">
        <v>542</v>
      </c>
      <c r="AD284" s="2405">
        <v>867</v>
      </c>
      <c r="AE284" s="2405">
        <v>867</v>
      </c>
      <c r="AF284" s="2406">
        <f t="shared" si="71"/>
        <v>27514</v>
      </c>
      <c r="AG284" s="2283">
        <f t="shared" si="70"/>
        <v>634504</v>
      </c>
    </row>
    <row r="285" customHeight="1" spans="1:33">
      <c r="A285" s="2472"/>
      <c r="B285" s="2473"/>
      <c r="C285" s="2286"/>
      <c r="D285" s="2286"/>
      <c r="E285" s="2286"/>
      <c r="F285" s="2286"/>
      <c r="G285" s="2469" t="s">
        <v>10968</v>
      </c>
      <c r="H285" s="2441"/>
      <c r="I285" s="2161">
        <v>800</v>
      </c>
      <c r="J285" s="2470">
        <v>0.01854</v>
      </c>
      <c r="K285" s="2161">
        <f t="shared" si="72"/>
        <v>43150</v>
      </c>
      <c r="L285" s="2290">
        <v>800</v>
      </c>
      <c r="M285" s="2290">
        <v>498</v>
      </c>
      <c r="N285" s="2439">
        <v>742</v>
      </c>
      <c r="O285" s="2439">
        <v>800</v>
      </c>
      <c r="P285" s="2439">
        <v>800</v>
      </c>
      <c r="Q285" s="2439">
        <v>800</v>
      </c>
      <c r="R285" s="2439">
        <v>800</v>
      </c>
      <c r="S285" s="2439">
        <v>800</v>
      </c>
      <c r="T285" s="2439"/>
      <c r="U285" s="2439">
        <v>800</v>
      </c>
      <c r="V285" s="2439">
        <v>335</v>
      </c>
      <c r="W285" s="2439">
        <v>800</v>
      </c>
      <c r="X285" s="2439">
        <v>406</v>
      </c>
      <c r="Y285" s="2439">
        <v>741</v>
      </c>
      <c r="Z285" s="2439">
        <v>649</v>
      </c>
      <c r="AA285" s="2439">
        <v>556</v>
      </c>
      <c r="AB285" s="2439">
        <v>464</v>
      </c>
      <c r="AC285" s="2439">
        <v>232</v>
      </c>
      <c r="AD285" s="2439">
        <v>370</v>
      </c>
      <c r="AE285" s="2439">
        <v>371</v>
      </c>
      <c r="AF285" s="2406">
        <f t="shared" si="71"/>
        <v>11764</v>
      </c>
      <c r="AG285" s="2292">
        <f t="shared" si="70"/>
        <v>634520</v>
      </c>
    </row>
    <row r="286" customHeight="1" spans="1:33">
      <c r="A286" s="2472"/>
      <c r="B286" s="2473"/>
      <c r="C286" s="2286"/>
      <c r="D286" s="2286"/>
      <c r="E286" s="2286"/>
      <c r="F286" s="2286"/>
      <c r="G286" s="2522" t="s">
        <v>10969</v>
      </c>
      <c r="H286" s="2441" t="s">
        <v>10970</v>
      </c>
      <c r="I286" s="2161">
        <v>500</v>
      </c>
      <c r="J286" s="2523">
        <v>0.019</v>
      </c>
      <c r="K286" s="2161">
        <f t="shared" si="72"/>
        <v>26316</v>
      </c>
      <c r="L286" s="2295">
        <v>570</v>
      </c>
      <c r="M286" s="2295">
        <v>760</v>
      </c>
      <c r="N286" s="2405">
        <v>760</v>
      </c>
      <c r="O286" s="2405">
        <v>665</v>
      </c>
      <c r="P286" s="2405">
        <v>798</v>
      </c>
      <c r="Q286" s="2405">
        <v>665</v>
      </c>
      <c r="R286" s="2405">
        <v>665</v>
      </c>
      <c r="S286" s="2405">
        <v>665</v>
      </c>
      <c r="T286" s="2405">
        <v>0</v>
      </c>
      <c r="U286" s="2405">
        <v>0</v>
      </c>
      <c r="V286" s="2405"/>
      <c r="W286" s="2405">
        <v>0</v>
      </c>
      <c r="X286" s="2405">
        <v>0</v>
      </c>
      <c r="Y286" s="2405">
        <v>3800</v>
      </c>
      <c r="Z286" s="2405">
        <v>0</v>
      </c>
      <c r="AA286" s="2405">
        <v>0</v>
      </c>
      <c r="AB286" s="2405">
        <v>0</v>
      </c>
      <c r="AC286" s="2405">
        <v>0</v>
      </c>
      <c r="AD286" s="2405">
        <v>0</v>
      </c>
      <c r="AE286" s="2405">
        <v>0</v>
      </c>
      <c r="AF286" s="2406">
        <f t="shared" si="71"/>
        <v>9348</v>
      </c>
      <c r="AG286" s="2292">
        <f t="shared" si="70"/>
        <v>492000</v>
      </c>
    </row>
    <row r="287" customHeight="1" spans="1:33">
      <c r="A287" s="2472"/>
      <c r="B287" s="2473"/>
      <c r="C287" s="2286"/>
      <c r="D287" s="2286"/>
      <c r="E287" s="2286"/>
      <c r="F287" s="2286"/>
      <c r="G287" s="2524" t="s">
        <v>10971</v>
      </c>
      <c r="H287" s="2441" t="s">
        <v>10970</v>
      </c>
      <c r="I287" s="2161">
        <v>500</v>
      </c>
      <c r="J287" s="2523">
        <v>0.0156</v>
      </c>
      <c r="K287" s="2161">
        <f t="shared" si="72"/>
        <v>32051</v>
      </c>
      <c r="L287" s="2295"/>
      <c r="M287" s="2295"/>
      <c r="N287" s="2405"/>
      <c r="O287" s="2405"/>
      <c r="P287" s="2405"/>
      <c r="Q287" s="2405"/>
      <c r="R287" s="2405"/>
      <c r="S287" s="2405"/>
      <c r="T287" s="2405">
        <v>468</v>
      </c>
      <c r="U287" s="2405">
        <v>546</v>
      </c>
      <c r="V287" s="2405">
        <v>468</v>
      </c>
      <c r="W287" s="2405">
        <v>546</v>
      </c>
      <c r="X287" s="2405">
        <v>468</v>
      </c>
      <c r="Y287" s="2405">
        <v>624</v>
      </c>
      <c r="Z287" s="2405">
        <v>546</v>
      </c>
      <c r="AA287" s="2405">
        <v>468</v>
      </c>
      <c r="AB287" s="2405">
        <v>390</v>
      </c>
      <c r="AC287" s="2405">
        <v>195</v>
      </c>
      <c r="AD287" s="2405">
        <v>312</v>
      </c>
      <c r="AE287" s="2405">
        <v>312</v>
      </c>
      <c r="AF287" s="2406">
        <f t="shared" si="71"/>
        <v>5343</v>
      </c>
      <c r="AG287" s="2292">
        <f t="shared" si="70"/>
        <v>342500</v>
      </c>
    </row>
    <row r="288" customHeight="1" spans="1:33">
      <c r="A288" s="2472"/>
      <c r="B288" s="2473"/>
      <c r="C288" s="2286"/>
      <c r="D288" s="2286"/>
      <c r="E288" s="2286"/>
      <c r="F288" s="2286"/>
      <c r="G288" s="2469" t="s">
        <v>10972</v>
      </c>
      <c r="H288" s="2441" t="s">
        <v>10973</v>
      </c>
      <c r="I288" s="2161">
        <v>500</v>
      </c>
      <c r="J288" s="2470">
        <v>0.002369</v>
      </c>
      <c r="K288" s="2161">
        <f t="shared" si="72"/>
        <v>211060</v>
      </c>
      <c r="L288" s="2290">
        <v>250</v>
      </c>
      <c r="M288" s="2290"/>
      <c r="N288" s="2439">
        <v>250</v>
      </c>
      <c r="O288" s="2439"/>
      <c r="P288" s="2439"/>
      <c r="Q288" s="2439">
        <v>250</v>
      </c>
      <c r="R288" s="2439"/>
      <c r="S288" s="2439"/>
      <c r="T288" s="2439">
        <v>250</v>
      </c>
      <c r="U288" s="2439"/>
      <c r="V288" s="2439"/>
      <c r="W288" s="2439"/>
      <c r="X288" s="2439">
        <v>71</v>
      </c>
      <c r="Y288" s="2439">
        <v>95</v>
      </c>
      <c r="Z288" s="2439">
        <v>83</v>
      </c>
      <c r="AA288" s="2439">
        <v>71</v>
      </c>
      <c r="AB288" s="2439">
        <v>59</v>
      </c>
      <c r="AC288" s="2439">
        <v>30</v>
      </c>
      <c r="AD288" s="2439">
        <v>47</v>
      </c>
      <c r="AE288" s="2439">
        <v>48</v>
      </c>
      <c r="AF288" s="2406">
        <f t="shared" si="71"/>
        <v>1504</v>
      </c>
      <c r="AG288" s="2292">
        <f t="shared" si="70"/>
        <v>634867</v>
      </c>
    </row>
    <row r="289" customHeight="1" spans="1:33">
      <c r="A289" s="2472"/>
      <c r="B289" s="2473"/>
      <c r="C289" s="2286"/>
      <c r="D289" s="2286"/>
      <c r="E289" s="2286"/>
      <c r="F289" s="2286"/>
      <c r="G289" s="2524" t="s">
        <v>10954</v>
      </c>
      <c r="H289" s="2441" t="s">
        <v>10955</v>
      </c>
      <c r="I289" s="2161">
        <v>0</v>
      </c>
      <c r="J289" s="2470">
        <v>0.0041</v>
      </c>
      <c r="K289" s="2161">
        <f t="shared" si="72"/>
        <v>0</v>
      </c>
      <c r="L289" s="2290"/>
      <c r="M289" s="2290"/>
      <c r="N289" s="2439"/>
      <c r="O289" s="2439"/>
      <c r="P289" s="2439"/>
      <c r="Q289" s="2439"/>
      <c r="R289" s="2439"/>
      <c r="S289" s="2439"/>
      <c r="T289" s="2439">
        <v>123</v>
      </c>
      <c r="U289" s="2439">
        <v>144</v>
      </c>
      <c r="V289" s="2439">
        <v>123</v>
      </c>
      <c r="W289" s="2439">
        <v>143</v>
      </c>
      <c r="X289" s="2439">
        <v>123</v>
      </c>
      <c r="Y289" s="2439">
        <v>164</v>
      </c>
      <c r="Z289" s="2439">
        <v>144</v>
      </c>
      <c r="AA289" s="2439">
        <v>123</v>
      </c>
      <c r="AB289" s="2439">
        <v>102</v>
      </c>
      <c r="AC289" s="2439">
        <v>52</v>
      </c>
      <c r="AD289" s="2439">
        <v>82</v>
      </c>
      <c r="AE289" s="2439">
        <v>82</v>
      </c>
      <c r="AF289" s="2406">
        <f t="shared" si="71"/>
        <v>1405</v>
      </c>
      <c r="AG289" s="2292">
        <f t="shared" si="70"/>
        <v>342683</v>
      </c>
    </row>
    <row r="290" customHeight="1" spans="1:33">
      <c r="A290" s="2472"/>
      <c r="B290" s="2473"/>
      <c r="C290" s="2286"/>
      <c r="D290" s="2286"/>
      <c r="E290" s="2286"/>
      <c r="F290" s="2286"/>
      <c r="G290" s="2469" t="s">
        <v>9106</v>
      </c>
      <c r="H290" s="2441" t="s">
        <v>10890</v>
      </c>
      <c r="I290" s="2161">
        <v>0</v>
      </c>
      <c r="J290" s="2470">
        <v>2</v>
      </c>
      <c r="K290" s="2161">
        <f t="shared" si="72"/>
        <v>0</v>
      </c>
      <c r="L290" s="2295">
        <v>60000</v>
      </c>
      <c r="M290" s="2295">
        <v>80000</v>
      </c>
      <c r="N290" s="2405">
        <v>80000</v>
      </c>
      <c r="O290" s="2405">
        <v>70000</v>
      </c>
      <c r="P290" s="2405">
        <v>84000</v>
      </c>
      <c r="Q290" s="2405">
        <v>70000</v>
      </c>
      <c r="R290" s="2405">
        <v>70000</v>
      </c>
      <c r="S290" s="2405">
        <v>70000</v>
      </c>
      <c r="T290" s="2405">
        <v>60000</v>
      </c>
      <c r="U290" s="2405">
        <v>70000</v>
      </c>
      <c r="V290" s="2405">
        <v>60000</v>
      </c>
      <c r="W290" s="2405">
        <v>70000</v>
      </c>
      <c r="X290" s="2405">
        <v>60000</v>
      </c>
      <c r="Y290" s="2405">
        <v>80000</v>
      </c>
      <c r="Z290" s="2405">
        <v>70000</v>
      </c>
      <c r="AA290" s="2405">
        <v>60000</v>
      </c>
      <c r="AB290" s="2405">
        <v>50000</v>
      </c>
      <c r="AC290" s="2405">
        <v>25000</v>
      </c>
      <c r="AD290" s="2405">
        <v>40000</v>
      </c>
      <c r="AE290" s="2405">
        <v>40000</v>
      </c>
      <c r="AF290" s="2406">
        <f t="shared" si="71"/>
        <v>1269000</v>
      </c>
      <c r="AG290" s="2292">
        <f t="shared" si="70"/>
        <v>634500</v>
      </c>
    </row>
    <row r="291" customHeight="1" spans="1:33">
      <c r="A291" s="2472"/>
      <c r="B291" s="2473"/>
      <c r="C291" s="2286"/>
      <c r="D291" s="2286"/>
      <c r="E291" s="2286"/>
      <c r="F291" s="2286"/>
      <c r="G291" s="2469" t="s">
        <v>10956</v>
      </c>
      <c r="H291" s="2441" t="s">
        <v>10957</v>
      </c>
      <c r="I291" s="2161">
        <v>0</v>
      </c>
      <c r="J291" s="2470">
        <v>20</v>
      </c>
      <c r="K291" s="2161">
        <f t="shared" si="72"/>
        <v>0</v>
      </c>
      <c r="L291" s="2295">
        <v>600000</v>
      </c>
      <c r="M291" s="2295">
        <v>800000</v>
      </c>
      <c r="N291" s="2405">
        <v>800000</v>
      </c>
      <c r="O291" s="2405">
        <v>700000</v>
      </c>
      <c r="P291" s="2405">
        <v>840000</v>
      </c>
      <c r="Q291" s="2405">
        <v>700000</v>
      </c>
      <c r="R291" s="2405">
        <v>700000</v>
      </c>
      <c r="S291" s="2405">
        <v>700000</v>
      </c>
      <c r="T291" s="2405">
        <v>600000</v>
      </c>
      <c r="U291" s="2405">
        <v>700000</v>
      </c>
      <c r="V291" s="2405">
        <v>600000</v>
      </c>
      <c r="W291" s="2405">
        <v>700000</v>
      </c>
      <c r="X291" s="2405">
        <v>600000</v>
      </c>
      <c r="Y291" s="2405">
        <v>800000</v>
      </c>
      <c r="Z291" s="2405">
        <v>700000</v>
      </c>
      <c r="AA291" s="2405">
        <v>600000</v>
      </c>
      <c r="AB291" s="2405">
        <v>500000</v>
      </c>
      <c r="AC291" s="2405">
        <v>250000</v>
      </c>
      <c r="AD291" s="2405">
        <v>400000</v>
      </c>
      <c r="AE291" s="2405">
        <v>400000</v>
      </c>
      <c r="AF291" s="2406">
        <f t="shared" si="71"/>
        <v>12690000</v>
      </c>
      <c r="AG291" s="2292">
        <f t="shared" si="70"/>
        <v>634500</v>
      </c>
    </row>
    <row r="292" customHeight="1" spans="1:33">
      <c r="A292" s="2472"/>
      <c r="B292" s="2473"/>
      <c r="C292" s="2286"/>
      <c r="D292" s="2286"/>
      <c r="E292" s="2286"/>
      <c r="F292" s="2286"/>
      <c r="G292" s="2469" t="s">
        <v>10958</v>
      </c>
      <c r="H292" s="2441" t="s">
        <v>10959</v>
      </c>
      <c r="I292" s="2161">
        <v>0</v>
      </c>
      <c r="J292" s="2470">
        <v>2.369</v>
      </c>
      <c r="K292" s="2161">
        <f t="shared" si="72"/>
        <v>0</v>
      </c>
      <c r="L292" s="2295">
        <v>71070</v>
      </c>
      <c r="M292" s="2295">
        <v>94760</v>
      </c>
      <c r="N292" s="2405">
        <v>94760</v>
      </c>
      <c r="O292" s="2405">
        <v>82915</v>
      </c>
      <c r="P292" s="2405">
        <v>99498</v>
      </c>
      <c r="Q292" s="2405">
        <v>82915</v>
      </c>
      <c r="R292" s="2405">
        <v>82915</v>
      </c>
      <c r="S292" s="2405">
        <v>82915</v>
      </c>
      <c r="T292" s="2405">
        <v>71070</v>
      </c>
      <c r="U292" s="2405">
        <v>82915</v>
      </c>
      <c r="V292" s="2405">
        <v>71070</v>
      </c>
      <c r="W292" s="2405">
        <v>82915</v>
      </c>
      <c r="X292" s="2405">
        <v>71070</v>
      </c>
      <c r="Y292" s="2405">
        <v>94760</v>
      </c>
      <c r="Z292" s="2405">
        <v>82915</v>
      </c>
      <c r="AA292" s="2405">
        <v>71070</v>
      </c>
      <c r="AB292" s="2405">
        <v>59225</v>
      </c>
      <c r="AC292" s="2405">
        <v>29613</v>
      </c>
      <c r="AD292" s="2405">
        <v>47380</v>
      </c>
      <c r="AE292" s="2405">
        <v>47380</v>
      </c>
      <c r="AF292" s="2406">
        <f t="shared" ref="AF292:AF323" si="73">SUM(L292:AE292)</f>
        <v>1503131</v>
      </c>
      <c r="AG292" s="2292">
        <f t="shared" si="70"/>
        <v>634500</v>
      </c>
    </row>
    <row r="293" customHeight="1" spans="1:33">
      <c r="A293" s="2472"/>
      <c r="B293" s="2473"/>
      <c r="C293" s="2286"/>
      <c r="D293" s="2286"/>
      <c r="E293" s="2286"/>
      <c r="F293" s="2286"/>
      <c r="G293" s="2469" t="s">
        <v>10960</v>
      </c>
      <c r="H293" s="2441"/>
      <c r="I293" s="2161">
        <v>0</v>
      </c>
      <c r="J293" s="2470">
        <v>12.875</v>
      </c>
      <c r="K293" s="2161">
        <f t="shared" si="72"/>
        <v>0</v>
      </c>
      <c r="L293" s="2295">
        <v>386250</v>
      </c>
      <c r="M293" s="2295">
        <v>515000</v>
      </c>
      <c r="N293" s="2405">
        <v>515000</v>
      </c>
      <c r="O293" s="2405">
        <v>450625</v>
      </c>
      <c r="P293" s="2405">
        <v>540750</v>
      </c>
      <c r="Q293" s="2405">
        <v>450625</v>
      </c>
      <c r="R293" s="2405">
        <v>450625</v>
      </c>
      <c r="S293" s="2405">
        <v>450625</v>
      </c>
      <c r="T293" s="2405">
        <v>386250</v>
      </c>
      <c r="U293" s="2405">
        <v>450625</v>
      </c>
      <c r="V293" s="2405">
        <v>386250</v>
      </c>
      <c r="W293" s="2405">
        <v>450625</v>
      </c>
      <c r="X293" s="2405">
        <v>386250</v>
      </c>
      <c r="Y293" s="2405">
        <v>515000</v>
      </c>
      <c r="Z293" s="2405">
        <v>450625</v>
      </c>
      <c r="AA293" s="2405">
        <v>386250</v>
      </c>
      <c r="AB293" s="2405">
        <v>321875</v>
      </c>
      <c r="AC293" s="2405">
        <v>160938</v>
      </c>
      <c r="AD293" s="2405">
        <v>257500</v>
      </c>
      <c r="AE293" s="2405">
        <v>257500</v>
      </c>
      <c r="AF293" s="2406">
        <f t="shared" si="73"/>
        <v>8169188</v>
      </c>
      <c r="AG293" s="2292">
        <f t="shared" si="70"/>
        <v>634500</v>
      </c>
    </row>
    <row r="294" customHeight="1" spans="1:33">
      <c r="A294" s="2472"/>
      <c r="B294" s="2473"/>
      <c r="C294" s="2286"/>
      <c r="D294" s="2286"/>
      <c r="E294" s="2286"/>
      <c r="F294" s="2286"/>
      <c r="G294" s="2469" t="s">
        <v>10961</v>
      </c>
      <c r="H294" s="2441"/>
      <c r="I294" s="2161">
        <v>0</v>
      </c>
      <c r="J294" s="2470">
        <v>1</v>
      </c>
      <c r="K294" s="2161">
        <f t="shared" si="72"/>
        <v>0</v>
      </c>
      <c r="L294" s="2295">
        <v>30000</v>
      </c>
      <c r="M294" s="2295">
        <v>40000</v>
      </c>
      <c r="N294" s="2405">
        <v>40000</v>
      </c>
      <c r="O294" s="2405">
        <v>35000</v>
      </c>
      <c r="P294" s="2405">
        <v>42000</v>
      </c>
      <c r="Q294" s="2405">
        <v>35000</v>
      </c>
      <c r="R294" s="2405">
        <v>35000</v>
      </c>
      <c r="S294" s="2405">
        <v>35000</v>
      </c>
      <c r="T294" s="2405">
        <v>30000</v>
      </c>
      <c r="U294" s="2405">
        <v>35000</v>
      </c>
      <c r="V294" s="2405">
        <v>30000</v>
      </c>
      <c r="W294" s="2405">
        <v>35000</v>
      </c>
      <c r="X294" s="2405">
        <v>30000</v>
      </c>
      <c r="Y294" s="2405">
        <v>40000</v>
      </c>
      <c r="Z294" s="2405">
        <v>35000</v>
      </c>
      <c r="AA294" s="2405">
        <v>30000</v>
      </c>
      <c r="AB294" s="2405">
        <v>25000</v>
      </c>
      <c r="AC294" s="2405">
        <v>12500</v>
      </c>
      <c r="AD294" s="2405">
        <v>20000</v>
      </c>
      <c r="AE294" s="2405">
        <v>20000</v>
      </c>
      <c r="AF294" s="2406">
        <f t="shared" si="73"/>
        <v>634500</v>
      </c>
      <c r="AG294" s="2292">
        <f t="shared" si="70"/>
        <v>634500</v>
      </c>
    </row>
    <row r="295" customHeight="1" spans="1:33">
      <c r="A295" s="2472"/>
      <c r="B295" s="2485"/>
      <c r="C295" s="2299"/>
      <c r="D295" s="2299"/>
      <c r="E295" s="2299"/>
      <c r="F295" s="2299"/>
      <c r="G295" s="2486" t="s">
        <v>10650</v>
      </c>
      <c r="H295" s="2487" t="s">
        <v>10650</v>
      </c>
      <c r="I295" s="2171">
        <v>0</v>
      </c>
      <c r="J295" s="2488">
        <v>1</v>
      </c>
      <c r="K295" s="2171">
        <f t="shared" si="72"/>
        <v>0</v>
      </c>
      <c r="L295" s="2302">
        <v>30000</v>
      </c>
      <c r="M295" s="2302">
        <v>40000</v>
      </c>
      <c r="N295" s="2302">
        <v>40000</v>
      </c>
      <c r="O295" s="2302">
        <v>35000</v>
      </c>
      <c r="P295" s="2302">
        <v>42000</v>
      </c>
      <c r="Q295" s="2302">
        <v>35000</v>
      </c>
      <c r="R295" s="2302">
        <v>35000</v>
      </c>
      <c r="S295" s="2302">
        <v>35000</v>
      </c>
      <c r="T295" s="2302">
        <v>30000</v>
      </c>
      <c r="U295" s="2302">
        <v>35000</v>
      </c>
      <c r="V295" s="2438">
        <v>30000</v>
      </c>
      <c r="W295" s="2438">
        <v>35000</v>
      </c>
      <c r="X295" s="2438">
        <v>30000</v>
      </c>
      <c r="Y295" s="2438">
        <v>40000</v>
      </c>
      <c r="Z295" s="2438">
        <v>35000</v>
      </c>
      <c r="AA295" s="2438">
        <v>30000</v>
      </c>
      <c r="AB295" s="2438">
        <v>25000</v>
      </c>
      <c r="AC295" s="2438">
        <v>12500</v>
      </c>
      <c r="AD295" s="2438">
        <v>20000</v>
      </c>
      <c r="AE295" s="2438">
        <v>20000</v>
      </c>
      <c r="AF295" s="2406">
        <f t="shared" si="73"/>
        <v>634500</v>
      </c>
      <c r="AG295" s="2304">
        <f t="shared" si="70"/>
        <v>634500</v>
      </c>
    </row>
    <row r="296" customHeight="1" spans="1:33">
      <c r="A296" s="2472"/>
      <c r="B296" s="2525" t="s">
        <v>10974</v>
      </c>
      <c r="C296" s="2394">
        <v>10</v>
      </c>
      <c r="D296" s="2490"/>
      <c r="E296" s="2490"/>
      <c r="F296" s="2490"/>
      <c r="G296" s="2491" t="s">
        <v>10904</v>
      </c>
      <c r="H296" s="2492" t="s">
        <v>10685</v>
      </c>
      <c r="I296" s="2221">
        <v>0</v>
      </c>
      <c r="J296" s="2493">
        <v>0.050882</v>
      </c>
      <c r="K296" s="2221">
        <f t="shared" si="72"/>
        <v>0</v>
      </c>
      <c r="L296" s="2404">
        <v>1527</v>
      </c>
      <c r="M296" s="2404">
        <v>2035</v>
      </c>
      <c r="N296" s="2404">
        <v>2036</v>
      </c>
      <c r="O296" s="2404">
        <v>1780</v>
      </c>
      <c r="P296" s="2404">
        <v>2137</v>
      </c>
      <c r="Q296" s="2404">
        <v>1781</v>
      </c>
      <c r="R296" s="2404">
        <v>1781</v>
      </c>
      <c r="S296" s="2404">
        <v>1781</v>
      </c>
      <c r="T296" s="2404">
        <v>1527</v>
      </c>
      <c r="U296" s="2404">
        <v>1628</v>
      </c>
      <c r="V296" s="2404">
        <v>1526</v>
      </c>
      <c r="W296" s="2404">
        <v>1527</v>
      </c>
      <c r="X296" s="2404">
        <v>1526</v>
      </c>
      <c r="Y296" s="2404">
        <v>2035</v>
      </c>
      <c r="Z296" s="2404">
        <v>1272</v>
      </c>
      <c r="AA296" s="2404">
        <v>1527</v>
      </c>
      <c r="AB296" s="2404">
        <v>1526</v>
      </c>
      <c r="AC296" s="2404">
        <v>636</v>
      </c>
      <c r="AD296" s="2404">
        <v>1018</v>
      </c>
      <c r="AE296" s="2404">
        <v>1018</v>
      </c>
      <c r="AF296" s="2406">
        <f t="shared" si="73"/>
        <v>31624</v>
      </c>
      <c r="AG296" s="2407">
        <f t="shared" si="70"/>
        <v>621516</v>
      </c>
    </row>
    <row r="297" customHeight="1" spans="1:33">
      <c r="A297" s="2472"/>
      <c r="B297" s="2525"/>
      <c r="C297" s="2394"/>
      <c r="D297" s="2286"/>
      <c r="E297" s="2286"/>
      <c r="F297" s="2286"/>
      <c r="G297" s="2469" t="s">
        <v>10904</v>
      </c>
      <c r="H297" s="2441" t="s">
        <v>10685</v>
      </c>
      <c r="I297" s="2161">
        <v>0</v>
      </c>
      <c r="J297" s="2470">
        <v>0.011021</v>
      </c>
      <c r="K297" s="2161">
        <f t="shared" si="72"/>
        <v>0</v>
      </c>
      <c r="L297" s="2295">
        <v>331</v>
      </c>
      <c r="M297" s="2295">
        <v>441</v>
      </c>
      <c r="N297" s="2405">
        <v>441</v>
      </c>
      <c r="O297" s="2405">
        <v>386</v>
      </c>
      <c r="P297" s="2405">
        <v>462</v>
      </c>
      <c r="Q297" s="2405">
        <v>386</v>
      </c>
      <c r="R297" s="2405">
        <v>386</v>
      </c>
      <c r="S297" s="2405">
        <v>386</v>
      </c>
      <c r="T297" s="2405">
        <v>330</v>
      </c>
      <c r="U297" s="2405">
        <v>353</v>
      </c>
      <c r="V297" s="2405">
        <v>331</v>
      </c>
      <c r="W297" s="2405">
        <v>330</v>
      </c>
      <c r="X297" s="2405">
        <v>331</v>
      </c>
      <c r="Y297" s="2405">
        <v>441</v>
      </c>
      <c r="Z297" s="2405">
        <v>275</v>
      </c>
      <c r="AA297" s="2405">
        <v>331</v>
      </c>
      <c r="AB297" s="2405">
        <v>330</v>
      </c>
      <c r="AC297" s="2405">
        <v>138</v>
      </c>
      <c r="AD297" s="2405">
        <v>221</v>
      </c>
      <c r="AE297" s="2405">
        <v>220</v>
      </c>
      <c r="AF297" s="2406">
        <f t="shared" si="73"/>
        <v>6850</v>
      </c>
      <c r="AG297" s="2292">
        <f t="shared" si="70"/>
        <v>621541</v>
      </c>
    </row>
    <row r="298" customHeight="1" spans="1:33">
      <c r="A298" s="2472"/>
      <c r="B298" s="2525"/>
      <c r="C298" s="2394"/>
      <c r="D298" s="2286"/>
      <c r="E298" s="2286"/>
      <c r="F298" s="2286"/>
      <c r="G298" s="2522" t="s">
        <v>10975</v>
      </c>
      <c r="H298" s="2441"/>
      <c r="I298" s="2161">
        <v>500</v>
      </c>
      <c r="J298" s="2523">
        <v>0.019</v>
      </c>
      <c r="K298" s="2161">
        <f t="shared" si="72"/>
        <v>26316</v>
      </c>
      <c r="L298" s="2295">
        <v>570</v>
      </c>
      <c r="M298" s="2295">
        <v>760</v>
      </c>
      <c r="N298" s="2405">
        <v>760</v>
      </c>
      <c r="O298" s="2405">
        <v>665</v>
      </c>
      <c r="P298" s="2405">
        <v>798</v>
      </c>
      <c r="Q298" s="2405">
        <v>665</v>
      </c>
      <c r="R298" s="2405">
        <v>665</v>
      </c>
      <c r="S298" s="2405">
        <v>665</v>
      </c>
      <c r="T298" s="2405">
        <v>0</v>
      </c>
      <c r="U298" s="2405">
        <v>0</v>
      </c>
      <c r="V298" s="2405"/>
      <c r="W298" s="2405">
        <v>0</v>
      </c>
      <c r="X298" s="2405">
        <v>2888</v>
      </c>
      <c r="Y298" s="2405">
        <v>760</v>
      </c>
      <c r="Z298" s="2405">
        <v>0</v>
      </c>
      <c r="AA298" s="2405">
        <v>0</v>
      </c>
      <c r="AB298" s="2405">
        <v>0</v>
      </c>
      <c r="AC298" s="2405">
        <v>0</v>
      </c>
      <c r="AD298" s="2405">
        <v>0</v>
      </c>
      <c r="AE298" s="2405">
        <v>0</v>
      </c>
      <c r="AF298" s="2406">
        <f t="shared" si="73"/>
        <v>9196</v>
      </c>
      <c r="AG298" s="2292">
        <f t="shared" si="70"/>
        <v>484000</v>
      </c>
    </row>
    <row r="299" customHeight="1" spans="1:33">
      <c r="A299" s="2472"/>
      <c r="B299" s="2525"/>
      <c r="C299" s="2394"/>
      <c r="D299" s="2286"/>
      <c r="E299" s="2286"/>
      <c r="F299" s="2286"/>
      <c r="G299" s="2524" t="s">
        <v>10976</v>
      </c>
      <c r="H299" s="2441"/>
      <c r="I299" s="2161">
        <v>500</v>
      </c>
      <c r="J299" s="2523">
        <v>0.0156</v>
      </c>
      <c r="K299" s="2161">
        <f t="shared" si="72"/>
        <v>32051</v>
      </c>
      <c r="L299" s="2295"/>
      <c r="M299" s="2295"/>
      <c r="N299" s="2405"/>
      <c r="O299" s="2405"/>
      <c r="P299" s="2405"/>
      <c r="Q299" s="2405"/>
      <c r="R299" s="2405"/>
      <c r="S299" s="2405"/>
      <c r="T299" s="2405">
        <v>468</v>
      </c>
      <c r="U299" s="2405">
        <v>500</v>
      </c>
      <c r="V299" s="2405">
        <v>468</v>
      </c>
      <c r="W299" s="2405">
        <v>500</v>
      </c>
      <c r="X299" s="2405"/>
      <c r="Y299" s="2405">
        <v>1060</v>
      </c>
      <c r="Z299" s="2405">
        <v>390</v>
      </c>
      <c r="AA299" s="2405">
        <v>468</v>
      </c>
      <c r="AB299" s="2405">
        <v>468</v>
      </c>
      <c r="AC299" s="2405">
        <v>195</v>
      </c>
      <c r="AD299" s="2405">
        <v>312</v>
      </c>
      <c r="AE299" s="2405">
        <v>312</v>
      </c>
      <c r="AF299" s="2406">
        <f t="shared" si="73"/>
        <v>5141</v>
      </c>
      <c r="AG299" s="2292">
        <f t="shared" si="70"/>
        <v>329551</v>
      </c>
    </row>
    <row r="300" customHeight="1" spans="1:33">
      <c r="A300" s="2472"/>
      <c r="B300" s="2525"/>
      <c r="C300" s="2394"/>
      <c r="D300" s="2286"/>
      <c r="E300" s="2286"/>
      <c r="F300" s="2286"/>
      <c r="G300" s="2469" t="s">
        <v>10977</v>
      </c>
      <c r="H300" s="2441"/>
      <c r="I300" s="2161">
        <v>500</v>
      </c>
      <c r="J300" s="2470">
        <v>0.002369</v>
      </c>
      <c r="K300" s="2161">
        <f t="shared" si="72"/>
        <v>211060</v>
      </c>
      <c r="L300" s="2290">
        <v>500</v>
      </c>
      <c r="M300" s="2290"/>
      <c r="N300" s="2439"/>
      <c r="O300" s="2439"/>
      <c r="P300" s="2439"/>
      <c r="Q300" s="2439">
        <v>500</v>
      </c>
      <c r="R300" s="2439"/>
      <c r="S300" s="2439"/>
      <c r="T300" s="2439"/>
      <c r="U300" s="2439"/>
      <c r="V300" s="2439"/>
      <c r="W300" s="2439"/>
      <c r="X300" s="2439">
        <v>52</v>
      </c>
      <c r="Y300" s="2439">
        <v>95</v>
      </c>
      <c r="Z300" s="2439">
        <v>59</v>
      </c>
      <c r="AA300" s="2439">
        <v>71</v>
      </c>
      <c r="AB300" s="2439">
        <v>71</v>
      </c>
      <c r="AC300" s="2439">
        <v>30</v>
      </c>
      <c r="AD300" s="2439">
        <v>47</v>
      </c>
      <c r="AE300" s="2439">
        <v>48</v>
      </c>
      <c r="AF300" s="2406">
        <f t="shared" si="73"/>
        <v>1473</v>
      </c>
      <c r="AG300" s="2292">
        <f t="shared" si="70"/>
        <v>621781</v>
      </c>
    </row>
    <row r="301" customHeight="1" spans="1:33">
      <c r="A301" s="2472"/>
      <c r="B301" s="2525"/>
      <c r="C301" s="2394"/>
      <c r="D301" s="2286"/>
      <c r="E301" s="2286"/>
      <c r="F301" s="2286"/>
      <c r="G301" s="2524" t="s">
        <v>10978</v>
      </c>
      <c r="H301" s="2441"/>
      <c r="I301" s="2161">
        <v>0</v>
      </c>
      <c r="J301" s="2470">
        <v>0.0041</v>
      </c>
      <c r="K301" s="2161">
        <f t="shared" si="72"/>
        <v>0</v>
      </c>
      <c r="L301" s="2290"/>
      <c r="M301" s="2290"/>
      <c r="N301" s="2439"/>
      <c r="O301" s="2439"/>
      <c r="P301" s="2439"/>
      <c r="Q301" s="2439"/>
      <c r="R301" s="2439"/>
      <c r="S301" s="2439"/>
      <c r="T301" s="2439">
        <v>123</v>
      </c>
      <c r="U301" s="2439">
        <v>132</v>
      </c>
      <c r="V301" s="2439">
        <v>123</v>
      </c>
      <c r="W301" s="2439">
        <v>123</v>
      </c>
      <c r="X301" s="2439"/>
      <c r="Y301" s="2439">
        <v>287</v>
      </c>
      <c r="Z301" s="2439">
        <v>102</v>
      </c>
      <c r="AA301" s="2439">
        <v>123</v>
      </c>
      <c r="AB301" s="2439">
        <v>123</v>
      </c>
      <c r="AC301" s="2439">
        <v>51</v>
      </c>
      <c r="AD301" s="2439">
        <v>82</v>
      </c>
      <c r="AE301" s="2439">
        <v>82</v>
      </c>
      <c r="AF301" s="2406">
        <f t="shared" si="73"/>
        <v>1351</v>
      </c>
      <c r="AG301" s="2292">
        <f t="shared" si="70"/>
        <v>329512</v>
      </c>
    </row>
    <row r="302" customHeight="1" spans="1:33">
      <c r="A302" s="2472"/>
      <c r="B302" s="2525"/>
      <c r="C302" s="2394"/>
      <c r="D302" s="2286"/>
      <c r="E302" s="2286"/>
      <c r="F302" s="2286"/>
      <c r="G302" s="2469" t="s">
        <v>9106</v>
      </c>
      <c r="H302" s="2441" t="s">
        <v>10890</v>
      </c>
      <c r="I302" s="2161">
        <v>0</v>
      </c>
      <c r="J302" s="2470">
        <v>2</v>
      </c>
      <c r="K302" s="2161">
        <f t="shared" si="72"/>
        <v>0</v>
      </c>
      <c r="L302" s="2295">
        <v>60000</v>
      </c>
      <c r="M302" s="2295">
        <v>80000</v>
      </c>
      <c r="N302" s="2405">
        <v>80000</v>
      </c>
      <c r="O302" s="2405">
        <v>70000</v>
      </c>
      <c r="P302" s="2405">
        <v>84000</v>
      </c>
      <c r="Q302" s="2405">
        <v>70000</v>
      </c>
      <c r="R302" s="2405">
        <v>70000</v>
      </c>
      <c r="S302" s="2405">
        <v>70000</v>
      </c>
      <c r="T302" s="2405">
        <v>60000</v>
      </c>
      <c r="U302" s="2405">
        <v>64000</v>
      </c>
      <c r="V302" s="2405">
        <v>60000</v>
      </c>
      <c r="W302" s="2405">
        <v>60000</v>
      </c>
      <c r="X302" s="2405">
        <v>60000</v>
      </c>
      <c r="Y302" s="2405">
        <v>80000</v>
      </c>
      <c r="Z302" s="2405">
        <v>50000</v>
      </c>
      <c r="AA302" s="2405">
        <v>60000</v>
      </c>
      <c r="AB302" s="2405">
        <v>60000</v>
      </c>
      <c r="AC302" s="2405">
        <v>25000</v>
      </c>
      <c r="AD302" s="2405">
        <v>40000</v>
      </c>
      <c r="AE302" s="2405">
        <v>40000</v>
      </c>
      <c r="AF302" s="2406">
        <f t="shared" si="73"/>
        <v>1243000</v>
      </c>
      <c r="AG302" s="2292">
        <f t="shared" si="70"/>
        <v>621500</v>
      </c>
    </row>
    <row r="303" customHeight="1" spans="1:33">
      <c r="A303" s="2472"/>
      <c r="B303" s="2525"/>
      <c r="C303" s="2394"/>
      <c r="D303" s="2286"/>
      <c r="E303" s="2286"/>
      <c r="F303" s="2286"/>
      <c r="G303" s="2469" t="s">
        <v>10956</v>
      </c>
      <c r="H303" s="2441" t="s">
        <v>10957</v>
      </c>
      <c r="I303" s="2161">
        <v>0</v>
      </c>
      <c r="J303" s="2470">
        <v>20</v>
      </c>
      <c r="K303" s="2161">
        <f t="shared" si="72"/>
        <v>0</v>
      </c>
      <c r="L303" s="2295">
        <v>600000</v>
      </c>
      <c r="M303" s="2295">
        <v>800000</v>
      </c>
      <c r="N303" s="2405">
        <v>800000</v>
      </c>
      <c r="O303" s="2405">
        <v>700000</v>
      </c>
      <c r="P303" s="2405">
        <v>840000</v>
      </c>
      <c r="Q303" s="2405">
        <v>700000</v>
      </c>
      <c r="R303" s="2405">
        <v>700000</v>
      </c>
      <c r="S303" s="2405">
        <v>700000</v>
      </c>
      <c r="T303" s="2405">
        <v>600000</v>
      </c>
      <c r="U303" s="2405">
        <v>640000</v>
      </c>
      <c r="V303" s="2405">
        <v>600000</v>
      </c>
      <c r="W303" s="2405">
        <v>600000</v>
      </c>
      <c r="X303" s="2405">
        <v>600000</v>
      </c>
      <c r="Y303" s="2405">
        <v>800000</v>
      </c>
      <c r="Z303" s="2405">
        <v>500000</v>
      </c>
      <c r="AA303" s="2405">
        <v>600000</v>
      </c>
      <c r="AB303" s="2405">
        <v>600000</v>
      </c>
      <c r="AC303" s="2405">
        <v>250000</v>
      </c>
      <c r="AD303" s="2405">
        <v>400000</v>
      </c>
      <c r="AE303" s="2405">
        <v>400000</v>
      </c>
      <c r="AF303" s="2406">
        <f t="shared" si="73"/>
        <v>12430000</v>
      </c>
      <c r="AG303" s="2292">
        <f t="shared" si="70"/>
        <v>621500</v>
      </c>
    </row>
    <row r="304" customHeight="1" spans="1:33">
      <c r="A304" s="2472"/>
      <c r="B304" s="2525"/>
      <c r="C304" s="2394"/>
      <c r="D304" s="2286"/>
      <c r="E304" s="2286"/>
      <c r="F304" s="2286"/>
      <c r="G304" s="2469" t="s">
        <v>10958</v>
      </c>
      <c r="H304" s="2441" t="s">
        <v>10959</v>
      </c>
      <c r="I304" s="2161">
        <v>0</v>
      </c>
      <c r="J304" s="2470">
        <v>2.369</v>
      </c>
      <c r="K304" s="2161">
        <f t="shared" si="72"/>
        <v>0</v>
      </c>
      <c r="L304" s="2295">
        <v>71070</v>
      </c>
      <c r="M304" s="2295">
        <v>94760</v>
      </c>
      <c r="N304" s="2405">
        <v>94760</v>
      </c>
      <c r="O304" s="2405">
        <v>82915</v>
      </c>
      <c r="P304" s="2405">
        <v>99498</v>
      </c>
      <c r="Q304" s="2405">
        <v>82915</v>
      </c>
      <c r="R304" s="2405">
        <v>82915</v>
      </c>
      <c r="S304" s="2405">
        <v>82915</v>
      </c>
      <c r="T304" s="2405">
        <v>71070</v>
      </c>
      <c r="U304" s="2405">
        <v>75808</v>
      </c>
      <c r="V304" s="2405">
        <v>71070</v>
      </c>
      <c r="W304" s="2405">
        <v>71070</v>
      </c>
      <c r="X304" s="2405">
        <v>71070</v>
      </c>
      <c r="Y304" s="2405">
        <v>94760</v>
      </c>
      <c r="Z304" s="2405">
        <v>59225</v>
      </c>
      <c r="AA304" s="2405">
        <v>71070</v>
      </c>
      <c r="AB304" s="2405">
        <v>71070</v>
      </c>
      <c r="AC304" s="2405">
        <v>29613</v>
      </c>
      <c r="AD304" s="2405">
        <v>47380</v>
      </c>
      <c r="AE304" s="2405">
        <v>47380</v>
      </c>
      <c r="AF304" s="2406">
        <f t="shared" si="73"/>
        <v>1472334</v>
      </c>
      <c r="AG304" s="2292">
        <f t="shared" si="70"/>
        <v>621500</v>
      </c>
    </row>
    <row r="305" customHeight="1" spans="1:33">
      <c r="A305" s="2472"/>
      <c r="B305" s="2525"/>
      <c r="C305" s="2394"/>
      <c r="D305" s="2286"/>
      <c r="E305" s="2286"/>
      <c r="F305" s="2286"/>
      <c r="G305" s="2469" t="s">
        <v>10960</v>
      </c>
      <c r="H305" s="2441"/>
      <c r="I305" s="2161">
        <v>0</v>
      </c>
      <c r="J305" s="2470">
        <v>12.875</v>
      </c>
      <c r="K305" s="2161">
        <f t="shared" si="72"/>
        <v>0</v>
      </c>
      <c r="L305" s="2295">
        <v>386250</v>
      </c>
      <c r="M305" s="2295">
        <v>515000</v>
      </c>
      <c r="N305" s="2405">
        <v>515000</v>
      </c>
      <c r="O305" s="2405">
        <v>450625</v>
      </c>
      <c r="P305" s="2405">
        <v>540750</v>
      </c>
      <c r="Q305" s="2405">
        <v>450625</v>
      </c>
      <c r="R305" s="2405">
        <v>450625</v>
      </c>
      <c r="S305" s="2405">
        <v>450625</v>
      </c>
      <c r="T305" s="2405">
        <v>386250</v>
      </c>
      <c r="U305" s="2405">
        <v>412000</v>
      </c>
      <c r="V305" s="2405">
        <v>386250</v>
      </c>
      <c r="W305" s="2405">
        <v>386250</v>
      </c>
      <c r="X305" s="2405">
        <v>386250</v>
      </c>
      <c r="Y305" s="2405">
        <v>515000</v>
      </c>
      <c r="Z305" s="2405">
        <v>321875</v>
      </c>
      <c r="AA305" s="2405">
        <v>386250</v>
      </c>
      <c r="AB305" s="2405">
        <v>386250</v>
      </c>
      <c r="AC305" s="2405">
        <v>160938</v>
      </c>
      <c r="AD305" s="2405">
        <v>257500</v>
      </c>
      <c r="AE305" s="2405">
        <v>257500</v>
      </c>
      <c r="AF305" s="2406">
        <f t="shared" si="73"/>
        <v>8001813</v>
      </c>
      <c r="AG305" s="2292">
        <f t="shared" si="70"/>
        <v>621500</v>
      </c>
    </row>
    <row r="306" customHeight="1" spans="1:33">
      <c r="A306" s="2472"/>
      <c r="B306" s="2525"/>
      <c r="C306" s="2394"/>
      <c r="D306" s="2286"/>
      <c r="E306" s="2286"/>
      <c r="F306" s="2286"/>
      <c r="G306" s="2469" t="s">
        <v>10961</v>
      </c>
      <c r="H306" s="2441"/>
      <c r="I306" s="2161">
        <v>0</v>
      </c>
      <c r="J306" s="2470">
        <v>1</v>
      </c>
      <c r="K306" s="2161">
        <f t="shared" si="72"/>
        <v>0</v>
      </c>
      <c r="L306" s="2295">
        <v>30000</v>
      </c>
      <c r="M306" s="2295">
        <v>40000</v>
      </c>
      <c r="N306" s="2405">
        <v>40000</v>
      </c>
      <c r="O306" s="2405">
        <v>35000</v>
      </c>
      <c r="P306" s="2405">
        <v>42000</v>
      </c>
      <c r="Q306" s="2405">
        <v>35000</v>
      </c>
      <c r="R306" s="2405">
        <v>35000</v>
      </c>
      <c r="S306" s="2405">
        <v>35000</v>
      </c>
      <c r="T306" s="2405">
        <v>30000</v>
      </c>
      <c r="U306" s="2405">
        <v>32000</v>
      </c>
      <c r="V306" s="2405">
        <v>30000</v>
      </c>
      <c r="W306" s="2405">
        <v>30000</v>
      </c>
      <c r="X306" s="2405">
        <v>30000</v>
      </c>
      <c r="Y306" s="2405">
        <v>40000</v>
      </c>
      <c r="Z306" s="2405">
        <v>25000</v>
      </c>
      <c r="AA306" s="2405">
        <v>30000</v>
      </c>
      <c r="AB306" s="2405">
        <v>30000</v>
      </c>
      <c r="AC306" s="2405">
        <v>12500</v>
      </c>
      <c r="AD306" s="2405">
        <v>20000</v>
      </c>
      <c r="AE306" s="2405">
        <v>20000</v>
      </c>
      <c r="AF306" s="2406">
        <f t="shared" si="73"/>
        <v>621500</v>
      </c>
      <c r="AG306" s="2292">
        <f t="shared" si="70"/>
        <v>621500</v>
      </c>
    </row>
    <row r="307" customHeight="1" spans="1:33">
      <c r="A307" s="2472"/>
      <c r="B307" s="2526"/>
      <c r="C307" s="2398"/>
      <c r="D307" s="2286"/>
      <c r="E307" s="2286"/>
      <c r="F307" s="2286"/>
      <c r="G307" s="2486" t="s">
        <v>10650</v>
      </c>
      <c r="H307" s="2487" t="s">
        <v>10650</v>
      </c>
      <c r="I307" s="2171">
        <v>0</v>
      </c>
      <c r="J307" s="2488">
        <v>1</v>
      </c>
      <c r="K307" s="2171">
        <f t="shared" si="72"/>
        <v>0</v>
      </c>
      <c r="L307" s="2302">
        <v>30000</v>
      </c>
      <c r="M307" s="2302">
        <v>40000</v>
      </c>
      <c r="N307" s="2302">
        <v>40000</v>
      </c>
      <c r="O307" s="2302">
        <v>35000</v>
      </c>
      <c r="P307" s="2302">
        <v>42000</v>
      </c>
      <c r="Q307" s="2302">
        <v>35000</v>
      </c>
      <c r="R307" s="2302">
        <v>35000</v>
      </c>
      <c r="S307" s="2302">
        <v>35000</v>
      </c>
      <c r="T307" s="2302">
        <v>30000</v>
      </c>
      <c r="U307" s="2302">
        <v>32000</v>
      </c>
      <c r="V307" s="2438">
        <v>30000</v>
      </c>
      <c r="W307" s="2438">
        <v>30000</v>
      </c>
      <c r="X307" s="2438">
        <v>30000</v>
      </c>
      <c r="Y307" s="2438">
        <v>40000</v>
      </c>
      <c r="Z307" s="2438">
        <v>25000</v>
      </c>
      <c r="AA307" s="2438">
        <v>30000</v>
      </c>
      <c r="AB307" s="2438">
        <v>30000</v>
      </c>
      <c r="AC307" s="2438">
        <v>12500</v>
      </c>
      <c r="AD307" s="2438">
        <v>20000</v>
      </c>
      <c r="AE307" s="2438">
        <v>20000</v>
      </c>
      <c r="AF307" s="2406">
        <f t="shared" si="73"/>
        <v>621500</v>
      </c>
      <c r="AG307" s="2304">
        <f t="shared" si="70"/>
        <v>621500</v>
      </c>
    </row>
    <row r="308" customHeight="1" spans="1:33">
      <c r="A308" s="2472"/>
      <c r="B308" s="2527" t="s">
        <v>10979</v>
      </c>
      <c r="C308" s="2394">
        <v>10</v>
      </c>
      <c r="D308" s="2299"/>
      <c r="E308" s="2299"/>
      <c r="F308" s="2299"/>
      <c r="G308" s="2491" t="s">
        <v>10904</v>
      </c>
      <c r="H308" s="2492" t="s">
        <v>10685</v>
      </c>
      <c r="I308" s="2528">
        <v>0</v>
      </c>
      <c r="J308" s="2529">
        <v>0.018334</v>
      </c>
      <c r="K308" s="2221">
        <f t="shared" si="72"/>
        <v>0</v>
      </c>
      <c r="L308" s="2405">
        <v>551</v>
      </c>
      <c r="M308" s="2405">
        <v>733</v>
      </c>
      <c r="N308" s="2405">
        <v>733</v>
      </c>
      <c r="O308" s="2405">
        <v>642</v>
      </c>
      <c r="P308" s="2405">
        <v>770</v>
      </c>
      <c r="Q308" s="2405">
        <v>642</v>
      </c>
      <c r="R308" s="2405">
        <v>641</v>
      </c>
      <c r="S308" s="2405">
        <v>642</v>
      </c>
      <c r="T308" s="2405">
        <v>550</v>
      </c>
      <c r="U308" s="2405">
        <v>587</v>
      </c>
      <c r="V308" s="2405">
        <v>550</v>
      </c>
      <c r="W308" s="2405">
        <v>641</v>
      </c>
      <c r="X308" s="2405">
        <v>550</v>
      </c>
      <c r="Y308" s="2405">
        <v>734</v>
      </c>
      <c r="Z308" s="2405">
        <v>550</v>
      </c>
      <c r="AA308" s="2405">
        <v>550</v>
      </c>
      <c r="AB308" s="2405">
        <v>550</v>
      </c>
      <c r="AC308" s="2405">
        <v>229</v>
      </c>
      <c r="AD308" s="2405">
        <v>367</v>
      </c>
      <c r="AE308" s="2405">
        <v>366</v>
      </c>
      <c r="AF308" s="2406">
        <f t="shared" si="73"/>
        <v>11578</v>
      </c>
      <c r="AG308" s="2292">
        <f t="shared" si="70"/>
        <v>631504</v>
      </c>
    </row>
    <row r="309" customHeight="1" spans="1:33">
      <c r="A309" s="2472"/>
      <c r="B309" s="2527"/>
      <c r="C309" s="2394"/>
      <c r="D309" s="2286"/>
      <c r="E309" s="2286"/>
      <c r="F309" s="2286"/>
      <c r="G309" s="2469" t="s">
        <v>10906</v>
      </c>
      <c r="H309" s="2441" t="s">
        <v>10980</v>
      </c>
      <c r="I309" s="2161">
        <v>800</v>
      </c>
      <c r="J309" s="2470">
        <v>0.016995</v>
      </c>
      <c r="K309" s="2161">
        <f t="shared" si="72"/>
        <v>47073</v>
      </c>
      <c r="L309" s="2405">
        <v>800</v>
      </c>
      <c r="M309" s="2405">
        <v>390</v>
      </c>
      <c r="N309" s="2405">
        <v>680</v>
      </c>
      <c r="O309" s="2439">
        <v>800</v>
      </c>
      <c r="P309" s="2439">
        <v>800</v>
      </c>
      <c r="Q309" s="2439">
        <v>303</v>
      </c>
      <c r="R309" s="2439">
        <v>800</v>
      </c>
      <c r="S309" s="2439">
        <v>390</v>
      </c>
      <c r="T309" s="2439">
        <v>510</v>
      </c>
      <c r="U309" s="2439">
        <v>544</v>
      </c>
      <c r="V309" s="2439">
        <v>510</v>
      </c>
      <c r="W309" s="2439">
        <v>594</v>
      </c>
      <c r="X309" s="2439">
        <v>510</v>
      </c>
      <c r="Y309" s="2439">
        <v>680</v>
      </c>
      <c r="Z309" s="2439">
        <v>510</v>
      </c>
      <c r="AA309" s="2439">
        <v>510</v>
      </c>
      <c r="AB309" s="2439">
        <v>510</v>
      </c>
      <c r="AC309" s="2439">
        <v>212</v>
      </c>
      <c r="AD309" s="2439">
        <v>340</v>
      </c>
      <c r="AE309" s="2439">
        <v>340</v>
      </c>
      <c r="AF309" s="2406">
        <f t="shared" si="73"/>
        <v>10733</v>
      </c>
      <c r="AG309" s="2292">
        <f t="shared" si="70"/>
        <v>631539</v>
      </c>
    </row>
    <row r="310" customHeight="1" spans="1:33">
      <c r="A310" s="2472"/>
      <c r="B310" s="2527"/>
      <c r="C310" s="2394"/>
      <c r="D310" s="2286"/>
      <c r="E310" s="2286"/>
      <c r="F310" s="2286"/>
      <c r="G310" s="2469" t="s">
        <v>10904</v>
      </c>
      <c r="H310" s="2441" t="s">
        <v>10685</v>
      </c>
      <c r="I310" s="2161">
        <v>0</v>
      </c>
      <c r="J310" s="2470">
        <v>0.026677</v>
      </c>
      <c r="K310" s="2161">
        <f t="shared" si="72"/>
        <v>0</v>
      </c>
      <c r="L310" s="2295">
        <v>801</v>
      </c>
      <c r="M310" s="2295">
        <v>1067</v>
      </c>
      <c r="N310" s="2405">
        <v>1067</v>
      </c>
      <c r="O310" s="2405">
        <v>934</v>
      </c>
      <c r="P310" s="2405">
        <v>1120</v>
      </c>
      <c r="Q310" s="2405">
        <v>934</v>
      </c>
      <c r="R310" s="2405">
        <v>933</v>
      </c>
      <c r="S310" s="2405">
        <v>934</v>
      </c>
      <c r="T310" s="2405">
        <v>800</v>
      </c>
      <c r="U310" s="2405">
        <v>854</v>
      </c>
      <c r="V310" s="2405">
        <v>800</v>
      </c>
      <c r="W310" s="2405">
        <v>934</v>
      </c>
      <c r="X310" s="2405">
        <v>800</v>
      </c>
      <c r="Y310" s="2405">
        <v>1068</v>
      </c>
      <c r="Z310" s="2405">
        <v>800</v>
      </c>
      <c r="AA310" s="2405">
        <v>800</v>
      </c>
      <c r="AB310" s="2405">
        <v>800</v>
      </c>
      <c r="AC310" s="2405">
        <v>334</v>
      </c>
      <c r="AD310" s="2405">
        <v>533</v>
      </c>
      <c r="AE310" s="2405">
        <v>534</v>
      </c>
      <c r="AF310" s="2406">
        <f t="shared" si="73"/>
        <v>16847</v>
      </c>
      <c r="AG310" s="2292">
        <f t="shared" si="70"/>
        <v>631518</v>
      </c>
    </row>
    <row r="311" customHeight="1" spans="1:33">
      <c r="A311" s="2472"/>
      <c r="B311" s="2527"/>
      <c r="C311" s="2394"/>
      <c r="D311" s="2286"/>
      <c r="E311" s="2286"/>
      <c r="F311" s="2286"/>
      <c r="G311" s="2522" t="s">
        <v>10969</v>
      </c>
      <c r="H311" s="2441" t="s">
        <v>10970</v>
      </c>
      <c r="I311" s="2161">
        <v>500</v>
      </c>
      <c r="J311" s="2523">
        <v>0.019</v>
      </c>
      <c r="K311" s="2161">
        <f t="shared" si="72"/>
        <v>26316</v>
      </c>
      <c r="L311" s="2295">
        <v>570</v>
      </c>
      <c r="M311" s="2295">
        <v>760</v>
      </c>
      <c r="N311" s="2405">
        <v>760</v>
      </c>
      <c r="O311" s="2405">
        <v>665</v>
      </c>
      <c r="P311" s="2405">
        <v>798</v>
      </c>
      <c r="Q311" s="2405">
        <v>665</v>
      </c>
      <c r="R311" s="2405">
        <v>665</v>
      </c>
      <c r="S311" s="2405">
        <v>665</v>
      </c>
      <c r="T311" s="2405">
        <v>0</v>
      </c>
      <c r="U311" s="2405">
        <v>0</v>
      </c>
      <c r="V311" s="2405"/>
      <c r="W311" s="2405">
        <v>0</v>
      </c>
      <c r="X311" s="2405">
        <v>0</v>
      </c>
      <c r="Y311" s="2405">
        <v>3743</v>
      </c>
      <c r="Z311" s="2405">
        <v>0</v>
      </c>
      <c r="AA311" s="2405">
        <v>0</v>
      </c>
      <c r="AB311" s="2405">
        <v>0</v>
      </c>
      <c r="AC311" s="2405">
        <v>0</v>
      </c>
      <c r="AD311" s="2405">
        <v>0</v>
      </c>
      <c r="AE311" s="2405">
        <v>0</v>
      </c>
      <c r="AF311" s="2406">
        <f t="shared" si="73"/>
        <v>9291</v>
      </c>
      <c r="AG311" s="2292">
        <f t="shared" si="70"/>
        <v>489000</v>
      </c>
    </row>
    <row r="312" customHeight="1" spans="1:33">
      <c r="A312" s="2472"/>
      <c r="B312" s="2527"/>
      <c r="C312" s="2394"/>
      <c r="D312" s="2286"/>
      <c r="E312" s="2286"/>
      <c r="F312" s="2286"/>
      <c r="G312" s="2524" t="s">
        <v>10981</v>
      </c>
      <c r="H312" s="2441" t="s">
        <v>10970</v>
      </c>
      <c r="I312" s="2161">
        <v>500</v>
      </c>
      <c r="J312" s="2523">
        <v>0.0157</v>
      </c>
      <c r="K312" s="2161">
        <f t="shared" si="72"/>
        <v>31847</v>
      </c>
      <c r="L312" s="2295"/>
      <c r="M312" s="2295"/>
      <c r="N312" s="2405"/>
      <c r="O312" s="2405"/>
      <c r="P312" s="2405"/>
      <c r="Q312" s="2405"/>
      <c r="R312" s="2405"/>
      <c r="S312" s="2405"/>
      <c r="T312" s="2405">
        <v>471</v>
      </c>
      <c r="U312" s="2405">
        <v>503</v>
      </c>
      <c r="V312" s="2405">
        <v>471</v>
      </c>
      <c r="W312" s="2405">
        <v>549</v>
      </c>
      <c r="X312" s="2405">
        <v>471</v>
      </c>
      <c r="Y312" s="2405">
        <v>628</v>
      </c>
      <c r="Z312" s="2405">
        <v>471</v>
      </c>
      <c r="AA312" s="2405">
        <v>471</v>
      </c>
      <c r="AB312" s="2405">
        <v>471</v>
      </c>
      <c r="AC312" s="2405">
        <v>197</v>
      </c>
      <c r="AD312" s="2405">
        <v>314</v>
      </c>
      <c r="AE312" s="2405">
        <v>314</v>
      </c>
      <c r="AF312" s="2406">
        <f t="shared" si="73"/>
        <v>5331</v>
      </c>
      <c r="AG312" s="2292">
        <f t="shared" si="70"/>
        <v>339554</v>
      </c>
    </row>
    <row r="313" customHeight="1" spans="1:33">
      <c r="A313" s="2472"/>
      <c r="B313" s="2527"/>
      <c r="C313" s="2394"/>
      <c r="D313" s="2286"/>
      <c r="E313" s="2286"/>
      <c r="F313" s="2286"/>
      <c r="G313" s="2469" t="s">
        <v>10972</v>
      </c>
      <c r="H313" s="2441" t="s">
        <v>10973</v>
      </c>
      <c r="I313" s="2161">
        <v>500</v>
      </c>
      <c r="J313" s="2470">
        <v>0.002369</v>
      </c>
      <c r="K313" s="2161">
        <f t="shared" si="72"/>
        <v>211060</v>
      </c>
      <c r="L313" s="2290">
        <v>250</v>
      </c>
      <c r="M313" s="2290"/>
      <c r="N313" s="2439">
        <v>250</v>
      </c>
      <c r="O313" s="2439"/>
      <c r="P313" s="2439"/>
      <c r="Q313" s="2439">
        <v>250</v>
      </c>
      <c r="R313" s="2439"/>
      <c r="S313" s="2439"/>
      <c r="T313" s="2439">
        <v>250</v>
      </c>
      <c r="U313" s="2439"/>
      <c r="V313" s="2439"/>
      <c r="W313" s="2439"/>
      <c r="X313" s="2439">
        <v>64</v>
      </c>
      <c r="Y313" s="2439">
        <v>95</v>
      </c>
      <c r="Z313" s="2439">
        <v>71</v>
      </c>
      <c r="AA313" s="2439">
        <v>71</v>
      </c>
      <c r="AB313" s="2439">
        <v>71</v>
      </c>
      <c r="AC313" s="2439">
        <v>30</v>
      </c>
      <c r="AD313" s="2439">
        <v>47</v>
      </c>
      <c r="AE313" s="2439">
        <v>48</v>
      </c>
      <c r="AF313" s="2406">
        <f t="shared" si="73"/>
        <v>1497</v>
      </c>
      <c r="AG313" s="2292">
        <f t="shared" si="70"/>
        <v>631912</v>
      </c>
    </row>
    <row r="314" customHeight="1" spans="1:33">
      <c r="A314" s="2472"/>
      <c r="B314" s="2527"/>
      <c r="C314" s="2394"/>
      <c r="D314" s="2286"/>
      <c r="E314" s="2286"/>
      <c r="F314" s="2286"/>
      <c r="G314" s="2524" t="s">
        <v>10954</v>
      </c>
      <c r="H314" s="2441" t="s">
        <v>10955</v>
      </c>
      <c r="I314" s="2161">
        <v>0</v>
      </c>
      <c r="J314" s="2470">
        <v>0.0041</v>
      </c>
      <c r="K314" s="2161">
        <f t="shared" si="72"/>
        <v>0</v>
      </c>
      <c r="L314" s="2290"/>
      <c r="M314" s="2290"/>
      <c r="N314" s="2439"/>
      <c r="O314" s="2439"/>
      <c r="P314" s="2439"/>
      <c r="Q314" s="2439"/>
      <c r="R314" s="2439"/>
      <c r="S314" s="2439"/>
      <c r="T314" s="2439">
        <v>123</v>
      </c>
      <c r="U314" s="2439">
        <v>132</v>
      </c>
      <c r="V314" s="2439">
        <v>123</v>
      </c>
      <c r="W314" s="2439">
        <v>143</v>
      </c>
      <c r="X314" s="2439">
        <v>123</v>
      </c>
      <c r="Y314" s="2439">
        <v>164</v>
      </c>
      <c r="Z314" s="2439">
        <v>123</v>
      </c>
      <c r="AA314" s="2439">
        <v>123</v>
      </c>
      <c r="AB314" s="2439">
        <v>123</v>
      </c>
      <c r="AC314" s="2439">
        <v>51</v>
      </c>
      <c r="AD314" s="2439">
        <v>82</v>
      </c>
      <c r="AE314" s="2439">
        <v>82</v>
      </c>
      <c r="AF314" s="2406">
        <f t="shared" si="73"/>
        <v>1392</v>
      </c>
      <c r="AG314" s="2292">
        <f t="shared" si="70"/>
        <v>339512</v>
      </c>
    </row>
    <row r="315" customHeight="1" spans="1:33">
      <c r="A315" s="2472"/>
      <c r="B315" s="2527"/>
      <c r="C315" s="2394"/>
      <c r="D315" s="2286"/>
      <c r="E315" s="2286"/>
      <c r="F315" s="2286"/>
      <c r="G315" s="2469" t="s">
        <v>9106</v>
      </c>
      <c r="H315" s="2441" t="s">
        <v>10890</v>
      </c>
      <c r="I315" s="2161">
        <v>0</v>
      </c>
      <c r="J315" s="2470">
        <v>2</v>
      </c>
      <c r="K315" s="2161">
        <f t="shared" si="72"/>
        <v>0</v>
      </c>
      <c r="L315" s="2295">
        <v>60000</v>
      </c>
      <c r="M315" s="2295">
        <v>80000</v>
      </c>
      <c r="N315" s="2405">
        <v>80000</v>
      </c>
      <c r="O315" s="2405">
        <v>70000</v>
      </c>
      <c r="P315" s="2405">
        <v>84000</v>
      </c>
      <c r="Q315" s="2405">
        <v>70000</v>
      </c>
      <c r="R315" s="2405">
        <v>70000</v>
      </c>
      <c r="S315" s="2405">
        <v>70000</v>
      </c>
      <c r="T315" s="2405">
        <v>60000</v>
      </c>
      <c r="U315" s="2405">
        <v>64000</v>
      </c>
      <c r="V315" s="2405">
        <v>60000</v>
      </c>
      <c r="W315" s="2405">
        <v>70000</v>
      </c>
      <c r="X315" s="2405">
        <v>60000</v>
      </c>
      <c r="Y315" s="2405">
        <v>80000</v>
      </c>
      <c r="Z315" s="2405">
        <v>60000</v>
      </c>
      <c r="AA315" s="2405">
        <v>60000</v>
      </c>
      <c r="AB315" s="2405">
        <v>60000</v>
      </c>
      <c r="AC315" s="2405">
        <v>25000</v>
      </c>
      <c r="AD315" s="2405">
        <v>40000</v>
      </c>
      <c r="AE315" s="2405">
        <v>40000</v>
      </c>
      <c r="AF315" s="2406">
        <f t="shared" si="73"/>
        <v>1263000</v>
      </c>
      <c r="AG315" s="2292">
        <f t="shared" si="70"/>
        <v>631500</v>
      </c>
    </row>
    <row r="316" customHeight="1" spans="1:33">
      <c r="A316" s="2472"/>
      <c r="B316" s="2527"/>
      <c r="C316" s="2394"/>
      <c r="D316" s="2286"/>
      <c r="E316" s="2286"/>
      <c r="F316" s="2286"/>
      <c r="G316" s="2469" t="s">
        <v>10956</v>
      </c>
      <c r="H316" s="2441" t="s">
        <v>10957</v>
      </c>
      <c r="I316" s="2161">
        <v>0</v>
      </c>
      <c r="J316" s="2470">
        <v>20</v>
      </c>
      <c r="K316" s="2161">
        <f t="shared" si="72"/>
        <v>0</v>
      </c>
      <c r="L316" s="2295">
        <v>600000</v>
      </c>
      <c r="M316" s="2295">
        <v>800000</v>
      </c>
      <c r="N316" s="2405">
        <v>800000</v>
      </c>
      <c r="O316" s="2405">
        <v>700000</v>
      </c>
      <c r="P316" s="2405">
        <v>840000</v>
      </c>
      <c r="Q316" s="2405">
        <v>700000</v>
      </c>
      <c r="R316" s="2405">
        <v>700000</v>
      </c>
      <c r="S316" s="2405">
        <v>700000</v>
      </c>
      <c r="T316" s="2405">
        <v>600000</v>
      </c>
      <c r="U316" s="2405">
        <v>640000</v>
      </c>
      <c r="V316" s="2405">
        <v>600000</v>
      </c>
      <c r="W316" s="2405">
        <v>700000</v>
      </c>
      <c r="X316" s="2405">
        <v>600000</v>
      </c>
      <c r="Y316" s="2405">
        <v>800000</v>
      </c>
      <c r="Z316" s="2405">
        <v>600000</v>
      </c>
      <c r="AA316" s="2405">
        <v>600000</v>
      </c>
      <c r="AB316" s="2405">
        <v>600000</v>
      </c>
      <c r="AC316" s="2405">
        <v>250000</v>
      </c>
      <c r="AD316" s="2405">
        <v>400000</v>
      </c>
      <c r="AE316" s="2405">
        <v>400000</v>
      </c>
      <c r="AF316" s="2406">
        <f t="shared" si="73"/>
        <v>12630000</v>
      </c>
      <c r="AG316" s="2292">
        <f t="shared" si="70"/>
        <v>631500</v>
      </c>
    </row>
    <row r="317" customHeight="1" spans="1:33">
      <c r="A317" s="2472"/>
      <c r="B317" s="2527"/>
      <c r="C317" s="2394"/>
      <c r="D317" s="2286"/>
      <c r="E317" s="2286"/>
      <c r="F317" s="2286"/>
      <c r="G317" s="2469" t="s">
        <v>10958</v>
      </c>
      <c r="H317" s="2441" t="s">
        <v>10959</v>
      </c>
      <c r="I317" s="2161">
        <v>0</v>
      </c>
      <c r="J317" s="2470">
        <v>2.369</v>
      </c>
      <c r="K317" s="2161">
        <f t="shared" si="72"/>
        <v>0</v>
      </c>
      <c r="L317" s="2295">
        <v>71070</v>
      </c>
      <c r="M317" s="2295">
        <v>94760</v>
      </c>
      <c r="N317" s="2405">
        <v>94760</v>
      </c>
      <c r="O317" s="2405">
        <v>82915</v>
      </c>
      <c r="P317" s="2405">
        <v>99498</v>
      </c>
      <c r="Q317" s="2405">
        <v>82915</v>
      </c>
      <c r="R317" s="2405">
        <v>82915</v>
      </c>
      <c r="S317" s="2405">
        <v>82915</v>
      </c>
      <c r="T317" s="2405">
        <v>71070</v>
      </c>
      <c r="U317" s="2405">
        <v>75808</v>
      </c>
      <c r="V317" s="2405">
        <v>71070</v>
      </c>
      <c r="W317" s="2405">
        <v>82915</v>
      </c>
      <c r="X317" s="2405">
        <v>71070</v>
      </c>
      <c r="Y317" s="2405">
        <v>94760</v>
      </c>
      <c r="Z317" s="2405">
        <v>71070</v>
      </c>
      <c r="AA317" s="2405">
        <v>71070</v>
      </c>
      <c r="AB317" s="2405">
        <v>71070</v>
      </c>
      <c r="AC317" s="2405">
        <v>29613</v>
      </c>
      <c r="AD317" s="2405">
        <v>47380</v>
      </c>
      <c r="AE317" s="2405">
        <v>47380</v>
      </c>
      <c r="AF317" s="2406">
        <f t="shared" si="73"/>
        <v>1496024</v>
      </c>
      <c r="AG317" s="2292">
        <f t="shared" si="70"/>
        <v>631500</v>
      </c>
    </row>
    <row r="318" customHeight="1" spans="1:33">
      <c r="A318" s="2472"/>
      <c r="B318" s="2527"/>
      <c r="C318" s="2394"/>
      <c r="D318" s="2286"/>
      <c r="E318" s="2286"/>
      <c r="F318" s="2286"/>
      <c r="G318" s="2469" t="s">
        <v>10960</v>
      </c>
      <c r="H318" s="2441"/>
      <c r="I318" s="2161">
        <v>0</v>
      </c>
      <c r="J318" s="2470">
        <v>12.875</v>
      </c>
      <c r="K318" s="2161">
        <f t="shared" si="72"/>
        <v>0</v>
      </c>
      <c r="L318" s="2295">
        <v>386250</v>
      </c>
      <c r="M318" s="2295">
        <v>515000</v>
      </c>
      <c r="N318" s="2405">
        <v>515000</v>
      </c>
      <c r="O318" s="2405">
        <v>450625</v>
      </c>
      <c r="P318" s="2405">
        <v>540750</v>
      </c>
      <c r="Q318" s="2405">
        <v>450625</v>
      </c>
      <c r="R318" s="2405">
        <v>450625</v>
      </c>
      <c r="S318" s="2405">
        <v>450625</v>
      </c>
      <c r="T318" s="2405">
        <v>386250</v>
      </c>
      <c r="U318" s="2405">
        <v>412000</v>
      </c>
      <c r="V318" s="2405">
        <v>386250</v>
      </c>
      <c r="W318" s="2405">
        <v>450625</v>
      </c>
      <c r="X318" s="2405">
        <v>386250</v>
      </c>
      <c r="Y318" s="2405">
        <v>515000</v>
      </c>
      <c r="Z318" s="2405">
        <v>386250</v>
      </c>
      <c r="AA318" s="2405">
        <v>386250</v>
      </c>
      <c r="AB318" s="2405">
        <v>386250</v>
      </c>
      <c r="AC318" s="2405">
        <v>160938</v>
      </c>
      <c r="AD318" s="2405">
        <v>257500</v>
      </c>
      <c r="AE318" s="2405">
        <v>257500</v>
      </c>
      <c r="AF318" s="2406">
        <f t="shared" si="73"/>
        <v>8130563</v>
      </c>
      <c r="AG318" s="2292">
        <f t="shared" si="70"/>
        <v>631500</v>
      </c>
    </row>
    <row r="319" customHeight="1" spans="1:33">
      <c r="A319" s="2472"/>
      <c r="B319" s="2527"/>
      <c r="C319" s="2394"/>
      <c r="D319" s="2286"/>
      <c r="E319" s="2286"/>
      <c r="F319" s="2286"/>
      <c r="G319" s="2469" t="s">
        <v>10961</v>
      </c>
      <c r="H319" s="2441"/>
      <c r="I319" s="2161">
        <v>0</v>
      </c>
      <c r="J319" s="2470">
        <v>1</v>
      </c>
      <c r="K319" s="2161">
        <f t="shared" si="72"/>
        <v>0</v>
      </c>
      <c r="L319" s="2295">
        <v>30000</v>
      </c>
      <c r="M319" s="2295">
        <v>40000</v>
      </c>
      <c r="N319" s="2405">
        <v>40000</v>
      </c>
      <c r="O319" s="2405">
        <v>35000</v>
      </c>
      <c r="P319" s="2405">
        <v>42000</v>
      </c>
      <c r="Q319" s="2405">
        <v>35000</v>
      </c>
      <c r="R319" s="2405">
        <v>35000</v>
      </c>
      <c r="S319" s="2405">
        <v>35000</v>
      </c>
      <c r="T319" s="2405">
        <v>30000</v>
      </c>
      <c r="U319" s="2405">
        <v>32000</v>
      </c>
      <c r="V319" s="2405">
        <v>30000</v>
      </c>
      <c r="W319" s="2405">
        <v>35000</v>
      </c>
      <c r="X319" s="2405">
        <v>30000</v>
      </c>
      <c r="Y319" s="2405">
        <v>40000</v>
      </c>
      <c r="Z319" s="2405">
        <v>30000</v>
      </c>
      <c r="AA319" s="2405">
        <v>30000</v>
      </c>
      <c r="AB319" s="2405">
        <v>30000</v>
      </c>
      <c r="AC319" s="2405">
        <v>12500</v>
      </c>
      <c r="AD319" s="2405">
        <v>20000</v>
      </c>
      <c r="AE319" s="2405">
        <v>20000</v>
      </c>
      <c r="AF319" s="2406">
        <f t="shared" si="73"/>
        <v>631500</v>
      </c>
      <c r="AG319" s="2292">
        <f t="shared" si="70"/>
        <v>631500</v>
      </c>
    </row>
    <row r="320" customHeight="1" spans="1:33">
      <c r="A320" s="2472"/>
      <c r="B320" s="2530"/>
      <c r="C320" s="2398"/>
      <c r="D320" s="2299"/>
      <c r="E320" s="2299"/>
      <c r="F320" s="2299"/>
      <c r="G320" s="2486" t="s">
        <v>10650</v>
      </c>
      <c r="H320" s="2487" t="s">
        <v>10650</v>
      </c>
      <c r="I320" s="2171">
        <v>0</v>
      </c>
      <c r="J320" s="2488">
        <v>1</v>
      </c>
      <c r="K320" s="2171">
        <f t="shared" si="72"/>
        <v>0</v>
      </c>
      <c r="L320" s="2302">
        <v>30000</v>
      </c>
      <c r="M320" s="2302">
        <v>40000</v>
      </c>
      <c r="N320" s="2302">
        <v>40000</v>
      </c>
      <c r="O320" s="2302">
        <v>35000</v>
      </c>
      <c r="P320" s="2302">
        <v>42000</v>
      </c>
      <c r="Q320" s="2302">
        <v>35000</v>
      </c>
      <c r="R320" s="2302">
        <v>35000</v>
      </c>
      <c r="S320" s="2302">
        <v>35000</v>
      </c>
      <c r="T320" s="2302">
        <v>30000</v>
      </c>
      <c r="U320" s="2302">
        <v>32000</v>
      </c>
      <c r="V320" s="2438">
        <v>30000</v>
      </c>
      <c r="W320" s="2438">
        <v>35000</v>
      </c>
      <c r="X320" s="2438">
        <v>30000</v>
      </c>
      <c r="Y320" s="2438">
        <v>40000</v>
      </c>
      <c r="Z320" s="2438">
        <v>30000</v>
      </c>
      <c r="AA320" s="2438">
        <v>30000</v>
      </c>
      <c r="AB320" s="2438">
        <v>30000</v>
      </c>
      <c r="AC320" s="2438">
        <v>12500</v>
      </c>
      <c r="AD320" s="2438">
        <v>20000</v>
      </c>
      <c r="AE320" s="2438">
        <v>20000</v>
      </c>
      <c r="AF320" s="2406">
        <f t="shared" si="73"/>
        <v>631500</v>
      </c>
      <c r="AG320" s="2304">
        <f t="shared" si="70"/>
        <v>631500</v>
      </c>
    </row>
    <row r="321" customHeight="1" spans="1:33">
      <c r="A321" s="2472"/>
      <c r="B321" s="2468" t="s">
        <v>10982</v>
      </c>
      <c r="C321" s="2286">
        <v>10</v>
      </c>
      <c r="D321" s="2286"/>
      <c r="E321" s="2286"/>
      <c r="F321" s="2286"/>
      <c r="G321" s="2491" t="s">
        <v>10904</v>
      </c>
      <c r="H321" s="2492" t="s">
        <v>10685</v>
      </c>
      <c r="I321" s="2221">
        <v>0</v>
      </c>
      <c r="J321" s="2493">
        <v>0.018334</v>
      </c>
      <c r="K321" s="2221">
        <f t="shared" si="72"/>
        <v>0</v>
      </c>
      <c r="L321" s="2405">
        <v>551</v>
      </c>
      <c r="M321" s="2405">
        <v>733</v>
      </c>
      <c r="N321" s="2405">
        <v>733</v>
      </c>
      <c r="O321" s="2405">
        <v>642</v>
      </c>
      <c r="P321" s="2405">
        <v>770</v>
      </c>
      <c r="Q321" s="2405">
        <v>642</v>
      </c>
      <c r="R321" s="2405">
        <v>641</v>
      </c>
      <c r="S321" s="2405">
        <v>642</v>
      </c>
      <c r="T321" s="2405">
        <v>550</v>
      </c>
      <c r="U321" s="2405">
        <v>587</v>
      </c>
      <c r="V321" s="2405">
        <v>550</v>
      </c>
      <c r="W321" s="2405">
        <v>641</v>
      </c>
      <c r="X321" s="2405">
        <v>550</v>
      </c>
      <c r="Y321" s="2405">
        <v>734</v>
      </c>
      <c r="Z321" s="2405">
        <v>550</v>
      </c>
      <c r="AA321" s="2405">
        <v>458</v>
      </c>
      <c r="AB321" s="2405">
        <v>459</v>
      </c>
      <c r="AC321" s="2405"/>
      <c r="AD321" s="2405">
        <v>550</v>
      </c>
      <c r="AE321" s="2405">
        <v>366</v>
      </c>
      <c r="AF321" s="2406">
        <f t="shared" si="73"/>
        <v>11349</v>
      </c>
      <c r="AG321" s="2292">
        <f t="shared" si="70"/>
        <v>619014</v>
      </c>
    </row>
    <row r="322" customHeight="1" spans="1:33">
      <c r="A322" s="2472"/>
      <c r="B322" s="2473"/>
      <c r="C322" s="2286"/>
      <c r="D322" s="2286"/>
      <c r="E322" s="2286"/>
      <c r="F322" s="2286"/>
      <c r="G322" s="2469" t="s">
        <v>10906</v>
      </c>
      <c r="H322" s="2441" t="s">
        <v>10980</v>
      </c>
      <c r="I322" s="2161">
        <v>800</v>
      </c>
      <c r="J322" s="2470">
        <v>0.043569</v>
      </c>
      <c r="K322" s="2161">
        <f t="shared" si="72"/>
        <v>18362</v>
      </c>
      <c r="L322" s="2295">
        <v>1308</v>
      </c>
      <c r="M322" s="2295">
        <v>1742</v>
      </c>
      <c r="N322" s="2405">
        <v>1743</v>
      </c>
      <c r="O322" s="2405">
        <v>1525</v>
      </c>
      <c r="P322" s="2405">
        <v>1830</v>
      </c>
      <c r="Q322" s="2405">
        <v>1525</v>
      </c>
      <c r="R322" s="2405">
        <v>1525</v>
      </c>
      <c r="S322" s="2405">
        <v>1525</v>
      </c>
      <c r="T322" s="2405">
        <v>1307</v>
      </c>
      <c r="U322" s="2405">
        <v>1394</v>
      </c>
      <c r="V322" s="2405">
        <v>1307</v>
      </c>
      <c r="W322" s="2405">
        <v>1525</v>
      </c>
      <c r="X322" s="2405">
        <v>1307</v>
      </c>
      <c r="Y322" s="2405">
        <v>1743</v>
      </c>
      <c r="Z322" s="2405">
        <v>1307</v>
      </c>
      <c r="AA322" s="2405">
        <v>1089</v>
      </c>
      <c r="AB322" s="2405">
        <v>1089</v>
      </c>
      <c r="AC322" s="2405"/>
      <c r="AD322" s="2405">
        <v>1307</v>
      </c>
      <c r="AE322" s="2405">
        <v>872</v>
      </c>
      <c r="AF322" s="2406">
        <f t="shared" si="73"/>
        <v>26970</v>
      </c>
      <c r="AG322" s="2292">
        <f t="shared" si="70"/>
        <v>619018</v>
      </c>
    </row>
    <row r="323" customHeight="1" spans="1:33">
      <c r="A323" s="2472"/>
      <c r="B323" s="2473"/>
      <c r="C323" s="2286"/>
      <c r="D323" s="2286"/>
      <c r="E323" s="2286"/>
      <c r="F323" s="2286"/>
      <c r="G323" s="2522" t="s">
        <v>10983</v>
      </c>
      <c r="H323" s="2441"/>
      <c r="I323" s="2161">
        <v>500</v>
      </c>
      <c r="J323" s="2523">
        <v>0.019</v>
      </c>
      <c r="K323" s="2161">
        <f t="shared" si="72"/>
        <v>26316</v>
      </c>
      <c r="L323" s="2295">
        <v>570</v>
      </c>
      <c r="M323" s="2295">
        <v>760</v>
      </c>
      <c r="N323" s="2405">
        <v>760</v>
      </c>
      <c r="O323" s="2405">
        <v>665</v>
      </c>
      <c r="P323" s="2405">
        <v>798</v>
      </c>
      <c r="Q323" s="2405">
        <v>665</v>
      </c>
      <c r="R323" s="2405">
        <v>665</v>
      </c>
      <c r="S323" s="2405">
        <v>665</v>
      </c>
      <c r="T323" s="2405">
        <v>0</v>
      </c>
      <c r="U323" s="2405">
        <v>0</v>
      </c>
      <c r="V323" s="2405">
        <v>0</v>
      </c>
      <c r="W323" s="2405">
        <v>0</v>
      </c>
      <c r="X323" s="2405">
        <v>0</v>
      </c>
      <c r="Y323" s="2405">
        <v>3743</v>
      </c>
      <c r="Z323" s="2405">
        <v>0</v>
      </c>
      <c r="AA323" s="2405">
        <v>0</v>
      </c>
      <c r="AB323" s="2405">
        <v>0</v>
      </c>
      <c r="AC323" s="2405"/>
      <c r="AD323" s="2405">
        <v>0</v>
      </c>
      <c r="AE323" s="2405">
        <v>0</v>
      </c>
      <c r="AF323" s="2406">
        <f t="shared" si="73"/>
        <v>9291</v>
      </c>
      <c r="AG323" s="2292">
        <f t="shared" ref="AG323:AG344" si="74">ROUND(AF323/J323,0)</f>
        <v>489000</v>
      </c>
    </row>
    <row r="324" customHeight="1" spans="1:33">
      <c r="A324" s="2472"/>
      <c r="B324" s="2473"/>
      <c r="C324" s="2286"/>
      <c r="D324" s="2286"/>
      <c r="E324" s="2286"/>
      <c r="F324" s="2286"/>
      <c r="G324" s="2524" t="s">
        <v>10984</v>
      </c>
      <c r="H324" s="2441"/>
      <c r="I324" s="2161">
        <v>500</v>
      </c>
      <c r="J324" s="2523">
        <v>0.0156</v>
      </c>
      <c r="K324" s="2161">
        <f t="shared" si="72"/>
        <v>32051</v>
      </c>
      <c r="L324" s="2295"/>
      <c r="M324" s="2295"/>
      <c r="N324" s="2405"/>
      <c r="O324" s="2405"/>
      <c r="P324" s="2405"/>
      <c r="Q324" s="2405"/>
      <c r="R324" s="2405"/>
      <c r="S324" s="2405"/>
      <c r="T324" s="2405">
        <v>468</v>
      </c>
      <c r="U324" s="2405">
        <v>500</v>
      </c>
      <c r="V324" s="2405">
        <v>468</v>
      </c>
      <c r="W324" s="2405">
        <v>546</v>
      </c>
      <c r="X324" s="2405">
        <v>468</v>
      </c>
      <c r="Y324" s="2405">
        <v>624</v>
      </c>
      <c r="Z324" s="2405">
        <v>468</v>
      </c>
      <c r="AA324" s="2405">
        <v>390</v>
      </c>
      <c r="AB324" s="2405">
        <v>390</v>
      </c>
      <c r="AC324" s="2405"/>
      <c r="AD324" s="2405">
        <v>468</v>
      </c>
      <c r="AE324" s="2405">
        <v>312</v>
      </c>
      <c r="AF324" s="2406">
        <f t="shared" ref="AF324:AF355" si="75">SUM(L324:AE324)</f>
        <v>5102</v>
      </c>
      <c r="AG324" s="2292">
        <f t="shared" si="74"/>
        <v>327051</v>
      </c>
    </row>
    <row r="325" customHeight="1" spans="1:33">
      <c r="A325" s="2472"/>
      <c r="B325" s="2473"/>
      <c r="C325" s="2286"/>
      <c r="D325" s="2286"/>
      <c r="E325" s="2286"/>
      <c r="F325" s="2286"/>
      <c r="G325" s="2469" t="s">
        <v>10985</v>
      </c>
      <c r="H325" s="2441"/>
      <c r="I325" s="2161">
        <v>500</v>
      </c>
      <c r="J325" s="2470">
        <v>0.002369</v>
      </c>
      <c r="K325" s="2161">
        <f t="shared" si="72"/>
        <v>211060</v>
      </c>
      <c r="L325" s="2290">
        <v>500</v>
      </c>
      <c r="M325" s="2290"/>
      <c r="N325" s="2439"/>
      <c r="O325" s="2439"/>
      <c r="P325" s="2439"/>
      <c r="Q325" s="2439">
        <v>500</v>
      </c>
      <c r="R325" s="2439"/>
      <c r="S325" s="2439"/>
      <c r="T325" s="2439"/>
      <c r="U325" s="2439"/>
      <c r="V325" s="2439"/>
      <c r="W325" s="2439"/>
      <c r="X325" s="2439">
        <v>64</v>
      </c>
      <c r="Y325" s="2439">
        <v>95</v>
      </c>
      <c r="Z325" s="2439">
        <v>71</v>
      </c>
      <c r="AA325" s="2439">
        <v>59</v>
      </c>
      <c r="AB325" s="2439">
        <v>59</v>
      </c>
      <c r="AC325" s="2439"/>
      <c r="AD325" s="2439">
        <v>72</v>
      </c>
      <c r="AE325" s="2439">
        <v>47</v>
      </c>
      <c r="AF325" s="2406">
        <f t="shared" si="75"/>
        <v>1467</v>
      </c>
      <c r="AG325" s="2292">
        <f t="shared" si="74"/>
        <v>619249</v>
      </c>
    </row>
    <row r="326" customHeight="1" spans="1:33">
      <c r="A326" s="2472"/>
      <c r="B326" s="2473"/>
      <c r="C326" s="2286"/>
      <c r="D326" s="2286"/>
      <c r="E326" s="2286"/>
      <c r="F326" s="2286"/>
      <c r="G326" s="2524" t="s">
        <v>10986</v>
      </c>
      <c r="H326" s="2441"/>
      <c r="I326" s="2161">
        <v>0</v>
      </c>
      <c r="J326" s="2470">
        <v>0.0041</v>
      </c>
      <c r="K326" s="2161">
        <f t="shared" si="72"/>
        <v>0</v>
      </c>
      <c r="L326" s="2290"/>
      <c r="M326" s="2290"/>
      <c r="N326" s="2439"/>
      <c r="O326" s="2439"/>
      <c r="P326" s="2439"/>
      <c r="Q326" s="2439"/>
      <c r="R326" s="2439"/>
      <c r="S326" s="2439"/>
      <c r="T326" s="2439">
        <v>123</v>
      </c>
      <c r="U326" s="2439">
        <v>132</v>
      </c>
      <c r="V326" s="2439">
        <v>123</v>
      </c>
      <c r="W326" s="2439">
        <v>143</v>
      </c>
      <c r="X326" s="2439">
        <v>123</v>
      </c>
      <c r="Y326" s="2439">
        <v>164</v>
      </c>
      <c r="Z326" s="2439">
        <v>123</v>
      </c>
      <c r="AA326" s="2439">
        <v>103</v>
      </c>
      <c r="AB326" s="2439">
        <v>102</v>
      </c>
      <c r="AC326" s="2439"/>
      <c r="AD326" s="2439">
        <v>123</v>
      </c>
      <c r="AE326" s="2439">
        <v>82</v>
      </c>
      <c r="AF326" s="2406">
        <f t="shared" si="75"/>
        <v>1341</v>
      </c>
      <c r="AG326" s="2292">
        <f t="shared" si="74"/>
        <v>327073</v>
      </c>
    </row>
    <row r="327" customHeight="1" spans="1:33">
      <c r="A327" s="2472"/>
      <c r="B327" s="2473"/>
      <c r="C327" s="2286"/>
      <c r="D327" s="2286"/>
      <c r="E327" s="2286"/>
      <c r="F327" s="2286"/>
      <c r="G327" s="2469" t="s">
        <v>9106</v>
      </c>
      <c r="H327" s="2441" t="s">
        <v>10890</v>
      </c>
      <c r="I327" s="2161">
        <v>0</v>
      </c>
      <c r="J327" s="2470">
        <v>2</v>
      </c>
      <c r="K327" s="2161">
        <f t="shared" si="72"/>
        <v>0</v>
      </c>
      <c r="L327" s="2295">
        <v>60000</v>
      </c>
      <c r="M327" s="2295">
        <v>80000</v>
      </c>
      <c r="N327" s="2405">
        <v>80000</v>
      </c>
      <c r="O327" s="2405">
        <v>70000</v>
      </c>
      <c r="P327" s="2405">
        <v>84000</v>
      </c>
      <c r="Q327" s="2405">
        <v>70000</v>
      </c>
      <c r="R327" s="2405">
        <v>70000</v>
      </c>
      <c r="S327" s="2405">
        <v>70000</v>
      </c>
      <c r="T327" s="2405">
        <v>60000</v>
      </c>
      <c r="U327" s="2405">
        <v>64000</v>
      </c>
      <c r="V327" s="2405">
        <v>60000</v>
      </c>
      <c r="W327" s="2405">
        <v>70000</v>
      </c>
      <c r="X327" s="2405">
        <v>60000</v>
      </c>
      <c r="Y327" s="2405">
        <v>80000</v>
      </c>
      <c r="Z327" s="2405">
        <v>60000</v>
      </c>
      <c r="AA327" s="2405">
        <v>50000</v>
      </c>
      <c r="AB327" s="2405">
        <v>50000</v>
      </c>
      <c r="AC327" s="2405"/>
      <c r="AD327" s="2405">
        <v>60000</v>
      </c>
      <c r="AE327" s="2405">
        <v>40000</v>
      </c>
      <c r="AF327" s="2406">
        <f t="shared" si="75"/>
        <v>1238000</v>
      </c>
      <c r="AG327" s="2292">
        <f t="shared" si="74"/>
        <v>619000</v>
      </c>
    </row>
    <row r="328" customHeight="1" spans="1:33">
      <c r="A328" s="2472"/>
      <c r="B328" s="2473"/>
      <c r="C328" s="2286"/>
      <c r="D328" s="2286"/>
      <c r="E328" s="2286"/>
      <c r="F328" s="2286"/>
      <c r="G328" s="2469" t="s">
        <v>10956</v>
      </c>
      <c r="H328" s="2441" t="s">
        <v>10957</v>
      </c>
      <c r="I328" s="2161">
        <v>0</v>
      </c>
      <c r="J328" s="2470">
        <v>20</v>
      </c>
      <c r="K328" s="2161">
        <f t="shared" si="72"/>
        <v>0</v>
      </c>
      <c r="L328" s="2295">
        <v>600000</v>
      </c>
      <c r="M328" s="2295">
        <v>800000</v>
      </c>
      <c r="N328" s="2405">
        <v>800000</v>
      </c>
      <c r="O328" s="2405">
        <v>700000</v>
      </c>
      <c r="P328" s="2405">
        <v>840000</v>
      </c>
      <c r="Q328" s="2405">
        <v>700000</v>
      </c>
      <c r="R328" s="2405">
        <v>700000</v>
      </c>
      <c r="S328" s="2405">
        <v>700000</v>
      </c>
      <c r="T328" s="2405">
        <v>600000</v>
      </c>
      <c r="U328" s="2405">
        <v>640000</v>
      </c>
      <c r="V328" s="2405">
        <v>600000</v>
      </c>
      <c r="W328" s="2405">
        <v>700000</v>
      </c>
      <c r="X328" s="2405">
        <v>600000</v>
      </c>
      <c r="Y328" s="2405">
        <v>800000</v>
      </c>
      <c r="Z328" s="2405">
        <v>600000</v>
      </c>
      <c r="AA328" s="2405">
        <v>500000</v>
      </c>
      <c r="AB328" s="2405">
        <v>500000</v>
      </c>
      <c r="AC328" s="2405"/>
      <c r="AD328" s="2405">
        <v>600000</v>
      </c>
      <c r="AE328" s="2405">
        <v>400000</v>
      </c>
      <c r="AF328" s="2406">
        <f t="shared" si="75"/>
        <v>12380000</v>
      </c>
      <c r="AG328" s="2292">
        <f t="shared" si="74"/>
        <v>619000</v>
      </c>
    </row>
    <row r="329" customHeight="1" spans="1:33">
      <c r="A329" s="2472"/>
      <c r="B329" s="2473"/>
      <c r="C329" s="2286"/>
      <c r="D329" s="2286"/>
      <c r="E329" s="2286"/>
      <c r="F329" s="2286"/>
      <c r="G329" s="2469" t="s">
        <v>10958</v>
      </c>
      <c r="H329" s="2441" t="s">
        <v>10959</v>
      </c>
      <c r="I329" s="2161">
        <v>0</v>
      </c>
      <c r="J329" s="2470">
        <v>2.369</v>
      </c>
      <c r="K329" s="2161">
        <f t="shared" si="72"/>
        <v>0</v>
      </c>
      <c r="L329" s="2295">
        <v>71070</v>
      </c>
      <c r="M329" s="2295">
        <v>94760</v>
      </c>
      <c r="N329" s="2405">
        <v>94760</v>
      </c>
      <c r="O329" s="2405">
        <v>82915</v>
      </c>
      <c r="P329" s="2405">
        <v>99498</v>
      </c>
      <c r="Q329" s="2405">
        <v>82915</v>
      </c>
      <c r="R329" s="2405">
        <v>82915</v>
      </c>
      <c r="S329" s="2405">
        <v>82915</v>
      </c>
      <c r="T329" s="2405">
        <v>71070</v>
      </c>
      <c r="U329" s="2405">
        <v>75808</v>
      </c>
      <c r="V329" s="2405">
        <v>71070</v>
      </c>
      <c r="W329" s="2405">
        <v>82915</v>
      </c>
      <c r="X329" s="2405">
        <v>71070</v>
      </c>
      <c r="Y329" s="2405">
        <v>94760</v>
      </c>
      <c r="Z329" s="2405">
        <v>71070</v>
      </c>
      <c r="AA329" s="2405">
        <v>59225</v>
      </c>
      <c r="AB329" s="2405">
        <v>59225</v>
      </c>
      <c r="AC329" s="2405"/>
      <c r="AD329" s="2405">
        <v>71070</v>
      </c>
      <c r="AE329" s="2405">
        <v>47380</v>
      </c>
      <c r="AF329" s="2406">
        <f t="shared" si="75"/>
        <v>1466411</v>
      </c>
      <c r="AG329" s="2292">
        <f t="shared" si="74"/>
        <v>619000</v>
      </c>
    </row>
    <row r="330" customHeight="1" spans="1:33">
      <c r="A330" s="2472"/>
      <c r="B330" s="2473"/>
      <c r="C330" s="2286"/>
      <c r="D330" s="2286"/>
      <c r="E330" s="2286"/>
      <c r="F330" s="2286"/>
      <c r="G330" s="2469" t="s">
        <v>10960</v>
      </c>
      <c r="H330" s="2441"/>
      <c r="I330" s="2161">
        <v>0</v>
      </c>
      <c r="J330" s="2470">
        <v>12.875</v>
      </c>
      <c r="K330" s="2161">
        <f t="shared" si="72"/>
        <v>0</v>
      </c>
      <c r="L330" s="2295">
        <v>386250</v>
      </c>
      <c r="M330" s="2295">
        <v>515000</v>
      </c>
      <c r="N330" s="2405">
        <v>515000</v>
      </c>
      <c r="O330" s="2405">
        <v>450625</v>
      </c>
      <c r="P330" s="2405">
        <v>540750</v>
      </c>
      <c r="Q330" s="2405">
        <v>450625</v>
      </c>
      <c r="R330" s="2405">
        <v>450625</v>
      </c>
      <c r="S330" s="2405">
        <v>450625</v>
      </c>
      <c r="T330" s="2405">
        <v>386250</v>
      </c>
      <c r="U330" s="2405">
        <v>412000</v>
      </c>
      <c r="V330" s="2405">
        <v>386250</v>
      </c>
      <c r="W330" s="2405">
        <v>450625</v>
      </c>
      <c r="X330" s="2405">
        <v>386250</v>
      </c>
      <c r="Y330" s="2405">
        <v>515000</v>
      </c>
      <c r="Z330" s="2405">
        <v>386250</v>
      </c>
      <c r="AA330" s="2405">
        <v>321875</v>
      </c>
      <c r="AB330" s="2405">
        <v>321875</v>
      </c>
      <c r="AC330" s="2405"/>
      <c r="AD330" s="2405">
        <v>386250</v>
      </c>
      <c r="AE330" s="2405">
        <v>257500</v>
      </c>
      <c r="AF330" s="2406">
        <f t="shared" si="75"/>
        <v>7969625</v>
      </c>
      <c r="AG330" s="2292">
        <f t="shared" si="74"/>
        <v>619000</v>
      </c>
    </row>
    <row r="331" customHeight="1" spans="1:33">
      <c r="A331" s="2472"/>
      <c r="B331" s="2473"/>
      <c r="C331" s="2286"/>
      <c r="D331" s="2286"/>
      <c r="E331" s="2286"/>
      <c r="F331" s="2286"/>
      <c r="G331" s="2469" t="s">
        <v>10961</v>
      </c>
      <c r="H331" s="2441"/>
      <c r="I331" s="2161">
        <v>0</v>
      </c>
      <c r="J331" s="2470">
        <v>1</v>
      </c>
      <c r="K331" s="2161">
        <f t="shared" si="72"/>
        <v>0</v>
      </c>
      <c r="L331" s="2295">
        <v>30000</v>
      </c>
      <c r="M331" s="2295">
        <v>40000</v>
      </c>
      <c r="N331" s="2405">
        <v>40000</v>
      </c>
      <c r="O331" s="2405">
        <v>35000</v>
      </c>
      <c r="P331" s="2405">
        <v>42000</v>
      </c>
      <c r="Q331" s="2405">
        <v>35000</v>
      </c>
      <c r="R331" s="2405">
        <v>35000</v>
      </c>
      <c r="S331" s="2405">
        <v>35000</v>
      </c>
      <c r="T331" s="2405">
        <v>30000</v>
      </c>
      <c r="U331" s="2405">
        <v>32000</v>
      </c>
      <c r="V331" s="2405">
        <v>30000</v>
      </c>
      <c r="W331" s="2405">
        <v>35000</v>
      </c>
      <c r="X331" s="2405">
        <v>30000</v>
      </c>
      <c r="Y331" s="2405">
        <v>40000</v>
      </c>
      <c r="Z331" s="2405">
        <v>30000</v>
      </c>
      <c r="AA331" s="2405">
        <v>25000</v>
      </c>
      <c r="AB331" s="2405">
        <v>25000</v>
      </c>
      <c r="AC331" s="2405"/>
      <c r="AD331" s="2405">
        <v>30000</v>
      </c>
      <c r="AE331" s="2405">
        <v>20000</v>
      </c>
      <c r="AF331" s="2406">
        <f t="shared" si="75"/>
        <v>619000</v>
      </c>
      <c r="AG331" s="2292">
        <f t="shared" si="74"/>
        <v>619000</v>
      </c>
    </row>
    <row r="332" customHeight="1" spans="1:33">
      <c r="A332" s="2472"/>
      <c r="B332" s="2485"/>
      <c r="C332" s="2299"/>
      <c r="D332" s="2299"/>
      <c r="E332" s="2299"/>
      <c r="F332" s="2299"/>
      <c r="G332" s="2486" t="s">
        <v>10650</v>
      </c>
      <c r="H332" s="2487" t="s">
        <v>10650</v>
      </c>
      <c r="I332" s="2171">
        <v>0</v>
      </c>
      <c r="J332" s="2488">
        <v>1</v>
      </c>
      <c r="K332" s="2171">
        <f t="shared" si="72"/>
        <v>0</v>
      </c>
      <c r="L332" s="2302">
        <v>30000</v>
      </c>
      <c r="M332" s="2302">
        <v>40000</v>
      </c>
      <c r="N332" s="2302">
        <v>40000</v>
      </c>
      <c r="O332" s="2302">
        <v>35000</v>
      </c>
      <c r="P332" s="2302">
        <v>42000</v>
      </c>
      <c r="Q332" s="2302">
        <v>35000</v>
      </c>
      <c r="R332" s="2302">
        <v>35000</v>
      </c>
      <c r="S332" s="2302">
        <v>35000</v>
      </c>
      <c r="T332" s="2302">
        <v>30000</v>
      </c>
      <c r="U332" s="2302">
        <v>32000</v>
      </c>
      <c r="V332" s="2438">
        <v>30000</v>
      </c>
      <c r="W332" s="2438">
        <v>35000</v>
      </c>
      <c r="X332" s="2438">
        <v>30000</v>
      </c>
      <c r="Y332" s="2438">
        <v>40000</v>
      </c>
      <c r="Z332" s="2438">
        <v>30000</v>
      </c>
      <c r="AA332" s="2438">
        <v>25000</v>
      </c>
      <c r="AB332" s="2438">
        <v>25000</v>
      </c>
      <c r="AC332" s="2438"/>
      <c r="AD332" s="2438">
        <v>30000</v>
      </c>
      <c r="AE332" s="2438">
        <v>20000</v>
      </c>
      <c r="AF332" s="2406">
        <f t="shared" si="75"/>
        <v>619000</v>
      </c>
      <c r="AG332" s="2304">
        <f t="shared" si="74"/>
        <v>619000</v>
      </c>
    </row>
    <row r="333" customHeight="1" spans="1:33">
      <c r="A333" s="2472"/>
      <c r="B333" s="2468" t="s">
        <v>10987</v>
      </c>
      <c r="C333" s="2286">
        <v>10</v>
      </c>
      <c r="D333" s="2286"/>
      <c r="E333" s="2286"/>
      <c r="F333" s="2286"/>
      <c r="G333" s="2491" t="s">
        <v>10988</v>
      </c>
      <c r="H333" s="2492"/>
      <c r="I333" s="2221">
        <v>1000</v>
      </c>
      <c r="J333" s="2493">
        <v>0.040376</v>
      </c>
      <c r="K333" s="2221">
        <f t="shared" si="72"/>
        <v>24767</v>
      </c>
      <c r="L333" s="2405">
        <v>1212</v>
      </c>
      <c r="M333" s="2405">
        <v>1615</v>
      </c>
      <c r="N333" s="2405">
        <v>1615</v>
      </c>
      <c r="O333" s="2405">
        <v>1413</v>
      </c>
      <c r="P333" s="2405">
        <v>1696</v>
      </c>
      <c r="Q333" s="2405">
        <v>1534</v>
      </c>
      <c r="R333" s="2405">
        <v>1413</v>
      </c>
      <c r="S333" s="2405">
        <v>1535</v>
      </c>
      <c r="T333" s="2405">
        <v>1211</v>
      </c>
      <c r="U333" s="2405">
        <v>1292</v>
      </c>
      <c r="V333" s="2405">
        <v>1211</v>
      </c>
      <c r="W333" s="2405">
        <v>1413</v>
      </c>
      <c r="X333" s="2405">
        <v>1212</v>
      </c>
      <c r="Y333" s="2405">
        <v>1615</v>
      </c>
      <c r="Z333" s="2405">
        <v>1211</v>
      </c>
      <c r="AA333" s="2405">
        <v>1211</v>
      </c>
      <c r="AB333" s="2405">
        <v>1211</v>
      </c>
      <c r="AC333" s="2405"/>
      <c r="AD333" s="2405">
        <v>1212</v>
      </c>
      <c r="AE333" s="2405">
        <v>807</v>
      </c>
      <c r="AF333" s="2406">
        <f t="shared" si="75"/>
        <v>25639</v>
      </c>
      <c r="AG333" s="2292">
        <f t="shared" si="74"/>
        <v>635006</v>
      </c>
    </row>
    <row r="334" customHeight="1" spans="1:33">
      <c r="A334" s="2472"/>
      <c r="B334" s="2473"/>
      <c r="C334" s="2286"/>
      <c r="D334" s="2286"/>
      <c r="E334" s="2286"/>
      <c r="F334" s="2286"/>
      <c r="G334" s="2469" t="s">
        <v>10989</v>
      </c>
      <c r="H334" s="2441"/>
      <c r="I334" s="2161">
        <v>800</v>
      </c>
      <c r="J334" s="2470">
        <v>0.01854</v>
      </c>
      <c r="K334" s="2161">
        <f t="shared" si="72"/>
        <v>43150</v>
      </c>
      <c r="L334" s="2290">
        <v>800</v>
      </c>
      <c r="M334" s="2290">
        <v>498</v>
      </c>
      <c r="N334" s="2439">
        <v>742</v>
      </c>
      <c r="O334" s="2439">
        <v>800</v>
      </c>
      <c r="P334" s="2439">
        <v>800</v>
      </c>
      <c r="Q334" s="2439">
        <v>800</v>
      </c>
      <c r="R334" s="2439">
        <v>800</v>
      </c>
      <c r="S334" s="2439">
        <v>800</v>
      </c>
      <c r="T334" s="2439">
        <v>42</v>
      </c>
      <c r="U334" s="2439">
        <v>800</v>
      </c>
      <c r="V334" s="2439">
        <v>349</v>
      </c>
      <c r="W334" s="2439">
        <v>800</v>
      </c>
      <c r="X334" s="2439">
        <v>405</v>
      </c>
      <c r="Y334" s="2439">
        <v>742</v>
      </c>
      <c r="Z334" s="2439">
        <v>556</v>
      </c>
      <c r="AA334" s="2439">
        <v>556</v>
      </c>
      <c r="AB334" s="2439">
        <v>556</v>
      </c>
      <c r="AC334" s="2439"/>
      <c r="AD334" s="2439">
        <v>557</v>
      </c>
      <c r="AE334" s="2439">
        <v>370</v>
      </c>
      <c r="AF334" s="2406">
        <f t="shared" si="75"/>
        <v>11773</v>
      </c>
      <c r="AG334" s="2292">
        <f t="shared" si="74"/>
        <v>635005</v>
      </c>
    </row>
    <row r="335" customHeight="1" spans="1:33">
      <c r="A335" s="2472"/>
      <c r="B335" s="2473"/>
      <c r="C335" s="2286"/>
      <c r="D335" s="2286"/>
      <c r="E335" s="2286"/>
      <c r="F335" s="2286"/>
      <c r="G335" s="2522" t="s">
        <v>10951</v>
      </c>
      <c r="H335" s="2441" t="s">
        <v>10696</v>
      </c>
      <c r="I335" s="2161">
        <v>500</v>
      </c>
      <c r="J335" s="2523">
        <v>0.019</v>
      </c>
      <c r="K335" s="2161">
        <f t="shared" si="72"/>
        <v>26316</v>
      </c>
      <c r="L335" s="2295">
        <v>570</v>
      </c>
      <c r="M335" s="2295">
        <v>760</v>
      </c>
      <c r="N335" s="2405">
        <v>760</v>
      </c>
      <c r="O335" s="2405">
        <v>665</v>
      </c>
      <c r="P335" s="2405">
        <v>798</v>
      </c>
      <c r="Q335" s="2405">
        <v>722</v>
      </c>
      <c r="R335" s="2405">
        <v>665</v>
      </c>
      <c r="S335" s="2405">
        <v>722</v>
      </c>
      <c r="T335" s="2405">
        <v>0</v>
      </c>
      <c r="U335" s="2405">
        <v>0</v>
      </c>
      <c r="V335" s="2405">
        <v>0</v>
      </c>
      <c r="W335" s="2405">
        <v>0</v>
      </c>
      <c r="X335" s="2405">
        <v>0</v>
      </c>
      <c r="Y335" s="2405">
        <v>3743</v>
      </c>
      <c r="Z335" s="2405">
        <v>0</v>
      </c>
      <c r="AA335" s="2405">
        <v>0</v>
      </c>
      <c r="AB335" s="2405">
        <v>0</v>
      </c>
      <c r="AC335" s="2405"/>
      <c r="AD335" s="2405">
        <v>0</v>
      </c>
      <c r="AE335" s="2405">
        <v>0</v>
      </c>
      <c r="AF335" s="2406">
        <f t="shared" si="75"/>
        <v>9405</v>
      </c>
      <c r="AG335" s="2292">
        <f t="shared" si="74"/>
        <v>495000</v>
      </c>
    </row>
    <row r="336" customHeight="1" spans="1:33">
      <c r="A336" s="2472"/>
      <c r="B336" s="2473"/>
      <c r="C336" s="2286"/>
      <c r="D336" s="2286"/>
      <c r="E336" s="2286"/>
      <c r="F336" s="2286"/>
      <c r="G336" s="2524" t="s">
        <v>10952</v>
      </c>
      <c r="H336" s="2441" t="s">
        <v>10696</v>
      </c>
      <c r="I336" s="2161">
        <v>500</v>
      </c>
      <c r="J336" s="2523">
        <v>0.0317</v>
      </c>
      <c r="K336" s="2161"/>
      <c r="L336" s="2295"/>
      <c r="M336" s="2295"/>
      <c r="N336" s="2405"/>
      <c r="O336" s="2405"/>
      <c r="P336" s="2405"/>
      <c r="Q336" s="2405"/>
      <c r="R336" s="2405"/>
      <c r="S336" s="2405"/>
      <c r="T336" s="2405">
        <v>951</v>
      </c>
      <c r="U336" s="2405">
        <v>1015</v>
      </c>
      <c r="V336" s="2405">
        <v>951</v>
      </c>
      <c r="W336" s="2405">
        <v>1109</v>
      </c>
      <c r="X336" s="2405">
        <v>951</v>
      </c>
      <c r="Y336" s="2405">
        <v>1268</v>
      </c>
      <c r="Z336" s="2405">
        <v>951</v>
      </c>
      <c r="AA336" s="2405">
        <v>951</v>
      </c>
      <c r="AB336" s="2405">
        <v>951</v>
      </c>
      <c r="AC336" s="2405"/>
      <c r="AD336" s="2405">
        <v>951</v>
      </c>
      <c r="AE336" s="2405">
        <v>634</v>
      </c>
      <c r="AF336" s="2406">
        <f t="shared" si="75"/>
        <v>10683</v>
      </c>
      <c r="AG336" s="2292">
        <f t="shared" si="74"/>
        <v>337003</v>
      </c>
    </row>
    <row r="337" customHeight="1" spans="1:33">
      <c r="A337" s="2472"/>
      <c r="B337" s="2473"/>
      <c r="C337" s="2286"/>
      <c r="D337" s="2286"/>
      <c r="E337" s="2286"/>
      <c r="F337" s="2286"/>
      <c r="G337" s="2469" t="s">
        <v>10953</v>
      </c>
      <c r="H337" s="2441" t="s">
        <v>10907</v>
      </c>
      <c r="I337" s="2161">
        <v>500</v>
      </c>
      <c r="J337" s="2470">
        <v>0.002369</v>
      </c>
      <c r="K337" s="2161">
        <f t="shared" ref="K337:K344" si="76">ROUND(I337/J337,0)</f>
        <v>211060</v>
      </c>
      <c r="L337" s="2290">
        <v>400</v>
      </c>
      <c r="M337" s="2290"/>
      <c r="N337" s="2439"/>
      <c r="O337" s="2439"/>
      <c r="P337" s="2439"/>
      <c r="Q337" s="2439">
        <v>500</v>
      </c>
      <c r="R337" s="2439"/>
      <c r="S337" s="2439"/>
      <c r="T337" s="2439"/>
      <c r="U337" s="2439"/>
      <c r="V337" s="2439">
        <v>24</v>
      </c>
      <c r="W337" s="2439">
        <v>83</v>
      </c>
      <c r="X337" s="2439">
        <v>71</v>
      </c>
      <c r="Y337" s="2439">
        <v>95</v>
      </c>
      <c r="Z337" s="2439">
        <v>71</v>
      </c>
      <c r="AA337" s="2439">
        <v>71</v>
      </c>
      <c r="AB337" s="2439">
        <v>71</v>
      </c>
      <c r="AC337" s="2439"/>
      <c r="AD337" s="2439">
        <v>71</v>
      </c>
      <c r="AE337" s="2439">
        <v>48</v>
      </c>
      <c r="AF337" s="2406">
        <f t="shared" si="75"/>
        <v>1505</v>
      </c>
      <c r="AG337" s="2292">
        <f t="shared" si="74"/>
        <v>635289</v>
      </c>
    </row>
    <row r="338" customHeight="1" spans="1:33">
      <c r="A338" s="2472"/>
      <c r="B338" s="2473"/>
      <c r="C338" s="2286"/>
      <c r="D338" s="2286"/>
      <c r="E338" s="2286"/>
      <c r="F338" s="2286"/>
      <c r="G338" s="2524" t="s">
        <v>10954</v>
      </c>
      <c r="H338" s="2441" t="s">
        <v>10955</v>
      </c>
      <c r="I338" s="2161">
        <v>0</v>
      </c>
      <c r="J338" s="2470">
        <v>0.0041</v>
      </c>
      <c r="K338" s="2161"/>
      <c r="L338" s="2290"/>
      <c r="M338" s="2290"/>
      <c r="N338" s="2439"/>
      <c r="O338" s="2439"/>
      <c r="P338" s="2439"/>
      <c r="Q338" s="2439"/>
      <c r="R338" s="2439"/>
      <c r="S338" s="2439"/>
      <c r="T338" s="2439">
        <v>123</v>
      </c>
      <c r="U338" s="2439">
        <v>132</v>
      </c>
      <c r="V338" s="2439">
        <v>123</v>
      </c>
      <c r="W338" s="2439">
        <v>143</v>
      </c>
      <c r="X338" s="2439">
        <v>123</v>
      </c>
      <c r="Y338" s="2439">
        <v>164</v>
      </c>
      <c r="Z338" s="2439">
        <v>123</v>
      </c>
      <c r="AA338" s="2439">
        <v>123</v>
      </c>
      <c r="AB338" s="2439">
        <v>123</v>
      </c>
      <c r="AC338" s="2439"/>
      <c r="AD338" s="2439">
        <v>123</v>
      </c>
      <c r="AE338" s="2439">
        <v>82</v>
      </c>
      <c r="AF338" s="2406">
        <f t="shared" si="75"/>
        <v>1382</v>
      </c>
      <c r="AG338" s="2292">
        <f t="shared" si="74"/>
        <v>337073</v>
      </c>
    </row>
    <row r="339" customHeight="1" spans="1:33">
      <c r="A339" s="2472"/>
      <c r="B339" s="2473"/>
      <c r="C339" s="2286"/>
      <c r="D339" s="2286"/>
      <c r="E339" s="2286"/>
      <c r="F339" s="2286"/>
      <c r="G339" s="2469" t="s">
        <v>9106</v>
      </c>
      <c r="H339" s="2441" t="s">
        <v>10890</v>
      </c>
      <c r="I339" s="2161">
        <v>0</v>
      </c>
      <c r="J339" s="2470">
        <v>2</v>
      </c>
      <c r="K339" s="2161">
        <f t="shared" si="76"/>
        <v>0</v>
      </c>
      <c r="L339" s="2295">
        <v>60000</v>
      </c>
      <c r="M339" s="2295">
        <v>80000</v>
      </c>
      <c r="N339" s="2405">
        <v>80000</v>
      </c>
      <c r="O339" s="2405">
        <v>70000</v>
      </c>
      <c r="P339" s="2405">
        <v>84000</v>
      </c>
      <c r="Q339" s="2405">
        <v>76000</v>
      </c>
      <c r="R339" s="2405">
        <v>70000</v>
      </c>
      <c r="S339" s="2405">
        <v>76000</v>
      </c>
      <c r="T339" s="2405">
        <v>60000</v>
      </c>
      <c r="U339" s="2405">
        <v>64000</v>
      </c>
      <c r="V339" s="2405">
        <v>60000</v>
      </c>
      <c r="W339" s="2405">
        <v>70000</v>
      </c>
      <c r="X339" s="2405">
        <v>60000</v>
      </c>
      <c r="Y339" s="2405">
        <v>80000</v>
      </c>
      <c r="Z339" s="2405">
        <v>60000</v>
      </c>
      <c r="AA339" s="2405">
        <v>60000</v>
      </c>
      <c r="AB339" s="2405">
        <v>60000</v>
      </c>
      <c r="AC339" s="2405"/>
      <c r="AD339" s="2405">
        <v>60000</v>
      </c>
      <c r="AE339" s="2405">
        <v>40000</v>
      </c>
      <c r="AF339" s="2406">
        <f t="shared" si="75"/>
        <v>1270000</v>
      </c>
      <c r="AG339" s="2292">
        <f t="shared" si="74"/>
        <v>635000</v>
      </c>
    </row>
    <row r="340" customHeight="1" spans="1:33">
      <c r="A340" s="2472"/>
      <c r="B340" s="2473"/>
      <c r="C340" s="2286"/>
      <c r="D340" s="2286"/>
      <c r="E340" s="2286"/>
      <c r="F340" s="2286"/>
      <c r="G340" s="2469" t="s">
        <v>10956</v>
      </c>
      <c r="H340" s="2441" t="s">
        <v>10957</v>
      </c>
      <c r="I340" s="2161">
        <v>0</v>
      </c>
      <c r="J340" s="2470">
        <v>20</v>
      </c>
      <c r="K340" s="2161">
        <f t="shared" si="76"/>
        <v>0</v>
      </c>
      <c r="L340" s="2295">
        <v>600000</v>
      </c>
      <c r="M340" s="2295">
        <v>800000</v>
      </c>
      <c r="N340" s="2405">
        <v>800000</v>
      </c>
      <c r="O340" s="2405">
        <v>700000</v>
      </c>
      <c r="P340" s="2405">
        <v>840000</v>
      </c>
      <c r="Q340" s="2405">
        <v>760000</v>
      </c>
      <c r="R340" s="2405">
        <v>700000</v>
      </c>
      <c r="S340" s="2405">
        <v>760000</v>
      </c>
      <c r="T340" s="2405">
        <v>600000</v>
      </c>
      <c r="U340" s="2405">
        <v>640000</v>
      </c>
      <c r="V340" s="2405">
        <v>600000</v>
      </c>
      <c r="W340" s="2405">
        <v>700000</v>
      </c>
      <c r="X340" s="2405">
        <v>600000</v>
      </c>
      <c r="Y340" s="2405">
        <v>800000</v>
      </c>
      <c r="Z340" s="2405">
        <v>600000</v>
      </c>
      <c r="AA340" s="2405">
        <v>600000</v>
      </c>
      <c r="AB340" s="2405">
        <v>600000</v>
      </c>
      <c r="AC340" s="2405"/>
      <c r="AD340" s="2405">
        <v>600000</v>
      </c>
      <c r="AE340" s="2405">
        <v>400000</v>
      </c>
      <c r="AF340" s="2406">
        <f t="shared" si="75"/>
        <v>12700000</v>
      </c>
      <c r="AG340" s="2292">
        <f t="shared" si="74"/>
        <v>635000</v>
      </c>
    </row>
    <row r="341" customHeight="1" spans="1:33">
      <c r="A341" s="2472"/>
      <c r="B341" s="2473"/>
      <c r="C341" s="2286"/>
      <c r="D341" s="2286"/>
      <c r="E341" s="2286"/>
      <c r="F341" s="2286"/>
      <c r="G341" s="2469" t="s">
        <v>10958</v>
      </c>
      <c r="H341" s="2441" t="s">
        <v>10959</v>
      </c>
      <c r="I341" s="2161">
        <v>0</v>
      </c>
      <c r="J341" s="2470">
        <v>2.369</v>
      </c>
      <c r="K341" s="2161">
        <f t="shared" si="76"/>
        <v>0</v>
      </c>
      <c r="L341" s="2295">
        <v>71070</v>
      </c>
      <c r="M341" s="2295">
        <v>94760</v>
      </c>
      <c r="N341" s="2405">
        <v>94760</v>
      </c>
      <c r="O341" s="2405">
        <v>82915</v>
      </c>
      <c r="P341" s="2405">
        <v>99498</v>
      </c>
      <c r="Q341" s="2405">
        <v>90022</v>
      </c>
      <c r="R341" s="2405">
        <v>82915</v>
      </c>
      <c r="S341" s="2405">
        <v>90022</v>
      </c>
      <c r="T341" s="2405">
        <v>71070</v>
      </c>
      <c r="U341" s="2405">
        <v>75808</v>
      </c>
      <c r="V341" s="2405">
        <v>71070</v>
      </c>
      <c r="W341" s="2405">
        <v>82915</v>
      </c>
      <c r="X341" s="2405">
        <v>71070</v>
      </c>
      <c r="Y341" s="2405">
        <v>94760</v>
      </c>
      <c r="Z341" s="2405">
        <v>71070</v>
      </c>
      <c r="AA341" s="2405">
        <v>71070</v>
      </c>
      <c r="AB341" s="2405">
        <v>71070</v>
      </c>
      <c r="AC341" s="2405"/>
      <c r="AD341" s="2405">
        <v>71070</v>
      </c>
      <c r="AE341" s="2405">
        <v>47380</v>
      </c>
      <c r="AF341" s="2406">
        <f t="shared" si="75"/>
        <v>1504315</v>
      </c>
      <c r="AG341" s="2292">
        <f t="shared" si="74"/>
        <v>635000</v>
      </c>
    </row>
    <row r="342" s="2111" customFormat="1" customHeight="1" spans="1:33">
      <c r="A342" s="2472"/>
      <c r="B342" s="2473"/>
      <c r="C342" s="2286"/>
      <c r="D342" s="2286"/>
      <c r="E342" s="2286"/>
      <c r="F342" s="2286"/>
      <c r="G342" s="2469" t="s">
        <v>10960</v>
      </c>
      <c r="H342" s="2441"/>
      <c r="I342" s="2161">
        <v>0</v>
      </c>
      <c r="J342" s="2470">
        <v>12.875</v>
      </c>
      <c r="K342" s="2161">
        <f t="shared" si="76"/>
        <v>0</v>
      </c>
      <c r="L342" s="2295">
        <v>386250</v>
      </c>
      <c r="M342" s="2295">
        <v>515000</v>
      </c>
      <c r="N342" s="2405">
        <v>515000</v>
      </c>
      <c r="O342" s="2405">
        <v>450625</v>
      </c>
      <c r="P342" s="2405">
        <v>540750</v>
      </c>
      <c r="Q342" s="2405">
        <v>489250</v>
      </c>
      <c r="R342" s="2405">
        <v>450625</v>
      </c>
      <c r="S342" s="2405">
        <v>489250</v>
      </c>
      <c r="T342" s="2405">
        <v>386250</v>
      </c>
      <c r="U342" s="2405">
        <v>412000</v>
      </c>
      <c r="V342" s="2405">
        <v>386250</v>
      </c>
      <c r="W342" s="2405">
        <v>450625</v>
      </c>
      <c r="X342" s="2405">
        <v>386250</v>
      </c>
      <c r="Y342" s="2405">
        <v>515000</v>
      </c>
      <c r="Z342" s="2405">
        <v>386250</v>
      </c>
      <c r="AA342" s="2405">
        <v>386250</v>
      </c>
      <c r="AB342" s="2405">
        <v>386250</v>
      </c>
      <c r="AC342" s="2405"/>
      <c r="AD342" s="2405">
        <v>386250</v>
      </c>
      <c r="AE342" s="2405">
        <v>257500</v>
      </c>
      <c r="AF342" s="2406">
        <f t="shared" si="75"/>
        <v>8175625</v>
      </c>
      <c r="AG342" s="2292">
        <f t="shared" si="74"/>
        <v>635000</v>
      </c>
    </row>
    <row r="343" s="2111" customFormat="1" customHeight="1" spans="1:33">
      <c r="A343" s="2472"/>
      <c r="B343" s="2473"/>
      <c r="C343" s="2286"/>
      <c r="D343" s="2286"/>
      <c r="E343" s="2286"/>
      <c r="F343" s="2286"/>
      <c r="G343" s="2469" t="s">
        <v>10961</v>
      </c>
      <c r="H343" s="2441"/>
      <c r="I343" s="2161">
        <v>0</v>
      </c>
      <c r="J343" s="2470">
        <v>1</v>
      </c>
      <c r="K343" s="2161">
        <f t="shared" si="76"/>
        <v>0</v>
      </c>
      <c r="L343" s="2295">
        <v>30000</v>
      </c>
      <c r="M343" s="2295">
        <v>40000</v>
      </c>
      <c r="N343" s="2405">
        <v>40000</v>
      </c>
      <c r="O343" s="2405">
        <v>35000</v>
      </c>
      <c r="P343" s="2405">
        <v>42000</v>
      </c>
      <c r="Q343" s="2405">
        <v>38000</v>
      </c>
      <c r="R343" s="2405">
        <v>35000</v>
      </c>
      <c r="S343" s="2405">
        <v>38000</v>
      </c>
      <c r="T343" s="2405">
        <v>30000</v>
      </c>
      <c r="U343" s="2405">
        <v>32000</v>
      </c>
      <c r="V343" s="2405">
        <v>30000</v>
      </c>
      <c r="W343" s="2405">
        <v>35000</v>
      </c>
      <c r="X343" s="2405">
        <v>30000</v>
      </c>
      <c r="Y343" s="2405">
        <v>40000</v>
      </c>
      <c r="Z343" s="2405">
        <v>30000</v>
      </c>
      <c r="AA343" s="2405">
        <v>30000</v>
      </c>
      <c r="AB343" s="2405">
        <v>30000</v>
      </c>
      <c r="AC343" s="2405"/>
      <c r="AD343" s="2405">
        <v>30000</v>
      </c>
      <c r="AE343" s="2405">
        <v>20000</v>
      </c>
      <c r="AF343" s="2406">
        <f t="shared" si="75"/>
        <v>635000</v>
      </c>
      <c r="AG343" s="2292">
        <f t="shared" si="74"/>
        <v>635000</v>
      </c>
    </row>
    <row r="344" s="2111" customFormat="1" customHeight="1" spans="1:33">
      <c r="A344" s="2496"/>
      <c r="B344" s="2485"/>
      <c r="C344" s="2299"/>
      <c r="D344" s="2299"/>
      <c r="E344" s="2299"/>
      <c r="F344" s="2299"/>
      <c r="G344" s="2486" t="s">
        <v>10650</v>
      </c>
      <c r="H344" s="2487" t="s">
        <v>10650</v>
      </c>
      <c r="I344" s="2171">
        <v>0</v>
      </c>
      <c r="J344" s="2488">
        <v>1</v>
      </c>
      <c r="K344" s="2171">
        <f t="shared" si="76"/>
        <v>0</v>
      </c>
      <c r="L344" s="2302">
        <v>30000</v>
      </c>
      <c r="M344" s="2302">
        <v>40000</v>
      </c>
      <c r="N344" s="2302">
        <v>40000</v>
      </c>
      <c r="O344" s="2302">
        <v>35000</v>
      </c>
      <c r="P344" s="2302">
        <v>42000</v>
      </c>
      <c r="Q344" s="2302">
        <v>38000</v>
      </c>
      <c r="R344" s="2302">
        <v>35000</v>
      </c>
      <c r="S344" s="2302">
        <v>38000</v>
      </c>
      <c r="T344" s="2302">
        <v>30000</v>
      </c>
      <c r="U344" s="2302">
        <v>32000</v>
      </c>
      <c r="V344" s="2438">
        <v>30000</v>
      </c>
      <c r="W344" s="2438">
        <v>35000</v>
      </c>
      <c r="X344" s="2438">
        <v>30000</v>
      </c>
      <c r="Y344" s="2438">
        <v>40000</v>
      </c>
      <c r="Z344" s="2438">
        <v>30000</v>
      </c>
      <c r="AA344" s="2438">
        <v>30000</v>
      </c>
      <c r="AB344" s="2438">
        <v>30000</v>
      </c>
      <c r="AC344" s="2438"/>
      <c r="AD344" s="2438">
        <v>30000</v>
      </c>
      <c r="AE344" s="2438">
        <v>20000</v>
      </c>
      <c r="AF344" s="2406">
        <f t="shared" si="75"/>
        <v>635000</v>
      </c>
      <c r="AG344" s="2304">
        <f t="shared" si="74"/>
        <v>635000</v>
      </c>
    </row>
    <row r="345" s="2111" customFormat="1" customHeight="1" spans="1:33">
      <c r="A345" s="2497"/>
      <c r="B345" s="2498" t="s">
        <v>10630</v>
      </c>
      <c r="C345" s="2499">
        <f>SUM(C259:C344)</f>
        <v>60</v>
      </c>
      <c r="D345" s="2499">
        <f t="shared" ref="D345:F345" si="77">SUM(D309:D332)</f>
        <v>0</v>
      </c>
      <c r="E345" s="2499">
        <f t="shared" si="77"/>
        <v>0</v>
      </c>
      <c r="F345" s="2499">
        <f t="shared" si="77"/>
        <v>0</v>
      </c>
      <c r="G345" s="2314" t="s">
        <v>10923</v>
      </c>
      <c r="H345" s="2314"/>
      <c r="I345" s="2318"/>
      <c r="J345" s="2500"/>
      <c r="K345" s="2318"/>
      <c r="L345" s="2318">
        <v>2783768</v>
      </c>
      <c r="M345" s="2318">
        <v>3336626</v>
      </c>
      <c r="N345" s="2318">
        <v>3198173</v>
      </c>
      <c r="O345" s="2318">
        <v>2850806</v>
      </c>
      <c r="P345" s="2318">
        <v>3462329</v>
      </c>
      <c r="Q345" s="2318">
        <v>3255061</v>
      </c>
      <c r="R345" s="2318">
        <v>2879094</v>
      </c>
      <c r="S345" s="2318">
        <v>2962022</v>
      </c>
      <c r="T345" s="2318">
        <v>2641462</v>
      </c>
      <c r="U345" s="2318">
        <v>2684580</v>
      </c>
      <c r="V345" s="2318">
        <v>2502806</v>
      </c>
      <c r="W345" s="2318">
        <v>2921200</v>
      </c>
      <c r="X345" s="2318">
        <v>2505347</v>
      </c>
      <c r="Y345" s="2318">
        <v>3207484</v>
      </c>
      <c r="Z345" s="2318">
        <v>2573185</v>
      </c>
      <c r="AA345" s="2318">
        <v>2503479</v>
      </c>
      <c r="AB345" s="2318">
        <v>2364288</v>
      </c>
      <c r="AC345" s="2318">
        <v>695182</v>
      </c>
      <c r="AD345" s="2318">
        <v>1808367</v>
      </c>
      <c r="AE345" s="2318">
        <v>1766598</v>
      </c>
      <c r="AF345" s="2406">
        <f t="shared" si="75"/>
        <v>52901857</v>
      </c>
      <c r="AG345" s="2531">
        <f>AF355</f>
        <v>3803000</v>
      </c>
    </row>
    <row r="346" s="2111" customFormat="1" customHeight="1" spans="1:33">
      <c r="A346" s="2504"/>
      <c r="B346" s="2449"/>
      <c r="C346" s="2505"/>
      <c r="D346" s="2505"/>
      <c r="E346" s="2505"/>
      <c r="F346" s="2505"/>
      <c r="G346" s="2505" t="s">
        <v>10904</v>
      </c>
      <c r="H346" s="2505" t="s">
        <v>10685</v>
      </c>
      <c r="I346" s="2317">
        <v>0</v>
      </c>
      <c r="J346" s="2507"/>
      <c r="K346" s="2317"/>
      <c r="L346" s="2317">
        <v>5887</v>
      </c>
      <c r="M346" s="2317">
        <v>7485</v>
      </c>
      <c r="N346" s="2317">
        <v>6867</v>
      </c>
      <c r="O346" s="2317">
        <v>6241</v>
      </c>
      <c r="P346" s="2317">
        <v>7673</v>
      </c>
      <c r="Q346" s="2317">
        <v>6882</v>
      </c>
      <c r="R346" s="2317">
        <v>6363</v>
      </c>
      <c r="S346" s="2317">
        <v>6552</v>
      </c>
      <c r="T346" s="2317">
        <v>5747</v>
      </c>
      <c r="U346" s="2318">
        <v>5867</v>
      </c>
      <c r="V346" s="2318">
        <v>5614</v>
      </c>
      <c r="W346" s="2318">
        <v>6064</v>
      </c>
      <c r="X346" s="2318">
        <v>5614</v>
      </c>
      <c r="Y346" s="2318">
        <v>6869</v>
      </c>
      <c r="Z346" s="2318">
        <v>5613</v>
      </c>
      <c r="AA346" s="2318">
        <v>5833</v>
      </c>
      <c r="AB346" s="2318">
        <v>5523</v>
      </c>
      <c r="AC346" s="2318">
        <v>2110</v>
      </c>
      <c r="AD346" s="2318">
        <v>3308</v>
      </c>
      <c r="AE346" s="2318">
        <v>3691</v>
      </c>
      <c r="AF346" s="2406">
        <f t="shared" si="75"/>
        <v>115803</v>
      </c>
      <c r="AG346" s="2532"/>
    </row>
    <row r="347" s="2111" customFormat="1" customHeight="1" spans="1:33">
      <c r="A347" s="2504"/>
      <c r="B347" s="2449"/>
      <c r="C347" s="2505"/>
      <c r="D347" s="2505"/>
      <c r="E347" s="2505"/>
      <c r="F347" s="2505"/>
      <c r="G347" s="2505" t="s">
        <v>10951</v>
      </c>
      <c r="H347" s="2505" t="s">
        <v>10696</v>
      </c>
      <c r="I347" s="2317">
        <v>500</v>
      </c>
      <c r="J347" s="2507"/>
      <c r="K347" s="2317"/>
      <c r="L347" s="2317">
        <v>990</v>
      </c>
      <c r="M347" s="2317">
        <v>760</v>
      </c>
      <c r="N347" s="2317">
        <v>760</v>
      </c>
      <c r="O347" s="2317">
        <v>665</v>
      </c>
      <c r="P347" s="2317">
        <v>798</v>
      </c>
      <c r="Q347" s="2317">
        <v>1142</v>
      </c>
      <c r="R347" s="2317">
        <v>665</v>
      </c>
      <c r="S347" s="2317">
        <v>722</v>
      </c>
      <c r="T347" s="2317">
        <v>1070</v>
      </c>
      <c r="U347" s="2318">
        <v>1015</v>
      </c>
      <c r="V347" s="2318">
        <v>951</v>
      </c>
      <c r="W347" s="2318">
        <v>1228</v>
      </c>
      <c r="X347" s="2318">
        <v>951</v>
      </c>
      <c r="Y347" s="2318">
        <v>5011</v>
      </c>
      <c r="Z347" s="2318">
        <v>951</v>
      </c>
      <c r="AA347" s="2318">
        <v>951</v>
      </c>
      <c r="AB347" s="2318">
        <v>951</v>
      </c>
      <c r="AC347" s="2318">
        <v>0</v>
      </c>
      <c r="AD347" s="2318">
        <v>951</v>
      </c>
      <c r="AE347" s="2318">
        <v>753</v>
      </c>
      <c r="AF347" s="2406">
        <f t="shared" si="75"/>
        <v>21285</v>
      </c>
      <c r="AG347" s="2532"/>
    </row>
    <row r="348" s="2111" customFormat="1" customHeight="1" spans="1:33">
      <c r="A348" s="2504"/>
      <c r="B348" s="2449"/>
      <c r="C348" s="2505"/>
      <c r="D348" s="2505"/>
      <c r="E348" s="2505"/>
      <c r="F348" s="2505"/>
      <c r="G348" s="2505" t="s">
        <v>10953</v>
      </c>
      <c r="H348" s="2505" t="s">
        <v>10907</v>
      </c>
      <c r="I348" s="2317">
        <v>500</v>
      </c>
      <c r="J348" s="2507"/>
      <c r="K348" s="2317"/>
      <c r="L348" s="2317">
        <v>500</v>
      </c>
      <c r="M348" s="2317">
        <v>0</v>
      </c>
      <c r="N348" s="2317">
        <v>0</v>
      </c>
      <c r="O348" s="2317">
        <v>0</v>
      </c>
      <c r="P348" s="2317">
        <v>0</v>
      </c>
      <c r="Q348" s="2317">
        <v>500</v>
      </c>
      <c r="R348" s="2317">
        <v>0</v>
      </c>
      <c r="S348" s="2317">
        <v>0</v>
      </c>
      <c r="T348" s="2317">
        <v>0</v>
      </c>
      <c r="U348" s="2318">
        <v>0</v>
      </c>
      <c r="V348" s="2318">
        <v>24</v>
      </c>
      <c r="W348" s="2318">
        <v>107</v>
      </c>
      <c r="X348" s="2318">
        <v>71</v>
      </c>
      <c r="Y348" s="2318">
        <v>95</v>
      </c>
      <c r="Z348" s="2318">
        <v>71</v>
      </c>
      <c r="AA348" s="2318">
        <v>71</v>
      </c>
      <c r="AB348" s="2318">
        <v>71</v>
      </c>
      <c r="AC348" s="2318">
        <v>0</v>
      </c>
      <c r="AD348" s="2318">
        <v>71</v>
      </c>
      <c r="AE348" s="2318">
        <v>71</v>
      </c>
      <c r="AF348" s="2406">
        <f t="shared" si="75"/>
        <v>1652</v>
      </c>
      <c r="AG348" s="2532"/>
    </row>
    <row r="349" s="2111" customFormat="1" customHeight="1" spans="1:33">
      <c r="A349" s="2504"/>
      <c r="B349" s="2449"/>
      <c r="C349" s="2505"/>
      <c r="D349" s="2505"/>
      <c r="E349" s="2505"/>
      <c r="F349" s="2505"/>
      <c r="G349" s="2505" t="s">
        <v>9106</v>
      </c>
      <c r="H349" s="2505" t="s">
        <v>10890</v>
      </c>
      <c r="I349" s="2317">
        <v>0</v>
      </c>
      <c r="J349" s="2507"/>
      <c r="K349" s="2317"/>
      <c r="L349" s="2317">
        <v>400000</v>
      </c>
      <c r="M349" s="2317">
        <v>480000</v>
      </c>
      <c r="N349" s="2317">
        <v>460000</v>
      </c>
      <c r="O349" s="2317">
        <v>410000</v>
      </c>
      <c r="P349" s="2317">
        <v>498000</v>
      </c>
      <c r="Q349" s="2317">
        <v>468000</v>
      </c>
      <c r="R349" s="2317">
        <v>414000</v>
      </c>
      <c r="S349" s="2317">
        <v>426000</v>
      </c>
      <c r="T349" s="2317">
        <v>380000</v>
      </c>
      <c r="U349" s="2318">
        <v>386000</v>
      </c>
      <c r="V349" s="2318">
        <v>360000</v>
      </c>
      <c r="W349" s="2318">
        <v>420000</v>
      </c>
      <c r="X349" s="2318">
        <v>360000</v>
      </c>
      <c r="Y349" s="2318">
        <v>460000</v>
      </c>
      <c r="Z349" s="2318">
        <v>370000</v>
      </c>
      <c r="AA349" s="2318">
        <v>360000</v>
      </c>
      <c r="AB349" s="2318">
        <v>340000</v>
      </c>
      <c r="AC349" s="2318">
        <v>100000</v>
      </c>
      <c r="AD349" s="2318">
        <v>260000</v>
      </c>
      <c r="AE349" s="2318">
        <v>254000</v>
      </c>
      <c r="AF349" s="2406">
        <f t="shared" si="75"/>
        <v>7606000</v>
      </c>
      <c r="AG349" s="2532"/>
    </row>
    <row r="350" s="2111" customFormat="1" customHeight="1" spans="1:33">
      <c r="A350" s="2504"/>
      <c r="B350" s="2449"/>
      <c r="C350" s="2505"/>
      <c r="D350" s="2505"/>
      <c r="E350" s="2505"/>
      <c r="F350" s="2505"/>
      <c r="G350" s="2505" t="s">
        <v>10956</v>
      </c>
      <c r="H350" s="2505" t="s">
        <v>10957</v>
      </c>
      <c r="I350" s="2317">
        <v>0</v>
      </c>
      <c r="J350" s="2507"/>
      <c r="K350" s="2317"/>
      <c r="L350" s="2317">
        <v>4000000</v>
      </c>
      <c r="M350" s="2317">
        <v>4800000</v>
      </c>
      <c r="N350" s="2317">
        <v>4600000</v>
      </c>
      <c r="O350" s="2317">
        <v>4100000</v>
      </c>
      <c r="P350" s="2317">
        <v>4980000</v>
      </c>
      <c r="Q350" s="2317">
        <v>4680000</v>
      </c>
      <c r="R350" s="2317">
        <v>4140000</v>
      </c>
      <c r="S350" s="2317">
        <v>4260000</v>
      </c>
      <c r="T350" s="2317">
        <v>3800000</v>
      </c>
      <c r="U350" s="2318">
        <v>3860000</v>
      </c>
      <c r="V350" s="2318">
        <v>3600000</v>
      </c>
      <c r="W350" s="2318">
        <v>4200000</v>
      </c>
      <c r="X350" s="2318">
        <v>3600000</v>
      </c>
      <c r="Y350" s="2318">
        <v>4600000</v>
      </c>
      <c r="Z350" s="2318">
        <v>3700000</v>
      </c>
      <c r="AA350" s="2318">
        <v>3600000</v>
      </c>
      <c r="AB350" s="2318">
        <v>3400000</v>
      </c>
      <c r="AC350" s="2318">
        <v>1000000</v>
      </c>
      <c r="AD350" s="2318">
        <v>2600000</v>
      </c>
      <c r="AE350" s="2318">
        <v>2540000</v>
      </c>
      <c r="AF350" s="2406">
        <f t="shared" si="75"/>
        <v>76060000</v>
      </c>
      <c r="AG350" s="2532"/>
    </row>
    <row r="351" s="2111" customFormat="1" customHeight="1" spans="1:33">
      <c r="A351" s="2504"/>
      <c r="B351" s="2449"/>
      <c r="C351" s="2505"/>
      <c r="D351" s="2505"/>
      <c r="E351" s="2505"/>
      <c r="F351" s="2505"/>
      <c r="G351" s="2505" t="s">
        <v>10958</v>
      </c>
      <c r="H351" s="2505" t="s">
        <v>10959</v>
      </c>
      <c r="I351" s="2317">
        <v>0</v>
      </c>
      <c r="J351" s="2507"/>
      <c r="K351" s="2317"/>
      <c r="L351" s="2317">
        <v>473800</v>
      </c>
      <c r="M351" s="2317">
        <v>568560</v>
      </c>
      <c r="N351" s="2317">
        <v>544870</v>
      </c>
      <c r="O351" s="2317">
        <v>485645</v>
      </c>
      <c r="P351" s="2317">
        <v>589881</v>
      </c>
      <c r="Q351" s="2317">
        <v>554346</v>
      </c>
      <c r="R351" s="2317">
        <v>490383</v>
      </c>
      <c r="S351" s="2317">
        <v>504597</v>
      </c>
      <c r="T351" s="2317">
        <v>450110</v>
      </c>
      <c r="U351" s="2318">
        <v>457217</v>
      </c>
      <c r="V351" s="2318">
        <v>426420</v>
      </c>
      <c r="W351" s="2318">
        <v>497490</v>
      </c>
      <c r="X351" s="2318">
        <v>426420</v>
      </c>
      <c r="Y351" s="2318">
        <v>544870</v>
      </c>
      <c r="Z351" s="2318">
        <v>438265</v>
      </c>
      <c r="AA351" s="2318">
        <v>426420</v>
      </c>
      <c r="AB351" s="2318">
        <v>402730</v>
      </c>
      <c r="AC351" s="2318">
        <v>118452</v>
      </c>
      <c r="AD351" s="2318">
        <v>307970</v>
      </c>
      <c r="AE351" s="2318">
        <v>300863</v>
      </c>
      <c r="AF351" s="2406">
        <f t="shared" si="75"/>
        <v>9009309</v>
      </c>
      <c r="AG351" s="2532"/>
    </row>
    <row r="352" s="2111" customFormat="1" customHeight="1" spans="1:33">
      <c r="A352" s="2504"/>
      <c r="B352" s="2449"/>
      <c r="C352" s="2505"/>
      <c r="D352" s="2505"/>
      <c r="E352" s="2505"/>
      <c r="F352" s="2505"/>
      <c r="G352" s="2505" t="s">
        <v>10969</v>
      </c>
      <c r="H352" s="2505" t="s">
        <v>10970</v>
      </c>
      <c r="I352" s="2317">
        <v>500</v>
      </c>
      <c r="J352" s="2507"/>
      <c r="K352" s="2317"/>
      <c r="L352" s="2317">
        <v>1140</v>
      </c>
      <c r="M352" s="2317">
        <v>1520</v>
      </c>
      <c r="N352" s="2317">
        <v>1520</v>
      </c>
      <c r="O352" s="2317">
        <v>1330</v>
      </c>
      <c r="P352" s="2317">
        <v>1596</v>
      </c>
      <c r="Q352" s="2317">
        <v>1330</v>
      </c>
      <c r="R352" s="2317">
        <v>1330</v>
      </c>
      <c r="S352" s="2317">
        <v>1330</v>
      </c>
      <c r="T352" s="2317">
        <v>939</v>
      </c>
      <c r="U352" s="2318">
        <v>1049</v>
      </c>
      <c r="V352" s="2318">
        <v>939</v>
      </c>
      <c r="W352" s="2318">
        <v>1095</v>
      </c>
      <c r="X352" s="2318">
        <v>939</v>
      </c>
      <c r="Y352" s="2318">
        <v>8795</v>
      </c>
      <c r="Z352" s="2318">
        <v>1017</v>
      </c>
      <c r="AA352" s="2318">
        <v>939</v>
      </c>
      <c r="AB352" s="2318">
        <v>861</v>
      </c>
      <c r="AC352" s="2318">
        <v>392</v>
      </c>
      <c r="AD352" s="2318">
        <v>626</v>
      </c>
      <c r="AE352" s="2318">
        <v>626</v>
      </c>
      <c r="AF352" s="2406">
        <f t="shared" si="75"/>
        <v>29313</v>
      </c>
      <c r="AG352" s="2532"/>
    </row>
    <row r="353" s="2111" customFormat="1" customHeight="1" spans="1:37">
      <c r="A353" s="2504"/>
      <c r="B353" s="2449"/>
      <c r="C353" s="2505"/>
      <c r="D353" s="2505"/>
      <c r="E353" s="2505"/>
      <c r="F353" s="2505"/>
      <c r="G353" s="2505" t="s">
        <v>10972</v>
      </c>
      <c r="H353" s="2505" t="s">
        <v>10973</v>
      </c>
      <c r="I353" s="2317">
        <v>500</v>
      </c>
      <c r="J353" s="2507"/>
      <c r="K353" s="2317"/>
      <c r="L353" s="2317">
        <v>500</v>
      </c>
      <c r="M353" s="2317">
        <v>0</v>
      </c>
      <c r="N353" s="2317">
        <v>500</v>
      </c>
      <c r="O353" s="2317">
        <v>0</v>
      </c>
      <c r="P353" s="2317">
        <v>0</v>
      </c>
      <c r="Q353" s="2317">
        <v>500</v>
      </c>
      <c r="R353" s="2317">
        <v>0</v>
      </c>
      <c r="S353" s="2317">
        <v>0</v>
      </c>
      <c r="T353" s="2317">
        <v>500</v>
      </c>
      <c r="U353" s="2318">
        <v>0</v>
      </c>
      <c r="V353" s="2318">
        <v>0</v>
      </c>
      <c r="W353" s="2318">
        <v>0</v>
      </c>
      <c r="X353" s="2318">
        <v>135</v>
      </c>
      <c r="Y353" s="2318">
        <v>190</v>
      </c>
      <c r="Z353" s="2318">
        <v>154</v>
      </c>
      <c r="AA353" s="2318">
        <v>142</v>
      </c>
      <c r="AB353" s="2318">
        <v>130</v>
      </c>
      <c r="AC353" s="2318">
        <v>60</v>
      </c>
      <c r="AD353" s="2318">
        <v>94</v>
      </c>
      <c r="AE353" s="2318">
        <v>96</v>
      </c>
      <c r="AF353" s="2406">
        <f t="shared" si="75"/>
        <v>3001</v>
      </c>
      <c r="AG353" s="2532"/>
    </row>
    <row r="354" s="2111" customFormat="1" customHeight="1" spans="1:37">
      <c r="A354" s="2504"/>
      <c r="B354" s="2449"/>
      <c r="C354" s="2505"/>
      <c r="D354" s="2505"/>
      <c r="E354" s="2505"/>
      <c r="F354" s="2505"/>
      <c r="G354" s="2505" t="s">
        <v>10906</v>
      </c>
      <c r="H354" s="2505" t="s">
        <v>10980</v>
      </c>
      <c r="I354" s="2317">
        <v>800</v>
      </c>
      <c r="J354" s="2507"/>
      <c r="K354" s="2317"/>
      <c r="L354" s="2317">
        <v>2108</v>
      </c>
      <c r="M354" s="2317">
        <v>2132</v>
      </c>
      <c r="N354" s="2317">
        <v>2423</v>
      </c>
      <c r="O354" s="2317">
        <v>2325</v>
      </c>
      <c r="P354" s="2317">
        <v>2630</v>
      </c>
      <c r="Q354" s="2317">
        <v>1828</v>
      </c>
      <c r="R354" s="2317">
        <v>2325</v>
      </c>
      <c r="S354" s="2317">
        <v>1915</v>
      </c>
      <c r="T354" s="2317">
        <v>1817</v>
      </c>
      <c r="U354" s="2318">
        <v>1938</v>
      </c>
      <c r="V354" s="2318">
        <v>1817</v>
      </c>
      <c r="W354" s="2318">
        <v>2119</v>
      </c>
      <c r="X354" s="2318">
        <v>1817</v>
      </c>
      <c r="Y354" s="2318">
        <v>2423</v>
      </c>
      <c r="Z354" s="2318">
        <v>1817</v>
      </c>
      <c r="AA354" s="2318">
        <v>1599</v>
      </c>
      <c r="AB354" s="2318">
        <v>1599</v>
      </c>
      <c r="AC354" s="2318">
        <v>212</v>
      </c>
      <c r="AD354" s="2318">
        <v>1647</v>
      </c>
      <c r="AE354" s="2318">
        <v>1212</v>
      </c>
      <c r="AF354" s="2406">
        <f t="shared" si="75"/>
        <v>37703</v>
      </c>
      <c r="AG354" s="2532"/>
    </row>
    <row r="355" s="2111" customFormat="1" customHeight="1" spans="1:37">
      <c r="A355" s="2511"/>
      <c r="B355" s="2452"/>
      <c r="C355" s="2324"/>
      <c r="D355" s="2324"/>
      <c r="E355" s="2324"/>
      <c r="F355" s="2324"/>
      <c r="G355" s="2324" t="s">
        <v>10650</v>
      </c>
      <c r="H355" s="2324" t="s">
        <v>10650</v>
      </c>
      <c r="I355" s="2326"/>
      <c r="J355" s="2512"/>
      <c r="K355" s="2326"/>
      <c r="L355" s="2317">
        <v>200000</v>
      </c>
      <c r="M355" s="2317">
        <v>240000</v>
      </c>
      <c r="N355" s="2317">
        <v>230000</v>
      </c>
      <c r="O355" s="2317">
        <v>205000</v>
      </c>
      <c r="P355" s="2317">
        <v>249000</v>
      </c>
      <c r="Q355" s="2326">
        <v>234000</v>
      </c>
      <c r="R355" s="2326">
        <v>207000</v>
      </c>
      <c r="S355" s="2326">
        <v>213000</v>
      </c>
      <c r="T355" s="2326">
        <v>190000</v>
      </c>
      <c r="U355" s="2533">
        <v>193000</v>
      </c>
      <c r="V355" s="2533">
        <v>180000</v>
      </c>
      <c r="W355" s="2533">
        <v>210000</v>
      </c>
      <c r="X355" s="2533">
        <v>180000</v>
      </c>
      <c r="Y355" s="2533">
        <v>230000</v>
      </c>
      <c r="Z355" s="2533">
        <v>185000</v>
      </c>
      <c r="AA355" s="2533">
        <v>180000</v>
      </c>
      <c r="AB355" s="2533">
        <v>170000</v>
      </c>
      <c r="AC355" s="2533">
        <v>50000</v>
      </c>
      <c r="AD355" s="2533">
        <v>130000</v>
      </c>
      <c r="AE355" s="2533">
        <v>127000</v>
      </c>
      <c r="AF355" s="2406">
        <f t="shared" si="75"/>
        <v>3803000</v>
      </c>
      <c r="AG355" s="2534"/>
    </row>
    <row r="356" s="2111" customFormat="1" customHeight="1" spans="1:37">
      <c r="A356" s="2535"/>
      <c r="B356" s="2536"/>
      <c r="C356" s="2536"/>
      <c r="D356" s="2536"/>
      <c r="E356" s="2536"/>
      <c r="F356" s="2536"/>
      <c r="G356" s="2536"/>
      <c r="H356" s="2536"/>
      <c r="I356" s="2537"/>
      <c r="J356" s="2538"/>
      <c r="K356" s="2537"/>
      <c r="L356" s="2537"/>
      <c r="M356" s="2537"/>
      <c r="N356" s="2537"/>
      <c r="O356" s="2537"/>
      <c r="P356" s="2537"/>
      <c r="Q356" s="2537"/>
      <c r="R356" s="2537"/>
      <c r="S356" s="2537"/>
      <c r="T356" s="2539"/>
      <c r="U356" s="2540"/>
    </row>
    <row r="357" s="2111" customFormat="1" customHeight="1" spans="1:37">
      <c r="A357" s="2535"/>
      <c r="B357" s="2536"/>
      <c r="C357" s="2536"/>
      <c r="D357" s="2536"/>
      <c r="E357" s="2536"/>
      <c r="F357" s="2536"/>
      <c r="G357" s="2536"/>
      <c r="H357" s="2536"/>
      <c r="I357" s="2537"/>
      <c r="J357" s="2538"/>
      <c r="K357" s="2537"/>
      <c r="L357" s="2537"/>
      <c r="M357" s="2537"/>
      <c r="N357" s="2537"/>
      <c r="O357" s="2537"/>
      <c r="P357" s="2537"/>
      <c r="Q357" s="2537"/>
      <c r="R357" s="2537"/>
      <c r="S357" s="2537"/>
      <c r="T357" s="2539"/>
      <c r="U357" s="2540"/>
    </row>
    <row r="358" s="2111" customFormat="1" customHeight="1" spans="1:37">
      <c r="A358" s="2535"/>
      <c r="B358" s="2536"/>
      <c r="C358" s="2536"/>
      <c r="D358" s="2536"/>
      <c r="E358" s="2536"/>
      <c r="F358" s="2536"/>
      <c r="G358" s="2536"/>
      <c r="H358" s="2536"/>
      <c r="I358" s="2537"/>
      <c r="J358" s="2538"/>
      <c r="K358" s="2537"/>
      <c r="L358" s="2537"/>
      <c r="M358" s="2537"/>
      <c r="N358" s="2537"/>
      <c r="O358" s="2537"/>
      <c r="P358" s="2537"/>
      <c r="Q358" s="2537"/>
      <c r="R358" s="2537"/>
      <c r="S358" s="2537"/>
      <c r="T358" s="2539"/>
      <c r="U358" s="2540"/>
    </row>
    <row r="359" s="2111" customFormat="1" customHeight="1" spans="1:37">
      <c r="A359" s="2535"/>
      <c r="B359" s="2536"/>
      <c r="C359" s="2536"/>
      <c r="D359" s="2536"/>
      <c r="E359" s="2536"/>
      <c r="F359" s="2536"/>
      <c r="G359" s="2536"/>
      <c r="H359" s="2536"/>
      <c r="I359" s="2537"/>
      <c r="J359" s="2538"/>
      <c r="K359" s="2537"/>
      <c r="L359" s="2537"/>
      <c r="M359" s="2537"/>
      <c r="N359" s="2537"/>
      <c r="O359" s="2537"/>
      <c r="P359" s="2537"/>
      <c r="Q359" s="2537"/>
      <c r="R359" s="2537"/>
      <c r="S359" s="2537"/>
      <c r="T359" s="2539"/>
      <c r="U359" s="2540"/>
    </row>
    <row r="360" s="2111" customFormat="1" customHeight="1" spans="1:37">
      <c r="A360" s="2535"/>
      <c r="B360" s="2536"/>
      <c r="C360" s="2536"/>
      <c r="D360" s="2536"/>
      <c r="E360" s="2536"/>
      <c r="F360" s="2536"/>
      <c r="G360" s="2536"/>
      <c r="H360" s="2536"/>
      <c r="I360" s="2537"/>
      <c r="J360" s="2538"/>
      <c r="K360" s="2537"/>
      <c r="L360" s="2537"/>
      <c r="M360" s="2537"/>
      <c r="N360" s="2537"/>
      <c r="O360" s="2537"/>
      <c r="P360" s="2537"/>
      <c r="Q360" s="2537"/>
      <c r="R360" s="2537"/>
      <c r="S360" s="2537"/>
      <c r="T360" s="2539"/>
      <c r="U360" s="2540"/>
    </row>
    <row r="361" s="2111" customFormat="1" customHeight="1" spans="1:37">
      <c r="A361" s="2535"/>
      <c r="B361" s="2536"/>
      <c r="C361" s="2536"/>
      <c r="D361" s="2536"/>
      <c r="E361" s="2536"/>
      <c r="F361" s="2536"/>
      <c r="G361" s="2536"/>
      <c r="H361" s="2536"/>
      <c r="I361" s="2537"/>
      <c r="J361" s="2538"/>
      <c r="K361" s="2537"/>
      <c r="L361" s="2537"/>
      <c r="M361" s="2537"/>
      <c r="N361" s="2537"/>
      <c r="O361" s="2537"/>
      <c r="P361" s="2537"/>
      <c r="Q361" s="2537"/>
      <c r="R361" s="2537"/>
      <c r="S361" s="2537"/>
      <c r="T361" s="2539"/>
      <c r="U361" s="2540"/>
    </row>
    <row r="364" customHeight="1" spans="1:37">
      <c r="A364" s="2244" t="s">
        <v>10579</v>
      </c>
      <c r="B364" s="2245" t="s">
        <v>10580</v>
      </c>
      <c r="C364" s="2246" t="s">
        <v>10581</v>
      </c>
      <c r="D364" s="2247" t="s">
        <v>10581</v>
      </c>
      <c r="E364" s="2247" t="s">
        <v>10581</v>
      </c>
      <c r="F364" s="2248" t="s">
        <v>10581</v>
      </c>
      <c r="G364" s="2246" t="s">
        <v>10583</v>
      </c>
      <c r="H364" s="2246" t="s">
        <v>10584</v>
      </c>
      <c r="I364" s="2246" t="s">
        <v>39</v>
      </c>
      <c r="J364" s="2246" t="s">
        <v>10990</v>
      </c>
      <c r="K364" s="2246" t="s">
        <v>10991</v>
      </c>
      <c r="L364" s="2250" t="s">
        <v>10585</v>
      </c>
      <c r="M364" s="2388" t="s">
        <v>10992</v>
      </c>
      <c r="N364" s="2541" t="s">
        <v>10993</v>
      </c>
      <c r="O364" s="2541" t="s">
        <v>10994</v>
      </c>
      <c r="P364" s="2251" t="s">
        <v>10995</v>
      </c>
      <c r="Q364" s="2251" t="s">
        <v>10996</v>
      </c>
      <c r="R364" s="2251" t="s">
        <v>10997</v>
      </c>
      <c r="S364" s="2251" t="s">
        <v>10998</v>
      </c>
      <c r="T364" s="2251" t="s">
        <v>10999</v>
      </c>
      <c r="U364" s="2251" t="s">
        <v>11000</v>
      </c>
      <c r="V364" s="2251" t="s">
        <v>11001</v>
      </c>
      <c r="W364" s="2251" t="s">
        <v>11002</v>
      </c>
      <c r="X364" s="2252" t="s">
        <v>11003</v>
      </c>
      <c r="Y364" s="2252" t="s">
        <v>11004</v>
      </c>
      <c r="Z364" s="2252" t="s">
        <v>11005</v>
      </c>
      <c r="AA364" s="2252" t="s">
        <v>11006</v>
      </c>
      <c r="AB364" s="2252" t="s">
        <v>11007</v>
      </c>
      <c r="AC364" s="2252" t="s">
        <v>11008</v>
      </c>
      <c r="AD364" s="2252" t="s">
        <v>11009</v>
      </c>
      <c r="AE364" s="2252" t="s">
        <v>11010</v>
      </c>
      <c r="AF364" s="2252" t="s">
        <v>11010</v>
      </c>
      <c r="AG364" s="2252" t="s">
        <v>11011</v>
      </c>
      <c r="AH364" s="2252" t="s">
        <v>11012</v>
      </c>
      <c r="AI364" s="2252" t="s">
        <v>11013</v>
      </c>
      <c r="AJ364" s="2253" t="s">
        <v>10597</v>
      </c>
      <c r="AK364" s="2254" t="s">
        <v>11014</v>
      </c>
    </row>
    <row r="365" customHeight="1" spans="1:37">
      <c r="A365" s="2255" t="s">
        <v>10599</v>
      </c>
      <c r="B365" s="2256"/>
      <c r="C365" s="2257" t="s">
        <v>10600</v>
      </c>
      <c r="D365" s="2258" t="s">
        <v>10601</v>
      </c>
      <c r="E365" s="2258" t="s">
        <v>10602</v>
      </c>
      <c r="F365" s="2259" t="s">
        <v>10603</v>
      </c>
      <c r="G365" s="2260"/>
      <c r="H365" s="2260"/>
      <c r="I365" s="2260"/>
      <c r="J365" s="2260"/>
      <c r="K365" s="2260"/>
      <c r="L365" s="2261"/>
      <c r="M365" s="2389"/>
      <c r="N365" s="2389"/>
      <c r="O365" s="2389"/>
      <c r="P365" s="2258">
        <v>45006</v>
      </c>
      <c r="Q365" s="2258">
        <v>45112</v>
      </c>
      <c r="R365" s="2258">
        <v>45156</v>
      </c>
      <c r="S365" s="2258">
        <v>45218</v>
      </c>
      <c r="T365" s="2258">
        <v>45275</v>
      </c>
      <c r="U365" s="2258">
        <v>45316</v>
      </c>
      <c r="V365" s="2258">
        <v>45384</v>
      </c>
      <c r="W365" s="2258">
        <v>45411</v>
      </c>
      <c r="X365" s="2262">
        <v>45425</v>
      </c>
      <c r="Y365" s="2262">
        <v>45482</v>
      </c>
      <c r="Z365" s="2262">
        <v>45511</v>
      </c>
      <c r="AA365" s="2262">
        <v>45560</v>
      </c>
      <c r="AB365" s="2542">
        <v>45625</v>
      </c>
      <c r="AC365" s="2543">
        <v>45729</v>
      </c>
      <c r="AD365" s="2543">
        <v>45749</v>
      </c>
      <c r="AE365" s="2543">
        <v>45786</v>
      </c>
      <c r="AF365" s="2543">
        <v>45800</v>
      </c>
      <c r="AG365" s="2543">
        <v>45807</v>
      </c>
      <c r="AH365" s="2543">
        <v>45861</v>
      </c>
      <c r="AI365" s="2543">
        <v>45894</v>
      </c>
      <c r="AJ365" s="2261"/>
      <c r="AK365" s="2263"/>
    </row>
    <row r="366" customHeight="1" spans="1:37">
      <c r="A366" s="2264" t="s">
        <v>10604</v>
      </c>
      <c r="B366" s="2265"/>
      <c r="C366" s="2266"/>
      <c r="D366" s="2267"/>
      <c r="E366" s="2267"/>
      <c r="F366" s="2268"/>
      <c r="G366" s="2269"/>
      <c r="H366" s="2269"/>
      <c r="I366" s="2269"/>
      <c r="J366" s="2269"/>
      <c r="K366" s="2269"/>
      <c r="L366" s="2270"/>
      <c r="M366" s="2390"/>
      <c r="N366" s="2390"/>
      <c r="O366" s="2390"/>
      <c r="P366" s="2271">
        <v>45041</v>
      </c>
      <c r="Q366" s="2271">
        <v>45147</v>
      </c>
      <c r="R366" s="2271">
        <v>45191</v>
      </c>
      <c r="S366" s="2271">
        <v>45248</v>
      </c>
      <c r="T366" s="2271">
        <v>45306</v>
      </c>
      <c r="U366" s="2271">
        <v>45366</v>
      </c>
      <c r="V366" s="2271">
        <v>45419</v>
      </c>
      <c r="W366" s="2271">
        <v>45446</v>
      </c>
      <c r="X366" s="2272">
        <v>45460</v>
      </c>
      <c r="Y366" s="2272">
        <v>45517</v>
      </c>
      <c r="Z366" s="2272">
        <v>45546</v>
      </c>
      <c r="AA366" s="2272">
        <v>45600</v>
      </c>
      <c r="AB366" s="2544">
        <v>45660</v>
      </c>
      <c r="AC366" s="2545">
        <v>45764</v>
      </c>
      <c r="AD366" s="2545">
        <v>45784</v>
      </c>
      <c r="AE366" s="2545">
        <v>45821</v>
      </c>
      <c r="AF366" s="2545">
        <v>45835</v>
      </c>
      <c r="AG366" s="2545">
        <v>45845</v>
      </c>
      <c r="AH366" s="2545">
        <v>45899</v>
      </c>
      <c r="AI366" s="2545">
        <v>45936</v>
      </c>
      <c r="AJ366" s="2270"/>
      <c r="AK366" s="2273"/>
    </row>
    <row r="367" customHeight="1" spans="1:37">
      <c r="A367" s="2546" t="s">
        <v>11015</v>
      </c>
      <c r="B367" s="2547" t="s">
        <v>2641</v>
      </c>
      <c r="C367" s="2548">
        <v>10</v>
      </c>
      <c r="D367" s="2549"/>
      <c r="E367" s="2549"/>
      <c r="F367" s="2549"/>
      <c r="G367" s="2482" t="s">
        <v>11016</v>
      </c>
      <c r="H367" s="2482" t="s">
        <v>11017</v>
      </c>
      <c r="I367" s="2482" t="s">
        <v>10685</v>
      </c>
      <c r="J367" s="2482" t="s">
        <v>8</v>
      </c>
      <c r="K367" s="2482" t="s">
        <v>10</v>
      </c>
      <c r="L367" s="2149">
        <v>0</v>
      </c>
      <c r="M367" s="2393">
        <v>0.061697</v>
      </c>
      <c r="N367" s="2550">
        <v>0</v>
      </c>
      <c r="O367" s="2550"/>
      <c r="P367" s="2280">
        <v>1851</v>
      </c>
      <c r="Q367" s="2280">
        <v>1851</v>
      </c>
      <c r="R367" s="2280">
        <v>3085</v>
      </c>
      <c r="S367" s="2278">
        <v>1851</v>
      </c>
      <c r="T367" s="2280">
        <v>1851</v>
      </c>
      <c r="U367" s="2280">
        <v>1851</v>
      </c>
      <c r="V367" s="2280">
        <v>1851</v>
      </c>
      <c r="W367" s="2280">
        <v>2468</v>
      </c>
      <c r="X367" s="2280">
        <v>2468</v>
      </c>
      <c r="Y367" s="2280">
        <v>1850</v>
      </c>
      <c r="Z367" s="2280">
        <v>3085</v>
      </c>
      <c r="AA367" s="2280">
        <v>2221</v>
      </c>
      <c r="AB367" s="2280">
        <v>1851</v>
      </c>
      <c r="AC367" s="2280">
        <v>3147</v>
      </c>
      <c r="AD367" s="2280">
        <v>1851</v>
      </c>
      <c r="AE367" s="2280">
        <v>1851</v>
      </c>
      <c r="AF367" s="2280">
        <v>1851</v>
      </c>
      <c r="AG367" s="2280">
        <v>1851</v>
      </c>
      <c r="AH367" s="2280">
        <v>1850</v>
      </c>
      <c r="AI367" s="2280">
        <v>1851</v>
      </c>
      <c r="AJ367" s="2282">
        <f>SUM(P367:AI367)</f>
        <v>42386</v>
      </c>
      <c r="AK367" s="2292">
        <v>310015</v>
      </c>
    </row>
    <row r="368" customHeight="1" spans="1:37">
      <c r="A368" s="2551"/>
      <c r="B368" s="2552"/>
      <c r="C368" s="2553"/>
      <c r="D368" s="2554"/>
      <c r="E368" s="2554"/>
      <c r="F368" s="2554"/>
      <c r="G368" s="2441" t="s">
        <v>11018</v>
      </c>
      <c r="H368" s="2441" t="s">
        <v>11019</v>
      </c>
      <c r="I368" s="2441" t="s">
        <v>11020</v>
      </c>
      <c r="J368" s="2441" t="s">
        <v>8</v>
      </c>
      <c r="K368" s="2441" t="s">
        <v>10</v>
      </c>
      <c r="L368" s="2161">
        <v>500</v>
      </c>
      <c r="M368" s="2396">
        <v>0.0102588</v>
      </c>
      <c r="N368" s="2555">
        <v>48738.6438959722</v>
      </c>
      <c r="O368" s="2555"/>
      <c r="P368" s="2295">
        <v>500</v>
      </c>
      <c r="Q368" s="2295">
        <v>500</v>
      </c>
      <c r="R368" s="2295">
        <v>500</v>
      </c>
      <c r="S368" s="2294"/>
      <c r="T368" s="2295">
        <v>244</v>
      </c>
      <c r="U368" s="2295">
        <v>308</v>
      </c>
      <c r="V368" s="2295">
        <v>308</v>
      </c>
      <c r="W368" s="2295">
        <v>410</v>
      </c>
      <c r="X368" s="2295">
        <v>411</v>
      </c>
      <c r="Y368" s="2295">
        <v>307</v>
      </c>
      <c r="Z368" s="2295">
        <v>513</v>
      </c>
      <c r="AA368" s="2295">
        <v>370</v>
      </c>
      <c r="AB368" s="2295">
        <v>308</v>
      </c>
      <c r="AC368" s="2295">
        <v>523</v>
      </c>
      <c r="AD368" s="2405">
        <v>307</v>
      </c>
      <c r="AE368" s="2405">
        <v>308</v>
      </c>
      <c r="AF368" s="2405">
        <v>308</v>
      </c>
      <c r="AG368" s="2405">
        <v>308</v>
      </c>
      <c r="AH368" s="2405">
        <v>308</v>
      </c>
      <c r="AI368" s="2405">
        <v>307</v>
      </c>
      <c r="AJ368" s="2282">
        <f t="shared" ref="AJ368:AJ399" si="78">SUM(P368:AI368)</f>
        <v>7048</v>
      </c>
      <c r="AK368" s="2407">
        <v>310075</v>
      </c>
    </row>
    <row r="369" customHeight="1" spans="1:37">
      <c r="A369" s="2551"/>
      <c r="B369" s="2552"/>
      <c r="C369" s="2553"/>
      <c r="D369" s="2554"/>
      <c r="E369" s="2554"/>
      <c r="F369" s="2554"/>
      <c r="G369" s="2441" t="s">
        <v>11021</v>
      </c>
      <c r="H369" s="2441" t="s">
        <v>11022</v>
      </c>
      <c r="I369" s="2441" t="s">
        <v>11020</v>
      </c>
      <c r="J369" s="2441" t="s">
        <v>8</v>
      </c>
      <c r="K369" s="2441" t="s">
        <v>10</v>
      </c>
      <c r="L369" s="2161">
        <v>0</v>
      </c>
      <c r="M369" s="2396">
        <v>0.0102588</v>
      </c>
      <c r="N369" s="2555">
        <v>0</v>
      </c>
      <c r="O369" s="2555"/>
      <c r="P369" s="2295">
        <v>308</v>
      </c>
      <c r="Q369" s="2295">
        <v>308</v>
      </c>
      <c r="R369" s="2556">
        <v>513</v>
      </c>
      <c r="S369" s="2294">
        <v>308</v>
      </c>
      <c r="T369" s="2556">
        <v>307</v>
      </c>
      <c r="U369" s="2556">
        <v>308</v>
      </c>
      <c r="V369" s="2556">
        <v>308</v>
      </c>
      <c r="W369" s="2556">
        <v>410</v>
      </c>
      <c r="X369" s="2556">
        <v>411</v>
      </c>
      <c r="Y369" s="2294">
        <v>307</v>
      </c>
      <c r="Z369" s="2294">
        <v>513</v>
      </c>
      <c r="AA369" s="2294">
        <v>370</v>
      </c>
      <c r="AB369" s="2294">
        <v>308</v>
      </c>
      <c r="AC369" s="2288">
        <v>523</v>
      </c>
      <c r="AD369" s="2440">
        <v>307</v>
      </c>
      <c r="AE369" s="2440">
        <v>308</v>
      </c>
      <c r="AF369" s="2440">
        <v>308</v>
      </c>
      <c r="AG369" s="2440">
        <v>308</v>
      </c>
      <c r="AH369" s="2440">
        <v>308</v>
      </c>
      <c r="AI369" s="2440">
        <v>307</v>
      </c>
      <c r="AJ369" s="2282">
        <f t="shared" si="78"/>
        <v>7048</v>
      </c>
      <c r="AK369" s="2292">
        <v>310075</v>
      </c>
    </row>
    <row r="370" customHeight="1" spans="1:37">
      <c r="A370" s="2551"/>
      <c r="B370" s="2552"/>
      <c r="C370" s="2553"/>
      <c r="D370" s="2554"/>
      <c r="E370" s="2554"/>
      <c r="F370" s="2554"/>
      <c r="G370" s="2522" t="s">
        <v>11023</v>
      </c>
      <c r="H370" s="2441" t="s">
        <v>11024</v>
      </c>
      <c r="I370" s="2441" t="s">
        <v>11020</v>
      </c>
      <c r="J370" s="2441" t="s">
        <v>8</v>
      </c>
      <c r="K370" s="2441"/>
      <c r="L370" s="2161">
        <v>500</v>
      </c>
      <c r="M370" s="2396">
        <v>0.006798</v>
      </c>
      <c r="N370" s="2555">
        <v>73551.0444248308</v>
      </c>
      <c r="O370" s="2555"/>
      <c r="P370" s="2295">
        <v>500</v>
      </c>
      <c r="Q370" s="2295"/>
      <c r="R370" s="2556">
        <v>500</v>
      </c>
      <c r="S370" s="2294"/>
      <c r="T370" s="2556"/>
      <c r="U370" s="2556"/>
      <c r="V370" s="2556"/>
      <c r="W370" s="2556"/>
      <c r="X370" s="2556"/>
      <c r="Y370" s="2294"/>
      <c r="Z370" s="2294"/>
      <c r="AA370" s="2294"/>
      <c r="AB370" s="2294"/>
      <c r="AC370" s="2288"/>
      <c r="AD370" s="2440"/>
      <c r="AE370" s="2440"/>
      <c r="AF370" s="2440"/>
      <c r="AG370" s="2440"/>
      <c r="AH370" s="2440">
        <v>0</v>
      </c>
      <c r="AI370" s="2440"/>
      <c r="AJ370" s="2282">
        <f t="shared" si="78"/>
        <v>1000</v>
      </c>
      <c r="AK370" s="2292">
        <v>147102</v>
      </c>
    </row>
    <row r="371" customHeight="1" spans="1:37">
      <c r="A371" s="2551"/>
      <c r="B371" s="2552"/>
      <c r="C371" s="2553"/>
      <c r="D371" s="2554"/>
      <c r="E371" s="2554"/>
      <c r="F371" s="2554"/>
      <c r="G371" s="2522" t="s">
        <v>11025</v>
      </c>
      <c r="H371" s="2441" t="s">
        <v>11026</v>
      </c>
      <c r="I371" s="2441" t="s">
        <v>11027</v>
      </c>
      <c r="J371" s="2441" t="s">
        <v>8</v>
      </c>
      <c r="K371" s="2441"/>
      <c r="L371" s="2161">
        <v>500</v>
      </c>
      <c r="M371" s="2557">
        <v>0.002369</v>
      </c>
      <c r="N371" s="2555">
        <v>211059.518784297</v>
      </c>
      <c r="O371" s="2555"/>
      <c r="P371" s="2295">
        <v>500</v>
      </c>
      <c r="Q371" s="2295"/>
      <c r="R371" s="2295"/>
      <c r="S371" s="2294">
        <v>-239</v>
      </c>
      <c r="T371" s="2290"/>
      <c r="U371" s="2290"/>
      <c r="V371" s="2290"/>
      <c r="W371" s="2290"/>
      <c r="X371" s="2290"/>
      <c r="Y371" s="2290"/>
      <c r="Z371" s="2290"/>
      <c r="AA371" s="2290"/>
      <c r="AB371" s="2290"/>
      <c r="AC371" s="2295"/>
      <c r="AD371" s="2405"/>
      <c r="AE371" s="2405"/>
      <c r="AF371" s="2405"/>
      <c r="AG371" s="2405"/>
      <c r="AH371" s="2405">
        <v>0</v>
      </c>
      <c r="AI371" s="2405">
        <v>0</v>
      </c>
      <c r="AJ371" s="2282">
        <f t="shared" si="78"/>
        <v>261</v>
      </c>
      <c r="AK371" s="2292">
        <v>110173</v>
      </c>
    </row>
    <row r="372" customHeight="1" spans="1:37">
      <c r="A372" s="2551"/>
      <c r="B372" s="2552"/>
      <c r="C372" s="2553"/>
      <c r="D372" s="2554"/>
      <c r="E372" s="2554"/>
      <c r="F372" s="2554"/>
      <c r="G372" s="2558" t="s">
        <v>11028</v>
      </c>
      <c r="H372" s="2441" t="s">
        <v>10854</v>
      </c>
      <c r="I372" s="2441" t="s">
        <v>11020</v>
      </c>
      <c r="J372" s="2441"/>
      <c r="K372" s="2441" t="s">
        <v>10</v>
      </c>
      <c r="L372" s="2161">
        <v>500</v>
      </c>
      <c r="M372" s="2396">
        <v>0.0082</v>
      </c>
      <c r="N372" s="2555">
        <v>60975.6097560976</v>
      </c>
      <c r="O372" s="2555"/>
      <c r="P372" s="2295"/>
      <c r="Q372" s="2295"/>
      <c r="R372" s="2556"/>
      <c r="S372" s="2559">
        <v>500</v>
      </c>
      <c r="T372" s="2556"/>
      <c r="U372" s="2556">
        <v>238</v>
      </c>
      <c r="V372" s="2556">
        <v>246</v>
      </c>
      <c r="W372" s="2556">
        <v>328</v>
      </c>
      <c r="X372" s="2556">
        <v>328</v>
      </c>
      <c r="Y372" s="2294">
        <v>246</v>
      </c>
      <c r="Z372" s="2294">
        <v>410</v>
      </c>
      <c r="AA372" s="2294">
        <v>296</v>
      </c>
      <c r="AB372" s="2294">
        <v>246</v>
      </c>
      <c r="AC372" s="2288">
        <v>418</v>
      </c>
      <c r="AD372" s="2440">
        <v>246</v>
      </c>
      <c r="AE372" s="2440">
        <v>246</v>
      </c>
      <c r="AF372" s="2440">
        <v>246</v>
      </c>
      <c r="AG372" s="2440">
        <v>246</v>
      </c>
      <c r="AH372" s="2440">
        <v>246</v>
      </c>
      <c r="AI372" s="2440">
        <v>246</v>
      </c>
      <c r="AJ372" s="2282">
        <f t="shared" si="78"/>
        <v>4732</v>
      </c>
      <c r="AK372" s="2292">
        <v>200000</v>
      </c>
    </row>
    <row r="373" customHeight="1" spans="1:37">
      <c r="A373" s="2551"/>
      <c r="B373" s="2552"/>
      <c r="C373" s="2553"/>
      <c r="D373" s="2554"/>
      <c r="E373" s="2554"/>
      <c r="F373" s="2554"/>
      <c r="G373" s="2558" t="s">
        <v>11029</v>
      </c>
      <c r="H373" s="2441" t="s">
        <v>10854</v>
      </c>
      <c r="I373" s="2441" t="s">
        <v>11020</v>
      </c>
      <c r="J373" s="2441"/>
      <c r="K373" s="2441" t="s">
        <v>10</v>
      </c>
      <c r="L373" s="2161">
        <v>0</v>
      </c>
      <c r="M373" s="2396">
        <v>0.0041</v>
      </c>
      <c r="N373" s="2555">
        <v>0</v>
      </c>
      <c r="O373" s="2555"/>
      <c r="P373" s="2295"/>
      <c r="Q373" s="2295"/>
      <c r="R373" s="2295"/>
      <c r="S373" s="2294">
        <v>123</v>
      </c>
      <c r="T373" s="2295">
        <v>123</v>
      </c>
      <c r="U373" s="2295">
        <v>123</v>
      </c>
      <c r="V373" s="2295">
        <v>123</v>
      </c>
      <c r="W373" s="2295">
        <v>164</v>
      </c>
      <c r="X373" s="2295">
        <v>164</v>
      </c>
      <c r="Y373" s="2295">
        <v>123</v>
      </c>
      <c r="Z373" s="2295">
        <v>205</v>
      </c>
      <c r="AA373" s="2295">
        <v>148</v>
      </c>
      <c r="AB373" s="2295">
        <v>123</v>
      </c>
      <c r="AC373" s="2295">
        <v>209</v>
      </c>
      <c r="AD373" s="2405">
        <v>123</v>
      </c>
      <c r="AE373" s="2405">
        <v>123</v>
      </c>
      <c r="AF373" s="2405">
        <v>123</v>
      </c>
      <c r="AG373" s="2405">
        <v>123</v>
      </c>
      <c r="AH373" s="2405">
        <v>123</v>
      </c>
      <c r="AI373" s="2405">
        <v>123</v>
      </c>
      <c r="AJ373" s="2282">
        <f t="shared" si="78"/>
        <v>2366</v>
      </c>
      <c r="AK373" s="2292">
        <v>200000</v>
      </c>
    </row>
    <row r="374" customHeight="1" spans="1:37">
      <c r="A374" s="2551"/>
      <c r="B374" s="2552"/>
      <c r="C374" s="2553"/>
      <c r="D374" s="2554"/>
      <c r="E374" s="2554"/>
      <c r="F374" s="2554"/>
      <c r="G374" s="2560" t="s">
        <v>11025</v>
      </c>
      <c r="H374" s="2441" t="s">
        <v>11030</v>
      </c>
      <c r="I374" s="2441" t="s">
        <v>11027</v>
      </c>
      <c r="J374" s="2441"/>
      <c r="K374" s="2441" t="s">
        <v>10</v>
      </c>
      <c r="L374" s="2161">
        <v>500</v>
      </c>
      <c r="M374" s="2557">
        <v>0.0048</v>
      </c>
      <c r="N374" s="2555">
        <v>104166.666666667</v>
      </c>
      <c r="O374" s="2555"/>
      <c r="P374" s="2295"/>
      <c r="Q374" s="2295"/>
      <c r="R374" s="2295"/>
      <c r="S374" s="2294">
        <v>239</v>
      </c>
      <c r="T374" s="2290">
        <v>49</v>
      </c>
      <c r="U374" s="2290">
        <v>144</v>
      </c>
      <c r="V374" s="2290">
        <v>144</v>
      </c>
      <c r="W374" s="2290">
        <v>192</v>
      </c>
      <c r="X374" s="2290">
        <v>192</v>
      </c>
      <c r="Y374" s="2290">
        <v>144</v>
      </c>
      <c r="Z374" s="2290">
        <v>240</v>
      </c>
      <c r="AA374" s="2290">
        <v>173</v>
      </c>
      <c r="AB374" s="2290">
        <v>144</v>
      </c>
      <c r="AC374" s="2295">
        <v>245</v>
      </c>
      <c r="AD374" s="2405">
        <v>144</v>
      </c>
      <c r="AE374" s="2405">
        <v>144</v>
      </c>
      <c r="AF374" s="2405">
        <v>144</v>
      </c>
      <c r="AG374" s="2405">
        <v>144</v>
      </c>
      <c r="AH374" s="2405">
        <v>144</v>
      </c>
      <c r="AI374" s="2405">
        <v>144</v>
      </c>
      <c r="AJ374" s="2282">
        <f t="shared" si="78"/>
        <v>2770</v>
      </c>
      <c r="AK374" s="2292">
        <v>200000</v>
      </c>
    </row>
    <row r="375" customHeight="1" spans="1:37">
      <c r="A375" s="2551"/>
      <c r="B375" s="2561"/>
      <c r="C375" s="2562"/>
      <c r="D375" s="2563"/>
      <c r="E375" s="2563"/>
      <c r="F375" s="2563"/>
      <c r="G375" s="2477"/>
      <c r="H375" s="2477" t="s">
        <v>11031</v>
      </c>
      <c r="I375" s="2477" t="s">
        <v>11020</v>
      </c>
      <c r="J375" s="2477" t="s">
        <v>8</v>
      </c>
      <c r="K375" s="2477" t="s">
        <v>10</v>
      </c>
      <c r="L375" s="2348">
        <v>0</v>
      </c>
      <c r="M375" s="2564">
        <v>1</v>
      </c>
      <c r="N375" s="2565">
        <v>0</v>
      </c>
      <c r="O375" s="2565"/>
      <c r="P375" s="2434">
        <v>30000</v>
      </c>
      <c r="Q375" s="2434">
        <v>30000</v>
      </c>
      <c r="R375" s="2434">
        <v>50000</v>
      </c>
      <c r="S375" s="2434">
        <v>30000</v>
      </c>
      <c r="T375" s="2434">
        <v>30000</v>
      </c>
      <c r="U375" s="2434">
        <v>30000</v>
      </c>
      <c r="V375" s="2434">
        <v>30000</v>
      </c>
      <c r="W375" s="2434">
        <v>40000</v>
      </c>
      <c r="X375" s="2434">
        <v>40000</v>
      </c>
      <c r="Y375" s="2434">
        <v>30000</v>
      </c>
      <c r="Z375" s="2434">
        <v>50000</v>
      </c>
      <c r="AA375" s="2434">
        <v>36000</v>
      </c>
      <c r="AB375" s="2434">
        <v>30000</v>
      </c>
      <c r="AC375" s="2433">
        <v>51000</v>
      </c>
      <c r="AD375" s="2566">
        <v>30000</v>
      </c>
      <c r="AE375" s="2566">
        <v>30000</v>
      </c>
      <c r="AF375" s="2566">
        <v>30000</v>
      </c>
      <c r="AG375" s="2566">
        <v>30000</v>
      </c>
      <c r="AH375" s="2566">
        <v>30000</v>
      </c>
      <c r="AI375" s="2566">
        <v>30000</v>
      </c>
      <c r="AJ375" s="2282">
        <f t="shared" si="78"/>
        <v>687000</v>
      </c>
      <c r="AK375" s="2436">
        <v>310000</v>
      </c>
    </row>
    <row r="376" customHeight="1" spans="1:37">
      <c r="A376" s="2551"/>
      <c r="B376" s="2547" t="s">
        <v>2677</v>
      </c>
      <c r="C376" s="2548">
        <v>10</v>
      </c>
      <c r="D376" s="2549"/>
      <c r="E376" s="2549"/>
      <c r="F376" s="2549"/>
      <c r="G376" s="2482" t="s">
        <v>11032</v>
      </c>
      <c r="H376" s="2482" t="s">
        <v>11033</v>
      </c>
      <c r="I376" s="2482" t="s">
        <v>10907</v>
      </c>
      <c r="J376" s="2482" t="s">
        <v>8</v>
      </c>
      <c r="K376" s="2482" t="s">
        <v>10</v>
      </c>
      <c r="L376" s="2149">
        <v>800</v>
      </c>
      <c r="M376" s="2393">
        <v>0.0396138</v>
      </c>
      <c r="N376" s="2550">
        <v>20194.9825565838</v>
      </c>
      <c r="O376" s="2550"/>
      <c r="P376" s="2280">
        <v>1189</v>
      </c>
      <c r="Q376" s="2280">
        <v>1188</v>
      </c>
      <c r="R376" s="2280">
        <v>1981</v>
      </c>
      <c r="S376" s="2278">
        <v>1189</v>
      </c>
      <c r="T376" s="2280">
        <v>1188</v>
      </c>
      <c r="U376" s="2280">
        <v>1188</v>
      </c>
      <c r="V376" s="2280">
        <v>1189</v>
      </c>
      <c r="W376" s="2280">
        <v>1584</v>
      </c>
      <c r="X376" s="2280">
        <v>1585</v>
      </c>
      <c r="Y376" s="2278">
        <v>1188</v>
      </c>
      <c r="Z376" s="2278">
        <v>1981</v>
      </c>
      <c r="AA376" s="2278">
        <v>1188</v>
      </c>
      <c r="AB376" s="2278">
        <v>1189</v>
      </c>
      <c r="AC376" s="2567">
        <v>1347</v>
      </c>
      <c r="AD376" s="2567">
        <v>1188</v>
      </c>
      <c r="AE376" s="2567">
        <v>1188</v>
      </c>
      <c r="AF376" s="2567">
        <v>1189</v>
      </c>
      <c r="AG376" s="2567">
        <v>1188</v>
      </c>
      <c r="AH376" s="2567">
        <v>1189</v>
      </c>
      <c r="AI376" s="2567">
        <v>1188</v>
      </c>
      <c r="AJ376" s="2282">
        <f t="shared" si="78"/>
        <v>26304</v>
      </c>
      <c r="AK376" s="2283">
        <v>310018</v>
      </c>
    </row>
    <row r="377" customHeight="1" spans="1:37">
      <c r="A377" s="2551"/>
      <c r="B377" s="2552"/>
      <c r="C377" s="2553"/>
      <c r="D377" s="2554"/>
      <c r="E377" s="2554"/>
      <c r="F377" s="2554"/>
      <c r="G377" s="2441" t="s">
        <v>11034</v>
      </c>
      <c r="H377" s="2441" t="s">
        <v>11022</v>
      </c>
      <c r="I377" s="2441" t="s">
        <v>11020</v>
      </c>
      <c r="J377" s="2441" t="s">
        <v>8</v>
      </c>
      <c r="K377" s="2441" t="s">
        <v>10</v>
      </c>
      <c r="L377" s="2161">
        <v>0</v>
      </c>
      <c r="M377" s="2396">
        <v>0.0102588</v>
      </c>
      <c r="N377" s="2555">
        <v>0</v>
      </c>
      <c r="O377" s="2555"/>
      <c r="P377" s="2295">
        <v>308</v>
      </c>
      <c r="Q377" s="2295">
        <v>308</v>
      </c>
      <c r="R377" s="2295">
        <v>513</v>
      </c>
      <c r="S377" s="2294">
        <v>308</v>
      </c>
      <c r="T377" s="2295">
        <v>307</v>
      </c>
      <c r="U377" s="2295">
        <v>308</v>
      </c>
      <c r="V377" s="2295">
        <v>308</v>
      </c>
      <c r="W377" s="2295">
        <v>410</v>
      </c>
      <c r="X377" s="2295">
        <v>411</v>
      </c>
      <c r="Y377" s="2295">
        <v>307</v>
      </c>
      <c r="Z377" s="2295">
        <v>513</v>
      </c>
      <c r="AA377" s="2295">
        <v>308</v>
      </c>
      <c r="AB377" s="2295">
        <v>308</v>
      </c>
      <c r="AC377" s="2295">
        <v>349</v>
      </c>
      <c r="AD377" s="2405">
        <v>308</v>
      </c>
      <c r="AE377" s="2405">
        <v>307</v>
      </c>
      <c r="AF377" s="2405">
        <v>308</v>
      </c>
      <c r="AG377" s="2405">
        <v>308</v>
      </c>
      <c r="AH377" s="2405">
        <v>308</v>
      </c>
      <c r="AI377" s="2405">
        <v>307</v>
      </c>
      <c r="AJ377" s="2282">
        <f t="shared" si="78"/>
        <v>6812</v>
      </c>
      <c r="AK377" s="2292">
        <v>310075</v>
      </c>
    </row>
    <row r="378" customHeight="1" spans="1:37">
      <c r="A378" s="2551"/>
      <c r="B378" s="2552"/>
      <c r="C378" s="2553"/>
      <c r="D378" s="2554"/>
      <c r="E378" s="2554"/>
      <c r="F378" s="2554"/>
      <c r="G378" s="2441" t="s">
        <v>11035</v>
      </c>
      <c r="H378" s="2441" t="s">
        <v>11036</v>
      </c>
      <c r="I378" s="2441" t="s">
        <v>11020</v>
      </c>
      <c r="J378" s="2441" t="s">
        <v>8</v>
      </c>
      <c r="K378" s="2441" t="s">
        <v>10</v>
      </c>
      <c r="L378" s="2161">
        <v>0</v>
      </c>
      <c r="M378" s="2396">
        <v>0.032136</v>
      </c>
      <c r="N378" s="2555">
        <v>0</v>
      </c>
      <c r="O378" s="2555"/>
      <c r="P378" s="2295">
        <v>965</v>
      </c>
      <c r="Q378" s="2295">
        <v>964</v>
      </c>
      <c r="R378" s="2295">
        <v>1606</v>
      </c>
      <c r="S378" s="2294">
        <v>965</v>
      </c>
      <c r="T378" s="2295">
        <v>964</v>
      </c>
      <c r="U378" s="2295">
        <v>964</v>
      </c>
      <c r="V378" s="2295">
        <v>964</v>
      </c>
      <c r="W378" s="2295">
        <v>1285</v>
      </c>
      <c r="X378" s="2295">
        <v>1286</v>
      </c>
      <c r="Y378" s="2295">
        <v>964</v>
      </c>
      <c r="Z378" s="2295">
        <v>1607</v>
      </c>
      <c r="AA378" s="2295">
        <v>964</v>
      </c>
      <c r="AB378" s="2295">
        <v>964</v>
      </c>
      <c r="AC378" s="2295">
        <v>1092</v>
      </c>
      <c r="AD378" s="2405">
        <v>964</v>
      </c>
      <c r="AE378" s="2405">
        <v>964</v>
      </c>
      <c r="AF378" s="2405">
        <v>965</v>
      </c>
      <c r="AG378" s="2405">
        <v>964</v>
      </c>
      <c r="AH378" s="2405">
        <v>964</v>
      </c>
      <c r="AI378" s="2405">
        <v>964</v>
      </c>
      <c r="AJ378" s="2282">
        <f t="shared" si="78"/>
        <v>21339</v>
      </c>
      <c r="AK378" s="2292">
        <v>310026</v>
      </c>
    </row>
    <row r="379" customHeight="1" spans="1:37">
      <c r="A379" s="2551"/>
      <c r="B379" s="2552"/>
      <c r="C379" s="2553"/>
      <c r="D379" s="2554"/>
      <c r="E379" s="2554"/>
      <c r="F379" s="2554"/>
      <c r="G379" s="2568" t="s">
        <v>11037</v>
      </c>
      <c r="H379" s="2441" t="s">
        <v>11024</v>
      </c>
      <c r="I379" s="2441" t="s">
        <v>11020</v>
      </c>
      <c r="J379" s="2441" t="s">
        <v>8</v>
      </c>
      <c r="K379" s="2441"/>
      <c r="L379" s="2161">
        <v>500</v>
      </c>
      <c r="M379" s="2396">
        <v>0.006798</v>
      </c>
      <c r="N379" s="2555">
        <v>73551.0444248308</v>
      </c>
      <c r="O379" s="2555"/>
      <c r="P379" s="2295">
        <v>500</v>
      </c>
      <c r="Q379" s="2295"/>
      <c r="R379" s="2295">
        <v>500</v>
      </c>
      <c r="S379" s="2294"/>
      <c r="T379" s="2295"/>
      <c r="U379" s="2295"/>
      <c r="V379" s="2295"/>
      <c r="W379" s="2295"/>
      <c r="X379" s="2295"/>
      <c r="Y379" s="2295"/>
      <c r="Z379" s="2295"/>
      <c r="AA379" s="2295"/>
      <c r="AB379" s="2295"/>
      <c r="AC379" s="2295"/>
      <c r="AD379" s="2405"/>
      <c r="AE379" s="2405"/>
      <c r="AF379" s="2405"/>
      <c r="AG379" s="2405"/>
      <c r="AH379" s="2405">
        <v>0</v>
      </c>
      <c r="AI379" s="2405"/>
      <c r="AJ379" s="2282">
        <f t="shared" si="78"/>
        <v>1000</v>
      </c>
      <c r="AK379" s="2292">
        <v>147102</v>
      </c>
    </row>
    <row r="380" customHeight="1" spans="1:37">
      <c r="A380" s="2551"/>
      <c r="B380" s="2552"/>
      <c r="C380" s="2553"/>
      <c r="D380" s="2554"/>
      <c r="E380" s="2554"/>
      <c r="F380" s="2554"/>
      <c r="G380" s="2568" t="s">
        <v>11038</v>
      </c>
      <c r="H380" s="2441" t="s">
        <v>11026</v>
      </c>
      <c r="I380" s="2161" t="s">
        <v>10955</v>
      </c>
      <c r="J380" s="2161" t="s">
        <v>8</v>
      </c>
      <c r="K380" s="2161"/>
      <c r="L380" s="2161">
        <v>500</v>
      </c>
      <c r="M380" s="2557">
        <v>0.002369</v>
      </c>
      <c r="N380" s="2555">
        <v>211059.518784297</v>
      </c>
      <c r="O380" s="2555"/>
      <c r="P380" s="2295">
        <v>500</v>
      </c>
      <c r="Q380" s="2295"/>
      <c r="R380" s="2295"/>
      <c r="S380" s="2294">
        <v>-239</v>
      </c>
      <c r="T380" s="2295">
        <v>0</v>
      </c>
      <c r="U380" s="2295"/>
      <c r="V380" s="2295"/>
      <c r="W380" s="2295"/>
      <c r="X380" s="2295">
        <v>0</v>
      </c>
      <c r="Y380" s="2295">
        <v>0</v>
      </c>
      <c r="Z380" s="2295"/>
      <c r="AA380" s="2295"/>
      <c r="AB380" s="2295"/>
      <c r="AC380" s="2295"/>
      <c r="AD380" s="2405"/>
      <c r="AE380" s="2405"/>
      <c r="AF380" s="2405"/>
      <c r="AG380" s="2405"/>
      <c r="AH380" s="2405">
        <v>0</v>
      </c>
      <c r="AI380" s="2405">
        <v>0</v>
      </c>
      <c r="AJ380" s="2282">
        <f t="shared" si="78"/>
        <v>261</v>
      </c>
      <c r="AK380" s="2292">
        <v>110173</v>
      </c>
    </row>
    <row r="381" customHeight="1" spans="1:37">
      <c r="A381" s="2551"/>
      <c r="B381" s="2552"/>
      <c r="C381" s="2553"/>
      <c r="D381" s="2554"/>
      <c r="E381" s="2554"/>
      <c r="F381" s="2554"/>
      <c r="G381" s="2558" t="s">
        <v>11039</v>
      </c>
      <c r="H381" s="2569" t="s">
        <v>10854</v>
      </c>
      <c r="I381" s="2441" t="s">
        <v>11020</v>
      </c>
      <c r="J381" s="2441"/>
      <c r="K381" s="2441" t="s">
        <v>10</v>
      </c>
      <c r="L381" s="2161">
        <v>500</v>
      </c>
      <c r="M381" s="2396">
        <v>0.0082</v>
      </c>
      <c r="N381" s="2555">
        <v>60975.6097560976</v>
      </c>
      <c r="O381" s="2555"/>
      <c r="P381" s="2295"/>
      <c r="Q381" s="2295"/>
      <c r="R381" s="2295"/>
      <c r="S381" s="2559">
        <v>500</v>
      </c>
      <c r="T381" s="2295"/>
      <c r="U381" s="2295">
        <v>238</v>
      </c>
      <c r="V381" s="2295">
        <v>246</v>
      </c>
      <c r="W381" s="2295">
        <v>328</v>
      </c>
      <c r="X381" s="2295">
        <v>328</v>
      </c>
      <c r="Y381" s="2295">
        <v>246</v>
      </c>
      <c r="Z381" s="2295">
        <v>410</v>
      </c>
      <c r="AA381" s="2295">
        <v>246</v>
      </c>
      <c r="AB381" s="2295">
        <v>246</v>
      </c>
      <c r="AC381" s="2295">
        <v>279</v>
      </c>
      <c r="AD381" s="2405">
        <v>246</v>
      </c>
      <c r="AE381" s="2405">
        <v>246</v>
      </c>
      <c r="AF381" s="2405">
        <v>246</v>
      </c>
      <c r="AG381" s="2405">
        <v>246</v>
      </c>
      <c r="AH381" s="2405">
        <v>246</v>
      </c>
      <c r="AI381" s="2405">
        <v>246</v>
      </c>
      <c r="AJ381" s="2282">
        <f t="shared" si="78"/>
        <v>4543</v>
      </c>
      <c r="AK381" s="2292">
        <v>200000</v>
      </c>
    </row>
    <row r="382" customHeight="1" spans="1:37">
      <c r="A382" s="2551"/>
      <c r="B382" s="2552"/>
      <c r="C382" s="2553"/>
      <c r="D382" s="2554"/>
      <c r="E382" s="2554"/>
      <c r="F382" s="2554"/>
      <c r="G382" s="2558" t="s">
        <v>10986</v>
      </c>
      <c r="H382" s="2569" t="s">
        <v>10854</v>
      </c>
      <c r="I382" s="2441" t="s">
        <v>11020</v>
      </c>
      <c r="J382" s="2441"/>
      <c r="K382" s="2441" t="s">
        <v>10</v>
      </c>
      <c r="L382" s="2161">
        <v>0</v>
      </c>
      <c r="M382" s="2396">
        <v>0.0082</v>
      </c>
      <c r="N382" s="2555">
        <v>0</v>
      </c>
      <c r="O382" s="2555"/>
      <c r="P382" s="2295"/>
      <c r="Q382" s="2295"/>
      <c r="R382" s="2295"/>
      <c r="S382" s="2294">
        <v>246</v>
      </c>
      <c r="T382" s="2295">
        <v>246</v>
      </c>
      <c r="U382" s="2295">
        <v>246</v>
      </c>
      <c r="V382" s="2295">
        <v>246</v>
      </c>
      <c r="W382" s="2295">
        <v>328</v>
      </c>
      <c r="X382" s="2295">
        <v>328</v>
      </c>
      <c r="Y382" s="2295">
        <v>246</v>
      </c>
      <c r="Z382" s="2295">
        <v>410</v>
      </c>
      <c r="AA382" s="2295">
        <v>246</v>
      </c>
      <c r="AB382" s="2295">
        <v>246</v>
      </c>
      <c r="AC382" s="2295">
        <v>279</v>
      </c>
      <c r="AD382" s="2405">
        <v>246</v>
      </c>
      <c r="AE382" s="2405">
        <v>246</v>
      </c>
      <c r="AF382" s="2405">
        <v>246</v>
      </c>
      <c r="AG382" s="2405">
        <v>246</v>
      </c>
      <c r="AH382" s="2405">
        <v>246</v>
      </c>
      <c r="AI382" s="2405">
        <v>246</v>
      </c>
      <c r="AJ382" s="2282">
        <f t="shared" si="78"/>
        <v>4543</v>
      </c>
      <c r="AK382" s="2292">
        <v>200000</v>
      </c>
    </row>
    <row r="383" customHeight="1" spans="1:37">
      <c r="A383" s="2551"/>
      <c r="B383" s="2552"/>
      <c r="C383" s="2553"/>
      <c r="D383" s="2554"/>
      <c r="E383" s="2554"/>
      <c r="F383" s="2554"/>
      <c r="G383" s="2560" t="s">
        <v>11038</v>
      </c>
      <c r="H383" s="2441" t="s">
        <v>11030</v>
      </c>
      <c r="I383" s="2161" t="s">
        <v>10955</v>
      </c>
      <c r="J383" s="2161"/>
      <c r="K383" s="2161" t="s">
        <v>10</v>
      </c>
      <c r="L383" s="2161">
        <v>500</v>
      </c>
      <c r="M383" s="2557">
        <v>0.0048</v>
      </c>
      <c r="N383" s="2555">
        <v>104166.666666667</v>
      </c>
      <c r="O383" s="2555"/>
      <c r="P383" s="2295"/>
      <c r="Q383" s="2295"/>
      <c r="R383" s="2295"/>
      <c r="S383" s="2294">
        <v>239</v>
      </c>
      <c r="T383" s="2295">
        <v>49</v>
      </c>
      <c r="U383" s="2295">
        <v>144</v>
      </c>
      <c r="V383" s="2295">
        <v>144</v>
      </c>
      <c r="W383" s="2295">
        <v>192</v>
      </c>
      <c r="X383" s="2295">
        <v>192</v>
      </c>
      <c r="Y383" s="2295">
        <v>144</v>
      </c>
      <c r="Z383" s="2295">
        <v>240</v>
      </c>
      <c r="AA383" s="2295">
        <v>144</v>
      </c>
      <c r="AB383" s="2295">
        <v>144</v>
      </c>
      <c r="AC383" s="2295">
        <v>164</v>
      </c>
      <c r="AD383" s="2405">
        <v>144</v>
      </c>
      <c r="AE383" s="2405">
        <v>144</v>
      </c>
      <c r="AF383" s="2405">
        <v>144</v>
      </c>
      <c r="AG383" s="2405">
        <v>144</v>
      </c>
      <c r="AH383" s="2405">
        <v>144</v>
      </c>
      <c r="AI383" s="2405">
        <v>144</v>
      </c>
      <c r="AJ383" s="2282">
        <f t="shared" si="78"/>
        <v>2660</v>
      </c>
      <c r="AK383" s="2292">
        <v>200000</v>
      </c>
    </row>
    <row r="384" customHeight="1" spans="1:37">
      <c r="A384" s="2551"/>
      <c r="B384" s="2561"/>
      <c r="C384" s="2562"/>
      <c r="D384" s="2563"/>
      <c r="E384" s="2563"/>
      <c r="F384" s="2563"/>
      <c r="G384" s="2477"/>
      <c r="H384" s="2477" t="s">
        <v>11031</v>
      </c>
      <c r="I384" s="2477" t="s">
        <v>11020</v>
      </c>
      <c r="J384" s="2477" t="s">
        <v>8</v>
      </c>
      <c r="K384" s="2477" t="s">
        <v>10</v>
      </c>
      <c r="L384" s="2348">
        <v>0</v>
      </c>
      <c r="M384" s="2564">
        <v>1</v>
      </c>
      <c r="N384" s="2565">
        <v>0</v>
      </c>
      <c r="O384" s="2565"/>
      <c r="P384" s="2435">
        <v>30000</v>
      </c>
      <c r="Q384" s="2435">
        <v>30000</v>
      </c>
      <c r="R384" s="2435">
        <v>50000</v>
      </c>
      <c r="S384" s="2434">
        <v>30000</v>
      </c>
      <c r="T384" s="2435">
        <v>30000</v>
      </c>
      <c r="U384" s="2435">
        <v>30000</v>
      </c>
      <c r="V384" s="2435">
        <v>30000</v>
      </c>
      <c r="W384" s="2435">
        <v>40000</v>
      </c>
      <c r="X384" s="2435">
        <v>40000</v>
      </c>
      <c r="Y384" s="2435">
        <v>30000</v>
      </c>
      <c r="Z384" s="2435">
        <v>50000</v>
      </c>
      <c r="AA384" s="2435">
        <v>30000</v>
      </c>
      <c r="AB384" s="2435">
        <v>30000</v>
      </c>
      <c r="AC384" s="2570">
        <v>34000</v>
      </c>
      <c r="AD384" s="2571">
        <v>30000</v>
      </c>
      <c r="AE384" s="2571">
        <v>30000</v>
      </c>
      <c r="AF384" s="2571">
        <v>30000</v>
      </c>
      <c r="AG384" s="2571">
        <v>30000</v>
      </c>
      <c r="AH384" s="2571">
        <v>30000</v>
      </c>
      <c r="AI384" s="2571">
        <v>30000</v>
      </c>
      <c r="AJ384" s="2282">
        <f t="shared" si="78"/>
        <v>664000</v>
      </c>
      <c r="AK384" s="2436">
        <v>310000</v>
      </c>
    </row>
    <row r="385" customHeight="1" spans="1:37">
      <c r="A385" s="2551"/>
      <c r="B385" s="2547" t="s">
        <v>2632</v>
      </c>
      <c r="C385" s="2548">
        <v>10</v>
      </c>
      <c r="D385" s="2549"/>
      <c r="E385" s="2549"/>
      <c r="F385" s="2549"/>
      <c r="G385" s="2482" t="s">
        <v>11016</v>
      </c>
      <c r="H385" s="2482" t="s">
        <v>11040</v>
      </c>
      <c r="I385" s="2482" t="s">
        <v>10685</v>
      </c>
      <c r="J385" s="2482" t="s">
        <v>8</v>
      </c>
      <c r="K385" s="2482" t="s">
        <v>10</v>
      </c>
      <c r="L385" s="2149">
        <v>0</v>
      </c>
      <c r="M385" s="2393">
        <v>0.059431</v>
      </c>
      <c r="N385" s="2550">
        <v>0</v>
      </c>
      <c r="O385" s="2550"/>
      <c r="P385" s="2280">
        <v>1783</v>
      </c>
      <c r="Q385" s="2280">
        <v>1783</v>
      </c>
      <c r="R385" s="2280">
        <v>2972</v>
      </c>
      <c r="S385" s="2278">
        <v>1783</v>
      </c>
      <c r="T385" s="2280">
        <v>1783</v>
      </c>
      <c r="U385" s="2280">
        <v>1783</v>
      </c>
      <c r="V385" s="2280">
        <v>1783</v>
      </c>
      <c r="W385" s="2280">
        <v>2377</v>
      </c>
      <c r="X385" s="2280">
        <v>2377</v>
      </c>
      <c r="Y385" s="2280">
        <v>1783</v>
      </c>
      <c r="Z385" s="2280">
        <v>2972</v>
      </c>
      <c r="AA385" s="2280">
        <v>2020</v>
      </c>
      <c r="AB385" s="2280">
        <v>1783</v>
      </c>
      <c r="AC385" s="2280">
        <v>2793</v>
      </c>
      <c r="AD385" s="2280">
        <v>1783</v>
      </c>
      <c r="AE385" s="2280">
        <v>1783</v>
      </c>
      <c r="AF385" s="2280">
        <v>1783</v>
      </c>
      <c r="AG385" s="2280">
        <v>1783</v>
      </c>
      <c r="AH385" s="2280">
        <v>1783</v>
      </c>
      <c r="AI385" s="2280">
        <v>1783</v>
      </c>
      <c r="AJ385" s="2282">
        <f t="shared" si="78"/>
        <v>40473</v>
      </c>
      <c r="AK385" s="2283">
        <v>310006</v>
      </c>
    </row>
    <row r="386" customHeight="1" spans="1:37">
      <c r="A386" s="2551"/>
      <c r="B386" s="2572"/>
      <c r="C386" s="2553"/>
      <c r="D386" s="2554"/>
      <c r="E386" s="2554"/>
      <c r="F386" s="2554"/>
      <c r="G386" s="2441" t="s">
        <v>11041</v>
      </c>
      <c r="H386" s="2441" t="s">
        <v>11042</v>
      </c>
      <c r="I386" s="2441" t="s">
        <v>11020</v>
      </c>
      <c r="J386" s="2441" t="s">
        <v>8</v>
      </c>
      <c r="K386" s="2441" t="s">
        <v>10</v>
      </c>
      <c r="L386" s="2573">
        <v>300</v>
      </c>
      <c r="M386" s="2396">
        <v>0.007313</v>
      </c>
      <c r="N386" s="2555">
        <v>41022.8360453986</v>
      </c>
      <c r="O386" s="2555"/>
      <c r="P386" s="2295">
        <v>500</v>
      </c>
      <c r="Q386" s="2295"/>
      <c r="R386" s="2295">
        <v>500</v>
      </c>
      <c r="S386" s="2294"/>
      <c r="T386" s="2295">
        <v>244</v>
      </c>
      <c r="U386" s="2295">
        <v>219</v>
      </c>
      <c r="V386" s="2295">
        <v>219</v>
      </c>
      <c r="W386" s="2295">
        <v>293</v>
      </c>
      <c r="X386" s="2295">
        <v>293</v>
      </c>
      <c r="Y386" s="2295">
        <v>219</v>
      </c>
      <c r="Z386" s="2295">
        <v>366</v>
      </c>
      <c r="AA386" s="2295">
        <v>248</v>
      </c>
      <c r="AB386" s="2295">
        <v>220</v>
      </c>
      <c r="AC386" s="2295">
        <v>343</v>
      </c>
      <c r="AD386" s="2405">
        <v>220</v>
      </c>
      <c r="AE386" s="2405">
        <v>219</v>
      </c>
      <c r="AF386" s="2405">
        <v>219</v>
      </c>
      <c r="AG386" s="2405">
        <v>220</v>
      </c>
      <c r="AH386" s="2405">
        <v>219</v>
      </c>
      <c r="AI386" s="2405">
        <v>220</v>
      </c>
      <c r="AJ386" s="2282">
        <f t="shared" si="78"/>
        <v>4981</v>
      </c>
      <c r="AK386" s="2292">
        <v>310132</v>
      </c>
    </row>
    <row r="387" customHeight="1" spans="1:37">
      <c r="A387" s="2551"/>
      <c r="B387" s="2552"/>
      <c r="C387" s="2553"/>
      <c r="D387" s="2554"/>
      <c r="E387" s="2554"/>
      <c r="F387" s="2554"/>
      <c r="G387" s="2441" t="s">
        <v>11043</v>
      </c>
      <c r="H387" s="2441" t="s">
        <v>11022</v>
      </c>
      <c r="I387" s="2441" t="s">
        <v>11020</v>
      </c>
      <c r="J387" s="2441" t="s">
        <v>8</v>
      </c>
      <c r="K387" s="2441" t="s">
        <v>10</v>
      </c>
      <c r="L387" s="2161">
        <v>0</v>
      </c>
      <c r="M387" s="2396">
        <v>0.00618</v>
      </c>
      <c r="N387" s="2555">
        <v>0</v>
      </c>
      <c r="O387" s="2555"/>
      <c r="P387" s="2295">
        <v>186</v>
      </c>
      <c r="Q387" s="2295">
        <v>185</v>
      </c>
      <c r="R387" s="2295">
        <v>309</v>
      </c>
      <c r="S387" s="2294">
        <v>186</v>
      </c>
      <c r="T387" s="2295">
        <v>185</v>
      </c>
      <c r="U387" s="2295">
        <v>185</v>
      </c>
      <c r="V387" s="2295">
        <v>186</v>
      </c>
      <c r="W387" s="2295">
        <v>247</v>
      </c>
      <c r="X387" s="2295">
        <v>247</v>
      </c>
      <c r="Y387" s="2295">
        <v>186</v>
      </c>
      <c r="Z387" s="2295">
        <v>309</v>
      </c>
      <c r="AA387" s="2295">
        <v>210</v>
      </c>
      <c r="AB387" s="2295">
        <v>185</v>
      </c>
      <c r="AC387" s="2295">
        <v>291</v>
      </c>
      <c r="AD387" s="2405">
        <v>185</v>
      </c>
      <c r="AE387" s="2405">
        <v>185</v>
      </c>
      <c r="AF387" s="2405">
        <v>186</v>
      </c>
      <c r="AG387" s="2405">
        <v>185</v>
      </c>
      <c r="AH387" s="2405">
        <v>186</v>
      </c>
      <c r="AI387" s="2405">
        <v>185</v>
      </c>
      <c r="AJ387" s="2282">
        <f t="shared" si="78"/>
        <v>4209</v>
      </c>
      <c r="AK387" s="2292">
        <v>310032</v>
      </c>
    </row>
    <row r="388" customHeight="1" spans="1:37">
      <c r="A388" s="2551"/>
      <c r="B388" s="2552"/>
      <c r="C388" s="2553"/>
      <c r="D388" s="2554"/>
      <c r="E388" s="2554"/>
      <c r="F388" s="2554"/>
      <c r="G388" s="2522" t="s">
        <v>11044</v>
      </c>
      <c r="H388" s="2441" t="s">
        <v>11024</v>
      </c>
      <c r="I388" s="2441" t="s">
        <v>11045</v>
      </c>
      <c r="J388" s="2441" t="s">
        <v>8</v>
      </c>
      <c r="K388" s="2441"/>
      <c r="L388" s="2161">
        <v>500</v>
      </c>
      <c r="M388" s="2396">
        <v>0.006798</v>
      </c>
      <c r="N388" s="2555">
        <v>73551.0444248308</v>
      </c>
      <c r="O388" s="2555"/>
      <c r="P388" s="2295">
        <v>250</v>
      </c>
      <c r="Q388" s="2295">
        <v>158</v>
      </c>
      <c r="R388" s="2295">
        <v>340</v>
      </c>
      <c r="S388" s="2294"/>
      <c r="T388" s="2295">
        <v>0</v>
      </c>
      <c r="U388" s="2295"/>
      <c r="V388" s="2295"/>
      <c r="W388" s="2290"/>
      <c r="X388" s="2290"/>
      <c r="Y388" s="2295"/>
      <c r="Z388" s="2295"/>
      <c r="AA388" s="2295"/>
      <c r="AB388" s="2295"/>
      <c r="AC388" s="2295"/>
      <c r="AD388" s="2405"/>
      <c r="AE388" s="2405"/>
      <c r="AF388" s="2405"/>
      <c r="AG388" s="2405"/>
      <c r="AH388" s="2405">
        <v>0</v>
      </c>
      <c r="AI388" s="2405">
        <v>0</v>
      </c>
      <c r="AJ388" s="2282">
        <f t="shared" si="78"/>
        <v>748</v>
      </c>
      <c r="AK388" s="2292">
        <v>110032</v>
      </c>
    </row>
    <row r="389" customHeight="1" spans="1:37">
      <c r="A389" s="2551"/>
      <c r="B389" s="2552"/>
      <c r="C389" s="2553"/>
      <c r="D389" s="2554"/>
      <c r="E389" s="2554"/>
      <c r="F389" s="2554"/>
      <c r="G389" s="2522" t="s">
        <v>10985</v>
      </c>
      <c r="H389" s="2441" t="s">
        <v>11026</v>
      </c>
      <c r="I389" s="2441" t="s">
        <v>10890</v>
      </c>
      <c r="J389" s="2441" t="s">
        <v>8</v>
      </c>
      <c r="K389" s="2441"/>
      <c r="L389" s="2161">
        <v>500</v>
      </c>
      <c r="M389" s="2396">
        <v>0.002369</v>
      </c>
      <c r="N389" s="2555">
        <v>211059.518784297</v>
      </c>
      <c r="O389" s="2555"/>
      <c r="P389" s="2295">
        <v>250</v>
      </c>
      <c r="Q389" s="2295"/>
      <c r="R389" s="2295">
        <v>250</v>
      </c>
      <c r="S389" s="2294">
        <v>-239</v>
      </c>
      <c r="T389" s="2295">
        <v>0</v>
      </c>
      <c r="U389" s="2295"/>
      <c r="V389" s="2295"/>
      <c r="W389" s="2290"/>
      <c r="X389" s="2290"/>
      <c r="Y389" s="2295"/>
      <c r="Z389" s="2295"/>
      <c r="AA389" s="2295"/>
      <c r="AB389" s="2295"/>
      <c r="AC389" s="2295"/>
      <c r="AD389" s="2405"/>
      <c r="AE389" s="2405"/>
      <c r="AF389" s="2405"/>
      <c r="AG389" s="2405"/>
      <c r="AH389" s="2405">
        <v>0</v>
      </c>
      <c r="AI389" s="2405">
        <v>0</v>
      </c>
      <c r="AJ389" s="2282">
        <f t="shared" si="78"/>
        <v>261</v>
      </c>
      <c r="AK389" s="2292">
        <v>110173</v>
      </c>
    </row>
    <row r="390" customHeight="1" spans="1:37">
      <c r="A390" s="2551"/>
      <c r="B390" s="2552"/>
      <c r="C390" s="2553"/>
      <c r="D390" s="2554"/>
      <c r="E390" s="2554"/>
      <c r="F390" s="2554"/>
      <c r="G390" s="2558" t="s">
        <v>11046</v>
      </c>
      <c r="H390" s="2441" t="s">
        <v>10854</v>
      </c>
      <c r="I390" s="2569" t="s">
        <v>10696</v>
      </c>
      <c r="J390" s="2569"/>
      <c r="K390" s="2569" t="s">
        <v>10</v>
      </c>
      <c r="L390" s="2161">
        <v>500</v>
      </c>
      <c r="M390" s="2396">
        <v>0.0082</v>
      </c>
      <c r="N390" s="2555">
        <v>60975.6097560976</v>
      </c>
      <c r="O390" s="2555"/>
      <c r="P390" s="2295"/>
      <c r="Q390" s="2295"/>
      <c r="R390" s="2295"/>
      <c r="S390" s="2294">
        <v>250</v>
      </c>
      <c r="T390" s="2295">
        <v>242</v>
      </c>
      <c r="U390" s="2295">
        <v>246</v>
      </c>
      <c r="V390" s="2295">
        <v>246</v>
      </c>
      <c r="W390" s="2295">
        <v>328</v>
      </c>
      <c r="X390" s="2295">
        <v>328</v>
      </c>
      <c r="Y390" s="2295">
        <v>246</v>
      </c>
      <c r="Z390" s="2295">
        <v>410</v>
      </c>
      <c r="AA390" s="2295">
        <v>279</v>
      </c>
      <c r="AB390" s="2295">
        <v>246</v>
      </c>
      <c r="AC390" s="2295">
        <v>386</v>
      </c>
      <c r="AD390" s="2405">
        <v>246</v>
      </c>
      <c r="AE390" s="2405">
        <v>246</v>
      </c>
      <c r="AF390" s="2405">
        <v>246</v>
      </c>
      <c r="AG390" s="2405">
        <v>246</v>
      </c>
      <c r="AH390" s="2405">
        <v>246</v>
      </c>
      <c r="AI390" s="2405">
        <v>246</v>
      </c>
      <c r="AJ390" s="2282">
        <f t="shared" si="78"/>
        <v>4683</v>
      </c>
      <c r="AK390" s="2292">
        <v>200000</v>
      </c>
    </row>
    <row r="391" customHeight="1" spans="1:37">
      <c r="A391" s="2551"/>
      <c r="B391" s="2552"/>
      <c r="C391" s="2553"/>
      <c r="D391" s="2554"/>
      <c r="E391" s="2554"/>
      <c r="F391" s="2554"/>
      <c r="G391" s="2558" t="s">
        <v>11047</v>
      </c>
      <c r="H391" s="2441" t="s">
        <v>10854</v>
      </c>
      <c r="I391" s="2569" t="s">
        <v>10959</v>
      </c>
      <c r="J391" s="2569"/>
      <c r="K391" s="2569" t="s">
        <v>10</v>
      </c>
      <c r="L391" s="2161">
        <v>0</v>
      </c>
      <c r="M391" s="2396">
        <v>0.0041</v>
      </c>
      <c r="N391" s="2555">
        <v>0</v>
      </c>
      <c r="O391" s="2555"/>
      <c r="P391" s="2295"/>
      <c r="Q391" s="2295"/>
      <c r="R391" s="2295"/>
      <c r="S391" s="2294">
        <v>123</v>
      </c>
      <c r="T391" s="2295">
        <v>123</v>
      </c>
      <c r="U391" s="2295">
        <v>123</v>
      </c>
      <c r="V391" s="2295">
        <v>123</v>
      </c>
      <c r="W391" s="2295">
        <v>164</v>
      </c>
      <c r="X391" s="2295">
        <v>164</v>
      </c>
      <c r="Y391" s="2295">
        <v>123</v>
      </c>
      <c r="Z391" s="2295">
        <v>205</v>
      </c>
      <c r="AA391" s="2295">
        <v>140</v>
      </c>
      <c r="AB391" s="2295">
        <v>123</v>
      </c>
      <c r="AC391" s="2295">
        <v>193</v>
      </c>
      <c r="AD391" s="2405">
        <v>123</v>
      </c>
      <c r="AE391" s="2405">
        <v>123</v>
      </c>
      <c r="AF391" s="2405">
        <v>123</v>
      </c>
      <c r="AG391" s="2405">
        <v>123</v>
      </c>
      <c r="AH391" s="2405">
        <v>123</v>
      </c>
      <c r="AI391" s="2405">
        <v>123</v>
      </c>
      <c r="AJ391" s="2282">
        <f t="shared" si="78"/>
        <v>2342</v>
      </c>
      <c r="AK391" s="2292">
        <v>200000</v>
      </c>
    </row>
    <row r="392" customHeight="1" spans="1:37">
      <c r="A392" s="2551"/>
      <c r="B392" s="2552"/>
      <c r="C392" s="2553"/>
      <c r="D392" s="2554"/>
      <c r="E392" s="2554"/>
      <c r="F392" s="2554"/>
      <c r="G392" s="2560" t="s">
        <v>10985</v>
      </c>
      <c r="H392" s="2441" t="s">
        <v>11030</v>
      </c>
      <c r="I392" s="2441" t="s">
        <v>10890</v>
      </c>
      <c r="J392" s="2441"/>
      <c r="K392" s="2441" t="s">
        <v>10</v>
      </c>
      <c r="L392" s="2161">
        <v>500</v>
      </c>
      <c r="M392" s="2396">
        <v>0.0048</v>
      </c>
      <c r="N392" s="2555">
        <v>104166.666666667</v>
      </c>
      <c r="O392" s="2555"/>
      <c r="P392" s="2295"/>
      <c r="Q392" s="2295"/>
      <c r="R392" s="2295"/>
      <c r="S392" s="2294">
        <v>239</v>
      </c>
      <c r="T392" s="2295">
        <v>49</v>
      </c>
      <c r="U392" s="2295">
        <v>144</v>
      </c>
      <c r="V392" s="2295">
        <v>144</v>
      </c>
      <c r="W392" s="2295">
        <v>192</v>
      </c>
      <c r="X392" s="2295">
        <v>192</v>
      </c>
      <c r="Y392" s="2295">
        <v>144</v>
      </c>
      <c r="Z392" s="2295">
        <v>250</v>
      </c>
      <c r="AA392" s="2295">
        <v>154</v>
      </c>
      <c r="AB392" s="2295">
        <v>144</v>
      </c>
      <c r="AC392" s="2295">
        <v>225</v>
      </c>
      <c r="AD392" s="2405">
        <v>144</v>
      </c>
      <c r="AE392" s="2405">
        <v>144</v>
      </c>
      <c r="AF392" s="2405">
        <v>144</v>
      </c>
      <c r="AG392" s="2405">
        <v>144</v>
      </c>
      <c r="AH392" s="2405">
        <v>144</v>
      </c>
      <c r="AI392" s="2405">
        <v>144</v>
      </c>
      <c r="AJ392" s="2282">
        <f t="shared" si="78"/>
        <v>2741</v>
      </c>
      <c r="AK392" s="2292">
        <v>200000</v>
      </c>
    </row>
    <row r="393" customHeight="1" spans="1:37">
      <c r="A393" s="2551"/>
      <c r="B393" s="2561"/>
      <c r="C393" s="2562"/>
      <c r="D393" s="2563"/>
      <c r="E393" s="2563"/>
      <c r="F393" s="2563"/>
      <c r="G393" s="2477"/>
      <c r="H393" s="2477" t="s">
        <v>11031</v>
      </c>
      <c r="I393" s="2477" t="s">
        <v>11020</v>
      </c>
      <c r="J393" s="2477" t="s">
        <v>8</v>
      </c>
      <c r="K393" s="2477" t="s">
        <v>10</v>
      </c>
      <c r="L393" s="2348">
        <v>0</v>
      </c>
      <c r="M393" s="2564">
        <v>1</v>
      </c>
      <c r="N393" s="2565">
        <v>0</v>
      </c>
      <c r="O393" s="2565"/>
      <c r="P393" s="2435">
        <v>30000</v>
      </c>
      <c r="Q393" s="2435">
        <v>30000</v>
      </c>
      <c r="R393" s="2435">
        <v>50000</v>
      </c>
      <c r="S393" s="2434">
        <v>30000</v>
      </c>
      <c r="T393" s="2435">
        <v>30000</v>
      </c>
      <c r="U393" s="2435">
        <v>30000</v>
      </c>
      <c r="V393" s="2435">
        <v>30000</v>
      </c>
      <c r="W393" s="2435">
        <v>40000</v>
      </c>
      <c r="X393" s="2435">
        <v>40000</v>
      </c>
      <c r="Y393" s="2435">
        <v>30000</v>
      </c>
      <c r="Z393" s="2435">
        <v>50000</v>
      </c>
      <c r="AA393" s="2435">
        <v>34000</v>
      </c>
      <c r="AB393" s="2435">
        <v>30000</v>
      </c>
      <c r="AC393" s="2435">
        <v>47000</v>
      </c>
      <c r="AD393" s="2438">
        <v>30000</v>
      </c>
      <c r="AE393" s="2438">
        <v>30000</v>
      </c>
      <c r="AF393" s="2438">
        <v>30000</v>
      </c>
      <c r="AG393" s="2438">
        <v>30000</v>
      </c>
      <c r="AH393" s="2438">
        <v>30000</v>
      </c>
      <c r="AI393" s="2438">
        <v>30000</v>
      </c>
      <c r="AJ393" s="2282">
        <f t="shared" si="78"/>
        <v>681000</v>
      </c>
      <c r="AK393" s="2436">
        <v>310000</v>
      </c>
    </row>
    <row r="394" customHeight="1" spans="1:37">
      <c r="A394" s="2551"/>
      <c r="B394" s="2547" t="s">
        <v>11048</v>
      </c>
      <c r="C394" s="2548">
        <v>10</v>
      </c>
      <c r="D394" s="2549"/>
      <c r="E394" s="2549"/>
      <c r="F394" s="2549"/>
      <c r="G394" s="2482" t="s">
        <v>11049</v>
      </c>
      <c r="H394" s="2482" t="s">
        <v>11017</v>
      </c>
      <c r="I394" s="2482" t="s">
        <v>11020</v>
      </c>
      <c r="J394" s="2482" t="s">
        <v>8</v>
      </c>
      <c r="K394" s="2482" t="s">
        <v>10</v>
      </c>
      <c r="L394" s="2149">
        <v>800</v>
      </c>
      <c r="M394" s="2393">
        <v>0.067877</v>
      </c>
      <c r="N394" s="2550">
        <v>11786.0247211869</v>
      </c>
      <c r="O394" s="2550"/>
      <c r="P394" s="2280">
        <v>2037</v>
      </c>
      <c r="Q394" s="2280">
        <v>2036</v>
      </c>
      <c r="R394" s="2280">
        <v>3394</v>
      </c>
      <c r="S394" s="2278">
        <v>2037</v>
      </c>
      <c r="T394" s="2280">
        <v>2036</v>
      </c>
      <c r="U394" s="2280">
        <v>2036</v>
      </c>
      <c r="V394" s="2280">
        <v>2036</v>
      </c>
      <c r="W394" s="2280">
        <v>2715</v>
      </c>
      <c r="X394" s="2280">
        <v>2715</v>
      </c>
      <c r="Y394" s="2280">
        <v>2037</v>
      </c>
      <c r="Z394" s="2280">
        <v>3394</v>
      </c>
      <c r="AA394" s="2280">
        <v>2239</v>
      </c>
      <c r="AB394" s="2280">
        <v>2037</v>
      </c>
      <c r="AC394" s="2280">
        <v>3190</v>
      </c>
      <c r="AD394" s="2280">
        <v>2036</v>
      </c>
      <c r="AE394" s="2280">
        <v>2037</v>
      </c>
      <c r="AF394" s="2280">
        <v>2036</v>
      </c>
      <c r="AG394" s="2280">
        <v>2036</v>
      </c>
      <c r="AH394" s="2280">
        <v>2037</v>
      </c>
      <c r="AI394" s="2280">
        <v>2036</v>
      </c>
      <c r="AJ394" s="2282">
        <f t="shared" si="78"/>
        <v>46157</v>
      </c>
      <c r="AK394" s="2283">
        <v>310001</v>
      </c>
    </row>
    <row r="395" customHeight="1" spans="1:37">
      <c r="A395" s="2551"/>
      <c r="B395" s="2552"/>
      <c r="C395" s="2553"/>
      <c r="D395" s="2554"/>
      <c r="E395" s="2554"/>
      <c r="F395" s="2554"/>
      <c r="G395" s="2522" t="s">
        <v>11050</v>
      </c>
      <c r="H395" s="2441" t="s">
        <v>11022</v>
      </c>
      <c r="I395" s="2441" t="s">
        <v>11020</v>
      </c>
      <c r="J395" s="2441" t="s">
        <v>8</v>
      </c>
      <c r="K395" s="2441"/>
      <c r="L395" s="2161">
        <v>0</v>
      </c>
      <c r="M395" s="2396">
        <v>0.00618</v>
      </c>
      <c r="N395" s="2555">
        <v>0</v>
      </c>
      <c r="O395" s="2555"/>
      <c r="P395" s="2295">
        <v>186</v>
      </c>
      <c r="Q395" s="2295">
        <v>185</v>
      </c>
      <c r="R395" s="2295">
        <v>309</v>
      </c>
      <c r="S395" s="2294"/>
      <c r="T395" s="2290"/>
      <c r="U395" s="2290"/>
      <c r="V395" s="2290"/>
      <c r="W395" s="2290"/>
      <c r="X395" s="2290"/>
      <c r="Y395" s="2295"/>
      <c r="Z395" s="2295"/>
      <c r="AA395" s="2295"/>
      <c r="AB395" s="2295"/>
      <c r="AC395" s="2295"/>
      <c r="AD395" s="2405"/>
      <c r="AE395" s="2405"/>
      <c r="AF395" s="2405"/>
      <c r="AG395" s="2405"/>
      <c r="AH395" s="2405">
        <v>0</v>
      </c>
      <c r="AI395" s="2405">
        <v>0</v>
      </c>
      <c r="AJ395" s="2282">
        <f t="shared" si="78"/>
        <v>680</v>
      </c>
      <c r="AK395" s="2292">
        <v>110032</v>
      </c>
    </row>
    <row r="396" customHeight="1" spans="1:37">
      <c r="A396" s="2551"/>
      <c r="B396" s="2552"/>
      <c r="C396" s="2553"/>
      <c r="D396" s="2554"/>
      <c r="E396" s="2554"/>
      <c r="F396" s="2554"/>
      <c r="G396" s="2522" t="s">
        <v>11044</v>
      </c>
      <c r="H396" s="2441" t="s">
        <v>11024</v>
      </c>
      <c r="I396" s="2441" t="s">
        <v>11045</v>
      </c>
      <c r="J396" s="2441" t="s">
        <v>8</v>
      </c>
      <c r="K396" s="2441"/>
      <c r="L396" s="2161">
        <v>500</v>
      </c>
      <c r="M396" s="2396">
        <v>0.006798</v>
      </c>
      <c r="N396" s="2555">
        <v>73551.0444248308</v>
      </c>
      <c r="O396" s="2555"/>
      <c r="P396" s="2295">
        <v>250</v>
      </c>
      <c r="Q396" s="2295">
        <v>158</v>
      </c>
      <c r="R396" s="2295">
        <v>340</v>
      </c>
      <c r="S396" s="2294"/>
      <c r="T396" s="2290"/>
      <c r="U396" s="2290"/>
      <c r="V396" s="2290"/>
      <c r="W396" s="2290"/>
      <c r="X396" s="2290"/>
      <c r="Y396" s="2295"/>
      <c r="Z396" s="2295"/>
      <c r="AA396" s="2295"/>
      <c r="AB396" s="2295"/>
      <c r="AC396" s="2295"/>
      <c r="AD396" s="2405"/>
      <c r="AE396" s="2405"/>
      <c r="AF396" s="2405"/>
      <c r="AG396" s="2405"/>
      <c r="AH396" s="2405">
        <v>0</v>
      </c>
      <c r="AI396" s="2405">
        <v>0</v>
      </c>
      <c r="AJ396" s="2282">
        <f t="shared" si="78"/>
        <v>748</v>
      </c>
      <c r="AK396" s="2292">
        <v>110032</v>
      </c>
    </row>
    <row r="397" customHeight="1" spans="1:37">
      <c r="A397" s="2551"/>
      <c r="B397" s="2552"/>
      <c r="C397" s="2553"/>
      <c r="D397" s="2554"/>
      <c r="E397" s="2554"/>
      <c r="F397" s="2554"/>
      <c r="G397" s="2522" t="s">
        <v>10985</v>
      </c>
      <c r="H397" s="2441" t="s">
        <v>11051</v>
      </c>
      <c r="I397" s="2441" t="s">
        <v>10890</v>
      </c>
      <c r="J397" s="2441" t="s">
        <v>8</v>
      </c>
      <c r="K397" s="2441"/>
      <c r="L397" s="2161">
        <v>500</v>
      </c>
      <c r="M397" s="2396">
        <v>0.002369</v>
      </c>
      <c r="N397" s="2555">
        <v>211059.518784297</v>
      </c>
      <c r="O397" s="2555"/>
      <c r="P397" s="2295">
        <v>250</v>
      </c>
      <c r="Q397" s="2295"/>
      <c r="R397" s="2295">
        <v>250</v>
      </c>
      <c r="S397" s="2294">
        <v>-239</v>
      </c>
      <c r="T397" s="2290"/>
      <c r="U397" s="2290"/>
      <c r="V397" s="2290"/>
      <c r="W397" s="2290"/>
      <c r="X397" s="2290"/>
      <c r="Y397" s="2295"/>
      <c r="Z397" s="2295"/>
      <c r="AA397" s="2295"/>
      <c r="AB397" s="2295"/>
      <c r="AC397" s="2295"/>
      <c r="AD397" s="2405"/>
      <c r="AE397" s="2405"/>
      <c r="AF397" s="2405"/>
      <c r="AG397" s="2405"/>
      <c r="AH397" s="2405">
        <v>0</v>
      </c>
      <c r="AI397" s="2405">
        <v>0</v>
      </c>
      <c r="AJ397" s="2282">
        <f t="shared" si="78"/>
        <v>261</v>
      </c>
      <c r="AK397" s="2292">
        <v>110173</v>
      </c>
    </row>
    <row r="398" customHeight="1" spans="1:37">
      <c r="A398" s="2551"/>
      <c r="B398" s="2552"/>
      <c r="C398" s="2553"/>
      <c r="D398" s="2554"/>
      <c r="E398" s="2554"/>
      <c r="F398" s="2554"/>
      <c r="G398" s="2441" t="s">
        <v>11052</v>
      </c>
      <c r="H398" s="2441" t="s">
        <v>11022</v>
      </c>
      <c r="I398" s="2441" t="s">
        <v>10696</v>
      </c>
      <c r="J398" s="2441"/>
      <c r="K398" s="2441" t="s">
        <v>10</v>
      </c>
      <c r="L398" s="2161">
        <v>0</v>
      </c>
      <c r="M398" s="2396">
        <v>0.00618</v>
      </c>
      <c r="N398" s="2555">
        <v>0</v>
      </c>
      <c r="O398" s="2555"/>
      <c r="P398" s="2295"/>
      <c r="Q398" s="2295"/>
      <c r="R398" s="2295"/>
      <c r="S398" s="2294">
        <v>186</v>
      </c>
      <c r="T398" s="2290">
        <v>185</v>
      </c>
      <c r="U398" s="2290">
        <v>186</v>
      </c>
      <c r="V398" s="2290">
        <v>185</v>
      </c>
      <c r="W398" s="2290">
        <v>247</v>
      </c>
      <c r="X398" s="2290">
        <v>247</v>
      </c>
      <c r="Y398" s="2295">
        <v>186</v>
      </c>
      <c r="Z398" s="2295">
        <v>309</v>
      </c>
      <c r="AA398" s="2295">
        <v>204</v>
      </c>
      <c r="AB398" s="2295">
        <v>185</v>
      </c>
      <c r="AC398" s="2295">
        <v>291</v>
      </c>
      <c r="AD398" s="2405">
        <v>185</v>
      </c>
      <c r="AE398" s="2405">
        <v>185</v>
      </c>
      <c r="AF398" s="2405">
        <v>186</v>
      </c>
      <c r="AG398" s="2405">
        <v>185</v>
      </c>
      <c r="AH398" s="2405">
        <v>186</v>
      </c>
      <c r="AI398" s="2405">
        <v>185</v>
      </c>
      <c r="AJ398" s="2282">
        <f t="shared" si="78"/>
        <v>3523</v>
      </c>
      <c r="AK398" s="2292">
        <v>200000</v>
      </c>
    </row>
    <row r="399" customHeight="1" spans="1:37">
      <c r="A399" s="2551"/>
      <c r="B399" s="2552"/>
      <c r="C399" s="2553"/>
      <c r="D399" s="2554"/>
      <c r="E399" s="2554"/>
      <c r="F399" s="2554"/>
      <c r="G399" s="2558" t="s">
        <v>11046</v>
      </c>
      <c r="H399" s="2441" t="s">
        <v>10854</v>
      </c>
      <c r="I399" s="2441" t="s">
        <v>10696</v>
      </c>
      <c r="J399" s="2441"/>
      <c r="K399" s="2441" t="s">
        <v>10</v>
      </c>
      <c r="L399" s="2161">
        <v>500</v>
      </c>
      <c r="M399" s="2396">
        <v>0.0082</v>
      </c>
      <c r="N399" s="2555">
        <v>60975.6097560976</v>
      </c>
      <c r="O399" s="2555"/>
      <c r="P399" s="2295"/>
      <c r="Q399" s="2295"/>
      <c r="R399" s="2295"/>
      <c r="S399" s="2294">
        <v>250</v>
      </c>
      <c r="T399" s="2295">
        <v>242</v>
      </c>
      <c r="U399" s="2295">
        <v>246</v>
      </c>
      <c r="V399" s="2295">
        <v>246</v>
      </c>
      <c r="W399" s="2295">
        <v>328</v>
      </c>
      <c r="X399" s="2295">
        <v>328</v>
      </c>
      <c r="Y399" s="2295">
        <v>246</v>
      </c>
      <c r="Z399" s="2295">
        <v>410</v>
      </c>
      <c r="AA399" s="2295">
        <v>271</v>
      </c>
      <c r="AB399" s="2295">
        <v>246</v>
      </c>
      <c r="AC399" s="2295">
        <v>385</v>
      </c>
      <c r="AD399" s="2405">
        <v>246</v>
      </c>
      <c r="AE399" s="2405">
        <v>246</v>
      </c>
      <c r="AF399" s="2405">
        <v>246</v>
      </c>
      <c r="AG399" s="2405">
        <v>246</v>
      </c>
      <c r="AH399" s="2405">
        <v>246</v>
      </c>
      <c r="AI399" s="2405">
        <v>246</v>
      </c>
      <c r="AJ399" s="2282">
        <f t="shared" si="78"/>
        <v>4674</v>
      </c>
      <c r="AK399" s="2292">
        <v>200000</v>
      </c>
    </row>
    <row r="400" customHeight="1" spans="1:37">
      <c r="A400" s="2551"/>
      <c r="B400" s="2552"/>
      <c r="C400" s="2553"/>
      <c r="D400" s="2554"/>
      <c r="E400" s="2554"/>
      <c r="F400" s="2554"/>
      <c r="G400" s="2558" t="s">
        <v>11047</v>
      </c>
      <c r="H400" s="2441" t="s">
        <v>10854</v>
      </c>
      <c r="I400" s="2441" t="s">
        <v>10959</v>
      </c>
      <c r="J400" s="2441"/>
      <c r="K400" s="2441" t="s">
        <v>10</v>
      </c>
      <c r="L400" s="2161">
        <v>0</v>
      </c>
      <c r="M400" s="2396">
        <v>0.0082</v>
      </c>
      <c r="N400" s="2555">
        <v>0</v>
      </c>
      <c r="O400" s="2555"/>
      <c r="P400" s="2295"/>
      <c r="Q400" s="2295"/>
      <c r="R400" s="2295"/>
      <c r="S400" s="2294">
        <v>246</v>
      </c>
      <c r="T400" s="2295">
        <v>246</v>
      </c>
      <c r="U400" s="2295">
        <v>246</v>
      </c>
      <c r="V400" s="2295">
        <v>246</v>
      </c>
      <c r="W400" s="2295">
        <v>328</v>
      </c>
      <c r="X400" s="2295">
        <v>328</v>
      </c>
      <c r="Y400" s="2295">
        <v>246</v>
      </c>
      <c r="Z400" s="2295">
        <v>410</v>
      </c>
      <c r="AA400" s="2295">
        <v>271</v>
      </c>
      <c r="AB400" s="2295">
        <v>246</v>
      </c>
      <c r="AC400" s="2295">
        <v>385</v>
      </c>
      <c r="AD400" s="2405">
        <v>246</v>
      </c>
      <c r="AE400" s="2405">
        <v>246</v>
      </c>
      <c r="AF400" s="2405">
        <v>246</v>
      </c>
      <c r="AG400" s="2405">
        <v>246</v>
      </c>
      <c r="AH400" s="2405">
        <v>246</v>
      </c>
      <c r="AI400" s="2405">
        <v>246</v>
      </c>
      <c r="AJ400" s="2282">
        <f t="shared" ref="AJ400:AJ431" si="79">SUM(P400:AI400)</f>
        <v>4674</v>
      </c>
      <c r="AK400" s="2292">
        <v>200000</v>
      </c>
    </row>
    <row r="401" customHeight="1" spans="1:37">
      <c r="A401" s="2551"/>
      <c r="B401" s="2552"/>
      <c r="C401" s="2553"/>
      <c r="D401" s="2554"/>
      <c r="E401" s="2554"/>
      <c r="F401" s="2554"/>
      <c r="G401" s="2560" t="s">
        <v>10985</v>
      </c>
      <c r="H401" s="2441" t="s">
        <v>11030</v>
      </c>
      <c r="I401" s="2441" t="s">
        <v>10890</v>
      </c>
      <c r="J401" s="2441"/>
      <c r="K401" s="2441" t="s">
        <v>10</v>
      </c>
      <c r="L401" s="2161">
        <v>500</v>
      </c>
      <c r="M401" s="2396">
        <v>0.0048</v>
      </c>
      <c r="N401" s="2555">
        <v>104166.666666667</v>
      </c>
      <c r="O401" s="2555"/>
      <c r="P401" s="2295"/>
      <c r="Q401" s="2295"/>
      <c r="R401" s="2295"/>
      <c r="S401" s="2294">
        <v>239</v>
      </c>
      <c r="T401" s="2295">
        <v>49</v>
      </c>
      <c r="U401" s="2295">
        <v>144</v>
      </c>
      <c r="V401" s="2295">
        <v>144</v>
      </c>
      <c r="W401" s="2295">
        <v>192</v>
      </c>
      <c r="X401" s="2295">
        <v>192</v>
      </c>
      <c r="Y401" s="2295">
        <v>144</v>
      </c>
      <c r="Z401" s="2295">
        <v>250</v>
      </c>
      <c r="AA401" s="2295">
        <v>149</v>
      </c>
      <c r="AB401" s="2295">
        <v>144</v>
      </c>
      <c r="AC401" s="2295">
        <v>225</v>
      </c>
      <c r="AD401" s="2405">
        <v>144</v>
      </c>
      <c r="AE401" s="2405">
        <v>144</v>
      </c>
      <c r="AF401" s="2405">
        <v>144</v>
      </c>
      <c r="AG401" s="2405">
        <v>144</v>
      </c>
      <c r="AH401" s="2405">
        <v>144</v>
      </c>
      <c r="AI401" s="2405">
        <v>144</v>
      </c>
      <c r="AJ401" s="2282">
        <f t="shared" si="79"/>
        <v>2736</v>
      </c>
      <c r="AK401" s="2292">
        <v>200000</v>
      </c>
    </row>
    <row r="402" customHeight="1" spans="1:37">
      <c r="A402" s="2551"/>
      <c r="B402" s="2561"/>
      <c r="C402" s="2562"/>
      <c r="D402" s="2574"/>
      <c r="E402" s="2574"/>
      <c r="F402" s="2574"/>
      <c r="G402" s="2477"/>
      <c r="H402" s="2477" t="s">
        <v>11031</v>
      </c>
      <c r="I402" s="2477" t="s">
        <v>11020</v>
      </c>
      <c r="J402" s="2477" t="s">
        <v>8</v>
      </c>
      <c r="K402" s="2477" t="s">
        <v>10</v>
      </c>
      <c r="L402" s="2348">
        <v>0</v>
      </c>
      <c r="M402" s="2564">
        <v>1</v>
      </c>
      <c r="N402" s="2565">
        <v>0</v>
      </c>
      <c r="O402" s="2565"/>
      <c r="P402" s="2435">
        <v>30000</v>
      </c>
      <c r="Q402" s="2435">
        <v>30000</v>
      </c>
      <c r="R402" s="2435">
        <v>50000</v>
      </c>
      <c r="S402" s="2434">
        <v>30000</v>
      </c>
      <c r="T402" s="2435">
        <v>30000</v>
      </c>
      <c r="U402" s="2435">
        <v>30000</v>
      </c>
      <c r="V402" s="2435">
        <v>30000</v>
      </c>
      <c r="W402" s="2435">
        <v>40000</v>
      </c>
      <c r="X402" s="2435">
        <v>40000</v>
      </c>
      <c r="Y402" s="2435">
        <v>30000</v>
      </c>
      <c r="Z402" s="2435">
        <v>50000</v>
      </c>
      <c r="AA402" s="2435">
        <v>33000</v>
      </c>
      <c r="AB402" s="2435">
        <v>30000</v>
      </c>
      <c r="AC402" s="2435">
        <v>47000</v>
      </c>
      <c r="AD402" s="2438">
        <v>30000</v>
      </c>
      <c r="AE402" s="2438">
        <v>30000</v>
      </c>
      <c r="AF402" s="2438">
        <v>30000</v>
      </c>
      <c r="AG402" s="2438">
        <v>30000</v>
      </c>
      <c r="AH402" s="2438">
        <v>30000</v>
      </c>
      <c r="AI402" s="2438">
        <v>30000</v>
      </c>
      <c r="AJ402" s="2282">
        <f t="shared" si="79"/>
        <v>680000</v>
      </c>
      <c r="AK402" s="2436">
        <v>310000</v>
      </c>
    </row>
    <row r="403" customHeight="1" spans="1:37">
      <c r="A403" s="2551"/>
      <c r="B403" s="2547" t="s">
        <v>2984</v>
      </c>
      <c r="C403" s="2548">
        <v>10</v>
      </c>
      <c r="D403" s="2575"/>
      <c r="E403" s="2575"/>
      <c r="F403" s="2575"/>
      <c r="G403" s="2482" t="s">
        <v>11053</v>
      </c>
      <c r="H403" s="2482" t="s">
        <v>11054</v>
      </c>
      <c r="I403" s="2576" t="s">
        <v>11020</v>
      </c>
      <c r="J403" s="2576" t="s">
        <v>8</v>
      </c>
      <c r="K403" s="2576" t="s">
        <v>10</v>
      </c>
      <c r="L403" s="2149">
        <v>800</v>
      </c>
      <c r="M403" s="2393">
        <v>0.055414</v>
      </c>
      <c r="N403" s="2550">
        <v>14436.7849279965</v>
      </c>
      <c r="O403" s="2550"/>
      <c r="P403" s="2280">
        <v>1663</v>
      </c>
      <c r="Q403" s="2280">
        <v>1662</v>
      </c>
      <c r="R403" s="2280">
        <v>2771</v>
      </c>
      <c r="S403" s="2278">
        <v>1663</v>
      </c>
      <c r="T403" s="2280">
        <v>1662</v>
      </c>
      <c r="U403" s="2280">
        <v>1662</v>
      </c>
      <c r="V403" s="2280">
        <v>1663</v>
      </c>
      <c r="W403" s="2280">
        <v>2216</v>
      </c>
      <c r="X403" s="2280">
        <v>2217</v>
      </c>
      <c r="Y403" s="2280">
        <v>1662</v>
      </c>
      <c r="Z403" s="2280">
        <v>2771</v>
      </c>
      <c r="AA403" s="2577">
        <v>1829</v>
      </c>
      <c r="AB403" s="2577">
        <v>1662</v>
      </c>
      <c r="AC403" s="2280">
        <v>2327</v>
      </c>
      <c r="AD403" s="2280">
        <v>1663</v>
      </c>
      <c r="AE403" s="2280">
        <v>1662</v>
      </c>
      <c r="AF403" s="2280">
        <v>1663</v>
      </c>
      <c r="AG403" s="2280">
        <v>1662</v>
      </c>
      <c r="AH403" s="2280">
        <v>1663</v>
      </c>
      <c r="AI403" s="2280">
        <v>1662</v>
      </c>
      <c r="AJ403" s="2282">
        <f t="shared" si="79"/>
        <v>37405</v>
      </c>
      <c r="AK403" s="2283">
        <v>310011</v>
      </c>
    </row>
    <row r="404" customHeight="1" spans="1:37">
      <c r="A404" s="2551"/>
      <c r="B404" s="2552"/>
      <c r="C404" s="2553"/>
      <c r="D404" s="2578"/>
      <c r="E404" s="2578"/>
      <c r="F404" s="2578"/>
      <c r="G404" s="2441" t="s">
        <v>11055</v>
      </c>
      <c r="H404" s="2441" t="s">
        <v>11056</v>
      </c>
      <c r="I404" s="2441" t="s">
        <v>10957</v>
      </c>
      <c r="J404" s="2441" t="s">
        <v>8</v>
      </c>
      <c r="K404" s="2441" t="s">
        <v>10</v>
      </c>
      <c r="L404" s="2161">
        <v>0</v>
      </c>
      <c r="M404" s="2396">
        <v>0.003399</v>
      </c>
      <c r="N404" s="2555">
        <v>0</v>
      </c>
      <c r="O404" s="2555"/>
      <c r="P404" s="2295">
        <v>102</v>
      </c>
      <c r="Q404" s="2295">
        <v>102</v>
      </c>
      <c r="R404" s="2295">
        <v>170</v>
      </c>
      <c r="S404" s="2294">
        <v>102</v>
      </c>
      <c r="T404" s="2295">
        <v>102</v>
      </c>
      <c r="U404" s="2295">
        <v>102</v>
      </c>
      <c r="V404" s="2295">
        <v>102</v>
      </c>
      <c r="W404" s="2295">
        <v>136</v>
      </c>
      <c r="X404" s="2295">
        <v>136</v>
      </c>
      <c r="Y404" s="2295">
        <v>102</v>
      </c>
      <c r="Z404" s="2295">
        <v>170</v>
      </c>
      <c r="AA404" s="2295">
        <v>112</v>
      </c>
      <c r="AB404" s="2295">
        <v>102</v>
      </c>
      <c r="AC404" s="2295">
        <v>143</v>
      </c>
      <c r="AD404" s="2405">
        <v>102</v>
      </c>
      <c r="AE404" s="2405">
        <v>102</v>
      </c>
      <c r="AF404" s="2405">
        <v>102</v>
      </c>
      <c r="AG404" s="2405">
        <v>102</v>
      </c>
      <c r="AH404" s="2405">
        <v>102</v>
      </c>
      <c r="AI404" s="2405">
        <v>102</v>
      </c>
      <c r="AJ404" s="2282">
        <f t="shared" si="79"/>
        <v>2295</v>
      </c>
      <c r="AK404" s="2292">
        <v>310091</v>
      </c>
    </row>
    <row r="405" customHeight="1" spans="1:37">
      <c r="A405" s="2551"/>
      <c r="B405" s="2552"/>
      <c r="C405" s="2553"/>
      <c r="D405" s="2578"/>
      <c r="E405" s="2578"/>
      <c r="F405" s="2578"/>
      <c r="G405" s="2441" t="s">
        <v>11057</v>
      </c>
      <c r="H405" s="2441" t="s">
        <v>11019</v>
      </c>
      <c r="I405" s="2441" t="s">
        <v>11020</v>
      </c>
      <c r="J405" s="2441" t="s">
        <v>8</v>
      </c>
      <c r="K405" s="2441" t="s">
        <v>10</v>
      </c>
      <c r="L405" s="2573">
        <v>500</v>
      </c>
      <c r="M405" s="2396">
        <v>0.00618</v>
      </c>
      <c r="N405" s="2555">
        <v>80906.1488673139</v>
      </c>
      <c r="O405" s="2555"/>
      <c r="P405" s="2295">
        <v>800</v>
      </c>
      <c r="Q405" s="2295"/>
      <c r="R405" s="2295"/>
      <c r="S405" s="2294"/>
      <c r="T405" s="2295">
        <v>251</v>
      </c>
      <c r="U405" s="2295">
        <v>185</v>
      </c>
      <c r="V405" s="2295">
        <v>186</v>
      </c>
      <c r="W405" s="2295">
        <v>247</v>
      </c>
      <c r="X405" s="2295">
        <v>247</v>
      </c>
      <c r="Y405" s="2295">
        <v>186</v>
      </c>
      <c r="Z405" s="2295">
        <v>309</v>
      </c>
      <c r="AA405" s="2295">
        <v>204</v>
      </c>
      <c r="AB405" s="2295">
        <v>185</v>
      </c>
      <c r="AC405" s="2295">
        <v>260</v>
      </c>
      <c r="AD405" s="2405">
        <v>185</v>
      </c>
      <c r="AE405" s="2405">
        <v>185</v>
      </c>
      <c r="AF405" s="2405">
        <v>186</v>
      </c>
      <c r="AG405" s="2405">
        <v>185</v>
      </c>
      <c r="AH405" s="2405">
        <v>186</v>
      </c>
      <c r="AI405" s="2405">
        <v>185</v>
      </c>
      <c r="AJ405" s="2282">
        <f t="shared" si="79"/>
        <v>4172</v>
      </c>
      <c r="AK405" s="2292">
        <v>310032</v>
      </c>
    </row>
    <row r="406" customHeight="1" spans="1:37">
      <c r="A406" s="2551"/>
      <c r="B406" s="2552"/>
      <c r="C406" s="2553"/>
      <c r="D406" s="2578"/>
      <c r="E406" s="2578"/>
      <c r="F406" s="2578"/>
      <c r="G406" s="2441" t="s">
        <v>11058</v>
      </c>
      <c r="H406" s="2441" t="s">
        <v>11022</v>
      </c>
      <c r="I406" s="2441" t="s">
        <v>10970</v>
      </c>
      <c r="J406" s="2441" t="s">
        <v>8</v>
      </c>
      <c r="K406" s="2441" t="s">
        <v>10</v>
      </c>
      <c r="L406" s="2161">
        <v>0</v>
      </c>
      <c r="M406" s="2396">
        <v>0.00618</v>
      </c>
      <c r="N406" s="2555">
        <v>0</v>
      </c>
      <c r="O406" s="2555"/>
      <c r="P406" s="2295">
        <v>186</v>
      </c>
      <c r="Q406" s="2295">
        <v>185</v>
      </c>
      <c r="R406" s="2288">
        <v>309</v>
      </c>
      <c r="S406" s="2294">
        <v>186</v>
      </c>
      <c r="T406" s="2288">
        <v>185</v>
      </c>
      <c r="U406" s="2288">
        <v>185</v>
      </c>
      <c r="V406" s="2288">
        <v>186</v>
      </c>
      <c r="W406" s="2288">
        <v>247</v>
      </c>
      <c r="X406" s="2288">
        <v>247</v>
      </c>
      <c r="Y406" s="2288">
        <v>186</v>
      </c>
      <c r="Z406" s="2288">
        <v>309</v>
      </c>
      <c r="AA406" s="2288">
        <v>204</v>
      </c>
      <c r="AB406" s="2288">
        <v>185</v>
      </c>
      <c r="AC406" s="2288">
        <v>260</v>
      </c>
      <c r="AD406" s="2440">
        <v>185</v>
      </c>
      <c r="AE406" s="2440">
        <v>185</v>
      </c>
      <c r="AF406" s="2440">
        <v>186</v>
      </c>
      <c r="AG406" s="2440">
        <v>185</v>
      </c>
      <c r="AH406" s="2440">
        <v>186</v>
      </c>
      <c r="AI406" s="2440">
        <v>185</v>
      </c>
      <c r="AJ406" s="2282">
        <f t="shared" si="79"/>
        <v>4172</v>
      </c>
      <c r="AK406" s="2292">
        <v>310032</v>
      </c>
    </row>
    <row r="407" customHeight="1" spans="1:37">
      <c r="A407" s="2551"/>
      <c r="B407" s="2552"/>
      <c r="C407" s="2553"/>
      <c r="D407" s="2578"/>
      <c r="E407" s="2578"/>
      <c r="F407" s="2578"/>
      <c r="G407" s="2441" t="s">
        <v>11059</v>
      </c>
      <c r="H407" s="2441" t="s">
        <v>11060</v>
      </c>
      <c r="I407" s="2441" t="s">
        <v>11020</v>
      </c>
      <c r="J407" s="2441" t="s">
        <v>8</v>
      </c>
      <c r="K407" s="2441" t="s">
        <v>10</v>
      </c>
      <c r="L407" s="2161">
        <v>0</v>
      </c>
      <c r="M407" s="2396">
        <v>0.002369</v>
      </c>
      <c r="N407" s="2555">
        <v>0</v>
      </c>
      <c r="O407" s="2555"/>
      <c r="P407" s="2295">
        <v>72</v>
      </c>
      <c r="Q407" s="2295">
        <v>71</v>
      </c>
      <c r="R407" s="2288">
        <v>118</v>
      </c>
      <c r="S407" s="2294">
        <v>72</v>
      </c>
      <c r="T407" s="2288">
        <v>70</v>
      </c>
      <c r="U407" s="2288">
        <v>71</v>
      </c>
      <c r="V407" s="2288">
        <v>71</v>
      </c>
      <c r="W407" s="2288">
        <v>95</v>
      </c>
      <c r="X407" s="2288">
        <v>95</v>
      </c>
      <c r="Y407" s="2288">
        <v>71</v>
      </c>
      <c r="Z407" s="2288">
        <v>118</v>
      </c>
      <c r="AA407" s="2288">
        <v>79</v>
      </c>
      <c r="AB407" s="2288">
        <v>71</v>
      </c>
      <c r="AC407" s="2288">
        <v>99</v>
      </c>
      <c r="AD407" s="2440">
        <v>71</v>
      </c>
      <c r="AE407" s="2440">
        <v>71</v>
      </c>
      <c r="AF407" s="2440">
        <v>71</v>
      </c>
      <c r="AG407" s="2440">
        <v>71</v>
      </c>
      <c r="AH407" s="2440">
        <v>72</v>
      </c>
      <c r="AI407" s="2440">
        <v>71</v>
      </c>
      <c r="AJ407" s="2282">
        <f t="shared" si="79"/>
        <v>1600</v>
      </c>
      <c r="AK407" s="2292">
        <v>310257</v>
      </c>
    </row>
    <row r="408" customHeight="1" spans="1:37">
      <c r="A408" s="2551"/>
      <c r="B408" s="2552"/>
      <c r="C408" s="2553"/>
      <c r="D408" s="2578"/>
      <c r="E408" s="2578"/>
      <c r="F408" s="2578"/>
      <c r="G408" s="2522" t="s">
        <v>11061</v>
      </c>
      <c r="H408" s="2441" t="s">
        <v>11024</v>
      </c>
      <c r="I408" s="2441" t="s">
        <v>11020</v>
      </c>
      <c r="J408" s="2441" t="s">
        <v>8</v>
      </c>
      <c r="K408" s="2441"/>
      <c r="L408" s="2161">
        <v>500</v>
      </c>
      <c r="M408" s="2396">
        <v>0.006798</v>
      </c>
      <c r="N408" s="2555">
        <v>73551.0444248308</v>
      </c>
      <c r="O408" s="2555"/>
      <c r="P408" s="2295">
        <v>500</v>
      </c>
      <c r="Q408" s="2295"/>
      <c r="R408" s="2288">
        <v>248</v>
      </c>
      <c r="S408" s="2294"/>
      <c r="T408" s="2288"/>
      <c r="U408" s="2288"/>
      <c r="V408" s="2288"/>
      <c r="W408" s="2290"/>
      <c r="X408" s="2290"/>
      <c r="Y408" s="2288"/>
      <c r="Z408" s="2288"/>
      <c r="AA408" s="2288"/>
      <c r="AB408" s="2288"/>
      <c r="AC408" s="2288"/>
      <c r="AD408" s="2440"/>
      <c r="AE408" s="2440"/>
      <c r="AF408" s="2440"/>
      <c r="AG408" s="2440"/>
      <c r="AH408" s="2440">
        <v>0</v>
      </c>
      <c r="AI408" s="2440">
        <v>0</v>
      </c>
      <c r="AJ408" s="2282">
        <f t="shared" si="79"/>
        <v>748</v>
      </c>
      <c r="AK408" s="2292">
        <v>110032</v>
      </c>
    </row>
    <row r="409" customHeight="1" spans="1:37">
      <c r="A409" s="2551"/>
      <c r="B409" s="2552"/>
      <c r="C409" s="2553"/>
      <c r="D409" s="2578"/>
      <c r="E409" s="2578"/>
      <c r="F409" s="2578"/>
      <c r="G409" s="2522" t="s">
        <v>11062</v>
      </c>
      <c r="H409" s="2441" t="s">
        <v>11026</v>
      </c>
      <c r="I409" s="2441" t="s">
        <v>11063</v>
      </c>
      <c r="J409" s="2441" t="s">
        <v>8</v>
      </c>
      <c r="K409" s="2441"/>
      <c r="L409" s="2161">
        <v>500</v>
      </c>
      <c r="M409" s="2396">
        <v>0.002369</v>
      </c>
      <c r="N409" s="2555">
        <v>211059.518784297</v>
      </c>
      <c r="O409" s="2555"/>
      <c r="P409" s="2295">
        <v>500</v>
      </c>
      <c r="Q409" s="2295"/>
      <c r="R409" s="2288"/>
      <c r="S409" s="2294">
        <v>-239</v>
      </c>
      <c r="T409" s="2288"/>
      <c r="U409" s="2288"/>
      <c r="V409" s="2288"/>
      <c r="W409" s="2290"/>
      <c r="X409" s="2290"/>
      <c r="Y409" s="2288"/>
      <c r="Z409" s="2288"/>
      <c r="AA409" s="2288"/>
      <c r="AB409" s="2288"/>
      <c r="AC409" s="2288"/>
      <c r="AD409" s="2440"/>
      <c r="AE409" s="2440"/>
      <c r="AF409" s="2440"/>
      <c r="AG409" s="2440"/>
      <c r="AH409" s="2440">
        <v>0</v>
      </c>
      <c r="AI409" s="2440">
        <v>0</v>
      </c>
      <c r="AJ409" s="2282">
        <f t="shared" si="79"/>
        <v>261</v>
      </c>
      <c r="AK409" s="2292">
        <v>110173</v>
      </c>
    </row>
    <row r="410" customHeight="1" spans="1:37">
      <c r="A410" s="2551"/>
      <c r="B410" s="2552"/>
      <c r="C410" s="2553"/>
      <c r="D410" s="2578"/>
      <c r="E410" s="2578"/>
      <c r="F410" s="2578"/>
      <c r="G410" s="2558" t="s">
        <v>11064</v>
      </c>
      <c r="H410" s="2441" t="s">
        <v>10854</v>
      </c>
      <c r="I410" s="2441" t="s">
        <v>10970</v>
      </c>
      <c r="J410" s="2441"/>
      <c r="K410" s="2441" t="s">
        <v>10</v>
      </c>
      <c r="L410" s="2161">
        <v>500</v>
      </c>
      <c r="M410" s="2396">
        <v>0.0082</v>
      </c>
      <c r="N410" s="2555">
        <v>60975.6097560976</v>
      </c>
      <c r="O410" s="2555"/>
      <c r="P410" s="2295"/>
      <c r="Q410" s="2295"/>
      <c r="R410" s="2290"/>
      <c r="S410" s="2294">
        <v>250</v>
      </c>
      <c r="T410" s="2290">
        <v>242</v>
      </c>
      <c r="U410" s="2290">
        <v>246</v>
      </c>
      <c r="V410" s="2290">
        <v>246</v>
      </c>
      <c r="W410" s="2290">
        <v>328</v>
      </c>
      <c r="X410" s="2290">
        <v>328</v>
      </c>
      <c r="Y410" s="2290">
        <v>246</v>
      </c>
      <c r="Z410" s="2290">
        <v>410</v>
      </c>
      <c r="AA410" s="2290">
        <v>271</v>
      </c>
      <c r="AB410" s="2290">
        <v>246</v>
      </c>
      <c r="AC410" s="2290">
        <v>344</v>
      </c>
      <c r="AD410" s="2439">
        <v>246</v>
      </c>
      <c r="AE410" s="2439">
        <v>246</v>
      </c>
      <c r="AF410" s="2439">
        <v>246</v>
      </c>
      <c r="AG410" s="2439">
        <v>246</v>
      </c>
      <c r="AH410" s="2439">
        <v>246</v>
      </c>
      <c r="AI410" s="2439">
        <v>246</v>
      </c>
      <c r="AJ410" s="2282">
        <f t="shared" si="79"/>
        <v>4633</v>
      </c>
      <c r="AK410" s="2292">
        <v>200000</v>
      </c>
    </row>
    <row r="411" customHeight="1" spans="1:37">
      <c r="A411" s="2551"/>
      <c r="B411" s="2552"/>
      <c r="C411" s="2553"/>
      <c r="D411" s="2578"/>
      <c r="E411" s="2578"/>
      <c r="F411" s="2578"/>
      <c r="G411" s="2558" t="s">
        <v>10978</v>
      </c>
      <c r="H411" s="2441" t="s">
        <v>10854</v>
      </c>
      <c r="I411" s="2441" t="s">
        <v>10973</v>
      </c>
      <c r="J411" s="2441"/>
      <c r="K411" s="2441" t="s">
        <v>10</v>
      </c>
      <c r="L411" s="2161">
        <v>0</v>
      </c>
      <c r="M411" s="2396">
        <v>0.0041</v>
      </c>
      <c r="N411" s="2555">
        <v>0</v>
      </c>
      <c r="O411" s="2555"/>
      <c r="P411" s="2295"/>
      <c r="Q411" s="2295"/>
      <c r="R411" s="2295"/>
      <c r="S411" s="2294">
        <v>123</v>
      </c>
      <c r="T411" s="2295">
        <v>123</v>
      </c>
      <c r="U411" s="2295">
        <v>123</v>
      </c>
      <c r="V411" s="2295">
        <v>123</v>
      </c>
      <c r="W411" s="2295">
        <v>164</v>
      </c>
      <c r="X411" s="2295">
        <v>164</v>
      </c>
      <c r="Y411" s="2295">
        <v>123</v>
      </c>
      <c r="Z411" s="2295">
        <v>205</v>
      </c>
      <c r="AA411" s="2295">
        <v>136</v>
      </c>
      <c r="AB411" s="2295">
        <v>123</v>
      </c>
      <c r="AC411" s="2295">
        <v>172</v>
      </c>
      <c r="AD411" s="2405">
        <v>123</v>
      </c>
      <c r="AE411" s="2405">
        <v>123</v>
      </c>
      <c r="AF411" s="2405">
        <v>123</v>
      </c>
      <c r="AG411" s="2405">
        <v>123</v>
      </c>
      <c r="AH411" s="2405">
        <v>123</v>
      </c>
      <c r="AI411" s="2405">
        <v>123</v>
      </c>
      <c r="AJ411" s="2282">
        <f t="shared" si="79"/>
        <v>2317</v>
      </c>
      <c r="AK411" s="2292">
        <v>200000</v>
      </c>
    </row>
    <row r="412" customHeight="1" spans="1:37">
      <c r="A412" s="2551"/>
      <c r="B412" s="2552"/>
      <c r="C412" s="2553"/>
      <c r="D412" s="2578"/>
      <c r="E412" s="2578"/>
      <c r="F412" s="2578"/>
      <c r="G412" s="2560" t="s">
        <v>11062</v>
      </c>
      <c r="H412" s="2441" t="s">
        <v>11030</v>
      </c>
      <c r="I412" s="2441" t="s">
        <v>11063</v>
      </c>
      <c r="J412" s="2441"/>
      <c r="K412" s="2441" t="s">
        <v>10</v>
      </c>
      <c r="L412" s="2161">
        <v>500</v>
      </c>
      <c r="M412" s="2396">
        <v>0.0048</v>
      </c>
      <c r="N412" s="2555">
        <v>104166.666666667</v>
      </c>
      <c r="O412" s="2555"/>
      <c r="P412" s="2295"/>
      <c r="Q412" s="2295"/>
      <c r="R412" s="2295"/>
      <c r="S412" s="2294">
        <v>239</v>
      </c>
      <c r="T412" s="2295">
        <v>49</v>
      </c>
      <c r="U412" s="2295">
        <v>144</v>
      </c>
      <c r="V412" s="2295">
        <v>144</v>
      </c>
      <c r="W412" s="2295">
        <v>192</v>
      </c>
      <c r="X412" s="2295">
        <v>192</v>
      </c>
      <c r="Y412" s="2295">
        <v>144</v>
      </c>
      <c r="Z412" s="2295">
        <v>240</v>
      </c>
      <c r="AA412" s="2295">
        <v>159</v>
      </c>
      <c r="AB412" s="2295">
        <v>144</v>
      </c>
      <c r="AC412" s="2295">
        <v>201</v>
      </c>
      <c r="AD412" s="2405">
        <v>144</v>
      </c>
      <c r="AE412" s="2405">
        <v>144</v>
      </c>
      <c r="AF412" s="2405">
        <v>144</v>
      </c>
      <c r="AG412" s="2405">
        <v>144</v>
      </c>
      <c r="AH412" s="2405">
        <v>144</v>
      </c>
      <c r="AI412" s="2405">
        <v>144</v>
      </c>
      <c r="AJ412" s="2282">
        <f t="shared" si="79"/>
        <v>2712</v>
      </c>
      <c r="AK412" s="2292">
        <v>200000</v>
      </c>
    </row>
    <row r="413" customHeight="1" spans="1:37">
      <c r="A413" s="2551"/>
      <c r="B413" s="2561"/>
      <c r="C413" s="2562"/>
      <c r="D413" s="2574"/>
      <c r="E413" s="2574"/>
      <c r="F413" s="2574"/>
      <c r="G413" s="2477"/>
      <c r="H413" s="2477" t="s">
        <v>11031</v>
      </c>
      <c r="I413" s="2477" t="s">
        <v>11020</v>
      </c>
      <c r="J413" s="2477" t="s">
        <v>8</v>
      </c>
      <c r="K413" s="2477" t="s">
        <v>10</v>
      </c>
      <c r="L413" s="2348">
        <v>0</v>
      </c>
      <c r="M413" s="2564">
        <v>1</v>
      </c>
      <c r="N413" s="2565">
        <v>0</v>
      </c>
      <c r="O413" s="2565"/>
      <c r="P413" s="2435">
        <v>30000</v>
      </c>
      <c r="Q413" s="2435">
        <v>30000</v>
      </c>
      <c r="R413" s="2570">
        <v>50000</v>
      </c>
      <c r="S413" s="2434">
        <v>30000</v>
      </c>
      <c r="T413" s="2570">
        <v>30000</v>
      </c>
      <c r="U413" s="2570">
        <v>30000</v>
      </c>
      <c r="V413" s="2570">
        <v>30000</v>
      </c>
      <c r="W413" s="2570">
        <v>40000</v>
      </c>
      <c r="X413" s="2570">
        <v>40000</v>
      </c>
      <c r="Y413" s="2435">
        <v>30000</v>
      </c>
      <c r="Z413" s="2435">
        <v>50000</v>
      </c>
      <c r="AA413" s="2435">
        <v>33000</v>
      </c>
      <c r="AB413" s="2435">
        <v>30000</v>
      </c>
      <c r="AC413" s="2570">
        <v>42000</v>
      </c>
      <c r="AD413" s="2571">
        <v>30000</v>
      </c>
      <c r="AE413" s="2571">
        <v>30000</v>
      </c>
      <c r="AF413" s="2571">
        <v>30000</v>
      </c>
      <c r="AG413" s="2571">
        <v>30000</v>
      </c>
      <c r="AH413" s="2571">
        <v>30000</v>
      </c>
      <c r="AI413" s="2571">
        <v>30000</v>
      </c>
      <c r="AJ413" s="2282">
        <f t="shared" si="79"/>
        <v>675000</v>
      </c>
      <c r="AK413" s="2436">
        <v>310000</v>
      </c>
    </row>
    <row r="414" customHeight="1" spans="1:37">
      <c r="A414" s="2551"/>
      <c r="B414" s="2547" t="s">
        <v>2667</v>
      </c>
      <c r="C414" s="2548">
        <v>8</v>
      </c>
      <c r="D414" s="2575"/>
      <c r="E414" s="2575"/>
      <c r="F414" s="2575"/>
      <c r="G414" s="2482" t="s">
        <v>11065</v>
      </c>
      <c r="H414" s="2482" t="s">
        <v>11066</v>
      </c>
      <c r="I414" s="2482" t="s">
        <v>11020</v>
      </c>
      <c r="J414" s="2482" t="s">
        <v>8</v>
      </c>
      <c r="K414" s="2482" t="s">
        <v>10</v>
      </c>
      <c r="L414" s="2149">
        <v>800</v>
      </c>
      <c r="M414" s="2393">
        <v>0.037492</v>
      </c>
      <c r="N414" s="2550">
        <v>21337.8854155553</v>
      </c>
      <c r="O414" s="2550"/>
      <c r="P414" s="2280">
        <v>1125</v>
      </c>
      <c r="Q414" s="2280">
        <v>1125</v>
      </c>
      <c r="R414" s="2280">
        <v>1125</v>
      </c>
      <c r="S414" s="2278">
        <v>1125</v>
      </c>
      <c r="T414" s="2280">
        <v>1124</v>
      </c>
      <c r="U414" s="2280">
        <v>1125</v>
      </c>
      <c r="V414" s="2280">
        <v>1125</v>
      </c>
      <c r="W414" s="2280">
        <v>1125</v>
      </c>
      <c r="X414" s="2280">
        <v>1124</v>
      </c>
      <c r="Y414" s="2280">
        <v>1125</v>
      </c>
      <c r="Z414" s="2280">
        <v>1125</v>
      </c>
      <c r="AA414" s="2280">
        <v>1125</v>
      </c>
      <c r="AB414" s="2280">
        <v>1124</v>
      </c>
      <c r="AC414" s="2280">
        <v>375</v>
      </c>
      <c r="AD414" s="2280">
        <v>1125</v>
      </c>
      <c r="AE414" s="2280">
        <v>1125</v>
      </c>
      <c r="AF414" s="2280">
        <v>1125</v>
      </c>
      <c r="AG414" s="2280">
        <v>1124</v>
      </c>
      <c r="AH414" s="2280">
        <v>1125</v>
      </c>
      <c r="AI414" s="2280">
        <v>0</v>
      </c>
      <c r="AJ414" s="2282">
        <f t="shared" si="79"/>
        <v>20621</v>
      </c>
      <c r="AK414" s="2283">
        <v>270004</v>
      </c>
    </row>
    <row r="415" customHeight="1" spans="1:37">
      <c r="A415" s="2551"/>
      <c r="B415" s="2552"/>
      <c r="C415" s="2553"/>
      <c r="D415" s="2578"/>
      <c r="E415" s="2578"/>
      <c r="F415" s="2578"/>
      <c r="G415" s="2441" t="s">
        <v>11032</v>
      </c>
      <c r="H415" s="2441" t="s">
        <v>11067</v>
      </c>
      <c r="I415" s="2441" t="s">
        <v>10907</v>
      </c>
      <c r="J415" s="2441" t="s">
        <v>8</v>
      </c>
      <c r="K415" s="2441" t="s">
        <v>10</v>
      </c>
      <c r="L415" s="2161">
        <v>800</v>
      </c>
      <c r="M415" s="2396">
        <v>0.01545</v>
      </c>
      <c r="N415" s="2555">
        <v>51779.9352750809</v>
      </c>
      <c r="O415" s="2555"/>
      <c r="P415" s="2295">
        <v>464</v>
      </c>
      <c r="Q415" s="2295">
        <v>463</v>
      </c>
      <c r="R415" s="2295">
        <v>464</v>
      </c>
      <c r="S415" s="2559">
        <v>800</v>
      </c>
      <c r="T415" s="2295">
        <v>127</v>
      </c>
      <c r="U415" s="2295">
        <v>463</v>
      </c>
      <c r="V415" s="2295">
        <v>464</v>
      </c>
      <c r="W415" s="2295">
        <v>463</v>
      </c>
      <c r="X415" s="2295">
        <v>464</v>
      </c>
      <c r="Y415" s="2295">
        <v>463</v>
      </c>
      <c r="Z415" s="2295">
        <v>464</v>
      </c>
      <c r="AA415" s="2295">
        <v>463</v>
      </c>
      <c r="AB415" s="2295">
        <v>464</v>
      </c>
      <c r="AC415" s="2295">
        <v>154</v>
      </c>
      <c r="AD415" s="2405">
        <v>464</v>
      </c>
      <c r="AE415" s="2405">
        <v>463</v>
      </c>
      <c r="AF415" s="2405">
        <v>464</v>
      </c>
      <c r="AG415" s="2405">
        <v>463</v>
      </c>
      <c r="AH415" s="2405">
        <v>464</v>
      </c>
      <c r="AI415" s="2405">
        <v>0</v>
      </c>
      <c r="AJ415" s="2282">
        <f t="shared" si="79"/>
        <v>8498</v>
      </c>
      <c r="AK415" s="2292">
        <v>270032</v>
      </c>
    </row>
    <row r="416" customHeight="1" spans="1:37">
      <c r="A416" s="2551"/>
      <c r="B416" s="2552"/>
      <c r="C416" s="2553"/>
      <c r="D416" s="2578"/>
      <c r="E416" s="2578"/>
      <c r="F416" s="2578"/>
      <c r="G416" s="2441" t="s">
        <v>11055</v>
      </c>
      <c r="H416" s="2441" t="s">
        <v>11068</v>
      </c>
      <c r="I416" s="2441" t="s">
        <v>10957</v>
      </c>
      <c r="J416" s="2441" t="s">
        <v>8</v>
      </c>
      <c r="K416" s="2441" t="s">
        <v>10</v>
      </c>
      <c r="L416" s="2161">
        <v>0</v>
      </c>
      <c r="M416" s="2396">
        <v>0.011227</v>
      </c>
      <c r="N416" s="2555">
        <v>0</v>
      </c>
      <c r="O416" s="2555"/>
      <c r="P416" s="2295">
        <v>337</v>
      </c>
      <c r="Q416" s="2295">
        <v>337</v>
      </c>
      <c r="R416" s="2295">
        <v>337</v>
      </c>
      <c r="S416" s="2294">
        <v>337</v>
      </c>
      <c r="T416" s="2295">
        <v>337</v>
      </c>
      <c r="U416" s="2295">
        <v>336</v>
      </c>
      <c r="V416" s="2295">
        <v>337</v>
      </c>
      <c r="W416" s="2295">
        <v>337</v>
      </c>
      <c r="X416" s="2295">
        <v>337</v>
      </c>
      <c r="Y416" s="2579">
        <v>337</v>
      </c>
      <c r="Z416" s="2579">
        <v>336</v>
      </c>
      <c r="AA416" s="2579">
        <v>337</v>
      </c>
      <c r="AB416" s="2579">
        <v>337</v>
      </c>
      <c r="AC416" s="2290">
        <v>112</v>
      </c>
      <c r="AD416" s="2439">
        <v>337</v>
      </c>
      <c r="AE416" s="2439">
        <v>337</v>
      </c>
      <c r="AF416" s="2439">
        <v>337</v>
      </c>
      <c r="AG416" s="2439">
        <v>337</v>
      </c>
      <c r="AH416" s="2439">
        <v>336</v>
      </c>
      <c r="AI416" s="2439">
        <v>0</v>
      </c>
      <c r="AJ416" s="2282">
        <f t="shared" si="79"/>
        <v>6175</v>
      </c>
      <c r="AK416" s="2292">
        <v>270063</v>
      </c>
    </row>
    <row r="417" customHeight="1" spans="1:37">
      <c r="A417" s="2551"/>
      <c r="B417" s="2552"/>
      <c r="C417" s="2553"/>
      <c r="D417" s="2578"/>
      <c r="E417" s="2578"/>
      <c r="F417" s="2578"/>
      <c r="G417" s="2441" t="s">
        <v>11069</v>
      </c>
      <c r="H417" s="2441" t="s">
        <v>11070</v>
      </c>
      <c r="I417" s="2441" t="s">
        <v>11020</v>
      </c>
      <c r="J417" s="2441" t="s">
        <v>8</v>
      </c>
      <c r="K417" s="2441" t="s">
        <v>10</v>
      </c>
      <c r="L417" s="2161">
        <v>500</v>
      </c>
      <c r="M417" s="2396">
        <v>0.009785</v>
      </c>
      <c r="N417" s="2555">
        <v>51098.6203372509</v>
      </c>
      <c r="O417" s="2555"/>
      <c r="P417" s="2295">
        <v>800</v>
      </c>
      <c r="Q417" s="2295"/>
      <c r="R417" s="2295">
        <v>81</v>
      </c>
      <c r="S417" s="2559">
        <v>800</v>
      </c>
      <c r="T417" s="2295"/>
      <c r="U417" s="2295">
        <v>81</v>
      </c>
      <c r="V417" s="2295">
        <v>293</v>
      </c>
      <c r="W417" s="2295">
        <v>294</v>
      </c>
      <c r="X417" s="2295">
        <v>293</v>
      </c>
      <c r="Y417" s="2579">
        <v>294</v>
      </c>
      <c r="Z417" s="2579">
        <v>294</v>
      </c>
      <c r="AA417" s="2579">
        <v>293</v>
      </c>
      <c r="AB417" s="2579">
        <v>294</v>
      </c>
      <c r="AC417" s="2295">
        <v>97</v>
      </c>
      <c r="AD417" s="2405">
        <v>294</v>
      </c>
      <c r="AE417" s="2405">
        <v>294</v>
      </c>
      <c r="AF417" s="2405">
        <v>293</v>
      </c>
      <c r="AG417" s="2405">
        <v>294</v>
      </c>
      <c r="AH417" s="2405">
        <v>293</v>
      </c>
      <c r="AI417" s="2405">
        <v>0</v>
      </c>
      <c r="AJ417" s="2282">
        <f t="shared" si="79"/>
        <v>5382</v>
      </c>
      <c r="AK417" s="2292">
        <v>270005</v>
      </c>
    </row>
    <row r="418" customHeight="1" spans="1:37">
      <c r="A418" s="2551"/>
      <c r="B418" s="2552"/>
      <c r="C418" s="2553"/>
      <c r="D418" s="2578"/>
      <c r="E418" s="2578"/>
      <c r="F418" s="2578"/>
      <c r="G418" s="2441" t="s">
        <v>11071</v>
      </c>
      <c r="H418" s="2441" t="s">
        <v>11022</v>
      </c>
      <c r="I418" s="2441" t="s">
        <v>10980</v>
      </c>
      <c r="J418" s="2441" t="s">
        <v>8</v>
      </c>
      <c r="K418" s="2441" t="s">
        <v>10</v>
      </c>
      <c r="L418" s="2161">
        <v>0</v>
      </c>
      <c r="M418" s="2396">
        <v>0.009785</v>
      </c>
      <c r="N418" s="2555">
        <v>0</v>
      </c>
      <c r="O418" s="2555"/>
      <c r="P418" s="2295">
        <v>294</v>
      </c>
      <c r="Q418" s="2295">
        <v>294</v>
      </c>
      <c r="R418" s="2295">
        <v>293</v>
      </c>
      <c r="S418" s="2294">
        <v>294</v>
      </c>
      <c r="T418" s="2295">
        <v>293</v>
      </c>
      <c r="U418" s="2295">
        <v>294</v>
      </c>
      <c r="V418" s="2295">
        <v>293</v>
      </c>
      <c r="W418" s="2295">
        <v>294</v>
      </c>
      <c r="X418" s="2295">
        <v>293</v>
      </c>
      <c r="Y418" s="2579">
        <v>294</v>
      </c>
      <c r="Z418" s="2579">
        <v>294</v>
      </c>
      <c r="AA418" s="2579">
        <v>293</v>
      </c>
      <c r="AB418" s="2579">
        <v>294</v>
      </c>
      <c r="AC418" s="2295">
        <v>97</v>
      </c>
      <c r="AD418" s="2405">
        <v>294</v>
      </c>
      <c r="AE418" s="2405">
        <v>294</v>
      </c>
      <c r="AF418" s="2405">
        <v>293</v>
      </c>
      <c r="AG418" s="2405">
        <v>294</v>
      </c>
      <c r="AH418" s="2405">
        <v>293</v>
      </c>
      <c r="AI418" s="2405">
        <v>0</v>
      </c>
      <c r="AJ418" s="2282">
        <f t="shared" si="79"/>
        <v>5382</v>
      </c>
      <c r="AK418" s="2292">
        <v>270005</v>
      </c>
    </row>
    <row r="419" customHeight="1" spans="1:37">
      <c r="A419" s="2551"/>
      <c r="B419" s="2552"/>
      <c r="C419" s="2553"/>
      <c r="D419" s="2578"/>
      <c r="E419" s="2578"/>
      <c r="F419" s="2578"/>
      <c r="G419" s="2522" t="s">
        <v>11072</v>
      </c>
      <c r="H419" s="2441" t="s">
        <v>11024</v>
      </c>
      <c r="I419" s="2441" t="s">
        <v>11020</v>
      </c>
      <c r="J419" s="2441" t="s">
        <v>8</v>
      </c>
      <c r="K419" s="2441"/>
      <c r="L419" s="2161">
        <v>500</v>
      </c>
      <c r="M419" s="2396">
        <v>0.006798</v>
      </c>
      <c r="N419" s="2555">
        <v>73551.0444248308</v>
      </c>
      <c r="O419" s="2555"/>
      <c r="P419" s="2295">
        <v>500</v>
      </c>
      <c r="Q419" s="2295"/>
      <c r="R419" s="2295">
        <v>112</v>
      </c>
      <c r="S419" s="2294"/>
      <c r="T419" s="2295"/>
      <c r="U419" s="2295">
        <v>0</v>
      </c>
      <c r="V419" s="2295"/>
      <c r="W419" s="2290"/>
      <c r="X419" s="2290"/>
      <c r="Y419" s="2579"/>
      <c r="Z419" s="2579"/>
      <c r="AA419" s="2579"/>
      <c r="AB419" s="2579"/>
      <c r="AC419" s="2295"/>
      <c r="AD419" s="2405"/>
      <c r="AE419" s="2405"/>
      <c r="AF419" s="2405">
        <v>0</v>
      </c>
      <c r="AG419" s="2405"/>
      <c r="AH419" s="2405">
        <v>0</v>
      </c>
      <c r="AI419" s="2405">
        <v>0</v>
      </c>
      <c r="AJ419" s="2282">
        <f t="shared" si="79"/>
        <v>612</v>
      </c>
      <c r="AK419" s="2292">
        <v>90026</v>
      </c>
    </row>
    <row r="420" customHeight="1" spans="1:37">
      <c r="A420" s="2551"/>
      <c r="B420" s="2552"/>
      <c r="C420" s="2553"/>
      <c r="D420" s="2578"/>
      <c r="E420" s="2578"/>
      <c r="F420" s="2578"/>
      <c r="G420" s="2522" t="s">
        <v>11073</v>
      </c>
      <c r="H420" s="2441" t="s">
        <v>11026</v>
      </c>
      <c r="I420" s="2441" t="s">
        <v>11074</v>
      </c>
      <c r="J420" s="2441" t="s">
        <v>8</v>
      </c>
      <c r="K420" s="2441"/>
      <c r="L420" s="2161">
        <v>500</v>
      </c>
      <c r="M420" s="2396">
        <v>0.002369</v>
      </c>
      <c r="N420" s="2555">
        <v>211059.518784297</v>
      </c>
      <c r="O420" s="2555"/>
      <c r="P420" s="2295">
        <v>500</v>
      </c>
      <c r="Q420" s="2295"/>
      <c r="R420" s="2295"/>
      <c r="S420" s="2294">
        <v>-286</v>
      </c>
      <c r="T420" s="2295"/>
      <c r="U420" s="2295">
        <v>0</v>
      </c>
      <c r="V420" s="2295"/>
      <c r="W420" s="2290"/>
      <c r="X420" s="2290"/>
      <c r="Y420" s="2579"/>
      <c r="Z420" s="2579"/>
      <c r="AA420" s="2579"/>
      <c r="AB420" s="2579"/>
      <c r="AC420" s="2295"/>
      <c r="AD420" s="2405"/>
      <c r="AE420" s="2405"/>
      <c r="AF420" s="2405">
        <v>0</v>
      </c>
      <c r="AG420" s="2405"/>
      <c r="AH420" s="2405">
        <v>0</v>
      </c>
      <c r="AI420" s="2405">
        <v>0</v>
      </c>
      <c r="AJ420" s="2282">
        <f t="shared" si="79"/>
        <v>214</v>
      </c>
      <c r="AK420" s="2292">
        <v>90333</v>
      </c>
    </row>
    <row r="421" customHeight="1" spans="1:37">
      <c r="A421" s="2551"/>
      <c r="B421" s="2552"/>
      <c r="C421" s="2553"/>
      <c r="D421" s="2578"/>
      <c r="E421" s="2578"/>
      <c r="F421" s="2578"/>
      <c r="G421" s="2558" t="s">
        <v>11075</v>
      </c>
      <c r="H421" s="2441" t="s">
        <v>10854</v>
      </c>
      <c r="I421" s="2441" t="s">
        <v>10980</v>
      </c>
      <c r="J421" s="2441"/>
      <c r="K421" s="2441" t="s">
        <v>10</v>
      </c>
      <c r="L421" s="2161">
        <v>500</v>
      </c>
      <c r="M421" s="2396">
        <v>0.0082</v>
      </c>
      <c r="N421" s="2555">
        <v>60975.6097560976</v>
      </c>
      <c r="O421" s="2555"/>
      <c r="P421" s="2295"/>
      <c r="Q421" s="2295"/>
      <c r="R421" s="2290"/>
      <c r="S421" s="2294">
        <v>250</v>
      </c>
      <c r="T421" s="2290">
        <v>242</v>
      </c>
      <c r="U421" s="2290">
        <v>246</v>
      </c>
      <c r="V421" s="2290">
        <v>246</v>
      </c>
      <c r="W421" s="2290">
        <v>246</v>
      </c>
      <c r="X421" s="2290">
        <v>246</v>
      </c>
      <c r="Y421" s="2579">
        <v>246</v>
      </c>
      <c r="Z421" s="2579">
        <v>246</v>
      </c>
      <c r="AA421" s="2579">
        <v>246</v>
      </c>
      <c r="AB421" s="2579">
        <v>246</v>
      </c>
      <c r="AC421" s="2290">
        <v>82</v>
      </c>
      <c r="AD421" s="2439">
        <v>246</v>
      </c>
      <c r="AE421" s="2439">
        <v>246</v>
      </c>
      <c r="AF421" s="2439">
        <v>246</v>
      </c>
      <c r="AG421" s="2439">
        <v>246</v>
      </c>
      <c r="AH421" s="2439">
        <v>246</v>
      </c>
      <c r="AI421" s="2439">
        <v>0</v>
      </c>
      <c r="AJ421" s="2282">
        <f t="shared" si="79"/>
        <v>3772</v>
      </c>
      <c r="AK421" s="2292">
        <v>180000</v>
      </c>
    </row>
    <row r="422" ht="37" customHeight="1" spans="1:37">
      <c r="A422" s="2551"/>
      <c r="B422" s="2552"/>
      <c r="C422" s="2553"/>
      <c r="D422" s="2578"/>
      <c r="E422" s="2578"/>
      <c r="F422" s="2578"/>
      <c r="G422" s="2558" t="s">
        <v>10978</v>
      </c>
      <c r="H422" s="2441" t="s">
        <v>10854</v>
      </c>
      <c r="I422" s="2441" t="s">
        <v>10973</v>
      </c>
      <c r="J422" s="2441"/>
      <c r="K422" s="2441" t="s">
        <v>10</v>
      </c>
      <c r="L422" s="2161">
        <v>0</v>
      </c>
      <c r="M422" s="2396">
        <v>0.0041</v>
      </c>
      <c r="N422" s="2555">
        <v>0</v>
      </c>
      <c r="O422" s="2555"/>
      <c r="P422" s="2295"/>
      <c r="Q422" s="2295"/>
      <c r="R422" s="2295"/>
      <c r="S422" s="2294">
        <v>123</v>
      </c>
      <c r="T422" s="2295">
        <v>123</v>
      </c>
      <c r="U422" s="2295">
        <v>123</v>
      </c>
      <c r="V422" s="2295">
        <v>123</v>
      </c>
      <c r="W422" s="2295">
        <v>123</v>
      </c>
      <c r="X422" s="2295">
        <v>123</v>
      </c>
      <c r="Y422" s="2579">
        <v>123</v>
      </c>
      <c r="Z422" s="2579">
        <v>123</v>
      </c>
      <c r="AA422" s="2579">
        <v>123</v>
      </c>
      <c r="AB422" s="2579">
        <v>123</v>
      </c>
      <c r="AC422" s="2295">
        <v>41</v>
      </c>
      <c r="AD422" s="2405">
        <v>123</v>
      </c>
      <c r="AE422" s="2405">
        <v>123</v>
      </c>
      <c r="AF422" s="2405">
        <v>123</v>
      </c>
      <c r="AG422" s="2405">
        <v>123</v>
      </c>
      <c r="AH422" s="2405">
        <v>123</v>
      </c>
      <c r="AI422" s="2405">
        <v>0</v>
      </c>
      <c r="AJ422" s="2282">
        <f t="shared" si="79"/>
        <v>1886</v>
      </c>
      <c r="AK422" s="2292">
        <v>180000</v>
      </c>
    </row>
    <row r="423" customHeight="1" spans="1:37">
      <c r="A423" s="2551"/>
      <c r="B423" s="2552"/>
      <c r="C423" s="2553"/>
      <c r="D423" s="2578"/>
      <c r="E423" s="2578"/>
      <c r="F423" s="2578"/>
      <c r="G423" s="2560" t="s">
        <v>11073</v>
      </c>
      <c r="H423" s="2441" t="s">
        <v>11030</v>
      </c>
      <c r="I423" s="2441" t="s">
        <v>11074</v>
      </c>
      <c r="J423" s="2441"/>
      <c r="K423" s="2441" t="s">
        <v>10</v>
      </c>
      <c r="L423" s="2161">
        <v>500</v>
      </c>
      <c r="M423" s="2396">
        <v>0.0048</v>
      </c>
      <c r="N423" s="2555">
        <v>104166.666666667</v>
      </c>
      <c r="O423" s="2555"/>
      <c r="P423" s="2295"/>
      <c r="Q423" s="2295"/>
      <c r="R423" s="2295"/>
      <c r="S423" s="2294">
        <v>286</v>
      </c>
      <c r="T423" s="2295">
        <v>2</v>
      </c>
      <c r="U423" s="2295">
        <v>144</v>
      </c>
      <c r="V423" s="2295">
        <v>144</v>
      </c>
      <c r="W423" s="2295">
        <v>144</v>
      </c>
      <c r="X423" s="2295">
        <v>144</v>
      </c>
      <c r="Y423" s="2579">
        <v>144</v>
      </c>
      <c r="Z423" s="2579">
        <v>144</v>
      </c>
      <c r="AA423" s="2579">
        <v>144</v>
      </c>
      <c r="AB423" s="2579">
        <v>144</v>
      </c>
      <c r="AC423" s="2295">
        <v>48</v>
      </c>
      <c r="AD423" s="2405">
        <v>144</v>
      </c>
      <c r="AE423" s="2405">
        <v>144</v>
      </c>
      <c r="AF423" s="2405">
        <v>144</v>
      </c>
      <c r="AG423" s="2405">
        <v>144</v>
      </c>
      <c r="AH423" s="2405">
        <v>144</v>
      </c>
      <c r="AI423" s="2405">
        <v>0</v>
      </c>
      <c r="AJ423" s="2282">
        <f t="shared" si="79"/>
        <v>2208</v>
      </c>
      <c r="AK423" s="2292">
        <v>180000</v>
      </c>
    </row>
    <row r="424" customHeight="1" spans="1:37">
      <c r="A424" s="2551"/>
      <c r="B424" s="2580"/>
      <c r="C424" s="2562"/>
      <c r="D424" s="2581"/>
      <c r="E424" s="2581"/>
      <c r="F424" s="2581"/>
      <c r="G424" s="2487"/>
      <c r="H424" s="2487" t="s">
        <v>11031</v>
      </c>
      <c r="I424" s="2487" t="s">
        <v>11020</v>
      </c>
      <c r="J424" s="2487" t="s">
        <v>8</v>
      </c>
      <c r="K424" s="2487" t="s">
        <v>10</v>
      </c>
      <c r="L424" s="2171">
        <v>0</v>
      </c>
      <c r="M424" s="2400">
        <v>1</v>
      </c>
      <c r="N424" s="2582">
        <v>0</v>
      </c>
      <c r="O424" s="2582"/>
      <c r="P424" s="2302">
        <v>30000</v>
      </c>
      <c r="Q424" s="2302">
        <v>30000</v>
      </c>
      <c r="R424" s="2302">
        <v>30000</v>
      </c>
      <c r="S424" s="2301">
        <v>30000</v>
      </c>
      <c r="T424" s="2302">
        <v>30000</v>
      </c>
      <c r="U424" s="2302">
        <v>30000</v>
      </c>
      <c r="V424" s="2302">
        <v>30000</v>
      </c>
      <c r="W424" s="2302">
        <v>30000</v>
      </c>
      <c r="X424" s="2302">
        <v>30000</v>
      </c>
      <c r="Y424" s="2583">
        <v>30000</v>
      </c>
      <c r="Z424" s="2583">
        <v>30000</v>
      </c>
      <c r="AA424" s="2583">
        <v>30000</v>
      </c>
      <c r="AB424" s="2583">
        <v>30000</v>
      </c>
      <c r="AC424" s="2302">
        <v>10000</v>
      </c>
      <c r="AD424" s="2438">
        <v>30000</v>
      </c>
      <c r="AE424" s="2438">
        <v>30000</v>
      </c>
      <c r="AF424" s="2438">
        <v>30000</v>
      </c>
      <c r="AG424" s="2438">
        <v>30000</v>
      </c>
      <c r="AH424" s="2438">
        <v>30000</v>
      </c>
      <c r="AI424" s="2438">
        <v>0</v>
      </c>
      <c r="AJ424" s="2282">
        <f t="shared" si="79"/>
        <v>550000</v>
      </c>
      <c r="AK424" s="2304">
        <v>270000</v>
      </c>
    </row>
    <row r="425" customHeight="1" spans="1:37">
      <c r="A425" s="2551"/>
      <c r="B425" s="2547" t="s">
        <v>11076</v>
      </c>
      <c r="C425" s="2548">
        <v>2</v>
      </c>
      <c r="D425" s="2549"/>
      <c r="E425" s="2549"/>
      <c r="F425" s="2549"/>
      <c r="G425" s="2482" t="s">
        <v>11077</v>
      </c>
      <c r="H425" s="2482" t="s">
        <v>11078</v>
      </c>
      <c r="I425" s="2482" t="s">
        <v>11020</v>
      </c>
      <c r="J425" s="2482" t="s">
        <v>8</v>
      </c>
      <c r="K425" s="2482" t="s">
        <v>10</v>
      </c>
      <c r="L425" s="2149">
        <v>500</v>
      </c>
      <c r="M425" s="2393">
        <v>0.063139</v>
      </c>
      <c r="N425" s="2550">
        <v>7919.03577820365</v>
      </c>
      <c r="O425" s="2550"/>
      <c r="P425" s="2280">
        <v>1895</v>
      </c>
      <c r="Q425" s="2280"/>
      <c r="R425" s="2280"/>
      <c r="S425" s="2278">
        <v>1263</v>
      </c>
      <c r="T425" s="2280"/>
      <c r="U425" s="2280"/>
      <c r="V425" s="2280">
        <v>631</v>
      </c>
      <c r="W425" s="2280"/>
      <c r="X425" s="2280">
        <v>1263</v>
      </c>
      <c r="Y425" s="2280">
        <v>0</v>
      </c>
      <c r="Z425" s="2280">
        <v>1262</v>
      </c>
      <c r="AA425" s="2280"/>
      <c r="AB425" s="2280"/>
      <c r="AC425" s="2280">
        <v>1263</v>
      </c>
      <c r="AD425" s="2280"/>
      <c r="AE425" s="2280"/>
      <c r="AF425" s="2280">
        <v>632</v>
      </c>
      <c r="AG425" s="2280">
        <v>631</v>
      </c>
      <c r="AH425" s="2280">
        <v>1263</v>
      </c>
      <c r="AI425" s="2280">
        <v>0</v>
      </c>
      <c r="AJ425" s="2282">
        <f t="shared" si="79"/>
        <v>10103</v>
      </c>
      <c r="AK425" s="2283">
        <v>80013</v>
      </c>
    </row>
    <row r="426" customHeight="1" spans="1:37">
      <c r="A426" s="2551"/>
      <c r="B426" s="2552"/>
      <c r="C426" s="2553"/>
      <c r="D426" s="2554"/>
      <c r="E426" s="2554"/>
      <c r="F426" s="2554"/>
      <c r="G426" s="2441" t="s">
        <v>11055</v>
      </c>
      <c r="H426" s="2441" t="s">
        <v>11079</v>
      </c>
      <c r="I426" s="2441" t="s">
        <v>10957</v>
      </c>
      <c r="J426" s="2441" t="s">
        <v>8</v>
      </c>
      <c r="K426" s="2441" t="s">
        <v>10</v>
      </c>
      <c r="L426" s="2161">
        <v>0</v>
      </c>
      <c r="M426" s="2396">
        <v>0.019467</v>
      </c>
      <c r="N426" s="2555">
        <v>0</v>
      </c>
      <c r="O426" s="2555"/>
      <c r="P426" s="2295">
        <v>585</v>
      </c>
      <c r="Q426" s="2295"/>
      <c r="R426" s="2295"/>
      <c r="S426" s="2294">
        <v>390</v>
      </c>
      <c r="T426" s="2295"/>
      <c r="U426" s="2295"/>
      <c r="V426" s="2295">
        <v>194</v>
      </c>
      <c r="W426" s="2295"/>
      <c r="X426" s="2295">
        <v>389</v>
      </c>
      <c r="Y426" s="2579"/>
      <c r="Z426" s="2579">
        <v>389</v>
      </c>
      <c r="AA426" s="2579"/>
      <c r="AB426" s="2579"/>
      <c r="AC426" s="2295">
        <v>390</v>
      </c>
      <c r="AD426" s="2405"/>
      <c r="AE426" s="2405"/>
      <c r="AF426" s="2405">
        <v>194</v>
      </c>
      <c r="AG426" s="2405">
        <v>195</v>
      </c>
      <c r="AH426" s="2405">
        <v>389</v>
      </c>
      <c r="AI426" s="2405">
        <v>0</v>
      </c>
      <c r="AJ426" s="2282">
        <f t="shared" si="79"/>
        <v>3115</v>
      </c>
      <c r="AK426" s="2292">
        <v>80032</v>
      </c>
    </row>
    <row r="427" customHeight="1" spans="1:37">
      <c r="A427" s="2551"/>
      <c r="B427" s="2552"/>
      <c r="C427" s="2553"/>
      <c r="D427" s="2554"/>
      <c r="E427" s="2554"/>
      <c r="F427" s="2554"/>
      <c r="G427" s="2441" t="s">
        <v>11080</v>
      </c>
      <c r="H427" s="2441" t="s">
        <v>10734</v>
      </c>
      <c r="I427" s="2441" t="s">
        <v>11020</v>
      </c>
      <c r="J427" s="2441" t="s">
        <v>8</v>
      </c>
      <c r="K427" s="2441" t="s">
        <v>10</v>
      </c>
      <c r="L427" s="2573">
        <v>220</v>
      </c>
      <c r="M427" s="2396">
        <v>0.00206</v>
      </c>
      <c r="N427" s="2555">
        <v>106796.116504854</v>
      </c>
      <c r="O427" s="2555"/>
      <c r="P427" s="2295">
        <v>220</v>
      </c>
      <c r="Q427" s="2295"/>
      <c r="R427" s="2295"/>
      <c r="S427" s="2294"/>
      <c r="T427" s="2295"/>
      <c r="U427" s="2295"/>
      <c r="V427" s="2295"/>
      <c r="W427" s="2295"/>
      <c r="X427" s="2295"/>
      <c r="Y427" s="2295"/>
      <c r="Z427" s="2295"/>
      <c r="AA427" s="2295"/>
      <c r="AB427" s="2295"/>
      <c r="AC427" s="2295">
        <v>28</v>
      </c>
      <c r="AD427" s="2405"/>
      <c r="AE427" s="2405"/>
      <c r="AF427" s="2405">
        <v>20</v>
      </c>
      <c r="AG427" s="2405">
        <v>21</v>
      </c>
      <c r="AH427" s="2405">
        <v>41</v>
      </c>
      <c r="AI427" s="2405">
        <v>0</v>
      </c>
      <c r="AJ427" s="2282">
        <f t="shared" si="79"/>
        <v>330</v>
      </c>
      <c r="AK427" s="2292">
        <v>106796</v>
      </c>
    </row>
    <row r="428" customHeight="1" spans="1:37">
      <c r="A428" s="2551"/>
      <c r="B428" s="2552"/>
      <c r="C428" s="2553"/>
      <c r="D428" s="2554"/>
      <c r="E428" s="2554"/>
      <c r="F428" s="2554"/>
      <c r="G428" s="2441" t="s">
        <v>11081</v>
      </c>
      <c r="H428" s="2441" t="s">
        <v>11082</v>
      </c>
      <c r="I428" s="2441" t="s">
        <v>11020</v>
      </c>
      <c r="J428" s="2441" t="s">
        <v>8</v>
      </c>
      <c r="K428" s="2441" t="s">
        <v>10</v>
      </c>
      <c r="L428" s="2161">
        <v>0</v>
      </c>
      <c r="M428" s="2396">
        <v>0.00103</v>
      </c>
      <c r="N428" s="2555">
        <v>0</v>
      </c>
      <c r="O428" s="2555"/>
      <c r="P428" s="2295">
        <v>31</v>
      </c>
      <c r="Q428" s="2295"/>
      <c r="R428" s="2295"/>
      <c r="S428" s="2294">
        <v>21</v>
      </c>
      <c r="T428" s="2290"/>
      <c r="U428" s="2290"/>
      <c r="V428" s="2290">
        <v>10</v>
      </c>
      <c r="W428" s="2290"/>
      <c r="X428" s="2290">
        <v>21</v>
      </c>
      <c r="Y428" s="2290"/>
      <c r="Z428" s="2290">
        <v>20</v>
      </c>
      <c r="AA428" s="2290"/>
      <c r="AB428" s="2290"/>
      <c r="AC428" s="2295">
        <v>21</v>
      </c>
      <c r="AD428" s="2405"/>
      <c r="AE428" s="2405"/>
      <c r="AF428" s="2405">
        <v>10</v>
      </c>
      <c r="AG428" s="2405">
        <v>11</v>
      </c>
      <c r="AH428" s="2405">
        <v>20</v>
      </c>
      <c r="AI428" s="2405">
        <v>0</v>
      </c>
      <c r="AJ428" s="2282">
        <f t="shared" si="79"/>
        <v>165</v>
      </c>
      <c r="AK428" s="2292">
        <v>80582</v>
      </c>
    </row>
    <row r="429" customHeight="1" spans="1:37">
      <c r="A429" s="2551"/>
      <c r="B429" s="2552"/>
      <c r="C429" s="2553"/>
      <c r="D429" s="2554"/>
      <c r="E429" s="2554"/>
      <c r="F429" s="2554"/>
      <c r="G429" s="2522" t="s">
        <v>11083</v>
      </c>
      <c r="H429" s="2441" t="s">
        <v>11024</v>
      </c>
      <c r="I429" s="2441" t="s">
        <v>11020</v>
      </c>
      <c r="J429" s="2441" t="s">
        <v>8</v>
      </c>
      <c r="K429" s="2441"/>
      <c r="L429" s="2161">
        <v>500</v>
      </c>
      <c r="M429" s="2396">
        <v>0.006798</v>
      </c>
      <c r="N429" s="2555">
        <v>73551.0444248308</v>
      </c>
      <c r="O429" s="2555"/>
      <c r="P429" s="2295">
        <v>500</v>
      </c>
      <c r="Q429" s="2295"/>
      <c r="R429" s="2295"/>
      <c r="S429" s="2294"/>
      <c r="T429" s="2290"/>
      <c r="U429" s="2290"/>
      <c r="V429" s="2290"/>
      <c r="W429" s="2290"/>
      <c r="X429" s="2290"/>
      <c r="Y429" s="2290"/>
      <c r="Z429" s="2290"/>
      <c r="AA429" s="2290"/>
      <c r="AB429" s="2290"/>
      <c r="AC429" s="2295"/>
      <c r="AD429" s="2405"/>
      <c r="AE429" s="2405"/>
      <c r="AF429" s="2405"/>
      <c r="AG429" s="2405"/>
      <c r="AH429" s="2405">
        <v>0</v>
      </c>
      <c r="AI429" s="2405">
        <v>0</v>
      </c>
      <c r="AJ429" s="2282">
        <f t="shared" si="79"/>
        <v>500</v>
      </c>
      <c r="AK429" s="2292">
        <v>73551</v>
      </c>
    </row>
    <row r="430" customHeight="1" spans="1:37">
      <c r="A430" s="2551"/>
      <c r="B430" s="2552"/>
      <c r="C430" s="2553"/>
      <c r="D430" s="2554"/>
      <c r="E430" s="2554"/>
      <c r="F430" s="2554"/>
      <c r="G430" s="2522" t="s">
        <v>11084</v>
      </c>
      <c r="H430" s="2441" t="s">
        <v>11026</v>
      </c>
      <c r="I430" s="2441" t="s">
        <v>11085</v>
      </c>
      <c r="J430" s="2441" t="s">
        <v>8</v>
      </c>
      <c r="K430" s="2441"/>
      <c r="L430" s="2161">
        <v>250</v>
      </c>
      <c r="M430" s="2396">
        <v>0.002369</v>
      </c>
      <c r="N430" s="2555">
        <v>105529.759392149</v>
      </c>
      <c r="O430" s="2555"/>
      <c r="P430" s="2295">
        <v>250</v>
      </c>
      <c r="Q430" s="2295"/>
      <c r="R430" s="2295"/>
      <c r="S430" s="2294">
        <v>-178</v>
      </c>
      <c r="T430" s="2290"/>
      <c r="U430" s="2290"/>
      <c r="V430" s="2290"/>
      <c r="W430" s="2290"/>
      <c r="X430" s="2290"/>
      <c r="Y430" s="2290"/>
      <c r="Z430" s="2290"/>
      <c r="AA430" s="2290"/>
      <c r="AB430" s="2290"/>
      <c r="AC430" s="2295"/>
      <c r="AD430" s="2405"/>
      <c r="AE430" s="2405"/>
      <c r="AF430" s="2405"/>
      <c r="AG430" s="2405"/>
      <c r="AH430" s="2405">
        <v>0</v>
      </c>
      <c r="AI430" s="2405">
        <v>0</v>
      </c>
      <c r="AJ430" s="2282">
        <f t="shared" si="79"/>
        <v>72</v>
      </c>
      <c r="AK430" s="2292">
        <v>30392</v>
      </c>
    </row>
    <row r="431" customHeight="1" spans="1:37">
      <c r="A431" s="2551"/>
      <c r="B431" s="2552"/>
      <c r="C431" s="2553"/>
      <c r="D431" s="2554"/>
      <c r="E431" s="2554"/>
      <c r="F431" s="2554"/>
      <c r="G431" s="2558" t="s">
        <v>11086</v>
      </c>
      <c r="H431" s="2441" t="s">
        <v>10854</v>
      </c>
      <c r="I431" s="2441" t="s">
        <v>11020</v>
      </c>
      <c r="J431" s="2441"/>
      <c r="K431" s="2441" t="s">
        <v>10</v>
      </c>
      <c r="L431" s="2161">
        <v>500</v>
      </c>
      <c r="M431" s="2396">
        <v>0.0082</v>
      </c>
      <c r="N431" s="2555">
        <v>60975.6097560976</v>
      </c>
      <c r="O431" s="2555"/>
      <c r="P431" s="2295"/>
      <c r="Q431" s="2295"/>
      <c r="R431" s="2295"/>
      <c r="S431" s="2559">
        <v>500</v>
      </c>
      <c r="T431" s="2290"/>
      <c r="U431" s="2290"/>
      <c r="V431" s="2290"/>
      <c r="W431" s="2290"/>
      <c r="X431" s="2290"/>
      <c r="Y431" s="2290"/>
      <c r="Z431" s="2290">
        <v>74</v>
      </c>
      <c r="AA431" s="2290"/>
      <c r="AB431" s="2290"/>
      <c r="AC431" s="2295">
        <v>164</v>
      </c>
      <c r="AD431" s="2405"/>
      <c r="AE431" s="2405"/>
      <c r="AF431" s="2405">
        <v>82</v>
      </c>
      <c r="AG431" s="2405">
        <v>82</v>
      </c>
      <c r="AH431" s="2405">
        <v>164</v>
      </c>
      <c r="AI431" s="2405">
        <v>0</v>
      </c>
      <c r="AJ431" s="2282">
        <f t="shared" si="79"/>
        <v>1066</v>
      </c>
      <c r="AK431" s="2292">
        <v>60975</v>
      </c>
    </row>
    <row r="432" customHeight="1" spans="1:37">
      <c r="A432" s="2551"/>
      <c r="B432" s="2552"/>
      <c r="C432" s="2553"/>
      <c r="D432" s="2554"/>
      <c r="E432" s="2554"/>
      <c r="F432" s="2554"/>
      <c r="G432" s="2558" t="s">
        <v>11087</v>
      </c>
      <c r="H432" s="2441" t="s">
        <v>10854</v>
      </c>
      <c r="I432" s="2441" t="s">
        <v>11020</v>
      </c>
      <c r="J432" s="2441"/>
      <c r="K432" s="2441" t="s">
        <v>10</v>
      </c>
      <c r="L432" s="2161">
        <v>0</v>
      </c>
      <c r="M432" s="2396">
        <v>0.0041</v>
      </c>
      <c r="N432" s="2555">
        <v>0</v>
      </c>
      <c r="O432" s="2555"/>
      <c r="P432" s="2295"/>
      <c r="Q432" s="2295"/>
      <c r="R432" s="2295"/>
      <c r="S432" s="2294">
        <v>82</v>
      </c>
      <c r="T432" s="2290"/>
      <c r="U432" s="2290"/>
      <c r="V432" s="2290">
        <v>41</v>
      </c>
      <c r="W432" s="2290"/>
      <c r="X432" s="2290">
        <v>82</v>
      </c>
      <c r="Y432" s="2290"/>
      <c r="Z432" s="2290">
        <v>82</v>
      </c>
      <c r="AA432" s="2290"/>
      <c r="AB432" s="2290"/>
      <c r="AC432" s="2295">
        <v>82</v>
      </c>
      <c r="AD432" s="2405"/>
      <c r="AE432" s="2405"/>
      <c r="AF432" s="2405">
        <v>41</v>
      </c>
      <c r="AG432" s="2405">
        <v>41</v>
      </c>
      <c r="AH432" s="2405">
        <v>82</v>
      </c>
      <c r="AI432" s="2405">
        <v>0</v>
      </c>
      <c r="AJ432" s="2282">
        <f t="shared" ref="AJ432:AJ451" si="80">SUM(P432:AI432)</f>
        <v>533</v>
      </c>
      <c r="AK432" s="2292">
        <v>50000</v>
      </c>
    </row>
    <row r="433" customHeight="1" spans="1:37">
      <c r="A433" s="2551"/>
      <c r="B433" s="2552"/>
      <c r="C433" s="2553"/>
      <c r="D433" s="2554"/>
      <c r="E433" s="2554"/>
      <c r="F433" s="2554"/>
      <c r="G433" s="2560" t="s">
        <v>11084</v>
      </c>
      <c r="H433" s="2441" t="s">
        <v>11030</v>
      </c>
      <c r="I433" s="2441" t="s">
        <v>11085</v>
      </c>
      <c r="J433" s="2441"/>
      <c r="K433" s="2441" t="s">
        <v>10</v>
      </c>
      <c r="L433" s="2573">
        <v>250</v>
      </c>
      <c r="M433" s="2396">
        <v>0.0048</v>
      </c>
      <c r="N433" s="2555">
        <v>52083.3333333333</v>
      </c>
      <c r="O433" s="2555"/>
      <c r="P433" s="2295"/>
      <c r="Q433" s="2295"/>
      <c r="R433" s="2295"/>
      <c r="S433" s="2294">
        <v>178</v>
      </c>
      <c r="T433" s="2295"/>
      <c r="U433" s="2295"/>
      <c r="V433" s="2295"/>
      <c r="W433" s="2295"/>
      <c r="X433" s="2295">
        <v>62</v>
      </c>
      <c r="Y433" s="2295"/>
      <c r="Z433" s="2295">
        <v>96</v>
      </c>
      <c r="AA433" s="2295"/>
      <c r="AB433" s="2295"/>
      <c r="AC433" s="2290">
        <v>96</v>
      </c>
      <c r="AD433" s="2439"/>
      <c r="AE433" s="2439"/>
      <c r="AF433" s="2439">
        <v>48</v>
      </c>
      <c r="AG433" s="2439">
        <v>48</v>
      </c>
      <c r="AH433" s="2439">
        <v>96</v>
      </c>
      <c r="AI433" s="2439">
        <v>0</v>
      </c>
      <c r="AJ433" s="2282">
        <f t="shared" si="80"/>
        <v>624</v>
      </c>
      <c r="AK433" s="2292">
        <v>50000</v>
      </c>
    </row>
    <row r="434" customHeight="1" spans="1:37">
      <c r="A434" s="2584"/>
      <c r="B434" s="2561"/>
      <c r="C434" s="2553"/>
      <c r="D434" s="2563"/>
      <c r="E434" s="2563"/>
      <c r="F434" s="2563"/>
      <c r="G434" s="2477"/>
      <c r="H434" s="2477" t="s">
        <v>11031</v>
      </c>
      <c r="I434" s="2477" t="s">
        <v>11020</v>
      </c>
      <c r="J434" s="2477" t="s">
        <v>8</v>
      </c>
      <c r="K434" s="2477" t="s">
        <v>10</v>
      </c>
      <c r="L434" s="2348">
        <v>0</v>
      </c>
      <c r="M434" s="2564">
        <v>1</v>
      </c>
      <c r="N434" s="2565">
        <v>0</v>
      </c>
      <c r="O434" s="2565"/>
      <c r="P434" s="2435">
        <v>30000</v>
      </c>
      <c r="Q434" s="2435"/>
      <c r="R434" s="2435"/>
      <c r="S434" s="2434">
        <v>20000</v>
      </c>
      <c r="T434" s="2435"/>
      <c r="U434" s="2435"/>
      <c r="V434" s="2435">
        <v>10000</v>
      </c>
      <c r="W434" s="2435"/>
      <c r="X434" s="2435">
        <v>20000</v>
      </c>
      <c r="Y434" s="2435"/>
      <c r="Z434" s="2435">
        <v>20000</v>
      </c>
      <c r="AA434" s="2435"/>
      <c r="AB434" s="2435"/>
      <c r="AC434" s="2435">
        <v>20000</v>
      </c>
      <c r="AD434" s="2438"/>
      <c r="AE434" s="2438"/>
      <c r="AF434" s="2438">
        <v>10000</v>
      </c>
      <c r="AG434" s="2438">
        <v>10000</v>
      </c>
      <c r="AH434" s="2438">
        <v>20000</v>
      </c>
      <c r="AI434" s="2438">
        <v>0</v>
      </c>
      <c r="AJ434" s="2282">
        <f t="shared" si="80"/>
        <v>160000</v>
      </c>
      <c r="AK434" s="2436">
        <v>80000</v>
      </c>
    </row>
    <row r="435" customHeight="1" spans="1:37">
      <c r="A435" s="2585"/>
      <c r="B435" s="2314" t="s">
        <v>10630</v>
      </c>
      <c r="C435" s="2499">
        <v>60</v>
      </c>
      <c r="D435" s="2499">
        <v>0</v>
      </c>
      <c r="E435" s="2499">
        <v>0</v>
      </c>
      <c r="F435" s="2499">
        <v>0</v>
      </c>
      <c r="G435" s="2314" t="s">
        <v>10707</v>
      </c>
      <c r="H435" s="2314"/>
      <c r="I435" s="2314"/>
      <c r="J435" s="2314"/>
      <c r="K435" s="2314"/>
      <c r="L435" s="2318"/>
      <c r="M435" s="2586"/>
      <c r="N435" s="2586"/>
      <c r="O435" s="2586"/>
      <c r="P435" s="2318">
        <v>14096</v>
      </c>
      <c r="Q435" s="2318">
        <v>7344</v>
      </c>
      <c r="R435" s="2318">
        <v>13099</v>
      </c>
      <c r="S435" s="2318">
        <v>10699</v>
      </c>
      <c r="T435" s="2318">
        <v>7763</v>
      </c>
      <c r="U435" s="2318">
        <v>8297</v>
      </c>
      <c r="V435" s="2318">
        <v>9210</v>
      </c>
      <c r="W435" s="2318">
        <v>10895</v>
      </c>
      <c r="X435" s="2318">
        <v>12264</v>
      </c>
      <c r="Y435" s="2318">
        <v>8526</v>
      </c>
      <c r="Z435" s="2318">
        <v>14705</v>
      </c>
      <c r="AA435" s="2318">
        <v>9175</v>
      </c>
      <c r="AB435" s="2318">
        <v>8527</v>
      </c>
      <c r="AC435" s="2318">
        <v>12212</v>
      </c>
      <c r="AD435" s="2318">
        <v>8526</v>
      </c>
      <c r="AE435" s="2318">
        <v>8526</v>
      </c>
      <c r="AF435" s="2318">
        <v>9314</v>
      </c>
      <c r="AG435" s="2318">
        <v>9312</v>
      </c>
      <c r="AH435" s="2318">
        <v>10100</v>
      </c>
      <c r="AI435" s="2318">
        <v>7105</v>
      </c>
      <c r="AJ435" s="2282">
        <f t="shared" si="80"/>
        <v>199695</v>
      </c>
      <c r="AK435" s="2587">
        <f>AJ436</f>
        <v>4097000</v>
      </c>
    </row>
    <row r="436" customHeight="1" spans="1:37">
      <c r="A436" s="2585"/>
      <c r="B436" s="2588"/>
      <c r="C436" s="2588"/>
      <c r="D436" s="2588"/>
      <c r="E436" s="2588"/>
      <c r="F436" s="2588"/>
      <c r="G436" s="2505" t="s">
        <v>11031</v>
      </c>
      <c r="H436" s="2505"/>
      <c r="I436" s="2505"/>
      <c r="J436" s="2505"/>
      <c r="K436" s="2505"/>
      <c r="L436" s="2317"/>
      <c r="M436" s="2589"/>
      <c r="N436" s="2589"/>
      <c r="O436" s="2589"/>
      <c r="P436" s="2317">
        <v>210000</v>
      </c>
      <c r="Q436" s="2317">
        <v>180000</v>
      </c>
      <c r="R436" s="2317">
        <v>280000</v>
      </c>
      <c r="S436" s="2317">
        <v>200000</v>
      </c>
      <c r="T436" s="2317">
        <v>180000</v>
      </c>
      <c r="U436" s="2317">
        <v>180000</v>
      </c>
      <c r="V436" s="2317">
        <v>190000</v>
      </c>
      <c r="W436" s="2317">
        <v>230000</v>
      </c>
      <c r="X436" s="2317">
        <v>250000</v>
      </c>
      <c r="Y436" s="2317">
        <v>180000</v>
      </c>
      <c r="Z436" s="2317">
        <v>300000</v>
      </c>
      <c r="AA436" s="2317">
        <v>196000</v>
      </c>
      <c r="AB436" s="2317">
        <v>180000</v>
      </c>
      <c r="AC436" s="2317">
        <v>251000</v>
      </c>
      <c r="AD436" s="2318">
        <v>180000</v>
      </c>
      <c r="AE436" s="2318">
        <v>180000</v>
      </c>
      <c r="AF436" s="2318">
        <v>190000</v>
      </c>
      <c r="AG436" s="2318">
        <v>190000</v>
      </c>
      <c r="AH436" s="2318">
        <v>200000</v>
      </c>
      <c r="AI436" s="2318">
        <v>150000</v>
      </c>
      <c r="AJ436" s="2282">
        <f t="shared" si="80"/>
        <v>4097000</v>
      </c>
      <c r="AK436" s="2590"/>
    </row>
    <row r="437" customHeight="1" spans="1:37">
      <c r="A437" s="2585"/>
      <c r="B437" s="2588"/>
      <c r="C437" s="2588"/>
      <c r="D437" s="2588"/>
      <c r="E437" s="2588"/>
      <c r="F437" s="2588"/>
      <c r="G437" s="2591" t="s">
        <v>11016</v>
      </c>
      <c r="H437" s="2505"/>
      <c r="I437" s="2591" t="s">
        <v>10685</v>
      </c>
      <c r="J437" s="2591"/>
      <c r="K437" s="2591"/>
      <c r="L437" s="2592">
        <v>0</v>
      </c>
      <c r="M437" s="2589"/>
      <c r="N437" s="2589"/>
      <c r="O437" s="2589"/>
      <c r="P437" s="2317">
        <v>3634</v>
      </c>
      <c r="Q437" s="2317">
        <v>3634</v>
      </c>
      <c r="R437" s="2317">
        <v>6057</v>
      </c>
      <c r="S437" s="2317">
        <v>3634</v>
      </c>
      <c r="T437" s="2317">
        <v>3634</v>
      </c>
      <c r="U437" s="2317">
        <v>3634</v>
      </c>
      <c r="V437" s="2317">
        <v>3634</v>
      </c>
      <c r="W437" s="2317">
        <v>4845</v>
      </c>
      <c r="X437" s="2317">
        <v>4845</v>
      </c>
      <c r="Y437" s="2317">
        <v>3633</v>
      </c>
      <c r="Z437" s="2317">
        <v>6057</v>
      </c>
      <c r="AA437" s="2317">
        <v>4241</v>
      </c>
      <c r="AB437" s="2317">
        <v>3634</v>
      </c>
      <c r="AC437" s="2317">
        <v>5940</v>
      </c>
      <c r="AD437" s="2318">
        <v>3634</v>
      </c>
      <c r="AE437" s="2318">
        <v>3634</v>
      </c>
      <c r="AF437" s="2318">
        <v>3634</v>
      </c>
      <c r="AG437" s="2318">
        <v>3634</v>
      </c>
      <c r="AH437" s="2318">
        <v>3633</v>
      </c>
      <c r="AI437" s="2318">
        <v>3634</v>
      </c>
      <c r="AJ437" s="2282">
        <f t="shared" si="80"/>
        <v>82859</v>
      </c>
      <c r="AK437" s="2590"/>
    </row>
    <row r="438" customHeight="1" spans="1:37">
      <c r="A438" s="2585"/>
      <c r="B438" s="2588"/>
      <c r="C438" s="2588"/>
      <c r="D438" s="2588"/>
      <c r="E438" s="2588"/>
      <c r="F438" s="2588"/>
      <c r="G438" s="2591" t="s">
        <v>11046</v>
      </c>
      <c r="H438" s="2505"/>
      <c r="I438" s="2591" t="s">
        <v>10696</v>
      </c>
      <c r="J438" s="2591"/>
      <c r="K438" s="2591"/>
      <c r="L438" s="2592">
        <v>500</v>
      </c>
      <c r="M438" s="2589"/>
      <c r="N438" s="2589"/>
      <c r="O438" s="2589"/>
      <c r="P438" s="2317">
        <v>0</v>
      </c>
      <c r="Q438" s="2317">
        <v>0</v>
      </c>
      <c r="R438" s="2317">
        <v>0</v>
      </c>
      <c r="S438" s="2317">
        <v>686</v>
      </c>
      <c r="T438" s="2317">
        <v>669</v>
      </c>
      <c r="U438" s="2317">
        <v>678</v>
      </c>
      <c r="V438" s="2317">
        <v>677</v>
      </c>
      <c r="W438" s="2317">
        <v>903</v>
      </c>
      <c r="X438" s="2317">
        <v>903</v>
      </c>
      <c r="Y438" s="2317">
        <v>678</v>
      </c>
      <c r="Z438" s="2317">
        <v>1129</v>
      </c>
      <c r="AA438" s="2317">
        <v>754</v>
      </c>
      <c r="AB438" s="2317">
        <v>677</v>
      </c>
      <c r="AC438" s="2317">
        <v>1062</v>
      </c>
      <c r="AD438" s="2318">
        <v>677</v>
      </c>
      <c r="AE438" s="2318">
        <v>677</v>
      </c>
      <c r="AF438" s="2318">
        <v>678</v>
      </c>
      <c r="AG438" s="2318">
        <v>677</v>
      </c>
      <c r="AH438" s="2318">
        <v>678</v>
      </c>
      <c r="AI438" s="2318">
        <v>677</v>
      </c>
      <c r="AJ438" s="2282">
        <f t="shared" si="80"/>
        <v>12880</v>
      </c>
      <c r="AK438" s="2590"/>
    </row>
    <row r="439" customHeight="1" spans="1:37">
      <c r="A439" s="2585"/>
      <c r="B439" s="2588"/>
      <c r="C439" s="2588"/>
      <c r="D439" s="2588"/>
      <c r="E439" s="2588"/>
      <c r="F439" s="2588"/>
      <c r="G439" s="2591" t="s">
        <v>11032</v>
      </c>
      <c r="H439" s="2505"/>
      <c r="I439" s="2591" t="s">
        <v>10907</v>
      </c>
      <c r="J439" s="2591"/>
      <c r="K439" s="2591"/>
      <c r="L439" s="2592">
        <v>800</v>
      </c>
      <c r="M439" s="2589"/>
      <c r="N439" s="2589"/>
      <c r="O439" s="2589"/>
      <c r="P439" s="2317">
        <v>1653</v>
      </c>
      <c r="Q439" s="2317">
        <v>1651</v>
      </c>
      <c r="R439" s="2317">
        <v>2445</v>
      </c>
      <c r="S439" s="2317">
        <v>1989</v>
      </c>
      <c r="T439" s="2317">
        <v>1315</v>
      </c>
      <c r="U439" s="2317">
        <v>1651</v>
      </c>
      <c r="V439" s="2317">
        <v>1653</v>
      </c>
      <c r="W439" s="2317">
        <v>2047</v>
      </c>
      <c r="X439" s="2317">
        <v>2049</v>
      </c>
      <c r="Y439" s="2317">
        <v>1651</v>
      </c>
      <c r="Z439" s="2317">
        <v>2445</v>
      </c>
      <c r="AA439" s="2317">
        <v>1651</v>
      </c>
      <c r="AB439" s="2317">
        <v>1653</v>
      </c>
      <c r="AC439" s="2317">
        <v>1501</v>
      </c>
      <c r="AD439" s="2318">
        <v>1652</v>
      </c>
      <c r="AE439" s="2318">
        <v>1651</v>
      </c>
      <c r="AF439" s="2318">
        <v>1653</v>
      </c>
      <c r="AG439" s="2318">
        <v>1651</v>
      </c>
      <c r="AH439" s="2318">
        <v>1653</v>
      </c>
      <c r="AI439" s="2318">
        <v>1188</v>
      </c>
      <c r="AJ439" s="2282">
        <f t="shared" si="80"/>
        <v>34802</v>
      </c>
      <c r="AK439" s="2590"/>
    </row>
    <row r="440" customHeight="1" spans="1:37">
      <c r="A440" s="2585"/>
      <c r="B440" s="2588"/>
      <c r="C440" s="2588"/>
      <c r="D440" s="2588"/>
      <c r="E440" s="2588"/>
      <c r="F440" s="2588"/>
      <c r="G440" s="2591" t="s">
        <v>10985</v>
      </c>
      <c r="H440" s="2505"/>
      <c r="I440" s="2591" t="s">
        <v>10890</v>
      </c>
      <c r="J440" s="2591"/>
      <c r="K440" s="2591"/>
      <c r="L440" s="2592">
        <v>500</v>
      </c>
      <c r="M440" s="2589"/>
      <c r="N440" s="2589"/>
      <c r="O440" s="2589"/>
      <c r="P440" s="2317">
        <v>500</v>
      </c>
      <c r="Q440" s="2317">
        <v>0</v>
      </c>
      <c r="R440" s="2317">
        <v>500</v>
      </c>
      <c r="S440" s="2317">
        <v>0</v>
      </c>
      <c r="T440" s="2317">
        <v>98</v>
      </c>
      <c r="U440" s="2317">
        <v>288</v>
      </c>
      <c r="V440" s="2317">
        <v>288</v>
      </c>
      <c r="W440" s="2317">
        <v>384</v>
      </c>
      <c r="X440" s="2317">
        <v>384</v>
      </c>
      <c r="Y440" s="2317">
        <v>288</v>
      </c>
      <c r="Z440" s="2317">
        <v>500</v>
      </c>
      <c r="AA440" s="2317">
        <v>303</v>
      </c>
      <c r="AB440" s="2317">
        <v>288</v>
      </c>
      <c r="AC440" s="2317">
        <v>450</v>
      </c>
      <c r="AD440" s="2318">
        <v>288</v>
      </c>
      <c r="AE440" s="2318">
        <v>288</v>
      </c>
      <c r="AF440" s="2318">
        <v>288</v>
      </c>
      <c r="AG440" s="2318">
        <v>288</v>
      </c>
      <c r="AH440" s="2318">
        <v>288</v>
      </c>
      <c r="AI440" s="2318">
        <v>288</v>
      </c>
      <c r="AJ440" s="2282">
        <f t="shared" si="80"/>
        <v>5999</v>
      </c>
      <c r="AK440" s="2590"/>
    </row>
    <row r="441" customHeight="1" spans="1:37">
      <c r="A441" s="2585"/>
      <c r="B441" s="2588"/>
      <c r="C441" s="2588"/>
      <c r="D441" s="2588"/>
      <c r="E441" s="2588"/>
      <c r="F441" s="2588"/>
      <c r="G441" s="2591" t="s">
        <v>11055</v>
      </c>
      <c r="H441" s="2505"/>
      <c r="I441" s="2591" t="s">
        <v>10957</v>
      </c>
      <c r="J441" s="2591"/>
      <c r="K441" s="2591"/>
      <c r="L441" s="2592">
        <v>0</v>
      </c>
      <c r="M441" s="2589"/>
      <c r="N441" s="2589"/>
      <c r="O441" s="2589"/>
      <c r="P441" s="2317">
        <v>1024</v>
      </c>
      <c r="Q441" s="2317">
        <v>439</v>
      </c>
      <c r="R441" s="2317">
        <v>507</v>
      </c>
      <c r="S441" s="2317">
        <v>829</v>
      </c>
      <c r="T441" s="2317">
        <v>439</v>
      </c>
      <c r="U441" s="2317">
        <v>438</v>
      </c>
      <c r="V441" s="2317">
        <v>633</v>
      </c>
      <c r="W441" s="2317">
        <v>473</v>
      </c>
      <c r="X441" s="2317">
        <v>862</v>
      </c>
      <c r="Y441" s="2317">
        <v>439</v>
      </c>
      <c r="Z441" s="2317">
        <v>895</v>
      </c>
      <c r="AA441" s="2317">
        <v>449</v>
      </c>
      <c r="AB441" s="2317">
        <v>439</v>
      </c>
      <c r="AC441" s="2317">
        <v>645</v>
      </c>
      <c r="AD441" s="2318">
        <v>439</v>
      </c>
      <c r="AE441" s="2318">
        <v>439</v>
      </c>
      <c r="AF441" s="2318">
        <v>633</v>
      </c>
      <c r="AG441" s="2318">
        <v>634</v>
      </c>
      <c r="AH441" s="2318">
        <v>827</v>
      </c>
      <c r="AI441" s="2318">
        <v>102</v>
      </c>
      <c r="AJ441" s="2282">
        <f t="shared" si="80"/>
        <v>11585</v>
      </c>
      <c r="AK441" s="2590"/>
    </row>
    <row r="442" customHeight="1" spans="1:37">
      <c r="A442" s="2585"/>
      <c r="B442" s="2588"/>
      <c r="C442" s="2588"/>
      <c r="D442" s="2588"/>
      <c r="E442" s="2588"/>
      <c r="F442" s="2588"/>
      <c r="G442" s="2591" t="s">
        <v>11047</v>
      </c>
      <c r="H442" s="2505"/>
      <c r="I442" s="2591" t="s">
        <v>10959</v>
      </c>
      <c r="J442" s="2591"/>
      <c r="K442" s="2591"/>
      <c r="L442" s="2592">
        <v>0</v>
      </c>
      <c r="M442" s="2589"/>
      <c r="N442" s="2589"/>
      <c r="O442" s="2589"/>
      <c r="P442" s="2317">
        <v>0</v>
      </c>
      <c r="Q442" s="2317">
        <v>0</v>
      </c>
      <c r="R442" s="2317">
        <v>0</v>
      </c>
      <c r="S442" s="2317">
        <v>369</v>
      </c>
      <c r="T442" s="2317">
        <v>369</v>
      </c>
      <c r="U442" s="2317">
        <v>369</v>
      </c>
      <c r="V442" s="2317">
        <v>369</v>
      </c>
      <c r="W442" s="2317">
        <v>492</v>
      </c>
      <c r="X442" s="2317">
        <v>492</v>
      </c>
      <c r="Y442" s="2317">
        <v>369</v>
      </c>
      <c r="Z442" s="2317">
        <v>615</v>
      </c>
      <c r="AA442" s="2317">
        <v>411</v>
      </c>
      <c r="AB442" s="2317">
        <v>369</v>
      </c>
      <c r="AC442" s="2317">
        <v>578</v>
      </c>
      <c r="AD442" s="2318">
        <v>369</v>
      </c>
      <c r="AE442" s="2318">
        <v>369</v>
      </c>
      <c r="AF442" s="2318">
        <v>369</v>
      </c>
      <c r="AG442" s="2318">
        <v>369</v>
      </c>
      <c r="AH442" s="2318">
        <v>369</v>
      </c>
      <c r="AI442" s="2318">
        <v>369</v>
      </c>
      <c r="AJ442" s="2282">
        <f t="shared" si="80"/>
        <v>7016</v>
      </c>
      <c r="AK442" s="2590"/>
    </row>
    <row r="443" customHeight="1" spans="1:37">
      <c r="A443" s="2585"/>
      <c r="B443" s="2588"/>
      <c r="C443" s="2588"/>
      <c r="D443" s="2588"/>
      <c r="E443" s="2588"/>
      <c r="F443" s="2588"/>
      <c r="G443" s="2591" t="s">
        <v>11088</v>
      </c>
      <c r="H443" s="2505"/>
      <c r="I443" s="2591" t="s">
        <v>10970</v>
      </c>
      <c r="J443" s="2591"/>
      <c r="K443" s="2591"/>
      <c r="L443" s="2592">
        <v>500</v>
      </c>
      <c r="M443" s="2589"/>
      <c r="N443" s="2589"/>
      <c r="O443" s="2589"/>
      <c r="P443" s="2317">
        <v>186</v>
      </c>
      <c r="Q443" s="2317">
        <v>185</v>
      </c>
      <c r="R443" s="2317">
        <v>309</v>
      </c>
      <c r="S443" s="2317">
        <v>436</v>
      </c>
      <c r="T443" s="2317">
        <v>427</v>
      </c>
      <c r="U443" s="2317">
        <v>431</v>
      </c>
      <c r="V443" s="2317">
        <v>432</v>
      </c>
      <c r="W443" s="2317">
        <v>575</v>
      </c>
      <c r="X443" s="2317">
        <v>575</v>
      </c>
      <c r="Y443" s="2317">
        <v>432</v>
      </c>
      <c r="Z443" s="2317">
        <v>719</v>
      </c>
      <c r="AA443" s="2317">
        <v>475</v>
      </c>
      <c r="AB443" s="2317">
        <v>431</v>
      </c>
      <c r="AC443" s="2317">
        <v>604</v>
      </c>
      <c r="AD443" s="2318">
        <v>431</v>
      </c>
      <c r="AE443" s="2318">
        <v>431</v>
      </c>
      <c r="AF443" s="2318">
        <v>432</v>
      </c>
      <c r="AG443" s="2318">
        <v>431</v>
      </c>
      <c r="AH443" s="2318">
        <v>432</v>
      </c>
      <c r="AI443" s="2318">
        <v>431</v>
      </c>
      <c r="AJ443" s="2282">
        <f t="shared" si="80"/>
        <v>8805</v>
      </c>
      <c r="AK443" s="2590"/>
    </row>
    <row r="444" customHeight="1" spans="1:37">
      <c r="A444" s="2585"/>
      <c r="B444" s="2588"/>
      <c r="C444" s="2588"/>
      <c r="D444" s="2588"/>
      <c r="E444" s="2588"/>
      <c r="F444" s="2588"/>
      <c r="G444" s="2591" t="s">
        <v>10978</v>
      </c>
      <c r="H444" s="2505"/>
      <c r="I444" s="2591" t="s">
        <v>10973</v>
      </c>
      <c r="J444" s="2591"/>
      <c r="K444" s="2591"/>
      <c r="L444" s="2592">
        <v>0</v>
      </c>
      <c r="M444" s="2589"/>
      <c r="N444" s="2589"/>
      <c r="O444" s="2589"/>
      <c r="P444" s="2317">
        <v>0</v>
      </c>
      <c r="Q444" s="2317">
        <v>0</v>
      </c>
      <c r="R444" s="2317">
        <v>0</v>
      </c>
      <c r="S444" s="2317">
        <v>246</v>
      </c>
      <c r="T444" s="2317">
        <v>246</v>
      </c>
      <c r="U444" s="2317">
        <v>246</v>
      </c>
      <c r="V444" s="2317">
        <v>246</v>
      </c>
      <c r="W444" s="2317">
        <v>287</v>
      </c>
      <c r="X444" s="2317">
        <v>287</v>
      </c>
      <c r="Y444" s="2317">
        <v>246</v>
      </c>
      <c r="Z444" s="2317">
        <v>328</v>
      </c>
      <c r="AA444" s="2317">
        <v>259</v>
      </c>
      <c r="AB444" s="2317">
        <v>246</v>
      </c>
      <c r="AC444" s="2317">
        <v>213</v>
      </c>
      <c r="AD444" s="2318">
        <v>246</v>
      </c>
      <c r="AE444" s="2318">
        <v>246</v>
      </c>
      <c r="AF444" s="2318">
        <v>246</v>
      </c>
      <c r="AG444" s="2318">
        <v>246</v>
      </c>
      <c r="AH444" s="2318">
        <v>246</v>
      </c>
      <c r="AI444" s="2318">
        <v>123</v>
      </c>
      <c r="AJ444" s="2282">
        <f t="shared" si="80"/>
        <v>4203</v>
      </c>
      <c r="AK444" s="2590"/>
    </row>
    <row r="445" customHeight="1" spans="1:37">
      <c r="A445" s="2585"/>
      <c r="B445" s="2588"/>
      <c r="C445" s="2588"/>
      <c r="D445" s="2588"/>
      <c r="E445" s="2588"/>
      <c r="F445" s="2588"/>
      <c r="G445" s="2591" t="s">
        <v>11075</v>
      </c>
      <c r="H445" s="2505"/>
      <c r="I445" s="2591" t="s">
        <v>10980</v>
      </c>
      <c r="J445" s="2591"/>
      <c r="K445" s="2591"/>
      <c r="L445" s="2592">
        <v>500</v>
      </c>
      <c r="M445" s="2589"/>
      <c r="N445" s="2589"/>
      <c r="O445" s="2589"/>
      <c r="P445" s="2317">
        <v>294</v>
      </c>
      <c r="Q445" s="2317">
        <v>294</v>
      </c>
      <c r="R445" s="2317">
        <v>293</v>
      </c>
      <c r="S445" s="2317">
        <v>544</v>
      </c>
      <c r="T445" s="2317">
        <v>535</v>
      </c>
      <c r="U445" s="2317">
        <v>540</v>
      </c>
      <c r="V445" s="2317">
        <v>539</v>
      </c>
      <c r="W445" s="2317">
        <v>540</v>
      </c>
      <c r="X445" s="2317">
        <v>539</v>
      </c>
      <c r="Y445" s="2317">
        <v>540</v>
      </c>
      <c r="Z445" s="2317">
        <v>540</v>
      </c>
      <c r="AA445" s="2317">
        <v>539</v>
      </c>
      <c r="AB445" s="2317">
        <v>540</v>
      </c>
      <c r="AC445" s="2317">
        <v>179</v>
      </c>
      <c r="AD445" s="2318">
        <v>540</v>
      </c>
      <c r="AE445" s="2318">
        <v>540</v>
      </c>
      <c r="AF445" s="2318">
        <v>539</v>
      </c>
      <c r="AG445" s="2318">
        <v>540</v>
      </c>
      <c r="AH445" s="2318">
        <v>539</v>
      </c>
      <c r="AI445" s="2318">
        <v>0</v>
      </c>
      <c r="AJ445" s="2282">
        <f t="shared" si="80"/>
        <v>9154</v>
      </c>
      <c r="AK445" s="2590"/>
    </row>
    <row r="446" customHeight="1" spans="1:37">
      <c r="A446" s="2585"/>
      <c r="B446" s="2588"/>
      <c r="C446" s="2588"/>
      <c r="D446" s="2588"/>
      <c r="E446" s="2588"/>
      <c r="F446" s="2588"/>
      <c r="G446" s="2593" t="s">
        <v>11038</v>
      </c>
      <c r="H446" s="2505"/>
      <c r="I446" s="2591" t="s">
        <v>10955</v>
      </c>
      <c r="J446" s="2591"/>
      <c r="K446" s="2591"/>
      <c r="L446" s="2592">
        <v>500</v>
      </c>
      <c r="M446" s="2589"/>
      <c r="N446" s="2589"/>
      <c r="O446" s="2589"/>
      <c r="P446" s="2317">
        <v>500</v>
      </c>
      <c r="Q446" s="2317">
        <v>0</v>
      </c>
      <c r="R446" s="2317">
        <v>0</v>
      </c>
      <c r="S446" s="2317">
        <v>0</v>
      </c>
      <c r="T446" s="2317">
        <v>49</v>
      </c>
      <c r="U446" s="2317">
        <v>144</v>
      </c>
      <c r="V446" s="2317">
        <v>144</v>
      </c>
      <c r="W446" s="2317">
        <v>192</v>
      </c>
      <c r="X446" s="2317">
        <v>192</v>
      </c>
      <c r="Y446" s="2317">
        <v>144</v>
      </c>
      <c r="Z446" s="2317">
        <v>240</v>
      </c>
      <c r="AA446" s="2317">
        <v>144</v>
      </c>
      <c r="AB446" s="2317">
        <v>144</v>
      </c>
      <c r="AC446" s="2317">
        <v>164</v>
      </c>
      <c r="AD446" s="2318">
        <v>144</v>
      </c>
      <c r="AE446" s="2318">
        <v>144</v>
      </c>
      <c r="AF446" s="2318">
        <v>144</v>
      </c>
      <c r="AG446" s="2318">
        <v>144</v>
      </c>
      <c r="AH446" s="2318">
        <v>144</v>
      </c>
      <c r="AI446" s="2318">
        <v>144</v>
      </c>
      <c r="AJ446" s="2282">
        <f t="shared" si="80"/>
        <v>2921</v>
      </c>
      <c r="AK446" s="2590"/>
    </row>
    <row r="447" customHeight="1" spans="1:37">
      <c r="A447" s="2585"/>
      <c r="B447" s="2588"/>
      <c r="C447" s="2588"/>
      <c r="D447" s="2588"/>
      <c r="E447" s="2588"/>
      <c r="F447" s="2588"/>
      <c r="G447" s="2591" t="s">
        <v>11073</v>
      </c>
      <c r="H447" s="2505"/>
      <c r="I447" s="2591" t="s">
        <v>11074</v>
      </c>
      <c r="J447" s="2591"/>
      <c r="K447" s="2591"/>
      <c r="L447" s="2592">
        <v>500</v>
      </c>
      <c r="M447" s="2589"/>
      <c r="N447" s="2589"/>
      <c r="O447" s="2589"/>
      <c r="P447" s="2317">
        <v>500</v>
      </c>
      <c r="Q447" s="2317">
        <v>0</v>
      </c>
      <c r="R447" s="2317">
        <v>0</v>
      </c>
      <c r="S447" s="2317">
        <v>0</v>
      </c>
      <c r="T447" s="2317">
        <v>2</v>
      </c>
      <c r="U447" s="2317">
        <v>144</v>
      </c>
      <c r="V447" s="2317">
        <v>144</v>
      </c>
      <c r="W447" s="2317">
        <v>144</v>
      </c>
      <c r="X447" s="2317">
        <v>144</v>
      </c>
      <c r="Y447" s="2317">
        <v>144</v>
      </c>
      <c r="Z447" s="2317">
        <v>144</v>
      </c>
      <c r="AA447" s="2317">
        <v>144</v>
      </c>
      <c r="AB447" s="2317">
        <v>144</v>
      </c>
      <c r="AC447" s="2317">
        <v>48</v>
      </c>
      <c r="AD447" s="2318">
        <v>144</v>
      </c>
      <c r="AE447" s="2318">
        <v>144</v>
      </c>
      <c r="AF447" s="2318">
        <v>144</v>
      </c>
      <c r="AG447" s="2318">
        <v>144</v>
      </c>
      <c r="AH447" s="2318">
        <v>144</v>
      </c>
      <c r="AI447" s="2318">
        <v>0</v>
      </c>
      <c r="AJ447" s="2282">
        <f t="shared" si="80"/>
        <v>2422</v>
      </c>
      <c r="AK447" s="2590"/>
    </row>
    <row r="448" customHeight="1" spans="1:37">
      <c r="A448" s="2585"/>
      <c r="B448" s="2588"/>
      <c r="C448" s="2588"/>
      <c r="D448" s="2588"/>
      <c r="E448" s="2588"/>
      <c r="F448" s="2588"/>
      <c r="G448" s="2591" t="s">
        <v>11044</v>
      </c>
      <c r="H448" s="2505"/>
      <c r="I448" s="2591" t="s">
        <v>11045</v>
      </c>
      <c r="J448" s="2591"/>
      <c r="K448" s="2591"/>
      <c r="L448" s="2592">
        <v>500</v>
      </c>
      <c r="M448" s="2589"/>
      <c r="N448" s="2589"/>
      <c r="O448" s="2589"/>
      <c r="P448" s="2317">
        <v>500</v>
      </c>
      <c r="Q448" s="2317">
        <v>316</v>
      </c>
      <c r="R448" s="2317">
        <v>680</v>
      </c>
      <c r="S448" s="2317">
        <v>0</v>
      </c>
      <c r="T448" s="2317">
        <v>0</v>
      </c>
      <c r="U448" s="2317">
        <v>0</v>
      </c>
      <c r="V448" s="2317">
        <v>0</v>
      </c>
      <c r="W448" s="2317">
        <v>0</v>
      </c>
      <c r="X448" s="2317">
        <v>0</v>
      </c>
      <c r="Y448" s="2317">
        <v>0</v>
      </c>
      <c r="Z448" s="2317">
        <v>0</v>
      </c>
      <c r="AA448" s="2317">
        <v>0</v>
      </c>
      <c r="AB448" s="2317">
        <v>0</v>
      </c>
      <c r="AC448" s="2317">
        <v>0</v>
      </c>
      <c r="AD448" s="2318">
        <v>0</v>
      </c>
      <c r="AE448" s="2318">
        <v>0</v>
      </c>
      <c r="AF448" s="2318">
        <v>0</v>
      </c>
      <c r="AG448" s="2318">
        <v>0</v>
      </c>
      <c r="AH448" s="2318">
        <v>0</v>
      </c>
      <c r="AI448" s="2318">
        <v>0</v>
      </c>
      <c r="AJ448" s="2282">
        <f t="shared" si="80"/>
        <v>1496</v>
      </c>
      <c r="AK448" s="2590"/>
    </row>
    <row r="449" customHeight="1" spans="1:37">
      <c r="A449" s="2585"/>
      <c r="B449" s="2588"/>
      <c r="C449" s="2588"/>
      <c r="D449" s="2588"/>
      <c r="E449" s="2588"/>
      <c r="F449" s="2588"/>
      <c r="G449" s="2591" t="s">
        <v>11062</v>
      </c>
      <c r="H449" s="2505"/>
      <c r="I449" s="2591" t="s">
        <v>11063</v>
      </c>
      <c r="J449" s="2591"/>
      <c r="K449" s="2591"/>
      <c r="L449" s="2592">
        <v>500</v>
      </c>
      <c r="M449" s="2589"/>
      <c r="N449" s="2589"/>
      <c r="O449" s="2589"/>
      <c r="P449" s="2317">
        <v>500</v>
      </c>
      <c r="Q449" s="2317">
        <v>0</v>
      </c>
      <c r="R449" s="2317">
        <v>0</v>
      </c>
      <c r="S449" s="2317">
        <v>0</v>
      </c>
      <c r="T449" s="2317">
        <v>49</v>
      </c>
      <c r="U449" s="2317">
        <v>144</v>
      </c>
      <c r="V449" s="2317">
        <v>144</v>
      </c>
      <c r="W449" s="2317">
        <v>192</v>
      </c>
      <c r="X449" s="2317">
        <v>192</v>
      </c>
      <c r="Y449" s="2317">
        <v>144</v>
      </c>
      <c r="Z449" s="2317">
        <v>240</v>
      </c>
      <c r="AA449" s="2317">
        <v>159</v>
      </c>
      <c r="AB449" s="2317">
        <v>144</v>
      </c>
      <c r="AC449" s="2317">
        <v>201</v>
      </c>
      <c r="AD449" s="2318">
        <v>144</v>
      </c>
      <c r="AE449" s="2318">
        <v>144</v>
      </c>
      <c r="AF449" s="2318">
        <v>144</v>
      </c>
      <c r="AG449" s="2318">
        <v>144</v>
      </c>
      <c r="AH449" s="2318">
        <v>144</v>
      </c>
      <c r="AI449" s="2318">
        <v>144</v>
      </c>
      <c r="AJ449" s="2282">
        <f t="shared" si="80"/>
        <v>2973</v>
      </c>
      <c r="AK449" s="2590"/>
    </row>
    <row r="450" customHeight="1" spans="1:37">
      <c r="A450" s="2585"/>
      <c r="B450" s="2588"/>
      <c r="C450" s="2588"/>
      <c r="D450" s="2588"/>
      <c r="E450" s="2588"/>
      <c r="F450" s="2588"/>
      <c r="G450" s="2591" t="s">
        <v>11084</v>
      </c>
      <c r="H450" s="2505"/>
      <c r="I450" s="2591" t="s">
        <v>11085</v>
      </c>
      <c r="J450" s="2591"/>
      <c r="K450" s="2591"/>
      <c r="L450" s="2592">
        <v>250</v>
      </c>
      <c r="M450" s="2589"/>
      <c r="N450" s="2589"/>
      <c r="O450" s="2589"/>
      <c r="P450" s="2317">
        <v>250</v>
      </c>
      <c r="Q450" s="2317">
        <v>0</v>
      </c>
      <c r="R450" s="2317">
        <v>0</v>
      </c>
      <c r="S450" s="2317">
        <v>0</v>
      </c>
      <c r="T450" s="2317">
        <v>0</v>
      </c>
      <c r="U450" s="2317">
        <v>0</v>
      </c>
      <c r="V450" s="2317">
        <v>0</v>
      </c>
      <c r="W450" s="2317">
        <v>0</v>
      </c>
      <c r="X450" s="2317">
        <v>62</v>
      </c>
      <c r="Y450" s="2317">
        <v>0</v>
      </c>
      <c r="Z450" s="2317">
        <v>96</v>
      </c>
      <c r="AA450" s="2317">
        <v>0</v>
      </c>
      <c r="AB450" s="2317">
        <v>0</v>
      </c>
      <c r="AC450" s="2317">
        <v>96</v>
      </c>
      <c r="AD450" s="2318">
        <v>0</v>
      </c>
      <c r="AE450" s="2318">
        <v>0</v>
      </c>
      <c r="AF450" s="2318">
        <v>48</v>
      </c>
      <c r="AG450" s="2318">
        <v>48</v>
      </c>
      <c r="AH450" s="2318">
        <v>96</v>
      </c>
      <c r="AI450" s="2318">
        <v>0</v>
      </c>
      <c r="AJ450" s="2282">
        <f t="shared" si="80"/>
        <v>696</v>
      </c>
      <c r="AK450" s="2590"/>
    </row>
    <row r="451" customHeight="1" spans="1:37">
      <c r="A451" s="2585"/>
      <c r="B451" s="2588"/>
      <c r="C451" s="2588"/>
      <c r="D451" s="2588"/>
      <c r="E451" s="2588"/>
      <c r="F451" s="2588"/>
      <c r="G451" s="2591" t="s">
        <v>11025</v>
      </c>
      <c r="H451" s="2505"/>
      <c r="I451" s="2591" t="s">
        <v>11027</v>
      </c>
      <c r="J451" s="2591"/>
      <c r="K451" s="2591"/>
      <c r="L451" s="2592">
        <v>500</v>
      </c>
      <c r="M451" s="2589"/>
      <c r="N451" s="2589"/>
      <c r="O451" s="2589"/>
      <c r="P451" s="2317">
        <v>500</v>
      </c>
      <c r="Q451" s="2317">
        <v>0</v>
      </c>
      <c r="R451" s="2317">
        <v>0</v>
      </c>
      <c r="S451" s="2317">
        <v>0</v>
      </c>
      <c r="T451" s="2317">
        <v>49</v>
      </c>
      <c r="U451" s="2317">
        <v>144</v>
      </c>
      <c r="V451" s="2317">
        <v>144</v>
      </c>
      <c r="W451" s="2317">
        <v>192</v>
      </c>
      <c r="X451" s="2317">
        <v>192</v>
      </c>
      <c r="Y451" s="2317">
        <v>144</v>
      </c>
      <c r="Z451" s="2317">
        <v>240</v>
      </c>
      <c r="AA451" s="2317">
        <v>173</v>
      </c>
      <c r="AB451" s="2317">
        <v>144</v>
      </c>
      <c r="AC451" s="2317">
        <v>245</v>
      </c>
      <c r="AD451" s="2318">
        <v>144</v>
      </c>
      <c r="AE451" s="2318">
        <v>144</v>
      </c>
      <c r="AF451" s="2318">
        <v>144</v>
      </c>
      <c r="AG451" s="2318">
        <v>144</v>
      </c>
      <c r="AH451" s="2318">
        <v>144</v>
      </c>
      <c r="AI451" s="2318">
        <v>144</v>
      </c>
      <c r="AJ451" s="2282">
        <f t="shared" si="80"/>
        <v>3031</v>
      </c>
      <c r="AK451" s="2590"/>
    </row>
    <row r="453" customHeight="1" spans="1:37">
      <c r="A453" s="2594" t="s">
        <v>10579</v>
      </c>
      <c r="B453" s="2595" t="s">
        <v>10580</v>
      </c>
      <c r="C453" s="2596" t="s">
        <v>10581</v>
      </c>
      <c r="D453" s="2597" t="s">
        <v>10583</v>
      </c>
      <c r="E453" s="2597"/>
      <c r="F453" s="2598" t="s">
        <v>10585</v>
      </c>
      <c r="G453" s="2599" t="s">
        <v>10927</v>
      </c>
      <c r="H453" s="2598" t="s">
        <v>11089</v>
      </c>
      <c r="I453" s="2600" t="s">
        <v>11090</v>
      </c>
      <c r="J453" s="2601" t="s">
        <v>11091</v>
      </c>
      <c r="K453" s="2602" t="s">
        <v>11092</v>
      </c>
      <c r="L453" s="2600" t="s">
        <v>11093</v>
      </c>
      <c r="M453" s="2600" t="s">
        <v>11094</v>
      </c>
      <c r="N453" s="2600" t="s">
        <v>11095</v>
      </c>
      <c r="O453" s="2600" t="s">
        <v>11096</v>
      </c>
      <c r="P453" s="2600" t="s">
        <v>11097</v>
      </c>
      <c r="Q453" s="2600" t="s">
        <v>11098</v>
      </c>
      <c r="R453" s="2600" t="s">
        <v>11099</v>
      </c>
      <c r="S453" s="2600" t="s">
        <v>11100</v>
      </c>
      <c r="T453" s="2600" t="s">
        <v>11101</v>
      </c>
      <c r="U453" s="2600" t="s">
        <v>11102</v>
      </c>
      <c r="V453" s="2603"/>
      <c r="W453" s="2604" t="s">
        <v>11103</v>
      </c>
    </row>
    <row r="454" customHeight="1" spans="1:37">
      <c r="A454" s="2605" t="s">
        <v>10599</v>
      </c>
      <c r="B454" s="2606"/>
      <c r="C454" s="2607"/>
      <c r="D454" s="2608"/>
      <c r="E454" s="2608"/>
      <c r="F454" s="2609"/>
      <c r="G454" s="2610"/>
      <c r="H454" s="2609"/>
      <c r="I454" s="2611">
        <v>45196</v>
      </c>
      <c r="J454" s="2612">
        <v>45350</v>
      </c>
      <c r="K454" s="2613">
        <v>45371</v>
      </c>
      <c r="L454" s="2611">
        <v>45392</v>
      </c>
      <c r="M454" s="2611">
        <v>45422</v>
      </c>
      <c r="N454" s="2611">
        <v>45456</v>
      </c>
      <c r="O454" s="2611">
        <v>45558</v>
      </c>
      <c r="P454" s="2611">
        <v>45590</v>
      </c>
      <c r="Q454" s="2611">
        <v>45629</v>
      </c>
      <c r="R454" s="2611">
        <v>45754</v>
      </c>
      <c r="S454" s="2611">
        <v>45820</v>
      </c>
      <c r="T454" s="2611">
        <v>45847</v>
      </c>
      <c r="U454" s="2611">
        <v>45903</v>
      </c>
      <c r="V454" s="2614"/>
      <c r="W454" s="2615"/>
    </row>
    <row r="455" customHeight="1" spans="1:37">
      <c r="A455" s="2616" t="s">
        <v>10604</v>
      </c>
      <c r="B455" s="2617"/>
      <c r="C455" s="2618"/>
      <c r="D455" s="2619"/>
      <c r="E455" s="2619"/>
      <c r="F455" s="2620"/>
      <c r="G455" s="2621"/>
      <c r="H455" s="2620"/>
      <c r="I455" s="2622">
        <f>I454+35</f>
        <v>45231</v>
      </c>
      <c r="J455" s="2623">
        <v>45385</v>
      </c>
      <c r="K455" s="2624">
        <v>45406</v>
      </c>
      <c r="L455" s="2622">
        <f>L454+35</f>
        <v>45427</v>
      </c>
      <c r="M455" s="2622">
        <v>45457</v>
      </c>
      <c r="N455" s="2622">
        <v>45491</v>
      </c>
      <c r="O455" s="2622">
        <v>45593</v>
      </c>
      <c r="P455" s="2622">
        <v>45625</v>
      </c>
      <c r="Q455" s="2622">
        <v>45664</v>
      </c>
      <c r="R455" s="2622">
        <v>45789</v>
      </c>
      <c r="S455" s="2622">
        <v>45855</v>
      </c>
      <c r="T455" s="2622">
        <v>45882</v>
      </c>
      <c r="U455" s="2622">
        <v>45938</v>
      </c>
      <c r="V455" s="2625"/>
      <c r="W455" s="2626"/>
    </row>
    <row r="456" customHeight="1" spans="1:37">
      <c r="A456" s="2627" t="s">
        <v>11104</v>
      </c>
      <c r="B456" s="2628" t="s">
        <v>11105</v>
      </c>
      <c r="C456" s="2629">
        <v>2</v>
      </c>
      <c r="D456" s="2630" t="s">
        <v>11106</v>
      </c>
      <c r="E456" s="2631" t="s">
        <v>11107</v>
      </c>
      <c r="F456" s="2003">
        <v>800</v>
      </c>
      <c r="G456" s="2632">
        <v>0.0189</v>
      </c>
      <c r="H456" s="2003">
        <f t="shared" ref="H456:H519" si="81">F456/G456</f>
        <v>42328.0423280423</v>
      </c>
      <c r="I456" s="2005">
        <v>567</v>
      </c>
      <c r="J456" s="2005"/>
      <c r="K456" s="2005">
        <v>189</v>
      </c>
      <c r="L456" s="2005"/>
      <c r="M456" s="2005"/>
      <c r="N456" s="2005">
        <v>189</v>
      </c>
      <c r="O456" s="2005">
        <v>378</v>
      </c>
      <c r="P456" s="2005"/>
      <c r="Q456" s="2005">
        <v>189</v>
      </c>
      <c r="R456" s="2005">
        <v>0</v>
      </c>
      <c r="S456" s="2005"/>
      <c r="T456" s="2005">
        <v>189</v>
      </c>
      <c r="U456" s="2005">
        <v>189</v>
      </c>
      <c r="V456" s="2633">
        <f>SUM(I456:U456)</f>
        <v>1890</v>
      </c>
      <c r="W456" s="2634">
        <f t="shared" ref="W456:W519" si="82">ROUND(V456/G456,-1)</f>
        <v>100000</v>
      </c>
    </row>
    <row r="457" customHeight="1" spans="1:37">
      <c r="A457" s="2635"/>
      <c r="B457" s="2636"/>
      <c r="C457" s="2637"/>
      <c r="D457" s="2638" t="s">
        <v>11106</v>
      </c>
      <c r="E457" s="2639" t="s">
        <v>11107</v>
      </c>
      <c r="F457" s="2016">
        <v>800</v>
      </c>
      <c r="G457" s="2640">
        <v>0.017</v>
      </c>
      <c r="H457" s="2016">
        <f t="shared" si="81"/>
        <v>47058.8235294118</v>
      </c>
      <c r="I457" s="2019">
        <v>510</v>
      </c>
      <c r="J457" s="2641"/>
      <c r="K457" s="2641">
        <v>170</v>
      </c>
      <c r="L457" s="2641"/>
      <c r="M457" s="2641"/>
      <c r="N457" s="2641">
        <v>170</v>
      </c>
      <c r="O457" s="2641">
        <v>340</v>
      </c>
      <c r="P457" s="2641"/>
      <c r="Q457" s="2641">
        <v>170</v>
      </c>
      <c r="R457" s="2641">
        <v>0</v>
      </c>
      <c r="S457" s="2641"/>
      <c r="T457" s="2641">
        <v>170</v>
      </c>
      <c r="U457" s="2641">
        <v>170</v>
      </c>
      <c r="V457" s="2633">
        <f t="shared" ref="V457:V488" si="83">SUM(I457:U457)</f>
        <v>1700</v>
      </c>
      <c r="W457" s="2642">
        <f t="shared" si="82"/>
        <v>100000</v>
      </c>
    </row>
    <row r="458" customHeight="1" spans="1:37">
      <c r="A458" s="2635"/>
      <c r="B458" s="2636"/>
      <c r="C458" s="2637"/>
      <c r="D458" s="2638" t="s">
        <v>11108</v>
      </c>
      <c r="E458" s="2639" t="s">
        <v>11107</v>
      </c>
      <c r="F458" s="2016">
        <v>800</v>
      </c>
      <c r="G458" s="2640">
        <v>0.0049</v>
      </c>
      <c r="H458" s="2016">
        <f t="shared" si="81"/>
        <v>163265.306122449</v>
      </c>
      <c r="I458" s="2019">
        <v>147</v>
      </c>
      <c r="J458" s="2641"/>
      <c r="K458" s="2641">
        <v>49</v>
      </c>
      <c r="L458" s="2641"/>
      <c r="M458" s="2641"/>
      <c r="N458" s="2641">
        <v>49</v>
      </c>
      <c r="O458" s="2641">
        <v>98</v>
      </c>
      <c r="P458" s="2641"/>
      <c r="Q458" s="2641">
        <v>49</v>
      </c>
      <c r="R458" s="2641">
        <v>0</v>
      </c>
      <c r="S458" s="2641"/>
      <c r="T458" s="2641">
        <v>49</v>
      </c>
      <c r="U458" s="2641">
        <v>49</v>
      </c>
      <c r="V458" s="2633">
        <f t="shared" si="83"/>
        <v>490</v>
      </c>
      <c r="W458" s="2642">
        <f t="shared" si="82"/>
        <v>100000</v>
      </c>
    </row>
    <row r="459" customHeight="1" spans="1:37">
      <c r="A459" s="2635"/>
      <c r="B459" s="2636"/>
      <c r="C459" s="2637"/>
      <c r="D459" s="2638" t="s">
        <v>11109</v>
      </c>
      <c r="E459" s="2639" t="s">
        <v>11110</v>
      </c>
      <c r="F459" s="2016">
        <v>500</v>
      </c>
      <c r="G459" s="2640">
        <v>0.0033</v>
      </c>
      <c r="H459" s="2016">
        <f t="shared" si="81"/>
        <v>151515.151515152</v>
      </c>
      <c r="I459" s="2019">
        <v>99</v>
      </c>
      <c r="J459" s="2641"/>
      <c r="K459" s="2641">
        <v>33</v>
      </c>
      <c r="L459" s="2641"/>
      <c r="M459" s="2641"/>
      <c r="N459" s="2641">
        <v>33</v>
      </c>
      <c r="O459" s="2641">
        <v>66</v>
      </c>
      <c r="P459" s="2641"/>
      <c r="Q459" s="2641">
        <v>33</v>
      </c>
      <c r="R459" s="2641">
        <v>0</v>
      </c>
      <c r="S459" s="2641"/>
      <c r="T459" s="2641">
        <v>33</v>
      </c>
      <c r="U459" s="2641">
        <v>33</v>
      </c>
      <c r="V459" s="2633">
        <f t="shared" si="83"/>
        <v>330</v>
      </c>
      <c r="W459" s="2642">
        <f t="shared" si="82"/>
        <v>100000</v>
      </c>
    </row>
    <row r="460" customHeight="1" spans="1:37">
      <c r="A460" s="2635"/>
      <c r="B460" s="2636"/>
      <c r="C460" s="2637"/>
      <c r="D460" s="2638" t="s">
        <v>11111</v>
      </c>
      <c r="E460" s="2639" t="s">
        <v>11110</v>
      </c>
      <c r="F460" s="2016">
        <v>500</v>
      </c>
      <c r="G460" s="2640">
        <v>0.0033</v>
      </c>
      <c r="H460" s="2016">
        <f t="shared" si="81"/>
        <v>151515.151515152</v>
      </c>
      <c r="I460" s="2643">
        <v>99</v>
      </c>
      <c r="J460" s="2644"/>
      <c r="K460" s="2644">
        <v>33</v>
      </c>
      <c r="L460" s="2644"/>
      <c r="M460" s="2644"/>
      <c r="N460" s="2644">
        <v>33</v>
      </c>
      <c r="O460" s="2644">
        <v>66</v>
      </c>
      <c r="P460" s="2644"/>
      <c r="Q460" s="2644">
        <v>33</v>
      </c>
      <c r="R460" s="2644">
        <v>0</v>
      </c>
      <c r="S460" s="2644"/>
      <c r="T460" s="2644">
        <v>33</v>
      </c>
      <c r="U460" s="2644">
        <v>33</v>
      </c>
      <c r="V460" s="2633">
        <f t="shared" si="83"/>
        <v>330</v>
      </c>
      <c r="W460" s="2642">
        <f t="shared" si="82"/>
        <v>100000</v>
      </c>
    </row>
    <row r="461" customHeight="1" spans="1:37">
      <c r="A461" s="2635"/>
      <c r="B461" s="2636"/>
      <c r="C461" s="2637"/>
      <c r="D461" s="2638" t="s">
        <v>11112</v>
      </c>
      <c r="E461" s="2639" t="s">
        <v>11110</v>
      </c>
      <c r="F461" s="2016">
        <v>500</v>
      </c>
      <c r="G461" s="2640">
        <v>0.0142</v>
      </c>
      <c r="H461" s="2016">
        <f t="shared" si="81"/>
        <v>35211.2676056338</v>
      </c>
      <c r="I461" s="2019">
        <v>426</v>
      </c>
      <c r="J461" s="2641"/>
      <c r="K461" s="2641">
        <v>142</v>
      </c>
      <c r="L461" s="2641"/>
      <c r="M461" s="2641"/>
      <c r="N461" s="2641">
        <v>142</v>
      </c>
      <c r="O461" s="2641">
        <v>284</v>
      </c>
      <c r="P461" s="2641"/>
      <c r="Q461" s="2641">
        <v>142</v>
      </c>
      <c r="R461" s="2641">
        <v>0</v>
      </c>
      <c r="S461" s="2641"/>
      <c r="T461" s="2641">
        <v>142</v>
      </c>
      <c r="U461" s="2641">
        <v>142</v>
      </c>
      <c r="V461" s="2633">
        <f t="shared" si="83"/>
        <v>1420</v>
      </c>
      <c r="W461" s="2642">
        <f t="shared" si="82"/>
        <v>100000</v>
      </c>
    </row>
    <row r="462" customHeight="1" spans="1:37">
      <c r="A462" s="2635"/>
      <c r="B462" s="2636"/>
      <c r="C462" s="2637"/>
      <c r="D462" s="2638" t="s">
        <v>11113</v>
      </c>
      <c r="E462" s="2639"/>
      <c r="F462" s="2016">
        <v>500</v>
      </c>
      <c r="G462" s="2640">
        <v>0.0066</v>
      </c>
      <c r="H462" s="2016">
        <f t="shared" si="81"/>
        <v>75757.5757575758</v>
      </c>
      <c r="I462" s="2643">
        <v>500</v>
      </c>
      <c r="J462" s="2641"/>
      <c r="K462" s="2641"/>
      <c r="L462" s="2641"/>
      <c r="M462" s="2641"/>
      <c r="N462" s="2641"/>
      <c r="O462" s="2641"/>
      <c r="P462" s="2641"/>
      <c r="Q462" s="2641">
        <v>28</v>
      </c>
      <c r="R462" s="2641">
        <v>0</v>
      </c>
      <c r="S462" s="2641"/>
      <c r="T462" s="2641">
        <v>66</v>
      </c>
      <c r="U462" s="2641">
        <v>66</v>
      </c>
      <c r="V462" s="2633">
        <f t="shared" si="83"/>
        <v>660</v>
      </c>
      <c r="W462" s="2642">
        <f t="shared" si="82"/>
        <v>100000</v>
      </c>
    </row>
    <row r="463" customHeight="1" spans="1:37">
      <c r="A463" s="2635"/>
      <c r="B463" s="2636"/>
      <c r="C463" s="2637"/>
      <c r="D463" s="2638" t="s">
        <v>11114</v>
      </c>
      <c r="E463" s="2639"/>
      <c r="F463" s="2016">
        <v>300</v>
      </c>
      <c r="G463" s="2640">
        <v>0.0028</v>
      </c>
      <c r="H463" s="2016">
        <f t="shared" si="81"/>
        <v>107142.857142857</v>
      </c>
      <c r="I463" s="2643">
        <v>300</v>
      </c>
      <c r="J463" s="2641"/>
      <c r="K463" s="2641"/>
      <c r="L463" s="2641"/>
      <c r="M463" s="2641"/>
      <c r="N463" s="2641"/>
      <c r="O463" s="2641"/>
      <c r="P463" s="2641"/>
      <c r="Q463" s="2641"/>
      <c r="R463" s="2641">
        <v>0</v>
      </c>
      <c r="S463" s="2641"/>
      <c r="T463" s="2641"/>
      <c r="U463" s="2641"/>
      <c r="V463" s="2633">
        <f t="shared" si="83"/>
        <v>300</v>
      </c>
      <c r="W463" s="2642">
        <f t="shared" si="82"/>
        <v>107140</v>
      </c>
    </row>
    <row r="464" customHeight="1" spans="1:37">
      <c r="A464" s="2635"/>
      <c r="B464" s="2636"/>
      <c r="C464" s="2637"/>
      <c r="D464" s="2638" t="s">
        <v>11115</v>
      </c>
      <c r="E464" s="2639"/>
      <c r="F464" s="2016">
        <v>300</v>
      </c>
      <c r="G464" s="2640">
        <v>0.00495</v>
      </c>
      <c r="H464" s="2016">
        <f t="shared" si="81"/>
        <v>60606.0606060606</v>
      </c>
      <c r="I464" s="2643">
        <v>300</v>
      </c>
      <c r="J464" s="2641"/>
      <c r="K464" s="2641"/>
      <c r="L464" s="2641"/>
      <c r="M464" s="2641"/>
      <c r="N464" s="2641"/>
      <c r="O464" s="2641">
        <v>47</v>
      </c>
      <c r="P464" s="2641"/>
      <c r="Q464" s="2641">
        <v>50</v>
      </c>
      <c r="R464" s="2641">
        <v>0</v>
      </c>
      <c r="S464" s="2641"/>
      <c r="T464" s="2641">
        <v>49</v>
      </c>
      <c r="U464" s="2641">
        <v>50</v>
      </c>
      <c r="V464" s="2633">
        <f t="shared" si="83"/>
        <v>496</v>
      </c>
      <c r="W464" s="2642">
        <f t="shared" si="82"/>
        <v>100200</v>
      </c>
    </row>
    <row r="465" customHeight="1" spans="1:23">
      <c r="A465" s="2635"/>
      <c r="B465" s="2636"/>
      <c r="C465" s="2637"/>
      <c r="D465" s="2638" t="s">
        <v>11116</v>
      </c>
      <c r="E465" s="2639"/>
      <c r="F465" s="2016">
        <v>300</v>
      </c>
      <c r="G465" s="2640">
        <v>0.0184</v>
      </c>
      <c r="H465" s="2016">
        <f t="shared" si="81"/>
        <v>16304.347826087</v>
      </c>
      <c r="I465" s="2643">
        <v>552</v>
      </c>
      <c r="J465" s="2644"/>
      <c r="K465" s="2644">
        <v>184</v>
      </c>
      <c r="L465" s="2645"/>
      <c r="M465" s="2645"/>
      <c r="N465" s="2645">
        <v>184</v>
      </c>
      <c r="O465" s="2645">
        <v>368</v>
      </c>
      <c r="P465" s="2645"/>
      <c r="Q465" s="2645">
        <v>184</v>
      </c>
      <c r="R465" s="2645">
        <v>0</v>
      </c>
      <c r="S465" s="2645"/>
      <c r="T465" s="2645">
        <v>184</v>
      </c>
      <c r="U465" s="2645">
        <v>184</v>
      </c>
      <c r="V465" s="2633">
        <f t="shared" si="83"/>
        <v>1840</v>
      </c>
      <c r="W465" s="2642">
        <f t="shared" si="82"/>
        <v>100000</v>
      </c>
    </row>
    <row r="466" customHeight="1" spans="1:23">
      <c r="A466" s="2635"/>
      <c r="B466" s="2636"/>
      <c r="C466" s="2637"/>
      <c r="D466" s="2638" t="s">
        <v>11117</v>
      </c>
      <c r="E466" s="2639" t="s">
        <v>11118</v>
      </c>
      <c r="F466" s="2016">
        <v>300</v>
      </c>
      <c r="G466" s="2640">
        <v>0.0021</v>
      </c>
      <c r="H466" s="2016">
        <f t="shared" si="81"/>
        <v>142857.142857143</v>
      </c>
      <c r="I466" s="2019">
        <v>150</v>
      </c>
      <c r="J466" s="2641"/>
      <c r="K466" s="2641"/>
      <c r="L466" s="2019"/>
      <c r="M466" s="2641"/>
      <c r="N466" s="2641"/>
      <c r="O466" s="2641"/>
      <c r="P466" s="2019"/>
      <c r="Q466" s="2641">
        <v>18</v>
      </c>
      <c r="R466" s="2641">
        <v>0</v>
      </c>
      <c r="S466" s="2641"/>
      <c r="T466" s="2641">
        <v>21</v>
      </c>
      <c r="U466" s="2641">
        <v>21</v>
      </c>
      <c r="V466" s="2633">
        <f t="shared" si="83"/>
        <v>210</v>
      </c>
      <c r="W466" s="2642">
        <f t="shared" si="82"/>
        <v>100000</v>
      </c>
    </row>
    <row r="467" customHeight="1" spans="1:23">
      <c r="A467" s="2635"/>
      <c r="B467" s="2646"/>
      <c r="C467" s="2647"/>
      <c r="D467" s="2648" t="s">
        <v>10788</v>
      </c>
      <c r="E467" s="2649"/>
      <c r="F467" s="2039"/>
      <c r="G467" s="2650">
        <v>1</v>
      </c>
      <c r="H467" s="2039">
        <f t="shared" si="81"/>
        <v>0</v>
      </c>
      <c r="I467" s="2050">
        <v>30000</v>
      </c>
      <c r="J467" s="2651"/>
      <c r="K467" s="2651">
        <v>10000</v>
      </c>
      <c r="L467" s="2050"/>
      <c r="M467" s="2652"/>
      <c r="N467" s="2652">
        <v>10000</v>
      </c>
      <c r="O467" s="2652">
        <v>20000</v>
      </c>
      <c r="P467" s="2050"/>
      <c r="Q467" s="2652">
        <v>10000</v>
      </c>
      <c r="R467" s="2652">
        <v>0</v>
      </c>
      <c r="S467" s="2652"/>
      <c r="T467" s="2652">
        <v>10000</v>
      </c>
      <c r="U467" s="2652">
        <v>10000</v>
      </c>
      <c r="V467" s="2633">
        <f t="shared" si="83"/>
        <v>100000</v>
      </c>
      <c r="W467" s="2653">
        <f t="shared" si="82"/>
        <v>100000</v>
      </c>
    </row>
    <row r="468" customHeight="1" spans="1:23">
      <c r="A468" s="2635"/>
      <c r="B468" s="2628" t="s">
        <v>11119</v>
      </c>
      <c r="C468" s="2629">
        <v>10</v>
      </c>
      <c r="D468" s="2630" t="s">
        <v>11106</v>
      </c>
      <c r="E468" s="2631" t="s">
        <v>11107</v>
      </c>
      <c r="F468" s="2003">
        <v>800</v>
      </c>
      <c r="G468" s="2632">
        <v>0.0189</v>
      </c>
      <c r="H468" s="2003">
        <f t="shared" si="81"/>
        <v>42328.0423280423</v>
      </c>
      <c r="I468" s="2006">
        <v>567</v>
      </c>
      <c r="J468" s="2006">
        <v>662</v>
      </c>
      <c r="K468" s="2006">
        <v>945</v>
      </c>
      <c r="L468" s="2006">
        <v>945</v>
      </c>
      <c r="M468" s="2006">
        <v>661</v>
      </c>
      <c r="N468" s="2006">
        <v>756</v>
      </c>
      <c r="O468" s="2006">
        <v>756</v>
      </c>
      <c r="P468" s="2006">
        <v>567</v>
      </c>
      <c r="Q468" s="2006">
        <v>1040</v>
      </c>
      <c r="R468" s="2006">
        <v>567</v>
      </c>
      <c r="S468" s="2006">
        <v>567</v>
      </c>
      <c r="T468" s="2006">
        <v>567</v>
      </c>
      <c r="U468" s="2006">
        <v>605</v>
      </c>
      <c r="V468" s="2633">
        <f t="shared" si="83"/>
        <v>9205</v>
      </c>
      <c r="W468" s="2634">
        <f t="shared" si="82"/>
        <v>487040</v>
      </c>
    </row>
    <row r="469" customHeight="1" spans="1:23">
      <c r="A469" s="2635"/>
      <c r="B469" s="2636"/>
      <c r="C469" s="2637"/>
      <c r="D469" s="2638" t="s">
        <v>11106</v>
      </c>
      <c r="E469" s="2639" t="s">
        <v>11107</v>
      </c>
      <c r="F469" s="2016">
        <v>800</v>
      </c>
      <c r="G469" s="2640">
        <v>0.017</v>
      </c>
      <c r="H469" s="2016">
        <f t="shared" si="81"/>
        <v>47058.8235294118</v>
      </c>
      <c r="I469" s="2019">
        <v>510</v>
      </c>
      <c r="J469" s="2641">
        <v>595</v>
      </c>
      <c r="K469" s="2641">
        <v>850</v>
      </c>
      <c r="L469" s="2641">
        <v>850</v>
      </c>
      <c r="M469" s="2641">
        <v>595</v>
      </c>
      <c r="N469" s="2641">
        <v>680</v>
      </c>
      <c r="O469" s="2641">
        <v>680</v>
      </c>
      <c r="P469" s="2641">
        <v>510</v>
      </c>
      <c r="Q469" s="2641">
        <v>935</v>
      </c>
      <c r="R469" s="2641">
        <v>511</v>
      </c>
      <c r="S469" s="2641">
        <v>510</v>
      </c>
      <c r="T469" s="2641">
        <v>510</v>
      </c>
      <c r="U469" s="2641">
        <v>543</v>
      </c>
      <c r="V469" s="2633">
        <f t="shared" si="83"/>
        <v>8279</v>
      </c>
      <c r="W469" s="2642">
        <f t="shared" si="82"/>
        <v>487000</v>
      </c>
    </row>
    <row r="470" customHeight="1" spans="1:23">
      <c r="A470" s="2635"/>
      <c r="B470" s="2636"/>
      <c r="C470" s="2637"/>
      <c r="D470" s="2638" t="s">
        <v>11108</v>
      </c>
      <c r="E470" s="2639" t="s">
        <v>11107</v>
      </c>
      <c r="F470" s="2016">
        <v>800</v>
      </c>
      <c r="G470" s="2640">
        <v>0.0115</v>
      </c>
      <c r="H470" s="2016">
        <f t="shared" si="81"/>
        <v>69565.2173913044</v>
      </c>
      <c r="I470" s="2019">
        <v>345</v>
      </c>
      <c r="J470" s="2641">
        <v>403</v>
      </c>
      <c r="K470" s="2641">
        <v>575</v>
      </c>
      <c r="L470" s="2641">
        <v>575</v>
      </c>
      <c r="M470" s="2641">
        <v>402</v>
      </c>
      <c r="N470" s="2641">
        <v>460</v>
      </c>
      <c r="O470" s="2641">
        <v>460</v>
      </c>
      <c r="P470" s="2641">
        <v>345</v>
      </c>
      <c r="Q470" s="2641">
        <v>633</v>
      </c>
      <c r="R470" s="2641">
        <v>345</v>
      </c>
      <c r="S470" s="2641">
        <v>345</v>
      </c>
      <c r="T470" s="2641">
        <v>345</v>
      </c>
      <c r="U470" s="2641">
        <v>368</v>
      </c>
      <c r="V470" s="2633">
        <f t="shared" si="83"/>
        <v>5601</v>
      </c>
      <c r="W470" s="2642">
        <f t="shared" si="82"/>
        <v>487040</v>
      </c>
    </row>
    <row r="471" customHeight="1" spans="1:23">
      <c r="A471" s="2635"/>
      <c r="B471" s="2636"/>
      <c r="C471" s="2637"/>
      <c r="D471" s="2638" t="s">
        <v>11120</v>
      </c>
      <c r="E471" s="2639" t="s">
        <v>11110</v>
      </c>
      <c r="F471" s="2016">
        <v>500</v>
      </c>
      <c r="G471" s="2640">
        <v>0.0142</v>
      </c>
      <c r="H471" s="2016">
        <f t="shared" si="81"/>
        <v>35211.2676056338</v>
      </c>
      <c r="I471" s="2019">
        <v>426</v>
      </c>
      <c r="J471" s="2641">
        <v>497</v>
      </c>
      <c r="K471" s="2641">
        <v>710</v>
      </c>
      <c r="L471" s="2641">
        <v>710</v>
      </c>
      <c r="M471" s="2641">
        <v>497</v>
      </c>
      <c r="N471" s="2641">
        <v>568</v>
      </c>
      <c r="O471" s="2641">
        <v>568</v>
      </c>
      <c r="P471" s="2641">
        <v>426</v>
      </c>
      <c r="Q471" s="2641">
        <v>781</v>
      </c>
      <c r="R471" s="2641">
        <v>426</v>
      </c>
      <c r="S471" s="2641">
        <v>426</v>
      </c>
      <c r="T471" s="2641">
        <v>426</v>
      </c>
      <c r="U471" s="2641">
        <v>455</v>
      </c>
      <c r="V471" s="2633">
        <f t="shared" si="83"/>
        <v>6916</v>
      </c>
      <c r="W471" s="2642">
        <f t="shared" si="82"/>
        <v>487040</v>
      </c>
    </row>
    <row r="472" customHeight="1" spans="1:23">
      <c r="A472" s="2635"/>
      <c r="B472" s="2636"/>
      <c r="C472" s="2637"/>
      <c r="D472" s="2638" t="s">
        <v>11121</v>
      </c>
      <c r="E472" s="2639"/>
      <c r="F472" s="2016">
        <v>500</v>
      </c>
      <c r="G472" s="2640">
        <v>0.0066</v>
      </c>
      <c r="H472" s="2016">
        <f t="shared" si="81"/>
        <v>75757.5757575758</v>
      </c>
      <c r="I472" s="2643">
        <v>500</v>
      </c>
      <c r="J472" s="2644"/>
      <c r="K472" s="2644">
        <v>259</v>
      </c>
      <c r="L472" s="2644">
        <v>500</v>
      </c>
      <c r="M472" s="2644">
        <v>61</v>
      </c>
      <c r="N472" s="2644">
        <v>264</v>
      </c>
      <c r="O472" s="2644">
        <v>264</v>
      </c>
      <c r="P472" s="2644">
        <v>198</v>
      </c>
      <c r="Q472" s="2644">
        <v>363</v>
      </c>
      <c r="R472" s="2644">
        <v>198</v>
      </c>
      <c r="S472" s="2644">
        <v>198</v>
      </c>
      <c r="T472" s="2644">
        <v>198</v>
      </c>
      <c r="U472" s="2644">
        <v>212</v>
      </c>
      <c r="V472" s="2633">
        <f t="shared" si="83"/>
        <v>3215</v>
      </c>
      <c r="W472" s="2642">
        <f t="shared" si="82"/>
        <v>487120</v>
      </c>
    </row>
    <row r="473" customHeight="1" spans="1:23">
      <c r="A473" s="2635"/>
      <c r="B473" s="2636"/>
      <c r="C473" s="2637"/>
      <c r="D473" s="2638" t="s">
        <v>11122</v>
      </c>
      <c r="E473" s="2639"/>
      <c r="F473" s="2016">
        <v>500</v>
      </c>
      <c r="G473" s="2640">
        <v>0.0028</v>
      </c>
      <c r="H473" s="2016">
        <f t="shared" si="81"/>
        <v>178571.428571429</v>
      </c>
      <c r="I473" s="2643">
        <v>500</v>
      </c>
      <c r="J473" s="2641"/>
      <c r="K473" s="2641"/>
      <c r="L473" s="2641"/>
      <c r="M473" s="2641">
        <v>60</v>
      </c>
      <c r="N473" s="2641">
        <v>112</v>
      </c>
      <c r="O473" s="2641">
        <v>112</v>
      </c>
      <c r="P473" s="2641">
        <v>84</v>
      </c>
      <c r="Q473" s="2641">
        <v>154</v>
      </c>
      <c r="R473" s="2641">
        <v>84</v>
      </c>
      <c r="S473" s="2641">
        <v>84</v>
      </c>
      <c r="T473" s="2641">
        <v>84</v>
      </c>
      <c r="U473" s="2641">
        <v>90</v>
      </c>
      <c r="V473" s="2633">
        <f t="shared" si="83"/>
        <v>1364</v>
      </c>
      <c r="W473" s="2642">
        <f t="shared" si="82"/>
        <v>487140</v>
      </c>
    </row>
    <row r="474" customHeight="1" spans="1:23">
      <c r="A474" s="2635"/>
      <c r="B474" s="2636"/>
      <c r="C474" s="2637"/>
      <c r="D474" s="2638" t="s">
        <v>11123</v>
      </c>
      <c r="E474" s="2639"/>
      <c r="F474" s="2016">
        <v>300</v>
      </c>
      <c r="G474" s="2640">
        <v>0.00495</v>
      </c>
      <c r="H474" s="2016">
        <f t="shared" si="81"/>
        <v>60606.0606060606</v>
      </c>
      <c r="I474" s="2643">
        <v>300</v>
      </c>
      <c r="J474" s="2641">
        <v>22</v>
      </c>
      <c r="K474" s="2641">
        <v>248</v>
      </c>
      <c r="L474" s="2641">
        <v>300</v>
      </c>
      <c r="M474" s="2641">
        <v>120</v>
      </c>
      <c r="N474" s="2641">
        <v>198</v>
      </c>
      <c r="O474" s="2641">
        <v>198</v>
      </c>
      <c r="P474" s="2641">
        <v>149</v>
      </c>
      <c r="Q474" s="2641">
        <v>272</v>
      </c>
      <c r="R474" s="2641">
        <v>149</v>
      </c>
      <c r="S474" s="2641">
        <v>148</v>
      </c>
      <c r="T474" s="2641">
        <v>149</v>
      </c>
      <c r="U474" s="2641">
        <v>158</v>
      </c>
      <c r="V474" s="2633">
        <f t="shared" si="83"/>
        <v>2411</v>
      </c>
      <c r="W474" s="2642">
        <f t="shared" si="82"/>
        <v>487070</v>
      </c>
    </row>
    <row r="475" customHeight="1" spans="1:23">
      <c r="A475" s="2635"/>
      <c r="B475" s="2636"/>
      <c r="C475" s="2637"/>
      <c r="D475" s="2638" t="s">
        <v>11124</v>
      </c>
      <c r="E475" s="2639"/>
      <c r="F475" s="2016">
        <v>300</v>
      </c>
      <c r="G475" s="2640">
        <v>0.0184</v>
      </c>
      <c r="H475" s="2016">
        <f t="shared" si="81"/>
        <v>16304.347826087</v>
      </c>
      <c r="I475" s="2019">
        <v>552</v>
      </c>
      <c r="J475" s="2641">
        <v>644</v>
      </c>
      <c r="K475" s="2641">
        <v>920</v>
      </c>
      <c r="L475" s="2641">
        <v>920</v>
      </c>
      <c r="M475" s="2641">
        <v>644</v>
      </c>
      <c r="N475" s="2641">
        <v>736</v>
      </c>
      <c r="O475" s="2641">
        <v>736</v>
      </c>
      <c r="P475" s="2641">
        <v>552</v>
      </c>
      <c r="Q475" s="2641">
        <v>1012</v>
      </c>
      <c r="R475" s="2641">
        <v>552</v>
      </c>
      <c r="S475" s="2641">
        <v>552</v>
      </c>
      <c r="T475" s="2641">
        <v>552</v>
      </c>
      <c r="U475" s="2641">
        <v>589</v>
      </c>
      <c r="V475" s="2633">
        <f t="shared" si="83"/>
        <v>8961</v>
      </c>
      <c r="W475" s="2642">
        <f t="shared" si="82"/>
        <v>487010</v>
      </c>
    </row>
    <row r="476" customHeight="1" spans="1:23">
      <c r="A476" s="2635"/>
      <c r="B476" s="2636"/>
      <c r="C476" s="2637"/>
      <c r="D476" s="2638" t="s">
        <v>11125</v>
      </c>
      <c r="E476" s="2639"/>
      <c r="F476" s="2016">
        <v>300</v>
      </c>
      <c r="G476" s="2640">
        <v>0.0021</v>
      </c>
      <c r="H476" s="2016">
        <f t="shared" si="81"/>
        <v>142857.142857143</v>
      </c>
      <c r="I476" s="2643">
        <v>300</v>
      </c>
      <c r="J476" s="2641"/>
      <c r="K476" s="2641"/>
      <c r="L476" s="2641">
        <v>300</v>
      </c>
      <c r="M476" s="2641"/>
      <c r="N476" s="2641"/>
      <c r="O476" s="2641"/>
      <c r="P476" s="2641">
        <v>51</v>
      </c>
      <c r="Q476" s="2641">
        <v>116</v>
      </c>
      <c r="R476" s="2641">
        <v>63</v>
      </c>
      <c r="S476" s="2641">
        <v>63</v>
      </c>
      <c r="T476" s="2641">
        <v>63</v>
      </c>
      <c r="U476" s="2641">
        <v>67</v>
      </c>
      <c r="V476" s="2633">
        <f t="shared" si="83"/>
        <v>1023</v>
      </c>
      <c r="W476" s="2642">
        <f t="shared" si="82"/>
        <v>487140</v>
      </c>
    </row>
    <row r="477" customHeight="1" spans="1:23">
      <c r="A477" s="2635"/>
      <c r="B477" s="2646"/>
      <c r="C477" s="2647"/>
      <c r="D477" s="2648" t="s">
        <v>10788</v>
      </c>
      <c r="E477" s="2649"/>
      <c r="F477" s="2039"/>
      <c r="G477" s="2650">
        <v>1</v>
      </c>
      <c r="H477" s="2039">
        <f t="shared" si="81"/>
        <v>0</v>
      </c>
      <c r="I477" s="2050">
        <v>30000</v>
      </c>
      <c r="J477" s="2651">
        <v>35000</v>
      </c>
      <c r="K477" s="2651">
        <v>50000</v>
      </c>
      <c r="L477" s="2651">
        <v>50000</v>
      </c>
      <c r="M477" s="2652">
        <v>35000</v>
      </c>
      <c r="N477" s="2652">
        <v>40000</v>
      </c>
      <c r="O477" s="2652">
        <v>40000</v>
      </c>
      <c r="P477" s="2651">
        <v>30000</v>
      </c>
      <c r="Q477" s="2652">
        <v>55000</v>
      </c>
      <c r="R477" s="2652">
        <v>30000</v>
      </c>
      <c r="S477" s="2652">
        <v>30000</v>
      </c>
      <c r="T477" s="2652">
        <v>30000</v>
      </c>
      <c r="U477" s="2652">
        <v>32000</v>
      </c>
      <c r="V477" s="2633">
        <f t="shared" si="83"/>
        <v>487000</v>
      </c>
      <c r="W477" s="2653">
        <f t="shared" si="82"/>
        <v>487000</v>
      </c>
    </row>
    <row r="478" customHeight="1" spans="1:23">
      <c r="A478" s="2635"/>
      <c r="B478" s="2628" t="s">
        <v>11126</v>
      </c>
      <c r="C478" s="2629">
        <v>10</v>
      </c>
      <c r="D478" s="2630" t="s">
        <v>11127</v>
      </c>
      <c r="E478" s="2631"/>
      <c r="F478" s="2003">
        <v>800</v>
      </c>
      <c r="G478" s="2632">
        <v>0.0408</v>
      </c>
      <c r="H478" s="2003">
        <f t="shared" si="81"/>
        <v>19607.8431372549</v>
      </c>
      <c r="I478" s="2006">
        <v>1224</v>
      </c>
      <c r="J478" s="2006">
        <v>1428</v>
      </c>
      <c r="K478" s="2006">
        <v>2040</v>
      </c>
      <c r="L478" s="2006">
        <v>2040</v>
      </c>
      <c r="M478" s="2006">
        <v>1428</v>
      </c>
      <c r="N478" s="2006">
        <v>1632</v>
      </c>
      <c r="O478" s="2006">
        <v>1632</v>
      </c>
      <c r="P478" s="2006">
        <v>1224</v>
      </c>
      <c r="Q478" s="2006">
        <v>2081</v>
      </c>
      <c r="R478" s="2006">
        <v>1224</v>
      </c>
      <c r="S478" s="2006">
        <v>1224</v>
      </c>
      <c r="T478" s="2006">
        <v>1224</v>
      </c>
      <c r="U478" s="2006">
        <v>1306</v>
      </c>
      <c r="V478" s="2633">
        <f t="shared" si="83"/>
        <v>19707</v>
      </c>
      <c r="W478" s="2634">
        <f t="shared" si="82"/>
        <v>483010</v>
      </c>
    </row>
    <row r="479" customHeight="1" spans="1:23">
      <c r="A479" s="2635"/>
      <c r="B479" s="2636"/>
      <c r="C479" s="2637"/>
      <c r="D479" s="2638" t="s">
        <v>11120</v>
      </c>
      <c r="E479" s="2639" t="s">
        <v>11110</v>
      </c>
      <c r="F479" s="2016">
        <v>500</v>
      </c>
      <c r="G479" s="2640">
        <v>0.0208</v>
      </c>
      <c r="H479" s="2016">
        <f t="shared" si="81"/>
        <v>24038.4615384615</v>
      </c>
      <c r="I479" s="2643">
        <v>624</v>
      </c>
      <c r="J479" s="2644">
        <v>728</v>
      </c>
      <c r="K479" s="2644">
        <v>1040</v>
      </c>
      <c r="L479" s="2643">
        <v>1040</v>
      </c>
      <c r="M479" s="2644">
        <v>728</v>
      </c>
      <c r="N479" s="2644">
        <v>832</v>
      </c>
      <c r="O479" s="2644">
        <v>832</v>
      </c>
      <c r="P479" s="2643">
        <v>624</v>
      </c>
      <c r="Q479" s="2644">
        <v>1061</v>
      </c>
      <c r="R479" s="2644">
        <v>624</v>
      </c>
      <c r="S479" s="2644">
        <v>624</v>
      </c>
      <c r="T479" s="2644">
        <v>624</v>
      </c>
      <c r="U479" s="2644">
        <v>666</v>
      </c>
      <c r="V479" s="2633">
        <f t="shared" si="83"/>
        <v>10047</v>
      </c>
      <c r="W479" s="2642">
        <f t="shared" si="82"/>
        <v>483030</v>
      </c>
    </row>
    <row r="480" customHeight="1" spans="1:23">
      <c r="A480" s="2635"/>
      <c r="B480" s="2636"/>
      <c r="C480" s="2637"/>
      <c r="D480" s="2638" t="s">
        <v>11128</v>
      </c>
      <c r="E480" s="2639"/>
      <c r="F480" s="2016">
        <v>500</v>
      </c>
      <c r="G480" s="2640">
        <v>0.0066</v>
      </c>
      <c r="H480" s="2016">
        <f t="shared" si="81"/>
        <v>75757.5757575758</v>
      </c>
      <c r="I480" s="2643">
        <v>500</v>
      </c>
      <c r="J480" s="2644"/>
      <c r="K480" s="2644">
        <v>259</v>
      </c>
      <c r="L480" s="2643">
        <v>500</v>
      </c>
      <c r="M480" s="2644">
        <v>61</v>
      </c>
      <c r="N480" s="2644">
        <v>264</v>
      </c>
      <c r="O480" s="2644">
        <v>264</v>
      </c>
      <c r="P480" s="2643">
        <v>198</v>
      </c>
      <c r="Q480" s="2644">
        <v>337</v>
      </c>
      <c r="R480" s="2644">
        <v>198</v>
      </c>
      <c r="S480" s="2644">
        <v>198</v>
      </c>
      <c r="T480" s="2644">
        <v>198</v>
      </c>
      <c r="U480" s="2644">
        <v>211</v>
      </c>
      <c r="V480" s="2633">
        <f t="shared" si="83"/>
        <v>3188</v>
      </c>
      <c r="W480" s="2642">
        <f t="shared" si="82"/>
        <v>483030</v>
      </c>
    </row>
    <row r="481" customHeight="1" spans="1:23">
      <c r="A481" s="2635"/>
      <c r="B481" s="2636"/>
      <c r="C481" s="2637"/>
      <c r="D481" s="2638" t="s">
        <v>11129</v>
      </c>
      <c r="E481" s="2639"/>
      <c r="F481" s="2016">
        <v>300</v>
      </c>
      <c r="G481" s="2640">
        <v>0.0028</v>
      </c>
      <c r="H481" s="2016">
        <f t="shared" si="81"/>
        <v>107142.857142857</v>
      </c>
      <c r="I481" s="2643">
        <v>300</v>
      </c>
      <c r="J481" s="2641"/>
      <c r="K481" s="2641">
        <v>22</v>
      </c>
      <c r="L481" s="2019">
        <v>140</v>
      </c>
      <c r="M481" s="2641">
        <v>98</v>
      </c>
      <c r="N481" s="2641">
        <v>112</v>
      </c>
      <c r="O481" s="2641">
        <v>112</v>
      </c>
      <c r="P481" s="2019">
        <v>84</v>
      </c>
      <c r="Q481" s="2641">
        <v>143</v>
      </c>
      <c r="R481" s="2641">
        <v>84</v>
      </c>
      <c r="S481" s="2641">
        <v>84</v>
      </c>
      <c r="T481" s="2641">
        <v>84</v>
      </c>
      <c r="U481" s="2641">
        <v>90</v>
      </c>
      <c r="V481" s="2633">
        <f t="shared" si="83"/>
        <v>1353</v>
      </c>
      <c r="W481" s="2642">
        <f t="shared" si="82"/>
        <v>483210</v>
      </c>
    </row>
    <row r="482" customHeight="1" spans="1:23">
      <c r="A482" s="2635"/>
      <c r="B482" s="2636"/>
      <c r="C482" s="2637"/>
      <c r="D482" s="2638" t="s">
        <v>11130</v>
      </c>
      <c r="E482" s="2639"/>
      <c r="F482" s="2016">
        <v>300</v>
      </c>
      <c r="G482" s="2640">
        <v>0.00495</v>
      </c>
      <c r="H482" s="2016">
        <f t="shared" si="81"/>
        <v>60606.0606060606</v>
      </c>
      <c r="I482" s="2643">
        <v>300</v>
      </c>
      <c r="J482" s="2641">
        <v>22</v>
      </c>
      <c r="K482" s="2641">
        <v>248</v>
      </c>
      <c r="L482" s="2019">
        <v>300</v>
      </c>
      <c r="M482" s="2641">
        <v>120</v>
      </c>
      <c r="N482" s="2641">
        <v>198</v>
      </c>
      <c r="O482" s="2641">
        <v>198</v>
      </c>
      <c r="P482" s="2019">
        <v>149</v>
      </c>
      <c r="Q482" s="2641">
        <v>252</v>
      </c>
      <c r="R482" s="2641">
        <v>149</v>
      </c>
      <c r="S482" s="2641">
        <v>148</v>
      </c>
      <c r="T482" s="2641">
        <v>149</v>
      </c>
      <c r="U482" s="2641">
        <v>158</v>
      </c>
      <c r="V482" s="2633">
        <f t="shared" si="83"/>
        <v>2391</v>
      </c>
      <c r="W482" s="2642">
        <f t="shared" si="82"/>
        <v>483030</v>
      </c>
    </row>
    <row r="483" customHeight="1" spans="1:23">
      <c r="A483" s="2635"/>
      <c r="B483" s="2636"/>
      <c r="C483" s="2637"/>
      <c r="D483" s="2638" t="s">
        <v>11131</v>
      </c>
      <c r="E483" s="2639"/>
      <c r="F483" s="2016">
        <v>300</v>
      </c>
      <c r="G483" s="2640">
        <v>0.0184</v>
      </c>
      <c r="H483" s="2016">
        <f t="shared" si="81"/>
        <v>16304.347826087</v>
      </c>
      <c r="I483" s="2019">
        <v>552</v>
      </c>
      <c r="J483" s="2644">
        <v>644</v>
      </c>
      <c r="K483" s="2644">
        <v>920</v>
      </c>
      <c r="L483" s="2643">
        <v>920</v>
      </c>
      <c r="M483" s="2644">
        <v>644</v>
      </c>
      <c r="N483" s="2644">
        <v>736</v>
      </c>
      <c r="O483" s="2644">
        <v>736</v>
      </c>
      <c r="P483" s="2643">
        <v>552</v>
      </c>
      <c r="Q483" s="2644">
        <v>939</v>
      </c>
      <c r="R483" s="2644">
        <v>552</v>
      </c>
      <c r="S483" s="2644">
        <v>552</v>
      </c>
      <c r="T483" s="2644">
        <v>552</v>
      </c>
      <c r="U483" s="2644">
        <v>589</v>
      </c>
      <c r="V483" s="2633">
        <f t="shared" si="83"/>
        <v>8888</v>
      </c>
      <c r="W483" s="2642">
        <f t="shared" si="82"/>
        <v>483040</v>
      </c>
    </row>
    <row r="484" customHeight="1" spans="1:23">
      <c r="A484" s="2635"/>
      <c r="B484" s="2636"/>
      <c r="C484" s="2637"/>
      <c r="D484" s="2638" t="s">
        <v>11132</v>
      </c>
      <c r="E484" s="2639"/>
      <c r="F484" s="2016">
        <v>300</v>
      </c>
      <c r="G484" s="2640">
        <v>0.0021</v>
      </c>
      <c r="H484" s="2016">
        <f t="shared" si="81"/>
        <v>142857.142857143</v>
      </c>
      <c r="I484" s="2643">
        <v>300</v>
      </c>
      <c r="J484" s="2641"/>
      <c r="K484" s="2641"/>
      <c r="L484" s="2019">
        <v>300</v>
      </c>
      <c r="M484" s="2641"/>
      <c r="N484" s="2641"/>
      <c r="O484" s="2641"/>
      <c r="P484" s="2019">
        <v>51</v>
      </c>
      <c r="Q484" s="2641">
        <v>108</v>
      </c>
      <c r="R484" s="2641">
        <v>63</v>
      </c>
      <c r="S484" s="2641">
        <v>63</v>
      </c>
      <c r="T484" s="2641">
        <v>63</v>
      </c>
      <c r="U484" s="2641">
        <v>67</v>
      </c>
      <c r="V484" s="2633">
        <f t="shared" si="83"/>
        <v>1015</v>
      </c>
      <c r="W484" s="2642">
        <f t="shared" si="82"/>
        <v>483330</v>
      </c>
    </row>
    <row r="485" customHeight="1" spans="1:23">
      <c r="A485" s="2635"/>
      <c r="B485" s="2646"/>
      <c r="C485" s="2647"/>
      <c r="D485" s="2648" t="s">
        <v>10788</v>
      </c>
      <c r="E485" s="2649"/>
      <c r="F485" s="2039"/>
      <c r="G485" s="2650">
        <v>1</v>
      </c>
      <c r="H485" s="2039">
        <f t="shared" si="81"/>
        <v>0</v>
      </c>
      <c r="I485" s="2050">
        <v>30000</v>
      </c>
      <c r="J485" s="2651">
        <v>35000</v>
      </c>
      <c r="K485" s="2651">
        <v>50000</v>
      </c>
      <c r="L485" s="2651">
        <v>50000</v>
      </c>
      <c r="M485" s="2652">
        <v>35000</v>
      </c>
      <c r="N485" s="2652">
        <v>40000</v>
      </c>
      <c r="O485" s="2652">
        <v>40000</v>
      </c>
      <c r="P485" s="2651">
        <v>30000</v>
      </c>
      <c r="Q485" s="2652">
        <v>51000</v>
      </c>
      <c r="R485" s="2652">
        <v>30000</v>
      </c>
      <c r="S485" s="2652">
        <v>30000</v>
      </c>
      <c r="T485" s="2652">
        <v>30000</v>
      </c>
      <c r="U485" s="2652">
        <v>32000</v>
      </c>
      <c r="V485" s="2633">
        <f t="shared" si="83"/>
        <v>483000</v>
      </c>
      <c r="W485" s="2653">
        <f t="shared" si="82"/>
        <v>483000</v>
      </c>
    </row>
    <row r="486" customHeight="1" spans="1:23">
      <c r="A486" s="2635"/>
      <c r="B486" s="2654" t="s">
        <v>11133</v>
      </c>
      <c r="C486" s="2655">
        <v>8</v>
      </c>
      <c r="D486" s="2656" t="s">
        <v>11134</v>
      </c>
      <c r="E486" s="2657"/>
      <c r="F486" s="2658">
        <v>800</v>
      </c>
      <c r="G486" s="2659">
        <v>0.0164</v>
      </c>
      <c r="H486" s="2658">
        <f t="shared" si="81"/>
        <v>48780.487804878</v>
      </c>
      <c r="I486" s="2660">
        <v>800</v>
      </c>
      <c r="J486" s="2661">
        <v>184</v>
      </c>
      <c r="K486" s="2661">
        <v>656</v>
      </c>
      <c r="L486" s="2661">
        <v>624</v>
      </c>
      <c r="M486" s="2661">
        <v>492</v>
      </c>
      <c r="N486" s="2661">
        <v>492</v>
      </c>
      <c r="O486" s="2661">
        <v>574</v>
      </c>
      <c r="P486" s="2661">
        <v>492</v>
      </c>
      <c r="Q486" s="2661">
        <v>492</v>
      </c>
      <c r="R486" s="2661">
        <v>492</v>
      </c>
      <c r="S486" s="2661">
        <v>328</v>
      </c>
      <c r="T486" s="2661">
        <v>295</v>
      </c>
      <c r="U486" s="2661">
        <v>410</v>
      </c>
      <c r="V486" s="2633">
        <f t="shared" si="83"/>
        <v>6331</v>
      </c>
      <c r="W486" s="2662">
        <f t="shared" si="82"/>
        <v>386040</v>
      </c>
    </row>
    <row r="487" customHeight="1" spans="1:23">
      <c r="A487" s="2635"/>
      <c r="B487" s="2654"/>
      <c r="C487" s="2655"/>
      <c r="D487" s="2638" t="s">
        <v>11135</v>
      </c>
      <c r="E487" s="2639"/>
      <c r="F487" s="2016">
        <v>500</v>
      </c>
      <c r="G487" s="2640">
        <v>0.0051</v>
      </c>
      <c r="H487" s="2016">
        <f t="shared" si="81"/>
        <v>98039.2156862745</v>
      </c>
      <c r="I487" s="2643">
        <v>500</v>
      </c>
      <c r="J487" s="2644"/>
      <c r="K487" s="2644">
        <v>11</v>
      </c>
      <c r="L487" s="2643">
        <v>500</v>
      </c>
      <c r="M487" s="2644"/>
      <c r="N487" s="2644"/>
      <c r="O487" s="2644">
        <v>178</v>
      </c>
      <c r="P487" s="2643">
        <v>153</v>
      </c>
      <c r="Q487" s="2644">
        <v>153</v>
      </c>
      <c r="R487" s="2644">
        <v>153</v>
      </c>
      <c r="S487" s="2644">
        <v>102</v>
      </c>
      <c r="T487" s="2644">
        <v>92</v>
      </c>
      <c r="U487" s="2644">
        <v>127</v>
      </c>
      <c r="V487" s="2633">
        <f t="shared" si="83"/>
        <v>1969</v>
      </c>
      <c r="W487" s="2642">
        <f t="shared" si="82"/>
        <v>386080</v>
      </c>
    </row>
    <row r="488" customHeight="1" spans="1:23">
      <c r="A488" s="2635"/>
      <c r="B488" s="2654"/>
      <c r="C488" s="2655"/>
      <c r="D488" s="2638" t="s">
        <v>11136</v>
      </c>
      <c r="E488" s="2639"/>
      <c r="F488" s="2016">
        <v>800</v>
      </c>
      <c r="G488" s="2640">
        <v>0.0219</v>
      </c>
      <c r="H488" s="2016">
        <f t="shared" si="81"/>
        <v>36529.6803652968</v>
      </c>
      <c r="I488" s="2643">
        <v>800</v>
      </c>
      <c r="J488" s="2641">
        <v>514</v>
      </c>
      <c r="K488" s="2641">
        <v>876</v>
      </c>
      <c r="L488" s="2019">
        <v>833</v>
      </c>
      <c r="M488" s="2641">
        <v>657</v>
      </c>
      <c r="N488" s="2641">
        <v>657</v>
      </c>
      <c r="O488" s="2641">
        <v>766</v>
      </c>
      <c r="P488" s="2019">
        <v>657</v>
      </c>
      <c r="Q488" s="2641">
        <v>657</v>
      </c>
      <c r="R488" s="2641">
        <v>657</v>
      </c>
      <c r="S488" s="2641">
        <v>438</v>
      </c>
      <c r="T488" s="2641">
        <v>394</v>
      </c>
      <c r="U488" s="2641">
        <v>548</v>
      </c>
      <c r="V488" s="2633">
        <f t="shared" si="83"/>
        <v>8454</v>
      </c>
      <c r="W488" s="2642">
        <f t="shared" si="82"/>
        <v>386030</v>
      </c>
    </row>
    <row r="489" customHeight="1" spans="1:23">
      <c r="A489" s="2635"/>
      <c r="B489" s="2654"/>
      <c r="C489" s="2655"/>
      <c r="D489" s="2638" t="s">
        <v>11137</v>
      </c>
      <c r="E489" s="2639"/>
      <c r="F489" s="2016">
        <v>800</v>
      </c>
      <c r="G489" s="2640">
        <v>0.0142</v>
      </c>
      <c r="H489" s="2016">
        <f t="shared" si="81"/>
        <v>56338.0281690141</v>
      </c>
      <c r="I489" s="2643">
        <v>800</v>
      </c>
      <c r="J489" s="2641">
        <v>52</v>
      </c>
      <c r="K489" s="2641">
        <v>568</v>
      </c>
      <c r="L489" s="2019">
        <v>540</v>
      </c>
      <c r="M489" s="2641">
        <v>426</v>
      </c>
      <c r="N489" s="2641">
        <v>426</v>
      </c>
      <c r="O489" s="2641">
        <v>497</v>
      </c>
      <c r="P489" s="2019">
        <v>426</v>
      </c>
      <c r="Q489" s="2641">
        <v>426</v>
      </c>
      <c r="R489" s="2641">
        <v>426</v>
      </c>
      <c r="S489" s="2641">
        <v>284</v>
      </c>
      <c r="T489" s="2641">
        <v>256</v>
      </c>
      <c r="U489" s="2641">
        <v>355</v>
      </c>
      <c r="V489" s="2633">
        <f t="shared" ref="V489:V529" si="84">SUM(I489:U489)</f>
        <v>5482</v>
      </c>
      <c r="W489" s="2642">
        <f t="shared" si="82"/>
        <v>386060</v>
      </c>
    </row>
    <row r="490" customHeight="1" spans="1:23">
      <c r="A490" s="2635"/>
      <c r="B490" s="2654"/>
      <c r="C490" s="2655"/>
      <c r="D490" s="2638" t="s">
        <v>11120</v>
      </c>
      <c r="E490" s="2639" t="s">
        <v>11110</v>
      </c>
      <c r="F490" s="2016">
        <v>500</v>
      </c>
      <c r="G490" s="2640">
        <v>0.0038</v>
      </c>
      <c r="H490" s="2016">
        <f t="shared" si="81"/>
        <v>131578.947368421</v>
      </c>
      <c r="I490" s="2019">
        <v>114</v>
      </c>
      <c r="J490" s="2641">
        <v>114</v>
      </c>
      <c r="K490" s="2641">
        <v>152</v>
      </c>
      <c r="L490" s="2019">
        <v>145</v>
      </c>
      <c r="M490" s="2641">
        <v>114</v>
      </c>
      <c r="N490" s="2641">
        <v>114</v>
      </c>
      <c r="O490" s="2641">
        <v>133</v>
      </c>
      <c r="P490" s="2019">
        <v>114</v>
      </c>
      <c r="Q490" s="2641">
        <v>114</v>
      </c>
      <c r="R490" s="2641">
        <v>114</v>
      </c>
      <c r="S490" s="2641">
        <v>76</v>
      </c>
      <c r="T490" s="2641">
        <v>68</v>
      </c>
      <c r="U490" s="2641">
        <v>95</v>
      </c>
      <c r="V490" s="2633">
        <f t="shared" si="84"/>
        <v>1467</v>
      </c>
      <c r="W490" s="2642">
        <f t="shared" si="82"/>
        <v>386050</v>
      </c>
    </row>
    <row r="491" customHeight="1" spans="1:23">
      <c r="A491" s="2635"/>
      <c r="B491" s="2654"/>
      <c r="C491" s="2655"/>
      <c r="D491" s="2638" t="s">
        <v>11138</v>
      </c>
      <c r="E491" s="2639"/>
      <c r="F491" s="2016">
        <v>500</v>
      </c>
      <c r="G491" s="2640">
        <v>0.0066</v>
      </c>
      <c r="H491" s="2016">
        <f t="shared" si="81"/>
        <v>75757.5757575758</v>
      </c>
      <c r="I491" s="2643">
        <v>500</v>
      </c>
      <c r="J491" s="2644"/>
      <c r="K491" s="2644">
        <v>160</v>
      </c>
      <c r="L491" s="2643">
        <v>500</v>
      </c>
      <c r="M491" s="2644"/>
      <c r="N491" s="2644">
        <v>147</v>
      </c>
      <c r="O491" s="2644">
        <v>231</v>
      </c>
      <c r="P491" s="2643">
        <v>198</v>
      </c>
      <c r="Q491" s="2644">
        <v>198</v>
      </c>
      <c r="R491" s="2644">
        <v>198</v>
      </c>
      <c r="S491" s="2644">
        <v>132</v>
      </c>
      <c r="T491" s="2644">
        <v>119</v>
      </c>
      <c r="U491" s="2644">
        <v>165</v>
      </c>
      <c r="V491" s="2633">
        <f t="shared" si="84"/>
        <v>2548</v>
      </c>
      <c r="W491" s="2642">
        <f t="shared" si="82"/>
        <v>386060</v>
      </c>
    </row>
    <row r="492" customHeight="1" spans="1:23">
      <c r="A492" s="2635"/>
      <c r="B492" s="2654"/>
      <c r="C492" s="2655"/>
      <c r="D492" s="2638" t="s">
        <v>11139</v>
      </c>
      <c r="E492" s="2639"/>
      <c r="F492" s="2016">
        <v>300</v>
      </c>
      <c r="G492" s="2640">
        <v>0.00495</v>
      </c>
      <c r="H492" s="2016">
        <f t="shared" si="81"/>
        <v>60606.0606060606</v>
      </c>
      <c r="I492" s="2643">
        <v>300</v>
      </c>
      <c r="J492" s="2644"/>
      <c r="K492" s="2644">
        <v>195</v>
      </c>
      <c r="L492" s="2643">
        <v>189</v>
      </c>
      <c r="M492" s="2644">
        <v>148</v>
      </c>
      <c r="N492" s="2644">
        <v>149</v>
      </c>
      <c r="O492" s="2644">
        <v>173</v>
      </c>
      <c r="P492" s="2643">
        <v>148</v>
      </c>
      <c r="Q492" s="2644">
        <v>149</v>
      </c>
      <c r="R492" s="2644">
        <v>148</v>
      </c>
      <c r="S492" s="2644">
        <v>99</v>
      </c>
      <c r="T492" s="2644">
        <v>89</v>
      </c>
      <c r="U492" s="2644">
        <v>124</v>
      </c>
      <c r="V492" s="2633">
        <f t="shared" si="84"/>
        <v>1911</v>
      </c>
      <c r="W492" s="2642">
        <f t="shared" si="82"/>
        <v>386060</v>
      </c>
    </row>
    <row r="493" customHeight="1" spans="1:23">
      <c r="A493" s="2635"/>
      <c r="B493" s="2654"/>
      <c r="C493" s="2655"/>
      <c r="D493" s="2638" t="s">
        <v>11140</v>
      </c>
      <c r="E493" s="2639"/>
      <c r="F493" s="2016">
        <v>300</v>
      </c>
      <c r="G493" s="2640">
        <v>0.0184</v>
      </c>
      <c r="H493" s="2016">
        <f t="shared" si="81"/>
        <v>16304.347826087</v>
      </c>
      <c r="I493" s="2019">
        <v>552</v>
      </c>
      <c r="J493" s="2641">
        <v>552</v>
      </c>
      <c r="K493" s="2641">
        <v>736</v>
      </c>
      <c r="L493" s="2019">
        <v>700</v>
      </c>
      <c r="M493" s="2641">
        <v>552</v>
      </c>
      <c r="N493" s="2641">
        <v>552</v>
      </c>
      <c r="O493" s="2641">
        <v>644</v>
      </c>
      <c r="P493" s="2019">
        <v>552</v>
      </c>
      <c r="Q493" s="2641">
        <v>552</v>
      </c>
      <c r="R493" s="2641">
        <v>552</v>
      </c>
      <c r="S493" s="2641">
        <v>368</v>
      </c>
      <c r="T493" s="2641">
        <v>331</v>
      </c>
      <c r="U493" s="2641">
        <v>460</v>
      </c>
      <c r="V493" s="2633">
        <f t="shared" si="84"/>
        <v>7103</v>
      </c>
      <c r="W493" s="2642">
        <f t="shared" si="82"/>
        <v>386030</v>
      </c>
    </row>
    <row r="494" customHeight="1" spans="1:23">
      <c r="A494" s="2635"/>
      <c r="B494" s="2654"/>
      <c r="C494" s="2655"/>
      <c r="D494" s="2638" t="s">
        <v>11117</v>
      </c>
      <c r="E494" s="2639" t="s">
        <v>11118</v>
      </c>
      <c r="F494" s="2016">
        <v>300</v>
      </c>
      <c r="G494" s="2640">
        <v>0.0021</v>
      </c>
      <c r="H494" s="2016">
        <f t="shared" si="81"/>
        <v>142857.142857143</v>
      </c>
      <c r="I494" s="2019">
        <v>150</v>
      </c>
      <c r="J494" s="2641"/>
      <c r="K494" s="2641">
        <v>300</v>
      </c>
      <c r="L494" s="2641"/>
      <c r="M494" s="2641"/>
      <c r="N494" s="2641"/>
      <c r="O494" s="2641">
        <v>40</v>
      </c>
      <c r="P494" s="2641">
        <v>63</v>
      </c>
      <c r="Q494" s="2641">
        <v>63</v>
      </c>
      <c r="R494" s="2641">
        <v>63</v>
      </c>
      <c r="S494" s="2641">
        <v>42</v>
      </c>
      <c r="T494" s="2641">
        <v>38</v>
      </c>
      <c r="U494" s="2641">
        <v>52</v>
      </c>
      <c r="V494" s="2633">
        <f t="shared" si="84"/>
        <v>811</v>
      </c>
      <c r="W494" s="2642">
        <f t="shared" si="82"/>
        <v>386190</v>
      </c>
    </row>
    <row r="495" customHeight="1" spans="1:23">
      <c r="A495" s="2635"/>
      <c r="B495" s="2663"/>
      <c r="C495" s="2664"/>
      <c r="D495" s="2648" t="s">
        <v>10788</v>
      </c>
      <c r="E495" s="2649"/>
      <c r="F495" s="2039"/>
      <c r="G495" s="2650">
        <v>1</v>
      </c>
      <c r="H495" s="2039">
        <f t="shared" si="81"/>
        <v>0</v>
      </c>
      <c r="I495" s="2050">
        <v>30000</v>
      </c>
      <c r="J495" s="2651">
        <v>30000</v>
      </c>
      <c r="K495" s="2651">
        <v>40000</v>
      </c>
      <c r="L495" s="2651">
        <v>38000</v>
      </c>
      <c r="M495" s="2652">
        <v>30000</v>
      </c>
      <c r="N495" s="2652">
        <v>30000</v>
      </c>
      <c r="O495" s="2652">
        <v>35000</v>
      </c>
      <c r="P495" s="2651">
        <v>30000</v>
      </c>
      <c r="Q495" s="2652">
        <v>30000</v>
      </c>
      <c r="R495" s="2652">
        <v>30000</v>
      </c>
      <c r="S495" s="2652">
        <v>20000</v>
      </c>
      <c r="T495" s="2652">
        <v>18000</v>
      </c>
      <c r="U495" s="2652">
        <v>25000</v>
      </c>
      <c r="V495" s="2633">
        <f t="shared" si="84"/>
        <v>386000</v>
      </c>
      <c r="W495" s="2653">
        <f t="shared" si="82"/>
        <v>386000</v>
      </c>
    </row>
    <row r="496" customHeight="1" spans="1:23">
      <c r="A496" s="2635"/>
      <c r="B496" s="2665" t="s">
        <v>11141</v>
      </c>
      <c r="C496" s="2666">
        <v>10</v>
      </c>
      <c r="D496" s="2630" t="s">
        <v>11142</v>
      </c>
      <c r="E496" s="2631" t="s">
        <v>11107</v>
      </c>
      <c r="F496" s="2667">
        <v>800</v>
      </c>
      <c r="G496" s="2668">
        <v>0.0189</v>
      </c>
      <c r="H496" s="2003">
        <f t="shared" si="81"/>
        <v>42328.0423280423</v>
      </c>
      <c r="I496" s="2006">
        <v>567</v>
      </c>
      <c r="J496" s="2006">
        <v>662</v>
      </c>
      <c r="K496" s="2006">
        <v>945</v>
      </c>
      <c r="L496" s="2006">
        <v>945</v>
      </c>
      <c r="M496" s="2006">
        <v>661</v>
      </c>
      <c r="N496" s="2006">
        <v>756</v>
      </c>
      <c r="O496" s="2006">
        <v>756</v>
      </c>
      <c r="P496" s="2006">
        <v>567</v>
      </c>
      <c r="Q496" s="2006">
        <v>1021</v>
      </c>
      <c r="R496" s="2006">
        <v>567</v>
      </c>
      <c r="S496" s="2006">
        <v>567</v>
      </c>
      <c r="T496" s="2006">
        <v>567</v>
      </c>
      <c r="U496" s="2006">
        <v>510</v>
      </c>
      <c r="V496" s="2633">
        <f t="shared" si="84"/>
        <v>9091</v>
      </c>
      <c r="W496" s="2634">
        <f t="shared" si="82"/>
        <v>481010</v>
      </c>
    </row>
    <row r="497" customHeight="1" spans="1:23">
      <c r="A497" s="2635"/>
      <c r="B497" s="2654"/>
      <c r="C497" s="2655"/>
      <c r="D497" s="2638" t="s">
        <v>11143</v>
      </c>
      <c r="E497" s="2639" t="s">
        <v>11107</v>
      </c>
      <c r="F497" s="2016">
        <v>800</v>
      </c>
      <c r="G497" s="2640">
        <v>0.0219</v>
      </c>
      <c r="H497" s="2016">
        <f t="shared" si="81"/>
        <v>36529.6803652968</v>
      </c>
      <c r="I497" s="2641">
        <v>657</v>
      </c>
      <c r="J497" s="2641">
        <v>767</v>
      </c>
      <c r="K497" s="2641">
        <v>1095</v>
      </c>
      <c r="L497" s="2641">
        <v>1095</v>
      </c>
      <c r="M497" s="2641">
        <v>766</v>
      </c>
      <c r="N497" s="2641">
        <v>876</v>
      </c>
      <c r="O497" s="2641">
        <v>876</v>
      </c>
      <c r="P497" s="2641">
        <v>657</v>
      </c>
      <c r="Q497" s="2641">
        <v>1183</v>
      </c>
      <c r="R497" s="2641">
        <v>657</v>
      </c>
      <c r="S497" s="2641">
        <v>657</v>
      </c>
      <c r="T497" s="2641">
        <v>657</v>
      </c>
      <c r="U497" s="2641">
        <v>591</v>
      </c>
      <c r="V497" s="2633">
        <f t="shared" si="84"/>
        <v>10534</v>
      </c>
      <c r="W497" s="2642">
        <f t="shared" si="82"/>
        <v>481000</v>
      </c>
    </row>
    <row r="498" customHeight="1" spans="1:23">
      <c r="A498" s="2635"/>
      <c r="B498" s="2654"/>
      <c r="C498" s="2655"/>
      <c r="D498" s="2638" t="s">
        <v>11112</v>
      </c>
      <c r="E498" s="2639" t="s">
        <v>11110</v>
      </c>
      <c r="F498" s="2016">
        <v>500</v>
      </c>
      <c r="G498" s="2640">
        <v>0.0142</v>
      </c>
      <c r="H498" s="2016">
        <f t="shared" si="81"/>
        <v>35211.2676056338</v>
      </c>
      <c r="I498" s="2019">
        <v>426</v>
      </c>
      <c r="J498" s="2641">
        <v>497</v>
      </c>
      <c r="K498" s="2641">
        <v>710</v>
      </c>
      <c r="L498" s="2641">
        <v>710</v>
      </c>
      <c r="M498" s="2641">
        <v>497</v>
      </c>
      <c r="N498" s="2641">
        <v>568</v>
      </c>
      <c r="O498" s="2641">
        <v>568</v>
      </c>
      <c r="P498" s="2641">
        <v>426</v>
      </c>
      <c r="Q498" s="2641">
        <v>767</v>
      </c>
      <c r="R498" s="2641">
        <v>426</v>
      </c>
      <c r="S498" s="2641">
        <v>426</v>
      </c>
      <c r="T498" s="2641">
        <v>426</v>
      </c>
      <c r="U498" s="2641">
        <v>384</v>
      </c>
      <c r="V498" s="2633">
        <f t="shared" si="84"/>
        <v>6831</v>
      </c>
      <c r="W498" s="2642">
        <f t="shared" si="82"/>
        <v>481060</v>
      </c>
    </row>
    <row r="499" customHeight="1" spans="1:23">
      <c r="A499" s="2635"/>
      <c r="B499" s="2654"/>
      <c r="C499" s="2655"/>
      <c r="D499" s="2638" t="s">
        <v>11120</v>
      </c>
      <c r="E499" s="2639" t="s">
        <v>11110</v>
      </c>
      <c r="F499" s="2016">
        <v>500</v>
      </c>
      <c r="G499" s="2640">
        <v>0.0056</v>
      </c>
      <c r="H499" s="2016">
        <f t="shared" si="81"/>
        <v>89285.7142857143</v>
      </c>
      <c r="I499" s="2019">
        <v>168</v>
      </c>
      <c r="J499" s="2641">
        <v>196</v>
      </c>
      <c r="K499" s="2641">
        <v>280</v>
      </c>
      <c r="L499" s="2641">
        <v>280</v>
      </c>
      <c r="M499" s="2641">
        <v>196</v>
      </c>
      <c r="N499" s="2641">
        <v>224</v>
      </c>
      <c r="O499" s="2641">
        <v>224</v>
      </c>
      <c r="P499" s="2641">
        <v>168</v>
      </c>
      <c r="Q499" s="2641">
        <v>303</v>
      </c>
      <c r="R499" s="2641">
        <v>168</v>
      </c>
      <c r="S499" s="2641">
        <v>168</v>
      </c>
      <c r="T499" s="2641">
        <v>168</v>
      </c>
      <c r="U499" s="2641">
        <v>151</v>
      </c>
      <c r="V499" s="2633">
        <f t="shared" si="84"/>
        <v>2694</v>
      </c>
      <c r="W499" s="2642">
        <f t="shared" si="82"/>
        <v>481070</v>
      </c>
    </row>
    <row r="500" customHeight="1" spans="1:23">
      <c r="A500" s="2635"/>
      <c r="B500" s="2654"/>
      <c r="C500" s="2655"/>
      <c r="D500" s="2638" t="s">
        <v>11144</v>
      </c>
      <c r="E500" s="2639" t="s">
        <v>11145</v>
      </c>
      <c r="F500" s="2016">
        <v>300</v>
      </c>
      <c r="G500" s="2640">
        <v>0.0066</v>
      </c>
      <c r="H500" s="2016">
        <f t="shared" si="81"/>
        <v>45454.5454545455</v>
      </c>
      <c r="I500" s="2019">
        <v>198</v>
      </c>
      <c r="J500" s="2641">
        <v>231</v>
      </c>
      <c r="K500" s="2641">
        <v>330</v>
      </c>
      <c r="L500" s="2641">
        <v>330</v>
      </c>
      <c r="M500" s="2641">
        <v>231</v>
      </c>
      <c r="N500" s="2641">
        <v>264</v>
      </c>
      <c r="O500" s="2641">
        <v>264</v>
      </c>
      <c r="P500" s="2641">
        <v>198</v>
      </c>
      <c r="Q500" s="2641">
        <v>357</v>
      </c>
      <c r="R500" s="2641">
        <v>198</v>
      </c>
      <c r="S500" s="2641">
        <v>198</v>
      </c>
      <c r="T500" s="2641">
        <v>198</v>
      </c>
      <c r="U500" s="2641">
        <v>178</v>
      </c>
      <c r="V500" s="2633">
        <f t="shared" si="84"/>
        <v>3175</v>
      </c>
      <c r="W500" s="2642">
        <f t="shared" si="82"/>
        <v>481060</v>
      </c>
    </row>
    <row r="501" customHeight="1" spans="1:23">
      <c r="A501" s="2635"/>
      <c r="B501" s="2654"/>
      <c r="C501" s="2655"/>
      <c r="D501" s="2638" t="s">
        <v>11146</v>
      </c>
      <c r="E501" s="2639"/>
      <c r="F501" s="2016">
        <v>300</v>
      </c>
      <c r="G501" s="2640">
        <v>0.0028</v>
      </c>
      <c r="H501" s="2016">
        <f t="shared" si="81"/>
        <v>107142.857142857</v>
      </c>
      <c r="I501" s="2643">
        <v>300</v>
      </c>
      <c r="J501" s="2641"/>
      <c r="K501" s="2641">
        <v>22</v>
      </c>
      <c r="L501" s="2641">
        <v>140</v>
      </c>
      <c r="M501" s="2641">
        <v>98</v>
      </c>
      <c r="N501" s="2641">
        <v>112</v>
      </c>
      <c r="O501" s="2641">
        <v>112</v>
      </c>
      <c r="P501" s="2641">
        <v>84</v>
      </c>
      <c r="Q501" s="2641">
        <v>152</v>
      </c>
      <c r="R501" s="2641">
        <v>84</v>
      </c>
      <c r="S501" s="2641">
        <v>84</v>
      </c>
      <c r="T501" s="2641">
        <v>84</v>
      </c>
      <c r="U501" s="2641">
        <v>75</v>
      </c>
      <c r="V501" s="2633">
        <f t="shared" si="84"/>
        <v>1347</v>
      </c>
      <c r="W501" s="2642">
        <f t="shared" si="82"/>
        <v>481070</v>
      </c>
    </row>
    <row r="502" customHeight="1" spans="1:23">
      <c r="A502" s="2635"/>
      <c r="B502" s="2654"/>
      <c r="C502" s="2655"/>
      <c r="D502" s="2638" t="s">
        <v>11147</v>
      </c>
      <c r="E502" s="2639"/>
      <c r="F502" s="2016">
        <v>300</v>
      </c>
      <c r="G502" s="2640">
        <v>0.00495</v>
      </c>
      <c r="H502" s="2016">
        <f t="shared" si="81"/>
        <v>60606.0606060606</v>
      </c>
      <c r="I502" s="2643">
        <v>300</v>
      </c>
      <c r="J502" s="2641">
        <v>22</v>
      </c>
      <c r="K502" s="2641">
        <v>248</v>
      </c>
      <c r="L502" s="2641">
        <v>247</v>
      </c>
      <c r="M502" s="2641">
        <v>173</v>
      </c>
      <c r="N502" s="2641">
        <v>198</v>
      </c>
      <c r="O502" s="2641">
        <v>198</v>
      </c>
      <c r="P502" s="2641">
        <v>149</v>
      </c>
      <c r="Q502" s="2641">
        <v>267</v>
      </c>
      <c r="R502" s="2641">
        <v>149</v>
      </c>
      <c r="S502" s="2641">
        <v>148</v>
      </c>
      <c r="T502" s="2641">
        <v>149</v>
      </c>
      <c r="U502" s="2641">
        <v>133</v>
      </c>
      <c r="V502" s="2633">
        <f t="shared" si="84"/>
        <v>2381</v>
      </c>
      <c r="W502" s="2642">
        <f t="shared" si="82"/>
        <v>481010</v>
      </c>
    </row>
    <row r="503" customHeight="1" spans="1:23">
      <c r="A503" s="2635"/>
      <c r="B503" s="2654"/>
      <c r="C503" s="2655"/>
      <c r="D503" s="2638" t="s">
        <v>11148</v>
      </c>
      <c r="E503" s="2639"/>
      <c r="F503" s="2016">
        <v>300</v>
      </c>
      <c r="G503" s="2640">
        <v>0.0184</v>
      </c>
      <c r="H503" s="2016">
        <f t="shared" si="81"/>
        <v>16304.347826087</v>
      </c>
      <c r="I503" s="2019">
        <v>552</v>
      </c>
      <c r="J503" s="2641">
        <v>644</v>
      </c>
      <c r="K503" s="2641">
        <v>920</v>
      </c>
      <c r="L503" s="2641">
        <v>920</v>
      </c>
      <c r="M503" s="2641">
        <v>644</v>
      </c>
      <c r="N503" s="2641">
        <v>736</v>
      </c>
      <c r="O503" s="2641">
        <v>736</v>
      </c>
      <c r="P503" s="2641">
        <v>552</v>
      </c>
      <c r="Q503" s="2641">
        <v>994</v>
      </c>
      <c r="R503" s="2641">
        <v>552</v>
      </c>
      <c r="S503" s="2641">
        <v>552</v>
      </c>
      <c r="T503" s="2641">
        <v>552</v>
      </c>
      <c r="U503" s="2641">
        <v>497</v>
      </c>
      <c r="V503" s="2633">
        <f t="shared" si="84"/>
        <v>8851</v>
      </c>
      <c r="W503" s="2642">
        <f t="shared" si="82"/>
        <v>481030</v>
      </c>
    </row>
    <row r="504" customHeight="1" spans="1:23">
      <c r="A504" s="2635"/>
      <c r="B504" s="2654"/>
      <c r="C504" s="2655"/>
      <c r="D504" s="2638" t="s">
        <v>11149</v>
      </c>
      <c r="E504" s="2639" t="s">
        <v>11150</v>
      </c>
      <c r="F504" s="2016">
        <v>300</v>
      </c>
      <c r="G504" s="2640">
        <v>0.0021</v>
      </c>
      <c r="H504" s="2016">
        <f t="shared" si="81"/>
        <v>142857.142857143</v>
      </c>
      <c r="I504" s="2643">
        <v>150</v>
      </c>
      <c r="J504" s="2641"/>
      <c r="K504" s="2641">
        <v>150</v>
      </c>
      <c r="L504" s="2641">
        <v>150</v>
      </c>
      <c r="M504" s="2641"/>
      <c r="N504" s="2641">
        <v>54</v>
      </c>
      <c r="O504" s="2641">
        <v>84</v>
      </c>
      <c r="P504" s="2641">
        <v>63</v>
      </c>
      <c r="Q504" s="2641">
        <v>114</v>
      </c>
      <c r="R504" s="2641">
        <v>63</v>
      </c>
      <c r="S504" s="2641">
        <v>63</v>
      </c>
      <c r="T504" s="2641">
        <v>63</v>
      </c>
      <c r="U504" s="2641">
        <v>57</v>
      </c>
      <c r="V504" s="2633">
        <f t="shared" si="84"/>
        <v>1011</v>
      </c>
      <c r="W504" s="2642">
        <f t="shared" si="82"/>
        <v>481430</v>
      </c>
    </row>
    <row r="505" customHeight="1" spans="1:23">
      <c r="A505" s="2635"/>
      <c r="B505" s="2663"/>
      <c r="C505" s="2664"/>
      <c r="D505" s="2648" t="s">
        <v>10788</v>
      </c>
      <c r="E505" s="2649"/>
      <c r="F505" s="2039"/>
      <c r="G505" s="2650">
        <v>1</v>
      </c>
      <c r="H505" s="2039">
        <f t="shared" si="81"/>
        <v>0</v>
      </c>
      <c r="I505" s="2050">
        <v>30000</v>
      </c>
      <c r="J505" s="2651">
        <v>35000</v>
      </c>
      <c r="K505" s="2651">
        <v>50000</v>
      </c>
      <c r="L505" s="2651">
        <v>50000</v>
      </c>
      <c r="M505" s="2652">
        <v>35000</v>
      </c>
      <c r="N505" s="2652">
        <v>40000</v>
      </c>
      <c r="O505" s="2652">
        <v>40000</v>
      </c>
      <c r="P505" s="2651">
        <v>30000</v>
      </c>
      <c r="Q505" s="2652">
        <v>54000</v>
      </c>
      <c r="R505" s="2652">
        <v>30000</v>
      </c>
      <c r="S505" s="2652">
        <v>30000</v>
      </c>
      <c r="T505" s="2652">
        <v>30000</v>
      </c>
      <c r="U505" s="2652">
        <v>27000</v>
      </c>
      <c r="V505" s="2633">
        <f t="shared" si="84"/>
        <v>481000</v>
      </c>
      <c r="W505" s="2653">
        <f t="shared" si="82"/>
        <v>481000</v>
      </c>
    </row>
    <row r="506" customHeight="1" spans="1:23">
      <c r="A506" s="2635"/>
      <c r="B506" s="2665" t="s">
        <v>11151</v>
      </c>
      <c r="C506" s="2666">
        <v>10</v>
      </c>
      <c r="D506" s="2630" t="s">
        <v>11152</v>
      </c>
      <c r="E506" s="2631"/>
      <c r="F506" s="2667">
        <v>800</v>
      </c>
      <c r="G506" s="2668">
        <v>0.0364</v>
      </c>
      <c r="H506" s="2003">
        <f t="shared" si="81"/>
        <v>21978.021978022</v>
      </c>
      <c r="I506" s="2006">
        <v>1092</v>
      </c>
      <c r="J506" s="2006">
        <v>1274</v>
      </c>
      <c r="K506" s="2006">
        <v>1820</v>
      </c>
      <c r="L506" s="2006">
        <v>1820</v>
      </c>
      <c r="M506" s="2006">
        <v>1274</v>
      </c>
      <c r="N506" s="2006">
        <v>1456</v>
      </c>
      <c r="O506" s="2006">
        <v>1456</v>
      </c>
      <c r="P506" s="2006">
        <v>1092</v>
      </c>
      <c r="Q506" s="2006">
        <v>2075</v>
      </c>
      <c r="R506" s="2006">
        <v>1092</v>
      </c>
      <c r="S506" s="2006">
        <v>910</v>
      </c>
      <c r="T506" s="2006">
        <v>1092</v>
      </c>
      <c r="U506" s="2006">
        <v>1019</v>
      </c>
      <c r="V506" s="2633">
        <f t="shared" si="84"/>
        <v>17472</v>
      </c>
      <c r="W506" s="2634">
        <f t="shared" si="82"/>
        <v>480000</v>
      </c>
    </row>
    <row r="507" customHeight="1" spans="1:23">
      <c r="A507" s="2635"/>
      <c r="B507" s="2654"/>
      <c r="C507" s="2655"/>
      <c r="D507" s="2638" t="s">
        <v>11153</v>
      </c>
      <c r="E507" s="2639" t="s">
        <v>11107</v>
      </c>
      <c r="F507" s="2016">
        <v>800</v>
      </c>
      <c r="G507" s="2640">
        <v>0.0127</v>
      </c>
      <c r="H507" s="2016">
        <f t="shared" si="81"/>
        <v>62992.125984252</v>
      </c>
      <c r="I507" s="2641">
        <v>381</v>
      </c>
      <c r="J507" s="2641">
        <v>445</v>
      </c>
      <c r="K507" s="2641">
        <v>635</v>
      </c>
      <c r="L507" s="2641">
        <v>635</v>
      </c>
      <c r="M507" s="2641">
        <v>444</v>
      </c>
      <c r="N507" s="2641">
        <v>508</v>
      </c>
      <c r="O507" s="2641">
        <v>508</v>
      </c>
      <c r="P507" s="2641">
        <v>381</v>
      </c>
      <c r="Q507" s="2641">
        <v>724</v>
      </c>
      <c r="R507" s="2641">
        <v>381</v>
      </c>
      <c r="S507" s="2641">
        <v>318</v>
      </c>
      <c r="T507" s="2641">
        <v>381</v>
      </c>
      <c r="U507" s="2641">
        <v>355</v>
      </c>
      <c r="V507" s="2633">
        <f t="shared" si="84"/>
        <v>6096</v>
      </c>
      <c r="W507" s="2642">
        <f t="shared" si="82"/>
        <v>480000</v>
      </c>
    </row>
    <row r="508" customHeight="1" spans="1:23">
      <c r="A508" s="2635"/>
      <c r="B508" s="2654"/>
      <c r="C508" s="2655"/>
      <c r="D508" s="2638" t="s">
        <v>11112</v>
      </c>
      <c r="E508" s="2639" t="s">
        <v>11110</v>
      </c>
      <c r="F508" s="2016">
        <v>500</v>
      </c>
      <c r="G508" s="2640">
        <v>0.0142</v>
      </c>
      <c r="H508" s="2016">
        <f t="shared" si="81"/>
        <v>35211.2676056338</v>
      </c>
      <c r="I508" s="2019">
        <v>426</v>
      </c>
      <c r="J508" s="2641">
        <v>497</v>
      </c>
      <c r="K508" s="2641">
        <v>710</v>
      </c>
      <c r="L508" s="2641">
        <v>710</v>
      </c>
      <c r="M508" s="2641">
        <v>497</v>
      </c>
      <c r="N508" s="2641">
        <v>568</v>
      </c>
      <c r="O508" s="2641">
        <v>568</v>
      </c>
      <c r="P508" s="2641">
        <v>426</v>
      </c>
      <c r="Q508" s="2641">
        <v>810</v>
      </c>
      <c r="R508" s="2641">
        <v>426</v>
      </c>
      <c r="S508" s="2641">
        <v>355</v>
      </c>
      <c r="T508" s="2641">
        <v>426</v>
      </c>
      <c r="U508" s="2641">
        <v>397</v>
      </c>
      <c r="V508" s="2633">
        <f t="shared" si="84"/>
        <v>6816</v>
      </c>
      <c r="W508" s="2642">
        <f t="shared" si="82"/>
        <v>480000</v>
      </c>
    </row>
    <row r="509" customHeight="1" spans="1:23">
      <c r="A509" s="2635"/>
      <c r="B509" s="2654"/>
      <c r="C509" s="2655"/>
      <c r="D509" s="2638" t="s">
        <v>11144</v>
      </c>
      <c r="E509" s="2639" t="s">
        <v>11145</v>
      </c>
      <c r="F509" s="2016">
        <v>300</v>
      </c>
      <c r="G509" s="2640">
        <v>0.0066</v>
      </c>
      <c r="H509" s="2016">
        <f t="shared" si="81"/>
        <v>45454.5454545455</v>
      </c>
      <c r="I509" s="2019">
        <v>198</v>
      </c>
      <c r="J509" s="2641">
        <v>231</v>
      </c>
      <c r="K509" s="2641">
        <v>330</v>
      </c>
      <c r="L509" s="2641">
        <v>330</v>
      </c>
      <c r="M509" s="2641">
        <v>231</v>
      </c>
      <c r="N509" s="2641">
        <v>264</v>
      </c>
      <c r="O509" s="2641">
        <v>264</v>
      </c>
      <c r="P509" s="2641">
        <v>198</v>
      </c>
      <c r="Q509" s="2641">
        <v>377</v>
      </c>
      <c r="R509" s="2641">
        <v>198</v>
      </c>
      <c r="S509" s="2641">
        <v>165</v>
      </c>
      <c r="T509" s="2641">
        <v>198</v>
      </c>
      <c r="U509" s="2641">
        <v>184</v>
      </c>
      <c r="V509" s="2633">
        <f t="shared" si="84"/>
        <v>3168</v>
      </c>
      <c r="W509" s="2642">
        <f t="shared" si="82"/>
        <v>480000</v>
      </c>
    </row>
    <row r="510" customHeight="1" spans="1:23">
      <c r="A510" s="2635"/>
      <c r="B510" s="2654"/>
      <c r="C510" s="2655"/>
      <c r="D510" s="2638" t="s">
        <v>11154</v>
      </c>
      <c r="E510" s="2639"/>
      <c r="F510" s="2016">
        <v>300</v>
      </c>
      <c r="G510" s="2640">
        <v>0.0028</v>
      </c>
      <c r="H510" s="2016">
        <f t="shared" si="81"/>
        <v>107142.857142857</v>
      </c>
      <c r="I510" s="2643">
        <v>300</v>
      </c>
      <c r="J510" s="2641"/>
      <c r="K510" s="2641">
        <v>22</v>
      </c>
      <c r="L510" s="2641">
        <v>140</v>
      </c>
      <c r="M510" s="2641">
        <v>98</v>
      </c>
      <c r="N510" s="2641">
        <v>112</v>
      </c>
      <c r="O510" s="2641">
        <v>112</v>
      </c>
      <c r="P510" s="2641">
        <v>84</v>
      </c>
      <c r="Q510" s="2641">
        <v>160</v>
      </c>
      <c r="R510" s="2641">
        <v>84</v>
      </c>
      <c r="S510" s="2641">
        <v>70</v>
      </c>
      <c r="T510" s="2641">
        <v>84</v>
      </c>
      <c r="U510" s="2641">
        <v>78</v>
      </c>
      <c r="V510" s="2633">
        <f t="shared" si="84"/>
        <v>1344</v>
      </c>
      <c r="W510" s="2642">
        <f t="shared" si="82"/>
        <v>480000</v>
      </c>
    </row>
    <row r="511" customHeight="1" spans="1:23">
      <c r="A511" s="2635"/>
      <c r="B511" s="2654"/>
      <c r="C511" s="2655"/>
      <c r="D511" s="2638" t="s">
        <v>11155</v>
      </c>
      <c r="E511" s="2639"/>
      <c r="F511" s="2016">
        <v>300</v>
      </c>
      <c r="G511" s="2640">
        <v>0.00495</v>
      </c>
      <c r="H511" s="2016">
        <f t="shared" si="81"/>
        <v>60606.0606060606</v>
      </c>
      <c r="I511" s="2643">
        <v>300</v>
      </c>
      <c r="J511" s="2641">
        <v>22</v>
      </c>
      <c r="K511" s="2641">
        <v>248</v>
      </c>
      <c r="L511" s="2641">
        <v>247</v>
      </c>
      <c r="M511" s="2641">
        <v>173</v>
      </c>
      <c r="N511" s="2641">
        <v>198</v>
      </c>
      <c r="O511" s="2641">
        <v>198</v>
      </c>
      <c r="P511" s="2641">
        <v>149</v>
      </c>
      <c r="Q511" s="2641">
        <v>282</v>
      </c>
      <c r="R511" s="2641">
        <v>149</v>
      </c>
      <c r="S511" s="2641">
        <v>123</v>
      </c>
      <c r="T511" s="2641">
        <v>149</v>
      </c>
      <c r="U511" s="2641">
        <v>138</v>
      </c>
      <c r="V511" s="2633">
        <f t="shared" si="84"/>
        <v>2376</v>
      </c>
      <c r="W511" s="2642">
        <f t="shared" si="82"/>
        <v>480000</v>
      </c>
    </row>
    <row r="512" customHeight="1" spans="1:23">
      <c r="A512" s="2635"/>
      <c r="B512" s="2654"/>
      <c r="C512" s="2655"/>
      <c r="D512" s="2638" t="s">
        <v>11156</v>
      </c>
      <c r="E512" s="2639"/>
      <c r="F512" s="2016">
        <v>300</v>
      </c>
      <c r="G512" s="2640">
        <v>0.0184</v>
      </c>
      <c r="H512" s="2016">
        <f t="shared" si="81"/>
        <v>16304.347826087</v>
      </c>
      <c r="I512" s="2019">
        <v>552</v>
      </c>
      <c r="J512" s="2641">
        <v>644</v>
      </c>
      <c r="K512" s="2641">
        <v>920</v>
      </c>
      <c r="L512" s="2641">
        <v>920</v>
      </c>
      <c r="M512" s="2641">
        <v>644</v>
      </c>
      <c r="N512" s="2641">
        <v>736</v>
      </c>
      <c r="O512" s="2641">
        <v>736</v>
      </c>
      <c r="P512" s="2641">
        <v>552</v>
      </c>
      <c r="Q512" s="2641">
        <v>1049</v>
      </c>
      <c r="R512" s="2641">
        <v>552</v>
      </c>
      <c r="S512" s="2641">
        <v>460</v>
      </c>
      <c r="T512" s="2641">
        <v>552</v>
      </c>
      <c r="U512" s="2641">
        <v>515</v>
      </c>
      <c r="V512" s="2633">
        <f t="shared" si="84"/>
        <v>8832</v>
      </c>
      <c r="W512" s="2642">
        <f t="shared" si="82"/>
        <v>480000</v>
      </c>
    </row>
    <row r="513" customHeight="1" spans="1:23">
      <c r="A513" s="2635"/>
      <c r="B513" s="2654"/>
      <c r="C513" s="2655"/>
      <c r="D513" s="2638" t="s">
        <v>11149</v>
      </c>
      <c r="E513" s="2639" t="s">
        <v>11150</v>
      </c>
      <c r="F513" s="2016">
        <v>300</v>
      </c>
      <c r="G513" s="2640">
        <v>0.0021</v>
      </c>
      <c r="H513" s="2016">
        <f t="shared" si="81"/>
        <v>142857.142857143</v>
      </c>
      <c r="I513" s="2643">
        <v>150</v>
      </c>
      <c r="J513" s="2641"/>
      <c r="K513" s="2641">
        <v>150</v>
      </c>
      <c r="L513" s="2641">
        <v>150</v>
      </c>
      <c r="M513" s="2641"/>
      <c r="N513" s="2641">
        <v>54</v>
      </c>
      <c r="O513" s="2641">
        <v>84</v>
      </c>
      <c r="P513" s="2641">
        <v>63</v>
      </c>
      <c r="Q513" s="2641">
        <v>120</v>
      </c>
      <c r="R513" s="2641">
        <v>63</v>
      </c>
      <c r="S513" s="2641">
        <v>53</v>
      </c>
      <c r="T513" s="2641">
        <v>63</v>
      </c>
      <c r="U513" s="2641">
        <v>58</v>
      </c>
      <c r="V513" s="2633">
        <f t="shared" si="84"/>
        <v>1008</v>
      </c>
      <c r="W513" s="2642">
        <f t="shared" si="82"/>
        <v>480000</v>
      </c>
    </row>
    <row r="514" customHeight="1" spans="1:23">
      <c r="A514" s="2635"/>
      <c r="B514" s="2663"/>
      <c r="C514" s="2664"/>
      <c r="D514" s="2648" t="s">
        <v>10788</v>
      </c>
      <c r="E514" s="2649"/>
      <c r="F514" s="2039"/>
      <c r="G514" s="2650">
        <v>1</v>
      </c>
      <c r="H514" s="2039">
        <f t="shared" si="81"/>
        <v>0</v>
      </c>
      <c r="I514" s="2050">
        <v>30000</v>
      </c>
      <c r="J514" s="2651">
        <v>35000</v>
      </c>
      <c r="K514" s="2651">
        <v>50000</v>
      </c>
      <c r="L514" s="2651">
        <v>50000</v>
      </c>
      <c r="M514" s="2652">
        <v>35000</v>
      </c>
      <c r="N514" s="2652">
        <v>40000</v>
      </c>
      <c r="O514" s="2652">
        <v>40000</v>
      </c>
      <c r="P514" s="2651">
        <v>30000</v>
      </c>
      <c r="Q514" s="2652">
        <v>57000</v>
      </c>
      <c r="R514" s="2652">
        <v>30000</v>
      </c>
      <c r="S514" s="2652">
        <v>25000</v>
      </c>
      <c r="T514" s="2652">
        <v>30000</v>
      </c>
      <c r="U514" s="2652">
        <v>28000</v>
      </c>
      <c r="V514" s="2633">
        <f t="shared" si="84"/>
        <v>480000</v>
      </c>
      <c r="W514" s="2653">
        <f t="shared" si="82"/>
        <v>480000</v>
      </c>
    </row>
    <row r="515" customHeight="1" spans="1:23">
      <c r="A515" s="2635"/>
      <c r="B515" s="2628" t="s">
        <v>11157</v>
      </c>
      <c r="C515" s="2629">
        <v>10</v>
      </c>
      <c r="D515" s="2630" t="s">
        <v>11158</v>
      </c>
      <c r="E515" s="2631"/>
      <c r="F515" s="2003">
        <v>800</v>
      </c>
      <c r="G515" s="2632">
        <v>0.0408</v>
      </c>
      <c r="H515" s="2003">
        <f t="shared" si="81"/>
        <v>19607.8431372549</v>
      </c>
      <c r="I515" s="2006">
        <v>1224</v>
      </c>
      <c r="J515" s="2006">
        <v>1428</v>
      </c>
      <c r="K515" s="2006">
        <v>2040</v>
      </c>
      <c r="L515" s="2006">
        <v>2040</v>
      </c>
      <c r="M515" s="2006">
        <v>1428</v>
      </c>
      <c r="N515" s="2006">
        <v>1632</v>
      </c>
      <c r="O515" s="2006">
        <v>1632</v>
      </c>
      <c r="P515" s="2006">
        <v>1224</v>
      </c>
      <c r="Q515" s="2006">
        <v>1755</v>
      </c>
      <c r="R515" s="2006">
        <v>1224</v>
      </c>
      <c r="S515" s="2006">
        <v>1428</v>
      </c>
      <c r="T515" s="2006">
        <v>1224</v>
      </c>
      <c r="U515" s="2006">
        <v>1142</v>
      </c>
      <c r="V515" s="2633">
        <f t="shared" si="84"/>
        <v>19421</v>
      </c>
      <c r="W515" s="2634">
        <f t="shared" si="82"/>
        <v>476000</v>
      </c>
    </row>
    <row r="516" customHeight="1" spans="1:23">
      <c r="A516" s="2635"/>
      <c r="B516" s="2636"/>
      <c r="C516" s="2637"/>
      <c r="D516" s="2638" t="s">
        <v>11159</v>
      </c>
      <c r="E516" s="2639"/>
      <c r="F516" s="2016">
        <v>800</v>
      </c>
      <c r="G516" s="2640">
        <v>0.018</v>
      </c>
      <c r="H516" s="2016">
        <f t="shared" si="81"/>
        <v>44444.4444444444</v>
      </c>
      <c r="I516" s="2643">
        <v>800</v>
      </c>
      <c r="J516" s="2641">
        <v>370</v>
      </c>
      <c r="K516" s="2641">
        <v>900</v>
      </c>
      <c r="L516" s="2641">
        <v>900</v>
      </c>
      <c r="M516" s="2641">
        <v>630</v>
      </c>
      <c r="N516" s="2641">
        <v>720</v>
      </c>
      <c r="O516" s="2641">
        <v>720</v>
      </c>
      <c r="P516" s="2641">
        <v>540</v>
      </c>
      <c r="Q516" s="2641">
        <v>774</v>
      </c>
      <c r="R516" s="2641">
        <v>540</v>
      </c>
      <c r="S516" s="2641">
        <v>630</v>
      </c>
      <c r="T516" s="2641">
        <v>540</v>
      </c>
      <c r="U516" s="2641">
        <v>504</v>
      </c>
      <c r="V516" s="2633">
        <f t="shared" si="84"/>
        <v>8568</v>
      </c>
      <c r="W516" s="2642">
        <f t="shared" si="82"/>
        <v>476000</v>
      </c>
    </row>
    <row r="517" customHeight="1" spans="1:23">
      <c r="A517" s="2635"/>
      <c r="B517" s="2636"/>
      <c r="C517" s="2637"/>
      <c r="D517" s="2638" t="s">
        <v>11160</v>
      </c>
      <c r="E517" s="2639"/>
      <c r="F517" s="2016">
        <v>500</v>
      </c>
      <c r="G517" s="2640">
        <v>0.0038</v>
      </c>
      <c r="H517" s="2016">
        <f t="shared" si="81"/>
        <v>131578.947368421</v>
      </c>
      <c r="I517" s="2643">
        <v>500</v>
      </c>
      <c r="J517" s="2641"/>
      <c r="K517" s="2641"/>
      <c r="L517" s="2641">
        <v>127</v>
      </c>
      <c r="M517" s="2641">
        <v>133</v>
      </c>
      <c r="N517" s="2641">
        <v>152</v>
      </c>
      <c r="O517" s="2641">
        <v>152</v>
      </c>
      <c r="P517" s="2641">
        <v>114</v>
      </c>
      <c r="Q517" s="2641">
        <v>164</v>
      </c>
      <c r="R517" s="2641">
        <v>114</v>
      </c>
      <c r="S517" s="2641">
        <v>133</v>
      </c>
      <c r="T517" s="2641">
        <v>114</v>
      </c>
      <c r="U517" s="2641">
        <v>106</v>
      </c>
      <c r="V517" s="2633">
        <f t="shared" si="84"/>
        <v>1809</v>
      </c>
      <c r="W517" s="2642">
        <f t="shared" si="82"/>
        <v>476050</v>
      </c>
    </row>
    <row r="518" customHeight="1" spans="1:23">
      <c r="A518" s="2635"/>
      <c r="B518" s="2636"/>
      <c r="C518" s="2637"/>
      <c r="D518" s="2638" t="s">
        <v>11161</v>
      </c>
      <c r="E518" s="2639"/>
      <c r="F518" s="2016">
        <v>500</v>
      </c>
      <c r="G518" s="2640">
        <v>0.0028</v>
      </c>
      <c r="H518" s="2016">
        <f t="shared" si="81"/>
        <v>178571.428571429</v>
      </c>
      <c r="I518" s="2643">
        <v>500</v>
      </c>
      <c r="J518" s="2641"/>
      <c r="K518" s="2641"/>
      <c r="L518" s="2641"/>
      <c r="M518" s="2641">
        <v>60</v>
      </c>
      <c r="N518" s="2641">
        <v>112</v>
      </c>
      <c r="O518" s="2641">
        <v>112</v>
      </c>
      <c r="P518" s="2641">
        <v>84</v>
      </c>
      <c r="Q518" s="2641">
        <v>121</v>
      </c>
      <c r="R518" s="2641">
        <v>84</v>
      </c>
      <c r="S518" s="2641">
        <v>98</v>
      </c>
      <c r="T518" s="2641">
        <v>84</v>
      </c>
      <c r="U518" s="2641">
        <v>78</v>
      </c>
      <c r="V518" s="2633">
        <f t="shared" si="84"/>
        <v>1333</v>
      </c>
      <c r="W518" s="2642">
        <f t="shared" si="82"/>
        <v>476070</v>
      </c>
    </row>
    <row r="519" customHeight="1" spans="1:23">
      <c r="A519" s="2635"/>
      <c r="B519" s="2636"/>
      <c r="C519" s="2637"/>
      <c r="D519" s="2638" t="s">
        <v>11162</v>
      </c>
      <c r="E519" s="2639"/>
      <c r="F519" s="2016">
        <v>500</v>
      </c>
      <c r="G519" s="2640">
        <v>0.00495</v>
      </c>
      <c r="H519" s="2016">
        <f t="shared" si="81"/>
        <v>101010.101010101</v>
      </c>
      <c r="I519" s="2643">
        <v>500</v>
      </c>
      <c r="J519" s="2641"/>
      <c r="K519" s="2641">
        <v>70</v>
      </c>
      <c r="L519" s="2641">
        <v>247</v>
      </c>
      <c r="M519" s="2641">
        <v>173</v>
      </c>
      <c r="N519" s="2641">
        <v>198</v>
      </c>
      <c r="O519" s="2641">
        <v>198</v>
      </c>
      <c r="P519" s="2641">
        <v>149</v>
      </c>
      <c r="Q519" s="2641">
        <v>213</v>
      </c>
      <c r="R519" s="2641">
        <v>148</v>
      </c>
      <c r="S519" s="2641">
        <v>174</v>
      </c>
      <c r="T519" s="2641">
        <v>148</v>
      </c>
      <c r="U519" s="2641">
        <v>139</v>
      </c>
      <c r="V519" s="2633">
        <f t="shared" si="84"/>
        <v>2357</v>
      </c>
      <c r="W519" s="2642">
        <f t="shared" si="82"/>
        <v>476160</v>
      </c>
    </row>
    <row r="520" customHeight="1" spans="1:23">
      <c r="A520" s="2635"/>
      <c r="B520" s="2636"/>
      <c r="C520" s="2637"/>
      <c r="D520" s="2638" t="s">
        <v>11163</v>
      </c>
      <c r="E520" s="2639"/>
      <c r="F520" s="2016">
        <v>300</v>
      </c>
      <c r="G520" s="2640">
        <v>0.0184</v>
      </c>
      <c r="H520" s="2016">
        <f t="shared" ref="H520:H522" si="85">F520/G520</f>
        <v>16304.347826087</v>
      </c>
      <c r="I520" s="2019">
        <v>552</v>
      </c>
      <c r="J520" s="2641">
        <v>644</v>
      </c>
      <c r="K520" s="2641">
        <v>920</v>
      </c>
      <c r="L520" s="2641">
        <v>920</v>
      </c>
      <c r="M520" s="2641">
        <v>644</v>
      </c>
      <c r="N520" s="2641">
        <v>736</v>
      </c>
      <c r="O520" s="2641">
        <v>736</v>
      </c>
      <c r="P520" s="2641">
        <v>552</v>
      </c>
      <c r="Q520" s="2641">
        <v>792</v>
      </c>
      <c r="R520" s="2641">
        <v>552</v>
      </c>
      <c r="S520" s="2641">
        <v>644</v>
      </c>
      <c r="T520" s="2641">
        <v>552</v>
      </c>
      <c r="U520" s="2641">
        <v>515</v>
      </c>
      <c r="V520" s="2633">
        <f t="shared" si="84"/>
        <v>8759</v>
      </c>
      <c r="W520" s="2642">
        <f t="shared" ref="W520:W522" si="86">ROUND(V520/G520,-1)</f>
        <v>476030</v>
      </c>
    </row>
    <row r="521" customHeight="1" spans="1:23">
      <c r="A521" s="2635"/>
      <c r="B521" s="2636"/>
      <c r="C521" s="2637"/>
      <c r="D521" s="2638" t="s">
        <v>11164</v>
      </c>
      <c r="E521" s="2639"/>
      <c r="F521" s="2016">
        <v>300</v>
      </c>
      <c r="G521" s="2640">
        <v>0.0021</v>
      </c>
      <c r="H521" s="2016">
        <f t="shared" si="85"/>
        <v>142857.142857143</v>
      </c>
      <c r="I521" s="2643">
        <v>300</v>
      </c>
      <c r="J521" s="2644"/>
      <c r="K521" s="2644"/>
      <c r="L521" s="2643">
        <v>47</v>
      </c>
      <c r="M521" s="2644">
        <v>73</v>
      </c>
      <c r="N521" s="2644">
        <v>84</v>
      </c>
      <c r="O521" s="2644">
        <v>84</v>
      </c>
      <c r="P521" s="2643">
        <v>63</v>
      </c>
      <c r="Q521" s="2644">
        <v>91</v>
      </c>
      <c r="R521" s="2644">
        <v>63</v>
      </c>
      <c r="S521" s="2644">
        <v>73</v>
      </c>
      <c r="T521" s="2644">
        <v>63</v>
      </c>
      <c r="U521" s="2644">
        <v>59</v>
      </c>
      <c r="V521" s="2633">
        <f t="shared" si="84"/>
        <v>1000</v>
      </c>
      <c r="W521" s="2642">
        <f t="shared" si="86"/>
        <v>476190</v>
      </c>
    </row>
    <row r="522" customHeight="1" spans="1:23">
      <c r="A522" s="2669"/>
      <c r="B522" s="2646"/>
      <c r="C522" s="2647"/>
      <c r="D522" s="2648" t="s">
        <v>10788</v>
      </c>
      <c r="E522" s="2649"/>
      <c r="F522" s="2039"/>
      <c r="G522" s="2650">
        <v>1</v>
      </c>
      <c r="H522" s="2039">
        <f t="shared" si="85"/>
        <v>0</v>
      </c>
      <c r="I522" s="2670">
        <v>30000</v>
      </c>
      <c r="J522" s="2671">
        <v>35000</v>
      </c>
      <c r="K522" s="2671">
        <v>50000</v>
      </c>
      <c r="L522" s="2671">
        <v>50000</v>
      </c>
      <c r="M522" s="2645">
        <v>35000</v>
      </c>
      <c r="N522" s="2645">
        <v>40000</v>
      </c>
      <c r="O522" s="2645">
        <v>40000</v>
      </c>
      <c r="P522" s="2671">
        <v>30000</v>
      </c>
      <c r="Q522" s="2645">
        <v>43000</v>
      </c>
      <c r="R522" s="2645">
        <v>30000</v>
      </c>
      <c r="S522" s="2645">
        <v>35000</v>
      </c>
      <c r="T522" s="2645">
        <v>30000</v>
      </c>
      <c r="U522" s="2645">
        <v>28000</v>
      </c>
      <c r="V522" s="2633">
        <f t="shared" si="84"/>
        <v>476000</v>
      </c>
      <c r="W522" s="2653">
        <f t="shared" si="86"/>
        <v>476000</v>
      </c>
    </row>
    <row r="523" customHeight="1" spans="1:23">
      <c r="A523" s="2672"/>
      <c r="B523" s="2673" t="s">
        <v>10630</v>
      </c>
      <c r="C523" s="2674"/>
      <c r="D523" s="2675" t="s">
        <v>11165</v>
      </c>
      <c r="E523" s="2675"/>
      <c r="F523" s="2077"/>
      <c r="G523" s="2676"/>
      <c r="H523" s="2077"/>
      <c r="I523" s="2077">
        <v>19004</v>
      </c>
      <c r="J523" s="2077">
        <v>9110</v>
      </c>
      <c r="K523" s="2077">
        <v>16432</v>
      </c>
      <c r="L523" s="2077">
        <f>SUM(L456:L522)-SUM(L524:L529)</f>
        <v>18821</v>
      </c>
      <c r="M523" s="2077">
        <v>11756</v>
      </c>
      <c r="N523" s="2077">
        <v>14041</v>
      </c>
      <c r="O523" s="2077">
        <v>14912</v>
      </c>
      <c r="P523" s="2077">
        <v>11306</v>
      </c>
      <c r="Q523" s="2077">
        <v>17555</v>
      </c>
      <c r="R523" s="2077">
        <v>11329</v>
      </c>
      <c r="S523" s="2077">
        <v>10592</v>
      </c>
      <c r="T523" s="2077">
        <v>10578</v>
      </c>
      <c r="U523" s="2077">
        <v>11024</v>
      </c>
      <c r="V523" s="2633">
        <f t="shared" si="84"/>
        <v>176460</v>
      </c>
      <c r="W523" s="2677">
        <f>V529</f>
        <v>2893000</v>
      </c>
    </row>
    <row r="524" customHeight="1" spans="1:23">
      <c r="A524" s="2672"/>
      <c r="B524" s="2678"/>
      <c r="C524" s="2679"/>
      <c r="D524" s="2680" t="s">
        <v>11166</v>
      </c>
      <c r="E524" s="2680" t="s">
        <v>11167</v>
      </c>
      <c r="F524" s="2088">
        <v>800</v>
      </c>
      <c r="G524" s="2681"/>
      <c r="H524" s="2682"/>
      <c r="I524" s="2682">
        <v>4251</v>
      </c>
      <c r="J524" s="2682">
        <v>3534</v>
      </c>
      <c r="K524" s="2682">
        <v>5453</v>
      </c>
      <c r="L524" s="2682">
        <v>5045</v>
      </c>
      <c r="M524" s="2682">
        <v>3529</v>
      </c>
      <c r="N524" s="2682">
        <v>4444</v>
      </c>
      <c r="O524" s="2682">
        <v>4852</v>
      </c>
      <c r="P524" s="2682">
        <v>3027</v>
      </c>
      <c r="Q524" s="2682">
        <v>5944</v>
      </c>
      <c r="R524" s="2682">
        <v>3028</v>
      </c>
      <c r="S524" s="2682">
        <v>2964</v>
      </c>
      <c r="T524" s="2682">
        <v>3435</v>
      </c>
      <c r="U524" s="2682">
        <v>3380</v>
      </c>
      <c r="V524" s="2633">
        <f t="shared" si="84"/>
        <v>52886</v>
      </c>
      <c r="W524" s="2683"/>
    </row>
    <row r="525" customHeight="1" spans="1:23">
      <c r="A525" s="2672"/>
      <c r="B525" s="2684"/>
      <c r="C525" s="2685"/>
      <c r="D525" s="2685" t="s">
        <v>11168</v>
      </c>
      <c r="E525" s="2685" t="s">
        <v>11169</v>
      </c>
      <c r="F525" s="2088">
        <v>500</v>
      </c>
      <c r="G525" s="2686"/>
      <c r="H525" s="2088"/>
      <c r="I525" s="2682">
        <v>2808</v>
      </c>
      <c r="J525" s="2682">
        <v>2529</v>
      </c>
      <c r="K525" s="2682">
        <v>3810</v>
      </c>
      <c r="L525" s="2682">
        <v>3595</v>
      </c>
      <c r="M525" s="2682">
        <v>2529</v>
      </c>
      <c r="N525" s="2682">
        <v>3082</v>
      </c>
      <c r="O525" s="2682">
        <v>3309</v>
      </c>
      <c r="P525" s="2682">
        <v>2184</v>
      </c>
      <c r="Q525" s="2682">
        <v>4044</v>
      </c>
      <c r="R525" s="2682">
        <v>2184</v>
      </c>
      <c r="S525" s="2682">
        <v>2075</v>
      </c>
      <c r="T525" s="2682">
        <v>2346</v>
      </c>
      <c r="U525" s="2682">
        <v>2356</v>
      </c>
      <c r="V525" s="2633">
        <f t="shared" si="84"/>
        <v>36851</v>
      </c>
      <c r="W525" s="2683"/>
    </row>
    <row r="526" customHeight="1" spans="1:23">
      <c r="A526" s="2672"/>
      <c r="B526" s="2684"/>
      <c r="C526" s="2685"/>
      <c r="D526" s="2685" t="s">
        <v>11170</v>
      </c>
      <c r="E526" s="2685" t="s">
        <v>11171</v>
      </c>
      <c r="F526" s="2088">
        <v>300</v>
      </c>
      <c r="G526" s="2686"/>
      <c r="H526" s="2088"/>
      <c r="I526" s="2682">
        <v>300</v>
      </c>
      <c r="J526" s="2682">
        <v>0</v>
      </c>
      <c r="K526" s="2682">
        <v>300</v>
      </c>
      <c r="L526" s="2682">
        <v>0</v>
      </c>
      <c r="M526" s="2682">
        <v>0</v>
      </c>
      <c r="N526" s="2682">
        <v>0</v>
      </c>
      <c r="O526" s="2682">
        <v>40</v>
      </c>
      <c r="P526" s="2682">
        <v>63</v>
      </c>
      <c r="Q526" s="2682">
        <v>81</v>
      </c>
      <c r="R526" s="2682">
        <v>63</v>
      </c>
      <c r="S526" s="2682">
        <v>42</v>
      </c>
      <c r="T526" s="2682">
        <v>59</v>
      </c>
      <c r="U526" s="2682">
        <v>73</v>
      </c>
      <c r="V526" s="2633">
        <f t="shared" si="84"/>
        <v>1021</v>
      </c>
      <c r="W526" s="2683"/>
    </row>
    <row r="527" customHeight="1" spans="1:23">
      <c r="A527" s="2672"/>
      <c r="B527" s="2684"/>
      <c r="C527" s="2685"/>
      <c r="D527" s="2685" t="s">
        <v>11172</v>
      </c>
      <c r="E527" s="2685" t="s">
        <v>11173</v>
      </c>
      <c r="F527" s="2088">
        <v>300</v>
      </c>
      <c r="G527" s="2686"/>
      <c r="H527" s="2088"/>
      <c r="I527" s="2682">
        <v>396</v>
      </c>
      <c r="J527" s="2682">
        <v>462</v>
      </c>
      <c r="K527" s="2682">
        <v>660</v>
      </c>
      <c r="L527" s="2682">
        <v>660</v>
      </c>
      <c r="M527" s="2682">
        <v>462</v>
      </c>
      <c r="N527" s="2682">
        <v>528</v>
      </c>
      <c r="O527" s="2682">
        <v>528</v>
      </c>
      <c r="P527" s="2682">
        <v>396</v>
      </c>
      <c r="Q527" s="2682">
        <v>734</v>
      </c>
      <c r="R527" s="2682">
        <v>396</v>
      </c>
      <c r="S527" s="2682">
        <v>363</v>
      </c>
      <c r="T527" s="2682">
        <v>396</v>
      </c>
      <c r="U527" s="2682">
        <v>362</v>
      </c>
      <c r="V527" s="2633">
        <f t="shared" si="84"/>
        <v>6343</v>
      </c>
      <c r="W527" s="2683"/>
    </row>
    <row r="528" customHeight="1" spans="1:23">
      <c r="A528" s="2672"/>
      <c r="B528" s="2687"/>
      <c r="C528" s="2688"/>
      <c r="D528" s="2688" t="s">
        <v>11073</v>
      </c>
      <c r="E528" s="2688" t="s">
        <v>11174</v>
      </c>
      <c r="F528" s="2689">
        <v>300</v>
      </c>
      <c r="G528" s="2690"/>
      <c r="H528" s="2689"/>
      <c r="I528" s="2682">
        <v>300</v>
      </c>
      <c r="J528" s="2691">
        <v>0</v>
      </c>
      <c r="K528" s="2691">
        <v>300</v>
      </c>
      <c r="L528" s="2682">
        <v>300</v>
      </c>
      <c r="M528" s="2682">
        <v>0</v>
      </c>
      <c r="N528" s="2682">
        <v>108</v>
      </c>
      <c r="O528" s="2682">
        <v>168</v>
      </c>
      <c r="P528" s="2682">
        <v>126</v>
      </c>
      <c r="Q528" s="2682">
        <v>234</v>
      </c>
      <c r="R528" s="2682">
        <v>126</v>
      </c>
      <c r="S528" s="2682">
        <v>116</v>
      </c>
      <c r="T528" s="2682">
        <v>126</v>
      </c>
      <c r="U528" s="2682">
        <v>115</v>
      </c>
      <c r="V528" s="2633">
        <f t="shared" si="84"/>
        <v>2019</v>
      </c>
      <c r="W528" s="2692"/>
    </row>
    <row r="529" customHeight="1" spans="1:23">
      <c r="A529" s="2672"/>
      <c r="B529" s="2693"/>
      <c r="C529" s="2694"/>
      <c r="D529" s="2694" t="s">
        <v>11175</v>
      </c>
      <c r="E529" s="2694"/>
      <c r="F529" s="2104"/>
      <c r="G529" s="2695"/>
      <c r="H529" s="2104"/>
      <c r="I529" s="2104">
        <v>210000</v>
      </c>
      <c r="J529" s="2104">
        <v>205000</v>
      </c>
      <c r="K529" s="2104">
        <v>300000</v>
      </c>
      <c r="L529" s="2104">
        <v>288000</v>
      </c>
      <c r="M529" s="2691">
        <v>205000</v>
      </c>
      <c r="N529" s="2691">
        <v>240000</v>
      </c>
      <c r="O529" s="2691">
        <v>255000</v>
      </c>
      <c r="P529" s="2104">
        <v>180000</v>
      </c>
      <c r="Q529" s="2691">
        <v>300000</v>
      </c>
      <c r="R529" s="2691">
        <v>180000</v>
      </c>
      <c r="S529" s="2691">
        <v>170000</v>
      </c>
      <c r="T529" s="2691">
        <v>178000</v>
      </c>
      <c r="U529" s="2691">
        <v>182000</v>
      </c>
      <c r="V529" s="2633">
        <f t="shared" si="84"/>
        <v>2893000</v>
      </c>
      <c r="W529" s="2696"/>
    </row>
    <row r="549" customHeight="1" spans="1:17">
      <c r="A549" s="2697" t="s">
        <v>10579</v>
      </c>
      <c r="B549" s="2698" t="s">
        <v>10580</v>
      </c>
      <c r="C549" s="2699" t="s">
        <v>10581</v>
      </c>
      <c r="D549" s="2700" t="s">
        <v>10583</v>
      </c>
      <c r="E549" s="2700"/>
      <c r="F549" s="2701" t="s">
        <v>10585</v>
      </c>
      <c r="G549" s="2702" t="s">
        <v>10927</v>
      </c>
      <c r="H549" s="2701" t="s">
        <v>11089</v>
      </c>
      <c r="I549" s="2703" t="s">
        <v>11176</v>
      </c>
      <c r="J549" s="2704" t="s">
        <v>11177</v>
      </c>
      <c r="K549" s="2703" t="s">
        <v>11177</v>
      </c>
      <c r="L549" s="2705" t="s">
        <v>11178</v>
      </c>
      <c r="M549" s="2705" t="s">
        <v>11179</v>
      </c>
      <c r="N549" s="2704" t="s">
        <v>11180</v>
      </c>
      <c r="O549" s="2704" t="s">
        <v>11181</v>
      </c>
      <c r="P549" s="2706" t="s">
        <v>10597</v>
      </c>
      <c r="Q549" s="2707" t="s">
        <v>11103</v>
      </c>
    </row>
    <row r="550" customHeight="1" spans="1:17">
      <c r="A550" s="2605" t="s">
        <v>10599</v>
      </c>
      <c r="B550" s="2606"/>
      <c r="C550" s="2607"/>
      <c r="D550" s="2608"/>
      <c r="E550" s="2608"/>
      <c r="F550" s="2609"/>
      <c r="G550" s="2610"/>
      <c r="H550" s="2609"/>
      <c r="I550" s="2612">
        <v>45217</v>
      </c>
      <c r="J550" s="2611">
        <v>45385</v>
      </c>
      <c r="K550" s="2612">
        <v>45422</v>
      </c>
      <c r="L550" s="2613">
        <v>45456</v>
      </c>
      <c r="M550" s="2613">
        <v>45558</v>
      </c>
      <c r="N550" s="2611">
        <v>45839</v>
      </c>
      <c r="O550" s="2611">
        <v>45872</v>
      </c>
      <c r="P550" s="2614"/>
      <c r="Q550" s="2615"/>
    </row>
    <row r="551" customHeight="1" spans="1:17">
      <c r="A551" s="2616" t="s">
        <v>10604</v>
      </c>
      <c r="B551" s="2617"/>
      <c r="C551" s="2618"/>
      <c r="D551" s="2619"/>
      <c r="E551" s="2619"/>
      <c r="F551" s="2620"/>
      <c r="G551" s="2621"/>
      <c r="H551" s="2620"/>
      <c r="I551" s="2623">
        <f>I550+35</f>
        <v>45252</v>
      </c>
      <c r="J551" s="2622">
        <f>J550+35</f>
        <v>45420</v>
      </c>
      <c r="K551" s="2623">
        <v>45457</v>
      </c>
      <c r="L551" s="2624">
        <v>45491</v>
      </c>
      <c r="M551" s="2624">
        <v>45593</v>
      </c>
      <c r="N551" s="2622">
        <v>45874</v>
      </c>
      <c r="O551" s="2708">
        <f>O550+35</f>
        <v>45907</v>
      </c>
      <c r="P551" s="2625"/>
      <c r="Q551" s="2626"/>
    </row>
    <row r="552" customHeight="1" spans="1:17">
      <c r="A552" s="2627" t="s">
        <v>11182</v>
      </c>
      <c r="B552" s="2709" t="s">
        <v>8781</v>
      </c>
      <c r="C552" s="2629">
        <v>1</v>
      </c>
      <c r="D552" s="2630" t="s">
        <v>11183</v>
      </c>
      <c r="E552" s="2631"/>
      <c r="F552" s="2003">
        <v>800</v>
      </c>
      <c r="G552" s="2632">
        <v>0.220626</v>
      </c>
      <c r="H552" s="2003">
        <f t="shared" ref="H552:H580" si="87">F552/G552</f>
        <v>3626.04588761071</v>
      </c>
      <c r="I552" s="2005">
        <v>6619</v>
      </c>
      <c r="J552" s="2005">
        <v>4413</v>
      </c>
      <c r="K552" s="2005">
        <v>5515</v>
      </c>
      <c r="L552" s="2005">
        <v>6619</v>
      </c>
      <c r="M552" s="2005">
        <v>6619</v>
      </c>
      <c r="N552" s="2005">
        <v>5516</v>
      </c>
      <c r="O552" s="2641">
        <v>0</v>
      </c>
      <c r="P552" s="2633">
        <f>SUM(I552:O552)</f>
        <v>35301</v>
      </c>
      <c r="Q552" s="2634">
        <f t="shared" ref="Q552:Q580" si="88">ROUND(P552/G552,-1)</f>
        <v>160000</v>
      </c>
    </row>
    <row r="553" customHeight="1" spans="1:17">
      <c r="A553" s="2635"/>
      <c r="B553" s="2636"/>
      <c r="C553" s="2637"/>
      <c r="D553" s="2638" t="s">
        <v>11184</v>
      </c>
      <c r="E553" s="2639"/>
      <c r="F553" s="2016">
        <v>800</v>
      </c>
      <c r="G553" s="2640">
        <v>0.019776</v>
      </c>
      <c r="H553" s="2016">
        <f t="shared" si="87"/>
        <v>40453.074433657</v>
      </c>
      <c r="I553" s="2643">
        <v>800</v>
      </c>
      <c r="J553" s="2019">
        <v>800</v>
      </c>
      <c r="K553" s="2641"/>
      <c r="L553" s="2641">
        <v>477</v>
      </c>
      <c r="M553" s="2641">
        <v>800</v>
      </c>
      <c r="N553" s="2641">
        <v>288</v>
      </c>
      <c r="O553" s="2641">
        <v>0</v>
      </c>
      <c r="P553" s="2633">
        <f t="shared" ref="P553:P585" si="89">SUM(I553:O553)</f>
        <v>3165</v>
      </c>
      <c r="Q553" s="2642">
        <f t="shared" si="88"/>
        <v>160040</v>
      </c>
    </row>
    <row r="554" customHeight="1" spans="1:17">
      <c r="A554" s="2635"/>
      <c r="B554" s="2636"/>
      <c r="C554" s="2637"/>
      <c r="D554" s="2638" t="s">
        <v>11185</v>
      </c>
      <c r="E554" s="2639"/>
      <c r="F554" s="2016"/>
      <c r="G554" s="2640">
        <v>0.02369</v>
      </c>
      <c r="H554" s="2016">
        <f t="shared" si="87"/>
        <v>0</v>
      </c>
      <c r="I554" s="2019">
        <v>711</v>
      </c>
      <c r="J554" s="2019">
        <v>474</v>
      </c>
      <c r="K554" s="2641">
        <v>592</v>
      </c>
      <c r="L554" s="2641">
        <v>711</v>
      </c>
      <c r="M554" s="2641">
        <v>711</v>
      </c>
      <c r="N554" s="2641">
        <v>592</v>
      </c>
      <c r="O554" s="2641">
        <v>0</v>
      </c>
      <c r="P554" s="2633">
        <f t="shared" si="89"/>
        <v>3791</v>
      </c>
      <c r="Q554" s="2642">
        <f t="shared" si="88"/>
        <v>160030</v>
      </c>
    </row>
    <row r="555" customHeight="1" spans="1:17">
      <c r="A555" s="2635"/>
      <c r="B555" s="2636"/>
      <c r="C555" s="2637"/>
      <c r="D555" s="2638" t="s">
        <v>11186</v>
      </c>
      <c r="E555" s="2639"/>
      <c r="F555" s="2016">
        <v>500</v>
      </c>
      <c r="G555" s="2640">
        <v>0.003296</v>
      </c>
      <c r="H555" s="2016">
        <f t="shared" si="87"/>
        <v>151699.029126214</v>
      </c>
      <c r="I555" s="2643">
        <v>500</v>
      </c>
      <c r="J555" s="2019"/>
      <c r="K555" s="2641"/>
      <c r="L555" s="2641"/>
      <c r="M555" s="2641"/>
      <c r="N555" s="2641">
        <v>28</v>
      </c>
      <c r="O555" s="2641">
        <v>0</v>
      </c>
      <c r="P555" s="2633">
        <f t="shared" si="89"/>
        <v>528</v>
      </c>
      <c r="Q555" s="2642">
        <f t="shared" si="88"/>
        <v>160190</v>
      </c>
    </row>
    <row r="556" customHeight="1" spans="1:17">
      <c r="A556" s="2635"/>
      <c r="B556" s="2636"/>
      <c r="C556" s="2637"/>
      <c r="D556" s="2638" t="s">
        <v>11187</v>
      </c>
      <c r="E556" s="2639"/>
      <c r="F556" s="2016">
        <v>500</v>
      </c>
      <c r="G556" s="2640">
        <v>0.013699</v>
      </c>
      <c r="H556" s="2016">
        <f t="shared" si="87"/>
        <v>36499.0145266078</v>
      </c>
      <c r="I556" s="2643">
        <v>500</v>
      </c>
      <c r="J556" s="2643">
        <v>500</v>
      </c>
      <c r="K556" s="2644">
        <v>500</v>
      </c>
      <c r="L556" s="2644"/>
      <c r="M556" s="2644">
        <v>500</v>
      </c>
      <c r="N556" s="2644">
        <v>192</v>
      </c>
      <c r="O556" s="2641">
        <v>0</v>
      </c>
      <c r="P556" s="2633">
        <f t="shared" si="89"/>
        <v>2192</v>
      </c>
      <c r="Q556" s="2642">
        <f t="shared" si="88"/>
        <v>160010</v>
      </c>
    </row>
    <row r="557" customHeight="1" spans="1:17">
      <c r="A557" s="2635"/>
      <c r="B557" s="2636"/>
      <c r="C557" s="2637"/>
      <c r="D557" s="2638" t="s">
        <v>11188</v>
      </c>
      <c r="E557" s="2639"/>
      <c r="F557" s="2016">
        <v>800</v>
      </c>
      <c r="G557" s="2640">
        <v>0.049646</v>
      </c>
      <c r="H557" s="2016">
        <f t="shared" si="87"/>
        <v>16114.0877412077</v>
      </c>
      <c r="I557" s="2019">
        <v>1490</v>
      </c>
      <c r="J557" s="2019">
        <v>993</v>
      </c>
      <c r="K557" s="2641">
        <v>1241</v>
      </c>
      <c r="L557" s="2641">
        <v>1489</v>
      </c>
      <c r="M557" s="2641">
        <v>1490</v>
      </c>
      <c r="N557" s="2641">
        <v>1241</v>
      </c>
      <c r="O557" s="2641">
        <v>0</v>
      </c>
      <c r="P557" s="2633">
        <f t="shared" si="89"/>
        <v>7944</v>
      </c>
      <c r="Q557" s="2642">
        <f t="shared" si="88"/>
        <v>160010</v>
      </c>
    </row>
    <row r="558" customHeight="1" spans="1:17">
      <c r="A558" s="2635"/>
      <c r="B558" s="2636"/>
      <c r="C558" s="2637"/>
      <c r="D558" s="2638" t="s">
        <v>11081</v>
      </c>
      <c r="E558" s="2639" t="s">
        <v>10685</v>
      </c>
      <c r="F558" s="2016"/>
      <c r="G558" s="2640">
        <v>0.024926</v>
      </c>
      <c r="H558" s="2016">
        <f t="shared" si="87"/>
        <v>0</v>
      </c>
      <c r="I558" s="2643">
        <v>748</v>
      </c>
      <c r="J558" s="2019">
        <v>499</v>
      </c>
      <c r="K558" s="2641">
        <v>623</v>
      </c>
      <c r="L558" s="2641">
        <v>748</v>
      </c>
      <c r="M558" s="2641">
        <v>748</v>
      </c>
      <c r="N558" s="2641">
        <v>623</v>
      </c>
      <c r="O558" s="2641">
        <v>0</v>
      </c>
      <c r="P558" s="2633">
        <f t="shared" si="89"/>
        <v>3989</v>
      </c>
      <c r="Q558" s="2642">
        <f t="shared" si="88"/>
        <v>160030</v>
      </c>
    </row>
    <row r="559" customHeight="1" spans="1:17">
      <c r="A559" s="2635"/>
      <c r="B559" s="2636"/>
      <c r="C559" s="2637"/>
      <c r="D559" s="2638" t="s">
        <v>11189</v>
      </c>
      <c r="E559" s="2639" t="s">
        <v>10696</v>
      </c>
      <c r="F559" s="2016">
        <v>500</v>
      </c>
      <c r="G559" s="2640">
        <v>0.0206</v>
      </c>
      <c r="H559" s="2016">
        <f t="shared" si="87"/>
        <v>24271.8446601942</v>
      </c>
      <c r="I559" s="2643">
        <v>618</v>
      </c>
      <c r="J559" s="2019">
        <v>412</v>
      </c>
      <c r="K559" s="2641">
        <v>515</v>
      </c>
      <c r="L559" s="2641">
        <v>618</v>
      </c>
      <c r="M559" s="2641">
        <v>618</v>
      </c>
      <c r="N559" s="2641">
        <v>515</v>
      </c>
      <c r="O559" s="2641">
        <v>0</v>
      </c>
      <c r="P559" s="2633">
        <f t="shared" si="89"/>
        <v>3296</v>
      </c>
      <c r="Q559" s="2642">
        <f t="shared" si="88"/>
        <v>160000</v>
      </c>
    </row>
    <row r="560" customHeight="1" spans="1:17">
      <c r="A560" s="2635"/>
      <c r="B560" s="2636"/>
      <c r="C560" s="2637"/>
      <c r="D560" s="2638" t="s">
        <v>11190</v>
      </c>
      <c r="E560" s="2639"/>
      <c r="F560" s="2016">
        <v>500</v>
      </c>
      <c r="G560" s="2640">
        <v>0.00309</v>
      </c>
      <c r="H560" s="2016">
        <f t="shared" si="87"/>
        <v>161812.297734628</v>
      </c>
      <c r="I560" s="2643">
        <v>500</v>
      </c>
      <c r="J560" s="2019"/>
      <c r="K560" s="2641"/>
      <c r="L560" s="2641"/>
      <c r="M560" s="2641"/>
      <c r="N560" s="2641"/>
      <c r="O560" s="2641">
        <v>0</v>
      </c>
      <c r="P560" s="2633">
        <f t="shared" si="89"/>
        <v>500</v>
      </c>
      <c r="Q560" s="2642">
        <f t="shared" si="88"/>
        <v>161810</v>
      </c>
    </row>
    <row r="561" customHeight="1" spans="1:17">
      <c r="A561" s="2635"/>
      <c r="B561" s="2636"/>
      <c r="C561" s="2637"/>
      <c r="D561" s="2638" t="s">
        <v>11191</v>
      </c>
      <c r="E561" s="2639" t="s">
        <v>10907</v>
      </c>
      <c r="F561" s="2016"/>
      <c r="G561" s="2640">
        <v>2</v>
      </c>
      <c r="H561" s="2016">
        <f t="shared" si="87"/>
        <v>0</v>
      </c>
      <c r="I561" s="2643">
        <v>60000</v>
      </c>
      <c r="J561" s="2643">
        <v>40000</v>
      </c>
      <c r="K561" s="2644">
        <v>50000</v>
      </c>
      <c r="L561" s="2644">
        <v>60000</v>
      </c>
      <c r="M561" s="2644">
        <v>60000</v>
      </c>
      <c r="N561" s="2644">
        <v>50000</v>
      </c>
      <c r="O561" s="2641">
        <v>0</v>
      </c>
      <c r="P561" s="2633">
        <f t="shared" si="89"/>
        <v>320000</v>
      </c>
      <c r="Q561" s="2642">
        <f t="shared" si="88"/>
        <v>160000</v>
      </c>
    </row>
    <row r="562" customHeight="1" spans="1:17">
      <c r="A562" s="2635"/>
      <c r="B562" s="2636"/>
      <c r="C562" s="2637"/>
      <c r="D562" s="2638" t="s">
        <v>10650</v>
      </c>
      <c r="E562" s="2639"/>
      <c r="F562" s="2016"/>
      <c r="G562" s="2640">
        <v>1</v>
      </c>
      <c r="H562" s="2016">
        <f t="shared" si="87"/>
        <v>0</v>
      </c>
      <c r="I562" s="2019">
        <v>30000</v>
      </c>
      <c r="J562" s="2019">
        <v>20000</v>
      </c>
      <c r="K562" s="2641">
        <v>25000</v>
      </c>
      <c r="L562" s="2641">
        <v>30000</v>
      </c>
      <c r="M562" s="2641">
        <v>30000</v>
      </c>
      <c r="N562" s="2641">
        <v>25000</v>
      </c>
      <c r="O562" s="2641">
        <v>0</v>
      </c>
      <c r="P562" s="2633">
        <f t="shared" si="89"/>
        <v>160000</v>
      </c>
      <c r="Q562" s="2642">
        <f t="shared" si="88"/>
        <v>160000</v>
      </c>
    </row>
    <row r="563" customHeight="1" spans="1:17">
      <c r="A563" s="2635"/>
      <c r="B563" s="2709" t="s">
        <v>8576</v>
      </c>
      <c r="C563" s="2629">
        <v>1</v>
      </c>
      <c r="D563" s="2630" t="s">
        <v>11192</v>
      </c>
      <c r="E563" s="2631"/>
      <c r="F563" s="2003">
        <v>800</v>
      </c>
      <c r="G563" s="2632">
        <v>0.2107792</v>
      </c>
      <c r="H563" s="2003">
        <f t="shared" si="87"/>
        <v>3795.44091637125</v>
      </c>
      <c r="I563" s="2006">
        <v>6324</v>
      </c>
      <c r="J563" s="2006">
        <v>4215</v>
      </c>
      <c r="K563" s="2006">
        <v>5270</v>
      </c>
      <c r="L563" s="2006">
        <v>6323</v>
      </c>
      <c r="M563" s="2006">
        <v>6324</v>
      </c>
      <c r="N563" s="2006"/>
      <c r="O563" s="2006">
        <v>4215</v>
      </c>
      <c r="P563" s="2633">
        <f t="shared" si="89"/>
        <v>32671</v>
      </c>
      <c r="Q563" s="2634">
        <f t="shared" si="88"/>
        <v>155000</v>
      </c>
    </row>
    <row r="564" customHeight="1" spans="1:17">
      <c r="A564" s="2635"/>
      <c r="B564" s="2636"/>
      <c r="C564" s="2637"/>
      <c r="D564" s="2638" t="s">
        <v>11193</v>
      </c>
      <c r="E564" s="2639"/>
      <c r="F564" s="2016">
        <v>500</v>
      </c>
      <c r="G564" s="2640">
        <v>0.002369</v>
      </c>
      <c r="H564" s="2016">
        <f t="shared" si="87"/>
        <v>211059.518784297</v>
      </c>
      <c r="I564" s="2643">
        <v>500</v>
      </c>
      <c r="J564" s="2641"/>
      <c r="K564" s="2641"/>
      <c r="L564" s="2641"/>
      <c r="M564" s="2641"/>
      <c r="N564" s="2641"/>
      <c r="O564" s="2641"/>
      <c r="P564" s="2633">
        <f t="shared" si="89"/>
        <v>500</v>
      </c>
      <c r="Q564" s="2642">
        <f t="shared" si="88"/>
        <v>211060</v>
      </c>
    </row>
    <row r="565" customHeight="1" spans="1:17">
      <c r="A565" s="2635"/>
      <c r="B565" s="2636"/>
      <c r="C565" s="2637"/>
      <c r="D565" s="2638" t="s">
        <v>11194</v>
      </c>
      <c r="E565" s="2639"/>
      <c r="F565" s="2016">
        <v>500</v>
      </c>
      <c r="G565" s="2640">
        <v>0.013699</v>
      </c>
      <c r="H565" s="2016">
        <f t="shared" si="87"/>
        <v>36499.0145266078</v>
      </c>
      <c r="I565" s="2643">
        <v>500</v>
      </c>
      <c r="J565" s="2641">
        <v>500</v>
      </c>
      <c r="K565" s="2641">
        <v>500</v>
      </c>
      <c r="L565" s="2641"/>
      <c r="M565" s="2641">
        <v>500</v>
      </c>
      <c r="N565" s="2641"/>
      <c r="O565" s="2641">
        <v>124</v>
      </c>
      <c r="P565" s="2633">
        <f t="shared" si="89"/>
        <v>2124</v>
      </c>
      <c r="Q565" s="2642">
        <f t="shared" si="88"/>
        <v>155050</v>
      </c>
    </row>
    <row r="566" customHeight="1" spans="1:17">
      <c r="A566" s="2635"/>
      <c r="B566" s="2636"/>
      <c r="C566" s="2637"/>
      <c r="D566" s="2638" t="s">
        <v>11195</v>
      </c>
      <c r="E566" s="2639"/>
      <c r="F566" s="2016">
        <v>500</v>
      </c>
      <c r="G566" s="2640">
        <v>0.065096</v>
      </c>
      <c r="H566" s="2016">
        <f t="shared" si="87"/>
        <v>7680.96350006145</v>
      </c>
      <c r="I566" s="2019">
        <v>1953</v>
      </c>
      <c r="J566" s="2641">
        <v>1302</v>
      </c>
      <c r="K566" s="2641">
        <v>1628</v>
      </c>
      <c r="L566" s="2641">
        <v>1953</v>
      </c>
      <c r="M566" s="2641">
        <v>1952</v>
      </c>
      <c r="N566" s="2641"/>
      <c r="O566" s="2641">
        <v>1302</v>
      </c>
      <c r="P566" s="2633">
        <f t="shared" si="89"/>
        <v>10090</v>
      </c>
      <c r="Q566" s="2642">
        <f t="shared" si="88"/>
        <v>155000</v>
      </c>
    </row>
    <row r="567" customHeight="1" spans="1:17">
      <c r="A567" s="2635"/>
      <c r="B567" s="2636"/>
      <c r="C567" s="2637"/>
      <c r="D567" s="2638" t="s">
        <v>11081</v>
      </c>
      <c r="E567" s="2639" t="s">
        <v>10685</v>
      </c>
      <c r="F567" s="2016"/>
      <c r="G567" s="2640">
        <v>0.0242359</v>
      </c>
      <c r="H567" s="2016">
        <f t="shared" si="87"/>
        <v>0</v>
      </c>
      <c r="I567" s="2643">
        <v>728</v>
      </c>
      <c r="J567" s="2644">
        <v>484</v>
      </c>
      <c r="K567" s="2644">
        <v>606</v>
      </c>
      <c r="L567" s="2644">
        <v>727</v>
      </c>
      <c r="M567" s="2644">
        <v>727</v>
      </c>
      <c r="N567" s="2644"/>
      <c r="O567" s="2644">
        <v>485</v>
      </c>
      <c r="P567" s="2633">
        <f t="shared" si="89"/>
        <v>3757</v>
      </c>
      <c r="Q567" s="2642">
        <f t="shared" si="88"/>
        <v>155020</v>
      </c>
    </row>
    <row r="568" customHeight="1" spans="1:17">
      <c r="A568" s="2635"/>
      <c r="B568" s="2636"/>
      <c r="C568" s="2637"/>
      <c r="D568" s="2638" t="s">
        <v>11189</v>
      </c>
      <c r="E568" s="2639" t="s">
        <v>10696</v>
      </c>
      <c r="F568" s="2016"/>
      <c r="G568" s="2640">
        <v>0.0206</v>
      </c>
      <c r="H568" s="2016">
        <f t="shared" si="87"/>
        <v>0</v>
      </c>
      <c r="I568" s="2643">
        <v>618</v>
      </c>
      <c r="J568" s="2641">
        <v>412</v>
      </c>
      <c r="K568" s="2641">
        <v>515</v>
      </c>
      <c r="L568" s="2641">
        <v>618</v>
      </c>
      <c r="M568" s="2641">
        <v>618</v>
      </c>
      <c r="N568" s="2641"/>
      <c r="O568" s="2641">
        <v>412</v>
      </c>
      <c r="P568" s="2633">
        <f t="shared" si="89"/>
        <v>3193</v>
      </c>
      <c r="Q568" s="2642">
        <f t="shared" si="88"/>
        <v>155000</v>
      </c>
    </row>
    <row r="569" customHeight="1" spans="1:17">
      <c r="A569" s="2635"/>
      <c r="B569" s="2636"/>
      <c r="C569" s="2637"/>
      <c r="D569" s="2638" t="s">
        <v>11196</v>
      </c>
      <c r="E569" s="2639"/>
      <c r="F569" s="2016">
        <v>500</v>
      </c>
      <c r="G569" s="2640">
        <v>0.00309</v>
      </c>
      <c r="H569" s="2016">
        <f t="shared" si="87"/>
        <v>161812.297734628</v>
      </c>
      <c r="I569" s="2643">
        <v>500</v>
      </c>
      <c r="J569" s="2641"/>
      <c r="K569" s="2641"/>
      <c r="L569" s="2641"/>
      <c r="M569" s="2641"/>
      <c r="N569" s="2641"/>
      <c r="O569" s="2641"/>
      <c r="P569" s="2633">
        <f t="shared" si="89"/>
        <v>500</v>
      </c>
      <c r="Q569" s="2642">
        <f t="shared" si="88"/>
        <v>161810</v>
      </c>
    </row>
    <row r="570" customHeight="1" spans="1:17">
      <c r="A570" s="2635"/>
      <c r="B570" s="2636"/>
      <c r="C570" s="2637"/>
      <c r="D570" s="2638" t="s">
        <v>11191</v>
      </c>
      <c r="E570" s="2639" t="s">
        <v>10907</v>
      </c>
      <c r="F570" s="2016"/>
      <c r="G570" s="2640">
        <v>2</v>
      </c>
      <c r="H570" s="2016">
        <f t="shared" si="87"/>
        <v>0</v>
      </c>
      <c r="I570" s="2019">
        <v>60000</v>
      </c>
      <c r="J570" s="2641">
        <v>40000</v>
      </c>
      <c r="K570" s="2641">
        <v>50000</v>
      </c>
      <c r="L570" s="2641">
        <v>60000</v>
      </c>
      <c r="M570" s="2641">
        <v>60000</v>
      </c>
      <c r="N570" s="2641"/>
      <c r="O570" s="2641">
        <v>40000</v>
      </c>
      <c r="P570" s="2633">
        <f t="shared" si="89"/>
        <v>310000</v>
      </c>
      <c r="Q570" s="2642">
        <f t="shared" si="88"/>
        <v>155000</v>
      </c>
    </row>
    <row r="571" customHeight="1" spans="1:17">
      <c r="A571" s="2635"/>
      <c r="B571" s="2710"/>
      <c r="C571" s="2711"/>
      <c r="D571" s="2712" t="s">
        <v>10650</v>
      </c>
      <c r="E571" s="2713"/>
      <c r="F571" s="2714"/>
      <c r="G571" s="2715">
        <v>1</v>
      </c>
      <c r="H571" s="2714">
        <f t="shared" si="87"/>
        <v>0</v>
      </c>
      <c r="I571" s="2716">
        <v>30000</v>
      </c>
      <c r="J571" s="2652">
        <v>20000</v>
      </c>
      <c r="K571" s="2652">
        <v>25000</v>
      </c>
      <c r="L571" s="2652">
        <v>30000</v>
      </c>
      <c r="M571" s="2652">
        <v>30000</v>
      </c>
      <c r="N571" s="2652"/>
      <c r="O571" s="2652">
        <v>20000</v>
      </c>
      <c r="P571" s="2633">
        <f t="shared" si="89"/>
        <v>155000</v>
      </c>
      <c r="Q571" s="2717">
        <f t="shared" si="88"/>
        <v>155000</v>
      </c>
    </row>
    <row r="572" customHeight="1" spans="1:17">
      <c r="A572" s="2635"/>
      <c r="B572" s="2718" t="s">
        <v>8571</v>
      </c>
      <c r="C572" s="2666">
        <v>1</v>
      </c>
      <c r="D572" s="2630" t="s">
        <v>11197</v>
      </c>
      <c r="E572" s="2631"/>
      <c r="F572" s="2003"/>
      <c r="G572" s="2632">
        <v>0.2098522</v>
      </c>
      <c r="H572" s="2003">
        <f t="shared" si="87"/>
        <v>0</v>
      </c>
      <c r="I572" s="2719">
        <v>6296</v>
      </c>
      <c r="J572" s="2005">
        <v>4197</v>
      </c>
      <c r="K572" s="2005">
        <v>4197</v>
      </c>
      <c r="L572" s="2005">
        <v>6296</v>
      </c>
      <c r="M572" s="2005">
        <v>6295</v>
      </c>
      <c r="N572" s="2005"/>
      <c r="O572" s="2005">
        <v>4197</v>
      </c>
      <c r="P572" s="2633">
        <f t="shared" si="89"/>
        <v>31478</v>
      </c>
      <c r="Q572" s="2634">
        <f t="shared" si="88"/>
        <v>150000</v>
      </c>
    </row>
    <row r="573" customHeight="1" spans="1:17">
      <c r="A573" s="2635"/>
      <c r="B573" s="2654"/>
      <c r="C573" s="2655"/>
      <c r="D573" s="2638" t="s">
        <v>11198</v>
      </c>
      <c r="E573" s="2639"/>
      <c r="F573" s="2016"/>
      <c r="G573" s="2640">
        <v>0.052633</v>
      </c>
      <c r="H573" s="2016">
        <f t="shared" si="87"/>
        <v>0</v>
      </c>
      <c r="I573" s="2643">
        <v>1579</v>
      </c>
      <c r="J573" s="2644">
        <v>1053</v>
      </c>
      <c r="K573" s="2644">
        <v>1053</v>
      </c>
      <c r="L573" s="2644">
        <v>1579</v>
      </c>
      <c r="M573" s="2644">
        <v>1579</v>
      </c>
      <c r="N573" s="2644"/>
      <c r="O573" s="2644">
        <v>1052</v>
      </c>
      <c r="P573" s="2633">
        <f t="shared" si="89"/>
        <v>7895</v>
      </c>
      <c r="Q573" s="2642">
        <f t="shared" si="88"/>
        <v>150000</v>
      </c>
    </row>
    <row r="574" customHeight="1" spans="1:17">
      <c r="A574" s="2635"/>
      <c r="B574" s="2654"/>
      <c r="C574" s="2655"/>
      <c r="D574" s="2638" t="s">
        <v>11062</v>
      </c>
      <c r="E574" s="2639"/>
      <c r="F574" s="2016">
        <v>500</v>
      </c>
      <c r="G574" s="2640">
        <v>0.013699</v>
      </c>
      <c r="H574" s="2016">
        <f t="shared" si="87"/>
        <v>36499.0145266078</v>
      </c>
      <c r="I574" s="2643">
        <v>500</v>
      </c>
      <c r="J574" s="2644">
        <v>500</v>
      </c>
      <c r="K574" s="2641"/>
      <c r="L574" s="2641">
        <v>370</v>
      </c>
      <c r="M574" s="2641">
        <v>500</v>
      </c>
      <c r="N574" s="2641"/>
      <c r="O574" s="2641">
        <v>185</v>
      </c>
      <c r="P574" s="2633">
        <f t="shared" si="89"/>
        <v>2055</v>
      </c>
      <c r="Q574" s="2642">
        <f t="shared" si="88"/>
        <v>150010</v>
      </c>
    </row>
    <row r="575" customHeight="1" spans="1:17">
      <c r="A575" s="2635"/>
      <c r="B575" s="2654"/>
      <c r="C575" s="2655"/>
      <c r="D575" s="2638" t="s">
        <v>11199</v>
      </c>
      <c r="E575" s="2639"/>
      <c r="F575" s="2016">
        <v>500</v>
      </c>
      <c r="G575" s="2640">
        <v>0.098674</v>
      </c>
      <c r="H575" s="2016">
        <f t="shared" si="87"/>
        <v>5067.19095202384</v>
      </c>
      <c r="I575" s="2643">
        <v>2961</v>
      </c>
      <c r="J575" s="2641">
        <v>1973</v>
      </c>
      <c r="K575" s="2641">
        <v>1974</v>
      </c>
      <c r="L575" s="2641">
        <v>2960</v>
      </c>
      <c r="M575" s="2641">
        <v>2960</v>
      </c>
      <c r="N575" s="2641"/>
      <c r="O575" s="2641">
        <v>1974</v>
      </c>
      <c r="P575" s="2633">
        <f t="shared" si="89"/>
        <v>14802</v>
      </c>
      <c r="Q575" s="2642">
        <f t="shared" si="88"/>
        <v>150010</v>
      </c>
    </row>
    <row r="576" customHeight="1" spans="1:17">
      <c r="A576" s="2635"/>
      <c r="B576" s="2654"/>
      <c r="C576" s="2655"/>
      <c r="D576" s="2638" t="s">
        <v>11081</v>
      </c>
      <c r="E576" s="2639" t="s">
        <v>10685</v>
      </c>
      <c r="F576" s="2016"/>
      <c r="G576" s="2640">
        <v>0.02266</v>
      </c>
      <c r="H576" s="2016">
        <f t="shared" si="87"/>
        <v>0</v>
      </c>
      <c r="I576" s="2019">
        <v>680</v>
      </c>
      <c r="J576" s="2641">
        <v>453</v>
      </c>
      <c r="K576" s="2641">
        <v>454</v>
      </c>
      <c r="L576" s="2641">
        <v>679</v>
      </c>
      <c r="M576" s="2641">
        <v>680</v>
      </c>
      <c r="N576" s="2641"/>
      <c r="O576" s="2641">
        <v>453</v>
      </c>
      <c r="P576" s="2633">
        <f t="shared" si="89"/>
        <v>3399</v>
      </c>
      <c r="Q576" s="2642">
        <f t="shared" si="88"/>
        <v>150000</v>
      </c>
    </row>
    <row r="577" customHeight="1" spans="1:17">
      <c r="A577" s="2635"/>
      <c r="B577" s="2654"/>
      <c r="C577" s="2655"/>
      <c r="D577" s="2638" t="s">
        <v>11189</v>
      </c>
      <c r="E577" s="2639" t="s">
        <v>10696</v>
      </c>
      <c r="F577" s="2016">
        <v>500</v>
      </c>
      <c r="G577" s="2640">
        <v>0.0206</v>
      </c>
      <c r="H577" s="2016">
        <f t="shared" si="87"/>
        <v>24271.8446601942</v>
      </c>
      <c r="I577" s="2643">
        <v>618</v>
      </c>
      <c r="J577" s="2644">
        <v>412</v>
      </c>
      <c r="K577" s="2644">
        <v>412</v>
      </c>
      <c r="L577" s="2644">
        <v>618</v>
      </c>
      <c r="M577" s="2644">
        <v>618</v>
      </c>
      <c r="N577" s="2644"/>
      <c r="O577" s="2644">
        <v>412</v>
      </c>
      <c r="P577" s="2633">
        <f t="shared" si="89"/>
        <v>3090</v>
      </c>
      <c r="Q577" s="2642">
        <f t="shared" si="88"/>
        <v>150000</v>
      </c>
    </row>
    <row r="578" customHeight="1" spans="1:17">
      <c r="A578" s="2635"/>
      <c r="B578" s="2654"/>
      <c r="C578" s="2655"/>
      <c r="D578" s="2638" t="s">
        <v>11200</v>
      </c>
      <c r="E578" s="2639"/>
      <c r="F578" s="2016">
        <v>500</v>
      </c>
      <c r="G578" s="2640">
        <v>0.00309</v>
      </c>
      <c r="H578" s="2016">
        <f t="shared" si="87"/>
        <v>161812.297734628</v>
      </c>
      <c r="I578" s="2643">
        <v>93</v>
      </c>
      <c r="J578" s="2644">
        <v>62</v>
      </c>
      <c r="K578" s="2644">
        <v>62</v>
      </c>
      <c r="L578" s="2644">
        <v>92</v>
      </c>
      <c r="M578" s="2644">
        <v>93</v>
      </c>
      <c r="N578" s="2644"/>
      <c r="O578" s="2644">
        <v>62</v>
      </c>
      <c r="P578" s="2633">
        <f t="shared" si="89"/>
        <v>464</v>
      </c>
      <c r="Q578" s="2642">
        <f t="shared" si="88"/>
        <v>150160</v>
      </c>
    </row>
    <row r="579" customHeight="1" spans="1:17">
      <c r="A579" s="2635"/>
      <c r="B579" s="2654"/>
      <c r="C579" s="2655"/>
      <c r="D579" s="2638" t="s">
        <v>11191</v>
      </c>
      <c r="E579" s="2639" t="s">
        <v>10907</v>
      </c>
      <c r="F579" s="2016"/>
      <c r="G579" s="2640">
        <v>2</v>
      </c>
      <c r="H579" s="2016">
        <f t="shared" si="87"/>
        <v>0</v>
      </c>
      <c r="I579" s="2019">
        <v>60000</v>
      </c>
      <c r="J579" s="2641">
        <v>40000</v>
      </c>
      <c r="K579" s="2641">
        <v>40000</v>
      </c>
      <c r="L579" s="2641">
        <v>60000</v>
      </c>
      <c r="M579" s="2641">
        <v>60000</v>
      </c>
      <c r="N579" s="2641"/>
      <c r="O579" s="2641">
        <v>40000</v>
      </c>
      <c r="P579" s="2633">
        <f t="shared" si="89"/>
        <v>300000</v>
      </c>
      <c r="Q579" s="2642">
        <f t="shared" si="88"/>
        <v>150000</v>
      </c>
    </row>
    <row r="580" customHeight="1" spans="1:17">
      <c r="A580" s="2635"/>
      <c r="B580" s="2663"/>
      <c r="C580" s="2664"/>
      <c r="D580" s="2648" t="s">
        <v>10650</v>
      </c>
      <c r="E580" s="2649"/>
      <c r="F580" s="2039"/>
      <c r="G580" s="2650">
        <v>1</v>
      </c>
      <c r="H580" s="2039">
        <f t="shared" si="87"/>
        <v>0</v>
      </c>
      <c r="I580" s="2050">
        <v>30000</v>
      </c>
      <c r="J580" s="2651">
        <v>20000</v>
      </c>
      <c r="K580" s="2651">
        <v>20000</v>
      </c>
      <c r="L580" s="2651">
        <v>30000</v>
      </c>
      <c r="M580" s="2651">
        <v>30000</v>
      </c>
      <c r="N580" s="2651"/>
      <c r="O580" s="2651">
        <v>20000</v>
      </c>
      <c r="P580" s="2633">
        <f t="shared" si="89"/>
        <v>150000</v>
      </c>
      <c r="Q580" s="2653">
        <f t="shared" si="88"/>
        <v>150000</v>
      </c>
    </row>
    <row r="581" customHeight="1" spans="1:17">
      <c r="A581" s="2672"/>
      <c r="B581" s="2673" t="s">
        <v>10630</v>
      </c>
      <c r="C581" s="2674">
        <f>SUM(C552:C580)</f>
        <v>3</v>
      </c>
      <c r="D581" s="2675" t="s">
        <v>11165</v>
      </c>
      <c r="E581" s="2675"/>
      <c r="F581" s="2077"/>
      <c r="G581" s="2676"/>
      <c r="H581" s="2077"/>
      <c r="I581" s="2077">
        <v>32326</v>
      </c>
      <c r="J581" s="2077">
        <v>20982</v>
      </c>
      <c r="K581" s="2077">
        <v>22532</v>
      </c>
      <c r="L581" s="2077">
        <v>28869</v>
      </c>
      <c r="M581" s="2077">
        <v>30323</v>
      </c>
      <c r="N581" s="2077">
        <v>7857</v>
      </c>
      <c r="O581" s="2077">
        <v>13111</v>
      </c>
      <c r="P581" s="2633">
        <f t="shared" si="89"/>
        <v>156000</v>
      </c>
      <c r="Q581" s="2677">
        <f>P585</f>
        <v>465000</v>
      </c>
    </row>
    <row r="582" customHeight="1" spans="1:17">
      <c r="A582" s="2672"/>
      <c r="B582" s="2678"/>
      <c r="C582" s="2679"/>
      <c r="D582" s="2680" t="s">
        <v>11081</v>
      </c>
      <c r="E582" s="2680" t="s">
        <v>10685</v>
      </c>
      <c r="F582" s="2088">
        <v>0</v>
      </c>
      <c r="G582" s="2681"/>
      <c r="H582" s="2682"/>
      <c r="I582" s="2682">
        <v>2156</v>
      </c>
      <c r="J582" s="2682">
        <v>1436</v>
      </c>
      <c r="K582" s="2682">
        <v>1683</v>
      </c>
      <c r="L582" s="2682">
        <v>2154</v>
      </c>
      <c r="M582" s="2682">
        <v>2155</v>
      </c>
      <c r="N582" s="2682">
        <v>623</v>
      </c>
      <c r="O582" s="2682">
        <v>938</v>
      </c>
      <c r="P582" s="2633">
        <f t="shared" si="89"/>
        <v>11145</v>
      </c>
      <c r="Q582" s="2683"/>
    </row>
    <row r="583" customHeight="1" spans="1:17">
      <c r="A583" s="2672"/>
      <c r="B583" s="2684"/>
      <c r="C583" s="2685"/>
      <c r="D583" s="2685" t="s">
        <v>11189</v>
      </c>
      <c r="E583" s="2685" t="s">
        <v>10696</v>
      </c>
      <c r="F583" s="2088">
        <v>500</v>
      </c>
      <c r="G583" s="2686"/>
      <c r="H583" s="2088"/>
      <c r="I583" s="2682">
        <v>1854</v>
      </c>
      <c r="J583" s="2682">
        <v>1236</v>
      </c>
      <c r="K583" s="2682">
        <v>1442</v>
      </c>
      <c r="L583" s="2682">
        <v>1854</v>
      </c>
      <c r="M583" s="2682">
        <v>1854</v>
      </c>
      <c r="N583" s="2682">
        <v>515</v>
      </c>
      <c r="O583" s="2682">
        <v>824</v>
      </c>
      <c r="P583" s="2633">
        <f t="shared" si="89"/>
        <v>9579</v>
      </c>
      <c r="Q583" s="2683"/>
    </row>
    <row r="584" customHeight="1" spans="1:17">
      <c r="A584" s="2672"/>
      <c r="B584" s="2684"/>
      <c r="C584" s="2685"/>
      <c r="D584" s="2685" t="s">
        <v>11191</v>
      </c>
      <c r="E584" s="2685" t="s">
        <v>10907</v>
      </c>
      <c r="F584" s="2088">
        <v>0</v>
      </c>
      <c r="G584" s="2686"/>
      <c r="H584" s="2088"/>
      <c r="I584" s="2682">
        <v>180000</v>
      </c>
      <c r="J584" s="2682">
        <v>120000</v>
      </c>
      <c r="K584" s="2682">
        <v>140000</v>
      </c>
      <c r="L584" s="2682">
        <v>180000</v>
      </c>
      <c r="M584" s="2682">
        <v>180000</v>
      </c>
      <c r="N584" s="2682">
        <v>50000</v>
      </c>
      <c r="O584" s="2682">
        <v>80000</v>
      </c>
      <c r="P584" s="2633">
        <f t="shared" si="89"/>
        <v>930000</v>
      </c>
      <c r="Q584" s="2683"/>
    </row>
    <row r="585" customHeight="1" spans="1:17">
      <c r="A585" s="2672"/>
      <c r="B585" s="2693"/>
      <c r="C585" s="2694"/>
      <c r="D585" s="2694" t="s">
        <v>11175</v>
      </c>
      <c r="E585" s="2694"/>
      <c r="F585" s="2104"/>
      <c r="G585" s="2695"/>
      <c r="H585" s="2104"/>
      <c r="I585" s="2104">
        <v>90000</v>
      </c>
      <c r="J585" s="2104">
        <v>60000</v>
      </c>
      <c r="K585" s="2104">
        <v>70000</v>
      </c>
      <c r="L585" s="2104">
        <v>90000</v>
      </c>
      <c r="M585" s="2104">
        <v>90000</v>
      </c>
      <c r="N585" s="2104">
        <v>25000</v>
      </c>
      <c r="O585" s="2691">
        <v>40000</v>
      </c>
      <c r="P585" s="2633">
        <f t="shared" si="89"/>
        <v>465000</v>
      </c>
      <c r="Q585" s="2696"/>
    </row>
    <row r="885" customHeight="1" spans="62:74">
      <c r="BJ885" s="2720"/>
      <c r="BK885" s="2720"/>
      <c r="BL885" s="2720"/>
      <c r="BM885" s="2720"/>
      <c r="BN885" s="2720"/>
      <c r="BO885" s="2720"/>
      <c r="BP885" s="2720"/>
      <c r="BQ885" s="2720"/>
      <c r="BR885" s="2721"/>
      <c r="BS885" s="2721"/>
      <c r="BT885" s="2720"/>
      <c r="BU885" s="2720"/>
      <c r="BV885" s="2720"/>
    </row>
    <row r="886" customHeight="1" spans="62:74">
      <c r="BJ886" s="2720"/>
      <c r="BK886" s="2720"/>
      <c r="BL886" s="2720"/>
      <c r="BM886" s="2720"/>
      <c r="BN886" s="2720"/>
      <c r="BO886" s="2720"/>
      <c r="BP886" s="2720"/>
      <c r="BQ886" s="2720"/>
      <c r="BR886" s="2721"/>
      <c r="BS886" s="2721"/>
      <c r="BT886" s="2720"/>
      <c r="BU886" s="2720"/>
      <c r="BV886" s="2720"/>
    </row>
    <row r="887" customHeight="1" spans="62:74">
      <c r="BJ887" s="2720"/>
      <c r="BK887" s="2720"/>
      <c r="BL887" s="2720"/>
      <c r="BM887" s="2720"/>
      <c r="BN887" s="2720"/>
      <c r="BO887" s="2720"/>
      <c r="BP887" s="2720"/>
      <c r="BQ887" s="2720"/>
      <c r="BR887" s="2720"/>
      <c r="BS887" s="2720"/>
      <c r="BT887" s="2720"/>
      <c r="BU887" s="2720"/>
      <c r="BV887" s="2720"/>
    </row>
    <row r="888" customHeight="1" spans="62:74">
      <c r="BJ888" s="2720"/>
      <c r="BK888" s="2720"/>
      <c r="BL888" s="2720"/>
      <c r="BM888" s="2720"/>
      <c r="BN888" s="2720"/>
      <c r="BO888" s="2720"/>
      <c r="BP888" s="2720"/>
      <c r="BQ888" s="2720"/>
      <c r="BR888" s="2720"/>
      <c r="BS888" s="2720"/>
      <c r="BT888" s="2720"/>
      <c r="BU888" s="2720"/>
      <c r="BV888" s="2720"/>
    </row>
    <row r="889" customHeight="1" spans="62:74">
      <c r="BJ889" s="2720"/>
      <c r="BK889" s="2720"/>
      <c r="BL889" s="2720"/>
      <c r="BM889" s="2720"/>
      <c r="BN889" s="2720"/>
      <c r="BO889" s="2720"/>
      <c r="BP889" s="2720"/>
      <c r="BQ889" s="2720"/>
      <c r="BR889" s="2720"/>
      <c r="BS889" s="2720"/>
      <c r="BT889" s="2720"/>
      <c r="BU889" s="2720"/>
      <c r="BV889" s="2720"/>
    </row>
    <row r="890" customHeight="1" spans="62:74">
      <c r="BJ890" s="2720"/>
      <c r="BK890" s="2720"/>
      <c r="BL890" s="2720"/>
      <c r="BM890" s="2720"/>
      <c r="BN890" s="2720"/>
      <c r="BO890" s="2720"/>
      <c r="BP890" s="2720"/>
      <c r="BQ890" s="2720"/>
      <c r="BR890" s="2720"/>
      <c r="BS890" s="2720"/>
      <c r="BT890" s="2720"/>
      <c r="BU890" s="2720"/>
      <c r="BV890" s="2720"/>
    </row>
    <row r="891" customHeight="1" spans="62:74">
      <c r="BJ891" s="2720"/>
      <c r="BK891" s="2720"/>
      <c r="BL891" s="2720"/>
      <c r="BM891" s="2720"/>
      <c r="BN891" s="2720"/>
      <c r="BO891" s="2720"/>
      <c r="BP891" s="2720"/>
      <c r="BQ891" s="2720"/>
      <c r="BR891" s="2720"/>
      <c r="BS891" s="2720"/>
      <c r="BT891" s="2720"/>
      <c r="BU891" s="2720"/>
      <c r="BV891" s="2720"/>
    </row>
    <row r="892" customHeight="1" spans="62:74">
      <c r="BJ892" s="2720"/>
      <c r="BK892" s="2720"/>
      <c r="BL892" s="2720"/>
      <c r="BM892" s="2720"/>
      <c r="BN892" s="2720"/>
      <c r="BO892" s="2720"/>
      <c r="BP892" s="2720"/>
      <c r="BQ892" s="2720"/>
      <c r="BR892" s="2720"/>
      <c r="BS892" s="2720"/>
      <c r="BT892" s="2720"/>
      <c r="BU892" s="2720"/>
      <c r="BV892" s="2720"/>
    </row>
    <row r="893" customHeight="1" spans="62:74">
      <c r="BJ893" s="2720"/>
      <c r="BK893" s="2720"/>
      <c r="BL893" s="2720"/>
      <c r="BM893" s="2720"/>
      <c r="BN893" s="2720"/>
      <c r="BO893" s="2720"/>
      <c r="BP893" s="2720"/>
      <c r="BQ893" s="2720"/>
      <c r="BR893" s="2720"/>
      <c r="BS893" s="2720"/>
      <c r="BT893" s="2720"/>
      <c r="BU893" s="2720"/>
      <c r="BV893" s="2720"/>
    </row>
    <row r="894" customHeight="1" spans="62:74">
      <c r="BJ894" s="2720"/>
      <c r="BK894" s="2720"/>
      <c r="BL894" s="2720"/>
      <c r="BM894" s="2720"/>
      <c r="BN894" s="2720"/>
      <c r="BO894" s="2720"/>
      <c r="BP894" s="2720"/>
      <c r="BQ894" s="2720"/>
      <c r="BR894" s="2720"/>
      <c r="BS894" s="2720"/>
      <c r="BT894" s="2720"/>
      <c r="BU894" s="2720"/>
      <c r="BV894" s="2720"/>
    </row>
    <row r="895" customHeight="1" spans="62:74">
      <c r="BJ895" s="2720"/>
      <c r="BK895" s="2720"/>
      <c r="BL895" s="2720"/>
      <c r="BM895" s="2720"/>
      <c r="BN895" s="2720"/>
      <c r="BO895" s="2720"/>
      <c r="BP895" s="2720"/>
      <c r="BQ895" s="2720"/>
      <c r="BR895" s="2720"/>
      <c r="BS895" s="2720"/>
      <c r="BT895" s="2720"/>
      <c r="BU895" s="2720"/>
      <c r="BV895" s="2720"/>
    </row>
    <row r="896" customHeight="1" spans="62:74">
      <c r="BJ896" s="2720"/>
      <c r="BK896" s="2720"/>
      <c r="BL896" s="2720"/>
      <c r="BM896" s="2720"/>
      <c r="BN896" s="2720"/>
      <c r="BO896" s="2720"/>
      <c r="BP896" s="2720"/>
      <c r="BQ896" s="2720"/>
      <c r="BR896" s="2720"/>
      <c r="BS896" s="2720"/>
      <c r="BT896" s="2720"/>
      <c r="BU896" s="2720"/>
      <c r="BV896" s="2720"/>
    </row>
    <row r="897" customHeight="1" spans="62:74">
      <c r="BJ897" s="2720"/>
      <c r="BK897" s="2720"/>
      <c r="BL897" s="2720"/>
      <c r="BM897" s="2720"/>
      <c r="BN897" s="2720"/>
      <c r="BO897" s="2720"/>
      <c r="BP897" s="2720"/>
      <c r="BQ897" s="2720"/>
      <c r="BR897" s="2720"/>
      <c r="BS897" s="2720"/>
      <c r="BT897" s="2720"/>
      <c r="BU897" s="2720"/>
      <c r="BV897" s="2720"/>
    </row>
  </sheetData>
  <sheetProtection formatCells="0" formatColumns="0" formatRows="0" insertRows="0" insertColumns="0" insertHyperlinks="0" deleteColumns="0" deleteRows="0" sort="0" autoFilter="0" pivotTables="0"/>
  <mergeCells count="226">
    <mergeCell ref="A4:A27"/>
    <mergeCell ref="A38:A50"/>
    <mergeCell ref="A60:A83"/>
    <mergeCell ref="A93:A118"/>
    <mergeCell ref="A127:A159"/>
    <mergeCell ref="A167:A198"/>
    <mergeCell ref="A207:A247"/>
    <mergeCell ref="A259:A344"/>
    <mergeCell ref="A367:A434"/>
    <mergeCell ref="A456:A522"/>
    <mergeCell ref="A552:A580"/>
    <mergeCell ref="B4:B7"/>
    <mergeCell ref="B8:B11"/>
    <mergeCell ref="B12:B15"/>
    <mergeCell ref="B16:B19"/>
    <mergeCell ref="B20:B23"/>
    <mergeCell ref="B24:B27"/>
    <mergeCell ref="B38:B41"/>
    <mergeCell ref="B42:B45"/>
    <mergeCell ref="B46:B50"/>
    <mergeCell ref="B60:B63"/>
    <mergeCell ref="B64:B67"/>
    <mergeCell ref="B68:B71"/>
    <mergeCell ref="B72:B75"/>
    <mergeCell ref="B76:B79"/>
    <mergeCell ref="B80:B83"/>
    <mergeCell ref="B93:B102"/>
    <mergeCell ref="B103:B110"/>
    <mergeCell ref="B111:B118"/>
    <mergeCell ref="B127:B133"/>
    <mergeCell ref="B134:B137"/>
    <mergeCell ref="B138:B141"/>
    <mergeCell ref="B142:B146"/>
    <mergeCell ref="B147:B151"/>
    <mergeCell ref="B152:B155"/>
    <mergeCell ref="B156:B159"/>
    <mergeCell ref="B167:B176"/>
    <mergeCell ref="B177:B188"/>
    <mergeCell ref="B189:B198"/>
    <mergeCell ref="B207:B212"/>
    <mergeCell ref="B213:B218"/>
    <mergeCell ref="B219:B223"/>
    <mergeCell ref="B224:B230"/>
    <mergeCell ref="B231:B236"/>
    <mergeCell ref="B237:B241"/>
    <mergeCell ref="B242:B247"/>
    <mergeCell ref="B259:B271"/>
    <mergeCell ref="B272:B283"/>
    <mergeCell ref="B284:B295"/>
    <mergeCell ref="B308:B320"/>
    <mergeCell ref="B321:B332"/>
    <mergeCell ref="B333:B344"/>
    <mergeCell ref="B367:B375"/>
    <mergeCell ref="B376:B384"/>
    <mergeCell ref="B385:B393"/>
    <mergeCell ref="B394:B402"/>
    <mergeCell ref="B403:B413"/>
    <mergeCell ref="B414:B424"/>
    <mergeCell ref="B425:B434"/>
    <mergeCell ref="B456:B467"/>
    <mergeCell ref="B468:B477"/>
    <mergeCell ref="B478:B485"/>
    <mergeCell ref="B486:B495"/>
    <mergeCell ref="B496:B505"/>
    <mergeCell ref="B506:B514"/>
    <mergeCell ref="B515:B522"/>
    <mergeCell ref="B552:B562"/>
    <mergeCell ref="B563:B571"/>
    <mergeCell ref="B572:B580"/>
    <mergeCell ref="C4:C7"/>
    <mergeCell ref="C8:C11"/>
    <mergeCell ref="C12:C15"/>
    <mergeCell ref="C16:C19"/>
    <mergeCell ref="C20:C23"/>
    <mergeCell ref="C24:C27"/>
    <mergeCell ref="C60:C63"/>
    <mergeCell ref="C64:C67"/>
    <mergeCell ref="C68:C71"/>
    <mergeCell ref="C72:C75"/>
    <mergeCell ref="C76:C79"/>
    <mergeCell ref="C80:C83"/>
    <mergeCell ref="C127:C133"/>
    <mergeCell ref="C134:C137"/>
    <mergeCell ref="C138:C141"/>
    <mergeCell ref="C142:C146"/>
    <mergeCell ref="C147:C151"/>
    <mergeCell ref="C152:C155"/>
    <mergeCell ref="C156:C159"/>
    <mergeCell ref="C207:C212"/>
    <mergeCell ref="C213:C218"/>
    <mergeCell ref="C219:C223"/>
    <mergeCell ref="C224:C230"/>
    <mergeCell ref="C231:C236"/>
    <mergeCell ref="C237:C241"/>
    <mergeCell ref="C242:C247"/>
    <mergeCell ref="C259:C271"/>
    <mergeCell ref="C272:C283"/>
    <mergeCell ref="C284:C295"/>
    <mergeCell ref="C296:C307"/>
    <mergeCell ref="C308:C320"/>
    <mergeCell ref="C321:C332"/>
    <mergeCell ref="C333:C344"/>
    <mergeCell ref="C367:C375"/>
    <mergeCell ref="C376:C384"/>
    <mergeCell ref="C385:C393"/>
    <mergeCell ref="C394:C402"/>
    <mergeCell ref="C403:C413"/>
    <mergeCell ref="C414:C424"/>
    <mergeCell ref="C425:C434"/>
    <mergeCell ref="C456:C467"/>
    <mergeCell ref="C468:C477"/>
    <mergeCell ref="C478:C485"/>
    <mergeCell ref="C486:C495"/>
    <mergeCell ref="C496:C505"/>
    <mergeCell ref="C506:C514"/>
    <mergeCell ref="C515:C522"/>
    <mergeCell ref="C552:C562"/>
    <mergeCell ref="C563:C571"/>
    <mergeCell ref="C572:C580"/>
    <mergeCell ref="D4:D7"/>
    <mergeCell ref="D8:D11"/>
    <mergeCell ref="D12:D15"/>
    <mergeCell ref="D16:D19"/>
    <mergeCell ref="D20:D23"/>
    <mergeCell ref="D24:D27"/>
    <mergeCell ref="D60:D63"/>
    <mergeCell ref="D64:D67"/>
    <mergeCell ref="D68:D71"/>
    <mergeCell ref="D72:D75"/>
    <mergeCell ref="D76:D79"/>
    <mergeCell ref="D80:D83"/>
    <mergeCell ref="D127:D133"/>
    <mergeCell ref="D135:D137"/>
    <mergeCell ref="D138:D141"/>
    <mergeCell ref="D142:D146"/>
    <mergeCell ref="D147:D151"/>
    <mergeCell ref="D152:D155"/>
    <mergeCell ref="D157:D159"/>
    <mergeCell ref="D207:D212"/>
    <mergeCell ref="D213:D218"/>
    <mergeCell ref="D219:D223"/>
    <mergeCell ref="D224:D230"/>
    <mergeCell ref="D231:D236"/>
    <mergeCell ref="D237:D241"/>
    <mergeCell ref="D242:D247"/>
    <mergeCell ref="D259:D271"/>
    <mergeCell ref="D272:D283"/>
    <mergeCell ref="D284:D295"/>
    <mergeCell ref="D296:D308"/>
    <mergeCell ref="D309:D320"/>
    <mergeCell ref="D321:D332"/>
    <mergeCell ref="D333:D344"/>
    <mergeCell ref="E4:E7"/>
    <mergeCell ref="E8:E11"/>
    <mergeCell ref="E12:E15"/>
    <mergeCell ref="E16:E19"/>
    <mergeCell ref="E20:E23"/>
    <mergeCell ref="E24:E27"/>
    <mergeCell ref="E60:E63"/>
    <mergeCell ref="E64:E67"/>
    <mergeCell ref="E68:E71"/>
    <mergeCell ref="E72:E75"/>
    <mergeCell ref="E76:E79"/>
    <mergeCell ref="E80:E83"/>
    <mergeCell ref="E127:E133"/>
    <mergeCell ref="E135:E137"/>
    <mergeCell ref="E138:E141"/>
    <mergeCell ref="E142:E146"/>
    <mergeCell ref="E147:E151"/>
    <mergeCell ref="E152:E155"/>
    <mergeCell ref="E157:E159"/>
    <mergeCell ref="E207:E212"/>
    <mergeCell ref="E213:E218"/>
    <mergeCell ref="E219:E223"/>
    <mergeCell ref="E224:E230"/>
    <mergeCell ref="E231:E236"/>
    <mergeCell ref="E237:E241"/>
    <mergeCell ref="E242:E247"/>
    <mergeCell ref="E259:E271"/>
    <mergeCell ref="E272:E283"/>
    <mergeCell ref="E284:E295"/>
    <mergeCell ref="E296:E308"/>
    <mergeCell ref="E309:E320"/>
    <mergeCell ref="E321:E332"/>
    <mergeCell ref="E333:E344"/>
    <mergeCell ref="F4:F7"/>
    <mergeCell ref="F8:F11"/>
    <mergeCell ref="F12:F15"/>
    <mergeCell ref="F16:F19"/>
    <mergeCell ref="F20:F23"/>
    <mergeCell ref="F24:F27"/>
    <mergeCell ref="F60:F63"/>
    <mergeCell ref="F64:F67"/>
    <mergeCell ref="F68:F71"/>
    <mergeCell ref="F72:F75"/>
    <mergeCell ref="F76:F79"/>
    <mergeCell ref="F80:F83"/>
    <mergeCell ref="F127:F133"/>
    <mergeCell ref="F135:F137"/>
    <mergeCell ref="F138:F141"/>
    <mergeCell ref="F142:F146"/>
    <mergeCell ref="F147:F151"/>
    <mergeCell ref="F152:F155"/>
    <mergeCell ref="F157:F159"/>
    <mergeCell ref="F207:F212"/>
    <mergeCell ref="F213:F218"/>
    <mergeCell ref="F219:F223"/>
    <mergeCell ref="F224:F230"/>
    <mergeCell ref="F231:F236"/>
    <mergeCell ref="F237:F241"/>
    <mergeCell ref="F242:F247"/>
    <mergeCell ref="F259:F271"/>
    <mergeCell ref="F272:F283"/>
    <mergeCell ref="F284:F295"/>
    <mergeCell ref="F296:F308"/>
    <mergeCell ref="F309:F320"/>
    <mergeCell ref="F321:F332"/>
    <mergeCell ref="F333:F344"/>
    <mergeCell ref="Q581:Q584"/>
    <mergeCell ref="W28:W32"/>
    <mergeCell ref="W160:W161"/>
    <mergeCell ref="W523:W528"/>
    <mergeCell ref="X248:X253"/>
    <mergeCell ref="AA84:AA87"/>
    <mergeCell ref="AG345:AG355"/>
    <mergeCell ref="AK435:AK451"/>
  </mergeCells>
  <pageMargins left="0" right="0" top="0.979166666666667" bottom="0.979166666666667" header="0.509027777777778" footer="0.509027777777778"/>
  <pageSetup paperSize="9" scale="84" orientation="landscape"/>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Z117"/>
  <sheetViews>
    <sheetView zoomScale="55" zoomScaleNormal="55" topLeftCell="E1" workbookViewId="0">
      <pane ySplit="1" topLeftCell="A87" activePane="bottomLeft" state="frozen"/>
      <selection/>
      <selection pane="bottomLeft" activeCell="Y122" sqref="Y122"/>
    </sheetView>
  </sheetViews>
  <sheetFormatPr defaultColWidth="8.1" defaultRowHeight="13.5"/>
  <cols>
    <col min="1" max="2" width="8.1" style="483"/>
    <col min="3" max="3" width="17.6333333333333" style="483" customWidth="1"/>
    <col min="4" max="4" width="19.675" style="483" customWidth="1"/>
    <col min="5" max="5" width="9.38333333333333" style="483" customWidth="1"/>
    <col min="6" max="6" width="8.1" style="483"/>
    <col min="7" max="7" width="12.45" style="483" customWidth="1"/>
    <col min="8" max="8" width="10.75" style="483" customWidth="1"/>
    <col min="9" max="14" width="11.7166666666667" style="483" customWidth="1"/>
    <col min="15" max="20" width="10.4333333333333" style="483" customWidth="1"/>
    <col min="21" max="21" width="6.1" style="483" customWidth="1"/>
    <col min="22" max="22" width="9.8" style="483" customWidth="1"/>
    <col min="23" max="23" width="8.1" style="483"/>
    <col min="24" max="24" width="13.5916666666667" style="483" customWidth="1"/>
    <col min="25" max="25" width="12.9083333333333" style="483" customWidth="1"/>
    <col min="26" max="26" width="24.0083333333333" style="483" customWidth="1"/>
    <col min="27" max="16384" width="8.1" style="483"/>
  </cols>
  <sheetData>
    <row r="1" ht="16.5" spans="1:26">
      <c r="G1" s="1984" t="s">
        <v>11201</v>
      </c>
      <c r="H1" s="1985">
        <v>45196</v>
      </c>
      <c r="I1" s="1985" t="s">
        <v>11202</v>
      </c>
      <c r="J1" s="1985" t="s">
        <v>11203</v>
      </c>
      <c r="K1" s="1985" t="s">
        <v>11204</v>
      </c>
      <c r="L1" s="1985" t="s">
        <v>11205</v>
      </c>
      <c r="M1" s="1985" t="s">
        <v>11206</v>
      </c>
      <c r="N1" s="1985" t="s">
        <v>11207</v>
      </c>
      <c r="O1" s="1985" t="s">
        <v>11208</v>
      </c>
      <c r="P1" s="1986" t="s">
        <v>11209</v>
      </c>
      <c r="Q1" s="1986" t="s">
        <v>11210</v>
      </c>
      <c r="R1" s="1986" t="s">
        <v>11211</v>
      </c>
      <c r="S1" s="1986" t="s">
        <v>11212</v>
      </c>
      <c r="T1" s="1986" t="s">
        <v>11213</v>
      </c>
      <c r="Z1" s="1987"/>
    </row>
    <row r="2" ht="15.75" spans="1:26">
      <c r="G2" s="1988" t="s">
        <v>11214</v>
      </c>
      <c r="H2" s="1985">
        <v>45236</v>
      </c>
      <c r="I2" s="1985">
        <v>45344</v>
      </c>
      <c r="J2" s="1985">
        <v>45372</v>
      </c>
      <c r="K2" s="1985">
        <v>45401</v>
      </c>
      <c r="L2" s="1985">
        <v>45423</v>
      </c>
      <c r="M2" s="1985">
        <v>45436</v>
      </c>
      <c r="N2" s="1985">
        <v>45476</v>
      </c>
      <c r="O2" s="1985">
        <v>45560</v>
      </c>
      <c r="P2" s="1986">
        <v>45644</v>
      </c>
      <c r="Q2" s="1986">
        <v>45707</v>
      </c>
      <c r="R2" s="1986">
        <v>45736</v>
      </c>
      <c r="S2" s="1986">
        <v>45786</v>
      </c>
      <c r="T2" s="1986">
        <v>45811</v>
      </c>
      <c r="Z2" s="1987"/>
    </row>
    <row r="3" ht="16.5" spans="1:26">
      <c r="G3" s="1989" t="s">
        <v>11215</v>
      </c>
      <c r="H3" s="1990" t="s">
        <v>11216</v>
      </c>
      <c r="I3" s="1985">
        <v>45379</v>
      </c>
      <c r="J3" s="1985">
        <v>45407</v>
      </c>
      <c r="K3" s="1985">
        <v>45436</v>
      </c>
      <c r="L3" s="1985">
        <v>45458</v>
      </c>
      <c r="M3" s="1985">
        <v>45471</v>
      </c>
      <c r="N3" s="1985">
        <v>45511</v>
      </c>
      <c r="O3" s="1985">
        <v>45600</v>
      </c>
      <c r="P3" s="1986">
        <v>45679</v>
      </c>
      <c r="Q3" s="1986">
        <v>45742</v>
      </c>
      <c r="R3" s="1986">
        <v>45771</v>
      </c>
      <c r="S3" s="1986">
        <v>45821</v>
      </c>
      <c r="T3" s="1986">
        <v>45846</v>
      </c>
      <c r="Z3" s="1987"/>
    </row>
    <row r="4" ht="16.5" spans="1:26">
      <c r="U4" s="1991"/>
      <c r="V4" s="1991"/>
      <c r="W4" s="1991"/>
      <c r="Z4" s="1987"/>
    </row>
    <row r="5" ht="35" customHeight="1" spans="1:26">
      <c r="A5" s="1992" t="s">
        <v>11217</v>
      </c>
      <c r="B5" s="1993" t="s">
        <v>11218</v>
      </c>
      <c r="C5" s="1994" t="s">
        <v>10583</v>
      </c>
      <c r="D5" s="1995" t="s">
        <v>10584</v>
      </c>
      <c r="E5" s="1996" t="s">
        <v>11219</v>
      </c>
      <c r="F5" s="1993" t="s">
        <v>11220</v>
      </c>
      <c r="G5" s="1993" t="s">
        <v>11221</v>
      </c>
      <c r="H5" s="1993" t="s">
        <v>10826</v>
      </c>
      <c r="I5" s="1993" t="s">
        <v>10826</v>
      </c>
      <c r="J5" s="1993" t="s">
        <v>10826</v>
      </c>
      <c r="K5" s="1993" t="s">
        <v>10826</v>
      </c>
      <c r="L5" s="1993" t="s">
        <v>10826</v>
      </c>
      <c r="M5" s="1993" t="s">
        <v>10826</v>
      </c>
      <c r="N5" s="1993" t="s">
        <v>10826</v>
      </c>
      <c r="O5" s="1993" t="s">
        <v>10826</v>
      </c>
      <c r="P5" s="1993" t="s">
        <v>10826</v>
      </c>
      <c r="Q5" s="1993" t="s">
        <v>10826</v>
      </c>
      <c r="R5" s="1993" t="s">
        <v>10826</v>
      </c>
      <c r="S5" s="1993" t="s">
        <v>10826</v>
      </c>
      <c r="T5" s="1993" t="s">
        <v>10826</v>
      </c>
      <c r="U5" s="1993" t="s">
        <v>11222</v>
      </c>
      <c r="V5" s="1993" t="s">
        <v>10597</v>
      </c>
      <c r="W5" s="1993" t="s">
        <v>11223</v>
      </c>
      <c r="X5" s="1993" t="s">
        <v>11224</v>
      </c>
      <c r="Y5" s="1994" t="s">
        <v>11219</v>
      </c>
      <c r="Z5" s="1997"/>
    </row>
    <row r="6" ht="21" customHeight="1" spans="1:26">
      <c r="A6" s="1998" t="s">
        <v>11225</v>
      </c>
      <c r="B6" s="1999" t="s">
        <v>11226</v>
      </c>
      <c r="C6" s="2000" t="s">
        <v>11227</v>
      </c>
      <c r="D6" s="2001" t="s">
        <v>11228</v>
      </c>
      <c r="E6" s="2002"/>
      <c r="F6" s="2003">
        <v>300</v>
      </c>
      <c r="G6" s="2004">
        <v>0.0456</v>
      </c>
      <c r="H6" s="2005">
        <v>912</v>
      </c>
      <c r="I6" s="2005">
        <v>912</v>
      </c>
      <c r="J6" s="2005">
        <v>912</v>
      </c>
      <c r="K6" s="2005">
        <v>912</v>
      </c>
      <c r="L6" s="2005">
        <v>912</v>
      </c>
      <c r="M6" s="2005">
        <v>912</v>
      </c>
      <c r="N6" s="2005">
        <v>912</v>
      </c>
      <c r="O6" s="2005">
        <v>912</v>
      </c>
      <c r="P6" s="2005">
        <v>912</v>
      </c>
      <c r="Q6" s="2006">
        <v>912</v>
      </c>
      <c r="R6" s="2006">
        <v>912</v>
      </c>
      <c r="S6" s="2006">
        <v>1140</v>
      </c>
      <c r="T6" s="2006">
        <v>912</v>
      </c>
      <c r="U6" s="2007" t="s">
        <v>11229</v>
      </c>
      <c r="V6" s="2008">
        <f t="shared" ref="V6:V69" si="0">SUM(H6:T6)</f>
        <v>12084</v>
      </c>
      <c r="W6" s="2009">
        <v>10.93</v>
      </c>
      <c r="X6" s="2009">
        <f t="shared" ref="X6:X13" si="1">W6*J6</f>
        <v>9968.16</v>
      </c>
      <c r="Y6" s="2010"/>
      <c r="Z6" s="2011"/>
    </row>
    <row r="7" ht="21" customHeight="1" spans="1:26">
      <c r="A7" s="2012"/>
      <c r="B7" s="2013"/>
      <c r="C7" s="2014" t="s">
        <v>11230</v>
      </c>
      <c r="D7" s="1784" t="s">
        <v>11231</v>
      </c>
      <c r="E7" s="2015"/>
      <c r="F7" s="2016">
        <v>300</v>
      </c>
      <c r="G7" s="2017">
        <v>0.0426</v>
      </c>
      <c r="H7" s="2018">
        <v>852</v>
      </c>
      <c r="I7" s="2018">
        <v>852</v>
      </c>
      <c r="J7" s="2018">
        <v>852</v>
      </c>
      <c r="K7" s="2018">
        <v>852</v>
      </c>
      <c r="L7" s="2018">
        <v>852</v>
      </c>
      <c r="M7" s="2018">
        <v>852</v>
      </c>
      <c r="N7" s="2018">
        <v>852</v>
      </c>
      <c r="O7" s="2018">
        <v>852</v>
      </c>
      <c r="P7" s="2018">
        <v>852</v>
      </c>
      <c r="Q7" s="2019">
        <v>852</v>
      </c>
      <c r="R7" s="2019">
        <v>852</v>
      </c>
      <c r="S7" s="2019">
        <v>1065</v>
      </c>
      <c r="T7" s="2019">
        <v>852</v>
      </c>
      <c r="U7" s="2020" t="s">
        <v>11229</v>
      </c>
      <c r="V7" s="2008">
        <f t="shared" si="0"/>
        <v>11289</v>
      </c>
      <c r="W7" s="2021">
        <v>10.93</v>
      </c>
      <c r="X7" s="2021">
        <f t="shared" si="1"/>
        <v>9312.36</v>
      </c>
      <c r="Y7" s="2022"/>
      <c r="Z7" s="2023"/>
    </row>
    <row r="8" ht="21" customHeight="1" spans="1:26">
      <c r="A8" s="2012"/>
      <c r="B8" s="2013"/>
      <c r="C8" s="1784" t="s">
        <v>11232</v>
      </c>
      <c r="D8" s="1784" t="s">
        <v>10834</v>
      </c>
      <c r="E8" s="2024" t="s">
        <v>11233</v>
      </c>
      <c r="F8" s="2016"/>
      <c r="G8" s="2017">
        <v>0.009</v>
      </c>
      <c r="H8" s="2018">
        <v>180</v>
      </c>
      <c r="I8" s="2018">
        <v>180</v>
      </c>
      <c r="J8" s="2018">
        <v>180</v>
      </c>
      <c r="K8" s="2018">
        <v>180</v>
      </c>
      <c r="L8" s="2018">
        <v>180</v>
      </c>
      <c r="M8" s="2018">
        <v>180</v>
      </c>
      <c r="N8" s="2018">
        <v>180</v>
      </c>
      <c r="O8" s="2018">
        <v>180</v>
      </c>
      <c r="P8" s="2018">
        <v>180</v>
      </c>
      <c r="Q8" s="2019">
        <v>180</v>
      </c>
      <c r="R8" s="2019">
        <v>180</v>
      </c>
      <c r="S8" s="2019">
        <v>225</v>
      </c>
      <c r="T8" s="2019">
        <v>180</v>
      </c>
      <c r="U8" s="2020" t="s">
        <v>11229</v>
      </c>
      <c r="V8" s="2008">
        <f t="shared" si="0"/>
        <v>2385</v>
      </c>
      <c r="W8" s="2021">
        <v>4.5</v>
      </c>
      <c r="X8" s="2021">
        <f t="shared" si="1"/>
        <v>810</v>
      </c>
      <c r="Y8" s="2022"/>
      <c r="Z8" s="2023"/>
    </row>
    <row r="9" ht="21" customHeight="1" spans="1:26">
      <c r="A9" s="2012"/>
      <c r="B9" s="2013"/>
      <c r="C9" s="1784" t="s">
        <v>11234</v>
      </c>
      <c r="D9" s="1784" t="s">
        <v>10682</v>
      </c>
      <c r="E9" s="2024" t="s">
        <v>11235</v>
      </c>
      <c r="F9" s="2016">
        <v>500</v>
      </c>
      <c r="G9" s="2017">
        <v>0.0018</v>
      </c>
      <c r="H9" s="2018">
        <v>36</v>
      </c>
      <c r="I9" s="2018">
        <v>36</v>
      </c>
      <c r="J9" s="2018">
        <v>63</v>
      </c>
      <c r="K9" s="2018">
        <v>9</v>
      </c>
      <c r="L9" s="2018">
        <v>36</v>
      </c>
      <c r="M9" s="2018">
        <v>62</v>
      </c>
      <c r="N9" s="2018">
        <v>62</v>
      </c>
      <c r="O9" s="2018"/>
      <c r="P9" s="2018">
        <v>62</v>
      </c>
      <c r="Q9" s="2025"/>
      <c r="R9" s="2025">
        <v>62</v>
      </c>
      <c r="S9" s="2025">
        <v>13</v>
      </c>
      <c r="T9" s="2025">
        <v>36</v>
      </c>
      <c r="U9" s="2020" t="s">
        <v>11229</v>
      </c>
      <c r="V9" s="2008">
        <f t="shared" si="0"/>
        <v>477</v>
      </c>
      <c r="W9" s="2021">
        <v>28.75</v>
      </c>
      <c r="X9" s="2021">
        <f t="shared" si="1"/>
        <v>1811.25</v>
      </c>
      <c r="Y9" s="2022"/>
      <c r="Z9" s="2023"/>
    </row>
    <row r="10" ht="21" customHeight="1" spans="1:26">
      <c r="A10" s="2012"/>
      <c r="B10" s="2013"/>
      <c r="C10" s="2026" t="s">
        <v>11236</v>
      </c>
      <c r="D10" s="2027" t="s">
        <v>10854</v>
      </c>
      <c r="E10" s="2028"/>
      <c r="F10" s="2029"/>
      <c r="G10" s="2030">
        <v>0.125</v>
      </c>
      <c r="H10" s="2018">
        <v>2500</v>
      </c>
      <c r="I10" s="2018">
        <v>2500</v>
      </c>
      <c r="J10" s="2018">
        <v>2500</v>
      </c>
      <c r="K10" s="2018">
        <v>2500</v>
      </c>
      <c r="L10" s="2018">
        <v>2500</v>
      </c>
      <c r="M10" s="2018">
        <v>2500</v>
      </c>
      <c r="N10" s="2018">
        <v>2500</v>
      </c>
      <c r="O10" s="2018">
        <v>2500</v>
      </c>
      <c r="P10" s="2018">
        <v>2500</v>
      </c>
      <c r="Q10" s="2019">
        <v>2500</v>
      </c>
      <c r="R10" s="2019">
        <v>2500</v>
      </c>
      <c r="S10" s="2019">
        <v>3125</v>
      </c>
      <c r="T10" s="2019">
        <v>2500</v>
      </c>
      <c r="U10" s="2020" t="s">
        <v>11229</v>
      </c>
      <c r="V10" s="2008">
        <f t="shared" si="0"/>
        <v>33125</v>
      </c>
      <c r="W10" s="2021">
        <v>1.9</v>
      </c>
      <c r="X10" s="2021">
        <f t="shared" si="1"/>
        <v>4750</v>
      </c>
      <c r="Y10" s="2022"/>
      <c r="Z10" s="2031" t="s">
        <v>11237</v>
      </c>
    </row>
    <row r="11" ht="21" customHeight="1" spans="1:26">
      <c r="A11" s="2012"/>
      <c r="B11" s="2032"/>
      <c r="C11" s="1784" t="s">
        <v>10650</v>
      </c>
      <c r="D11" s="2014"/>
      <c r="E11" s="2015"/>
      <c r="F11" s="2016"/>
      <c r="G11" s="2017">
        <v>1</v>
      </c>
      <c r="H11" s="2018">
        <v>20000</v>
      </c>
      <c r="I11" s="2018">
        <v>20000</v>
      </c>
      <c r="J11" s="2018">
        <v>20000</v>
      </c>
      <c r="K11" s="2018">
        <v>20000</v>
      </c>
      <c r="L11" s="2018">
        <v>20000</v>
      </c>
      <c r="M11" s="2018">
        <v>20000</v>
      </c>
      <c r="N11" s="2018">
        <v>20000</v>
      </c>
      <c r="O11" s="2018">
        <v>20000</v>
      </c>
      <c r="P11" s="2018">
        <v>20000</v>
      </c>
      <c r="Q11" s="2018">
        <v>20000</v>
      </c>
      <c r="R11" s="2018">
        <v>20000</v>
      </c>
      <c r="S11" s="2018">
        <v>25000</v>
      </c>
      <c r="T11" s="2018">
        <v>20000</v>
      </c>
      <c r="U11" s="2020" t="s">
        <v>11229</v>
      </c>
      <c r="V11" s="2008">
        <f t="shared" si="0"/>
        <v>265000</v>
      </c>
      <c r="W11" s="2021">
        <v>0.8652</v>
      </c>
      <c r="X11" s="2021">
        <f t="shared" si="1"/>
        <v>17304</v>
      </c>
      <c r="Y11" s="2033"/>
      <c r="Z11" s="2023"/>
    </row>
    <row r="12" ht="21" customHeight="1" spans="1:26">
      <c r="A12" s="2012"/>
      <c r="B12" s="2034" t="s">
        <v>11238</v>
      </c>
      <c r="C12" s="2014" t="s">
        <v>11239</v>
      </c>
      <c r="D12" s="1784" t="s">
        <v>11240</v>
      </c>
      <c r="E12" s="2024" t="s">
        <v>11241</v>
      </c>
      <c r="F12" s="2016">
        <v>300</v>
      </c>
      <c r="G12" s="2017">
        <v>0.0337</v>
      </c>
      <c r="H12" s="2018">
        <v>674</v>
      </c>
      <c r="I12" s="2018">
        <v>674</v>
      </c>
      <c r="J12" s="2018">
        <v>674</v>
      </c>
      <c r="K12" s="2018">
        <v>674</v>
      </c>
      <c r="L12" s="2018">
        <v>674</v>
      </c>
      <c r="M12" s="2018">
        <v>674</v>
      </c>
      <c r="N12" s="2018">
        <v>674</v>
      </c>
      <c r="O12" s="2018">
        <v>674</v>
      </c>
      <c r="P12" s="2018">
        <v>674</v>
      </c>
      <c r="Q12" s="2019">
        <v>674</v>
      </c>
      <c r="R12" s="2019">
        <v>674</v>
      </c>
      <c r="S12" s="2019">
        <v>843</v>
      </c>
      <c r="T12" s="2019">
        <v>674</v>
      </c>
      <c r="U12" s="2020" t="s">
        <v>11229</v>
      </c>
      <c r="V12" s="2008">
        <f t="shared" si="0"/>
        <v>8931</v>
      </c>
      <c r="W12" s="2021">
        <v>10.93</v>
      </c>
      <c r="X12" s="2021">
        <f t="shared" si="1"/>
        <v>7366.82</v>
      </c>
      <c r="Y12" s="2033"/>
      <c r="Z12" s="2023"/>
    </row>
    <row r="13" ht="21" customHeight="1" spans="1:26">
      <c r="A13" s="2012"/>
      <c r="B13" s="2035"/>
      <c r="C13" s="2036" t="s">
        <v>10650</v>
      </c>
      <c r="D13" s="2037"/>
      <c r="E13" s="2038"/>
      <c r="F13" s="2039"/>
      <c r="G13" s="2040">
        <v>1</v>
      </c>
      <c r="H13" s="2041">
        <v>20000</v>
      </c>
      <c r="I13" s="2041">
        <v>20000</v>
      </c>
      <c r="J13" s="2041">
        <v>20000</v>
      </c>
      <c r="K13" s="2018">
        <v>20000</v>
      </c>
      <c r="L13" s="2042">
        <v>20000</v>
      </c>
      <c r="M13" s="2042">
        <v>20000</v>
      </c>
      <c r="N13" s="2042">
        <v>20000</v>
      </c>
      <c r="O13" s="2041">
        <v>20000</v>
      </c>
      <c r="P13" s="2041">
        <v>20000</v>
      </c>
      <c r="Q13" s="2043">
        <v>20000</v>
      </c>
      <c r="R13" s="2043">
        <v>20000</v>
      </c>
      <c r="S13" s="2043">
        <v>25000</v>
      </c>
      <c r="T13" s="2043">
        <v>20000</v>
      </c>
      <c r="U13" s="2044" t="s">
        <v>11229</v>
      </c>
      <c r="V13" s="2008">
        <f t="shared" si="0"/>
        <v>265000</v>
      </c>
      <c r="W13" s="2045">
        <v>0.0019158</v>
      </c>
      <c r="X13" s="2021">
        <f t="shared" si="1"/>
        <v>38.316</v>
      </c>
      <c r="Y13" s="2046"/>
      <c r="Z13" s="2047"/>
    </row>
    <row r="14" ht="21" customHeight="1" spans="1:26">
      <c r="A14" s="2012"/>
      <c r="B14" s="1999" t="s">
        <v>11242</v>
      </c>
      <c r="C14" s="2000" t="s">
        <v>11243</v>
      </c>
      <c r="D14" s="2001" t="s">
        <v>11244</v>
      </c>
      <c r="E14" s="2048" t="s">
        <v>11241</v>
      </c>
      <c r="F14" s="2003">
        <v>300</v>
      </c>
      <c r="G14" s="2004">
        <v>0.0481</v>
      </c>
      <c r="H14" s="2005">
        <v>962</v>
      </c>
      <c r="I14" s="2005">
        <v>962</v>
      </c>
      <c r="J14" s="2005">
        <v>962</v>
      </c>
      <c r="K14" s="2005">
        <v>962</v>
      </c>
      <c r="L14" s="2005">
        <v>962</v>
      </c>
      <c r="M14" s="2005">
        <v>962</v>
      </c>
      <c r="N14" s="2005">
        <v>962</v>
      </c>
      <c r="O14" s="2005">
        <v>962</v>
      </c>
      <c r="P14" s="2005">
        <v>962</v>
      </c>
      <c r="Q14" s="2006">
        <v>962</v>
      </c>
      <c r="R14" s="2006">
        <v>962</v>
      </c>
      <c r="S14" s="2006">
        <v>1203</v>
      </c>
      <c r="T14" s="2006">
        <v>962</v>
      </c>
      <c r="U14" s="2007" t="s">
        <v>11229</v>
      </c>
      <c r="V14" s="2008">
        <f t="shared" si="0"/>
        <v>12747</v>
      </c>
      <c r="W14" s="2009">
        <v>10</v>
      </c>
      <c r="X14" s="2009">
        <v>9620</v>
      </c>
      <c r="Y14" s="2049"/>
      <c r="Z14" s="2011"/>
    </row>
    <row r="15" ht="21" customHeight="1" spans="1:26">
      <c r="A15" s="2012"/>
      <c r="B15" s="2013"/>
      <c r="C15" s="2014" t="s">
        <v>11245</v>
      </c>
      <c r="D15" s="1784" t="s">
        <v>11246</v>
      </c>
      <c r="E15" s="2024" t="s">
        <v>11247</v>
      </c>
      <c r="F15" s="2016">
        <v>300</v>
      </c>
      <c r="G15" s="2017">
        <v>0.0401</v>
      </c>
      <c r="H15" s="2018">
        <v>802</v>
      </c>
      <c r="I15" s="2018">
        <v>802</v>
      </c>
      <c r="J15" s="2018">
        <v>802</v>
      </c>
      <c r="K15" s="2018">
        <v>802</v>
      </c>
      <c r="L15" s="2018">
        <v>802</v>
      </c>
      <c r="M15" s="2018">
        <v>802</v>
      </c>
      <c r="N15" s="2018">
        <v>802</v>
      </c>
      <c r="O15" s="2018">
        <v>802</v>
      </c>
      <c r="P15" s="2018">
        <v>802</v>
      </c>
      <c r="Q15" s="2019">
        <v>802</v>
      </c>
      <c r="R15" s="2019">
        <v>802</v>
      </c>
      <c r="S15" s="2019">
        <v>1003</v>
      </c>
      <c r="T15" s="2019">
        <v>802</v>
      </c>
      <c r="U15" s="2020" t="s">
        <v>11229</v>
      </c>
      <c r="V15" s="2008">
        <f t="shared" si="0"/>
        <v>10627</v>
      </c>
      <c r="W15" s="2021">
        <v>10.93</v>
      </c>
      <c r="X15" s="2021">
        <v>8765.86</v>
      </c>
      <c r="Y15" s="2022"/>
      <c r="Z15" s="2023"/>
    </row>
    <row r="16" ht="21" customHeight="1" spans="1:26">
      <c r="A16" s="2012"/>
      <c r="B16" s="2013"/>
      <c r="C16" s="1784" t="s">
        <v>11232</v>
      </c>
      <c r="D16" s="1784" t="s">
        <v>11248</v>
      </c>
      <c r="E16" s="2024" t="s">
        <v>11233</v>
      </c>
      <c r="F16" s="2016"/>
      <c r="G16" s="2017">
        <v>0.00206</v>
      </c>
      <c r="H16" s="2018">
        <v>42</v>
      </c>
      <c r="I16" s="2018">
        <v>41</v>
      </c>
      <c r="J16" s="2018">
        <v>41</v>
      </c>
      <c r="K16" s="2018">
        <v>41</v>
      </c>
      <c r="L16" s="2018">
        <v>41</v>
      </c>
      <c r="M16" s="2018">
        <v>42</v>
      </c>
      <c r="N16" s="2018">
        <v>41</v>
      </c>
      <c r="O16" s="2018">
        <v>41</v>
      </c>
      <c r="P16" s="2018">
        <v>41</v>
      </c>
      <c r="Q16" s="2019">
        <v>41</v>
      </c>
      <c r="R16" s="2019">
        <v>42</v>
      </c>
      <c r="S16" s="2019">
        <v>51</v>
      </c>
      <c r="T16" s="2019">
        <v>41</v>
      </c>
      <c r="U16" s="2020" t="s">
        <v>11229</v>
      </c>
      <c r="V16" s="2008">
        <f t="shared" si="0"/>
        <v>546</v>
      </c>
      <c r="W16" s="2021">
        <v>4.5</v>
      </c>
      <c r="X16" s="2021">
        <v>189</v>
      </c>
      <c r="Y16" s="2022"/>
      <c r="Z16" s="2023"/>
    </row>
    <row r="17" ht="21" customHeight="1" spans="1:26">
      <c r="A17" s="2012"/>
      <c r="B17" s="2013"/>
      <c r="C17" s="2014" t="s">
        <v>11249</v>
      </c>
      <c r="D17" s="1784" t="s">
        <v>11248</v>
      </c>
      <c r="E17" s="2015"/>
      <c r="F17" s="2016"/>
      <c r="G17" s="2017">
        <v>0.00103</v>
      </c>
      <c r="H17" s="2018">
        <v>21</v>
      </c>
      <c r="I17" s="2018">
        <v>21</v>
      </c>
      <c r="J17" s="2018">
        <v>20</v>
      </c>
      <c r="K17" s="2018">
        <v>21</v>
      </c>
      <c r="L17" s="2018">
        <v>20</v>
      </c>
      <c r="M17" s="2018">
        <v>21</v>
      </c>
      <c r="N17" s="2018">
        <v>21</v>
      </c>
      <c r="O17" s="2018">
        <v>20</v>
      </c>
      <c r="P17" s="2018">
        <v>21</v>
      </c>
      <c r="Q17" s="2019">
        <v>20</v>
      </c>
      <c r="R17" s="2019">
        <v>21</v>
      </c>
      <c r="S17" s="2019">
        <v>26</v>
      </c>
      <c r="T17" s="2019">
        <v>20</v>
      </c>
      <c r="U17" s="2020" t="s">
        <v>11229</v>
      </c>
      <c r="V17" s="2008">
        <f t="shared" si="0"/>
        <v>273</v>
      </c>
      <c r="W17" s="2021">
        <v>4.6</v>
      </c>
      <c r="X17" s="2021">
        <v>96.6</v>
      </c>
      <c r="Y17" s="2033"/>
      <c r="Z17" s="2023"/>
    </row>
    <row r="18" ht="21" customHeight="1" spans="1:26">
      <c r="A18" s="2012"/>
      <c r="B18" s="2013"/>
      <c r="C18" s="2014" t="s">
        <v>11250</v>
      </c>
      <c r="D18" s="1784" t="s">
        <v>10834</v>
      </c>
      <c r="E18" s="2024" t="s">
        <v>11251</v>
      </c>
      <c r="F18" s="2016">
        <v>500</v>
      </c>
      <c r="G18" s="2017">
        <v>0.0051</v>
      </c>
      <c r="H18" s="2018">
        <v>246</v>
      </c>
      <c r="I18" s="2018"/>
      <c r="J18" s="2018">
        <v>300</v>
      </c>
      <c r="K18" s="2018">
        <v>0</v>
      </c>
      <c r="L18" s="2018">
        <v>0</v>
      </c>
      <c r="M18" s="2018">
        <v>300</v>
      </c>
      <c r="N18" s="2018"/>
      <c r="O18" s="2018"/>
      <c r="P18" s="2018">
        <v>72</v>
      </c>
      <c r="Q18" s="2019">
        <v>300</v>
      </c>
      <c r="R18" s="2019"/>
      <c r="S18" s="2019">
        <v>32</v>
      </c>
      <c r="T18" s="2019">
        <v>102</v>
      </c>
      <c r="U18" s="2020" t="s">
        <v>11229</v>
      </c>
      <c r="V18" s="2008">
        <f t="shared" si="0"/>
        <v>1352</v>
      </c>
      <c r="W18" s="2021">
        <v>19.55</v>
      </c>
      <c r="X18" s="2021">
        <v>4809.3</v>
      </c>
      <c r="Y18" s="2033"/>
      <c r="Z18" s="2023"/>
    </row>
    <row r="19" ht="21" customHeight="1" spans="1:26">
      <c r="A19" s="2012"/>
      <c r="B19" s="2013"/>
      <c r="C19" s="1784" t="s">
        <v>11073</v>
      </c>
      <c r="D19" s="1784" t="s">
        <v>11252</v>
      </c>
      <c r="E19" s="2015"/>
      <c r="F19" s="2016">
        <v>500</v>
      </c>
      <c r="G19" s="2017">
        <v>0.0126</v>
      </c>
      <c r="H19" s="2018">
        <v>504</v>
      </c>
      <c r="I19" s="2018"/>
      <c r="J19" s="2018">
        <v>252</v>
      </c>
      <c r="K19" s="2018">
        <v>252</v>
      </c>
      <c r="L19" s="2018">
        <v>252</v>
      </c>
      <c r="M19" s="2018">
        <v>252</v>
      </c>
      <c r="N19" s="2018">
        <v>252</v>
      </c>
      <c r="O19" s="2018">
        <v>252</v>
      </c>
      <c r="P19" s="2018">
        <v>252</v>
      </c>
      <c r="Q19" s="2019">
        <v>252</v>
      </c>
      <c r="R19" s="2019">
        <v>252</v>
      </c>
      <c r="S19" s="2019">
        <v>315</v>
      </c>
      <c r="T19" s="2019">
        <v>252</v>
      </c>
      <c r="U19" s="2020" t="s">
        <v>11229</v>
      </c>
      <c r="V19" s="2008">
        <f t="shared" si="0"/>
        <v>3339</v>
      </c>
      <c r="W19" s="2021">
        <v>28.75</v>
      </c>
      <c r="X19" s="2021">
        <v>14490</v>
      </c>
      <c r="Y19" s="2022"/>
      <c r="Z19" s="2023"/>
    </row>
    <row r="20" ht="21" customHeight="1" spans="1:26">
      <c r="A20" s="2012"/>
      <c r="B20" s="2032"/>
      <c r="C20" s="1784" t="s">
        <v>10650</v>
      </c>
      <c r="D20" s="2014"/>
      <c r="E20" s="2015"/>
      <c r="F20" s="2016"/>
      <c r="G20" s="2017">
        <v>1</v>
      </c>
      <c r="H20" s="2018">
        <v>20000</v>
      </c>
      <c r="I20" s="2018">
        <v>20000</v>
      </c>
      <c r="J20" s="2018">
        <v>20000</v>
      </c>
      <c r="K20" s="2018">
        <v>20000</v>
      </c>
      <c r="L20" s="2018">
        <v>20000</v>
      </c>
      <c r="M20" s="2018">
        <v>20000</v>
      </c>
      <c r="N20" s="2018">
        <v>20000</v>
      </c>
      <c r="O20" s="2018">
        <v>20000</v>
      </c>
      <c r="P20" s="2018">
        <v>20000</v>
      </c>
      <c r="Q20" s="2019">
        <v>20000</v>
      </c>
      <c r="R20" s="2019">
        <v>20000</v>
      </c>
      <c r="S20" s="2019">
        <v>25000</v>
      </c>
      <c r="T20" s="2019">
        <v>20000</v>
      </c>
      <c r="U20" s="2020" t="s">
        <v>11229</v>
      </c>
      <c r="V20" s="2008">
        <f t="shared" si="0"/>
        <v>265000</v>
      </c>
      <c r="W20" s="2021">
        <v>0.8652</v>
      </c>
      <c r="X20" s="2021">
        <v>17304</v>
      </c>
      <c r="Y20" s="2022"/>
      <c r="Z20" s="2023"/>
    </row>
    <row r="21" ht="21" customHeight="1" spans="1:26">
      <c r="A21" s="2012"/>
      <c r="B21" s="2034" t="s">
        <v>11253</v>
      </c>
      <c r="C21" s="2014" t="s">
        <v>11254</v>
      </c>
      <c r="D21" s="1784" t="s">
        <v>11240</v>
      </c>
      <c r="E21" s="2024" t="s">
        <v>11241</v>
      </c>
      <c r="F21" s="2016">
        <v>300</v>
      </c>
      <c r="G21" s="2017">
        <v>0.0337</v>
      </c>
      <c r="H21" s="2018">
        <v>674</v>
      </c>
      <c r="I21" s="2018">
        <v>674</v>
      </c>
      <c r="J21" s="2018">
        <v>674</v>
      </c>
      <c r="K21" s="2018">
        <v>674</v>
      </c>
      <c r="L21" s="2018">
        <v>674</v>
      </c>
      <c r="M21" s="2018">
        <v>674</v>
      </c>
      <c r="N21" s="2018">
        <v>674</v>
      </c>
      <c r="O21" s="2018">
        <v>674</v>
      </c>
      <c r="P21" s="2018">
        <v>674</v>
      </c>
      <c r="Q21" s="2019">
        <v>674</v>
      </c>
      <c r="R21" s="2019">
        <v>674</v>
      </c>
      <c r="S21" s="2019">
        <v>843</v>
      </c>
      <c r="T21" s="2019">
        <v>674</v>
      </c>
      <c r="U21" s="2020" t="s">
        <v>11229</v>
      </c>
      <c r="V21" s="2008">
        <f t="shared" si="0"/>
        <v>8931</v>
      </c>
      <c r="W21" s="2021">
        <v>10.93</v>
      </c>
      <c r="X21" s="2021">
        <v>7366.82</v>
      </c>
      <c r="Y21" s="2022"/>
      <c r="Z21" s="2023"/>
    </row>
    <row r="22" ht="21" customHeight="1" spans="1:26">
      <c r="A22" s="2012"/>
      <c r="B22" s="2035"/>
      <c r="C22" s="2036" t="s">
        <v>10650</v>
      </c>
      <c r="D22" s="2037"/>
      <c r="E22" s="2038"/>
      <c r="F22" s="2039"/>
      <c r="G22" s="2040">
        <v>1</v>
      </c>
      <c r="H22" s="2041">
        <v>20000</v>
      </c>
      <c r="I22" s="2041">
        <v>20000</v>
      </c>
      <c r="J22" s="2041">
        <v>20000</v>
      </c>
      <c r="K22" s="2018">
        <v>20000</v>
      </c>
      <c r="L22" s="2042">
        <v>20000</v>
      </c>
      <c r="M22" s="2042">
        <v>20000</v>
      </c>
      <c r="N22" s="2042">
        <v>20000</v>
      </c>
      <c r="O22" s="2041">
        <v>20000</v>
      </c>
      <c r="P22" s="2041">
        <v>20000</v>
      </c>
      <c r="Q22" s="2050">
        <v>20000</v>
      </c>
      <c r="R22" s="2050">
        <v>20000</v>
      </c>
      <c r="S22" s="2050">
        <v>25000</v>
      </c>
      <c r="T22" s="2050">
        <v>20000</v>
      </c>
      <c r="U22" s="2044" t="s">
        <v>11229</v>
      </c>
      <c r="V22" s="2008">
        <f t="shared" si="0"/>
        <v>265000</v>
      </c>
      <c r="W22" s="2045">
        <v>0.0019158</v>
      </c>
      <c r="X22" s="2045">
        <v>38.316</v>
      </c>
      <c r="Y22" s="2051"/>
      <c r="Z22" s="2047"/>
    </row>
    <row r="23" ht="21" customHeight="1" spans="1:26">
      <c r="A23" s="2012"/>
      <c r="B23" s="1999" t="s">
        <v>11255</v>
      </c>
      <c r="C23" s="2000" t="s">
        <v>11256</v>
      </c>
      <c r="D23" s="2001" t="s">
        <v>11257</v>
      </c>
      <c r="E23" s="2048" t="s">
        <v>11241</v>
      </c>
      <c r="F23" s="2003">
        <v>300</v>
      </c>
      <c r="G23" s="2004">
        <v>0.097</v>
      </c>
      <c r="H23" s="2005">
        <v>1940</v>
      </c>
      <c r="I23" s="2005">
        <v>1940</v>
      </c>
      <c r="J23" s="2005">
        <v>1940</v>
      </c>
      <c r="K23" s="2005">
        <v>1940</v>
      </c>
      <c r="L23" s="2005">
        <v>1940</v>
      </c>
      <c r="M23" s="2005">
        <v>1940</v>
      </c>
      <c r="N23" s="2005">
        <v>1940</v>
      </c>
      <c r="O23" s="2005">
        <v>1940</v>
      </c>
      <c r="P23" s="2005">
        <v>1940</v>
      </c>
      <c r="Q23" s="2006">
        <v>1940</v>
      </c>
      <c r="R23" s="2006">
        <v>1940</v>
      </c>
      <c r="S23" s="2006">
        <v>2134</v>
      </c>
      <c r="T23" s="2006">
        <v>1940</v>
      </c>
      <c r="U23" s="2007" t="s">
        <v>11229</v>
      </c>
      <c r="V23" s="2008">
        <f t="shared" si="0"/>
        <v>25414</v>
      </c>
      <c r="W23" s="2009">
        <v>10</v>
      </c>
      <c r="X23" s="2009">
        <v>19400</v>
      </c>
      <c r="Y23" s="2052"/>
      <c r="Z23" s="2011"/>
    </row>
    <row r="24" ht="21" customHeight="1" spans="1:26">
      <c r="A24" s="2012"/>
      <c r="B24" s="2013"/>
      <c r="C24" s="1784" t="s">
        <v>11258</v>
      </c>
      <c r="D24" s="1784" t="s">
        <v>11259</v>
      </c>
      <c r="E24" s="2024" t="s">
        <v>11260</v>
      </c>
      <c r="F24" s="2016"/>
      <c r="G24" s="2017">
        <v>0.0083</v>
      </c>
      <c r="H24" s="2018">
        <v>166</v>
      </c>
      <c r="I24" s="2018">
        <v>166</v>
      </c>
      <c r="J24" s="2018">
        <v>166</v>
      </c>
      <c r="K24" s="2018">
        <v>166</v>
      </c>
      <c r="L24" s="2018">
        <v>166</v>
      </c>
      <c r="M24" s="2018">
        <v>166</v>
      </c>
      <c r="N24" s="2018">
        <v>166</v>
      </c>
      <c r="O24" s="2018">
        <v>166</v>
      </c>
      <c r="P24" s="2018">
        <v>166</v>
      </c>
      <c r="Q24" s="2019">
        <v>166</v>
      </c>
      <c r="R24" s="2019">
        <v>166</v>
      </c>
      <c r="S24" s="2019">
        <v>183</v>
      </c>
      <c r="T24" s="2019">
        <v>166</v>
      </c>
      <c r="U24" s="2020" t="s">
        <v>11229</v>
      </c>
      <c r="V24" s="2008">
        <f t="shared" si="0"/>
        <v>2175</v>
      </c>
      <c r="W24" s="2021">
        <v>1.6</v>
      </c>
      <c r="X24" s="2021">
        <v>265.6</v>
      </c>
      <c r="Y24" s="2053"/>
      <c r="Z24" s="2023"/>
    </row>
    <row r="25" ht="21" customHeight="1" spans="1:26">
      <c r="A25" s="2012"/>
      <c r="B25" s="2013"/>
      <c r="C25" s="1784" t="s">
        <v>11261</v>
      </c>
      <c r="D25" s="1784" t="s">
        <v>11259</v>
      </c>
      <c r="E25" s="2024" t="s">
        <v>11262</v>
      </c>
      <c r="F25" s="2016"/>
      <c r="G25" s="2017">
        <v>0.0083</v>
      </c>
      <c r="H25" s="2018">
        <v>166</v>
      </c>
      <c r="I25" s="2018">
        <v>166</v>
      </c>
      <c r="J25" s="2018">
        <v>166</v>
      </c>
      <c r="K25" s="2018">
        <v>166</v>
      </c>
      <c r="L25" s="2018">
        <v>166</v>
      </c>
      <c r="M25" s="2018">
        <v>166</v>
      </c>
      <c r="N25" s="2018">
        <v>166</v>
      </c>
      <c r="O25" s="2018">
        <v>166</v>
      </c>
      <c r="P25" s="2018">
        <v>166</v>
      </c>
      <c r="Q25" s="2019">
        <v>166</v>
      </c>
      <c r="R25" s="2019">
        <v>166</v>
      </c>
      <c r="S25" s="2019">
        <v>183</v>
      </c>
      <c r="T25" s="2019">
        <v>166</v>
      </c>
      <c r="U25" s="2020" t="s">
        <v>11229</v>
      </c>
      <c r="V25" s="2008">
        <f t="shared" si="0"/>
        <v>2175</v>
      </c>
      <c r="W25" s="2021">
        <v>1.9</v>
      </c>
      <c r="X25" s="2021">
        <v>315.4</v>
      </c>
      <c r="Y25" s="2022"/>
      <c r="Z25" s="2023"/>
    </row>
    <row r="26" ht="21" customHeight="1" spans="1:26">
      <c r="A26" s="2012"/>
      <c r="B26" s="2013"/>
      <c r="C26" s="2014" t="s">
        <v>11263</v>
      </c>
      <c r="D26" s="1784" t="s">
        <v>11264</v>
      </c>
      <c r="E26" s="2024" t="s">
        <v>11265</v>
      </c>
      <c r="F26" s="2016">
        <v>200</v>
      </c>
      <c r="G26" s="2017">
        <v>0.003</v>
      </c>
      <c r="H26" s="2018">
        <v>166</v>
      </c>
      <c r="I26" s="2018"/>
      <c r="J26" s="2018">
        <v>166</v>
      </c>
      <c r="K26" s="2018">
        <v>0</v>
      </c>
      <c r="L26" s="2018">
        <v>0</v>
      </c>
      <c r="M26" s="2018">
        <v>28</v>
      </c>
      <c r="N26" s="2018">
        <v>60</v>
      </c>
      <c r="O26" s="2018">
        <v>60</v>
      </c>
      <c r="P26" s="2018">
        <v>60</v>
      </c>
      <c r="Q26" s="2019">
        <v>60</v>
      </c>
      <c r="R26" s="2019">
        <v>60</v>
      </c>
      <c r="S26" s="2019">
        <v>66</v>
      </c>
      <c r="T26" s="2019">
        <v>60</v>
      </c>
      <c r="U26" s="2020" t="s">
        <v>11229</v>
      </c>
      <c r="V26" s="2008">
        <f t="shared" si="0"/>
        <v>786</v>
      </c>
      <c r="W26" s="2021">
        <v>33</v>
      </c>
      <c r="X26" s="2021">
        <v>5478</v>
      </c>
      <c r="Y26" s="2022"/>
      <c r="Z26" s="2023"/>
    </row>
    <row r="27" ht="21" customHeight="1" spans="1:26">
      <c r="A27" s="2012"/>
      <c r="B27" s="2013"/>
      <c r="C27" s="1784" t="s">
        <v>11266</v>
      </c>
      <c r="D27" s="1784" t="s">
        <v>11267</v>
      </c>
      <c r="E27" s="2024" t="s">
        <v>11268</v>
      </c>
      <c r="F27" s="2016">
        <v>500</v>
      </c>
      <c r="G27" s="2017">
        <v>0.0253</v>
      </c>
      <c r="H27" s="2018">
        <v>506</v>
      </c>
      <c r="I27" s="2018">
        <v>506</v>
      </c>
      <c r="J27" s="2018">
        <v>506</v>
      </c>
      <c r="K27" s="2018">
        <v>506</v>
      </c>
      <c r="L27" s="2018">
        <v>506</v>
      </c>
      <c r="M27" s="2018">
        <v>506</v>
      </c>
      <c r="N27" s="2018">
        <v>506</v>
      </c>
      <c r="O27" s="2018">
        <v>506</v>
      </c>
      <c r="P27" s="2018">
        <v>506</v>
      </c>
      <c r="Q27" s="2019">
        <v>506</v>
      </c>
      <c r="R27" s="2019">
        <v>506</v>
      </c>
      <c r="S27" s="2019">
        <v>557</v>
      </c>
      <c r="T27" s="2019">
        <v>506</v>
      </c>
      <c r="U27" s="2020" t="s">
        <v>11229</v>
      </c>
      <c r="V27" s="2008">
        <f t="shared" si="0"/>
        <v>6629</v>
      </c>
      <c r="W27" s="2021">
        <v>28.75</v>
      </c>
      <c r="X27" s="2021">
        <v>14547.5</v>
      </c>
      <c r="Y27" s="2022"/>
      <c r="Z27" s="2023"/>
    </row>
    <row r="28" ht="21" customHeight="1" spans="1:26">
      <c r="A28" s="2012"/>
      <c r="B28" s="2032"/>
      <c r="C28" s="1784" t="s">
        <v>10650</v>
      </c>
      <c r="D28" s="2014"/>
      <c r="E28" s="2015"/>
      <c r="F28" s="2016"/>
      <c r="G28" s="2017">
        <v>1</v>
      </c>
      <c r="H28" s="2018">
        <v>20000</v>
      </c>
      <c r="I28" s="2018">
        <v>20000</v>
      </c>
      <c r="J28" s="2018">
        <v>20000</v>
      </c>
      <c r="K28" s="2018">
        <v>20000</v>
      </c>
      <c r="L28" s="2018">
        <v>20000</v>
      </c>
      <c r="M28" s="2018">
        <v>20000</v>
      </c>
      <c r="N28" s="2018">
        <v>20000</v>
      </c>
      <c r="O28" s="2018">
        <v>20000</v>
      </c>
      <c r="P28" s="2018">
        <v>20000</v>
      </c>
      <c r="Q28" s="2019">
        <v>20000</v>
      </c>
      <c r="R28" s="2019">
        <v>20000</v>
      </c>
      <c r="S28" s="2019">
        <v>22000</v>
      </c>
      <c r="T28" s="2019">
        <v>20000</v>
      </c>
      <c r="U28" s="2020" t="s">
        <v>11229</v>
      </c>
      <c r="V28" s="2008">
        <f t="shared" si="0"/>
        <v>262000</v>
      </c>
      <c r="W28" s="2021">
        <v>0.8652</v>
      </c>
      <c r="X28" s="2021">
        <v>17304</v>
      </c>
      <c r="Y28" s="2022"/>
      <c r="Z28" s="2023"/>
    </row>
    <row r="29" ht="21" customHeight="1" spans="1:26">
      <c r="A29" s="2012"/>
      <c r="B29" s="2034" t="s">
        <v>11269</v>
      </c>
      <c r="C29" s="2014" t="s">
        <v>11270</v>
      </c>
      <c r="D29" s="1784" t="s">
        <v>11240</v>
      </c>
      <c r="E29" s="2024" t="s">
        <v>11241</v>
      </c>
      <c r="F29" s="2016">
        <v>300</v>
      </c>
      <c r="G29" s="2017">
        <v>0.0337</v>
      </c>
      <c r="H29" s="2018">
        <v>674</v>
      </c>
      <c r="I29" s="2018">
        <v>674</v>
      </c>
      <c r="J29" s="2018">
        <v>674</v>
      </c>
      <c r="K29" s="2018">
        <v>674</v>
      </c>
      <c r="L29" s="2018">
        <v>674</v>
      </c>
      <c r="M29" s="2018">
        <v>674</v>
      </c>
      <c r="N29" s="2018">
        <v>674</v>
      </c>
      <c r="O29" s="2018">
        <v>674</v>
      </c>
      <c r="P29" s="2018">
        <v>674</v>
      </c>
      <c r="Q29" s="2019">
        <v>674</v>
      </c>
      <c r="R29" s="2019">
        <v>674</v>
      </c>
      <c r="S29" s="2019">
        <v>742</v>
      </c>
      <c r="T29" s="2019">
        <v>674</v>
      </c>
      <c r="U29" s="2020" t="s">
        <v>11229</v>
      </c>
      <c r="V29" s="2008">
        <f t="shared" si="0"/>
        <v>8830</v>
      </c>
      <c r="W29" s="2021">
        <v>10.93</v>
      </c>
      <c r="X29" s="2021">
        <v>7366.82</v>
      </c>
      <c r="Y29" s="2022"/>
      <c r="Z29" s="2023"/>
    </row>
    <row r="30" ht="21" customHeight="1" spans="1:26">
      <c r="A30" s="2012"/>
      <c r="B30" s="2035"/>
      <c r="C30" s="2036" t="s">
        <v>10650</v>
      </c>
      <c r="D30" s="2037"/>
      <c r="E30" s="2038"/>
      <c r="F30" s="2039"/>
      <c r="G30" s="2040">
        <v>1</v>
      </c>
      <c r="H30" s="2041">
        <v>20000</v>
      </c>
      <c r="I30" s="2041">
        <v>20000</v>
      </c>
      <c r="J30" s="2041">
        <v>20000</v>
      </c>
      <c r="K30" s="2018">
        <v>20000</v>
      </c>
      <c r="L30" s="2042">
        <v>20000</v>
      </c>
      <c r="M30" s="2042">
        <v>20000</v>
      </c>
      <c r="N30" s="2042">
        <v>20000</v>
      </c>
      <c r="O30" s="2041">
        <v>20000</v>
      </c>
      <c r="P30" s="2041">
        <v>20000</v>
      </c>
      <c r="Q30" s="2050">
        <v>20000</v>
      </c>
      <c r="R30" s="2050">
        <v>20000</v>
      </c>
      <c r="S30" s="2050">
        <v>22000</v>
      </c>
      <c r="T30" s="2050">
        <v>20000</v>
      </c>
      <c r="U30" s="2044" t="s">
        <v>11229</v>
      </c>
      <c r="V30" s="2008">
        <f t="shared" si="0"/>
        <v>262000</v>
      </c>
      <c r="W30" s="2045">
        <v>0.0019158</v>
      </c>
      <c r="X30" s="2045">
        <v>38.316</v>
      </c>
      <c r="Y30" s="2051"/>
      <c r="Z30" s="2047"/>
    </row>
    <row r="31" ht="21" customHeight="1" spans="1:26">
      <c r="A31" s="2012"/>
      <c r="B31" s="1999" t="s">
        <v>11271</v>
      </c>
      <c r="C31" s="2000" t="s">
        <v>11272</v>
      </c>
      <c r="D31" s="2001" t="s">
        <v>11273</v>
      </c>
      <c r="E31" s="2048" t="s">
        <v>11274</v>
      </c>
      <c r="F31" s="2003">
        <v>300</v>
      </c>
      <c r="G31" s="2004">
        <v>0.1336</v>
      </c>
      <c r="H31" s="2005">
        <v>2672</v>
      </c>
      <c r="I31" s="2005">
        <v>2672</v>
      </c>
      <c r="J31" s="2005">
        <v>2672</v>
      </c>
      <c r="K31" s="2005">
        <v>2672</v>
      </c>
      <c r="L31" s="2005">
        <v>2672</v>
      </c>
      <c r="M31" s="2005">
        <v>2672</v>
      </c>
      <c r="N31" s="2005">
        <v>2672</v>
      </c>
      <c r="O31" s="2005">
        <v>2672</v>
      </c>
      <c r="P31" s="2005">
        <v>2672</v>
      </c>
      <c r="Q31" s="2006">
        <v>2672</v>
      </c>
      <c r="R31" s="2006">
        <v>2672</v>
      </c>
      <c r="S31" s="2006">
        <v>2806</v>
      </c>
      <c r="T31" s="2006">
        <v>2672</v>
      </c>
      <c r="U31" s="2007" t="s">
        <v>11229</v>
      </c>
      <c r="V31" s="2008">
        <f t="shared" si="0"/>
        <v>34870</v>
      </c>
      <c r="W31" s="2009">
        <v>10.93</v>
      </c>
      <c r="X31" s="2009">
        <v>29204.96</v>
      </c>
      <c r="Y31" s="2010"/>
      <c r="Z31" s="2011"/>
    </row>
    <row r="32" ht="21" customHeight="1" spans="1:26">
      <c r="A32" s="2012"/>
      <c r="B32" s="2013"/>
      <c r="C32" s="2014" t="s">
        <v>11275</v>
      </c>
      <c r="D32" s="1784" t="s">
        <v>11276</v>
      </c>
      <c r="E32" s="2024" t="s">
        <v>11241</v>
      </c>
      <c r="F32" s="2016">
        <v>300</v>
      </c>
      <c r="G32" s="2017">
        <v>0.0383</v>
      </c>
      <c r="H32" s="2018">
        <v>766</v>
      </c>
      <c r="I32" s="2018">
        <v>766</v>
      </c>
      <c r="J32" s="2018">
        <v>766</v>
      </c>
      <c r="K32" s="2018">
        <v>766</v>
      </c>
      <c r="L32" s="2018">
        <v>766</v>
      </c>
      <c r="M32" s="2018">
        <v>766</v>
      </c>
      <c r="N32" s="2018">
        <v>766</v>
      </c>
      <c r="O32" s="2018">
        <v>766</v>
      </c>
      <c r="P32" s="2018">
        <v>766</v>
      </c>
      <c r="Q32" s="2019">
        <v>766</v>
      </c>
      <c r="R32" s="2019">
        <v>766</v>
      </c>
      <c r="S32" s="2019">
        <v>805</v>
      </c>
      <c r="T32" s="2019">
        <v>766</v>
      </c>
      <c r="U32" s="2020" t="s">
        <v>11229</v>
      </c>
      <c r="V32" s="2008">
        <f t="shared" si="0"/>
        <v>9997</v>
      </c>
      <c r="W32" s="2021">
        <v>10.93</v>
      </c>
      <c r="X32" s="2021">
        <v>8372.38</v>
      </c>
      <c r="Y32" s="2022"/>
      <c r="Z32" s="2023"/>
    </row>
    <row r="33" ht="21" customHeight="1" spans="1:26">
      <c r="A33" s="2012"/>
      <c r="B33" s="2013"/>
      <c r="C33" s="2014" t="s">
        <v>11263</v>
      </c>
      <c r="D33" s="1784" t="s">
        <v>11277</v>
      </c>
      <c r="E33" s="2024" t="s">
        <v>11265</v>
      </c>
      <c r="F33" s="2016">
        <v>200</v>
      </c>
      <c r="G33" s="2017">
        <v>0.0006</v>
      </c>
      <c r="H33" s="2018">
        <v>34</v>
      </c>
      <c r="I33" s="2018"/>
      <c r="J33" s="2018">
        <v>34</v>
      </c>
      <c r="K33" s="2018">
        <v>0</v>
      </c>
      <c r="L33" s="2018">
        <v>0</v>
      </c>
      <c r="M33" s="2018">
        <v>4</v>
      </c>
      <c r="N33" s="2018">
        <v>12</v>
      </c>
      <c r="O33" s="2018">
        <v>12</v>
      </c>
      <c r="P33" s="2018">
        <v>12</v>
      </c>
      <c r="Q33" s="2019">
        <v>12</v>
      </c>
      <c r="R33" s="2019">
        <v>12</v>
      </c>
      <c r="S33" s="2019">
        <v>13</v>
      </c>
      <c r="T33" s="2019">
        <v>12</v>
      </c>
      <c r="U33" s="2020" t="s">
        <v>11229</v>
      </c>
      <c r="V33" s="2008">
        <f t="shared" si="0"/>
        <v>157</v>
      </c>
      <c r="W33" s="2021">
        <v>33</v>
      </c>
      <c r="X33" s="2021">
        <v>1122</v>
      </c>
      <c r="Y33" s="2022"/>
      <c r="Z33" s="2023"/>
    </row>
    <row r="34" ht="21" customHeight="1" spans="1:26">
      <c r="A34" s="2012"/>
      <c r="B34" s="2013"/>
      <c r="C34" s="1784" t="s">
        <v>11234</v>
      </c>
      <c r="D34" s="1784" t="s">
        <v>11252</v>
      </c>
      <c r="E34" s="2024" t="s">
        <v>11235</v>
      </c>
      <c r="F34" s="2016">
        <v>500</v>
      </c>
      <c r="G34" s="2017">
        <v>0.0126</v>
      </c>
      <c r="H34" s="2018">
        <v>252</v>
      </c>
      <c r="I34" s="2018">
        <v>252</v>
      </c>
      <c r="J34" s="2018">
        <v>437</v>
      </c>
      <c r="K34" s="2018">
        <v>67</v>
      </c>
      <c r="L34" s="2018">
        <v>252</v>
      </c>
      <c r="M34" s="2018">
        <v>438</v>
      </c>
      <c r="N34" s="2018">
        <v>438</v>
      </c>
      <c r="O34" s="2018"/>
      <c r="P34" s="2018">
        <v>438</v>
      </c>
      <c r="Q34" s="2025"/>
      <c r="R34" s="2025">
        <v>438</v>
      </c>
      <c r="S34" s="2025">
        <v>25</v>
      </c>
      <c r="T34" s="2025">
        <v>252</v>
      </c>
      <c r="U34" s="2020" t="s">
        <v>11229</v>
      </c>
      <c r="V34" s="2008">
        <f t="shared" si="0"/>
        <v>3289</v>
      </c>
      <c r="W34" s="2021">
        <v>28.75</v>
      </c>
      <c r="X34" s="2021">
        <v>7245</v>
      </c>
      <c r="Y34" s="2022"/>
      <c r="Z34" s="2023"/>
    </row>
    <row r="35" ht="21" customHeight="1" spans="1:26">
      <c r="A35" s="2012"/>
      <c r="B35" s="2032"/>
      <c r="C35" s="1784" t="s">
        <v>10650</v>
      </c>
      <c r="D35" s="2014"/>
      <c r="E35" s="2015"/>
      <c r="F35" s="2016"/>
      <c r="G35" s="2017">
        <v>1</v>
      </c>
      <c r="H35" s="2018">
        <v>20000</v>
      </c>
      <c r="I35" s="2018">
        <v>20000</v>
      </c>
      <c r="J35" s="2018">
        <v>20000</v>
      </c>
      <c r="K35" s="2018">
        <v>20000</v>
      </c>
      <c r="L35" s="2018">
        <v>20000</v>
      </c>
      <c r="M35" s="2018">
        <v>20000</v>
      </c>
      <c r="N35" s="2018">
        <v>20000</v>
      </c>
      <c r="O35" s="2018">
        <v>20000</v>
      </c>
      <c r="P35" s="2018">
        <v>20000</v>
      </c>
      <c r="Q35" s="2019">
        <v>20000</v>
      </c>
      <c r="R35" s="2019">
        <v>20000</v>
      </c>
      <c r="S35" s="2019">
        <v>21000</v>
      </c>
      <c r="T35" s="2019">
        <v>20000</v>
      </c>
      <c r="U35" s="2020" t="s">
        <v>11229</v>
      </c>
      <c r="V35" s="2008">
        <f t="shared" si="0"/>
        <v>261000</v>
      </c>
      <c r="W35" s="2021">
        <v>0.8652</v>
      </c>
      <c r="X35" s="2021">
        <v>17304</v>
      </c>
      <c r="Y35" s="2022"/>
      <c r="Z35" s="2023"/>
    </row>
    <row r="36" ht="21" customHeight="1" spans="1:26">
      <c r="A36" s="2012"/>
      <c r="B36" s="2034" t="s">
        <v>11278</v>
      </c>
      <c r="C36" s="2014" t="s">
        <v>11279</v>
      </c>
      <c r="D36" s="1784" t="s">
        <v>11240</v>
      </c>
      <c r="E36" s="2024" t="s">
        <v>11241</v>
      </c>
      <c r="F36" s="2016">
        <v>300</v>
      </c>
      <c r="G36" s="2017">
        <v>0.0337</v>
      </c>
      <c r="H36" s="2018">
        <v>674</v>
      </c>
      <c r="I36" s="2018">
        <v>674</v>
      </c>
      <c r="J36" s="2018">
        <v>674</v>
      </c>
      <c r="K36" s="2018">
        <v>674</v>
      </c>
      <c r="L36" s="2018">
        <v>674</v>
      </c>
      <c r="M36" s="2018">
        <v>674</v>
      </c>
      <c r="N36" s="2018">
        <v>674</v>
      </c>
      <c r="O36" s="2018">
        <v>674</v>
      </c>
      <c r="P36" s="2018">
        <v>674</v>
      </c>
      <c r="Q36" s="2019">
        <v>674</v>
      </c>
      <c r="R36" s="2019">
        <v>674</v>
      </c>
      <c r="S36" s="2019">
        <v>708</v>
      </c>
      <c r="T36" s="2019">
        <v>674</v>
      </c>
      <c r="U36" s="2020" t="s">
        <v>11229</v>
      </c>
      <c r="V36" s="2008">
        <f t="shared" si="0"/>
        <v>8796</v>
      </c>
      <c r="W36" s="2021">
        <v>10.93</v>
      </c>
      <c r="X36" s="2021">
        <v>7366.82</v>
      </c>
      <c r="Y36" s="2022"/>
      <c r="Z36" s="2023"/>
    </row>
    <row r="37" ht="21" customHeight="1" spans="1:26">
      <c r="A37" s="2054"/>
      <c r="B37" s="2035"/>
      <c r="C37" s="2036" t="s">
        <v>10650</v>
      </c>
      <c r="D37" s="2037"/>
      <c r="E37" s="2038"/>
      <c r="F37" s="2039"/>
      <c r="G37" s="2040">
        <v>1</v>
      </c>
      <c r="H37" s="2041">
        <v>20000</v>
      </c>
      <c r="I37" s="2041">
        <v>20000</v>
      </c>
      <c r="J37" s="2041">
        <v>20000</v>
      </c>
      <c r="K37" s="2018">
        <v>20000</v>
      </c>
      <c r="L37" s="2042">
        <v>20000</v>
      </c>
      <c r="M37" s="2042">
        <v>20000</v>
      </c>
      <c r="N37" s="2042">
        <v>20000</v>
      </c>
      <c r="O37" s="2041">
        <v>20000</v>
      </c>
      <c r="P37" s="2041">
        <v>20000</v>
      </c>
      <c r="Q37" s="2050">
        <v>20000</v>
      </c>
      <c r="R37" s="2050">
        <v>20000</v>
      </c>
      <c r="S37" s="2050">
        <v>21000</v>
      </c>
      <c r="T37" s="2050">
        <v>20000</v>
      </c>
      <c r="U37" s="2044" t="s">
        <v>11229</v>
      </c>
      <c r="V37" s="2008">
        <f t="shared" si="0"/>
        <v>261000</v>
      </c>
      <c r="W37" s="2045">
        <v>0.0019158</v>
      </c>
      <c r="X37" s="2045">
        <v>38.316</v>
      </c>
      <c r="Y37" s="2051"/>
      <c r="Z37" s="2047"/>
    </row>
    <row r="38" ht="21" customHeight="1" spans="1:26">
      <c r="A38" s="2055" t="s">
        <v>11280</v>
      </c>
      <c r="B38" s="2056" t="s">
        <v>10172</v>
      </c>
      <c r="C38" s="2000" t="s">
        <v>11272</v>
      </c>
      <c r="D38" s="2001" t="s">
        <v>11281</v>
      </c>
      <c r="E38" s="2048" t="s">
        <v>11274</v>
      </c>
      <c r="F38" s="2003">
        <v>300</v>
      </c>
      <c r="G38" s="2004">
        <v>0.0965</v>
      </c>
      <c r="H38" s="2005">
        <v>1930</v>
      </c>
      <c r="I38" s="2005">
        <v>1930</v>
      </c>
      <c r="J38" s="2005"/>
      <c r="K38" s="2005">
        <v>1930</v>
      </c>
      <c r="L38" s="2005">
        <v>1930</v>
      </c>
      <c r="M38" s="2005"/>
      <c r="N38" s="2005"/>
      <c r="O38" s="2005"/>
      <c r="P38" s="2005"/>
      <c r="Q38" s="2006"/>
      <c r="R38" s="2006"/>
      <c r="S38" s="2006"/>
      <c r="T38" s="2006"/>
      <c r="U38" s="2007" t="s">
        <v>11229</v>
      </c>
      <c r="V38" s="2008">
        <f t="shared" si="0"/>
        <v>7720</v>
      </c>
      <c r="W38" s="2009">
        <v>10.93</v>
      </c>
      <c r="X38" s="2009">
        <v>21094.9</v>
      </c>
      <c r="Y38" s="2010"/>
      <c r="Z38" s="2011"/>
    </row>
    <row r="39" ht="21" customHeight="1" spans="1:26">
      <c r="A39" s="2057"/>
      <c r="B39" s="2058"/>
      <c r="C39" s="1784" t="s">
        <v>11258</v>
      </c>
      <c r="D39" s="1784" t="s">
        <v>11282</v>
      </c>
      <c r="E39" s="2024" t="s">
        <v>11260</v>
      </c>
      <c r="F39" s="2016"/>
      <c r="G39" s="2017">
        <v>0.0109</v>
      </c>
      <c r="H39" s="2018">
        <v>218</v>
      </c>
      <c r="I39" s="2018">
        <v>218</v>
      </c>
      <c r="J39" s="2018"/>
      <c r="K39" s="2018">
        <v>218</v>
      </c>
      <c r="L39" s="2018">
        <v>218</v>
      </c>
      <c r="M39" s="2018"/>
      <c r="N39" s="2018"/>
      <c r="O39" s="2018"/>
      <c r="P39" s="2018"/>
      <c r="Q39" s="2019"/>
      <c r="R39" s="2019"/>
      <c r="S39" s="2019"/>
      <c r="T39" s="2019"/>
      <c r="U39" s="2020" t="s">
        <v>11229</v>
      </c>
      <c r="V39" s="2008">
        <f t="shared" si="0"/>
        <v>872</v>
      </c>
      <c r="W39" s="2021">
        <v>1.6</v>
      </c>
      <c r="X39" s="2021">
        <v>348.8</v>
      </c>
      <c r="Y39" s="2022"/>
      <c r="Z39" s="2023"/>
    </row>
    <row r="40" ht="21" customHeight="1" spans="1:26">
      <c r="A40" s="2057"/>
      <c r="B40" s="2058"/>
      <c r="C40" s="1784" t="s">
        <v>11261</v>
      </c>
      <c r="D40" s="1784" t="s">
        <v>11282</v>
      </c>
      <c r="E40" s="2024" t="s">
        <v>11262</v>
      </c>
      <c r="F40" s="2016"/>
      <c r="G40" s="2017">
        <v>0.0109</v>
      </c>
      <c r="H40" s="2018">
        <v>218</v>
      </c>
      <c r="I40" s="2018">
        <v>218</v>
      </c>
      <c r="J40" s="2018"/>
      <c r="K40" s="2018">
        <v>218</v>
      </c>
      <c r="L40" s="2018">
        <v>218</v>
      </c>
      <c r="M40" s="2018"/>
      <c r="N40" s="2018"/>
      <c r="O40" s="2018"/>
      <c r="P40" s="2018"/>
      <c r="Q40" s="2019"/>
      <c r="R40" s="2019"/>
      <c r="S40" s="2019"/>
      <c r="T40" s="2019"/>
      <c r="U40" s="2020" t="s">
        <v>11229</v>
      </c>
      <c r="V40" s="2008">
        <f t="shared" si="0"/>
        <v>872</v>
      </c>
      <c r="W40" s="2021">
        <v>1.9</v>
      </c>
      <c r="X40" s="2021">
        <v>414.2</v>
      </c>
      <c r="Y40" s="2022"/>
      <c r="Z40" s="2059"/>
    </row>
    <row r="41" ht="21" customHeight="1" spans="1:26">
      <c r="A41" s="2057"/>
      <c r="B41" s="2058"/>
      <c r="C41" s="2014" t="s">
        <v>11283</v>
      </c>
      <c r="D41" s="1784" t="s">
        <v>11284</v>
      </c>
      <c r="E41" s="2024" t="s">
        <v>11285</v>
      </c>
      <c r="F41" s="2016">
        <v>300</v>
      </c>
      <c r="G41" s="2017">
        <v>0.1004</v>
      </c>
      <c r="H41" s="2018">
        <v>2008</v>
      </c>
      <c r="I41" s="2018">
        <v>2008</v>
      </c>
      <c r="J41" s="2018"/>
      <c r="K41" s="2018">
        <v>2008</v>
      </c>
      <c r="L41" s="2018">
        <v>2008</v>
      </c>
      <c r="M41" s="2018"/>
      <c r="N41" s="2018"/>
      <c r="O41" s="2018"/>
      <c r="P41" s="2018"/>
      <c r="Q41" s="2019"/>
      <c r="R41" s="2019"/>
      <c r="S41" s="2019"/>
      <c r="T41" s="2019"/>
      <c r="U41" s="2020" t="s">
        <v>11229</v>
      </c>
      <c r="V41" s="2008">
        <f t="shared" si="0"/>
        <v>8032</v>
      </c>
      <c r="W41" s="2021">
        <v>10.93</v>
      </c>
      <c r="X41" s="2021">
        <v>21947.44</v>
      </c>
      <c r="Y41" s="2022"/>
      <c r="Z41" s="2023"/>
    </row>
    <row r="42" ht="21" customHeight="1" spans="1:26">
      <c r="A42" s="2057"/>
      <c r="B42" s="2058"/>
      <c r="C42" s="1784" t="s">
        <v>11258</v>
      </c>
      <c r="D42" s="1784" t="s">
        <v>11286</v>
      </c>
      <c r="E42" s="2024" t="s">
        <v>11260</v>
      </c>
      <c r="F42" s="2016"/>
      <c r="G42" s="2017">
        <v>0.0109</v>
      </c>
      <c r="H42" s="2018">
        <v>218</v>
      </c>
      <c r="I42" s="2018">
        <v>218</v>
      </c>
      <c r="J42" s="2018"/>
      <c r="K42" s="2018">
        <v>218</v>
      </c>
      <c r="L42" s="2018">
        <v>218</v>
      </c>
      <c r="M42" s="2018"/>
      <c r="N42" s="2018"/>
      <c r="O42" s="2018"/>
      <c r="P42" s="2018"/>
      <c r="Q42" s="2019"/>
      <c r="R42" s="2019"/>
      <c r="S42" s="2019"/>
      <c r="T42" s="2019"/>
      <c r="U42" s="2020" t="s">
        <v>11229</v>
      </c>
      <c r="V42" s="2008">
        <f t="shared" si="0"/>
        <v>872</v>
      </c>
      <c r="W42" s="2021">
        <v>1.6</v>
      </c>
      <c r="X42" s="2021">
        <v>348.8</v>
      </c>
      <c r="Y42" s="2022"/>
      <c r="Z42" s="2023"/>
    </row>
    <row r="43" ht="21" customHeight="1" spans="1:26">
      <c r="A43" s="2057"/>
      <c r="B43" s="2058"/>
      <c r="C43" s="1784" t="s">
        <v>11261</v>
      </c>
      <c r="D43" s="1784" t="s">
        <v>11286</v>
      </c>
      <c r="E43" s="2024" t="s">
        <v>11262</v>
      </c>
      <c r="F43" s="2016"/>
      <c r="G43" s="2017">
        <v>0.0109</v>
      </c>
      <c r="H43" s="2018">
        <v>218</v>
      </c>
      <c r="I43" s="2018">
        <v>218</v>
      </c>
      <c r="J43" s="2018"/>
      <c r="K43" s="2018">
        <v>218</v>
      </c>
      <c r="L43" s="2018">
        <v>218</v>
      </c>
      <c r="M43" s="2018"/>
      <c r="N43" s="2018"/>
      <c r="O43" s="2018"/>
      <c r="P43" s="2018">
        <v>-72</v>
      </c>
      <c r="Q43" s="2019"/>
      <c r="R43" s="2019"/>
      <c r="S43" s="2019"/>
      <c r="T43" s="2019"/>
      <c r="U43" s="2020" t="s">
        <v>11229</v>
      </c>
      <c r="V43" s="2008">
        <f t="shared" si="0"/>
        <v>800</v>
      </c>
      <c r="W43" s="2021">
        <v>1.9</v>
      </c>
      <c r="X43" s="2021">
        <v>414.2</v>
      </c>
      <c r="Y43" s="2022"/>
      <c r="Z43" s="2023"/>
    </row>
    <row r="44" ht="21" customHeight="1" spans="1:26">
      <c r="A44" s="2057"/>
      <c r="B44" s="2058"/>
      <c r="C44" s="1784" t="s">
        <v>11234</v>
      </c>
      <c r="D44" s="1784" t="s">
        <v>11287</v>
      </c>
      <c r="E44" s="2024" t="s">
        <v>11235</v>
      </c>
      <c r="F44" s="2016">
        <v>500</v>
      </c>
      <c r="G44" s="2017">
        <v>0.032</v>
      </c>
      <c r="H44" s="2018">
        <v>640</v>
      </c>
      <c r="I44" s="2018">
        <v>640</v>
      </c>
      <c r="J44" s="2018"/>
      <c r="K44" s="2018">
        <v>640</v>
      </c>
      <c r="L44" s="2018">
        <v>640</v>
      </c>
      <c r="M44" s="2018"/>
      <c r="N44" s="2018"/>
      <c r="O44" s="2018"/>
      <c r="P44" s="2018"/>
      <c r="Q44" s="2019"/>
      <c r="R44" s="2019"/>
      <c r="S44" s="2019"/>
      <c r="T44" s="2019"/>
      <c r="U44" s="2020" t="s">
        <v>11229</v>
      </c>
      <c r="V44" s="2008">
        <f t="shared" si="0"/>
        <v>2560</v>
      </c>
      <c r="W44" s="2021">
        <v>28.75</v>
      </c>
      <c r="X44" s="2021">
        <v>18400</v>
      </c>
      <c r="Y44" s="2022"/>
      <c r="Z44" s="2023"/>
    </row>
    <row r="45" ht="21" customHeight="1" spans="1:26">
      <c r="A45" s="2057"/>
      <c r="B45" s="2058"/>
      <c r="C45" s="2014" t="s">
        <v>11250</v>
      </c>
      <c r="D45" s="1784" t="s">
        <v>10734</v>
      </c>
      <c r="E45" s="2024" t="s">
        <v>11251</v>
      </c>
      <c r="F45" s="2016">
        <v>500</v>
      </c>
      <c r="G45" s="2017">
        <v>0.0041</v>
      </c>
      <c r="H45" s="2018">
        <v>197</v>
      </c>
      <c r="I45" s="2018"/>
      <c r="J45" s="2018">
        <v>150</v>
      </c>
      <c r="K45" s="2018">
        <v>0</v>
      </c>
      <c r="L45" s="2018">
        <v>0</v>
      </c>
      <c r="M45" s="2018">
        <v>150</v>
      </c>
      <c r="N45" s="2018"/>
      <c r="O45" s="2018"/>
      <c r="P45" s="2018"/>
      <c r="Q45" s="2019">
        <v>150</v>
      </c>
      <c r="R45" s="2019"/>
      <c r="S45" s="2019"/>
      <c r="T45" s="2019">
        <v>-75</v>
      </c>
      <c r="U45" s="2020" t="s">
        <v>11229</v>
      </c>
      <c r="V45" s="2008">
        <f t="shared" si="0"/>
        <v>572</v>
      </c>
      <c r="W45" s="2021">
        <v>19.55</v>
      </c>
      <c r="X45" s="2021">
        <v>3851.35</v>
      </c>
      <c r="Y45" s="2022"/>
      <c r="Z45" s="2023"/>
    </row>
    <row r="46" ht="21" customHeight="1" spans="1:26">
      <c r="A46" s="2057"/>
      <c r="B46" s="2060"/>
      <c r="C46" s="1784" t="s">
        <v>10650</v>
      </c>
      <c r="D46" s="2014"/>
      <c r="E46" s="2015"/>
      <c r="F46" s="2016"/>
      <c r="G46" s="2017">
        <v>1</v>
      </c>
      <c r="H46" s="2018">
        <v>20000</v>
      </c>
      <c r="I46" s="2018">
        <v>20000</v>
      </c>
      <c r="J46" s="2018"/>
      <c r="K46" s="2018">
        <v>20000</v>
      </c>
      <c r="L46" s="2018">
        <v>20000</v>
      </c>
      <c r="M46" s="2018"/>
      <c r="N46" s="2018"/>
      <c r="O46" s="2018"/>
      <c r="P46" s="2018"/>
      <c r="Q46" s="2019"/>
      <c r="R46" s="2019"/>
      <c r="S46" s="2019"/>
      <c r="T46" s="2019"/>
      <c r="U46" s="2020" t="s">
        <v>11229</v>
      </c>
      <c r="V46" s="2008">
        <f t="shared" si="0"/>
        <v>80000</v>
      </c>
      <c r="W46" s="2021">
        <v>1.1227</v>
      </c>
      <c r="X46" s="2021">
        <v>22454</v>
      </c>
      <c r="Y46" s="2022"/>
      <c r="Z46" s="2023"/>
    </row>
    <row r="47" ht="21" customHeight="1" spans="1:26">
      <c r="A47" s="2057"/>
      <c r="B47" s="2061" t="s">
        <v>10173</v>
      </c>
      <c r="C47" s="2014" t="s">
        <v>11288</v>
      </c>
      <c r="D47" s="1784" t="s">
        <v>11289</v>
      </c>
      <c r="E47" s="2024" t="s">
        <v>11241</v>
      </c>
      <c r="F47" s="2016">
        <v>300</v>
      </c>
      <c r="G47" s="2017">
        <v>0.0107</v>
      </c>
      <c r="H47" s="2018">
        <v>214</v>
      </c>
      <c r="I47" s="2018">
        <v>214</v>
      </c>
      <c r="J47" s="2018"/>
      <c r="K47" s="2018">
        <v>214</v>
      </c>
      <c r="L47" s="2018">
        <v>214</v>
      </c>
      <c r="M47" s="2018"/>
      <c r="N47" s="2018"/>
      <c r="O47" s="2018"/>
      <c r="P47" s="2018"/>
      <c r="Q47" s="2019"/>
      <c r="R47" s="2019"/>
      <c r="S47" s="2019"/>
      <c r="T47" s="2019"/>
      <c r="U47" s="2020" t="s">
        <v>11229</v>
      </c>
      <c r="V47" s="2008">
        <f t="shared" si="0"/>
        <v>856</v>
      </c>
      <c r="W47" s="2021">
        <v>10.93</v>
      </c>
      <c r="X47" s="2021">
        <v>2339.02</v>
      </c>
      <c r="Y47" s="2022"/>
      <c r="Z47" s="2023"/>
    </row>
    <row r="48" ht="21" customHeight="1" spans="1:26">
      <c r="A48" s="2057"/>
      <c r="B48" s="2058"/>
      <c r="C48" s="2026" t="s">
        <v>11283</v>
      </c>
      <c r="D48" s="1784" t="s">
        <v>11290</v>
      </c>
      <c r="E48" s="2024" t="s">
        <v>11285</v>
      </c>
      <c r="F48" s="2016">
        <v>300</v>
      </c>
      <c r="G48" s="2017">
        <v>0.0112</v>
      </c>
      <c r="H48" s="2018">
        <v>224</v>
      </c>
      <c r="I48" s="2018">
        <v>224</v>
      </c>
      <c r="J48" s="2018"/>
      <c r="K48" s="2018">
        <v>224</v>
      </c>
      <c r="L48" s="2018">
        <v>224</v>
      </c>
      <c r="M48" s="2018"/>
      <c r="N48" s="2018"/>
      <c r="O48" s="2018"/>
      <c r="P48" s="2018"/>
      <c r="Q48" s="2019"/>
      <c r="R48" s="2019"/>
      <c r="S48" s="2019"/>
      <c r="T48" s="2019"/>
      <c r="U48" s="2020" t="s">
        <v>11229</v>
      </c>
      <c r="V48" s="2008">
        <f t="shared" si="0"/>
        <v>896</v>
      </c>
      <c r="W48" s="2021">
        <v>10.93</v>
      </c>
      <c r="X48" s="2021">
        <v>2448.32</v>
      </c>
      <c r="Y48" s="2033"/>
      <c r="Z48" s="2023"/>
    </row>
    <row r="49" ht="21" customHeight="1" spans="1:26">
      <c r="A49" s="2057"/>
      <c r="B49" s="2058"/>
      <c r="C49" s="2014" t="s">
        <v>11272</v>
      </c>
      <c r="D49" s="1784" t="s">
        <v>11291</v>
      </c>
      <c r="E49" s="2024" t="s">
        <v>11274</v>
      </c>
      <c r="F49" s="2016">
        <v>300</v>
      </c>
      <c r="G49" s="2017">
        <v>0.0112</v>
      </c>
      <c r="H49" s="2018">
        <v>224</v>
      </c>
      <c r="I49" s="2018">
        <v>224</v>
      </c>
      <c r="J49" s="2018"/>
      <c r="K49" s="2018">
        <v>224</v>
      </c>
      <c r="L49" s="2018">
        <v>224</v>
      </c>
      <c r="M49" s="2018"/>
      <c r="N49" s="2018"/>
      <c r="O49" s="2018"/>
      <c r="P49" s="2018"/>
      <c r="Q49" s="2019"/>
      <c r="R49" s="2019"/>
      <c r="S49" s="2019"/>
      <c r="T49" s="2019"/>
      <c r="U49" s="2020" t="s">
        <v>11229</v>
      </c>
      <c r="V49" s="2008">
        <f t="shared" si="0"/>
        <v>896</v>
      </c>
      <c r="W49" s="2021">
        <v>10.93</v>
      </c>
      <c r="X49" s="2021">
        <v>2448.32</v>
      </c>
      <c r="Y49" s="2033"/>
      <c r="Z49" s="2023"/>
    </row>
    <row r="50" ht="21" customHeight="1" spans="1:26">
      <c r="A50" s="2057"/>
      <c r="B50" s="2058"/>
      <c r="C50" s="2062" t="s">
        <v>11292</v>
      </c>
      <c r="D50" s="2062" t="s">
        <v>11293</v>
      </c>
      <c r="E50" s="2063" t="s">
        <v>11294</v>
      </c>
      <c r="F50" s="2064">
        <v>300</v>
      </c>
      <c r="G50" s="2065">
        <v>0.0011</v>
      </c>
      <c r="H50" s="2018">
        <v>150</v>
      </c>
      <c r="I50" s="2018"/>
      <c r="J50" s="2018"/>
      <c r="K50" s="2018">
        <v>0</v>
      </c>
      <c r="L50" s="2018">
        <v>0</v>
      </c>
      <c r="M50" s="2018"/>
      <c r="N50" s="2018"/>
      <c r="O50" s="2018"/>
      <c r="P50" s="2018"/>
      <c r="Q50" s="2019"/>
      <c r="R50" s="2019"/>
      <c r="S50" s="2019"/>
      <c r="T50" s="2019"/>
      <c r="U50" s="2020" t="s">
        <v>11229</v>
      </c>
      <c r="V50" s="2008">
        <f t="shared" si="0"/>
        <v>150</v>
      </c>
      <c r="W50" s="2021">
        <v>14.95</v>
      </c>
      <c r="X50" s="2021">
        <v>2242.5</v>
      </c>
      <c r="Y50" s="2022"/>
      <c r="Z50" s="2031" t="s">
        <v>11295</v>
      </c>
    </row>
    <row r="51" ht="21" customHeight="1" spans="1:26">
      <c r="A51" s="2057"/>
      <c r="B51" s="2058"/>
      <c r="C51" s="2062" t="s">
        <v>11234</v>
      </c>
      <c r="D51" s="2062" t="s">
        <v>11296</v>
      </c>
      <c r="E51" s="2063" t="s">
        <v>11235</v>
      </c>
      <c r="F51" s="2064">
        <v>500</v>
      </c>
      <c r="G51" s="2065">
        <v>0.0089</v>
      </c>
      <c r="H51" s="2018">
        <v>202</v>
      </c>
      <c r="I51" s="2018">
        <v>154</v>
      </c>
      <c r="J51" s="2018"/>
      <c r="K51" s="2018">
        <v>178</v>
      </c>
      <c r="L51" s="2018">
        <v>178</v>
      </c>
      <c r="M51" s="2018"/>
      <c r="N51" s="2018"/>
      <c r="O51" s="2018"/>
      <c r="P51" s="2018"/>
      <c r="Q51" s="2019"/>
      <c r="R51" s="2019"/>
      <c r="S51" s="2019"/>
      <c r="T51" s="2019"/>
      <c r="U51" s="2020" t="s">
        <v>11229</v>
      </c>
      <c r="V51" s="2008">
        <f t="shared" si="0"/>
        <v>712</v>
      </c>
      <c r="W51" s="2021">
        <v>28.75</v>
      </c>
      <c r="X51" s="2021">
        <v>5807.5</v>
      </c>
      <c r="Y51" s="2022"/>
      <c r="Z51" s="2031" t="s">
        <v>11297</v>
      </c>
    </row>
    <row r="52" ht="21" customHeight="1" spans="1:26">
      <c r="A52" s="2057"/>
      <c r="B52" s="2058"/>
      <c r="C52" s="2014" t="s">
        <v>11250</v>
      </c>
      <c r="D52" s="1784" t="s">
        <v>10734</v>
      </c>
      <c r="E52" s="2024" t="s">
        <v>11251</v>
      </c>
      <c r="F52" s="2016">
        <v>500</v>
      </c>
      <c r="G52" s="2017">
        <v>0.0012</v>
      </c>
      <c r="H52" s="2018">
        <v>57</v>
      </c>
      <c r="I52" s="2018"/>
      <c r="J52" s="2018">
        <v>50</v>
      </c>
      <c r="K52" s="2018">
        <v>0</v>
      </c>
      <c r="L52" s="2018">
        <v>0</v>
      </c>
      <c r="M52" s="2018">
        <v>50</v>
      </c>
      <c r="N52" s="2018"/>
      <c r="O52" s="2018"/>
      <c r="P52" s="2018"/>
      <c r="Q52" s="2019">
        <v>50</v>
      </c>
      <c r="R52" s="2019"/>
      <c r="S52" s="2019">
        <v>-32</v>
      </c>
      <c r="T52" s="2019">
        <v>-27</v>
      </c>
      <c r="U52" s="2020" t="s">
        <v>11229</v>
      </c>
      <c r="V52" s="2008">
        <f t="shared" si="0"/>
        <v>148</v>
      </c>
      <c r="W52" s="2021">
        <v>19.55</v>
      </c>
      <c r="X52" s="2021">
        <v>1114.35</v>
      </c>
      <c r="Y52" s="2022"/>
      <c r="Z52" s="2023"/>
    </row>
    <row r="53" ht="21" customHeight="1" spans="1:26">
      <c r="A53" s="2057"/>
      <c r="B53" s="2060"/>
      <c r="C53" s="1784" t="s">
        <v>10650</v>
      </c>
      <c r="D53" s="2014"/>
      <c r="E53" s="2015"/>
      <c r="F53" s="2016"/>
      <c r="G53" s="2017">
        <v>1</v>
      </c>
      <c r="H53" s="2018">
        <v>20000</v>
      </c>
      <c r="I53" s="2018">
        <v>20000</v>
      </c>
      <c r="J53" s="2018"/>
      <c r="K53" s="2018">
        <v>20000</v>
      </c>
      <c r="L53" s="2018">
        <v>20000</v>
      </c>
      <c r="M53" s="2018"/>
      <c r="N53" s="2018"/>
      <c r="O53" s="2018"/>
      <c r="P53" s="2018"/>
      <c r="Q53" s="2019"/>
      <c r="R53" s="2019"/>
      <c r="S53" s="2019"/>
      <c r="T53" s="2019"/>
      <c r="U53" s="2020" t="s">
        <v>11229</v>
      </c>
      <c r="V53" s="2008">
        <f t="shared" si="0"/>
        <v>80000</v>
      </c>
      <c r="W53" s="2021">
        <v>1.1433</v>
      </c>
      <c r="X53" s="2021">
        <v>22866</v>
      </c>
      <c r="Y53" s="2022"/>
      <c r="Z53" s="2023"/>
    </row>
    <row r="54" ht="21" customHeight="1" spans="1:26">
      <c r="A54" s="2057"/>
      <c r="B54" s="2061" t="s">
        <v>11298</v>
      </c>
      <c r="C54" s="2014" t="s">
        <v>11299</v>
      </c>
      <c r="D54" s="1784" t="s">
        <v>11240</v>
      </c>
      <c r="E54" s="2024" t="s">
        <v>11241</v>
      </c>
      <c r="F54" s="2016">
        <v>300</v>
      </c>
      <c r="G54" s="2017">
        <v>0.0556</v>
      </c>
      <c r="H54" s="2018">
        <v>1112</v>
      </c>
      <c r="I54" s="2018">
        <v>1112</v>
      </c>
      <c r="J54" s="2018"/>
      <c r="K54" s="2018">
        <v>1112</v>
      </c>
      <c r="L54" s="2018">
        <v>1112</v>
      </c>
      <c r="M54" s="2018"/>
      <c r="N54" s="2018"/>
      <c r="O54" s="2018"/>
      <c r="P54" s="2018"/>
      <c r="Q54" s="2019"/>
      <c r="R54" s="2019"/>
      <c r="S54" s="2019"/>
      <c r="T54" s="2019"/>
      <c r="U54" s="2020" t="s">
        <v>11229</v>
      </c>
      <c r="V54" s="2008">
        <f t="shared" si="0"/>
        <v>4448</v>
      </c>
      <c r="W54" s="2021">
        <v>10.93</v>
      </c>
      <c r="X54" s="2021">
        <v>12154.16</v>
      </c>
      <c r="Y54" s="2022"/>
      <c r="Z54" s="2023"/>
    </row>
    <row r="55" ht="21" customHeight="1" spans="1:26">
      <c r="A55" s="2057"/>
      <c r="B55" s="2066"/>
      <c r="C55" s="2036" t="s">
        <v>10650</v>
      </c>
      <c r="D55" s="2037"/>
      <c r="E55" s="2038"/>
      <c r="F55" s="2039"/>
      <c r="G55" s="2040">
        <v>1</v>
      </c>
      <c r="H55" s="2041">
        <v>20000</v>
      </c>
      <c r="I55" s="2041">
        <v>20000</v>
      </c>
      <c r="J55" s="2041"/>
      <c r="K55" s="2018">
        <v>20000</v>
      </c>
      <c r="L55" s="2042">
        <v>20000</v>
      </c>
      <c r="M55" s="2042"/>
      <c r="N55" s="2042"/>
      <c r="O55" s="2041"/>
      <c r="P55" s="2041"/>
      <c r="Q55" s="2050"/>
      <c r="R55" s="2050"/>
      <c r="S55" s="2050"/>
      <c r="T55" s="2050"/>
      <c r="U55" s="2044" t="s">
        <v>11229</v>
      </c>
      <c r="V55" s="2008">
        <f t="shared" si="0"/>
        <v>80000</v>
      </c>
      <c r="W55" s="2045">
        <v>0.0019158</v>
      </c>
      <c r="X55" s="2045">
        <v>38.316</v>
      </c>
      <c r="Y55" s="2051"/>
      <c r="Z55" s="2047"/>
    </row>
    <row r="56" ht="21" customHeight="1" spans="1:26">
      <c r="A56" s="2057"/>
      <c r="B56" s="2056" t="s">
        <v>10174</v>
      </c>
      <c r="C56" s="2000" t="s">
        <v>11300</v>
      </c>
      <c r="D56" s="2001" t="s">
        <v>11301</v>
      </c>
      <c r="E56" s="2048" t="s">
        <v>11302</v>
      </c>
      <c r="F56" s="2003">
        <v>300</v>
      </c>
      <c r="G56" s="2004">
        <v>0.1622</v>
      </c>
      <c r="H56" s="2005">
        <v>3244</v>
      </c>
      <c r="I56" s="2005">
        <v>3244</v>
      </c>
      <c r="J56" s="2005"/>
      <c r="K56" s="2005">
        <v>3244</v>
      </c>
      <c r="L56" s="2005">
        <v>3244</v>
      </c>
      <c r="M56" s="2005"/>
      <c r="N56" s="2005"/>
      <c r="O56" s="2005"/>
      <c r="P56" s="2005"/>
      <c r="Q56" s="2006"/>
      <c r="R56" s="2006"/>
      <c r="S56" s="2006"/>
      <c r="T56" s="2006"/>
      <c r="U56" s="2007" t="s">
        <v>11229</v>
      </c>
      <c r="V56" s="2008">
        <f t="shared" si="0"/>
        <v>12976</v>
      </c>
      <c r="W56" s="2009">
        <v>10.93</v>
      </c>
      <c r="X56" s="2009">
        <v>35456.92</v>
      </c>
      <c r="Y56" s="2010"/>
      <c r="Z56" s="2011"/>
    </row>
    <row r="57" ht="21" customHeight="1" spans="1:26">
      <c r="A57" s="2057"/>
      <c r="B57" s="2058"/>
      <c r="C57" s="1784" t="s">
        <v>11258</v>
      </c>
      <c r="D57" s="1784" t="s">
        <v>11259</v>
      </c>
      <c r="E57" s="2024" t="s">
        <v>11260</v>
      </c>
      <c r="F57" s="2016"/>
      <c r="G57" s="2017">
        <v>0.0134</v>
      </c>
      <c r="H57" s="2018">
        <v>268</v>
      </c>
      <c r="I57" s="2018">
        <v>268</v>
      </c>
      <c r="J57" s="2018"/>
      <c r="K57" s="2018">
        <v>268</v>
      </c>
      <c r="L57" s="2018">
        <v>268</v>
      </c>
      <c r="M57" s="2018"/>
      <c r="N57" s="2018"/>
      <c r="O57" s="2018"/>
      <c r="P57" s="2018"/>
      <c r="Q57" s="2019"/>
      <c r="R57" s="2019"/>
      <c r="S57" s="2019"/>
      <c r="T57" s="2019"/>
      <c r="U57" s="2020" t="s">
        <v>11229</v>
      </c>
      <c r="V57" s="2008">
        <f t="shared" si="0"/>
        <v>1072</v>
      </c>
      <c r="W57" s="2021">
        <v>1.6</v>
      </c>
      <c r="X57" s="2021">
        <v>428.8</v>
      </c>
      <c r="Y57" s="2022"/>
      <c r="Z57" s="2023"/>
    </row>
    <row r="58" ht="21" customHeight="1" spans="1:26">
      <c r="A58" s="2057"/>
      <c r="B58" s="2058"/>
      <c r="C58" s="1784" t="s">
        <v>11261</v>
      </c>
      <c r="D58" s="1784" t="s">
        <v>11259</v>
      </c>
      <c r="E58" s="2024" t="s">
        <v>11262</v>
      </c>
      <c r="F58" s="2016"/>
      <c r="G58" s="2017">
        <v>0.0134</v>
      </c>
      <c r="H58" s="2018">
        <v>268</v>
      </c>
      <c r="I58" s="2018">
        <v>268</v>
      </c>
      <c r="J58" s="2018"/>
      <c r="K58" s="2018">
        <v>268</v>
      </c>
      <c r="L58" s="2018">
        <v>268</v>
      </c>
      <c r="M58" s="2018"/>
      <c r="N58" s="2018"/>
      <c r="O58" s="2018"/>
      <c r="P58" s="2018"/>
      <c r="Q58" s="2018"/>
      <c r="R58" s="2018"/>
      <c r="S58" s="2018"/>
      <c r="T58" s="2018"/>
      <c r="U58" s="2020" t="s">
        <v>11229</v>
      </c>
      <c r="V58" s="2008">
        <f t="shared" si="0"/>
        <v>1072</v>
      </c>
      <c r="W58" s="2021">
        <v>1.9</v>
      </c>
      <c r="X58" s="2021">
        <v>509.2</v>
      </c>
      <c r="Y58" s="2022"/>
      <c r="Z58" s="2023"/>
    </row>
    <row r="59" ht="21" customHeight="1" spans="1:26">
      <c r="A59" s="2057"/>
      <c r="B59" s="2058"/>
      <c r="C59" s="1784" t="s">
        <v>11266</v>
      </c>
      <c r="D59" s="1784" t="s">
        <v>11287</v>
      </c>
      <c r="E59" s="2024" t="s">
        <v>11268</v>
      </c>
      <c r="F59" s="2016">
        <v>500</v>
      </c>
      <c r="G59" s="2017">
        <v>0.0318</v>
      </c>
      <c r="H59" s="2018">
        <v>636</v>
      </c>
      <c r="I59" s="2018">
        <v>636</v>
      </c>
      <c r="J59" s="2018"/>
      <c r="K59" s="2018">
        <v>636</v>
      </c>
      <c r="L59" s="2018">
        <v>636</v>
      </c>
      <c r="M59" s="2018"/>
      <c r="N59" s="2018"/>
      <c r="O59" s="2018"/>
      <c r="P59" s="2018"/>
      <c r="Q59" s="2019"/>
      <c r="R59" s="2019"/>
      <c r="S59" s="2019"/>
      <c r="T59" s="2019"/>
      <c r="U59" s="2020" t="s">
        <v>11229</v>
      </c>
      <c r="V59" s="2008">
        <f t="shared" si="0"/>
        <v>2544</v>
      </c>
      <c r="W59" s="2021">
        <v>28.75</v>
      </c>
      <c r="X59" s="2021">
        <v>18285</v>
      </c>
      <c r="Y59" s="2022"/>
      <c r="Z59" s="2023"/>
    </row>
    <row r="60" ht="21" customHeight="1" spans="1:26">
      <c r="A60" s="2057"/>
      <c r="B60" s="2058"/>
      <c r="C60" s="2014" t="s">
        <v>11303</v>
      </c>
      <c r="D60" s="1784" t="s">
        <v>11304</v>
      </c>
      <c r="E60" s="2015"/>
      <c r="F60" s="2016">
        <v>300</v>
      </c>
      <c r="G60" s="2017">
        <v>0.0097</v>
      </c>
      <c r="H60" s="2018">
        <v>300</v>
      </c>
      <c r="I60" s="2018">
        <v>300</v>
      </c>
      <c r="J60" s="2018"/>
      <c r="K60" s="2018">
        <v>0</v>
      </c>
      <c r="L60" s="2018">
        <v>176</v>
      </c>
      <c r="M60" s="2018"/>
      <c r="N60" s="2018"/>
      <c r="O60" s="2018"/>
      <c r="P60" s="2018"/>
      <c r="Q60" s="2019"/>
      <c r="R60" s="2019"/>
      <c r="S60" s="2019"/>
      <c r="T60" s="2019"/>
      <c r="U60" s="2020" t="s">
        <v>11229</v>
      </c>
      <c r="V60" s="2008">
        <f t="shared" si="0"/>
        <v>776</v>
      </c>
      <c r="W60" s="2021">
        <v>42</v>
      </c>
      <c r="X60" s="2021">
        <v>12600</v>
      </c>
      <c r="Y60" s="2022"/>
      <c r="Z60" s="2059"/>
    </row>
    <row r="61" ht="21" customHeight="1" spans="1:26">
      <c r="A61" s="2057"/>
      <c r="B61" s="2060"/>
      <c r="C61" s="1784" t="s">
        <v>10650</v>
      </c>
      <c r="D61" s="2014"/>
      <c r="E61" s="2015"/>
      <c r="F61" s="2016"/>
      <c r="G61" s="2017">
        <v>1</v>
      </c>
      <c r="H61" s="2018">
        <v>20000</v>
      </c>
      <c r="I61" s="2018">
        <v>20000</v>
      </c>
      <c r="J61" s="2018"/>
      <c r="K61" s="2018">
        <v>20000</v>
      </c>
      <c r="L61" s="2018">
        <v>20000</v>
      </c>
      <c r="M61" s="2018"/>
      <c r="N61" s="2018"/>
      <c r="O61" s="2018"/>
      <c r="P61" s="2018"/>
      <c r="Q61" s="2019"/>
      <c r="R61" s="2019"/>
      <c r="S61" s="2019"/>
      <c r="T61" s="2019"/>
      <c r="U61" s="2020" t="s">
        <v>11229</v>
      </c>
      <c r="V61" s="2008">
        <f t="shared" si="0"/>
        <v>80000</v>
      </c>
      <c r="W61" s="2021">
        <v>1.1227</v>
      </c>
      <c r="X61" s="2021">
        <v>22454</v>
      </c>
      <c r="Y61" s="2022"/>
      <c r="Z61" s="2023"/>
    </row>
    <row r="62" ht="21" customHeight="1" spans="1:26">
      <c r="A62" s="2057"/>
      <c r="B62" s="2061" t="s">
        <v>10175</v>
      </c>
      <c r="C62" s="2014" t="s">
        <v>11300</v>
      </c>
      <c r="D62" s="1784" t="s">
        <v>11305</v>
      </c>
      <c r="E62" s="2024" t="s">
        <v>11302</v>
      </c>
      <c r="F62" s="2016">
        <v>300</v>
      </c>
      <c r="G62" s="2017">
        <v>0.0228</v>
      </c>
      <c r="H62" s="2018">
        <v>456</v>
      </c>
      <c r="I62" s="2018">
        <v>456</v>
      </c>
      <c r="J62" s="2018"/>
      <c r="K62" s="2018">
        <v>456</v>
      </c>
      <c r="L62" s="2018">
        <v>456</v>
      </c>
      <c r="M62" s="2018"/>
      <c r="N62" s="2018"/>
      <c r="O62" s="2018"/>
      <c r="P62" s="2018"/>
      <c r="Q62" s="2019"/>
      <c r="R62" s="2019"/>
      <c r="S62" s="2019"/>
      <c r="T62" s="2019"/>
      <c r="U62" s="2020" t="s">
        <v>11229</v>
      </c>
      <c r="V62" s="2008">
        <f t="shared" si="0"/>
        <v>1824</v>
      </c>
      <c r="W62" s="2021">
        <v>10.93</v>
      </c>
      <c r="X62" s="2021">
        <v>4984.08</v>
      </c>
      <c r="Y62" s="2022"/>
      <c r="Z62" s="2023"/>
    </row>
    <row r="63" ht="21" customHeight="1" spans="1:26">
      <c r="A63" s="2057"/>
      <c r="B63" s="2058"/>
      <c r="C63" s="2062" t="s">
        <v>11306</v>
      </c>
      <c r="D63" s="2062" t="s">
        <v>11307</v>
      </c>
      <c r="E63" s="2067"/>
      <c r="F63" s="2064">
        <v>300</v>
      </c>
      <c r="G63" s="2065">
        <v>0.0027</v>
      </c>
      <c r="H63" s="2018">
        <v>300</v>
      </c>
      <c r="I63" s="2018"/>
      <c r="J63" s="2018"/>
      <c r="K63" s="2018">
        <v>0</v>
      </c>
      <c r="L63" s="2018">
        <v>0</v>
      </c>
      <c r="M63" s="2018"/>
      <c r="N63" s="2018"/>
      <c r="O63" s="2018"/>
      <c r="P63" s="2018"/>
      <c r="Q63" s="2019"/>
      <c r="R63" s="2019"/>
      <c r="S63" s="2019"/>
      <c r="T63" s="2019"/>
      <c r="U63" s="2020" t="s">
        <v>11229</v>
      </c>
      <c r="V63" s="2008">
        <f t="shared" si="0"/>
        <v>300</v>
      </c>
      <c r="W63" s="2021">
        <v>14.95</v>
      </c>
      <c r="X63" s="2021">
        <v>4485</v>
      </c>
      <c r="Y63" s="2022"/>
      <c r="Z63" s="2031" t="s">
        <v>11308</v>
      </c>
    </row>
    <row r="64" ht="21" customHeight="1" spans="1:26">
      <c r="A64" s="2057"/>
      <c r="B64" s="2058"/>
      <c r="C64" s="2062" t="s">
        <v>11266</v>
      </c>
      <c r="D64" s="2062" t="s">
        <v>11252</v>
      </c>
      <c r="E64" s="2063" t="s">
        <v>11268</v>
      </c>
      <c r="F64" s="2064">
        <v>500</v>
      </c>
      <c r="G64" s="2065">
        <v>0.0063</v>
      </c>
      <c r="H64" s="2018">
        <v>186</v>
      </c>
      <c r="I64" s="2018">
        <v>66</v>
      </c>
      <c r="J64" s="2018"/>
      <c r="K64" s="2018">
        <v>126</v>
      </c>
      <c r="L64" s="2018">
        <v>126</v>
      </c>
      <c r="M64" s="2018"/>
      <c r="N64" s="2018"/>
      <c r="O64" s="2018"/>
      <c r="P64" s="2018"/>
      <c r="Q64" s="2019"/>
      <c r="R64" s="2019"/>
      <c r="S64" s="2019"/>
      <c r="T64" s="2019"/>
      <c r="U64" s="2020" t="s">
        <v>11229</v>
      </c>
      <c r="V64" s="2008">
        <f t="shared" si="0"/>
        <v>504</v>
      </c>
      <c r="W64" s="2021">
        <v>28.75</v>
      </c>
      <c r="X64" s="2021">
        <v>5347.5</v>
      </c>
      <c r="Y64" s="2022"/>
      <c r="Z64" s="2031" t="s">
        <v>11297</v>
      </c>
    </row>
    <row r="65" ht="21" customHeight="1" spans="1:26">
      <c r="A65" s="2057"/>
      <c r="B65" s="2058"/>
      <c r="C65" s="2014" t="s">
        <v>11309</v>
      </c>
      <c r="D65" s="1784" t="s">
        <v>11304</v>
      </c>
      <c r="E65" s="2015"/>
      <c r="F65" s="2016">
        <v>300</v>
      </c>
      <c r="G65" s="2017">
        <v>0.0022</v>
      </c>
      <c r="H65" s="2018">
        <v>300</v>
      </c>
      <c r="I65" s="2018"/>
      <c r="J65" s="2018"/>
      <c r="K65" s="2018">
        <v>0</v>
      </c>
      <c r="L65" s="2018">
        <v>0</v>
      </c>
      <c r="M65" s="2018"/>
      <c r="N65" s="2018"/>
      <c r="O65" s="2018"/>
      <c r="P65" s="2018"/>
      <c r="Q65" s="2019"/>
      <c r="R65" s="2019"/>
      <c r="S65" s="2019"/>
      <c r="T65" s="2019"/>
      <c r="U65" s="2020" t="s">
        <v>11229</v>
      </c>
      <c r="V65" s="2008">
        <f t="shared" si="0"/>
        <v>300</v>
      </c>
      <c r="W65" s="2021">
        <v>33.48</v>
      </c>
      <c r="X65" s="2021">
        <v>10044</v>
      </c>
      <c r="Y65" s="2022"/>
      <c r="Z65" s="2023"/>
    </row>
    <row r="66" ht="21" customHeight="1" spans="1:26">
      <c r="A66" s="2057"/>
      <c r="B66" s="2058"/>
      <c r="C66" s="1784" t="s">
        <v>11310</v>
      </c>
      <c r="D66" s="1784" t="s">
        <v>11311</v>
      </c>
      <c r="E66" s="2015"/>
      <c r="F66" s="2016">
        <v>300</v>
      </c>
      <c r="G66" s="2017">
        <v>0.0006</v>
      </c>
      <c r="H66" s="2018">
        <v>300</v>
      </c>
      <c r="I66" s="2018"/>
      <c r="J66" s="2018"/>
      <c r="K66" s="2018">
        <v>0</v>
      </c>
      <c r="L66" s="2018">
        <v>0</v>
      </c>
      <c r="M66" s="2018"/>
      <c r="N66" s="2018"/>
      <c r="O66" s="2018"/>
      <c r="P66" s="2018"/>
      <c r="Q66" s="2019"/>
      <c r="R66" s="2019"/>
      <c r="S66" s="2019"/>
      <c r="T66" s="2019"/>
      <c r="U66" s="2020" t="s">
        <v>11229</v>
      </c>
      <c r="V66" s="2008">
        <f t="shared" si="0"/>
        <v>300</v>
      </c>
      <c r="W66" s="2021">
        <v>18</v>
      </c>
      <c r="X66" s="2021">
        <v>5400</v>
      </c>
      <c r="Y66" s="2022"/>
      <c r="Z66" s="2023"/>
    </row>
    <row r="67" ht="21" customHeight="1" spans="1:26">
      <c r="A67" s="2057"/>
      <c r="B67" s="2060"/>
      <c r="C67" s="1784" t="s">
        <v>10650</v>
      </c>
      <c r="D67" s="2014"/>
      <c r="E67" s="2015"/>
      <c r="F67" s="2016"/>
      <c r="G67" s="2017">
        <v>1</v>
      </c>
      <c r="H67" s="2018">
        <v>20000</v>
      </c>
      <c r="I67" s="2018">
        <v>20000</v>
      </c>
      <c r="J67" s="2018"/>
      <c r="K67" s="2018">
        <v>20000</v>
      </c>
      <c r="L67" s="2018">
        <v>20000</v>
      </c>
      <c r="M67" s="2018"/>
      <c r="N67" s="2018"/>
      <c r="O67" s="2018"/>
      <c r="P67" s="2018"/>
      <c r="Q67" s="2019"/>
      <c r="R67" s="2019"/>
      <c r="S67" s="2019"/>
      <c r="T67" s="2019"/>
      <c r="U67" s="2020" t="s">
        <v>11229</v>
      </c>
      <c r="V67" s="2008">
        <f t="shared" si="0"/>
        <v>80000</v>
      </c>
      <c r="W67" s="2021">
        <v>1.1433</v>
      </c>
      <c r="X67" s="2021">
        <v>22866</v>
      </c>
      <c r="Y67" s="2022"/>
      <c r="Z67" s="2023"/>
    </row>
    <row r="68" ht="21" customHeight="1" spans="1:26">
      <c r="A68" s="2057"/>
      <c r="B68" s="2061" t="s">
        <v>11312</v>
      </c>
      <c r="C68" s="2014" t="s">
        <v>11313</v>
      </c>
      <c r="D68" s="1784" t="s">
        <v>11240</v>
      </c>
      <c r="E68" s="2024" t="s">
        <v>11241</v>
      </c>
      <c r="F68" s="2016">
        <v>300</v>
      </c>
      <c r="G68" s="2017">
        <v>0.0556</v>
      </c>
      <c r="H68" s="2018">
        <v>1112</v>
      </c>
      <c r="I68" s="2018">
        <v>1112</v>
      </c>
      <c r="J68" s="2018"/>
      <c r="K68" s="2018">
        <v>1112</v>
      </c>
      <c r="L68" s="2018">
        <v>1112</v>
      </c>
      <c r="M68" s="2018"/>
      <c r="N68" s="2018"/>
      <c r="O68" s="2018"/>
      <c r="P68" s="2018"/>
      <c r="Q68" s="2019"/>
      <c r="R68" s="2019"/>
      <c r="S68" s="2019"/>
      <c r="T68" s="2019"/>
      <c r="U68" s="2020" t="s">
        <v>11229</v>
      </c>
      <c r="V68" s="2008">
        <f t="shared" si="0"/>
        <v>4448</v>
      </c>
      <c r="W68" s="2021">
        <v>10.93</v>
      </c>
      <c r="X68" s="2021">
        <v>12154.16</v>
      </c>
      <c r="Y68" s="2022"/>
      <c r="Z68" s="2023"/>
    </row>
    <row r="69" ht="21" customHeight="1" spans="1:26">
      <c r="A69" s="2057"/>
      <c r="B69" s="2066"/>
      <c r="C69" s="2068" t="s">
        <v>10650</v>
      </c>
      <c r="D69" s="2037"/>
      <c r="E69" s="2038"/>
      <c r="F69" s="2039"/>
      <c r="G69" s="2040">
        <v>1</v>
      </c>
      <c r="H69" s="2041">
        <v>20000</v>
      </c>
      <c r="I69" s="2041">
        <v>20000</v>
      </c>
      <c r="J69" s="2041"/>
      <c r="K69" s="2018">
        <v>20000</v>
      </c>
      <c r="L69" s="2042">
        <v>20000</v>
      </c>
      <c r="M69" s="2042"/>
      <c r="N69" s="2042"/>
      <c r="O69" s="2041"/>
      <c r="P69" s="2041"/>
      <c r="Q69" s="2050"/>
      <c r="R69" s="2050"/>
      <c r="S69" s="2050"/>
      <c r="T69" s="2050"/>
      <c r="U69" s="2044" t="s">
        <v>11229</v>
      </c>
      <c r="V69" s="2008">
        <f t="shared" si="0"/>
        <v>80000</v>
      </c>
      <c r="W69" s="2045">
        <v>0.0019158</v>
      </c>
      <c r="X69" s="2045">
        <v>38.316</v>
      </c>
      <c r="Y69" s="2046"/>
      <c r="Z69" s="2047"/>
    </row>
    <row r="70" ht="21" customHeight="1" spans="1:26">
      <c r="A70" s="2057"/>
      <c r="B70" s="2056" t="s">
        <v>10176</v>
      </c>
      <c r="C70" s="2000" t="s">
        <v>11288</v>
      </c>
      <c r="D70" s="2001" t="s">
        <v>11314</v>
      </c>
      <c r="E70" s="2048" t="s">
        <v>11241</v>
      </c>
      <c r="F70" s="2003">
        <v>300</v>
      </c>
      <c r="G70" s="2004">
        <v>0.1307</v>
      </c>
      <c r="H70" s="2005">
        <v>2614</v>
      </c>
      <c r="I70" s="2005">
        <v>2614</v>
      </c>
      <c r="J70" s="2005"/>
      <c r="K70" s="2005">
        <v>2614</v>
      </c>
      <c r="L70" s="2005">
        <v>5359</v>
      </c>
      <c r="M70" s="2005"/>
      <c r="N70" s="2005"/>
      <c r="O70" s="2005"/>
      <c r="P70" s="2005"/>
      <c r="Q70" s="2006"/>
      <c r="R70" s="2006"/>
      <c r="S70" s="2006"/>
      <c r="T70" s="2006">
        <v>2745</v>
      </c>
      <c r="U70" s="2007" t="s">
        <v>11229</v>
      </c>
      <c r="V70" s="2008">
        <f t="shared" ref="V70:V99" si="2">SUM(H70:T70)</f>
        <v>15946</v>
      </c>
      <c r="W70" s="2009">
        <v>10.93</v>
      </c>
      <c r="X70" s="2009">
        <v>28571.02</v>
      </c>
      <c r="Y70" s="2049"/>
      <c r="Z70" s="2011"/>
    </row>
    <row r="71" ht="21" customHeight="1" spans="1:26">
      <c r="A71" s="2057"/>
      <c r="B71" s="2058"/>
      <c r="C71" s="1784" t="s">
        <v>11258</v>
      </c>
      <c r="D71" s="1784" t="s">
        <v>11259</v>
      </c>
      <c r="E71" s="2024" t="s">
        <v>11260</v>
      </c>
      <c r="F71" s="2016"/>
      <c r="G71" s="2017">
        <v>0.0158</v>
      </c>
      <c r="H71" s="2018">
        <v>316</v>
      </c>
      <c r="I71" s="2018">
        <v>316</v>
      </c>
      <c r="J71" s="2018"/>
      <c r="K71" s="2018">
        <v>316</v>
      </c>
      <c r="L71" s="2018">
        <v>648</v>
      </c>
      <c r="M71" s="2018"/>
      <c r="N71" s="2018"/>
      <c r="O71" s="2018"/>
      <c r="P71" s="2018"/>
      <c r="Q71" s="2019"/>
      <c r="R71" s="2019"/>
      <c r="S71" s="2019"/>
      <c r="T71" s="2019">
        <v>332</v>
      </c>
      <c r="U71" s="2020" t="s">
        <v>11229</v>
      </c>
      <c r="V71" s="2008">
        <f t="shared" si="2"/>
        <v>1928</v>
      </c>
      <c r="W71" s="2021">
        <v>1.6</v>
      </c>
      <c r="X71" s="2021">
        <v>505.6</v>
      </c>
      <c r="Y71" s="2033"/>
      <c r="Z71" s="2023"/>
    </row>
    <row r="72" ht="21" customHeight="1" spans="1:26">
      <c r="A72" s="2057"/>
      <c r="B72" s="2058"/>
      <c r="C72" s="2027" t="s">
        <v>11261</v>
      </c>
      <c r="D72" s="1784" t="s">
        <v>11259</v>
      </c>
      <c r="E72" s="2024" t="s">
        <v>11262</v>
      </c>
      <c r="F72" s="2016"/>
      <c r="G72" s="2017">
        <v>0.0158</v>
      </c>
      <c r="H72" s="2018">
        <v>316</v>
      </c>
      <c r="I72" s="2018">
        <v>316</v>
      </c>
      <c r="J72" s="2018"/>
      <c r="K72" s="2018">
        <v>316</v>
      </c>
      <c r="L72" s="2018">
        <v>648</v>
      </c>
      <c r="M72" s="2018"/>
      <c r="N72" s="2018"/>
      <c r="O72" s="2018"/>
      <c r="P72" s="2018"/>
      <c r="Q72" s="2019"/>
      <c r="R72" s="2019"/>
      <c r="S72" s="2019"/>
      <c r="T72" s="2019">
        <v>332</v>
      </c>
      <c r="U72" s="2020" t="s">
        <v>11229</v>
      </c>
      <c r="V72" s="2008">
        <f t="shared" si="2"/>
        <v>1928</v>
      </c>
      <c r="W72" s="2021">
        <v>1.9</v>
      </c>
      <c r="X72" s="2021">
        <v>600.4</v>
      </c>
      <c r="Y72" s="2033"/>
      <c r="Z72" s="2023"/>
    </row>
    <row r="73" ht="21" customHeight="1" spans="1:26">
      <c r="A73" s="2057"/>
      <c r="B73" s="2058"/>
      <c r="C73" s="2014" t="s">
        <v>11315</v>
      </c>
      <c r="D73" s="1784" t="s">
        <v>11316</v>
      </c>
      <c r="E73" s="2024" t="s">
        <v>11241</v>
      </c>
      <c r="F73" s="2016">
        <v>300</v>
      </c>
      <c r="G73" s="2017">
        <v>0.0339</v>
      </c>
      <c r="H73" s="2018">
        <v>678</v>
      </c>
      <c r="I73" s="2018">
        <v>678</v>
      </c>
      <c r="J73" s="2018"/>
      <c r="K73" s="2018">
        <v>678</v>
      </c>
      <c r="L73" s="2018">
        <v>1390</v>
      </c>
      <c r="M73" s="2018"/>
      <c r="N73" s="2018"/>
      <c r="O73" s="2018"/>
      <c r="P73" s="2018"/>
      <c r="Q73" s="2019"/>
      <c r="R73" s="2019"/>
      <c r="S73" s="2019"/>
      <c r="T73" s="2019">
        <v>712</v>
      </c>
      <c r="U73" s="2020" t="s">
        <v>11229</v>
      </c>
      <c r="V73" s="2008">
        <f t="shared" si="2"/>
        <v>4136</v>
      </c>
      <c r="W73" s="2021">
        <v>10.93</v>
      </c>
      <c r="X73" s="2021">
        <v>7410.54</v>
      </c>
      <c r="Y73" s="2022"/>
      <c r="Z73" s="2023"/>
    </row>
    <row r="74" ht="21" customHeight="1" spans="1:26">
      <c r="A74" s="2057"/>
      <c r="B74" s="2058"/>
      <c r="C74" s="2014" t="s">
        <v>11275</v>
      </c>
      <c r="D74" s="1784" t="s">
        <v>11317</v>
      </c>
      <c r="E74" s="2024" t="s">
        <v>11241</v>
      </c>
      <c r="F74" s="2016">
        <v>300</v>
      </c>
      <c r="G74" s="2017">
        <v>0.0181</v>
      </c>
      <c r="H74" s="2018">
        <v>362</v>
      </c>
      <c r="I74" s="2018">
        <v>362</v>
      </c>
      <c r="J74" s="2018"/>
      <c r="K74" s="2018">
        <v>362</v>
      </c>
      <c r="L74" s="2018">
        <v>743</v>
      </c>
      <c r="M74" s="2018"/>
      <c r="N74" s="2018"/>
      <c r="O74" s="2018"/>
      <c r="P74" s="2018"/>
      <c r="Q74" s="2019"/>
      <c r="R74" s="2019"/>
      <c r="S74" s="2019"/>
      <c r="T74" s="2019">
        <v>380</v>
      </c>
      <c r="U74" s="2020" t="s">
        <v>11229</v>
      </c>
      <c r="V74" s="2008">
        <f t="shared" si="2"/>
        <v>2209</v>
      </c>
      <c r="W74" s="2021">
        <v>10.93</v>
      </c>
      <c r="X74" s="2021">
        <v>3956.66</v>
      </c>
      <c r="Y74" s="2022"/>
      <c r="Z74" s="2023"/>
    </row>
    <row r="75" ht="21" customHeight="1" spans="1:26">
      <c r="A75" s="2057"/>
      <c r="B75" s="2058"/>
      <c r="C75" s="1784" t="s">
        <v>11318</v>
      </c>
      <c r="D75" s="1784" t="s">
        <v>11287</v>
      </c>
      <c r="E75" s="2024" t="s">
        <v>11319</v>
      </c>
      <c r="F75" s="2016">
        <v>500</v>
      </c>
      <c r="G75" s="2017">
        <v>0.0342</v>
      </c>
      <c r="H75" s="2018">
        <v>684</v>
      </c>
      <c r="I75" s="2018">
        <v>684</v>
      </c>
      <c r="J75" s="2018"/>
      <c r="K75" s="2018">
        <v>684</v>
      </c>
      <c r="L75" s="2018">
        <v>1403</v>
      </c>
      <c r="M75" s="2018"/>
      <c r="N75" s="2018"/>
      <c r="O75" s="2018"/>
      <c r="P75" s="2018"/>
      <c r="Q75" s="2019"/>
      <c r="R75" s="2019"/>
      <c r="S75" s="2019"/>
      <c r="T75" s="2019">
        <v>718</v>
      </c>
      <c r="U75" s="2020" t="s">
        <v>11229</v>
      </c>
      <c r="V75" s="2008">
        <f t="shared" si="2"/>
        <v>4173</v>
      </c>
      <c r="W75" s="2021">
        <v>28.75</v>
      </c>
      <c r="X75" s="2021">
        <v>19665</v>
      </c>
      <c r="Y75" s="2022"/>
      <c r="Z75" s="2023"/>
    </row>
    <row r="76" ht="21" customHeight="1" spans="1:26">
      <c r="A76" s="2057"/>
      <c r="B76" s="2060"/>
      <c r="C76" s="1784" t="s">
        <v>10650</v>
      </c>
      <c r="D76" s="2014"/>
      <c r="E76" s="2015"/>
      <c r="F76" s="2016"/>
      <c r="G76" s="2017">
        <v>1</v>
      </c>
      <c r="H76" s="2018">
        <v>20000</v>
      </c>
      <c r="I76" s="2018">
        <v>20000</v>
      </c>
      <c r="J76" s="2018"/>
      <c r="K76" s="2018">
        <v>20000</v>
      </c>
      <c r="L76" s="2018">
        <v>41000</v>
      </c>
      <c r="M76" s="2018"/>
      <c r="N76" s="2018"/>
      <c r="O76" s="2018"/>
      <c r="P76" s="2018"/>
      <c r="Q76" s="2019"/>
      <c r="R76" s="2019"/>
      <c r="S76" s="2019"/>
      <c r="T76" s="2019">
        <v>21000</v>
      </c>
      <c r="U76" s="2020" t="s">
        <v>11229</v>
      </c>
      <c r="V76" s="2008">
        <f t="shared" si="2"/>
        <v>122000</v>
      </c>
      <c r="W76" s="2021">
        <v>1.1227</v>
      </c>
      <c r="X76" s="2021">
        <v>22454</v>
      </c>
      <c r="Y76" s="2022"/>
      <c r="Z76" s="2023"/>
    </row>
    <row r="77" ht="21" customHeight="1" spans="1:26">
      <c r="A77" s="2057"/>
      <c r="B77" s="2061" t="s">
        <v>10177</v>
      </c>
      <c r="C77" s="2014" t="s">
        <v>11288</v>
      </c>
      <c r="D77" s="1784" t="s">
        <v>11289</v>
      </c>
      <c r="E77" s="2024" t="s">
        <v>11241</v>
      </c>
      <c r="F77" s="2016">
        <v>300</v>
      </c>
      <c r="G77" s="2017">
        <v>0.0099</v>
      </c>
      <c r="H77" s="2018">
        <v>198</v>
      </c>
      <c r="I77" s="2018">
        <v>198</v>
      </c>
      <c r="J77" s="2018"/>
      <c r="K77" s="2018">
        <v>198</v>
      </c>
      <c r="L77" s="2018">
        <v>406</v>
      </c>
      <c r="M77" s="2018"/>
      <c r="N77" s="2018"/>
      <c r="O77" s="2018"/>
      <c r="P77" s="2018"/>
      <c r="Q77" s="2019"/>
      <c r="R77" s="2019"/>
      <c r="S77" s="2019"/>
      <c r="T77" s="2019">
        <v>208</v>
      </c>
      <c r="U77" s="2020" t="s">
        <v>11229</v>
      </c>
      <c r="V77" s="2008">
        <f t="shared" si="2"/>
        <v>1208</v>
      </c>
      <c r="W77" s="2021">
        <v>10.93</v>
      </c>
      <c r="X77" s="2021">
        <v>2164.14</v>
      </c>
      <c r="Y77" s="2022"/>
      <c r="Z77" s="2023"/>
    </row>
    <row r="78" ht="21" customHeight="1" spans="1:26">
      <c r="A78" s="2057"/>
      <c r="B78" s="2058"/>
      <c r="C78" s="2014" t="s">
        <v>11288</v>
      </c>
      <c r="D78" s="1784" t="s">
        <v>11320</v>
      </c>
      <c r="E78" s="2024" t="s">
        <v>11241</v>
      </c>
      <c r="F78" s="2016">
        <v>300</v>
      </c>
      <c r="G78" s="2017">
        <v>0.0111</v>
      </c>
      <c r="H78" s="2018">
        <v>222</v>
      </c>
      <c r="I78" s="2018">
        <v>222</v>
      </c>
      <c r="J78" s="2018"/>
      <c r="K78" s="2018">
        <v>222</v>
      </c>
      <c r="L78" s="2018">
        <v>456</v>
      </c>
      <c r="M78" s="2018"/>
      <c r="N78" s="2018"/>
      <c r="O78" s="2018"/>
      <c r="P78" s="2018"/>
      <c r="Q78" s="2019"/>
      <c r="R78" s="2019"/>
      <c r="S78" s="2019"/>
      <c r="T78" s="2019">
        <v>233</v>
      </c>
      <c r="U78" s="2020" t="s">
        <v>11229</v>
      </c>
      <c r="V78" s="2008">
        <f t="shared" si="2"/>
        <v>1355</v>
      </c>
      <c r="W78" s="2021">
        <v>10.93</v>
      </c>
      <c r="X78" s="2021">
        <v>2426.46</v>
      </c>
      <c r="Y78" s="2022"/>
      <c r="Z78" s="2023"/>
    </row>
    <row r="79" ht="21" customHeight="1" spans="1:26">
      <c r="A79" s="2057"/>
      <c r="B79" s="2058"/>
      <c r="C79" s="2014" t="s">
        <v>11288</v>
      </c>
      <c r="D79" s="1784" t="s">
        <v>10734</v>
      </c>
      <c r="E79" s="2024" t="s">
        <v>11241</v>
      </c>
      <c r="F79" s="2016">
        <v>300</v>
      </c>
      <c r="G79" s="2017">
        <v>0.0036</v>
      </c>
      <c r="H79" s="2018">
        <v>72</v>
      </c>
      <c r="I79" s="2018">
        <v>72</v>
      </c>
      <c r="J79" s="2018"/>
      <c r="K79" s="2018">
        <v>72</v>
      </c>
      <c r="L79" s="2018">
        <v>148</v>
      </c>
      <c r="M79" s="2018"/>
      <c r="N79" s="2018"/>
      <c r="O79" s="2018"/>
      <c r="P79" s="2018"/>
      <c r="Q79" s="2019"/>
      <c r="R79" s="2019"/>
      <c r="S79" s="2019"/>
      <c r="T79" s="2019">
        <v>76</v>
      </c>
      <c r="U79" s="2020" t="s">
        <v>11229</v>
      </c>
      <c r="V79" s="2008">
        <f t="shared" si="2"/>
        <v>440</v>
      </c>
      <c r="W79" s="2021">
        <v>10.93</v>
      </c>
      <c r="X79" s="2021">
        <v>786.96</v>
      </c>
      <c r="Y79" s="2033"/>
      <c r="Z79" s="2023"/>
    </row>
    <row r="80" ht="21" customHeight="1" spans="1:26">
      <c r="A80" s="2057"/>
      <c r="B80" s="2058"/>
      <c r="C80" s="2014" t="s">
        <v>11315</v>
      </c>
      <c r="D80" s="1784" t="s">
        <v>11070</v>
      </c>
      <c r="E80" s="2024" t="s">
        <v>11241</v>
      </c>
      <c r="F80" s="2016">
        <v>300</v>
      </c>
      <c r="G80" s="2017">
        <v>0.0035</v>
      </c>
      <c r="H80" s="2018">
        <v>70</v>
      </c>
      <c r="I80" s="2018">
        <v>70</v>
      </c>
      <c r="J80" s="2018"/>
      <c r="K80" s="2018">
        <v>70</v>
      </c>
      <c r="L80" s="2018">
        <v>144</v>
      </c>
      <c r="M80" s="2018"/>
      <c r="N80" s="2018"/>
      <c r="O80" s="2018"/>
      <c r="P80" s="2018"/>
      <c r="Q80" s="2019"/>
      <c r="R80" s="2019"/>
      <c r="S80" s="2019"/>
      <c r="T80" s="2019">
        <v>73</v>
      </c>
      <c r="U80" s="2020" t="s">
        <v>11229</v>
      </c>
      <c r="V80" s="2008">
        <f t="shared" si="2"/>
        <v>427</v>
      </c>
      <c r="W80" s="2021">
        <v>10.93</v>
      </c>
      <c r="X80" s="2021">
        <v>765.1</v>
      </c>
      <c r="Y80" s="2033"/>
      <c r="Z80" s="2023"/>
    </row>
    <row r="81" ht="21" customHeight="1" spans="1:26">
      <c r="A81" s="2057"/>
      <c r="B81" s="2058"/>
      <c r="C81" s="2062" t="s">
        <v>11321</v>
      </c>
      <c r="D81" s="2062" t="s">
        <v>11322</v>
      </c>
      <c r="E81" s="2063" t="s">
        <v>11294</v>
      </c>
      <c r="F81" s="2064">
        <v>300</v>
      </c>
      <c r="G81" s="2065">
        <v>0.0043</v>
      </c>
      <c r="H81" s="2018">
        <v>300</v>
      </c>
      <c r="I81" s="2018"/>
      <c r="J81" s="2018"/>
      <c r="K81" s="2018">
        <v>0</v>
      </c>
      <c r="L81" s="2018">
        <v>135</v>
      </c>
      <c r="M81" s="2018"/>
      <c r="N81" s="2018"/>
      <c r="O81" s="2018"/>
      <c r="P81" s="2018"/>
      <c r="Q81" s="2019"/>
      <c r="R81" s="2019"/>
      <c r="S81" s="2019"/>
      <c r="T81" s="2019">
        <v>90</v>
      </c>
      <c r="U81" s="2020" t="s">
        <v>11229</v>
      </c>
      <c r="V81" s="2008">
        <f t="shared" si="2"/>
        <v>525</v>
      </c>
      <c r="W81" s="2021">
        <v>14.95</v>
      </c>
      <c r="X81" s="2021">
        <v>4485</v>
      </c>
      <c r="Y81" s="2033"/>
      <c r="Z81" s="2031" t="s">
        <v>11323</v>
      </c>
    </row>
    <row r="82" ht="21" customHeight="1" spans="1:26">
      <c r="A82" s="2057"/>
      <c r="B82" s="2058"/>
      <c r="C82" s="2062" t="s">
        <v>11318</v>
      </c>
      <c r="D82" s="2062" t="s">
        <v>11324</v>
      </c>
      <c r="E82" s="2063" t="s">
        <v>11319</v>
      </c>
      <c r="F82" s="2064">
        <v>500</v>
      </c>
      <c r="G82" s="2065">
        <v>0.0063</v>
      </c>
      <c r="H82" s="2018">
        <v>220</v>
      </c>
      <c r="I82" s="2018">
        <v>32</v>
      </c>
      <c r="J82" s="2018"/>
      <c r="K82" s="2018">
        <v>126</v>
      </c>
      <c r="L82" s="2018">
        <v>259</v>
      </c>
      <c r="M82" s="2018"/>
      <c r="N82" s="2018"/>
      <c r="O82" s="2018"/>
      <c r="P82" s="2018"/>
      <c r="Q82" s="2019"/>
      <c r="R82" s="2019"/>
      <c r="S82" s="2019"/>
      <c r="T82" s="2019">
        <v>132</v>
      </c>
      <c r="U82" s="2020" t="s">
        <v>11229</v>
      </c>
      <c r="V82" s="2008">
        <f t="shared" si="2"/>
        <v>769</v>
      </c>
      <c r="W82" s="2021">
        <v>28.75</v>
      </c>
      <c r="X82" s="2021">
        <v>6325</v>
      </c>
      <c r="Y82" s="2033"/>
      <c r="Z82" s="2031" t="s">
        <v>11297</v>
      </c>
    </row>
    <row r="83" ht="21" customHeight="1" spans="1:26">
      <c r="A83" s="2057"/>
      <c r="B83" s="2058"/>
      <c r="C83" s="1784" t="s">
        <v>11325</v>
      </c>
      <c r="D83" s="1784" t="s">
        <v>11311</v>
      </c>
      <c r="E83" s="2015"/>
      <c r="F83" s="2016">
        <v>300</v>
      </c>
      <c r="G83" s="2017">
        <v>0.0006</v>
      </c>
      <c r="H83" s="2018">
        <v>300</v>
      </c>
      <c r="I83" s="2018"/>
      <c r="J83" s="2018"/>
      <c r="K83" s="2018">
        <v>0</v>
      </c>
      <c r="L83" s="2018">
        <v>0</v>
      </c>
      <c r="M83" s="2018"/>
      <c r="N83" s="2018"/>
      <c r="O83" s="2018"/>
      <c r="P83" s="2018"/>
      <c r="Q83" s="2019"/>
      <c r="R83" s="2019"/>
      <c r="S83" s="2019"/>
      <c r="T83" s="2019"/>
      <c r="U83" s="2020" t="s">
        <v>11229</v>
      </c>
      <c r="V83" s="2008">
        <f t="shared" si="2"/>
        <v>300</v>
      </c>
      <c r="W83" s="2021">
        <v>18</v>
      </c>
      <c r="X83" s="2021">
        <v>5400</v>
      </c>
      <c r="Y83" s="2033"/>
      <c r="Z83" s="2023"/>
    </row>
    <row r="84" ht="21" customHeight="1" spans="1:26">
      <c r="A84" s="2057"/>
      <c r="B84" s="2060"/>
      <c r="C84" s="1784" t="s">
        <v>10650</v>
      </c>
      <c r="D84" s="2014"/>
      <c r="E84" s="2015"/>
      <c r="F84" s="2016"/>
      <c r="G84" s="2017">
        <v>1</v>
      </c>
      <c r="H84" s="2018">
        <v>20000</v>
      </c>
      <c r="I84" s="2018">
        <v>20000</v>
      </c>
      <c r="J84" s="2018"/>
      <c r="K84" s="2018">
        <v>20000</v>
      </c>
      <c r="L84" s="2018">
        <v>41000</v>
      </c>
      <c r="M84" s="2018"/>
      <c r="N84" s="2018"/>
      <c r="O84" s="2018"/>
      <c r="P84" s="2018"/>
      <c r="Q84" s="2019"/>
      <c r="R84" s="2019"/>
      <c r="S84" s="2019"/>
      <c r="T84" s="2019">
        <v>21000</v>
      </c>
      <c r="U84" s="2020" t="s">
        <v>11229</v>
      </c>
      <c r="V84" s="2008">
        <f t="shared" si="2"/>
        <v>122000</v>
      </c>
      <c r="W84" s="2021">
        <v>1.1433</v>
      </c>
      <c r="X84" s="2021">
        <v>22866</v>
      </c>
      <c r="Y84" s="2022"/>
      <c r="Z84" s="2023"/>
    </row>
    <row r="85" ht="21" customHeight="1" spans="1:26">
      <c r="A85" s="2057"/>
      <c r="B85" s="2061" t="s">
        <v>11326</v>
      </c>
      <c r="C85" s="2014" t="s">
        <v>11327</v>
      </c>
      <c r="D85" s="1784" t="s">
        <v>11240</v>
      </c>
      <c r="E85" s="2024" t="s">
        <v>11241</v>
      </c>
      <c r="F85" s="2016">
        <v>300</v>
      </c>
      <c r="G85" s="2017">
        <v>0.0556</v>
      </c>
      <c r="H85" s="2018">
        <v>1112</v>
      </c>
      <c r="I85" s="2018">
        <v>1112</v>
      </c>
      <c r="J85" s="2018"/>
      <c r="K85" s="2018">
        <v>1112</v>
      </c>
      <c r="L85" s="2018">
        <v>2280</v>
      </c>
      <c r="M85" s="2018"/>
      <c r="N85" s="2018"/>
      <c r="O85" s="2018"/>
      <c r="P85" s="2018"/>
      <c r="Q85" s="2019"/>
      <c r="R85" s="2019"/>
      <c r="S85" s="2019"/>
      <c r="T85" s="2019">
        <v>1168</v>
      </c>
      <c r="U85" s="2020" t="s">
        <v>11229</v>
      </c>
      <c r="V85" s="2008">
        <f t="shared" si="2"/>
        <v>6784</v>
      </c>
      <c r="W85" s="2021">
        <v>10.93</v>
      </c>
      <c r="X85" s="2021">
        <v>12154.16</v>
      </c>
      <c r="Y85" s="2022"/>
      <c r="Z85" s="2023"/>
    </row>
    <row r="86" ht="21" customHeight="1" spans="1:26">
      <c r="A86" s="2057"/>
      <c r="B86" s="2066"/>
      <c r="C86" s="2036" t="s">
        <v>10650</v>
      </c>
      <c r="D86" s="2037"/>
      <c r="E86" s="2038"/>
      <c r="F86" s="2039"/>
      <c r="G86" s="2040">
        <v>1</v>
      </c>
      <c r="H86" s="2041">
        <v>20000</v>
      </c>
      <c r="I86" s="2041">
        <v>20000</v>
      </c>
      <c r="J86" s="2041"/>
      <c r="K86" s="2018">
        <v>20000</v>
      </c>
      <c r="L86" s="2042">
        <v>41000</v>
      </c>
      <c r="M86" s="2042"/>
      <c r="N86" s="2042"/>
      <c r="O86" s="2041"/>
      <c r="P86" s="2041"/>
      <c r="Q86" s="2050"/>
      <c r="R86" s="2050"/>
      <c r="S86" s="2050"/>
      <c r="T86" s="2050">
        <v>21000</v>
      </c>
      <c r="U86" s="2044" t="s">
        <v>11229</v>
      </c>
      <c r="V86" s="2008">
        <f t="shared" si="2"/>
        <v>122000</v>
      </c>
      <c r="W86" s="2045">
        <v>0.0019158</v>
      </c>
      <c r="X86" s="2045">
        <v>38.316</v>
      </c>
      <c r="Y86" s="2046"/>
      <c r="Z86" s="2047"/>
    </row>
    <row r="87" ht="21" customHeight="1" spans="1:26">
      <c r="A87" s="2057"/>
      <c r="B87" s="2056" t="s">
        <v>10178</v>
      </c>
      <c r="C87" s="2000" t="s">
        <v>11328</v>
      </c>
      <c r="D87" s="2001" t="s">
        <v>11329</v>
      </c>
      <c r="E87" s="2048" t="s">
        <v>11241</v>
      </c>
      <c r="F87" s="2003">
        <v>300</v>
      </c>
      <c r="G87" s="2004">
        <v>0.1684</v>
      </c>
      <c r="H87" s="2005">
        <v>3368</v>
      </c>
      <c r="I87" s="2005">
        <v>3368</v>
      </c>
      <c r="J87" s="2005"/>
      <c r="K87" s="2005">
        <v>3368</v>
      </c>
      <c r="L87" s="2005">
        <v>3368</v>
      </c>
      <c r="M87" s="2005"/>
      <c r="N87" s="2005"/>
      <c r="O87" s="2005"/>
      <c r="P87" s="2005"/>
      <c r="Q87" s="2006"/>
      <c r="R87" s="2006"/>
      <c r="S87" s="2006"/>
      <c r="T87" s="2006">
        <v>0</v>
      </c>
      <c r="U87" s="2007" t="s">
        <v>11229</v>
      </c>
      <c r="V87" s="2008">
        <f t="shared" si="2"/>
        <v>13472</v>
      </c>
      <c r="W87" s="2009">
        <v>10.93</v>
      </c>
      <c r="X87" s="2009">
        <v>36812.24</v>
      </c>
      <c r="Y87" s="2010"/>
      <c r="Z87" s="2011"/>
    </row>
    <row r="88" ht="21" customHeight="1" spans="1:26">
      <c r="A88" s="2057"/>
      <c r="B88" s="2058"/>
      <c r="C88" s="2014" t="s">
        <v>11330</v>
      </c>
      <c r="D88" s="1784" t="s">
        <v>11331</v>
      </c>
      <c r="E88" s="2015"/>
      <c r="F88" s="2016">
        <v>800</v>
      </c>
      <c r="G88" s="2017">
        <v>0.017407</v>
      </c>
      <c r="H88" s="2018">
        <v>800</v>
      </c>
      <c r="I88" s="2018"/>
      <c r="J88" s="2018"/>
      <c r="K88" s="2018">
        <v>245</v>
      </c>
      <c r="L88" s="2018">
        <v>348</v>
      </c>
      <c r="M88" s="2018"/>
      <c r="N88" s="2018"/>
      <c r="O88" s="2018"/>
      <c r="P88" s="2018"/>
      <c r="Q88" s="2019"/>
      <c r="R88" s="2019"/>
      <c r="S88" s="2019"/>
      <c r="T88" s="2019">
        <v>0</v>
      </c>
      <c r="U88" s="2020" t="s">
        <v>11229</v>
      </c>
      <c r="V88" s="2008">
        <f t="shared" si="2"/>
        <v>1393</v>
      </c>
      <c r="W88" s="2021">
        <v>17.25</v>
      </c>
      <c r="X88" s="2021">
        <v>13800</v>
      </c>
      <c r="Y88" s="2022"/>
      <c r="Z88" s="2023"/>
    </row>
    <row r="89" ht="21" customHeight="1" spans="1:26">
      <c r="A89" s="2057"/>
      <c r="B89" s="2058"/>
      <c r="C89" s="1784" t="s">
        <v>11332</v>
      </c>
      <c r="D89" s="1784" t="s">
        <v>11331</v>
      </c>
      <c r="E89" s="2015"/>
      <c r="F89" s="2016"/>
      <c r="G89" s="2017">
        <v>0.017407</v>
      </c>
      <c r="H89" s="2018">
        <v>349</v>
      </c>
      <c r="I89" s="2018">
        <v>348</v>
      </c>
      <c r="J89" s="2018"/>
      <c r="K89" s="2018">
        <v>348</v>
      </c>
      <c r="L89" s="2018">
        <v>348</v>
      </c>
      <c r="M89" s="2018"/>
      <c r="N89" s="2018"/>
      <c r="O89" s="2018"/>
      <c r="P89" s="2018"/>
      <c r="Q89" s="2019"/>
      <c r="R89" s="2019"/>
      <c r="S89" s="2019"/>
      <c r="T89" s="2019">
        <v>0</v>
      </c>
      <c r="U89" s="2020" t="s">
        <v>11229</v>
      </c>
      <c r="V89" s="2008">
        <f t="shared" si="2"/>
        <v>1393</v>
      </c>
      <c r="W89" s="2021">
        <v>8</v>
      </c>
      <c r="X89" s="2021">
        <v>2792</v>
      </c>
      <c r="Y89" s="2022"/>
      <c r="Z89" s="2023"/>
    </row>
    <row r="90" ht="21" customHeight="1" spans="1:26">
      <c r="A90" s="2057"/>
      <c r="B90" s="2058"/>
      <c r="C90" s="1784" t="s">
        <v>11333</v>
      </c>
      <c r="D90" s="1784" t="s">
        <v>11252</v>
      </c>
      <c r="E90" s="2024" t="s">
        <v>11334</v>
      </c>
      <c r="F90" s="2016">
        <v>500</v>
      </c>
      <c r="G90" s="2017">
        <v>0.0353</v>
      </c>
      <c r="H90" s="2018">
        <v>706</v>
      </c>
      <c r="I90" s="2018">
        <v>706</v>
      </c>
      <c r="J90" s="2018"/>
      <c r="K90" s="2018">
        <v>706</v>
      </c>
      <c r="L90" s="2018">
        <v>706</v>
      </c>
      <c r="M90" s="2018"/>
      <c r="N90" s="2018"/>
      <c r="O90" s="2018"/>
      <c r="P90" s="2018"/>
      <c r="Q90" s="2019"/>
      <c r="R90" s="2019"/>
      <c r="S90" s="2019"/>
      <c r="T90" s="2019">
        <v>0</v>
      </c>
      <c r="U90" s="2020" t="s">
        <v>11229</v>
      </c>
      <c r="V90" s="2008">
        <f t="shared" si="2"/>
        <v>2824</v>
      </c>
      <c r="W90" s="2021">
        <v>28.75</v>
      </c>
      <c r="X90" s="2021">
        <v>20297.5</v>
      </c>
      <c r="Y90" s="2022"/>
      <c r="Z90" s="2023"/>
    </row>
    <row r="91" ht="21" customHeight="1" spans="1:26">
      <c r="A91" s="2057"/>
      <c r="B91" s="2060"/>
      <c r="C91" s="1784" t="s">
        <v>10650</v>
      </c>
      <c r="D91" s="2014"/>
      <c r="E91" s="2015"/>
      <c r="F91" s="2016"/>
      <c r="G91" s="2017">
        <v>1</v>
      </c>
      <c r="H91" s="2018">
        <v>20000</v>
      </c>
      <c r="I91" s="2018">
        <v>20000</v>
      </c>
      <c r="J91" s="2018"/>
      <c r="K91" s="2018">
        <v>20000</v>
      </c>
      <c r="L91" s="2018">
        <v>20000</v>
      </c>
      <c r="M91" s="2018"/>
      <c r="N91" s="2018"/>
      <c r="O91" s="2018"/>
      <c r="P91" s="2018"/>
      <c r="Q91" s="2019"/>
      <c r="R91" s="2019"/>
      <c r="S91" s="2019"/>
      <c r="T91" s="2019">
        <v>0</v>
      </c>
      <c r="U91" s="2020" t="s">
        <v>11229</v>
      </c>
      <c r="V91" s="2008">
        <f t="shared" si="2"/>
        <v>80000</v>
      </c>
      <c r="W91" s="2021">
        <v>1.1227</v>
      </c>
      <c r="X91" s="2021">
        <v>22454</v>
      </c>
      <c r="Y91" s="2022"/>
      <c r="Z91" s="2023"/>
    </row>
    <row r="92" ht="21" customHeight="1" spans="1:26">
      <c r="A92" s="2057"/>
      <c r="B92" s="2061" t="s">
        <v>10179</v>
      </c>
      <c r="C92" s="2014" t="s">
        <v>11328</v>
      </c>
      <c r="D92" s="1784" t="s">
        <v>11335</v>
      </c>
      <c r="E92" s="2024" t="s">
        <v>11241</v>
      </c>
      <c r="F92" s="2016">
        <v>300</v>
      </c>
      <c r="G92" s="2017">
        <v>0.021</v>
      </c>
      <c r="H92" s="2018">
        <v>420</v>
      </c>
      <c r="I92" s="2018">
        <v>420</v>
      </c>
      <c r="J92" s="2018"/>
      <c r="K92" s="2018">
        <v>420</v>
      </c>
      <c r="L92" s="2018">
        <v>420</v>
      </c>
      <c r="M92" s="2018"/>
      <c r="N92" s="2018"/>
      <c r="O92" s="2018"/>
      <c r="P92" s="2018"/>
      <c r="Q92" s="2019"/>
      <c r="R92" s="2019"/>
      <c r="S92" s="2019"/>
      <c r="T92" s="2019">
        <v>0</v>
      </c>
      <c r="U92" s="2020" t="s">
        <v>11229</v>
      </c>
      <c r="V92" s="2008">
        <f t="shared" si="2"/>
        <v>1680</v>
      </c>
      <c r="W92" s="2021">
        <v>10.93</v>
      </c>
      <c r="X92" s="2021">
        <v>4590.6</v>
      </c>
      <c r="Y92" s="2022"/>
      <c r="Z92" s="2023"/>
    </row>
    <row r="93" ht="21" customHeight="1" spans="1:26">
      <c r="A93" s="2057"/>
      <c r="B93" s="2058"/>
      <c r="C93" s="2014" t="s">
        <v>11245</v>
      </c>
      <c r="D93" s="1784" t="s">
        <v>11336</v>
      </c>
      <c r="E93" s="2024" t="s">
        <v>11247</v>
      </c>
      <c r="F93" s="2016">
        <v>300</v>
      </c>
      <c r="G93" s="2017">
        <v>0.0029</v>
      </c>
      <c r="H93" s="2018">
        <v>58</v>
      </c>
      <c r="I93" s="2018">
        <v>58</v>
      </c>
      <c r="J93" s="2018"/>
      <c r="K93" s="2018">
        <v>58</v>
      </c>
      <c r="L93" s="2018">
        <v>58</v>
      </c>
      <c r="M93" s="2018"/>
      <c r="N93" s="2018"/>
      <c r="O93" s="2018"/>
      <c r="P93" s="2018"/>
      <c r="Q93" s="2019"/>
      <c r="R93" s="2019"/>
      <c r="S93" s="2019"/>
      <c r="T93" s="2019">
        <v>0</v>
      </c>
      <c r="U93" s="2020" t="s">
        <v>11229</v>
      </c>
      <c r="V93" s="2008">
        <f t="shared" si="2"/>
        <v>232</v>
      </c>
      <c r="W93" s="2021">
        <v>10.93</v>
      </c>
      <c r="X93" s="2021">
        <v>633.94</v>
      </c>
      <c r="Y93" s="2069"/>
      <c r="Z93" s="2023"/>
    </row>
    <row r="94" ht="21" customHeight="1" spans="1:26">
      <c r="A94" s="2057"/>
      <c r="B94" s="2058"/>
      <c r="C94" s="2014" t="s">
        <v>11275</v>
      </c>
      <c r="D94" s="1784" t="s">
        <v>11337</v>
      </c>
      <c r="E94" s="2024" t="s">
        <v>11241</v>
      </c>
      <c r="F94" s="2016">
        <v>300</v>
      </c>
      <c r="G94" s="2017">
        <v>0.0021</v>
      </c>
      <c r="H94" s="2018">
        <v>42</v>
      </c>
      <c r="I94" s="2018">
        <v>42</v>
      </c>
      <c r="J94" s="2018"/>
      <c r="K94" s="2018">
        <v>42</v>
      </c>
      <c r="L94" s="2018">
        <v>42</v>
      </c>
      <c r="M94" s="2018"/>
      <c r="N94" s="2018"/>
      <c r="O94" s="2018"/>
      <c r="P94" s="2018"/>
      <c r="Q94" s="2019"/>
      <c r="R94" s="2019"/>
      <c r="S94" s="2019"/>
      <c r="T94" s="2019">
        <v>0</v>
      </c>
      <c r="U94" s="2020" t="s">
        <v>11229</v>
      </c>
      <c r="V94" s="2008">
        <f t="shared" si="2"/>
        <v>168</v>
      </c>
      <c r="W94" s="2021">
        <v>10.93</v>
      </c>
      <c r="X94" s="2021">
        <v>459.06</v>
      </c>
      <c r="Y94" s="2053"/>
      <c r="Z94" s="2023"/>
    </row>
    <row r="95" ht="21" customHeight="1" spans="1:26">
      <c r="A95" s="2057"/>
      <c r="B95" s="2058"/>
      <c r="C95" s="2062" t="s">
        <v>11338</v>
      </c>
      <c r="D95" s="2062" t="s">
        <v>11339</v>
      </c>
      <c r="E95" s="2067"/>
      <c r="F95" s="2064">
        <v>300</v>
      </c>
      <c r="G95" s="2065">
        <v>0.0049</v>
      </c>
      <c r="H95" s="2018">
        <v>300</v>
      </c>
      <c r="I95" s="2018"/>
      <c r="J95" s="2018"/>
      <c r="K95" s="2018">
        <v>0</v>
      </c>
      <c r="L95" s="2018">
        <v>92</v>
      </c>
      <c r="M95" s="2018"/>
      <c r="N95" s="2018"/>
      <c r="O95" s="2018"/>
      <c r="P95" s="2018"/>
      <c r="Q95" s="2019"/>
      <c r="R95" s="2019"/>
      <c r="S95" s="2019"/>
      <c r="T95" s="2019">
        <v>0</v>
      </c>
      <c r="U95" s="2020" t="s">
        <v>11229</v>
      </c>
      <c r="V95" s="2008">
        <f t="shared" si="2"/>
        <v>392</v>
      </c>
      <c r="W95" s="2021">
        <v>17.25</v>
      </c>
      <c r="X95" s="2021">
        <v>5175</v>
      </c>
      <c r="Y95" s="2022"/>
      <c r="Z95" s="2031" t="s">
        <v>11308</v>
      </c>
    </row>
    <row r="96" ht="21" customHeight="1" spans="1:26">
      <c r="A96" s="2057"/>
      <c r="B96" s="2058"/>
      <c r="C96" s="2062" t="s">
        <v>11333</v>
      </c>
      <c r="D96" s="2062" t="s">
        <v>11340</v>
      </c>
      <c r="E96" s="2063" t="s">
        <v>11334</v>
      </c>
      <c r="F96" s="2064">
        <v>500</v>
      </c>
      <c r="G96" s="2065">
        <v>0.0069</v>
      </c>
      <c r="H96" s="2018">
        <v>246</v>
      </c>
      <c r="I96" s="2018">
        <v>30</v>
      </c>
      <c r="J96" s="2018"/>
      <c r="K96" s="2018">
        <v>138</v>
      </c>
      <c r="L96" s="2018">
        <v>138</v>
      </c>
      <c r="M96" s="2018"/>
      <c r="N96" s="2018"/>
      <c r="O96" s="2018"/>
      <c r="P96" s="2018"/>
      <c r="Q96" s="2019"/>
      <c r="R96" s="2019"/>
      <c r="S96" s="2019"/>
      <c r="T96" s="2019">
        <v>0</v>
      </c>
      <c r="U96" s="2020" t="s">
        <v>11229</v>
      </c>
      <c r="V96" s="2008">
        <f t="shared" si="2"/>
        <v>552</v>
      </c>
      <c r="W96" s="2021">
        <v>28.75</v>
      </c>
      <c r="X96" s="2021">
        <v>7072.5</v>
      </c>
      <c r="Y96" s="2022"/>
      <c r="Z96" s="2031" t="s">
        <v>11297</v>
      </c>
    </row>
    <row r="97" ht="21" customHeight="1" spans="1:26">
      <c r="A97" s="2057"/>
      <c r="B97" s="2060"/>
      <c r="C97" s="1784" t="s">
        <v>10650</v>
      </c>
      <c r="D97" s="2014"/>
      <c r="E97" s="2015"/>
      <c r="F97" s="2016"/>
      <c r="G97" s="2017">
        <v>1</v>
      </c>
      <c r="H97" s="2018">
        <v>20000</v>
      </c>
      <c r="I97" s="2018">
        <v>20000</v>
      </c>
      <c r="J97" s="2018"/>
      <c r="K97" s="2018">
        <v>20000</v>
      </c>
      <c r="L97" s="2018">
        <v>20000</v>
      </c>
      <c r="M97" s="2018"/>
      <c r="N97" s="2018"/>
      <c r="O97" s="2018"/>
      <c r="P97" s="2018"/>
      <c r="Q97" s="2019"/>
      <c r="R97" s="2019"/>
      <c r="S97" s="2019"/>
      <c r="T97" s="2019">
        <v>0</v>
      </c>
      <c r="U97" s="2020" t="s">
        <v>11229</v>
      </c>
      <c r="V97" s="2008">
        <f t="shared" si="2"/>
        <v>80000</v>
      </c>
      <c r="W97" s="2021">
        <v>1.1433</v>
      </c>
      <c r="X97" s="2021">
        <v>22866</v>
      </c>
      <c r="Y97" s="2022"/>
      <c r="Z97" s="2023"/>
    </row>
    <row r="98" ht="21" customHeight="1" spans="1:26">
      <c r="A98" s="2057"/>
      <c r="B98" s="2061" t="s">
        <v>11341</v>
      </c>
      <c r="C98" s="2014" t="s">
        <v>11342</v>
      </c>
      <c r="D98" s="1784" t="s">
        <v>11240</v>
      </c>
      <c r="E98" s="2024" t="s">
        <v>11241</v>
      </c>
      <c r="F98" s="2016">
        <v>300</v>
      </c>
      <c r="G98" s="2017">
        <v>0.0556</v>
      </c>
      <c r="H98" s="2018">
        <v>1112</v>
      </c>
      <c r="I98" s="2018">
        <v>1112</v>
      </c>
      <c r="J98" s="2018"/>
      <c r="K98" s="2018">
        <v>1112</v>
      </c>
      <c r="L98" s="2018">
        <v>1112</v>
      </c>
      <c r="M98" s="2018"/>
      <c r="N98" s="2018"/>
      <c r="O98" s="2018"/>
      <c r="P98" s="2018"/>
      <c r="Q98" s="2019"/>
      <c r="R98" s="2019"/>
      <c r="S98" s="2019"/>
      <c r="T98" s="2019">
        <v>0</v>
      </c>
      <c r="U98" s="2020" t="s">
        <v>11229</v>
      </c>
      <c r="V98" s="2008">
        <f t="shared" si="2"/>
        <v>4448</v>
      </c>
      <c r="W98" s="2021">
        <v>10.93</v>
      </c>
      <c r="X98" s="2021">
        <v>12154.16</v>
      </c>
      <c r="Y98" s="2022"/>
      <c r="Z98" s="2023"/>
    </row>
    <row r="99" ht="21" customHeight="1" spans="1:26">
      <c r="A99" s="2070"/>
      <c r="B99" s="2066"/>
      <c r="C99" s="2036" t="s">
        <v>10650</v>
      </c>
      <c r="D99" s="2037"/>
      <c r="E99" s="2038"/>
      <c r="F99" s="2039"/>
      <c r="G99" s="2040">
        <v>1</v>
      </c>
      <c r="H99" s="2041">
        <v>20000</v>
      </c>
      <c r="I99" s="2041">
        <v>20000</v>
      </c>
      <c r="J99" s="2041"/>
      <c r="K99" s="2018">
        <v>20000</v>
      </c>
      <c r="L99" s="2042">
        <v>20000</v>
      </c>
      <c r="M99" s="2042"/>
      <c r="N99" s="2042"/>
      <c r="O99" s="2041"/>
      <c r="P99" s="2018"/>
      <c r="Q99" s="2050"/>
      <c r="R99" s="2050"/>
      <c r="S99" s="2050"/>
      <c r="T99" s="2050">
        <v>0</v>
      </c>
      <c r="U99" s="2044" t="s">
        <v>11229</v>
      </c>
      <c r="V99" s="2008">
        <f t="shared" si="2"/>
        <v>80000</v>
      </c>
      <c r="W99" s="2045">
        <v>0.0019158</v>
      </c>
      <c r="X99" s="2045">
        <v>38.316</v>
      </c>
      <c r="Y99" s="2051"/>
      <c r="Z99" s="2047"/>
    </row>
    <row r="100" ht="21" customHeight="1" spans="1:26">
      <c r="A100" s="2071"/>
      <c r="B100" s="2072" t="s">
        <v>11343</v>
      </c>
      <c r="C100" s="2073"/>
      <c r="D100" s="2074" t="s">
        <v>10707</v>
      </c>
      <c r="E100" s="2075"/>
      <c r="F100" s="2076"/>
      <c r="G100" s="2076"/>
      <c r="H100" s="2077">
        <f t="shared" ref="H100:O100" si="3">SUM(H6:H99)-H101-SUM(H102:H115)</f>
        <v>8188</v>
      </c>
      <c r="I100" s="2077">
        <f t="shared" si="3"/>
        <v>4933</v>
      </c>
      <c r="J100" s="2077">
        <f t="shared" si="3"/>
        <v>4536</v>
      </c>
      <c r="K100" s="2077">
        <f t="shared" si="3"/>
        <v>5130</v>
      </c>
      <c r="L100" s="2077">
        <f t="shared" si="3"/>
        <v>5635</v>
      </c>
      <c r="M100" s="2077">
        <f t="shared" si="3"/>
        <v>4537</v>
      </c>
      <c r="N100" s="2077">
        <f t="shared" si="3"/>
        <v>4537</v>
      </c>
      <c r="O100" s="2077">
        <f t="shared" si="3"/>
        <v>4536</v>
      </c>
      <c r="P100" s="2077">
        <v>4537</v>
      </c>
      <c r="Q100" s="2077">
        <f>SUM(Q6:Q99)-Q101-SUM(Q102:Q115)</f>
        <v>112891</v>
      </c>
      <c r="R100" s="2077">
        <v>4537</v>
      </c>
      <c r="S100" s="2077">
        <v>5671</v>
      </c>
      <c r="T100" s="2077">
        <v>4626</v>
      </c>
      <c r="U100" s="2076" t="s">
        <v>11229</v>
      </c>
      <c r="V100" s="2078">
        <f>V13+V22+V30+V37+V55+V69+V86+V99</f>
        <v>1415000</v>
      </c>
      <c r="W100" s="2079" t="s">
        <v>11344</v>
      </c>
      <c r="X100" s="2080">
        <f>SUM(X6:X99)</f>
        <v>834914.738</v>
      </c>
      <c r="Y100" s="2073"/>
      <c r="Z100" s="2081"/>
    </row>
    <row r="101" ht="21" customHeight="1" spans="1:26">
      <c r="A101" s="2082"/>
      <c r="B101" s="2083"/>
      <c r="C101" s="2084"/>
      <c r="D101" s="2085" t="s">
        <v>10650</v>
      </c>
      <c r="E101" s="2086"/>
      <c r="F101" s="2087"/>
      <c r="G101" s="2087"/>
      <c r="H101" s="2088">
        <f t="shared" ref="H101:O101" si="4">SUMIF($C$4:$C$99,$D101,H$4:H$99)</f>
        <v>400000</v>
      </c>
      <c r="I101" s="2088">
        <f t="shared" si="4"/>
        <v>400000</v>
      </c>
      <c r="J101" s="2088">
        <f t="shared" si="4"/>
        <v>160000</v>
      </c>
      <c r="K101" s="2088">
        <f t="shared" si="4"/>
        <v>400000</v>
      </c>
      <c r="L101" s="2088">
        <f t="shared" si="4"/>
        <v>463000</v>
      </c>
      <c r="M101" s="2088">
        <f t="shared" si="4"/>
        <v>160000</v>
      </c>
      <c r="N101" s="2088">
        <f t="shared" si="4"/>
        <v>160000</v>
      </c>
      <c r="O101" s="2088">
        <f t="shared" si="4"/>
        <v>160000</v>
      </c>
      <c r="P101" s="2088">
        <v>160000</v>
      </c>
      <c r="Q101" s="2088">
        <f>SUMIF($D$4:$D$97,$F101,Q$4:Q$97)</f>
        <v>0</v>
      </c>
      <c r="R101" s="2088">
        <v>160000</v>
      </c>
      <c r="S101" s="2088">
        <v>186000</v>
      </c>
      <c r="T101" s="2088">
        <v>223000</v>
      </c>
      <c r="U101" s="2087" t="s">
        <v>11229</v>
      </c>
      <c r="V101" s="2089"/>
      <c r="W101" s="2090"/>
      <c r="X101" s="2091"/>
      <c r="Y101" s="2084"/>
      <c r="Z101" s="2092"/>
    </row>
    <row r="102" ht="21" customHeight="1" spans="1:26">
      <c r="A102" s="2082"/>
      <c r="B102" s="2083"/>
      <c r="C102" s="2084"/>
      <c r="D102" s="2093" t="s">
        <v>11345</v>
      </c>
      <c r="E102" s="2094" t="s">
        <v>11346</v>
      </c>
      <c r="F102" s="2087">
        <v>300</v>
      </c>
      <c r="G102" s="2087"/>
      <c r="H102" s="2088">
        <f t="shared" ref="H102:O102" si="5">SUMIF($E$4:$E$99,$E102,H$4:H$99)</f>
        <v>4826</v>
      </c>
      <c r="I102" s="2088">
        <f t="shared" si="5"/>
        <v>4826</v>
      </c>
      <c r="J102" s="2088">
        <f t="shared" si="5"/>
        <v>2672</v>
      </c>
      <c r="K102" s="2088">
        <f t="shared" si="5"/>
        <v>4826</v>
      </c>
      <c r="L102" s="2088">
        <f t="shared" si="5"/>
        <v>4826</v>
      </c>
      <c r="M102" s="2088">
        <f t="shared" si="5"/>
        <v>2672</v>
      </c>
      <c r="N102" s="2088">
        <f t="shared" si="5"/>
        <v>2672</v>
      </c>
      <c r="O102" s="2088">
        <f t="shared" si="5"/>
        <v>2672</v>
      </c>
      <c r="P102" s="2088">
        <v>2672</v>
      </c>
      <c r="Q102" s="2088">
        <f t="shared" ref="Q102:Q115" si="6">SUMIF($F$4:$F$97,$F102,Q$4:Q$97)</f>
        <v>11602</v>
      </c>
      <c r="R102" s="2088">
        <v>2672</v>
      </c>
      <c r="S102" s="2088">
        <v>2806</v>
      </c>
      <c r="T102" s="2088">
        <v>2672</v>
      </c>
      <c r="U102" s="2087" t="s">
        <v>11229</v>
      </c>
      <c r="V102" s="2089"/>
      <c r="W102" s="2090"/>
      <c r="X102" s="2091"/>
      <c r="Y102" s="2084"/>
      <c r="Z102" s="2092"/>
    </row>
    <row r="103" ht="21" customHeight="1" spans="1:26">
      <c r="A103" s="2082"/>
      <c r="B103" s="2083"/>
      <c r="C103" s="2084"/>
      <c r="D103" s="2085" t="s">
        <v>11258</v>
      </c>
      <c r="E103" s="2094" t="s">
        <v>11347</v>
      </c>
      <c r="F103" s="2087">
        <v>0</v>
      </c>
      <c r="G103" s="2087"/>
      <c r="H103" s="2088">
        <f t="shared" ref="H103:O103" si="7">SUMIF($E$4:$E$99,$E103,H$4:H$99)</f>
        <v>1186</v>
      </c>
      <c r="I103" s="2088">
        <f t="shared" si="7"/>
        <v>1186</v>
      </c>
      <c r="J103" s="2088">
        <f t="shared" si="7"/>
        <v>166</v>
      </c>
      <c r="K103" s="2088">
        <f t="shared" si="7"/>
        <v>1186</v>
      </c>
      <c r="L103" s="2088">
        <f t="shared" si="7"/>
        <v>1518</v>
      </c>
      <c r="M103" s="2088">
        <f t="shared" si="7"/>
        <v>166</v>
      </c>
      <c r="N103" s="2088">
        <f t="shared" si="7"/>
        <v>166</v>
      </c>
      <c r="O103" s="2088">
        <f t="shared" si="7"/>
        <v>166</v>
      </c>
      <c r="P103" s="2088">
        <v>166</v>
      </c>
      <c r="Q103" s="2088">
        <f t="shared" si="6"/>
        <v>0</v>
      </c>
      <c r="R103" s="2088">
        <v>166</v>
      </c>
      <c r="S103" s="2088">
        <v>183</v>
      </c>
      <c r="T103" s="2088">
        <v>498</v>
      </c>
      <c r="U103" s="2087" t="s">
        <v>11229</v>
      </c>
      <c r="V103" s="2089"/>
      <c r="W103" s="2090"/>
      <c r="X103" s="2091"/>
      <c r="Y103" s="2084"/>
      <c r="Z103" s="2092"/>
    </row>
    <row r="104" ht="21" customHeight="1" spans="1:26">
      <c r="A104" s="2082"/>
      <c r="B104" s="2083"/>
      <c r="C104" s="2084"/>
      <c r="D104" s="2085" t="s">
        <v>11261</v>
      </c>
      <c r="E104" s="2094" t="s">
        <v>11348</v>
      </c>
      <c r="F104" s="2087">
        <v>0</v>
      </c>
      <c r="G104" s="2087"/>
      <c r="H104" s="2088">
        <f t="shared" ref="H104:O104" si="8">SUMIF($E$4:$E$99,$E104,H$4:H$99)</f>
        <v>1186</v>
      </c>
      <c r="I104" s="2088">
        <f t="shared" si="8"/>
        <v>1186</v>
      </c>
      <c r="J104" s="2088">
        <f t="shared" si="8"/>
        <v>166</v>
      </c>
      <c r="K104" s="2088">
        <f t="shared" si="8"/>
        <v>1186</v>
      </c>
      <c r="L104" s="2088">
        <f t="shared" si="8"/>
        <v>1518</v>
      </c>
      <c r="M104" s="2088">
        <f t="shared" si="8"/>
        <v>166</v>
      </c>
      <c r="N104" s="2088">
        <f t="shared" si="8"/>
        <v>166</v>
      </c>
      <c r="O104" s="2088">
        <f t="shared" si="8"/>
        <v>166</v>
      </c>
      <c r="P104" s="2088">
        <v>166</v>
      </c>
      <c r="Q104" s="2088">
        <f t="shared" si="6"/>
        <v>0</v>
      </c>
      <c r="R104" s="2088">
        <v>166</v>
      </c>
      <c r="S104" s="2088">
        <v>183</v>
      </c>
      <c r="T104" s="2088">
        <v>498</v>
      </c>
      <c r="U104" s="2087" t="s">
        <v>11229</v>
      </c>
      <c r="V104" s="2089"/>
      <c r="W104" s="2090"/>
      <c r="X104" s="2091"/>
      <c r="Y104" s="2084"/>
      <c r="Z104" s="2092"/>
    </row>
    <row r="105" ht="21" customHeight="1" spans="1:26">
      <c r="A105" s="2082"/>
      <c r="B105" s="2083"/>
      <c r="C105" s="2084"/>
      <c r="D105" s="2085" t="s">
        <v>11234</v>
      </c>
      <c r="E105" s="2094" t="s">
        <v>11349</v>
      </c>
      <c r="F105" s="2087">
        <v>500</v>
      </c>
      <c r="G105" s="2087"/>
      <c r="H105" s="2088">
        <f t="shared" ref="H105:O105" si="9">SUMIF($E$4:$E$99,$E105,H$4:H$99)</f>
        <v>1130</v>
      </c>
      <c r="I105" s="2088">
        <f t="shared" si="9"/>
        <v>1082</v>
      </c>
      <c r="J105" s="2088">
        <f t="shared" si="9"/>
        <v>500</v>
      </c>
      <c r="K105" s="2088">
        <f t="shared" si="9"/>
        <v>894</v>
      </c>
      <c r="L105" s="2088">
        <f t="shared" si="9"/>
        <v>1106</v>
      </c>
      <c r="M105" s="2088">
        <f t="shared" si="9"/>
        <v>500</v>
      </c>
      <c r="N105" s="2088">
        <f t="shared" si="9"/>
        <v>500</v>
      </c>
      <c r="O105" s="2088">
        <f t="shared" si="9"/>
        <v>0</v>
      </c>
      <c r="P105" s="2088">
        <v>500</v>
      </c>
      <c r="Q105" s="2088">
        <f t="shared" si="6"/>
        <v>1258</v>
      </c>
      <c r="R105" s="2088">
        <v>500</v>
      </c>
      <c r="S105" s="2088">
        <v>38</v>
      </c>
      <c r="T105" s="2088">
        <v>288</v>
      </c>
      <c r="U105" s="2087" t="s">
        <v>11229</v>
      </c>
      <c r="V105" s="2089"/>
      <c r="W105" s="2090"/>
      <c r="X105" s="2091"/>
      <c r="Y105" s="2084"/>
      <c r="Z105" s="2092"/>
    </row>
    <row r="106" ht="21" customHeight="1" spans="1:26">
      <c r="A106" s="2082"/>
      <c r="B106" s="2083"/>
      <c r="C106" s="2084"/>
      <c r="D106" s="2093" t="s">
        <v>11350</v>
      </c>
      <c r="E106" s="2094" t="s">
        <v>11351</v>
      </c>
      <c r="F106" s="2087">
        <v>800</v>
      </c>
      <c r="G106" s="2087"/>
      <c r="H106" s="2088">
        <f t="shared" ref="H106:O106" si="10">SUMIF($E$4:$E$99,$E106,H$4:H$99)</f>
        <v>500</v>
      </c>
      <c r="I106" s="2088">
        <f t="shared" si="10"/>
        <v>0</v>
      </c>
      <c r="J106" s="2088">
        <f t="shared" si="10"/>
        <v>500</v>
      </c>
      <c r="K106" s="2088">
        <f t="shared" si="10"/>
        <v>0</v>
      </c>
      <c r="L106" s="2088">
        <f t="shared" si="10"/>
        <v>0</v>
      </c>
      <c r="M106" s="2088">
        <f t="shared" si="10"/>
        <v>500</v>
      </c>
      <c r="N106" s="2088">
        <f t="shared" si="10"/>
        <v>0</v>
      </c>
      <c r="O106" s="2088">
        <f t="shared" si="10"/>
        <v>0</v>
      </c>
      <c r="P106" s="2088">
        <v>0</v>
      </c>
      <c r="Q106" s="2088">
        <f t="shared" si="6"/>
        <v>0</v>
      </c>
      <c r="R106" s="2088">
        <v>0</v>
      </c>
      <c r="S106" s="2088">
        <v>0</v>
      </c>
      <c r="T106" s="2088">
        <v>0</v>
      </c>
      <c r="U106" s="2087" t="s">
        <v>11229</v>
      </c>
      <c r="V106" s="2089"/>
      <c r="W106" s="2090"/>
      <c r="X106" s="2091"/>
      <c r="Y106" s="2084"/>
      <c r="Z106" s="2092"/>
    </row>
    <row r="107" ht="21" customHeight="1" spans="1:26">
      <c r="A107" s="2082"/>
      <c r="B107" s="2083"/>
      <c r="C107" s="2084"/>
      <c r="D107" s="2093" t="s">
        <v>11352</v>
      </c>
      <c r="E107" s="2094" t="s">
        <v>11353</v>
      </c>
      <c r="F107" s="2087">
        <v>300</v>
      </c>
      <c r="G107" s="2087"/>
      <c r="H107" s="2088">
        <f t="shared" ref="H107:O107" si="11">SUMIF($E$4:$E$99,$E107,H$4:H$99)</f>
        <v>19072</v>
      </c>
      <c r="I107" s="2088">
        <f t="shared" si="11"/>
        <v>19072</v>
      </c>
      <c r="J107" s="2088">
        <f t="shared" si="11"/>
        <v>6364</v>
      </c>
      <c r="K107" s="2088">
        <f t="shared" si="11"/>
        <v>19072</v>
      </c>
      <c r="L107" s="2088">
        <f t="shared" si="11"/>
        <v>24670</v>
      </c>
      <c r="M107" s="2088">
        <f t="shared" si="11"/>
        <v>6364</v>
      </c>
      <c r="N107" s="2088">
        <f t="shared" si="11"/>
        <v>6364</v>
      </c>
      <c r="O107" s="2088">
        <f t="shared" si="11"/>
        <v>6364</v>
      </c>
      <c r="P107" s="2088">
        <v>6364</v>
      </c>
      <c r="Q107" s="2088">
        <f t="shared" si="6"/>
        <v>11602</v>
      </c>
      <c r="R107" s="2088">
        <v>6364</v>
      </c>
      <c r="S107" s="2088">
        <v>7278</v>
      </c>
      <c r="T107" s="2088">
        <v>11959</v>
      </c>
      <c r="U107" s="2087" t="s">
        <v>11229</v>
      </c>
      <c r="V107" s="2089"/>
      <c r="W107" s="2090"/>
      <c r="X107" s="2091"/>
      <c r="Y107" s="2084"/>
      <c r="Z107" s="2092"/>
    </row>
    <row r="108" ht="21" customHeight="1" spans="1:26">
      <c r="A108" s="2082"/>
      <c r="B108" s="2083"/>
      <c r="C108" s="2084"/>
      <c r="D108" s="2085" t="s">
        <v>11318</v>
      </c>
      <c r="E108" s="2094" t="s">
        <v>11354</v>
      </c>
      <c r="F108" s="2087">
        <v>500</v>
      </c>
      <c r="G108" s="2087"/>
      <c r="H108" s="2088">
        <f t="shared" ref="H108:O108" si="12">SUMIF($E$4:$E$99,$E108,H$4:H$99)</f>
        <v>904</v>
      </c>
      <c r="I108" s="2088">
        <f t="shared" si="12"/>
        <v>716</v>
      </c>
      <c r="J108" s="2088">
        <f t="shared" si="12"/>
        <v>0</v>
      </c>
      <c r="K108" s="2088">
        <f t="shared" si="12"/>
        <v>810</v>
      </c>
      <c r="L108" s="2088">
        <f t="shared" si="12"/>
        <v>1662</v>
      </c>
      <c r="M108" s="2088">
        <f t="shared" si="12"/>
        <v>0</v>
      </c>
      <c r="N108" s="2088">
        <f t="shared" si="12"/>
        <v>0</v>
      </c>
      <c r="O108" s="2088">
        <f t="shared" si="12"/>
        <v>0</v>
      </c>
      <c r="P108" s="2088">
        <v>0</v>
      </c>
      <c r="Q108" s="2088">
        <f t="shared" si="6"/>
        <v>1258</v>
      </c>
      <c r="R108" s="2088">
        <v>0</v>
      </c>
      <c r="S108" s="2088">
        <v>0</v>
      </c>
      <c r="T108" s="2088">
        <v>850</v>
      </c>
      <c r="U108" s="2087" t="s">
        <v>11229</v>
      </c>
      <c r="V108" s="2089"/>
      <c r="W108" s="2090"/>
      <c r="X108" s="2091"/>
      <c r="Y108" s="2084"/>
      <c r="Z108" s="2092"/>
    </row>
    <row r="109" ht="21" customHeight="1" spans="1:26">
      <c r="A109" s="2082"/>
      <c r="B109" s="2083"/>
      <c r="C109" s="2084"/>
      <c r="D109" s="2085" t="s">
        <v>11333</v>
      </c>
      <c r="E109" s="2094" t="s">
        <v>11355</v>
      </c>
      <c r="F109" s="2087">
        <v>500</v>
      </c>
      <c r="G109" s="2087"/>
      <c r="H109" s="2088">
        <f t="shared" ref="H109:O109" si="13">SUMIF($E$4:$E$99,$E109,H$4:H$99)</f>
        <v>952</v>
      </c>
      <c r="I109" s="2088">
        <f t="shared" si="13"/>
        <v>736</v>
      </c>
      <c r="J109" s="2088">
        <f t="shared" si="13"/>
        <v>0</v>
      </c>
      <c r="K109" s="2088">
        <f t="shared" si="13"/>
        <v>844</v>
      </c>
      <c r="L109" s="2088">
        <f t="shared" si="13"/>
        <v>844</v>
      </c>
      <c r="M109" s="2088">
        <f t="shared" si="13"/>
        <v>0</v>
      </c>
      <c r="N109" s="2088">
        <f t="shared" si="13"/>
        <v>0</v>
      </c>
      <c r="O109" s="2088">
        <f t="shared" si="13"/>
        <v>0</v>
      </c>
      <c r="P109" s="2088">
        <v>0</v>
      </c>
      <c r="Q109" s="2088">
        <f t="shared" si="6"/>
        <v>1258</v>
      </c>
      <c r="R109" s="2088">
        <v>0</v>
      </c>
      <c r="S109" s="2088">
        <v>0</v>
      </c>
      <c r="T109" s="2088">
        <v>0</v>
      </c>
      <c r="U109" s="2087" t="s">
        <v>11229</v>
      </c>
      <c r="V109" s="2089"/>
      <c r="W109" s="2090"/>
      <c r="X109" s="2091"/>
      <c r="Y109" s="2084"/>
      <c r="Z109" s="2092"/>
    </row>
    <row r="110" ht="21" customHeight="1" spans="1:26">
      <c r="A110" s="2082"/>
      <c r="B110" s="2083"/>
      <c r="C110" s="2084"/>
      <c r="D110" s="2085" t="s">
        <v>11266</v>
      </c>
      <c r="E110" s="2094" t="s">
        <v>11356</v>
      </c>
      <c r="F110" s="2087">
        <v>500</v>
      </c>
      <c r="G110" s="2087"/>
      <c r="H110" s="2088">
        <f t="shared" ref="H110:O110" si="14">SUMIF($E$4:$E$99,$E110,H$4:H$99)</f>
        <v>1328</v>
      </c>
      <c r="I110" s="2088">
        <f t="shared" si="14"/>
        <v>1208</v>
      </c>
      <c r="J110" s="2088">
        <f t="shared" si="14"/>
        <v>506</v>
      </c>
      <c r="K110" s="2088">
        <f t="shared" si="14"/>
        <v>1268</v>
      </c>
      <c r="L110" s="2088">
        <f t="shared" si="14"/>
        <v>1268</v>
      </c>
      <c r="M110" s="2088">
        <f t="shared" si="14"/>
        <v>506</v>
      </c>
      <c r="N110" s="2088">
        <f t="shared" si="14"/>
        <v>506</v>
      </c>
      <c r="O110" s="2088">
        <f t="shared" si="14"/>
        <v>506</v>
      </c>
      <c r="P110" s="2088">
        <v>506</v>
      </c>
      <c r="Q110" s="2088">
        <f t="shared" si="6"/>
        <v>1258</v>
      </c>
      <c r="R110" s="2088">
        <v>506</v>
      </c>
      <c r="S110" s="2088">
        <v>557</v>
      </c>
      <c r="T110" s="2088">
        <v>506</v>
      </c>
      <c r="U110" s="2087" t="s">
        <v>11229</v>
      </c>
      <c r="V110" s="2095"/>
      <c r="W110" s="2096"/>
      <c r="X110" s="2097"/>
      <c r="Y110" s="2084"/>
      <c r="Z110" s="2092"/>
    </row>
    <row r="111" ht="21" customHeight="1" spans="1:26">
      <c r="A111" s="2082"/>
      <c r="B111" s="2083"/>
      <c r="C111" s="2084"/>
      <c r="D111" s="2093" t="s">
        <v>11357</v>
      </c>
      <c r="E111" s="2094" t="s">
        <v>11358</v>
      </c>
      <c r="F111" s="2087">
        <v>300</v>
      </c>
      <c r="G111" s="2087"/>
      <c r="H111" s="2088">
        <f t="shared" ref="H111:O111" si="15">SUMIF($E$4:$E$99,$E111,H$4:H$99)</f>
        <v>2232</v>
      </c>
      <c r="I111" s="2088">
        <f t="shared" si="15"/>
        <v>2232</v>
      </c>
      <c r="J111" s="2088">
        <f t="shared" si="15"/>
        <v>0</v>
      </c>
      <c r="K111" s="2088">
        <f t="shared" si="15"/>
        <v>2232</v>
      </c>
      <c r="L111" s="2088">
        <f t="shared" si="15"/>
        <v>2232</v>
      </c>
      <c r="M111" s="2088">
        <f t="shared" si="15"/>
        <v>0</v>
      </c>
      <c r="N111" s="2088">
        <f t="shared" si="15"/>
        <v>0</v>
      </c>
      <c r="O111" s="2088">
        <f t="shared" si="15"/>
        <v>0</v>
      </c>
      <c r="P111" s="2088">
        <v>0</v>
      </c>
      <c r="Q111" s="2088">
        <f t="shared" si="6"/>
        <v>11602</v>
      </c>
      <c r="R111" s="2088">
        <v>0</v>
      </c>
      <c r="S111" s="2088">
        <v>0</v>
      </c>
      <c r="T111" s="2088">
        <v>0</v>
      </c>
      <c r="U111" s="2087" t="s">
        <v>11229</v>
      </c>
      <c r="V111" s="2095"/>
      <c r="W111" s="2096"/>
      <c r="X111" s="2097"/>
      <c r="Y111" s="2084"/>
      <c r="Z111" s="2092"/>
    </row>
    <row r="112" ht="21" customHeight="1" spans="1:26">
      <c r="A112" s="2082"/>
      <c r="B112" s="2083"/>
      <c r="C112" s="2084"/>
      <c r="D112" s="2093" t="s">
        <v>11359</v>
      </c>
      <c r="E112" s="2094" t="s">
        <v>11360</v>
      </c>
      <c r="F112" s="2087">
        <v>300</v>
      </c>
      <c r="G112" s="2087"/>
      <c r="H112" s="2088">
        <f t="shared" ref="H112:O112" si="16">SUMIF($E$4:$E$99,$E112,H$4:H$99)</f>
        <v>860</v>
      </c>
      <c r="I112" s="2088">
        <f t="shared" si="16"/>
        <v>860</v>
      </c>
      <c r="J112" s="2088">
        <f t="shared" si="16"/>
        <v>802</v>
      </c>
      <c r="K112" s="2088">
        <f t="shared" si="16"/>
        <v>860</v>
      </c>
      <c r="L112" s="2088">
        <f t="shared" si="16"/>
        <v>860</v>
      </c>
      <c r="M112" s="2088">
        <f t="shared" si="16"/>
        <v>802</v>
      </c>
      <c r="N112" s="2088">
        <f t="shared" si="16"/>
        <v>802</v>
      </c>
      <c r="O112" s="2088">
        <f t="shared" si="16"/>
        <v>802</v>
      </c>
      <c r="P112" s="2088">
        <v>802</v>
      </c>
      <c r="Q112" s="2088">
        <f t="shared" si="6"/>
        <v>11602</v>
      </c>
      <c r="R112" s="2088">
        <v>802</v>
      </c>
      <c r="S112" s="2088">
        <v>1003</v>
      </c>
      <c r="T112" s="2088">
        <v>802</v>
      </c>
      <c r="U112" s="2087" t="s">
        <v>11229</v>
      </c>
      <c r="V112" s="2095"/>
      <c r="W112" s="2096"/>
      <c r="X112" s="2097"/>
      <c r="Y112" s="2084"/>
      <c r="Z112" s="2092"/>
    </row>
    <row r="113" ht="21" customHeight="1" spans="1:26">
      <c r="A113" s="2082"/>
      <c r="B113" s="2083"/>
      <c r="C113" s="2084"/>
      <c r="D113" s="2085" t="s">
        <v>11232</v>
      </c>
      <c r="E113" s="2094" t="s">
        <v>11361</v>
      </c>
      <c r="F113" s="2087">
        <v>0</v>
      </c>
      <c r="G113" s="2087"/>
      <c r="H113" s="2088">
        <f t="shared" ref="H113:O113" si="17">SUMIF($E$4:$E$99,$E113,H$4:H$99)</f>
        <v>222</v>
      </c>
      <c r="I113" s="2088">
        <f t="shared" si="17"/>
        <v>221</v>
      </c>
      <c r="J113" s="2088">
        <f t="shared" si="17"/>
        <v>221</v>
      </c>
      <c r="K113" s="2088">
        <f t="shared" si="17"/>
        <v>221</v>
      </c>
      <c r="L113" s="2088">
        <f t="shared" si="17"/>
        <v>221</v>
      </c>
      <c r="M113" s="2088">
        <f t="shared" si="17"/>
        <v>222</v>
      </c>
      <c r="N113" s="2088">
        <f t="shared" si="17"/>
        <v>221</v>
      </c>
      <c r="O113" s="2088">
        <f t="shared" si="17"/>
        <v>221</v>
      </c>
      <c r="P113" s="2088">
        <v>221</v>
      </c>
      <c r="Q113" s="2088">
        <f t="shared" si="6"/>
        <v>0</v>
      </c>
      <c r="R113" s="2088">
        <v>222</v>
      </c>
      <c r="S113" s="2088">
        <v>276</v>
      </c>
      <c r="T113" s="2088">
        <v>221</v>
      </c>
      <c r="U113" s="2087" t="s">
        <v>11229</v>
      </c>
      <c r="V113" s="2095"/>
      <c r="W113" s="2096"/>
      <c r="X113" s="2097"/>
      <c r="Y113" s="2084"/>
      <c r="Z113" s="2092"/>
    </row>
    <row r="114" ht="21" customHeight="1" spans="1:26">
      <c r="A114" s="2082"/>
      <c r="B114" s="2083"/>
      <c r="C114" s="2084"/>
      <c r="D114" s="2093" t="s">
        <v>11362</v>
      </c>
      <c r="E114" s="2094" t="s">
        <v>11363</v>
      </c>
      <c r="F114" s="2087">
        <v>200</v>
      </c>
      <c r="G114" s="2087"/>
      <c r="H114" s="2088">
        <f t="shared" ref="H114:O114" si="18">SUMIF($E$4:$E$99,$E114,H$4:H$99)</f>
        <v>200</v>
      </c>
      <c r="I114" s="2088">
        <f t="shared" si="18"/>
        <v>0</v>
      </c>
      <c r="J114" s="2088">
        <f t="shared" si="18"/>
        <v>200</v>
      </c>
      <c r="K114" s="2088">
        <f t="shared" si="18"/>
        <v>0</v>
      </c>
      <c r="L114" s="2088">
        <f t="shared" si="18"/>
        <v>0</v>
      </c>
      <c r="M114" s="2088">
        <f t="shared" si="18"/>
        <v>32</v>
      </c>
      <c r="N114" s="2088">
        <f t="shared" si="18"/>
        <v>72</v>
      </c>
      <c r="O114" s="2088">
        <f t="shared" si="18"/>
        <v>72</v>
      </c>
      <c r="P114" s="2088">
        <v>72</v>
      </c>
      <c r="Q114" s="2088">
        <f t="shared" si="6"/>
        <v>72</v>
      </c>
      <c r="R114" s="2088">
        <v>72</v>
      </c>
      <c r="S114" s="2088">
        <v>79</v>
      </c>
      <c r="T114" s="2088">
        <v>72</v>
      </c>
      <c r="U114" s="2087" t="s">
        <v>11229</v>
      </c>
      <c r="V114" s="2095"/>
      <c r="W114" s="2096"/>
      <c r="X114" s="2097"/>
      <c r="Y114" s="2084"/>
      <c r="Z114" s="2092"/>
    </row>
    <row r="115" ht="21" customHeight="1" spans="1:26">
      <c r="A115" s="2098"/>
      <c r="B115" s="2099"/>
      <c r="C115" s="2100"/>
      <c r="D115" s="2101" t="s">
        <v>11364</v>
      </c>
      <c r="E115" s="2102" t="s">
        <v>11365</v>
      </c>
      <c r="F115" s="2103">
        <v>300</v>
      </c>
      <c r="G115" s="2103"/>
      <c r="H115" s="2104">
        <f t="shared" ref="H115:O115" si="19">SUMIF($E$4:$E$99,$E115,H$4:H$99)</f>
        <v>3700</v>
      </c>
      <c r="I115" s="2104">
        <f t="shared" si="19"/>
        <v>3700</v>
      </c>
      <c r="J115" s="2104">
        <f t="shared" si="19"/>
        <v>0</v>
      </c>
      <c r="K115" s="2104">
        <f t="shared" si="19"/>
        <v>3700</v>
      </c>
      <c r="L115" s="2104">
        <f t="shared" si="19"/>
        <v>3700</v>
      </c>
      <c r="M115" s="2104">
        <f t="shared" si="19"/>
        <v>0</v>
      </c>
      <c r="N115" s="2104">
        <f t="shared" si="19"/>
        <v>0</v>
      </c>
      <c r="O115" s="2104">
        <f t="shared" si="19"/>
        <v>0</v>
      </c>
      <c r="P115" s="2104">
        <v>0</v>
      </c>
      <c r="Q115" s="2104">
        <f t="shared" si="6"/>
        <v>11602</v>
      </c>
      <c r="R115" s="2104">
        <v>0</v>
      </c>
      <c r="S115" s="2104">
        <v>0</v>
      </c>
      <c r="T115" s="2104">
        <v>0</v>
      </c>
      <c r="U115" s="2103" t="s">
        <v>11229</v>
      </c>
      <c r="V115" s="2105"/>
      <c r="W115" s="2106"/>
      <c r="X115" s="2107"/>
      <c r="Y115" s="2100"/>
      <c r="Z115" s="2108"/>
    </row>
    <row r="116" spans="1:26">
      <c r="Q116" s="2109">
        <f>Q13+Q22+Q30+Q37</f>
        <v>80000</v>
      </c>
      <c r="R116" s="2110">
        <v>80000</v>
      </c>
      <c r="S116" s="2110">
        <v>93000</v>
      </c>
      <c r="T116" s="2110">
        <v>80000</v>
      </c>
    </row>
    <row r="117" spans="1:26">
      <c r="R117" s="483">
        <v>0</v>
      </c>
      <c r="S117" s="483">
        <v>0</v>
      </c>
      <c r="T117" s="483">
        <v>21000</v>
      </c>
    </row>
  </sheetData>
  <sheetProtection formatCells="0" formatColumns="0" formatRows="0" insertRows="0" insertColumns="0" insertHyperlinks="0" deleteColumns="0" deleteRows="0" sort="0" autoFilter="0" pivotTables="0"/>
  <mergeCells count="25">
    <mergeCell ref="A6:A37"/>
    <mergeCell ref="A38:A99"/>
    <mergeCell ref="B6:B11"/>
    <mergeCell ref="B12:B13"/>
    <mergeCell ref="B14:B20"/>
    <mergeCell ref="B21:B22"/>
    <mergeCell ref="B23:B28"/>
    <mergeCell ref="B29:B30"/>
    <mergeCell ref="B31:B35"/>
    <mergeCell ref="B36:B37"/>
    <mergeCell ref="B38:B46"/>
    <mergeCell ref="B47:B53"/>
    <mergeCell ref="B54:B55"/>
    <mergeCell ref="B56:B61"/>
    <mergeCell ref="B62:B67"/>
    <mergeCell ref="B68:B69"/>
    <mergeCell ref="B70:B76"/>
    <mergeCell ref="B77:B84"/>
    <mergeCell ref="B85:B86"/>
    <mergeCell ref="B87:B91"/>
    <mergeCell ref="B92:B97"/>
    <mergeCell ref="B98:B99"/>
    <mergeCell ref="V100:V115"/>
    <mergeCell ref="W100:W115"/>
    <mergeCell ref="X100:X115"/>
  </mergeCells>
  <pageMargins left="0.7" right="0.7" top="0.75" bottom="0.75" header="0.3" footer="0.3"/>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V896"/>
  <sheetViews>
    <sheetView zoomScale="70" zoomScaleNormal="70" topLeftCell="C123" workbookViewId="0">
      <selection activeCell="C123" sqref="C123"/>
    </sheetView>
  </sheetViews>
  <sheetFormatPr defaultColWidth="9" defaultRowHeight="28" customHeight="1"/>
  <cols>
    <col min="1" max="1" width="18.85" style="1862" customWidth="1"/>
    <col min="2" max="2" width="19.7333333333333" style="1862" customWidth="1"/>
    <col min="3" max="3" width="12" style="1862" customWidth="1"/>
    <col min="4" max="4" width="15.5666666666667" style="1862" customWidth="1"/>
    <col min="5" max="5" width="12.875" style="1862" customWidth="1"/>
    <col min="6" max="6" width="12.025" style="1862" customWidth="1"/>
    <col min="7" max="7" width="11.9666666666667" style="1862" customWidth="1"/>
    <col min="8" max="8" width="13.5" style="1862" customWidth="1"/>
    <col min="9" max="9" width="22" style="1862" customWidth="1"/>
    <col min="10" max="10" width="14.5" style="1862" customWidth="1"/>
    <col min="11" max="11" width="14.8416666666667" style="1862" customWidth="1"/>
    <col min="12" max="12" width="39.275" style="1862" customWidth="1"/>
    <col min="13" max="13" width="14.2833333333333" style="1862" customWidth="1"/>
    <col min="14" max="24" width="16.5416666666667" style="1862" customWidth="1"/>
    <col min="25" max="25" width="23.0833333333333" style="1862" customWidth="1"/>
    <col min="26" max="26" width="29.6333333333333" style="1862" customWidth="1"/>
    <col min="27" max="16384" width="9" style="1862"/>
  </cols>
  <sheetData>
    <row r="1" customHeight="1" spans="1:15">
      <c r="O1" s="1863"/>
    </row>
    <row r="2" s="1862" customFormat="1" customHeight="1" spans="1:15">
      <c r="A2" s="1864" t="s">
        <v>11366</v>
      </c>
      <c r="B2" s="1865"/>
      <c r="C2" s="1865"/>
      <c r="D2" s="1865"/>
      <c r="E2" s="1865"/>
      <c r="F2" s="1865"/>
      <c r="G2" s="1865"/>
      <c r="H2" s="1865"/>
      <c r="I2" s="1865"/>
      <c r="J2" s="1865"/>
      <c r="K2" s="1866"/>
      <c r="L2" s="1862" t="s">
        <v>11367</v>
      </c>
      <c r="M2" s="1863" t="s">
        <v>11368</v>
      </c>
      <c r="N2" s="1862" t="s">
        <v>11369</v>
      </c>
      <c r="O2" s="1863" t="s">
        <v>11370</v>
      </c>
    </row>
    <row r="3" s="1862" customFormat="1" ht="76" customHeight="1" spans="1:15">
      <c r="A3" s="1867" t="s">
        <v>10539</v>
      </c>
      <c r="B3" s="1868" t="s">
        <v>10540</v>
      </c>
      <c r="C3" s="1869" t="s">
        <v>67</v>
      </c>
      <c r="D3" s="1869" t="s">
        <v>68</v>
      </c>
      <c r="E3" s="1869" t="s">
        <v>69</v>
      </c>
      <c r="F3" s="1869" t="s">
        <v>70</v>
      </c>
      <c r="G3" s="1870" t="s">
        <v>71</v>
      </c>
      <c r="H3" s="1870" t="s">
        <v>72</v>
      </c>
      <c r="I3" s="1870" t="s">
        <v>73</v>
      </c>
      <c r="J3" s="1871" t="s">
        <v>11371</v>
      </c>
      <c r="K3" s="1872" t="s">
        <v>11372</v>
      </c>
      <c r="L3" s="1862">
        <f>布料MA!W253+12000</f>
        <v>2627000</v>
      </c>
      <c r="M3" s="1862">
        <f>L3-J26</f>
        <v>-1379408</v>
      </c>
      <c r="O3" s="1862">
        <v>63000</v>
      </c>
    </row>
    <row r="4" s="20" customFormat="1" customHeight="1" spans="1:15">
      <c r="A4" s="1873" t="s">
        <v>11373</v>
      </c>
      <c r="B4" s="1874">
        <v>44530</v>
      </c>
      <c r="C4" s="132">
        <v>50000</v>
      </c>
      <c r="D4" s="132">
        <v>50000</v>
      </c>
      <c r="E4" s="132">
        <v>50000</v>
      </c>
      <c r="F4" s="132">
        <v>45000</v>
      </c>
      <c r="G4" s="132">
        <v>50000</v>
      </c>
      <c r="H4" s="132">
        <v>10000</v>
      </c>
      <c r="I4" s="132">
        <v>50000</v>
      </c>
      <c r="J4" s="1871">
        <f t="shared" ref="J4:J24" si="0">SUM(C4:I4)</f>
        <v>305000</v>
      </c>
      <c r="K4" s="1875">
        <v>44696</v>
      </c>
      <c r="N4" s="1862"/>
    </row>
    <row r="5" s="20" customFormat="1" customHeight="1" spans="1:15">
      <c r="A5" s="1873" t="s">
        <v>11374</v>
      </c>
      <c r="B5" s="1874">
        <v>44614</v>
      </c>
      <c r="C5" s="132">
        <v>50000</v>
      </c>
      <c r="D5" s="132">
        <v>50000</v>
      </c>
      <c r="E5" s="132">
        <v>50000</v>
      </c>
      <c r="F5" s="132">
        <v>45000</v>
      </c>
      <c r="G5" s="132">
        <v>50000</v>
      </c>
      <c r="H5" s="132">
        <v>10000</v>
      </c>
      <c r="I5" s="132">
        <v>50000</v>
      </c>
      <c r="J5" s="1871">
        <f t="shared" si="0"/>
        <v>305000</v>
      </c>
      <c r="K5" s="1875">
        <v>44732</v>
      </c>
      <c r="N5" s="1862"/>
      <c r="O5" s="1862"/>
    </row>
    <row r="6" s="20" customFormat="1" customHeight="1" spans="1:15">
      <c r="A6" s="1873" t="s">
        <v>11375</v>
      </c>
      <c r="B6" s="1874">
        <v>44638</v>
      </c>
      <c r="C6" s="132">
        <v>50000</v>
      </c>
      <c r="D6" s="132">
        <v>50000</v>
      </c>
      <c r="E6" s="132">
        <v>50000</v>
      </c>
      <c r="F6" s="132">
        <v>45000</v>
      </c>
      <c r="G6" s="132">
        <v>50000</v>
      </c>
      <c r="H6" s="132">
        <v>0</v>
      </c>
      <c r="I6" s="132">
        <v>50000</v>
      </c>
      <c r="J6" s="1871">
        <f t="shared" si="0"/>
        <v>295000</v>
      </c>
      <c r="K6" s="1875">
        <v>44762</v>
      </c>
      <c r="N6" s="1862"/>
      <c r="O6" s="1862"/>
    </row>
    <row r="7" s="20" customFormat="1" customHeight="1" spans="1:15">
      <c r="A7" s="1873" t="s">
        <v>11376</v>
      </c>
      <c r="B7" s="1874">
        <v>44665</v>
      </c>
      <c r="C7" s="132">
        <v>30000</v>
      </c>
      <c r="D7" s="132">
        <v>30000</v>
      </c>
      <c r="E7" s="132">
        <v>30000</v>
      </c>
      <c r="F7" s="132">
        <v>30000</v>
      </c>
      <c r="G7" s="132">
        <v>30000</v>
      </c>
      <c r="H7" s="132">
        <v>0</v>
      </c>
      <c r="I7" s="132">
        <v>30000</v>
      </c>
      <c r="J7" s="1871">
        <f t="shared" si="0"/>
        <v>180000</v>
      </c>
      <c r="K7" s="1875">
        <v>44766</v>
      </c>
      <c r="N7" s="1862"/>
      <c r="O7" s="1862"/>
    </row>
    <row r="8" s="20" customFormat="1" customHeight="1" spans="1:15">
      <c r="A8" s="1873" t="s">
        <v>11377</v>
      </c>
      <c r="B8" s="1876">
        <v>44719</v>
      </c>
      <c r="C8" s="132">
        <v>30000</v>
      </c>
      <c r="D8" s="132">
        <v>30000</v>
      </c>
      <c r="E8" s="132">
        <v>30000</v>
      </c>
      <c r="F8" s="132">
        <v>30000</v>
      </c>
      <c r="G8" s="20">
        <v>30000</v>
      </c>
      <c r="H8" s="132">
        <v>20000</v>
      </c>
      <c r="I8" s="132">
        <v>30000</v>
      </c>
      <c r="J8" s="1871">
        <f t="shared" si="0"/>
        <v>200000</v>
      </c>
      <c r="K8" s="1877">
        <v>44783</v>
      </c>
    </row>
    <row r="9" s="1862" customFormat="1" customHeight="1" spans="1:15">
      <c r="A9" s="1873" t="s">
        <v>11378</v>
      </c>
      <c r="B9" s="1876">
        <v>44728</v>
      </c>
      <c r="C9" s="132">
        <v>30000</v>
      </c>
      <c r="D9" s="132">
        <v>30000</v>
      </c>
      <c r="E9" s="132">
        <v>30000</v>
      </c>
      <c r="F9" s="132">
        <v>30000</v>
      </c>
      <c r="G9" s="132">
        <v>30000</v>
      </c>
      <c r="H9" s="132">
        <v>0</v>
      </c>
      <c r="I9" s="132">
        <v>30000</v>
      </c>
      <c r="J9" s="1871">
        <f t="shared" si="0"/>
        <v>180000</v>
      </c>
      <c r="K9" s="1877">
        <v>44793</v>
      </c>
    </row>
    <row r="10" s="20" customFormat="1" customHeight="1" spans="1:15">
      <c r="A10" s="1873" t="s">
        <v>11379</v>
      </c>
      <c r="B10" s="1876">
        <v>44768</v>
      </c>
      <c r="C10" s="132">
        <v>42000</v>
      </c>
      <c r="D10" s="132">
        <v>42000</v>
      </c>
      <c r="E10" s="132">
        <v>42000</v>
      </c>
      <c r="F10" s="132">
        <v>30000</v>
      </c>
      <c r="G10" s="132">
        <v>42000</v>
      </c>
      <c r="H10" s="132">
        <v>0</v>
      </c>
      <c r="I10" s="132">
        <v>42000</v>
      </c>
      <c r="J10" s="1871">
        <f t="shared" si="0"/>
        <v>240000</v>
      </c>
      <c r="K10" s="1877">
        <v>44839</v>
      </c>
    </row>
    <row r="11" s="1862" customFormat="1" customHeight="1" spans="1:15">
      <c r="A11" s="1873" t="s">
        <v>11380</v>
      </c>
      <c r="B11" s="1876">
        <v>44825</v>
      </c>
      <c r="C11" s="132">
        <v>40000</v>
      </c>
      <c r="D11" s="132">
        <v>40000</v>
      </c>
      <c r="E11" s="132">
        <v>40000</v>
      </c>
      <c r="F11" s="132">
        <v>40000</v>
      </c>
      <c r="G11" s="132">
        <v>40000</v>
      </c>
      <c r="H11" s="132">
        <v>0</v>
      </c>
      <c r="I11" s="132">
        <v>40000</v>
      </c>
      <c r="J11" s="1871">
        <f t="shared" si="0"/>
        <v>240000</v>
      </c>
      <c r="K11" s="1877">
        <v>44895</v>
      </c>
    </row>
    <row r="12" s="1862" customFormat="1" customHeight="1" spans="1:15">
      <c r="A12" s="1873" t="s">
        <v>11381</v>
      </c>
      <c r="B12" s="1876">
        <v>44895</v>
      </c>
      <c r="C12" s="132">
        <v>40000</v>
      </c>
      <c r="D12" s="132">
        <v>40000</v>
      </c>
      <c r="E12" s="132">
        <v>40000</v>
      </c>
      <c r="F12" s="132">
        <v>35000</v>
      </c>
      <c r="G12" s="132">
        <v>40000</v>
      </c>
      <c r="H12" s="132">
        <v>0</v>
      </c>
      <c r="I12" s="132">
        <v>40000</v>
      </c>
      <c r="J12" s="1871">
        <f t="shared" si="0"/>
        <v>235000</v>
      </c>
      <c r="K12" s="1877">
        <v>44967</v>
      </c>
    </row>
    <row r="13" s="20" customFormat="1" customHeight="1" spans="1:15">
      <c r="A13" s="1873" t="s">
        <v>11382</v>
      </c>
      <c r="B13" s="1876">
        <v>44966</v>
      </c>
      <c r="C13" s="132">
        <v>40000</v>
      </c>
      <c r="D13" s="132">
        <v>40000</v>
      </c>
      <c r="E13" s="132">
        <v>40000</v>
      </c>
      <c r="F13" s="132">
        <v>40000</v>
      </c>
      <c r="G13" s="132">
        <v>40000</v>
      </c>
      <c r="H13" s="132"/>
      <c r="I13" s="132">
        <v>40000</v>
      </c>
      <c r="J13" s="1871">
        <f t="shared" si="0"/>
        <v>240000</v>
      </c>
      <c r="K13" s="1877">
        <v>45026</v>
      </c>
    </row>
    <row r="14" s="20" customFormat="1" customHeight="1" spans="1:15">
      <c r="A14" s="1878" t="s">
        <v>65</v>
      </c>
      <c r="B14" s="1878"/>
      <c r="C14" s="132">
        <v>3000</v>
      </c>
      <c r="D14" s="132">
        <v>3000</v>
      </c>
      <c r="E14" s="132">
        <v>3000</v>
      </c>
      <c r="F14" s="132"/>
      <c r="G14" s="132">
        <v>3000</v>
      </c>
      <c r="H14" s="132"/>
      <c r="I14" s="132"/>
      <c r="J14" s="1871">
        <f t="shared" si="0"/>
        <v>12000</v>
      </c>
      <c r="K14" s="1877"/>
      <c r="L14" s="1879" t="s">
        <v>11383</v>
      </c>
    </row>
    <row r="15" s="20" customFormat="1" customHeight="1" spans="1:15">
      <c r="A15" s="1873" t="s">
        <v>11384</v>
      </c>
      <c r="B15" s="1876">
        <v>45056</v>
      </c>
      <c r="C15" s="132">
        <v>30000</v>
      </c>
      <c r="D15" s="132">
        <v>30000</v>
      </c>
      <c r="E15" s="132">
        <v>30000</v>
      </c>
      <c r="F15" s="132">
        <v>30000</v>
      </c>
      <c r="G15" s="132">
        <v>30000</v>
      </c>
      <c r="H15" s="132">
        <v>15000</v>
      </c>
      <c r="I15" s="132">
        <v>30000</v>
      </c>
      <c r="J15" s="1871">
        <f t="shared" si="0"/>
        <v>195000</v>
      </c>
      <c r="K15" s="1877">
        <v>45137</v>
      </c>
    </row>
    <row r="16" s="20" customFormat="1" customHeight="1" spans="1:15">
      <c r="A16" s="1878" t="s">
        <v>65</v>
      </c>
      <c r="B16" s="1878"/>
      <c r="C16" s="132">
        <v>10000</v>
      </c>
      <c r="D16" s="132">
        <v>10000</v>
      </c>
      <c r="E16" s="132">
        <v>10000</v>
      </c>
      <c r="F16" s="132"/>
      <c r="G16" s="132">
        <v>10000</v>
      </c>
      <c r="H16" s="132"/>
      <c r="I16" s="132"/>
      <c r="J16" s="1871">
        <f t="shared" si="0"/>
        <v>40000</v>
      </c>
      <c r="K16" s="1877"/>
      <c r="L16" s="1879" t="s">
        <v>11383</v>
      </c>
    </row>
    <row r="17" s="20" customFormat="1" customHeight="1" spans="1:13">
      <c r="A17" s="1878" t="s">
        <v>65</v>
      </c>
      <c r="B17" s="1878"/>
      <c r="C17" s="132">
        <v>33000</v>
      </c>
      <c r="D17" s="132">
        <v>33000</v>
      </c>
      <c r="E17" s="132">
        <v>33000</v>
      </c>
      <c r="F17" s="132"/>
      <c r="G17" s="132">
        <v>33000</v>
      </c>
      <c r="H17" s="132"/>
      <c r="I17" s="132"/>
      <c r="J17" s="1871">
        <f t="shared" si="0"/>
        <v>132000</v>
      </c>
      <c r="K17" s="1877"/>
      <c r="L17" s="1880" t="s">
        <v>11385</v>
      </c>
    </row>
    <row r="18" s="20" customFormat="1" customHeight="1" spans="1:13">
      <c r="A18" s="1881" t="s">
        <v>65</v>
      </c>
      <c r="B18" s="1876">
        <v>45301</v>
      </c>
      <c r="C18" s="132">
        <v>30000</v>
      </c>
      <c r="D18" s="132">
        <v>30000</v>
      </c>
      <c r="E18" s="132">
        <v>30000</v>
      </c>
      <c r="F18" s="132"/>
      <c r="G18" s="132">
        <v>30000</v>
      </c>
      <c r="H18" s="132"/>
      <c r="I18" s="132"/>
      <c r="J18" s="1871">
        <f t="shared" si="0"/>
        <v>120000</v>
      </c>
      <c r="K18" s="1877"/>
      <c r="L18" s="1880" t="s">
        <v>11386</v>
      </c>
    </row>
    <row r="19" s="20" customFormat="1" customHeight="1" spans="1:13">
      <c r="A19" s="1881" t="s">
        <v>65</v>
      </c>
      <c r="B19" s="1876">
        <v>45352</v>
      </c>
      <c r="C19" s="132">
        <v>30000</v>
      </c>
      <c r="D19" s="132">
        <v>30000</v>
      </c>
      <c r="E19" s="132">
        <v>30000</v>
      </c>
      <c r="F19" s="132"/>
      <c r="G19" s="132">
        <v>30000</v>
      </c>
      <c r="H19" s="132"/>
      <c r="I19" s="132"/>
      <c r="J19" s="132">
        <f t="shared" si="0"/>
        <v>120000</v>
      </c>
      <c r="K19" s="1877"/>
      <c r="L19" s="1880" t="s">
        <v>11387</v>
      </c>
    </row>
    <row r="20" s="20" customFormat="1" customHeight="1" spans="1:13">
      <c r="A20" s="1881" t="s">
        <v>65</v>
      </c>
      <c r="B20" s="1876">
        <v>45455</v>
      </c>
      <c r="C20" s="132">
        <v>62500</v>
      </c>
      <c r="D20" s="132">
        <v>62500</v>
      </c>
      <c r="E20" s="132">
        <v>62500</v>
      </c>
      <c r="F20" s="132"/>
      <c r="G20" s="132">
        <v>62500</v>
      </c>
      <c r="H20" s="132"/>
      <c r="I20" s="132"/>
      <c r="J20" s="132">
        <f t="shared" si="0"/>
        <v>250000</v>
      </c>
      <c r="K20" s="1877"/>
      <c r="L20" s="1880"/>
    </row>
    <row r="21" s="20" customFormat="1" customHeight="1" spans="1:13">
      <c r="A21" s="1881" t="s">
        <v>65</v>
      </c>
      <c r="B21" s="1876">
        <v>45524</v>
      </c>
      <c r="C21" s="132">
        <v>50000</v>
      </c>
      <c r="D21" s="132">
        <v>50000</v>
      </c>
      <c r="E21" s="132">
        <v>50000</v>
      </c>
      <c r="F21" s="132"/>
      <c r="G21" s="132">
        <v>50000</v>
      </c>
      <c r="H21" s="132"/>
      <c r="I21" s="132"/>
      <c r="J21" s="132">
        <f t="shared" si="0"/>
        <v>200000</v>
      </c>
      <c r="K21" s="1877"/>
      <c r="L21" s="1880"/>
    </row>
    <row r="22" s="20" customFormat="1" customHeight="1" spans="1:13">
      <c r="A22" s="1882" t="s">
        <v>65</v>
      </c>
      <c r="B22" s="1883">
        <v>45575</v>
      </c>
      <c r="C22" s="1884">
        <v>55750</v>
      </c>
      <c r="D22" s="1884">
        <v>55750</v>
      </c>
      <c r="E22" s="1884">
        <v>55750</v>
      </c>
      <c r="F22" s="1884"/>
      <c r="G22" s="1884">
        <v>55750</v>
      </c>
      <c r="H22" s="1884"/>
      <c r="I22" s="1884"/>
      <c r="J22" s="1884">
        <f t="shared" si="0"/>
        <v>223000</v>
      </c>
      <c r="K22" s="1885"/>
      <c r="L22" s="1880"/>
    </row>
    <row r="23" s="20" customFormat="1" customHeight="1" spans="1:13">
      <c r="A23" s="1882"/>
      <c r="B23" s="1883"/>
      <c r="C23" s="1884"/>
      <c r="D23" s="1884"/>
      <c r="E23" s="1884"/>
      <c r="F23" s="1884">
        <v>-3938</v>
      </c>
      <c r="G23" s="1884"/>
      <c r="H23" s="1884">
        <v>1798</v>
      </c>
      <c r="I23" s="1884"/>
      <c r="J23" s="1884">
        <f t="shared" si="0"/>
        <v>-2140</v>
      </c>
      <c r="K23" s="1885"/>
      <c r="L23" s="1880"/>
    </row>
    <row r="24" s="20" customFormat="1" customHeight="1" spans="1:13">
      <c r="A24" s="1882" t="s">
        <v>65</v>
      </c>
      <c r="B24" s="1883">
        <v>45800</v>
      </c>
      <c r="C24" s="1884">
        <v>74137</v>
      </c>
      <c r="D24" s="1884">
        <v>74137</v>
      </c>
      <c r="E24" s="1884">
        <v>74137</v>
      </c>
      <c r="F24" s="1884"/>
      <c r="G24" s="1884">
        <v>74137</v>
      </c>
      <c r="H24" s="1884"/>
      <c r="I24" s="1884"/>
      <c r="J24" s="1884">
        <f t="shared" si="0"/>
        <v>296548</v>
      </c>
      <c r="K24" s="1885"/>
      <c r="L24" s="1880"/>
    </row>
    <row r="25" s="20" customFormat="1" customHeight="1" spans="1:13">
      <c r="A25" s="1881"/>
      <c r="B25" s="1876"/>
      <c r="C25" s="132"/>
      <c r="D25" s="132"/>
      <c r="E25" s="132"/>
      <c r="F25" s="132"/>
      <c r="G25" s="132"/>
      <c r="H25" s="132"/>
      <c r="I25" s="132"/>
      <c r="J25" s="132"/>
      <c r="K25" s="1877"/>
      <c r="L25" s="1880"/>
    </row>
    <row r="26" s="1862" customFormat="1" customHeight="1" spans="1:13">
      <c r="A26" s="1886"/>
      <c r="B26" s="1887" t="s">
        <v>11388</v>
      </c>
      <c r="C26" s="1887">
        <f>SUM(C4:C25)</f>
        <v>780387</v>
      </c>
      <c r="D26" s="1887">
        <f>SUM(D4:D25)</f>
        <v>780387</v>
      </c>
      <c r="E26" s="1887">
        <f>SUM(E4:E25)</f>
        <v>780387</v>
      </c>
      <c r="F26" s="1887">
        <f>SUM(F4:F25)</f>
        <v>396062</v>
      </c>
      <c r="G26" s="1887">
        <f>SUM(G4:G25)</f>
        <v>780387</v>
      </c>
      <c r="H26" s="1887">
        <f>SUM(H4:H23)</f>
        <v>56798</v>
      </c>
      <c r="I26" s="1887">
        <f>SUM(I4:I23)</f>
        <v>432000</v>
      </c>
      <c r="J26" s="1887">
        <f>SUM(C26:I26)</f>
        <v>4006408</v>
      </c>
      <c r="K26" s="1888"/>
    </row>
    <row r="27" s="1862" customFormat="1" customHeight="1" spans="1:13">
      <c r="A27" s="1889" t="s">
        <v>11389</v>
      </c>
      <c r="B27" s="1887"/>
      <c r="C27" s="1890">
        <v>264696.4</v>
      </c>
      <c r="D27" s="1890">
        <v>265560.4</v>
      </c>
      <c r="E27" s="1890">
        <v>265200.4</v>
      </c>
      <c r="F27" s="1890">
        <v>238780.6</v>
      </c>
      <c r="G27" s="1890">
        <v>265560.4</v>
      </c>
      <c r="H27" s="1890">
        <v>26237.4</v>
      </c>
      <c r="I27" s="1890">
        <v>265560.4</v>
      </c>
      <c r="J27" s="1890">
        <f>SUM(C27:I27)</f>
        <v>1591596</v>
      </c>
      <c r="K27" s="1888"/>
    </row>
    <row r="28" s="1862" customFormat="1" customHeight="1" spans="1:13">
      <c r="A28" s="1889" t="s">
        <v>11390</v>
      </c>
      <c r="B28" s="1891"/>
      <c r="C28" s="1890">
        <v>162103.904761905</v>
      </c>
      <c r="D28" s="1890">
        <v>169529.304761905</v>
      </c>
      <c r="E28" s="1890">
        <v>168481.904761905</v>
      </c>
      <c r="F28" s="1890">
        <v>140955.171428571</v>
      </c>
      <c r="G28" s="1890">
        <v>162719.904761905</v>
      </c>
      <c r="H28" s="1890">
        <v>15709.5047619048</v>
      </c>
      <c r="I28" s="1890">
        <v>156044.304761905</v>
      </c>
      <c r="J28" s="1890">
        <f>SUM(C28:I28)</f>
        <v>975544.000000001</v>
      </c>
      <c r="K28" s="1888"/>
    </row>
    <row r="29" s="1862" customFormat="1" customHeight="1" spans="1:13">
      <c r="A29" s="1889" t="s">
        <v>11391</v>
      </c>
      <c r="B29" s="1891"/>
      <c r="C29" s="1890">
        <v>154843.8</v>
      </c>
      <c r="D29" s="1890">
        <v>150914.2</v>
      </c>
      <c r="E29" s="1890">
        <v>150036.55</v>
      </c>
      <c r="F29" s="1890">
        <v>16325.95</v>
      </c>
      <c r="G29" s="1890">
        <v>153863.8</v>
      </c>
      <c r="H29" s="1890">
        <v>14850.75</v>
      </c>
      <c r="I29" s="1890">
        <v>4578.95000000001</v>
      </c>
      <c r="J29" s="1890">
        <f>SUM(C29:I29)</f>
        <v>645414</v>
      </c>
      <c r="K29" s="1888"/>
    </row>
    <row r="30" s="1862" customFormat="1" customHeight="1" spans="1:13">
      <c r="A30" s="1886"/>
      <c r="B30" s="1887" t="s">
        <v>11392</v>
      </c>
      <c r="C30" s="1892">
        <f>'9259'!BC84+C27+C28+C29</f>
        <v>767569.104761905</v>
      </c>
      <c r="D30" s="1892">
        <f>'9259'!BD84+D27+D28+D29</f>
        <v>771928.904761905</v>
      </c>
      <c r="E30" s="1892">
        <f>'9259'!BE84+E27+E28+E29</f>
        <v>769643.854761905</v>
      </c>
      <c r="F30" s="1892">
        <f>'9259'!BF84+F27+F28+F29</f>
        <v>396061.721428571</v>
      </c>
      <c r="G30" s="1892">
        <f>'9259'!BG84+G27+G28+G29</f>
        <v>768069.104761905</v>
      </c>
      <c r="H30" s="1892">
        <f>'9259'!BH84+H27+H28+H29</f>
        <v>56797.6547619048</v>
      </c>
      <c r="I30" s="1892">
        <f>'9259'!BI84+I27+I28+I29</f>
        <v>426183.654761905</v>
      </c>
      <c r="J30" s="1892">
        <f>SUM(C30:I30)</f>
        <v>3956254</v>
      </c>
      <c r="K30" s="1888"/>
    </row>
    <row r="31" s="1862" customFormat="1" customHeight="1" spans="1:13">
      <c r="A31" s="1886"/>
      <c r="B31" s="1887"/>
      <c r="C31" s="1892"/>
      <c r="D31" s="1892"/>
      <c r="E31" s="1892"/>
      <c r="F31" s="1892"/>
      <c r="G31" s="1892"/>
      <c r="H31" s="1892"/>
      <c r="I31" s="1892"/>
      <c r="J31" s="1887"/>
      <c r="K31" s="1888"/>
      <c r="L31" s="1893"/>
      <c r="M31" s="1893"/>
    </row>
    <row r="32" s="1862" customFormat="1" customHeight="1" spans="1:13">
      <c r="A32" s="1886"/>
      <c r="B32" s="1887" t="s">
        <v>11393</v>
      </c>
      <c r="C32" s="1892">
        <f>C26-C30</f>
        <v>12817.895238095</v>
      </c>
      <c r="D32" s="1892">
        <f t="shared" ref="D32:J32" si="1">D26-D30</f>
        <v>8458.09523809492</v>
      </c>
      <c r="E32" s="1892">
        <f t="shared" si="1"/>
        <v>10743.145238095</v>
      </c>
      <c r="F32" s="1892">
        <f t="shared" si="1"/>
        <v>0.278571429022122</v>
      </c>
      <c r="G32" s="1892">
        <f t="shared" si="1"/>
        <v>12317.895238095</v>
      </c>
      <c r="H32" s="1892">
        <f t="shared" si="1"/>
        <v>0.34523809520033</v>
      </c>
      <c r="I32" s="1892">
        <f t="shared" si="1"/>
        <v>5816.34523809497</v>
      </c>
      <c r="J32" s="1892">
        <f t="shared" si="1"/>
        <v>50153.9999999995</v>
      </c>
      <c r="K32" s="1888"/>
      <c r="L32" s="1893"/>
      <c r="M32" s="1894">
        <f>F32+H32</f>
        <v>0.623809524222452</v>
      </c>
    </row>
    <row r="33" s="1862" customFormat="1" customHeight="1" spans="1:26">
      <c r="A33" s="1895"/>
      <c r="B33" s="1896" t="s">
        <v>11394</v>
      </c>
      <c r="C33" s="1897">
        <f>SUM(C32:I32)</f>
        <v>50153.999999999</v>
      </c>
      <c r="D33" s="1898"/>
      <c r="E33" s="1898"/>
      <c r="F33" s="1898"/>
      <c r="G33" s="1898"/>
      <c r="H33" s="1898"/>
      <c r="I33" s="1898"/>
      <c r="J33" s="1899"/>
      <c r="K33" s="1900"/>
    </row>
    <row r="34" customHeight="1" spans="1:26">
      <c r="B34" s="1893"/>
      <c r="C34" s="1893">
        <v>693431.604761905</v>
      </c>
      <c r="D34" s="1893">
        <v>697791.404761905</v>
      </c>
      <c r="E34" s="1893">
        <v>695506.354761905</v>
      </c>
      <c r="F34" s="1893">
        <v>396061.721428571</v>
      </c>
      <c r="G34" s="1893">
        <v>693931.604761905</v>
      </c>
      <c r="H34" s="1893">
        <v>56797.6547619048</v>
      </c>
      <c r="I34" s="1893">
        <v>426183.654761905</v>
      </c>
      <c r="J34" s="1893">
        <v>3659704</v>
      </c>
    </row>
    <row r="35" customHeight="1" spans="1:26">
      <c r="C35" s="1893">
        <f t="shared" ref="C35:J35" si="2">C34-C30</f>
        <v>-74137.5</v>
      </c>
      <c r="D35" s="1893">
        <f t="shared" si="2"/>
        <v>-74137.5000000001</v>
      </c>
      <c r="E35" s="1893">
        <f t="shared" si="2"/>
        <v>-74137.5</v>
      </c>
      <c r="F35" s="1893">
        <f t="shared" si="2"/>
        <v>0</v>
      </c>
      <c r="G35" s="1893">
        <f t="shared" si="2"/>
        <v>-74137.5</v>
      </c>
      <c r="H35" s="1893">
        <f t="shared" si="2"/>
        <v>0</v>
      </c>
      <c r="I35" s="1893">
        <f t="shared" si="2"/>
        <v>0</v>
      </c>
      <c r="J35" s="1893">
        <f t="shared" si="2"/>
        <v>-296550</v>
      </c>
    </row>
    <row r="36" customHeight="1" spans="1:26">
      <c r="C36" s="1893"/>
      <c r="D36" s="1893"/>
      <c r="E36" s="1893"/>
      <c r="F36" s="1893"/>
      <c r="G36" s="1893"/>
      <c r="H36" s="1893"/>
      <c r="I36" s="1893"/>
      <c r="J36" s="1893"/>
    </row>
    <row r="37" customHeight="1" spans="1:26">
      <c r="A37" s="1864" t="s">
        <v>11395</v>
      </c>
      <c r="B37" s="1865"/>
      <c r="C37" s="1865"/>
      <c r="D37" s="1865"/>
      <c r="E37" s="1865"/>
      <c r="F37" s="1865"/>
      <c r="G37" s="1865"/>
      <c r="H37" s="1865"/>
      <c r="I37" s="1865"/>
      <c r="J37" s="1865"/>
      <c r="K37" s="1866"/>
      <c r="L37" s="1862" t="s">
        <v>11367</v>
      </c>
      <c r="M37" s="1863" t="s">
        <v>11368</v>
      </c>
      <c r="N37" s="1864" t="s">
        <v>11396</v>
      </c>
      <c r="O37" s="1865"/>
      <c r="P37" s="1865"/>
      <c r="Q37" s="1865"/>
      <c r="R37" s="1865"/>
      <c r="S37" s="1865"/>
      <c r="T37" s="1865"/>
      <c r="U37" s="1865"/>
      <c r="V37" s="1865"/>
      <c r="W37" s="1865"/>
      <c r="X37" s="1866"/>
      <c r="Z37" s="1863"/>
    </row>
    <row r="38" customHeight="1" spans="1:26">
      <c r="A38" s="1867" t="s">
        <v>10539</v>
      </c>
      <c r="B38" s="1868" t="s">
        <v>10540</v>
      </c>
      <c r="C38" s="1901" t="s">
        <v>11397</v>
      </c>
      <c r="D38" s="1901" t="s">
        <v>10898</v>
      </c>
      <c r="E38" s="1901" t="s">
        <v>10892</v>
      </c>
      <c r="F38" s="1901" t="s">
        <v>10910</v>
      </c>
      <c r="G38" s="1901" t="s">
        <v>10903</v>
      </c>
      <c r="H38" s="1901" t="s">
        <v>10915</v>
      </c>
      <c r="I38" s="1901" t="s">
        <v>11398</v>
      </c>
      <c r="J38" s="1871" t="s">
        <v>11371</v>
      </c>
      <c r="K38" s="1872" t="s">
        <v>11372</v>
      </c>
      <c r="L38" s="1862">
        <f>布料MA!AG345</f>
        <v>3803000</v>
      </c>
      <c r="M38" s="1902">
        <f>L38-J52-W53</f>
        <v>0</v>
      </c>
      <c r="N38" s="1867" t="s">
        <v>10539</v>
      </c>
      <c r="O38" s="1868" t="s">
        <v>10540</v>
      </c>
      <c r="P38" s="1901" t="s">
        <v>11397</v>
      </c>
      <c r="Q38" s="1901" t="s">
        <v>10898</v>
      </c>
      <c r="R38" s="1901" t="s">
        <v>10892</v>
      </c>
      <c r="S38" s="1901" t="s">
        <v>10910</v>
      </c>
      <c r="T38" s="1901" t="s">
        <v>10903</v>
      </c>
      <c r="U38" s="1901" t="s">
        <v>10915</v>
      </c>
      <c r="V38" s="1901" t="s">
        <v>11398</v>
      </c>
      <c r="W38" s="1871" t="s">
        <v>11371</v>
      </c>
      <c r="X38" s="1872" t="s">
        <v>11372</v>
      </c>
    </row>
    <row r="39" customHeight="1" spans="1:26">
      <c r="A39" s="1873" t="s">
        <v>11399</v>
      </c>
      <c r="B39" s="1874">
        <v>44896</v>
      </c>
      <c r="C39" s="132">
        <v>20000</v>
      </c>
      <c r="D39" s="132">
        <v>30000</v>
      </c>
      <c r="E39" s="132">
        <v>30000</v>
      </c>
      <c r="F39" s="132">
        <v>30000</v>
      </c>
      <c r="G39" s="132">
        <v>30000</v>
      </c>
      <c r="H39" s="132">
        <v>30000</v>
      </c>
      <c r="I39" s="132">
        <v>30000</v>
      </c>
      <c r="J39" s="1871">
        <f>SUM(C39:I39)</f>
        <v>200000</v>
      </c>
      <c r="K39" s="1875">
        <v>44661</v>
      </c>
      <c r="L39" s="1862" t="s">
        <v>11400</v>
      </c>
      <c r="N39" s="1873" t="s">
        <v>11401</v>
      </c>
      <c r="O39" s="1876">
        <v>45244</v>
      </c>
      <c r="P39" s="132">
        <v>10000</v>
      </c>
      <c r="Q39" s="132">
        <v>30000</v>
      </c>
      <c r="R39" s="132">
        <v>30000</v>
      </c>
      <c r="S39" s="132">
        <v>30000</v>
      </c>
      <c r="T39" s="132">
        <v>30000</v>
      </c>
      <c r="U39" s="132">
        <v>30000</v>
      </c>
      <c r="V39" s="132">
        <v>30000</v>
      </c>
      <c r="W39" s="132">
        <f t="shared" ref="W39:W44" si="3">SUM(P39:V39)</f>
        <v>190000</v>
      </c>
      <c r="X39" s="1877">
        <v>45294</v>
      </c>
    </row>
    <row r="40" s="20" customFormat="1" customHeight="1" spans="1:26">
      <c r="A40" s="1873" t="s">
        <v>11402</v>
      </c>
      <c r="B40" s="1876">
        <v>44966</v>
      </c>
      <c r="C40" s="132"/>
      <c r="D40" s="132">
        <v>40000</v>
      </c>
      <c r="E40" s="132">
        <v>40000</v>
      </c>
      <c r="F40" s="132">
        <v>40000</v>
      </c>
      <c r="G40" s="132">
        <v>40000</v>
      </c>
      <c r="H40" s="132">
        <v>40000</v>
      </c>
      <c r="I40" s="132">
        <v>40000</v>
      </c>
      <c r="J40" s="1871">
        <f>SUM(C40:I40)</f>
        <v>240000</v>
      </c>
      <c r="K40" s="1877">
        <v>45046</v>
      </c>
      <c r="L40" s="20" t="s">
        <v>11403</v>
      </c>
      <c r="N40" s="1873" t="s">
        <v>11404</v>
      </c>
      <c r="O40" s="1876">
        <v>45282</v>
      </c>
      <c r="P40" s="132"/>
      <c r="Q40" s="132">
        <v>30000</v>
      </c>
      <c r="R40" s="132">
        <v>35000</v>
      </c>
      <c r="S40" s="132">
        <v>32000</v>
      </c>
      <c r="T40" s="132">
        <v>32000</v>
      </c>
      <c r="U40" s="132">
        <v>32000</v>
      </c>
      <c r="V40" s="132">
        <v>32000</v>
      </c>
      <c r="W40" s="132">
        <f t="shared" si="3"/>
        <v>193000</v>
      </c>
      <c r="X40" s="1877">
        <v>45360</v>
      </c>
    </row>
    <row r="41" s="1862" customFormat="1" customHeight="1" spans="1:26">
      <c r="A41" s="1873" t="s">
        <v>11405</v>
      </c>
      <c r="B41" s="1876">
        <v>45006</v>
      </c>
      <c r="C41" s="132"/>
      <c r="D41" s="132">
        <v>30000</v>
      </c>
      <c r="E41" s="132">
        <v>40000</v>
      </c>
      <c r="F41" s="132">
        <v>40000</v>
      </c>
      <c r="G41" s="132">
        <v>40000</v>
      </c>
      <c r="H41" s="132">
        <v>40000</v>
      </c>
      <c r="I41" s="132">
        <v>40000</v>
      </c>
      <c r="J41" s="132">
        <f>SUM(C41:I41)</f>
        <v>230000</v>
      </c>
      <c r="K41" s="1877">
        <v>45090</v>
      </c>
      <c r="L41" s="20" t="s">
        <v>11403</v>
      </c>
      <c r="N41" s="1873" t="s">
        <v>11406</v>
      </c>
      <c r="O41" s="1876">
        <v>45310</v>
      </c>
      <c r="P41" s="132"/>
      <c r="Q41" s="132">
        <v>30000</v>
      </c>
      <c r="R41" s="132">
        <v>30000</v>
      </c>
      <c r="S41" s="132">
        <v>30000</v>
      </c>
      <c r="T41" s="132">
        <v>30000</v>
      </c>
      <c r="U41" s="132">
        <v>30000</v>
      </c>
      <c r="V41" s="132">
        <v>30000</v>
      </c>
      <c r="W41" s="132">
        <f t="shared" si="3"/>
        <v>180000</v>
      </c>
      <c r="X41" s="1877">
        <v>45388</v>
      </c>
      <c r="Y41" s="1903" t="s">
        <v>11407</v>
      </c>
    </row>
    <row r="42" s="20" customFormat="1" customHeight="1" spans="1:26">
      <c r="A42" s="1873" t="s">
        <v>11408</v>
      </c>
      <c r="B42" s="1876">
        <v>45030</v>
      </c>
      <c r="C42" s="132"/>
      <c r="D42" s="132">
        <v>30000</v>
      </c>
      <c r="E42" s="132">
        <v>35000</v>
      </c>
      <c r="F42" s="132">
        <v>35000</v>
      </c>
      <c r="G42" s="132">
        <v>35000</v>
      </c>
      <c r="H42" s="132">
        <v>35000</v>
      </c>
      <c r="I42" s="132">
        <v>35000</v>
      </c>
      <c r="J42" s="132">
        <f>SUM(D42:I42)</f>
        <v>205000</v>
      </c>
      <c r="K42" s="1877">
        <v>45122</v>
      </c>
      <c r="L42" s="20" t="s">
        <v>11403</v>
      </c>
      <c r="N42" s="1873" t="s">
        <v>11409</v>
      </c>
      <c r="O42" s="1876">
        <v>45392</v>
      </c>
      <c r="P42" s="132">
        <v>10000</v>
      </c>
      <c r="Q42" s="132">
        <v>30000</v>
      </c>
      <c r="R42" s="132">
        <v>35000</v>
      </c>
      <c r="S42" s="132">
        <v>30000</v>
      </c>
      <c r="T42" s="132">
        <v>35000</v>
      </c>
      <c r="U42" s="132">
        <v>35000</v>
      </c>
      <c r="V42" s="132">
        <v>35000</v>
      </c>
      <c r="W42" s="132">
        <f t="shared" si="3"/>
        <v>210000</v>
      </c>
      <c r="X42" s="1877">
        <v>45442</v>
      </c>
      <c r="Y42" s="1880" t="s">
        <v>11410</v>
      </c>
      <c r="Z42" s="20" t="s">
        <v>11411</v>
      </c>
    </row>
    <row r="43" s="1862" customFormat="1" customHeight="1" spans="1:26">
      <c r="A43" s="1873" t="s">
        <v>11412</v>
      </c>
      <c r="B43" s="1876">
        <v>45056</v>
      </c>
      <c r="C43" s="132"/>
      <c r="D43" s="132">
        <v>39000</v>
      </c>
      <c r="E43" s="132">
        <v>42000</v>
      </c>
      <c r="F43" s="132">
        <v>42000</v>
      </c>
      <c r="G43" s="132">
        <v>42000</v>
      </c>
      <c r="H43" s="132">
        <v>42000</v>
      </c>
      <c r="I43" s="132">
        <v>42000</v>
      </c>
      <c r="J43" s="132">
        <f>SUM(D43:I43)</f>
        <v>249000</v>
      </c>
      <c r="K43" s="1877">
        <v>45163</v>
      </c>
      <c r="L43" s="20" t="s">
        <v>11403</v>
      </c>
      <c r="N43" s="1873" t="s">
        <v>11413</v>
      </c>
      <c r="O43" s="1876">
        <v>45456</v>
      </c>
      <c r="P43" s="132"/>
      <c r="Q43" s="132">
        <v>30000</v>
      </c>
      <c r="R43" s="132">
        <v>30000</v>
      </c>
      <c r="S43" s="132">
        <v>30000</v>
      </c>
      <c r="T43" s="132">
        <v>30000</v>
      </c>
      <c r="U43" s="132">
        <v>30000</v>
      </c>
      <c r="V43" s="132">
        <v>30000</v>
      </c>
      <c r="W43" s="132">
        <f t="shared" si="3"/>
        <v>180000</v>
      </c>
      <c r="X43" s="1877">
        <v>45503</v>
      </c>
      <c r="Y43" s="1880" t="s">
        <v>11410</v>
      </c>
      <c r="Z43" s="1862" t="s">
        <v>11414</v>
      </c>
    </row>
    <row r="44" s="20" customFormat="1" customHeight="1" spans="1:26">
      <c r="A44" s="1873" t="s">
        <v>11415</v>
      </c>
      <c r="B44" s="1876">
        <v>45111</v>
      </c>
      <c r="C44" s="132">
        <v>20000</v>
      </c>
      <c r="D44" s="132">
        <v>36000</v>
      </c>
      <c r="E44" s="132">
        <v>35000</v>
      </c>
      <c r="F44" s="132">
        <v>35000</v>
      </c>
      <c r="G44" s="132">
        <v>35000</v>
      </c>
      <c r="H44" s="132">
        <v>35000</v>
      </c>
      <c r="I44" s="132">
        <v>38000</v>
      </c>
      <c r="J44" s="132">
        <f>SUM(C44:I44)</f>
        <v>234000</v>
      </c>
      <c r="K44" s="1877">
        <v>45184</v>
      </c>
      <c r="L44" s="20" t="s">
        <v>11403</v>
      </c>
      <c r="N44" s="1873" t="s">
        <v>11416</v>
      </c>
      <c r="O44" s="1876">
        <v>45499</v>
      </c>
      <c r="P44" s="132"/>
      <c r="Q44" s="132">
        <v>30000</v>
      </c>
      <c r="R44" s="132">
        <v>40000</v>
      </c>
      <c r="S44" s="132">
        <v>40000</v>
      </c>
      <c r="T44" s="132">
        <v>40000</v>
      </c>
      <c r="U44" s="132">
        <v>40000</v>
      </c>
      <c r="V44" s="132">
        <v>40000</v>
      </c>
      <c r="W44" s="132">
        <f t="shared" si="3"/>
        <v>230000</v>
      </c>
      <c r="X44" s="1877">
        <v>45553</v>
      </c>
      <c r="Y44" s="1904" t="s">
        <v>11410</v>
      </c>
    </row>
    <row r="45" s="20" customFormat="1" customHeight="1" spans="1:26">
      <c r="A45" s="1873" t="s">
        <v>11417</v>
      </c>
      <c r="B45" s="1876">
        <v>45134</v>
      </c>
      <c r="C45" s="132"/>
      <c r="D45" s="132">
        <v>32000</v>
      </c>
      <c r="E45" s="132">
        <v>35000</v>
      </c>
      <c r="F45" s="132">
        <v>35000</v>
      </c>
      <c r="G45" s="132">
        <v>35000</v>
      </c>
      <c r="H45" s="132">
        <v>35000</v>
      </c>
      <c r="I45" s="132">
        <v>35000</v>
      </c>
      <c r="J45" s="132">
        <f>SUM(C45:I45)</f>
        <v>207000</v>
      </c>
      <c r="K45" s="1877">
        <v>45213</v>
      </c>
      <c r="L45" s="20" t="s">
        <v>11403</v>
      </c>
      <c r="N45" s="1873"/>
      <c r="O45" s="1876"/>
      <c r="P45" s="132"/>
      <c r="Q45" s="1905">
        <f t="shared" ref="Q45:V45" si="4">-D47</f>
        <v>-30520</v>
      </c>
      <c r="R45" s="1905">
        <f t="shared" si="4"/>
        <v>-18703</v>
      </c>
      <c r="S45" s="1905">
        <f t="shared" si="4"/>
        <v>-31167</v>
      </c>
      <c r="T45" s="1905">
        <f t="shared" si="4"/>
        <v>-21922</v>
      </c>
      <c r="U45" s="1905">
        <f t="shared" si="4"/>
        <v>-18222</v>
      </c>
      <c r="V45" s="1905">
        <f t="shared" si="4"/>
        <v>-21449</v>
      </c>
      <c r="W45" s="1905">
        <f t="shared" ref="W45:W50" si="5">SUM(Q45:V45)</f>
        <v>-141983</v>
      </c>
      <c r="X45" s="1877"/>
    </row>
    <row r="46" s="20" customFormat="1" customHeight="1" spans="1:26">
      <c r="A46" s="1873" t="s">
        <v>11418</v>
      </c>
      <c r="B46" s="1876">
        <v>45190</v>
      </c>
      <c r="C46" s="132"/>
      <c r="D46" s="132">
        <v>35000</v>
      </c>
      <c r="E46" s="132">
        <v>35000</v>
      </c>
      <c r="F46" s="132">
        <v>35000</v>
      </c>
      <c r="G46" s="132">
        <v>35000</v>
      </c>
      <c r="H46" s="132">
        <v>35000</v>
      </c>
      <c r="I46" s="132">
        <v>38000</v>
      </c>
      <c r="J46" s="132">
        <f>SUM(C46:I46)</f>
        <v>213000</v>
      </c>
      <c r="K46" s="1877">
        <v>45245</v>
      </c>
      <c r="L46" s="20" t="s">
        <v>11403</v>
      </c>
      <c r="M46" s="1904" t="s">
        <v>11419</v>
      </c>
      <c r="N46" s="1906">
        <v>45590</v>
      </c>
      <c r="O46" s="1876" t="s">
        <v>11420</v>
      </c>
      <c r="P46" s="132"/>
      <c r="Q46" s="132">
        <v>35000</v>
      </c>
      <c r="R46" s="132">
        <v>35000</v>
      </c>
      <c r="S46" s="132">
        <v>25000</v>
      </c>
      <c r="T46" s="132">
        <v>30000</v>
      </c>
      <c r="U46" s="132">
        <v>30000</v>
      </c>
      <c r="V46" s="132">
        <v>30000</v>
      </c>
      <c r="W46" s="132">
        <f t="shared" si="5"/>
        <v>185000</v>
      </c>
      <c r="X46" s="1877"/>
    </row>
    <row r="47" s="20" customFormat="1" customHeight="1" spans="1:26">
      <c r="A47" s="1873"/>
      <c r="B47" s="1878" t="s">
        <v>11421</v>
      </c>
      <c r="C47" s="1905">
        <v>8853</v>
      </c>
      <c r="D47" s="1905">
        <f>7099+5077+450+900+16994</f>
        <v>30520</v>
      </c>
      <c r="E47" s="1905">
        <f>11447-300+500+1000+6056</f>
        <v>18703</v>
      </c>
      <c r="F47" s="1905">
        <f>16202+500+1000+13465</f>
        <v>31167</v>
      </c>
      <c r="G47" s="1905">
        <f>11912+500+1000+8510</f>
        <v>21922</v>
      </c>
      <c r="H47" s="1905">
        <f>10811+500+1000+5911</f>
        <v>18222</v>
      </c>
      <c r="I47" s="1905">
        <f>11897+500+1000+8052</f>
        <v>21449</v>
      </c>
      <c r="J47" s="1905">
        <f>SUM(D47:I47)</f>
        <v>141983</v>
      </c>
      <c r="K47" s="1877"/>
      <c r="N47" s="1906">
        <v>45629</v>
      </c>
      <c r="O47" s="1876" t="s">
        <v>11422</v>
      </c>
      <c r="P47" s="132"/>
      <c r="Q47" s="132">
        <v>35000</v>
      </c>
      <c r="R47" s="132">
        <v>30000</v>
      </c>
      <c r="S47" s="132">
        <v>30000</v>
      </c>
      <c r="T47" s="132">
        <v>30000</v>
      </c>
      <c r="U47" s="132">
        <v>25000</v>
      </c>
      <c r="V47" s="132">
        <v>30000</v>
      </c>
      <c r="W47" s="132">
        <f t="shared" si="5"/>
        <v>180000</v>
      </c>
      <c r="X47" s="1877">
        <v>45713</v>
      </c>
    </row>
    <row r="48" s="20" customFormat="1" customHeight="1" spans="1:26">
      <c r="A48" s="1873"/>
      <c r="B48" s="1876"/>
      <c r="C48" s="1905"/>
      <c r="D48" s="132"/>
      <c r="E48" s="132"/>
      <c r="F48" s="132"/>
      <c r="G48" s="132"/>
      <c r="H48" s="132"/>
      <c r="I48" s="132"/>
      <c r="J48" s="132"/>
      <c r="K48" s="1877"/>
      <c r="N48" s="1906">
        <v>45709</v>
      </c>
      <c r="O48" s="1876" t="s">
        <v>11423</v>
      </c>
      <c r="P48" s="132"/>
      <c r="Q48" s="132">
        <v>30000</v>
      </c>
      <c r="R48" s="132">
        <v>25000</v>
      </c>
      <c r="S48" s="132">
        <v>30000</v>
      </c>
      <c r="T48" s="132">
        <v>30000</v>
      </c>
      <c r="U48" s="132">
        <v>25000</v>
      </c>
      <c r="V48" s="132">
        <v>30000</v>
      </c>
      <c r="W48" s="132">
        <f t="shared" si="5"/>
        <v>170000</v>
      </c>
      <c r="X48" s="1877">
        <v>45766</v>
      </c>
    </row>
    <row r="49" s="20" customFormat="1" customHeight="1" spans="1:26">
      <c r="A49" s="1873"/>
      <c r="B49" s="1876"/>
      <c r="C49" s="132"/>
      <c r="D49" s="132"/>
      <c r="E49" s="132"/>
      <c r="F49" s="132"/>
      <c r="G49" s="132"/>
      <c r="H49" s="132"/>
      <c r="I49" s="132"/>
      <c r="J49" s="132"/>
      <c r="K49" s="1877"/>
      <c r="N49" s="1906">
        <v>45757</v>
      </c>
      <c r="O49" s="1876" t="s">
        <v>11424</v>
      </c>
      <c r="P49" s="132"/>
      <c r="Q49" s="132">
        <v>12500</v>
      </c>
      <c r="R49" s="132">
        <v>12500</v>
      </c>
      <c r="S49" s="132">
        <v>12500</v>
      </c>
      <c r="T49" s="132">
        <v>12500</v>
      </c>
      <c r="U49" s="132"/>
      <c r="V49" s="132"/>
      <c r="W49" s="132">
        <f t="shared" si="5"/>
        <v>50000</v>
      </c>
      <c r="X49" s="1877">
        <v>45802</v>
      </c>
    </row>
    <row r="50" s="20" customFormat="1" customHeight="1" spans="1:26">
      <c r="A50" s="1873"/>
      <c r="B50" s="1876"/>
      <c r="C50" s="132"/>
      <c r="D50" s="132"/>
      <c r="E50" s="132"/>
      <c r="F50" s="132"/>
      <c r="G50" s="132"/>
      <c r="H50" s="132"/>
      <c r="I50" s="132"/>
      <c r="J50" s="132"/>
      <c r="K50" s="1877"/>
      <c r="N50" s="1906">
        <v>45846</v>
      </c>
      <c r="O50" s="1876" t="s">
        <v>11425</v>
      </c>
      <c r="P50" s="132"/>
      <c r="Q50" s="132">
        <v>10000</v>
      </c>
      <c r="R50" s="132">
        <v>20000</v>
      </c>
      <c r="S50" s="132">
        <v>20000</v>
      </c>
      <c r="T50" s="132">
        <v>20000</v>
      </c>
      <c r="U50" s="132">
        <v>30000</v>
      </c>
      <c r="V50" s="132">
        <v>30000</v>
      </c>
      <c r="W50" s="132">
        <f t="shared" si="5"/>
        <v>130000</v>
      </c>
      <c r="X50" s="1877">
        <v>45899</v>
      </c>
    </row>
    <row r="51" s="20" customFormat="1" customHeight="1" spans="1:26">
      <c r="A51" s="1873"/>
      <c r="B51" s="1876"/>
      <c r="C51" s="132"/>
      <c r="D51" s="132"/>
      <c r="E51" s="132"/>
      <c r="F51" s="132"/>
      <c r="G51" s="132"/>
      <c r="H51" s="132"/>
      <c r="I51" s="132"/>
      <c r="J51" s="132"/>
      <c r="K51" s="1877"/>
      <c r="N51" s="1907">
        <v>45881</v>
      </c>
      <c r="O51" s="1908" t="s">
        <v>11426</v>
      </c>
      <c r="P51" s="1909">
        <v>10000</v>
      </c>
      <c r="Q51" s="1909">
        <v>17000</v>
      </c>
      <c r="R51" s="1909">
        <v>20000</v>
      </c>
      <c r="S51" s="1909">
        <v>20000</v>
      </c>
      <c r="T51" s="1909">
        <v>20000</v>
      </c>
      <c r="U51" s="1909">
        <v>20000</v>
      </c>
      <c r="V51" s="1909">
        <v>20000</v>
      </c>
      <c r="W51" s="1909">
        <f>SUM(P51:V51)</f>
        <v>127000</v>
      </c>
      <c r="X51" s="1910">
        <v>45938</v>
      </c>
    </row>
    <row r="52" customHeight="1" spans="1:26">
      <c r="A52" s="1886"/>
      <c r="B52" s="1886" t="s">
        <v>11388</v>
      </c>
      <c r="C52" s="1887">
        <f>SUM(C39:C47)</f>
        <v>48853</v>
      </c>
      <c r="D52" s="1887">
        <f t="shared" ref="D52:J52" si="6">SUM(D39:D51)</f>
        <v>302520</v>
      </c>
      <c r="E52" s="1887">
        <f t="shared" si="6"/>
        <v>310703</v>
      </c>
      <c r="F52" s="1887">
        <f t="shared" si="6"/>
        <v>323167</v>
      </c>
      <c r="G52" s="1887">
        <f t="shared" si="6"/>
        <v>313922</v>
      </c>
      <c r="H52" s="1887">
        <f t="shared" si="6"/>
        <v>310222</v>
      </c>
      <c r="I52" s="1887">
        <f t="shared" si="6"/>
        <v>319449</v>
      </c>
      <c r="J52" s="1887">
        <f t="shared" si="6"/>
        <v>1919983</v>
      </c>
      <c r="K52" s="1888"/>
      <c r="M52" s="20"/>
      <c r="N52" s="1873"/>
      <c r="O52" s="1876"/>
      <c r="P52" s="1905"/>
      <c r="Q52" s="1905"/>
      <c r="R52" s="1905"/>
      <c r="S52" s="1905"/>
      <c r="T52" s="1905"/>
      <c r="U52" s="1905"/>
      <c r="V52" s="1905"/>
      <c r="W52" s="132"/>
      <c r="X52" s="1877"/>
    </row>
    <row r="53" customHeight="1" spans="1:26">
      <c r="A53" s="1911" t="s">
        <v>11390</v>
      </c>
      <c r="B53" s="1912"/>
      <c r="C53" s="1913">
        <v>28254.7833333335</v>
      </c>
      <c r="D53" s="1913">
        <v>263308.25</v>
      </c>
      <c r="E53" s="1913">
        <v>286121.633333333</v>
      </c>
      <c r="F53" s="1913">
        <v>285077.833333334</v>
      </c>
      <c r="G53" s="1913">
        <v>285184.033333333</v>
      </c>
      <c r="H53" s="1913">
        <v>286022.633333333</v>
      </c>
      <c r="I53" s="1913">
        <v>290978.833333333</v>
      </c>
      <c r="J53" s="1913">
        <v>1724948</v>
      </c>
      <c r="K53" s="1914"/>
      <c r="M53" s="1915">
        <f>J52+W53</f>
        <v>3803000</v>
      </c>
      <c r="N53" s="1886"/>
      <c r="O53" s="1887" t="s">
        <v>11388</v>
      </c>
      <c r="P53" s="1887">
        <f>SUM(P39:P52)</f>
        <v>30000</v>
      </c>
      <c r="Q53" s="1887">
        <f t="shared" ref="P53:W53" si="7">SUM(Q39:Q52)</f>
        <v>288980</v>
      </c>
      <c r="R53" s="1887">
        <f t="shared" si="7"/>
        <v>323797</v>
      </c>
      <c r="S53" s="1887">
        <f t="shared" si="7"/>
        <v>298333</v>
      </c>
      <c r="T53" s="1887">
        <f t="shared" si="7"/>
        <v>317578</v>
      </c>
      <c r="U53" s="1887">
        <f t="shared" si="7"/>
        <v>308778</v>
      </c>
      <c r="V53" s="1887">
        <f t="shared" si="7"/>
        <v>315551</v>
      </c>
      <c r="W53" s="1887">
        <f t="shared" si="7"/>
        <v>1883017</v>
      </c>
      <c r="X53" s="1888"/>
    </row>
    <row r="54" customHeight="1" spans="1:26">
      <c r="A54" s="1911" t="s">
        <v>11391</v>
      </c>
      <c r="B54" s="1912"/>
      <c r="C54" s="1913">
        <v>12307.9666666667</v>
      </c>
      <c r="D54" s="1913">
        <v>22217</v>
      </c>
      <c r="E54" s="1913">
        <v>18524.8</v>
      </c>
      <c r="F54" s="1913">
        <v>24624.333333333</v>
      </c>
      <c r="G54" s="1913">
        <v>20228.4</v>
      </c>
      <c r="H54" s="1913">
        <v>18288.8</v>
      </c>
      <c r="I54" s="1913">
        <v>20418</v>
      </c>
      <c r="J54" s="1913">
        <v>136609.300000001</v>
      </c>
      <c r="K54" s="1914"/>
      <c r="M54" s="1915">
        <f>M53-W48</f>
        <v>3633000</v>
      </c>
      <c r="N54" s="1911" t="s">
        <v>11427</v>
      </c>
      <c r="O54" s="1905"/>
      <c r="P54" s="1913">
        <v>20.5999999999967</v>
      </c>
      <c r="Q54" s="1913">
        <v>185.400000000001</v>
      </c>
      <c r="R54" s="1913">
        <v>205.999999999967</v>
      </c>
      <c r="S54" s="1913">
        <v>206</v>
      </c>
      <c r="T54" s="1913">
        <v>205.999999999967</v>
      </c>
      <c r="U54" s="1913">
        <v>205.999999999971</v>
      </c>
      <c r="V54" s="1913">
        <v>205.999999999967</v>
      </c>
      <c r="W54" s="1913">
        <f>SUM(P54:V54)</f>
        <v>1235.99999999987</v>
      </c>
      <c r="X54" s="1888"/>
    </row>
    <row r="55" customHeight="1" spans="1:26">
      <c r="A55" s="1886"/>
      <c r="B55" s="1887" t="s">
        <v>11392</v>
      </c>
      <c r="C55" s="1916">
        <f>'9279'!BS556+C53+C54</f>
        <v>41235.9500000002</v>
      </c>
      <c r="D55" s="1916">
        <f>'9279'!BT556+D53+D54</f>
        <v>285525.25</v>
      </c>
      <c r="E55" s="1916">
        <f>'9279'!BU556+E53+E54</f>
        <v>304646.433333333</v>
      </c>
      <c r="F55" s="1916">
        <f>'9279'!BV556+F53+F54</f>
        <v>309702.166666667</v>
      </c>
      <c r="G55" s="1916">
        <f>'9279'!BW556+G53+G54</f>
        <v>305412.433333333</v>
      </c>
      <c r="H55" s="1916">
        <f>'9279'!BX556+H53+H54</f>
        <v>304311.433333333</v>
      </c>
      <c r="I55" s="1916">
        <f>'9279'!BY556+I53+I54</f>
        <v>311396.833333333</v>
      </c>
      <c r="J55" s="1916">
        <f>SUM(C55:I55)</f>
        <v>1862230.5</v>
      </c>
      <c r="K55" s="1888"/>
      <c r="L55" s="1917" t="s">
        <v>11428</v>
      </c>
      <c r="M55" s="1918">
        <f>J52+W53</f>
        <v>3803000</v>
      </c>
      <c r="N55" s="1911" t="s">
        <v>11429</v>
      </c>
      <c r="O55" s="1905"/>
      <c r="P55" s="1913">
        <v>7328.08333333333</v>
      </c>
      <c r="Q55" s="1913">
        <v>174423.25</v>
      </c>
      <c r="R55" s="1913">
        <v>190089.3</v>
      </c>
      <c r="S55" s="1913">
        <v>170010.166666666</v>
      </c>
      <c r="T55" s="1913">
        <v>181855.1</v>
      </c>
      <c r="U55" s="1913">
        <v>178360.1</v>
      </c>
      <c r="V55" s="1913">
        <v>182939.9</v>
      </c>
      <c r="W55" s="1913">
        <f>SUM(P55:V55)</f>
        <v>1085005.9</v>
      </c>
      <c r="X55" s="1888"/>
    </row>
    <row r="56" customHeight="1" spans="1:26">
      <c r="A56" s="1886"/>
      <c r="B56" s="1887" t="s">
        <v>11430</v>
      </c>
      <c r="C56" s="1892"/>
      <c r="D56" s="1892"/>
      <c r="E56" s="1892"/>
      <c r="F56" s="1892"/>
      <c r="G56" s="1892"/>
      <c r="H56" s="1892"/>
      <c r="I56" s="1892"/>
      <c r="J56" s="1887"/>
      <c r="K56" s="1919"/>
      <c r="L56" s="1920" t="s">
        <v>11431</v>
      </c>
      <c r="M56" s="1921">
        <f>J55+W56</f>
        <v>3810890.8</v>
      </c>
      <c r="N56" s="1886"/>
      <c r="O56" s="1887" t="s">
        <v>11392</v>
      </c>
      <c r="P56" s="1916">
        <f>'9279'!BL556+P54+P55</f>
        <v>22722.5725988701</v>
      </c>
      <c r="Q56" s="1916">
        <f>'9279'!BM556+Q54+Q55</f>
        <v>305489.65</v>
      </c>
      <c r="R56" s="1916">
        <f>'9279'!BN556+R54+R55</f>
        <v>334667.07740113</v>
      </c>
      <c r="S56" s="1916">
        <f>'9279'!BO556+S54+S55</f>
        <v>314597.499999999</v>
      </c>
      <c r="T56" s="1916">
        <f>'9279'!BP556+T54+T55</f>
        <v>326326.833333333</v>
      </c>
      <c r="U56" s="1916">
        <f>'9279'!BQ556+U54+U55</f>
        <v>319005.033333333</v>
      </c>
      <c r="V56" s="1916">
        <f>'9279'!BR556+V54+V55</f>
        <v>325851.633333333</v>
      </c>
      <c r="W56" s="1892">
        <f>SUM(P56:V56)</f>
        <v>1948660.3</v>
      </c>
      <c r="X56" s="1888"/>
    </row>
    <row r="57" customHeight="1" spans="1:26">
      <c r="A57" s="1886"/>
      <c r="B57" s="1887" t="s">
        <v>11393</v>
      </c>
      <c r="C57" s="1916">
        <f>C52-C55-C56</f>
        <v>7617.0499999998</v>
      </c>
      <c r="D57" s="1916">
        <f t="shared" ref="D57:J57" si="8">D52-D55-D56</f>
        <v>16994.75</v>
      </c>
      <c r="E57" s="1916">
        <f t="shared" si="8"/>
        <v>6056.566666667</v>
      </c>
      <c r="F57" s="1916">
        <f t="shared" si="8"/>
        <v>13464.833333333</v>
      </c>
      <c r="G57" s="1916">
        <f t="shared" si="8"/>
        <v>8509.566666667</v>
      </c>
      <c r="H57" s="1916">
        <f t="shared" si="8"/>
        <v>5910.566666667</v>
      </c>
      <c r="I57" s="1916">
        <f t="shared" si="8"/>
        <v>8052.16666666698</v>
      </c>
      <c r="J57" s="1916">
        <f t="shared" si="8"/>
        <v>57752.5000000005</v>
      </c>
      <c r="K57" s="1919"/>
      <c r="L57" s="1922" t="s">
        <v>11432</v>
      </c>
      <c r="M57" s="1923">
        <f>M55-M56</f>
        <v>-7890.79999999888</v>
      </c>
      <c r="N57" s="1924"/>
      <c r="O57" s="1887" t="s">
        <v>11430</v>
      </c>
      <c r="P57" s="1892"/>
      <c r="Q57" s="1892"/>
      <c r="R57" s="1892"/>
      <c r="S57" s="1892"/>
      <c r="T57" s="1892"/>
      <c r="U57" s="1892"/>
      <c r="V57" s="1892"/>
      <c r="W57" s="1887"/>
      <c r="X57" s="1888"/>
    </row>
    <row r="58" customHeight="1" spans="1:26">
      <c r="A58" s="1895"/>
      <c r="B58" s="1896" t="s">
        <v>11394</v>
      </c>
      <c r="C58" s="1897">
        <f>SUM(C57:I57)</f>
        <v>66605.5000000007</v>
      </c>
      <c r="D58" s="1898"/>
      <c r="E58" s="1898"/>
      <c r="F58" s="1898"/>
      <c r="G58" s="1898"/>
      <c r="H58" s="1898"/>
      <c r="I58" s="1898"/>
      <c r="J58" s="1899"/>
      <c r="K58" s="1925"/>
      <c r="M58" s="1893"/>
      <c r="N58" s="1886"/>
      <c r="O58" s="1887" t="s">
        <v>11393</v>
      </c>
      <c r="P58" s="1916">
        <f>P53-P56-P57</f>
        <v>7277.42740112995</v>
      </c>
      <c r="Q58" s="1916">
        <f t="shared" ref="P58:V58" si="9">Q53-Q56-Q57</f>
        <v>-16509.65</v>
      </c>
      <c r="R58" s="1916">
        <f t="shared" si="9"/>
        <v>-10870.0774011299</v>
      </c>
      <c r="S58" s="1916">
        <f t="shared" si="9"/>
        <v>-16264.4999999993</v>
      </c>
      <c r="T58" s="1916">
        <f t="shared" si="9"/>
        <v>-8748.83333333326</v>
      </c>
      <c r="U58" s="1916">
        <f t="shared" si="9"/>
        <v>-10227.0333333334</v>
      </c>
      <c r="V58" s="1916">
        <f t="shared" si="9"/>
        <v>-10300.6333333333</v>
      </c>
      <c r="W58" s="1892">
        <f>SUM(W53-W56-W57)</f>
        <v>-65643.2999999993</v>
      </c>
      <c r="X58" s="1888"/>
    </row>
    <row r="59" customHeight="1" spans="1:26">
      <c r="B59" s="1863"/>
      <c r="C59" s="1893">
        <v>41395.9500000002</v>
      </c>
      <c r="D59" s="1893">
        <v>285526.25</v>
      </c>
      <c r="E59" s="1893">
        <v>304647.433333333</v>
      </c>
      <c r="F59" s="1893">
        <v>309702.166666667</v>
      </c>
      <c r="G59" s="1893">
        <v>305412.433333333</v>
      </c>
      <c r="H59" s="1893">
        <v>304311.433333333</v>
      </c>
      <c r="I59" s="1893">
        <v>311396.833333333</v>
      </c>
      <c r="J59" s="1893">
        <v>1862392.5</v>
      </c>
      <c r="L59" s="1862">
        <f>J55-J53</f>
        <v>137282.5</v>
      </c>
      <c r="M59" s="1893">
        <f>M56-J53-W56</f>
        <v>137282.5</v>
      </c>
      <c r="N59" s="1895"/>
      <c r="O59" s="1896" t="s">
        <v>11394</v>
      </c>
      <c r="P59" s="1926">
        <f>SUM(P58:V58)</f>
        <v>-65643.2999999993</v>
      </c>
      <c r="Q59" s="1927"/>
      <c r="R59" s="1927"/>
      <c r="S59" s="1927"/>
      <c r="T59" s="1927"/>
      <c r="U59" s="1927"/>
      <c r="V59" s="1927"/>
      <c r="W59" s="1928"/>
      <c r="X59" s="1900"/>
    </row>
    <row r="60" customHeight="1" spans="1:26">
      <c r="B60" s="1863"/>
      <c r="C60" s="1893">
        <f>C59-C55</f>
        <v>160</v>
      </c>
      <c r="D60" s="1893">
        <f t="shared" ref="D60:J60" si="10">D59-D55</f>
        <v>1</v>
      </c>
      <c r="E60" s="1893">
        <f t="shared" si="10"/>
        <v>1</v>
      </c>
      <c r="F60" s="1893">
        <f t="shared" si="10"/>
        <v>0</v>
      </c>
      <c r="G60" s="1893">
        <f t="shared" si="10"/>
        <v>0</v>
      </c>
      <c r="H60" s="1893">
        <f t="shared" si="10"/>
        <v>0</v>
      </c>
      <c r="I60" s="1893">
        <f t="shared" si="10"/>
        <v>0</v>
      </c>
      <c r="J60" s="1893">
        <f t="shared" si="10"/>
        <v>162.000000000466</v>
      </c>
      <c r="M60" s="1893"/>
      <c r="N60" s="1929"/>
      <c r="P60" s="1893">
        <v>9209.64999999999</v>
      </c>
      <c r="Q60" s="1893">
        <v>197416.15</v>
      </c>
      <c r="R60" s="1893">
        <v>215636.966666667</v>
      </c>
      <c r="S60" s="1893">
        <v>196085.833333333</v>
      </c>
      <c r="T60" s="1893">
        <v>209226.766666667</v>
      </c>
      <c r="U60" s="1893">
        <v>204219.766666667</v>
      </c>
      <c r="V60" s="1893">
        <v>210527.566666667</v>
      </c>
      <c r="W60" s="1862">
        <v>1243558.7</v>
      </c>
    </row>
    <row r="61" customHeight="1" spans="1:26">
      <c r="B61" s="1863"/>
      <c r="P61" s="1893">
        <f>P60-P56</f>
        <v>-13512.9225988701</v>
      </c>
      <c r="Q61" s="1893">
        <f t="shared" ref="Q61:W61" si="11">Q60-Q56</f>
        <v>-108073.5</v>
      </c>
      <c r="R61" s="1893">
        <f t="shared" si="11"/>
        <v>-119030.110734463</v>
      </c>
      <c r="S61" s="1893">
        <f t="shared" si="11"/>
        <v>-118511.666666666</v>
      </c>
      <c r="T61" s="1893">
        <f t="shared" si="11"/>
        <v>-117100.066666666</v>
      </c>
      <c r="U61" s="1893">
        <f t="shared" si="11"/>
        <v>-114785.266666666</v>
      </c>
      <c r="V61" s="1893">
        <f t="shared" si="11"/>
        <v>-115324.066666666</v>
      </c>
      <c r="W61" s="1893">
        <f t="shared" si="11"/>
        <v>-705101.599999999</v>
      </c>
    </row>
    <row r="62" customHeight="1" spans="1:26">
      <c r="A62" s="1864" t="s">
        <v>11433</v>
      </c>
      <c r="B62" s="1865"/>
      <c r="C62" s="1865"/>
      <c r="D62" s="1865"/>
      <c r="E62" s="1865"/>
      <c r="F62" s="1865"/>
      <c r="G62" s="1865"/>
      <c r="H62" s="1865"/>
      <c r="I62" s="1865"/>
      <c r="J62" s="1865"/>
      <c r="K62" s="1866"/>
      <c r="L62" s="1930" t="s">
        <v>11434</v>
      </c>
      <c r="M62" s="1931" t="s">
        <v>11368</v>
      </c>
      <c r="Y62" s="20"/>
      <c r="Z62" s="20"/>
    </row>
    <row r="63" customHeight="1" spans="1:26">
      <c r="A63" s="1867" t="s">
        <v>10539</v>
      </c>
      <c r="B63" s="1868" t="s">
        <v>10540</v>
      </c>
      <c r="C63" s="1901" t="s">
        <v>2641</v>
      </c>
      <c r="D63" s="1901" t="s">
        <v>2677</v>
      </c>
      <c r="E63" s="1901" t="s">
        <v>2632</v>
      </c>
      <c r="F63" s="1901" t="s">
        <v>11048</v>
      </c>
      <c r="G63" s="1901" t="s">
        <v>2984</v>
      </c>
      <c r="H63" s="1901" t="s">
        <v>2667</v>
      </c>
      <c r="I63" s="1901" t="s">
        <v>2559</v>
      </c>
      <c r="J63" s="1871" t="s">
        <v>11371</v>
      </c>
      <c r="K63" s="1872" t="s">
        <v>11372</v>
      </c>
      <c r="L63" s="1932">
        <f>布料MA!AK435</f>
        <v>4097000</v>
      </c>
      <c r="M63" s="1933">
        <f>L63-J69-W87</f>
        <v>0</v>
      </c>
      <c r="N63" s="1864" t="s">
        <v>11435</v>
      </c>
      <c r="O63" s="1865"/>
      <c r="P63" s="1865"/>
      <c r="Q63" s="1865"/>
      <c r="R63" s="1865"/>
      <c r="S63" s="1865"/>
      <c r="T63" s="1865"/>
      <c r="U63" s="1865"/>
      <c r="V63" s="1865"/>
      <c r="W63" s="1865"/>
      <c r="X63" s="1866"/>
      <c r="Y63" s="20"/>
      <c r="Z63" s="20"/>
    </row>
    <row r="64" customHeight="1" spans="1:26">
      <c r="A64" s="1873" t="s">
        <v>11436</v>
      </c>
      <c r="B64" s="1876">
        <v>45112</v>
      </c>
      <c r="C64" s="132">
        <v>30000</v>
      </c>
      <c r="D64" s="132">
        <v>30000</v>
      </c>
      <c r="E64" s="132">
        <v>30000</v>
      </c>
      <c r="F64" s="132">
        <v>30000</v>
      </c>
      <c r="G64" s="132">
        <v>30000</v>
      </c>
      <c r="H64" s="132">
        <v>30000</v>
      </c>
      <c r="I64" s="132">
        <v>10000</v>
      </c>
      <c r="J64" s="132">
        <f t="shared" ref="J64:J71" si="12">SUM(C64:I64)</f>
        <v>190000</v>
      </c>
      <c r="K64" s="1877">
        <v>45156</v>
      </c>
      <c r="L64" s="1893"/>
      <c r="M64" s="1862" t="s">
        <v>11400</v>
      </c>
      <c r="N64" s="1867" t="s">
        <v>10539</v>
      </c>
      <c r="O64" s="1868" t="s">
        <v>10540</v>
      </c>
      <c r="P64" s="1901" t="s">
        <v>2641</v>
      </c>
      <c r="Q64" s="1901" t="s">
        <v>2677</v>
      </c>
      <c r="R64" s="1901" t="s">
        <v>2632</v>
      </c>
      <c r="S64" s="1901" t="s">
        <v>11048</v>
      </c>
      <c r="T64" s="1901" t="s">
        <v>2984</v>
      </c>
      <c r="U64" s="1901" t="s">
        <v>2667</v>
      </c>
      <c r="V64" s="1901" t="s">
        <v>2559</v>
      </c>
      <c r="W64" s="1871" t="s">
        <v>11371</v>
      </c>
      <c r="X64" s="1872" t="s">
        <v>11372</v>
      </c>
      <c r="Y64" s="1934" t="s">
        <v>11437</v>
      </c>
    </row>
    <row r="65" s="20" customFormat="1" customHeight="1" spans="1:25">
      <c r="A65" s="1873" t="s">
        <v>11438</v>
      </c>
      <c r="B65" s="1876">
        <v>45156</v>
      </c>
      <c r="C65" s="132">
        <v>30000</v>
      </c>
      <c r="D65" s="132">
        <v>30000</v>
      </c>
      <c r="E65" s="132">
        <v>30000</v>
      </c>
      <c r="F65" s="132">
        <v>30000</v>
      </c>
      <c r="G65" s="132">
        <v>30000</v>
      </c>
      <c r="H65" s="132">
        <v>30000</v>
      </c>
      <c r="I65" s="132">
        <v>20000</v>
      </c>
      <c r="J65" s="132">
        <f t="shared" si="12"/>
        <v>200000</v>
      </c>
      <c r="K65" s="1877">
        <v>45240</v>
      </c>
      <c r="M65" s="1862" t="s">
        <v>11400</v>
      </c>
      <c r="N65" s="1873" t="s">
        <v>11439</v>
      </c>
      <c r="O65" s="1876">
        <v>45243</v>
      </c>
      <c r="P65" s="132">
        <v>20000</v>
      </c>
      <c r="Q65" s="132">
        <v>20000</v>
      </c>
      <c r="R65" s="132">
        <v>20000</v>
      </c>
      <c r="S65" s="132">
        <v>20000</v>
      </c>
      <c r="T65" s="132">
        <v>20000</v>
      </c>
      <c r="U65" s="132">
        <v>20000</v>
      </c>
      <c r="V65" s="132">
        <v>10000</v>
      </c>
      <c r="W65" s="132">
        <f t="shared" ref="W65:W85" si="13">SUM(P65:V65)</f>
        <v>130000</v>
      </c>
      <c r="X65" s="1877">
        <v>45297</v>
      </c>
      <c r="Y65" s="1934" t="s">
        <v>11437</v>
      </c>
    </row>
    <row r="66" customHeight="1" spans="1:25">
      <c r="A66" s="1873" t="s">
        <v>11440</v>
      </c>
      <c r="B66" s="1876">
        <v>45196</v>
      </c>
      <c r="C66" s="132">
        <v>30000</v>
      </c>
      <c r="D66" s="132">
        <v>30000</v>
      </c>
      <c r="E66" s="132">
        <v>30000</v>
      </c>
      <c r="F66" s="132">
        <v>30000</v>
      </c>
      <c r="G66" s="132">
        <v>30000</v>
      </c>
      <c r="H66" s="132">
        <v>30000</v>
      </c>
      <c r="I66" s="132"/>
      <c r="J66" s="132">
        <f t="shared" si="12"/>
        <v>180000</v>
      </c>
      <c r="K66" s="1877">
        <v>45254</v>
      </c>
      <c r="M66" s="1862" t="s">
        <v>11400</v>
      </c>
      <c r="N66" s="1873" t="s">
        <v>11441</v>
      </c>
      <c r="O66" s="1876">
        <v>45275</v>
      </c>
      <c r="P66" s="132">
        <v>10000</v>
      </c>
      <c r="Q66" s="132">
        <v>10000</v>
      </c>
      <c r="R66" s="132">
        <v>10000</v>
      </c>
      <c r="S66" s="132">
        <v>10000</v>
      </c>
      <c r="T66" s="132">
        <v>10000</v>
      </c>
      <c r="U66" s="132">
        <v>10000</v>
      </c>
      <c r="V66" s="132"/>
      <c r="W66" s="132">
        <f t="shared" si="13"/>
        <v>60000</v>
      </c>
      <c r="X66" s="1877">
        <v>45350</v>
      </c>
      <c r="Y66" s="1935" t="s">
        <v>11442</v>
      </c>
    </row>
    <row r="67" customHeight="1" spans="1:25">
      <c r="A67" s="1873" t="s">
        <v>11439</v>
      </c>
      <c r="B67" s="1876">
        <v>45243</v>
      </c>
      <c r="C67" s="132">
        <v>20000</v>
      </c>
      <c r="D67" s="132">
        <v>20000</v>
      </c>
      <c r="E67" s="132">
        <v>20000</v>
      </c>
      <c r="F67" s="132">
        <v>20000</v>
      </c>
      <c r="G67" s="132">
        <v>20000</v>
      </c>
      <c r="H67" s="132"/>
      <c r="I67" s="132"/>
      <c r="J67" s="132">
        <f t="shared" si="12"/>
        <v>100000</v>
      </c>
      <c r="K67" s="1877">
        <v>45297</v>
      </c>
      <c r="M67" s="1934" t="s">
        <v>11437</v>
      </c>
      <c r="N67" s="1873" t="s">
        <v>11443</v>
      </c>
      <c r="O67" s="1876">
        <v>45316</v>
      </c>
      <c r="P67" s="132">
        <v>30000</v>
      </c>
      <c r="Q67" s="132">
        <v>30000</v>
      </c>
      <c r="R67" s="132">
        <v>30000</v>
      </c>
      <c r="S67" s="132">
        <v>30000</v>
      </c>
      <c r="T67" s="132">
        <v>30000</v>
      </c>
      <c r="U67" s="132">
        <v>30000</v>
      </c>
      <c r="V67" s="132"/>
      <c r="W67" s="132">
        <f t="shared" si="13"/>
        <v>180000</v>
      </c>
      <c r="X67" s="1877">
        <v>45380</v>
      </c>
      <c r="Y67" s="1935" t="s">
        <v>11444</v>
      </c>
    </row>
    <row r="68" customHeight="1" spans="1:25">
      <c r="A68" s="1873"/>
      <c r="B68" s="1878" t="s">
        <v>11445</v>
      </c>
      <c r="C68" s="1913">
        <v>1805</v>
      </c>
      <c r="D68" s="1913">
        <v>1957</v>
      </c>
      <c r="E68" s="1913">
        <v>3032</v>
      </c>
      <c r="F68" s="1913">
        <v>3584</v>
      </c>
      <c r="G68" s="1913">
        <v>3312</v>
      </c>
      <c r="H68" s="1913">
        <v>2250</v>
      </c>
      <c r="I68" s="132"/>
      <c r="J68" s="1936">
        <f t="shared" si="12"/>
        <v>15940</v>
      </c>
      <c r="K68" s="1877"/>
      <c r="N68" s="1873" t="s">
        <v>11446</v>
      </c>
      <c r="O68" s="1876">
        <v>45355</v>
      </c>
      <c r="P68" s="132">
        <v>30000</v>
      </c>
      <c r="Q68" s="132">
        <v>30000</v>
      </c>
      <c r="R68" s="132">
        <v>30000</v>
      </c>
      <c r="S68" s="132">
        <v>30000</v>
      </c>
      <c r="T68" s="132">
        <v>30000</v>
      </c>
      <c r="U68" s="132">
        <v>30000</v>
      </c>
      <c r="V68" s="132">
        <v>10000</v>
      </c>
      <c r="W68" s="132">
        <f t="shared" si="13"/>
        <v>190000</v>
      </c>
      <c r="X68" s="1877">
        <v>45404</v>
      </c>
      <c r="Y68" s="1935" t="s">
        <v>11444</v>
      </c>
    </row>
    <row r="69" customHeight="1" spans="1:25">
      <c r="A69" s="1886"/>
      <c r="B69" s="1887" t="s">
        <v>11388</v>
      </c>
      <c r="C69" s="1892">
        <f>SUM(C64:C68)</f>
        <v>111805</v>
      </c>
      <c r="D69" s="1892">
        <f t="shared" ref="C69:I69" si="14">SUM(D64:D68)</f>
        <v>111957</v>
      </c>
      <c r="E69" s="1892">
        <f t="shared" si="14"/>
        <v>113032</v>
      </c>
      <c r="F69" s="1892">
        <f t="shared" si="14"/>
        <v>113584</v>
      </c>
      <c r="G69" s="1892">
        <f t="shared" si="14"/>
        <v>113312</v>
      </c>
      <c r="H69" s="1892">
        <f t="shared" si="14"/>
        <v>92250</v>
      </c>
      <c r="I69" s="1892">
        <f t="shared" si="14"/>
        <v>30000</v>
      </c>
      <c r="J69" s="1892">
        <f t="shared" si="12"/>
        <v>685940</v>
      </c>
      <c r="K69" s="1888"/>
      <c r="N69" s="1873" t="s">
        <v>11447</v>
      </c>
      <c r="O69" s="1876">
        <v>45411</v>
      </c>
      <c r="P69" s="132">
        <v>30000</v>
      </c>
      <c r="Q69" s="132">
        <v>30000</v>
      </c>
      <c r="R69" s="132">
        <v>30000</v>
      </c>
      <c r="S69" s="132">
        <v>30000</v>
      </c>
      <c r="T69" s="132">
        <v>30000</v>
      </c>
      <c r="U69" s="132">
        <v>30000</v>
      </c>
      <c r="V69" s="132">
        <v>10000</v>
      </c>
      <c r="W69" s="132">
        <f t="shared" si="13"/>
        <v>190000</v>
      </c>
      <c r="X69" s="1877">
        <v>45457</v>
      </c>
      <c r="Y69" s="1935" t="s">
        <v>11444</v>
      </c>
    </row>
    <row r="70" customHeight="1" spans="1:25">
      <c r="A70" s="1911" t="s">
        <v>11427</v>
      </c>
      <c r="B70" s="1905"/>
      <c r="C70" s="1913">
        <v>61705.866666667</v>
      </c>
      <c r="D70" s="1913">
        <v>61212.266666667</v>
      </c>
      <c r="E70" s="1913">
        <v>61047.466666667</v>
      </c>
      <c r="F70" s="1913">
        <v>61372.266666667</v>
      </c>
      <c r="G70" s="1913">
        <v>61047.466666667</v>
      </c>
      <c r="H70" s="1913">
        <v>50219.3333333333</v>
      </c>
      <c r="I70" s="1913">
        <v>11763.3333333333</v>
      </c>
      <c r="J70" s="1913">
        <f t="shared" si="12"/>
        <v>368368.000000002</v>
      </c>
      <c r="K70" s="1914"/>
      <c r="N70" s="1911" t="s">
        <v>11448</v>
      </c>
      <c r="O70" s="1876">
        <v>45426</v>
      </c>
      <c r="P70" s="132">
        <v>40000</v>
      </c>
      <c r="Q70" s="132">
        <v>40000</v>
      </c>
      <c r="R70" s="132">
        <v>40000</v>
      </c>
      <c r="S70" s="132">
        <v>40000</v>
      </c>
      <c r="T70" s="132">
        <v>40000</v>
      </c>
      <c r="U70" s="132">
        <v>30000</v>
      </c>
      <c r="V70" s="132"/>
      <c r="W70" s="132">
        <f t="shared" si="13"/>
        <v>230000</v>
      </c>
      <c r="X70" s="1877">
        <v>45489</v>
      </c>
      <c r="Y70" s="1935" t="s">
        <v>11444</v>
      </c>
    </row>
    <row r="71" customHeight="1" spans="1:25">
      <c r="A71" s="1911" t="s">
        <v>11429</v>
      </c>
      <c r="B71" s="1905"/>
      <c r="C71" s="1913">
        <v>50099.266666667</v>
      </c>
      <c r="D71" s="1913">
        <v>50745.066666667</v>
      </c>
      <c r="E71" s="1913">
        <v>51984.266666667</v>
      </c>
      <c r="F71" s="1913">
        <v>52211.866666667</v>
      </c>
      <c r="G71" s="1913">
        <v>52264.666666667</v>
      </c>
      <c r="H71" s="1913">
        <v>41924.9333333333</v>
      </c>
      <c r="I71" s="1913">
        <v>21424.8666666667</v>
      </c>
      <c r="J71" s="1913">
        <f t="shared" si="12"/>
        <v>320654.933333335</v>
      </c>
      <c r="K71" s="1914"/>
      <c r="N71" s="1873" t="s">
        <v>11449</v>
      </c>
      <c r="O71" s="1876">
        <v>45460</v>
      </c>
      <c r="P71" s="132">
        <v>30000</v>
      </c>
      <c r="Q71" s="132">
        <v>30000</v>
      </c>
      <c r="R71" s="132">
        <v>30000</v>
      </c>
      <c r="S71" s="132">
        <v>30000</v>
      </c>
      <c r="T71" s="132">
        <v>30000</v>
      </c>
      <c r="U71" s="132"/>
      <c r="V71" s="132"/>
      <c r="W71" s="132">
        <f t="shared" si="13"/>
        <v>150000</v>
      </c>
      <c r="X71" s="1877">
        <v>45489</v>
      </c>
      <c r="Y71" s="1935" t="s">
        <v>11444</v>
      </c>
    </row>
    <row r="72" customHeight="1" spans="1:25">
      <c r="A72" s="1911"/>
      <c r="B72" s="1905"/>
      <c r="C72" s="1913"/>
      <c r="D72" s="1913"/>
      <c r="E72" s="1913"/>
      <c r="F72" s="1913"/>
      <c r="G72" s="1913"/>
      <c r="H72" s="1913"/>
      <c r="I72" s="1913"/>
      <c r="J72" s="1913"/>
      <c r="K72" s="1914"/>
      <c r="N72" s="1873" t="s">
        <v>11450</v>
      </c>
      <c r="O72" s="1876">
        <v>45482</v>
      </c>
      <c r="P72" s="132">
        <v>10000</v>
      </c>
      <c r="Q72" s="132">
        <v>10000</v>
      </c>
      <c r="R72" s="132">
        <v>10000</v>
      </c>
      <c r="S72" s="132">
        <v>10000</v>
      </c>
      <c r="T72" s="132">
        <v>10000</v>
      </c>
      <c r="U72" s="132">
        <v>30000</v>
      </c>
      <c r="V72" s="132">
        <v>10000</v>
      </c>
      <c r="W72" s="132">
        <f t="shared" si="13"/>
        <v>90000</v>
      </c>
      <c r="X72" s="1937">
        <v>45549</v>
      </c>
      <c r="Y72" s="1935" t="s">
        <v>11444</v>
      </c>
    </row>
    <row r="73" customHeight="1" spans="1:25">
      <c r="A73" s="1911"/>
      <c r="B73" s="1905"/>
      <c r="C73" s="1913"/>
      <c r="D73" s="1913"/>
      <c r="E73" s="1913"/>
      <c r="F73" s="1913"/>
      <c r="G73" s="1913"/>
      <c r="H73" s="1913"/>
      <c r="I73" s="1913"/>
      <c r="J73" s="1913"/>
      <c r="K73" s="1914"/>
      <c r="N73" s="1873" t="s">
        <v>11451</v>
      </c>
      <c r="O73" s="1876">
        <v>45511</v>
      </c>
      <c r="P73" s="132">
        <v>30000</v>
      </c>
      <c r="Q73" s="132">
        <v>30000</v>
      </c>
      <c r="R73" s="132">
        <v>30000</v>
      </c>
      <c r="S73" s="132">
        <v>30000</v>
      </c>
      <c r="T73" s="132">
        <v>30000</v>
      </c>
      <c r="U73" s="132">
        <v>30000</v>
      </c>
      <c r="V73" s="132">
        <v>10000</v>
      </c>
      <c r="W73" s="132">
        <f t="shared" si="13"/>
        <v>190000</v>
      </c>
      <c r="X73" s="1877">
        <v>45582</v>
      </c>
      <c r="Y73" s="1935" t="s">
        <v>11444</v>
      </c>
    </row>
    <row r="74" customHeight="1" spans="1:25">
      <c r="A74" s="1886"/>
      <c r="B74" s="1887" t="s">
        <v>11392</v>
      </c>
      <c r="C74" s="1916">
        <f t="shared" ref="C74:I74" si="15">C70+C71</f>
        <v>111805.133333334</v>
      </c>
      <c r="D74" s="1916">
        <f t="shared" si="15"/>
        <v>111957.333333334</v>
      </c>
      <c r="E74" s="1916">
        <f t="shared" si="15"/>
        <v>113031.733333334</v>
      </c>
      <c r="F74" s="1916">
        <f t="shared" si="15"/>
        <v>113584.133333334</v>
      </c>
      <c r="G74" s="1916">
        <f t="shared" si="15"/>
        <v>113312.133333334</v>
      </c>
      <c r="H74" s="1916">
        <f t="shared" si="15"/>
        <v>92144.2666666666</v>
      </c>
      <c r="I74" s="1916">
        <f t="shared" si="15"/>
        <v>33188.2</v>
      </c>
      <c r="J74" s="1916">
        <f>SUM(C74:I74)</f>
        <v>689022.933333337</v>
      </c>
      <c r="K74" s="1888"/>
      <c r="N74" s="1873" t="s">
        <v>11452</v>
      </c>
      <c r="O74" s="1876">
        <v>45560</v>
      </c>
      <c r="P74" s="132">
        <v>50000</v>
      </c>
      <c r="Q74" s="132">
        <v>50000</v>
      </c>
      <c r="R74" s="132">
        <v>50000</v>
      </c>
      <c r="S74" s="132">
        <v>50000</v>
      </c>
      <c r="T74" s="132">
        <v>50000</v>
      </c>
      <c r="U74" s="132">
        <v>30000</v>
      </c>
      <c r="V74" s="132"/>
      <c r="W74" s="132">
        <f t="shared" si="13"/>
        <v>280000</v>
      </c>
      <c r="X74" s="1877">
        <v>45623</v>
      </c>
      <c r="Y74" s="1935"/>
    </row>
    <row r="75" customHeight="1" spans="1:25">
      <c r="A75" s="1886"/>
      <c r="B75" s="1887" t="s">
        <v>11430</v>
      </c>
      <c r="C75" s="1892"/>
      <c r="D75" s="1892"/>
      <c r="E75" s="1892"/>
      <c r="F75" s="1892"/>
      <c r="G75" s="1892"/>
      <c r="H75" s="1892"/>
      <c r="I75" s="1892"/>
      <c r="J75" s="1887"/>
      <c r="K75" s="1888"/>
      <c r="L75" s="1938" t="s">
        <v>11428</v>
      </c>
      <c r="M75" s="1939">
        <f>J69+W87</f>
        <v>4097000</v>
      </c>
      <c r="N75" s="1873"/>
      <c r="O75" s="1876"/>
      <c r="P75" s="1905">
        <f>-C68</f>
        <v>-1805</v>
      </c>
      <c r="Q75" s="1905">
        <f t="shared" ref="Q75:V75" si="16">-D68</f>
        <v>-1957</v>
      </c>
      <c r="R75" s="1905">
        <f t="shared" si="16"/>
        <v>-3032</v>
      </c>
      <c r="S75" s="1905">
        <f t="shared" si="16"/>
        <v>-3584</v>
      </c>
      <c r="T75" s="1905">
        <f t="shared" si="16"/>
        <v>-3312</v>
      </c>
      <c r="U75" s="1905">
        <f t="shared" si="16"/>
        <v>-2250</v>
      </c>
      <c r="V75" s="1905">
        <f t="shared" si="16"/>
        <v>0</v>
      </c>
      <c r="W75" s="1905">
        <f t="shared" si="13"/>
        <v>-15940</v>
      </c>
      <c r="X75" s="1877"/>
      <c r="Y75" s="1935" t="s">
        <v>11444</v>
      </c>
    </row>
    <row r="76" customHeight="1" spans="1:25">
      <c r="A76" s="1886"/>
      <c r="B76" s="1887" t="s">
        <v>11393</v>
      </c>
      <c r="C76" s="1916">
        <f t="shared" ref="C76:I76" si="17">C69-C74-C75</f>
        <v>-0.133333334000781</v>
      </c>
      <c r="D76" s="1916">
        <f t="shared" si="17"/>
        <v>-0.333333333997871</v>
      </c>
      <c r="E76" s="1916">
        <f t="shared" si="17"/>
        <v>0.266666665993398</v>
      </c>
      <c r="F76" s="1916">
        <f t="shared" si="17"/>
        <v>-0.133333334000781</v>
      </c>
      <c r="G76" s="1916">
        <f t="shared" si="17"/>
        <v>-0.133333334000781</v>
      </c>
      <c r="H76" s="1916">
        <f t="shared" si="17"/>
        <v>105.733333333395</v>
      </c>
      <c r="I76" s="1916">
        <f t="shared" si="17"/>
        <v>-3188.2</v>
      </c>
      <c r="J76" s="1916">
        <f>SUM(J69-J74-J75)</f>
        <v>-3082.93333333661</v>
      </c>
      <c r="K76" s="1888"/>
      <c r="L76" s="1940" t="s">
        <v>11431</v>
      </c>
      <c r="M76" s="1941">
        <f>J74+W89</f>
        <v>4111099.67126437</v>
      </c>
      <c r="N76" s="1873" t="s">
        <v>11453</v>
      </c>
      <c r="O76" s="1876">
        <v>45587</v>
      </c>
      <c r="P76" s="132">
        <v>36000</v>
      </c>
      <c r="Q76" s="132">
        <v>30000</v>
      </c>
      <c r="R76" s="132">
        <v>34000</v>
      </c>
      <c r="S76" s="132">
        <v>33000</v>
      </c>
      <c r="T76" s="132">
        <v>33000</v>
      </c>
      <c r="U76" s="132">
        <v>30000</v>
      </c>
      <c r="V76" s="132">
        <v>20000</v>
      </c>
      <c r="W76" s="132">
        <f t="shared" si="13"/>
        <v>216000</v>
      </c>
      <c r="X76" s="1877"/>
      <c r="Y76" s="1880" t="s">
        <v>11444</v>
      </c>
    </row>
    <row r="77" customHeight="1" spans="1:25">
      <c r="A77" s="1895"/>
      <c r="B77" s="1896" t="s">
        <v>11394</v>
      </c>
      <c r="C77" s="1897">
        <f>SUM(C76:I76)</f>
        <v>-3082.93333333661</v>
      </c>
      <c r="D77" s="1898"/>
      <c r="E77" s="1898"/>
      <c r="F77" s="1898"/>
      <c r="G77" s="1898"/>
      <c r="H77" s="1898"/>
      <c r="I77" s="1898"/>
      <c r="J77" s="1899"/>
      <c r="K77" s="1900"/>
      <c r="L77" s="1942" t="s">
        <v>11454</v>
      </c>
      <c r="M77" s="1923">
        <f>C77+P93</f>
        <v>-17182.137931038</v>
      </c>
      <c r="N77" s="1873" t="s">
        <v>11455</v>
      </c>
      <c r="O77" s="1876">
        <v>45716</v>
      </c>
      <c r="P77" s="132">
        <v>30000</v>
      </c>
      <c r="Q77" s="132">
        <v>30000</v>
      </c>
      <c r="R77" s="132">
        <v>30000</v>
      </c>
      <c r="S77" s="132">
        <v>30000</v>
      </c>
      <c r="T77" s="132">
        <v>30000</v>
      </c>
      <c r="U77" s="132">
        <v>30000</v>
      </c>
      <c r="V77" s="132"/>
      <c r="W77" s="132">
        <f t="shared" si="13"/>
        <v>180000</v>
      </c>
      <c r="X77" s="1877">
        <v>45758</v>
      </c>
      <c r="Y77" s="1943" t="s">
        <v>11456</v>
      </c>
    </row>
    <row r="78" customHeight="1" spans="1:25">
      <c r="C78" s="1893">
        <v>111805.133333334</v>
      </c>
      <c r="D78" s="1893">
        <v>111957.333333334</v>
      </c>
      <c r="E78" s="1893">
        <v>113031.733333334</v>
      </c>
      <c r="F78" s="1893">
        <v>113584.133333334</v>
      </c>
      <c r="G78" s="1893">
        <v>113312.133333334</v>
      </c>
      <c r="H78" s="1893">
        <v>92144.2666666666</v>
      </c>
      <c r="I78" s="1893">
        <v>33363.8</v>
      </c>
      <c r="J78" s="1893">
        <v>689198.533333335</v>
      </c>
      <c r="M78" s="1862">
        <f>M75-100000</f>
        <v>3997000</v>
      </c>
      <c r="N78" s="1873" t="s">
        <v>11457</v>
      </c>
      <c r="O78" s="1876">
        <v>45749</v>
      </c>
      <c r="P78" s="1936">
        <v>20168.6666666667</v>
      </c>
      <c r="Q78" s="1936">
        <v>20168.6666666667</v>
      </c>
      <c r="R78" s="1936">
        <v>20168.6666666667</v>
      </c>
      <c r="S78" s="1936">
        <v>20168.6666666667</v>
      </c>
      <c r="T78" s="1936">
        <v>20168.6666666667</v>
      </c>
      <c r="U78" s="132">
        <v>16135</v>
      </c>
      <c r="V78" s="1936">
        <v>4033.73333333333</v>
      </c>
      <c r="W78" s="1936">
        <f t="shared" si="13"/>
        <v>121012.066666667</v>
      </c>
      <c r="X78" s="1877">
        <v>45807</v>
      </c>
      <c r="Y78" s="1944" t="s">
        <v>11458</v>
      </c>
    </row>
    <row r="79" customHeight="1" spans="1:25">
      <c r="C79" s="1893"/>
      <c r="D79" s="1893"/>
      <c r="E79" s="1893"/>
      <c r="F79" s="1893"/>
      <c r="G79" s="1893"/>
      <c r="H79" s="1893"/>
      <c r="I79" s="1893"/>
      <c r="J79" s="1893"/>
      <c r="N79" s="1873" t="s">
        <v>11457</v>
      </c>
      <c r="O79" s="1876">
        <v>45749</v>
      </c>
      <c r="P79" s="1936">
        <v>30831.3333333333</v>
      </c>
      <c r="Q79" s="1936">
        <v>13831.3333333333</v>
      </c>
      <c r="R79" s="1936">
        <v>26831.3333333333</v>
      </c>
      <c r="S79" s="1936">
        <v>26831.3333333333</v>
      </c>
      <c r="T79" s="1936">
        <v>21831.3333333333</v>
      </c>
      <c r="U79" s="1936">
        <v>-6135</v>
      </c>
      <c r="V79" s="1936">
        <v>15966.2666666667</v>
      </c>
      <c r="W79" s="1936">
        <f t="shared" si="13"/>
        <v>129987.933333333</v>
      </c>
      <c r="X79" s="1877">
        <v>45807</v>
      </c>
    </row>
    <row r="80" customHeight="1" spans="1:25">
      <c r="C80" s="1893"/>
      <c r="D80" s="1893"/>
      <c r="E80" s="1893"/>
      <c r="F80" s="1893"/>
      <c r="G80" s="1893"/>
      <c r="H80" s="1893"/>
      <c r="I80" s="1893"/>
      <c r="J80" s="1893"/>
      <c r="N80" s="1873" t="s">
        <v>11459</v>
      </c>
      <c r="O80" s="1876">
        <v>45786</v>
      </c>
      <c r="P80" s="132">
        <v>30000</v>
      </c>
      <c r="Q80" s="132">
        <v>30000</v>
      </c>
      <c r="R80" s="132">
        <v>30000</v>
      </c>
      <c r="S80" s="132">
        <v>30000</v>
      </c>
      <c r="T80" s="132">
        <v>30000</v>
      </c>
      <c r="U80" s="132">
        <v>30000</v>
      </c>
      <c r="V80" s="132"/>
      <c r="W80" s="1936">
        <f t="shared" si="13"/>
        <v>180000</v>
      </c>
      <c r="X80" s="1877">
        <v>45842</v>
      </c>
    </row>
    <row r="81" customHeight="1" spans="1:25">
      <c r="C81" s="1945">
        <f>C78-C74</f>
        <v>0</v>
      </c>
      <c r="D81" s="1945">
        <f t="shared" ref="D81:J81" si="18">D78-D74</f>
        <v>0</v>
      </c>
      <c r="E81" s="1945">
        <f t="shared" si="18"/>
        <v>0</v>
      </c>
      <c r="F81" s="1945">
        <f t="shared" si="18"/>
        <v>0</v>
      </c>
      <c r="G81" s="1945">
        <f t="shared" si="18"/>
        <v>0</v>
      </c>
      <c r="H81" s="1945">
        <f t="shared" si="18"/>
        <v>0</v>
      </c>
      <c r="I81" s="1945">
        <f t="shared" si="18"/>
        <v>175.600000000006</v>
      </c>
      <c r="J81" s="1945">
        <f t="shared" si="18"/>
        <v>175.599999998347</v>
      </c>
      <c r="N81" s="1873" t="s">
        <v>11460</v>
      </c>
      <c r="O81" s="1876">
        <v>45800</v>
      </c>
      <c r="P81" s="132">
        <v>30000</v>
      </c>
      <c r="Q81" s="132">
        <v>30000</v>
      </c>
      <c r="R81" s="132">
        <v>30000</v>
      </c>
      <c r="S81" s="132">
        <v>30000</v>
      </c>
      <c r="T81" s="132">
        <v>30000</v>
      </c>
      <c r="U81" s="132">
        <v>30000</v>
      </c>
      <c r="V81" s="132"/>
      <c r="W81" s="1936">
        <f t="shared" si="13"/>
        <v>180000</v>
      </c>
      <c r="X81" s="1877">
        <v>45863</v>
      </c>
    </row>
    <row r="82" ht="33" customHeight="1" spans="1:25">
      <c r="A82" s="1864" t="s">
        <v>11461</v>
      </c>
      <c r="B82" s="1865"/>
      <c r="C82" s="1865"/>
      <c r="D82" s="1865"/>
      <c r="E82" s="1865"/>
      <c r="F82" s="1865"/>
      <c r="G82" s="1865"/>
      <c r="H82" s="1865"/>
      <c r="I82" s="1865"/>
      <c r="J82" s="1865"/>
      <c r="K82" s="1865"/>
      <c r="L82" s="1946" t="s">
        <v>11434</v>
      </c>
      <c r="M82" s="1947" t="s">
        <v>11368</v>
      </c>
      <c r="N82" s="1873" t="s">
        <v>11462</v>
      </c>
      <c r="O82" s="1876">
        <v>45807</v>
      </c>
      <c r="P82" s="132">
        <v>30000</v>
      </c>
      <c r="Q82" s="132">
        <v>30000</v>
      </c>
      <c r="R82" s="132">
        <v>30000</v>
      </c>
      <c r="S82" s="132">
        <v>30000</v>
      </c>
      <c r="T82" s="132">
        <v>30000</v>
      </c>
      <c r="U82" s="132">
        <v>30000</v>
      </c>
      <c r="V82" s="132">
        <v>10000</v>
      </c>
      <c r="W82" s="1936">
        <f t="shared" si="13"/>
        <v>190000</v>
      </c>
      <c r="X82" s="1877">
        <v>45891</v>
      </c>
    </row>
    <row r="83" ht="36" customHeight="1" spans="1:25">
      <c r="A83" s="1867" t="s">
        <v>10539</v>
      </c>
      <c r="B83" s="1868" t="s">
        <v>10540</v>
      </c>
      <c r="C83" s="1901" t="s">
        <v>6051</v>
      </c>
      <c r="D83" s="1901" t="s">
        <v>11463</v>
      </c>
      <c r="E83" s="1901" t="s">
        <v>11464</v>
      </c>
      <c r="F83" s="1901" t="s">
        <v>11465</v>
      </c>
      <c r="G83" s="1901" t="s">
        <v>11466</v>
      </c>
      <c r="H83" s="1901" t="s">
        <v>11467</v>
      </c>
      <c r="I83" s="1901" t="s">
        <v>11468</v>
      </c>
      <c r="J83" s="1871" t="s">
        <v>11371</v>
      </c>
      <c r="K83" s="1948" t="s">
        <v>11372</v>
      </c>
      <c r="L83" s="1949">
        <f>布料MA!W523</f>
        <v>2893000</v>
      </c>
      <c r="M83" s="1950">
        <f>L83-J100</f>
        <v>0</v>
      </c>
      <c r="N83" s="1873" t="s">
        <v>11469</v>
      </c>
      <c r="O83" s="1876">
        <v>45852</v>
      </c>
      <c r="P83" s="132">
        <v>30000</v>
      </c>
      <c r="Q83" s="132">
        <v>30000</v>
      </c>
      <c r="R83" s="132">
        <v>30000</v>
      </c>
      <c r="S83" s="132">
        <v>30000</v>
      </c>
      <c r="T83" s="132">
        <v>30000</v>
      </c>
      <c r="U83" s="132">
        <v>30000</v>
      </c>
      <c r="V83" s="132">
        <v>10000</v>
      </c>
      <c r="W83" s="132">
        <f t="shared" si="13"/>
        <v>190000</v>
      </c>
      <c r="X83" s="1877">
        <v>45891</v>
      </c>
    </row>
    <row r="84" customHeight="1" spans="1:25">
      <c r="A84" s="1951" t="s">
        <v>11470</v>
      </c>
      <c r="B84" s="1868"/>
      <c r="C84" s="1952">
        <v>2</v>
      </c>
      <c r="D84" s="1952">
        <v>10</v>
      </c>
      <c r="E84" s="1952">
        <v>10</v>
      </c>
      <c r="F84" s="1952">
        <v>8</v>
      </c>
      <c r="G84" s="1952">
        <v>10</v>
      </c>
      <c r="H84" s="1952">
        <v>10</v>
      </c>
      <c r="I84" s="1952">
        <v>10</v>
      </c>
      <c r="J84" s="1952">
        <f>SUM(C84:I84)</f>
        <v>60</v>
      </c>
      <c r="K84" s="1872"/>
      <c r="N84" s="1873" t="s">
        <v>11471</v>
      </c>
      <c r="O84" s="1876">
        <v>45894</v>
      </c>
      <c r="P84" s="132">
        <v>30000</v>
      </c>
      <c r="Q84" s="132">
        <v>30000</v>
      </c>
      <c r="R84" s="132">
        <v>30000</v>
      </c>
      <c r="S84" s="132">
        <v>30000</v>
      </c>
      <c r="T84" s="132">
        <v>30000</v>
      </c>
      <c r="U84" s="132">
        <v>30000</v>
      </c>
      <c r="V84" s="132">
        <v>20000</v>
      </c>
      <c r="W84" s="132">
        <f t="shared" si="13"/>
        <v>200000</v>
      </c>
      <c r="X84" s="1877">
        <v>45950</v>
      </c>
    </row>
    <row r="85" customHeight="1" spans="1:25">
      <c r="A85" s="1951"/>
      <c r="B85" s="1868"/>
      <c r="C85" s="1952"/>
      <c r="D85" s="1952"/>
      <c r="E85" s="1952"/>
      <c r="F85" s="1952"/>
      <c r="G85" s="1952"/>
      <c r="H85" s="1952"/>
      <c r="I85" s="1952"/>
      <c r="J85" s="1952"/>
      <c r="K85" s="1872"/>
      <c r="N85" s="1953" t="s">
        <v>11472</v>
      </c>
      <c r="O85" s="1883">
        <v>45924</v>
      </c>
      <c r="P85" s="1954">
        <v>30000</v>
      </c>
      <c r="Q85" s="1954">
        <v>30000</v>
      </c>
      <c r="R85" s="1954">
        <v>30000</v>
      </c>
      <c r="S85" s="1954">
        <v>30000</v>
      </c>
      <c r="T85" s="1954">
        <v>30000</v>
      </c>
      <c r="U85" s="1954"/>
      <c r="V85" s="1954"/>
      <c r="W85" s="1954">
        <f t="shared" si="13"/>
        <v>150000</v>
      </c>
      <c r="X85" s="1885">
        <v>45993</v>
      </c>
    </row>
    <row r="86" customHeight="1" spans="1:25">
      <c r="A86" s="1873" t="s">
        <v>11473</v>
      </c>
      <c r="B86" s="1876">
        <v>45294</v>
      </c>
      <c r="C86" s="132">
        <v>30000</v>
      </c>
      <c r="D86" s="132">
        <v>30000</v>
      </c>
      <c r="E86" s="132">
        <v>30000</v>
      </c>
      <c r="F86" s="132">
        <v>30000</v>
      </c>
      <c r="G86" s="132">
        <v>30000</v>
      </c>
      <c r="H86" s="132">
        <v>30000</v>
      </c>
      <c r="I86" s="132">
        <v>30000</v>
      </c>
      <c r="J86" s="132">
        <f>SUM(C86:I86)</f>
        <v>210000</v>
      </c>
      <c r="K86" s="1877">
        <v>45397</v>
      </c>
      <c r="L86" s="1935"/>
      <c r="N86" s="1873"/>
      <c r="O86" s="1876"/>
      <c r="P86" s="132"/>
      <c r="Q86" s="132"/>
      <c r="R86" s="132"/>
      <c r="S86" s="132"/>
      <c r="T86" s="132"/>
      <c r="U86" s="132"/>
      <c r="V86" s="132"/>
      <c r="W86" s="132"/>
      <c r="X86" s="1877"/>
    </row>
    <row r="87" customHeight="1" spans="1:25">
      <c r="A87" s="1873" t="s">
        <v>11474</v>
      </c>
      <c r="B87" s="1876">
        <v>45371</v>
      </c>
      <c r="C87" s="132"/>
      <c r="D87" s="132">
        <v>35000</v>
      </c>
      <c r="E87" s="132">
        <v>35000</v>
      </c>
      <c r="F87" s="132">
        <v>30000</v>
      </c>
      <c r="G87" s="132">
        <v>35000</v>
      </c>
      <c r="H87" s="132">
        <v>35000</v>
      </c>
      <c r="I87" s="132">
        <v>35000</v>
      </c>
      <c r="J87" s="132">
        <f t="shared" ref="J87:J98" si="19">SUM(C87:I87)</f>
        <v>205000</v>
      </c>
      <c r="K87" s="1877">
        <v>45430</v>
      </c>
      <c r="L87" s="1880" t="s">
        <v>11444</v>
      </c>
      <c r="N87" s="1886"/>
      <c r="O87" s="1887" t="s">
        <v>11388</v>
      </c>
      <c r="P87" s="1887">
        <f>SUM(P65:P86)</f>
        <v>575195</v>
      </c>
      <c r="Q87" s="1887">
        <f>SUM(Q65:Q86)</f>
        <v>552043</v>
      </c>
      <c r="R87" s="1887">
        <f t="shared" ref="Q87:W87" si="20">SUM(R65:R86)</f>
        <v>567968</v>
      </c>
      <c r="S87" s="1887">
        <f t="shared" si="20"/>
        <v>566416</v>
      </c>
      <c r="T87" s="1887">
        <f t="shared" si="20"/>
        <v>561688</v>
      </c>
      <c r="U87" s="1887">
        <f t="shared" si="20"/>
        <v>457750</v>
      </c>
      <c r="V87" s="1887">
        <f t="shared" si="20"/>
        <v>130000</v>
      </c>
      <c r="W87" s="1887">
        <f t="shared" si="20"/>
        <v>3411060</v>
      </c>
      <c r="X87" s="1888"/>
    </row>
    <row r="88" s="20" customFormat="1" customHeight="1" spans="1:25">
      <c r="A88" s="1876" t="s">
        <v>11475</v>
      </c>
      <c r="B88" s="1876">
        <v>45392</v>
      </c>
      <c r="C88" s="132">
        <v>10000</v>
      </c>
      <c r="D88" s="132">
        <v>50000</v>
      </c>
      <c r="E88" s="132">
        <v>50000</v>
      </c>
      <c r="F88" s="132">
        <v>40000</v>
      </c>
      <c r="G88" s="132">
        <v>50000</v>
      </c>
      <c r="H88" s="132">
        <v>50000</v>
      </c>
      <c r="I88" s="132">
        <v>50000</v>
      </c>
      <c r="J88" s="132">
        <f t="shared" si="19"/>
        <v>300000</v>
      </c>
      <c r="K88" s="1877">
        <v>45481</v>
      </c>
      <c r="L88" s="1880" t="s">
        <v>11444</v>
      </c>
      <c r="N88" s="1886"/>
      <c r="O88" s="1891" t="s">
        <v>11476</v>
      </c>
      <c r="P88" s="1955">
        <v>235718.319047619</v>
      </c>
      <c r="Q88" s="1955">
        <v>224528.519047619</v>
      </c>
      <c r="R88" s="1955">
        <v>232053.319047619</v>
      </c>
      <c r="S88" s="1955">
        <v>230882.119047619</v>
      </c>
      <c r="T88" s="1955">
        <v>231605.719047619</v>
      </c>
      <c r="U88" s="1955">
        <v>184297.352380953</v>
      </c>
      <c r="V88" s="1955">
        <v>35012.3190476191</v>
      </c>
      <c r="W88" s="1955">
        <v>1374097.66666667</v>
      </c>
      <c r="X88" s="1888"/>
      <c r="Y88" s="1862"/>
    </row>
    <row r="89" s="20" customFormat="1" customHeight="1" spans="1:25">
      <c r="A89" s="1956" t="s">
        <v>11477</v>
      </c>
      <c r="B89" s="1876">
        <v>45422</v>
      </c>
      <c r="C89" s="132"/>
      <c r="D89" s="132">
        <v>50000</v>
      </c>
      <c r="E89" s="132">
        <v>50000</v>
      </c>
      <c r="F89" s="132">
        <v>38000</v>
      </c>
      <c r="G89" s="132">
        <v>50000</v>
      </c>
      <c r="H89" s="132">
        <v>50000</v>
      </c>
      <c r="I89" s="132">
        <v>50000</v>
      </c>
      <c r="J89" s="132">
        <f t="shared" si="19"/>
        <v>288000</v>
      </c>
      <c r="K89" s="1877">
        <v>45514</v>
      </c>
      <c r="L89" s="1880" t="s">
        <v>11444</v>
      </c>
      <c r="N89" s="1886"/>
      <c r="O89" s="1887" t="s">
        <v>11392</v>
      </c>
      <c r="P89" s="1916">
        <f>'9298'!BH1076+P88</f>
        <v>575589.091461412</v>
      </c>
      <c r="Q89" s="1916">
        <f>'9298'!BI1076+Q88</f>
        <v>556945.722495895</v>
      </c>
      <c r="R89" s="1916">
        <f>'9298'!BJ1076+R88</f>
        <v>569735.016748769</v>
      </c>
      <c r="S89" s="1916">
        <f>'9298'!BK1076+S88</f>
        <v>565337.419047619</v>
      </c>
      <c r="T89" s="1916">
        <f>'9298'!BL1076+T88</f>
        <v>574444.252380953</v>
      </c>
      <c r="U89" s="1916">
        <f>'9298'!BM1076+U88+H76</f>
        <v>460103.81904762</v>
      </c>
      <c r="V89" s="1916">
        <f>'9298'!BN1076+V88</f>
        <v>119921.416748768</v>
      </c>
      <c r="W89" s="1916">
        <f>SUM(P89:V89)</f>
        <v>3422076.73793103</v>
      </c>
      <c r="X89" s="1888"/>
      <c r="Y89" s="1862"/>
    </row>
    <row r="90" s="20" customFormat="1" customHeight="1" spans="1:25">
      <c r="A90" s="1956" t="s">
        <v>11478</v>
      </c>
      <c r="B90" s="1876">
        <v>45456</v>
      </c>
      <c r="C90" s="132"/>
      <c r="D90" s="132">
        <v>35000</v>
      </c>
      <c r="E90" s="132">
        <v>35000</v>
      </c>
      <c r="F90" s="132">
        <v>30000</v>
      </c>
      <c r="G90" s="132">
        <v>35000</v>
      </c>
      <c r="H90" s="132">
        <v>35000</v>
      </c>
      <c r="I90" s="132">
        <v>35000</v>
      </c>
      <c r="J90" s="132">
        <f t="shared" si="19"/>
        <v>205000</v>
      </c>
      <c r="K90" s="1877">
        <v>45533</v>
      </c>
      <c r="L90" s="1880" t="s">
        <v>11444</v>
      </c>
      <c r="M90" s="18" t="s">
        <v>11479</v>
      </c>
      <c r="N90" s="1886"/>
      <c r="O90" s="1957" t="s">
        <v>11480</v>
      </c>
      <c r="P90" s="1958">
        <f>P102-(SUM('9298'!BH960:BH1060))</f>
        <v>100.533333333333</v>
      </c>
      <c r="Q90" s="1958">
        <f>Q102-(SUM('9298'!BI960:BI1060))</f>
        <v>-1148.96666666667</v>
      </c>
      <c r="R90" s="1958">
        <f>R102-(SUM('9298'!BJ960:BJ1060))</f>
        <v>-1644.03333333333</v>
      </c>
      <c r="S90" s="1958">
        <f>S102-(SUM('9298'!BK960:BK1060))</f>
        <v>-1009.36666666667</v>
      </c>
      <c r="T90" s="1958">
        <f>T102-(SUM('9298'!BL960:BL1060))</f>
        <v>246.400000000005</v>
      </c>
      <c r="U90" s="1958">
        <f>U102-(SUM('9298'!BM960:BM1060))</f>
        <v>446.133333333331</v>
      </c>
      <c r="V90" s="1958">
        <f>V102-(SUM('9298'!BN960:BN1060))</f>
        <v>542.099999999999</v>
      </c>
      <c r="W90" s="1958">
        <f>SUM(P90:V90)</f>
        <v>-2467.2</v>
      </c>
      <c r="X90" s="1888"/>
      <c r="Y90" s="1862"/>
    </row>
    <row r="91" s="1862" customFormat="1" customHeight="1" spans="1:25">
      <c r="A91" s="1956" t="s">
        <v>11481</v>
      </c>
      <c r="B91" s="1876">
        <v>45496</v>
      </c>
      <c r="C91" s="132">
        <v>10000</v>
      </c>
      <c r="D91" s="132">
        <v>40000</v>
      </c>
      <c r="E91" s="132">
        <v>40000</v>
      </c>
      <c r="F91" s="132">
        <v>30000</v>
      </c>
      <c r="G91" s="132">
        <v>40000</v>
      </c>
      <c r="H91" s="132">
        <v>40000</v>
      </c>
      <c r="I91" s="132">
        <v>40000</v>
      </c>
      <c r="J91" s="132">
        <f t="shared" si="19"/>
        <v>240000</v>
      </c>
      <c r="K91" s="1877">
        <v>45580</v>
      </c>
      <c r="L91" s="1880" t="s">
        <v>11444</v>
      </c>
      <c r="N91" s="1886"/>
      <c r="O91" s="1887" t="s">
        <v>11430</v>
      </c>
      <c r="P91" s="1892"/>
      <c r="Q91" s="1892"/>
      <c r="R91" s="1892"/>
      <c r="S91" s="1892"/>
      <c r="T91" s="1892"/>
      <c r="U91" s="1892"/>
      <c r="V91" s="1892"/>
      <c r="W91" s="1887"/>
      <c r="X91" s="1888"/>
      <c r="Y91" s="20"/>
    </row>
    <row r="92" s="20" customFormat="1" customHeight="1" spans="1:25">
      <c r="A92" s="1956" t="s">
        <v>11482</v>
      </c>
      <c r="B92" s="1876">
        <v>45590</v>
      </c>
      <c r="C92" s="132">
        <v>20000</v>
      </c>
      <c r="D92" s="132">
        <v>40000</v>
      </c>
      <c r="E92" s="132">
        <v>40000</v>
      </c>
      <c r="F92" s="132">
        <v>35000</v>
      </c>
      <c r="G92" s="132">
        <v>40000</v>
      </c>
      <c r="H92" s="132">
        <v>40000</v>
      </c>
      <c r="I92" s="132">
        <v>40000</v>
      </c>
      <c r="J92" s="132">
        <f t="shared" si="19"/>
        <v>255000</v>
      </c>
      <c r="K92" s="1877">
        <v>45590</v>
      </c>
      <c r="L92" s="1880"/>
      <c r="N92" s="1886"/>
      <c r="O92" s="1887" t="s">
        <v>11393</v>
      </c>
      <c r="P92" s="1916">
        <f>P87-P89-P91</f>
        <v>-394.091461412143</v>
      </c>
      <c r="Q92" s="1916">
        <f t="shared" ref="P92:V92" si="21">Q87-Q89-Q91</f>
        <v>-4902.72249589465</v>
      </c>
      <c r="R92" s="1916">
        <f t="shared" si="21"/>
        <v>-1767.01674876851</v>
      </c>
      <c r="S92" s="1916">
        <f t="shared" si="21"/>
        <v>1078.58095238102</v>
      </c>
      <c r="T92" s="1916">
        <f t="shared" si="21"/>
        <v>-12756.2523809526</v>
      </c>
      <c r="U92" s="1916">
        <f>U87-U89-U91+H76</f>
        <v>-2248.08571428619</v>
      </c>
      <c r="V92" s="1916">
        <f>V87-V89-V91+I76</f>
        <v>6890.38325123164</v>
      </c>
      <c r="W92" s="1916">
        <f>SUM(W87-W89-W91)</f>
        <v>-11016.7379310345</v>
      </c>
      <c r="X92" s="1888"/>
    </row>
    <row r="93" s="20" customFormat="1" customHeight="1" spans="1:25">
      <c r="A93" s="1956" t="s">
        <v>11483</v>
      </c>
      <c r="B93" s="1876">
        <v>45629</v>
      </c>
      <c r="C93" s="132"/>
      <c r="D93" s="132">
        <v>30000</v>
      </c>
      <c r="E93" s="132">
        <v>30000</v>
      </c>
      <c r="F93" s="132">
        <v>30000</v>
      </c>
      <c r="G93" s="132">
        <v>30000</v>
      </c>
      <c r="H93" s="132">
        <v>30000</v>
      </c>
      <c r="I93" s="132">
        <v>30000</v>
      </c>
      <c r="J93" s="132">
        <f t="shared" si="19"/>
        <v>180000</v>
      </c>
      <c r="K93" s="1877">
        <v>45708</v>
      </c>
      <c r="L93" s="1880"/>
      <c r="N93" s="1895"/>
      <c r="O93" s="1896" t="s">
        <v>11394</v>
      </c>
      <c r="P93" s="1959">
        <f>SUM(P92:V92)</f>
        <v>-14099.2045977014</v>
      </c>
      <c r="Q93" s="1960"/>
      <c r="R93" s="1960"/>
      <c r="S93" s="1960"/>
      <c r="T93" s="1960"/>
      <c r="U93" s="1960"/>
      <c r="V93" s="1960"/>
      <c r="W93" s="1961"/>
      <c r="X93" s="1900"/>
    </row>
    <row r="94" s="1862" customFormat="1" customHeight="1" spans="1:25">
      <c r="A94" s="1956" t="s">
        <v>11484</v>
      </c>
      <c r="B94" s="1876">
        <v>45709</v>
      </c>
      <c r="C94" s="132">
        <v>10000</v>
      </c>
      <c r="D94" s="132">
        <v>55000</v>
      </c>
      <c r="E94" s="132">
        <v>51000</v>
      </c>
      <c r="F94" s="132">
        <v>30000</v>
      </c>
      <c r="G94" s="132">
        <v>54000</v>
      </c>
      <c r="H94" s="132">
        <v>57000</v>
      </c>
      <c r="I94" s="132">
        <v>43000</v>
      </c>
      <c r="J94" s="132">
        <f t="shared" si="19"/>
        <v>300000</v>
      </c>
      <c r="K94" s="1877">
        <v>45772</v>
      </c>
      <c r="L94" s="1880"/>
      <c r="N94" s="1862">
        <f>M75-1290000</f>
        <v>2807000</v>
      </c>
      <c r="P94" s="1945">
        <v>287597.985714286</v>
      </c>
      <c r="Q94" s="1945">
        <v>275810.785714286</v>
      </c>
      <c r="R94" s="1945">
        <v>283463.385714286</v>
      </c>
      <c r="S94" s="1945">
        <v>282152.785714286</v>
      </c>
      <c r="T94" s="1945">
        <v>285272.585714286</v>
      </c>
      <c r="U94" s="1945">
        <v>225829.485714286</v>
      </c>
      <c r="V94" s="1945">
        <v>45163.6523809524</v>
      </c>
      <c r="W94" s="1945">
        <v>1685290.66666667</v>
      </c>
      <c r="Y94" s="20"/>
    </row>
    <row r="95" s="20" customFormat="1" customHeight="1" spans="1:25">
      <c r="A95" s="1956" t="s">
        <v>11485</v>
      </c>
      <c r="B95" s="1876">
        <v>45820</v>
      </c>
      <c r="C95" s="132"/>
      <c r="D95" s="132">
        <v>30000</v>
      </c>
      <c r="E95" s="132">
        <v>30000</v>
      </c>
      <c r="F95" s="132">
        <v>30000</v>
      </c>
      <c r="G95" s="132">
        <v>30000</v>
      </c>
      <c r="H95" s="132">
        <v>30000</v>
      </c>
      <c r="I95" s="132">
        <v>30000</v>
      </c>
      <c r="J95" s="132">
        <f t="shared" si="19"/>
        <v>180000</v>
      </c>
      <c r="K95" s="1877">
        <v>45881</v>
      </c>
      <c r="L95" s="1880"/>
      <c r="N95" s="1862"/>
      <c r="O95" s="1862"/>
      <c r="P95" s="1945">
        <f>P94-P89</f>
        <v>-287991.105747126</v>
      </c>
      <c r="Q95" s="1945">
        <f t="shared" ref="Q95:W95" si="22">Q94-Q89</f>
        <v>-281134.936781609</v>
      </c>
      <c r="R95" s="1945">
        <f t="shared" si="22"/>
        <v>-286271.631034483</v>
      </c>
      <c r="S95" s="1945">
        <f t="shared" si="22"/>
        <v>-283184.633333333</v>
      </c>
      <c r="T95" s="1945">
        <f t="shared" si="22"/>
        <v>-289171.666666667</v>
      </c>
      <c r="U95" s="1945">
        <f t="shared" si="22"/>
        <v>-234274.333333334</v>
      </c>
      <c r="V95" s="1945">
        <f t="shared" si="22"/>
        <v>-74757.764367816</v>
      </c>
      <c r="W95" s="1945">
        <f t="shared" si="22"/>
        <v>-1736786.07126436</v>
      </c>
      <c r="X95" s="1862"/>
    </row>
    <row r="96" s="20" customFormat="1" customHeight="1" spans="1:25">
      <c r="A96" s="1956" t="s">
        <v>11486</v>
      </c>
      <c r="B96" s="1876">
        <v>45846</v>
      </c>
      <c r="C96" s="132"/>
      <c r="D96" s="132">
        <v>30000</v>
      </c>
      <c r="E96" s="132">
        <v>30000</v>
      </c>
      <c r="F96" s="132">
        <v>20000</v>
      </c>
      <c r="G96" s="132">
        <v>30000</v>
      </c>
      <c r="H96" s="132">
        <v>25000</v>
      </c>
      <c r="I96" s="132">
        <v>35000</v>
      </c>
      <c r="J96" s="132">
        <f t="shared" si="19"/>
        <v>170000</v>
      </c>
      <c r="K96" s="1877">
        <v>45901</v>
      </c>
      <c r="L96" s="1880"/>
      <c r="N96" s="1862"/>
      <c r="O96" s="1862"/>
      <c r="P96" s="1862"/>
      <c r="Q96" s="1862"/>
      <c r="R96" s="1862"/>
      <c r="S96" s="1862"/>
      <c r="T96" s="1862"/>
      <c r="U96" s="1862"/>
      <c r="V96" s="1862"/>
      <c r="W96" s="1862"/>
      <c r="X96" s="1862"/>
    </row>
    <row r="97" s="20" customFormat="1" customHeight="1" spans="1:25">
      <c r="A97" s="1956" t="s">
        <v>11487</v>
      </c>
      <c r="B97" s="1876">
        <v>45894</v>
      </c>
      <c r="C97" s="132">
        <v>10000</v>
      </c>
      <c r="D97" s="132">
        <v>30000</v>
      </c>
      <c r="E97" s="132">
        <v>30000</v>
      </c>
      <c r="F97" s="132">
        <v>18000</v>
      </c>
      <c r="G97" s="132">
        <v>30000</v>
      </c>
      <c r="H97" s="132">
        <v>30000</v>
      </c>
      <c r="I97" s="132">
        <v>30000</v>
      </c>
      <c r="J97" s="132">
        <f t="shared" si="19"/>
        <v>178000</v>
      </c>
      <c r="K97" s="1877">
        <v>45945</v>
      </c>
      <c r="L97" s="1880"/>
      <c r="N97" s="1862"/>
      <c r="O97" s="1862"/>
      <c r="P97" s="1862"/>
      <c r="Q97" s="1862"/>
      <c r="R97" s="1862"/>
      <c r="S97" s="1862"/>
      <c r="T97" s="1862"/>
      <c r="U97" s="1862"/>
      <c r="V97" s="1862"/>
      <c r="W97" s="1862"/>
      <c r="X97" s="1862"/>
    </row>
    <row r="98" customHeight="1" spans="1:25">
      <c r="A98" s="1962" t="s">
        <v>11488</v>
      </c>
      <c r="B98" s="1883">
        <v>45953</v>
      </c>
      <c r="C98" s="1884">
        <v>10000</v>
      </c>
      <c r="D98" s="1884">
        <v>32000</v>
      </c>
      <c r="E98" s="1884">
        <v>32000</v>
      </c>
      <c r="F98" s="1884">
        <v>25000</v>
      </c>
      <c r="G98" s="1884">
        <v>27000</v>
      </c>
      <c r="H98" s="1884">
        <v>28000</v>
      </c>
      <c r="I98" s="1884">
        <v>28000</v>
      </c>
      <c r="J98" s="1884">
        <f t="shared" si="19"/>
        <v>182000</v>
      </c>
      <c r="K98" s="1885">
        <v>45991</v>
      </c>
      <c r="L98" s="1862">
        <f>J100-J94</f>
        <v>2593000</v>
      </c>
      <c r="Y98" s="20"/>
    </row>
    <row r="99" customHeight="1" spans="1:25">
      <c r="A99" s="1956"/>
      <c r="B99" s="1876"/>
      <c r="C99" s="132"/>
      <c r="D99" s="132"/>
      <c r="E99" s="132"/>
      <c r="F99" s="132"/>
      <c r="G99" s="132"/>
      <c r="H99" s="132"/>
      <c r="I99" s="132"/>
      <c r="J99" s="132"/>
      <c r="K99" s="1877"/>
      <c r="N99" s="20"/>
      <c r="O99" s="20"/>
      <c r="P99" s="56" t="s">
        <v>11489</v>
      </c>
      <c r="Q99" s="56"/>
      <c r="R99" s="56"/>
      <c r="S99" s="56"/>
      <c r="T99" s="56"/>
      <c r="U99" s="56"/>
      <c r="V99" s="56"/>
      <c r="W99" s="20"/>
      <c r="X99" s="20"/>
      <c r="Y99" s="20"/>
    </row>
    <row r="100" customHeight="1" spans="1:25">
      <c r="A100" s="1886"/>
      <c r="B100" s="1887" t="s">
        <v>11388</v>
      </c>
      <c r="C100" s="1887">
        <f t="shared" ref="C100:I100" si="23">SUM(C86:C99)</f>
        <v>100000</v>
      </c>
      <c r="D100" s="1887">
        <f t="shared" si="23"/>
        <v>487000</v>
      </c>
      <c r="E100" s="1887">
        <f t="shared" si="23"/>
        <v>483000</v>
      </c>
      <c r="F100" s="1887">
        <f t="shared" si="23"/>
        <v>386000</v>
      </c>
      <c r="G100" s="1887">
        <f t="shared" si="23"/>
        <v>481000</v>
      </c>
      <c r="H100" s="1887">
        <f t="shared" si="23"/>
        <v>480000</v>
      </c>
      <c r="I100" s="1887">
        <f t="shared" si="23"/>
        <v>476000</v>
      </c>
      <c r="J100" s="1887">
        <f>SUM(C100:I100)</f>
        <v>2893000</v>
      </c>
      <c r="K100" s="1888"/>
      <c r="N100" s="20"/>
      <c r="P100" s="99" t="s">
        <v>2553</v>
      </c>
      <c r="Q100" s="99" t="s">
        <v>2554</v>
      </c>
      <c r="R100" s="99" t="s">
        <v>2555</v>
      </c>
      <c r="S100" s="99" t="s">
        <v>2556</v>
      </c>
      <c r="T100" s="99" t="s">
        <v>2557</v>
      </c>
      <c r="U100" s="99" t="s">
        <v>2558</v>
      </c>
      <c r="V100" s="99" t="s">
        <v>2559</v>
      </c>
      <c r="W100" s="20"/>
      <c r="X100" s="20"/>
    </row>
    <row r="101" customHeight="1" spans="1:25">
      <c r="A101" s="1886"/>
      <c r="B101" s="1891" t="s">
        <v>11476</v>
      </c>
      <c r="C101" s="1955">
        <v>42343.3761904763</v>
      </c>
      <c r="D101" s="1955">
        <v>224184.30952381</v>
      </c>
      <c r="E101" s="1955">
        <v>223544.309523809</v>
      </c>
      <c r="F101" s="1955">
        <v>178810.076190476</v>
      </c>
      <c r="G101" s="1955">
        <v>224152.309523809</v>
      </c>
      <c r="H101" s="1955">
        <v>222872.309523809</v>
      </c>
      <c r="I101" s="1955">
        <v>219912.309523809</v>
      </c>
      <c r="J101" s="1955">
        <v>1335819</v>
      </c>
      <c r="K101" s="1888"/>
      <c r="N101" s="20"/>
      <c r="P101" s="132">
        <v>6</v>
      </c>
      <c r="Q101" s="132">
        <v>4</v>
      </c>
      <c r="R101" s="132">
        <v>15</v>
      </c>
      <c r="S101" s="132">
        <v>8</v>
      </c>
      <c r="T101" s="132">
        <v>7</v>
      </c>
      <c r="U101" s="132">
        <v>9</v>
      </c>
      <c r="V101" s="132">
        <v>11</v>
      </c>
      <c r="W101" s="20"/>
      <c r="X101" s="20"/>
    </row>
    <row r="102" customHeight="1" spans="1:25">
      <c r="A102" s="1886"/>
      <c r="B102" s="1887" t="s">
        <v>11392</v>
      </c>
      <c r="C102" s="1916">
        <f>'92104'!BJ772+C101</f>
        <v>105334.725774713</v>
      </c>
      <c r="D102" s="1916">
        <f>'92104'!BK772+D101</f>
        <v>484027.474186667</v>
      </c>
      <c r="E102" s="1916">
        <f>'92104'!BL772+E101</f>
        <v>479683.915845333</v>
      </c>
      <c r="F102" s="1916">
        <f>'92104'!BM772+F101</f>
        <v>384354.502514666</v>
      </c>
      <c r="G102" s="1916">
        <f>'92104'!BN772+G101</f>
        <v>481361.616562666</v>
      </c>
      <c r="H102" s="1916">
        <f>'92104'!BO772+H101</f>
        <v>487337.136565333</v>
      </c>
      <c r="I102" s="1916">
        <f>'92104'!BP772+I101</f>
        <v>472961.050535999</v>
      </c>
      <c r="J102" s="1916">
        <f>SUM(C102:I102)</f>
        <v>2895060.42198538</v>
      </c>
      <c r="K102" s="1888"/>
      <c r="N102" s="20"/>
      <c r="P102" s="1905">
        <v>17149</v>
      </c>
      <c r="Q102" s="1905">
        <v>11520</v>
      </c>
      <c r="R102" s="1905">
        <v>11819</v>
      </c>
      <c r="S102" s="1905">
        <v>12465</v>
      </c>
      <c r="T102" s="1905">
        <v>19196</v>
      </c>
      <c r="U102" s="1905">
        <v>17127</v>
      </c>
      <c r="V102" s="1905">
        <v>15719</v>
      </c>
      <c r="W102" s="20"/>
      <c r="X102" s="20"/>
    </row>
    <row r="103" customHeight="1" spans="1:25">
      <c r="A103" s="1886"/>
      <c r="B103" s="1963" t="s">
        <v>11480</v>
      </c>
      <c r="C103" s="1916">
        <f>P108-(SUM('92104'!BJ710:BJ767))</f>
        <v>-1176.30506666667</v>
      </c>
      <c r="D103" s="1916">
        <f>Q108-(SUM('92104'!BK710:BK767))</f>
        <v>-537.641173333333</v>
      </c>
      <c r="E103" s="1916">
        <f>R108-(SUM('92104'!BL710:BL767))</f>
        <v>-2706.48603733333</v>
      </c>
      <c r="F103" s="1916">
        <f>S108-(SUM('92104'!BM710:BM767))</f>
        <v>199.142250666664</v>
      </c>
      <c r="G103" s="1916">
        <f>T108-(SUM('92104'!BN710:BN767))</f>
        <v>-6493.223232</v>
      </c>
      <c r="H103" s="1916">
        <f>U108-(SUM('92104'!BO710:BO767))</f>
        <v>-4287.794944</v>
      </c>
      <c r="I103" s="1916">
        <f>V108-(SUM('92104'!BP710:BP767))</f>
        <v>1752.35255466667</v>
      </c>
      <c r="J103" s="1964">
        <f>SUM(C103:I103)</f>
        <v>-13249.955648</v>
      </c>
      <c r="K103" s="1888"/>
      <c r="N103" s="20"/>
      <c r="O103" s="20"/>
      <c r="P103" s="20"/>
      <c r="Q103" s="20"/>
      <c r="R103" s="20"/>
      <c r="S103" s="20"/>
      <c r="T103" s="20"/>
      <c r="U103" s="20"/>
      <c r="V103" s="20"/>
      <c r="W103" s="20"/>
      <c r="X103" s="20"/>
    </row>
    <row r="104" customHeight="1" spans="1:25">
      <c r="A104" s="1886"/>
      <c r="B104" s="1887" t="s">
        <v>11393</v>
      </c>
      <c r="C104" s="1916">
        <f>C100-C102</f>
        <v>-5334.72577471274</v>
      </c>
      <c r="D104" s="1916">
        <f t="shared" ref="D104:J104" si="24">D100-D102</f>
        <v>2972.52581333288</v>
      </c>
      <c r="E104" s="1916">
        <f t="shared" si="24"/>
        <v>3316.08415466722</v>
      </c>
      <c r="F104" s="1916">
        <f t="shared" si="24"/>
        <v>1645.49748533359</v>
      </c>
      <c r="G104" s="1916">
        <f t="shared" si="24"/>
        <v>-361.616562666139</v>
      </c>
      <c r="H104" s="1916">
        <f t="shared" si="24"/>
        <v>-7337.13656533271</v>
      </c>
      <c r="I104" s="1916">
        <f t="shared" si="24"/>
        <v>3038.94946400053</v>
      </c>
      <c r="J104" s="1890">
        <f t="shared" si="24"/>
        <v>-2060.42198537756</v>
      </c>
      <c r="K104" s="1888"/>
      <c r="N104" s="20"/>
      <c r="O104" s="20"/>
      <c r="P104" s="20"/>
      <c r="Q104" s="20"/>
      <c r="R104" s="20"/>
      <c r="S104" s="20"/>
      <c r="T104" s="20"/>
      <c r="U104" s="20"/>
      <c r="V104" s="20"/>
      <c r="W104" s="20"/>
      <c r="X104" s="20"/>
    </row>
    <row r="105" ht="30" customHeight="1" spans="1:25">
      <c r="A105" s="1895"/>
      <c r="B105" s="1896" t="s">
        <v>11394</v>
      </c>
      <c r="C105" s="1959">
        <f>SUM(C104:I104)</f>
        <v>-2060.42198537738</v>
      </c>
      <c r="D105" s="1960"/>
      <c r="E105" s="1960"/>
      <c r="F105" s="1960"/>
      <c r="G105" s="1960"/>
      <c r="H105" s="1960"/>
      <c r="I105" s="1960"/>
      <c r="J105" s="1961"/>
      <c r="K105" s="1900"/>
      <c r="P105" s="1965" t="s">
        <v>11490</v>
      </c>
      <c r="Q105" s="1965"/>
      <c r="R105" s="1965"/>
      <c r="S105" s="1965"/>
      <c r="T105" s="1965"/>
      <c r="U105" s="1965"/>
      <c r="V105" s="1965"/>
    </row>
    <row r="106" customHeight="1" spans="1:25">
      <c r="C106" s="1945">
        <v>50512.5095238096</v>
      </c>
      <c r="D106" s="1945">
        <v>268239.842857143</v>
      </c>
      <c r="E106" s="1945">
        <v>266341.976190476</v>
      </c>
      <c r="F106" s="1945">
        <v>211508.742857143</v>
      </c>
      <c r="G106" s="1945">
        <v>266789.976190476</v>
      </c>
      <c r="H106" s="1945">
        <v>265669.976190476</v>
      </c>
      <c r="I106" s="1945">
        <v>261333.976190476</v>
      </c>
      <c r="J106" s="1945">
        <v>1590397</v>
      </c>
      <c r="P106" s="1966" t="s">
        <v>6051</v>
      </c>
      <c r="Q106" s="1966" t="s">
        <v>6052</v>
      </c>
      <c r="R106" s="1966" t="s">
        <v>6053</v>
      </c>
      <c r="S106" s="1966" t="s">
        <v>6054</v>
      </c>
      <c r="T106" s="1966" t="s">
        <v>6055</v>
      </c>
      <c r="U106" s="1966" t="s">
        <v>6056</v>
      </c>
      <c r="V106" s="1966" t="s">
        <v>6057</v>
      </c>
    </row>
    <row r="107" customHeight="1" spans="1:25">
      <c r="C107" s="1893">
        <f>C106-C102</f>
        <v>-54822.2162509031</v>
      </c>
      <c r="D107" s="1893">
        <f t="shared" ref="D107:J107" si="25">D106-D102</f>
        <v>-215787.631329524</v>
      </c>
      <c r="E107" s="1893">
        <f t="shared" si="25"/>
        <v>-213341.939654857</v>
      </c>
      <c r="F107" s="1893">
        <f t="shared" si="25"/>
        <v>-172845.759657523</v>
      </c>
      <c r="G107" s="1893">
        <f t="shared" si="25"/>
        <v>-214571.64037219</v>
      </c>
      <c r="H107" s="1893">
        <f t="shared" si="25"/>
        <v>-221667.160374857</v>
      </c>
      <c r="I107" s="1893">
        <f t="shared" si="25"/>
        <v>-211627.074345523</v>
      </c>
      <c r="J107" s="1893">
        <f t="shared" si="25"/>
        <v>-1304663.42198538</v>
      </c>
      <c r="N107" s="20"/>
      <c r="O107" s="20"/>
      <c r="P107" s="132">
        <v>9</v>
      </c>
      <c r="Q107" s="132">
        <v>2</v>
      </c>
      <c r="R107" s="132">
        <v>5</v>
      </c>
      <c r="S107" s="132">
        <v>9</v>
      </c>
      <c r="T107" s="132">
        <v>12</v>
      </c>
      <c r="U107" s="132">
        <v>15</v>
      </c>
      <c r="V107" s="132">
        <v>8</v>
      </c>
      <c r="W107" s="20"/>
      <c r="X107" s="20"/>
    </row>
    <row r="108" customHeight="1" spans="1:25">
      <c r="A108" s="1967" t="s">
        <v>11491</v>
      </c>
      <c r="B108" s="1968"/>
      <c r="C108" s="1968"/>
      <c r="D108" s="1968"/>
      <c r="E108" s="1968"/>
      <c r="F108" s="1968"/>
      <c r="G108" s="1969"/>
      <c r="H108" s="1970" t="s">
        <v>11434</v>
      </c>
      <c r="I108" s="1971" t="s">
        <v>11368</v>
      </c>
      <c r="P108" s="1972">
        <v>13339</v>
      </c>
      <c r="Q108" s="1972">
        <v>6228</v>
      </c>
      <c r="R108" s="1972">
        <v>6926</v>
      </c>
      <c r="S108" s="1972">
        <v>17164</v>
      </c>
      <c r="T108" s="1972">
        <v>13096</v>
      </c>
      <c r="U108" s="1972">
        <v>20867</v>
      </c>
      <c r="V108" s="1972">
        <v>16428</v>
      </c>
    </row>
    <row r="109" s="20" customFormat="1" customHeight="1" spans="1:25">
      <c r="A109" s="1867" t="s">
        <v>10539</v>
      </c>
      <c r="B109" s="1868" t="s">
        <v>10540</v>
      </c>
      <c r="C109" s="1973" t="s">
        <v>8781</v>
      </c>
      <c r="D109" s="1973" t="s">
        <v>8576</v>
      </c>
      <c r="E109" s="1973" t="s">
        <v>8571</v>
      </c>
      <c r="F109" s="1974" t="s">
        <v>11492</v>
      </c>
      <c r="G109" s="1872" t="s">
        <v>11372</v>
      </c>
      <c r="H109" s="1970">
        <f>布料MA!Q581</f>
        <v>465000</v>
      </c>
      <c r="I109" s="1909">
        <f>H109-F120</f>
        <v>14483</v>
      </c>
      <c r="J109" s="1862"/>
      <c r="K109" s="1862"/>
      <c r="Y109" s="1862"/>
    </row>
    <row r="110" s="1862" customFormat="1" customHeight="1" spans="1:25">
      <c r="A110" s="1951" t="s">
        <v>11470</v>
      </c>
      <c r="B110" s="1868"/>
      <c r="C110" s="1975">
        <v>1</v>
      </c>
      <c r="D110" s="1975">
        <v>1</v>
      </c>
      <c r="E110" s="1975">
        <v>1</v>
      </c>
      <c r="F110" s="1976">
        <f t="shared" ref="F110:F117" si="26">SUM(C110:E110)</f>
        <v>3</v>
      </c>
      <c r="G110" s="1872"/>
      <c r="H110" s="1935"/>
    </row>
    <row r="111" s="20" customFormat="1" customHeight="1" spans="1:25">
      <c r="A111" s="1873" t="s">
        <v>11493</v>
      </c>
      <c r="B111" s="1876">
        <v>45294</v>
      </c>
      <c r="C111" s="132">
        <v>30000</v>
      </c>
      <c r="D111" s="132">
        <v>30000</v>
      </c>
      <c r="E111" s="132">
        <v>30000</v>
      </c>
      <c r="F111" s="132">
        <f t="shared" si="26"/>
        <v>90000</v>
      </c>
      <c r="G111" s="1877">
        <v>45420</v>
      </c>
      <c r="H111" s="1935"/>
      <c r="I111" s="1862"/>
      <c r="J111" s="1862"/>
      <c r="K111" s="1862"/>
      <c r="N111" s="1862"/>
      <c r="O111" s="1862"/>
      <c r="P111" s="1862"/>
      <c r="Q111" s="1862"/>
      <c r="R111" s="1862"/>
      <c r="S111" s="1862"/>
      <c r="T111" s="1862"/>
      <c r="U111" s="1862"/>
      <c r="V111" s="1862"/>
      <c r="W111" s="1862"/>
      <c r="X111" s="1862"/>
    </row>
    <row r="112" s="1862" customFormat="1" customHeight="1" spans="1:25">
      <c r="A112" s="1873" t="s">
        <v>11494</v>
      </c>
      <c r="B112" s="1876">
        <v>45422</v>
      </c>
      <c r="C112" s="132">
        <v>20000</v>
      </c>
      <c r="D112" s="132">
        <v>20000</v>
      </c>
      <c r="E112" s="132">
        <v>20000</v>
      </c>
      <c r="F112" s="132">
        <f t="shared" si="26"/>
        <v>60000</v>
      </c>
      <c r="G112" s="1877">
        <v>45473</v>
      </c>
      <c r="H112" s="1880" t="s">
        <v>11444</v>
      </c>
      <c r="I112" s="1862">
        <v>20240612</v>
      </c>
    </row>
    <row r="113" s="1862" customFormat="1" customHeight="1" spans="1:25">
      <c r="A113" s="1873" t="s">
        <v>11495</v>
      </c>
      <c r="B113" s="1876">
        <v>45456</v>
      </c>
      <c r="C113" s="132">
        <v>25000</v>
      </c>
      <c r="D113" s="132">
        <v>25000</v>
      </c>
      <c r="E113" s="132">
        <v>20000</v>
      </c>
      <c r="F113" s="132">
        <f t="shared" si="26"/>
        <v>70000</v>
      </c>
      <c r="G113" s="1877">
        <v>45528</v>
      </c>
      <c r="H113" s="1880" t="s">
        <v>11444</v>
      </c>
      <c r="I113" s="1977" t="s">
        <v>11496</v>
      </c>
      <c r="J113" s="20"/>
      <c r="K113" s="20"/>
    </row>
    <row r="114" s="1862" customFormat="1" customHeight="1" spans="1:25">
      <c r="A114" s="1873" t="s">
        <v>11497</v>
      </c>
      <c r="B114" s="1876">
        <v>45496</v>
      </c>
      <c r="C114" s="132">
        <v>30000</v>
      </c>
      <c r="D114" s="132">
        <v>30000</v>
      </c>
      <c r="E114" s="132">
        <v>30000</v>
      </c>
      <c r="F114" s="132">
        <f t="shared" si="26"/>
        <v>90000</v>
      </c>
      <c r="G114" s="1877">
        <v>45590</v>
      </c>
      <c r="H114" s="1880" t="s">
        <v>11444</v>
      </c>
      <c r="I114" s="1978"/>
    </row>
    <row r="115" customHeight="1" spans="1:25">
      <c r="A115" s="1873" t="s">
        <v>11498</v>
      </c>
      <c r="B115" s="1876">
        <v>45593</v>
      </c>
      <c r="C115" s="132">
        <v>30000</v>
      </c>
      <c r="D115" s="132">
        <v>30000</v>
      </c>
      <c r="E115" s="132">
        <v>30000</v>
      </c>
      <c r="F115" s="132">
        <f t="shared" si="26"/>
        <v>90000</v>
      </c>
      <c r="G115" s="1877">
        <v>45667</v>
      </c>
      <c r="H115" s="1880"/>
      <c r="I115" s="1977"/>
      <c r="J115" s="20"/>
      <c r="K115" s="20"/>
      <c r="N115" s="20"/>
      <c r="O115" s="20"/>
      <c r="P115" s="20"/>
      <c r="Q115" s="20"/>
      <c r="R115" s="20"/>
      <c r="S115" s="20"/>
      <c r="T115" s="20"/>
      <c r="U115" s="20"/>
      <c r="V115" s="20"/>
      <c r="W115" s="20"/>
      <c r="X115" s="20"/>
    </row>
    <row r="116" customHeight="1" spans="1:25">
      <c r="A116" s="1873" t="s">
        <v>11499</v>
      </c>
      <c r="B116" s="1876">
        <v>45839</v>
      </c>
      <c r="C116" s="132">
        <v>25000</v>
      </c>
      <c r="D116" s="132"/>
      <c r="E116" s="132"/>
      <c r="F116" s="132">
        <f t="shared" si="26"/>
        <v>25000</v>
      </c>
      <c r="G116" s="1877">
        <v>45907</v>
      </c>
      <c r="H116" s="1880"/>
      <c r="I116" s="1978"/>
      <c r="Y116" s="20"/>
    </row>
    <row r="117" customHeight="1" spans="1:25">
      <c r="A117" s="1953" t="s">
        <v>11500</v>
      </c>
      <c r="B117" s="1883">
        <v>46184</v>
      </c>
      <c r="C117" s="1884"/>
      <c r="D117" s="1909">
        <v>20000</v>
      </c>
      <c r="E117" s="1909">
        <v>20000</v>
      </c>
      <c r="F117" s="1884">
        <f t="shared" si="26"/>
        <v>40000</v>
      </c>
      <c r="G117" s="1885">
        <v>46218</v>
      </c>
      <c r="H117" s="1880"/>
      <c r="I117" s="1978"/>
      <c r="Y117" s="20"/>
    </row>
    <row r="118" customHeight="1" spans="1:25">
      <c r="A118" s="1873"/>
      <c r="B118" s="1876"/>
      <c r="C118" s="132"/>
      <c r="D118" s="132"/>
      <c r="E118" s="132"/>
      <c r="F118" s="132"/>
      <c r="G118" s="1877"/>
      <c r="H118" s="1880"/>
      <c r="I118" s="1978"/>
    </row>
    <row r="119" customHeight="1" spans="1:25">
      <c r="A119" s="1873"/>
      <c r="B119" s="1979" t="s">
        <v>11501</v>
      </c>
      <c r="C119" s="1980">
        <v>-5766</v>
      </c>
      <c r="D119" s="1980">
        <v>-6540</v>
      </c>
      <c r="E119" s="1980">
        <v>-2177</v>
      </c>
      <c r="F119" s="132"/>
      <c r="G119" s="1877"/>
    </row>
    <row r="120" customHeight="1" spans="1:25">
      <c r="A120" s="1886"/>
      <c r="B120" s="1887" t="s">
        <v>11388</v>
      </c>
      <c r="C120" s="1887">
        <f>SUM(C111:C119)</f>
        <v>154234</v>
      </c>
      <c r="D120" s="1887">
        <f>SUM(D111:D119)</f>
        <v>148460</v>
      </c>
      <c r="E120" s="1887">
        <f>SUM(E111:E119)</f>
        <v>147823</v>
      </c>
      <c r="F120" s="1887">
        <f>SUM(C120:E120)</f>
        <v>450517</v>
      </c>
      <c r="G120" s="1888"/>
    </row>
    <row r="121" customHeight="1" spans="1:25">
      <c r="A121" s="1886"/>
      <c r="B121" s="1891" t="s">
        <v>11476</v>
      </c>
      <c r="C121" s="1890">
        <v>92349.333333333</v>
      </c>
      <c r="D121" s="1890">
        <v>77003.3333333333</v>
      </c>
      <c r="E121" s="1890">
        <v>64465.3333333333</v>
      </c>
      <c r="F121" s="1891">
        <f>SUM(C121:E121)</f>
        <v>233818</v>
      </c>
      <c r="G121" s="1888"/>
    </row>
    <row r="122" customHeight="1" spans="1:25">
      <c r="A122" s="1886"/>
      <c r="B122" s="1887" t="s">
        <v>11392</v>
      </c>
      <c r="C122" s="1916">
        <f>'92106'!AR253+C121</f>
        <v>149996.933333333</v>
      </c>
      <c r="D122" s="1916">
        <f>'92106'!AS253+D121</f>
        <v>145261.2</v>
      </c>
      <c r="E122" s="1916">
        <f>'92106'!AT253+E121</f>
        <v>136945.866666667</v>
      </c>
      <c r="F122" s="1916">
        <f>SUM(C122:E122)</f>
        <v>432204</v>
      </c>
      <c r="G122" s="1888"/>
    </row>
    <row r="123" customHeight="1" spans="1:25">
      <c r="A123" s="1886"/>
      <c r="B123" s="1887" t="s">
        <v>11393</v>
      </c>
      <c r="C123" s="1892">
        <f>C120-C122</f>
        <v>4237.06666666703</v>
      </c>
      <c r="D123" s="1981">
        <f>D120-D122</f>
        <v>3198.80000000005</v>
      </c>
      <c r="E123" s="1892">
        <f>E120-E122</f>
        <v>10877.1333333333</v>
      </c>
      <c r="F123" s="1892">
        <f>F120-F122</f>
        <v>18313.0000000003</v>
      </c>
      <c r="G123" s="1888"/>
      <c r="N123" s="20"/>
      <c r="O123" s="20"/>
      <c r="P123" s="20"/>
      <c r="Q123" s="20"/>
      <c r="R123" s="20"/>
      <c r="S123" s="20"/>
      <c r="T123" s="20"/>
      <c r="U123" s="20"/>
      <c r="V123" s="20"/>
      <c r="W123" s="20"/>
      <c r="X123" s="20"/>
    </row>
    <row r="124" customHeight="1" spans="1:25">
      <c r="A124" s="1895"/>
      <c r="B124" s="1896" t="s">
        <v>11394</v>
      </c>
      <c r="C124" s="1982">
        <f>SUM(C123:E123)</f>
        <v>18313.0000000004</v>
      </c>
      <c r="D124" s="1982"/>
      <c r="E124" s="1982"/>
      <c r="F124" s="1982"/>
      <c r="G124" s="1983"/>
    </row>
    <row r="125" customHeight="1" spans="1:25">
      <c r="C125" s="1893">
        <v>105871.333333333</v>
      </c>
      <c r="D125" s="1893">
        <v>90525.3333333333</v>
      </c>
      <c r="E125" s="1893">
        <v>77987.3333333333</v>
      </c>
      <c r="F125" s="1893">
        <v>274384</v>
      </c>
    </row>
    <row r="126" customHeight="1" spans="1:25">
      <c r="C126" s="1945">
        <f>C125-C122</f>
        <v>-44125.6</v>
      </c>
      <c r="D126" s="1945">
        <f>D125-D122</f>
        <v>-54735.8666666667</v>
      </c>
      <c r="E126" s="1945">
        <f>E125-E122</f>
        <v>-58958.5333333334</v>
      </c>
      <c r="F126" s="1945">
        <f>F125-F122</f>
        <v>-157820</v>
      </c>
    </row>
    <row r="128" customHeight="1" spans="1:25">
      <c r="N128" s="1879"/>
      <c r="O128" s="1879"/>
      <c r="P128" s="1879"/>
      <c r="Q128" s="1879"/>
      <c r="R128" s="1879"/>
      <c r="S128" s="1879"/>
      <c r="T128" s="1879"/>
      <c r="U128" s="1879"/>
      <c r="V128" s="1879"/>
      <c r="W128" s="1879"/>
      <c r="X128" s="1879"/>
    </row>
    <row r="884" customHeight="1" spans="62:74">
      <c r="BJ884" s="1871"/>
      <c r="BK884" s="1871"/>
      <c r="BL884" s="1871"/>
      <c r="BM884" s="1871"/>
      <c r="BN884" s="1871"/>
      <c r="BO884" s="1871"/>
      <c r="BP884" s="1871"/>
      <c r="BQ884" s="1871"/>
      <c r="BR884" s="1871"/>
      <c r="BS884" s="1871"/>
      <c r="BT884" s="1871"/>
      <c r="BU884" s="1871"/>
      <c r="BV884" s="1871"/>
    </row>
    <row r="885" customHeight="1" spans="62:74">
      <c r="BJ885" s="1871"/>
      <c r="BK885" s="1871"/>
      <c r="BL885" s="1871"/>
      <c r="BM885" s="1871"/>
      <c r="BN885" s="1871"/>
      <c r="BO885" s="1871"/>
      <c r="BP885" s="1871"/>
      <c r="BQ885" s="1871"/>
      <c r="BR885" s="1871"/>
      <c r="BS885" s="1871"/>
      <c r="BT885" s="1871"/>
      <c r="BU885" s="1871"/>
      <c r="BV885" s="1871"/>
    </row>
    <row r="886" customHeight="1" spans="62:74">
      <c r="BJ886" s="1871"/>
      <c r="BK886" s="1871"/>
      <c r="BL886" s="1871"/>
      <c r="BM886" s="1871"/>
      <c r="BN886" s="1871"/>
      <c r="BO886" s="1871"/>
      <c r="BP886" s="1871"/>
      <c r="BQ886" s="1871"/>
      <c r="BR886" s="1871"/>
      <c r="BS886" s="1871"/>
      <c r="BT886" s="1871"/>
      <c r="BU886" s="1871"/>
      <c r="BV886" s="1871"/>
    </row>
    <row r="887" customHeight="1" spans="62:74">
      <c r="BJ887" s="1871"/>
      <c r="BK887" s="1871"/>
      <c r="BL887" s="1871"/>
      <c r="BM887" s="1871"/>
      <c r="BN887" s="1871"/>
      <c r="BO887" s="1871"/>
      <c r="BP887" s="1871"/>
      <c r="BQ887" s="1871"/>
      <c r="BR887" s="1871"/>
      <c r="BS887" s="1871"/>
      <c r="BT887" s="1871"/>
      <c r="BU887" s="1871"/>
      <c r="BV887" s="1871"/>
    </row>
    <row r="888" customHeight="1" spans="62:74">
      <c r="BJ888" s="1871"/>
      <c r="BK888" s="1871"/>
      <c r="BL888" s="1871"/>
      <c r="BM888" s="1871"/>
      <c r="BN888" s="1871"/>
      <c r="BO888" s="1871"/>
      <c r="BP888" s="1871"/>
      <c r="BQ888" s="1871"/>
      <c r="BR888" s="1871"/>
      <c r="BS888" s="1871"/>
      <c r="BT888" s="1871"/>
      <c r="BU888" s="1871"/>
      <c r="BV888" s="1871"/>
    </row>
    <row r="889" customHeight="1" spans="62:74">
      <c r="BJ889" s="1871"/>
      <c r="BK889" s="1871"/>
      <c r="BL889" s="1871"/>
      <c r="BM889" s="1871"/>
      <c r="BN889" s="1871"/>
      <c r="BO889" s="1871"/>
      <c r="BP889" s="1871"/>
      <c r="BQ889" s="1871"/>
      <c r="BR889" s="1871"/>
      <c r="BS889" s="1871"/>
      <c r="BT889" s="1871"/>
      <c r="BU889" s="1871"/>
      <c r="BV889" s="1871"/>
    </row>
    <row r="890" customHeight="1" spans="62:74">
      <c r="BJ890" s="1871"/>
      <c r="BK890" s="1871"/>
      <c r="BL890" s="1871"/>
      <c r="BM890" s="1871"/>
      <c r="BN890" s="1871"/>
      <c r="BO890" s="1871"/>
      <c r="BP890" s="1871"/>
      <c r="BQ890" s="1871"/>
      <c r="BR890" s="1871"/>
      <c r="BS890" s="1871"/>
      <c r="BT890" s="1871"/>
      <c r="BU890" s="1871"/>
      <c r="BV890" s="1871"/>
    </row>
    <row r="891" customHeight="1" spans="62:74">
      <c r="BJ891" s="1871"/>
      <c r="BK891" s="1871"/>
      <c r="BL891" s="1871"/>
      <c r="BM891" s="1871"/>
      <c r="BN891" s="1871"/>
      <c r="BO891" s="1871"/>
      <c r="BP891" s="1871"/>
      <c r="BQ891" s="1871"/>
      <c r="BR891" s="1871"/>
      <c r="BS891" s="1871"/>
      <c r="BT891" s="1871"/>
      <c r="BU891" s="1871"/>
      <c r="BV891" s="1871"/>
    </row>
    <row r="892" customHeight="1" spans="62:74">
      <c r="BJ892" s="1871"/>
      <c r="BK892" s="1871"/>
      <c r="BL892" s="1871"/>
      <c r="BM892" s="1871"/>
      <c r="BN892" s="1871"/>
      <c r="BO892" s="1871"/>
      <c r="BP892" s="1871"/>
      <c r="BQ892" s="1871"/>
      <c r="BR892" s="1871"/>
      <c r="BS892" s="1871"/>
      <c r="BT892" s="1871"/>
      <c r="BU892" s="1871"/>
      <c r="BV892" s="1871"/>
    </row>
    <row r="893" customHeight="1" spans="62:74">
      <c r="BJ893" s="1871"/>
      <c r="BK893" s="1871"/>
      <c r="BL893" s="1871"/>
      <c r="BM893" s="1871"/>
      <c r="BN893" s="1871"/>
      <c r="BO893" s="1871"/>
      <c r="BP893" s="1871"/>
      <c r="BQ893" s="1871"/>
      <c r="BR893" s="1871"/>
      <c r="BS893" s="1871"/>
      <c r="BT893" s="1871"/>
      <c r="BU893" s="1871"/>
      <c r="BV893" s="1871"/>
    </row>
    <row r="894" customHeight="1" spans="62:74">
      <c r="BJ894" s="1871"/>
      <c r="BK894" s="1871"/>
      <c r="BL894" s="1871"/>
      <c r="BM894" s="1871"/>
      <c r="BN894" s="1871"/>
      <c r="BO894" s="1871"/>
      <c r="BP894" s="1871"/>
      <c r="BQ894" s="1871"/>
      <c r="BR894" s="1871"/>
      <c r="BS894" s="1871"/>
      <c r="BT894" s="1871"/>
      <c r="BU894" s="1871"/>
      <c r="BV894" s="1871"/>
    </row>
    <row r="895" customHeight="1" spans="62:74">
      <c r="BJ895" s="1871"/>
      <c r="BK895" s="1871"/>
      <c r="BL895" s="1871"/>
      <c r="BM895" s="1871"/>
      <c r="BN895" s="1871"/>
      <c r="BO895" s="1871"/>
      <c r="BP895" s="1871"/>
      <c r="BQ895" s="1871"/>
      <c r="BR895" s="1871"/>
      <c r="BS895" s="1871"/>
      <c r="BT895" s="1871"/>
      <c r="BU895" s="1871"/>
      <c r="BV895" s="1871"/>
    </row>
    <row r="896" customHeight="1" spans="62:74">
      <c r="BJ896" s="1871"/>
      <c r="BK896" s="1871"/>
      <c r="BL896" s="1871"/>
      <c r="BM896" s="1871"/>
      <c r="BN896" s="1871"/>
      <c r="BO896" s="1871"/>
      <c r="BP896" s="1871"/>
      <c r="BQ896" s="1871"/>
      <c r="BR896" s="1871"/>
      <c r="BS896" s="1871"/>
      <c r="BT896" s="1871"/>
      <c r="BU896" s="1871"/>
      <c r="BV896" s="1871"/>
    </row>
  </sheetData>
  <sheetProtection formatCells="0" formatColumns="0" formatRows="0" insertRows="0" insertColumns="0" insertHyperlinks="0" deleteColumns="0" deleteRows="0" sort="0" autoFilter="0" pivotTables="0"/>
  <autoFilter xmlns:etc="http://www.wps.cn/officeDocument/2017/etCustomData" ref="A3:AC35" etc:filterBottomFollowUsedRange="0">
    <extLst/>
  </autoFilter>
  <mergeCells count="16">
    <mergeCell ref="A2:K2"/>
    <mergeCell ref="C33:J33"/>
    <mergeCell ref="A37:K37"/>
    <mergeCell ref="N37:X37"/>
    <mergeCell ref="C58:J58"/>
    <mergeCell ref="P59:W59"/>
    <mergeCell ref="A62:K62"/>
    <mergeCell ref="N63:X63"/>
    <mergeCell ref="C77:J77"/>
    <mergeCell ref="A82:K82"/>
    <mergeCell ref="P93:W93"/>
    <mergeCell ref="P99:V99"/>
    <mergeCell ref="C105:J105"/>
    <mergeCell ref="P105:V105"/>
    <mergeCell ref="A108:G108"/>
    <mergeCell ref="C124:G124"/>
  </mergeCells>
  <pageMargins left="0" right="0" top="0" bottom="0" header="0.509027777777778" footer="0.509027777777778"/>
  <pageSetup paperSize="9" scale="15" orientation="landscape" horizontalDpi="600"/>
  <headerFooter/>
  <ignoredErrors>
    <ignoredError sqref="F111:F115 J86:J94 J9:J15 J18:J19 J4:J7 W39:W41 J64:J67 A100:B100 A120:B120 G120 J39:J46 W58:W67" formulaRange="1"/>
  </ignoredErrors>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Y50"/>
  <sheetViews>
    <sheetView zoomScale="80" zoomScaleNormal="80" workbookViewId="0">
      <pane xSplit="24" ySplit="2" topLeftCell="Y3" activePane="bottomRight" state="frozen"/>
      <selection/>
      <selection pane="topRight"/>
      <selection pane="bottomLeft"/>
      <selection pane="bottomRight" activeCell="U3" sqref="U3"/>
    </sheetView>
  </sheetViews>
  <sheetFormatPr defaultColWidth="8.125" defaultRowHeight="13.5"/>
  <cols>
    <col min="1" max="1" width="13.1083333333333" style="483" customWidth="1"/>
    <col min="2" max="2" width="10.825" style="483" customWidth="1"/>
    <col min="3" max="3" width="11.5333333333333" style="483" customWidth="1"/>
    <col min="4" max="4" width="8.78333333333333" style="483" customWidth="1"/>
    <col min="5" max="5" width="10.1083333333333" style="483" customWidth="1"/>
    <col min="6" max="7" width="8.78333333333333" style="483" customWidth="1"/>
    <col min="8" max="8" width="13.4083333333333" style="483" customWidth="1"/>
    <col min="9" max="9" width="9.425" style="483" customWidth="1"/>
    <col min="10" max="11" width="2.45" style="483" customWidth="1"/>
    <col min="12" max="12" width="14.2416666666667" style="483" customWidth="1"/>
    <col min="13" max="13" width="10.8083333333333" style="483" customWidth="1"/>
    <col min="14" max="14" width="11.3166666666667" style="483" customWidth="1"/>
    <col min="15" max="15" width="10.35" style="483" customWidth="1"/>
    <col min="16" max="16" width="10.7083333333333" style="483" customWidth="1"/>
    <col min="17" max="17" width="11.7583333333333" style="483" customWidth="1"/>
    <col min="18" max="22" width="7.38333333333333" style="483" customWidth="1"/>
    <col min="23" max="23" width="10.9" style="483" customWidth="1"/>
    <col min="24" max="24" width="9.35" style="483" customWidth="1"/>
    <col min="25" max="25" width="6.80833333333333" style="483" customWidth="1"/>
    <col min="26" max="27" width="10.725" style="483" customWidth="1"/>
    <col min="28" max="28" width="12.275" style="483" customWidth="1"/>
    <col min="29" max="30" width="10.725" style="483" customWidth="1"/>
    <col min="31" max="34" width="9.075" style="483" customWidth="1"/>
    <col min="35" max="16384" width="8.125" style="483"/>
  </cols>
  <sheetData>
    <row r="1" ht="37" customHeight="1" spans="1:25">
      <c r="A1" s="1774" t="s">
        <v>11502</v>
      </c>
      <c r="B1" s="1774"/>
      <c r="C1" s="1774"/>
      <c r="D1" s="1775" t="s">
        <v>11225</v>
      </c>
      <c r="E1" s="1776"/>
      <c r="F1" s="1776"/>
      <c r="G1" s="1776"/>
      <c r="H1" s="1777"/>
      <c r="L1" s="1778" t="s">
        <v>11503</v>
      </c>
      <c r="M1" s="1779"/>
      <c r="N1" s="1780"/>
      <c r="O1" s="1781" t="s">
        <v>11280</v>
      </c>
      <c r="P1" s="1776"/>
      <c r="Q1" s="1776"/>
      <c r="R1" s="1776"/>
      <c r="S1" s="1776"/>
      <c r="T1" s="1776"/>
      <c r="U1" s="1776"/>
      <c r="V1" s="1776"/>
      <c r="W1" s="1777"/>
    </row>
    <row r="2" ht="36" spans="1:25">
      <c r="A2" s="1782" t="s">
        <v>11504</v>
      </c>
      <c r="B2" s="1783" t="s">
        <v>11505</v>
      </c>
      <c r="C2" s="1783" t="s">
        <v>11506</v>
      </c>
      <c r="D2" s="1784" t="s">
        <v>11226</v>
      </c>
      <c r="E2" s="1784" t="s">
        <v>11242</v>
      </c>
      <c r="F2" s="1784" t="s">
        <v>11255</v>
      </c>
      <c r="G2" s="1784" t="s">
        <v>11271</v>
      </c>
      <c r="H2" s="1784" t="s">
        <v>11507</v>
      </c>
      <c r="I2" s="1784" t="s">
        <v>39</v>
      </c>
      <c r="L2" s="1785" t="s">
        <v>11504</v>
      </c>
      <c r="M2" s="1783" t="s">
        <v>11505</v>
      </c>
      <c r="N2" s="1786" t="s">
        <v>11506</v>
      </c>
      <c r="O2" s="1787" t="s">
        <v>10172</v>
      </c>
      <c r="P2" s="1788" t="s">
        <v>10173</v>
      </c>
      <c r="Q2" s="1789" t="s">
        <v>10174</v>
      </c>
      <c r="R2" s="1788" t="s">
        <v>10175</v>
      </c>
      <c r="S2" s="1789" t="s">
        <v>10176</v>
      </c>
      <c r="T2" s="1788" t="s">
        <v>10177</v>
      </c>
      <c r="U2" s="1789" t="s">
        <v>10178</v>
      </c>
      <c r="V2" s="1788" t="s">
        <v>10179</v>
      </c>
      <c r="W2" s="1790" t="s">
        <v>11507</v>
      </c>
      <c r="X2" s="1791" t="s">
        <v>39</v>
      </c>
    </row>
    <row r="3" ht="17" customHeight="1" spans="1:25">
      <c r="A3" s="1782" t="s">
        <v>11508</v>
      </c>
      <c r="B3" s="1792">
        <v>45294</v>
      </c>
      <c r="C3" s="1792">
        <v>45380</v>
      </c>
      <c r="D3" s="1793">
        <v>20000</v>
      </c>
      <c r="E3" s="1793">
        <v>20000</v>
      </c>
      <c r="F3" s="1793">
        <v>20000</v>
      </c>
      <c r="G3" s="1793">
        <v>20000</v>
      </c>
      <c r="H3" s="1794" t="s">
        <v>11509</v>
      </c>
      <c r="I3" s="1795"/>
      <c r="L3" s="1785" t="s">
        <v>11508</v>
      </c>
      <c r="M3" s="1792">
        <v>45294</v>
      </c>
      <c r="N3" s="1796">
        <v>45380</v>
      </c>
      <c r="O3" s="1797">
        <v>20000</v>
      </c>
      <c r="P3" s="1798">
        <v>20000</v>
      </c>
      <c r="Q3" s="1799">
        <v>20000</v>
      </c>
      <c r="R3" s="1798">
        <v>20000</v>
      </c>
      <c r="S3" s="1799">
        <v>20000</v>
      </c>
      <c r="T3" s="1798">
        <v>20000</v>
      </c>
      <c r="U3" s="1799">
        <v>20000</v>
      </c>
      <c r="V3" s="1798">
        <v>20000</v>
      </c>
      <c r="W3" s="1800" t="s">
        <v>11510</v>
      </c>
      <c r="X3" s="1801"/>
      <c r="Y3" s="483">
        <f t="shared" ref="Y3:Y6" si="0">O3+Q3+S3+U3</f>
        <v>80000</v>
      </c>
    </row>
    <row r="4" ht="17" customHeight="1" spans="1:25">
      <c r="A4" s="1782" t="s">
        <v>11511</v>
      </c>
      <c r="B4" s="1792">
        <v>45344</v>
      </c>
      <c r="C4" s="1792">
        <v>45435</v>
      </c>
      <c r="D4" s="1793">
        <v>20000</v>
      </c>
      <c r="E4" s="1793">
        <v>20000</v>
      </c>
      <c r="F4" s="1793">
        <v>20000</v>
      </c>
      <c r="G4" s="1793">
        <v>20000</v>
      </c>
      <c r="H4" s="1794" t="s">
        <v>11512</v>
      </c>
      <c r="I4" s="1795"/>
      <c r="L4" s="1785" t="s">
        <v>11513</v>
      </c>
      <c r="M4" s="1792">
        <v>45371</v>
      </c>
      <c r="N4" s="1796">
        <v>45457</v>
      </c>
      <c r="O4" s="1797">
        <v>20000</v>
      </c>
      <c r="P4" s="1798">
        <v>20000</v>
      </c>
      <c r="Q4" s="1799">
        <v>20000</v>
      </c>
      <c r="R4" s="1798">
        <v>20000</v>
      </c>
      <c r="S4" s="1799">
        <v>20000</v>
      </c>
      <c r="T4" s="1798">
        <v>20000</v>
      </c>
      <c r="U4" s="1799">
        <v>20000</v>
      </c>
      <c r="V4" s="1798">
        <v>20000</v>
      </c>
      <c r="W4" s="1800" t="s">
        <v>11514</v>
      </c>
      <c r="X4" s="1801"/>
      <c r="Y4" s="483">
        <f t="shared" si="0"/>
        <v>80000</v>
      </c>
    </row>
    <row r="5" ht="17" customHeight="1" spans="1:25">
      <c r="A5" s="1782" t="s">
        <v>11515</v>
      </c>
      <c r="B5" s="1792">
        <v>45401</v>
      </c>
      <c r="C5" s="1792">
        <v>45482</v>
      </c>
      <c r="D5" s="1793">
        <v>20000</v>
      </c>
      <c r="E5" s="1793">
        <v>20000</v>
      </c>
      <c r="F5" s="1793">
        <v>20000</v>
      </c>
      <c r="G5" s="1793">
        <v>20000</v>
      </c>
      <c r="H5" s="1794" t="s">
        <v>11514</v>
      </c>
      <c r="I5" s="1795"/>
      <c r="L5" s="1785" t="s">
        <v>11205</v>
      </c>
      <c r="M5" s="1792">
        <v>45423</v>
      </c>
      <c r="N5" s="1796">
        <v>45482</v>
      </c>
      <c r="O5" s="1797">
        <v>20000</v>
      </c>
      <c r="P5" s="1798">
        <v>20000</v>
      </c>
      <c r="Q5" s="1799">
        <v>20000</v>
      </c>
      <c r="R5" s="1798">
        <v>20000</v>
      </c>
      <c r="S5" s="1799">
        <v>40000</v>
      </c>
      <c r="T5" s="1798">
        <v>40000</v>
      </c>
      <c r="U5" s="1799">
        <v>20000</v>
      </c>
      <c r="V5" s="1798">
        <v>20000</v>
      </c>
      <c r="W5" s="1800"/>
      <c r="X5" s="1801"/>
      <c r="Y5" s="483">
        <f t="shared" si="0"/>
        <v>100000</v>
      </c>
    </row>
    <row r="6" ht="17" customHeight="1" spans="1:25">
      <c r="A6" s="1782" t="s">
        <v>11205</v>
      </c>
      <c r="B6" s="1792">
        <v>45423</v>
      </c>
      <c r="C6" s="1792">
        <v>45482</v>
      </c>
      <c r="D6" s="1793">
        <v>20000</v>
      </c>
      <c r="E6" s="1793">
        <v>20000</v>
      </c>
      <c r="F6" s="1793">
        <v>20000</v>
      </c>
      <c r="G6" s="1793">
        <v>20000</v>
      </c>
      <c r="H6" s="1794"/>
      <c r="I6" s="1795"/>
      <c r="L6" s="1785" t="s">
        <v>11516</v>
      </c>
      <c r="M6" s="1792">
        <v>45476</v>
      </c>
      <c r="N6" s="1796">
        <v>45523</v>
      </c>
      <c r="O6" s="1797">
        <v>0</v>
      </c>
      <c r="P6" s="1798">
        <v>0</v>
      </c>
      <c r="Q6" s="1799">
        <v>0</v>
      </c>
      <c r="R6" s="1798">
        <v>0</v>
      </c>
      <c r="S6" s="1799">
        <v>21000</v>
      </c>
      <c r="T6" s="1798">
        <v>21000</v>
      </c>
      <c r="U6" s="1799">
        <v>0</v>
      </c>
      <c r="V6" s="1798">
        <v>0</v>
      </c>
      <c r="W6" s="1800"/>
      <c r="X6" s="1801"/>
      <c r="Y6" s="483">
        <f t="shared" si="0"/>
        <v>21000</v>
      </c>
    </row>
    <row r="7" ht="17" customHeight="1" spans="1:25">
      <c r="A7" s="1782" t="s">
        <v>11517</v>
      </c>
      <c r="B7" s="1792">
        <v>45436</v>
      </c>
      <c r="C7" s="1792">
        <v>45498</v>
      </c>
      <c r="D7" s="1793">
        <v>20000</v>
      </c>
      <c r="E7" s="1793">
        <v>20000</v>
      </c>
      <c r="F7" s="1793">
        <v>20000</v>
      </c>
      <c r="G7" s="1793">
        <v>20000</v>
      </c>
      <c r="H7" s="1794"/>
      <c r="I7" s="1802"/>
      <c r="L7" s="1785" t="s">
        <v>11518</v>
      </c>
      <c r="M7" s="1792">
        <v>45707</v>
      </c>
      <c r="N7" s="1792">
        <v>45744</v>
      </c>
      <c r="O7" s="1797">
        <v>20000</v>
      </c>
      <c r="P7" s="1798">
        <v>20000</v>
      </c>
      <c r="Q7" s="1797">
        <v>20000</v>
      </c>
      <c r="R7" s="1798">
        <v>20000</v>
      </c>
      <c r="S7" s="1797">
        <v>0</v>
      </c>
      <c r="T7" s="1798">
        <v>0</v>
      </c>
      <c r="U7" s="1797">
        <v>20000</v>
      </c>
      <c r="V7" s="1798">
        <v>20000</v>
      </c>
      <c r="W7" s="1803"/>
    </row>
    <row r="8" ht="17" customHeight="1" spans="1:25">
      <c r="A8" s="1782" t="s">
        <v>11516</v>
      </c>
      <c r="B8" s="1792">
        <v>45476</v>
      </c>
      <c r="C8" s="1792">
        <v>45523</v>
      </c>
      <c r="D8" s="1793">
        <v>20000</v>
      </c>
      <c r="E8" s="1793">
        <v>20000</v>
      </c>
      <c r="F8" s="1793">
        <v>20000</v>
      </c>
      <c r="G8" s="1793">
        <v>20000</v>
      </c>
      <c r="H8" s="1794"/>
      <c r="I8" s="1802"/>
      <c r="L8" s="1804" t="s">
        <v>11519</v>
      </c>
      <c r="M8" s="1805">
        <v>45863</v>
      </c>
      <c r="N8" s="1806">
        <v>45959</v>
      </c>
      <c r="O8" s="1807"/>
      <c r="P8" s="1808"/>
      <c r="Q8" s="1809"/>
      <c r="R8" s="1808"/>
      <c r="S8" s="1809">
        <v>21000</v>
      </c>
      <c r="T8" s="1808">
        <v>21000</v>
      </c>
      <c r="U8" s="1809"/>
      <c r="V8" s="1808"/>
      <c r="W8" s="1803"/>
    </row>
    <row r="9" s="483" customFormat="1" ht="17" customHeight="1" spans="1:25">
      <c r="A9" s="1782" t="s">
        <v>11520</v>
      </c>
      <c r="B9" s="1792">
        <v>45560</v>
      </c>
      <c r="C9" s="1792">
        <v>45595</v>
      </c>
      <c r="D9" s="1793">
        <v>20000</v>
      </c>
      <c r="E9" s="1793">
        <v>20000</v>
      </c>
      <c r="F9" s="1793">
        <v>20000</v>
      </c>
      <c r="G9" s="1793">
        <v>20000</v>
      </c>
      <c r="H9" s="1794"/>
      <c r="I9" s="1810"/>
      <c r="L9" s="1811"/>
      <c r="N9" s="1812"/>
      <c r="O9" s="1813"/>
      <c r="P9" s="1812"/>
      <c r="Q9" s="1811"/>
      <c r="R9" s="1812"/>
      <c r="S9" s="1811"/>
      <c r="T9" s="1812"/>
      <c r="U9" s="1811"/>
      <c r="V9" s="1812"/>
      <c r="W9" s="1803"/>
    </row>
    <row r="10" s="483" customFormat="1" ht="17" customHeight="1" spans="1:25">
      <c r="A10" s="1782" t="s">
        <v>11521</v>
      </c>
      <c r="B10" s="1792">
        <v>45631</v>
      </c>
      <c r="C10" s="1792">
        <v>45672</v>
      </c>
      <c r="D10" s="1793">
        <v>20000</v>
      </c>
      <c r="E10" s="1793">
        <v>20000</v>
      </c>
      <c r="F10" s="1793">
        <v>20000</v>
      </c>
      <c r="G10" s="1793">
        <v>20000</v>
      </c>
      <c r="H10" s="1794"/>
      <c r="I10" s="1810"/>
      <c r="J10" s="1814"/>
      <c r="K10" s="1814"/>
      <c r="L10" s="1811"/>
      <c r="N10" s="1812"/>
      <c r="O10" s="1813"/>
      <c r="P10" s="1812"/>
      <c r="Q10" s="1811"/>
      <c r="R10" s="1812"/>
      <c r="S10" s="1811"/>
      <c r="T10" s="1812"/>
      <c r="U10" s="1811"/>
      <c r="V10" s="1812"/>
      <c r="W10" s="1803"/>
    </row>
    <row r="11" s="483" customFormat="1" ht="17" customHeight="1" spans="1:25">
      <c r="A11" s="1782" t="s">
        <v>11518</v>
      </c>
      <c r="B11" s="1792">
        <v>45707</v>
      </c>
      <c r="C11" s="1792">
        <v>45744</v>
      </c>
      <c r="D11" s="1793">
        <v>20000</v>
      </c>
      <c r="E11" s="1793">
        <v>20000</v>
      </c>
      <c r="F11" s="1793">
        <v>20000</v>
      </c>
      <c r="G11" s="1793">
        <v>20000</v>
      </c>
      <c r="H11" s="1794"/>
      <c r="I11" s="1810"/>
      <c r="J11" s="1814"/>
      <c r="K11" s="1814"/>
      <c r="L11" s="1811"/>
      <c r="N11" s="1812"/>
      <c r="O11" s="1813"/>
      <c r="P11" s="1812"/>
      <c r="Q11" s="1811"/>
      <c r="R11" s="1812"/>
      <c r="S11" s="1811"/>
      <c r="T11" s="1812"/>
      <c r="U11" s="1811"/>
      <c r="V11" s="1812"/>
      <c r="W11" s="1803"/>
    </row>
    <row r="12" s="483" customFormat="1" ht="17" customHeight="1" spans="1:25">
      <c r="A12" s="1782" t="s">
        <v>11522</v>
      </c>
      <c r="B12" s="1792">
        <v>45736</v>
      </c>
      <c r="C12" s="1792">
        <v>45793</v>
      </c>
      <c r="D12" s="1793">
        <v>20000</v>
      </c>
      <c r="E12" s="1793">
        <v>20000</v>
      </c>
      <c r="F12" s="1793">
        <v>20000</v>
      </c>
      <c r="G12" s="1793">
        <v>20000</v>
      </c>
      <c r="H12" s="1794"/>
      <c r="I12" s="1810"/>
      <c r="J12" s="1814"/>
      <c r="K12" s="1814"/>
      <c r="L12" s="1811"/>
      <c r="N12" s="1812"/>
      <c r="O12" s="1813"/>
      <c r="P12" s="1812"/>
      <c r="Q12" s="1811"/>
      <c r="R12" s="1812"/>
      <c r="S12" s="1811"/>
      <c r="T12" s="1812"/>
      <c r="U12" s="1811"/>
      <c r="V12" s="1812"/>
      <c r="W12" s="1803"/>
    </row>
    <row r="13" s="483" customFormat="1" ht="17" customHeight="1" spans="1:25">
      <c r="A13" s="1782" t="s">
        <v>11523</v>
      </c>
      <c r="B13" s="1792">
        <v>45786</v>
      </c>
      <c r="C13" s="1792">
        <v>45849</v>
      </c>
      <c r="D13" s="1793">
        <v>20000</v>
      </c>
      <c r="E13" s="1793">
        <v>147</v>
      </c>
      <c r="F13" s="1793">
        <v>20000</v>
      </c>
      <c r="G13" s="1793">
        <v>147</v>
      </c>
      <c r="H13" s="1794"/>
      <c r="I13" s="1794" t="s">
        <v>11524</v>
      </c>
      <c r="J13" s="1814"/>
      <c r="K13" s="1814"/>
      <c r="L13" s="1811"/>
      <c r="N13" s="1812"/>
      <c r="O13" s="1813"/>
      <c r="P13" s="1812"/>
      <c r="Q13" s="1811"/>
      <c r="R13" s="1812"/>
      <c r="S13" s="1811"/>
      <c r="T13" s="1812"/>
      <c r="U13" s="1811"/>
      <c r="V13" s="1812"/>
      <c r="W13" s="1803"/>
    </row>
    <row r="14" s="483" customFormat="1" ht="17" customHeight="1" spans="1:25">
      <c r="A14" s="1782" t="s">
        <v>11523</v>
      </c>
      <c r="B14" s="1792">
        <v>45786</v>
      </c>
      <c r="C14" s="1792">
        <v>45849</v>
      </c>
      <c r="D14" s="1793"/>
      <c r="E14" s="1793">
        <v>19853</v>
      </c>
      <c r="F14" s="1793"/>
      <c r="G14" s="1793">
        <v>19853</v>
      </c>
      <c r="H14" s="1794"/>
      <c r="I14" s="1810"/>
      <c r="J14" s="1814"/>
      <c r="K14" s="1814"/>
      <c r="L14" s="1811"/>
      <c r="N14" s="1812"/>
      <c r="O14" s="1813"/>
      <c r="P14" s="1812"/>
      <c r="Q14" s="1811"/>
      <c r="R14" s="1812"/>
      <c r="S14" s="1811"/>
      <c r="T14" s="1812"/>
      <c r="U14" s="1811"/>
      <c r="V14" s="1812"/>
      <c r="W14" s="1803"/>
    </row>
    <row r="15" s="483" customFormat="1" ht="17" customHeight="1" spans="1:25">
      <c r="A15" s="1782" t="s">
        <v>11525</v>
      </c>
      <c r="B15" s="1792">
        <v>45811</v>
      </c>
      <c r="C15" s="1792">
        <v>45877</v>
      </c>
      <c r="D15" s="1793">
        <v>25000</v>
      </c>
      <c r="E15" s="1793">
        <v>25000</v>
      </c>
      <c r="F15" s="1793">
        <v>22000</v>
      </c>
      <c r="G15" s="1793">
        <v>21000</v>
      </c>
      <c r="H15" s="1794"/>
      <c r="I15" s="1794" t="s">
        <v>11524</v>
      </c>
      <c r="J15" s="1814"/>
      <c r="K15" s="1814"/>
      <c r="L15" s="1811"/>
      <c r="N15" s="1812"/>
      <c r="O15" s="1813"/>
      <c r="P15" s="1812"/>
      <c r="Q15" s="1811"/>
      <c r="R15" s="1812"/>
      <c r="S15" s="1811"/>
      <c r="T15" s="1812"/>
      <c r="U15" s="1811"/>
      <c r="V15" s="1812"/>
      <c r="W15" s="1803"/>
    </row>
    <row r="16" s="483" customFormat="1" ht="17" customHeight="1" spans="1:25">
      <c r="A16" s="1815" t="s">
        <v>11526</v>
      </c>
      <c r="B16" s="1805">
        <v>46081</v>
      </c>
      <c r="C16" s="1805">
        <v>46116</v>
      </c>
      <c r="D16" s="1816">
        <v>20000</v>
      </c>
      <c r="E16" s="1816">
        <v>20000</v>
      </c>
      <c r="F16" s="1816">
        <v>20000</v>
      </c>
      <c r="G16" s="1816">
        <v>20000</v>
      </c>
      <c r="H16" s="1817"/>
      <c r="I16" s="1818"/>
      <c r="J16" s="1814"/>
      <c r="K16" s="1814"/>
      <c r="L16" s="1811"/>
      <c r="N16" s="1812"/>
      <c r="O16" s="1813"/>
      <c r="P16" s="1812"/>
      <c r="Q16" s="1811"/>
      <c r="R16" s="1812"/>
      <c r="S16" s="1811"/>
      <c r="T16" s="1812"/>
      <c r="U16" s="1811"/>
      <c r="V16" s="1812"/>
      <c r="W16" s="1803"/>
    </row>
    <row r="17" s="483" customFormat="1" ht="17" customHeight="1" spans="1:23">
      <c r="A17" s="1782"/>
      <c r="B17" s="1792"/>
      <c r="C17" s="1792"/>
      <c r="D17" s="1793"/>
      <c r="E17" s="1793"/>
      <c r="F17" s="1793"/>
      <c r="G17" s="1793"/>
      <c r="H17" s="1794"/>
      <c r="I17" s="1810"/>
      <c r="J17" s="1814"/>
      <c r="K17" s="1814"/>
      <c r="L17" s="1811"/>
      <c r="N17" s="1812"/>
      <c r="O17" s="1813"/>
      <c r="P17" s="1812"/>
      <c r="Q17" s="1811"/>
      <c r="R17" s="1812"/>
      <c r="S17" s="1811"/>
      <c r="T17" s="1812"/>
      <c r="U17" s="1811"/>
      <c r="V17" s="1812"/>
      <c r="W17" s="1803"/>
    </row>
    <row r="18" s="483" customFormat="1" ht="17" customHeight="1" spans="1:23">
      <c r="A18" s="1819" t="s">
        <v>11527</v>
      </c>
      <c r="B18" s="1820"/>
      <c r="C18" s="1820"/>
      <c r="D18" s="1821">
        <v>113210.666666666</v>
      </c>
      <c r="E18" s="1821">
        <v>114498.666666666</v>
      </c>
      <c r="F18" s="1821">
        <v>111930.666666666</v>
      </c>
      <c r="G18" s="1821">
        <v>111992</v>
      </c>
      <c r="H18" s="1822">
        <f t="shared" ref="H18:H20" si="1">SUM(D18:G18)</f>
        <v>451631.999999998</v>
      </c>
      <c r="I18" s="1810"/>
      <c r="J18" s="1814"/>
      <c r="K18" s="1814"/>
      <c r="L18" s="1811" t="s">
        <v>11527</v>
      </c>
      <c r="N18" s="1812"/>
      <c r="O18" s="1823">
        <v>52868.25</v>
      </c>
      <c r="P18" s="1824">
        <v>52868.25</v>
      </c>
      <c r="Q18" s="1825">
        <v>52996.25</v>
      </c>
      <c r="R18" s="1824">
        <v>52996.25</v>
      </c>
      <c r="S18" s="1825">
        <v>79784.25</v>
      </c>
      <c r="T18" s="1824">
        <v>79784.25</v>
      </c>
      <c r="U18" s="1825">
        <v>52376.25</v>
      </c>
      <c r="V18" s="1824">
        <v>52376.25</v>
      </c>
      <c r="W18" s="1826">
        <v>238025</v>
      </c>
    </row>
    <row r="19" ht="17" customHeight="1" spans="1:23">
      <c r="A19" s="1827" t="s">
        <v>11528</v>
      </c>
      <c r="B19" s="1828">
        <f>'布料MA -1'!V11+'布料MA -1'!V20+'布料MA -1'!V28+'布料MA -1'!V35</f>
        <v>1053000</v>
      </c>
      <c r="C19" s="1327" t="s">
        <v>9150</v>
      </c>
      <c r="D19" s="1327">
        <f t="shared" ref="D19:G19" si="2">SUM(D3:D17)</f>
        <v>265000</v>
      </c>
      <c r="E19" s="1327">
        <f t="shared" si="2"/>
        <v>265000</v>
      </c>
      <c r="F19" s="1327">
        <f t="shared" si="2"/>
        <v>262000</v>
      </c>
      <c r="G19" s="1327">
        <f t="shared" si="2"/>
        <v>261000</v>
      </c>
      <c r="H19" s="1327">
        <f t="shared" si="1"/>
        <v>1053000</v>
      </c>
      <c r="L19" s="1829" t="s">
        <v>11528</v>
      </c>
      <c r="M19" s="1828">
        <f>'布料MA -1'!V46+'布料MA -1'!V61+'布料MA -1'!V76+'布料MA -1'!V91</f>
        <v>362000</v>
      </c>
      <c r="N19" s="1830" t="s">
        <v>9150</v>
      </c>
      <c r="O19" s="1831">
        <f t="shared" ref="O19:V19" si="3">SUM(O3:O11)</f>
        <v>80000</v>
      </c>
      <c r="P19" s="1830">
        <f t="shared" si="3"/>
        <v>80000</v>
      </c>
      <c r="Q19" s="1832">
        <f t="shared" si="3"/>
        <v>80000</v>
      </c>
      <c r="R19" s="1830">
        <f t="shared" si="3"/>
        <v>80000</v>
      </c>
      <c r="S19" s="1832">
        <f t="shared" si="3"/>
        <v>122000</v>
      </c>
      <c r="T19" s="1830">
        <f t="shared" si="3"/>
        <v>122000</v>
      </c>
      <c r="U19" s="1832">
        <f t="shared" si="3"/>
        <v>80000</v>
      </c>
      <c r="V19" s="1830">
        <f t="shared" si="3"/>
        <v>80000</v>
      </c>
      <c r="W19" s="1833">
        <f>O19+Q19+S19+U19</f>
        <v>362000</v>
      </c>
    </row>
    <row r="20" ht="17" customHeight="1" spans="1:23">
      <c r="A20" s="1828" t="s">
        <v>11529</v>
      </c>
      <c r="B20" s="1827">
        <f>B19-H19</f>
        <v>0</v>
      </c>
      <c r="C20" s="1327" t="s">
        <v>11530</v>
      </c>
      <c r="D20" s="1327">
        <f>'92107'!BN367+D18</f>
        <v>260423.083333333</v>
      </c>
      <c r="E20" s="1327">
        <f>'92107'!BO367+E18</f>
        <v>256033.083333333</v>
      </c>
      <c r="F20" s="1327">
        <f>'92107'!BP367+F18</f>
        <v>256042.083333333</v>
      </c>
      <c r="G20" s="1327">
        <f>'92107'!BQ367+G18</f>
        <v>249098.75</v>
      </c>
      <c r="H20" s="1327">
        <f t="shared" si="1"/>
        <v>1021597</v>
      </c>
      <c r="L20" s="1834" t="s">
        <v>11529</v>
      </c>
      <c r="M20" s="1827">
        <f>M19-W19</f>
        <v>0</v>
      </c>
      <c r="N20" s="1830" t="s">
        <v>11530</v>
      </c>
      <c r="O20" s="1831">
        <f>'92108'!BI128+O18</f>
        <v>86339.8333333333</v>
      </c>
      <c r="P20" s="1830">
        <f>'92108'!BJ128+P18</f>
        <v>86339.8333333333</v>
      </c>
      <c r="Q20" s="1832">
        <f>'92108'!BK128+Q18</f>
        <v>89994.8333333333</v>
      </c>
      <c r="R20" s="1830">
        <f>'92108'!BL128+R18</f>
        <v>89994.8333333333</v>
      </c>
      <c r="S20" s="1832">
        <f>'92108'!BM128+S18</f>
        <v>112596.833333333</v>
      </c>
      <c r="T20" s="1830">
        <f>'92108'!BN128+T18</f>
        <v>112596.833333333</v>
      </c>
      <c r="U20" s="1832">
        <f>'92108'!BO128+U18</f>
        <v>74268.5</v>
      </c>
      <c r="V20" s="1830">
        <f>'92108'!BP128+V18</f>
        <v>74268.5</v>
      </c>
      <c r="W20" s="1833">
        <f>O20+Q20+S20+U20</f>
        <v>363200</v>
      </c>
    </row>
    <row r="21" ht="17" customHeight="1" spans="1:23">
      <c r="A21" s="1828" t="s">
        <v>11531</v>
      </c>
      <c r="B21" s="1827">
        <v>5000</v>
      </c>
      <c r="C21" s="1835" t="s">
        <v>11532</v>
      </c>
      <c r="D21" s="1835">
        <f t="shared" ref="D21:H21" si="4">D19-D20</f>
        <v>4576.91666666733</v>
      </c>
      <c r="E21" s="1835">
        <f t="shared" si="4"/>
        <v>8966.91666666733</v>
      </c>
      <c r="F21" s="1835">
        <f t="shared" si="4"/>
        <v>5957.91666666733</v>
      </c>
      <c r="G21" s="1835">
        <f t="shared" si="4"/>
        <v>11901.25</v>
      </c>
      <c r="H21" s="1835">
        <f t="shared" si="4"/>
        <v>31403.000000002</v>
      </c>
      <c r="L21" s="1836" t="s">
        <v>11531</v>
      </c>
      <c r="M21" s="1837">
        <v>5000</v>
      </c>
      <c r="N21" s="1838" t="s">
        <v>11532</v>
      </c>
      <c r="O21" s="1839">
        <f t="shared" ref="O21:W21" si="5">O19-O20</f>
        <v>-6339.83333333333</v>
      </c>
      <c r="P21" s="1838">
        <f t="shared" si="5"/>
        <v>-6339.83333333333</v>
      </c>
      <c r="Q21" s="1840">
        <f t="shared" si="5"/>
        <v>-9994.83333333333</v>
      </c>
      <c r="R21" s="1838">
        <f t="shared" si="5"/>
        <v>-9994.83333333333</v>
      </c>
      <c r="S21" s="1840">
        <f t="shared" si="5"/>
        <v>9403.16666666667</v>
      </c>
      <c r="T21" s="1838">
        <f t="shared" si="5"/>
        <v>9403.16666666667</v>
      </c>
      <c r="U21" s="1840">
        <f t="shared" si="5"/>
        <v>5731.5</v>
      </c>
      <c r="V21" s="1838">
        <f t="shared" si="5"/>
        <v>5731.5</v>
      </c>
      <c r="W21" s="1841">
        <f t="shared" si="5"/>
        <v>-1200</v>
      </c>
    </row>
    <row r="22" spans="1:23">
      <c r="D22" s="1842">
        <v>129513.833333333</v>
      </c>
      <c r="E22" s="1842">
        <v>129593.833333333</v>
      </c>
      <c r="F22" s="1842">
        <v>127016.833333333</v>
      </c>
      <c r="G22" s="1842">
        <v>126411.5</v>
      </c>
      <c r="O22" s="484">
        <v>56824</v>
      </c>
      <c r="P22" s="484">
        <v>56824</v>
      </c>
      <c r="Q22" s="484">
        <v>56952</v>
      </c>
      <c r="R22" s="484">
        <v>56952</v>
      </c>
      <c r="S22" s="484">
        <v>83746</v>
      </c>
      <c r="T22" s="484">
        <v>83746</v>
      </c>
      <c r="U22" s="484">
        <v>56332</v>
      </c>
      <c r="V22" s="484">
        <v>56332</v>
      </c>
      <c r="W22" s="484">
        <v>253854</v>
      </c>
    </row>
    <row r="23" spans="1:23">
      <c r="D23" s="1842">
        <f t="shared" ref="D23:G23" si="6">D22-D20</f>
        <v>-130909.25</v>
      </c>
      <c r="E23" s="1842">
        <f t="shared" si="6"/>
        <v>-126439.25</v>
      </c>
      <c r="F23" s="1842">
        <f t="shared" si="6"/>
        <v>-129025.25</v>
      </c>
      <c r="G23" s="1842">
        <f t="shared" si="6"/>
        <v>-122687.25</v>
      </c>
      <c r="O23" s="1842">
        <f t="shared" ref="O23:W23" si="7">O22-O20</f>
        <v>-29515.8333333333</v>
      </c>
      <c r="P23" s="1842">
        <f t="shared" si="7"/>
        <v>-29515.8333333333</v>
      </c>
      <c r="Q23" s="1842">
        <f t="shared" si="7"/>
        <v>-33042.8333333333</v>
      </c>
      <c r="R23" s="1842">
        <f t="shared" si="7"/>
        <v>-33042.8333333333</v>
      </c>
      <c r="S23" s="1842">
        <f t="shared" si="7"/>
        <v>-28850.8333333333</v>
      </c>
      <c r="T23" s="1842">
        <f t="shared" si="7"/>
        <v>-28850.8333333333</v>
      </c>
      <c r="U23" s="1842">
        <f t="shared" si="7"/>
        <v>-17936.5</v>
      </c>
      <c r="V23" s="1842">
        <f t="shared" si="7"/>
        <v>-17936.5</v>
      </c>
      <c r="W23" s="1842">
        <f t="shared" si="7"/>
        <v>-109346</v>
      </c>
    </row>
    <row r="24" spans="1:23">
      <c r="H24" s="483" t="s">
        <v>11533</v>
      </c>
    </row>
    <row r="25" spans="1:23">
      <c r="N25" s="1843" t="s">
        <v>11533</v>
      </c>
      <c r="O25" s="1843">
        <f>'IC MA'!S9-W19</f>
        <v>0</v>
      </c>
    </row>
    <row r="27" spans="1:23">
      <c r="D27" s="1844" t="s">
        <v>11534</v>
      </c>
      <c r="E27" s="1844"/>
      <c r="F27" s="1844"/>
      <c r="G27" s="1844"/>
    </row>
    <row r="28" ht="24" spans="1:23">
      <c r="A28" s="1782" t="s">
        <v>11504</v>
      </c>
      <c r="B28" s="1783" t="s">
        <v>11505</v>
      </c>
      <c r="C28" s="1783" t="s">
        <v>11506</v>
      </c>
      <c r="D28" s="1784" t="s">
        <v>11535</v>
      </c>
      <c r="E28" s="1784" t="s">
        <v>11536</v>
      </c>
      <c r="F28" s="1845" t="s">
        <v>11537</v>
      </c>
      <c r="G28" s="1845" t="s">
        <v>11538</v>
      </c>
    </row>
    <row r="29" ht="14.25" spans="1:23">
      <c r="A29" s="1782" t="s">
        <v>11508</v>
      </c>
      <c r="B29" s="1792">
        <v>45294</v>
      </c>
      <c r="C29" s="1792">
        <v>45380</v>
      </c>
      <c r="D29" s="1793">
        <v>80000</v>
      </c>
      <c r="E29" s="1793">
        <v>80000</v>
      </c>
      <c r="F29" s="1793"/>
      <c r="G29" s="1793"/>
      <c r="L29" s="1846"/>
    </row>
    <row r="30" ht="26" customHeight="1" spans="1:23">
      <c r="A30" s="1782" t="s">
        <v>11511</v>
      </c>
      <c r="B30" s="1792">
        <v>45344</v>
      </c>
      <c r="C30" s="1792">
        <v>45435</v>
      </c>
      <c r="D30" s="1793">
        <v>20000</v>
      </c>
      <c r="E30" s="1793">
        <v>20000</v>
      </c>
      <c r="F30" s="1793">
        <v>20000</v>
      </c>
      <c r="G30" s="1793">
        <v>20000</v>
      </c>
      <c r="L30" s="1847"/>
      <c r="M30" s="1848" t="s">
        <v>11535</v>
      </c>
      <c r="N30" s="1848" t="s">
        <v>11536</v>
      </c>
      <c r="O30" s="1849" t="s">
        <v>11537</v>
      </c>
      <c r="P30" s="1849" t="s">
        <v>11538</v>
      </c>
      <c r="Q30" s="1850" t="s">
        <v>9150</v>
      </c>
    </row>
    <row r="31" spans="1:23">
      <c r="A31" s="1782" t="s">
        <v>11513</v>
      </c>
      <c r="B31" s="1792">
        <v>45371</v>
      </c>
      <c r="C31" s="1792">
        <v>45457</v>
      </c>
      <c r="D31" s="1793">
        <v>40000</v>
      </c>
      <c r="E31" s="1793">
        <v>40000</v>
      </c>
      <c r="F31" s="1793">
        <v>0</v>
      </c>
      <c r="G31" s="1793">
        <v>0</v>
      </c>
      <c r="L31" s="1851" t="s">
        <v>11539</v>
      </c>
      <c r="M31" s="1852">
        <v>594648</v>
      </c>
      <c r="N31" s="1852">
        <v>560352</v>
      </c>
      <c r="O31" s="1852">
        <v>80000</v>
      </c>
      <c r="P31" s="1852">
        <v>80000</v>
      </c>
      <c r="Q31" s="1853">
        <f t="shared" ref="Q31:Q35" si="8">SUM(M31:P31)</f>
        <v>1315000</v>
      </c>
    </row>
    <row r="32" spans="1:23">
      <c r="A32" s="1782" t="s">
        <v>11515</v>
      </c>
      <c r="B32" s="1792">
        <v>45401</v>
      </c>
      <c r="C32" s="1792">
        <v>45482</v>
      </c>
      <c r="D32" s="1793">
        <v>40000</v>
      </c>
      <c r="E32" s="1793">
        <v>40000</v>
      </c>
      <c r="F32" s="1793">
        <v>0</v>
      </c>
      <c r="G32" s="1793">
        <v>0</v>
      </c>
      <c r="L32" s="1851" t="s">
        <v>11540</v>
      </c>
      <c r="M32" s="1852">
        <v>565633</v>
      </c>
      <c r="N32" s="1852">
        <v>565633</v>
      </c>
      <c r="O32" s="1852">
        <v>68635</v>
      </c>
      <c r="P32" s="1852">
        <v>68635</v>
      </c>
      <c r="Q32" s="1853">
        <f t="shared" si="8"/>
        <v>1268536</v>
      </c>
    </row>
    <row r="33" spans="1:17">
      <c r="A33" s="1782" t="s">
        <v>11541</v>
      </c>
      <c r="B33" s="1792">
        <v>45423</v>
      </c>
      <c r="C33" s="1792">
        <v>45513</v>
      </c>
      <c r="D33" s="1793">
        <v>60000</v>
      </c>
      <c r="E33" s="1793">
        <v>80000</v>
      </c>
      <c r="F33" s="1793">
        <v>20000</v>
      </c>
      <c r="G33" s="1793">
        <v>20000</v>
      </c>
      <c r="L33" s="1851" t="s">
        <v>11542</v>
      </c>
      <c r="M33" s="1852">
        <f t="shared" ref="M33:P33" si="9">M31-M32</f>
        <v>29015</v>
      </c>
      <c r="N33" s="1327">
        <f t="shared" si="9"/>
        <v>-5281</v>
      </c>
      <c r="O33" s="1852">
        <f t="shared" si="9"/>
        <v>11365</v>
      </c>
      <c r="P33" s="1852">
        <f t="shared" si="9"/>
        <v>11365</v>
      </c>
      <c r="Q33" s="1853">
        <f t="shared" si="8"/>
        <v>46464</v>
      </c>
    </row>
    <row r="34" spans="1:17">
      <c r="A34" s="1782" t="s">
        <v>11517</v>
      </c>
      <c r="B34" s="1792">
        <v>45436</v>
      </c>
      <c r="C34" s="1792">
        <v>45498</v>
      </c>
      <c r="D34" s="1793">
        <v>40000</v>
      </c>
      <c r="E34" s="1793">
        <v>40000</v>
      </c>
      <c r="F34" s="1793"/>
      <c r="G34" s="1793"/>
      <c r="L34" s="1851" t="s">
        <v>11543</v>
      </c>
      <c r="M34" s="1852"/>
      <c r="N34" s="1852"/>
      <c r="O34" s="1327">
        <v>-7321</v>
      </c>
      <c r="P34" s="1327">
        <v>-7194</v>
      </c>
      <c r="Q34" s="1830">
        <f t="shared" si="8"/>
        <v>-14515</v>
      </c>
    </row>
    <row r="35" ht="14.25" spans="1:17">
      <c r="A35" s="1782" t="s">
        <v>11516</v>
      </c>
      <c r="B35" s="1792">
        <v>45476</v>
      </c>
      <c r="C35" s="1792">
        <v>45523</v>
      </c>
      <c r="D35" s="1793">
        <v>34852</v>
      </c>
      <c r="E35" s="1793">
        <v>55148</v>
      </c>
      <c r="F35" s="1793"/>
      <c r="G35" s="1793"/>
      <c r="L35" s="1854" t="s">
        <v>11544</v>
      </c>
      <c r="M35" s="1855">
        <f>M33-M34</f>
        <v>29015</v>
      </c>
      <c r="N35" s="1855">
        <f>N33-N34</f>
        <v>-5281</v>
      </c>
      <c r="O35" s="1855">
        <f>O33+O34</f>
        <v>4044</v>
      </c>
      <c r="P35" s="1855">
        <f>P33+P34</f>
        <v>4171</v>
      </c>
      <c r="Q35" s="1856">
        <f t="shared" si="8"/>
        <v>31949</v>
      </c>
    </row>
    <row r="36" spans="1:17">
      <c r="A36" s="1782" t="s">
        <v>11520</v>
      </c>
      <c r="B36" s="1792">
        <v>45560</v>
      </c>
      <c r="C36" s="1792">
        <v>45595</v>
      </c>
      <c r="D36" s="1793">
        <v>40000</v>
      </c>
      <c r="E36" s="1793">
        <v>40000</v>
      </c>
      <c r="F36" s="1793"/>
      <c r="G36" s="1793"/>
      <c r="L36" s="484"/>
    </row>
    <row r="37" spans="1:17">
      <c r="A37" s="1782" t="s">
        <v>11521</v>
      </c>
      <c r="B37" s="1792">
        <v>45609</v>
      </c>
      <c r="C37" s="1792"/>
      <c r="D37" s="1793">
        <v>15500</v>
      </c>
      <c r="E37" s="1793">
        <v>15500</v>
      </c>
      <c r="F37" s="1793">
        <v>20000</v>
      </c>
      <c r="G37" s="1793">
        <v>20000</v>
      </c>
      <c r="H37" s="1857" t="s">
        <v>11545</v>
      </c>
    </row>
    <row r="38" spans="1:17">
      <c r="A38" s="1782" t="s">
        <v>11518</v>
      </c>
      <c r="B38" s="1792">
        <v>45707</v>
      </c>
      <c r="C38" s="1792">
        <v>45744</v>
      </c>
      <c r="D38" s="1793">
        <v>50000</v>
      </c>
      <c r="E38" s="1793">
        <v>50000</v>
      </c>
      <c r="F38" s="1793"/>
      <c r="G38" s="1793"/>
      <c r="H38" s="1857"/>
    </row>
    <row r="39" spans="1:17">
      <c r="A39" s="1782" t="s">
        <v>11522</v>
      </c>
      <c r="B39" s="1792">
        <v>45736</v>
      </c>
      <c r="C39" s="1792">
        <v>45793</v>
      </c>
      <c r="D39" s="1793">
        <v>90296</v>
      </c>
      <c r="E39" s="1793">
        <v>29704</v>
      </c>
      <c r="F39" s="1793"/>
      <c r="G39" s="1793"/>
      <c r="H39" s="1857"/>
    </row>
    <row r="40" spans="1:17">
      <c r="A40" s="1782" t="s">
        <v>11523</v>
      </c>
      <c r="B40" s="1792">
        <v>45786</v>
      </c>
      <c r="C40" s="1792">
        <v>45849</v>
      </c>
      <c r="D40" s="1793">
        <v>30000</v>
      </c>
      <c r="E40" s="1793">
        <v>30000</v>
      </c>
      <c r="F40" s="1793">
        <v>10000</v>
      </c>
      <c r="G40" s="1793">
        <v>10000</v>
      </c>
      <c r="H40" s="1857"/>
    </row>
    <row r="41" spans="1:17">
      <c r="A41" s="1782" t="s">
        <v>11525</v>
      </c>
      <c r="B41" s="1792">
        <v>45811</v>
      </c>
      <c r="C41" s="1792">
        <v>45877</v>
      </c>
      <c r="D41" s="1793">
        <v>33000</v>
      </c>
      <c r="E41" s="1793">
        <v>40000</v>
      </c>
      <c r="F41" s="1793">
        <v>10000</v>
      </c>
      <c r="G41" s="1793">
        <v>10000</v>
      </c>
      <c r="H41" s="1857"/>
    </row>
    <row r="42" spans="1:17">
      <c r="A42" s="1785" t="s">
        <v>11519</v>
      </c>
      <c r="B42" s="1792">
        <v>45863</v>
      </c>
      <c r="C42" s="1858">
        <v>45959</v>
      </c>
      <c r="D42" s="1793">
        <v>21000</v>
      </c>
      <c r="E42" s="1793"/>
      <c r="F42" s="1793"/>
      <c r="G42" s="1793"/>
      <c r="H42" s="1857"/>
    </row>
    <row r="43" spans="1:17">
      <c r="A43" s="1859" t="s">
        <v>11526</v>
      </c>
      <c r="B43" s="1805">
        <v>46081</v>
      </c>
      <c r="C43" s="1806">
        <v>46116</v>
      </c>
      <c r="D43" s="1816">
        <v>40000</v>
      </c>
      <c r="E43" s="1816">
        <v>40000</v>
      </c>
      <c r="F43" s="1816"/>
      <c r="G43" s="1816"/>
      <c r="H43" s="1857"/>
    </row>
    <row r="44" spans="1:17">
      <c r="A44" s="1782"/>
      <c r="B44" s="1792"/>
      <c r="C44" s="1792"/>
      <c r="D44" s="1793"/>
      <c r="E44" s="1793"/>
      <c r="F44" s="1793"/>
      <c r="G44" s="1793"/>
      <c r="H44" s="1857"/>
    </row>
    <row r="46" spans="1:17">
      <c r="C46" s="1835" t="s">
        <v>9150</v>
      </c>
      <c r="D46" s="1835">
        <f t="shared" ref="D46:G46" si="10">SUM(D29:D45)</f>
        <v>634648</v>
      </c>
      <c r="E46" s="1835">
        <f t="shared" si="10"/>
        <v>600352</v>
      </c>
      <c r="F46" s="1835">
        <f t="shared" si="10"/>
        <v>80000</v>
      </c>
      <c r="G46" s="1835">
        <f t="shared" si="10"/>
        <v>80000</v>
      </c>
      <c r="O46" s="483" t="s">
        <v>4337</v>
      </c>
    </row>
    <row r="47" spans="1:17">
      <c r="F47" s="484">
        <f>F46+G46</f>
        <v>160000</v>
      </c>
      <c r="G47" s="484"/>
    </row>
    <row r="48" spans="1:17">
      <c r="E48" s="1860" t="s">
        <v>11546</v>
      </c>
      <c r="F48" s="1860">
        <f>F47-'92107'!BK367-'92108'!BE128-F50</f>
        <v>29198</v>
      </c>
      <c r="G48" s="1860"/>
    </row>
    <row r="49" spans="5:7">
      <c r="E49" s="484"/>
      <c r="F49" s="484"/>
      <c r="G49" s="484"/>
    </row>
    <row r="50" spans="5:7">
      <c r="E50" s="1857" t="s">
        <v>11547</v>
      </c>
      <c r="F50" s="1861">
        <v>43628</v>
      </c>
      <c r="G50" s="1861"/>
    </row>
  </sheetData>
  <sheetProtection formatCells="0" formatColumns="0" formatRows="0" insertRows="0" insertColumns="0" insertHyperlinks="0" deleteColumns="0" deleteRows="0" sort="0" autoFilter="0" pivotTables="0"/>
  <mergeCells count="9">
    <mergeCell ref="A1:C1"/>
    <mergeCell ref="D1:G1"/>
    <mergeCell ref="L1:N1"/>
    <mergeCell ref="O1:V1"/>
    <mergeCell ref="D27:G27"/>
    <mergeCell ref="F47:G47"/>
    <mergeCell ref="F48:G48"/>
    <mergeCell ref="F49:G49"/>
    <mergeCell ref="F50:G50"/>
  </mergeCells>
  <conditionalFormatting sqref="C21:H21 N21:W21">
    <cfRule type="cellIs" dxfId="0" priority="1" operator="lessThan">
      <formula>0</formula>
    </cfRule>
  </conditionalFormatting>
  <pageMargins left="0.75" right="0.75" top="1" bottom="1" header="0.5" footer="0.5"/>
  <pageSetup paperSize="9" orientation="portrait"/>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M899"/>
  <sheetViews>
    <sheetView zoomScale="70" zoomScaleNormal="70" topLeftCell="GA1" workbookViewId="0">
      <pane ySplit="3" topLeftCell="A26" activePane="bottomLeft" state="frozen"/>
      <selection/>
      <selection pane="bottomLeft" activeCell="GA26" sqref="GA26"/>
    </sheetView>
  </sheetViews>
  <sheetFormatPr defaultColWidth="9" defaultRowHeight="12.75"/>
  <cols>
    <col min="1" max="1" width="1.4" style="1331" customWidth="1"/>
    <col min="2" max="2" width="9.75" style="1331" hidden="1" customWidth="1"/>
    <col min="3" max="3" width="11.25" style="1332" hidden="1" customWidth="1"/>
    <col min="4" max="4" width="5.25" style="1331" hidden="1" customWidth="1"/>
    <col min="5" max="9" width="7.75" style="1331" hidden="1" customWidth="1"/>
    <col min="10" max="10" width="9.25" style="1331" hidden="1" customWidth="1"/>
    <col min="11" max="16" width="7.75" style="1331" hidden="1" customWidth="1"/>
    <col min="17" max="17" width="6.75" style="1331" hidden="1" customWidth="1"/>
    <col min="18" max="18" width="1.71666666666667" style="1331" hidden="1" customWidth="1"/>
    <col min="19" max="19" width="10.15" style="1331" hidden="1" customWidth="1"/>
    <col min="20" max="20" width="10.5" style="1331" hidden="1" customWidth="1"/>
    <col min="21" max="21" width="6.625" style="1331" hidden="1" customWidth="1"/>
    <col min="22" max="22" width="6.875" style="1331" hidden="1" customWidth="1"/>
    <col min="23" max="25" width="8.41666666666667" style="1331" hidden="1" customWidth="1"/>
    <col min="26" max="26" width="8.875" style="1331" hidden="1" customWidth="1"/>
    <col min="27" max="27" width="8.875" style="1333" hidden="1" customWidth="1"/>
    <col min="28" max="28" width="8.34166666666667" style="1331" hidden="1" customWidth="1"/>
    <col min="29" max="30" width="7.5" style="1331" hidden="1" customWidth="1"/>
    <col min="31" max="34" width="8.875" style="1331" hidden="1" customWidth="1"/>
    <col min="35" max="35" width="6.55833333333333" style="1331" hidden="1" customWidth="1"/>
    <col min="36" max="36" width="1.85833333333333" style="1331" hidden="1" customWidth="1"/>
    <col min="37" max="37" width="10.1" style="1331" hidden="1" customWidth="1"/>
    <col min="38" max="38" width="10.625" style="1331" hidden="1" customWidth="1"/>
    <col min="39" max="39" width="5.875" style="1331" hidden="1" customWidth="1"/>
    <col min="40" max="40" width="9" style="1331" hidden="1" customWidth="1"/>
    <col min="41" max="41" width="9" style="1334" hidden="1" customWidth="1"/>
    <col min="42" max="47" width="9" style="1331" hidden="1" customWidth="1"/>
    <col min="48" max="48" width="11.5" style="1331" hidden="1" customWidth="1"/>
    <col min="49" max="53" width="9" style="1331" hidden="1" customWidth="1"/>
    <col min="54" max="54" width="1.56666666666667" style="1331" customWidth="1"/>
    <col min="55" max="55" width="9.375" style="1331" hidden="1" customWidth="1"/>
    <col min="56" max="56" width="10.625" style="1331" hidden="1" customWidth="1"/>
    <col min="57" max="57" width="5.875" style="1331" hidden="1" customWidth="1"/>
    <col min="58" max="63" width="9" style="1331" hidden="1" customWidth="1"/>
    <col min="64" max="64" width="1.875" style="1331" hidden="1" customWidth="1"/>
    <col min="65" max="65" width="9.7" style="1331" hidden="1" customWidth="1"/>
    <col min="66" max="66" width="10.5" style="1331" hidden="1" customWidth="1"/>
    <col min="67" max="67" width="9" style="1331" hidden="1" customWidth="1"/>
    <col min="68" max="68" width="1.5" style="1334" hidden="1" customWidth="1"/>
    <col min="69" max="74" width="9" style="1331" hidden="1" customWidth="1"/>
    <col min="75" max="75" width="9.7" style="1331" hidden="1" customWidth="1"/>
    <col min="76" max="76" width="11.2" style="1331" hidden="1" customWidth="1"/>
    <col min="77" max="85" width="9" style="1331" hidden="1" customWidth="1"/>
    <col min="86" max="86" width="13.05" style="1331" hidden="1" customWidth="1"/>
    <col min="87" max="87" width="10.5" style="1331" hidden="1" customWidth="1"/>
    <col min="88" max="93" width="9" style="1331" hidden="1" customWidth="1"/>
    <col min="94" max="94" width="13.6416666666667" style="1331" customWidth="1"/>
    <col min="95" max="95" width="11.6" style="1331"/>
    <col min="96" max="96" width="9" style="1331"/>
    <col min="97" max="98" width="9.5" style="1331"/>
    <col min="99" max="100" width="9" style="1331"/>
    <col min="101" max="101" width="9.5" style="1331"/>
    <col min="102" max="102" width="9" style="1331"/>
    <col min="103" max="103" width="11.1416666666667" style="1331" customWidth="1"/>
    <col min="104" max="104" width="9" style="1331"/>
    <col min="105" max="107" width="10.7916666666667" style="1331" customWidth="1"/>
    <col min="108" max="108" width="9" style="1331"/>
    <col min="109" max="109" width="20" style="1331" customWidth="1"/>
    <col min="110" max="110" width="9" style="1331"/>
    <col min="111" max="111" width="18.2333333333333" style="1331" customWidth="1"/>
    <col min="112" max="112" width="17.6333333333333" style="1331" customWidth="1"/>
    <col min="113" max="113" width="9" style="1331"/>
    <col min="114" max="114" width="13.875" style="1331" hidden="1" customWidth="1"/>
    <col min="115" max="115" width="13.875" style="1331" customWidth="1"/>
    <col min="116" max="116" width="9" style="1331" hidden="1" customWidth="1"/>
    <col min="117" max="117" width="15.5666666666667" style="1331" customWidth="1"/>
    <col min="118" max="118" width="11.2916666666667" style="1331" hidden="1" customWidth="1"/>
    <col min="119" max="119" width="11.2916666666667" style="1331" customWidth="1"/>
    <col min="120" max="120" width="9" style="1335"/>
    <col min="121" max="121" width="9" style="1335" hidden="1" customWidth="1"/>
    <col min="122" max="122" width="12.3666666666667" style="1335" customWidth="1"/>
    <col min="123" max="125" width="9" style="1331" hidden="1" customWidth="1"/>
    <col min="126" max="126" width="13.8833333333333" style="1331" customWidth="1"/>
    <col min="127" max="127" width="10.1" style="1331"/>
    <col min="128" max="128" width="10.7916666666667" style="1331" hidden="1" customWidth="1"/>
    <col min="129" max="129" width="13.7583333333333" style="1331" customWidth="1"/>
    <col min="130" max="130" width="10.7916666666667" style="1331" hidden="1" customWidth="1"/>
    <col min="131" max="133" width="10.7916666666667" style="1331" customWidth="1"/>
    <col min="134" max="134" width="9" style="1331"/>
    <col min="135" max="135" width="20" style="1331" customWidth="1"/>
    <col min="136" max="136" width="9" style="1336"/>
    <col min="137" max="137" width="13.425" style="1336" customWidth="1"/>
    <col min="138" max="138" width="9" style="1336"/>
    <col min="139" max="139" width="11.7" style="1331"/>
    <col min="140" max="140" width="17.0583333333333" style="1331" customWidth="1"/>
    <col min="141" max="141" width="16.5583333333333" style="1331" customWidth="1"/>
    <col min="142" max="149" width="13.425" style="1331" customWidth="1"/>
    <col min="150" max="150" width="13.425" style="1331" hidden="1" customWidth="1"/>
    <col min="151" max="153" width="13.425" style="1331" customWidth="1"/>
    <col min="154" max="154" width="8.46666666666667" style="1331" customWidth="1"/>
    <col min="155" max="155" width="13.2666666666667" style="1331" customWidth="1"/>
    <col min="156" max="156" width="16.5416666666667" style="1331" customWidth="1"/>
    <col min="157" max="157" width="9" style="1331"/>
    <col min="158" max="158" width="9.5" style="1331"/>
    <col min="159" max="159" width="11.7" style="1331"/>
    <col min="160" max="160" width="29.85" style="1337" customWidth="1"/>
    <col min="161" max="163" width="9" style="1331"/>
    <col min="164" max="164" width="17" style="1331" customWidth="1"/>
    <col min="165" max="166" width="15.85" style="1331" customWidth="1"/>
    <col min="167" max="170" width="14.2833333333333" style="1331" customWidth="1"/>
    <col min="171" max="171" width="14.2833333333333" style="1331" hidden="1" customWidth="1"/>
    <col min="172" max="177" width="14.2833333333333" style="1331" customWidth="1"/>
    <col min="178" max="178" width="21.425" style="1331" customWidth="1"/>
    <col min="179" max="180" width="14.2833333333333" style="1331" customWidth="1"/>
    <col min="181" max="183" width="20.1416666666667" style="1331" customWidth="1"/>
    <col min="184" max="184" width="9" style="1331"/>
    <col min="185" max="187" width="17.7083333333333" style="1331" customWidth="1"/>
    <col min="188" max="193" width="11.5583333333333" style="1331" customWidth="1"/>
    <col min="194" max="16384" width="9" style="1331"/>
  </cols>
  <sheetData>
    <row r="1" ht="39" customHeight="1" spans="2:194">
      <c r="B1" s="1338" t="s">
        <v>11548</v>
      </c>
      <c r="C1" s="1339"/>
      <c r="D1" s="1339"/>
      <c r="E1" s="1339"/>
      <c r="F1" s="1339"/>
      <c r="G1" s="1339"/>
      <c r="H1" s="1339"/>
      <c r="I1" s="1339"/>
      <c r="J1" s="1339"/>
      <c r="K1" s="1339"/>
      <c r="L1" s="1339"/>
      <c r="M1" s="1339"/>
      <c r="N1" s="1339"/>
      <c r="O1" s="1339"/>
      <c r="P1" s="1339"/>
      <c r="Q1" s="1340"/>
      <c r="S1" s="1341" t="s">
        <v>11549</v>
      </c>
      <c r="T1" s="1341"/>
      <c r="U1" s="1341"/>
      <c r="V1" s="1341"/>
      <c r="W1" s="1341"/>
      <c r="X1" s="1341"/>
      <c r="Y1" s="1341"/>
      <c r="Z1" s="1341"/>
      <c r="AA1" s="1341"/>
      <c r="AB1" s="1341"/>
      <c r="AC1" s="1341"/>
      <c r="AD1" s="1341"/>
      <c r="AE1" s="1341"/>
      <c r="AF1" s="1341"/>
      <c r="AG1" s="1341"/>
      <c r="AH1" s="1341"/>
      <c r="AI1" s="1341"/>
      <c r="AK1" s="1342" t="s">
        <v>11550</v>
      </c>
      <c r="AL1" s="1343"/>
      <c r="AM1" s="1343"/>
      <c r="AN1" s="1343"/>
      <c r="AO1" s="1344"/>
      <c r="AP1" s="1343"/>
      <c r="AQ1" s="1343"/>
      <c r="AR1" s="1343"/>
      <c r="AS1" s="1343"/>
      <c r="AT1" s="1343"/>
      <c r="AU1" s="1343"/>
      <c r="AV1" s="1343"/>
      <c r="AW1" s="1343"/>
      <c r="AX1" s="1343"/>
      <c r="AY1" s="1343"/>
      <c r="AZ1" s="1343"/>
      <c r="BA1" s="1345"/>
      <c r="BM1" s="1342" t="s">
        <v>11551</v>
      </c>
      <c r="BN1" s="1343"/>
      <c r="BO1" s="1343"/>
      <c r="BP1" s="1343"/>
      <c r="BQ1" s="1343"/>
      <c r="BR1" s="1343"/>
      <c r="BS1" s="1343"/>
      <c r="BT1" s="1343"/>
      <c r="BU1" s="1345"/>
      <c r="BW1" s="1346" t="s">
        <v>11552</v>
      </c>
      <c r="BX1" s="1347"/>
      <c r="BY1" s="1347"/>
      <c r="BZ1" s="1347"/>
      <c r="CA1" s="1347"/>
      <c r="CB1" s="1347"/>
      <c r="CC1" s="1347"/>
      <c r="CD1" s="1347"/>
      <c r="CE1" s="1347"/>
      <c r="CF1" s="1348"/>
      <c r="CG1" s="1349"/>
      <c r="CH1" s="1350" t="s">
        <v>11553</v>
      </c>
      <c r="CI1" s="1351"/>
      <c r="CJ1" s="1351"/>
      <c r="CK1" s="1351"/>
      <c r="CL1" s="1351"/>
      <c r="CM1" s="1351"/>
      <c r="CN1" s="1352"/>
      <c r="CP1" s="1350" t="s">
        <v>11554</v>
      </c>
      <c r="CQ1" s="1351"/>
      <c r="CR1" s="1351"/>
      <c r="CS1" s="1351"/>
      <c r="CT1" s="1351"/>
      <c r="CU1" s="1351"/>
      <c r="CV1" s="1351"/>
      <c r="CW1" s="1351"/>
      <c r="CX1" s="1351"/>
      <c r="CY1" s="1351"/>
      <c r="CZ1" s="1351"/>
      <c r="DA1" s="1351"/>
      <c r="DB1" s="1351"/>
      <c r="DC1" s="1351"/>
      <c r="DD1" s="1353"/>
      <c r="DE1" s="1354"/>
      <c r="DG1" s="1350" t="s">
        <v>11555</v>
      </c>
      <c r="DH1" s="1351"/>
      <c r="DI1" s="1351"/>
      <c r="DJ1" s="1351"/>
      <c r="DK1" s="1351"/>
      <c r="DL1" s="1351"/>
      <c r="DM1" s="1351"/>
      <c r="DN1" s="1351"/>
      <c r="DO1" s="1351"/>
      <c r="DP1" s="1355"/>
      <c r="DQ1" s="1355"/>
      <c r="DR1" s="1355"/>
      <c r="DS1" s="1351"/>
      <c r="DT1" s="1351"/>
      <c r="DU1" s="1351"/>
      <c r="DV1" s="1351"/>
      <c r="DW1" s="1351"/>
      <c r="DX1" s="1351"/>
      <c r="DY1" s="1351"/>
      <c r="DZ1" s="1351"/>
      <c r="EA1" s="1351"/>
      <c r="EB1" s="1351"/>
      <c r="EC1" s="1353"/>
      <c r="ED1" s="1353"/>
      <c r="EE1" s="1354"/>
      <c r="EI1" s="1350" t="s">
        <v>11556</v>
      </c>
      <c r="EJ1" s="1351"/>
      <c r="EK1" s="1351"/>
      <c r="EL1" s="1351"/>
      <c r="EM1" s="1351"/>
      <c r="EN1" s="1351"/>
      <c r="EO1" s="1351"/>
      <c r="EP1" s="1351"/>
      <c r="EQ1" s="1351"/>
      <c r="ER1" s="1351"/>
      <c r="ES1" s="1351"/>
      <c r="ET1" s="1351"/>
      <c r="EU1" s="1351"/>
      <c r="EV1" s="1351"/>
      <c r="EW1" s="1351"/>
      <c r="EX1" s="1351"/>
      <c r="EY1" s="1351"/>
      <c r="EZ1" s="1351"/>
      <c r="FA1" s="1351"/>
      <c r="FB1" s="1351"/>
      <c r="FC1" s="1352"/>
      <c r="FD1" s="1356"/>
      <c r="FH1" s="1350" t="s">
        <v>11557</v>
      </c>
      <c r="FI1" s="1351"/>
      <c r="FJ1" s="1351"/>
      <c r="FK1" s="1351"/>
      <c r="FL1" s="1351"/>
      <c r="FM1" s="1351"/>
      <c r="FN1" s="1351"/>
      <c r="FO1" s="1351"/>
      <c r="FP1" s="1351"/>
      <c r="FQ1" s="1351"/>
      <c r="FR1" s="1351"/>
      <c r="FS1" s="1351"/>
      <c r="FT1" s="1351"/>
      <c r="FU1" s="1351"/>
      <c r="FV1" s="1351"/>
      <c r="FW1" s="1351"/>
      <c r="FX1" s="1353"/>
      <c r="FY1" s="1354"/>
      <c r="GC1" s="1350" t="s">
        <v>11558</v>
      </c>
      <c r="GD1" s="1351"/>
      <c r="GE1" s="1351"/>
      <c r="GF1" s="1351"/>
      <c r="GG1" s="1351"/>
      <c r="GH1" s="1351"/>
      <c r="GI1" s="1351"/>
      <c r="GJ1" s="1353"/>
      <c r="GK1" s="1354"/>
    </row>
    <row r="2" ht="20" customHeight="1" spans="2:194">
      <c r="B2" s="1357" t="s">
        <v>11559</v>
      </c>
      <c r="C2" s="1358" t="s">
        <v>11560</v>
      </c>
      <c r="D2" s="1359" t="s">
        <v>11561</v>
      </c>
      <c r="E2" s="88"/>
      <c r="F2" s="88"/>
      <c r="G2" s="88"/>
      <c r="H2" s="88"/>
      <c r="I2" s="1360"/>
      <c r="J2" s="1360"/>
      <c r="K2" s="1360"/>
      <c r="L2" s="1360"/>
      <c r="M2" s="1360"/>
      <c r="N2" s="1360"/>
      <c r="O2" s="1360"/>
      <c r="P2" s="1360"/>
      <c r="Q2" s="1361"/>
      <c r="S2" s="1359" t="s">
        <v>10540</v>
      </c>
      <c r="T2" s="1358" t="s">
        <v>11562</v>
      </c>
      <c r="U2" s="1359" t="s">
        <v>11561</v>
      </c>
      <c r="V2" s="1362" t="s">
        <v>11563</v>
      </c>
      <c r="W2" s="1362"/>
      <c r="X2" s="1362"/>
      <c r="Y2" s="1362"/>
      <c r="Z2" s="1362"/>
      <c r="AA2" s="1362"/>
      <c r="AB2" s="1362" t="s">
        <v>11564</v>
      </c>
      <c r="AC2" s="1362"/>
      <c r="AD2" s="1362"/>
      <c r="AE2" s="1362"/>
      <c r="AF2" s="1362"/>
      <c r="AG2" s="1362"/>
      <c r="AH2" s="1362"/>
      <c r="AI2" s="88"/>
      <c r="AK2" s="1357" t="s">
        <v>10540</v>
      </c>
      <c r="AL2" s="1358" t="s">
        <v>11562</v>
      </c>
      <c r="AM2" s="1359" t="s">
        <v>11561</v>
      </c>
      <c r="AN2" s="1363" t="s">
        <v>11565</v>
      </c>
      <c r="AO2" s="1364" t="s">
        <v>11566</v>
      </c>
      <c r="AP2" s="1363" t="s">
        <v>11565</v>
      </c>
      <c r="AQ2" s="1363" t="s">
        <v>11565</v>
      </c>
      <c r="AR2" s="1363" t="s">
        <v>11565</v>
      </c>
      <c r="AS2" s="1363" t="s">
        <v>11565</v>
      </c>
      <c r="AT2" s="1363" t="s">
        <v>11565</v>
      </c>
      <c r="AU2" s="1363" t="s">
        <v>11565</v>
      </c>
      <c r="AV2" s="1363" t="s">
        <v>11565</v>
      </c>
      <c r="AW2" s="1363" t="s">
        <v>11565</v>
      </c>
      <c r="AX2" s="1365" t="s">
        <v>11567</v>
      </c>
      <c r="AY2" s="1363" t="s">
        <v>11565</v>
      </c>
      <c r="AZ2" s="1363" t="s">
        <v>11565</v>
      </c>
      <c r="BA2" s="1366" t="s">
        <v>11565</v>
      </c>
      <c r="BM2" s="1357" t="s">
        <v>11559</v>
      </c>
      <c r="BN2" s="1358" t="s">
        <v>11560</v>
      </c>
      <c r="BO2" s="1359" t="s">
        <v>11561</v>
      </c>
      <c r="BP2" s="1367"/>
      <c r="BQ2" s="1367"/>
      <c r="BR2" s="1367"/>
      <c r="BS2" s="1367"/>
      <c r="BT2" s="1368"/>
      <c r="BU2" s="1361"/>
      <c r="BW2" s="1357" t="s">
        <v>11559</v>
      </c>
      <c r="BX2" s="1358" t="s">
        <v>11560</v>
      </c>
      <c r="BY2" s="1359" t="s">
        <v>11561</v>
      </c>
      <c r="BZ2" s="1367"/>
      <c r="CA2" s="1367"/>
      <c r="CB2" s="1367"/>
      <c r="CC2" s="1367"/>
      <c r="CD2" s="1367"/>
      <c r="CE2" s="1367"/>
      <c r="CF2" s="1369"/>
      <c r="CG2" s="1370"/>
      <c r="CH2" s="1371" t="s">
        <v>11559</v>
      </c>
      <c r="CI2" s="1358" t="s">
        <v>11560</v>
      </c>
      <c r="CJ2" s="1359" t="s">
        <v>11561</v>
      </c>
      <c r="CK2" s="1367"/>
      <c r="CL2" s="1367"/>
      <c r="CM2" s="1367"/>
      <c r="CN2" s="1372"/>
      <c r="CP2" s="1373" t="s">
        <v>10540</v>
      </c>
      <c r="CQ2" s="1358" t="s">
        <v>11560</v>
      </c>
      <c r="CR2" s="1359" t="s">
        <v>11561</v>
      </c>
      <c r="CS2" s="1374" t="s">
        <v>11565</v>
      </c>
      <c r="CT2" s="1374" t="s">
        <v>11565</v>
      </c>
      <c r="CU2" s="1374" t="s">
        <v>11565</v>
      </c>
      <c r="CV2" s="1374" t="s">
        <v>11565</v>
      </c>
      <c r="CW2" s="1374" t="s">
        <v>11565</v>
      </c>
      <c r="CX2" s="1374" t="s">
        <v>11565</v>
      </c>
      <c r="CY2" s="1374" t="s">
        <v>11568</v>
      </c>
      <c r="CZ2" s="1374" t="s">
        <v>11568</v>
      </c>
      <c r="DA2" s="1374" t="s">
        <v>11569</v>
      </c>
      <c r="DB2" s="1374"/>
      <c r="DC2" s="1374"/>
      <c r="DD2" s="1375"/>
      <c r="DE2" s="1376"/>
      <c r="DG2" s="1373" t="s">
        <v>10540</v>
      </c>
      <c r="DH2" s="1358" t="s">
        <v>11560</v>
      </c>
      <c r="DI2" s="1359" t="s">
        <v>11561</v>
      </c>
      <c r="DJ2" s="1374" t="s">
        <v>11565</v>
      </c>
      <c r="DK2" s="1374"/>
      <c r="DL2" s="1374" t="s">
        <v>11565</v>
      </c>
      <c r="DM2" s="1374"/>
      <c r="DN2" s="1374" t="s">
        <v>11565</v>
      </c>
      <c r="DO2" s="1374"/>
      <c r="DP2" s="1377"/>
      <c r="DQ2" s="1377" t="s">
        <v>11570</v>
      </c>
      <c r="DR2" s="1377"/>
      <c r="DS2" s="1374" t="s">
        <v>11565</v>
      </c>
      <c r="DT2" s="1374" t="s">
        <v>11565</v>
      </c>
      <c r="DU2" s="1374"/>
      <c r="DV2" s="1374"/>
      <c r="DW2" s="1378" t="s">
        <v>11571</v>
      </c>
      <c r="DX2" s="1378"/>
      <c r="DY2" s="1378"/>
      <c r="DZ2" s="1378"/>
      <c r="EA2" s="1378"/>
      <c r="EB2" s="1378"/>
      <c r="EC2" s="1379"/>
      <c r="ED2" s="1375"/>
      <c r="EE2" s="1376"/>
      <c r="EI2" s="1373" t="s">
        <v>10540</v>
      </c>
      <c r="EJ2" s="1358" t="s">
        <v>11560</v>
      </c>
      <c r="EK2" s="1359" t="s">
        <v>11561</v>
      </c>
      <c r="EL2" s="1374" t="s">
        <v>11565</v>
      </c>
      <c r="EM2" s="1374"/>
      <c r="EN2" s="1374"/>
      <c r="EO2" s="1374" t="s">
        <v>11565</v>
      </c>
      <c r="EP2" s="1374"/>
      <c r="EQ2" s="1374"/>
      <c r="ER2" s="1374" t="s">
        <v>11565</v>
      </c>
      <c r="ES2" s="1374"/>
      <c r="ET2" s="1374" t="s">
        <v>11565</v>
      </c>
      <c r="EU2" s="1374"/>
      <c r="EV2" s="1378"/>
      <c r="EW2" s="1378"/>
      <c r="EX2" s="1378"/>
      <c r="EY2" s="1378"/>
      <c r="EZ2" s="1378"/>
      <c r="FA2" s="1378"/>
      <c r="FB2" s="1378"/>
      <c r="FC2" s="1380"/>
      <c r="FD2" s="1381"/>
      <c r="FH2" s="1373" t="s">
        <v>10540</v>
      </c>
      <c r="FI2" s="1358" t="s">
        <v>11560</v>
      </c>
      <c r="FJ2" s="1359" t="s">
        <v>11561</v>
      </c>
      <c r="FK2" s="1374" t="s">
        <v>11565</v>
      </c>
      <c r="FL2" s="1374"/>
      <c r="FM2" s="1374" t="s">
        <v>11565</v>
      </c>
      <c r="FN2" s="1374"/>
      <c r="FO2" s="1374" t="s">
        <v>11565</v>
      </c>
      <c r="FP2" s="1374"/>
      <c r="FQ2" s="1374" t="s">
        <v>11565</v>
      </c>
      <c r="FR2" s="1378"/>
      <c r="FS2" s="1378"/>
      <c r="FT2" s="1378"/>
      <c r="FU2" s="1378"/>
      <c r="FV2" s="1378"/>
      <c r="FW2" s="1378"/>
      <c r="FX2" s="1375"/>
      <c r="FY2" s="1376"/>
      <c r="GC2" s="1373" t="s">
        <v>10540</v>
      </c>
      <c r="GD2" s="1358" t="s">
        <v>11560</v>
      </c>
      <c r="GE2" s="1359" t="s">
        <v>11561</v>
      </c>
      <c r="GF2" s="1374" t="s">
        <v>11565</v>
      </c>
      <c r="GG2" s="1374" t="s">
        <v>11565</v>
      </c>
      <c r="GH2" s="1374" t="s">
        <v>11565</v>
      </c>
      <c r="GI2" s="1378"/>
      <c r="GJ2" s="1375"/>
      <c r="GK2" s="1376"/>
    </row>
    <row r="3" ht="42" customHeight="1" spans="2:194">
      <c r="B3" s="1357"/>
      <c r="C3" s="1382"/>
      <c r="D3" s="1383"/>
      <c r="E3" s="88" t="s">
        <v>11572</v>
      </c>
      <c r="F3" s="88" t="s">
        <v>11573</v>
      </c>
      <c r="G3" s="88" t="s">
        <v>11572</v>
      </c>
      <c r="H3" s="88" t="s">
        <v>11573</v>
      </c>
      <c r="I3" s="1360" t="s">
        <v>11574</v>
      </c>
      <c r="J3" s="1384" t="s">
        <v>11575</v>
      </c>
      <c r="K3" s="1384" t="s">
        <v>11576</v>
      </c>
      <c r="L3" s="1385" t="s">
        <v>11577</v>
      </c>
      <c r="M3" s="1385" t="s">
        <v>11577</v>
      </c>
      <c r="N3" s="1385" t="s">
        <v>11577</v>
      </c>
      <c r="O3" s="1385" t="s">
        <v>11578</v>
      </c>
      <c r="P3" s="1385" t="s">
        <v>11579</v>
      </c>
      <c r="Q3" s="1386" t="s">
        <v>11580</v>
      </c>
      <c r="S3" s="1383"/>
      <c r="T3" s="1382"/>
      <c r="U3" s="1383"/>
      <c r="V3" s="88" t="s">
        <v>11581</v>
      </c>
      <c r="W3" s="88" t="s">
        <v>11581</v>
      </c>
      <c r="X3" s="88" t="s">
        <v>11582</v>
      </c>
      <c r="Y3" s="88" t="s">
        <v>11583</v>
      </c>
      <c r="Z3" s="1387" t="s">
        <v>11584</v>
      </c>
      <c r="AA3" s="1387" t="s">
        <v>11584</v>
      </c>
      <c r="AB3" s="88" t="s">
        <v>11585</v>
      </c>
      <c r="AC3" s="88" t="s">
        <v>11586</v>
      </c>
      <c r="AD3" s="88" t="s">
        <v>11587</v>
      </c>
      <c r="AE3" s="1387" t="s">
        <v>11588</v>
      </c>
      <c r="AF3" s="1388" t="s">
        <v>11589</v>
      </c>
      <c r="AG3" s="1388" t="s">
        <v>11590</v>
      </c>
      <c r="AH3" s="1388" t="s">
        <v>11591</v>
      </c>
      <c r="AI3" s="1387" t="s">
        <v>11592</v>
      </c>
      <c r="AK3" s="1357"/>
      <c r="AL3" s="1382"/>
      <c r="AM3" s="1383"/>
      <c r="AN3" s="88" t="s">
        <v>11581</v>
      </c>
      <c r="AO3" s="1387" t="s">
        <v>11593</v>
      </c>
      <c r="AP3" s="88" t="s">
        <v>11594</v>
      </c>
      <c r="AQ3" s="1389" t="s">
        <v>11594</v>
      </c>
      <c r="AR3" s="88" t="s">
        <v>11585</v>
      </c>
      <c r="AS3" s="88" t="s">
        <v>11585</v>
      </c>
      <c r="AT3" s="88" t="s">
        <v>11595</v>
      </c>
      <c r="AU3" s="1389" t="s">
        <v>11596</v>
      </c>
      <c r="AV3" s="1360" t="s">
        <v>11597</v>
      </c>
      <c r="AW3" s="1360" t="s">
        <v>11598</v>
      </c>
      <c r="AX3" s="1390" t="s">
        <v>11599</v>
      </c>
      <c r="AY3" s="1360" t="s">
        <v>11600</v>
      </c>
      <c r="AZ3" s="1360" t="s">
        <v>11600</v>
      </c>
      <c r="BA3" s="1391" t="s">
        <v>11601</v>
      </c>
      <c r="BM3" s="1357"/>
      <c r="BN3" s="1382"/>
      <c r="BO3" s="1383"/>
      <c r="BP3" s="88" t="s">
        <v>11572</v>
      </c>
      <c r="BQ3" s="88" t="s">
        <v>11573</v>
      </c>
      <c r="BR3" s="88" t="s">
        <v>11602</v>
      </c>
      <c r="BS3" s="88" t="s">
        <v>11603</v>
      </c>
      <c r="BT3" s="1360" t="s">
        <v>11604</v>
      </c>
      <c r="BU3" s="1391" t="s">
        <v>11605</v>
      </c>
      <c r="BW3" s="1357"/>
      <c r="BX3" s="1382"/>
      <c r="BY3" s="1383"/>
      <c r="BZ3" s="88" t="s">
        <v>11581</v>
      </c>
      <c r="CA3" s="88" t="s">
        <v>11581</v>
      </c>
      <c r="CB3" s="88" t="s">
        <v>11594</v>
      </c>
      <c r="CC3" s="1392" t="s">
        <v>11606</v>
      </c>
      <c r="CD3" s="88" t="s">
        <v>11585</v>
      </c>
      <c r="CE3" s="88" t="s">
        <v>11595</v>
      </c>
      <c r="CF3" s="1393" t="s">
        <v>11607</v>
      </c>
      <c r="CG3" s="1394"/>
      <c r="CH3" s="1371"/>
      <c r="CI3" s="1382"/>
      <c r="CJ3" s="1383"/>
      <c r="CK3" s="88" t="s">
        <v>11608</v>
      </c>
      <c r="CL3" s="88" t="s">
        <v>11594</v>
      </c>
      <c r="CM3" s="88" t="s">
        <v>11585</v>
      </c>
      <c r="CN3" s="1395" t="s">
        <v>11595</v>
      </c>
      <c r="CP3" s="1396"/>
      <c r="CQ3" s="1382"/>
      <c r="CR3" s="1383"/>
      <c r="CS3" s="1397" t="s">
        <v>6038</v>
      </c>
      <c r="CT3" s="1398" t="s">
        <v>11609</v>
      </c>
      <c r="CU3" s="1398" t="s">
        <v>11610</v>
      </c>
      <c r="CV3" s="1397" t="s">
        <v>11611</v>
      </c>
      <c r="CW3" s="1398" t="s">
        <v>11612</v>
      </c>
      <c r="CX3" s="1398" t="s">
        <v>11613</v>
      </c>
      <c r="CY3" s="148" t="s">
        <v>11614</v>
      </c>
      <c r="CZ3" s="148" t="s">
        <v>11615</v>
      </c>
      <c r="DA3" s="148" t="s">
        <v>11616</v>
      </c>
      <c r="DB3" s="148" t="s">
        <v>11617</v>
      </c>
      <c r="DC3" s="148" t="s">
        <v>11618</v>
      </c>
      <c r="DD3" s="1399" t="s">
        <v>11619</v>
      </c>
      <c r="DE3" s="1400" t="s">
        <v>11620</v>
      </c>
      <c r="DG3" s="1396"/>
      <c r="DH3" s="1382"/>
      <c r="DI3" s="1383"/>
      <c r="DJ3" s="1397" t="s">
        <v>6038</v>
      </c>
      <c r="DK3" s="1401" t="s">
        <v>11621</v>
      </c>
      <c r="DL3" s="147" t="s">
        <v>11622</v>
      </c>
      <c r="DM3" s="1402" t="s">
        <v>11623</v>
      </c>
      <c r="DN3" s="100" t="s">
        <v>11624</v>
      </c>
      <c r="DO3" s="1401" t="s">
        <v>11624</v>
      </c>
      <c r="DP3" s="1403" t="s">
        <v>11625</v>
      </c>
      <c r="DQ3" s="1404" t="s">
        <v>11626</v>
      </c>
      <c r="DR3" s="1405" t="s">
        <v>11627</v>
      </c>
      <c r="DS3" s="147" t="s">
        <v>11628</v>
      </c>
      <c r="DT3" s="1406" t="s">
        <v>11629</v>
      </c>
      <c r="DU3" s="1406" t="s">
        <v>11630</v>
      </c>
      <c r="DV3" s="1407" t="s">
        <v>11631</v>
      </c>
      <c r="DW3" s="1406" t="s">
        <v>11632</v>
      </c>
      <c r="DX3" s="1406" t="s">
        <v>11633</v>
      </c>
      <c r="DY3" s="1407" t="s">
        <v>11634</v>
      </c>
      <c r="DZ3" s="1406" t="s">
        <v>11635</v>
      </c>
      <c r="EA3" s="1406" t="s">
        <v>11636</v>
      </c>
      <c r="EB3" s="148" t="s">
        <v>11618</v>
      </c>
      <c r="EC3" s="1408" t="s">
        <v>64</v>
      </c>
      <c r="ED3" s="1399" t="s">
        <v>11637</v>
      </c>
      <c r="EE3" s="1400" t="s">
        <v>11620</v>
      </c>
      <c r="EI3" s="1396"/>
      <c r="EJ3" s="1382"/>
      <c r="EK3" s="1383"/>
      <c r="EL3" s="1397" t="s">
        <v>6038</v>
      </c>
      <c r="EM3" s="75" t="s">
        <v>11638</v>
      </c>
      <c r="EN3" s="1409" t="s">
        <v>11639</v>
      </c>
      <c r="EO3" s="1397" t="s">
        <v>11611</v>
      </c>
      <c r="EP3" s="75" t="s">
        <v>11640</v>
      </c>
      <c r="EQ3" s="1409" t="s">
        <v>11641</v>
      </c>
      <c r="ER3" s="1410" t="s">
        <v>11642</v>
      </c>
      <c r="ES3" s="1410" t="s">
        <v>11643</v>
      </c>
      <c r="ET3" s="1406" t="s">
        <v>11644</v>
      </c>
      <c r="EU3" s="1411" t="s">
        <v>11645</v>
      </c>
      <c r="EV3" s="1406" t="s">
        <v>11646</v>
      </c>
      <c r="EW3" s="1406" t="s">
        <v>11647</v>
      </c>
      <c r="EX3" s="1406" t="s">
        <v>11648</v>
      </c>
      <c r="EY3" s="1406" t="s">
        <v>11649</v>
      </c>
      <c r="EZ3" s="1406" t="s">
        <v>11650</v>
      </c>
      <c r="FA3" s="1406" t="s">
        <v>11651</v>
      </c>
      <c r="FB3" s="1406" t="s">
        <v>64</v>
      </c>
      <c r="FC3" s="1412" t="s">
        <v>11618</v>
      </c>
      <c r="FD3" s="1413" t="s">
        <v>11620</v>
      </c>
      <c r="FH3" s="1396"/>
      <c r="FI3" s="1382"/>
      <c r="FJ3" s="1383"/>
      <c r="FK3" s="74" t="s">
        <v>11652</v>
      </c>
      <c r="FL3" s="1414" t="s">
        <v>11653</v>
      </c>
      <c r="FM3" s="74" t="s">
        <v>11654</v>
      </c>
      <c r="FN3" s="1414" t="s">
        <v>11655</v>
      </c>
      <c r="FO3" s="1410" t="s">
        <v>11642</v>
      </c>
      <c r="FP3" s="1415" t="s">
        <v>11656</v>
      </c>
      <c r="FQ3" s="148" t="s">
        <v>11657</v>
      </c>
      <c r="FR3" s="148" t="s">
        <v>11658</v>
      </c>
      <c r="FS3" s="148" t="s">
        <v>11659</v>
      </c>
      <c r="FT3" s="148" t="s">
        <v>11660</v>
      </c>
      <c r="FU3" s="148" t="s">
        <v>11661</v>
      </c>
      <c r="FV3" s="148" t="s">
        <v>11662</v>
      </c>
      <c r="FW3" s="148" t="s">
        <v>64</v>
      </c>
      <c r="FX3" s="1416" t="s">
        <v>11618</v>
      </c>
      <c r="FY3" s="1400" t="s">
        <v>11620</v>
      </c>
      <c r="FZ3" s="1417"/>
      <c r="GA3" s="1417"/>
      <c r="GC3" s="1396"/>
      <c r="GD3" s="1382"/>
      <c r="GE3" s="1383"/>
      <c r="GF3" s="74" t="s">
        <v>11652</v>
      </c>
      <c r="GG3" s="74" t="s">
        <v>11654</v>
      </c>
      <c r="GH3" s="1410" t="s">
        <v>11642</v>
      </c>
      <c r="GI3" s="148" t="s">
        <v>64</v>
      </c>
      <c r="GJ3" s="1418" t="s">
        <v>11618</v>
      </c>
      <c r="GK3" s="1419" t="s">
        <v>11663</v>
      </c>
    </row>
    <row r="4" ht="20" customHeight="1" spans="2:194">
      <c r="B4" s="1357"/>
      <c r="C4" s="1382"/>
      <c r="D4" s="1383"/>
      <c r="E4" s="1420" t="s">
        <v>11664</v>
      </c>
      <c r="F4" s="88" t="s">
        <v>11665</v>
      </c>
      <c r="G4" s="88" t="s">
        <v>11666</v>
      </c>
      <c r="H4" s="88" t="s">
        <v>11666</v>
      </c>
      <c r="I4" s="1360"/>
      <c r="J4" s="1360"/>
      <c r="K4" s="1360"/>
      <c r="L4" s="1360" t="s">
        <v>11665</v>
      </c>
      <c r="M4" s="1421" t="s">
        <v>10570</v>
      </c>
      <c r="N4" s="1421" t="s">
        <v>11667</v>
      </c>
      <c r="O4" s="1360"/>
      <c r="P4" s="1360"/>
      <c r="Q4" s="1361"/>
      <c r="S4" s="1383"/>
      <c r="T4" s="1382"/>
      <c r="U4" s="1383"/>
      <c r="V4" s="1420" t="s">
        <v>11664</v>
      </c>
      <c r="W4" s="1420" t="s">
        <v>10570</v>
      </c>
      <c r="X4" s="88" t="s">
        <v>11665</v>
      </c>
      <c r="Y4" s="88" t="s">
        <v>11665</v>
      </c>
      <c r="Z4" s="88" t="s">
        <v>11665</v>
      </c>
      <c r="AA4" s="88" t="s">
        <v>11666</v>
      </c>
      <c r="AB4" s="88" t="s">
        <v>11666</v>
      </c>
      <c r="AC4" s="88" t="s">
        <v>11665</v>
      </c>
      <c r="AD4" s="88" t="s">
        <v>11665</v>
      </c>
      <c r="AE4" s="88" t="s">
        <v>11666</v>
      </c>
      <c r="AF4" s="1422" t="s">
        <v>11668</v>
      </c>
      <c r="AG4" s="1422" t="s">
        <v>11668</v>
      </c>
      <c r="AH4" s="1422" t="s">
        <v>11668</v>
      </c>
      <c r="AI4" s="88"/>
      <c r="AK4" s="1357"/>
      <c r="AL4" s="1382"/>
      <c r="AM4" s="1383"/>
      <c r="AN4" s="1420" t="s">
        <v>11664</v>
      </c>
      <c r="AO4" s="1423" t="s">
        <v>10570</v>
      </c>
      <c r="AP4" s="1420" t="s">
        <v>11664</v>
      </c>
      <c r="AQ4" s="1424" t="s">
        <v>10570</v>
      </c>
      <c r="AR4" s="1420" t="s">
        <v>11664</v>
      </c>
      <c r="AS4" s="1425" t="s">
        <v>10570</v>
      </c>
      <c r="AT4" s="1420" t="s">
        <v>11664</v>
      </c>
      <c r="AU4" s="1426" t="s">
        <v>10570</v>
      </c>
      <c r="AV4" s="1421" t="s">
        <v>11664</v>
      </c>
      <c r="AW4" s="1421" t="s">
        <v>11664</v>
      </c>
      <c r="AX4" s="1421"/>
      <c r="AY4" s="1421" t="s">
        <v>11669</v>
      </c>
      <c r="AZ4" s="1421" t="s">
        <v>11670</v>
      </c>
      <c r="BA4" s="1361"/>
      <c r="BM4" s="1357"/>
      <c r="BN4" s="1382"/>
      <c r="BO4" s="1383"/>
      <c r="BP4" s="1420" t="s">
        <v>11664</v>
      </c>
      <c r="BQ4" s="88" t="s">
        <v>11665</v>
      </c>
      <c r="BR4" s="1420" t="s">
        <v>11664</v>
      </c>
      <c r="BS4" s="88" t="s">
        <v>11665</v>
      </c>
      <c r="BT4" s="1360"/>
      <c r="BU4" s="1361"/>
      <c r="BW4" s="1357"/>
      <c r="BX4" s="1382"/>
      <c r="BY4" s="1383"/>
      <c r="BZ4" s="1420" t="s">
        <v>11664</v>
      </c>
      <c r="CA4" s="1420" t="s">
        <v>11671</v>
      </c>
      <c r="CB4" s="88" t="s">
        <v>11665</v>
      </c>
      <c r="CC4" s="1427" t="s">
        <v>11672</v>
      </c>
      <c r="CD4" s="1420" t="s">
        <v>11664</v>
      </c>
      <c r="CE4" s="88" t="s">
        <v>11665</v>
      </c>
      <c r="CF4" s="1393" t="s">
        <v>11673</v>
      </c>
      <c r="CG4" s="1394"/>
      <c r="CH4" s="1371"/>
      <c r="CI4" s="1382"/>
      <c r="CJ4" s="1383"/>
      <c r="CK4" s="1420" t="s">
        <v>11664</v>
      </c>
      <c r="CL4" s="88" t="s">
        <v>11665</v>
      </c>
      <c r="CM4" s="1420" t="s">
        <v>11664</v>
      </c>
      <c r="CN4" s="1395" t="s">
        <v>11665</v>
      </c>
      <c r="CP4" s="1396"/>
      <c r="CQ4" s="1382"/>
      <c r="CR4" s="1383"/>
      <c r="CS4" s="1428" t="s">
        <v>11664</v>
      </c>
      <c r="CT4" s="1428" t="s">
        <v>11664</v>
      </c>
      <c r="CU4" s="1428" t="s">
        <v>11664</v>
      </c>
      <c r="CV4" s="1428" t="s">
        <v>11664</v>
      </c>
      <c r="CW4" s="1428" t="s">
        <v>11664</v>
      </c>
      <c r="CX4" s="1428" t="s">
        <v>11664</v>
      </c>
      <c r="CY4" s="1428"/>
      <c r="CZ4" s="1428"/>
      <c r="DA4" s="1429"/>
      <c r="DB4" s="1428"/>
      <c r="DC4" s="1428"/>
      <c r="DD4" s="1375"/>
      <c r="DE4" s="1376"/>
      <c r="DG4" s="1396"/>
      <c r="DH4" s="1382"/>
      <c r="DI4" s="1383"/>
      <c r="DJ4" s="1428" t="s">
        <v>11664</v>
      </c>
      <c r="DK4" s="1430" t="s">
        <v>11674</v>
      </c>
      <c r="DL4" s="1428" t="s">
        <v>11664</v>
      </c>
      <c r="DM4" s="1430" t="s">
        <v>11674</v>
      </c>
      <c r="DN4" s="1428" t="s">
        <v>11664</v>
      </c>
      <c r="DO4" s="1430" t="s">
        <v>11674</v>
      </c>
      <c r="DP4" s="1431" t="s">
        <v>11675</v>
      </c>
      <c r="DQ4" s="1431" t="s">
        <v>11675</v>
      </c>
      <c r="DR4" s="1432" t="s">
        <v>11676</v>
      </c>
      <c r="DS4" s="1428" t="s">
        <v>11664</v>
      </c>
      <c r="DT4" s="1428" t="s">
        <v>11664</v>
      </c>
      <c r="DU4" s="1428" t="s">
        <v>11664</v>
      </c>
      <c r="DV4" s="1430" t="s">
        <v>11674</v>
      </c>
      <c r="DW4" s="1428" t="s">
        <v>11664</v>
      </c>
      <c r="DX4" s="1428" t="s">
        <v>11677</v>
      </c>
      <c r="DY4" s="1428"/>
      <c r="DZ4" s="1428"/>
      <c r="EA4" s="1428" t="s">
        <v>11664</v>
      </c>
      <c r="EB4" s="1428"/>
      <c r="EC4" s="1375"/>
      <c r="ED4" s="1375"/>
      <c r="EE4" s="1376"/>
      <c r="EI4" s="1396"/>
      <c r="EJ4" s="1382"/>
      <c r="EK4" s="1383"/>
      <c r="EL4" s="1428" t="s">
        <v>11664</v>
      </c>
      <c r="EM4" s="1433" t="s">
        <v>10570</v>
      </c>
      <c r="EN4" s="1434" t="s">
        <v>11678</v>
      </c>
      <c r="EO4" s="1428" t="s">
        <v>11664</v>
      </c>
      <c r="EP4" s="1433" t="s">
        <v>10570</v>
      </c>
      <c r="EQ4" s="1434" t="s">
        <v>11678</v>
      </c>
      <c r="ER4" s="1428" t="s">
        <v>11664</v>
      </c>
      <c r="ES4" s="1428"/>
      <c r="ET4" s="1428" t="s">
        <v>11664</v>
      </c>
      <c r="EU4" s="1428"/>
      <c r="EV4" s="1428" t="s">
        <v>11664</v>
      </c>
      <c r="EW4" s="1428"/>
      <c r="EX4" s="1428"/>
      <c r="EY4" s="1428"/>
      <c r="EZ4" s="1428"/>
      <c r="FA4" s="1428"/>
      <c r="FB4" s="1428"/>
      <c r="FC4" s="1380"/>
      <c r="FD4" s="1381"/>
      <c r="FH4" s="1396"/>
      <c r="FI4" s="1382"/>
      <c r="FJ4" s="1383"/>
      <c r="FK4" s="1428" t="s">
        <v>11664</v>
      </c>
      <c r="FL4" s="1428"/>
      <c r="FM4" s="1428" t="s">
        <v>11664</v>
      </c>
      <c r="FN4" s="1428"/>
      <c r="FO4" s="1428" t="s">
        <v>11664</v>
      </c>
      <c r="FP4" s="1428"/>
      <c r="FQ4" s="1428" t="s">
        <v>11664</v>
      </c>
      <c r="FR4" s="1428" t="s">
        <v>11664</v>
      </c>
      <c r="FS4" s="1428"/>
      <c r="FT4" s="1428"/>
      <c r="FU4" s="1428"/>
      <c r="FV4" s="1428"/>
      <c r="FW4" s="1428"/>
      <c r="FX4" s="1375"/>
      <c r="FY4" s="1376"/>
      <c r="GC4" s="1396"/>
      <c r="GD4" s="1382"/>
      <c r="GE4" s="1383"/>
      <c r="GF4" s="1428" t="s">
        <v>11664</v>
      </c>
      <c r="GG4" s="1428" t="s">
        <v>11664</v>
      </c>
      <c r="GH4" s="1428" t="s">
        <v>11664</v>
      </c>
      <c r="GI4" s="1428"/>
      <c r="GJ4" s="1375"/>
      <c r="GK4" s="1376"/>
    </row>
    <row r="5" s="1329" customFormat="1" ht="24" customHeight="1" spans="2:194">
      <c r="B5" s="1435">
        <v>43537</v>
      </c>
      <c r="C5" s="1436">
        <v>1000003204</v>
      </c>
      <c r="D5" s="1437" t="s">
        <v>11679</v>
      </c>
      <c r="E5" s="1438">
        <v>200000</v>
      </c>
      <c r="F5" s="1438"/>
      <c r="G5" s="1438"/>
      <c r="H5" s="1438"/>
      <c r="I5" s="1439"/>
      <c r="J5" s="1440"/>
      <c r="K5" s="1440"/>
      <c r="L5" s="1440"/>
      <c r="M5" s="1440"/>
      <c r="N5" s="1440"/>
      <c r="O5" s="1440"/>
      <c r="P5" s="1440"/>
      <c r="Q5" s="1441"/>
      <c r="S5" s="1442">
        <v>43805</v>
      </c>
      <c r="T5" s="1443">
        <v>1000004707</v>
      </c>
      <c r="U5" s="1443" t="s">
        <v>11679</v>
      </c>
      <c r="V5" s="1443">
        <v>63000</v>
      </c>
      <c r="W5" s="1443"/>
      <c r="X5" s="1443"/>
      <c r="Y5" s="1443"/>
      <c r="Z5" s="1443"/>
      <c r="AA5" s="1443"/>
      <c r="AB5" s="1443"/>
      <c r="AC5" s="1443"/>
      <c r="AD5" s="1443"/>
      <c r="AE5" s="1443"/>
      <c r="AF5" s="1443"/>
      <c r="AG5" s="1443"/>
      <c r="AH5" s="1443"/>
      <c r="AI5" s="1443"/>
      <c r="AK5" s="1444">
        <v>44160</v>
      </c>
      <c r="AL5" s="1445">
        <v>1000006635</v>
      </c>
      <c r="AM5" s="1446" t="s">
        <v>11679</v>
      </c>
      <c r="AN5" s="1447">
        <v>200000</v>
      </c>
      <c r="AO5" s="1447"/>
      <c r="AP5" s="1447"/>
      <c r="AQ5" s="1447"/>
      <c r="AR5" s="700"/>
      <c r="AS5" s="700"/>
      <c r="AT5" s="700"/>
      <c r="AU5" s="1448"/>
      <c r="AV5" s="1448"/>
      <c r="AW5" s="1448"/>
      <c r="AX5" s="1448"/>
      <c r="AY5" s="1448"/>
      <c r="AZ5" s="1448"/>
      <c r="BA5" s="1449"/>
      <c r="BM5" s="1435">
        <v>43650</v>
      </c>
      <c r="BN5" s="1436" t="s">
        <v>11680</v>
      </c>
      <c r="BO5" s="1437" t="s">
        <v>11679</v>
      </c>
      <c r="BP5" s="1438">
        <v>50000</v>
      </c>
      <c r="BQ5" s="1438"/>
      <c r="BR5" s="1443"/>
      <c r="BS5" s="1443"/>
      <c r="BT5" s="1440"/>
      <c r="BU5" s="1441"/>
      <c r="BW5" s="1444">
        <v>44026</v>
      </c>
      <c r="BX5" s="1445" t="s">
        <v>11681</v>
      </c>
      <c r="BY5" s="1446" t="s">
        <v>11679</v>
      </c>
      <c r="BZ5" s="1447">
        <v>30000</v>
      </c>
      <c r="CA5" s="1447"/>
      <c r="CB5" s="1447"/>
      <c r="CC5" s="1450"/>
      <c r="CD5" s="700"/>
      <c r="CE5" s="700"/>
      <c r="CF5" s="1451"/>
      <c r="CG5" s="1330"/>
      <c r="CH5" s="1452">
        <v>44333</v>
      </c>
      <c r="CI5" s="1453" t="s">
        <v>11682</v>
      </c>
      <c r="CJ5" s="1446" t="s">
        <v>11683</v>
      </c>
      <c r="CK5" s="1447">
        <v>160000</v>
      </c>
      <c r="CL5" s="1447"/>
      <c r="CM5" s="700"/>
      <c r="CN5" s="1454"/>
      <c r="CP5" s="1455">
        <v>44588</v>
      </c>
      <c r="CQ5" s="1456">
        <v>1000009644</v>
      </c>
      <c r="CR5" s="1457" t="s">
        <v>11684</v>
      </c>
      <c r="CS5" s="1443">
        <v>30000</v>
      </c>
      <c r="CT5" s="1443"/>
      <c r="CU5" s="1443"/>
      <c r="CV5" s="1443"/>
      <c r="CW5" s="1443"/>
      <c r="CX5" s="1443"/>
      <c r="CY5" s="1443"/>
      <c r="CZ5" s="1443"/>
      <c r="DA5" s="700"/>
      <c r="DB5" s="1443"/>
      <c r="DC5" s="1443"/>
      <c r="DD5" s="1440"/>
      <c r="DE5" s="1458"/>
      <c r="DG5" s="1455">
        <v>44930</v>
      </c>
      <c r="DH5" s="1459">
        <v>1000012982</v>
      </c>
      <c r="DI5" s="1460" t="s">
        <v>11685</v>
      </c>
      <c r="DJ5" s="1443">
        <v>180000</v>
      </c>
      <c r="DK5" s="1443"/>
      <c r="DL5" s="1443"/>
      <c r="DM5" s="1443"/>
      <c r="DN5" s="1443"/>
      <c r="DO5" s="1443"/>
      <c r="DP5" s="1377"/>
      <c r="DQ5" s="1377"/>
      <c r="DR5" s="1377"/>
      <c r="DS5" s="1443"/>
      <c r="DT5" s="1443"/>
      <c r="DU5" s="1443"/>
      <c r="DV5" s="1443"/>
      <c r="DW5" s="1443"/>
      <c r="DX5" s="700"/>
      <c r="DY5" s="700"/>
      <c r="DZ5" s="700"/>
      <c r="EA5" s="1443"/>
      <c r="EB5" s="1443"/>
      <c r="EC5" s="1440"/>
      <c r="ED5" s="1440"/>
      <c r="EE5" s="1458"/>
      <c r="EF5" s="1461"/>
      <c r="EG5" s="1461"/>
      <c r="EH5" s="1461"/>
      <c r="EI5" s="1455">
        <v>45127</v>
      </c>
      <c r="EJ5" s="700">
        <v>1000015658</v>
      </c>
      <c r="EK5" s="700" t="s">
        <v>11686</v>
      </c>
      <c r="EL5" s="700">
        <v>50000</v>
      </c>
      <c r="EM5" s="700"/>
      <c r="EN5" s="700"/>
      <c r="EO5" s="700"/>
      <c r="EP5" s="700"/>
      <c r="EQ5" s="700"/>
      <c r="ER5" s="700"/>
      <c r="ES5" s="700"/>
      <c r="ET5" s="700"/>
      <c r="EU5" s="700"/>
      <c r="EV5" s="700"/>
      <c r="EW5" s="700"/>
      <c r="EX5" s="700"/>
      <c r="EY5" s="700"/>
      <c r="EZ5" s="700"/>
      <c r="FA5" s="700"/>
      <c r="FB5" s="700"/>
      <c r="FC5" s="1454"/>
      <c r="FD5" s="1462"/>
      <c r="FH5" s="1455">
        <v>45295</v>
      </c>
      <c r="FI5" s="700">
        <v>1000018111</v>
      </c>
      <c r="FJ5" s="700" t="s">
        <v>11687</v>
      </c>
      <c r="FK5" s="700">
        <v>100000</v>
      </c>
      <c r="FL5" s="700"/>
      <c r="FM5" s="700"/>
      <c r="FN5" s="700"/>
      <c r="FO5" s="700"/>
      <c r="FP5" s="700"/>
      <c r="FQ5" s="700"/>
      <c r="FR5" s="700"/>
      <c r="FS5" s="700"/>
      <c r="FT5" s="700"/>
      <c r="FU5" s="700"/>
      <c r="FV5" s="700"/>
      <c r="FW5" s="700"/>
      <c r="FX5" s="1448"/>
      <c r="FY5" s="1463"/>
      <c r="FZ5" s="1330"/>
      <c r="GA5" s="1330"/>
      <c r="GC5" s="1455">
        <v>45356</v>
      </c>
      <c r="GD5" s="700">
        <v>1000018773</v>
      </c>
      <c r="GE5" s="700" t="s">
        <v>11687</v>
      </c>
      <c r="GF5" s="700">
        <v>50000</v>
      </c>
      <c r="GG5" s="700"/>
      <c r="GH5" s="700"/>
      <c r="GI5" s="700"/>
      <c r="GJ5" s="1448"/>
      <c r="GK5" s="1463"/>
    </row>
    <row r="6" s="1329" customFormat="1" ht="24" customHeight="1" spans="2:194">
      <c r="B6" s="1435">
        <v>43537</v>
      </c>
      <c r="C6" s="1436">
        <v>1000003205</v>
      </c>
      <c r="D6" s="1437" t="s">
        <v>11679</v>
      </c>
      <c r="E6" s="1438"/>
      <c r="F6" s="1438">
        <v>200000</v>
      </c>
      <c r="G6" s="1438"/>
      <c r="H6" s="1438"/>
      <c r="I6" s="1439"/>
      <c r="J6" s="1440"/>
      <c r="K6" s="1440"/>
      <c r="L6" s="1440"/>
      <c r="M6" s="1440"/>
      <c r="N6" s="1440"/>
      <c r="O6" s="1440"/>
      <c r="P6" s="1440"/>
      <c r="Q6" s="1441"/>
      <c r="S6" s="1442">
        <v>43805</v>
      </c>
      <c r="T6" s="1443">
        <v>1000004708</v>
      </c>
      <c r="U6" s="1443" t="s">
        <v>11679</v>
      </c>
      <c r="V6" s="1443"/>
      <c r="W6" s="1443"/>
      <c r="X6" s="1443">
        <v>63000</v>
      </c>
      <c r="Y6" s="1443"/>
      <c r="Z6" s="1443"/>
      <c r="AA6" s="1443"/>
      <c r="AB6" s="1443"/>
      <c r="AC6" s="1443"/>
      <c r="AD6" s="1443"/>
      <c r="AE6" s="1443"/>
      <c r="AF6" s="1443"/>
      <c r="AG6" s="1443"/>
      <c r="AH6" s="1443"/>
      <c r="AI6" s="1443"/>
      <c r="AK6" s="1444">
        <v>44160</v>
      </c>
      <c r="AL6" s="1445">
        <v>1000006636</v>
      </c>
      <c r="AM6" s="1446" t="s">
        <v>11679</v>
      </c>
      <c r="AN6" s="1447"/>
      <c r="AO6" s="1447"/>
      <c r="AP6" s="1447"/>
      <c r="AQ6" s="1447"/>
      <c r="AR6" s="700">
        <v>10000</v>
      </c>
      <c r="AS6" s="700"/>
      <c r="AT6" s="700"/>
      <c r="AU6" s="1448"/>
      <c r="AV6" s="1448"/>
      <c r="AW6" s="1448"/>
      <c r="AX6" s="1448"/>
      <c r="AY6" s="1448"/>
      <c r="AZ6" s="1448"/>
      <c r="BA6" s="1449"/>
      <c r="BM6" s="1435">
        <v>43650</v>
      </c>
      <c r="BN6" s="1436" t="s">
        <v>11688</v>
      </c>
      <c r="BO6" s="1437" t="s">
        <v>11679</v>
      </c>
      <c r="BP6" s="1438"/>
      <c r="BQ6" s="1438">
        <v>50000</v>
      </c>
      <c r="BR6" s="1443"/>
      <c r="BS6" s="1443"/>
      <c r="BT6" s="1440"/>
      <c r="BU6" s="1441"/>
      <c r="BW6" s="1444">
        <v>44026</v>
      </c>
      <c r="BX6" s="1445" t="s">
        <v>11689</v>
      </c>
      <c r="BY6" s="1446" t="s">
        <v>11679</v>
      </c>
      <c r="BZ6" s="1447"/>
      <c r="CA6" s="1447"/>
      <c r="CB6" s="1447">
        <v>20805</v>
      </c>
      <c r="CC6" s="1450"/>
      <c r="CD6" s="700"/>
      <c r="CE6" s="700"/>
      <c r="CF6" s="1451"/>
      <c r="CG6" s="1330"/>
      <c r="CH6" s="1452">
        <v>44333</v>
      </c>
      <c r="CI6" s="1453" t="s">
        <v>11682</v>
      </c>
      <c r="CJ6" s="1446" t="s">
        <v>11683</v>
      </c>
      <c r="CK6" s="1447"/>
      <c r="CL6" s="1447">
        <v>160000</v>
      </c>
      <c r="CM6" s="700"/>
      <c r="CN6" s="1454"/>
      <c r="CP6" s="1455">
        <v>44588</v>
      </c>
      <c r="CQ6" s="1456">
        <v>1000009645</v>
      </c>
      <c r="CR6" s="1457" t="s">
        <v>11684</v>
      </c>
      <c r="CS6" s="1443"/>
      <c r="CT6" s="1443">
        <v>30000</v>
      </c>
      <c r="CU6" s="1443"/>
      <c r="CV6" s="1443"/>
      <c r="CW6" s="1443"/>
      <c r="CX6" s="1443"/>
      <c r="CY6" s="1443"/>
      <c r="CZ6" s="1443"/>
      <c r="DA6" s="700"/>
      <c r="DB6" s="1443"/>
      <c r="DC6" s="1443"/>
      <c r="DD6" s="1440"/>
      <c r="DE6" s="1458"/>
      <c r="DG6" s="1455">
        <v>44930</v>
      </c>
      <c r="DH6" s="1459">
        <v>1000012984</v>
      </c>
      <c r="DI6" s="1460" t="s">
        <v>11685</v>
      </c>
      <c r="DJ6" s="1443"/>
      <c r="DK6" s="1443"/>
      <c r="DL6" s="1443"/>
      <c r="DM6" s="1443"/>
      <c r="DN6" s="1464">
        <v>30000</v>
      </c>
      <c r="DO6" s="1464"/>
      <c r="DP6" s="1465"/>
      <c r="DQ6" s="1377"/>
      <c r="DR6" s="1377"/>
      <c r="DS6" s="1443"/>
      <c r="DT6" s="1443"/>
      <c r="DU6" s="1443"/>
      <c r="DV6" s="1443"/>
      <c r="DW6" s="1443"/>
      <c r="DX6" s="700"/>
      <c r="DY6" s="700"/>
      <c r="DZ6" s="700"/>
      <c r="EA6" s="1443"/>
      <c r="EB6" s="1443"/>
      <c r="EC6" s="1440"/>
      <c r="ED6" s="1440"/>
      <c r="EE6" s="1458"/>
      <c r="EF6" s="1461"/>
      <c r="EG6" s="1461"/>
      <c r="EH6" s="1461"/>
      <c r="EI6" s="1455">
        <v>45127</v>
      </c>
      <c r="EJ6" s="700">
        <v>1000015659</v>
      </c>
      <c r="EK6" s="700" t="s">
        <v>11686</v>
      </c>
      <c r="EL6" s="700"/>
      <c r="EM6" s="700"/>
      <c r="EN6" s="700"/>
      <c r="EO6" s="700">
        <v>30000</v>
      </c>
      <c r="EP6" s="700"/>
      <c r="EQ6" s="700"/>
      <c r="ER6" s="700"/>
      <c r="ES6" s="700"/>
      <c r="ET6" s="700"/>
      <c r="EU6" s="700"/>
      <c r="EV6" s="700"/>
      <c r="EW6" s="700"/>
      <c r="EX6" s="700"/>
      <c r="EY6" s="700"/>
      <c r="EZ6" s="700"/>
      <c r="FA6" s="700"/>
      <c r="FB6" s="700"/>
      <c r="FC6" s="1454"/>
      <c r="FD6" s="1462"/>
      <c r="FH6" s="1455">
        <v>45295</v>
      </c>
      <c r="FI6" s="700">
        <v>1000018112</v>
      </c>
      <c r="FJ6" s="700" t="s">
        <v>11687</v>
      </c>
      <c r="FK6" s="700"/>
      <c r="FL6" s="700"/>
      <c r="FM6" s="700"/>
      <c r="FN6" s="700"/>
      <c r="FO6" s="700">
        <v>100000</v>
      </c>
      <c r="FP6" s="700"/>
      <c r="FQ6" s="700"/>
      <c r="FR6" s="700"/>
      <c r="FS6" s="700"/>
      <c r="FT6" s="700"/>
      <c r="FU6" s="700"/>
      <c r="FV6" s="700"/>
      <c r="FW6" s="700"/>
      <c r="FX6" s="1448"/>
      <c r="FY6" s="1463"/>
      <c r="FZ6" s="1330"/>
      <c r="GA6" s="1330"/>
      <c r="GC6" s="1455">
        <v>45356</v>
      </c>
      <c r="GD6" s="700">
        <v>1000018774</v>
      </c>
      <c r="GE6" s="700" t="s">
        <v>11687</v>
      </c>
      <c r="GF6" s="700"/>
      <c r="GG6" s="700"/>
      <c r="GH6" s="700">
        <v>50000</v>
      </c>
      <c r="GI6" s="700"/>
      <c r="GJ6" s="1448"/>
      <c r="GK6" s="1463"/>
    </row>
    <row r="7" s="1329" customFormat="1" ht="24" customHeight="1" spans="2:194">
      <c r="B7" s="1435">
        <v>43553</v>
      </c>
      <c r="C7" s="1436">
        <v>1000003235</v>
      </c>
      <c r="D7" s="1437" t="s">
        <v>11679</v>
      </c>
      <c r="E7" s="1438"/>
      <c r="F7" s="1438"/>
      <c r="G7" s="1438"/>
      <c r="H7" s="1438"/>
      <c r="I7" s="1439"/>
      <c r="J7" s="1440"/>
      <c r="K7" s="1440"/>
      <c r="L7" s="1440">
        <v>20000</v>
      </c>
      <c r="M7" s="1440"/>
      <c r="N7" s="1440"/>
      <c r="O7" s="1440"/>
      <c r="P7" s="1440"/>
      <c r="Q7" s="1441"/>
      <c r="S7" s="1442">
        <v>43805</v>
      </c>
      <c r="T7" s="1443">
        <v>1000004709</v>
      </c>
      <c r="U7" s="1443" t="s">
        <v>11679</v>
      </c>
      <c r="V7" s="1443"/>
      <c r="W7" s="1443"/>
      <c r="X7" s="1443"/>
      <c r="Y7" s="1443">
        <v>63000</v>
      </c>
      <c r="Z7" s="1443"/>
      <c r="AA7" s="1443"/>
      <c r="AB7" s="1443"/>
      <c r="AC7" s="1443"/>
      <c r="AD7" s="1443"/>
      <c r="AE7" s="1443"/>
      <c r="AF7" s="1443"/>
      <c r="AG7" s="1443"/>
      <c r="AH7" s="1443"/>
      <c r="AI7" s="1443"/>
      <c r="AK7" s="1444">
        <v>44160</v>
      </c>
      <c r="AL7" s="1445">
        <v>1000006637</v>
      </c>
      <c r="AM7" s="1446" t="s">
        <v>11679</v>
      </c>
      <c r="AN7" s="1447"/>
      <c r="AO7" s="1447"/>
      <c r="AP7" s="1447">
        <v>200000</v>
      </c>
      <c r="AQ7" s="1447"/>
      <c r="AR7" s="700"/>
      <c r="AS7" s="700"/>
      <c r="AT7" s="700"/>
      <c r="AU7" s="1448"/>
      <c r="AV7" s="1448"/>
      <c r="AW7" s="1448"/>
      <c r="AX7" s="1448"/>
      <c r="AY7" s="1448"/>
      <c r="AZ7" s="1448"/>
      <c r="BA7" s="1449"/>
      <c r="BM7" s="1435">
        <v>43650</v>
      </c>
      <c r="BN7" s="1436" t="s">
        <v>11690</v>
      </c>
      <c r="BO7" s="1437" t="s">
        <v>11679</v>
      </c>
      <c r="BP7" s="1438"/>
      <c r="BQ7" s="1438"/>
      <c r="BR7" s="1443">
        <v>30000</v>
      </c>
      <c r="BS7" s="1443"/>
      <c r="BT7" s="1440"/>
      <c r="BU7" s="1441"/>
      <c r="BW7" s="1444">
        <v>44026</v>
      </c>
      <c r="BX7" s="1445" t="s">
        <v>11691</v>
      </c>
      <c r="BY7" s="1446" t="s">
        <v>11679</v>
      </c>
      <c r="BZ7" s="1447"/>
      <c r="CA7" s="1447"/>
      <c r="CB7" s="1447"/>
      <c r="CC7" s="1447"/>
      <c r="CD7" s="700">
        <v>3744</v>
      </c>
      <c r="CE7" s="700"/>
      <c r="CF7" s="1449"/>
      <c r="CG7" s="1330"/>
      <c r="CH7" s="1452">
        <v>44333</v>
      </c>
      <c r="CI7" s="1453" t="s">
        <v>11682</v>
      </c>
      <c r="CJ7" s="1446" t="s">
        <v>11683</v>
      </c>
      <c r="CK7" s="1447"/>
      <c r="CL7" s="1447"/>
      <c r="CM7" s="700">
        <v>10000</v>
      </c>
      <c r="CN7" s="1454"/>
      <c r="CP7" s="1455">
        <v>44588</v>
      </c>
      <c r="CQ7" s="1456">
        <v>1000009648</v>
      </c>
      <c r="CR7" s="1457" t="s">
        <v>11684</v>
      </c>
      <c r="CS7" s="1443"/>
      <c r="CT7" s="1443"/>
      <c r="CU7" s="1443">
        <v>1000</v>
      </c>
      <c r="CV7" s="1443"/>
      <c r="CW7" s="1443"/>
      <c r="CX7" s="1443"/>
      <c r="CY7" s="1443"/>
      <c r="CZ7" s="1443"/>
      <c r="DA7" s="700"/>
      <c r="DB7" s="1443"/>
      <c r="DC7" s="1443"/>
      <c r="DD7" s="1440"/>
      <c r="DE7" s="1458"/>
      <c r="DG7" s="1455">
        <v>44930</v>
      </c>
      <c r="DH7" s="1459">
        <v>1000012985</v>
      </c>
      <c r="DI7" s="1460" t="s">
        <v>11685</v>
      </c>
      <c r="DJ7" s="1443"/>
      <c r="DK7" s="1443"/>
      <c r="DL7" s="1443"/>
      <c r="DM7" s="1443"/>
      <c r="DN7" s="1443"/>
      <c r="DO7" s="1443"/>
      <c r="DP7" s="1377"/>
      <c r="DQ7" s="1465">
        <v>180000</v>
      </c>
      <c r="DR7" s="1465"/>
      <c r="DS7" s="1443"/>
      <c r="DT7" s="1443"/>
      <c r="DU7" s="1443"/>
      <c r="DV7" s="1443"/>
      <c r="DW7" s="1443"/>
      <c r="DX7" s="700"/>
      <c r="DY7" s="700"/>
      <c r="DZ7" s="700"/>
      <c r="EA7" s="1443"/>
      <c r="EB7" s="1443"/>
      <c r="EC7" s="1440"/>
      <c r="ED7" s="1440"/>
      <c r="EE7" s="1458"/>
      <c r="EF7" s="1461"/>
      <c r="EG7" s="1461"/>
      <c r="EH7" s="1461"/>
      <c r="EI7" s="1455">
        <v>45127</v>
      </c>
      <c r="EJ7" s="700">
        <v>1000015660</v>
      </c>
      <c r="EK7" s="700" t="s">
        <v>11686</v>
      </c>
      <c r="EL7" s="700"/>
      <c r="EM7" s="700"/>
      <c r="EN7" s="700"/>
      <c r="EO7" s="700"/>
      <c r="EP7" s="700"/>
      <c r="EQ7" s="700"/>
      <c r="ER7" s="700">
        <v>100000</v>
      </c>
      <c r="ES7" s="700"/>
      <c r="ET7" s="700"/>
      <c r="EU7" s="700"/>
      <c r="EV7" s="700"/>
      <c r="EW7" s="700"/>
      <c r="EX7" s="700"/>
      <c r="EY7" s="700"/>
      <c r="EZ7" s="700"/>
      <c r="FA7" s="700"/>
      <c r="FB7" s="700"/>
      <c r="FC7" s="1454"/>
      <c r="FD7" s="1462"/>
      <c r="FH7" s="1455">
        <v>45356</v>
      </c>
      <c r="FI7" s="700">
        <v>1000018762</v>
      </c>
      <c r="FJ7" s="700" t="s">
        <v>11687</v>
      </c>
      <c r="FK7" s="700">
        <v>100000</v>
      </c>
      <c r="FL7" s="700"/>
      <c r="FM7" s="700"/>
      <c r="FN7" s="700"/>
      <c r="FO7" s="700"/>
      <c r="FP7" s="700"/>
      <c r="FQ7" s="700"/>
      <c r="FR7" s="700"/>
      <c r="FS7" s="700"/>
      <c r="FT7" s="700"/>
      <c r="FU7" s="700"/>
      <c r="FV7" s="700"/>
      <c r="FW7" s="700"/>
      <c r="FX7" s="1448"/>
      <c r="FY7" s="1463"/>
      <c r="FZ7" s="1330"/>
      <c r="GA7" s="1330"/>
      <c r="GC7" s="1455">
        <v>45390</v>
      </c>
      <c r="GD7" s="700">
        <v>1000019414</v>
      </c>
      <c r="GE7" s="700" t="s">
        <v>11687</v>
      </c>
      <c r="GF7" s="700">
        <v>30000</v>
      </c>
      <c r="GG7" s="700"/>
      <c r="GH7" s="700"/>
      <c r="GI7" s="700"/>
      <c r="GJ7" s="1448"/>
      <c r="GK7" s="1463"/>
    </row>
    <row r="8" s="1329" customFormat="1" ht="24" customHeight="1" spans="2:194">
      <c r="B8" s="1435">
        <v>43558</v>
      </c>
      <c r="C8" s="1436">
        <v>1000003236</v>
      </c>
      <c r="D8" s="1437" t="s">
        <v>11679</v>
      </c>
      <c r="E8" s="1438"/>
      <c r="F8" s="1438"/>
      <c r="G8" s="1438"/>
      <c r="H8" s="1438"/>
      <c r="I8" s="1439"/>
      <c r="J8" s="1440">
        <v>50000</v>
      </c>
      <c r="K8" s="1440">
        <v>50000</v>
      </c>
      <c r="L8" s="1440"/>
      <c r="M8" s="1440"/>
      <c r="N8" s="1440"/>
      <c r="O8" s="1440"/>
      <c r="P8" s="1440"/>
      <c r="Q8" s="1441"/>
      <c r="S8" s="1442">
        <v>43805</v>
      </c>
      <c r="T8" s="1443">
        <v>1000004710</v>
      </c>
      <c r="U8" s="1443" t="s">
        <v>11679</v>
      </c>
      <c r="V8" s="1443"/>
      <c r="W8" s="1443"/>
      <c r="X8" s="1443"/>
      <c r="Y8" s="1443"/>
      <c r="Z8" s="1443">
        <v>9000</v>
      </c>
      <c r="AA8" s="1443"/>
      <c r="AB8" s="1443"/>
      <c r="AC8" s="1443"/>
      <c r="AD8" s="1443"/>
      <c r="AE8" s="1443"/>
      <c r="AF8" s="1443"/>
      <c r="AG8" s="1443"/>
      <c r="AH8" s="1443"/>
      <c r="AI8" s="1443"/>
      <c r="AK8" s="1444">
        <v>44160</v>
      </c>
      <c r="AL8" s="1445">
        <v>1000006638</v>
      </c>
      <c r="AM8" s="1446" t="s">
        <v>11679</v>
      </c>
      <c r="AN8" s="1447"/>
      <c r="AO8" s="1447"/>
      <c r="AP8" s="1447"/>
      <c r="AQ8" s="1447"/>
      <c r="AR8" s="700"/>
      <c r="AS8" s="700"/>
      <c r="AT8" s="700">
        <v>10000</v>
      </c>
      <c r="AU8" s="1448"/>
      <c r="AV8" s="1448"/>
      <c r="AW8" s="1448"/>
      <c r="AX8" s="1448"/>
      <c r="AY8" s="1448"/>
      <c r="AZ8" s="1448"/>
      <c r="BA8" s="1449"/>
      <c r="BM8" s="1435">
        <v>43650</v>
      </c>
      <c r="BN8" s="1436" t="s">
        <v>11692</v>
      </c>
      <c r="BO8" s="1437" t="s">
        <v>11679</v>
      </c>
      <c r="BP8" s="1438"/>
      <c r="BQ8" s="1438"/>
      <c r="BR8" s="1443"/>
      <c r="BS8" s="1443">
        <v>30000</v>
      </c>
      <c r="BT8" s="1440"/>
      <c r="BU8" s="1441"/>
      <c r="BW8" s="1444">
        <v>44026</v>
      </c>
      <c r="BX8" s="1445" t="s">
        <v>11693</v>
      </c>
      <c r="BY8" s="1446" t="s">
        <v>11679</v>
      </c>
      <c r="BZ8" s="1447"/>
      <c r="CA8" s="1447"/>
      <c r="CB8" s="1447"/>
      <c r="CC8" s="1447"/>
      <c r="CD8" s="700"/>
      <c r="CE8" s="700">
        <v>3744</v>
      </c>
      <c r="CF8" s="1449"/>
      <c r="CG8" s="1330"/>
      <c r="CH8" s="1452">
        <v>44333</v>
      </c>
      <c r="CI8" s="1453" t="s">
        <v>11682</v>
      </c>
      <c r="CJ8" s="1446" t="s">
        <v>11683</v>
      </c>
      <c r="CK8" s="1447"/>
      <c r="CL8" s="1447"/>
      <c r="CM8" s="700"/>
      <c r="CN8" s="1454">
        <v>10000</v>
      </c>
      <c r="CP8" s="1455">
        <v>44588</v>
      </c>
      <c r="CQ8" s="1456">
        <v>1000009646</v>
      </c>
      <c r="CR8" s="1457" t="s">
        <v>11684</v>
      </c>
      <c r="CS8" s="1443"/>
      <c r="CT8" s="1443"/>
      <c r="CU8" s="1443"/>
      <c r="CV8" s="1443">
        <v>30000</v>
      </c>
      <c r="CW8" s="1443"/>
      <c r="CX8" s="1443"/>
      <c r="CY8" s="1443"/>
      <c r="CZ8" s="1443"/>
      <c r="DA8" s="700"/>
      <c r="DB8" s="1443"/>
      <c r="DC8" s="1443"/>
      <c r="DD8" s="1440"/>
      <c r="DE8" s="1458"/>
      <c r="DG8" s="1455">
        <v>44972</v>
      </c>
      <c r="DH8" s="1456">
        <v>1000013202</v>
      </c>
      <c r="DI8" s="135" t="s">
        <v>11685</v>
      </c>
      <c r="DJ8" s="700"/>
      <c r="DK8" s="700"/>
      <c r="DL8" s="700">
        <v>20000</v>
      </c>
      <c r="DM8" s="700"/>
      <c r="DN8" s="700"/>
      <c r="DO8" s="700"/>
      <c r="DP8" s="1466"/>
      <c r="DQ8" s="1466"/>
      <c r="DR8" s="1466"/>
      <c r="DS8" s="700"/>
      <c r="DT8" s="700"/>
      <c r="DU8" s="700"/>
      <c r="DV8" s="700"/>
      <c r="DW8" s="700"/>
      <c r="DX8" s="700"/>
      <c r="DY8" s="700"/>
      <c r="DZ8" s="700"/>
      <c r="EA8" s="700"/>
      <c r="EB8" s="700"/>
      <c r="EC8" s="1448"/>
      <c r="ED8" s="1448"/>
      <c r="EE8" s="1458"/>
      <c r="EF8" s="1461"/>
      <c r="EG8" s="1461"/>
      <c r="EH8" s="1461"/>
      <c r="EI8" s="1455">
        <v>45127</v>
      </c>
      <c r="EJ8" s="700">
        <v>1000015661</v>
      </c>
      <c r="EK8" s="700" t="s">
        <v>11686</v>
      </c>
      <c r="EL8" s="700"/>
      <c r="EM8" s="700"/>
      <c r="EN8" s="700"/>
      <c r="EO8" s="700"/>
      <c r="EP8" s="700"/>
      <c r="EQ8" s="700"/>
      <c r="ER8" s="700"/>
      <c r="ES8" s="700"/>
      <c r="ET8" s="700">
        <v>5000</v>
      </c>
      <c r="EU8" s="700"/>
      <c r="EV8" s="722"/>
      <c r="EW8" s="722"/>
      <c r="EX8" s="700"/>
      <c r="EY8" s="700"/>
      <c r="EZ8" s="700"/>
      <c r="FA8" s="700"/>
      <c r="FB8" s="700"/>
      <c r="FC8" s="1454"/>
      <c r="FD8" s="1462"/>
      <c r="FH8" s="1455">
        <v>45356</v>
      </c>
      <c r="FI8" s="700">
        <v>1000018763</v>
      </c>
      <c r="FJ8" s="700" t="s">
        <v>11687</v>
      </c>
      <c r="FK8" s="700"/>
      <c r="FL8" s="700"/>
      <c r="FM8" s="700">
        <v>30000</v>
      </c>
      <c r="FN8" s="700"/>
      <c r="FO8" s="700"/>
      <c r="FP8" s="700"/>
      <c r="FQ8" s="700"/>
      <c r="FR8" s="700"/>
      <c r="FS8" s="700"/>
      <c r="FT8" s="700"/>
      <c r="FU8" s="700"/>
      <c r="FV8" s="700"/>
      <c r="FW8" s="700"/>
      <c r="FX8" s="1448"/>
      <c r="FY8" s="1463"/>
      <c r="FZ8" s="1330"/>
      <c r="GA8" s="1330"/>
      <c r="GC8" s="1455">
        <v>45390</v>
      </c>
      <c r="GD8" s="700">
        <v>1000019419</v>
      </c>
      <c r="GE8" s="700" t="s">
        <v>11687</v>
      </c>
      <c r="GF8" s="700"/>
      <c r="GG8" s="700">
        <v>30000</v>
      </c>
      <c r="GH8" s="700"/>
      <c r="GI8" s="700"/>
      <c r="GJ8" s="1448"/>
      <c r="GK8" s="1463"/>
    </row>
    <row r="9" s="1329" customFormat="1" ht="24" customHeight="1" spans="2:194">
      <c r="B9" s="1435">
        <v>43563</v>
      </c>
      <c r="C9" s="1436">
        <v>1000003268</v>
      </c>
      <c r="D9" s="1437" t="s">
        <v>11679</v>
      </c>
      <c r="E9" s="1438"/>
      <c r="F9" s="1438"/>
      <c r="G9" s="1438"/>
      <c r="H9" s="1438"/>
      <c r="I9" s="1439"/>
      <c r="J9" s="1440"/>
      <c r="K9" s="1440"/>
      <c r="L9" s="1440"/>
      <c r="M9" s="1440"/>
      <c r="N9" s="1440"/>
      <c r="O9" s="1440">
        <v>11000</v>
      </c>
      <c r="P9" s="1440"/>
      <c r="Q9" s="1441"/>
      <c r="S9" s="1442">
        <v>43824</v>
      </c>
      <c r="T9" s="1443">
        <v>1000004711</v>
      </c>
      <c r="U9" s="1443" t="s">
        <v>11679</v>
      </c>
      <c r="V9" s="1443">
        <v>65000</v>
      </c>
      <c r="W9" s="1443"/>
      <c r="X9" s="1443"/>
      <c r="Y9" s="1443"/>
      <c r="Z9" s="1443"/>
      <c r="AA9" s="1443"/>
      <c r="AB9" s="1443"/>
      <c r="AC9" s="1443"/>
      <c r="AD9" s="1443"/>
      <c r="AE9" s="1443"/>
      <c r="AF9" s="1443"/>
      <c r="AG9" s="1443"/>
      <c r="AH9" s="1443"/>
      <c r="AI9" s="1443"/>
      <c r="AK9" s="1444">
        <v>44160</v>
      </c>
      <c r="AL9" s="1445">
        <v>1000006639</v>
      </c>
      <c r="AM9" s="1446" t="s">
        <v>11679</v>
      </c>
      <c r="AN9" s="1447"/>
      <c r="AO9" s="1447"/>
      <c r="AP9" s="1447"/>
      <c r="AQ9" s="1447"/>
      <c r="AR9" s="700"/>
      <c r="AS9" s="700"/>
      <c r="AT9" s="700"/>
      <c r="AU9" s="1448"/>
      <c r="AV9" s="1448">
        <v>23000</v>
      </c>
      <c r="AW9" s="1448"/>
      <c r="AX9" s="1448"/>
      <c r="AY9" s="1448"/>
      <c r="AZ9" s="1448"/>
      <c r="BA9" s="1449"/>
      <c r="BM9" s="1435">
        <v>43651</v>
      </c>
      <c r="BN9" s="1436" t="s">
        <v>11682</v>
      </c>
      <c r="BO9" s="1437" t="s">
        <v>11679</v>
      </c>
      <c r="BP9" s="1438">
        <v>100000</v>
      </c>
      <c r="BQ9" s="1438"/>
      <c r="BR9" s="1443"/>
      <c r="BS9" s="1443"/>
      <c r="BT9" s="1440"/>
      <c r="BU9" s="1441">
        <v>130000</v>
      </c>
      <c r="BW9" s="1444">
        <v>44034</v>
      </c>
      <c r="BX9" s="1445" t="s">
        <v>11694</v>
      </c>
      <c r="BY9" s="1446" t="s">
        <v>11679</v>
      </c>
      <c r="BZ9" s="1447">
        <v>50000</v>
      </c>
      <c r="CA9" s="1447"/>
      <c r="CB9" s="1447"/>
      <c r="CC9" s="1447"/>
      <c r="CD9" s="700"/>
      <c r="CE9" s="700"/>
      <c r="CF9" s="1449"/>
      <c r="CG9" s="1330"/>
      <c r="CH9" s="1452">
        <v>44386</v>
      </c>
      <c r="CI9" s="1453" t="s">
        <v>11695</v>
      </c>
      <c r="CJ9" s="1446" t="s">
        <v>11696</v>
      </c>
      <c r="CK9" s="1447">
        <v>50000</v>
      </c>
      <c r="CL9" s="1447"/>
      <c r="CM9" s="700"/>
      <c r="CN9" s="1454"/>
      <c r="CP9" s="1455">
        <v>44588</v>
      </c>
      <c r="CQ9" s="1456">
        <v>1000009647</v>
      </c>
      <c r="CR9" s="1457" t="s">
        <v>11684</v>
      </c>
      <c r="CS9" s="1443"/>
      <c r="CT9" s="1443"/>
      <c r="CU9" s="1443"/>
      <c r="CV9" s="1443"/>
      <c r="CW9" s="1443">
        <v>10000</v>
      </c>
      <c r="CX9" s="1443"/>
      <c r="CY9" s="1443"/>
      <c r="CZ9" s="1443"/>
      <c r="DA9" s="700"/>
      <c r="DB9" s="1443"/>
      <c r="DC9" s="1443"/>
      <c r="DD9" s="1440"/>
      <c r="DE9" s="1458"/>
      <c r="DG9" s="1455">
        <v>44972</v>
      </c>
      <c r="DH9" s="1456">
        <v>1000013205</v>
      </c>
      <c r="DI9" s="135" t="s">
        <v>11685</v>
      </c>
      <c r="DJ9" s="700"/>
      <c r="DK9" s="700"/>
      <c r="DL9" s="700"/>
      <c r="DM9" s="700"/>
      <c r="DN9" s="700"/>
      <c r="DO9" s="700"/>
      <c r="DP9" s="1466"/>
      <c r="DQ9" s="1466"/>
      <c r="DR9" s="1466"/>
      <c r="DS9" s="700">
        <v>4000</v>
      </c>
      <c r="DT9" s="700"/>
      <c r="DU9" s="700"/>
      <c r="DV9" s="700"/>
      <c r="DW9" s="700"/>
      <c r="DX9" s="700"/>
      <c r="DY9" s="700"/>
      <c r="DZ9" s="700"/>
      <c r="EA9" s="700"/>
      <c r="EB9" s="700"/>
      <c r="EC9" s="1448"/>
      <c r="ED9" s="1448"/>
      <c r="EE9" s="1458"/>
      <c r="EF9" s="1461"/>
      <c r="EG9" s="1461"/>
      <c r="EH9" s="1461"/>
      <c r="EI9" s="1455">
        <v>45127</v>
      </c>
      <c r="EJ9" s="700">
        <v>1000015662</v>
      </c>
      <c r="EK9" s="700" t="s">
        <v>11686</v>
      </c>
      <c r="EL9" s="700"/>
      <c r="EM9" s="700"/>
      <c r="EN9" s="700"/>
      <c r="EO9" s="700"/>
      <c r="EP9" s="700"/>
      <c r="EQ9" s="700"/>
      <c r="ER9" s="700"/>
      <c r="ES9" s="700"/>
      <c r="ET9" s="700">
        <v>3000</v>
      </c>
      <c r="EU9" s="700"/>
      <c r="EV9" s="700"/>
      <c r="EW9" s="700"/>
      <c r="EX9" s="700"/>
      <c r="EY9" s="700"/>
      <c r="EZ9" s="700"/>
      <c r="FA9" s="700"/>
      <c r="FB9" s="700"/>
      <c r="FC9" s="1454"/>
      <c r="FD9" s="1462"/>
      <c r="FH9" s="1455">
        <v>45356</v>
      </c>
      <c r="FI9" s="700">
        <v>1000018764</v>
      </c>
      <c r="FJ9" s="700" t="s">
        <v>11687</v>
      </c>
      <c r="FK9" s="700"/>
      <c r="FL9" s="700"/>
      <c r="FM9" s="700"/>
      <c r="FN9" s="700"/>
      <c r="FO9" s="700">
        <v>100000</v>
      </c>
      <c r="FP9" s="700"/>
      <c r="FQ9" s="700"/>
      <c r="FR9" s="700"/>
      <c r="FS9" s="700"/>
      <c r="FT9" s="700"/>
      <c r="FU9" s="700"/>
      <c r="FV9" s="700"/>
      <c r="FW9" s="700"/>
      <c r="FX9" s="1448"/>
      <c r="FY9" s="1463"/>
      <c r="FZ9" s="1330"/>
      <c r="GA9" s="1330"/>
      <c r="GC9" s="1455">
        <v>45390</v>
      </c>
      <c r="GD9" s="700">
        <v>1000019415</v>
      </c>
      <c r="GE9" s="700" t="s">
        <v>11687</v>
      </c>
      <c r="GF9" s="700"/>
      <c r="GG9" s="700"/>
      <c r="GH9" s="700">
        <v>50000</v>
      </c>
      <c r="GI9" s="700"/>
      <c r="GJ9" s="1448"/>
      <c r="GK9" s="1463"/>
    </row>
    <row r="10" s="1329" customFormat="1" ht="24" customHeight="1" spans="2:194">
      <c r="B10" s="1435">
        <v>43565</v>
      </c>
      <c r="C10" s="1436" t="s">
        <v>11697</v>
      </c>
      <c r="D10" s="1437" t="s">
        <v>11679</v>
      </c>
      <c r="E10" s="1438"/>
      <c r="F10" s="1438"/>
      <c r="G10" s="1438">
        <v>100000</v>
      </c>
      <c r="H10" s="1438"/>
      <c r="I10" s="1439"/>
      <c r="J10" s="1440"/>
      <c r="K10" s="1440"/>
      <c r="L10" s="1440"/>
      <c r="M10" s="1440"/>
      <c r="N10" s="1440"/>
      <c r="O10" s="1440"/>
      <c r="P10" s="1440"/>
      <c r="Q10" s="1441"/>
      <c r="S10" s="1442">
        <v>43824</v>
      </c>
      <c r="T10" s="1443">
        <v>1000004712</v>
      </c>
      <c r="U10" s="1443" t="s">
        <v>11679</v>
      </c>
      <c r="V10" s="1443"/>
      <c r="W10" s="1443"/>
      <c r="X10" s="1443">
        <v>50000</v>
      </c>
      <c r="Y10" s="1443"/>
      <c r="Z10" s="1443"/>
      <c r="AA10" s="1443"/>
      <c r="AB10" s="1443"/>
      <c r="AC10" s="1443"/>
      <c r="AD10" s="1443"/>
      <c r="AE10" s="1443"/>
      <c r="AF10" s="1443"/>
      <c r="AG10" s="1443"/>
      <c r="AH10" s="1443"/>
      <c r="AI10" s="1443"/>
      <c r="AK10" s="1444">
        <v>44160</v>
      </c>
      <c r="AL10" s="1445">
        <v>1000006640</v>
      </c>
      <c r="AM10" s="1446" t="s">
        <v>11679</v>
      </c>
      <c r="AN10" s="1447"/>
      <c r="AO10" s="1447"/>
      <c r="AP10" s="1447"/>
      <c r="AQ10" s="1447"/>
      <c r="AR10" s="700"/>
      <c r="AS10" s="700"/>
      <c r="AT10" s="700"/>
      <c r="AU10" s="1448"/>
      <c r="AV10" s="1448"/>
      <c r="AW10" s="1448">
        <v>9000</v>
      </c>
      <c r="AX10" s="1448"/>
      <c r="AY10" s="1448"/>
      <c r="AZ10" s="1448"/>
      <c r="BA10" s="1449"/>
      <c r="BM10" s="1435">
        <v>43670</v>
      </c>
      <c r="BN10" s="1436" t="s">
        <v>11698</v>
      </c>
      <c r="BO10" s="1437" t="s">
        <v>11679</v>
      </c>
      <c r="BP10" s="1438"/>
      <c r="BQ10" s="1438">
        <v>90000</v>
      </c>
      <c r="BR10" s="1443"/>
      <c r="BS10" s="1443"/>
      <c r="BT10" s="1440"/>
      <c r="BU10" s="1441"/>
      <c r="BW10" s="1444">
        <v>44034</v>
      </c>
      <c r="BX10" s="1445" t="s">
        <v>11699</v>
      </c>
      <c r="BY10" s="1446" t="s">
        <v>11679</v>
      </c>
      <c r="BZ10" s="1447"/>
      <c r="CA10" s="1447">
        <v>23056</v>
      </c>
      <c r="CB10" s="1447"/>
      <c r="CC10" s="1447"/>
      <c r="CD10" s="700"/>
      <c r="CE10" s="700"/>
      <c r="CF10" s="1449"/>
      <c r="CG10" s="1330"/>
      <c r="CH10" s="1452">
        <v>44386</v>
      </c>
      <c r="CI10" s="1453" t="s">
        <v>11700</v>
      </c>
      <c r="CJ10" s="1446" t="s">
        <v>11696</v>
      </c>
      <c r="CK10" s="1447"/>
      <c r="CL10" s="1447">
        <v>15000</v>
      </c>
      <c r="CM10" s="700"/>
      <c r="CN10" s="1454"/>
      <c r="CP10" s="1455">
        <v>44606</v>
      </c>
      <c r="CQ10" s="1456">
        <v>1000009705</v>
      </c>
      <c r="CR10" s="1457" t="s">
        <v>11684</v>
      </c>
      <c r="CS10" s="1443"/>
      <c r="CT10" s="1443"/>
      <c r="CU10" s="1443"/>
      <c r="CV10" s="1443"/>
      <c r="CW10" s="1443"/>
      <c r="CX10" s="1443"/>
      <c r="CY10" s="1443"/>
      <c r="CZ10" s="1443"/>
      <c r="DA10" s="700">
        <v>2295</v>
      </c>
      <c r="DB10" s="1443"/>
      <c r="DC10" s="1443"/>
      <c r="DD10" s="1440"/>
      <c r="DE10" s="1458"/>
      <c r="DG10" s="1455">
        <v>44972</v>
      </c>
      <c r="DH10" s="1456">
        <v>1000013207</v>
      </c>
      <c r="DI10" s="135" t="s">
        <v>11685</v>
      </c>
      <c r="DJ10" s="700"/>
      <c r="DK10" s="700"/>
      <c r="DL10" s="700"/>
      <c r="DM10" s="700"/>
      <c r="DN10" s="700"/>
      <c r="DO10" s="700"/>
      <c r="DP10" s="1466"/>
      <c r="DQ10" s="1466"/>
      <c r="DR10" s="1466"/>
      <c r="DS10" s="700"/>
      <c r="DT10" s="700"/>
      <c r="DU10" s="700"/>
      <c r="DV10" s="700"/>
      <c r="DW10" s="700"/>
      <c r="DX10" s="700"/>
      <c r="DY10" s="700"/>
      <c r="DZ10" s="700"/>
      <c r="EA10" s="700"/>
      <c r="EB10" s="700"/>
      <c r="EC10" s="1448"/>
      <c r="ED10" s="1448">
        <v>300</v>
      </c>
      <c r="EE10" s="1458"/>
      <c r="EF10" s="1461"/>
      <c r="EG10" s="1461"/>
      <c r="EH10" s="1461"/>
      <c r="EI10" s="1455">
        <v>45162</v>
      </c>
      <c r="EJ10" s="700">
        <v>1000016146</v>
      </c>
      <c r="EK10" s="700" t="s">
        <v>11686</v>
      </c>
      <c r="EL10" s="700">
        <v>150000</v>
      </c>
      <c r="EM10" s="700"/>
      <c r="EN10" s="700"/>
      <c r="EO10" s="700"/>
      <c r="EP10" s="700"/>
      <c r="EQ10" s="700"/>
      <c r="ER10" s="700"/>
      <c r="ES10" s="700"/>
      <c r="ET10" s="700"/>
      <c r="EU10" s="700"/>
      <c r="EV10" s="700"/>
      <c r="EW10" s="700"/>
      <c r="EX10" s="700"/>
      <c r="EY10" s="700"/>
      <c r="EZ10" s="700"/>
      <c r="FA10" s="700"/>
      <c r="FB10" s="700"/>
      <c r="FC10" s="1454"/>
      <c r="FD10" s="1462"/>
      <c r="FH10" s="1455">
        <v>45356</v>
      </c>
      <c r="FI10" s="700">
        <v>1000018765</v>
      </c>
      <c r="FJ10" s="700" t="s">
        <v>11687</v>
      </c>
      <c r="FK10" s="700"/>
      <c r="FL10" s="700"/>
      <c r="FM10" s="700"/>
      <c r="FN10" s="700"/>
      <c r="FO10" s="700"/>
      <c r="FP10" s="700"/>
      <c r="FQ10" s="700">
        <v>15000</v>
      </c>
      <c r="FR10" s="700"/>
      <c r="FS10" s="700"/>
      <c r="FT10" s="700"/>
      <c r="FU10" s="700"/>
      <c r="FV10" s="700"/>
      <c r="FW10" s="700"/>
      <c r="FX10" s="1448"/>
      <c r="FY10" s="1463"/>
      <c r="FZ10" s="1330"/>
      <c r="GA10" s="1330"/>
      <c r="GC10" s="1455">
        <v>45447</v>
      </c>
      <c r="GD10" s="700">
        <v>1000020777</v>
      </c>
      <c r="GE10" s="700" t="s">
        <v>11687</v>
      </c>
      <c r="GF10" s="700"/>
      <c r="GG10" s="700">
        <v>30000</v>
      </c>
      <c r="GH10" s="700"/>
      <c r="GI10" s="700"/>
      <c r="GJ10" s="1448"/>
      <c r="GK10" s="1463"/>
    </row>
    <row r="11" s="1329" customFormat="1" ht="24" customHeight="1" spans="2:194">
      <c r="B11" s="1435">
        <v>43565</v>
      </c>
      <c r="C11" s="1436" t="s">
        <v>11701</v>
      </c>
      <c r="D11" s="1437" t="s">
        <v>11679</v>
      </c>
      <c r="E11" s="1438"/>
      <c r="F11" s="1438"/>
      <c r="G11" s="1438"/>
      <c r="H11" s="1438">
        <v>100000</v>
      </c>
      <c r="I11" s="1439"/>
      <c r="J11" s="1440"/>
      <c r="K11" s="1440"/>
      <c r="L11" s="1440"/>
      <c r="M11" s="1440"/>
      <c r="N11" s="1440"/>
      <c r="O11" s="1440"/>
      <c r="P11" s="1440"/>
      <c r="Q11" s="1441"/>
      <c r="S11" s="1442">
        <v>43824</v>
      </c>
      <c r="T11" s="1443">
        <v>1000004713</v>
      </c>
      <c r="U11" s="1443" t="s">
        <v>11679</v>
      </c>
      <c r="V11" s="1443"/>
      <c r="W11" s="1443"/>
      <c r="X11" s="1443"/>
      <c r="Y11" s="1443">
        <v>65000</v>
      </c>
      <c r="Z11" s="1443"/>
      <c r="AA11" s="1443"/>
      <c r="AB11" s="1443"/>
      <c r="AC11" s="1443"/>
      <c r="AD11" s="1443"/>
      <c r="AE11" s="1443"/>
      <c r="AF11" s="1443"/>
      <c r="AG11" s="1443"/>
      <c r="AH11" s="1443"/>
      <c r="AI11" s="1443"/>
      <c r="AK11" s="1444">
        <v>44160</v>
      </c>
      <c r="AL11" s="1445" t="s">
        <v>11702</v>
      </c>
      <c r="AM11" s="1446" t="s">
        <v>11679</v>
      </c>
      <c r="AN11" s="1447"/>
      <c r="AO11" s="1447"/>
      <c r="AP11" s="1447"/>
      <c r="AQ11" s="1447"/>
      <c r="AR11" s="700"/>
      <c r="AS11" s="700"/>
      <c r="AT11" s="700"/>
      <c r="AU11" s="1448"/>
      <c r="AV11" s="1448"/>
      <c r="AW11" s="1448"/>
      <c r="AX11" s="1448"/>
      <c r="AY11" s="1448">
        <v>100</v>
      </c>
      <c r="AZ11" s="1448"/>
      <c r="BA11" s="1449"/>
      <c r="BM11" s="1435">
        <v>43670</v>
      </c>
      <c r="BN11" s="1436" t="s">
        <v>11703</v>
      </c>
      <c r="BO11" s="1437" t="s">
        <v>11679</v>
      </c>
      <c r="BP11" s="1438"/>
      <c r="BQ11" s="1438"/>
      <c r="BR11" s="1443"/>
      <c r="BS11" s="1443"/>
      <c r="BT11" s="1440"/>
      <c r="BU11" s="1441"/>
      <c r="BW11" s="1444">
        <v>44034</v>
      </c>
      <c r="BX11" s="1445" t="s">
        <v>11704</v>
      </c>
      <c r="BY11" s="1446" t="s">
        <v>11679</v>
      </c>
      <c r="BZ11" s="1447"/>
      <c r="CA11" s="1447"/>
      <c r="CB11" s="1447">
        <v>73056</v>
      </c>
      <c r="CC11" s="1447"/>
      <c r="CD11" s="700"/>
      <c r="CE11" s="700"/>
      <c r="CF11" s="1449"/>
      <c r="CG11" s="1330"/>
      <c r="CH11" s="1452">
        <v>44386</v>
      </c>
      <c r="CI11" s="1445" t="s">
        <v>11705</v>
      </c>
      <c r="CJ11" s="1446" t="s">
        <v>11696</v>
      </c>
      <c r="CK11" s="1447"/>
      <c r="CL11" s="1447"/>
      <c r="CM11" s="700">
        <v>7000</v>
      </c>
      <c r="CN11" s="1454"/>
      <c r="CP11" s="1455">
        <v>44623</v>
      </c>
      <c r="CQ11" s="1456" t="s">
        <v>11706</v>
      </c>
      <c r="CR11" s="1457" t="s">
        <v>11684</v>
      </c>
      <c r="CS11" s="1443">
        <v>320000</v>
      </c>
      <c r="CT11" s="1443"/>
      <c r="CU11" s="1443"/>
      <c r="CV11" s="1443"/>
      <c r="CW11" s="1443"/>
      <c r="CX11" s="1443"/>
      <c r="CY11" s="1443"/>
      <c r="CZ11" s="1443"/>
      <c r="DA11" s="700"/>
      <c r="DB11" s="1443"/>
      <c r="DC11" s="1443"/>
      <c r="DD11" s="1440"/>
      <c r="DE11" s="1458"/>
      <c r="DG11" s="1455">
        <v>44973</v>
      </c>
      <c r="DH11" s="1456">
        <v>1000013211</v>
      </c>
      <c r="DI11" s="135" t="s">
        <v>11685</v>
      </c>
      <c r="DJ11" s="700"/>
      <c r="DK11" s="700"/>
      <c r="DL11" s="700"/>
      <c r="DM11" s="700"/>
      <c r="DN11" s="700"/>
      <c r="DO11" s="700"/>
      <c r="DP11" s="1466"/>
      <c r="DQ11" s="1466"/>
      <c r="DR11" s="1466"/>
      <c r="DS11" s="700"/>
      <c r="DT11" s="1464">
        <v>6000</v>
      </c>
      <c r="DU11" s="1464"/>
      <c r="DV11" s="1464"/>
      <c r="DW11" s="700"/>
      <c r="DX11" s="700"/>
      <c r="DY11" s="700"/>
      <c r="DZ11" s="700"/>
      <c r="EA11" s="700"/>
      <c r="EB11" s="700"/>
      <c r="EC11" s="1448"/>
      <c r="ED11" s="1448"/>
      <c r="EE11" s="1458"/>
      <c r="EF11" s="1461"/>
      <c r="EG11" s="1461"/>
      <c r="EH11" s="1461"/>
      <c r="EI11" s="1455">
        <v>45162</v>
      </c>
      <c r="EJ11" s="700">
        <v>1000016147</v>
      </c>
      <c r="EK11" s="700" t="s">
        <v>11686</v>
      </c>
      <c r="EL11" s="700"/>
      <c r="EM11" s="700"/>
      <c r="EN11" s="700"/>
      <c r="EO11" s="700"/>
      <c r="EP11" s="700"/>
      <c r="EQ11" s="700"/>
      <c r="ER11" s="700">
        <v>100000</v>
      </c>
      <c r="ES11" s="700"/>
      <c r="ET11" s="700"/>
      <c r="EU11" s="700"/>
      <c r="EV11" s="700"/>
      <c r="EW11" s="700"/>
      <c r="EX11" s="700"/>
      <c r="EY11" s="700"/>
      <c r="EZ11" s="700"/>
      <c r="FA11" s="700"/>
      <c r="FB11" s="700"/>
      <c r="FC11" s="1454"/>
      <c r="FD11" s="1462"/>
      <c r="FH11" s="1455">
        <v>45356</v>
      </c>
      <c r="FI11" s="700">
        <v>1000018766</v>
      </c>
      <c r="FJ11" s="700" t="s">
        <v>11687</v>
      </c>
      <c r="FK11" s="700"/>
      <c r="FL11" s="700"/>
      <c r="FM11" s="700"/>
      <c r="FN11" s="700"/>
      <c r="FO11" s="700"/>
      <c r="FP11" s="700"/>
      <c r="FQ11" s="700"/>
      <c r="FR11" s="700">
        <v>12000</v>
      </c>
      <c r="FS11" s="700"/>
      <c r="FT11" s="700"/>
      <c r="FU11" s="700"/>
      <c r="FV11" s="700"/>
      <c r="FW11" s="700"/>
      <c r="FX11" s="1448"/>
      <c r="FY11" s="1463"/>
      <c r="FZ11" s="1330"/>
      <c r="GA11" s="1330"/>
      <c r="GC11" s="1455">
        <v>45447</v>
      </c>
      <c r="GD11" s="700">
        <v>1000020782</v>
      </c>
      <c r="GE11" s="700" t="s">
        <v>11687</v>
      </c>
      <c r="GF11" s="700"/>
      <c r="GG11" s="700"/>
      <c r="GH11" s="700">
        <v>30000</v>
      </c>
      <c r="GI11" s="700"/>
      <c r="GJ11" s="1448"/>
      <c r="GK11" s="1463"/>
    </row>
    <row r="12" s="1329" customFormat="1" ht="24" customHeight="1" spans="2:194">
      <c r="B12" s="1435">
        <v>43601</v>
      </c>
      <c r="C12" s="1436" t="s">
        <v>11707</v>
      </c>
      <c r="D12" s="1437" t="s">
        <v>11679</v>
      </c>
      <c r="E12" s="1438"/>
      <c r="F12" s="1438"/>
      <c r="G12" s="1438">
        <v>200000</v>
      </c>
      <c r="H12" s="1438"/>
      <c r="I12" s="1439"/>
      <c r="J12" s="1440"/>
      <c r="K12" s="1440"/>
      <c r="L12" s="1440"/>
      <c r="M12" s="1440"/>
      <c r="N12" s="1440"/>
      <c r="O12" s="1440"/>
      <c r="P12" s="1440"/>
      <c r="Q12" s="1441"/>
      <c r="S12" s="1442">
        <v>43824</v>
      </c>
      <c r="T12" s="1443">
        <v>1000004714</v>
      </c>
      <c r="U12" s="1443" t="s">
        <v>11679</v>
      </c>
      <c r="V12" s="1443"/>
      <c r="W12" s="1443"/>
      <c r="X12" s="1443"/>
      <c r="Y12" s="1443"/>
      <c r="Z12" s="1443">
        <v>10000</v>
      </c>
      <c r="AA12" s="1443"/>
      <c r="AB12" s="1443"/>
      <c r="AC12" s="1443"/>
      <c r="AD12" s="1443"/>
      <c r="AE12" s="1443"/>
      <c r="AF12" s="1443"/>
      <c r="AG12" s="1443"/>
      <c r="AH12" s="1443"/>
      <c r="AI12" s="1443"/>
      <c r="AK12" s="1444">
        <v>44160</v>
      </c>
      <c r="AL12" s="1445" t="s">
        <v>11702</v>
      </c>
      <c r="AM12" s="1446" t="s">
        <v>11679</v>
      </c>
      <c r="AN12" s="1447"/>
      <c r="AO12" s="1447"/>
      <c r="AP12" s="1447"/>
      <c r="AQ12" s="1447"/>
      <c r="AR12" s="700"/>
      <c r="AS12" s="700"/>
      <c r="AT12" s="700"/>
      <c r="AU12" s="1448"/>
      <c r="AV12" s="1448"/>
      <c r="AW12" s="1448"/>
      <c r="AX12" s="1448"/>
      <c r="AY12" s="1448"/>
      <c r="AZ12" s="1448"/>
      <c r="BA12" s="1449">
        <v>100</v>
      </c>
      <c r="BM12" s="1435">
        <v>43670</v>
      </c>
      <c r="BN12" s="1436" t="s">
        <v>11682</v>
      </c>
      <c r="BO12" s="1437" t="s">
        <v>11679</v>
      </c>
      <c r="BP12" s="1438"/>
      <c r="BQ12" s="1438"/>
      <c r="BR12" s="1443"/>
      <c r="BS12" s="1443"/>
      <c r="BT12" s="1440"/>
      <c r="BU12" s="1441">
        <v>50000</v>
      </c>
      <c r="BW12" s="1444">
        <v>44060</v>
      </c>
      <c r="BX12" s="1445" t="s">
        <v>11708</v>
      </c>
      <c r="BY12" s="1446" t="s">
        <v>11679</v>
      </c>
      <c r="BZ12" s="1447">
        <v>73903</v>
      </c>
      <c r="CA12" s="1447"/>
      <c r="CB12" s="1447"/>
      <c r="CC12" s="1447"/>
      <c r="CD12" s="700"/>
      <c r="CE12" s="700"/>
      <c r="CF12" s="1449"/>
      <c r="CG12" s="1330"/>
      <c r="CH12" s="1452">
        <v>44386</v>
      </c>
      <c r="CI12" s="1445" t="s">
        <v>11709</v>
      </c>
      <c r="CJ12" s="1446" t="s">
        <v>11696</v>
      </c>
      <c r="CK12" s="1447"/>
      <c r="CL12" s="1447"/>
      <c r="CM12" s="700"/>
      <c r="CN12" s="1454">
        <v>8000</v>
      </c>
      <c r="CP12" s="1455">
        <v>44623</v>
      </c>
      <c r="CQ12" s="1456" t="s">
        <v>11710</v>
      </c>
      <c r="CR12" s="1457" t="s">
        <v>11684</v>
      </c>
      <c r="CS12" s="1443"/>
      <c r="CT12" s="1443">
        <v>320000</v>
      </c>
      <c r="CU12" s="1443"/>
      <c r="CV12" s="1443"/>
      <c r="CW12" s="1443"/>
      <c r="CX12" s="1443"/>
      <c r="CY12" s="1443"/>
      <c r="CZ12" s="1443"/>
      <c r="DA12" s="700"/>
      <c r="DB12" s="1443"/>
      <c r="DC12" s="1443"/>
      <c r="DD12" s="1440"/>
      <c r="DE12" s="1458"/>
      <c r="DG12" s="1455">
        <v>45000</v>
      </c>
      <c r="DH12" s="1467">
        <v>1000013485</v>
      </c>
      <c r="DI12" s="135" t="s">
        <v>11685</v>
      </c>
      <c r="DJ12" s="700">
        <v>150000</v>
      </c>
      <c r="DK12" s="700"/>
      <c r="DL12" s="700"/>
      <c r="DM12" s="700"/>
      <c r="DN12" s="700"/>
      <c r="DO12" s="700"/>
      <c r="DP12" s="1466"/>
      <c r="DQ12" s="1466"/>
      <c r="DR12" s="1466"/>
      <c r="DS12" s="700"/>
      <c r="DT12" s="700"/>
      <c r="DU12" s="700"/>
      <c r="DV12" s="700"/>
      <c r="DW12" s="700"/>
      <c r="DX12" s="718"/>
      <c r="DY12" s="718"/>
      <c r="DZ12" s="718"/>
      <c r="EA12" s="718"/>
      <c r="EB12" s="718"/>
      <c r="EC12" s="1468"/>
      <c r="ED12" s="1468"/>
      <c r="EE12" s="1458"/>
      <c r="EF12" s="1461"/>
      <c r="EG12" s="1461"/>
      <c r="EH12" s="1461"/>
      <c r="EI12" s="1455">
        <v>45162</v>
      </c>
      <c r="EJ12" s="700">
        <v>1000016148</v>
      </c>
      <c r="EK12" s="700" t="s">
        <v>11686</v>
      </c>
      <c r="EL12" s="700"/>
      <c r="EM12" s="700"/>
      <c r="EN12" s="700"/>
      <c r="EO12" s="700"/>
      <c r="EP12" s="700"/>
      <c r="EQ12" s="700"/>
      <c r="ER12" s="700"/>
      <c r="ES12" s="700"/>
      <c r="ET12" s="700">
        <v>5000</v>
      </c>
      <c r="EU12" s="700"/>
      <c r="EV12" s="700"/>
      <c r="EW12" s="700"/>
      <c r="EX12" s="700"/>
      <c r="EY12" s="700"/>
      <c r="EZ12" s="700"/>
      <c r="FA12" s="700"/>
      <c r="FB12" s="700"/>
      <c r="FC12" s="1454"/>
      <c r="FD12" s="1462"/>
      <c r="FH12" s="1455">
        <v>45366</v>
      </c>
      <c r="FI12" s="700">
        <v>1000018919</v>
      </c>
      <c r="FJ12" s="697" t="s">
        <v>11711</v>
      </c>
      <c r="FK12" s="700"/>
      <c r="FL12" s="700"/>
      <c r="FM12" s="700"/>
      <c r="FN12" s="700"/>
      <c r="FO12" s="700"/>
      <c r="FP12" s="700"/>
      <c r="FQ12" s="700"/>
      <c r="FR12" s="700"/>
      <c r="FS12" s="700"/>
      <c r="FT12" s="700"/>
      <c r="FU12" s="700"/>
      <c r="FV12" s="700"/>
      <c r="FW12" s="700"/>
      <c r="FX12" s="1448">
        <v>30000</v>
      </c>
      <c r="FY12" s="1469" t="s">
        <v>11712</v>
      </c>
      <c r="FZ12" s="684">
        <f>FX12-3600-5208-10008</f>
        <v>11184</v>
      </c>
      <c r="GA12" s="1330"/>
      <c r="GC12" s="1455">
        <v>45463</v>
      </c>
      <c r="GD12" s="700"/>
      <c r="GE12" s="700"/>
      <c r="GF12" s="700"/>
      <c r="GG12" s="700"/>
      <c r="GH12" s="700"/>
      <c r="GI12" s="700"/>
      <c r="GJ12" s="1448">
        <v>3000</v>
      </c>
      <c r="GK12" s="1462" t="s">
        <v>11713</v>
      </c>
      <c r="GL12" s="1330">
        <f>GJ12-3000</f>
        <v>0</v>
      </c>
    </row>
    <row r="13" s="1329" customFormat="1" ht="24" customHeight="1" spans="2:194">
      <c r="B13" s="1435">
        <v>43601</v>
      </c>
      <c r="C13" s="1436" t="s">
        <v>11714</v>
      </c>
      <c r="D13" s="1437" t="s">
        <v>11679</v>
      </c>
      <c r="E13" s="1438"/>
      <c r="F13" s="1438"/>
      <c r="G13" s="1438"/>
      <c r="H13" s="1438">
        <v>230000</v>
      </c>
      <c r="I13" s="1439"/>
      <c r="J13" s="1440"/>
      <c r="K13" s="1440"/>
      <c r="L13" s="1440"/>
      <c r="M13" s="1440"/>
      <c r="N13" s="1440"/>
      <c r="O13" s="1440"/>
      <c r="P13" s="1440"/>
      <c r="Q13" s="1441"/>
      <c r="S13" s="1442">
        <v>43841</v>
      </c>
      <c r="T13" s="1443">
        <v>1000004715</v>
      </c>
      <c r="U13" s="1443" t="s">
        <v>11679</v>
      </c>
      <c r="V13" s="1443">
        <v>50000</v>
      </c>
      <c r="W13" s="1443"/>
      <c r="X13" s="1443"/>
      <c r="Y13" s="1443"/>
      <c r="Z13" s="1443"/>
      <c r="AA13" s="1443"/>
      <c r="AB13" s="1443"/>
      <c r="AC13" s="1443"/>
      <c r="AD13" s="1443"/>
      <c r="AE13" s="1443"/>
      <c r="AF13" s="1443"/>
      <c r="AG13" s="1443"/>
      <c r="AH13" s="1443"/>
      <c r="AI13" s="1443"/>
      <c r="AK13" s="1444">
        <v>44182</v>
      </c>
      <c r="AL13" s="1470" t="s">
        <v>11715</v>
      </c>
      <c r="AM13" s="1446" t="s">
        <v>11679</v>
      </c>
      <c r="AN13" s="1447"/>
      <c r="AO13" s="1447"/>
      <c r="AP13" s="1447"/>
      <c r="AQ13" s="1447"/>
      <c r="AR13" s="700"/>
      <c r="AS13" s="700"/>
      <c r="AT13" s="700"/>
      <c r="AU13" s="1448"/>
      <c r="AV13" s="1448"/>
      <c r="AW13" s="1448"/>
      <c r="AX13" s="1448"/>
      <c r="AY13" s="1448"/>
      <c r="AZ13" s="1448">
        <v>144</v>
      </c>
      <c r="BA13" s="1449"/>
      <c r="BM13" s="1435">
        <v>43697</v>
      </c>
      <c r="BN13" s="1436" t="s">
        <v>11716</v>
      </c>
      <c r="BO13" s="1437" t="s">
        <v>11679</v>
      </c>
      <c r="BP13" s="1438">
        <v>80000</v>
      </c>
      <c r="BQ13" s="1438"/>
      <c r="BR13" s="1443"/>
      <c r="BS13" s="1443"/>
      <c r="BT13" s="1440"/>
      <c r="BU13" s="1441"/>
      <c r="BW13" s="1444">
        <v>44060</v>
      </c>
      <c r="BX13" s="1445" t="s">
        <v>11717</v>
      </c>
      <c r="BY13" s="1446" t="s">
        <v>11679</v>
      </c>
      <c r="BZ13" s="1447"/>
      <c r="CA13" s="1447">
        <v>7836</v>
      </c>
      <c r="CB13" s="1447"/>
      <c r="CC13" s="1447"/>
      <c r="CD13" s="700"/>
      <c r="CE13" s="700"/>
      <c r="CF13" s="1449"/>
      <c r="CG13" s="1330"/>
      <c r="CH13" s="1455">
        <v>44440</v>
      </c>
      <c r="CI13" s="1453" t="s">
        <v>11718</v>
      </c>
      <c r="CJ13" s="1446"/>
      <c r="CK13" s="1330">
        <v>34378</v>
      </c>
      <c r="CL13" s="1447"/>
      <c r="CM13" s="700"/>
      <c r="CN13" s="1454"/>
      <c r="CP13" s="1455">
        <v>44623</v>
      </c>
      <c r="CQ13" s="1456" t="s">
        <v>11719</v>
      </c>
      <c r="CR13" s="1457" t="s">
        <v>11684</v>
      </c>
      <c r="CS13" s="1443"/>
      <c r="CT13" s="1443"/>
      <c r="CU13" s="1443">
        <v>12000</v>
      </c>
      <c r="CV13" s="1443"/>
      <c r="CW13" s="1443"/>
      <c r="CX13" s="1443"/>
      <c r="CY13" s="1443"/>
      <c r="CZ13" s="1443"/>
      <c r="DA13" s="700"/>
      <c r="DB13" s="1443"/>
      <c r="DC13" s="1443"/>
      <c r="DD13" s="1440"/>
      <c r="DE13" s="1458"/>
      <c r="DG13" s="1455">
        <v>45000</v>
      </c>
      <c r="DH13" s="1467">
        <v>1000013486</v>
      </c>
      <c r="DI13" s="135" t="s">
        <v>11685</v>
      </c>
      <c r="DJ13" s="700"/>
      <c r="DK13" s="700"/>
      <c r="DL13" s="700"/>
      <c r="DM13" s="700"/>
      <c r="DN13" s="700">
        <v>50000</v>
      </c>
      <c r="DO13" s="700"/>
      <c r="DP13" s="1466"/>
      <c r="DQ13" s="1466"/>
      <c r="DR13" s="1466"/>
      <c r="DS13" s="700"/>
      <c r="DT13" s="700"/>
      <c r="DU13" s="700"/>
      <c r="DV13" s="700"/>
      <c r="DW13" s="700"/>
      <c r="DX13" s="718"/>
      <c r="DY13" s="718"/>
      <c r="DZ13" s="718"/>
      <c r="EA13" s="718"/>
      <c r="EB13" s="718"/>
      <c r="EC13" s="1468"/>
      <c r="ED13" s="1468"/>
      <c r="EE13" s="1458"/>
      <c r="EF13" s="1461"/>
      <c r="EG13" s="1461"/>
      <c r="EH13" s="1461"/>
      <c r="EI13" s="1455">
        <v>45180</v>
      </c>
      <c r="EJ13" s="700">
        <v>1000016324</v>
      </c>
      <c r="EK13" s="700" t="s">
        <v>11720</v>
      </c>
      <c r="EL13" s="700"/>
      <c r="EM13" s="700"/>
      <c r="EN13" s="700"/>
      <c r="EO13" s="700"/>
      <c r="EP13" s="700"/>
      <c r="EQ13" s="700"/>
      <c r="ER13" s="700"/>
      <c r="ES13" s="700"/>
      <c r="ET13" s="700"/>
      <c r="EU13" s="700"/>
      <c r="EV13" s="700"/>
      <c r="EW13" s="700"/>
      <c r="EX13" s="700"/>
      <c r="EY13" s="700"/>
      <c r="EZ13" s="700"/>
      <c r="FA13" s="700"/>
      <c r="FB13" s="700"/>
      <c r="FC13" s="1454">
        <v>30000</v>
      </c>
      <c r="FD13" s="1471" t="s">
        <v>11721</v>
      </c>
      <c r="FE13" s="1330" t="s">
        <v>11722</v>
      </c>
      <c r="FF13" s="1329">
        <f>FC13-4500-5400-10008</f>
        <v>10092</v>
      </c>
      <c r="FH13" s="1455">
        <v>45369</v>
      </c>
      <c r="FI13" s="700"/>
      <c r="FJ13" s="700"/>
      <c r="FK13" s="700"/>
      <c r="FL13" s="700"/>
      <c r="FM13" s="700"/>
      <c r="FN13" s="700"/>
      <c r="FO13" s="700"/>
      <c r="FP13" s="700"/>
      <c r="FQ13" s="700"/>
      <c r="FR13" s="700"/>
      <c r="FS13" s="700"/>
      <c r="FT13" s="700"/>
      <c r="FU13" s="700"/>
      <c r="FV13" s="700"/>
      <c r="FW13" s="700"/>
      <c r="FX13" s="1448">
        <v>34596</v>
      </c>
      <c r="FY13" s="1469" t="s">
        <v>11723</v>
      </c>
      <c r="FZ13" s="684">
        <f>FX13-20628-7218-6750</f>
        <v>0</v>
      </c>
      <c r="GA13" s="1330"/>
      <c r="GC13" s="1472">
        <v>45470</v>
      </c>
      <c r="GD13" s="721">
        <v>1000021364</v>
      </c>
      <c r="GE13" s="721" t="s">
        <v>11687</v>
      </c>
      <c r="GF13" s="700">
        <v>40000</v>
      </c>
      <c r="GG13" s="721"/>
      <c r="GH13" s="721"/>
      <c r="GI13" s="721"/>
      <c r="GJ13" s="1473"/>
      <c r="GK13" s="1474"/>
    </row>
    <row r="14" s="1329" customFormat="1" ht="24" customHeight="1" spans="2:194">
      <c r="B14" s="1435">
        <v>43601</v>
      </c>
      <c r="C14" s="1436">
        <v>1000003529</v>
      </c>
      <c r="D14" s="1437" t="s">
        <v>11679</v>
      </c>
      <c r="E14" s="1438"/>
      <c r="F14" s="1438"/>
      <c r="G14" s="1438"/>
      <c r="H14" s="1438"/>
      <c r="I14" s="1439"/>
      <c r="J14" s="1440"/>
      <c r="K14" s="1440"/>
      <c r="L14" s="1440"/>
      <c r="M14" s="1440">
        <v>19000</v>
      </c>
      <c r="N14" s="1440"/>
      <c r="O14" s="1440"/>
      <c r="P14" s="1440"/>
      <c r="Q14" s="1441"/>
      <c r="S14" s="1442">
        <v>43841</v>
      </c>
      <c r="T14" s="1443">
        <v>1000004716</v>
      </c>
      <c r="U14" s="1443" t="s">
        <v>11679</v>
      </c>
      <c r="V14" s="1443"/>
      <c r="W14" s="1443"/>
      <c r="X14" s="1443">
        <v>50000</v>
      </c>
      <c r="Y14" s="1443"/>
      <c r="Z14" s="1443"/>
      <c r="AA14" s="1443"/>
      <c r="AB14" s="1443"/>
      <c r="AC14" s="1443"/>
      <c r="AD14" s="1443"/>
      <c r="AE14" s="1443"/>
      <c r="AF14" s="1443"/>
      <c r="AG14" s="1443"/>
      <c r="AH14" s="1443"/>
      <c r="AI14" s="1443"/>
      <c r="AK14" s="1444">
        <v>44210</v>
      </c>
      <c r="AL14" s="1445">
        <v>1000006641</v>
      </c>
      <c r="AM14" s="1446" t="s">
        <v>11679</v>
      </c>
      <c r="AN14" s="1447">
        <v>100000</v>
      </c>
      <c r="AO14" s="1447"/>
      <c r="AP14" s="1447"/>
      <c r="AQ14" s="1447"/>
      <c r="AR14" s="700"/>
      <c r="AS14" s="700"/>
      <c r="AT14" s="700"/>
      <c r="AU14" s="1448"/>
      <c r="AV14" s="1448"/>
      <c r="AW14" s="1448"/>
      <c r="AX14" s="1448"/>
      <c r="AY14" s="1448"/>
      <c r="AZ14" s="1448"/>
      <c r="BA14" s="1449"/>
      <c r="BM14" s="1435">
        <v>43697</v>
      </c>
      <c r="BN14" s="1436" t="s">
        <v>11724</v>
      </c>
      <c r="BO14" s="1437" t="s">
        <v>11679</v>
      </c>
      <c r="BP14" s="1438"/>
      <c r="BQ14" s="1438">
        <v>80000</v>
      </c>
      <c r="BR14" s="1443"/>
      <c r="BS14" s="1443"/>
      <c r="BT14" s="1440"/>
      <c r="BU14" s="1441"/>
      <c r="BW14" s="1444">
        <v>44060</v>
      </c>
      <c r="BX14" s="1445" t="s">
        <v>11725</v>
      </c>
      <c r="BY14" s="1446" t="s">
        <v>11679</v>
      </c>
      <c r="BZ14" s="1447"/>
      <c r="CA14" s="1447"/>
      <c r="CB14" s="1447">
        <v>78670</v>
      </c>
      <c r="CC14" s="1447"/>
      <c r="CD14" s="700"/>
      <c r="CE14" s="700"/>
      <c r="CF14" s="1449"/>
      <c r="CG14" s="1330"/>
      <c r="CH14" s="1455">
        <v>44440</v>
      </c>
      <c r="CI14" s="1453" t="s">
        <v>11726</v>
      </c>
      <c r="CJ14" s="1446"/>
      <c r="CK14" s="1447"/>
      <c r="CL14" s="719">
        <v>29378</v>
      </c>
      <c r="CM14" s="700"/>
      <c r="CN14" s="1454"/>
      <c r="CP14" s="1455">
        <v>44623</v>
      </c>
      <c r="CQ14" s="1456" t="s">
        <v>11727</v>
      </c>
      <c r="CR14" s="1457" t="s">
        <v>11684</v>
      </c>
      <c r="CS14" s="1443"/>
      <c r="CT14" s="1443"/>
      <c r="CU14" s="1443"/>
      <c r="CV14" s="1443">
        <v>20000</v>
      </c>
      <c r="CW14" s="1443"/>
      <c r="CX14" s="1443"/>
      <c r="CY14" s="1443"/>
      <c r="CZ14" s="1443"/>
      <c r="DA14" s="700"/>
      <c r="DB14" s="1443"/>
      <c r="DC14" s="1443"/>
      <c r="DD14" s="1440"/>
      <c r="DE14" s="1458"/>
      <c r="DG14" s="1455">
        <v>45000</v>
      </c>
      <c r="DH14" s="1467">
        <v>1000013487</v>
      </c>
      <c r="DI14" s="135" t="s">
        <v>11685</v>
      </c>
      <c r="DJ14" s="700"/>
      <c r="DK14" s="700"/>
      <c r="DL14" s="700"/>
      <c r="DM14" s="700"/>
      <c r="DN14" s="700"/>
      <c r="DO14" s="700"/>
      <c r="DP14" s="1466"/>
      <c r="DQ14" s="1466">
        <v>200000</v>
      </c>
      <c r="DR14" s="1466"/>
      <c r="DS14" s="700"/>
      <c r="DT14" s="700"/>
      <c r="DU14" s="700"/>
      <c r="DV14" s="700"/>
      <c r="DW14" s="700"/>
      <c r="DX14" s="718"/>
      <c r="DY14" s="718"/>
      <c r="DZ14" s="718"/>
      <c r="EA14" s="718"/>
      <c r="EB14" s="718"/>
      <c r="EC14" s="1468"/>
      <c r="ED14" s="1468"/>
      <c r="EE14" s="1458"/>
      <c r="EF14" s="1461"/>
      <c r="EG14" s="1461"/>
      <c r="EH14" s="1461"/>
      <c r="EI14" s="1455">
        <v>45181</v>
      </c>
      <c r="EJ14" s="700">
        <v>1000016344</v>
      </c>
      <c r="EK14" s="700" t="s">
        <v>11686</v>
      </c>
      <c r="EL14" s="700"/>
      <c r="EM14" s="700"/>
      <c r="EN14" s="700"/>
      <c r="EO14" s="700"/>
      <c r="EP14" s="700"/>
      <c r="EQ14" s="700"/>
      <c r="ER14" s="700"/>
      <c r="ES14" s="700"/>
      <c r="ET14" s="700"/>
      <c r="EU14" s="700"/>
      <c r="EV14" s="700">
        <v>10000</v>
      </c>
      <c r="EW14" s="700"/>
      <c r="EX14" s="700"/>
      <c r="EY14" s="700"/>
      <c r="EZ14" s="700"/>
      <c r="FA14" s="700"/>
      <c r="FB14" s="700"/>
      <c r="FC14" s="1454"/>
      <c r="FD14" s="1462"/>
      <c r="FH14" s="1455">
        <v>45372</v>
      </c>
      <c r="FI14" s="700">
        <v>1000019030</v>
      </c>
      <c r="FJ14" s="700"/>
      <c r="FK14" s="700"/>
      <c r="FL14" s="700"/>
      <c r="FM14" s="700"/>
      <c r="FN14" s="700"/>
      <c r="FO14" s="700"/>
      <c r="FP14" s="700"/>
      <c r="FQ14" s="700"/>
      <c r="FR14" s="700"/>
      <c r="FS14" s="700"/>
      <c r="FT14" s="1475">
        <v>2212</v>
      </c>
      <c r="FU14" s="1475"/>
      <c r="FV14" s="700"/>
      <c r="FW14" s="700"/>
      <c r="FX14" s="1448"/>
      <c r="FY14" s="1469" t="s">
        <v>11728</v>
      </c>
      <c r="FZ14" s="684">
        <f>FT14-536-504-1172</f>
        <v>0</v>
      </c>
      <c r="GA14" s="1330"/>
      <c r="GC14" s="1472">
        <v>45470</v>
      </c>
      <c r="GD14" s="721">
        <v>1000021365</v>
      </c>
      <c r="GE14" s="721" t="s">
        <v>11687</v>
      </c>
      <c r="GF14" s="700"/>
      <c r="GG14" s="721"/>
      <c r="GH14" s="721">
        <v>30000</v>
      </c>
      <c r="GI14" s="721"/>
      <c r="GJ14" s="1473"/>
      <c r="GK14" s="1474"/>
    </row>
    <row r="15" s="1329" customFormat="1" ht="24" customHeight="1" spans="2:194">
      <c r="B15" s="1435">
        <v>43613</v>
      </c>
      <c r="C15" s="1436">
        <v>1000003787</v>
      </c>
      <c r="D15" s="1437" t="s">
        <v>11679</v>
      </c>
      <c r="E15" s="1438"/>
      <c r="F15" s="1438"/>
      <c r="G15" s="1438"/>
      <c r="H15" s="1438"/>
      <c r="I15" s="1439"/>
      <c r="J15" s="1440"/>
      <c r="K15" s="1440"/>
      <c r="L15" s="1440"/>
      <c r="M15" s="1440"/>
      <c r="N15" s="1440">
        <v>1254</v>
      </c>
      <c r="O15" s="1440"/>
      <c r="P15" s="1440"/>
      <c r="Q15" s="1441"/>
      <c r="S15" s="1442">
        <v>43841</v>
      </c>
      <c r="T15" s="1443">
        <v>1000004717</v>
      </c>
      <c r="U15" s="1443" t="s">
        <v>11679</v>
      </c>
      <c r="V15" s="1443"/>
      <c r="W15" s="1443"/>
      <c r="X15" s="1443"/>
      <c r="Y15" s="1443">
        <v>50000</v>
      </c>
      <c r="Z15" s="1443"/>
      <c r="AA15" s="1443"/>
      <c r="AB15" s="1443"/>
      <c r="AC15" s="1443"/>
      <c r="AD15" s="1443"/>
      <c r="AE15" s="1443"/>
      <c r="AF15" s="1443"/>
      <c r="AG15" s="1443"/>
      <c r="AH15" s="1443"/>
      <c r="AI15" s="1443"/>
      <c r="AK15" s="1444">
        <v>44210</v>
      </c>
      <c r="AL15" s="1445">
        <v>1000006642</v>
      </c>
      <c r="AM15" s="1446" t="s">
        <v>11679</v>
      </c>
      <c r="AN15" s="1447"/>
      <c r="AO15" s="1447"/>
      <c r="AP15" s="1447">
        <v>70000</v>
      </c>
      <c r="AQ15" s="1447"/>
      <c r="AR15" s="700"/>
      <c r="AS15" s="700"/>
      <c r="AT15" s="700"/>
      <c r="AU15" s="1448"/>
      <c r="AV15" s="1448"/>
      <c r="AW15" s="1448"/>
      <c r="AX15" s="1448"/>
      <c r="AY15" s="1448"/>
      <c r="AZ15" s="1448"/>
      <c r="BA15" s="1449"/>
      <c r="BM15" s="1435">
        <v>43697</v>
      </c>
      <c r="BN15" s="1436" t="s">
        <v>11682</v>
      </c>
      <c r="BO15" s="1437" t="s">
        <v>11679</v>
      </c>
      <c r="BP15" s="1438"/>
      <c r="BQ15" s="1438"/>
      <c r="BR15" s="1443"/>
      <c r="BS15" s="1443"/>
      <c r="BT15" s="1440"/>
      <c r="BU15" s="1441">
        <v>63300</v>
      </c>
      <c r="BW15" s="1444">
        <v>44060</v>
      </c>
      <c r="BX15" s="1445" t="s">
        <v>11729</v>
      </c>
      <c r="BY15" s="1446" t="s">
        <v>11679</v>
      </c>
      <c r="BZ15" s="1447"/>
      <c r="CA15" s="1447"/>
      <c r="CB15" s="1447"/>
      <c r="CC15" s="1447"/>
      <c r="CD15" s="700">
        <v>4980</v>
      </c>
      <c r="CE15" s="700"/>
      <c r="CF15" s="1449"/>
      <c r="CG15" s="1330"/>
      <c r="CH15" s="1455">
        <v>44440</v>
      </c>
      <c r="CI15" s="1453" t="s">
        <v>11730</v>
      </c>
      <c r="CJ15" s="1446"/>
      <c r="CK15" s="1447"/>
      <c r="CL15" s="1447"/>
      <c r="CM15" s="719">
        <v>3000</v>
      </c>
      <c r="CN15" s="1454"/>
      <c r="CP15" s="1455">
        <v>44623</v>
      </c>
      <c r="CQ15" s="1456" t="s">
        <v>11731</v>
      </c>
      <c r="CR15" s="1457" t="s">
        <v>11684</v>
      </c>
      <c r="CS15" s="1443"/>
      <c r="CT15" s="1443"/>
      <c r="CU15" s="1443"/>
      <c r="CV15" s="1443"/>
      <c r="CW15" s="1443">
        <v>40000</v>
      </c>
      <c r="CX15" s="1443"/>
      <c r="CY15" s="1443"/>
      <c r="CZ15" s="1443"/>
      <c r="DA15" s="700"/>
      <c r="DB15" s="1443"/>
      <c r="DC15" s="1443"/>
      <c r="DD15" s="1440"/>
      <c r="DE15" s="1458"/>
      <c r="DG15" s="1455">
        <v>45000</v>
      </c>
      <c r="DH15" s="1467">
        <v>1000013488</v>
      </c>
      <c r="DI15" s="135" t="s">
        <v>11685</v>
      </c>
      <c r="DJ15" s="700"/>
      <c r="DK15" s="700"/>
      <c r="DL15" s="700"/>
      <c r="DM15" s="700"/>
      <c r="DN15" s="700"/>
      <c r="DO15" s="700"/>
      <c r="DP15" s="1466"/>
      <c r="DQ15" s="1466"/>
      <c r="DR15" s="1466"/>
      <c r="DS15" s="700"/>
      <c r="DT15" s="700">
        <v>10000</v>
      </c>
      <c r="DU15" s="700"/>
      <c r="DV15" s="700"/>
      <c r="DW15" s="700"/>
      <c r="DX15" s="718"/>
      <c r="DY15" s="718"/>
      <c r="DZ15" s="718"/>
      <c r="EA15" s="718"/>
      <c r="EB15" s="718"/>
      <c r="EC15" s="1468"/>
      <c r="ED15" s="1468"/>
      <c r="EE15" s="1458"/>
      <c r="EF15" s="1461"/>
      <c r="EG15" s="1461"/>
      <c r="EH15" s="1461"/>
      <c r="EI15" s="1455">
        <v>45194</v>
      </c>
      <c r="EJ15" s="1443"/>
      <c r="EK15" s="1443"/>
      <c r="EL15" s="1443"/>
      <c r="EM15" s="1443"/>
      <c r="EN15" s="1443"/>
      <c r="EO15" s="1443"/>
      <c r="EP15" s="1443"/>
      <c r="EQ15" s="1443"/>
      <c r="ER15" s="1443"/>
      <c r="ES15" s="1443"/>
      <c r="ET15" s="1443"/>
      <c r="EU15" s="1443"/>
      <c r="EV15" s="1443"/>
      <c r="EW15" s="1443"/>
      <c r="EX15" s="1443"/>
      <c r="EY15" s="1443"/>
      <c r="EZ15" s="1443"/>
      <c r="FA15" s="1443"/>
      <c r="FB15" s="1443"/>
      <c r="FC15" s="1476">
        <v>30000</v>
      </c>
      <c r="FD15" s="1477" t="s">
        <v>11732</v>
      </c>
      <c r="FE15" s="1329" t="s">
        <v>11733</v>
      </c>
      <c r="FF15" s="1478">
        <f>FC15-6000-15000-9000</f>
        <v>0</v>
      </c>
      <c r="FH15" s="1455">
        <v>45384</v>
      </c>
      <c r="FI15" s="700"/>
      <c r="FJ15" s="700"/>
      <c r="FK15" s="700"/>
      <c r="FL15" s="700"/>
      <c r="FM15" s="700"/>
      <c r="FN15" s="700"/>
      <c r="FO15" s="700"/>
      <c r="FP15" s="700"/>
      <c r="FQ15" s="700"/>
      <c r="FR15" s="700"/>
      <c r="FS15" s="700"/>
      <c r="FT15" s="697"/>
      <c r="FU15" s="697">
        <v>1476</v>
      </c>
      <c r="FV15" s="700"/>
      <c r="FW15" s="700"/>
      <c r="FX15" s="1448"/>
      <c r="FY15" s="1469">
        <v>4500124295</v>
      </c>
      <c r="FZ15" s="1330"/>
      <c r="GA15" s="1330"/>
      <c r="GC15" s="1472">
        <v>45561</v>
      </c>
      <c r="GD15" s="721">
        <v>1000023388</v>
      </c>
      <c r="GE15" s="721" t="s">
        <v>11687</v>
      </c>
      <c r="GF15" s="700">
        <v>50000</v>
      </c>
      <c r="GG15" s="721"/>
      <c r="GH15" s="721"/>
      <c r="GI15" s="721"/>
      <c r="GJ15" s="1473"/>
      <c r="GK15" s="1474"/>
    </row>
    <row r="16" s="1329" customFormat="1" ht="24" customHeight="1" spans="2:194">
      <c r="B16" s="1435">
        <v>43628</v>
      </c>
      <c r="C16" s="1479" t="s">
        <v>11734</v>
      </c>
      <c r="D16" s="1437" t="s">
        <v>11679</v>
      </c>
      <c r="E16" s="1438"/>
      <c r="F16" s="1438"/>
      <c r="G16" s="1438"/>
      <c r="H16" s="1438"/>
      <c r="I16" s="1439">
        <v>500000</v>
      </c>
      <c r="J16" s="1440"/>
      <c r="K16" s="1440"/>
      <c r="L16" s="1440"/>
      <c r="M16" s="1440"/>
      <c r="N16" s="1440"/>
      <c r="O16" s="1440"/>
      <c r="P16" s="1440"/>
      <c r="Q16" s="1441"/>
      <c r="S16" s="1442">
        <v>43841</v>
      </c>
      <c r="T16" s="1443">
        <v>1000004718</v>
      </c>
      <c r="U16" s="1443" t="s">
        <v>11679</v>
      </c>
      <c r="V16" s="1443"/>
      <c r="W16" s="1443"/>
      <c r="X16" s="1443"/>
      <c r="Y16" s="1443"/>
      <c r="Z16" s="1443">
        <v>3000</v>
      </c>
      <c r="AA16" s="1443"/>
      <c r="AB16" s="1443"/>
      <c r="AC16" s="1443"/>
      <c r="AD16" s="1443"/>
      <c r="AE16" s="1443"/>
      <c r="AF16" s="1443"/>
      <c r="AG16" s="1443"/>
      <c r="AH16" s="1443"/>
      <c r="AI16" s="1443"/>
      <c r="AK16" s="1444">
        <v>44210</v>
      </c>
      <c r="AL16" s="1445">
        <v>1000006643</v>
      </c>
      <c r="AM16" s="1446" t="s">
        <v>11679</v>
      </c>
      <c r="AN16" s="1447"/>
      <c r="AO16" s="1447"/>
      <c r="AP16" s="1447"/>
      <c r="AQ16" s="1447"/>
      <c r="AR16" s="700">
        <v>30000</v>
      </c>
      <c r="AS16" s="700"/>
      <c r="AT16" s="700"/>
      <c r="AU16" s="1448"/>
      <c r="AV16" s="1448"/>
      <c r="AW16" s="1448"/>
      <c r="AX16" s="1448"/>
      <c r="AY16" s="1448"/>
      <c r="AZ16" s="1448"/>
      <c r="BA16" s="1449"/>
      <c r="BM16" s="1435">
        <v>43809</v>
      </c>
      <c r="BN16" s="1436" t="s">
        <v>11735</v>
      </c>
      <c r="BO16" s="1437" t="s">
        <v>11679</v>
      </c>
      <c r="BP16" s="1438"/>
      <c r="BQ16" s="1438"/>
      <c r="BR16" s="1443">
        <v>10000</v>
      </c>
      <c r="BS16" s="1443"/>
      <c r="BT16" s="1440"/>
      <c r="BU16" s="1441"/>
      <c r="BW16" s="1444">
        <v>44060</v>
      </c>
      <c r="BX16" s="1445" t="s">
        <v>11736</v>
      </c>
      <c r="BY16" s="1446" t="s">
        <v>11679</v>
      </c>
      <c r="BZ16" s="1447"/>
      <c r="CA16" s="1447"/>
      <c r="CB16" s="1447"/>
      <c r="CC16" s="1447"/>
      <c r="CD16" s="700"/>
      <c r="CE16" s="700">
        <v>4980</v>
      </c>
      <c r="CF16" s="1449"/>
      <c r="CG16" s="1330"/>
      <c r="CH16" s="1455">
        <v>44440</v>
      </c>
      <c r="CI16" s="1453" t="s">
        <v>11737</v>
      </c>
      <c r="CJ16" s="1446"/>
      <c r="CK16" s="1447"/>
      <c r="CL16" s="1447"/>
      <c r="CM16" s="700"/>
      <c r="CN16" s="1480">
        <v>1572</v>
      </c>
      <c r="CP16" s="1455">
        <v>44623</v>
      </c>
      <c r="CQ16" s="1456" t="s">
        <v>11738</v>
      </c>
      <c r="CR16" s="1457" t="s">
        <v>11684</v>
      </c>
      <c r="CS16" s="1443"/>
      <c r="CT16" s="1443"/>
      <c r="CU16" s="1443"/>
      <c r="CV16" s="1443"/>
      <c r="CW16" s="1443"/>
      <c r="CX16" s="1443">
        <v>5000</v>
      </c>
      <c r="CY16" s="1443"/>
      <c r="CZ16" s="1443"/>
      <c r="DA16" s="700"/>
      <c r="DB16" s="1443"/>
      <c r="DC16" s="1443"/>
      <c r="DD16" s="1440"/>
      <c r="DE16" s="1458"/>
      <c r="DG16" s="1455">
        <v>45006</v>
      </c>
      <c r="DH16" s="1467">
        <v>1000013536</v>
      </c>
      <c r="DI16" s="135" t="s">
        <v>11739</v>
      </c>
      <c r="DJ16" s="718"/>
      <c r="DK16" s="718"/>
      <c r="DL16" s="718"/>
      <c r="DM16" s="718"/>
      <c r="DN16" s="718"/>
      <c r="DO16" s="718"/>
      <c r="DP16" s="1481"/>
      <c r="DQ16" s="1481"/>
      <c r="DR16" s="1481"/>
      <c r="DS16" s="718"/>
      <c r="DT16" s="718"/>
      <c r="DU16" s="718"/>
      <c r="DV16" s="718"/>
      <c r="DW16" s="700"/>
      <c r="DX16" s="700"/>
      <c r="DY16" s="700"/>
      <c r="DZ16" s="700"/>
      <c r="EA16" s="700">
        <v>10642</v>
      </c>
      <c r="EB16" s="718"/>
      <c r="EC16" s="1468"/>
      <c r="ED16" s="1468"/>
      <c r="EE16" s="1482" t="s">
        <v>11740</v>
      </c>
      <c r="EF16" s="1461"/>
      <c r="EG16" s="1461"/>
      <c r="EH16" s="1461"/>
      <c r="EI16" s="1455">
        <v>45194</v>
      </c>
      <c r="EJ16" s="1443"/>
      <c r="EK16" s="1443"/>
      <c r="EL16" s="1443"/>
      <c r="EM16" s="1443"/>
      <c r="EN16" s="1443"/>
      <c r="EO16" s="1443"/>
      <c r="EP16" s="1443"/>
      <c r="EQ16" s="1443"/>
      <c r="ER16" s="1443"/>
      <c r="ES16" s="1443"/>
      <c r="ET16" s="1443"/>
      <c r="EU16" s="1443"/>
      <c r="EV16" s="1443"/>
      <c r="EW16" s="1443"/>
      <c r="EX16" s="1443"/>
      <c r="EY16" s="1443"/>
      <c r="EZ16" s="1443"/>
      <c r="FA16" s="1443"/>
      <c r="FB16" s="1443">
        <v>1000</v>
      </c>
      <c r="FC16" s="1476"/>
      <c r="FD16" s="1482" t="s">
        <v>11741</v>
      </c>
      <c r="FE16" s="1329" t="s">
        <v>11733</v>
      </c>
      <c r="FH16" s="1455">
        <v>45384</v>
      </c>
      <c r="FI16" s="700">
        <v>1000019289</v>
      </c>
      <c r="FJ16" s="700"/>
      <c r="FK16" s="700"/>
      <c r="FL16" s="700"/>
      <c r="FM16" s="700"/>
      <c r="FN16" s="700"/>
      <c r="FO16" s="700"/>
      <c r="FP16" s="700"/>
      <c r="FQ16" s="700"/>
      <c r="FR16" s="700"/>
      <c r="FS16" s="700"/>
      <c r="FT16" s="1475"/>
      <c r="FU16" s="1475">
        <v>11676</v>
      </c>
      <c r="FV16" s="700"/>
      <c r="FW16" s="700"/>
      <c r="FX16" s="1448"/>
      <c r="FY16" s="1469" t="s">
        <v>11742</v>
      </c>
      <c r="FZ16" s="1330"/>
      <c r="GA16" s="1330"/>
      <c r="GC16" s="1472">
        <v>45561</v>
      </c>
      <c r="GD16" s="721">
        <v>1000023389</v>
      </c>
      <c r="GE16" s="721" t="s">
        <v>11687</v>
      </c>
      <c r="GF16" s="700"/>
      <c r="GG16" s="721"/>
      <c r="GH16" s="721">
        <v>50000</v>
      </c>
      <c r="GI16" s="721"/>
      <c r="GJ16" s="1473"/>
      <c r="GK16" s="1474"/>
    </row>
    <row r="17" s="1329" customFormat="1" ht="24" customHeight="1" spans="2:193">
      <c r="B17" s="1435">
        <v>43620</v>
      </c>
      <c r="C17" s="1479" t="s">
        <v>11743</v>
      </c>
      <c r="D17" s="1437" t="s">
        <v>11679</v>
      </c>
      <c r="E17" s="1438"/>
      <c r="F17" s="1438"/>
      <c r="G17" s="1438"/>
      <c r="H17" s="1438"/>
      <c r="I17" s="1439"/>
      <c r="J17" s="1440"/>
      <c r="K17" s="1440"/>
      <c r="L17" s="1440"/>
      <c r="M17" s="1440"/>
      <c r="N17" s="1440"/>
      <c r="O17" s="1440"/>
      <c r="P17" s="1440">
        <v>100</v>
      </c>
      <c r="Q17" s="1441">
        <v>100</v>
      </c>
      <c r="S17" s="1442">
        <v>43845</v>
      </c>
      <c r="T17" s="1483" t="s">
        <v>11744</v>
      </c>
      <c r="U17" s="1443" t="s">
        <v>11679</v>
      </c>
      <c r="V17" s="1443"/>
      <c r="W17" s="1443"/>
      <c r="X17" s="1443"/>
      <c r="Y17" s="1443"/>
      <c r="Z17" s="1443"/>
      <c r="AA17" s="1443"/>
      <c r="AB17" s="1443"/>
      <c r="AC17" s="1443"/>
      <c r="AD17" s="1443"/>
      <c r="AE17" s="1443"/>
      <c r="AF17" s="1443"/>
      <c r="AG17" s="1443"/>
      <c r="AH17" s="1443"/>
      <c r="AI17" s="1443">
        <v>300</v>
      </c>
      <c r="AK17" s="1444">
        <v>44210</v>
      </c>
      <c r="AL17" s="1445">
        <v>1000006644</v>
      </c>
      <c r="AM17" s="1446" t="s">
        <v>11679</v>
      </c>
      <c r="AN17" s="1447"/>
      <c r="AO17" s="1447"/>
      <c r="AP17" s="1447"/>
      <c r="AQ17" s="1447"/>
      <c r="AR17" s="700"/>
      <c r="AS17" s="700"/>
      <c r="AT17" s="700">
        <v>30000</v>
      </c>
      <c r="AU17" s="1448"/>
      <c r="AV17" s="1448"/>
      <c r="AW17" s="1448"/>
      <c r="AX17" s="1448"/>
      <c r="AY17" s="1448"/>
      <c r="AZ17" s="1448"/>
      <c r="BA17" s="1449"/>
      <c r="BM17" s="1435">
        <v>43841</v>
      </c>
      <c r="BN17" s="1443">
        <v>1000004722</v>
      </c>
      <c r="BO17" s="1437" t="s">
        <v>11679</v>
      </c>
      <c r="BP17" s="1438"/>
      <c r="BQ17" s="1438"/>
      <c r="BR17" s="1443">
        <v>20000</v>
      </c>
      <c r="BS17" s="1443"/>
      <c r="BT17" s="1440"/>
      <c r="BU17" s="1441"/>
      <c r="BW17" s="1444">
        <v>44093</v>
      </c>
      <c r="BX17" s="700" t="s">
        <v>11745</v>
      </c>
      <c r="BY17" s="1446" t="s">
        <v>11679</v>
      </c>
      <c r="BZ17" s="1447">
        <v>70000</v>
      </c>
      <c r="CA17" s="1447"/>
      <c r="CB17" s="1447"/>
      <c r="CC17" s="1447"/>
      <c r="CD17" s="700"/>
      <c r="CE17" s="700"/>
      <c r="CF17" s="1449"/>
      <c r="CG17" s="1330"/>
      <c r="CH17" s="1452">
        <v>44484</v>
      </c>
      <c r="CI17" s="1453" t="s">
        <v>11746</v>
      </c>
      <c r="CJ17" s="1446"/>
      <c r="CK17" s="719">
        <v>90000</v>
      </c>
      <c r="CL17" s="1447"/>
      <c r="CM17" s="700"/>
      <c r="CN17" s="1454"/>
      <c r="CP17" s="1455">
        <v>44623</v>
      </c>
      <c r="CQ17" s="1456" t="s">
        <v>11747</v>
      </c>
      <c r="CR17" s="1457" t="s">
        <v>11684</v>
      </c>
      <c r="CS17" s="1443"/>
      <c r="CT17" s="1443"/>
      <c r="CU17" s="1443"/>
      <c r="CV17" s="1443"/>
      <c r="CW17" s="1443"/>
      <c r="CX17" s="1443"/>
      <c r="CY17" s="1443"/>
      <c r="CZ17" s="1443"/>
      <c r="DA17" s="700"/>
      <c r="DB17" s="1443"/>
      <c r="DC17" s="1443"/>
      <c r="DD17" s="1440">
        <v>100</v>
      </c>
      <c r="DE17" s="1458"/>
      <c r="DG17" s="1455">
        <v>45006</v>
      </c>
      <c r="DH17" s="700">
        <v>1000013550</v>
      </c>
      <c r="DI17" s="135" t="s">
        <v>11739</v>
      </c>
      <c r="DJ17" s="718"/>
      <c r="DK17" s="718"/>
      <c r="DL17" s="718"/>
      <c r="DM17" s="718"/>
      <c r="DN17" s="718"/>
      <c r="DO17" s="718"/>
      <c r="DP17" s="1481"/>
      <c r="DQ17" s="1481"/>
      <c r="DR17" s="1481"/>
      <c r="DS17" s="718"/>
      <c r="DT17" s="718"/>
      <c r="DU17" s="718"/>
      <c r="DV17" s="718"/>
      <c r="DW17" s="700">
        <v>5912</v>
      </c>
      <c r="DX17" s="700"/>
      <c r="DY17" s="700"/>
      <c r="DZ17" s="700"/>
      <c r="EA17" s="700"/>
      <c r="EB17" s="718"/>
      <c r="EC17" s="1468"/>
      <c r="ED17" s="1468"/>
      <c r="EE17" s="1484" t="s">
        <v>11748</v>
      </c>
      <c r="EF17" s="1461"/>
      <c r="EG17" s="1461"/>
      <c r="EH17" s="1461"/>
      <c r="EI17" s="1455">
        <v>45206</v>
      </c>
      <c r="EJ17" s="1467">
        <v>1000016602</v>
      </c>
      <c r="EK17" s="700" t="s">
        <v>11686</v>
      </c>
      <c r="EL17" s="1464">
        <v>100000</v>
      </c>
      <c r="EM17" s="1464"/>
      <c r="EN17" s="1464"/>
      <c r="EO17" s="700"/>
      <c r="EP17" s="700"/>
      <c r="EQ17" s="700"/>
      <c r="ER17" s="700"/>
      <c r="ES17" s="700"/>
      <c r="ET17" s="700"/>
      <c r="EU17" s="700"/>
      <c r="EV17" s="700"/>
      <c r="EW17" s="700"/>
      <c r="EX17" s="700"/>
      <c r="EY17" s="700"/>
      <c r="EZ17" s="700"/>
      <c r="FA17" s="700"/>
      <c r="FB17" s="700"/>
      <c r="FC17" s="1454"/>
      <c r="FD17" s="1482"/>
      <c r="FH17" s="1455">
        <v>45385</v>
      </c>
      <c r="FI17" s="700"/>
      <c r="FJ17" s="700"/>
      <c r="FK17" s="700"/>
      <c r="FL17" s="700"/>
      <c r="FM17" s="700"/>
      <c r="FN17" s="700"/>
      <c r="FO17" s="700"/>
      <c r="FP17" s="700"/>
      <c r="FQ17" s="700"/>
      <c r="FR17" s="700"/>
      <c r="FS17" s="700"/>
      <c r="FT17" s="1475"/>
      <c r="FU17" s="1475">
        <v>1000</v>
      </c>
      <c r="FV17" s="700"/>
      <c r="FW17" s="700"/>
      <c r="FX17" s="1448"/>
      <c r="FY17" s="1469">
        <v>4500128662</v>
      </c>
      <c r="FZ17" s="1330"/>
      <c r="GA17" s="1330"/>
      <c r="GC17" s="1472">
        <v>45610</v>
      </c>
      <c r="GD17" s="721">
        <v>1000024473</v>
      </c>
      <c r="GE17" s="721" t="s">
        <v>11687</v>
      </c>
      <c r="GF17" s="700"/>
      <c r="GG17" s="721">
        <v>30000</v>
      </c>
      <c r="GH17" s="721"/>
      <c r="GI17" s="721"/>
      <c r="GJ17" s="1473"/>
      <c r="GK17" s="1474"/>
    </row>
    <row r="18" s="1329" customFormat="1" ht="24" customHeight="1" spans="2:193">
      <c r="B18" s="1435">
        <v>43629</v>
      </c>
      <c r="C18" s="1436">
        <v>1000003661</v>
      </c>
      <c r="D18" s="1437" t="s">
        <v>11679</v>
      </c>
      <c r="E18" s="1438"/>
      <c r="F18" s="1438"/>
      <c r="G18" s="1438">
        <v>150000</v>
      </c>
      <c r="H18" s="1438"/>
      <c r="I18" s="1439"/>
      <c r="J18" s="1440"/>
      <c r="K18" s="1440"/>
      <c r="L18" s="1440"/>
      <c r="M18" s="1440"/>
      <c r="N18" s="1440"/>
      <c r="O18" s="1440"/>
      <c r="P18" s="1440"/>
      <c r="Q18" s="1441"/>
      <c r="S18" s="1442">
        <v>43885</v>
      </c>
      <c r="T18" s="1443" t="s">
        <v>11749</v>
      </c>
      <c r="U18" s="1443" t="s">
        <v>11679</v>
      </c>
      <c r="V18" s="1443">
        <v>61702</v>
      </c>
      <c r="W18" s="1443"/>
      <c r="X18" s="1443"/>
      <c r="Y18" s="1443"/>
      <c r="Z18" s="1443"/>
      <c r="AA18" s="1443"/>
      <c r="AB18" s="1443"/>
      <c r="AC18" s="1443"/>
      <c r="AD18" s="1443"/>
      <c r="AE18" s="1443"/>
      <c r="AF18" s="1443"/>
      <c r="AG18" s="1443"/>
      <c r="AH18" s="1443"/>
      <c r="AI18" s="1443"/>
      <c r="AK18" s="1444">
        <v>44210</v>
      </c>
      <c r="AL18" s="1445">
        <v>1000006645</v>
      </c>
      <c r="AM18" s="1446" t="s">
        <v>11679</v>
      </c>
      <c r="AN18" s="1447"/>
      <c r="AO18" s="1447"/>
      <c r="AP18" s="1447"/>
      <c r="AQ18" s="1447"/>
      <c r="AR18" s="700"/>
      <c r="AS18" s="700"/>
      <c r="AT18" s="700"/>
      <c r="AU18" s="1448"/>
      <c r="AV18" s="1448"/>
      <c r="AW18" s="1448">
        <v>5000</v>
      </c>
      <c r="AX18" s="1448"/>
      <c r="AY18" s="1448"/>
      <c r="AZ18" s="1448"/>
      <c r="BA18" s="1449"/>
      <c r="BM18" s="1435">
        <v>43841</v>
      </c>
      <c r="BN18" s="1443">
        <v>1000004723</v>
      </c>
      <c r="BO18" s="1437" t="s">
        <v>11679</v>
      </c>
      <c r="BP18" s="1438"/>
      <c r="BQ18" s="1438"/>
      <c r="BR18" s="1443"/>
      <c r="BS18" s="1443">
        <v>20000</v>
      </c>
      <c r="BT18" s="1440"/>
      <c r="BU18" s="1441"/>
      <c r="BW18" s="1444">
        <v>44093</v>
      </c>
      <c r="BX18" s="700" t="s">
        <v>11750</v>
      </c>
      <c r="BY18" s="1446" t="s">
        <v>11679</v>
      </c>
      <c r="BZ18" s="1447"/>
      <c r="CA18" s="1447">
        <v>5000</v>
      </c>
      <c r="CB18" s="1447"/>
      <c r="CC18" s="1447"/>
      <c r="CD18" s="700"/>
      <c r="CE18" s="700"/>
      <c r="CF18" s="1449"/>
      <c r="CG18" s="1330"/>
      <c r="CH18" s="1452">
        <v>44484</v>
      </c>
      <c r="CI18" s="1453" t="s">
        <v>11751</v>
      </c>
      <c r="CJ18" s="1446"/>
      <c r="CK18" s="1447"/>
      <c r="CL18" s="719">
        <v>20000</v>
      </c>
      <c r="CM18" s="700"/>
      <c r="CN18" s="1454"/>
      <c r="CP18" s="1455">
        <v>44628</v>
      </c>
      <c r="CQ18" s="1456" t="s">
        <v>11752</v>
      </c>
      <c r="CR18" s="1457" t="s">
        <v>11684</v>
      </c>
      <c r="CS18" s="1443"/>
      <c r="CT18" s="1443"/>
      <c r="CU18" s="1443"/>
      <c r="CV18" s="1443"/>
      <c r="CW18" s="1443"/>
      <c r="CX18" s="1443"/>
      <c r="CY18" s="1443">
        <v>5898</v>
      </c>
      <c r="CZ18" s="1443"/>
      <c r="DA18" s="700"/>
      <c r="DB18" s="1443"/>
      <c r="DC18" s="1443"/>
      <c r="DD18" s="1440"/>
      <c r="DE18" s="1477" t="s">
        <v>11753</v>
      </c>
      <c r="DG18" s="1455">
        <v>45007</v>
      </c>
      <c r="DH18" s="1467">
        <v>1000013577</v>
      </c>
      <c r="DI18" s="135"/>
      <c r="DJ18" s="718"/>
      <c r="DK18" s="718"/>
      <c r="DL18" s="718"/>
      <c r="DM18" s="718"/>
      <c r="DN18" s="718"/>
      <c r="DO18" s="718"/>
      <c r="DP18" s="1481"/>
      <c r="DQ18" s="1481"/>
      <c r="DR18" s="1481"/>
      <c r="DS18" s="718"/>
      <c r="DT18" s="718"/>
      <c r="DU18" s="718"/>
      <c r="DV18" s="718"/>
      <c r="DW18" s="700"/>
      <c r="DX18" s="700">
        <v>4798</v>
      </c>
      <c r="DY18" s="700"/>
      <c r="DZ18" s="700"/>
      <c r="EA18" s="700"/>
      <c r="EB18" s="718"/>
      <c r="EC18" s="1468"/>
      <c r="ED18" s="1468"/>
      <c r="EE18" s="1485" t="s">
        <v>11754</v>
      </c>
      <c r="EF18" s="1461"/>
      <c r="EG18" s="1461"/>
      <c r="EH18" s="1461"/>
      <c r="EI18" s="1455">
        <v>45206</v>
      </c>
      <c r="EJ18" s="1467">
        <v>1000016603</v>
      </c>
      <c r="EK18" s="700" t="s">
        <v>11686</v>
      </c>
      <c r="EL18" s="1464"/>
      <c r="EM18" s="1464"/>
      <c r="EN18" s="1464"/>
      <c r="EO18" s="700"/>
      <c r="EP18" s="700"/>
      <c r="EQ18" s="700"/>
      <c r="ER18" s="1464">
        <v>100000</v>
      </c>
      <c r="ES18" s="1464"/>
      <c r="ET18" s="700"/>
      <c r="EU18" s="700"/>
      <c r="EV18" s="700"/>
      <c r="EW18" s="700"/>
      <c r="EX18" s="700"/>
      <c r="EY18" s="700"/>
      <c r="EZ18" s="700"/>
      <c r="FA18" s="700"/>
      <c r="FB18" s="700"/>
      <c r="FC18" s="1454"/>
      <c r="FD18" s="1482"/>
      <c r="FH18" s="1455">
        <v>45390</v>
      </c>
      <c r="FI18" s="1467">
        <v>1000019396</v>
      </c>
      <c r="FJ18" s="700"/>
      <c r="FK18" s="700">
        <v>200000</v>
      </c>
      <c r="FL18" s="700"/>
      <c r="FM18" s="700"/>
      <c r="FN18" s="700"/>
      <c r="FO18" s="700"/>
      <c r="FP18" s="700"/>
      <c r="FQ18" s="700"/>
      <c r="FR18" s="700"/>
      <c r="FS18" s="700"/>
      <c r="FT18" s="1475"/>
      <c r="FU18" s="1475"/>
      <c r="FV18" s="700"/>
      <c r="FW18" s="700"/>
      <c r="FX18" s="1448"/>
      <c r="FY18" s="1469"/>
      <c r="FZ18" s="1486"/>
      <c r="GA18" s="1486"/>
      <c r="GC18" s="1472">
        <v>45639</v>
      </c>
      <c r="GD18" s="721">
        <v>1000025136</v>
      </c>
      <c r="GE18" s="721" t="s">
        <v>11687</v>
      </c>
      <c r="GF18" s="700">
        <v>30000</v>
      </c>
      <c r="GG18" s="721"/>
      <c r="GH18" s="721"/>
      <c r="GI18" s="721"/>
      <c r="GJ18" s="1473"/>
      <c r="GK18" s="1474"/>
    </row>
    <row r="19" s="1329" customFormat="1" ht="24" customHeight="1" spans="2:193">
      <c r="B19" s="1435">
        <v>43629</v>
      </c>
      <c r="C19" s="1436">
        <v>1000003662</v>
      </c>
      <c r="D19" s="1437" t="s">
        <v>11679</v>
      </c>
      <c r="E19" s="1438"/>
      <c r="F19" s="1438"/>
      <c r="G19" s="1438"/>
      <c r="H19" s="1438">
        <v>150000</v>
      </c>
      <c r="I19" s="1439"/>
      <c r="J19" s="1440"/>
      <c r="K19" s="1440"/>
      <c r="L19" s="1440"/>
      <c r="M19" s="1440"/>
      <c r="N19" s="1440"/>
      <c r="O19" s="1440"/>
      <c r="P19" s="1440"/>
      <c r="Q19" s="1441"/>
      <c r="S19" s="1442">
        <v>43885</v>
      </c>
      <c r="T19" s="1443" t="s">
        <v>11755</v>
      </c>
      <c r="U19" s="1443" t="s">
        <v>11679</v>
      </c>
      <c r="V19" s="1443"/>
      <c r="W19" s="1443"/>
      <c r="X19" s="1443">
        <v>50000</v>
      </c>
      <c r="Y19" s="1443"/>
      <c r="Z19" s="1443"/>
      <c r="AA19" s="1443"/>
      <c r="AB19" s="1443"/>
      <c r="AC19" s="1443"/>
      <c r="AD19" s="1443"/>
      <c r="AE19" s="1443"/>
      <c r="AF19" s="1443"/>
      <c r="AG19" s="1443"/>
      <c r="AH19" s="1443"/>
      <c r="AI19" s="1443"/>
      <c r="AK19" s="1444">
        <v>44253</v>
      </c>
      <c r="AL19" s="1445">
        <v>1000006742</v>
      </c>
      <c r="AM19" s="1446" t="s">
        <v>11679</v>
      </c>
      <c r="AN19" s="1447"/>
      <c r="AO19" s="1447"/>
      <c r="AP19" s="1447"/>
      <c r="AQ19" s="1447"/>
      <c r="AR19" s="700"/>
      <c r="AS19" s="700"/>
      <c r="AT19" s="700"/>
      <c r="AU19" s="1448"/>
      <c r="AV19" s="1448"/>
      <c r="AW19" s="1448"/>
      <c r="AX19" s="1448">
        <v>5906</v>
      </c>
      <c r="AY19" s="1448"/>
      <c r="AZ19" s="1448"/>
      <c r="BA19" s="1449"/>
      <c r="BM19" s="1487"/>
      <c r="BN19" s="1436"/>
      <c r="BO19" s="1437"/>
      <c r="BP19" s="1438"/>
      <c r="BQ19" s="1438"/>
      <c r="BR19" s="1443"/>
      <c r="BS19" s="1443"/>
      <c r="BT19" s="1440"/>
      <c r="BU19" s="1441"/>
      <c r="BW19" s="1444">
        <v>44093</v>
      </c>
      <c r="BX19" s="700">
        <v>1000006069</v>
      </c>
      <c r="BY19" s="1446" t="s">
        <v>11679</v>
      </c>
      <c r="BZ19" s="1447"/>
      <c r="CA19" s="1447"/>
      <c r="CB19" s="1447"/>
      <c r="CC19" s="1447">
        <v>70000</v>
      </c>
      <c r="CD19" s="700"/>
      <c r="CE19" s="700"/>
      <c r="CF19" s="1449"/>
      <c r="CG19" s="1330"/>
      <c r="CH19" s="1452">
        <v>44484</v>
      </c>
      <c r="CI19" s="1453" t="s">
        <v>11756</v>
      </c>
      <c r="CJ19" s="1446"/>
      <c r="CK19" s="1447"/>
      <c r="CL19" s="1447"/>
      <c r="CM19" s="719">
        <v>3000</v>
      </c>
      <c r="CN19" s="1454"/>
      <c r="CP19" s="1455">
        <v>44629</v>
      </c>
      <c r="CQ19" s="1456" t="s">
        <v>11757</v>
      </c>
      <c r="CR19" s="1457" t="s">
        <v>11684</v>
      </c>
      <c r="CS19" s="1443"/>
      <c r="CT19" s="1443"/>
      <c r="CU19" s="1443"/>
      <c r="CV19" s="1443"/>
      <c r="CW19" s="1443"/>
      <c r="CX19" s="1443"/>
      <c r="CY19" s="1443"/>
      <c r="CZ19" s="1443"/>
      <c r="DA19" s="700"/>
      <c r="DB19" s="1443">
        <v>17000</v>
      </c>
      <c r="DC19" s="1443"/>
      <c r="DD19" s="1440"/>
      <c r="DE19" s="5464" t="s">
        <v>11758</v>
      </c>
      <c r="DG19" s="1488">
        <v>45020</v>
      </c>
      <c r="DH19" s="1467">
        <v>1000013753</v>
      </c>
      <c r="DI19" s="135"/>
      <c r="DJ19" s="718"/>
      <c r="DK19" s="718"/>
      <c r="DL19" s="718"/>
      <c r="DM19" s="718"/>
      <c r="DN19" s="718"/>
      <c r="DO19" s="718"/>
      <c r="DP19" s="1481"/>
      <c r="DQ19" s="1481"/>
      <c r="DR19" s="1481"/>
      <c r="DS19" s="718"/>
      <c r="DT19" s="718"/>
      <c r="DU19" s="718"/>
      <c r="DV19" s="718"/>
      <c r="DW19" s="718"/>
      <c r="DX19" s="718"/>
      <c r="DY19" s="718"/>
      <c r="DZ19" s="718"/>
      <c r="EA19" s="718"/>
      <c r="EB19" s="718">
        <v>30000</v>
      </c>
      <c r="EC19" s="1468"/>
      <c r="ED19" s="1468"/>
      <c r="EE19" s="1469" t="s">
        <v>11759</v>
      </c>
      <c r="EF19" s="1461"/>
      <c r="EG19" s="1461"/>
      <c r="EH19" s="1461"/>
      <c r="EI19" s="1455">
        <v>45206</v>
      </c>
      <c r="EJ19" s="1467">
        <v>1000016604</v>
      </c>
      <c r="EK19" s="700" t="s">
        <v>11686</v>
      </c>
      <c r="EL19" s="700"/>
      <c r="EM19" s="700"/>
      <c r="EN19" s="700"/>
      <c r="EO19" s="700"/>
      <c r="EP19" s="700"/>
      <c r="EQ19" s="700"/>
      <c r="ER19" s="700"/>
      <c r="ES19" s="700"/>
      <c r="ET19" s="1464">
        <v>1000</v>
      </c>
      <c r="EU19" s="1464"/>
      <c r="EV19" s="700"/>
      <c r="EW19" s="700"/>
      <c r="EX19" s="700"/>
      <c r="EY19" s="700"/>
      <c r="EZ19" s="700"/>
      <c r="FA19" s="700"/>
      <c r="FB19" s="700"/>
      <c r="FC19" s="1454"/>
      <c r="FD19" s="1482"/>
      <c r="FH19" s="1455">
        <v>45390</v>
      </c>
      <c r="FI19" s="1467">
        <v>1000019397</v>
      </c>
      <c r="FJ19" s="700"/>
      <c r="FK19" s="700"/>
      <c r="FL19" s="700"/>
      <c r="FM19" s="700">
        <v>60000</v>
      </c>
      <c r="FN19" s="700"/>
      <c r="FO19" s="700"/>
      <c r="FP19" s="700"/>
      <c r="FQ19" s="700"/>
      <c r="FR19" s="700"/>
      <c r="FS19" s="700"/>
      <c r="FT19" s="1475"/>
      <c r="FU19" s="1475"/>
      <c r="FV19" s="700"/>
      <c r="FW19" s="700"/>
      <c r="FX19" s="1448"/>
      <c r="FY19" s="1469"/>
      <c r="FZ19" s="1489"/>
      <c r="GA19" s="1489"/>
      <c r="GC19" s="1472">
        <v>45639</v>
      </c>
      <c r="GD19" s="721">
        <v>1000025137</v>
      </c>
      <c r="GE19" s="721" t="s">
        <v>11687</v>
      </c>
      <c r="GF19" s="700"/>
      <c r="GG19" s="721"/>
      <c r="GH19" s="721">
        <v>30000</v>
      </c>
      <c r="GI19" s="721"/>
      <c r="GJ19" s="1473"/>
      <c r="GK19" s="1474"/>
    </row>
    <row r="20" s="1329" customFormat="1" ht="24" customHeight="1" spans="2:193">
      <c r="B20" s="1435">
        <v>43629</v>
      </c>
      <c r="C20" s="1436">
        <v>1000003665</v>
      </c>
      <c r="D20" s="1437" t="s">
        <v>11679</v>
      </c>
      <c r="E20" s="1438"/>
      <c r="F20" s="1447"/>
      <c r="G20" s="1447"/>
      <c r="H20" s="1447"/>
      <c r="I20" s="1490"/>
      <c r="J20" s="1448"/>
      <c r="K20" s="1448"/>
      <c r="L20" s="1448"/>
      <c r="M20" s="1448">
        <v>5500</v>
      </c>
      <c r="N20" s="1448"/>
      <c r="O20" s="1448"/>
      <c r="P20" s="1448"/>
      <c r="Q20" s="1441"/>
      <c r="S20" s="1442">
        <v>43885</v>
      </c>
      <c r="T20" s="1443" t="s">
        <v>11760</v>
      </c>
      <c r="U20" s="1443" t="s">
        <v>11679</v>
      </c>
      <c r="V20" s="1443"/>
      <c r="W20" s="1443"/>
      <c r="X20" s="1443"/>
      <c r="Y20" s="1443">
        <v>51664</v>
      </c>
      <c r="Z20" s="1443"/>
      <c r="AA20" s="1443"/>
      <c r="AB20" s="1443"/>
      <c r="AC20" s="1443"/>
      <c r="AD20" s="1443"/>
      <c r="AE20" s="1443"/>
      <c r="AF20" s="1443"/>
      <c r="AG20" s="1443"/>
      <c r="AH20" s="1443"/>
      <c r="AI20" s="1443"/>
      <c r="AK20" s="1444">
        <v>44253</v>
      </c>
      <c r="AL20" s="1445" t="s">
        <v>11761</v>
      </c>
      <c r="AM20" s="1446" t="s">
        <v>11679</v>
      </c>
      <c r="AN20" s="1447">
        <v>150000</v>
      </c>
      <c r="AO20" s="1447"/>
      <c r="AP20" s="1447"/>
      <c r="AQ20" s="1447"/>
      <c r="AR20" s="700"/>
      <c r="AS20" s="700"/>
      <c r="AT20" s="700"/>
      <c r="AU20" s="1448"/>
      <c r="AV20" s="1448"/>
      <c r="AW20" s="1448"/>
      <c r="AX20" s="1448"/>
      <c r="AY20" s="1448"/>
      <c r="AZ20" s="1448"/>
      <c r="BA20" s="1449"/>
      <c r="BM20" s="1435"/>
      <c r="BN20" s="1436"/>
      <c r="BO20" s="1437"/>
      <c r="BP20" s="1438"/>
      <c r="BQ20" s="1438"/>
      <c r="BR20" s="1443"/>
      <c r="BS20" s="1443"/>
      <c r="BT20" s="1440"/>
      <c r="BU20" s="1441"/>
      <c r="BW20" s="1444">
        <v>44093</v>
      </c>
      <c r="BX20" s="700">
        <v>1000006070</v>
      </c>
      <c r="BY20" s="1446" t="s">
        <v>11679</v>
      </c>
      <c r="BZ20" s="1447"/>
      <c r="CA20" s="1447"/>
      <c r="CB20" s="1447"/>
      <c r="CC20" s="1447"/>
      <c r="CD20" s="700"/>
      <c r="CE20" s="700"/>
      <c r="CF20" s="1449">
        <v>1504</v>
      </c>
      <c r="CG20" s="1330"/>
      <c r="CH20" s="1452">
        <v>44484</v>
      </c>
      <c r="CI20" s="1453" t="s">
        <v>11762</v>
      </c>
      <c r="CJ20" s="1491"/>
      <c r="CK20" s="1491"/>
      <c r="CL20" s="1491"/>
      <c r="CM20" s="1491"/>
      <c r="CN20" s="1480">
        <v>3000</v>
      </c>
      <c r="CP20" s="1455">
        <v>44634</v>
      </c>
      <c r="CQ20" s="1456" t="s">
        <v>11763</v>
      </c>
      <c r="CR20" s="1457" t="s">
        <v>11684</v>
      </c>
      <c r="CS20" s="1443"/>
      <c r="CT20" s="1443"/>
      <c r="CU20" s="1443"/>
      <c r="CV20" s="1443"/>
      <c r="CW20" s="1443"/>
      <c r="CX20" s="1443"/>
      <c r="CY20" s="1443"/>
      <c r="CZ20" s="1443">
        <v>3503</v>
      </c>
      <c r="DA20" s="700"/>
      <c r="DB20" s="1443"/>
      <c r="DC20" s="1443"/>
      <c r="DD20" s="1440"/>
      <c r="DE20" s="1482" t="s">
        <v>11764</v>
      </c>
      <c r="DG20" s="1492" t="s">
        <v>11765</v>
      </c>
      <c r="DH20" s="1467">
        <v>1000013836</v>
      </c>
      <c r="DI20" s="135" t="s">
        <v>11766</v>
      </c>
      <c r="DJ20" s="718"/>
      <c r="DK20" s="718"/>
      <c r="DL20" s="718"/>
      <c r="DM20" s="718"/>
      <c r="DN20" s="718"/>
      <c r="DO20" s="718"/>
      <c r="DP20" s="1481"/>
      <c r="DQ20" s="1481"/>
      <c r="DR20" s="1481"/>
      <c r="DS20" s="718"/>
      <c r="DT20" s="718"/>
      <c r="DU20" s="718"/>
      <c r="DV20" s="718"/>
      <c r="DW20" s="718"/>
      <c r="DX20" s="718"/>
      <c r="DY20" s="718"/>
      <c r="DZ20" s="718"/>
      <c r="EA20" s="718"/>
      <c r="EB20" s="718">
        <v>30000</v>
      </c>
      <c r="EC20" s="1468"/>
      <c r="ED20" s="1468"/>
      <c r="EE20" s="1469" t="s">
        <v>11767</v>
      </c>
      <c r="EF20" s="1461"/>
      <c r="EG20" s="1461"/>
      <c r="EH20" s="1461"/>
      <c r="EI20" s="1455">
        <v>45206</v>
      </c>
      <c r="EJ20" s="1467">
        <v>1000016605</v>
      </c>
      <c r="EK20" s="700" t="s">
        <v>11686</v>
      </c>
      <c r="EL20" s="700"/>
      <c r="EM20" s="700"/>
      <c r="EN20" s="700"/>
      <c r="EO20" s="700"/>
      <c r="EP20" s="700"/>
      <c r="EQ20" s="700"/>
      <c r="ER20" s="700"/>
      <c r="ES20" s="700"/>
      <c r="ET20" s="700"/>
      <c r="EU20" s="700"/>
      <c r="EV20" s="1464">
        <v>15000</v>
      </c>
      <c r="EW20" s="1464"/>
      <c r="EX20" s="700"/>
      <c r="EY20" s="700"/>
      <c r="EZ20" s="700"/>
      <c r="FA20" s="700"/>
      <c r="FB20" s="700"/>
      <c r="FC20" s="1454"/>
      <c r="FD20" s="1482"/>
      <c r="FH20" s="1455">
        <v>45390</v>
      </c>
      <c r="FI20" s="1467">
        <v>1000019398</v>
      </c>
      <c r="FJ20" s="700"/>
      <c r="FK20" s="700"/>
      <c r="FL20" s="700"/>
      <c r="FM20" s="700"/>
      <c r="FN20" s="700"/>
      <c r="FO20" s="1464">
        <v>250000</v>
      </c>
      <c r="FP20" s="1464"/>
      <c r="FQ20" s="700"/>
      <c r="FR20" s="700"/>
      <c r="FS20" s="700"/>
      <c r="FT20" s="1475"/>
      <c r="FU20" s="1475"/>
      <c r="FV20" s="700"/>
      <c r="FW20" s="700"/>
      <c r="FX20" s="1448"/>
      <c r="FY20" s="1469"/>
      <c r="GC20" s="1472">
        <v>45679</v>
      </c>
      <c r="GD20" s="721">
        <v>1000025633</v>
      </c>
      <c r="GE20" s="721" t="s">
        <v>11687</v>
      </c>
      <c r="GF20" s="700">
        <v>30000</v>
      </c>
      <c r="GG20" s="721"/>
      <c r="GH20" s="721"/>
      <c r="GI20" s="721"/>
      <c r="GJ20" s="1473"/>
      <c r="GK20" s="1474"/>
    </row>
    <row r="21" s="1329" customFormat="1" ht="24" customHeight="1" spans="2:193">
      <c r="B21" s="1435">
        <v>43630</v>
      </c>
      <c r="C21" s="1479" t="s">
        <v>11743</v>
      </c>
      <c r="D21" s="1437" t="s">
        <v>11679</v>
      </c>
      <c r="E21" s="1438"/>
      <c r="F21" s="1447"/>
      <c r="G21" s="1447"/>
      <c r="H21" s="1447"/>
      <c r="I21" s="1490"/>
      <c r="J21" s="1448"/>
      <c r="K21" s="1448"/>
      <c r="L21" s="1448"/>
      <c r="M21" s="1448"/>
      <c r="N21" s="1448"/>
      <c r="O21" s="1448"/>
      <c r="P21" s="1448"/>
      <c r="Q21" s="1441">
        <v>300</v>
      </c>
      <c r="S21" s="1442">
        <v>43885</v>
      </c>
      <c r="T21" s="1443">
        <v>1000004805</v>
      </c>
      <c r="U21" s="1443" t="s">
        <v>11679</v>
      </c>
      <c r="V21" s="1443"/>
      <c r="W21" s="1443"/>
      <c r="X21" s="1443"/>
      <c r="Y21" s="1443"/>
      <c r="Z21" s="700">
        <v>8334</v>
      </c>
      <c r="AA21" s="1443"/>
      <c r="AB21" s="1443"/>
      <c r="AC21" s="1443"/>
      <c r="AD21" s="1443"/>
      <c r="AE21" s="1443"/>
      <c r="AF21" s="1443"/>
      <c r="AG21" s="1443"/>
      <c r="AH21" s="1443"/>
      <c r="AI21" s="1443"/>
      <c r="AK21" s="1444">
        <v>44253</v>
      </c>
      <c r="AL21" s="1445" t="s">
        <v>11768</v>
      </c>
      <c r="AM21" s="1446" t="s">
        <v>11679</v>
      </c>
      <c r="AN21" s="1447"/>
      <c r="AO21" s="1447"/>
      <c r="AP21" s="1447">
        <v>150000</v>
      </c>
      <c r="AQ21" s="1447"/>
      <c r="AR21" s="700"/>
      <c r="AS21" s="700"/>
      <c r="AT21" s="700"/>
      <c r="AU21" s="1448"/>
      <c r="AV21" s="1448"/>
      <c r="AW21" s="1448"/>
      <c r="AX21" s="1448"/>
      <c r="AY21" s="1448"/>
      <c r="AZ21" s="1448"/>
      <c r="BA21" s="1449"/>
      <c r="BM21" s="1435"/>
      <c r="BN21" s="1436"/>
      <c r="BO21" s="1437"/>
      <c r="BP21" s="1438"/>
      <c r="BQ21" s="1438"/>
      <c r="BR21" s="1443"/>
      <c r="BS21" s="1443"/>
      <c r="BT21" s="1440"/>
      <c r="BU21" s="1441"/>
      <c r="BW21" s="1444">
        <v>44160</v>
      </c>
      <c r="BX21" s="1445" t="s">
        <v>11769</v>
      </c>
      <c r="BY21" s="1446" t="s">
        <v>11679</v>
      </c>
      <c r="BZ21" s="1447">
        <v>27000</v>
      </c>
      <c r="CA21" s="1447"/>
      <c r="CB21" s="1447"/>
      <c r="CC21" s="1447"/>
      <c r="CD21" s="700"/>
      <c r="CE21" s="700"/>
      <c r="CF21" s="1449"/>
      <c r="CG21" s="1330"/>
      <c r="CH21" s="1493">
        <v>44505</v>
      </c>
      <c r="CI21" s="1453" t="s">
        <v>11770</v>
      </c>
      <c r="CJ21" s="1446"/>
      <c r="CK21" s="719">
        <v>30000</v>
      </c>
      <c r="CL21" s="1494"/>
      <c r="CM21" s="1494"/>
      <c r="CN21" s="1495"/>
      <c r="CP21" s="1455">
        <v>44635</v>
      </c>
      <c r="CQ21" s="1456" t="s">
        <v>11771</v>
      </c>
      <c r="CR21" s="1457" t="s">
        <v>11684</v>
      </c>
      <c r="CS21" s="1443"/>
      <c r="CT21" s="1443"/>
      <c r="CU21" s="1443"/>
      <c r="CV21" s="1443"/>
      <c r="CW21" s="1443"/>
      <c r="CX21" s="1443"/>
      <c r="CY21" s="1443">
        <v>5705</v>
      </c>
      <c r="CZ21" s="1443"/>
      <c r="DA21" s="700"/>
      <c r="DB21" s="1443"/>
      <c r="DC21" s="1443"/>
      <c r="DD21" s="1440"/>
      <c r="DE21" s="5464" t="s">
        <v>11772</v>
      </c>
      <c r="DG21" s="1455">
        <v>45039</v>
      </c>
      <c r="DH21" s="1467">
        <v>1000014035</v>
      </c>
      <c r="DI21" s="135" t="s">
        <v>11685</v>
      </c>
      <c r="DJ21" s="1464">
        <v>200000</v>
      </c>
      <c r="DK21" s="1464"/>
      <c r="DL21" s="718"/>
      <c r="DM21" s="718"/>
      <c r="DN21" s="718"/>
      <c r="DO21" s="718"/>
      <c r="DP21" s="1481"/>
      <c r="DQ21" s="1481"/>
      <c r="DR21" s="1481"/>
      <c r="DS21" s="718"/>
      <c r="DT21" s="718"/>
      <c r="DU21" s="718"/>
      <c r="DV21" s="718"/>
      <c r="DW21" s="1496"/>
      <c r="DX21" s="718"/>
      <c r="DY21" s="718"/>
      <c r="DZ21" s="718"/>
      <c r="EA21" s="718"/>
      <c r="EB21" s="718"/>
      <c r="EC21" s="1468"/>
      <c r="ED21" s="1468"/>
      <c r="EE21" s="1458"/>
      <c r="EF21" s="1461"/>
      <c r="EG21" s="1461"/>
      <c r="EH21" s="1461"/>
      <c r="EI21" s="1455">
        <v>45208</v>
      </c>
      <c r="EJ21" s="700"/>
      <c r="EK21" s="700"/>
      <c r="EL21" s="700"/>
      <c r="EM21" s="700"/>
      <c r="EN21" s="700"/>
      <c r="EO21" s="700"/>
      <c r="EP21" s="700"/>
      <c r="EQ21" s="700"/>
      <c r="ER21" s="700"/>
      <c r="ES21" s="700"/>
      <c r="ET21" s="700"/>
      <c r="EU21" s="700"/>
      <c r="EV21" s="700"/>
      <c r="EW21" s="700"/>
      <c r="EX21" s="700">
        <v>4015</v>
      </c>
      <c r="EY21" s="700"/>
      <c r="EZ21" s="700"/>
      <c r="FA21" s="700"/>
      <c r="FB21" s="700"/>
      <c r="FC21" s="1454"/>
      <c r="FD21" s="1471" t="s">
        <v>11773</v>
      </c>
      <c r="FH21" s="1455">
        <v>45390</v>
      </c>
      <c r="FI21" s="1467">
        <v>1000019399</v>
      </c>
      <c r="FJ21" s="700"/>
      <c r="FK21" s="700"/>
      <c r="FL21" s="700"/>
      <c r="FM21" s="700"/>
      <c r="FN21" s="700"/>
      <c r="FO21" s="700"/>
      <c r="FP21" s="700"/>
      <c r="FQ21" s="1464"/>
      <c r="FR21" s="700"/>
      <c r="FS21" s="700"/>
      <c r="FT21" s="1475"/>
      <c r="FU21" s="1475"/>
      <c r="FV21" s="1464">
        <v>300</v>
      </c>
      <c r="FW21" s="700"/>
      <c r="FX21" s="1448"/>
      <c r="FY21" s="1469"/>
      <c r="GC21" s="1472">
        <v>45743</v>
      </c>
      <c r="GD21" s="721">
        <v>1000026684</v>
      </c>
      <c r="GE21" s="721" t="s">
        <v>11687</v>
      </c>
      <c r="GF21" s="721"/>
      <c r="GG21" s="721"/>
      <c r="GH21" s="721">
        <v>30000</v>
      </c>
      <c r="GI21" s="721"/>
      <c r="GJ21" s="1473"/>
      <c r="GK21" s="1474"/>
    </row>
    <row r="22" s="1329" customFormat="1" ht="24" customHeight="1" spans="2:193">
      <c r="B22" s="1435">
        <v>43656</v>
      </c>
      <c r="C22" s="1436" t="s">
        <v>11774</v>
      </c>
      <c r="D22" s="1437" t="s">
        <v>11679</v>
      </c>
      <c r="E22" s="1438"/>
      <c r="F22" s="1447"/>
      <c r="G22" s="1447">
        <v>180000</v>
      </c>
      <c r="H22" s="1447"/>
      <c r="I22" s="1490"/>
      <c r="J22" s="1448"/>
      <c r="K22" s="1448"/>
      <c r="L22" s="1448"/>
      <c r="M22" s="1448"/>
      <c r="N22" s="1448"/>
      <c r="O22" s="1448"/>
      <c r="P22" s="1448"/>
      <c r="Q22" s="1441"/>
      <c r="S22" s="1442">
        <v>43908</v>
      </c>
      <c r="T22" s="1443" t="s">
        <v>11775</v>
      </c>
      <c r="U22" s="1443" t="s">
        <v>11679</v>
      </c>
      <c r="V22" s="1443"/>
      <c r="W22" s="1443">
        <v>58568</v>
      </c>
      <c r="X22" s="1443"/>
      <c r="Y22" s="1443"/>
      <c r="Z22" s="1443"/>
      <c r="AA22" s="1443"/>
      <c r="AB22" s="1443"/>
      <c r="AC22" s="1443"/>
      <c r="AD22" s="1443"/>
      <c r="AE22" s="1443"/>
      <c r="AF22" s="1443"/>
      <c r="AG22" s="1443"/>
      <c r="AH22" s="1443"/>
      <c r="AI22" s="1443"/>
      <c r="AK22" s="1444">
        <v>44253</v>
      </c>
      <c r="AL22" s="1445" t="s">
        <v>11776</v>
      </c>
      <c r="AM22" s="1446" t="s">
        <v>11679</v>
      </c>
      <c r="AN22" s="1447"/>
      <c r="AO22" s="1447"/>
      <c r="AP22" s="1447"/>
      <c r="AQ22" s="1447"/>
      <c r="AR22" s="700"/>
      <c r="AS22" s="700"/>
      <c r="AT22" s="700"/>
      <c r="AU22" s="1448"/>
      <c r="AV22" s="1448">
        <v>20000</v>
      </c>
      <c r="AW22" s="1448"/>
      <c r="AX22" s="1448"/>
      <c r="AY22" s="1448"/>
      <c r="AZ22" s="1448"/>
      <c r="BA22" s="1449"/>
      <c r="BM22" s="1497"/>
      <c r="BN22" s="1436"/>
      <c r="BO22" s="1437"/>
      <c r="BP22" s="1438"/>
      <c r="BQ22" s="1438"/>
      <c r="BR22" s="1443"/>
      <c r="BS22" s="1443"/>
      <c r="BT22" s="1440"/>
      <c r="BU22" s="1441"/>
      <c r="BW22" s="1444">
        <v>44160</v>
      </c>
      <c r="BX22" s="1445" t="s">
        <v>11777</v>
      </c>
      <c r="BY22" s="1446" t="s">
        <v>11679</v>
      </c>
      <c r="BZ22" s="1447"/>
      <c r="CA22" s="1447"/>
      <c r="CB22" s="1447"/>
      <c r="CC22" s="1447">
        <v>20000</v>
      </c>
      <c r="CD22" s="700"/>
      <c r="CE22" s="700"/>
      <c r="CF22" s="1449"/>
      <c r="CG22" s="1330"/>
      <c r="CH22" s="1455">
        <v>44578</v>
      </c>
      <c r="CI22" s="1453" t="s">
        <v>11778</v>
      </c>
      <c r="CJ22" s="1498" t="s">
        <v>11684</v>
      </c>
      <c r="CK22" s="719">
        <v>3000</v>
      </c>
      <c r="CL22" s="1494"/>
      <c r="CM22" s="1494"/>
      <c r="CN22" s="1495"/>
      <c r="CP22" s="1455">
        <v>44643</v>
      </c>
      <c r="CQ22" s="1456" t="s">
        <v>11779</v>
      </c>
      <c r="CR22" s="1457" t="s">
        <v>11684</v>
      </c>
      <c r="CS22" s="1443"/>
      <c r="CT22" s="1443"/>
      <c r="CU22" s="1443"/>
      <c r="CV22" s="1443"/>
      <c r="CW22" s="1443"/>
      <c r="CX22" s="1443"/>
      <c r="CY22" s="1443"/>
      <c r="CZ22" s="1443"/>
      <c r="DA22" s="700"/>
      <c r="DB22" s="1443">
        <v>5102</v>
      </c>
      <c r="DC22" s="1443"/>
      <c r="DD22" s="1440"/>
      <c r="DE22" s="5464" t="s">
        <v>11780</v>
      </c>
      <c r="DG22" s="1455">
        <v>45039</v>
      </c>
      <c r="DH22" s="1467">
        <v>1000014036</v>
      </c>
      <c r="DI22" s="135" t="s">
        <v>11685</v>
      </c>
      <c r="DJ22" s="718"/>
      <c r="DK22" s="718"/>
      <c r="DL22" s="718"/>
      <c r="DM22" s="718"/>
      <c r="DN22" s="1464">
        <v>40000</v>
      </c>
      <c r="DO22" s="1464"/>
      <c r="DP22" s="1465"/>
      <c r="DQ22" s="1481"/>
      <c r="DR22" s="1481"/>
      <c r="DS22" s="718"/>
      <c r="DT22" s="718"/>
      <c r="DU22" s="718"/>
      <c r="DV22" s="718"/>
      <c r="DW22" s="1496"/>
      <c r="DX22" s="718"/>
      <c r="DY22" s="718"/>
      <c r="DZ22" s="718"/>
      <c r="EA22" s="718"/>
      <c r="EB22" s="718"/>
      <c r="EC22" s="1468"/>
      <c r="ED22" s="1468"/>
      <c r="EE22" s="1458"/>
      <c r="EF22" s="1461"/>
      <c r="EG22" s="1499"/>
      <c r="EH22" s="1499"/>
      <c r="EI22" s="1455">
        <v>45232</v>
      </c>
      <c r="EJ22" s="1500">
        <v>1000017049</v>
      </c>
      <c r="EK22" s="1496" t="s">
        <v>11686</v>
      </c>
      <c r="EL22" s="1501">
        <v>100000</v>
      </c>
      <c r="EM22" s="1501"/>
      <c r="EN22" s="1501"/>
      <c r="EO22" s="1496"/>
      <c r="EP22" s="1496"/>
      <c r="EQ22" s="1496"/>
      <c r="ER22" s="1496"/>
      <c r="ES22" s="1496"/>
      <c r="ET22" s="1496"/>
      <c r="EU22" s="1496"/>
      <c r="EV22" s="1496"/>
      <c r="EW22" s="1496"/>
      <c r="EX22" s="1496"/>
      <c r="EY22" s="1496"/>
      <c r="EZ22" s="1496"/>
      <c r="FA22" s="1496"/>
      <c r="FB22" s="1496"/>
      <c r="FC22" s="1502"/>
      <c r="FD22" s="1471"/>
      <c r="FH22" s="1455">
        <v>45390</v>
      </c>
      <c r="FI22" s="1467">
        <v>1000019400</v>
      </c>
      <c r="FJ22" s="700"/>
      <c r="FK22" s="700"/>
      <c r="FL22" s="700"/>
      <c r="FM22" s="700"/>
      <c r="FN22" s="700"/>
      <c r="FO22" s="700"/>
      <c r="FP22" s="700"/>
      <c r="FQ22" s="1464">
        <v>15000</v>
      </c>
      <c r="FR22" s="1464"/>
      <c r="FS22" s="700"/>
      <c r="FT22" s="1475"/>
      <c r="FU22" s="1475"/>
      <c r="FV22" s="700"/>
      <c r="FW22" s="700"/>
      <c r="FX22" s="1448"/>
      <c r="FY22" s="1469"/>
      <c r="GC22" s="1472">
        <v>45870</v>
      </c>
      <c r="GD22" s="721">
        <v>1000030670</v>
      </c>
      <c r="GE22" s="721" t="s">
        <v>11687</v>
      </c>
      <c r="GF22" s="721">
        <v>50000</v>
      </c>
      <c r="GG22" s="721"/>
      <c r="GH22" s="721"/>
      <c r="GI22" s="721"/>
      <c r="GJ22" s="1473"/>
      <c r="GK22" s="1474"/>
    </row>
    <row r="23" s="1329" customFormat="1" ht="24" customHeight="1" spans="2:193">
      <c r="B23" s="1435">
        <v>43656</v>
      </c>
      <c r="C23" s="1436" t="s">
        <v>11781</v>
      </c>
      <c r="D23" s="1437" t="s">
        <v>11679</v>
      </c>
      <c r="E23" s="1438"/>
      <c r="F23" s="1447"/>
      <c r="G23" s="1447"/>
      <c r="H23" s="1447">
        <v>150000</v>
      </c>
      <c r="I23" s="1490"/>
      <c r="J23" s="1448"/>
      <c r="K23" s="1448"/>
      <c r="L23" s="1448"/>
      <c r="M23" s="1448"/>
      <c r="N23" s="1448"/>
      <c r="O23" s="1448"/>
      <c r="P23" s="1448"/>
      <c r="Q23" s="1441"/>
      <c r="S23" s="1442">
        <v>43908</v>
      </c>
      <c r="T23" s="1443" t="s">
        <v>11782</v>
      </c>
      <c r="U23" s="1443" t="s">
        <v>11679</v>
      </c>
      <c r="V23" s="1443"/>
      <c r="W23" s="1443"/>
      <c r="X23" s="1443">
        <v>134380</v>
      </c>
      <c r="Y23" s="1443"/>
      <c r="Z23" s="1443"/>
      <c r="AA23" s="1443"/>
      <c r="AB23" s="1443"/>
      <c r="AC23" s="1443"/>
      <c r="AD23" s="1443"/>
      <c r="AE23" s="1443"/>
      <c r="AF23" s="1443"/>
      <c r="AG23" s="1443"/>
      <c r="AH23" s="1443"/>
      <c r="AI23" s="1443"/>
      <c r="AK23" s="1444">
        <v>44253</v>
      </c>
      <c r="AL23" s="1445" t="s">
        <v>11783</v>
      </c>
      <c r="AM23" s="1446" t="s">
        <v>11679</v>
      </c>
      <c r="AN23" s="1447"/>
      <c r="AO23" s="1447"/>
      <c r="AP23" s="1447"/>
      <c r="AQ23" s="1447"/>
      <c r="AR23" s="700">
        <v>20000</v>
      </c>
      <c r="AS23" s="700"/>
      <c r="AT23" s="700"/>
      <c r="AU23" s="1448"/>
      <c r="AV23" s="1448"/>
      <c r="AW23" s="1448"/>
      <c r="AX23" s="1448"/>
      <c r="AY23" s="1448"/>
      <c r="AZ23" s="1448"/>
      <c r="BA23" s="1449"/>
      <c r="BM23" s="1503"/>
      <c r="BN23" s="1436"/>
      <c r="BO23" s="1437"/>
      <c r="BP23" s="1438"/>
      <c r="BQ23" s="1438"/>
      <c r="BR23" s="1443"/>
      <c r="BS23" s="1443"/>
      <c r="BT23" s="1440"/>
      <c r="BU23" s="1441"/>
      <c r="BW23" s="1444">
        <v>44160</v>
      </c>
      <c r="BX23" s="1445" t="s">
        <v>11784</v>
      </c>
      <c r="BY23" s="1446" t="s">
        <v>11679</v>
      </c>
      <c r="BZ23" s="1447"/>
      <c r="CA23" s="1447"/>
      <c r="CB23" s="1447"/>
      <c r="CC23" s="1447"/>
      <c r="CD23" s="700">
        <v>5000</v>
      </c>
      <c r="CE23" s="700"/>
      <c r="CF23" s="1449"/>
      <c r="CG23" s="1330"/>
      <c r="CH23" s="1455">
        <v>44578</v>
      </c>
      <c r="CI23" s="1453" t="s">
        <v>11785</v>
      </c>
      <c r="CJ23" s="1498" t="s">
        <v>11684</v>
      </c>
      <c r="CK23" s="719"/>
      <c r="CL23" s="719">
        <v>14000</v>
      </c>
      <c r="CM23" s="1494"/>
      <c r="CN23" s="1495"/>
      <c r="CP23" s="1455">
        <v>44641</v>
      </c>
      <c r="CQ23" s="1456">
        <v>1000010199</v>
      </c>
      <c r="CR23" s="1457" t="s">
        <v>11684</v>
      </c>
      <c r="CS23" s="1443">
        <v>150000</v>
      </c>
      <c r="CT23" s="1443"/>
      <c r="CU23" s="1443"/>
      <c r="CV23" s="1443"/>
      <c r="CW23" s="1443"/>
      <c r="CX23" s="1443"/>
      <c r="CY23" s="1443"/>
      <c r="CZ23" s="1443"/>
      <c r="DA23" s="700"/>
      <c r="DB23" s="1443"/>
      <c r="DC23" s="1443"/>
      <c r="DD23" s="1440"/>
      <c r="DE23" s="1482"/>
      <c r="DG23" s="1455">
        <v>45039</v>
      </c>
      <c r="DH23" s="1467">
        <v>1000014037</v>
      </c>
      <c r="DI23" s="135" t="s">
        <v>11685</v>
      </c>
      <c r="DJ23" s="718"/>
      <c r="DK23" s="718"/>
      <c r="DL23" s="718"/>
      <c r="DM23" s="718"/>
      <c r="DN23" s="718"/>
      <c r="DO23" s="718"/>
      <c r="DP23" s="1481"/>
      <c r="DQ23" s="1465">
        <v>200000</v>
      </c>
      <c r="DR23" s="1465"/>
      <c r="DS23" s="718"/>
      <c r="DT23" s="718"/>
      <c r="DU23" s="718"/>
      <c r="DV23" s="718"/>
      <c r="DW23" s="1496"/>
      <c r="DX23" s="718"/>
      <c r="DY23" s="718"/>
      <c r="DZ23" s="718"/>
      <c r="EA23" s="718"/>
      <c r="EB23" s="718"/>
      <c r="EC23" s="1468"/>
      <c r="ED23" s="1468"/>
      <c r="EE23" s="1458"/>
      <c r="EF23" s="1461"/>
      <c r="EG23" s="1499"/>
      <c r="EH23" s="1499"/>
      <c r="EI23" s="1455">
        <v>45232</v>
      </c>
      <c r="EJ23" s="1500">
        <v>1000017050</v>
      </c>
      <c r="EK23" s="1496" t="s">
        <v>11686</v>
      </c>
      <c r="EL23" s="1496"/>
      <c r="EM23" s="1496"/>
      <c r="EN23" s="1496"/>
      <c r="EO23" s="1496"/>
      <c r="EP23" s="1496"/>
      <c r="EQ23" s="1496"/>
      <c r="ER23" s="1501">
        <v>100000</v>
      </c>
      <c r="ES23" s="1501"/>
      <c r="ET23" s="1496"/>
      <c r="EU23" s="1496"/>
      <c r="EV23" s="1496"/>
      <c r="EW23" s="1496"/>
      <c r="EX23" s="1496"/>
      <c r="EY23" s="1496"/>
      <c r="EZ23" s="1496"/>
      <c r="FA23" s="1496"/>
      <c r="FB23" s="1496"/>
      <c r="FC23" s="1502"/>
      <c r="FD23" s="1471"/>
      <c r="FH23" s="1455">
        <v>45390</v>
      </c>
      <c r="FI23" s="1467">
        <v>1000019401</v>
      </c>
      <c r="FJ23" s="700"/>
      <c r="FK23" s="700"/>
      <c r="FL23" s="700"/>
      <c r="FM23" s="700"/>
      <c r="FN23" s="700"/>
      <c r="FO23" s="700"/>
      <c r="FP23" s="700"/>
      <c r="FQ23" s="700"/>
      <c r="FR23" s="1464">
        <v>20000</v>
      </c>
      <c r="FS23" s="700"/>
      <c r="FT23" s="1475"/>
      <c r="FU23" s="1475"/>
      <c r="FV23" s="1464"/>
      <c r="FW23" s="700"/>
      <c r="FX23" s="1448"/>
      <c r="FY23" s="1469"/>
      <c r="GC23" s="1472">
        <v>45870</v>
      </c>
      <c r="GD23" s="721">
        <v>1000030671</v>
      </c>
      <c r="GE23" s="721" t="s">
        <v>11687</v>
      </c>
      <c r="GF23" s="721"/>
      <c r="GG23" s="721">
        <v>30000</v>
      </c>
      <c r="GH23" s="721"/>
      <c r="GI23" s="721"/>
      <c r="GJ23" s="1473"/>
      <c r="GK23" s="1474"/>
    </row>
    <row r="24" s="1329" customFormat="1" ht="24" customHeight="1" spans="2:193">
      <c r="B24" s="1435">
        <v>43656</v>
      </c>
      <c r="C24" s="1479" t="s">
        <v>11786</v>
      </c>
      <c r="D24" s="1437" t="s">
        <v>11679</v>
      </c>
      <c r="E24" s="1438"/>
      <c r="F24" s="1447"/>
      <c r="G24" s="1447"/>
      <c r="H24" s="1447"/>
      <c r="I24" s="1490"/>
      <c r="J24" s="1448"/>
      <c r="K24" s="1448"/>
      <c r="L24" s="1448"/>
      <c r="M24" s="1448">
        <v>10500</v>
      </c>
      <c r="N24" s="1448"/>
      <c r="O24" s="1448"/>
      <c r="P24" s="1448"/>
      <c r="Q24" s="1441"/>
      <c r="S24" s="1442">
        <v>43908</v>
      </c>
      <c r="T24" s="1443" t="s">
        <v>11787</v>
      </c>
      <c r="U24" s="1443" t="s">
        <v>11679</v>
      </c>
      <c r="V24" s="1443"/>
      <c r="W24" s="1443"/>
      <c r="X24" s="1443"/>
      <c r="Y24" s="1443">
        <v>167532</v>
      </c>
      <c r="Z24" s="1443"/>
      <c r="AA24" s="1443"/>
      <c r="AB24" s="1443"/>
      <c r="AC24" s="1443"/>
      <c r="AD24" s="1443"/>
      <c r="AE24" s="1443"/>
      <c r="AF24" s="1443"/>
      <c r="AG24" s="1443"/>
      <c r="AH24" s="1443"/>
      <c r="AI24" s="1443"/>
      <c r="AK24" s="1444">
        <v>44253</v>
      </c>
      <c r="AL24" s="1445" t="s">
        <v>11788</v>
      </c>
      <c r="AM24" s="1446" t="s">
        <v>11679</v>
      </c>
      <c r="AN24" s="1447"/>
      <c r="AO24" s="1447"/>
      <c r="AP24" s="1447"/>
      <c r="AQ24" s="1447"/>
      <c r="AR24" s="700"/>
      <c r="AS24" s="700"/>
      <c r="AT24" s="700">
        <v>20000</v>
      </c>
      <c r="AU24" s="1448"/>
      <c r="AV24" s="1448"/>
      <c r="AW24" s="1448"/>
      <c r="AX24" s="1448"/>
      <c r="AY24" s="1448"/>
      <c r="AZ24" s="1448"/>
      <c r="BA24" s="1449"/>
      <c r="BM24" s="1504"/>
      <c r="BN24" s="1505"/>
      <c r="BO24" s="1506" t="s">
        <v>11789</v>
      </c>
      <c r="BP24" s="1507">
        <f>SUM(BP5:BP23)</f>
        <v>230000</v>
      </c>
      <c r="BQ24" s="1507">
        <f>SUM(BQ5:BQ23)</f>
        <v>220000</v>
      </c>
      <c r="BR24" s="1507">
        <f>SUM(BR5:BR23)</f>
        <v>60000</v>
      </c>
      <c r="BS24" s="1507">
        <f>SUM(BS5:BS23)</f>
        <v>50000</v>
      </c>
      <c r="BT24" s="1508"/>
      <c r="BU24" s="1509">
        <f>SUM(BU5:BU23)</f>
        <v>243300</v>
      </c>
      <c r="BW24" s="1444">
        <v>44160</v>
      </c>
      <c r="BX24" s="1445" t="s">
        <v>11790</v>
      </c>
      <c r="BY24" s="1446" t="s">
        <v>11679</v>
      </c>
      <c r="BZ24" s="1447"/>
      <c r="CA24" s="1447"/>
      <c r="CB24" s="1447"/>
      <c r="CC24" s="1447"/>
      <c r="CD24" s="700"/>
      <c r="CE24" s="700"/>
      <c r="CF24" s="1449">
        <v>6000</v>
      </c>
      <c r="CG24" s="1510"/>
      <c r="CH24" s="1455">
        <v>44578</v>
      </c>
      <c r="CI24" s="1453" t="s">
        <v>11791</v>
      </c>
      <c r="CJ24" s="1498" t="s">
        <v>11684</v>
      </c>
      <c r="CK24" s="719"/>
      <c r="CL24" s="1494"/>
      <c r="CM24" s="719">
        <v>3000</v>
      </c>
      <c r="CN24" s="1495"/>
      <c r="CP24" s="1455">
        <v>44641</v>
      </c>
      <c r="CQ24" s="1456">
        <v>1000010207</v>
      </c>
      <c r="CR24" s="1457" t="s">
        <v>11684</v>
      </c>
      <c r="CS24" s="1443"/>
      <c r="CT24" s="1443">
        <v>150000</v>
      </c>
      <c r="CU24" s="1443"/>
      <c r="CV24" s="1443"/>
      <c r="CW24" s="1443"/>
      <c r="CX24" s="1443"/>
      <c r="CY24" s="1443"/>
      <c r="CZ24" s="1443"/>
      <c r="DA24" s="700"/>
      <c r="DB24" s="1443"/>
      <c r="DC24" s="1443"/>
      <c r="DD24" s="1440"/>
      <c r="DE24" s="1482"/>
      <c r="DG24" s="1455">
        <v>45039</v>
      </c>
      <c r="DH24" s="1467">
        <v>1000014038</v>
      </c>
      <c r="DI24" s="135" t="s">
        <v>11685</v>
      </c>
      <c r="DJ24" s="718"/>
      <c r="DK24" s="718"/>
      <c r="DL24" s="718"/>
      <c r="DM24" s="718"/>
      <c r="DN24" s="718"/>
      <c r="DO24" s="718"/>
      <c r="DP24" s="1481"/>
      <c r="DQ24" s="1481"/>
      <c r="DR24" s="1481"/>
      <c r="DS24" s="1464">
        <v>10000</v>
      </c>
      <c r="DT24" s="718"/>
      <c r="DU24" s="718"/>
      <c r="DV24" s="718"/>
      <c r="DW24" s="1496"/>
      <c r="DX24" s="718"/>
      <c r="DY24" s="718"/>
      <c r="DZ24" s="718"/>
      <c r="EA24" s="718"/>
      <c r="EB24" s="718"/>
      <c r="EC24" s="1468"/>
      <c r="ED24" s="1468"/>
      <c r="EE24" s="1485"/>
      <c r="EF24" s="1461"/>
      <c r="EG24" s="1499"/>
      <c r="EH24" s="1499"/>
      <c r="EI24" s="1455">
        <v>45232</v>
      </c>
      <c r="EJ24" s="1500">
        <v>1000017051</v>
      </c>
      <c r="EK24" s="1496" t="s">
        <v>11686</v>
      </c>
      <c r="EL24" s="1496"/>
      <c r="EM24" s="1496"/>
      <c r="EN24" s="1496"/>
      <c r="EO24" s="1496"/>
      <c r="EP24" s="1496"/>
      <c r="EQ24" s="1496"/>
      <c r="ER24" s="1496"/>
      <c r="ES24" s="1496"/>
      <c r="ET24" s="1501">
        <v>10000</v>
      </c>
      <c r="EU24" s="1501"/>
      <c r="EV24" s="1496"/>
      <c r="EW24" s="1496"/>
      <c r="EX24" s="1496"/>
      <c r="EY24" s="1496"/>
      <c r="EZ24" s="1496"/>
      <c r="FA24" s="1496"/>
      <c r="FB24" s="1496"/>
      <c r="FC24" s="1502"/>
      <c r="FD24" s="1471"/>
      <c r="FH24" s="1455">
        <v>45390</v>
      </c>
      <c r="FI24" s="700"/>
      <c r="FJ24" s="700"/>
      <c r="FK24" s="700"/>
      <c r="FL24" s="700"/>
      <c r="FM24" s="700"/>
      <c r="FN24" s="700"/>
      <c r="FO24" s="700"/>
      <c r="FP24" s="700"/>
      <c r="FQ24" s="700"/>
      <c r="FR24" s="700"/>
      <c r="FS24" s="700">
        <v>12068</v>
      </c>
      <c r="FT24" s="1475"/>
      <c r="FU24" s="1475"/>
      <c r="FV24" s="700"/>
      <c r="FW24" s="700"/>
      <c r="FX24" s="1448"/>
      <c r="FY24" s="1469" t="s">
        <v>11792</v>
      </c>
      <c r="FZ24" s="1329">
        <f>FS24-12068</f>
        <v>0</v>
      </c>
      <c r="GC24" s="1472">
        <v>45870</v>
      </c>
      <c r="GD24" s="721">
        <v>1000030672</v>
      </c>
      <c r="GE24" s="721" t="s">
        <v>11687</v>
      </c>
      <c r="GF24" s="721"/>
      <c r="GG24" s="721"/>
      <c r="GH24" s="721">
        <v>80000</v>
      </c>
      <c r="GI24" s="721"/>
      <c r="GJ24" s="1473"/>
      <c r="GK24" s="1474"/>
    </row>
    <row r="25" s="1329" customFormat="1" ht="24" customHeight="1" spans="2:193">
      <c r="B25" s="1435">
        <v>43656</v>
      </c>
      <c r="C25" s="1436" t="s">
        <v>11793</v>
      </c>
      <c r="D25" s="1437" t="s">
        <v>11679</v>
      </c>
      <c r="E25" s="1438"/>
      <c r="F25" s="1447"/>
      <c r="G25" s="1447"/>
      <c r="H25" s="1447"/>
      <c r="I25" s="1490">
        <v>350000</v>
      </c>
      <c r="J25" s="1448"/>
      <c r="K25" s="1448"/>
      <c r="L25" s="1448"/>
      <c r="M25" s="1448"/>
      <c r="N25" s="1448"/>
      <c r="O25" s="1448"/>
      <c r="P25" s="1448"/>
      <c r="Q25" s="1441"/>
      <c r="S25" s="1442">
        <v>43908</v>
      </c>
      <c r="T25" s="1443" t="s">
        <v>11794</v>
      </c>
      <c r="U25" s="1443" t="s">
        <v>11679</v>
      </c>
      <c r="V25" s="1443"/>
      <c r="W25" s="1443"/>
      <c r="X25" s="1443"/>
      <c r="Y25" s="1443"/>
      <c r="Z25" s="1443"/>
      <c r="AA25" s="1443">
        <v>18352</v>
      </c>
      <c r="AB25" s="1443"/>
      <c r="AC25" s="1443"/>
      <c r="AD25" s="1443"/>
      <c r="AE25" s="1443"/>
      <c r="AF25" s="1443"/>
      <c r="AG25" s="1443"/>
      <c r="AH25" s="1443"/>
      <c r="AI25" s="1443"/>
      <c r="AK25" s="1444">
        <v>44295</v>
      </c>
      <c r="AL25" s="1445" t="s">
        <v>11795</v>
      </c>
      <c r="AM25" s="1446" t="s">
        <v>11679</v>
      </c>
      <c r="AN25" s="1447">
        <v>350000</v>
      </c>
      <c r="AO25" s="1447"/>
      <c r="AP25" s="1447"/>
      <c r="AQ25" s="1447"/>
      <c r="AR25" s="700"/>
      <c r="AS25" s="700"/>
      <c r="AT25" s="700"/>
      <c r="AU25" s="1448"/>
      <c r="AV25" s="1448"/>
      <c r="AW25" s="1448"/>
      <c r="AX25" s="1448"/>
      <c r="AY25" s="1448"/>
      <c r="AZ25" s="1448"/>
      <c r="BA25" s="1449"/>
      <c r="BM25" s="1511" t="s">
        <v>11796</v>
      </c>
      <c r="BN25" s="1505"/>
      <c r="BO25" s="1512"/>
      <c r="BP25" s="1513" t="e">
        <f>#REF!</f>
        <v>#REF!</v>
      </c>
      <c r="BQ25" s="1513" t="e">
        <f>#REF!</f>
        <v>#REF!</v>
      </c>
      <c r="BR25" s="1513" t="e">
        <f>#REF!</f>
        <v>#REF!</v>
      </c>
      <c r="BS25" s="1513" t="e">
        <f>#REF!</f>
        <v>#REF!</v>
      </c>
      <c r="BT25" s="1514"/>
      <c r="BU25" s="1515" t="e">
        <f>#REF!</f>
        <v>#REF!</v>
      </c>
      <c r="BW25" s="1444">
        <v>44253</v>
      </c>
      <c r="BX25" s="1445">
        <v>1000006714</v>
      </c>
      <c r="BY25" s="1446" t="s">
        <v>11679</v>
      </c>
      <c r="BZ25" s="1447"/>
      <c r="CA25" s="1447">
        <v>8436</v>
      </c>
      <c r="CB25" s="1447"/>
      <c r="CC25" s="1447"/>
      <c r="CD25" s="700"/>
      <c r="CE25" s="700"/>
      <c r="CF25" s="1449"/>
      <c r="CG25" s="1516"/>
      <c r="CH25" s="1455">
        <v>44578</v>
      </c>
      <c r="CI25" s="1453" t="s">
        <v>11797</v>
      </c>
      <c r="CJ25" s="1498" t="s">
        <v>11684</v>
      </c>
      <c r="CK25" s="719"/>
      <c r="CL25" s="1494"/>
      <c r="CM25" s="1494"/>
      <c r="CN25" s="1480">
        <v>3000</v>
      </c>
      <c r="CP25" s="1455">
        <v>44650</v>
      </c>
      <c r="CQ25" s="1456" t="s">
        <v>11798</v>
      </c>
      <c r="CR25" s="1457" t="s">
        <v>11684</v>
      </c>
      <c r="CS25" s="1443"/>
      <c r="CT25" s="1443"/>
      <c r="CU25" s="1443"/>
      <c r="CV25" s="1443"/>
      <c r="CW25" s="1443"/>
      <c r="CX25" s="1443"/>
      <c r="CY25" s="1443"/>
      <c r="CZ25" s="1443"/>
      <c r="DA25" s="700">
        <v>4640</v>
      </c>
      <c r="DB25" s="1443"/>
      <c r="DC25" s="1443"/>
      <c r="DD25" s="1440"/>
      <c r="DE25" s="1482" t="s">
        <v>11799</v>
      </c>
      <c r="DG25" s="1455">
        <v>45041</v>
      </c>
      <c r="DH25" s="700">
        <v>1000014105</v>
      </c>
      <c r="DI25" s="135" t="s">
        <v>11739</v>
      </c>
      <c r="DJ25" s="718"/>
      <c r="DK25" s="718"/>
      <c r="DL25" s="718"/>
      <c r="DM25" s="718"/>
      <c r="DN25" s="718"/>
      <c r="DO25" s="718"/>
      <c r="DP25" s="1481"/>
      <c r="DQ25" s="1481"/>
      <c r="DR25" s="1481"/>
      <c r="DS25" s="718"/>
      <c r="DT25" s="718"/>
      <c r="DU25" s="718"/>
      <c r="DV25" s="718"/>
      <c r="DW25" s="1475">
        <v>20736</v>
      </c>
      <c r="DX25" s="718"/>
      <c r="DY25" s="718"/>
      <c r="DZ25" s="718"/>
      <c r="EA25" s="718"/>
      <c r="EB25" s="718"/>
      <c r="EC25" s="1468"/>
      <c r="ED25" s="1468"/>
      <c r="EE25" s="1485" t="s">
        <v>11800</v>
      </c>
      <c r="EF25" s="1461"/>
      <c r="EG25" s="1499"/>
      <c r="EH25" s="1499"/>
      <c r="EI25" s="1455">
        <v>45232</v>
      </c>
      <c r="EJ25" s="1500">
        <v>1000017052</v>
      </c>
      <c r="EK25" s="1496" t="s">
        <v>11686</v>
      </c>
      <c r="EL25" s="1496"/>
      <c r="EM25" s="1496"/>
      <c r="EN25" s="1496"/>
      <c r="EO25" s="1496"/>
      <c r="EP25" s="1496"/>
      <c r="EQ25" s="1496"/>
      <c r="ER25" s="1496"/>
      <c r="ES25" s="1496"/>
      <c r="ET25" s="1496"/>
      <c r="EU25" s="1496"/>
      <c r="EV25" s="1496"/>
      <c r="EW25" s="1496"/>
      <c r="EX25" s="1496"/>
      <c r="EY25" s="1496"/>
      <c r="EZ25" s="1496"/>
      <c r="FA25" s="1501">
        <v>300</v>
      </c>
      <c r="FB25" s="1496"/>
      <c r="FC25" s="1502"/>
      <c r="FD25" s="1471"/>
      <c r="FH25" s="1455">
        <v>45406</v>
      </c>
      <c r="FI25" s="700">
        <v>1000019821</v>
      </c>
      <c r="FJ25" s="700"/>
      <c r="FK25" s="700"/>
      <c r="FL25" s="700"/>
      <c r="FM25" s="700"/>
      <c r="FN25" s="700"/>
      <c r="FO25" s="700"/>
      <c r="FP25" s="700"/>
      <c r="FQ25" s="700"/>
      <c r="FR25" s="700"/>
      <c r="FS25" s="700"/>
      <c r="FT25" s="1475"/>
      <c r="FU25" s="1475">
        <v>14366</v>
      </c>
      <c r="FV25" s="700"/>
      <c r="FW25" s="700"/>
      <c r="FX25" s="1448"/>
      <c r="FY25" s="1469" t="s">
        <v>11801</v>
      </c>
      <c r="GC25" s="1472">
        <v>46167</v>
      </c>
      <c r="GD25" s="721">
        <v>1000040514</v>
      </c>
      <c r="GE25" s="721" t="s">
        <v>11687</v>
      </c>
      <c r="GF25" s="1517">
        <v>30000</v>
      </c>
      <c r="GG25" s="1517"/>
      <c r="GH25" s="1517"/>
      <c r="GI25" s="721"/>
      <c r="GJ25" s="1473"/>
      <c r="GK25" s="1474"/>
    </row>
    <row r="26" s="1329" customFormat="1" ht="24" customHeight="1" spans="2:193">
      <c r="B26" s="1435">
        <v>43662</v>
      </c>
      <c r="C26" s="1479" t="s">
        <v>11744</v>
      </c>
      <c r="D26" s="1437" t="s">
        <v>11679</v>
      </c>
      <c r="E26" s="1438"/>
      <c r="F26" s="1447"/>
      <c r="G26" s="1447"/>
      <c r="H26" s="1447"/>
      <c r="I26" s="1490"/>
      <c r="J26" s="1448"/>
      <c r="K26" s="1448"/>
      <c r="L26" s="1448"/>
      <c r="M26" s="1448"/>
      <c r="N26" s="1448"/>
      <c r="O26" s="1448"/>
      <c r="P26" s="1448">
        <v>500</v>
      </c>
      <c r="Q26" s="1441"/>
      <c r="S26" s="1442">
        <v>43920</v>
      </c>
      <c r="T26" s="1443" t="s">
        <v>11802</v>
      </c>
      <c r="U26" s="1443" t="s">
        <v>11679</v>
      </c>
      <c r="V26" s="1443"/>
      <c r="W26" s="1443"/>
      <c r="X26" s="1443"/>
      <c r="Y26" s="1443"/>
      <c r="Z26" s="1443"/>
      <c r="AA26" s="1443"/>
      <c r="AB26" s="1443">
        <v>30000</v>
      </c>
      <c r="AC26" s="1443"/>
      <c r="AD26" s="1443"/>
      <c r="AE26" s="1443"/>
      <c r="AF26" s="1443"/>
      <c r="AG26" s="1443"/>
      <c r="AH26" s="1443"/>
      <c r="AI26" s="1443"/>
      <c r="AK26" s="1444">
        <v>44295</v>
      </c>
      <c r="AL26" s="1445" t="s">
        <v>11803</v>
      </c>
      <c r="AM26" s="1446" t="s">
        <v>11679</v>
      </c>
      <c r="AN26" s="1447"/>
      <c r="AO26" s="1447"/>
      <c r="AP26" s="1447">
        <v>330000</v>
      </c>
      <c r="AQ26" s="1447"/>
      <c r="AR26" s="700"/>
      <c r="AS26" s="700"/>
      <c r="AT26" s="700"/>
      <c r="AU26" s="1448"/>
      <c r="AV26" s="1448"/>
      <c r="AW26" s="1448"/>
      <c r="AX26" s="1448"/>
      <c r="AY26" s="1448"/>
      <c r="AZ26" s="1448"/>
      <c r="BA26" s="1449"/>
      <c r="BM26" s="1511" t="s">
        <v>11804</v>
      </c>
      <c r="BN26" s="1505"/>
      <c r="BO26" s="1512"/>
      <c r="BP26" s="1513">
        <f>樣板單!BE322</f>
        <v>127</v>
      </c>
      <c r="BQ26" s="1513">
        <f>樣板單!BF322</f>
        <v>106</v>
      </c>
      <c r="BR26" s="1513">
        <f>樣板單!BG322</f>
        <v>31</v>
      </c>
      <c r="BS26" s="1513">
        <f>樣板單!BH322</f>
        <v>30</v>
      </c>
      <c r="BT26" s="1514"/>
      <c r="BU26" s="1515"/>
      <c r="BW26" s="1444">
        <v>44333</v>
      </c>
      <c r="BX26" s="1445" t="s">
        <v>11805</v>
      </c>
      <c r="BY26" s="1446" t="s">
        <v>11683</v>
      </c>
      <c r="BZ26" s="1447">
        <v>12000</v>
      </c>
      <c r="CA26" s="1447"/>
      <c r="CB26" s="1447"/>
      <c r="CC26" s="1447"/>
      <c r="CD26" s="700"/>
      <c r="CE26" s="700"/>
      <c r="CF26" s="1449"/>
      <c r="CG26" s="1516"/>
      <c r="CH26" s="1518">
        <v>44664</v>
      </c>
      <c r="CI26" s="1519">
        <v>1000010402</v>
      </c>
      <c r="CJ26" s="1498" t="s">
        <v>11684</v>
      </c>
      <c r="CK26" s="719"/>
      <c r="CL26" s="1464">
        <v>10000</v>
      </c>
      <c r="CM26" s="1494"/>
      <c r="CN26" s="1480"/>
      <c r="CP26" s="1455">
        <v>44664</v>
      </c>
      <c r="CQ26" s="1456">
        <v>1000010396</v>
      </c>
      <c r="CR26" s="1457" t="s">
        <v>11684</v>
      </c>
      <c r="CS26" s="1443">
        <v>150000</v>
      </c>
      <c r="CT26" s="1443"/>
      <c r="CU26" s="1443"/>
      <c r="CV26" s="1443"/>
      <c r="CW26" s="1443"/>
      <c r="CX26" s="1443"/>
      <c r="CY26" s="1443"/>
      <c r="CZ26" s="1443"/>
      <c r="DA26" s="700"/>
      <c r="DB26" s="1443"/>
      <c r="DC26" s="1443"/>
      <c r="DD26" s="1440"/>
      <c r="DE26" s="1482"/>
      <c r="DG26" s="1455">
        <v>45056</v>
      </c>
      <c r="DH26" s="1459">
        <v>1000014346</v>
      </c>
      <c r="DI26" s="135" t="s">
        <v>11685</v>
      </c>
      <c r="DJ26" s="1496">
        <v>100000</v>
      </c>
      <c r="DK26" s="1496"/>
      <c r="DL26" s="1496"/>
      <c r="DM26" s="1496"/>
      <c r="DN26" s="1496"/>
      <c r="DO26" s="1496"/>
      <c r="DP26" s="1520"/>
      <c r="DQ26" s="1520"/>
      <c r="DR26" s="1520"/>
      <c r="DS26" s="1496"/>
      <c r="DT26" s="1496"/>
      <c r="DU26" s="1496"/>
      <c r="DV26" s="1496"/>
      <c r="DW26" s="1496"/>
      <c r="DX26" s="1496"/>
      <c r="DY26" s="1496"/>
      <c r="DZ26" s="1496"/>
      <c r="EA26" s="1496"/>
      <c r="EB26" s="1496"/>
      <c r="EC26" s="1521"/>
      <c r="ED26" s="1521"/>
      <c r="EE26" s="1463"/>
      <c r="EF26" s="1461"/>
      <c r="EG26" s="1461"/>
      <c r="EH26" s="1461"/>
      <c r="EI26" s="1455">
        <v>45254</v>
      </c>
      <c r="EJ26" s="1467">
        <v>1000017456</v>
      </c>
      <c r="EK26" s="700" t="s">
        <v>11686</v>
      </c>
      <c r="EL26" s="1496">
        <v>100000</v>
      </c>
      <c r="EM26" s="1496"/>
      <c r="EN26" s="1496"/>
      <c r="EO26" s="1496"/>
      <c r="EP26" s="1496"/>
      <c r="EQ26" s="1496"/>
      <c r="ER26" s="1496"/>
      <c r="ES26" s="1496"/>
      <c r="ET26" s="1496"/>
      <c r="EU26" s="1496"/>
      <c r="EV26" s="1496"/>
      <c r="EW26" s="1496"/>
      <c r="EX26" s="1496"/>
      <c r="EY26" s="1496"/>
      <c r="EZ26" s="1496"/>
      <c r="FA26" s="1501"/>
      <c r="FB26" s="1496"/>
      <c r="FC26" s="1502"/>
      <c r="FD26" s="1471"/>
      <c r="FH26" s="1455">
        <v>45406</v>
      </c>
      <c r="FI26" s="700"/>
      <c r="FJ26" s="700"/>
      <c r="FK26" s="700"/>
      <c r="FL26" s="700"/>
      <c r="FM26" s="700"/>
      <c r="FN26" s="700"/>
      <c r="FO26" s="700"/>
      <c r="FP26" s="700"/>
      <c r="FQ26" s="700"/>
      <c r="FR26" s="700"/>
      <c r="FS26" s="700"/>
      <c r="FT26" s="1475"/>
      <c r="FU26" s="1475">
        <v>1000</v>
      </c>
      <c r="FV26" s="700"/>
      <c r="FW26" s="700"/>
      <c r="FX26" s="1448"/>
      <c r="FY26" s="1469">
        <v>4500130496</v>
      </c>
      <c r="GC26" s="1472">
        <v>46167</v>
      </c>
      <c r="GD26" s="721">
        <v>1000040515</v>
      </c>
      <c r="GE26" s="721" t="s">
        <v>11687</v>
      </c>
      <c r="GF26" s="1517"/>
      <c r="GG26" s="1517"/>
      <c r="GH26" s="1517">
        <v>30000</v>
      </c>
      <c r="GI26" s="721"/>
      <c r="GJ26" s="1473"/>
      <c r="GK26" s="1474"/>
    </row>
    <row r="27" s="1329" customFormat="1" ht="24" customHeight="1" spans="2:193">
      <c r="B27" s="1435">
        <v>43670</v>
      </c>
      <c r="C27" s="1436" t="s">
        <v>11806</v>
      </c>
      <c r="D27" s="1437" t="s">
        <v>11679</v>
      </c>
      <c r="E27" s="1438"/>
      <c r="F27" s="1447"/>
      <c r="G27" s="1447">
        <v>290000</v>
      </c>
      <c r="H27" s="1447"/>
      <c r="I27" s="1490"/>
      <c r="J27" s="1448"/>
      <c r="K27" s="1448"/>
      <c r="L27" s="1448"/>
      <c r="M27" s="1448"/>
      <c r="N27" s="1448"/>
      <c r="O27" s="1448"/>
      <c r="P27" s="1448"/>
      <c r="Q27" s="1441"/>
      <c r="S27" s="1442">
        <v>43920</v>
      </c>
      <c r="T27" s="1443" t="s">
        <v>11807</v>
      </c>
      <c r="U27" s="1443" t="s">
        <v>11679</v>
      </c>
      <c r="V27" s="1443"/>
      <c r="W27" s="1443"/>
      <c r="X27" s="1443"/>
      <c r="Y27" s="1443"/>
      <c r="Z27" s="1443"/>
      <c r="AA27" s="1443"/>
      <c r="AB27" s="1443"/>
      <c r="AC27" s="1522">
        <v>5000</v>
      </c>
      <c r="AD27" s="1443"/>
      <c r="AE27" s="1443"/>
      <c r="AF27" s="1443"/>
      <c r="AG27" s="1443"/>
      <c r="AH27" s="1443"/>
      <c r="AI27" s="1443"/>
      <c r="AK27" s="1444">
        <v>44295</v>
      </c>
      <c r="AL27" s="1445" t="s">
        <v>11808</v>
      </c>
      <c r="AM27" s="1446" t="s">
        <v>11679</v>
      </c>
      <c r="AN27" s="1447"/>
      <c r="AO27" s="1447"/>
      <c r="AP27" s="1447"/>
      <c r="AQ27" s="1447"/>
      <c r="AR27" s="700"/>
      <c r="AS27" s="700"/>
      <c r="AT27" s="700"/>
      <c r="AU27" s="1448"/>
      <c r="AV27" s="1448">
        <v>11000</v>
      </c>
      <c r="AW27" s="1448"/>
      <c r="AX27" s="1448"/>
      <c r="AY27" s="1448"/>
      <c r="AZ27" s="1448"/>
      <c r="BA27" s="1449"/>
      <c r="BM27" s="1523" t="s">
        <v>11809</v>
      </c>
      <c r="BN27" s="1524"/>
      <c r="BO27" s="1525"/>
      <c r="BP27" s="1526" t="e">
        <f>BP24-BP25-BP26</f>
        <v>#REF!</v>
      </c>
      <c r="BQ27" s="1526" t="e">
        <f>BQ24-BQ25-BQ26</f>
        <v>#REF!</v>
      </c>
      <c r="BR27" s="1526" t="e">
        <f>BR24-BR25-BR26</f>
        <v>#REF!</v>
      </c>
      <c r="BS27" s="1526" t="e">
        <f>BS24-BS25-BS26</f>
        <v>#REF!</v>
      </c>
      <c r="BT27" s="1527"/>
      <c r="BU27" s="1528" t="e">
        <f>BU24-BU25-BU26</f>
        <v>#REF!</v>
      </c>
      <c r="BW27" s="1444">
        <v>44333</v>
      </c>
      <c r="BX27" s="1445" t="s">
        <v>11810</v>
      </c>
      <c r="BY27" s="1446" t="s">
        <v>11683</v>
      </c>
      <c r="BZ27" s="1447"/>
      <c r="CA27" s="1447"/>
      <c r="CB27" s="1447"/>
      <c r="CC27" s="1447">
        <v>6000</v>
      </c>
      <c r="CD27" s="700"/>
      <c r="CE27" s="700"/>
      <c r="CF27" s="1449"/>
      <c r="CG27" s="1529"/>
      <c r="CH27" s="1518">
        <v>44664</v>
      </c>
      <c r="CI27" s="1519">
        <v>1000010403</v>
      </c>
      <c r="CJ27" s="1498" t="s">
        <v>11684</v>
      </c>
      <c r="CK27" s="719"/>
      <c r="CL27" s="1494"/>
      <c r="CM27" s="1464">
        <v>4000</v>
      </c>
      <c r="CN27" s="1480"/>
      <c r="CP27" s="1455">
        <v>44664</v>
      </c>
      <c r="CQ27" s="1456">
        <v>1000010397</v>
      </c>
      <c r="CR27" s="1457" t="s">
        <v>11684</v>
      </c>
      <c r="CS27" s="1443"/>
      <c r="CT27" s="1443">
        <v>150000</v>
      </c>
      <c r="CU27" s="1443"/>
      <c r="CV27" s="1443"/>
      <c r="CW27" s="1443"/>
      <c r="CX27" s="1443"/>
      <c r="CY27" s="1443"/>
      <c r="CZ27" s="1443"/>
      <c r="DA27" s="700"/>
      <c r="DB27" s="1443"/>
      <c r="DC27" s="1443"/>
      <c r="DD27" s="1440"/>
      <c r="DE27" s="1482"/>
      <c r="DG27" s="1455">
        <v>45056</v>
      </c>
      <c r="DH27" s="1459">
        <v>1000014347</v>
      </c>
      <c r="DI27" s="135" t="s">
        <v>11685</v>
      </c>
      <c r="DJ27" s="1496"/>
      <c r="DK27" s="1496"/>
      <c r="DL27" s="1496"/>
      <c r="DM27" s="1496"/>
      <c r="DN27" s="1496">
        <v>30000</v>
      </c>
      <c r="DO27" s="1496"/>
      <c r="DP27" s="1520"/>
      <c r="DQ27" s="1520"/>
      <c r="DR27" s="1520"/>
      <c r="DS27" s="1496"/>
      <c r="DT27" s="1496"/>
      <c r="DU27" s="1496"/>
      <c r="DV27" s="1496"/>
      <c r="DW27" s="1496"/>
      <c r="DX27" s="1496"/>
      <c r="DY27" s="1496"/>
      <c r="DZ27" s="1496"/>
      <c r="EA27" s="1496"/>
      <c r="EB27" s="1496"/>
      <c r="EC27" s="1521"/>
      <c r="ED27" s="1521"/>
      <c r="EE27" s="1463"/>
      <c r="EF27" s="1461"/>
      <c r="EG27" s="1461"/>
      <c r="EH27" s="1461"/>
      <c r="EI27" s="1455">
        <v>45254</v>
      </c>
      <c r="EJ27" s="1467">
        <v>1000017457</v>
      </c>
      <c r="EK27" s="700" t="s">
        <v>11686</v>
      </c>
      <c r="EL27" s="1496"/>
      <c r="EM27" s="1496"/>
      <c r="EN27" s="1496"/>
      <c r="EO27" s="1496"/>
      <c r="EP27" s="1496"/>
      <c r="EQ27" s="1496"/>
      <c r="ER27" s="1496">
        <v>200000</v>
      </c>
      <c r="ES27" s="1496"/>
      <c r="ET27" s="1496"/>
      <c r="EU27" s="1496"/>
      <c r="EV27" s="1496"/>
      <c r="EW27" s="1496"/>
      <c r="EX27" s="1496"/>
      <c r="EY27" s="1496"/>
      <c r="EZ27" s="1496"/>
      <c r="FA27" s="1501"/>
      <c r="FB27" s="1496"/>
      <c r="FC27" s="1502"/>
      <c r="FD27" s="1471"/>
      <c r="FH27" s="1455">
        <v>45420</v>
      </c>
      <c r="FI27" s="1467">
        <v>1000020117</v>
      </c>
      <c r="FJ27" s="700"/>
      <c r="FK27" s="700">
        <v>100000</v>
      </c>
      <c r="FL27" s="700"/>
      <c r="FM27" s="700"/>
      <c r="FN27" s="700"/>
      <c r="FO27" s="700"/>
      <c r="FP27" s="700"/>
      <c r="FQ27" s="700"/>
      <c r="FR27" s="700"/>
      <c r="FS27" s="700"/>
      <c r="FT27" s="1475"/>
      <c r="FU27" s="1475"/>
      <c r="FV27" s="700"/>
      <c r="FW27" s="700"/>
      <c r="FX27" s="1448"/>
      <c r="FY27" s="1469"/>
      <c r="GC27" s="1530">
        <v>46226</v>
      </c>
      <c r="GD27" s="1531">
        <v>1000043116</v>
      </c>
      <c r="GE27" s="1531" t="s">
        <v>11687</v>
      </c>
      <c r="GF27" s="1532"/>
      <c r="GG27" s="1532">
        <v>30000</v>
      </c>
      <c r="GH27" s="1532"/>
      <c r="GI27" s="1531"/>
      <c r="GJ27" s="1533"/>
      <c r="GK27" s="1534"/>
    </row>
    <row r="28" s="1329" customFormat="1" ht="24" customHeight="1" spans="2:193">
      <c r="B28" s="1435">
        <v>43670</v>
      </c>
      <c r="C28" s="1436" t="s">
        <v>11811</v>
      </c>
      <c r="D28" s="1437" t="s">
        <v>11679</v>
      </c>
      <c r="E28" s="1438"/>
      <c r="F28" s="1447"/>
      <c r="G28" s="1447"/>
      <c r="H28" s="1447">
        <v>270000</v>
      </c>
      <c r="I28" s="1490"/>
      <c r="J28" s="1448"/>
      <c r="K28" s="1448"/>
      <c r="L28" s="1448"/>
      <c r="M28" s="1448"/>
      <c r="N28" s="1448"/>
      <c r="O28" s="1448"/>
      <c r="P28" s="1448"/>
      <c r="Q28" s="1441"/>
      <c r="S28" s="1442">
        <v>43920</v>
      </c>
      <c r="T28" s="1443" t="s">
        <v>11812</v>
      </c>
      <c r="U28" s="1443" t="s">
        <v>11679</v>
      </c>
      <c r="V28" s="1443"/>
      <c r="W28" s="1443"/>
      <c r="X28" s="1443"/>
      <c r="Y28" s="1443"/>
      <c r="Z28" s="1443"/>
      <c r="AA28" s="1443"/>
      <c r="AB28" s="1443"/>
      <c r="AC28" s="1443"/>
      <c r="AD28" s="1443">
        <v>20000</v>
      </c>
      <c r="AE28" s="1443"/>
      <c r="AF28" s="1443"/>
      <c r="AG28" s="1443"/>
      <c r="AH28" s="1443"/>
      <c r="AI28" s="1443"/>
      <c r="AK28" s="1444">
        <v>44295</v>
      </c>
      <c r="AL28" s="1445" t="s">
        <v>11813</v>
      </c>
      <c r="AM28" s="1446" t="s">
        <v>11679</v>
      </c>
      <c r="AN28" s="1447"/>
      <c r="AO28" s="1447"/>
      <c r="AP28" s="1447"/>
      <c r="AQ28" s="1447"/>
      <c r="AR28" s="700">
        <v>10000</v>
      </c>
      <c r="AS28" s="700"/>
      <c r="AT28" s="700"/>
      <c r="AU28" s="1448"/>
      <c r="AV28" s="1448"/>
      <c r="AW28" s="1448"/>
      <c r="AX28" s="1448"/>
      <c r="AY28" s="1448"/>
      <c r="AZ28" s="1448"/>
      <c r="BA28" s="1449"/>
      <c r="BW28" s="1444">
        <v>44333</v>
      </c>
      <c r="BX28" s="1445" t="s">
        <v>11814</v>
      </c>
      <c r="BY28" s="1446" t="s">
        <v>11683</v>
      </c>
      <c r="BZ28" s="1447"/>
      <c r="CA28" s="1447"/>
      <c r="CB28" s="1447"/>
      <c r="CC28" s="1447"/>
      <c r="CD28" s="700"/>
      <c r="CE28" s="700"/>
      <c r="CF28" s="1449">
        <v>1000</v>
      </c>
      <c r="CG28" s="1330"/>
      <c r="CH28" s="1518">
        <v>44664</v>
      </c>
      <c r="CI28" s="1519">
        <v>1000010404</v>
      </c>
      <c r="CJ28" s="1498" t="s">
        <v>11684</v>
      </c>
      <c r="CK28" s="719"/>
      <c r="CL28" s="1494"/>
      <c r="CM28" s="1494"/>
      <c r="CN28" s="1535">
        <v>4000</v>
      </c>
      <c r="CP28" s="1455">
        <v>44664</v>
      </c>
      <c r="CQ28" s="1456">
        <v>1000010398</v>
      </c>
      <c r="CR28" s="1457" t="s">
        <v>11684</v>
      </c>
      <c r="CS28" s="1443"/>
      <c r="CT28" s="1443"/>
      <c r="CU28" s="1443"/>
      <c r="CV28" s="1443">
        <v>50000</v>
      </c>
      <c r="CW28" s="1443"/>
      <c r="CX28" s="1443"/>
      <c r="CY28" s="1443"/>
      <c r="CZ28" s="1443"/>
      <c r="DA28" s="700"/>
      <c r="DB28" s="1443"/>
      <c r="DC28" s="1443"/>
      <c r="DD28" s="1440"/>
      <c r="DE28" s="1482"/>
      <c r="DG28" s="1455">
        <v>45056</v>
      </c>
      <c r="DH28" s="1459">
        <v>1000014348</v>
      </c>
      <c r="DI28" s="135" t="s">
        <v>11685</v>
      </c>
      <c r="DJ28" s="1496"/>
      <c r="DK28" s="1496"/>
      <c r="DL28" s="1496"/>
      <c r="DM28" s="1496"/>
      <c r="DN28" s="1496"/>
      <c r="DO28" s="1496"/>
      <c r="DP28" s="1520"/>
      <c r="DQ28" s="1520">
        <v>200000</v>
      </c>
      <c r="DR28" s="1520"/>
      <c r="DS28" s="1496"/>
      <c r="DT28" s="1496"/>
      <c r="DU28" s="1496"/>
      <c r="DV28" s="1496"/>
      <c r="DW28" s="1496"/>
      <c r="DX28" s="1496"/>
      <c r="DY28" s="1496"/>
      <c r="DZ28" s="1496"/>
      <c r="EA28" s="1496"/>
      <c r="EB28" s="1496"/>
      <c r="EC28" s="1521"/>
      <c r="ED28" s="1521"/>
      <c r="EE28" s="1463"/>
      <c r="EF28" s="1461"/>
      <c r="EG28" s="1461"/>
      <c r="EH28" s="1461"/>
      <c r="EI28" s="1455">
        <v>45254</v>
      </c>
      <c r="EJ28" s="1467">
        <v>1000017458</v>
      </c>
      <c r="EK28" s="700" t="s">
        <v>11686</v>
      </c>
      <c r="EL28" s="1496"/>
      <c r="EM28" s="1496"/>
      <c r="EN28" s="1496"/>
      <c r="EO28" s="1496"/>
      <c r="EP28" s="1496"/>
      <c r="EQ28" s="1496"/>
      <c r="ER28" s="1496"/>
      <c r="ES28" s="1496"/>
      <c r="ET28" s="1496">
        <v>15000</v>
      </c>
      <c r="EU28" s="1496"/>
      <c r="EV28" s="1496"/>
      <c r="EW28" s="1496"/>
      <c r="EX28" s="1496"/>
      <c r="EY28" s="1496"/>
      <c r="EZ28" s="1496"/>
      <c r="FA28" s="1501"/>
      <c r="FB28" s="1496"/>
      <c r="FC28" s="1502"/>
      <c r="FD28" s="1471"/>
      <c r="FH28" s="1455">
        <v>45420</v>
      </c>
      <c r="FI28" s="1467">
        <v>1000020118</v>
      </c>
      <c r="FJ28" s="700"/>
      <c r="FK28" s="700"/>
      <c r="FL28" s="700"/>
      <c r="FM28" s="700">
        <v>70000</v>
      </c>
      <c r="FN28" s="700"/>
      <c r="FO28" s="700"/>
      <c r="FP28" s="700"/>
      <c r="FQ28" s="700"/>
      <c r="FR28" s="700"/>
      <c r="FS28" s="700"/>
      <c r="FT28" s="1475"/>
      <c r="FU28" s="1475"/>
      <c r="FV28" s="700"/>
      <c r="FW28" s="700"/>
      <c r="FX28" s="1448"/>
      <c r="FY28" s="1469"/>
      <c r="GC28" s="1530">
        <v>46226</v>
      </c>
      <c r="GD28" s="1531">
        <v>1000043117</v>
      </c>
      <c r="GE28" s="1531" t="s">
        <v>11687</v>
      </c>
      <c r="GF28" s="1531"/>
      <c r="GG28" s="1531"/>
      <c r="GH28" s="1532">
        <v>30000</v>
      </c>
      <c r="GI28" s="1531"/>
      <c r="GJ28" s="1533"/>
      <c r="GK28" s="1534"/>
    </row>
    <row r="29" s="1329" customFormat="1" ht="24" customHeight="1" spans="2:193">
      <c r="B29" s="1435"/>
      <c r="C29" s="1436"/>
      <c r="D29" s="1437"/>
      <c r="E29" s="1438"/>
      <c r="F29" s="1447"/>
      <c r="G29" s="1447"/>
      <c r="H29" s="1447"/>
      <c r="I29" s="1490"/>
      <c r="J29" s="1448"/>
      <c r="K29" s="1448"/>
      <c r="L29" s="1448"/>
      <c r="M29" s="1448"/>
      <c r="N29" s="1448"/>
      <c r="O29" s="1448"/>
      <c r="P29" s="1448"/>
      <c r="Q29" s="1441"/>
      <c r="S29" s="1442">
        <v>43920</v>
      </c>
      <c r="T29" s="1443" t="s">
        <v>11815</v>
      </c>
      <c r="U29" s="1443" t="s">
        <v>11679</v>
      </c>
      <c r="V29" s="1443"/>
      <c r="W29" s="1443"/>
      <c r="X29" s="1443"/>
      <c r="Y29" s="1443"/>
      <c r="Z29" s="1443"/>
      <c r="AA29" s="1443"/>
      <c r="AB29" s="1443"/>
      <c r="AC29" s="1443"/>
      <c r="AD29" s="1443"/>
      <c r="AE29" s="1443">
        <v>3000</v>
      </c>
      <c r="AF29" s="1443"/>
      <c r="AG29" s="1443"/>
      <c r="AH29" s="1443"/>
      <c r="AI29" s="1443"/>
      <c r="AK29" s="1444">
        <v>44295</v>
      </c>
      <c r="AL29" s="1445" t="s">
        <v>11816</v>
      </c>
      <c r="AM29" s="1446" t="s">
        <v>11679</v>
      </c>
      <c r="AN29" s="1447"/>
      <c r="AO29" s="1447"/>
      <c r="AP29" s="1447"/>
      <c r="AQ29" s="1447"/>
      <c r="AR29" s="700"/>
      <c r="AS29" s="700"/>
      <c r="AT29" s="700">
        <v>10000</v>
      </c>
      <c r="AU29" s="1448"/>
      <c r="AV29" s="1448"/>
      <c r="AW29" s="1448"/>
      <c r="AX29" s="1448"/>
      <c r="AY29" s="1448"/>
      <c r="AZ29" s="1448"/>
      <c r="BA29" s="1449"/>
      <c r="BW29" s="1444">
        <v>44378</v>
      </c>
      <c r="BX29" s="1453" t="s">
        <v>11817</v>
      </c>
      <c r="BY29" s="1446"/>
      <c r="BZ29" s="1447"/>
      <c r="CA29" s="719">
        <v>3000</v>
      </c>
      <c r="CB29" s="1447"/>
      <c r="CC29" s="1447"/>
      <c r="CD29" s="700"/>
      <c r="CE29" s="700"/>
      <c r="CF29" s="1449"/>
      <c r="CG29" s="1330"/>
      <c r="CH29" s="1536">
        <v>44778</v>
      </c>
      <c r="CI29" s="1537">
        <v>1000011488</v>
      </c>
      <c r="CJ29" s="135" t="s">
        <v>11685</v>
      </c>
      <c r="CK29" s="719">
        <v>13000</v>
      </c>
      <c r="CL29" s="1494"/>
      <c r="CM29" s="1494"/>
      <c r="CN29" s="1480"/>
      <c r="CP29" s="1455">
        <v>44664</v>
      </c>
      <c r="CQ29" s="1456">
        <v>1000010399</v>
      </c>
      <c r="CR29" s="1457" t="s">
        <v>11684</v>
      </c>
      <c r="CS29" s="1443"/>
      <c r="CT29" s="1443"/>
      <c r="CU29" s="1443"/>
      <c r="CV29" s="1443"/>
      <c r="CW29" s="1443">
        <v>50000</v>
      </c>
      <c r="CX29" s="1443"/>
      <c r="CY29" s="1443"/>
      <c r="CZ29" s="1443"/>
      <c r="DA29" s="700"/>
      <c r="DB29" s="1443"/>
      <c r="DC29" s="1443"/>
      <c r="DD29" s="1440"/>
      <c r="DE29" s="1482"/>
      <c r="DG29" s="1455">
        <v>45056</v>
      </c>
      <c r="DH29" s="1459">
        <v>1000014329</v>
      </c>
      <c r="DI29" s="135" t="s">
        <v>11685</v>
      </c>
      <c r="DJ29" s="1496"/>
      <c r="DK29" s="1496"/>
      <c r="DL29" s="1496">
        <v>10000</v>
      </c>
      <c r="DM29" s="1496"/>
      <c r="DN29" s="1496"/>
      <c r="DO29" s="1496"/>
      <c r="DP29" s="1520"/>
      <c r="DQ29" s="1520"/>
      <c r="DR29" s="1520"/>
      <c r="DS29" s="1496"/>
      <c r="DT29" s="1496"/>
      <c r="DU29" s="1496"/>
      <c r="DV29" s="1496"/>
      <c r="DW29" s="1496"/>
      <c r="DX29" s="1496"/>
      <c r="DY29" s="1496"/>
      <c r="DZ29" s="1496"/>
      <c r="EA29" s="1496"/>
      <c r="EB29" s="1496"/>
      <c r="EC29" s="1521"/>
      <c r="ED29" s="1521"/>
      <c r="EE29" s="1463"/>
      <c r="EF29" s="1461"/>
      <c r="EG29" s="1461"/>
      <c r="EH29" s="1461"/>
      <c r="EI29" s="1455">
        <v>45254</v>
      </c>
      <c r="EJ29" s="1467">
        <v>1000017459</v>
      </c>
      <c r="EK29" s="700" t="s">
        <v>11686</v>
      </c>
      <c r="EL29" s="1496"/>
      <c r="EM29" s="1496"/>
      <c r="EN29" s="1496"/>
      <c r="EO29" s="1496">
        <v>100000</v>
      </c>
      <c r="EP29" s="1496"/>
      <c r="EQ29" s="1496"/>
      <c r="ER29" s="1496"/>
      <c r="ES29" s="1496"/>
      <c r="ET29" s="1496"/>
      <c r="EU29" s="1496"/>
      <c r="EV29" s="1496"/>
      <c r="EW29" s="1496"/>
      <c r="EX29" s="1496"/>
      <c r="EY29" s="1496"/>
      <c r="EZ29" s="1496"/>
      <c r="FA29" s="1501"/>
      <c r="FB29" s="1496"/>
      <c r="FC29" s="1502"/>
      <c r="FD29" s="1471"/>
      <c r="FH29" s="1455">
        <v>45420</v>
      </c>
      <c r="FI29" s="1467">
        <v>1000020119</v>
      </c>
      <c r="FJ29" s="700"/>
      <c r="FK29" s="700"/>
      <c r="FL29" s="700"/>
      <c r="FM29" s="700"/>
      <c r="FN29" s="700"/>
      <c r="FO29" s="700">
        <v>200000</v>
      </c>
      <c r="FP29" s="700"/>
      <c r="FQ29" s="700"/>
      <c r="FR29" s="700"/>
      <c r="FS29" s="700"/>
      <c r="FT29" s="1475"/>
      <c r="FU29" s="1475"/>
      <c r="FV29" s="700"/>
      <c r="FW29" s="700"/>
      <c r="FX29" s="1448"/>
      <c r="FY29" s="1469"/>
      <c r="GC29" s="1538"/>
      <c r="GD29" s="1539"/>
      <c r="GE29" s="721"/>
      <c r="GF29" s="721"/>
      <c r="GG29" s="721"/>
      <c r="GH29" s="721"/>
      <c r="GI29" s="721"/>
      <c r="GJ29" s="1473"/>
      <c r="GK29" s="1540"/>
    </row>
    <row r="30" s="1329" customFormat="1" ht="24" customHeight="1" spans="2:193">
      <c r="B30" s="1435"/>
      <c r="C30" s="1436"/>
      <c r="D30" s="1437"/>
      <c r="E30" s="1438"/>
      <c r="F30" s="1447"/>
      <c r="G30" s="1447"/>
      <c r="H30" s="1447"/>
      <c r="I30" s="1490"/>
      <c r="J30" s="1448"/>
      <c r="K30" s="1448"/>
      <c r="L30" s="1448"/>
      <c r="M30" s="1448"/>
      <c r="N30" s="1448"/>
      <c r="O30" s="1448"/>
      <c r="P30" s="1448"/>
      <c r="Q30" s="1441"/>
      <c r="S30" s="1442">
        <v>43922</v>
      </c>
      <c r="T30" s="1443" t="s">
        <v>11818</v>
      </c>
      <c r="U30" s="1443" t="s">
        <v>11679</v>
      </c>
      <c r="V30" s="1443"/>
      <c r="W30" s="1443">
        <v>88970</v>
      </c>
      <c r="X30" s="1443"/>
      <c r="Y30" s="1443"/>
      <c r="Z30" s="1443"/>
      <c r="AA30" s="1443"/>
      <c r="AB30" s="1443"/>
      <c r="AC30" s="1443"/>
      <c r="AD30" s="1443"/>
      <c r="AE30" s="1443"/>
      <c r="AF30" s="1443"/>
      <c r="AG30" s="1443"/>
      <c r="AH30" s="1443"/>
      <c r="AI30" s="1443"/>
      <c r="AK30" s="1444">
        <v>44295</v>
      </c>
      <c r="AL30" s="1445" t="s">
        <v>11819</v>
      </c>
      <c r="AM30" s="1446" t="s">
        <v>11679</v>
      </c>
      <c r="AN30" s="1447"/>
      <c r="AO30" s="1447"/>
      <c r="AP30" s="1447"/>
      <c r="AQ30" s="1447"/>
      <c r="AR30" s="700"/>
      <c r="AS30" s="700"/>
      <c r="AT30" s="700"/>
      <c r="AU30" s="1448"/>
      <c r="AV30" s="1448"/>
      <c r="AW30" s="1448">
        <v>7000</v>
      </c>
      <c r="AX30" s="1448"/>
      <c r="AY30" s="1448"/>
      <c r="AZ30" s="1448"/>
      <c r="BA30" s="1449"/>
      <c r="BW30" s="1444">
        <v>44378</v>
      </c>
      <c r="BX30" s="1453" t="s">
        <v>11820</v>
      </c>
      <c r="BY30" s="1446"/>
      <c r="BZ30" s="1447"/>
      <c r="CA30" s="1447"/>
      <c r="CB30" s="1330"/>
      <c r="CC30" s="719">
        <v>1500</v>
      </c>
      <c r="CD30" s="700"/>
      <c r="CE30" s="700"/>
      <c r="CF30" s="1449"/>
      <c r="CG30" s="1330"/>
      <c r="CH30" s="1536">
        <v>44778</v>
      </c>
      <c r="CI30" s="1537">
        <v>1000011489</v>
      </c>
      <c r="CJ30" s="135" t="s">
        <v>11685</v>
      </c>
      <c r="CK30" s="719"/>
      <c r="CL30" s="1494">
        <v>25000</v>
      </c>
      <c r="CM30" s="1494"/>
      <c r="CN30" s="1480"/>
      <c r="CP30" s="1455">
        <v>44664</v>
      </c>
      <c r="CQ30" s="1456">
        <v>1000010400</v>
      </c>
      <c r="CR30" s="1457" t="s">
        <v>11684</v>
      </c>
      <c r="CS30" s="1443"/>
      <c r="CT30" s="1443"/>
      <c r="CU30" s="1443">
        <v>10000</v>
      </c>
      <c r="CV30" s="1443"/>
      <c r="CW30" s="1443"/>
      <c r="CX30" s="1443"/>
      <c r="CY30" s="1443"/>
      <c r="CZ30" s="1443"/>
      <c r="DA30" s="700"/>
      <c r="DB30" s="1443"/>
      <c r="DC30" s="1443"/>
      <c r="DD30" s="1440"/>
      <c r="DE30" s="1482"/>
      <c r="DG30" s="1541">
        <v>45056</v>
      </c>
      <c r="DH30" s="718">
        <v>1000014330</v>
      </c>
      <c r="DI30" s="1542" t="s">
        <v>11685</v>
      </c>
      <c r="DJ30" s="718"/>
      <c r="DK30" s="718"/>
      <c r="DL30" s="718"/>
      <c r="DM30" s="718"/>
      <c r="DN30" s="718"/>
      <c r="DO30" s="718"/>
      <c r="DP30" s="1481"/>
      <c r="DQ30" s="1481"/>
      <c r="DR30" s="1481"/>
      <c r="DS30" s="718"/>
      <c r="DT30" s="718"/>
      <c r="DU30" s="718"/>
      <c r="DV30" s="718"/>
      <c r="DW30" s="718"/>
      <c r="DX30" s="718"/>
      <c r="DY30" s="718"/>
      <c r="DZ30" s="718"/>
      <c r="EA30" s="718"/>
      <c r="EB30" s="718"/>
      <c r="EC30" s="1468"/>
      <c r="ED30" s="1468"/>
      <c r="EE30" s="1543" t="s">
        <v>11821</v>
      </c>
      <c r="EF30" s="1461"/>
      <c r="EG30" s="1461"/>
      <c r="EH30" s="1461"/>
      <c r="EI30" s="1455">
        <v>45254</v>
      </c>
      <c r="EJ30" s="700">
        <v>1000017460</v>
      </c>
      <c r="EK30" s="700" t="s">
        <v>11686</v>
      </c>
      <c r="EL30" s="1496"/>
      <c r="EM30" s="1496"/>
      <c r="EN30" s="1496"/>
      <c r="EO30" s="1496"/>
      <c r="EP30" s="1496"/>
      <c r="EQ30" s="1496"/>
      <c r="ER30" s="1496"/>
      <c r="ES30" s="1496"/>
      <c r="ET30" s="1496"/>
      <c r="EU30" s="1496"/>
      <c r="EV30" s="1496">
        <v>10000</v>
      </c>
      <c r="EW30" s="1496"/>
      <c r="EX30" s="1496"/>
      <c r="EY30" s="1496"/>
      <c r="EZ30" s="1496"/>
      <c r="FA30" s="1496"/>
      <c r="FB30" s="1496"/>
      <c r="FC30" s="1502"/>
      <c r="FD30" s="1471"/>
      <c r="FH30" s="1455">
        <v>45420</v>
      </c>
      <c r="FI30" s="1467">
        <v>1000020120</v>
      </c>
      <c r="FJ30" s="700"/>
      <c r="FK30" s="700"/>
      <c r="FL30" s="700"/>
      <c r="FM30" s="700"/>
      <c r="FN30" s="700"/>
      <c r="FO30" s="700"/>
      <c r="FP30" s="700"/>
      <c r="FQ30" s="700">
        <v>10000</v>
      </c>
      <c r="FR30" s="700"/>
      <c r="FS30" s="700"/>
      <c r="FT30" s="1475"/>
      <c r="FU30" s="1475"/>
      <c r="FV30" s="700"/>
      <c r="FW30" s="700"/>
      <c r="FX30" s="1448"/>
      <c r="FY30" s="1469"/>
      <c r="GE30" s="1544" t="s">
        <v>11822</v>
      </c>
      <c r="GF30" s="1545">
        <f>SUM(GF5:GF29)</f>
        <v>310000</v>
      </c>
      <c r="GG30" s="1545">
        <f>SUM(GG5:GG29)</f>
        <v>150000</v>
      </c>
      <c r="GH30" s="1545">
        <f>SUM(GH5:GH29)</f>
        <v>410000</v>
      </c>
      <c r="GI30" s="1545">
        <f>SUM(GI5:GI29)</f>
        <v>0</v>
      </c>
      <c r="GJ30" s="1545">
        <f>SUM(GJ5:GJ29)</f>
        <v>3000</v>
      </c>
      <c r="GK30" s="1546"/>
    </row>
    <row r="31" s="1329" customFormat="1" ht="24" customHeight="1" spans="2:193">
      <c r="B31" s="1435"/>
      <c r="C31" s="1436"/>
      <c r="D31" s="1437"/>
      <c r="E31" s="1438"/>
      <c r="F31" s="1447"/>
      <c r="G31" s="1447"/>
      <c r="H31" s="1447"/>
      <c r="I31" s="1490"/>
      <c r="J31" s="1448"/>
      <c r="K31" s="1448"/>
      <c r="L31" s="1448"/>
      <c r="M31" s="1448"/>
      <c r="N31" s="1448"/>
      <c r="O31" s="1448"/>
      <c r="P31" s="1448"/>
      <c r="Q31" s="1441"/>
      <c r="S31" s="1442">
        <v>43942</v>
      </c>
      <c r="T31" s="1443" t="s">
        <v>11823</v>
      </c>
      <c r="U31" s="1443" t="s">
        <v>11679</v>
      </c>
      <c r="V31" s="1443"/>
      <c r="W31" s="1443">
        <v>77000</v>
      </c>
      <c r="X31" s="1443"/>
      <c r="Y31" s="1443"/>
      <c r="Z31" s="1443"/>
      <c r="AA31" s="1443"/>
      <c r="AB31" s="1443"/>
      <c r="AC31" s="1443"/>
      <c r="AD31" s="1443"/>
      <c r="AE31" s="1443"/>
      <c r="AF31" s="1443"/>
      <c r="AG31" s="1443"/>
      <c r="AH31" s="1443"/>
      <c r="AI31" s="1443"/>
      <c r="AK31" s="1444">
        <v>44333</v>
      </c>
      <c r="AL31" s="1445" t="s">
        <v>11824</v>
      </c>
      <c r="AM31" s="1446" t="s">
        <v>11683</v>
      </c>
      <c r="AN31" s="1447">
        <v>600000</v>
      </c>
      <c r="AO31" s="1447"/>
      <c r="AP31" s="1447"/>
      <c r="AQ31" s="1447"/>
      <c r="AR31" s="700"/>
      <c r="AS31" s="700"/>
      <c r="AT31" s="700"/>
      <c r="AU31" s="1448"/>
      <c r="AV31" s="1448"/>
      <c r="AW31" s="1448"/>
      <c r="AX31" s="1448"/>
      <c r="AY31" s="1448"/>
      <c r="AZ31" s="1448"/>
      <c r="BA31" s="1449"/>
      <c r="BW31" s="1444">
        <v>44440</v>
      </c>
      <c r="BX31" s="1453" t="s">
        <v>11825</v>
      </c>
      <c r="BY31" s="1446"/>
      <c r="BZ31" s="1447"/>
      <c r="CA31" s="719">
        <v>3000</v>
      </c>
      <c r="CB31" s="1447"/>
      <c r="CC31" s="1447"/>
      <c r="CD31" s="700"/>
      <c r="CE31" s="700"/>
      <c r="CF31" s="1449"/>
      <c r="CG31" s="1330"/>
      <c r="CH31" s="1536">
        <v>44778</v>
      </c>
      <c r="CI31" s="1537">
        <v>1000011490</v>
      </c>
      <c r="CJ31" s="135" t="s">
        <v>11685</v>
      </c>
      <c r="CK31" s="719"/>
      <c r="CL31" s="1494"/>
      <c r="CM31" s="1464">
        <v>1200</v>
      </c>
      <c r="CN31" s="1480"/>
      <c r="CP31" s="1455">
        <v>44664</v>
      </c>
      <c r="CQ31" s="1456">
        <v>1000010401</v>
      </c>
      <c r="CR31" s="1457" t="s">
        <v>11684</v>
      </c>
      <c r="CS31" s="1443"/>
      <c r="CT31" s="1443"/>
      <c r="CU31" s="1443"/>
      <c r="CV31" s="1443"/>
      <c r="CW31" s="1443"/>
      <c r="CX31" s="1443">
        <v>3000</v>
      </c>
      <c r="CY31" s="1443"/>
      <c r="CZ31" s="1443"/>
      <c r="DA31" s="700"/>
      <c r="DB31" s="1443"/>
      <c r="DC31" s="1443"/>
      <c r="DD31" s="1440"/>
      <c r="DE31" s="1482"/>
      <c r="DG31" s="1455">
        <v>45056</v>
      </c>
      <c r="DH31" s="1459">
        <v>1000014349</v>
      </c>
      <c r="DI31" s="135" t="s">
        <v>11685</v>
      </c>
      <c r="DJ31" s="1496"/>
      <c r="DK31" s="1496"/>
      <c r="DL31" s="1496"/>
      <c r="DM31" s="1496"/>
      <c r="DN31" s="1496"/>
      <c r="DO31" s="1496"/>
      <c r="DP31" s="1520"/>
      <c r="DQ31" s="1520"/>
      <c r="DR31" s="1520"/>
      <c r="DS31" s="1496"/>
      <c r="DT31" s="1496">
        <v>10000</v>
      </c>
      <c r="DU31" s="1496"/>
      <c r="DV31" s="1496"/>
      <c r="DW31" s="1496"/>
      <c r="DX31" s="1496"/>
      <c r="DY31" s="1496"/>
      <c r="DZ31" s="1496"/>
      <c r="EA31" s="1496"/>
      <c r="EB31" s="1496"/>
      <c r="EC31" s="1521"/>
      <c r="ED31" s="1521"/>
      <c r="EE31" s="1463"/>
      <c r="EF31" s="1461"/>
      <c r="EG31" s="1461"/>
      <c r="EH31" s="1461"/>
      <c r="EI31" s="1455">
        <v>45257</v>
      </c>
      <c r="EJ31" s="700"/>
      <c r="EK31" s="700"/>
      <c r="EL31" s="1496"/>
      <c r="EM31" s="1496"/>
      <c r="EN31" s="1496"/>
      <c r="EO31" s="1496"/>
      <c r="EP31" s="1496"/>
      <c r="EQ31" s="1496"/>
      <c r="ER31" s="1496"/>
      <c r="ES31" s="1496"/>
      <c r="ET31" s="1496"/>
      <c r="EU31" s="1496"/>
      <c r="EV31" s="1496"/>
      <c r="EW31" s="1496"/>
      <c r="EX31" s="1496"/>
      <c r="EY31" s="1496">
        <v>1314</v>
      </c>
      <c r="EZ31" s="1496"/>
      <c r="FA31" s="1496"/>
      <c r="FB31" s="1496"/>
      <c r="FC31" s="1502"/>
      <c r="FD31" s="1471" t="s">
        <v>11826</v>
      </c>
      <c r="FH31" s="1455">
        <v>45420</v>
      </c>
      <c r="FI31" s="1467">
        <v>1000020121</v>
      </c>
      <c r="FJ31" s="700"/>
      <c r="FK31" s="700"/>
      <c r="FL31" s="700"/>
      <c r="FM31" s="700"/>
      <c r="FN31" s="700"/>
      <c r="FO31" s="700"/>
      <c r="FP31" s="700"/>
      <c r="FQ31" s="700"/>
      <c r="FR31" s="700">
        <v>10000</v>
      </c>
      <c r="FS31" s="700"/>
      <c r="FT31" s="1475"/>
      <c r="FU31" s="1475"/>
      <c r="FV31" s="700"/>
      <c r="FW31" s="700"/>
      <c r="FX31" s="1448"/>
      <c r="FY31" s="1469"/>
      <c r="GC31" s="1331"/>
      <c r="GD31" s="1331"/>
      <c r="GE31" s="1547" t="s">
        <v>11827</v>
      </c>
      <c r="GF31" s="1548">
        <v>170224</v>
      </c>
      <c r="GG31" s="1548">
        <v>60434</v>
      </c>
      <c r="GH31" s="1548">
        <v>199106</v>
      </c>
      <c r="GI31" s="1548">
        <v>0</v>
      </c>
      <c r="GJ31" s="1548">
        <v>3000</v>
      </c>
      <c r="GK31" s="1549"/>
    </row>
    <row r="32" s="1329" customFormat="1" ht="24" customHeight="1" spans="2:193">
      <c r="B32" s="1435">
        <v>43670</v>
      </c>
      <c r="C32" s="1436" t="s">
        <v>11828</v>
      </c>
      <c r="D32" s="1437" t="s">
        <v>11679</v>
      </c>
      <c r="E32" s="1438"/>
      <c r="F32" s="1438"/>
      <c r="G32" s="1438"/>
      <c r="H32" s="1438"/>
      <c r="I32" s="1439">
        <v>310000</v>
      </c>
      <c r="J32" s="1440"/>
      <c r="K32" s="1440"/>
      <c r="L32" s="1440"/>
      <c r="M32" s="1440"/>
      <c r="N32" s="1440"/>
      <c r="O32" s="1440"/>
      <c r="P32" s="1440"/>
      <c r="Q32" s="1441"/>
      <c r="S32" s="1442">
        <v>43942</v>
      </c>
      <c r="T32" s="1443" t="s">
        <v>11829</v>
      </c>
      <c r="U32" s="1443" t="s">
        <v>11679</v>
      </c>
      <c r="V32" s="1443"/>
      <c r="W32" s="1443"/>
      <c r="X32" s="1443">
        <v>77000</v>
      </c>
      <c r="Y32" s="1443"/>
      <c r="Z32" s="1443"/>
      <c r="AA32" s="1443"/>
      <c r="AB32" s="1443"/>
      <c r="AC32" s="1443"/>
      <c r="AD32" s="1443"/>
      <c r="AE32" s="1443"/>
      <c r="AF32" s="1443"/>
      <c r="AG32" s="1443"/>
      <c r="AH32" s="1443"/>
      <c r="AI32" s="1443"/>
      <c r="AK32" s="1444">
        <v>44333</v>
      </c>
      <c r="AL32" s="1445" t="s">
        <v>11830</v>
      </c>
      <c r="AM32" s="1446" t="s">
        <v>11683</v>
      </c>
      <c r="AN32" s="1447"/>
      <c r="AO32" s="1447"/>
      <c r="AP32" s="1447"/>
      <c r="AQ32" s="1447">
        <v>450000</v>
      </c>
      <c r="AR32" s="700"/>
      <c r="AS32" s="700"/>
      <c r="AT32" s="700"/>
      <c r="AU32" s="1448"/>
      <c r="AV32" s="1448"/>
      <c r="AW32" s="1448"/>
      <c r="AX32" s="1448"/>
      <c r="AY32" s="1448"/>
      <c r="AZ32" s="1448"/>
      <c r="BA32" s="1449"/>
      <c r="BW32" s="1444">
        <v>44440</v>
      </c>
      <c r="BX32" s="1453" t="s">
        <v>11831</v>
      </c>
      <c r="BY32" s="1446"/>
      <c r="BZ32" s="1447"/>
      <c r="CA32" s="1447"/>
      <c r="CB32" s="1330"/>
      <c r="CC32" s="719">
        <v>2481</v>
      </c>
      <c r="CD32" s="700"/>
      <c r="CE32" s="700"/>
      <c r="CF32" s="1449"/>
      <c r="CG32" s="1330"/>
      <c r="CH32" s="1536">
        <v>44778</v>
      </c>
      <c r="CI32" s="1537">
        <v>1000011491</v>
      </c>
      <c r="CJ32" s="135" t="s">
        <v>11685</v>
      </c>
      <c r="CK32" s="1494"/>
      <c r="CL32" s="1494"/>
      <c r="CM32" s="1494"/>
      <c r="CN32" s="1535">
        <v>1700</v>
      </c>
      <c r="CP32" s="1455">
        <v>44670</v>
      </c>
      <c r="CQ32" s="1456">
        <v>1000010446</v>
      </c>
      <c r="CR32" s="1457" t="s">
        <v>11832</v>
      </c>
      <c r="CS32" s="1443"/>
      <c r="CT32" s="1443"/>
      <c r="CU32" s="1443"/>
      <c r="CV32" s="1443"/>
      <c r="CW32" s="1443"/>
      <c r="CX32" s="1443"/>
      <c r="CY32" s="1443"/>
      <c r="CZ32" s="1443"/>
      <c r="DA32" s="700"/>
      <c r="DB32" s="1443"/>
      <c r="DC32" s="1443"/>
      <c r="DD32" s="1440">
        <v>100</v>
      </c>
      <c r="DE32" s="1482"/>
      <c r="DG32" s="1455">
        <v>45072</v>
      </c>
      <c r="DH32" s="700">
        <v>1000014557</v>
      </c>
      <c r="DI32" s="135" t="s">
        <v>11739</v>
      </c>
      <c r="DJ32" s="1496"/>
      <c r="DK32" s="1496"/>
      <c r="DL32" s="1496"/>
      <c r="DM32" s="1496"/>
      <c r="DN32" s="1496"/>
      <c r="DO32" s="1496"/>
      <c r="DP32" s="1520"/>
      <c r="DQ32" s="1520"/>
      <c r="DR32" s="1520"/>
      <c r="DS32" s="1496"/>
      <c r="DT32" s="1496"/>
      <c r="DU32" s="1496"/>
      <c r="DV32" s="1496"/>
      <c r="DW32" s="700">
        <v>37476</v>
      </c>
      <c r="DX32" s="1496"/>
      <c r="DY32" s="1496"/>
      <c r="DZ32" s="1496"/>
      <c r="EA32" s="1496"/>
      <c r="EB32" s="1496"/>
      <c r="EC32" s="1521"/>
      <c r="ED32" s="1521"/>
      <c r="EE32" s="1469" t="s">
        <v>11833</v>
      </c>
      <c r="EF32" s="1461"/>
      <c r="EG32" s="1461"/>
      <c r="EH32" s="1461"/>
      <c r="EI32" s="1455">
        <v>45274</v>
      </c>
      <c r="EJ32" s="700">
        <v>1000017844</v>
      </c>
      <c r="EK32" s="700" t="s">
        <v>11686</v>
      </c>
      <c r="EL32" s="700">
        <v>50000</v>
      </c>
      <c r="EM32" s="700"/>
      <c r="EN32" s="700"/>
      <c r="EO32" s="700"/>
      <c r="EP32" s="700"/>
      <c r="EQ32" s="700"/>
      <c r="ER32" s="700"/>
      <c r="ES32" s="700"/>
      <c r="ET32" s="700"/>
      <c r="EU32" s="700"/>
      <c r="EV32" s="700"/>
      <c r="EW32" s="700"/>
      <c r="EX32" s="700"/>
      <c r="EY32" s="700"/>
      <c r="EZ32" s="700"/>
      <c r="FA32" s="700"/>
      <c r="FB32" s="700"/>
      <c r="FC32" s="1454"/>
      <c r="FD32" s="1471"/>
      <c r="FH32" s="1455">
        <v>45420</v>
      </c>
      <c r="FI32" s="700"/>
      <c r="FJ32" s="700"/>
      <c r="FK32" s="700"/>
      <c r="FL32" s="700"/>
      <c r="FM32" s="700"/>
      <c r="FN32" s="700"/>
      <c r="FO32" s="700"/>
      <c r="FP32" s="700"/>
      <c r="FQ32" s="700"/>
      <c r="FR32" s="700"/>
      <c r="FS32" s="700"/>
      <c r="FT32" s="1475">
        <f>1024+192</f>
        <v>1216</v>
      </c>
      <c r="FU32" s="1475"/>
      <c r="FV32" s="700"/>
      <c r="FW32" s="700"/>
      <c r="FX32" s="1448"/>
      <c r="FY32" s="1469" t="s">
        <v>11834</v>
      </c>
      <c r="GE32" s="1550" t="s">
        <v>11835</v>
      </c>
      <c r="GF32" s="1551">
        <f>'92106'!AG253+GF31</f>
        <v>293552</v>
      </c>
      <c r="GG32" s="1551">
        <f>'92106'!AH253+GG31</f>
        <v>131634</v>
      </c>
      <c r="GH32" s="1551">
        <f>'92106'!AJ253+GH31</f>
        <v>390250</v>
      </c>
      <c r="GI32" s="1551"/>
      <c r="GJ32" s="1551">
        <f>'92106'!AI253+GJ31</f>
        <v>6000</v>
      </c>
      <c r="GK32" s="1552"/>
    </row>
    <row r="33" s="1329" customFormat="1" ht="24" customHeight="1" spans="2:195">
      <c r="B33" s="1435">
        <v>43670</v>
      </c>
      <c r="C33" s="1436" t="s">
        <v>11836</v>
      </c>
      <c r="D33" s="1437" t="s">
        <v>11679</v>
      </c>
      <c r="E33" s="1438"/>
      <c r="F33" s="1438"/>
      <c r="G33" s="1438"/>
      <c r="H33" s="1438"/>
      <c r="I33" s="1439"/>
      <c r="J33" s="1440"/>
      <c r="K33" s="1440"/>
      <c r="L33" s="1440"/>
      <c r="M33" s="1440">
        <v>7000</v>
      </c>
      <c r="N33" s="1440"/>
      <c r="O33" s="1440"/>
      <c r="P33" s="1440"/>
      <c r="Q33" s="1441"/>
      <c r="S33" s="1442">
        <v>43942</v>
      </c>
      <c r="T33" s="1443" t="s">
        <v>11837</v>
      </c>
      <c r="U33" s="1443" t="s">
        <v>11679</v>
      </c>
      <c r="V33" s="1443"/>
      <c r="W33" s="1443"/>
      <c r="X33" s="1443"/>
      <c r="Y33" s="1443">
        <v>100000</v>
      </c>
      <c r="Z33" s="1443"/>
      <c r="AA33" s="1443"/>
      <c r="AB33" s="1443"/>
      <c r="AC33" s="1443"/>
      <c r="AD33" s="1443"/>
      <c r="AE33" s="1443"/>
      <c r="AF33" s="1443"/>
      <c r="AG33" s="1443"/>
      <c r="AH33" s="1443"/>
      <c r="AI33" s="1443"/>
      <c r="AK33" s="1444">
        <v>44333</v>
      </c>
      <c r="AL33" s="1445" t="s">
        <v>11838</v>
      </c>
      <c r="AM33" s="1446" t="s">
        <v>11683</v>
      </c>
      <c r="AN33" s="1447"/>
      <c r="AO33" s="1447"/>
      <c r="AP33" s="1447"/>
      <c r="AQ33" s="1447"/>
      <c r="AR33" s="700"/>
      <c r="AS33" s="700"/>
      <c r="AT33" s="700"/>
      <c r="AU33" s="1448"/>
      <c r="AV33" s="1448">
        <v>18000</v>
      </c>
      <c r="AW33" s="1448"/>
      <c r="AX33" s="1448"/>
      <c r="AY33" s="1448"/>
      <c r="AZ33" s="1448"/>
      <c r="BA33" s="1449"/>
      <c r="BW33" s="1444">
        <v>44505</v>
      </c>
      <c r="BX33" s="1453" t="s">
        <v>11839</v>
      </c>
      <c r="BY33" s="1457" t="s">
        <v>11684</v>
      </c>
      <c r="BZ33" s="1447"/>
      <c r="CA33" s="1447"/>
      <c r="CB33" s="1443"/>
      <c r="CC33" s="719">
        <v>4000</v>
      </c>
      <c r="CD33" s="700"/>
      <c r="CE33" s="700"/>
      <c r="CF33" s="1449"/>
      <c r="CG33" s="1330"/>
      <c r="CH33" s="1553" t="s">
        <v>11840</v>
      </c>
      <c r="CI33" s="1554"/>
      <c r="CJ33" s="1555"/>
      <c r="CK33" s="1556">
        <v>2051</v>
      </c>
      <c r="CL33" s="1556">
        <v>2179</v>
      </c>
      <c r="CM33" s="1556"/>
      <c r="CN33" s="1557"/>
      <c r="CP33" s="1455">
        <v>44678</v>
      </c>
      <c r="CQ33" s="1456" t="s">
        <v>11841</v>
      </c>
      <c r="CR33" s="1457" t="s">
        <v>11832</v>
      </c>
      <c r="CS33" s="1443"/>
      <c r="CT33" s="1443"/>
      <c r="CU33" s="1443"/>
      <c r="CV33" s="1443"/>
      <c r="CW33" s="1443"/>
      <c r="CX33" s="1443"/>
      <c r="CY33" s="1443">
        <v>6000</v>
      </c>
      <c r="CZ33" s="1443"/>
      <c r="DA33" s="700"/>
      <c r="DB33" s="1443"/>
      <c r="DC33" s="1443"/>
      <c r="DD33" s="1440"/>
      <c r="DE33" s="1477" t="s">
        <v>11842</v>
      </c>
      <c r="DG33" s="1455">
        <v>45084</v>
      </c>
      <c r="DH33" s="1467">
        <v>1000014708</v>
      </c>
      <c r="DI33" s="135" t="s">
        <v>11739</v>
      </c>
      <c r="DJ33" s="718"/>
      <c r="DK33" s="718"/>
      <c r="DL33" s="718"/>
      <c r="DM33" s="718"/>
      <c r="DN33" s="718"/>
      <c r="DO33" s="718"/>
      <c r="DP33" s="1481"/>
      <c r="DQ33" s="1481"/>
      <c r="DR33" s="1481"/>
      <c r="DS33" s="718"/>
      <c r="DT33" s="718"/>
      <c r="DU33" s="718"/>
      <c r="DV33" s="718"/>
      <c r="DW33" s="700">
        <v>29504</v>
      </c>
      <c r="DX33" s="718"/>
      <c r="DY33" s="718"/>
      <c r="DZ33" s="718"/>
      <c r="EA33" s="718"/>
      <c r="EB33" s="718"/>
      <c r="EC33" s="1468"/>
      <c r="ED33" s="1468"/>
      <c r="EE33" s="1469" t="s">
        <v>11843</v>
      </c>
      <c r="EF33" s="1461"/>
      <c r="EG33" s="1461"/>
      <c r="EH33" s="1461"/>
      <c r="EI33" s="1455">
        <v>45274</v>
      </c>
      <c r="EJ33" s="700">
        <v>1000017845</v>
      </c>
      <c r="EK33" s="700" t="s">
        <v>11686</v>
      </c>
      <c r="EL33" s="700"/>
      <c r="EM33" s="700"/>
      <c r="EN33" s="700"/>
      <c r="EO33" s="700"/>
      <c r="EP33" s="700"/>
      <c r="EQ33" s="700"/>
      <c r="ER33" s="700">
        <v>150000</v>
      </c>
      <c r="ES33" s="700"/>
      <c r="ET33" s="700"/>
      <c r="EU33" s="700"/>
      <c r="EV33" s="700"/>
      <c r="EW33" s="700"/>
      <c r="EX33" s="700"/>
      <c r="EY33" s="700"/>
      <c r="EZ33" s="700"/>
      <c r="FA33" s="700"/>
      <c r="FB33" s="700"/>
      <c r="FC33" s="1454"/>
      <c r="FD33" s="1462"/>
      <c r="FH33" s="1455">
        <v>45434</v>
      </c>
      <c r="FI33" s="700"/>
      <c r="FJ33" s="700"/>
      <c r="FK33" s="700"/>
      <c r="FL33" s="700"/>
      <c r="FM33" s="700"/>
      <c r="FN33" s="700"/>
      <c r="FO33" s="700"/>
      <c r="FP33" s="700"/>
      <c r="FQ33" s="700"/>
      <c r="FR33" s="700"/>
      <c r="FS33" s="700"/>
      <c r="FT33" s="1475"/>
      <c r="FU33" s="1475">
        <v>22080</v>
      </c>
      <c r="FV33" s="700"/>
      <c r="FW33" s="700"/>
      <c r="FX33" s="1448"/>
      <c r="FY33" s="1469">
        <v>4500134142</v>
      </c>
      <c r="GE33" s="1558" t="s">
        <v>11844</v>
      </c>
      <c r="GF33" s="1559">
        <f>GF30-GF32</f>
        <v>16448</v>
      </c>
      <c r="GG33" s="1559">
        <f>GG30-GG32</f>
        <v>18366</v>
      </c>
      <c r="GH33" s="1559">
        <f>GH30-GH32</f>
        <v>19750</v>
      </c>
      <c r="GI33" s="1559">
        <f>GI30-GI32</f>
        <v>0</v>
      </c>
      <c r="GJ33" s="1559">
        <f>GJ30-GJ32</f>
        <v>-3000</v>
      </c>
      <c r="GK33" s="1560"/>
    </row>
    <row r="34" s="1329" customFormat="1" ht="24" customHeight="1" spans="2:195">
      <c r="B34" s="1435">
        <v>43696</v>
      </c>
      <c r="C34" s="1479" t="s">
        <v>11845</v>
      </c>
      <c r="D34" s="1437" t="s">
        <v>11679</v>
      </c>
      <c r="E34" s="1438"/>
      <c r="F34" s="1438"/>
      <c r="G34" s="1438">
        <v>200000</v>
      </c>
      <c r="H34" s="1438"/>
      <c r="I34" s="1439"/>
      <c r="J34" s="1440"/>
      <c r="K34" s="1440"/>
      <c r="L34" s="1440"/>
      <c r="M34" s="1440"/>
      <c r="N34" s="1440"/>
      <c r="O34" s="1440"/>
      <c r="P34" s="1440"/>
      <c r="Q34" s="1441"/>
      <c r="S34" s="1442">
        <v>43942</v>
      </c>
      <c r="T34" s="1443" t="s">
        <v>11846</v>
      </c>
      <c r="U34" s="1443" t="s">
        <v>11679</v>
      </c>
      <c r="V34" s="1443"/>
      <c r="W34" s="1443"/>
      <c r="X34" s="1443"/>
      <c r="Y34" s="1443"/>
      <c r="Z34" s="1443"/>
      <c r="AA34" s="1443">
        <v>6454</v>
      </c>
      <c r="AB34" s="1443"/>
      <c r="AC34" s="1443"/>
      <c r="AD34" s="1443"/>
      <c r="AE34" s="1443"/>
      <c r="AF34" s="1443"/>
      <c r="AG34" s="1443"/>
      <c r="AH34" s="1443"/>
      <c r="AI34" s="1443"/>
      <c r="AK34" s="1444">
        <v>44333</v>
      </c>
      <c r="AL34" s="1445" t="s">
        <v>11847</v>
      </c>
      <c r="AM34" s="1446" t="s">
        <v>11683</v>
      </c>
      <c r="AN34" s="1447"/>
      <c r="AO34" s="1447"/>
      <c r="AP34" s="1447"/>
      <c r="AQ34" s="1447"/>
      <c r="AR34" s="700">
        <v>45000</v>
      </c>
      <c r="AS34" s="700"/>
      <c r="AT34" s="700"/>
      <c r="AU34" s="1448"/>
      <c r="AV34" s="1448"/>
      <c r="AW34" s="1448"/>
      <c r="AX34" s="1448"/>
      <c r="AY34" s="1448"/>
      <c r="AZ34" s="1448"/>
      <c r="BA34" s="1449"/>
      <c r="BW34" s="1444">
        <v>44505</v>
      </c>
      <c r="BX34" s="1561" t="s">
        <v>11848</v>
      </c>
      <c r="BY34" s="1457" t="s">
        <v>11684</v>
      </c>
      <c r="BZ34" s="1447">
        <v>5000</v>
      </c>
      <c r="CA34" s="1447"/>
      <c r="CB34" s="1443"/>
      <c r="CC34" s="719"/>
      <c r="CD34" s="700"/>
      <c r="CE34" s="700"/>
      <c r="CF34" s="1449"/>
      <c r="CG34" s="1330"/>
      <c r="CH34" s="1562"/>
      <c r="CI34" s="1453"/>
      <c r="CJ34" s="1507" t="s">
        <v>11822</v>
      </c>
      <c r="CK34" s="1507">
        <f>SUM(CK5:CK33)</f>
        <v>382429</v>
      </c>
      <c r="CL34" s="1513">
        <f>SUM(CL5:CL33)</f>
        <v>275557</v>
      </c>
      <c r="CM34" s="1507">
        <f>SUM(CM5:CM33)</f>
        <v>31200</v>
      </c>
      <c r="CN34" s="1563">
        <f>SUM(CN8:CN33)</f>
        <v>31272</v>
      </c>
      <c r="CP34" s="1455">
        <v>44693</v>
      </c>
      <c r="CQ34" s="1456">
        <v>1000010751</v>
      </c>
      <c r="CR34" s="1457" t="s">
        <v>11832</v>
      </c>
      <c r="CS34" s="1443">
        <v>150000</v>
      </c>
      <c r="CT34" s="1443"/>
      <c r="CU34" s="1443"/>
      <c r="CV34" s="1443"/>
      <c r="CW34" s="1443"/>
      <c r="CX34" s="1443"/>
      <c r="CY34" s="1443"/>
      <c r="CZ34" s="1443"/>
      <c r="DA34" s="700"/>
      <c r="DB34" s="1443"/>
      <c r="DC34" s="1443"/>
      <c r="DD34" s="1440"/>
      <c r="DE34" s="1458"/>
      <c r="DG34" s="1455">
        <v>45091</v>
      </c>
      <c r="DH34" s="1456">
        <v>1000014891</v>
      </c>
      <c r="DI34" s="135" t="s">
        <v>11685</v>
      </c>
      <c r="DJ34" s="700">
        <v>120000</v>
      </c>
      <c r="DK34" s="700"/>
      <c r="DL34" s="700"/>
      <c r="DM34" s="700"/>
      <c r="DN34" s="700"/>
      <c r="DO34" s="700"/>
      <c r="DP34" s="1466"/>
      <c r="DQ34" s="1466"/>
      <c r="DR34" s="1466"/>
      <c r="DS34" s="700"/>
      <c r="DT34" s="700"/>
      <c r="DU34" s="700"/>
      <c r="DV34" s="700"/>
      <c r="DW34" s="700"/>
      <c r="DX34" s="700"/>
      <c r="DY34" s="700"/>
      <c r="DZ34" s="700"/>
      <c r="EA34" s="700"/>
      <c r="EB34" s="700"/>
      <c r="EC34" s="1448"/>
      <c r="ED34" s="1448"/>
      <c r="EE34" s="1469"/>
      <c r="EF34" s="1461"/>
      <c r="EG34" s="1461"/>
      <c r="EH34" s="1461"/>
      <c r="EI34" s="1455">
        <v>45274</v>
      </c>
      <c r="EJ34" s="700">
        <v>1000017846</v>
      </c>
      <c r="EK34" s="700" t="s">
        <v>11686</v>
      </c>
      <c r="EL34" s="700"/>
      <c r="EM34" s="700"/>
      <c r="EN34" s="700"/>
      <c r="EO34" s="700"/>
      <c r="EP34" s="700"/>
      <c r="EQ34" s="700"/>
      <c r="ER34" s="700"/>
      <c r="ES34" s="700"/>
      <c r="ET34" s="700">
        <v>10000</v>
      </c>
      <c r="EU34" s="700"/>
      <c r="EV34" s="700"/>
      <c r="EW34" s="700"/>
      <c r="EX34" s="700"/>
      <c r="EY34" s="700"/>
      <c r="EZ34" s="700"/>
      <c r="FA34" s="700"/>
      <c r="FB34" s="700"/>
      <c r="FC34" s="1454"/>
      <c r="FD34" s="1462"/>
      <c r="FH34" s="1455">
        <v>45435</v>
      </c>
      <c r="FI34" s="700"/>
      <c r="FJ34" s="700"/>
      <c r="FK34" s="700"/>
      <c r="FL34" s="700"/>
      <c r="FM34" s="700"/>
      <c r="FN34" s="700"/>
      <c r="FO34" s="700"/>
      <c r="FP34" s="700"/>
      <c r="FQ34" s="700"/>
      <c r="FR34" s="700"/>
      <c r="FS34" s="700"/>
      <c r="FT34" s="1475">
        <v>750</v>
      </c>
      <c r="FU34" s="1475"/>
      <c r="FV34" s="700"/>
      <c r="FW34" s="700"/>
      <c r="FX34" s="1448"/>
      <c r="FY34" s="1469">
        <v>4500133114</v>
      </c>
      <c r="GF34" s="1329">
        <v>204796</v>
      </c>
      <c r="GG34" s="1329">
        <v>62834</v>
      </c>
      <c r="GH34" s="1329">
        <v>232654</v>
      </c>
      <c r="GJ34" s="1329">
        <v>6000</v>
      </c>
    </row>
    <row r="35" s="1329" customFormat="1" ht="24" customHeight="1" spans="2:195">
      <c r="B35" s="1435">
        <v>43696</v>
      </c>
      <c r="C35" s="1436" t="s">
        <v>11849</v>
      </c>
      <c r="D35" s="1437" t="s">
        <v>11679</v>
      </c>
      <c r="E35" s="1438"/>
      <c r="F35" s="1438"/>
      <c r="G35" s="1438"/>
      <c r="H35" s="1438">
        <v>240000</v>
      </c>
      <c r="I35" s="1439"/>
      <c r="J35" s="1440"/>
      <c r="K35" s="1440"/>
      <c r="L35" s="1440"/>
      <c r="M35" s="1440"/>
      <c r="N35" s="1440"/>
      <c r="O35" s="1440"/>
      <c r="P35" s="1440"/>
      <c r="Q35" s="1441"/>
      <c r="S35" s="1442">
        <v>43960</v>
      </c>
      <c r="T35" s="1443" t="s">
        <v>11850</v>
      </c>
      <c r="U35" s="1443" t="s">
        <v>11679</v>
      </c>
      <c r="V35" s="1443"/>
      <c r="W35" s="1443">
        <v>54716</v>
      </c>
      <c r="X35" s="1443"/>
      <c r="Y35" s="1443"/>
      <c r="Z35" s="1443"/>
      <c r="AA35" s="1443"/>
      <c r="AB35" s="1443"/>
      <c r="AC35" s="1443"/>
      <c r="AD35" s="1443"/>
      <c r="AE35" s="1443"/>
      <c r="AF35" s="1443"/>
      <c r="AG35" s="1443"/>
      <c r="AH35" s="1443"/>
      <c r="AI35" s="1443"/>
      <c r="AK35" s="1444">
        <v>44333</v>
      </c>
      <c r="AL35" s="1445" t="s">
        <v>11851</v>
      </c>
      <c r="AM35" s="1446" t="s">
        <v>11683</v>
      </c>
      <c r="AN35" s="1447"/>
      <c r="AO35" s="1447"/>
      <c r="AP35" s="1447"/>
      <c r="AQ35" s="1447"/>
      <c r="AR35" s="700"/>
      <c r="AS35" s="700"/>
      <c r="AT35" s="700"/>
      <c r="AU35" s="1448">
        <v>45000</v>
      </c>
      <c r="AV35" s="1448"/>
      <c r="AW35" s="1448"/>
      <c r="AX35" s="1448"/>
      <c r="AY35" s="1448"/>
      <c r="AZ35" s="1448"/>
      <c r="BA35" s="1449"/>
      <c r="BW35" s="1444">
        <v>44578</v>
      </c>
      <c r="BX35" s="1456">
        <v>1000009506</v>
      </c>
      <c r="BY35" s="1498" t="s">
        <v>11684</v>
      </c>
      <c r="BZ35" s="1447"/>
      <c r="CA35" s="1447"/>
      <c r="CB35" s="1443"/>
      <c r="CC35" s="719">
        <v>3000</v>
      </c>
      <c r="CD35" s="700"/>
      <c r="CE35" s="700"/>
      <c r="CF35" s="1449"/>
      <c r="CG35" s="1330"/>
      <c r="CH35" s="1564" t="s">
        <v>11796</v>
      </c>
      <c r="CI35" s="1505"/>
      <c r="CJ35" s="1512"/>
      <c r="CK35" s="1513" t="e">
        <f>#REF!+CK42+7104</f>
        <v>#REF!</v>
      </c>
      <c r="CL35" s="1513" t="e">
        <f>#REF!+CL42+7104</f>
        <v>#REF!</v>
      </c>
      <c r="CM35" s="1513" t="e">
        <f>#REF!+CM42+120</f>
        <v>#REF!</v>
      </c>
      <c r="CN35" s="1565" t="e">
        <f>#REF!+CN42+120</f>
        <v>#REF!</v>
      </c>
      <c r="CP35" s="1455">
        <v>44693</v>
      </c>
      <c r="CQ35" s="1456">
        <v>1000010752</v>
      </c>
      <c r="CR35" s="1457" t="s">
        <v>11832</v>
      </c>
      <c r="CS35" s="1443"/>
      <c r="CT35" s="1443">
        <v>150000</v>
      </c>
      <c r="CU35" s="1443"/>
      <c r="CV35" s="1443"/>
      <c r="CW35" s="1443"/>
      <c r="CX35" s="1443"/>
      <c r="CY35" s="1443"/>
      <c r="CZ35" s="1443"/>
      <c r="DA35" s="700"/>
      <c r="DB35" s="1443"/>
      <c r="DC35" s="1443"/>
      <c r="DD35" s="1440"/>
      <c r="DE35" s="1458"/>
      <c r="DG35" s="1455">
        <v>45091</v>
      </c>
      <c r="DH35" s="1456">
        <v>1000014892</v>
      </c>
      <c r="DI35" s="135" t="s">
        <v>11685</v>
      </c>
      <c r="DJ35" s="700"/>
      <c r="DK35" s="700"/>
      <c r="DL35" s="700"/>
      <c r="DM35" s="700"/>
      <c r="DN35" s="1464">
        <v>30000</v>
      </c>
      <c r="DO35" s="1464"/>
      <c r="DP35" s="1465"/>
      <c r="DQ35" s="1466"/>
      <c r="DR35" s="1466"/>
      <c r="DS35" s="700"/>
      <c r="DT35" s="700"/>
      <c r="DU35" s="700"/>
      <c r="DV35" s="700"/>
      <c r="DW35" s="700"/>
      <c r="DX35" s="700"/>
      <c r="DY35" s="700"/>
      <c r="DZ35" s="700"/>
      <c r="EA35" s="700"/>
      <c r="EB35" s="700"/>
      <c r="EC35" s="1448"/>
      <c r="ED35" s="1448"/>
      <c r="EE35" s="1469"/>
      <c r="EF35" s="1461"/>
      <c r="EG35" s="1461"/>
      <c r="EH35" s="1461"/>
      <c r="EI35" s="1455">
        <v>45274</v>
      </c>
      <c r="EJ35" s="700">
        <v>1000017847</v>
      </c>
      <c r="EK35" s="700" t="s">
        <v>11686</v>
      </c>
      <c r="EL35" s="700"/>
      <c r="EM35" s="700"/>
      <c r="EN35" s="700"/>
      <c r="EO35" s="700">
        <v>30000</v>
      </c>
      <c r="EP35" s="700"/>
      <c r="EQ35" s="700"/>
      <c r="ER35" s="700"/>
      <c r="ES35" s="700"/>
      <c r="ET35" s="700"/>
      <c r="EU35" s="700"/>
      <c r="EV35" s="700"/>
      <c r="EW35" s="700"/>
      <c r="EX35" s="700"/>
      <c r="EY35" s="700"/>
      <c r="EZ35" s="700"/>
      <c r="FA35" s="700"/>
      <c r="FB35" s="700"/>
      <c r="FC35" s="1454"/>
      <c r="FD35" s="1462"/>
      <c r="FH35" s="1455">
        <v>45435</v>
      </c>
      <c r="FI35" s="700"/>
      <c r="FJ35" s="700"/>
      <c r="FK35" s="700"/>
      <c r="FL35" s="700"/>
      <c r="FM35" s="700"/>
      <c r="FN35" s="700"/>
      <c r="FO35" s="700"/>
      <c r="FP35" s="700"/>
      <c r="FQ35" s="700"/>
      <c r="FR35" s="700"/>
      <c r="FS35" s="700"/>
      <c r="FT35" s="700">
        <v>1536</v>
      </c>
      <c r="FU35" s="700"/>
      <c r="FV35" s="700"/>
      <c r="FW35" s="700"/>
      <c r="FX35" s="1448"/>
      <c r="FY35" s="1566">
        <v>450013445</v>
      </c>
      <c r="GF35" s="1329">
        <f>GF34-GF32</f>
        <v>-88756</v>
      </c>
      <c r="GG35" s="1329">
        <f>GG34-GG32</f>
        <v>-68800</v>
      </c>
      <c r="GH35" s="1329">
        <f>GH34-GH32</f>
        <v>-157596</v>
      </c>
      <c r="GI35" s="1329">
        <f>GI34-GI32</f>
        <v>0</v>
      </c>
      <c r="GJ35" s="1329">
        <f>GJ34-GJ32</f>
        <v>0</v>
      </c>
    </row>
    <row r="36" s="1329" customFormat="1" ht="24" customHeight="1" spans="2:195">
      <c r="B36" s="1435">
        <v>43696</v>
      </c>
      <c r="C36" s="1436" t="s">
        <v>11852</v>
      </c>
      <c r="D36" s="1437" t="s">
        <v>11679</v>
      </c>
      <c r="E36" s="1438"/>
      <c r="F36" s="1438"/>
      <c r="G36" s="1438"/>
      <c r="H36" s="1438"/>
      <c r="I36" s="1439">
        <v>200000</v>
      </c>
      <c r="J36" s="1440"/>
      <c r="K36" s="1440"/>
      <c r="L36" s="1440"/>
      <c r="M36" s="1440"/>
      <c r="N36" s="1440"/>
      <c r="O36" s="1440"/>
      <c r="P36" s="1440"/>
      <c r="Q36" s="1441"/>
      <c r="S36" s="1442">
        <v>43960</v>
      </c>
      <c r="T36" s="1443" t="s">
        <v>11853</v>
      </c>
      <c r="U36" s="1443" t="s">
        <v>11679</v>
      </c>
      <c r="V36" s="1443"/>
      <c r="W36" s="1443"/>
      <c r="X36" s="1443">
        <v>38042</v>
      </c>
      <c r="Y36" s="1443"/>
      <c r="Z36" s="1443"/>
      <c r="AA36" s="1443"/>
      <c r="AB36" s="1443"/>
      <c r="AC36" s="1443"/>
      <c r="AD36" s="1443"/>
      <c r="AE36" s="1443"/>
      <c r="AF36" s="1443"/>
      <c r="AG36" s="1443"/>
      <c r="AH36" s="1443"/>
      <c r="AI36" s="1443"/>
      <c r="AK36" s="1444">
        <v>44333</v>
      </c>
      <c r="AL36" s="1445" t="s">
        <v>11854</v>
      </c>
      <c r="AM36" s="1446" t="s">
        <v>11683</v>
      </c>
      <c r="AN36" s="1447"/>
      <c r="AO36" s="1447"/>
      <c r="AP36" s="1447"/>
      <c r="AQ36" s="1447"/>
      <c r="AR36" s="700"/>
      <c r="AS36" s="700"/>
      <c r="AT36" s="700"/>
      <c r="AU36" s="1448"/>
      <c r="AV36" s="1448"/>
      <c r="AW36" s="1448">
        <v>8000</v>
      </c>
      <c r="AX36" s="1448"/>
      <c r="AY36" s="1448"/>
      <c r="AZ36" s="1448"/>
      <c r="BA36" s="1449"/>
      <c r="BW36" s="1444" t="s">
        <v>11855</v>
      </c>
      <c r="BX36" s="1567"/>
      <c r="BY36" s="1568"/>
      <c r="BZ36" s="1569">
        <v>4367</v>
      </c>
      <c r="CA36" s="1569"/>
      <c r="CB36" s="1570"/>
      <c r="CC36" s="1571">
        <v>752</v>
      </c>
      <c r="CD36" s="1571">
        <v>15000</v>
      </c>
      <c r="CE36" s="718">
        <v>904</v>
      </c>
      <c r="CF36" s="1572">
        <v>15000</v>
      </c>
      <c r="CG36" s="1330"/>
      <c r="CH36" s="1564" t="s">
        <v>11804</v>
      </c>
      <c r="CI36" s="1505"/>
      <c r="CJ36" s="1512"/>
      <c r="CK36" s="1513"/>
      <c r="CL36" s="1513"/>
      <c r="CM36" s="1513"/>
      <c r="CN36" s="1565"/>
      <c r="CP36" s="1455">
        <v>44693</v>
      </c>
      <c r="CQ36" s="1456">
        <v>1000010753</v>
      </c>
      <c r="CR36" s="1457" t="s">
        <v>11832</v>
      </c>
      <c r="CS36" s="1443"/>
      <c r="CT36" s="1443"/>
      <c r="CU36" s="1443"/>
      <c r="CV36" s="1443">
        <v>50000</v>
      </c>
      <c r="CW36" s="1443"/>
      <c r="CX36" s="1443"/>
      <c r="CY36" s="1443"/>
      <c r="CZ36" s="1443"/>
      <c r="DA36" s="700"/>
      <c r="DB36" s="1443"/>
      <c r="DC36" s="1443"/>
      <c r="DD36" s="1440"/>
      <c r="DE36" s="1458"/>
      <c r="DG36" s="1455">
        <v>45091</v>
      </c>
      <c r="DH36" s="1456">
        <v>1000014893</v>
      </c>
      <c r="DI36" s="135" t="s">
        <v>11685</v>
      </c>
      <c r="DJ36" s="700"/>
      <c r="DK36" s="700"/>
      <c r="DL36" s="700"/>
      <c r="DM36" s="700"/>
      <c r="DN36" s="700"/>
      <c r="DO36" s="700"/>
      <c r="DP36" s="1466"/>
      <c r="DQ36" s="1466">
        <v>160000</v>
      </c>
      <c r="DR36" s="1466"/>
      <c r="DS36" s="700"/>
      <c r="DT36" s="700"/>
      <c r="DU36" s="700"/>
      <c r="DV36" s="700"/>
      <c r="DW36" s="700"/>
      <c r="DX36" s="700"/>
      <c r="DY36" s="700"/>
      <c r="DZ36" s="700"/>
      <c r="EA36" s="700"/>
      <c r="EB36" s="700"/>
      <c r="EC36" s="1448"/>
      <c r="ED36" s="1448"/>
      <c r="EE36" s="1469"/>
      <c r="EF36" s="1461"/>
      <c r="EG36" s="1461"/>
      <c r="EH36" s="1461"/>
      <c r="EI36" s="1455">
        <v>45295</v>
      </c>
      <c r="EJ36" s="700">
        <v>1000018119</v>
      </c>
      <c r="EK36" s="700" t="s">
        <v>11686</v>
      </c>
      <c r="EL36" s="700"/>
      <c r="EM36" s="700"/>
      <c r="EN36" s="700"/>
      <c r="EO36" s="700"/>
      <c r="EP36" s="700"/>
      <c r="EQ36" s="700"/>
      <c r="ER36" s="700"/>
      <c r="ES36" s="700"/>
      <c r="ET36" s="700"/>
      <c r="EU36" s="700"/>
      <c r="EV36" s="700">
        <v>5000</v>
      </c>
      <c r="EW36" s="700"/>
      <c r="EX36" s="700"/>
      <c r="EY36" s="700"/>
      <c r="EZ36" s="700"/>
      <c r="FA36" s="700"/>
      <c r="FB36" s="700"/>
      <c r="FC36" s="1454"/>
      <c r="FD36" s="1462"/>
      <c r="FH36" s="1455">
        <v>45447</v>
      </c>
      <c r="FI36" s="700">
        <v>1000020778</v>
      </c>
      <c r="FJ36" s="700"/>
      <c r="FK36" s="700"/>
      <c r="FL36" s="700"/>
      <c r="FM36" s="700">
        <v>60000</v>
      </c>
      <c r="FN36" s="700"/>
      <c r="FO36" s="700"/>
      <c r="FP36" s="700"/>
      <c r="FQ36" s="700"/>
      <c r="FR36" s="700"/>
      <c r="FS36" s="700"/>
      <c r="FT36" s="700"/>
      <c r="FU36" s="700"/>
      <c r="FV36" s="700"/>
      <c r="FW36" s="700"/>
      <c r="FX36" s="1448"/>
      <c r="FY36" s="1463"/>
    </row>
    <row r="37" s="1329" customFormat="1" ht="24" customHeight="1" spans="2:195">
      <c r="B37" s="1435">
        <v>43696</v>
      </c>
      <c r="C37" s="1436" t="s">
        <v>11856</v>
      </c>
      <c r="D37" s="1437" t="s">
        <v>11679</v>
      </c>
      <c r="E37" s="1438"/>
      <c r="F37" s="1438"/>
      <c r="G37" s="1438"/>
      <c r="H37" s="1438"/>
      <c r="I37" s="1439"/>
      <c r="J37" s="1440"/>
      <c r="K37" s="1440"/>
      <c r="L37" s="1440"/>
      <c r="M37" s="1440">
        <v>11000</v>
      </c>
      <c r="N37" s="1440"/>
      <c r="O37" s="1440"/>
      <c r="P37" s="1440"/>
      <c r="Q37" s="1441"/>
      <c r="S37" s="1442">
        <v>43960</v>
      </c>
      <c r="T37" s="1443" t="s">
        <v>11857</v>
      </c>
      <c r="U37" s="1443" t="s">
        <v>11679</v>
      </c>
      <c r="V37" s="1443"/>
      <c r="W37" s="1443"/>
      <c r="X37" s="1443"/>
      <c r="Y37" s="1443">
        <v>24210</v>
      </c>
      <c r="Z37" s="1443"/>
      <c r="AA37" s="1443"/>
      <c r="AB37" s="1443"/>
      <c r="AC37" s="1443"/>
      <c r="AD37" s="1443"/>
      <c r="AE37" s="1443"/>
      <c r="AF37" s="1443"/>
      <c r="AG37" s="1443"/>
      <c r="AH37" s="1443"/>
      <c r="AI37" s="1443"/>
      <c r="AK37" s="1444">
        <v>44333</v>
      </c>
      <c r="AL37" s="1445" t="s">
        <v>11682</v>
      </c>
      <c r="AM37" s="1446" t="s">
        <v>11683</v>
      </c>
      <c r="AN37" s="1447"/>
      <c r="AO37" s="1447"/>
      <c r="AP37" s="1447"/>
      <c r="AQ37" s="1447"/>
      <c r="AR37" s="700"/>
      <c r="AS37" s="700"/>
      <c r="AT37" s="700"/>
      <c r="AU37" s="1448"/>
      <c r="AV37" s="1448"/>
      <c r="AW37" s="1448"/>
      <c r="AX37" s="1448"/>
      <c r="AY37" s="1448">
        <v>100</v>
      </c>
      <c r="AZ37" s="1448"/>
      <c r="BA37" s="1449"/>
      <c r="BW37" s="1444"/>
      <c r="BX37" s="1561"/>
      <c r="BY37" s="1446"/>
      <c r="BZ37" s="1447"/>
      <c r="CA37" s="1447"/>
      <c r="CB37" s="1443"/>
      <c r="CC37" s="1571"/>
      <c r="CD37" s="700"/>
      <c r="CE37" s="700"/>
      <c r="CF37" s="1449"/>
      <c r="CG37" s="1330"/>
      <c r="CH37" s="1573" t="s">
        <v>11809</v>
      </c>
      <c r="CI37" s="1574"/>
      <c r="CJ37" s="1575"/>
      <c r="CK37" s="1576" t="e">
        <f>CK34-CK35-CK36</f>
        <v>#REF!</v>
      </c>
      <c r="CL37" s="1576" t="e">
        <f>CL34-CL35-CL36</f>
        <v>#REF!</v>
      </c>
      <c r="CM37" s="1576" t="e">
        <f>CM34-CM35-CM36</f>
        <v>#REF!</v>
      </c>
      <c r="CN37" s="1577" t="e">
        <f>CN34-CN35-CN36</f>
        <v>#REF!</v>
      </c>
      <c r="CP37" s="1455">
        <v>44693</v>
      </c>
      <c r="CQ37" s="1456">
        <v>1000010754</v>
      </c>
      <c r="CR37" s="1457" t="s">
        <v>11832</v>
      </c>
      <c r="CS37" s="1443"/>
      <c r="CT37" s="1443"/>
      <c r="CU37" s="1443"/>
      <c r="CV37" s="1443"/>
      <c r="CW37" s="1443">
        <v>50000</v>
      </c>
      <c r="CX37" s="1443"/>
      <c r="CY37" s="1443"/>
      <c r="CZ37" s="1443"/>
      <c r="DA37" s="700"/>
      <c r="DB37" s="1443"/>
      <c r="DC37" s="1443"/>
      <c r="DD37" s="1440"/>
      <c r="DE37" s="1458"/>
      <c r="DG37" s="1455">
        <v>45091</v>
      </c>
      <c r="DH37" s="1456">
        <v>1000014894</v>
      </c>
      <c r="DI37" s="135" t="s">
        <v>11685</v>
      </c>
      <c r="DJ37" s="700"/>
      <c r="DK37" s="700"/>
      <c r="DL37" s="700">
        <v>5000</v>
      </c>
      <c r="DM37" s="700"/>
      <c r="DN37" s="700"/>
      <c r="DO37" s="700"/>
      <c r="DP37" s="1466"/>
      <c r="DQ37" s="1466"/>
      <c r="DR37" s="1466"/>
      <c r="DS37" s="700"/>
      <c r="DT37" s="700"/>
      <c r="DU37" s="700"/>
      <c r="DV37" s="700"/>
      <c r="DW37" s="700"/>
      <c r="DX37" s="700"/>
      <c r="DY37" s="700"/>
      <c r="DZ37" s="700"/>
      <c r="EA37" s="700"/>
      <c r="EB37" s="700"/>
      <c r="EC37" s="1448"/>
      <c r="ED37" s="1448"/>
      <c r="EE37" s="1469"/>
      <c r="EF37" s="1461"/>
      <c r="EG37" s="1461"/>
      <c r="EH37" s="1461"/>
      <c r="EI37" s="1455">
        <v>45306</v>
      </c>
      <c r="EJ37" s="700">
        <v>1000018265</v>
      </c>
      <c r="EK37" s="700" t="s">
        <v>11686</v>
      </c>
      <c r="EL37" s="700">
        <v>100000</v>
      </c>
      <c r="EM37" s="700"/>
      <c r="EN37" s="700"/>
      <c r="EO37" s="700"/>
      <c r="EP37" s="700"/>
      <c r="EQ37" s="700"/>
      <c r="ER37" s="700"/>
      <c r="ES37" s="700"/>
      <c r="ET37" s="700"/>
      <c r="EU37" s="700"/>
      <c r="EV37" s="718"/>
      <c r="EW37" s="718"/>
      <c r="EX37" s="700"/>
      <c r="EY37" s="700"/>
      <c r="EZ37" s="700"/>
      <c r="FA37" s="700"/>
      <c r="FB37" s="700"/>
      <c r="FC37" s="1454"/>
      <c r="FD37" s="1462"/>
      <c r="FH37" s="1455">
        <v>45447</v>
      </c>
      <c r="FI37" s="700">
        <v>1000020781</v>
      </c>
      <c r="FJ37" s="700"/>
      <c r="FK37" s="700"/>
      <c r="FL37" s="700"/>
      <c r="FM37" s="700"/>
      <c r="FN37" s="700"/>
      <c r="FO37" s="700">
        <v>200000</v>
      </c>
      <c r="FP37" s="700"/>
      <c r="FQ37" s="700"/>
      <c r="FR37" s="700"/>
      <c r="FS37" s="700"/>
      <c r="FT37" s="700"/>
      <c r="FU37" s="700"/>
      <c r="FV37" s="700"/>
      <c r="FW37" s="700"/>
      <c r="FX37" s="1448"/>
      <c r="FY37" s="1463"/>
    </row>
    <row r="38" s="1329" customFormat="1" ht="24" customHeight="1" spans="2:195">
      <c r="B38" s="1435">
        <v>43728</v>
      </c>
      <c r="C38" s="1436" t="s">
        <v>11858</v>
      </c>
      <c r="D38" s="1437" t="s">
        <v>11679</v>
      </c>
      <c r="E38" s="1438"/>
      <c r="F38" s="1438"/>
      <c r="G38" s="1438">
        <v>220000</v>
      </c>
      <c r="H38" s="1438"/>
      <c r="I38" s="1439"/>
      <c r="J38" s="1440"/>
      <c r="K38" s="1440"/>
      <c r="L38" s="1440"/>
      <c r="M38" s="1440"/>
      <c r="N38" s="1440"/>
      <c r="O38" s="1440"/>
      <c r="P38" s="1440"/>
      <c r="Q38" s="1441"/>
      <c r="S38" s="1442">
        <v>43960</v>
      </c>
      <c r="T38" s="1443" t="s">
        <v>11859</v>
      </c>
      <c r="U38" s="1443" t="s">
        <v>11679</v>
      </c>
      <c r="V38" s="1443"/>
      <c r="W38" s="1443"/>
      <c r="X38" s="1443"/>
      <c r="Y38" s="1443"/>
      <c r="Z38" s="1443"/>
      <c r="AA38" s="1443">
        <v>7486</v>
      </c>
      <c r="AB38" s="1443"/>
      <c r="AC38" s="1443"/>
      <c r="AD38" s="1443"/>
      <c r="AE38" s="1443"/>
      <c r="AF38" s="1443"/>
      <c r="AG38" s="1443"/>
      <c r="AH38" s="1443"/>
      <c r="AI38" s="1443"/>
      <c r="AK38" s="1444">
        <v>44334</v>
      </c>
      <c r="AL38" s="1578" t="s">
        <v>11860</v>
      </c>
      <c r="AM38" s="1446"/>
      <c r="AN38" s="1447"/>
      <c r="AO38" s="1447"/>
      <c r="AP38" s="1447"/>
      <c r="AQ38" s="1447"/>
      <c r="AR38" s="700"/>
      <c r="AS38" s="700"/>
      <c r="AT38" s="700"/>
      <c r="AU38" s="1448"/>
      <c r="AV38" s="1448"/>
      <c r="AW38" s="1448"/>
      <c r="AX38" s="1456">
        <v>20000</v>
      </c>
      <c r="AY38" s="1448"/>
      <c r="AZ38" s="1448"/>
      <c r="BA38" s="1449"/>
      <c r="BW38" s="1504"/>
      <c r="BX38" s="1505"/>
      <c r="BY38" s="1506" t="s">
        <v>11789</v>
      </c>
      <c r="BZ38" s="1507">
        <f>SUM(BZ5:BZ37)</f>
        <v>272270</v>
      </c>
      <c r="CA38" s="1507">
        <f>SUM(CA5:CA34)</f>
        <v>50328</v>
      </c>
      <c r="CB38" s="1507">
        <f>SUM(CB5:CB34)</f>
        <v>172531</v>
      </c>
      <c r="CC38" s="1507">
        <f>SUM(CC7:CC37)</f>
        <v>107733</v>
      </c>
      <c r="CD38" s="1507">
        <f>SUM(CD5:CD37)</f>
        <v>28724</v>
      </c>
      <c r="CE38" s="1507">
        <f>SUM(CE6:CE37)</f>
        <v>9628</v>
      </c>
      <c r="CF38" s="1509">
        <f>SUM(CF5:CF37)</f>
        <v>23504</v>
      </c>
      <c r="CG38" s="1330"/>
      <c r="CP38" s="1455">
        <v>44693</v>
      </c>
      <c r="CQ38" s="1456">
        <v>1000010755</v>
      </c>
      <c r="CR38" s="1457" t="s">
        <v>11832</v>
      </c>
      <c r="CS38" s="1443"/>
      <c r="CT38" s="1443"/>
      <c r="CU38" s="1443"/>
      <c r="CV38" s="1443"/>
      <c r="CW38" s="1443"/>
      <c r="CX38" s="1443">
        <v>7000</v>
      </c>
      <c r="CY38" s="1443"/>
      <c r="CZ38" s="1443"/>
      <c r="DA38" s="700"/>
      <c r="DB38" s="1443"/>
      <c r="DC38" s="1443"/>
      <c r="DD38" s="1440"/>
      <c r="DE38" s="1458"/>
      <c r="DG38" s="1455">
        <v>45091</v>
      </c>
      <c r="DH38" s="1456">
        <v>1000014895</v>
      </c>
      <c r="DI38" s="135" t="s">
        <v>11685</v>
      </c>
      <c r="DJ38" s="700"/>
      <c r="DK38" s="700"/>
      <c r="DL38" s="700"/>
      <c r="DM38" s="700"/>
      <c r="DN38" s="700"/>
      <c r="DO38" s="700"/>
      <c r="DP38" s="1466"/>
      <c r="DQ38" s="1466"/>
      <c r="DR38" s="1466"/>
      <c r="DS38" s="700">
        <v>3000</v>
      </c>
      <c r="DT38" s="700"/>
      <c r="DU38" s="700"/>
      <c r="DV38" s="700"/>
      <c r="DW38" s="700"/>
      <c r="DX38" s="700"/>
      <c r="DY38" s="700"/>
      <c r="DZ38" s="700"/>
      <c r="EA38" s="700"/>
      <c r="EB38" s="700"/>
      <c r="EC38" s="1448"/>
      <c r="ED38" s="1448"/>
      <c r="EE38" s="1463"/>
      <c r="EF38" s="1461"/>
      <c r="EG38" s="1461"/>
      <c r="EH38" s="1461"/>
      <c r="EI38" s="1455">
        <v>45306</v>
      </c>
      <c r="EJ38" s="700">
        <v>1000018266</v>
      </c>
      <c r="EK38" s="700" t="s">
        <v>11686</v>
      </c>
      <c r="EL38" s="700"/>
      <c r="EM38" s="700"/>
      <c r="EN38" s="700"/>
      <c r="EO38" s="700"/>
      <c r="EP38" s="700"/>
      <c r="EQ38" s="700"/>
      <c r="ER38" s="700">
        <v>100000</v>
      </c>
      <c r="ES38" s="700"/>
      <c r="ET38" s="700"/>
      <c r="EU38" s="700"/>
      <c r="EV38" s="700"/>
      <c r="EW38" s="700"/>
      <c r="EX38" s="700"/>
      <c r="EY38" s="700"/>
      <c r="EZ38" s="700"/>
      <c r="FA38" s="700"/>
      <c r="FB38" s="700"/>
      <c r="FC38" s="1454"/>
      <c r="FD38" s="1462"/>
      <c r="FH38" s="1455">
        <v>45456</v>
      </c>
      <c r="FI38" s="700"/>
      <c r="FJ38" s="700"/>
      <c r="FK38" s="700"/>
      <c r="FL38" s="700"/>
      <c r="FM38" s="700"/>
      <c r="FN38" s="700"/>
      <c r="FO38" s="700"/>
      <c r="FP38" s="700"/>
      <c r="FQ38" s="700"/>
      <c r="FR38" s="700"/>
      <c r="FS38" s="700"/>
      <c r="FT38" s="700"/>
      <c r="FU38" s="700"/>
      <c r="FV38" s="700"/>
      <c r="FW38" s="700"/>
      <c r="FX38" s="1448">
        <v>44604</v>
      </c>
      <c r="FY38" s="1463" t="s">
        <v>11861</v>
      </c>
      <c r="FZ38" s="1329">
        <f>FX38-44604</f>
        <v>0</v>
      </c>
    </row>
    <row r="39" s="1329" customFormat="1" ht="24" customHeight="1" spans="2:195">
      <c r="B39" s="1435">
        <v>43728</v>
      </c>
      <c r="C39" s="1436" t="s">
        <v>11862</v>
      </c>
      <c r="D39" s="1437" t="s">
        <v>11679</v>
      </c>
      <c r="E39" s="1438"/>
      <c r="F39" s="1438"/>
      <c r="G39" s="1438"/>
      <c r="H39" s="1438">
        <v>200000</v>
      </c>
      <c r="I39" s="1439"/>
      <c r="J39" s="1440"/>
      <c r="K39" s="1440"/>
      <c r="L39" s="1440"/>
      <c r="M39" s="1440"/>
      <c r="N39" s="1440"/>
      <c r="O39" s="1440"/>
      <c r="P39" s="1440"/>
      <c r="Q39" s="1441"/>
      <c r="S39" s="1442">
        <v>43974</v>
      </c>
      <c r="T39" s="1443" t="s">
        <v>11863</v>
      </c>
      <c r="U39" s="1443" t="s">
        <v>11679</v>
      </c>
      <c r="V39" s="1443"/>
      <c r="W39" s="1443">
        <v>150000</v>
      </c>
      <c r="X39" s="1443"/>
      <c r="Y39" s="1443"/>
      <c r="Z39" s="1443"/>
      <c r="AA39" s="1443"/>
      <c r="AB39" s="1443"/>
      <c r="AC39" s="1443"/>
      <c r="AD39" s="1443"/>
      <c r="AE39" s="1443"/>
      <c r="AF39" s="1443"/>
      <c r="AG39" s="1443"/>
      <c r="AH39" s="1443"/>
      <c r="AI39" s="1443"/>
      <c r="AK39" s="1444">
        <v>44342</v>
      </c>
      <c r="AL39" s="1578" t="s">
        <v>11864</v>
      </c>
      <c r="AM39" s="1446"/>
      <c r="AN39" s="1447"/>
      <c r="AO39" s="1447"/>
      <c r="AP39" s="1447"/>
      <c r="AQ39" s="1447"/>
      <c r="AR39" s="700"/>
      <c r="AS39" s="700"/>
      <c r="AT39" s="700"/>
      <c r="AU39" s="1448"/>
      <c r="AV39" s="1448"/>
      <c r="AW39" s="1448"/>
      <c r="AX39" s="1579">
        <v>15125</v>
      </c>
      <c r="AY39" s="1448"/>
      <c r="AZ39" s="1448"/>
      <c r="BA39" s="1449"/>
      <c r="BW39" s="1511" t="s">
        <v>11796</v>
      </c>
      <c r="BX39" s="1505"/>
      <c r="BY39" s="1512"/>
      <c r="BZ39" s="1513" t="e">
        <f>#REF!+BZ45</f>
        <v>#REF!</v>
      </c>
      <c r="CA39" s="1513" t="e">
        <f>#REF!+CA45</f>
        <v>#REF!</v>
      </c>
      <c r="CB39" s="1513" t="e">
        <f>#REF!+CB45</f>
        <v>#REF!</v>
      </c>
      <c r="CC39" s="1513" t="e">
        <f>#REF!+CC45</f>
        <v>#REF!</v>
      </c>
      <c r="CD39" s="1513" t="e">
        <f>#REF!+CD45</f>
        <v>#REF!</v>
      </c>
      <c r="CE39" s="1513" t="e">
        <f>#REF!+CE45</f>
        <v>#REF!</v>
      </c>
      <c r="CF39" s="1515" t="e">
        <f>#REF!+CF45</f>
        <v>#REF!</v>
      </c>
      <c r="CG39" s="1330"/>
      <c r="CK39" s="1438" t="s">
        <v>11593</v>
      </c>
      <c r="CL39" s="1438" t="s">
        <v>11865</v>
      </c>
      <c r="CM39" s="1438" t="s">
        <v>11866</v>
      </c>
      <c r="CN39" s="1438" t="s">
        <v>11867</v>
      </c>
      <c r="CO39" s="1329">
        <v>1</v>
      </c>
      <c r="CP39" s="1455">
        <v>44694</v>
      </c>
      <c r="CQ39" s="1456">
        <v>1000010763</v>
      </c>
      <c r="CR39" s="1457" t="s">
        <v>11683</v>
      </c>
      <c r="CS39" s="1443"/>
      <c r="CT39" s="1443"/>
      <c r="CU39" s="1443"/>
      <c r="CV39" s="1443"/>
      <c r="CW39" s="1443"/>
      <c r="CX39" s="1443"/>
      <c r="CY39" s="1443"/>
      <c r="CZ39" s="1443"/>
      <c r="DA39" s="700"/>
      <c r="DB39" s="1443"/>
      <c r="DC39" s="1443">
        <v>25008</v>
      </c>
      <c r="DD39" s="1440"/>
      <c r="DE39" s="1485" t="s">
        <v>11868</v>
      </c>
      <c r="DG39" s="1455">
        <v>45097</v>
      </c>
      <c r="DH39" s="1456">
        <v>1000014965</v>
      </c>
      <c r="DI39" s="135" t="s">
        <v>11869</v>
      </c>
      <c r="DJ39" s="1496"/>
      <c r="DK39" s="1496"/>
      <c r="DL39" s="1496"/>
      <c r="DM39" s="1496"/>
      <c r="DN39" s="1496"/>
      <c r="DO39" s="1496"/>
      <c r="DP39" s="1520"/>
      <c r="DQ39" s="1520"/>
      <c r="DR39" s="1520"/>
      <c r="DS39" s="1496"/>
      <c r="DT39" s="1496"/>
      <c r="DU39" s="1496"/>
      <c r="DV39" s="1496"/>
      <c r="DW39" s="1496"/>
      <c r="DX39" s="1580">
        <v>5602</v>
      </c>
      <c r="DY39" s="1580"/>
      <c r="DZ39" s="1496"/>
      <c r="EA39" s="1496"/>
      <c r="EB39" s="1496"/>
      <c r="EC39" s="1521"/>
      <c r="ED39" s="1521"/>
      <c r="EE39" s="1462" t="s">
        <v>11870</v>
      </c>
      <c r="EF39" s="1461"/>
      <c r="EG39" s="1461"/>
      <c r="EH39" s="1461"/>
      <c r="EI39" s="1455">
        <v>45306</v>
      </c>
      <c r="EJ39" s="700">
        <v>1000018267</v>
      </c>
      <c r="EK39" s="700" t="s">
        <v>11686</v>
      </c>
      <c r="EL39" s="700"/>
      <c r="EM39" s="700"/>
      <c r="EN39" s="700"/>
      <c r="EO39" s="1464">
        <v>30000</v>
      </c>
      <c r="EP39" s="1464"/>
      <c r="EQ39" s="1464"/>
      <c r="ER39" s="700"/>
      <c r="ES39" s="700"/>
      <c r="ET39" s="700"/>
      <c r="EU39" s="700"/>
      <c r="EV39" s="700"/>
      <c r="EW39" s="700"/>
      <c r="EX39" s="700"/>
      <c r="EY39" s="700"/>
      <c r="EZ39" s="700"/>
      <c r="FA39" s="700"/>
      <c r="FB39" s="700"/>
      <c r="FC39" s="1454"/>
      <c r="FD39" s="1462"/>
      <c r="FH39" s="1455">
        <v>45456</v>
      </c>
      <c r="FI39" s="700">
        <v>1000021075</v>
      </c>
      <c r="FJ39" s="700"/>
      <c r="FK39" s="700"/>
      <c r="FL39" s="700"/>
      <c r="FM39" s="700"/>
      <c r="FN39" s="700"/>
      <c r="FO39" s="700"/>
      <c r="FP39" s="700"/>
      <c r="FQ39" s="700"/>
      <c r="FR39" s="700"/>
      <c r="FS39" s="700"/>
      <c r="FT39" s="700"/>
      <c r="FU39" s="700"/>
      <c r="FV39" s="700"/>
      <c r="FW39" s="700"/>
      <c r="FX39" s="700">
        <v>30000</v>
      </c>
      <c r="FY39" s="1462" t="s">
        <v>11871</v>
      </c>
      <c r="FZ39" s="1329">
        <f>FX39-3600-3600</f>
        <v>22800</v>
      </c>
    </row>
    <row r="40" s="1329" customFormat="1" ht="24" customHeight="1" spans="2:195">
      <c r="B40" s="1435">
        <v>43728</v>
      </c>
      <c r="C40" s="1436" t="s">
        <v>11872</v>
      </c>
      <c r="D40" s="1437" t="s">
        <v>11679</v>
      </c>
      <c r="E40" s="1438"/>
      <c r="F40" s="1438"/>
      <c r="G40" s="1438"/>
      <c r="H40" s="1438"/>
      <c r="I40" s="1439">
        <v>220000</v>
      </c>
      <c r="J40" s="1440"/>
      <c r="K40" s="1440"/>
      <c r="L40" s="1440"/>
      <c r="M40" s="1440"/>
      <c r="N40" s="1440"/>
      <c r="O40" s="1440"/>
      <c r="P40" s="1440"/>
      <c r="Q40" s="1441"/>
      <c r="S40" s="1442">
        <v>43974</v>
      </c>
      <c r="T40" s="1443" t="s">
        <v>11873</v>
      </c>
      <c r="U40" s="1443" t="s">
        <v>11679</v>
      </c>
      <c r="V40" s="1443"/>
      <c r="W40" s="1443"/>
      <c r="X40" s="1443">
        <v>150000</v>
      </c>
      <c r="Y40" s="1443"/>
      <c r="Z40" s="1443"/>
      <c r="AA40" s="1443"/>
      <c r="AB40" s="1443"/>
      <c r="AC40" s="1443"/>
      <c r="AD40" s="1443"/>
      <c r="AE40" s="1443"/>
      <c r="AF40" s="1443"/>
      <c r="AG40" s="1443"/>
      <c r="AH40" s="1443"/>
      <c r="AI40" s="1443"/>
      <c r="AK40" s="1444">
        <v>44365</v>
      </c>
      <c r="AL40" s="1578" t="s">
        <v>11874</v>
      </c>
      <c r="AM40" s="1446"/>
      <c r="AN40" s="1447"/>
      <c r="AO40" s="1447"/>
      <c r="AP40" s="1447"/>
      <c r="AQ40" s="1447"/>
      <c r="AR40" s="700"/>
      <c r="AS40" s="700"/>
      <c r="AT40" s="700"/>
      <c r="AU40" s="1448"/>
      <c r="AV40" s="1448"/>
      <c r="AW40" s="1448"/>
      <c r="AX40" s="1579">
        <v>14550</v>
      </c>
      <c r="AY40" s="1448"/>
      <c r="AZ40" s="1448"/>
      <c r="BA40" s="1449"/>
      <c r="BW40" s="1511" t="s">
        <v>11804</v>
      </c>
      <c r="BX40" s="1505"/>
      <c r="BY40" s="1512"/>
      <c r="BZ40" s="1513"/>
      <c r="CA40" s="1513"/>
      <c r="CB40" s="1513"/>
      <c r="CC40" s="1513"/>
      <c r="CD40" s="1513"/>
      <c r="CE40" s="1513"/>
      <c r="CF40" s="1515"/>
      <c r="CG40" s="1330"/>
      <c r="CK40" s="1581">
        <v>382429</v>
      </c>
      <c r="CL40" s="1581">
        <v>275557</v>
      </c>
      <c r="CM40" s="1581">
        <v>31176</v>
      </c>
      <c r="CN40" s="1581">
        <v>31176</v>
      </c>
      <c r="CP40" s="1455">
        <v>44694</v>
      </c>
      <c r="CQ40" s="1456" t="s">
        <v>11875</v>
      </c>
      <c r="CR40" s="1457" t="s">
        <v>11876</v>
      </c>
      <c r="CS40" s="1443"/>
      <c r="CT40" s="1443"/>
      <c r="CU40" s="1443"/>
      <c r="CV40" s="1443"/>
      <c r="CW40" s="1443"/>
      <c r="CX40" s="1443"/>
      <c r="CY40" s="1443"/>
      <c r="CZ40" s="1443"/>
      <c r="DA40" s="700"/>
      <c r="DB40" s="1443">
        <v>7117</v>
      </c>
      <c r="DC40" s="1443"/>
      <c r="DD40" s="1440"/>
      <c r="DE40" s="5465" t="s">
        <v>11877</v>
      </c>
      <c r="DG40" s="1455">
        <v>45107</v>
      </c>
      <c r="DH40" s="1456">
        <v>1000015179</v>
      </c>
      <c r="DI40" s="135" t="s">
        <v>11685</v>
      </c>
      <c r="DJ40" s="700">
        <v>130000</v>
      </c>
      <c r="DK40" s="700"/>
      <c r="DL40" s="700"/>
      <c r="DM40" s="700"/>
      <c r="DN40" s="700"/>
      <c r="DO40" s="700"/>
      <c r="DP40" s="1466"/>
      <c r="DQ40" s="1466"/>
      <c r="DR40" s="1466"/>
      <c r="DS40" s="700"/>
      <c r="DT40" s="700"/>
      <c r="DU40" s="700"/>
      <c r="DV40" s="700"/>
      <c r="DW40" s="700"/>
      <c r="DX40" s="555"/>
      <c r="DY40" s="555"/>
      <c r="DZ40" s="700"/>
      <c r="EA40" s="700"/>
      <c r="EB40" s="700"/>
      <c r="EC40" s="1448"/>
      <c r="ED40" s="1448"/>
      <c r="EE40" s="1462"/>
      <c r="EF40" s="1461"/>
      <c r="EG40" s="1461"/>
      <c r="EH40" s="1461"/>
      <c r="EI40" s="1455">
        <v>45318</v>
      </c>
      <c r="EJ40" s="700"/>
      <c r="EK40" s="700"/>
      <c r="EL40" s="700"/>
      <c r="EM40" s="700"/>
      <c r="EN40" s="700"/>
      <c r="EO40" s="700"/>
      <c r="EP40" s="700"/>
      <c r="EQ40" s="700"/>
      <c r="ER40" s="700"/>
      <c r="ES40" s="700"/>
      <c r="ET40" s="700"/>
      <c r="EU40" s="700"/>
      <c r="EV40" s="700"/>
      <c r="EW40" s="700"/>
      <c r="EX40" s="700"/>
      <c r="EY40" s="700">
        <v>2737</v>
      </c>
      <c r="EZ40" s="700"/>
      <c r="FA40" s="700"/>
      <c r="FB40" s="700"/>
      <c r="FC40" s="1454"/>
      <c r="FD40" s="1471" t="s">
        <v>11878</v>
      </c>
      <c r="FH40" s="1455">
        <v>45460</v>
      </c>
      <c r="FI40" s="700">
        <v>1000021162</v>
      </c>
      <c r="FJ40" s="700"/>
      <c r="FK40" s="700"/>
      <c r="FL40" s="700"/>
      <c r="FM40" s="700"/>
      <c r="FN40" s="700"/>
      <c r="FO40" s="700"/>
      <c r="FP40" s="700"/>
      <c r="FQ40" s="700"/>
      <c r="FR40" s="700"/>
      <c r="FS40" s="700"/>
      <c r="FT40" s="700"/>
      <c r="FU40" s="700">
        <v>4500</v>
      </c>
      <c r="FV40" s="700"/>
      <c r="FW40" s="700"/>
      <c r="FX40" s="1448"/>
      <c r="FY40" s="1462" t="s">
        <v>11879</v>
      </c>
      <c r="FZ40" s="1329">
        <f>FU40-3500-1000</f>
        <v>0</v>
      </c>
    </row>
    <row r="41" s="1329" customFormat="1" ht="24" customHeight="1" spans="2:195">
      <c r="B41" s="1435">
        <v>43728</v>
      </c>
      <c r="C41" s="1436" t="s">
        <v>11880</v>
      </c>
      <c r="D41" s="1437" t="s">
        <v>11679</v>
      </c>
      <c r="E41" s="1438"/>
      <c r="F41" s="1438"/>
      <c r="G41" s="1438"/>
      <c r="H41" s="1438"/>
      <c r="I41" s="1439"/>
      <c r="J41" s="1440"/>
      <c r="K41" s="1440"/>
      <c r="L41" s="1440"/>
      <c r="M41" s="1440">
        <v>3000</v>
      </c>
      <c r="N41" s="1440"/>
      <c r="O41" s="1440"/>
      <c r="P41" s="1440"/>
      <c r="Q41" s="1441"/>
      <c r="R41" s="1329">
        <f>-R1</f>
        <v>0</v>
      </c>
      <c r="S41" s="1442">
        <v>43974</v>
      </c>
      <c r="T41" s="1443" t="s">
        <v>11881</v>
      </c>
      <c r="U41" s="1443" t="s">
        <v>11679</v>
      </c>
      <c r="V41" s="1443"/>
      <c r="W41" s="1443"/>
      <c r="X41" s="1443"/>
      <c r="Y41" s="1443">
        <v>150000</v>
      </c>
      <c r="Z41" s="1443"/>
      <c r="AA41" s="1443"/>
      <c r="AB41" s="1443"/>
      <c r="AC41" s="1443"/>
      <c r="AD41" s="1443"/>
      <c r="AE41" s="1443"/>
      <c r="AF41" s="1443"/>
      <c r="AG41" s="1443"/>
      <c r="AH41" s="1443"/>
      <c r="AI41" s="1443"/>
      <c r="AK41" s="1444">
        <v>44386</v>
      </c>
      <c r="AL41" s="1445" t="s">
        <v>11682</v>
      </c>
      <c r="AM41" s="1446" t="s">
        <v>11683</v>
      </c>
      <c r="AN41" s="1447"/>
      <c r="AO41" s="1447">
        <v>450000</v>
      </c>
      <c r="AP41" s="1447"/>
      <c r="AQ41" s="1447"/>
      <c r="AR41" s="700"/>
      <c r="AS41" s="700"/>
      <c r="AT41" s="700"/>
      <c r="AU41" s="1448"/>
      <c r="AV41" s="1448"/>
      <c r="AW41" s="1448"/>
      <c r="AX41" s="1448"/>
      <c r="AY41" s="1448"/>
      <c r="AZ41" s="1448"/>
      <c r="BA41" s="1449"/>
      <c r="BW41" s="1523" t="s">
        <v>11809</v>
      </c>
      <c r="BX41" s="1524"/>
      <c r="BY41" s="1525"/>
      <c r="BZ41" s="1526" t="e">
        <f>BZ38-BZ39-BZ40</f>
        <v>#REF!</v>
      </c>
      <c r="CA41" s="1526" t="e">
        <f>CA38-CA39-CA40</f>
        <v>#REF!</v>
      </c>
      <c r="CB41" s="1526">
        <v>0</v>
      </c>
      <c r="CC41" s="1526" t="e">
        <f>CC38-CC39-CC40</f>
        <v>#REF!</v>
      </c>
      <c r="CD41" s="1526" t="e">
        <f t="shared" ref="BZ41:CF41" si="0">CD38-CD39-CD40</f>
        <v>#REF!</v>
      </c>
      <c r="CE41" s="1526" t="e">
        <f t="shared" si="0"/>
        <v>#REF!</v>
      </c>
      <c r="CF41" s="1528" t="e">
        <f t="shared" si="0"/>
        <v>#REF!</v>
      </c>
      <c r="CG41" s="1330"/>
      <c r="CK41" s="1582">
        <v>4104</v>
      </c>
      <c r="CL41" s="1582">
        <v>4104</v>
      </c>
      <c r="CM41" s="1582">
        <v>0</v>
      </c>
      <c r="CN41" s="1582">
        <v>0</v>
      </c>
      <c r="CP41" s="1455">
        <v>44699</v>
      </c>
      <c r="CQ41" s="1456" t="s">
        <v>11882</v>
      </c>
      <c r="CR41" s="1457" t="s">
        <v>11876</v>
      </c>
      <c r="CS41" s="1443"/>
      <c r="CT41" s="1443"/>
      <c r="CU41" s="1443"/>
      <c r="CV41" s="1443"/>
      <c r="CW41" s="1443"/>
      <c r="CX41" s="1443"/>
      <c r="CY41" s="1443"/>
      <c r="CZ41" s="1443"/>
      <c r="DA41" s="700"/>
      <c r="DB41" s="1443">
        <v>6943</v>
      </c>
      <c r="DC41" s="1443"/>
      <c r="DD41" s="1440"/>
      <c r="DE41" s="5466" t="s">
        <v>11883</v>
      </c>
      <c r="DG41" s="1455">
        <v>45107</v>
      </c>
      <c r="DH41" s="1456">
        <v>1000015180</v>
      </c>
      <c r="DI41" s="135" t="s">
        <v>11685</v>
      </c>
      <c r="DJ41" s="700"/>
      <c r="DK41" s="700"/>
      <c r="DL41" s="700"/>
      <c r="DM41" s="700"/>
      <c r="DN41" s="700">
        <v>30000</v>
      </c>
      <c r="DO41" s="700"/>
      <c r="DP41" s="1466"/>
      <c r="DQ41" s="1466"/>
      <c r="DR41" s="1466"/>
      <c r="DS41" s="700"/>
      <c r="DT41" s="700"/>
      <c r="DU41" s="700"/>
      <c r="DV41" s="700"/>
      <c r="DW41" s="700"/>
      <c r="DX41" s="555"/>
      <c r="DY41" s="555"/>
      <c r="DZ41" s="700"/>
      <c r="EA41" s="700"/>
      <c r="EB41" s="700"/>
      <c r="EC41" s="1448"/>
      <c r="ED41" s="1448"/>
      <c r="EE41" s="1462"/>
      <c r="EF41" s="1461"/>
      <c r="EG41" s="1461"/>
      <c r="EH41" s="1461"/>
      <c r="EI41" s="1455">
        <v>45370</v>
      </c>
      <c r="EJ41" s="700">
        <v>1000018981</v>
      </c>
      <c r="EK41" s="700" t="s">
        <v>11686</v>
      </c>
      <c r="EL41" s="700">
        <v>100000</v>
      </c>
      <c r="EM41" s="700"/>
      <c r="EN41" s="700"/>
      <c r="EO41" s="700"/>
      <c r="EP41" s="700"/>
      <c r="EQ41" s="700"/>
      <c r="ER41" s="700"/>
      <c r="ES41" s="700"/>
      <c r="ET41" s="700"/>
      <c r="EU41" s="700"/>
      <c r="EV41" s="700"/>
      <c r="EW41" s="700"/>
      <c r="EX41" s="700"/>
      <c r="EY41" s="700"/>
      <c r="EZ41" s="700"/>
      <c r="FA41" s="700"/>
      <c r="FB41" s="700"/>
      <c r="FC41" s="1454"/>
      <c r="FD41" s="1471"/>
      <c r="FH41" s="1455">
        <v>45461</v>
      </c>
      <c r="FI41" s="700">
        <v>1000021175</v>
      </c>
      <c r="FJ41" s="700"/>
      <c r="FK41" s="700"/>
      <c r="FL41" s="700"/>
      <c r="FM41" s="700"/>
      <c r="FN41" s="700"/>
      <c r="FO41" s="700"/>
      <c r="FP41" s="700"/>
      <c r="FQ41" s="700"/>
      <c r="FR41" s="700"/>
      <c r="FS41" s="700"/>
      <c r="FT41" s="700"/>
      <c r="FU41" s="700">
        <v>36000</v>
      </c>
      <c r="FV41" s="700"/>
      <c r="FW41" s="700"/>
      <c r="FX41" s="1448"/>
      <c r="FY41" s="1462" t="s">
        <v>11884</v>
      </c>
    </row>
    <row r="42" s="1329" customFormat="1" ht="24" customHeight="1" spans="2:195">
      <c r="B42" s="1435">
        <v>43759</v>
      </c>
      <c r="C42" s="1436">
        <v>1000004398</v>
      </c>
      <c r="D42" s="1437" t="s">
        <v>11679</v>
      </c>
      <c r="E42" s="1438"/>
      <c r="F42" s="1438"/>
      <c r="G42" s="1438"/>
      <c r="H42" s="1438"/>
      <c r="I42" s="1439"/>
      <c r="J42" s="1440"/>
      <c r="K42" s="1440"/>
      <c r="L42" s="1440"/>
      <c r="M42" s="1440">
        <v>8344</v>
      </c>
      <c r="N42" s="1440"/>
      <c r="O42" s="1440"/>
      <c r="P42" s="1440"/>
      <c r="Q42" s="1441"/>
      <c r="S42" s="1442">
        <v>43974</v>
      </c>
      <c r="T42" s="1443" t="s">
        <v>11885</v>
      </c>
      <c r="U42" s="1443" t="s">
        <v>11679</v>
      </c>
      <c r="V42" s="1443"/>
      <c r="W42" s="1443"/>
      <c r="X42" s="1443"/>
      <c r="Y42" s="1443"/>
      <c r="Z42" s="1443"/>
      <c r="AA42" s="1443">
        <v>3000</v>
      </c>
      <c r="AB42" s="1443"/>
      <c r="AC42" s="1443"/>
      <c r="AD42" s="1443"/>
      <c r="AE42" s="1443"/>
      <c r="AF42" s="1443"/>
      <c r="AG42" s="1443"/>
      <c r="AH42" s="1443"/>
      <c r="AI42" s="1443"/>
      <c r="AK42" s="1444">
        <v>44386</v>
      </c>
      <c r="AL42" s="1445" t="s">
        <v>11886</v>
      </c>
      <c r="AM42" s="1446" t="s">
        <v>11683</v>
      </c>
      <c r="AN42" s="1447"/>
      <c r="AO42" s="1447"/>
      <c r="AP42" s="1447"/>
      <c r="AQ42" s="1447">
        <v>430000</v>
      </c>
      <c r="AR42" s="700"/>
      <c r="AS42" s="700"/>
      <c r="AT42" s="700"/>
      <c r="AU42" s="1448"/>
      <c r="AV42" s="1448"/>
      <c r="AW42" s="1448"/>
      <c r="AX42" s="1448"/>
      <c r="AY42" s="1448"/>
      <c r="AZ42" s="1448"/>
      <c r="BA42" s="1449"/>
      <c r="BZ42" s="1438" t="s">
        <v>11887</v>
      </c>
      <c r="CA42" s="1438" t="s">
        <v>11887</v>
      </c>
      <c r="CB42" s="1438" t="s">
        <v>11865</v>
      </c>
      <c r="CC42" s="1584" t="s">
        <v>11888</v>
      </c>
      <c r="CD42" s="1438" t="s">
        <v>11866</v>
      </c>
      <c r="CE42" s="1438" t="s">
        <v>11867</v>
      </c>
      <c r="CF42" s="1584" t="s">
        <v>11889</v>
      </c>
      <c r="CG42" s="1330"/>
      <c r="CK42" s="1581">
        <v>378325</v>
      </c>
      <c r="CL42" s="1581">
        <v>271453</v>
      </c>
      <c r="CM42" s="1581">
        <v>31176</v>
      </c>
      <c r="CN42" s="1581">
        <v>31176</v>
      </c>
      <c r="CP42" s="1455">
        <v>44694</v>
      </c>
      <c r="CQ42" s="1456"/>
      <c r="CR42" s="1457" t="s">
        <v>11890</v>
      </c>
      <c r="CS42" s="1443"/>
      <c r="CT42" s="1443"/>
      <c r="CU42" s="1443"/>
      <c r="CV42" s="1443"/>
      <c r="CW42" s="1443"/>
      <c r="CX42" s="1443"/>
      <c r="CY42" s="1443"/>
      <c r="CZ42" s="1443"/>
      <c r="DA42" s="700"/>
      <c r="DB42" s="1443"/>
      <c r="DC42" s="1443"/>
      <c r="DD42" s="1440">
        <v>100</v>
      </c>
      <c r="DE42" s="1458">
        <v>4500079377</v>
      </c>
      <c r="DG42" s="1455">
        <v>45107</v>
      </c>
      <c r="DH42" s="1456">
        <v>1000015181</v>
      </c>
      <c r="DI42" s="135" t="s">
        <v>11685</v>
      </c>
      <c r="DJ42" s="700"/>
      <c r="DK42" s="700"/>
      <c r="DL42" s="700"/>
      <c r="DM42" s="700"/>
      <c r="DN42" s="700"/>
      <c r="DO42" s="700"/>
      <c r="DP42" s="1466"/>
      <c r="DQ42" s="1466">
        <v>200000</v>
      </c>
      <c r="DR42" s="1466"/>
      <c r="DS42" s="700"/>
      <c r="DT42" s="700"/>
      <c r="DU42" s="700"/>
      <c r="DV42" s="700"/>
      <c r="DW42" s="700"/>
      <c r="DX42" s="555"/>
      <c r="DY42" s="555"/>
      <c r="DZ42" s="700"/>
      <c r="EA42" s="700"/>
      <c r="EB42" s="700"/>
      <c r="EC42" s="1448"/>
      <c r="ED42" s="1448"/>
      <c r="EE42" s="1462"/>
      <c r="EF42" s="1461"/>
      <c r="EG42" s="1461"/>
      <c r="EH42" s="1461"/>
      <c r="EI42" s="1455">
        <v>45370</v>
      </c>
      <c r="EJ42" s="700">
        <v>1000018982</v>
      </c>
      <c r="EK42" s="700" t="s">
        <v>11686</v>
      </c>
      <c r="EL42" s="700"/>
      <c r="EM42" s="700"/>
      <c r="EN42" s="700"/>
      <c r="EO42" s="700"/>
      <c r="EP42" s="700"/>
      <c r="EQ42" s="700"/>
      <c r="ER42" s="700">
        <v>100000</v>
      </c>
      <c r="ES42" s="700"/>
      <c r="ET42" s="700"/>
      <c r="EU42" s="700"/>
      <c r="EV42" s="700"/>
      <c r="EW42" s="700"/>
      <c r="EX42" s="700"/>
      <c r="EY42" s="700"/>
      <c r="EZ42" s="700"/>
      <c r="FA42" s="700"/>
      <c r="FB42" s="700"/>
      <c r="FC42" s="1454"/>
      <c r="FD42" s="1471"/>
      <c r="FH42" s="1455">
        <v>45463</v>
      </c>
      <c r="FI42" s="700"/>
      <c r="FJ42" s="700"/>
      <c r="FK42" s="700"/>
      <c r="FL42" s="700"/>
      <c r="FM42" s="700"/>
      <c r="FN42" s="700"/>
      <c r="FO42" s="700"/>
      <c r="FP42" s="700"/>
      <c r="FQ42" s="700"/>
      <c r="FR42" s="700"/>
      <c r="FS42" s="700"/>
      <c r="FT42" s="700"/>
      <c r="FU42" s="700"/>
      <c r="FV42" s="700"/>
      <c r="FW42" s="700"/>
      <c r="FX42" s="1448">
        <v>30000</v>
      </c>
      <c r="FY42" s="1463" t="s">
        <v>11891</v>
      </c>
      <c r="FZ42" s="1585">
        <f>FX42-15000</f>
        <v>15000</v>
      </c>
      <c r="GA42" s="1330"/>
    </row>
    <row r="43" s="1329" customFormat="1" ht="24" customHeight="1" spans="2:195">
      <c r="B43" s="1435">
        <v>43805</v>
      </c>
      <c r="C43" s="1436" t="s">
        <v>11892</v>
      </c>
      <c r="D43" s="1437" t="s">
        <v>11679</v>
      </c>
      <c r="E43" s="1438"/>
      <c r="F43" s="1438"/>
      <c r="G43" s="1438">
        <v>184849</v>
      </c>
      <c r="H43" s="1438"/>
      <c r="I43" s="1439"/>
      <c r="J43" s="1440"/>
      <c r="K43" s="1440"/>
      <c r="L43" s="1440"/>
      <c r="M43" s="1440"/>
      <c r="N43" s="1440"/>
      <c r="O43" s="1440"/>
      <c r="P43" s="1440"/>
      <c r="Q43" s="1441"/>
      <c r="S43" s="1586">
        <v>43991</v>
      </c>
      <c r="T43" s="700" t="s">
        <v>11893</v>
      </c>
      <c r="U43" s="700" t="s">
        <v>11679</v>
      </c>
      <c r="V43" s="700"/>
      <c r="W43" s="700">
        <v>30000</v>
      </c>
      <c r="X43" s="700"/>
      <c r="Y43" s="700"/>
      <c r="Z43" s="700"/>
      <c r="AA43" s="700"/>
      <c r="AB43" s="700"/>
      <c r="AC43" s="700"/>
      <c r="AD43" s="700"/>
      <c r="AE43" s="700"/>
      <c r="AF43" s="700"/>
      <c r="AG43" s="700"/>
      <c r="AH43" s="700"/>
      <c r="AI43" s="700"/>
      <c r="AK43" s="1444">
        <v>44386</v>
      </c>
      <c r="AL43" s="1445" t="s">
        <v>11894</v>
      </c>
      <c r="AM43" s="1446" t="s">
        <v>11683</v>
      </c>
      <c r="AN43" s="1447"/>
      <c r="AO43" s="1447"/>
      <c r="AP43" s="1447"/>
      <c r="AQ43" s="1447"/>
      <c r="AR43" s="700"/>
      <c r="AS43" s="700"/>
      <c r="AT43" s="700"/>
      <c r="AU43" s="1448"/>
      <c r="AV43" s="1448">
        <v>13000</v>
      </c>
      <c r="AW43" s="1448"/>
      <c r="AX43" s="1448"/>
      <c r="AY43" s="1448"/>
      <c r="AZ43" s="1448"/>
      <c r="BA43" s="1449"/>
      <c r="BZ43" s="1587">
        <v>272270</v>
      </c>
      <c r="CA43" s="1587">
        <v>48148</v>
      </c>
      <c r="CB43" s="1587">
        <v>176829</v>
      </c>
      <c r="CC43" s="1587">
        <v>107733</v>
      </c>
      <c r="CD43" s="1587">
        <v>28496</v>
      </c>
      <c r="CE43" s="1587">
        <v>9628</v>
      </c>
      <c r="CF43" s="1587">
        <v>21972</v>
      </c>
      <c r="CG43" s="1330"/>
      <c r="CK43" s="1582">
        <f t="shared" ref="CK43:CN43" si="1">SUM(CK41:CK42)</f>
        <v>382429</v>
      </c>
      <c r="CL43" s="1582">
        <f t="shared" si="1"/>
        <v>275557</v>
      </c>
      <c r="CM43" s="1582">
        <f t="shared" si="1"/>
        <v>31176</v>
      </c>
      <c r="CN43" s="1582">
        <f t="shared" si="1"/>
        <v>31176</v>
      </c>
      <c r="CP43" s="1455">
        <v>44711</v>
      </c>
      <c r="CQ43" s="1456" t="s">
        <v>11895</v>
      </c>
      <c r="CR43" s="1457" t="s">
        <v>11896</v>
      </c>
      <c r="CS43" s="1443"/>
      <c r="CT43" s="1443"/>
      <c r="CU43" s="1443"/>
      <c r="CV43" s="1443"/>
      <c r="CW43" s="1443"/>
      <c r="CX43" s="1443"/>
      <c r="CY43" s="1443"/>
      <c r="CZ43" s="1443"/>
      <c r="DA43" s="700"/>
      <c r="DB43" s="1443">
        <v>5100</v>
      </c>
      <c r="DC43" s="1443"/>
      <c r="DD43" s="1440"/>
      <c r="DE43" s="5465" t="s">
        <v>11897</v>
      </c>
      <c r="DG43" s="1455">
        <v>45107</v>
      </c>
      <c r="DH43" s="1456">
        <v>1000015182</v>
      </c>
      <c r="DI43" s="135" t="s">
        <v>11685</v>
      </c>
      <c r="DJ43" s="700"/>
      <c r="DK43" s="700"/>
      <c r="DL43" s="700">
        <v>4500</v>
      </c>
      <c r="DM43" s="700"/>
      <c r="DN43" s="700"/>
      <c r="DO43" s="700"/>
      <c r="DP43" s="1466"/>
      <c r="DQ43" s="1466"/>
      <c r="DR43" s="1466"/>
      <c r="DS43" s="700"/>
      <c r="DT43" s="700"/>
      <c r="DU43" s="700"/>
      <c r="DV43" s="700"/>
      <c r="DW43" s="700"/>
      <c r="DX43" s="555"/>
      <c r="DY43" s="555"/>
      <c r="DZ43" s="700"/>
      <c r="EA43" s="700"/>
      <c r="EB43" s="700"/>
      <c r="EC43" s="1448"/>
      <c r="ED43" s="1448"/>
      <c r="EE43" s="1462"/>
      <c r="EF43" s="1461"/>
      <c r="EG43" s="1461"/>
      <c r="EH43" s="1461"/>
      <c r="EI43" s="1455">
        <v>45370</v>
      </c>
      <c r="EJ43" s="700">
        <v>1000018983</v>
      </c>
      <c r="EK43" s="700" t="s">
        <v>11686</v>
      </c>
      <c r="EL43" s="700"/>
      <c r="EM43" s="700"/>
      <c r="EN43" s="700"/>
      <c r="EO43" s="700"/>
      <c r="EP43" s="700"/>
      <c r="EQ43" s="700"/>
      <c r="ER43" s="700"/>
      <c r="ES43" s="700"/>
      <c r="ET43" s="700">
        <v>15000</v>
      </c>
      <c r="EU43" s="700"/>
      <c r="EV43" s="700"/>
      <c r="EW43" s="700"/>
      <c r="EX43" s="700"/>
      <c r="EY43" s="700"/>
      <c r="EZ43" s="700"/>
      <c r="FA43" s="700"/>
      <c r="FB43" s="700"/>
      <c r="FC43" s="1454"/>
      <c r="FD43" s="1471"/>
      <c r="FH43" s="1455">
        <v>45463</v>
      </c>
      <c r="FI43" s="700"/>
      <c r="FJ43" s="700"/>
      <c r="FK43" s="700"/>
      <c r="FL43" s="700"/>
      <c r="FM43" s="700"/>
      <c r="FN43" s="700"/>
      <c r="FO43" s="700"/>
      <c r="FP43" s="700"/>
      <c r="FQ43" s="700"/>
      <c r="FR43" s="700"/>
      <c r="FS43" s="700"/>
      <c r="FT43" s="700"/>
      <c r="FU43" s="700"/>
      <c r="FV43" s="700"/>
      <c r="FW43" s="700">
        <v>2500</v>
      </c>
      <c r="FX43" s="1448"/>
      <c r="FY43" s="1462" t="s">
        <v>11898</v>
      </c>
      <c r="FZ43" s="1329">
        <f>FW43-2500</f>
        <v>0</v>
      </c>
    </row>
    <row r="44" s="1329" customFormat="1" ht="24" customHeight="1" spans="2:195">
      <c r="B44" s="1435">
        <v>43805</v>
      </c>
      <c r="C44" s="1436" t="s">
        <v>11899</v>
      </c>
      <c r="D44" s="1437" t="s">
        <v>11679</v>
      </c>
      <c r="E44" s="1438"/>
      <c r="F44" s="1438"/>
      <c r="G44" s="1438"/>
      <c r="H44" s="1438">
        <v>162362</v>
      </c>
      <c r="I44" s="1439"/>
      <c r="J44" s="1440"/>
      <c r="K44" s="1440"/>
      <c r="L44" s="1440"/>
      <c r="M44" s="1440"/>
      <c r="N44" s="1440"/>
      <c r="O44" s="1440"/>
      <c r="P44" s="1440"/>
      <c r="Q44" s="1441"/>
      <c r="S44" s="1586">
        <v>43991</v>
      </c>
      <c r="T44" s="700" t="s">
        <v>11900</v>
      </c>
      <c r="U44" s="700" t="s">
        <v>11679</v>
      </c>
      <c r="V44" s="700"/>
      <c r="W44" s="700"/>
      <c r="X44" s="700">
        <v>50000</v>
      </c>
      <c r="Y44" s="700"/>
      <c r="Z44" s="700"/>
      <c r="AA44" s="700"/>
      <c r="AB44" s="700"/>
      <c r="AC44" s="700"/>
      <c r="AD44" s="700"/>
      <c r="AE44" s="700"/>
      <c r="AF44" s="700"/>
      <c r="AG44" s="700"/>
      <c r="AH44" s="700"/>
      <c r="AI44" s="700"/>
      <c r="AK44" s="1444">
        <v>44386</v>
      </c>
      <c r="AL44" s="1445" t="s">
        <v>11682</v>
      </c>
      <c r="AM44" s="1446" t="s">
        <v>11683</v>
      </c>
      <c r="AN44" s="1447"/>
      <c r="AO44" s="1447"/>
      <c r="AP44" s="1447"/>
      <c r="AQ44" s="1447"/>
      <c r="AR44" s="700"/>
      <c r="AS44" s="700">
        <v>40000</v>
      </c>
      <c r="AT44" s="700"/>
      <c r="AU44" s="1448"/>
      <c r="AV44" s="1448"/>
      <c r="AW44" s="1448"/>
      <c r="AX44" s="1448"/>
      <c r="AY44" s="1448"/>
      <c r="AZ44" s="1448"/>
      <c r="BA44" s="1449"/>
      <c r="BZ44" s="1588">
        <v>120</v>
      </c>
      <c r="CA44" s="1588">
        <v>0</v>
      </c>
      <c r="CB44" s="1588">
        <v>0</v>
      </c>
      <c r="CC44" s="1588">
        <v>120</v>
      </c>
      <c r="CD44" s="1588">
        <v>0</v>
      </c>
      <c r="CE44" s="1588">
        <v>0</v>
      </c>
      <c r="CF44" s="1588">
        <v>0</v>
      </c>
      <c r="CG44" s="1330"/>
      <c r="CK44" s="1581">
        <f t="shared" ref="CK44:CN44" si="2">CK40-CK43</f>
        <v>0</v>
      </c>
      <c r="CL44" s="1581">
        <f t="shared" si="2"/>
        <v>0</v>
      </c>
      <c r="CM44" s="1581">
        <f t="shared" si="2"/>
        <v>0</v>
      </c>
      <c r="CN44" s="1581">
        <f t="shared" si="2"/>
        <v>0</v>
      </c>
      <c r="CP44" s="1455">
        <v>44711</v>
      </c>
      <c r="CQ44" s="1456">
        <v>1000010965</v>
      </c>
      <c r="CR44" s="1457" t="s">
        <v>11896</v>
      </c>
      <c r="CS44" s="1443"/>
      <c r="CT44" s="1443"/>
      <c r="CU44" s="1443"/>
      <c r="CV44" s="1443"/>
      <c r="CW44" s="1443"/>
      <c r="CX44" s="1443"/>
      <c r="CY44" s="1443"/>
      <c r="CZ44" s="1443"/>
      <c r="DA44" s="700"/>
      <c r="DB44" s="1443">
        <v>6493</v>
      </c>
      <c r="DC44" s="1443"/>
      <c r="DD44" s="1440"/>
      <c r="DE44" s="1485" t="s">
        <v>11901</v>
      </c>
      <c r="DG44" s="1455">
        <v>45107</v>
      </c>
      <c r="DH44" s="1456">
        <v>1000015183</v>
      </c>
      <c r="DI44" s="135" t="s">
        <v>11685</v>
      </c>
      <c r="DJ44" s="700"/>
      <c r="DK44" s="700"/>
      <c r="DL44" s="700"/>
      <c r="DM44" s="700"/>
      <c r="DN44" s="700"/>
      <c r="DO44" s="700"/>
      <c r="DP44" s="1466"/>
      <c r="DQ44" s="1466"/>
      <c r="DR44" s="1466"/>
      <c r="DS44" s="1464">
        <v>1000</v>
      </c>
      <c r="DT44" s="700"/>
      <c r="DU44" s="700"/>
      <c r="DV44" s="700"/>
      <c r="DW44" s="700"/>
      <c r="DX44" s="555"/>
      <c r="DY44" s="555"/>
      <c r="DZ44" s="700"/>
      <c r="EA44" s="700"/>
      <c r="EB44" s="700"/>
      <c r="EC44" s="1448"/>
      <c r="ED44" s="1448"/>
      <c r="EE44" s="1462"/>
      <c r="EF44" s="1461"/>
      <c r="EG44" s="1461"/>
      <c r="EH44" s="1461"/>
      <c r="EI44" s="1455">
        <v>45370</v>
      </c>
      <c r="EJ44" s="700">
        <v>1000018984</v>
      </c>
      <c r="EK44" s="700" t="s">
        <v>11686</v>
      </c>
      <c r="EL44" s="700"/>
      <c r="EM44" s="700"/>
      <c r="EN44" s="700"/>
      <c r="EO44" s="700"/>
      <c r="EP44" s="700"/>
      <c r="EQ44" s="700"/>
      <c r="ER44" s="700"/>
      <c r="ES44" s="700"/>
      <c r="ET44" s="700"/>
      <c r="EU44" s="700"/>
      <c r="EV44" s="700">
        <v>9000</v>
      </c>
      <c r="EW44" s="700"/>
      <c r="EX44" s="700"/>
      <c r="EY44" s="700"/>
      <c r="EZ44" s="700"/>
      <c r="FA44" s="700"/>
      <c r="FB44" s="700"/>
      <c r="FC44" s="1454"/>
      <c r="FD44" s="1471"/>
      <c r="FH44" s="1455">
        <v>45463</v>
      </c>
      <c r="FI44" s="700"/>
      <c r="FJ44" s="700"/>
      <c r="FK44" s="700"/>
      <c r="FL44" s="700"/>
      <c r="FM44" s="700"/>
      <c r="FN44" s="700"/>
      <c r="FO44" s="700"/>
      <c r="FP44" s="700"/>
      <c r="FQ44" s="700"/>
      <c r="FR44" s="700"/>
      <c r="FS44" s="700"/>
      <c r="FT44" s="700"/>
      <c r="FU44" s="700"/>
      <c r="FV44" s="700"/>
      <c r="FW44" s="700">
        <v>2000</v>
      </c>
      <c r="FX44" s="1448"/>
      <c r="FY44" s="1462">
        <v>4500137267</v>
      </c>
      <c r="FZ44" s="1329">
        <f>FW44-2000</f>
        <v>0</v>
      </c>
    </row>
    <row r="45" s="1330" customFormat="1" ht="24" customHeight="1" spans="2:195">
      <c r="B45" s="1444">
        <v>43805</v>
      </c>
      <c r="C45" s="1445" t="s">
        <v>11902</v>
      </c>
      <c r="D45" s="1446" t="s">
        <v>11679</v>
      </c>
      <c r="E45" s="1447"/>
      <c r="F45" s="1447"/>
      <c r="G45" s="1447"/>
      <c r="H45" s="1447"/>
      <c r="I45" s="1490">
        <v>186750</v>
      </c>
      <c r="J45" s="1448"/>
      <c r="K45" s="1448"/>
      <c r="L45" s="1448"/>
      <c r="M45" s="1448"/>
      <c r="N45" s="1448"/>
      <c r="O45" s="1448"/>
      <c r="P45" s="1448"/>
      <c r="Q45" s="1449"/>
      <c r="S45" s="1586">
        <v>43991</v>
      </c>
      <c r="T45" s="700" t="s">
        <v>11903</v>
      </c>
      <c r="U45" s="700" t="s">
        <v>11679</v>
      </c>
      <c r="V45" s="700"/>
      <c r="W45" s="700"/>
      <c r="X45" s="700"/>
      <c r="Y45" s="700">
        <v>50000</v>
      </c>
      <c r="Z45" s="700"/>
      <c r="AA45" s="700"/>
      <c r="AB45" s="700"/>
      <c r="AC45" s="700"/>
      <c r="AD45" s="700"/>
      <c r="AE45" s="700"/>
      <c r="AF45" s="700"/>
      <c r="AG45" s="700"/>
      <c r="AH45" s="700"/>
      <c r="AI45" s="700"/>
      <c r="AK45" s="1444">
        <v>44386</v>
      </c>
      <c r="AL45" s="1445" t="s">
        <v>11904</v>
      </c>
      <c r="AM45" s="1446" t="s">
        <v>11683</v>
      </c>
      <c r="AN45" s="1447"/>
      <c r="AO45" s="1447"/>
      <c r="AP45" s="1447"/>
      <c r="AQ45" s="1447"/>
      <c r="AR45" s="700"/>
      <c r="AS45" s="700"/>
      <c r="AT45" s="700"/>
      <c r="AU45" s="1448">
        <v>40000</v>
      </c>
      <c r="AV45" s="1448"/>
      <c r="AW45" s="1448"/>
      <c r="AX45" s="1448"/>
      <c r="AY45" s="1448"/>
      <c r="AZ45" s="1448"/>
      <c r="BA45" s="1449"/>
      <c r="BW45" s="1329"/>
      <c r="BZ45" s="1581">
        <v>272150</v>
      </c>
      <c r="CA45" s="1581">
        <v>48148</v>
      </c>
      <c r="CB45" s="1581">
        <v>176829</v>
      </c>
      <c r="CC45" s="1581">
        <v>107613</v>
      </c>
      <c r="CD45" s="1581">
        <v>28496</v>
      </c>
      <c r="CE45" s="1581">
        <v>9628</v>
      </c>
      <c r="CF45" s="1581">
        <v>21972</v>
      </c>
      <c r="CH45" s="1329"/>
      <c r="CI45" s="1329"/>
      <c r="CJ45" s="1329"/>
      <c r="CK45" s="1329"/>
      <c r="CL45" s="1329"/>
      <c r="CM45" s="1329"/>
      <c r="CN45" s="1329"/>
      <c r="CP45" s="1455">
        <v>44726</v>
      </c>
      <c r="CQ45" s="1456" t="s">
        <v>11905</v>
      </c>
      <c r="CR45" s="1457" t="s">
        <v>11906</v>
      </c>
      <c r="CS45" s="1443"/>
      <c r="CT45" s="1443"/>
      <c r="CU45" s="1443"/>
      <c r="CV45" s="1443"/>
      <c r="CW45" s="1443"/>
      <c r="CX45" s="1443"/>
      <c r="CY45" s="1443">
        <v>13651</v>
      </c>
      <c r="CZ45" s="1443"/>
      <c r="DA45" s="700"/>
      <c r="DB45" s="1443"/>
      <c r="DC45" s="1443"/>
      <c r="DD45" s="1440"/>
      <c r="DE45" s="1482" t="s">
        <v>11907</v>
      </c>
      <c r="DG45" s="1455">
        <v>45107</v>
      </c>
      <c r="DH45" s="1456">
        <v>1000015184</v>
      </c>
      <c r="DI45" s="135" t="s">
        <v>11685</v>
      </c>
      <c r="DJ45" s="700"/>
      <c r="DK45" s="700"/>
      <c r="DL45" s="700"/>
      <c r="DM45" s="700"/>
      <c r="DN45" s="700"/>
      <c r="DO45" s="700"/>
      <c r="DP45" s="1466"/>
      <c r="DQ45" s="1466"/>
      <c r="DR45" s="1466"/>
      <c r="DS45" s="700"/>
      <c r="DT45" s="1464">
        <v>6600</v>
      </c>
      <c r="DU45" s="1464"/>
      <c r="DV45" s="1464"/>
      <c r="DW45" s="700"/>
      <c r="DX45" s="555"/>
      <c r="DY45" s="555"/>
      <c r="DZ45" s="700"/>
      <c r="EA45" s="700"/>
      <c r="EB45" s="700"/>
      <c r="EC45" s="1448"/>
      <c r="ED45" s="1448"/>
      <c r="EE45" s="1462"/>
      <c r="EF45" s="1499"/>
      <c r="EG45" s="1461"/>
      <c r="EH45" s="1461"/>
      <c r="EI45" s="1455">
        <v>45372</v>
      </c>
      <c r="EJ45" s="700"/>
      <c r="EK45" s="700"/>
      <c r="EL45" s="700"/>
      <c r="EM45" s="700"/>
      <c r="EN45" s="700"/>
      <c r="EO45" s="700"/>
      <c r="EP45" s="700"/>
      <c r="EQ45" s="700"/>
      <c r="ER45" s="700"/>
      <c r="ES45" s="700"/>
      <c r="ET45" s="700"/>
      <c r="EU45" s="700"/>
      <c r="EV45" s="700"/>
      <c r="EW45" s="700"/>
      <c r="EX45" s="700"/>
      <c r="EY45" s="700">
        <v>876</v>
      </c>
      <c r="EZ45" s="700"/>
      <c r="FA45" s="700"/>
      <c r="FB45" s="700"/>
      <c r="FC45" s="1454"/>
      <c r="FD45" s="1471" t="s">
        <v>11908</v>
      </c>
      <c r="FH45" s="1455">
        <v>45463</v>
      </c>
      <c r="FI45" s="700"/>
      <c r="FJ45" s="700"/>
      <c r="FK45" s="700"/>
      <c r="FL45" s="700"/>
      <c r="FM45" s="700"/>
      <c r="FN45" s="700"/>
      <c r="FO45" s="700"/>
      <c r="FP45" s="700"/>
      <c r="FQ45" s="700"/>
      <c r="FR45" s="700"/>
      <c r="FS45" s="700"/>
      <c r="FT45" s="700">
        <v>1230</v>
      </c>
      <c r="FU45" s="700"/>
      <c r="FV45" s="700"/>
      <c r="FW45" s="700"/>
      <c r="FX45" s="1448"/>
      <c r="FY45" s="1462" t="s">
        <v>11909</v>
      </c>
      <c r="FZ45" s="1330">
        <f>FT45-793-437</f>
        <v>0</v>
      </c>
      <c r="GA45" s="1329"/>
      <c r="GC45" s="1329"/>
      <c r="GD45" s="1329"/>
      <c r="GE45" s="1329"/>
      <c r="GF45" s="1329"/>
      <c r="GG45" s="1329"/>
      <c r="GH45" s="1329"/>
      <c r="GI45" s="1329"/>
      <c r="GJ45" s="1329"/>
      <c r="GK45" s="1329"/>
      <c r="GL45" s="1329"/>
      <c r="GM45" s="1329"/>
    </row>
    <row r="46" s="1330" customFormat="1" ht="24" customHeight="1" spans="2:195">
      <c r="B46" s="1444">
        <v>43805</v>
      </c>
      <c r="C46" s="1445" t="s">
        <v>11910</v>
      </c>
      <c r="D46" s="1446" t="s">
        <v>11679</v>
      </c>
      <c r="E46" s="1447"/>
      <c r="F46" s="1447"/>
      <c r="G46" s="1447"/>
      <c r="H46" s="1447"/>
      <c r="I46" s="1490"/>
      <c r="J46" s="1448"/>
      <c r="K46" s="1448"/>
      <c r="L46" s="1448"/>
      <c r="M46" s="1448">
        <v>3459</v>
      </c>
      <c r="N46" s="1448"/>
      <c r="O46" s="1448"/>
      <c r="P46" s="1448"/>
      <c r="Q46" s="1449"/>
      <c r="S46" s="1586">
        <v>43991</v>
      </c>
      <c r="T46" s="700" t="s">
        <v>11911</v>
      </c>
      <c r="U46" s="700" t="s">
        <v>11679</v>
      </c>
      <c r="V46" s="700"/>
      <c r="W46" s="700"/>
      <c r="X46" s="700"/>
      <c r="Y46" s="700"/>
      <c r="Z46" s="700"/>
      <c r="AA46" s="700">
        <v>8500</v>
      </c>
      <c r="AB46" s="700"/>
      <c r="AC46" s="700"/>
      <c r="AD46" s="700"/>
      <c r="AE46" s="700"/>
      <c r="AF46" s="700"/>
      <c r="AG46" s="700"/>
      <c r="AH46" s="700"/>
      <c r="AI46" s="700"/>
      <c r="AK46" s="1444">
        <v>44386</v>
      </c>
      <c r="AL46" s="1445" t="s">
        <v>11912</v>
      </c>
      <c r="AM46" s="1446" t="s">
        <v>11683</v>
      </c>
      <c r="AN46" s="1447"/>
      <c r="AO46" s="1447"/>
      <c r="AP46" s="1447"/>
      <c r="AQ46" s="1447"/>
      <c r="AR46" s="700"/>
      <c r="AS46" s="700"/>
      <c r="AT46" s="700"/>
      <c r="AU46" s="1448"/>
      <c r="AV46" s="1448"/>
      <c r="AW46" s="1448">
        <v>7100</v>
      </c>
      <c r="AX46" s="1448"/>
      <c r="AY46" s="1448"/>
      <c r="AZ46" s="1448"/>
      <c r="BA46" s="1449"/>
      <c r="BW46" s="1329"/>
      <c r="BZ46" s="1588">
        <f t="shared" ref="BZ46:CF46" si="3">SUM(BZ44:BZ45)</f>
        <v>272270</v>
      </c>
      <c r="CA46" s="1588">
        <f t="shared" si="3"/>
        <v>48148</v>
      </c>
      <c r="CB46" s="1588">
        <f t="shared" si="3"/>
        <v>176829</v>
      </c>
      <c r="CC46" s="1588">
        <f t="shared" si="3"/>
        <v>107733</v>
      </c>
      <c r="CD46" s="1588">
        <f t="shared" si="3"/>
        <v>28496</v>
      </c>
      <c r="CE46" s="1588">
        <f t="shared" si="3"/>
        <v>9628</v>
      </c>
      <c r="CF46" s="1588">
        <f t="shared" si="3"/>
        <v>21972</v>
      </c>
      <c r="CH46" s="1329"/>
      <c r="CI46" s="1329"/>
      <c r="CJ46" s="1329"/>
      <c r="CK46" s="1329"/>
      <c r="CL46" s="1329"/>
      <c r="CM46" s="1329"/>
      <c r="CN46" s="1329"/>
      <c r="CP46" s="1455">
        <v>44727</v>
      </c>
      <c r="CQ46" s="1456">
        <v>1000011129</v>
      </c>
      <c r="CR46" s="1457" t="s">
        <v>11832</v>
      </c>
      <c r="CS46" s="1443">
        <v>200000</v>
      </c>
      <c r="CT46" s="1443"/>
      <c r="CU46" s="1443"/>
      <c r="CV46" s="1443"/>
      <c r="CW46" s="1443"/>
      <c r="CX46" s="1443"/>
      <c r="CY46" s="1443"/>
      <c r="CZ46" s="1443"/>
      <c r="DA46" s="700"/>
      <c r="DB46" s="1443"/>
      <c r="DC46" s="1443"/>
      <c r="DD46" s="1440"/>
      <c r="DE46" s="1458"/>
      <c r="DG46" s="1455">
        <v>45111</v>
      </c>
      <c r="DH46" s="1456">
        <v>1000015257</v>
      </c>
      <c r="DI46" s="700" t="s">
        <v>11913</v>
      </c>
      <c r="DJ46" s="700"/>
      <c r="DK46" s="700"/>
      <c r="DL46" s="700"/>
      <c r="DM46" s="700"/>
      <c r="DN46" s="700"/>
      <c r="DO46" s="700"/>
      <c r="DP46" s="1466"/>
      <c r="DQ46" s="1466"/>
      <c r="DR46" s="1466"/>
      <c r="DS46" s="700"/>
      <c r="DT46" s="1464"/>
      <c r="DU46" s="1464"/>
      <c r="DV46" s="1464"/>
      <c r="DW46" s="700">
        <v>26784</v>
      </c>
      <c r="DX46" s="555"/>
      <c r="DY46" s="555"/>
      <c r="DZ46" s="700"/>
      <c r="EA46" s="700"/>
      <c r="EB46" s="700"/>
      <c r="EC46" s="1448"/>
      <c r="ED46" s="1448"/>
      <c r="EE46" s="1462" t="s">
        <v>11914</v>
      </c>
      <c r="EF46" s="1499"/>
      <c r="EG46" s="1461"/>
      <c r="EH46" s="1461"/>
      <c r="EI46" s="1455">
        <v>45392</v>
      </c>
      <c r="EJ46" s="1467">
        <v>1000019470</v>
      </c>
      <c r="EK46" s="700"/>
      <c r="EL46" s="700">
        <v>200000</v>
      </c>
      <c r="EM46" s="700"/>
      <c r="EN46" s="700"/>
      <c r="EO46" s="700"/>
      <c r="EP46" s="700"/>
      <c r="EQ46" s="700"/>
      <c r="ER46" s="700"/>
      <c r="ES46" s="700"/>
      <c r="ET46" s="700"/>
      <c r="EU46" s="700"/>
      <c r="EV46" s="700"/>
      <c r="EW46" s="700"/>
      <c r="EX46" s="700"/>
      <c r="EY46" s="700"/>
      <c r="EZ46" s="700"/>
      <c r="FA46" s="700"/>
      <c r="FB46" s="700"/>
      <c r="FC46" s="1454"/>
      <c r="FD46" s="1471"/>
      <c r="FH46" s="1455">
        <v>45470</v>
      </c>
      <c r="FI46" s="700">
        <v>1000021349</v>
      </c>
      <c r="FJ46" s="700"/>
      <c r="FK46" s="700">
        <v>200000</v>
      </c>
      <c r="FL46" s="700"/>
      <c r="FM46" s="700"/>
      <c r="FN46" s="700"/>
      <c r="FO46" s="700"/>
      <c r="FP46" s="700"/>
      <c r="FQ46" s="700"/>
      <c r="FR46" s="700"/>
      <c r="FS46" s="700"/>
      <c r="FT46" s="700"/>
      <c r="FU46" s="700"/>
      <c r="FV46" s="700"/>
      <c r="FW46" s="700"/>
      <c r="FX46" s="1448"/>
      <c r="FY46" s="1462"/>
      <c r="FZ46" s="1329"/>
      <c r="GA46" s="1329"/>
      <c r="GC46" s="1329"/>
      <c r="GD46" s="1329"/>
      <c r="GE46" s="1329"/>
      <c r="GF46" s="1329"/>
      <c r="GG46" s="1329"/>
      <c r="GH46" s="1329"/>
      <c r="GI46" s="1329"/>
      <c r="GJ46" s="1329"/>
      <c r="GK46" s="1329"/>
      <c r="GL46" s="1329"/>
      <c r="GM46" s="1329"/>
    </row>
    <row r="47" s="1330" customFormat="1" ht="24" customHeight="1" spans="2:195">
      <c r="B47" s="1444">
        <v>43885</v>
      </c>
      <c r="C47" s="1445">
        <v>1000004806</v>
      </c>
      <c r="D47" s="1446" t="s">
        <v>11679</v>
      </c>
      <c r="E47" s="1447"/>
      <c r="F47" s="1447"/>
      <c r="G47" s="1447"/>
      <c r="H47" s="1447"/>
      <c r="I47" s="1490"/>
      <c r="J47" s="1448"/>
      <c r="K47" s="1448"/>
      <c r="L47" s="1448"/>
      <c r="M47" s="1448">
        <v>2000</v>
      </c>
      <c r="N47" s="1448"/>
      <c r="O47" s="1448"/>
      <c r="P47" s="1448"/>
      <c r="Q47" s="1449"/>
      <c r="S47" s="1586">
        <v>43991</v>
      </c>
      <c r="T47" s="700" t="s">
        <v>11915</v>
      </c>
      <c r="U47" s="700" t="s">
        <v>11679</v>
      </c>
      <c r="V47" s="700"/>
      <c r="W47" s="700"/>
      <c r="X47" s="700"/>
      <c r="Y47" s="700"/>
      <c r="Z47" s="700"/>
      <c r="AA47" s="700"/>
      <c r="AB47" s="700">
        <v>30000</v>
      </c>
      <c r="AC47" s="700"/>
      <c r="AD47" s="700"/>
      <c r="AE47" s="700"/>
      <c r="AF47" s="700"/>
      <c r="AG47" s="700"/>
      <c r="AH47" s="700"/>
      <c r="AI47" s="700"/>
      <c r="AK47" s="1589">
        <v>44386</v>
      </c>
      <c r="AL47" s="1590" t="s">
        <v>11916</v>
      </c>
      <c r="AM47" s="1591" t="s">
        <v>11683</v>
      </c>
      <c r="AN47" s="1592"/>
      <c r="AO47" s="1592"/>
      <c r="AP47" s="1592"/>
      <c r="AQ47" s="1592"/>
      <c r="AR47" s="721"/>
      <c r="AS47" s="721"/>
      <c r="AT47" s="721"/>
      <c r="AU47" s="1473"/>
      <c r="AV47" s="1473"/>
      <c r="AW47" s="1473"/>
      <c r="AX47" s="1473"/>
      <c r="AY47" s="1448"/>
      <c r="AZ47" s="1448">
        <v>100</v>
      </c>
      <c r="BA47" s="1593"/>
      <c r="BW47" s="1329"/>
      <c r="BZ47" s="1581">
        <f t="shared" ref="BZ47:CF47" si="4">BZ43-BZ46</f>
        <v>0</v>
      </c>
      <c r="CA47" s="1581">
        <f t="shared" si="4"/>
        <v>0</v>
      </c>
      <c r="CB47" s="1581">
        <f t="shared" si="4"/>
        <v>0</v>
      </c>
      <c r="CC47" s="1581">
        <f t="shared" si="4"/>
        <v>0</v>
      </c>
      <c r="CD47" s="1581">
        <f t="shared" si="4"/>
        <v>0</v>
      </c>
      <c r="CE47" s="1581">
        <f t="shared" si="4"/>
        <v>0</v>
      </c>
      <c r="CF47" s="1581">
        <f t="shared" si="4"/>
        <v>0</v>
      </c>
      <c r="CH47" s="1329"/>
      <c r="CI47" s="1329"/>
      <c r="CJ47" s="1329"/>
      <c r="CK47" s="1329"/>
      <c r="CL47" s="1329"/>
      <c r="CM47" s="1329"/>
      <c r="CN47" s="1329"/>
      <c r="CP47" s="1455">
        <v>44727</v>
      </c>
      <c r="CQ47" s="1456">
        <v>1000011130</v>
      </c>
      <c r="CR47" s="1457" t="s">
        <v>11832</v>
      </c>
      <c r="CS47" s="1443"/>
      <c r="CT47" s="1443">
        <v>200000</v>
      </c>
      <c r="CU47" s="1443"/>
      <c r="CV47" s="1443"/>
      <c r="CW47" s="1443"/>
      <c r="CX47" s="1443"/>
      <c r="CY47" s="1443"/>
      <c r="CZ47" s="1443"/>
      <c r="DA47" s="700"/>
      <c r="DB47" s="1443"/>
      <c r="DC47" s="1443"/>
      <c r="DD47" s="1440"/>
      <c r="DE47" s="1458"/>
      <c r="DG47" s="1455">
        <v>45127</v>
      </c>
      <c r="DH47" s="1459">
        <v>1000015541</v>
      </c>
      <c r="DI47" s="135" t="s">
        <v>11685</v>
      </c>
      <c r="DJ47" s="700"/>
      <c r="DK47" s="700"/>
      <c r="DL47" s="700">
        <v>10000</v>
      </c>
      <c r="DM47" s="700"/>
      <c r="DN47" s="700"/>
      <c r="DO47" s="700"/>
      <c r="DP47" s="1466"/>
      <c r="DQ47" s="1466"/>
      <c r="DR47" s="1466"/>
      <c r="DS47" s="700"/>
      <c r="DT47" s="1464"/>
      <c r="DU47" s="1464"/>
      <c r="DV47" s="1464"/>
      <c r="DW47" s="700"/>
      <c r="DX47" s="555"/>
      <c r="DY47" s="555"/>
      <c r="DZ47" s="700"/>
      <c r="EA47" s="700"/>
      <c r="EB47" s="700"/>
      <c r="EC47" s="1448"/>
      <c r="ED47" s="1448"/>
      <c r="EE47" s="1462"/>
      <c r="EF47" s="1499"/>
      <c r="EG47" s="1461"/>
      <c r="EH47" s="1461"/>
      <c r="EI47" s="1455">
        <v>45392</v>
      </c>
      <c r="EJ47" s="1467">
        <v>1000019471</v>
      </c>
      <c r="EK47" s="700"/>
      <c r="EL47" s="700"/>
      <c r="EM47" s="700"/>
      <c r="EN47" s="700"/>
      <c r="EO47" s="700"/>
      <c r="EP47" s="700"/>
      <c r="EQ47" s="700"/>
      <c r="ER47" s="700">
        <v>200000</v>
      </c>
      <c r="ES47" s="700"/>
      <c r="ET47" s="700"/>
      <c r="EU47" s="700"/>
      <c r="EV47" s="700"/>
      <c r="EW47" s="700"/>
      <c r="EX47" s="700"/>
      <c r="EY47" s="700"/>
      <c r="EZ47" s="700"/>
      <c r="FA47" s="700"/>
      <c r="FB47" s="700"/>
      <c r="FC47" s="1454"/>
      <c r="FD47" s="1471"/>
      <c r="FH47" s="1455">
        <v>45470</v>
      </c>
      <c r="FI47" s="700">
        <v>1000021350</v>
      </c>
      <c r="FJ47" s="700"/>
      <c r="FK47" s="700"/>
      <c r="FL47" s="700"/>
      <c r="FM47" s="700"/>
      <c r="FN47" s="700"/>
      <c r="FO47" s="700">
        <v>100000</v>
      </c>
      <c r="FP47" s="700"/>
      <c r="FQ47" s="700"/>
      <c r="FR47" s="700"/>
      <c r="FS47" s="700"/>
      <c r="FT47" s="700"/>
      <c r="FU47" s="700"/>
      <c r="FV47" s="700"/>
      <c r="FW47" s="700"/>
      <c r="FX47" s="1448"/>
      <c r="FY47" s="1462"/>
      <c r="FZ47" s="1329"/>
      <c r="GA47" s="1329"/>
      <c r="GC47" s="1329"/>
      <c r="GD47" s="1329"/>
      <c r="GE47" s="1329"/>
      <c r="GF47" s="1329"/>
      <c r="GG47" s="1329"/>
      <c r="GH47" s="1329"/>
      <c r="GI47" s="1329"/>
      <c r="GJ47" s="1329"/>
      <c r="GK47" s="1329"/>
      <c r="GL47" s="1329"/>
      <c r="GM47" s="1329"/>
    </row>
    <row r="48" s="1330" customFormat="1" ht="24" customHeight="1" spans="2:195">
      <c r="B48" s="1444">
        <v>43991</v>
      </c>
      <c r="C48" s="1445" t="s">
        <v>11917</v>
      </c>
      <c r="D48" s="1446" t="s">
        <v>11679</v>
      </c>
      <c r="E48" s="1447"/>
      <c r="F48" s="1447"/>
      <c r="G48" s="1447">
        <v>30000</v>
      </c>
      <c r="H48" s="1447"/>
      <c r="I48" s="1490"/>
      <c r="J48" s="1448"/>
      <c r="K48" s="1448"/>
      <c r="L48" s="1448"/>
      <c r="M48" s="1448"/>
      <c r="N48" s="1448"/>
      <c r="O48" s="1448"/>
      <c r="P48" s="1448"/>
      <c r="Q48" s="1449"/>
      <c r="S48" s="1586">
        <v>43991</v>
      </c>
      <c r="T48" s="700" t="s">
        <v>11918</v>
      </c>
      <c r="U48" s="700" t="s">
        <v>11679</v>
      </c>
      <c r="V48" s="700"/>
      <c r="W48" s="700"/>
      <c r="X48" s="700"/>
      <c r="Y48" s="700"/>
      <c r="Z48" s="700"/>
      <c r="AA48" s="700"/>
      <c r="AB48" s="700"/>
      <c r="AC48" s="700">
        <v>26452</v>
      </c>
      <c r="AD48" s="700"/>
      <c r="AE48" s="700"/>
      <c r="AF48" s="700"/>
      <c r="AG48" s="700"/>
      <c r="AH48" s="700"/>
      <c r="AI48" s="700"/>
      <c r="AK48" s="1594">
        <v>44457</v>
      </c>
      <c r="AL48" s="1453" t="s">
        <v>11919</v>
      </c>
      <c r="AM48" s="1595"/>
      <c r="AN48" s="1596"/>
      <c r="AO48" s="1597">
        <v>400000</v>
      </c>
      <c r="AP48" s="1596"/>
      <c r="AQ48" s="1596"/>
      <c r="AR48" s="1598"/>
      <c r="AS48" s="1598"/>
      <c r="AT48" s="1598"/>
      <c r="AU48" s="1599"/>
      <c r="AV48" s="1599"/>
      <c r="AW48" s="1599"/>
      <c r="AX48" s="1599"/>
      <c r="AY48" s="1599"/>
      <c r="AZ48" s="1599"/>
      <c r="BA48" s="1600"/>
      <c r="CH48" s="1329"/>
      <c r="CI48" s="1329"/>
      <c r="CJ48" s="1329"/>
      <c r="CK48" s="1329"/>
      <c r="CL48" s="1329"/>
      <c r="CM48" s="1329"/>
      <c r="CN48" s="1329"/>
      <c r="CP48" s="1455">
        <v>44727</v>
      </c>
      <c r="CQ48" s="1456">
        <v>1000011131</v>
      </c>
      <c r="CR48" s="1457" t="s">
        <v>11832</v>
      </c>
      <c r="CS48" s="1443"/>
      <c r="CT48" s="1443"/>
      <c r="CU48" s="1443">
        <v>20000</v>
      </c>
      <c r="CV48" s="1443"/>
      <c r="CW48" s="1443"/>
      <c r="CX48" s="1443"/>
      <c r="CY48" s="1443"/>
      <c r="CZ48" s="1443"/>
      <c r="DA48" s="700"/>
      <c r="DB48" s="1443"/>
      <c r="DC48" s="1443"/>
      <c r="DD48" s="1440"/>
      <c r="DE48" s="1458"/>
      <c r="DG48" s="1455">
        <v>45127</v>
      </c>
      <c r="DH48" s="700">
        <v>1000015542</v>
      </c>
      <c r="DI48" s="135" t="s">
        <v>11685</v>
      </c>
      <c r="DJ48" s="700"/>
      <c r="DK48" s="700"/>
      <c r="DL48" s="700"/>
      <c r="DM48" s="700"/>
      <c r="DN48" s="700"/>
      <c r="DO48" s="700"/>
      <c r="DP48" s="1466"/>
      <c r="DQ48" s="1466"/>
      <c r="DR48" s="1466"/>
      <c r="DS48" s="700">
        <v>1500</v>
      </c>
      <c r="DT48" s="1464"/>
      <c r="DU48" s="1464"/>
      <c r="DV48" s="1464"/>
      <c r="DW48" s="700"/>
      <c r="DX48" s="555"/>
      <c r="DY48" s="555"/>
      <c r="DZ48" s="700"/>
      <c r="EA48" s="700"/>
      <c r="EB48" s="700"/>
      <c r="EC48" s="1448"/>
      <c r="ED48" s="1448"/>
      <c r="EE48" s="1462"/>
      <c r="EF48" s="1499"/>
      <c r="EG48" s="1461"/>
      <c r="EH48" s="1461"/>
      <c r="EI48" s="1455">
        <v>45392</v>
      </c>
      <c r="EJ48" s="1467">
        <v>1000019472</v>
      </c>
      <c r="EK48" s="700"/>
      <c r="EL48" s="700"/>
      <c r="EM48" s="700"/>
      <c r="EN48" s="700"/>
      <c r="EO48" s="700"/>
      <c r="EP48" s="700"/>
      <c r="EQ48" s="700"/>
      <c r="ER48" s="700"/>
      <c r="ES48" s="700"/>
      <c r="ET48" s="700">
        <v>5000</v>
      </c>
      <c r="EU48" s="700"/>
      <c r="EV48" s="700"/>
      <c r="EW48" s="700"/>
      <c r="EX48" s="700"/>
      <c r="EY48" s="700"/>
      <c r="EZ48" s="700"/>
      <c r="FA48" s="700"/>
      <c r="FB48" s="700"/>
      <c r="FC48" s="1454"/>
      <c r="FD48" s="1471"/>
      <c r="FH48" s="1455">
        <v>45470</v>
      </c>
      <c r="FI48" s="700">
        <v>1000021351</v>
      </c>
      <c r="FJ48" s="700"/>
      <c r="FK48" s="700"/>
      <c r="FL48" s="700"/>
      <c r="FM48" s="700"/>
      <c r="FN48" s="700"/>
      <c r="FO48" s="700"/>
      <c r="FP48" s="700"/>
      <c r="FQ48" s="700">
        <v>10000</v>
      </c>
      <c r="FR48" s="700"/>
      <c r="FS48" s="700"/>
      <c r="FT48" s="700"/>
      <c r="FU48" s="700"/>
      <c r="FV48" s="700"/>
      <c r="FW48" s="700"/>
      <c r="FX48" s="1448"/>
      <c r="FY48" s="1462"/>
      <c r="FZ48" s="1329"/>
      <c r="GA48" s="1329"/>
      <c r="GC48" s="1329"/>
      <c r="GD48" s="1329"/>
      <c r="GE48" s="1329"/>
      <c r="GF48" s="1329"/>
      <c r="GG48" s="1329"/>
      <c r="GH48" s="1329"/>
      <c r="GI48" s="1329"/>
      <c r="GJ48" s="1329"/>
      <c r="GK48" s="1329"/>
      <c r="GL48" s="1329"/>
      <c r="GM48" s="1329"/>
    </row>
    <row r="49" s="1329" customFormat="1" ht="24" customHeight="1" spans="2:195">
      <c r="B49" s="1444">
        <v>43991</v>
      </c>
      <c r="C49" s="1445" t="s">
        <v>11920</v>
      </c>
      <c r="D49" s="1446" t="s">
        <v>11679</v>
      </c>
      <c r="E49" s="1447"/>
      <c r="F49" s="1447"/>
      <c r="G49" s="1447"/>
      <c r="H49" s="1447">
        <v>5000</v>
      </c>
      <c r="I49" s="1490"/>
      <c r="J49" s="1448"/>
      <c r="K49" s="1448"/>
      <c r="L49" s="1448"/>
      <c r="M49" s="1448"/>
      <c r="N49" s="1448"/>
      <c r="O49" s="1448"/>
      <c r="P49" s="1448"/>
      <c r="Q49" s="1449"/>
      <c r="S49" s="1586">
        <v>43991</v>
      </c>
      <c r="T49" s="700" t="s">
        <v>11921</v>
      </c>
      <c r="U49" s="700" t="s">
        <v>11679</v>
      </c>
      <c r="V49" s="700"/>
      <c r="W49" s="700"/>
      <c r="X49" s="700"/>
      <c r="Y49" s="700"/>
      <c r="Z49" s="700"/>
      <c r="AA49" s="700"/>
      <c r="AB49" s="700"/>
      <c r="AC49" s="700"/>
      <c r="AD49" s="700">
        <v>11452</v>
      </c>
      <c r="AE49" s="700"/>
      <c r="AF49" s="700"/>
      <c r="AG49" s="700"/>
      <c r="AH49" s="700"/>
      <c r="AI49" s="700"/>
      <c r="AK49" s="1594">
        <v>44457</v>
      </c>
      <c r="AL49" s="1453" t="s">
        <v>11922</v>
      </c>
      <c r="AM49" s="1446"/>
      <c r="AN49" s="1447"/>
      <c r="AO49" s="1447"/>
      <c r="AP49" s="1447"/>
      <c r="AQ49" s="1597">
        <v>350000</v>
      </c>
      <c r="AR49" s="700"/>
      <c r="AS49" s="700"/>
      <c r="AT49" s="700"/>
      <c r="AU49" s="1448"/>
      <c r="AV49" s="1448"/>
      <c r="AW49" s="1448"/>
      <c r="AX49" s="1448"/>
      <c r="AY49" s="1448"/>
      <c r="AZ49" s="1448"/>
      <c r="BA49" s="1454"/>
      <c r="BW49" s="1330"/>
      <c r="BX49" s="1330"/>
      <c r="BY49" s="1330"/>
      <c r="BZ49" s="1330"/>
      <c r="CA49" s="1330"/>
      <c r="CB49" s="1330"/>
      <c r="CC49" s="1330"/>
      <c r="CD49" s="1330"/>
      <c r="CE49" s="1330"/>
      <c r="CF49" s="1330"/>
      <c r="CG49" s="1330"/>
      <c r="CP49" s="1455">
        <v>44727</v>
      </c>
      <c r="CQ49" s="1456">
        <v>1000011132</v>
      </c>
      <c r="CR49" s="1457" t="s">
        <v>11832</v>
      </c>
      <c r="CS49" s="1443"/>
      <c r="CT49" s="1443"/>
      <c r="CU49" s="1443"/>
      <c r="CV49" s="1443"/>
      <c r="CW49" s="1443"/>
      <c r="CX49" s="1443">
        <v>5000</v>
      </c>
      <c r="CY49" s="1443"/>
      <c r="CZ49" s="1443"/>
      <c r="DA49" s="700"/>
      <c r="DB49" s="1443"/>
      <c r="DC49" s="1443"/>
      <c r="DD49" s="1440"/>
      <c r="DE49" s="1458"/>
      <c r="DG49" s="1455">
        <v>45127</v>
      </c>
      <c r="DH49" s="700">
        <v>1000015543</v>
      </c>
      <c r="DI49" s="135" t="s">
        <v>11685</v>
      </c>
      <c r="DJ49" s="700"/>
      <c r="DK49" s="700"/>
      <c r="DL49" s="700"/>
      <c r="DM49" s="700"/>
      <c r="DN49" s="700"/>
      <c r="DO49" s="700"/>
      <c r="DP49" s="1466"/>
      <c r="DQ49" s="1466"/>
      <c r="DR49" s="1466"/>
      <c r="DS49" s="700"/>
      <c r="DT49" s="700">
        <v>10000</v>
      </c>
      <c r="DU49" s="700"/>
      <c r="DV49" s="700"/>
      <c r="DW49" s="700"/>
      <c r="DX49" s="555"/>
      <c r="DY49" s="555"/>
      <c r="DZ49" s="700"/>
      <c r="EA49" s="700"/>
      <c r="EB49" s="700"/>
      <c r="EC49" s="1448"/>
      <c r="ED49" s="1448"/>
      <c r="EE49" s="1462"/>
      <c r="EF49" s="1461"/>
      <c r="EG49" s="1461"/>
      <c r="EH49" s="1461"/>
      <c r="EI49" s="1455">
        <v>45392</v>
      </c>
      <c r="EJ49" s="1467"/>
      <c r="EK49" s="700"/>
      <c r="EL49" s="700"/>
      <c r="EM49" s="700"/>
      <c r="EN49" s="700"/>
      <c r="EO49" s="700"/>
      <c r="EP49" s="700"/>
      <c r="EQ49" s="700"/>
      <c r="ER49" s="700"/>
      <c r="ES49" s="700"/>
      <c r="ET49" s="700"/>
      <c r="EU49" s="700"/>
      <c r="EV49" s="700"/>
      <c r="EW49" s="700"/>
      <c r="EX49" s="700"/>
      <c r="EY49" s="700"/>
      <c r="EZ49" s="700">
        <v>14660</v>
      </c>
      <c r="FA49" s="700"/>
      <c r="FB49" s="700"/>
      <c r="FC49" s="1454"/>
      <c r="FD49" s="1471" t="s">
        <v>11923</v>
      </c>
      <c r="FE49" s="1330">
        <f>EZ49-14660</f>
        <v>0</v>
      </c>
      <c r="FH49" s="1455">
        <v>45470</v>
      </c>
      <c r="FI49" s="700">
        <v>1000021352</v>
      </c>
      <c r="FJ49" s="700"/>
      <c r="FK49" s="700"/>
      <c r="FL49" s="700"/>
      <c r="FM49" s="700"/>
      <c r="FN49" s="700"/>
      <c r="FO49" s="700"/>
      <c r="FP49" s="700"/>
      <c r="FQ49" s="700"/>
      <c r="FR49" s="700">
        <v>10000</v>
      </c>
      <c r="FS49" s="700"/>
      <c r="FT49" s="700"/>
      <c r="FU49" s="700"/>
      <c r="FV49" s="700"/>
      <c r="FW49" s="700"/>
      <c r="FX49" s="1448"/>
      <c r="FY49" s="1462"/>
    </row>
    <row r="50" s="1329" customFormat="1" ht="24" customHeight="1" spans="2:195">
      <c r="B50" s="1444">
        <v>43991</v>
      </c>
      <c r="C50" s="1445" t="s">
        <v>11924</v>
      </c>
      <c r="D50" s="1446" t="s">
        <v>11679</v>
      </c>
      <c r="E50" s="1447"/>
      <c r="F50" s="1447"/>
      <c r="G50" s="1447"/>
      <c r="H50" s="1447"/>
      <c r="I50" s="1490">
        <v>22393</v>
      </c>
      <c r="J50" s="1448"/>
      <c r="K50" s="1448"/>
      <c r="L50" s="1448"/>
      <c r="M50" s="1448"/>
      <c r="N50" s="1448"/>
      <c r="O50" s="1448"/>
      <c r="P50" s="1448"/>
      <c r="Q50" s="1449"/>
      <c r="S50" s="1586">
        <v>43991</v>
      </c>
      <c r="T50" s="700" t="s">
        <v>11925</v>
      </c>
      <c r="U50" s="700" t="s">
        <v>11679</v>
      </c>
      <c r="V50" s="700"/>
      <c r="W50" s="700"/>
      <c r="X50" s="700"/>
      <c r="Y50" s="700"/>
      <c r="Z50" s="700"/>
      <c r="AA50" s="700"/>
      <c r="AB50" s="700"/>
      <c r="AC50" s="700"/>
      <c r="AD50" s="700"/>
      <c r="AE50" s="700">
        <v>1000</v>
      </c>
      <c r="AF50" s="700"/>
      <c r="AG50" s="700"/>
      <c r="AH50" s="700"/>
      <c r="AI50" s="700"/>
      <c r="AK50" s="1594">
        <v>44457</v>
      </c>
      <c r="AL50" s="1453" t="s">
        <v>11926</v>
      </c>
      <c r="AM50" s="1446"/>
      <c r="AN50" s="1447"/>
      <c r="AO50" s="1447"/>
      <c r="AP50" s="1447"/>
      <c r="AQ50" s="1447"/>
      <c r="AR50" s="700"/>
      <c r="AS50" s="1597">
        <v>10000</v>
      </c>
      <c r="AT50" s="700"/>
      <c r="AU50" s="1448"/>
      <c r="AV50" s="1448"/>
      <c r="AW50" s="1448"/>
      <c r="AX50" s="1448"/>
      <c r="AY50" s="1448"/>
      <c r="AZ50" s="1448"/>
      <c r="BA50" s="1454"/>
      <c r="BW50" s="1330"/>
      <c r="BX50" s="1330"/>
      <c r="BY50" s="1330"/>
      <c r="BZ50" s="1330"/>
      <c r="CA50" s="1330"/>
      <c r="CB50" s="1330"/>
      <c r="CC50" s="1330"/>
      <c r="CD50" s="1330"/>
      <c r="CE50" s="1330"/>
      <c r="CF50" s="1330"/>
      <c r="CG50" s="1330"/>
      <c r="CP50" s="1455">
        <v>44727</v>
      </c>
      <c r="CQ50" s="1456">
        <v>1000011133</v>
      </c>
      <c r="CR50" s="1457" t="s">
        <v>11832</v>
      </c>
      <c r="CS50" s="1443"/>
      <c r="CT50" s="1443"/>
      <c r="CU50" s="1443"/>
      <c r="CV50" s="1443">
        <v>50000</v>
      </c>
      <c r="CW50" s="1443"/>
      <c r="CX50" s="1443"/>
      <c r="CY50" s="1443"/>
      <c r="CZ50" s="1443"/>
      <c r="DA50" s="700"/>
      <c r="DB50" s="1443"/>
      <c r="DC50" s="1443"/>
      <c r="DD50" s="1440"/>
      <c r="DE50" s="1463"/>
      <c r="DG50" s="1455">
        <v>45127</v>
      </c>
      <c r="DH50" s="700">
        <v>1000015539</v>
      </c>
      <c r="DI50" s="135" t="s">
        <v>11685</v>
      </c>
      <c r="DJ50" s="1464">
        <v>200000</v>
      </c>
      <c r="DK50" s="1464"/>
      <c r="DL50" s="1464"/>
      <c r="DM50" s="1464"/>
      <c r="DN50" s="1464"/>
      <c r="DO50" s="1464"/>
      <c r="DP50" s="1465"/>
      <c r="DQ50" s="1465"/>
      <c r="DR50" s="1465"/>
      <c r="DS50" s="1464"/>
      <c r="DT50" s="1464"/>
      <c r="DU50" s="1464"/>
      <c r="DV50" s="1464"/>
      <c r="DW50" s="1464"/>
      <c r="DX50" s="1464"/>
      <c r="DY50" s="1464"/>
      <c r="DZ50" s="1464"/>
      <c r="EA50" s="1464"/>
      <c r="EB50" s="1464"/>
      <c r="EC50" s="1601"/>
      <c r="ED50" s="1601"/>
      <c r="EE50" s="1602"/>
      <c r="EF50" s="1461"/>
      <c r="EG50" s="1461"/>
      <c r="EH50" s="1461"/>
      <c r="EI50" s="1455">
        <v>45405</v>
      </c>
      <c r="EJ50" s="700">
        <v>1000019749</v>
      </c>
      <c r="EK50" s="700"/>
      <c r="EL50" s="700"/>
      <c r="EM50" s="700"/>
      <c r="EN50" s="700"/>
      <c r="EO50" s="700"/>
      <c r="EP50" s="700"/>
      <c r="EQ50" s="700"/>
      <c r="ER50" s="700"/>
      <c r="ES50" s="700"/>
      <c r="ET50" s="700"/>
      <c r="EU50" s="700"/>
      <c r="EV50" s="700"/>
      <c r="EW50" s="700"/>
      <c r="EX50" s="700"/>
      <c r="EY50" s="700"/>
      <c r="EZ50" s="700">
        <v>16950</v>
      </c>
      <c r="FA50" s="700"/>
      <c r="FB50" s="700"/>
      <c r="FC50" s="1454"/>
      <c r="FD50" s="1471" t="s">
        <v>11927</v>
      </c>
      <c r="FE50" s="1330"/>
      <c r="FH50" s="1455">
        <v>45467</v>
      </c>
      <c r="FI50" s="700"/>
      <c r="FJ50" s="700"/>
      <c r="FK50" s="700"/>
      <c r="FL50" s="700"/>
      <c r="FM50" s="700"/>
      <c r="FN50" s="700"/>
      <c r="FO50" s="700"/>
      <c r="FP50" s="700"/>
      <c r="FQ50" s="700"/>
      <c r="FR50" s="700"/>
      <c r="FS50" s="700"/>
      <c r="FT50" s="700">
        <v>512</v>
      </c>
      <c r="FU50" s="700"/>
      <c r="FV50" s="700"/>
      <c r="FW50" s="700"/>
      <c r="FX50" s="1448"/>
      <c r="FY50" s="1462">
        <v>4500138368</v>
      </c>
      <c r="GM50" s="1330"/>
    </row>
    <row r="51" s="1329" customFormat="1" ht="24" customHeight="1" spans="2:195">
      <c r="B51" s="1444">
        <v>43991</v>
      </c>
      <c r="C51" s="1445" t="s">
        <v>11928</v>
      </c>
      <c r="D51" s="1446" t="s">
        <v>11679</v>
      </c>
      <c r="E51" s="1447"/>
      <c r="F51" s="1447"/>
      <c r="G51" s="1447"/>
      <c r="H51" s="1447"/>
      <c r="I51" s="1490"/>
      <c r="J51" s="1448"/>
      <c r="K51" s="1448"/>
      <c r="L51" s="1448"/>
      <c r="M51" s="1448">
        <v>1000</v>
      </c>
      <c r="N51" s="1448"/>
      <c r="O51" s="1448"/>
      <c r="P51" s="1448"/>
      <c r="Q51" s="1449"/>
      <c r="S51" s="1586">
        <v>44026</v>
      </c>
      <c r="T51" s="700" t="s">
        <v>11929</v>
      </c>
      <c r="U51" s="700" t="s">
        <v>11679</v>
      </c>
      <c r="V51" s="700"/>
      <c r="W51" s="700">
        <v>462584</v>
      </c>
      <c r="X51" s="700"/>
      <c r="Y51" s="700"/>
      <c r="Z51" s="700"/>
      <c r="AA51" s="700"/>
      <c r="AB51" s="700"/>
      <c r="AC51" s="700"/>
      <c r="AD51" s="700"/>
      <c r="AE51" s="700"/>
      <c r="AF51" s="700"/>
      <c r="AG51" s="700"/>
      <c r="AH51" s="700"/>
      <c r="AI51" s="700"/>
      <c r="AK51" s="1594">
        <v>44457</v>
      </c>
      <c r="AL51" s="1453" t="s">
        <v>11930</v>
      </c>
      <c r="AM51" s="1446"/>
      <c r="AN51" s="1447"/>
      <c r="AO51" s="1447"/>
      <c r="AP51" s="1447"/>
      <c r="AQ51" s="1447"/>
      <c r="AR51" s="700"/>
      <c r="AS51" s="700"/>
      <c r="AT51" s="700"/>
      <c r="AU51" s="1597">
        <v>10000</v>
      </c>
      <c r="AV51" s="1448"/>
      <c r="AW51" s="1448"/>
      <c r="AX51" s="1448"/>
      <c r="AY51" s="1448"/>
      <c r="AZ51" s="1448"/>
      <c r="BA51" s="1454"/>
      <c r="BW51" s="1330"/>
      <c r="BX51" s="1330"/>
      <c r="BY51" s="1330"/>
      <c r="BZ51" s="1330"/>
      <c r="CA51" s="1330"/>
      <c r="CB51" s="1330"/>
      <c r="CC51" s="1330"/>
      <c r="CD51" s="1330"/>
      <c r="CE51" s="1330"/>
      <c r="CF51" s="1330"/>
      <c r="CG51" s="1330"/>
      <c r="CP51" s="1455">
        <v>44727</v>
      </c>
      <c r="CQ51" s="1456">
        <v>1000011134</v>
      </c>
      <c r="CR51" s="1457" t="s">
        <v>11832</v>
      </c>
      <c r="CS51" s="1443"/>
      <c r="CT51" s="1443"/>
      <c r="CU51" s="1443"/>
      <c r="CV51" s="1443"/>
      <c r="CW51" s="1443">
        <v>50000</v>
      </c>
      <c r="CX51" s="1443"/>
      <c r="CY51" s="1443"/>
      <c r="CZ51" s="1443"/>
      <c r="DA51" s="700"/>
      <c r="DB51" s="1443"/>
      <c r="DC51" s="1443"/>
      <c r="DD51" s="1440"/>
      <c r="DE51" s="1463"/>
      <c r="DG51" s="1455">
        <v>45127</v>
      </c>
      <c r="DH51" s="700">
        <v>1000015540</v>
      </c>
      <c r="DI51" s="135" t="s">
        <v>11685</v>
      </c>
      <c r="DJ51" s="1464"/>
      <c r="DK51" s="1464"/>
      <c r="DL51" s="1464"/>
      <c r="DM51" s="1464"/>
      <c r="DN51" s="1464"/>
      <c r="DO51" s="1464"/>
      <c r="DP51" s="1465"/>
      <c r="DQ51" s="1465">
        <v>150000</v>
      </c>
      <c r="DR51" s="1465"/>
      <c r="DS51" s="1464"/>
      <c r="DT51" s="1464"/>
      <c r="DU51" s="1464"/>
      <c r="DV51" s="1464"/>
      <c r="DW51" s="1464"/>
      <c r="DX51" s="1464"/>
      <c r="DY51" s="1464"/>
      <c r="DZ51" s="1464"/>
      <c r="EA51" s="1464"/>
      <c r="EB51" s="1464"/>
      <c r="EC51" s="1601"/>
      <c r="ED51" s="1601"/>
      <c r="EE51" s="1602"/>
      <c r="EF51" s="1461"/>
      <c r="EG51" s="1461"/>
      <c r="EH51" s="1461"/>
      <c r="EI51" s="1455">
        <v>45390</v>
      </c>
      <c r="EJ51" s="700"/>
      <c r="EK51" s="700"/>
      <c r="EL51" s="700"/>
      <c r="EM51" s="700"/>
      <c r="EN51" s="700"/>
      <c r="EO51" s="700"/>
      <c r="EP51" s="700"/>
      <c r="EQ51" s="700"/>
      <c r="ER51" s="700"/>
      <c r="ES51" s="700"/>
      <c r="ET51" s="700"/>
      <c r="EU51" s="700"/>
      <c r="EV51" s="700"/>
      <c r="EW51" s="700"/>
      <c r="EX51" s="700"/>
      <c r="EY51" s="700"/>
      <c r="EZ51" s="700"/>
      <c r="FA51" s="700"/>
      <c r="FB51" s="700">
        <v>2500</v>
      </c>
      <c r="FC51" s="1454"/>
      <c r="FD51" s="1471">
        <v>4500124897</v>
      </c>
      <c r="FE51" s="1330"/>
      <c r="FH51" s="1455">
        <v>45467</v>
      </c>
      <c r="FI51" s="700"/>
      <c r="FJ51" s="700"/>
      <c r="FK51" s="700"/>
      <c r="FL51" s="700"/>
      <c r="FM51" s="700"/>
      <c r="FN51" s="700"/>
      <c r="FO51" s="700"/>
      <c r="FP51" s="700"/>
      <c r="FQ51" s="700"/>
      <c r="FR51" s="700"/>
      <c r="FS51" s="700"/>
      <c r="FT51" s="700">
        <v>1155</v>
      </c>
      <c r="FU51" s="700"/>
      <c r="FV51" s="700"/>
      <c r="FW51" s="700"/>
      <c r="FX51" s="1448"/>
      <c r="FY51" s="1462" t="s">
        <v>11931</v>
      </c>
      <c r="GL51" s="1330"/>
      <c r="GM51" s="1330"/>
    </row>
    <row r="52" s="1329" customFormat="1" ht="24" customHeight="1" spans="2:195">
      <c r="B52" s="1435"/>
      <c r="C52" s="1436"/>
      <c r="D52" s="1437"/>
      <c r="E52" s="1438"/>
      <c r="F52" s="1438"/>
      <c r="G52" s="1438"/>
      <c r="H52" s="1438"/>
      <c r="I52" s="1439"/>
      <c r="J52" s="1440"/>
      <c r="K52" s="1440"/>
      <c r="L52" s="1440"/>
      <c r="M52" s="1440"/>
      <c r="N52" s="1440"/>
      <c r="O52" s="1440"/>
      <c r="P52" s="1440"/>
      <c r="Q52" s="1441"/>
      <c r="S52" s="1586">
        <v>44026</v>
      </c>
      <c r="T52" s="700" t="s">
        <v>11932</v>
      </c>
      <c r="U52" s="700" t="s">
        <v>11679</v>
      </c>
      <c r="V52" s="700"/>
      <c r="W52" s="700"/>
      <c r="X52" s="700">
        <v>415568</v>
      </c>
      <c r="Y52" s="700"/>
      <c r="Z52" s="700"/>
      <c r="AA52" s="700"/>
      <c r="AB52" s="700"/>
      <c r="AC52" s="700"/>
      <c r="AD52" s="700"/>
      <c r="AE52" s="700"/>
      <c r="AF52" s="700"/>
      <c r="AG52" s="700"/>
      <c r="AH52" s="700"/>
      <c r="AI52" s="700"/>
      <c r="AK52" s="1594">
        <v>44457</v>
      </c>
      <c r="AL52" s="1453" t="s">
        <v>11933</v>
      </c>
      <c r="AM52" s="1446"/>
      <c r="AN52" s="1447"/>
      <c r="AO52" s="1447"/>
      <c r="AP52" s="1447"/>
      <c r="AQ52" s="1447"/>
      <c r="AR52" s="700"/>
      <c r="AS52" s="700"/>
      <c r="AT52" s="700"/>
      <c r="AU52" s="1448"/>
      <c r="AV52" s="1597">
        <v>30800</v>
      </c>
      <c r="AW52" s="1448"/>
      <c r="AX52" s="1448"/>
      <c r="AY52" s="1448"/>
      <c r="AZ52" s="1448"/>
      <c r="BA52" s="1454"/>
      <c r="CG52" s="1330"/>
      <c r="CP52" s="1455">
        <v>44728</v>
      </c>
      <c r="CQ52" s="1456" t="s">
        <v>11934</v>
      </c>
      <c r="CR52" s="1457" t="s">
        <v>11935</v>
      </c>
      <c r="CS52" s="1443"/>
      <c r="CT52" s="1443"/>
      <c r="CU52" s="1443"/>
      <c r="CV52" s="1443"/>
      <c r="CW52" s="1443"/>
      <c r="CX52" s="1443"/>
      <c r="CY52" s="1443"/>
      <c r="CZ52" s="1443"/>
      <c r="DA52" s="700"/>
      <c r="DB52" s="1443">
        <v>4147</v>
      </c>
      <c r="DC52" s="1443"/>
      <c r="DD52" s="1440"/>
      <c r="DE52" s="1603" t="s">
        <v>11936</v>
      </c>
      <c r="DF52" s="1330"/>
      <c r="DG52" s="1455">
        <v>45133</v>
      </c>
      <c r="DH52" s="1456">
        <v>1000015677</v>
      </c>
      <c r="DI52" s="135" t="s">
        <v>11869</v>
      </c>
      <c r="DJ52" s="700"/>
      <c r="DK52" s="700"/>
      <c r="DL52" s="700"/>
      <c r="DM52" s="700"/>
      <c r="DN52" s="700"/>
      <c r="DO52" s="700"/>
      <c r="DP52" s="1466">
        <v>30000</v>
      </c>
      <c r="DQ52" s="1466"/>
      <c r="DR52" s="1466"/>
      <c r="DS52" s="700"/>
      <c r="DT52" s="700"/>
      <c r="DU52" s="700"/>
      <c r="DV52" s="700"/>
      <c r="DW52" s="700"/>
      <c r="DX52" s="700"/>
      <c r="DY52" s="700"/>
      <c r="DZ52" s="700"/>
      <c r="EA52" s="700"/>
      <c r="EB52" s="700"/>
      <c r="EC52" s="1448"/>
      <c r="ED52" s="1448"/>
      <c r="EE52" s="1462" t="s">
        <v>11937</v>
      </c>
      <c r="EF52" s="1461"/>
      <c r="EG52" s="1461"/>
      <c r="EH52" s="1461"/>
      <c r="EI52" s="1455">
        <v>45393</v>
      </c>
      <c r="EJ52" s="1443"/>
      <c r="EK52" s="1443"/>
      <c r="EL52" s="1443"/>
      <c r="EM52" s="1443"/>
      <c r="EN52" s="1443"/>
      <c r="EO52" s="1443"/>
      <c r="EP52" s="1443"/>
      <c r="EQ52" s="1443"/>
      <c r="ER52" s="1443"/>
      <c r="ES52" s="1443"/>
      <c r="ET52" s="1443"/>
      <c r="EU52" s="1443"/>
      <c r="EV52" s="1443"/>
      <c r="EW52" s="1443"/>
      <c r="EX52" s="1443"/>
      <c r="EY52" s="1443">
        <v>1600</v>
      </c>
      <c r="EZ52" s="1443"/>
      <c r="FA52" s="1443"/>
      <c r="FB52" s="1443"/>
      <c r="FC52" s="1476"/>
      <c r="FD52" s="1482">
        <v>4500133114</v>
      </c>
      <c r="FE52" s="1478" t="s">
        <v>11938</v>
      </c>
      <c r="FH52" s="1455">
        <v>45467</v>
      </c>
      <c r="FI52" s="700"/>
      <c r="FJ52" s="700"/>
      <c r="FK52" s="700"/>
      <c r="FL52" s="700"/>
      <c r="FM52" s="700"/>
      <c r="FN52" s="700"/>
      <c r="FO52" s="700"/>
      <c r="FP52" s="700"/>
      <c r="FQ52" s="700"/>
      <c r="FR52" s="700"/>
      <c r="FS52" s="700"/>
      <c r="FT52" s="700">
        <v>1498</v>
      </c>
      <c r="FU52" s="700"/>
      <c r="FV52" s="700"/>
      <c r="FW52" s="700"/>
      <c r="FX52" s="1448"/>
      <c r="FY52" s="1462" t="s">
        <v>11939</v>
      </c>
      <c r="GL52" s="1330"/>
      <c r="GM52" s="1330"/>
    </row>
    <row r="53" s="1329" customFormat="1" ht="24" customHeight="1" spans="2:195">
      <c r="B53" s="1497"/>
      <c r="C53" s="1436"/>
      <c r="D53" s="1437"/>
      <c r="E53" s="1438"/>
      <c r="F53" s="1438"/>
      <c r="G53" s="1438"/>
      <c r="H53" s="1438"/>
      <c r="I53" s="1439"/>
      <c r="J53" s="1440"/>
      <c r="K53" s="1440"/>
      <c r="L53" s="1440"/>
      <c r="M53" s="1440"/>
      <c r="N53" s="1440"/>
      <c r="O53" s="1440"/>
      <c r="P53" s="1440"/>
      <c r="Q53" s="1441"/>
      <c r="S53" s="1586">
        <v>44026</v>
      </c>
      <c r="T53" s="700" t="s">
        <v>11940</v>
      </c>
      <c r="U53" s="700" t="s">
        <v>11679</v>
      </c>
      <c r="V53" s="700"/>
      <c r="W53" s="700"/>
      <c r="X53" s="700"/>
      <c r="Y53" s="700">
        <v>440184</v>
      </c>
      <c r="Z53" s="700"/>
      <c r="AA53" s="700"/>
      <c r="AB53" s="700"/>
      <c r="AC53" s="700"/>
      <c r="AD53" s="700"/>
      <c r="AE53" s="700"/>
      <c r="AF53" s="700"/>
      <c r="AG53" s="700"/>
      <c r="AH53" s="700"/>
      <c r="AI53" s="700"/>
      <c r="AK53" s="1594">
        <v>44457</v>
      </c>
      <c r="AL53" s="1453" t="s">
        <v>11941</v>
      </c>
      <c r="AM53" s="1446"/>
      <c r="AN53" s="1447"/>
      <c r="AO53" s="1447"/>
      <c r="AP53" s="1447"/>
      <c r="AQ53" s="1447"/>
      <c r="AR53" s="700"/>
      <c r="AS53" s="700"/>
      <c r="AT53" s="700"/>
      <c r="AU53" s="1448"/>
      <c r="AV53" s="1448"/>
      <c r="AW53" s="1597">
        <v>1357</v>
      </c>
      <c r="AX53" s="1448"/>
      <c r="AY53" s="1448"/>
      <c r="AZ53" s="1448"/>
      <c r="BA53" s="1454"/>
      <c r="CG53" s="1330"/>
      <c r="CP53" s="1455">
        <v>44739</v>
      </c>
      <c r="CQ53" s="1456" t="s">
        <v>11942</v>
      </c>
      <c r="CR53" s="1457" t="s">
        <v>11935</v>
      </c>
      <c r="CS53" s="1443"/>
      <c r="CT53" s="1443"/>
      <c r="CU53" s="1443"/>
      <c r="CV53" s="1443"/>
      <c r="CW53" s="1443"/>
      <c r="CX53" s="1443"/>
      <c r="CY53" s="1443"/>
      <c r="CZ53" s="1443"/>
      <c r="DA53" s="700"/>
      <c r="DB53" s="1443">
        <v>1177</v>
      </c>
      <c r="DC53" s="1443"/>
      <c r="DD53" s="1440"/>
      <c r="DE53" s="5467" t="s">
        <v>11943</v>
      </c>
      <c r="DG53" s="1455">
        <v>45136</v>
      </c>
      <c r="DH53" s="1464"/>
      <c r="DI53" s="135" t="s">
        <v>11944</v>
      </c>
      <c r="DJ53" s="1464"/>
      <c r="DK53" s="1464"/>
      <c r="DL53" s="1464"/>
      <c r="DM53" s="1464"/>
      <c r="DN53" s="1464"/>
      <c r="DO53" s="1464"/>
      <c r="DP53" s="1465"/>
      <c r="DQ53" s="1465"/>
      <c r="DR53" s="1465"/>
      <c r="DS53" s="1464"/>
      <c r="DT53" s="1464"/>
      <c r="DU53" s="1464"/>
      <c r="DV53" s="1464"/>
      <c r="DW53" s="1464"/>
      <c r="DX53" s="1464">
        <v>1808</v>
      </c>
      <c r="DY53" s="1464"/>
      <c r="DZ53" s="1464"/>
      <c r="EA53" s="1464"/>
      <c r="EB53" s="1464"/>
      <c r="EC53" s="1601"/>
      <c r="ED53" s="1601"/>
      <c r="EE53" s="1602">
        <v>4500109600</v>
      </c>
      <c r="EF53" s="1461"/>
      <c r="EG53" s="1461"/>
      <c r="EH53" s="1461"/>
      <c r="EI53" s="1455">
        <v>45393</v>
      </c>
      <c r="EJ53" s="1443"/>
      <c r="EK53" s="1443"/>
      <c r="EL53" s="1443"/>
      <c r="EM53" s="1443"/>
      <c r="EN53" s="1443"/>
      <c r="EO53" s="1443"/>
      <c r="EP53" s="1443"/>
      <c r="EQ53" s="1443"/>
      <c r="ER53" s="1443"/>
      <c r="ES53" s="1443"/>
      <c r="ET53" s="1443"/>
      <c r="EU53" s="1443"/>
      <c r="EV53" s="1443"/>
      <c r="EW53" s="1443"/>
      <c r="EX53" s="1443"/>
      <c r="EY53" s="1443">
        <v>1804</v>
      </c>
      <c r="EZ53" s="1443"/>
      <c r="FA53" s="1443"/>
      <c r="FB53" s="1443"/>
      <c r="FC53" s="1476"/>
      <c r="FD53" s="1482" t="s">
        <v>11945</v>
      </c>
      <c r="FE53" s="1478" t="s">
        <v>11938</v>
      </c>
      <c r="FH53" s="1455">
        <v>45513</v>
      </c>
      <c r="FI53" s="700">
        <v>1000022453</v>
      </c>
      <c r="FJ53" s="700"/>
      <c r="FK53" s="700"/>
      <c r="FL53" s="700"/>
      <c r="FM53" s="700"/>
      <c r="FN53" s="700"/>
      <c r="FO53" s="700"/>
      <c r="FP53" s="700"/>
      <c r="FQ53" s="700"/>
      <c r="FR53" s="700"/>
      <c r="FS53" s="700"/>
      <c r="FT53" s="700"/>
      <c r="FU53" s="700">
        <v>27200</v>
      </c>
      <c r="FV53" s="700"/>
      <c r="FW53" s="700"/>
      <c r="FX53" s="1448"/>
      <c r="FY53" s="1462" t="s">
        <v>11946</v>
      </c>
      <c r="GL53" s="1330"/>
      <c r="GM53" s="1330"/>
    </row>
    <row r="54" s="1329" customFormat="1" ht="24" customHeight="1" spans="2:195">
      <c r="B54" s="1503"/>
      <c r="C54" s="1436"/>
      <c r="D54" s="1437"/>
      <c r="E54" s="1438"/>
      <c r="F54" s="1438"/>
      <c r="G54" s="1438"/>
      <c r="H54" s="1438"/>
      <c r="I54" s="1439"/>
      <c r="J54" s="1440"/>
      <c r="K54" s="1440"/>
      <c r="L54" s="1440"/>
      <c r="M54" s="1440"/>
      <c r="N54" s="1440"/>
      <c r="O54" s="1440"/>
      <c r="P54" s="1440"/>
      <c r="Q54" s="1441"/>
      <c r="S54" s="1586">
        <v>44026</v>
      </c>
      <c r="T54" s="700" t="s">
        <v>11947</v>
      </c>
      <c r="U54" s="700" t="s">
        <v>11679</v>
      </c>
      <c r="V54" s="700"/>
      <c r="W54" s="700"/>
      <c r="X54" s="700"/>
      <c r="Y54" s="700"/>
      <c r="Z54" s="700"/>
      <c r="AA54" s="700">
        <v>37096</v>
      </c>
      <c r="AB54" s="700"/>
      <c r="AC54" s="700"/>
      <c r="AD54" s="700"/>
      <c r="AE54" s="700"/>
      <c r="AF54" s="700"/>
      <c r="AG54" s="700"/>
      <c r="AH54" s="700"/>
      <c r="AI54" s="700"/>
      <c r="AK54" s="1594">
        <v>44484</v>
      </c>
      <c r="AL54" s="1453" t="s">
        <v>11948</v>
      </c>
      <c r="AM54" s="1446"/>
      <c r="AN54" s="1447"/>
      <c r="AO54" s="1597">
        <v>55000</v>
      </c>
      <c r="AP54" s="1447"/>
      <c r="AQ54" s="1447"/>
      <c r="AR54" s="700"/>
      <c r="AS54" s="700"/>
      <c r="AT54" s="700"/>
      <c r="AU54" s="1448"/>
      <c r="AV54" s="1448"/>
      <c r="AW54" s="1448"/>
      <c r="AX54" s="1448"/>
      <c r="AY54" s="1448"/>
      <c r="AZ54" s="1448"/>
      <c r="BA54" s="1454"/>
      <c r="CG54" s="1330"/>
      <c r="CP54" s="1455">
        <v>44740</v>
      </c>
      <c r="CQ54" s="1456" t="s">
        <v>11949</v>
      </c>
      <c r="CR54" s="1457" t="s">
        <v>11935</v>
      </c>
      <c r="CS54" s="1443"/>
      <c r="CT54" s="1443"/>
      <c r="CU54" s="1443"/>
      <c r="CV54" s="1443"/>
      <c r="CW54" s="1443"/>
      <c r="CX54" s="1443"/>
      <c r="CY54" s="1443"/>
      <c r="CZ54" s="1443"/>
      <c r="DA54" s="700"/>
      <c r="DB54" s="1443">
        <v>2467</v>
      </c>
      <c r="DC54" s="1443"/>
      <c r="DD54" s="1440"/>
      <c r="DE54" s="5468" t="s">
        <v>11950</v>
      </c>
      <c r="DG54" s="1455">
        <v>45140</v>
      </c>
      <c r="DH54" s="1464"/>
      <c r="DI54" s="135" t="s">
        <v>11951</v>
      </c>
      <c r="DJ54" s="1464"/>
      <c r="DK54" s="1464"/>
      <c r="DL54" s="1464"/>
      <c r="DM54" s="1464"/>
      <c r="DN54" s="1464"/>
      <c r="DO54" s="1464"/>
      <c r="DP54" s="1465"/>
      <c r="DQ54" s="1465"/>
      <c r="DR54" s="1465"/>
      <c r="DS54" s="1464"/>
      <c r="DT54" s="1464"/>
      <c r="DU54" s="1464"/>
      <c r="DV54" s="1464"/>
      <c r="DW54" s="1464">
        <v>16164</v>
      </c>
      <c r="DX54" s="1464"/>
      <c r="DY54" s="1464"/>
      <c r="DZ54" s="1464"/>
      <c r="EA54" s="1464"/>
      <c r="EB54" s="1464"/>
      <c r="EC54" s="1601"/>
      <c r="ED54" s="1601"/>
      <c r="EE54" s="1602" t="s">
        <v>11952</v>
      </c>
      <c r="EF54" s="1461"/>
      <c r="EG54" s="1461"/>
      <c r="EH54" s="1461"/>
      <c r="EI54" s="1455">
        <v>45393</v>
      </c>
      <c r="EJ54" s="1443"/>
      <c r="EK54" s="1443"/>
      <c r="EL54" s="1443"/>
      <c r="EM54" s="1443"/>
      <c r="EN54" s="1443"/>
      <c r="EO54" s="1443"/>
      <c r="EP54" s="1443"/>
      <c r="EQ54" s="1443"/>
      <c r="ER54" s="1443"/>
      <c r="ES54" s="1443"/>
      <c r="ET54" s="1443"/>
      <c r="EU54" s="1443"/>
      <c r="EV54" s="1443"/>
      <c r="EW54" s="1443"/>
      <c r="EX54" s="1443"/>
      <c r="EY54" s="1443">
        <v>1892</v>
      </c>
      <c r="EZ54" s="1443"/>
      <c r="FA54" s="1443"/>
      <c r="FB54" s="1443"/>
      <c r="FC54" s="1476"/>
      <c r="FD54" s="1482" t="s">
        <v>11953</v>
      </c>
      <c r="FE54" s="1478" t="s">
        <v>11938</v>
      </c>
      <c r="FH54" s="1455">
        <v>45512</v>
      </c>
      <c r="FI54" s="700">
        <v>1000022426</v>
      </c>
      <c r="FJ54" s="700"/>
      <c r="FK54" s="700">
        <v>200000</v>
      </c>
      <c r="FL54" s="700"/>
      <c r="FM54" s="700"/>
      <c r="FN54" s="700"/>
      <c r="FO54" s="700"/>
      <c r="FP54" s="700"/>
      <c r="FQ54" s="700"/>
      <c r="FR54" s="700"/>
      <c r="FS54" s="700"/>
      <c r="FT54" s="700"/>
      <c r="FU54" s="700"/>
      <c r="FV54" s="700"/>
      <c r="FW54" s="700"/>
      <c r="FX54" s="1448"/>
      <c r="FY54" s="1462"/>
      <c r="GL54" s="1330"/>
    </row>
    <row r="55" s="1329" customFormat="1" ht="24" customHeight="1" spans="2:195">
      <c r="B55" s="1605"/>
      <c r="C55" s="1606"/>
      <c r="D55" s="1607" t="s">
        <v>11789</v>
      </c>
      <c r="E55" s="1608">
        <f t="shared" ref="E55:J55" si="5">SUM(E5:E54)</f>
        <v>200000</v>
      </c>
      <c r="F55" s="1608">
        <f t="shared" si="5"/>
        <v>200000</v>
      </c>
      <c r="G55" s="1608">
        <f t="shared" si="5"/>
        <v>1554849</v>
      </c>
      <c r="H55" s="1608">
        <f t="shared" si="5"/>
        <v>1507362</v>
      </c>
      <c r="I55" s="1608">
        <f t="shared" si="5"/>
        <v>1789143</v>
      </c>
      <c r="J55" s="1608">
        <f t="shared" si="5"/>
        <v>50000</v>
      </c>
      <c r="K55" s="1608">
        <f t="shared" ref="K55:Q55" si="6">SUM(K5:K54)</f>
        <v>50000</v>
      </c>
      <c r="L55" s="1608">
        <f t="shared" si="6"/>
        <v>20000</v>
      </c>
      <c r="M55" s="1608">
        <f t="shared" si="6"/>
        <v>70803</v>
      </c>
      <c r="N55" s="1608">
        <f t="shared" si="6"/>
        <v>1254</v>
      </c>
      <c r="O55" s="1608">
        <f t="shared" si="6"/>
        <v>11000</v>
      </c>
      <c r="P55" s="1608">
        <f t="shared" si="6"/>
        <v>600</v>
      </c>
      <c r="Q55" s="1609">
        <f t="shared" si="6"/>
        <v>400</v>
      </c>
      <c r="S55" s="1586">
        <v>44026</v>
      </c>
      <c r="T55" s="700" t="s">
        <v>11954</v>
      </c>
      <c r="U55" s="700" t="s">
        <v>11679</v>
      </c>
      <c r="V55" s="700"/>
      <c r="W55" s="700"/>
      <c r="X55" s="700"/>
      <c r="Y55" s="700"/>
      <c r="Z55" s="700"/>
      <c r="AA55" s="700"/>
      <c r="AB55" s="700">
        <v>30000</v>
      </c>
      <c r="AC55" s="700"/>
      <c r="AD55" s="700"/>
      <c r="AE55" s="700"/>
      <c r="AF55" s="700"/>
      <c r="AG55" s="700"/>
      <c r="AH55" s="700"/>
      <c r="AI55" s="700"/>
      <c r="AK55" s="1594">
        <v>44484</v>
      </c>
      <c r="AL55" s="1453" t="s">
        <v>11955</v>
      </c>
      <c r="AM55" s="1446"/>
      <c r="AN55" s="1447"/>
      <c r="AO55" s="1447"/>
      <c r="AP55" s="1447"/>
      <c r="AQ55" s="1597">
        <v>30000</v>
      </c>
      <c r="AR55" s="700"/>
      <c r="AS55" s="700"/>
      <c r="AT55" s="700"/>
      <c r="AU55" s="1448"/>
      <c r="AV55" s="1448"/>
      <c r="AW55" s="1448"/>
      <c r="AX55" s="1448"/>
      <c r="AY55" s="1448"/>
      <c r="AZ55" s="1448"/>
      <c r="BA55" s="1454"/>
      <c r="CG55" s="1330"/>
      <c r="CH55" s="1330"/>
      <c r="CI55" s="1330"/>
      <c r="CJ55" s="1330"/>
      <c r="CK55" s="1330"/>
      <c r="CL55" s="1330"/>
      <c r="CM55" s="1330"/>
      <c r="CN55" s="1330"/>
      <c r="CP55" s="1455">
        <v>44753</v>
      </c>
      <c r="CQ55" s="1456">
        <v>1000011374</v>
      </c>
      <c r="CR55" s="1457" t="s">
        <v>11956</v>
      </c>
      <c r="CS55" s="1443"/>
      <c r="CT55" s="1443"/>
      <c r="CU55" s="1443"/>
      <c r="CV55" s="1443"/>
      <c r="CW55" s="1443"/>
      <c r="CX55" s="1443"/>
      <c r="CY55" s="1443"/>
      <c r="CZ55" s="1443"/>
      <c r="DA55" s="700">
        <v>1916</v>
      </c>
      <c r="DB55" s="1443"/>
      <c r="DC55" s="1443"/>
      <c r="DD55" s="1440"/>
      <c r="DE55" s="1610" t="s">
        <v>11957</v>
      </c>
      <c r="DG55" s="1455">
        <v>45166</v>
      </c>
      <c r="DH55" s="1464"/>
      <c r="DI55" s="135"/>
      <c r="DJ55" s="1464"/>
      <c r="DK55" s="1464"/>
      <c r="DL55" s="1464"/>
      <c r="DM55" s="1464"/>
      <c r="DN55" s="1464"/>
      <c r="DO55" s="1464"/>
      <c r="DP55" s="1465"/>
      <c r="DQ55" s="1465"/>
      <c r="DR55" s="1465"/>
      <c r="DS55" s="1464"/>
      <c r="DT55" s="1464"/>
      <c r="DU55" s="1464">
        <v>500</v>
      </c>
      <c r="DV55" s="1464"/>
      <c r="DW55" s="1464"/>
      <c r="DX55" s="1464"/>
      <c r="DY55" s="1464"/>
      <c r="DZ55" s="1464"/>
      <c r="EA55" s="1464"/>
      <c r="EB55" s="1464"/>
      <c r="EC55" s="1601"/>
      <c r="ED55" s="1601"/>
      <c r="EE55" s="1602"/>
      <c r="EF55" s="1461"/>
      <c r="EG55" s="1461"/>
      <c r="EH55" s="1461"/>
      <c r="EI55" s="1455">
        <v>45434</v>
      </c>
      <c r="EJ55" s="700">
        <v>1000020482</v>
      </c>
      <c r="EK55" s="700"/>
      <c r="EL55" s="700"/>
      <c r="EM55" s="700"/>
      <c r="EN55" s="700"/>
      <c r="EO55" s="700"/>
      <c r="EP55" s="700"/>
      <c r="EQ55" s="700"/>
      <c r="ER55" s="700"/>
      <c r="ES55" s="700"/>
      <c r="ET55" s="700"/>
      <c r="EU55" s="700"/>
      <c r="EV55" s="700"/>
      <c r="EW55" s="700"/>
      <c r="EX55" s="700"/>
      <c r="EY55" s="700"/>
      <c r="EZ55" s="700">
        <v>27648</v>
      </c>
      <c r="FA55" s="700"/>
      <c r="FB55" s="700"/>
      <c r="FC55" s="1454"/>
      <c r="FD55" s="1462" t="s">
        <v>11958</v>
      </c>
      <c r="FH55" s="1455">
        <v>45512</v>
      </c>
      <c r="FI55" s="700">
        <v>1000022427</v>
      </c>
      <c r="FJ55" s="700"/>
      <c r="FK55" s="700"/>
      <c r="FL55" s="700"/>
      <c r="FM55" s="700">
        <v>30000</v>
      </c>
      <c r="FN55" s="700"/>
      <c r="FO55" s="700"/>
      <c r="FP55" s="700"/>
      <c r="FQ55" s="700"/>
      <c r="FR55" s="700"/>
      <c r="FS55" s="700"/>
      <c r="FT55" s="700"/>
      <c r="FU55" s="700"/>
      <c r="FV55" s="700"/>
      <c r="FW55" s="700"/>
      <c r="FX55" s="1448"/>
      <c r="FY55" s="1462"/>
    </row>
    <row r="56" s="1329" customFormat="1" ht="24" customHeight="1" spans="2:195">
      <c r="B56" s="1611" t="s">
        <v>11796</v>
      </c>
      <c r="C56" s="1606"/>
      <c r="D56" s="1612"/>
      <c r="E56" s="1613" t="e">
        <f>#REF!</f>
        <v>#REF!</v>
      </c>
      <c r="F56" s="1613" t="e">
        <f>#REF!</f>
        <v>#REF!</v>
      </c>
      <c r="G56" s="1613" t="e">
        <f>#REF!</f>
        <v>#REF!</v>
      </c>
      <c r="H56" s="1613" t="e">
        <f>#REF!</f>
        <v>#REF!</v>
      </c>
      <c r="I56" s="1614" t="e">
        <f>#REF!+#REF!+#REF!</f>
        <v>#REF!</v>
      </c>
      <c r="J56" s="1614" t="e">
        <f>#REF!</f>
        <v>#REF!</v>
      </c>
      <c r="K56" s="1614" t="e">
        <f>#REF!</f>
        <v>#REF!</v>
      </c>
      <c r="L56" s="1614" t="e">
        <f>#REF!</f>
        <v>#REF!</v>
      </c>
      <c r="M56" s="1614" t="e">
        <f>#REF!</f>
        <v>#REF!</v>
      </c>
      <c r="N56" s="1614" t="e">
        <f>#REF!</f>
        <v>#REF!</v>
      </c>
      <c r="O56" s="1614" t="e">
        <f>#REF!</f>
        <v>#REF!</v>
      </c>
      <c r="P56" s="1614" t="e">
        <f>#REF!+#REF!+#REF!</f>
        <v>#REF!</v>
      </c>
      <c r="Q56" s="1615" t="e">
        <f>#REF!+#REF!+#REF!</f>
        <v>#REF!</v>
      </c>
      <c r="S56" s="1586">
        <v>44026</v>
      </c>
      <c r="T56" s="700" t="s">
        <v>11959</v>
      </c>
      <c r="U56" s="700" t="s">
        <v>11679</v>
      </c>
      <c r="V56" s="700"/>
      <c r="W56" s="700"/>
      <c r="X56" s="700"/>
      <c r="Y56" s="700"/>
      <c r="Z56" s="700"/>
      <c r="AA56" s="700"/>
      <c r="AB56" s="700"/>
      <c r="AC56" s="700">
        <v>11100</v>
      </c>
      <c r="AD56" s="700"/>
      <c r="AE56" s="700"/>
      <c r="AF56" s="700"/>
      <c r="AG56" s="700"/>
      <c r="AH56" s="700"/>
      <c r="AI56" s="700"/>
      <c r="AK56" s="1594">
        <v>44484</v>
      </c>
      <c r="AL56" s="1453" t="s">
        <v>11960</v>
      </c>
      <c r="AM56" s="1446"/>
      <c r="AN56" s="1447"/>
      <c r="AO56" s="1447"/>
      <c r="AP56" s="1447"/>
      <c r="AQ56" s="1447"/>
      <c r="AR56" s="700"/>
      <c r="AS56" s="1597">
        <v>40000</v>
      </c>
      <c r="AT56" s="700"/>
      <c r="AU56" s="1448"/>
      <c r="AV56" s="1448"/>
      <c r="AW56" s="1448"/>
      <c r="AX56" s="1448"/>
      <c r="AY56" s="1448"/>
      <c r="AZ56" s="1448"/>
      <c r="BA56" s="1454"/>
      <c r="CG56" s="1330"/>
      <c r="CH56" s="1330"/>
      <c r="CI56" s="1330"/>
      <c r="CJ56" s="1330"/>
      <c r="CK56" s="1330"/>
      <c r="CL56" s="1330"/>
      <c r="CM56" s="1330"/>
      <c r="CN56" s="1330"/>
      <c r="CP56" s="1455">
        <v>44761</v>
      </c>
      <c r="CQ56" s="1456">
        <v>1000011407</v>
      </c>
      <c r="CR56" s="1457" t="s">
        <v>11956</v>
      </c>
      <c r="CS56" s="1443"/>
      <c r="CT56" s="1443"/>
      <c r="CU56" s="1443"/>
      <c r="CV56" s="1443"/>
      <c r="CW56" s="1443"/>
      <c r="CX56" s="1443"/>
      <c r="CY56" s="1443"/>
      <c r="CZ56" s="1443"/>
      <c r="DA56" s="700">
        <v>5424</v>
      </c>
      <c r="DB56" s="1443"/>
      <c r="DC56" s="1443"/>
      <c r="DD56" s="1440"/>
      <c r="DE56" s="1485" t="s">
        <v>11961</v>
      </c>
      <c r="DG56" s="1455">
        <v>45166</v>
      </c>
      <c r="DH56" s="1456">
        <v>1000016173</v>
      </c>
      <c r="DI56" s="135" t="s">
        <v>11685</v>
      </c>
      <c r="DJ56" s="1464"/>
      <c r="DK56" s="1464">
        <v>250000</v>
      </c>
      <c r="DL56" s="1464"/>
      <c r="DM56" s="1464"/>
      <c r="DN56" s="1464"/>
      <c r="DO56" s="1464"/>
      <c r="DP56" s="1465"/>
      <c r="DQ56" s="1465"/>
      <c r="DR56" s="1465"/>
      <c r="DS56" s="1464"/>
      <c r="DT56" s="1464"/>
      <c r="DU56" s="1464"/>
      <c r="DV56" s="1464"/>
      <c r="DW56" s="1464"/>
      <c r="DX56" s="1464"/>
      <c r="DY56" s="1464"/>
      <c r="DZ56" s="1464"/>
      <c r="EA56" s="1464"/>
      <c r="EB56" s="1464"/>
      <c r="EC56" s="1601"/>
      <c r="ED56" s="1601"/>
      <c r="EE56" s="1602"/>
      <c r="EF56" s="1461"/>
      <c r="EG56" s="1461"/>
      <c r="EH56" s="1461"/>
      <c r="EI56" s="1455">
        <v>45440</v>
      </c>
      <c r="EJ56" s="700">
        <v>1000020628</v>
      </c>
      <c r="EK56" s="700" t="s">
        <v>11686</v>
      </c>
      <c r="EL56" s="700">
        <v>200000</v>
      </c>
      <c r="EM56" s="700"/>
      <c r="EN56" s="700"/>
      <c r="EO56" s="700"/>
      <c r="EP56" s="700"/>
      <c r="EQ56" s="700"/>
      <c r="ER56" s="700"/>
      <c r="ES56" s="700"/>
      <c r="ET56" s="700"/>
      <c r="EU56" s="700"/>
      <c r="EV56" s="700"/>
      <c r="EW56" s="700"/>
      <c r="EX56" s="700"/>
      <c r="EY56" s="700"/>
      <c r="EZ56" s="700"/>
      <c r="FA56" s="700"/>
      <c r="FB56" s="700"/>
      <c r="FC56" s="1454"/>
      <c r="FD56" s="1462"/>
      <c r="FH56" s="1455">
        <v>45512</v>
      </c>
      <c r="FI56" s="700">
        <v>1000022429</v>
      </c>
      <c r="FJ56" s="700"/>
      <c r="FK56" s="700"/>
      <c r="FL56" s="700"/>
      <c r="FM56" s="700"/>
      <c r="FN56" s="700"/>
      <c r="FO56" s="700">
        <v>200000</v>
      </c>
      <c r="FP56" s="700"/>
      <c r="FQ56" s="700"/>
      <c r="FR56" s="700"/>
      <c r="FS56" s="700"/>
      <c r="FT56" s="700"/>
      <c r="FU56" s="700"/>
      <c r="FV56" s="700"/>
      <c r="FW56" s="700"/>
      <c r="FX56" s="1448"/>
      <c r="FY56" s="1462"/>
    </row>
    <row r="57" s="1329" customFormat="1" ht="24" customHeight="1" spans="2:195">
      <c r="B57" s="1616"/>
      <c r="C57" s="1606"/>
      <c r="D57" s="1612"/>
      <c r="E57" s="1613"/>
      <c r="F57" s="1613"/>
      <c r="G57" s="1613"/>
      <c r="H57" s="1613"/>
      <c r="I57" s="1614"/>
      <c r="J57" s="1614"/>
      <c r="K57" s="1614"/>
      <c r="L57" s="1614"/>
      <c r="M57" s="1614"/>
      <c r="N57" s="1614"/>
      <c r="O57" s="1614"/>
      <c r="P57" s="1614"/>
      <c r="Q57" s="1615"/>
      <c r="S57" s="1586">
        <v>44026</v>
      </c>
      <c r="T57" s="700" t="s">
        <v>11962</v>
      </c>
      <c r="U57" s="700" t="s">
        <v>11679</v>
      </c>
      <c r="V57" s="700"/>
      <c r="W57" s="700"/>
      <c r="X57" s="700"/>
      <c r="Y57" s="700"/>
      <c r="Z57" s="700"/>
      <c r="AA57" s="700"/>
      <c r="AB57" s="700"/>
      <c r="AC57" s="700"/>
      <c r="AD57" s="700">
        <v>11100</v>
      </c>
      <c r="AE57" s="700"/>
      <c r="AF57" s="700"/>
      <c r="AG57" s="700"/>
      <c r="AH57" s="700"/>
      <c r="AI57" s="700"/>
      <c r="AK57" s="1594">
        <v>44484</v>
      </c>
      <c r="AL57" s="1453" t="s">
        <v>11963</v>
      </c>
      <c r="AM57" s="1446"/>
      <c r="AN57" s="1447"/>
      <c r="AO57" s="1447"/>
      <c r="AP57" s="1447"/>
      <c r="AQ57" s="1447"/>
      <c r="AR57" s="700"/>
      <c r="AS57" s="700"/>
      <c r="AT57" s="700"/>
      <c r="AU57" s="1597">
        <v>40000</v>
      </c>
      <c r="AV57" s="1448"/>
      <c r="AW57" s="1448"/>
      <c r="AX57" s="1448"/>
      <c r="AY57" s="1448"/>
      <c r="AZ57" s="1448"/>
      <c r="BA57" s="1454"/>
      <c r="CG57" s="1330"/>
      <c r="CH57" s="1330"/>
      <c r="CI57" s="1330"/>
      <c r="CJ57" s="1330"/>
      <c r="CK57" s="1330"/>
      <c r="CL57" s="1330"/>
      <c r="CM57" s="1330"/>
      <c r="CN57" s="1330"/>
      <c r="CP57" s="1455">
        <v>44757</v>
      </c>
      <c r="CQ57" s="1456">
        <v>1000011401</v>
      </c>
      <c r="CR57" s="1457" t="s">
        <v>11739</v>
      </c>
      <c r="CS57" s="1443"/>
      <c r="CT57" s="1443"/>
      <c r="CU57" s="1443"/>
      <c r="CV57" s="1443"/>
      <c r="CW57" s="1443"/>
      <c r="CX57" s="1443"/>
      <c r="CY57" s="1443">
        <v>500</v>
      </c>
      <c r="CZ57" s="1443"/>
      <c r="DA57" s="700"/>
      <c r="DB57" s="1443"/>
      <c r="DC57" s="1443"/>
      <c r="DD57" s="1440"/>
      <c r="DE57" s="1458">
        <v>4500077259</v>
      </c>
      <c r="DG57" s="1455">
        <v>45166</v>
      </c>
      <c r="DH57" s="1456">
        <v>1000016174</v>
      </c>
      <c r="DI57" s="135" t="s">
        <v>11685</v>
      </c>
      <c r="DJ57" s="1464"/>
      <c r="DK57" s="1464"/>
      <c r="DL57" s="1464"/>
      <c r="DM57" s="1464"/>
      <c r="DN57" s="1464"/>
      <c r="DO57" s="1464"/>
      <c r="DP57" s="1465"/>
      <c r="DQ57" s="1465"/>
      <c r="DR57" s="1465">
        <v>250000</v>
      </c>
      <c r="DS57" s="1464"/>
      <c r="DT57" s="1464"/>
      <c r="DU57" s="1464"/>
      <c r="DV57" s="1464"/>
      <c r="DW57" s="1464"/>
      <c r="DX57" s="1464"/>
      <c r="DY57" s="1464"/>
      <c r="DZ57" s="1464"/>
      <c r="EA57" s="1464"/>
      <c r="EB57" s="1464"/>
      <c r="EC57" s="1601"/>
      <c r="ED57" s="1601"/>
      <c r="EE57" s="1602"/>
      <c r="EF57" s="1461"/>
      <c r="EG57" s="1461"/>
      <c r="EH57" s="1461"/>
      <c r="EI57" s="1455">
        <v>45440</v>
      </c>
      <c r="EJ57" s="700">
        <v>1000020629</v>
      </c>
      <c r="EK57" s="700" t="s">
        <v>11686</v>
      </c>
      <c r="EL57" s="700"/>
      <c r="EM57" s="700"/>
      <c r="EN57" s="700"/>
      <c r="EO57" s="700">
        <v>100000</v>
      </c>
      <c r="EP57" s="700"/>
      <c r="EQ57" s="700"/>
      <c r="ER57" s="700"/>
      <c r="ES57" s="700"/>
      <c r="ET57" s="700"/>
      <c r="EU57" s="700"/>
      <c r="EV57" s="700"/>
      <c r="EW57" s="700"/>
      <c r="EX57" s="700"/>
      <c r="EY57" s="700"/>
      <c r="EZ57" s="700"/>
      <c r="FA57" s="700"/>
      <c r="FB57" s="700"/>
      <c r="FC57" s="1454"/>
      <c r="FD57" s="1462"/>
      <c r="FH57" s="1455">
        <v>45512</v>
      </c>
      <c r="FI57" s="700">
        <v>1000022430</v>
      </c>
      <c r="FJ57" s="700"/>
      <c r="FK57" s="700"/>
      <c r="FL57" s="700"/>
      <c r="FM57" s="700"/>
      <c r="FN57" s="700"/>
      <c r="FO57" s="700"/>
      <c r="FP57" s="700"/>
      <c r="FQ57" s="700">
        <v>10000</v>
      </c>
      <c r="FR57" s="700"/>
      <c r="FS57" s="700"/>
      <c r="FT57" s="700"/>
      <c r="FU57" s="700"/>
      <c r="FV57" s="700"/>
      <c r="FW57" s="700"/>
      <c r="FX57" s="1448"/>
      <c r="FY57" s="1462"/>
    </row>
    <row r="58" s="1329" customFormat="1" ht="24" customHeight="1" spans="2:195">
      <c r="B58" s="1616"/>
      <c r="C58" s="1606"/>
      <c r="D58" s="1612"/>
      <c r="E58" s="1613"/>
      <c r="F58" s="1613"/>
      <c r="G58" s="1613"/>
      <c r="H58" s="1613"/>
      <c r="I58" s="1614"/>
      <c r="J58" s="1614"/>
      <c r="K58" s="1614"/>
      <c r="L58" s="1614"/>
      <c r="M58" s="1614"/>
      <c r="N58" s="1614"/>
      <c r="O58" s="1614"/>
      <c r="P58" s="1614"/>
      <c r="Q58" s="1615"/>
      <c r="S58" s="1586">
        <v>44026</v>
      </c>
      <c r="T58" s="700" t="s">
        <v>11964</v>
      </c>
      <c r="U58" s="700" t="s">
        <v>11679</v>
      </c>
      <c r="V58" s="700"/>
      <c r="W58" s="700"/>
      <c r="X58" s="700"/>
      <c r="Y58" s="700"/>
      <c r="Z58" s="700"/>
      <c r="AA58" s="700"/>
      <c r="AB58" s="700"/>
      <c r="AC58" s="700"/>
      <c r="AD58" s="700"/>
      <c r="AE58" s="700">
        <v>1605</v>
      </c>
      <c r="AF58" s="700"/>
      <c r="AG58" s="700"/>
      <c r="AH58" s="700"/>
      <c r="AI58" s="700"/>
      <c r="AK58" s="1594">
        <v>44484</v>
      </c>
      <c r="AL58" s="1453" t="s">
        <v>11965</v>
      </c>
      <c r="AM58" s="1443"/>
      <c r="AN58" s="1443"/>
      <c r="AO58" s="700"/>
      <c r="AP58" s="1443"/>
      <c r="AQ58" s="1443"/>
      <c r="AR58" s="1443"/>
      <c r="AS58" s="1443"/>
      <c r="AT58" s="1443"/>
      <c r="AU58" s="1443"/>
      <c r="AV58" s="1597">
        <v>1000</v>
      </c>
      <c r="AW58" s="1443"/>
      <c r="AX58" s="1443"/>
      <c r="AY58" s="1443"/>
      <c r="AZ58" s="1443"/>
      <c r="BA58" s="1476"/>
      <c r="CG58" s="1330"/>
      <c r="CH58" s="1330"/>
      <c r="CI58" s="1330"/>
      <c r="CJ58" s="1330"/>
      <c r="CK58" s="1330"/>
      <c r="CL58" s="1330"/>
      <c r="CM58" s="1330"/>
      <c r="CN58" s="1330"/>
      <c r="CP58" s="1455">
        <v>44781</v>
      </c>
      <c r="CQ58" s="1456" t="s">
        <v>11966</v>
      </c>
      <c r="CR58" s="1457" t="s">
        <v>11935</v>
      </c>
      <c r="CS58" s="1443"/>
      <c r="CT58" s="1443"/>
      <c r="CU58" s="1443"/>
      <c r="CV58" s="1443"/>
      <c r="CW58" s="1443"/>
      <c r="CX58" s="1443"/>
      <c r="CY58" s="1443"/>
      <c r="CZ58" s="1443"/>
      <c r="DA58" s="700"/>
      <c r="DB58" s="1443">
        <v>500</v>
      </c>
      <c r="DC58" s="1443"/>
      <c r="DD58" s="1440"/>
      <c r="DE58" s="5465" t="s">
        <v>11967</v>
      </c>
      <c r="DG58" s="1455">
        <v>45166</v>
      </c>
      <c r="DH58" s="1456">
        <v>1000016175</v>
      </c>
      <c r="DI58" s="135" t="s">
        <v>11685</v>
      </c>
      <c r="DJ58" s="1464"/>
      <c r="DK58" s="1464"/>
      <c r="DL58" s="1464"/>
      <c r="DM58" s="1464">
        <v>5000</v>
      </c>
      <c r="DN58" s="1464"/>
      <c r="DO58" s="1464"/>
      <c r="DP58" s="1465"/>
      <c r="DQ58" s="1465"/>
      <c r="DR58" s="1465"/>
      <c r="DS58" s="1464"/>
      <c r="DT58" s="1464"/>
      <c r="DU58" s="1464"/>
      <c r="DV58" s="1464"/>
      <c r="DW58" s="1464"/>
      <c r="DX58" s="1464"/>
      <c r="DY58" s="1464"/>
      <c r="DZ58" s="1464"/>
      <c r="EA58" s="1464"/>
      <c r="EB58" s="1464"/>
      <c r="EC58" s="1601"/>
      <c r="ED58" s="1601"/>
      <c r="EE58" s="1602"/>
      <c r="EF58" s="1461"/>
      <c r="EG58" s="1461"/>
      <c r="EH58" s="1461"/>
      <c r="EI58" s="1455">
        <v>45440</v>
      </c>
      <c r="EJ58" s="700">
        <v>1000020630</v>
      </c>
      <c r="EK58" s="700" t="s">
        <v>11686</v>
      </c>
      <c r="EL58" s="700"/>
      <c r="EM58" s="700"/>
      <c r="EN58" s="700"/>
      <c r="EO58" s="700"/>
      <c r="EP58" s="700"/>
      <c r="EQ58" s="700"/>
      <c r="ER58" s="700">
        <v>300000</v>
      </c>
      <c r="ES58" s="700"/>
      <c r="ET58" s="700"/>
      <c r="EU58" s="700"/>
      <c r="EV58" s="700"/>
      <c r="EW58" s="700"/>
      <c r="EX58" s="700"/>
      <c r="EY58" s="700"/>
      <c r="EZ58" s="700"/>
      <c r="FA58" s="700"/>
      <c r="FB58" s="700"/>
      <c r="FC58" s="1454"/>
      <c r="FD58" s="1462"/>
      <c r="FH58" s="1455">
        <v>45512</v>
      </c>
      <c r="FI58" s="700">
        <v>1000022431</v>
      </c>
      <c r="FJ58" s="700"/>
      <c r="FK58" s="700"/>
      <c r="FL58" s="700"/>
      <c r="FM58" s="700"/>
      <c r="FN58" s="700"/>
      <c r="FO58" s="700"/>
      <c r="FP58" s="700"/>
      <c r="FQ58" s="700"/>
      <c r="FR58" s="700">
        <v>10000</v>
      </c>
      <c r="FS58" s="700"/>
      <c r="FT58" s="700"/>
      <c r="FU58" s="700"/>
      <c r="FV58" s="700"/>
      <c r="FW58" s="700"/>
      <c r="FX58" s="1448"/>
      <c r="FY58" s="1462"/>
    </row>
    <row r="59" s="1329" customFormat="1" ht="24" customHeight="1" spans="2:195">
      <c r="B59" s="1616"/>
      <c r="C59" s="1606"/>
      <c r="D59" s="1612"/>
      <c r="E59" s="1613"/>
      <c r="F59" s="1613"/>
      <c r="G59" s="1613"/>
      <c r="H59" s="1613"/>
      <c r="I59" s="1614"/>
      <c r="J59" s="1614"/>
      <c r="K59" s="1614"/>
      <c r="L59" s="1614"/>
      <c r="M59" s="1614"/>
      <c r="N59" s="1614"/>
      <c r="O59" s="1614"/>
      <c r="P59" s="1614"/>
      <c r="Q59" s="1615"/>
      <c r="S59" s="1586">
        <v>44060</v>
      </c>
      <c r="T59" s="700" t="s">
        <v>11968</v>
      </c>
      <c r="U59" s="700" t="s">
        <v>11679</v>
      </c>
      <c r="V59" s="700"/>
      <c r="W59" s="700">
        <v>265250</v>
      </c>
      <c r="X59" s="700"/>
      <c r="Y59" s="700"/>
      <c r="Z59" s="700"/>
      <c r="AA59" s="700"/>
      <c r="AB59" s="700"/>
      <c r="AC59" s="700"/>
      <c r="AD59" s="700"/>
      <c r="AE59" s="700"/>
      <c r="AF59" s="700"/>
      <c r="AG59" s="700"/>
      <c r="AH59" s="700"/>
      <c r="AI59" s="700"/>
      <c r="AK59" s="1594">
        <v>44484</v>
      </c>
      <c r="AL59" s="1453" t="s">
        <v>11969</v>
      </c>
      <c r="AM59" s="1443"/>
      <c r="AN59" s="1443"/>
      <c r="AO59" s="700"/>
      <c r="AP59" s="1443"/>
      <c r="AQ59" s="1443"/>
      <c r="AR59" s="1443"/>
      <c r="AS59" s="1443"/>
      <c r="AT59" s="1443"/>
      <c r="AU59" s="1443"/>
      <c r="AV59" s="1443"/>
      <c r="AW59" s="1597">
        <v>9000</v>
      </c>
      <c r="AX59" s="1443"/>
      <c r="AY59" s="1443"/>
      <c r="AZ59" s="1443"/>
      <c r="BA59" s="1476"/>
      <c r="CG59" s="1330"/>
      <c r="CP59" s="1455"/>
      <c r="CQ59" s="1456"/>
      <c r="CR59" s="1457" t="s">
        <v>11956</v>
      </c>
      <c r="CS59" s="1443"/>
      <c r="CT59" s="1443"/>
      <c r="CU59" s="1443"/>
      <c r="CV59" s="1443"/>
      <c r="CW59" s="1443"/>
      <c r="CX59" s="1443"/>
      <c r="CY59" s="1443"/>
      <c r="CZ59" s="1443"/>
      <c r="DA59" s="700">
        <v>1216</v>
      </c>
      <c r="DB59" s="1443"/>
      <c r="DC59" s="1443"/>
      <c r="DD59" s="1440"/>
      <c r="DE59" s="1485" t="s">
        <v>11970</v>
      </c>
      <c r="DG59" s="1455">
        <v>45166</v>
      </c>
      <c r="DH59" s="1456">
        <v>1000016176</v>
      </c>
      <c r="DI59" s="135" t="s">
        <v>11685</v>
      </c>
      <c r="DJ59" s="1464"/>
      <c r="DK59" s="1464"/>
      <c r="DL59" s="1464"/>
      <c r="DM59" s="1464">
        <v>3000</v>
      </c>
      <c r="DN59" s="1464"/>
      <c r="DO59" s="1464"/>
      <c r="DP59" s="1465"/>
      <c r="DQ59" s="1465"/>
      <c r="DR59" s="1465"/>
      <c r="DS59" s="1464"/>
      <c r="DT59" s="1464"/>
      <c r="DU59" s="1464"/>
      <c r="DV59" s="1464"/>
      <c r="DW59" s="1464"/>
      <c r="DX59" s="1464"/>
      <c r="DY59" s="1464"/>
      <c r="DZ59" s="1464"/>
      <c r="EA59" s="1464"/>
      <c r="EB59" s="1464"/>
      <c r="EC59" s="1601"/>
      <c r="ED59" s="1601"/>
      <c r="EE59" s="1602"/>
      <c r="EF59" s="1461"/>
      <c r="EG59" s="1461"/>
      <c r="EH59" s="1461"/>
      <c r="EI59" s="1455">
        <v>45440</v>
      </c>
      <c r="EJ59" s="700">
        <v>1000020631</v>
      </c>
      <c r="EK59" s="700" t="s">
        <v>11686</v>
      </c>
      <c r="EL59" s="700"/>
      <c r="EM59" s="700"/>
      <c r="EN59" s="700"/>
      <c r="EO59" s="700"/>
      <c r="EP59" s="700"/>
      <c r="EQ59" s="700"/>
      <c r="ER59" s="700"/>
      <c r="ES59" s="700"/>
      <c r="ET59" s="700">
        <v>10000</v>
      </c>
      <c r="EU59" s="700"/>
      <c r="EV59" s="700"/>
      <c r="EW59" s="700"/>
      <c r="EX59" s="700"/>
      <c r="EY59" s="700"/>
      <c r="EZ59" s="700"/>
      <c r="FA59" s="700"/>
      <c r="FB59" s="700"/>
      <c r="FC59" s="1454"/>
      <c r="FD59" s="1462"/>
      <c r="FH59" s="1455">
        <v>45523</v>
      </c>
      <c r="FI59" s="700"/>
      <c r="FJ59" s="700"/>
      <c r="FK59" s="700"/>
      <c r="FL59" s="700"/>
      <c r="FM59" s="700"/>
      <c r="FN59" s="700"/>
      <c r="FO59" s="700"/>
      <c r="FP59" s="700"/>
      <c r="FQ59" s="700"/>
      <c r="FR59" s="700"/>
      <c r="FS59" s="700"/>
      <c r="FT59" s="700">
        <v>1600</v>
      </c>
      <c r="FU59" s="700"/>
      <c r="FV59" s="700"/>
      <c r="FW59" s="700"/>
      <c r="FX59" s="1448"/>
      <c r="FY59" s="1462">
        <v>4500143320</v>
      </c>
      <c r="GA59" s="1330"/>
    </row>
    <row r="60" s="1329" customFormat="1" ht="24" customHeight="1" spans="2:195">
      <c r="B60" s="1616"/>
      <c r="C60" s="1606"/>
      <c r="D60" s="1612"/>
      <c r="E60" s="1613"/>
      <c r="F60" s="1613"/>
      <c r="G60" s="1613"/>
      <c r="H60" s="1613"/>
      <c r="I60" s="1614"/>
      <c r="J60" s="1614"/>
      <c r="K60" s="1614"/>
      <c r="L60" s="1614"/>
      <c r="M60" s="1614"/>
      <c r="N60" s="1614"/>
      <c r="O60" s="1614"/>
      <c r="P60" s="1614"/>
      <c r="Q60" s="1615"/>
      <c r="S60" s="1586">
        <v>44060</v>
      </c>
      <c r="T60" s="700" t="s">
        <v>11971</v>
      </c>
      <c r="U60" s="700" t="s">
        <v>11679</v>
      </c>
      <c r="V60" s="700"/>
      <c r="W60" s="700"/>
      <c r="X60" s="700">
        <v>223096</v>
      </c>
      <c r="Y60" s="700"/>
      <c r="Z60" s="700"/>
      <c r="AA60" s="700"/>
      <c r="AB60" s="700"/>
      <c r="AC60" s="700"/>
      <c r="AD60" s="700"/>
      <c r="AE60" s="700"/>
      <c r="AF60" s="700"/>
      <c r="AG60" s="700"/>
      <c r="AH60" s="700"/>
      <c r="AI60" s="700"/>
      <c r="AK60" s="1594">
        <v>44505</v>
      </c>
      <c r="AL60" s="1453" t="s">
        <v>11972</v>
      </c>
      <c r="AM60" s="1457" t="s">
        <v>11684</v>
      </c>
      <c r="AN60" s="1443"/>
      <c r="AO60" s="1597">
        <v>30000</v>
      </c>
      <c r="AP60" s="1443"/>
      <c r="AQ60" s="1443"/>
      <c r="AR60" s="1443"/>
      <c r="AS60" s="1443"/>
      <c r="AT60" s="1443"/>
      <c r="AU60" s="1443"/>
      <c r="AV60" s="1443"/>
      <c r="AW60" s="1443"/>
      <c r="AX60" s="1443"/>
      <c r="AY60" s="1443"/>
      <c r="AZ60" s="1443"/>
      <c r="BA60" s="1443"/>
      <c r="CG60" s="1330"/>
      <c r="CP60" s="1455">
        <v>44799</v>
      </c>
      <c r="CQ60" s="1456">
        <v>1000011746</v>
      </c>
      <c r="CR60" s="1457" t="s">
        <v>11956</v>
      </c>
      <c r="CS60" s="1443"/>
      <c r="CT60" s="1443"/>
      <c r="CU60" s="1443"/>
      <c r="CV60" s="1443"/>
      <c r="CW60" s="1443"/>
      <c r="CX60" s="1443"/>
      <c r="CY60" s="1443"/>
      <c r="CZ60" s="1443"/>
      <c r="DA60" s="700">
        <v>2115</v>
      </c>
      <c r="DB60" s="1443"/>
      <c r="DC60" s="1443"/>
      <c r="DD60" s="1440"/>
      <c r="DE60" s="1485" t="s">
        <v>11973</v>
      </c>
      <c r="DG60" s="1455">
        <v>45166</v>
      </c>
      <c r="DH60" s="1456">
        <v>1000016177</v>
      </c>
      <c r="DI60" s="135" t="s">
        <v>11685</v>
      </c>
      <c r="DJ60" s="1464"/>
      <c r="DK60" s="1464"/>
      <c r="DL60" s="1464"/>
      <c r="DM60" s="1464"/>
      <c r="DN60" s="1464"/>
      <c r="DO60" s="1464"/>
      <c r="DP60" s="1465"/>
      <c r="DQ60" s="1465"/>
      <c r="DR60" s="1465"/>
      <c r="DS60" s="1464"/>
      <c r="DT60" s="1464"/>
      <c r="DU60" s="1464"/>
      <c r="DV60" s="1464">
        <v>20000</v>
      </c>
      <c r="DW60" s="1464"/>
      <c r="DX60" s="1464"/>
      <c r="DY60" s="1464"/>
      <c r="DZ60" s="1464"/>
      <c r="EA60" s="1464"/>
      <c r="EB60" s="1464"/>
      <c r="EC60" s="1601"/>
      <c r="ED60" s="1601"/>
      <c r="EE60" s="1602"/>
      <c r="EF60" s="1461"/>
      <c r="EG60" s="1461"/>
      <c r="EH60" s="1461"/>
      <c r="EI60" s="1455">
        <v>45440</v>
      </c>
      <c r="EJ60" s="700">
        <v>1000020632</v>
      </c>
      <c r="EK60" s="700" t="s">
        <v>11686</v>
      </c>
      <c r="EL60" s="700"/>
      <c r="EM60" s="700"/>
      <c r="EN60" s="700"/>
      <c r="EO60" s="700"/>
      <c r="EP60" s="700"/>
      <c r="EQ60" s="700"/>
      <c r="ER60" s="700"/>
      <c r="ES60" s="700"/>
      <c r="ET60" s="700"/>
      <c r="EU60" s="700"/>
      <c r="EV60" s="700">
        <v>10000</v>
      </c>
      <c r="EW60" s="700"/>
      <c r="EX60" s="700"/>
      <c r="EY60" s="700"/>
      <c r="EZ60" s="700"/>
      <c r="FA60" s="700"/>
      <c r="FB60" s="700"/>
      <c r="FC60" s="1454"/>
      <c r="FD60" s="1462"/>
      <c r="FH60" s="1455">
        <v>45524</v>
      </c>
      <c r="FI60" s="700"/>
      <c r="FJ60" s="700"/>
      <c r="FK60" s="700"/>
      <c r="FL60" s="700"/>
      <c r="FM60" s="700"/>
      <c r="FN60" s="700"/>
      <c r="FO60" s="700"/>
      <c r="FP60" s="700"/>
      <c r="FQ60" s="700"/>
      <c r="FR60" s="700"/>
      <c r="FS60" s="700"/>
      <c r="FT60" s="700">
        <v>876</v>
      </c>
      <c r="FU60" s="700"/>
      <c r="FV60" s="700"/>
      <c r="FW60" s="700"/>
      <c r="FX60" s="1448"/>
      <c r="FY60" s="1462" t="s">
        <v>11974</v>
      </c>
      <c r="GA60" s="1330"/>
    </row>
    <row r="61" s="1329" customFormat="1" ht="24" customHeight="1" spans="2:195">
      <c r="B61" s="1616"/>
      <c r="C61" s="1606"/>
      <c r="D61" s="1612"/>
      <c r="E61" s="1613"/>
      <c r="F61" s="1613"/>
      <c r="G61" s="1613"/>
      <c r="H61" s="1613"/>
      <c r="I61" s="1614"/>
      <c r="J61" s="1614"/>
      <c r="K61" s="1614"/>
      <c r="L61" s="1614"/>
      <c r="M61" s="1614"/>
      <c r="N61" s="1614"/>
      <c r="O61" s="1614"/>
      <c r="P61" s="1614"/>
      <c r="Q61" s="1615"/>
      <c r="S61" s="1586">
        <v>44060</v>
      </c>
      <c r="T61" s="700" t="s">
        <v>11975</v>
      </c>
      <c r="U61" s="700" t="s">
        <v>11679</v>
      </c>
      <c r="V61" s="700"/>
      <c r="W61" s="700"/>
      <c r="X61" s="700"/>
      <c r="Y61" s="700">
        <v>310380</v>
      </c>
      <c r="Z61" s="700"/>
      <c r="AA61" s="700"/>
      <c r="AB61" s="700"/>
      <c r="AC61" s="700"/>
      <c r="AD61" s="700"/>
      <c r="AE61" s="700"/>
      <c r="AF61" s="700"/>
      <c r="AG61" s="700"/>
      <c r="AH61" s="700"/>
      <c r="AI61" s="700"/>
      <c r="AK61" s="1594">
        <v>44505</v>
      </c>
      <c r="AL61" s="1453" t="s">
        <v>11682</v>
      </c>
      <c r="AM61" s="1457" t="s">
        <v>11684</v>
      </c>
      <c r="AN61" s="1443"/>
      <c r="AO61" s="700"/>
      <c r="AP61" s="1443"/>
      <c r="AQ61" s="1597">
        <v>30000</v>
      </c>
      <c r="AR61" s="1443"/>
      <c r="AS61" s="1443"/>
      <c r="AT61" s="1443"/>
      <c r="AU61" s="1443"/>
      <c r="AV61" s="1443"/>
      <c r="AW61" s="1443"/>
      <c r="AX61" s="1443"/>
      <c r="AY61" s="1443"/>
      <c r="AZ61" s="1443"/>
      <c r="BA61" s="1443"/>
      <c r="CG61" s="1330"/>
      <c r="CP61" s="1455">
        <v>44799</v>
      </c>
      <c r="CQ61" s="1456" t="s">
        <v>11976</v>
      </c>
      <c r="CR61" s="1457" t="s">
        <v>11977</v>
      </c>
      <c r="CS61" s="1443"/>
      <c r="CT61" s="1443"/>
      <c r="CU61" s="1443"/>
      <c r="CV61" s="1443"/>
      <c r="CW61" s="1443"/>
      <c r="CX61" s="1443"/>
      <c r="CY61" s="1443"/>
      <c r="CZ61" s="1443">
        <v>2870</v>
      </c>
      <c r="DA61" s="700"/>
      <c r="DB61" s="1443"/>
      <c r="DC61" s="1443"/>
      <c r="DD61" s="1440"/>
      <c r="DE61" s="1485" t="s">
        <v>11978</v>
      </c>
      <c r="DG61" s="1455">
        <v>45166</v>
      </c>
      <c r="DH61" s="1464"/>
      <c r="DI61" s="135"/>
      <c r="DJ61" s="1464"/>
      <c r="DK61" s="1464"/>
      <c r="DL61" s="1464"/>
      <c r="DM61" s="1464"/>
      <c r="DN61" s="1464"/>
      <c r="DO61" s="1464"/>
      <c r="DP61" s="1465"/>
      <c r="DQ61" s="1465"/>
      <c r="DR61" s="1465"/>
      <c r="DS61" s="1464"/>
      <c r="DT61" s="1464"/>
      <c r="DU61" s="1464"/>
      <c r="DV61" s="1464"/>
      <c r="DW61" s="1464"/>
      <c r="DX61" s="1464">
        <v>1593</v>
      </c>
      <c r="DY61" s="1464"/>
      <c r="DZ61" s="1464"/>
      <c r="EA61" s="1464"/>
      <c r="EB61" s="1464"/>
      <c r="EC61" s="1601"/>
      <c r="ED61" s="1601"/>
      <c r="EE61" s="1617" t="s">
        <v>11979</v>
      </c>
      <c r="EF61" s="1461"/>
      <c r="EG61" s="1461"/>
      <c r="EH61" s="1461"/>
      <c r="EI61" s="1455">
        <v>45435</v>
      </c>
      <c r="EJ61" s="700"/>
      <c r="EK61" s="700"/>
      <c r="EL61" s="700"/>
      <c r="EM61" s="700"/>
      <c r="EN61" s="700"/>
      <c r="EO61" s="700"/>
      <c r="EP61" s="700"/>
      <c r="EQ61" s="700"/>
      <c r="ER61" s="700"/>
      <c r="ES61" s="700"/>
      <c r="ET61" s="700"/>
      <c r="EU61" s="700"/>
      <c r="EV61" s="700"/>
      <c r="EW61" s="700"/>
      <c r="EX61" s="700"/>
      <c r="EY61" s="700">
        <v>1008</v>
      </c>
      <c r="EZ61" s="700"/>
      <c r="FA61" s="700"/>
      <c r="FB61" s="700"/>
      <c r="FC61" s="1454"/>
      <c r="FD61" s="1462">
        <v>4500134454</v>
      </c>
      <c r="FE61" s="1478" t="s">
        <v>11938</v>
      </c>
      <c r="FH61" s="1455">
        <v>45524</v>
      </c>
      <c r="FI61" s="700">
        <v>1000022668</v>
      </c>
      <c r="FJ61" s="700"/>
      <c r="FK61" s="700"/>
      <c r="FL61" s="700"/>
      <c r="FM61" s="700"/>
      <c r="FN61" s="700"/>
      <c r="FO61" s="700"/>
      <c r="FP61" s="700"/>
      <c r="FQ61" s="700"/>
      <c r="FR61" s="700"/>
      <c r="FS61" s="700"/>
      <c r="FT61" s="700"/>
      <c r="FU61" s="700">
        <v>2500</v>
      </c>
      <c r="FV61" s="700"/>
      <c r="FW61" s="700"/>
      <c r="FX61" s="1448"/>
      <c r="FY61" s="1462" t="s">
        <v>11980</v>
      </c>
      <c r="GA61" s="1330"/>
    </row>
    <row r="62" s="1329" customFormat="1" ht="24" customHeight="1" spans="2:195">
      <c r="B62" s="1616"/>
      <c r="C62" s="1606"/>
      <c r="D62" s="1612"/>
      <c r="E62" s="1613"/>
      <c r="F62" s="1613"/>
      <c r="G62" s="1613"/>
      <c r="H62" s="1613"/>
      <c r="I62" s="1614"/>
      <c r="J62" s="1614"/>
      <c r="K62" s="1614"/>
      <c r="L62" s="1614"/>
      <c r="M62" s="1614"/>
      <c r="N62" s="1614"/>
      <c r="O62" s="1614"/>
      <c r="P62" s="1614"/>
      <c r="Q62" s="1615"/>
      <c r="S62" s="1586">
        <v>44060</v>
      </c>
      <c r="T62" s="700" t="s">
        <v>11981</v>
      </c>
      <c r="U62" s="700" t="s">
        <v>11679</v>
      </c>
      <c r="V62" s="700"/>
      <c r="W62" s="700"/>
      <c r="X62" s="700"/>
      <c r="Y62" s="700"/>
      <c r="Z62" s="700"/>
      <c r="AA62" s="700">
        <v>21932</v>
      </c>
      <c r="AB62" s="700"/>
      <c r="AC62" s="700"/>
      <c r="AD62" s="700"/>
      <c r="AE62" s="700"/>
      <c r="AF62" s="700"/>
      <c r="AG62" s="700"/>
      <c r="AH62" s="700"/>
      <c r="AI62" s="700"/>
      <c r="AK62" s="1594">
        <v>44505</v>
      </c>
      <c r="AL62" s="1453" t="s">
        <v>11982</v>
      </c>
      <c r="AM62" s="1457" t="s">
        <v>11684</v>
      </c>
      <c r="AN62" s="1443"/>
      <c r="AO62" s="700"/>
      <c r="AP62" s="1443"/>
      <c r="AQ62" s="1443"/>
      <c r="AR62" s="1443"/>
      <c r="AS62" s="1443"/>
      <c r="AT62" s="1443"/>
      <c r="AU62" s="1443"/>
      <c r="AV62" s="1597">
        <v>3000</v>
      </c>
      <c r="AW62" s="1443"/>
      <c r="AX62" s="1443"/>
      <c r="AY62" s="1443"/>
      <c r="AZ62" s="1443"/>
      <c r="BA62" s="1443"/>
      <c r="CG62" s="1330"/>
      <c r="CP62" s="1455">
        <v>44798</v>
      </c>
      <c r="CQ62" s="1456">
        <v>1000011741</v>
      </c>
      <c r="CR62" s="1457" t="s">
        <v>11935</v>
      </c>
      <c r="CS62" s="1443"/>
      <c r="CT62" s="1443"/>
      <c r="CU62" s="1443"/>
      <c r="CV62" s="1443"/>
      <c r="CW62" s="1443"/>
      <c r="CX62" s="1443"/>
      <c r="CY62" s="1443"/>
      <c r="CZ62" s="1443"/>
      <c r="DA62" s="700"/>
      <c r="DB62" s="1443">
        <v>3188</v>
      </c>
      <c r="DC62" s="1443"/>
      <c r="DD62" s="1440"/>
      <c r="DE62" s="5465" t="s">
        <v>11983</v>
      </c>
      <c r="DG62" s="1455">
        <v>45215</v>
      </c>
      <c r="DH62" s="1456">
        <v>1000016753</v>
      </c>
      <c r="DI62" s="135" t="s">
        <v>11685</v>
      </c>
      <c r="DJ62" s="1464"/>
      <c r="DK62" s="1464"/>
      <c r="DL62" s="1464"/>
      <c r="DM62" s="1464"/>
      <c r="DN62" s="1464"/>
      <c r="DO62" s="1464">
        <v>30000</v>
      </c>
      <c r="DP62" s="1465"/>
      <c r="DQ62" s="1465"/>
      <c r="DR62" s="1465"/>
      <c r="DS62" s="1464"/>
      <c r="DT62" s="1464"/>
      <c r="DU62" s="1464"/>
      <c r="DV62" s="1464"/>
      <c r="DW62" s="1464"/>
      <c r="DX62" s="1464"/>
      <c r="DY62" s="1464"/>
      <c r="DZ62" s="1464"/>
      <c r="EA62" s="1464"/>
      <c r="EB62" s="1464"/>
      <c r="EC62" s="1601"/>
      <c r="ED62" s="1601"/>
      <c r="EE62" s="1617"/>
      <c r="EF62" s="1461"/>
      <c r="EG62" s="1461"/>
      <c r="EH62" s="1461"/>
      <c r="EI62" s="1455">
        <v>45455</v>
      </c>
      <c r="EJ62" s="700">
        <v>1000020995</v>
      </c>
      <c r="EK62" s="700" t="s">
        <v>11686</v>
      </c>
      <c r="EL62" s="700">
        <v>100000</v>
      </c>
      <c r="EM62" s="700"/>
      <c r="EN62" s="700"/>
      <c r="EO62" s="700"/>
      <c r="EP62" s="700"/>
      <c r="EQ62" s="700"/>
      <c r="ER62" s="700"/>
      <c r="ES62" s="700"/>
      <c r="ET62" s="700"/>
      <c r="EU62" s="700"/>
      <c r="EV62" s="700"/>
      <c r="EW62" s="700"/>
      <c r="EX62" s="700"/>
      <c r="EY62" s="700"/>
      <c r="EZ62" s="700"/>
      <c r="FA62" s="700"/>
      <c r="FB62" s="700"/>
      <c r="FC62" s="1454"/>
      <c r="FD62" s="1482"/>
      <c r="FH62" s="1455">
        <v>45560</v>
      </c>
      <c r="FI62" s="700">
        <v>1000023379</v>
      </c>
      <c r="FJ62" s="700"/>
      <c r="FK62" s="700">
        <v>120000</v>
      </c>
      <c r="FL62" s="700"/>
      <c r="FM62" s="700"/>
      <c r="FN62" s="700"/>
      <c r="FO62" s="700"/>
      <c r="FP62" s="700"/>
      <c r="FQ62" s="700"/>
      <c r="FR62" s="700"/>
      <c r="FS62" s="700"/>
      <c r="FT62" s="700"/>
      <c r="FU62" s="700"/>
      <c r="FV62" s="700"/>
      <c r="FW62" s="700"/>
      <c r="FX62" s="1448"/>
      <c r="FY62" s="1462"/>
      <c r="FZ62" s="1330"/>
      <c r="GA62" s="1330"/>
    </row>
    <row r="63" s="1329" customFormat="1" ht="24" customHeight="1" spans="2:195">
      <c r="B63" s="1616"/>
      <c r="C63" s="1606"/>
      <c r="D63" s="1612"/>
      <c r="E63" s="1613"/>
      <c r="F63" s="1613"/>
      <c r="G63" s="1613"/>
      <c r="H63" s="1613"/>
      <c r="I63" s="1614"/>
      <c r="J63" s="1614"/>
      <c r="K63" s="1614"/>
      <c r="L63" s="1614"/>
      <c r="M63" s="1614"/>
      <c r="N63" s="1614"/>
      <c r="O63" s="1614"/>
      <c r="P63" s="1614"/>
      <c r="Q63" s="1615"/>
      <c r="S63" s="1586">
        <v>44060</v>
      </c>
      <c r="T63" s="700" t="s">
        <v>11984</v>
      </c>
      <c r="U63" s="700" t="s">
        <v>11679</v>
      </c>
      <c r="V63" s="700"/>
      <c r="W63" s="700"/>
      <c r="X63" s="700"/>
      <c r="Y63" s="700"/>
      <c r="Z63" s="700"/>
      <c r="AA63" s="700"/>
      <c r="AB63" s="700">
        <v>30000</v>
      </c>
      <c r="AC63" s="700"/>
      <c r="AD63" s="700"/>
      <c r="AE63" s="700"/>
      <c r="AF63" s="700"/>
      <c r="AG63" s="700"/>
      <c r="AH63" s="700"/>
      <c r="AI63" s="700"/>
      <c r="AK63" s="1594">
        <v>44543</v>
      </c>
      <c r="AL63" s="1453" t="s">
        <v>11985</v>
      </c>
      <c r="AM63" s="1457" t="s">
        <v>11684</v>
      </c>
      <c r="AN63" s="1443"/>
      <c r="AO63" s="1597">
        <v>30000</v>
      </c>
      <c r="AP63" s="700"/>
      <c r="AQ63" s="700"/>
      <c r="AR63" s="700"/>
      <c r="AS63" s="700"/>
      <c r="AT63" s="700"/>
      <c r="AU63" s="700"/>
      <c r="AV63" s="700"/>
      <c r="AW63" s="1597"/>
      <c r="AX63" s="1443"/>
      <c r="AY63" s="1443"/>
      <c r="AZ63" s="1443"/>
      <c r="BA63" s="1476"/>
      <c r="CG63" s="1330"/>
      <c r="CP63" s="1455">
        <v>44809</v>
      </c>
      <c r="CQ63" s="1456" t="s">
        <v>11986</v>
      </c>
      <c r="CR63" s="1457" t="s">
        <v>11935</v>
      </c>
      <c r="CS63" s="1443"/>
      <c r="CT63" s="1443"/>
      <c r="CU63" s="1443"/>
      <c r="CV63" s="1443"/>
      <c r="CW63" s="1443"/>
      <c r="CX63" s="1443"/>
      <c r="CY63" s="1443"/>
      <c r="CZ63" s="1443"/>
      <c r="DA63" s="700"/>
      <c r="DB63" s="1443">
        <v>1333</v>
      </c>
      <c r="DC63" s="1443"/>
      <c r="DD63" s="1440"/>
      <c r="DE63" s="5466" t="s">
        <v>11987</v>
      </c>
      <c r="DG63" s="1455">
        <v>45215</v>
      </c>
      <c r="DH63" s="1456">
        <v>1000016754</v>
      </c>
      <c r="DI63" s="135" t="s">
        <v>11685</v>
      </c>
      <c r="DJ63" s="1464"/>
      <c r="DK63" s="1464"/>
      <c r="DL63" s="1464"/>
      <c r="DM63" s="1464">
        <v>7000</v>
      </c>
      <c r="DN63" s="1464"/>
      <c r="DO63" s="1464"/>
      <c r="DP63" s="1465"/>
      <c r="DQ63" s="1465"/>
      <c r="DR63" s="1465"/>
      <c r="DS63" s="1464"/>
      <c r="DT63" s="1464"/>
      <c r="DU63" s="1464"/>
      <c r="DV63" s="1464"/>
      <c r="DW63" s="1464"/>
      <c r="DX63" s="1464"/>
      <c r="DY63" s="1464"/>
      <c r="DZ63" s="1464"/>
      <c r="EA63" s="1464"/>
      <c r="EB63" s="1464"/>
      <c r="EC63" s="1601"/>
      <c r="ED63" s="1601"/>
      <c r="EE63" s="1617"/>
      <c r="EF63" s="1461"/>
      <c r="EG63" s="1461"/>
      <c r="EH63" s="1461"/>
      <c r="EI63" s="1455">
        <v>45455</v>
      </c>
      <c r="EJ63" s="700">
        <v>1000020996</v>
      </c>
      <c r="EK63" s="700" t="s">
        <v>11686</v>
      </c>
      <c r="EL63" s="700"/>
      <c r="EM63" s="700"/>
      <c r="EN63" s="700"/>
      <c r="EO63" s="700"/>
      <c r="EP63" s="700"/>
      <c r="EQ63" s="700"/>
      <c r="ER63" s="700">
        <v>50000</v>
      </c>
      <c r="ES63" s="700"/>
      <c r="ET63" s="700"/>
      <c r="EU63" s="700"/>
      <c r="EV63" s="700"/>
      <c r="EW63" s="700"/>
      <c r="EX63" s="700"/>
      <c r="EY63" s="700"/>
      <c r="EZ63" s="700"/>
      <c r="FA63" s="700"/>
      <c r="FB63" s="700"/>
      <c r="FC63" s="1454"/>
      <c r="FD63" s="1482"/>
      <c r="FH63" s="1455">
        <v>45560</v>
      </c>
      <c r="FI63" s="700">
        <v>1000023380</v>
      </c>
      <c r="FJ63" s="700"/>
      <c r="FK63" s="700"/>
      <c r="FL63" s="700"/>
      <c r="FM63" s="700">
        <v>30000</v>
      </c>
      <c r="FN63" s="700"/>
      <c r="FO63" s="700"/>
      <c r="FP63" s="700"/>
      <c r="FQ63" s="700"/>
      <c r="FR63" s="700"/>
      <c r="FS63" s="700"/>
      <c r="FT63" s="700"/>
      <c r="FU63" s="700"/>
      <c r="FV63" s="700"/>
      <c r="FW63" s="700"/>
      <c r="FX63" s="1448"/>
      <c r="FY63" s="1462"/>
      <c r="FZ63" s="1330"/>
    </row>
    <row r="64" s="1329" customFormat="1" ht="24" customHeight="1" spans="2:195">
      <c r="B64" s="1616"/>
      <c r="C64" s="1606"/>
      <c r="D64" s="1612"/>
      <c r="E64" s="1613"/>
      <c r="F64" s="1613"/>
      <c r="G64" s="1613"/>
      <c r="H64" s="1613"/>
      <c r="I64" s="1614"/>
      <c r="J64" s="1614"/>
      <c r="K64" s="1614"/>
      <c r="L64" s="1614"/>
      <c r="M64" s="1614"/>
      <c r="N64" s="1614"/>
      <c r="O64" s="1614"/>
      <c r="P64" s="1614"/>
      <c r="Q64" s="1615"/>
      <c r="S64" s="1586">
        <v>44060</v>
      </c>
      <c r="T64" s="700" t="s">
        <v>11988</v>
      </c>
      <c r="U64" s="700" t="s">
        <v>11679</v>
      </c>
      <c r="V64" s="700"/>
      <c r="W64" s="700"/>
      <c r="X64" s="700"/>
      <c r="Y64" s="700"/>
      <c r="Z64" s="700"/>
      <c r="AA64" s="700"/>
      <c r="AB64" s="700"/>
      <c r="AC64" s="700">
        <v>6504</v>
      </c>
      <c r="AD64" s="700"/>
      <c r="AE64" s="700"/>
      <c r="AF64" s="700"/>
      <c r="AG64" s="700"/>
      <c r="AH64" s="700"/>
      <c r="AI64" s="700"/>
      <c r="AK64" s="1594">
        <v>44543</v>
      </c>
      <c r="AL64" s="1453" t="s">
        <v>11989</v>
      </c>
      <c r="AM64" s="1457" t="s">
        <v>11684</v>
      </c>
      <c r="AN64" s="1443"/>
      <c r="AO64" s="700"/>
      <c r="AP64" s="700"/>
      <c r="AQ64" s="1597">
        <v>40000</v>
      </c>
      <c r="AR64" s="700"/>
      <c r="AS64" s="700"/>
      <c r="AT64" s="700"/>
      <c r="AU64" s="700"/>
      <c r="AV64" s="700"/>
      <c r="AW64" s="1597"/>
      <c r="AX64" s="1443"/>
      <c r="AY64" s="1443"/>
      <c r="AZ64" s="1443"/>
      <c r="BA64" s="1476"/>
      <c r="CG64" s="1330"/>
      <c r="CP64" s="1455">
        <v>44804</v>
      </c>
      <c r="CQ64" s="1456">
        <v>1000011841</v>
      </c>
      <c r="CR64" s="1457" t="s">
        <v>11832</v>
      </c>
      <c r="CS64" s="1443">
        <v>200000</v>
      </c>
      <c r="CT64" s="1443"/>
      <c r="CU64" s="1443"/>
      <c r="CV64" s="1443"/>
      <c r="CW64" s="1443"/>
      <c r="CX64" s="1443"/>
      <c r="CY64" s="1443"/>
      <c r="CZ64" s="1443"/>
      <c r="DA64" s="700"/>
      <c r="DB64" s="1443"/>
      <c r="DC64" s="1443"/>
      <c r="DD64" s="1440"/>
      <c r="DE64" s="1485"/>
      <c r="DG64" s="1455">
        <v>45225</v>
      </c>
      <c r="DH64" s="1456">
        <v>1000016924</v>
      </c>
      <c r="DI64" s="135" t="s">
        <v>11739</v>
      </c>
      <c r="DJ64" s="1464"/>
      <c r="DK64" s="1464"/>
      <c r="DL64" s="1464"/>
      <c r="DM64" s="1464"/>
      <c r="DN64" s="1464"/>
      <c r="DO64" s="1464"/>
      <c r="DP64" s="1465"/>
      <c r="DQ64" s="1465"/>
      <c r="DR64" s="1465"/>
      <c r="DS64" s="1464"/>
      <c r="DT64" s="1464"/>
      <c r="DU64" s="1464"/>
      <c r="DV64" s="1464"/>
      <c r="DW64" s="1464">
        <v>11700</v>
      </c>
      <c r="DX64" s="1464"/>
      <c r="DY64" s="1464"/>
      <c r="DZ64" s="1464"/>
      <c r="EA64" s="1464"/>
      <c r="EB64" s="1464"/>
      <c r="EC64" s="1601"/>
      <c r="ED64" s="1601"/>
      <c r="EE64" s="1617" t="s">
        <v>11990</v>
      </c>
      <c r="EF64" s="1461"/>
      <c r="EG64" s="1461"/>
      <c r="EH64" s="1461"/>
      <c r="EI64" s="1455">
        <v>45455</v>
      </c>
      <c r="EJ64" s="700">
        <v>1000020997</v>
      </c>
      <c r="EK64" s="700" t="s">
        <v>11686</v>
      </c>
      <c r="EL64" s="700"/>
      <c r="EM64" s="700"/>
      <c r="EN64" s="700"/>
      <c r="EO64" s="700"/>
      <c r="EP64" s="700"/>
      <c r="EQ64" s="700"/>
      <c r="ER64" s="700"/>
      <c r="ES64" s="700"/>
      <c r="ET64" s="700">
        <v>10000</v>
      </c>
      <c r="EU64" s="700"/>
      <c r="EV64" s="700"/>
      <c r="EW64" s="700"/>
      <c r="EX64" s="700"/>
      <c r="EY64" s="700"/>
      <c r="EZ64" s="700"/>
      <c r="FA64" s="700"/>
      <c r="FB64" s="700"/>
      <c r="FC64" s="1454"/>
      <c r="FD64" s="1482"/>
      <c r="FH64" s="1455">
        <v>45560</v>
      </c>
      <c r="FI64" s="700">
        <v>1000023381</v>
      </c>
      <c r="FJ64" s="700"/>
      <c r="FK64" s="700"/>
      <c r="FL64" s="700"/>
      <c r="FM64" s="700"/>
      <c r="FN64" s="700"/>
      <c r="FO64" s="700">
        <v>150000</v>
      </c>
      <c r="FP64" s="700"/>
      <c r="FQ64" s="700"/>
      <c r="FR64" s="700"/>
      <c r="FS64" s="700"/>
      <c r="FT64" s="700"/>
      <c r="FU64" s="700"/>
      <c r="FV64" s="700"/>
      <c r="FW64" s="700"/>
      <c r="FX64" s="1448"/>
      <c r="FY64" s="1463"/>
      <c r="FZ64" s="1330"/>
    </row>
    <row r="65" s="1330" customFormat="1" ht="24" customHeight="1" spans="2:195">
      <c r="B65" s="1618"/>
      <c r="C65" s="1445"/>
      <c r="D65" s="1446"/>
      <c r="E65" s="1494"/>
      <c r="F65" s="1494"/>
      <c r="G65" s="1494"/>
      <c r="H65" s="1494"/>
      <c r="I65" s="1619"/>
      <c r="J65" s="1619"/>
      <c r="K65" s="1619"/>
      <c r="L65" s="1619"/>
      <c r="M65" s="1619"/>
      <c r="N65" s="1619"/>
      <c r="O65" s="1619"/>
      <c r="P65" s="1619"/>
      <c r="Q65" s="1620"/>
      <c r="S65" s="1586">
        <v>44060</v>
      </c>
      <c r="T65" s="700" t="s">
        <v>11991</v>
      </c>
      <c r="U65" s="700" t="s">
        <v>11679</v>
      </c>
      <c r="V65" s="700"/>
      <c r="W65" s="700"/>
      <c r="X65" s="700"/>
      <c r="Y65" s="700"/>
      <c r="Z65" s="700"/>
      <c r="AA65" s="700"/>
      <c r="AB65" s="700"/>
      <c r="AC65" s="700"/>
      <c r="AD65" s="700">
        <v>6504</v>
      </c>
      <c r="AE65" s="700"/>
      <c r="AF65" s="700"/>
      <c r="AG65" s="700"/>
      <c r="AH65" s="700"/>
      <c r="AI65" s="700"/>
      <c r="AK65" s="1594">
        <v>44543</v>
      </c>
      <c r="AL65" s="1453" t="s">
        <v>11992</v>
      </c>
      <c r="AM65" s="1498" t="s">
        <v>11684</v>
      </c>
      <c r="AN65" s="700"/>
      <c r="AO65" s="700"/>
      <c r="AP65" s="700"/>
      <c r="AQ65" s="700"/>
      <c r="AR65" s="700"/>
      <c r="AS65" s="700"/>
      <c r="AT65" s="700"/>
      <c r="AU65" s="700"/>
      <c r="AV65" s="1597">
        <v>4000</v>
      </c>
      <c r="AW65" s="1597"/>
      <c r="AX65" s="700"/>
      <c r="AY65" s="700"/>
      <c r="AZ65" s="700"/>
      <c r="BA65" s="1454"/>
      <c r="CP65" s="1455">
        <v>44804</v>
      </c>
      <c r="CQ65" s="1456">
        <v>1000011844</v>
      </c>
      <c r="CR65" s="1498" t="s">
        <v>11832</v>
      </c>
      <c r="CS65" s="700"/>
      <c r="CT65" s="700"/>
      <c r="CU65" s="700">
        <v>20000</v>
      </c>
      <c r="CV65" s="700"/>
      <c r="CW65" s="700"/>
      <c r="CX65" s="700"/>
      <c r="CY65" s="700"/>
      <c r="CZ65" s="700"/>
      <c r="DA65" s="700"/>
      <c r="DB65" s="700"/>
      <c r="DC65" s="700"/>
      <c r="DD65" s="1448"/>
      <c r="DE65" s="1469"/>
      <c r="DG65" s="1621">
        <v>45240</v>
      </c>
      <c r="DH65" s="1500">
        <v>1000017236</v>
      </c>
      <c r="DI65" s="1622" t="s">
        <v>11685</v>
      </c>
      <c r="DJ65" s="1501"/>
      <c r="DK65" s="1501">
        <v>300000</v>
      </c>
      <c r="DL65" s="1501"/>
      <c r="DM65" s="1501"/>
      <c r="DN65" s="1501"/>
      <c r="DO65" s="1501"/>
      <c r="DP65" s="1623"/>
      <c r="DQ65" s="1623"/>
      <c r="DR65" s="1623"/>
      <c r="DS65" s="1501"/>
      <c r="DT65" s="1501"/>
      <c r="DU65" s="1501"/>
      <c r="DV65" s="1501"/>
      <c r="DW65" s="1501"/>
      <c r="DX65" s="1501"/>
      <c r="DY65" s="1501"/>
      <c r="DZ65" s="1501"/>
      <c r="EA65" s="1501"/>
      <c r="EB65" s="1501"/>
      <c r="EC65" s="1624"/>
      <c r="ED65" s="1624"/>
      <c r="EE65" s="1625"/>
      <c r="EF65" s="1499"/>
      <c r="EG65" s="1499"/>
      <c r="EH65" s="1499"/>
      <c r="EI65" s="1455">
        <v>45461</v>
      </c>
      <c r="EJ65" s="700">
        <v>1000021166</v>
      </c>
      <c r="EK65" s="700"/>
      <c r="EL65" s="700"/>
      <c r="EM65" s="700"/>
      <c r="EN65" s="700"/>
      <c r="EO65" s="700"/>
      <c r="EP65" s="700"/>
      <c r="EQ65" s="700"/>
      <c r="ER65" s="700"/>
      <c r="ES65" s="700"/>
      <c r="ET65" s="700"/>
      <c r="EU65" s="700"/>
      <c r="EV65" s="700"/>
      <c r="EW65" s="700"/>
      <c r="EX65" s="700"/>
      <c r="EY65" s="700"/>
      <c r="EZ65" s="700">
        <v>30336</v>
      </c>
      <c r="FA65" s="700"/>
      <c r="FB65" s="700"/>
      <c r="FC65" s="1454"/>
      <c r="FD65" s="1462" t="s">
        <v>11993</v>
      </c>
      <c r="FE65" s="1329"/>
      <c r="FH65" s="1472">
        <v>45610</v>
      </c>
      <c r="FI65" s="721">
        <v>1000024467</v>
      </c>
      <c r="FJ65" s="721"/>
      <c r="FK65" s="721">
        <v>100000</v>
      </c>
      <c r="FL65" s="721"/>
      <c r="FM65" s="721"/>
      <c r="FN65" s="721"/>
      <c r="FO65" s="721"/>
      <c r="FP65" s="721"/>
      <c r="FQ65" s="721"/>
      <c r="FR65" s="721"/>
      <c r="FS65" s="721"/>
      <c r="FT65" s="721"/>
      <c r="FU65" s="721"/>
      <c r="FV65" s="721"/>
      <c r="FW65" s="721"/>
      <c r="FX65" s="1473"/>
      <c r="FY65" s="1540"/>
      <c r="GA65" s="1329"/>
      <c r="GC65" s="1329"/>
      <c r="GD65" s="1329"/>
      <c r="GE65" s="1329"/>
      <c r="GF65" s="1329"/>
      <c r="GG65" s="1329"/>
      <c r="GH65" s="1329"/>
      <c r="GI65" s="1329"/>
      <c r="GJ65" s="1329"/>
      <c r="GK65" s="1329"/>
      <c r="GL65" s="1329"/>
      <c r="GM65" s="1329"/>
    </row>
    <row r="66" s="1330" customFormat="1" ht="24" customHeight="1" spans="2:195">
      <c r="B66" s="1618"/>
      <c r="C66" s="1445"/>
      <c r="D66" s="1446"/>
      <c r="E66" s="1494"/>
      <c r="F66" s="1494"/>
      <c r="G66" s="1494"/>
      <c r="H66" s="1494"/>
      <c r="I66" s="1619"/>
      <c r="J66" s="1619"/>
      <c r="K66" s="1619"/>
      <c r="L66" s="1619"/>
      <c r="M66" s="1619"/>
      <c r="N66" s="1619"/>
      <c r="O66" s="1619"/>
      <c r="P66" s="1619"/>
      <c r="Q66" s="1620"/>
      <c r="S66" s="1586">
        <v>44060</v>
      </c>
      <c r="T66" s="700" t="s">
        <v>11994</v>
      </c>
      <c r="U66" s="700" t="s">
        <v>11679</v>
      </c>
      <c r="V66" s="700"/>
      <c r="W66" s="700"/>
      <c r="X66" s="700"/>
      <c r="Y66" s="700"/>
      <c r="Z66" s="700"/>
      <c r="AA66" s="700"/>
      <c r="AB66" s="700"/>
      <c r="AC66" s="700"/>
      <c r="AD66" s="700"/>
      <c r="AE66" s="700">
        <v>1084</v>
      </c>
      <c r="AF66" s="700"/>
      <c r="AG66" s="700"/>
      <c r="AH66" s="700"/>
      <c r="AI66" s="700"/>
      <c r="AK66" s="1594">
        <v>44578</v>
      </c>
      <c r="AL66" s="1453" t="s">
        <v>11995</v>
      </c>
      <c r="AM66" s="1498" t="s">
        <v>11684</v>
      </c>
      <c r="AN66" s="700"/>
      <c r="AO66" s="700"/>
      <c r="AP66" s="700"/>
      <c r="AQ66" s="700"/>
      <c r="AR66" s="700"/>
      <c r="AS66" s="700"/>
      <c r="AT66" s="700"/>
      <c r="AU66" s="700"/>
      <c r="AV66" s="1597">
        <v>1000</v>
      </c>
      <c r="AW66" s="1626"/>
      <c r="AX66" s="700"/>
      <c r="AY66" s="700"/>
      <c r="AZ66" s="700"/>
      <c r="BA66" s="1454"/>
      <c r="CP66" s="1455">
        <v>44804</v>
      </c>
      <c r="CQ66" s="1456">
        <v>1000011845</v>
      </c>
      <c r="CR66" s="1498" t="s">
        <v>11832</v>
      </c>
      <c r="CS66" s="700"/>
      <c r="CT66" s="700"/>
      <c r="CU66" s="700"/>
      <c r="CV66" s="700"/>
      <c r="CW66" s="700"/>
      <c r="CX66" s="700">
        <v>3000</v>
      </c>
      <c r="CY66" s="700"/>
      <c r="CZ66" s="700"/>
      <c r="DA66" s="700"/>
      <c r="DB66" s="700"/>
      <c r="DC66" s="700"/>
      <c r="DD66" s="1448"/>
      <c r="DE66" s="1469"/>
      <c r="DG66" s="1621">
        <v>45240</v>
      </c>
      <c r="DH66" s="1500">
        <v>1000017237</v>
      </c>
      <c r="DI66" s="1622" t="s">
        <v>11685</v>
      </c>
      <c r="DJ66" s="1501"/>
      <c r="DK66" s="1501"/>
      <c r="DL66" s="1501"/>
      <c r="DM66" s="1501"/>
      <c r="DN66" s="1501"/>
      <c r="DO66" s="1501"/>
      <c r="DP66" s="1623"/>
      <c r="DQ66" s="1623"/>
      <c r="DR66" s="1623">
        <v>300000</v>
      </c>
      <c r="DS66" s="1501"/>
      <c r="DT66" s="1501"/>
      <c r="DU66" s="1501"/>
      <c r="DV66" s="1501"/>
      <c r="DW66" s="1501"/>
      <c r="DX66" s="1501"/>
      <c r="DY66" s="1501"/>
      <c r="DZ66" s="1501"/>
      <c r="EA66" s="1501"/>
      <c r="EB66" s="1501"/>
      <c r="EC66" s="1624"/>
      <c r="ED66" s="1624"/>
      <c r="EE66" s="1625"/>
      <c r="EF66" s="1499"/>
      <c r="EG66" s="1499"/>
      <c r="EH66" s="1499"/>
      <c r="EI66" s="1455">
        <v>45461</v>
      </c>
      <c r="EJ66" s="700"/>
      <c r="EK66" s="700"/>
      <c r="EL66" s="700"/>
      <c r="EM66" s="700"/>
      <c r="EN66" s="700"/>
      <c r="EO66" s="700"/>
      <c r="EP66" s="700"/>
      <c r="EQ66" s="700"/>
      <c r="ER66" s="700"/>
      <c r="ES66" s="700"/>
      <c r="ET66" s="700"/>
      <c r="EU66" s="700"/>
      <c r="EV66" s="700"/>
      <c r="EW66" s="700"/>
      <c r="EX66" s="700"/>
      <c r="EY66" s="700">
        <v>1575</v>
      </c>
      <c r="EZ66" s="700"/>
      <c r="FA66" s="700"/>
      <c r="FB66" s="700"/>
      <c r="FC66" s="1454"/>
      <c r="FD66" s="1462" t="s">
        <v>11996</v>
      </c>
      <c r="FE66" s="1329"/>
      <c r="FH66" s="1472">
        <v>45610</v>
      </c>
      <c r="FI66" s="721">
        <v>1000024468</v>
      </c>
      <c r="FJ66" s="721"/>
      <c r="FK66" s="721"/>
      <c r="FL66" s="721"/>
      <c r="FM66" s="721">
        <v>30000</v>
      </c>
      <c r="FN66" s="721"/>
      <c r="FO66" s="721"/>
      <c r="FP66" s="721"/>
      <c r="FQ66" s="721"/>
      <c r="FR66" s="721"/>
      <c r="FS66" s="721"/>
      <c r="FT66" s="721"/>
      <c r="FU66" s="721"/>
      <c r="FV66" s="721"/>
      <c r="FW66" s="721"/>
      <c r="FX66" s="1473"/>
      <c r="FY66" s="1540"/>
      <c r="FZ66" s="1329"/>
      <c r="GA66" s="1329"/>
      <c r="GL66" s="1329"/>
      <c r="GM66" s="1329"/>
    </row>
    <row r="67" s="1330" customFormat="1" ht="24" customHeight="1" spans="2:195">
      <c r="B67" s="1627" t="s">
        <v>11804</v>
      </c>
      <c r="C67" s="1445"/>
      <c r="D67" s="1446"/>
      <c r="E67" s="1494">
        <f>樣板單!AN322</f>
        <v>120</v>
      </c>
      <c r="F67" s="1494">
        <f>樣板單!AO322</f>
        <v>126</v>
      </c>
      <c r="G67" s="1494">
        <f>樣板單!AP322</f>
        <v>101</v>
      </c>
      <c r="H67" s="1494">
        <f>樣板單!AQ322</f>
        <v>94</v>
      </c>
      <c r="I67" s="1494"/>
      <c r="J67" s="1494">
        <f>樣板單!AR322</f>
        <v>25</v>
      </c>
      <c r="K67" s="1494">
        <f>樣板單!AT322</f>
        <v>48</v>
      </c>
      <c r="L67" s="1494">
        <f>樣板單!AU322</f>
        <v>3</v>
      </c>
      <c r="M67" s="1494"/>
      <c r="N67" s="1494"/>
      <c r="O67" s="1494">
        <f>樣板單!AV322</f>
        <v>28</v>
      </c>
      <c r="P67" s="1619"/>
      <c r="Q67" s="1620"/>
      <c r="S67" s="1586">
        <v>44093</v>
      </c>
      <c r="T67" s="700" t="s">
        <v>11997</v>
      </c>
      <c r="U67" s="700" t="s">
        <v>11679</v>
      </c>
      <c r="V67" s="700"/>
      <c r="W67" s="700">
        <v>300000</v>
      </c>
      <c r="X67" s="700"/>
      <c r="Y67" s="700"/>
      <c r="Z67" s="700"/>
      <c r="AA67" s="700"/>
      <c r="AB67" s="700"/>
      <c r="AC67" s="700"/>
      <c r="AD67" s="700"/>
      <c r="AE67" s="700"/>
      <c r="AF67" s="700"/>
      <c r="AG67" s="700"/>
      <c r="AH67" s="700"/>
      <c r="AI67" s="700"/>
      <c r="AK67" s="1594">
        <v>44578</v>
      </c>
      <c r="AL67" s="1453" t="s">
        <v>11998</v>
      </c>
      <c r="AM67" s="1498" t="s">
        <v>11684</v>
      </c>
      <c r="AN67" s="700"/>
      <c r="AO67" s="1597">
        <v>5000</v>
      </c>
      <c r="AP67" s="700"/>
      <c r="AQ67" s="700"/>
      <c r="AR67" s="700"/>
      <c r="AS67" s="700"/>
      <c r="AT67" s="700"/>
      <c r="AU67" s="700"/>
      <c r="AV67" s="700"/>
      <c r="AW67" s="1626"/>
      <c r="AX67" s="700"/>
      <c r="AY67" s="700"/>
      <c r="AZ67" s="700"/>
      <c r="BA67" s="1454"/>
      <c r="CP67" s="1455">
        <v>44804</v>
      </c>
      <c r="CQ67" s="1456">
        <v>1000011842</v>
      </c>
      <c r="CR67" s="1498" t="s">
        <v>11832</v>
      </c>
      <c r="CS67" s="700"/>
      <c r="CT67" s="700"/>
      <c r="CU67" s="700"/>
      <c r="CV67" s="700">
        <v>20000</v>
      </c>
      <c r="CW67" s="700"/>
      <c r="CX67" s="700"/>
      <c r="CY67" s="700"/>
      <c r="CZ67" s="700"/>
      <c r="DA67" s="700"/>
      <c r="DB67" s="700"/>
      <c r="DC67" s="700"/>
      <c r="DD67" s="1448"/>
      <c r="DE67" s="1469"/>
      <c r="DG67" s="1621">
        <v>45240</v>
      </c>
      <c r="DH67" s="1500">
        <v>1000017238</v>
      </c>
      <c r="DI67" s="1622" t="s">
        <v>11685</v>
      </c>
      <c r="DJ67" s="1501"/>
      <c r="DK67" s="1501"/>
      <c r="DL67" s="1501"/>
      <c r="DM67" s="1501">
        <v>10000</v>
      </c>
      <c r="DN67" s="1501"/>
      <c r="DO67" s="1501"/>
      <c r="DP67" s="1623"/>
      <c r="DQ67" s="1623"/>
      <c r="DR67" s="1623"/>
      <c r="DS67" s="1501"/>
      <c r="DT67" s="1501"/>
      <c r="DU67" s="1501"/>
      <c r="DV67" s="1501"/>
      <c r="DW67" s="1501"/>
      <c r="DX67" s="1501"/>
      <c r="DY67" s="1501"/>
      <c r="DZ67" s="1501"/>
      <c r="EA67" s="1501"/>
      <c r="EB67" s="1501"/>
      <c r="EC67" s="1624"/>
      <c r="ED67" s="1624"/>
      <c r="EE67" s="1628"/>
      <c r="EF67" s="1499"/>
      <c r="EG67" s="1499"/>
      <c r="EH67" s="1499"/>
      <c r="EI67" s="1455">
        <v>45461</v>
      </c>
      <c r="EJ67" s="700"/>
      <c r="EK67" s="700"/>
      <c r="EL67" s="700"/>
      <c r="EM67" s="700"/>
      <c r="EN67" s="700"/>
      <c r="EO67" s="700"/>
      <c r="EP67" s="700"/>
      <c r="EQ67" s="700"/>
      <c r="ER67" s="700"/>
      <c r="ES67" s="700"/>
      <c r="ET67" s="700"/>
      <c r="EU67" s="700"/>
      <c r="EV67" s="700"/>
      <c r="EW67" s="700"/>
      <c r="EX67" s="700"/>
      <c r="EY67" s="700">
        <v>1050</v>
      </c>
      <c r="EZ67" s="700"/>
      <c r="FA67" s="700"/>
      <c r="FB67" s="700"/>
      <c r="FC67" s="1454"/>
      <c r="FD67" s="1462">
        <v>4500137175</v>
      </c>
      <c r="FE67" s="1329"/>
      <c r="FH67" s="1472">
        <v>45610</v>
      </c>
      <c r="FI67" s="721">
        <v>1000024469</v>
      </c>
      <c r="FJ67" s="721"/>
      <c r="FK67" s="721"/>
      <c r="FL67" s="721"/>
      <c r="FM67" s="721"/>
      <c r="FN67" s="721"/>
      <c r="FO67" s="721"/>
      <c r="FP67" s="721"/>
      <c r="FQ67" s="721">
        <v>10000</v>
      </c>
      <c r="FR67" s="721"/>
      <c r="FS67" s="721"/>
      <c r="FT67" s="721"/>
      <c r="FU67" s="721"/>
      <c r="FV67" s="721"/>
      <c r="FW67" s="721"/>
      <c r="FX67" s="1473"/>
      <c r="FY67" s="1540"/>
      <c r="FZ67" s="1329"/>
      <c r="GA67" s="1329"/>
      <c r="GL67" s="1329"/>
      <c r="GM67" s="1329"/>
    </row>
    <row r="68" s="1330" customFormat="1" ht="24" customHeight="1" spans="2:195">
      <c r="B68" s="1629" t="s">
        <v>11809</v>
      </c>
      <c r="C68" s="1630"/>
      <c r="D68" s="1631"/>
      <c r="E68" s="1632" t="e">
        <f t="shared" ref="E68:J68" si="7">E55-E56-E67</f>
        <v>#REF!</v>
      </c>
      <c r="F68" s="1632" t="e">
        <f t="shared" si="7"/>
        <v>#REF!</v>
      </c>
      <c r="G68" s="1632" t="e">
        <f t="shared" si="7"/>
        <v>#REF!</v>
      </c>
      <c r="H68" s="1632" t="e">
        <f t="shared" si="7"/>
        <v>#REF!</v>
      </c>
      <c r="I68" s="1632" t="e">
        <f t="shared" si="7"/>
        <v>#REF!</v>
      </c>
      <c r="J68" s="1632" t="e">
        <f t="shared" si="7"/>
        <v>#REF!</v>
      </c>
      <c r="K68" s="1632" t="e">
        <f t="shared" ref="K68:Q68" si="8">K55-K56-K67</f>
        <v>#REF!</v>
      </c>
      <c r="L68" s="1632" t="e">
        <f t="shared" si="8"/>
        <v>#REF!</v>
      </c>
      <c r="M68" s="1632" t="e">
        <f t="shared" si="8"/>
        <v>#REF!</v>
      </c>
      <c r="N68" s="1632" t="e">
        <f t="shared" si="8"/>
        <v>#REF!</v>
      </c>
      <c r="O68" s="1632" t="e">
        <f t="shared" si="8"/>
        <v>#REF!</v>
      </c>
      <c r="P68" s="1632" t="e">
        <f t="shared" si="8"/>
        <v>#REF!</v>
      </c>
      <c r="Q68" s="1633" t="e">
        <f t="shared" si="8"/>
        <v>#REF!</v>
      </c>
      <c r="S68" s="1586">
        <v>44093</v>
      </c>
      <c r="T68" s="700" t="s">
        <v>11999</v>
      </c>
      <c r="U68" s="700" t="s">
        <v>11679</v>
      </c>
      <c r="V68" s="700"/>
      <c r="W68" s="700"/>
      <c r="X68" s="700">
        <v>230000</v>
      </c>
      <c r="Y68" s="700"/>
      <c r="Z68" s="700"/>
      <c r="AA68" s="700"/>
      <c r="AB68" s="700"/>
      <c r="AC68" s="700"/>
      <c r="AD68" s="700"/>
      <c r="AE68" s="700"/>
      <c r="AF68" s="700"/>
      <c r="AG68" s="700"/>
      <c r="AH68" s="700"/>
      <c r="AI68" s="700"/>
      <c r="AK68" s="1594">
        <v>44623</v>
      </c>
      <c r="AL68" s="1453" t="s">
        <v>12000</v>
      </c>
      <c r="AM68" s="1498" t="s">
        <v>11684</v>
      </c>
      <c r="AN68" s="700"/>
      <c r="AO68" s="1597">
        <v>35000</v>
      </c>
      <c r="AP68" s="700"/>
      <c r="AQ68" s="700"/>
      <c r="AR68" s="700"/>
      <c r="AS68" s="700"/>
      <c r="AT68" s="700"/>
      <c r="AU68" s="700"/>
      <c r="AV68" s="700"/>
      <c r="AW68" s="1626"/>
      <c r="AX68" s="700"/>
      <c r="AY68" s="700"/>
      <c r="AZ68" s="700"/>
      <c r="BA68" s="1454"/>
      <c r="CP68" s="1455">
        <v>44804</v>
      </c>
      <c r="CQ68" s="1456">
        <v>1000011843</v>
      </c>
      <c r="CR68" s="1498" t="s">
        <v>11832</v>
      </c>
      <c r="CS68" s="700"/>
      <c r="CT68" s="700"/>
      <c r="CU68" s="700"/>
      <c r="CV68" s="700"/>
      <c r="CW68" s="1464">
        <v>150000</v>
      </c>
      <c r="CX68" s="700"/>
      <c r="CY68" s="700"/>
      <c r="CZ68" s="700"/>
      <c r="DA68" s="700"/>
      <c r="DB68" s="1571"/>
      <c r="DC68" s="1571"/>
      <c r="DD68" s="1448"/>
      <c r="DE68" s="1469"/>
      <c r="DG68" s="1621">
        <v>45240</v>
      </c>
      <c r="DH68" s="1500">
        <v>1000017239</v>
      </c>
      <c r="DI68" s="1622" t="s">
        <v>11685</v>
      </c>
      <c r="DJ68" s="1501"/>
      <c r="DK68" s="1501"/>
      <c r="DL68" s="1501"/>
      <c r="DM68" s="1501"/>
      <c r="DN68" s="1501"/>
      <c r="DO68" s="1501"/>
      <c r="DP68" s="1623"/>
      <c r="DQ68" s="1623"/>
      <c r="DR68" s="1623"/>
      <c r="DS68" s="1501"/>
      <c r="DT68" s="1501"/>
      <c r="DU68" s="1501"/>
      <c r="DV68" s="1501">
        <v>5000</v>
      </c>
      <c r="DW68" s="1501"/>
      <c r="DX68" s="1501"/>
      <c r="DY68" s="1501"/>
      <c r="DZ68" s="1501"/>
      <c r="EA68" s="1501"/>
      <c r="EB68" s="1501"/>
      <c r="EC68" s="1624"/>
      <c r="ED68" s="1624"/>
      <c r="EE68" s="1628"/>
      <c r="EF68" s="1499"/>
      <c r="EG68" s="1499"/>
      <c r="EH68" s="1499"/>
      <c r="EI68" s="1455">
        <v>45470</v>
      </c>
      <c r="EJ68" s="700">
        <v>1000021334</v>
      </c>
      <c r="EK68" s="700"/>
      <c r="EL68" s="700"/>
      <c r="EM68" s="700"/>
      <c r="EN68" s="700"/>
      <c r="EO68" s="700">
        <v>50000</v>
      </c>
      <c r="EP68" s="700"/>
      <c r="EQ68" s="700"/>
      <c r="ER68" s="700"/>
      <c r="ES68" s="700"/>
      <c r="ET68" s="700"/>
      <c r="EU68" s="700"/>
      <c r="EV68" s="700"/>
      <c r="EW68" s="700"/>
      <c r="EX68" s="700"/>
      <c r="EY68" s="700"/>
      <c r="EZ68" s="700"/>
      <c r="FA68" s="700"/>
      <c r="FB68" s="700"/>
      <c r="FC68" s="1454"/>
      <c r="FD68" s="1462"/>
      <c r="FH68" s="1472">
        <v>45615</v>
      </c>
      <c r="FI68" s="721">
        <v>1000024611</v>
      </c>
      <c r="FJ68" s="721"/>
      <c r="FK68" s="721"/>
      <c r="FL68" s="721"/>
      <c r="FM68" s="721">
        <v>30000</v>
      </c>
      <c r="FN68" s="721"/>
      <c r="FO68" s="721"/>
      <c r="FP68" s="721"/>
      <c r="FQ68" s="721"/>
      <c r="FR68" s="721"/>
      <c r="FS68" s="721"/>
      <c r="FT68" s="721"/>
      <c r="FU68" s="721"/>
      <c r="FV68" s="721"/>
      <c r="FW68" s="721"/>
      <c r="FX68" s="1473"/>
      <c r="FY68" s="1540"/>
      <c r="FZ68" s="1329"/>
      <c r="GA68" s="1329"/>
      <c r="GL68" s="1329"/>
      <c r="GM68" s="1329"/>
    </row>
    <row r="69" s="1329" customFormat="1" ht="24" customHeight="1" spans="2:195">
      <c r="B69" s="1634"/>
      <c r="C69" s="1635"/>
      <c r="D69" s="1636"/>
      <c r="E69" s="1637"/>
      <c r="F69" s="1637"/>
      <c r="G69" s="1638"/>
      <c r="H69" s="1638"/>
      <c r="I69" s="1638"/>
      <c r="J69" s="1638"/>
      <c r="K69" s="1638"/>
      <c r="L69" s="1638"/>
      <c r="M69" s="1638"/>
      <c r="N69" s="1638"/>
      <c r="O69" s="1638"/>
      <c r="P69" s="1638"/>
      <c r="Q69" s="1638"/>
      <c r="S69" s="1586">
        <v>44093</v>
      </c>
      <c r="T69" s="700" t="s">
        <v>12001</v>
      </c>
      <c r="U69" s="700" t="s">
        <v>11679</v>
      </c>
      <c r="V69" s="700"/>
      <c r="W69" s="700"/>
      <c r="X69" s="700"/>
      <c r="Y69" s="700">
        <v>300000</v>
      </c>
      <c r="Z69" s="700"/>
      <c r="AA69" s="700"/>
      <c r="AB69" s="700"/>
      <c r="AC69" s="700"/>
      <c r="AD69" s="700"/>
      <c r="AE69" s="700"/>
      <c r="AF69" s="700"/>
      <c r="AG69" s="700"/>
      <c r="AH69" s="700"/>
      <c r="AI69" s="700"/>
      <c r="AK69" s="1594">
        <v>44623</v>
      </c>
      <c r="AL69" s="1453" t="s">
        <v>12002</v>
      </c>
      <c r="AM69" s="1457" t="s">
        <v>11684</v>
      </c>
      <c r="AN69" s="1443"/>
      <c r="AO69" s="700"/>
      <c r="AP69" s="700"/>
      <c r="AQ69" s="1597">
        <v>35000</v>
      </c>
      <c r="AR69" s="700"/>
      <c r="AS69" s="700"/>
      <c r="AT69" s="700"/>
      <c r="AU69" s="700"/>
      <c r="AV69" s="700"/>
      <c r="AW69" s="1626"/>
      <c r="AX69" s="1443"/>
      <c r="AY69" s="1443"/>
      <c r="AZ69" s="1443"/>
      <c r="BA69" s="1476"/>
      <c r="CG69" s="1330"/>
      <c r="CP69" s="1455">
        <v>44817</v>
      </c>
      <c r="CQ69" s="1456" t="s">
        <v>12003</v>
      </c>
      <c r="CR69" s="1457" t="s">
        <v>11935</v>
      </c>
      <c r="CS69" s="1443"/>
      <c r="CT69" s="1443"/>
      <c r="CU69" s="1443"/>
      <c r="CV69" s="1443"/>
      <c r="CW69" s="1443"/>
      <c r="CX69" s="1443"/>
      <c r="CY69" s="1443"/>
      <c r="CZ69" s="1443"/>
      <c r="DA69" s="1443"/>
      <c r="DB69" s="1443">
        <v>2000</v>
      </c>
      <c r="DC69" s="1443"/>
      <c r="DD69" s="1440"/>
      <c r="DE69" s="5466" t="s">
        <v>12004</v>
      </c>
      <c r="DG69" s="1621">
        <v>45244</v>
      </c>
      <c r="DH69" s="1500">
        <v>1000017305</v>
      </c>
      <c r="DI69" s="1622" t="s">
        <v>12005</v>
      </c>
      <c r="DJ69" s="1501"/>
      <c r="DK69" s="1501"/>
      <c r="DL69" s="1501"/>
      <c r="DM69" s="1501"/>
      <c r="DN69" s="1501"/>
      <c r="DO69" s="1501"/>
      <c r="DP69" s="1623"/>
      <c r="DQ69" s="1623"/>
      <c r="DR69" s="1623"/>
      <c r="DS69" s="1501"/>
      <c r="DT69" s="1501"/>
      <c r="DU69" s="1501"/>
      <c r="DV69" s="1501"/>
      <c r="DW69" s="1501"/>
      <c r="DX69" s="1501"/>
      <c r="DY69" s="1501">
        <v>3848</v>
      </c>
      <c r="DZ69" s="1501"/>
      <c r="EA69" s="1501"/>
      <c r="EB69" s="1501"/>
      <c r="EC69" s="1624"/>
      <c r="ED69" s="1624"/>
      <c r="EE69" s="1639" t="s">
        <v>12006</v>
      </c>
      <c r="EF69" s="1461"/>
      <c r="EG69" s="1461"/>
      <c r="EH69" s="1461"/>
      <c r="EI69" s="1455">
        <v>45470</v>
      </c>
      <c r="EJ69" s="700">
        <v>1000021335</v>
      </c>
      <c r="EK69" s="700"/>
      <c r="EL69" s="700"/>
      <c r="EM69" s="700"/>
      <c r="EN69" s="700"/>
      <c r="EO69" s="700"/>
      <c r="EP69" s="700"/>
      <c r="EQ69" s="700"/>
      <c r="ER69" s="700">
        <v>100000</v>
      </c>
      <c r="ES69" s="700"/>
      <c r="ET69" s="700"/>
      <c r="EU69" s="700"/>
      <c r="EV69" s="700"/>
      <c r="EW69" s="700"/>
      <c r="EX69" s="700"/>
      <c r="EY69" s="700"/>
      <c r="EZ69" s="700"/>
      <c r="FA69" s="700"/>
      <c r="FB69" s="700"/>
      <c r="FC69" s="1454"/>
      <c r="FD69" s="1462"/>
      <c r="FE69" s="1330"/>
      <c r="FH69" s="1472">
        <v>45615</v>
      </c>
      <c r="FI69" s="721">
        <v>1000024612</v>
      </c>
      <c r="FJ69" s="721"/>
      <c r="FK69" s="721"/>
      <c r="FL69" s="721"/>
      <c r="FM69" s="721"/>
      <c r="FN69" s="721"/>
      <c r="FO69" s="721">
        <v>150000</v>
      </c>
      <c r="FP69" s="721"/>
      <c r="FQ69" s="721"/>
      <c r="FR69" s="721"/>
      <c r="FS69" s="721"/>
      <c r="FT69" s="721"/>
      <c r="FU69" s="721"/>
      <c r="FV69" s="721"/>
      <c r="FW69" s="721"/>
      <c r="FX69" s="1473"/>
      <c r="FY69" s="1540"/>
      <c r="GC69" s="1330"/>
      <c r="GD69" s="1330"/>
      <c r="GE69" s="1330"/>
      <c r="GF69" s="1330"/>
      <c r="GG69" s="1330"/>
      <c r="GH69" s="1330"/>
      <c r="GI69" s="1330"/>
      <c r="GJ69" s="1330"/>
      <c r="GK69" s="1330"/>
    </row>
    <row r="70" s="1329" customFormat="1" ht="24" customHeight="1" spans="2:195">
      <c r="B70" s="1634"/>
      <c r="C70" s="1635"/>
      <c r="D70" s="1636"/>
      <c r="E70" s="1637"/>
      <c r="F70" s="1637"/>
      <c r="G70" s="1638"/>
      <c r="H70" s="1638"/>
      <c r="I70" s="1638"/>
      <c r="J70" s="1638"/>
      <c r="K70" s="1638"/>
      <c r="L70" s="1638"/>
      <c r="M70" s="1638"/>
      <c r="N70" s="1638"/>
      <c r="O70" s="1638"/>
      <c r="P70" s="1638"/>
      <c r="Q70" s="1638"/>
      <c r="S70" s="1586">
        <v>44093</v>
      </c>
      <c r="T70" s="700" t="s">
        <v>12007</v>
      </c>
      <c r="U70" s="700" t="s">
        <v>11679</v>
      </c>
      <c r="V70" s="700"/>
      <c r="W70" s="700"/>
      <c r="X70" s="700"/>
      <c r="Y70" s="700"/>
      <c r="Z70" s="700"/>
      <c r="AA70" s="700">
        <v>18500</v>
      </c>
      <c r="AB70" s="700"/>
      <c r="AC70" s="700"/>
      <c r="AD70" s="700"/>
      <c r="AE70" s="700"/>
      <c r="AF70" s="700"/>
      <c r="AG70" s="700"/>
      <c r="AH70" s="700"/>
      <c r="AI70" s="700"/>
      <c r="AK70" s="1594">
        <v>44623</v>
      </c>
      <c r="AL70" s="1453" t="s">
        <v>12008</v>
      </c>
      <c r="AM70" s="1457" t="s">
        <v>11684</v>
      </c>
      <c r="AN70" s="1443"/>
      <c r="AO70" s="700"/>
      <c r="AP70" s="700"/>
      <c r="AQ70" s="700"/>
      <c r="AR70" s="700"/>
      <c r="AS70" s="1597">
        <v>22000</v>
      </c>
      <c r="AT70" s="700"/>
      <c r="AU70" s="700"/>
      <c r="AV70" s="700"/>
      <c r="AW70" s="1626"/>
      <c r="AX70" s="1443"/>
      <c r="AY70" s="1443"/>
      <c r="AZ70" s="1443"/>
      <c r="BA70" s="1476"/>
      <c r="CG70" s="1330"/>
      <c r="CP70" s="1455">
        <v>44830</v>
      </c>
      <c r="CQ70" s="1456" t="s">
        <v>12009</v>
      </c>
      <c r="CR70" s="1457" t="s">
        <v>11935</v>
      </c>
      <c r="CS70" s="1443"/>
      <c r="CT70" s="1443"/>
      <c r="CU70" s="1443"/>
      <c r="CV70" s="1443"/>
      <c r="CW70" s="1443"/>
      <c r="CX70" s="1443"/>
      <c r="CY70" s="1443"/>
      <c r="CZ70" s="1443"/>
      <c r="DA70" s="1443"/>
      <c r="DB70" s="719">
        <v>2500</v>
      </c>
      <c r="DC70" s="719"/>
      <c r="DD70" s="1440"/>
      <c r="DE70" s="5466" t="s">
        <v>12010</v>
      </c>
      <c r="DG70" s="1621">
        <v>45258</v>
      </c>
      <c r="DH70" s="1500">
        <v>1000017510</v>
      </c>
      <c r="DI70" s="1622" t="s">
        <v>11685</v>
      </c>
      <c r="DJ70" s="1501"/>
      <c r="DK70" s="1501"/>
      <c r="DL70" s="1501"/>
      <c r="DM70" s="1501"/>
      <c r="DN70" s="1501"/>
      <c r="DO70" s="1501">
        <v>40000</v>
      </c>
      <c r="DP70" s="1623"/>
      <c r="DQ70" s="1623"/>
      <c r="DR70" s="1623"/>
      <c r="DS70" s="1501"/>
      <c r="DT70" s="1501"/>
      <c r="DU70" s="1501"/>
      <c r="DV70" s="1501"/>
      <c r="DW70" s="1501"/>
      <c r="DX70" s="1501"/>
      <c r="DY70" s="1501"/>
      <c r="DZ70" s="1501"/>
      <c r="EA70" s="1501"/>
      <c r="EB70" s="1501"/>
      <c r="EC70" s="1624"/>
      <c r="ED70" s="1624"/>
      <c r="EE70" s="1458"/>
      <c r="EF70" s="1461"/>
      <c r="EG70" s="1461"/>
      <c r="EH70" s="1461"/>
      <c r="EI70" s="1455">
        <v>45484</v>
      </c>
      <c r="EJ70" s="1467">
        <v>1000021851</v>
      </c>
      <c r="EK70" s="700" t="s">
        <v>11686</v>
      </c>
      <c r="EL70" s="700">
        <v>100000</v>
      </c>
      <c r="EM70" s="700"/>
      <c r="EN70" s="700"/>
      <c r="EO70" s="700"/>
      <c r="EP70" s="700"/>
      <c r="EQ70" s="700"/>
      <c r="ER70" s="700"/>
      <c r="ES70" s="700"/>
      <c r="ET70" s="700"/>
      <c r="EU70" s="700"/>
      <c r="EV70" s="700"/>
      <c r="EW70" s="700"/>
      <c r="EX70" s="700"/>
      <c r="EY70" s="700"/>
      <c r="EZ70" s="700"/>
      <c r="FA70" s="700"/>
      <c r="FB70" s="700"/>
      <c r="FC70" s="1454"/>
      <c r="FD70" s="1462"/>
      <c r="FE70" s="1330"/>
      <c r="FH70" s="1472">
        <v>45615</v>
      </c>
      <c r="FI70" s="721">
        <v>1000024613</v>
      </c>
      <c r="FJ70" s="721"/>
      <c r="FK70" s="721"/>
      <c r="FL70" s="721"/>
      <c r="FM70" s="721"/>
      <c r="FN70" s="721"/>
      <c r="FO70" s="721"/>
      <c r="FP70" s="721"/>
      <c r="FQ70" s="721"/>
      <c r="FR70" s="721">
        <v>10000</v>
      </c>
      <c r="FS70" s="721"/>
      <c r="FT70" s="721"/>
      <c r="FU70" s="721"/>
      <c r="FV70" s="721"/>
      <c r="FW70" s="721"/>
      <c r="FX70" s="1473"/>
      <c r="FY70" s="1540"/>
      <c r="GM70" s="1330"/>
    </row>
    <row r="71" s="1329" customFormat="1" ht="24" customHeight="1" spans="2:195">
      <c r="B71" s="1634"/>
      <c r="C71" s="1635"/>
      <c r="D71" s="1636"/>
      <c r="E71" s="1637"/>
      <c r="F71" s="1637"/>
      <c r="G71" s="1638"/>
      <c r="H71" s="1638"/>
      <c r="I71" s="1638"/>
      <c r="J71" s="1638"/>
      <c r="K71" s="1638"/>
      <c r="L71" s="1638"/>
      <c r="M71" s="1638"/>
      <c r="N71" s="1638"/>
      <c r="O71" s="1638"/>
      <c r="P71" s="1638"/>
      <c r="Q71" s="1638"/>
      <c r="S71" s="1586">
        <v>44093</v>
      </c>
      <c r="T71" s="700" t="s">
        <v>12011</v>
      </c>
      <c r="U71" s="700" t="s">
        <v>11679</v>
      </c>
      <c r="V71" s="700"/>
      <c r="W71" s="700"/>
      <c r="X71" s="700"/>
      <c r="Y71" s="700"/>
      <c r="Z71" s="700"/>
      <c r="AA71" s="700"/>
      <c r="AB71" s="700"/>
      <c r="AC71" s="700">
        <v>30000</v>
      </c>
      <c r="AD71" s="700"/>
      <c r="AE71" s="700"/>
      <c r="AF71" s="700"/>
      <c r="AG71" s="700"/>
      <c r="AH71" s="700"/>
      <c r="AI71" s="700"/>
      <c r="AK71" s="1594">
        <v>44623</v>
      </c>
      <c r="AL71" s="1453" t="s">
        <v>12012</v>
      </c>
      <c r="AM71" s="1457" t="s">
        <v>11684</v>
      </c>
      <c r="AN71" s="1443"/>
      <c r="AO71" s="700"/>
      <c r="AP71" s="700"/>
      <c r="AQ71" s="700"/>
      <c r="AR71" s="700"/>
      <c r="AS71" s="700"/>
      <c r="AT71" s="700"/>
      <c r="AU71" s="1597">
        <v>12000</v>
      </c>
      <c r="AV71" s="700"/>
      <c r="AW71" s="1626"/>
      <c r="AX71" s="1443"/>
      <c r="AY71" s="1443"/>
      <c r="AZ71" s="1443"/>
      <c r="BA71" s="1476"/>
      <c r="CG71" s="1330"/>
      <c r="CP71" s="1455">
        <v>44831</v>
      </c>
      <c r="CQ71" s="1456">
        <v>1000012049</v>
      </c>
      <c r="CR71" s="1457" t="s">
        <v>11956</v>
      </c>
      <c r="CS71" s="1443"/>
      <c r="CT71" s="1443"/>
      <c r="CU71" s="1443"/>
      <c r="CV71" s="1443"/>
      <c r="CW71" s="1443"/>
      <c r="CX71" s="1443"/>
      <c r="CY71" s="1443"/>
      <c r="CZ71" s="1443"/>
      <c r="DA71" s="1443">
        <v>3360</v>
      </c>
      <c r="DB71" s="1443"/>
      <c r="DC71" s="1443"/>
      <c r="DD71" s="1440"/>
      <c r="DE71" s="1583" t="s">
        <v>12013</v>
      </c>
      <c r="DG71" s="1621">
        <v>45258</v>
      </c>
      <c r="DH71" s="1500">
        <v>1000017511</v>
      </c>
      <c r="DI71" s="1622" t="s">
        <v>11685</v>
      </c>
      <c r="DJ71" s="1501"/>
      <c r="DK71" s="1501"/>
      <c r="DL71" s="1501"/>
      <c r="DM71" s="1501"/>
      <c r="DN71" s="1501"/>
      <c r="DO71" s="1501"/>
      <c r="DP71" s="1623"/>
      <c r="DQ71" s="1623"/>
      <c r="DR71" s="1623">
        <v>100000</v>
      </c>
      <c r="DS71" s="1501"/>
      <c r="DT71" s="1501"/>
      <c r="DU71" s="1501"/>
      <c r="DV71" s="1501"/>
      <c r="DW71" s="1501"/>
      <c r="DX71" s="1501"/>
      <c r="DY71" s="1501"/>
      <c r="DZ71" s="1501"/>
      <c r="EA71" s="1501"/>
      <c r="EB71" s="1501"/>
      <c r="EC71" s="1624"/>
      <c r="ED71" s="1624"/>
      <c r="EE71" s="1458"/>
      <c r="EF71" s="1461"/>
      <c r="EG71" s="1461"/>
      <c r="EH71" s="1461"/>
      <c r="EI71" s="1455">
        <v>45484</v>
      </c>
      <c r="EJ71" s="1467">
        <v>1000021852</v>
      </c>
      <c r="EK71" s="700" t="s">
        <v>11686</v>
      </c>
      <c r="EL71" s="700"/>
      <c r="EM71" s="700"/>
      <c r="EN71" s="700"/>
      <c r="EO71" s="700"/>
      <c r="EP71" s="700"/>
      <c r="EQ71" s="700"/>
      <c r="ER71" s="700">
        <v>100000</v>
      </c>
      <c r="ES71" s="700"/>
      <c r="ET71" s="700"/>
      <c r="EU71" s="700"/>
      <c r="EV71" s="700"/>
      <c r="EW71" s="700"/>
      <c r="EX71" s="700"/>
      <c r="EY71" s="700"/>
      <c r="EZ71" s="700"/>
      <c r="FA71" s="700"/>
      <c r="FB71" s="700"/>
      <c r="FC71" s="1454"/>
      <c r="FD71" s="1462"/>
      <c r="FE71" s="1330"/>
      <c r="FH71" s="1472">
        <v>45600</v>
      </c>
      <c r="FI71" s="721"/>
      <c r="FJ71" s="721"/>
      <c r="FK71" s="721"/>
      <c r="FL71" s="721"/>
      <c r="FM71" s="721"/>
      <c r="FN71" s="721"/>
      <c r="FO71" s="721"/>
      <c r="FP71" s="721"/>
      <c r="FQ71" s="721"/>
      <c r="FR71" s="721"/>
      <c r="FS71" s="721"/>
      <c r="FT71" s="721"/>
      <c r="FU71" s="721">
        <v>1000</v>
      </c>
      <c r="FV71" s="721"/>
      <c r="FW71" s="721"/>
      <c r="FX71" s="1473"/>
      <c r="FY71" s="1540">
        <v>4500150101</v>
      </c>
      <c r="GL71" s="1330"/>
      <c r="GM71" s="1330"/>
    </row>
    <row r="72" s="1329" customFormat="1" ht="24" customHeight="1" spans="2:195">
      <c r="B72" s="1634"/>
      <c r="C72" s="1635"/>
      <c r="D72" s="1636"/>
      <c r="E72" s="1637"/>
      <c r="F72" s="1637"/>
      <c r="G72" s="1638"/>
      <c r="H72" s="1638"/>
      <c r="I72" s="1638"/>
      <c r="J72" s="1638"/>
      <c r="K72" s="1638"/>
      <c r="L72" s="1638"/>
      <c r="M72" s="1638"/>
      <c r="N72" s="1638"/>
      <c r="O72" s="1638"/>
      <c r="P72" s="1638"/>
      <c r="Q72" s="1638"/>
      <c r="S72" s="1586">
        <v>44093</v>
      </c>
      <c r="T72" s="700" t="s">
        <v>12014</v>
      </c>
      <c r="U72" s="700" t="s">
        <v>11679</v>
      </c>
      <c r="V72" s="700"/>
      <c r="W72" s="700"/>
      <c r="X72" s="700"/>
      <c r="Y72" s="700"/>
      <c r="Z72" s="700"/>
      <c r="AA72" s="700"/>
      <c r="AB72" s="700"/>
      <c r="AC72" s="700"/>
      <c r="AD72" s="700">
        <v>30000</v>
      </c>
      <c r="AE72" s="700"/>
      <c r="AF72" s="700"/>
      <c r="AG72" s="700"/>
      <c r="AH72" s="700"/>
      <c r="AI72" s="700"/>
      <c r="AK72" s="1594">
        <v>44623</v>
      </c>
      <c r="AL72" s="1453" t="s">
        <v>12015</v>
      </c>
      <c r="AM72" s="1457" t="s">
        <v>11684</v>
      </c>
      <c r="AN72" s="1443"/>
      <c r="AO72" s="700"/>
      <c r="AP72" s="700"/>
      <c r="AQ72" s="700"/>
      <c r="AR72" s="700"/>
      <c r="AS72" s="700"/>
      <c r="AT72" s="700"/>
      <c r="AU72" s="700"/>
      <c r="AV72" s="1597">
        <v>1000</v>
      </c>
      <c r="AW72" s="1626"/>
      <c r="AX72" s="1443"/>
      <c r="AY72" s="1443"/>
      <c r="AZ72" s="1443"/>
      <c r="BA72" s="1476"/>
      <c r="CG72" s="1330"/>
      <c r="CP72" s="1455">
        <v>44834</v>
      </c>
      <c r="CQ72" s="1456" t="s">
        <v>12016</v>
      </c>
      <c r="CR72" s="1457" t="s">
        <v>11977</v>
      </c>
      <c r="CS72" s="1443"/>
      <c r="CT72" s="1443"/>
      <c r="CU72" s="1443"/>
      <c r="CV72" s="1443"/>
      <c r="CW72" s="1443"/>
      <c r="CX72" s="1443"/>
      <c r="CY72" s="1443"/>
      <c r="CZ72" s="1443"/>
      <c r="DA72" s="1443"/>
      <c r="DB72" s="1443"/>
      <c r="DC72" s="1443"/>
      <c r="DD72" s="1440"/>
      <c r="DE72" s="1640"/>
      <c r="DG72" s="1621">
        <v>45258</v>
      </c>
      <c r="DH72" s="1500">
        <v>1000017512</v>
      </c>
      <c r="DI72" s="1622" t="s">
        <v>11685</v>
      </c>
      <c r="DJ72" s="1501"/>
      <c r="DK72" s="1501"/>
      <c r="DL72" s="1501"/>
      <c r="DM72" s="1501">
        <v>10000</v>
      </c>
      <c r="DN72" s="1501"/>
      <c r="DO72" s="1501"/>
      <c r="DP72" s="1623"/>
      <c r="DQ72" s="1623"/>
      <c r="DR72" s="1623"/>
      <c r="DS72" s="1501"/>
      <c r="DT72" s="1501"/>
      <c r="DU72" s="1501"/>
      <c r="DV72" s="1501"/>
      <c r="DW72" s="1501"/>
      <c r="DX72" s="1501"/>
      <c r="DY72" s="1501"/>
      <c r="DZ72" s="1501"/>
      <c r="EA72" s="1501"/>
      <c r="EB72" s="1501"/>
      <c r="EC72" s="1624"/>
      <c r="ED72" s="1624">
        <v>200</v>
      </c>
      <c r="EE72" s="1458"/>
      <c r="EF72" s="1461"/>
      <c r="EG72" s="1461"/>
      <c r="EH72" s="1461"/>
      <c r="EI72" s="1455">
        <v>45484</v>
      </c>
      <c r="EJ72" s="1467">
        <v>1000021853</v>
      </c>
      <c r="EK72" s="700" t="s">
        <v>11686</v>
      </c>
      <c r="EL72" s="700"/>
      <c r="EM72" s="700"/>
      <c r="EN72" s="700"/>
      <c r="EO72" s="700"/>
      <c r="EP72" s="700"/>
      <c r="EQ72" s="700"/>
      <c r="ER72" s="700"/>
      <c r="ES72" s="700"/>
      <c r="ET72" s="700">
        <v>10000</v>
      </c>
      <c r="EU72" s="700"/>
      <c r="EV72" s="700"/>
      <c r="EW72" s="700"/>
      <c r="EX72" s="700"/>
      <c r="EY72" s="700"/>
      <c r="EZ72" s="700"/>
      <c r="FA72" s="700"/>
      <c r="FB72" s="700"/>
      <c r="FC72" s="1454"/>
      <c r="FD72" s="1462"/>
      <c r="FH72" s="1472"/>
      <c r="FI72" s="721"/>
      <c r="FJ72" s="721"/>
      <c r="FK72" s="721"/>
      <c r="FL72" s="721"/>
      <c r="FM72" s="721"/>
      <c r="FN72" s="721"/>
      <c r="FO72" s="721"/>
      <c r="FP72" s="721"/>
      <c r="FQ72" s="721"/>
      <c r="FR72" s="721"/>
      <c r="FS72" s="721"/>
      <c r="FT72" s="721">
        <v>1600</v>
      </c>
      <c r="FU72" s="721"/>
      <c r="FV72" s="721"/>
      <c r="FW72" s="721"/>
      <c r="FX72" s="1473"/>
      <c r="FY72" s="1540">
        <v>4500148687</v>
      </c>
      <c r="GL72" s="1330"/>
      <c r="GM72" s="1330"/>
    </row>
    <row r="73" s="1329" customFormat="1" ht="24" customHeight="1" spans="2:195">
      <c r="B73" s="1634"/>
      <c r="C73" s="1635"/>
      <c r="D73" s="1636"/>
      <c r="E73" s="1637"/>
      <c r="F73" s="1637"/>
      <c r="G73" s="1638"/>
      <c r="H73" s="1638"/>
      <c r="I73" s="1638"/>
      <c r="J73" s="1638"/>
      <c r="K73" s="1638"/>
      <c r="L73" s="1638"/>
      <c r="M73" s="1638"/>
      <c r="N73" s="1638"/>
      <c r="O73" s="1638"/>
      <c r="P73" s="1638"/>
      <c r="Q73" s="1638"/>
      <c r="S73" s="1586"/>
      <c r="T73" s="700"/>
      <c r="U73" s="700"/>
      <c r="V73" s="700"/>
      <c r="W73" s="700"/>
      <c r="X73" s="700"/>
      <c r="Y73" s="700"/>
      <c r="Z73" s="700"/>
      <c r="AA73" s="700"/>
      <c r="AB73" s="700"/>
      <c r="AC73" s="700"/>
      <c r="AD73" s="700"/>
      <c r="AE73" s="700"/>
      <c r="AF73" s="700"/>
      <c r="AG73" s="700"/>
      <c r="AH73" s="700"/>
      <c r="AI73" s="700"/>
      <c r="AK73" s="1594"/>
      <c r="AL73" s="1453"/>
      <c r="AM73" s="1457"/>
      <c r="AN73" s="1443"/>
      <c r="AO73" s="700"/>
      <c r="AP73" s="700"/>
      <c r="AQ73" s="700"/>
      <c r="AR73" s="700"/>
      <c r="AS73" s="700"/>
      <c r="AT73" s="700"/>
      <c r="AU73" s="700"/>
      <c r="AV73" s="1597"/>
      <c r="AW73" s="1626"/>
      <c r="AX73" s="1443"/>
      <c r="AY73" s="1443"/>
      <c r="AZ73" s="1443"/>
      <c r="BA73" s="1476"/>
      <c r="CG73" s="1330"/>
      <c r="CP73" s="1455">
        <v>44834</v>
      </c>
      <c r="CQ73" s="1456"/>
      <c r="CR73" s="1457" t="s">
        <v>12017</v>
      </c>
      <c r="CS73" s="1443"/>
      <c r="CT73" s="1443"/>
      <c r="CU73" s="1443"/>
      <c r="CV73" s="1443"/>
      <c r="CW73" s="1443"/>
      <c r="CX73" s="1443"/>
      <c r="CY73" s="1443"/>
      <c r="CZ73" s="1443"/>
      <c r="DA73" s="1443">
        <v>1000</v>
      </c>
      <c r="DB73" s="1443"/>
      <c r="DC73" s="1443"/>
      <c r="DD73" s="1440"/>
      <c r="DE73" s="1583" t="s">
        <v>12018</v>
      </c>
      <c r="DG73" s="1621">
        <v>45258</v>
      </c>
      <c r="DH73" s="1500">
        <v>1000017513</v>
      </c>
      <c r="DI73" s="1622" t="s">
        <v>11685</v>
      </c>
      <c r="DJ73" s="1501"/>
      <c r="DK73" s="1501"/>
      <c r="DL73" s="1501"/>
      <c r="DM73" s="1501"/>
      <c r="DN73" s="1501"/>
      <c r="DO73" s="1501"/>
      <c r="DP73" s="1623"/>
      <c r="DQ73" s="1623"/>
      <c r="DR73" s="1623"/>
      <c r="DS73" s="1501"/>
      <c r="DT73" s="1501"/>
      <c r="DU73" s="1501"/>
      <c r="DV73" s="1501"/>
      <c r="DW73" s="1501"/>
      <c r="DX73" s="1501"/>
      <c r="DY73" s="1501"/>
      <c r="DZ73" s="1501"/>
      <c r="EA73" s="1501"/>
      <c r="EB73" s="1501"/>
      <c r="EC73" s="1624"/>
      <c r="ED73" s="1624"/>
      <c r="EE73" s="1458"/>
      <c r="EF73" s="1461"/>
      <c r="EG73" s="1461"/>
      <c r="EH73" s="1461"/>
      <c r="EI73" s="1455">
        <v>45484</v>
      </c>
      <c r="EJ73" s="1467">
        <v>1000021854</v>
      </c>
      <c r="EK73" s="700" t="s">
        <v>11686</v>
      </c>
      <c r="EL73" s="700"/>
      <c r="EM73" s="700"/>
      <c r="EN73" s="700"/>
      <c r="EO73" s="700"/>
      <c r="EP73" s="700"/>
      <c r="EQ73" s="700"/>
      <c r="ER73" s="700"/>
      <c r="ES73" s="700"/>
      <c r="ET73" s="700"/>
      <c r="EU73" s="700"/>
      <c r="EV73" s="700">
        <v>3000</v>
      </c>
      <c r="EW73" s="700"/>
      <c r="EX73" s="700"/>
      <c r="EY73" s="700"/>
      <c r="EZ73" s="700"/>
      <c r="FA73" s="700"/>
      <c r="FB73" s="700"/>
      <c r="FC73" s="1454"/>
      <c r="FD73" s="1462"/>
      <c r="FH73" s="1472"/>
      <c r="FI73" s="721"/>
      <c r="FJ73" s="721"/>
      <c r="FK73" s="721"/>
      <c r="FL73" s="721"/>
      <c r="FM73" s="721"/>
      <c r="FN73" s="721"/>
      <c r="FO73" s="721"/>
      <c r="FP73" s="721"/>
      <c r="FQ73" s="721"/>
      <c r="FR73" s="721"/>
      <c r="FS73" s="721"/>
      <c r="FT73" s="721">
        <v>3248</v>
      </c>
      <c r="FU73" s="721"/>
      <c r="FV73" s="721"/>
      <c r="FW73" s="721"/>
      <c r="FX73" s="1473"/>
      <c r="FY73" s="1474" t="s">
        <v>12019</v>
      </c>
      <c r="GL73" s="1330"/>
      <c r="GM73" s="1330"/>
    </row>
    <row r="74" s="1329" customFormat="1" ht="24" customHeight="1" spans="2:195">
      <c r="B74" s="1634"/>
      <c r="C74" s="1635"/>
      <c r="D74" s="1636"/>
      <c r="E74" s="1637"/>
      <c r="F74" s="1637"/>
      <c r="G74" s="1638"/>
      <c r="H74" s="1638"/>
      <c r="I74" s="1638"/>
      <c r="J74" s="1638"/>
      <c r="K74" s="1638"/>
      <c r="L74" s="1638"/>
      <c r="M74" s="1638"/>
      <c r="N74" s="1638"/>
      <c r="O74" s="1638"/>
      <c r="P74" s="1638"/>
      <c r="Q74" s="1638"/>
      <c r="S74" s="1586"/>
      <c r="T74" s="700"/>
      <c r="U74" s="700"/>
      <c r="V74" s="700"/>
      <c r="W74" s="700"/>
      <c r="X74" s="700"/>
      <c r="Y74" s="700"/>
      <c r="Z74" s="700"/>
      <c r="AA74" s="700"/>
      <c r="AB74" s="700"/>
      <c r="AC74" s="700"/>
      <c r="AD74" s="700"/>
      <c r="AE74" s="700"/>
      <c r="AF74" s="700"/>
      <c r="AG74" s="700"/>
      <c r="AH74" s="700"/>
      <c r="AI74" s="700"/>
      <c r="AK74" s="1594"/>
      <c r="AL74" s="1453"/>
      <c r="AM74" s="1457"/>
      <c r="AN74" s="1443"/>
      <c r="AO74" s="700"/>
      <c r="AP74" s="700"/>
      <c r="AQ74" s="700"/>
      <c r="AR74" s="700"/>
      <c r="AS74" s="700"/>
      <c r="AT74" s="700"/>
      <c r="AU74" s="700"/>
      <c r="AV74" s="1597"/>
      <c r="AW74" s="1626"/>
      <c r="AX74" s="1443"/>
      <c r="AY74" s="1443"/>
      <c r="AZ74" s="1443"/>
      <c r="BA74" s="1476"/>
      <c r="CG74" s="1330"/>
      <c r="CP74" s="1455">
        <v>44842</v>
      </c>
      <c r="CQ74" s="1456">
        <v>1000012125</v>
      </c>
      <c r="CR74" s="1457" t="s">
        <v>11832</v>
      </c>
      <c r="CS74" s="1443">
        <v>150000</v>
      </c>
      <c r="CT74" s="1443"/>
      <c r="CU74" s="1443"/>
      <c r="CV74" s="1443"/>
      <c r="CW74" s="1443"/>
      <c r="CX74" s="1443"/>
      <c r="CY74" s="1443"/>
      <c r="CZ74" s="1443"/>
      <c r="DA74" s="1443"/>
      <c r="DB74" s="1443"/>
      <c r="DC74" s="1443"/>
      <c r="DD74" s="1440"/>
      <c r="DE74" s="1583"/>
      <c r="DG74" s="1621">
        <v>45282</v>
      </c>
      <c r="DH74" s="1500"/>
      <c r="DI74" s="1622" t="s">
        <v>11951</v>
      </c>
      <c r="DJ74" s="1501"/>
      <c r="DK74" s="1501"/>
      <c r="DL74" s="1501"/>
      <c r="DM74" s="1501"/>
      <c r="DN74" s="1501"/>
      <c r="DO74" s="1501"/>
      <c r="DP74" s="1623"/>
      <c r="DQ74" s="1623"/>
      <c r="DR74" s="1623"/>
      <c r="DS74" s="1501"/>
      <c r="DT74" s="1501"/>
      <c r="DU74" s="1501"/>
      <c r="DV74" s="1501"/>
      <c r="DW74" s="1464">
        <v>4141</v>
      </c>
      <c r="DX74" s="1501"/>
      <c r="DY74" s="1501"/>
      <c r="DZ74" s="1501"/>
      <c r="EA74" s="1501"/>
      <c r="EB74" s="1501"/>
      <c r="EC74" s="1624"/>
      <c r="ED74" s="1624"/>
      <c r="EE74" s="1458">
        <v>4500122024</v>
      </c>
      <c r="EF74" s="1461"/>
      <c r="EG74" s="1499"/>
      <c r="EH74" s="1499"/>
      <c r="EI74" s="1455">
        <v>45481</v>
      </c>
      <c r="EJ74" s="1467"/>
      <c r="EK74" s="700"/>
      <c r="EL74" s="700"/>
      <c r="EM74" s="700"/>
      <c r="EN74" s="700"/>
      <c r="EO74" s="700"/>
      <c r="EP74" s="700"/>
      <c r="EQ74" s="700"/>
      <c r="ER74" s="700"/>
      <c r="ES74" s="700"/>
      <c r="ET74" s="700"/>
      <c r="EU74" s="700"/>
      <c r="EV74" s="700"/>
      <c r="EW74" s="700"/>
      <c r="EX74" s="700"/>
      <c r="EY74" s="700">
        <v>2536</v>
      </c>
      <c r="EZ74" s="700"/>
      <c r="FA74" s="700"/>
      <c r="FB74" s="700"/>
      <c r="FC74" s="1454"/>
      <c r="FD74" s="1471" t="s">
        <v>12020</v>
      </c>
      <c r="FH74" s="1472"/>
      <c r="FI74" s="721"/>
      <c r="FJ74" s="721"/>
      <c r="FK74" s="721"/>
      <c r="FL74" s="721"/>
      <c r="FM74" s="721"/>
      <c r="FN74" s="721"/>
      <c r="FO74" s="721"/>
      <c r="FP74" s="721"/>
      <c r="FQ74" s="721"/>
      <c r="FR74" s="721"/>
      <c r="FS74" s="721"/>
      <c r="FT74" s="721">
        <v>1198</v>
      </c>
      <c r="FU74" s="721"/>
      <c r="FV74" s="721"/>
      <c r="FW74" s="721"/>
      <c r="FX74" s="1473"/>
      <c r="FY74" s="1474" t="s">
        <v>12021</v>
      </c>
      <c r="GL74" s="1330"/>
    </row>
    <row r="75" s="1329" customFormat="1" ht="24" customHeight="1" spans="2:195">
      <c r="B75" s="1634"/>
      <c r="C75" s="1635"/>
      <c r="D75" s="1636"/>
      <c r="E75" s="1637"/>
      <c r="F75" s="1637"/>
      <c r="G75" s="1638"/>
      <c r="H75" s="1638"/>
      <c r="I75" s="1638"/>
      <c r="J75" s="1638"/>
      <c r="K75" s="1638"/>
      <c r="L75" s="1638"/>
      <c r="M75" s="1638"/>
      <c r="N75" s="1638"/>
      <c r="O75" s="1638"/>
      <c r="P75" s="1638"/>
      <c r="Q75" s="1638"/>
      <c r="S75" s="1586"/>
      <c r="T75" s="700"/>
      <c r="U75" s="700"/>
      <c r="V75" s="700"/>
      <c r="W75" s="700"/>
      <c r="X75" s="700"/>
      <c r="Y75" s="700"/>
      <c r="Z75" s="700"/>
      <c r="AA75" s="700"/>
      <c r="AB75" s="700"/>
      <c r="AC75" s="700"/>
      <c r="AD75" s="700"/>
      <c r="AE75" s="700"/>
      <c r="AF75" s="700"/>
      <c r="AG75" s="700"/>
      <c r="AH75" s="700"/>
      <c r="AI75" s="700"/>
      <c r="AK75" s="1594"/>
      <c r="AL75" s="1453"/>
      <c r="AM75" s="1457"/>
      <c r="AN75" s="1443"/>
      <c r="AO75" s="700"/>
      <c r="AP75" s="700"/>
      <c r="AQ75" s="700"/>
      <c r="AR75" s="700"/>
      <c r="AS75" s="700"/>
      <c r="AT75" s="700"/>
      <c r="AU75" s="700"/>
      <c r="AV75" s="1597"/>
      <c r="AW75" s="1626"/>
      <c r="AX75" s="1443"/>
      <c r="AY75" s="1443"/>
      <c r="AZ75" s="1443"/>
      <c r="BA75" s="1476"/>
      <c r="CG75" s="1330"/>
      <c r="CP75" s="1455">
        <v>44842</v>
      </c>
      <c r="CQ75" s="1456">
        <v>1000012126</v>
      </c>
      <c r="CR75" s="1457" t="s">
        <v>11832</v>
      </c>
      <c r="CS75" s="1443"/>
      <c r="CT75" s="1443"/>
      <c r="CU75" s="1443"/>
      <c r="CV75" s="1443">
        <v>30000</v>
      </c>
      <c r="CW75" s="1443"/>
      <c r="CX75" s="1443"/>
      <c r="CY75" s="1443"/>
      <c r="CZ75" s="1443"/>
      <c r="DA75" s="1443"/>
      <c r="DB75" s="1443"/>
      <c r="DC75" s="1443"/>
      <c r="DD75" s="1440"/>
      <c r="DE75" s="1583"/>
      <c r="DG75" s="1455">
        <v>45295</v>
      </c>
      <c r="DH75" s="1456">
        <v>1000018100</v>
      </c>
      <c r="DI75" s="135" t="s">
        <v>11685</v>
      </c>
      <c r="DJ75" s="1464"/>
      <c r="DK75" s="1464">
        <v>100000</v>
      </c>
      <c r="DL75" s="1464"/>
      <c r="DM75" s="1464"/>
      <c r="DN75" s="1464"/>
      <c r="DO75" s="1464"/>
      <c r="DP75" s="1465"/>
      <c r="DQ75" s="1465"/>
      <c r="DR75" s="1465"/>
      <c r="DS75" s="1464"/>
      <c r="DT75" s="1464"/>
      <c r="DU75" s="1464"/>
      <c r="DV75" s="1464"/>
      <c r="DW75" s="1464"/>
      <c r="DX75" s="1464"/>
      <c r="DY75" s="1464"/>
      <c r="DZ75" s="1464"/>
      <c r="EA75" s="1464"/>
      <c r="EB75" s="1464"/>
      <c r="EC75" s="1601"/>
      <c r="ED75" s="1601"/>
      <c r="EE75" s="1458"/>
      <c r="EF75" s="1461"/>
      <c r="EG75" s="1499"/>
      <c r="EH75" s="1499"/>
      <c r="EI75" s="1455">
        <v>45512</v>
      </c>
      <c r="EJ75" s="1467">
        <v>1000022408</v>
      </c>
      <c r="EK75" s="700"/>
      <c r="EL75" s="700">
        <v>200000</v>
      </c>
      <c r="EM75" s="700"/>
      <c r="EN75" s="700"/>
      <c r="EO75" s="700"/>
      <c r="EP75" s="700"/>
      <c r="EQ75" s="700"/>
      <c r="ER75" s="700"/>
      <c r="ES75" s="700"/>
      <c r="ET75" s="700"/>
      <c r="EU75" s="700"/>
      <c r="EV75" s="700"/>
      <c r="EW75" s="700"/>
      <c r="EX75" s="700"/>
      <c r="EY75" s="700"/>
      <c r="EZ75" s="700"/>
      <c r="FA75" s="700"/>
      <c r="FB75" s="700"/>
      <c r="FC75" s="1454"/>
      <c r="FD75" s="1462"/>
      <c r="FH75" s="1472">
        <v>45639</v>
      </c>
      <c r="FI75" s="721">
        <v>1000025123</v>
      </c>
      <c r="FJ75" s="721"/>
      <c r="FK75" s="721">
        <v>100000</v>
      </c>
      <c r="FL75" s="721"/>
      <c r="FM75" s="721"/>
      <c r="FN75" s="721"/>
      <c r="FO75" s="721"/>
      <c r="FP75" s="721"/>
      <c r="FQ75" s="721"/>
      <c r="FR75" s="721"/>
      <c r="FS75" s="721"/>
      <c r="FT75" s="721"/>
      <c r="FU75" s="721"/>
      <c r="FV75" s="721"/>
      <c r="FW75" s="721"/>
      <c r="FX75" s="1473"/>
      <c r="FY75" s="1474"/>
    </row>
    <row r="76" s="1329" customFormat="1" ht="24" customHeight="1" spans="2:195">
      <c r="B76" s="1634"/>
      <c r="C76" s="1635"/>
      <c r="D76" s="1636"/>
      <c r="E76" s="1637"/>
      <c r="F76" s="1637"/>
      <c r="G76" s="1638"/>
      <c r="H76" s="1638"/>
      <c r="I76" s="1638"/>
      <c r="J76" s="1638"/>
      <c r="K76" s="1638"/>
      <c r="L76" s="1638"/>
      <c r="M76" s="1638"/>
      <c r="N76" s="1638"/>
      <c r="O76" s="1638"/>
      <c r="P76" s="1638"/>
      <c r="Q76" s="1638"/>
      <c r="S76" s="1586"/>
      <c r="T76" s="700"/>
      <c r="U76" s="700"/>
      <c r="V76" s="700"/>
      <c r="W76" s="700"/>
      <c r="X76" s="700"/>
      <c r="Y76" s="700"/>
      <c r="Z76" s="700"/>
      <c r="AA76" s="700"/>
      <c r="AB76" s="700"/>
      <c r="AC76" s="700"/>
      <c r="AD76" s="700"/>
      <c r="AE76" s="700"/>
      <c r="AF76" s="700"/>
      <c r="AG76" s="700"/>
      <c r="AH76" s="700"/>
      <c r="AI76" s="700"/>
      <c r="AK76" s="1594"/>
      <c r="AL76" s="1453"/>
      <c r="AM76" s="1457"/>
      <c r="AN76" s="1443"/>
      <c r="AO76" s="700"/>
      <c r="AP76" s="700"/>
      <c r="AQ76" s="700"/>
      <c r="AR76" s="700"/>
      <c r="AS76" s="700"/>
      <c r="AT76" s="700"/>
      <c r="AU76" s="700"/>
      <c r="AV76" s="1597"/>
      <c r="AW76" s="1626"/>
      <c r="AX76" s="1443"/>
      <c r="AY76" s="1443"/>
      <c r="AZ76" s="1443"/>
      <c r="BA76" s="1476"/>
      <c r="CG76" s="1330"/>
      <c r="CP76" s="1455">
        <v>44842</v>
      </c>
      <c r="CQ76" s="1456">
        <v>1000012127</v>
      </c>
      <c r="CR76" s="1457" t="s">
        <v>11832</v>
      </c>
      <c r="CS76" s="1443"/>
      <c r="CT76" s="1443"/>
      <c r="CU76" s="1443"/>
      <c r="CV76" s="1443"/>
      <c r="CW76" s="1443">
        <v>160000</v>
      </c>
      <c r="CX76" s="1443"/>
      <c r="CY76" s="1443"/>
      <c r="CZ76" s="1443"/>
      <c r="DA76" s="1443"/>
      <c r="DB76" s="1443"/>
      <c r="DC76" s="1443"/>
      <c r="DD76" s="1440"/>
      <c r="DE76" s="1583"/>
      <c r="DG76" s="1455">
        <v>45295</v>
      </c>
      <c r="DH76" s="1456">
        <v>1000018101</v>
      </c>
      <c r="DI76" s="135" t="s">
        <v>11685</v>
      </c>
      <c r="DJ76" s="1464"/>
      <c r="DK76" s="1464"/>
      <c r="DL76" s="1464"/>
      <c r="DM76" s="1464"/>
      <c r="DN76" s="1464"/>
      <c r="DO76" s="1464">
        <v>30000</v>
      </c>
      <c r="DP76" s="1465"/>
      <c r="DQ76" s="1465"/>
      <c r="DR76" s="1465"/>
      <c r="DS76" s="1464"/>
      <c r="DT76" s="1464"/>
      <c r="DU76" s="1464"/>
      <c r="DV76" s="1464"/>
      <c r="DW76" s="1464"/>
      <c r="DX76" s="1464"/>
      <c r="DY76" s="1464"/>
      <c r="DZ76" s="1464"/>
      <c r="EA76" s="1464"/>
      <c r="EB76" s="1464"/>
      <c r="EC76" s="1601"/>
      <c r="ED76" s="1601"/>
      <c r="EE76" s="1458"/>
      <c r="EF76" s="1461"/>
      <c r="EG76" s="1461"/>
      <c r="EH76" s="1461"/>
      <c r="EI76" s="1455">
        <v>45512</v>
      </c>
      <c r="EJ76" s="1467">
        <v>1000022409</v>
      </c>
      <c r="EK76" s="700"/>
      <c r="EL76" s="700"/>
      <c r="EM76" s="700"/>
      <c r="EN76" s="700"/>
      <c r="EO76" s="700"/>
      <c r="EP76" s="700"/>
      <c r="EQ76" s="700"/>
      <c r="ER76" s="700">
        <v>200000</v>
      </c>
      <c r="ES76" s="700"/>
      <c r="ET76" s="700"/>
      <c r="EU76" s="700"/>
      <c r="EV76" s="700"/>
      <c r="EW76" s="700"/>
      <c r="EX76" s="700"/>
      <c r="EY76" s="700"/>
      <c r="EZ76" s="700"/>
      <c r="FA76" s="700"/>
      <c r="FB76" s="700"/>
      <c r="FC76" s="1454"/>
      <c r="FD76" s="1462"/>
      <c r="FH76" s="1472">
        <v>45639</v>
      </c>
      <c r="FI76" s="721">
        <v>1000025124</v>
      </c>
      <c r="FJ76" s="721"/>
      <c r="FK76" s="721"/>
      <c r="FL76" s="721"/>
      <c r="FM76" s="721"/>
      <c r="FN76" s="721"/>
      <c r="FO76" s="721">
        <v>200000</v>
      </c>
      <c r="FP76" s="721"/>
      <c r="FQ76" s="721"/>
      <c r="FR76" s="721"/>
      <c r="FS76" s="721"/>
      <c r="FT76" s="721"/>
      <c r="FU76" s="721"/>
      <c r="FV76" s="721"/>
      <c r="FW76" s="721"/>
      <c r="FX76" s="1473"/>
      <c r="FY76" s="1474"/>
    </row>
    <row r="77" s="1329" customFormat="1" ht="24" customHeight="1" spans="2:195">
      <c r="B77" s="1634"/>
      <c r="C77" s="1635"/>
      <c r="D77" s="1636"/>
      <c r="E77" s="1637"/>
      <c r="F77" s="1637"/>
      <c r="G77" s="1638"/>
      <c r="H77" s="1638"/>
      <c r="I77" s="1638"/>
      <c r="J77" s="1638"/>
      <c r="K77" s="1638"/>
      <c r="L77" s="1638"/>
      <c r="M77" s="1638"/>
      <c r="N77" s="1638"/>
      <c r="O77" s="1638"/>
      <c r="P77" s="1638"/>
      <c r="Q77" s="1638"/>
      <c r="S77" s="1586">
        <v>44093</v>
      </c>
      <c r="T77" s="700" t="s">
        <v>12022</v>
      </c>
      <c r="U77" s="700" t="s">
        <v>11679</v>
      </c>
      <c r="V77" s="700"/>
      <c r="W77" s="700"/>
      <c r="X77" s="700"/>
      <c r="Y77" s="700"/>
      <c r="Z77" s="700"/>
      <c r="AA77" s="700"/>
      <c r="AB77" s="700"/>
      <c r="AC77" s="700"/>
      <c r="AD77" s="700"/>
      <c r="AE77" s="700">
        <v>1256</v>
      </c>
      <c r="AF77" s="700"/>
      <c r="AG77" s="700"/>
      <c r="AH77" s="700"/>
      <c r="AI77" s="700"/>
      <c r="AK77" s="1641">
        <v>44664</v>
      </c>
      <c r="AL77" s="1519">
        <v>1000010405</v>
      </c>
      <c r="AM77" s="1457" t="s">
        <v>11684</v>
      </c>
      <c r="AN77" s="1443"/>
      <c r="AO77" s="1464">
        <v>180000</v>
      </c>
      <c r="AP77" s="700"/>
      <c r="AQ77" s="700"/>
      <c r="AR77" s="700"/>
      <c r="AS77" s="700"/>
      <c r="AT77" s="700"/>
      <c r="AU77" s="700"/>
      <c r="AV77" s="700"/>
      <c r="AW77" s="1626"/>
      <c r="AX77" s="1443"/>
      <c r="AY77" s="1443"/>
      <c r="AZ77" s="1443"/>
      <c r="BA77" s="1476"/>
      <c r="CG77" s="1330"/>
      <c r="CP77" s="1455">
        <v>44842</v>
      </c>
      <c r="CQ77" s="1456">
        <v>1000012128</v>
      </c>
      <c r="CR77" s="1457" t="s">
        <v>11832</v>
      </c>
      <c r="CS77" s="1443"/>
      <c r="CT77" s="1443"/>
      <c r="CU77" s="1443"/>
      <c r="CV77" s="1443"/>
      <c r="CW77" s="1443"/>
      <c r="CX77" s="1443">
        <v>1500</v>
      </c>
      <c r="CY77" s="1443"/>
      <c r="CZ77" s="1443"/>
      <c r="DA77" s="1443"/>
      <c r="DB77" s="1443"/>
      <c r="DC77" s="1443"/>
      <c r="DD77" s="1440"/>
      <c r="DE77" s="1583"/>
      <c r="DG77" s="1455">
        <v>45295</v>
      </c>
      <c r="DH77" s="1456">
        <v>1000018102</v>
      </c>
      <c r="DI77" s="135" t="s">
        <v>11685</v>
      </c>
      <c r="DJ77" s="1464"/>
      <c r="DK77" s="1464"/>
      <c r="DL77" s="1464"/>
      <c r="DM77" s="1464"/>
      <c r="DN77" s="1464"/>
      <c r="DO77" s="1464"/>
      <c r="DP77" s="1465"/>
      <c r="DQ77" s="1465"/>
      <c r="DR77" s="1465">
        <v>100000</v>
      </c>
      <c r="DS77" s="1464"/>
      <c r="DT77" s="1464"/>
      <c r="DU77" s="1464"/>
      <c r="DV77" s="1464"/>
      <c r="DW77" s="1464"/>
      <c r="DX77" s="1464"/>
      <c r="DY77" s="1464"/>
      <c r="DZ77" s="1464"/>
      <c r="EA77" s="1464"/>
      <c r="EB77" s="1464"/>
      <c r="EC77" s="1601"/>
      <c r="ED77" s="1601"/>
      <c r="EE77" s="1458">
        <v>4500122024</v>
      </c>
      <c r="EF77" s="1461"/>
      <c r="EG77" s="1461"/>
      <c r="EH77" s="1461"/>
      <c r="EI77" s="1455">
        <v>45513</v>
      </c>
      <c r="EJ77" s="1467">
        <v>1000022452</v>
      </c>
      <c r="EK77" s="700"/>
      <c r="EL77" s="700"/>
      <c r="EM77" s="700"/>
      <c r="EN77" s="700"/>
      <c r="EO77" s="700"/>
      <c r="EP77" s="700"/>
      <c r="EQ77" s="700"/>
      <c r="ER77" s="700"/>
      <c r="ES77" s="700"/>
      <c r="ET77" s="700"/>
      <c r="EU77" s="700"/>
      <c r="EV77" s="700"/>
      <c r="EW77" s="700"/>
      <c r="EX77" s="700"/>
      <c r="EY77" s="700"/>
      <c r="EZ77" s="700">
        <v>28608</v>
      </c>
      <c r="FA77" s="700"/>
      <c r="FB77" s="700"/>
      <c r="FC77" s="1454"/>
      <c r="FD77" s="1462" t="s">
        <v>12023</v>
      </c>
      <c r="FH77" s="1472">
        <v>45639</v>
      </c>
      <c r="FI77" s="721">
        <v>1000025125</v>
      </c>
      <c r="FJ77" s="721"/>
      <c r="FK77" s="721"/>
      <c r="FL77" s="721"/>
      <c r="FM77" s="721"/>
      <c r="FN77" s="721"/>
      <c r="FO77" s="721"/>
      <c r="FP77" s="721"/>
      <c r="FQ77" s="721">
        <v>10000</v>
      </c>
      <c r="FR77" s="721"/>
      <c r="FS77" s="721"/>
      <c r="FT77" s="721"/>
      <c r="FU77" s="721"/>
      <c r="FV77" s="721"/>
      <c r="FW77" s="721"/>
      <c r="FX77" s="1473"/>
      <c r="FY77" s="1474"/>
    </row>
    <row r="78" s="1329" customFormat="1" ht="24" customHeight="1" spans="2:195">
      <c r="B78" s="1634"/>
      <c r="C78" s="1635"/>
      <c r="D78" s="1636"/>
      <c r="E78" s="1637"/>
      <c r="F78" s="1637"/>
      <c r="G78" s="1638"/>
      <c r="H78" s="1638"/>
      <c r="I78" s="1638"/>
      <c r="J78" s="1638"/>
      <c r="K78" s="1638"/>
      <c r="L78" s="1638"/>
      <c r="M78" s="1638"/>
      <c r="N78" s="1638"/>
      <c r="O78" s="1638"/>
      <c r="P78" s="1638"/>
      <c r="Q78" s="1638"/>
      <c r="S78" s="1586">
        <v>44160</v>
      </c>
      <c r="T78" s="700" t="s">
        <v>12024</v>
      </c>
      <c r="U78" s="700" t="s">
        <v>11679</v>
      </c>
      <c r="V78" s="700"/>
      <c r="W78" s="700">
        <v>350000</v>
      </c>
      <c r="X78" s="700"/>
      <c r="Y78" s="700"/>
      <c r="Z78" s="700"/>
      <c r="AA78" s="700"/>
      <c r="AB78" s="700"/>
      <c r="AC78" s="700"/>
      <c r="AD78" s="700"/>
      <c r="AE78" s="700"/>
      <c r="AF78" s="700"/>
      <c r="AG78" s="700"/>
      <c r="AH78" s="700"/>
      <c r="AI78" s="700"/>
      <c r="AK78" s="1641">
        <v>44664</v>
      </c>
      <c r="AL78" s="1519">
        <v>1000010406</v>
      </c>
      <c r="AM78" s="1457" t="s">
        <v>11684</v>
      </c>
      <c r="AN78" s="1443"/>
      <c r="AO78" s="700"/>
      <c r="AP78" s="700"/>
      <c r="AQ78" s="1464">
        <v>250000</v>
      </c>
      <c r="AR78" s="700"/>
      <c r="AS78" s="700"/>
      <c r="AT78" s="700"/>
      <c r="AU78" s="700"/>
      <c r="AV78" s="700"/>
      <c r="AW78" s="1626"/>
      <c r="AX78" s="1443"/>
      <c r="AY78" s="1443"/>
      <c r="AZ78" s="1443"/>
      <c r="BA78" s="1476"/>
      <c r="CG78" s="1330"/>
      <c r="CP78" s="1455">
        <v>44847</v>
      </c>
      <c r="CQ78" s="1456" t="s">
        <v>12025</v>
      </c>
      <c r="CR78" s="1457" t="s">
        <v>11935</v>
      </c>
      <c r="CS78" s="1443"/>
      <c r="CT78" s="1443"/>
      <c r="CU78" s="1443"/>
      <c r="CV78" s="1443"/>
      <c r="CW78" s="1443"/>
      <c r="CX78" s="1443"/>
      <c r="CY78" s="1443"/>
      <c r="CZ78" s="1443"/>
      <c r="DA78" s="1443"/>
      <c r="DB78" s="719">
        <v>867</v>
      </c>
      <c r="DC78" s="719"/>
      <c r="DD78" s="1440"/>
      <c r="DE78" s="5466" t="s">
        <v>12026</v>
      </c>
      <c r="DG78" s="1455">
        <v>45295</v>
      </c>
      <c r="DH78" s="1456">
        <v>1000018103</v>
      </c>
      <c r="DI78" s="135" t="s">
        <v>11685</v>
      </c>
      <c r="DJ78" s="1464"/>
      <c r="DK78" s="1464"/>
      <c r="DL78" s="1464"/>
      <c r="DM78" s="1464">
        <v>5000</v>
      </c>
      <c r="DN78" s="1464"/>
      <c r="DO78" s="1464"/>
      <c r="DP78" s="1465"/>
      <c r="DQ78" s="1465"/>
      <c r="DR78" s="1465"/>
      <c r="DS78" s="1464"/>
      <c r="DT78" s="1464"/>
      <c r="DU78" s="1464"/>
      <c r="DV78" s="1464"/>
      <c r="DW78" s="1464"/>
      <c r="DX78" s="1464"/>
      <c r="DY78" s="1464"/>
      <c r="DZ78" s="1464"/>
      <c r="EA78" s="1464"/>
      <c r="EB78" s="1464"/>
      <c r="EC78" s="1601"/>
      <c r="ED78" s="1601"/>
      <c r="EE78" s="1458"/>
      <c r="EF78" s="1461"/>
      <c r="EG78" s="1461"/>
      <c r="EH78" s="1461"/>
      <c r="EI78" s="1455">
        <v>45525</v>
      </c>
      <c r="EJ78" s="1467"/>
      <c r="EK78" s="700"/>
      <c r="EL78" s="700"/>
      <c r="EM78" s="700"/>
      <c r="EN78" s="700"/>
      <c r="EO78" s="700"/>
      <c r="EP78" s="700"/>
      <c r="EQ78" s="700"/>
      <c r="ER78" s="700"/>
      <c r="ES78" s="700"/>
      <c r="ET78" s="700"/>
      <c r="EU78" s="700"/>
      <c r="EV78" s="700"/>
      <c r="EW78" s="700"/>
      <c r="EX78" s="700"/>
      <c r="EY78" s="700">
        <v>1512</v>
      </c>
      <c r="EZ78" s="700"/>
      <c r="FA78" s="700"/>
      <c r="FB78" s="700"/>
      <c r="FC78" s="1454"/>
      <c r="FD78" s="1462">
        <v>4500142471</v>
      </c>
      <c r="FH78" s="1472"/>
      <c r="FI78" s="721"/>
      <c r="FJ78" s="721"/>
      <c r="FK78" s="721"/>
      <c r="FL78" s="721"/>
      <c r="FM78" s="721"/>
      <c r="FN78" s="721"/>
      <c r="FO78" s="721"/>
      <c r="FP78" s="721"/>
      <c r="FQ78" s="721"/>
      <c r="FR78" s="721"/>
      <c r="FS78" s="721"/>
      <c r="FT78" s="721"/>
      <c r="FU78" s="721">
        <v>1000</v>
      </c>
      <c r="FV78" s="721"/>
      <c r="FW78" s="721"/>
      <c r="FX78" s="1473"/>
      <c r="FY78" s="1474">
        <v>4500153210</v>
      </c>
    </row>
    <row r="79" s="1329" customFormat="1" ht="24" customHeight="1" spans="2:195">
      <c r="B79" s="1634"/>
      <c r="C79" s="1635"/>
      <c r="D79" s="1636"/>
      <c r="E79" s="1637"/>
      <c r="F79" s="1637"/>
      <c r="G79" s="1638"/>
      <c r="H79" s="1638"/>
      <c r="I79" s="1638"/>
      <c r="J79" s="1638"/>
      <c r="K79" s="1638"/>
      <c r="L79" s="1638"/>
      <c r="M79" s="1638"/>
      <c r="N79" s="1638"/>
      <c r="O79" s="1638"/>
      <c r="P79" s="1638"/>
      <c r="Q79" s="1638"/>
      <c r="S79" s="1586">
        <v>44160</v>
      </c>
      <c r="T79" s="700" t="s">
        <v>12027</v>
      </c>
      <c r="U79" s="700" t="s">
        <v>11679</v>
      </c>
      <c r="V79" s="700"/>
      <c r="W79" s="700"/>
      <c r="X79" s="700">
        <v>350000</v>
      </c>
      <c r="Y79" s="700"/>
      <c r="Z79" s="700"/>
      <c r="AA79" s="700"/>
      <c r="AB79" s="700"/>
      <c r="AC79" s="700"/>
      <c r="AD79" s="700"/>
      <c r="AE79" s="700"/>
      <c r="AF79" s="700"/>
      <c r="AG79" s="700"/>
      <c r="AH79" s="700"/>
      <c r="AI79" s="700"/>
      <c r="AK79" s="1641">
        <v>44664</v>
      </c>
      <c r="AL79" s="1519">
        <v>1000010407</v>
      </c>
      <c r="AM79" s="1457" t="s">
        <v>11684</v>
      </c>
      <c r="AN79" s="1443"/>
      <c r="AO79" s="700"/>
      <c r="AP79" s="700"/>
      <c r="AQ79" s="700"/>
      <c r="AR79" s="700"/>
      <c r="AS79" s="700"/>
      <c r="AT79" s="700"/>
      <c r="AU79" s="700"/>
      <c r="AV79" s="1464">
        <v>10000</v>
      </c>
      <c r="AW79" s="1626"/>
      <c r="AX79" s="1443"/>
      <c r="AY79" s="1443"/>
      <c r="AZ79" s="1443"/>
      <c r="BA79" s="1476"/>
      <c r="CG79" s="1330"/>
      <c r="CP79" s="1455">
        <v>44873</v>
      </c>
      <c r="CQ79" s="1456" t="s">
        <v>12028</v>
      </c>
      <c r="CR79" s="1457" t="s">
        <v>11935</v>
      </c>
      <c r="CS79" s="1443"/>
      <c r="CT79" s="1443"/>
      <c r="CU79" s="1443"/>
      <c r="CV79" s="1443"/>
      <c r="CW79" s="1443"/>
      <c r="CX79" s="1443"/>
      <c r="CY79" s="1443"/>
      <c r="CZ79" s="1443"/>
      <c r="DA79" s="1443"/>
      <c r="DB79" s="719">
        <v>967</v>
      </c>
      <c r="DC79" s="719"/>
      <c r="DD79" s="1440"/>
      <c r="DE79" s="1583" t="s">
        <v>12029</v>
      </c>
      <c r="DG79" s="1455">
        <v>45302</v>
      </c>
      <c r="DH79" s="700">
        <v>1000018189</v>
      </c>
      <c r="DI79" s="697" t="s">
        <v>11711</v>
      </c>
      <c r="DJ79" s="700"/>
      <c r="DK79" s="700"/>
      <c r="DL79" s="700"/>
      <c r="DM79" s="700"/>
      <c r="DN79" s="700"/>
      <c r="DO79" s="700"/>
      <c r="DP79" s="1466"/>
      <c r="DQ79" s="1466"/>
      <c r="DR79" s="1466"/>
      <c r="DS79" s="700"/>
      <c r="DT79" s="700"/>
      <c r="DU79" s="700"/>
      <c r="DV79" s="700"/>
      <c r="DW79" s="700"/>
      <c r="DX79" s="700"/>
      <c r="DY79" s="700">
        <v>5264</v>
      </c>
      <c r="DZ79" s="700"/>
      <c r="EA79" s="700"/>
      <c r="EB79" s="700"/>
      <c r="EC79" s="1448"/>
      <c r="ED79" s="1448"/>
      <c r="EE79" s="1485" t="s">
        <v>12030</v>
      </c>
      <c r="EF79" s="1461"/>
      <c r="EG79" s="1461"/>
      <c r="EH79" s="1461"/>
      <c r="EI79" s="1455">
        <v>45525</v>
      </c>
      <c r="EJ79" s="1467"/>
      <c r="EK79" s="700"/>
      <c r="EL79" s="700"/>
      <c r="EM79" s="700"/>
      <c r="EN79" s="700"/>
      <c r="EO79" s="700"/>
      <c r="EP79" s="700"/>
      <c r="EQ79" s="700"/>
      <c r="ER79" s="700"/>
      <c r="ES79" s="700"/>
      <c r="ET79" s="700"/>
      <c r="EU79" s="700"/>
      <c r="EV79" s="700"/>
      <c r="EW79" s="700"/>
      <c r="EX79" s="700"/>
      <c r="EY79" s="700">
        <v>3756</v>
      </c>
      <c r="EZ79" s="700"/>
      <c r="FA79" s="700"/>
      <c r="FB79" s="700"/>
      <c r="FC79" s="1454"/>
      <c r="FD79" s="1462" t="s">
        <v>11974</v>
      </c>
      <c r="FH79" s="1472"/>
      <c r="FI79" s="721"/>
      <c r="FJ79" s="721"/>
      <c r="FK79" s="721"/>
      <c r="FL79" s="721"/>
      <c r="FM79" s="721"/>
      <c r="FN79" s="721"/>
      <c r="FO79" s="721"/>
      <c r="FP79" s="721"/>
      <c r="FQ79" s="721"/>
      <c r="FR79" s="721"/>
      <c r="FS79" s="721"/>
      <c r="FT79" s="721"/>
      <c r="FU79" s="721">
        <v>1000</v>
      </c>
      <c r="FV79" s="721"/>
      <c r="FW79" s="721"/>
      <c r="FX79" s="1473"/>
      <c r="FY79" s="1474">
        <v>4500153570</v>
      </c>
    </row>
    <row r="80" s="1329" customFormat="1" ht="24" customHeight="1" spans="2:195">
      <c r="B80" s="1634"/>
      <c r="C80" s="1635"/>
      <c r="D80" s="1636"/>
      <c r="E80" s="1637"/>
      <c r="F80" s="1637"/>
      <c r="G80" s="1638"/>
      <c r="H80" s="1638"/>
      <c r="I80" s="1638"/>
      <c r="J80" s="1638"/>
      <c r="K80" s="1638"/>
      <c r="L80" s="1638"/>
      <c r="M80" s="1638"/>
      <c r="N80" s="1638"/>
      <c r="O80" s="1638"/>
      <c r="P80" s="1638"/>
      <c r="Q80" s="1638"/>
      <c r="S80" s="1586">
        <v>44160</v>
      </c>
      <c r="T80" s="700" t="s">
        <v>12031</v>
      </c>
      <c r="U80" s="700" t="s">
        <v>11679</v>
      </c>
      <c r="V80" s="700"/>
      <c r="W80" s="700"/>
      <c r="X80" s="700"/>
      <c r="Y80" s="700">
        <v>365000</v>
      </c>
      <c r="Z80" s="700"/>
      <c r="AA80" s="700"/>
      <c r="AB80" s="700"/>
      <c r="AC80" s="700"/>
      <c r="AD80" s="700"/>
      <c r="AE80" s="700"/>
      <c r="AF80" s="700"/>
      <c r="AG80" s="700"/>
      <c r="AH80" s="700"/>
      <c r="AI80" s="700"/>
      <c r="AK80" s="1641">
        <v>44664</v>
      </c>
      <c r="AL80" s="1519">
        <v>1000010408</v>
      </c>
      <c r="AM80" s="1443" t="s">
        <v>11685</v>
      </c>
      <c r="AN80" s="1443"/>
      <c r="AO80" s="700">
        <v>100000</v>
      </c>
      <c r="AP80" s="700"/>
      <c r="AQ80" s="700"/>
      <c r="AR80" s="700"/>
      <c r="AS80" s="700"/>
      <c r="AT80" s="700"/>
      <c r="AU80" s="700"/>
      <c r="AV80" s="700"/>
      <c r="AW80" s="1626"/>
      <c r="AX80" s="1443"/>
      <c r="AY80" s="1443"/>
      <c r="AZ80" s="1443"/>
      <c r="BA80" s="1476"/>
      <c r="CG80" s="1330"/>
      <c r="CP80" s="1455">
        <v>44876</v>
      </c>
      <c r="CQ80" s="1456" t="s">
        <v>12032</v>
      </c>
      <c r="CR80" s="1457" t="s">
        <v>12033</v>
      </c>
      <c r="CS80" s="1443"/>
      <c r="CT80" s="1443"/>
      <c r="CU80" s="1443"/>
      <c r="CV80" s="1443"/>
      <c r="CW80" s="1443"/>
      <c r="CX80" s="1443"/>
      <c r="CY80" s="1443">
        <v>17605</v>
      </c>
      <c r="CZ80" s="1443"/>
      <c r="DA80" s="1443"/>
      <c r="DB80" s="1443"/>
      <c r="DC80" s="1443"/>
      <c r="DD80" s="1440"/>
      <c r="DE80" s="1583" t="s">
        <v>12034</v>
      </c>
      <c r="DG80" s="1455">
        <v>45310</v>
      </c>
      <c r="DH80" s="700"/>
      <c r="DI80" s="1622" t="s">
        <v>11951</v>
      </c>
      <c r="DJ80" s="700"/>
      <c r="DK80" s="700"/>
      <c r="DL80" s="700"/>
      <c r="DM80" s="700"/>
      <c r="DN80" s="700"/>
      <c r="DO80" s="700"/>
      <c r="DP80" s="1466"/>
      <c r="DQ80" s="1466"/>
      <c r="DR80" s="1466"/>
      <c r="DS80" s="700"/>
      <c r="DT80" s="700"/>
      <c r="DU80" s="700"/>
      <c r="DV80" s="700"/>
      <c r="DW80" s="700">
        <v>10440</v>
      </c>
      <c r="DX80" s="700"/>
      <c r="DY80" s="700"/>
      <c r="DZ80" s="700"/>
      <c r="EA80" s="700"/>
      <c r="EB80" s="700"/>
      <c r="EC80" s="1448"/>
      <c r="ED80" s="1448"/>
      <c r="EE80" s="1458">
        <v>4500123497</v>
      </c>
      <c r="EF80" s="1461"/>
      <c r="EG80" s="1461"/>
      <c r="EH80" s="1461"/>
      <c r="EI80" s="1455">
        <v>45532</v>
      </c>
      <c r="EJ80" s="1330">
        <v>1000022794</v>
      </c>
      <c r="EK80" s="700"/>
      <c r="EL80" s="700"/>
      <c r="EM80" s="700"/>
      <c r="EN80" s="700"/>
      <c r="EO80" s="700"/>
      <c r="EP80" s="700"/>
      <c r="EQ80" s="700"/>
      <c r="ER80" s="700"/>
      <c r="ES80" s="700"/>
      <c r="ET80" s="700"/>
      <c r="EU80" s="700"/>
      <c r="EV80" s="700">
        <v>5000</v>
      </c>
      <c r="EW80" s="700"/>
      <c r="EX80" s="700"/>
      <c r="EY80" s="700"/>
      <c r="EZ80" s="700"/>
      <c r="FA80" s="700"/>
      <c r="FB80" s="700"/>
      <c r="FC80" s="1454"/>
      <c r="FD80" s="1462"/>
      <c r="FH80" s="1472">
        <v>45679</v>
      </c>
      <c r="FI80" s="721">
        <v>1000025630</v>
      </c>
      <c r="FJ80" s="721"/>
      <c r="FK80" s="721"/>
      <c r="FL80" s="721"/>
      <c r="FM80" s="721">
        <v>30000</v>
      </c>
      <c r="FN80" s="721"/>
      <c r="FO80" s="721"/>
      <c r="FP80" s="721"/>
      <c r="FQ80" s="721"/>
      <c r="FR80" s="721"/>
      <c r="FS80" s="721"/>
      <c r="FT80" s="721"/>
      <c r="FU80" s="721"/>
      <c r="FV80" s="721"/>
      <c r="FW80" s="721"/>
      <c r="FX80" s="1473"/>
      <c r="FY80" s="1474"/>
    </row>
    <row r="81" s="1329" customFormat="1" ht="24" customHeight="1" spans="2:193">
      <c r="B81" s="1642"/>
      <c r="C81" s="1643"/>
      <c r="D81" s="1644"/>
      <c r="E81" s="1645"/>
      <c r="F81" s="1645"/>
      <c r="G81" s="1646"/>
      <c r="H81" s="1646"/>
      <c r="I81" s="1646"/>
      <c r="S81" s="1586">
        <v>44160</v>
      </c>
      <c r="T81" s="700" t="s">
        <v>12035</v>
      </c>
      <c r="U81" s="700" t="s">
        <v>11679</v>
      </c>
      <c r="V81" s="700"/>
      <c r="W81" s="700"/>
      <c r="X81" s="700"/>
      <c r="Y81" s="700"/>
      <c r="Z81" s="700"/>
      <c r="AA81" s="700">
        <v>39000</v>
      </c>
      <c r="AB81" s="700"/>
      <c r="AC81" s="700"/>
      <c r="AD81" s="700"/>
      <c r="AE81" s="700"/>
      <c r="AF81" s="700"/>
      <c r="AG81" s="700"/>
      <c r="AH81" s="700"/>
      <c r="AI81" s="700"/>
      <c r="AK81" s="1641">
        <v>44664</v>
      </c>
      <c r="AL81" s="1519">
        <v>1000010409</v>
      </c>
      <c r="AM81" s="1443" t="s">
        <v>11685</v>
      </c>
      <c r="AN81" s="1443"/>
      <c r="AO81" s="700"/>
      <c r="AP81" s="700"/>
      <c r="AQ81" s="700">
        <v>100000</v>
      </c>
      <c r="AR81" s="700"/>
      <c r="AS81" s="700"/>
      <c r="AT81" s="700"/>
      <c r="AU81" s="700"/>
      <c r="AV81" s="700"/>
      <c r="AW81" s="1626"/>
      <c r="AX81" s="1443"/>
      <c r="AY81" s="1443"/>
      <c r="AZ81" s="1443"/>
      <c r="BA81" s="1476"/>
      <c r="CG81" s="1330"/>
      <c r="CP81" s="1455">
        <v>44882</v>
      </c>
      <c r="CQ81" s="1467">
        <v>1000012545</v>
      </c>
      <c r="CR81" s="1498" t="s">
        <v>11832</v>
      </c>
      <c r="CS81" s="1464">
        <v>250000</v>
      </c>
      <c r="CT81" s="700"/>
      <c r="CU81" s="700"/>
      <c r="CV81" s="700"/>
      <c r="CW81" s="700"/>
      <c r="CX81" s="700"/>
      <c r="CY81" s="718"/>
      <c r="CZ81" s="700"/>
      <c r="DA81" s="700"/>
      <c r="DB81" s="700"/>
      <c r="DC81" s="700"/>
      <c r="DD81" s="1440"/>
      <c r="DE81" s="1458"/>
      <c r="DG81" s="1455">
        <v>45303</v>
      </c>
      <c r="DH81" s="700"/>
      <c r="DI81" s="697"/>
      <c r="DJ81" s="700"/>
      <c r="DK81" s="700"/>
      <c r="DL81" s="700"/>
      <c r="DM81" s="700"/>
      <c r="DN81" s="700"/>
      <c r="DO81" s="700"/>
      <c r="DP81" s="1466"/>
      <c r="DQ81" s="1466"/>
      <c r="DR81" s="1466"/>
      <c r="DS81" s="700"/>
      <c r="DT81" s="700"/>
      <c r="DU81" s="700"/>
      <c r="DV81" s="700"/>
      <c r="DW81" s="700"/>
      <c r="DX81" s="700"/>
      <c r="DY81" s="700">
        <f>1500+450</f>
        <v>1950</v>
      </c>
      <c r="DZ81" s="700"/>
      <c r="EA81" s="700"/>
      <c r="EB81" s="700"/>
      <c r="EC81" s="1448"/>
      <c r="ED81" s="1448"/>
      <c r="EE81" s="1485" t="s">
        <v>12036</v>
      </c>
      <c r="EF81" s="1461"/>
      <c r="EG81" s="1461"/>
      <c r="EH81" s="1461"/>
      <c r="EI81" s="1455">
        <v>45541</v>
      </c>
      <c r="EJ81" s="1467">
        <v>1000023036</v>
      </c>
      <c r="EK81" s="700"/>
      <c r="EL81" s="700"/>
      <c r="EM81" s="700"/>
      <c r="EN81" s="700"/>
      <c r="EO81" s="700"/>
      <c r="EP81" s="700"/>
      <c r="EQ81" s="700"/>
      <c r="ER81" s="700"/>
      <c r="ES81" s="700"/>
      <c r="ET81" s="700">
        <v>5000</v>
      </c>
      <c r="EU81" s="700"/>
      <c r="EV81" s="700"/>
      <c r="EW81" s="700"/>
      <c r="EX81" s="700"/>
      <c r="EY81" s="700"/>
      <c r="EZ81" s="700"/>
      <c r="FA81" s="700"/>
      <c r="FB81" s="700"/>
      <c r="FC81" s="1454"/>
      <c r="FD81" s="1462"/>
      <c r="FH81" s="1472"/>
      <c r="FI81" s="721"/>
      <c r="FJ81" s="721"/>
      <c r="FK81" s="721"/>
      <c r="FL81" s="721"/>
      <c r="FM81" s="721"/>
      <c r="FN81" s="721"/>
      <c r="FO81" s="721"/>
      <c r="FP81" s="721"/>
      <c r="FQ81" s="721"/>
      <c r="FR81" s="721"/>
      <c r="FS81" s="721"/>
      <c r="FT81" s="721">
        <v>15722</v>
      </c>
      <c r="FU81" s="721"/>
      <c r="FV81" s="721"/>
      <c r="FW81" s="721"/>
      <c r="FX81" s="1473"/>
      <c r="FY81" s="1474">
        <v>4500152863</v>
      </c>
    </row>
    <row r="82" s="1329" customFormat="1" ht="24" customHeight="1" spans="2:193">
      <c r="C82" s="1647"/>
      <c r="S82" s="1586">
        <v>44160</v>
      </c>
      <c r="T82" s="700" t="s">
        <v>12037</v>
      </c>
      <c r="U82" s="700" t="s">
        <v>11679</v>
      </c>
      <c r="V82" s="700"/>
      <c r="W82" s="700"/>
      <c r="X82" s="700"/>
      <c r="Y82" s="700"/>
      <c r="Z82" s="700"/>
      <c r="AA82" s="700"/>
      <c r="AB82" s="700"/>
      <c r="AC82" s="700"/>
      <c r="AD82" s="700"/>
      <c r="AE82" s="700">
        <v>1000</v>
      </c>
      <c r="AF82" s="700"/>
      <c r="AG82" s="700"/>
      <c r="AH82" s="700"/>
      <c r="AI82" s="700"/>
      <c r="AK82" s="1641">
        <v>44664</v>
      </c>
      <c r="AL82" s="1519">
        <v>1000010410</v>
      </c>
      <c r="AM82" s="1443" t="s">
        <v>11685</v>
      </c>
      <c r="AN82" s="1443"/>
      <c r="AO82" s="700"/>
      <c r="AP82" s="700"/>
      <c r="AQ82" s="700"/>
      <c r="AR82" s="700"/>
      <c r="AS82" s="700"/>
      <c r="AT82" s="700"/>
      <c r="AU82" s="700"/>
      <c r="AV82" s="1464">
        <v>10000</v>
      </c>
      <c r="AW82" s="1443"/>
      <c r="AX82" s="1443"/>
      <c r="AY82" s="1443"/>
      <c r="AZ82" s="1443"/>
      <c r="BA82" s="1476"/>
      <c r="CG82" s="1330"/>
      <c r="CP82" s="1455">
        <v>44882</v>
      </c>
      <c r="CQ82" s="1467">
        <v>1000012546</v>
      </c>
      <c r="CR82" s="1498" t="s">
        <v>11832</v>
      </c>
      <c r="CS82" s="700"/>
      <c r="CT82" s="700"/>
      <c r="CU82" s="700"/>
      <c r="CV82" s="1464">
        <v>30000</v>
      </c>
      <c r="CW82" s="700"/>
      <c r="CX82" s="700"/>
      <c r="CY82" s="718"/>
      <c r="CZ82" s="700"/>
      <c r="DA82" s="700"/>
      <c r="DB82" s="700"/>
      <c r="DC82" s="700"/>
      <c r="DD82" s="1440"/>
      <c r="DE82" s="1458"/>
      <c r="DG82" s="1455">
        <v>45356</v>
      </c>
      <c r="DH82" s="700">
        <v>1000018758</v>
      </c>
      <c r="DI82" s="697" t="s">
        <v>11685</v>
      </c>
      <c r="DJ82" s="700"/>
      <c r="DK82" s="700">
        <v>100000</v>
      </c>
      <c r="DL82" s="700"/>
      <c r="DM82" s="700"/>
      <c r="DN82" s="700"/>
      <c r="DO82" s="700"/>
      <c r="DP82" s="1466"/>
      <c r="DQ82" s="1466"/>
      <c r="DR82" s="1466"/>
      <c r="DS82" s="700"/>
      <c r="DT82" s="700"/>
      <c r="DU82" s="700"/>
      <c r="DV82" s="700"/>
      <c r="DW82" s="700"/>
      <c r="DX82" s="700"/>
      <c r="DY82" s="700"/>
      <c r="DZ82" s="700"/>
      <c r="EA82" s="700"/>
      <c r="EB82" s="700"/>
      <c r="EC82" s="1448"/>
      <c r="ED82" s="1448"/>
      <c r="EE82" s="1485"/>
      <c r="EF82" s="1461"/>
      <c r="EG82" s="1461"/>
      <c r="EH82" s="1461"/>
      <c r="EI82" s="1455">
        <v>45541</v>
      </c>
      <c r="EJ82" s="1467">
        <v>1000023037</v>
      </c>
      <c r="EK82" s="700"/>
      <c r="EL82" s="700"/>
      <c r="EM82" s="700"/>
      <c r="EN82" s="700"/>
      <c r="EO82" s="700"/>
      <c r="EP82" s="700"/>
      <c r="EQ82" s="700"/>
      <c r="ER82" s="700"/>
      <c r="ES82" s="700"/>
      <c r="ET82" s="700"/>
      <c r="EU82" s="700"/>
      <c r="EV82" s="700">
        <v>10000</v>
      </c>
      <c r="EW82" s="700"/>
      <c r="EX82" s="700"/>
      <c r="EY82" s="700"/>
      <c r="EZ82" s="700"/>
      <c r="FA82" s="700"/>
      <c r="FB82" s="700"/>
      <c r="FC82" s="1454"/>
      <c r="FD82" s="1462"/>
      <c r="FH82" s="1472">
        <v>45695</v>
      </c>
      <c r="FI82" s="721"/>
      <c r="FJ82" s="721"/>
      <c r="FK82" s="721"/>
      <c r="FL82" s="721"/>
      <c r="FM82" s="721"/>
      <c r="FN82" s="721"/>
      <c r="FO82" s="721"/>
      <c r="FP82" s="721"/>
      <c r="FQ82" s="721"/>
      <c r="FR82" s="721"/>
      <c r="FS82" s="721"/>
      <c r="FT82" s="721">
        <v>9563</v>
      </c>
      <c r="FU82" s="721"/>
      <c r="FV82" s="721"/>
      <c r="FW82" s="721"/>
      <c r="FX82" s="1473"/>
      <c r="FY82" s="1474">
        <v>4500156513</v>
      </c>
    </row>
    <row r="83" s="1329" customFormat="1" ht="24" customHeight="1" spans="2:193">
      <c r="C83" s="1647"/>
      <c r="S83" s="1586">
        <v>44210</v>
      </c>
      <c r="T83" s="700" t="s">
        <v>12038</v>
      </c>
      <c r="U83" s="700" t="s">
        <v>11679</v>
      </c>
      <c r="V83" s="700"/>
      <c r="W83" s="700">
        <v>74241</v>
      </c>
      <c r="X83" s="700"/>
      <c r="Y83" s="700"/>
      <c r="Z83" s="700"/>
      <c r="AA83" s="700"/>
      <c r="AB83" s="700"/>
      <c r="AC83" s="700"/>
      <c r="AD83" s="700"/>
      <c r="AE83" s="700"/>
      <c r="AF83" s="700"/>
      <c r="AG83" s="700"/>
      <c r="AH83" s="700"/>
      <c r="AI83" s="700"/>
      <c r="AK83" s="1648" t="s">
        <v>11840</v>
      </c>
      <c r="AL83" s="1649"/>
      <c r="AM83" s="1650"/>
      <c r="AN83" s="1651"/>
      <c r="AO83" s="1652">
        <v>25699</v>
      </c>
      <c r="AP83" s="1651"/>
      <c r="AQ83" s="1651"/>
      <c r="AR83" s="1649"/>
      <c r="AS83" s="1652">
        <v>9028</v>
      </c>
      <c r="AT83" s="1649"/>
      <c r="AU83" s="1652">
        <v>145606</v>
      </c>
      <c r="AV83" s="1649">
        <v>1027</v>
      </c>
      <c r="AW83" s="1652">
        <v>2210</v>
      </c>
      <c r="AX83" s="1649">
        <v>2264</v>
      </c>
      <c r="AY83" s="1649"/>
      <c r="AZ83" s="1649"/>
      <c r="BA83" s="1653"/>
      <c r="CG83" s="1330"/>
      <c r="CP83" s="1455">
        <v>44882</v>
      </c>
      <c r="CQ83" s="1467">
        <v>1000012547</v>
      </c>
      <c r="CR83" s="1498" t="s">
        <v>11832</v>
      </c>
      <c r="CS83" s="700"/>
      <c r="CT83" s="700"/>
      <c r="CU83" s="700"/>
      <c r="CV83" s="700"/>
      <c r="CW83" s="1464">
        <v>260000</v>
      </c>
      <c r="CX83" s="700"/>
      <c r="CY83" s="718"/>
      <c r="CZ83" s="700"/>
      <c r="DA83" s="700"/>
      <c r="DB83" s="700"/>
      <c r="DC83" s="700"/>
      <c r="DD83" s="1440"/>
      <c r="DE83" s="1458"/>
      <c r="DG83" s="1455">
        <v>45356</v>
      </c>
      <c r="DH83" s="700">
        <v>1000018759</v>
      </c>
      <c r="DI83" s="697" t="s">
        <v>11685</v>
      </c>
      <c r="DJ83" s="700"/>
      <c r="DK83" s="700"/>
      <c r="DL83" s="700"/>
      <c r="DM83" s="700"/>
      <c r="DN83" s="700"/>
      <c r="DO83" s="700">
        <v>30000</v>
      </c>
      <c r="DP83" s="1466"/>
      <c r="DQ83" s="1466"/>
      <c r="DR83" s="1466"/>
      <c r="DS83" s="700"/>
      <c r="DT83" s="700"/>
      <c r="DU83" s="700"/>
      <c r="DV83" s="700"/>
      <c r="DW83" s="700"/>
      <c r="DX83" s="700"/>
      <c r="DY83" s="700"/>
      <c r="DZ83" s="700"/>
      <c r="EA83" s="700"/>
      <c r="EB83" s="700"/>
      <c r="EC83" s="1448"/>
      <c r="ED83" s="1448"/>
      <c r="EE83" s="1485"/>
      <c r="EF83" s="1461"/>
      <c r="EG83" s="1461"/>
      <c r="EH83" s="1461"/>
      <c r="EI83" s="1455">
        <v>45545</v>
      </c>
      <c r="EJ83" s="1467"/>
      <c r="EK83" s="700"/>
      <c r="EL83" s="700"/>
      <c r="EM83" s="700"/>
      <c r="EN83" s="700"/>
      <c r="EO83" s="700">
        <v>15000</v>
      </c>
      <c r="EP83" s="700">
        <f>50000-EO83</f>
        <v>35000</v>
      </c>
      <c r="EQ83" s="700"/>
      <c r="ER83" s="700"/>
      <c r="ES83" s="700"/>
      <c r="ET83" s="700"/>
      <c r="EU83" s="700"/>
      <c r="EV83" s="700"/>
      <c r="EW83" s="700"/>
      <c r="EX83" s="700"/>
      <c r="EY83" s="700"/>
      <c r="EZ83" s="700"/>
      <c r="FA83" s="700"/>
      <c r="FB83" s="700"/>
      <c r="FC83" s="1454"/>
      <c r="FD83" s="1462"/>
      <c r="FH83" s="1472">
        <v>45729</v>
      </c>
      <c r="FI83" s="721"/>
      <c r="FJ83" s="721"/>
      <c r="FK83" s="721"/>
      <c r="FL83" s="721"/>
      <c r="FM83" s="721"/>
      <c r="FN83" s="721"/>
      <c r="FO83" s="721"/>
      <c r="FP83" s="721"/>
      <c r="FQ83" s="721"/>
      <c r="FR83" s="721"/>
      <c r="FS83" s="721"/>
      <c r="FT83" s="721">
        <v>1316</v>
      </c>
      <c r="FU83" s="721"/>
      <c r="FV83" s="721"/>
      <c r="FW83" s="721"/>
      <c r="FX83" s="1473"/>
      <c r="FY83" s="1474">
        <v>4500159816</v>
      </c>
    </row>
    <row r="84" s="1329" customFormat="1" ht="24" customHeight="1" spans="2:193">
      <c r="C84" s="1647"/>
      <c r="S84" s="1586">
        <v>44210</v>
      </c>
      <c r="T84" s="700" t="s">
        <v>12039</v>
      </c>
      <c r="U84" s="700" t="s">
        <v>11679</v>
      </c>
      <c r="V84" s="700"/>
      <c r="W84" s="700"/>
      <c r="X84" s="700">
        <v>31143</v>
      </c>
      <c r="Y84" s="700"/>
      <c r="Z84" s="700"/>
      <c r="AA84" s="700"/>
      <c r="AB84" s="700"/>
      <c r="AC84" s="700"/>
      <c r="AD84" s="700"/>
      <c r="AE84" s="700"/>
      <c r="AF84" s="700"/>
      <c r="AG84" s="700"/>
      <c r="AH84" s="700"/>
      <c r="AI84" s="700"/>
      <c r="AK84" s="1654"/>
      <c r="AL84" s="1655"/>
      <c r="AM84" s="1656" t="s">
        <v>9150</v>
      </c>
      <c r="AN84" s="1656">
        <f t="shared" ref="AN84:AU84" si="9">SUM(AN5:AN83)</f>
        <v>1400000</v>
      </c>
      <c r="AO84" s="1656">
        <f t="shared" si="9"/>
        <v>1310699</v>
      </c>
      <c r="AP84" s="1656">
        <f t="shared" si="9"/>
        <v>750000</v>
      </c>
      <c r="AQ84" s="1656">
        <f t="shared" si="9"/>
        <v>1715000</v>
      </c>
      <c r="AR84" s="1656">
        <f t="shared" si="9"/>
        <v>115000</v>
      </c>
      <c r="AS84" s="1656">
        <f t="shared" si="9"/>
        <v>121028</v>
      </c>
      <c r="AT84" s="1656">
        <f t="shared" si="9"/>
        <v>70000</v>
      </c>
      <c r="AU84" s="1656">
        <f t="shared" si="9"/>
        <v>292606</v>
      </c>
      <c r="AV84" s="1656">
        <f t="shared" ref="AV84:BA84" si="10">SUM(AV5:AV83)</f>
        <v>146827</v>
      </c>
      <c r="AW84" s="1656">
        <f t="shared" si="10"/>
        <v>48667</v>
      </c>
      <c r="AX84" s="1656">
        <f t="shared" si="10"/>
        <v>57845</v>
      </c>
      <c r="AY84" s="1656">
        <f t="shared" si="10"/>
        <v>200</v>
      </c>
      <c r="AZ84" s="1656">
        <f t="shared" si="10"/>
        <v>244</v>
      </c>
      <c r="BA84" s="1657">
        <f t="shared" si="10"/>
        <v>100</v>
      </c>
      <c r="CG84" s="1330"/>
      <c r="CP84" s="1455">
        <v>44882</v>
      </c>
      <c r="CQ84" s="1467">
        <v>1000012551</v>
      </c>
      <c r="CR84" s="1498" t="s">
        <v>11832</v>
      </c>
      <c r="CS84" s="700"/>
      <c r="CT84" s="700"/>
      <c r="CU84" s="1464">
        <v>10000</v>
      </c>
      <c r="CV84" s="700"/>
      <c r="CW84" s="700"/>
      <c r="CX84" s="700"/>
      <c r="CY84" s="718"/>
      <c r="CZ84" s="700"/>
      <c r="DA84" s="700"/>
      <c r="DB84" s="700"/>
      <c r="DC84" s="700"/>
      <c r="DD84" s="1440"/>
      <c r="DE84" s="1458"/>
      <c r="DG84" s="1455">
        <v>45356</v>
      </c>
      <c r="DH84" s="700">
        <v>1000018760</v>
      </c>
      <c r="DI84" s="697" t="s">
        <v>11685</v>
      </c>
      <c r="DJ84" s="700"/>
      <c r="DK84" s="700"/>
      <c r="DL84" s="700"/>
      <c r="DM84" s="700"/>
      <c r="DN84" s="700"/>
      <c r="DO84" s="700"/>
      <c r="DP84" s="1466"/>
      <c r="DQ84" s="1466"/>
      <c r="DR84" s="1466">
        <v>100000</v>
      </c>
      <c r="DS84" s="700"/>
      <c r="DT84" s="700"/>
      <c r="DU84" s="700"/>
      <c r="DV84" s="700"/>
      <c r="DW84" s="700"/>
      <c r="DX84" s="700"/>
      <c r="DY84" s="700"/>
      <c r="DZ84" s="700"/>
      <c r="EA84" s="700"/>
      <c r="EB84" s="700"/>
      <c r="EC84" s="1448"/>
      <c r="ED84" s="1448"/>
      <c r="EE84" s="1485"/>
      <c r="EF84" s="1461"/>
      <c r="EG84" s="1461"/>
      <c r="EH84" s="1461"/>
      <c r="EI84" s="1455">
        <v>45549</v>
      </c>
      <c r="EJ84" s="1467"/>
      <c r="EK84" s="700"/>
      <c r="EL84" s="700"/>
      <c r="EM84" s="700"/>
      <c r="EN84" s="700"/>
      <c r="EO84" s="700"/>
      <c r="EP84" s="700"/>
      <c r="EQ84" s="700"/>
      <c r="ER84" s="700"/>
      <c r="ES84" s="700"/>
      <c r="ET84" s="700"/>
      <c r="EU84" s="700"/>
      <c r="EV84" s="700"/>
      <c r="EW84" s="700"/>
      <c r="EX84" s="700"/>
      <c r="EY84" s="700"/>
      <c r="EZ84" s="700">
        <v>576</v>
      </c>
      <c r="FA84" s="700"/>
      <c r="FB84" s="700"/>
      <c r="FC84" s="1454"/>
      <c r="FD84" s="715">
        <v>4500145378</v>
      </c>
      <c r="FH84" s="1472"/>
      <c r="FI84" s="721"/>
      <c r="FJ84" s="721"/>
      <c r="FK84" s="721"/>
      <c r="FL84" s="721"/>
      <c r="FM84" s="721"/>
      <c r="FN84" s="721"/>
      <c r="FO84" s="721"/>
      <c r="FP84" s="721"/>
      <c r="FQ84" s="721"/>
      <c r="FR84" s="721"/>
      <c r="FS84" s="721"/>
      <c r="FT84" s="721"/>
      <c r="FU84" s="721">
        <v>1000</v>
      </c>
      <c r="FV84" s="721"/>
      <c r="FW84" s="721"/>
      <c r="FX84" s="1473"/>
      <c r="FY84" s="1474" t="s">
        <v>12040</v>
      </c>
    </row>
    <row r="85" s="1329" customFormat="1" ht="24" customHeight="1" spans="2:193">
      <c r="C85" s="1647"/>
      <c r="S85" s="1586">
        <v>44210</v>
      </c>
      <c r="T85" s="700" t="s">
        <v>12041</v>
      </c>
      <c r="U85" s="700" t="s">
        <v>11679</v>
      </c>
      <c r="V85" s="700"/>
      <c r="W85" s="700"/>
      <c r="X85" s="700"/>
      <c r="Y85" s="700">
        <v>68798</v>
      </c>
      <c r="Z85" s="700"/>
      <c r="AA85" s="700"/>
      <c r="AB85" s="700"/>
      <c r="AC85" s="700"/>
      <c r="AD85" s="700"/>
      <c r="AE85" s="700"/>
      <c r="AF85" s="700"/>
      <c r="AG85" s="700"/>
      <c r="AH85" s="700"/>
      <c r="AI85" s="700"/>
      <c r="AK85" s="1658" t="s">
        <v>11796</v>
      </c>
      <c r="AL85" s="1505"/>
      <c r="AM85" s="1512"/>
      <c r="AN85" s="1513" t="e">
        <f>#REF!+AN92</f>
        <v>#REF!</v>
      </c>
      <c r="AO85" s="1513" t="e">
        <f>#REF!+AO92</f>
        <v>#REF!</v>
      </c>
      <c r="AP85" s="1513" t="e">
        <f>#REF!+AP92</f>
        <v>#REF!</v>
      </c>
      <c r="AQ85" s="1513" t="e">
        <f>#REF!+AQ92</f>
        <v>#REF!</v>
      </c>
      <c r="AR85" s="1513" t="e">
        <f>#REF!+AR92</f>
        <v>#REF!</v>
      </c>
      <c r="AS85" s="1513" t="e">
        <f>#REF!+AS92</f>
        <v>#REF!</v>
      </c>
      <c r="AT85" s="1513" t="e">
        <f>#REF!+AT92</f>
        <v>#REF!</v>
      </c>
      <c r="AU85" s="1513" t="e">
        <f>#REF!+AU92</f>
        <v>#REF!</v>
      </c>
      <c r="AV85" s="1514" t="e">
        <f>#REF!+AV92</f>
        <v>#REF!</v>
      </c>
      <c r="AW85" s="1514" t="e">
        <f>#REF!+AW92</f>
        <v>#REF!</v>
      </c>
      <c r="AX85" s="1514" t="e">
        <f>#REF!+AX92</f>
        <v>#REF!</v>
      </c>
      <c r="AY85" s="1514" t="e">
        <f>#REF!+AY92</f>
        <v>#REF!</v>
      </c>
      <c r="AZ85" s="1514" t="e">
        <f>#REF!+AZ92</f>
        <v>#REF!</v>
      </c>
      <c r="BA85" s="1515" t="e">
        <f>#REF!+BA92</f>
        <v>#REF!</v>
      </c>
      <c r="BP85" s="1330"/>
      <c r="CP85" s="1455">
        <v>44882</v>
      </c>
      <c r="CQ85" s="1467">
        <v>1000012552</v>
      </c>
      <c r="CR85" s="1498" t="s">
        <v>11832</v>
      </c>
      <c r="CS85" s="700"/>
      <c r="CT85" s="700"/>
      <c r="CU85" s="700"/>
      <c r="CV85" s="700"/>
      <c r="CW85" s="700"/>
      <c r="CX85" s="1464">
        <v>5500</v>
      </c>
      <c r="CY85" s="718"/>
      <c r="CZ85" s="700"/>
      <c r="DA85" s="700"/>
      <c r="DB85" s="700"/>
      <c r="DC85" s="700"/>
      <c r="DD85" s="1440"/>
      <c r="DE85" s="1458"/>
      <c r="DG85" s="1455">
        <v>45356</v>
      </c>
      <c r="DH85" s="700">
        <v>1000018761</v>
      </c>
      <c r="DI85" s="697" t="s">
        <v>11685</v>
      </c>
      <c r="DJ85" s="700"/>
      <c r="DK85" s="700"/>
      <c r="DL85" s="700"/>
      <c r="DM85" s="700">
        <v>7000</v>
      </c>
      <c r="DN85" s="700"/>
      <c r="DO85" s="700"/>
      <c r="DP85" s="1466"/>
      <c r="DQ85" s="1466"/>
      <c r="DR85" s="1466"/>
      <c r="DS85" s="700"/>
      <c r="DT85" s="700"/>
      <c r="DU85" s="700"/>
      <c r="DV85" s="700"/>
      <c r="DW85" s="700"/>
      <c r="DX85" s="700"/>
      <c r="DY85" s="700"/>
      <c r="DZ85" s="700"/>
      <c r="EA85" s="700"/>
      <c r="EB85" s="700"/>
      <c r="EC85" s="1448"/>
      <c r="ED85" s="1448"/>
      <c r="EE85" s="1485"/>
      <c r="EF85" s="1461"/>
      <c r="EG85" s="1461"/>
      <c r="EH85" s="1461"/>
      <c r="EI85" s="1455">
        <v>45577</v>
      </c>
      <c r="EJ85" s="1467">
        <v>1000023584</v>
      </c>
      <c r="EK85" s="700"/>
      <c r="EL85" s="700"/>
      <c r="EM85" s="700">
        <v>100000</v>
      </c>
      <c r="EN85" s="700"/>
      <c r="EO85" s="700"/>
      <c r="EP85" s="700"/>
      <c r="EQ85" s="700"/>
      <c r="ER85" s="700"/>
      <c r="ES85" s="700"/>
      <c r="ET85" s="700"/>
      <c r="EU85" s="700"/>
      <c r="EV85" s="700"/>
      <c r="EW85" s="700"/>
      <c r="EX85" s="700"/>
      <c r="EY85" s="700"/>
      <c r="EZ85" s="700"/>
      <c r="FA85" s="700"/>
      <c r="FB85" s="700"/>
      <c r="FC85" s="1454"/>
      <c r="FD85" s="1462"/>
      <c r="FH85" s="1659">
        <v>45747</v>
      </c>
      <c r="FI85" s="1660">
        <v>1000026755</v>
      </c>
      <c r="FJ85" s="1660"/>
      <c r="FK85" s="1660"/>
      <c r="FL85" s="1660"/>
      <c r="FM85" s="1660"/>
      <c r="FN85" s="1660"/>
      <c r="FO85" s="1660"/>
      <c r="FP85" s="1660"/>
      <c r="FQ85" s="1660"/>
      <c r="FR85" s="1660"/>
      <c r="FS85" s="1660">
        <v>500</v>
      </c>
      <c r="FT85" s="1660"/>
      <c r="FU85" s="1660"/>
      <c r="FV85" s="1660"/>
      <c r="FW85" s="1660"/>
      <c r="FX85" s="1661"/>
      <c r="FY85" s="1474" t="s">
        <v>12042</v>
      </c>
    </row>
    <row r="86" s="1329" customFormat="1" ht="24" customHeight="1" spans="2:193">
      <c r="C86" s="1647"/>
      <c r="S86" s="1586">
        <v>44210</v>
      </c>
      <c r="T86" s="700" t="s">
        <v>12043</v>
      </c>
      <c r="U86" s="700" t="s">
        <v>11679</v>
      </c>
      <c r="V86" s="700"/>
      <c r="W86" s="700"/>
      <c r="X86" s="700"/>
      <c r="Y86" s="700"/>
      <c r="Z86" s="700"/>
      <c r="AA86" s="700">
        <v>9159</v>
      </c>
      <c r="AB86" s="700"/>
      <c r="AC86" s="700"/>
      <c r="AD86" s="700"/>
      <c r="AE86" s="700"/>
      <c r="AF86" s="700"/>
      <c r="AG86" s="700"/>
      <c r="AH86" s="700"/>
      <c r="AI86" s="700"/>
      <c r="AK86" s="1511" t="s">
        <v>11804</v>
      </c>
      <c r="AL86" s="1505"/>
      <c r="AM86" s="1512"/>
      <c r="AN86" s="1513"/>
      <c r="AO86" s="1513"/>
      <c r="AP86" s="1513"/>
      <c r="AQ86" s="1513"/>
      <c r="AR86" s="1513"/>
      <c r="AS86" s="1513"/>
      <c r="AT86" s="1513"/>
      <c r="AU86" s="1514"/>
      <c r="AV86" s="1514"/>
      <c r="AW86" s="1514"/>
      <c r="AX86" s="1514"/>
      <c r="AY86" s="1514"/>
      <c r="AZ86" s="1514"/>
      <c r="BA86" s="1515"/>
      <c r="BP86" s="1330"/>
      <c r="CP86" s="1455">
        <v>44886</v>
      </c>
      <c r="CQ86" s="1467">
        <v>1000012578</v>
      </c>
      <c r="CR86" s="700" t="s">
        <v>12044</v>
      </c>
      <c r="CS86" s="700"/>
      <c r="CT86" s="700"/>
      <c r="CU86" s="700"/>
      <c r="CV86" s="700"/>
      <c r="CW86" s="700"/>
      <c r="CX86" s="700"/>
      <c r="CY86" s="718"/>
      <c r="CZ86" s="700"/>
      <c r="DA86" s="700"/>
      <c r="DB86" s="700"/>
      <c r="DC86" s="700">
        <v>30000</v>
      </c>
      <c r="DD86" s="1448"/>
      <c r="DE86" s="1458">
        <v>4500090544</v>
      </c>
      <c r="DG86" s="1455">
        <v>45390</v>
      </c>
      <c r="DH86" s="700">
        <v>1000019391</v>
      </c>
      <c r="DI86" s="697" t="s">
        <v>11685</v>
      </c>
      <c r="DJ86" s="700"/>
      <c r="DK86" s="700">
        <v>80000</v>
      </c>
      <c r="DL86" s="700"/>
      <c r="DM86" s="700"/>
      <c r="DN86" s="700"/>
      <c r="DO86" s="700"/>
      <c r="DP86" s="1466"/>
      <c r="DQ86" s="1466"/>
      <c r="DR86" s="1466"/>
      <c r="DS86" s="700"/>
      <c r="DT86" s="700"/>
      <c r="DU86" s="700"/>
      <c r="DV86" s="700"/>
      <c r="DW86" s="700"/>
      <c r="DX86" s="700"/>
      <c r="DY86" s="700"/>
      <c r="DZ86" s="700"/>
      <c r="EA86" s="700"/>
      <c r="EB86" s="700"/>
      <c r="EC86" s="1448"/>
      <c r="ED86" s="1448"/>
      <c r="EE86" s="1469"/>
      <c r="EF86" s="1461"/>
      <c r="EG86" s="1461"/>
      <c r="EH86" s="1461"/>
      <c r="EI86" s="1455">
        <v>45577</v>
      </c>
      <c r="EJ86" s="1467">
        <v>1000023577</v>
      </c>
      <c r="EK86" s="700"/>
      <c r="EL86" s="700"/>
      <c r="EM86" s="700"/>
      <c r="EN86" s="700"/>
      <c r="EO86" s="700"/>
      <c r="EP86" s="700"/>
      <c r="EQ86" s="700"/>
      <c r="ER86" s="700">
        <v>200000</v>
      </c>
      <c r="ES86" s="700"/>
      <c r="ET86" s="700"/>
      <c r="EU86" s="700"/>
      <c r="EV86" s="700"/>
      <c r="EW86" s="700"/>
      <c r="EX86" s="700"/>
      <c r="EY86" s="700"/>
      <c r="EZ86" s="700"/>
      <c r="FA86" s="700"/>
      <c r="FB86" s="700"/>
      <c r="FC86" s="1454"/>
      <c r="FD86" s="1462"/>
      <c r="FH86" s="1472"/>
      <c r="FI86" s="721"/>
      <c r="FJ86" s="721"/>
      <c r="FK86" s="721"/>
      <c r="FL86" s="721"/>
      <c r="FM86" s="721"/>
      <c r="FN86" s="721"/>
      <c r="FO86" s="721"/>
      <c r="FP86" s="721"/>
      <c r="FQ86" s="721"/>
      <c r="FR86" s="721"/>
      <c r="FS86" s="721"/>
      <c r="FT86" s="721">
        <v>1128</v>
      </c>
      <c r="FU86" s="721"/>
      <c r="FV86" s="721"/>
      <c r="FW86" s="721"/>
      <c r="FX86" s="1473"/>
      <c r="FY86" s="1474">
        <v>4500160901</v>
      </c>
      <c r="GC86" s="1330"/>
      <c r="GD86" s="1330"/>
      <c r="GE86" s="1330"/>
      <c r="GF86" s="1330"/>
      <c r="GG86" s="1330"/>
      <c r="GH86" s="1330"/>
      <c r="GI86" s="1330"/>
      <c r="GJ86" s="1330"/>
      <c r="GK86" s="1330"/>
    </row>
    <row r="87" s="1329" customFormat="1" ht="24" customHeight="1" spans="2:193">
      <c r="C87" s="1647"/>
      <c r="S87" s="1586">
        <v>44210</v>
      </c>
      <c r="T87" s="700" t="s">
        <v>12045</v>
      </c>
      <c r="U87" s="700" t="s">
        <v>11679</v>
      </c>
      <c r="V87" s="700"/>
      <c r="W87" s="700"/>
      <c r="X87" s="700"/>
      <c r="Y87" s="700"/>
      <c r="Z87" s="700"/>
      <c r="AA87" s="700"/>
      <c r="AB87" s="700">
        <v>30000</v>
      </c>
      <c r="AC87" s="700"/>
      <c r="AD87" s="700"/>
      <c r="AE87" s="700"/>
      <c r="AF87" s="700"/>
      <c r="AG87" s="700"/>
      <c r="AH87" s="700"/>
      <c r="AI87" s="700"/>
      <c r="AK87" s="1511" t="s">
        <v>12046</v>
      </c>
      <c r="AL87" s="1505"/>
      <c r="AM87" s="1512"/>
      <c r="AN87" s="1513">
        <v>0</v>
      </c>
      <c r="AO87" s="1513" t="e">
        <f>AO84-AO85-AO86</f>
        <v>#REF!</v>
      </c>
      <c r="AP87" s="1513">
        <v>0</v>
      </c>
      <c r="AQ87" s="1513" t="e">
        <f>AQ84-AQ85-AQ86</f>
        <v>#REF!</v>
      </c>
      <c r="AR87" s="1513">
        <v>0</v>
      </c>
      <c r="AS87" s="1513" t="e">
        <f>AS84-AS85-AS86</f>
        <v>#REF!</v>
      </c>
      <c r="AT87" s="1513">
        <v>0</v>
      </c>
      <c r="AU87" s="1514" t="e">
        <f>AU84-AU85-AU86</f>
        <v>#REF!</v>
      </c>
      <c r="AV87" s="1514" t="e">
        <f t="shared" ref="AT87:BA87" si="11">AV84-AV85-AV86</f>
        <v>#REF!</v>
      </c>
      <c r="AW87" s="1514" t="e">
        <f t="shared" si="11"/>
        <v>#REF!</v>
      </c>
      <c r="AX87" s="1514" t="e">
        <f t="shared" si="11"/>
        <v>#REF!</v>
      </c>
      <c r="AY87" s="1514" t="e">
        <f t="shared" si="11"/>
        <v>#REF!</v>
      </c>
      <c r="AZ87" s="1514" t="e">
        <f t="shared" si="11"/>
        <v>#REF!</v>
      </c>
      <c r="BA87" s="1515" t="e">
        <f t="shared" si="11"/>
        <v>#REF!</v>
      </c>
      <c r="BP87" s="1330"/>
      <c r="CP87" s="1455">
        <v>44894</v>
      </c>
      <c r="CQ87" s="1467" t="s">
        <v>12047</v>
      </c>
      <c r="CR87" s="700" t="s">
        <v>11935</v>
      </c>
      <c r="CS87" s="700"/>
      <c r="CT87" s="700"/>
      <c r="CU87" s="700"/>
      <c r="CV87" s="700"/>
      <c r="CW87" s="700"/>
      <c r="CX87" s="700"/>
      <c r="CY87" s="718"/>
      <c r="CZ87" s="700"/>
      <c r="DA87" s="700"/>
      <c r="DB87" s="700">
        <v>4583</v>
      </c>
      <c r="DC87" s="700"/>
      <c r="DD87" s="1448"/>
      <c r="DE87" s="5466" t="s">
        <v>12048</v>
      </c>
      <c r="DG87" s="1455">
        <v>45390</v>
      </c>
      <c r="DH87" s="700">
        <v>1000019392</v>
      </c>
      <c r="DI87" s="697" t="s">
        <v>11685</v>
      </c>
      <c r="DJ87" s="700"/>
      <c r="DK87" s="700"/>
      <c r="DL87" s="700"/>
      <c r="DM87" s="700"/>
      <c r="DN87" s="700"/>
      <c r="DO87" s="700">
        <v>60000</v>
      </c>
      <c r="DP87" s="1466"/>
      <c r="DQ87" s="1466"/>
      <c r="DR87" s="1466"/>
      <c r="DS87" s="700"/>
      <c r="DT87" s="700"/>
      <c r="DU87" s="700"/>
      <c r="DV87" s="700"/>
      <c r="DW87" s="700"/>
      <c r="DX87" s="700"/>
      <c r="DY87" s="700"/>
      <c r="DZ87" s="700"/>
      <c r="EA87" s="700"/>
      <c r="EB87" s="700"/>
      <c r="EC87" s="1448"/>
      <c r="ED87" s="1448"/>
      <c r="EE87" s="1469"/>
      <c r="EF87" s="1461"/>
      <c r="EG87" s="1461"/>
      <c r="EH87" s="1461"/>
      <c r="EI87" s="1455">
        <v>45577</v>
      </c>
      <c r="EJ87" s="1467">
        <v>1000023578</v>
      </c>
      <c r="EK87" s="700"/>
      <c r="EL87" s="700"/>
      <c r="EM87" s="700"/>
      <c r="EN87" s="700"/>
      <c r="EO87" s="700"/>
      <c r="EP87" s="700"/>
      <c r="EQ87" s="700"/>
      <c r="ER87" s="700"/>
      <c r="ES87" s="700"/>
      <c r="ET87" s="700">
        <v>8500</v>
      </c>
      <c r="EU87" s="700"/>
      <c r="EV87" s="700"/>
      <c r="EW87" s="700"/>
      <c r="EX87" s="700"/>
      <c r="EY87" s="700"/>
      <c r="EZ87" s="700"/>
      <c r="FA87" s="700"/>
      <c r="FB87" s="700"/>
      <c r="FC87" s="1454"/>
      <c r="FD87" s="1462"/>
      <c r="FH87" s="1472"/>
      <c r="FI87" s="721"/>
      <c r="FJ87" s="721"/>
      <c r="FK87" s="721"/>
      <c r="FL87" s="721"/>
      <c r="FM87" s="721"/>
      <c r="FN87" s="721"/>
      <c r="FO87" s="721"/>
      <c r="FP87" s="721"/>
      <c r="FQ87" s="721"/>
      <c r="FR87" s="721"/>
      <c r="FS87" s="721"/>
      <c r="FT87" s="721">
        <v>1975</v>
      </c>
      <c r="FU87" s="721"/>
      <c r="FV87" s="721"/>
      <c r="FW87" s="721"/>
      <c r="FX87" s="1473"/>
      <c r="FY87" s="1474" t="s">
        <v>12049</v>
      </c>
      <c r="GC87" s="1330"/>
      <c r="GD87" s="1330"/>
      <c r="GE87" s="1330"/>
      <c r="GF87" s="1330"/>
      <c r="GG87" s="1330"/>
      <c r="GH87" s="1330"/>
      <c r="GI87" s="1330"/>
      <c r="GJ87" s="1330"/>
      <c r="GK87" s="1330"/>
    </row>
    <row r="88" s="1329" customFormat="1" ht="24" customHeight="1" spans="2:193">
      <c r="C88" s="1647"/>
      <c r="S88" s="1586">
        <v>44210</v>
      </c>
      <c r="T88" s="700" t="s">
        <v>12050</v>
      </c>
      <c r="U88" s="700" t="s">
        <v>11679</v>
      </c>
      <c r="V88" s="700"/>
      <c r="W88" s="700"/>
      <c r="X88" s="700"/>
      <c r="Y88" s="700"/>
      <c r="Z88" s="700"/>
      <c r="AA88" s="700"/>
      <c r="AB88" s="700"/>
      <c r="AC88" s="700">
        <v>13944</v>
      </c>
      <c r="AD88" s="700"/>
      <c r="AE88" s="700"/>
      <c r="AF88" s="700"/>
      <c r="AG88" s="700"/>
      <c r="AH88" s="700"/>
      <c r="AI88" s="700"/>
      <c r="AO88" s="1330"/>
      <c r="BP88" s="1330"/>
      <c r="CP88" s="1455">
        <v>44903</v>
      </c>
      <c r="CQ88" s="1622">
        <v>1000012824</v>
      </c>
      <c r="CR88" s="1662" t="s">
        <v>12051</v>
      </c>
      <c r="CS88" s="700"/>
      <c r="CT88" s="700"/>
      <c r="CU88" s="700"/>
      <c r="CV88" s="700"/>
      <c r="CW88" s="700"/>
      <c r="CX88" s="700"/>
      <c r="CY88" s="718"/>
      <c r="CZ88" s="700"/>
      <c r="DA88" s="700">
        <v>1312</v>
      </c>
      <c r="DB88" s="700"/>
      <c r="DC88" s="700"/>
      <c r="DD88" s="1448"/>
      <c r="DE88" s="1583" t="s">
        <v>12052</v>
      </c>
      <c r="DG88" s="1455">
        <v>45390</v>
      </c>
      <c r="DH88" s="700">
        <v>1000019393</v>
      </c>
      <c r="DI88" s="697" t="s">
        <v>11685</v>
      </c>
      <c r="DJ88" s="700"/>
      <c r="DK88" s="700"/>
      <c r="DL88" s="700"/>
      <c r="DM88" s="700">
        <v>2000</v>
      </c>
      <c r="DN88" s="700"/>
      <c r="DO88" s="700"/>
      <c r="DP88" s="1466"/>
      <c r="DQ88" s="1466"/>
      <c r="DR88" s="1466"/>
      <c r="DS88" s="700"/>
      <c r="DT88" s="700"/>
      <c r="DU88" s="700"/>
      <c r="DV88" s="700"/>
      <c r="DW88" s="700"/>
      <c r="DX88" s="700"/>
      <c r="DY88" s="700"/>
      <c r="DZ88" s="700"/>
      <c r="EA88" s="700"/>
      <c r="EB88" s="700"/>
      <c r="EC88" s="1448"/>
      <c r="ED88" s="1448"/>
      <c r="EE88" s="1469"/>
      <c r="EF88" s="1461"/>
      <c r="EG88" s="1461"/>
      <c r="EH88" s="1461"/>
      <c r="EI88" s="1455">
        <v>45590</v>
      </c>
      <c r="EJ88" s="1467">
        <v>1000023951</v>
      </c>
      <c r="EK88" s="700"/>
      <c r="EL88" s="700"/>
      <c r="EM88" s="700"/>
      <c r="EN88" s="700"/>
      <c r="EO88" s="700"/>
      <c r="EP88" s="700">
        <v>50000</v>
      </c>
      <c r="EQ88" s="700"/>
      <c r="ER88" s="700"/>
      <c r="ES88" s="700"/>
      <c r="ET88" s="700"/>
      <c r="EU88" s="700"/>
      <c r="EV88" s="700"/>
      <c r="EW88" s="700"/>
      <c r="EX88" s="700"/>
      <c r="EY88" s="700"/>
      <c r="EZ88" s="700"/>
      <c r="FA88" s="700"/>
      <c r="FB88" s="700"/>
      <c r="FC88" s="1454"/>
      <c r="FD88" s="1462"/>
      <c r="FH88" s="1472"/>
      <c r="FI88" s="721"/>
      <c r="FJ88" s="721"/>
      <c r="FK88" s="721"/>
      <c r="FL88" s="721"/>
      <c r="FM88" s="721"/>
      <c r="FN88" s="721"/>
      <c r="FO88" s="721"/>
      <c r="FP88" s="721"/>
      <c r="FQ88" s="721"/>
      <c r="FR88" s="721"/>
      <c r="FS88" s="721"/>
      <c r="FT88" s="721"/>
      <c r="FU88" s="721">
        <v>1000</v>
      </c>
      <c r="FV88" s="721"/>
      <c r="FW88" s="721"/>
      <c r="FX88" s="1473"/>
      <c r="FY88" s="1474">
        <v>4500160279</v>
      </c>
      <c r="GC88" s="1330"/>
      <c r="GD88" s="1330"/>
      <c r="GE88" s="1330"/>
      <c r="GF88" s="1330"/>
      <c r="GG88" s="1330"/>
      <c r="GH88" s="1330"/>
      <c r="GI88" s="1330"/>
      <c r="GJ88" s="1330"/>
      <c r="GK88" s="1330"/>
    </row>
    <row r="89" s="1329" customFormat="1" ht="24" customHeight="1" spans="2:193">
      <c r="C89" s="1647"/>
      <c r="S89" s="1586">
        <v>44210</v>
      </c>
      <c r="T89" s="700" t="s">
        <v>12053</v>
      </c>
      <c r="U89" s="700" t="s">
        <v>11679</v>
      </c>
      <c r="V89" s="700"/>
      <c r="W89" s="700"/>
      <c r="X89" s="700"/>
      <c r="Y89" s="700"/>
      <c r="Z89" s="700"/>
      <c r="AA89" s="700"/>
      <c r="AB89" s="700"/>
      <c r="AC89" s="700"/>
      <c r="AD89" s="700">
        <v>13944</v>
      </c>
      <c r="AE89" s="700"/>
      <c r="AF89" s="700"/>
      <c r="AG89" s="700"/>
      <c r="AH89" s="700"/>
      <c r="AI89" s="700"/>
      <c r="AN89" s="1438" t="s">
        <v>11887</v>
      </c>
      <c r="AO89" s="1447" t="s">
        <v>11593</v>
      </c>
      <c r="AP89" s="1438" t="s">
        <v>11865</v>
      </c>
      <c r="AQ89" s="1663" t="s">
        <v>11865</v>
      </c>
      <c r="AR89" s="1438" t="s">
        <v>11866</v>
      </c>
      <c r="AS89" s="1438" t="s">
        <v>11866</v>
      </c>
      <c r="AT89" s="1438" t="s">
        <v>11867</v>
      </c>
      <c r="AU89" s="1663" t="s">
        <v>12054</v>
      </c>
      <c r="AV89" s="1438" t="s">
        <v>12055</v>
      </c>
      <c r="AW89" s="1438" t="s">
        <v>12056</v>
      </c>
      <c r="AX89" s="1584" t="s">
        <v>12057</v>
      </c>
      <c r="AY89" s="1438" t="s">
        <v>12058</v>
      </c>
      <c r="AZ89" s="1438" t="s">
        <v>12058</v>
      </c>
      <c r="BA89" s="135" t="s">
        <v>11601</v>
      </c>
      <c r="BP89" s="1330"/>
      <c r="CP89" s="1455">
        <v>44904</v>
      </c>
      <c r="CQ89" s="1622" t="s">
        <v>12059</v>
      </c>
      <c r="CR89" s="1662" t="s">
        <v>11935</v>
      </c>
      <c r="CS89" s="700"/>
      <c r="CT89" s="700"/>
      <c r="CU89" s="700"/>
      <c r="CV89" s="700"/>
      <c r="CW89" s="700"/>
      <c r="CX89" s="700"/>
      <c r="CY89" s="718"/>
      <c r="CZ89" s="700"/>
      <c r="DA89" s="700"/>
      <c r="DB89" s="700"/>
      <c r="DC89" s="700">
        <v>1000</v>
      </c>
      <c r="DD89" s="1448"/>
      <c r="DE89" s="5466" t="s">
        <v>12060</v>
      </c>
      <c r="DG89" s="1455">
        <v>45390</v>
      </c>
      <c r="DH89" s="700">
        <v>1000019394</v>
      </c>
      <c r="DI89" s="697" t="s">
        <v>11685</v>
      </c>
      <c r="DJ89" s="700"/>
      <c r="DK89" s="700"/>
      <c r="DL89" s="700"/>
      <c r="DM89" s="700"/>
      <c r="DN89" s="700"/>
      <c r="DO89" s="700"/>
      <c r="DP89" s="1466"/>
      <c r="DQ89" s="1466"/>
      <c r="DR89" s="1466"/>
      <c r="DS89" s="700"/>
      <c r="DT89" s="700"/>
      <c r="DU89" s="700"/>
      <c r="DV89" s="700">
        <v>1000</v>
      </c>
      <c r="DW89" s="700"/>
      <c r="DX89" s="700"/>
      <c r="DY89" s="700"/>
      <c r="DZ89" s="700"/>
      <c r="EA89" s="700"/>
      <c r="EB89" s="700"/>
      <c r="EC89" s="1448"/>
      <c r="ED89" s="1448"/>
      <c r="EE89" s="1469"/>
      <c r="EF89" s="1461"/>
      <c r="EG89" s="1461"/>
      <c r="EH89" s="1461"/>
      <c r="EI89" s="1455">
        <v>45590</v>
      </c>
      <c r="EJ89" s="1467"/>
      <c r="EK89" s="700"/>
      <c r="EL89" s="700"/>
      <c r="EM89" s="700"/>
      <c r="EN89" s="700"/>
      <c r="EO89" s="700"/>
      <c r="EP89" s="700"/>
      <c r="EQ89" s="700"/>
      <c r="ER89" s="700"/>
      <c r="ES89" s="700"/>
      <c r="ET89" s="700"/>
      <c r="EU89" s="700"/>
      <c r="EV89" s="700"/>
      <c r="EW89" s="700"/>
      <c r="EX89" s="700"/>
      <c r="EY89" s="700">
        <v>4720</v>
      </c>
      <c r="EZ89" s="700"/>
      <c r="FA89" s="700"/>
      <c r="FB89" s="700"/>
      <c r="FC89" s="1454"/>
      <c r="FD89" s="1462">
        <v>4500148687</v>
      </c>
      <c r="FH89" s="1472"/>
      <c r="FI89" s="721"/>
      <c r="FJ89" s="721"/>
      <c r="FK89" s="721"/>
      <c r="FL89" s="721"/>
      <c r="FM89" s="721"/>
      <c r="FN89" s="721"/>
      <c r="FO89" s="721"/>
      <c r="FP89" s="721"/>
      <c r="FQ89" s="721"/>
      <c r="FR89" s="721"/>
      <c r="FS89" s="721"/>
      <c r="FT89" s="721"/>
      <c r="FU89" s="721">
        <v>1200</v>
      </c>
      <c r="FV89" s="721"/>
      <c r="FW89" s="721"/>
      <c r="FX89" s="1473"/>
      <c r="FY89" s="1474">
        <v>4500162407</v>
      </c>
      <c r="GC89" s="1330"/>
      <c r="GD89" s="1330"/>
      <c r="GE89" s="1330"/>
      <c r="GF89" s="1330"/>
      <c r="GG89" s="1330"/>
      <c r="GH89" s="1330"/>
      <c r="GI89" s="1330"/>
      <c r="GJ89" s="1330"/>
      <c r="GK89" s="1330"/>
    </row>
    <row r="90" s="1329" customFormat="1" ht="24" customHeight="1" spans="2:193">
      <c r="C90" s="1647"/>
      <c r="S90" s="1586">
        <v>44210</v>
      </c>
      <c r="T90" s="700" t="s">
        <v>12061</v>
      </c>
      <c r="U90" s="700" t="s">
        <v>11679</v>
      </c>
      <c r="V90" s="700"/>
      <c r="W90" s="700"/>
      <c r="X90" s="700"/>
      <c r="Y90" s="700"/>
      <c r="Z90" s="700"/>
      <c r="AA90" s="700"/>
      <c r="AB90" s="700"/>
      <c r="AC90" s="700"/>
      <c r="AD90" s="700"/>
      <c r="AE90" s="700">
        <v>1000</v>
      </c>
      <c r="AF90" s="700"/>
      <c r="AG90" s="700"/>
      <c r="AH90" s="700"/>
      <c r="AI90" s="700"/>
      <c r="AN90" s="1581">
        <v>1386077</v>
      </c>
      <c r="AO90" s="1581">
        <v>1310699</v>
      </c>
      <c r="AP90" s="1581">
        <v>742349</v>
      </c>
      <c r="AQ90" s="1581">
        <v>1708131</v>
      </c>
      <c r="AR90" s="1581">
        <v>115082</v>
      </c>
      <c r="AS90" s="1581">
        <v>121028</v>
      </c>
      <c r="AT90" s="1581">
        <v>70922</v>
      </c>
      <c r="AU90" s="1581">
        <v>292606</v>
      </c>
      <c r="AV90" s="1581">
        <v>146827</v>
      </c>
      <c r="AW90" s="1581">
        <v>48667</v>
      </c>
      <c r="AX90" s="1581">
        <v>57845</v>
      </c>
      <c r="AY90" s="1581">
        <v>174</v>
      </c>
      <c r="AZ90" s="1581">
        <v>244</v>
      </c>
      <c r="BA90" s="1581">
        <v>25</v>
      </c>
      <c r="BP90" s="1330"/>
      <c r="CP90" s="1455">
        <v>44904</v>
      </c>
      <c r="CQ90" s="1453">
        <v>1000012810</v>
      </c>
      <c r="CR90" s="1498" t="s">
        <v>11832</v>
      </c>
      <c r="CS90" s="1464">
        <v>150000</v>
      </c>
      <c r="CT90" s="700"/>
      <c r="CU90" s="700"/>
      <c r="CV90" s="700"/>
      <c r="CW90" s="700"/>
      <c r="CX90" s="700"/>
      <c r="CY90" s="718"/>
      <c r="CZ90" s="700"/>
      <c r="DA90" s="700"/>
      <c r="DB90" s="700"/>
      <c r="DC90" s="700"/>
      <c r="DD90" s="1448"/>
      <c r="DE90" s="1463"/>
      <c r="DG90" s="1455">
        <v>45390</v>
      </c>
      <c r="DH90" s="700">
        <v>1000019395</v>
      </c>
      <c r="DI90" s="697" t="s">
        <v>11685</v>
      </c>
      <c r="DJ90" s="700"/>
      <c r="DK90" s="700"/>
      <c r="DL90" s="700"/>
      <c r="DM90" s="700"/>
      <c r="DN90" s="700"/>
      <c r="DO90" s="700"/>
      <c r="DP90" s="1466"/>
      <c r="DQ90" s="1466"/>
      <c r="DR90" s="1466"/>
      <c r="DS90" s="700"/>
      <c r="DT90" s="700"/>
      <c r="DU90" s="700"/>
      <c r="DV90" s="700"/>
      <c r="DW90" s="700"/>
      <c r="DX90" s="700"/>
      <c r="DY90" s="700"/>
      <c r="DZ90" s="700"/>
      <c r="EA90" s="700"/>
      <c r="EB90" s="700"/>
      <c r="EC90" s="1448"/>
      <c r="ED90" s="1448">
        <v>200</v>
      </c>
      <c r="EE90" s="1469"/>
      <c r="EF90" s="1461"/>
      <c r="EG90" s="1461"/>
      <c r="EH90" s="1461"/>
      <c r="EI90" s="1455"/>
      <c r="EJ90" s="1467"/>
      <c r="EK90" s="700"/>
      <c r="EL90" s="700"/>
      <c r="EM90" s="700"/>
      <c r="EN90" s="700"/>
      <c r="EO90" s="718"/>
      <c r="EP90" s="700"/>
      <c r="EQ90" s="700"/>
      <c r="ER90" s="700"/>
      <c r="ES90" s="700"/>
      <c r="ET90" s="700"/>
      <c r="EU90" s="700"/>
      <c r="EV90" s="700"/>
      <c r="EW90" s="700"/>
      <c r="EX90" s="700"/>
      <c r="EY90" s="700"/>
      <c r="EZ90" s="700"/>
      <c r="FA90" s="700"/>
      <c r="FB90" s="700"/>
      <c r="FC90" s="1454"/>
      <c r="FD90" s="1462"/>
      <c r="FE90" s="1331"/>
      <c r="FH90" s="1472">
        <v>45768</v>
      </c>
      <c r="FI90" s="721">
        <v>1000027220</v>
      </c>
      <c r="FJ90" s="1664"/>
      <c r="FK90" s="1664"/>
      <c r="FL90" s="1664"/>
      <c r="FM90" s="1664"/>
      <c r="FN90" s="1664"/>
      <c r="FO90" s="1664"/>
      <c r="FP90" s="1664"/>
      <c r="FQ90" s="1664"/>
      <c r="FR90" s="1664"/>
      <c r="FS90" s="1664">
        <v>1000</v>
      </c>
      <c r="FT90" s="1664"/>
      <c r="FU90" s="1664"/>
      <c r="FV90" s="1664"/>
      <c r="FW90" s="1664"/>
      <c r="FX90" s="1665"/>
      <c r="FY90" s="1666" t="s">
        <v>12062</v>
      </c>
    </row>
    <row r="91" s="1329" customFormat="1" ht="24" customHeight="1" spans="2:193">
      <c r="C91" s="1647"/>
      <c r="S91" s="1586">
        <v>44253</v>
      </c>
      <c r="T91" s="700" t="s">
        <v>12063</v>
      </c>
      <c r="U91" s="700" t="s">
        <v>11679</v>
      </c>
      <c r="V91" s="700"/>
      <c r="W91" s="700">
        <v>60000</v>
      </c>
      <c r="X91" s="700"/>
      <c r="Y91" s="700"/>
      <c r="Z91" s="700"/>
      <c r="AA91" s="700"/>
      <c r="AB91" s="700"/>
      <c r="AC91" s="700"/>
      <c r="AD91" s="700"/>
      <c r="AE91" s="700"/>
      <c r="AF91" s="700"/>
      <c r="AG91" s="700"/>
      <c r="AH91" s="700"/>
      <c r="AI91" s="700"/>
      <c r="AN91" s="1588">
        <v>600</v>
      </c>
      <c r="AO91" s="1588">
        <v>39289</v>
      </c>
      <c r="AP91" s="1588">
        <v>0</v>
      </c>
      <c r="AQ91" s="1588">
        <v>8655</v>
      </c>
      <c r="AR91" s="1588">
        <v>0</v>
      </c>
      <c r="AS91" s="1588">
        <v>7440</v>
      </c>
      <c r="AT91" s="1588">
        <v>0</v>
      </c>
      <c r="AU91" s="1588">
        <v>101122</v>
      </c>
      <c r="AV91" s="1588">
        <v>2613</v>
      </c>
      <c r="AW91" s="1588">
        <v>650</v>
      </c>
      <c r="AX91" s="1588">
        <v>0</v>
      </c>
      <c r="AY91" s="1588">
        <v>0</v>
      </c>
      <c r="AZ91" s="1588">
        <v>0</v>
      </c>
      <c r="BA91" s="1588">
        <v>0</v>
      </c>
      <c r="BP91" s="1330"/>
      <c r="CP91" s="1455">
        <v>44904</v>
      </c>
      <c r="CQ91" s="1453">
        <v>1000012811</v>
      </c>
      <c r="CR91" s="1498" t="s">
        <v>11832</v>
      </c>
      <c r="CS91" s="700"/>
      <c r="CT91" s="700"/>
      <c r="CU91" s="700"/>
      <c r="CV91" s="1464">
        <v>50000</v>
      </c>
      <c r="CW91" s="700"/>
      <c r="CX91" s="700"/>
      <c r="CY91" s="718"/>
      <c r="CZ91" s="700"/>
      <c r="DA91" s="700"/>
      <c r="DB91" s="700"/>
      <c r="DC91" s="700"/>
      <c r="DD91" s="1448"/>
      <c r="DE91" s="1463"/>
      <c r="DG91" s="1455">
        <v>45420</v>
      </c>
      <c r="DH91" s="1467">
        <v>1000020114</v>
      </c>
      <c r="DI91" s="697" t="s">
        <v>11685</v>
      </c>
      <c r="DJ91" s="700"/>
      <c r="DK91" s="700">
        <v>120000</v>
      </c>
      <c r="DL91" s="700"/>
      <c r="DM91" s="700"/>
      <c r="DN91" s="700"/>
      <c r="DO91" s="700"/>
      <c r="DP91" s="1466"/>
      <c r="DQ91" s="1466"/>
      <c r="DR91" s="1466"/>
      <c r="DS91" s="700"/>
      <c r="DT91" s="700"/>
      <c r="DU91" s="700"/>
      <c r="DV91" s="700"/>
      <c r="DW91" s="700"/>
      <c r="DX91" s="700"/>
      <c r="DY91" s="700"/>
      <c r="DZ91" s="700"/>
      <c r="EA91" s="700"/>
      <c r="EB91" s="700"/>
      <c r="EC91" s="1448"/>
      <c r="ED91" s="1448"/>
      <c r="EE91" s="1469"/>
      <c r="EF91" s="1461"/>
      <c r="EG91" s="1461"/>
      <c r="EH91" s="1461"/>
      <c r="EI91" s="1455">
        <v>45609</v>
      </c>
      <c r="EJ91" s="1467">
        <v>1000024422</v>
      </c>
      <c r="EK91" s="700" t="s">
        <v>11686</v>
      </c>
      <c r="EL91" s="700"/>
      <c r="EM91" s="700"/>
      <c r="EN91" s="700"/>
      <c r="EO91" s="718"/>
      <c r="EP91" s="700">
        <v>50000</v>
      </c>
      <c r="EQ91" s="700"/>
      <c r="ER91" s="700"/>
      <c r="ES91" s="700"/>
      <c r="ET91" s="700"/>
      <c r="EU91" s="700"/>
      <c r="EV91" s="700"/>
      <c r="EW91" s="700"/>
      <c r="EX91" s="700"/>
      <c r="EY91" s="700"/>
      <c r="EZ91" s="700"/>
      <c r="FA91" s="700"/>
      <c r="FB91" s="700"/>
      <c r="FC91" s="1454"/>
      <c r="FD91" s="1462"/>
      <c r="FH91" s="1667"/>
      <c r="FI91" s="1664"/>
      <c r="FJ91" s="1664"/>
      <c r="FK91" s="1664"/>
      <c r="FL91" s="1664"/>
      <c r="FM91" s="1664"/>
      <c r="FN91" s="1664"/>
      <c r="FO91" s="1664"/>
      <c r="FP91" s="1664"/>
      <c r="FQ91" s="1664"/>
      <c r="FR91" s="1664"/>
      <c r="FS91" s="1664"/>
      <c r="FT91" s="1664">
        <v>4000</v>
      </c>
      <c r="FU91" s="1664"/>
      <c r="FV91" s="1664"/>
      <c r="FW91" s="1664"/>
      <c r="FX91" s="1665"/>
      <c r="FY91" s="1666">
        <v>4500164228</v>
      </c>
      <c r="GA91" s="1330"/>
    </row>
    <row r="92" s="1329" customFormat="1" ht="24" customHeight="1" spans="2:193">
      <c r="C92" s="1647"/>
      <c r="Q92" s="1329">
        <f>16025-3514</f>
        <v>12511</v>
      </c>
      <c r="R92" s="1329">
        <f>29748-3514</f>
        <v>26234</v>
      </c>
      <c r="S92" s="1586">
        <f>23242-3514</f>
        <v>19728</v>
      </c>
      <c r="T92" s="700">
        <f>24812-3514</f>
        <v>21298</v>
      </c>
      <c r="U92" s="700">
        <f>21535-2811</f>
        <v>18724</v>
      </c>
      <c r="V92" s="700">
        <f>21217-702</f>
        <v>20515</v>
      </c>
      <c r="W92" s="700"/>
      <c r="X92" s="700">
        <v>30000</v>
      </c>
      <c r="Y92" s="700"/>
      <c r="Z92" s="700"/>
      <c r="AA92" s="700"/>
      <c r="AB92" s="700"/>
      <c r="AC92" s="700"/>
      <c r="AD92" s="700"/>
      <c r="AE92" s="700"/>
      <c r="AF92" s="700"/>
      <c r="AG92" s="700"/>
      <c r="AH92" s="700"/>
      <c r="AI92" s="700"/>
      <c r="AN92" s="1581">
        <v>1385477</v>
      </c>
      <c r="AO92" s="1581">
        <v>1271410</v>
      </c>
      <c r="AP92" s="1581">
        <v>742349</v>
      </c>
      <c r="AQ92" s="1581">
        <v>1699476</v>
      </c>
      <c r="AR92" s="1581">
        <v>115082</v>
      </c>
      <c r="AS92" s="1581">
        <v>113588</v>
      </c>
      <c r="AT92" s="1581">
        <v>70922</v>
      </c>
      <c r="AU92" s="1581">
        <v>191484</v>
      </c>
      <c r="AV92" s="1581">
        <v>144214</v>
      </c>
      <c r="AW92" s="1581">
        <v>48017</v>
      </c>
      <c r="AX92" s="1581">
        <v>57845</v>
      </c>
      <c r="AY92" s="1581">
        <v>174</v>
      </c>
      <c r="AZ92" s="1581">
        <v>244</v>
      </c>
      <c r="BA92" s="1581">
        <v>25</v>
      </c>
      <c r="BP92" s="1330"/>
      <c r="CP92" s="1455">
        <v>44904</v>
      </c>
      <c r="CQ92" s="1453">
        <v>1000012812</v>
      </c>
      <c r="CR92" s="1498" t="s">
        <v>11832</v>
      </c>
      <c r="CS92" s="700"/>
      <c r="CT92" s="700"/>
      <c r="CU92" s="700"/>
      <c r="CV92" s="700"/>
      <c r="CW92" s="1464">
        <v>180000</v>
      </c>
      <c r="CX92" s="700"/>
      <c r="CY92" s="718"/>
      <c r="CZ92" s="700"/>
      <c r="DA92" s="700"/>
      <c r="DB92" s="700"/>
      <c r="DC92" s="700"/>
      <c r="DD92" s="1448"/>
      <c r="DE92" s="1463"/>
      <c r="DG92" s="1455">
        <v>45420</v>
      </c>
      <c r="DH92" s="1467">
        <v>1000020115</v>
      </c>
      <c r="DI92" s="697" t="s">
        <v>11685</v>
      </c>
      <c r="DJ92" s="700"/>
      <c r="DK92" s="700"/>
      <c r="DL92" s="700"/>
      <c r="DM92" s="700"/>
      <c r="DN92" s="700"/>
      <c r="DO92" s="700"/>
      <c r="DP92" s="1466"/>
      <c r="DQ92" s="1466"/>
      <c r="DR92" s="1466">
        <v>270000</v>
      </c>
      <c r="DS92" s="700"/>
      <c r="DT92" s="700"/>
      <c r="DU92" s="700"/>
      <c r="DV92" s="700"/>
      <c r="DW92" s="700"/>
      <c r="DX92" s="700"/>
      <c r="DY92" s="700"/>
      <c r="DZ92" s="700"/>
      <c r="EA92" s="700"/>
      <c r="EB92" s="700"/>
      <c r="EC92" s="1448"/>
      <c r="ED92" s="1448"/>
      <c r="EE92" s="1469"/>
      <c r="EF92" s="1461"/>
      <c r="EG92" s="1461"/>
      <c r="EH92" s="1461"/>
      <c r="EI92" s="1455">
        <v>45609</v>
      </c>
      <c r="EJ92" s="1467">
        <v>1000024423</v>
      </c>
      <c r="EK92" s="700" t="s">
        <v>11686</v>
      </c>
      <c r="EL92" s="700"/>
      <c r="EM92" s="700">
        <v>100000</v>
      </c>
      <c r="EN92" s="700"/>
      <c r="EO92" s="718"/>
      <c r="EP92" s="700"/>
      <c r="EQ92" s="700"/>
      <c r="ER92" s="700"/>
      <c r="ES92" s="700"/>
      <c r="ET92" s="700"/>
      <c r="EU92" s="700"/>
      <c r="EV92" s="700"/>
      <c r="EW92" s="700"/>
      <c r="EX92" s="700"/>
      <c r="EY92" s="700"/>
      <c r="EZ92" s="700"/>
      <c r="FA92" s="700"/>
      <c r="FB92" s="700"/>
      <c r="FC92" s="1454"/>
      <c r="FD92" s="1462"/>
      <c r="FH92" s="1472">
        <v>45743</v>
      </c>
      <c r="FI92" s="721">
        <v>1000026670</v>
      </c>
      <c r="FJ92" s="721"/>
      <c r="FK92" s="721">
        <v>60000</v>
      </c>
      <c r="FL92" s="721"/>
      <c r="FM92" s="721"/>
      <c r="FN92" s="721"/>
      <c r="FO92" s="721"/>
      <c r="FP92" s="721"/>
      <c r="FQ92" s="721"/>
      <c r="FR92" s="721"/>
      <c r="FS92" s="721"/>
      <c r="FT92" s="721"/>
      <c r="FU92" s="721"/>
      <c r="FV92" s="721"/>
      <c r="FW92" s="721"/>
      <c r="FX92" s="1473"/>
      <c r="FY92" s="1474"/>
      <c r="GA92" s="1330"/>
    </row>
    <row r="93" s="1329" customFormat="1" ht="24" customHeight="1" spans="2:193">
      <c r="C93" s="1647"/>
      <c r="S93" s="1586">
        <v>44253</v>
      </c>
      <c r="T93" s="700" t="s">
        <v>12064</v>
      </c>
      <c r="U93" s="700" t="s">
        <v>11679</v>
      </c>
      <c r="V93" s="700"/>
      <c r="W93" s="700"/>
      <c r="X93" s="700"/>
      <c r="Y93" s="700">
        <v>60000</v>
      </c>
      <c r="Z93" s="700"/>
      <c r="AA93" s="700"/>
      <c r="AB93" s="700"/>
      <c r="AC93" s="700"/>
      <c r="AD93" s="700"/>
      <c r="AE93" s="700"/>
      <c r="AF93" s="700"/>
      <c r="AG93" s="700"/>
      <c r="AH93" s="700"/>
      <c r="AI93" s="700"/>
      <c r="AN93" s="1588">
        <f>SUM(AN91:AN92)</f>
        <v>1386077</v>
      </c>
      <c r="AO93" s="1588">
        <f t="shared" ref="AN93:BA93" si="12">SUM(AO91:AO92)</f>
        <v>1310699</v>
      </c>
      <c r="AP93" s="1588">
        <f t="shared" si="12"/>
        <v>742349</v>
      </c>
      <c r="AQ93" s="1588">
        <f t="shared" si="12"/>
        <v>1708131</v>
      </c>
      <c r="AR93" s="1588">
        <f t="shared" si="12"/>
        <v>115082</v>
      </c>
      <c r="AS93" s="1588">
        <f t="shared" si="12"/>
        <v>121028</v>
      </c>
      <c r="AT93" s="1588">
        <f t="shared" si="12"/>
        <v>70922</v>
      </c>
      <c r="AU93" s="1588">
        <f t="shared" si="12"/>
        <v>292606</v>
      </c>
      <c r="AV93" s="1588">
        <f t="shared" si="12"/>
        <v>146827</v>
      </c>
      <c r="AW93" s="1588">
        <f t="shared" si="12"/>
        <v>48667</v>
      </c>
      <c r="AX93" s="1588">
        <f t="shared" si="12"/>
        <v>57845</v>
      </c>
      <c r="AY93" s="1588">
        <f t="shared" si="12"/>
        <v>174</v>
      </c>
      <c r="AZ93" s="1588">
        <f t="shared" si="12"/>
        <v>244</v>
      </c>
      <c r="BA93" s="1588">
        <f t="shared" si="12"/>
        <v>25</v>
      </c>
      <c r="BP93" s="1330"/>
      <c r="CP93" s="1455">
        <v>44904</v>
      </c>
      <c r="CQ93" s="1453">
        <v>1000012813</v>
      </c>
      <c r="CR93" s="1498" t="s">
        <v>11832</v>
      </c>
      <c r="CS93" s="700"/>
      <c r="CT93" s="700"/>
      <c r="CU93" s="700"/>
      <c r="CV93" s="700"/>
      <c r="CW93" s="700"/>
      <c r="CX93" s="700"/>
      <c r="CY93" s="718"/>
      <c r="CZ93" s="700"/>
      <c r="DA93" s="700"/>
      <c r="DB93" s="700"/>
      <c r="DC93" s="700"/>
      <c r="DD93" s="1601">
        <v>100</v>
      </c>
      <c r="DE93" s="1463"/>
      <c r="DG93" s="1455">
        <v>45420</v>
      </c>
      <c r="DH93" s="1467">
        <v>1000020116</v>
      </c>
      <c r="DI93" s="697" t="s">
        <v>11685</v>
      </c>
      <c r="DJ93" s="700"/>
      <c r="DK93" s="700"/>
      <c r="DL93" s="700"/>
      <c r="DM93" s="700">
        <v>18000</v>
      </c>
      <c r="DN93" s="700"/>
      <c r="DO93" s="700"/>
      <c r="DP93" s="1466"/>
      <c r="DQ93" s="1466"/>
      <c r="DR93" s="1466"/>
      <c r="DS93" s="700"/>
      <c r="DT93" s="700"/>
      <c r="DU93" s="700"/>
      <c r="DV93" s="700"/>
      <c r="DW93" s="700"/>
      <c r="DX93" s="700"/>
      <c r="DY93" s="700"/>
      <c r="DZ93" s="700"/>
      <c r="EA93" s="700"/>
      <c r="EB93" s="700"/>
      <c r="EC93" s="1448"/>
      <c r="ED93" s="1448"/>
      <c r="EE93" s="1469"/>
      <c r="EF93" s="1461"/>
      <c r="EG93" s="1461"/>
      <c r="EH93" s="1461"/>
      <c r="EI93" s="1455">
        <v>45609</v>
      </c>
      <c r="EJ93" s="1467">
        <v>1000024424</v>
      </c>
      <c r="EK93" s="700" t="s">
        <v>11686</v>
      </c>
      <c r="EL93" s="700"/>
      <c r="EM93" s="700"/>
      <c r="EN93" s="700"/>
      <c r="EO93" s="718"/>
      <c r="EP93" s="700"/>
      <c r="EQ93" s="700"/>
      <c r="ER93" s="700">
        <v>150000</v>
      </c>
      <c r="ES93" s="700"/>
      <c r="ET93" s="700"/>
      <c r="EU93" s="700"/>
      <c r="EV93" s="700"/>
      <c r="EW93" s="700"/>
      <c r="EX93" s="700"/>
      <c r="EY93" s="700"/>
      <c r="EZ93" s="700"/>
      <c r="FA93" s="700"/>
      <c r="FB93" s="700"/>
      <c r="FC93" s="1454"/>
      <c r="FD93" s="1462"/>
      <c r="FH93" s="1472">
        <v>45743</v>
      </c>
      <c r="FI93" s="721">
        <v>1000026671</v>
      </c>
      <c r="FJ93" s="721"/>
      <c r="FK93" s="721"/>
      <c r="FL93" s="721"/>
      <c r="FM93" s="721">
        <v>30000</v>
      </c>
      <c r="FN93" s="721"/>
      <c r="FO93" s="721"/>
      <c r="FP93" s="721"/>
      <c r="FQ93" s="721"/>
      <c r="FR93" s="721"/>
      <c r="FS93" s="721"/>
      <c r="FT93" s="721"/>
      <c r="FU93" s="721"/>
      <c r="FV93" s="721"/>
      <c r="FW93" s="721"/>
      <c r="FX93" s="1473"/>
      <c r="FY93" s="1474"/>
    </row>
    <row r="94" s="1329" customFormat="1" ht="24" customHeight="1" spans="2:193">
      <c r="C94" s="1647"/>
      <c r="S94" s="1586">
        <v>44253</v>
      </c>
      <c r="T94" s="700" t="s">
        <v>12065</v>
      </c>
      <c r="U94" s="700" t="s">
        <v>11679</v>
      </c>
      <c r="V94" s="700"/>
      <c r="W94" s="700"/>
      <c r="X94" s="700"/>
      <c r="Y94" s="700"/>
      <c r="Z94" s="700"/>
      <c r="AA94" s="700">
        <v>5000</v>
      </c>
      <c r="AB94" s="700"/>
      <c r="AC94" s="700"/>
      <c r="AD94" s="700"/>
      <c r="AE94" s="700"/>
      <c r="AF94" s="700"/>
      <c r="AG94" s="700"/>
      <c r="AH94" s="700"/>
      <c r="AI94" s="700"/>
      <c r="AN94" s="1581">
        <f>AN90-AN93</f>
        <v>0</v>
      </c>
      <c r="AO94" s="1581">
        <f t="shared" ref="AN94:BA94" si="13">AO90-AO93</f>
        <v>0</v>
      </c>
      <c r="AP94" s="1581">
        <f t="shared" si="13"/>
        <v>0</v>
      </c>
      <c r="AQ94" s="1581">
        <f t="shared" si="13"/>
        <v>0</v>
      </c>
      <c r="AR94" s="1581">
        <f t="shared" si="13"/>
        <v>0</v>
      </c>
      <c r="AS94" s="1581">
        <f t="shared" si="13"/>
        <v>0</v>
      </c>
      <c r="AT94" s="1581">
        <f t="shared" si="13"/>
        <v>0</v>
      </c>
      <c r="AU94" s="1581">
        <f t="shared" si="13"/>
        <v>0</v>
      </c>
      <c r="AV94" s="1581">
        <f t="shared" si="13"/>
        <v>0</v>
      </c>
      <c r="AW94" s="1581">
        <f t="shared" si="13"/>
        <v>0</v>
      </c>
      <c r="AX94" s="1581">
        <f t="shared" si="13"/>
        <v>0</v>
      </c>
      <c r="AY94" s="1581">
        <f t="shared" si="13"/>
        <v>0</v>
      </c>
      <c r="AZ94" s="1581">
        <f t="shared" si="13"/>
        <v>0</v>
      </c>
      <c r="BA94" s="1581">
        <f t="shared" si="13"/>
        <v>0</v>
      </c>
      <c r="BP94" s="1330"/>
      <c r="CP94" s="1455">
        <v>44904</v>
      </c>
      <c r="CQ94" s="1453" t="s">
        <v>12059</v>
      </c>
      <c r="CR94" s="1662" t="s">
        <v>11935</v>
      </c>
      <c r="CS94" s="700"/>
      <c r="CT94" s="700"/>
      <c r="CU94" s="700"/>
      <c r="CV94" s="700"/>
      <c r="CW94" s="700"/>
      <c r="CX94" s="700"/>
      <c r="CY94" s="718"/>
      <c r="CZ94" s="700"/>
      <c r="DA94" s="700"/>
      <c r="DB94" s="719">
        <v>1000</v>
      </c>
      <c r="DC94" s="700"/>
      <c r="DD94" s="1448"/>
      <c r="DE94" s="5466" t="s">
        <v>12066</v>
      </c>
      <c r="DG94" s="1455">
        <v>45420</v>
      </c>
      <c r="DH94" s="700"/>
      <c r="DI94" s="697"/>
      <c r="DJ94" s="700"/>
      <c r="DK94" s="700"/>
      <c r="DL94" s="700"/>
      <c r="DM94" s="700"/>
      <c r="DN94" s="700"/>
      <c r="DO94" s="700"/>
      <c r="DP94" s="1466"/>
      <c r="DQ94" s="1466"/>
      <c r="DR94" s="1466"/>
      <c r="DS94" s="700"/>
      <c r="DT94" s="700"/>
      <c r="DU94" s="700"/>
      <c r="DV94" s="700"/>
      <c r="DW94" s="700"/>
      <c r="DX94" s="700"/>
      <c r="DY94" s="700">
        <v>752</v>
      </c>
      <c r="DZ94" s="700"/>
      <c r="EA94" s="700"/>
      <c r="EB94" s="700"/>
      <c r="EC94" s="1448"/>
      <c r="ED94" s="1448"/>
      <c r="EE94" s="1469">
        <v>4500128540</v>
      </c>
      <c r="EF94" s="1461"/>
      <c r="EG94" s="1461"/>
      <c r="EH94" s="1461"/>
      <c r="EI94" s="1455">
        <v>45609</v>
      </c>
      <c r="EJ94" s="1467">
        <v>1000024426</v>
      </c>
      <c r="EK94" s="700" t="s">
        <v>11686</v>
      </c>
      <c r="EL94" s="700"/>
      <c r="EM94" s="700"/>
      <c r="EN94" s="700"/>
      <c r="EO94" s="718"/>
      <c r="EP94" s="700"/>
      <c r="EQ94" s="700"/>
      <c r="ER94" s="700"/>
      <c r="ES94" s="700"/>
      <c r="ET94" s="700">
        <v>16667</v>
      </c>
      <c r="EU94" s="700"/>
      <c r="EV94" s="700"/>
      <c r="EW94" s="700"/>
      <c r="EX94" s="700"/>
      <c r="EY94" s="700"/>
      <c r="EZ94" s="700"/>
      <c r="FA94" s="700"/>
      <c r="FB94" s="700"/>
      <c r="FC94" s="1454"/>
      <c r="FD94" s="1462"/>
      <c r="FH94" s="1472">
        <v>45743</v>
      </c>
      <c r="FI94" s="721">
        <v>1000026672</v>
      </c>
      <c r="FJ94" s="721"/>
      <c r="FK94" s="721"/>
      <c r="FL94" s="721"/>
      <c r="FM94" s="721"/>
      <c r="FN94" s="721"/>
      <c r="FO94" s="721">
        <v>100000</v>
      </c>
      <c r="FP94" s="721"/>
      <c r="FQ94" s="721"/>
      <c r="FR94" s="721"/>
      <c r="FS94" s="721"/>
      <c r="FT94" s="721"/>
      <c r="FU94" s="721"/>
      <c r="FV94" s="721"/>
      <c r="FW94" s="721"/>
      <c r="FX94" s="1473"/>
      <c r="FY94" s="1474"/>
      <c r="FZ94" s="1330"/>
    </row>
    <row r="95" s="1329" customFormat="1" ht="24" customHeight="1" spans="2:193">
      <c r="C95" s="1647"/>
      <c r="S95" s="1586">
        <v>44253</v>
      </c>
      <c r="T95" s="700" t="s">
        <v>12067</v>
      </c>
      <c r="U95" s="700" t="s">
        <v>11679</v>
      </c>
      <c r="V95" s="700"/>
      <c r="W95" s="700"/>
      <c r="X95" s="700"/>
      <c r="Y95" s="700"/>
      <c r="Z95" s="700"/>
      <c r="AA95" s="700"/>
      <c r="AB95" s="700"/>
      <c r="AC95" s="700">
        <v>10000</v>
      </c>
      <c r="AD95" s="700"/>
      <c r="AE95" s="700"/>
      <c r="AF95" s="700"/>
      <c r="AG95" s="700"/>
      <c r="AH95" s="700"/>
      <c r="AI95" s="700"/>
      <c r="AO95" s="1330"/>
      <c r="BP95" s="1330"/>
      <c r="CP95" s="1455">
        <v>44972</v>
      </c>
      <c r="CQ95" s="1467">
        <v>1000013208</v>
      </c>
      <c r="CR95" s="1498" t="s">
        <v>11832</v>
      </c>
      <c r="CS95" s="700"/>
      <c r="CT95" s="700"/>
      <c r="CU95" s="700">
        <v>15000</v>
      </c>
      <c r="CV95" s="700"/>
      <c r="CW95" s="700"/>
      <c r="CX95" s="700"/>
      <c r="CY95" s="718"/>
      <c r="CZ95" s="700"/>
      <c r="DA95" s="700"/>
      <c r="DB95" s="1571"/>
      <c r="DC95" s="700"/>
      <c r="DD95" s="1448"/>
      <c r="DE95" s="1458"/>
      <c r="DG95" s="1455">
        <v>45428</v>
      </c>
      <c r="DH95" s="700"/>
      <c r="DI95" s="697"/>
      <c r="DJ95" s="700"/>
      <c r="DK95" s="700"/>
      <c r="DL95" s="700"/>
      <c r="DM95" s="700"/>
      <c r="DN95" s="700"/>
      <c r="DO95" s="700"/>
      <c r="DP95" s="1466"/>
      <c r="DQ95" s="1466"/>
      <c r="DR95" s="1466"/>
      <c r="DS95" s="700"/>
      <c r="DT95" s="700"/>
      <c r="DU95" s="700"/>
      <c r="DV95" s="700"/>
      <c r="DW95" s="700"/>
      <c r="DX95" s="700"/>
      <c r="DY95" s="700">
        <v>2752</v>
      </c>
      <c r="DZ95" s="700"/>
      <c r="EA95" s="700"/>
      <c r="EB95" s="700"/>
      <c r="EC95" s="1448"/>
      <c r="ED95" s="1448"/>
      <c r="EE95" s="1469">
        <v>4500133062</v>
      </c>
      <c r="EF95" s="1461"/>
      <c r="EG95" s="1461"/>
      <c r="EH95" s="1461"/>
      <c r="EI95" s="1455">
        <v>45623</v>
      </c>
      <c r="EJ95" s="1467"/>
      <c r="EK95" s="700"/>
      <c r="EL95" s="700"/>
      <c r="EM95" s="700"/>
      <c r="EN95" s="700"/>
      <c r="EO95" s="718"/>
      <c r="EP95" s="700"/>
      <c r="EQ95" s="700"/>
      <c r="ER95" s="700"/>
      <c r="ES95" s="700"/>
      <c r="ET95" s="700"/>
      <c r="EU95" s="700"/>
      <c r="EV95" s="700"/>
      <c r="EW95" s="700"/>
      <c r="EX95" s="700"/>
      <c r="EY95" s="700">
        <v>1372</v>
      </c>
      <c r="EZ95" s="700"/>
      <c r="FA95" s="700"/>
      <c r="FB95" s="700"/>
      <c r="FC95" s="1454"/>
      <c r="FD95" s="1462" t="s">
        <v>12068</v>
      </c>
      <c r="FH95" s="1472">
        <v>45743</v>
      </c>
      <c r="FI95" s="721">
        <v>1000026673</v>
      </c>
      <c r="FJ95" s="721"/>
      <c r="FK95" s="721"/>
      <c r="FL95" s="721"/>
      <c r="FM95" s="721"/>
      <c r="FN95" s="721"/>
      <c r="FO95" s="721"/>
      <c r="FP95" s="721"/>
      <c r="FQ95" s="721">
        <v>4000</v>
      </c>
      <c r="FR95" s="721"/>
      <c r="FS95" s="721"/>
      <c r="FT95" s="721"/>
      <c r="FU95" s="721"/>
      <c r="FV95" s="721"/>
      <c r="FW95" s="721"/>
      <c r="FX95" s="1473"/>
      <c r="FY95" s="1474"/>
      <c r="FZ95" s="1330"/>
    </row>
    <row r="96" s="1329" customFormat="1" ht="24" customHeight="1" spans="2:193">
      <c r="C96" s="1647"/>
      <c r="S96" s="1586">
        <v>44253</v>
      </c>
      <c r="T96" s="700" t="s">
        <v>12069</v>
      </c>
      <c r="U96" s="700" t="s">
        <v>11679</v>
      </c>
      <c r="V96" s="700"/>
      <c r="W96" s="700"/>
      <c r="X96" s="700"/>
      <c r="Y96" s="700"/>
      <c r="Z96" s="700"/>
      <c r="AA96" s="700"/>
      <c r="AB96" s="700"/>
      <c r="AC96" s="700"/>
      <c r="AD96" s="700">
        <v>10000</v>
      </c>
      <c r="AE96" s="700"/>
      <c r="AF96" s="700"/>
      <c r="AG96" s="700"/>
      <c r="AH96" s="700"/>
      <c r="AI96" s="700"/>
      <c r="AK96" s="1499"/>
      <c r="AL96" s="1499"/>
      <c r="AM96" s="1499"/>
      <c r="AN96" s="1499"/>
      <c r="AO96" s="1499"/>
      <c r="AP96" s="1499"/>
      <c r="AQ96" s="1499"/>
      <c r="AR96" s="1499"/>
      <c r="AS96" s="1499"/>
      <c r="AT96" s="1499"/>
      <c r="AU96" s="1499"/>
      <c r="AV96" s="1499"/>
      <c r="AW96" s="1499"/>
      <c r="AX96" s="1499"/>
      <c r="AY96" s="1499"/>
      <c r="AZ96" s="1499"/>
      <c r="BA96" s="1499"/>
      <c r="BB96" s="1499"/>
      <c r="BC96" s="1499"/>
      <c r="BD96" s="1499"/>
      <c r="BE96" s="1499"/>
      <c r="BF96" s="1499"/>
      <c r="BG96" s="1499"/>
      <c r="BH96" s="1499"/>
      <c r="BI96" s="1499"/>
      <c r="BJ96" s="1499"/>
      <c r="BK96" s="1499"/>
      <c r="BL96" s="1499"/>
      <c r="BM96" s="1499"/>
      <c r="BN96" s="1499"/>
      <c r="BO96" s="1499"/>
      <c r="BP96" s="1499"/>
      <c r="BQ96" s="1499"/>
      <c r="BR96" s="1499"/>
      <c r="BS96" s="1499"/>
      <c r="BT96" s="1499"/>
      <c r="BU96" s="1499"/>
      <c r="BV96" s="1499"/>
      <c r="BW96" s="1499"/>
      <c r="BX96" s="1499"/>
      <c r="BY96" s="1499"/>
      <c r="BZ96" s="1499"/>
      <c r="CA96" s="1499"/>
      <c r="CB96" s="1499"/>
      <c r="CC96" s="1499"/>
      <c r="CD96" s="1499"/>
      <c r="CE96" s="1499"/>
      <c r="CF96" s="1499"/>
      <c r="CG96" s="1499"/>
      <c r="CP96" s="1455">
        <v>44972</v>
      </c>
      <c r="CQ96" s="1467">
        <v>1000013209</v>
      </c>
      <c r="CR96" s="1498" t="s">
        <v>11832</v>
      </c>
      <c r="CS96" s="700"/>
      <c r="CT96" s="700"/>
      <c r="CU96" s="700"/>
      <c r="CV96" s="700"/>
      <c r="CW96" s="700"/>
      <c r="CX96" s="700">
        <v>5000</v>
      </c>
      <c r="CY96" s="718"/>
      <c r="CZ96" s="700"/>
      <c r="DA96" s="700"/>
      <c r="DB96" s="1571"/>
      <c r="DC96" s="700"/>
      <c r="DD96" s="1448"/>
      <c r="DE96" s="1458"/>
      <c r="DG96" s="1455">
        <v>45447</v>
      </c>
      <c r="DH96" s="700">
        <v>1000020779</v>
      </c>
      <c r="DI96" s="697"/>
      <c r="DJ96" s="700"/>
      <c r="DK96" s="700"/>
      <c r="DL96" s="700"/>
      <c r="DM96" s="700"/>
      <c r="DN96" s="700"/>
      <c r="DO96" s="700">
        <v>60000</v>
      </c>
      <c r="DP96" s="1466"/>
      <c r="DQ96" s="1466"/>
      <c r="DR96" s="1466"/>
      <c r="DS96" s="700"/>
      <c r="DT96" s="700"/>
      <c r="DU96" s="700"/>
      <c r="DV96" s="700"/>
      <c r="DW96" s="700"/>
      <c r="DX96" s="700"/>
      <c r="DY96" s="700"/>
      <c r="DZ96" s="700"/>
      <c r="EA96" s="700"/>
      <c r="EB96" s="700"/>
      <c r="EC96" s="1448"/>
      <c r="ED96" s="1448"/>
      <c r="EE96" s="1469"/>
      <c r="EF96" s="1461"/>
      <c r="EG96" s="1461"/>
      <c r="EH96" s="1461"/>
      <c r="EI96" s="1455">
        <v>45657</v>
      </c>
      <c r="EJ96" s="1467">
        <v>1000025414</v>
      </c>
      <c r="EK96" s="700"/>
      <c r="EL96" s="700"/>
      <c r="EM96" s="700"/>
      <c r="EN96" s="700"/>
      <c r="EO96" s="718"/>
      <c r="EP96" s="700"/>
      <c r="EQ96" s="700"/>
      <c r="ER96" s="700">
        <v>80000</v>
      </c>
      <c r="ES96" s="700"/>
      <c r="ET96" s="700"/>
      <c r="EU96" s="700"/>
      <c r="EV96" s="700"/>
      <c r="EW96" s="700"/>
      <c r="EX96" s="700"/>
      <c r="EY96" s="700"/>
      <c r="EZ96" s="700"/>
      <c r="FA96" s="700"/>
      <c r="FB96" s="700"/>
      <c r="FC96" s="1454"/>
      <c r="FD96" s="1462"/>
      <c r="FH96" s="1472">
        <v>45743</v>
      </c>
      <c r="FI96" s="721">
        <v>1000026674</v>
      </c>
      <c r="FJ96" s="721"/>
      <c r="FK96" s="721"/>
      <c r="FL96" s="721"/>
      <c r="FM96" s="721"/>
      <c r="FN96" s="721"/>
      <c r="FO96" s="721"/>
      <c r="FP96" s="721"/>
      <c r="FQ96" s="721"/>
      <c r="FR96" s="721">
        <v>3000</v>
      </c>
      <c r="FS96" s="721"/>
      <c r="FT96" s="721"/>
      <c r="FU96" s="721"/>
      <c r="FV96" s="721"/>
      <c r="FW96" s="721"/>
      <c r="FX96" s="1473"/>
      <c r="FY96" s="1474"/>
    </row>
    <row r="97" s="1330" customFormat="1" ht="24" customHeight="1" spans="1:195">
      <c r="A97" s="1329"/>
      <c r="B97" s="1444"/>
      <c r="C97" s="1445"/>
      <c r="D97" s="1446"/>
      <c r="E97" s="1447"/>
      <c r="F97" s="1447"/>
      <c r="G97" s="1447"/>
      <c r="H97" s="1447"/>
      <c r="I97" s="1490"/>
      <c r="J97" s="1448"/>
      <c r="K97" s="1448"/>
      <c r="L97" s="1448"/>
      <c r="M97" s="1448"/>
      <c r="N97" s="1448"/>
      <c r="O97" s="1448"/>
      <c r="P97" s="1448"/>
      <c r="Q97" s="1449"/>
      <c r="S97" s="1586">
        <v>44295</v>
      </c>
      <c r="T97" s="700" t="s">
        <v>12070</v>
      </c>
      <c r="U97" s="700" t="s">
        <v>11679</v>
      </c>
      <c r="V97" s="700"/>
      <c r="W97" s="700">
        <v>110000</v>
      </c>
      <c r="X97" s="700"/>
      <c r="Y97" s="700"/>
      <c r="Z97" s="700"/>
      <c r="AA97" s="700"/>
      <c r="AB97" s="700"/>
      <c r="AC97" s="700"/>
      <c r="AD97" s="700"/>
      <c r="AE97" s="700"/>
      <c r="AF97" s="700"/>
      <c r="AG97" s="700"/>
      <c r="AH97" s="700"/>
      <c r="AI97" s="700"/>
      <c r="AK97" s="1668"/>
      <c r="AL97" s="1669"/>
      <c r="AM97" s="1670"/>
      <c r="AN97" s="1671"/>
      <c r="AO97" s="1671"/>
      <c r="AP97" s="1671"/>
      <c r="AQ97" s="1671"/>
      <c r="AR97" s="1499"/>
      <c r="AS97" s="1499"/>
      <c r="AT97" s="1499"/>
      <c r="AU97" s="1499"/>
      <c r="AV97" s="1499"/>
      <c r="AW97" s="1499"/>
      <c r="AX97" s="1499"/>
      <c r="AY97" s="1499"/>
      <c r="AZ97" s="1499"/>
      <c r="BA97" s="1499"/>
      <c r="BB97" s="1499"/>
      <c r="BC97" s="1499"/>
      <c r="BD97" s="1499"/>
      <c r="BE97" s="1499"/>
      <c r="BF97" s="1499"/>
      <c r="BG97" s="1499"/>
      <c r="BH97" s="1499"/>
      <c r="BI97" s="1499"/>
      <c r="BJ97" s="1499"/>
      <c r="BK97" s="1499"/>
      <c r="BL97" s="1499"/>
      <c r="BM97" s="1499"/>
      <c r="BN97" s="1499"/>
      <c r="BO97" s="1499"/>
      <c r="BP97" s="1499"/>
      <c r="BQ97" s="1499"/>
      <c r="BR97" s="1499"/>
      <c r="BS97" s="1499"/>
      <c r="BT97" s="1499"/>
      <c r="BU97" s="1499"/>
      <c r="BV97" s="1499"/>
      <c r="BW97" s="1499"/>
      <c r="BX97" s="1499"/>
      <c r="BY97" s="1499"/>
      <c r="BZ97" s="1672"/>
      <c r="CA97" s="1672"/>
      <c r="CB97" s="1672"/>
      <c r="CC97" s="1672"/>
      <c r="CD97" s="1672"/>
      <c r="CE97" s="1672"/>
      <c r="CF97" s="1672"/>
      <c r="CG97" s="1499"/>
      <c r="CH97" s="1329"/>
      <c r="CI97" s="1329"/>
      <c r="CJ97" s="1329"/>
      <c r="CK97" s="1329"/>
      <c r="CL97" s="1329"/>
      <c r="CM97" s="1329"/>
      <c r="CN97" s="1329"/>
      <c r="CP97" s="1455">
        <v>44974</v>
      </c>
      <c r="CQ97" s="1456" t="s">
        <v>12071</v>
      </c>
      <c r="CR97" s="1498" t="s">
        <v>11913</v>
      </c>
      <c r="CS97" s="700"/>
      <c r="CT97" s="700"/>
      <c r="CU97" s="700"/>
      <c r="CV97" s="700"/>
      <c r="CW97" s="700"/>
      <c r="CX97" s="700"/>
      <c r="CY97" s="1673">
        <v>17379</v>
      </c>
      <c r="CZ97" s="700"/>
      <c r="DA97" s="700"/>
      <c r="DB97" s="700"/>
      <c r="DC97" s="700"/>
      <c r="DD97" s="1448"/>
      <c r="DE97" s="1482" t="s">
        <v>12072</v>
      </c>
      <c r="DG97" s="1455">
        <v>45447</v>
      </c>
      <c r="DH97" s="700">
        <v>1000020780</v>
      </c>
      <c r="DI97" s="697"/>
      <c r="DJ97" s="700"/>
      <c r="DK97" s="700"/>
      <c r="DL97" s="700"/>
      <c r="DM97" s="700"/>
      <c r="DN97" s="700"/>
      <c r="DO97" s="700"/>
      <c r="DP97" s="1466"/>
      <c r="DQ97" s="1466"/>
      <c r="DR97" s="1466">
        <v>100000</v>
      </c>
      <c r="DS97" s="700"/>
      <c r="DT97" s="700"/>
      <c r="DU97" s="700"/>
      <c r="DV97" s="700"/>
      <c r="DW97" s="700"/>
      <c r="DX97" s="700"/>
      <c r="DY97" s="700"/>
      <c r="DZ97" s="700"/>
      <c r="EA97" s="700"/>
      <c r="EB97" s="700"/>
      <c r="EC97" s="1448"/>
      <c r="ED97" s="1448"/>
      <c r="EE97" s="1469"/>
      <c r="EF97" s="1499"/>
      <c r="EG97" s="1461"/>
      <c r="EH97" s="1461"/>
      <c r="EI97" s="1455">
        <v>45657</v>
      </c>
      <c r="EJ97" s="1467">
        <v>1000025415</v>
      </c>
      <c r="EK97" s="700"/>
      <c r="EL97" s="700"/>
      <c r="EM97" s="700"/>
      <c r="EN97" s="700"/>
      <c r="EO97" s="718"/>
      <c r="EP97" s="700"/>
      <c r="EQ97" s="700"/>
      <c r="ER97" s="700"/>
      <c r="ES97" s="700"/>
      <c r="ET97" s="700"/>
      <c r="EU97" s="700"/>
      <c r="EV97" s="700">
        <v>5000</v>
      </c>
      <c r="EW97" s="700"/>
      <c r="EX97" s="700"/>
      <c r="EY97" s="700"/>
      <c r="EZ97" s="700"/>
      <c r="FA97" s="700"/>
      <c r="FB97" s="700"/>
      <c r="FC97" s="1454"/>
      <c r="FD97" s="1462"/>
      <c r="FE97" s="1329"/>
      <c r="FH97" s="1472">
        <v>45777</v>
      </c>
      <c r="FI97" s="721">
        <v>1000027601</v>
      </c>
      <c r="FJ97" s="721"/>
      <c r="FK97" s="721">
        <v>50000</v>
      </c>
      <c r="FL97" s="721"/>
      <c r="FM97" s="721"/>
      <c r="FN97" s="721"/>
      <c r="FO97" s="721"/>
      <c r="FP97" s="721"/>
      <c r="FQ97" s="721"/>
      <c r="FR97" s="721"/>
      <c r="FS97" s="721"/>
      <c r="FT97" s="721"/>
      <c r="FU97" s="721"/>
      <c r="FV97" s="721"/>
      <c r="FW97" s="721"/>
      <c r="FX97" s="1473"/>
      <c r="FY97" s="1474"/>
      <c r="FZ97" s="1329"/>
      <c r="GA97" s="1329"/>
      <c r="GC97" s="1329"/>
      <c r="GD97" s="1329"/>
      <c r="GE97" s="1329"/>
      <c r="GF97" s="1329"/>
      <c r="GG97" s="1329"/>
      <c r="GH97" s="1329"/>
      <c r="GI97" s="1329"/>
      <c r="GJ97" s="1329"/>
      <c r="GK97" s="1329"/>
      <c r="GL97" s="1329"/>
      <c r="GM97" s="1329"/>
    </row>
    <row r="98" s="1330" customFormat="1" ht="24" customHeight="1" spans="1:195">
      <c r="B98" s="1444"/>
      <c r="C98" s="1445"/>
      <c r="D98" s="1446"/>
      <c r="E98" s="1447"/>
      <c r="F98" s="1447"/>
      <c r="G98" s="1447"/>
      <c r="H98" s="1447"/>
      <c r="I98" s="1490"/>
      <c r="J98" s="1448"/>
      <c r="K98" s="1448"/>
      <c r="L98" s="1448"/>
      <c r="M98" s="1448"/>
      <c r="N98" s="1448"/>
      <c r="O98" s="1448"/>
      <c r="P98" s="1448"/>
      <c r="Q98" s="1449"/>
      <c r="S98" s="1586">
        <v>44295</v>
      </c>
      <c r="T98" s="700" t="s">
        <v>12073</v>
      </c>
      <c r="U98" s="700" t="s">
        <v>11679</v>
      </c>
      <c r="V98" s="700"/>
      <c r="W98" s="700"/>
      <c r="X98" s="700">
        <v>110000</v>
      </c>
      <c r="Y98" s="700"/>
      <c r="Z98" s="700"/>
      <c r="AA98" s="700"/>
      <c r="AB98" s="700"/>
      <c r="AC98" s="700"/>
      <c r="AD98" s="700"/>
      <c r="AE98" s="700"/>
      <c r="AF98" s="700"/>
      <c r="AG98" s="700"/>
      <c r="AH98" s="700"/>
      <c r="AI98" s="700"/>
      <c r="AK98" s="1668"/>
      <c r="AL98" s="1669"/>
      <c r="AM98" s="1670"/>
      <c r="AN98" s="1671"/>
      <c r="AO98" s="1671"/>
      <c r="AP98" s="1671"/>
      <c r="AQ98" s="1671"/>
      <c r="AR98" s="1499"/>
      <c r="AS98" s="1499"/>
      <c r="AT98" s="1499"/>
      <c r="AU98" s="1499"/>
      <c r="AV98" s="1499"/>
      <c r="AW98" s="1499"/>
      <c r="AX98" s="1499"/>
      <c r="AY98" s="1499"/>
      <c r="AZ98" s="1499"/>
      <c r="BA98" s="1499"/>
      <c r="BB98" s="1499"/>
      <c r="BC98" s="1499"/>
      <c r="BD98" s="1499"/>
      <c r="BE98" s="1499"/>
      <c r="BF98" s="1499"/>
      <c r="BG98" s="1499"/>
      <c r="BH98" s="1499"/>
      <c r="BI98" s="1499"/>
      <c r="BJ98" s="1499"/>
      <c r="BK98" s="1499"/>
      <c r="BL98" s="1499"/>
      <c r="BM98" s="1499"/>
      <c r="BN98" s="1499"/>
      <c r="BO98" s="1499"/>
      <c r="BP98" s="1499"/>
      <c r="BQ98" s="1499"/>
      <c r="BR98" s="1499"/>
      <c r="BS98" s="1499"/>
      <c r="BT98" s="1499"/>
      <c r="BU98" s="1499"/>
      <c r="BV98" s="1499"/>
      <c r="BW98" s="1499"/>
      <c r="BX98" s="1499"/>
      <c r="BY98" s="1499"/>
      <c r="BZ98" s="1672"/>
      <c r="CA98" s="1672"/>
      <c r="CB98" s="1672"/>
      <c r="CC98" s="1672"/>
      <c r="CD98" s="1672"/>
      <c r="CE98" s="1672"/>
      <c r="CF98" s="1672"/>
      <c r="CG98" s="1499"/>
      <c r="CP98" s="1455">
        <v>44980</v>
      </c>
      <c r="CQ98" s="1456">
        <v>1000013268</v>
      </c>
      <c r="CR98" s="135" t="s">
        <v>11935</v>
      </c>
      <c r="CS98" s="700"/>
      <c r="CT98" s="700"/>
      <c r="CU98" s="700"/>
      <c r="CV98" s="700"/>
      <c r="CW98" s="700"/>
      <c r="CX98" s="700"/>
      <c r="CY98" s="719"/>
      <c r="CZ98" s="700"/>
      <c r="DA98" s="700"/>
      <c r="DB98" s="719">
        <v>2933</v>
      </c>
      <c r="DC98" s="700"/>
      <c r="DD98" s="1448"/>
      <c r="DE98" s="5469" t="s">
        <v>12074</v>
      </c>
      <c r="DG98" s="1455">
        <v>45470</v>
      </c>
      <c r="DH98" s="700">
        <v>1000021346</v>
      </c>
      <c r="DI98" s="697"/>
      <c r="DJ98" s="700"/>
      <c r="DK98" s="700">
        <v>150000</v>
      </c>
      <c r="DL98" s="700"/>
      <c r="DM98" s="700"/>
      <c r="DN98" s="700"/>
      <c r="DO98" s="700"/>
      <c r="DP98" s="1466"/>
      <c r="DQ98" s="1466"/>
      <c r="DR98" s="1466"/>
      <c r="DS98" s="700"/>
      <c r="DT98" s="700"/>
      <c r="DU98" s="700"/>
      <c r="DV98" s="700"/>
      <c r="DW98" s="700"/>
      <c r="DX98" s="700"/>
      <c r="DY98" s="700"/>
      <c r="DZ98" s="700"/>
      <c r="EA98" s="700"/>
      <c r="EB98" s="700"/>
      <c r="EC98" s="1448"/>
      <c r="ED98" s="1448"/>
      <c r="EE98" s="1469"/>
      <c r="EF98" s="1499"/>
      <c r="EG98" s="1499"/>
      <c r="EH98" s="1499"/>
      <c r="EI98" s="1455"/>
      <c r="EJ98" s="1467"/>
      <c r="EK98" s="700"/>
      <c r="EL98" s="700"/>
      <c r="EM98" s="700"/>
      <c r="EN98" s="700"/>
      <c r="EO98" s="718"/>
      <c r="EP98" s="700"/>
      <c r="EQ98" s="700"/>
      <c r="ER98" s="700"/>
      <c r="ES98" s="700"/>
      <c r="ET98" s="700"/>
      <c r="EU98" s="700"/>
      <c r="EV98" s="700"/>
      <c r="EW98" s="700"/>
      <c r="EX98" s="700"/>
      <c r="EY98" s="700"/>
      <c r="EZ98" s="700"/>
      <c r="FA98" s="700"/>
      <c r="FB98" s="718">
        <v>1841</v>
      </c>
      <c r="FC98" s="1454"/>
      <c r="FD98" s="1462">
        <v>4500153983</v>
      </c>
      <c r="FE98" s="1329"/>
      <c r="FH98" s="1472">
        <v>45777</v>
      </c>
      <c r="FI98" s="721">
        <v>1000027602</v>
      </c>
      <c r="FJ98" s="721"/>
      <c r="FK98" s="721"/>
      <c r="FL98" s="721"/>
      <c r="FM98" s="721">
        <v>40000</v>
      </c>
      <c r="FN98" s="721"/>
      <c r="FO98" s="721"/>
      <c r="FP98" s="721"/>
      <c r="FQ98" s="721"/>
      <c r="FR98" s="721"/>
      <c r="FS98" s="721"/>
      <c r="FT98" s="721"/>
      <c r="FU98" s="721"/>
      <c r="FV98" s="721"/>
      <c r="FW98" s="721"/>
      <c r="FX98" s="1473"/>
      <c r="FY98" s="1474"/>
      <c r="FZ98" s="1329"/>
      <c r="GA98" s="1329"/>
      <c r="GC98" s="1329"/>
      <c r="GD98" s="1329"/>
      <c r="GE98" s="1329"/>
      <c r="GF98" s="1329"/>
      <c r="GG98" s="1329"/>
      <c r="GH98" s="1329"/>
      <c r="GI98" s="1329"/>
      <c r="GJ98" s="1329"/>
      <c r="GK98" s="1329"/>
      <c r="GL98" s="1329"/>
      <c r="GM98" s="1329"/>
    </row>
    <row r="99" s="1329" customFormat="1" ht="24" customHeight="1" spans="1:195">
      <c r="C99" s="1647"/>
      <c r="S99" s="1586">
        <v>44295</v>
      </c>
      <c r="T99" s="700" t="s">
        <v>12075</v>
      </c>
      <c r="U99" s="700" t="s">
        <v>11679</v>
      </c>
      <c r="V99" s="700"/>
      <c r="W99" s="700"/>
      <c r="X99" s="700"/>
      <c r="Y99" s="700">
        <v>110000</v>
      </c>
      <c r="Z99" s="700"/>
      <c r="AA99" s="700"/>
      <c r="AB99" s="700"/>
      <c r="AC99" s="700"/>
      <c r="AD99" s="700"/>
      <c r="AE99" s="700"/>
      <c r="AF99" s="700"/>
      <c r="AG99" s="700"/>
      <c r="AH99" s="700"/>
      <c r="AI99" s="700"/>
      <c r="AK99" s="1499"/>
      <c r="AL99" s="1499"/>
      <c r="AM99" s="1499"/>
      <c r="AN99" s="1499"/>
      <c r="AO99" s="1499"/>
      <c r="AP99" s="1499"/>
      <c r="AQ99" s="1499"/>
      <c r="AR99" s="1499"/>
      <c r="AS99" s="1499"/>
      <c r="AT99" s="1499"/>
      <c r="AU99" s="1499"/>
      <c r="AV99" s="1499"/>
      <c r="AW99" s="1499"/>
      <c r="AX99" s="1499"/>
      <c r="AY99" s="1499"/>
      <c r="AZ99" s="1499"/>
      <c r="BA99" s="1499"/>
      <c r="BB99" s="1499"/>
      <c r="BC99" s="1499"/>
      <c r="BD99" s="1499"/>
      <c r="BE99" s="1499"/>
      <c r="BF99" s="1499"/>
      <c r="BG99" s="1499"/>
      <c r="BH99" s="1499"/>
      <c r="BI99" s="1499"/>
      <c r="BJ99" s="1499"/>
      <c r="BK99" s="1499"/>
      <c r="BL99" s="1499"/>
      <c r="BM99" s="1499"/>
      <c r="BN99" s="1499"/>
      <c r="BO99" s="1499"/>
      <c r="BP99" s="1499"/>
      <c r="BQ99" s="1499"/>
      <c r="BR99" s="1499"/>
      <c r="BS99" s="1499"/>
      <c r="BT99" s="1499"/>
      <c r="BU99" s="1499"/>
      <c r="BV99" s="1499"/>
      <c r="BW99" s="1499"/>
      <c r="BX99" s="1499"/>
      <c r="BY99" s="1499"/>
      <c r="BZ99" s="1499"/>
      <c r="CA99" s="1499"/>
      <c r="CB99" s="1499"/>
      <c r="CC99" s="1499"/>
      <c r="CD99" s="1499"/>
      <c r="CE99" s="1499"/>
      <c r="CF99" s="1499"/>
      <c r="CG99" s="1499"/>
      <c r="CP99" s="1455">
        <v>45000</v>
      </c>
      <c r="CQ99" s="1467">
        <v>1000013483</v>
      </c>
      <c r="CR99" s="1498"/>
      <c r="CS99" s="700">
        <v>150000</v>
      </c>
      <c r="CT99" s="700"/>
      <c r="CU99" s="700"/>
      <c r="CV99" s="700"/>
      <c r="CW99" s="700"/>
      <c r="CX99" s="700"/>
      <c r="CY99" s="719"/>
      <c r="CZ99" s="700"/>
      <c r="DA99" s="700"/>
      <c r="DB99" s="700"/>
      <c r="DC99" s="718"/>
      <c r="DD99" s="1468"/>
      <c r="DE99" s="1458"/>
      <c r="DG99" s="1455">
        <v>45470</v>
      </c>
      <c r="DH99" s="700">
        <v>1000021347</v>
      </c>
      <c r="DI99" s="697"/>
      <c r="DJ99" s="700"/>
      <c r="DK99" s="700"/>
      <c r="DL99" s="700"/>
      <c r="DM99" s="700"/>
      <c r="DN99" s="700"/>
      <c r="DO99" s="700">
        <v>30000</v>
      </c>
      <c r="DP99" s="1466"/>
      <c r="DQ99" s="1466"/>
      <c r="DR99" s="1466"/>
      <c r="DS99" s="700"/>
      <c r="DT99" s="700"/>
      <c r="DU99" s="700"/>
      <c r="DV99" s="700"/>
      <c r="DW99" s="700"/>
      <c r="DX99" s="700"/>
      <c r="DY99" s="700"/>
      <c r="DZ99" s="700"/>
      <c r="EA99" s="700"/>
      <c r="EB99" s="700"/>
      <c r="EC99" s="1448"/>
      <c r="ED99" s="1448"/>
      <c r="EE99" s="1469"/>
      <c r="EF99" s="1461"/>
      <c r="EG99" s="1499"/>
      <c r="EH99" s="1499"/>
      <c r="EI99" s="1455"/>
      <c r="EJ99" s="1467"/>
      <c r="EK99" s="700"/>
      <c r="EL99" s="700"/>
      <c r="EM99" s="700"/>
      <c r="EN99" s="700"/>
      <c r="EO99" s="718"/>
      <c r="EP99" s="700"/>
      <c r="EQ99" s="700"/>
      <c r="ER99" s="700"/>
      <c r="ES99" s="700"/>
      <c r="ET99" s="700"/>
      <c r="EU99" s="700"/>
      <c r="EV99" s="700"/>
      <c r="EW99" s="700"/>
      <c r="EX99" s="700"/>
      <c r="EY99" s="700"/>
      <c r="EZ99" s="700"/>
      <c r="FA99" s="700"/>
      <c r="FB99" s="700">
        <v>1500</v>
      </c>
      <c r="FC99" s="1454"/>
      <c r="FD99" s="1462">
        <v>4500127943</v>
      </c>
      <c r="FH99" s="1472">
        <v>45777</v>
      </c>
      <c r="FI99" s="721">
        <v>1000027603</v>
      </c>
      <c r="FJ99" s="721"/>
      <c r="FK99" s="721"/>
      <c r="FL99" s="721"/>
      <c r="FM99" s="721"/>
      <c r="FN99" s="721"/>
      <c r="FO99" s="721">
        <v>150000</v>
      </c>
      <c r="FP99" s="721"/>
      <c r="FQ99" s="721"/>
      <c r="FR99" s="721"/>
      <c r="FS99" s="721"/>
      <c r="FT99" s="721"/>
      <c r="FU99" s="721"/>
      <c r="FV99" s="721"/>
      <c r="FW99" s="721"/>
      <c r="FX99" s="1473"/>
      <c r="FY99" s="1474"/>
    </row>
    <row r="100" s="1329" customFormat="1" ht="24" customHeight="1" spans="1:195">
      <c r="C100" s="1647"/>
      <c r="S100" s="1586">
        <v>44295</v>
      </c>
      <c r="T100" s="700" t="s">
        <v>12076</v>
      </c>
      <c r="U100" s="700" t="s">
        <v>11679</v>
      </c>
      <c r="V100" s="700"/>
      <c r="W100" s="700"/>
      <c r="X100" s="700"/>
      <c r="Y100" s="700"/>
      <c r="Z100" s="700"/>
      <c r="AA100" s="700">
        <v>3000</v>
      </c>
      <c r="AB100" s="700"/>
      <c r="AC100" s="700"/>
      <c r="AD100" s="700"/>
      <c r="AE100" s="700"/>
      <c r="AF100" s="700"/>
      <c r="AG100" s="700"/>
      <c r="AH100" s="700"/>
      <c r="AI100" s="700"/>
      <c r="AK100" s="1499"/>
      <c r="AL100" s="1499"/>
      <c r="AM100" s="1499"/>
      <c r="AN100" s="1499"/>
      <c r="AO100" s="1499"/>
      <c r="AP100" s="1499"/>
      <c r="AQ100" s="1499"/>
      <c r="AR100" s="1499"/>
      <c r="AS100" s="1499"/>
      <c r="AT100" s="1499"/>
      <c r="AU100" s="1499"/>
      <c r="AV100" s="1499"/>
      <c r="AW100" s="1499"/>
      <c r="AX100" s="1499"/>
      <c r="AY100" s="1499"/>
      <c r="AZ100" s="1499"/>
      <c r="BA100" s="1499"/>
      <c r="BB100" s="1499"/>
      <c r="BC100" s="1499"/>
      <c r="BD100" s="1499"/>
      <c r="BE100" s="1499"/>
      <c r="BF100" s="1499"/>
      <c r="BG100" s="1499"/>
      <c r="BH100" s="1499"/>
      <c r="BI100" s="1499"/>
      <c r="BJ100" s="1499"/>
      <c r="BK100" s="1499"/>
      <c r="BL100" s="1499"/>
      <c r="BM100" s="1499"/>
      <c r="BN100" s="1499"/>
      <c r="BO100" s="1499"/>
      <c r="BP100" s="1499"/>
      <c r="BQ100" s="1499"/>
      <c r="BR100" s="1499"/>
      <c r="BS100" s="1499"/>
      <c r="BT100" s="1499"/>
      <c r="BU100" s="1499"/>
      <c r="BV100" s="1499"/>
      <c r="BW100" s="1499"/>
      <c r="BX100" s="1499"/>
      <c r="BY100" s="1499"/>
      <c r="BZ100" s="1499"/>
      <c r="CA100" s="1499"/>
      <c r="CB100" s="1499"/>
      <c r="CC100" s="1499"/>
      <c r="CD100" s="1499"/>
      <c r="CE100" s="1499"/>
      <c r="CF100" s="1499"/>
      <c r="CG100" s="1499"/>
      <c r="CP100" s="1455">
        <v>45000</v>
      </c>
      <c r="CQ100" s="1467">
        <v>1000013484</v>
      </c>
      <c r="CR100" s="1498"/>
      <c r="CS100" s="718"/>
      <c r="CT100" s="718"/>
      <c r="CU100" s="718"/>
      <c r="CV100" s="718"/>
      <c r="CW100" s="700">
        <v>200000</v>
      </c>
      <c r="CX100" s="718"/>
      <c r="CY100" s="1571"/>
      <c r="CZ100" s="718"/>
      <c r="DA100" s="718"/>
      <c r="DB100" s="718"/>
      <c r="DC100" s="718"/>
      <c r="DD100" s="1468"/>
      <c r="DE100" s="1458"/>
      <c r="DG100" s="1455">
        <v>45470</v>
      </c>
      <c r="DH100" s="700">
        <v>1000021348</v>
      </c>
      <c r="DI100" s="697"/>
      <c r="DJ100" s="700"/>
      <c r="DK100" s="700"/>
      <c r="DL100" s="700"/>
      <c r="DM100" s="700"/>
      <c r="DN100" s="700"/>
      <c r="DO100" s="700"/>
      <c r="DP100" s="1466"/>
      <c r="DQ100" s="1466"/>
      <c r="DR100" s="1466">
        <v>150000</v>
      </c>
      <c r="DS100" s="700"/>
      <c r="DT100" s="700"/>
      <c r="DU100" s="700"/>
      <c r="DV100" s="700"/>
      <c r="DW100" s="700"/>
      <c r="DX100" s="700"/>
      <c r="DY100" s="700"/>
      <c r="DZ100" s="700"/>
      <c r="EA100" s="700"/>
      <c r="EB100" s="700"/>
      <c r="EC100" s="1448"/>
      <c r="ED100" s="1448"/>
      <c r="EE100" s="1469"/>
      <c r="EF100" s="1461"/>
      <c r="EG100" s="1499"/>
      <c r="EH100" s="1499"/>
      <c r="EI100" s="1455">
        <v>45681</v>
      </c>
      <c r="EJ100" s="1467">
        <v>1000025650</v>
      </c>
      <c r="EK100" s="700"/>
      <c r="EL100" s="700"/>
      <c r="EM100" s="700">
        <v>100000</v>
      </c>
      <c r="EN100" s="700"/>
      <c r="EO100" s="718"/>
      <c r="EP100" s="700"/>
      <c r="EQ100" s="700"/>
      <c r="ER100" s="700"/>
      <c r="ES100" s="700"/>
      <c r="ET100" s="700"/>
      <c r="EU100" s="700"/>
      <c r="EV100" s="700"/>
      <c r="EW100" s="700"/>
      <c r="EX100" s="700"/>
      <c r="EY100" s="700"/>
      <c r="EZ100" s="700"/>
      <c r="FA100" s="700"/>
      <c r="FB100" s="700"/>
      <c r="FC100" s="1454"/>
      <c r="FD100" s="1462"/>
      <c r="FH100" s="1472">
        <v>45777</v>
      </c>
      <c r="FI100" s="721">
        <v>1000027604</v>
      </c>
      <c r="FJ100" s="721"/>
      <c r="FK100" s="721"/>
      <c r="FL100" s="721"/>
      <c r="FM100" s="721"/>
      <c r="FN100" s="721"/>
      <c r="FO100" s="721"/>
      <c r="FP100" s="721"/>
      <c r="FQ100" s="721">
        <v>5000</v>
      </c>
      <c r="FR100" s="721"/>
      <c r="FS100" s="721"/>
      <c r="FT100" s="721"/>
      <c r="FU100" s="721"/>
      <c r="FV100" s="721"/>
      <c r="FW100" s="721"/>
      <c r="FX100" s="1473"/>
      <c r="FY100" s="1474"/>
    </row>
    <row r="101" s="1329" customFormat="1" ht="24" customHeight="1" spans="1:195">
      <c r="C101" s="1647"/>
      <c r="S101" s="1586">
        <v>44333</v>
      </c>
      <c r="T101" s="700" t="s">
        <v>12077</v>
      </c>
      <c r="U101" s="700" t="s">
        <v>11683</v>
      </c>
      <c r="V101" s="700"/>
      <c r="W101" s="700">
        <v>60000</v>
      </c>
      <c r="X101" s="700"/>
      <c r="Y101" s="700"/>
      <c r="Z101" s="700"/>
      <c r="AA101" s="700"/>
      <c r="AB101" s="700"/>
      <c r="AC101" s="700"/>
      <c r="AD101" s="700"/>
      <c r="AE101" s="700"/>
      <c r="AF101" s="700"/>
      <c r="AG101" s="700"/>
      <c r="AH101" s="700"/>
      <c r="AI101" s="700"/>
      <c r="AK101" s="1499"/>
      <c r="AL101" s="1499"/>
      <c r="AM101" s="1499"/>
      <c r="AN101" s="1499"/>
      <c r="AO101" s="1499"/>
      <c r="AP101" s="1499"/>
      <c r="AQ101" s="1499"/>
      <c r="AR101" s="1499"/>
      <c r="AS101" s="1499"/>
      <c r="AT101" s="1499"/>
      <c r="AU101" s="1499"/>
      <c r="AV101" s="1499"/>
      <c r="AW101" s="1499"/>
      <c r="AX101" s="1499"/>
      <c r="AY101" s="1499"/>
      <c r="AZ101" s="1499"/>
      <c r="BA101" s="1499"/>
      <c r="BB101" s="1499"/>
      <c r="BC101" s="1499"/>
      <c r="BD101" s="1499"/>
      <c r="BE101" s="1499"/>
      <c r="BF101" s="1499"/>
      <c r="BG101" s="1499"/>
      <c r="BH101" s="1499"/>
      <c r="BI101" s="1499"/>
      <c r="BJ101" s="1499"/>
      <c r="BK101" s="1499"/>
      <c r="BL101" s="1499"/>
      <c r="BM101" s="1499"/>
      <c r="BN101" s="1499"/>
      <c r="BO101" s="1499"/>
      <c r="BP101" s="1499"/>
      <c r="BQ101" s="1499"/>
      <c r="BR101" s="1499"/>
      <c r="BS101" s="1499"/>
      <c r="BT101" s="1499"/>
      <c r="BU101" s="1499"/>
      <c r="BV101" s="1499"/>
      <c r="BW101" s="1499"/>
      <c r="BX101" s="1499"/>
      <c r="BY101" s="1499"/>
      <c r="BZ101" s="1499"/>
      <c r="CA101" s="1499"/>
      <c r="CB101" s="1499"/>
      <c r="CC101" s="1499"/>
      <c r="CD101" s="1499"/>
      <c r="CE101" s="1499"/>
      <c r="CF101" s="1499"/>
      <c r="CG101" s="1499"/>
      <c r="CP101" s="1455">
        <v>45039</v>
      </c>
      <c r="CQ101" s="1467">
        <v>1000014034</v>
      </c>
      <c r="CR101" s="1498"/>
      <c r="CS101" s="718"/>
      <c r="CT101" s="718"/>
      <c r="CU101" s="718"/>
      <c r="CV101" s="718"/>
      <c r="CW101" s="718"/>
      <c r="CX101" s="718">
        <v>3000</v>
      </c>
      <c r="CY101" s="1571"/>
      <c r="CZ101" s="718"/>
      <c r="DA101" s="718"/>
      <c r="DB101" s="718"/>
      <c r="DC101" s="718"/>
      <c r="DD101" s="1468"/>
      <c r="DE101" s="1458"/>
      <c r="DG101" s="1455">
        <v>45474</v>
      </c>
      <c r="DH101" s="700"/>
      <c r="DI101" s="697"/>
      <c r="DJ101" s="700"/>
      <c r="DK101" s="700"/>
      <c r="DL101" s="700"/>
      <c r="DM101" s="700"/>
      <c r="DN101" s="700"/>
      <c r="DO101" s="700"/>
      <c r="DP101" s="1466"/>
      <c r="DQ101" s="1466"/>
      <c r="DR101" s="1466"/>
      <c r="DS101" s="700"/>
      <c r="DT101" s="700"/>
      <c r="DU101" s="700"/>
      <c r="DV101" s="700"/>
      <c r="DW101" s="700"/>
      <c r="DX101" s="700"/>
      <c r="DY101" s="700"/>
      <c r="DZ101" s="700"/>
      <c r="EA101" s="700"/>
      <c r="EB101" s="700"/>
      <c r="EC101" s="1448">
        <v>600</v>
      </c>
      <c r="ED101" s="1448"/>
      <c r="EE101" s="1469" t="s">
        <v>12078</v>
      </c>
      <c r="EF101" s="1461"/>
      <c r="EG101" s="1499"/>
      <c r="EH101" s="1499"/>
      <c r="EI101" s="1455">
        <v>45681</v>
      </c>
      <c r="EJ101" s="1467">
        <v>1000025651</v>
      </c>
      <c r="EK101" s="700"/>
      <c r="EL101" s="700"/>
      <c r="EM101" s="700"/>
      <c r="EN101" s="700"/>
      <c r="EO101" s="718"/>
      <c r="EP101" s="700"/>
      <c r="EQ101" s="700"/>
      <c r="ER101" s="700">
        <v>100000</v>
      </c>
      <c r="ES101" s="700"/>
      <c r="ET101" s="700"/>
      <c r="EU101" s="700"/>
      <c r="EV101" s="700"/>
      <c r="EW101" s="700"/>
      <c r="EX101" s="700"/>
      <c r="EY101" s="700"/>
      <c r="EZ101" s="700"/>
      <c r="FA101" s="700"/>
      <c r="FB101" s="700"/>
      <c r="FC101" s="1454"/>
      <c r="FD101" s="1462"/>
      <c r="FE101" s="1330"/>
      <c r="FH101" s="1472">
        <v>45777</v>
      </c>
      <c r="FI101" s="721">
        <v>1000027605</v>
      </c>
      <c r="FJ101" s="721"/>
      <c r="FK101" s="721"/>
      <c r="FL101" s="721"/>
      <c r="FM101" s="721"/>
      <c r="FN101" s="721"/>
      <c r="FO101" s="721"/>
      <c r="FP101" s="721"/>
      <c r="FQ101" s="721"/>
      <c r="FR101" s="721">
        <v>8000</v>
      </c>
      <c r="FS101" s="721"/>
      <c r="FT101" s="721"/>
      <c r="FU101" s="721"/>
      <c r="FV101" s="721"/>
      <c r="FW101" s="721"/>
      <c r="FX101" s="1473"/>
      <c r="FY101" s="1474"/>
    </row>
    <row r="102" s="1329" customFormat="1" ht="24" customHeight="1" spans="1:195">
      <c r="C102" s="1647"/>
      <c r="S102" s="1586">
        <v>44333</v>
      </c>
      <c r="T102" s="700" t="s">
        <v>12079</v>
      </c>
      <c r="U102" s="700" t="s">
        <v>11683</v>
      </c>
      <c r="V102" s="700"/>
      <c r="W102" s="700"/>
      <c r="X102" s="700">
        <v>180000</v>
      </c>
      <c r="Y102" s="700"/>
      <c r="Z102" s="700"/>
      <c r="AA102" s="700"/>
      <c r="AB102" s="700"/>
      <c r="AC102" s="700"/>
      <c r="AD102" s="700"/>
      <c r="AE102" s="700"/>
      <c r="AF102" s="700"/>
      <c r="AG102" s="700"/>
      <c r="AH102" s="700"/>
      <c r="AI102" s="700"/>
      <c r="AK102" s="1499"/>
      <c r="AL102" s="1499"/>
      <c r="AM102" s="1499"/>
      <c r="AN102" s="1499"/>
      <c r="AO102" s="1499"/>
      <c r="AP102" s="1499"/>
      <c r="AQ102" s="1499"/>
      <c r="AR102" s="1499"/>
      <c r="AS102" s="1499"/>
      <c r="AT102" s="1499"/>
      <c r="AU102" s="1499"/>
      <c r="AV102" s="1499"/>
      <c r="AW102" s="1499"/>
      <c r="AX102" s="1499"/>
      <c r="AY102" s="1499"/>
      <c r="AZ102" s="1499"/>
      <c r="BA102" s="1499"/>
      <c r="BB102" s="1499"/>
      <c r="BC102" s="1499"/>
      <c r="BD102" s="1499"/>
      <c r="BE102" s="1499"/>
      <c r="BF102" s="1499"/>
      <c r="BG102" s="1499"/>
      <c r="BH102" s="1499"/>
      <c r="BI102" s="1499"/>
      <c r="BJ102" s="1499"/>
      <c r="BK102" s="1499"/>
      <c r="BL102" s="1499"/>
      <c r="BM102" s="1499"/>
      <c r="BN102" s="1499"/>
      <c r="BO102" s="1499"/>
      <c r="BP102" s="1499"/>
      <c r="BQ102" s="1499"/>
      <c r="BR102" s="1499"/>
      <c r="BS102" s="1499"/>
      <c r="BT102" s="1499"/>
      <c r="BU102" s="1499"/>
      <c r="BV102" s="1499"/>
      <c r="BW102" s="1499"/>
      <c r="BX102" s="1499"/>
      <c r="BY102" s="1499"/>
      <c r="BZ102" s="1499"/>
      <c r="CA102" s="1499"/>
      <c r="CB102" s="1499"/>
      <c r="CC102" s="1499"/>
      <c r="CD102" s="1499"/>
      <c r="CE102" s="1499"/>
      <c r="CF102" s="1499"/>
      <c r="CG102" s="1499"/>
      <c r="CP102" s="1455">
        <v>45056</v>
      </c>
      <c r="CQ102" s="1467">
        <v>1000014343</v>
      </c>
      <c r="CR102" s="1498" t="s">
        <v>11832</v>
      </c>
      <c r="CS102" s="700">
        <v>50000</v>
      </c>
      <c r="CT102" s="700"/>
      <c r="CU102" s="700"/>
      <c r="CV102" s="700"/>
      <c r="CW102" s="700"/>
      <c r="CX102" s="700"/>
      <c r="CY102" s="719"/>
      <c r="CZ102" s="700"/>
      <c r="DA102" s="700"/>
      <c r="DB102" s="700"/>
      <c r="DC102" s="700"/>
      <c r="DD102" s="1448"/>
      <c r="DE102" s="1458"/>
      <c r="DG102" s="1455">
        <v>45495</v>
      </c>
      <c r="DH102" s="700">
        <v>1000022022</v>
      </c>
      <c r="DI102" s="697"/>
      <c r="DJ102" s="700"/>
      <c r="DK102" s="700"/>
      <c r="DL102" s="700"/>
      <c r="DM102" s="700"/>
      <c r="DN102" s="700"/>
      <c r="DO102" s="700"/>
      <c r="DP102" s="1466"/>
      <c r="DQ102" s="1466"/>
      <c r="DR102" s="1466"/>
      <c r="DS102" s="700"/>
      <c r="DT102" s="700"/>
      <c r="DU102" s="700"/>
      <c r="DV102" s="700"/>
      <c r="DW102" s="700"/>
      <c r="DX102" s="700"/>
      <c r="DY102" s="700"/>
      <c r="DZ102" s="700"/>
      <c r="EA102" s="700"/>
      <c r="EB102" s="700"/>
      <c r="EC102" s="1448">
        <v>11712</v>
      </c>
      <c r="ED102" s="1448"/>
      <c r="EE102" s="1469" t="s">
        <v>12080</v>
      </c>
      <c r="EF102" s="1461">
        <f>EC102-4008-1200-1500-5004</f>
        <v>0</v>
      </c>
      <c r="EG102" s="1499"/>
      <c r="EH102" s="1499"/>
      <c r="EI102" s="1455">
        <v>45681</v>
      </c>
      <c r="EJ102" s="1467">
        <v>1000025652</v>
      </c>
      <c r="EK102" s="700"/>
      <c r="EL102" s="700"/>
      <c r="EM102" s="700"/>
      <c r="EN102" s="700"/>
      <c r="EO102" s="718"/>
      <c r="EP102" s="700"/>
      <c r="EQ102" s="700"/>
      <c r="ER102" s="700"/>
      <c r="ES102" s="700"/>
      <c r="ET102" s="700"/>
      <c r="EU102" s="700"/>
      <c r="EV102" s="700">
        <v>500</v>
      </c>
      <c r="EW102" s="700"/>
      <c r="EX102" s="700"/>
      <c r="EY102" s="700"/>
      <c r="EZ102" s="700"/>
      <c r="FA102" s="700"/>
      <c r="FB102" s="700"/>
      <c r="FC102" s="1454"/>
      <c r="FD102" s="1462"/>
      <c r="FE102" s="1330"/>
      <c r="FH102" s="1472">
        <v>45789</v>
      </c>
      <c r="FI102" s="721" t="s">
        <v>12081</v>
      </c>
      <c r="FJ102" s="721"/>
      <c r="FK102" s="721"/>
      <c r="FL102" s="721"/>
      <c r="FM102" s="721"/>
      <c r="FN102" s="721"/>
      <c r="FO102" s="721"/>
      <c r="FP102" s="721"/>
      <c r="FQ102" s="721"/>
      <c r="FR102" s="721"/>
      <c r="FS102" s="721"/>
      <c r="FT102" s="721">
        <v>2125</v>
      </c>
      <c r="FU102" s="721"/>
      <c r="FV102" s="721"/>
      <c r="FW102" s="721"/>
      <c r="FX102" s="1473"/>
      <c r="FY102" s="1474" t="s">
        <v>12082</v>
      </c>
      <c r="GM102" s="1330"/>
    </row>
    <row r="103" s="1329" customFormat="1" ht="24" customHeight="1" spans="1:195">
      <c r="C103" s="1647"/>
      <c r="S103" s="1586">
        <v>44333</v>
      </c>
      <c r="T103" s="700" t="s">
        <v>12083</v>
      </c>
      <c r="U103" s="700" t="s">
        <v>11683</v>
      </c>
      <c r="V103" s="700"/>
      <c r="W103" s="700"/>
      <c r="X103" s="700"/>
      <c r="Y103" s="700">
        <v>180000</v>
      </c>
      <c r="Z103" s="700"/>
      <c r="AA103" s="700"/>
      <c r="AB103" s="700"/>
      <c r="AC103" s="700"/>
      <c r="AD103" s="700"/>
      <c r="AE103" s="700"/>
      <c r="AF103" s="700"/>
      <c r="AG103" s="700"/>
      <c r="AH103" s="700"/>
      <c r="AI103" s="700"/>
      <c r="AK103" s="1499"/>
      <c r="AL103" s="1499"/>
      <c r="AM103" s="1499"/>
      <c r="AN103" s="1499"/>
      <c r="AO103" s="1499"/>
      <c r="AP103" s="1499"/>
      <c r="AQ103" s="1499"/>
      <c r="AR103" s="1499"/>
      <c r="AS103" s="1499"/>
      <c r="AT103" s="1499"/>
      <c r="AU103" s="1499"/>
      <c r="AV103" s="1499"/>
      <c r="AW103" s="1499"/>
      <c r="AX103" s="1499"/>
      <c r="AY103" s="1499"/>
      <c r="AZ103" s="1499"/>
      <c r="BA103" s="1499"/>
      <c r="BB103" s="1499"/>
      <c r="BC103" s="1499"/>
      <c r="BD103" s="1499"/>
      <c r="BE103" s="1499"/>
      <c r="BF103" s="1499"/>
      <c r="BG103" s="1499"/>
      <c r="BH103" s="1499"/>
      <c r="BI103" s="1499"/>
      <c r="BJ103" s="1499"/>
      <c r="BK103" s="1499"/>
      <c r="BL103" s="1499"/>
      <c r="BM103" s="1499"/>
      <c r="BN103" s="1499"/>
      <c r="BO103" s="1499"/>
      <c r="BP103" s="1499"/>
      <c r="BQ103" s="1499"/>
      <c r="BR103" s="1499"/>
      <c r="BS103" s="1499"/>
      <c r="BT103" s="1499"/>
      <c r="BU103" s="1499"/>
      <c r="BV103" s="1499"/>
      <c r="BW103" s="1499"/>
      <c r="BX103" s="1499"/>
      <c r="BY103" s="1499"/>
      <c r="BZ103" s="1499"/>
      <c r="CA103" s="1499"/>
      <c r="CB103" s="1499"/>
      <c r="CC103" s="1499"/>
      <c r="CD103" s="1499"/>
      <c r="CE103" s="1499"/>
      <c r="CF103" s="1499"/>
      <c r="CG103" s="1499"/>
      <c r="CP103" s="1455">
        <v>45056</v>
      </c>
      <c r="CQ103" s="1467">
        <v>1000014344</v>
      </c>
      <c r="CR103" s="1498" t="s">
        <v>11832</v>
      </c>
      <c r="CS103" s="700"/>
      <c r="CT103" s="700"/>
      <c r="CU103" s="700"/>
      <c r="CV103" s="700">
        <v>30000</v>
      </c>
      <c r="CW103" s="700"/>
      <c r="CX103" s="700"/>
      <c r="CY103" s="719"/>
      <c r="CZ103" s="700"/>
      <c r="DA103" s="700"/>
      <c r="DB103" s="700"/>
      <c r="DC103" s="700"/>
      <c r="DD103" s="1448"/>
      <c r="DE103" s="1458"/>
      <c r="DG103" s="1455">
        <v>45512</v>
      </c>
      <c r="DH103" s="718">
        <v>1000022424</v>
      </c>
      <c r="DI103" s="697"/>
      <c r="DJ103" s="700"/>
      <c r="DK103" s="700">
        <v>60000</v>
      </c>
      <c r="DL103" s="700"/>
      <c r="DM103" s="700"/>
      <c r="DN103" s="700"/>
      <c r="DO103" s="700"/>
      <c r="DP103" s="1466"/>
      <c r="DQ103" s="1466"/>
      <c r="DR103" s="1466"/>
      <c r="DS103" s="700"/>
      <c r="DT103" s="700"/>
      <c r="DU103" s="700"/>
      <c r="DV103" s="700"/>
      <c r="DW103" s="700"/>
      <c r="DX103" s="700"/>
      <c r="DY103" s="700"/>
      <c r="DZ103" s="700"/>
      <c r="EA103" s="700"/>
      <c r="EB103" s="700"/>
      <c r="EC103" s="1448"/>
      <c r="ED103" s="1448"/>
      <c r="EE103" s="1469"/>
      <c r="EF103" s="1461"/>
      <c r="EG103" s="1461"/>
      <c r="EH103" s="1461"/>
      <c r="EI103" s="1455"/>
      <c r="EJ103" s="1674"/>
      <c r="EK103" s="700"/>
      <c r="EL103" s="700"/>
      <c r="EM103" s="700"/>
      <c r="EN103" s="700"/>
      <c r="EO103" s="718"/>
      <c r="EP103" s="700"/>
      <c r="EQ103" s="700"/>
      <c r="ER103" s="700"/>
      <c r="ES103" s="700"/>
      <c r="ET103" s="700"/>
      <c r="EU103" s="700"/>
      <c r="EV103" s="700"/>
      <c r="EW103" s="700"/>
      <c r="EX103" s="700"/>
      <c r="EY103" s="700"/>
      <c r="EZ103" s="700">
        <v>384</v>
      </c>
      <c r="FA103" s="700"/>
      <c r="FB103" s="700"/>
      <c r="FC103" s="1454"/>
      <c r="FD103" s="1462">
        <v>4500155981</v>
      </c>
      <c r="FH103" s="1472">
        <v>45786</v>
      </c>
      <c r="FI103" s="721"/>
      <c r="FJ103" s="721"/>
      <c r="FK103" s="721"/>
      <c r="FL103" s="721"/>
      <c r="FM103" s="721"/>
      <c r="FN103" s="721"/>
      <c r="FO103" s="721"/>
      <c r="FP103" s="721"/>
      <c r="FQ103" s="721"/>
      <c r="FR103" s="721"/>
      <c r="FS103" s="721"/>
      <c r="FT103" s="721">
        <v>1000</v>
      </c>
      <c r="FU103" s="721"/>
      <c r="FV103" s="721"/>
      <c r="FW103" s="721"/>
      <c r="FX103" s="1473"/>
      <c r="FY103" s="1474">
        <v>4500163222</v>
      </c>
      <c r="GL103" s="1330"/>
      <c r="GM103" s="1330"/>
    </row>
    <row r="104" s="1329" customFormat="1" ht="24" customHeight="1" spans="1:195">
      <c r="C104" s="1647"/>
      <c r="S104" s="1586">
        <v>44333</v>
      </c>
      <c r="T104" s="700" t="s">
        <v>12084</v>
      </c>
      <c r="U104" s="700" t="s">
        <v>11683</v>
      </c>
      <c r="V104" s="700"/>
      <c r="W104" s="700"/>
      <c r="X104" s="700"/>
      <c r="Y104" s="700"/>
      <c r="Z104" s="700"/>
      <c r="AA104" s="700">
        <v>8000</v>
      </c>
      <c r="AB104" s="700"/>
      <c r="AC104" s="700"/>
      <c r="AD104" s="700"/>
      <c r="AE104" s="700"/>
      <c r="AF104" s="700"/>
      <c r="AG104" s="700"/>
      <c r="AH104" s="700"/>
      <c r="AI104" s="700"/>
      <c r="AO104" s="1330"/>
      <c r="BP104" s="1330"/>
      <c r="CP104" s="1455">
        <v>45056</v>
      </c>
      <c r="CQ104" s="1467">
        <v>1000014345</v>
      </c>
      <c r="CR104" s="1498" t="s">
        <v>11832</v>
      </c>
      <c r="CS104" s="700"/>
      <c r="CT104" s="700"/>
      <c r="CU104" s="700"/>
      <c r="CV104" s="700"/>
      <c r="CW104" s="700">
        <v>50000</v>
      </c>
      <c r="CX104" s="700"/>
      <c r="CY104" s="719"/>
      <c r="CZ104" s="700"/>
      <c r="DA104" s="700"/>
      <c r="DB104" s="700"/>
      <c r="DC104" s="700"/>
      <c r="DD104" s="1448"/>
      <c r="DE104" s="1458"/>
      <c r="DG104" s="1455">
        <v>45512</v>
      </c>
      <c r="DH104" s="718">
        <v>1000022425</v>
      </c>
      <c r="DI104" s="697"/>
      <c r="DJ104" s="700"/>
      <c r="DK104" s="700"/>
      <c r="DL104" s="700"/>
      <c r="DM104" s="700"/>
      <c r="DN104" s="700"/>
      <c r="DO104" s="700"/>
      <c r="DP104" s="1466"/>
      <c r="DQ104" s="1466"/>
      <c r="DR104" s="1466">
        <v>100000</v>
      </c>
      <c r="DS104" s="700"/>
      <c r="DT104" s="700"/>
      <c r="DU104" s="700"/>
      <c r="DV104" s="700"/>
      <c r="DW104" s="700"/>
      <c r="DX104" s="700"/>
      <c r="DY104" s="700"/>
      <c r="DZ104" s="700"/>
      <c r="EA104" s="700"/>
      <c r="EB104" s="700"/>
      <c r="EC104" s="1448"/>
      <c r="ED104" s="1448"/>
      <c r="EE104" s="1469"/>
      <c r="EF104" s="1461"/>
      <c r="EG104" s="1461"/>
      <c r="EH104" s="1461"/>
      <c r="EI104" s="1455">
        <v>45677</v>
      </c>
      <c r="EJ104" s="1467">
        <v>1000025605</v>
      </c>
      <c r="EK104" s="700"/>
      <c r="EL104" s="700"/>
      <c r="EM104" s="700"/>
      <c r="EN104" s="700"/>
      <c r="EO104" s="718"/>
      <c r="EP104" s="700"/>
      <c r="EQ104" s="700"/>
      <c r="ER104" s="700"/>
      <c r="ES104" s="700"/>
      <c r="ET104" s="700"/>
      <c r="EU104" s="700"/>
      <c r="EV104" s="700"/>
      <c r="EW104" s="700"/>
      <c r="EX104" s="700"/>
      <c r="EY104" s="700"/>
      <c r="EZ104" s="700">
        <v>2880</v>
      </c>
      <c r="FA104" s="700"/>
      <c r="FB104" s="700"/>
      <c r="FC104" s="1454"/>
      <c r="FD104" s="1462" t="s">
        <v>12085</v>
      </c>
      <c r="FH104" s="1472">
        <v>45797</v>
      </c>
      <c r="FI104" s="721"/>
      <c r="FJ104" s="721"/>
      <c r="FK104" s="721"/>
      <c r="FL104" s="721"/>
      <c r="FM104" s="721"/>
      <c r="FN104" s="721"/>
      <c r="FO104" s="721"/>
      <c r="FP104" s="721"/>
      <c r="FQ104" s="721"/>
      <c r="FR104" s="721"/>
      <c r="FS104" s="721"/>
      <c r="FT104" s="721"/>
      <c r="FU104" s="721">
        <v>483</v>
      </c>
      <c r="FV104" s="721"/>
      <c r="FW104" s="721"/>
      <c r="FX104" s="1473"/>
      <c r="FY104" s="1474">
        <v>4500167165</v>
      </c>
      <c r="GL104" s="1330"/>
    </row>
    <row r="105" s="1329" customFormat="1" ht="24" customHeight="1" spans="1:195">
      <c r="C105" s="1647"/>
      <c r="S105" s="1586"/>
      <c r="T105" s="700"/>
      <c r="U105" s="700"/>
      <c r="V105" s="700"/>
      <c r="W105" s="700"/>
      <c r="X105" s="700"/>
      <c r="Y105" s="700"/>
      <c r="Z105" s="700"/>
      <c r="AA105" s="700"/>
      <c r="AB105" s="700"/>
      <c r="AC105" s="700"/>
      <c r="AD105" s="700"/>
      <c r="AE105" s="700"/>
      <c r="AF105" s="700"/>
      <c r="AG105" s="700"/>
      <c r="AH105" s="700"/>
      <c r="AI105" s="700"/>
      <c r="AO105" s="1330"/>
      <c r="BP105" s="1330"/>
      <c r="CP105" s="1621">
        <v>45091</v>
      </c>
      <c r="CQ105" s="1500">
        <v>1000014888</v>
      </c>
      <c r="CR105" s="1675" t="s">
        <v>11832</v>
      </c>
      <c r="CS105" s="1496">
        <v>90000</v>
      </c>
      <c r="CT105" s="1496"/>
      <c r="CU105" s="1496"/>
      <c r="CV105" s="1496"/>
      <c r="CW105" s="1496"/>
      <c r="CX105" s="1496"/>
      <c r="CY105" s="1676"/>
      <c r="CZ105" s="1496"/>
      <c r="DA105" s="1496"/>
      <c r="DB105" s="1496"/>
      <c r="DC105" s="1496"/>
      <c r="DD105" s="1521"/>
      <c r="DE105" s="1458"/>
      <c r="DG105" s="1455">
        <v>45560</v>
      </c>
      <c r="DH105" s="700">
        <v>1000023375</v>
      </c>
      <c r="DI105" s="697"/>
      <c r="DJ105" s="700"/>
      <c r="DK105" s="700">
        <v>120000</v>
      </c>
      <c r="DL105" s="700"/>
      <c r="DM105" s="700"/>
      <c r="DN105" s="700"/>
      <c r="DO105" s="700"/>
      <c r="DP105" s="1466"/>
      <c r="DQ105" s="1466"/>
      <c r="DR105" s="1466"/>
      <c r="DS105" s="700"/>
      <c r="DT105" s="700"/>
      <c r="DU105" s="700"/>
      <c r="DV105" s="700"/>
      <c r="DW105" s="700"/>
      <c r="DX105" s="700"/>
      <c r="DY105" s="700"/>
      <c r="DZ105" s="700"/>
      <c r="EA105" s="700"/>
      <c r="EB105" s="700"/>
      <c r="EC105" s="1448"/>
      <c r="ED105" s="1448"/>
      <c r="EE105" s="1469"/>
      <c r="EF105" s="1461"/>
      <c r="EG105" s="1461"/>
      <c r="EH105" s="1461"/>
      <c r="EI105" s="1621">
        <v>45719</v>
      </c>
      <c r="EJ105" s="1500">
        <v>1000026079</v>
      </c>
      <c r="EK105" s="1496"/>
      <c r="EL105" s="1496"/>
      <c r="EM105" s="1496"/>
      <c r="EN105" s="1496"/>
      <c r="EO105" s="1496"/>
      <c r="EP105" s="1496"/>
      <c r="EQ105" s="1496"/>
      <c r="ER105" s="1496"/>
      <c r="ES105" s="1496"/>
      <c r="ET105" s="1496"/>
      <c r="EU105" s="1496"/>
      <c r="EV105" s="1496"/>
      <c r="EW105" s="1496"/>
      <c r="EX105" s="1496"/>
      <c r="EY105" s="1496"/>
      <c r="EZ105" s="1496">
        <v>1152</v>
      </c>
      <c r="FA105" s="1496"/>
      <c r="FB105" s="1496"/>
      <c r="FC105" s="1502"/>
      <c r="FD105" s="1484" t="s">
        <v>12086</v>
      </c>
      <c r="FH105" s="1472">
        <v>45800</v>
      </c>
      <c r="FI105" s="721"/>
      <c r="FJ105" s="721"/>
      <c r="FK105" s="721"/>
      <c r="FL105" s="721"/>
      <c r="FM105" s="721"/>
      <c r="FN105" s="721"/>
      <c r="FO105" s="721"/>
      <c r="FP105" s="721"/>
      <c r="FQ105" s="721"/>
      <c r="FR105" s="721"/>
      <c r="FS105" s="721"/>
      <c r="FT105" s="721"/>
      <c r="FU105" s="721">
        <v>334</v>
      </c>
      <c r="FV105" s="721"/>
      <c r="FW105" s="721"/>
      <c r="FX105" s="1473"/>
      <c r="FY105" s="1474">
        <v>4500167751</v>
      </c>
    </row>
    <row r="106" s="1329" customFormat="1" ht="24" customHeight="1" spans="1:195">
      <c r="C106" s="1647"/>
      <c r="S106" s="1586"/>
      <c r="T106" s="700"/>
      <c r="U106" s="700"/>
      <c r="V106" s="700"/>
      <c r="W106" s="700"/>
      <c r="X106" s="700"/>
      <c r="Y106" s="700"/>
      <c r="Z106" s="700"/>
      <c r="AA106" s="700"/>
      <c r="AB106" s="700"/>
      <c r="AC106" s="700"/>
      <c r="AD106" s="700"/>
      <c r="AE106" s="700"/>
      <c r="AF106" s="700"/>
      <c r="AG106" s="700"/>
      <c r="AH106" s="700"/>
      <c r="AI106" s="700"/>
      <c r="AO106" s="1330"/>
      <c r="BP106" s="1330"/>
      <c r="CP106" s="1621">
        <v>45091</v>
      </c>
      <c r="CQ106" s="1500">
        <v>1000014889</v>
      </c>
      <c r="CR106" s="1675" t="s">
        <v>11832</v>
      </c>
      <c r="CS106" s="1496"/>
      <c r="CT106" s="1496"/>
      <c r="CU106" s="1496"/>
      <c r="CV106" s="1496"/>
      <c r="CW106" s="1496">
        <v>80000</v>
      </c>
      <c r="CX106" s="1496"/>
      <c r="CY106" s="1676"/>
      <c r="CZ106" s="1496"/>
      <c r="DA106" s="1496"/>
      <c r="DB106" s="1496"/>
      <c r="DC106" s="1496"/>
      <c r="DD106" s="1521"/>
      <c r="DE106" s="1458"/>
      <c r="DG106" s="1455">
        <v>45560</v>
      </c>
      <c r="DH106" s="700">
        <v>1000023376</v>
      </c>
      <c r="DI106" s="697"/>
      <c r="DJ106" s="700"/>
      <c r="DK106" s="700"/>
      <c r="DL106" s="700"/>
      <c r="DM106" s="700"/>
      <c r="DN106" s="700"/>
      <c r="DO106" s="700">
        <v>30000</v>
      </c>
      <c r="DP106" s="1466"/>
      <c r="DQ106" s="1466"/>
      <c r="DR106" s="1466"/>
      <c r="DS106" s="700"/>
      <c r="DT106" s="700"/>
      <c r="DU106" s="700"/>
      <c r="DV106" s="700"/>
      <c r="DW106" s="700"/>
      <c r="DX106" s="700"/>
      <c r="DY106" s="700"/>
      <c r="DZ106" s="700"/>
      <c r="EA106" s="700"/>
      <c r="EB106" s="700"/>
      <c r="EC106" s="1448"/>
      <c r="ED106" s="1448"/>
      <c r="EE106" s="1469"/>
      <c r="EF106" s="1461"/>
      <c r="EG106" s="1461"/>
      <c r="EH106" s="1461"/>
      <c r="EI106" s="1455">
        <v>45722</v>
      </c>
      <c r="EJ106" s="1467">
        <v>1000026145</v>
      </c>
      <c r="EK106" s="700"/>
      <c r="EL106" s="700"/>
      <c r="EM106" s="700"/>
      <c r="EN106" s="700"/>
      <c r="EO106" s="718"/>
      <c r="EP106" s="700">
        <v>30000</v>
      </c>
      <c r="EQ106" s="700"/>
      <c r="ER106" s="700"/>
      <c r="ES106" s="700"/>
      <c r="ET106" s="700"/>
      <c r="EU106" s="700"/>
      <c r="EV106" s="700"/>
      <c r="EW106" s="700"/>
      <c r="EX106" s="700"/>
      <c r="EY106" s="700"/>
      <c r="EZ106" s="700"/>
      <c r="FA106" s="700"/>
      <c r="FB106" s="700"/>
      <c r="FC106" s="1454"/>
      <c r="FD106" s="1462"/>
      <c r="FH106" s="1472">
        <v>45807</v>
      </c>
      <c r="FI106" s="721">
        <v>1000028591</v>
      </c>
      <c r="FJ106" s="1664"/>
      <c r="FK106" s="1664"/>
      <c r="FL106" s="721">
        <v>100000</v>
      </c>
      <c r="FM106" s="721"/>
      <c r="FN106" s="721"/>
      <c r="FO106" s="721"/>
      <c r="FP106" s="721"/>
      <c r="FQ106" s="721"/>
      <c r="FR106" s="1664"/>
      <c r="FS106" s="1664"/>
      <c r="FT106" s="1664"/>
      <c r="FU106" s="1664"/>
      <c r="FV106" s="1664"/>
      <c r="FW106" s="1664"/>
      <c r="FX106" s="1665"/>
      <c r="FY106" s="1666"/>
    </row>
    <row r="107" s="1329" customFormat="1" ht="24" customHeight="1" spans="1:195">
      <c r="C107" s="1647"/>
      <c r="S107" s="1586"/>
      <c r="T107" s="700"/>
      <c r="U107" s="700"/>
      <c r="V107" s="700"/>
      <c r="W107" s="700"/>
      <c r="X107" s="700"/>
      <c r="Y107" s="700"/>
      <c r="Z107" s="700"/>
      <c r="AA107" s="700"/>
      <c r="AB107" s="700"/>
      <c r="AC107" s="700"/>
      <c r="AD107" s="700"/>
      <c r="AE107" s="700"/>
      <c r="AF107" s="700"/>
      <c r="AG107" s="700"/>
      <c r="AH107" s="700"/>
      <c r="AI107" s="700"/>
      <c r="AO107" s="1330"/>
      <c r="BP107" s="1330"/>
      <c r="CP107" s="1621">
        <v>45091</v>
      </c>
      <c r="CQ107" s="1500">
        <v>1000014890</v>
      </c>
      <c r="CR107" s="1675" t="s">
        <v>11832</v>
      </c>
      <c r="CS107" s="1496"/>
      <c r="CT107" s="1496"/>
      <c r="CU107" s="1496">
        <v>9000</v>
      </c>
      <c r="CV107" s="1496"/>
      <c r="CW107" s="1496"/>
      <c r="CX107" s="1496"/>
      <c r="CY107" s="1676"/>
      <c r="CZ107" s="1496"/>
      <c r="DA107" s="1496"/>
      <c r="DB107" s="1496"/>
      <c r="DC107" s="1496"/>
      <c r="DD107" s="1521"/>
      <c r="DE107" s="1458"/>
      <c r="DG107" s="1455">
        <v>45560</v>
      </c>
      <c r="DH107" s="700">
        <v>1000023377</v>
      </c>
      <c r="DI107" s="697"/>
      <c r="DJ107" s="700"/>
      <c r="DK107" s="700"/>
      <c r="DL107" s="700"/>
      <c r="DM107" s="700"/>
      <c r="DN107" s="700"/>
      <c r="DO107" s="700"/>
      <c r="DP107" s="1466"/>
      <c r="DQ107" s="1466"/>
      <c r="DR107" s="1466">
        <v>100000</v>
      </c>
      <c r="DS107" s="700"/>
      <c r="DT107" s="700"/>
      <c r="DU107" s="700"/>
      <c r="DV107" s="700"/>
      <c r="DW107" s="700"/>
      <c r="DX107" s="700"/>
      <c r="DY107" s="700"/>
      <c r="DZ107" s="700"/>
      <c r="EA107" s="700"/>
      <c r="EB107" s="700"/>
      <c r="EC107" s="1448"/>
      <c r="ED107" s="1448"/>
      <c r="EE107" s="1469"/>
      <c r="EF107" s="1461"/>
      <c r="EG107" s="1461"/>
      <c r="EH107" s="1461"/>
      <c r="EI107" s="1455">
        <v>45722</v>
      </c>
      <c r="EJ107" s="1467">
        <v>1000026146</v>
      </c>
      <c r="EK107" s="700"/>
      <c r="EL107" s="700"/>
      <c r="EM107" s="700"/>
      <c r="EN107" s="700"/>
      <c r="EO107" s="718"/>
      <c r="EP107" s="700"/>
      <c r="EQ107" s="700"/>
      <c r="ER107" s="700">
        <v>100000</v>
      </c>
      <c r="ES107" s="700"/>
      <c r="ET107" s="700"/>
      <c r="EU107" s="700"/>
      <c r="EV107" s="700"/>
      <c r="EW107" s="700"/>
      <c r="EX107" s="700"/>
      <c r="EY107" s="700"/>
      <c r="EZ107" s="700"/>
      <c r="FA107" s="700"/>
      <c r="FB107" s="700"/>
      <c r="FC107" s="1454"/>
      <c r="FD107" s="1462"/>
      <c r="FH107" s="1472">
        <v>45807</v>
      </c>
      <c r="FI107" s="721">
        <v>1000028592</v>
      </c>
      <c r="FJ107" s="1664"/>
      <c r="FK107" s="1664"/>
      <c r="FL107" s="721"/>
      <c r="FM107" s="721"/>
      <c r="FN107" s="721">
        <v>60000</v>
      </c>
      <c r="FO107" s="721"/>
      <c r="FP107" s="721"/>
      <c r="FQ107" s="721"/>
      <c r="FR107" s="1664"/>
      <c r="FS107" s="1664"/>
      <c r="FT107" s="1664"/>
      <c r="FU107" s="1664"/>
      <c r="FV107" s="1664"/>
      <c r="FW107" s="1664"/>
      <c r="FX107" s="1665"/>
      <c r="FY107" s="1666"/>
    </row>
    <row r="108" s="1329" customFormat="1" ht="24" customHeight="1" spans="1:195">
      <c r="C108" s="1647"/>
      <c r="S108" s="1586">
        <v>44333</v>
      </c>
      <c r="T108" s="1453">
        <v>1000007420</v>
      </c>
      <c r="U108" s="700" t="s">
        <v>11683</v>
      </c>
      <c r="V108" s="700"/>
      <c r="W108" s="700"/>
      <c r="X108" s="700"/>
      <c r="Y108" s="700"/>
      <c r="Z108" s="700"/>
      <c r="AA108" s="700"/>
      <c r="AB108" s="700"/>
      <c r="AC108" s="700"/>
      <c r="AD108" s="700"/>
      <c r="AE108" s="700">
        <v>1390</v>
      </c>
      <c r="AF108" s="700"/>
      <c r="AG108" s="700"/>
      <c r="AH108" s="700"/>
      <c r="AI108" s="700"/>
      <c r="AO108" s="1330"/>
      <c r="BP108" s="1330"/>
      <c r="CP108" s="1621">
        <v>45104</v>
      </c>
      <c r="CQ108" s="1500"/>
      <c r="CR108" s="1675" t="s">
        <v>11832</v>
      </c>
      <c r="CS108" s="1496"/>
      <c r="CT108" s="1496"/>
      <c r="CU108" s="1496"/>
      <c r="CV108" s="1496"/>
      <c r="CW108" s="1496"/>
      <c r="CX108" s="1496">
        <v>3000</v>
      </c>
      <c r="CY108" s="1676"/>
      <c r="CZ108" s="1496"/>
      <c r="DA108" s="1496"/>
      <c r="DB108" s="1496"/>
      <c r="DC108" s="1496"/>
      <c r="DD108" s="1521"/>
      <c r="DE108" s="1458"/>
      <c r="DG108" s="1455">
        <v>45560</v>
      </c>
      <c r="DH108" s="700">
        <v>1000023378</v>
      </c>
      <c r="DI108" s="697"/>
      <c r="DJ108" s="700"/>
      <c r="DK108" s="700"/>
      <c r="DL108" s="700"/>
      <c r="DM108" s="700">
        <v>5000</v>
      </c>
      <c r="DN108" s="700"/>
      <c r="DO108" s="700"/>
      <c r="DP108" s="1466"/>
      <c r="DQ108" s="1466"/>
      <c r="DR108" s="1466"/>
      <c r="DS108" s="700"/>
      <c r="DT108" s="700"/>
      <c r="DU108" s="700"/>
      <c r="DV108" s="700"/>
      <c r="DW108" s="700"/>
      <c r="DX108" s="700"/>
      <c r="DY108" s="700"/>
      <c r="DZ108" s="700"/>
      <c r="EA108" s="700"/>
      <c r="EB108" s="700"/>
      <c r="EC108" s="1448"/>
      <c r="ED108" s="1448"/>
      <c r="EE108" s="1469"/>
      <c r="EF108" s="1461"/>
      <c r="EG108" s="1461"/>
      <c r="EH108" s="1461"/>
      <c r="EI108" s="1455">
        <v>45728</v>
      </c>
      <c r="EJ108" s="1467">
        <v>1000026276</v>
      </c>
      <c r="EK108" s="700"/>
      <c r="EL108" s="700"/>
      <c r="EM108" s="700"/>
      <c r="EN108" s="700"/>
      <c r="EO108" s="718"/>
      <c r="EP108" s="700"/>
      <c r="EQ108" s="700"/>
      <c r="ER108" s="700"/>
      <c r="ES108" s="700"/>
      <c r="ET108" s="700"/>
      <c r="EU108" s="700"/>
      <c r="EV108" s="700"/>
      <c r="EW108" s="700"/>
      <c r="EX108" s="700"/>
      <c r="EY108" s="700"/>
      <c r="EZ108" s="700">
        <v>960</v>
      </c>
      <c r="FA108" s="700"/>
      <c r="FB108" s="700"/>
      <c r="FC108" s="1454"/>
      <c r="FD108" s="1677" t="s">
        <v>12087</v>
      </c>
      <c r="FH108" s="1472">
        <v>45807</v>
      </c>
      <c r="FI108" s="721">
        <v>1000028593</v>
      </c>
      <c r="FJ108" s="1664"/>
      <c r="FK108" s="1664"/>
      <c r="FL108" s="721"/>
      <c r="FM108" s="721"/>
      <c r="FN108" s="721"/>
      <c r="FO108" s="721"/>
      <c r="FP108" s="721">
        <v>150000</v>
      </c>
      <c r="FQ108" s="721"/>
      <c r="FR108" s="1664"/>
      <c r="FS108" s="1664"/>
      <c r="FT108" s="1664"/>
      <c r="FU108" s="1664"/>
      <c r="FV108" s="1664"/>
      <c r="FW108" s="1664"/>
      <c r="FX108" s="1665"/>
      <c r="FY108" s="1666"/>
    </row>
    <row r="109" s="1329" customFormat="1" ht="24" customHeight="1" spans="1:195">
      <c r="C109" s="1647"/>
      <c r="S109" s="1678">
        <v>44378</v>
      </c>
      <c r="T109" s="1453" t="s">
        <v>12088</v>
      </c>
      <c r="U109" s="700"/>
      <c r="V109" s="700"/>
      <c r="W109" s="719">
        <v>200000</v>
      </c>
      <c r="X109" s="700"/>
      <c r="Y109" s="700"/>
      <c r="Z109" s="700"/>
      <c r="AA109" s="700"/>
      <c r="AB109" s="700"/>
      <c r="AC109" s="700"/>
      <c r="AD109" s="700"/>
      <c r="AE109" s="700"/>
      <c r="AF109" s="700"/>
      <c r="AG109" s="700"/>
      <c r="AH109" s="700"/>
      <c r="AI109" s="700"/>
      <c r="AO109" s="1330"/>
      <c r="BP109" s="1330"/>
      <c r="CP109" s="1455">
        <v>45127</v>
      </c>
      <c r="CQ109" s="1456">
        <v>1000015538</v>
      </c>
      <c r="CR109" s="1580" t="s">
        <v>11832</v>
      </c>
      <c r="CS109" s="700"/>
      <c r="CT109" s="700"/>
      <c r="CU109" s="700">
        <v>10000</v>
      </c>
      <c r="CV109" s="700"/>
      <c r="CW109" s="700"/>
      <c r="CX109" s="700"/>
      <c r="CY109" s="719"/>
      <c r="CZ109" s="700"/>
      <c r="DA109" s="700"/>
      <c r="DB109" s="700"/>
      <c r="DC109" s="700"/>
      <c r="DD109" s="1448"/>
      <c r="DE109" s="1458"/>
      <c r="DG109" s="1455">
        <v>45593</v>
      </c>
      <c r="DH109" s="700"/>
      <c r="DI109" s="697"/>
      <c r="DJ109" s="700"/>
      <c r="DK109" s="700"/>
      <c r="DL109" s="700"/>
      <c r="DM109" s="700">
        <v>3699</v>
      </c>
      <c r="DN109" s="700"/>
      <c r="DO109" s="700"/>
      <c r="DP109" s="1466"/>
      <c r="DQ109" s="1466"/>
      <c r="DR109" s="1466"/>
      <c r="DS109" s="700"/>
      <c r="DT109" s="700"/>
      <c r="DU109" s="700"/>
      <c r="DV109" s="700"/>
      <c r="DW109" s="700"/>
      <c r="DX109" s="700"/>
      <c r="DY109" s="700"/>
      <c r="DZ109" s="700"/>
      <c r="EA109" s="700"/>
      <c r="EB109" s="700"/>
      <c r="EC109" s="1448"/>
      <c r="ED109" s="1448"/>
      <c r="EE109" s="1469"/>
      <c r="EF109" s="1461"/>
      <c r="EG109" s="1461"/>
      <c r="EH109" s="1461"/>
      <c r="EI109" s="1455"/>
      <c r="EJ109" s="1467"/>
      <c r="EK109" s="700"/>
      <c r="EL109" s="700"/>
      <c r="EM109" s="700"/>
      <c r="EN109" s="700"/>
      <c r="EO109" s="718"/>
      <c r="EP109" s="700"/>
      <c r="EQ109" s="700"/>
      <c r="ER109" s="700"/>
      <c r="ES109" s="700"/>
      <c r="ET109" s="700"/>
      <c r="EU109" s="700"/>
      <c r="EV109" s="700"/>
      <c r="EW109" s="700"/>
      <c r="EX109" s="700"/>
      <c r="EY109" s="700">
        <v>1250</v>
      </c>
      <c r="EZ109" s="700"/>
      <c r="FA109" s="700"/>
      <c r="FB109" s="700"/>
      <c r="FC109" s="1454"/>
      <c r="FD109" s="1462" t="s">
        <v>12089</v>
      </c>
      <c r="FH109" s="1472">
        <v>45807</v>
      </c>
      <c r="FI109" s="721">
        <v>1000028594</v>
      </c>
      <c r="FJ109" s="1664"/>
      <c r="FK109" s="1664"/>
      <c r="FL109" s="721"/>
      <c r="FM109" s="721"/>
      <c r="FN109" s="721"/>
      <c r="FO109" s="721"/>
      <c r="FP109" s="721"/>
      <c r="FQ109" s="721">
        <v>8000</v>
      </c>
      <c r="FR109" s="1664"/>
      <c r="FS109" s="1664"/>
      <c r="FT109" s="1664"/>
      <c r="FU109" s="1664"/>
      <c r="FV109" s="1664"/>
      <c r="FW109" s="1664"/>
      <c r="FX109" s="1665"/>
      <c r="FY109" s="1666"/>
    </row>
    <row r="110" s="1329" customFormat="1" ht="24" customHeight="1" spans="1:195">
      <c r="C110" s="1647"/>
      <c r="S110" s="1678">
        <v>44378</v>
      </c>
      <c r="T110" s="1453" t="s">
        <v>12090</v>
      </c>
      <c r="U110" s="700"/>
      <c r="V110" s="700"/>
      <c r="W110" s="700"/>
      <c r="X110" s="719">
        <v>80000</v>
      </c>
      <c r="Y110" s="700"/>
      <c r="Z110" s="700"/>
      <c r="AA110" s="700"/>
      <c r="AB110" s="700"/>
      <c r="AC110" s="700"/>
      <c r="AD110" s="700"/>
      <c r="AE110" s="700"/>
      <c r="AF110" s="700"/>
      <c r="AG110" s="700"/>
      <c r="AH110" s="700"/>
      <c r="AI110" s="700"/>
      <c r="AO110" s="1330"/>
      <c r="BP110" s="1330"/>
      <c r="CP110" s="1455">
        <v>45166</v>
      </c>
      <c r="CQ110" s="1467">
        <v>1000016171</v>
      </c>
      <c r="CR110" s="1580" t="s">
        <v>11832</v>
      </c>
      <c r="CS110" s="700">
        <v>55000</v>
      </c>
      <c r="CT110" s="700"/>
      <c r="CU110" s="700"/>
      <c r="CV110" s="700"/>
      <c r="CW110" s="700"/>
      <c r="CX110" s="700"/>
      <c r="CY110" s="719"/>
      <c r="CZ110" s="700"/>
      <c r="DA110" s="700"/>
      <c r="DB110" s="700"/>
      <c r="DC110" s="700"/>
      <c r="DD110" s="1448"/>
      <c r="DE110" s="1458"/>
      <c r="DG110" s="1455">
        <v>45610</v>
      </c>
      <c r="DH110" s="700">
        <v>1000024462</v>
      </c>
      <c r="DI110" s="697"/>
      <c r="DJ110" s="700"/>
      <c r="DK110" s="700">
        <v>100000</v>
      </c>
      <c r="DL110" s="700"/>
      <c r="DM110" s="700"/>
      <c r="DN110" s="700"/>
      <c r="DO110" s="700"/>
      <c r="DP110" s="1466"/>
      <c r="DQ110" s="1466"/>
      <c r="DR110" s="1466"/>
      <c r="DS110" s="700"/>
      <c r="DT110" s="700"/>
      <c r="DU110" s="700"/>
      <c r="DV110" s="700"/>
      <c r="DW110" s="700"/>
      <c r="DX110" s="700"/>
      <c r="DY110" s="700"/>
      <c r="DZ110" s="700"/>
      <c r="EA110" s="700"/>
      <c r="EB110" s="700"/>
      <c r="EC110" s="1448"/>
      <c r="ED110" s="1448"/>
      <c r="EE110" s="1469"/>
      <c r="EF110" s="1461"/>
      <c r="EG110" s="1461"/>
      <c r="EH110" s="1461"/>
      <c r="EI110" s="1455"/>
      <c r="EJ110" s="1467"/>
      <c r="EK110" s="700"/>
      <c r="EL110" s="700"/>
      <c r="EM110" s="700"/>
      <c r="EN110" s="700"/>
      <c r="EO110" s="718"/>
      <c r="EP110" s="700"/>
      <c r="EQ110" s="700"/>
      <c r="ER110" s="700"/>
      <c r="ES110" s="700"/>
      <c r="ET110" s="700"/>
      <c r="EU110" s="700"/>
      <c r="EV110" s="700"/>
      <c r="EW110" s="700"/>
      <c r="EX110" s="700"/>
      <c r="EY110" s="700">
        <v>456</v>
      </c>
      <c r="EZ110" s="700"/>
      <c r="FA110" s="700"/>
      <c r="FB110" s="700"/>
      <c r="FC110" s="1454"/>
      <c r="FD110" s="1462">
        <v>4500159575</v>
      </c>
      <c r="FH110" s="1472"/>
      <c r="FI110" s="721"/>
      <c r="FJ110" s="721"/>
      <c r="FK110" s="721"/>
      <c r="FL110" s="721"/>
      <c r="FM110" s="721"/>
      <c r="FN110" s="721"/>
      <c r="FO110" s="721"/>
      <c r="FP110" s="721"/>
      <c r="FQ110" s="721"/>
      <c r="FR110" s="721"/>
      <c r="FS110" s="721"/>
      <c r="FT110" s="721">
        <v>952</v>
      </c>
      <c r="FU110" s="721"/>
      <c r="FV110" s="721"/>
      <c r="FW110" s="721"/>
      <c r="FX110" s="1473"/>
      <c r="FY110" s="1474">
        <v>4500161780</v>
      </c>
    </row>
    <row r="111" s="1329" customFormat="1" ht="24" customHeight="1" spans="1:195">
      <c r="C111" s="1647"/>
      <c r="S111" s="1678">
        <v>44378</v>
      </c>
      <c r="T111" s="1453" t="s">
        <v>12091</v>
      </c>
      <c r="U111" s="700"/>
      <c r="V111" s="700"/>
      <c r="W111" s="700"/>
      <c r="X111" s="700"/>
      <c r="Y111" s="719">
        <v>60000</v>
      </c>
      <c r="Z111" s="700"/>
      <c r="AA111" s="700"/>
      <c r="AB111" s="700"/>
      <c r="AC111" s="700"/>
      <c r="AD111" s="700"/>
      <c r="AE111" s="700"/>
      <c r="AF111" s="700"/>
      <c r="AG111" s="700"/>
      <c r="AH111" s="700"/>
      <c r="AI111" s="700"/>
      <c r="AO111" s="1330"/>
      <c r="BP111" s="1330"/>
      <c r="CP111" s="1455">
        <v>45166</v>
      </c>
      <c r="CQ111" s="1467">
        <v>1000016172</v>
      </c>
      <c r="CR111" s="1580" t="s">
        <v>11832</v>
      </c>
      <c r="CS111" s="700"/>
      <c r="CT111" s="700"/>
      <c r="CU111" s="700"/>
      <c r="CV111" s="700"/>
      <c r="CW111" s="700">
        <v>50000</v>
      </c>
      <c r="CX111" s="700"/>
      <c r="CY111" s="719"/>
      <c r="CZ111" s="700"/>
      <c r="DA111" s="700"/>
      <c r="DB111" s="700"/>
      <c r="DC111" s="700"/>
      <c r="DD111" s="1448"/>
      <c r="DE111" s="1458"/>
      <c r="DG111" s="1455">
        <v>45610</v>
      </c>
      <c r="DH111" s="700">
        <v>1000024463</v>
      </c>
      <c r="DI111" s="697"/>
      <c r="DJ111" s="700"/>
      <c r="DK111" s="700"/>
      <c r="DL111" s="700"/>
      <c r="DM111" s="700"/>
      <c r="DN111" s="700"/>
      <c r="DO111" s="700">
        <v>30000</v>
      </c>
      <c r="DP111" s="1466"/>
      <c r="DQ111" s="1466"/>
      <c r="DR111" s="1466"/>
      <c r="DS111" s="700"/>
      <c r="DT111" s="700"/>
      <c r="DU111" s="700"/>
      <c r="DV111" s="700"/>
      <c r="DW111" s="700"/>
      <c r="DX111" s="700"/>
      <c r="DY111" s="700"/>
      <c r="DZ111" s="700"/>
      <c r="EA111" s="700"/>
      <c r="EB111" s="700"/>
      <c r="EC111" s="1448"/>
      <c r="ED111" s="1448"/>
      <c r="EE111" s="1469"/>
      <c r="EF111" s="1461"/>
      <c r="EG111" s="1461"/>
      <c r="EH111" s="1461"/>
      <c r="EI111" s="1455"/>
      <c r="EJ111" s="1467"/>
      <c r="EK111" s="700"/>
      <c r="EL111" s="700"/>
      <c r="EM111" s="700"/>
      <c r="EN111" s="700"/>
      <c r="EO111" s="718"/>
      <c r="EP111" s="700"/>
      <c r="EQ111" s="700"/>
      <c r="ER111" s="700"/>
      <c r="ES111" s="700"/>
      <c r="ET111" s="700"/>
      <c r="EU111" s="700"/>
      <c r="EV111" s="700"/>
      <c r="EW111" s="700"/>
      <c r="EX111" s="700"/>
      <c r="EY111" s="700"/>
      <c r="EZ111" s="700"/>
      <c r="FA111" s="700"/>
      <c r="FB111" s="700"/>
      <c r="FC111" s="1454"/>
      <c r="FD111" s="1462">
        <v>4500153983</v>
      </c>
      <c r="FH111" s="1472"/>
      <c r="FI111" s="721"/>
      <c r="FJ111" s="721"/>
      <c r="FK111" s="721"/>
      <c r="FL111" s="721"/>
      <c r="FM111" s="721"/>
      <c r="FN111" s="721"/>
      <c r="FO111" s="721"/>
      <c r="FP111" s="721"/>
      <c r="FQ111" s="721"/>
      <c r="FR111" s="721"/>
      <c r="FS111" s="721"/>
      <c r="FT111" s="721">
        <v>2840</v>
      </c>
      <c r="FU111" s="721"/>
      <c r="FV111" s="721"/>
      <c r="FW111" s="721"/>
      <c r="FX111" s="1473"/>
      <c r="FY111" s="1474" t="s">
        <v>12092</v>
      </c>
    </row>
    <row r="112" s="1329" customFormat="1" ht="24" customHeight="1" spans="1:195">
      <c r="C112" s="1647"/>
      <c r="S112" s="1678">
        <v>44440</v>
      </c>
      <c r="T112" s="1453" t="s">
        <v>12093</v>
      </c>
      <c r="U112" s="700"/>
      <c r="V112" s="700"/>
      <c r="W112" s="719">
        <v>103100</v>
      </c>
      <c r="X112" s="700"/>
      <c r="Y112" s="700"/>
      <c r="Z112" s="700"/>
      <c r="AA112" s="700"/>
      <c r="AB112" s="700"/>
      <c r="AC112" s="700"/>
      <c r="AD112" s="700"/>
      <c r="AE112" s="700"/>
      <c r="AF112" s="700"/>
      <c r="AG112" s="700"/>
      <c r="AH112" s="700"/>
      <c r="AI112" s="700"/>
      <c r="AO112" s="1330"/>
      <c r="BP112" s="1330"/>
      <c r="CP112" s="1455">
        <v>45215</v>
      </c>
      <c r="CQ112" s="1456">
        <v>1000016748</v>
      </c>
      <c r="CR112" s="555" t="s">
        <v>11832</v>
      </c>
      <c r="CS112" s="700">
        <v>80000</v>
      </c>
      <c r="CT112" s="700"/>
      <c r="CU112" s="700"/>
      <c r="CV112" s="700"/>
      <c r="CW112" s="700"/>
      <c r="CX112" s="700"/>
      <c r="CY112" s="719"/>
      <c r="CZ112" s="700"/>
      <c r="DA112" s="700"/>
      <c r="DB112" s="700"/>
      <c r="DC112" s="700"/>
      <c r="DD112" s="1448"/>
      <c r="DE112" s="1458"/>
      <c r="DG112" s="1455">
        <v>45610</v>
      </c>
      <c r="DH112" s="700">
        <v>1000024464</v>
      </c>
      <c r="DI112" s="697"/>
      <c r="DJ112" s="700"/>
      <c r="DK112" s="700"/>
      <c r="DL112" s="700"/>
      <c r="DM112" s="700"/>
      <c r="DN112" s="700"/>
      <c r="DO112" s="700"/>
      <c r="DP112" s="1466"/>
      <c r="DQ112" s="1466"/>
      <c r="DR112" s="700">
        <v>100000</v>
      </c>
      <c r="DS112" s="700"/>
      <c r="DT112" s="700"/>
      <c r="DU112" s="700"/>
      <c r="DV112" s="700"/>
      <c r="DW112" s="700"/>
      <c r="DX112" s="700"/>
      <c r="DY112" s="700"/>
      <c r="DZ112" s="700"/>
      <c r="EA112" s="700"/>
      <c r="EB112" s="700"/>
      <c r="EC112" s="1448"/>
      <c r="ED112" s="1448"/>
      <c r="EE112" s="1469"/>
      <c r="EF112" s="1461"/>
      <c r="EG112" s="1461"/>
      <c r="EH112" s="1461"/>
      <c r="EI112" s="1455">
        <v>45726</v>
      </c>
      <c r="EJ112" s="1679"/>
      <c r="EK112" s="700"/>
      <c r="EL112" s="700"/>
      <c r="EM112" s="700"/>
      <c r="EN112" s="700"/>
      <c r="EO112" s="718"/>
      <c r="EP112" s="700"/>
      <c r="EQ112" s="700"/>
      <c r="ER112" s="700"/>
      <c r="ES112" s="700"/>
      <c r="ET112" s="700"/>
      <c r="EU112" s="700"/>
      <c r="EV112" s="700"/>
      <c r="EW112" s="700"/>
      <c r="EX112" s="700"/>
      <c r="EY112" s="700"/>
      <c r="EZ112" s="700"/>
      <c r="FA112" s="700"/>
      <c r="FB112" s="1680">
        <v>35652</v>
      </c>
      <c r="FC112" s="1454"/>
      <c r="FD112" s="1462" t="s">
        <v>12094</v>
      </c>
      <c r="FE112" s="1329">
        <v>92123</v>
      </c>
      <c r="FH112" s="1472">
        <v>45856</v>
      </c>
      <c r="FI112" s="721">
        <v>1000030257</v>
      </c>
      <c r="FJ112" s="1664"/>
      <c r="FK112" s="1664"/>
      <c r="FL112" s="1664"/>
      <c r="FM112" s="1664">
        <v>30000</v>
      </c>
      <c r="FN112" s="1664"/>
      <c r="FO112" s="1664"/>
      <c r="FP112" s="1664"/>
      <c r="FQ112" s="1664"/>
      <c r="FR112" s="1664"/>
      <c r="FS112" s="1664"/>
      <c r="FT112" s="1664"/>
      <c r="FU112" s="1664"/>
      <c r="FV112" s="1664"/>
      <c r="FW112" s="1664"/>
      <c r="FX112" s="1665"/>
      <c r="FY112" s="1666"/>
    </row>
    <row r="113" s="1329" customFormat="1" ht="24" customHeight="1" spans="3:195">
      <c r="C113" s="1647"/>
      <c r="S113" s="1678">
        <v>44440</v>
      </c>
      <c r="T113" s="1453" t="s">
        <v>12095</v>
      </c>
      <c r="U113" s="700"/>
      <c r="V113" s="700"/>
      <c r="W113" s="700"/>
      <c r="X113" s="700"/>
      <c r="Y113" s="700"/>
      <c r="Z113" s="700"/>
      <c r="AA113" s="719">
        <v>6603</v>
      </c>
      <c r="AB113" s="700"/>
      <c r="AC113" s="700"/>
      <c r="AD113" s="700"/>
      <c r="AE113" s="700"/>
      <c r="AF113" s="700"/>
      <c r="AG113" s="700"/>
      <c r="AH113" s="700"/>
      <c r="AI113" s="700"/>
      <c r="AO113" s="1330"/>
      <c r="BP113" s="1330"/>
      <c r="CP113" s="1455">
        <v>45215</v>
      </c>
      <c r="CQ113" s="1456">
        <v>1000016749</v>
      </c>
      <c r="CR113" s="555" t="s">
        <v>11832</v>
      </c>
      <c r="CS113" s="700"/>
      <c r="CT113" s="700"/>
      <c r="CU113" s="700"/>
      <c r="CV113" s="1464">
        <v>30000</v>
      </c>
      <c r="CW113" s="700"/>
      <c r="CX113" s="700"/>
      <c r="CY113" s="719"/>
      <c r="CZ113" s="700"/>
      <c r="DA113" s="700"/>
      <c r="DB113" s="700"/>
      <c r="DC113" s="700"/>
      <c r="DD113" s="1448"/>
      <c r="DE113" s="1458"/>
      <c r="DG113" s="1455">
        <v>45610</v>
      </c>
      <c r="DH113" s="700">
        <v>1000024465</v>
      </c>
      <c r="DI113" s="697"/>
      <c r="DJ113" s="700"/>
      <c r="DK113" s="700"/>
      <c r="DL113" s="700"/>
      <c r="DM113" s="700">
        <v>5000</v>
      </c>
      <c r="DN113" s="700"/>
      <c r="DO113" s="700"/>
      <c r="DP113" s="1466"/>
      <c r="DQ113" s="1466"/>
      <c r="DR113" s="1466"/>
      <c r="DS113" s="700"/>
      <c r="DT113" s="700"/>
      <c r="DU113" s="700"/>
      <c r="DV113" s="700"/>
      <c r="DW113" s="700"/>
      <c r="DX113" s="700"/>
      <c r="DY113" s="700"/>
      <c r="DZ113" s="700"/>
      <c r="EA113" s="700"/>
      <c r="EB113" s="700"/>
      <c r="EC113" s="1448"/>
      <c r="ED113" s="1448"/>
      <c r="EE113" s="1469"/>
      <c r="EF113" s="1461"/>
      <c r="EG113" s="1461"/>
      <c r="EH113" s="1461"/>
      <c r="EI113" s="1455">
        <v>45726</v>
      </c>
      <c r="EJ113" s="1467"/>
      <c r="EK113" s="700"/>
      <c r="EL113" s="700"/>
      <c r="EM113" s="700"/>
      <c r="EN113" s="700"/>
      <c r="EO113" s="718"/>
      <c r="EP113" s="700"/>
      <c r="EQ113" s="700"/>
      <c r="ER113" s="700"/>
      <c r="ES113" s="700"/>
      <c r="ET113" s="700"/>
      <c r="EU113" s="700"/>
      <c r="EV113" s="700"/>
      <c r="EW113" s="700"/>
      <c r="EX113" s="700"/>
      <c r="EY113" s="700"/>
      <c r="EZ113" s="700"/>
      <c r="FA113" s="700"/>
      <c r="FB113" s="1680">
        <v>11435</v>
      </c>
      <c r="FC113" s="1454"/>
      <c r="FD113" s="1462" t="s">
        <v>12094</v>
      </c>
      <c r="FE113" s="1329">
        <v>92124</v>
      </c>
      <c r="FH113" s="1472">
        <v>45895</v>
      </c>
      <c r="FI113" s="721">
        <v>1000031453</v>
      </c>
      <c r="FJ113" s="721"/>
      <c r="FK113" s="721"/>
      <c r="FL113" s="721">
        <v>250000</v>
      </c>
      <c r="FM113" s="721"/>
      <c r="FN113" s="721"/>
      <c r="FO113" s="721"/>
      <c r="FP113" s="721"/>
      <c r="FQ113" s="721"/>
      <c r="FR113" s="721"/>
      <c r="FS113" s="721"/>
      <c r="FT113" s="721"/>
      <c r="FU113" s="721"/>
      <c r="FV113" s="721"/>
      <c r="FW113" s="721"/>
      <c r="FX113" s="1473"/>
      <c r="FY113" s="1474"/>
    </row>
    <row r="114" s="1329" customFormat="1" ht="24" customHeight="1" spans="3:195">
      <c r="C114" s="1647"/>
      <c r="S114" s="1678">
        <v>44440</v>
      </c>
      <c r="T114" s="1453" t="s">
        <v>12096</v>
      </c>
      <c r="U114" s="700"/>
      <c r="V114" s="700"/>
      <c r="W114" s="719"/>
      <c r="X114" s="700"/>
      <c r="Y114" s="700"/>
      <c r="Z114" s="700"/>
      <c r="AA114" s="700"/>
      <c r="AB114" s="719">
        <v>16062</v>
      </c>
      <c r="AC114" s="700"/>
      <c r="AD114" s="700"/>
      <c r="AE114" s="700"/>
      <c r="AF114" s="700"/>
      <c r="AG114" s="700"/>
      <c r="AH114" s="700"/>
      <c r="AI114" s="700"/>
      <c r="AO114" s="1330"/>
      <c r="BP114" s="1330"/>
      <c r="CP114" s="1455">
        <v>45215</v>
      </c>
      <c r="CQ114" s="1456">
        <v>1000016750</v>
      </c>
      <c r="CR114" s="555" t="s">
        <v>11832</v>
      </c>
      <c r="CS114" s="700"/>
      <c r="CT114" s="700"/>
      <c r="CU114" s="700"/>
      <c r="CV114" s="700"/>
      <c r="CW114" s="1464">
        <v>100000</v>
      </c>
      <c r="CX114" s="700"/>
      <c r="CY114" s="719"/>
      <c r="CZ114" s="700"/>
      <c r="DA114" s="700"/>
      <c r="DB114" s="700"/>
      <c r="DC114" s="700"/>
      <c r="DD114" s="1448"/>
      <c r="DE114" s="1458"/>
      <c r="DG114" s="1455">
        <v>45610</v>
      </c>
      <c r="DH114" s="700">
        <v>1000024466</v>
      </c>
      <c r="DI114" s="697"/>
      <c r="DJ114" s="700"/>
      <c r="DK114" s="700"/>
      <c r="DL114" s="700"/>
      <c r="DM114" s="700"/>
      <c r="DN114" s="700"/>
      <c r="DO114" s="700"/>
      <c r="DP114" s="1466"/>
      <c r="DQ114" s="1466"/>
      <c r="DR114" s="1466"/>
      <c r="DS114" s="700"/>
      <c r="DT114" s="700"/>
      <c r="DU114" s="700"/>
      <c r="DV114" s="700">
        <v>1000</v>
      </c>
      <c r="DW114" s="700"/>
      <c r="DX114" s="700"/>
      <c r="DY114" s="700"/>
      <c r="DZ114" s="700"/>
      <c r="EA114" s="700"/>
      <c r="EB114" s="700"/>
      <c r="EC114" s="1448"/>
      <c r="ED114" s="1448"/>
      <c r="EE114" s="1469"/>
      <c r="EF114" s="1461"/>
      <c r="EG114" s="1461"/>
      <c r="EH114" s="1461"/>
      <c r="EI114" s="1455"/>
      <c r="EJ114" s="1467"/>
      <c r="EK114" s="700"/>
      <c r="EL114" s="700"/>
      <c r="EM114" s="700"/>
      <c r="EN114" s="700"/>
      <c r="EO114" s="718"/>
      <c r="EP114" s="700"/>
      <c r="EQ114" s="700"/>
      <c r="ER114" s="700"/>
      <c r="ES114" s="700"/>
      <c r="ET114" s="700"/>
      <c r="EU114" s="700"/>
      <c r="EV114" s="700"/>
      <c r="EW114" s="700"/>
      <c r="EX114" s="700"/>
      <c r="EY114" s="700"/>
      <c r="EZ114" s="700"/>
      <c r="FA114" s="700"/>
      <c r="FB114" s="718">
        <v>4433</v>
      </c>
      <c r="FC114" s="1454"/>
      <c r="FD114" s="1462" t="s">
        <v>12097</v>
      </c>
      <c r="FH114" s="1472">
        <v>45895</v>
      </c>
      <c r="FI114" s="721">
        <v>1000031454</v>
      </c>
      <c r="FJ114" s="721"/>
      <c r="FK114" s="721"/>
      <c r="FL114" s="721"/>
      <c r="FM114" s="721"/>
      <c r="FN114" s="721">
        <v>60000</v>
      </c>
      <c r="FO114" s="721"/>
      <c r="FP114" s="721"/>
      <c r="FQ114" s="721"/>
      <c r="FR114" s="721"/>
      <c r="FS114" s="721"/>
      <c r="FT114" s="721"/>
      <c r="FU114" s="721"/>
      <c r="FV114" s="721"/>
      <c r="FW114" s="721"/>
      <c r="FX114" s="1473"/>
      <c r="FY114" s="1474"/>
    </row>
    <row r="115" s="1329" customFormat="1" ht="24" customHeight="1" spans="3:195">
      <c r="C115" s="1647"/>
      <c r="S115" s="1678">
        <v>44440</v>
      </c>
      <c r="T115" s="1453" t="s">
        <v>12098</v>
      </c>
      <c r="U115" s="700"/>
      <c r="V115" s="700"/>
      <c r="W115" s="700"/>
      <c r="X115" s="700"/>
      <c r="Y115" s="700"/>
      <c r="Z115" s="700"/>
      <c r="AA115" s="719"/>
      <c r="AB115" s="700"/>
      <c r="AC115" s="700"/>
      <c r="AD115" s="700"/>
      <c r="AE115" s="700">
        <v>1000</v>
      </c>
      <c r="AF115" s="700"/>
      <c r="AG115" s="700"/>
      <c r="AH115" s="700"/>
      <c r="AI115" s="700"/>
      <c r="AO115" s="1330"/>
      <c r="BP115" s="1330"/>
      <c r="CP115" s="1455">
        <v>45215</v>
      </c>
      <c r="CQ115" s="1456">
        <v>1000016751</v>
      </c>
      <c r="CR115" s="555" t="s">
        <v>11832</v>
      </c>
      <c r="CS115" s="700"/>
      <c r="CT115" s="700"/>
      <c r="CU115" s="700">
        <v>8000</v>
      </c>
      <c r="CV115" s="700"/>
      <c r="CW115" s="700"/>
      <c r="CX115" s="700"/>
      <c r="CY115" s="719"/>
      <c r="CZ115" s="700"/>
      <c r="DA115" s="700"/>
      <c r="DB115" s="700"/>
      <c r="DC115" s="700"/>
      <c r="DD115" s="1448"/>
      <c r="DE115" s="1458"/>
      <c r="DG115" s="1455">
        <v>45639</v>
      </c>
      <c r="DH115" s="700">
        <v>1000025119</v>
      </c>
      <c r="DI115" s="697"/>
      <c r="DJ115" s="700"/>
      <c r="DK115" s="700">
        <v>80000</v>
      </c>
      <c r="DL115" s="700"/>
      <c r="DM115" s="700"/>
      <c r="DN115" s="700"/>
      <c r="DO115" s="700"/>
      <c r="DP115" s="1466"/>
      <c r="DQ115" s="1466"/>
      <c r="DR115" s="1466"/>
      <c r="DS115" s="700"/>
      <c r="DT115" s="700"/>
      <c r="DU115" s="700"/>
      <c r="DV115" s="700"/>
      <c r="DW115" s="700"/>
      <c r="DX115" s="700"/>
      <c r="DY115" s="700"/>
      <c r="DZ115" s="700"/>
      <c r="EA115" s="700"/>
      <c r="EB115" s="700"/>
      <c r="EC115" s="1448"/>
      <c r="ED115" s="1448"/>
      <c r="EE115" s="1469"/>
      <c r="EF115" s="1461"/>
      <c r="EG115" s="1461"/>
      <c r="EH115" s="1461"/>
      <c r="EI115" s="1455">
        <v>45734</v>
      </c>
      <c r="EJ115" s="1247">
        <v>1000026371</v>
      </c>
      <c r="EK115" s="700"/>
      <c r="EL115" s="700"/>
      <c r="EM115" s="700">
        <v>150000</v>
      </c>
      <c r="EN115" s="700"/>
      <c r="EO115" s="718"/>
      <c r="EP115" s="700"/>
      <c r="EQ115" s="700"/>
      <c r="ER115" s="700"/>
      <c r="ES115" s="700"/>
      <c r="ET115" s="700"/>
      <c r="EU115" s="700"/>
      <c r="EV115" s="700"/>
      <c r="EW115" s="700"/>
      <c r="EX115" s="700"/>
      <c r="EY115" s="700"/>
      <c r="EZ115" s="700"/>
      <c r="FA115" s="700"/>
      <c r="FB115" s="700"/>
      <c r="FC115" s="1454"/>
      <c r="FD115" s="1462"/>
      <c r="FH115" s="1472">
        <v>45895</v>
      </c>
      <c r="FI115" s="721">
        <v>1000031455</v>
      </c>
      <c r="FJ115" s="721"/>
      <c r="FK115" s="721"/>
      <c r="FL115" s="721"/>
      <c r="FM115" s="721"/>
      <c r="FN115" s="721"/>
      <c r="FO115" s="721"/>
      <c r="FP115" s="721">
        <v>350000</v>
      </c>
      <c r="FQ115" s="721"/>
      <c r="FR115" s="721"/>
      <c r="FS115" s="721"/>
      <c r="FT115" s="721"/>
      <c r="FU115" s="721"/>
      <c r="FV115" s="721"/>
      <c r="FW115" s="721"/>
      <c r="FX115" s="1473"/>
      <c r="FY115" s="1474"/>
    </row>
    <row r="116" s="1329" customFormat="1" ht="24" customHeight="1" spans="3:195">
      <c r="C116" s="1647"/>
      <c r="S116" s="1586">
        <v>44484</v>
      </c>
      <c r="T116" s="1453" t="s">
        <v>12099</v>
      </c>
      <c r="U116" s="700"/>
      <c r="V116" s="700"/>
      <c r="W116" s="700"/>
      <c r="X116" s="719">
        <v>91000</v>
      </c>
      <c r="Y116" s="700"/>
      <c r="Z116" s="700"/>
      <c r="AA116" s="700"/>
      <c r="AB116" s="700"/>
      <c r="AC116" s="700"/>
      <c r="AD116" s="700"/>
      <c r="AE116" s="700"/>
      <c r="AF116" s="700"/>
      <c r="AG116" s="700"/>
      <c r="AH116" s="700"/>
      <c r="AI116" s="700"/>
      <c r="AO116" s="1330"/>
      <c r="BP116" s="1330"/>
      <c r="CP116" s="1455">
        <v>45215</v>
      </c>
      <c r="CQ116" s="1456">
        <v>1000016752</v>
      </c>
      <c r="CR116" s="555" t="s">
        <v>11832</v>
      </c>
      <c r="CS116" s="700"/>
      <c r="CT116" s="700"/>
      <c r="CU116" s="700"/>
      <c r="CV116" s="700"/>
      <c r="CW116" s="700"/>
      <c r="CX116" s="1464">
        <v>1000</v>
      </c>
      <c r="CY116" s="719"/>
      <c r="CZ116" s="700"/>
      <c r="DA116" s="700"/>
      <c r="DB116" s="700"/>
      <c r="DC116" s="700"/>
      <c r="DD116" s="1448"/>
      <c r="DE116" s="1458"/>
      <c r="DG116" s="1455">
        <v>45639</v>
      </c>
      <c r="DH116" s="700">
        <v>1000025120</v>
      </c>
      <c r="DI116" s="697"/>
      <c r="DJ116" s="700"/>
      <c r="DK116" s="700"/>
      <c r="DL116" s="700"/>
      <c r="DM116" s="700"/>
      <c r="DN116" s="700"/>
      <c r="DO116" s="700">
        <v>30000</v>
      </c>
      <c r="DP116" s="1466"/>
      <c r="DQ116" s="1466"/>
      <c r="DR116" s="1466"/>
      <c r="DS116" s="700"/>
      <c r="DT116" s="700"/>
      <c r="DU116" s="700"/>
      <c r="DV116" s="700"/>
      <c r="DW116" s="700"/>
      <c r="DX116" s="700"/>
      <c r="DY116" s="700"/>
      <c r="DZ116" s="700"/>
      <c r="EA116" s="700"/>
      <c r="EB116" s="700"/>
      <c r="EC116" s="1448"/>
      <c r="ED116" s="1448"/>
      <c r="EE116" s="1469"/>
      <c r="EF116" s="1461"/>
      <c r="EG116" s="1461"/>
      <c r="EH116" s="1461"/>
      <c r="EI116" s="1455">
        <v>45734</v>
      </c>
      <c r="EJ116" s="1247">
        <v>1000026372</v>
      </c>
      <c r="EK116" s="700"/>
      <c r="EL116" s="700"/>
      <c r="EM116" s="700"/>
      <c r="EN116" s="700"/>
      <c r="EO116" s="718"/>
      <c r="EP116" s="700"/>
      <c r="EQ116" s="700"/>
      <c r="ER116" s="700">
        <v>180000</v>
      </c>
      <c r="ES116" s="700"/>
      <c r="ET116" s="700"/>
      <c r="EU116" s="700"/>
      <c r="EV116" s="700"/>
      <c r="EW116" s="700"/>
      <c r="EX116" s="700"/>
      <c r="EY116" s="700"/>
      <c r="EZ116" s="700"/>
      <c r="FA116" s="700"/>
      <c r="FB116" s="700"/>
      <c r="FC116" s="1454"/>
      <c r="FD116" s="1462"/>
      <c r="FH116" s="1472">
        <v>45910</v>
      </c>
      <c r="FI116" s="721">
        <v>1000031893</v>
      </c>
      <c r="FJ116" s="721"/>
      <c r="FK116" s="721"/>
      <c r="FL116" s="721">
        <v>100000</v>
      </c>
      <c r="FM116" s="721"/>
      <c r="FN116" s="721"/>
      <c r="FO116" s="721"/>
      <c r="FP116" s="721"/>
      <c r="FQ116" s="721"/>
      <c r="FR116" s="721"/>
      <c r="FS116" s="721"/>
      <c r="FT116" s="721"/>
      <c r="FU116" s="721"/>
      <c r="FV116" s="721"/>
      <c r="FW116" s="721"/>
      <c r="FX116" s="1473"/>
      <c r="FY116" s="1474"/>
    </row>
    <row r="117" s="1329" customFormat="1" ht="24" customHeight="1" spans="3:195">
      <c r="C117" s="1647"/>
      <c r="S117" s="1586">
        <v>44484</v>
      </c>
      <c r="T117" s="1453" t="s">
        <v>12100</v>
      </c>
      <c r="U117" s="700"/>
      <c r="V117" s="700"/>
      <c r="W117" s="700"/>
      <c r="X117" s="719"/>
      <c r="Y117" s="700"/>
      <c r="Z117" s="700"/>
      <c r="AA117" s="700"/>
      <c r="AB117" s="700">
        <v>20000</v>
      </c>
      <c r="AC117" s="700"/>
      <c r="AD117" s="700"/>
      <c r="AE117" s="700"/>
      <c r="AF117" s="700"/>
      <c r="AG117" s="700"/>
      <c r="AH117" s="700"/>
      <c r="AI117" s="700"/>
      <c r="AO117" s="1330"/>
      <c r="BP117" s="1330"/>
      <c r="CP117" s="1681">
        <v>45265</v>
      </c>
      <c r="CQ117" s="1682">
        <v>1000017656</v>
      </c>
      <c r="CR117" s="1683" t="s">
        <v>11935</v>
      </c>
      <c r="CS117" s="1522"/>
      <c r="CT117" s="1522"/>
      <c r="CU117" s="1522"/>
      <c r="CV117" s="1522"/>
      <c r="CW117" s="1522"/>
      <c r="CX117" s="1684"/>
      <c r="CY117" s="1685"/>
      <c r="CZ117" s="1522"/>
      <c r="DA117" s="1522">
        <v>1800</v>
      </c>
      <c r="DB117" s="1522"/>
      <c r="DC117" s="1522"/>
      <c r="DD117" s="1686"/>
      <c r="DE117" s="5465" t="s">
        <v>12101</v>
      </c>
      <c r="DG117" s="1455">
        <v>45639</v>
      </c>
      <c r="DH117" s="700">
        <v>1000025121</v>
      </c>
      <c r="DI117" s="697"/>
      <c r="DJ117" s="700"/>
      <c r="DK117" s="700"/>
      <c r="DL117" s="700"/>
      <c r="DM117" s="700"/>
      <c r="DN117" s="700"/>
      <c r="DO117" s="700"/>
      <c r="DP117" s="1466"/>
      <c r="DQ117" s="1466"/>
      <c r="DR117" s="700">
        <v>120000</v>
      </c>
      <c r="DS117" s="700"/>
      <c r="DT117" s="700"/>
      <c r="DU117" s="700"/>
      <c r="DV117" s="700"/>
      <c r="DW117" s="700"/>
      <c r="DX117" s="700"/>
      <c r="DY117" s="700"/>
      <c r="DZ117" s="700"/>
      <c r="EA117" s="700"/>
      <c r="EB117" s="700"/>
      <c r="EC117" s="1448"/>
      <c r="ED117" s="1448"/>
      <c r="EE117" s="1469"/>
      <c r="EF117" s="1461"/>
      <c r="EG117" s="1461"/>
      <c r="EH117" s="1461"/>
      <c r="EI117" s="1455">
        <v>45734</v>
      </c>
      <c r="EJ117" s="1247">
        <v>1000026373</v>
      </c>
      <c r="EK117" s="700"/>
      <c r="EL117" s="700"/>
      <c r="EM117" s="700"/>
      <c r="EN117" s="700"/>
      <c r="EO117" s="718"/>
      <c r="EP117" s="700"/>
      <c r="EQ117" s="700"/>
      <c r="ER117" s="700"/>
      <c r="ES117" s="700"/>
      <c r="ET117" s="700">
        <v>8334</v>
      </c>
      <c r="EU117" s="700"/>
      <c r="EV117" s="700"/>
      <c r="EW117" s="700"/>
      <c r="EX117" s="700"/>
      <c r="EY117" s="700"/>
      <c r="EZ117" s="700"/>
      <c r="FA117" s="700"/>
      <c r="FB117" s="700"/>
      <c r="FC117" s="1454"/>
      <c r="FD117" s="1462"/>
      <c r="FH117" s="1472">
        <v>45910</v>
      </c>
      <c r="FI117" s="721">
        <v>1000031894</v>
      </c>
      <c r="FJ117" s="721"/>
      <c r="FK117" s="721"/>
      <c r="FL117" s="721"/>
      <c r="FM117" s="721"/>
      <c r="FN117" s="721">
        <v>60000</v>
      </c>
      <c r="FO117" s="721"/>
      <c r="FP117" s="721"/>
      <c r="FQ117" s="721"/>
      <c r="FR117" s="721"/>
      <c r="FS117" s="721"/>
      <c r="FT117" s="721"/>
      <c r="FU117" s="721"/>
      <c r="FV117" s="721"/>
      <c r="FW117" s="721"/>
      <c r="FX117" s="1473"/>
      <c r="FY117" s="1474"/>
    </row>
    <row r="118" s="1329" customFormat="1" ht="24" customHeight="1" spans="3:195">
      <c r="C118" s="1647"/>
      <c r="S118" s="1586">
        <v>44484</v>
      </c>
      <c r="T118" s="1453" t="s">
        <v>12102</v>
      </c>
      <c r="U118" s="700"/>
      <c r="V118" s="700"/>
      <c r="W118" s="700"/>
      <c r="X118" s="700"/>
      <c r="Y118" s="700"/>
      <c r="Z118" s="700"/>
      <c r="AA118" s="700"/>
      <c r="AB118" s="700"/>
      <c r="AC118" s="719">
        <v>15000</v>
      </c>
      <c r="AD118" s="700"/>
      <c r="AE118" s="700"/>
      <c r="AF118" s="700"/>
      <c r="AG118" s="700"/>
      <c r="AH118" s="700"/>
      <c r="AI118" s="700"/>
      <c r="AO118" s="1330"/>
      <c r="BP118" s="1330"/>
      <c r="CP118" s="1455"/>
      <c r="CQ118" s="1467"/>
      <c r="CR118" s="1580"/>
      <c r="CS118" s="718"/>
      <c r="CT118" s="718"/>
      <c r="CU118" s="718"/>
      <c r="CV118" s="718"/>
      <c r="CW118" s="718"/>
      <c r="CX118" s="718"/>
      <c r="CY118" s="1571"/>
      <c r="CZ118" s="718"/>
      <c r="DA118" s="718"/>
      <c r="DB118" s="718"/>
      <c r="DC118" s="718"/>
      <c r="DD118" s="1468"/>
      <c r="DE118" s="1458"/>
      <c r="DG118" s="1455">
        <v>45639</v>
      </c>
      <c r="DH118" s="700">
        <v>1000025122</v>
      </c>
      <c r="DI118" s="697"/>
      <c r="DJ118" s="700"/>
      <c r="DK118" s="700"/>
      <c r="DL118" s="700"/>
      <c r="DM118" s="700"/>
      <c r="DN118" s="700"/>
      <c r="DO118" s="700"/>
      <c r="DP118" s="1466"/>
      <c r="DQ118" s="1466"/>
      <c r="DR118" s="1466"/>
      <c r="DS118" s="700"/>
      <c r="DT118" s="700"/>
      <c r="DU118" s="700"/>
      <c r="DV118" s="700">
        <v>5000</v>
      </c>
      <c r="DW118" s="700"/>
      <c r="DX118" s="700"/>
      <c r="DY118" s="700"/>
      <c r="DZ118" s="700"/>
      <c r="EA118" s="700"/>
      <c r="EB118" s="700"/>
      <c r="EC118" s="1448"/>
      <c r="ED118" s="1448"/>
      <c r="EE118" s="1469"/>
      <c r="EF118" s="1461"/>
      <c r="EG118" s="1461"/>
      <c r="EH118" s="1461"/>
      <c r="EI118" s="1455">
        <v>45734</v>
      </c>
      <c r="EJ118" s="1247">
        <v>1000026374</v>
      </c>
      <c r="EK118" s="700"/>
      <c r="EL118" s="700"/>
      <c r="EM118" s="700"/>
      <c r="EN118" s="700"/>
      <c r="EO118" s="718"/>
      <c r="EP118" s="700"/>
      <c r="EQ118" s="700"/>
      <c r="ER118" s="700"/>
      <c r="ES118" s="700"/>
      <c r="ET118" s="700"/>
      <c r="EU118" s="700"/>
      <c r="EV118" s="700">
        <v>2000</v>
      </c>
      <c r="EW118" s="700"/>
      <c r="EX118" s="700"/>
      <c r="EY118" s="700"/>
      <c r="EZ118" s="700"/>
      <c r="FA118" s="700"/>
      <c r="FB118" s="700"/>
      <c r="FC118" s="1454"/>
      <c r="FD118" s="1462"/>
      <c r="FH118" s="1472">
        <v>45910</v>
      </c>
      <c r="FI118" s="721">
        <v>1000031918</v>
      </c>
      <c r="FJ118" s="721"/>
      <c r="FK118" s="721"/>
      <c r="FL118" s="721"/>
      <c r="FM118" s="721"/>
      <c r="FN118" s="721"/>
      <c r="FO118" s="721"/>
      <c r="FP118" s="721">
        <v>100000</v>
      </c>
      <c r="FQ118" s="721"/>
      <c r="FR118" s="721"/>
      <c r="FS118" s="721"/>
      <c r="FT118" s="721"/>
      <c r="FU118" s="721"/>
      <c r="FV118" s="721"/>
      <c r="FW118" s="721"/>
      <c r="FX118" s="1473"/>
      <c r="FY118" s="1474"/>
      <c r="GC118" s="1330"/>
      <c r="GD118" s="1330"/>
      <c r="GE118" s="1330"/>
      <c r="GF118" s="1330"/>
      <c r="GG118" s="1330"/>
      <c r="GH118" s="1330"/>
      <c r="GI118" s="1330"/>
      <c r="GJ118" s="1330"/>
      <c r="GK118" s="1330"/>
    </row>
    <row r="119" s="1329" customFormat="1" ht="24" customHeight="1" spans="3:195">
      <c r="C119" s="1647"/>
      <c r="S119" s="1586">
        <v>44484</v>
      </c>
      <c r="T119" s="1453" t="s">
        <v>12103</v>
      </c>
      <c r="U119" s="700"/>
      <c r="V119" s="700"/>
      <c r="W119" s="700"/>
      <c r="X119" s="700"/>
      <c r="Y119" s="700"/>
      <c r="Z119" s="700"/>
      <c r="AA119" s="700"/>
      <c r="AB119" s="700"/>
      <c r="AC119" s="700"/>
      <c r="AD119" s="719">
        <v>15000</v>
      </c>
      <c r="AE119" s="700"/>
      <c r="AF119" s="700"/>
      <c r="AG119" s="700"/>
      <c r="AH119" s="700"/>
      <c r="AI119" s="700"/>
      <c r="AO119" s="1330"/>
      <c r="BP119" s="1330"/>
      <c r="CP119" s="1455"/>
      <c r="CQ119" s="1456"/>
      <c r="CR119" s="1580"/>
      <c r="CS119" s="718"/>
      <c r="CT119" s="718"/>
      <c r="CU119" s="718"/>
      <c r="CV119" s="718"/>
      <c r="CW119" s="718"/>
      <c r="CX119" s="718"/>
      <c r="CY119" s="718"/>
      <c r="CZ119" s="718"/>
      <c r="DA119" s="718"/>
      <c r="DB119" s="718"/>
      <c r="DC119" s="718"/>
      <c r="DD119" s="1468"/>
      <c r="DE119" s="1458"/>
      <c r="DG119" s="1455">
        <v>45679</v>
      </c>
      <c r="DH119" s="700">
        <v>1000025629</v>
      </c>
      <c r="DI119" s="697"/>
      <c r="DJ119" s="700"/>
      <c r="DK119" s="700"/>
      <c r="DL119" s="700"/>
      <c r="DM119" s="700">
        <v>6000</v>
      </c>
      <c r="DN119" s="700"/>
      <c r="DO119" s="700"/>
      <c r="DP119" s="1466"/>
      <c r="DQ119" s="1466"/>
      <c r="DR119" s="1466"/>
      <c r="DS119" s="700"/>
      <c r="DT119" s="700"/>
      <c r="DU119" s="700"/>
      <c r="DV119" s="700"/>
      <c r="DW119" s="700"/>
      <c r="DX119" s="700"/>
      <c r="DY119" s="700"/>
      <c r="DZ119" s="700"/>
      <c r="EA119" s="700"/>
      <c r="EB119" s="700"/>
      <c r="EC119" s="1448"/>
      <c r="ED119" s="1448"/>
      <c r="EE119" s="1463"/>
      <c r="EF119" s="1461"/>
      <c r="EG119" s="1461"/>
      <c r="EH119" s="1461"/>
      <c r="EI119" s="1455">
        <v>45741</v>
      </c>
      <c r="EJ119" s="1467">
        <v>1000026589</v>
      </c>
      <c r="EK119" s="700"/>
      <c r="EL119" s="700"/>
      <c r="EM119" s="700"/>
      <c r="EN119" s="700"/>
      <c r="EO119" s="718"/>
      <c r="EP119" s="700"/>
      <c r="EQ119" s="700"/>
      <c r="ER119" s="700"/>
      <c r="ES119" s="700"/>
      <c r="ET119" s="700"/>
      <c r="EU119" s="700"/>
      <c r="EV119" s="700"/>
      <c r="EW119" s="700"/>
      <c r="EX119" s="700"/>
      <c r="EY119" s="700"/>
      <c r="EZ119" s="700">
        <v>1344</v>
      </c>
      <c r="FA119" s="700"/>
      <c r="FB119" s="700"/>
      <c r="FC119" s="1454"/>
      <c r="FD119" s="1462" t="s">
        <v>12104</v>
      </c>
      <c r="FH119" s="1472">
        <v>45957</v>
      </c>
      <c r="FI119" s="721">
        <v>1000033367</v>
      </c>
      <c r="FJ119" s="1664"/>
      <c r="FK119" s="1664"/>
      <c r="FL119" s="721">
        <v>100000</v>
      </c>
      <c r="FM119" s="721"/>
      <c r="FN119" s="721"/>
      <c r="FO119" s="721"/>
      <c r="FP119" s="721"/>
      <c r="FQ119" s="1664"/>
      <c r="FR119" s="1664"/>
      <c r="FS119" s="1664"/>
      <c r="FT119" s="1664"/>
      <c r="FU119" s="1664"/>
      <c r="FV119" s="1664"/>
      <c r="FW119" s="1664"/>
      <c r="FX119" s="1665"/>
      <c r="FY119" s="1666"/>
      <c r="GC119" s="1330"/>
      <c r="GD119" s="1330"/>
      <c r="GE119" s="1330"/>
      <c r="GF119" s="1330"/>
      <c r="GG119" s="1330"/>
      <c r="GH119" s="1330"/>
      <c r="GI119" s="1330"/>
      <c r="GJ119" s="1330"/>
      <c r="GK119" s="1330"/>
    </row>
    <row r="120" s="1329" customFormat="1" ht="24" customHeight="1" spans="3:195">
      <c r="C120" s="1647"/>
      <c r="S120" s="1586">
        <v>44484</v>
      </c>
      <c r="T120" s="1453" t="s">
        <v>12105</v>
      </c>
      <c r="U120" s="700"/>
      <c r="V120" s="700"/>
      <c r="W120" s="700"/>
      <c r="X120" s="700"/>
      <c r="Y120" s="700"/>
      <c r="Z120" s="700"/>
      <c r="AA120" s="700"/>
      <c r="AB120" s="700"/>
      <c r="AC120" s="700"/>
      <c r="AD120" s="700"/>
      <c r="AE120" s="719">
        <v>500</v>
      </c>
      <c r="AF120" s="719"/>
      <c r="AG120" s="719"/>
      <c r="AH120" s="719"/>
      <c r="AI120" s="700"/>
      <c r="AO120" s="1330"/>
      <c r="BP120" s="1330"/>
      <c r="CP120" s="1687"/>
      <c r="CQ120" s="1505"/>
      <c r="CR120" s="1507" t="s">
        <v>11822</v>
      </c>
      <c r="CS120" s="1505">
        <f>SUM(CS5:CS119)</f>
        <v>2175000</v>
      </c>
      <c r="CT120" s="1505">
        <f t="shared" ref="CS120:DD120" si="14">SUM(CT5:CT119)</f>
        <v>1000000</v>
      </c>
      <c r="CU120" s="1505">
        <f t="shared" si="14"/>
        <v>115000</v>
      </c>
      <c r="CV120" s="1505">
        <f t="shared" si="14"/>
        <v>390000</v>
      </c>
      <c r="CW120" s="1505">
        <f t="shared" si="14"/>
        <v>1430000</v>
      </c>
      <c r="CX120" s="1505">
        <f t="shared" si="14"/>
        <v>42000</v>
      </c>
      <c r="CY120" s="1505">
        <f t="shared" si="14"/>
        <v>66738</v>
      </c>
      <c r="CZ120" s="1505">
        <f t="shared" si="14"/>
        <v>6373</v>
      </c>
      <c r="DA120" s="1505">
        <f t="shared" si="14"/>
        <v>25078</v>
      </c>
      <c r="DB120" s="1505">
        <f t="shared" si="14"/>
        <v>75417</v>
      </c>
      <c r="DC120" s="1505">
        <f t="shared" si="14"/>
        <v>56008</v>
      </c>
      <c r="DD120" s="1688">
        <f t="shared" si="14"/>
        <v>400</v>
      </c>
      <c r="DE120" s="1458"/>
      <c r="DG120" s="1455">
        <v>45743</v>
      </c>
      <c r="DH120" s="700">
        <v>1000026666</v>
      </c>
      <c r="DI120" s="697"/>
      <c r="DJ120" s="700"/>
      <c r="DK120" s="700">
        <v>50000</v>
      </c>
      <c r="DL120" s="700"/>
      <c r="DM120" s="700"/>
      <c r="DN120" s="700"/>
      <c r="DO120" s="700"/>
      <c r="DP120" s="1466"/>
      <c r="DQ120" s="1466"/>
      <c r="DR120" s="1466"/>
      <c r="DS120" s="700"/>
      <c r="DT120" s="700"/>
      <c r="DU120" s="700"/>
      <c r="DV120" s="700"/>
      <c r="DW120" s="700"/>
      <c r="DX120" s="700"/>
      <c r="DY120" s="700"/>
      <c r="DZ120" s="700"/>
      <c r="EA120" s="700"/>
      <c r="EB120" s="700"/>
      <c r="EC120" s="1448"/>
      <c r="ED120" s="1448"/>
      <c r="EE120" s="1463"/>
      <c r="EF120" s="1461"/>
      <c r="EG120" s="1461"/>
      <c r="EH120" s="1461"/>
      <c r="EI120" s="1455"/>
      <c r="EJ120" s="1467"/>
      <c r="EK120" s="700"/>
      <c r="EL120" s="700"/>
      <c r="EM120" s="700"/>
      <c r="EN120" s="700"/>
      <c r="EO120" s="718"/>
      <c r="EP120" s="700"/>
      <c r="EQ120" s="700"/>
      <c r="ER120" s="700"/>
      <c r="ES120" s="700"/>
      <c r="ET120" s="700"/>
      <c r="EU120" s="700"/>
      <c r="EV120" s="700"/>
      <c r="EW120" s="700"/>
      <c r="EX120" s="700"/>
      <c r="EY120" s="700">
        <v>3017</v>
      </c>
      <c r="EZ120" s="700"/>
      <c r="FA120" s="700"/>
      <c r="FB120" s="700"/>
      <c r="FC120" s="1454"/>
      <c r="FD120" s="1462" t="s">
        <v>12106</v>
      </c>
      <c r="FH120" s="1472">
        <v>45957</v>
      </c>
      <c r="FI120" s="721">
        <v>1000033368</v>
      </c>
      <c r="FJ120" s="1664"/>
      <c r="FK120" s="1664"/>
      <c r="FL120" s="721"/>
      <c r="FM120" s="721"/>
      <c r="FN120" s="721"/>
      <c r="FO120" s="721"/>
      <c r="FP120" s="721">
        <v>100000</v>
      </c>
      <c r="FQ120" s="1664"/>
      <c r="FR120" s="1664"/>
      <c r="FS120" s="1664"/>
      <c r="FT120" s="1664"/>
      <c r="FU120" s="1664"/>
      <c r="FV120" s="1664"/>
      <c r="FW120" s="1664"/>
      <c r="FX120" s="1665"/>
      <c r="FY120" s="1666"/>
      <c r="GA120" s="1330"/>
    </row>
    <row r="121" s="1329" customFormat="1" ht="24" customHeight="1" spans="3:195">
      <c r="C121" s="1647"/>
      <c r="S121" s="1586"/>
      <c r="T121" s="1453"/>
      <c r="U121" s="700"/>
      <c r="V121" s="700"/>
      <c r="W121" s="700"/>
      <c r="X121" s="700"/>
      <c r="Y121" s="700"/>
      <c r="Z121" s="700"/>
      <c r="AA121" s="700"/>
      <c r="AB121" s="700"/>
      <c r="AC121" s="700"/>
      <c r="AD121" s="700"/>
      <c r="AE121" s="719"/>
      <c r="AF121" s="719"/>
      <c r="AG121" s="719"/>
      <c r="AH121" s="719"/>
      <c r="AI121" s="700"/>
      <c r="AO121" s="1330"/>
      <c r="BP121" s="1330"/>
      <c r="CP121" s="1689" t="s">
        <v>12107</v>
      </c>
      <c r="CQ121" s="1445"/>
      <c r="CR121" s="1491"/>
      <c r="CS121" s="1690">
        <v>1337232</v>
      </c>
      <c r="CT121" s="1690">
        <v>998834</v>
      </c>
      <c r="CU121" s="1690">
        <v>64288</v>
      </c>
      <c r="CV121" s="1690">
        <v>229700</v>
      </c>
      <c r="CW121" s="1690">
        <v>506694</v>
      </c>
      <c r="CX121" s="1690">
        <v>24532</v>
      </c>
      <c r="CY121" s="1690">
        <v>44408</v>
      </c>
      <c r="CZ121" s="1690">
        <v>6373</v>
      </c>
      <c r="DA121" s="1690">
        <v>21072</v>
      </c>
      <c r="DB121" s="718">
        <v>65067</v>
      </c>
      <c r="DC121" s="1690">
        <v>25008</v>
      </c>
      <c r="DD121" s="1691">
        <v>283</v>
      </c>
      <c r="DE121" s="1458"/>
      <c r="DG121" s="1455">
        <v>45743</v>
      </c>
      <c r="DH121" s="700">
        <v>1000026667</v>
      </c>
      <c r="DI121" s="697"/>
      <c r="DJ121" s="700"/>
      <c r="DK121" s="700"/>
      <c r="DL121" s="700"/>
      <c r="DM121" s="700"/>
      <c r="DN121" s="700"/>
      <c r="DO121" s="700">
        <v>30000</v>
      </c>
      <c r="DP121" s="1466"/>
      <c r="DQ121" s="1466"/>
      <c r="DR121" s="1466"/>
      <c r="DS121" s="700"/>
      <c r="DT121" s="700"/>
      <c r="DU121" s="700"/>
      <c r="DV121" s="700"/>
      <c r="DW121" s="700"/>
      <c r="DX121" s="700"/>
      <c r="DY121" s="700"/>
      <c r="DZ121" s="700"/>
      <c r="EA121" s="700"/>
      <c r="EB121" s="700"/>
      <c r="EC121" s="1448"/>
      <c r="ED121" s="1448"/>
      <c r="EE121" s="1463"/>
      <c r="EF121" s="1461"/>
      <c r="EG121" s="1461"/>
      <c r="EH121" s="1461"/>
      <c r="EI121" s="1455"/>
      <c r="EJ121" s="1467"/>
      <c r="EK121" s="700"/>
      <c r="EL121" s="700"/>
      <c r="EM121" s="700"/>
      <c r="EN121" s="700"/>
      <c r="EO121" s="718"/>
      <c r="EP121" s="700"/>
      <c r="EQ121" s="700"/>
      <c r="ER121" s="700"/>
      <c r="ES121" s="700"/>
      <c r="ET121" s="700"/>
      <c r="EU121" s="700"/>
      <c r="EV121" s="700"/>
      <c r="EW121" s="700"/>
      <c r="EX121" s="700"/>
      <c r="EY121" s="700"/>
      <c r="EZ121" s="700"/>
      <c r="FA121" s="700"/>
      <c r="FB121" s="718">
        <v>30253</v>
      </c>
      <c r="FC121" s="1454"/>
      <c r="FD121" s="1462" t="s">
        <v>12108</v>
      </c>
      <c r="FH121" s="1692">
        <v>45989</v>
      </c>
      <c r="FI121" s="1693">
        <v>1000034540</v>
      </c>
      <c r="FJ121" s="1693"/>
      <c r="FK121" s="1693"/>
      <c r="FL121" s="1693"/>
      <c r="FM121" s="1693"/>
      <c r="FN121" s="1693"/>
      <c r="FO121" s="1693"/>
      <c r="FP121" s="1693"/>
      <c r="FQ121" s="1693">
        <v>8000</v>
      </c>
      <c r="FR121" s="1693"/>
      <c r="FS121" s="1693"/>
      <c r="FT121" s="1693"/>
      <c r="FU121" s="1693"/>
      <c r="FV121" s="1693"/>
      <c r="FW121" s="1693"/>
      <c r="FX121" s="1694"/>
      <c r="FY121" s="1695"/>
      <c r="GA121" s="1330"/>
    </row>
    <row r="122" s="1329" customFormat="1" ht="24" customHeight="1" spans="3:195">
      <c r="C122" s="1647"/>
      <c r="S122" s="1586"/>
      <c r="T122" s="1453"/>
      <c r="U122" s="700"/>
      <c r="V122" s="700"/>
      <c r="W122" s="700"/>
      <c r="X122" s="700"/>
      <c r="Y122" s="700"/>
      <c r="Z122" s="700"/>
      <c r="AA122" s="700"/>
      <c r="AB122" s="700"/>
      <c r="AC122" s="700"/>
      <c r="AD122" s="700"/>
      <c r="AE122" s="719"/>
      <c r="AF122" s="719"/>
      <c r="AG122" s="719"/>
      <c r="AH122" s="719"/>
      <c r="AI122" s="700"/>
      <c r="AO122" s="1330"/>
      <c r="BP122" s="1330"/>
      <c r="CP122" s="1689" t="s">
        <v>6037</v>
      </c>
      <c r="CQ122" s="1445"/>
      <c r="CR122" s="1491"/>
      <c r="CS122" s="1690">
        <v>791008</v>
      </c>
      <c r="CT122" s="1690">
        <v>216</v>
      </c>
      <c r="CU122" s="1690">
        <v>48811</v>
      </c>
      <c r="CV122" s="1690">
        <v>138264</v>
      </c>
      <c r="CW122" s="1690">
        <v>857168</v>
      </c>
      <c r="CX122" s="1690">
        <v>17472</v>
      </c>
      <c r="CY122" s="1690">
        <v>21766</v>
      </c>
      <c r="CZ122" s="1690">
        <v>0</v>
      </c>
      <c r="DA122" s="1690">
        <v>2206</v>
      </c>
      <c r="DB122" s="1690">
        <v>10350</v>
      </c>
      <c r="DC122" s="1690">
        <v>45048</v>
      </c>
      <c r="DD122" s="1691">
        <v>90</v>
      </c>
      <c r="DE122" s="1458"/>
      <c r="DG122" s="1455">
        <v>45743</v>
      </c>
      <c r="DH122" s="700">
        <v>1000026668</v>
      </c>
      <c r="DI122" s="697"/>
      <c r="DJ122" s="700"/>
      <c r="DK122" s="700"/>
      <c r="DL122" s="700"/>
      <c r="DM122" s="700"/>
      <c r="DN122" s="700"/>
      <c r="DO122" s="700"/>
      <c r="DP122" s="700"/>
      <c r="DQ122" s="700"/>
      <c r="DR122" s="700">
        <v>80000</v>
      </c>
      <c r="DS122" s="700"/>
      <c r="DT122" s="700"/>
      <c r="DU122" s="700"/>
      <c r="DV122" s="700"/>
      <c r="DW122" s="700"/>
      <c r="DX122" s="700"/>
      <c r="DY122" s="700"/>
      <c r="DZ122" s="700"/>
      <c r="EA122" s="700"/>
      <c r="EB122" s="700"/>
      <c r="EC122" s="1448"/>
      <c r="ED122" s="1448"/>
      <c r="EE122" s="1463"/>
      <c r="EF122" s="1461"/>
      <c r="EG122" s="1461"/>
      <c r="EH122" s="1461"/>
      <c r="EI122" s="1455"/>
      <c r="EJ122" s="1467"/>
      <c r="EK122" s="700"/>
      <c r="EL122" s="700"/>
      <c r="EM122" s="700"/>
      <c r="EN122" s="700"/>
      <c r="EO122" s="718"/>
      <c r="EP122" s="700"/>
      <c r="EQ122" s="700"/>
      <c r="ER122" s="700"/>
      <c r="ES122" s="700"/>
      <c r="ET122" s="700"/>
      <c r="EU122" s="700"/>
      <c r="EV122" s="700"/>
      <c r="EW122" s="700"/>
      <c r="EX122" s="700"/>
      <c r="EY122" s="700"/>
      <c r="EZ122" s="700"/>
      <c r="FA122" s="700"/>
      <c r="FB122" s="1680">
        <v>3504</v>
      </c>
      <c r="FC122" s="1454"/>
      <c r="FD122" s="1462" t="s">
        <v>12109</v>
      </c>
      <c r="FE122" s="1329">
        <v>92123</v>
      </c>
      <c r="FH122" s="1692">
        <v>45989</v>
      </c>
      <c r="FI122" s="1693">
        <v>1000034541</v>
      </c>
      <c r="FJ122" s="1693"/>
      <c r="FK122" s="1693"/>
      <c r="FL122" s="1693"/>
      <c r="FM122" s="1693"/>
      <c r="FN122" s="1693"/>
      <c r="FO122" s="1693"/>
      <c r="FP122" s="1693"/>
      <c r="FQ122" s="1693"/>
      <c r="FR122" s="1693">
        <v>3300</v>
      </c>
      <c r="FS122" s="1693"/>
      <c r="FT122" s="1693"/>
      <c r="FU122" s="1693"/>
      <c r="FV122" s="1693"/>
      <c r="FW122" s="1693"/>
      <c r="FX122" s="1694"/>
      <c r="FY122" s="1695"/>
      <c r="GA122" s="1330"/>
    </row>
    <row r="123" s="1329" customFormat="1" ht="24" customHeight="1" spans="3:195">
      <c r="C123" s="1647"/>
      <c r="S123" s="1586">
        <v>44505</v>
      </c>
      <c r="T123" s="1453" t="s">
        <v>12110</v>
      </c>
      <c r="U123" s="1443"/>
      <c r="V123" s="1443"/>
      <c r="W123" s="1443"/>
      <c r="X123" s="719">
        <v>40000</v>
      </c>
      <c r="Y123" s="1443"/>
      <c r="Z123" s="1443"/>
      <c r="AA123" s="1443"/>
      <c r="AB123" s="1443"/>
      <c r="AC123" s="1443"/>
      <c r="AD123" s="1443"/>
      <c r="AE123" s="1443"/>
      <c r="AF123" s="1443"/>
      <c r="AG123" s="1443"/>
      <c r="AH123" s="1443"/>
      <c r="AI123" s="1443"/>
      <c r="AO123" s="1330"/>
      <c r="BP123" s="1330"/>
      <c r="CP123" s="1689" t="s">
        <v>12111</v>
      </c>
      <c r="CQ123" s="1445"/>
      <c r="CR123" s="1491"/>
      <c r="CS123" s="1690">
        <v>98334</v>
      </c>
      <c r="CT123" s="1690">
        <v>0</v>
      </c>
      <c r="CU123" s="1690">
        <v>4353</v>
      </c>
      <c r="CV123" s="1690">
        <v>22440</v>
      </c>
      <c r="CW123" s="1690">
        <v>119514</v>
      </c>
      <c r="CX123" s="1690">
        <v>2292</v>
      </c>
      <c r="CY123" s="1690">
        <v>0</v>
      </c>
      <c r="CZ123" s="1690">
        <v>0</v>
      </c>
      <c r="DA123" s="1690">
        <v>1800</v>
      </c>
      <c r="DB123" s="1690">
        <v>0</v>
      </c>
      <c r="DC123" s="1690">
        <v>524640</v>
      </c>
      <c r="DD123" s="1691">
        <v>0</v>
      </c>
      <c r="DE123" s="1458"/>
      <c r="DG123" s="1455">
        <v>45743</v>
      </c>
      <c r="DH123" s="700">
        <v>1000026669</v>
      </c>
      <c r="DI123" s="697"/>
      <c r="DJ123" s="700"/>
      <c r="DK123" s="700"/>
      <c r="DL123" s="700"/>
      <c r="DM123" s="700">
        <v>4000</v>
      </c>
      <c r="DN123" s="700"/>
      <c r="DO123" s="700"/>
      <c r="DP123" s="700"/>
      <c r="DQ123" s="700"/>
      <c r="DR123" s="700"/>
      <c r="DS123" s="700"/>
      <c r="DT123" s="700"/>
      <c r="DU123" s="700"/>
      <c r="DV123" s="700"/>
      <c r="DW123" s="700"/>
      <c r="DX123" s="700"/>
      <c r="DY123" s="700"/>
      <c r="DZ123" s="700"/>
      <c r="EA123" s="700"/>
      <c r="EB123" s="700"/>
      <c r="EC123" s="1448"/>
      <c r="ED123" s="1448"/>
      <c r="EE123" s="1463"/>
      <c r="EF123" s="1461"/>
      <c r="EG123" s="1461"/>
      <c r="EH123" s="1461"/>
      <c r="EI123" s="1455"/>
      <c r="EJ123" s="1467"/>
      <c r="EK123" s="700"/>
      <c r="EL123" s="700"/>
      <c r="EM123" s="700"/>
      <c r="EN123" s="700"/>
      <c r="EO123" s="718"/>
      <c r="EP123" s="700"/>
      <c r="EQ123" s="700"/>
      <c r="ER123" s="700"/>
      <c r="ES123" s="700"/>
      <c r="ET123" s="700"/>
      <c r="EU123" s="700"/>
      <c r="EV123" s="700"/>
      <c r="EW123" s="700"/>
      <c r="EX123" s="700"/>
      <c r="EY123" s="700"/>
      <c r="EZ123" s="700"/>
      <c r="FA123" s="700"/>
      <c r="FB123" s="718">
        <v>10020</v>
      </c>
      <c r="FC123" s="1454"/>
      <c r="FD123" s="1462">
        <v>4500162560</v>
      </c>
      <c r="FE123" s="1329">
        <v>92123</v>
      </c>
      <c r="FH123" s="1472">
        <v>46044</v>
      </c>
      <c r="FI123" s="721">
        <v>1000036113</v>
      </c>
      <c r="FJ123" s="1664"/>
      <c r="FK123" s="1664"/>
      <c r="FL123" s="721">
        <v>80000</v>
      </c>
      <c r="FM123" s="721"/>
      <c r="FN123" s="721"/>
      <c r="FO123" s="721"/>
      <c r="FP123" s="721"/>
      <c r="FQ123" s="721"/>
      <c r="FR123" s="1664"/>
      <c r="FS123" s="1664"/>
      <c r="FT123" s="1664"/>
      <c r="FU123" s="1664"/>
      <c r="FV123" s="1664"/>
      <c r="FW123" s="1664"/>
      <c r="FX123" s="1665"/>
      <c r="FY123" s="1666"/>
      <c r="FZ123" s="1330"/>
      <c r="GA123" s="1330"/>
    </row>
    <row r="124" s="1329" customFormat="1" ht="24" customHeight="1" spans="3:195">
      <c r="C124" s="1647"/>
      <c r="S124" s="1586">
        <v>44505</v>
      </c>
      <c r="T124" s="1453" t="s">
        <v>12112</v>
      </c>
      <c r="U124" s="1443"/>
      <c r="V124" s="1443"/>
      <c r="W124" s="1443"/>
      <c r="X124" s="1443"/>
      <c r="Y124" s="1443"/>
      <c r="Z124" s="1443"/>
      <c r="AA124" s="719">
        <v>1000</v>
      </c>
      <c r="AB124" s="1443"/>
      <c r="AC124" s="1443"/>
      <c r="AD124" s="1443"/>
      <c r="AE124" s="1443"/>
      <c r="AF124" s="1443"/>
      <c r="AG124" s="1443"/>
      <c r="AH124" s="1443"/>
      <c r="AI124" s="1443"/>
      <c r="AO124" s="1330"/>
      <c r="BP124" s="1330"/>
      <c r="CP124" s="1564" t="s">
        <v>11796</v>
      </c>
      <c r="CQ124" s="1505"/>
      <c r="CR124" s="1512"/>
      <c r="CS124" s="1513">
        <f>'9259'!AG84+CS121+CS122+CS123</f>
        <v>2237158</v>
      </c>
      <c r="CT124" s="1513">
        <f>'9259'!AK84+CT121+CT122+CT123</f>
        <v>999050</v>
      </c>
      <c r="CU124" s="1513">
        <f>'9259'!AR84+CU121+CU122+CU123</f>
        <v>117452</v>
      </c>
      <c r="CV124" s="1513">
        <f>'9259'!AH84+CV121+CV122+CV123</f>
        <v>390404</v>
      </c>
      <c r="CW124" s="1513">
        <f>'9259'!AL84+CW121+CW122+CW123</f>
        <v>1493960</v>
      </c>
      <c r="CX124" s="1512">
        <f>'9259'!AS84+CX121+CX122+CX123</f>
        <v>44296</v>
      </c>
      <c r="CY124" s="1512">
        <f>'9259'!AT84+CY121+CY122+CY123</f>
        <v>66174</v>
      </c>
      <c r="CZ124" s="1512">
        <f>'9259'!AU84+CZ121+CZ122+CZ123</f>
        <v>6373</v>
      </c>
      <c r="DA124" s="1512">
        <f>'9259'!AV84+DA121+DA122+DA123</f>
        <v>25078</v>
      </c>
      <c r="DB124" s="1512">
        <f>'9259'!AW84+DB121+DB122+DB123</f>
        <v>75417</v>
      </c>
      <c r="DC124" s="1512">
        <f>'9259'!AJ84+DC121+DC122+DC123</f>
        <v>1327812</v>
      </c>
      <c r="DD124" s="1696">
        <f>'9259'!AX84+DD121+DD122</f>
        <v>373</v>
      </c>
      <c r="DE124" s="1458"/>
      <c r="DG124" s="1455">
        <v>45777</v>
      </c>
      <c r="DH124" s="700">
        <v>1000027600</v>
      </c>
      <c r="DI124" s="697"/>
      <c r="DJ124" s="700"/>
      <c r="DK124" s="700"/>
      <c r="DL124" s="700"/>
      <c r="DM124" s="700">
        <v>6000</v>
      </c>
      <c r="DN124" s="700"/>
      <c r="DO124" s="700"/>
      <c r="DP124" s="1466"/>
      <c r="DQ124" s="1466"/>
      <c r="DR124" s="1466"/>
      <c r="DS124" s="700"/>
      <c r="DT124" s="700"/>
      <c r="DU124" s="700"/>
      <c r="DV124" s="700"/>
      <c r="DW124" s="700"/>
      <c r="DX124" s="700"/>
      <c r="DY124" s="700"/>
      <c r="DZ124" s="700"/>
      <c r="EA124" s="700"/>
      <c r="EB124" s="700"/>
      <c r="EC124" s="1448"/>
      <c r="ED124" s="1448"/>
      <c r="EE124" s="1463"/>
      <c r="EF124" s="1461"/>
      <c r="EG124" s="1461"/>
      <c r="EH124" s="1461"/>
      <c r="EI124" s="1455"/>
      <c r="EJ124" s="1467"/>
      <c r="EK124" s="700"/>
      <c r="EL124" s="700"/>
      <c r="EM124" s="700"/>
      <c r="EN124" s="700"/>
      <c r="EO124" s="718"/>
      <c r="EP124" s="700"/>
      <c r="EQ124" s="700"/>
      <c r="ER124" s="700"/>
      <c r="ES124" s="700"/>
      <c r="ET124" s="700"/>
      <c r="EU124" s="700"/>
      <c r="EV124" s="700"/>
      <c r="EW124" s="700"/>
      <c r="EX124" s="700"/>
      <c r="EY124" s="700"/>
      <c r="EZ124" s="700"/>
      <c r="FA124" s="700"/>
      <c r="FB124" s="718">
        <v>1300</v>
      </c>
      <c r="FC124" s="1454"/>
      <c r="FD124" s="1462">
        <v>4500160859</v>
      </c>
      <c r="FH124" s="1472">
        <v>46044</v>
      </c>
      <c r="FI124" s="721">
        <v>1000036114</v>
      </c>
      <c r="FJ124" s="1664"/>
      <c r="FK124" s="1664"/>
      <c r="FL124" s="721"/>
      <c r="FM124" s="721"/>
      <c r="FN124" s="721"/>
      <c r="FO124" s="721"/>
      <c r="FP124" s="721">
        <v>100000</v>
      </c>
      <c r="FQ124" s="721"/>
      <c r="FR124" s="1664"/>
      <c r="FS124" s="1664"/>
      <c r="FT124" s="1664"/>
      <c r="FU124" s="1664"/>
      <c r="FV124" s="1664"/>
      <c r="FW124" s="1664"/>
      <c r="FX124" s="1665"/>
      <c r="FY124" s="1666"/>
      <c r="FZ124" s="1330"/>
      <c r="GA124" s="1330"/>
    </row>
    <row r="125" s="1329" customFormat="1" ht="24" customHeight="1" spans="3:195">
      <c r="C125" s="1647"/>
      <c r="S125" s="1586">
        <v>44505</v>
      </c>
      <c r="T125" s="1453" t="s">
        <v>12113</v>
      </c>
      <c r="U125" s="1443"/>
      <c r="V125" s="1443"/>
      <c r="W125" s="1443"/>
      <c r="X125" s="1443"/>
      <c r="Y125" s="1443"/>
      <c r="Z125" s="1443"/>
      <c r="AA125" s="1443"/>
      <c r="AB125" s="719">
        <v>50000</v>
      </c>
      <c r="AC125" s="1443"/>
      <c r="AD125" s="1443"/>
      <c r="AE125" s="1697"/>
      <c r="AF125" s="1697"/>
      <c r="AG125" s="1697"/>
      <c r="AH125" s="1697"/>
      <c r="AI125" s="1443"/>
      <c r="AO125" s="1330"/>
      <c r="BP125" s="1330"/>
      <c r="CP125" s="1564" t="s">
        <v>11804</v>
      </c>
      <c r="CQ125" s="1505"/>
      <c r="CR125" s="1512"/>
      <c r="CS125" s="1513"/>
      <c r="CT125" s="1513"/>
      <c r="CU125" s="1513"/>
      <c r="CV125" s="1513"/>
      <c r="CW125" s="1512"/>
      <c r="CX125" s="1512"/>
      <c r="CY125" s="1512"/>
      <c r="CZ125" s="1512"/>
      <c r="DA125" s="1512"/>
      <c r="DB125" s="1512"/>
      <c r="DC125" s="1512"/>
      <c r="DD125" s="1696"/>
      <c r="DE125" s="1458"/>
      <c r="DG125" s="1455">
        <v>45807</v>
      </c>
      <c r="DH125" s="700">
        <v>1000028588</v>
      </c>
      <c r="DI125" s="697"/>
      <c r="DJ125" s="700"/>
      <c r="DK125" s="700">
        <v>80000</v>
      </c>
      <c r="DL125" s="700"/>
      <c r="DM125" s="700"/>
      <c r="DN125" s="700"/>
      <c r="DO125" s="700"/>
      <c r="DP125" s="1466"/>
      <c r="DQ125" s="1466"/>
      <c r="DR125" s="1466"/>
      <c r="DS125" s="700"/>
      <c r="DT125" s="700"/>
      <c r="DU125" s="700"/>
      <c r="DV125" s="700"/>
      <c r="DW125" s="700"/>
      <c r="DX125" s="700"/>
      <c r="DY125" s="700"/>
      <c r="DZ125" s="700"/>
      <c r="EA125" s="700"/>
      <c r="EB125" s="700"/>
      <c r="EC125" s="1448"/>
      <c r="ED125" s="1448"/>
      <c r="EE125" s="1463"/>
      <c r="EF125" s="1461"/>
      <c r="EG125" s="1461"/>
      <c r="EH125" s="1461"/>
      <c r="EI125" s="1455"/>
      <c r="EJ125" s="1467"/>
      <c r="EK125" s="700"/>
      <c r="EL125" s="700"/>
      <c r="EM125" s="700"/>
      <c r="EN125" s="700"/>
      <c r="EO125" s="718"/>
      <c r="EP125" s="700"/>
      <c r="EQ125" s="700"/>
      <c r="ER125" s="700"/>
      <c r="ES125" s="700"/>
      <c r="ET125" s="700"/>
      <c r="EU125" s="700"/>
      <c r="EV125" s="700"/>
      <c r="EW125" s="700"/>
      <c r="EX125" s="700"/>
      <c r="EY125" s="700"/>
      <c r="EZ125" s="700"/>
      <c r="FA125" s="700"/>
      <c r="FB125" s="700"/>
      <c r="FC125" s="1454">
        <v>121012</v>
      </c>
      <c r="FD125" s="1462" t="s">
        <v>12108</v>
      </c>
      <c r="FH125" s="1472">
        <v>46044</v>
      </c>
      <c r="FI125" s="721">
        <v>1000036115</v>
      </c>
      <c r="FJ125" s="1664"/>
      <c r="FK125" s="1664"/>
      <c r="FL125" s="721"/>
      <c r="FM125" s="721"/>
      <c r="FN125" s="721"/>
      <c r="FO125" s="721"/>
      <c r="FP125" s="721"/>
      <c r="FQ125" s="721">
        <v>8000</v>
      </c>
      <c r="FR125" s="1664"/>
      <c r="FS125" s="1664"/>
      <c r="FT125" s="1664"/>
      <c r="FU125" s="1664"/>
      <c r="FV125" s="1664"/>
      <c r="FW125" s="1664"/>
      <c r="FX125" s="1665"/>
      <c r="FY125" s="1666"/>
      <c r="FZ125" s="1330"/>
    </row>
    <row r="126" s="1330" customFormat="1" ht="24" customHeight="1" spans="3:195">
      <c r="C126" s="1698"/>
      <c r="S126" s="1594">
        <v>44544</v>
      </c>
      <c r="T126" s="1453" t="s">
        <v>12114</v>
      </c>
      <c r="U126" s="1443"/>
      <c r="V126" s="1443"/>
      <c r="W126" s="1443"/>
      <c r="X126" s="700"/>
      <c r="Y126" s="700"/>
      <c r="Z126" s="700"/>
      <c r="AA126" s="1597">
        <v>3500</v>
      </c>
      <c r="AB126" s="700"/>
      <c r="AC126" s="700"/>
      <c r="AD126" s="700"/>
      <c r="AE126" s="1443"/>
      <c r="AF126" s="1443"/>
      <c r="AG126" s="1443"/>
      <c r="AH126" s="1443"/>
      <c r="AI126" s="1443"/>
      <c r="BW126" s="1329"/>
      <c r="BX126" s="1329"/>
      <c r="BY126" s="1329"/>
      <c r="BZ126" s="1329"/>
      <c r="CA126" s="1329"/>
      <c r="CB126" s="1329"/>
      <c r="CC126" s="1329"/>
      <c r="CD126" s="1329"/>
      <c r="CE126" s="1329"/>
      <c r="CF126" s="1329"/>
      <c r="CH126" s="1329"/>
      <c r="CI126" s="1329"/>
      <c r="CJ126" s="1329"/>
      <c r="CK126" s="1329"/>
      <c r="CL126" s="1329"/>
      <c r="CM126" s="1329"/>
      <c r="CN126" s="1329"/>
      <c r="CP126" s="1573" t="s">
        <v>11809</v>
      </c>
      <c r="CQ126" s="1574"/>
      <c r="CR126" s="1575"/>
      <c r="CS126" s="1574">
        <f>CS120-CS124</f>
        <v>-62158</v>
      </c>
      <c r="CT126" s="1574">
        <f t="shared" ref="CS126:DD126" si="15">CT120-CT124</f>
        <v>950</v>
      </c>
      <c r="CU126" s="1574">
        <f t="shared" si="15"/>
        <v>-2452</v>
      </c>
      <c r="CV126" s="1574">
        <f t="shared" si="15"/>
        <v>-404</v>
      </c>
      <c r="CW126" s="1574">
        <f t="shared" si="15"/>
        <v>-63960</v>
      </c>
      <c r="CX126" s="1699">
        <f t="shared" si="15"/>
        <v>-2296</v>
      </c>
      <c r="CY126" s="1700">
        <f t="shared" si="15"/>
        <v>564</v>
      </c>
      <c r="CZ126" s="1701">
        <f t="shared" si="15"/>
        <v>0</v>
      </c>
      <c r="DA126" s="1700">
        <f t="shared" si="15"/>
        <v>0</v>
      </c>
      <c r="DB126" s="1700">
        <f t="shared" si="15"/>
        <v>0</v>
      </c>
      <c r="DC126" s="1700">
        <f t="shared" si="15"/>
        <v>-1271804</v>
      </c>
      <c r="DD126" s="1702">
        <f t="shared" si="15"/>
        <v>27</v>
      </c>
      <c r="DE126" s="1703"/>
      <c r="DG126" s="1455">
        <v>45807</v>
      </c>
      <c r="DH126" s="700">
        <v>1000028589</v>
      </c>
      <c r="DI126" s="697"/>
      <c r="DJ126" s="700"/>
      <c r="DK126" s="700"/>
      <c r="DL126" s="700"/>
      <c r="DM126" s="700"/>
      <c r="DN126" s="700"/>
      <c r="DO126" s="700"/>
      <c r="DP126" s="1466"/>
      <c r="DQ126" s="1466"/>
      <c r="DR126" s="700">
        <v>100000</v>
      </c>
      <c r="DS126" s="700"/>
      <c r="DT126" s="700"/>
      <c r="DU126" s="700"/>
      <c r="DV126" s="700"/>
      <c r="DW126" s="700"/>
      <c r="DX126" s="700"/>
      <c r="DY126" s="700"/>
      <c r="DZ126" s="700"/>
      <c r="EA126" s="700"/>
      <c r="EB126" s="700"/>
      <c r="EC126" s="1448"/>
      <c r="ED126" s="1448"/>
      <c r="EE126" s="1463"/>
      <c r="EF126" s="1499"/>
      <c r="EG126" s="1461"/>
      <c r="EH126" s="1461"/>
      <c r="EI126" s="1455">
        <v>45761</v>
      </c>
      <c r="EJ126" s="1456"/>
      <c r="EK126" s="700"/>
      <c r="EL126" s="700"/>
      <c r="EM126" s="700"/>
      <c r="EN126" s="700"/>
      <c r="EO126" s="700"/>
      <c r="EP126" s="700"/>
      <c r="EQ126" s="700"/>
      <c r="ER126" s="700"/>
      <c r="ES126" s="700"/>
      <c r="ET126" s="700"/>
      <c r="EU126" s="700"/>
      <c r="EV126" s="700"/>
      <c r="EW126" s="700"/>
      <c r="EX126" s="700"/>
      <c r="EY126" s="700"/>
      <c r="EZ126" s="700"/>
      <c r="FA126" s="700"/>
      <c r="FB126" s="1522">
        <v>25184</v>
      </c>
      <c r="FC126" s="1454"/>
      <c r="FD126" s="1462" t="s">
        <v>12115</v>
      </c>
      <c r="FE126" s="1329">
        <v>92123</v>
      </c>
      <c r="FH126" s="1472">
        <v>46112</v>
      </c>
      <c r="FI126" s="721">
        <v>1000038156</v>
      </c>
      <c r="FJ126" s="721"/>
      <c r="FK126" s="721"/>
      <c r="FL126" s="721"/>
      <c r="FM126" s="721"/>
      <c r="FN126" s="721">
        <v>30000</v>
      </c>
      <c r="FO126" s="721"/>
      <c r="FP126" s="721"/>
      <c r="FQ126" s="721"/>
      <c r="FR126" s="721"/>
      <c r="FS126" s="721"/>
      <c r="FT126" s="721"/>
      <c r="FU126" s="721"/>
      <c r="FV126" s="721"/>
      <c r="FW126" s="721"/>
      <c r="FX126" s="1473"/>
      <c r="FY126" s="1474"/>
      <c r="GA126" s="1329"/>
      <c r="GC126" s="1329"/>
      <c r="GD126" s="1329"/>
      <c r="GE126" s="1329"/>
      <c r="GF126" s="1329"/>
      <c r="GG126" s="1329"/>
      <c r="GH126" s="1329"/>
      <c r="GI126" s="1329"/>
      <c r="GJ126" s="1329"/>
      <c r="GK126" s="1329"/>
      <c r="GL126" s="1329"/>
      <c r="GM126" s="1329"/>
    </row>
    <row r="127" s="1330" customFormat="1" ht="24" customHeight="1" spans="3:195">
      <c r="C127" s="1698"/>
      <c r="S127" s="1594"/>
      <c r="T127" s="1453"/>
      <c r="U127" s="1626"/>
      <c r="V127" s="1443"/>
      <c r="W127" s="1443"/>
      <c r="X127" s="1597"/>
      <c r="Y127" s="700"/>
      <c r="Z127" s="700"/>
      <c r="AA127" s="732"/>
      <c r="AB127" s="700"/>
      <c r="AC127" s="700"/>
      <c r="AD127" s="700"/>
      <c r="AE127" s="1443"/>
      <c r="AF127" s="1443"/>
      <c r="AG127" s="1443"/>
      <c r="AH127" s="1443"/>
      <c r="AI127" s="1443"/>
      <c r="BW127" s="1329"/>
      <c r="BX127" s="1329"/>
      <c r="BY127" s="1329"/>
      <c r="BZ127" s="1329"/>
      <c r="CA127" s="1329"/>
      <c r="CB127" s="1329"/>
      <c r="CC127" s="1329"/>
      <c r="CD127" s="1329"/>
      <c r="CE127" s="1329"/>
      <c r="CF127" s="1329"/>
      <c r="CH127" s="1329"/>
      <c r="CI127" s="1329"/>
      <c r="CJ127" s="1329"/>
      <c r="CK127" s="1329"/>
      <c r="CL127" s="1329"/>
      <c r="CM127" s="1329"/>
      <c r="CN127" s="1329"/>
      <c r="CP127" s="1329"/>
      <c r="CQ127" s="1329"/>
      <c r="CR127" s="1329"/>
      <c r="CS127" s="1329"/>
      <c r="CT127" s="1329"/>
      <c r="CU127" s="1329"/>
      <c r="CV127" s="1329"/>
      <c r="CW127" s="1329"/>
      <c r="CX127" s="1329"/>
      <c r="CY127" s="1704"/>
      <c r="CZ127" s="1329"/>
      <c r="DA127" s="1329"/>
      <c r="DB127" s="1329"/>
      <c r="DC127" s="1329"/>
      <c r="DD127" s="1329"/>
      <c r="DE127" s="1329"/>
      <c r="DG127" s="1455"/>
      <c r="DH127" s="700"/>
      <c r="DI127" s="697"/>
      <c r="DJ127" s="700"/>
      <c r="DK127" s="700"/>
      <c r="DL127" s="700"/>
      <c r="DM127" s="700"/>
      <c r="DN127" s="700"/>
      <c r="DO127" s="700"/>
      <c r="DP127" s="1466"/>
      <c r="DQ127" s="1466"/>
      <c r="DR127" s="1466"/>
      <c r="DS127" s="700"/>
      <c r="DT127" s="700"/>
      <c r="DU127" s="700"/>
      <c r="DV127" s="700"/>
      <c r="DW127" s="700"/>
      <c r="DX127" s="700"/>
      <c r="DY127" s="700"/>
      <c r="DZ127" s="700"/>
      <c r="EA127" s="700"/>
      <c r="EB127" s="700"/>
      <c r="EC127" s="1448"/>
      <c r="ED127" s="1448"/>
      <c r="EE127" s="1463"/>
      <c r="EF127" s="1499"/>
      <c r="EG127" s="1461"/>
      <c r="EH127" s="1461"/>
      <c r="EI127" s="1455"/>
      <c r="EJ127" s="1456"/>
      <c r="EK127" s="700"/>
      <c r="EL127" s="700"/>
      <c r="EM127" s="700"/>
      <c r="EN127" s="700"/>
      <c r="EO127" s="700"/>
      <c r="EP127" s="700"/>
      <c r="EQ127" s="700"/>
      <c r="ER127" s="700"/>
      <c r="ES127" s="700"/>
      <c r="ET127" s="700"/>
      <c r="EU127" s="700"/>
      <c r="EV127" s="700"/>
      <c r="EW127" s="700"/>
      <c r="EX127" s="700"/>
      <c r="EY127" s="700"/>
      <c r="EZ127" s="700"/>
      <c r="FA127" s="700"/>
      <c r="FB127" s="1522"/>
      <c r="FC127" s="1454"/>
      <c r="FD127" s="1462"/>
      <c r="FE127" s="1329"/>
      <c r="FH127" s="1472">
        <v>46112</v>
      </c>
      <c r="FI127" s="721">
        <v>1000038161</v>
      </c>
      <c r="FJ127" s="721"/>
      <c r="FK127" s="721"/>
      <c r="FL127" s="721"/>
      <c r="FM127" s="721"/>
      <c r="FN127" s="721"/>
      <c r="FO127" s="721"/>
      <c r="FP127" s="721"/>
      <c r="FQ127" s="721"/>
      <c r="FR127" s="721">
        <v>5000</v>
      </c>
      <c r="FS127" s="721"/>
      <c r="FT127" s="721"/>
      <c r="FU127" s="721"/>
      <c r="FV127" s="721"/>
      <c r="FW127" s="721"/>
      <c r="FX127" s="1473"/>
      <c r="FY127" s="1474"/>
      <c r="GA127" s="1329"/>
      <c r="GC127" s="1329"/>
      <c r="GD127" s="1329"/>
      <c r="GE127" s="1329"/>
      <c r="GF127" s="1329"/>
      <c r="GG127" s="1329"/>
      <c r="GH127" s="1329"/>
      <c r="GI127" s="1329"/>
      <c r="GJ127" s="1329"/>
      <c r="GK127" s="1329"/>
      <c r="GL127" s="1329"/>
      <c r="GM127" s="1329"/>
    </row>
    <row r="128" s="1330" customFormat="1" ht="24" customHeight="1" spans="3:195">
      <c r="C128" s="1698"/>
      <c r="S128" s="1594"/>
      <c r="T128" s="1453"/>
      <c r="U128" s="1626"/>
      <c r="V128" s="1443"/>
      <c r="W128" s="1443"/>
      <c r="X128" s="1597"/>
      <c r="Y128" s="700"/>
      <c r="Z128" s="700"/>
      <c r="AA128" s="732"/>
      <c r="AB128" s="700"/>
      <c r="AC128" s="700"/>
      <c r="AD128" s="700"/>
      <c r="AE128" s="1443"/>
      <c r="AF128" s="1443"/>
      <c r="AG128" s="1443"/>
      <c r="AH128" s="1443"/>
      <c r="AI128" s="1443"/>
      <c r="BW128" s="1329"/>
      <c r="BX128" s="1329"/>
      <c r="BY128" s="1329"/>
      <c r="BZ128" s="1329"/>
      <c r="CA128" s="1329"/>
      <c r="CB128" s="1329"/>
      <c r="CC128" s="1329"/>
      <c r="CD128" s="1329"/>
      <c r="CE128" s="1329"/>
      <c r="CF128" s="1329"/>
      <c r="CH128" s="1329"/>
      <c r="CI128" s="1329"/>
      <c r="CJ128" s="1329"/>
      <c r="CK128" s="1329"/>
      <c r="CL128" s="1329"/>
      <c r="CM128" s="1329"/>
      <c r="CN128" s="1329"/>
      <c r="CP128" s="1329"/>
      <c r="CQ128" s="1329"/>
      <c r="CR128" s="1329"/>
      <c r="CS128" s="1329"/>
      <c r="CT128" s="1329"/>
      <c r="CU128" s="1329"/>
      <c r="CV128" s="1329"/>
      <c r="CW128" s="1329"/>
      <c r="CX128" s="1329"/>
      <c r="CY128" s="1704"/>
      <c r="CZ128" s="1329"/>
      <c r="DA128" s="1329"/>
      <c r="DB128" s="1329"/>
      <c r="DC128" s="1329"/>
      <c r="DD128" s="1329"/>
      <c r="DE128" s="1329"/>
      <c r="DG128" s="1455"/>
      <c r="DH128" s="700"/>
      <c r="DI128" s="697"/>
      <c r="DJ128" s="700"/>
      <c r="DK128" s="700"/>
      <c r="DL128" s="700"/>
      <c r="DM128" s="700"/>
      <c r="DN128" s="700"/>
      <c r="DO128" s="700"/>
      <c r="DP128" s="1466"/>
      <c r="DQ128" s="1466"/>
      <c r="DR128" s="1466"/>
      <c r="DS128" s="700"/>
      <c r="DT128" s="700"/>
      <c r="DU128" s="700"/>
      <c r="DV128" s="700"/>
      <c r="DW128" s="700"/>
      <c r="DX128" s="700"/>
      <c r="DY128" s="700"/>
      <c r="DZ128" s="700"/>
      <c r="EA128" s="700"/>
      <c r="EB128" s="700"/>
      <c r="EC128" s="1448"/>
      <c r="ED128" s="1448"/>
      <c r="EE128" s="1463"/>
      <c r="EF128" s="1499"/>
      <c r="EG128" s="1461"/>
      <c r="EH128" s="1461"/>
      <c r="EI128" s="1455"/>
      <c r="EJ128" s="1456"/>
      <c r="EK128" s="700"/>
      <c r="EL128" s="700"/>
      <c r="EM128" s="700"/>
      <c r="EN128" s="700"/>
      <c r="EO128" s="700"/>
      <c r="EP128" s="700"/>
      <c r="EQ128" s="700"/>
      <c r="ER128" s="700"/>
      <c r="ES128" s="700"/>
      <c r="ET128" s="700"/>
      <c r="EU128" s="700"/>
      <c r="EV128" s="700"/>
      <c r="EW128" s="700"/>
      <c r="EX128" s="700"/>
      <c r="EY128" s="700"/>
      <c r="EZ128" s="700"/>
      <c r="FA128" s="700"/>
      <c r="FB128" s="1522"/>
      <c r="FC128" s="1454"/>
      <c r="FD128" s="1462"/>
      <c r="FE128" s="1329"/>
      <c r="FH128" s="1530">
        <v>46167</v>
      </c>
      <c r="FI128" s="1531">
        <v>1000040516</v>
      </c>
      <c r="FJ128" s="1532"/>
      <c r="FK128" s="1532"/>
      <c r="FL128" s="1532"/>
      <c r="FM128" s="1532"/>
      <c r="FN128" s="1532">
        <v>30000</v>
      </c>
      <c r="FO128" s="1532"/>
      <c r="FP128" s="1532"/>
      <c r="FQ128" s="1532"/>
      <c r="FR128" s="1532"/>
      <c r="FS128" s="1532"/>
      <c r="FT128" s="1532"/>
      <c r="FU128" s="1532"/>
      <c r="FV128" s="1532"/>
      <c r="FW128" s="1532"/>
      <c r="FX128" s="1705"/>
      <c r="FY128" s="1706"/>
      <c r="GA128" s="1329"/>
      <c r="GC128" s="1329"/>
      <c r="GD128" s="1329"/>
      <c r="GE128" s="1329"/>
      <c r="GF128" s="1329"/>
      <c r="GG128" s="1329"/>
      <c r="GH128" s="1329"/>
      <c r="GI128" s="1329"/>
      <c r="GJ128" s="1329"/>
      <c r="GK128" s="1329"/>
      <c r="GL128" s="1329"/>
      <c r="GM128" s="1329"/>
    </row>
    <row r="129" s="1330" customFormat="1" ht="24" customHeight="1" spans="3:195">
      <c r="C129" s="1698"/>
      <c r="S129" s="1594">
        <v>44544</v>
      </c>
      <c r="T129" s="1453" t="s">
        <v>12116</v>
      </c>
      <c r="U129" s="1626"/>
      <c r="V129" s="1443"/>
      <c r="W129" s="1443"/>
      <c r="X129" s="1597">
        <v>40000</v>
      </c>
      <c r="Y129" s="700"/>
      <c r="Z129" s="700"/>
      <c r="AA129" s="700"/>
      <c r="AB129" s="700"/>
      <c r="AC129" s="700"/>
      <c r="AD129" s="700"/>
      <c r="AE129" s="1443"/>
      <c r="AF129" s="1443"/>
      <c r="AG129" s="1443"/>
      <c r="AH129" s="1443"/>
      <c r="AI129" s="1443"/>
      <c r="BW129" s="1329"/>
      <c r="BX129" s="1329"/>
      <c r="BY129" s="1329"/>
      <c r="BZ129" s="1329"/>
      <c r="CA129" s="1329"/>
      <c r="CB129" s="1329"/>
      <c r="CC129" s="1329"/>
      <c r="CD129" s="1329"/>
      <c r="CE129" s="1329"/>
      <c r="CF129" s="1329"/>
      <c r="CH129" s="1329"/>
      <c r="CI129" s="1329"/>
      <c r="CJ129" s="1329"/>
      <c r="CK129" s="1329"/>
      <c r="CL129" s="1329"/>
      <c r="CM129" s="1329"/>
      <c r="CN129" s="1329"/>
      <c r="CP129" s="1329"/>
      <c r="CQ129" s="1329"/>
      <c r="CR129" s="1329"/>
      <c r="CS129" s="1329">
        <v>2237158</v>
      </c>
      <c r="CT129" s="1329">
        <v>999050</v>
      </c>
      <c r="CU129" s="1329">
        <v>117452</v>
      </c>
      <c r="CV129" s="1329">
        <v>390404</v>
      </c>
      <c r="CW129" s="1329">
        <v>1493960</v>
      </c>
      <c r="CX129" s="1329">
        <v>44296</v>
      </c>
      <c r="CY129" s="1704">
        <v>66174</v>
      </c>
      <c r="CZ129" s="1329">
        <v>6373</v>
      </c>
      <c r="DA129" s="1329">
        <v>25078</v>
      </c>
      <c r="DB129" s="1329">
        <v>75417</v>
      </c>
      <c r="DC129" s="1329">
        <v>1031262</v>
      </c>
      <c r="DD129" s="1329">
        <v>373</v>
      </c>
      <c r="DE129" s="1329"/>
      <c r="DG129" s="1455">
        <v>45807</v>
      </c>
      <c r="DH129" s="700">
        <v>1000028590</v>
      </c>
      <c r="DI129" s="697"/>
      <c r="DJ129" s="700"/>
      <c r="DK129" s="700"/>
      <c r="DL129" s="700"/>
      <c r="DM129" s="700">
        <v>4000</v>
      </c>
      <c r="DN129" s="700"/>
      <c r="DO129" s="700"/>
      <c r="DP129" s="1466"/>
      <c r="DQ129" s="1466"/>
      <c r="DR129" s="1466"/>
      <c r="DS129" s="700"/>
      <c r="DT129" s="700"/>
      <c r="DU129" s="700"/>
      <c r="DV129" s="700"/>
      <c r="DW129" s="700"/>
      <c r="DX129" s="700"/>
      <c r="DY129" s="700"/>
      <c r="DZ129" s="700"/>
      <c r="EA129" s="700"/>
      <c r="EB129" s="700"/>
      <c r="EC129" s="1448"/>
      <c r="ED129" s="1448"/>
      <c r="EE129" s="1463"/>
      <c r="EF129" s="1499"/>
      <c r="EG129" s="1461"/>
      <c r="EH129" s="1461"/>
      <c r="EI129" s="1455">
        <v>45769</v>
      </c>
      <c r="EJ129" s="1456"/>
      <c r="EK129" s="700"/>
      <c r="EL129" s="700"/>
      <c r="EM129" s="700"/>
      <c r="EN129" s="700"/>
      <c r="EO129" s="700"/>
      <c r="EP129" s="700"/>
      <c r="EQ129" s="700"/>
      <c r="ER129" s="700"/>
      <c r="ES129" s="700"/>
      <c r="ET129" s="700"/>
      <c r="EU129" s="700"/>
      <c r="EV129" s="700"/>
      <c r="EW129" s="700"/>
      <c r="EX129" s="700"/>
      <c r="EY129" s="700"/>
      <c r="EZ129" s="700"/>
      <c r="FA129" s="700"/>
      <c r="FB129" s="1522">
        <v>1500</v>
      </c>
      <c r="FC129" s="1454"/>
      <c r="FD129" s="1462">
        <v>4500164587</v>
      </c>
      <c r="FE129" s="1329">
        <v>92123</v>
      </c>
      <c r="FH129" s="1530">
        <v>46167</v>
      </c>
      <c r="FI129" s="1531">
        <v>1000040517</v>
      </c>
      <c r="FJ129" s="1532"/>
      <c r="FK129" s="1532"/>
      <c r="FL129" s="1532"/>
      <c r="FM129" s="1532"/>
      <c r="FN129" s="1532"/>
      <c r="FO129" s="1532"/>
      <c r="FP129" s="1532"/>
      <c r="FQ129" s="1532">
        <v>4000</v>
      </c>
      <c r="FR129" s="1532"/>
      <c r="FS129" s="1532"/>
      <c r="FT129" s="1532"/>
      <c r="FU129" s="1532"/>
      <c r="FV129" s="1532"/>
      <c r="FW129" s="1532"/>
      <c r="FX129" s="1705"/>
      <c r="FY129" s="1706"/>
      <c r="GA129" s="1329"/>
      <c r="GC129" s="1329"/>
      <c r="GD129" s="1329"/>
      <c r="GE129" s="1329"/>
      <c r="GF129" s="1329"/>
      <c r="GG129" s="1329"/>
      <c r="GH129" s="1329"/>
      <c r="GI129" s="1329"/>
      <c r="GJ129" s="1329"/>
      <c r="GK129" s="1329"/>
      <c r="GL129" s="1329"/>
      <c r="GM129" s="1329"/>
    </row>
    <row r="130" s="1330" customFormat="1" ht="24" customHeight="1" spans="3:195">
      <c r="C130" s="1698"/>
      <c r="S130" s="1594">
        <v>44544</v>
      </c>
      <c r="T130" s="1561" t="s">
        <v>12117</v>
      </c>
      <c r="U130" s="1443"/>
      <c r="V130" s="1443"/>
      <c r="W130" s="1443"/>
      <c r="X130" s="1597"/>
      <c r="Y130" s="700"/>
      <c r="Z130" s="700"/>
      <c r="AA130" s="700"/>
      <c r="AB130" s="700"/>
      <c r="AC130" s="1597">
        <v>15000</v>
      </c>
      <c r="AD130" s="700"/>
      <c r="AE130" s="1443"/>
      <c r="AF130" s="1443"/>
      <c r="AG130" s="1443"/>
      <c r="AH130" s="1443"/>
      <c r="AI130" s="1443"/>
      <c r="BW130" s="1329"/>
      <c r="BX130" s="1329"/>
      <c r="BY130" s="1329"/>
      <c r="BZ130" s="1329"/>
      <c r="CA130" s="1329"/>
      <c r="CB130" s="1329"/>
      <c r="CC130" s="1329"/>
      <c r="CD130" s="1329"/>
      <c r="CE130" s="1329"/>
      <c r="CF130" s="1329"/>
      <c r="CH130" s="1329"/>
      <c r="CI130" s="1329"/>
      <c r="CJ130" s="1329"/>
      <c r="CK130" s="1329"/>
      <c r="CL130" s="1329"/>
      <c r="CM130" s="1329"/>
      <c r="CN130" s="1329"/>
      <c r="CP130" s="1329"/>
      <c r="CQ130" s="1329"/>
      <c r="CS130" s="1707">
        <f>CS129-CS124</f>
        <v>0</v>
      </c>
      <c r="CT130" s="1707">
        <f t="shared" ref="CT130:DD130" si="16">CT129-CT124</f>
        <v>0</v>
      </c>
      <c r="CU130" s="1707">
        <f t="shared" si="16"/>
        <v>0</v>
      </c>
      <c r="CV130" s="1707">
        <f t="shared" si="16"/>
        <v>0</v>
      </c>
      <c r="CW130" s="1707">
        <f t="shared" si="16"/>
        <v>0</v>
      </c>
      <c r="CX130" s="1707">
        <f t="shared" si="16"/>
        <v>0</v>
      </c>
      <c r="CY130" s="1707">
        <f t="shared" si="16"/>
        <v>0</v>
      </c>
      <c r="CZ130" s="1707">
        <f t="shared" si="16"/>
        <v>0</v>
      </c>
      <c r="DA130" s="1707">
        <f t="shared" si="16"/>
        <v>0</v>
      </c>
      <c r="DB130" s="1707">
        <f t="shared" si="16"/>
        <v>0</v>
      </c>
      <c r="DC130" s="1707">
        <f t="shared" si="16"/>
        <v>-296550</v>
      </c>
      <c r="DD130" s="1707">
        <f t="shared" si="16"/>
        <v>0</v>
      </c>
      <c r="DE130" s="1329"/>
      <c r="DG130" s="1455">
        <v>45856</v>
      </c>
      <c r="DH130" s="700">
        <v>1000030259</v>
      </c>
      <c r="DI130" s="697"/>
      <c r="DJ130" s="700"/>
      <c r="DK130" s="700">
        <v>100000</v>
      </c>
      <c r="DL130" s="700"/>
      <c r="DM130" s="700"/>
      <c r="DN130" s="700"/>
      <c r="DO130" s="700"/>
      <c r="DP130" s="1466"/>
      <c r="DQ130" s="1466"/>
      <c r="DR130" s="1466"/>
      <c r="DS130" s="700"/>
      <c r="DT130" s="700"/>
      <c r="DU130" s="700"/>
      <c r="DV130" s="700"/>
      <c r="DW130" s="700"/>
      <c r="DX130" s="700"/>
      <c r="DY130" s="700"/>
      <c r="DZ130" s="700"/>
      <c r="EA130" s="700"/>
      <c r="EB130" s="700"/>
      <c r="EC130" s="1448"/>
      <c r="ED130" s="1448"/>
      <c r="EE130" s="1463"/>
      <c r="EF130" s="1499"/>
      <c r="EG130" s="1461"/>
      <c r="EH130" s="1461"/>
      <c r="EI130" s="1472">
        <v>45770</v>
      </c>
      <c r="EJ130" s="1708">
        <v>1000027311</v>
      </c>
      <c r="EK130" s="700"/>
      <c r="EL130" s="700"/>
      <c r="EM130" s="700"/>
      <c r="EN130" s="700"/>
      <c r="EO130" s="700"/>
      <c r="EP130" s="700">
        <f>50000-6814</f>
        <v>43186</v>
      </c>
      <c r="EQ130" s="700"/>
      <c r="ER130" s="700"/>
      <c r="ES130" s="700"/>
      <c r="ET130" s="700"/>
      <c r="EU130" s="700"/>
      <c r="EV130" s="700"/>
      <c r="EW130" s="700"/>
      <c r="EX130" s="700"/>
      <c r="EY130" s="700"/>
      <c r="EZ130" s="700"/>
      <c r="FA130" s="700"/>
      <c r="FB130" s="700"/>
      <c r="FC130" s="1454"/>
      <c r="FD130" s="1462"/>
      <c r="FE130" s="1329"/>
      <c r="FH130" s="1530">
        <v>46167</v>
      </c>
      <c r="FI130" s="1531">
        <v>1000040523</v>
      </c>
      <c r="FJ130" s="1532"/>
      <c r="FK130" s="1532"/>
      <c r="FL130" s="1532"/>
      <c r="FM130" s="1532"/>
      <c r="FN130" s="1532"/>
      <c r="FO130" s="1532"/>
      <c r="FP130" s="1532">
        <v>80000</v>
      </c>
      <c r="FQ130" s="1532"/>
      <c r="FR130" s="1532"/>
      <c r="FS130" s="1532"/>
      <c r="FT130" s="1532"/>
      <c r="FU130" s="1532"/>
      <c r="FV130" s="1532"/>
      <c r="FW130" s="1532"/>
      <c r="FX130" s="1705"/>
      <c r="FY130" s="1706"/>
      <c r="FZ130" s="1329"/>
      <c r="GA130" s="1329"/>
      <c r="GC130" s="1329"/>
      <c r="GD130" s="1329"/>
      <c r="GE130" s="1329"/>
      <c r="GF130" s="1329"/>
      <c r="GG130" s="1329"/>
      <c r="GH130" s="1329"/>
      <c r="GI130" s="1329"/>
      <c r="GJ130" s="1329"/>
      <c r="GK130" s="1329"/>
      <c r="GL130" s="1329"/>
      <c r="GM130" s="1329"/>
    </row>
    <row r="131" s="1330" customFormat="1" ht="24" customHeight="1" spans="3:195">
      <c r="C131" s="1698"/>
      <c r="S131" s="1594">
        <v>44544</v>
      </c>
      <c r="T131" s="1561" t="s">
        <v>12118</v>
      </c>
      <c r="U131" s="1443"/>
      <c r="V131" s="1443"/>
      <c r="W131" s="1443"/>
      <c r="X131" s="700"/>
      <c r="Y131" s="700"/>
      <c r="Z131" s="700"/>
      <c r="AA131" s="700"/>
      <c r="AB131" s="700"/>
      <c r="AC131" s="700"/>
      <c r="AD131" s="1597">
        <v>15000</v>
      </c>
      <c r="AE131" s="1443"/>
      <c r="AF131" s="1443"/>
      <c r="AG131" s="1443"/>
      <c r="AH131" s="1443"/>
      <c r="AI131" s="1443"/>
      <c r="CH131" s="1329"/>
      <c r="CI131" s="1329"/>
      <c r="CJ131" s="1329"/>
      <c r="CK131" s="1329"/>
      <c r="CL131" s="1329"/>
      <c r="CM131" s="1329"/>
      <c r="CN131" s="1329"/>
      <c r="CP131" s="1329"/>
      <c r="CQ131" s="1329"/>
      <c r="DE131" s="1329"/>
      <c r="DG131" s="1455">
        <v>45856</v>
      </c>
      <c r="DH131" s="700">
        <v>1000030260</v>
      </c>
      <c r="DI131" s="697"/>
      <c r="DJ131" s="700"/>
      <c r="DK131" s="700"/>
      <c r="DL131" s="700"/>
      <c r="DM131" s="700"/>
      <c r="DN131" s="700"/>
      <c r="DO131" s="700">
        <v>30000</v>
      </c>
      <c r="DP131" s="1466"/>
      <c r="DQ131" s="1466"/>
      <c r="DR131" s="1466"/>
      <c r="DS131" s="700"/>
      <c r="DT131" s="700"/>
      <c r="DU131" s="700"/>
      <c r="DV131" s="700"/>
      <c r="DW131" s="700"/>
      <c r="DX131" s="700"/>
      <c r="DY131" s="700"/>
      <c r="DZ131" s="700"/>
      <c r="EA131" s="700"/>
      <c r="EB131" s="700"/>
      <c r="EC131" s="1448"/>
      <c r="ED131" s="1448"/>
      <c r="EE131" s="1463"/>
      <c r="EF131" s="1499"/>
      <c r="EG131" s="1461"/>
      <c r="EH131" s="1461"/>
      <c r="EI131" s="1709"/>
      <c r="EJ131" s="1710"/>
      <c r="EK131" s="700"/>
      <c r="EL131" s="700"/>
      <c r="EM131" s="700"/>
      <c r="EN131" s="700"/>
      <c r="EO131" s="700"/>
      <c r="EP131" s="700"/>
      <c r="EQ131" s="700">
        <v>6814</v>
      </c>
      <c r="ER131" s="700"/>
      <c r="ES131" s="700"/>
      <c r="ET131" s="700"/>
      <c r="EU131" s="700"/>
      <c r="EV131" s="700"/>
      <c r="EW131" s="700"/>
      <c r="EX131" s="700"/>
      <c r="EY131" s="700"/>
      <c r="EZ131" s="700"/>
      <c r="FA131" s="700"/>
      <c r="FB131" s="700"/>
      <c r="FC131" s="1454"/>
      <c r="FD131" s="1462"/>
      <c r="FE131" s="1329"/>
      <c r="FH131" s="1667"/>
      <c r="FI131" s="1664"/>
      <c r="FJ131" s="1664"/>
      <c r="FK131" s="1664"/>
      <c r="FL131" s="1664"/>
      <c r="FM131" s="1664"/>
      <c r="FN131" s="1664"/>
      <c r="FO131" s="1664"/>
      <c r="FP131" s="1664"/>
      <c r="FQ131" s="1664"/>
      <c r="FR131" s="1664"/>
      <c r="FS131" s="1664"/>
      <c r="FT131" s="1664"/>
      <c r="FU131" s="1664"/>
      <c r="FV131" s="1664"/>
      <c r="FW131" s="1664"/>
      <c r="FX131" s="1665"/>
      <c r="FY131" s="1666"/>
      <c r="FZ131" s="1329"/>
      <c r="GA131" s="1329"/>
      <c r="GC131" s="1329"/>
      <c r="GD131" s="1329"/>
      <c r="GE131" s="1329"/>
      <c r="GF131" s="1329"/>
      <c r="GG131" s="1329"/>
      <c r="GH131" s="1329"/>
      <c r="GI131" s="1329"/>
      <c r="GJ131" s="1329"/>
      <c r="GK131" s="1329"/>
      <c r="GL131" s="1329"/>
      <c r="GM131" s="1329"/>
    </row>
    <row r="132" s="1330" customFormat="1" ht="24" customHeight="1" spans="3:195">
      <c r="C132" s="1698"/>
      <c r="S132" s="1594">
        <v>44567</v>
      </c>
      <c r="T132" s="1561" t="s">
        <v>12119</v>
      </c>
      <c r="U132" s="1443"/>
      <c r="V132" s="1443"/>
      <c r="W132" s="1443"/>
      <c r="X132" s="1443"/>
      <c r="Y132" s="1443"/>
      <c r="Z132" s="1443"/>
      <c r="AA132" s="1443"/>
      <c r="AB132" s="1443"/>
      <c r="AC132" s="1443"/>
      <c r="AD132" s="700"/>
      <c r="AE132" s="1443"/>
      <c r="AF132" s="1443">
        <v>245472</v>
      </c>
      <c r="AG132" s="1443"/>
      <c r="AH132" s="1443"/>
      <c r="AI132" s="1443"/>
      <c r="CH132" s="1329"/>
      <c r="CI132" s="1329"/>
      <c r="CJ132" s="1329"/>
      <c r="CK132" s="1329"/>
      <c r="CL132" s="1329"/>
      <c r="CM132" s="1329"/>
      <c r="CN132" s="1329"/>
      <c r="CP132" s="1329"/>
      <c r="CQ132" s="1329"/>
      <c r="CR132" s="1329"/>
      <c r="CS132" s="1329"/>
      <c r="CT132" s="1329"/>
      <c r="CU132" s="1329"/>
      <c r="CV132" s="1329"/>
      <c r="CW132" s="1329"/>
      <c r="CX132" s="1329"/>
      <c r="CY132" s="1329"/>
      <c r="CZ132" s="1329"/>
      <c r="DA132" s="1329"/>
      <c r="DB132" s="1329"/>
      <c r="DC132" s="1329"/>
      <c r="DD132" s="1329"/>
      <c r="DE132" s="1329"/>
      <c r="DG132" s="1455">
        <v>45856</v>
      </c>
      <c r="DH132" s="700">
        <v>1000030261</v>
      </c>
      <c r="DI132" s="697"/>
      <c r="DJ132" s="700"/>
      <c r="DK132" s="700"/>
      <c r="DL132" s="700"/>
      <c r="DM132" s="700"/>
      <c r="DN132" s="700"/>
      <c r="DO132" s="700"/>
      <c r="DP132" s="700"/>
      <c r="DQ132" s="700"/>
      <c r="DR132" s="700">
        <v>100000</v>
      </c>
      <c r="DS132" s="700"/>
      <c r="DT132" s="700"/>
      <c r="DU132" s="700"/>
      <c r="DV132" s="700"/>
      <c r="DW132" s="700"/>
      <c r="DX132" s="700"/>
      <c r="DY132" s="700"/>
      <c r="DZ132" s="700"/>
      <c r="EA132" s="700"/>
      <c r="EB132" s="700"/>
      <c r="EC132" s="1448"/>
      <c r="ED132" s="1448"/>
      <c r="EE132" s="1469"/>
      <c r="EF132" s="1499"/>
      <c r="EG132" s="1461"/>
      <c r="EH132" s="1461"/>
      <c r="EI132" s="1455">
        <v>45770</v>
      </c>
      <c r="EJ132" s="1456">
        <v>1000027312</v>
      </c>
      <c r="EK132" s="700"/>
      <c r="EL132" s="700"/>
      <c r="EM132" s="700"/>
      <c r="EN132" s="700"/>
      <c r="EO132" s="700"/>
      <c r="EP132" s="700"/>
      <c r="EQ132" s="700"/>
      <c r="ER132" s="700">
        <v>100000</v>
      </c>
      <c r="ES132" s="700"/>
      <c r="ET132" s="700"/>
      <c r="EU132" s="700"/>
      <c r="EV132" s="700"/>
      <c r="EW132" s="700"/>
      <c r="EX132" s="700"/>
      <c r="EY132" s="700"/>
      <c r="EZ132" s="700"/>
      <c r="FA132" s="700"/>
      <c r="FB132" s="700"/>
      <c r="FC132" s="1454"/>
      <c r="FD132" s="1462"/>
      <c r="FE132" s="1329">
        <v>92123</v>
      </c>
      <c r="FH132" s="1667"/>
      <c r="FI132" s="1664"/>
      <c r="FJ132" s="1664"/>
      <c r="FK132" s="1664"/>
      <c r="FL132" s="1664"/>
      <c r="FM132" s="1664"/>
      <c r="FN132" s="1664"/>
      <c r="FO132" s="1664"/>
      <c r="FP132" s="1664"/>
      <c r="FQ132" s="1664"/>
      <c r="FR132" s="1664"/>
      <c r="FS132" s="1664"/>
      <c r="FT132" s="1664"/>
      <c r="FU132" s="1664"/>
      <c r="FV132" s="1664"/>
      <c r="FW132" s="1664"/>
      <c r="FX132" s="1665"/>
      <c r="FY132" s="1666"/>
      <c r="FZ132" s="1329"/>
      <c r="GA132" s="1329"/>
      <c r="GC132" s="1329"/>
      <c r="GD132" s="1329"/>
      <c r="GE132" s="1329"/>
      <c r="GF132" s="1329"/>
      <c r="GG132" s="1329"/>
      <c r="GH132" s="1329"/>
      <c r="GI132" s="1329"/>
      <c r="GJ132" s="1329"/>
      <c r="GK132" s="1329"/>
      <c r="GL132" s="1329"/>
      <c r="GM132" s="1329"/>
    </row>
    <row r="133" s="1329" customFormat="1" ht="24" customHeight="1" spans="3:195">
      <c r="C133" s="1647"/>
      <c r="S133" s="1594">
        <v>44567</v>
      </c>
      <c r="T133" s="1561" t="s">
        <v>12120</v>
      </c>
      <c r="U133" s="1443"/>
      <c r="V133" s="1443"/>
      <c r="W133" s="1443"/>
      <c r="X133" s="1443"/>
      <c r="Y133" s="1443"/>
      <c r="Z133" s="1443"/>
      <c r="AA133" s="1443"/>
      <c r="AB133" s="1443"/>
      <c r="AC133" s="1443"/>
      <c r="AD133" s="1443"/>
      <c r="AE133" s="1443"/>
      <c r="AF133" s="1443"/>
      <c r="AG133" s="1443">
        <v>245472</v>
      </c>
      <c r="AH133" s="1443"/>
      <c r="AI133" s="1443"/>
      <c r="AO133" s="1330"/>
      <c r="BP133" s="1330"/>
      <c r="BW133" s="1330"/>
      <c r="BX133" s="1330"/>
      <c r="BY133" s="1330"/>
      <c r="BZ133" s="1330"/>
      <c r="CA133" s="1330"/>
      <c r="CB133" s="1330"/>
      <c r="CC133" s="1330"/>
      <c r="CD133" s="1330"/>
      <c r="CE133" s="1330"/>
      <c r="CF133" s="1330"/>
      <c r="DG133" s="1455">
        <v>45856</v>
      </c>
      <c r="DH133" s="700">
        <v>1000030262</v>
      </c>
      <c r="DI133" s="697"/>
      <c r="DJ133" s="700"/>
      <c r="DK133" s="700"/>
      <c r="DL133" s="700"/>
      <c r="DM133" s="700">
        <v>2000</v>
      </c>
      <c r="DN133" s="700"/>
      <c r="DO133" s="700"/>
      <c r="DP133" s="700"/>
      <c r="DQ133" s="700"/>
      <c r="DR133" s="700"/>
      <c r="DS133" s="700"/>
      <c r="DT133" s="700"/>
      <c r="DU133" s="700"/>
      <c r="DV133" s="700"/>
      <c r="DW133" s="700"/>
      <c r="DX133" s="700"/>
      <c r="DY133" s="700"/>
      <c r="DZ133" s="700"/>
      <c r="EA133" s="700"/>
      <c r="EB133" s="700"/>
      <c r="EC133" s="1448"/>
      <c r="ED133" s="1448"/>
      <c r="EE133" s="1469"/>
      <c r="EF133" s="1461"/>
      <c r="EG133" s="1461"/>
      <c r="EH133" s="1461"/>
      <c r="EI133" s="1455">
        <v>45770</v>
      </c>
      <c r="EJ133" s="1456">
        <v>1000027313</v>
      </c>
      <c r="EK133" s="700"/>
      <c r="EL133" s="700"/>
      <c r="EM133" s="700"/>
      <c r="EN133" s="700"/>
      <c r="EO133" s="700"/>
      <c r="EP133" s="700"/>
      <c r="EQ133" s="700"/>
      <c r="ER133" s="700"/>
      <c r="ES133" s="700"/>
      <c r="ET133" s="700">
        <v>8334</v>
      </c>
      <c r="EU133" s="700"/>
      <c r="EV133" s="700"/>
      <c r="EW133" s="700"/>
      <c r="EX133" s="700"/>
      <c r="EY133" s="700"/>
      <c r="EZ133" s="700"/>
      <c r="FA133" s="700"/>
      <c r="FB133" s="700"/>
      <c r="FC133" s="1454"/>
      <c r="FD133" s="1462"/>
      <c r="FE133" s="1330"/>
      <c r="FH133" s="1538"/>
      <c r="FI133" s="1539"/>
      <c r="FJ133" s="1539"/>
      <c r="FK133" s="1539"/>
      <c r="FL133" s="1539"/>
      <c r="FM133" s="1539"/>
      <c r="FN133" s="1539"/>
      <c r="FO133" s="1539"/>
      <c r="FP133" s="1539"/>
      <c r="FQ133" s="1539"/>
      <c r="FR133" s="1539"/>
      <c r="FS133" s="1539"/>
      <c r="FT133" s="1539"/>
      <c r="FU133" s="1539"/>
      <c r="FV133" s="1539"/>
      <c r="FW133" s="1539"/>
      <c r="FX133" s="1711"/>
      <c r="FY133" s="1712"/>
      <c r="GM133" s="1330"/>
    </row>
    <row r="134" s="1329" customFormat="1" ht="24" customHeight="1" spans="3:195">
      <c r="C134" s="1647"/>
      <c r="S134" s="1594">
        <v>44567</v>
      </c>
      <c r="T134" s="1561" t="s">
        <v>12121</v>
      </c>
      <c r="U134" s="1443"/>
      <c r="V134" s="1443"/>
      <c r="W134" s="1443"/>
      <c r="X134" s="1443"/>
      <c r="Y134" s="1443"/>
      <c r="Z134" s="1443"/>
      <c r="AA134" s="1443"/>
      <c r="AB134" s="1443"/>
      <c r="AC134" s="1443"/>
      <c r="AD134" s="1443"/>
      <c r="AE134" s="1443"/>
      <c r="AF134" s="1443"/>
      <c r="AG134" s="1443"/>
      <c r="AH134" s="1443">
        <v>245472</v>
      </c>
      <c r="AI134" s="1443"/>
      <c r="AO134" s="1330"/>
      <c r="BP134" s="1330"/>
      <c r="BW134" s="1330"/>
      <c r="BX134" s="1330"/>
      <c r="BY134" s="1330"/>
      <c r="BZ134" s="1330"/>
      <c r="CA134" s="1330"/>
      <c r="CB134" s="1330"/>
      <c r="CC134" s="1330"/>
      <c r="CD134" s="1330"/>
      <c r="CE134" s="1330"/>
      <c r="CF134" s="1330"/>
      <c r="DG134" s="1455">
        <v>45870</v>
      </c>
      <c r="DH134" s="700">
        <v>1000030673</v>
      </c>
      <c r="DI134" s="697"/>
      <c r="DJ134" s="700"/>
      <c r="DK134" s="700"/>
      <c r="DL134" s="700"/>
      <c r="DM134" s="700">
        <v>4000</v>
      </c>
      <c r="DN134" s="700"/>
      <c r="DO134" s="700"/>
      <c r="DP134" s="700"/>
      <c r="DQ134" s="700"/>
      <c r="DR134" s="700"/>
      <c r="DS134" s="700"/>
      <c r="DT134" s="700"/>
      <c r="DU134" s="700"/>
      <c r="DV134" s="700"/>
      <c r="DW134" s="700"/>
      <c r="DX134" s="700"/>
      <c r="DY134" s="700"/>
      <c r="DZ134" s="700"/>
      <c r="EA134" s="700"/>
      <c r="EB134" s="700"/>
      <c r="EC134" s="1448"/>
      <c r="ED134" s="1448"/>
      <c r="EE134" s="1469"/>
      <c r="EF134" s="1461"/>
      <c r="EG134" s="1461"/>
      <c r="EH134" s="1461"/>
      <c r="EI134" s="1455"/>
      <c r="EJ134" s="1456"/>
      <c r="EK134" s="700"/>
      <c r="EL134" s="700"/>
      <c r="EM134" s="700"/>
      <c r="EN134" s="700"/>
      <c r="EO134" s="700"/>
      <c r="EP134" s="700"/>
      <c r="EQ134" s="700"/>
      <c r="ER134" s="700"/>
      <c r="ES134" s="700"/>
      <c r="ET134" s="700"/>
      <c r="EU134" s="700"/>
      <c r="EV134" s="700"/>
      <c r="EW134" s="700"/>
      <c r="EX134" s="700"/>
      <c r="EY134" s="700"/>
      <c r="EZ134" s="700"/>
      <c r="FA134" s="700"/>
      <c r="FB134" s="1522">
        <v>33264</v>
      </c>
      <c r="FC134" s="1454"/>
      <c r="FD134" s="1462" t="s">
        <v>12122</v>
      </c>
      <c r="FE134" s="1330"/>
      <c r="FJ134" s="1544" t="s">
        <v>11822</v>
      </c>
      <c r="FK134" s="1545">
        <f t="shared" ref="FK134:FP134" si="17">SUM(FK5:FK133)</f>
        <v>1330000</v>
      </c>
      <c r="FL134" s="1545">
        <f t="shared" si="17"/>
        <v>630000</v>
      </c>
      <c r="FM134" s="1545">
        <f t="shared" si="17"/>
        <v>470000</v>
      </c>
      <c r="FN134" s="1545">
        <f t="shared" si="17"/>
        <v>240000</v>
      </c>
      <c r="FO134" s="1545">
        <f t="shared" si="17"/>
        <v>1900000</v>
      </c>
      <c r="FP134" s="1545">
        <f t="shared" si="17"/>
        <v>880000</v>
      </c>
      <c r="FQ134" s="1545">
        <f t="shared" ref="FQ134:FX134" si="18">SUM(FQ5:FQ133)</f>
        <v>117000</v>
      </c>
      <c r="FR134" s="1545">
        <f t="shared" si="18"/>
        <v>91300</v>
      </c>
      <c r="FS134" s="1545">
        <f t="shared" si="18"/>
        <v>13568</v>
      </c>
      <c r="FT134" s="1545">
        <f t="shared" si="18"/>
        <v>59252</v>
      </c>
      <c r="FU134" s="1545">
        <f t="shared" si="18"/>
        <v>128815</v>
      </c>
      <c r="FV134" s="1545">
        <f t="shared" si="18"/>
        <v>300</v>
      </c>
      <c r="FW134" s="1545">
        <f t="shared" si="18"/>
        <v>4500</v>
      </c>
      <c r="FX134" s="1545">
        <f t="shared" si="18"/>
        <v>169200</v>
      </c>
      <c r="FY134" s="1546"/>
      <c r="GL134" s="1330"/>
      <c r="GM134" s="1330"/>
    </row>
    <row r="135" s="1329" customFormat="1" ht="24" customHeight="1" spans="3:195">
      <c r="C135" s="1647"/>
      <c r="S135" s="1522" t="s">
        <v>12123</v>
      </c>
      <c r="T135" s="1713" t="s">
        <v>12124</v>
      </c>
      <c r="U135" s="1443"/>
      <c r="V135" s="1443"/>
      <c r="W135" s="1443"/>
      <c r="X135" s="1714">
        <v>8498</v>
      </c>
      <c r="Y135" s="1443"/>
      <c r="Z135" s="1443"/>
      <c r="AA135" s="1443"/>
      <c r="AB135" s="1443"/>
      <c r="AC135" s="1443"/>
      <c r="AD135" s="1443"/>
      <c r="AE135" s="1443"/>
      <c r="AF135" s="1443"/>
      <c r="AG135" s="1443"/>
      <c r="AH135" s="1443"/>
      <c r="AI135" s="1443"/>
      <c r="AO135" s="1330"/>
      <c r="BP135" s="1330"/>
      <c r="BW135" s="1330"/>
      <c r="BX135" s="1330"/>
      <c r="BY135" s="1330"/>
      <c r="BZ135" s="1330"/>
      <c r="CA135" s="1330"/>
      <c r="CB135" s="1330"/>
      <c r="CC135" s="1330"/>
      <c r="CD135" s="1330"/>
      <c r="CE135" s="1330"/>
      <c r="CF135" s="1330"/>
      <c r="DG135" s="1455">
        <v>45910</v>
      </c>
      <c r="DH135" s="700">
        <v>1000031895</v>
      </c>
      <c r="DI135" s="697"/>
      <c r="DJ135" s="700"/>
      <c r="DK135" s="700">
        <v>50000</v>
      </c>
      <c r="DL135" s="700"/>
      <c r="DM135" s="700"/>
      <c r="DN135" s="700"/>
      <c r="DO135" s="700"/>
      <c r="DP135" s="700"/>
      <c r="DQ135" s="700"/>
      <c r="DR135" s="700"/>
      <c r="DS135" s="700"/>
      <c r="DT135" s="700"/>
      <c r="DU135" s="700"/>
      <c r="DV135" s="700"/>
      <c r="DW135" s="700"/>
      <c r="DX135" s="700"/>
      <c r="DY135" s="700"/>
      <c r="DZ135" s="700"/>
      <c r="EA135" s="700"/>
      <c r="EB135" s="700"/>
      <c r="EC135" s="1448"/>
      <c r="ED135" s="1448"/>
      <c r="EE135" s="1469"/>
      <c r="EF135" s="1461"/>
      <c r="EG135" s="1461"/>
      <c r="EH135" s="1461"/>
      <c r="EI135" s="1455">
        <v>45786</v>
      </c>
      <c r="EJ135" s="1456"/>
      <c r="EK135" s="700"/>
      <c r="EL135" s="700"/>
      <c r="EM135" s="700"/>
      <c r="EN135" s="700"/>
      <c r="EO135" s="700"/>
      <c r="EP135" s="700"/>
      <c r="EQ135" s="700"/>
      <c r="ER135" s="700"/>
      <c r="ES135" s="700"/>
      <c r="ET135" s="700"/>
      <c r="EU135" s="700"/>
      <c r="EV135" s="700"/>
      <c r="EW135" s="700"/>
      <c r="EX135" s="700"/>
      <c r="EY135" s="700">
        <v>625</v>
      </c>
      <c r="EZ135" s="700"/>
      <c r="FA135" s="700"/>
      <c r="FB135" s="700"/>
      <c r="FC135" s="1454"/>
      <c r="FD135" s="1462">
        <v>4500163222</v>
      </c>
      <c r="FE135" s="1330"/>
      <c r="FH135" s="1331"/>
      <c r="FI135" s="1331"/>
      <c r="FJ135" s="1547" t="s">
        <v>11547</v>
      </c>
      <c r="FK135" s="1548">
        <v>899753</v>
      </c>
      <c r="FL135" s="1548"/>
      <c r="FM135" s="1548">
        <v>302944</v>
      </c>
      <c r="FN135" s="1548"/>
      <c r="FO135" s="1548">
        <v>1259425</v>
      </c>
      <c r="FP135" s="1548"/>
      <c r="FQ135" s="1548">
        <v>66892</v>
      </c>
      <c r="FR135" s="1548">
        <v>61468</v>
      </c>
      <c r="FS135" s="1548">
        <v>12068</v>
      </c>
      <c r="FT135" s="1548">
        <v>17041</v>
      </c>
      <c r="FU135" s="1548">
        <v>122798</v>
      </c>
      <c r="FV135" s="1548">
        <v>244</v>
      </c>
      <c r="FW135" s="1548">
        <v>4500</v>
      </c>
      <c r="FX135" s="1548">
        <v>132216</v>
      </c>
      <c r="FY135" s="1715"/>
      <c r="GL135" s="1330"/>
      <c r="GM135" s="1330"/>
    </row>
    <row r="136" s="1329" customFormat="1" ht="24" customHeight="1" spans="3:195">
      <c r="C136" s="1647"/>
      <c r="S136" s="1522"/>
      <c r="T136" s="1713"/>
      <c r="U136" s="1443"/>
      <c r="V136" s="1443"/>
      <c r="W136" s="1443"/>
      <c r="X136" s="1714"/>
      <c r="Y136" s="1443"/>
      <c r="Z136" s="1443"/>
      <c r="AA136" s="1443"/>
      <c r="AB136" s="1443"/>
      <c r="AC136" s="1443"/>
      <c r="AD136" s="1443"/>
      <c r="AE136" s="1443"/>
      <c r="AF136" s="1443"/>
      <c r="AG136" s="1443"/>
      <c r="AH136" s="1443"/>
      <c r="AI136" s="1443"/>
      <c r="AO136" s="1330"/>
      <c r="BP136" s="1330"/>
      <c r="BW136" s="1330"/>
      <c r="BX136" s="1330"/>
      <c r="BY136" s="1330"/>
      <c r="BZ136" s="1330"/>
      <c r="CA136" s="1330"/>
      <c r="CB136" s="1330"/>
      <c r="CC136" s="1330"/>
      <c r="CD136" s="1330"/>
      <c r="CE136" s="1330"/>
      <c r="CF136" s="1330"/>
      <c r="DG136" s="1455">
        <v>45910</v>
      </c>
      <c r="DH136" s="700">
        <v>1000031896</v>
      </c>
      <c r="DI136" s="697"/>
      <c r="DJ136" s="700"/>
      <c r="DK136" s="700"/>
      <c r="DL136" s="700"/>
      <c r="DM136" s="700"/>
      <c r="DN136" s="700"/>
      <c r="DO136" s="700">
        <v>30000</v>
      </c>
      <c r="DP136" s="700"/>
      <c r="DQ136" s="700"/>
      <c r="DR136" s="700"/>
      <c r="DS136" s="700"/>
      <c r="DT136" s="700"/>
      <c r="DU136" s="700"/>
      <c r="DV136" s="700"/>
      <c r="DW136" s="700"/>
      <c r="DX136" s="700"/>
      <c r="DY136" s="700"/>
      <c r="DZ136" s="700"/>
      <c r="EA136" s="700"/>
      <c r="EB136" s="700"/>
      <c r="EC136" s="1448"/>
      <c r="ED136" s="1448"/>
      <c r="EE136" s="1469"/>
      <c r="EF136" s="1461"/>
      <c r="EG136" s="1461"/>
      <c r="EH136" s="1461"/>
      <c r="EI136" s="1455">
        <v>45789</v>
      </c>
      <c r="EJ136" s="1456"/>
      <c r="EK136" s="700"/>
      <c r="EL136" s="700"/>
      <c r="EM136" s="700"/>
      <c r="EN136" s="700"/>
      <c r="EO136" s="700"/>
      <c r="EP136" s="700"/>
      <c r="EQ136" s="700"/>
      <c r="ER136" s="700"/>
      <c r="ES136" s="700"/>
      <c r="ET136" s="700"/>
      <c r="EU136" s="700"/>
      <c r="EV136" s="700"/>
      <c r="EW136" s="700"/>
      <c r="EX136" s="700"/>
      <c r="EY136" s="700"/>
      <c r="EZ136" s="700">
        <v>6336</v>
      </c>
      <c r="FA136" s="700"/>
      <c r="FB136" s="700"/>
      <c r="FC136" s="1454"/>
      <c r="FD136" s="1462">
        <v>4500166060</v>
      </c>
      <c r="FE136" s="1330"/>
      <c r="FJ136" s="1550" t="s">
        <v>11835</v>
      </c>
      <c r="FK136" s="1551">
        <f>'92104'!AK772+FK135</f>
        <v>1315314</v>
      </c>
      <c r="FL136" s="1551">
        <f>'92104'!AL772</f>
        <v>623082</v>
      </c>
      <c r="FM136" s="1551">
        <f>'92104'!AM772+FM135</f>
        <v>511027</v>
      </c>
      <c r="FN136" s="1551">
        <f>'92104'!AN772</f>
        <v>195748</v>
      </c>
      <c r="FO136" s="1551">
        <f>'92104'!AP772+FO135</f>
        <v>1904175</v>
      </c>
      <c r="FP136" s="1551">
        <f>'92104'!AQ772</f>
        <v>867466</v>
      </c>
      <c r="FQ136" s="1551">
        <f>'92104'!AW772+FQ135+'92104'!AX772</f>
        <v>116963</v>
      </c>
      <c r="FR136" s="1551">
        <f>'92104'!AY772+FR135+'92104'!AZ772</f>
        <v>86997</v>
      </c>
      <c r="FS136" s="1551">
        <f>'92104'!BA772+FS135</f>
        <v>13568</v>
      </c>
      <c r="FT136" s="1551">
        <f>'92104'!BC772+FT135</f>
        <v>59252</v>
      </c>
      <c r="FU136" s="1551">
        <f>'92104'!BE772+FU135</f>
        <v>128814.666666667</v>
      </c>
      <c r="FV136" s="1551">
        <f>'92104'!BH772+FV135</f>
        <v>294</v>
      </c>
      <c r="FW136" s="1551">
        <f>'92104'!BF772+FW135</f>
        <v>7724</v>
      </c>
      <c r="FX136" s="1551">
        <f>'92104'!AO772+FX135</f>
        <v>255126</v>
      </c>
      <c r="FY136" s="1552"/>
      <c r="GL136" s="1330"/>
      <c r="GM136" s="1330"/>
    </row>
    <row r="137" s="1329" customFormat="1" ht="24" customHeight="1" spans="3:195">
      <c r="C137" s="1647"/>
      <c r="S137" s="1522"/>
      <c r="T137" s="1713"/>
      <c r="U137" s="1443"/>
      <c r="V137" s="1443"/>
      <c r="W137" s="1443"/>
      <c r="X137" s="1714"/>
      <c r="Y137" s="1443"/>
      <c r="Z137" s="1443"/>
      <c r="AA137" s="1443"/>
      <c r="AB137" s="1443"/>
      <c r="AC137" s="1443"/>
      <c r="AD137" s="1443"/>
      <c r="AE137" s="1443"/>
      <c r="AF137" s="1443"/>
      <c r="AG137" s="1443"/>
      <c r="AH137" s="1443"/>
      <c r="AI137" s="1443"/>
      <c r="AO137" s="1330"/>
      <c r="BP137" s="1330"/>
      <c r="BW137" s="1330"/>
      <c r="BX137" s="1330"/>
      <c r="BY137" s="1330"/>
      <c r="BZ137" s="1330"/>
      <c r="CA137" s="1330"/>
      <c r="CB137" s="1330"/>
      <c r="CC137" s="1330"/>
      <c r="CD137" s="1330"/>
      <c r="CE137" s="1330"/>
      <c r="CF137" s="1330"/>
      <c r="DG137" s="1455">
        <v>45910</v>
      </c>
      <c r="DH137" s="700">
        <v>1000031897</v>
      </c>
      <c r="DI137" s="697"/>
      <c r="DJ137" s="700"/>
      <c r="DK137" s="700"/>
      <c r="DL137" s="700"/>
      <c r="DM137" s="700"/>
      <c r="DN137" s="700"/>
      <c r="DO137" s="700"/>
      <c r="DP137" s="700"/>
      <c r="DQ137" s="700"/>
      <c r="DR137" s="700">
        <v>50000</v>
      </c>
      <c r="DS137" s="700"/>
      <c r="DT137" s="700"/>
      <c r="DU137" s="700"/>
      <c r="DV137" s="700"/>
      <c r="DW137" s="700"/>
      <c r="DX137" s="700"/>
      <c r="DY137" s="700"/>
      <c r="DZ137" s="700"/>
      <c r="EA137" s="700"/>
      <c r="EB137" s="700"/>
      <c r="EC137" s="1448"/>
      <c r="ED137" s="1448"/>
      <c r="EE137" s="1469"/>
      <c r="EF137" s="1461"/>
      <c r="EG137" s="1461"/>
      <c r="EH137" s="1461"/>
      <c r="EI137" s="1455">
        <v>45789</v>
      </c>
      <c r="EJ137" s="1456">
        <v>1000027750</v>
      </c>
      <c r="EK137" s="700"/>
      <c r="EL137" s="700"/>
      <c r="EM137" s="700"/>
      <c r="EN137" s="700"/>
      <c r="EO137" s="700"/>
      <c r="EP137" s="700"/>
      <c r="EQ137" s="700"/>
      <c r="ER137" s="700"/>
      <c r="ES137" s="700"/>
      <c r="ET137" s="700"/>
      <c r="EU137" s="700"/>
      <c r="EV137" s="700"/>
      <c r="EW137" s="700"/>
      <c r="EX137" s="700"/>
      <c r="EY137" s="700">
        <v>2000</v>
      </c>
      <c r="EZ137" s="700"/>
      <c r="FA137" s="700"/>
      <c r="FB137" s="700"/>
      <c r="FC137" s="1454"/>
      <c r="FD137" s="1462" t="s">
        <v>12125</v>
      </c>
      <c r="FE137" s="1330"/>
      <c r="FF137" s="1331"/>
      <c r="FG137" s="1331"/>
      <c r="FJ137" s="1558" t="s">
        <v>11844</v>
      </c>
      <c r="FK137" s="1559">
        <f>FK134-FK136</f>
        <v>14686</v>
      </c>
      <c r="FL137" s="1559">
        <f>FL134-FL136+FK137</f>
        <v>21604</v>
      </c>
      <c r="FM137" s="1559">
        <f>FM134-FM136</f>
        <v>-41027</v>
      </c>
      <c r="FN137" s="1559">
        <f>FN134-FN136+FM137</f>
        <v>3225</v>
      </c>
      <c r="FO137" s="1559">
        <f>FO134-FO136</f>
        <v>-4175</v>
      </c>
      <c r="FP137" s="1559">
        <f>FP134-FP136+FO137</f>
        <v>8359</v>
      </c>
      <c r="FQ137" s="1559">
        <f t="shared" ref="FQ137:FX137" si="19">FQ134-FQ136</f>
        <v>37</v>
      </c>
      <c r="FR137" s="1559">
        <f t="shared" si="19"/>
        <v>4303</v>
      </c>
      <c r="FS137" s="1559">
        <f t="shared" si="19"/>
        <v>0</v>
      </c>
      <c r="FT137" s="1559">
        <f t="shared" si="19"/>
        <v>0</v>
      </c>
      <c r="FU137" s="1559">
        <f t="shared" si="19"/>
        <v>0.333333333328483</v>
      </c>
      <c r="FV137" s="1559">
        <f t="shared" si="19"/>
        <v>6</v>
      </c>
      <c r="FW137" s="1559">
        <f t="shared" si="19"/>
        <v>-3224</v>
      </c>
      <c r="FX137" s="1559">
        <f t="shared" si="19"/>
        <v>-85926</v>
      </c>
      <c r="FY137" s="1560"/>
      <c r="GL137" s="1330"/>
      <c r="GM137" s="1330"/>
    </row>
    <row r="138" s="1329" customFormat="1" ht="24" customHeight="1" spans="3:195">
      <c r="C138" s="1647"/>
      <c r="S138" s="1443"/>
      <c r="T138" s="1443"/>
      <c r="U138" s="1443"/>
      <c r="V138" s="1443"/>
      <c r="W138" s="1443"/>
      <c r="X138" s="1443"/>
      <c r="Y138" s="1443"/>
      <c r="Z138" s="1443"/>
      <c r="AA138" s="1443"/>
      <c r="AB138" s="1443"/>
      <c r="AC138" s="1443"/>
      <c r="AD138" s="1443"/>
      <c r="AE138" s="1443"/>
      <c r="AF138" s="1443"/>
      <c r="AG138" s="1443"/>
      <c r="AH138" s="1443"/>
      <c r="AI138" s="1443"/>
      <c r="AO138" s="1330"/>
      <c r="BP138" s="1330"/>
      <c r="DG138" s="1455">
        <v>45957</v>
      </c>
      <c r="DH138" s="700">
        <v>1000033366</v>
      </c>
      <c r="DI138" s="697"/>
      <c r="DJ138" s="700"/>
      <c r="DK138" s="700"/>
      <c r="DL138" s="700"/>
      <c r="DM138" s="700">
        <v>5000</v>
      </c>
      <c r="DN138" s="700"/>
      <c r="DO138" s="700"/>
      <c r="DP138" s="700"/>
      <c r="DQ138" s="700"/>
      <c r="DR138" s="700"/>
      <c r="DS138" s="700"/>
      <c r="DT138" s="700"/>
      <c r="DU138" s="700"/>
      <c r="DV138" s="700"/>
      <c r="DW138" s="700"/>
      <c r="DX138" s="700"/>
      <c r="DY138" s="700"/>
      <c r="DZ138" s="700"/>
      <c r="EA138" s="700"/>
      <c r="EB138" s="700"/>
      <c r="EC138" s="1448"/>
      <c r="ED138" s="1448"/>
      <c r="EE138" s="1469"/>
      <c r="EF138" s="1461"/>
      <c r="EG138" s="1461"/>
      <c r="EH138" s="1461"/>
      <c r="EI138" s="1472">
        <v>45790</v>
      </c>
      <c r="EJ138" s="1708"/>
      <c r="EK138" s="700"/>
      <c r="EL138" s="700"/>
      <c r="EM138" s="700"/>
      <c r="EN138" s="700"/>
      <c r="EO138" s="700"/>
      <c r="EP138" s="700"/>
      <c r="EQ138" s="700"/>
      <c r="ER138" s="700"/>
      <c r="ES138" s="700"/>
      <c r="ET138" s="700"/>
      <c r="EU138" s="700"/>
      <c r="EV138" s="700"/>
      <c r="EW138" s="700"/>
      <c r="EX138" s="700"/>
      <c r="EY138" s="700">
        <v>2452</v>
      </c>
      <c r="EZ138" s="700"/>
      <c r="FA138" s="700"/>
      <c r="FB138" s="700"/>
      <c r="FC138" s="1454"/>
      <c r="FD138" s="1462" t="s">
        <v>12126</v>
      </c>
      <c r="FE138" s="1330"/>
      <c r="FK138" s="1329">
        <v>1069711</v>
      </c>
      <c r="FM138" s="1329">
        <v>342406</v>
      </c>
      <c r="FO138" s="1329">
        <v>1509359</v>
      </c>
      <c r="FQ138" s="1329">
        <v>77027</v>
      </c>
      <c r="FR138" s="1329">
        <v>69871</v>
      </c>
      <c r="FS138" s="1329">
        <v>12068</v>
      </c>
      <c r="FT138" s="1329">
        <v>37466</v>
      </c>
      <c r="FU138" s="1329">
        <v>124798</v>
      </c>
      <c r="FV138" s="1329">
        <v>244</v>
      </c>
      <c r="FW138" s="1329">
        <v>4500</v>
      </c>
      <c r="FX138" s="1329">
        <v>176262</v>
      </c>
      <c r="GL138" s="1330"/>
      <c r="GM138" s="1330"/>
    </row>
    <row r="139" s="1329" customFormat="1" ht="24" customHeight="1" spans="3:195">
      <c r="C139" s="1647"/>
      <c r="S139" s="1443"/>
      <c r="T139" s="1443"/>
      <c r="U139" s="1443"/>
      <c r="V139" s="1443"/>
      <c r="W139" s="1443"/>
      <c r="X139" s="1443"/>
      <c r="Y139" s="1443"/>
      <c r="Z139" s="1443"/>
      <c r="AA139" s="1443"/>
      <c r="AB139" s="1443"/>
      <c r="AC139" s="1443"/>
      <c r="AD139" s="1443"/>
      <c r="AE139" s="1443"/>
      <c r="AF139" s="1443"/>
      <c r="AG139" s="1443"/>
      <c r="AH139" s="1443"/>
      <c r="AI139" s="1443"/>
      <c r="AO139" s="1330"/>
      <c r="BP139" s="1330"/>
      <c r="DG139" s="1681">
        <v>46034</v>
      </c>
      <c r="DH139" s="1522">
        <v>1000035847</v>
      </c>
      <c r="DI139" s="1716"/>
      <c r="DJ139" s="1680"/>
      <c r="DK139" s="1680">
        <v>100000</v>
      </c>
      <c r="DL139" s="1680"/>
      <c r="DM139" s="1680"/>
      <c r="DN139" s="1680"/>
      <c r="DO139" s="1680"/>
      <c r="DP139" s="1680"/>
      <c r="DQ139" s="1680"/>
      <c r="DR139" s="1680"/>
      <c r="DS139" s="1680"/>
      <c r="DT139" s="1680"/>
      <c r="DU139" s="1680"/>
      <c r="DV139" s="1680"/>
      <c r="DW139" s="1680"/>
      <c r="DX139" s="1680"/>
      <c r="DY139" s="1680"/>
      <c r="DZ139" s="1680"/>
      <c r="EA139" s="1680"/>
      <c r="EB139" s="1680"/>
      <c r="EC139" s="1717"/>
      <c r="ED139" s="1717"/>
      <c r="EE139" s="1718"/>
      <c r="EF139" s="1461"/>
      <c r="EG139" s="1461"/>
      <c r="EH139" s="1461"/>
      <c r="EI139" s="1472"/>
      <c r="EJ139" s="1708"/>
      <c r="EK139" s="700"/>
      <c r="EL139" s="700"/>
      <c r="EM139" s="700"/>
      <c r="EN139" s="700"/>
      <c r="EO139" s="700"/>
      <c r="EP139" s="700"/>
      <c r="EQ139" s="700"/>
      <c r="ER139" s="700"/>
      <c r="ES139" s="700"/>
      <c r="ET139" s="700"/>
      <c r="EU139" s="700"/>
      <c r="EV139" s="700"/>
      <c r="EW139" s="700"/>
      <c r="EX139" s="700"/>
      <c r="EY139" s="700"/>
      <c r="EZ139" s="700"/>
      <c r="FA139" s="700"/>
      <c r="FB139" s="700"/>
      <c r="FC139" s="1454"/>
      <c r="FD139" s="1462"/>
      <c r="FE139" s="1330"/>
      <c r="FF139" s="1329">
        <f>FA191-FA192-FA193</f>
        <v>185</v>
      </c>
      <c r="FG139" s="1329">
        <f>FA191-FF139</f>
        <v>115</v>
      </c>
      <c r="FK139" s="1329">
        <f>FK138-FK136</f>
        <v>-245603</v>
      </c>
      <c r="FM139" s="1329">
        <f>FM138-FM136</f>
        <v>-168621</v>
      </c>
      <c r="FO139" s="1329">
        <f>FO138-FO136</f>
        <v>-394816</v>
      </c>
      <c r="FQ139" s="1329">
        <f t="shared" ref="FQ139:FX139" si="20">FQ138-FQ136</f>
        <v>-39936</v>
      </c>
      <c r="FR139" s="1329">
        <f t="shared" si="20"/>
        <v>-17126</v>
      </c>
      <c r="FS139" s="1329">
        <f t="shared" si="20"/>
        <v>-1500</v>
      </c>
      <c r="FT139" s="1329">
        <f t="shared" si="20"/>
        <v>-21786</v>
      </c>
      <c r="FU139" s="1329">
        <f t="shared" si="20"/>
        <v>-4016.66666666667</v>
      </c>
      <c r="FV139" s="1329">
        <f t="shared" si="20"/>
        <v>-50</v>
      </c>
      <c r="FW139" s="1329">
        <f t="shared" si="20"/>
        <v>-3224</v>
      </c>
      <c r="FX139" s="1329">
        <f t="shared" si="20"/>
        <v>-78864</v>
      </c>
      <c r="GL139" s="1330"/>
      <c r="GM139" s="1330"/>
    </row>
    <row r="140" s="1329" customFormat="1" ht="24" customHeight="1" spans="3:195">
      <c r="C140" s="1647"/>
      <c r="S140" s="1586"/>
      <c r="T140" s="1453"/>
      <c r="U140" s="1443"/>
      <c r="V140" s="1443"/>
      <c r="W140" s="1443"/>
      <c r="X140" s="1443"/>
      <c r="Y140" s="1443"/>
      <c r="Z140" s="1443"/>
      <c r="AA140" s="1443"/>
      <c r="AB140" s="719"/>
      <c r="AC140" s="1443"/>
      <c r="AD140" s="1443"/>
      <c r="AE140" s="1697"/>
      <c r="AF140" s="1697"/>
      <c r="AG140" s="1697"/>
      <c r="AH140" s="1697"/>
      <c r="AI140" s="1443"/>
      <c r="AO140" s="1330"/>
      <c r="BP140" s="1330"/>
      <c r="CH140" s="1330"/>
      <c r="CI140" s="1330"/>
      <c r="CJ140" s="1330"/>
      <c r="CK140" s="1330"/>
      <c r="CL140" s="1330"/>
      <c r="CM140" s="1330"/>
      <c r="CN140" s="1330"/>
      <c r="DG140" s="1681">
        <v>46034</v>
      </c>
      <c r="DH140" s="1522">
        <v>1000035848</v>
      </c>
      <c r="DI140" s="1716"/>
      <c r="DJ140" s="1680"/>
      <c r="DK140" s="1680"/>
      <c r="DL140" s="1680"/>
      <c r="DM140" s="1680">
        <v>4000</v>
      </c>
      <c r="DN140" s="1680"/>
      <c r="DO140" s="1680"/>
      <c r="DP140" s="1680"/>
      <c r="DQ140" s="1680"/>
      <c r="DR140" s="1680"/>
      <c r="DS140" s="1680"/>
      <c r="DT140" s="1680"/>
      <c r="DU140" s="1680"/>
      <c r="DV140" s="1680"/>
      <c r="DW140" s="1680"/>
      <c r="DX140" s="1680"/>
      <c r="DY140" s="1680"/>
      <c r="DZ140" s="1680"/>
      <c r="EA140" s="1680"/>
      <c r="EB140" s="1680"/>
      <c r="EC140" s="1717"/>
      <c r="ED140" s="1717"/>
      <c r="EE140" s="1718"/>
      <c r="EF140" s="1461"/>
      <c r="EG140" s="1461"/>
      <c r="EH140" s="1461"/>
      <c r="EI140" s="1472">
        <v>45796</v>
      </c>
      <c r="EJ140" s="1708">
        <v>1000028081</v>
      </c>
      <c r="EK140" s="700"/>
      <c r="EL140" s="700"/>
      <c r="EM140" s="700">
        <f>100000-EN141</f>
        <v>32028</v>
      </c>
      <c r="EN140" s="700"/>
      <c r="EO140" s="700"/>
      <c r="EP140" s="700"/>
      <c r="EQ140" s="700"/>
      <c r="ER140" s="700"/>
      <c r="ES140" s="700"/>
      <c r="ET140" s="700"/>
      <c r="EU140" s="700"/>
      <c r="EV140" s="700"/>
      <c r="EW140" s="700"/>
      <c r="EX140" s="700"/>
      <c r="EY140" s="700"/>
      <c r="EZ140" s="700"/>
      <c r="FA140" s="700"/>
      <c r="FB140" s="700"/>
      <c r="FC140" s="1454"/>
      <c r="FD140" s="1462"/>
      <c r="FE140" s="1330"/>
      <c r="FF140" s="1329">
        <f>FF139-FA195</f>
        <v>185</v>
      </c>
      <c r="FG140" s="1329">
        <f>FG139-FA195</f>
        <v>115</v>
      </c>
      <c r="GL140" s="1330"/>
    </row>
    <row r="141" s="1329" customFormat="1" ht="24" customHeight="1" spans="3:195">
      <c r="C141" s="1647"/>
      <c r="S141" s="1586"/>
      <c r="T141" s="1453"/>
      <c r="U141" s="1443"/>
      <c r="V141" s="1443"/>
      <c r="W141" s="1443"/>
      <c r="X141" s="1443"/>
      <c r="Y141" s="1443"/>
      <c r="Z141" s="1443"/>
      <c r="AA141" s="1443"/>
      <c r="AB141" s="719"/>
      <c r="AC141" s="1443"/>
      <c r="AD141" s="1443"/>
      <c r="AE141" s="1697"/>
      <c r="AF141" s="1697"/>
      <c r="AG141" s="1697"/>
      <c r="AH141" s="1697"/>
      <c r="AI141" s="1443"/>
      <c r="AO141" s="1330"/>
      <c r="BP141" s="1330"/>
      <c r="CH141" s="1330"/>
      <c r="CI141" s="1330"/>
      <c r="CJ141" s="1330"/>
      <c r="CK141" s="1330"/>
      <c r="CL141" s="1330"/>
      <c r="CM141" s="1330"/>
      <c r="CN141" s="1330"/>
      <c r="DG141" s="1681">
        <v>46034</v>
      </c>
      <c r="DH141" s="1522">
        <v>1000035849</v>
      </c>
      <c r="DI141" s="1716"/>
      <c r="DJ141" s="1680"/>
      <c r="DK141" s="1680"/>
      <c r="DL141" s="1680"/>
      <c r="DM141" s="1680"/>
      <c r="DN141" s="1680"/>
      <c r="DO141" s="1680"/>
      <c r="DP141" s="1680"/>
      <c r="DQ141" s="1680"/>
      <c r="DR141" s="1680">
        <v>100000</v>
      </c>
      <c r="DS141" s="1680"/>
      <c r="DT141" s="1680"/>
      <c r="DU141" s="1680"/>
      <c r="DV141" s="1680"/>
      <c r="DW141" s="1680"/>
      <c r="DX141" s="1680"/>
      <c r="DY141" s="1680"/>
      <c r="DZ141" s="1680"/>
      <c r="EA141" s="1680"/>
      <c r="EB141" s="1680"/>
      <c r="EC141" s="1717"/>
      <c r="ED141" s="1717"/>
      <c r="EE141" s="1718"/>
      <c r="EF141" s="1461"/>
      <c r="EG141" s="1461"/>
      <c r="EH141" s="1461"/>
      <c r="EI141" s="1709"/>
      <c r="EJ141" s="1710"/>
      <c r="EK141" s="700"/>
      <c r="EL141" s="700"/>
      <c r="EM141" s="700"/>
      <c r="EN141" s="700">
        <v>67972</v>
      </c>
      <c r="EO141" s="700"/>
      <c r="EP141" s="700"/>
      <c r="EQ141" s="700"/>
      <c r="ER141" s="700"/>
      <c r="ES141" s="700"/>
      <c r="ET141" s="700"/>
      <c r="EU141" s="700"/>
      <c r="EV141" s="700"/>
      <c r="EW141" s="700"/>
      <c r="EX141" s="700"/>
      <c r="EY141" s="700"/>
      <c r="EZ141" s="700"/>
      <c r="FA141" s="700"/>
      <c r="FB141" s="700"/>
      <c r="FC141" s="1454"/>
      <c r="FD141" s="1462"/>
      <c r="FE141" s="1330"/>
    </row>
    <row r="142" s="1329" customFormat="1" ht="24" customHeight="1" spans="3:195">
      <c r="C142" s="1647"/>
      <c r="S142" s="1586"/>
      <c r="T142" s="1453"/>
      <c r="U142" s="1443"/>
      <c r="V142" s="1443"/>
      <c r="W142" s="1443"/>
      <c r="X142" s="1443"/>
      <c r="Y142" s="1443"/>
      <c r="Z142" s="1443"/>
      <c r="AA142" s="1443"/>
      <c r="AB142" s="719"/>
      <c r="AC142" s="1443"/>
      <c r="AD142" s="1443"/>
      <c r="AE142" s="1697"/>
      <c r="AF142" s="1697"/>
      <c r="AG142" s="1697"/>
      <c r="AH142" s="1697"/>
      <c r="AI142" s="1443"/>
      <c r="AO142" s="1330"/>
      <c r="BP142" s="1330"/>
      <c r="CH142" s="1330"/>
      <c r="CI142" s="1330"/>
      <c r="CJ142" s="1330"/>
      <c r="CK142" s="1330"/>
      <c r="CL142" s="1330"/>
      <c r="CM142" s="1330"/>
      <c r="CN142" s="1330"/>
      <c r="CP142" s="1330"/>
      <c r="CQ142" s="1330"/>
      <c r="DG142" s="1541"/>
      <c r="DH142" s="718"/>
      <c r="DI142" s="717"/>
      <c r="DJ142" s="718"/>
      <c r="DK142" s="718"/>
      <c r="DL142" s="718"/>
      <c r="DM142" s="718"/>
      <c r="DN142" s="718"/>
      <c r="DO142" s="718"/>
      <c r="DP142" s="718"/>
      <c r="DQ142" s="718"/>
      <c r="DR142" s="718"/>
      <c r="DS142" s="718"/>
      <c r="DT142" s="718"/>
      <c r="DU142" s="718"/>
      <c r="DV142" s="718"/>
      <c r="DW142" s="718"/>
      <c r="DX142" s="718"/>
      <c r="DY142" s="718"/>
      <c r="DZ142" s="718"/>
      <c r="EA142" s="718"/>
      <c r="EB142" s="718"/>
      <c r="EC142" s="1468"/>
      <c r="ED142" s="1468"/>
      <c r="EE142" s="1543"/>
      <c r="EF142" s="1461"/>
      <c r="EG142" s="1461"/>
      <c r="EH142" s="1461"/>
      <c r="EI142" s="1455">
        <v>45796</v>
      </c>
      <c r="EJ142" s="1456">
        <v>1000028082</v>
      </c>
      <c r="EK142" s="700"/>
      <c r="EL142" s="700"/>
      <c r="EM142" s="700"/>
      <c r="EN142" s="700"/>
      <c r="EO142" s="700"/>
      <c r="EP142" s="700"/>
      <c r="EQ142" s="700">
        <f>30000</f>
        <v>30000</v>
      </c>
      <c r="ER142" s="700"/>
      <c r="ES142" s="700"/>
      <c r="ET142" s="700"/>
      <c r="EU142" s="700"/>
      <c r="EV142" s="700"/>
      <c r="EW142" s="700"/>
      <c r="EX142" s="700"/>
      <c r="EY142" s="700"/>
      <c r="EZ142" s="700"/>
      <c r="FA142" s="700"/>
      <c r="FB142" s="700"/>
      <c r="FC142" s="1454"/>
      <c r="FD142" s="1462"/>
    </row>
    <row r="143" s="1329" customFormat="1" ht="24" customHeight="1" spans="3:195">
      <c r="C143" s="1647"/>
      <c r="S143" s="1586"/>
      <c r="T143" s="1453"/>
      <c r="U143" s="1443"/>
      <c r="V143" s="1443"/>
      <c r="W143" s="1443"/>
      <c r="X143" s="1443"/>
      <c r="Y143" s="1443"/>
      <c r="Z143" s="1443"/>
      <c r="AA143" s="1443"/>
      <c r="AB143" s="719"/>
      <c r="AC143" s="1443"/>
      <c r="AD143" s="1443"/>
      <c r="AE143" s="1697"/>
      <c r="AF143" s="1697"/>
      <c r="AG143" s="1697"/>
      <c r="AH143" s="1697"/>
      <c r="AI143" s="1443"/>
      <c r="AO143" s="1330"/>
      <c r="BP143" s="1330"/>
      <c r="CH143" s="1330"/>
      <c r="CI143" s="1330"/>
      <c r="CJ143" s="1330"/>
      <c r="CK143" s="1330"/>
      <c r="CL143" s="1330"/>
      <c r="CM143" s="1330"/>
      <c r="CN143" s="1330"/>
      <c r="CP143" s="1330"/>
      <c r="CQ143" s="1330"/>
      <c r="DG143" s="1455"/>
      <c r="DH143" s="700"/>
      <c r="DI143" s="1622"/>
      <c r="DJ143" s="700"/>
      <c r="DK143" s="700"/>
      <c r="DL143" s="700"/>
      <c r="DM143" s="700"/>
      <c r="DN143" s="700"/>
      <c r="DO143" s="700"/>
      <c r="DP143" s="700"/>
      <c r="DQ143" s="700"/>
      <c r="DR143" s="700"/>
      <c r="DS143" s="700"/>
      <c r="DT143" s="700"/>
      <c r="DU143" s="700"/>
      <c r="DV143" s="700"/>
      <c r="DW143" s="700"/>
      <c r="DX143" s="700"/>
      <c r="DY143" s="700"/>
      <c r="DZ143" s="700"/>
      <c r="EA143" s="700"/>
      <c r="EB143" s="700"/>
      <c r="EC143" s="1448"/>
      <c r="ED143" s="1448"/>
      <c r="EE143" s="1463"/>
      <c r="EF143" s="1461"/>
      <c r="EG143" s="1461"/>
      <c r="EH143" s="1461"/>
      <c r="EI143" s="1455">
        <v>45796</v>
      </c>
      <c r="EJ143" s="1456">
        <v>1000028083</v>
      </c>
      <c r="EK143" s="700"/>
      <c r="EL143" s="700"/>
      <c r="EM143" s="700"/>
      <c r="EN143" s="700"/>
      <c r="EO143" s="700"/>
      <c r="EP143" s="700"/>
      <c r="EQ143" s="700"/>
      <c r="ER143" s="700">
        <v>100000</v>
      </c>
      <c r="ES143" s="700"/>
      <c r="ET143" s="700"/>
      <c r="EU143" s="700"/>
      <c r="EV143" s="700"/>
      <c r="EW143" s="700"/>
      <c r="EX143" s="700"/>
      <c r="EY143" s="700"/>
      <c r="EZ143" s="700"/>
      <c r="FA143" s="700"/>
      <c r="FB143" s="700"/>
      <c r="FC143" s="1454"/>
      <c r="FD143" s="1462"/>
      <c r="FE143" s="1330">
        <v>92123</v>
      </c>
    </row>
    <row r="144" s="1329" customFormat="1" ht="24" customHeight="1" spans="3:195">
      <c r="C144" s="1647"/>
      <c r="S144" s="1586"/>
      <c r="T144" s="1453"/>
      <c r="U144" s="1443"/>
      <c r="V144" s="1443"/>
      <c r="W144" s="1443"/>
      <c r="X144" s="1443"/>
      <c r="Y144" s="1443"/>
      <c r="Z144" s="1443"/>
      <c r="AA144" s="1443"/>
      <c r="AB144" s="719"/>
      <c r="AC144" s="1443"/>
      <c r="AD144" s="1443"/>
      <c r="AE144" s="1697"/>
      <c r="AF144" s="1697"/>
      <c r="AG144" s="1697"/>
      <c r="AH144" s="1697"/>
      <c r="AI144" s="1443"/>
      <c r="AO144" s="1330"/>
      <c r="BP144" s="1330"/>
      <c r="CH144" s="1330"/>
      <c r="CI144" s="1330"/>
      <c r="CJ144" s="1330"/>
      <c r="CK144" s="1330"/>
      <c r="CL144" s="1330"/>
      <c r="CM144" s="1330"/>
      <c r="CN144" s="1330"/>
      <c r="CP144" s="1330"/>
      <c r="CQ144" s="1330"/>
      <c r="DG144" s="1687"/>
      <c r="DH144" s="1505"/>
      <c r="DI144" s="1507" t="s">
        <v>11822</v>
      </c>
      <c r="DJ144" s="1505">
        <f>SUM(DJ5:DJ143)</f>
        <v>1080000</v>
      </c>
      <c r="DK144" s="1505">
        <f>SUM(DK5:DK143)+DJ144</f>
        <v>2920000</v>
      </c>
      <c r="DL144" s="1505">
        <f>SUM(DL5:DL143)</f>
        <v>49500</v>
      </c>
      <c r="DM144" s="1505">
        <f>SUM(DM5:DM143)+DL144+DS144</f>
        <v>184699</v>
      </c>
      <c r="DN144" s="1505">
        <f>SUM(DN5:DN143)</f>
        <v>210000</v>
      </c>
      <c r="DO144" s="1505">
        <f>SUM(DO5:DO143)+DN144</f>
        <v>670000</v>
      </c>
      <c r="DP144" s="1505">
        <f>SUM(DP5:DP143)</f>
        <v>30000</v>
      </c>
      <c r="DQ144" s="1505">
        <f>SUM(DQ5:DQ143)</f>
        <v>1290000</v>
      </c>
      <c r="DR144" s="1505">
        <f>SUM(DR5:DR143)+DQ144</f>
        <v>3510000</v>
      </c>
      <c r="DS144" s="1505">
        <f>SUM(DS5:DS143)</f>
        <v>19500</v>
      </c>
      <c r="DT144" s="1505">
        <f>SUM(DT5:DT143)</f>
        <v>42600</v>
      </c>
      <c r="DU144" s="1505">
        <f>SUM(DU5:DU143)</f>
        <v>500</v>
      </c>
      <c r="DV144" s="1505">
        <f>SUM(DV5:DV143)+DT144</f>
        <v>74600</v>
      </c>
      <c r="DW144" s="1505">
        <f>SUM(DW5:DW143)</f>
        <v>162857</v>
      </c>
      <c r="DX144" s="1505">
        <f>SUM(DX5:DX143)</f>
        <v>13801</v>
      </c>
      <c r="DY144" s="1505">
        <f>SUM(DY5:DY143)+DX144</f>
        <v>28367</v>
      </c>
      <c r="DZ144" s="1505">
        <f>SUM(DZ5:DZ143)</f>
        <v>0</v>
      </c>
      <c r="EA144" s="1505">
        <f>SUM(EA5:EA53)+4</f>
        <v>10646</v>
      </c>
      <c r="EB144" s="1505">
        <f>SUM(EB5:EB53)</f>
        <v>60000</v>
      </c>
      <c r="EC144" s="1688"/>
      <c r="ED144" s="1688">
        <f>SUM(ED5:ED143)</f>
        <v>700</v>
      </c>
      <c r="EE144" s="1458"/>
      <c r="EF144" s="1461"/>
      <c r="EG144" s="1461"/>
      <c r="EH144" s="1461"/>
      <c r="EI144" s="1472">
        <v>45796</v>
      </c>
      <c r="EJ144" s="1708">
        <v>1000028084</v>
      </c>
      <c r="EK144" s="700"/>
      <c r="EL144" s="700"/>
      <c r="EM144" s="700"/>
      <c r="EN144" s="700"/>
      <c r="EO144" s="700"/>
      <c r="EP144" s="700"/>
      <c r="EQ144" s="700"/>
      <c r="ER144" s="700"/>
      <c r="ES144" s="700"/>
      <c r="ET144" s="700"/>
      <c r="EU144" s="700">
        <v>1762</v>
      </c>
      <c r="EV144" s="700"/>
      <c r="EW144" s="700"/>
      <c r="EX144" s="700"/>
      <c r="EY144" s="700"/>
      <c r="EZ144" s="700"/>
      <c r="FA144" s="700"/>
      <c r="FB144" s="700"/>
      <c r="FC144" s="1454"/>
      <c r="FD144" s="1462"/>
      <c r="FE144" s="1330">
        <v>92124</v>
      </c>
    </row>
    <row r="145" s="1329" customFormat="1" ht="24" customHeight="1" spans="3:193">
      <c r="C145" s="1647"/>
      <c r="S145" s="1613"/>
      <c r="T145" s="1606"/>
      <c r="U145" s="1607" t="s">
        <v>9150</v>
      </c>
      <c r="V145" s="1719">
        <f>SUM(V5:V125)</f>
        <v>260217</v>
      </c>
      <c r="W145" s="1719">
        <f>SUM(W5:W144)</f>
        <v>2444429</v>
      </c>
      <c r="X145" s="1719">
        <f>SUM(X5:X144)</f>
        <v>2491727</v>
      </c>
      <c r="Y145" s="1719">
        <f t="shared" ref="X145:AF145" si="21">SUM(Y5:Y144)</f>
        <v>2615768</v>
      </c>
      <c r="Z145" s="1719">
        <f t="shared" si="21"/>
        <v>30334</v>
      </c>
      <c r="AA145" s="1719">
        <f t="shared" si="21"/>
        <v>196582</v>
      </c>
      <c r="AB145" s="1719">
        <f t="shared" si="21"/>
        <v>236062</v>
      </c>
      <c r="AC145" s="1719">
        <f t="shared" si="21"/>
        <v>133000</v>
      </c>
      <c r="AD145" s="1719">
        <f t="shared" si="21"/>
        <v>133000</v>
      </c>
      <c r="AE145" s="1719">
        <f t="shared" si="21"/>
        <v>12835</v>
      </c>
      <c r="AF145" s="1719">
        <f>SUM(AF132:AF144)</f>
        <v>245472</v>
      </c>
      <c r="AG145" s="1719">
        <f>SUM(AG132:AG144)</f>
        <v>245472</v>
      </c>
      <c r="AH145" s="1719">
        <f>SUM(AH132:AH144)</f>
        <v>245472</v>
      </c>
      <c r="AI145" s="1719">
        <f>SUM(AI5:AI144)</f>
        <v>300</v>
      </c>
      <c r="AO145" s="1330"/>
      <c r="BP145" s="1330"/>
      <c r="CP145" s="1330"/>
      <c r="CQ145" s="1330"/>
      <c r="DG145" s="1689" t="s">
        <v>6037</v>
      </c>
      <c r="DH145" s="1690"/>
      <c r="DI145" s="1720"/>
      <c r="DJ145" s="1690"/>
      <c r="DK145" s="1690">
        <v>1424234</v>
      </c>
      <c r="DL145" s="1690">
        <v>0</v>
      </c>
      <c r="DM145" s="1690">
        <v>90341</v>
      </c>
      <c r="DN145" s="1690">
        <v>-12</v>
      </c>
      <c r="DO145" s="1690">
        <v>237213</v>
      </c>
      <c r="DP145" s="1690">
        <v>28740</v>
      </c>
      <c r="DQ145" s="1690">
        <v>0</v>
      </c>
      <c r="DR145" s="1690">
        <v>1691614</v>
      </c>
      <c r="DS145" s="1690">
        <v>0</v>
      </c>
      <c r="DT145" s="1690">
        <v>0</v>
      </c>
      <c r="DU145" s="1690">
        <v>0</v>
      </c>
      <c r="DV145" s="1690">
        <v>63097</v>
      </c>
      <c r="DW145" s="1690">
        <v>148276</v>
      </c>
      <c r="DX145" s="1690">
        <v>0</v>
      </c>
      <c r="DY145" s="1690">
        <v>16899</v>
      </c>
      <c r="DZ145" s="1690">
        <v>0</v>
      </c>
      <c r="EA145" s="1690">
        <v>10642</v>
      </c>
      <c r="EB145" s="1690">
        <v>54020</v>
      </c>
      <c r="EC145" s="1691"/>
      <c r="ED145" s="1691">
        <v>278</v>
      </c>
      <c r="EE145" s="1458"/>
      <c r="EF145" s="1461"/>
      <c r="EG145" s="1461"/>
      <c r="EH145" s="1461"/>
      <c r="EI145" s="1709"/>
      <c r="EJ145" s="1710"/>
      <c r="EK145" s="700"/>
      <c r="EL145" s="700"/>
      <c r="EM145" s="700"/>
      <c r="EN145" s="700"/>
      <c r="EO145" s="700"/>
      <c r="EP145" s="700"/>
      <c r="EQ145" s="700"/>
      <c r="ER145" s="700"/>
      <c r="ES145" s="700"/>
      <c r="ET145" s="700">
        <f>6078+494</f>
        <v>6572</v>
      </c>
      <c r="EU145" s="700"/>
      <c r="EV145" s="700"/>
      <c r="EW145" s="700"/>
      <c r="EX145" s="700"/>
      <c r="EY145" s="700"/>
      <c r="EZ145" s="700"/>
      <c r="FA145" s="700"/>
      <c r="FB145" s="700"/>
      <c r="FC145" s="1454"/>
      <c r="FD145" s="1462"/>
    </row>
    <row r="146" s="1329" customFormat="1" ht="24" customHeight="1" spans="3:193">
      <c r="C146" s="1647"/>
      <c r="S146" s="1721" t="s">
        <v>11796</v>
      </c>
      <c r="T146" s="1606"/>
      <c r="U146" s="1612"/>
      <c r="V146" s="1719" t="e">
        <f>#REF!</f>
        <v>#REF!</v>
      </c>
      <c r="W146" s="1719" t="e">
        <f>#REF!+2305558</f>
        <v>#REF!</v>
      </c>
      <c r="X146" s="1719" t="e">
        <f>#REF!+2396092</f>
        <v>#REF!</v>
      </c>
      <c r="Y146" s="1719" t="e">
        <f>X146</f>
        <v>#REF!</v>
      </c>
      <c r="Z146" s="1719" t="e">
        <f>#REF!+30364</f>
        <v>#REF!</v>
      </c>
      <c r="AA146" s="1722" t="e">
        <f>#REF!+192071</f>
        <v>#REF!</v>
      </c>
      <c r="AB146" s="1719" t="e">
        <f>#REF!+166446</f>
        <v>#REF!</v>
      </c>
      <c r="AC146" s="1719" t="e">
        <f>#REF!+116208</f>
        <v>#REF!</v>
      </c>
      <c r="AD146" s="1719" t="e">
        <f>AC146</f>
        <v>#REF!</v>
      </c>
      <c r="AE146" s="1719" t="e">
        <f>#REF!+11507</f>
        <v>#REF!</v>
      </c>
      <c r="AF146" s="1719" t="e">
        <f>#REF!</f>
        <v>#REF!</v>
      </c>
      <c r="AG146" s="1719" t="e">
        <f>#REF!</f>
        <v>#REF!</v>
      </c>
      <c r="AH146" s="1719" t="e">
        <f>AG146</f>
        <v>#REF!</v>
      </c>
      <c r="AI146" s="1719" t="e">
        <f>#REF!+248</f>
        <v>#REF!</v>
      </c>
      <c r="AO146" s="1330"/>
      <c r="BP146" s="1330"/>
      <c r="DG146" s="1689" t="s">
        <v>12111</v>
      </c>
      <c r="DH146" s="1690"/>
      <c r="DI146" s="1720"/>
      <c r="DJ146" s="1690"/>
      <c r="DK146" s="1690">
        <v>917405</v>
      </c>
      <c r="DL146" s="1690">
        <v>0</v>
      </c>
      <c r="DM146" s="1690">
        <v>55748</v>
      </c>
      <c r="DN146" s="1690">
        <v>12</v>
      </c>
      <c r="DO146" s="1690">
        <v>291208</v>
      </c>
      <c r="DP146" s="1690">
        <v>504</v>
      </c>
      <c r="DQ146" s="1690">
        <v>240</v>
      </c>
      <c r="DR146" s="1690">
        <v>1181427</v>
      </c>
      <c r="DS146" s="1690">
        <v>0</v>
      </c>
      <c r="DT146" s="1690">
        <v>0</v>
      </c>
      <c r="DU146" s="1690">
        <v>492</v>
      </c>
      <c r="DV146" s="1690">
        <v>6085</v>
      </c>
      <c r="DW146" s="1690">
        <v>14580</v>
      </c>
      <c r="DX146" s="1690">
        <v>0</v>
      </c>
      <c r="DY146" s="1690">
        <v>11468</v>
      </c>
      <c r="DZ146" s="1690">
        <v>0</v>
      </c>
      <c r="EA146" s="1690">
        <v>4</v>
      </c>
      <c r="EB146" s="1690">
        <v>15000</v>
      </c>
      <c r="EC146" s="1691">
        <v>0</v>
      </c>
      <c r="ED146" s="1691">
        <v>285</v>
      </c>
      <c r="EE146" s="1458"/>
      <c r="EF146" s="1461"/>
      <c r="EG146" s="1461"/>
      <c r="EH146" s="1461"/>
      <c r="EI146" s="1709">
        <v>45799</v>
      </c>
      <c r="EJ146" s="1710"/>
      <c r="EK146" s="700"/>
      <c r="EL146" s="700"/>
      <c r="EM146" s="700"/>
      <c r="EN146" s="718"/>
      <c r="EO146" s="718"/>
      <c r="EP146" s="718"/>
      <c r="EQ146" s="718"/>
      <c r="ER146" s="718"/>
      <c r="ES146" s="718"/>
      <c r="ET146" s="718"/>
      <c r="EU146" s="718"/>
      <c r="EV146" s="700"/>
      <c r="EW146" s="700"/>
      <c r="EX146" s="700"/>
      <c r="EY146" s="700"/>
      <c r="EZ146" s="700">
        <v>2304</v>
      </c>
      <c r="FA146" s="700"/>
      <c r="FB146" s="700"/>
      <c r="FC146" s="1454"/>
      <c r="FD146" s="1462">
        <v>4500167498</v>
      </c>
    </row>
    <row r="147" s="1329" customFormat="1" ht="24" customHeight="1" spans="3:193">
      <c r="C147" s="1647"/>
      <c r="S147" s="1721" t="s">
        <v>11804</v>
      </c>
      <c r="T147" s="1606"/>
      <c r="U147" s="1612"/>
      <c r="V147" s="1719">
        <f>樣板單!AW322</f>
        <v>88</v>
      </c>
      <c r="W147" s="1719">
        <f>樣板單!AX322</f>
        <v>199</v>
      </c>
      <c r="X147" s="1719">
        <f>樣板單!AY322</f>
        <v>277</v>
      </c>
      <c r="Y147" s="1719">
        <f>樣板單!BB322</f>
        <v>0</v>
      </c>
      <c r="Z147" s="1719">
        <f>樣板單!BC322</f>
        <v>9</v>
      </c>
      <c r="AA147" s="1723"/>
      <c r="AB147" s="1724"/>
      <c r="AC147" s="1724"/>
      <c r="AD147" s="1724"/>
      <c r="AE147" s="1724"/>
      <c r="AF147" s="1724"/>
      <c r="AG147" s="1724"/>
      <c r="AH147" s="1724"/>
      <c r="AI147" s="1719"/>
      <c r="AO147" s="1330"/>
      <c r="BP147" s="1330"/>
      <c r="DG147" s="1725" t="s">
        <v>11796</v>
      </c>
      <c r="DH147" s="1505"/>
      <c r="DI147" s="1512"/>
      <c r="DJ147" s="1513">
        <f>'9279'!AH556</f>
        <v>0</v>
      </c>
      <c r="DK147" s="1513">
        <f>'9279'!AI556+DJ147+DK145+DK146</f>
        <v>2931041</v>
      </c>
      <c r="DL147" s="1513">
        <f>'9279'!AV556</f>
        <v>0</v>
      </c>
      <c r="DM147" s="1513">
        <f>'9279'!AX556+DL147+DS147+DM145+DM146</f>
        <v>188893</v>
      </c>
      <c r="DN147" s="1513">
        <f>'9279'!AJ556</f>
        <v>0</v>
      </c>
      <c r="DO147" s="1513">
        <f>'9279'!AK556+DN147+DO145+DO146</f>
        <v>675601</v>
      </c>
      <c r="DP147" s="1513">
        <f>'9279'!AL556+DP145+DP146</f>
        <v>29244</v>
      </c>
      <c r="DQ147" s="1513">
        <f>'9279'!AN556</f>
        <v>0</v>
      </c>
      <c r="DR147" s="1513">
        <f>'9279'!AO556+DQ147+DR145+DR146</f>
        <v>3515177</v>
      </c>
      <c r="DS147" s="1512">
        <f>'9279'!AW556</f>
        <v>0</v>
      </c>
      <c r="DT147" s="1512">
        <f>'9279'!AY556</f>
        <v>0</v>
      </c>
      <c r="DU147" s="1512">
        <f>'9279'!AZ556</f>
        <v>0</v>
      </c>
      <c r="DV147" s="1512">
        <f>'9279'!BA556+DT147+DV145+DV146</f>
        <v>70245</v>
      </c>
      <c r="DW147" s="1512">
        <f>'9279'!BB556+DW145+DW146</f>
        <v>162856</v>
      </c>
      <c r="DX147" s="1512">
        <f>'9279'!BC556</f>
        <v>0</v>
      </c>
      <c r="DY147" s="1512">
        <f>'9279'!BD556+DX147+DY145+DY146</f>
        <v>28367</v>
      </c>
      <c r="DZ147" s="1512">
        <f>'9279'!BE556</f>
        <v>0</v>
      </c>
      <c r="EA147" s="1512">
        <f>'9279'!BF556+EA145+EA146</f>
        <v>10646</v>
      </c>
      <c r="EB147" s="1512">
        <f>'9279'!AM556+EB145+EB146</f>
        <v>186768</v>
      </c>
      <c r="EC147" s="1696"/>
      <c r="ED147" s="1696">
        <f>'9279'!BG556+ED145+ED146</f>
        <v>683</v>
      </c>
      <c r="EE147" s="1458"/>
      <c r="EF147" s="1461"/>
      <c r="EG147" s="1461"/>
      <c r="EH147" s="1461"/>
      <c r="EI147" s="1455">
        <v>45817</v>
      </c>
      <c r="EJ147" s="1456"/>
      <c r="EK147" s="700"/>
      <c r="EL147" s="700"/>
      <c r="EM147" s="700"/>
      <c r="EN147" s="700"/>
      <c r="EO147" s="700"/>
      <c r="EP147" s="700"/>
      <c r="EQ147" s="700"/>
      <c r="ER147" s="700"/>
      <c r="ES147" s="700"/>
      <c r="ET147" s="700"/>
      <c r="EU147" s="700"/>
      <c r="EV147" s="700"/>
      <c r="EW147" s="700"/>
      <c r="EX147" s="700"/>
      <c r="EY147" s="700"/>
      <c r="EZ147" s="700"/>
      <c r="FA147" s="700"/>
      <c r="FB147" s="700">
        <v>5010</v>
      </c>
      <c r="FC147" s="1454"/>
      <c r="FD147" s="1462" t="s">
        <v>12127</v>
      </c>
    </row>
    <row r="148" s="1329" customFormat="1" ht="24" customHeight="1" spans="3:193">
      <c r="C148" s="1647"/>
      <c r="S148" s="1726" t="s">
        <v>11809</v>
      </c>
      <c r="T148" s="1606"/>
      <c r="U148" s="1726"/>
      <c r="V148" s="1727">
        <v>0</v>
      </c>
      <c r="W148" s="1727" t="e">
        <f>W145-W146-W147</f>
        <v>#REF!</v>
      </c>
      <c r="X148" s="1727" t="e">
        <f t="shared" ref="W148:AE148" si="22">X145-X146-X147</f>
        <v>#REF!</v>
      </c>
      <c r="Y148" s="1727" t="e">
        <f t="shared" si="22"/>
        <v>#REF!</v>
      </c>
      <c r="Z148" s="1727" t="e">
        <f t="shared" si="22"/>
        <v>#REF!</v>
      </c>
      <c r="AA148" s="1727" t="e">
        <f t="shared" si="22"/>
        <v>#REF!</v>
      </c>
      <c r="AB148" s="1727" t="e">
        <f t="shared" si="22"/>
        <v>#REF!</v>
      </c>
      <c r="AC148" s="1727" t="e">
        <f t="shared" si="22"/>
        <v>#REF!</v>
      </c>
      <c r="AD148" s="1727" t="e">
        <f t="shared" si="22"/>
        <v>#REF!</v>
      </c>
      <c r="AE148" s="1728" t="e">
        <f t="shared" si="22"/>
        <v>#REF!</v>
      </c>
      <c r="AF148" s="1728" t="e">
        <f>AF145-AF146</f>
        <v>#REF!</v>
      </c>
      <c r="AG148" s="1728" t="e">
        <f>AG145-AG146</f>
        <v>#REF!</v>
      </c>
      <c r="AH148" s="1728" t="e">
        <f>AH145-AH146</f>
        <v>#REF!</v>
      </c>
      <c r="AI148" s="1727" t="e">
        <f>AI145-AI146-AI147</f>
        <v>#REF!</v>
      </c>
      <c r="AO148" s="1330"/>
      <c r="BP148" s="1330"/>
      <c r="DG148" s="1564" t="s">
        <v>11804</v>
      </c>
      <c r="DH148" s="1505"/>
      <c r="DI148" s="1512"/>
      <c r="DJ148" s="1513"/>
      <c r="DK148" s="1513"/>
      <c r="DL148" s="1513"/>
      <c r="DM148" s="1513"/>
      <c r="DN148" s="1513"/>
      <c r="DO148" s="1513"/>
      <c r="DP148" s="1729"/>
      <c r="DQ148" s="1730"/>
      <c r="DR148" s="1730"/>
      <c r="DS148" s="1512"/>
      <c r="DT148" s="1512"/>
      <c r="DU148" s="1512"/>
      <c r="DV148" s="1512"/>
      <c r="DW148" s="1512"/>
      <c r="DX148" s="1512"/>
      <c r="DY148" s="1512"/>
      <c r="DZ148" s="1512"/>
      <c r="EA148" s="1512"/>
      <c r="EB148" s="1512"/>
      <c r="EC148" s="1696"/>
      <c r="ED148" s="1696"/>
      <c r="EE148" s="1458"/>
      <c r="EF148" s="1461"/>
      <c r="EG148" s="1461"/>
      <c r="EH148" s="1461"/>
      <c r="EI148" s="1455">
        <v>45817</v>
      </c>
      <c r="EJ148" s="1456"/>
      <c r="EK148" s="700"/>
      <c r="EL148" s="700"/>
      <c r="EM148" s="700"/>
      <c r="EN148" s="700"/>
      <c r="EO148" s="700"/>
      <c r="EP148" s="700"/>
      <c r="EQ148" s="700"/>
      <c r="ER148" s="700"/>
      <c r="ES148" s="700"/>
      <c r="ET148" s="700"/>
      <c r="EU148" s="700"/>
      <c r="EV148" s="700"/>
      <c r="EW148" s="700"/>
      <c r="EX148" s="700"/>
      <c r="EY148" s="700"/>
      <c r="EZ148" s="700"/>
      <c r="FA148" s="700"/>
      <c r="FB148" s="700">
        <v>4000</v>
      </c>
      <c r="FC148" s="1454"/>
      <c r="FD148" s="1462">
        <v>4500164564</v>
      </c>
    </row>
    <row r="149" s="1329" customFormat="1" ht="24" customHeight="1" spans="3:193">
      <c r="C149" s="1647"/>
      <c r="W149" s="1731"/>
      <c r="X149" s="1731"/>
      <c r="Y149" s="1731"/>
      <c r="Z149" s="1731"/>
      <c r="AA149" s="1732"/>
      <c r="AB149" s="1731"/>
      <c r="AC149" s="1731"/>
      <c r="AD149" s="1731"/>
      <c r="AE149" s="1731"/>
      <c r="AF149" s="1731"/>
      <c r="AG149" s="1731"/>
      <c r="AH149" s="1731"/>
      <c r="AI149" s="1731"/>
      <c r="AO149" s="1330"/>
      <c r="BP149" s="1330"/>
      <c r="DG149" s="1733"/>
      <c r="DH149" s="1734"/>
      <c r="DI149" s="1735"/>
      <c r="DJ149" s="1736"/>
      <c r="DK149" s="1736"/>
      <c r="DL149" s="1736"/>
      <c r="DM149" s="1736"/>
      <c r="DN149" s="1736"/>
      <c r="DO149" s="1736"/>
      <c r="DP149" s="1737"/>
      <c r="DQ149" s="1738"/>
      <c r="DR149" s="1738"/>
      <c r="DS149" s="1735"/>
      <c r="DT149" s="1735"/>
      <c r="DU149" s="1735"/>
      <c r="DV149" s="1735"/>
      <c r="DW149" s="1735"/>
      <c r="DX149" s="1735"/>
      <c r="DY149" s="1735"/>
      <c r="DZ149" s="1735"/>
      <c r="EA149" s="1735"/>
      <c r="EB149" s="1735"/>
      <c r="EC149" s="1739"/>
      <c r="ED149" s="1739"/>
      <c r="EE149" s="1740"/>
      <c r="EF149" s="1461"/>
      <c r="EG149" s="1461"/>
      <c r="EH149" s="1461"/>
      <c r="EI149" s="1455">
        <v>45817</v>
      </c>
      <c r="EJ149" s="1456"/>
      <c r="EK149" s="700"/>
      <c r="EL149" s="700"/>
      <c r="EM149" s="700"/>
      <c r="EN149" s="700"/>
      <c r="EO149" s="700"/>
      <c r="EP149" s="700"/>
      <c r="EQ149" s="700"/>
      <c r="ER149" s="700"/>
      <c r="ES149" s="700"/>
      <c r="ET149" s="700"/>
      <c r="EU149" s="700"/>
      <c r="EV149" s="700"/>
      <c r="EW149" s="700"/>
      <c r="EX149" s="700"/>
      <c r="EY149" s="700"/>
      <c r="EZ149" s="700">
        <v>2880</v>
      </c>
      <c r="FA149" s="700"/>
      <c r="FB149" s="700"/>
      <c r="FC149" s="1454"/>
      <c r="FD149" s="1462">
        <v>4500169373</v>
      </c>
    </row>
    <row r="150" s="1329" customFormat="1" ht="24" customHeight="1" spans="3:193">
      <c r="C150" s="1647"/>
      <c r="AA150" s="1741"/>
      <c r="AD150" s="1742"/>
      <c r="AO150" s="1330"/>
      <c r="BP150" s="1330"/>
      <c r="DG150" s="1733"/>
      <c r="DH150" s="1734"/>
      <c r="DI150" s="1735"/>
      <c r="DJ150" s="1736"/>
      <c r="DK150" s="1736"/>
      <c r="DL150" s="1736"/>
      <c r="DM150" s="1736"/>
      <c r="DN150" s="1736"/>
      <c r="DO150" s="1736"/>
      <c r="DP150" s="1737"/>
      <c r="DQ150" s="1738"/>
      <c r="DR150" s="1738"/>
      <c r="DS150" s="1735"/>
      <c r="DT150" s="1735"/>
      <c r="DU150" s="1735"/>
      <c r="DV150" s="1735"/>
      <c r="DW150" s="1735"/>
      <c r="DX150" s="1735"/>
      <c r="DY150" s="1735"/>
      <c r="DZ150" s="1735"/>
      <c r="EA150" s="1735"/>
      <c r="EB150" s="1735"/>
      <c r="EC150" s="1739"/>
      <c r="ED150" s="1739"/>
      <c r="EE150" s="1740"/>
      <c r="EF150" s="1461"/>
      <c r="EG150" s="1461"/>
      <c r="EH150" s="1461"/>
      <c r="EI150" s="1455"/>
      <c r="EJ150" s="1456"/>
      <c r="EK150" s="700"/>
      <c r="EL150" s="700"/>
      <c r="EM150" s="700"/>
      <c r="EN150" s="700"/>
      <c r="EO150" s="700"/>
      <c r="EP150" s="700"/>
      <c r="EQ150" s="700"/>
      <c r="ER150" s="700"/>
      <c r="ES150" s="700"/>
      <c r="ET150" s="700"/>
      <c r="EU150" s="700"/>
      <c r="EV150" s="700">
        <v>938</v>
      </c>
      <c r="EW150" s="700"/>
      <c r="EX150" s="700"/>
      <c r="EY150" s="700"/>
      <c r="EZ150" s="700"/>
      <c r="FA150" s="700"/>
      <c r="FB150" s="700"/>
      <c r="FC150" s="1454"/>
      <c r="FD150" s="1462"/>
    </row>
    <row r="151" s="1329" customFormat="1" ht="24" customHeight="1" spans="3:193">
      <c r="C151" s="1647"/>
      <c r="AA151" s="1741"/>
      <c r="AO151" s="1330"/>
      <c r="BP151" s="1330"/>
      <c r="DG151" s="1573" t="s">
        <v>11809</v>
      </c>
      <c r="DH151" s="1574"/>
      <c r="DI151" s="1575"/>
      <c r="DJ151" s="1576">
        <f t="shared" ref="DJ151:DP151" si="23">DJ144-DJ147</f>
        <v>1080000</v>
      </c>
      <c r="DK151" s="1743">
        <f t="shared" si="23"/>
        <v>-11041</v>
      </c>
      <c r="DL151" s="1743">
        <f t="shared" si="23"/>
        <v>49500</v>
      </c>
      <c r="DM151" s="1743">
        <f t="shared" si="23"/>
        <v>-4194</v>
      </c>
      <c r="DN151" s="1743">
        <f t="shared" si="23"/>
        <v>210000</v>
      </c>
      <c r="DO151" s="1743">
        <f t="shared" si="23"/>
        <v>-5601</v>
      </c>
      <c r="DP151" s="1743">
        <f t="shared" si="23"/>
        <v>756</v>
      </c>
      <c r="DQ151" s="1743">
        <f t="shared" ref="DP151:DY151" si="24">DQ144-DQ147</f>
        <v>1290000</v>
      </c>
      <c r="DR151" s="1743">
        <f t="shared" si="24"/>
        <v>-5177</v>
      </c>
      <c r="DS151" s="1743">
        <f t="shared" si="24"/>
        <v>19500</v>
      </c>
      <c r="DT151" s="1743">
        <f t="shared" si="24"/>
        <v>42600</v>
      </c>
      <c r="DU151" s="1743">
        <f t="shared" si="24"/>
        <v>500</v>
      </c>
      <c r="DV151" s="1743">
        <f t="shared" si="24"/>
        <v>4355</v>
      </c>
      <c r="DW151" s="1743">
        <f t="shared" si="24"/>
        <v>1</v>
      </c>
      <c r="DX151" s="1743">
        <f t="shared" si="24"/>
        <v>13801</v>
      </c>
      <c r="DY151" s="1743">
        <f t="shared" si="24"/>
        <v>0</v>
      </c>
      <c r="DZ151" s="1743"/>
      <c r="EA151" s="1743">
        <f>EA144-EA147</f>
        <v>0</v>
      </c>
      <c r="EB151" s="1743">
        <f>EB144-EB147</f>
        <v>-126768</v>
      </c>
      <c r="EC151" s="1744"/>
      <c r="ED151" s="1745">
        <f>ED144-ED147</f>
        <v>17</v>
      </c>
      <c r="EE151" s="1703"/>
      <c r="EF151" s="1461"/>
      <c r="EG151" s="1461"/>
      <c r="EH151" s="1461"/>
      <c r="EI151" s="1455">
        <v>45826</v>
      </c>
      <c r="EJ151" s="1456">
        <v>1000029102</v>
      </c>
      <c r="EK151" s="700"/>
      <c r="EL151" s="700"/>
      <c r="EM151" s="700"/>
      <c r="EN151" s="700">
        <v>100000</v>
      </c>
      <c r="EO151" s="700"/>
      <c r="EP151" s="700"/>
      <c r="EQ151" s="700"/>
      <c r="ER151" s="700"/>
      <c r="ES151" s="700"/>
      <c r="ET151" s="700"/>
      <c r="EU151" s="700"/>
      <c r="EV151" s="700"/>
      <c r="EW151" s="700"/>
      <c r="EX151" s="700"/>
      <c r="EY151" s="700"/>
      <c r="EZ151" s="700"/>
      <c r="FA151" s="700"/>
      <c r="FB151" s="700"/>
      <c r="FC151" s="1454"/>
      <c r="FD151" s="1462"/>
      <c r="GC151" s="1330"/>
      <c r="GD151" s="1330"/>
      <c r="GE151" s="1330"/>
      <c r="GF151" s="1330"/>
      <c r="GG151" s="1330"/>
      <c r="GH151" s="1330"/>
      <c r="GI151" s="1330"/>
      <c r="GJ151" s="1330"/>
      <c r="GK151" s="1330"/>
    </row>
    <row r="152" s="1329" customFormat="1" ht="24" customHeight="1" spans="3:193">
      <c r="C152" s="1647"/>
      <c r="AA152" s="1741"/>
      <c r="AO152" s="1330"/>
      <c r="BP152" s="1330"/>
      <c r="DK152" s="1329">
        <v>2463115</v>
      </c>
      <c r="DL152" s="1329">
        <v>0</v>
      </c>
      <c r="DM152" s="1329">
        <v>154315</v>
      </c>
      <c r="DN152" s="1329">
        <v>12</v>
      </c>
      <c r="DO152" s="1329">
        <v>564541</v>
      </c>
      <c r="DP152" s="1329">
        <v>29244</v>
      </c>
      <c r="DQ152" s="1329">
        <v>240</v>
      </c>
      <c r="DR152" s="1329">
        <v>3035725</v>
      </c>
      <c r="DS152" s="1329">
        <v>0</v>
      </c>
      <c r="DT152" s="1704">
        <v>0</v>
      </c>
      <c r="DU152" s="1704">
        <v>492</v>
      </c>
      <c r="DV152" s="1704">
        <v>69182</v>
      </c>
      <c r="DW152" s="1329">
        <v>162857</v>
      </c>
      <c r="DX152" s="1329">
        <v>0</v>
      </c>
      <c r="DY152" s="1329">
        <v>28367</v>
      </c>
      <c r="DZ152" s="1329">
        <v>0</v>
      </c>
      <c r="EA152" s="1329">
        <v>10646</v>
      </c>
      <c r="EB152" s="1329">
        <v>69020</v>
      </c>
      <c r="ED152" s="1329">
        <v>683</v>
      </c>
      <c r="EF152" s="1461"/>
      <c r="EG152" s="1461"/>
      <c r="EH152" s="1461"/>
      <c r="EI152" s="1455">
        <v>45826</v>
      </c>
      <c r="EJ152" s="1456">
        <v>1000029103</v>
      </c>
      <c r="EK152" s="700"/>
      <c r="EL152" s="700"/>
      <c r="EM152" s="700"/>
      <c r="EN152" s="700"/>
      <c r="EO152" s="700"/>
      <c r="EP152" s="700"/>
      <c r="EQ152" s="700">
        <v>50000</v>
      </c>
      <c r="ER152" s="700"/>
      <c r="ES152" s="700"/>
      <c r="ET152" s="700"/>
      <c r="EU152" s="700"/>
      <c r="EV152" s="700"/>
      <c r="EW152" s="700"/>
      <c r="EX152" s="700"/>
      <c r="EY152" s="700"/>
      <c r="EZ152" s="700"/>
      <c r="FA152" s="700"/>
      <c r="FB152" s="700"/>
      <c r="FC152" s="1454"/>
      <c r="FD152" s="1462"/>
      <c r="GC152" s="1330"/>
      <c r="GD152" s="1330"/>
      <c r="GE152" s="1330"/>
      <c r="GF152" s="1330"/>
      <c r="GG152" s="1330"/>
      <c r="GH152" s="1330"/>
      <c r="GI152" s="1330"/>
      <c r="GJ152" s="1330"/>
      <c r="GK152" s="1330"/>
    </row>
    <row r="153" s="1329" customFormat="1" ht="24" customHeight="1" spans="3:193">
      <c r="C153" s="1647"/>
      <c r="AA153" s="1741"/>
      <c r="AO153" s="1330"/>
      <c r="BP153" s="1330"/>
      <c r="DK153" s="1707">
        <f>DK152-DK147</f>
        <v>-467926</v>
      </c>
      <c r="DL153" s="1707">
        <f t="shared" ref="DL153:ED153" si="25">DL152-DL147</f>
        <v>0</v>
      </c>
      <c r="DM153" s="1707">
        <f t="shared" si="25"/>
        <v>-34578</v>
      </c>
      <c r="DN153" s="1707">
        <f t="shared" si="25"/>
        <v>12</v>
      </c>
      <c r="DO153" s="1707">
        <f t="shared" si="25"/>
        <v>-111060</v>
      </c>
      <c r="DP153" s="1707">
        <f t="shared" si="25"/>
        <v>0</v>
      </c>
      <c r="DQ153" s="1707">
        <f t="shared" si="25"/>
        <v>240</v>
      </c>
      <c r="DR153" s="1707">
        <f t="shared" si="25"/>
        <v>-479452</v>
      </c>
      <c r="DS153" s="1707">
        <f t="shared" si="25"/>
        <v>0</v>
      </c>
      <c r="DT153" s="1707">
        <f t="shared" si="25"/>
        <v>0</v>
      </c>
      <c r="DU153" s="1707">
        <f t="shared" si="25"/>
        <v>492</v>
      </c>
      <c r="DV153" s="1707">
        <f t="shared" si="25"/>
        <v>-1063</v>
      </c>
      <c r="DW153" s="1707">
        <f t="shared" si="25"/>
        <v>1</v>
      </c>
      <c r="DX153" s="1707">
        <f t="shared" si="25"/>
        <v>0</v>
      </c>
      <c r="DY153" s="1707">
        <f t="shared" si="25"/>
        <v>0</v>
      </c>
      <c r="DZ153" s="1707">
        <f t="shared" si="25"/>
        <v>0</v>
      </c>
      <c r="EA153" s="1707">
        <f t="shared" si="25"/>
        <v>0</v>
      </c>
      <c r="EB153" s="1707">
        <f t="shared" si="25"/>
        <v>-117748</v>
      </c>
      <c r="EC153" s="1707">
        <f t="shared" si="25"/>
        <v>0</v>
      </c>
      <c r="ED153" s="1707">
        <f t="shared" si="25"/>
        <v>0</v>
      </c>
      <c r="EF153" s="1461"/>
      <c r="EG153" s="1461"/>
      <c r="EH153" s="1461"/>
      <c r="EI153" s="1455">
        <v>45826</v>
      </c>
      <c r="EJ153" s="1456">
        <v>1000029104</v>
      </c>
      <c r="EK153" s="700"/>
      <c r="EL153" s="700"/>
      <c r="EM153" s="700"/>
      <c r="EN153" s="700"/>
      <c r="EO153" s="700"/>
      <c r="EP153" s="700"/>
      <c r="EQ153" s="700"/>
      <c r="ER153" s="700"/>
      <c r="ES153" s="700">
        <v>200000</v>
      </c>
      <c r="ET153" s="700"/>
      <c r="EU153" s="700"/>
      <c r="EV153" s="700"/>
      <c r="EW153" s="700"/>
      <c r="EX153" s="700"/>
      <c r="EY153" s="700"/>
      <c r="EZ153" s="700"/>
      <c r="FA153" s="700"/>
      <c r="FB153" s="700"/>
      <c r="FC153" s="1454"/>
      <c r="FD153" s="1462"/>
      <c r="GC153" s="1330"/>
      <c r="GD153" s="1330"/>
      <c r="GE153" s="1330"/>
      <c r="GF153" s="1330"/>
      <c r="GG153" s="1330"/>
      <c r="GH153" s="1330"/>
      <c r="GI153" s="1330"/>
      <c r="GJ153" s="1330"/>
      <c r="GK153" s="1330"/>
    </row>
    <row r="154" s="1329" customFormat="1" ht="24" customHeight="1" spans="3:193">
      <c r="C154" s="1647"/>
      <c r="AA154" s="1741"/>
      <c r="AO154" s="1330"/>
      <c r="BP154" s="1330"/>
      <c r="DP154" s="1746"/>
      <c r="DQ154" s="1746"/>
      <c r="DR154" s="1746"/>
      <c r="EF154" s="1461"/>
      <c r="EG154" s="1461"/>
      <c r="EH154" s="1461"/>
      <c r="EI154" s="1455">
        <v>45828</v>
      </c>
      <c r="EJ154" s="1456"/>
      <c r="EK154" s="700"/>
      <c r="EL154" s="700"/>
      <c r="EM154" s="700"/>
      <c r="EN154" s="700"/>
      <c r="EO154" s="700"/>
      <c r="EP154" s="700"/>
      <c r="EQ154" s="700"/>
      <c r="ER154" s="700"/>
      <c r="ES154" s="700"/>
      <c r="ET154" s="700"/>
      <c r="EU154" s="700"/>
      <c r="EV154" s="700"/>
      <c r="EW154" s="700"/>
      <c r="EX154" s="700"/>
      <c r="EY154" s="700"/>
      <c r="EZ154" s="700">
        <v>4224</v>
      </c>
      <c r="FA154" s="700"/>
      <c r="FB154" s="700"/>
      <c r="FC154" s="1454"/>
      <c r="FD154" s="1462">
        <v>4500170802</v>
      </c>
      <c r="GC154" s="1330"/>
      <c r="GD154" s="1330"/>
      <c r="GE154" s="1330"/>
      <c r="GF154" s="1330"/>
      <c r="GG154" s="1330"/>
      <c r="GH154" s="1330"/>
      <c r="GI154" s="1330"/>
      <c r="GJ154" s="1330"/>
      <c r="GK154" s="1330"/>
    </row>
    <row r="155" s="1329" customFormat="1" ht="24" customHeight="1" spans="3:193">
      <c r="C155" s="1647"/>
      <c r="AA155" s="1741"/>
      <c r="AO155" s="1330"/>
      <c r="BP155" s="1330"/>
      <c r="DP155" s="1746"/>
      <c r="DQ155" s="1746"/>
      <c r="DR155" s="1746"/>
      <c r="EF155" s="1461"/>
      <c r="EG155" s="1461"/>
      <c r="EH155" s="1461"/>
      <c r="EI155" s="1455">
        <v>45834</v>
      </c>
      <c r="EJ155" s="1456">
        <v>1000029254</v>
      </c>
      <c r="EK155" s="700"/>
      <c r="EL155" s="700"/>
      <c r="EM155" s="700"/>
      <c r="EN155" s="700"/>
      <c r="EO155" s="700"/>
      <c r="EP155" s="700"/>
      <c r="EQ155" s="700"/>
      <c r="ER155" s="700"/>
      <c r="ES155" s="700"/>
      <c r="ET155" s="700"/>
      <c r="EU155" s="700"/>
      <c r="EV155" s="700"/>
      <c r="EW155" s="700"/>
      <c r="EX155" s="700"/>
      <c r="EY155" s="700"/>
      <c r="EZ155" s="700"/>
      <c r="FA155" s="700"/>
      <c r="FB155" s="700">
        <v>13140</v>
      </c>
      <c r="FC155" s="1454"/>
      <c r="FD155" s="1462" t="s">
        <v>12128</v>
      </c>
      <c r="GC155" s="1330"/>
      <c r="GD155" s="1330"/>
      <c r="GE155" s="1330"/>
      <c r="GF155" s="1330"/>
      <c r="GG155" s="1330"/>
      <c r="GH155" s="1330"/>
      <c r="GI155" s="1330"/>
      <c r="GJ155" s="1330"/>
      <c r="GK155" s="1330"/>
    </row>
    <row r="156" s="1329" customFormat="1" ht="24" customHeight="1" spans="3:193">
      <c r="C156" s="1647"/>
      <c r="AA156" s="1741"/>
      <c r="AO156" s="1330"/>
      <c r="BP156" s="1330"/>
      <c r="DP156" s="1746"/>
      <c r="DQ156" s="1746"/>
      <c r="DR156" s="1746"/>
      <c r="EF156" s="1461"/>
      <c r="EG156" s="1461"/>
      <c r="EH156" s="1461"/>
      <c r="EI156" s="1455">
        <v>45840</v>
      </c>
      <c r="EJ156" s="1456"/>
      <c r="EK156" s="700"/>
      <c r="EL156" s="700"/>
      <c r="EM156" s="700"/>
      <c r="EN156" s="700"/>
      <c r="EO156" s="700"/>
      <c r="EP156" s="700"/>
      <c r="EQ156" s="700"/>
      <c r="ER156" s="700"/>
      <c r="ES156" s="700"/>
      <c r="ET156" s="700"/>
      <c r="EU156" s="700"/>
      <c r="EV156" s="700"/>
      <c r="EW156" s="700"/>
      <c r="EX156" s="700"/>
      <c r="EY156" s="700"/>
      <c r="EZ156" s="700">
        <v>3648</v>
      </c>
      <c r="FA156" s="700"/>
      <c r="FB156" s="700"/>
      <c r="FC156" s="1454"/>
      <c r="FD156" s="1462">
        <v>4500172341</v>
      </c>
    </row>
    <row r="157" s="1329" customFormat="1" ht="24" customHeight="1" spans="3:193">
      <c r="C157" s="1647"/>
      <c r="AA157" s="1741"/>
      <c r="AO157" s="1330"/>
      <c r="BP157" s="1330"/>
      <c r="DE157" s="1330"/>
      <c r="DP157" s="1746"/>
      <c r="DQ157" s="1746"/>
      <c r="DR157" s="1746"/>
      <c r="EF157" s="1461"/>
      <c r="EG157" s="1461"/>
      <c r="EH157" s="1461"/>
      <c r="EI157" s="1455">
        <v>45852</v>
      </c>
      <c r="EJ157" s="1456"/>
      <c r="EK157" s="700"/>
      <c r="EL157" s="700"/>
      <c r="EM157" s="700"/>
      <c r="EN157" s="700"/>
      <c r="EO157" s="700"/>
      <c r="EP157" s="700"/>
      <c r="EQ157" s="700"/>
      <c r="ER157" s="700"/>
      <c r="ES157" s="700"/>
      <c r="ET157" s="700"/>
      <c r="EU157" s="700"/>
      <c r="EV157" s="700"/>
      <c r="EW157" s="700"/>
      <c r="EX157" s="700"/>
      <c r="EY157" s="700">
        <v>1500</v>
      </c>
      <c r="EZ157" s="700"/>
      <c r="FA157" s="700"/>
      <c r="FB157" s="700"/>
      <c r="FC157" s="1454"/>
      <c r="FD157" s="1462">
        <v>4500173473</v>
      </c>
    </row>
    <row r="158" s="1329" customFormat="1" ht="24" customHeight="1" spans="3:193">
      <c r="C158" s="1647"/>
      <c r="AA158" s="1741"/>
      <c r="AO158" s="1330"/>
      <c r="BP158" s="1330"/>
      <c r="DE158" s="1330"/>
      <c r="DP158" s="1746"/>
      <c r="DQ158" s="1746"/>
      <c r="DR158" s="1746"/>
      <c r="EF158" s="1461"/>
      <c r="EG158" s="1461"/>
      <c r="EH158" s="1461"/>
      <c r="EI158" s="1455">
        <v>45853</v>
      </c>
      <c r="EJ158" s="1456"/>
      <c r="EK158" s="700"/>
      <c r="EL158" s="700"/>
      <c r="EM158" s="700"/>
      <c r="EN158" s="700"/>
      <c r="EO158" s="700"/>
      <c r="EP158" s="700"/>
      <c r="EQ158" s="700"/>
      <c r="ER158" s="700"/>
      <c r="ES158" s="700"/>
      <c r="ET158" s="700"/>
      <c r="EU158" s="700"/>
      <c r="EV158" s="700"/>
      <c r="EW158" s="700"/>
      <c r="EX158" s="700"/>
      <c r="EY158" s="700"/>
      <c r="EZ158" s="700">
        <v>11520</v>
      </c>
      <c r="FA158" s="700"/>
      <c r="FB158" s="700"/>
      <c r="FC158" s="1454"/>
      <c r="FD158" s="1462">
        <v>4500173940</v>
      </c>
    </row>
    <row r="159" s="1329" customFormat="1" ht="24" customHeight="1" spans="3:193">
      <c r="C159" s="1647"/>
      <c r="AA159" s="1741"/>
      <c r="AO159" s="1330"/>
      <c r="BP159" s="1330"/>
      <c r="DE159" s="1330"/>
      <c r="DP159" s="1746"/>
      <c r="DQ159" s="1746"/>
      <c r="DR159" s="1746"/>
      <c r="EF159" s="1461"/>
      <c r="EG159" s="1461"/>
      <c r="EH159" s="1461"/>
      <c r="EI159" s="1455">
        <v>45856</v>
      </c>
      <c r="EJ159" s="1456">
        <v>1000030275</v>
      </c>
      <c r="EK159" s="700"/>
      <c r="EL159" s="700"/>
      <c r="EM159" s="718"/>
      <c r="EN159" s="700">
        <v>100000</v>
      </c>
      <c r="EO159" s="700"/>
      <c r="EP159" s="700"/>
      <c r="EQ159" s="700"/>
      <c r="ER159" s="700"/>
      <c r="ES159" s="700"/>
      <c r="ET159" s="700"/>
      <c r="EU159" s="700"/>
      <c r="EV159" s="700"/>
      <c r="EW159" s="700"/>
      <c r="EX159" s="700"/>
      <c r="EY159" s="700"/>
      <c r="EZ159" s="700"/>
      <c r="FA159" s="700"/>
      <c r="FB159" s="700"/>
      <c r="FC159" s="1747"/>
      <c r="FD159" s="1748"/>
    </row>
    <row r="160" s="1329" customFormat="1" ht="24" customHeight="1" spans="3:193">
      <c r="C160" s="1647"/>
      <c r="AA160" s="1741"/>
      <c r="AO160" s="1330"/>
      <c r="BP160" s="1330"/>
      <c r="DE160" s="1330"/>
      <c r="DP160" s="1746"/>
      <c r="DQ160" s="1746"/>
      <c r="DR160" s="1746"/>
      <c r="EF160" s="1461"/>
      <c r="EG160" s="1461"/>
      <c r="EH160" s="1461"/>
      <c r="EI160" s="1455">
        <v>45856</v>
      </c>
      <c r="EJ160" s="1456">
        <v>1000030276</v>
      </c>
      <c r="EK160" s="700"/>
      <c r="EL160" s="700"/>
      <c r="EM160" s="718"/>
      <c r="EN160" s="700"/>
      <c r="EO160" s="700"/>
      <c r="EP160" s="700"/>
      <c r="EQ160" s="700"/>
      <c r="ER160" s="700"/>
      <c r="ES160" s="700">
        <v>150000</v>
      </c>
      <c r="ET160" s="700"/>
      <c r="EU160" s="700"/>
      <c r="EV160" s="700"/>
      <c r="EW160" s="700"/>
      <c r="EX160" s="700"/>
      <c r="EY160" s="700"/>
      <c r="EZ160" s="700"/>
      <c r="FA160" s="700"/>
      <c r="FB160" s="700"/>
      <c r="FC160" s="1747"/>
      <c r="FD160" s="1748"/>
      <c r="FH160" s="1330"/>
      <c r="FI160" s="1330"/>
      <c r="FJ160" s="1330"/>
      <c r="FK160" s="1330"/>
      <c r="FL160" s="1330"/>
      <c r="FM160" s="1330"/>
      <c r="FN160" s="1330"/>
      <c r="FO160" s="1330"/>
      <c r="FP160" s="1330"/>
      <c r="FQ160" s="1330"/>
      <c r="FR160" s="1330"/>
      <c r="FS160" s="1330"/>
      <c r="FT160" s="1330"/>
      <c r="FU160" s="1330"/>
      <c r="FV160" s="1330"/>
      <c r="FW160" s="1330"/>
      <c r="FX160" s="1330"/>
      <c r="FY160" s="1330"/>
    </row>
    <row r="161" s="1329" customFormat="1" ht="24" customHeight="1" spans="3:160">
      <c r="C161" s="1647"/>
      <c r="AA161" s="1741"/>
      <c r="AO161" s="1330"/>
      <c r="BP161" s="1330"/>
      <c r="DE161" s="1330"/>
      <c r="DP161" s="1746"/>
      <c r="DQ161" s="1746"/>
      <c r="DR161" s="1746"/>
      <c r="EF161" s="1461"/>
      <c r="EG161" s="1461"/>
      <c r="EH161" s="1461"/>
      <c r="EI161" s="1455">
        <v>45856</v>
      </c>
      <c r="EJ161" s="1456">
        <v>1000030277</v>
      </c>
      <c r="EK161" s="700"/>
      <c r="EL161" s="700"/>
      <c r="EM161" s="718"/>
      <c r="EN161" s="700"/>
      <c r="EO161" s="700"/>
      <c r="EP161" s="700"/>
      <c r="EQ161" s="700"/>
      <c r="ER161" s="700"/>
      <c r="ES161" s="700"/>
      <c r="ET161" s="700"/>
      <c r="EU161" s="700">
        <v>2000</v>
      </c>
      <c r="EV161" s="700"/>
      <c r="EW161" s="700"/>
      <c r="EX161" s="700"/>
      <c r="EY161" s="700"/>
      <c r="EZ161" s="700"/>
      <c r="FA161" s="700"/>
      <c r="FB161" s="700"/>
      <c r="FC161" s="1747"/>
      <c r="FD161" s="1748"/>
    </row>
    <row r="162" s="1329" customFormat="1" ht="24" customHeight="1" spans="3:160">
      <c r="C162" s="1647"/>
      <c r="AA162" s="1741"/>
      <c r="AO162" s="1330"/>
      <c r="BP162" s="1330"/>
      <c r="DP162" s="1746"/>
      <c r="DQ162" s="1746"/>
      <c r="DR162" s="1746"/>
      <c r="EF162" s="1461"/>
      <c r="EG162" s="1461"/>
      <c r="EH162" s="1461"/>
      <c r="EI162" s="1455">
        <v>45862</v>
      </c>
      <c r="EJ162" s="1456">
        <v>1000030319</v>
      </c>
      <c r="EK162" s="700"/>
      <c r="EL162" s="700"/>
      <c r="EM162" s="700"/>
      <c r="EN162" s="700"/>
      <c r="EO162" s="700"/>
      <c r="EP162" s="700"/>
      <c r="EQ162" s="700"/>
      <c r="ER162" s="700"/>
      <c r="ES162" s="700"/>
      <c r="ET162" s="700"/>
      <c r="EU162" s="700"/>
      <c r="EV162" s="700"/>
      <c r="EW162" s="700"/>
      <c r="EX162" s="700"/>
      <c r="EY162" s="700"/>
      <c r="EZ162" s="700"/>
      <c r="FA162" s="700"/>
      <c r="FB162" s="700">
        <v>500</v>
      </c>
      <c r="FC162" s="1747"/>
      <c r="FD162" s="1748" t="s">
        <v>12129</v>
      </c>
    </row>
    <row r="163" s="1329" customFormat="1" ht="24" customHeight="1" spans="3:160">
      <c r="C163" s="1647"/>
      <c r="AA163" s="1741"/>
      <c r="AO163" s="1330"/>
      <c r="BP163" s="1330"/>
      <c r="DG163" s="1330"/>
      <c r="DH163" s="1330"/>
      <c r="DI163" s="1330"/>
      <c r="DJ163" s="1330"/>
      <c r="DK163" s="1330"/>
      <c r="DL163" s="1330"/>
      <c r="DM163" s="1330"/>
      <c r="DN163" s="1330"/>
      <c r="DO163" s="1330"/>
      <c r="DP163" s="1749"/>
      <c r="DQ163" s="1749"/>
      <c r="DR163" s="1749"/>
      <c r="DS163" s="1330"/>
      <c r="DT163" s="1330"/>
      <c r="DU163" s="1330"/>
      <c r="DV163" s="1330"/>
      <c r="DW163" s="1330"/>
      <c r="DX163" s="1330"/>
      <c r="DY163" s="1330"/>
      <c r="DZ163" s="1330"/>
      <c r="EA163" s="1330"/>
      <c r="EB163" s="1330"/>
      <c r="EC163" s="1330"/>
      <c r="ED163" s="1330"/>
      <c r="EF163" s="1461"/>
      <c r="EG163" s="1461"/>
      <c r="EH163" s="1461"/>
      <c r="EI163" s="1455">
        <v>45874</v>
      </c>
      <c r="EJ163" s="1456">
        <v>1000030719</v>
      </c>
      <c r="EK163" s="700"/>
      <c r="EL163" s="700"/>
      <c r="EM163" s="700"/>
      <c r="EN163" s="700"/>
      <c r="EO163" s="700"/>
      <c r="EP163" s="700"/>
      <c r="EQ163" s="700"/>
      <c r="ER163" s="700"/>
      <c r="ES163" s="700"/>
      <c r="ET163" s="700"/>
      <c r="EU163" s="700"/>
      <c r="EV163" s="700"/>
      <c r="EW163" s="700"/>
      <c r="EX163" s="700"/>
      <c r="EY163" s="700"/>
      <c r="EZ163" s="700">
        <v>960</v>
      </c>
      <c r="FA163" s="700"/>
      <c r="FB163" s="700"/>
      <c r="FC163" s="1454"/>
      <c r="FD163" s="1748" t="s">
        <v>12130</v>
      </c>
    </row>
    <row r="164" s="1329" customFormat="1" ht="24" customHeight="1" spans="3:160">
      <c r="C164" s="1647"/>
      <c r="AA164" s="1741"/>
      <c r="AO164" s="1330"/>
      <c r="DG164" s="1330"/>
      <c r="DH164" s="1330"/>
      <c r="DI164" s="1330"/>
      <c r="DJ164" s="1330"/>
      <c r="DK164" s="1330"/>
      <c r="DL164" s="1330"/>
      <c r="DM164" s="1330"/>
      <c r="DN164" s="1330"/>
      <c r="DO164" s="1330"/>
      <c r="DP164" s="1749"/>
      <c r="DQ164" s="1749"/>
      <c r="DR164" s="1749"/>
      <c r="DS164" s="1330"/>
      <c r="DT164" s="1330"/>
      <c r="DU164" s="1330"/>
      <c r="DV164" s="1330"/>
      <c r="DW164" s="1330"/>
      <c r="DX164" s="1330"/>
      <c r="DY164" s="1330"/>
      <c r="DZ164" s="1330"/>
      <c r="EA164" s="1330"/>
      <c r="EB164" s="1330"/>
      <c r="EC164" s="1330"/>
      <c r="ED164" s="1330"/>
      <c r="EF164" s="1461"/>
      <c r="EG164" s="1461"/>
      <c r="EH164" s="1461"/>
      <c r="EI164" s="1455">
        <v>45887</v>
      </c>
      <c r="EJ164" s="1456"/>
      <c r="EK164" s="700"/>
      <c r="EL164" s="700"/>
      <c r="EM164" s="700"/>
      <c r="EN164" s="700"/>
      <c r="EO164" s="700"/>
      <c r="EP164" s="700"/>
      <c r="EQ164" s="700"/>
      <c r="ER164" s="700"/>
      <c r="ES164" s="700"/>
      <c r="ET164" s="700"/>
      <c r="EU164" s="700"/>
      <c r="EV164" s="700"/>
      <c r="EW164" s="700"/>
      <c r="EX164" s="700"/>
      <c r="EY164" s="700"/>
      <c r="EZ164" s="700">
        <v>5184</v>
      </c>
      <c r="FA164" s="700"/>
      <c r="FB164" s="700"/>
      <c r="FC164" s="1454"/>
      <c r="FD164" s="1748">
        <v>4500177190</v>
      </c>
    </row>
    <row r="165" s="1329" customFormat="1" ht="24" customHeight="1" spans="3:160">
      <c r="C165" s="1647"/>
      <c r="AA165" s="1741"/>
      <c r="AO165" s="1330"/>
      <c r="DG165" s="1330"/>
      <c r="DH165" s="1330"/>
      <c r="DI165" s="1330"/>
      <c r="DJ165" s="1330"/>
      <c r="DK165" s="1330"/>
      <c r="DL165" s="1330"/>
      <c r="DM165" s="1330"/>
      <c r="DN165" s="1330"/>
      <c r="DO165" s="1330"/>
      <c r="DP165" s="1749"/>
      <c r="DQ165" s="1749"/>
      <c r="DR165" s="1749"/>
      <c r="DS165" s="1330"/>
      <c r="DT165" s="1330"/>
      <c r="DU165" s="1330"/>
      <c r="DV165" s="1330"/>
      <c r="DW165" s="1330"/>
      <c r="DX165" s="1330"/>
      <c r="DY165" s="1330"/>
      <c r="DZ165" s="1330"/>
      <c r="EA165" s="1330"/>
      <c r="EB165" s="1330"/>
      <c r="EC165" s="1330"/>
      <c r="ED165" s="1330"/>
      <c r="EF165" s="1461"/>
      <c r="EG165" s="1461"/>
      <c r="EH165" s="1461"/>
      <c r="EI165" s="1455">
        <v>45895</v>
      </c>
      <c r="EJ165" s="1456">
        <v>1000031456</v>
      </c>
      <c r="EK165" s="700"/>
      <c r="EL165" s="700"/>
      <c r="EM165" s="700"/>
      <c r="EN165" s="700"/>
      <c r="EO165" s="700"/>
      <c r="EP165" s="700"/>
      <c r="EQ165" s="700">
        <v>30000</v>
      </c>
      <c r="ER165" s="700"/>
      <c r="ES165" s="700"/>
      <c r="ET165" s="700"/>
      <c r="EU165" s="700"/>
      <c r="EV165" s="700"/>
      <c r="EW165" s="700"/>
      <c r="EX165" s="700"/>
      <c r="EY165" s="700"/>
      <c r="EZ165" s="700"/>
      <c r="FA165" s="700"/>
      <c r="FB165" s="700"/>
      <c r="FC165" s="1454"/>
      <c r="FD165" s="1748"/>
    </row>
    <row r="166" s="1329" customFormat="1" ht="24" customHeight="1" spans="3:160">
      <c r="C166" s="1647"/>
      <c r="AA166" s="1741"/>
      <c r="AO166" s="1330"/>
      <c r="DG166" s="1330"/>
      <c r="DH166" s="1330"/>
      <c r="DI166" s="1330"/>
      <c r="DJ166" s="1330"/>
      <c r="DK166" s="1330"/>
      <c r="DL166" s="1330"/>
      <c r="DM166" s="1330"/>
      <c r="DN166" s="1330"/>
      <c r="DO166" s="1330"/>
      <c r="DP166" s="1749"/>
      <c r="DQ166" s="1749"/>
      <c r="DR166" s="1749"/>
      <c r="DS166" s="1330"/>
      <c r="DT166" s="1330"/>
      <c r="DU166" s="1330"/>
      <c r="DV166" s="1330"/>
      <c r="DW166" s="1330"/>
      <c r="DX166" s="1330"/>
      <c r="DY166" s="1330"/>
      <c r="DZ166" s="1330"/>
      <c r="EA166" s="1330"/>
      <c r="EB166" s="1330"/>
      <c r="EC166" s="1330"/>
      <c r="ED166" s="1330"/>
      <c r="EF166" s="1461"/>
      <c r="EG166" s="1461"/>
      <c r="EH166" s="1461"/>
      <c r="EI166" s="1455">
        <v>45895</v>
      </c>
      <c r="EJ166" s="1456">
        <v>1000031457</v>
      </c>
      <c r="EK166" s="700"/>
      <c r="EL166" s="700"/>
      <c r="EM166" s="700"/>
      <c r="EN166" s="700"/>
      <c r="EO166" s="700"/>
      <c r="EP166" s="700"/>
      <c r="EQ166" s="700"/>
      <c r="ER166" s="700"/>
      <c r="ES166" s="700">
        <v>100000</v>
      </c>
      <c r="ET166" s="700"/>
      <c r="EU166" s="700"/>
      <c r="EV166" s="700"/>
      <c r="EW166" s="700"/>
      <c r="EX166" s="700"/>
      <c r="EY166" s="700"/>
      <c r="EZ166" s="700"/>
      <c r="FA166" s="700"/>
      <c r="FB166" s="700"/>
      <c r="FC166" s="1454"/>
      <c r="FD166" s="1748"/>
    </row>
    <row r="167" s="1329" customFormat="1" ht="24" customHeight="1" spans="3:160">
      <c r="C167" s="1647"/>
      <c r="AA167" s="1741"/>
      <c r="AN167" s="1741"/>
      <c r="AO167" s="1330"/>
      <c r="BZ167" s="1330"/>
      <c r="DP167" s="1746"/>
      <c r="DQ167" s="1746"/>
      <c r="DR167" s="1746"/>
      <c r="EF167" s="1461"/>
      <c r="EG167" s="1461"/>
      <c r="EH167" s="1461"/>
      <c r="EI167" s="1455">
        <v>45895</v>
      </c>
      <c r="EJ167" s="1456">
        <v>1000031458</v>
      </c>
      <c r="EK167" s="700"/>
      <c r="EL167" s="700"/>
      <c r="EM167" s="700"/>
      <c r="EN167" s="700"/>
      <c r="EO167" s="700"/>
      <c r="EP167" s="700"/>
      <c r="EQ167" s="700"/>
      <c r="ER167" s="700"/>
      <c r="ES167" s="700"/>
      <c r="ET167" s="700"/>
      <c r="EU167" s="700">
        <v>3000</v>
      </c>
      <c r="EV167" s="700"/>
      <c r="EW167" s="700"/>
      <c r="EX167" s="700"/>
      <c r="EY167" s="700"/>
      <c r="EZ167" s="700"/>
      <c r="FA167" s="700"/>
      <c r="FB167" s="700"/>
      <c r="FC167" s="1454"/>
      <c r="FD167" s="1748"/>
    </row>
    <row r="168" s="1329" customFormat="1" ht="24" customHeight="1" spans="3:160">
      <c r="C168" s="1647"/>
      <c r="AA168" s="1741"/>
      <c r="AN168" s="1741"/>
      <c r="AO168" s="1330"/>
      <c r="BZ168" s="1330"/>
      <c r="DP168" s="1746"/>
      <c r="DQ168" s="1746"/>
      <c r="DR168" s="1746"/>
      <c r="EF168" s="1461"/>
      <c r="EG168" s="1461"/>
      <c r="EH168" s="1461"/>
      <c r="EI168" s="1455">
        <v>45898</v>
      </c>
      <c r="EJ168" s="1456">
        <v>1000031600</v>
      </c>
      <c r="EK168" s="700"/>
      <c r="EL168" s="700"/>
      <c r="EM168" s="700"/>
      <c r="EN168" s="700"/>
      <c r="EO168" s="700"/>
      <c r="EP168" s="700"/>
      <c r="EQ168" s="700"/>
      <c r="ER168" s="700"/>
      <c r="ES168" s="700"/>
      <c r="ET168" s="700"/>
      <c r="EU168" s="700"/>
      <c r="EV168" s="700"/>
      <c r="EW168" s="700"/>
      <c r="EX168" s="700"/>
      <c r="EY168" s="700"/>
      <c r="EZ168" s="700">
        <v>8064</v>
      </c>
      <c r="FA168" s="700"/>
      <c r="FB168" s="700"/>
      <c r="FC168" s="1454"/>
      <c r="FD168" s="1748" t="s">
        <v>12131</v>
      </c>
    </row>
    <row r="169" s="1329" customFormat="1" ht="24" customHeight="1" spans="3:160">
      <c r="C169" s="1647"/>
      <c r="AA169" s="1741"/>
      <c r="AN169" s="1741"/>
      <c r="AO169" s="1330"/>
      <c r="BZ169" s="1330"/>
      <c r="DP169" s="1746"/>
      <c r="DQ169" s="1746"/>
      <c r="DR169" s="1746"/>
      <c r="EF169" s="1461"/>
      <c r="EG169" s="1461"/>
      <c r="EH169" s="1461"/>
      <c r="EI169" s="1455">
        <v>45910</v>
      </c>
      <c r="EJ169" s="1456">
        <v>1000031904</v>
      </c>
      <c r="EK169" s="700"/>
      <c r="EL169" s="700"/>
      <c r="EM169" s="700"/>
      <c r="EN169" s="700"/>
      <c r="EO169" s="700"/>
      <c r="EP169" s="700"/>
      <c r="EQ169" s="700"/>
      <c r="ER169" s="700"/>
      <c r="ES169" s="700">
        <v>100000</v>
      </c>
      <c r="ET169" s="700"/>
      <c r="EU169" s="700"/>
      <c r="EV169" s="700"/>
      <c r="EW169" s="700"/>
      <c r="EX169" s="700"/>
      <c r="EY169" s="700"/>
      <c r="EZ169" s="700"/>
      <c r="FA169" s="700"/>
      <c r="FB169" s="700"/>
      <c r="FC169" s="1454"/>
      <c r="FD169" s="1462"/>
    </row>
    <row r="170" s="1329" customFormat="1" ht="24" customHeight="1" spans="3:160">
      <c r="C170" s="1647"/>
      <c r="AA170" s="1741"/>
      <c r="AN170" s="1741"/>
      <c r="AO170" s="1330"/>
      <c r="BZ170" s="1330"/>
      <c r="DP170" s="1746"/>
      <c r="DQ170" s="1746"/>
      <c r="DR170" s="1746"/>
      <c r="EF170" s="1461"/>
      <c r="EG170" s="1461"/>
      <c r="EH170" s="1461"/>
      <c r="EI170" s="1455">
        <v>45910</v>
      </c>
      <c r="EJ170" s="700">
        <v>1000031905</v>
      </c>
      <c r="EK170" s="1491"/>
      <c r="EL170" s="1445"/>
      <c r="EM170" s="1445"/>
      <c r="EN170" s="1445"/>
      <c r="EO170" s="1445"/>
      <c r="EP170" s="1445"/>
      <c r="EQ170" s="1445"/>
      <c r="ER170" s="1445"/>
      <c r="ES170" s="1445"/>
      <c r="ET170" s="1445"/>
      <c r="EU170" s="1445">
        <v>2000</v>
      </c>
      <c r="EV170" s="1445"/>
      <c r="EW170" s="1445"/>
      <c r="EX170" s="1445"/>
      <c r="EY170" s="1445"/>
      <c r="EZ170" s="1445"/>
      <c r="FA170" s="1445"/>
      <c r="FB170" s="1445"/>
      <c r="FC170" s="1750"/>
      <c r="FD170" s="1462"/>
    </row>
    <row r="171" s="1329" customFormat="1" ht="24" customHeight="1" spans="3:160">
      <c r="C171" s="1647"/>
      <c r="AA171" s="1741"/>
      <c r="AN171" s="1741"/>
      <c r="AO171" s="1330"/>
      <c r="BZ171" s="1330"/>
      <c r="DP171" s="1746"/>
      <c r="DQ171" s="1746"/>
      <c r="DR171" s="1746"/>
      <c r="EF171" s="1461"/>
      <c r="EG171" s="1461"/>
      <c r="EH171" s="1461"/>
      <c r="EI171" s="1455">
        <v>45910</v>
      </c>
      <c r="EJ171" s="700">
        <v>1000031907</v>
      </c>
      <c r="EK171" s="1491"/>
      <c r="EL171" s="1445"/>
      <c r="EM171" s="1445"/>
      <c r="EN171" s="1445">
        <v>100000</v>
      </c>
      <c r="EO171" s="1445"/>
      <c r="EP171" s="1445"/>
      <c r="EQ171" s="1445"/>
      <c r="ER171" s="1445"/>
      <c r="ES171" s="1445"/>
      <c r="ET171" s="1445"/>
      <c r="EU171" s="1445"/>
      <c r="EV171" s="1445"/>
      <c r="EW171" s="1445"/>
      <c r="EX171" s="1445"/>
      <c r="EY171" s="1445"/>
      <c r="EZ171" s="1445"/>
      <c r="FA171" s="1445"/>
      <c r="FB171" s="1445"/>
      <c r="FC171" s="1750"/>
      <c r="FD171" s="1462"/>
    </row>
    <row r="172" s="1329" customFormat="1" ht="24" customHeight="1" spans="3:160">
      <c r="C172" s="1647"/>
      <c r="AA172" s="1741"/>
      <c r="AN172" s="1741"/>
      <c r="AO172" s="1330"/>
      <c r="BZ172" s="1330"/>
      <c r="DP172" s="1746"/>
      <c r="DQ172" s="1746"/>
      <c r="DR172" s="1746"/>
      <c r="EF172" s="1461"/>
      <c r="EG172" s="1461"/>
      <c r="EH172" s="1461"/>
      <c r="EI172" s="1455">
        <v>45925</v>
      </c>
      <c r="EJ172" s="700">
        <v>1000032382</v>
      </c>
      <c r="EK172" s="1491"/>
      <c r="EL172" s="1445"/>
      <c r="EM172" s="1445"/>
      <c r="EN172" s="1445">
        <v>110000</v>
      </c>
      <c r="EO172" s="1445"/>
      <c r="EP172" s="1445"/>
      <c r="EQ172" s="1445"/>
      <c r="ER172" s="1445"/>
      <c r="ES172" s="1445"/>
      <c r="ET172" s="1445"/>
      <c r="EU172" s="1445"/>
      <c r="EV172" s="1445"/>
      <c r="EW172" s="1445"/>
      <c r="EX172" s="1445"/>
      <c r="EY172" s="1445"/>
      <c r="EZ172" s="1445"/>
      <c r="FA172" s="1445"/>
      <c r="FB172" s="1445"/>
      <c r="FC172" s="1750"/>
      <c r="FD172" s="1462"/>
    </row>
    <row r="173" s="1329" customFormat="1" ht="24" customHeight="1" spans="3:160">
      <c r="C173" s="1647"/>
      <c r="AA173" s="1741"/>
      <c r="AN173" s="1741"/>
      <c r="AO173" s="1330"/>
      <c r="BZ173" s="1330"/>
      <c r="DP173" s="1746"/>
      <c r="DQ173" s="1746"/>
      <c r="DR173" s="1746"/>
      <c r="EE173" s="1330"/>
      <c r="EF173" s="1461"/>
      <c r="EG173" s="1461"/>
      <c r="EH173" s="1461"/>
      <c r="EI173" s="1455">
        <v>45925</v>
      </c>
      <c r="EJ173" s="700">
        <v>1000032383</v>
      </c>
      <c r="EK173" s="1491"/>
      <c r="EL173" s="1445"/>
      <c r="EM173" s="1445"/>
      <c r="EN173" s="1445"/>
      <c r="EO173" s="1445"/>
      <c r="EP173" s="1445"/>
      <c r="EQ173" s="1445">
        <v>30000</v>
      </c>
      <c r="ER173" s="1445"/>
      <c r="ES173" s="1445"/>
      <c r="ET173" s="1445"/>
      <c r="EU173" s="1445"/>
      <c r="EV173" s="1445"/>
      <c r="EW173" s="1445"/>
      <c r="EX173" s="1445"/>
      <c r="EY173" s="1445"/>
      <c r="EZ173" s="1445"/>
      <c r="FA173" s="1445"/>
      <c r="FB173" s="1445"/>
      <c r="FC173" s="1750"/>
      <c r="FD173" s="1462"/>
    </row>
    <row r="174" s="1329" customFormat="1" ht="24" customHeight="1" spans="3:160">
      <c r="C174" s="1647"/>
      <c r="AA174" s="1741"/>
      <c r="AN174" s="1741"/>
      <c r="AO174" s="1330"/>
      <c r="BZ174" s="1330"/>
      <c r="DP174" s="1746"/>
      <c r="DQ174" s="1746"/>
      <c r="DR174" s="1746"/>
      <c r="EE174" s="1330"/>
      <c r="EF174" s="1461"/>
      <c r="EG174" s="1461"/>
      <c r="EH174" s="1461"/>
      <c r="EI174" s="1455">
        <v>45925</v>
      </c>
      <c r="EJ174" s="700">
        <v>1000032384</v>
      </c>
      <c r="EK174" s="1491"/>
      <c r="EL174" s="1445"/>
      <c r="EM174" s="1445"/>
      <c r="EN174" s="1445"/>
      <c r="EO174" s="1445"/>
      <c r="EP174" s="1445"/>
      <c r="EQ174" s="1445"/>
      <c r="ER174" s="1445"/>
      <c r="ES174" s="1445"/>
      <c r="ET174" s="1445"/>
      <c r="EU174" s="1445"/>
      <c r="EV174" s="1445"/>
      <c r="EW174" s="1445">
        <v>5000</v>
      </c>
      <c r="EX174" s="1445"/>
      <c r="EY174" s="1445"/>
      <c r="EZ174" s="1445"/>
      <c r="FA174" s="1445"/>
      <c r="FB174" s="1445"/>
      <c r="FC174" s="1750"/>
      <c r="FD174" s="1462"/>
    </row>
    <row r="175" s="1329" customFormat="1" ht="24" customHeight="1" spans="3:160">
      <c r="C175" s="1647"/>
      <c r="AA175" s="1741"/>
      <c r="AN175" s="1741"/>
      <c r="AO175" s="1330"/>
      <c r="BZ175" s="1330"/>
      <c r="DP175" s="1746"/>
      <c r="DQ175" s="1746"/>
      <c r="DR175" s="1746"/>
      <c r="EE175" s="1330"/>
      <c r="EF175" s="1461"/>
      <c r="EG175" s="1461"/>
      <c r="EH175" s="1461"/>
      <c r="EI175" s="1455">
        <v>45939</v>
      </c>
      <c r="EJ175" s="700">
        <v>1000032752</v>
      </c>
      <c r="EK175" s="1491"/>
      <c r="EL175" s="1445"/>
      <c r="EM175" s="1445"/>
      <c r="EN175" s="1445"/>
      <c r="EO175" s="1445"/>
      <c r="EP175" s="1445"/>
      <c r="EQ175" s="1445"/>
      <c r="ER175" s="1445"/>
      <c r="ES175" s="1445"/>
      <c r="ET175" s="1445"/>
      <c r="EU175" s="1445">
        <v>10000</v>
      </c>
      <c r="EV175" s="1445"/>
      <c r="EW175" s="1445"/>
      <c r="EX175" s="1445"/>
      <c r="EY175" s="1445"/>
      <c r="EZ175" s="1445"/>
      <c r="FA175" s="1445"/>
      <c r="FB175" s="1445"/>
      <c r="FC175" s="1750"/>
      <c r="FD175" s="1462"/>
    </row>
    <row r="176" s="1329" customFormat="1" ht="24" customHeight="1" spans="3:160">
      <c r="C176" s="1647"/>
      <c r="AA176" s="1741"/>
      <c r="AN176" s="1741"/>
      <c r="AO176" s="1330"/>
      <c r="BZ176" s="1330"/>
      <c r="DP176" s="1746"/>
      <c r="DQ176" s="1746"/>
      <c r="DR176" s="1746"/>
      <c r="EE176" s="1330"/>
      <c r="EF176" s="1461"/>
      <c r="EG176" s="1461"/>
      <c r="EH176" s="1461"/>
      <c r="EI176" s="1455">
        <v>45967</v>
      </c>
      <c r="EJ176" s="700">
        <v>1000033789</v>
      </c>
      <c r="EK176" s="1491"/>
      <c r="EL176" s="1445"/>
      <c r="EM176" s="1445"/>
      <c r="EN176" s="1445"/>
      <c r="EO176" s="1445"/>
      <c r="EP176" s="1445"/>
      <c r="EQ176" s="1445"/>
      <c r="ER176" s="1445"/>
      <c r="ES176" s="1445">
        <v>100000</v>
      </c>
      <c r="ET176" s="1445"/>
      <c r="EU176" s="1445"/>
      <c r="EV176" s="1445"/>
      <c r="EW176" s="1445"/>
      <c r="EX176" s="1445"/>
      <c r="EY176" s="1445"/>
      <c r="EZ176" s="1445"/>
      <c r="FA176" s="1445"/>
      <c r="FB176" s="1445"/>
      <c r="FC176" s="1750"/>
      <c r="FD176" s="1462"/>
    </row>
    <row r="177" s="1329" customFormat="1" ht="24" customHeight="1" spans="3:181">
      <c r="C177" s="1647"/>
      <c r="AA177" s="1741"/>
      <c r="AN177" s="1741"/>
      <c r="AO177" s="1330"/>
      <c r="BZ177" s="1330"/>
      <c r="DP177" s="1746"/>
      <c r="DQ177" s="1746"/>
      <c r="DR177" s="1746"/>
      <c r="EE177" s="1330"/>
      <c r="EF177" s="1461"/>
      <c r="EG177" s="1461"/>
      <c r="EH177" s="1461"/>
      <c r="EI177" s="1455">
        <v>45967</v>
      </c>
      <c r="EJ177" s="700">
        <v>1000033790</v>
      </c>
      <c r="EK177" s="1491"/>
      <c r="EL177" s="1445"/>
      <c r="EM177" s="1445"/>
      <c r="EN177" s="1445"/>
      <c r="EO177" s="1445"/>
      <c r="EP177" s="1445"/>
      <c r="EQ177" s="1445"/>
      <c r="ER177" s="1445"/>
      <c r="ES177" s="1445"/>
      <c r="ET177" s="1445"/>
      <c r="EU177" s="1445">
        <v>5000</v>
      </c>
      <c r="EV177" s="1445"/>
      <c r="EW177" s="1445"/>
      <c r="EX177" s="1445"/>
      <c r="EY177" s="1445"/>
      <c r="EZ177" s="1445"/>
      <c r="FA177" s="1445"/>
      <c r="FB177" s="1445"/>
      <c r="FC177" s="1750"/>
      <c r="FD177" s="1462"/>
      <c r="FH177" s="1329">
        <v>120</v>
      </c>
      <c r="FI177" s="1329">
        <v>44</v>
      </c>
      <c r="FJ177" s="1329">
        <f>SUM(FG138:FI138)</f>
        <v>0</v>
      </c>
    </row>
    <row r="178" s="1329" customFormat="1" ht="24" customHeight="1" spans="3:181">
      <c r="C178" s="1647"/>
      <c r="AA178" s="1741"/>
      <c r="AN178" s="1741"/>
      <c r="AO178" s="1330"/>
      <c r="BZ178" s="1330"/>
      <c r="DP178" s="1746"/>
      <c r="DQ178" s="1746"/>
      <c r="DR178" s="1746"/>
      <c r="EE178" s="1330"/>
      <c r="EF178" s="1461"/>
      <c r="EG178" s="1461"/>
      <c r="EH178" s="1461"/>
      <c r="EI178" s="1455">
        <v>45980</v>
      </c>
      <c r="EJ178" s="700">
        <v>1000034225</v>
      </c>
      <c r="EK178" s="1491"/>
      <c r="EL178" s="1445"/>
      <c r="EM178" s="1445"/>
      <c r="EN178" s="1445"/>
      <c r="EO178" s="1445"/>
      <c r="EP178" s="1445"/>
      <c r="EQ178" s="1445"/>
      <c r="ER178" s="1445"/>
      <c r="ES178" s="1445">
        <v>100000</v>
      </c>
      <c r="ET178" s="1445"/>
      <c r="EU178" s="1445"/>
      <c r="EV178" s="1445"/>
      <c r="EW178" s="1445"/>
      <c r="EX178" s="1445"/>
      <c r="EY178" s="1445"/>
      <c r="EZ178" s="1445"/>
      <c r="FA178" s="1445"/>
      <c r="FB178" s="1445"/>
      <c r="FC178" s="1750"/>
      <c r="FD178" s="1462"/>
      <c r="FJ178" s="1329">
        <f>FA191-FJ177</f>
        <v>300</v>
      </c>
    </row>
    <row r="179" s="1329" customFormat="1" ht="24" customHeight="1" spans="3:181">
      <c r="C179" s="1647"/>
      <c r="AA179" s="1741"/>
      <c r="AN179" s="1741"/>
      <c r="AO179" s="1330"/>
      <c r="BZ179" s="1330"/>
      <c r="DB179" s="1647"/>
      <c r="DC179" s="1647"/>
      <c r="DP179" s="1746"/>
      <c r="DQ179" s="1746"/>
      <c r="DR179" s="1746"/>
      <c r="EE179" s="1330"/>
      <c r="EF179" s="1461"/>
      <c r="EG179" s="1461"/>
      <c r="EH179" s="1461"/>
      <c r="EI179" s="1455">
        <v>45994</v>
      </c>
      <c r="EJ179" s="700">
        <v>1000034686</v>
      </c>
      <c r="EK179" s="1491"/>
      <c r="EL179" s="1445"/>
      <c r="EM179" s="1445"/>
      <c r="EN179" s="1445"/>
      <c r="EO179" s="1445"/>
      <c r="EP179" s="1445"/>
      <c r="EQ179" s="1445"/>
      <c r="ER179" s="1445"/>
      <c r="ES179" s="1445">
        <v>100000</v>
      </c>
      <c r="ET179" s="1445"/>
      <c r="EU179" s="1445"/>
      <c r="EV179" s="1445"/>
      <c r="EW179" s="1445"/>
      <c r="EX179" s="1445"/>
      <c r="EY179" s="1445"/>
      <c r="EZ179" s="1445"/>
      <c r="FA179" s="1445"/>
      <c r="FB179" s="1445"/>
      <c r="FC179" s="1750"/>
      <c r="FD179" s="1462"/>
      <c r="FH179" s="1330"/>
      <c r="FI179" s="1330"/>
      <c r="FJ179" s="1330"/>
      <c r="FK179" s="1330"/>
      <c r="FL179" s="1330"/>
      <c r="FM179" s="1330"/>
      <c r="FN179" s="1330"/>
      <c r="FO179" s="1330"/>
      <c r="FP179" s="1330"/>
      <c r="FQ179" s="1330"/>
      <c r="FR179" s="1330"/>
      <c r="FS179" s="1330"/>
      <c r="FT179" s="1330"/>
      <c r="FU179" s="1330"/>
      <c r="FV179" s="1330"/>
      <c r="FW179" s="1330"/>
      <c r="FX179" s="1330"/>
      <c r="FY179" s="1330"/>
    </row>
    <row r="180" s="1329" customFormat="1" ht="24" customHeight="1" spans="3:181">
      <c r="C180" s="1647"/>
      <c r="AA180" s="1741"/>
      <c r="AN180" s="1741"/>
      <c r="AO180" s="1330"/>
      <c r="BZ180" s="1330"/>
      <c r="DP180" s="1746"/>
      <c r="DQ180" s="1746"/>
      <c r="DR180" s="1746"/>
      <c r="EE180" s="1330"/>
      <c r="EF180" s="1461"/>
      <c r="EG180" s="1461"/>
      <c r="EH180" s="1461"/>
      <c r="EI180" s="1455">
        <v>46029</v>
      </c>
      <c r="EJ180" s="700">
        <v>1000035655</v>
      </c>
      <c r="EK180" s="1491"/>
      <c r="EL180" s="1445"/>
      <c r="EM180" s="1445"/>
      <c r="EN180" s="1445"/>
      <c r="EO180" s="1445"/>
      <c r="EP180" s="1445"/>
      <c r="EQ180" s="1445"/>
      <c r="ER180" s="1445"/>
      <c r="ES180" s="1445">
        <v>50000</v>
      </c>
      <c r="ET180" s="1445"/>
      <c r="EU180" s="1445"/>
      <c r="EV180" s="1445"/>
      <c r="EW180" s="1445"/>
      <c r="EX180" s="1445"/>
      <c r="EY180" s="1445"/>
      <c r="EZ180" s="1445"/>
      <c r="FA180" s="1445"/>
      <c r="FB180" s="1445"/>
      <c r="FC180" s="1750"/>
      <c r="FD180" s="1462"/>
      <c r="FH180" s="1330"/>
      <c r="FI180" s="1330"/>
      <c r="FJ180" s="1330"/>
      <c r="FK180" s="1330"/>
      <c r="FL180" s="1330"/>
      <c r="FM180" s="1330"/>
      <c r="FN180" s="1330"/>
      <c r="FO180" s="1330"/>
      <c r="FP180" s="1330"/>
      <c r="FQ180" s="1330"/>
      <c r="FR180" s="1330"/>
      <c r="FS180" s="1330"/>
      <c r="FT180" s="1330"/>
      <c r="FU180" s="1330"/>
      <c r="FV180" s="1330"/>
      <c r="FW180" s="1330"/>
      <c r="FX180" s="1330"/>
      <c r="FY180" s="1330"/>
    </row>
    <row r="181" s="1329" customFormat="1" ht="24" customHeight="1" spans="3:181">
      <c r="C181" s="1647"/>
      <c r="AA181" s="1741"/>
      <c r="AN181" s="1741"/>
      <c r="AO181" s="1330"/>
      <c r="BZ181" s="1330"/>
      <c r="DP181" s="1746"/>
      <c r="DQ181" s="1746"/>
      <c r="DR181" s="1746"/>
      <c r="EE181" s="1330"/>
      <c r="EF181" s="1461"/>
      <c r="EG181" s="1461"/>
      <c r="EH181" s="1461"/>
      <c r="EI181" s="1455">
        <v>46051</v>
      </c>
      <c r="EJ181" s="700">
        <v>1000036337</v>
      </c>
      <c r="EK181" s="1491" t="s">
        <v>12132</v>
      </c>
      <c r="EL181" s="1445"/>
      <c r="EM181" s="1445"/>
      <c r="EN181" s="1445"/>
      <c r="EO181" s="1445"/>
      <c r="EP181" s="1445"/>
      <c r="EQ181" s="1445"/>
      <c r="ER181" s="1445"/>
      <c r="ES181" s="1445">
        <v>60000</v>
      </c>
      <c r="ET181" s="1445"/>
      <c r="EU181" s="1445"/>
      <c r="EV181" s="1445"/>
      <c r="EW181" s="1445"/>
      <c r="EX181" s="1445"/>
      <c r="EY181" s="1445"/>
      <c r="EZ181" s="1445"/>
      <c r="FA181" s="1445"/>
      <c r="FB181" s="1445"/>
      <c r="FC181" s="1750"/>
      <c r="FD181" s="1462"/>
      <c r="FH181" s="1330"/>
      <c r="FI181" s="1330"/>
      <c r="FJ181" s="1330"/>
      <c r="FK181" s="1330"/>
      <c r="FL181" s="1330"/>
      <c r="FM181" s="1330"/>
      <c r="FN181" s="1330"/>
      <c r="FO181" s="1330"/>
      <c r="FP181" s="1330"/>
      <c r="FQ181" s="1330"/>
      <c r="FR181" s="1330"/>
      <c r="FS181" s="1330"/>
      <c r="FT181" s="1330"/>
      <c r="FU181" s="1330"/>
      <c r="FV181" s="1330"/>
      <c r="FW181" s="1330"/>
      <c r="FX181" s="1330"/>
      <c r="FY181" s="1330"/>
    </row>
    <row r="182" s="1329" customFormat="1" ht="24" customHeight="1" spans="3:181">
      <c r="C182" s="1647"/>
      <c r="AA182" s="1741"/>
      <c r="AN182" s="1741"/>
      <c r="AO182" s="1330"/>
      <c r="BZ182" s="1330"/>
      <c r="DP182" s="1746"/>
      <c r="DQ182" s="1746"/>
      <c r="DR182" s="1746"/>
      <c r="EF182" s="1461"/>
      <c r="EG182" s="1461"/>
      <c r="EH182" s="1461"/>
      <c r="EI182" s="1455">
        <v>46051</v>
      </c>
      <c r="EJ182" s="700">
        <v>1000036339</v>
      </c>
      <c r="EK182" s="1491" t="s">
        <v>12132</v>
      </c>
      <c r="EL182" s="1445"/>
      <c r="EM182" s="1445"/>
      <c r="EN182" s="1445">
        <v>30000</v>
      </c>
      <c r="EO182" s="1445"/>
      <c r="EP182" s="1445"/>
      <c r="EQ182" s="1445"/>
      <c r="ER182" s="1445"/>
      <c r="ES182" s="1445"/>
      <c r="ET182" s="1445"/>
      <c r="EU182" s="1445"/>
      <c r="EV182" s="1445"/>
      <c r="EW182" s="1445"/>
      <c r="EX182" s="1445"/>
      <c r="EY182" s="1445"/>
      <c r="EZ182" s="1445"/>
      <c r="FA182" s="1445"/>
      <c r="FB182" s="1445"/>
      <c r="FC182" s="1750"/>
      <c r="FD182" s="1462"/>
      <c r="FH182" s="1330"/>
      <c r="FI182" s="1330"/>
      <c r="FJ182" s="1330"/>
      <c r="FK182" s="1330"/>
      <c r="FL182" s="1330"/>
      <c r="FM182" s="1330"/>
      <c r="FN182" s="1330"/>
      <c r="FO182" s="1330"/>
      <c r="FP182" s="1330"/>
      <c r="FQ182" s="1330"/>
      <c r="FR182" s="1330"/>
      <c r="FS182" s="1330"/>
      <c r="FT182" s="1330"/>
      <c r="FU182" s="1330"/>
      <c r="FV182" s="1330"/>
      <c r="FW182" s="1330"/>
      <c r="FX182" s="1330"/>
      <c r="FY182" s="1330"/>
    </row>
    <row r="183" s="1329" customFormat="1" ht="24" customHeight="1" spans="3:181">
      <c r="C183" s="1647"/>
      <c r="AA183" s="1741"/>
      <c r="AN183" s="1741"/>
      <c r="AO183" s="1330"/>
      <c r="BZ183" s="1330"/>
      <c r="DP183" s="1746"/>
      <c r="DQ183" s="1746"/>
      <c r="DR183" s="1746"/>
      <c r="EF183" s="1461"/>
      <c r="EG183" s="1461"/>
      <c r="EH183" s="1461"/>
      <c r="EI183" s="1455">
        <v>46086</v>
      </c>
      <c r="EJ183" s="1467">
        <v>1000036952</v>
      </c>
      <c r="EK183" s="700" t="s">
        <v>12132</v>
      </c>
      <c r="EL183" s="700"/>
      <c r="EM183" s="700"/>
      <c r="EN183" s="700"/>
      <c r="EO183" s="718"/>
      <c r="EP183" s="700"/>
      <c r="EQ183" s="700">
        <v>30000</v>
      </c>
      <c r="ER183" s="700"/>
      <c r="ES183" s="700"/>
      <c r="ET183" s="700"/>
      <c r="EU183" s="700"/>
      <c r="EV183" s="700"/>
      <c r="EW183" s="700"/>
      <c r="EX183" s="700"/>
      <c r="EY183" s="700"/>
      <c r="EZ183" s="700"/>
      <c r="FA183" s="700"/>
      <c r="FB183" s="718"/>
      <c r="FC183" s="1454"/>
      <c r="FD183" s="1462"/>
      <c r="FH183" s="1330"/>
      <c r="FI183" s="1330"/>
      <c r="FJ183" s="1330"/>
      <c r="FK183" s="1330"/>
      <c r="FL183" s="1330"/>
      <c r="FM183" s="1330"/>
      <c r="FN183" s="1330"/>
      <c r="FO183" s="1330"/>
      <c r="FP183" s="1330"/>
      <c r="FQ183" s="1330"/>
      <c r="FR183" s="1330"/>
      <c r="FS183" s="1330"/>
      <c r="FT183" s="1330"/>
      <c r="FU183" s="1330"/>
      <c r="FV183" s="1330"/>
      <c r="FW183" s="1330"/>
      <c r="FX183" s="1330"/>
      <c r="FY183" s="1330"/>
    </row>
    <row r="184" s="1329" customFormat="1" ht="24" customHeight="1" spans="3:181">
      <c r="C184" s="1647"/>
      <c r="AA184" s="1741"/>
      <c r="AN184" s="1741"/>
      <c r="AO184" s="1330"/>
      <c r="BZ184" s="1330"/>
      <c r="DP184" s="1746"/>
      <c r="DQ184" s="1746"/>
      <c r="DR184" s="1746"/>
      <c r="EF184" s="1461"/>
      <c r="EG184" s="1461"/>
      <c r="EH184" s="1461"/>
      <c r="EI184" s="1455">
        <v>46107</v>
      </c>
      <c r="EJ184" s="1467">
        <v>1000037939</v>
      </c>
      <c r="EK184" s="700" t="s">
        <v>12132</v>
      </c>
      <c r="EL184" s="700"/>
      <c r="EM184" s="700"/>
      <c r="EN184" s="700">
        <v>40000</v>
      </c>
      <c r="EO184" s="718"/>
      <c r="EP184" s="700"/>
      <c r="EQ184" s="718"/>
      <c r="ER184" s="700"/>
      <c r="ES184" s="700"/>
      <c r="ET184" s="700"/>
      <c r="EU184" s="700"/>
      <c r="EV184" s="700"/>
      <c r="EW184" s="700"/>
      <c r="EX184" s="700"/>
      <c r="EY184" s="700"/>
      <c r="EZ184" s="700"/>
      <c r="FA184" s="700"/>
      <c r="FB184" s="718"/>
      <c r="FC184" s="1448"/>
      <c r="FD184" s="1462"/>
      <c r="FH184" s="1330"/>
      <c r="FI184" s="1330"/>
      <c r="FJ184" s="1330"/>
      <c r="FK184" s="1330"/>
      <c r="FL184" s="1330"/>
      <c r="FM184" s="1330"/>
      <c r="FN184" s="1330"/>
      <c r="FO184" s="1330"/>
      <c r="FP184" s="1330"/>
      <c r="FQ184" s="1330"/>
      <c r="FR184" s="1330"/>
      <c r="FS184" s="1330"/>
      <c r="FT184" s="1330"/>
      <c r="FU184" s="1330"/>
      <c r="FV184" s="1330"/>
      <c r="FW184" s="1330"/>
      <c r="FX184" s="1330"/>
      <c r="FY184" s="1330"/>
    </row>
    <row r="185" s="1329" customFormat="1" ht="24" customHeight="1" spans="3:181">
      <c r="C185" s="1647"/>
      <c r="AA185" s="1741"/>
      <c r="AN185" s="1741"/>
      <c r="AO185" s="1330"/>
      <c r="BZ185" s="1330"/>
      <c r="DP185" s="1746"/>
      <c r="DQ185" s="1746"/>
      <c r="DR185" s="1746"/>
      <c r="EF185" s="1461"/>
      <c r="EG185" s="1461"/>
      <c r="EH185" s="1461"/>
      <c r="EI185" s="1681">
        <v>46167</v>
      </c>
      <c r="EJ185" s="1751">
        <v>1000040518</v>
      </c>
      <c r="EK185" s="1522" t="s">
        <v>11685</v>
      </c>
      <c r="EL185" s="1522"/>
      <c r="EM185" s="1522"/>
      <c r="EN185" s="1680">
        <v>30000</v>
      </c>
      <c r="EO185" s="1680"/>
      <c r="EP185" s="1522"/>
      <c r="EQ185" s="1680"/>
      <c r="ER185" s="1522"/>
      <c r="ES185" s="1522"/>
      <c r="ET185" s="1522"/>
      <c r="EU185" s="1522"/>
      <c r="EV185" s="1522"/>
      <c r="EW185" s="1522"/>
      <c r="EX185" s="1522"/>
      <c r="EY185" s="1522"/>
      <c r="EZ185" s="1522"/>
      <c r="FA185" s="1522"/>
      <c r="FB185" s="1680"/>
      <c r="FC185" s="1686"/>
      <c r="FD185" s="1752"/>
      <c r="FH185" s="1330"/>
      <c r="FI185" s="1330"/>
      <c r="FJ185" s="1330"/>
      <c r="FK185" s="1330"/>
      <c r="FL185" s="1330"/>
      <c r="FM185" s="1330"/>
      <c r="FN185" s="1330"/>
      <c r="FO185" s="1330"/>
      <c r="FP185" s="1330"/>
      <c r="FQ185" s="1330"/>
      <c r="FR185" s="1330"/>
      <c r="FS185" s="1330"/>
      <c r="FT185" s="1330"/>
      <c r="FU185" s="1330"/>
      <c r="FV185" s="1330"/>
      <c r="FW185" s="1330"/>
      <c r="FX185" s="1330"/>
      <c r="FY185" s="1330"/>
    </row>
    <row r="186" s="1329" customFormat="1" ht="24" customHeight="1" spans="3:181">
      <c r="C186" s="1647"/>
      <c r="AA186" s="1741"/>
      <c r="AN186" s="1741"/>
      <c r="AO186" s="1330"/>
      <c r="BZ186" s="1330"/>
      <c r="DP186" s="1746"/>
      <c r="DQ186" s="1746"/>
      <c r="DR186" s="1746"/>
      <c r="EF186" s="1461"/>
      <c r="EG186" s="1461"/>
      <c r="EH186" s="1461"/>
      <c r="EI186" s="1681">
        <v>46167</v>
      </c>
      <c r="EJ186" s="1751">
        <v>1000040519</v>
      </c>
      <c r="EK186" s="1522" t="s">
        <v>11685</v>
      </c>
      <c r="EL186" s="1522"/>
      <c r="EM186" s="1522"/>
      <c r="EN186" s="1522"/>
      <c r="EO186" s="1680"/>
      <c r="EP186" s="1522"/>
      <c r="EQ186" s="1680"/>
      <c r="ER186" s="1522"/>
      <c r="ES186" s="1522"/>
      <c r="ET186" s="1522"/>
      <c r="EU186" s="1680">
        <v>3000</v>
      </c>
      <c r="EV186" s="1522"/>
      <c r="EW186" s="1522"/>
      <c r="EX186" s="1522"/>
      <c r="EY186" s="1522"/>
      <c r="EZ186" s="1522"/>
      <c r="FA186" s="1522"/>
      <c r="FB186" s="1680"/>
      <c r="FC186" s="1686"/>
      <c r="FD186" s="1752"/>
      <c r="FH186" s="1330"/>
      <c r="FI186" s="1330"/>
      <c r="FJ186" s="1330"/>
      <c r="FK186" s="1330"/>
      <c r="FL186" s="1330"/>
      <c r="FM186" s="1330"/>
      <c r="FN186" s="1330"/>
      <c r="FO186" s="1330"/>
      <c r="FP186" s="1330"/>
      <c r="FQ186" s="1330"/>
      <c r="FR186" s="1330"/>
      <c r="FS186" s="1330"/>
      <c r="FT186" s="1330"/>
      <c r="FU186" s="1330"/>
      <c r="FV186" s="1330"/>
      <c r="FW186" s="1330"/>
      <c r="FX186" s="1330"/>
      <c r="FY186" s="1330"/>
    </row>
    <row r="187" s="1329" customFormat="1" ht="24" customHeight="1" spans="3:181">
      <c r="C187" s="1647"/>
      <c r="AA187" s="1741"/>
      <c r="AN187" s="1741"/>
      <c r="AO187" s="1330"/>
      <c r="BZ187" s="1330"/>
      <c r="DP187" s="1746"/>
      <c r="DQ187" s="1746"/>
      <c r="DR187" s="1746"/>
      <c r="EF187" s="1461"/>
      <c r="EG187" s="1461"/>
      <c r="EH187" s="1461"/>
      <c r="EI187" s="1455"/>
      <c r="EJ187" s="1467"/>
      <c r="EK187" s="700"/>
      <c r="EL187" s="700"/>
      <c r="EM187" s="700"/>
      <c r="EN187" s="700"/>
      <c r="EO187" s="718"/>
      <c r="EP187" s="700"/>
      <c r="EQ187" s="718"/>
      <c r="ER187" s="700"/>
      <c r="ES187" s="700"/>
      <c r="ET187" s="700"/>
      <c r="EU187" s="718"/>
      <c r="EV187" s="718"/>
      <c r="EW187" s="700"/>
      <c r="EX187" s="700"/>
      <c r="EY187" s="700"/>
      <c r="EZ187" s="700"/>
      <c r="FA187" s="700"/>
      <c r="FB187" s="718"/>
      <c r="FC187" s="1448"/>
      <c r="FD187" s="1462"/>
      <c r="FH187" s="1330"/>
      <c r="FI187" s="1330"/>
      <c r="FJ187" s="1330"/>
      <c r="FK187" s="1330"/>
      <c r="FL187" s="1330"/>
      <c r="FM187" s="1330"/>
      <c r="FN187" s="1330"/>
      <c r="FO187" s="1330"/>
      <c r="FP187" s="1330"/>
      <c r="FQ187" s="1330"/>
      <c r="FR187" s="1330"/>
      <c r="FS187" s="1330"/>
      <c r="FT187" s="1330"/>
      <c r="FU187" s="1330"/>
      <c r="FV187" s="1330"/>
      <c r="FW187" s="1330"/>
      <c r="FX187" s="1330"/>
      <c r="FY187" s="1330"/>
    </row>
    <row r="188" s="1329" customFormat="1" ht="24" customHeight="1" spans="3:181">
      <c r="C188" s="1647"/>
      <c r="AA188" s="1741"/>
      <c r="AN188" s="1741"/>
      <c r="AO188" s="1330"/>
      <c r="BZ188" s="1330"/>
      <c r="DP188" s="1746"/>
      <c r="DQ188" s="1746"/>
      <c r="DR188" s="1746"/>
      <c r="EF188" s="1461"/>
      <c r="EG188" s="1461"/>
      <c r="EH188" s="1461"/>
      <c r="EI188" s="1455"/>
      <c r="EJ188" s="1467"/>
      <c r="EK188" s="700"/>
      <c r="EL188" s="700"/>
      <c r="EM188" s="700"/>
      <c r="EN188" s="700"/>
      <c r="EO188" s="718"/>
      <c r="EP188" s="700"/>
      <c r="EQ188" s="718"/>
      <c r="ER188" s="700"/>
      <c r="ES188" s="700"/>
      <c r="ET188" s="700"/>
      <c r="EU188" s="718"/>
      <c r="EV188" s="718"/>
      <c r="EW188" s="700"/>
      <c r="EX188" s="700"/>
      <c r="EY188" s="700"/>
      <c r="EZ188" s="700"/>
      <c r="FA188" s="700"/>
      <c r="FB188" s="718"/>
      <c r="FC188" s="1448"/>
      <c r="FD188" s="1462"/>
      <c r="FH188" s="1330"/>
      <c r="FI188" s="1330"/>
      <c r="FJ188" s="1330"/>
      <c r="FK188" s="1330"/>
      <c r="FL188" s="1330"/>
      <c r="FM188" s="1330"/>
      <c r="FN188" s="1330"/>
      <c r="FO188" s="1330"/>
      <c r="FP188" s="1330"/>
      <c r="FQ188" s="1330"/>
      <c r="FR188" s="1330"/>
      <c r="FS188" s="1330"/>
      <c r="FT188" s="1330"/>
      <c r="FU188" s="1330"/>
      <c r="FV188" s="1330"/>
      <c r="FW188" s="1330"/>
      <c r="FX188" s="1330"/>
      <c r="FY188" s="1330"/>
    </row>
    <row r="189" s="1329" customFormat="1" ht="24" customHeight="1" spans="3:181">
      <c r="C189" s="1647"/>
      <c r="AA189" s="1741"/>
      <c r="AN189" s="1741"/>
      <c r="AO189" s="1330"/>
      <c r="BZ189" s="1330"/>
      <c r="DP189" s="1746"/>
      <c r="DQ189" s="1746"/>
      <c r="DR189" s="1746"/>
      <c r="EF189" s="1461"/>
      <c r="EG189" s="1461"/>
      <c r="EH189" s="1461"/>
      <c r="EI189" s="1455"/>
      <c r="EJ189" s="700"/>
      <c r="EK189" s="1491"/>
      <c r="EL189" s="1445"/>
      <c r="EM189" s="1445"/>
      <c r="EN189" s="1445"/>
      <c r="EO189" s="1445"/>
      <c r="EP189" s="1445"/>
      <c r="EQ189" s="1445"/>
      <c r="ER189" s="1445"/>
      <c r="ES189" s="1690"/>
      <c r="ET189" s="1445"/>
      <c r="EU189" s="1445"/>
      <c r="EV189" s="1445"/>
      <c r="EW189" s="1445"/>
      <c r="EX189" s="1445"/>
      <c r="EY189" s="1445"/>
      <c r="EZ189" s="1445"/>
      <c r="FA189" s="1445"/>
      <c r="FB189" s="1445"/>
      <c r="FC189" s="1750"/>
      <c r="FD189" s="1462"/>
      <c r="FH189" s="1330"/>
      <c r="FI189" s="1330"/>
      <c r="FJ189" s="1330"/>
      <c r="FK189" s="1330"/>
      <c r="FL189" s="1330"/>
      <c r="FM189" s="1330"/>
      <c r="FN189" s="1330"/>
      <c r="FO189" s="1330"/>
      <c r="FP189" s="1330"/>
      <c r="FQ189" s="1330"/>
      <c r="FR189" s="1330"/>
      <c r="FS189" s="1330"/>
      <c r="FT189" s="1330"/>
      <c r="FU189" s="1330"/>
      <c r="FV189" s="1330"/>
      <c r="FW189" s="1330"/>
      <c r="FX189" s="1330"/>
      <c r="FY189" s="1330"/>
    </row>
    <row r="190" s="1329" customFormat="1" ht="24" customHeight="1" spans="3:181">
      <c r="C190" s="1647"/>
      <c r="AA190" s="1741"/>
      <c r="AN190" s="1741"/>
      <c r="AO190" s="1330"/>
      <c r="BZ190" s="1330"/>
      <c r="DP190" s="1746"/>
      <c r="DQ190" s="1746"/>
      <c r="DR190" s="1746"/>
      <c r="EF190" s="1461"/>
      <c r="EG190" s="1461"/>
      <c r="EH190" s="1461"/>
      <c r="EI190" s="1753"/>
      <c r="EJ190" s="1443"/>
      <c r="EK190" s="1491"/>
      <c r="EL190" s="1445"/>
      <c r="EM190" s="1445"/>
      <c r="EN190" s="1445"/>
      <c r="EO190" s="1445"/>
      <c r="EP190" s="1445"/>
      <c r="EQ190" s="1445"/>
      <c r="ER190" s="1445"/>
      <c r="ES190" s="1445"/>
      <c r="ET190" s="1445"/>
      <c r="EU190" s="1445"/>
      <c r="EV190" s="1445"/>
      <c r="EW190" s="1445"/>
      <c r="EX190" s="1445"/>
      <c r="EY190" s="1445"/>
      <c r="EZ190" s="1445"/>
      <c r="FA190" s="1445"/>
      <c r="FB190" s="1445"/>
      <c r="FC190" s="1750"/>
      <c r="FD190" s="1482"/>
      <c r="FH190" s="1330"/>
      <c r="FI190" s="1330"/>
      <c r="FJ190" s="1330"/>
      <c r="FK190" s="1330"/>
      <c r="FL190" s="1330"/>
      <c r="FM190" s="1330"/>
      <c r="FN190" s="1330"/>
      <c r="FO190" s="1330"/>
      <c r="FP190" s="1330"/>
      <c r="FQ190" s="1330"/>
      <c r="FR190" s="1330"/>
      <c r="FS190" s="1330"/>
      <c r="FT190" s="1330"/>
      <c r="FU190" s="1330"/>
      <c r="FV190" s="1330"/>
      <c r="FW190" s="1330"/>
      <c r="FX190" s="1330"/>
      <c r="FY190" s="1330"/>
    </row>
    <row r="191" s="1329" customFormat="1" ht="24" customHeight="1" spans="3:181">
      <c r="C191" s="1647"/>
      <c r="AA191" s="1741"/>
      <c r="AN191" s="1741"/>
      <c r="AO191" s="1330"/>
      <c r="BZ191" s="1330"/>
      <c r="DP191" s="1746"/>
      <c r="DQ191" s="1746"/>
      <c r="DR191" s="1746"/>
      <c r="EF191" s="1461"/>
      <c r="EG191" s="1461"/>
      <c r="EH191" s="1461"/>
      <c r="EI191" s="1753"/>
      <c r="EJ191" s="1443"/>
      <c r="EK191" s="1507" t="s">
        <v>11822</v>
      </c>
      <c r="EL191" s="1505">
        <f>SUM(EL5:EL169)</f>
        <v>1550000</v>
      </c>
      <c r="EM191" s="1505">
        <f>SUM(EM5:EM169)+EL191</f>
        <v>2032028</v>
      </c>
      <c r="EN191" s="1505">
        <f>SUM(EN5:EN190)</f>
        <v>577972</v>
      </c>
      <c r="EO191" s="1505">
        <f>SUM(EO5:EO190)</f>
        <v>355000</v>
      </c>
      <c r="EP191" s="1505">
        <f>SUM(EP5:EP190)</f>
        <v>208186</v>
      </c>
      <c r="EQ191" s="1505">
        <f>SUM(EQ5:EQ190)</f>
        <v>176814</v>
      </c>
      <c r="ER191" s="1505">
        <f>SUM(ER5:ER169)</f>
        <v>2910000</v>
      </c>
      <c r="ES191" s="1505">
        <f>SUM(ES5:ES190)</f>
        <v>960000</v>
      </c>
      <c r="ET191" s="1505">
        <f>SUM(ET5:ET190)</f>
        <v>152407</v>
      </c>
      <c r="EU191" s="1505">
        <f>SUM(EU5:EU190)</f>
        <v>26762</v>
      </c>
      <c r="EV191" s="1505">
        <f>SUM(EV5:EV169)</f>
        <v>85438</v>
      </c>
      <c r="EW191" s="1505">
        <f>SUM(EW5:EW190)</f>
        <v>5000</v>
      </c>
      <c r="EX191" s="1505">
        <f t="shared" ref="EX191:FC191" si="26">SUM(EX5:EX169)</f>
        <v>4015</v>
      </c>
      <c r="EY191" s="1505">
        <f t="shared" si="26"/>
        <v>39052</v>
      </c>
      <c r="EZ191" s="1505">
        <f t="shared" si="26"/>
        <v>170618</v>
      </c>
      <c r="FA191" s="1505">
        <f t="shared" si="26"/>
        <v>300</v>
      </c>
      <c r="FB191" s="1505">
        <f t="shared" si="26"/>
        <v>186036</v>
      </c>
      <c r="FC191" s="1505">
        <f t="shared" si="26"/>
        <v>181012</v>
      </c>
      <c r="FD191" s="1482"/>
    </row>
    <row r="192" s="1329" customFormat="1" ht="24" customHeight="1" spans="3:181">
      <c r="C192" s="1647"/>
      <c r="AA192" s="1741"/>
      <c r="AN192" s="1741"/>
      <c r="AO192" s="1330"/>
      <c r="BZ192" s="1330"/>
      <c r="DP192" s="1746"/>
      <c r="DQ192" s="1746"/>
      <c r="DR192" s="1746"/>
      <c r="EF192" s="1461"/>
      <c r="EG192" s="1461"/>
      <c r="EH192" s="1461"/>
      <c r="EI192" s="1753"/>
      <c r="EJ192" s="718" t="s">
        <v>6037</v>
      </c>
      <c r="EK192" s="1720"/>
      <c r="EL192" s="1690">
        <v>294600</v>
      </c>
      <c r="EM192" s="1690"/>
      <c r="EN192" s="1690"/>
      <c r="EO192" s="1690">
        <v>47860</v>
      </c>
      <c r="EP192" s="1690"/>
      <c r="EQ192" s="1690"/>
      <c r="ER192" s="1690">
        <v>368368</v>
      </c>
      <c r="ES192" s="1690"/>
      <c r="ET192" s="1690">
        <v>19804</v>
      </c>
      <c r="EU192" s="1690"/>
      <c r="EV192" s="1690">
        <v>24263</v>
      </c>
      <c r="EW192" s="1690"/>
      <c r="EX192" s="1690">
        <v>950</v>
      </c>
      <c r="EY192" s="1690"/>
      <c r="EZ192" s="1690"/>
      <c r="FA192" s="1690">
        <v>100</v>
      </c>
      <c r="FB192" s="1690">
        <v>1000</v>
      </c>
      <c r="FC192" s="1754">
        <v>25908</v>
      </c>
      <c r="FD192" s="1482"/>
    </row>
    <row r="193" s="1329" customFormat="1" ht="24" customHeight="1" spans="3:193">
      <c r="C193" s="1647"/>
      <c r="AA193" s="1741"/>
      <c r="AN193" s="1741"/>
      <c r="AO193" s="1330"/>
      <c r="BZ193" s="1330"/>
      <c r="DP193" s="1746"/>
      <c r="DQ193" s="1746"/>
      <c r="DR193" s="1746"/>
      <c r="EF193" s="1461"/>
      <c r="EG193" s="1461"/>
      <c r="EH193" s="1461"/>
      <c r="EI193" s="1753"/>
      <c r="EJ193" s="718" t="s">
        <v>12111</v>
      </c>
      <c r="EK193" s="1720"/>
      <c r="EL193" s="1690">
        <v>1255731</v>
      </c>
      <c r="EM193" s="1690">
        <v>53020</v>
      </c>
      <c r="EN193" s="1690">
        <v>0</v>
      </c>
      <c r="EO193" s="1690">
        <v>303764</v>
      </c>
      <c r="EP193" s="1690">
        <v>59976</v>
      </c>
      <c r="EQ193" s="1690">
        <v>0</v>
      </c>
      <c r="ER193" s="1690">
        <v>1628487</v>
      </c>
      <c r="ES193" s="1690">
        <v>0</v>
      </c>
      <c r="ET193" s="1690">
        <v>94304</v>
      </c>
      <c r="EU193" s="1690">
        <v>0</v>
      </c>
      <c r="EV193" s="1690">
        <v>50100</v>
      </c>
      <c r="EW193" s="1690"/>
      <c r="EX193" s="1690">
        <v>3065</v>
      </c>
      <c r="EY193" s="1690">
        <v>25928</v>
      </c>
      <c r="EZ193" s="1690">
        <v>118778</v>
      </c>
      <c r="FA193" s="1690">
        <v>15</v>
      </c>
      <c r="FB193" s="1690">
        <v>4000</v>
      </c>
      <c r="FC193" s="1754">
        <v>24000</v>
      </c>
      <c r="FD193" s="1482"/>
    </row>
    <row r="194" s="1329" customFormat="1" ht="24" customHeight="1" spans="3:193">
      <c r="C194" s="1647"/>
      <c r="AA194" s="1741"/>
      <c r="AN194" s="1741"/>
      <c r="AO194" s="1330"/>
      <c r="BZ194" s="1330"/>
      <c r="DP194" s="1746"/>
      <c r="DQ194" s="1746"/>
      <c r="DR194" s="1746"/>
      <c r="EF194" s="1461"/>
      <c r="EG194" s="1461"/>
      <c r="EH194" s="1461"/>
      <c r="EI194" s="1753"/>
      <c r="EJ194" s="1443"/>
      <c r="EK194" s="1512" t="s">
        <v>11835</v>
      </c>
      <c r="EL194" s="1513">
        <f>'9298'!AH1076+EL192+EL193</f>
        <v>1555863</v>
      </c>
      <c r="EM194" s="1513">
        <f>'9298'!AI1076+EL192+EL193+EM193</f>
        <v>2029876</v>
      </c>
      <c r="EN194" s="1513">
        <f>'9298'!AJ1076</f>
        <v>561303</v>
      </c>
      <c r="EO194" s="1513">
        <f>'9298'!AK1076</f>
        <v>3180</v>
      </c>
      <c r="EP194" s="1513">
        <f>'9298'!AL1076</f>
        <v>151586</v>
      </c>
      <c r="EQ194" s="1513">
        <f>'9298'!AM1076</f>
        <v>156266</v>
      </c>
      <c r="ER194" s="1513">
        <f>'9298'!AO1076+ER192+ER193</f>
        <v>2988840</v>
      </c>
      <c r="ES194" s="1513">
        <f>'9298'!AP1076</f>
        <v>868697</v>
      </c>
      <c r="ET194" s="1755">
        <f>'9298'!AV1076+ET192+ET193</f>
        <v>152353.333333333</v>
      </c>
      <c r="EU194" s="1755">
        <f>'9298'!AW1076</f>
        <v>26706</v>
      </c>
      <c r="EV194" s="1512">
        <f>'9298'!AX1076+EV192+EV193</f>
        <v>84700</v>
      </c>
      <c r="EW194" s="1512">
        <f>'9298'!AY1076</f>
        <v>1698</v>
      </c>
      <c r="EX194" s="1512">
        <f>'9298'!AZ1076+EX192+EX193</f>
        <v>4015</v>
      </c>
      <c r="EY194" s="1512">
        <f>'9298'!BA1076+EY193</f>
        <v>49304</v>
      </c>
      <c r="EZ194" s="1512">
        <f>'9298'!BB1076+EZ193</f>
        <v>201146</v>
      </c>
      <c r="FA194" s="1512">
        <f>'9298'!BE1076+FA192+FA193</f>
        <v>300</v>
      </c>
      <c r="FB194" s="1512">
        <f>'9298'!BC1076+FB192+FB193</f>
        <v>231970</v>
      </c>
      <c r="FC194" s="1756">
        <f>'9298'!AN1076+FC192+FC193</f>
        <v>791224</v>
      </c>
      <c r="FD194" s="1482"/>
    </row>
    <row r="195" s="1329" customFormat="1" ht="24" customHeight="1" spans="3:193">
      <c r="C195" s="1647"/>
      <c r="AA195" s="1741"/>
      <c r="AN195" s="1741"/>
      <c r="AO195" s="1330"/>
      <c r="BZ195" s="1330"/>
      <c r="DP195" s="1746"/>
      <c r="DQ195" s="1746"/>
      <c r="DR195" s="1746"/>
      <c r="EF195" s="1461"/>
      <c r="EG195" s="1461"/>
      <c r="EH195" s="1461"/>
      <c r="EI195" s="1753"/>
      <c r="EJ195" s="1443"/>
      <c r="EK195" s="1512" t="s">
        <v>11844</v>
      </c>
      <c r="EL195" s="1505">
        <f>EL191-EL194</f>
        <v>-5863</v>
      </c>
      <c r="EM195" s="1505">
        <f>EM191-EM194</f>
        <v>2152</v>
      </c>
      <c r="EN195" s="1505">
        <f>EN191-EN194+EM195</f>
        <v>18821</v>
      </c>
      <c r="EO195" s="1505">
        <f>EO191-EO192-EO193-EO194+EN195</f>
        <v>19017</v>
      </c>
      <c r="EP195" s="1505">
        <f>EP191-EP192-EP193-EP194+EO195</f>
        <v>15641</v>
      </c>
      <c r="EQ195" s="1505">
        <f>EQ191-EQ192-EQ193-EQ194+EP195</f>
        <v>36189</v>
      </c>
      <c r="ER195" s="1505">
        <f>ER191-ER194</f>
        <v>-78840</v>
      </c>
      <c r="ES195" s="1505">
        <f>ES191-ES194+ER195</f>
        <v>12463</v>
      </c>
      <c r="ET195" s="1757">
        <f>ET191-ET194</f>
        <v>53.666666666657</v>
      </c>
      <c r="EU195" s="1757">
        <f>EU191-EU194+ET195</f>
        <v>109.666666666657</v>
      </c>
      <c r="EV195" s="1505">
        <f>EV191-EV194</f>
        <v>738</v>
      </c>
      <c r="EW195" s="1505">
        <f>EW191-EW194+EV195</f>
        <v>4040</v>
      </c>
      <c r="EX195" s="1757">
        <f t="shared" ref="EX195:FC195" si="27">EX191-EX194</f>
        <v>0</v>
      </c>
      <c r="EY195" s="1757">
        <f t="shared" si="27"/>
        <v>-10252</v>
      </c>
      <c r="EZ195" s="1757">
        <f t="shared" si="27"/>
        <v>-30528</v>
      </c>
      <c r="FA195" s="1505">
        <f t="shared" si="27"/>
        <v>0</v>
      </c>
      <c r="FB195" s="1757">
        <f t="shared" si="27"/>
        <v>-45934</v>
      </c>
      <c r="FC195" s="1758">
        <f t="shared" si="27"/>
        <v>-610212</v>
      </c>
      <c r="FD195" s="1482"/>
    </row>
    <row r="196" s="1329" customFormat="1" ht="24" customHeight="1" spans="3:193">
      <c r="C196" s="1647"/>
      <c r="AA196" s="1741"/>
      <c r="AN196" s="1741"/>
      <c r="AO196" s="1330"/>
      <c r="BZ196" s="1330"/>
      <c r="DP196" s="1746"/>
      <c r="DQ196" s="1746"/>
      <c r="DR196" s="1746"/>
      <c r="EF196" s="1461"/>
      <c r="EG196" s="1461"/>
      <c r="EH196" s="1461"/>
      <c r="EI196" s="1753"/>
      <c r="EJ196" s="1443"/>
      <c r="EK196" s="1522" t="s">
        <v>12133</v>
      </c>
      <c r="EL196" s="1522"/>
      <c r="EM196" s="1522">
        <f>'9298'!AI1077</f>
        <v>280457</v>
      </c>
      <c r="EN196" s="1522"/>
      <c r="EO196" s="1522"/>
      <c r="EP196" s="1522">
        <f>'9298'!AL1077</f>
        <v>101882</v>
      </c>
      <c r="EQ196" s="1522"/>
      <c r="ER196" s="1522">
        <f>'9298'!AO1077</f>
        <v>879653</v>
      </c>
      <c r="ES196" s="1522"/>
      <c r="ET196" s="1759">
        <f>'9298'!AV1077</f>
        <v>41471.3333333333</v>
      </c>
      <c r="EU196" s="1759"/>
      <c r="EV196" s="1522">
        <f>'9298'!AX1077</f>
        <v>33536</v>
      </c>
      <c r="EW196" s="1522"/>
      <c r="EX196" s="1522"/>
      <c r="EY196" s="1522"/>
      <c r="EZ196" s="1522"/>
      <c r="FA196" s="1522"/>
      <c r="FB196" s="1522"/>
      <c r="FC196" s="1760"/>
      <c r="FD196" s="1482"/>
    </row>
    <row r="197" ht="14.25" spans="3:193">
      <c r="AN197" s="1333"/>
      <c r="BP197" s="1331"/>
      <c r="BZ197" s="1334"/>
      <c r="CP197" s="1329"/>
      <c r="CQ197" s="1329"/>
      <c r="CR197" s="1329"/>
      <c r="CS197" s="1329"/>
      <c r="CT197" s="1329"/>
      <c r="CU197" s="1329"/>
      <c r="CV197" s="1329"/>
      <c r="CW197" s="1329"/>
      <c r="CX197" s="1329"/>
      <c r="CY197" s="1329"/>
      <c r="CZ197" s="1329"/>
      <c r="DA197" s="1329"/>
      <c r="DB197" s="1329"/>
      <c r="DC197" s="1329"/>
      <c r="DD197" s="1329"/>
      <c r="DE197" s="1329"/>
      <c r="DG197" s="1329"/>
      <c r="DH197" s="1329"/>
      <c r="DI197" s="1329"/>
      <c r="DJ197" s="1329"/>
      <c r="DK197" s="1329"/>
      <c r="DL197" s="1329"/>
      <c r="DM197" s="1329"/>
      <c r="DN197" s="1329"/>
      <c r="DO197" s="1329"/>
      <c r="DP197" s="1746"/>
      <c r="DQ197" s="1746"/>
      <c r="DR197" s="1746"/>
      <c r="DS197" s="1329"/>
      <c r="DT197" s="1329"/>
      <c r="DU197" s="1329"/>
      <c r="DV197" s="1329"/>
      <c r="DW197" s="1329"/>
      <c r="DX197" s="1329"/>
      <c r="DY197" s="1329"/>
      <c r="DZ197" s="1329"/>
      <c r="EA197" s="1329"/>
      <c r="EB197" s="1329"/>
      <c r="EC197" s="1329"/>
      <c r="ED197" s="1329"/>
      <c r="EE197" s="1329"/>
      <c r="EH197" s="1461"/>
      <c r="EI197" s="1753"/>
      <c r="EJ197" s="1443"/>
      <c r="EK197" s="1522" t="s">
        <v>12134</v>
      </c>
      <c r="EL197" s="1522"/>
      <c r="EM197" s="1522">
        <f>EM191-SUM(EL192:EM193)-EM196-EM195</f>
        <v>146068</v>
      </c>
      <c r="EN197" s="1522"/>
      <c r="EO197" s="1522"/>
      <c r="EP197" s="1522">
        <f>EP191-EO192-EO193-EP193-EP196-EP195</f>
        <v>-320937</v>
      </c>
      <c r="EQ197" s="1522"/>
      <c r="ER197" s="1522">
        <f>ER191-ER192-ER193-ER196-ER195</f>
        <v>112332</v>
      </c>
      <c r="ES197" s="1522"/>
      <c r="ET197" s="1759">
        <f>ET191-ET192-ET193-ET195-ET196</f>
        <v>-3225.99999999999</v>
      </c>
      <c r="EU197" s="1759"/>
      <c r="EV197" s="1522">
        <f>EV191-EV192-EV193-EV195-EV196</f>
        <v>-23199</v>
      </c>
      <c r="EW197" s="1522"/>
      <c r="EX197" s="1522"/>
      <c r="EY197" s="1522"/>
      <c r="EZ197" s="1522"/>
      <c r="FA197" s="1522"/>
      <c r="FB197" s="1522"/>
      <c r="FC197" s="1760"/>
      <c r="FD197" s="1482"/>
      <c r="FE197" s="1329"/>
      <c r="FF197" s="1329"/>
      <c r="FG197" s="1329"/>
      <c r="FH197" s="1329"/>
      <c r="FI197" s="1329"/>
      <c r="FJ197" s="1329"/>
      <c r="FK197" s="1329"/>
      <c r="FL197" s="1329"/>
      <c r="FM197" s="1329"/>
      <c r="FN197" s="1329"/>
      <c r="FO197" s="1329"/>
      <c r="FP197" s="1329"/>
      <c r="FQ197" s="1329"/>
      <c r="FR197" s="1329"/>
      <c r="FS197" s="1329"/>
      <c r="FT197" s="1329"/>
      <c r="FU197" s="1329"/>
      <c r="FV197" s="1329"/>
      <c r="FW197" s="1329"/>
      <c r="FX197" s="1329"/>
      <c r="FY197" s="1329"/>
      <c r="GC197" s="1329"/>
      <c r="GD197" s="1329"/>
      <c r="GE197" s="1329"/>
      <c r="GF197" s="1329"/>
      <c r="GG197" s="1329"/>
      <c r="GH197" s="1329"/>
      <c r="GI197" s="1329"/>
      <c r="GJ197" s="1329"/>
      <c r="GK197" s="1329"/>
    </row>
    <row r="198" ht="15" spans="3:193">
      <c r="AN198" s="1333"/>
      <c r="BP198" s="1331"/>
      <c r="BZ198" s="1334"/>
      <c r="DG198" s="1329"/>
      <c r="DH198" s="1329"/>
      <c r="DI198" s="1329"/>
      <c r="DJ198" s="1329"/>
      <c r="DK198" s="1329"/>
      <c r="DL198" s="1329"/>
      <c r="DM198" s="1329"/>
      <c r="DN198" s="1329"/>
      <c r="DO198" s="1329"/>
      <c r="DP198" s="1746"/>
      <c r="DQ198" s="1746"/>
      <c r="DR198" s="1746"/>
      <c r="DS198" s="1329"/>
      <c r="DT198" s="1329"/>
      <c r="DU198" s="1329"/>
      <c r="DV198" s="1329"/>
      <c r="DW198" s="1329"/>
      <c r="DX198" s="1329"/>
      <c r="DY198" s="1329"/>
      <c r="DZ198" s="1329"/>
      <c r="EA198" s="1329"/>
      <c r="EB198" s="1329"/>
      <c r="EC198" s="1329"/>
      <c r="ED198" s="1329"/>
      <c r="EE198" s="1329"/>
      <c r="EH198" s="1461"/>
      <c r="EI198" s="1761"/>
      <c r="EJ198" s="1762"/>
      <c r="EK198" s="1763" t="s">
        <v>12135</v>
      </c>
      <c r="EL198" s="1763"/>
      <c r="EM198" s="1763"/>
      <c r="EN198" s="1763"/>
      <c r="EO198" s="1763"/>
      <c r="EP198" s="1763"/>
      <c r="EQ198" s="1763"/>
      <c r="ER198" s="1763"/>
      <c r="ES198" s="1763"/>
      <c r="ET198" s="1763"/>
      <c r="EU198" s="1763"/>
      <c r="EV198" s="1763"/>
      <c r="EW198" s="1763"/>
      <c r="EX198" s="1763"/>
      <c r="EY198" s="1763"/>
      <c r="EZ198" s="1763"/>
      <c r="FA198" s="1763"/>
      <c r="FB198" s="1763"/>
      <c r="FC198" s="1764"/>
      <c r="FD198" s="1765"/>
      <c r="FE198" s="1329"/>
      <c r="FF198" s="1329"/>
      <c r="FG198" s="1329"/>
      <c r="FH198" s="1329"/>
      <c r="FI198" s="1329"/>
      <c r="FJ198" s="1329"/>
      <c r="FK198" s="1329"/>
      <c r="FL198" s="1329"/>
      <c r="FM198" s="1329"/>
      <c r="FN198" s="1329"/>
      <c r="FO198" s="1329"/>
      <c r="FP198" s="1329"/>
      <c r="FQ198" s="1329"/>
      <c r="FR198" s="1329"/>
      <c r="FS198" s="1329"/>
      <c r="FT198" s="1329"/>
      <c r="FU198" s="1329"/>
      <c r="FV198" s="1329"/>
      <c r="FW198" s="1329"/>
      <c r="FX198" s="1329"/>
      <c r="FY198" s="1329"/>
      <c r="GC198" s="1329"/>
      <c r="GD198" s="1329"/>
      <c r="GE198" s="1329"/>
      <c r="GF198" s="1329"/>
      <c r="GG198" s="1329"/>
      <c r="GH198" s="1329"/>
      <c r="GI198" s="1329"/>
      <c r="GJ198" s="1329"/>
      <c r="GK198" s="1329"/>
    </row>
    <row r="199" ht="14.25" spans="3:193">
      <c r="AN199" s="1333"/>
      <c r="BP199" s="1331"/>
      <c r="BZ199" s="1334"/>
      <c r="DG199" s="1329"/>
      <c r="DH199" s="1329"/>
      <c r="DI199" s="1329"/>
      <c r="DJ199" s="1329"/>
      <c r="DK199" s="1329"/>
      <c r="DL199" s="1329"/>
      <c r="DM199" s="1329"/>
      <c r="DN199" s="1329"/>
      <c r="DO199" s="1329"/>
      <c r="DP199" s="1746"/>
      <c r="DQ199" s="1746"/>
      <c r="DR199" s="1746"/>
      <c r="DS199" s="1329"/>
      <c r="DT199" s="1329"/>
      <c r="DU199" s="1329"/>
      <c r="DV199" s="1329"/>
      <c r="DW199" s="1329"/>
      <c r="DX199" s="1329"/>
      <c r="DY199" s="1329"/>
      <c r="DZ199" s="1329"/>
      <c r="EA199" s="1329"/>
      <c r="EB199" s="1329"/>
      <c r="EC199" s="1329"/>
      <c r="ED199" s="1329"/>
      <c r="EE199" s="1329"/>
      <c r="EI199" s="1329"/>
      <c r="EJ199" s="1329"/>
      <c r="EK199" s="1329"/>
      <c r="EL199" s="1329"/>
      <c r="EM199" s="1647">
        <v>1754381</v>
      </c>
      <c r="EN199" s="1647"/>
      <c r="EO199" s="1647">
        <v>354804</v>
      </c>
      <c r="EP199" s="1647">
        <v>469086</v>
      </c>
      <c r="EQ199" s="1647"/>
      <c r="ER199" s="1647">
        <v>2301623</v>
      </c>
      <c r="ES199" s="1647"/>
      <c r="ET199" s="1647">
        <v>125550.333333333</v>
      </c>
      <c r="EU199" s="1647"/>
      <c r="EV199" s="1647">
        <v>82268</v>
      </c>
      <c r="EW199" s="1647"/>
      <c r="EX199" s="1647">
        <v>4015</v>
      </c>
      <c r="EY199" s="1647">
        <v>29002</v>
      </c>
      <c r="EZ199" s="1647">
        <v>118778</v>
      </c>
      <c r="FA199" s="1647">
        <v>238</v>
      </c>
      <c r="FB199" s="1647">
        <v>6841</v>
      </c>
      <c r="FC199" s="1647">
        <v>150960</v>
      </c>
      <c r="FD199" s="1766"/>
      <c r="FE199" s="1329"/>
      <c r="FH199" s="1329"/>
      <c r="FI199" s="1329"/>
      <c r="FJ199" s="1329"/>
      <c r="FK199" s="1329"/>
      <c r="FL199" s="1329"/>
      <c r="FM199" s="1329"/>
      <c r="FN199" s="1329"/>
      <c r="FO199" s="1329"/>
      <c r="FP199" s="1329"/>
      <c r="FQ199" s="1329"/>
      <c r="FR199" s="1329"/>
      <c r="FS199" s="1329"/>
      <c r="FT199" s="1329"/>
      <c r="FU199" s="1329"/>
      <c r="FV199" s="1329"/>
      <c r="FW199" s="1329"/>
      <c r="FX199" s="1329"/>
      <c r="FY199" s="1329"/>
      <c r="GC199" s="1329"/>
      <c r="GD199" s="1329"/>
      <c r="GE199" s="1329"/>
      <c r="GF199" s="1329"/>
      <c r="GG199" s="1329"/>
      <c r="GH199" s="1329"/>
      <c r="GI199" s="1329"/>
      <c r="GJ199" s="1329"/>
      <c r="GK199" s="1329"/>
    </row>
    <row r="200" ht="14.25" spans="3:193">
      <c r="AN200" s="1333"/>
      <c r="BP200" s="1331"/>
      <c r="BZ200" s="1334"/>
      <c r="DG200" s="1329"/>
      <c r="DH200" s="1329"/>
      <c r="DI200" s="1329"/>
      <c r="DJ200" s="1329"/>
      <c r="DK200" s="1329"/>
      <c r="DL200" s="1329"/>
      <c r="DM200" s="1329"/>
      <c r="DN200" s="1329"/>
      <c r="DO200" s="1329"/>
      <c r="DP200" s="1746"/>
      <c r="DQ200" s="1746"/>
      <c r="DR200" s="1746"/>
      <c r="DS200" s="1329"/>
      <c r="DT200" s="1329"/>
      <c r="DU200" s="1329"/>
      <c r="DV200" s="1329"/>
      <c r="DW200" s="1329"/>
      <c r="DX200" s="1329"/>
      <c r="DY200" s="1329"/>
      <c r="DZ200" s="1329"/>
      <c r="EA200" s="1329"/>
      <c r="EB200" s="1329"/>
      <c r="EC200" s="1329"/>
      <c r="ED200" s="1329"/>
      <c r="EE200" s="1329"/>
      <c r="EI200" s="1329"/>
      <c r="EJ200" s="1329"/>
      <c r="EK200" s="1329"/>
      <c r="EL200" s="1329">
        <f>EL195-1800</f>
        <v>-7663</v>
      </c>
      <c r="EM200" s="1767">
        <f>EM199-EM194</f>
        <v>-275495</v>
      </c>
      <c r="EN200" s="1767"/>
      <c r="EO200" s="1767">
        <f>EO199-EO194</f>
        <v>351624</v>
      </c>
      <c r="EP200" s="1767">
        <f>EP199-EP194</f>
        <v>317500</v>
      </c>
      <c r="EQ200" s="1767"/>
      <c r="ER200" s="1767">
        <f>ER199-ER194</f>
        <v>-687217</v>
      </c>
      <c r="ES200" s="1767"/>
      <c r="ET200" s="1767">
        <f>ET199-ET194</f>
        <v>-26803.0000000003</v>
      </c>
      <c r="EU200" s="1767"/>
      <c r="EV200" s="1767">
        <f>EV199-EV194</f>
        <v>-2432</v>
      </c>
      <c r="EW200" s="1767"/>
      <c r="EX200" s="1767">
        <f t="shared" ref="EX200:FC200" si="28">EX199-EX194</f>
        <v>0</v>
      </c>
      <c r="EY200" s="1767">
        <f t="shared" si="28"/>
        <v>-20302</v>
      </c>
      <c r="EZ200" s="1767">
        <f t="shared" si="28"/>
        <v>-82368</v>
      </c>
      <c r="FA200" s="1767">
        <f t="shared" si="28"/>
        <v>-62</v>
      </c>
      <c r="FB200" s="1767">
        <f t="shared" si="28"/>
        <v>-225129</v>
      </c>
      <c r="FC200" s="1767">
        <f t="shared" si="28"/>
        <v>-640264</v>
      </c>
      <c r="FD200" s="1766"/>
      <c r="FE200" s="1329"/>
      <c r="FH200" s="1329"/>
      <c r="FI200" s="1329"/>
      <c r="FJ200" s="1329"/>
      <c r="FK200" s="1329"/>
      <c r="FL200" s="1329"/>
      <c r="FM200" s="1329"/>
      <c r="FN200" s="1329"/>
      <c r="FO200" s="1329"/>
      <c r="FP200" s="1329"/>
      <c r="FQ200" s="1329"/>
      <c r="FR200" s="1329"/>
      <c r="FS200" s="1329"/>
      <c r="FT200" s="1329"/>
      <c r="FU200" s="1329"/>
      <c r="FV200" s="1329"/>
      <c r="FW200" s="1329"/>
      <c r="FX200" s="1329"/>
      <c r="FY200" s="1329"/>
      <c r="GC200" s="1329"/>
      <c r="GD200" s="1329"/>
      <c r="GE200" s="1329"/>
      <c r="GF200" s="1329"/>
      <c r="GG200" s="1329"/>
      <c r="GH200" s="1329"/>
      <c r="GI200" s="1329"/>
      <c r="GJ200" s="1329"/>
      <c r="GK200" s="1329"/>
    </row>
    <row r="201" ht="15" spans="3:193">
      <c r="AN201" s="1333"/>
      <c r="BP201" s="1331"/>
      <c r="BZ201" s="1334"/>
      <c r="CV201" s="1768"/>
      <c r="DG201" s="1329"/>
      <c r="DH201" s="1329"/>
      <c r="DI201" s="1329"/>
      <c r="DJ201" s="1329"/>
      <c r="DK201" s="1329"/>
      <c r="DL201" s="1329"/>
      <c r="DM201" s="1329"/>
      <c r="DN201" s="1329"/>
      <c r="DO201" s="1329"/>
      <c r="DP201" s="1746"/>
      <c r="DQ201" s="1746"/>
      <c r="DR201" s="1746"/>
      <c r="DS201" s="1329"/>
      <c r="DT201" s="1329"/>
      <c r="DU201" s="1329"/>
      <c r="DV201" s="1329"/>
      <c r="DW201" s="1329"/>
      <c r="DX201" s="1329"/>
      <c r="DY201" s="1329"/>
      <c r="DZ201" s="1329"/>
      <c r="EA201" s="1329"/>
      <c r="EB201" s="1329"/>
      <c r="EC201" s="1329"/>
      <c r="ED201" s="1329"/>
      <c r="EE201" s="1329"/>
      <c r="EI201" s="1329"/>
      <c r="EJ201" s="1329"/>
      <c r="EK201" s="1329"/>
      <c r="EL201" s="1329"/>
      <c r="EM201" s="1329"/>
      <c r="EN201" s="1329"/>
      <c r="EO201" s="1329"/>
      <c r="EP201" s="1329"/>
      <c r="EQ201" s="1329"/>
      <c r="ER201" s="1329"/>
      <c r="ES201" s="1329"/>
      <c r="ET201" s="1329"/>
      <c r="EU201" s="1329"/>
      <c r="EV201" s="1329"/>
      <c r="EW201" s="1329"/>
      <c r="EX201" s="1329"/>
      <c r="EY201" s="1329"/>
      <c r="EZ201" s="1329"/>
      <c r="FA201" s="1329"/>
      <c r="FB201" s="1329"/>
      <c r="FC201" s="1329"/>
      <c r="FD201" s="1766"/>
      <c r="FH201" s="1329"/>
      <c r="FI201" s="1329"/>
      <c r="FJ201" s="1329"/>
      <c r="FK201" s="1329"/>
      <c r="FL201" s="1329"/>
      <c r="FM201" s="1329"/>
      <c r="FN201" s="1329"/>
      <c r="FO201" s="1329"/>
      <c r="FP201" s="1329"/>
      <c r="FQ201" s="1329"/>
      <c r="FR201" s="1329"/>
      <c r="FS201" s="1329"/>
      <c r="FT201" s="1329"/>
      <c r="FU201" s="1329"/>
      <c r="FV201" s="1329"/>
      <c r="FW201" s="1329"/>
      <c r="FX201" s="1329"/>
      <c r="FY201" s="1329"/>
      <c r="GC201" s="1329"/>
      <c r="GD201" s="1329"/>
      <c r="GE201" s="1329"/>
      <c r="GF201" s="1329"/>
      <c r="GG201" s="1329"/>
      <c r="GH201" s="1329"/>
      <c r="GI201" s="1329"/>
      <c r="GJ201" s="1329"/>
      <c r="GK201" s="1329"/>
    </row>
    <row r="202" ht="14.25" spans="3:193">
      <c r="AN202" s="1333"/>
      <c r="BP202" s="1331"/>
      <c r="BZ202" s="1334"/>
      <c r="DG202" s="1329"/>
      <c r="DH202" s="1329"/>
      <c r="DI202" s="1329"/>
      <c r="DJ202" s="1329"/>
      <c r="DK202" s="1329"/>
      <c r="DL202" s="1329"/>
      <c r="DM202" s="1329"/>
      <c r="DN202" s="1329"/>
      <c r="DO202" s="1329"/>
      <c r="DP202" s="1746"/>
      <c r="DQ202" s="1746"/>
      <c r="DR202" s="1746"/>
      <c r="DS202" s="1329"/>
      <c r="DT202" s="1329"/>
      <c r="DU202" s="1329"/>
      <c r="DV202" s="1329"/>
      <c r="DW202" s="1329"/>
      <c r="DX202" s="1329"/>
      <c r="DY202" s="1329"/>
      <c r="DZ202" s="1329"/>
      <c r="EA202" s="1329"/>
      <c r="EB202" s="1329"/>
      <c r="EC202" s="1329"/>
      <c r="ED202" s="1329"/>
      <c r="EE202" s="1329"/>
      <c r="EI202" s="1329"/>
      <c r="EJ202" s="1329"/>
      <c r="EK202" s="1329"/>
      <c r="EL202" s="1329"/>
      <c r="EM202" s="1329"/>
      <c r="EN202" s="1329"/>
      <c r="EO202" s="1329"/>
      <c r="EP202" s="1329"/>
      <c r="EQ202" s="1329"/>
      <c r="ER202" s="1329">
        <f>ER192+ER193-ER195</f>
        <v>2075695</v>
      </c>
      <c r="ES202" s="1329"/>
      <c r="ET202" s="1329"/>
      <c r="EU202" s="1329"/>
      <c r="EV202" s="1329"/>
      <c r="EW202" s="1329"/>
      <c r="EX202" s="1329"/>
      <c r="EY202" s="1329"/>
      <c r="EZ202" s="1329"/>
      <c r="FA202" s="1329"/>
      <c r="FB202" s="1329"/>
      <c r="FC202" s="1329"/>
      <c r="FD202" s="1766"/>
      <c r="FH202" s="1329"/>
      <c r="FI202" s="1329"/>
      <c r="FJ202" s="1329"/>
      <c r="FK202" s="1329"/>
      <c r="FL202" s="1329"/>
      <c r="FM202" s="1329"/>
      <c r="FN202" s="1329"/>
      <c r="FO202" s="1329"/>
      <c r="FP202" s="1329"/>
      <c r="FQ202" s="1329"/>
      <c r="FR202" s="1329"/>
      <c r="FS202" s="1329"/>
      <c r="FT202" s="1329"/>
      <c r="FU202" s="1329"/>
      <c r="FV202" s="1329"/>
      <c r="FW202" s="1329"/>
      <c r="FX202" s="1329"/>
      <c r="FY202" s="1329"/>
      <c r="GC202" s="1329"/>
      <c r="GD202" s="1329"/>
      <c r="GE202" s="1329"/>
      <c r="GF202" s="1329"/>
      <c r="GG202" s="1329"/>
      <c r="GH202" s="1329"/>
      <c r="GI202" s="1329"/>
      <c r="GJ202" s="1329"/>
      <c r="GK202" s="1329"/>
    </row>
    <row r="203" ht="14.25" spans="3:193">
      <c r="AN203" s="1333"/>
      <c r="BP203" s="1331"/>
      <c r="BZ203" s="1334"/>
      <c r="DG203" s="1329"/>
      <c r="DH203" s="1329"/>
      <c r="DI203" s="1329"/>
      <c r="DJ203" s="1329"/>
      <c r="DK203" s="1329"/>
      <c r="DL203" s="1329"/>
      <c r="DM203" s="1329"/>
      <c r="DN203" s="1329"/>
      <c r="DO203" s="1329"/>
      <c r="DP203" s="1746"/>
      <c r="DQ203" s="1746"/>
      <c r="DR203" s="1746"/>
      <c r="DS203" s="1329"/>
      <c r="DT203" s="1329"/>
      <c r="DU203" s="1329"/>
      <c r="DV203" s="1329"/>
      <c r="DW203" s="1329"/>
      <c r="DX203" s="1329"/>
      <c r="DY203" s="1329"/>
      <c r="DZ203" s="1329"/>
      <c r="EA203" s="1329"/>
      <c r="EB203" s="1329"/>
      <c r="EC203" s="1329"/>
      <c r="ED203" s="1329"/>
      <c r="EE203" s="1329"/>
      <c r="EI203" s="1329"/>
      <c r="EJ203" s="1329"/>
      <c r="EK203" s="1329"/>
      <c r="EL203" s="1329"/>
      <c r="EM203" s="1329"/>
      <c r="EN203" s="1329"/>
      <c r="EO203" s="1329"/>
      <c r="EP203" s="1329"/>
      <c r="EQ203" s="1329"/>
      <c r="ER203" s="1329"/>
      <c r="ES203" s="1329"/>
      <c r="ET203" s="1329"/>
      <c r="EU203" s="1329"/>
      <c r="EV203" s="1329"/>
      <c r="EW203" s="1329"/>
      <c r="EX203" s="1329"/>
      <c r="EY203" s="1329"/>
      <c r="EZ203" s="1329"/>
      <c r="FA203" s="1329"/>
      <c r="FB203" s="1329"/>
      <c r="FC203" s="1329"/>
      <c r="FD203" s="1766"/>
      <c r="FH203" s="1329"/>
      <c r="FI203" s="1329"/>
      <c r="FJ203" s="1329"/>
      <c r="FK203" s="1329"/>
      <c r="FL203" s="1329"/>
      <c r="FM203" s="1329"/>
      <c r="FN203" s="1329"/>
      <c r="FO203" s="1329"/>
      <c r="FP203" s="1329"/>
      <c r="FQ203" s="1329"/>
      <c r="FR203" s="1329"/>
      <c r="FS203" s="1329"/>
      <c r="FT203" s="1329"/>
      <c r="FU203" s="1329"/>
      <c r="FV203" s="1329"/>
      <c r="FW203" s="1329"/>
      <c r="FX203" s="1329"/>
      <c r="FY203" s="1329"/>
      <c r="GC203" s="1329"/>
      <c r="GD203" s="1329"/>
      <c r="GE203" s="1329"/>
      <c r="GF203" s="1329"/>
      <c r="GG203" s="1329"/>
      <c r="GH203" s="1329"/>
      <c r="GI203" s="1329"/>
      <c r="GJ203" s="1329"/>
      <c r="GK203" s="1329"/>
    </row>
    <row r="204" ht="14.25" spans="3:193">
      <c r="AN204" s="1333"/>
      <c r="BP204" s="1331"/>
      <c r="BZ204" s="1334"/>
      <c r="DG204" s="1329"/>
      <c r="DH204" s="1329"/>
      <c r="DI204" s="1329"/>
      <c r="DJ204" s="1329"/>
      <c r="DK204" s="1329"/>
      <c r="DL204" s="1329"/>
      <c r="DM204" s="1329"/>
      <c r="DN204" s="1329"/>
      <c r="DO204" s="1329"/>
      <c r="DP204" s="1746"/>
      <c r="DQ204" s="1746"/>
      <c r="DR204" s="1746"/>
      <c r="DS204" s="1329"/>
      <c r="DT204" s="1329"/>
      <c r="DU204" s="1329"/>
      <c r="DV204" s="1329"/>
      <c r="DW204" s="1329"/>
      <c r="DX204" s="1329"/>
      <c r="DY204" s="1329"/>
      <c r="DZ204" s="1329"/>
      <c r="EA204" s="1329"/>
      <c r="EB204" s="1329"/>
      <c r="EC204" s="1329"/>
      <c r="ED204" s="1329"/>
      <c r="EE204" s="1329"/>
      <c r="EI204" s="1329"/>
      <c r="EJ204" s="1329"/>
      <c r="EK204" s="1329"/>
      <c r="EL204" s="1329"/>
      <c r="EM204" s="1329"/>
      <c r="EN204" s="1329"/>
      <c r="EO204" s="1329"/>
      <c r="EP204" s="1329"/>
      <c r="EQ204" s="1329"/>
      <c r="ER204" s="1329"/>
      <c r="ES204" s="1329"/>
      <c r="ET204" s="1329"/>
      <c r="EU204" s="1329"/>
      <c r="EV204" s="1329"/>
      <c r="EW204" s="1329"/>
      <c r="EX204" s="1329"/>
      <c r="EY204" s="1329"/>
      <c r="EZ204" s="1329"/>
      <c r="FA204" s="1329"/>
      <c r="FB204" s="1329"/>
      <c r="FC204" s="1329"/>
      <c r="FD204" s="1766"/>
      <c r="FH204" s="1329"/>
      <c r="FI204" s="1329"/>
      <c r="FJ204" s="1329"/>
      <c r="FK204" s="1329"/>
      <c r="FL204" s="1329"/>
      <c r="FM204" s="1329"/>
      <c r="FN204" s="1329"/>
      <c r="FO204" s="1329"/>
      <c r="FP204" s="1329"/>
      <c r="FQ204" s="1329"/>
      <c r="FR204" s="1329"/>
      <c r="FS204" s="1329"/>
      <c r="FT204" s="1329"/>
      <c r="FU204" s="1329"/>
      <c r="FV204" s="1329"/>
      <c r="FW204" s="1329"/>
      <c r="FX204" s="1329"/>
      <c r="FY204" s="1329"/>
      <c r="GC204" s="1329"/>
      <c r="GD204" s="1329"/>
      <c r="GE204" s="1329"/>
      <c r="GF204" s="1329"/>
      <c r="GG204" s="1329"/>
      <c r="GH204" s="1329"/>
      <c r="GI204" s="1329"/>
      <c r="GJ204" s="1329"/>
      <c r="GK204" s="1329"/>
    </row>
    <row r="205" ht="14.25" spans="3:193">
      <c r="AN205" s="1333"/>
      <c r="BP205" s="1331"/>
      <c r="BZ205" s="1334"/>
      <c r="DG205" s="1329"/>
      <c r="DH205" s="1329"/>
      <c r="DI205" s="1329"/>
      <c r="DJ205" s="1329"/>
      <c r="DK205" s="1329"/>
      <c r="DL205" s="1329"/>
      <c r="DM205" s="1329"/>
      <c r="DN205" s="1329"/>
      <c r="DO205" s="1329"/>
      <c r="DP205" s="1746"/>
      <c r="DQ205" s="1746"/>
      <c r="DR205" s="1746"/>
      <c r="DS205" s="1329"/>
      <c r="DT205" s="1329"/>
      <c r="DU205" s="1329"/>
      <c r="DV205" s="1329"/>
      <c r="DW205" s="1329"/>
      <c r="DX205" s="1329"/>
      <c r="DY205" s="1329"/>
      <c r="DZ205" s="1329"/>
      <c r="EA205" s="1329"/>
      <c r="EB205" s="1329"/>
      <c r="EC205" s="1329"/>
      <c r="ED205" s="1329"/>
      <c r="EE205" s="1329"/>
      <c r="EI205" s="1329"/>
      <c r="EJ205" s="1329"/>
      <c r="EK205" s="1329"/>
      <c r="EL205" s="1329"/>
      <c r="EM205" s="1329"/>
      <c r="EN205" s="1329"/>
      <c r="EO205" s="1329"/>
      <c r="EP205" s="1329"/>
      <c r="EQ205" s="1329"/>
      <c r="ER205" s="1329"/>
      <c r="ES205" s="1329"/>
      <c r="ET205" s="1329"/>
      <c r="EU205" s="1329"/>
      <c r="EV205" s="1329"/>
      <c r="EW205" s="1329"/>
      <c r="EX205" s="1329"/>
      <c r="EY205" s="1329"/>
      <c r="EZ205" s="1329"/>
      <c r="FA205" s="1329"/>
      <c r="FB205" s="1329"/>
      <c r="FC205" s="1329"/>
      <c r="FD205" s="1766"/>
      <c r="FH205" s="1329"/>
      <c r="FI205" s="1329"/>
      <c r="FJ205" s="1329"/>
      <c r="FK205" s="1329"/>
      <c r="FL205" s="1329"/>
      <c r="FM205" s="1329"/>
      <c r="FN205" s="1329"/>
      <c r="FO205" s="1329"/>
      <c r="FP205" s="1329"/>
      <c r="FQ205" s="1329"/>
      <c r="FR205" s="1329"/>
      <c r="FS205" s="1329"/>
      <c r="FT205" s="1329"/>
      <c r="FU205" s="1329"/>
      <c r="FV205" s="1329"/>
      <c r="FW205" s="1329"/>
      <c r="FX205" s="1329"/>
      <c r="FY205" s="1329"/>
      <c r="GC205" s="1329"/>
      <c r="GD205" s="1329"/>
      <c r="GE205" s="1329"/>
      <c r="GF205" s="1329"/>
      <c r="GG205" s="1329"/>
      <c r="GH205" s="1329"/>
      <c r="GI205" s="1329"/>
      <c r="GJ205" s="1329"/>
      <c r="GK205" s="1329"/>
    </row>
    <row r="206" ht="14.25" spans="3:193">
      <c r="AN206" s="1333"/>
      <c r="BP206" s="1331"/>
      <c r="BZ206" s="1334"/>
      <c r="DG206" s="1329"/>
      <c r="DH206" s="1329"/>
      <c r="DI206" s="1329"/>
      <c r="DJ206" s="1329"/>
      <c r="DK206" s="1329"/>
      <c r="DL206" s="1329"/>
      <c r="DM206" s="1329"/>
      <c r="DN206" s="1329"/>
      <c r="DO206" s="1329"/>
      <c r="DP206" s="1746"/>
      <c r="DQ206" s="1746"/>
      <c r="DR206" s="1746"/>
      <c r="DS206" s="1329"/>
      <c r="DT206" s="1329"/>
      <c r="DU206" s="1329"/>
      <c r="DV206" s="1329"/>
      <c r="DW206" s="1329"/>
      <c r="DX206" s="1329"/>
      <c r="DY206" s="1329"/>
      <c r="DZ206" s="1329"/>
      <c r="EA206" s="1329"/>
      <c r="EB206" s="1329"/>
      <c r="EC206" s="1329"/>
      <c r="ED206" s="1329"/>
      <c r="EE206" s="1329"/>
      <c r="EI206" s="1329"/>
      <c r="EJ206" s="1329"/>
      <c r="EK206" s="1329"/>
      <c r="EL206" s="1329"/>
      <c r="EM206" s="1329"/>
      <c r="EN206" s="1329"/>
      <c r="EO206" s="1329"/>
      <c r="EP206" s="1329"/>
      <c r="EQ206" s="1329"/>
      <c r="ER206" s="1329"/>
      <c r="ES206" s="1329"/>
      <c r="ET206" s="1329"/>
      <c r="EU206" s="1329"/>
      <c r="EV206" s="1329"/>
      <c r="EW206" s="1329"/>
      <c r="EX206" s="1329"/>
      <c r="EY206" s="1329"/>
      <c r="EZ206" s="1329"/>
      <c r="FA206" s="1329"/>
      <c r="FB206" s="1329"/>
      <c r="FC206" s="1329"/>
      <c r="FD206" s="1766"/>
      <c r="FH206" s="1329"/>
      <c r="FI206" s="1329"/>
      <c r="FJ206" s="1329"/>
      <c r="FK206" s="1329"/>
      <c r="FL206" s="1329"/>
      <c r="FM206" s="1329"/>
      <c r="FN206" s="1329"/>
      <c r="FO206" s="1329"/>
      <c r="FP206" s="1329"/>
      <c r="FQ206" s="1329"/>
      <c r="FR206" s="1329"/>
      <c r="FS206" s="1329"/>
      <c r="FT206" s="1329"/>
      <c r="FU206" s="1329"/>
      <c r="FV206" s="1329"/>
      <c r="FW206" s="1329"/>
      <c r="FX206" s="1329"/>
      <c r="FY206" s="1329"/>
      <c r="GC206" s="1329"/>
      <c r="GD206" s="1329"/>
      <c r="GE206" s="1329"/>
      <c r="GF206" s="1329"/>
      <c r="GG206" s="1329"/>
      <c r="GH206" s="1329"/>
      <c r="GI206" s="1329"/>
      <c r="GJ206" s="1329"/>
      <c r="GK206" s="1329"/>
    </row>
    <row r="207" ht="14.25" spans="3:193">
      <c r="AN207" s="1333"/>
      <c r="BP207" s="1331"/>
      <c r="BZ207" s="1334"/>
      <c r="DG207" s="1329"/>
      <c r="DH207" s="1329"/>
      <c r="DI207" s="1329"/>
      <c r="DJ207" s="1329"/>
      <c r="DK207" s="1329"/>
      <c r="DL207" s="1329"/>
      <c r="DM207" s="1329"/>
      <c r="DN207" s="1329"/>
      <c r="DO207" s="1329"/>
      <c r="DP207" s="1746"/>
      <c r="DQ207" s="1746"/>
      <c r="DR207" s="1746"/>
      <c r="DS207" s="1329"/>
      <c r="DT207" s="1329"/>
      <c r="DU207" s="1329"/>
      <c r="DV207" s="1329"/>
      <c r="DW207" s="1329"/>
      <c r="DX207" s="1329"/>
      <c r="DY207" s="1329"/>
      <c r="DZ207" s="1329"/>
      <c r="EA207" s="1329"/>
      <c r="EB207" s="1329"/>
      <c r="EC207" s="1329"/>
      <c r="ED207" s="1329"/>
      <c r="EE207" s="1329"/>
      <c r="EI207" s="1329"/>
      <c r="EJ207" s="1329"/>
      <c r="EK207" s="1329"/>
      <c r="EL207" s="1329"/>
      <c r="EM207" s="1329"/>
      <c r="EN207" s="1329"/>
      <c r="EO207" s="1329"/>
      <c r="EP207" s="1329"/>
      <c r="EQ207" s="1329"/>
      <c r="ER207" s="1329"/>
      <c r="ES207" s="1329"/>
      <c r="ET207" s="1329"/>
      <c r="EU207" s="1329"/>
      <c r="EV207" s="1329"/>
      <c r="EW207" s="1329"/>
      <c r="EX207" s="1329"/>
      <c r="EY207" s="1329"/>
      <c r="EZ207" s="1329"/>
      <c r="FA207" s="1329"/>
      <c r="FB207" s="1329"/>
      <c r="FC207" s="1329"/>
      <c r="FD207" s="1766"/>
      <c r="FH207" s="1329"/>
      <c r="FI207" s="1329"/>
      <c r="FJ207" s="1329"/>
      <c r="FK207" s="1329"/>
      <c r="FL207" s="1329"/>
      <c r="FM207" s="1329"/>
      <c r="FN207" s="1329"/>
      <c r="FO207" s="1329"/>
      <c r="FP207" s="1329"/>
      <c r="FQ207" s="1329"/>
      <c r="FR207" s="1329"/>
      <c r="FS207" s="1329"/>
      <c r="FT207" s="1329"/>
      <c r="FU207" s="1329"/>
      <c r="FV207" s="1329"/>
      <c r="FW207" s="1329"/>
      <c r="FX207" s="1329"/>
      <c r="FY207" s="1329"/>
      <c r="GC207" s="1329"/>
      <c r="GD207" s="1329"/>
      <c r="GE207" s="1329"/>
      <c r="GF207" s="1329"/>
      <c r="GG207" s="1329"/>
      <c r="GH207" s="1329"/>
      <c r="GI207" s="1329"/>
      <c r="GJ207" s="1329"/>
      <c r="GK207" s="1329"/>
    </row>
    <row r="208" ht="14.25" spans="3:193">
      <c r="AN208" s="1333"/>
      <c r="BP208" s="1331"/>
      <c r="BZ208" s="1334"/>
      <c r="DG208" s="1329"/>
      <c r="DH208" s="1329"/>
      <c r="DI208" s="1329"/>
      <c r="DJ208" s="1329"/>
      <c r="DK208" s="1329"/>
      <c r="DL208" s="1329"/>
      <c r="DM208" s="1329"/>
      <c r="DN208" s="1329"/>
      <c r="DO208" s="1329"/>
      <c r="DP208" s="1746"/>
      <c r="DQ208" s="1746"/>
      <c r="DR208" s="1746"/>
      <c r="DS208" s="1329"/>
      <c r="DT208" s="1329"/>
      <c r="DU208" s="1329"/>
      <c r="DV208" s="1329"/>
      <c r="DW208" s="1329"/>
      <c r="DX208" s="1329"/>
      <c r="DY208" s="1329"/>
      <c r="DZ208" s="1329"/>
      <c r="EA208" s="1329"/>
      <c r="EB208" s="1329"/>
      <c r="EC208" s="1329"/>
      <c r="ED208" s="1329"/>
      <c r="EE208" s="1329"/>
      <c r="EI208" s="1329"/>
      <c r="EJ208" s="1329"/>
      <c r="EK208" s="1329"/>
      <c r="EL208" s="1329"/>
      <c r="EM208" s="1329"/>
      <c r="EN208" s="1329"/>
      <c r="EO208" s="1329"/>
      <c r="EP208" s="1329"/>
      <c r="EQ208" s="1329"/>
      <c r="ER208" s="1329"/>
      <c r="ES208" s="1329"/>
      <c r="ET208" s="1329"/>
      <c r="EU208" s="1329"/>
      <c r="EV208" s="1329"/>
      <c r="EW208" s="1329"/>
      <c r="EX208" s="1329"/>
      <c r="EY208" s="1329"/>
      <c r="EZ208" s="1329"/>
      <c r="FA208" s="1329"/>
      <c r="FB208" s="1329"/>
      <c r="FC208" s="1329"/>
      <c r="FD208" s="1766"/>
      <c r="FH208" s="1329"/>
      <c r="FI208" s="1329"/>
      <c r="FJ208" s="1329"/>
      <c r="FK208" s="1329"/>
      <c r="FL208" s="1329"/>
      <c r="FM208" s="1329"/>
      <c r="FN208" s="1329"/>
      <c r="FO208" s="1329"/>
      <c r="FP208" s="1329"/>
      <c r="FQ208" s="1329"/>
      <c r="FR208" s="1329"/>
      <c r="FS208" s="1329"/>
      <c r="FT208" s="1329"/>
      <c r="FU208" s="1329"/>
      <c r="FV208" s="1329"/>
      <c r="FW208" s="1329"/>
      <c r="FX208" s="1329"/>
      <c r="FY208" s="1329"/>
    </row>
    <row r="209" ht="14.25" spans="40:181">
      <c r="AN209" s="1333"/>
      <c r="BP209" s="1331"/>
      <c r="BZ209" s="1334"/>
      <c r="DG209" s="1329"/>
      <c r="DH209" s="1329"/>
      <c r="DI209" s="1329"/>
      <c r="DJ209" s="1329"/>
      <c r="DK209" s="1329"/>
      <c r="DL209" s="1329"/>
      <c r="DM209" s="1329"/>
      <c r="DN209" s="1329"/>
      <c r="DO209" s="1329"/>
      <c r="DP209" s="1746"/>
      <c r="DQ209" s="1746"/>
      <c r="DR209" s="1746"/>
      <c r="DS209" s="1329"/>
      <c r="DT209" s="1329"/>
      <c r="DU209" s="1329"/>
      <c r="DV209" s="1329"/>
      <c r="DW209" s="1329"/>
      <c r="DX209" s="1329"/>
      <c r="DY209" s="1329"/>
      <c r="DZ209" s="1329"/>
      <c r="EA209" s="1329"/>
      <c r="EB209" s="1329"/>
      <c r="EC209" s="1329"/>
      <c r="ED209" s="1329"/>
      <c r="EE209" s="1329"/>
      <c r="EI209" s="1329"/>
      <c r="EJ209" s="1329"/>
      <c r="EK209" s="1329"/>
      <c r="EL209" s="1329"/>
      <c r="EM209" s="1329"/>
      <c r="EN209" s="1329"/>
      <c r="EO209" s="1329"/>
      <c r="EP209" s="1329"/>
      <c r="EQ209" s="1329"/>
      <c r="ER209" s="1329"/>
      <c r="ES209" s="1329"/>
      <c r="ET209" s="1329"/>
      <c r="EU209" s="1329"/>
      <c r="EV209" s="1329"/>
      <c r="EW209" s="1329"/>
      <c r="EX209" s="1329"/>
      <c r="EY209" s="1329"/>
      <c r="EZ209" s="1329"/>
      <c r="FA209" s="1329"/>
      <c r="FB209" s="1329"/>
      <c r="FC209" s="1329"/>
      <c r="FD209" s="1766"/>
      <c r="FH209" s="1329"/>
      <c r="FI209" s="1329"/>
      <c r="FJ209" s="1329"/>
      <c r="FK209" s="1329"/>
      <c r="FL209" s="1329"/>
      <c r="FM209" s="1329"/>
      <c r="FN209" s="1329"/>
      <c r="FO209" s="1329"/>
      <c r="FP209" s="1329"/>
      <c r="FQ209" s="1329"/>
      <c r="FR209" s="1329"/>
      <c r="FS209" s="1329"/>
      <c r="FT209" s="1329"/>
      <c r="FU209" s="1329"/>
      <c r="FV209" s="1329"/>
      <c r="FW209" s="1329"/>
      <c r="FX209" s="1329"/>
      <c r="FY209" s="1329"/>
    </row>
    <row r="210" ht="14.25" spans="40:181">
      <c r="AN210" s="1333"/>
      <c r="BP210" s="1331"/>
      <c r="BZ210" s="1334"/>
      <c r="CR210" s="1334"/>
      <c r="CS210" s="1334"/>
      <c r="CT210" s="1334"/>
      <c r="CU210" s="1334"/>
      <c r="CV210" s="1334"/>
      <c r="CW210" s="1334"/>
      <c r="CX210" s="1334"/>
      <c r="CY210" s="1334"/>
      <c r="CZ210" s="1334"/>
      <c r="DA210" s="1334"/>
      <c r="DB210" s="1334"/>
      <c r="DC210" s="1334"/>
      <c r="DD210" s="1334"/>
      <c r="DG210" s="1329"/>
      <c r="DH210" s="1329"/>
      <c r="DI210" s="1329"/>
      <c r="DJ210" s="1329"/>
      <c r="DK210" s="1329"/>
      <c r="DL210" s="1329"/>
      <c r="DM210" s="1329"/>
      <c r="DN210" s="1329"/>
      <c r="DO210" s="1329"/>
      <c r="DP210" s="1746"/>
      <c r="DQ210" s="1746"/>
      <c r="DR210" s="1746"/>
      <c r="DS210" s="1329"/>
      <c r="DT210" s="1329"/>
      <c r="DU210" s="1329"/>
      <c r="DV210" s="1329"/>
      <c r="DW210" s="1329"/>
      <c r="DX210" s="1329"/>
      <c r="DY210" s="1329"/>
      <c r="DZ210" s="1329"/>
      <c r="EA210" s="1329"/>
      <c r="EB210" s="1329"/>
      <c r="EC210" s="1329"/>
      <c r="ED210" s="1329"/>
      <c r="EE210" s="1329"/>
      <c r="EI210" s="1329"/>
      <c r="EJ210" s="1329"/>
      <c r="EK210" s="1329"/>
      <c r="EL210" s="1329"/>
      <c r="EM210" s="1329"/>
      <c r="EN210" s="1329"/>
      <c r="EO210" s="1329"/>
      <c r="EP210" s="1329"/>
      <c r="EQ210" s="1329"/>
      <c r="ER210" s="1329"/>
      <c r="ES210" s="1329"/>
      <c r="ET210" s="1329"/>
      <c r="EU210" s="1329"/>
      <c r="EV210" s="1329"/>
      <c r="EW210" s="1329"/>
      <c r="EX210" s="1329"/>
      <c r="EY210" s="1329"/>
      <c r="EZ210" s="1329"/>
      <c r="FA210" s="1329"/>
      <c r="FB210" s="1329"/>
      <c r="FC210" s="1329"/>
      <c r="FD210" s="1766"/>
      <c r="FH210" s="1329"/>
      <c r="FI210" s="1329"/>
      <c r="FJ210" s="1329"/>
      <c r="FK210" s="1329"/>
      <c r="FL210" s="1329"/>
      <c r="FM210" s="1329"/>
      <c r="FN210" s="1329"/>
      <c r="FO210" s="1329"/>
      <c r="FP210" s="1329"/>
      <c r="FQ210" s="1329"/>
      <c r="FR210" s="1329"/>
      <c r="FS210" s="1329"/>
      <c r="FT210" s="1329"/>
      <c r="FU210" s="1329"/>
      <c r="FV210" s="1329"/>
      <c r="FW210" s="1329"/>
      <c r="FX210" s="1329"/>
      <c r="FY210" s="1329"/>
    </row>
    <row r="211" ht="14.25" spans="40:181">
      <c r="AN211" s="1333"/>
      <c r="BP211" s="1331"/>
      <c r="BZ211" s="1334"/>
      <c r="CR211" s="1334"/>
      <c r="CS211" s="1334"/>
      <c r="CT211" s="1334"/>
      <c r="CU211" s="1334"/>
      <c r="CV211" s="1334"/>
      <c r="CW211" s="1334"/>
      <c r="CX211" s="1334"/>
      <c r="CY211" s="1334"/>
      <c r="CZ211" s="1334"/>
      <c r="DA211" s="1334"/>
      <c r="DB211" s="1334"/>
      <c r="DC211" s="1334"/>
      <c r="DD211" s="1334"/>
      <c r="DG211" s="1329"/>
      <c r="DH211" s="1329"/>
      <c r="DI211" s="1329"/>
      <c r="DJ211" s="1329"/>
      <c r="DK211" s="1329"/>
      <c r="DL211" s="1329"/>
      <c r="DM211" s="1329"/>
      <c r="DN211" s="1329"/>
      <c r="DO211" s="1329"/>
      <c r="DP211" s="1746"/>
      <c r="DQ211" s="1746"/>
      <c r="DR211" s="1746"/>
      <c r="DS211" s="1329"/>
      <c r="DT211" s="1329"/>
      <c r="DU211" s="1329"/>
      <c r="DV211" s="1329"/>
      <c r="DW211" s="1329"/>
      <c r="DX211" s="1329"/>
      <c r="DY211" s="1329"/>
      <c r="DZ211" s="1329"/>
      <c r="EA211" s="1329"/>
      <c r="EB211" s="1329"/>
      <c r="EC211" s="1329"/>
      <c r="ED211" s="1329"/>
      <c r="EE211" s="1329"/>
      <c r="EI211" s="1329"/>
      <c r="EJ211" s="1329"/>
      <c r="EK211" s="1329"/>
      <c r="EL211" s="1329"/>
      <c r="EM211" s="1329"/>
      <c r="EN211" s="1329"/>
      <c r="EO211" s="1329"/>
      <c r="EP211" s="1329"/>
      <c r="EQ211" s="1329"/>
      <c r="ER211" s="1329"/>
      <c r="ES211" s="1329"/>
      <c r="ET211" s="1329"/>
      <c r="EU211" s="1329"/>
      <c r="EV211" s="1329"/>
      <c r="EW211" s="1329"/>
      <c r="EX211" s="1329"/>
      <c r="EY211" s="1329"/>
      <c r="EZ211" s="1329"/>
      <c r="FA211" s="1329"/>
      <c r="FB211" s="1329"/>
      <c r="FC211" s="1329"/>
      <c r="FD211" s="1766"/>
      <c r="FH211" s="1329"/>
      <c r="FI211" s="1329"/>
      <c r="FJ211" s="1329"/>
      <c r="FK211" s="1329"/>
      <c r="FL211" s="1329"/>
      <c r="FM211" s="1329"/>
      <c r="FN211" s="1329"/>
      <c r="FO211" s="1329"/>
      <c r="FP211" s="1329"/>
      <c r="FQ211" s="1329"/>
      <c r="FR211" s="1329"/>
      <c r="FS211" s="1329"/>
      <c r="FT211" s="1329"/>
      <c r="FU211" s="1329"/>
      <c r="FV211" s="1329"/>
      <c r="FW211" s="1329"/>
      <c r="FX211" s="1329"/>
      <c r="FY211" s="1329"/>
    </row>
    <row r="212" ht="14.25" spans="40:181">
      <c r="AN212" s="1333"/>
      <c r="BP212" s="1331"/>
      <c r="BZ212" s="1334"/>
      <c r="CR212" s="1334"/>
      <c r="CS212" s="1334"/>
      <c r="CT212" s="1334"/>
      <c r="CU212" s="1334"/>
      <c r="CV212" s="1334"/>
      <c r="CW212" s="1334"/>
      <c r="CX212" s="1334"/>
      <c r="CY212" s="1334"/>
      <c r="CZ212" s="1334"/>
      <c r="DA212" s="1334"/>
      <c r="DB212" s="1334"/>
      <c r="DC212" s="1334"/>
      <c r="DD212" s="1334"/>
      <c r="DG212" s="1329"/>
      <c r="DH212" s="1329"/>
      <c r="DI212" s="1329"/>
      <c r="DJ212" s="1329"/>
      <c r="DK212" s="1329"/>
      <c r="DL212" s="1329"/>
      <c r="DM212" s="1329"/>
      <c r="DN212" s="1329"/>
      <c r="DO212" s="1329"/>
      <c r="DP212" s="1746"/>
      <c r="DQ212" s="1746"/>
      <c r="DR212" s="1746"/>
      <c r="DS212" s="1329"/>
      <c r="DT212" s="1329"/>
      <c r="DU212" s="1329"/>
      <c r="DV212" s="1329"/>
      <c r="DW212" s="1329"/>
      <c r="DX212" s="1329"/>
      <c r="DY212" s="1329"/>
      <c r="DZ212" s="1329"/>
      <c r="EA212" s="1329"/>
      <c r="EB212" s="1329"/>
      <c r="EC212" s="1329"/>
      <c r="ED212" s="1329"/>
      <c r="EE212" s="1329"/>
      <c r="EI212" s="1329"/>
      <c r="EJ212" s="1329"/>
      <c r="EK212" s="1329"/>
      <c r="EL212" s="1329"/>
      <c r="EM212" s="1329"/>
      <c r="EN212" s="1329"/>
      <c r="EO212" s="1329"/>
      <c r="EP212" s="1329"/>
      <c r="EQ212" s="1329"/>
      <c r="ER212" s="1329"/>
      <c r="ES212" s="1329"/>
      <c r="ET212" s="1329"/>
      <c r="EU212" s="1329"/>
      <c r="EV212" s="1329"/>
      <c r="EW212" s="1329"/>
      <c r="EX212" s="1329"/>
      <c r="EY212" s="1329"/>
      <c r="EZ212" s="1329"/>
      <c r="FA212" s="1329"/>
      <c r="FB212" s="1329"/>
      <c r="FC212" s="1329"/>
      <c r="FD212" s="1766"/>
      <c r="FH212" s="1329"/>
      <c r="FI212" s="1329"/>
      <c r="FJ212" s="1329"/>
      <c r="FK212" s="1329"/>
      <c r="FL212" s="1329"/>
      <c r="FM212" s="1329"/>
      <c r="FN212" s="1329"/>
      <c r="FO212" s="1329"/>
      <c r="FP212" s="1329"/>
      <c r="FQ212" s="1329"/>
      <c r="FR212" s="1329"/>
      <c r="FS212" s="1329"/>
      <c r="FT212" s="1329"/>
      <c r="FU212" s="1329"/>
      <c r="FV212" s="1329"/>
      <c r="FW212" s="1329"/>
      <c r="FX212" s="1329"/>
      <c r="FY212" s="1329"/>
    </row>
    <row r="213" ht="14.25" spans="40:181">
      <c r="AN213" s="1333"/>
      <c r="BP213" s="1331"/>
      <c r="BZ213" s="1334"/>
      <c r="CR213" s="1334"/>
      <c r="CS213" s="1334"/>
      <c r="CT213" s="1334"/>
      <c r="CU213" s="1334"/>
      <c r="CV213" s="1334"/>
      <c r="CW213" s="1334"/>
      <c r="CX213" s="1334"/>
      <c r="CY213" s="1334"/>
      <c r="CZ213" s="1334"/>
      <c r="DA213" s="1334"/>
      <c r="DB213" s="1334"/>
      <c r="DC213" s="1334"/>
      <c r="DD213" s="1334"/>
      <c r="DG213" s="1329"/>
      <c r="DH213" s="1329"/>
      <c r="DI213" s="1329"/>
      <c r="DJ213" s="1329"/>
      <c r="DK213" s="1329"/>
      <c r="DL213" s="1329"/>
      <c r="DM213" s="1329"/>
      <c r="DN213" s="1329"/>
      <c r="DO213" s="1329"/>
      <c r="DP213" s="1746"/>
      <c r="DQ213" s="1746"/>
      <c r="DR213" s="1746"/>
      <c r="DS213" s="1329"/>
      <c r="DT213" s="1329"/>
      <c r="DU213" s="1329"/>
      <c r="DV213" s="1329"/>
      <c r="DW213" s="1329"/>
      <c r="DX213" s="1329"/>
      <c r="DY213" s="1329"/>
      <c r="DZ213" s="1329"/>
      <c r="EA213" s="1329"/>
      <c r="EB213" s="1329"/>
      <c r="EC213" s="1329"/>
      <c r="ED213" s="1329"/>
      <c r="EE213" s="1329"/>
      <c r="EI213" s="1329"/>
      <c r="EJ213" s="1329"/>
      <c r="EK213" s="1329"/>
      <c r="EL213" s="1329"/>
      <c r="EM213" s="1329"/>
      <c r="EN213" s="1329"/>
      <c r="EO213" s="1329"/>
      <c r="EP213" s="1329"/>
      <c r="EQ213" s="1329"/>
      <c r="ER213" s="1329"/>
      <c r="ES213" s="1329"/>
      <c r="ET213" s="1329"/>
      <c r="EU213" s="1329"/>
      <c r="EV213" s="1329"/>
      <c r="EW213" s="1329"/>
      <c r="EX213" s="1329"/>
      <c r="EY213" s="1329"/>
      <c r="EZ213" s="1329"/>
      <c r="FA213" s="1329"/>
      <c r="FB213" s="1329"/>
      <c r="FC213" s="1329"/>
      <c r="FD213" s="1766"/>
      <c r="FH213" s="1329"/>
      <c r="FI213" s="1329"/>
      <c r="FJ213" s="1329"/>
      <c r="FK213" s="1329"/>
      <c r="FL213" s="1329"/>
      <c r="FM213" s="1329"/>
      <c r="FN213" s="1329"/>
      <c r="FO213" s="1329"/>
      <c r="FP213" s="1329"/>
      <c r="FQ213" s="1329"/>
      <c r="FR213" s="1329"/>
      <c r="FS213" s="1329"/>
      <c r="FT213" s="1329"/>
      <c r="FU213" s="1329"/>
      <c r="FV213" s="1329"/>
      <c r="FW213" s="1329"/>
      <c r="FX213" s="1329"/>
      <c r="FY213" s="1329"/>
    </row>
    <row r="214" ht="14.25" spans="40:181">
      <c r="AN214" s="1333"/>
      <c r="BP214" s="1331"/>
      <c r="BZ214" s="1334"/>
      <c r="CR214" s="1334"/>
      <c r="CS214" s="1334"/>
      <c r="CT214" s="1334"/>
      <c r="CU214" s="1334"/>
      <c r="CV214" s="1334"/>
      <c r="CW214" s="1334"/>
      <c r="CX214" s="1334"/>
      <c r="CY214" s="1334"/>
      <c r="CZ214" s="1334"/>
      <c r="DA214" s="1334"/>
      <c r="DB214" s="1334"/>
      <c r="DC214" s="1334"/>
      <c r="DD214" s="1334"/>
      <c r="DG214" s="1329"/>
      <c r="DH214" s="1329"/>
      <c r="DI214" s="1329"/>
      <c r="DJ214" s="1329"/>
      <c r="DK214" s="1329"/>
      <c r="DL214" s="1329"/>
      <c r="DM214" s="1329"/>
      <c r="DN214" s="1329"/>
      <c r="DO214" s="1329"/>
      <c r="DP214" s="1746"/>
      <c r="DQ214" s="1746"/>
      <c r="DR214" s="1746"/>
      <c r="DS214" s="1329"/>
      <c r="DT214" s="1329"/>
      <c r="DU214" s="1329"/>
      <c r="DV214" s="1329"/>
      <c r="DW214" s="1329"/>
      <c r="DX214" s="1329"/>
      <c r="DY214" s="1329"/>
      <c r="DZ214" s="1329"/>
      <c r="EA214" s="1647"/>
      <c r="EB214" s="1647"/>
      <c r="EC214" s="1647"/>
      <c r="ED214" s="1329"/>
      <c r="EE214" s="1329"/>
      <c r="EI214" s="1329"/>
      <c r="EJ214" s="1329"/>
      <c r="EK214" s="1329"/>
      <c r="EL214" s="1329"/>
      <c r="EM214" s="1329"/>
      <c r="EN214" s="1329"/>
      <c r="EO214" s="1329"/>
      <c r="EP214" s="1329"/>
      <c r="EQ214" s="1329"/>
      <c r="ER214" s="1329"/>
      <c r="ES214" s="1329"/>
      <c r="ET214" s="1329"/>
      <c r="EU214" s="1329"/>
      <c r="EV214" s="1329"/>
      <c r="EW214" s="1329"/>
      <c r="EX214" s="1329"/>
      <c r="EY214" s="1329"/>
      <c r="EZ214" s="1329"/>
      <c r="FA214" s="1329"/>
      <c r="FB214" s="1329"/>
      <c r="FC214" s="1329"/>
      <c r="FD214" s="1766"/>
      <c r="FH214" s="1329"/>
      <c r="FI214" s="1329"/>
      <c r="FJ214" s="1329"/>
      <c r="FK214" s="1329"/>
      <c r="FL214" s="1329"/>
      <c r="FM214" s="1329"/>
      <c r="FN214" s="1329"/>
      <c r="FO214" s="1329"/>
      <c r="FP214" s="1329"/>
      <c r="FQ214" s="1329"/>
      <c r="FR214" s="1329"/>
      <c r="FS214" s="1329"/>
      <c r="FT214" s="1329"/>
      <c r="FU214" s="1329"/>
      <c r="FV214" s="1329"/>
      <c r="FW214" s="1329"/>
      <c r="FX214" s="1329"/>
      <c r="FY214" s="1329"/>
    </row>
    <row r="215" ht="14.25" spans="40:181">
      <c r="AN215" s="1333"/>
      <c r="BP215" s="1331"/>
      <c r="BZ215" s="1334"/>
      <c r="DG215" s="1329"/>
      <c r="DH215" s="1329"/>
      <c r="DI215" s="1329"/>
      <c r="DJ215" s="1329"/>
      <c r="DK215" s="1329"/>
      <c r="DL215" s="1329"/>
      <c r="DM215" s="1329"/>
      <c r="DN215" s="1329"/>
      <c r="DO215" s="1329"/>
      <c r="DP215" s="1746"/>
      <c r="DQ215" s="1746"/>
      <c r="DR215" s="1746"/>
      <c r="DS215" s="1329"/>
      <c r="DT215" s="1329"/>
      <c r="DU215" s="1329"/>
      <c r="DV215" s="1329"/>
      <c r="DW215" s="1329"/>
      <c r="DX215" s="1329"/>
      <c r="DY215" s="1329"/>
      <c r="DZ215" s="1329"/>
      <c r="EA215" s="1329"/>
      <c r="EB215" s="1329"/>
      <c r="EC215" s="1329"/>
      <c r="ED215" s="1329"/>
      <c r="EE215" s="1329"/>
      <c r="EI215" s="1329"/>
      <c r="EJ215" s="1329"/>
      <c r="EK215" s="1329"/>
      <c r="EL215" s="1329"/>
      <c r="EM215" s="1329"/>
      <c r="EN215" s="1329"/>
      <c r="EO215" s="1329"/>
      <c r="EP215" s="1329"/>
      <c r="EQ215" s="1329"/>
      <c r="ER215" s="1329"/>
      <c r="ES215" s="1329"/>
      <c r="ET215" s="1329"/>
      <c r="EU215" s="1329"/>
      <c r="EV215" s="1329"/>
      <c r="EW215" s="1329"/>
      <c r="EX215" s="1329"/>
      <c r="EY215" s="1329"/>
      <c r="EZ215" s="1329"/>
      <c r="FA215" s="1329"/>
      <c r="FB215" s="1329"/>
      <c r="FC215" s="1329"/>
      <c r="FD215" s="1766"/>
      <c r="FH215" s="1329"/>
      <c r="FI215" s="1329"/>
      <c r="FJ215" s="1329"/>
      <c r="FK215" s="1329"/>
      <c r="FL215" s="1329"/>
      <c r="FM215" s="1329"/>
      <c r="FN215" s="1329"/>
      <c r="FO215" s="1329"/>
      <c r="FP215" s="1329"/>
      <c r="FQ215" s="1329"/>
      <c r="FR215" s="1329"/>
      <c r="FS215" s="1329"/>
      <c r="FT215" s="1329"/>
      <c r="FU215" s="1329"/>
      <c r="FV215" s="1329"/>
      <c r="FW215" s="1329"/>
      <c r="FX215" s="1329"/>
      <c r="FY215" s="1329"/>
    </row>
    <row r="216" ht="14.25" spans="40:181">
      <c r="AN216" s="1333"/>
      <c r="BP216" s="1331"/>
      <c r="BZ216" s="1334"/>
      <c r="DG216" s="1329"/>
      <c r="DH216" s="1329"/>
      <c r="DI216" s="1329"/>
      <c r="DJ216" s="1329"/>
      <c r="DK216" s="1329"/>
      <c r="DL216" s="1329"/>
      <c r="DM216" s="1329"/>
      <c r="DN216" s="1329"/>
      <c r="DO216" s="1329"/>
      <c r="DP216" s="1746"/>
      <c r="DQ216" s="1746"/>
      <c r="DR216" s="1746"/>
      <c r="DS216" s="1329"/>
      <c r="DT216" s="1329"/>
      <c r="DU216" s="1329"/>
      <c r="DV216" s="1329"/>
      <c r="DW216" s="1329"/>
      <c r="DX216" s="1329"/>
      <c r="DY216" s="1329"/>
      <c r="DZ216" s="1329"/>
      <c r="EA216" s="1329"/>
      <c r="EB216" s="1329"/>
      <c r="EC216" s="1329"/>
      <c r="ED216" s="1329"/>
      <c r="EE216" s="1329"/>
      <c r="EI216" s="1329"/>
      <c r="EJ216" s="1329"/>
      <c r="EK216" s="1329"/>
      <c r="EL216" s="1329"/>
      <c r="EM216" s="1329"/>
      <c r="EN216" s="1329"/>
      <c r="EO216" s="1329"/>
      <c r="EP216" s="1329"/>
      <c r="EQ216" s="1329"/>
      <c r="ER216" s="1329"/>
      <c r="ES216" s="1329"/>
      <c r="ET216" s="1329"/>
      <c r="EU216" s="1329"/>
      <c r="EV216" s="1329"/>
      <c r="EW216" s="1329"/>
      <c r="EX216" s="1329"/>
      <c r="EY216" s="1329"/>
      <c r="EZ216" s="1329"/>
      <c r="FA216" s="1329"/>
      <c r="FB216" s="1329"/>
      <c r="FC216" s="1329"/>
      <c r="FD216" s="1766"/>
      <c r="FH216" s="1329"/>
      <c r="FI216" s="1329"/>
      <c r="FJ216" s="1329"/>
      <c r="FK216" s="1329"/>
      <c r="FL216" s="1329"/>
      <c r="FM216" s="1329"/>
      <c r="FN216" s="1329"/>
      <c r="FO216" s="1329"/>
      <c r="FP216" s="1329"/>
      <c r="FQ216" s="1329"/>
      <c r="FR216" s="1329"/>
      <c r="FS216" s="1329"/>
      <c r="FT216" s="1329"/>
      <c r="FU216" s="1329"/>
      <c r="FV216" s="1329"/>
      <c r="FW216" s="1329"/>
      <c r="FX216" s="1329"/>
      <c r="FY216" s="1329"/>
    </row>
    <row r="217" ht="14.25" spans="40:181">
      <c r="AN217" s="1333"/>
      <c r="BP217" s="1331"/>
      <c r="BZ217" s="1334"/>
      <c r="DG217" s="1329"/>
      <c r="DH217" s="1329"/>
      <c r="DI217" s="1329"/>
      <c r="DJ217" s="1329"/>
      <c r="DK217" s="1329"/>
      <c r="DL217" s="1329"/>
      <c r="DM217" s="1329"/>
      <c r="DN217" s="1329"/>
      <c r="DO217" s="1329"/>
      <c r="DP217" s="1746"/>
      <c r="DQ217" s="1746"/>
      <c r="DR217" s="1746"/>
      <c r="DS217" s="1329"/>
      <c r="DT217" s="1329"/>
      <c r="DU217" s="1329"/>
      <c r="DV217" s="1329"/>
      <c r="DW217" s="1329"/>
      <c r="DX217" s="1329"/>
      <c r="DY217" s="1329"/>
      <c r="DZ217" s="1329"/>
      <c r="EA217" s="1329"/>
      <c r="EB217" s="1329"/>
      <c r="EC217" s="1329"/>
      <c r="ED217" s="1329"/>
      <c r="EE217" s="1329"/>
      <c r="EI217" s="1329"/>
      <c r="EJ217" s="1329"/>
      <c r="EK217" s="1329"/>
      <c r="EL217" s="1329"/>
      <c r="EM217" s="1329"/>
      <c r="EN217" s="1329"/>
      <c r="EO217" s="1329"/>
      <c r="EP217" s="1329"/>
      <c r="EQ217" s="1329"/>
      <c r="ER217" s="1329"/>
      <c r="ES217" s="1329"/>
      <c r="ET217" s="1329"/>
      <c r="EU217" s="1329"/>
      <c r="EV217" s="1329"/>
      <c r="EW217" s="1329"/>
      <c r="EX217" s="1329"/>
      <c r="EY217" s="1329"/>
      <c r="EZ217" s="1329"/>
      <c r="FA217" s="1329"/>
      <c r="FB217" s="1329"/>
      <c r="FC217" s="1329"/>
      <c r="FD217" s="1766"/>
      <c r="FH217" s="1329"/>
      <c r="FI217" s="1329"/>
      <c r="FJ217" s="1329"/>
      <c r="FK217" s="1329"/>
      <c r="FL217" s="1329"/>
      <c r="FM217" s="1329"/>
      <c r="FN217" s="1329"/>
      <c r="FO217" s="1329"/>
      <c r="FP217" s="1329"/>
      <c r="FQ217" s="1329"/>
      <c r="FR217" s="1329"/>
      <c r="FS217" s="1329"/>
      <c r="FT217" s="1329"/>
      <c r="FU217" s="1329"/>
      <c r="FV217" s="1329"/>
      <c r="FW217" s="1329"/>
      <c r="FX217" s="1329"/>
      <c r="FY217" s="1329"/>
    </row>
    <row r="218" ht="14.25" spans="40:181">
      <c r="AN218" s="1333"/>
      <c r="BP218" s="1331"/>
      <c r="BZ218" s="1334"/>
      <c r="DG218" s="1329"/>
      <c r="DH218" s="1329"/>
      <c r="DI218" s="1329"/>
      <c r="DJ218" s="1329"/>
      <c r="DK218" s="1329"/>
      <c r="DL218" s="1329"/>
      <c r="DM218" s="1329"/>
      <c r="DN218" s="1329"/>
      <c r="DO218" s="1329"/>
      <c r="DP218" s="1746"/>
      <c r="DQ218" s="1746"/>
      <c r="DR218" s="1746"/>
      <c r="DS218" s="1329"/>
      <c r="DT218" s="1329"/>
      <c r="DU218" s="1329"/>
      <c r="DV218" s="1329"/>
      <c r="DW218" s="1329"/>
      <c r="DX218" s="1329"/>
      <c r="DY218" s="1329"/>
      <c r="DZ218" s="1329"/>
      <c r="EA218" s="1329"/>
      <c r="EB218" s="1329"/>
      <c r="EC218" s="1329"/>
      <c r="ED218" s="1329"/>
      <c r="EE218" s="1329"/>
      <c r="EI218" s="1329"/>
      <c r="EJ218" s="1329"/>
      <c r="EK218" s="1329"/>
      <c r="EL218" s="1329"/>
      <c r="EM218" s="1329"/>
      <c r="EN218" s="1329"/>
      <c r="EO218" s="1329"/>
      <c r="EP218" s="1329"/>
      <c r="EQ218" s="1329"/>
      <c r="ER218" s="1329"/>
      <c r="ES218" s="1329"/>
      <c r="ET218" s="1329"/>
      <c r="EU218" s="1329"/>
      <c r="EV218" s="1329"/>
      <c r="EW218" s="1329"/>
      <c r="EX218" s="1329"/>
      <c r="EY218" s="1329"/>
      <c r="EZ218" s="1329"/>
      <c r="FA218" s="1329"/>
      <c r="FB218" s="1329"/>
      <c r="FC218" s="1329"/>
      <c r="FD218" s="1769"/>
      <c r="FH218" s="1329"/>
      <c r="FI218" s="1329"/>
      <c r="FJ218" s="1329"/>
      <c r="FK218" s="1329"/>
      <c r="FL218" s="1329"/>
      <c r="FM218" s="1329"/>
      <c r="FN218" s="1329"/>
      <c r="FO218" s="1329"/>
      <c r="FP218" s="1329"/>
      <c r="FQ218" s="1329"/>
      <c r="FR218" s="1329"/>
      <c r="FS218" s="1329"/>
      <c r="FT218" s="1329"/>
      <c r="FU218" s="1329"/>
      <c r="FV218" s="1329"/>
      <c r="FW218" s="1329"/>
      <c r="FX218" s="1329"/>
      <c r="FY218" s="1329"/>
    </row>
    <row r="219" ht="14.25" spans="40:181">
      <c r="AN219" s="1333"/>
      <c r="BP219" s="1331"/>
      <c r="BZ219" s="1334"/>
      <c r="DG219" s="1329"/>
      <c r="DH219" s="1329"/>
      <c r="DI219" s="1329"/>
      <c r="DJ219" s="1329"/>
      <c r="DK219" s="1329"/>
      <c r="DL219" s="1329"/>
      <c r="DM219" s="1329"/>
      <c r="DN219" s="1329"/>
      <c r="DO219" s="1329"/>
      <c r="DP219" s="1746"/>
      <c r="DQ219" s="1746"/>
      <c r="DR219" s="1746"/>
      <c r="DS219" s="1329"/>
      <c r="DT219" s="1329"/>
      <c r="DU219" s="1329"/>
      <c r="DV219" s="1329"/>
      <c r="DW219" s="1329"/>
      <c r="DX219" s="1329"/>
      <c r="DY219" s="1329"/>
      <c r="DZ219" s="1329"/>
      <c r="EA219" s="1329"/>
      <c r="EB219" s="1329"/>
      <c r="EC219" s="1329"/>
      <c r="ED219" s="1329"/>
      <c r="EE219" s="1329"/>
      <c r="EI219" s="1329"/>
      <c r="EJ219" s="1329"/>
      <c r="EK219" s="1329"/>
      <c r="EL219" s="1329"/>
      <c r="EM219" s="1329"/>
      <c r="EN219" s="1329"/>
      <c r="EO219" s="1329"/>
      <c r="EP219" s="1329"/>
      <c r="EQ219" s="1329"/>
      <c r="ER219" s="1329"/>
      <c r="ES219" s="1329"/>
      <c r="ET219" s="1329"/>
      <c r="EU219" s="1329"/>
      <c r="EV219" s="1329"/>
      <c r="EW219" s="1329"/>
      <c r="EX219" s="1329"/>
      <c r="EY219" s="1329"/>
      <c r="EZ219" s="1329"/>
      <c r="FA219" s="1329"/>
      <c r="FB219" s="1329"/>
      <c r="FC219" s="1329"/>
      <c r="FD219" s="1769"/>
      <c r="FH219" s="1330"/>
      <c r="FI219" s="1330"/>
      <c r="FJ219" s="1330"/>
      <c r="FK219" s="1330"/>
      <c r="FL219" s="1330"/>
      <c r="FM219" s="1330"/>
      <c r="FN219" s="1330"/>
      <c r="FO219" s="1330"/>
      <c r="FP219" s="1330"/>
      <c r="FQ219" s="1330"/>
      <c r="FR219" s="1330"/>
      <c r="FS219" s="1330"/>
      <c r="FT219" s="1330"/>
      <c r="FU219" s="1330"/>
      <c r="FV219" s="1330"/>
      <c r="FW219" s="1330"/>
      <c r="FX219" s="1330"/>
      <c r="FY219" s="1330"/>
    </row>
    <row r="220" ht="14.25" spans="40:181">
      <c r="AN220" s="1333"/>
      <c r="BP220" s="1331"/>
      <c r="BZ220" s="1334"/>
      <c r="DG220" s="1329"/>
      <c r="DH220" s="1329"/>
      <c r="DI220" s="1329"/>
      <c r="DJ220" s="1329"/>
      <c r="DK220" s="1329"/>
      <c r="DL220" s="1329"/>
      <c r="DM220" s="1329"/>
      <c r="DN220" s="1329"/>
      <c r="DO220" s="1329"/>
      <c r="DP220" s="1746"/>
      <c r="DQ220" s="1746"/>
      <c r="DR220" s="1746"/>
      <c r="DS220" s="1329"/>
      <c r="DT220" s="1329"/>
      <c r="DU220" s="1329"/>
      <c r="DV220" s="1329"/>
      <c r="DW220" s="1329"/>
      <c r="DX220" s="1329"/>
      <c r="DY220" s="1329"/>
      <c r="DZ220" s="1329"/>
      <c r="EA220" s="1329"/>
      <c r="EB220" s="1329"/>
      <c r="EC220" s="1329"/>
      <c r="ED220" s="1329"/>
      <c r="EE220" s="1329"/>
      <c r="EI220" s="1329"/>
      <c r="EJ220" s="1329"/>
      <c r="EK220" s="1329"/>
      <c r="EL220" s="1329"/>
      <c r="EM220" s="1329"/>
      <c r="EN220" s="1329"/>
      <c r="EO220" s="1329"/>
      <c r="EP220" s="1329"/>
      <c r="EQ220" s="1329"/>
      <c r="ER220" s="1329"/>
      <c r="ES220" s="1329"/>
      <c r="ET220" s="1329"/>
      <c r="EU220" s="1329"/>
      <c r="EV220" s="1329"/>
      <c r="EW220" s="1329"/>
      <c r="EX220" s="1329"/>
      <c r="EY220" s="1329"/>
      <c r="EZ220" s="1329"/>
      <c r="FA220" s="1329"/>
      <c r="FB220" s="1329"/>
      <c r="FC220" s="1329"/>
      <c r="FD220" s="1769"/>
      <c r="FH220" s="1330"/>
      <c r="FI220" s="1330"/>
      <c r="FJ220" s="1330"/>
      <c r="FK220" s="1330"/>
      <c r="FL220" s="1330"/>
      <c r="FM220" s="1330"/>
      <c r="FN220" s="1330"/>
      <c r="FO220" s="1330"/>
      <c r="FP220" s="1330"/>
      <c r="FQ220" s="1330"/>
      <c r="FR220" s="1330"/>
      <c r="FS220" s="1330"/>
      <c r="FT220" s="1330"/>
      <c r="FU220" s="1330"/>
      <c r="FV220" s="1330"/>
      <c r="FW220" s="1330"/>
      <c r="FX220" s="1330"/>
      <c r="FY220" s="1330"/>
    </row>
    <row r="221" ht="14.25" spans="40:181">
      <c r="AN221" s="1333"/>
      <c r="BP221" s="1331"/>
      <c r="BZ221" s="1334"/>
      <c r="DG221" s="1329"/>
      <c r="DH221" s="1329"/>
      <c r="DI221" s="1329"/>
      <c r="DJ221" s="1329"/>
      <c r="DK221" s="1329"/>
      <c r="DL221" s="1329"/>
      <c r="DM221" s="1329"/>
      <c r="DN221" s="1329"/>
      <c r="DO221" s="1329"/>
      <c r="DP221" s="1746"/>
      <c r="DQ221" s="1746"/>
      <c r="DR221" s="1746"/>
      <c r="DS221" s="1329"/>
      <c r="DT221" s="1329"/>
      <c r="DU221" s="1329"/>
      <c r="DV221" s="1329"/>
      <c r="DW221" s="1329"/>
      <c r="DX221" s="1329"/>
      <c r="DY221" s="1329"/>
      <c r="DZ221" s="1329"/>
      <c r="EA221" s="1329"/>
      <c r="EB221" s="1329"/>
      <c r="EC221" s="1329"/>
      <c r="ED221" s="1329"/>
      <c r="EE221" s="1329"/>
      <c r="EI221" s="1329"/>
      <c r="EJ221" s="1329"/>
      <c r="EK221" s="1329"/>
      <c r="EL221" s="1329"/>
      <c r="EM221" s="1329"/>
      <c r="EN221" s="1329"/>
      <c r="EO221" s="1329"/>
      <c r="EP221" s="1329"/>
      <c r="EQ221" s="1329"/>
      <c r="ER221" s="1329"/>
      <c r="ES221" s="1329"/>
      <c r="ET221" s="1329"/>
      <c r="EU221" s="1329"/>
      <c r="EV221" s="1329"/>
      <c r="EW221" s="1329"/>
      <c r="EX221" s="1329"/>
      <c r="EY221" s="1329"/>
      <c r="EZ221" s="1329"/>
      <c r="FA221" s="1329"/>
      <c r="FB221" s="1329"/>
      <c r="FC221" s="1329"/>
      <c r="FD221" s="1769"/>
      <c r="FH221" s="1329"/>
      <c r="FI221" s="1329"/>
      <c r="FJ221" s="1329"/>
      <c r="FK221" s="1329"/>
      <c r="FL221" s="1329"/>
      <c r="FM221" s="1329"/>
      <c r="FN221" s="1329"/>
      <c r="FO221" s="1329"/>
      <c r="FP221" s="1329"/>
      <c r="FQ221" s="1329"/>
      <c r="FR221" s="1329"/>
      <c r="FS221" s="1329"/>
      <c r="FT221" s="1329"/>
      <c r="FU221" s="1329"/>
      <c r="FV221" s="1329"/>
      <c r="FW221" s="1329"/>
      <c r="FX221" s="1329"/>
      <c r="FY221" s="1329"/>
    </row>
    <row r="222" ht="14.25" spans="40:181">
      <c r="AN222" s="1333"/>
      <c r="BP222" s="1331"/>
      <c r="BZ222" s="1334"/>
      <c r="CP222" s="1334"/>
      <c r="CQ222" s="1334"/>
      <c r="DG222" s="1329"/>
      <c r="DH222" s="1329"/>
      <c r="DI222" s="1329"/>
      <c r="DJ222" s="1329"/>
      <c r="DK222" s="1329"/>
      <c r="DL222" s="1329"/>
      <c r="DM222" s="1329"/>
      <c r="DN222" s="1329"/>
      <c r="DO222" s="1329"/>
      <c r="DP222" s="1746"/>
      <c r="DQ222" s="1746"/>
      <c r="DR222" s="1746"/>
      <c r="DS222" s="1329"/>
      <c r="DT222" s="1329"/>
      <c r="DU222" s="1329"/>
      <c r="DV222" s="1329"/>
      <c r="DW222" s="1329"/>
      <c r="DX222" s="1329"/>
      <c r="DY222" s="1329"/>
      <c r="DZ222" s="1329"/>
      <c r="EA222" s="1329"/>
      <c r="EB222" s="1329"/>
      <c r="EC222" s="1329"/>
      <c r="ED222" s="1329"/>
      <c r="EE222" s="1330"/>
      <c r="EI222" s="1329"/>
      <c r="EJ222" s="1329"/>
      <c r="EK222" s="1329"/>
      <c r="EL222" s="1329"/>
      <c r="EM222" s="1329"/>
      <c r="EN222" s="1329"/>
      <c r="EO222" s="1329"/>
      <c r="EP222" s="1329"/>
      <c r="EQ222" s="1329"/>
      <c r="ER222" s="1329"/>
      <c r="ES222" s="1329"/>
      <c r="ET222" s="1329"/>
      <c r="EU222" s="1329"/>
      <c r="EV222" s="1329"/>
      <c r="EW222" s="1329"/>
      <c r="EX222" s="1329"/>
      <c r="EY222" s="1329"/>
      <c r="EZ222" s="1329"/>
      <c r="FA222" s="1329"/>
      <c r="FB222" s="1329"/>
      <c r="FC222" s="1329"/>
      <c r="FD222" s="1769"/>
      <c r="FH222" s="1329"/>
      <c r="FI222" s="1329"/>
      <c r="FJ222" s="1329"/>
      <c r="FK222" s="1329"/>
      <c r="FL222" s="1329"/>
      <c r="FM222" s="1329"/>
      <c r="FN222" s="1329"/>
      <c r="FO222" s="1329"/>
      <c r="FP222" s="1329"/>
      <c r="FQ222" s="1329"/>
      <c r="FR222" s="1329"/>
      <c r="FS222" s="1329"/>
      <c r="FT222" s="1329"/>
      <c r="FU222" s="1329"/>
      <c r="FV222" s="1329"/>
      <c r="FW222" s="1329"/>
      <c r="FX222" s="1329"/>
      <c r="FY222" s="1329"/>
    </row>
    <row r="223" ht="14.25" spans="40:181">
      <c r="AN223" s="1333"/>
      <c r="BP223" s="1331"/>
      <c r="BZ223" s="1334"/>
      <c r="CP223" s="1334"/>
      <c r="CQ223" s="1334"/>
      <c r="DG223" s="1329"/>
      <c r="DH223" s="1329"/>
      <c r="DI223" s="1329"/>
      <c r="DJ223" s="1329"/>
      <c r="DK223" s="1329"/>
      <c r="DL223" s="1329"/>
      <c r="DM223" s="1329"/>
      <c r="DN223" s="1329"/>
      <c r="DO223" s="1329"/>
      <c r="DP223" s="1746"/>
      <c r="DQ223" s="1746"/>
      <c r="DR223" s="1746"/>
      <c r="DS223" s="1329"/>
      <c r="DT223" s="1329"/>
      <c r="DU223" s="1329"/>
      <c r="DV223" s="1329"/>
      <c r="DW223" s="1329"/>
      <c r="DX223" s="1329"/>
      <c r="DY223" s="1329"/>
      <c r="DZ223" s="1329"/>
      <c r="EA223" s="1329"/>
      <c r="EB223" s="1329"/>
      <c r="EC223" s="1329"/>
      <c r="ED223" s="1329"/>
      <c r="EE223" s="1329"/>
      <c r="EI223" s="1329"/>
      <c r="EJ223" s="1329"/>
      <c r="EK223" s="1329"/>
      <c r="EL223" s="1329"/>
      <c r="EM223" s="1329"/>
      <c r="EN223" s="1329"/>
      <c r="EO223" s="1329"/>
      <c r="EP223" s="1329"/>
      <c r="EQ223" s="1329"/>
      <c r="ER223" s="1329"/>
      <c r="ES223" s="1329"/>
      <c r="ET223" s="1329"/>
      <c r="EU223" s="1329"/>
      <c r="EV223" s="1329"/>
      <c r="EW223" s="1329"/>
      <c r="EX223" s="1329"/>
      <c r="EY223" s="1329"/>
      <c r="EZ223" s="1329"/>
      <c r="FA223" s="1329"/>
      <c r="FB223" s="1329"/>
      <c r="FC223" s="1329"/>
      <c r="FD223" s="1769"/>
      <c r="FH223" s="1329"/>
      <c r="FI223" s="1329"/>
      <c r="FJ223" s="1329"/>
      <c r="FK223" s="1329"/>
      <c r="FL223" s="1329"/>
      <c r="FM223" s="1329"/>
      <c r="FN223" s="1329"/>
      <c r="FO223" s="1329"/>
      <c r="FP223" s="1329"/>
      <c r="FQ223" s="1329"/>
      <c r="FR223" s="1329"/>
      <c r="FS223" s="1329"/>
      <c r="FT223" s="1329"/>
      <c r="FU223" s="1329"/>
      <c r="FV223" s="1329"/>
      <c r="FW223" s="1329"/>
      <c r="FX223" s="1329"/>
      <c r="FY223" s="1329"/>
    </row>
    <row r="224" ht="14.25" spans="40:181">
      <c r="AN224" s="1333"/>
      <c r="BP224" s="1331"/>
      <c r="BZ224" s="1334"/>
      <c r="CP224" s="1334"/>
      <c r="CQ224" s="1334"/>
      <c r="DG224" s="1329"/>
      <c r="DH224" s="1329"/>
      <c r="DI224" s="1329"/>
      <c r="DJ224" s="1329"/>
      <c r="DK224" s="1329"/>
      <c r="DL224" s="1329"/>
      <c r="DM224" s="1329"/>
      <c r="DN224" s="1329"/>
      <c r="DO224" s="1329"/>
      <c r="DP224" s="1746"/>
      <c r="DQ224" s="1746"/>
      <c r="DR224" s="1746"/>
      <c r="DS224" s="1329"/>
      <c r="DT224" s="1329"/>
      <c r="DU224" s="1329"/>
      <c r="DV224" s="1329"/>
      <c r="DW224" s="1329"/>
      <c r="DX224" s="1329"/>
      <c r="DY224" s="1329"/>
      <c r="DZ224" s="1329"/>
      <c r="EA224" s="1329"/>
      <c r="EB224" s="1329"/>
      <c r="EC224" s="1329"/>
      <c r="ED224" s="1329"/>
      <c r="EE224" s="1329"/>
      <c r="EI224" s="1329"/>
      <c r="EJ224" s="1329"/>
      <c r="EK224" s="1329"/>
      <c r="EL224" s="1329"/>
      <c r="EM224" s="1329"/>
      <c r="EN224" s="1329"/>
      <c r="EO224" s="1329"/>
      <c r="EP224" s="1329"/>
      <c r="EQ224" s="1329"/>
      <c r="ER224" s="1329"/>
      <c r="ES224" s="1329"/>
      <c r="ET224" s="1329"/>
      <c r="EU224" s="1329"/>
      <c r="EV224" s="1329"/>
      <c r="EW224" s="1329"/>
      <c r="EX224" s="1329"/>
      <c r="EY224" s="1329"/>
      <c r="EZ224" s="1329"/>
      <c r="FA224" s="1329"/>
      <c r="FB224" s="1329"/>
      <c r="FC224" s="1329"/>
      <c r="FD224" s="1769"/>
      <c r="FH224" s="1329"/>
      <c r="FI224" s="1329"/>
      <c r="FJ224" s="1329"/>
      <c r="FK224" s="1329"/>
      <c r="FL224" s="1329"/>
      <c r="FM224" s="1329"/>
      <c r="FN224" s="1329"/>
      <c r="FO224" s="1329"/>
      <c r="FP224" s="1329"/>
      <c r="FQ224" s="1329"/>
      <c r="FR224" s="1329"/>
      <c r="FS224" s="1329"/>
      <c r="FT224" s="1329"/>
      <c r="FU224" s="1329"/>
      <c r="FV224" s="1329"/>
      <c r="FW224" s="1329"/>
      <c r="FX224" s="1329"/>
      <c r="FY224" s="1329"/>
    </row>
    <row r="225" ht="14.25" spans="40:181">
      <c r="AN225" s="1333"/>
      <c r="BP225" s="1331"/>
      <c r="BZ225" s="1334"/>
      <c r="CP225" s="1334"/>
      <c r="CQ225" s="1334"/>
      <c r="DG225" s="1329"/>
      <c r="DH225" s="1329"/>
      <c r="DI225" s="1329"/>
      <c r="DJ225" s="1329"/>
      <c r="DK225" s="1329"/>
      <c r="DL225" s="1329"/>
      <c r="DM225" s="1329"/>
      <c r="DN225" s="1329"/>
      <c r="DO225" s="1329"/>
      <c r="DP225" s="1746"/>
      <c r="DQ225" s="1746"/>
      <c r="DR225" s="1746"/>
      <c r="DS225" s="1329"/>
      <c r="DT225" s="1329"/>
      <c r="DU225" s="1329"/>
      <c r="DV225" s="1329"/>
      <c r="DW225" s="1329"/>
      <c r="DX225" s="1329"/>
      <c r="DY225" s="1329"/>
      <c r="DZ225" s="1329"/>
      <c r="EA225" s="1329"/>
      <c r="EB225" s="1329"/>
      <c r="EC225" s="1329"/>
      <c r="ED225" s="1329"/>
      <c r="EE225" s="1329"/>
      <c r="EI225" s="1330"/>
      <c r="EJ225" s="1330"/>
      <c r="EK225" s="1330"/>
      <c r="EL225" s="1330"/>
      <c r="EM225" s="1330"/>
      <c r="EN225" s="1330"/>
      <c r="EO225" s="1330"/>
      <c r="EP225" s="1330"/>
      <c r="EQ225" s="1330"/>
      <c r="ER225" s="1330"/>
      <c r="ES225" s="1330"/>
      <c r="ET225" s="1330"/>
      <c r="EU225" s="1330"/>
      <c r="EV225" s="1330"/>
      <c r="EW225" s="1330"/>
      <c r="EX225" s="1330"/>
      <c r="EY225" s="1330"/>
      <c r="EZ225" s="1330"/>
      <c r="FA225" s="1330"/>
      <c r="FB225" s="1330"/>
      <c r="FC225" s="1330"/>
      <c r="FD225" s="1766"/>
      <c r="FH225" s="1329"/>
      <c r="FI225" s="1329"/>
      <c r="FJ225" s="1329"/>
      <c r="FK225" s="1329"/>
      <c r="FL225" s="1329"/>
      <c r="FM225" s="1329"/>
      <c r="FN225" s="1329"/>
      <c r="FO225" s="1329"/>
      <c r="FP225" s="1329"/>
      <c r="FQ225" s="1329"/>
      <c r="FR225" s="1329"/>
      <c r="FS225" s="1329"/>
      <c r="FT225" s="1329"/>
      <c r="FU225" s="1329"/>
      <c r="FV225" s="1329"/>
      <c r="FW225" s="1329"/>
      <c r="FX225" s="1329"/>
      <c r="FY225" s="1329"/>
    </row>
    <row r="226" ht="14.25" spans="40:181">
      <c r="AN226" s="1333"/>
      <c r="BZ226" s="1334"/>
      <c r="CP226" s="1334"/>
      <c r="CQ226" s="1334"/>
      <c r="DG226" s="1329"/>
      <c r="DH226" s="1329"/>
      <c r="DI226" s="1329"/>
      <c r="DJ226" s="1329"/>
      <c r="DK226" s="1329"/>
      <c r="DL226" s="1329"/>
      <c r="DM226" s="1329"/>
      <c r="DN226" s="1329"/>
      <c r="DO226" s="1329"/>
      <c r="DP226" s="1746"/>
      <c r="DQ226" s="1746"/>
      <c r="DR226" s="1746"/>
      <c r="DS226" s="1329"/>
      <c r="DT226" s="1329"/>
      <c r="DU226" s="1329"/>
      <c r="DV226" s="1329"/>
      <c r="DW226" s="1329"/>
      <c r="DX226" s="1329"/>
      <c r="DY226" s="1329"/>
      <c r="DZ226" s="1329"/>
      <c r="EA226" s="1329"/>
      <c r="EB226" s="1329"/>
      <c r="EC226" s="1329"/>
      <c r="ED226" s="1329"/>
      <c r="EE226" s="1329"/>
      <c r="EI226" s="1330"/>
      <c r="EJ226" s="1330"/>
      <c r="EK226" s="1330"/>
      <c r="EL226" s="1330"/>
      <c r="EM226" s="1330"/>
      <c r="EN226" s="1330"/>
      <c r="EO226" s="1330"/>
      <c r="EP226" s="1330"/>
      <c r="EQ226" s="1330"/>
      <c r="ER226" s="1330"/>
      <c r="ES226" s="1330"/>
      <c r="ET226" s="1330"/>
      <c r="EU226" s="1330"/>
      <c r="EV226" s="1330"/>
      <c r="EW226" s="1330"/>
      <c r="EX226" s="1330"/>
      <c r="EY226" s="1330"/>
      <c r="EZ226" s="1330"/>
      <c r="FA226" s="1330"/>
      <c r="FB226" s="1330"/>
      <c r="FC226" s="1330"/>
      <c r="FD226" s="1766"/>
      <c r="FH226" s="1329"/>
      <c r="FI226" s="1329"/>
      <c r="FJ226" s="1329"/>
      <c r="FK226" s="1329"/>
      <c r="FL226" s="1329"/>
      <c r="FM226" s="1329"/>
      <c r="FN226" s="1329"/>
      <c r="FO226" s="1329"/>
      <c r="FP226" s="1329"/>
      <c r="FQ226" s="1329"/>
      <c r="FR226" s="1329"/>
      <c r="FS226" s="1329"/>
      <c r="FT226" s="1329"/>
      <c r="FU226" s="1329"/>
      <c r="FV226" s="1329"/>
      <c r="FW226" s="1329"/>
      <c r="FX226" s="1329"/>
      <c r="FY226" s="1329"/>
    </row>
    <row r="227" ht="14.25" spans="40:181">
      <c r="AN227" s="1333"/>
      <c r="BZ227" s="1334"/>
      <c r="DG227" s="1329"/>
      <c r="DH227" s="1329"/>
      <c r="DI227" s="1329"/>
      <c r="DJ227" s="1329"/>
      <c r="DK227" s="1329"/>
      <c r="DL227" s="1329"/>
      <c r="DM227" s="1329"/>
      <c r="DN227" s="1329"/>
      <c r="DO227" s="1329"/>
      <c r="DP227" s="1746"/>
      <c r="DQ227" s="1746"/>
      <c r="DR227" s="1746"/>
      <c r="DS227" s="1329"/>
      <c r="DT227" s="1329"/>
      <c r="DU227" s="1329"/>
      <c r="DV227" s="1329"/>
      <c r="DW227" s="1329"/>
      <c r="DX227" s="1329"/>
      <c r="DY227" s="1329"/>
      <c r="DZ227" s="1329"/>
      <c r="EA227" s="1329"/>
      <c r="EB227" s="1329"/>
      <c r="EC227" s="1329"/>
      <c r="ED227" s="1329"/>
      <c r="EE227" s="1329"/>
      <c r="EI227" s="1330"/>
      <c r="EJ227" s="1330"/>
      <c r="EK227" s="1330"/>
      <c r="EL227" s="1330"/>
      <c r="EM227" s="1330"/>
      <c r="EN227" s="1330"/>
      <c r="EO227" s="1330"/>
      <c r="EP227" s="1330"/>
      <c r="EQ227" s="1330"/>
      <c r="ER227" s="1330"/>
      <c r="ES227" s="1330"/>
      <c r="ET227" s="1330"/>
      <c r="EU227" s="1330"/>
      <c r="EV227" s="1330"/>
      <c r="EW227" s="1330"/>
      <c r="EX227" s="1330"/>
      <c r="EY227" s="1330"/>
      <c r="EZ227" s="1330"/>
      <c r="FA227" s="1330"/>
      <c r="FB227" s="1330"/>
      <c r="FC227" s="1330"/>
      <c r="FD227" s="1766"/>
      <c r="FH227" s="1329"/>
      <c r="FI227" s="1329"/>
      <c r="FJ227" s="1329"/>
      <c r="FK227" s="1329"/>
      <c r="FL227" s="1329"/>
      <c r="FM227" s="1329"/>
      <c r="FN227" s="1329"/>
      <c r="FO227" s="1329"/>
      <c r="FP227" s="1329"/>
      <c r="FQ227" s="1329"/>
      <c r="FR227" s="1329"/>
      <c r="FS227" s="1329"/>
      <c r="FT227" s="1329"/>
      <c r="FU227" s="1329"/>
      <c r="FV227" s="1329"/>
      <c r="FW227" s="1329"/>
      <c r="FX227" s="1329"/>
      <c r="FY227" s="1329"/>
    </row>
    <row r="228" ht="14.25" spans="40:181">
      <c r="AN228" s="1333"/>
      <c r="BZ228" s="1334"/>
      <c r="DG228" s="1329"/>
      <c r="DH228" s="1329"/>
      <c r="DI228" s="1329"/>
      <c r="DJ228" s="1329"/>
      <c r="DK228" s="1329"/>
      <c r="DL228" s="1329"/>
      <c r="DM228" s="1329"/>
      <c r="DN228" s="1329"/>
      <c r="DO228" s="1329"/>
      <c r="DP228" s="1746"/>
      <c r="DQ228" s="1746"/>
      <c r="DR228" s="1746"/>
      <c r="DS228" s="1329"/>
      <c r="DT228" s="1329"/>
      <c r="DU228" s="1329"/>
      <c r="DV228" s="1329"/>
      <c r="DW228" s="1329"/>
      <c r="DX228" s="1329"/>
      <c r="DY228" s="1329"/>
      <c r="DZ228" s="1329"/>
      <c r="EA228" s="1329"/>
      <c r="EB228" s="1329"/>
      <c r="EC228" s="1329"/>
      <c r="ED228" s="1329"/>
      <c r="EE228" s="1329"/>
      <c r="EI228" s="1330"/>
      <c r="EJ228" s="1330"/>
      <c r="EK228" s="1330"/>
      <c r="EL228" s="1330"/>
      <c r="EM228" s="1330"/>
      <c r="EN228" s="1330"/>
      <c r="EO228" s="1330"/>
      <c r="EP228" s="1330"/>
      <c r="EQ228" s="1330"/>
      <c r="ER228" s="1330"/>
      <c r="ES228" s="1330"/>
      <c r="ET228" s="1330"/>
      <c r="EU228" s="1330"/>
      <c r="EV228" s="1330"/>
      <c r="EW228" s="1330"/>
      <c r="EX228" s="1330"/>
      <c r="EY228" s="1330"/>
      <c r="EZ228" s="1330"/>
      <c r="FA228" s="1330"/>
      <c r="FB228" s="1330"/>
      <c r="FC228" s="1330"/>
      <c r="FD228" s="1766"/>
      <c r="FH228" s="1329"/>
      <c r="FI228" s="1329"/>
      <c r="FJ228" s="1329"/>
      <c r="FK228" s="1329"/>
      <c r="FL228" s="1329"/>
      <c r="FM228" s="1329"/>
      <c r="FN228" s="1329"/>
      <c r="FO228" s="1329"/>
      <c r="FP228" s="1329"/>
      <c r="FQ228" s="1329"/>
      <c r="FR228" s="1329"/>
      <c r="FS228" s="1329"/>
      <c r="FT228" s="1329"/>
      <c r="FU228" s="1329"/>
      <c r="FV228" s="1329"/>
      <c r="FW228" s="1329"/>
      <c r="FX228" s="1329"/>
      <c r="FY228" s="1329"/>
    </row>
    <row r="229" ht="14.25" spans="40:181">
      <c r="DG229" s="1329"/>
      <c r="DH229" s="1329"/>
      <c r="DI229" s="1329"/>
      <c r="DJ229" s="1329"/>
      <c r="DK229" s="1329"/>
      <c r="DL229" s="1329"/>
      <c r="DM229" s="1329"/>
      <c r="DN229" s="1329"/>
      <c r="DO229" s="1329"/>
      <c r="DP229" s="1746"/>
      <c r="DQ229" s="1746"/>
      <c r="DR229" s="1746"/>
      <c r="DS229" s="1329"/>
      <c r="DT229" s="1329"/>
      <c r="DU229" s="1329"/>
      <c r="DV229" s="1329"/>
      <c r="DW229" s="1329"/>
      <c r="DX229" s="1329"/>
      <c r="DY229" s="1329"/>
      <c r="DZ229" s="1329"/>
      <c r="EA229" s="1329"/>
      <c r="EB229" s="1329"/>
      <c r="EC229" s="1329"/>
      <c r="ED229" s="1329"/>
      <c r="EE229" s="1329"/>
      <c r="EI229" s="1330"/>
      <c r="EJ229" s="1330"/>
      <c r="EK229" s="1330"/>
      <c r="EL229" s="1330"/>
      <c r="EM229" s="1330"/>
      <c r="EN229" s="1330"/>
      <c r="EO229" s="1330"/>
      <c r="EP229" s="1330"/>
      <c r="EQ229" s="1330"/>
      <c r="ER229" s="1330"/>
      <c r="ES229" s="1330"/>
      <c r="ET229" s="1330"/>
      <c r="EU229" s="1330"/>
      <c r="EV229" s="1330"/>
      <c r="EW229" s="1330"/>
      <c r="EX229" s="1330"/>
      <c r="EY229" s="1330"/>
      <c r="EZ229" s="1330"/>
      <c r="FA229" s="1330"/>
      <c r="FB229" s="1330"/>
      <c r="FC229" s="1330"/>
      <c r="FD229" s="1766"/>
      <c r="FH229" s="1329"/>
      <c r="FI229" s="1329"/>
      <c r="FJ229" s="1329"/>
      <c r="FK229" s="1329"/>
      <c r="FL229" s="1329"/>
      <c r="FM229" s="1329"/>
      <c r="FN229" s="1329"/>
      <c r="FO229" s="1329"/>
      <c r="FP229" s="1329"/>
      <c r="FQ229" s="1329"/>
      <c r="FR229" s="1329"/>
      <c r="FS229" s="1329"/>
      <c r="FT229" s="1329"/>
      <c r="FU229" s="1329"/>
      <c r="FV229" s="1329"/>
      <c r="FW229" s="1329"/>
      <c r="FX229" s="1329"/>
      <c r="FY229" s="1329"/>
    </row>
    <row r="230" ht="14.25" spans="40:181">
      <c r="DG230" s="1329"/>
      <c r="DH230" s="1329"/>
      <c r="DI230" s="1329"/>
      <c r="DJ230" s="1329"/>
      <c r="DK230" s="1329"/>
      <c r="DL230" s="1329"/>
      <c r="DM230" s="1329"/>
      <c r="DN230" s="1329"/>
      <c r="DO230" s="1329"/>
      <c r="DP230" s="1746"/>
      <c r="DQ230" s="1746"/>
      <c r="DR230" s="1746"/>
      <c r="DS230" s="1329"/>
      <c r="DT230" s="1329"/>
      <c r="DU230" s="1329"/>
      <c r="DV230" s="1329"/>
      <c r="DW230" s="1329"/>
      <c r="DX230" s="1329"/>
      <c r="DY230" s="1329"/>
      <c r="DZ230" s="1329"/>
      <c r="EA230" s="1329"/>
      <c r="EB230" s="1329"/>
      <c r="EC230" s="1329"/>
      <c r="ED230" s="1329"/>
      <c r="EE230" s="1329"/>
      <c r="EI230" s="1330"/>
      <c r="EJ230" s="1330"/>
      <c r="EK230" s="1330"/>
      <c r="EL230" s="1330"/>
      <c r="EM230" s="1330"/>
      <c r="EN230" s="1330"/>
      <c r="EO230" s="1330"/>
      <c r="EP230" s="1330"/>
      <c r="EQ230" s="1330"/>
      <c r="ER230" s="1330"/>
      <c r="ES230" s="1330"/>
      <c r="ET230" s="1330"/>
      <c r="EU230" s="1330"/>
      <c r="EV230" s="1330"/>
      <c r="EW230" s="1330"/>
      <c r="EX230" s="1330"/>
      <c r="EY230" s="1330"/>
      <c r="EZ230" s="1330"/>
      <c r="FA230" s="1330"/>
      <c r="FB230" s="1330"/>
      <c r="FC230" s="1330"/>
      <c r="FD230" s="1766"/>
      <c r="FH230" s="1329"/>
      <c r="FI230" s="1329"/>
      <c r="FJ230" s="1329"/>
      <c r="FK230" s="1329"/>
      <c r="FL230" s="1329"/>
      <c r="FM230" s="1329"/>
      <c r="FN230" s="1329"/>
      <c r="FO230" s="1329"/>
      <c r="FP230" s="1329"/>
      <c r="FQ230" s="1329"/>
      <c r="FR230" s="1329"/>
      <c r="FS230" s="1329"/>
      <c r="FT230" s="1329"/>
      <c r="FU230" s="1329"/>
      <c r="FV230" s="1329"/>
      <c r="FW230" s="1329"/>
      <c r="FX230" s="1329"/>
      <c r="FY230" s="1329"/>
    </row>
    <row r="231" ht="14.25" spans="40:181">
      <c r="DG231" s="1329"/>
      <c r="DH231" s="1329"/>
      <c r="DI231" s="1329"/>
      <c r="DJ231" s="1329"/>
      <c r="DK231" s="1329"/>
      <c r="DL231" s="1329"/>
      <c r="DM231" s="1329"/>
      <c r="DN231" s="1329"/>
      <c r="DO231" s="1329"/>
      <c r="DP231" s="1746"/>
      <c r="DQ231" s="1746"/>
      <c r="DR231" s="1746"/>
      <c r="DS231" s="1329"/>
      <c r="DT231" s="1329"/>
      <c r="DU231" s="1329"/>
      <c r="DV231" s="1329"/>
      <c r="DW231" s="1329"/>
      <c r="DX231" s="1329"/>
      <c r="DY231" s="1329"/>
      <c r="DZ231" s="1329"/>
      <c r="EA231" s="1329"/>
      <c r="EB231" s="1329"/>
      <c r="EC231" s="1329"/>
      <c r="ED231" s="1329"/>
      <c r="EE231" s="1329"/>
      <c r="EI231" s="1329"/>
      <c r="EJ231" s="1329"/>
      <c r="EK231" s="1329"/>
      <c r="EL231" s="1329"/>
      <c r="EM231" s="1329"/>
      <c r="EN231" s="1329"/>
      <c r="EO231" s="1329"/>
      <c r="EP231" s="1329"/>
      <c r="EQ231" s="1329"/>
      <c r="ER231" s="1329"/>
      <c r="ES231" s="1329"/>
      <c r="ET231" s="1329"/>
      <c r="EU231" s="1329"/>
      <c r="EV231" s="1329"/>
      <c r="EW231" s="1329"/>
      <c r="EX231" s="1329"/>
      <c r="EY231" s="1329"/>
      <c r="EZ231" s="1329"/>
      <c r="FA231" s="1329"/>
      <c r="FB231" s="1329"/>
      <c r="FC231" s="1329"/>
      <c r="FD231" s="1766"/>
      <c r="FH231" s="1329"/>
      <c r="FI231" s="1329"/>
      <c r="FJ231" s="1329"/>
      <c r="FK231" s="1329"/>
      <c r="FL231" s="1329"/>
      <c r="FM231" s="1329"/>
      <c r="FN231" s="1329"/>
      <c r="FO231" s="1329"/>
      <c r="FP231" s="1329"/>
      <c r="FQ231" s="1329"/>
      <c r="FR231" s="1329"/>
      <c r="FS231" s="1329"/>
      <c r="FT231" s="1329"/>
      <c r="FU231" s="1329"/>
      <c r="FV231" s="1329"/>
      <c r="FW231" s="1329"/>
      <c r="FX231" s="1329"/>
      <c r="FY231" s="1329"/>
    </row>
    <row r="232" ht="14.25" spans="40:181">
      <c r="DG232" s="1329"/>
      <c r="DH232" s="1329"/>
      <c r="DI232" s="1329"/>
      <c r="DJ232" s="1329"/>
      <c r="DK232" s="1329"/>
      <c r="DL232" s="1329"/>
      <c r="DM232" s="1329"/>
      <c r="DN232" s="1329"/>
      <c r="DO232" s="1329"/>
      <c r="DP232" s="1746"/>
      <c r="DQ232" s="1746"/>
      <c r="DR232" s="1746"/>
      <c r="DS232" s="1329"/>
      <c r="DT232" s="1329"/>
      <c r="DU232" s="1329"/>
      <c r="DV232" s="1329"/>
      <c r="DW232" s="1329"/>
      <c r="DX232" s="1329"/>
      <c r="DY232" s="1329"/>
      <c r="DZ232" s="1329"/>
      <c r="EA232" s="1329"/>
      <c r="EB232" s="1329"/>
      <c r="EC232" s="1329"/>
      <c r="ED232" s="1329"/>
      <c r="EE232" s="1329"/>
      <c r="EI232" s="1329"/>
      <c r="EJ232" s="1329"/>
      <c r="EK232" s="1329"/>
      <c r="EL232" s="1329"/>
      <c r="EM232" s="1329"/>
      <c r="EN232" s="1329"/>
      <c r="EO232" s="1329"/>
      <c r="EP232" s="1329"/>
      <c r="EQ232" s="1329"/>
      <c r="ER232" s="1329"/>
      <c r="ES232" s="1329"/>
      <c r="ET232" s="1329"/>
      <c r="EU232" s="1329"/>
      <c r="EV232" s="1329"/>
      <c r="EW232" s="1329"/>
      <c r="EX232" s="1329"/>
      <c r="EY232" s="1329"/>
      <c r="EZ232" s="1329"/>
      <c r="FA232" s="1329"/>
      <c r="FB232" s="1329"/>
      <c r="FC232" s="1329"/>
      <c r="FD232" s="1766"/>
      <c r="FH232" s="1329"/>
      <c r="FI232" s="1329"/>
      <c r="FJ232" s="1329"/>
      <c r="FK232" s="1329"/>
      <c r="FL232" s="1329"/>
      <c r="FM232" s="1329"/>
      <c r="FN232" s="1329"/>
      <c r="FO232" s="1329"/>
      <c r="FP232" s="1329"/>
      <c r="FQ232" s="1329"/>
      <c r="FR232" s="1329"/>
      <c r="FS232" s="1329"/>
      <c r="FT232" s="1329"/>
      <c r="FU232" s="1329"/>
      <c r="FV232" s="1329"/>
      <c r="FW232" s="1329"/>
      <c r="FX232" s="1329"/>
      <c r="FY232" s="1329"/>
    </row>
    <row r="233" ht="14.25" spans="40:181">
      <c r="DG233" s="1329"/>
      <c r="DH233" s="1329"/>
      <c r="DI233" s="1329"/>
      <c r="DJ233" s="1329"/>
      <c r="DK233" s="1329"/>
      <c r="DL233" s="1329"/>
      <c r="DM233" s="1329"/>
      <c r="DN233" s="1329"/>
      <c r="DO233" s="1329"/>
      <c r="DP233" s="1746"/>
      <c r="DQ233" s="1746"/>
      <c r="DR233" s="1746"/>
      <c r="DS233" s="1329"/>
      <c r="DT233" s="1329"/>
      <c r="DU233" s="1329"/>
      <c r="DV233" s="1329"/>
      <c r="DW233" s="1329"/>
      <c r="DX233" s="1329"/>
      <c r="DY233" s="1329"/>
      <c r="DZ233" s="1329"/>
      <c r="EA233" s="1329"/>
      <c r="EB233" s="1329"/>
      <c r="EC233" s="1329"/>
      <c r="ED233" s="1329"/>
      <c r="EE233" s="1329"/>
      <c r="EI233" s="1329"/>
      <c r="EJ233" s="1329"/>
      <c r="EK233" s="1329"/>
      <c r="EL233" s="1329"/>
      <c r="EM233" s="1329"/>
      <c r="EN233" s="1329"/>
      <c r="EO233" s="1329"/>
      <c r="EP233" s="1329"/>
      <c r="EQ233" s="1329"/>
      <c r="ER233" s="1329"/>
      <c r="ES233" s="1329"/>
      <c r="ET233" s="1329"/>
      <c r="EU233" s="1329"/>
      <c r="EV233" s="1329"/>
      <c r="EW233" s="1329"/>
      <c r="EX233" s="1329"/>
      <c r="EY233" s="1329"/>
      <c r="EZ233" s="1329"/>
      <c r="FA233" s="1329"/>
      <c r="FB233" s="1329"/>
      <c r="FC233" s="1329"/>
      <c r="FD233" s="1766"/>
      <c r="FH233" s="1329"/>
      <c r="FI233" s="1329"/>
      <c r="FJ233" s="1329"/>
      <c r="FK233" s="1329"/>
      <c r="FL233" s="1329"/>
      <c r="FM233" s="1329"/>
      <c r="FN233" s="1329"/>
      <c r="FO233" s="1329"/>
      <c r="FP233" s="1329"/>
      <c r="FQ233" s="1329"/>
      <c r="FR233" s="1329"/>
      <c r="FS233" s="1329"/>
      <c r="FT233" s="1329"/>
      <c r="FU233" s="1329"/>
      <c r="FV233" s="1329"/>
      <c r="FW233" s="1329"/>
      <c r="FX233" s="1329"/>
      <c r="FY233" s="1329"/>
    </row>
    <row r="234" ht="14.25" spans="40:181">
      <c r="EI234" s="1329"/>
      <c r="EJ234" s="1329"/>
      <c r="EK234" s="1329"/>
      <c r="EL234" s="1329"/>
      <c r="EM234" s="1329"/>
      <c r="EN234" s="1329"/>
      <c r="EO234" s="1329"/>
      <c r="EP234" s="1329"/>
      <c r="EQ234" s="1329"/>
      <c r="ER234" s="1329"/>
      <c r="ES234" s="1329"/>
      <c r="ET234" s="1329"/>
      <c r="EU234" s="1329"/>
      <c r="EV234" s="1329"/>
      <c r="EW234" s="1329"/>
      <c r="EX234" s="1329"/>
      <c r="EY234" s="1329"/>
      <c r="EZ234" s="1329"/>
      <c r="FA234" s="1329"/>
      <c r="FB234" s="1329"/>
      <c r="FC234" s="1329"/>
      <c r="FD234" s="1766"/>
      <c r="FH234" s="1329"/>
      <c r="FI234" s="1329"/>
      <c r="FJ234" s="1329"/>
      <c r="FK234" s="1329"/>
      <c r="FL234" s="1329"/>
      <c r="FM234" s="1329"/>
      <c r="FN234" s="1329"/>
      <c r="FO234" s="1329"/>
      <c r="FP234" s="1329"/>
      <c r="FQ234" s="1329"/>
      <c r="FR234" s="1329"/>
      <c r="FS234" s="1329"/>
      <c r="FT234" s="1329"/>
      <c r="FU234" s="1329"/>
      <c r="FV234" s="1329"/>
      <c r="FW234" s="1329"/>
      <c r="FX234" s="1329"/>
      <c r="FY234" s="1329"/>
    </row>
    <row r="235" ht="14.25" spans="40:181">
      <c r="EI235" s="1329"/>
      <c r="EJ235" s="1329"/>
      <c r="EK235" s="1329"/>
      <c r="EL235" s="1329"/>
      <c r="EM235" s="1329"/>
      <c r="EN235" s="1329"/>
      <c r="EO235" s="1329"/>
      <c r="EP235" s="1329"/>
      <c r="EQ235" s="1329"/>
      <c r="ER235" s="1329"/>
      <c r="ES235" s="1329"/>
      <c r="ET235" s="1329"/>
      <c r="EU235" s="1329"/>
      <c r="EV235" s="1329"/>
      <c r="EW235" s="1329"/>
      <c r="EX235" s="1329"/>
      <c r="EY235" s="1329"/>
      <c r="EZ235" s="1329"/>
      <c r="FA235" s="1329"/>
      <c r="FB235" s="1329"/>
      <c r="FC235" s="1329"/>
      <c r="FD235" s="1766"/>
      <c r="FH235" s="1329"/>
      <c r="FI235" s="1329"/>
      <c r="FJ235" s="1329"/>
      <c r="FK235" s="1329"/>
      <c r="FL235" s="1329"/>
      <c r="FM235" s="1329"/>
      <c r="FN235" s="1329"/>
      <c r="FO235" s="1329"/>
      <c r="FP235" s="1329"/>
      <c r="FQ235" s="1329"/>
      <c r="FR235" s="1329"/>
      <c r="FS235" s="1329"/>
      <c r="FT235" s="1329"/>
      <c r="FU235" s="1329"/>
      <c r="FV235" s="1329"/>
      <c r="FW235" s="1329"/>
      <c r="FX235" s="1329"/>
      <c r="FY235" s="1329"/>
    </row>
    <row r="236" ht="14.25" spans="40:181">
      <c r="EI236" s="1329"/>
      <c r="EJ236" s="1329"/>
      <c r="EK236" s="1329"/>
      <c r="EL236" s="1329"/>
      <c r="EM236" s="1329"/>
      <c r="EN236" s="1329"/>
      <c r="EO236" s="1329"/>
      <c r="EP236" s="1329"/>
      <c r="EQ236" s="1329"/>
      <c r="ER236" s="1329"/>
      <c r="ES236" s="1329"/>
      <c r="ET236" s="1329"/>
      <c r="EU236" s="1329"/>
      <c r="EV236" s="1329"/>
      <c r="EW236" s="1329"/>
      <c r="EX236" s="1329"/>
      <c r="EY236" s="1329"/>
      <c r="EZ236" s="1329"/>
      <c r="FA236" s="1329"/>
      <c r="FB236" s="1329"/>
      <c r="FC236" s="1329"/>
      <c r="FD236" s="1766"/>
      <c r="FH236" s="1329"/>
      <c r="FI236" s="1329"/>
      <c r="FJ236" s="1329"/>
      <c r="FK236" s="1329"/>
      <c r="FL236" s="1329"/>
      <c r="FM236" s="1329"/>
      <c r="FN236" s="1329"/>
      <c r="FO236" s="1329"/>
      <c r="FP236" s="1329"/>
      <c r="FQ236" s="1329"/>
      <c r="FR236" s="1329"/>
      <c r="FS236" s="1329"/>
      <c r="FT236" s="1329"/>
      <c r="FU236" s="1329"/>
      <c r="FV236" s="1329"/>
      <c r="FW236" s="1329"/>
      <c r="FX236" s="1329"/>
      <c r="FY236" s="1329"/>
    </row>
    <row r="237" ht="14.25" spans="40:181">
      <c r="EI237" s="1329"/>
      <c r="EJ237" s="1329"/>
      <c r="EK237" s="1329"/>
      <c r="EL237" s="1329"/>
      <c r="EM237" s="1329"/>
      <c r="EN237" s="1329"/>
      <c r="EO237" s="1329"/>
      <c r="EP237" s="1329"/>
      <c r="EQ237" s="1329"/>
      <c r="ER237" s="1329"/>
      <c r="ES237" s="1329"/>
      <c r="ET237" s="1329"/>
      <c r="EU237" s="1329"/>
      <c r="EV237" s="1329"/>
      <c r="EW237" s="1329"/>
      <c r="EX237" s="1329"/>
      <c r="EY237" s="1329"/>
      <c r="EZ237" s="1329"/>
      <c r="FA237" s="1329"/>
      <c r="FB237" s="1329"/>
      <c r="FC237" s="1329"/>
      <c r="FD237" s="1766"/>
      <c r="FH237" s="1329"/>
      <c r="FI237" s="1329"/>
      <c r="FJ237" s="1329"/>
      <c r="FK237" s="1329"/>
      <c r="FL237" s="1329"/>
      <c r="FM237" s="1329"/>
      <c r="FN237" s="1329"/>
      <c r="FO237" s="1329"/>
      <c r="FP237" s="1329"/>
      <c r="FQ237" s="1329"/>
      <c r="FR237" s="1329"/>
      <c r="FS237" s="1329"/>
      <c r="FT237" s="1329"/>
      <c r="FU237" s="1329"/>
      <c r="FV237" s="1329"/>
      <c r="FW237" s="1329"/>
      <c r="FX237" s="1329"/>
      <c r="FY237" s="1329"/>
    </row>
    <row r="238" ht="14.25" spans="40:181">
      <c r="EI238" s="1329"/>
      <c r="EJ238" s="1329"/>
      <c r="EK238" s="1329"/>
      <c r="EL238" s="1329"/>
      <c r="EM238" s="1329"/>
      <c r="EN238" s="1329"/>
      <c r="EO238" s="1329"/>
      <c r="EP238" s="1329"/>
      <c r="EQ238" s="1329"/>
      <c r="ER238" s="1329"/>
      <c r="ES238" s="1329"/>
      <c r="ET238" s="1329"/>
      <c r="EU238" s="1329"/>
      <c r="EV238" s="1329"/>
      <c r="EW238" s="1329"/>
      <c r="EX238" s="1329"/>
      <c r="EY238" s="1329"/>
      <c r="EZ238" s="1329"/>
      <c r="FA238" s="1329"/>
      <c r="FB238" s="1329"/>
      <c r="FC238" s="1329"/>
      <c r="FD238" s="1766"/>
      <c r="FH238" s="1329"/>
      <c r="FI238" s="1329"/>
      <c r="FJ238" s="1329"/>
      <c r="FK238" s="1329"/>
      <c r="FL238" s="1329"/>
      <c r="FM238" s="1329"/>
      <c r="FN238" s="1329"/>
      <c r="FO238" s="1329"/>
      <c r="FP238" s="1329"/>
      <c r="FQ238" s="1329"/>
      <c r="FR238" s="1329"/>
      <c r="FS238" s="1329"/>
      <c r="FT238" s="1329"/>
      <c r="FU238" s="1329"/>
      <c r="FV238" s="1329"/>
      <c r="FW238" s="1329"/>
      <c r="FX238" s="1329"/>
      <c r="FY238" s="1329"/>
    </row>
    <row r="239" ht="15" spans="40:181">
      <c r="DN239" s="1768"/>
      <c r="DO239" s="1770"/>
      <c r="DP239" s="1771"/>
      <c r="EI239" s="1329"/>
      <c r="EJ239" s="1329"/>
      <c r="EK239" s="1329"/>
      <c r="EL239" s="1329"/>
      <c r="EM239" s="1329"/>
      <c r="EN239" s="1329"/>
      <c r="EO239" s="1329"/>
      <c r="EP239" s="1329"/>
      <c r="EQ239" s="1329"/>
      <c r="ER239" s="1329"/>
      <c r="ES239" s="1329"/>
      <c r="ET239" s="1329"/>
      <c r="EU239" s="1329"/>
      <c r="EV239" s="1329"/>
      <c r="EW239" s="1329"/>
      <c r="EX239" s="1329"/>
      <c r="EY239" s="1329"/>
      <c r="EZ239" s="1329"/>
      <c r="FA239" s="1329"/>
      <c r="FB239" s="1329"/>
      <c r="FC239" s="1329"/>
      <c r="FD239" s="1766"/>
      <c r="FH239" s="1329"/>
      <c r="FI239" s="1329"/>
      <c r="FJ239" s="1329"/>
      <c r="FK239" s="1329"/>
      <c r="FL239" s="1329"/>
      <c r="FM239" s="1329"/>
      <c r="FN239" s="1329"/>
      <c r="FO239" s="1329"/>
      <c r="FP239" s="1329"/>
      <c r="FQ239" s="1329"/>
      <c r="FR239" s="1329"/>
      <c r="FS239" s="1329"/>
      <c r="FT239" s="1329"/>
      <c r="FU239" s="1329"/>
      <c r="FV239" s="1329"/>
      <c r="FW239" s="1329"/>
      <c r="FX239" s="1329"/>
      <c r="FY239" s="1329"/>
    </row>
    <row r="240" ht="14.25" spans="40:181">
      <c r="EI240" s="1329"/>
      <c r="EJ240" s="1329"/>
      <c r="EK240" s="1329"/>
      <c r="EL240" s="1329"/>
      <c r="EM240" s="1329"/>
      <c r="EN240" s="1329"/>
      <c r="EO240" s="1329"/>
      <c r="EP240" s="1329"/>
      <c r="EQ240" s="1329"/>
      <c r="ER240" s="1329"/>
      <c r="ES240" s="1329"/>
      <c r="ET240" s="1329"/>
      <c r="EU240" s="1329"/>
      <c r="EV240" s="1329"/>
      <c r="EW240" s="1329"/>
      <c r="EX240" s="1329"/>
      <c r="EY240" s="1329"/>
      <c r="EZ240" s="1329"/>
      <c r="FA240" s="1329"/>
      <c r="FB240" s="1329"/>
      <c r="FC240" s="1329"/>
      <c r="FD240" s="1766"/>
      <c r="FH240" s="1329"/>
      <c r="FI240" s="1329"/>
      <c r="FJ240" s="1329"/>
      <c r="FK240" s="1329"/>
      <c r="FL240" s="1329"/>
      <c r="FM240" s="1329"/>
      <c r="FN240" s="1329"/>
      <c r="FO240" s="1329"/>
      <c r="FP240" s="1329"/>
      <c r="FQ240" s="1329"/>
      <c r="FR240" s="1329"/>
      <c r="FS240" s="1329"/>
      <c r="FT240" s="1329"/>
      <c r="FU240" s="1329"/>
      <c r="FV240" s="1329"/>
      <c r="FW240" s="1329"/>
      <c r="FX240" s="1329"/>
      <c r="FY240" s="1329"/>
    </row>
    <row r="241" ht="14.25" spans="111:181">
      <c r="DG241" s="1334"/>
      <c r="DH241" s="1334"/>
      <c r="DI241" s="1334"/>
      <c r="DJ241" s="1334"/>
      <c r="DK241" s="1334"/>
      <c r="DL241" s="1334"/>
      <c r="DM241" s="1334"/>
      <c r="DN241" s="1334"/>
      <c r="DO241" s="1334"/>
      <c r="DP241" s="1772"/>
      <c r="DQ241" s="1772"/>
      <c r="DR241" s="1772"/>
      <c r="DS241" s="1334"/>
      <c r="DT241" s="1334"/>
      <c r="DU241" s="1334"/>
      <c r="DV241" s="1334"/>
      <c r="DW241" s="1334"/>
      <c r="DX241" s="1334"/>
      <c r="DY241" s="1334"/>
      <c r="DZ241" s="1334"/>
      <c r="EA241" s="1334"/>
      <c r="EB241" s="1334"/>
      <c r="EC241" s="1334"/>
      <c r="ED241" s="1334"/>
      <c r="EI241" s="1329"/>
      <c r="EJ241" s="1329"/>
      <c r="EK241" s="1329"/>
      <c r="EL241" s="1329"/>
      <c r="EM241" s="1329"/>
      <c r="EN241" s="1329"/>
      <c r="EO241" s="1329"/>
      <c r="EP241" s="1329"/>
      <c r="EQ241" s="1329"/>
      <c r="ER241" s="1329"/>
      <c r="ES241" s="1329"/>
      <c r="ET241" s="1329"/>
      <c r="EU241" s="1329"/>
      <c r="EV241" s="1329"/>
      <c r="EW241" s="1329"/>
      <c r="EX241" s="1329"/>
      <c r="EY241" s="1329"/>
      <c r="EZ241" s="1329"/>
      <c r="FA241" s="1329"/>
      <c r="FB241" s="1329"/>
      <c r="FC241" s="1329"/>
      <c r="FD241" s="1766"/>
      <c r="FH241" s="1329"/>
      <c r="FI241" s="1329"/>
      <c r="FJ241" s="1329"/>
      <c r="FK241" s="1329"/>
      <c r="FL241" s="1329"/>
      <c r="FM241" s="1329"/>
      <c r="FN241" s="1329"/>
      <c r="FO241" s="1329"/>
      <c r="FP241" s="1329"/>
      <c r="FQ241" s="1329"/>
      <c r="FR241" s="1329"/>
      <c r="FS241" s="1329"/>
      <c r="FT241" s="1329"/>
      <c r="FU241" s="1329"/>
      <c r="FV241" s="1329"/>
      <c r="FW241" s="1329"/>
      <c r="FX241" s="1329"/>
      <c r="FY241" s="1329"/>
    </row>
    <row r="242" ht="14.25" spans="111:181">
      <c r="EI242" s="1329"/>
      <c r="EJ242" s="1329"/>
      <c r="EK242" s="1329"/>
      <c r="EL242" s="1329"/>
      <c r="EM242" s="1329"/>
      <c r="EN242" s="1329"/>
      <c r="EO242" s="1329"/>
      <c r="EP242" s="1329"/>
      <c r="EQ242" s="1329"/>
      <c r="ER242" s="1329"/>
      <c r="ES242" s="1329"/>
      <c r="ET242" s="1329"/>
      <c r="EU242" s="1329"/>
      <c r="EV242" s="1329"/>
      <c r="EW242" s="1329"/>
      <c r="EX242" s="1329"/>
      <c r="EY242" s="1329"/>
      <c r="EZ242" s="1329"/>
      <c r="FA242" s="1329"/>
      <c r="FB242" s="1329"/>
      <c r="FC242" s="1329"/>
      <c r="FD242" s="1766"/>
      <c r="FH242" s="1329"/>
      <c r="FI242" s="1329"/>
      <c r="FJ242" s="1329"/>
      <c r="FK242" s="1329"/>
      <c r="FL242" s="1329"/>
      <c r="FM242" s="1329"/>
      <c r="FN242" s="1329"/>
      <c r="FO242" s="1329"/>
      <c r="FP242" s="1329"/>
      <c r="FQ242" s="1329"/>
      <c r="FR242" s="1329"/>
      <c r="FS242" s="1329"/>
      <c r="FT242" s="1329"/>
      <c r="FU242" s="1329"/>
      <c r="FV242" s="1329"/>
      <c r="FW242" s="1329"/>
      <c r="FX242" s="1329"/>
      <c r="FY242" s="1329"/>
    </row>
    <row r="243" ht="14.25" spans="111:181">
      <c r="EI243" s="1329"/>
      <c r="EJ243" s="1329"/>
      <c r="EK243" s="1329"/>
      <c r="EL243" s="1329"/>
      <c r="EM243" s="1329"/>
      <c r="EN243" s="1329"/>
      <c r="EO243" s="1329"/>
      <c r="EP243" s="1329"/>
      <c r="EQ243" s="1329"/>
      <c r="ER243" s="1329"/>
      <c r="ES243" s="1329"/>
      <c r="ET243" s="1329"/>
      <c r="EU243" s="1329"/>
      <c r="EV243" s="1329"/>
      <c r="EW243" s="1329"/>
      <c r="EX243" s="1329"/>
      <c r="EY243" s="1329"/>
      <c r="EZ243" s="1329"/>
      <c r="FA243" s="1329"/>
      <c r="FB243" s="1329"/>
      <c r="FC243" s="1329"/>
      <c r="FD243" s="1766"/>
      <c r="FH243" s="1329"/>
      <c r="FI243" s="1329"/>
      <c r="FJ243" s="1329"/>
      <c r="FK243" s="1329"/>
      <c r="FL243" s="1329"/>
      <c r="FM243" s="1329"/>
      <c r="FN243" s="1329"/>
      <c r="FO243" s="1329"/>
      <c r="FP243" s="1329"/>
      <c r="FQ243" s="1329"/>
      <c r="FR243" s="1329"/>
      <c r="FS243" s="1329"/>
      <c r="FT243" s="1329"/>
      <c r="FU243" s="1329"/>
      <c r="FV243" s="1329"/>
      <c r="FW243" s="1329"/>
      <c r="FX243" s="1329"/>
      <c r="FY243" s="1329"/>
    </row>
    <row r="244" ht="14.25" spans="111:181">
      <c r="EI244" s="1329"/>
      <c r="EJ244" s="1329"/>
      <c r="EK244" s="1329"/>
      <c r="EL244" s="1329"/>
      <c r="EM244" s="1329"/>
      <c r="EN244" s="1329"/>
      <c r="EO244" s="1329"/>
      <c r="EP244" s="1329"/>
      <c r="EQ244" s="1329"/>
      <c r="ER244" s="1329"/>
      <c r="ES244" s="1329"/>
      <c r="ET244" s="1329"/>
      <c r="EU244" s="1329"/>
      <c r="EV244" s="1329"/>
      <c r="EW244" s="1329"/>
      <c r="EX244" s="1329"/>
      <c r="EY244" s="1329"/>
      <c r="EZ244" s="1329"/>
      <c r="FA244" s="1329"/>
      <c r="FB244" s="1329"/>
      <c r="FC244" s="1329"/>
      <c r="FD244" s="1766"/>
      <c r="FH244" s="1329"/>
      <c r="FI244" s="1329"/>
      <c r="FJ244" s="1329"/>
      <c r="FK244" s="1329"/>
      <c r="FL244" s="1329"/>
      <c r="FM244" s="1329"/>
      <c r="FN244" s="1329"/>
      <c r="FO244" s="1329"/>
      <c r="FP244" s="1329"/>
      <c r="FQ244" s="1329"/>
      <c r="FR244" s="1329"/>
      <c r="FS244" s="1329"/>
      <c r="FT244" s="1329"/>
      <c r="FU244" s="1329"/>
      <c r="FV244" s="1329"/>
      <c r="FW244" s="1329"/>
      <c r="FX244" s="1329"/>
      <c r="FY244" s="1329"/>
    </row>
    <row r="245" ht="14.25" spans="111:181">
      <c r="EI245" s="1329"/>
      <c r="EJ245" s="1329"/>
      <c r="EK245" s="1329"/>
      <c r="EL245" s="1329"/>
      <c r="EM245" s="1329"/>
      <c r="EN245" s="1329"/>
      <c r="EO245" s="1329"/>
      <c r="EP245" s="1329"/>
      <c r="EQ245" s="1329"/>
      <c r="ER245" s="1329"/>
      <c r="ES245" s="1329"/>
      <c r="ET245" s="1329"/>
      <c r="EU245" s="1329"/>
      <c r="EV245" s="1329"/>
      <c r="EW245" s="1329"/>
      <c r="EX245" s="1329"/>
      <c r="EY245" s="1329"/>
      <c r="EZ245" s="1329"/>
      <c r="FA245" s="1329"/>
      <c r="FB245" s="1329"/>
      <c r="FC245" s="1329"/>
      <c r="FD245" s="1766"/>
      <c r="FH245" s="1329"/>
      <c r="FI245" s="1329"/>
      <c r="FJ245" s="1329"/>
      <c r="FK245" s="1329"/>
      <c r="FL245" s="1329"/>
      <c r="FM245" s="1329"/>
      <c r="FN245" s="1329"/>
      <c r="FO245" s="1329"/>
      <c r="FP245" s="1329"/>
      <c r="FQ245" s="1329"/>
      <c r="FR245" s="1329"/>
      <c r="FS245" s="1329"/>
      <c r="FT245" s="1329"/>
      <c r="FU245" s="1329"/>
      <c r="FV245" s="1329"/>
      <c r="FW245" s="1329"/>
      <c r="FX245" s="1329"/>
      <c r="FY245" s="1329"/>
    </row>
    <row r="246" ht="14.25" spans="111:181">
      <c r="EI246" s="1329"/>
      <c r="EJ246" s="1329"/>
      <c r="EK246" s="1329"/>
      <c r="EL246" s="1329"/>
      <c r="EM246" s="1329"/>
      <c r="EN246" s="1329"/>
      <c r="EO246" s="1329"/>
      <c r="EP246" s="1329"/>
      <c r="EQ246" s="1329"/>
      <c r="ER246" s="1329"/>
      <c r="ES246" s="1329"/>
      <c r="ET246" s="1329"/>
      <c r="EU246" s="1329"/>
      <c r="EV246" s="1329"/>
      <c r="EW246" s="1329"/>
      <c r="EX246" s="1329"/>
      <c r="EY246" s="1329"/>
      <c r="EZ246" s="1329"/>
      <c r="FA246" s="1329"/>
      <c r="FB246" s="1329"/>
      <c r="FC246" s="1329"/>
      <c r="FD246" s="1766"/>
      <c r="FH246" s="1329"/>
      <c r="FI246" s="1329"/>
      <c r="FJ246" s="1329"/>
      <c r="FK246" s="1329"/>
      <c r="FL246" s="1329"/>
      <c r="FM246" s="1329"/>
      <c r="FN246" s="1329"/>
      <c r="FO246" s="1329"/>
      <c r="FP246" s="1329"/>
      <c r="FQ246" s="1329"/>
      <c r="FR246" s="1329"/>
      <c r="FS246" s="1329"/>
      <c r="FT246" s="1329"/>
      <c r="FU246" s="1329"/>
      <c r="FV246" s="1329"/>
      <c r="FW246" s="1329"/>
      <c r="FX246" s="1329"/>
      <c r="FY246" s="1329"/>
    </row>
    <row r="247" ht="14.25" spans="111:181">
      <c r="EI247" s="1329"/>
      <c r="EJ247" s="1329"/>
      <c r="EK247" s="1329"/>
      <c r="EL247" s="1329"/>
      <c r="EM247" s="1329"/>
      <c r="EN247" s="1329"/>
      <c r="EO247" s="1329"/>
      <c r="EP247" s="1329"/>
      <c r="EQ247" s="1329"/>
      <c r="ER247" s="1329"/>
      <c r="ES247" s="1329"/>
      <c r="ET247" s="1329"/>
      <c r="EU247" s="1329"/>
      <c r="EV247" s="1329"/>
      <c r="EW247" s="1329"/>
      <c r="EX247" s="1329"/>
      <c r="EY247" s="1329"/>
      <c r="EZ247" s="1329"/>
      <c r="FA247" s="1329"/>
      <c r="FB247" s="1329"/>
      <c r="FC247" s="1329"/>
      <c r="FD247" s="1766"/>
      <c r="FH247" s="1329"/>
      <c r="FI247" s="1329"/>
      <c r="FJ247" s="1329"/>
      <c r="FK247" s="1329"/>
      <c r="FL247" s="1329"/>
      <c r="FM247" s="1329"/>
      <c r="FN247" s="1329"/>
      <c r="FO247" s="1329"/>
      <c r="FP247" s="1329"/>
      <c r="FQ247" s="1329"/>
      <c r="FR247" s="1329"/>
      <c r="FS247" s="1329"/>
      <c r="FT247" s="1329"/>
      <c r="FU247" s="1329"/>
      <c r="FV247" s="1329"/>
      <c r="FW247" s="1329"/>
      <c r="FX247" s="1329"/>
      <c r="FY247" s="1329"/>
    </row>
    <row r="248" ht="14.25" spans="111:181">
      <c r="DG248" s="1334"/>
      <c r="DH248" s="1334"/>
      <c r="DI248" s="1334"/>
      <c r="DJ248" s="1334"/>
      <c r="DK248" s="1334"/>
      <c r="DL248" s="1334"/>
      <c r="DM248" s="1334"/>
      <c r="DN248" s="1334"/>
      <c r="DO248" s="1334"/>
      <c r="DP248" s="1772"/>
      <c r="DQ248" s="1772"/>
      <c r="DR248" s="1772"/>
      <c r="DS248" s="1334"/>
      <c r="DT248" s="1334"/>
      <c r="DU248" s="1334"/>
      <c r="DV248" s="1334"/>
      <c r="DW248" s="1334"/>
      <c r="DX248" s="1334"/>
      <c r="DY248" s="1334"/>
      <c r="DZ248" s="1334"/>
      <c r="EA248" s="1334"/>
      <c r="EB248" s="1334"/>
      <c r="EC248" s="1334"/>
      <c r="ED248" s="1334"/>
      <c r="EI248" s="1329"/>
      <c r="EJ248" s="1329"/>
      <c r="EK248" s="1329"/>
      <c r="EL248" s="1329"/>
      <c r="EM248" s="1329"/>
      <c r="EN248" s="1329"/>
      <c r="EO248" s="1329"/>
      <c r="EP248" s="1329"/>
      <c r="EQ248" s="1329"/>
      <c r="ER248" s="1329"/>
      <c r="ES248" s="1329"/>
      <c r="ET248" s="1329"/>
      <c r="EU248" s="1329"/>
      <c r="EV248" s="1329"/>
      <c r="EW248" s="1329"/>
      <c r="EX248" s="1329"/>
      <c r="EY248" s="1329"/>
      <c r="EZ248" s="1329"/>
      <c r="FA248" s="1329"/>
      <c r="FB248" s="1329"/>
      <c r="FC248" s="1329"/>
      <c r="FD248" s="1766"/>
      <c r="FH248" s="1330"/>
      <c r="FI248" s="1330"/>
      <c r="FJ248" s="1330"/>
      <c r="FK248" s="1330"/>
      <c r="FL248" s="1330"/>
      <c r="FM248" s="1330"/>
      <c r="FN248" s="1330"/>
      <c r="FO248" s="1330"/>
      <c r="FP248" s="1330"/>
      <c r="FQ248" s="1330"/>
      <c r="FR248" s="1330"/>
      <c r="FS248" s="1330"/>
      <c r="FT248" s="1330"/>
      <c r="FU248" s="1330"/>
      <c r="FV248" s="1330"/>
      <c r="FW248" s="1330"/>
      <c r="FX248" s="1330"/>
      <c r="FY248" s="1330"/>
    </row>
    <row r="249" ht="14.25" spans="111:181">
      <c r="DG249" s="1334"/>
      <c r="DH249" s="1334"/>
      <c r="DI249" s="1334"/>
      <c r="DJ249" s="1334"/>
      <c r="DK249" s="1334"/>
      <c r="DL249" s="1334"/>
      <c r="DM249" s="1334"/>
      <c r="DN249" s="1334"/>
      <c r="DO249" s="1334"/>
      <c r="DP249" s="1772"/>
      <c r="DQ249" s="1772"/>
      <c r="DR249" s="1772"/>
      <c r="DS249" s="1334"/>
      <c r="DT249" s="1334"/>
      <c r="DU249" s="1334"/>
      <c r="DV249" s="1334"/>
      <c r="DW249" s="1334"/>
      <c r="DX249" s="1334"/>
      <c r="DY249" s="1334"/>
      <c r="DZ249" s="1334"/>
      <c r="EA249" s="1334"/>
      <c r="EB249" s="1334"/>
      <c r="EC249" s="1334"/>
      <c r="ED249" s="1334"/>
      <c r="EI249" s="1329"/>
      <c r="EJ249" s="1329"/>
      <c r="EK249" s="1329"/>
      <c r="EL249" s="1329"/>
      <c r="EM249" s="1329"/>
      <c r="EN249" s="1329"/>
      <c r="EO249" s="1329"/>
      <c r="EP249" s="1329"/>
      <c r="EQ249" s="1329"/>
      <c r="ER249" s="1329"/>
      <c r="ES249" s="1329"/>
      <c r="ET249" s="1329"/>
      <c r="EU249" s="1329"/>
      <c r="EV249" s="1329"/>
      <c r="EW249" s="1329"/>
      <c r="EX249" s="1329"/>
      <c r="EY249" s="1329"/>
      <c r="EZ249" s="1329"/>
      <c r="FA249" s="1329"/>
      <c r="FB249" s="1329"/>
      <c r="FC249" s="1329"/>
      <c r="FD249" s="1766"/>
      <c r="FH249" s="1330"/>
      <c r="FI249" s="1330"/>
      <c r="FJ249" s="1330"/>
      <c r="FK249" s="1330"/>
      <c r="FL249" s="1330"/>
      <c r="FM249" s="1330"/>
      <c r="FN249" s="1330"/>
      <c r="FO249" s="1330"/>
      <c r="FP249" s="1330"/>
      <c r="FQ249" s="1330"/>
      <c r="FR249" s="1330"/>
      <c r="FS249" s="1330"/>
      <c r="FT249" s="1330"/>
      <c r="FU249" s="1330"/>
      <c r="FV249" s="1330"/>
      <c r="FW249" s="1330"/>
      <c r="FX249" s="1330"/>
      <c r="FY249" s="1330"/>
    </row>
    <row r="250" ht="14.25" spans="111:181">
      <c r="DG250" s="1334"/>
      <c r="DH250" s="1334"/>
      <c r="DI250" s="1334"/>
      <c r="DJ250" s="1334"/>
      <c r="DK250" s="1334"/>
      <c r="DL250" s="1334"/>
      <c r="DM250" s="1334"/>
      <c r="DN250" s="1334"/>
      <c r="DO250" s="1334"/>
      <c r="DP250" s="1772"/>
      <c r="DQ250" s="1772"/>
      <c r="DR250" s="1772"/>
      <c r="DS250" s="1334"/>
      <c r="DT250" s="1334"/>
      <c r="DU250" s="1334"/>
      <c r="DV250" s="1334"/>
      <c r="DW250" s="1334"/>
      <c r="DX250" s="1334"/>
      <c r="DY250" s="1334"/>
      <c r="DZ250" s="1334"/>
      <c r="EA250" s="1334"/>
      <c r="EB250" s="1334"/>
      <c r="EC250" s="1334"/>
      <c r="ED250" s="1334"/>
      <c r="EI250" s="1329"/>
      <c r="EJ250" s="1329"/>
      <c r="EK250" s="1329"/>
      <c r="EL250" s="1329"/>
      <c r="EM250" s="1329"/>
      <c r="EN250" s="1329"/>
      <c r="EO250" s="1329"/>
      <c r="EP250" s="1329"/>
      <c r="EQ250" s="1329"/>
      <c r="ER250" s="1329"/>
      <c r="ES250" s="1329"/>
      <c r="ET250" s="1329"/>
      <c r="EU250" s="1329"/>
      <c r="EV250" s="1329"/>
      <c r="EW250" s="1329"/>
      <c r="EX250" s="1329"/>
      <c r="EY250" s="1329"/>
      <c r="EZ250" s="1329"/>
      <c r="FA250" s="1329"/>
      <c r="FB250" s="1329"/>
      <c r="FC250" s="1329"/>
      <c r="FD250" s="1766"/>
      <c r="FH250" s="1330"/>
      <c r="FI250" s="1330"/>
      <c r="FJ250" s="1330"/>
      <c r="FK250" s="1330"/>
      <c r="FL250" s="1330"/>
      <c r="FM250" s="1330"/>
      <c r="FN250" s="1330"/>
      <c r="FO250" s="1330"/>
      <c r="FP250" s="1330"/>
      <c r="FQ250" s="1330"/>
      <c r="FR250" s="1330"/>
      <c r="FS250" s="1330"/>
      <c r="FT250" s="1330"/>
      <c r="FU250" s="1330"/>
      <c r="FV250" s="1330"/>
      <c r="FW250" s="1330"/>
      <c r="FX250" s="1330"/>
      <c r="FY250" s="1330"/>
    </row>
    <row r="251" ht="14.25" spans="111:181">
      <c r="DG251" s="1334"/>
      <c r="DH251" s="1334"/>
      <c r="DI251" s="1334"/>
      <c r="DJ251" s="1334"/>
      <c r="DK251" s="1334"/>
      <c r="DL251" s="1334"/>
      <c r="DM251" s="1334"/>
      <c r="DN251" s="1334"/>
      <c r="DO251" s="1334"/>
      <c r="DP251" s="1772"/>
      <c r="DQ251" s="1772"/>
      <c r="DR251" s="1772"/>
      <c r="DS251" s="1334"/>
      <c r="DT251" s="1334"/>
      <c r="DU251" s="1334"/>
      <c r="DV251" s="1334"/>
      <c r="DW251" s="1334"/>
      <c r="DX251" s="1334"/>
      <c r="DY251" s="1334"/>
      <c r="DZ251" s="1334"/>
      <c r="EA251" s="1334"/>
      <c r="EB251" s="1334"/>
      <c r="EC251" s="1334"/>
      <c r="ED251" s="1334"/>
      <c r="EI251" s="1329"/>
      <c r="EJ251" s="1329"/>
      <c r="EK251" s="1329"/>
      <c r="EL251" s="1329"/>
      <c r="EM251" s="1329"/>
      <c r="EN251" s="1329"/>
      <c r="EO251" s="1329"/>
      <c r="EP251" s="1329"/>
      <c r="EQ251" s="1329"/>
      <c r="ER251" s="1329"/>
      <c r="ES251" s="1329"/>
      <c r="ET251" s="1329"/>
      <c r="EU251" s="1329"/>
      <c r="EV251" s="1329"/>
      <c r="EW251" s="1329"/>
      <c r="EX251" s="1329"/>
      <c r="EY251" s="1329"/>
      <c r="EZ251" s="1329"/>
      <c r="FA251" s="1329"/>
      <c r="FB251" s="1329"/>
      <c r="FC251" s="1329"/>
      <c r="FD251" s="1766"/>
      <c r="FH251" s="1330"/>
      <c r="FI251" s="1330"/>
      <c r="FJ251" s="1330"/>
      <c r="FK251" s="1330"/>
      <c r="FL251" s="1330"/>
      <c r="FM251" s="1330"/>
      <c r="FN251" s="1330"/>
      <c r="FO251" s="1330"/>
      <c r="FP251" s="1330"/>
      <c r="FQ251" s="1330"/>
      <c r="FR251" s="1330"/>
      <c r="FS251" s="1330"/>
      <c r="FT251" s="1330"/>
      <c r="FU251" s="1330"/>
      <c r="FV251" s="1330"/>
      <c r="FW251" s="1330"/>
      <c r="FX251" s="1330"/>
      <c r="FY251" s="1330"/>
    </row>
    <row r="252" ht="14.25" spans="111:181">
      <c r="DG252" s="1334"/>
      <c r="DH252" s="1334"/>
      <c r="DI252" s="1334"/>
      <c r="DJ252" s="1334"/>
      <c r="DK252" s="1334"/>
      <c r="DL252" s="1334"/>
      <c r="DM252" s="1334"/>
      <c r="DN252" s="1334"/>
      <c r="DO252" s="1334"/>
      <c r="DP252" s="1772"/>
      <c r="DQ252" s="1772"/>
      <c r="DR252" s="1772"/>
      <c r="DS252" s="1334"/>
      <c r="DT252" s="1334"/>
      <c r="DU252" s="1334"/>
      <c r="DV252" s="1334"/>
      <c r="DW252" s="1334"/>
      <c r="DX252" s="1334"/>
      <c r="DY252" s="1334"/>
      <c r="DZ252" s="1334"/>
      <c r="EA252" s="1334"/>
      <c r="EB252" s="1334"/>
      <c r="EC252" s="1334"/>
      <c r="ED252" s="1334"/>
      <c r="EI252" s="1329"/>
      <c r="EJ252" s="1329"/>
      <c r="EK252" s="1329"/>
      <c r="EL252" s="1329"/>
      <c r="EM252" s="1329"/>
      <c r="EN252" s="1329"/>
      <c r="EO252" s="1329"/>
      <c r="EP252" s="1329"/>
      <c r="EQ252" s="1329"/>
      <c r="ER252" s="1329"/>
      <c r="ES252" s="1329"/>
      <c r="ET252" s="1329"/>
      <c r="EU252" s="1329"/>
      <c r="EV252" s="1329"/>
      <c r="EW252" s="1329"/>
      <c r="EX252" s="1329"/>
      <c r="EY252" s="1329"/>
      <c r="EZ252" s="1329"/>
      <c r="FA252" s="1329"/>
      <c r="FB252" s="1329"/>
      <c r="FC252" s="1329"/>
      <c r="FD252" s="1766"/>
      <c r="FH252" s="1330"/>
      <c r="FI252" s="1330"/>
      <c r="FJ252" s="1330"/>
      <c r="FK252" s="1330"/>
      <c r="FL252" s="1330"/>
      <c r="FM252" s="1330"/>
      <c r="FN252" s="1330"/>
      <c r="FO252" s="1330"/>
      <c r="FP252" s="1330"/>
      <c r="FQ252" s="1330"/>
      <c r="FR252" s="1330"/>
      <c r="FS252" s="1330"/>
      <c r="FT252" s="1330"/>
      <c r="FU252" s="1330"/>
      <c r="FV252" s="1330"/>
      <c r="FW252" s="1330"/>
      <c r="FX252" s="1330"/>
      <c r="FY252" s="1330"/>
    </row>
    <row r="253" ht="14.25" spans="111:181">
      <c r="EI253" s="1329"/>
      <c r="EJ253" s="1329"/>
      <c r="EK253" s="1329"/>
      <c r="EL253" s="1329"/>
      <c r="EM253" s="1329"/>
      <c r="EN253" s="1329"/>
      <c r="EO253" s="1329"/>
      <c r="EP253" s="1329"/>
      <c r="EQ253" s="1329"/>
      <c r="ER253" s="1329"/>
      <c r="ES253" s="1329"/>
      <c r="ET253" s="1329"/>
      <c r="EU253" s="1329"/>
      <c r="EV253" s="1329"/>
      <c r="EW253" s="1329"/>
      <c r="EX253" s="1329"/>
      <c r="EY253" s="1329"/>
      <c r="EZ253" s="1329"/>
      <c r="FA253" s="1329"/>
      <c r="FB253" s="1329"/>
      <c r="FC253" s="1329"/>
      <c r="FD253" s="1766"/>
      <c r="FH253" s="1329"/>
      <c r="FI253" s="1329"/>
      <c r="FJ253" s="1329"/>
      <c r="FK253" s="1329"/>
      <c r="FL253" s="1329"/>
      <c r="FM253" s="1329"/>
      <c r="FN253" s="1329"/>
      <c r="FO253" s="1329"/>
      <c r="FP253" s="1329"/>
      <c r="FQ253" s="1329"/>
      <c r="FR253" s="1329"/>
      <c r="FS253" s="1329"/>
      <c r="FT253" s="1329"/>
      <c r="FU253" s="1329"/>
      <c r="FV253" s="1329"/>
      <c r="FW253" s="1329"/>
      <c r="FX253" s="1329"/>
      <c r="FY253" s="1329"/>
    </row>
    <row r="254" ht="14.25" spans="111:181">
      <c r="EI254" s="1329"/>
      <c r="EJ254" s="1329"/>
      <c r="EK254" s="1329"/>
      <c r="EL254" s="1329"/>
      <c r="EM254" s="1329"/>
      <c r="EN254" s="1329"/>
      <c r="EO254" s="1329"/>
      <c r="EP254" s="1329"/>
      <c r="EQ254" s="1329"/>
      <c r="ER254" s="1329"/>
      <c r="ES254" s="1329"/>
      <c r="ET254" s="1329"/>
      <c r="EU254" s="1329"/>
      <c r="EV254" s="1329"/>
      <c r="EW254" s="1329"/>
      <c r="EX254" s="1329"/>
      <c r="EY254" s="1329"/>
      <c r="EZ254" s="1329"/>
      <c r="FA254" s="1329"/>
      <c r="FB254" s="1329"/>
      <c r="FC254" s="1329"/>
      <c r="FD254" s="1766"/>
      <c r="FH254" s="1329"/>
      <c r="FI254" s="1329"/>
      <c r="FJ254" s="1329"/>
      <c r="FK254" s="1329"/>
      <c r="FL254" s="1329"/>
      <c r="FM254" s="1329"/>
      <c r="FN254" s="1329"/>
      <c r="FO254" s="1329"/>
      <c r="FP254" s="1329"/>
      <c r="FQ254" s="1329"/>
      <c r="FR254" s="1329"/>
      <c r="FS254" s="1329"/>
      <c r="FT254" s="1329"/>
      <c r="FU254" s="1329"/>
      <c r="FV254" s="1329"/>
      <c r="FW254" s="1329"/>
      <c r="FX254" s="1329"/>
      <c r="FY254" s="1329"/>
    </row>
    <row r="255" ht="14.25" spans="111:181">
      <c r="EI255" s="1329"/>
      <c r="EJ255" s="1329"/>
      <c r="EK255" s="1329"/>
      <c r="EL255" s="1329"/>
      <c r="EM255" s="1329"/>
      <c r="EN255" s="1329"/>
      <c r="EO255" s="1329"/>
      <c r="EP255" s="1329"/>
      <c r="EQ255" s="1329"/>
      <c r="ER255" s="1329"/>
      <c r="ES255" s="1329"/>
      <c r="ET255" s="1329"/>
      <c r="EU255" s="1329"/>
      <c r="EV255" s="1329"/>
      <c r="EW255" s="1329"/>
      <c r="EX255" s="1329"/>
      <c r="EY255" s="1329"/>
      <c r="EZ255" s="1329"/>
      <c r="FA255" s="1329"/>
      <c r="FB255" s="1329"/>
      <c r="FC255" s="1329"/>
      <c r="FD255" s="1766"/>
      <c r="FH255" s="1329"/>
      <c r="FI255" s="1329"/>
      <c r="FJ255" s="1329"/>
      <c r="FK255" s="1329"/>
      <c r="FL255" s="1329"/>
      <c r="FM255" s="1329"/>
      <c r="FN255" s="1329"/>
      <c r="FO255" s="1329"/>
      <c r="FP255" s="1329"/>
      <c r="FQ255" s="1329"/>
      <c r="FR255" s="1329"/>
      <c r="FS255" s="1329"/>
      <c r="FT255" s="1329"/>
      <c r="FU255" s="1329"/>
      <c r="FV255" s="1329"/>
      <c r="FW255" s="1329"/>
      <c r="FX255" s="1329"/>
      <c r="FY255" s="1329"/>
    </row>
    <row r="256" ht="14.25" spans="111:181">
      <c r="EI256" s="1329"/>
      <c r="EJ256" s="1329"/>
      <c r="EK256" s="1329"/>
      <c r="EL256" s="1329"/>
      <c r="EM256" s="1329"/>
      <c r="EN256" s="1329"/>
      <c r="EO256" s="1329"/>
      <c r="EP256" s="1329"/>
      <c r="EQ256" s="1329"/>
      <c r="ER256" s="1329"/>
      <c r="ES256" s="1329"/>
      <c r="ET256" s="1329"/>
      <c r="EU256" s="1329"/>
      <c r="EV256" s="1329"/>
      <c r="EW256" s="1329"/>
      <c r="EX256" s="1329"/>
      <c r="EY256" s="1329"/>
      <c r="EZ256" s="1329"/>
      <c r="FA256" s="1329"/>
      <c r="FB256" s="1329"/>
      <c r="FC256" s="1329"/>
      <c r="FD256" s="1766"/>
      <c r="FH256" s="1329"/>
      <c r="FI256" s="1329"/>
      <c r="FJ256" s="1329"/>
      <c r="FK256" s="1329"/>
      <c r="FL256" s="1329"/>
      <c r="FM256" s="1329"/>
      <c r="FN256" s="1329"/>
      <c r="FO256" s="1329"/>
      <c r="FP256" s="1329"/>
      <c r="FQ256" s="1329"/>
      <c r="FR256" s="1329"/>
      <c r="FS256" s="1329"/>
      <c r="FT256" s="1329"/>
      <c r="FU256" s="1329"/>
      <c r="FV256" s="1329"/>
      <c r="FW256" s="1329"/>
      <c r="FX256" s="1329"/>
      <c r="FY256" s="1329"/>
    </row>
    <row r="257" ht="14.25" spans="139:181">
      <c r="EI257" s="1329"/>
      <c r="EJ257" s="1329"/>
      <c r="EK257" s="1329"/>
      <c r="EL257" s="1329"/>
      <c r="EM257" s="1329"/>
      <c r="EN257" s="1329"/>
      <c r="EO257" s="1329"/>
      <c r="EP257" s="1329"/>
      <c r="EQ257" s="1329"/>
      <c r="ER257" s="1329"/>
      <c r="ES257" s="1329"/>
      <c r="ET257" s="1329"/>
      <c r="EU257" s="1329"/>
      <c r="EV257" s="1329"/>
      <c r="EW257" s="1329"/>
      <c r="EX257" s="1329"/>
      <c r="EY257" s="1329"/>
      <c r="EZ257" s="1329"/>
      <c r="FA257" s="1329"/>
      <c r="FB257" s="1329"/>
      <c r="FC257" s="1329"/>
      <c r="FD257" s="1766"/>
      <c r="FH257" s="1329"/>
      <c r="FI257" s="1329"/>
      <c r="FJ257" s="1329"/>
      <c r="FK257" s="1329"/>
      <c r="FL257" s="1329"/>
      <c r="FM257" s="1329"/>
      <c r="FN257" s="1329"/>
      <c r="FO257" s="1329"/>
      <c r="FP257" s="1329"/>
      <c r="FQ257" s="1329"/>
      <c r="FR257" s="1329"/>
      <c r="FS257" s="1329"/>
      <c r="FT257" s="1329"/>
      <c r="FU257" s="1329"/>
      <c r="FV257" s="1329"/>
      <c r="FW257" s="1329"/>
      <c r="FX257" s="1329"/>
      <c r="FY257" s="1329"/>
    </row>
    <row r="258" ht="14.25" spans="139:181">
      <c r="EI258" s="1329"/>
      <c r="EJ258" s="1329"/>
      <c r="EK258" s="1329"/>
      <c r="EL258" s="1329"/>
      <c r="EM258" s="1329"/>
      <c r="EN258" s="1329"/>
      <c r="EO258" s="1329"/>
      <c r="EP258" s="1329"/>
      <c r="EQ258" s="1329"/>
      <c r="ER258" s="1329"/>
      <c r="ES258" s="1329"/>
      <c r="ET258" s="1329"/>
      <c r="EU258" s="1329"/>
      <c r="EV258" s="1329"/>
      <c r="EW258" s="1329"/>
      <c r="EX258" s="1329"/>
      <c r="EY258" s="1329"/>
      <c r="EZ258" s="1329"/>
      <c r="FA258" s="1329"/>
      <c r="FB258" s="1329"/>
      <c r="FC258" s="1329"/>
      <c r="FD258" s="1766"/>
      <c r="FH258" s="1329"/>
      <c r="FI258" s="1329"/>
      <c r="FJ258" s="1329"/>
      <c r="FK258" s="1329"/>
      <c r="FL258" s="1329"/>
      <c r="FM258" s="1329"/>
      <c r="FN258" s="1329"/>
      <c r="FO258" s="1329"/>
      <c r="FP258" s="1329"/>
      <c r="FQ258" s="1329"/>
      <c r="FR258" s="1329"/>
      <c r="FS258" s="1329"/>
      <c r="FT258" s="1329"/>
      <c r="FU258" s="1329"/>
      <c r="FV258" s="1329"/>
      <c r="FW258" s="1329"/>
      <c r="FX258" s="1329"/>
      <c r="FY258" s="1329"/>
    </row>
    <row r="259" ht="14.25" spans="139:181">
      <c r="EI259" s="1329"/>
      <c r="EJ259" s="1329"/>
      <c r="EK259" s="1329"/>
      <c r="EL259" s="1329"/>
      <c r="EM259" s="1329"/>
      <c r="EN259" s="1329"/>
      <c r="EO259" s="1329"/>
      <c r="EP259" s="1329"/>
      <c r="EQ259" s="1329"/>
      <c r="ER259" s="1329"/>
      <c r="ES259" s="1329"/>
      <c r="ET259" s="1329"/>
      <c r="EU259" s="1329"/>
      <c r="EV259" s="1329"/>
      <c r="EW259" s="1329"/>
      <c r="EX259" s="1329"/>
      <c r="EY259" s="1329"/>
      <c r="EZ259" s="1329"/>
      <c r="FA259" s="1329"/>
      <c r="FB259" s="1329"/>
      <c r="FC259" s="1329"/>
      <c r="FD259" s="1766"/>
      <c r="FH259" s="1329"/>
      <c r="FI259" s="1329"/>
      <c r="FJ259" s="1329"/>
      <c r="FK259" s="1329"/>
      <c r="FL259" s="1329"/>
      <c r="FM259" s="1329"/>
      <c r="FN259" s="1329"/>
      <c r="FO259" s="1329"/>
      <c r="FP259" s="1329"/>
      <c r="FQ259" s="1329"/>
      <c r="FR259" s="1329"/>
      <c r="FS259" s="1329"/>
      <c r="FT259" s="1329"/>
      <c r="FU259" s="1329"/>
      <c r="FV259" s="1329"/>
      <c r="FW259" s="1329"/>
      <c r="FX259" s="1329"/>
      <c r="FY259" s="1329"/>
    </row>
    <row r="260" ht="14.25" spans="139:181">
      <c r="EI260" s="1329"/>
      <c r="EJ260" s="1329"/>
      <c r="EK260" s="1329"/>
      <c r="EL260" s="1329"/>
      <c r="EM260" s="1329"/>
      <c r="EN260" s="1329"/>
      <c r="EO260" s="1329"/>
      <c r="EP260" s="1329"/>
      <c r="EQ260" s="1329"/>
      <c r="ER260" s="1329"/>
      <c r="ES260" s="1329"/>
      <c r="ET260" s="1329"/>
      <c r="EU260" s="1329"/>
      <c r="EV260" s="1329"/>
      <c r="EW260" s="1329"/>
      <c r="EX260" s="1329"/>
      <c r="EY260" s="1329"/>
      <c r="EZ260" s="1329"/>
      <c r="FA260" s="1329"/>
      <c r="FB260" s="1329"/>
      <c r="FC260" s="1329"/>
      <c r="FD260" s="1766"/>
      <c r="FH260" s="1329"/>
      <c r="FI260" s="1329"/>
      <c r="FJ260" s="1329"/>
      <c r="FK260" s="1329"/>
      <c r="FL260" s="1329"/>
      <c r="FM260" s="1329"/>
      <c r="FN260" s="1329"/>
      <c r="FO260" s="1329"/>
      <c r="FP260" s="1329"/>
      <c r="FQ260" s="1329"/>
      <c r="FR260" s="1329"/>
      <c r="FS260" s="1329"/>
      <c r="FT260" s="1329"/>
      <c r="FU260" s="1329"/>
      <c r="FV260" s="1329"/>
      <c r="FW260" s="1329"/>
      <c r="FX260" s="1329"/>
      <c r="FY260" s="1329"/>
    </row>
    <row r="261" ht="14.25" spans="139:181">
      <c r="EI261" s="1329"/>
      <c r="EJ261" s="1329"/>
      <c r="EK261" s="1329"/>
      <c r="EL261" s="1329"/>
      <c r="EM261" s="1329"/>
      <c r="EN261" s="1329"/>
      <c r="EO261" s="1329"/>
      <c r="EP261" s="1329"/>
      <c r="EQ261" s="1329"/>
      <c r="ER261" s="1329"/>
      <c r="ES261" s="1329"/>
      <c r="ET261" s="1329"/>
      <c r="EU261" s="1329"/>
      <c r="EV261" s="1329"/>
      <c r="EW261" s="1329"/>
      <c r="EX261" s="1329"/>
      <c r="EY261" s="1329"/>
      <c r="EZ261" s="1329"/>
      <c r="FA261" s="1329"/>
      <c r="FB261" s="1329"/>
      <c r="FC261" s="1329"/>
      <c r="FD261" s="1766"/>
      <c r="FH261" s="1329"/>
      <c r="FI261" s="1329"/>
      <c r="FJ261" s="1329"/>
      <c r="FK261" s="1329"/>
      <c r="FL261" s="1329"/>
      <c r="FM261" s="1329"/>
      <c r="FN261" s="1329"/>
      <c r="FO261" s="1329"/>
      <c r="FP261" s="1329"/>
      <c r="FQ261" s="1329"/>
      <c r="FR261" s="1329"/>
      <c r="FS261" s="1329"/>
      <c r="FT261" s="1329"/>
      <c r="FU261" s="1329"/>
      <c r="FV261" s="1329"/>
      <c r="FW261" s="1329"/>
      <c r="FX261" s="1329"/>
      <c r="FY261" s="1329"/>
    </row>
    <row r="262" ht="14.25" spans="139:181">
      <c r="EI262" s="1329"/>
      <c r="EJ262" s="1329"/>
      <c r="EK262" s="1329"/>
      <c r="EL262" s="1329"/>
      <c r="EM262" s="1329"/>
      <c r="EN262" s="1329"/>
      <c r="EO262" s="1329"/>
      <c r="EP262" s="1329"/>
      <c r="EQ262" s="1329"/>
      <c r="ER262" s="1329"/>
      <c r="ES262" s="1329"/>
      <c r="ET262" s="1329"/>
      <c r="EU262" s="1329"/>
      <c r="EV262" s="1329"/>
      <c r="EW262" s="1329"/>
      <c r="EX262" s="1329"/>
      <c r="EY262" s="1329"/>
      <c r="EZ262" s="1329"/>
      <c r="FA262" s="1329"/>
      <c r="FB262" s="1329"/>
      <c r="FC262" s="1329"/>
      <c r="FD262" s="1766"/>
      <c r="FH262" s="1329"/>
      <c r="FI262" s="1329"/>
      <c r="FJ262" s="1329"/>
      <c r="FK262" s="1329"/>
      <c r="FL262" s="1329"/>
      <c r="FM262" s="1329"/>
      <c r="FN262" s="1329"/>
      <c r="FO262" s="1329"/>
      <c r="FP262" s="1329"/>
      <c r="FQ262" s="1329"/>
      <c r="FR262" s="1329"/>
      <c r="FS262" s="1329"/>
      <c r="FT262" s="1329"/>
      <c r="FU262" s="1329"/>
      <c r="FV262" s="1329"/>
      <c r="FW262" s="1329"/>
      <c r="FX262" s="1329"/>
      <c r="FY262" s="1329"/>
    </row>
    <row r="263" ht="14.25" spans="139:181">
      <c r="EI263" s="1329"/>
      <c r="EJ263" s="1329"/>
      <c r="EK263" s="1329"/>
      <c r="EL263" s="1329"/>
      <c r="EM263" s="1329"/>
      <c r="EN263" s="1329"/>
      <c r="EO263" s="1329"/>
      <c r="EP263" s="1329"/>
      <c r="EQ263" s="1329"/>
      <c r="ER263" s="1329"/>
      <c r="ES263" s="1329"/>
      <c r="ET263" s="1329"/>
      <c r="EU263" s="1329"/>
      <c r="EV263" s="1329"/>
      <c r="EW263" s="1329"/>
      <c r="EX263" s="1329"/>
      <c r="EY263" s="1329"/>
      <c r="EZ263" s="1329"/>
      <c r="FA263" s="1329"/>
      <c r="FB263" s="1329"/>
      <c r="FC263" s="1329"/>
      <c r="FD263" s="1766"/>
      <c r="FH263" s="1329"/>
      <c r="FI263" s="1329"/>
      <c r="FJ263" s="1329"/>
      <c r="FK263" s="1329"/>
      <c r="FL263" s="1329"/>
      <c r="FM263" s="1329"/>
      <c r="FN263" s="1329"/>
      <c r="FO263" s="1329"/>
      <c r="FP263" s="1329"/>
      <c r="FQ263" s="1329"/>
      <c r="FR263" s="1329"/>
      <c r="FS263" s="1329"/>
      <c r="FT263" s="1329"/>
      <c r="FU263" s="1329"/>
      <c r="FV263" s="1329"/>
      <c r="FW263" s="1329"/>
      <c r="FX263" s="1329"/>
      <c r="FY263" s="1329"/>
    </row>
    <row r="264" ht="14.25" spans="139:181">
      <c r="EI264" s="1329"/>
      <c r="EJ264" s="1329"/>
      <c r="EK264" s="1329"/>
      <c r="EL264" s="1329"/>
      <c r="EM264" s="1329"/>
      <c r="EN264" s="1329"/>
      <c r="EO264" s="1329"/>
      <c r="EP264" s="1329"/>
      <c r="EQ264" s="1329"/>
      <c r="ER264" s="1329"/>
      <c r="ES264" s="1329"/>
      <c r="ET264" s="1329"/>
      <c r="EU264" s="1329"/>
      <c r="EV264" s="1329"/>
      <c r="EW264" s="1329"/>
      <c r="EX264" s="1329"/>
      <c r="EY264" s="1329"/>
      <c r="EZ264" s="1329"/>
      <c r="FA264" s="1329"/>
      <c r="FB264" s="1329"/>
      <c r="FC264" s="1329"/>
      <c r="FD264" s="1766"/>
      <c r="FH264" s="1329"/>
      <c r="FI264" s="1329"/>
      <c r="FJ264" s="1329"/>
      <c r="FK264" s="1329"/>
      <c r="FL264" s="1329"/>
      <c r="FM264" s="1329"/>
      <c r="FN264" s="1329"/>
      <c r="FO264" s="1329"/>
      <c r="FP264" s="1329"/>
      <c r="FQ264" s="1329"/>
      <c r="FR264" s="1329"/>
      <c r="FS264" s="1329"/>
      <c r="FT264" s="1329"/>
      <c r="FU264" s="1329"/>
      <c r="FV264" s="1329"/>
      <c r="FW264" s="1329"/>
      <c r="FX264" s="1329"/>
      <c r="FY264" s="1329"/>
    </row>
    <row r="265" ht="14.25" spans="139:181">
      <c r="EI265" s="1329"/>
      <c r="EJ265" s="1329"/>
      <c r="EK265" s="1329"/>
      <c r="EL265" s="1329"/>
      <c r="EM265" s="1329"/>
      <c r="EN265" s="1329"/>
      <c r="EO265" s="1329"/>
      <c r="EP265" s="1329"/>
      <c r="EQ265" s="1329"/>
      <c r="ER265" s="1329"/>
      <c r="ES265" s="1329"/>
      <c r="ET265" s="1329"/>
      <c r="EU265" s="1329"/>
      <c r="EV265" s="1329"/>
      <c r="EW265" s="1329"/>
      <c r="EX265" s="1329"/>
      <c r="EY265" s="1329"/>
      <c r="EZ265" s="1329"/>
      <c r="FA265" s="1329"/>
      <c r="FB265" s="1329"/>
      <c r="FC265" s="1329"/>
      <c r="FD265" s="1766"/>
    </row>
    <row r="266" ht="14.25" spans="139:181">
      <c r="EI266" s="1329"/>
      <c r="EJ266" s="1329"/>
      <c r="EK266" s="1329"/>
      <c r="EL266" s="1329"/>
      <c r="EM266" s="1329"/>
      <c r="EN266" s="1329"/>
      <c r="EO266" s="1329"/>
      <c r="EP266" s="1329"/>
      <c r="EQ266" s="1329"/>
      <c r="ER266" s="1329"/>
      <c r="ES266" s="1329"/>
      <c r="ET266" s="1329"/>
      <c r="EU266" s="1329"/>
      <c r="EV266" s="1329"/>
      <c r="EW266" s="1329"/>
      <c r="EX266" s="1329"/>
      <c r="EY266" s="1329"/>
      <c r="EZ266" s="1329"/>
      <c r="FA266" s="1329"/>
      <c r="FB266" s="1329"/>
      <c r="FC266" s="1329"/>
      <c r="FD266" s="1766"/>
    </row>
    <row r="267" ht="14.25" spans="139:181">
      <c r="EI267" s="1329"/>
      <c r="EJ267" s="1329"/>
      <c r="EK267" s="1329"/>
      <c r="EL267" s="1329"/>
      <c r="EM267" s="1329"/>
      <c r="EN267" s="1329"/>
      <c r="EO267" s="1329"/>
      <c r="EP267" s="1329"/>
      <c r="EQ267" s="1329"/>
      <c r="ER267" s="1329"/>
      <c r="ES267" s="1329"/>
      <c r="ET267" s="1329"/>
      <c r="EU267" s="1329"/>
      <c r="EV267" s="1329"/>
      <c r="EW267" s="1329"/>
      <c r="EX267" s="1329"/>
      <c r="EY267" s="1329"/>
      <c r="EZ267" s="1329"/>
      <c r="FA267" s="1329"/>
      <c r="FB267" s="1329"/>
      <c r="FC267" s="1329"/>
      <c r="FD267" s="1766"/>
    </row>
    <row r="268" ht="14.25" spans="139:181">
      <c r="EI268" s="1329"/>
      <c r="EJ268" s="1329"/>
      <c r="EK268" s="1329"/>
      <c r="EL268" s="1329"/>
      <c r="EM268" s="1329"/>
      <c r="EN268" s="1329"/>
      <c r="EO268" s="1329"/>
      <c r="EP268" s="1329"/>
      <c r="EQ268" s="1329"/>
      <c r="ER268" s="1329"/>
      <c r="ES268" s="1329"/>
      <c r="ET268" s="1329"/>
      <c r="EU268" s="1329"/>
      <c r="EV268" s="1329"/>
      <c r="EW268" s="1329"/>
      <c r="EX268" s="1329"/>
      <c r="EY268" s="1329"/>
      <c r="EZ268" s="1329"/>
      <c r="FA268" s="1329"/>
      <c r="FB268" s="1329"/>
      <c r="FC268" s="1329"/>
      <c r="FD268" s="1766"/>
    </row>
    <row r="269" ht="14.25" spans="139:181">
      <c r="EI269" s="1329"/>
      <c r="EJ269" s="1329"/>
      <c r="EK269" s="1329"/>
      <c r="EL269" s="1329"/>
      <c r="EM269" s="1329"/>
      <c r="EN269" s="1329"/>
      <c r="EO269" s="1329"/>
      <c r="EP269" s="1329"/>
      <c r="EQ269" s="1329"/>
      <c r="ER269" s="1329"/>
      <c r="ES269" s="1329"/>
      <c r="ET269" s="1329"/>
      <c r="EU269" s="1329"/>
      <c r="EV269" s="1329"/>
      <c r="EW269" s="1329"/>
      <c r="EX269" s="1329"/>
      <c r="EY269" s="1329"/>
      <c r="EZ269" s="1329"/>
      <c r="FA269" s="1329"/>
      <c r="FB269" s="1329"/>
      <c r="FC269" s="1329"/>
      <c r="FD269" s="1766"/>
    </row>
    <row r="270" ht="14.25" spans="139:181">
      <c r="EI270" s="1329"/>
      <c r="EJ270" s="1329"/>
      <c r="EK270" s="1329"/>
      <c r="EL270" s="1329"/>
      <c r="EM270" s="1329"/>
      <c r="EN270" s="1329"/>
      <c r="EO270" s="1329"/>
      <c r="EP270" s="1329"/>
      <c r="EQ270" s="1329"/>
      <c r="ER270" s="1329"/>
      <c r="ES270" s="1329"/>
      <c r="ET270" s="1329"/>
      <c r="EU270" s="1329"/>
      <c r="EV270" s="1329"/>
      <c r="EW270" s="1329"/>
      <c r="EX270" s="1329"/>
      <c r="EY270" s="1329"/>
      <c r="EZ270" s="1329"/>
      <c r="FA270" s="1329"/>
      <c r="FB270" s="1329"/>
      <c r="FC270" s="1329"/>
      <c r="FD270" s="1769"/>
    </row>
    <row r="271" ht="14.25" spans="139:181">
      <c r="EI271" s="1329"/>
      <c r="EJ271" s="1329"/>
      <c r="EK271" s="1329"/>
      <c r="EL271" s="1329"/>
      <c r="EM271" s="1329"/>
      <c r="EN271" s="1329"/>
      <c r="EO271" s="1329"/>
      <c r="EP271" s="1329"/>
      <c r="EQ271" s="1329"/>
      <c r="ER271" s="1329"/>
      <c r="ES271" s="1329"/>
      <c r="ET271" s="1329"/>
      <c r="EU271" s="1329"/>
      <c r="EV271" s="1329"/>
      <c r="EW271" s="1329"/>
      <c r="EX271" s="1329"/>
      <c r="EY271" s="1329"/>
      <c r="EZ271" s="1329"/>
      <c r="FA271" s="1329"/>
      <c r="FB271" s="1329"/>
      <c r="FC271" s="1329"/>
      <c r="FD271" s="1769"/>
    </row>
    <row r="272" ht="14.25" spans="139:181">
      <c r="EI272" s="1329"/>
      <c r="EJ272" s="1329"/>
      <c r="EK272" s="1329"/>
      <c r="EL272" s="1329"/>
      <c r="EM272" s="1329"/>
      <c r="EN272" s="1329"/>
      <c r="EO272" s="1329"/>
      <c r="EP272" s="1329"/>
      <c r="EQ272" s="1329"/>
      <c r="ER272" s="1329"/>
      <c r="ES272" s="1329"/>
      <c r="ET272" s="1329"/>
      <c r="EU272" s="1329"/>
      <c r="EV272" s="1329"/>
      <c r="EW272" s="1329"/>
      <c r="EX272" s="1329"/>
      <c r="EY272" s="1329"/>
      <c r="EZ272" s="1329"/>
      <c r="FA272" s="1329"/>
      <c r="FB272" s="1329"/>
      <c r="FC272" s="1329"/>
      <c r="FD272" s="1766"/>
    </row>
    <row r="273" ht="14.25" spans="139:160">
      <c r="EI273" s="1329"/>
      <c r="EJ273" s="1329"/>
      <c r="EK273" s="1329"/>
      <c r="EL273" s="1329"/>
      <c r="EM273" s="1329"/>
      <c r="EN273" s="1329"/>
      <c r="EO273" s="1329"/>
      <c r="EP273" s="1329"/>
      <c r="EQ273" s="1329"/>
      <c r="ER273" s="1329"/>
      <c r="ES273" s="1329"/>
      <c r="ET273" s="1329"/>
      <c r="EU273" s="1329"/>
      <c r="EV273" s="1329"/>
      <c r="EW273" s="1329"/>
      <c r="EX273" s="1329"/>
      <c r="EY273" s="1329"/>
      <c r="EZ273" s="1329"/>
      <c r="FA273" s="1329"/>
      <c r="FB273" s="1329"/>
      <c r="FC273" s="1329"/>
      <c r="FD273" s="1766"/>
    </row>
    <row r="274" ht="14.25" spans="139:160">
      <c r="EI274" s="1329"/>
      <c r="EJ274" s="1329"/>
      <c r="EK274" s="1329"/>
      <c r="EL274" s="1329"/>
      <c r="EM274" s="1329"/>
      <c r="EN274" s="1329"/>
      <c r="EO274" s="1329"/>
      <c r="EP274" s="1329"/>
      <c r="EQ274" s="1329"/>
      <c r="ER274" s="1329"/>
      <c r="ES274" s="1329"/>
      <c r="ET274" s="1329"/>
      <c r="EU274" s="1329"/>
      <c r="EV274" s="1329"/>
      <c r="EW274" s="1329"/>
      <c r="EX274" s="1329"/>
      <c r="EY274" s="1329"/>
      <c r="EZ274" s="1329"/>
      <c r="FA274" s="1329"/>
      <c r="FB274" s="1329"/>
      <c r="FC274" s="1329"/>
      <c r="FD274" s="1766"/>
    </row>
    <row r="275" ht="14.25" spans="139:160">
      <c r="EI275" s="1329"/>
      <c r="EJ275" s="1329"/>
      <c r="EK275" s="1329"/>
      <c r="EL275" s="1329"/>
      <c r="EM275" s="1329"/>
      <c r="EN275" s="1329"/>
      <c r="EO275" s="1329"/>
      <c r="EP275" s="1329"/>
      <c r="EQ275" s="1329"/>
      <c r="ER275" s="1329"/>
      <c r="ES275" s="1329"/>
      <c r="ET275" s="1329"/>
      <c r="EU275" s="1329"/>
      <c r="EV275" s="1329"/>
      <c r="EW275" s="1329"/>
      <c r="EX275" s="1329"/>
      <c r="EY275" s="1329"/>
      <c r="EZ275" s="1329"/>
      <c r="FA275" s="1329"/>
      <c r="FB275" s="1329"/>
      <c r="FC275" s="1329"/>
      <c r="FD275" s="1766"/>
    </row>
    <row r="276" ht="14.25" spans="139:160">
      <c r="EI276" s="1329"/>
      <c r="EJ276" s="1329"/>
      <c r="EK276" s="1329"/>
      <c r="EL276" s="1329"/>
      <c r="EM276" s="1329"/>
      <c r="EN276" s="1329"/>
      <c r="EO276" s="1329"/>
      <c r="EP276" s="1329"/>
      <c r="EQ276" s="1329"/>
      <c r="ER276" s="1329"/>
      <c r="ES276" s="1329"/>
      <c r="ET276" s="1329"/>
      <c r="EU276" s="1329"/>
      <c r="EV276" s="1329"/>
      <c r="EW276" s="1329"/>
      <c r="EX276" s="1329"/>
      <c r="EY276" s="1329"/>
      <c r="EZ276" s="1329"/>
      <c r="FA276" s="1329"/>
      <c r="FB276" s="1329"/>
      <c r="FC276" s="1329"/>
      <c r="FD276" s="1766"/>
    </row>
    <row r="277" ht="14.25" spans="139:160">
      <c r="EI277" s="1329"/>
      <c r="EJ277" s="1329"/>
      <c r="EK277" s="1329"/>
      <c r="EL277" s="1329"/>
      <c r="EM277" s="1329"/>
      <c r="EN277" s="1329"/>
      <c r="EO277" s="1329"/>
      <c r="EP277" s="1329"/>
      <c r="EQ277" s="1329"/>
      <c r="ER277" s="1329"/>
      <c r="ES277" s="1329"/>
      <c r="ET277" s="1329"/>
      <c r="EU277" s="1329"/>
      <c r="EV277" s="1329"/>
      <c r="EW277" s="1329"/>
      <c r="EX277" s="1329"/>
      <c r="EY277" s="1329"/>
      <c r="EZ277" s="1329"/>
      <c r="FA277" s="1329"/>
      <c r="FB277" s="1329"/>
      <c r="FC277" s="1329"/>
      <c r="FD277" s="1766"/>
    </row>
    <row r="278" ht="14.25" spans="139:160">
      <c r="EI278" s="1329"/>
      <c r="EJ278" s="1329"/>
      <c r="EK278" s="1329"/>
      <c r="EL278" s="1329"/>
      <c r="EM278" s="1329"/>
      <c r="EN278" s="1329"/>
      <c r="EO278" s="1329"/>
      <c r="EP278" s="1329"/>
      <c r="EQ278" s="1329"/>
      <c r="ER278" s="1329"/>
      <c r="ES278" s="1329"/>
      <c r="ET278" s="1329"/>
      <c r="EU278" s="1329"/>
      <c r="EV278" s="1329"/>
      <c r="EW278" s="1329"/>
      <c r="EX278" s="1329"/>
      <c r="EY278" s="1329"/>
      <c r="EZ278" s="1329"/>
      <c r="FA278" s="1329"/>
      <c r="FB278" s="1329"/>
      <c r="FC278" s="1329"/>
      <c r="FD278" s="1766"/>
    </row>
    <row r="279" ht="14.25" spans="139:160">
      <c r="EI279" s="1330"/>
      <c r="EJ279" s="1330"/>
      <c r="EK279" s="1330"/>
      <c r="EL279" s="1330"/>
      <c r="EM279" s="1330"/>
      <c r="EN279" s="1330"/>
      <c r="EO279" s="1330"/>
      <c r="EP279" s="1330"/>
      <c r="EQ279" s="1330"/>
      <c r="ER279" s="1330"/>
      <c r="ES279" s="1330"/>
      <c r="ET279" s="1330"/>
      <c r="EU279" s="1330"/>
      <c r="EV279" s="1330"/>
      <c r="EW279" s="1330"/>
      <c r="EX279" s="1330"/>
      <c r="EY279" s="1330"/>
      <c r="EZ279" s="1330"/>
      <c r="FA279" s="1330"/>
      <c r="FB279" s="1330"/>
      <c r="FC279" s="1330"/>
      <c r="FD279" s="1766"/>
    </row>
    <row r="280" ht="14.25" spans="139:160">
      <c r="EI280" s="1330"/>
      <c r="EJ280" s="1330"/>
      <c r="EK280" s="1330"/>
      <c r="EL280" s="1330"/>
      <c r="EM280" s="1330"/>
      <c r="EN280" s="1330"/>
      <c r="EO280" s="1330"/>
      <c r="EP280" s="1330"/>
      <c r="EQ280" s="1330"/>
      <c r="ER280" s="1330"/>
      <c r="ES280" s="1330"/>
      <c r="ET280" s="1330"/>
      <c r="EU280" s="1330"/>
      <c r="EV280" s="1330"/>
      <c r="EW280" s="1330"/>
      <c r="EX280" s="1330"/>
      <c r="EY280" s="1330"/>
      <c r="EZ280" s="1330"/>
      <c r="FA280" s="1330"/>
      <c r="FB280" s="1330"/>
      <c r="FC280" s="1330"/>
      <c r="FD280" s="1766"/>
    </row>
    <row r="281" ht="14.25" spans="139:160">
      <c r="EI281" s="1329"/>
      <c r="EJ281" s="1329"/>
      <c r="EK281" s="1329"/>
      <c r="EL281" s="1329"/>
      <c r="EM281" s="1329"/>
      <c r="EN281" s="1329"/>
      <c r="EO281" s="1329"/>
      <c r="EP281" s="1329"/>
      <c r="EQ281" s="1329"/>
      <c r="ER281" s="1329"/>
      <c r="ES281" s="1329"/>
      <c r="ET281" s="1329"/>
      <c r="EU281" s="1329"/>
      <c r="EV281" s="1329"/>
      <c r="EW281" s="1329"/>
      <c r="EX281" s="1329"/>
      <c r="EY281" s="1329"/>
      <c r="EZ281" s="1329"/>
      <c r="FA281" s="1329"/>
      <c r="FB281" s="1329"/>
      <c r="FC281" s="1329"/>
      <c r="FD281" s="1766"/>
    </row>
    <row r="282" ht="14.25" spans="139:160">
      <c r="EI282" s="1329"/>
      <c r="EJ282" s="1329"/>
      <c r="EK282" s="1329"/>
      <c r="EL282" s="1329"/>
      <c r="EM282" s="1329"/>
      <c r="EN282" s="1329"/>
      <c r="EO282" s="1329"/>
      <c r="EP282" s="1329"/>
      <c r="EQ282" s="1329"/>
      <c r="ER282" s="1329"/>
      <c r="ES282" s="1329"/>
      <c r="ET282" s="1329"/>
      <c r="EU282" s="1329"/>
      <c r="EV282" s="1329"/>
      <c r="EW282" s="1329"/>
      <c r="EX282" s="1329"/>
      <c r="EY282" s="1329"/>
      <c r="EZ282" s="1329"/>
      <c r="FA282" s="1329"/>
      <c r="FB282" s="1329"/>
      <c r="FC282" s="1329"/>
      <c r="FD282" s="1766"/>
    </row>
    <row r="283" ht="14.25" spans="139:160">
      <c r="EI283" s="1329"/>
      <c r="EJ283" s="1329"/>
      <c r="EK283" s="1329"/>
      <c r="EL283" s="1329"/>
      <c r="EM283" s="1329"/>
      <c r="EN283" s="1329"/>
      <c r="EO283" s="1329"/>
      <c r="EP283" s="1329"/>
      <c r="EQ283" s="1329"/>
      <c r="ER283" s="1329"/>
      <c r="ES283" s="1329"/>
      <c r="ET283" s="1329"/>
      <c r="EU283" s="1329"/>
      <c r="EV283" s="1329"/>
      <c r="EW283" s="1329"/>
      <c r="EX283" s="1329"/>
      <c r="EY283" s="1329"/>
      <c r="EZ283" s="1329"/>
      <c r="FA283" s="1329"/>
      <c r="FB283" s="1329"/>
      <c r="FC283" s="1329"/>
      <c r="FD283" s="1766"/>
    </row>
    <row r="284" ht="14.25" spans="139:160">
      <c r="EI284" s="1329"/>
      <c r="EJ284" s="1329"/>
      <c r="EK284" s="1329"/>
      <c r="EL284" s="1329"/>
      <c r="EM284" s="1329"/>
      <c r="EN284" s="1329"/>
      <c r="EO284" s="1329"/>
      <c r="EP284" s="1329"/>
      <c r="EQ284" s="1329"/>
      <c r="ER284" s="1329"/>
      <c r="ES284" s="1329"/>
      <c r="ET284" s="1329"/>
      <c r="EU284" s="1329"/>
      <c r="EV284" s="1329"/>
      <c r="EW284" s="1329"/>
      <c r="EX284" s="1329"/>
      <c r="EY284" s="1329"/>
      <c r="EZ284" s="1329"/>
      <c r="FA284" s="1329"/>
      <c r="FB284" s="1329"/>
      <c r="FC284" s="1329"/>
      <c r="FD284" s="1766"/>
    </row>
    <row r="285" ht="14.25" spans="139:160">
      <c r="EI285" s="1329"/>
      <c r="EJ285" s="1329"/>
      <c r="EK285" s="1329"/>
      <c r="EL285" s="1329"/>
      <c r="EM285" s="1329"/>
      <c r="EN285" s="1329"/>
      <c r="EO285" s="1329"/>
      <c r="EP285" s="1329"/>
      <c r="EQ285" s="1329"/>
      <c r="ER285" s="1329"/>
      <c r="ES285" s="1329"/>
      <c r="ET285" s="1329"/>
      <c r="EU285" s="1329"/>
      <c r="EV285" s="1329"/>
      <c r="EW285" s="1329"/>
      <c r="EX285" s="1329"/>
      <c r="EY285" s="1329"/>
      <c r="EZ285" s="1329"/>
      <c r="FA285" s="1329"/>
      <c r="FB285" s="1329"/>
      <c r="FC285" s="1329"/>
      <c r="FD285" s="1766"/>
    </row>
    <row r="299" spans="160:160">
      <c r="FD299" s="1773"/>
    </row>
    <row r="300" spans="160:160">
      <c r="FD300" s="1773"/>
    </row>
    <row r="301" spans="160:160">
      <c r="FD301" s="1773"/>
    </row>
    <row r="302" spans="160:160">
      <c r="FD302" s="1773"/>
    </row>
    <row r="303" spans="160:160">
      <c r="FD303" s="1773"/>
    </row>
    <row r="306" spans="139:159">
      <c r="EI306" s="1334"/>
      <c r="EJ306" s="1334"/>
      <c r="EK306" s="1334"/>
      <c r="EL306" s="1334"/>
      <c r="EM306" s="1334"/>
      <c r="EN306" s="1334"/>
      <c r="EO306" s="1334"/>
      <c r="EP306" s="1334"/>
      <c r="EQ306" s="1334"/>
      <c r="ER306" s="1334"/>
      <c r="ES306" s="1334"/>
      <c r="ET306" s="1334"/>
      <c r="EU306" s="1334"/>
      <c r="EV306" s="1334"/>
      <c r="EW306" s="1334"/>
      <c r="EX306" s="1334"/>
      <c r="EY306" s="1334"/>
      <c r="EZ306" s="1334"/>
      <c r="FA306" s="1334"/>
      <c r="FB306" s="1334"/>
      <c r="FC306" s="1334"/>
    </row>
    <row r="307" spans="139:159">
      <c r="EI307" s="1334"/>
      <c r="EJ307" s="1334"/>
      <c r="EK307" s="1334"/>
      <c r="EL307" s="1334"/>
      <c r="EM307" s="1334"/>
      <c r="EN307" s="1334"/>
      <c r="EO307" s="1334"/>
      <c r="EP307" s="1334"/>
      <c r="EQ307" s="1334"/>
      <c r="ER307" s="1334"/>
      <c r="ES307" s="1334"/>
      <c r="ET307" s="1334"/>
      <c r="EU307" s="1334"/>
      <c r="EV307" s="1334"/>
      <c r="EW307" s="1334"/>
      <c r="EX307" s="1334"/>
      <c r="EY307" s="1334"/>
      <c r="EZ307" s="1334"/>
      <c r="FA307" s="1334"/>
      <c r="FB307" s="1334"/>
      <c r="FC307" s="1334"/>
    </row>
    <row r="308" spans="139:159">
      <c r="EI308" s="1334"/>
      <c r="EJ308" s="1334"/>
      <c r="EK308" s="1334"/>
      <c r="EL308" s="1334"/>
      <c r="EM308" s="1334"/>
      <c r="EN308" s="1334"/>
      <c r="EO308" s="1334"/>
      <c r="EP308" s="1334"/>
      <c r="EQ308" s="1334"/>
      <c r="ER308" s="1334"/>
      <c r="ES308" s="1334"/>
      <c r="ET308" s="1334"/>
      <c r="EU308" s="1334"/>
      <c r="EV308" s="1334"/>
      <c r="EW308" s="1334"/>
      <c r="EX308" s="1334"/>
      <c r="EY308" s="1334"/>
      <c r="EZ308" s="1334"/>
      <c r="FA308" s="1334"/>
      <c r="FB308" s="1334"/>
      <c r="FC308" s="1334"/>
    </row>
    <row r="309" spans="139:159">
      <c r="EI309" s="1334"/>
      <c r="EJ309" s="1334"/>
      <c r="EK309" s="1334"/>
      <c r="EL309" s="1334"/>
      <c r="EM309" s="1334"/>
      <c r="EN309" s="1334"/>
      <c r="EO309" s="1334"/>
      <c r="EP309" s="1334"/>
      <c r="EQ309" s="1334"/>
      <c r="ER309" s="1334"/>
      <c r="ES309" s="1334"/>
      <c r="ET309" s="1334"/>
      <c r="EU309" s="1334"/>
      <c r="EV309" s="1334"/>
      <c r="EW309" s="1334"/>
      <c r="EX309" s="1334"/>
      <c r="EY309" s="1334"/>
      <c r="EZ309" s="1334"/>
      <c r="FA309" s="1334"/>
      <c r="FB309" s="1334"/>
      <c r="FC309" s="1334"/>
    </row>
    <row r="310" spans="139:159">
      <c r="EI310" s="1334"/>
      <c r="EJ310" s="1334"/>
      <c r="EK310" s="1334"/>
      <c r="EL310" s="1334"/>
      <c r="EM310" s="1334"/>
      <c r="EN310" s="1334"/>
      <c r="EO310" s="1334"/>
      <c r="EP310" s="1334"/>
      <c r="EQ310" s="1334"/>
      <c r="ER310" s="1334"/>
      <c r="ES310" s="1334"/>
      <c r="ET310" s="1334"/>
      <c r="EU310" s="1334"/>
      <c r="EV310" s="1334"/>
      <c r="EW310" s="1334"/>
      <c r="EX310" s="1334"/>
      <c r="EY310" s="1334"/>
      <c r="EZ310" s="1334"/>
      <c r="FA310" s="1334"/>
      <c r="FB310" s="1334"/>
      <c r="FC310" s="1334"/>
    </row>
    <row r="887" spans="62:74">
      <c r="BJ887" s="1428"/>
      <c r="BK887" s="1428"/>
      <c r="BL887" s="1428"/>
      <c r="BM887" s="1428"/>
      <c r="BN887" s="1428"/>
      <c r="BO887" s="1428"/>
      <c r="BP887" s="1429"/>
      <c r="BQ887" s="1428"/>
      <c r="BR887" s="1428"/>
      <c r="BS887" s="1428"/>
      <c r="BT887" s="1428"/>
      <c r="BU887" s="1428"/>
      <c r="BV887" s="1428"/>
    </row>
    <row r="888" spans="62:74">
      <c r="BJ888" s="1428"/>
      <c r="BK888" s="1428"/>
      <c r="BL888" s="1428"/>
      <c r="BM888" s="1428"/>
      <c r="BN888" s="1428"/>
      <c r="BO888" s="1428"/>
      <c r="BP888" s="1429"/>
      <c r="BQ888" s="1428"/>
      <c r="BR888" s="1428"/>
      <c r="BS888" s="1428"/>
      <c r="BT888" s="1428"/>
      <c r="BU888" s="1428"/>
      <c r="BV888" s="1428"/>
    </row>
    <row r="889" spans="62:74">
      <c r="BJ889" s="1428"/>
      <c r="BK889" s="1428"/>
      <c r="BL889" s="1428"/>
      <c r="BM889" s="1428"/>
      <c r="BN889" s="1428"/>
      <c r="BO889" s="1428"/>
      <c r="BP889" s="1429"/>
      <c r="BQ889" s="1428"/>
      <c r="BR889" s="1428"/>
      <c r="BS889" s="1428"/>
      <c r="BT889" s="1428"/>
      <c r="BU889" s="1428"/>
      <c r="BV889" s="1428"/>
    </row>
    <row r="890" spans="62:74">
      <c r="BJ890" s="1428"/>
      <c r="BK890" s="1428"/>
      <c r="BL890" s="1428"/>
      <c r="BM890" s="1428"/>
      <c r="BN890" s="1428"/>
      <c r="BO890" s="1428"/>
      <c r="BP890" s="1429"/>
      <c r="BQ890" s="1428"/>
      <c r="BR890" s="1428"/>
      <c r="BS890" s="1428"/>
      <c r="BT890" s="1428"/>
      <c r="BU890" s="1428"/>
      <c r="BV890" s="1428"/>
    </row>
    <row r="891" spans="62:74">
      <c r="BJ891" s="1428"/>
      <c r="BK891" s="1428"/>
      <c r="BL891" s="1428"/>
      <c r="BM891" s="1428"/>
      <c r="BN891" s="1428"/>
      <c r="BO891" s="1428"/>
      <c r="BP891" s="1429"/>
      <c r="BQ891" s="1428"/>
      <c r="BR891" s="1428"/>
      <c r="BS891" s="1428"/>
      <c r="BT891" s="1428"/>
      <c r="BU891" s="1428"/>
      <c r="BV891" s="1428"/>
    </row>
    <row r="892" spans="62:74">
      <c r="BJ892" s="1428"/>
      <c r="BK892" s="1428"/>
      <c r="BL892" s="1428"/>
      <c r="BM892" s="1428"/>
      <c r="BN892" s="1428"/>
      <c r="BO892" s="1428"/>
      <c r="BP892" s="1429"/>
      <c r="BQ892" s="1428"/>
      <c r="BR892" s="1428"/>
      <c r="BS892" s="1428"/>
      <c r="BT892" s="1428"/>
      <c r="BU892" s="1428"/>
      <c r="BV892" s="1428"/>
    </row>
    <row r="893" spans="62:74">
      <c r="BJ893" s="1428"/>
      <c r="BK893" s="1428"/>
      <c r="BL893" s="1428"/>
      <c r="BM893" s="1428"/>
      <c r="BN893" s="1428"/>
      <c r="BO893" s="1428"/>
      <c r="BP893" s="1429"/>
      <c r="BQ893" s="1428"/>
      <c r="BR893" s="1428"/>
      <c r="BS893" s="1428"/>
      <c r="BT893" s="1428"/>
      <c r="BU893" s="1428"/>
      <c r="BV893" s="1428"/>
    </row>
    <row r="894" spans="62:74">
      <c r="BJ894" s="1428"/>
      <c r="BK894" s="1428"/>
      <c r="BL894" s="1428"/>
      <c r="BM894" s="1428"/>
      <c r="BN894" s="1428"/>
      <c r="BO894" s="1428"/>
      <c r="BP894" s="1429"/>
      <c r="BQ894" s="1428"/>
      <c r="BR894" s="1428"/>
      <c r="BS894" s="1428"/>
      <c r="BT894" s="1428"/>
      <c r="BU894" s="1428"/>
      <c r="BV894" s="1428"/>
    </row>
    <row r="895" spans="62:74">
      <c r="BJ895" s="1428"/>
      <c r="BK895" s="1428"/>
      <c r="BL895" s="1428"/>
      <c r="BM895" s="1428"/>
      <c r="BN895" s="1428"/>
      <c r="BO895" s="1428"/>
      <c r="BP895" s="1429"/>
      <c r="BQ895" s="1428"/>
      <c r="BR895" s="1428"/>
      <c r="BS895" s="1428"/>
      <c r="BT895" s="1428"/>
      <c r="BU895" s="1428"/>
      <c r="BV895" s="1428"/>
    </row>
    <row r="896" spans="62:74">
      <c r="BJ896" s="1428"/>
      <c r="BK896" s="1428"/>
      <c r="BL896" s="1428"/>
      <c r="BM896" s="1428"/>
      <c r="BN896" s="1428"/>
      <c r="BO896" s="1428"/>
      <c r="BP896" s="1429"/>
      <c r="BQ896" s="1428"/>
      <c r="BR896" s="1428"/>
      <c r="BS896" s="1428"/>
      <c r="BT896" s="1428"/>
      <c r="BU896" s="1428"/>
      <c r="BV896" s="1428"/>
    </row>
    <row r="897" spans="62:74">
      <c r="BJ897" s="1428"/>
      <c r="BK897" s="1428"/>
      <c r="BL897" s="1428"/>
      <c r="BM897" s="1428"/>
      <c r="BN897" s="1428"/>
      <c r="BO897" s="1428"/>
      <c r="BP897" s="1429"/>
      <c r="BQ897" s="1428"/>
      <c r="BR897" s="1428"/>
      <c r="BS897" s="1428"/>
      <c r="BT897" s="1428"/>
      <c r="BU897" s="1428"/>
      <c r="BV897" s="1428"/>
    </row>
    <row r="898" spans="62:74">
      <c r="BJ898" s="1428"/>
      <c r="BK898" s="1428"/>
      <c r="BL898" s="1428"/>
      <c r="BM898" s="1428"/>
      <c r="BN898" s="1428"/>
      <c r="BO898" s="1428"/>
      <c r="BP898" s="1429"/>
      <c r="BQ898" s="1428"/>
      <c r="BR898" s="1428"/>
      <c r="BS898" s="1428"/>
      <c r="BT898" s="1428"/>
      <c r="BU898" s="1428"/>
      <c r="BV898" s="1428"/>
    </row>
    <row r="899" spans="62:74">
      <c r="BJ899" s="1428"/>
      <c r="BK899" s="1428"/>
      <c r="BL899" s="1428"/>
      <c r="BM899" s="1428"/>
      <c r="BN899" s="1428"/>
      <c r="BO899" s="1428"/>
      <c r="BP899" s="1429"/>
      <c r="BQ899" s="1428"/>
      <c r="BR899" s="1428"/>
      <c r="BS899" s="1428"/>
      <c r="BT899" s="1428"/>
      <c r="BU899" s="1428"/>
      <c r="BV899" s="1428"/>
    </row>
  </sheetData>
  <sheetProtection formatCells="0" formatColumns="0" formatRows="0" insertRows="0" insertColumns="0" insertHyperlinks="0" deleteColumns="0" deleteRows="0" sort="0" autoFilter="0" pivotTables="0"/>
  <autoFilter xmlns:etc="http://www.wps.cn/officeDocument/2017/etCustomData" ref="A3:GM234" etc:filterBottomFollowUsedRange="0">
    <extLst/>
  </autoFilter>
  <mergeCells count="57">
    <mergeCell ref="B1:Q1"/>
    <mergeCell ref="S1:AI1"/>
    <mergeCell ref="AK1:BA1"/>
    <mergeCell ref="BM1:BU1"/>
    <mergeCell ref="BW1:CF1"/>
    <mergeCell ref="CH1:CN1"/>
    <mergeCell ref="CP1:DD1"/>
    <mergeCell ref="DG1:ED1"/>
    <mergeCell ref="EI1:FC1"/>
    <mergeCell ref="FH1:FX1"/>
    <mergeCell ref="GC1:GJ1"/>
    <mergeCell ref="E2:H2"/>
    <mergeCell ref="V2:AA2"/>
    <mergeCell ref="AB2:AE2"/>
    <mergeCell ref="DW2:EB2"/>
    <mergeCell ref="EV2:FB2"/>
    <mergeCell ref="FR2:FW2"/>
    <mergeCell ref="EL198:EO198"/>
    <mergeCell ref="B2:B4"/>
    <mergeCell ref="C2:C4"/>
    <mergeCell ref="D2:D4"/>
    <mergeCell ref="S2:S4"/>
    <mergeCell ref="T2:T4"/>
    <mergeCell ref="U2:U4"/>
    <mergeCell ref="AK2:AK4"/>
    <mergeCell ref="AL2:AL4"/>
    <mergeCell ref="AM2:AM4"/>
    <mergeCell ref="BM2:BM4"/>
    <mergeCell ref="BN2:BN4"/>
    <mergeCell ref="BO2:BO4"/>
    <mergeCell ref="BW2:BW4"/>
    <mergeCell ref="BX2:BX4"/>
    <mergeCell ref="BY2:BY4"/>
    <mergeCell ref="CH2:CH4"/>
    <mergeCell ref="CI2:CI4"/>
    <mergeCell ref="CJ2:CJ4"/>
    <mergeCell ref="CP2:CP4"/>
    <mergeCell ref="CQ2:CQ4"/>
    <mergeCell ref="CR2:CR4"/>
    <mergeCell ref="DG2:DG4"/>
    <mergeCell ref="DH2:DH4"/>
    <mergeCell ref="DI2:DI4"/>
    <mergeCell ref="EI2:EI4"/>
    <mergeCell ref="EI130:EI131"/>
    <mergeCell ref="EI140:EI141"/>
    <mergeCell ref="EI144:EI145"/>
    <mergeCell ref="EJ2:EJ4"/>
    <mergeCell ref="EJ130:EJ131"/>
    <mergeCell ref="EJ140:EJ141"/>
    <mergeCell ref="EJ144:EJ145"/>
    <mergeCell ref="EK2:EK4"/>
    <mergeCell ref="FH2:FH4"/>
    <mergeCell ref="FI2:FI4"/>
    <mergeCell ref="FJ2:FJ4"/>
    <mergeCell ref="GC2:GC4"/>
    <mergeCell ref="GD2:GD4"/>
    <mergeCell ref="GE2:GE4"/>
  </mergeCells>
  <pageMargins left="0.388888888888889" right="0.388888888888889" top="0.979166666666667" bottom="0.979166666666667" header="0.509027777777778" footer="0.509027777777778"/>
  <pageSetup paperSize="9" orientation="portrait"/>
  <headerFooter/>
  <ignoredErrors>
    <ignoredError sqref="FI102 CQ97 AL62:AL63" numberStoredAsText="1"/>
    <ignoredError sqref="EO192:EO193 EL191:EM191 EW195 EO137 EL137 EO81:EO82 EL81:EL82 ER81:ER82 DY144 EV46:EV52 EL46:EL52 DL144 DN144 DQ144 DS144:DV144 ET81:ET82 ET169:EV169 ER191 ER137:EV137 EV81:EV82 ER145:ES145 ER169 EL169 EV192:EV193 EO169 ER142:ES142 ET142:EV143 EO142:EO143 EL142:EL143 EO145 EV145 EL145 EO147:EO148 ER147:EV148 EL147:EL148 EO140 EL140 ER140:EV140" formula="1"/>
  </ignoredError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BB117"/>
  <sheetViews>
    <sheetView zoomScale="85" zoomScaleNormal="85" workbookViewId="0">
      <pane xSplit="7" ySplit="4" topLeftCell="H5" activePane="bottomRight" state="frozen"/>
      <selection/>
      <selection pane="topRight"/>
      <selection pane="bottomLeft"/>
      <selection pane="bottomRight" activeCell="AH128" sqref="AH128"/>
    </sheetView>
  </sheetViews>
  <sheetFormatPr defaultColWidth="8.125" defaultRowHeight="13.5"/>
  <cols>
    <col min="1" max="1" width="9.75833333333333" style="483" customWidth="1"/>
    <col min="2" max="2" width="10.525" style="483" customWidth="1"/>
    <col min="3" max="3" width="11.3" style="483" customWidth="1"/>
    <col min="4" max="4" width="20.6166666666667" style="483" customWidth="1"/>
    <col min="5" max="5" width="10.4" style="483" customWidth="1"/>
    <col min="6" max="6" width="7.775" style="483" customWidth="1"/>
    <col min="7" max="7" width="9.63333333333333" style="483" customWidth="1"/>
    <col min="8" max="8" width="10.7" style="483" hidden="1" customWidth="1"/>
    <col min="9" max="9" width="9.7" style="483"/>
    <col min="10" max="10" width="10.7" style="483" hidden="1" customWidth="1"/>
    <col min="11" max="12" width="9.7" style="483"/>
    <col min="13" max="13" width="10.7" style="483"/>
    <col min="14" max="14" width="10.7" style="483" hidden="1" customWidth="1"/>
    <col min="15" max="16" width="9.7" style="483"/>
    <col min="17" max="17" width="8.78333333333333" style="483" customWidth="1"/>
    <col min="18" max="20" width="10.7" style="483"/>
    <col min="21" max="24" width="11.7" style="483"/>
    <col min="25" max="26" width="8.125" style="483"/>
    <col min="27" max="28" width="13.525" style="483" customWidth="1"/>
    <col min="29" max="29" width="13.525" style="483" hidden="1" customWidth="1"/>
    <col min="30" max="30" width="8.125" style="483"/>
    <col min="31" max="31" width="9.7" style="483"/>
    <col min="32" max="32" width="8.125" style="483"/>
    <col min="33" max="33" width="8.7" style="483"/>
    <col min="34" max="34" width="10.7" style="483"/>
    <col min="35" max="35" width="10.7" style="483" hidden="1" customWidth="1"/>
    <col min="36" max="36" width="8.125" style="483"/>
    <col min="37" max="37" width="9.7" style="483"/>
    <col min="38" max="38" width="5.74166666666667" style="483" customWidth="1"/>
    <col min="39" max="40" width="9.7" style="483"/>
    <col min="41" max="41" width="6.1" style="483" customWidth="1"/>
    <col min="42" max="45" width="6.93333333333333" style="483" customWidth="1"/>
    <col min="46" max="47" width="6.1" style="483" customWidth="1"/>
    <col min="48" max="48" width="6.94166666666667" style="483" customWidth="1"/>
    <col min="49" max="51" width="6.1" style="483" customWidth="1"/>
    <col min="52" max="52" width="5.025" style="483" customWidth="1"/>
    <col min="53" max="53" width="24.5583333333333" style="483" customWidth="1"/>
    <col min="54" max="16384" width="8.125" style="483"/>
  </cols>
  <sheetData>
    <row r="1" ht="25" customHeight="1" spans="1:53">
      <c r="A1" s="1161" t="s">
        <v>12136</v>
      </c>
      <c r="B1" s="1162"/>
      <c r="C1" s="1162"/>
      <c r="D1" s="1162"/>
      <c r="E1" s="1163"/>
      <c r="F1" s="1163"/>
      <c r="G1" s="1163"/>
      <c r="H1" s="1163"/>
      <c r="I1" s="1163"/>
      <c r="J1" s="1163"/>
      <c r="K1" s="1163"/>
      <c r="L1" s="1163"/>
      <c r="M1" s="1163"/>
      <c r="N1" s="1163"/>
      <c r="O1" s="1163"/>
      <c r="P1" s="1163"/>
      <c r="Q1" s="1163"/>
      <c r="R1" s="1163"/>
      <c r="S1" s="1163"/>
      <c r="T1" s="1163"/>
      <c r="U1" s="1163"/>
      <c r="V1" s="1163"/>
      <c r="W1" s="1163"/>
      <c r="X1" s="1163"/>
      <c r="Y1" s="1163"/>
      <c r="Z1" s="1163"/>
      <c r="AA1" s="1164"/>
      <c r="AB1" s="1164"/>
      <c r="AC1" s="1164"/>
      <c r="AD1" s="1164"/>
      <c r="AE1" s="1164"/>
      <c r="AF1" s="1164"/>
      <c r="AG1" s="1164"/>
      <c r="AH1" s="1164"/>
      <c r="AI1" s="1164"/>
      <c r="AJ1" s="1164"/>
      <c r="AK1" s="1163"/>
      <c r="AL1" s="1163"/>
      <c r="AM1" s="1163"/>
      <c r="AN1" s="1163"/>
      <c r="AO1" s="1163"/>
      <c r="AP1" s="1163"/>
      <c r="AQ1" s="1163"/>
      <c r="AR1" s="1163"/>
      <c r="AS1" s="1163"/>
      <c r="AT1" s="1163"/>
      <c r="AU1" s="1163"/>
      <c r="AV1" s="1163"/>
      <c r="AW1" s="1163"/>
      <c r="AX1" s="1163"/>
      <c r="AY1" s="1163"/>
      <c r="AZ1" s="1164"/>
      <c r="BA1" s="1165"/>
    </row>
    <row r="2" ht="14.25" spans="1:53">
      <c r="A2" s="1166" t="s">
        <v>10540</v>
      </c>
      <c r="B2" s="1167" t="s">
        <v>11562</v>
      </c>
      <c r="C2" s="1168" t="s">
        <v>21</v>
      </c>
      <c r="D2" s="1169" t="s">
        <v>12137</v>
      </c>
      <c r="E2" s="1167" t="s">
        <v>23</v>
      </c>
      <c r="F2" s="1167" t="s">
        <v>12138</v>
      </c>
      <c r="G2" s="1170" t="s">
        <v>12139</v>
      </c>
      <c r="H2" s="1171">
        <v>92107</v>
      </c>
      <c r="I2" s="1172"/>
      <c r="J2" s="1172"/>
      <c r="K2" s="1172"/>
      <c r="L2" s="1173"/>
      <c r="M2" s="1173"/>
      <c r="N2" s="1173"/>
      <c r="O2" s="1173"/>
      <c r="P2" s="1173"/>
      <c r="Q2" s="1174"/>
      <c r="R2" s="1174"/>
      <c r="S2" s="1174"/>
      <c r="T2" s="1174"/>
      <c r="U2" s="1174"/>
      <c r="V2" s="1174"/>
      <c r="W2" s="1174"/>
      <c r="X2" s="1174"/>
      <c r="Y2" s="1174"/>
      <c r="Z2" s="1174"/>
      <c r="AA2" s="1175"/>
      <c r="AB2" s="1176"/>
      <c r="AC2" s="1171">
        <v>92108</v>
      </c>
      <c r="AD2" s="1172"/>
      <c r="AE2" s="1172"/>
      <c r="AF2" s="1172"/>
      <c r="AG2" s="1173"/>
      <c r="AH2" s="1173"/>
      <c r="AI2" s="1173"/>
      <c r="AJ2" s="1173"/>
      <c r="AK2" s="1173"/>
      <c r="AL2" s="1173"/>
      <c r="AM2" s="1173"/>
      <c r="AN2" s="1173"/>
      <c r="AO2" s="1173"/>
      <c r="AP2" s="1173"/>
      <c r="AQ2" s="1173"/>
      <c r="AR2" s="1173"/>
      <c r="AS2" s="1173"/>
      <c r="AT2" s="1173"/>
      <c r="AU2" s="1173"/>
      <c r="AV2" s="1173"/>
      <c r="AW2" s="1173"/>
      <c r="AX2" s="1173"/>
      <c r="AY2" s="1173"/>
      <c r="AZ2" s="1177"/>
      <c r="BA2" s="1178"/>
    </row>
    <row r="3" ht="15" customHeight="1" spans="1:53">
      <c r="A3" s="1179"/>
      <c r="B3" s="1167"/>
      <c r="C3" s="1168"/>
      <c r="D3" s="1169"/>
      <c r="E3" s="1167"/>
      <c r="F3" s="1167"/>
      <c r="G3" s="1170"/>
      <c r="H3" s="1180" t="s">
        <v>12140</v>
      </c>
      <c r="I3" s="1181"/>
      <c r="J3" s="1181"/>
      <c r="K3" s="1181"/>
      <c r="L3" s="1182"/>
      <c r="M3" s="1183" t="s">
        <v>12141</v>
      </c>
      <c r="N3" s="1184" t="s">
        <v>286</v>
      </c>
      <c r="O3" s="1185"/>
      <c r="P3" s="1186"/>
      <c r="Q3" s="1180" t="s">
        <v>12142</v>
      </c>
      <c r="R3" s="1187"/>
      <c r="S3" s="1187"/>
      <c r="T3" s="1182"/>
      <c r="U3" s="1188" t="s">
        <v>12143</v>
      </c>
      <c r="V3" s="1189"/>
      <c r="W3" s="1189"/>
      <c r="X3" s="1190"/>
      <c r="Y3" s="1191" t="s">
        <v>12144</v>
      </c>
      <c r="Z3" s="1192"/>
      <c r="AA3" s="1193"/>
      <c r="AB3" s="1194"/>
      <c r="AC3" s="1195" t="s">
        <v>12140</v>
      </c>
      <c r="AD3" s="1196"/>
      <c r="AE3" s="1196"/>
      <c r="AF3" s="1196"/>
      <c r="AG3" s="1197"/>
      <c r="AH3" s="1183" t="s">
        <v>12141</v>
      </c>
      <c r="AI3" s="1184" t="s">
        <v>286</v>
      </c>
      <c r="AJ3" s="1185"/>
      <c r="AK3" s="1186"/>
      <c r="AL3" s="1184" t="s">
        <v>12142</v>
      </c>
      <c r="AM3" s="1185"/>
      <c r="AN3" s="1185"/>
      <c r="AO3" s="1186"/>
      <c r="AP3" s="1188" t="s">
        <v>12143</v>
      </c>
      <c r="AQ3" s="1189"/>
      <c r="AR3" s="1189"/>
      <c r="AS3" s="1190"/>
      <c r="AT3" s="1184" t="s">
        <v>12145</v>
      </c>
      <c r="AU3" s="1185"/>
      <c r="AV3" s="1185"/>
      <c r="AW3" s="1186"/>
      <c r="AX3" s="1191" t="s">
        <v>10180</v>
      </c>
      <c r="AY3" s="1192"/>
      <c r="AZ3" s="1198"/>
      <c r="BA3" s="1199"/>
    </row>
    <row r="4" ht="36" spans="1:53">
      <c r="A4" s="1179"/>
      <c r="B4" s="1167"/>
      <c r="C4" s="1168"/>
      <c r="D4" s="1169"/>
      <c r="E4" s="1167"/>
      <c r="F4" s="1167"/>
      <c r="G4" s="1170"/>
      <c r="H4" s="1200" t="s">
        <v>12146</v>
      </c>
      <c r="I4" s="1201" t="s">
        <v>12147</v>
      </c>
      <c r="J4" s="1202" t="s">
        <v>12148</v>
      </c>
      <c r="K4" s="1201" t="s">
        <v>12149</v>
      </c>
      <c r="L4" s="1203" t="s">
        <v>9128</v>
      </c>
      <c r="M4" s="1204" t="s">
        <v>12150</v>
      </c>
      <c r="N4" s="1200" t="s">
        <v>12151</v>
      </c>
      <c r="O4" s="1201" t="s">
        <v>12152</v>
      </c>
      <c r="P4" s="1203" t="s">
        <v>9128</v>
      </c>
      <c r="Q4" s="1200" t="s">
        <v>9136</v>
      </c>
      <c r="R4" s="1202" t="s">
        <v>9137</v>
      </c>
      <c r="S4" s="1202" t="s">
        <v>9138</v>
      </c>
      <c r="T4" s="1205" t="s">
        <v>9139</v>
      </c>
      <c r="U4" s="1206" t="s">
        <v>9136</v>
      </c>
      <c r="V4" s="1201" t="s">
        <v>9137</v>
      </c>
      <c r="W4" s="1201" t="s">
        <v>9138</v>
      </c>
      <c r="X4" s="1207" t="s">
        <v>9139</v>
      </c>
      <c r="Y4" s="1200" t="s">
        <v>2575</v>
      </c>
      <c r="Z4" s="1205" t="s">
        <v>10192</v>
      </c>
      <c r="AA4" s="1208" t="s">
        <v>39</v>
      </c>
      <c r="AB4" s="1194"/>
      <c r="AC4" s="1209" t="s">
        <v>12146</v>
      </c>
      <c r="AD4" s="1210" t="s">
        <v>12147</v>
      </c>
      <c r="AE4" s="1211" t="s">
        <v>12148</v>
      </c>
      <c r="AF4" s="1212" t="s">
        <v>12149</v>
      </c>
      <c r="AG4" s="1213" t="s">
        <v>9128</v>
      </c>
      <c r="AH4" s="1204" t="s">
        <v>9164</v>
      </c>
      <c r="AI4" s="1200" t="s">
        <v>12151</v>
      </c>
      <c r="AJ4" s="1201" t="s">
        <v>12152</v>
      </c>
      <c r="AK4" s="1203" t="s">
        <v>9128</v>
      </c>
      <c r="AL4" s="1200" t="s">
        <v>10188</v>
      </c>
      <c r="AM4" s="1202" t="s">
        <v>10189</v>
      </c>
      <c r="AN4" s="1202" t="s">
        <v>10190</v>
      </c>
      <c r="AO4" s="1205" t="s">
        <v>10191</v>
      </c>
      <c r="AP4" s="1206" t="s">
        <v>10188</v>
      </c>
      <c r="AQ4" s="1201" t="s">
        <v>10189</v>
      </c>
      <c r="AR4" s="1201" t="s">
        <v>12153</v>
      </c>
      <c r="AS4" s="1207" t="s">
        <v>10191</v>
      </c>
      <c r="AT4" s="1200" t="s">
        <v>10188</v>
      </c>
      <c r="AU4" s="1202" t="s">
        <v>10189</v>
      </c>
      <c r="AV4" s="1202" t="s">
        <v>12153</v>
      </c>
      <c r="AW4" s="1205" t="s">
        <v>10191</v>
      </c>
      <c r="AX4" s="1200" t="s">
        <v>2575</v>
      </c>
      <c r="AY4" s="1205" t="s">
        <v>10192</v>
      </c>
      <c r="AZ4" s="1214"/>
      <c r="BA4" s="1215" t="s">
        <v>39</v>
      </c>
    </row>
    <row r="5" ht="15" customHeight="1" spans="1:53">
      <c r="A5" s="1216">
        <v>45306</v>
      </c>
      <c r="B5" s="1217">
        <v>1000018286</v>
      </c>
      <c r="C5" s="1217">
        <v>92107</v>
      </c>
      <c r="D5" s="1218" t="s">
        <v>12154</v>
      </c>
      <c r="E5" s="1219">
        <v>30000</v>
      </c>
      <c r="F5" s="530" t="s">
        <v>12155</v>
      </c>
      <c r="G5" s="1220" t="s">
        <v>12156</v>
      </c>
      <c r="H5" s="1221">
        <f>E5</f>
        <v>30000</v>
      </c>
      <c r="I5" s="1222"/>
      <c r="J5" s="1222"/>
      <c r="K5" s="1222"/>
      <c r="L5" s="1223"/>
      <c r="M5" s="1224">
        <f>H5</f>
        <v>30000</v>
      </c>
      <c r="N5" s="1221"/>
      <c r="O5" s="1219"/>
      <c r="P5" s="1223"/>
      <c r="Q5" s="1221"/>
      <c r="R5" s="1220"/>
      <c r="S5" s="1220"/>
      <c r="T5" s="1223"/>
      <c r="U5" s="1225"/>
      <c r="V5" s="1220"/>
      <c r="W5" s="1220"/>
      <c r="X5" s="1223"/>
      <c r="Y5" s="1225"/>
      <c r="Z5" s="1223"/>
      <c r="AA5" s="1226"/>
      <c r="AB5" s="1194"/>
      <c r="AC5" s="1227"/>
      <c r="AD5" s="1222"/>
      <c r="AE5" s="1222"/>
      <c r="AF5" s="1222"/>
      <c r="AG5" s="1220"/>
      <c r="AH5" s="1224"/>
      <c r="AI5" s="1221"/>
      <c r="AJ5" s="1219"/>
      <c r="AK5" s="1223"/>
      <c r="AL5" s="1221"/>
      <c r="AM5" s="1219"/>
      <c r="AN5" s="1219"/>
      <c r="AO5" s="1223"/>
      <c r="AP5" s="1221"/>
      <c r="AQ5" s="1219"/>
      <c r="AR5" s="1219"/>
      <c r="AS5" s="1223"/>
      <c r="AT5" s="1221"/>
      <c r="AU5" s="1219"/>
      <c r="AV5" s="1219"/>
      <c r="AW5" s="1223"/>
      <c r="AX5" s="1221"/>
      <c r="AY5" s="1223"/>
      <c r="AZ5" s="1222"/>
      <c r="BA5" s="1228" t="s">
        <v>12157</v>
      </c>
    </row>
    <row r="6" ht="15" customHeight="1" spans="1:53">
      <c r="A6" s="1216">
        <v>45306</v>
      </c>
      <c r="B6" s="1217">
        <v>1000018287</v>
      </c>
      <c r="C6" s="1217">
        <v>92107</v>
      </c>
      <c r="D6" s="1218" t="s">
        <v>12158</v>
      </c>
      <c r="E6" s="1219">
        <v>80000</v>
      </c>
      <c r="F6" s="530" t="s">
        <v>12155</v>
      </c>
      <c r="G6" s="1220"/>
      <c r="H6" s="1221"/>
      <c r="I6" s="1222"/>
      <c r="J6" s="1222"/>
      <c r="K6" s="1222"/>
      <c r="L6" s="1223"/>
      <c r="M6" s="1229">
        <f>E6</f>
        <v>80000</v>
      </c>
      <c r="N6" s="1221"/>
      <c r="O6" s="1219"/>
      <c r="P6" s="1223"/>
      <c r="Q6" s="1221"/>
      <c r="R6" s="1220"/>
      <c r="S6" s="1220"/>
      <c r="T6" s="1223"/>
      <c r="U6" s="1225"/>
      <c r="V6" s="1220"/>
      <c r="W6" s="1220"/>
      <c r="X6" s="1223"/>
      <c r="Y6" s="1225"/>
      <c r="Z6" s="1223"/>
      <c r="AA6" s="1226"/>
      <c r="AB6" s="1194"/>
      <c r="AC6" s="1227"/>
      <c r="AD6" s="1222"/>
      <c r="AE6" s="1222"/>
      <c r="AF6" s="1222"/>
      <c r="AG6" s="1220"/>
      <c r="AH6" s="1224"/>
      <c r="AI6" s="1221"/>
      <c r="AJ6" s="1219"/>
      <c r="AK6" s="1223"/>
      <c r="AL6" s="1221"/>
      <c r="AM6" s="1219"/>
      <c r="AN6" s="1219"/>
      <c r="AO6" s="1223"/>
      <c r="AP6" s="1221"/>
      <c r="AQ6" s="1219"/>
      <c r="AR6" s="1219"/>
      <c r="AS6" s="1223"/>
      <c r="AT6" s="1221"/>
      <c r="AU6" s="1219"/>
      <c r="AV6" s="1219"/>
      <c r="AW6" s="1223"/>
      <c r="AX6" s="1221"/>
      <c r="AY6" s="1223"/>
      <c r="AZ6" s="1222"/>
      <c r="BA6" s="1228" t="s">
        <v>12157</v>
      </c>
    </row>
    <row r="7" ht="15" customHeight="1" spans="1:53">
      <c r="A7" s="1216">
        <v>45306</v>
      </c>
      <c r="B7" s="1217">
        <v>1000018288</v>
      </c>
      <c r="C7" s="1217">
        <v>92107</v>
      </c>
      <c r="D7" s="1218" t="s">
        <v>12159</v>
      </c>
      <c r="E7" s="1219">
        <v>30000</v>
      </c>
      <c r="F7" s="530" t="s">
        <v>12160</v>
      </c>
      <c r="G7" s="1220" t="s">
        <v>12156</v>
      </c>
      <c r="H7" s="1221"/>
      <c r="I7" s="1222"/>
      <c r="J7" s="1222"/>
      <c r="K7" s="1222"/>
      <c r="L7" s="1223"/>
      <c r="M7" s="1224"/>
      <c r="N7" s="1221">
        <f>E7</f>
        <v>30000</v>
      </c>
      <c r="O7" s="1219"/>
      <c r="P7" s="1223"/>
      <c r="Q7" s="1221"/>
      <c r="R7" s="1220"/>
      <c r="S7" s="1220"/>
      <c r="T7" s="1223"/>
      <c r="U7" s="1225"/>
      <c r="V7" s="1220"/>
      <c r="W7" s="1220"/>
      <c r="X7" s="1223"/>
      <c r="Y7" s="1225"/>
      <c r="Z7" s="1223"/>
      <c r="AA7" s="1230"/>
      <c r="AB7" s="1194"/>
      <c r="AC7" s="1227"/>
      <c r="AD7" s="1222"/>
      <c r="AE7" s="1222"/>
      <c r="AF7" s="1222"/>
      <c r="AG7" s="1231"/>
      <c r="AH7" s="1232"/>
      <c r="AI7" s="1221"/>
      <c r="AJ7" s="1219"/>
      <c r="AK7" s="1223"/>
      <c r="AL7" s="1221"/>
      <c r="AM7" s="1219"/>
      <c r="AN7" s="1219"/>
      <c r="AO7" s="1223"/>
      <c r="AP7" s="1221"/>
      <c r="AQ7" s="1219"/>
      <c r="AR7" s="1219"/>
      <c r="AS7" s="1223"/>
      <c r="AT7" s="1221"/>
      <c r="AU7" s="1219"/>
      <c r="AV7" s="1219"/>
      <c r="AW7" s="1223"/>
      <c r="AX7" s="1221"/>
      <c r="AY7" s="1223"/>
      <c r="AZ7" s="1233"/>
      <c r="BA7" s="1228" t="s">
        <v>12157</v>
      </c>
    </row>
    <row r="8" ht="15" customHeight="1" spans="1:53">
      <c r="A8" s="1216">
        <v>45306</v>
      </c>
      <c r="B8" s="1217">
        <v>1000018289</v>
      </c>
      <c r="C8" s="1217">
        <v>92107</v>
      </c>
      <c r="D8" s="1218" t="s">
        <v>12161</v>
      </c>
      <c r="E8" s="1219">
        <v>20000</v>
      </c>
      <c r="F8" s="530" t="s">
        <v>12162</v>
      </c>
      <c r="G8" s="1220" t="s">
        <v>12156</v>
      </c>
      <c r="H8" s="1221"/>
      <c r="I8" s="1222"/>
      <c r="J8" s="1222"/>
      <c r="K8" s="1222"/>
      <c r="L8" s="1223"/>
      <c r="M8" s="1224"/>
      <c r="N8" s="1221"/>
      <c r="O8" s="1219"/>
      <c r="P8" s="1223"/>
      <c r="Q8" s="1221">
        <f>E8</f>
        <v>20000</v>
      </c>
      <c r="R8" s="1220"/>
      <c r="S8" s="1220"/>
      <c r="T8" s="1223"/>
      <c r="U8" s="1225"/>
      <c r="V8" s="1220"/>
      <c r="W8" s="1220"/>
      <c r="X8" s="1223"/>
      <c r="Y8" s="1225"/>
      <c r="Z8" s="1223"/>
      <c r="AA8" s="1230"/>
      <c r="AB8" s="1194"/>
      <c r="AC8" s="1227"/>
      <c r="AD8" s="1222"/>
      <c r="AE8" s="1222"/>
      <c r="AF8" s="1222"/>
      <c r="AG8" s="1231"/>
      <c r="AH8" s="1232"/>
      <c r="AI8" s="1221"/>
      <c r="AJ8" s="1219"/>
      <c r="AK8" s="1223"/>
      <c r="AL8" s="1221"/>
      <c r="AM8" s="1219"/>
      <c r="AN8" s="1219"/>
      <c r="AO8" s="1223"/>
      <c r="AP8" s="1221"/>
      <c r="AQ8" s="1219"/>
      <c r="AR8" s="1219"/>
      <c r="AS8" s="1223"/>
      <c r="AT8" s="1221"/>
      <c r="AU8" s="1219"/>
      <c r="AV8" s="1219"/>
      <c r="AW8" s="1223"/>
      <c r="AX8" s="1221"/>
      <c r="AY8" s="1223"/>
      <c r="AZ8" s="1233"/>
      <c r="BA8" s="1228" t="s">
        <v>12157</v>
      </c>
    </row>
    <row r="9" ht="15" customHeight="1" spans="1:53">
      <c r="A9" s="1216">
        <v>45306</v>
      </c>
      <c r="B9" s="1217">
        <v>1000018290</v>
      </c>
      <c r="C9" s="1217">
        <v>92107</v>
      </c>
      <c r="D9" s="1218" t="s">
        <v>12163</v>
      </c>
      <c r="E9" s="1219">
        <v>20000</v>
      </c>
      <c r="F9" s="530" t="s">
        <v>12162</v>
      </c>
      <c r="G9" s="1220" t="s">
        <v>12156</v>
      </c>
      <c r="H9" s="1234"/>
      <c r="I9" s="1235"/>
      <c r="J9" s="1235"/>
      <c r="K9" s="1235"/>
      <c r="L9" s="1223"/>
      <c r="M9" s="1224"/>
      <c r="N9" s="1221"/>
      <c r="O9" s="1219"/>
      <c r="P9" s="1223"/>
      <c r="Q9" s="1221"/>
      <c r="R9" s="1220">
        <f>E9</f>
        <v>20000</v>
      </c>
      <c r="S9" s="1220"/>
      <c r="T9" s="1223"/>
      <c r="U9" s="1225"/>
      <c r="V9" s="1220"/>
      <c r="W9" s="1220"/>
      <c r="X9" s="1223"/>
      <c r="Y9" s="1225"/>
      <c r="Z9" s="1223"/>
      <c r="AA9" s="1230"/>
      <c r="AB9" s="1194"/>
      <c r="AC9" s="1227"/>
      <c r="AD9" s="1222"/>
      <c r="AE9" s="1222"/>
      <c r="AF9" s="1222"/>
      <c r="AG9" s="1231"/>
      <c r="AH9" s="1232"/>
      <c r="AI9" s="1221"/>
      <c r="AJ9" s="1219"/>
      <c r="AK9" s="1223"/>
      <c r="AL9" s="1221"/>
      <c r="AM9" s="1219"/>
      <c r="AN9" s="1219"/>
      <c r="AO9" s="1223"/>
      <c r="AP9" s="1221"/>
      <c r="AQ9" s="1219"/>
      <c r="AR9" s="1219"/>
      <c r="AS9" s="1223"/>
      <c r="AT9" s="1221"/>
      <c r="AU9" s="1219"/>
      <c r="AV9" s="1219"/>
      <c r="AW9" s="1223"/>
      <c r="AX9" s="1221"/>
      <c r="AY9" s="1223"/>
      <c r="AZ9" s="1233"/>
      <c r="BA9" s="1228" t="s">
        <v>12157</v>
      </c>
    </row>
    <row r="10" ht="15" customHeight="1" spans="1:53">
      <c r="A10" s="1216">
        <v>45306</v>
      </c>
      <c r="B10" s="1217">
        <v>1000018291</v>
      </c>
      <c r="C10" s="1217">
        <v>92107</v>
      </c>
      <c r="D10" s="1218" t="s">
        <v>12164</v>
      </c>
      <c r="E10" s="1219">
        <v>20000</v>
      </c>
      <c r="F10" s="530" t="s">
        <v>12162</v>
      </c>
      <c r="G10" s="1220" t="s">
        <v>12156</v>
      </c>
      <c r="H10" s="1234"/>
      <c r="I10" s="1235"/>
      <c r="J10" s="1235"/>
      <c r="K10" s="1235"/>
      <c r="L10" s="1223"/>
      <c r="M10" s="1224"/>
      <c r="N10" s="1221"/>
      <c r="O10" s="1219"/>
      <c r="P10" s="1223"/>
      <c r="Q10" s="1221"/>
      <c r="R10" s="1220"/>
      <c r="S10" s="1220">
        <f>E10</f>
        <v>20000</v>
      </c>
      <c r="T10" s="1223"/>
      <c r="U10" s="1225"/>
      <c r="V10" s="1220"/>
      <c r="W10" s="1220"/>
      <c r="X10" s="1223"/>
      <c r="Y10" s="1225"/>
      <c r="Z10" s="1223"/>
      <c r="AA10" s="1230"/>
      <c r="AB10" s="1194"/>
      <c r="AC10" s="1227"/>
      <c r="AD10" s="1222"/>
      <c r="AE10" s="1222"/>
      <c r="AF10" s="1222"/>
      <c r="AG10" s="1231"/>
      <c r="AH10" s="1232"/>
      <c r="AI10" s="1221"/>
      <c r="AJ10" s="1219"/>
      <c r="AK10" s="1223"/>
      <c r="AL10" s="1221"/>
      <c r="AM10" s="1219"/>
      <c r="AN10" s="1219"/>
      <c r="AO10" s="1223"/>
      <c r="AP10" s="1221"/>
      <c r="AQ10" s="1219"/>
      <c r="AR10" s="1219"/>
      <c r="AS10" s="1223"/>
      <c r="AT10" s="1221"/>
      <c r="AU10" s="1219"/>
      <c r="AV10" s="1219"/>
      <c r="AW10" s="1223"/>
      <c r="AX10" s="1221"/>
      <c r="AY10" s="1223"/>
      <c r="AZ10" s="1233"/>
      <c r="BA10" s="1228" t="s">
        <v>12157</v>
      </c>
    </row>
    <row r="11" ht="15" customHeight="1" spans="1:53">
      <c r="A11" s="1216">
        <v>45306</v>
      </c>
      <c r="B11" s="1217">
        <v>1000018292</v>
      </c>
      <c r="C11" s="1217">
        <v>92107</v>
      </c>
      <c r="D11" s="1218" t="s">
        <v>12165</v>
      </c>
      <c r="E11" s="1219">
        <v>20000</v>
      </c>
      <c r="F11" s="530" t="s">
        <v>12162</v>
      </c>
      <c r="G11" s="1220" t="s">
        <v>12156</v>
      </c>
      <c r="H11" s="1234"/>
      <c r="I11" s="1235"/>
      <c r="J11" s="1235"/>
      <c r="K11" s="1235"/>
      <c r="L11" s="1223"/>
      <c r="M11" s="1224"/>
      <c r="N11" s="1221"/>
      <c r="O11" s="1219"/>
      <c r="P11" s="1223"/>
      <c r="Q11" s="1221"/>
      <c r="R11" s="1220"/>
      <c r="S11" s="1220"/>
      <c r="T11" s="1223">
        <f>E11</f>
        <v>20000</v>
      </c>
      <c r="U11" s="1225"/>
      <c r="V11" s="1220"/>
      <c r="W11" s="1220"/>
      <c r="X11" s="1223"/>
      <c r="Y11" s="1225"/>
      <c r="Z11" s="1223"/>
      <c r="AA11" s="1230"/>
      <c r="AB11" s="1194"/>
      <c r="AC11" s="1227"/>
      <c r="AD11" s="1222"/>
      <c r="AE11" s="1222"/>
      <c r="AF11" s="1222"/>
      <c r="AG11" s="1231"/>
      <c r="AH11" s="1232"/>
      <c r="AI11" s="1221"/>
      <c r="AJ11" s="1219"/>
      <c r="AK11" s="1223"/>
      <c r="AL11" s="1221"/>
      <c r="AM11" s="1219"/>
      <c r="AN11" s="1219"/>
      <c r="AO11" s="1223"/>
      <c r="AP11" s="1221"/>
      <c r="AQ11" s="1219"/>
      <c r="AR11" s="1219"/>
      <c r="AS11" s="1223"/>
      <c r="AT11" s="1221"/>
      <c r="AU11" s="1219"/>
      <c r="AV11" s="1219"/>
      <c r="AW11" s="1223"/>
      <c r="AX11" s="1221"/>
      <c r="AY11" s="1223"/>
      <c r="AZ11" s="1233"/>
      <c r="BA11" s="1228" t="s">
        <v>12157</v>
      </c>
    </row>
    <row r="12" ht="15" customHeight="1" spans="1:53">
      <c r="A12" s="1216">
        <v>45306</v>
      </c>
      <c r="B12" s="1217">
        <v>1000018293</v>
      </c>
      <c r="C12" s="1217">
        <v>92108</v>
      </c>
      <c r="D12" s="1218" t="s">
        <v>12154</v>
      </c>
      <c r="E12" s="1219">
        <v>30000</v>
      </c>
      <c r="F12" s="530" t="s">
        <v>12155</v>
      </c>
      <c r="G12" s="1220" t="s">
        <v>12156</v>
      </c>
      <c r="H12" s="1221"/>
      <c r="I12" s="1222"/>
      <c r="J12" s="1222"/>
      <c r="K12" s="1222"/>
      <c r="L12" s="1223"/>
      <c r="M12" s="1224"/>
      <c r="N12" s="1221"/>
      <c r="O12" s="1219"/>
      <c r="P12" s="1223"/>
      <c r="Q12" s="1221"/>
      <c r="R12" s="1220"/>
      <c r="S12" s="1220"/>
      <c r="T12" s="1223"/>
      <c r="U12" s="1225"/>
      <c r="V12" s="1220"/>
      <c r="W12" s="1220"/>
      <c r="X12" s="1223"/>
      <c r="Y12" s="1225"/>
      <c r="Z12" s="1223"/>
      <c r="AA12" s="1230"/>
      <c r="AB12" s="1194"/>
      <c r="AC12" s="1227">
        <f>E12</f>
        <v>30000</v>
      </c>
      <c r="AD12" s="1222"/>
      <c r="AE12" s="1222"/>
      <c r="AF12" s="1222"/>
      <c r="AG12" s="1231"/>
      <c r="AH12" s="1232"/>
      <c r="AI12" s="1221"/>
      <c r="AJ12" s="1219"/>
      <c r="AK12" s="1223"/>
      <c r="AL12" s="1221"/>
      <c r="AM12" s="1219"/>
      <c r="AN12" s="1219"/>
      <c r="AO12" s="1223"/>
      <c r="AP12" s="1221"/>
      <c r="AQ12" s="1219"/>
      <c r="AR12" s="1219"/>
      <c r="AS12" s="1223"/>
      <c r="AT12" s="1221"/>
      <c r="AU12" s="1219"/>
      <c r="AV12" s="1219"/>
      <c r="AW12" s="1223"/>
      <c r="AX12" s="1221"/>
      <c r="AY12" s="1223"/>
      <c r="AZ12" s="1233"/>
      <c r="BA12" s="1228" t="s">
        <v>12157</v>
      </c>
    </row>
    <row r="13" ht="15" customHeight="1" spans="1:53">
      <c r="A13" s="1216">
        <v>45306</v>
      </c>
      <c r="B13" s="1217">
        <v>1000018294</v>
      </c>
      <c r="C13" s="1217">
        <v>92108</v>
      </c>
      <c r="D13" s="1218" t="s">
        <v>12158</v>
      </c>
      <c r="E13" s="1219">
        <v>80000</v>
      </c>
      <c r="F13" s="530" t="s">
        <v>12155</v>
      </c>
      <c r="G13" s="1220"/>
      <c r="H13" s="1221"/>
      <c r="I13" s="1222"/>
      <c r="J13" s="1222"/>
      <c r="K13" s="1222"/>
      <c r="L13" s="1223"/>
      <c r="M13" s="1224"/>
      <c r="N13" s="1221"/>
      <c r="O13" s="1219"/>
      <c r="P13" s="1223"/>
      <c r="Q13" s="1221"/>
      <c r="R13" s="1220"/>
      <c r="S13" s="1220"/>
      <c r="T13" s="1223"/>
      <c r="U13" s="1225"/>
      <c r="V13" s="1220"/>
      <c r="W13" s="1220"/>
      <c r="X13" s="1223"/>
      <c r="Y13" s="1225"/>
      <c r="Z13" s="1223"/>
      <c r="AA13" s="1230"/>
      <c r="AB13" s="1194"/>
      <c r="AC13" s="1227"/>
      <c r="AD13" s="1222"/>
      <c r="AE13" s="1222"/>
      <c r="AF13" s="1222"/>
      <c r="AG13" s="1231"/>
      <c r="AH13" s="1232">
        <f>E13</f>
        <v>80000</v>
      </c>
      <c r="AI13" s="1221"/>
      <c r="AJ13" s="1219"/>
      <c r="AK13" s="1223"/>
      <c r="AL13" s="1221"/>
      <c r="AM13" s="1219"/>
      <c r="AN13" s="1219"/>
      <c r="AO13" s="1223"/>
      <c r="AP13" s="1221"/>
      <c r="AQ13" s="1219"/>
      <c r="AR13" s="1219"/>
      <c r="AS13" s="1223"/>
      <c r="AT13" s="1221"/>
      <c r="AU13" s="1219"/>
      <c r="AV13" s="1219"/>
      <c r="AW13" s="1223"/>
      <c r="AX13" s="1221"/>
      <c r="AY13" s="1223"/>
      <c r="AZ13" s="1233"/>
      <c r="BA13" s="1228" t="s">
        <v>12157</v>
      </c>
    </row>
    <row r="14" ht="15" customHeight="1" spans="1:53">
      <c r="A14" s="1216">
        <v>45306</v>
      </c>
      <c r="B14" s="1217">
        <v>1000018295</v>
      </c>
      <c r="C14" s="1217">
        <v>92108</v>
      </c>
      <c r="D14" s="1218" t="s">
        <v>12159</v>
      </c>
      <c r="E14" s="1219">
        <v>30000</v>
      </c>
      <c r="F14" s="530" t="s">
        <v>12160</v>
      </c>
      <c r="G14" s="1220" t="s">
        <v>12156</v>
      </c>
      <c r="H14" s="1221"/>
      <c r="I14" s="1222"/>
      <c r="J14" s="1222"/>
      <c r="K14" s="1222"/>
      <c r="L14" s="1223"/>
      <c r="M14" s="1224"/>
      <c r="N14" s="1221"/>
      <c r="O14" s="1219"/>
      <c r="P14" s="1223"/>
      <c r="Q14" s="1221"/>
      <c r="R14" s="1220"/>
      <c r="S14" s="1220"/>
      <c r="T14" s="1223"/>
      <c r="U14" s="1225"/>
      <c r="V14" s="1220"/>
      <c r="W14" s="1220"/>
      <c r="X14" s="1223"/>
      <c r="Y14" s="1225"/>
      <c r="Z14" s="1223"/>
      <c r="AA14" s="1230"/>
      <c r="AB14" s="1194"/>
      <c r="AC14" s="1227"/>
      <c r="AD14" s="1222"/>
      <c r="AE14" s="1222"/>
      <c r="AF14" s="1222"/>
      <c r="AG14" s="1231"/>
      <c r="AH14" s="1232"/>
      <c r="AI14" s="1221">
        <f>E14</f>
        <v>30000</v>
      </c>
      <c r="AJ14" s="1219"/>
      <c r="AK14" s="1223"/>
      <c r="AL14" s="1221"/>
      <c r="AM14" s="1219"/>
      <c r="AN14" s="1219"/>
      <c r="AO14" s="1223"/>
      <c r="AP14" s="1221"/>
      <c r="AQ14" s="1219"/>
      <c r="AR14" s="1219"/>
      <c r="AS14" s="1223"/>
      <c r="AT14" s="1221"/>
      <c r="AU14" s="1219"/>
      <c r="AV14" s="1219"/>
      <c r="AW14" s="1223"/>
      <c r="AX14" s="1221"/>
      <c r="AY14" s="1223"/>
      <c r="AZ14" s="1233"/>
      <c r="BA14" s="1228" t="s">
        <v>12157</v>
      </c>
    </row>
    <row r="15" ht="15" customHeight="1" spans="1:53">
      <c r="A15" s="1216">
        <v>45306</v>
      </c>
      <c r="B15" s="1217">
        <v>1000018296</v>
      </c>
      <c r="C15" s="1217">
        <v>92108</v>
      </c>
      <c r="D15" s="1218" t="s">
        <v>12166</v>
      </c>
      <c r="E15" s="1219">
        <v>20000</v>
      </c>
      <c r="F15" s="530" t="s">
        <v>12162</v>
      </c>
      <c r="G15" s="1220" t="s">
        <v>12156</v>
      </c>
      <c r="H15" s="1221"/>
      <c r="I15" s="1222"/>
      <c r="J15" s="1222"/>
      <c r="K15" s="1222"/>
      <c r="L15" s="1223"/>
      <c r="M15" s="1224"/>
      <c r="N15" s="1221"/>
      <c r="O15" s="1219"/>
      <c r="P15" s="1223"/>
      <c r="Q15" s="1221"/>
      <c r="R15" s="1220"/>
      <c r="S15" s="1220"/>
      <c r="T15" s="1223"/>
      <c r="U15" s="1225"/>
      <c r="V15" s="1220"/>
      <c r="W15" s="1220"/>
      <c r="X15" s="1223"/>
      <c r="Y15" s="1225"/>
      <c r="Z15" s="1223"/>
      <c r="AA15" s="1230"/>
      <c r="AB15" s="1194"/>
      <c r="AC15" s="1227"/>
      <c r="AD15" s="1222"/>
      <c r="AE15" s="1222"/>
      <c r="AF15" s="1222"/>
      <c r="AG15" s="1231"/>
      <c r="AH15" s="1232"/>
      <c r="AI15" s="1221"/>
      <c r="AJ15" s="1219"/>
      <c r="AK15" s="1223"/>
      <c r="AL15" s="1221">
        <f>E15</f>
        <v>20000</v>
      </c>
      <c r="AM15" s="1219"/>
      <c r="AN15" s="1219"/>
      <c r="AO15" s="1223"/>
      <c r="AP15" s="1221"/>
      <c r="AQ15" s="1219"/>
      <c r="AR15" s="1219"/>
      <c r="AS15" s="1223"/>
      <c r="AT15" s="1221"/>
      <c r="AU15" s="1219"/>
      <c r="AV15" s="1219"/>
      <c r="AW15" s="1223"/>
      <c r="AX15" s="1221"/>
      <c r="AY15" s="1223"/>
      <c r="AZ15" s="1233"/>
      <c r="BA15" s="1228" t="s">
        <v>12157</v>
      </c>
    </row>
    <row r="16" ht="15" customHeight="1" spans="1:53">
      <c r="A16" s="1216">
        <v>45306</v>
      </c>
      <c r="B16" s="1217">
        <v>1000018297</v>
      </c>
      <c r="C16" s="1217">
        <v>92108</v>
      </c>
      <c r="D16" s="1218" t="s">
        <v>12167</v>
      </c>
      <c r="E16" s="1219">
        <v>20000</v>
      </c>
      <c r="F16" s="530" t="s">
        <v>12162</v>
      </c>
      <c r="G16" s="1220" t="s">
        <v>12156</v>
      </c>
      <c r="H16" s="1221"/>
      <c r="I16" s="1222"/>
      <c r="J16" s="1222"/>
      <c r="K16" s="1222"/>
      <c r="L16" s="1223"/>
      <c r="M16" s="1224"/>
      <c r="N16" s="1221"/>
      <c r="O16" s="1219"/>
      <c r="P16" s="1223"/>
      <c r="Q16" s="1221"/>
      <c r="R16" s="1220"/>
      <c r="S16" s="1220"/>
      <c r="T16" s="1223"/>
      <c r="U16" s="1225"/>
      <c r="V16" s="1220"/>
      <c r="W16" s="1220"/>
      <c r="X16" s="1223"/>
      <c r="Y16" s="1225"/>
      <c r="Z16" s="1223"/>
      <c r="AA16" s="1230"/>
      <c r="AB16" s="1194"/>
      <c r="AC16" s="1227"/>
      <c r="AD16" s="1222"/>
      <c r="AE16" s="1222"/>
      <c r="AF16" s="1222"/>
      <c r="AG16" s="1231"/>
      <c r="AH16" s="1232"/>
      <c r="AI16" s="1221"/>
      <c r="AJ16" s="1219"/>
      <c r="AK16" s="1223"/>
      <c r="AL16" s="1221"/>
      <c r="AM16" s="1219">
        <f>E16</f>
        <v>20000</v>
      </c>
      <c r="AN16" s="1219"/>
      <c r="AO16" s="1223"/>
      <c r="AP16" s="1221"/>
      <c r="AQ16" s="1219"/>
      <c r="AR16" s="1219"/>
      <c r="AS16" s="1223"/>
      <c r="AT16" s="1221"/>
      <c r="AU16" s="1219"/>
      <c r="AV16" s="1219"/>
      <c r="AW16" s="1223"/>
      <c r="AX16" s="1221"/>
      <c r="AY16" s="1223"/>
      <c r="AZ16" s="1233"/>
      <c r="BA16" s="1228" t="s">
        <v>12157</v>
      </c>
    </row>
    <row r="17" ht="15" customHeight="1" spans="1:54">
      <c r="A17" s="1216">
        <v>45306</v>
      </c>
      <c r="B17" s="1217">
        <v>1000018298</v>
      </c>
      <c r="C17" s="1217">
        <v>92108</v>
      </c>
      <c r="D17" s="1218" t="s">
        <v>12168</v>
      </c>
      <c r="E17" s="1219">
        <v>20000</v>
      </c>
      <c r="F17" s="530" t="s">
        <v>12162</v>
      </c>
      <c r="G17" s="1220" t="s">
        <v>12156</v>
      </c>
      <c r="H17" s="1221"/>
      <c r="I17" s="1222"/>
      <c r="J17" s="1222"/>
      <c r="K17" s="1222"/>
      <c r="L17" s="1223"/>
      <c r="M17" s="1224"/>
      <c r="N17" s="1221"/>
      <c r="O17" s="1219"/>
      <c r="P17" s="1223"/>
      <c r="Q17" s="1221"/>
      <c r="R17" s="1220"/>
      <c r="S17" s="1220"/>
      <c r="T17" s="1223"/>
      <c r="U17" s="1225"/>
      <c r="V17" s="1220"/>
      <c r="W17" s="1220"/>
      <c r="X17" s="1223"/>
      <c r="Y17" s="1225"/>
      <c r="Z17" s="1223"/>
      <c r="AA17" s="1230"/>
      <c r="AB17" s="1194"/>
      <c r="AC17" s="1227"/>
      <c r="AD17" s="1222"/>
      <c r="AE17" s="1222"/>
      <c r="AF17" s="1222"/>
      <c r="AG17" s="1231"/>
      <c r="AH17" s="1232"/>
      <c r="AI17" s="1221"/>
      <c r="AJ17" s="1219"/>
      <c r="AK17" s="1223"/>
      <c r="AL17" s="1221"/>
      <c r="AM17" s="1219"/>
      <c r="AN17" s="1219">
        <f>E17</f>
        <v>20000</v>
      </c>
      <c r="AO17" s="1223"/>
      <c r="AP17" s="1221"/>
      <c r="AQ17" s="1219"/>
      <c r="AR17" s="1219"/>
      <c r="AS17" s="1223"/>
      <c r="AT17" s="1221"/>
      <c r="AU17" s="1219"/>
      <c r="AV17" s="1219"/>
      <c r="AW17" s="1223"/>
      <c r="AX17" s="1221"/>
      <c r="AY17" s="1223"/>
      <c r="AZ17" s="1233"/>
      <c r="BA17" s="1228" t="s">
        <v>12157</v>
      </c>
    </row>
    <row r="18" ht="15" customHeight="1" spans="1:54">
      <c r="A18" s="1216">
        <v>45306</v>
      </c>
      <c r="B18" s="1217">
        <v>1000018299</v>
      </c>
      <c r="C18" s="1217">
        <v>92108</v>
      </c>
      <c r="D18" s="1218" t="s">
        <v>12169</v>
      </c>
      <c r="E18" s="1219">
        <v>20000</v>
      </c>
      <c r="F18" s="530" t="s">
        <v>12162</v>
      </c>
      <c r="G18" s="1220" t="s">
        <v>12156</v>
      </c>
      <c r="H18" s="1221"/>
      <c r="I18" s="1222"/>
      <c r="J18" s="1222"/>
      <c r="K18" s="1222"/>
      <c r="L18" s="1223"/>
      <c r="M18" s="1224"/>
      <c r="N18" s="1221"/>
      <c r="O18" s="1219"/>
      <c r="P18" s="1223"/>
      <c r="Q18" s="1221"/>
      <c r="R18" s="1220"/>
      <c r="S18" s="1220"/>
      <c r="T18" s="1223"/>
      <c r="U18" s="1225"/>
      <c r="V18" s="1220"/>
      <c r="W18" s="1220"/>
      <c r="X18" s="1223"/>
      <c r="Y18" s="1225"/>
      <c r="Z18" s="1223"/>
      <c r="AA18" s="1230"/>
      <c r="AB18" s="1194"/>
      <c r="AC18" s="1227"/>
      <c r="AD18" s="1222"/>
      <c r="AE18" s="1222"/>
      <c r="AF18" s="1222"/>
      <c r="AG18" s="1220"/>
      <c r="AH18" s="1224"/>
      <c r="AI18" s="1221"/>
      <c r="AJ18" s="1219"/>
      <c r="AK18" s="1223"/>
      <c r="AL18" s="1221"/>
      <c r="AM18" s="1219"/>
      <c r="AN18" s="1219"/>
      <c r="AO18" s="1223">
        <f>E18</f>
        <v>20000</v>
      </c>
      <c r="AP18" s="1221"/>
      <c r="AQ18" s="1219"/>
      <c r="AR18" s="1219"/>
      <c r="AS18" s="1223"/>
      <c r="AT18" s="1221"/>
      <c r="AU18" s="1219"/>
      <c r="AV18" s="1219"/>
      <c r="AW18" s="1223"/>
      <c r="AX18" s="1221"/>
      <c r="AY18" s="1223"/>
      <c r="AZ18" s="1233"/>
      <c r="BA18" s="1228" t="s">
        <v>12157</v>
      </c>
    </row>
    <row r="19" ht="15" customHeight="1" spans="1:54">
      <c r="A19" s="1216">
        <v>45359</v>
      </c>
      <c r="B19" s="1217">
        <v>1000018836</v>
      </c>
      <c r="C19" s="1217">
        <v>92107</v>
      </c>
      <c r="D19" s="1218" t="s">
        <v>12154</v>
      </c>
      <c r="E19" s="1219">
        <v>50000</v>
      </c>
      <c r="F19" s="530" t="s">
        <v>12155</v>
      </c>
      <c r="G19" s="1220" t="s">
        <v>12156</v>
      </c>
      <c r="H19" s="1221">
        <f>E19</f>
        <v>50000</v>
      </c>
      <c r="I19" s="1222"/>
      <c r="J19" s="1222"/>
      <c r="K19" s="1222"/>
      <c r="L19" s="1223"/>
      <c r="M19" s="1224">
        <f>H19</f>
        <v>50000</v>
      </c>
      <c r="N19" s="1221"/>
      <c r="O19" s="1219"/>
      <c r="P19" s="1223"/>
      <c r="Q19" s="1221"/>
      <c r="R19" s="1220"/>
      <c r="S19" s="1220"/>
      <c r="T19" s="1223"/>
      <c r="U19" s="1225"/>
      <c r="V19" s="1220"/>
      <c r="W19" s="1220"/>
      <c r="X19" s="1223"/>
      <c r="Y19" s="1225"/>
      <c r="Z19" s="1223"/>
      <c r="AA19" s="1230"/>
      <c r="AB19" s="1194"/>
      <c r="AC19" s="1227"/>
      <c r="AD19" s="1222"/>
      <c r="AE19" s="1222"/>
      <c r="AF19" s="1222"/>
      <c r="AG19" s="1220"/>
      <c r="AH19" s="1224"/>
      <c r="AI19" s="1221"/>
      <c r="AJ19" s="1219"/>
      <c r="AK19" s="1223"/>
      <c r="AL19" s="1221"/>
      <c r="AM19" s="1219"/>
      <c r="AN19" s="1219"/>
      <c r="AO19" s="1223"/>
      <c r="AP19" s="1221"/>
      <c r="AQ19" s="1219"/>
      <c r="AR19" s="1219"/>
      <c r="AS19" s="1223"/>
      <c r="AT19" s="1221"/>
      <c r="AU19" s="1219"/>
      <c r="AV19" s="1219"/>
      <c r="AW19" s="1223"/>
      <c r="AX19" s="1221"/>
      <c r="AY19" s="1223"/>
      <c r="AZ19" s="1233"/>
      <c r="BA19" s="1228"/>
    </row>
    <row r="20" ht="15" customHeight="1" spans="1:54">
      <c r="A20" s="1216">
        <v>45359</v>
      </c>
      <c r="B20" s="1217">
        <v>1000018837</v>
      </c>
      <c r="C20" s="1217">
        <v>92107</v>
      </c>
      <c r="D20" s="1218" t="s">
        <v>12159</v>
      </c>
      <c r="E20" s="1219">
        <v>100000</v>
      </c>
      <c r="F20" s="530" t="s">
        <v>12160</v>
      </c>
      <c r="G20" s="1220" t="s">
        <v>12156</v>
      </c>
      <c r="H20" s="1221"/>
      <c r="I20" s="1222"/>
      <c r="J20" s="1222"/>
      <c r="K20" s="1222"/>
      <c r="L20" s="1223"/>
      <c r="M20" s="1224"/>
      <c r="N20" s="1221">
        <f>E20</f>
        <v>100000</v>
      </c>
      <c r="O20" s="1219"/>
      <c r="P20" s="1223"/>
      <c r="Q20" s="1221"/>
      <c r="R20" s="1220"/>
      <c r="S20" s="1220"/>
      <c r="T20" s="1223"/>
      <c r="U20" s="1225"/>
      <c r="V20" s="1220"/>
      <c r="W20" s="1220"/>
      <c r="X20" s="1223"/>
      <c r="Y20" s="1225"/>
      <c r="Z20" s="1223"/>
      <c r="AA20" s="1230"/>
      <c r="AB20" s="1194"/>
      <c r="AC20" s="1227"/>
      <c r="AD20" s="1222"/>
      <c r="AE20" s="1222"/>
      <c r="AF20" s="1222"/>
      <c r="AG20" s="1220"/>
      <c r="AH20" s="1224"/>
      <c r="AI20" s="1221"/>
      <c r="AJ20" s="1219"/>
      <c r="AK20" s="1223"/>
      <c r="AL20" s="1221"/>
      <c r="AM20" s="1219"/>
      <c r="AN20" s="1219"/>
      <c r="AO20" s="1223"/>
      <c r="AP20" s="1221"/>
      <c r="AQ20" s="1219"/>
      <c r="AR20" s="1219"/>
      <c r="AS20" s="1223"/>
      <c r="AT20" s="1221"/>
      <c r="AU20" s="1219"/>
      <c r="AV20" s="1219"/>
      <c r="AW20" s="1223"/>
      <c r="AX20" s="1221"/>
      <c r="AY20" s="1223"/>
      <c r="AZ20" s="1233"/>
      <c r="BA20" s="1228"/>
    </row>
    <row r="21" ht="15" customHeight="1" spans="1:54">
      <c r="A21" s="1216">
        <v>45359</v>
      </c>
      <c r="B21" s="1217">
        <v>1000018838</v>
      </c>
      <c r="C21" s="1217">
        <v>92107</v>
      </c>
      <c r="D21" s="1218" t="s">
        <v>12154</v>
      </c>
      <c r="E21" s="1219">
        <v>30000</v>
      </c>
      <c r="F21" s="530" t="s">
        <v>12170</v>
      </c>
      <c r="G21" s="1220" t="s">
        <v>12156</v>
      </c>
      <c r="H21" s="1221"/>
      <c r="I21" s="1222"/>
      <c r="J21" s="1222">
        <f>E21</f>
        <v>30000</v>
      </c>
      <c r="K21" s="1222"/>
      <c r="L21" s="1223"/>
      <c r="M21" s="1224">
        <f>J21</f>
        <v>30000</v>
      </c>
      <c r="N21" s="1221"/>
      <c r="O21" s="1219"/>
      <c r="P21" s="1223"/>
      <c r="Q21" s="1221"/>
      <c r="R21" s="1220"/>
      <c r="S21" s="1220"/>
      <c r="T21" s="1223"/>
      <c r="U21" s="1225"/>
      <c r="V21" s="1220"/>
      <c r="W21" s="1220"/>
      <c r="X21" s="1223"/>
      <c r="Y21" s="1225"/>
      <c r="Z21" s="1223"/>
      <c r="AA21" s="1230"/>
      <c r="AB21" s="1194"/>
      <c r="AC21" s="1227"/>
      <c r="AD21" s="1222"/>
      <c r="AE21" s="1222"/>
      <c r="AF21" s="1222"/>
      <c r="AG21" s="1220"/>
      <c r="AH21" s="1224"/>
      <c r="AI21" s="1221"/>
      <c r="AJ21" s="1219"/>
      <c r="AK21" s="1223"/>
      <c r="AL21" s="1221"/>
      <c r="AM21" s="1219"/>
      <c r="AN21" s="1219"/>
      <c r="AO21" s="1223"/>
      <c r="AP21" s="1221"/>
      <c r="AQ21" s="1219"/>
      <c r="AR21" s="1219"/>
      <c r="AS21" s="1223"/>
      <c r="AT21" s="1221"/>
      <c r="AU21" s="1219"/>
      <c r="AV21" s="1219"/>
      <c r="AW21" s="1223"/>
      <c r="AX21" s="1221"/>
      <c r="AY21" s="1223"/>
      <c r="AZ21" s="1233"/>
      <c r="BA21" s="1228" t="s">
        <v>12157</v>
      </c>
    </row>
    <row r="22" ht="15" customHeight="1" spans="1:54">
      <c r="A22" s="1216">
        <v>45359</v>
      </c>
      <c r="B22" s="1217">
        <v>1000018839</v>
      </c>
      <c r="C22" s="1217">
        <v>92108</v>
      </c>
      <c r="D22" s="1218" t="s">
        <v>12159</v>
      </c>
      <c r="E22" s="1219">
        <v>50000</v>
      </c>
      <c r="F22" s="530" t="s">
        <v>12160</v>
      </c>
      <c r="G22" s="1220" t="s">
        <v>12156</v>
      </c>
      <c r="H22" s="1221"/>
      <c r="I22" s="1222"/>
      <c r="J22" s="1222"/>
      <c r="K22" s="1222"/>
      <c r="L22" s="1223"/>
      <c r="M22" s="1224"/>
      <c r="N22" s="1221"/>
      <c r="O22" s="1219"/>
      <c r="P22" s="1223"/>
      <c r="Q22" s="1221"/>
      <c r="R22" s="1220"/>
      <c r="S22" s="1220"/>
      <c r="T22" s="1223"/>
      <c r="U22" s="1225"/>
      <c r="V22" s="1220"/>
      <c r="W22" s="1220"/>
      <c r="X22" s="1223"/>
      <c r="Y22" s="1225"/>
      <c r="Z22" s="1223"/>
      <c r="AA22" s="1230"/>
      <c r="AB22" s="1194"/>
      <c r="AC22" s="1227"/>
      <c r="AD22" s="1222"/>
      <c r="AE22" s="1222"/>
      <c r="AF22" s="1222"/>
      <c r="AG22" s="1220"/>
      <c r="AH22" s="1224"/>
      <c r="AI22" s="1221">
        <f>E22</f>
        <v>50000</v>
      </c>
      <c r="AJ22" s="1219"/>
      <c r="AK22" s="1223"/>
      <c r="AL22" s="1221"/>
      <c r="AM22" s="1219"/>
      <c r="AN22" s="1219"/>
      <c r="AO22" s="1223"/>
      <c r="AP22" s="1221"/>
      <c r="AQ22" s="1219"/>
      <c r="AR22" s="1219"/>
      <c r="AS22" s="1223"/>
      <c r="AT22" s="1221"/>
      <c r="AU22" s="1219"/>
      <c r="AV22" s="1219"/>
      <c r="AW22" s="1223"/>
      <c r="AX22" s="1221"/>
      <c r="AY22" s="1223"/>
      <c r="AZ22" s="1233"/>
      <c r="BA22" s="1228"/>
    </row>
    <row r="23" ht="15" customHeight="1" spans="1:54">
      <c r="A23" s="1216">
        <v>45359</v>
      </c>
      <c r="B23" s="1217">
        <v>1000018840</v>
      </c>
      <c r="C23" s="1217">
        <v>92108</v>
      </c>
      <c r="D23" s="1218" t="s">
        <v>12154</v>
      </c>
      <c r="E23" s="1219">
        <v>30000</v>
      </c>
      <c r="F23" s="530" t="s">
        <v>12170</v>
      </c>
      <c r="G23" s="1220" t="s">
        <v>12156</v>
      </c>
      <c r="H23" s="1221"/>
      <c r="I23" s="1222"/>
      <c r="J23" s="1222"/>
      <c r="K23" s="1222"/>
      <c r="L23" s="1223"/>
      <c r="M23" s="1224"/>
      <c r="N23" s="1221"/>
      <c r="O23" s="1219"/>
      <c r="P23" s="1223"/>
      <c r="Q23" s="1221"/>
      <c r="R23" s="1220"/>
      <c r="S23" s="1220"/>
      <c r="T23" s="1223"/>
      <c r="U23" s="1225"/>
      <c r="V23" s="1220"/>
      <c r="W23" s="1220"/>
      <c r="X23" s="1223"/>
      <c r="Y23" s="1225"/>
      <c r="Z23" s="1223"/>
      <c r="AA23" s="1230"/>
      <c r="AB23" s="1194"/>
      <c r="AC23" s="1227"/>
      <c r="AD23" s="1222"/>
      <c r="AE23" s="1222">
        <f>E23</f>
        <v>30000</v>
      </c>
      <c r="AF23" s="1222"/>
      <c r="AG23" s="1220"/>
      <c r="AH23" s="1224"/>
      <c r="AI23" s="1221"/>
      <c r="AJ23" s="1219"/>
      <c r="AK23" s="1223"/>
      <c r="AL23" s="1221"/>
      <c r="AM23" s="1219"/>
      <c r="AN23" s="1219"/>
      <c r="AO23" s="1223"/>
      <c r="AP23" s="1221"/>
      <c r="AQ23" s="1219"/>
      <c r="AR23" s="1219"/>
      <c r="AS23" s="1223"/>
      <c r="AT23" s="1221"/>
      <c r="AU23" s="1219"/>
      <c r="AV23" s="1219"/>
      <c r="AW23" s="1223"/>
      <c r="AX23" s="1221"/>
      <c r="AY23" s="1223"/>
      <c r="AZ23" s="1233"/>
      <c r="BA23" s="1228" t="s">
        <v>12157</v>
      </c>
      <c r="BB23" s="1159" t="e">
        <f>E24-'92107'!#REF!-'92107'!#REF!-'92107'!#REF!</f>
        <v>#REF!</v>
      </c>
    </row>
    <row r="24" ht="15" customHeight="1" spans="1:54">
      <c r="A24" s="1216">
        <v>45366</v>
      </c>
      <c r="B24" s="1217">
        <v>1000018921</v>
      </c>
      <c r="C24" s="1217">
        <v>92107</v>
      </c>
      <c r="D24" s="1218" t="s">
        <v>12171</v>
      </c>
      <c r="E24" s="1219">
        <v>30000</v>
      </c>
      <c r="F24" s="530" t="s">
        <v>9128</v>
      </c>
      <c r="G24" s="1220" t="s">
        <v>11711</v>
      </c>
      <c r="H24" s="1221"/>
      <c r="I24" s="1222"/>
      <c r="J24" s="1222"/>
      <c r="K24" s="1222"/>
      <c r="L24" s="1223">
        <f>E24</f>
        <v>30000</v>
      </c>
      <c r="M24" s="1224">
        <f>L24</f>
        <v>30000</v>
      </c>
      <c r="N24" s="1221"/>
      <c r="O24" s="1219"/>
      <c r="P24" s="1223"/>
      <c r="Q24" s="1221"/>
      <c r="R24" s="1220"/>
      <c r="S24" s="1220"/>
      <c r="T24" s="1223"/>
      <c r="U24" s="1225"/>
      <c r="V24" s="1220"/>
      <c r="W24" s="1220"/>
      <c r="X24" s="1223"/>
      <c r="Y24" s="1225"/>
      <c r="Z24" s="1223"/>
      <c r="AA24" s="1236" t="s">
        <v>12172</v>
      </c>
      <c r="AB24" s="1194"/>
      <c r="AC24" s="1227"/>
      <c r="AD24" s="1222"/>
      <c r="AE24" s="1222"/>
      <c r="AF24" s="1222"/>
      <c r="AG24" s="1220"/>
      <c r="AH24" s="1224"/>
      <c r="AI24" s="1221"/>
      <c r="AJ24" s="1219"/>
      <c r="AK24" s="1223"/>
      <c r="AL24" s="1221"/>
      <c r="AM24" s="1219"/>
      <c r="AN24" s="1219"/>
      <c r="AO24" s="1223"/>
      <c r="AP24" s="1221"/>
      <c r="AQ24" s="1219"/>
      <c r="AR24" s="1219"/>
      <c r="AS24" s="1223"/>
      <c r="AT24" s="1221"/>
      <c r="AU24" s="1219"/>
      <c r="AV24" s="1219"/>
      <c r="AW24" s="1223"/>
      <c r="AX24" s="1221"/>
      <c r="AY24" s="1223"/>
      <c r="AZ24" s="1233"/>
      <c r="BA24" s="1228"/>
    </row>
    <row r="25" ht="15" customHeight="1" spans="1:54">
      <c r="A25" s="1216">
        <v>45366</v>
      </c>
      <c r="B25" s="1217">
        <v>1000018922</v>
      </c>
      <c r="C25" s="1217">
        <v>92108</v>
      </c>
      <c r="D25" s="1218" t="s">
        <v>12171</v>
      </c>
      <c r="E25" s="1219">
        <v>30000</v>
      </c>
      <c r="F25" s="530" t="s">
        <v>9128</v>
      </c>
      <c r="G25" s="1220" t="s">
        <v>11711</v>
      </c>
      <c r="H25" s="1221"/>
      <c r="I25" s="1222"/>
      <c r="J25" s="1222"/>
      <c r="K25" s="1222"/>
      <c r="L25" s="1223"/>
      <c r="M25" s="1224"/>
      <c r="N25" s="1221"/>
      <c r="O25" s="1219"/>
      <c r="P25" s="1223"/>
      <c r="Q25" s="1221"/>
      <c r="R25" s="1220"/>
      <c r="S25" s="1220"/>
      <c r="T25" s="1223"/>
      <c r="U25" s="1225"/>
      <c r="V25" s="1220"/>
      <c r="W25" s="1220"/>
      <c r="X25" s="1223"/>
      <c r="Y25" s="1225"/>
      <c r="Z25" s="1223"/>
      <c r="AA25" s="1230"/>
      <c r="AB25" s="1194"/>
      <c r="AC25" s="1227"/>
      <c r="AD25" s="1222"/>
      <c r="AE25" s="1222"/>
      <c r="AF25" s="1222"/>
      <c r="AG25" s="1220">
        <f>E25</f>
        <v>30000</v>
      </c>
      <c r="AH25" s="1224"/>
      <c r="AI25" s="1221"/>
      <c r="AJ25" s="1219"/>
      <c r="AK25" s="1223"/>
      <c r="AL25" s="1221"/>
      <c r="AM25" s="1219"/>
      <c r="AN25" s="1219"/>
      <c r="AO25" s="1223"/>
      <c r="AP25" s="1221"/>
      <c r="AQ25" s="1219"/>
      <c r="AR25" s="1219"/>
      <c r="AS25" s="1223"/>
      <c r="AT25" s="1221"/>
      <c r="AU25" s="1219"/>
      <c r="AV25" s="1219"/>
      <c r="AW25" s="1223"/>
      <c r="AX25" s="1221"/>
      <c r="AY25" s="1223"/>
      <c r="AZ25" s="1233"/>
      <c r="BA25" s="1228" t="s">
        <v>12172</v>
      </c>
      <c r="BB25" s="483" t="e">
        <f>AG25-'92108'!#REF!-'92108'!#REF!-'92108'!#REF!</f>
        <v>#REF!</v>
      </c>
    </row>
    <row r="26" ht="15" customHeight="1" spans="1:54">
      <c r="A26" s="1216">
        <v>45372</v>
      </c>
      <c r="B26" s="1217">
        <v>1000019053</v>
      </c>
      <c r="C26" s="1217" t="s">
        <v>12144</v>
      </c>
      <c r="D26" s="1218" t="s">
        <v>10602</v>
      </c>
      <c r="E26" s="1219">
        <v>300</v>
      </c>
      <c r="F26" s="530" t="s">
        <v>12155</v>
      </c>
      <c r="G26" s="1220" t="s">
        <v>12156</v>
      </c>
      <c r="H26" s="1221"/>
      <c r="I26" s="1222"/>
      <c r="J26" s="1222"/>
      <c r="K26" s="1222"/>
      <c r="L26" s="1223"/>
      <c r="M26" s="1224"/>
      <c r="N26" s="1221"/>
      <c r="O26" s="1219"/>
      <c r="P26" s="1223"/>
      <c r="Q26" s="1221"/>
      <c r="R26" s="1220"/>
      <c r="S26" s="1220"/>
      <c r="T26" s="1223"/>
      <c r="U26" s="1225"/>
      <c r="V26" s="1220"/>
      <c r="W26" s="1220"/>
      <c r="X26" s="1223"/>
      <c r="Y26" s="1225">
        <f>E26</f>
        <v>300</v>
      </c>
      <c r="Z26" s="1223"/>
      <c r="AA26" s="1230"/>
      <c r="AB26" s="1194"/>
      <c r="AC26" s="1227"/>
      <c r="AD26" s="1222"/>
      <c r="AE26" s="1222"/>
      <c r="AF26" s="1222"/>
      <c r="AG26" s="1220"/>
      <c r="AH26" s="1224"/>
      <c r="AI26" s="1221"/>
      <c r="AJ26" s="1219"/>
      <c r="AK26" s="1223"/>
      <c r="AL26" s="1221"/>
      <c r="AM26" s="1219"/>
      <c r="AN26" s="1219"/>
      <c r="AO26" s="1223"/>
      <c r="AP26" s="1221"/>
      <c r="AQ26" s="1219"/>
      <c r="AR26" s="1219"/>
      <c r="AS26" s="1223"/>
      <c r="AT26" s="1221"/>
      <c r="AU26" s="1219"/>
      <c r="AV26" s="1219"/>
      <c r="AW26" s="1223"/>
      <c r="AX26" s="1221"/>
      <c r="AY26" s="1223"/>
      <c r="AZ26" s="1233"/>
      <c r="BA26" s="1228"/>
    </row>
    <row r="27" ht="15" customHeight="1" spans="1:54">
      <c r="A27" s="1216">
        <v>45384</v>
      </c>
      <c r="B27" s="1217">
        <v>1000019275</v>
      </c>
      <c r="C27" s="1217">
        <v>92107</v>
      </c>
      <c r="D27" s="1218" t="s">
        <v>12158</v>
      </c>
      <c r="E27" s="1219">
        <v>100000</v>
      </c>
      <c r="F27" s="530" t="s">
        <v>12155</v>
      </c>
      <c r="G27" s="1220" t="s">
        <v>12156</v>
      </c>
      <c r="H27" s="1221"/>
      <c r="I27" s="1222"/>
      <c r="J27" s="1222"/>
      <c r="K27" s="1222"/>
      <c r="L27" s="1223"/>
      <c r="M27" s="1229">
        <f>E27</f>
        <v>100000</v>
      </c>
      <c r="N27" s="1221"/>
      <c r="O27" s="1219"/>
      <c r="P27" s="1223"/>
      <c r="Q27" s="1221"/>
      <c r="R27" s="1220"/>
      <c r="S27" s="1220"/>
      <c r="T27" s="1223"/>
      <c r="U27" s="1225"/>
      <c r="V27" s="1220"/>
      <c r="W27" s="1220"/>
      <c r="X27" s="1223"/>
      <c r="Y27" s="1225"/>
      <c r="Z27" s="1223"/>
      <c r="AA27" s="1230"/>
      <c r="AB27" s="1194"/>
      <c r="AC27" s="1227"/>
      <c r="AD27" s="1222"/>
      <c r="AE27" s="1222"/>
      <c r="AF27" s="1222"/>
      <c r="AG27" s="1220"/>
      <c r="AH27" s="1224"/>
      <c r="AI27" s="1221"/>
      <c r="AJ27" s="1219"/>
      <c r="AK27" s="1223"/>
      <c r="AL27" s="1221"/>
      <c r="AM27" s="1219"/>
      <c r="AN27" s="1219"/>
      <c r="AO27" s="1223"/>
      <c r="AP27" s="1221"/>
      <c r="AQ27" s="1219"/>
      <c r="AR27" s="1219"/>
      <c r="AS27" s="1223"/>
      <c r="AT27" s="1221"/>
      <c r="AU27" s="1219"/>
      <c r="AV27" s="1219"/>
      <c r="AW27" s="1223"/>
      <c r="AX27" s="1221"/>
      <c r="AY27" s="1223"/>
      <c r="AZ27" s="1233"/>
      <c r="BA27" s="1228"/>
    </row>
    <row r="28" ht="15" customHeight="1" spans="1:54">
      <c r="A28" s="1216">
        <v>45384</v>
      </c>
      <c r="B28" s="1217">
        <v>1000019276</v>
      </c>
      <c r="C28" s="1217">
        <v>92107</v>
      </c>
      <c r="D28" s="1218" t="s">
        <v>12161</v>
      </c>
      <c r="E28" s="1219">
        <v>20000</v>
      </c>
      <c r="F28" s="530" t="s">
        <v>12162</v>
      </c>
      <c r="G28" s="1220" t="s">
        <v>12156</v>
      </c>
      <c r="H28" s="1221"/>
      <c r="I28" s="1222"/>
      <c r="J28" s="1222"/>
      <c r="K28" s="1222"/>
      <c r="L28" s="1223"/>
      <c r="M28" s="1224"/>
      <c r="N28" s="1221"/>
      <c r="O28" s="1219"/>
      <c r="P28" s="1223"/>
      <c r="Q28" s="1221">
        <f>E28</f>
        <v>20000</v>
      </c>
      <c r="R28" s="1220"/>
      <c r="S28" s="1220"/>
      <c r="T28" s="1223"/>
      <c r="U28" s="1225"/>
      <c r="V28" s="1220"/>
      <c r="W28" s="1220"/>
      <c r="X28" s="1223"/>
      <c r="Y28" s="1225"/>
      <c r="Z28" s="1223"/>
      <c r="AA28" s="1230"/>
      <c r="AB28" s="1194"/>
      <c r="AC28" s="1227"/>
      <c r="AD28" s="1222"/>
      <c r="AE28" s="1222"/>
      <c r="AF28" s="1222"/>
      <c r="AG28" s="1220"/>
      <c r="AH28" s="1224"/>
      <c r="AI28" s="1221"/>
      <c r="AJ28" s="1219"/>
      <c r="AK28" s="1223"/>
      <c r="AL28" s="1221"/>
      <c r="AM28" s="1219"/>
      <c r="AN28" s="1219"/>
      <c r="AO28" s="1223"/>
      <c r="AP28" s="1221"/>
      <c r="AQ28" s="1219"/>
      <c r="AR28" s="1219"/>
      <c r="AS28" s="1223"/>
      <c r="AT28" s="1221"/>
      <c r="AU28" s="1219"/>
      <c r="AV28" s="1219"/>
      <c r="AW28" s="1223"/>
      <c r="AX28" s="1221"/>
      <c r="AY28" s="1223"/>
      <c r="AZ28" s="1233"/>
      <c r="BA28" s="1228"/>
    </row>
    <row r="29" ht="15" customHeight="1" spans="1:54">
      <c r="A29" s="1216">
        <v>45384</v>
      </c>
      <c r="B29" s="1217">
        <v>1000019277</v>
      </c>
      <c r="C29" s="1217">
        <v>92107</v>
      </c>
      <c r="D29" s="1217" t="s">
        <v>12163</v>
      </c>
      <c r="E29" s="1219">
        <v>20000</v>
      </c>
      <c r="F29" s="1219" t="s">
        <v>12162</v>
      </c>
      <c r="G29" s="1220" t="s">
        <v>12156</v>
      </c>
      <c r="H29" s="1221"/>
      <c r="I29" s="1222"/>
      <c r="J29" s="1222"/>
      <c r="K29" s="1222"/>
      <c r="L29" s="1223"/>
      <c r="M29" s="1224"/>
      <c r="N29" s="1221"/>
      <c r="O29" s="1219"/>
      <c r="P29" s="1223"/>
      <c r="Q29" s="1221"/>
      <c r="R29" s="1220">
        <f>E29</f>
        <v>20000</v>
      </c>
      <c r="S29" s="1220"/>
      <c r="T29" s="1223"/>
      <c r="U29" s="1225"/>
      <c r="V29" s="1220"/>
      <c r="W29" s="1220"/>
      <c r="X29" s="1223"/>
      <c r="Y29" s="1225"/>
      <c r="Z29" s="1223"/>
      <c r="AA29" s="1230"/>
      <c r="AB29" s="1194"/>
      <c r="AC29" s="1227"/>
      <c r="AD29" s="1222"/>
      <c r="AE29" s="1222"/>
      <c r="AF29" s="1222"/>
      <c r="AG29" s="1220"/>
      <c r="AH29" s="1224"/>
      <c r="AI29" s="1221"/>
      <c r="AJ29" s="1219"/>
      <c r="AK29" s="1223"/>
      <c r="AL29" s="1221"/>
      <c r="AM29" s="1219"/>
      <c r="AN29" s="1219"/>
      <c r="AO29" s="1223"/>
      <c r="AP29" s="1221"/>
      <c r="AQ29" s="1219"/>
      <c r="AR29" s="1219"/>
      <c r="AS29" s="1223"/>
      <c r="AT29" s="1221"/>
      <c r="AU29" s="1219"/>
      <c r="AV29" s="1219"/>
      <c r="AW29" s="1223"/>
      <c r="AX29" s="1221"/>
      <c r="AY29" s="1223"/>
      <c r="AZ29" s="1233"/>
      <c r="BA29" s="1237"/>
    </row>
    <row r="30" ht="15" customHeight="1" spans="1:54">
      <c r="A30" s="1216">
        <v>45384</v>
      </c>
      <c r="B30" s="1217">
        <v>1000019272</v>
      </c>
      <c r="C30" s="1217">
        <v>92107</v>
      </c>
      <c r="D30" s="1217" t="s">
        <v>12164</v>
      </c>
      <c r="E30" s="1219">
        <v>20000</v>
      </c>
      <c r="F30" s="1219" t="s">
        <v>12162</v>
      </c>
      <c r="G30" s="1220" t="s">
        <v>12156</v>
      </c>
      <c r="H30" s="1221"/>
      <c r="I30" s="1222"/>
      <c r="J30" s="1222"/>
      <c r="K30" s="1222"/>
      <c r="L30" s="1223"/>
      <c r="M30" s="1224"/>
      <c r="N30" s="1221"/>
      <c r="O30" s="1219"/>
      <c r="P30" s="1223"/>
      <c r="Q30" s="1221"/>
      <c r="R30" s="1220"/>
      <c r="S30" s="1220">
        <f>E30</f>
        <v>20000</v>
      </c>
      <c r="T30" s="1223"/>
      <c r="U30" s="1225"/>
      <c r="V30" s="1220"/>
      <c r="W30" s="1220"/>
      <c r="X30" s="1223"/>
      <c r="Y30" s="1225"/>
      <c r="Z30" s="1223"/>
      <c r="AA30" s="1230"/>
      <c r="AB30" s="1194"/>
      <c r="AC30" s="1227"/>
      <c r="AD30" s="1222"/>
      <c r="AE30" s="1222"/>
      <c r="AF30" s="1222"/>
      <c r="AG30" s="1220"/>
      <c r="AH30" s="1224"/>
      <c r="AI30" s="1221"/>
      <c r="AJ30" s="1219"/>
      <c r="AK30" s="1223"/>
      <c r="AL30" s="1221"/>
      <c r="AM30" s="1219"/>
      <c r="AN30" s="1219"/>
      <c r="AO30" s="1223"/>
      <c r="AP30" s="1221"/>
      <c r="AQ30" s="1219"/>
      <c r="AR30" s="1219"/>
      <c r="AS30" s="1223"/>
      <c r="AT30" s="1221"/>
      <c r="AU30" s="1219"/>
      <c r="AV30" s="1219"/>
      <c r="AW30" s="1223"/>
      <c r="AX30" s="1221"/>
      <c r="AY30" s="1223"/>
      <c r="AZ30" s="1233"/>
      <c r="BA30" s="1237"/>
    </row>
    <row r="31" ht="15" customHeight="1" spans="1:54">
      <c r="A31" s="1216">
        <v>45384</v>
      </c>
      <c r="B31" s="1217">
        <v>1000019273</v>
      </c>
      <c r="C31" s="1217">
        <v>92107</v>
      </c>
      <c r="D31" s="1217" t="s">
        <v>12165</v>
      </c>
      <c r="E31" s="1219">
        <v>20000</v>
      </c>
      <c r="F31" s="1219" t="s">
        <v>12162</v>
      </c>
      <c r="G31" s="1220" t="s">
        <v>12156</v>
      </c>
      <c r="H31" s="1221"/>
      <c r="I31" s="1222"/>
      <c r="J31" s="1222"/>
      <c r="K31" s="1222"/>
      <c r="L31" s="1223"/>
      <c r="M31" s="1224"/>
      <c r="N31" s="1221"/>
      <c r="O31" s="1219"/>
      <c r="P31" s="1223"/>
      <c r="Q31" s="1221"/>
      <c r="R31" s="1220"/>
      <c r="S31" s="1220"/>
      <c r="T31" s="1223">
        <f>E31</f>
        <v>20000</v>
      </c>
      <c r="U31" s="1225"/>
      <c r="V31" s="1220"/>
      <c r="W31" s="1220"/>
      <c r="X31" s="1223"/>
      <c r="Y31" s="1225"/>
      <c r="Z31" s="1223"/>
      <c r="AA31" s="1230"/>
      <c r="AB31" s="1194"/>
      <c r="AC31" s="1227"/>
      <c r="AD31" s="1222"/>
      <c r="AE31" s="1222"/>
      <c r="AF31" s="1222"/>
      <c r="AG31" s="1220"/>
      <c r="AH31" s="1224"/>
      <c r="AI31" s="1221"/>
      <c r="AJ31" s="1219"/>
      <c r="AK31" s="1223"/>
      <c r="AL31" s="1221"/>
      <c r="AM31" s="1219"/>
      <c r="AN31" s="1219"/>
      <c r="AO31" s="1223"/>
      <c r="AP31" s="1221"/>
      <c r="AQ31" s="1219"/>
      <c r="AR31" s="1219"/>
      <c r="AS31" s="1223"/>
      <c r="AT31" s="1221"/>
      <c r="AU31" s="1219"/>
      <c r="AV31" s="1219"/>
      <c r="AW31" s="1223"/>
      <c r="AX31" s="1221"/>
      <c r="AY31" s="1223"/>
      <c r="AZ31" s="1233"/>
      <c r="BA31" s="1237"/>
    </row>
    <row r="32" ht="15" customHeight="1" spans="1:54">
      <c r="A32" s="1216">
        <v>45384</v>
      </c>
      <c r="B32" s="1217">
        <v>1000019274</v>
      </c>
      <c r="C32" s="1217">
        <v>92108</v>
      </c>
      <c r="D32" s="1217" t="s">
        <v>12154</v>
      </c>
      <c r="E32" s="1219">
        <v>50000</v>
      </c>
      <c r="F32" s="1219" t="s">
        <v>12155</v>
      </c>
      <c r="G32" s="1220" t="s">
        <v>12156</v>
      </c>
      <c r="H32" s="1221"/>
      <c r="I32" s="1222"/>
      <c r="J32" s="1222"/>
      <c r="K32" s="1222"/>
      <c r="L32" s="1223"/>
      <c r="M32" s="1224"/>
      <c r="N32" s="1221"/>
      <c r="O32" s="1219"/>
      <c r="P32" s="1223"/>
      <c r="Q32" s="1221"/>
      <c r="R32" s="1220"/>
      <c r="S32" s="1220"/>
      <c r="T32" s="1223"/>
      <c r="U32" s="1225"/>
      <c r="V32" s="1220"/>
      <c r="W32" s="1220"/>
      <c r="X32" s="1223"/>
      <c r="Y32" s="1225"/>
      <c r="Z32" s="1223"/>
      <c r="AA32" s="1230"/>
      <c r="AB32" s="1194"/>
      <c r="AC32" s="1227">
        <f>E32</f>
        <v>50000</v>
      </c>
      <c r="AD32" s="1222"/>
      <c r="AE32" s="1222"/>
      <c r="AF32" s="1222"/>
      <c r="AG32" s="1220"/>
      <c r="AH32" s="1224"/>
      <c r="AI32" s="1221"/>
      <c r="AJ32" s="1219"/>
      <c r="AK32" s="1223"/>
      <c r="AL32" s="1221"/>
      <c r="AM32" s="1219"/>
      <c r="AN32" s="1219"/>
      <c r="AO32" s="1223"/>
      <c r="AP32" s="1221"/>
      <c r="AQ32" s="1219"/>
      <c r="AR32" s="1219"/>
      <c r="AS32" s="1223"/>
      <c r="AT32" s="1221"/>
      <c r="AU32" s="1219"/>
      <c r="AV32" s="1219"/>
      <c r="AW32" s="1223"/>
      <c r="AX32" s="1221"/>
      <c r="AY32" s="1223"/>
      <c r="AZ32" s="1233"/>
      <c r="BA32" s="1237"/>
    </row>
    <row r="33" ht="15" customHeight="1" spans="1:53">
      <c r="A33" s="1216">
        <v>45401</v>
      </c>
      <c r="B33" s="1217">
        <v>1000019673</v>
      </c>
      <c r="C33" s="1217">
        <v>92107</v>
      </c>
      <c r="D33" s="1217" t="s">
        <v>12154</v>
      </c>
      <c r="E33" s="1219">
        <v>50000</v>
      </c>
      <c r="F33" s="1219" t="s">
        <v>12155</v>
      </c>
      <c r="G33" s="1220" t="s">
        <v>12156</v>
      </c>
      <c r="H33" s="1221">
        <f>E33</f>
        <v>50000</v>
      </c>
      <c r="I33" s="1222"/>
      <c r="J33" s="1222"/>
      <c r="K33" s="1222"/>
      <c r="L33" s="1223"/>
      <c r="M33" s="1224">
        <f>H33</f>
        <v>50000</v>
      </c>
      <c r="N33" s="1221"/>
      <c r="O33" s="1219"/>
      <c r="P33" s="1223"/>
      <c r="Q33" s="1221"/>
      <c r="R33" s="1220"/>
      <c r="S33" s="1220"/>
      <c r="T33" s="1223"/>
      <c r="U33" s="1225"/>
      <c r="V33" s="1220"/>
      <c r="W33" s="1220"/>
      <c r="X33" s="1223"/>
      <c r="Y33" s="1225"/>
      <c r="Z33" s="1223"/>
      <c r="AA33" s="1230"/>
      <c r="AB33" s="1194"/>
      <c r="AC33" s="1227"/>
      <c r="AD33" s="1222"/>
      <c r="AE33" s="1222"/>
      <c r="AF33" s="1222"/>
      <c r="AG33" s="1220"/>
      <c r="AH33" s="1224"/>
      <c r="AI33" s="1221"/>
      <c r="AJ33" s="1219"/>
      <c r="AK33" s="1223"/>
      <c r="AL33" s="1221"/>
      <c r="AM33" s="1219"/>
      <c r="AN33" s="1219"/>
      <c r="AO33" s="1223"/>
      <c r="AP33" s="1221"/>
      <c r="AQ33" s="1219"/>
      <c r="AR33" s="1219"/>
      <c r="AS33" s="1223"/>
      <c r="AT33" s="1221"/>
      <c r="AU33" s="1219"/>
      <c r="AV33" s="1219"/>
      <c r="AW33" s="1223"/>
      <c r="AX33" s="1221"/>
      <c r="AY33" s="1223"/>
      <c r="AZ33" s="1233"/>
      <c r="BA33" s="1237"/>
    </row>
    <row r="34" ht="15" customHeight="1" spans="1:53">
      <c r="A34" s="1216">
        <v>45401</v>
      </c>
      <c r="B34" s="1217">
        <v>1000019674</v>
      </c>
      <c r="C34" s="1217">
        <v>92107</v>
      </c>
      <c r="D34" s="1217" t="s">
        <v>12154</v>
      </c>
      <c r="E34" s="1219">
        <v>50000</v>
      </c>
      <c r="F34" s="1219" t="s">
        <v>12170</v>
      </c>
      <c r="G34" s="1220" t="s">
        <v>12156</v>
      </c>
      <c r="H34" s="1221"/>
      <c r="I34" s="1222"/>
      <c r="J34" s="1222">
        <f>E34</f>
        <v>50000</v>
      </c>
      <c r="K34" s="1222"/>
      <c r="L34" s="1223"/>
      <c r="M34" s="1224">
        <f>J34</f>
        <v>50000</v>
      </c>
      <c r="N34" s="1221"/>
      <c r="O34" s="1219"/>
      <c r="P34" s="1223"/>
      <c r="Q34" s="1221"/>
      <c r="R34" s="1220"/>
      <c r="S34" s="1220"/>
      <c r="T34" s="1223"/>
      <c r="U34" s="1225"/>
      <c r="V34" s="1220"/>
      <c r="W34" s="1220"/>
      <c r="X34" s="1223"/>
      <c r="Y34" s="1225"/>
      <c r="Z34" s="1223"/>
      <c r="AA34" s="1230"/>
      <c r="AB34" s="1194"/>
      <c r="AC34" s="1227"/>
      <c r="AD34" s="1222"/>
      <c r="AE34" s="1222"/>
      <c r="AF34" s="1222"/>
      <c r="AG34" s="1220"/>
      <c r="AH34" s="1224"/>
      <c r="AI34" s="1221"/>
      <c r="AJ34" s="1219"/>
      <c r="AK34" s="1223"/>
      <c r="AL34" s="1221"/>
      <c r="AM34" s="1219"/>
      <c r="AN34" s="1219"/>
      <c r="AO34" s="1223"/>
      <c r="AP34" s="1221"/>
      <c r="AQ34" s="1219"/>
      <c r="AR34" s="1219"/>
      <c r="AS34" s="1223"/>
      <c r="AT34" s="1221"/>
      <c r="AU34" s="1219"/>
      <c r="AV34" s="1219"/>
      <c r="AW34" s="1223"/>
      <c r="AX34" s="1221"/>
      <c r="AY34" s="1223"/>
      <c r="AZ34" s="1233"/>
      <c r="BA34" s="1237"/>
    </row>
    <row r="35" ht="15" customHeight="1" spans="1:53">
      <c r="A35" s="1216">
        <v>45401</v>
      </c>
      <c r="B35" s="1217">
        <v>1000019675</v>
      </c>
      <c r="C35" s="1217">
        <v>92107</v>
      </c>
      <c r="D35" s="1217" t="s">
        <v>12159</v>
      </c>
      <c r="E35" s="1219">
        <v>100000</v>
      </c>
      <c r="F35" s="1219" t="s">
        <v>12160</v>
      </c>
      <c r="G35" s="1220" t="s">
        <v>12156</v>
      </c>
      <c r="H35" s="1221"/>
      <c r="I35" s="1222"/>
      <c r="J35" s="1222"/>
      <c r="K35" s="1222"/>
      <c r="L35" s="1223"/>
      <c r="M35" s="1224"/>
      <c r="N35" s="1221">
        <f>E35</f>
        <v>100000</v>
      </c>
      <c r="O35" s="1219"/>
      <c r="P35" s="1223"/>
      <c r="Q35" s="1221"/>
      <c r="R35" s="1220"/>
      <c r="S35" s="1220"/>
      <c r="T35" s="1223"/>
      <c r="U35" s="1225"/>
      <c r="V35" s="1220"/>
      <c r="W35" s="1220"/>
      <c r="X35" s="1223"/>
      <c r="Y35" s="1225"/>
      <c r="Z35" s="1223"/>
      <c r="AA35" s="1230"/>
      <c r="AB35" s="1194"/>
      <c r="AC35" s="1227"/>
      <c r="AD35" s="1222"/>
      <c r="AE35" s="1222"/>
      <c r="AF35" s="1222"/>
      <c r="AG35" s="1220"/>
      <c r="AH35" s="1224"/>
      <c r="AI35" s="1221"/>
      <c r="AJ35" s="1219"/>
      <c r="AK35" s="1223"/>
      <c r="AL35" s="1221"/>
      <c r="AM35" s="1219"/>
      <c r="AN35" s="1219"/>
      <c r="AO35" s="1223"/>
      <c r="AP35" s="1221"/>
      <c r="AQ35" s="1219"/>
      <c r="AR35" s="1219"/>
      <c r="AS35" s="1223"/>
      <c r="AT35" s="1221"/>
      <c r="AU35" s="1219"/>
      <c r="AV35" s="1219"/>
      <c r="AW35" s="1223"/>
      <c r="AX35" s="1221"/>
      <c r="AY35" s="1223"/>
      <c r="AZ35" s="1233"/>
      <c r="BA35" s="1237"/>
    </row>
    <row r="36" ht="15" customHeight="1" spans="1:53">
      <c r="A36" s="1216">
        <v>45401</v>
      </c>
      <c r="B36" s="1217">
        <v>1000019676</v>
      </c>
      <c r="C36" s="1217">
        <v>92108</v>
      </c>
      <c r="D36" s="1217" t="s">
        <v>12158</v>
      </c>
      <c r="E36" s="1219">
        <v>80000</v>
      </c>
      <c r="F36" s="1219" t="s">
        <v>12155</v>
      </c>
      <c r="G36" s="1220" t="s">
        <v>12156</v>
      </c>
      <c r="H36" s="1221"/>
      <c r="I36" s="1222"/>
      <c r="J36" s="1222"/>
      <c r="K36" s="1222"/>
      <c r="L36" s="1223"/>
      <c r="M36" s="1224"/>
      <c r="N36" s="1221"/>
      <c r="O36" s="1219"/>
      <c r="P36" s="1223"/>
      <c r="Q36" s="1221"/>
      <c r="R36" s="1220"/>
      <c r="S36" s="1220"/>
      <c r="T36" s="1223"/>
      <c r="U36" s="1225"/>
      <c r="V36" s="1220"/>
      <c r="W36" s="1220"/>
      <c r="X36" s="1223"/>
      <c r="Y36" s="1225"/>
      <c r="Z36" s="1223"/>
      <c r="AA36" s="1230"/>
      <c r="AB36" s="1194"/>
      <c r="AC36" s="1227"/>
      <c r="AD36" s="1222"/>
      <c r="AE36" s="1222"/>
      <c r="AF36" s="1222"/>
      <c r="AG36" s="1220"/>
      <c r="AH36" s="1224">
        <f>E36</f>
        <v>80000</v>
      </c>
      <c r="AI36" s="1221"/>
      <c r="AJ36" s="1219"/>
      <c r="AK36" s="1223"/>
      <c r="AL36" s="1221"/>
      <c r="AM36" s="1219"/>
      <c r="AN36" s="1219"/>
      <c r="AO36" s="1223"/>
      <c r="AP36" s="1221"/>
      <c r="AQ36" s="1219"/>
      <c r="AR36" s="1219"/>
      <c r="AS36" s="1223"/>
      <c r="AT36" s="1221"/>
      <c r="AU36" s="1219"/>
      <c r="AV36" s="1219"/>
      <c r="AW36" s="1223"/>
      <c r="AX36" s="1221"/>
      <c r="AY36" s="1223"/>
      <c r="AZ36" s="1233"/>
      <c r="BA36" s="1237"/>
    </row>
    <row r="37" ht="15" customHeight="1" spans="1:53">
      <c r="A37" s="1216">
        <v>45401</v>
      </c>
      <c r="B37" s="1217">
        <v>1000019677</v>
      </c>
      <c r="C37" s="1217">
        <v>92108</v>
      </c>
      <c r="D37" s="1217" t="s">
        <v>12159</v>
      </c>
      <c r="E37" s="1219">
        <v>80000</v>
      </c>
      <c r="F37" s="1219" t="s">
        <v>12160</v>
      </c>
      <c r="G37" s="1220" t="s">
        <v>12156</v>
      </c>
      <c r="H37" s="1221"/>
      <c r="I37" s="1222"/>
      <c r="J37" s="1222"/>
      <c r="K37" s="1222"/>
      <c r="L37" s="1223"/>
      <c r="M37" s="1224"/>
      <c r="N37" s="1221"/>
      <c r="O37" s="1219"/>
      <c r="P37" s="1223"/>
      <c r="Q37" s="1221"/>
      <c r="R37" s="1220"/>
      <c r="S37" s="1220"/>
      <c r="T37" s="1223"/>
      <c r="U37" s="1225"/>
      <c r="V37" s="1220"/>
      <c r="W37" s="1220"/>
      <c r="X37" s="1223"/>
      <c r="Y37" s="1225"/>
      <c r="Z37" s="1223"/>
      <c r="AA37" s="1230"/>
      <c r="AB37" s="1194"/>
      <c r="AC37" s="1227"/>
      <c r="AD37" s="1222"/>
      <c r="AE37" s="1222"/>
      <c r="AF37" s="1222"/>
      <c r="AG37" s="1220"/>
      <c r="AH37" s="1224"/>
      <c r="AI37" s="1221">
        <f>E37</f>
        <v>80000</v>
      </c>
      <c r="AJ37" s="1219"/>
      <c r="AK37" s="1223"/>
      <c r="AL37" s="1221"/>
      <c r="AM37" s="1219"/>
      <c r="AN37" s="1219"/>
      <c r="AO37" s="1223"/>
      <c r="AP37" s="1221"/>
      <c r="AQ37" s="1219"/>
      <c r="AR37" s="1219"/>
      <c r="AS37" s="1223"/>
      <c r="AT37" s="1221"/>
      <c r="AU37" s="1219"/>
      <c r="AV37" s="1219"/>
      <c r="AW37" s="1223"/>
      <c r="AX37" s="1221"/>
      <c r="AY37" s="1223"/>
      <c r="AZ37" s="1233"/>
      <c r="BA37" s="1237"/>
    </row>
    <row r="38" ht="15" customHeight="1" spans="1:53">
      <c r="A38" s="1216">
        <v>45401</v>
      </c>
      <c r="B38" s="1217">
        <v>1000019678</v>
      </c>
      <c r="C38" s="1217">
        <v>92108</v>
      </c>
      <c r="D38" s="1217" t="s">
        <v>12166</v>
      </c>
      <c r="E38" s="1219">
        <v>30000</v>
      </c>
      <c r="F38" s="1219" t="s">
        <v>12162</v>
      </c>
      <c r="G38" s="1220" t="s">
        <v>12156</v>
      </c>
      <c r="H38" s="1221"/>
      <c r="I38" s="1222"/>
      <c r="J38" s="1222"/>
      <c r="K38" s="1222"/>
      <c r="L38" s="1223"/>
      <c r="M38" s="1224"/>
      <c r="N38" s="1221"/>
      <c r="O38" s="1219"/>
      <c r="P38" s="1223"/>
      <c r="Q38" s="1221"/>
      <c r="R38" s="1220"/>
      <c r="S38" s="1220"/>
      <c r="T38" s="1223"/>
      <c r="U38" s="1225"/>
      <c r="V38" s="1220"/>
      <c r="W38" s="1220"/>
      <c r="X38" s="1223"/>
      <c r="Y38" s="1225"/>
      <c r="Z38" s="1223"/>
      <c r="AA38" s="1230"/>
      <c r="AB38" s="1194"/>
      <c r="AC38" s="1227"/>
      <c r="AD38" s="1222"/>
      <c r="AE38" s="1222"/>
      <c r="AF38" s="1222"/>
      <c r="AG38" s="1220"/>
      <c r="AH38" s="1224"/>
      <c r="AI38" s="1221"/>
      <c r="AJ38" s="1219"/>
      <c r="AK38" s="1223"/>
      <c r="AL38" s="1221">
        <f>E38</f>
        <v>30000</v>
      </c>
      <c r="AM38" s="1219"/>
      <c r="AN38" s="1219"/>
      <c r="AO38" s="1223"/>
      <c r="AP38" s="1221"/>
      <c r="AQ38" s="1219"/>
      <c r="AR38" s="1219"/>
      <c r="AS38" s="1223"/>
      <c r="AT38" s="1221"/>
      <c r="AU38" s="1219"/>
      <c r="AV38" s="1219"/>
      <c r="AW38" s="1223"/>
      <c r="AX38" s="1221"/>
      <c r="AY38" s="1223"/>
      <c r="AZ38" s="1233"/>
      <c r="BA38" s="1237"/>
    </row>
    <row r="39" ht="15" customHeight="1" spans="1:53">
      <c r="A39" s="1216">
        <v>45401</v>
      </c>
      <c r="B39" s="1217">
        <v>1000019679</v>
      </c>
      <c r="C39" s="1217">
        <v>92108</v>
      </c>
      <c r="D39" s="1217" t="s">
        <v>12167</v>
      </c>
      <c r="E39" s="1219">
        <v>30000</v>
      </c>
      <c r="F39" s="1219" t="s">
        <v>12162</v>
      </c>
      <c r="G39" s="1220" t="s">
        <v>12156</v>
      </c>
      <c r="H39" s="1221"/>
      <c r="I39" s="1222"/>
      <c r="J39" s="1222"/>
      <c r="K39" s="1222"/>
      <c r="L39" s="1223"/>
      <c r="M39" s="1224"/>
      <c r="N39" s="1221"/>
      <c r="O39" s="1219"/>
      <c r="P39" s="1223"/>
      <c r="Q39" s="1221"/>
      <c r="R39" s="1220"/>
      <c r="S39" s="1220"/>
      <c r="T39" s="1223"/>
      <c r="U39" s="1225"/>
      <c r="V39" s="1220"/>
      <c r="W39" s="1220"/>
      <c r="X39" s="1223"/>
      <c r="Y39" s="1225"/>
      <c r="Z39" s="1223"/>
      <c r="AA39" s="1230"/>
      <c r="AB39" s="1194"/>
      <c r="AC39" s="1227"/>
      <c r="AD39" s="1222"/>
      <c r="AE39" s="1222"/>
      <c r="AF39" s="1222"/>
      <c r="AG39" s="1220"/>
      <c r="AH39" s="1224"/>
      <c r="AI39" s="1221"/>
      <c r="AJ39" s="1219"/>
      <c r="AK39" s="1223"/>
      <c r="AL39" s="1221"/>
      <c r="AM39" s="1219">
        <f>E39</f>
        <v>30000</v>
      </c>
      <c r="AN39" s="1219"/>
      <c r="AO39" s="1223"/>
      <c r="AP39" s="1221"/>
      <c r="AQ39" s="1219"/>
      <c r="AR39" s="1219"/>
      <c r="AS39" s="1223"/>
      <c r="AT39" s="1221"/>
      <c r="AU39" s="1219"/>
      <c r="AV39" s="1219"/>
      <c r="AW39" s="1223"/>
      <c r="AX39" s="1221"/>
      <c r="AY39" s="1223"/>
      <c r="AZ39" s="1233"/>
      <c r="BA39" s="1237"/>
    </row>
    <row r="40" ht="15" customHeight="1" spans="1:53">
      <c r="A40" s="1216">
        <v>45401</v>
      </c>
      <c r="B40" s="1217">
        <v>1000019680</v>
      </c>
      <c r="C40" s="1217">
        <v>92108</v>
      </c>
      <c r="D40" s="1217" t="s">
        <v>12168</v>
      </c>
      <c r="E40" s="1219">
        <v>30000</v>
      </c>
      <c r="F40" s="1219" t="s">
        <v>12162</v>
      </c>
      <c r="G40" s="1220" t="s">
        <v>12156</v>
      </c>
      <c r="H40" s="1221"/>
      <c r="I40" s="1222"/>
      <c r="J40" s="1222"/>
      <c r="K40" s="1222"/>
      <c r="L40" s="1223"/>
      <c r="M40" s="1224"/>
      <c r="N40" s="1221"/>
      <c r="O40" s="1219"/>
      <c r="P40" s="1223"/>
      <c r="Q40" s="1221"/>
      <c r="R40" s="1220"/>
      <c r="S40" s="1220"/>
      <c r="T40" s="1223"/>
      <c r="U40" s="1225"/>
      <c r="V40" s="1220"/>
      <c r="W40" s="1220"/>
      <c r="X40" s="1223"/>
      <c r="Y40" s="1225"/>
      <c r="Z40" s="1223"/>
      <c r="AA40" s="1230"/>
      <c r="AB40" s="1194"/>
      <c r="AC40" s="1227"/>
      <c r="AD40" s="1222"/>
      <c r="AE40" s="1222"/>
      <c r="AF40" s="1222"/>
      <c r="AG40" s="1220"/>
      <c r="AH40" s="1224"/>
      <c r="AI40" s="1221"/>
      <c r="AJ40" s="1219"/>
      <c r="AK40" s="1223"/>
      <c r="AL40" s="1221"/>
      <c r="AM40" s="1219"/>
      <c r="AN40" s="1219">
        <f>E40</f>
        <v>30000</v>
      </c>
      <c r="AO40" s="1223"/>
      <c r="AP40" s="1221"/>
      <c r="AQ40" s="1219"/>
      <c r="AR40" s="1219"/>
      <c r="AS40" s="1223"/>
      <c r="AT40" s="1221"/>
      <c r="AU40" s="1219"/>
      <c r="AV40" s="1219"/>
      <c r="AW40" s="1223"/>
      <c r="AX40" s="1221"/>
      <c r="AY40" s="1223"/>
      <c r="AZ40" s="1233"/>
      <c r="BA40" s="1237"/>
    </row>
    <row r="41" ht="15" customHeight="1" spans="1:53">
      <c r="A41" s="1216">
        <v>45401</v>
      </c>
      <c r="B41" s="1217">
        <v>1000019681</v>
      </c>
      <c r="C41" s="1217">
        <v>92108</v>
      </c>
      <c r="D41" s="1217" t="s">
        <v>12169</v>
      </c>
      <c r="E41" s="1219">
        <v>30000</v>
      </c>
      <c r="F41" s="1219" t="s">
        <v>12162</v>
      </c>
      <c r="G41" s="1220" t="s">
        <v>12156</v>
      </c>
      <c r="H41" s="1221"/>
      <c r="I41" s="1222"/>
      <c r="J41" s="1222"/>
      <c r="K41" s="1222"/>
      <c r="L41" s="1223"/>
      <c r="M41" s="1224"/>
      <c r="N41" s="1221"/>
      <c r="O41" s="1219"/>
      <c r="P41" s="1223"/>
      <c r="Q41" s="1221"/>
      <c r="R41" s="1220"/>
      <c r="S41" s="1220"/>
      <c r="T41" s="1223"/>
      <c r="U41" s="1225"/>
      <c r="V41" s="1220"/>
      <c r="W41" s="1220"/>
      <c r="X41" s="1223"/>
      <c r="Y41" s="1225"/>
      <c r="Z41" s="1223"/>
      <c r="AA41" s="1230"/>
      <c r="AB41" s="1194"/>
      <c r="AC41" s="1227"/>
      <c r="AD41" s="1222"/>
      <c r="AE41" s="1222"/>
      <c r="AF41" s="1222"/>
      <c r="AG41" s="1220"/>
      <c r="AH41" s="1224"/>
      <c r="AI41" s="1221"/>
      <c r="AJ41" s="1219"/>
      <c r="AK41" s="1223"/>
      <c r="AL41" s="1221"/>
      <c r="AM41" s="1219"/>
      <c r="AN41" s="1219"/>
      <c r="AO41" s="1223">
        <f>E41</f>
        <v>30000</v>
      </c>
      <c r="AP41" s="1221"/>
      <c r="AQ41" s="1219"/>
      <c r="AR41" s="1219"/>
      <c r="AS41" s="1223"/>
      <c r="AT41" s="1221"/>
      <c r="AU41" s="1219"/>
      <c r="AV41" s="1219"/>
      <c r="AW41" s="1223"/>
      <c r="AX41" s="1221"/>
      <c r="AY41" s="1223"/>
      <c r="AZ41" s="1233"/>
      <c r="BA41" s="1237"/>
    </row>
    <row r="42" ht="15" customHeight="1" spans="1:53">
      <c r="A42" s="1216">
        <v>45408</v>
      </c>
      <c r="B42" s="1217">
        <v>1000019908</v>
      </c>
      <c r="C42" s="1217" t="s">
        <v>10180</v>
      </c>
      <c r="D42" s="1217" t="s">
        <v>10602</v>
      </c>
      <c r="E42" s="1219">
        <v>300</v>
      </c>
      <c r="F42" s="1219" t="s">
        <v>12155</v>
      </c>
      <c r="G42" s="1220" t="s">
        <v>12156</v>
      </c>
      <c r="H42" s="1221"/>
      <c r="I42" s="1222"/>
      <c r="J42" s="1222"/>
      <c r="K42" s="1222"/>
      <c r="L42" s="1223"/>
      <c r="M42" s="1224"/>
      <c r="N42" s="1221"/>
      <c r="O42" s="1219"/>
      <c r="P42" s="1223"/>
      <c r="Q42" s="1221"/>
      <c r="R42" s="1220"/>
      <c r="S42" s="1220"/>
      <c r="T42" s="1223"/>
      <c r="U42" s="1225"/>
      <c r="V42" s="1220"/>
      <c r="W42" s="1220"/>
      <c r="X42" s="1223"/>
      <c r="Y42" s="1225"/>
      <c r="Z42" s="1223"/>
      <c r="AA42" s="1230"/>
      <c r="AB42" s="1194"/>
      <c r="AC42" s="1227"/>
      <c r="AD42" s="1222"/>
      <c r="AE42" s="1222"/>
      <c r="AF42" s="1222"/>
      <c r="AG42" s="1220"/>
      <c r="AH42" s="1224"/>
      <c r="AI42" s="1221"/>
      <c r="AJ42" s="1219"/>
      <c r="AK42" s="1223"/>
      <c r="AL42" s="1221"/>
      <c r="AM42" s="1219"/>
      <c r="AN42" s="1219"/>
      <c r="AO42" s="1223"/>
      <c r="AP42" s="1221"/>
      <c r="AQ42" s="1219"/>
      <c r="AR42" s="1219"/>
      <c r="AS42" s="1223"/>
      <c r="AT42" s="1221"/>
      <c r="AU42" s="1219"/>
      <c r="AV42" s="1219"/>
      <c r="AW42" s="1223"/>
      <c r="AX42" s="1221">
        <f>E42</f>
        <v>300</v>
      </c>
      <c r="AY42" s="1223"/>
      <c r="AZ42" s="1233"/>
      <c r="BA42" s="1237"/>
    </row>
    <row r="43" ht="15" customHeight="1" spans="1:53">
      <c r="A43" s="1216">
        <v>45428</v>
      </c>
      <c r="B43" s="1217">
        <v>1000020333</v>
      </c>
      <c r="C43" s="1217">
        <v>92107</v>
      </c>
      <c r="D43" s="1217" t="s">
        <v>12154</v>
      </c>
      <c r="E43" s="1219">
        <v>100000</v>
      </c>
      <c r="F43" s="1219" t="s">
        <v>12155</v>
      </c>
      <c r="G43" s="1220" t="s">
        <v>12156</v>
      </c>
      <c r="H43" s="1221">
        <f>E43</f>
        <v>100000</v>
      </c>
      <c r="I43" s="1222"/>
      <c r="J43" s="1222"/>
      <c r="K43" s="1222"/>
      <c r="L43" s="1223"/>
      <c r="M43" s="1224">
        <f>H43</f>
        <v>100000</v>
      </c>
      <c r="N43" s="1221"/>
      <c r="O43" s="1219"/>
      <c r="P43" s="1223"/>
      <c r="Q43" s="1221"/>
      <c r="R43" s="1220"/>
      <c r="S43" s="1220"/>
      <c r="T43" s="1223"/>
      <c r="U43" s="1225"/>
      <c r="V43" s="1220"/>
      <c r="W43" s="1220"/>
      <c r="X43" s="1223"/>
      <c r="Y43" s="1225"/>
      <c r="Z43" s="1223"/>
      <c r="AA43" s="1230"/>
      <c r="AB43" s="1194"/>
      <c r="AC43" s="1227"/>
      <c r="AD43" s="1222"/>
      <c r="AE43" s="1222"/>
      <c r="AF43" s="1222"/>
      <c r="AG43" s="1220"/>
      <c r="AH43" s="1224"/>
      <c r="AI43" s="1221"/>
      <c r="AJ43" s="1219"/>
      <c r="AK43" s="1223"/>
      <c r="AL43" s="1221"/>
      <c r="AM43" s="1219"/>
      <c r="AN43" s="1219"/>
      <c r="AO43" s="1223"/>
      <c r="AP43" s="1221"/>
      <c r="AQ43" s="1219"/>
      <c r="AR43" s="1219"/>
      <c r="AS43" s="1223"/>
      <c r="AT43" s="1221"/>
      <c r="AU43" s="1219"/>
      <c r="AV43" s="1219"/>
      <c r="AW43" s="1223"/>
      <c r="AX43" s="1221"/>
      <c r="AY43" s="1223"/>
      <c r="AZ43" s="1233"/>
      <c r="BA43" s="1237"/>
    </row>
    <row r="44" ht="15" customHeight="1" spans="1:53">
      <c r="A44" s="1216">
        <v>45428</v>
      </c>
      <c r="B44" s="1217">
        <v>1000020334</v>
      </c>
      <c r="C44" s="1217">
        <v>92108</v>
      </c>
      <c r="D44" s="1217" t="s">
        <v>12154</v>
      </c>
      <c r="E44" s="1219">
        <v>50000</v>
      </c>
      <c r="F44" s="1219" t="s">
        <v>12155</v>
      </c>
      <c r="G44" s="1220" t="s">
        <v>12156</v>
      </c>
      <c r="H44" s="1221"/>
      <c r="I44" s="1222"/>
      <c r="J44" s="1222"/>
      <c r="K44" s="1222"/>
      <c r="L44" s="1223"/>
      <c r="M44" s="1224"/>
      <c r="N44" s="1221"/>
      <c r="O44" s="1219"/>
      <c r="P44" s="1223"/>
      <c r="Q44" s="1221"/>
      <c r="R44" s="1220"/>
      <c r="S44" s="1220"/>
      <c r="T44" s="1223"/>
      <c r="U44" s="1225"/>
      <c r="V44" s="1220"/>
      <c r="W44" s="1220"/>
      <c r="X44" s="1223"/>
      <c r="Y44" s="1225"/>
      <c r="Z44" s="1223"/>
      <c r="AA44" s="1230"/>
      <c r="AB44" s="1194"/>
      <c r="AC44" s="1227">
        <f>E44</f>
        <v>50000</v>
      </c>
      <c r="AD44" s="1222"/>
      <c r="AE44" s="1222"/>
      <c r="AF44" s="1222"/>
      <c r="AG44" s="1220"/>
      <c r="AH44" s="1224"/>
      <c r="AI44" s="1221"/>
      <c r="AJ44" s="1219"/>
      <c r="AK44" s="1223"/>
      <c r="AL44" s="1221"/>
      <c r="AM44" s="1219"/>
      <c r="AN44" s="1219"/>
      <c r="AO44" s="1223"/>
      <c r="AP44" s="1221"/>
      <c r="AQ44" s="1219"/>
      <c r="AR44" s="1219"/>
      <c r="AS44" s="1223"/>
      <c r="AT44" s="1221"/>
      <c r="AU44" s="1219"/>
      <c r="AV44" s="1219"/>
      <c r="AW44" s="1223"/>
      <c r="AX44" s="1221"/>
      <c r="AY44" s="1223"/>
      <c r="AZ44" s="1233"/>
      <c r="BA44" s="1237"/>
    </row>
    <row r="45" ht="15" customHeight="1" spans="1:53">
      <c r="A45" s="1216">
        <v>45428</v>
      </c>
      <c r="B45" s="1217">
        <v>1000020335</v>
      </c>
      <c r="C45" s="1217">
        <v>92108</v>
      </c>
      <c r="D45" s="1217" t="s">
        <v>12154</v>
      </c>
      <c r="E45" s="1219">
        <v>30000</v>
      </c>
      <c r="F45" s="1219" t="s">
        <v>12170</v>
      </c>
      <c r="G45" s="1220" t="s">
        <v>12156</v>
      </c>
      <c r="H45" s="1221"/>
      <c r="I45" s="1222"/>
      <c r="J45" s="1222"/>
      <c r="K45" s="1222"/>
      <c r="L45" s="1223"/>
      <c r="M45" s="1224"/>
      <c r="N45" s="1221"/>
      <c r="O45" s="1219"/>
      <c r="P45" s="1223"/>
      <c r="Q45" s="1221"/>
      <c r="R45" s="1220"/>
      <c r="S45" s="1220"/>
      <c r="T45" s="1223"/>
      <c r="U45" s="1225"/>
      <c r="V45" s="1220"/>
      <c r="W45" s="1220"/>
      <c r="X45" s="1223"/>
      <c r="Y45" s="1225"/>
      <c r="Z45" s="1223"/>
      <c r="AA45" s="1230"/>
      <c r="AB45" s="1194"/>
      <c r="AC45" s="1227"/>
      <c r="AD45" s="1222"/>
      <c r="AE45" s="1222">
        <f>E45</f>
        <v>30000</v>
      </c>
      <c r="AF45" s="1222"/>
      <c r="AG45" s="1220"/>
      <c r="AH45" s="1224"/>
      <c r="AI45" s="1221"/>
      <c r="AJ45" s="1219"/>
      <c r="AK45" s="1223"/>
      <c r="AL45" s="1221"/>
      <c r="AM45" s="1219"/>
      <c r="AN45" s="1219"/>
      <c r="AO45" s="1223"/>
      <c r="AP45" s="1221"/>
      <c r="AQ45" s="1219"/>
      <c r="AR45" s="1219"/>
      <c r="AS45" s="1223"/>
      <c r="AT45" s="1221"/>
      <c r="AU45" s="1219"/>
      <c r="AV45" s="1219"/>
      <c r="AW45" s="1223"/>
      <c r="AX45" s="1221"/>
      <c r="AY45" s="1223"/>
      <c r="AZ45" s="1233"/>
      <c r="BA45" s="1237"/>
    </row>
    <row r="46" ht="15" customHeight="1" spans="1:53">
      <c r="A46" s="1216">
        <v>45428</v>
      </c>
      <c r="B46" s="1217">
        <v>1000020336</v>
      </c>
      <c r="C46" s="1217">
        <v>92108</v>
      </c>
      <c r="D46" s="1217" t="s">
        <v>12158</v>
      </c>
      <c r="E46" s="1219">
        <v>100000</v>
      </c>
      <c r="F46" s="1219" t="s">
        <v>12155</v>
      </c>
      <c r="G46" s="1220" t="s">
        <v>12156</v>
      </c>
      <c r="H46" s="1221"/>
      <c r="I46" s="1222"/>
      <c r="J46" s="1222"/>
      <c r="K46" s="1222"/>
      <c r="L46" s="1223"/>
      <c r="M46" s="1224"/>
      <c r="N46" s="1221"/>
      <c r="O46" s="1219"/>
      <c r="P46" s="1223"/>
      <c r="Q46" s="1221"/>
      <c r="R46" s="1220"/>
      <c r="S46" s="1220"/>
      <c r="T46" s="1223"/>
      <c r="U46" s="1225"/>
      <c r="V46" s="1220"/>
      <c r="W46" s="1220"/>
      <c r="X46" s="1223"/>
      <c r="Y46" s="1225"/>
      <c r="Z46" s="1223"/>
      <c r="AA46" s="1230"/>
      <c r="AB46" s="1194"/>
      <c r="AC46" s="1227"/>
      <c r="AD46" s="1222"/>
      <c r="AE46" s="1222"/>
      <c r="AF46" s="1222"/>
      <c r="AG46" s="1220"/>
      <c r="AH46" s="1224">
        <f>E46</f>
        <v>100000</v>
      </c>
      <c r="AI46" s="1221"/>
      <c r="AJ46" s="1219"/>
      <c r="AK46" s="1223"/>
      <c r="AL46" s="1221"/>
      <c r="AM46" s="1219"/>
      <c r="AN46" s="1219"/>
      <c r="AO46" s="1223"/>
      <c r="AP46" s="1221"/>
      <c r="AQ46" s="1219"/>
      <c r="AR46" s="1219"/>
      <c r="AS46" s="1223"/>
      <c r="AT46" s="1221"/>
      <c r="AU46" s="1219"/>
      <c r="AV46" s="1219"/>
      <c r="AW46" s="1223"/>
      <c r="AX46" s="1221"/>
      <c r="AY46" s="1223"/>
      <c r="AZ46" s="1233"/>
      <c r="BA46" s="1237"/>
    </row>
    <row r="47" ht="15" customHeight="1" spans="1:53">
      <c r="A47" s="1216">
        <v>45428</v>
      </c>
      <c r="B47" s="1217">
        <v>1000020337</v>
      </c>
      <c r="C47" s="1217">
        <v>92108</v>
      </c>
      <c r="D47" s="1217" t="s">
        <v>12168</v>
      </c>
      <c r="E47" s="1219">
        <v>51000</v>
      </c>
      <c r="F47" s="1219" t="s">
        <v>12162</v>
      </c>
      <c r="G47" s="1220" t="s">
        <v>12156</v>
      </c>
      <c r="H47" s="1221"/>
      <c r="I47" s="1222"/>
      <c r="J47" s="1222"/>
      <c r="K47" s="1222"/>
      <c r="L47" s="1223"/>
      <c r="M47" s="1224"/>
      <c r="N47" s="1221"/>
      <c r="O47" s="1219"/>
      <c r="P47" s="1223"/>
      <c r="Q47" s="1221"/>
      <c r="R47" s="1220"/>
      <c r="S47" s="1220"/>
      <c r="T47" s="1223"/>
      <c r="U47" s="1225"/>
      <c r="V47" s="1220"/>
      <c r="W47" s="1220"/>
      <c r="X47" s="1223"/>
      <c r="Y47" s="1225"/>
      <c r="Z47" s="1223"/>
      <c r="AA47" s="1230"/>
      <c r="AB47" s="1194"/>
      <c r="AC47" s="1227"/>
      <c r="AD47" s="1222"/>
      <c r="AE47" s="1222"/>
      <c r="AF47" s="1222"/>
      <c r="AG47" s="1220"/>
      <c r="AH47" s="1224"/>
      <c r="AI47" s="1221"/>
      <c r="AJ47" s="1219"/>
      <c r="AK47" s="1223"/>
      <c r="AL47" s="1221"/>
      <c r="AM47" s="1219"/>
      <c r="AN47" s="1219">
        <f>E47</f>
        <v>51000</v>
      </c>
      <c r="AO47" s="1223"/>
      <c r="AP47" s="1221"/>
      <c r="AQ47" s="1219"/>
      <c r="AR47" s="1219"/>
      <c r="AS47" s="1223"/>
      <c r="AT47" s="1221"/>
      <c r="AU47" s="1219"/>
      <c r="AV47" s="1219"/>
      <c r="AW47" s="1223"/>
      <c r="AX47" s="1221"/>
      <c r="AY47" s="1223"/>
      <c r="AZ47" s="1233"/>
      <c r="BA47" s="1237"/>
    </row>
    <row r="48" ht="15" customHeight="1" spans="1:53">
      <c r="A48" s="1216">
        <v>45428</v>
      </c>
      <c r="B48" s="1217">
        <v>1000020328</v>
      </c>
      <c r="C48" s="1217">
        <v>92107</v>
      </c>
      <c r="D48" s="1217" t="s">
        <v>12158</v>
      </c>
      <c r="E48" s="1219">
        <v>100000</v>
      </c>
      <c r="F48" s="1219" t="s">
        <v>12155</v>
      </c>
      <c r="G48" s="1220" t="s">
        <v>12156</v>
      </c>
      <c r="H48" s="1221"/>
      <c r="I48" s="1222"/>
      <c r="J48" s="1222"/>
      <c r="K48" s="1222"/>
      <c r="L48" s="1223"/>
      <c r="M48" s="1229">
        <f>E48</f>
        <v>100000</v>
      </c>
      <c r="N48" s="1221"/>
      <c r="O48" s="1219"/>
      <c r="P48" s="1223"/>
      <c r="Q48" s="1221"/>
      <c r="R48" s="1220"/>
      <c r="S48" s="1220"/>
      <c r="T48" s="1223"/>
      <c r="U48" s="1225"/>
      <c r="V48" s="1220"/>
      <c r="W48" s="1220"/>
      <c r="X48" s="1223"/>
      <c r="Y48" s="1225"/>
      <c r="Z48" s="1223"/>
      <c r="AA48" s="1230"/>
      <c r="AB48" s="1194"/>
      <c r="AC48" s="1227"/>
      <c r="AD48" s="1222"/>
      <c r="AE48" s="1222"/>
      <c r="AF48" s="1222"/>
      <c r="AG48" s="1220"/>
      <c r="AH48" s="1224"/>
      <c r="AI48" s="1221"/>
      <c r="AJ48" s="1219"/>
      <c r="AK48" s="1223"/>
      <c r="AL48" s="1221"/>
      <c r="AM48" s="1219"/>
      <c r="AN48" s="1219"/>
      <c r="AO48" s="1223"/>
      <c r="AP48" s="1221"/>
      <c r="AQ48" s="1219"/>
      <c r="AR48" s="1219"/>
      <c r="AS48" s="1223"/>
      <c r="AT48" s="1221"/>
      <c r="AU48" s="1219"/>
      <c r="AV48" s="1219"/>
      <c r="AW48" s="1223"/>
      <c r="AX48" s="1221"/>
      <c r="AY48" s="1223"/>
      <c r="AZ48" s="1233"/>
      <c r="BA48" s="1237"/>
    </row>
    <row r="49" ht="15" customHeight="1" spans="1:54">
      <c r="A49" s="1216">
        <v>45428</v>
      </c>
      <c r="B49" s="1217">
        <v>1000020329</v>
      </c>
      <c r="C49" s="1217">
        <v>92107</v>
      </c>
      <c r="D49" s="1217" t="s">
        <v>12161</v>
      </c>
      <c r="E49" s="1219">
        <v>50000</v>
      </c>
      <c r="F49" s="1219" t="s">
        <v>12162</v>
      </c>
      <c r="G49" s="1220" t="s">
        <v>12156</v>
      </c>
      <c r="H49" s="1221"/>
      <c r="I49" s="1222"/>
      <c r="J49" s="1222"/>
      <c r="K49" s="1222"/>
      <c r="L49" s="1223"/>
      <c r="M49" s="1224"/>
      <c r="N49" s="1221"/>
      <c r="O49" s="1219"/>
      <c r="P49" s="1223"/>
      <c r="Q49" s="1221">
        <f>E49</f>
        <v>50000</v>
      </c>
      <c r="R49" s="1220"/>
      <c r="S49" s="1220"/>
      <c r="T49" s="1223"/>
      <c r="U49" s="1225"/>
      <c r="V49" s="1220"/>
      <c r="W49" s="1220"/>
      <c r="X49" s="1223"/>
      <c r="Y49" s="1225"/>
      <c r="Z49" s="1223"/>
      <c r="AA49" s="1230"/>
      <c r="AB49" s="1194"/>
      <c r="AC49" s="1227"/>
      <c r="AD49" s="1222"/>
      <c r="AE49" s="1222"/>
      <c r="AF49" s="1222"/>
      <c r="AG49" s="1220"/>
      <c r="AH49" s="1224"/>
      <c r="AI49" s="1221"/>
      <c r="AJ49" s="1219"/>
      <c r="AK49" s="1223"/>
      <c r="AL49" s="1221"/>
      <c r="AM49" s="1219"/>
      <c r="AN49" s="1219"/>
      <c r="AO49" s="1223"/>
      <c r="AP49" s="1221"/>
      <c r="AQ49" s="1219"/>
      <c r="AR49" s="1219"/>
      <c r="AS49" s="1223"/>
      <c r="AT49" s="1221"/>
      <c r="AU49" s="1219"/>
      <c r="AV49" s="1219"/>
      <c r="AW49" s="1223"/>
      <c r="AX49" s="1221"/>
      <c r="AY49" s="1223"/>
      <c r="AZ49" s="1233"/>
      <c r="BA49" s="1237"/>
    </row>
    <row r="50" ht="15" customHeight="1" spans="1:54">
      <c r="A50" s="1216">
        <v>45428</v>
      </c>
      <c r="B50" s="1217">
        <v>1000020330</v>
      </c>
      <c r="C50" s="1217">
        <v>92107</v>
      </c>
      <c r="D50" s="1217" t="s">
        <v>12163</v>
      </c>
      <c r="E50" s="1219">
        <v>50000</v>
      </c>
      <c r="F50" s="1219" t="s">
        <v>12162</v>
      </c>
      <c r="G50" s="1220" t="s">
        <v>12156</v>
      </c>
      <c r="H50" s="1221"/>
      <c r="I50" s="1222"/>
      <c r="J50" s="1222"/>
      <c r="K50" s="1222"/>
      <c r="L50" s="1223"/>
      <c r="M50" s="1224"/>
      <c r="N50" s="1221"/>
      <c r="O50" s="1219"/>
      <c r="P50" s="1223"/>
      <c r="Q50" s="1221"/>
      <c r="R50" s="1220">
        <f>E50</f>
        <v>50000</v>
      </c>
      <c r="S50" s="1220"/>
      <c r="T50" s="1223"/>
      <c r="U50" s="1225"/>
      <c r="V50" s="1220"/>
      <c r="W50" s="1220"/>
      <c r="X50" s="1223"/>
      <c r="Y50" s="1225"/>
      <c r="Z50" s="1223"/>
      <c r="AA50" s="1230"/>
      <c r="AB50" s="1194"/>
      <c r="AC50" s="1227"/>
      <c r="AD50" s="1222"/>
      <c r="AE50" s="1222"/>
      <c r="AF50" s="1222"/>
      <c r="AG50" s="1220"/>
      <c r="AH50" s="1224"/>
      <c r="AI50" s="1221"/>
      <c r="AJ50" s="1219"/>
      <c r="AK50" s="1223"/>
      <c r="AL50" s="1221"/>
      <c r="AM50" s="1219"/>
      <c r="AN50" s="1219"/>
      <c r="AO50" s="1223"/>
      <c r="AP50" s="1221"/>
      <c r="AQ50" s="1219"/>
      <c r="AR50" s="1219"/>
      <c r="AS50" s="1223"/>
      <c r="AT50" s="1221"/>
      <c r="AU50" s="1219"/>
      <c r="AV50" s="1219"/>
      <c r="AW50" s="1223"/>
      <c r="AX50" s="1221"/>
      <c r="AY50" s="1223"/>
      <c r="AZ50" s="1233"/>
      <c r="BA50" s="1237"/>
    </row>
    <row r="51" ht="15" customHeight="1" spans="1:54">
      <c r="A51" s="1216">
        <v>45428</v>
      </c>
      <c r="B51" s="1217">
        <v>1000020331</v>
      </c>
      <c r="C51" s="1217">
        <v>92107</v>
      </c>
      <c r="D51" s="1217" t="s">
        <v>12164</v>
      </c>
      <c r="E51" s="1219">
        <v>50000</v>
      </c>
      <c r="F51" s="1219" t="s">
        <v>12162</v>
      </c>
      <c r="G51" s="1220" t="s">
        <v>12156</v>
      </c>
      <c r="H51" s="1221"/>
      <c r="I51" s="1222"/>
      <c r="J51" s="1222"/>
      <c r="K51" s="1222"/>
      <c r="L51" s="1223"/>
      <c r="M51" s="1224"/>
      <c r="N51" s="1221"/>
      <c r="O51" s="1219"/>
      <c r="P51" s="1223"/>
      <c r="Q51" s="1221"/>
      <c r="R51" s="1220"/>
      <c r="S51" s="1220">
        <f>E51</f>
        <v>50000</v>
      </c>
      <c r="T51" s="1223"/>
      <c r="U51" s="1225"/>
      <c r="V51" s="1220"/>
      <c r="W51" s="1220"/>
      <c r="X51" s="1223"/>
      <c r="Y51" s="1225"/>
      <c r="Z51" s="1223"/>
      <c r="AA51" s="1230"/>
      <c r="AB51" s="1194"/>
      <c r="AC51" s="1227"/>
      <c r="AD51" s="1222"/>
      <c r="AE51" s="1222"/>
      <c r="AF51" s="1222"/>
      <c r="AG51" s="1220"/>
      <c r="AH51" s="1224"/>
      <c r="AI51" s="1221"/>
      <c r="AJ51" s="1219"/>
      <c r="AK51" s="1223"/>
      <c r="AL51" s="1221"/>
      <c r="AM51" s="1219"/>
      <c r="AN51" s="1219"/>
      <c r="AO51" s="1223"/>
      <c r="AP51" s="1221"/>
      <c r="AQ51" s="1219"/>
      <c r="AR51" s="1219"/>
      <c r="AS51" s="1223"/>
      <c r="AT51" s="1221"/>
      <c r="AU51" s="1219"/>
      <c r="AV51" s="1219"/>
      <c r="AW51" s="1223"/>
      <c r="AX51" s="1221"/>
      <c r="AY51" s="1223"/>
      <c r="AZ51" s="1233"/>
      <c r="BA51" s="1237"/>
    </row>
    <row r="52" ht="14" customHeight="1" spans="1:54">
      <c r="A52" s="1216">
        <v>45428</v>
      </c>
      <c r="B52" s="1217">
        <v>1000020332</v>
      </c>
      <c r="C52" s="1217">
        <v>92107</v>
      </c>
      <c r="D52" s="1217" t="s">
        <v>12165</v>
      </c>
      <c r="E52" s="1219">
        <v>50000</v>
      </c>
      <c r="F52" s="1219" t="s">
        <v>12162</v>
      </c>
      <c r="G52" s="1220" t="s">
        <v>12156</v>
      </c>
      <c r="H52" s="1221"/>
      <c r="I52" s="1222"/>
      <c r="J52" s="1222"/>
      <c r="K52" s="1222"/>
      <c r="L52" s="1223"/>
      <c r="M52" s="1224"/>
      <c r="N52" s="1221"/>
      <c r="O52" s="1219"/>
      <c r="P52" s="1223"/>
      <c r="Q52" s="1221"/>
      <c r="R52" s="1220"/>
      <c r="S52" s="1220"/>
      <c r="T52" s="1223">
        <f>E52</f>
        <v>50000</v>
      </c>
      <c r="U52" s="1225"/>
      <c r="V52" s="1220"/>
      <c r="W52" s="1220"/>
      <c r="X52" s="1223"/>
      <c r="Y52" s="1225"/>
      <c r="Z52" s="1223"/>
      <c r="AA52" s="1230"/>
      <c r="AB52" s="1194"/>
      <c r="AC52" s="1227"/>
      <c r="AD52" s="1222"/>
      <c r="AE52" s="1222"/>
      <c r="AF52" s="1222"/>
      <c r="AG52" s="1220"/>
      <c r="AH52" s="1224"/>
      <c r="AI52" s="1221"/>
      <c r="AJ52" s="1219"/>
      <c r="AK52" s="1223"/>
      <c r="AL52" s="1221"/>
      <c r="AM52" s="1219"/>
      <c r="AN52" s="1219"/>
      <c r="AO52" s="1223"/>
      <c r="AP52" s="1221"/>
      <c r="AQ52" s="1219"/>
      <c r="AR52" s="1219"/>
      <c r="AS52" s="1223"/>
      <c r="AT52" s="1221"/>
      <c r="AU52" s="1219"/>
      <c r="AV52" s="1219"/>
      <c r="AW52" s="1223"/>
      <c r="AX52" s="1221"/>
      <c r="AY52" s="1223"/>
      <c r="AZ52" s="1233"/>
      <c r="BA52" s="1237"/>
    </row>
    <row r="53" ht="14" customHeight="1" spans="1:54">
      <c r="A53" s="1216">
        <v>45436</v>
      </c>
      <c r="B53" s="1217"/>
      <c r="C53" s="1217">
        <v>92107</v>
      </c>
      <c r="D53" s="1217"/>
      <c r="E53" s="1219">
        <v>8000</v>
      </c>
      <c r="F53" s="1219"/>
      <c r="G53" s="1220"/>
      <c r="H53" s="1221"/>
      <c r="I53" s="1222"/>
      <c r="J53" s="1222"/>
      <c r="K53" s="1222"/>
      <c r="L53" s="1223">
        <f>E53</f>
        <v>8000</v>
      </c>
      <c r="M53" s="1224">
        <f>L53</f>
        <v>8000</v>
      </c>
      <c r="N53" s="1221"/>
      <c r="O53" s="1219"/>
      <c r="P53" s="1223"/>
      <c r="Q53" s="1221"/>
      <c r="R53" s="1220"/>
      <c r="S53" s="1220"/>
      <c r="T53" s="1223"/>
      <c r="U53" s="1225"/>
      <c r="V53" s="1220"/>
      <c r="W53" s="1220"/>
      <c r="X53" s="1223"/>
      <c r="Y53" s="1225"/>
      <c r="Z53" s="1223"/>
      <c r="AA53" s="1238">
        <v>4500134696</v>
      </c>
      <c r="AB53" s="1194"/>
      <c r="AC53" s="1227"/>
      <c r="AD53" s="1222"/>
      <c r="AE53" s="1222"/>
      <c r="AF53" s="1222"/>
      <c r="AG53" s="1220"/>
      <c r="AH53" s="1224"/>
      <c r="AI53" s="1221"/>
      <c r="AJ53" s="1219"/>
      <c r="AK53" s="1223"/>
      <c r="AL53" s="1221"/>
      <c r="AM53" s="1219"/>
      <c r="AN53" s="1219"/>
      <c r="AO53" s="1223"/>
      <c r="AP53" s="1221"/>
      <c r="AQ53" s="1219"/>
      <c r="AR53" s="1219"/>
      <c r="AS53" s="1223"/>
      <c r="AT53" s="1221"/>
      <c r="AU53" s="1219"/>
      <c r="AV53" s="1219"/>
      <c r="AW53" s="1223"/>
      <c r="AX53" s="1221"/>
      <c r="AY53" s="1223"/>
      <c r="AZ53" s="1233"/>
      <c r="BA53" s="1237"/>
      <c r="BB53" s="1239"/>
    </row>
    <row r="54" ht="15" customHeight="1" spans="1:54">
      <c r="A54" s="1216">
        <v>45463</v>
      </c>
      <c r="B54" s="1217">
        <v>1000021226</v>
      </c>
      <c r="C54" s="1217">
        <v>92107</v>
      </c>
      <c r="D54" s="1217" t="s">
        <v>12154</v>
      </c>
      <c r="E54" s="1219">
        <v>30000</v>
      </c>
      <c r="F54" s="1219" t="s">
        <v>12170</v>
      </c>
      <c r="G54" s="1220" t="s">
        <v>12156</v>
      </c>
      <c r="H54" s="1221"/>
      <c r="I54" s="1222"/>
      <c r="J54" s="1222">
        <f>E54</f>
        <v>30000</v>
      </c>
      <c r="K54" s="1222"/>
      <c r="L54" s="1223"/>
      <c r="M54" s="1224">
        <f>J54</f>
        <v>30000</v>
      </c>
      <c r="N54" s="1221"/>
      <c r="O54" s="1219"/>
      <c r="P54" s="1223"/>
      <c r="Q54" s="1221"/>
      <c r="R54" s="1220"/>
      <c r="S54" s="1220"/>
      <c r="T54" s="1223"/>
      <c r="U54" s="1225"/>
      <c r="V54" s="1220"/>
      <c r="W54" s="1220"/>
      <c r="X54" s="1223"/>
      <c r="Y54" s="1225"/>
      <c r="Z54" s="1223"/>
      <c r="AA54" s="1230"/>
      <c r="AB54" s="1194"/>
      <c r="AC54" s="1227"/>
      <c r="AD54" s="1222"/>
      <c r="AE54" s="1222"/>
      <c r="AF54" s="1222"/>
      <c r="AG54" s="1220"/>
      <c r="AH54" s="1224"/>
      <c r="AI54" s="1221"/>
      <c r="AJ54" s="1219"/>
      <c r="AK54" s="1223"/>
      <c r="AL54" s="1221"/>
      <c r="AM54" s="1219"/>
      <c r="AN54" s="1219"/>
      <c r="AO54" s="1223"/>
      <c r="AP54" s="1221"/>
      <c r="AQ54" s="1219"/>
      <c r="AR54" s="1219"/>
      <c r="AS54" s="1223"/>
      <c r="AT54" s="1221"/>
      <c r="AU54" s="1219"/>
      <c r="AV54" s="1219"/>
      <c r="AW54" s="1223"/>
      <c r="AX54" s="1221"/>
      <c r="AY54" s="1223"/>
      <c r="AZ54" s="1233"/>
      <c r="BA54" s="1237"/>
    </row>
    <row r="55" ht="15" customHeight="1" spans="1:54">
      <c r="A55" s="1216">
        <v>45463</v>
      </c>
      <c r="B55" s="1217">
        <v>1000021227</v>
      </c>
      <c r="C55" s="1217">
        <v>92107</v>
      </c>
      <c r="D55" s="1217" t="s">
        <v>12159</v>
      </c>
      <c r="E55" s="1219">
        <v>100000</v>
      </c>
      <c r="F55" s="1219" t="s">
        <v>12173</v>
      </c>
      <c r="G55" s="1220" t="s">
        <v>12156</v>
      </c>
      <c r="H55" s="1221"/>
      <c r="I55" s="1222"/>
      <c r="J55" s="1222"/>
      <c r="K55" s="1222"/>
      <c r="L55" s="1223"/>
      <c r="M55" s="1224"/>
      <c r="N55" s="1221">
        <f>E55</f>
        <v>100000</v>
      </c>
      <c r="O55" s="1219"/>
      <c r="P55" s="1223"/>
      <c r="Q55" s="1221"/>
      <c r="R55" s="1220"/>
      <c r="S55" s="1220"/>
      <c r="T55" s="1223"/>
      <c r="U55" s="1225"/>
      <c r="V55" s="1220"/>
      <c r="W55" s="1220"/>
      <c r="X55" s="1223"/>
      <c r="Y55" s="1225"/>
      <c r="Z55" s="1223"/>
      <c r="AA55" s="1230"/>
      <c r="AB55" s="1194"/>
      <c r="AC55" s="1227"/>
      <c r="AD55" s="1222"/>
      <c r="AE55" s="1222"/>
      <c r="AF55" s="1222"/>
      <c r="AG55" s="1220"/>
      <c r="AH55" s="1224"/>
      <c r="AI55" s="1221"/>
      <c r="AJ55" s="1219"/>
      <c r="AK55" s="1223"/>
      <c r="AL55" s="1221"/>
      <c r="AM55" s="1219"/>
      <c r="AN55" s="1219"/>
      <c r="AO55" s="1223"/>
      <c r="AP55" s="1221"/>
      <c r="AQ55" s="1219"/>
      <c r="AR55" s="1219"/>
      <c r="AS55" s="1223"/>
      <c r="AT55" s="1221"/>
      <c r="AU55" s="1219"/>
      <c r="AV55" s="1219"/>
      <c r="AW55" s="1223"/>
      <c r="AX55" s="1221"/>
      <c r="AY55" s="1223"/>
      <c r="AZ55" s="1233"/>
      <c r="BA55" s="1237"/>
    </row>
    <row r="56" ht="15" customHeight="1" spans="1:54">
      <c r="A56" s="1216">
        <v>45463</v>
      </c>
      <c r="B56" s="1217">
        <v>1000021228</v>
      </c>
      <c r="C56" s="1217">
        <v>92108</v>
      </c>
      <c r="D56" s="1217" t="s">
        <v>12154</v>
      </c>
      <c r="E56" s="1219">
        <v>30000</v>
      </c>
      <c r="F56" s="1219" t="s">
        <v>12155</v>
      </c>
      <c r="G56" s="1220" t="s">
        <v>12156</v>
      </c>
      <c r="H56" s="1221"/>
      <c r="I56" s="1222"/>
      <c r="J56" s="1222"/>
      <c r="K56" s="1222"/>
      <c r="L56" s="1223"/>
      <c r="M56" s="1224"/>
      <c r="N56" s="1221"/>
      <c r="O56" s="1219"/>
      <c r="P56" s="1223"/>
      <c r="Q56" s="1221"/>
      <c r="R56" s="1220"/>
      <c r="S56" s="1220"/>
      <c r="T56" s="1223"/>
      <c r="U56" s="1225"/>
      <c r="V56" s="1220"/>
      <c r="W56" s="1220"/>
      <c r="X56" s="1223"/>
      <c r="Y56" s="1225"/>
      <c r="Z56" s="1223"/>
      <c r="AA56" s="1230"/>
      <c r="AB56" s="1194"/>
      <c r="AC56" s="1227">
        <f>E56</f>
        <v>30000</v>
      </c>
      <c r="AD56" s="1222"/>
      <c r="AE56" s="1222"/>
      <c r="AF56" s="1222"/>
      <c r="AG56" s="1220"/>
      <c r="AH56" s="1224"/>
      <c r="AI56" s="1221"/>
      <c r="AJ56" s="1219"/>
      <c r="AK56" s="1223"/>
      <c r="AL56" s="1221"/>
      <c r="AM56" s="1219"/>
      <c r="AN56" s="1219"/>
      <c r="AO56" s="1223"/>
      <c r="AP56" s="1221"/>
      <c r="AQ56" s="1219"/>
      <c r="AR56" s="1219"/>
      <c r="AS56" s="1223"/>
      <c r="AT56" s="1221"/>
      <c r="AU56" s="1219"/>
      <c r="AV56" s="1219"/>
      <c r="AW56" s="1223"/>
      <c r="AX56" s="1221"/>
      <c r="AY56" s="1223"/>
      <c r="AZ56" s="1233"/>
      <c r="BA56" s="1237"/>
    </row>
    <row r="57" ht="15" customHeight="1" spans="1:54">
      <c r="A57" s="1216">
        <v>45463</v>
      </c>
      <c r="B57" s="1217">
        <v>1000021229</v>
      </c>
      <c r="C57" s="1217">
        <v>92108</v>
      </c>
      <c r="D57" s="1217" t="s">
        <v>12159</v>
      </c>
      <c r="E57" s="1219">
        <v>100000</v>
      </c>
      <c r="F57" s="1219" t="s">
        <v>12160</v>
      </c>
      <c r="G57" s="1220" t="s">
        <v>12156</v>
      </c>
      <c r="H57" s="1221"/>
      <c r="I57" s="1222"/>
      <c r="J57" s="1222"/>
      <c r="K57" s="1222"/>
      <c r="L57" s="1223"/>
      <c r="M57" s="1224"/>
      <c r="N57" s="1221"/>
      <c r="O57" s="1219"/>
      <c r="P57" s="1223"/>
      <c r="Q57" s="1221"/>
      <c r="R57" s="1220"/>
      <c r="S57" s="1220"/>
      <c r="T57" s="1223"/>
      <c r="U57" s="1225"/>
      <c r="V57" s="1220"/>
      <c r="W57" s="1220"/>
      <c r="X57" s="1223"/>
      <c r="Y57" s="1225"/>
      <c r="Z57" s="1223"/>
      <c r="AA57" s="1230"/>
      <c r="AB57" s="1194"/>
      <c r="AC57" s="1227"/>
      <c r="AD57" s="1222"/>
      <c r="AE57" s="1222"/>
      <c r="AF57" s="1222"/>
      <c r="AG57" s="1220"/>
      <c r="AH57" s="1224"/>
      <c r="AI57" s="1221">
        <f>E57</f>
        <v>100000</v>
      </c>
      <c r="AJ57" s="1219"/>
      <c r="AK57" s="1223"/>
      <c r="AL57" s="1221"/>
      <c r="AM57" s="1219"/>
      <c r="AN57" s="1219"/>
      <c r="AO57" s="1223"/>
      <c r="AP57" s="1221"/>
      <c r="AQ57" s="1219"/>
      <c r="AR57" s="1219"/>
      <c r="AS57" s="1223"/>
      <c r="AT57" s="1221"/>
      <c r="AU57" s="1219"/>
      <c r="AV57" s="1219"/>
      <c r="AW57" s="1223"/>
      <c r="AX57" s="1221"/>
      <c r="AY57" s="1223"/>
      <c r="AZ57" s="1233"/>
      <c r="BA57" s="1237"/>
    </row>
    <row r="58" ht="15" customHeight="1" spans="1:54">
      <c r="A58" s="1216">
        <v>45502</v>
      </c>
      <c r="B58" s="1217">
        <v>1000022145</v>
      </c>
      <c r="C58" s="1217">
        <v>92108</v>
      </c>
      <c r="D58" s="1217" t="s">
        <v>12159</v>
      </c>
      <c r="E58" s="1219">
        <v>3000</v>
      </c>
      <c r="F58" s="530" t="s">
        <v>9128</v>
      </c>
      <c r="G58" s="1220" t="s">
        <v>12174</v>
      </c>
      <c r="H58" s="1221"/>
      <c r="I58" s="1222"/>
      <c r="J58" s="1222"/>
      <c r="K58" s="1222"/>
      <c r="L58" s="1223"/>
      <c r="M58" s="1224"/>
      <c r="N58" s="1221"/>
      <c r="O58" s="1219"/>
      <c r="P58" s="1223"/>
      <c r="Q58" s="1221"/>
      <c r="R58" s="1220"/>
      <c r="S58" s="1220"/>
      <c r="T58" s="1223"/>
      <c r="U58" s="1225"/>
      <c r="V58" s="1220"/>
      <c r="W58" s="1220"/>
      <c r="X58" s="1223"/>
      <c r="Y58" s="1225"/>
      <c r="Z58" s="1223"/>
      <c r="AA58" s="1230"/>
      <c r="AB58" s="1194"/>
      <c r="AC58" s="1227"/>
      <c r="AD58" s="1222"/>
      <c r="AE58" s="1222"/>
      <c r="AF58" s="1222"/>
      <c r="AG58" s="1220"/>
      <c r="AH58" s="1224"/>
      <c r="AI58" s="1221"/>
      <c r="AJ58" s="1219"/>
      <c r="AK58" s="1223">
        <v>3000</v>
      </c>
      <c r="AL58" s="1221"/>
      <c r="AM58" s="1219"/>
      <c r="AN58" s="1219"/>
      <c r="AO58" s="1223"/>
      <c r="AP58" s="1221"/>
      <c r="AQ58" s="1219"/>
      <c r="AR58" s="1219"/>
      <c r="AS58" s="1223"/>
      <c r="AT58" s="1221"/>
      <c r="AU58" s="1219"/>
      <c r="AV58" s="1219"/>
      <c r="AW58" s="1223"/>
      <c r="AX58" s="1221"/>
      <c r="AY58" s="1223"/>
      <c r="AZ58" s="1233"/>
      <c r="BA58" s="1240" t="s">
        <v>12175</v>
      </c>
    </row>
    <row r="59" ht="15" customHeight="1" spans="1:54">
      <c r="A59" s="1216">
        <v>45505</v>
      </c>
      <c r="B59" s="1217">
        <v>1000022246</v>
      </c>
      <c r="C59" s="1217">
        <v>92108</v>
      </c>
      <c r="D59" s="1217" t="s">
        <v>12166</v>
      </c>
      <c r="E59" s="1219">
        <v>750</v>
      </c>
      <c r="F59" s="530" t="s">
        <v>9128</v>
      </c>
      <c r="G59" s="1220" t="s">
        <v>12174</v>
      </c>
      <c r="H59" s="1221"/>
      <c r="I59" s="1222"/>
      <c r="J59" s="1222"/>
      <c r="K59" s="1222"/>
      <c r="L59" s="1223"/>
      <c r="M59" s="1224"/>
      <c r="N59" s="1221"/>
      <c r="O59" s="1219"/>
      <c r="P59" s="1223"/>
      <c r="Q59" s="1221"/>
      <c r="R59" s="1220"/>
      <c r="S59" s="1220"/>
      <c r="T59" s="1223"/>
      <c r="U59" s="1225"/>
      <c r="V59" s="1220"/>
      <c r="W59" s="1220"/>
      <c r="X59" s="1223"/>
      <c r="Y59" s="1225"/>
      <c r="Z59" s="1223"/>
      <c r="AA59" s="1230"/>
      <c r="AB59" s="1194"/>
      <c r="AC59" s="1227"/>
      <c r="AD59" s="1222"/>
      <c r="AE59" s="1222"/>
      <c r="AF59" s="1222"/>
      <c r="AG59" s="1220"/>
      <c r="AH59" s="1224"/>
      <c r="AI59" s="1221"/>
      <c r="AJ59" s="1219"/>
      <c r="AK59" s="1223"/>
      <c r="AL59" s="1221"/>
      <c r="AM59" s="1219"/>
      <c r="AN59" s="1219"/>
      <c r="AO59" s="1223"/>
      <c r="AP59" s="1221"/>
      <c r="AQ59" s="1219"/>
      <c r="AR59" s="1219"/>
      <c r="AS59" s="1223"/>
      <c r="AT59" s="1221">
        <f>E59</f>
        <v>750</v>
      </c>
      <c r="AU59" s="1219"/>
      <c r="AV59" s="1219"/>
      <c r="AW59" s="1223"/>
      <c r="AX59" s="1221"/>
      <c r="AY59" s="1223"/>
      <c r="AZ59" s="1233"/>
      <c r="BA59" s="1237" t="s">
        <v>12176</v>
      </c>
    </row>
    <row r="60" ht="15" customHeight="1" spans="1:54">
      <c r="A60" s="1216">
        <v>45505</v>
      </c>
      <c r="B60" s="1217">
        <v>1000022247</v>
      </c>
      <c r="C60" s="1217">
        <v>92108</v>
      </c>
      <c r="D60" s="1217" t="s">
        <v>12167</v>
      </c>
      <c r="E60" s="1219">
        <v>750</v>
      </c>
      <c r="F60" s="530" t="s">
        <v>9128</v>
      </c>
      <c r="G60" s="1220" t="s">
        <v>12174</v>
      </c>
      <c r="H60" s="1221"/>
      <c r="I60" s="1222"/>
      <c r="J60" s="1222"/>
      <c r="K60" s="1222"/>
      <c r="L60" s="1223"/>
      <c r="M60" s="1224"/>
      <c r="N60" s="1221"/>
      <c r="O60" s="1219"/>
      <c r="P60" s="1223"/>
      <c r="Q60" s="1221"/>
      <c r="R60" s="1220"/>
      <c r="S60" s="1220"/>
      <c r="T60" s="1223"/>
      <c r="U60" s="1225"/>
      <c r="V60" s="1220"/>
      <c r="W60" s="1220"/>
      <c r="X60" s="1223"/>
      <c r="Y60" s="1225"/>
      <c r="Z60" s="1223"/>
      <c r="AA60" s="1230"/>
      <c r="AB60" s="1194"/>
      <c r="AC60" s="1227"/>
      <c r="AD60" s="1222"/>
      <c r="AE60" s="1222"/>
      <c r="AF60" s="1222"/>
      <c r="AG60" s="1220"/>
      <c r="AH60" s="1224"/>
      <c r="AI60" s="1221"/>
      <c r="AJ60" s="1219"/>
      <c r="AK60" s="1223"/>
      <c r="AL60" s="1221"/>
      <c r="AM60" s="1219"/>
      <c r="AN60" s="1219"/>
      <c r="AO60" s="1223"/>
      <c r="AP60" s="1221"/>
      <c r="AQ60" s="1219"/>
      <c r="AR60" s="1219"/>
      <c r="AS60" s="1223"/>
      <c r="AT60" s="1221"/>
      <c r="AU60" s="1219">
        <f>E60</f>
        <v>750</v>
      </c>
      <c r="AV60" s="1219"/>
      <c r="AW60" s="1223"/>
      <c r="AX60" s="1221"/>
      <c r="AY60" s="1223"/>
      <c r="AZ60" s="1233"/>
      <c r="BA60" s="1237" t="s">
        <v>12176</v>
      </c>
    </row>
    <row r="61" ht="15" customHeight="1" spans="1:54">
      <c r="A61" s="1216">
        <v>45505</v>
      </c>
      <c r="B61" s="1217">
        <v>1000022248</v>
      </c>
      <c r="C61" s="1217">
        <v>92108</v>
      </c>
      <c r="D61" s="1217" t="s">
        <v>12168</v>
      </c>
      <c r="E61" s="1219">
        <v>750</v>
      </c>
      <c r="F61" s="530" t="s">
        <v>9128</v>
      </c>
      <c r="G61" s="1220" t="s">
        <v>12174</v>
      </c>
      <c r="H61" s="1221"/>
      <c r="I61" s="1222"/>
      <c r="J61" s="1222"/>
      <c r="K61" s="1222"/>
      <c r="L61" s="1223"/>
      <c r="M61" s="1224"/>
      <c r="N61" s="1221"/>
      <c r="O61" s="1219"/>
      <c r="P61" s="1223"/>
      <c r="Q61" s="1221"/>
      <c r="R61" s="1220"/>
      <c r="S61" s="1220"/>
      <c r="T61" s="1223"/>
      <c r="U61" s="1225"/>
      <c r="V61" s="1220"/>
      <c r="W61" s="1220"/>
      <c r="X61" s="1223"/>
      <c r="Y61" s="1225"/>
      <c r="Z61" s="1223"/>
      <c r="AA61" s="1230"/>
      <c r="AB61" s="1194"/>
      <c r="AC61" s="1227"/>
      <c r="AD61" s="1222"/>
      <c r="AE61" s="1222"/>
      <c r="AF61" s="1222"/>
      <c r="AG61" s="1220"/>
      <c r="AH61" s="1224"/>
      <c r="AI61" s="1221"/>
      <c r="AJ61" s="1219"/>
      <c r="AK61" s="1223"/>
      <c r="AL61" s="1221"/>
      <c r="AM61" s="1219"/>
      <c r="AN61" s="1219"/>
      <c r="AO61" s="1223"/>
      <c r="AP61" s="1221"/>
      <c r="AQ61" s="1219"/>
      <c r="AR61" s="1219"/>
      <c r="AS61" s="1223"/>
      <c r="AT61" s="1221"/>
      <c r="AU61" s="1219"/>
      <c r="AV61" s="1219">
        <f>E61</f>
        <v>750</v>
      </c>
      <c r="AW61" s="1223"/>
      <c r="AX61" s="1221"/>
      <c r="AY61" s="1223"/>
      <c r="AZ61" s="1233"/>
      <c r="BA61" s="1237" t="s">
        <v>12176</v>
      </c>
    </row>
    <row r="62" ht="15" customHeight="1" spans="1:54">
      <c r="A62" s="1216">
        <v>45505</v>
      </c>
      <c r="B62" s="1217">
        <v>1000022249</v>
      </c>
      <c r="C62" s="1217">
        <v>92108</v>
      </c>
      <c r="D62" s="1217" t="s">
        <v>12169</v>
      </c>
      <c r="E62" s="1219">
        <v>750</v>
      </c>
      <c r="F62" s="530" t="s">
        <v>9128</v>
      </c>
      <c r="G62" s="1220" t="s">
        <v>12174</v>
      </c>
      <c r="H62" s="1221"/>
      <c r="I62" s="1222"/>
      <c r="J62" s="1222"/>
      <c r="K62" s="1222"/>
      <c r="L62" s="1223"/>
      <c r="M62" s="1224"/>
      <c r="N62" s="1221"/>
      <c r="O62" s="1219"/>
      <c r="P62" s="1223"/>
      <c r="Q62" s="1221"/>
      <c r="R62" s="1220"/>
      <c r="S62" s="1220"/>
      <c r="T62" s="1223"/>
      <c r="U62" s="1225"/>
      <c r="V62" s="1220"/>
      <c r="W62" s="1220"/>
      <c r="X62" s="1223"/>
      <c r="Y62" s="1225"/>
      <c r="Z62" s="1223"/>
      <c r="AA62" s="1230"/>
      <c r="AB62" s="1194"/>
      <c r="AC62" s="1227"/>
      <c r="AD62" s="1222"/>
      <c r="AE62" s="1222"/>
      <c r="AF62" s="1222"/>
      <c r="AG62" s="1220"/>
      <c r="AH62" s="1224"/>
      <c r="AI62" s="1221"/>
      <c r="AJ62" s="1219"/>
      <c r="AK62" s="1223"/>
      <c r="AL62" s="1221"/>
      <c r="AM62" s="1219"/>
      <c r="AN62" s="1219"/>
      <c r="AO62" s="1223"/>
      <c r="AP62" s="1221"/>
      <c r="AQ62" s="1219"/>
      <c r="AR62" s="1219"/>
      <c r="AS62" s="1223"/>
      <c r="AT62" s="1221"/>
      <c r="AU62" s="1219"/>
      <c r="AV62" s="1219"/>
      <c r="AW62" s="1223">
        <f>E62</f>
        <v>750</v>
      </c>
      <c r="AX62" s="1221"/>
      <c r="AY62" s="1223"/>
      <c r="AZ62" s="1233"/>
      <c r="BA62" s="1237" t="s">
        <v>12176</v>
      </c>
    </row>
    <row r="63" ht="15" customHeight="1" spans="1:54">
      <c r="A63" s="1216">
        <v>45513</v>
      </c>
      <c r="B63" s="1217">
        <v>1000022432</v>
      </c>
      <c r="C63" s="1217">
        <v>92107</v>
      </c>
      <c r="D63" s="1217" t="s">
        <v>12154</v>
      </c>
      <c r="E63" s="1219">
        <v>70000</v>
      </c>
      <c r="F63" s="1219" t="s">
        <v>12155</v>
      </c>
      <c r="G63" s="1220" t="s">
        <v>12156</v>
      </c>
      <c r="H63" s="1221">
        <f>E63</f>
        <v>70000</v>
      </c>
      <c r="I63" s="1222"/>
      <c r="J63" s="1222"/>
      <c r="K63" s="1222"/>
      <c r="L63" s="1223"/>
      <c r="M63" s="1224">
        <f>H63</f>
        <v>70000</v>
      </c>
      <c r="N63" s="1221"/>
      <c r="O63" s="1219"/>
      <c r="P63" s="1223"/>
      <c r="Q63" s="1221"/>
      <c r="R63" s="1220"/>
      <c r="S63" s="1220"/>
      <c r="T63" s="1223"/>
      <c r="U63" s="1225"/>
      <c r="V63" s="1220"/>
      <c r="W63" s="1220"/>
      <c r="X63" s="1223"/>
      <c r="Y63" s="1225"/>
      <c r="Z63" s="1223"/>
      <c r="AA63" s="1230"/>
      <c r="AB63" s="1194"/>
      <c r="AC63" s="1227"/>
      <c r="AD63" s="1222"/>
      <c r="AE63" s="1222"/>
      <c r="AF63" s="1222"/>
      <c r="AG63" s="1220"/>
      <c r="AH63" s="1224"/>
      <c r="AI63" s="1221"/>
      <c r="AJ63" s="1219"/>
      <c r="AK63" s="1223"/>
      <c r="AL63" s="1221"/>
      <c r="AM63" s="1219"/>
      <c r="AN63" s="1219"/>
      <c r="AO63" s="1223"/>
      <c r="AP63" s="1221"/>
      <c r="AQ63" s="1219"/>
      <c r="AR63" s="1219"/>
      <c r="AS63" s="1223"/>
      <c r="AT63" s="1221"/>
      <c r="AU63" s="1219"/>
      <c r="AV63" s="1219"/>
      <c r="AW63" s="1223"/>
      <c r="AX63" s="1221"/>
      <c r="AY63" s="1223"/>
      <c r="AZ63" s="1233"/>
      <c r="BA63" s="1237"/>
    </row>
    <row r="64" ht="15" customHeight="1" spans="1:54">
      <c r="A64" s="1216">
        <v>45513</v>
      </c>
      <c r="B64" s="1217">
        <v>1000022434</v>
      </c>
      <c r="C64" s="1217">
        <v>92107</v>
      </c>
      <c r="D64" s="1217" t="s">
        <v>12159</v>
      </c>
      <c r="E64" s="1219">
        <v>100000</v>
      </c>
      <c r="F64" s="1219" t="s">
        <v>12160</v>
      </c>
      <c r="G64" s="1220" t="s">
        <v>12156</v>
      </c>
      <c r="H64" s="1221"/>
      <c r="I64" s="1222"/>
      <c r="J64" s="1222"/>
      <c r="K64" s="1222"/>
      <c r="L64" s="1223"/>
      <c r="M64" s="1224"/>
      <c r="N64" s="1221">
        <f>E64</f>
        <v>100000</v>
      </c>
      <c r="O64" s="1219"/>
      <c r="P64" s="1223"/>
      <c r="Q64" s="1221"/>
      <c r="R64" s="1220"/>
      <c r="S64" s="1220"/>
      <c r="T64" s="1223"/>
      <c r="U64" s="1225"/>
      <c r="V64" s="1220"/>
      <c r="W64" s="1220"/>
      <c r="X64" s="1223"/>
      <c r="Y64" s="1225"/>
      <c r="Z64" s="1223"/>
      <c r="AA64" s="1230"/>
      <c r="AB64" s="1194"/>
      <c r="AC64" s="1227"/>
      <c r="AD64" s="1222"/>
      <c r="AE64" s="1222"/>
      <c r="AF64" s="1222"/>
      <c r="AG64" s="1220"/>
      <c r="AH64" s="1224"/>
      <c r="AI64" s="1221"/>
      <c r="AJ64" s="1219"/>
      <c r="AK64" s="1223"/>
      <c r="AL64" s="1221"/>
      <c r="AM64" s="1219"/>
      <c r="AN64" s="1219"/>
      <c r="AO64" s="1223"/>
      <c r="AP64" s="1221"/>
      <c r="AQ64" s="1219"/>
      <c r="AR64" s="1219"/>
      <c r="AS64" s="1223"/>
      <c r="AT64" s="1221"/>
      <c r="AU64" s="1219"/>
      <c r="AV64" s="1219"/>
      <c r="AW64" s="1223"/>
      <c r="AX64" s="1221"/>
      <c r="AY64" s="1223"/>
      <c r="AZ64" s="1233"/>
      <c r="BA64" s="1237"/>
    </row>
    <row r="65" ht="15" customHeight="1" spans="1:54">
      <c r="A65" s="1216">
        <v>45513</v>
      </c>
      <c r="B65" s="1217">
        <v>1000022440</v>
      </c>
      <c r="C65" s="1217">
        <v>92107</v>
      </c>
      <c r="D65" s="1217" t="s">
        <v>12161</v>
      </c>
      <c r="E65" s="1219">
        <v>50000</v>
      </c>
      <c r="F65" s="1219" t="s">
        <v>12162</v>
      </c>
      <c r="G65" s="1220" t="s">
        <v>12156</v>
      </c>
      <c r="H65" s="1221"/>
      <c r="I65" s="1222"/>
      <c r="J65" s="1222"/>
      <c r="K65" s="1222"/>
      <c r="L65" s="1223"/>
      <c r="M65" s="1224"/>
      <c r="N65" s="1221"/>
      <c r="O65" s="1219"/>
      <c r="P65" s="1223"/>
      <c r="Q65" s="1241">
        <v>30000</v>
      </c>
      <c r="R65" s="1220"/>
      <c r="S65" s="1220"/>
      <c r="T65" s="1223"/>
      <c r="U65" s="1241">
        <v>20000</v>
      </c>
      <c r="V65" s="1220"/>
      <c r="W65" s="1220"/>
      <c r="X65" s="1223"/>
      <c r="Y65" s="1225"/>
      <c r="Z65" s="1223"/>
      <c r="AA65" s="1230"/>
      <c r="AB65" s="1194"/>
      <c r="AC65" s="1227"/>
      <c r="AD65" s="1222"/>
      <c r="AE65" s="1222"/>
      <c r="AF65" s="1222"/>
      <c r="AG65" s="1220"/>
      <c r="AH65" s="1224"/>
      <c r="AI65" s="1221"/>
      <c r="AJ65" s="1219"/>
      <c r="AK65" s="1223"/>
      <c r="AL65" s="1221"/>
      <c r="AM65" s="1219"/>
      <c r="AN65" s="1219"/>
      <c r="AO65" s="1223"/>
      <c r="AP65" s="1221"/>
      <c r="AQ65" s="1219"/>
      <c r="AR65" s="1219"/>
      <c r="AS65" s="1223"/>
      <c r="AT65" s="1221"/>
      <c r="AU65" s="1219"/>
      <c r="AV65" s="1219"/>
      <c r="AW65" s="1223"/>
      <c r="AX65" s="1221"/>
      <c r="AY65" s="1223"/>
      <c r="AZ65" s="1233"/>
      <c r="BA65" s="1237" t="s">
        <v>12157</v>
      </c>
    </row>
    <row r="66" ht="15" customHeight="1" spans="1:54">
      <c r="A66" s="1216">
        <v>45513</v>
      </c>
      <c r="B66" s="1217">
        <v>1000022442</v>
      </c>
      <c r="C66" s="1217">
        <v>92107</v>
      </c>
      <c r="D66" s="1217" t="s">
        <v>12163</v>
      </c>
      <c r="E66" s="1219">
        <v>50000</v>
      </c>
      <c r="F66" s="1219" t="s">
        <v>12162</v>
      </c>
      <c r="G66" s="1220" t="s">
        <v>12156</v>
      </c>
      <c r="H66" s="1221"/>
      <c r="I66" s="1222"/>
      <c r="J66" s="1222"/>
      <c r="K66" s="1222"/>
      <c r="L66" s="1223"/>
      <c r="M66" s="1224"/>
      <c r="N66" s="1221"/>
      <c r="O66" s="1219"/>
      <c r="P66" s="1223"/>
      <c r="Q66" s="1225"/>
      <c r="R66" s="1242">
        <v>30000</v>
      </c>
      <c r="S66" s="1220"/>
      <c r="T66" s="1223"/>
      <c r="U66" s="1225"/>
      <c r="V66" s="1242">
        <v>20000</v>
      </c>
      <c r="W66" s="1220"/>
      <c r="X66" s="1223"/>
      <c r="Y66" s="1225"/>
      <c r="Z66" s="1223"/>
      <c r="AA66" s="1230"/>
      <c r="AB66" s="1194"/>
      <c r="AC66" s="1227"/>
      <c r="AD66" s="1222"/>
      <c r="AE66" s="1222"/>
      <c r="AF66" s="1222"/>
      <c r="AG66" s="1220"/>
      <c r="AH66" s="1224"/>
      <c r="AI66" s="1221"/>
      <c r="AJ66" s="1219"/>
      <c r="AK66" s="1223"/>
      <c r="AL66" s="1221"/>
      <c r="AM66" s="1219"/>
      <c r="AN66" s="1219"/>
      <c r="AO66" s="1223"/>
      <c r="AP66" s="1221"/>
      <c r="AQ66" s="1219"/>
      <c r="AR66" s="1219"/>
      <c r="AS66" s="1223"/>
      <c r="AT66" s="1221"/>
      <c r="AU66" s="1219"/>
      <c r="AV66" s="1219"/>
      <c r="AW66" s="1223"/>
      <c r="AX66" s="1221"/>
      <c r="AY66" s="1223"/>
      <c r="AZ66" s="1233"/>
      <c r="BA66" s="1237" t="s">
        <v>12157</v>
      </c>
    </row>
    <row r="67" ht="15" customHeight="1" spans="1:54">
      <c r="A67" s="1216">
        <v>45513</v>
      </c>
      <c r="B67" s="1217">
        <v>1000022443</v>
      </c>
      <c r="C67" s="1217">
        <v>92107</v>
      </c>
      <c r="D67" s="1217" t="s">
        <v>12164</v>
      </c>
      <c r="E67" s="1219">
        <v>50000</v>
      </c>
      <c r="F67" s="1219" t="s">
        <v>12162</v>
      </c>
      <c r="G67" s="1220" t="s">
        <v>12156</v>
      </c>
      <c r="H67" s="1221"/>
      <c r="I67" s="1222"/>
      <c r="J67" s="1222"/>
      <c r="K67" s="1222"/>
      <c r="L67" s="1223"/>
      <c r="M67" s="1224"/>
      <c r="N67" s="1221"/>
      <c r="O67" s="1219"/>
      <c r="P67" s="1223"/>
      <c r="Q67" s="1225"/>
      <c r="R67" s="1220"/>
      <c r="S67" s="1242">
        <v>30000</v>
      </c>
      <c r="T67" s="1223"/>
      <c r="U67" s="1225"/>
      <c r="V67" s="1220"/>
      <c r="W67" s="1242">
        <v>20000</v>
      </c>
      <c r="X67" s="1223"/>
      <c r="Y67" s="1225"/>
      <c r="Z67" s="1223"/>
      <c r="AA67" s="1230"/>
      <c r="AB67" s="1194"/>
      <c r="AC67" s="1227"/>
      <c r="AD67" s="1222"/>
      <c r="AE67" s="1222"/>
      <c r="AF67" s="1222"/>
      <c r="AG67" s="1220"/>
      <c r="AH67" s="1224"/>
      <c r="AI67" s="1221"/>
      <c r="AJ67" s="1219"/>
      <c r="AK67" s="1223"/>
      <c r="AL67" s="1221"/>
      <c r="AM67" s="1219"/>
      <c r="AN67" s="1219"/>
      <c r="AO67" s="1223"/>
      <c r="AP67" s="1221"/>
      <c r="AQ67" s="1219"/>
      <c r="AR67" s="1219"/>
      <c r="AS67" s="1223"/>
      <c r="AT67" s="1221"/>
      <c r="AU67" s="1219"/>
      <c r="AV67" s="1219"/>
      <c r="AW67" s="1223"/>
      <c r="AX67" s="1221"/>
      <c r="AY67" s="1223"/>
      <c r="AZ67" s="1233"/>
      <c r="BA67" s="1237" t="s">
        <v>12157</v>
      </c>
    </row>
    <row r="68" ht="15" customHeight="1" spans="1:54">
      <c r="A68" s="1216">
        <v>45513</v>
      </c>
      <c r="B68" s="1217">
        <v>1000022444</v>
      </c>
      <c r="C68" s="1217">
        <v>92107</v>
      </c>
      <c r="D68" s="1217" t="s">
        <v>12165</v>
      </c>
      <c r="E68" s="1219">
        <v>50000</v>
      </c>
      <c r="F68" s="1219" t="s">
        <v>12162</v>
      </c>
      <c r="G68" s="1220" t="s">
        <v>12156</v>
      </c>
      <c r="H68" s="1221"/>
      <c r="I68" s="1222"/>
      <c r="J68" s="1222"/>
      <c r="K68" s="1222"/>
      <c r="L68" s="1223"/>
      <c r="M68" s="1224"/>
      <c r="N68" s="1221"/>
      <c r="O68" s="1219"/>
      <c r="P68" s="1223"/>
      <c r="Q68" s="1225"/>
      <c r="R68" s="1220"/>
      <c r="S68" s="1220"/>
      <c r="T68" s="1243">
        <v>30000</v>
      </c>
      <c r="U68" s="1225"/>
      <c r="V68" s="1220"/>
      <c r="W68" s="1220"/>
      <c r="X68" s="1243">
        <v>20000</v>
      </c>
      <c r="Y68" s="1225"/>
      <c r="Z68" s="1223"/>
      <c r="AA68" s="1230"/>
      <c r="AB68" s="1194"/>
      <c r="AC68" s="1227"/>
      <c r="AD68" s="1222"/>
      <c r="AE68" s="1222"/>
      <c r="AF68" s="1222"/>
      <c r="AG68" s="1220"/>
      <c r="AH68" s="1224"/>
      <c r="AI68" s="1221"/>
      <c r="AJ68" s="1219"/>
      <c r="AK68" s="1223"/>
      <c r="AL68" s="1221"/>
      <c r="AM68" s="1219"/>
      <c r="AN68" s="1219"/>
      <c r="AO68" s="1223"/>
      <c r="AP68" s="1221"/>
      <c r="AQ68" s="1219"/>
      <c r="AR68" s="1219"/>
      <c r="AS68" s="1223"/>
      <c r="AT68" s="1221"/>
      <c r="AU68" s="1219"/>
      <c r="AV68" s="1219"/>
      <c r="AW68" s="1223"/>
      <c r="AX68" s="1221"/>
      <c r="AY68" s="1223"/>
      <c r="AZ68" s="1233"/>
      <c r="BA68" s="1237" t="s">
        <v>12157</v>
      </c>
    </row>
    <row r="69" ht="15" customHeight="1" spans="1:54">
      <c r="A69" s="1216">
        <v>45513</v>
      </c>
      <c r="B69" s="1217">
        <v>1000022445</v>
      </c>
      <c r="C69" s="1217">
        <v>92108</v>
      </c>
      <c r="D69" s="1217" t="s">
        <v>12154</v>
      </c>
      <c r="E69" s="1219">
        <v>30000</v>
      </c>
      <c r="F69" s="1219" t="s">
        <v>12155</v>
      </c>
      <c r="G69" s="1220" t="s">
        <v>12156</v>
      </c>
      <c r="H69" s="1221"/>
      <c r="I69" s="1222"/>
      <c r="J69" s="1222"/>
      <c r="K69" s="1222"/>
      <c r="L69" s="1223"/>
      <c r="M69" s="1224"/>
      <c r="N69" s="1221"/>
      <c r="O69" s="1219"/>
      <c r="P69" s="1223"/>
      <c r="Q69" s="1221"/>
      <c r="R69" s="1220"/>
      <c r="S69" s="1220"/>
      <c r="T69" s="1223"/>
      <c r="U69" s="1225"/>
      <c r="V69" s="1220"/>
      <c r="W69" s="1220"/>
      <c r="X69" s="1223"/>
      <c r="Y69" s="1225"/>
      <c r="Z69" s="1223"/>
      <c r="AA69" s="1230"/>
      <c r="AB69" s="1194"/>
      <c r="AC69" s="1227">
        <f>E69</f>
        <v>30000</v>
      </c>
      <c r="AD69" s="1222"/>
      <c r="AE69" s="1222"/>
      <c r="AF69" s="1222"/>
      <c r="AG69" s="1220"/>
      <c r="AH69" s="1224"/>
      <c r="AI69" s="1221"/>
      <c r="AJ69" s="1219"/>
      <c r="AK69" s="1223"/>
      <c r="AL69" s="1221"/>
      <c r="AM69" s="1219"/>
      <c r="AN69" s="1219"/>
      <c r="AO69" s="1223"/>
      <c r="AP69" s="1221"/>
      <c r="AQ69" s="1219"/>
      <c r="AR69" s="1219"/>
      <c r="AS69" s="1223"/>
      <c r="AT69" s="1221"/>
      <c r="AU69" s="1219"/>
      <c r="AV69" s="1219"/>
      <c r="AW69" s="1223"/>
      <c r="AX69" s="1221"/>
      <c r="AY69" s="1223"/>
      <c r="AZ69" s="1233"/>
      <c r="BA69" s="1237"/>
    </row>
    <row r="70" ht="15" customHeight="1" spans="1:54">
      <c r="A70" s="1216">
        <v>45523</v>
      </c>
      <c r="B70" s="1217"/>
      <c r="C70" s="1217" t="s">
        <v>12177</v>
      </c>
      <c r="D70" s="1217"/>
      <c r="E70" s="1219">
        <v>32024</v>
      </c>
      <c r="F70" s="1219"/>
      <c r="G70" s="1220"/>
      <c r="H70" s="1221"/>
      <c r="I70" s="1222"/>
      <c r="J70" s="1222"/>
      <c r="K70" s="1222"/>
      <c r="L70" s="1223">
        <v>32024</v>
      </c>
      <c r="M70" s="1224">
        <f>L70</f>
        <v>32024</v>
      </c>
      <c r="N70" s="1221"/>
      <c r="O70" s="1219"/>
      <c r="P70" s="1223"/>
      <c r="Q70" s="1221"/>
      <c r="R70" s="1220"/>
      <c r="S70" s="1220"/>
      <c r="T70" s="1223"/>
      <c r="U70" s="1225"/>
      <c r="V70" s="1220"/>
      <c r="W70" s="1220"/>
      <c r="X70" s="1223"/>
      <c r="Y70" s="1225"/>
      <c r="Z70" s="1223"/>
      <c r="AA70" s="1236" t="s">
        <v>12178</v>
      </c>
      <c r="AB70" s="1194"/>
      <c r="AC70" s="1227"/>
      <c r="AD70" s="1222"/>
      <c r="AE70" s="1222"/>
      <c r="AF70" s="1222"/>
      <c r="AG70" s="1220"/>
      <c r="AH70" s="1224"/>
      <c r="AI70" s="1221"/>
      <c r="AJ70" s="1219"/>
      <c r="AK70" s="1223"/>
      <c r="AL70" s="1221"/>
      <c r="AM70" s="1219"/>
      <c r="AN70" s="1219"/>
      <c r="AO70" s="1223"/>
      <c r="AP70" s="1221"/>
      <c r="AQ70" s="1219"/>
      <c r="AR70" s="1219"/>
      <c r="AS70" s="1223"/>
      <c r="AT70" s="1221"/>
      <c r="AU70" s="1219"/>
      <c r="AV70" s="1219"/>
      <c r="AW70" s="1223"/>
      <c r="AX70" s="1221"/>
      <c r="AY70" s="1223"/>
      <c r="AZ70" s="1233"/>
      <c r="BA70" s="1237"/>
      <c r="BB70" s="1239"/>
    </row>
    <row r="71" s="483" customFormat="1" ht="15" customHeight="1" spans="1:54">
      <c r="A71" s="1216">
        <v>45583</v>
      </c>
      <c r="B71" s="1217">
        <v>1000023769</v>
      </c>
      <c r="C71" s="1217">
        <v>92107</v>
      </c>
      <c r="D71" s="1217" t="s">
        <v>12154</v>
      </c>
      <c r="E71" s="1219">
        <v>30000</v>
      </c>
      <c r="F71" s="1219" t="s">
        <v>12170</v>
      </c>
      <c r="G71" s="1220" t="s">
        <v>10</v>
      </c>
      <c r="H71" s="1221"/>
      <c r="I71" s="1222"/>
      <c r="J71" s="1222"/>
      <c r="K71" s="1233">
        <f>E71</f>
        <v>30000</v>
      </c>
      <c r="L71" s="1223"/>
      <c r="M71" s="1232">
        <f>K71</f>
        <v>30000</v>
      </c>
      <c r="N71" s="1221"/>
      <c r="O71" s="1219"/>
      <c r="P71" s="1223"/>
      <c r="Q71" s="1221"/>
      <c r="R71" s="1220"/>
      <c r="S71" s="1220"/>
      <c r="T71" s="1223"/>
      <c r="U71" s="1225"/>
      <c r="V71" s="1220"/>
      <c r="W71" s="1220"/>
      <c r="X71" s="1223"/>
      <c r="Y71" s="1225"/>
      <c r="Z71" s="1223"/>
      <c r="AA71" s="1230"/>
      <c r="AB71" s="1194"/>
      <c r="AC71" s="1227"/>
      <c r="AD71" s="1222"/>
      <c r="AE71" s="1222"/>
      <c r="AF71" s="1222"/>
      <c r="AG71" s="1220"/>
      <c r="AH71" s="1224"/>
      <c r="AI71" s="1221"/>
      <c r="AJ71" s="1219"/>
      <c r="AK71" s="1223"/>
      <c r="AL71" s="1221"/>
      <c r="AM71" s="1219"/>
      <c r="AN71" s="1219"/>
      <c r="AO71" s="1223"/>
      <c r="AP71" s="1221"/>
      <c r="AQ71" s="1219"/>
      <c r="AR71" s="1219"/>
      <c r="AS71" s="1223"/>
      <c r="AT71" s="1221"/>
      <c r="AU71" s="1219"/>
      <c r="AV71" s="1219"/>
      <c r="AW71" s="1223"/>
      <c r="AX71" s="1221"/>
      <c r="AY71" s="1223"/>
      <c r="AZ71" s="1233"/>
      <c r="BA71" s="1237" t="s">
        <v>12157</v>
      </c>
    </row>
    <row r="72" s="483" customFormat="1" ht="15" customHeight="1" spans="1:54">
      <c r="A72" s="1216">
        <v>45583</v>
      </c>
      <c r="B72" s="1217">
        <v>1000023770</v>
      </c>
      <c r="C72" s="1217">
        <v>92107</v>
      </c>
      <c r="D72" s="1217" t="s">
        <v>12159</v>
      </c>
      <c r="E72" s="1219">
        <v>50000</v>
      </c>
      <c r="F72" s="1219" t="s">
        <v>12160</v>
      </c>
      <c r="G72" s="1220" t="s">
        <v>10</v>
      </c>
      <c r="H72" s="1221"/>
      <c r="I72" s="1222"/>
      <c r="J72" s="1222"/>
      <c r="K72" s="1222"/>
      <c r="L72" s="1223"/>
      <c r="M72" s="1224"/>
      <c r="N72" s="1221"/>
      <c r="O72" s="1244">
        <f>E72</f>
        <v>50000</v>
      </c>
      <c r="P72" s="1223"/>
      <c r="Q72" s="1221"/>
      <c r="R72" s="1220"/>
      <c r="S72" s="1220"/>
      <c r="T72" s="1223"/>
      <c r="U72" s="1225"/>
      <c r="V72" s="1220"/>
      <c r="W72" s="1220"/>
      <c r="X72" s="1223"/>
      <c r="Y72" s="1225"/>
      <c r="Z72" s="1223"/>
      <c r="AA72" s="1230"/>
      <c r="AB72" s="1194"/>
      <c r="AC72" s="1227"/>
      <c r="AD72" s="1222"/>
      <c r="AE72" s="1222"/>
      <c r="AF72" s="1222"/>
      <c r="AG72" s="1220"/>
      <c r="AH72" s="1224"/>
      <c r="AI72" s="1221"/>
      <c r="AJ72" s="1219"/>
      <c r="AK72" s="1223"/>
      <c r="AL72" s="1221"/>
      <c r="AM72" s="1219"/>
      <c r="AN72" s="1219"/>
      <c r="AO72" s="1223"/>
      <c r="AP72" s="1221"/>
      <c r="AQ72" s="1219"/>
      <c r="AR72" s="1219"/>
      <c r="AS72" s="1223"/>
      <c r="AT72" s="1221"/>
      <c r="AU72" s="1219"/>
      <c r="AV72" s="1219"/>
      <c r="AW72" s="1223"/>
      <c r="AX72" s="1221"/>
      <c r="AY72" s="1223"/>
      <c r="AZ72" s="1233"/>
      <c r="BA72" s="1237" t="s">
        <v>12157</v>
      </c>
    </row>
    <row r="73" s="483" customFormat="1" ht="15" customHeight="1" spans="1:54">
      <c r="A73" s="1216">
        <v>45583</v>
      </c>
      <c r="B73" s="1217">
        <v>1000023771</v>
      </c>
      <c r="C73" s="1217">
        <v>92108</v>
      </c>
      <c r="D73" s="1217" t="s">
        <v>12166</v>
      </c>
      <c r="E73" s="1219">
        <v>20000</v>
      </c>
      <c r="F73" s="1219" t="s">
        <v>12162</v>
      </c>
      <c r="G73" s="1220" t="s">
        <v>10</v>
      </c>
      <c r="H73" s="1221"/>
      <c r="I73" s="1222"/>
      <c r="J73" s="1222"/>
      <c r="K73" s="1222"/>
      <c r="L73" s="1223"/>
      <c r="M73" s="1224"/>
      <c r="N73" s="1221"/>
      <c r="O73" s="1219"/>
      <c r="P73" s="1223"/>
      <c r="Q73" s="1221"/>
      <c r="R73" s="1220"/>
      <c r="S73" s="1220"/>
      <c r="T73" s="1223"/>
      <c r="U73" s="1225"/>
      <c r="V73" s="1220"/>
      <c r="W73" s="1220"/>
      <c r="X73" s="1223"/>
      <c r="Y73" s="1225"/>
      <c r="Z73" s="1223"/>
      <c r="AA73" s="1230"/>
      <c r="AB73" s="1194"/>
      <c r="AC73" s="1227"/>
      <c r="AD73" s="1222"/>
      <c r="AE73" s="1222"/>
      <c r="AF73" s="1222"/>
      <c r="AG73" s="1220"/>
      <c r="AH73" s="1224"/>
      <c r="AI73" s="1221"/>
      <c r="AJ73" s="1219"/>
      <c r="AK73" s="1223"/>
      <c r="AL73" s="1221"/>
      <c r="AM73" s="1219"/>
      <c r="AN73" s="1219"/>
      <c r="AO73" s="1223"/>
      <c r="AP73" s="1221">
        <f>E73</f>
        <v>20000</v>
      </c>
      <c r="AQ73" s="1219"/>
      <c r="AR73" s="1219"/>
      <c r="AS73" s="1223"/>
      <c r="AT73" s="1221"/>
      <c r="AU73" s="1219"/>
      <c r="AV73" s="1219"/>
      <c r="AW73" s="1223"/>
      <c r="AX73" s="1221"/>
      <c r="AY73" s="1223"/>
      <c r="AZ73" s="1233"/>
      <c r="BA73" s="1237" t="s">
        <v>12157</v>
      </c>
    </row>
    <row r="74" s="483" customFormat="1" ht="15" customHeight="1" spans="1:54">
      <c r="A74" s="1216">
        <v>45583</v>
      </c>
      <c r="B74" s="1217">
        <v>1000023772</v>
      </c>
      <c r="C74" s="1217">
        <v>92108</v>
      </c>
      <c r="D74" s="1217" t="s">
        <v>12167</v>
      </c>
      <c r="E74" s="1219">
        <v>20000</v>
      </c>
      <c r="F74" s="1219" t="s">
        <v>12162</v>
      </c>
      <c r="G74" s="1220" t="s">
        <v>10</v>
      </c>
      <c r="H74" s="1221"/>
      <c r="I74" s="1222"/>
      <c r="J74" s="1222"/>
      <c r="K74" s="1222"/>
      <c r="L74" s="1223"/>
      <c r="M74" s="1224"/>
      <c r="N74" s="1221"/>
      <c r="O74" s="1219"/>
      <c r="P74" s="1223"/>
      <c r="Q74" s="1221"/>
      <c r="R74" s="1220"/>
      <c r="S74" s="1220"/>
      <c r="T74" s="1223"/>
      <c r="U74" s="1225"/>
      <c r="V74" s="1220"/>
      <c r="W74" s="1220"/>
      <c r="X74" s="1223"/>
      <c r="Y74" s="1225"/>
      <c r="Z74" s="1223"/>
      <c r="AA74" s="1230"/>
      <c r="AB74" s="1194"/>
      <c r="AC74" s="1227"/>
      <c r="AD74" s="1222"/>
      <c r="AE74" s="1222"/>
      <c r="AF74" s="1222"/>
      <c r="AG74" s="1220"/>
      <c r="AH74" s="1224"/>
      <c r="AI74" s="1221"/>
      <c r="AJ74" s="1219"/>
      <c r="AK74" s="1223"/>
      <c r="AL74" s="1221"/>
      <c r="AM74" s="1219"/>
      <c r="AN74" s="1219"/>
      <c r="AO74" s="1223"/>
      <c r="AP74" s="1221"/>
      <c r="AQ74" s="1219">
        <f>E74</f>
        <v>20000</v>
      </c>
      <c r="AR74" s="1219"/>
      <c r="AS74" s="1223"/>
      <c r="AT74" s="1221"/>
      <c r="AU74" s="1219"/>
      <c r="AV74" s="1219"/>
      <c r="AW74" s="1223"/>
      <c r="AX74" s="1221"/>
      <c r="AY74" s="1223"/>
      <c r="AZ74" s="1233"/>
      <c r="BA74" s="1237" t="s">
        <v>12157</v>
      </c>
    </row>
    <row r="75" s="483" customFormat="1" ht="15" customHeight="1" spans="1:54">
      <c r="A75" s="1216">
        <v>45583</v>
      </c>
      <c r="B75" s="1217">
        <v>1000023773</v>
      </c>
      <c r="C75" s="1217">
        <v>92108</v>
      </c>
      <c r="D75" s="1217" t="s">
        <v>12169</v>
      </c>
      <c r="E75" s="1219">
        <v>20000</v>
      </c>
      <c r="F75" s="1219" t="s">
        <v>12162</v>
      </c>
      <c r="G75" s="1220" t="s">
        <v>10</v>
      </c>
      <c r="H75" s="1221"/>
      <c r="I75" s="1222"/>
      <c r="J75" s="1222"/>
      <c r="K75" s="1222"/>
      <c r="L75" s="1223"/>
      <c r="M75" s="1224"/>
      <c r="N75" s="1221"/>
      <c r="O75" s="1219"/>
      <c r="P75" s="1223"/>
      <c r="Q75" s="1221"/>
      <c r="R75" s="1220"/>
      <c r="S75" s="1220"/>
      <c r="T75" s="1223"/>
      <c r="U75" s="1225"/>
      <c r="V75" s="1220"/>
      <c r="W75" s="1220"/>
      <c r="X75" s="1223"/>
      <c r="Y75" s="1225"/>
      <c r="Z75" s="1223"/>
      <c r="AA75" s="1230"/>
      <c r="AB75" s="1194"/>
      <c r="AC75" s="1227"/>
      <c r="AD75" s="1222"/>
      <c r="AE75" s="1222"/>
      <c r="AF75" s="1222"/>
      <c r="AG75" s="1220"/>
      <c r="AH75" s="1224"/>
      <c r="AI75" s="1221"/>
      <c r="AJ75" s="1219"/>
      <c r="AK75" s="1223"/>
      <c r="AL75" s="1221"/>
      <c r="AM75" s="1219"/>
      <c r="AN75" s="1219"/>
      <c r="AO75" s="1223"/>
      <c r="AP75" s="1221"/>
      <c r="AQ75" s="1219"/>
      <c r="AR75" s="1219"/>
      <c r="AS75" s="1223">
        <f>E75</f>
        <v>20000</v>
      </c>
      <c r="AT75" s="1221"/>
      <c r="AU75" s="1219"/>
      <c r="AV75" s="1219"/>
      <c r="AW75" s="1223"/>
      <c r="AX75" s="1221"/>
      <c r="AY75" s="1223"/>
      <c r="AZ75" s="1233"/>
      <c r="BA75" s="1237" t="s">
        <v>12157</v>
      </c>
    </row>
    <row r="76" s="483" customFormat="1" ht="15" customHeight="1" spans="1:54">
      <c r="A76" s="1216">
        <v>45616</v>
      </c>
      <c r="B76" s="1217">
        <v>1000024636</v>
      </c>
      <c r="C76" s="1217"/>
      <c r="D76" s="1217"/>
      <c r="E76" s="1219"/>
      <c r="F76" s="1219"/>
      <c r="G76" s="1220"/>
      <c r="H76" s="1221"/>
      <c r="I76" s="1222">
        <v>50000</v>
      </c>
      <c r="J76" s="1222"/>
      <c r="K76" s="1222"/>
      <c r="L76" s="1223"/>
      <c r="M76" s="1224"/>
      <c r="N76" s="1221"/>
      <c r="O76" s="1219"/>
      <c r="P76" s="1223"/>
      <c r="Q76" s="1221"/>
      <c r="R76" s="1220"/>
      <c r="S76" s="1220"/>
      <c r="T76" s="1223"/>
      <c r="U76" s="1225"/>
      <c r="V76" s="1220"/>
      <c r="W76" s="1220"/>
      <c r="X76" s="1223"/>
      <c r="Y76" s="1225"/>
      <c r="Z76" s="1223"/>
      <c r="AA76" s="1230"/>
      <c r="AB76" s="1194"/>
      <c r="AC76" s="1227"/>
      <c r="AD76" s="1222"/>
      <c r="AE76" s="1222"/>
      <c r="AF76" s="1222"/>
      <c r="AG76" s="1220"/>
      <c r="AH76" s="1224"/>
      <c r="AI76" s="1221"/>
      <c r="AJ76" s="1219"/>
      <c r="AK76" s="1223"/>
      <c r="AL76" s="1221"/>
      <c r="AM76" s="1219"/>
      <c r="AN76" s="1219"/>
      <c r="AO76" s="1223"/>
      <c r="AP76" s="1221"/>
      <c r="AQ76" s="1219"/>
      <c r="AR76" s="1219"/>
      <c r="AS76" s="1223"/>
      <c r="AT76" s="1221"/>
      <c r="AU76" s="1219"/>
      <c r="AV76" s="1219"/>
      <c r="AW76" s="1223"/>
      <c r="AX76" s="1221"/>
      <c r="AY76" s="1223"/>
      <c r="AZ76" s="1233"/>
      <c r="BA76" s="1237"/>
    </row>
    <row r="77" s="483" customFormat="1" ht="15" customHeight="1" spans="1:54">
      <c r="A77" s="1216">
        <v>45616</v>
      </c>
      <c r="B77" s="1217">
        <v>1000024637</v>
      </c>
      <c r="C77" s="1217"/>
      <c r="D77" s="1217"/>
      <c r="E77" s="1219"/>
      <c r="F77" s="1219"/>
      <c r="G77" s="1220"/>
      <c r="H77" s="1221"/>
      <c r="I77" s="1222"/>
      <c r="J77" s="1222"/>
      <c r="K77" s="1222"/>
      <c r="L77" s="1223"/>
      <c r="M77" s="1224"/>
      <c r="N77" s="1221"/>
      <c r="O77" s="1219"/>
      <c r="P77" s="1223"/>
      <c r="Q77" s="1221"/>
      <c r="R77" s="1220"/>
      <c r="S77" s="1220"/>
      <c r="T77" s="1223"/>
      <c r="U77" s="1225"/>
      <c r="V77" s="1220"/>
      <c r="W77" s="1220"/>
      <c r="X77" s="1223"/>
      <c r="Y77" s="1225"/>
      <c r="Z77" s="1223"/>
      <c r="AA77" s="1230"/>
      <c r="AB77" s="1194"/>
      <c r="AC77" s="1227"/>
      <c r="AD77" s="1222"/>
      <c r="AE77" s="1222"/>
      <c r="AF77" s="1233">
        <v>30000</v>
      </c>
      <c r="AG77" s="1220"/>
      <c r="AH77" s="1224"/>
      <c r="AI77" s="1221"/>
      <c r="AJ77" s="1219"/>
      <c r="AK77" s="1223"/>
      <c r="AL77" s="1221"/>
      <c r="AM77" s="1219"/>
      <c r="AN77" s="1219"/>
      <c r="AO77" s="1223"/>
      <c r="AP77" s="1221"/>
      <c r="AQ77" s="1219"/>
      <c r="AR77" s="1219"/>
      <c r="AS77" s="1223"/>
      <c r="AT77" s="1221"/>
      <c r="AU77" s="1219"/>
      <c r="AV77" s="1219"/>
      <c r="AW77" s="1223"/>
      <c r="AX77" s="1221"/>
      <c r="AY77" s="1223"/>
      <c r="AZ77" s="1233"/>
      <c r="BA77" s="1237"/>
    </row>
    <row r="78" s="483" customFormat="1" ht="15" customHeight="1" spans="1:54">
      <c r="A78" s="1245">
        <v>45735</v>
      </c>
      <c r="B78" s="1246">
        <v>1000025658</v>
      </c>
      <c r="C78" s="1217"/>
      <c r="D78" s="1217"/>
      <c r="E78" s="1219"/>
      <c r="F78" s="1219"/>
      <c r="G78" s="1220"/>
      <c r="H78" s="1221"/>
      <c r="I78" s="1222"/>
      <c r="J78" s="1222"/>
      <c r="K78" s="1222">
        <v>30000</v>
      </c>
      <c r="L78" s="1223"/>
      <c r="M78" s="1224"/>
      <c r="N78" s="1221"/>
      <c r="O78" s="1219"/>
      <c r="P78" s="1223"/>
      <c r="Q78" s="1221"/>
      <c r="R78" s="1220"/>
      <c r="S78" s="1220"/>
      <c r="T78" s="1223"/>
      <c r="U78" s="1225"/>
      <c r="V78" s="1220"/>
      <c r="W78" s="1220"/>
      <c r="X78" s="1223"/>
      <c r="Y78" s="1225"/>
      <c r="Z78" s="1223"/>
      <c r="AA78" s="1230"/>
      <c r="AB78" s="1194"/>
      <c r="AC78" s="1227"/>
      <c r="AD78" s="1222"/>
      <c r="AE78" s="1222"/>
      <c r="AF78" s="1233"/>
      <c r="AG78" s="1220"/>
      <c r="AH78" s="1224"/>
      <c r="AI78" s="1221"/>
      <c r="AJ78" s="1219"/>
      <c r="AK78" s="1223"/>
      <c r="AL78" s="1221"/>
      <c r="AM78" s="1219"/>
      <c r="AN78" s="1219"/>
      <c r="AO78" s="1223"/>
      <c r="AP78" s="1221"/>
      <c r="AQ78" s="1219"/>
      <c r="AR78" s="1219"/>
      <c r="AS78" s="1223"/>
      <c r="AT78" s="1221"/>
      <c r="AU78" s="1219"/>
      <c r="AV78" s="1219"/>
      <c r="AW78" s="1223"/>
      <c r="AX78" s="1221"/>
      <c r="AY78" s="1223"/>
      <c r="AZ78" s="1233"/>
      <c r="BA78" s="1237"/>
    </row>
    <row r="79" s="483" customFormat="1" ht="15" customHeight="1" spans="1:54">
      <c r="A79" s="1245">
        <v>45735</v>
      </c>
      <c r="B79" s="1247">
        <v>1000025659</v>
      </c>
      <c r="C79" s="1217"/>
      <c r="D79" s="1217"/>
      <c r="E79" s="1219"/>
      <c r="F79" s="1219"/>
      <c r="G79" s="1220"/>
      <c r="H79" s="1221"/>
      <c r="I79" s="1222"/>
      <c r="J79" s="1222"/>
      <c r="K79" s="1222"/>
      <c r="L79" s="1223"/>
      <c r="M79" s="1224"/>
      <c r="N79" s="1221"/>
      <c r="O79" s="1219">
        <v>50000</v>
      </c>
      <c r="P79" s="1223"/>
      <c r="Q79" s="1221"/>
      <c r="R79" s="1220"/>
      <c r="S79" s="1220"/>
      <c r="T79" s="1223"/>
      <c r="U79" s="1225"/>
      <c r="V79" s="1220"/>
      <c r="W79" s="1220"/>
      <c r="X79" s="1223"/>
      <c r="Y79" s="1225"/>
      <c r="Z79" s="1223"/>
      <c r="AA79" s="1230"/>
      <c r="AB79" s="1194"/>
      <c r="AC79" s="1227"/>
      <c r="AD79" s="1222"/>
      <c r="AE79" s="1222"/>
      <c r="AF79" s="1233"/>
      <c r="AG79" s="1220"/>
      <c r="AH79" s="1224"/>
      <c r="AI79" s="1221"/>
      <c r="AJ79" s="1219"/>
      <c r="AK79" s="1223"/>
      <c r="AL79" s="1221"/>
      <c r="AM79" s="1219"/>
      <c r="AN79" s="1219"/>
      <c r="AO79" s="1223"/>
      <c r="AP79" s="1221"/>
      <c r="AQ79" s="1219"/>
      <c r="AR79" s="1219"/>
      <c r="AS79" s="1223"/>
      <c r="AT79" s="1221"/>
      <c r="AU79" s="1219"/>
      <c r="AV79" s="1219"/>
      <c r="AW79" s="1223"/>
      <c r="AX79" s="1221"/>
      <c r="AY79" s="1223"/>
      <c r="AZ79" s="1233"/>
      <c r="BA79" s="1237"/>
    </row>
    <row r="80" s="483" customFormat="1" ht="15" customHeight="1" spans="1:54">
      <c r="A80" s="1245">
        <v>45735</v>
      </c>
      <c r="B80" s="1247">
        <v>1000026383</v>
      </c>
      <c r="C80" s="1217"/>
      <c r="D80" s="1217"/>
      <c r="E80" s="1219"/>
      <c r="F80" s="1219"/>
      <c r="G80" s="1220"/>
      <c r="H80" s="1221"/>
      <c r="I80" s="1222"/>
      <c r="J80" s="1222"/>
      <c r="K80" s="1222"/>
      <c r="L80" s="1223"/>
      <c r="M80" s="1224"/>
      <c r="N80" s="1221"/>
      <c r="O80" s="1219"/>
      <c r="P80" s="1223"/>
      <c r="Q80" s="1221"/>
      <c r="R80" s="1220"/>
      <c r="S80" s="1220"/>
      <c r="T80" s="1223"/>
      <c r="U80" s="1225">
        <v>60000</v>
      </c>
      <c r="V80" s="1220"/>
      <c r="W80" s="1220"/>
      <c r="X80" s="1223"/>
      <c r="Y80" s="1225"/>
      <c r="Z80" s="1223"/>
      <c r="AA80" s="1230"/>
      <c r="AB80" s="1194"/>
      <c r="AC80" s="1227"/>
      <c r="AD80" s="1222"/>
      <c r="AE80" s="1222"/>
      <c r="AF80" s="1233"/>
      <c r="AG80" s="1220"/>
      <c r="AH80" s="1224"/>
      <c r="AI80" s="1221"/>
      <c r="AJ80" s="1219"/>
      <c r="AK80" s="1223"/>
      <c r="AL80" s="1221"/>
      <c r="AM80" s="1219"/>
      <c r="AN80" s="1219"/>
      <c r="AO80" s="1223"/>
      <c r="AP80" s="1221"/>
      <c r="AQ80" s="1219"/>
      <c r="AR80" s="1219"/>
      <c r="AS80" s="1223"/>
      <c r="AT80" s="1221"/>
      <c r="AU80" s="1219"/>
      <c r="AV80" s="1219"/>
      <c r="AW80" s="1223"/>
      <c r="AX80" s="1221"/>
      <c r="AY80" s="1223"/>
      <c r="AZ80" s="1233"/>
      <c r="BA80" s="1237"/>
    </row>
    <row r="81" s="483" customFormat="1" ht="15" customHeight="1" spans="1:53">
      <c r="A81" s="1245">
        <v>45735</v>
      </c>
      <c r="B81" s="1247">
        <v>1000026385</v>
      </c>
      <c r="C81" s="1217"/>
      <c r="D81" s="1217"/>
      <c r="E81" s="1219"/>
      <c r="F81" s="1219"/>
      <c r="G81" s="1220"/>
      <c r="H81" s="1221"/>
      <c r="I81" s="1222"/>
      <c r="J81" s="1222"/>
      <c r="K81" s="1222"/>
      <c r="L81" s="1223"/>
      <c r="M81" s="1224"/>
      <c r="N81" s="1221"/>
      <c r="O81" s="1219"/>
      <c r="P81" s="1223"/>
      <c r="Q81" s="1221"/>
      <c r="R81" s="1220"/>
      <c r="S81" s="1220"/>
      <c r="T81" s="1223"/>
      <c r="U81" s="1225"/>
      <c r="V81" s="1220">
        <v>60000</v>
      </c>
      <c r="W81" s="1220"/>
      <c r="X81" s="1223"/>
      <c r="Y81" s="1225"/>
      <c r="Z81" s="1223"/>
      <c r="AA81" s="1230"/>
      <c r="AB81" s="1194"/>
      <c r="AC81" s="1227"/>
      <c r="AD81" s="1222"/>
      <c r="AE81" s="1222"/>
      <c r="AF81" s="1233"/>
      <c r="AG81" s="1220"/>
      <c r="AH81" s="1224"/>
      <c r="AI81" s="1221"/>
      <c r="AJ81" s="1219"/>
      <c r="AK81" s="1223"/>
      <c r="AL81" s="1221"/>
      <c r="AM81" s="1219"/>
      <c r="AN81" s="1219"/>
      <c r="AO81" s="1223"/>
      <c r="AP81" s="1221"/>
      <c r="AQ81" s="1219"/>
      <c r="AR81" s="1219"/>
      <c r="AS81" s="1223"/>
      <c r="AT81" s="1221"/>
      <c r="AU81" s="1219"/>
      <c r="AV81" s="1219"/>
      <c r="AW81" s="1223"/>
      <c r="AX81" s="1221"/>
      <c r="AY81" s="1223"/>
      <c r="AZ81" s="1233"/>
      <c r="BA81" s="1237"/>
    </row>
    <row r="82" s="483" customFormat="1" ht="15" customHeight="1" spans="1:53">
      <c r="A82" s="1245">
        <v>45735</v>
      </c>
      <c r="B82" s="1247">
        <v>1000026386</v>
      </c>
      <c r="C82" s="1217"/>
      <c r="D82" s="1217"/>
      <c r="E82" s="1219"/>
      <c r="F82" s="1219"/>
      <c r="G82" s="1220"/>
      <c r="H82" s="1221"/>
      <c r="I82" s="1222"/>
      <c r="J82" s="1222"/>
      <c r="K82" s="1222"/>
      <c r="L82" s="1223"/>
      <c r="M82" s="1224"/>
      <c r="N82" s="1221"/>
      <c r="O82" s="1219"/>
      <c r="P82" s="1223"/>
      <c r="Q82" s="1221"/>
      <c r="R82" s="1220"/>
      <c r="S82" s="1220"/>
      <c r="T82" s="1223"/>
      <c r="U82" s="1225"/>
      <c r="V82" s="1220"/>
      <c r="W82" s="1220">
        <v>60000</v>
      </c>
      <c r="X82" s="1220"/>
      <c r="Y82" s="1225"/>
      <c r="AA82" s="1230"/>
      <c r="AB82" s="1194"/>
      <c r="AC82" s="1227"/>
      <c r="AD82" s="1222"/>
      <c r="AE82" s="1222"/>
      <c r="AF82" s="1233"/>
      <c r="AG82" s="1220"/>
      <c r="AH82" s="1224"/>
      <c r="AI82" s="1221"/>
      <c r="AJ82" s="1219"/>
      <c r="AK82" s="1223"/>
      <c r="AL82" s="1221"/>
      <c r="AM82" s="1219"/>
      <c r="AN82" s="1219"/>
      <c r="AO82" s="1223"/>
      <c r="AP82" s="1221"/>
      <c r="AQ82" s="1219"/>
      <c r="AR82" s="1219"/>
      <c r="AS82" s="1223"/>
      <c r="AT82" s="1221"/>
      <c r="AU82" s="1219"/>
      <c r="AV82" s="1219"/>
      <c r="AW82" s="1223"/>
      <c r="AX82" s="1221"/>
      <c r="AY82" s="1223"/>
      <c r="AZ82" s="1233"/>
      <c r="BA82" s="1237"/>
    </row>
    <row r="83" s="483" customFormat="1" ht="15" customHeight="1" spans="1:53">
      <c r="A83" s="1245">
        <v>45735</v>
      </c>
      <c r="B83" s="1247">
        <v>1000026387</v>
      </c>
      <c r="C83" s="1217"/>
      <c r="D83" s="1217"/>
      <c r="E83" s="1219"/>
      <c r="F83" s="1219"/>
      <c r="G83" s="1220"/>
      <c r="H83" s="1221"/>
      <c r="I83" s="1222"/>
      <c r="J83" s="1222"/>
      <c r="K83" s="1222"/>
      <c r="L83" s="1223"/>
      <c r="M83" s="1224"/>
      <c r="N83" s="1221"/>
      <c r="O83" s="1219"/>
      <c r="P83" s="1223"/>
      <c r="Q83" s="1221"/>
      <c r="R83" s="1220"/>
      <c r="S83" s="1220"/>
      <c r="T83" s="1223"/>
      <c r="U83" s="1225"/>
      <c r="V83" s="1220"/>
      <c r="W83" s="1220"/>
      <c r="X83" s="1220">
        <v>60000</v>
      </c>
      <c r="Y83" s="1225"/>
      <c r="Z83" s="1223"/>
      <c r="AA83" s="1230"/>
      <c r="AB83" s="1194"/>
      <c r="AC83" s="1227"/>
      <c r="AD83" s="1222"/>
      <c r="AE83" s="1222"/>
      <c r="AF83" s="1233"/>
      <c r="AG83" s="1220"/>
      <c r="AH83" s="1224"/>
      <c r="AI83" s="1221"/>
      <c r="AJ83" s="1219"/>
      <c r="AK83" s="1223"/>
      <c r="AL83" s="1221"/>
      <c r="AM83" s="1219"/>
      <c r="AN83" s="1219"/>
      <c r="AO83" s="1223"/>
      <c r="AP83" s="1221"/>
      <c r="AQ83" s="1219"/>
      <c r="AR83" s="1219"/>
      <c r="AS83" s="1223"/>
      <c r="AT83" s="1221"/>
      <c r="AU83" s="1219"/>
      <c r="AV83" s="1219"/>
      <c r="AW83" s="1223"/>
      <c r="AX83" s="1221"/>
      <c r="AY83" s="1223"/>
      <c r="AZ83" s="1233"/>
      <c r="BA83" s="1237"/>
    </row>
    <row r="84" s="483" customFormat="1" ht="15" customHeight="1" spans="1:53">
      <c r="A84" s="1245">
        <v>45735</v>
      </c>
      <c r="B84" s="1247">
        <v>1000026388</v>
      </c>
      <c r="C84" s="1217"/>
      <c r="D84" s="1217"/>
      <c r="E84" s="1219"/>
      <c r="F84" s="1219"/>
      <c r="G84" s="1220"/>
      <c r="H84" s="1221"/>
      <c r="I84" s="1222"/>
      <c r="J84" s="1222"/>
      <c r="K84" s="1222"/>
      <c r="L84" s="1223"/>
      <c r="M84" s="1224"/>
      <c r="N84" s="1221"/>
      <c r="O84" s="1219"/>
      <c r="P84" s="1223"/>
      <c r="Q84" s="1221"/>
      <c r="R84" s="1220"/>
      <c r="S84" s="1220"/>
      <c r="T84" s="1223"/>
      <c r="U84" s="1225"/>
      <c r="V84" s="1220"/>
      <c r="W84" s="1220"/>
      <c r="X84" s="1223"/>
      <c r="Y84" s="1225"/>
      <c r="Z84" s="1223"/>
      <c r="AA84" s="1230"/>
      <c r="AB84" s="1194"/>
      <c r="AC84" s="1227"/>
      <c r="AD84" s="1222">
        <v>30000</v>
      </c>
      <c r="AE84" s="1222"/>
      <c r="AF84" s="1233"/>
      <c r="AG84" s="1220"/>
      <c r="AH84" s="1224"/>
      <c r="AI84" s="1221"/>
      <c r="AJ84" s="1219"/>
      <c r="AK84" s="1223"/>
      <c r="AL84" s="1221"/>
      <c r="AM84" s="1219"/>
      <c r="AN84" s="1219"/>
      <c r="AO84" s="1223"/>
      <c r="AP84" s="1221"/>
      <c r="AQ84" s="1219"/>
      <c r="AR84" s="1219"/>
      <c r="AS84" s="1223"/>
      <c r="AT84" s="1221"/>
      <c r="AU84" s="1219"/>
      <c r="AV84" s="1219"/>
      <c r="AW84" s="1223"/>
      <c r="AX84" s="1221"/>
      <c r="AY84" s="1223"/>
      <c r="AZ84" s="1233"/>
      <c r="BA84" s="1237"/>
    </row>
    <row r="85" s="483" customFormat="1" ht="15" customHeight="1" spans="1:53">
      <c r="A85" s="1216">
        <v>45797</v>
      </c>
      <c r="B85" s="1217">
        <v>1000028147</v>
      </c>
      <c r="C85" s="1217"/>
      <c r="D85" s="1217"/>
      <c r="E85" s="1219"/>
      <c r="F85" s="1219"/>
      <c r="G85" s="1220"/>
      <c r="H85" s="1221"/>
      <c r="I85" s="1222">
        <v>50000</v>
      </c>
      <c r="J85" s="1222"/>
      <c r="K85" s="1222"/>
      <c r="L85" s="1223"/>
      <c r="M85" s="1224"/>
      <c r="N85" s="1221"/>
      <c r="O85" s="1219"/>
      <c r="P85" s="1223"/>
      <c r="Q85" s="1221"/>
      <c r="R85" s="1220"/>
      <c r="S85" s="1220"/>
      <c r="T85" s="1223"/>
      <c r="U85" s="1225"/>
      <c r="V85" s="1220"/>
      <c r="W85" s="1220"/>
      <c r="X85" s="1223"/>
      <c r="Y85" s="1225"/>
      <c r="Z85" s="1223"/>
      <c r="AA85" s="1230"/>
      <c r="AB85" s="1194"/>
      <c r="AC85" s="1227"/>
      <c r="AD85" s="1222"/>
      <c r="AE85" s="1222"/>
      <c r="AF85" s="1233"/>
      <c r="AG85" s="1220"/>
      <c r="AH85" s="1224"/>
      <c r="AI85" s="1221"/>
      <c r="AJ85" s="1219"/>
      <c r="AK85" s="1223"/>
      <c r="AL85" s="1221"/>
      <c r="AM85" s="1219"/>
      <c r="AN85" s="1219"/>
      <c r="AO85" s="1223"/>
      <c r="AP85" s="1221"/>
      <c r="AQ85" s="1219"/>
      <c r="AR85" s="1219"/>
      <c r="AS85" s="1223"/>
      <c r="AT85" s="1221"/>
      <c r="AU85" s="1219"/>
      <c r="AV85" s="1219"/>
      <c r="AW85" s="1223"/>
      <c r="AX85" s="1221"/>
      <c r="AY85" s="1223"/>
      <c r="AZ85" s="1233"/>
      <c r="BA85" s="1237"/>
    </row>
    <row r="86" s="483" customFormat="1" spans="1:53">
      <c r="A86" s="1216">
        <v>45797</v>
      </c>
      <c r="B86" s="1217">
        <v>1000028148</v>
      </c>
      <c r="C86" s="1217"/>
      <c r="D86" s="1217"/>
      <c r="E86" s="1219"/>
      <c r="F86" s="1219"/>
      <c r="G86" s="1220"/>
      <c r="H86" s="1221"/>
      <c r="I86" s="1222"/>
      <c r="J86" s="1222"/>
      <c r="K86" s="1222"/>
      <c r="L86" s="1223"/>
      <c r="M86" s="1224"/>
      <c r="N86" s="1221"/>
      <c r="O86" s="1219">
        <v>70000</v>
      </c>
      <c r="P86" s="1223"/>
      <c r="Q86" s="1221"/>
      <c r="R86" s="1220"/>
      <c r="S86" s="1220"/>
      <c r="T86" s="1223"/>
      <c r="U86" s="1225"/>
      <c r="V86" s="1220"/>
      <c r="W86" s="1220"/>
      <c r="X86" s="1223"/>
      <c r="Y86" s="1225"/>
      <c r="Z86" s="1223"/>
      <c r="AA86" s="1230"/>
      <c r="AB86" s="1194"/>
      <c r="AC86" s="1227"/>
      <c r="AD86" s="1222"/>
      <c r="AE86" s="1222"/>
      <c r="AF86" s="1222"/>
      <c r="AG86" s="1231"/>
      <c r="AH86" s="1232"/>
      <c r="AI86" s="1221"/>
      <c r="AJ86" s="1219"/>
      <c r="AK86" s="1223"/>
      <c r="AL86" s="1221"/>
      <c r="AM86" s="1219"/>
      <c r="AN86" s="1219"/>
      <c r="AO86" s="1223"/>
      <c r="AP86" s="1221"/>
      <c r="AQ86" s="1219"/>
      <c r="AR86" s="1219"/>
      <c r="AS86" s="1223"/>
      <c r="AT86" s="1221"/>
      <c r="AU86" s="1219"/>
      <c r="AV86" s="1219"/>
      <c r="AW86" s="1223"/>
      <c r="AX86" s="1221"/>
      <c r="AY86" s="1223"/>
      <c r="AZ86" s="1233"/>
      <c r="BA86" s="1237"/>
    </row>
    <row r="87" s="483" customFormat="1" spans="1:53">
      <c r="A87" s="1216">
        <v>45797</v>
      </c>
      <c r="B87" s="1217">
        <v>1000028149</v>
      </c>
      <c r="C87" s="1217"/>
      <c r="D87" s="1217"/>
      <c r="E87" s="1219"/>
      <c r="F87" s="1219"/>
      <c r="G87" s="1220"/>
      <c r="H87" s="1221"/>
      <c r="I87" s="1222"/>
      <c r="J87" s="1222"/>
      <c r="K87" s="1222"/>
      <c r="L87" s="1223"/>
      <c r="M87" s="1224"/>
      <c r="N87" s="1221"/>
      <c r="O87" s="1219"/>
      <c r="P87" s="1223"/>
      <c r="Q87" s="1221"/>
      <c r="R87" s="1220"/>
      <c r="S87" s="1220"/>
      <c r="T87" s="1223"/>
      <c r="U87" s="1225">
        <v>36000</v>
      </c>
      <c r="V87" s="1220"/>
      <c r="W87" s="1220"/>
      <c r="X87" s="1223"/>
      <c r="Y87" s="1225"/>
      <c r="Z87" s="1223"/>
      <c r="AA87" s="1230"/>
      <c r="AB87" s="1194"/>
      <c r="AC87" s="1227"/>
      <c r="AD87" s="1222"/>
      <c r="AE87" s="1222"/>
      <c r="AF87" s="1222"/>
      <c r="AG87" s="1231"/>
      <c r="AH87" s="1232"/>
      <c r="AI87" s="1221"/>
      <c r="AJ87" s="1219"/>
      <c r="AK87" s="1223"/>
      <c r="AL87" s="1221"/>
      <c r="AM87" s="1219"/>
      <c r="AN87" s="1219"/>
      <c r="AO87" s="1223"/>
      <c r="AP87" s="1221"/>
      <c r="AQ87" s="1219"/>
      <c r="AR87" s="1219"/>
      <c r="AS87" s="1223"/>
      <c r="AT87" s="1221"/>
      <c r="AU87" s="1219"/>
      <c r="AV87" s="1219"/>
      <c r="AW87" s="1223"/>
      <c r="AX87" s="1221"/>
      <c r="AY87" s="1223"/>
      <c r="AZ87" s="1233"/>
      <c r="BA87" s="1237"/>
    </row>
    <row r="88" s="483" customFormat="1" spans="1:53">
      <c r="A88" s="1216">
        <v>45797</v>
      </c>
      <c r="B88" s="1217">
        <v>1000028150</v>
      </c>
      <c r="C88" s="1217"/>
      <c r="D88" s="1217"/>
      <c r="E88" s="1219"/>
      <c r="F88" s="1219"/>
      <c r="G88" s="1220"/>
      <c r="H88" s="1221"/>
      <c r="I88" s="1222"/>
      <c r="J88" s="1222"/>
      <c r="K88" s="1222"/>
      <c r="L88" s="1223"/>
      <c r="M88" s="1224"/>
      <c r="N88" s="1221"/>
      <c r="O88" s="1219"/>
      <c r="P88" s="1223"/>
      <c r="Q88" s="1221"/>
      <c r="R88" s="1220"/>
      <c r="S88" s="1220"/>
      <c r="T88" s="1223"/>
      <c r="U88" s="1225"/>
      <c r="V88" s="1220">
        <v>36000</v>
      </c>
      <c r="W88" s="1220"/>
      <c r="X88" s="1223"/>
      <c r="Y88" s="1225"/>
      <c r="Z88" s="1223"/>
      <c r="AA88" s="1230"/>
      <c r="AB88" s="1194"/>
      <c r="AC88" s="1227"/>
      <c r="AD88" s="1222"/>
      <c r="AE88" s="1222"/>
      <c r="AF88" s="1222"/>
      <c r="AG88" s="1231"/>
      <c r="AH88" s="1232"/>
      <c r="AI88" s="1221"/>
      <c r="AJ88" s="1219"/>
      <c r="AK88" s="1223"/>
      <c r="AL88" s="1221"/>
      <c r="AM88" s="1219"/>
      <c r="AN88" s="1219"/>
      <c r="AO88" s="1223"/>
      <c r="AP88" s="1221"/>
      <c r="AQ88" s="1219"/>
      <c r="AR88" s="1219"/>
      <c r="AS88" s="1223"/>
      <c r="AT88" s="1221"/>
      <c r="AU88" s="1219"/>
      <c r="AV88" s="1219"/>
      <c r="AW88" s="1223"/>
      <c r="AX88" s="1221"/>
      <c r="AY88" s="1223"/>
      <c r="AZ88" s="1233"/>
      <c r="BA88" s="1237"/>
    </row>
    <row r="89" s="483" customFormat="1" spans="1:53">
      <c r="A89" s="1216">
        <v>45797</v>
      </c>
      <c r="B89" s="1217">
        <v>1000028151</v>
      </c>
      <c r="C89" s="1217"/>
      <c r="D89" s="1217"/>
      <c r="E89" s="1219"/>
      <c r="F89" s="1219"/>
      <c r="G89" s="1220"/>
      <c r="H89" s="1221"/>
      <c r="I89" s="1222"/>
      <c r="J89" s="1222"/>
      <c r="K89" s="1222"/>
      <c r="L89" s="1223"/>
      <c r="M89" s="1224"/>
      <c r="N89" s="1221"/>
      <c r="O89" s="1219"/>
      <c r="P89" s="1223"/>
      <c r="Q89" s="1221"/>
      <c r="R89" s="1220"/>
      <c r="S89" s="1220"/>
      <c r="T89" s="1223"/>
      <c r="U89" s="1225"/>
      <c r="V89" s="1220"/>
      <c r="W89" s="1220">
        <v>33000</v>
      </c>
      <c r="X89" s="1223"/>
      <c r="Y89" s="1225"/>
      <c r="Z89" s="1223"/>
      <c r="AA89" s="1230"/>
      <c r="AB89" s="1194"/>
      <c r="AC89" s="1227"/>
      <c r="AD89" s="1222"/>
      <c r="AE89" s="1222"/>
      <c r="AF89" s="1222"/>
      <c r="AG89" s="1231"/>
      <c r="AH89" s="1232"/>
      <c r="AI89" s="1221"/>
      <c r="AJ89" s="1219"/>
      <c r="AK89" s="1223"/>
      <c r="AL89" s="1221"/>
      <c r="AM89" s="1219"/>
      <c r="AN89" s="1219"/>
      <c r="AO89" s="1223"/>
      <c r="AP89" s="1221"/>
      <c r="AQ89" s="1219"/>
      <c r="AR89" s="1219"/>
      <c r="AS89" s="1223"/>
      <c r="AT89" s="1221"/>
      <c r="AU89" s="1219"/>
      <c r="AV89" s="1219"/>
      <c r="AW89" s="1223"/>
      <c r="AX89" s="1221"/>
      <c r="AY89" s="1223"/>
      <c r="AZ89" s="1233"/>
      <c r="BA89" s="1237"/>
    </row>
    <row r="90" s="483" customFormat="1" spans="1:53">
      <c r="A90" s="1216">
        <v>45797</v>
      </c>
      <c r="B90" s="1217">
        <v>1000028152</v>
      </c>
      <c r="C90" s="1217"/>
      <c r="D90" s="1217"/>
      <c r="E90" s="1219"/>
      <c r="F90" s="1219"/>
      <c r="G90" s="1220"/>
      <c r="H90" s="1221"/>
      <c r="I90" s="1222"/>
      <c r="J90" s="1222"/>
      <c r="K90" s="1222"/>
      <c r="L90" s="1223"/>
      <c r="M90" s="1224"/>
      <c r="N90" s="1221"/>
      <c r="O90" s="1219"/>
      <c r="P90" s="1223"/>
      <c r="Q90" s="1221"/>
      <c r="R90" s="1220"/>
      <c r="S90" s="1220"/>
      <c r="T90" s="1223"/>
      <c r="U90" s="1225"/>
      <c r="V90" s="1220"/>
      <c r="W90" s="1220"/>
      <c r="X90" s="1223">
        <v>30000</v>
      </c>
      <c r="Y90" s="1225"/>
      <c r="Z90" s="1223"/>
      <c r="AA90" s="1230"/>
      <c r="AB90" s="1194"/>
      <c r="AC90" s="1227"/>
      <c r="AD90" s="1222"/>
      <c r="AE90" s="1222"/>
      <c r="AF90" s="1222"/>
      <c r="AG90" s="1231"/>
      <c r="AH90" s="1232"/>
      <c r="AI90" s="1221"/>
      <c r="AJ90" s="1219"/>
      <c r="AK90" s="1223"/>
      <c r="AL90" s="1221"/>
      <c r="AM90" s="1219"/>
      <c r="AN90" s="1219"/>
      <c r="AO90" s="1223"/>
      <c r="AP90" s="1221"/>
      <c r="AQ90" s="1219"/>
      <c r="AR90" s="1219"/>
      <c r="AS90" s="1223"/>
      <c r="AT90" s="1221"/>
      <c r="AU90" s="1219"/>
      <c r="AV90" s="1219"/>
      <c r="AW90" s="1223"/>
      <c r="AX90" s="1221"/>
      <c r="AY90" s="1223"/>
      <c r="AZ90" s="1233"/>
      <c r="BA90" s="1237"/>
    </row>
    <row r="91" s="483" customFormat="1" ht="36" spans="1:53">
      <c r="A91" s="1216">
        <v>45821</v>
      </c>
      <c r="B91" s="1217">
        <v>1000029007</v>
      </c>
      <c r="C91" s="1217">
        <v>92107</v>
      </c>
      <c r="D91" s="1217" t="s">
        <v>12171</v>
      </c>
      <c r="E91" s="1222">
        <v>46779</v>
      </c>
      <c r="F91" s="1219" t="s">
        <v>9128</v>
      </c>
      <c r="G91" s="1220" t="s">
        <v>12179</v>
      </c>
      <c r="H91" s="1221"/>
      <c r="I91" s="1222"/>
      <c r="J91" s="1222"/>
      <c r="K91" s="1222"/>
      <c r="L91" s="1223">
        <v>46779</v>
      </c>
      <c r="M91" s="1224"/>
      <c r="N91" s="1221"/>
      <c r="O91" s="1219"/>
      <c r="P91" s="1223"/>
      <c r="Q91" s="1221"/>
      <c r="R91" s="1220"/>
      <c r="S91" s="1220"/>
      <c r="T91" s="1223"/>
      <c r="U91" s="1225"/>
      <c r="V91" s="1220"/>
      <c r="W91" s="1220"/>
      <c r="X91" s="1223"/>
      <c r="Y91" s="1225"/>
      <c r="Z91" s="1223"/>
      <c r="AA91" s="1248" t="s">
        <v>12180</v>
      </c>
      <c r="AB91" s="1194"/>
      <c r="AC91" s="1227"/>
      <c r="AD91" s="1222"/>
      <c r="AE91" s="1222"/>
      <c r="AF91" s="1222"/>
      <c r="AG91" s="1231"/>
      <c r="AH91" s="1232"/>
      <c r="AI91" s="1221"/>
      <c r="AJ91" s="1219"/>
      <c r="AK91" s="1223"/>
      <c r="AL91" s="1221"/>
      <c r="AM91" s="1219"/>
      <c r="AN91" s="1219"/>
      <c r="AO91" s="1223"/>
      <c r="AP91" s="1221"/>
      <c r="AQ91" s="1219"/>
      <c r="AR91" s="1219"/>
      <c r="AS91" s="1223"/>
      <c r="AT91" s="1221"/>
      <c r="AU91" s="1219"/>
      <c r="AV91" s="1219"/>
      <c r="AW91" s="1223"/>
      <c r="AX91" s="1221"/>
      <c r="AY91" s="1223"/>
      <c r="AZ91" s="1233"/>
      <c r="BA91" s="1237"/>
    </row>
    <row r="92" s="483" customFormat="1" ht="15" spans="1:53">
      <c r="A92" s="1216">
        <v>45825</v>
      </c>
      <c r="B92" s="1247">
        <v>1000029052</v>
      </c>
      <c r="C92" s="1249">
        <v>92108</v>
      </c>
      <c r="D92" s="1217" t="s">
        <v>12159</v>
      </c>
      <c r="E92" s="1219">
        <v>50000</v>
      </c>
      <c r="F92" s="1219" t="s">
        <v>12160</v>
      </c>
      <c r="G92" s="1220" t="s">
        <v>12179</v>
      </c>
      <c r="H92" s="1221"/>
      <c r="I92" s="1222"/>
      <c r="J92" s="1222"/>
      <c r="K92" s="1222"/>
      <c r="L92" s="1223"/>
      <c r="M92" s="1224"/>
      <c r="N92" s="1221"/>
      <c r="O92" s="1219"/>
      <c r="P92" s="1223"/>
      <c r="Q92" s="1221"/>
      <c r="R92" s="1220"/>
      <c r="S92" s="1220"/>
      <c r="T92" s="1223"/>
      <c r="U92" s="1225"/>
      <c r="V92" s="1220"/>
      <c r="W92" s="1220"/>
      <c r="X92" s="1223"/>
      <c r="Y92" s="1225"/>
      <c r="Z92" s="1223"/>
      <c r="AA92" s="1230"/>
      <c r="AB92" s="1194"/>
      <c r="AC92" s="1227"/>
      <c r="AD92" s="1222"/>
      <c r="AE92" s="1222"/>
      <c r="AF92" s="1222"/>
      <c r="AG92" s="1231"/>
      <c r="AH92" s="1232"/>
      <c r="AI92" s="1221"/>
      <c r="AJ92" s="1219">
        <v>50000</v>
      </c>
      <c r="AK92" s="1223"/>
      <c r="AL92" s="1221"/>
      <c r="AM92" s="1219"/>
      <c r="AN92" s="1219"/>
      <c r="AO92" s="1223"/>
      <c r="AP92" s="1221"/>
      <c r="AQ92" s="1219"/>
      <c r="AR92" s="1219"/>
      <c r="AS92" s="1223"/>
      <c r="AT92" s="1221"/>
      <c r="AU92" s="1219"/>
      <c r="AV92" s="1219"/>
      <c r="AW92" s="1223"/>
      <c r="AX92" s="1221"/>
      <c r="AY92" s="1223"/>
      <c r="AZ92" s="1233"/>
      <c r="BA92" s="1237"/>
    </row>
    <row r="93" s="1158" customFormat="1" ht="15" spans="1:53">
      <c r="A93" s="1245">
        <v>45873</v>
      </c>
      <c r="B93" s="1250">
        <v>1000030697</v>
      </c>
      <c r="C93" s="1217">
        <v>92107</v>
      </c>
      <c r="D93" s="1217" t="s">
        <v>12154</v>
      </c>
      <c r="E93" s="1219">
        <v>30000</v>
      </c>
      <c r="F93" s="1219" t="s">
        <v>12155</v>
      </c>
      <c r="G93" s="1220" t="s">
        <v>12181</v>
      </c>
      <c r="H93" s="1221"/>
      <c r="I93" s="1222">
        <v>30000</v>
      </c>
      <c r="J93" s="1222"/>
      <c r="K93" s="1222"/>
      <c r="L93" s="1223"/>
      <c r="M93" s="1224"/>
      <c r="N93" s="1221"/>
      <c r="O93" s="1219"/>
      <c r="P93" s="1223"/>
      <c r="Q93" s="1221"/>
      <c r="R93" s="1220"/>
      <c r="S93" s="1220"/>
      <c r="T93" s="1223"/>
      <c r="U93" s="1225"/>
      <c r="V93" s="1220"/>
      <c r="W93" s="1220"/>
      <c r="X93" s="1223"/>
      <c r="Y93" s="1225"/>
      <c r="Z93" s="1223"/>
      <c r="AA93" s="1226"/>
      <c r="AB93" s="1194"/>
      <c r="AC93" s="1251"/>
      <c r="AD93" s="1252"/>
      <c r="AE93" s="1252"/>
      <c r="AF93" s="1252"/>
      <c r="AG93" s="1253"/>
      <c r="AH93" s="1224"/>
      <c r="AI93" s="1221"/>
      <c r="AJ93" s="1219"/>
      <c r="AK93" s="1223"/>
      <c r="AL93" s="1221"/>
      <c r="AM93" s="1219"/>
      <c r="AN93" s="1219"/>
      <c r="AO93" s="1223"/>
      <c r="AP93" s="1221"/>
      <c r="AQ93" s="1219"/>
      <c r="AR93" s="1219"/>
      <c r="AS93" s="1223"/>
      <c r="AT93" s="1221"/>
      <c r="AU93" s="1219"/>
      <c r="AV93" s="1219"/>
      <c r="AW93" s="1223"/>
      <c r="AX93" s="1221"/>
      <c r="AY93" s="1223"/>
      <c r="AZ93" s="1222"/>
      <c r="BA93" s="1237"/>
    </row>
    <row r="94" s="1158" customFormat="1" ht="15" spans="1:53">
      <c r="A94" s="1245">
        <v>45873</v>
      </c>
      <c r="B94" s="1254">
        <v>1000030698</v>
      </c>
      <c r="C94" s="1217">
        <v>92107</v>
      </c>
      <c r="D94" s="1217" t="s">
        <v>12154</v>
      </c>
      <c r="E94" s="1219">
        <v>30000</v>
      </c>
      <c r="F94" s="1219" t="s">
        <v>12170</v>
      </c>
      <c r="G94" s="1220" t="s">
        <v>12181</v>
      </c>
      <c r="H94" s="1221"/>
      <c r="I94" s="1222"/>
      <c r="J94" s="1222"/>
      <c r="K94" s="1222">
        <v>30000</v>
      </c>
      <c r="L94" s="1223"/>
      <c r="M94" s="1224"/>
      <c r="N94" s="1221"/>
      <c r="O94" s="1219"/>
      <c r="P94" s="1223"/>
      <c r="Q94" s="1221"/>
      <c r="R94" s="1220"/>
      <c r="S94" s="1220"/>
      <c r="T94" s="1223"/>
      <c r="U94" s="1225"/>
      <c r="V94" s="1220"/>
      <c r="W94" s="1220"/>
      <c r="X94" s="1223"/>
      <c r="Y94" s="1225"/>
      <c r="Z94" s="1223"/>
      <c r="AA94" s="1226"/>
      <c r="AB94" s="1194"/>
      <c r="AC94" s="1251"/>
      <c r="AD94" s="1252"/>
      <c r="AE94" s="1252"/>
      <c r="AF94" s="1252"/>
      <c r="AG94" s="1253"/>
      <c r="AH94" s="1224"/>
      <c r="AI94" s="1221"/>
      <c r="AJ94" s="1219"/>
      <c r="AK94" s="1223"/>
      <c r="AL94" s="1221"/>
      <c r="AM94" s="1219"/>
      <c r="AN94" s="1219"/>
      <c r="AO94" s="1223"/>
      <c r="AP94" s="1221"/>
      <c r="AQ94" s="1219"/>
      <c r="AR94" s="1219"/>
      <c r="AS94" s="1223"/>
      <c r="AT94" s="1221"/>
      <c r="AU94" s="1219"/>
      <c r="AV94" s="1219"/>
      <c r="AW94" s="1223"/>
      <c r="AX94" s="1221"/>
      <c r="AY94" s="1223"/>
      <c r="AZ94" s="1222"/>
      <c r="BA94" s="1237"/>
    </row>
    <row r="95" s="1158" customFormat="1" ht="15" spans="1:53">
      <c r="A95" s="1245">
        <v>45873</v>
      </c>
      <c r="B95" s="1250">
        <v>1000030699</v>
      </c>
      <c r="C95" s="1217">
        <v>92107</v>
      </c>
      <c r="D95" s="1217" t="s">
        <v>12159</v>
      </c>
      <c r="E95" s="1219">
        <v>80000</v>
      </c>
      <c r="F95" s="1219" t="s">
        <v>12173</v>
      </c>
      <c r="G95" s="1220" t="s">
        <v>12181</v>
      </c>
      <c r="H95" s="1221"/>
      <c r="I95" s="1222"/>
      <c r="J95" s="1222"/>
      <c r="K95" s="1222"/>
      <c r="L95" s="1223"/>
      <c r="M95" s="1224"/>
      <c r="N95" s="1221"/>
      <c r="O95" s="1219">
        <v>80000</v>
      </c>
      <c r="P95" s="1223"/>
      <c r="Q95" s="1221"/>
      <c r="R95" s="1220"/>
      <c r="S95" s="1220"/>
      <c r="T95" s="1223"/>
      <c r="U95" s="1225"/>
      <c r="V95" s="1220"/>
      <c r="W95" s="1220"/>
      <c r="X95" s="1223"/>
      <c r="Y95" s="1225"/>
      <c r="Z95" s="1223"/>
      <c r="AA95" s="1226"/>
      <c r="AB95" s="1194"/>
      <c r="AC95" s="1251"/>
      <c r="AD95" s="1252"/>
      <c r="AE95" s="1252"/>
      <c r="AF95" s="1252"/>
      <c r="AG95" s="1253"/>
      <c r="AH95" s="1224"/>
      <c r="AI95" s="1221"/>
      <c r="AJ95" s="1219"/>
      <c r="AK95" s="1223"/>
      <c r="AL95" s="1221"/>
      <c r="AM95" s="1219"/>
      <c r="AN95" s="1219"/>
      <c r="AO95" s="1223"/>
      <c r="AP95" s="1221"/>
      <c r="AQ95" s="1219"/>
      <c r="AR95" s="1219"/>
      <c r="AS95" s="1223"/>
      <c r="AT95" s="1221"/>
      <c r="AU95" s="1219"/>
      <c r="AV95" s="1219"/>
      <c r="AW95" s="1223"/>
      <c r="AX95" s="1221"/>
      <c r="AY95" s="1223"/>
      <c r="AZ95" s="1222"/>
      <c r="BA95" s="1237"/>
    </row>
    <row r="96" s="1158" customFormat="1" ht="15" spans="1:53">
      <c r="A96" s="1245">
        <v>45916</v>
      </c>
      <c r="B96" s="1250">
        <v>1000032139</v>
      </c>
      <c r="C96" s="1249">
        <v>92108</v>
      </c>
      <c r="D96" s="1217" t="s">
        <v>12154</v>
      </c>
      <c r="E96" s="1219">
        <v>30000</v>
      </c>
      <c r="F96" s="1219" t="s">
        <v>12155</v>
      </c>
      <c r="G96" s="1220" t="s">
        <v>12181</v>
      </c>
      <c r="H96" s="1221"/>
      <c r="I96" s="1222"/>
      <c r="J96" s="1222"/>
      <c r="K96" s="1222"/>
      <c r="L96" s="1223"/>
      <c r="M96" s="1224"/>
      <c r="N96" s="1221"/>
      <c r="O96" s="1219"/>
      <c r="P96" s="1223"/>
      <c r="Q96" s="1221"/>
      <c r="R96" s="1220"/>
      <c r="S96" s="1220"/>
      <c r="T96" s="1223"/>
      <c r="U96" s="1225"/>
      <c r="V96" s="1220"/>
      <c r="W96" s="1220"/>
      <c r="X96" s="1223"/>
      <c r="Y96" s="1225"/>
      <c r="Z96" s="1223"/>
      <c r="AA96" s="1226"/>
      <c r="AB96" s="1194"/>
      <c r="AC96" s="1251"/>
      <c r="AD96" s="1252">
        <v>30000</v>
      </c>
      <c r="AE96" s="1252"/>
      <c r="AF96" s="1252"/>
      <c r="AG96" s="1253"/>
      <c r="AH96" s="1224"/>
      <c r="AI96" s="1221"/>
      <c r="AJ96" s="1219"/>
      <c r="AK96" s="1223"/>
      <c r="AL96" s="1221"/>
      <c r="AM96" s="1219"/>
      <c r="AN96" s="1219"/>
      <c r="AO96" s="1223"/>
      <c r="AP96" s="1221"/>
      <c r="AQ96" s="1219"/>
      <c r="AR96" s="1219"/>
      <c r="AS96" s="1223"/>
      <c r="AT96" s="1221"/>
      <c r="AU96" s="1219"/>
      <c r="AV96" s="1219"/>
      <c r="AW96" s="1223"/>
      <c r="AX96" s="1221"/>
      <c r="AY96" s="1223"/>
      <c r="AZ96" s="1222"/>
      <c r="BA96" s="1237"/>
    </row>
    <row r="97" s="1158" customFormat="1" ht="15" spans="1:53">
      <c r="A97" s="1255">
        <v>46007</v>
      </c>
      <c r="B97" s="1250">
        <v>1000034981</v>
      </c>
      <c r="C97" s="1249">
        <v>92107</v>
      </c>
      <c r="D97" s="1217" t="s">
        <v>12154</v>
      </c>
      <c r="E97" s="1219">
        <v>30000</v>
      </c>
      <c r="F97" s="1219" t="s">
        <v>12155</v>
      </c>
      <c r="G97" s="1220" t="s">
        <v>12181</v>
      </c>
      <c r="H97" s="1221"/>
      <c r="I97" s="1222">
        <v>30000</v>
      </c>
      <c r="J97" s="1222"/>
      <c r="K97" s="1222"/>
      <c r="L97" s="1223"/>
      <c r="M97" s="1224"/>
      <c r="N97" s="1221"/>
      <c r="O97" s="1219"/>
      <c r="P97" s="1223"/>
      <c r="Q97" s="1221"/>
      <c r="R97" s="1220"/>
      <c r="S97" s="1220"/>
      <c r="T97" s="1223"/>
      <c r="U97" s="1225"/>
      <c r="V97" s="1220"/>
      <c r="W97" s="1220"/>
      <c r="X97" s="1223"/>
      <c r="Y97" s="1225"/>
      <c r="Z97" s="1223"/>
      <c r="AA97" s="1226"/>
      <c r="AB97" s="1194"/>
      <c r="AC97" s="1251"/>
      <c r="AD97" s="1252"/>
      <c r="AE97" s="1252"/>
      <c r="AF97" s="1252"/>
      <c r="AG97" s="1253"/>
      <c r="AH97" s="1224"/>
      <c r="AI97" s="1221"/>
      <c r="AJ97" s="1219"/>
      <c r="AK97" s="1223"/>
      <c r="AL97" s="1221"/>
      <c r="AM97" s="1219"/>
      <c r="AN97" s="1219"/>
      <c r="AO97" s="1223"/>
      <c r="AP97" s="1221"/>
      <c r="AQ97" s="1219"/>
      <c r="AR97" s="1219"/>
      <c r="AS97" s="1223"/>
      <c r="AT97" s="1221"/>
      <c r="AU97" s="1219"/>
      <c r="AV97" s="1219"/>
      <c r="AW97" s="1223"/>
      <c r="AX97" s="1221"/>
      <c r="AY97" s="1223"/>
      <c r="AZ97" s="1222"/>
      <c r="BA97" s="1237"/>
    </row>
    <row r="98" s="1158" customFormat="1" ht="15" spans="1:53">
      <c r="A98" s="1255">
        <v>46090</v>
      </c>
      <c r="B98" s="1250">
        <v>1000037122</v>
      </c>
      <c r="C98" s="1249" t="s">
        <v>12144</v>
      </c>
      <c r="D98" s="1217" t="s">
        <v>10602</v>
      </c>
      <c r="E98" s="1219">
        <v>47</v>
      </c>
      <c r="F98" s="1219" t="s">
        <v>12155</v>
      </c>
      <c r="G98" s="1220" t="s">
        <v>8</v>
      </c>
      <c r="H98" s="1221"/>
      <c r="I98" s="1222"/>
      <c r="J98" s="1222"/>
      <c r="K98" s="1222"/>
      <c r="L98" s="1223"/>
      <c r="M98" s="1224"/>
      <c r="N98" s="1221"/>
      <c r="O98" s="1219"/>
      <c r="P98" s="1223"/>
      <c r="Q98" s="1221"/>
      <c r="R98" s="1220"/>
      <c r="S98" s="1220"/>
      <c r="T98" s="1223"/>
      <c r="U98" s="1225"/>
      <c r="V98" s="1220"/>
      <c r="W98" s="1220"/>
      <c r="X98" s="1223"/>
      <c r="Y98" s="1225">
        <v>47</v>
      </c>
      <c r="Z98" s="1223"/>
      <c r="AA98" s="1226"/>
      <c r="AB98" s="1194"/>
      <c r="AC98" s="1251"/>
      <c r="AD98" s="1252"/>
      <c r="AE98" s="1252"/>
      <c r="AF98" s="1252"/>
      <c r="AG98" s="1253"/>
      <c r="AH98" s="1224"/>
      <c r="AI98" s="1221"/>
      <c r="AJ98" s="1219"/>
      <c r="AK98" s="1223"/>
      <c r="AL98" s="1221"/>
      <c r="AM98" s="1219"/>
      <c r="AN98" s="1219"/>
      <c r="AO98" s="1223"/>
      <c r="AP98" s="1221"/>
      <c r="AQ98" s="1219"/>
      <c r="AR98" s="1219"/>
      <c r="AS98" s="1223"/>
      <c r="AT98" s="1221"/>
      <c r="AU98" s="1219"/>
      <c r="AV98" s="1219"/>
      <c r="AW98" s="1223"/>
      <c r="AX98" s="1221"/>
      <c r="AY98" s="1223"/>
      <c r="AZ98" s="1222"/>
      <c r="BA98" s="1237"/>
    </row>
    <row r="99" ht="15" spans="1:53">
      <c r="A99" s="1256">
        <v>46167</v>
      </c>
      <c r="B99" s="1257">
        <v>1000040446</v>
      </c>
      <c r="C99" s="1258">
        <v>92108</v>
      </c>
      <c r="D99" s="1259" t="s">
        <v>12159</v>
      </c>
      <c r="E99" s="1260">
        <v>27356</v>
      </c>
      <c r="F99" s="1260" t="s">
        <v>12160</v>
      </c>
      <c r="G99" s="1242" t="s">
        <v>12182</v>
      </c>
      <c r="H99" s="1261"/>
      <c r="I99" s="1262"/>
      <c r="J99" s="1262"/>
      <c r="K99" s="1262"/>
      <c r="L99" s="1263"/>
      <c r="M99" s="1229"/>
      <c r="N99" s="1261"/>
      <c r="O99" s="1264"/>
      <c r="P99" s="1263"/>
      <c r="Q99" s="1261"/>
      <c r="R99" s="1265"/>
      <c r="S99" s="1265"/>
      <c r="T99" s="1263"/>
      <c r="U99" s="1266"/>
      <c r="V99" s="1265"/>
      <c r="W99" s="1265"/>
      <c r="X99" s="1263"/>
      <c r="Y99" s="1266"/>
      <c r="Z99" s="1263"/>
      <c r="AA99" s="1267"/>
      <c r="AB99" s="1194"/>
      <c r="AC99" s="1268"/>
      <c r="AD99" s="1269"/>
      <c r="AE99" s="1270"/>
      <c r="AF99" s="1270"/>
      <c r="AG99" s="1271"/>
      <c r="AH99" s="1229"/>
      <c r="AI99" s="1272"/>
      <c r="AJ99" s="1264">
        <v>27356</v>
      </c>
      <c r="AK99" s="1243"/>
      <c r="AL99" s="1272"/>
      <c r="AM99" s="1260"/>
      <c r="AN99" s="1260"/>
      <c r="AO99" s="1243"/>
      <c r="AP99" s="1272"/>
      <c r="AQ99" s="1260"/>
      <c r="AR99" s="1260"/>
      <c r="AS99" s="1243"/>
      <c r="AT99" s="1272"/>
      <c r="AU99" s="1260"/>
      <c r="AV99" s="1260"/>
      <c r="AW99" s="1243"/>
      <c r="AX99" s="1272"/>
      <c r="AY99" s="1243"/>
      <c r="AZ99" s="1262"/>
      <c r="BA99" s="1273"/>
    </row>
    <row r="100" ht="15" spans="1:53">
      <c r="A100" s="1256">
        <v>46167</v>
      </c>
      <c r="B100" s="1257">
        <v>1000040447</v>
      </c>
      <c r="C100" s="1258">
        <v>92108</v>
      </c>
      <c r="D100" s="1259" t="s">
        <v>12154</v>
      </c>
      <c r="E100" s="1260">
        <v>28625</v>
      </c>
      <c r="F100" s="1260" t="s">
        <v>12170</v>
      </c>
      <c r="G100" s="1242" t="s">
        <v>12182</v>
      </c>
      <c r="H100" s="1261"/>
      <c r="I100" s="1262"/>
      <c r="J100" s="1262"/>
      <c r="K100" s="1262"/>
      <c r="L100" s="1263"/>
      <c r="M100" s="1229"/>
      <c r="N100" s="1261"/>
      <c r="O100" s="1264"/>
      <c r="P100" s="1263"/>
      <c r="Q100" s="1261"/>
      <c r="R100" s="1265"/>
      <c r="S100" s="1265"/>
      <c r="T100" s="1263"/>
      <c r="U100" s="1266"/>
      <c r="V100" s="1265"/>
      <c r="W100" s="1265"/>
      <c r="X100" s="1263"/>
      <c r="Y100" s="1266"/>
      <c r="Z100" s="1263"/>
      <c r="AA100" s="1267"/>
      <c r="AB100" s="1194"/>
      <c r="AC100" s="1268"/>
      <c r="AD100" s="1269"/>
      <c r="AE100" s="1270"/>
      <c r="AF100" s="1269">
        <v>28625</v>
      </c>
      <c r="AG100" s="1271"/>
      <c r="AH100" s="1229"/>
      <c r="AI100" s="1272"/>
      <c r="AJ100" s="1264"/>
      <c r="AK100" s="1243"/>
      <c r="AL100" s="1272"/>
      <c r="AM100" s="1260"/>
      <c r="AN100" s="1260"/>
      <c r="AO100" s="1243"/>
      <c r="AP100" s="1272"/>
      <c r="AQ100" s="1260"/>
      <c r="AR100" s="1260"/>
      <c r="AS100" s="1243"/>
      <c r="AT100" s="1272"/>
      <c r="AU100" s="1260"/>
      <c r="AV100" s="1260"/>
      <c r="AW100" s="1243"/>
      <c r="AX100" s="1272"/>
      <c r="AY100" s="1243"/>
      <c r="AZ100" s="1262"/>
      <c r="BA100" s="1273"/>
    </row>
    <row r="101" ht="15" spans="1:53">
      <c r="A101" s="1256"/>
      <c r="B101" s="1257"/>
      <c r="C101" s="1258"/>
      <c r="D101" s="1259"/>
      <c r="E101" s="1260"/>
      <c r="F101" s="1260"/>
      <c r="G101" s="1242"/>
      <c r="H101" s="1261"/>
      <c r="I101" s="1262"/>
      <c r="J101" s="1262"/>
      <c r="K101" s="1262"/>
      <c r="L101" s="1263"/>
      <c r="M101" s="1229"/>
      <c r="N101" s="1261"/>
      <c r="O101" s="1264"/>
      <c r="P101" s="1263"/>
      <c r="Q101" s="1261"/>
      <c r="R101" s="1265"/>
      <c r="S101" s="1265"/>
      <c r="T101" s="1263"/>
      <c r="U101" s="1266"/>
      <c r="V101" s="1265"/>
      <c r="W101" s="1265"/>
      <c r="X101" s="1263"/>
      <c r="Y101" s="1266"/>
      <c r="Z101" s="1263"/>
      <c r="AA101" s="1267"/>
      <c r="AB101" s="1194"/>
      <c r="AC101" s="1268"/>
      <c r="AD101" s="1269"/>
      <c r="AE101" s="1270"/>
      <c r="AF101" s="1270"/>
      <c r="AG101" s="1271"/>
      <c r="AH101" s="1229"/>
      <c r="AI101" s="1272"/>
      <c r="AJ101" s="1264"/>
      <c r="AK101" s="1243"/>
      <c r="AL101" s="1272"/>
      <c r="AM101" s="1260"/>
      <c r="AN101" s="1260"/>
      <c r="AO101" s="1243"/>
      <c r="AP101" s="1272"/>
      <c r="AQ101" s="1260"/>
      <c r="AR101" s="1260"/>
      <c r="AS101" s="1243"/>
      <c r="AT101" s="1272"/>
      <c r="AU101" s="1260"/>
      <c r="AV101" s="1260"/>
      <c r="AW101" s="1243"/>
      <c r="AX101" s="1272"/>
      <c r="AY101" s="1243"/>
      <c r="AZ101" s="1262"/>
      <c r="BA101" s="1273"/>
    </row>
    <row r="102" spans="1:53">
      <c r="A102" s="1216"/>
      <c r="B102" s="1217"/>
      <c r="C102" s="1217"/>
      <c r="D102" s="1217"/>
      <c r="E102" s="1219"/>
      <c r="F102" s="1219"/>
      <c r="G102" s="1220"/>
      <c r="H102" s="1221"/>
      <c r="I102" s="1222"/>
      <c r="J102" s="1222"/>
      <c r="K102" s="1222"/>
      <c r="L102" s="1223"/>
      <c r="M102" s="1224"/>
      <c r="N102" s="1221"/>
      <c r="O102" s="1219"/>
      <c r="P102" s="1223"/>
      <c r="Q102" s="1221"/>
      <c r="R102" s="1220"/>
      <c r="S102" s="1220"/>
      <c r="T102" s="1223"/>
      <c r="U102" s="1225"/>
      <c r="V102" s="1220"/>
      <c r="W102" s="1220"/>
      <c r="X102" s="1223"/>
      <c r="Y102" s="1225"/>
      <c r="Z102" s="1223"/>
      <c r="AA102" s="1230"/>
      <c r="AB102" s="1194"/>
      <c r="AC102" s="1251"/>
      <c r="AD102" s="1252"/>
      <c r="AE102" s="1252"/>
      <c r="AF102" s="1252"/>
      <c r="AG102" s="1274"/>
      <c r="AH102" s="1232"/>
      <c r="AI102" s="1221"/>
      <c r="AJ102" s="1219"/>
      <c r="AK102" s="1223"/>
      <c r="AL102" s="1221"/>
      <c r="AM102" s="1219"/>
      <c r="AN102" s="1219"/>
      <c r="AO102" s="1223"/>
      <c r="AP102" s="1221"/>
      <c r="AQ102" s="1219"/>
      <c r="AR102" s="1219"/>
      <c r="AS102" s="1223"/>
      <c r="AT102" s="1221"/>
      <c r="AU102" s="1219"/>
      <c r="AV102" s="1219"/>
      <c r="AW102" s="1223"/>
      <c r="AX102" s="1221"/>
      <c r="AY102" s="1223"/>
      <c r="AZ102" s="1233"/>
      <c r="BA102" s="1275"/>
    </row>
    <row r="103" s="1159" customFormat="1" ht="14.25" spans="1:53">
      <c r="A103" s="1276"/>
      <c r="B103" s="1277"/>
      <c r="C103" s="1277"/>
      <c r="D103" s="1277" t="s">
        <v>11547</v>
      </c>
      <c r="E103" s="1264"/>
      <c r="F103" s="1264"/>
      <c r="G103" s="1265"/>
      <c r="H103" s="1261">
        <v>288063</v>
      </c>
      <c r="I103" s="1262">
        <f>-H106</f>
        <v>5879</v>
      </c>
      <c r="J103" s="1262">
        <v>113692</v>
      </c>
      <c r="K103" s="1262">
        <v>3333</v>
      </c>
      <c r="L103" s="1263">
        <v>46544</v>
      </c>
      <c r="M103" s="1229">
        <v>0</v>
      </c>
      <c r="N103" s="1261">
        <v>415379</v>
      </c>
      <c r="O103" s="1264">
        <v>3333</v>
      </c>
      <c r="P103" s="1263">
        <v>20280</v>
      </c>
      <c r="Q103" s="1261">
        <v>108140</v>
      </c>
      <c r="R103" s="1265">
        <v>109429</v>
      </c>
      <c r="S103" s="1265">
        <v>106861</v>
      </c>
      <c r="T103" s="1263">
        <v>106922</v>
      </c>
      <c r="U103" s="1266">
        <v>0</v>
      </c>
      <c r="V103" s="1265">
        <v>0</v>
      </c>
      <c r="W103" s="1265">
        <v>0</v>
      </c>
      <c r="X103" s="1263">
        <v>0</v>
      </c>
      <c r="Y103" s="1266">
        <v>62</v>
      </c>
      <c r="Z103" s="1263">
        <v>0</v>
      </c>
      <c r="AA103" s="1267"/>
      <c r="AB103" s="1278"/>
      <c r="AC103" s="1279">
        <v>171646</v>
      </c>
      <c r="AD103" s="1279">
        <v>0</v>
      </c>
      <c r="AE103" s="1279">
        <v>53579</v>
      </c>
      <c r="AF103" s="1279">
        <v>0</v>
      </c>
      <c r="AG103" s="1280">
        <v>9800</v>
      </c>
      <c r="AH103" s="1281">
        <v>217581</v>
      </c>
      <c r="AI103" s="1282">
        <v>217581</v>
      </c>
      <c r="AJ103" s="1283">
        <v>0</v>
      </c>
      <c r="AK103" s="1284">
        <v>12644</v>
      </c>
      <c r="AL103" s="1282">
        <v>49707.25</v>
      </c>
      <c r="AM103" s="1283">
        <v>49835.25</v>
      </c>
      <c r="AN103" s="1283">
        <v>76623.25</v>
      </c>
      <c r="AO103" s="1284">
        <v>49215.25</v>
      </c>
      <c r="AP103" s="1282">
        <v>0</v>
      </c>
      <c r="AQ103" s="1283">
        <v>0</v>
      </c>
      <c r="AR103" s="1283">
        <v>0</v>
      </c>
      <c r="AS103" s="1284">
        <v>0</v>
      </c>
      <c r="AT103" s="1282">
        <v>3161</v>
      </c>
      <c r="AU103" s="1283">
        <v>3161</v>
      </c>
      <c r="AV103" s="1283">
        <v>3161</v>
      </c>
      <c r="AW103" s="1284">
        <v>3161</v>
      </c>
      <c r="AX103" s="1282">
        <v>22</v>
      </c>
      <c r="AY103" s="1284">
        <v>0</v>
      </c>
      <c r="AZ103" s="1262"/>
      <c r="BA103" s="1285"/>
    </row>
    <row r="104" spans="1:53">
      <c r="A104" s="1286"/>
      <c r="B104" s="1287"/>
      <c r="C104" s="1287"/>
      <c r="D104" s="1287"/>
      <c r="E104" s="1288"/>
      <c r="F104" s="1288"/>
      <c r="G104" s="1289" t="s">
        <v>12183</v>
      </c>
      <c r="H104" s="1290">
        <f t="shared" ref="H104:Z104" si="0">SUM(H5:H102)</f>
        <v>300000</v>
      </c>
      <c r="I104" s="1291">
        <f t="shared" si="0"/>
        <v>160000</v>
      </c>
      <c r="J104" s="1292">
        <f t="shared" si="0"/>
        <v>110000</v>
      </c>
      <c r="K104" s="1292">
        <f t="shared" si="0"/>
        <v>90000</v>
      </c>
      <c r="L104" s="1293">
        <f t="shared" si="0"/>
        <v>116803</v>
      </c>
      <c r="M104" s="1294">
        <f t="shared" si="0"/>
        <v>790024</v>
      </c>
      <c r="N104" s="1290">
        <f t="shared" si="0"/>
        <v>430000</v>
      </c>
      <c r="O104" s="1292">
        <f t="shared" si="0"/>
        <v>250000</v>
      </c>
      <c r="P104" s="1293">
        <f t="shared" si="0"/>
        <v>0</v>
      </c>
      <c r="Q104" s="1290">
        <f t="shared" si="0"/>
        <v>120000</v>
      </c>
      <c r="R104" s="1292">
        <f t="shared" si="0"/>
        <v>120000</v>
      </c>
      <c r="S104" s="1292">
        <f t="shared" si="0"/>
        <v>120000</v>
      </c>
      <c r="T104" s="1293">
        <f t="shared" si="0"/>
        <v>120000</v>
      </c>
      <c r="U104" s="1295">
        <f t="shared" si="0"/>
        <v>116000</v>
      </c>
      <c r="V104" s="1296">
        <f t="shared" si="0"/>
        <v>116000</v>
      </c>
      <c r="W104" s="1296">
        <f t="shared" si="0"/>
        <v>113000</v>
      </c>
      <c r="X104" s="1297">
        <f t="shared" si="0"/>
        <v>110000</v>
      </c>
      <c r="Y104" s="1290">
        <f t="shared" si="0"/>
        <v>347</v>
      </c>
      <c r="Z104" s="1293">
        <f t="shared" si="0"/>
        <v>0</v>
      </c>
      <c r="AA104" s="1298"/>
      <c r="AB104" s="1194"/>
      <c r="AC104" s="1299">
        <f t="shared" ref="AC104:AZ104" si="1">SUM(AC5:AC102)</f>
        <v>190000</v>
      </c>
      <c r="AD104" s="1300">
        <f t="shared" si="1"/>
        <v>60000</v>
      </c>
      <c r="AE104" s="1300">
        <f t="shared" si="1"/>
        <v>60000</v>
      </c>
      <c r="AF104" s="1300">
        <f t="shared" si="1"/>
        <v>58625</v>
      </c>
      <c r="AG104" s="1301">
        <f t="shared" si="1"/>
        <v>30000</v>
      </c>
      <c r="AH104" s="1294">
        <f t="shared" si="1"/>
        <v>260000</v>
      </c>
      <c r="AI104" s="1290">
        <f t="shared" si="1"/>
        <v>260000</v>
      </c>
      <c r="AJ104" s="1292">
        <f t="shared" si="1"/>
        <v>77356</v>
      </c>
      <c r="AK104" s="1293">
        <f t="shared" si="1"/>
        <v>3000</v>
      </c>
      <c r="AL104" s="1290">
        <f t="shared" si="1"/>
        <v>50000</v>
      </c>
      <c r="AM104" s="1292">
        <f t="shared" si="1"/>
        <v>50000</v>
      </c>
      <c r="AN104" s="1292">
        <f t="shared" si="1"/>
        <v>101000</v>
      </c>
      <c r="AO104" s="1293">
        <f t="shared" si="1"/>
        <v>50000</v>
      </c>
      <c r="AP104" s="1290">
        <f t="shared" si="1"/>
        <v>20000</v>
      </c>
      <c r="AQ104" s="1292">
        <f t="shared" si="1"/>
        <v>20000</v>
      </c>
      <c r="AR104" s="1292">
        <f t="shared" si="1"/>
        <v>0</v>
      </c>
      <c r="AS104" s="1293">
        <f t="shared" si="1"/>
        <v>20000</v>
      </c>
      <c r="AT104" s="1290">
        <f t="shared" si="1"/>
        <v>750</v>
      </c>
      <c r="AU104" s="1292">
        <f t="shared" si="1"/>
        <v>750</v>
      </c>
      <c r="AV104" s="1292">
        <f t="shared" si="1"/>
        <v>750</v>
      </c>
      <c r="AW104" s="1293">
        <f t="shared" si="1"/>
        <v>750</v>
      </c>
      <c r="AX104" s="1290">
        <f t="shared" si="1"/>
        <v>300</v>
      </c>
      <c r="AY104" s="1293">
        <f t="shared" si="1"/>
        <v>0</v>
      </c>
      <c r="AZ104" s="1302">
        <f t="shared" si="1"/>
        <v>0</v>
      </c>
      <c r="BA104" s="1303"/>
    </row>
    <row r="105" spans="1:53">
      <c r="A105" s="1286"/>
      <c r="B105" s="1304"/>
      <c r="C105" s="1304"/>
      <c r="D105" s="1304"/>
      <c r="E105" s="1288"/>
      <c r="F105" s="1288"/>
      <c r="G105" s="1305" t="s">
        <v>12184</v>
      </c>
      <c r="H105" s="1290">
        <f>'92107'!AI367+H103</f>
        <v>305879</v>
      </c>
      <c r="I105" s="1291">
        <f>'92107'!AJ367+I103</f>
        <v>149133</v>
      </c>
      <c r="J105" s="1302">
        <f>'92107'!AK367+J103</f>
        <v>113692</v>
      </c>
      <c r="K105" s="1302">
        <f>'92107'!AL367-J106+K103</f>
        <v>120249</v>
      </c>
      <c r="L105" s="1293">
        <f>'92107'!AN367+L103</f>
        <v>342215</v>
      </c>
      <c r="M105" s="1294">
        <f>H104+J104+K104+L104</f>
        <v>616803</v>
      </c>
      <c r="N105" s="1290">
        <f>'92107'!AO367+N103</f>
        <v>429507</v>
      </c>
      <c r="O105" s="1292">
        <f>'92107'!AP367+O103</f>
        <v>305338</v>
      </c>
      <c r="P105" s="1293">
        <f>'92107'!AR367+P103</f>
        <v>26380</v>
      </c>
      <c r="Q105" s="1295">
        <f>'92107'!AT367+Q103</f>
        <v>114661.083333333</v>
      </c>
      <c r="R105" s="1306">
        <f>'92107'!AU367+R103</f>
        <v>115950.083333333</v>
      </c>
      <c r="S105" s="1306">
        <f>'92107'!AV367+S103</f>
        <v>113381.083333333</v>
      </c>
      <c r="T105" s="1297">
        <f>'92107'!AW367+T103</f>
        <v>114608.75</v>
      </c>
      <c r="U105" s="1307">
        <f>'92107'!AX367</f>
        <v>139102.333333333</v>
      </c>
      <c r="V105" s="1306">
        <f>'92107'!AY367</f>
        <v>133424.333333333</v>
      </c>
      <c r="W105" s="1306">
        <f>'92107'!AZ367</f>
        <v>136490.333333333</v>
      </c>
      <c r="X105" s="1297">
        <f>'92107'!BA367</f>
        <v>128079</v>
      </c>
      <c r="Y105" s="1308">
        <f>'92107'!BG367+Y103</f>
        <v>802</v>
      </c>
      <c r="Z105" s="1293">
        <f>'92107'!BH367</f>
        <v>0</v>
      </c>
      <c r="AA105" s="1298"/>
      <c r="AB105" s="1194"/>
      <c r="AC105" s="1290">
        <f>'92108'!AD128+AC103</f>
        <v>198988</v>
      </c>
      <c r="AD105" s="1302">
        <f>'92108'!AE128+AD103</f>
        <v>32372</v>
      </c>
      <c r="AE105" s="1302">
        <f>'92108'!AF128+AE103</f>
        <v>57415</v>
      </c>
      <c r="AF105" s="1302">
        <f>'92108'!AG128+AF103</f>
        <v>58625</v>
      </c>
      <c r="AG105" s="1293">
        <f>'92108'!AI128+AG103</f>
        <v>9800</v>
      </c>
      <c r="AH105" s="1294">
        <f>'92108'!AJ128+AH103</f>
        <v>260356</v>
      </c>
      <c r="AI105" s="1290">
        <f>'92108'!AJ128+AI103</f>
        <v>260356</v>
      </c>
      <c r="AJ105" s="1292">
        <f>'92108'!AK128+AJ103</f>
        <v>77000</v>
      </c>
      <c r="AK105" s="1293">
        <f>'92108'!AM128+AK103</f>
        <v>12644</v>
      </c>
      <c r="AL105" s="1295">
        <f>'92108'!AO128+AL103</f>
        <v>50056.75</v>
      </c>
      <c r="AM105" s="1296">
        <f>'92108'!AP128+AM103</f>
        <v>50184.75</v>
      </c>
      <c r="AN105" s="1296">
        <f>'92108'!AQ128+AN103</f>
        <v>109560.833333333</v>
      </c>
      <c r="AO105" s="1297">
        <f>'92108'!AR128+AO103</f>
        <v>49812.75</v>
      </c>
      <c r="AP105" s="1295">
        <f>'92108'!AS128+AP103</f>
        <v>33247.0833333333</v>
      </c>
      <c r="AQ105" s="1296">
        <f>'92108'!AT128+AQ103</f>
        <v>36774.0833333333</v>
      </c>
      <c r="AR105" s="1296">
        <f>'92108'!AU128+AR103</f>
        <v>0</v>
      </c>
      <c r="AS105" s="1297">
        <f>'92108'!AV128+AS103</f>
        <v>20944.75</v>
      </c>
      <c r="AT105" s="1290">
        <f>'92108'!AW128+AT103</f>
        <v>3161</v>
      </c>
      <c r="AU105" s="1292">
        <f>'92108'!AX128+AU103</f>
        <v>3161</v>
      </c>
      <c r="AV105" s="1292">
        <f>'92108'!AY128+AV103</f>
        <v>3161</v>
      </c>
      <c r="AW105" s="1293">
        <f>'92108'!AZ128+AW103</f>
        <v>3161</v>
      </c>
      <c r="AX105" s="1290">
        <f>'92108'!BA128+AX103</f>
        <v>52</v>
      </c>
      <c r="AY105" s="1293">
        <f>'92108'!BB128</f>
        <v>0</v>
      </c>
      <c r="AZ105" s="1302"/>
      <c r="BA105" s="1303"/>
    </row>
    <row r="106" ht="14.25" spans="1:53">
      <c r="A106" s="1309"/>
      <c r="B106" s="1310"/>
      <c r="C106" s="1310"/>
      <c r="D106" s="1310"/>
      <c r="E106" s="1311"/>
      <c r="F106" s="1311"/>
      <c r="G106" s="1312" t="s">
        <v>12185</v>
      </c>
      <c r="H106" s="1313">
        <f t="shared" ref="H106:N106" si="2">H104-H105</f>
        <v>-5879</v>
      </c>
      <c r="I106" s="1314">
        <f>I104-I105+H106</f>
        <v>4988</v>
      </c>
      <c r="J106" s="1315">
        <f t="shared" si="2"/>
        <v>-3692</v>
      </c>
      <c r="K106" s="1315">
        <f>K104-K105+J106</f>
        <v>-33941</v>
      </c>
      <c r="L106" s="1316">
        <f t="shared" si="2"/>
        <v>-225412</v>
      </c>
      <c r="M106" s="1317">
        <f t="shared" si="2"/>
        <v>173221</v>
      </c>
      <c r="N106" s="1313">
        <f t="shared" si="2"/>
        <v>493</v>
      </c>
      <c r="O106" s="1315">
        <f>O104-O105+N106</f>
        <v>-54845</v>
      </c>
      <c r="P106" s="1316">
        <f t="shared" ref="P106:T106" si="3">P104-P105</f>
        <v>-26380</v>
      </c>
      <c r="Q106" s="1318">
        <f t="shared" si="3"/>
        <v>5338.91666666667</v>
      </c>
      <c r="R106" s="1319">
        <f t="shared" si="3"/>
        <v>4049.91666666667</v>
      </c>
      <c r="S106" s="1319">
        <f t="shared" si="3"/>
        <v>6618.91666666667</v>
      </c>
      <c r="T106" s="1320">
        <f t="shared" si="3"/>
        <v>5391.25</v>
      </c>
      <c r="U106" s="1318">
        <f t="shared" ref="U106:X106" si="4">U104-U105+Q106</f>
        <v>-17763.4166666667</v>
      </c>
      <c r="V106" s="1319">
        <f t="shared" si="4"/>
        <v>-13374.4166666666</v>
      </c>
      <c r="W106" s="1319">
        <f t="shared" si="4"/>
        <v>-16871.4166666666</v>
      </c>
      <c r="X106" s="1319">
        <f t="shared" si="4"/>
        <v>-12687.75</v>
      </c>
      <c r="Y106" s="1313">
        <f t="shared" ref="Y106:AC106" si="5">Y104-Y105</f>
        <v>-455</v>
      </c>
      <c r="Z106" s="1316">
        <f t="shared" si="5"/>
        <v>0</v>
      </c>
      <c r="AA106" s="1321"/>
      <c r="AB106" s="1322"/>
      <c r="AC106" s="1313">
        <f t="shared" si="5"/>
        <v>-8988</v>
      </c>
      <c r="AD106" s="1315">
        <f>AD104-AD105+AC106</f>
        <v>18640</v>
      </c>
      <c r="AE106" s="1315">
        <f t="shared" ref="AE106:AI106" si="6">AE104-AE105</f>
        <v>2585</v>
      </c>
      <c r="AF106" s="1315">
        <f t="shared" si="6"/>
        <v>0</v>
      </c>
      <c r="AG106" s="1316">
        <f t="shared" si="6"/>
        <v>20200</v>
      </c>
      <c r="AH106" s="1317">
        <f t="shared" si="6"/>
        <v>-356</v>
      </c>
      <c r="AI106" s="1313">
        <f t="shared" si="6"/>
        <v>-356</v>
      </c>
      <c r="AJ106" s="1315">
        <f>AJ104-AJ105+AI106</f>
        <v>0</v>
      </c>
      <c r="AK106" s="1316">
        <f t="shared" ref="AK106:AZ106" si="7">AK104-AK105</f>
        <v>-9644</v>
      </c>
      <c r="AL106" s="1323">
        <f t="shared" si="7"/>
        <v>-56.75</v>
      </c>
      <c r="AM106" s="1324">
        <f t="shared" si="7"/>
        <v>-184.75</v>
      </c>
      <c r="AN106" s="1319">
        <f t="shared" si="7"/>
        <v>-8560.83333333333</v>
      </c>
      <c r="AO106" s="1320">
        <f t="shared" si="7"/>
        <v>187.25</v>
      </c>
      <c r="AP106" s="1318">
        <f t="shared" si="7"/>
        <v>-13247.0833333333</v>
      </c>
      <c r="AQ106" s="1319">
        <f t="shared" si="7"/>
        <v>-16774.0833333333</v>
      </c>
      <c r="AR106" s="1319">
        <f t="shared" si="7"/>
        <v>0</v>
      </c>
      <c r="AS106" s="1320">
        <f t="shared" si="7"/>
        <v>-944.75</v>
      </c>
      <c r="AT106" s="1313">
        <f t="shared" si="7"/>
        <v>-2411</v>
      </c>
      <c r="AU106" s="1315">
        <f t="shared" si="7"/>
        <v>-2411</v>
      </c>
      <c r="AV106" s="1315">
        <f t="shared" si="7"/>
        <v>-2411</v>
      </c>
      <c r="AW106" s="1316">
        <f t="shared" si="7"/>
        <v>-2411</v>
      </c>
      <c r="AX106" s="1313">
        <f t="shared" si="7"/>
        <v>248</v>
      </c>
      <c r="AY106" s="1316">
        <f t="shared" si="7"/>
        <v>0</v>
      </c>
      <c r="AZ106" s="1325">
        <f t="shared" si="7"/>
        <v>0</v>
      </c>
      <c r="BA106" s="1326"/>
    </row>
    <row r="107" ht="14.25" spans="1:53">
      <c r="M107" s="483" t="s">
        <v>12186</v>
      </c>
      <c r="AH107" s="483" t="s">
        <v>12187</v>
      </c>
      <c r="AL107" s="483" t="s">
        <v>12188</v>
      </c>
      <c r="AM107" s="483" t="s">
        <v>12188</v>
      </c>
      <c r="AN107" s="483">
        <v>0</v>
      </c>
      <c r="AO107" s="483" t="s">
        <v>12188</v>
      </c>
    </row>
    <row r="108" s="1160" customFormat="1" spans="1:53">
      <c r="G108" s="1327" t="s">
        <v>8299</v>
      </c>
      <c r="H108" s="1327">
        <f>'92107'!AI369</f>
        <v>17816</v>
      </c>
      <c r="I108" s="1327">
        <f>'92107'!AJ369</f>
        <v>25026</v>
      </c>
      <c r="J108" s="1327">
        <f>'92107'!AK369</f>
        <v>0</v>
      </c>
      <c r="K108" s="1327">
        <f>'92107'!AL369</f>
        <v>14016</v>
      </c>
      <c r="L108" s="1327">
        <f>'92107'!AN369</f>
        <v>9480</v>
      </c>
      <c r="M108" s="1327"/>
      <c r="N108" s="1327">
        <f>'92107'!AO369</f>
        <v>14128</v>
      </c>
      <c r="O108" s="1327">
        <f>'92107'!AP369</f>
        <v>42690</v>
      </c>
      <c r="P108" s="1327">
        <f>'92107'!AR369</f>
        <v>1200</v>
      </c>
      <c r="Q108" s="1327">
        <f>'92107'!AT369</f>
        <v>6521.08333333333</v>
      </c>
      <c r="R108" s="1327">
        <f>'92107'!AU369</f>
        <v>6521.08333333333</v>
      </c>
      <c r="S108" s="1327">
        <f>'92107'!AV369</f>
        <v>6520.08333333333</v>
      </c>
      <c r="T108" s="1327">
        <f>'92107'!AW369</f>
        <v>7686.75</v>
      </c>
      <c r="U108" s="1327">
        <f>'92107'!AX369</f>
        <v>10836.5833333333</v>
      </c>
      <c r="V108" s="1327">
        <f>'92107'!AY369</f>
        <v>9628.58333333333</v>
      </c>
      <c r="W108" s="1327">
        <f>'92107'!AZ369</f>
        <v>9628.58333333333</v>
      </c>
      <c r="X108" s="1327">
        <f>'92107'!BA369</f>
        <v>7795.25</v>
      </c>
      <c r="Y108" s="1327">
        <f>'92107'!BG369</f>
        <v>0</v>
      </c>
      <c r="Z108" s="1327">
        <f>'92107'!BH369</f>
        <v>0</v>
      </c>
      <c r="AA108" s="1327"/>
      <c r="AB108" s="1327"/>
      <c r="AC108" s="1327">
        <f>'92108'!AD130</f>
        <v>6674</v>
      </c>
      <c r="AD108" s="1327">
        <f>'92108'!AE130</f>
        <v>0</v>
      </c>
      <c r="AE108" s="1327">
        <f>'92108'!AF130</f>
        <v>3370</v>
      </c>
      <c r="AF108" s="1327">
        <f>'92108'!AG130</f>
        <v>0</v>
      </c>
      <c r="AG108" s="1327">
        <f>'92108'!AH130</f>
        <v>3000</v>
      </c>
      <c r="AH108" s="1327"/>
      <c r="AI108" s="1327">
        <f>'92108'!AJ130</f>
        <v>10044</v>
      </c>
      <c r="AJ108" s="1327">
        <f>'92108'!AK130</f>
        <v>0</v>
      </c>
      <c r="AK108" s="1327">
        <f>'92108'!AM130</f>
        <v>0</v>
      </c>
      <c r="AL108" s="1327">
        <f>'92108'!AO130</f>
        <v>349.5</v>
      </c>
      <c r="AM108" s="1327">
        <f>'92108'!AP130</f>
        <v>349.5</v>
      </c>
      <c r="AN108" s="1327">
        <f>'92108'!AQ130</f>
        <v>3265.5</v>
      </c>
      <c r="AO108" s="1327">
        <f>'92108'!AR130</f>
        <v>597.5</v>
      </c>
      <c r="AP108" s="1327">
        <f>'92108'!AS130</f>
        <v>2910</v>
      </c>
      <c r="AQ108" s="1327">
        <f>'92108'!AT130</f>
        <v>2910</v>
      </c>
      <c r="AR108" s="1327">
        <f>'92108'!AU130</f>
        <v>0</v>
      </c>
      <c r="AS108" s="1327">
        <f>'92108'!AV130</f>
        <v>2662</v>
      </c>
      <c r="AT108" s="1327">
        <f>'92108'!AW130</f>
        <v>0</v>
      </c>
      <c r="AU108" s="1327">
        <f>'92108'!AX130</f>
        <v>0</v>
      </c>
      <c r="AV108" s="1327">
        <f>'92108'!AY130</f>
        <v>0</v>
      </c>
      <c r="AW108" s="1327">
        <f>'92108'!AZ130</f>
        <v>0</v>
      </c>
      <c r="AX108" s="1327">
        <f>'92108'!BA130</f>
        <v>0</v>
      </c>
      <c r="AY108" s="1327">
        <f>'92108'!BB130</f>
        <v>0</v>
      </c>
      <c r="AZ108" s="1327"/>
      <c r="BA108" s="1327"/>
    </row>
    <row r="109" s="1160" customFormat="1" spans="1:53">
      <c r="G109" s="1327" t="s">
        <v>10167</v>
      </c>
      <c r="H109" s="1327">
        <f>'92107'!AI370</f>
        <v>0</v>
      </c>
      <c r="I109" s="1327">
        <f>'92107'!AJ370</f>
        <v>118228</v>
      </c>
      <c r="J109" s="1327">
        <f>'92107'!AK370</f>
        <v>0</v>
      </c>
      <c r="K109" s="1327">
        <f>'92107'!AL370</f>
        <v>99208</v>
      </c>
      <c r="L109" s="1327">
        <f>'92107'!AN370</f>
        <v>286191</v>
      </c>
      <c r="M109" s="1327"/>
      <c r="N109" s="1327">
        <f>'92107'!AO370</f>
        <v>0</v>
      </c>
      <c r="O109" s="1327">
        <f>'92107'!AP370</f>
        <v>259315</v>
      </c>
      <c r="P109" s="1327">
        <f>'92107'!AR370</f>
        <v>4900</v>
      </c>
      <c r="Q109" s="1327">
        <f>'92107'!AT370</f>
        <v>0</v>
      </c>
      <c r="R109" s="1327">
        <f>'92107'!AU370</f>
        <v>0</v>
      </c>
      <c r="S109" s="1327">
        <f>'92107'!AV370</f>
        <v>0</v>
      </c>
      <c r="T109" s="1327">
        <f>'92107'!AW370</f>
        <v>0</v>
      </c>
      <c r="U109" s="1327">
        <f>'92107'!AX370</f>
        <v>128265.75</v>
      </c>
      <c r="V109" s="1327">
        <f>'92107'!AY370</f>
        <v>123795.75</v>
      </c>
      <c r="W109" s="1327">
        <f>'92107'!AZ370</f>
        <v>126861.75</v>
      </c>
      <c r="X109" s="1327">
        <f>'92107'!BA370</f>
        <v>120283.75</v>
      </c>
      <c r="Y109" s="1327">
        <f>'92107'!BG370</f>
        <v>740</v>
      </c>
      <c r="Z109" s="1327">
        <f>'92107'!BH370</f>
        <v>0</v>
      </c>
      <c r="AA109" s="1327"/>
      <c r="AB109" s="1327"/>
      <c r="AC109" s="1327">
        <f>'92108'!AD131</f>
        <v>20668</v>
      </c>
      <c r="AD109" s="1327">
        <f>'92108'!AE131</f>
        <v>32372</v>
      </c>
      <c r="AE109" s="1327">
        <f>'92108'!AF131</f>
        <v>466</v>
      </c>
      <c r="AF109" s="1327">
        <f>'92108'!AG131</f>
        <v>58625</v>
      </c>
      <c r="AG109" s="1327">
        <f>'92108'!AH131</f>
        <v>0</v>
      </c>
      <c r="AH109" s="1327"/>
      <c r="AI109" s="1327">
        <f>'92108'!AJ131</f>
        <v>32731</v>
      </c>
      <c r="AJ109" s="1327">
        <f>'92108'!AK131</f>
        <v>77000</v>
      </c>
      <c r="AK109" s="1327">
        <f>'92108'!AM131</f>
        <v>0</v>
      </c>
      <c r="AL109" s="1327">
        <f>'92108'!AO131</f>
        <v>0</v>
      </c>
      <c r="AM109" s="1327">
        <f>'92108'!AP131</f>
        <v>0</v>
      </c>
      <c r="AN109" s="1327">
        <f>'92108'!AQ131</f>
        <v>29672.0833333333</v>
      </c>
      <c r="AO109" s="1327">
        <f>'92108'!AR131</f>
        <v>0</v>
      </c>
      <c r="AP109" s="1327">
        <f>'92108'!AS131</f>
        <v>30337.0833333333</v>
      </c>
      <c r="AQ109" s="1327">
        <f>'92108'!AT131</f>
        <v>33864.0833333333</v>
      </c>
      <c r="AR109" s="1327">
        <f>'92108'!AU131</f>
        <v>0</v>
      </c>
      <c r="AS109" s="1327">
        <f>'92108'!AV131</f>
        <v>18282.75</v>
      </c>
      <c r="AT109" s="1327">
        <f>'92108'!AW131</f>
        <v>0</v>
      </c>
      <c r="AU109" s="1327">
        <f>'92108'!AX131</f>
        <v>0</v>
      </c>
      <c r="AV109" s="1327">
        <f>'92108'!AY131</f>
        <v>0</v>
      </c>
      <c r="AW109" s="1327">
        <f>'92108'!AZ131</f>
        <v>0</v>
      </c>
      <c r="AX109" s="1327">
        <f>'92108'!BA131</f>
        <v>30</v>
      </c>
      <c r="AY109" s="1327">
        <f>'92108'!BB131</f>
        <v>0</v>
      </c>
      <c r="AZ109" s="1327"/>
      <c r="BA109" s="1327"/>
    </row>
    <row r="111" spans="1:53">
      <c r="M111" s="483">
        <f>H104+I104+J104+K104+L104</f>
        <v>776803</v>
      </c>
    </row>
    <row r="116" s="484" customFormat="1" hidden="1" spans="8:52">
      <c r="H116" s="1328">
        <v>305879</v>
      </c>
      <c r="I116" s="1328">
        <v>18866</v>
      </c>
      <c r="J116" s="1328">
        <v>113692</v>
      </c>
      <c r="K116" s="1328">
        <v>21211</v>
      </c>
      <c r="L116" s="1328">
        <v>56024</v>
      </c>
      <c r="M116" s="1328">
        <v>510024</v>
      </c>
      <c r="N116" s="1328">
        <v>429507</v>
      </c>
      <c r="O116" s="1328">
        <v>42053</v>
      </c>
      <c r="P116" s="1328">
        <v>21480</v>
      </c>
      <c r="Q116" s="1328">
        <v>114661.083333333</v>
      </c>
      <c r="R116" s="1328">
        <v>115950.083333333</v>
      </c>
      <c r="S116" s="1328">
        <v>113381.083333333</v>
      </c>
      <c r="T116" s="1328">
        <v>114608.75</v>
      </c>
      <c r="U116" s="1328">
        <v>9478.08333333333</v>
      </c>
      <c r="V116" s="1328">
        <v>8270.08333333333</v>
      </c>
      <c r="W116" s="1328">
        <v>8270.08333333333</v>
      </c>
      <c r="X116" s="1328">
        <v>6436.75</v>
      </c>
      <c r="Y116" s="1328">
        <v>62</v>
      </c>
      <c r="Z116" s="1328">
        <v>10</v>
      </c>
      <c r="AC116" s="1328">
        <v>180140</v>
      </c>
      <c r="AD116" s="1328">
        <v>0</v>
      </c>
      <c r="AE116" s="1328">
        <v>57814</v>
      </c>
      <c r="AF116" s="1328">
        <v>100</v>
      </c>
      <c r="AG116" s="1328">
        <v>9800</v>
      </c>
      <c r="AH116" s="1328">
        <v>230410</v>
      </c>
      <c r="AI116" s="1328">
        <v>230410</v>
      </c>
      <c r="AJ116" s="1328">
        <v>0</v>
      </c>
      <c r="AK116" s="1328">
        <v>12644</v>
      </c>
      <c r="AL116" s="1328">
        <v>50056.75</v>
      </c>
      <c r="AM116" s="1328">
        <v>50184.75</v>
      </c>
      <c r="AN116" s="1328">
        <v>80585</v>
      </c>
      <c r="AO116" s="1328">
        <v>49812.75</v>
      </c>
      <c r="AP116" s="1328">
        <v>3606.25</v>
      </c>
      <c r="AQ116" s="1328">
        <v>3606.25</v>
      </c>
      <c r="AR116" s="1328">
        <v>0</v>
      </c>
      <c r="AS116" s="1328">
        <v>3358.25</v>
      </c>
      <c r="AT116" s="1328">
        <v>3161</v>
      </c>
      <c r="AU116" s="1328">
        <v>3161</v>
      </c>
      <c r="AV116" s="1328">
        <v>3161</v>
      </c>
      <c r="AW116" s="1328">
        <v>3161</v>
      </c>
      <c r="AX116" s="1328">
        <v>22</v>
      </c>
      <c r="AY116" s="1328">
        <v>0</v>
      </c>
      <c r="AZ116" s="1328"/>
    </row>
    <row r="117" s="484" customFormat="1" hidden="1" spans="8:52">
      <c r="H117" s="484">
        <f t="shared" ref="H117:Z117" si="8">H116-H105</f>
        <v>0</v>
      </c>
      <c r="I117" s="484">
        <f t="shared" si="8"/>
        <v>-130267</v>
      </c>
      <c r="J117" s="484">
        <f t="shared" si="8"/>
        <v>0</v>
      </c>
      <c r="K117" s="484">
        <f t="shared" si="8"/>
        <v>-99038</v>
      </c>
      <c r="L117" s="484">
        <f t="shared" si="8"/>
        <v>-286191</v>
      </c>
      <c r="M117" s="484">
        <f t="shared" si="8"/>
        <v>-106779</v>
      </c>
      <c r="N117" s="484">
        <f t="shared" si="8"/>
        <v>0</v>
      </c>
      <c r="O117" s="484">
        <f t="shared" si="8"/>
        <v>-263285</v>
      </c>
      <c r="P117" s="484">
        <f t="shared" si="8"/>
        <v>-4900</v>
      </c>
      <c r="Q117" s="484">
        <f t="shared" si="8"/>
        <v>-3.34694050252438e-10</v>
      </c>
      <c r="R117" s="484">
        <f t="shared" si="8"/>
        <v>-3.34694050252438e-10</v>
      </c>
      <c r="S117" s="484">
        <f t="shared" si="8"/>
        <v>-3.34694050252438e-10</v>
      </c>
      <c r="T117" s="484">
        <f t="shared" si="8"/>
        <v>0</v>
      </c>
      <c r="U117" s="484">
        <f t="shared" si="8"/>
        <v>-129624.25</v>
      </c>
      <c r="V117" s="484">
        <f t="shared" si="8"/>
        <v>-125154.25</v>
      </c>
      <c r="W117" s="484">
        <f t="shared" si="8"/>
        <v>-128220.25</v>
      </c>
      <c r="X117" s="484">
        <f t="shared" si="8"/>
        <v>-121642.25</v>
      </c>
      <c r="Y117" s="484">
        <f t="shared" si="8"/>
        <v>-740</v>
      </c>
      <c r="Z117" s="484">
        <f t="shared" si="8"/>
        <v>10</v>
      </c>
      <c r="AC117" s="484">
        <f t="shared" ref="AC117:AY117" si="9">AC116-AC105</f>
        <v>-18848</v>
      </c>
      <c r="AD117" s="484">
        <f t="shared" si="9"/>
        <v>-32372</v>
      </c>
      <c r="AE117" s="484">
        <f t="shared" si="9"/>
        <v>399</v>
      </c>
      <c r="AF117" s="484">
        <f t="shared" si="9"/>
        <v>-58525</v>
      </c>
      <c r="AG117" s="484">
        <f t="shared" si="9"/>
        <v>0</v>
      </c>
      <c r="AH117" s="484">
        <f t="shared" si="9"/>
        <v>-29946</v>
      </c>
      <c r="AI117" s="484">
        <f t="shared" si="9"/>
        <v>-29946</v>
      </c>
      <c r="AJ117" s="484">
        <f t="shared" si="9"/>
        <v>-77000</v>
      </c>
      <c r="AK117" s="484">
        <f t="shared" si="9"/>
        <v>0</v>
      </c>
      <c r="AL117" s="484">
        <f t="shared" si="9"/>
        <v>0</v>
      </c>
      <c r="AM117" s="484">
        <f t="shared" si="9"/>
        <v>0</v>
      </c>
      <c r="AN117" s="484">
        <f t="shared" si="9"/>
        <v>-28975.8333333333</v>
      </c>
      <c r="AO117" s="484">
        <f t="shared" si="9"/>
        <v>0</v>
      </c>
      <c r="AP117" s="484">
        <f t="shared" si="9"/>
        <v>-29640.8333333333</v>
      </c>
      <c r="AQ117" s="484">
        <f t="shared" si="9"/>
        <v>-33167.8333333333</v>
      </c>
      <c r="AR117" s="484">
        <f t="shared" si="9"/>
        <v>0</v>
      </c>
      <c r="AS117" s="484">
        <f t="shared" si="9"/>
        <v>-17586.5</v>
      </c>
      <c r="AT117" s="484">
        <f t="shared" si="9"/>
        <v>0</v>
      </c>
      <c r="AU117" s="484">
        <f t="shared" si="9"/>
        <v>0</v>
      </c>
      <c r="AV117" s="484">
        <f t="shared" si="9"/>
        <v>0</v>
      </c>
      <c r="AW117" s="484">
        <f t="shared" si="9"/>
        <v>0</v>
      </c>
      <c r="AX117" s="484">
        <f t="shared" si="9"/>
        <v>-30</v>
      </c>
      <c r="AY117" s="484">
        <f t="shared" si="9"/>
        <v>0</v>
      </c>
    </row>
  </sheetData>
  <sheetProtection formatCells="0" formatColumns="0" formatRows="0" insertRows="0" insertColumns="0" insertHyperlinks="0" deleteColumns="0" deleteRows="0" sort="0" autoFilter="0" pivotTables="0"/>
  <autoFilter xmlns:etc="http://www.wps.cn/officeDocument/2017/etCustomData" ref="A4:BB109" etc:filterBottomFollowUsedRange="0">
    <extLst/>
  </autoFilter>
  <mergeCells count="22">
    <mergeCell ref="A1:BA1"/>
    <mergeCell ref="H2:AA2"/>
    <mergeCell ref="AC2:AZ2"/>
    <mergeCell ref="H3:L3"/>
    <mergeCell ref="N3:P3"/>
    <mergeCell ref="Q3:T3"/>
    <mergeCell ref="U3:X3"/>
    <mergeCell ref="Y3:Z3"/>
    <mergeCell ref="AC3:AG3"/>
    <mergeCell ref="AI3:AK3"/>
    <mergeCell ref="AL3:AO3"/>
    <mergeCell ref="AP3:AS3"/>
    <mergeCell ref="AT3:AW3"/>
    <mergeCell ref="AX3:AY3"/>
    <mergeCell ref="A2:A4"/>
    <mergeCell ref="B2:B4"/>
    <mergeCell ref="C2:C4"/>
    <mergeCell ref="D2:D4"/>
    <mergeCell ref="E2:E4"/>
    <mergeCell ref="F2:F4"/>
    <mergeCell ref="G2:G4"/>
    <mergeCell ref="AB2:AB106"/>
  </mergeCells>
  <conditionalFormatting sqref="A1:BA1">
    <cfRule type="containsText" dxfId="3" priority="4" operator="between" text="ZURU  Babycorns  Surprise  - S1 #92107  92108  MA包裝扣数表">
      <formula>NOT(ISERROR(SEARCH("ZURU  Babycorns  Surprise  - S1 #92107  92108  MA包裝扣数表",A1)))</formula>
    </cfRule>
  </conditionalFormatting>
  <conditionalFormatting sqref="A104:AA106 AC104:BA106">
    <cfRule type="containsText" dxfId="3" priority="3" operator="between" text="合计MA数量 接单数量 MA库存数">
      <formula>NOT(ISERROR(SEARCH("合计MA数量 接单数量 MA库存数",A104)))</formula>
    </cfRule>
    <cfRule type="containsText" dxfId="3" priority="2" operator="between" text="合计MA 数量">
      <formula>NOT(ISERROR(SEARCH("合计MA 数量",A104)))</formula>
    </cfRule>
    <cfRule type="expression" dxfId="3" priority="1">
      <formula>$G$104="合计MA数量"</formula>
    </cfRule>
  </conditionalFormatting>
  <pageMargins left="0.75" right="0.75" top="1" bottom="1" header="0.5" footer="0.5"/>
  <pageSetup paperSize="9" orientation="portrait"/>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0"/>
  <sheetViews>
    <sheetView zoomScale="85" zoomScaleNormal="85" topLeftCell="C93" workbookViewId="0">
      <selection activeCell="H128" sqref="H128"/>
    </sheetView>
  </sheetViews>
  <sheetFormatPr defaultColWidth="8.125" defaultRowHeight="13.5"/>
  <cols>
    <col min="1" max="1" width="19.7166666666667" style="483" customWidth="1"/>
    <col min="2" max="2" width="19.95" style="483" customWidth="1"/>
    <col min="3" max="3" width="31.9583333333333" style="483" customWidth="1"/>
    <col min="4" max="4" width="23.725" style="484" customWidth="1"/>
    <col min="5" max="5" width="11.4833333333333" style="484" customWidth="1"/>
    <col min="6" max="6" width="8.125" style="484"/>
    <col min="7" max="7" width="11.4833333333333" style="484" customWidth="1"/>
    <col min="8" max="9" width="11.5333333333333" style="484" customWidth="1"/>
    <col min="10" max="16" width="9.88333333333333" style="484" customWidth="1"/>
    <col min="17" max="18" width="11.5166666666667" style="484" customWidth="1"/>
    <col min="19" max="19" width="9" style="484"/>
    <col min="20" max="22" width="8.125" style="483"/>
    <col min="23" max="23" width="15.7" style="483" customWidth="1"/>
    <col min="24" max="16384" width="8.125" style="483"/>
  </cols>
  <sheetData>
    <row r="1" ht="68" customHeight="1" spans="1:19">
      <c r="H1" s="1131" t="s">
        <v>12189</v>
      </c>
      <c r="I1" s="1131"/>
      <c r="J1" s="1131"/>
      <c r="K1" s="1132" t="s">
        <v>12190</v>
      </c>
      <c r="L1" s="1132"/>
      <c r="M1" s="1132"/>
      <c r="N1" s="1132"/>
      <c r="O1" s="1132"/>
      <c r="P1" s="1132"/>
    </row>
    <row r="2" ht="29" customHeight="1" spans="1:19">
      <c r="A2" s="1133" t="s">
        <v>12191</v>
      </c>
      <c r="B2" s="1133" t="s">
        <v>12192</v>
      </c>
      <c r="C2" s="1133" t="s">
        <v>12193</v>
      </c>
      <c r="D2" s="1133" t="s">
        <v>12194</v>
      </c>
      <c r="E2" s="1133" t="s">
        <v>12195</v>
      </c>
      <c r="F2" s="1133" t="s">
        <v>12196</v>
      </c>
      <c r="G2" s="1133" t="s">
        <v>10585</v>
      </c>
      <c r="H2" s="1133" t="s">
        <v>12197</v>
      </c>
      <c r="I2" s="1133" t="s">
        <v>12198</v>
      </c>
      <c r="J2" s="1134" t="s">
        <v>12199</v>
      </c>
      <c r="K2" s="1134" t="s">
        <v>12200</v>
      </c>
      <c r="L2" s="1134" t="s">
        <v>12201</v>
      </c>
      <c r="M2" s="1134" t="s">
        <v>12202</v>
      </c>
      <c r="N2" s="1134" t="s">
        <v>12203</v>
      </c>
      <c r="O2" s="1134" t="s">
        <v>11205</v>
      </c>
      <c r="P2" s="1134" t="s">
        <v>12204</v>
      </c>
      <c r="Q2" s="1134" t="s">
        <v>12205</v>
      </c>
      <c r="R2" s="1134"/>
      <c r="S2" s="1133"/>
    </row>
    <row r="3" ht="21" customHeight="1" spans="1:19">
      <c r="A3" s="1135" t="s">
        <v>12206</v>
      </c>
      <c r="B3" s="1135"/>
      <c r="C3" s="1136"/>
      <c r="D3" s="1137"/>
      <c r="E3" s="1137"/>
      <c r="F3" s="1137"/>
      <c r="G3" s="1138"/>
      <c r="H3" s="1138">
        <v>45196</v>
      </c>
      <c r="I3" s="1138">
        <v>45278</v>
      </c>
      <c r="J3" s="1138">
        <v>45285</v>
      </c>
      <c r="K3" s="1138">
        <v>45315</v>
      </c>
      <c r="L3" s="1138">
        <v>45372</v>
      </c>
      <c r="M3" s="1138">
        <v>45385</v>
      </c>
      <c r="N3" s="1138">
        <v>45401</v>
      </c>
      <c r="O3" s="1138">
        <v>45423</v>
      </c>
      <c r="P3" s="1138">
        <v>45625</v>
      </c>
      <c r="Q3" s="1138">
        <v>45804</v>
      </c>
      <c r="R3" s="1138"/>
      <c r="S3" s="1138"/>
    </row>
    <row r="4" ht="21" customHeight="1" spans="1:19">
      <c r="A4" s="1135" t="s">
        <v>12207</v>
      </c>
      <c r="B4" s="1135"/>
      <c r="C4" s="1136"/>
      <c r="D4" s="1137"/>
      <c r="E4" s="1137"/>
      <c r="F4" s="1137"/>
      <c r="G4" s="1138"/>
      <c r="H4" s="1138">
        <f>H3+30+5</f>
        <v>45231</v>
      </c>
      <c r="I4" s="1138">
        <f>I3+30</f>
        <v>45308</v>
      </c>
      <c r="J4" s="1138">
        <f>J3+30</f>
        <v>45315</v>
      </c>
      <c r="K4" s="1138">
        <v>45359</v>
      </c>
      <c r="L4" s="1138">
        <v>45402</v>
      </c>
      <c r="M4" s="1138">
        <v>45415</v>
      </c>
      <c r="N4" s="1138">
        <v>45431</v>
      </c>
      <c r="O4" s="1138">
        <v>45453</v>
      </c>
      <c r="P4" s="1138">
        <f>P3+31</f>
        <v>45656</v>
      </c>
      <c r="Q4" s="1138">
        <v>45834</v>
      </c>
      <c r="R4" s="1138"/>
      <c r="S4" s="1138"/>
    </row>
    <row r="5" ht="21" customHeight="1" spans="1:19">
      <c r="A5" s="1139" t="s">
        <v>12208</v>
      </c>
      <c r="B5" s="1139"/>
      <c r="C5" s="1140"/>
      <c r="D5" s="1141"/>
      <c r="E5" s="1141"/>
      <c r="F5" s="1141"/>
      <c r="G5" s="1142"/>
      <c r="H5" s="1142"/>
      <c r="I5" s="1142"/>
      <c r="J5" s="1142"/>
      <c r="K5" s="1142"/>
      <c r="L5" s="1142"/>
      <c r="M5" s="1142"/>
      <c r="N5" s="1142"/>
      <c r="O5" s="1142"/>
      <c r="P5" s="1142"/>
      <c r="Q5" s="1142"/>
      <c r="R5" s="1142"/>
      <c r="S5" s="1142"/>
    </row>
    <row r="6" ht="21" customHeight="1" spans="1:19">
      <c r="A6" s="1143" t="s">
        <v>12209</v>
      </c>
      <c r="B6" s="1144" t="s">
        <v>12210</v>
      </c>
      <c r="C6" s="1144" t="s">
        <v>12211</v>
      </c>
      <c r="D6" s="1145" t="s">
        <v>12212</v>
      </c>
      <c r="E6" s="1146">
        <v>0.36</v>
      </c>
      <c r="F6" s="1145">
        <v>10</v>
      </c>
      <c r="G6" s="1147">
        <v>3000</v>
      </c>
      <c r="H6" s="1148">
        <v>12000</v>
      </c>
      <c r="I6" s="1148">
        <v>60000</v>
      </c>
      <c r="J6" s="1148">
        <v>30000</v>
      </c>
      <c r="K6" s="1148">
        <v>12000</v>
      </c>
      <c r="L6" s="1148">
        <v>48000</v>
      </c>
      <c r="M6" s="1148">
        <v>21000</v>
      </c>
      <c r="N6" s="1148">
        <v>57000</v>
      </c>
      <c r="O6" s="1148">
        <v>80000</v>
      </c>
      <c r="P6" s="1148">
        <v>21000</v>
      </c>
      <c r="Q6" s="1148">
        <v>21000</v>
      </c>
      <c r="R6" s="1148"/>
      <c r="S6" s="1149">
        <f t="shared" ref="S6:S9" si="0">SUM(H6:Q6)</f>
        <v>362000</v>
      </c>
    </row>
    <row r="7" ht="21" customHeight="1" spans="1:19">
      <c r="A7" s="1150"/>
      <c r="B7" s="1151" t="s">
        <v>12213</v>
      </c>
      <c r="C7" s="1151" t="s">
        <v>12214</v>
      </c>
      <c r="D7" s="1145" t="s">
        <v>12215</v>
      </c>
      <c r="E7" s="1146">
        <v>0.6</v>
      </c>
      <c r="F7" s="1145">
        <v>10</v>
      </c>
      <c r="G7" s="1147">
        <v>500</v>
      </c>
      <c r="H7" s="1148">
        <v>12000</v>
      </c>
      <c r="I7" s="1148">
        <f>I6</f>
        <v>60000</v>
      </c>
      <c r="J7" s="1148">
        <f>J6</f>
        <v>30000</v>
      </c>
      <c r="K7" s="1148">
        <v>12000</v>
      </c>
      <c r="L7" s="1148">
        <v>48000</v>
      </c>
      <c r="M7" s="1148">
        <v>21000</v>
      </c>
      <c r="N7" s="1148">
        <v>57000</v>
      </c>
      <c r="O7" s="1148">
        <v>80000</v>
      </c>
      <c r="P7" s="1148">
        <v>21000</v>
      </c>
      <c r="Q7" s="1148">
        <v>21000</v>
      </c>
      <c r="R7" s="1148"/>
      <c r="S7" s="1149">
        <f t="shared" si="0"/>
        <v>362000</v>
      </c>
    </row>
    <row r="8" ht="21" customHeight="1" spans="1:19">
      <c r="A8" s="1150"/>
      <c r="B8" s="1144" t="s">
        <v>12216</v>
      </c>
      <c r="C8" s="1144" t="s">
        <v>12217</v>
      </c>
      <c r="D8" s="1145" t="s">
        <v>12212</v>
      </c>
      <c r="E8" s="1146">
        <v>0.21</v>
      </c>
      <c r="F8" s="1145">
        <v>30</v>
      </c>
      <c r="G8" s="1147">
        <v>3000</v>
      </c>
      <c r="H8" s="1148">
        <v>12000</v>
      </c>
      <c r="I8" s="1148">
        <f>I6</f>
        <v>60000</v>
      </c>
      <c r="J8" s="1148">
        <f>J6</f>
        <v>30000</v>
      </c>
      <c r="K8" s="1148">
        <v>12000</v>
      </c>
      <c r="L8" s="1148">
        <v>48000</v>
      </c>
      <c r="M8" s="1148">
        <v>21000</v>
      </c>
      <c r="N8" s="1148">
        <v>57000</v>
      </c>
      <c r="O8" s="1148">
        <v>80000</v>
      </c>
      <c r="P8" s="1148">
        <v>21000</v>
      </c>
      <c r="Q8" s="1148">
        <v>21000</v>
      </c>
      <c r="R8" s="1148"/>
      <c r="S8" s="1149">
        <f t="shared" si="0"/>
        <v>362000</v>
      </c>
    </row>
    <row r="9" ht="21" customHeight="1" spans="1:19">
      <c r="A9" s="1152"/>
      <c r="B9" s="1144" t="s">
        <v>12218</v>
      </c>
      <c r="C9" s="1144" t="s">
        <v>12219</v>
      </c>
      <c r="D9" s="1145" t="s">
        <v>12220</v>
      </c>
      <c r="E9" s="1146">
        <v>0.24</v>
      </c>
      <c r="F9" s="1145">
        <v>30</v>
      </c>
      <c r="G9" s="1147">
        <v>1000</v>
      </c>
      <c r="H9" s="1148">
        <v>12000</v>
      </c>
      <c r="I9" s="1148">
        <f>I6</f>
        <v>60000</v>
      </c>
      <c r="J9" s="1148">
        <f>J6</f>
        <v>30000</v>
      </c>
      <c r="K9" s="1148">
        <v>12000</v>
      </c>
      <c r="L9" s="1148">
        <v>48000</v>
      </c>
      <c r="M9" s="1148">
        <v>21000</v>
      </c>
      <c r="N9" s="1148">
        <v>57000</v>
      </c>
      <c r="O9" s="1148">
        <v>80000</v>
      </c>
      <c r="P9" s="1148">
        <v>21000</v>
      </c>
      <c r="Q9" s="1148">
        <v>21000</v>
      </c>
      <c r="R9" s="1148"/>
      <c r="S9" s="1149">
        <f t="shared" si="0"/>
        <v>362000</v>
      </c>
    </row>
    <row r="10" ht="21" customHeight="1" spans="1:19">
      <c r="A10" s="1153"/>
      <c r="B10" s="1153"/>
      <c r="C10" s="1154" t="s">
        <v>12221</v>
      </c>
      <c r="D10" s="1155"/>
      <c r="E10" s="1155"/>
      <c r="F10" s="1155"/>
      <c r="G10" s="1155"/>
      <c r="H10" s="1156">
        <f t="shared" ref="H10:Q10" si="1">SUM(H6:H9)</f>
        <v>48000</v>
      </c>
      <c r="I10" s="1156">
        <f t="shared" si="1"/>
        <v>240000</v>
      </c>
      <c r="J10" s="1156">
        <f t="shared" si="1"/>
        <v>120000</v>
      </c>
      <c r="K10" s="1156">
        <f t="shared" si="1"/>
        <v>48000</v>
      </c>
      <c r="L10" s="1156">
        <f t="shared" si="1"/>
        <v>192000</v>
      </c>
      <c r="M10" s="1156">
        <f t="shared" si="1"/>
        <v>84000</v>
      </c>
      <c r="N10" s="1156">
        <f t="shared" si="1"/>
        <v>228000</v>
      </c>
      <c r="O10" s="1156">
        <f t="shared" si="1"/>
        <v>320000</v>
      </c>
      <c r="P10" s="1156">
        <f t="shared" si="1"/>
        <v>84000</v>
      </c>
      <c r="Q10" s="1156">
        <f t="shared" si="1"/>
        <v>84000</v>
      </c>
      <c r="R10" s="1156"/>
      <c r="S10" s="1157">
        <f>SUM(S6:S9)</f>
        <v>1448000</v>
      </c>
    </row>
  </sheetData>
  <sheetProtection formatCells="0" formatColumns="0" formatRows="0" insertRows="0" insertColumns="0" insertHyperlinks="0" deleteColumns="0" deleteRows="0" sort="0" autoFilter="0" pivotTables="0"/>
  <mergeCells count="3">
    <mergeCell ref="H1:J1"/>
    <mergeCell ref="K1:O1"/>
    <mergeCell ref="A6:A9"/>
  </mergeCells>
  <pageMargins left="0.75" right="0.75" top="1" bottom="1" header="0.5" footer="0.5"/>
  <pageSetup paperSize="9" orientation="portrait"/>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20"/>
  <sheetViews>
    <sheetView zoomScale="70" zoomScaleNormal="70" workbookViewId="0">
      <pane xSplit="10" ySplit="1" topLeftCell="R149" activePane="bottomRight" state="frozen"/>
      <selection/>
      <selection pane="topRight"/>
      <selection pane="bottomLeft"/>
      <selection pane="bottomRight" activeCell="R149" sqref="R149"/>
    </sheetView>
  </sheetViews>
  <sheetFormatPr defaultColWidth="9" defaultRowHeight="14.25"/>
  <cols>
    <col min="1" max="1" width="23.9916666666667" style="684" customWidth="1"/>
    <col min="2" max="3" width="20.7" style="684" customWidth="1"/>
    <col min="4" max="5" width="20.7" style="685" customWidth="1"/>
    <col min="6" max="7" width="20.7" style="684" customWidth="1"/>
    <col min="8" max="8" width="27" style="684" customWidth="1"/>
    <col min="9" max="11" width="20.7" style="684" customWidth="1"/>
    <col min="12" max="12" width="20.7" style="684" customWidth="1" outlineLevel="1"/>
    <col min="13" max="13" width="20.7" style="686" customWidth="1" outlineLevel="1"/>
    <col min="14" max="15" width="20.7" style="684" customWidth="1"/>
    <col min="16" max="16" width="34.75" style="685" customWidth="1"/>
    <col min="17" max="18" width="20.7" style="684" customWidth="1"/>
    <col min="19" max="20" width="20.2" style="684" customWidth="1"/>
    <col min="21" max="66" width="9" style="684" hidden="1" customWidth="1"/>
    <col min="67" max="16384" width="9" style="684"/>
  </cols>
  <sheetData>
    <row r="1" s="671" customFormat="1" ht="69" customHeight="1" spans="1:20">
      <c r="A1" s="687" t="s">
        <v>14</v>
      </c>
      <c r="B1" s="688" t="s">
        <v>15</v>
      </c>
      <c r="C1" s="688" t="s">
        <v>16</v>
      </c>
      <c r="D1" s="688" t="s">
        <v>17</v>
      </c>
      <c r="E1" s="688" t="s">
        <v>12222</v>
      </c>
      <c r="F1" s="688" t="s">
        <v>19</v>
      </c>
      <c r="G1" s="688" t="s">
        <v>21</v>
      </c>
      <c r="H1" s="689" t="s">
        <v>22</v>
      </c>
      <c r="I1" s="688" t="s">
        <v>23</v>
      </c>
      <c r="J1" s="688" t="s">
        <v>24</v>
      </c>
      <c r="K1" s="688" t="s">
        <v>25</v>
      </c>
      <c r="L1" s="688" t="s">
        <v>26</v>
      </c>
      <c r="M1" s="688" t="s">
        <v>27</v>
      </c>
      <c r="N1" s="688" t="s">
        <v>28</v>
      </c>
      <c r="O1" s="690" t="s">
        <v>29</v>
      </c>
      <c r="P1" s="691" t="s">
        <v>12223</v>
      </c>
      <c r="Q1" s="688" t="s">
        <v>12224</v>
      </c>
      <c r="R1" s="688" t="s">
        <v>12225</v>
      </c>
      <c r="S1" s="692" t="s">
        <v>12226</v>
      </c>
      <c r="T1" s="692" t="s">
        <v>12227</v>
      </c>
    </row>
    <row r="2" s="672" customFormat="1" ht="42" customHeight="1" spans="1:20">
      <c r="A2" s="693">
        <v>44725</v>
      </c>
      <c r="B2" s="694" t="s">
        <v>12228</v>
      </c>
      <c r="C2" s="695" t="s">
        <v>2776</v>
      </c>
      <c r="D2" s="696">
        <v>4500081000</v>
      </c>
      <c r="E2" s="697"/>
      <c r="F2" s="697" t="s">
        <v>12229</v>
      </c>
      <c r="G2" s="697"/>
      <c r="H2" s="698" t="s">
        <v>94</v>
      </c>
      <c r="I2" s="699" t="s">
        <v>95</v>
      </c>
      <c r="J2" s="700">
        <v>960</v>
      </c>
      <c r="K2" s="700">
        <v>0</v>
      </c>
      <c r="L2" s="700">
        <v>24</v>
      </c>
      <c r="M2" s="700">
        <f t="shared" ref="M2:M17" si="0">J2/L2</f>
        <v>40</v>
      </c>
      <c r="N2" s="701">
        <v>44792</v>
      </c>
      <c r="O2" s="701">
        <v>44806</v>
      </c>
      <c r="P2" s="702" t="s">
        <v>12230</v>
      </c>
      <c r="Q2" s="703" t="s">
        <v>82</v>
      </c>
      <c r="R2" s="703" t="s">
        <v>12231</v>
      </c>
      <c r="S2" s="555"/>
      <c r="T2" s="555"/>
    </row>
    <row r="3" s="673" customFormat="1" ht="42" customHeight="1" spans="1:20">
      <c r="A3" s="693">
        <v>44893</v>
      </c>
      <c r="B3" s="704" t="s">
        <v>2681</v>
      </c>
      <c r="C3" s="705" t="s">
        <v>91</v>
      </c>
      <c r="D3" s="696">
        <v>4500086343</v>
      </c>
      <c r="E3" s="697" t="s">
        <v>12232</v>
      </c>
      <c r="F3" s="706" t="s">
        <v>12233</v>
      </c>
      <c r="G3" s="699" t="s">
        <v>12234</v>
      </c>
      <c r="H3" s="698" t="s">
        <v>12235</v>
      </c>
      <c r="I3" s="707" t="s">
        <v>12236</v>
      </c>
      <c r="J3" s="700">
        <v>6000</v>
      </c>
      <c r="K3" s="700">
        <v>0</v>
      </c>
      <c r="L3" s="700">
        <v>6</v>
      </c>
      <c r="M3" s="700">
        <f t="shared" si="0"/>
        <v>1000</v>
      </c>
      <c r="N3" s="701">
        <v>45002</v>
      </c>
      <c r="O3" s="701">
        <v>44999</v>
      </c>
      <c r="P3" s="702" t="s">
        <v>12237</v>
      </c>
      <c r="Q3" s="703"/>
      <c r="R3" s="703"/>
      <c r="S3" s="555"/>
      <c r="T3" s="555"/>
    </row>
    <row r="4" s="672" customFormat="1" ht="42" customHeight="1" spans="1:20">
      <c r="A4" s="707">
        <v>44974</v>
      </c>
      <c r="B4" s="697" t="s">
        <v>12238</v>
      </c>
      <c r="C4" s="705" t="s">
        <v>471</v>
      </c>
      <c r="D4" s="708">
        <v>4500095358</v>
      </c>
      <c r="E4" s="697" t="s">
        <v>12239</v>
      </c>
      <c r="F4" s="709" t="s">
        <v>12240</v>
      </c>
      <c r="G4" s="710" t="s">
        <v>12241</v>
      </c>
      <c r="H4" s="711" t="s">
        <v>12241</v>
      </c>
      <c r="I4" s="712" t="s">
        <v>12242</v>
      </c>
      <c r="J4" s="697">
        <v>480</v>
      </c>
      <c r="K4" s="699">
        <v>0</v>
      </c>
      <c r="L4" s="699">
        <v>24</v>
      </c>
      <c r="M4" s="713">
        <f t="shared" si="0"/>
        <v>20</v>
      </c>
      <c r="N4" s="701">
        <v>45005</v>
      </c>
      <c r="O4" s="701">
        <v>45001</v>
      </c>
      <c r="P4" s="702" t="s">
        <v>12243</v>
      </c>
      <c r="Q4" s="555" t="s">
        <v>12244</v>
      </c>
      <c r="R4" s="703"/>
      <c r="S4" s="555"/>
      <c r="T4" s="555"/>
    </row>
    <row r="5" s="673" customFormat="1" ht="42" customHeight="1" spans="1:20">
      <c r="A5" s="707">
        <v>44957</v>
      </c>
      <c r="B5" s="697" t="s">
        <v>8747</v>
      </c>
      <c r="C5" s="697" t="s">
        <v>12245</v>
      </c>
      <c r="D5" s="700">
        <v>4500094129</v>
      </c>
      <c r="E5" s="700" t="s">
        <v>12246</v>
      </c>
      <c r="F5" s="697" t="s">
        <v>12247</v>
      </c>
      <c r="G5" s="697" t="s">
        <v>333</v>
      </c>
      <c r="H5" s="692" t="s">
        <v>333</v>
      </c>
      <c r="I5" s="700" t="s">
        <v>328</v>
      </c>
      <c r="J5" s="700">
        <v>312</v>
      </c>
      <c r="K5" s="700">
        <v>0</v>
      </c>
      <c r="L5" s="700">
        <v>24</v>
      </c>
      <c r="M5" s="700">
        <f t="shared" si="0"/>
        <v>13</v>
      </c>
      <c r="N5" s="701">
        <v>45034</v>
      </c>
      <c r="O5" s="701">
        <v>45030</v>
      </c>
      <c r="P5" s="702" t="s">
        <v>12243</v>
      </c>
      <c r="Q5" s="697"/>
      <c r="R5" s="714"/>
      <c r="S5" s="555"/>
      <c r="T5" s="555"/>
    </row>
    <row r="6" s="673" customFormat="1" ht="42" customHeight="1" spans="1:20">
      <c r="A6" s="693">
        <v>44986</v>
      </c>
      <c r="B6" s="715" t="s">
        <v>12248</v>
      </c>
      <c r="C6" s="695" t="s">
        <v>2058</v>
      </c>
      <c r="D6" s="700">
        <v>4500096384</v>
      </c>
      <c r="E6" s="697" t="s">
        <v>12249</v>
      </c>
      <c r="F6" s="716" t="s">
        <v>12250</v>
      </c>
      <c r="G6" s="697" t="s">
        <v>327</v>
      </c>
      <c r="H6" s="692" t="s">
        <v>327</v>
      </c>
      <c r="I6" s="700" t="s">
        <v>328</v>
      </c>
      <c r="J6" s="700">
        <v>7200</v>
      </c>
      <c r="K6" s="700">
        <v>0</v>
      </c>
      <c r="L6" s="700">
        <v>12</v>
      </c>
      <c r="M6" s="700">
        <f t="shared" si="0"/>
        <v>600</v>
      </c>
      <c r="N6" s="701">
        <v>45050</v>
      </c>
      <c r="O6" s="701">
        <v>45045</v>
      </c>
      <c r="P6" s="717" t="s">
        <v>12251</v>
      </c>
      <c r="Q6" s="697" t="s">
        <v>12252</v>
      </c>
      <c r="R6" s="714" t="s">
        <v>12243</v>
      </c>
      <c r="S6" s="555"/>
      <c r="T6" s="555"/>
    </row>
    <row r="7" s="672" customFormat="1" ht="42" customHeight="1" spans="1:20">
      <c r="A7" s="707">
        <v>45019</v>
      </c>
      <c r="B7" s="704" t="s">
        <v>5030</v>
      </c>
      <c r="C7" s="695" t="s">
        <v>341</v>
      </c>
      <c r="D7" s="708">
        <v>4500098917</v>
      </c>
      <c r="E7" s="697">
        <v>2950862816</v>
      </c>
      <c r="F7" s="709" t="s">
        <v>12253</v>
      </c>
      <c r="G7" s="699" t="s">
        <v>12254</v>
      </c>
      <c r="H7" s="698" t="s">
        <v>12254</v>
      </c>
      <c r="I7" s="699" t="s">
        <v>12255</v>
      </c>
      <c r="J7" s="699">
        <v>2240</v>
      </c>
      <c r="K7" s="700">
        <v>0</v>
      </c>
      <c r="L7" s="700">
        <v>320</v>
      </c>
      <c r="M7" s="700">
        <f t="shared" si="0"/>
        <v>7</v>
      </c>
      <c r="N7" s="701" t="s">
        <v>9598</v>
      </c>
      <c r="O7" s="701" t="s">
        <v>9598</v>
      </c>
      <c r="P7" s="702" t="s">
        <v>12256</v>
      </c>
      <c r="Q7" s="703"/>
      <c r="R7" s="703"/>
      <c r="S7" s="555"/>
      <c r="T7" s="555"/>
    </row>
    <row r="8" s="673" customFormat="1" ht="42" customHeight="1" spans="1:20">
      <c r="A8" s="707">
        <v>44992</v>
      </c>
      <c r="B8" s="697" t="s">
        <v>12257</v>
      </c>
      <c r="C8" s="697" t="s">
        <v>91</v>
      </c>
      <c r="D8" s="700">
        <v>4500096669</v>
      </c>
      <c r="E8" s="700">
        <v>94289154</v>
      </c>
      <c r="F8" s="697" t="s">
        <v>12258</v>
      </c>
      <c r="G8" s="697" t="s">
        <v>1453</v>
      </c>
      <c r="H8" s="692" t="s">
        <v>1453</v>
      </c>
      <c r="I8" s="700" t="s">
        <v>328</v>
      </c>
      <c r="J8" s="700">
        <v>2220</v>
      </c>
      <c r="K8" s="700">
        <v>0</v>
      </c>
      <c r="L8" s="700">
        <v>6</v>
      </c>
      <c r="M8" s="700">
        <f t="shared" si="0"/>
        <v>370</v>
      </c>
      <c r="N8" s="701">
        <v>45092</v>
      </c>
      <c r="O8" s="701" t="s">
        <v>12243</v>
      </c>
      <c r="P8" s="718"/>
      <c r="Q8" s="697"/>
      <c r="R8" s="714"/>
      <c r="S8" s="555"/>
      <c r="T8" s="555"/>
    </row>
    <row r="9" s="673" customFormat="1" ht="42" customHeight="1" spans="1:20">
      <c r="A9" s="707">
        <v>45093</v>
      </c>
      <c r="B9" s="704" t="s">
        <v>2057</v>
      </c>
      <c r="C9" s="705" t="s">
        <v>2058</v>
      </c>
      <c r="D9" s="708">
        <v>4500106695</v>
      </c>
      <c r="E9" s="697" t="s">
        <v>12259</v>
      </c>
      <c r="F9" s="709" t="s">
        <v>12260</v>
      </c>
      <c r="G9" s="699" t="s">
        <v>12261</v>
      </c>
      <c r="H9" s="698" t="s">
        <v>12262</v>
      </c>
      <c r="I9" s="699" t="s">
        <v>10898</v>
      </c>
      <c r="J9" s="699">
        <v>480</v>
      </c>
      <c r="K9" s="700">
        <v>0</v>
      </c>
      <c r="L9" s="700">
        <v>24</v>
      </c>
      <c r="M9" s="700">
        <f t="shared" si="0"/>
        <v>20</v>
      </c>
      <c r="N9" s="701">
        <v>45162</v>
      </c>
      <c r="O9" s="701" t="s">
        <v>12263</v>
      </c>
      <c r="P9" s="702"/>
      <c r="Q9" s="703"/>
      <c r="R9" s="703"/>
      <c r="S9" s="555"/>
      <c r="T9" s="555"/>
    </row>
    <row r="10" s="673" customFormat="1" ht="42" customHeight="1" spans="1:20">
      <c r="A10" s="707">
        <v>45093</v>
      </c>
      <c r="B10" s="704" t="s">
        <v>2057</v>
      </c>
      <c r="C10" s="705" t="s">
        <v>2058</v>
      </c>
      <c r="D10" s="708">
        <v>4500106695</v>
      </c>
      <c r="E10" s="697" t="s">
        <v>12264</v>
      </c>
      <c r="F10" s="709" t="s">
        <v>12265</v>
      </c>
      <c r="G10" s="699" t="s">
        <v>12266</v>
      </c>
      <c r="H10" s="698" t="s">
        <v>12267</v>
      </c>
      <c r="I10" s="699" t="s">
        <v>95</v>
      </c>
      <c r="J10" s="699">
        <v>480</v>
      </c>
      <c r="K10" s="700">
        <v>0</v>
      </c>
      <c r="L10" s="700">
        <v>24</v>
      </c>
      <c r="M10" s="700">
        <f t="shared" si="0"/>
        <v>20</v>
      </c>
      <c r="N10" s="701">
        <v>45162</v>
      </c>
      <c r="O10" s="701" t="s">
        <v>12263</v>
      </c>
      <c r="P10" s="702"/>
      <c r="Q10" s="703"/>
      <c r="R10" s="703"/>
      <c r="S10" s="555"/>
      <c r="T10" s="555"/>
    </row>
    <row r="11" s="673" customFormat="1" ht="42" customHeight="1" spans="1:20">
      <c r="A11" s="707">
        <v>45093</v>
      </c>
      <c r="B11" s="704" t="s">
        <v>2057</v>
      </c>
      <c r="C11" s="705" t="s">
        <v>2058</v>
      </c>
      <c r="D11" s="708">
        <v>4500106695</v>
      </c>
      <c r="E11" s="697" t="s">
        <v>12268</v>
      </c>
      <c r="F11" s="709" t="s">
        <v>12269</v>
      </c>
      <c r="G11" s="699" t="s">
        <v>12261</v>
      </c>
      <c r="H11" s="698" t="s">
        <v>12262</v>
      </c>
      <c r="I11" s="699" t="s">
        <v>10898</v>
      </c>
      <c r="J11" s="699">
        <v>480</v>
      </c>
      <c r="K11" s="700">
        <v>0</v>
      </c>
      <c r="L11" s="700">
        <v>24</v>
      </c>
      <c r="M11" s="700">
        <f t="shared" si="0"/>
        <v>20</v>
      </c>
      <c r="N11" s="701">
        <v>45162</v>
      </c>
      <c r="O11" s="701" t="s">
        <v>12263</v>
      </c>
      <c r="P11" s="702"/>
      <c r="Q11" s="703"/>
      <c r="R11" s="703"/>
      <c r="S11" s="555"/>
      <c r="T11" s="555"/>
    </row>
    <row r="12" s="673" customFormat="1" ht="42" customHeight="1" spans="1:20">
      <c r="A12" s="693">
        <v>45071</v>
      </c>
      <c r="B12" s="694" t="s">
        <v>3057</v>
      </c>
      <c r="C12" s="695" t="s">
        <v>91</v>
      </c>
      <c r="D12" s="708" t="s">
        <v>12270</v>
      </c>
      <c r="E12" s="697" t="s">
        <v>11682</v>
      </c>
      <c r="F12" s="708" t="s">
        <v>12271</v>
      </c>
      <c r="G12" s="697" t="s">
        <v>1453</v>
      </c>
      <c r="H12" s="692" t="s">
        <v>1453</v>
      </c>
      <c r="I12" s="700" t="s">
        <v>328</v>
      </c>
      <c r="J12" s="700">
        <v>1002</v>
      </c>
      <c r="K12" s="700">
        <v>0</v>
      </c>
      <c r="L12" s="700">
        <v>6</v>
      </c>
      <c r="M12" s="700">
        <f t="shared" si="0"/>
        <v>167</v>
      </c>
      <c r="N12" s="701">
        <v>45107</v>
      </c>
      <c r="O12" s="701">
        <v>45131</v>
      </c>
      <c r="P12" s="718" t="s">
        <v>12272</v>
      </c>
      <c r="Q12" s="697"/>
      <c r="R12" s="714"/>
      <c r="S12" s="555"/>
      <c r="T12" s="555"/>
    </row>
    <row r="13" s="673" customFormat="1" ht="42" customHeight="1" spans="1:20">
      <c r="A13" s="693">
        <v>45152</v>
      </c>
      <c r="B13" s="715" t="s">
        <v>839</v>
      </c>
      <c r="C13" s="697" t="s">
        <v>840</v>
      </c>
      <c r="D13" s="700">
        <v>4500111177</v>
      </c>
      <c r="E13" s="700">
        <v>19580146</v>
      </c>
      <c r="F13" s="700" t="s">
        <v>12273</v>
      </c>
      <c r="G13" s="697" t="s">
        <v>508</v>
      </c>
      <c r="H13" s="692" t="s">
        <v>508</v>
      </c>
      <c r="I13" s="700" t="s">
        <v>328</v>
      </c>
      <c r="J13" s="700">
        <v>162</v>
      </c>
      <c r="K13" s="700">
        <v>0</v>
      </c>
      <c r="L13" s="700">
        <v>6</v>
      </c>
      <c r="M13" s="700">
        <f t="shared" si="0"/>
        <v>27</v>
      </c>
      <c r="N13" s="701">
        <v>45194</v>
      </c>
      <c r="O13" s="701" t="s">
        <v>12263</v>
      </c>
      <c r="P13" s="718"/>
      <c r="Q13" s="697"/>
      <c r="R13" s="714"/>
      <c r="S13" s="555"/>
      <c r="T13" s="555"/>
    </row>
    <row r="14" s="673" customFormat="1" ht="42" customHeight="1" spans="1:20">
      <c r="A14" s="693">
        <v>45090</v>
      </c>
      <c r="B14" s="715" t="s">
        <v>2681</v>
      </c>
      <c r="C14" s="697" t="s">
        <v>91</v>
      </c>
      <c r="D14" s="700">
        <v>4500106533</v>
      </c>
      <c r="E14" s="700"/>
      <c r="F14" s="700" t="s">
        <v>12274</v>
      </c>
      <c r="G14" s="697" t="s">
        <v>1453</v>
      </c>
      <c r="H14" s="692" t="s">
        <v>1453</v>
      </c>
      <c r="I14" s="700" t="s">
        <v>328</v>
      </c>
      <c r="J14" s="700">
        <v>12000</v>
      </c>
      <c r="K14" s="700">
        <v>0</v>
      </c>
      <c r="L14" s="700">
        <v>6</v>
      </c>
      <c r="M14" s="700">
        <f t="shared" si="0"/>
        <v>2000</v>
      </c>
      <c r="N14" s="701">
        <v>45159</v>
      </c>
      <c r="O14" s="701">
        <v>45188</v>
      </c>
      <c r="P14" s="718" t="s">
        <v>12275</v>
      </c>
      <c r="Q14" s="697"/>
      <c r="R14" s="714"/>
      <c r="S14" s="555"/>
      <c r="T14" s="555"/>
    </row>
    <row r="15" s="673" customFormat="1" ht="42" customHeight="1" spans="1:20">
      <c r="A15" s="693">
        <v>45166</v>
      </c>
      <c r="B15" s="715" t="s">
        <v>323</v>
      </c>
      <c r="C15" s="697" t="s">
        <v>324</v>
      </c>
      <c r="D15" s="700" t="s">
        <v>12276</v>
      </c>
      <c r="E15" s="700"/>
      <c r="F15" s="700"/>
      <c r="G15" s="697" t="s">
        <v>9598</v>
      </c>
      <c r="H15" s="692" t="s">
        <v>333</v>
      </c>
      <c r="I15" s="697" t="s">
        <v>328</v>
      </c>
      <c r="J15" s="719">
        <v>2160</v>
      </c>
      <c r="K15" s="700">
        <v>0</v>
      </c>
      <c r="L15" s="700">
        <v>24</v>
      </c>
      <c r="M15" s="700">
        <f t="shared" si="0"/>
        <v>90</v>
      </c>
      <c r="N15" s="701">
        <v>45196</v>
      </c>
      <c r="O15" s="701">
        <v>45211</v>
      </c>
      <c r="P15" s="718" t="s">
        <v>12277</v>
      </c>
      <c r="Q15" s="697"/>
      <c r="R15" s="714"/>
      <c r="S15" s="555"/>
      <c r="T15" s="555"/>
    </row>
    <row r="16" s="673" customFormat="1" ht="42" customHeight="1" spans="1:20">
      <c r="A16" s="693">
        <v>45189</v>
      </c>
      <c r="B16" s="715" t="s">
        <v>2587</v>
      </c>
      <c r="C16" s="697" t="s">
        <v>91</v>
      </c>
      <c r="D16" s="700">
        <v>4500113789</v>
      </c>
      <c r="E16" s="700">
        <v>215138174</v>
      </c>
      <c r="F16" s="700" t="s">
        <v>12278</v>
      </c>
      <c r="G16" s="697" t="s">
        <v>12279</v>
      </c>
      <c r="H16" s="692" t="s">
        <v>12279</v>
      </c>
      <c r="I16" s="697" t="s">
        <v>2591</v>
      </c>
      <c r="J16" s="700">
        <v>1188</v>
      </c>
      <c r="K16" s="700">
        <v>0</v>
      </c>
      <c r="L16" s="700">
        <v>12</v>
      </c>
      <c r="M16" s="700">
        <f t="shared" si="0"/>
        <v>99</v>
      </c>
      <c r="N16" s="701">
        <v>45236</v>
      </c>
      <c r="O16" s="701" t="s">
        <v>12263</v>
      </c>
      <c r="P16" s="720"/>
      <c r="Q16" s="714"/>
      <c r="R16" s="721"/>
      <c r="S16" s="555"/>
      <c r="T16" s="555"/>
    </row>
    <row r="17" s="673" customFormat="1" ht="42" customHeight="1" spans="1:20">
      <c r="A17" s="693">
        <v>45189</v>
      </c>
      <c r="B17" s="715" t="s">
        <v>2587</v>
      </c>
      <c r="C17" s="697" t="s">
        <v>91</v>
      </c>
      <c r="D17" s="700">
        <v>4500113788</v>
      </c>
      <c r="E17" s="700">
        <v>215138163</v>
      </c>
      <c r="F17" s="700" t="s">
        <v>12280</v>
      </c>
      <c r="G17" s="697" t="s">
        <v>12279</v>
      </c>
      <c r="H17" s="692" t="s">
        <v>12279</v>
      </c>
      <c r="I17" s="697" t="s">
        <v>2591</v>
      </c>
      <c r="J17" s="700">
        <v>2400</v>
      </c>
      <c r="K17" s="700">
        <v>0</v>
      </c>
      <c r="L17" s="700">
        <v>12</v>
      </c>
      <c r="M17" s="700">
        <f t="shared" si="0"/>
        <v>200</v>
      </c>
      <c r="N17" s="701">
        <v>45236</v>
      </c>
      <c r="O17" s="701" t="s">
        <v>12263</v>
      </c>
      <c r="P17" s="720"/>
      <c r="Q17" s="714"/>
      <c r="R17" s="721"/>
      <c r="S17" s="555"/>
      <c r="T17" s="555"/>
    </row>
    <row r="18" s="673" customFormat="1" ht="42" customHeight="1" spans="1:20">
      <c r="A18" s="693">
        <v>45246</v>
      </c>
      <c r="B18" s="715" t="s">
        <v>12281</v>
      </c>
      <c r="C18" s="697" t="s">
        <v>396</v>
      </c>
      <c r="D18" s="700">
        <v>4500118800</v>
      </c>
      <c r="E18" s="700" t="s">
        <v>12282</v>
      </c>
      <c r="F18" s="700" t="s">
        <v>12283</v>
      </c>
      <c r="G18" s="697" t="s">
        <v>1626</v>
      </c>
      <c r="H18" s="692" t="s">
        <v>328</v>
      </c>
      <c r="I18" s="697">
        <v>2232</v>
      </c>
      <c r="J18" s="700">
        <v>0</v>
      </c>
      <c r="K18" s="700">
        <v>6</v>
      </c>
      <c r="L18" s="700">
        <v>372</v>
      </c>
      <c r="M18" s="700">
        <v>45285</v>
      </c>
      <c r="N18" s="701" t="s">
        <v>12263</v>
      </c>
      <c r="O18" s="701" t="s">
        <v>12284</v>
      </c>
      <c r="P18" s="720"/>
      <c r="Q18" s="714"/>
      <c r="R18" s="721" t="s">
        <v>2532</v>
      </c>
      <c r="S18" s="555"/>
      <c r="T18" s="555"/>
    </row>
    <row r="19" s="673" customFormat="1" ht="42" customHeight="1" spans="1:20">
      <c r="A19" s="693">
        <v>45246</v>
      </c>
      <c r="B19" s="715" t="s">
        <v>12281</v>
      </c>
      <c r="C19" s="697" t="s">
        <v>396</v>
      </c>
      <c r="D19" s="708">
        <v>4500118800</v>
      </c>
      <c r="E19" s="697" t="s">
        <v>12282</v>
      </c>
      <c r="F19" s="708" t="s">
        <v>12283</v>
      </c>
      <c r="G19" s="697"/>
      <c r="H19" s="692" t="s">
        <v>1626</v>
      </c>
      <c r="I19" s="700" t="s">
        <v>328</v>
      </c>
      <c r="J19" s="700">
        <v>2232</v>
      </c>
      <c r="K19" s="700">
        <v>0</v>
      </c>
      <c r="L19" s="700">
        <v>6</v>
      </c>
      <c r="M19" s="700">
        <f t="shared" ref="M19:M82" si="1">J19/L19</f>
        <v>372</v>
      </c>
      <c r="N19" s="701">
        <v>45285</v>
      </c>
      <c r="O19" s="701" t="s">
        <v>12263</v>
      </c>
      <c r="P19" s="718" t="s">
        <v>12284</v>
      </c>
      <c r="Q19" s="722"/>
      <c r="R19" s="714"/>
      <c r="S19" s="555"/>
      <c r="T19" s="555"/>
    </row>
    <row r="20" s="673" customFormat="1" ht="42" customHeight="1" spans="1:20">
      <c r="A20" s="693">
        <v>45210</v>
      </c>
      <c r="B20" s="715" t="s">
        <v>12285</v>
      </c>
      <c r="C20" s="697" t="s">
        <v>2343</v>
      </c>
      <c r="D20" s="700">
        <v>4500115438</v>
      </c>
      <c r="E20" s="697"/>
      <c r="F20" s="700" t="s">
        <v>12286</v>
      </c>
      <c r="G20" s="697" t="s">
        <v>333</v>
      </c>
      <c r="H20" s="692" t="s">
        <v>333</v>
      </c>
      <c r="I20" s="697" t="s">
        <v>328</v>
      </c>
      <c r="J20" s="719">
        <v>720</v>
      </c>
      <c r="K20" s="700">
        <v>0</v>
      </c>
      <c r="L20" s="700">
        <v>24</v>
      </c>
      <c r="M20" s="700">
        <f t="shared" si="1"/>
        <v>30</v>
      </c>
      <c r="N20" s="701">
        <v>45247</v>
      </c>
      <c r="O20" s="701">
        <v>45290</v>
      </c>
      <c r="P20" s="718" t="s">
        <v>12243</v>
      </c>
      <c r="Q20" s="700"/>
      <c r="R20" s="714"/>
      <c r="S20" s="555"/>
      <c r="T20" s="555"/>
    </row>
    <row r="21" s="673" customFormat="1" ht="42" customHeight="1" spans="1:20">
      <c r="A21" s="693">
        <v>45208</v>
      </c>
      <c r="B21" s="715" t="s">
        <v>12285</v>
      </c>
      <c r="C21" s="697" t="s">
        <v>2343</v>
      </c>
      <c r="D21" s="700">
        <v>4500115348</v>
      </c>
      <c r="E21" s="697"/>
      <c r="F21" s="700" t="s">
        <v>12287</v>
      </c>
      <c r="G21" s="697" t="s">
        <v>333</v>
      </c>
      <c r="H21" s="692" t="s">
        <v>333</v>
      </c>
      <c r="I21" s="697" t="s">
        <v>328</v>
      </c>
      <c r="J21" s="719">
        <v>1080</v>
      </c>
      <c r="K21" s="700">
        <v>0</v>
      </c>
      <c r="L21" s="700">
        <v>24</v>
      </c>
      <c r="M21" s="700">
        <f t="shared" si="1"/>
        <v>45</v>
      </c>
      <c r="N21" s="701">
        <v>45250</v>
      </c>
      <c r="O21" s="701">
        <v>45290</v>
      </c>
      <c r="P21" s="718" t="s">
        <v>12243</v>
      </c>
      <c r="Q21" s="697"/>
      <c r="R21" s="714"/>
      <c r="S21" s="555"/>
      <c r="T21" s="555"/>
    </row>
    <row r="22" s="673" customFormat="1" ht="42" customHeight="1" spans="1:20">
      <c r="A22" s="693">
        <v>45208</v>
      </c>
      <c r="B22" s="715" t="s">
        <v>12285</v>
      </c>
      <c r="C22" s="697" t="s">
        <v>2343</v>
      </c>
      <c r="D22" s="700">
        <v>4500115348</v>
      </c>
      <c r="E22" s="697"/>
      <c r="F22" s="700" t="s">
        <v>12288</v>
      </c>
      <c r="G22" s="697" t="s">
        <v>2627</v>
      </c>
      <c r="H22" s="692" t="s">
        <v>2627</v>
      </c>
      <c r="I22" s="697" t="s">
        <v>2591</v>
      </c>
      <c r="J22" s="700">
        <v>840</v>
      </c>
      <c r="K22" s="700">
        <v>0</v>
      </c>
      <c r="L22" s="700">
        <v>24</v>
      </c>
      <c r="M22" s="700">
        <f t="shared" si="1"/>
        <v>35</v>
      </c>
      <c r="N22" s="701">
        <v>45250</v>
      </c>
      <c r="O22" s="701">
        <v>45290</v>
      </c>
      <c r="P22" s="702"/>
      <c r="Q22" s="700" t="s">
        <v>12243</v>
      </c>
      <c r="R22" s="723"/>
      <c r="S22" s="555"/>
      <c r="T22" s="555"/>
    </row>
    <row r="23" s="674" customFormat="1" ht="42" customHeight="1" spans="1:20">
      <c r="A23" s="693">
        <v>45210</v>
      </c>
      <c r="B23" s="715" t="s">
        <v>12285</v>
      </c>
      <c r="C23" s="697" t="s">
        <v>2343</v>
      </c>
      <c r="D23" s="700">
        <v>4500115438</v>
      </c>
      <c r="E23" s="697"/>
      <c r="F23" s="700" t="s">
        <v>12289</v>
      </c>
      <c r="G23" s="697" t="s">
        <v>2627</v>
      </c>
      <c r="H23" s="692" t="s">
        <v>2627</v>
      </c>
      <c r="I23" s="697" t="s">
        <v>2591</v>
      </c>
      <c r="J23" s="700">
        <v>1560</v>
      </c>
      <c r="K23" s="700">
        <v>0</v>
      </c>
      <c r="L23" s="700">
        <v>24</v>
      </c>
      <c r="M23" s="700">
        <f t="shared" si="1"/>
        <v>65</v>
      </c>
      <c r="N23" s="701">
        <v>45247</v>
      </c>
      <c r="O23" s="701">
        <v>45290</v>
      </c>
      <c r="P23" s="702"/>
      <c r="Q23" s="700" t="s">
        <v>12243</v>
      </c>
      <c r="R23" s="723"/>
      <c r="S23" s="555"/>
      <c r="T23" s="555"/>
    </row>
    <row r="24" s="673" customFormat="1" ht="42" customHeight="1" spans="1:20">
      <c r="A24" s="693">
        <v>45341</v>
      </c>
      <c r="B24" s="724" t="s">
        <v>1258</v>
      </c>
      <c r="C24" s="705" t="s">
        <v>2058</v>
      </c>
      <c r="D24" s="708">
        <v>4500124528</v>
      </c>
      <c r="E24" s="697" t="s">
        <v>12290</v>
      </c>
      <c r="F24" s="708" t="s">
        <v>12291</v>
      </c>
      <c r="G24" s="697"/>
      <c r="H24" s="692" t="s">
        <v>12292</v>
      </c>
      <c r="I24" s="697" t="s">
        <v>12293</v>
      </c>
      <c r="J24" s="700">
        <v>684</v>
      </c>
      <c r="K24" s="700">
        <v>0</v>
      </c>
      <c r="L24" s="700">
        <v>12</v>
      </c>
      <c r="M24" s="700">
        <f t="shared" si="1"/>
        <v>57</v>
      </c>
      <c r="N24" s="701">
        <v>45399</v>
      </c>
      <c r="O24" s="701" t="s">
        <v>12263</v>
      </c>
      <c r="P24" s="725"/>
      <c r="Q24" s="723"/>
      <c r="R24" s="714"/>
      <c r="S24" s="555"/>
      <c r="T24" s="555"/>
    </row>
    <row r="25" s="673" customFormat="1" ht="42" customHeight="1" spans="1:20">
      <c r="A25" s="693">
        <v>45363</v>
      </c>
      <c r="B25" s="715" t="s">
        <v>12294</v>
      </c>
      <c r="C25" s="697" t="s">
        <v>91</v>
      </c>
      <c r="D25" s="700">
        <v>4500126628</v>
      </c>
      <c r="E25" s="697" t="s">
        <v>12295</v>
      </c>
      <c r="F25" s="700" t="s">
        <v>12296</v>
      </c>
      <c r="G25" s="697" t="s">
        <v>6074</v>
      </c>
      <c r="H25" s="692" t="s">
        <v>6074</v>
      </c>
      <c r="I25" s="700" t="s">
        <v>6063</v>
      </c>
      <c r="J25" s="700">
        <v>2760</v>
      </c>
      <c r="K25" s="700">
        <v>0</v>
      </c>
      <c r="L25" s="700">
        <v>24</v>
      </c>
      <c r="M25" s="700">
        <f t="shared" si="1"/>
        <v>115</v>
      </c>
      <c r="N25" s="701">
        <v>45400</v>
      </c>
      <c r="O25" s="701">
        <v>45397</v>
      </c>
      <c r="P25" s="717" t="s">
        <v>12297</v>
      </c>
      <c r="Q25" s="697"/>
      <c r="R25" s="714"/>
      <c r="S25" s="555"/>
      <c r="T25" s="555"/>
    </row>
    <row r="26" s="673" customFormat="1" ht="42" customHeight="1" spans="1:20">
      <c r="A26" s="693">
        <v>45363</v>
      </c>
      <c r="B26" s="715" t="s">
        <v>12294</v>
      </c>
      <c r="C26" s="697" t="s">
        <v>91</v>
      </c>
      <c r="D26" s="700">
        <v>4500126628</v>
      </c>
      <c r="E26" s="697" t="s">
        <v>12298</v>
      </c>
      <c r="F26" s="700" t="s">
        <v>12299</v>
      </c>
      <c r="G26" s="697" t="s">
        <v>6074</v>
      </c>
      <c r="H26" s="692" t="s">
        <v>6074</v>
      </c>
      <c r="I26" s="700" t="s">
        <v>6063</v>
      </c>
      <c r="J26" s="700">
        <v>1704</v>
      </c>
      <c r="K26" s="700">
        <v>0</v>
      </c>
      <c r="L26" s="700">
        <v>24</v>
      </c>
      <c r="M26" s="700">
        <f t="shared" si="1"/>
        <v>71</v>
      </c>
      <c r="N26" s="701">
        <v>45400</v>
      </c>
      <c r="O26" s="701">
        <v>45397</v>
      </c>
      <c r="P26" s="717" t="s">
        <v>12297</v>
      </c>
      <c r="Q26" s="697"/>
      <c r="R26" s="714"/>
      <c r="S26" s="555"/>
      <c r="T26" s="555"/>
    </row>
    <row r="27" s="673" customFormat="1" ht="42" customHeight="1" spans="1:20">
      <c r="A27" s="693">
        <v>45363</v>
      </c>
      <c r="B27" s="715" t="s">
        <v>12294</v>
      </c>
      <c r="C27" s="697" t="s">
        <v>91</v>
      </c>
      <c r="D27" s="700">
        <v>4500126628</v>
      </c>
      <c r="E27" s="697" t="s">
        <v>12300</v>
      </c>
      <c r="F27" s="700" t="s">
        <v>12301</v>
      </c>
      <c r="G27" s="697" t="s">
        <v>6074</v>
      </c>
      <c r="H27" s="692" t="s">
        <v>6074</v>
      </c>
      <c r="I27" s="700" t="s">
        <v>6063</v>
      </c>
      <c r="J27" s="700">
        <v>1824</v>
      </c>
      <c r="K27" s="700">
        <v>0</v>
      </c>
      <c r="L27" s="700">
        <v>24</v>
      </c>
      <c r="M27" s="700">
        <f t="shared" si="1"/>
        <v>76</v>
      </c>
      <c r="N27" s="701">
        <v>45400</v>
      </c>
      <c r="O27" s="701">
        <v>45397</v>
      </c>
      <c r="P27" s="717" t="s">
        <v>12297</v>
      </c>
      <c r="Q27" s="697"/>
      <c r="R27" s="714"/>
      <c r="S27" s="555"/>
      <c r="T27" s="555"/>
    </row>
    <row r="28" s="673" customFormat="1" ht="42" customHeight="1" spans="1:20">
      <c r="A28" s="693">
        <v>45363</v>
      </c>
      <c r="B28" s="715" t="s">
        <v>12294</v>
      </c>
      <c r="C28" s="697" t="s">
        <v>91</v>
      </c>
      <c r="D28" s="700">
        <v>4500126628</v>
      </c>
      <c r="E28" s="697" t="s">
        <v>12295</v>
      </c>
      <c r="F28" s="700" t="s">
        <v>12302</v>
      </c>
      <c r="G28" s="697"/>
      <c r="H28" s="692" t="s">
        <v>2619</v>
      </c>
      <c r="I28" s="697" t="s">
        <v>2620</v>
      </c>
      <c r="J28" s="700">
        <v>2760</v>
      </c>
      <c r="K28" s="700">
        <v>0</v>
      </c>
      <c r="L28" s="700">
        <v>24</v>
      </c>
      <c r="M28" s="700">
        <f t="shared" si="1"/>
        <v>115</v>
      </c>
      <c r="N28" s="701">
        <v>45400</v>
      </c>
      <c r="O28" s="701">
        <v>45397</v>
      </c>
      <c r="P28" s="717" t="s">
        <v>12297</v>
      </c>
      <c r="Q28" s="723"/>
      <c r="R28" s="714"/>
      <c r="S28" s="555"/>
      <c r="T28" s="555"/>
    </row>
    <row r="29" s="673" customFormat="1" ht="42" customHeight="1" spans="1:20">
      <c r="A29" s="693">
        <v>45363</v>
      </c>
      <c r="B29" s="715" t="s">
        <v>12294</v>
      </c>
      <c r="C29" s="697" t="s">
        <v>91</v>
      </c>
      <c r="D29" s="700">
        <v>4500126628</v>
      </c>
      <c r="E29" s="697" t="s">
        <v>12298</v>
      </c>
      <c r="F29" s="700" t="s">
        <v>12303</v>
      </c>
      <c r="G29" s="697"/>
      <c r="H29" s="692" t="s">
        <v>2619</v>
      </c>
      <c r="I29" s="697" t="s">
        <v>2620</v>
      </c>
      <c r="J29" s="700">
        <v>1704</v>
      </c>
      <c r="K29" s="700">
        <v>0</v>
      </c>
      <c r="L29" s="700">
        <v>24</v>
      </c>
      <c r="M29" s="700">
        <f t="shared" si="1"/>
        <v>71</v>
      </c>
      <c r="N29" s="701">
        <v>45400</v>
      </c>
      <c r="O29" s="701">
        <v>45397</v>
      </c>
      <c r="P29" s="717" t="s">
        <v>12297</v>
      </c>
      <c r="Q29" s="723"/>
      <c r="R29" s="714"/>
      <c r="S29" s="555"/>
      <c r="T29" s="555"/>
    </row>
    <row r="30" s="673" customFormat="1" ht="42" customHeight="1" spans="1:20">
      <c r="A30" s="693">
        <v>45363</v>
      </c>
      <c r="B30" s="715" t="s">
        <v>12294</v>
      </c>
      <c r="C30" s="697" t="s">
        <v>91</v>
      </c>
      <c r="D30" s="700">
        <v>4500126628</v>
      </c>
      <c r="E30" s="697" t="s">
        <v>12300</v>
      </c>
      <c r="F30" s="700" t="s">
        <v>12304</v>
      </c>
      <c r="G30" s="697"/>
      <c r="H30" s="692" t="s">
        <v>2619</v>
      </c>
      <c r="I30" s="697" t="s">
        <v>2620</v>
      </c>
      <c r="J30" s="700">
        <v>1824</v>
      </c>
      <c r="K30" s="700">
        <v>0</v>
      </c>
      <c r="L30" s="700">
        <v>24</v>
      </c>
      <c r="M30" s="700">
        <f t="shared" si="1"/>
        <v>76</v>
      </c>
      <c r="N30" s="701">
        <v>45400</v>
      </c>
      <c r="O30" s="701">
        <v>45397</v>
      </c>
      <c r="P30" s="717" t="s">
        <v>12297</v>
      </c>
      <c r="Q30" s="723"/>
      <c r="R30" s="714"/>
      <c r="S30" s="555"/>
      <c r="T30" s="555"/>
    </row>
    <row r="31" s="673" customFormat="1" ht="42" customHeight="1" spans="1:20">
      <c r="A31" s="707">
        <v>45371</v>
      </c>
      <c r="B31" s="704" t="s">
        <v>371</v>
      </c>
      <c r="C31" s="705" t="s">
        <v>2058</v>
      </c>
      <c r="D31" s="708">
        <v>4500124647</v>
      </c>
      <c r="E31" s="697" t="s">
        <v>12305</v>
      </c>
      <c r="F31" s="708" t="s">
        <v>12306</v>
      </c>
      <c r="G31" s="699"/>
      <c r="H31" s="698" t="s">
        <v>12307</v>
      </c>
      <c r="I31" s="699" t="s">
        <v>12308</v>
      </c>
      <c r="J31" s="699">
        <v>624</v>
      </c>
      <c r="K31" s="700">
        <v>0</v>
      </c>
      <c r="L31" s="700">
        <v>24</v>
      </c>
      <c r="M31" s="700">
        <f t="shared" si="1"/>
        <v>26</v>
      </c>
      <c r="N31" s="701">
        <v>45478</v>
      </c>
      <c r="O31" s="701">
        <v>45474</v>
      </c>
      <c r="P31" s="702" t="s">
        <v>12309</v>
      </c>
      <c r="Q31" s="703"/>
      <c r="R31" s="703"/>
      <c r="S31" s="555"/>
      <c r="T31" s="555"/>
    </row>
    <row r="32" s="673" customFormat="1" ht="42" customHeight="1" spans="1:20">
      <c r="A32" s="693">
        <v>45376</v>
      </c>
      <c r="B32" s="135" t="s">
        <v>4111</v>
      </c>
      <c r="C32" s="135" t="s">
        <v>91</v>
      </c>
      <c r="D32" s="555">
        <v>4500127793</v>
      </c>
      <c r="E32" s="555">
        <v>5200004335</v>
      </c>
      <c r="F32" s="555" t="s">
        <v>12310</v>
      </c>
      <c r="G32" s="697" t="s">
        <v>12311</v>
      </c>
      <c r="H32" s="692" t="s">
        <v>12312</v>
      </c>
      <c r="I32" s="700" t="s">
        <v>8295</v>
      </c>
      <c r="J32" s="700">
        <v>1000</v>
      </c>
      <c r="K32" s="700">
        <v>0</v>
      </c>
      <c r="L32" s="700">
        <v>2</v>
      </c>
      <c r="M32" s="700">
        <f t="shared" si="1"/>
        <v>500</v>
      </c>
      <c r="N32" s="701">
        <v>45412</v>
      </c>
      <c r="O32" s="701">
        <v>45408</v>
      </c>
      <c r="P32" s="718" t="s">
        <v>12263</v>
      </c>
      <c r="Q32" s="697"/>
      <c r="R32" s="714"/>
      <c r="S32" s="555"/>
      <c r="T32" s="555"/>
    </row>
    <row r="33" s="673" customFormat="1" ht="42" customHeight="1" spans="1:20">
      <c r="A33" s="726">
        <v>45383</v>
      </c>
      <c r="B33" s="724" t="s">
        <v>3012</v>
      </c>
      <c r="C33" s="727" t="s">
        <v>569</v>
      </c>
      <c r="D33" s="696">
        <v>4500128123</v>
      </c>
      <c r="E33" s="700" t="s">
        <v>12313</v>
      </c>
      <c r="F33" s="696" t="s">
        <v>12314</v>
      </c>
      <c r="G33" s="697" t="s">
        <v>12315</v>
      </c>
      <c r="H33" s="692" t="s">
        <v>6528</v>
      </c>
      <c r="I33" s="700" t="s">
        <v>6529</v>
      </c>
      <c r="J33" s="700">
        <v>512</v>
      </c>
      <c r="K33" s="700">
        <v>0</v>
      </c>
      <c r="L33" s="700">
        <v>32</v>
      </c>
      <c r="M33" s="700">
        <f t="shared" si="1"/>
        <v>16</v>
      </c>
      <c r="N33" s="701">
        <v>45429</v>
      </c>
      <c r="O33" s="701">
        <v>45425</v>
      </c>
      <c r="P33" s="718" t="s">
        <v>12316</v>
      </c>
      <c r="Q33" s="697"/>
      <c r="R33" s="714"/>
      <c r="S33" s="555"/>
      <c r="T33" s="555"/>
    </row>
    <row r="34" s="673" customFormat="1" ht="42" customHeight="1" spans="1:20">
      <c r="A34" s="726">
        <v>45383</v>
      </c>
      <c r="B34" s="724" t="s">
        <v>3012</v>
      </c>
      <c r="C34" s="727" t="s">
        <v>569</v>
      </c>
      <c r="D34" s="696">
        <v>4500128123</v>
      </c>
      <c r="E34" s="700" t="s">
        <v>12317</v>
      </c>
      <c r="F34" s="696" t="s">
        <v>12318</v>
      </c>
      <c r="G34" s="697" t="s">
        <v>6435</v>
      </c>
      <c r="H34" s="692" t="s">
        <v>6241</v>
      </c>
      <c r="I34" s="700" t="s">
        <v>6242</v>
      </c>
      <c r="J34" s="700">
        <v>512</v>
      </c>
      <c r="K34" s="700">
        <v>0</v>
      </c>
      <c r="L34" s="700">
        <v>32</v>
      </c>
      <c r="M34" s="700">
        <f t="shared" si="1"/>
        <v>16</v>
      </c>
      <c r="N34" s="701">
        <v>45429</v>
      </c>
      <c r="O34" s="701">
        <v>45425</v>
      </c>
      <c r="P34" s="718" t="s">
        <v>12316</v>
      </c>
      <c r="Q34" s="697"/>
      <c r="R34" s="714"/>
      <c r="S34" s="555"/>
      <c r="T34" s="555"/>
    </row>
    <row r="35" s="673" customFormat="1" ht="42" customHeight="1" spans="1:20">
      <c r="A35" s="726">
        <v>45383</v>
      </c>
      <c r="B35" s="724" t="s">
        <v>3012</v>
      </c>
      <c r="C35" s="727" t="s">
        <v>569</v>
      </c>
      <c r="D35" s="696">
        <v>4500128123</v>
      </c>
      <c r="E35" s="700" t="s">
        <v>12317</v>
      </c>
      <c r="F35" s="696" t="s">
        <v>12319</v>
      </c>
      <c r="G35" s="697" t="s">
        <v>7940</v>
      </c>
      <c r="H35" s="692" t="s">
        <v>6218</v>
      </c>
      <c r="I35" s="700" t="s">
        <v>6092</v>
      </c>
      <c r="J35" s="700">
        <v>512</v>
      </c>
      <c r="K35" s="700">
        <v>0</v>
      </c>
      <c r="L35" s="700">
        <v>32</v>
      </c>
      <c r="M35" s="700">
        <f t="shared" si="1"/>
        <v>16</v>
      </c>
      <c r="N35" s="701">
        <v>45429</v>
      </c>
      <c r="O35" s="701">
        <v>45425</v>
      </c>
      <c r="P35" s="718" t="s">
        <v>12316</v>
      </c>
      <c r="Q35" s="697"/>
      <c r="R35" s="714"/>
      <c r="S35" s="555"/>
      <c r="T35" s="555"/>
    </row>
    <row r="36" s="673" customFormat="1" ht="42" customHeight="1" spans="1:20">
      <c r="A36" s="693">
        <v>45398</v>
      </c>
      <c r="B36" s="715" t="s">
        <v>980</v>
      </c>
      <c r="C36" s="695" t="s">
        <v>351</v>
      </c>
      <c r="D36" s="696">
        <v>4500129905</v>
      </c>
      <c r="E36" s="694"/>
      <c r="F36" s="696" t="s">
        <v>12320</v>
      </c>
      <c r="G36" s="697" t="s">
        <v>2627</v>
      </c>
      <c r="H36" s="692" t="s">
        <v>2627</v>
      </c>
      <c r="I36" s="700" t="s">
        <v>2591</v>
      </c>
      <c r="J36" s="700">
        <v>360</v>
      </c>
      <c r="K36" s="700">
        <v>0</v>
      </c>
      <c r="L36" s="700">
        <v>24</v>
      </c>
      <c r="M36" s="700">
        <f t="shared" si="1"/>
        <v>15</v>
      </c>
      <c r="N36" s="701">
        <v>45465</v>
      </c>
      <c r="O36" s="701">
        <v>45481</v>
      </c>
      <c r="P36" s="718" t="s">
        <v>12321</v>
      </c>
      <c r="Q36" s="723"/>
      <c r="R36" s="714"/>
      <c r="S36" s="555"/>
      <c r="T36" s="555"/>
    </row>
    <row r="37" s="673" customFormat="1" ht="42" customHeight="1" spans="1:20">
      <c r="A37" s="693">
        <v>45448</v>
      </c>
      <c r="B37" s="724" t="s">
        <v>839</v>
      </c>
      <c r="C37" s="724" t="s">
        <v>840</v>
      </c>
      <c r="D37" s="728">
        <v>4500135948</v>
      </c>
      <c r="E37" s="724" t="s">
        <v>12322</v>
      </c>
      <c r="F37" s="724" t="s">
        <v>12323</v>
      </c>
      <c r="G37" s="697" t="s">
        <v>8290</v>
      </c>
      <c r="H37" s="692" t="s">
        <v>8290</v>
      </c>
      <c r="I37" s="700" t="s">
        <v>8291</v>
      </c>
      <c r="J37" s="700">
        <v>260</v>
      </c>
      <c r="K37" s="700">
        <v>0</v>
      </c>
      <c r="L37" s="700">
        <v>4</v>
      </c>
      <c r="M37" s="700">
        <f t="shared" si="1"/>
        <v>65</v>
      </c>
      <c r="N37" s="701">
        <v>45493</v>
      </c>
      <c r="O37" s="701">
        <v>45489</v>
      </c>
      <c r="P37" s="718"/>
      <c r="Q37" s="697"/>
      <c r="R37" s="714"/>
      <c r="S37" s="555"/>
      <c r="T37" s="555"/>
    </row>
    <row r="38" s="673" customFormat="1" ht="42" customHeight="1" spans="1:20">
      <c r="A38" s="693">
        <v>45434</v>
      </c>
      <c r="B38" s="724" t="s">
        <v>361</v>
      </c>
      <c r="C38" s="724" t="s">
        <v>91</v>
      </c>
      <c r="D38" s="696">
        <v>4500134390</v>
      </c>
      <c r="E38" s="712" t="s">
        <v>12324</v>
      </c>
      <c r="F38" s="706" t="s">
        <v>12325</v>
      </c>
      <c r="G38" s="697" t="s">
        <v>6165</v>
      </c>
      <c r="H38" s="692" t="s">
        <v>6165</v>
      </c>
      <c r="I38" s="700" t="s">
        <v>6166</v>
      </c>
      <c r="J38" s="700">
        <v>1472</v>
      </c>
      <c r="K38" s="700">
        <v>1</v>
      </c>
      <c r="L38" s="700">
        <v>32</v>
      </c>
      <c r="M38" s="700">
        <f t="shared" si="1"/>
        <v>46</v>
      </c>
      <c r="N38" s="701">
        <v>45471</v>
      </c>
      <c r="O38" s="701">
        <v>45467</v>
      </c>
      <c r="P38" s="718" t="s">
        <v>12326</v>
      </c>
      <c r="Q38" s="697">
        <f>M38-46</f>
        <v>0</v>
      </c>
      <c r="R38" s="714" t="s">
        <v>12327</v>
      </c>
      <c r="S38" s="555"/>
      <c r="T38" s="555"/>
    </row>
    <row r="39" s="673" customFormat="1" ht="42" customHeight="1" spans="1:20">
      <c r="A39" s="693">
        <v>45434</v>
      </c>
      <c r="B39" s="724" t="s">
        <v>361</v>
      </c>
      <c r="C39" s="724" t="s">
        <v>91</v>
      </c>
      <c r="D39" s="696">
        <v>4500134390</v>
      </c>
      <c r="E39" s="712" t="s">
        <v>12324</v>
      </c>
      <c r="F39" s="706" t="s">
        <v>12328</v>
      </c>
      <c r="G39" s="697" t="s">
        <v>6218</v>
      </c>
      <c r="H39" s="692" t="s">
        <v>6218</v>
      </c>
      <c r="I39" s="700" t="s">
        <v>6092</v>
      </c>
      <c r="J39" s="700">
        <v>1472</v>
      </c>
      <c r="K39" s="700">
        <v>1</v>
      </c>
      <c r="L39" s="700">
        <v>32</v>
      </c>
      <c r="M39" s="700">
        <f t="shared" si="1"/>
        <v>46</v>
      </c>
      <c r="N39" s="701">
        <v>45471</v>
      </c>
      <c r="O39" s="701">
        <v>45467</v>
      </c>
      <c r="P39" s="718" t="s">
        <v>12326</v>
      </c>
      <c r="Q39" s="697">
        <f>M39-24-16-6</f>
        <v>0</v>
      </c>
      <c r="R39" s="714" t="s">
        <v>12327</v>
      </c>
      <c r="S39" s="555"/>
      <c r="T39" s="555"/>
    </row>
    <row r="40" s="673" customFormat="1" ht="42" customHeight="1" spans="1:20">
      <c r="A40" s="693">
        <v>45434</v>
      </c>
      <c r="B40" s="724" t="s">
        <v>361</v>
      </c>
      <c r="C40" s="724" t="s">
        <v>91</v>
      </c>
      <c r="D40" s="696">
        <v>4500134390</v>
      </c>
      <c r="E40" s="712" t="s">
        <v>12324</v>
      </c>
      <c r="F40" s="706" t="s">
        <v>12329</v>
      </c>
      <c r="G40" s="697" t="s">
        <v>6241</v>
      </c>
      <c r="H40" s="692" t="s">
        <v>6241</v>
      </c>
      <c r="I40" s="700" t="s">
        <v>6242</v>
      </c>
      <c r="J40" s="700">
        <v>1472</v>
      </c>
      <c r="K40" s="700">
        <v>1</v>
      </c>
      <c r="L40" s="700">
        <v>32</v>
      </c>
      <c r="M40" s="700">
        <f t="shared" si="1"/>
        <v>46</v>
      </c>
      <c r="N40" s="701">
        <v>45471</v>
      </c>
      <c r="O40" s="701">
        <v>45467</v>
      </c>
      <c r="P40" s="718" t="s">
        <v>12326</v>
      </c>
      <c r="Q40" s="697">
        <f>M40-46</f>
        <v>0</v>
      </c>
      <c r="R40" s="714" t="s">
        <v>12327</v>
      </c>
      <c r="S40" s="555"/>
      <c r="T40" s="555"/>
    </row>
    <row r="41" s="673" customFormat="1" ht="42" customHeight="1" spans="1:20">
      <c r="A41" s="693">
        <v>45434</v>
      </c>
      <c r="B41" s="724" t="s">
        <v>361</v>
      </c>
      <c r="C41" s="724" t="s">
        <v>91</v>
      </c>
      <c r="D41" s="696">
        <v>4500134390</v>
      </c>
      <c r="E41" s="712" t="s">
        <v>12324</v>
      </c>
      <c r="F41" s="706" t="s">
        <v>12330</v>
      </c>
      <c r="G41" s="697" t="s">
        <v>6528</v>
      </c>
      <c r="H41" s="692" t="s">
        <v>6528</v>
      </c>
      <c r="I41" s="700" t="s">
        <v>6529</v>
      </c>
      <c r="J41" s="700">
        <v>1472</v>
      </c>
      <c r="K41" s="700">
        <v>1</v>
      </c>
      <c r="L41" s="700">
        <v>32</v>
      </c>
      <c r="M41" s="700">
        <f t="shared" si="1"/>
        <v>46</v>
      </c>
      <c r="N41" s="701">
        <v>45471</v>
      </c>
      <c r="O41" s="701">
        <v>45467</v>
      </c>
      <c r="P41" s="718" t="s">
        <v>12326</v>
      </c>
      <c r="Q41" s="697">
        <f>M41-46</f>
        <v>0</v>
      </c>
      <c r="R41" s="714" t="s">
        <v>12327</v>
      </c>
      <c r="S41" s="555"/>
      <c r="T41" s="555"/>
    </row>
    <row r="42" s="673" customFormat="1" ht="42" customHeight="1" spans="1:20">
      <c r="A42" s="693">
        <v>45434</v>
      </c>
      <c r="B42" s="724" t="s">
        <v>361</v>
      </c>
      <c r="C42" s="724" t="s">
        <v>91</v>
      </c>
      <c r="D42" s="696">
        <v>4500134390</v>
      </c>
      <c r="E42" s="712" t="s">
        <v>12324</v>
      </c>
      <c r="F42" s="706" t="s">
        <v>12331</v>
      </c>
      <c r="G42" s="697" t="s">
        <v>6223</v>
      </c>
      <c r="H42" s="692" t="s">
        <v>6223</v>
      </c>
      <c r="I42" s="700" t="s">
        <v>6100</v>
      </c>
      <c r="J42" s="700">
        <v>1504</v>
      </c>
      <c r="K42" s="700">
        <v>1</v>
      </c>
      <c r="L42" s="700">
        <v>32</v>
      </c>
      <c r="M42" s="700">
        <f t="shared" si="1"/>
        <v>47</v>
      </c>
      <c r="N42" s="701">
        <v>45471</v>
      </c>
      <c r="O42" s="701">
        <v>45467</v>
      </c>
      <c r="P42" s="718" t="s">
        <v>12326</v>
      </c>
      <c r="Q42" s="697">
        <f>M42-47</f>
        <v>0</v>
      </c>
      <c r="R42" s="714" t="s">
        <v>12327</v>
      </c>
      <c r="S42" s="555"/>
      <c r="T42" s="555"/>
    </row>
    <row r="43" s="673" customFormat="1" ht="42" customHeight="1" spans="1:20">
      <c r="A43" s="693">
        <v>45434</v>
      </c>
      <c r="B43" s="724" t="s">
        <v>361</v>
      </c>
      <c r="C43" s="724" t="s">
        <v>91</v>
      </c>
      <c r="D43" s="696">
        <v>4500134390</v>
      </c>
      <c r="E43" s="712" t="s">
        <v>12324</v>
      </c>
      <c r="F43" s="706" t="s">
        <v>12332</v>
      </c>
      <c r="G43" s="697" t="s">
        <v>6281</v>
      </c>
      <c r="H43" s="692" t="s">
        <v>6281</v>
      </c>
      <c r="I43" s="700" t="s">
        <v>6105</v>
      </c>
      <c r="J43" s="700">
        <v>1472</v>
      </c>
      <c r="K43" s="700">
        <v>1</v>
      </c>
      <c r="L43" s="700">
        <v>32</v>
      </c>
      <c r="M43" s="700">
        <f t="shared" si="1"/>
        <v>46</v>
      </c>
      <c r="N43" s="701">
        <v>45471</v>
      </c>
      <c r="O43" s="701">
        <v>45467</v>
      </c>
      <c r="P43" s="718" t="s">
        <v>12326</v>
      </c>
      <c r="Q43" s="697">
        <f>M43-46</f>
        <v>0</v>
      </c>
      <c r="R43" s="714" t="s">
        <v>12327</v>
      </c>
      <c r="S43" s="555"/>
      <c r="T43" s="555"/>
    </row>
    <row r="44" s="673" customFormat="1" ht="42" customHeight="1" spans="1:20">
      <c r="A44" s="693">
        <v>45470</v>
      </c>
      <c r="B44" s="715" t="s">
        <v>6459</v>
      </c>
      <c r="C44" s="695" t="s">
        <v>506</v>
      </c>
      <c r="D44" s="696">
        <v>4500138632</v>
      </c>
      <c r="E44" s="694" t="s">
        <v>12333</v>
      </c>
      <c r="F44" s="696" t="s">
        <v>12334</v>
      </c>
      <c r="G44" s="697" t="s">
        <v>6124</v>
      </c>
      <c r="H44" s="692" t="s">
        <v>6124</v>
      </c>
      <c r="I44" s="700" t="s">
        <v>6063</v>
      </c>
      <c r="J44" s="700">
        <v>2700</v>
      </c>
      <c r="K44" s="700">
        <v>0</v>
      </c>
      <c r="L44" s="700">
        <v>12</v>
      </c>
      <c r="M44" s="700">
        <f t="shared" si="1"/>
        <v>225</v>
      </c>
      <c r="N44" s="701">
        <v>45509</v>
      </c>
      <c r="O44" s="701">
        <v>45505</v>
      </c>
      <c r="P44" s="718" t="s">
        <v>12335</v>
      </c>
      <c r="Q44" s="697"/>
      <c r="R44" s="714"/>
      <c r="S44" s="555"/>
      <c r="T44" s="555"/>
    </row>
    <row r="45" s="673" customFormat="1" ht="42" customHeight="1" spans="1:20">
      <c r="A45" s="693">
        <v>45477</v>
      </c>
      <c r="B45" s="715" t="s">
        <v>1016</v>
      </c>
      <c r="C45" s="695" t="s">
        <v>396</v>
      </c>
      <c r="D45" s="729" t="s">
        <v>12336</v>
      </c>
      <c r="E45" s="730" t="s">
        <v>12337</v>
      </c>
      <c r="F45" s="729" t="s">
        <v>12338</v>
      </c>
      <c r="G45" s="697"/>
      <c r="H45" s="692" t="s">
        <v>1033</v>
      </c>
      <c r="I45" s="700" t="s">
        <v>328</v>
      </c>
      <c r="J45" s="700">
        <v>12</v>
      </c>
      <c r="K45" s="700">
        <v>0</v>
      </c>
      <c r="L45" s="700">
        <v>12</v>
      </c>
      <c r="M45" s="700">
        <f t="shared" si="1"/>
        <v>1</v>
      </c>
      <c r="N45" s="701">
        <v>45516</v>
      </c>
      <c r="O45" s="701">
        <v>45512</v>
      </c>
      <c r="P45" s="718" t="s">
        <v>12243</v>
      </c>
      <c r="Q45" s="700"/>
      <c r="R45" s="714"/>
      <c r="S45" s="555"/>
      <c r="T45" s="555"/>
    </row>
    <row r="46" s="673" customFormat="1" ht="42" customHeight="1" spans="1:20">
      <c r="A46" s="693">
        <v>45477</v>
      </c>
      <c r="B46" s="715" t="s">
        <v>1016</v>
      </c>
      <c r="C46" s="695" t="s">
        <v>396</v>
      </c>
      <c r="D46" s="729" t="s">
        <v>12336</v>
      </c>
      <c r="E46" s="730" t="s">
        <v>12339</v>
      </c>
      <c r="F46" s="729" t="s">
        <v>12340</v>
      </c>
      <c r="G46" s="697"/>
      <c r="H46" s="692" t="s">
        <v>12341</v>
      </c>
      <c r="I46" s="700" t="s">
        <v>328</v>
      </c>
      <c r="J46" s="700">
        <v>12</v>
      </c>
      <c r="K46" s="700">
        <v>0</v>
      </c>
      <c r="L46" s="700">
        <v>12</v>
      </c>
      <c r="M46" s="700">
        <f t="shared" si="1"/>
        <v>1</v>
      </c>
      <c r="N46" s="701">
        <v>45516</v>
      </c>
      <c r="O46" s="701">
        <v>45512</v>
      </c>
      <c r="P46" s="718" t="s">
        <v>12243</v>
      </c>
      <c r="Q46" s="700"/>
      <c r="R46" s="714"/>
      <c r="S46" s="555"/>
      <c r="T46" s="555"/>
    </row>
    <row r="47" s="673" customFormat="1" ht="42" customHeight="1" spans="1:20">
      <c r="A47" s="693">
        <v>45477</v>
      </c>
      <c r="B47" s="715" t="s">
        <v>1016</v>
      </c>
      <c r="C47" s="695" t="s">
        <v>396</v>
      </c>
      <c r="D47" s="729" t="s">
        <v>12336</v>
      </c>
      <c r="E47" s="730" t="s">
        <v>12342</v>
      </c>
      <c r="F47" s="729" t="s">
        <v>12343</v>
      </c>
      <c r="G47" s="697"/>
      <c r="H47" s="692" t="s">
        <v>1033</v>
      </c>
      <c r="I47" s="700" t="s">
        <v>328</v>
      </c>
      <c r="J47" s="700">
        <v>12</v>
      </c>
      <c r="K47" s="700">
        <v>0</v>
      </c>
      <c r="L47" s="700">
        <v>12</v>
      </c>
      <c r="M47" s="700">
        <f t="shared" si="1"/>
        <v>1</v>
      </c>
      <c r="N47" s="701">
        <v>45516</v>
      </c>
      <c r="O47" s="701">
        <v>45512</v>
      </c>
      <c r="P47" s="718" t="s">
        <v>12243</v>
      </c>
      <c r="Q47" s="700"/>
      <c r="R47" s="714"/>
      <c r="S47" s="555"/>
      <c r="T47" s="555"/>
    </row>
    <row r="48" s="673" customFormat="1" ht="42" customHeight="1" spans="1:20">
      <c r="A48" s="693">
        <v>45477</v>
      </c>
      <c r="B48" s="715" t="s">
        <v>1016</v>
      </c>
      <c r="C48" s="695" t="s">
        <v>396</v>
      </c>
      <c r="D48" s="729" t="s">
        <v>12344</v>
      </c>
      <c r="E48" s="730" t="s">
        <v>12345</v>
      </c>
      <c r="F48" s="729" t="s">
        <v>12346</v>
      </c>
      <c r="G48" s="697"/>
      <c r="H48" s="692" t="s">
        <v>1033</v>
      </c>
      <c r="I48" s="700" t="s">
        <v>328</v>
      </c>
      <c r="J48" s="700">
        <v>12</v>
      </c>
      <c r="K48" s="700">
        <v>0</v>
      </c>
      <c r="L48" s="700">
        <v>12</v>
      </c>
      <c r="M48" s="700">
        <f t="shared" si="1"/>
        <v>1</v>
      </c>
      <c r="N48" s="701">
        <v>45516</v>
      </c>
      <c r="O48" s="701">
        <v>45512</v>
      </c>
      <c r="P48" s="718" t="s">
        <v>12243</v>
      </c>
      <c r="Q48" s="700"/>
      <c r="R48" s="714"/>
      <c r="S48" s="555"/>
      <c r="T48" s="555"/>
    </row>
    <row r="49" s="673" customFormat="1" ht="42" customHeight="1" spans="1:20">
      <c r="A49" s="693">
        <v>45477</v>
      </c>
      <c r="B49" s="715" t="s">
        <v>1016</v>
      </c>
      <c r="C49" s="695" t="s">
        <v>396</v>
      </c>
      <c r="D49" s="729" t="s">
        <v>12344</v>
      </c>
      <c r="E49" s="730" t="s">
        <v>12347</v>
      </c>
      <c r="F49" s="729" t="s">
        <v>12348</v>
      </c>
      <c r="G49" s="697"/>
      <c r="H49" s="692" t="s">
        <v>1033</v>
      </c>
      <c r="I49" s="700" t="s">
        <v>328</v>
      </c>
      <c r="J49" s="700">
        <v>12</v>
      </c>
      <c r="K49" s="700">
        <v>0</v>
      </c>
      <c r="L49" s="700">
        <v>12</v>
      </c>
      <c r="M49" s="700">
        <f t="shared" si="1"/>
        <v>1</v>
      </c>
      <c r="N49" s="701">
        <v>45516</v>
      </c>
      <c r="O49" s="701">
        <v>45512</v>
      </c>
      <c r="P49" s="718" t="s">
        <v>12243</v>
      </c>
      <c r="Q49" s="700"/>
      <c r="R49" s="714"/>
      <c r="S49" s="555"/>
      <c r="T49" s="555"/>
    </row>
    <row r="50" s="673" customFormat="1" ht="42" customHeight="1" spans="1:20">
      <c r="A50" s="693">
        <v>45477</v>
      </c>
      <c r="B50" s="715" t="s">
        <v>1016</v>
      </c>
      <c r="C50" s="695" t="s">
        <v>396</v>
      </c>
      <c r="D50" s="729" t="s">
        <v>12344</v>
      </c>
      <c r="E50" s="730" t="s">
        <v>12349</v>
      </c>
      <c r="F50" s="729" t="s">
        <v>12350</v>
      </c>
      <c r="G50" s="697"/>
      <c r="H50" s="692" t="s">
        <v>12341</v>
      </c>
      <c r="I50" s="700" t="s">
        <v>328</v>
      </c>
      <c r="J50" s="700">
        <v>12</v>
      </c>
      <c r="K50" s="700">
        <v>0</v>
      </c>
      <c r="L50" s="700">
        <v>12</v>
      </c>
      <c r="M50" s="700">
        <f t="shared" si="1"/>
        <v>1</v>
      </c>
      <c r="N50" s="701">
        <v>45516</v>
      </c>
      <c r="O50" s="701">
        <v>45512</v>
      </c>
      <c r="P50" s="718" t="s">
        <v>12243</v>
      </c>
      <c r="Q50" s="700"/>
      <c r="R50" s="714"/>
      <c r="S50" s="555"/>
      <c r="T50" s="555"/>
    </row>
    <row r="51" s="673" customFormat="1" ht="42" customHeight="1" spans="1:20">
      <c r="A51" s="693">
        <v>45477</v>
      </c>
      <c r="B51" s="715" t="s">
        <v>1016</v>
      </c>
      <c r="C51" s="695" t="s">
        <v>396</v>
      </c>
      <c r="D51" s="729" t="s">
        <v>12344</v>
      </c>
      <c r="E51" s="730" t="s">
        <v>12351</v>
      </c>
      <c r="F51" s="729" t="s">
        <v>12352</v>
      </c>
      <c r="G51" s="697"/>
      <c r="H51" s="692" t="s">
        <v>1033</v>
      </c>
      <c r="I51" s="700" t="s">
        <v>328</v>
      </c>
      <c r="J51" s="700">
        <v>12</v>
      </c>
      <c r="K51" s="700">
        <v>0</v>
      </c>
      <c r="L51" s="700">
        <v>12</v>
      </c>
      <c r="M51" s="700">
        <f t="shared" si="1"/>
        <v>1</v>
      </c>
      <c r="N51" s="701">
        <v>45516</v>
      </c>
      <c r="O51" s="701">
        <v>45512</v>
      </c>
      <c r="P51" s="718" t="s">
        <v>12243</v>
      </c>
      <c r="Q51" s="700"/>
      <c r="R51" s="714"/>
      <c r="S51" s="555"/>
      <c r="T51" s="555"/>
    </row>
    <row r="52" s="673" customFormat="1" ht="42" customHeight="1" spans="1:20">
      <c r="A52" s="693">
        <v>45477</v>
      </c>
      <c r="B52" s="715" t="s">
        <v>1016</v>
      </c>
      <c r="C52" s="695" t="s">
        <v>396</v>
      </c>
      <c r="D52" s="729" t="s">
        <v>12344</v>
      </c>
      <c r="E52" s="730" t="s">
        <v>12353</v>
      </c>
      <c r="F52" s="729" t="s">
        <v>12354</v>
      </c>
      <c r="G52" s="697"/>
      <c r="H52" s="692" t="s">
        <v>12341</v>
      </c>
      <c r="I52" s="700" t="s">
        <v>328</v>
      </c>
      <c r="J52" s="700">
        <v>12</v>
      </c>
      <c r="K52" s="700">
        <v>0</v>
      </c>
      <c r="L52" s="700">
        <v>12</v>
      </c>
      <c r="M52" s="700">
        <f t="shared" si="1"/>
        <v>1</v>
      </c>
      <c r="N52" s="701">
        <v>45516</v>
      </c>
      <c r="O52" s="701">
        <v>45512</v>
      </c>
      <c r="P52" s="718" t="s">
        <v>12243</v>
      </c>
      <c r="Q52" s="700"/>
      <c r="R52" s="714"/>
      <c r="S52" s="555"/>
      <c r="T52" s="555"/>
    </row>
    <row r="53" s="673" customFormat="1" ht="42" customHeight="1" spans="1:20">
      <c r="A53" s="693">
        <v>45477</v>
      </c>
      <c r="B53" s="715" t="s">
        <v>1016</v>
      </c>
      <c r="C53" s="695" t="s">
        <v>396</v>
      </c>
      <c r="D53" s="729" t="s">
        <v>12344</v>
      </c>
      <c r="E53" s="730" t="s">
        <v>12355</v>
      </c>
      <c r="F53" s="729" t="s">
        <v>12356</v>
      </c>
      <c r="G53" s="697"/>
      <c r="H53" s="692" t="s">
        <v>1033</v>
      </c>
      <c r="I53" s="700" t="s">
        <v>328</v>
      </c>
      <c r="J53" s="700">
        <v>12</v>
      </c>
      <c r="K53" s="700">
        <v>0</v>
      </c>
      <c r="L53" s="700">
        <v>12</v>
      </c>
      <c r="M53" s="700">
        <f t="shared" si="1"/>
        <v>1</v>
      </c>
      <c r="N53" s="701">
        <v>45516</v>
      </c>
      <c r="O53" s="701">
        <v>45512</v>
      </c>
      <c r="P53" s="718" t="s">
        <v>12243</v>
      </c>
      <c r="Q53" s="700"/>
      <c r="R53" s="714"/>
      <c r="S53" s="555"/>
      <c r="T53" s="555"/>
    </row>
    <row r="54" s="673" customFormat="1" ht="42" customHeight="1" spans="1:20">
      <c r="A54" s="693">
        <v>45467</v>
      </c>
      <c r="B54" s="715" t="s">
        <v>2645</v>
      </c>
      <c r="C54" s="695" t="s">
        <v>2058</v>
      </c>
      <c r="D54" s="696">
        <v>4500138198</v>
      </c>
      <c r="E54" s="697">
        <v>5200004979</v>
      </c>
      <c r="F54" s="696" t="s">
        <v>12357</v>
      </c>
      <c r="G54" s="697" t="s">
        <v>3614</v>
      </c>
      <c r="H54" s="692" t="s">
        <v>2647</v>
      </c>
      <c r="I54" s="697" t="s">
        <v>2648</v>
      </c>
      <c r="J54" s="700">
        <v>300</v>
      </c>
      <c r="K54" s="700">
        <v>0</v>
      </c>
      <c r="L54" s="700">
        <v>6</v>
      </c>
      <c r="M54" s="700">
        <f t="shared" si="1"/>
        <v>50</v>
      </c>
      <c r="N54" s="701">
        <v>45499</v>
      </c>
      <c r="O54" s="701">
        <v>45495</v>
      </c>
      <c r="P54" s="718" t="s">
        <v>12358</v>
      </c>
      <c r="Q54" s="723"/>
      <c r="R54" s="714"/>
      <c r="S54" s="555"/>
      <c r="T54" s="555"/>
    </row>
    <row r="55" s="673" customFormat="1" ht="42" customHeight="1" spans="1:20">
      <c r="A55" s="693">
        <v>45436</v>
      </c>
      <c r="B55" s="712" t="s">
        <v>12359</v>
      </c>
      <c r="C55" s="727" t="s">
        <v>1332</v>
      </c>
      <c r="D55" s="731">
        <v>4500134694</v>
      </c>
      <c r="E55" s="712"/>
      <c r="F55" s="731" t="s">
        <v>12360</v>
      </c>
      <c r="G55" s="697"/>
      <c r="H55" s="692" t="s">
        <v>327</v>
      </c>
      <c r="I55" s="700" t="s">
        <v>328</v>
      </c>
      <c r="J55" s="700">
        <v>1200</v>
      </c>
      <c r="K55" s="700">
        <v>0</v>
      </c>
      <c r="L55" s="700">
        <v>12</v>
      </c>
      <c r="M55" s="700">
        <f t="shared" si="1"/>
        <v>100</v>
      </c>
      <c r="N55" s="701">
        <v>45485</v>
      </c>
      <c r="O55" s="701">
        <v>45510</v>
      </c>
      <c r="P55" s="718" t="s">
        <v>12361</v>
      </c>
      <c r="Q55" s="700"/>
      <c r="R55" s="714"/>
      <c r="S55" s="555"/>
      <c r="T55" s="555"/>
    </row>
    <row r="56" s="673" customFormat="1" ht="42" customHeight="1" spans="1:20">
      <c r="A56" s="693">
        <v>45436</v>
      </c>
      <c r="B56" s="712" t="s">
        <v>12359</v>
      </c>
      <c r="C56" s="727" t="s">
        <v>1332</v>
      </c>
      <c r="D56" s="731">
        <v>4500134694</v>
      </c>
      <c r="E56" s="712"/>
      <c r="F56" s="731" t="s">
        <v>12362</v>
      </c>
      <c r="G56" s="697" t="s">
        <v>2604</v>
      </c>
      <c r="H56" s="692" t="s">
        <v>2577</v>
      </c>
      <c r="I56" s="697" t="s">
        <v>2578</v>
      </c>
      <c r="J56" s="700">
        <v>600</v>
      </c>
      <c r="K56" s="700">
        <v>0</v>
      </c>
      <c r="L56" s="700">
        <v>12</v>
      </c>
      <c r="M56" s="700">
        <f t="shared" si="1"/>
        <v>50</v>
      </c>
      <c r="N56" s="701">
        <v>45485</v>
      </c>
      <c r="O56" s="701">
        <v>45506</v>
      </c>
      <c r="P56" s="718" t="s">
        <v>12363</v>
      </c>
      <c r="Q56" s="723" t="s">
        <v>12361</v>
      </c>
      <c r="R56" s="714"/>
      <c r="S56" s="555"/>
      <c r="T56" s="555"/>
    </row>
    <row r="57" s="673" customFormat="1" ht="42" customHeight="1" spans="1:20">
      <c r="A57" s="707">
        <v>45371</v>
      </c>
      <c r="B57" s="704" t="s">
        <v>371</v>
      </c>
      <c r="C57" s="705" t="s">
        <v>2058</v>
      </c>
      <c r="D57" s="708">
        <v>4500124647</v>
      </c>
      <c r="E57" s="697" t="s">
        <v>12305</v>
      </c>
      <c r="F57" s="708" t="s">
        <v>12364</v>
      </c>
      <c r="G57" s="699"/>
      <c r="H57" s="698" t="s">
        <v>12365</v>
      </c>
      <c r="I57" s="699" t="s">
        <v>12366</v>
      </c>
      <c r="J57" s="699">
        <v>624</v>
      </c>
      <c r="K57" s="700">
        <v>0</v>
      </c>
      <c r="L57" s="700">
        <v>24</v>
      </c>
      <c r="M57" s="700">
        <f t="shared" si="1"/>
        <v>26</v>
      </c>
      <c r="N57" s="701">
        <v>45478</v>
      </c>
      <c r="O57" s="701">
        <v>45474</v>
      </c>
      <c r="P57" s="702" t="s">
        <v>12367</v>
      </c>
      <c r="Q57" s="703"/>
      <c r="R57" s="703"/>
      <c r="S57" s="555"/>
      <c r="T57" s="555"/>
    </row>
    <row r="58" s="673" customFormat="1" ht="42" customHeight="1" spans="1:20">
      <c r="A58" s="693">
        <v>45489</v>
      </c>
      <c r="B58" s="715" t="s">
        <v>361</v>
      </c>
      <c r="C58" s="715" t="s">
        <v>91</v>
      </c>
      <c r="D58" s="732">
        <v>4500140333</v>
      </c>
      <c r="E58" s="732" t="s">
        <v>12368</v>
      </c>
      <c r="F58" s="696" t="s">
        <v>12369</v>
      </c>
      <c r="G58" s="697"/>
      <c r="H58" s="692" t="s">
        <v>8294</v>
      </c>
      <c r="I58" s="700" t="s">
        <v>8295</v>
      </c>
      <c r="J58" s="700">
        <v>250</v>
      </c>
      <c r="K58" s="700">
        <v>1</v>
      </c>
      <c r="L58" s="700">
        <v>2</v>
      </c>
      <c r="M58" s="700">
        <f t="shared" si="1"/>
        <v>125</v>
      </c>
      <c r="N58" s="701">
        <v>45534</v>
      </c>
      <c r="O58" s="701">
        <v>45530</v>
      </c>
      <c r="P58" s="718"/>
      <c r="Q58" s="697"/>
      <c r="R58" s="714"/>
      <c r="S58" s="555"/>
      <c r="T58" s="555"/>
    </row>
    <row r="59" s="673" customFormat="1" ht="42" customHeight="1" spans="1:20">
      <c r="A59" s="693">
        <v>45489</v>
      </c>
      <c r="B59" s="715" t="s">
        <v>361</v>
      </c>
      <c r="C59" s="715" t="s">
        <v>91</v>
      </c>
      <c r="D59" s="732" t="s">
        <v>12370</v>
      </c>
      <c r="E59" s="732" t="s">
        <v>12371</v>
      </c>
      <c r="F59" s="696" t="s">
        <v>12372</v>
      </c>
      <c r="G59" s="697"/>
      <c r="H59" s="692" t="s">
        <v>8294</v>
      </c>
      <c r="I59" s="700" t="s">
        <v>8295</v>
      </c>
      <c r="J59" s="700">
        <v>1474</v>
      </c>
      <c r="K59" s="700">
        <v>1</v>
      </c>
      <c r="L59" s="700">
        <v>2</v>
      </c>
      <c r="M59" s="700">
        <f t="shared" si="1"/>
        <v>737</v>
      </c>
      <c r="N59" s="701">
        <v>45534</v>
      </c>
      <c r="O59" s="701">
        <v>45530</v>
      </c>
      <c r="P59" s="718"/>
      <c r="Q59" s="697"/>
      <c r="R59" s="714"/>
      <c r="S59" s="555"/>
      <c r="T59" s="555"/>
    </row>
    <row r="60" s="673" customFormat="1" ht="42" customHeight="1" spans="1:20">
      <c r="A60" s="693">
        <v>45489</v>
      </c>
      <c r="B60" s="715" t="s">
        <v>361</v>
      </c>
      <c r="C60" s="715" t="s">
        <v>91</v>
      </c>
      <c r="D60" s="732" t="s">
        <v>12370</v>
      </c>
      <c r="E60" s="732" t="s">
        <v>12373</v>
      </c>
      <c r="F60" s="696" t="s">
        <v>12374</v>
      </c>
      <c r="G60" s="697"/>
      <c r="H60" s="692" t="s">
        <v>8294</v>
      </c>
      <c r="I60" s="700" t="s">
        <v>8295</v>
      </c>
      <c r="J60" s="700">
        <v>1278</v>
      </c>
      <c r="K60" s="700">
        <v>1</v>
      </c>
      <c r="L60" s="700">
        <v>2</v>
      </c>
      <c r="M60" s="700">
        <f t="shared" si="1"/>
        <v>639</v>
      </c>
      <c r="N60" s="701">
        <v>45534</v>
      </c>
      <c r="O60" s="701">
        <v>45530</v>
      </c>
      <c r="P60" s="718"/>
      <c r="Q60" s="697"/>
      <c r="R60" s="714"/>
      <c r="S60" s="555"/>
      <c r="T60" s="555"/>
    </row>
    <row r="61" s="673" customFormat="1" ht="42" customHeight="1" spans="1:20">
      <c r="A61" s="693">
        <v>45489</v>
      </c>
      <c r="B61" s="715" t="s">
        <v>361</v>
      </c>
      <c r="C61" s="715" t="s">
        <v>91</v>
      </c>
      <c r="D61" s="732" t="s">
        <v>12370</v>
      </c>
      <c r="E61" s="732" t="s">
        <v>12375</v>
      </c>
      <c r="F61" s="696" t="s">
        <v>12376</v>
      </c>
      <c r="G61" s="697"/>
      <c r="H61" s="692" t="s">
        <v>8294</v>
      </c>
      <c r="I61" s="700" t="s">
        <v>8295</v>
      </c>
      <c r="J61" s="700">
        <v>516</v>
      </c>
      <c r="K61" s="700">
        <v>1</v>
      </c>
      <c r="L61" s="700">
        <v>2</v>
      </c>
      <c r="M61" s="700">
        <f t="shared" si="1"/>
        <v>258</v>
      </c>
      <c r="N61" s="701">
        <v>45534</v>
      </c>
      <c r="O61" s="701">
        <v>45530</v>
      </c>
      <c r="P61" s="718"/>
      <c r="Q61" s="697"/>
      <c r="R61" s="714"/>
      <c r="S61" s="555"/>
      <c r="T61" s="555"/>
    </row>
    <row r="62" s="673" customFormat="1" ht="42" customHeight="1" spans="1:20">
      <c r="A62" s="693">
        <v>45489</v>
      </c>
      <c r="B62" s="715" t="s">
        <v>361</v>
      </c>
      <c r="C62" s="715" t="s">
        <v>91</v>
      </c>
      <c r="D62" s="732">
        <v>4500140333</v>
      </c>
      <c r="E62" s="732" t="s">
        <v>12377</v>
      </c>
      <c r="F62" s="696" t="s">
        <v>12378</v>
      </c>
      <c r="G62" s="697"/>
      <c r="H62" s="692" t="s">
        <v>1290</v>
      </c>
      <c r="I62" s="700" t="s">
        <v>328</v>
      </c>
      <c r="J62" s="719">
        <v>240</v>
      </c>
      <c r="K62" s="700">
        <v>0</v>
      </c>
      <c r="L62" s="700">
        <v>12</v>
      </c>
      <c r="M62" s="700">
        <f t="shared" si="1"/>
        <v>20</v>
      </c>
      <c r="N62" s="701">
        <v>45534</v>
      </c>
      <c r="O62" s="701">
        <v>45530</v>
      </c>
      <c r="P62" s="718"/>
      <c r="Q62" s="700"/>
      <c r="R62" s="714"/>
      <c r="S62" s="555"/>
      <c r="T62" s="555"/>
    </row>
    <row r="63" s="673" customFormat="1" ht="42" customHeight="1" spans="1:20">
      <c r="A63" s="693">
        <v>45489</v>
      </c>
      <c r="B63" s="715" t="s">
        <v>361</v>
      </c>
      <c r="C63" s="715" t="s">
        <v>91</v>
      </c>
      <c r="D63" s="732" t="s">
        <v>12370</v>
      </c>
      <c r="E63" s="732" t="s">
        <v>12379</v>
      </c>
      <c r="F63" s="696" t="s">
        <v>12380</v>
      </c>
      <c r="G63" s="697"/>
      <c r="H63" s="692" t="s">
        <v>1290</v>
      </c>
      <c r="I63" s="700" t="s">
        <v>328</v>
      </c>
      <c r="J63" s="719">
        <v>2760</v>
      </c>
      <c r="K63" s="700">
        <v>0</v>
      </c>
      <c r="L63" s="700">
        <v>12</v>
      </c>
      <c r="M63" s="700">
        <f t="shared" si="1"/>
        <v>230</v>
      </c>
      <c r="N63" s="701">
        <v>45534</v>
      </c>
      <c r="O63" s="701">
        <v>45530</v>
      </c>
      <c r="P63" s="718"/>
      <c r="Q63" s="700"/>
      <c r="R63" s="714"/>
      <c r="S63" s="555"/>
      <c r="T63" s="555"/>
    </row>
    <row r="64" s="673" customFormat="1" ht="42" customHeight="1" spans="1:20">
      <c r="A64" s="693">
        <v>45489</v>
      </c>
      <c r="B64" s="715" t="s">
        <v>361</v>
      </c>
      <c r="C64" s="715" t="s">
        <v>91</v>
      </c>
      <c r="D64" s="732">
        <v>4500140268</v>
      </c>
      <c r="E64" s="732" t="s">
        <v>12381</v>
      </c>
      <c r="F64" s="696" t="s">
        <v>12382</v>
      </c>
      <c r="G64" s="697"/>
      <c r="H64" s="692" t="s">
        <v>1290</v>
      </c>
      <c r="I64" s="700" t="s">
        <v>328</v>
      </c>
      <c r="J64" s="719">
        <v>24</v>
      </c>
      <c r="K64" s="700">
        <v>0</v>
      </c>
      <c r="L64" s="700">
        <v>12</v>
      </c>
      <c r="M64" s="700">
        <f t="shared" si="1"/>
        <v>2</v>
      </c>
      <c r="N64" s="701">
        <v>45534</v>
      </c>
      <c r="O64" s="701">
        <v>45530</v>
      </c>
      <c r="P64" s="718"/>
      <c r="Q64" s="700"/>
      <c r="R64" s="714"/>
      <c r="S64" s="555"/>
      <c r="T64" s="555"/>
    </row>
    <row r="65" s="673" customFormat="1" ht="42" customHeight="1" spans="1:20">
      <c r="A65" s="693">
        <v>45489</v>
      </c>
      <c r="B65" s="715" t="s">
        <v>361</v>
      </c>
      <c r="C65" s="715" t="s">
        <v>91</v>
      </c>
      <c r="D65" s="732" t="s">
        <v>12383</v>
      </c>
      <c r="E65" s="732" t="s">
        <v>12384</v>
      </c>
      <c r="F65" s="696" t="s">
        <v>12385</v>
      </c>
      <c r="G65" s="697"/>
      <c r="H65" s="692" t="s">
        <v>1290</v>
      </c>
      <c r="I65" s="700" t="s">
        <v>328</v>
      </c>
      <c r="J65" s="719">
        <v>2196</v>
      </c>
      <c r="K65" s="700">
        <v>0</v>
      </c>
      <c r="L65" s="700">
        <v>12</v>
      </c>
      <c r="M65" s="700">
        <f t="shared" si="1"/>
        <v>183</v>
      </c>
      <c r="N65" s="701">
        <v>45534</v>
      </c>
      <c r="O65" s="701">
        <v>45530</v>
      </c>
      <c r="P65" s="718"/>
      <c r="Q65" s="700"/>
      <c r="R65" s="714"/>
      <c r="S65" s="555"/>
      <c r="T65" s="555"/>
    </row>
    <row r="66" s="673" customFormat="1" ht="42" customHeight="1" spans="1:20">
      <c r="A66" s="693">
        <v>45489</v>
      </c>
      <c r="B66" s="715" t="s">
        <v>361</v>
      </c>
      <c r="C66" s="715" t="s">
        <v>91</v>
      </c>
      <c r="D66" s="732">
        <v>4500140268</v>
      </c>
      <c r="E66" s="732" t="s">
        <v>12386</v>
      </c>
      <c r="F66" s="696" t="s">
        <v>12387</v>
      </c>
      <c r="G66" s="697"/>
      <c r="H66" s="692" t="s">
        <v>8294</v>
      </c>
      <c r="I66" s="700" t="s">
        <v>8295</v>
      </c>
      <c r="J66" s="700">
        <v>544</v>
      </c>
      <c r="K66" s="700">
        <v>1</v>
      </c>
      <c r="L66" s="700">
        <v>2</v>
      </c>
      <c r="M66" s="700">
        <f t="shared" si="1"/>
        <v>272</v>
      </c>
      <c r="N66" s="701">
        <v>45534</v>
      </c>
      <c r="O66" s="701">
        <v>45530</v>
      </c>
      <c r="P66" s="718"/>
      <c r="Q66" s="697"/>
      <c r="R66" s="714"/>
      <c r="S66" s="555"/>
      <c r="T66" s="555"/>
    </row>
    <row r="67" s="673" customFormat="1" ht="42" customHeight="1" spans="1:20">
      <c r="A67" s="693">
        <v>45489</v>
      </c>
      <c r="B67" s="715" t="s">
        <v>361</v>
      </c>
      <c r="C67" s="715" t="s">
        <v>91</v>
      </c>
      <c r="D67" s="732">
        <v>4500140354</v>
      </c>
      <c r="E67" s="732" t="s">
        <v>12388</v>
      </c>
      <c r="F67" s="696" t="s">
        <v>12389</v>
      </c>
      <c r="G67" s="697"/>
      <c r="H67" s="692" t="s">
        <v>1290</v>
      </c>
      <c r="I67" s="700" t="s">
        <v>328</v>
      </c>
      <c r="J67" s="719">
        <v>1476</v>
      </c>
      <c r="K67" s="700">
        <v>0</v>
      </c>
      <c r="L67" s="700">
        <v>12</v>
      </c>
      <c r="M67" s="700">
        <f t="shared" si="1"/>
        <v>123</v>
      </c>
      <c r="N67" s="701">
        <v>45534</v>
      </c>
      <c r="O67" s="701">
        <v>45530</v>
      </c>
      <c r="P67" s="718"/>
      <c r="Q67" s="700"/>
      <c r="R67" s="714"/>
      <c r="S67" s="555"/>
      <c r="T67" s="555"/>
    </row>
    <row r="68" s="673" customFormat="1" ht="42" customHeight="1" spans="1:20">
      <c r="A68" s="707">
        <v>45397</v>
      </c>
      <c r="B68" s="724" t="s">
        <v>12390</v>
      </c>
      <c r="C68" s="705" t="s">
        <v>2058</v>
      </c>
      <c r="D68" s="708">
        <v>4500129737</v>
      </c>
      <c r="E68" s="697" t="s">
        <v>12391</v>
      </c>
      <c r="F68" s="708" t="s">
        <v>12392</v>
      </c>
      <c r="G68" s="699"/>
      <c r="H68" s="698" t="s">
        <v>94</v>
      </c>
      <c r="I68" s="699" t="s">
        <v>95</v>
      </c>
      <c r="J68" s="699">
        <v>96</v>
      </c>
      <c r="K68" s="700">
        <v>0</v>
      </c>
      <c r="L68" s="700">
        <v>24</v>
      </c>
      <c r="M68" s="700">
        <f t="shared" si="1"/>
        <v>4</v>
      </c>
      <c r="N68" s="701">
        <v>45444</v>
      </c>
      <c r="O68" s="701">
        <v>45439</v>
      </c>
      <c r="P68" s="733" t="s">
        <v>12393</v>
      </c>
      <c r="Q68" s="367" t="s">
        <v>12394</v>
      </c>
      <c r="R68" s="703" t="s">
        <v>12395</v>
      </c>
      <c r="S68" s="555"/>
      <c r="T68" s="555"/>
    </row>
    <row r="69" s="673" customFormat="1" ht="42" customHeight="1" spans="1:20">
      <c r="A69" s="693">
        <v>45516</v>
      </c>
      <c r="B69" s="694" t="s">
        <v>371</v>
      </c>
      <c r="C69" s="705" t="s">
        <v>2058</v>
      </c>
      <c r="D69" s="696">
        <v>4500142712</v>
      </c>
      <c r="E69" s="697" t="s">
        <v>12396</v>
      </c>
      <c r="F69" s="696" t="s">
        <v>12397</v>
      </c>
      <c r="G69" s="715"/>
      <c r="H69" s="692" t="s">
        <v>6241</v>
      </c>
      <c r="I69" s="700" t="s">
        <v>6242</v>
      </c>
      <c r="J69" s="700">
        <v>512</v>
      </c>
      <c r="K69" s="700">
        <v>0</v>
      </c>
      <c r="L69" s="700">
        <v>32</v>
      </c>
      <c r="M69" s="700">
        <f t="shared" si="1"/>
        <v>16</v>
      </c>
      <c r="N69" s="701">
        <v>45548</v>
      </c>
      <c r="O69" s="701">
        <v>45544</v>
      </c>
      <c r="P69" s="718" t="s">
        <v>12398</v>
      </c>
      <c r="Q69" s="697"/>
      <c r="R69" s="714"/>
      <c r="S69" s="555"/>
      <c r="T69" s="555"/>
    </row>
    <row r="70" s="673" customFormat="1" ht="42" customHeight="1" spans="1:20">
      <c r="A70" s="693">
        <v>45513</v>
      </c>
      <c r="B70" s="694" t="s">
        <v>12399</v>
      </c>
      <c r="C70" s="695" t="s">
        <v>341</v>
      </c>
      <c r="D70" s="696">
        <v>4500142673</v>
      </c>
      <c r="E70" s="695" t="s">
        <v>12400</v>
      </c>
      <c r="F70" s="696" t="s">
        <v>12401</v>
      </c>
      <c r="G70" s="697"/>
      <c r="H70" s="692" t="s">
        <v>6241</v>
      </c>
      <c r="I70" s="700" t="s">
        <v>6242</v>
      </c>
      <c r="J70" s="700">
        <v>512</v>
      </c>
      <c r="K70" s="700">
        <v>0</v>
      </c>
      <c r="L70" s="700">
        <v>32</v>
      </c>
      <c r="M70" s="700">
        <f t="shared" si="1"/>
        <v>16</v>
      </c>
      <c r="N70" s="701">
        <v>45545</v>
      </c>
      <c r="O70" s="701">
        <v>45523</v>
      </c>
      <c r="P70" s="718" t="s">
        <v>12398</v>
      </c>
      <c r="Q70" s="697"/>
      <c r="R70" s="714"/>
      <c r="S70" s="555"/>
      <c r="T70" s="555"/>
    </row>
    <row r="71" s="675" customFormat="1" ht="42" customHeight="1" spans="1:20">
      <c r="A71" s="693">
        <v>45513</v>
      </c>
      <c r="B71" s="694" t="s">
        <v>1258</v>
      </c>
      <c r="C71" s="705" t="s">
        <v>471</v>
      </c>
      <c r="D71" s="696">
        <v>4500142632</v>
      </c>
      <c r="E71" s="697" t="s">
        <v>12402</v>
      </c>
      <c r="F71" s="696" t="s">
        <v>12403</v>
      </c>
      <c r="G71" s="715" t="s">
        <v>6435</v>
      </c>
      <c r="H71" s="692" t="s">
        <v>6241</v>
      </c>
      <c r="I71" s="700" t="s">
        <v>6242</v>
      </c>
      <c r="J71" s="700">
        <v>512</v>
      </c>
      <c r="K71" s="700">
        <v>0</v>
      </c>
      <c r="L71" s="700">
        <v>32</v>
      </c>
      <c r="M71" s="700">
        <f t="shared" si="1"/>
        <v>16</v>
      </c>
      <c r="N71" s="701">
        <v>45548</v>
      </c>
      <c r="O71" s="701">
        <v>45544</v>
      </c>
      <c r="P71" s="717" t="s">
        <v>12404</v>
      </c>
      <c r="Q71" s="697" t="s">
        <v>12405</v>
      </c>
      <c r="R71" s="714" t="s">
        <v>12406</v>
      </c>
      <c r="S71" s="555"/>
      <c r="T71" s="555"/>
    </row>
    <row r="72" s="675" customFormat="1" ht="42" customHeight="1" spans="1:20">
      <c r="A72" s="693">
        <v>45513</v>
      </c>
      <c r="B72" s="694" t="s">
        <v>1258</v>
      </c>
      <c r="C72" s="705" t="s">
        <v>471</v>
      </c>
      <c r="D72" s="696">
        <v>4500142632</v>
      </c>
      <c r="E72" s="697" t="s">
        <v>12407</v>
      </c>
      <c r="F72" s="696" t="s">
        <v>12408</v>
      </c>
      <c r="G72" s="715" t="s">
        <v>6435</v>
      </c>
      <c r="H72" s="692" t="s">
        <v>6241</v>
      </c>
      <c r="I72" s="700" t="s">
        <v>6242</v>
      </c>
      <c r="J72" s="700">
        <v>512</v>
      </c>
      <c r="K72" s="700">
        <v>0</v>
      </c>
      <c r="L72" s="700">
        <v>32</v>
      </c>
      <c r="M72" s="700">
        <f t="shared" si="1"/>
        <v>16</v>
      </c>
      <c r="N72" s="701">
        <v>45548</v>
      </c>
      <c r="O72" s="701">
        <v>45544</v>
      </c>
      <c r="P72" s="717" t="s">
        <v>12404</v>
      </c>
      <c r="Q72" s="697" t="s">
        <v>12405</v>
      </c>
      <c r="R72" s="714" t="s">
        <v>12406</v>
      </c>
      <c r="S72" s="555"/>
      <c r="T72" s="555"/>
    </row>
    <row r="73" s="401" customFormat="1" ht="50" customHeight="1" spans="1:20">
      <c r="A73" s="693">
        <v>45513</v>
      </c>
      <c r="B73" s="349" t="s">
        <v>371</v>
      </c>
      <c r="C73" s="350" t="s">
        <v>341</v>
      </c>
      <c r="D73" s="460">
        <v>4500142673</v>
      </c>
      <c r="E73" s="350" t="s">
        <v>12409</v>
      </c>
      <c r="F73" s="460" t="s">
        <v>12410</v>
      </c>
      <c r="G73" s="367" t="s">
        <v>7940</v>
      </c>
      <c r="H73" s="692" t="s">
        <v>6218</v>
      </c>
      <c r="I73" s="345" t="s">
        <v>6092</v>
      </c>
      <c r="J73" s="345">
        <v>512</v>
      </c>
      <c r="K73" s="345">
        <v>1</v>
      </c>
      <c r="L73" s="345">
        <v>32</v>
      </c>
      <c r="M73" s="345">
        <f t="shared" si="1"/>
        <v>16</v>
      </c>
      <c r="N73" s="353">
        <v>45545</v>
      </c>
      <c r="O73" s="353">
        <v>45542</v>
      </c>
      <c r="P73" s="440" t="s">
        <v>12411</v>
      </c>
      <c r="Q73" s="367" t="s">
        <v>12412</v>
      </c>
      <c r="R73" s="734" t="s">
        <v>98</v>
      </c>
      <c r="S73" s="735"/>
      <c r="T73" s="735"/>
    </row>
    <row r="74" s="401" customFormat="1" ht="50" customHeight="1" spans="1:20">
      <c r="A74" s="693">
        <v>45513</v>
      </c>
      <c r="B74" s="349" t="s">
        <v>371</v>
      </c>
      <c r="C74" s="350" t="s">
        <v>341</v>
      </c>
      <c r="D74" s="460">
        <v>4500142673</v>
      </c>
      <c r="E74" s="350" t="s">
        <v>12413</v>
      </c>
      <c r="F74" s="460" t="s">
        <v>12414</v>
      </c>
      <c r="G74" s="367" t="s">
        <v>12315</v>
      </c>
      <c r="H74" s="692" t="s">
        <v>6528</v>
      </c>
      <c r="I74" s="345" t="s">
        <v>6529</v>
      </c>
      <c r="J74" s="345">
        <v>512</v>
      </c>
      <c r="K74" s="345">
        <v>1</v>
      </c>
      <c r="L74" s="345">
        <v>32</v>
      </c>
      <c r="M74" s="345">
        <f t="shared" si="1"/>
        <v>16</v>
      </c>
      <c r="N74" s="353">
        <v>45545</v>
      </c>
      <c r="O74" s="353">
        <v>45542</v>
      </c>
      <c r="P74" s="440" t="s">
        <v>12411</v>
      </c>
      <c r="Q74" s="367" t="s">
        <v>12412</v>
      </c>
      <c r="R74" s="734" t="s">
        <v>98</v>
      </c>
      <c r="S74" s="735"/>
      <c r="T74" s="735"/>
    </row>
    <row r="75" s="401" customFormat="1" ht="50" customHeight="1" spans="1:20">
      <c r="A75" s="693">
        <v>45513</v>
      </c>
      <c r="B75" s="349" t="s">
        <v>12399</v>
      </c>
      <c r="C75" s="350" t="s">
        <v>341</v>
      </c>
      <c r="D75" s="460">
        <v>4500142673</v>
      </c>
      <c r="E75" s="367" t="s">
        <v>12415</v>
      </c>
      <c r="F75" s="460" t="s">
        <v>12416</v>
      </c>
      <c r="G75" s="367" t="s">
        <v>8570</v>
      </c>
      <c r="H75" s="692" t="s">
        <v>8570</v>
      </c>
      <c r="I75" s="345" t="s">
        <v>8431</v>
      </c>
      <c r="J75" s="345">
        <v>506</v>
      </c>
      <c r="K75" s="345">
        <v>1</v>
      </c>
      <c r="L75" s="345">
        <v>2</v>
      </c>
      <c r="M75" s="345">
        <f t="shared" si="1"/>
        <v>253</v>
      </c>
      <c r="N75" s="353">
        <v>45545</v>
      </c>
      <c r="O75" s="353">
        <v>45541</v>
      </c>
      <c r="P75" s="440" t="s">
        <v>12411</v>
      </c>
      <c r="Q75" s="367" t="s">
        <v>12412</v>
      </c>
      <c r="R75" s="734" t="s">
        <v>98</v>
      </c>
      <c r="S75" s="735"/>
      <c r="T75" s="735"/>
    </row>
    <row r="76" s="401" customFormat="1" ht="50" customHeight="1" spans="1:20">
      <c r="A76" s="693">
        <v>45513</v>
      </c>
      <c r="B76" s="349" t="s">
        <v>12399</v>
      </c>
      <c r="C76" s="350" t="s">
        <v>341</v>
      </c>
      <c r="D76" s="460">
        <v>4500142673</v>
      </c>
      <c r="E76" s="367" t="s">
        <v>12417</v>
      </c>
      <c r="F76" s="460" t="s">
        <v>12418</v>
      </c>
      <c r="G76" s="367" t="s">
        <v>8575</v>
      </c>
      <c r="H76" s="692" t="s">
        <v>8575</v>
      </c>
      <c r="I76" s="345" t="s">
        <v>12419</v>
      </c>
      <c r="J76" s="345">
        <v>500</v>
      </c>
      <c r="K76" s="345">
        <v>1</v>
      </c>
      <c r="L76" s="345">
        <v>2</v>
      </c>
      <c r="M76" s="345">
        <f t="shared" si="1"/>
        <v>250</v>
      </c>
      <c r="N76" s="353">
        <v>45545</v>
      </c>
      <c r="O76" s="353">
        <v>45541</v>
      </c>
      <c r="P76" s="440" t="s">
        <v>12411</v>
      </c>
      <c r="Q76" s="367" t="s">
        <v>12412</v>
      </c>
      <c r="R76" s="734" t="s">
        <v>98</v>
      </c>
      <c r="S76" s="735"/>
      <c r="T76" s="735"/>
    </row>
    <row r="77" s="401" customFormat="1" ht="50" customHeight="1" spans="1:20">
      <c r="A77" s="693">
        <v>45516</v>
      </c>
      <c r="B77" s="349" t="s">
        <v>371</v>
      </c>
      <c r="C77" s="736" t="s">
        <v>2058</v>
      </c>
      <c r="D77" s="460">
        <v>4500142712</v>
      </c>
      <c r="E77" s="367" t="s">
        <v>12396</v>
      </c>
      <c r="F77" s="460" t="s">
        <v>12420</v>
      </c>
      <c r="G77" s="367" t="s">
        <v>6601</v>
      </c>
      <c r="H77" s="692" t="s">
        <v>6165</v>
      </c>
      <c r="I77" s="345" t="s">
        <v>6166</v>
      </c>
      <c r="J77" s="345">
        <v>512</v>
      </c>
      <c r="K77" s="345">
        <v>0</v>
      </c>
      <c r="L77" s="345">
        <v>32</v>
      </c>
      <c r="M77" s="345">
        <f t="shared" si="1"/>
        <v>16</v>
      </c>
      <c r="N77" s="353">
        <v>45548</v>
      </c>
      <c r="O77" s="353">
        <v>45544</v>
      </c>
      <c r="P77" s="440" t="s">
        <v>12411</v>
      </c>
      <c r="Q77" s="367" t="s">
        <v>12412</v>
      </c>
      <c r="R77" s="734" t="s">
        <v>98</v>
      </c>
      <c r="S77" s="735"/>
      <c r="T77" s="735"/>
    </row>
    <row r="78" s="401" customFormat="1" ht="50" customHeight="1" spans="1:20">
      <c r="A78" s="693">
        <v>45418</v>
      </c>
      <c r="B78" s="737" t="s">
        <v>12257</v>
      </c>
      <c r="C78" s="737" t="s">
        <v>91</v>
      </c>
      <c r="D78" s="460">
        <v>4500131695</v>
      </c>
      <c r="E78" s="738">
        <v>95284017</v>
      </c>
      <c r="F78" s="739" t="s">
        <v>12421</v>
      </c>
      <c r="G78" s="367" t="s">
        <v>6254</v>
      </c>
      <c r="H78" s="692" t="s">
        <v>6254</v>
      </c>
      <c r="I78" s="345" t="s">
        <v>6063</v>
      </c>
      <c r="J78" s="345">
        <v>1242</v>
      </c>
      <c r="K78" s="345">
        <v>0</v>
      </c>
      <c r="L78" s="345">
        <v>6</v>
      </c>
      <c r="M78" s="345">
        <f t="shared" si="1"/>
        <v>207</v>
      </c>
      <c r="N78" s="353">
        <v>45488</v>
      </c>
      <c r="O78" s="353">
        <v>45484</v>
      </c>
      <c r="P78" s="442" t="s">
        <v>12422</v>
      </c>
      <c r="Q78" s="367" t="s">
        <v>12394</v>
      </c>
      <c r="R78" s="734" t="s">
        <v>12395</v>
      </c>
      <c r="S78" s="735"/>
      <c r="T78" s="735"/>
    </row>
    <row r="79" s="401" customFormat="1" ht="50" customHeight="1" spans="1:20">
      <c r="A79" s="693">
        <v>45526</v>
      </c>
      <c r="B79" s="365" t="s">
        <v>361</v>
      </c>
      <c r="C79" s="365" t="s">
        <v>91</v>
      </c>
      <c r="D79" s="366">
        <v>4500143631</v>
      </c>
      <c r="E79" s="345" t="s">
        <v>12423</v>
      </c>
      <c r="F79" s="366" t="s">
        <v>12424</v>
      </c>
      <c r="G79" s="367" t="s">
        <v>6218</v>
      </c>
      <c r="H79" s="692" t="s">
        <v>6218</v>
      </c>
      <c r="I79" s="345" t="s">
        <v>6092</v>
      </c>
      <c r="J79" s="345">
        <v>160</v>
      </c>
      <c r="K79" s="345">
        <v>0</v>
      </c>
      <c r="L79" s="345">
        <v>32</v>
      </c>
      <c r="M79" s="345">
        <f t="shared" si="1"/>
        <v>5</v>
      </c>
      <c r="N79" s="353">
        <v>45576</v>
      </c>
      <c r="O79" s="353">
        <v>45572</v>
      </c>
      <c r="P79" s="440" t="s">
        <v>12425</v>
      </c>
      <c r="Q79" s="367" t="s">
        <v>12412</v>
      </c>
      <c r="R79" s="734" t="s">
        <v>98</v>
      </c>
      <c r="S79" s="735"/>
      <c r="T79" s="735"/>
    </row>
    <row r="80" s="401" customFormat="1" ht="50" customHeight="1" spans="1:20">
      <c r="A80" s="693">
        <v>45526</v>
      </c>
      <c r="B80" s="365" t="s">
        <v>361</v>
      </c>
      <c r="C80" s="365" t="s">
        <v>91</v>
      </c>
      <c r="D80" s="740">
        <v>4500143631</v>
      </c>
      <c r="E80" s="345" t="s">
        <v>12426</v>
      </c>
      <c r="F80" s="366" t="s">
        <v>12427</v>
      </c>
      <c r="G80" s="367" t="s">
        <v>6223</v>
      </c>
      <c r="H80" s="692" t="s">
        <v>6223</v>
      </c>
      <c r="I80" s="345" t="s">
        <v>6100</v>
      </c>
      <c r="J80" s="345">
        <v>128</v>
      </c>
      <c r="K80" s="345">
        <v>0</v>
      </c>
      <c r="L80" s="345">
        <v>32</v>
      </c>
      <c r="M80" s="345">
        <f t="shared" si="1"/>
        <v>4</v>
      </c>
      <c r="N80" s="353">
        <v>45576</v>
      </c>
      <c r="O80" s="353">
        <v>45572</v>
      </c>
      <c r="P80" s="440" t="s">
        <v>12425</v>
      </c>
      <c r="Q80" s="367" t="s">
        <v>12412</v>
      </c>
      <c r="R80" s="734" t="s">
        <v>98</v>
      </c>
      <c r="S80" s="735"/>
      <c r="T80" s="735"/>
    </row>
    <row r="81" s="401" customFormat="1" ht="50" customHeight="1" spans="1:20">
      <c r="A81" s="693">
        <v>45526</v>
      </c>
      <c r="B81" s="365" t="s">
        <v>361</v>
      </c>
      <c r="C81" s="365" t="s">
        <v>91</v>
      </c>
      <c r="D81" s="740">
        <v>4500143631</v>
      </c>
      <c r="E81" s="345" t="s">
        <v>12428</v>
      </c>
      <c r="F81" s="366" t="s">
        <v>12429</v>
      </c>
      <c r="G81" s="367" t="s">
        <v>6281</v>
      </c>
      <c r="H81" s="692" t="s">
        <v>6281</v>
      </c>
      <c r="I81" s="345" t="s">
        <v>6105</v>
      </c>
      <c r="J81" s="345">
        <v>160</v>
      </c>
      <c r="K81" s="345">
        <v>0</v>
      </c>
      <c r="L81" s="345">
        <v>32</v>
      </c>
      <c r="M81" s="345">
        <f t="shared" si="1"/>
        <v>5</v>
      </c>
      <c r="N81" s="353">
        <v>45576</v>
      </c>
      <c r="O81" s="353">
        <v>45572</v>
      </c>
      <c r="P81" s="440" t="s">
        <v>12425</v>
      </c>
      <c r="Q81" s="367" t="s">
        <v>12412</v>
      </c>
      <c r="R81" s="734" t="s">
        <v>98</v>
      </c>
      <c r="S81" s="735"/>
      <c r="T81" s="735"/>
    </row>
    <row r="82" s="401" customFormat="1" ht="50" customHeight="1" spans="1:20">
      <c r="A82" s="693">
        <v>45526</v>
      </c>
      <c r="B82" s="365" t="s">
        <v>361</v>
      </c>
      <c r="C82" s="365" t="s">
        <v>91</v>
      </c>
      <c r="D82" s="366">
        <v>4500143709</v>
      </c>
      <c r="E82" s="367" t="s">
        <v>12430</v>
      </c>
      <c r="F82" s="366" t="s">
        <v>12431</v>
      </c>
      <c r="G82" s="367" t="s">
        <v>6218</v>
      </c>
      <c r="H82" s="692" t="s">
        <v>6218</v>
      </c>
      <c r="I82" s="345" t="s">
        <v>6092</v>
      </c>
      <c r="J82" s="345">
        <v>1120</v>
      </c>
      <c r="K82" s="345">
        <v>0</v>
      </c>
      <c r="L82" s="345">
        <v>32</v>
      </c>
      <c r="M82" s="345">
        <f t="shared" si="1"/>
        <v>35</v>
      </c>
      <c r="N82" s="353">
        <v>45576</v>
      </c>
      <c r="O82" s="353">
        <v>45572</v>
      </c>
      <c r="P82" s="440" t="s">
        <v>12425</v>
      </c>
      <c r="Q82" s="367" t="s">
        <v>12412</v>
      </c>
      <c r="R82" s="734" t="s">
        <v>98</v>
      </c>
      <c r="S82" s="735"/>
      <c r="T82" s="735"/>
    </row>
    <row r="83" s="401" customFormat="1" ht="50" customHeight="1" spans="1:20">
      <c r="A83" s="693">
        <v>45526</v>
      </c>
      <c r="B83" s="365" t="s">
        <v>361</v>
      </c>
      <c r="C83" s="365" t="s">
        <v>91</v>
      </c>
      <c r="D83" s="740">
        <v>4500143709</v>
      </c>
      <c r="E83" s="367" t="s">
        <v>12432</v>
      </c>
      <c r="F83" s="366" t="s">
        <v>12433</v>
      </c>
      <c r="G83" s="367" t="s">
        <v>6223</v>
      </c>
      <c r="H83" s="692" t="s">
        <v>6223</v>
      </c>
      <c r="I83" s="345" t="s">
        <v>6100</v>
      </c>
      <c r="J83" s="345">
        <v>608</v>
      </c>
      <c r="K83" s="345">
        <v>0</v>
      </c>
      <c r="L83" s="345">
        <v>32</v>
      </c>
      <c r="M83" s="345">
        <f t="shared" ref="M83:M107" si="2">J83/L83</f>
        <v>19</v>
      </c>
      <c r="N83" s="353">
        <v>45576</v>
      </c>
      <c r="O83" s="353">
        <v>45572</v>
      </c>
      <c r="P83" s="440" t="s">
        <v>12425</v>
      </c>
      <c r="Q83" s="367" t="s">
        <v>12412</v>
      </c>
      <c r="R83" s="734" t="s">
        <v>98</v>
      </c>
      <c r="S83" s="735"/>
      <c r="T83" s="735"/>
    </row>
    <row r="84" s="401" customFormat="1" ht="50" customHeight="1" spans="1:20">
      <c r="A84" s="693">
        <v>45526</v>
      </c>
      <c r="B84" s="365" t="s">
        <v>361</v>
      </c>
      <c r="C84" s="365" t="s">
        <v>91</v>
      </c>
      <c r="D84" s="740">
        <v>4500143709</v>
      </c>
      <c r="E84" s="367" t="s">
        <v>12434</v>
      </c>
      <c r="F84" s="366" t="s">
        <v>12435</v>
      </c>
      <c r="G84" s="367" t="s">
        <v>6281</v>
      </c>
      <c r="H84" s="692" t="s">
        <v>6281</v>
      </c>
      <c r="I84" s="345" t="s">
        <v>6105</v>
      </c>
      <c r="J84" s="345">
        <v>512</v>
      </c>
      <c r="K84" s="345">
        <v>0</v>
      </c>
      <c r="L84" s="345">
        <v>32</v>
      </c>
      <c r="M84" s="345">
        <f t="shared" si="2"/>
        <v>16</v>
      </c>
      <c r="N84" s="353">
        <v>45576</v>
      </c>
      <c r="O84" s="353">
        <v>45572</v>
      </c>
      <c r="P84" s="440" t="s">
        <v>12425</v>
      </c>
      <c r="Q84" s="367" t="s">
        <v>12412</v>
      </c>
      <c r="R84" s="734" t="s">
        <v>98</v>
      </c>
      <c r="S84" s="735"/>
      <c r="T84" s="735"/>
    </row>
    <row r="85" s="401" customFormat="1" ht="50" customHeight="1" spans="1:20">
      <c r="A85" s="693">
        <v>45526</v>
      </c>
      <c r="B85" s="365" t="s">
        <v>361</v>
      </c>
      <c r="C85" s="365" t="s">
        <v>91</v>
      </c>
      <c r="D85" s="740">
        <v>4500143709</v>
      </c>
      <c r="E85" s="367" t="s">
        <v>12436</v>
      </c>
      <c r="F85" s="366" t="s">
        <v>12437</v>
      </c>
      <c r="G85" s="367" t="s">
        <v>6281</v>
      </c>
      <c r="H85" s="692" t="s">
        <v>6281</v>
      </c>
      <c r="I85" s="345" t="s">
        <v>6105</v>
      </c>
      <c r="J85" s="345">
        <v>1120</v>
      </c>
      <c r="K85" s="345">
        <v>0</v>
      </c>
      <c r="L85" s="345">
        <v>32</v>
      </c>
      <c r="M85" s="345">
        <f t="shared" si="2"/>
        <v>35</v>
      </c>
      <c r="N85" s="353">
        <v>45576</v>
      </c>
      <c r="O85" s="353">
        <v>45572</v>
      </c>
      <c r="P85" s="440" t="s">
        <v>12425</v>
      </c>
      <c r="Q85" s="367" t="s">
        <v>12412</v>
      </c>
      <c r="R85" s="734" t="s">
        <v>98</v>
      </c>
      <c r="S85" s="735"/>
      <c r="T85" s="735"/>
    </row>
    <row r="86" s="401" customFormat="1" ht="50" customHeight="1" spans="1:20">
      <c r="A86" s="693">
        <v>45526</v>
      </c>
      <c r="B86" s="365" t="s">
        <v>361</v>
      </c>
      <c r="C86" s="365" t="s">
        <v>91</v>
      </c>
      <c r="D86" s="366">
        <v>4500143730</v>
      </c>
      <c r="E86" s="345" t="s">
        <v>12438</v>
      </c>
      <c r="F86" s="366" t="s">
        <v>12439</v>
      </c>
      <c r="G86" s="741" t="s">
        <v>6218</v>
      </c>
      <c r="H86" s="692" t="s">
        <v>6218</v>
      </c>
      <c r="I86" s="345" t="s">
        <v>6092</v>
      </c>
      <c r="J86" s="345">
        <v>1408</v>
      </c>
      <c r="K86" s="345">
        <v>0</v>
      </c>
      <c r="L86" s="345">
        <v>32</v>
      </c>
      <c r="M86" s="345">
        <f t="shared" si="2"/>
        <v>44</v>
      </c>
      <c r="N86" s="353">
        <v>45576</v>
      </c>
      <c r="O86" s="353">
        <v>45572</v>
      </c>
      <c r="P86" s="440" t="s">
        <v>12425</v>
      </c>
      <c r="Q86" s="367" t="s">
        <v>12412</v>
      </c>
      <c r="R86" s="734" t="s">
        <v>98</v>
      </c>
      <c r="S86" s="735"/>
      <c r="T86" s="735"/>
    </row>
    <row r="87" s="401" customFormat="1" ht="50" customHeight="1" spans="1:20">
      <c r="A87" s="693">
        <v>45526</v>
      </c>
      <c r="B87" s="365" t="s">
        <v>361</v>
      </c>
      <c r="C87" s="365" t="s">
        <v>91</v>
      </c>
      <c r="D87" s="740">
        <v>4500143730</v>
      </c>
      <c r="E87" s="345" t="s">
        <v>12440</v>
      </c>
      <c r="F87" s="366" t="s">
        <v>12441</v>
      </c>
      <c r="G87" s="741" t="s">
        <v>6223</v>
      </c>
      <c r="H87" s="692" t="s">
        <v>6223</v>
      </c>
      <c r="I87" s="345" t="s">
        <v>6100</v>
      </c>
      <c r="J87" s="345">
        <v>1152</v>
      </c>
      <c r="K87" s="345">
        <v>0</v>
      </c>
      <c r="L87" s="345">
        <v>32</v>
      </c>
      <c r="M87" s="345">
        <f t="shared" si="2"/>
        <v>36</v>
      </c>
      <c r="N87" s="353">
        <v>45576</v>
      </c>
      <c r="O87" s="353">
        <v>45572</v>
      </c>
      <c r="P87" s="440" t="s">
        <v>12425</v>
      </c>
      <c r="Q87" s="367" t="s">
        <v>12412</v>
      </c>
      <c r="R87" s="734" t="s">
        <v>98</v>
      </c>
      <c r="S87" s="735"/>
      <c r="T87" s="735"/>
    </row>
    <row r="88" s="401" customFormat="1" ht="50" customHeight="1" spans="1:20">
      <c r="A88" s="693">
        <v>45526</v>
      </c>
      <c r="B88" s="365" t="s">
        <v>361</v>
      </c>
      <c r="C88" s="365" t="s">
        <v>91</v>
      </c>
      <c r="D88" s="740">
        <v>4500143730</v>
      </c>
      <c r="E88" s="345" t="s">
        <v>12442</v>
      </c>
      <c r="F88" s="366" t="s">
        <v>12443</v>
      </c>
      <c r="G88" s="741" t="s">
        <v>6281</v>
      </c>
      <c r="H88" s="692" t="s">
        <v>6281</v>
      </c>
      <c r="I88" s="345" t="s">
        <v>6105</v>
      </c>
      <c r="J88" s="345">
        <v>1088</v>
      </c>
      <c r="K88" s="345">
        <v>0</v>
      </c>
      <c r="L88" s="345">
        <v>32</v>
      </c>
      <c r="M88" s="345">
        <f t="shared" si="2"/>
        <v>34</v>
      </c>
      <c r="N88" s="353">
        <v>45576</v>
      </c>
      <c r="O88" s="353">
        <v>45572</v>
      </c>
      <c r="P88" s="440" t="s">
        <v>12425</v>
      </c>
      <c r="Q88" s="367" t="s">
        <v>12412</v>
      </c>
      <c r="R88" s="734" t="s">
        <v>98</v>
      </c>
      <c r="S88" s="735"/>
      <c r="T88" s="735"/>
    </row>
    <row r="89" s="401" customFormat="1" ht="50" customHeight="1" spans="1:20">
      <c r="A89" s="693">
        <v>45526</v>
      </c>
      <c r="B89" s="349" t="s">
        <v>361</v>
      </c>
      <c r="C89" s="350" t="s">
        <v>91</v>
      </c>
      <c r="D89" s="460">
        <v>4500143730</v>
      </c>
      <c r="E89" s="367" t="s">
        <v>12444</v>
      </c>
      <c r="F89" s="460" t="s">
        <v>12445</v>
      </c>
      <c r="G89" s="367" t="s">
        <v>12311</v>
      </c>
      <c r="H89" s="692" t="s">
        <v>8294</v>
      </c>
      <c r="I89" s="345" t="s">
        <v>8295</v>
      </c>
      <c r="J89" s="345">
        <v>1588</v>
      </c>
      <c r="K89" s="345">
        <v>1</v>
      </c>
      <c r="L89" s="345">
        <v>2</v>
      </c>
      <c r="M89" s="345">
        <f t="shared" si="2"/>
        <v>794</v>
      </c>
      <c r="N89" s="353">
        <v>45576</v>
      </c>
      <c r="O89" s="353">
        <v>45572</v>
      </c>
      <c r="P89" s="440" t="s">
        <v>12425</v>
      </c>
      <c r="Q89" s="367" t="s">
        <v>12412</v>
      </c>
      <c r="R89" s="734" t="s">
        <v>98</v>
      </c>
      <c r="S89" s="735"/>
      <c r="T89" s="735"/>
    </row>
    <row r="90" s="401" customFormat="1" ht="50" customHeight="1" spans="1:20">
      <c r="A90" s="693">
        <v>45526</v>
      </c>
      <c r="B90" s="349" t="s">
        <v>361</v>
      </c>
      <c r="C90" s="350" t="s">
        <v>91</v>
      </c>
      <c r="D90" s="460">
        <v>4500143730</v>
      </c>
      <c r="E90" s="367" t="s">
        <v>12446</v>
      </c>
      <c r="F90" s="460" t="s">
        <v>12447</v>
      </c>
      <c r="G90" s="367" t="s">
        <v>12311</v>
      </c>
      <c r="H90" s="692" t="s">
        <v>8294</v>
      </c>
      <c r="I90" s="345" t="s">
        <v>8295</v>
      </c>
      <c r="J90" s="345">
        <v>106</v>
      </c>
      <c r="K90" s="345">
        <v>1</v>
      </c>
      <c r="L90" s="345">
        <v>2</v>
      </c>
      <c r="M90" s="345">
        <f t="shared" si="2"/>
        <v>53</v>
      </c>
      <c r="N90" s="353">
        <v>45576</v>
      </c>
      <c r="O90" s="353">
        <v>45572</v>
      </c>
      <c r="P90" s="440" t="s">
        <v>12425</v>
      </c>
      <c r="Q90" s="367" t="s">
        <v>12412</v>
      </c>
      <c r="R90" s="734" t="s">
        <v>98</v>
      </c>
      <c r="S90" s="735"/>
      <c r="T90" s="735"/>
    </row>
    <row r="91" s="401" customFormat="1" ht="50" customHeight="1" spans="1:20">
      <c r="A91" s="693">
        <v>45526</v>
      </c>
      <c r="B91" s="349" t="s">
        <v>361</v>
      </c>
      <c r="C91" s="350" t="s">
        <v>91</v>
      </c>
      <c r="D91" s="460">
        <v>4500143730</v>
      </c>
      <c r="E91" s="367" t="s">
        <v>12448</v>
      </c>
      <c r="F91" s="460" t="s">
        <v>12449</v>
      </c>
      <c r="G91" s="367" t="s">
        <v>364</v>
      </c>
      <c r="H91" s="692" t="s">
        <v>364</v>
      </c>
      <c r="I91" s="345" t="s">
        <v>328</v>
      </c>
      <c r="J91" s="345">
        <v>828</v>
      </c>
      <c r="K91" s="345">
        <v>0</v>
      </c>
      <c r="L91" s="345">
        <v>12</v>
      </c>
      <c r="M91" s="345">
        <f t="shared" si="2"/>
        <v>69</v>
      </c>
      <c r="N91" s="353">
        <v>45576</v>
      </c>
      <c r="O91" s="353">
        <v>45572</v>
      </c>
      <c r="P91" s="440" t="s">
        <v>12425</v>
      </c>
      <c r="Q91" s="367" t="s">
        <v>12412</v>
      </c>
      <c r="R91" s="734" t="s">
        <v>98</v>
      </c>
      <c r="S91" s="735"/>
      <c r="T91" s="735"/>
    </row>
    <row r="92" s="401" customFormat="1" ht="50" customHeight="1" spans="1:20">
      <c r="A92" s="693">
        <v>45526</v>
      </c>
      <c r="B92" s="365" t="s">
        <v>361</v>
      </c>
      <c r="C92" s="365" t="s">
        <v>91</v>
      </c>
      <c r="D92" s="366">
        <v>4500143631</v>
      </c>
      <c r="E92" s="345" t="s">
        <v>12450</v>
      </c>
      <c r="F92" s="366" t="s">
        <v>12451</v>
      </c>
      <c r="G92" s="99" t="s">
        <v>364</v>
      </c>
      <c r="H92" s="692" t="s">
        <v>364</v>
      </c>
      <c r="I92" s="345" t="s">
        <v>328</v>
      </c>
      <c r="J92" s="345">
        <v>180</v>
      </c>
      <c r="K92" s="345">
        <v>0</v>
      </c>
      <c r="L92" s="345">
        <v>12</v>
      </c>
      <c r="M92" s="345">
        <f t="shared" si="2"/>
        <v>15</v>
      </c>
      <c r="N92" s="353">
        <v>45576</v>
      </c>
      <c r="O92" s="353">
        <v>45572</v>
      </c>
      <c r="P92" s="440" t="s">
        <v>12425</v>
      </c>
      <c r="Q92" s="367" t="s">
        <v>12412</v>
      </c>
      <c r="R92" s="734" t="s">
        <v>98</v>
      </c>
      <c r="S92" s="735"/>
      <c r="T92" s="735"/>
    </row>
    <row r="93" s="401" customFormat="1" ht="50" customHeight="1" spans="1:20">
      <c r="A93" s="693">
        <v>45526</v>
      </c>
      <c r="B93" s="365" t="s">
        <v>361</v>
      </c>
      <c r="C93" s="365" t="s">
        <v>91</v>
      </c>
      <c r="D93" s="366">
        <v>4500143709</v>
      </c>
      <c r="E93" s="345" t="s">
        <v>12452</v>
      </c>
      <c r="F93" s="366" t="s">
        <v>12453</v>
      </c>
      <c r="G93" s="99" t="s">
        <v>364</v>
      </c>
      <c r="H93" s="692" t="s">
        <v>364</v>
      </c>
      <c r="I93" s="345" t="s">
        <v>328</v>
      </c>
      <c r="J93" s="345">
        <v>924</v>
      </c>
      <c r="K93" s="345">
        <v>0</v>
      </c>
      <c r="L93" s="345">
        <v>12</v>
      </c>
      <c r="M93" s="345">
        <f t="shared" si="2"/>
        <v>77</v>
      </c>
      <c r="N93" s="353">
        <v>45576</v>
      </c>
      <c r="O93" s="353">
        <v>45572</v>
      </c>
      <c r="P93" s="440" t="s">
        <v>12425</v>
      </c>
      <c r="Q93" s="367" t="s">
        <v>12412</v>
      </c>
      <c r="R93" s="734" t="s">
        <v>98</v>
      </c>
      <c r="S93" s="735"/>
      <c r="T93" s="735"/>
    </row>
    <row r="94" s="401" customFormat="1" ht="50" customHeight="1" spans="1:20">
      <c r="A94" s="693">
        <v>45526</v>
      </c>
      <c r="B94" s="365" t="s">
        <v>361</v>
      </c>
      <c r="C94" s="365" t="s">
        <v>91</v>
      </c>
      <c r="D94" s="740">
        <v>4500143709</v>
      </c>
      <c r="E94" s="345" t="s">
        <v>12454</v>
      </c>
      <c r="F94" s="366" t="s">
        <v>12455</v>
      </c>
      <c r="G94" s="99" t="s">
        <v>364</v>
      </c>
      <c r="H94" s="692" t="s">
        <v>364</v>
      </c>
      <c r="I94" s="345" t="s">
        <v>328</v>
      </c>
      <c r="J94" s="345">
        <v>432</v>
      </c>
      <c r="K94" s="345">
        <v>0</v>
      </c>
      <c r="L94" s="345">
        <v>12</v>
      </c>
      <c r="M94" s="345">
        <f t="shared" si="2"/>
        <v>36</v>
      </c>
      <c r="N94" s="353">
        <v>45576</v>
      </c>
      <c r="O94" s="353">
        <v>45572</v>
      </c>
      <c r="P94" s="440" t="s">
        <v>12425</v>
      </c>
      <c r="Q94" s="367" t="s">
        <v>12412</v>
      </c>
      <c r="R94" s="734" t="s">
        <v>98</v>
      </c>
      <c r="S94" s="735"/>
      <c r="T94" s="735"/>
    </row>
    <row r="95" s="401" customFormat="1" ht="50" customHeight="1" spans="1:20">
      <c r="A95" s="693">
        <v>45295</v>
      </c>
      <c r="B95" s="737" t="s">
        <v>1010</v>
      </c>
      <c r="C95" s="736" t="s">
        <v>2580</v>
      </c>
      <c r="D95" s="351">
        <v>4500122654</v>
      </c>
      <c r="E95" s="367"/>
      <c r="F95" s="351" t="s">
        <v>12456</v>
      </c>
      <c r="G95" s="367" t="s">
        <v>9598</v>
      </c>
      <c r="H95" s="692" t="s">
        <v>327</v>
      </c>
      <c r="I95" s="345" t="s">
        <v>328</v>
      </c>
      <c r="J95" s="345">
        <v>1200</v>
      </c>
      <c r="K95" s="345">
        <v>0</v>
      </c>
      <c r="L95" s="345">
        <v>12</v>
      </c>
      <c r="M95" s="345">
        <f t="shared" si="2"/>
        <v>100</v>
      </c>
      <c r="N95" s="353">
        <v>45383</v>
      </c>
      <c r="O95" s="353">
        <v>45379</v>
      </c>
      <c r="P95" s="441" t="s">
        <v>12457</v>
      </c>
      <c r="Q95" s="345" t="s">
        <v>12458</v>
      </c>
      <c r="R95" s="734" t="s">
        <v>12459</v>
      </c>
      <c r="S95" s="735">
        <v>0</v>
      </c>
      <c r="T95" s="735">
        <v>0</v>
      </c>
    </row>
    <row r="96" s="401" customFormat="1" ht="50" customHeight="1" spans="1:20">
      <c r="A96" s="693">
        <v>45295</v>
      </c>
      <c r="B96" s="737" t="s">
        <v>1010</v>
      </c>
      <c r="C96" s="736" t="s">
        <v>2580</v>
      </c>
      <c r="D96" s="351">
        <v>4500122654</v>
      </c>
      <c r="E96" s="367"/>
      <c r="F96" s="351" t="s">
        <v>12460</v>
      </c>
      <c r="G96" s="367" t="s">
        <v>2627</v>
      </c>
      <c r="H96" s="692" t="s">
        <v>2627</v>
      </c>
      <c r="I96" s="367" t="s">
        <v>2591</v>
      </c>
      <c r="J96" s="345">
        <v>1680</v>
      </c>
      <c r="K96" s="345">
        <v>0</v>
      </c>
      <c r="L96" s="345">
        <v>24</v>
      </c>
      <c r="M96" s="345">
        <f t="shared" si="2"/>
        <v>70</v>
      </c>
      <c r="N96" s="353">
        <v>45383</v>
      </c>
      <c r="O96" s="353">
        <v>45379</v>
      </c>
      <c r="P96" s="441" t="s">
        <v>12457</v>
      </c>
      <c r="Q96" s="345" t="s">
        <v>12458</v>
      </c>
      <c r="R96" s="734" t="s">
        <v>12459</v>
      </c>
      <c r="S96" s="735">
        <v>0</v>
      </c>
      <c r="T96" s="735">
        <v>0</v>
      </c>
    </row>
    <row r="97" s="401" customFormat="1" ht="50" customHeight="1" spans="1:66">
      <c r="A97" s="693">
        <v>45516</v>
      </c>
      <c r="B97" s="365" t="s">
        <v>2681</v>
      </c>
      <c r="C97" s="365" t="s">
        <v>91</v>
      </c>
      <c r="D97" s="345">
        <v>4500142349</v>
      </c>
      <c r="E97" s="367" t="s">
        <v>12461</v>
      </c>
      <c r="F97" s="345" t="s">
        <v>12462</v>
      </c>
      <c r="G97" s="367" t="s">
        <v>6254</v>
      </c>
      <c r="H97" s="692" t="s">
        <v>6254</v>
      </c>
      <c r="I97" s="345" t="s">
        <v>6063</v>
      </c>
      <c r="J97" s="345">
        <v>9000</v>
      </c>
      <c r="K97" s="345">
        <v>0</v>
      </c>
      <c r="L97" s="345">
        <v>6</v>
      </c>
      <c r="M97" s="345">
        <f t="shared" si="2"/>
        <v>1500</v>
      </c>
      <c r="N97" s="353">
        <v>45558</v>
      </c>
      <c r="O97" s="353">
        <v>45554</v>
      </c>
      <c r="P97" s="440" t="s">
        <v>12463</v>
      </c>
      <c r="Q97" s="441" t="s">
        <v>12458</v>
      </c>
      <c r="R97" s="742" t="s">
        <v>12464</v>
      </c>
      <c r="S97" s="743">
        <f>M97-290</f>
        <v>1210</v>
      </c>
      <c r="T97" s="743">
        <f>J97-7740</f>
        <v>1260</v>
      </c>
    </row>
    <row r="98" s="401" customFormat="1" ht="50" customHeight="1" spans="1:66">
      <c r="A98" s="693">
        <v>45520</v>
      </c>
      <c r="B98" s="365" t="s">
        <v>2681</v>
      </c>
      <c r="C98" s="365" t="s">
        <v>91</v>
      </c>
      <c r="D98" s="345">
        <v>4500143218</v>
      </c>
      <c r="E98" s="367" t="s">
        <v>12465</v>
      </c>
      <c r="F98" s="345" t="s">
        <v>12466</v>
      </c>
      <c r="G98" s="367" t="s">
        <v>6254</v>
      </c>
      <c r="H98" s="692" t="s">
        <v>6254</v>
      </c>
      <c r="I98" s="345" t="s">
        <v>6063</v>
      </c>
      <c r="J98" s="345">
        <v>4002</v>
      </c>
      <c r="K98" s="345">
        <v>0</v>
      </c>
      <c r="L98" s="345">
        <v>6</v>
      </c>
      <c r="M98" s="345">
        <f t="shared" si="2"/>
        <v>667</v>
      </c>
      <c r="N98" s="353">
        <v>45569</v>
      </c>
      <c r="O98" s="353">
        <v>45565</v>
      </c>
      <c r="P98" s="440" t="s">
        <v>12463</v>
      </c>
      <c r="Q98" s="367" t="s">
        <v>12467</v>
      </c>
      <c r="R98" s="734" t="s">
        <v>12468</v>
      </c>
      <c r="S98" s="735">
        <f>M98-300-367</f>
        <v>0</v>
      </c>
      <c r="T98" s="735">
        <v>0</v>
      </c>
    </row>
    <row r="99" s="401" customFormat="1" ht="50" customHeight="1" spans="1:66">
      <c r="A99" s="693">
        <v>45587</v>
      </c>
      <c r="B99" s="365" t="s">
        <v>1016</v>
      </c>
      <c r="C99" s="365" t="s">
        <v>396</v>
      </c>
      <c r="D99" s="366">
        <v>4500148453</v>
      </c>
      <c r="E99" s="367" t="s">
        <v>12469</v>
      </c>
      <c r="F99" s="366" t="s">
        <v>12470</v>
      </c>
      <c r="G99" s="367"/>
      <c r="H99" s="692" t="s">
        <v>1020</v>
      </c>
      <c r="I99" s="345" t="s">
        <v>328</v>
      </c>
      <c r="J99" s="345">
        <v>48</v>
      </c>
      <c r="K99" s="345">
        <v>0</v>
      </c>
      <c r="L99" s="345">
        <v>12</v>
      </c>
      <c r="M99" s="345">
        <f t="shared" si="2"/>
        <v>4</v>
      </c>
      <c r="N99" s="353">
        <v>45635</v>
      </c>
      <c r="O99" s="353">
        <v>45631</v>
      </c>
      <c r="P99" s="441" t="s">
        <v>12471</v>
      </c>
      <c r="Q99" s="367" t="s">
        <v>12412</v>
      </c>
      <c r="R99" s="734" t="s">
        <v>98</v>
      </c>
      <c r="S99" s="743"/>
      <c r="T99" s="743"/>
    </row>
    <row r="100" s="401" customFormat="1" ht="50" customHeight="1" spans="1:66">
      <c r="A100" s="693">
        <v>45587</v>
      </c>
      <c r="B100" s="365" t="s">
        <v>1016</v>
      </c>
      <c r="C100" s="365" t="s">
        <v>396</v>
      </c>
      <c r="D100" s="366">
        <v>4500148453</v>
      </c>
      <c r="E100" s="367" t="s">
        <v>12472</v>
      </c>
      <c r="F100" s="366" t="s">
        <v>12473</v>
      </c>
      <c r="G100" s="367"/>
      <c r="H100" s="692" t="s">
        <v>1020</v>
      </c>
      <c r="I100" s="345" t="s">
        <v>328</v>
      </c>
      <c r="J100" s="345">
        <v>12</v>
      </c>
      <c r="K100" s="345">
        <v>0</v>
      </c>
      <c r="L100" s="345">
        <v>12</v>
      </c>
      <c r="M100" s="345">
        <f t="shared" si="2"/>
        <v>1</v>
      </c>
      <c r="N100" s="353">
        <v>45635</v>
      </c>
      <c r="O100" s="353">
        <v>45631</v>
      </c>
      <c r="P100" s="441" t="s">
        <v>12471</v>
      </c>
      <c r="Q100" s="367" t="s">
        <v>12412</v>
      </c>
      <c r="R100" s="734" t="s">
        <v>98</v>
      </c>
      <c r="S100" s="743"/>
      <c r="T100" s="743"/>
    </row>
    <row r="101" s="401" customFormat="1" ht="50" customHeight="1" spans="1:66">
      <c r="A101" s="693">
        <v>45587</v>
      </c>
      <c r="B101" s="365" t="s">
        <v>1016</v>
      </c>
      <c r="C101" s="365" t="s">
        <v>396</v>
      </c>
      <c r="D101" s="366">
        <v>4500148453</v>
      </c>
      <c r="E101" s="367" t="s">
        <v>12474</v>
      </c>
      <c r="F101" s="366" t="s">
        <v>12475</v>
      </c>
      <c r="G101" s="367"/>
      <c r="H101" s="692" t="s">
        <v>1020</v>
      </c>
      <c r="I101" s="345" t="s">
        <v>328</v>
      </c>
      <c r="J101" s="345">
        <v>12</v>
      </c>
      <c r="K101" s="345">
        <v>0</v>
      </c>
      <c r="L101" s="345">
        <v>12</v>
      </c>
      <c r="M101" s="345">
        <f t="shared" si="2"/>
        <v>1</v>
      </c>
      <c r="N101" s="353">
        <v>45635</v>
      </c>
      <c r="O101" s="353">
        <v>45631</v>
      </c>
      <c r="P101" s="441" t="s">
        <v>12471</v>
      </c>
      <c r="Q101" s="367" t="s">
        <v>12412</v>
      </c>
      <c r="R101" s="734" t="s">
        <v>98</v>
      </c>
      <c r="S101" s="743"/>
      <c r="T101" s="743"/>
    </row>
    <row r="102" s="401" customFormat="1" ht="50" customHeight="1" spans="1:66">
      <c r="A102" s="693">
        <v>45587</v>
      </c>
      <c r="B102" s="365" t="s">
        <v>1016</v>
      </c>
      <c r="C102" s="365" t="s">
        <v>396</v>
      </c>
      <c r="D102" s="366">
        <v>4500148453</v>
      </c>
      <c r="E102" s="367" t="s">
        <v>12476</v>
      </c>
      <c r="F102" s="366" t="s">
        <v>12477</v>
      </c>
      <c r="G102" s="367" t="s">
        <v>9598</v>
      </c>
      <c r="H102" s="692" t="s">
        <v>2676</v>
      </c>
      <c r="I102" s="367" t="s">
        <v>2677</v>
      </c>
      <c r="J102" s="345">
        <v>12</v>
      </c>
      <c r="K102" s="345">
        <v>0</v>
      </c>
      <c r="L102" s="345">
        <v>12</v>
      </c>
      <c r="M102" s="345">
        <f t="shared" si="2"/>
        <v>1</v>
      </c>
      <c r="N102" s="353">
        <v>45635</v>
      </c>
      <c r="O102" s="353">
        <v>45631</v>
      </c>
      <c r="P102" s="441" t="s">
        <v>12471</v>
      </c>
      <c r="Q102" s="367" t="s">
        <v>12412</v>
      </c>
      <c r="R102" s="734" t="s">
        <v>98</v>
      </c>
      <c r="S102" s="743"/>
      <c r="T102" s="743"/>
    </row>
    <row r="103" s="401" customFormat="1" ht="50" customHeight="1" spans="1:66">
      <c r="A103" s="693">
        <v>45587</v>
      </c>
      <c r="B103" s="365" t="s">
        <v>1016</v>
      </c>
      <c r="C103" s="365" t="s">
        <v>396</v>
      </c>
      <c r="D103" s="366">
        <v>4500148453</v>
      </c>
      <c r="E103" s="367" t="s">
        <v>12478</v>
      </c>
      <c r="F103" s="366" t="s">
        <v>12479</v>
      </c>
      <c r="G103" s="367" t="s">
        <v>9598</v>
      </c>
      <c r="H103" s="692" t="s">
        <v>2676</v>
      </c>
      <c r="I103" s="367" t="s">
        <v>2677</v>
      </c>
      <c r="J103" s="345">
        <v>12</v>
      </c>
      <c r="K103" s="345">
        <v>0</v>
      </c>
      <c r="L103" s="345">
        <v>12</v>
      </c>
      <c r="M103" s="345">
        <f t="shared" si="2"/>
        <v>1</v>
      </c>
      <c r="N103" s="353">
        <v>45635</v>
      </c>
      <c r="O103" s="353">
        <v>45631</v>
      </c>
      <c r="P103" s="441" t="s">
        <v>12471</v>
      </c>
      <c r="Q103" s="367" t="s">
        <v>12412</v>
      </c>
      <c r="R103" s="734" t="s">
        <v>98</v>
      </c>
      <c r="S103" s="743"/>
      <c r="T103" s="743"/>
    </row>
    <row r="104" s="401" customFormat="1" ht="50" customHeight="1" spans="1:66">
      <c r="A104" s="693">
        <v>45587</v>
      </c>
      <c r="B104" s="365" t="s">
        <v>1016</v>
      </c>
      <c r="C104" s="365" t="s">
        <v>396</v>
      </c>
      <c r="D104" s="366">
        <v>4500148453</v>
      </c>
      <c r="E104" s="367" t="s">
        <v>12480</v>
      </c>
      <c r="F104" s="366" t="s">
        <v>12481</v>
      </c>
      <c r="G104" s="367" t="s">
        <v>9598</v>
      </c>
      <c r="H104" s="692" t="s">
        <v>2676</v>
      </c>
      <c r="I104" s="367" t="s">
        <v>2677</v>
      </c>
      <c r="J104" s="345">
        <v>12</v>
      </c>
      <c r="K104" s="345">
        <v>0</v>
      </c>
      <c r="L104" s="345">
        <v>12</v>
      </c>
      <c r="M104" s="345">
        <f t="shared" si="2"/>
        <v>1</v>
      </c>
      <c r="N104" s="353">
        <v>45635</v>
      </c>
      <c r="O104" s="353">
        <v>45631</v>
      </c>
      <c r="P104" s="441" t="s">
        <v>12471</v>
      </c>
      <c r="Q104" s="367" t="s">
        <v>12412</v>
      </c>
      <c r="R104" s="734" t="s">
        <v>98</v>
      </c>
      <c r="S104" s="743"/>
      <c r="T104" s="743"/>
    </row>
    <row r="105" s="401" customFormat="1" ht="50" customHeight="1" spans="1:66">
      <c r="A105" s="693">
        <v>45595</v>
      </c>
      <c r="B105" s="365" t="s">
        <v>1016</v>
      </c>
      <c r="C105" s="365" t="s">
        <v>396</v>
      </c>
      <c r="D105" s="366">
        <v>4500149548</v>
      </c>
      <c r="E105" s="367" t="s">
        <v>12482</v>
      </c>
      <c r="F105" s="366" t="s">
        <v>12483</v>
      </c>
      <c r="G105" s="367"/>
      <c r="H105" s="692" t="s">
        <v>7185</v>
      </c>
      <c r="I105" s="367" t="s">
        <v>6242</v>
      </c>
      <c r="J105" s="345">
        <v>768</v>
      </c>
      <c r="K105" s="345">
        <v>0</v>
      </c>
      <c r="L105" s="345">
        <v>32</v>
      </c>
      <c r="M105" s="345">
        <f t="shared" si="2"/>
        <v>24</v>
      </c>
      <c r="N105" s="353">
        <v>45638</v>
      </c>
      <c r="O105" s="353">
        <v>45635</v>
      </c>
      <c r="P105" s="441" t="s">
        <v>12471</v>
      </c>
      <c r="Q105" s="367" t="s">
        <v>12412</v>
      </c>
      <c r="R105" s="734" t="s">
        <v>98</v>
      </c>
      <c r="S105" s="743"/>
      <c r="T105" s="743"/>
    </row>
    <row r="106" s="401" customFormat="1" ht="50" customHeight="1" spans="1:66">
      <c r="A106" s="693">
        <v>45589</v>
      </c>
      <c r="B106" s="349" t="s">
        <v>3138</v>
      </c>
      <c r="C106" s="736" t="s">
        <v>396</v>
      </c>
      <c r="D106" s="460">
        <v>4500148922</v>
      </c>
      <c r="E106" s="367" t="s">
        <v>12484</v>
      </c>
      <c r="F106" s="739" t="s">
        <v>12485</v>
      </c>
      <c r="G106" s="367" t="s">
        <v>2652</v>
      </c>
      <c r="H106" s="692" t="s">
        <v>2654</v>
      </c>
      <c r="I106" s="367" t="s">
        <v>2591</v>
      </c>
      <c r="J106" s="345">
        <v>1248</v>
      </c>
      <c r="K106" s="345">
        <v>0</v>
      </c>
      <c r="L106" s="345">
        <v>6</v>
      </c>
      <c r="M106" s="345">
        <f t="shared" si="2"/>
        <v>208</v>
      </c>
      <c r="N106" s="353">
        <v>45625</v>
      </c>
      <c r="O106" s="353">
        <v>45621</v>
      </c>
      <c r="P106" s="441" t="s">
        <v>12486</v>
      </c>
      <c r="Q106" s="441" t="s">
        <v>12458</v>
      </c>
      <c r="R106" s="439"/>
      <c r="S106" s="744">
        <f>M106</f>
        <v>208</v>
      </c>
      <c r="T106" s="743">
        <f>J106</f>
        <v>1248</v>
      </c>
      <c r="U106" s="442"/>
      <c r="V106" s="742"/>
      <c r="W106" s="745"/>
      <c r="X106" s="746" t="s">
        <v>12487</v>
      </c>
      <c r="Y106" s="747" t="s">
        <v>405</v>
      </c>
      <c r="Z106" s="441">
        <v>2.1991</v>
      </c>
      <c r="AA106" s="441">
        <f>Z106*J106</f>
        <v>2744.4768</v>
      </c>
      <c r="AB106" s="746"/>
      <c r="AC106" s="746" t="s">
        <v>416</v>
      </c>
      <c r="AD106" s="440"/>
      <c r="AE106" s="440"/>
      <c r="AF106" s="440">
        <f>J106</f>
        <v>1248</v>
      </c>
      <c r="AG106" s="440"/>
      <c r="AH106" s="441"/>
      <c r="AI106" s="441">
        <f>J106</f>
        <v>1248</v>
      </c>
      <c r="AJ106" s="444"/>
      <c r="AK106" s="444"/>
      <c r="AL106" s="444"/>
      <c r="AM106" s="444"/>
      <c r="AN106" s="444">
        <f>J106</f>
        <v>1248</v>
      </c>
      <c r="AO106" s="444">
        <f t="shared" ref="AO106:AO113" si="3">J106/6</f>
        <v>208</v>
      </c>
      <c r="AP106" s="444"/>
      <c r="AQ106" s="444"/>
      <c r="AR106" s="444"/>
      <c r="AS106" s="444"/>
      <c r="AT106" s="444"/>
      <c r="AU106" s="444"/>
      <c r="AV106" s="444"/>
      <c r="AW106" s="444" t="s">
        <v>89</v>
      </c>
      <c r="AX106" s="748"/>
      <c r="AY106" s="749">
        <f t="shared" ref="AY106:AY113" si="4">J106/60*10</f>
        <v>208</v>
      </c>
      <c r="AZ106" s="444">
        <f t="shared" ref="AZ106:AZ113" si="5">J106/60*10</f>
        <v>208</v>
      </c>
      <c r="BA106" s="444">
        <f t="shared" ref="BA106:BA113" si="6">J106/60*10</f>
        <v>208</v>
      </c>
      <c r="BB106" s="444">
        <f t="shared" ref="BB106:BB113" si="7">J106/60*10</f>
        <v>208</v>
      </c>
      <c r="BC106" s="444">
        <f t="shared" ref="BC106:BC113" si="8">J106/60*10</f>
        <v>208</v>
      </c>
      <c r="BD106" s="444">
        <f t="shared" ref="BD106:BD113" si="9">J106/60*8</f>
        <v>166.4</v>
      </c>
      <c r="BE106" s="750">
        <f t="shared" ref="BE106:BE113" si="10">J106/60*2</f>
        <v>41.6</v>
      </c>
      <c r="BF106" s="751"/>
      <c r="BG106" s="752"/>
      <c r="BH106" s="752"/>
      <c r="BI106" s="752"/>
      <c r="BJ106" s="752"/>
      <c r="BK106" s="753"/>
      <c r="BL106" s="754"/>
      <c r="BM106" s="755">
        <f t="shared" ref="BM106:BM113" si="11">SUM(AY106:BL106)</f>
        <v>1248</v>
      </c>
      <c r="BN106" s="756">
        <f t="shared" ref="BN106:BN113" si="12">J106-BM106</f>
        <v>0</v>
      </c>
    </row>
    <row r="107" s="401" customFormat="1" ht="50" customHeight="1" spans="1:66">
      <c r="A107" s="693">
        <v>45589</v>
      </c>
      <c r="B107" s="365" t="s">
        <v>3138</v>
      </c>
      <c r="C107" s="367" t="s">
        <v>396</v>
      </c>
      <c r="D107" s="345">
        <v>4500148922</v>
      </c>
      <c r="E107" s="367" t="s">
        <v>12484</v>
      </c>
      <c r="F107" s="367" t="s">
        <v>12488</v>
      </c>
      <c r="G107" s="367" t="s">
        <v>6068</v>
      </c>
      <c r="H107" s="692" t="s">
        <v>6228</v>
      </c>
      <c r="I107" s="345" t="s">
        <v>6063</v>
      </c>
      <c r="J107" s="345">
        <v>1998</v>
      </c>
      <c r="K107" s="345">
        <v>0</v>
      </c>
      <c r="L107" s="345">
        <v>6</v>
      </c>
      <c r="M107" s="345">
        <f t="shared" si="2"/>
        <v>333</v>
      </c>
      <c r="N107" s="353">
        <v>45625</v>
      </c>
      <c r="O107" s="353">
        <v>45621</v>
      </c>
      <c r="P107" s="441" t="s">
        <v>12486</v>
      </c>
      <c r="Q107" s="441" t="s">
        <v>12458</v>
      </c>
      <c r="R107" s="746" t="s">
        <v>12489</v>
      </c>
      <c r="S107" s="440">
        <f>M107</f>
        <v>333</v>
      </c>
      <c r="T107" s="743">
        <f>J107-1998</f>
        <v>0</v>
      </c>
      <c r="U107" s="442"/>
      <c r="V107" s="441"/>
      <c r="W107" s="441"/>
      <c r="X107" s="746" t="s">
        <v>12490</v>
      </c>
      <c r="Y107" s="757" t="s">
        <v>405</v>
      </c>
      <c r="Z107" s="758">
        <v>2.3149</v>
      </c>
      <c r="AA107" s="441">
        <f>Z107*J107</f>
        <v>4625.1702</v>
      </c>
      <c r="AB107" s="746"/>
      <c r="AC107" s="746" t="s">
        <v>416</v>
      </c>
      <c r="AD107" s="440"/>
      <c r="AE107" s="440">
        <f>J107</f>
        <v>1998</v>
      </c>
      <c r="AF107" s="440"/>
      <c r="AG107" s="441">
        <f>J107</f>
        <v>1998</v>
      </c>
      <c r="AH107" s="444"/>
      <c r="AI107" s="444"/>
      <c r="AJ107" s="444">
        <f>J107</f>
        <v>1998</v>
      </c>
      <c r="AK107" s="444"/>
      <c r="AL107" s="444">
        <f>J107/6</f>
        <v>333</v>
      </c>
      <c r="AM107" s="444"/>
      <c r="AN107" s="444"/>
      <c r="AO107" s="444"/>
      <c r="AP107" s="444"/>
      <c r="AQ107" s="444"/>
      <c r="AR107" s="444"/>
      <c r="AS107" s="444" t="s">
        <v>89</v>
      </c>
      <c r="AT107" s="444">
        <f>J107/60*2</f>
        <v>66.6</v>
      </c>
      <c r="AU107" s="444">
        <f>J107/60*10</f>
        <v>333</v>
      </c>
      <c r="AV107" s="444">
        <f>J107/60*10</f>
        <v>333</v>
      </c>
      <c r="AW107" s="444">
        <f>J107/60*8</f>
        <v>266.4</v>
      </c>
      <c r="AX107" s="444">
        <f>J107/60*10</f>
        <v>333</v>
      </c>
      <c r="AY107" s="759">
        <f t="shared" si="4"/>
        <v>333</v>
      </c>
      <c r="AZ107" s="760">
        <f t="shared" si="5"/>
        <v>333</v>
      </c>
      <c r="BA107" s="760">
        <f>SUM(AT107:AZ107)</f>
        <v>1998</v>
      </c>
      <c r="BB107" s="760">
        <f>J107-BA107</f>
        <v>0</v>
      </c>
    </row>
    <row r="108" s="400" customFormat="1" ht="50" customHeight="1" spans="1:66">
      <c r="A108" s="693">
        <v>45618</v>
      </c>
      <c r="B108" s="349" t="s">
        <v>839</v>
      </c>
      <c r="C108" s="350" t="s">
        <v>840</v>
      </c>
      <c r="D108" s="460">
        <v>4500152016</v>
      </c>
      <c r="E108" s="367">
        <v>20478298</v>
      </c>
      <c r="F108" s="460" t="s">
        <v>12491</v>
      </c>
      <c r="G108" s="365" t="s">
        <v>2577</v>
      </c>
      <c r="H108" s="367" t="s">
        <v>2577</v>
      </c>
      <c r="I108" s="367" t="s">
        <v>2578</v>
      </c>
      <c r="J108" s="345">
        <v>108</v>
      </c>
      <c r="K108" s="345">
        <v>0</v>
      </c>
      <c r="L108" s="345">
        <v>12</v>
      </c>
      <c r="M108" s="345">
        <v>9</v>
      </c>
      <c r="N108" s="353">
        <v>45663</v>
      </c>
      <c r="O108" s="353">
        <v>45659</v>
      </c>
      <c r="P108" s="441" t="s">
        <v>12492</v>
      </c>
      <c r="Q108" s="367" t="s">
        <v>12412</v>
      </c>
      <c r="R108" s="734" t="s">
        <v>98</v>
      </c>
      <c r="S108" s="761"/>
      <c r="T108" s="353"/>
      <c r="U108" s="353" t="s">
        <v>12493</v>
      </c>
      <c r="V108" s="762"/>
      <c r="W108" s="367"/>
      <c r="X108" s="520" t="s">
        <v>12494</v>
      </c>
      <c r="Y108" s="501" t="s">
        <v>513</v>
      </c>
      <c r="Z108" s="345">
        <v>2.2984</v>
      </c>
      <c r="AA108" s="345">
        <v>248.2272</v>
      </c>
      <c r="AB108" s="734"/>
      <c r="AC108" s="734"/>
      <c r="AD108" s="367"/>
      <c r="AE108" s="345">
        <v>108</v>
      </c>
      <c r="AF108" s="367"/>
      <c r="AG108" s="345"/>
      <c r="AH108" s="447"/>
      <c r="AI108" s="345">
        <v>108</v>
      </c>
      <c r="AJ108" s="447"/>
      <c r="AK108" s="447"/>
      <c r="AL108" s="447">
        <f t="shared" ref="AL108:AL113" si="13">J108</f>
        <v>108</v>
      </c>
      <c r="AM108" s="447"/>
      <c r="AN108" s="447"/>
      <c r="AO108" s="763">
        <f t="shared" si="3"/>
        <v>18</v>
      </c>
      <c r="AP108" s="764"/>
      <c r="AQ108" s="764"/>
      <c r="AR108" s="447"/>
      <c r="AS108" s="447"/>
      <c r="AT108" s="447"/>
      <c r="AU108" s="447"/>
      <c r="AV108" s="447"/>
      <c r="AW108" s="447" t="s">
        <v>89</v>
      </c>
      <c r="AX108" s="765"/>
      <c r="AY108" s="766">
        <f t="shared" si="4"/>
        <v>18</v>
      </c>
      <c r="AZ108" s="763">
        <f t="shared" si="5"/>
        <v>18</v>
      </c>
      <c r="BA108" s="763">
        <f t="shared" si="6"/>
        <v>18</v>
      </c>
      <c r="BB108" s="763">
        <f t="shared" si="7"/>
        <v>18</v>
      </c>
      <c r="BC108" s="763">
        <f t="shared" si="8"/>
        <v>18</v>
      </c>
      <c r="BD108" s="763">
        <f t="shared" si="9"/>
        <v>14.4</v>
      </c>
      <c r="BE108" s="767">
        <f t="shared" si="10"/>
        <v>3.6</v>
      </c>
      <c r="BL108" s="768"/>
      <c r="BM108" s="769">
        <f t="shared" si="11"/>
        <v>108</v>
      </c>
      <c r="BN108" s="770">
        <f t="shared" si="12"/>
        <v>0</v>
      </c>
    </row>
    <row r="109" s="400" customFormat="1" ht="50" customHeight="1" spans="1:66">
      <c r="A109" s="693">
        <v>45621</v>
      </c>
      <c r="B109" s="365" t="s">
        <v>839</v>
      </c>
      <c r="C109" s="365" t="s">
        <v>840</v>
      </c>
      <c r="D109" s="366">
        <v>4500152293</v>
      </c>
      <c r="E109" s="367">
        <v>20478301</v>
      </c>
      <c r="F109" s="366" t="s">
        <v>12495</v>
      </c>
      <c r="G109" s="365" t="s">
        <v>2577</v>
      </c>
      <c r="H109" s="367" t="s">
        <v>2577</v>
      </c>
      <c r="I109" s="367" t="s">
        <v>2578</v>
      </c>
      <c r="J109" s="345">
        <v>96</v>
      </c>
      <c r="K109" s="345">
        <v>0</v>
      </c>
      <c r="L109" s="345">
        <v>12</v>
      </c>
      <c r="M109" s="345">
        <v>8</v>
      </c>
      <c r="N109" s="353">
        <v>45663</v>
      </c>
      <c r="O109" s="353">
        <v>45659</v>
      </c>
      <c r="P109" s="441" t="s">
        <v>12492</v>
      </c>
      <c r="Q109" s="367" t="s">
        <v>12412</v>
      </c>
      <c r="R109" s="734" t="s">
        <v>98</v>
      </c>
      <c r="S109" s="771"/>
      <c r="T109" s="771"/>
      <c r="U109" s="771" t="s">
        <v>12493</v>
      </c>
      <c r="V109" s="772"/>
      <c r="W109" s="773"/>
      <c r="X109" s="734" t="s">
        <v>12496</v>
      </c>
      <c r="Y109" s="345" t="s">
        <v>513</v>
      </c>
      <c r="Z109" s="345">
        <v>2.2984</v>
      </c>
      <c r="AA109" s="345">
        <v>220.6464</v>
      </c>
      <c r="AB109" s="734"/>
      <c r="AC109" s="734"/>
      <c r="AD109" s="367"/>
      <c r="AE109" s="345">
        <v>96</v>
      </c>
      <c r="AF109" s="367"/>
      <c r="AG109" s="367"/>
      <c r="AH109" s="345"/>
      <c r="AI109" s="345">
        <v>96</v>
      </c>
      <c r="AJ109" s="447"/>
      <c r="AK109" s="774"/>
      <c r="AL109" s="447">
        <f t="shared" si="13"/>
        <v>96</v>
      </c>
      <c r="AM109" s="774"/>
      <c r="AN109" s="447"/>
      <c r="AO109" s="763">
        <f t="shared" si="3"/>
        <v>16</v>
      </c>
      <c r="AP109" s="447"/>
      <c r="AQ109" s="447"/>
      <c r="AR109" s="447"/>
      <c r="AS109" s="447"/>
      <c r="AT109" s="447"/>
      <c r="AU109" s="447"/>
      <c r="AV109" s="447"/>
      <c r="AW109" s="447" t="s">
        <v>89</v>
      </c>
      <c r="AX109" s="765"/>
      <c r="AY109" s="766">
        <f t="shared" si="4"/>
        <v>16</v>
      </c>
      <c r="AZ109" s="763">
        <f t="shared" si="5"/>
        <v>16</v>
      </c>
      <c r="BA109" s="763">
        <f t="shared" si="6"/>
        <v>16</v>
      </c>
      <c r="BB109" s="763">
        <f t="shared" si="7"/>
        <v>16</v>
      </c>
      <c r="BC109" s="763">
        <f t="shared" si="8"/>
        <v>16</v>
      </c>
      <c r="BD109" s="763">
        <f t="shared" si="9"/>
        <v>12.8</v>
      </c>
      <c r="BE109" s="767">
        <f t="shared" si="10"/>
        <v>3.2</v>
      </c>
      <c r="BF109" s="775"/>
      <c r="BG109" s="776"/>
      <c r="BH109" s="776"/>
      <c r="BI109" s="776"/>
      <c r="BJ109" s="776"/>
      <c r="BK109" s="777"/>
      <c r="BL109" s="768"/>
      <c r="BM109" s="769">
        <f t="shared" si="11"/>
        <v>96</v>
      </c>
      <c r="BN109" s="770">
        <f t="shared" si="12"/>
        <v>0</v>
      </c>
    </row>
    <row r="110" s="400" customFormat="1" ht="50" customHeight="1" spans="1:66">
      <c r="A110" s="693">
        <v>45621</v>
      </c>
      <c r="B110" s="365" t="s">
        <v>839</v>
      </c>
      <c r="C110" s="365" t="s">
        <v>840</v>
      </c>
      <c r="D110" s="366">
        <v>4500152293</v>
      </c>
      <c r="E110" s="367">
        <v>20478301</v>
      </c>
      <c r="F110" s="366" t="s">
        <v>12497</v>
      </c>
      <c r="G110" s="365" t="s">
        <v>2577</v>
      </c>
      <c r="H110" s="367" t="s">
        <v>2577</v>
      </c>
      <c r="I110" s="367" t="s">
        <v>2578</v>
      </c>
      <c r="J110" s="345">
        <v>72</v>
      </c>
      <c r="K110" s="345">
        <v>0</v>
      </c>
      <c r="L110" s="345">
        <v>12</v>
      </c>
      <c r="M110" s="345">
        <v>6</v>
      </c>
      <c r="N110" s="353">
        <v>45663</v>
      </c>
      <c r="O110" s="353">
        <v>45659</v>
      </c>
      <c r="P110" s="441" t="s">
        <v>12492</v>
      </c>
      <c r="Q110" s="367" t="s">
        <v>12412</v>
      </c>
      <c r="R110" s="734" t="s">
        <v>98</v>
      </c>
      <c r="S110" s="771"/>
      <c r="T110" s="771"/>
      <c r="U110" s="771" t="s">
        <v>12493</v>
      </c>
      <c r="V110" s="772"/>
      <c r="W110" s="773"/>
      <c r="X110" s="734" t="s">
        <v>12496</v>
      </c>
      <c r="Y110" s="345" t="s">
        <v>513</v>
      </c>
      <c r="Z110" s="345">
        <v>2.2984</v>
      </c>
      <c r="AA110" s="345">
        <v>165.4848</v>
      </c>
      <c r="AB110" s="734"/>
      <c r="AC110" s="734"/>
      <c r="AD110" s="367"/>
      <c r="AE110" s="345">
        <v>72</v>
      </c>
      <c r="AF110" s="367"/>
      <c r="AG110" s="367"/>
      <c r="AH110" s="345"/>
      <c r="AI110" s="345">
        <v>72</v>
      </c>
      <c r="AJ110" s="447"/>
      <c r="AK110" s="774"/>
      <c r="AL110" s="447">
        <f t="shared" si="13"/>
        <v>72</v>
      </c>
      <c r="AM110" s="774"/>
      <c r="AN110" s="447"/>
      <c r="AO110" s="763">
        <f t="shared" si="3"/>
        <v>12</v>
      </c>
      <c r="AP110" s="447"/>
      <c r="AQ110" s="447"/>
      <c r="AR110" s="447"/>
      <c r="AS110" s="447"/>
      <c r="AT110" s="447"/>
      <c r="AU110" s="447"/>
      <c r="AV110" s="447"/>
      <c r="AW110" s="447" t="s">
        <v>89</v>
      </c>
      <c r="AX110" s="765"/>
      <c r="AY110" s="766">
        <f t="shared" si="4"/>
        <v>12</v>
      </c>
      <c r="AZ110" s="763">
        <f t="shared" si="5"/>
        <v>12</v>
      </c>
      <c r="BA110" s="763">
        <f t="shared" si="6"/>
        <v>12</v>
      </c>
      <c r="BB110" s="763">
        <f t="shared" si="7"/>
        <v>12</v>
      </c>
      <c r="BC110" s="763">
        <f t="shared" si="8"/>
        <v>12</v>
      </c>
      <c r="BD110" s="763">
        <f t="shared" si="9"/>
        <v>9.6</v>
      </c>
      <c r="BE110" s="767">
        <f t="shared" si="10"/>
        <v>2.4</v>
      </c>
      <c r="BF110" s="775"/>
      <c r="BG110" s="776"/>
      <c r="BH110" s="776"/>
      <c r="BI110" s="776"/>
      <c r="BJ110" s="776"/>
      <c r="BK110" s="777"/>
      <c r="BL110" s="768"/>
      <c r="BM110" s="769">
        <f t="shared" si="11"/>
        <v>72</v>
      </c>
      <c r="BN110" s="770">
        <f t="shared" si="12"/>
        <v>0</v>
      </c>
    </row>
    <row r="111" s="400" customFormat="1" ht="50" customHeight="1" spans="1:66">
      <c r="A111" s="693">
        <v>45621</v>
      </c>
      <c r="B111" s="365" t="s">
        <v>505</v>
      </c>
      <c r="C111" s="365" t="s">
        <v>506</v>
      </c>
      <c r="D111" s="366">
        <v>4500152292</v>
      </c>
      <c r="E111" s="367">
        <v>20357441</v>
      </c>
      <c r="F111" s="366" t="s">
        <v>12498</v>
      </c>
      <c r="G111" s="365" t="s">
        <v>2577</v>
      </c>
      <c r="H111" s="367" t="s">
        <v>2577</v>
      </c>
      <c r="I111" s="367" t="s">
        <v>2578</v>
      </c>
      <c r="J111" s="345">
        <v>1428</v>
      </c>
      <c r="K111" s="345">
        <v>0</v>
      </c>
      <c r="L111" s="345">
        <v>12</v>
      </c>
      <c r="M111" s="345">
        <v>119</v>
      </c>
      <c r="N111" s="353">
        <v>45663</v>
      </c>
      <c r="O111" s="353">
        <v>45659</v>
      </c>
      <c r="P111" s="441" t="s">
        <v>12492</v>
      </c>
      <c r="Q111" s="367" t="s">
        <v>12412</v>
      </c>
      <c r="R111" s="734" t="s">
        <v>98</v>
      </c>
      <c r="S111" s="771"/>
      <c r="T111" s="771"/>
      <c r="U111" s="771" t="s">
        <v>12493</v>
      </c>
      <c r="V111" s="772"/>
      <c r="W111" s="773"/>
      <c r="X111" s="734" t="s">
        <v>12499</v>
      </c>
      <c r="Y111" s="345" t="s">
        <v>513</v>
      </c>
      <c r="Z111" s="345">
        <v>2.2699</v>
      </c>
      <c r="AA111" s="345">
        <v>3241.4172</v>
      </c>
      <c r="AB111" s="734"/>
      <c r="AC111" s="734"/>
      <c r="AD111" s="367"/>
      <c r="AE111" s="345">
        <v>1428</v>
      </c>
      <c r="AF111" s="367"/>
      <c r="AG111" s="367"/>
      <c r="AH111" s="345"/>
      <c r="AI111" s="345">
        <v>1428</v>
      </c>
      <c r="AJ111" s="447"/>
      <c r="AK111" s="774"/>
      <c r="AL111" s="447">
        <f t="shared" si="13"/>
        <v>1428</v>
      </c>
      <c r="AM111" s="774"/>
      <c r="AN111" s="447"/>
      <c r="AO111" s="763">
        <f t="shared" si="3"/>
        <v>238</v>
      </c>
      <c r="AP111" s="447"/>
      <c r="AQ111" s="447"/>
      <c r="AR111" s="447"/>
      <c r="AS111" s="447"/>
      <c r="AT111" s="447"/>
      <c r="AU111" s="447"/>
      <c r="AV111" s="447"/>
      <c r="AW111" s="447" t="s">
        <v>89</v>
      </c>
      <c r="AX111" s="765"/>
      <c r="AY111" s="766">
        <f t="shared" si="4"/>
        <v>238</v>
      </c>
      <c r="AZ111" s="763">
        <f t="shared" si="5"/>
        <v>238</v>
      </c>
      <c r="BA111" s="763">
        <f t="shared" si="6"/>
        <v>238</v>
      </c>
      <c r="BB111" s="763">
        <f t="shared" si="7"/>
        <v>238</v>
      </c>
      <c r="BC111" s="763">
        <f t="shared" si="8"/>
        <v>238</v>
      </c>
      <c r="BD111" s="763">
        <f t="shared" si="9"/>
        <v>190.4</v>
      </c>
      <c r="BE111" s="767">
        <f t="shared" si="10"/>
        <v>47.6</v>
      </c>
      <c r="BF111" s="778"/>
      <c r="BG111" s="779"/>
      <c r="BH111" s="779"/>
      <c r="BI111" s="779"/>
      <c r="BJ111" s="779"/>
      <c r="BK111" s="780"/>
      <c r="BL111" s="768"/>
      <c r="BM111" s="769">
        <f t="shared" si="11"/>
        <v>1428</v>
      </c>
      <c r="BN111" s="770">
        <f t="shared" si="12"/>
        <v>0</v>
      </c>
    </row>
    <row r="112" s="400" customFormat="1" ht="50" customHeight="1" spans="1:66">
      <c r="A112" s="693">
        <v>45621</v>
      </c>
      <c r="B112" s="365" t="s">
        <v>505</v>
      </c>
      <c r="C112" s="365" t="s">
        <v>506</v>
      </c>
      <c r="D112" s="366">
        <v>4500152292</v>
      </c>
      <c r="E112" s="367">
        <v>20357441</v>
      </c>
      <c r="F112" s="366" t="s">
        <v>12500</v>
      </c>
      <c r="G112" s="365" t="s">
        <v>2577</v>
      </c>
      <c r="H112" s="367" t="s">
        <v>2577</v>
      </c>
      <c r="I112" s="367" t="s">
        <v>2578</v>
      </c>
      <c r="J112" s="345">
        <v>1404</v>
      </c>
      <c r="K112" s="345">
        <v>0</v>
      </c>
      <c r="L112" s="345">
        <v>12</v>
      </c>
      <c r="M112" s="345">
        <v>117</v>
      </c>
      <c r="N112" s="353">
        <v>45663</v>
      </c>
      <c r="O112" s="353">
        <v>45659</v>
      </c>
      <c r="P112" s="441" t="s">
        <v>12492</v>
      </c>
      <c r="Q112" s="367" t="s">
        <v>12412</v>
      </c>
      <c r="R112" s="734" t="s">
        <v>98</v>
      </c>
      <c r="S112" s="771"/>
      <c r="T112" s="771"/>
      <c r="U112" s="771" t="s">
        <v>12493</v>
      </c>
      <c r="V112" s="772"/>
      <c r="W112" s="773"/>
      <c r="X112" s="734" t="s">
        <v>12499</v>
      </c>
      <c r="Y112" s="345" t="s">
        <v>513</v>
      </c>
      <c r="Z112" s="345">
        <v>2.2699</v>
      </c>
      <c r="AA112" s="345">
        <v>3186.9396</v>
      </c>
      <c r="AB112" s="734"/>
      <c r="AC112" s="734"/>
      <c r="AD112" s="367"/>
      <c r="AE112" s="345">
        <v>1404</v>
      </c>
      <c r="AF112" s="367"/>
      <c r="AG112" s="367"/>
      <c r="AH112" s="345"/>
      <c r="AI112" s="345">
        <v>1404</v>
      </c>
      <c r="AJ112" s="447"/>
      <c r="AK112" s="774"/>
      <c r="AL112" s="447">
        <f t="shared" si="13"/>
        <v>1404</v>
      </c>
      <c r="AM112" s="774"/>
      <c r="AN112" s="447"/>
      <c r="AO112" s="763">
        <f t="shared" si="3"/>
        <v>234</v>
      </c>
      <c r="AP112" s="447"/>
      <c r="AQ112" s="447"/>
      <c r="AR112" s="447"/>
      <c r="AS112" s="447"/>
      <c r="AT112" s="447"/>
      <c r="AU112" s="447"/>
      <c r="AV112" s="447"/>
      <c r="AW112" s="447" t="s">
        <v>89</v>
      </c>
      <c r="AX112" s="765"/>
      <c r="AY112" s="766">
        <f t="shared" si="4"/>
        <v>234</v>
      </c>
      <c r="AZ112" s="763">
        <f t="shared" si="5"/>
        <v>234</v>
      </c>
      <c r="BA112" s="763">
        <f t="shared" si="6"/>
        <v>234</v>
      </c>
      <c r="BB112" s="763">
        <f t="shared" si="7"/>
        <v>234</v>
      </c>
      <c r="BC112" s="763">
        <f t="shared" si="8"/>
        <v>234</v>
      </c>
      <c r="BD112" s="763">
        <f t="shared" si="9"/>
        <v>187.2</v>
      </c>
      <c r="BE112" s="767">
        <f t="shared" si="10"/>
        <v>46.8</v>
      </c>
      <c r="BF112" s="778"/>
      <c r="BG112" s="779"/>
      <c r="BH112" s="779"/>
      <c r="BI112" s="779"/>
      <c r="BJ112" s="779"/>
      <c r="BK112" s="780"/>
      <c r="BL112" s="768"/>
      <c r="BM112" s="769">
        <f t="shared" si="11"/>
        <v>1404</v>
      </c>
      <c r="BN112" s="770">
        <f t="shared" si="12"/>
        <v>0</v>
      </c>
    </row>
    <row r="113" s="400" customFormat="1" ht="50" customHeight="1" spans="1:73">
      <c r="A113" s="693">
        <v>45621</v>
      </c>
      <c r="B113" s="365" t="s">
        <v>505</v>
      </c>
      <c r="C113" s="365" t="s">
        <v>506</v>
      </c>
      <c r="D113" s="366">
        <v>4500152292</v>
      </c>
      <c r="E113" s="367">
        <v>20357441</v>
      </c>
      <c r="F113" s="366" t="s">
        <v>12501</v>
      </c>
      <c r="G113" s="365" t="s">
        <v>2577</v>
      </c>
      <c r="H113" s="367" t="s">
        <v>2577</v>
      </c>
      <c r="I113" s="367" t="s">
        <v>2578</v>
      </c>
      <c r="J113" s="345">
        <v>1500</v>
      </c>
      <c r="K113" s="345">
        <v>0</v>
      </c>
      <c r="L113" s="345">
        <v>12</v>
      </c>
      <c r="M113" s="345">
        <v>125</v>
      </c>
      <c r="N113" s="353">
        <v>45663</v>
      </c>
      <c r="O113" s="353">
        <v>45659</v>
      </c>
      <c r="P113" s="441" t="s">
        <v>12492</v>
      </c>
      <c r="Q113" s="367" t="s">
        <v>12412</v>
      </c>
      <c r="R113" s="734" t="s">
        <v>98</v>
      </c>
      <c r="S113" s="771"/>
      <c r="T113" s="771"/>
      <c r="U113" s="771" t="s">
        <v>12493</v>
      </c>
      <c r="V113" s="772"/>
      <c r="W113" s="773"/>
      <c r="X113" s="734" t="s">
        <v>12499</v>
      </c>
      <c r="Y113" s="345" t="s">
        <v>513</v>
      </c>
      <c r="Z113" s="345">
        <v>2.2699</v>
      </c>
      <c r="AA113" s="345">
        <v>3404.85</v>
      </c>
      <c r="AB113" s="734"/>
      <c r="AC113" s="734"/>
      <c r="AD113" s="367"/>
      <c r="AE113" s="345">
        <v>1500</v>
      </c>
      <c r="AF113" s="367"/>
      <c r="AG113" s="367"/>
      <c r="AH113" s="345"/>
      <c r="AI113" s="345">
        <v>1500</v>
      </c>
      <c r="AJ113" s="447"/>
      <c r="AK113" s="774"/>
      <c r="AL113" s="447">
        <f t="shared" si="13"/>
        <v>1500</v>
      </c>
      <c r="AM113" s="774"/>
      <c r="AN113" s="447"/>
      <c r="AO113" s="763">
        <f t="shared" si="3"/>
        <v>250</v>
      </c>
      <c r="AP113" s="447"/>
      <c r="AQ113" s="447"/>
      <c r="AR113" s="447"/>
      <c r="AS113" s="447"/>
      <c r="AT113" s="447"/>
      <c r="AU113" s="447"/>
      <c r="AV113" s="447"/>
      <c r="AW113" s="447" t="s">
        <v>89</v>
      </c>
      <c r="AX113" s="765"/>
      <c r="AY113" s="766">
        <f t="shared" si="4"/>
        <v>250</v>
      </c>
      <c r="AZ113" s="763">
        <f t="shared" si="5"/>
        <v>250</v>
      </c>
      <c r="BA113" s="763">
        <f t="shared" si="6"/>
        <v>250</v>
      </c>
      <c r="BB113" s="763">
        <f t="shared" si="7"/>
        <v>250</v>
      </c>
      <c r="BC113" s="763">
        <f t="shared" si="8"/>
        <v>250</v>
      </c>
      <c r="BD113" s="763">
        <f t="shared" si="9"/>
        <v>200</v>
      </c>
      <c r="BE113" s="767">
        <f t="shared" si="10"/>
        <v>50</v>
      </c>
      <c r="BF113" s="778"/>
      <c r="BG113" s="779"/>
      <c r="BH113" s="779"/>
      <c r="BI113" s="779"/>
      <c r="BJ113" s="779"/>
      <c r="BK113" s="780"/>
      <c r="BL113" s="768"/>
      <c r="BM113" s="769">
        <f t="shared" si="11"/>
        <v>1500</v>
      </c>
      <c r="BN113" s="770">
        <f t="shared" si="12"/>
        <v>0</v>
      </c>
    </row>
    <row r="114" s="400" customFormat="1" ht="50" customHeight="1" spans="1:73">
      <c r="A114" s="781">
        <v>45618</v>
      </c>
      <c r="B114" s="349" t="s">
        <v>839</v>
      </c>
      <c r="C114" s="350" t="s">
        <v>840</v>
      </c>
      <c r="D114" s="460">
        <v>4500152016</v>
      </c>
      <c r="E114" s="367">
        <v>20478298</v>
      </c>
      <c r="F114" s="460" t="s">
        <v>12502</v>
      </c>
      <c r="G114" s="367" t="s">
        <v>8290</v>
      </c>
      <c r="H114" s="367" t="s">
        <v>8290</v>
      </c>
      <c r="I114" s="345" t="s">
        <v>8291</v>
      </c>
      <c r="J114" s="345">
        <v>40</v>
      </c>
      <c r="K114" s="345">
        <v>0</v>
      </c>
      <c r="L114" s="345">
        <v>4</v>
      </c>
      <c r="M114" s="345">
        <v>10</v>
      </c>
      <c r="N114" s="353">
        <v>45663</v>
      </c>
      <c r="O114" s="353">
        <v>45659</v>
      </c>
      <c r="P114" s="441" t="s">
        <v>12492</v>
      </c>
      <c r="Q114" s="367" t="s">
        <v>12412</v>
      </c>
      <c r="R114" s="734" t="s">
        <v>98</v>
      </c>
      <c r="S114" s="761"/>
      <c r="T114" s="353"/>
      <c r="U114" s="353" t="s">
        <v>12493</v>
      </c>
      <c r="V114" s="782"/>
      <c r="W114" s="367"/>
      <c r="X114" s="520" t="s">
        <v>12503</v>
      </c>
      <c r="Y114" s="501" t="s">
        <v>513</v>
      </c>
      <c r="Z114" s="345">
        <v>11.4582</v>
      </c>
      <c r="AA114" s="345">
        <v>458.328</v>
      </c>
      <c r="AB114" s="734"/>
      <c r="AC114" s="734"/>
      <c r="AD114" s="367">
        <v>40</v>
      </c>
      <c r="AE114" s="367"/>
      <c r="AF114" s="367"/>
      <c r="AG114" s="345">
        <v>40</v>
      </c>
      <c r="AH114" s="447"/>
      <c r="AI114" s="447">
        <f t="shared" ref="AI114:AI124" si="14">J114</f>
        <v>40</v>
      </c>
      <c r="AJ114" s="447"/>
      <c r="AK114" s="447"/>
      <c r="AL114" s="447" t="s">
        <v>89</v>
      </c>
      <c r="AM114" s="447">
        <f>J114/3</f>
        <v>13.3333333333333</v>
      </c>
      <c r="AN114" s="447">
        <f>J114/3</f>
        <v>13.3333333333333</v>
      </c>
      <c r="AO114" s="447">
        <f>J114/3</f>
        <v>13.3333333333333</v>
      </c>
      <c r="AP114" s="764">
        <f>SUM(AM114:AO114)</f>
        <v>40</v>
      </c>
      <c r="AQ114" s="764">
        <f>J114-AP114</f>
        <v>0</v>
      </c>
    </row>
    <row r="115" s="400" customFormat="1" ht="50" customHeight="1" spans="1:73">
      <c r="A115" s="781">
        <v>45618</v>
      </c>
      <c r="B115" s="349" t="s">
        <v>505</v>
      </c>
      <c r="C115" s="350" t="s">
        <v>506</v>
      </c>
      <c r="D115" s="460">
        <v>4500152006</v>
      </c>
      <c r="E115" s="783">
        <v>20357441</v>
      </c>
      <c r="F115" s="460" t="s">
        <v>12504</v>
      </c>
      <c r="G115" s="367" t="s">
        <v>8290</v>
      </c>
      <c r="H115" s="367" t="s">
        <v>8290</v>
      </c>
      <c r="I115" s="345" t="s">
        <v>8291</v>
      </c>
      <c r="J115" s="345">
        <v>1460</v>
      </c>
      <c r="K115" s="345">
        <v>0</v>
      </c>
      <c r="L115" s="345">
        <v>4</v>
      </c>
      <c r="M115" s="345">
        <v>365</v>
      </c>
      <c r="N115" s="353">
        <v>45663</v>
      </c>
      <c r="O115" s="353">
        <v>45659</v>
      </c>
      <c r="P115" s="441" t="s">
        <v>12492</v>
      </c>
      <c r="Q115" s="367" t="s">
        <v>12412</v>
      </c>
      <c r="R115" s="734" t="s">
        <v>98</v>
      </c>
      <c r="S115" s="761"/>
      <c r="T115" s="353"/>
      <c r="U115" s="353" t="s">
        <v>12493</v>
      </c>
      <c r="V115" s="784"/>
      <c r="W115" s="367"/>
      <c r="X115" s="520" t="s">
        <v>12505</v>
      </c>
      <c r="Y115" s="501" t="s">
        <v>513</v>
      </c>
      <c r="Z115" s="345">
        <v>11.4378</v>
      </c>
      <c r="AA115" s="345">
        <v>16699.188</v>
      </c>
      <c r="AB115" s="734"/>
      <c r="AC115" s="734"/>
      <c r="AD115" s="367">
        <v>1460</v>
      </c>
      <c r="AE115" s="367"/>
      <c r="AF115" s="367"/>
      <c r="AG115" s="345">
        <v>1460</v>
      </c>
      <c r="AH115" s="447"/>
      <c r="AI115" s="447">
        <f t="shared" si="14"/>
        <v>1460</v>
      </c>
      <c r="AJ115" s="447"/>
      <c r="AK115" s="447"/>
      <c r="AL115" s="447" t="s">
        <v>89</v>
      </c>
      <c r="AM115" s="447">
        <f>J115/3</f>
        <v>486.666666666667</v>
      </c>
      <c r="AN115" s="447">
        <f>J115/3</f>
        <v>486.666666666667</v>
      </c>
      <c r="AO115" s="447">
        <f>J115/3</f>
        <v>486.666666666667</v>
      </c>
      <c r="AP115" s="764">
        <f>SUM(AM115:AO115)</f>
        <v>1460</v>
      </c>
      <c r="AQ115" s="764">
        <f>J115-AP115</f>
        <v>0</v>
      </c>
    </row>
    <row r="116" s="401" customFormat="1" ht="50" customHeight="1" spans="1:73">
      <c r="A116" s="785">
        <v>45618</v>
      </c>
      <c r="B116" s="786" t="s">
        <v>505</v>
      </c>
      <c r="C116" s="787" t="s">
        <v>506</v>
      </c>
      <c r="D116" s="788">
        <v>4500152006</v>
      </c>
      <c r="E116" s="783">
        <v>20357441</v>
      </c>
      <c r="F116" s="788" t="s">
        <v>12506</v>
      </c>
      <c r="G116" s="365" t="s">
        <v>2577</v>
      </c>
      <c r="H116" s="440" t="s">
        <v>2577</v>
      </c>
      <c r="I116" s="783" t="s">
        <v>2578</v>
      </c>
      <c r="J116" s="789">
        <v>1476</v>
      </c>
      <c r="K116" s="789">
        <v>0</v>
      </c>
      <c r="L116" s="789">
        <v>12</v>
      </c>
      <c r="M116" s="789">
        <v>123</v>
      </c>
      <c r="N116" s="442">
        <v>45663</v>
      </c>
      <c r="O116" s="442">
        <v>45672</v>
      </c>
      <c r="P116" s="441" t="s">
        <v>12507</v>
      </c>
      <c r="Q116" s="367" t="s">
        <v>12412</v>
      </c>
      <c r="R116" s="734" t="s">
        <v>98</v>
      </c>
      <c r="S116" s="761"/>
      <c r="T116" s="353"/>
      <c r="U116" s="442" t="s">
        <v>12493</v>
      </c>
      <c r="V116" s="762"/>
      <c r="W116" s="440"/>
      <c r="X116" s="624" t="s">
        <v>12508</v>
      </c>
      <c r="Y116" s="580" t="s">
        <v>513</v>
      </c>
      <c r="Z116" s="441">
        <v>2.2937</v>
      </c>
      <c r="AA116" s="441">
        <v>3385.5012</v>
      </c>
      <c r="AB116" s="746"/>
      <c r="AC116" s="746"/>
      <c r="AD116" s="440"/>
      <c r="AE116" s="441">
        <v>1476</v>
      </c>
      <c r="AF116" s="440"/>
      <c r="AG116" s="441"/>
      <c r="AH116" s="444"/>
      <c r="AI116" s="441">
        <v>1476</v>
      </c>
      <c r="AJ116" s="444"/>
      <c r="AK116" s="447"/>
      <c r="AL116" s="444">
        <f>J116</f>
        <v>1476</v>
      </c>
      <c r="AM116" s="447"/>
      <c r="AN116" s="444"/>
      <c r="AO116" s="790">
        <f>J116/6</f>
        <v>246</v>
      </c>
      <c r="AP116" s="760"/>
      <c r="AQ116" s="760"/>
      <c r="AR116" s="444"/>
      <c r="AS116" s="444"/>
      <c r="AT116" s="444"/>
      <c r="AU116" s="444"/>
      <c r="AV116" s="444"/>
      <c r="AW116" s="444" t="s">
        <v>89</v>
      </c>
      <c r="AX116" s="748"/>
      <c r="AY116" s="791">
        <f>J116/60*10</f>
        <v>246</v>
      </c>
      <c r="AZ116" s="790">
        <f>J116/60*10</f>
        <v>246</v>
      </c>
      <c r="BA116" s="790">
        <f>J116/60*10</f>
        <v>246</v>
      </c>
      <c r="BB116" s="790">
        <f>J116/60*10</f>
        <v>246</v>
      </c>
      <c r="BC116" s="790">
        <f>J116/60*10</f>
        <v>246</v>
      </c>
      <c r="BD116" s="790">
        <f>J116/60*8</f>
        <v>196.8</v>
      </c>
      <c r="BE116" s="792">
        <f>J116/60*2</f>
        <v>49.2</v>
      </c>
      <c r="BF116" s="400"/>
      <c r="BG116" s="400"/>
      <c r="BH116" s="400"/>
      <c r="BI116" s="400"/>
      <c r="BJ116" s="400"/>
      <c r="BK116" s="400"/>
      <c r="BL116" s="754"/>
      <c r="BM116" s="793">
        <f>SUM(AY116:BL116)</f>
        <v>1476</v>
      </c>
      <c r="BN116" s="756">
        <f>J116-BM116</f>
        <v>0</v>
      </c>
    </row>
    <row r="117" s="401" customFormat="1" ht="50" customHeight="1" spans="1:73">
      <c r="A117" s="785">
        <v>45618</v>
      </c>
      <c r="B117" s="786" t="s">
        <v>505</v>
      </c>
      <c r="C117" s="787" t="s">
        <v>506</v>
      </c>
      <c r="D117" s="788">
        <v>4500152006</v>
      </c>
      <c r="E117" s="783">
        <v>20357441</v>
      </c>
      <c r="F117" s="788" t="s">
        <v>12509</v>
      </c>
      <c r="G117" s="365" t="s">
        <v>2577</v>
      </c>
      <c r="H117" s="440" t="s">
        <v>2577</v>
      </c>
      <c r="I117" s="783" t="s">
        <v>2578</v>
      </c>
      <c r="J117" s="789">
        <v>1392</v>
      </c>
      <c r="K117" s="789">
        <v>0</v>
      </c>
      <c r="L117" s="789">
        <v>12</v>
      </c>
      <c r="M117" s="789">
        <v>116</v>
      </c>
      <c r="N117" s="442">
        <v>45663</v>
      </c>
      <c r="O117" s="442">
        <v>45672</v>
      </c>
      <c r="P117" s="441" t="s">
        <v>12507</v>
      </c>
      <c r="Q117" s="367" t="s">
        <v>12412</v>
      </c>
      <c r="R117" s="734" t="s">
        <v>98</v>
      </c>
      <c r="S117" s="761"/>
      <c r="T117" s="353"/>
      <c r="U117" s="442" t="s">
        <v>12493</v>
      </c>
      <c r="V117" s="762"/>
      <c r="W117" s="745"/>
      <c r="X117" s="624" t="s">
        <v>12508</v>
      </c>
      <c r="Y117" s="580" t="s">
        <v>513</v>
      </c>
      <c r="Z117" s="441">
        <v>2.2699</v>
      </c>
      <c r="AA117" s="441">
        <v>3159.7008</v>
      </c>
      <c r="AB117" s="746"/>
      <c r="AC117" s="746"/>
      <c r="AD117" s="440"/>
      <c r="AE117" s="441">
        <v>1392</v>
      </c>
      <c r="AF117" s="440"/>
      <c r="AG117" s="440"/>
      <c r="AH117" s="441"/>
      <c r="AI117" s="441">
        <v>1392</v>
      </c>
      <c r="AJ117" s="444"/>
      <c r="AK117" s="774"/>
      <c r="AL117" s="444">
        <f>J117</f>
        <v>1392</v>
      </c>
      <c r="AM117" s="774"/>
      <c r="AN117" s="444"/>
      <c r="AO117" s="790">
        <f>J117/6</f>
        <v>232</v>
      </c>
      <c r="AP117" s="444"/>
      <c r="AQ117" s="444"/>
      <c r="AR117" s="444"/>
      <c r="AS117" s="444"/>
      <c r="AT117" s="444"/>
      <c r="AU117" s="444"/>
      <c r="AV117" s="444"/>
      <c r="AW117" s="444" t="s">
        <v>89</v>
      </c>
      <c r="AX117" s="748"/>
      <c r="AY117" s="791">
        <f>J117/60*10</f>
        <v>232</v>
      </c>
      <c r="AZ117" s="790">
        <f>J117/60*10</f>
        <v>232</v>
      </c>
      <c r="BA117" s="790">
        <f>J117/60*10</f>
        <v>232</v>
      </c>
      <c r="BB117" s="790">
        <f>J117/60*10</f>
        <v>232</v>
      </c>
      <c r="BC117" s="790">
        <f>J117/60*10</f>
        <v>232</v>
      </c>
      <c r="BD117" s="790">
        <f>J117/60*8</f>
        <v>185.6</v>
      </c>
      <c r="BE117" s="792">
        <f>J117/60*2</f>
        <v>46.4</v>
      </c>
      <c r="BF117" s="400"/>
      <c r="BG117" s="400"/>
      <c r="BH117" s="400"/>
      <c r="BI117" s="400"/>
      <c r="BJ117" s="400"/>
      <c r="BK117" s="400"/>
      <c r="BL117" s="754"/>
      <c r="BM117" s="793">
        <f>SUM(AY117:BL117)</f>
        <v>1392</v>
      </c>
      <c r="BN117" s="756">
        <f>J117-BM117</f>
        <v>0</v>
      </c>
    </row>
    <row r="118" s="400" customFormat="1" ht="50" customHeight="1" spans="1:73">
      <c r="A118" s="693">
        <v>45671</v>
      </c>
      <c r="B118" s="365" t="s">
        <v>361</v>
      </c>
      <c r="C118" s="365" t="s">
        <v>91</v>
      </c>
      <c r="D118" s="366">
        <v>4500155812</v>
      </c>
      <c r="E118" s="367" t="s">
        <v>12510</v>
      </c>
      <c r="F118" s="365" t="s">
        <v>12511</v>
      </c>
      <c r="G118" s="367" t="s">
        <v>6218</v>
      </c>
      <c r="H118" s="367" t="s">
        <v>6218</v>
      </c>
      <c r="I118" s="345" t="s">
        <v>6092</v>
      </c>
      <c r="J118" s="345">
        <v>192</v>
      </c>
      <c r="K118" s="345">
        <v>0</v>
      </c>
      <c r="L118" s="345">
        <v>32</v>
      </c>
      <c r="M118" s="345">
        <f t="shared" ref="M118:M181" si="15">J118/L118</f>
        <v>6</v>
      </c>
      <c r="N118" s="353">
        <v>45729</v>
      </c>
      <c r="O118" s="353">
        <v>45726</v>
      </c>
      <c r="P118" s="441" t="s">
        <v>12512</v>
      </c>
      <c r="Q118" s="367" t="s">
        <v>12513</v>
      </c>
      <c r="R118" s="746" t="s">
        <v>12514</v>
      </c>
      <c r="S118" s="794">
        <f t="shared" ref="S118:S123" si="16">M118</f>
        <v>6</v>
      </c>
      <c r="T118" s="771"/>
      <c r="U118" s="771" t="s">
        <v>98</v>
      </c>
      <c r="V118" s="771" t="s">
        <v>2534</v>
      </c>
      <c r="W118" s="773" t="s">
        <v>6482</v>
      </c>
      <c r="X118" s="734" t="s">
        <v>6483</v>
      </c>
      <c r="Y118" s="366" t="s">
        <v>369</v>
      </c>
      <c r="Z118" s="795">
        <v>2.3647</v>
      </c>
      <c r="AA118" s="345">
        <f>Z118*J118</f>
        <v>454.0224</v>
      </c>
      <c r="AB118" s="796"/>
      <c r="AC118" s="734"/>
      <c r="AD118" s="367">
        <f t="shared" ref="AD118:AD124" si="17">J118</f>
        <v>192</v>
      </c>
      <c r="AE118" s="367"/>
      <c r="AF118" s="367"/>
      <c r="AG118" s="345">
        <f t="shared" ref="AG118:AG124" si="18">J118</f>
        <v>192</v>
      </c>
      <c r="AH118" s="447"/>
      <c r="AI118" s="447">
        <f t="shared" si="14"/>
        <v>192</v>
      </c>
      <c r="AJ118" s="447"/>
      <c r="AK118" s="447"/>
      <c r="AL118" s="447"/>
      <c r="AM118" s="447"/>
      <c r="AN118" s="447"/>
      <c r="AO118" s="447"/>
      <c r="AP118" s="447"/>
      <c r="AQ118" s="447"/>
      <c r="AR118" s="447"/>
      <c r="AS118" s="447" t="s">
        <v>89</v>
      </c>
      <c r="AT118" s="447"/>
      <c r="AU118" s="447"/>
      <c r="AV118" s="447"/>
      <c r="AW118" s="447"/>
      <c r="AX118" s="447"/>
      <c r="AY118" s="797">
        <f t="shared" ref="AY118:AY123" si="19">J118</f>
        <v>192</v>
      </c>
      <c r="AZ118" s="764"/>
      <c r="BA118" s="764">
        <f t="shared" ref="BA118:BA124" si="20">SUM(AT118:AZ118)</f>
        <v>192</v>
      </c>
      <c r="BB118" s="764">
        <f t="shared" ref="BB118:BB124" si="21">J118-BA118</f>
        <v>0</v>
      </c>
    </row>
    <row r="119" s="400" customFormat="1" ht="50" customHeight="1" spans="1:73">
      <c r="A119" s="693">
        <v>45671</v>
      </c>
      <c r="B119" s="365" t="s">
        <v>361</v>
      </c>
      <c r="C119" s="365" t="s">
        <v>91</v>
      </c>
      <c r="D119" s="366">
        <v>4500155812</v>
      </c>
      <c r="E119" s="367" t="s">
        <v>12515</v>
      </c>
      <c r="F119" s="365" t="s">
        <v>12516</v>
      </c>
      <c r="G119" s="367" t="s">
        <v>6218</v>
      </c>
      <c r="H119" s="367" t="s">
        <v>6218</v>
      </c>
      <c r="I119" s="345" t="s">
        <v>6092</v>
      </c>
      <c r="J119" s="345">
        <v>416</v>
      </c>
      <c r="K119" s="345">
        <v>0</v>
      </c>
      <c r="L119" s="345">
        <v>32</v>
      </c>
      <c r="M119" s="345">
        <f t="shared" si="15"/>
        <v>13</v>
      </c>
      <c r="N119" s="353">
        <v>45729</v>
      </c>
      <c r="O119" s="353">
        <v>45726</v>
      </c>
      <c r="P119" s="441" t="s">
        <v>12512</v>
      </c>
      <c r="Q119" s="367" t="s">
        <v>12513</v>
      </c>
      <c r="R119" s="746" t="s">
        <v>12514</v>
      </c>
      <c r="S119" s="794">
        <f t="shared" si="16"/>
        <v>13</v>
      </c>
      <c r="T119" s="771"/>
      <c r="U119" s="771" t="s">
        <v>98</v>
      </c>
      <c r="V119" s="771" t="s">
        <v>2534</v>
      </c>
      <c r="W119" s="773" t="s">
        <v>6482</v>
      </c>
      <c r="X119" s="734" t="s">
        <v>6483</v>
      </c>
      <c r="Y119" s="366" t="s">
        <v>369</v>
      </c>
      <c r="Z119" s="795">
        <v>2.3647</v>
      </c>
      <c r="AA119" s="345">
        <f>Z119*J119</f>
        <v>983.7152</v>
      </c>
      <c r="AB119" s="796"/>
      <c r="AC119" s="734"/>
      <c r="AD119" s="367">
        <f t="shared" si="17"/>
        <v>416</v>
      </c>
      <c r="AE119" s="367"/>
      <c r="AF119" s="367"/>
      <c r="AG119" s="345">
        <f t="shared" si="18"/>
        <v>416</v>
      </c>
      <c r="AH119" s="447"/>
      <c r="AI119" s="447">
        <f t="shared" si="14"/>
        <v>416</v>
      </c>
      <c r="AJ119" s="447"/>
      <c r="AK119" s="447"/>
      <c r="AL119" s="447"/>
      <c r="AM119" s="447"/>
      <c r="AN119" s="447"/>
      <c r="AO119" s="447"/>
      <c r="AP119" s="447"/>
      <c r="AQ119" s="447"/>
      <c r="AR119" s="447"/>
      <c r="AS119" s="447" t="s">
        <v>89</v>
      </c>
      <c r="AT119" s="447"/>
      <c r="AU119" s="447"/>
      <c r="AV119" s="447"/>
      <c r="AW119" s="447"/>
      <c r="AX119" s="447"/>
      <c r="AY119" s="797">
        <f t="shared" si="19"/>
        <v>416</v>
      </c>
      <c r="AZ119" s="764"/>
      <c r="BA119" s="764">
        <f t="shared" si="20"/>
        <v>416</v>
      </c>
      <c r="BB119" s="764">
        <f t="shared" si="21"/>
        <v>0</v>
      </c>
    </row>
    <row r="120" s="400" customFormat="1" ht="50" customHeight="1" spans="1:73">
      <c r="A120" s="693">
        <v>45671</v>
      </c>
      <c r="B120" s="365" t="s">
        <v>361</v>
      </c>
      <c r="C120" s="365" t="s">
        <v>91</v>
      </c>
      <c r="D120" s="366">
        <v>4500155812</v>
      </c>
      <c r="E120" s="367" t="s">
        <v>12517</v>
      </c>
      <c r="F120" s="365" t="s">
        <v>12518</v>
      </c>
      <c r="G120" s="367" t="s">
        <v>6241</v>
      </c>
      <c r="H120" s="367" t="s">
        <v>6241</v>
      </c>
      <c r="I120" s="345" t="s">
        <v>6242</v>
      </c>
      <c r="J120" s="345">
        <v>512</v>
      </c>
      <c r="K120" s="345">
        <v>0</v>
      </c>
      <c r="L120" s="345">
        <v>32</v>
      </c>
      <c r="M120" s="345">
        <f t="shared" si="15"/>
        <v>16</v>
      </c>
      <c r="N120" s="353">
        <v>45729</v>
      </c>
      <c r="O120" s="353">
        <v>45726</v>
      </c>
      <c r="P120" s="441" t="s">
        <v>12512</v>
      </c>
      <c r="Q120" s="367" t="s">
        <v>12513</v>
      </c>
      <c r="R120" s="734"/>
      <c r="S120" s="794">
        <f t="shared" si="16"/>
        <v>16</v>
      </c>
      <c r="T120" s="771"/>
      <c r="U120" s="771" t="s">
        <v>98</v>
      </c>
      <c r="V120" s="771" t="s">
        <v>2534</v>
      </c>
      <c r="W120" s="773" t="s">
        <v>6482</v>
      </c>
      <c r="X120" s="734" t="s">
        <v>6483</v>
      </c>
      <c r="Y120" s="366" t="s">
        <v>369</v>
      </c>
      <c r="Z120" s="345">
        <v>2.3647</v>
      </c>
      <c r="AA120" s="345">
        <v>1210.7264</v>
      </c>
      <c r="AB120" s="796"/>
      <c r="AC120" s="734"/>
      <c r="AD120" s="367">
        <f t="shared" si="17"/>
        <v>512</v>
      </c>
      <c r="AE120" s="367"/>
      <c r="AF120" s="367"/>
      <c r="AG120" s="345">
        <f t="shared" si="18"/>
        <v>512</v>
      </c>
      <c r="AH120" s="447"/>
      <c r="AI120" s="447">
        <f t="shared" si="14"/>
        <v>512</v>
      </c>
      <c r="AJ120" s="447"/>
      <c r="AK120" s="447"/>
      <c r="AL120" s="447"/>
      <c r="AM120" s="447"/>
      <c r="AN120" s="447"/>
      <c r="AO120" s="447"/>
      <c r="AP120" s="447"/>
      <c r="AQ120" s="447"/>
      <c r="AR120" s="447"/>
      <c r="AS120" s="447" t="s">
        <v>89</v>
      </c>
      <c r="AT120" s="447"/>
      <c r="AU120" s="447"/>
      <c r="AV120" s="447"/>
      <c r="AW120" s="447"/>
      <c r="AX120" s="447">
        <f>J120</f>
        <v>512</v>
      </c>
      <c r="AY120" s="797"/>
      <c r="AZ120" s="764"/>
      <c r="BA120" s="764">
        <f t="shared" si="20"/>
        <v>512</v>
      </c>
      <c r="BB120" s="764">
        <f t="shared" si="21"/>
        <v>0</v>
      </c>
    </row>
    <row r="121" s="400" customFormat="1" ht="50" customHeight="1" spans="1:73">
      <c r="A121" s="693">
        <v>45671</v>
      </c>
      <c r="B121" s="365" t="s">
        <v>361</v>
      </c>
      <c r="C121" s="365" t="s">
        <v>91</v>
      </c>
      <c r="D121" s="366">
        <v>4500155812</v>
      </c>
      <c r="E121" s="367" t="s">
        <v>12519</v>
      </c>
      <c r="F121" s="365" t="s">
        <v>12520</v>
      </c>
      <c r="G121" s="367" t="s">
        <v>6281</v>
      </c>
      <c r="H121" s="367" t="s">
        <v>6281</v>
      </c>
      <c r="I121" s="367" t="s">
        <v>6292</v>
      </c>
      <c r="J121" s="345">
        <v>128</v>
      </c>
      <c r="K121" s="345">
        <v>0</v>
      </c>
      <c r="L121" s="345">
        <v>32</v>
      </c>
      <c r="M121" s="345">
        <f t="shared" si="15"/>
        <v>4</v>
      </c>
      <c r="N121" s="353">
        <v>45729</v>
      </c>
      <c r="O121" s="353">
        <v>45726</v>
      </c>
      <c r="P121" s="441" t="s">
        <v>12512</v>
      </c>
      <c r="Q121" s="367" t="s">
        <v>12513</v>
      </c>
      <c r="R121" s="734"/>
      <c r="S121" s="794">
        <f t="shared" si="16"/>
        <v>4</v>
      </c>
      <c r="T121" s="771"/>
      <c r="U121" s="771" t="s">
        <v>98</v>
      </c>
      <c r="V121" s="771" t="s">
        <v>2534</v>
      </c>
      <c r="W121" s="773" t="s">
        <v>6482</v>
      </c>
      <c r="X121" s="734" t="s">
        <v>6483</v>
      </c>
      <c r="Y121" s="366" t="s">
        <v>369</v>
      </c>
      <c r="Z121" s="795">
        <v>2.3647</v>
      </c>
      <c r="AA121" s="345">
        <f t="shared" ref="AA121:AA150" si="22">Z121*J121</f>
        <v>302.6816</v>
      </c>
      <c r="AB121" s="796"/>
      <c r="AC121" s="734"/>
      <c r="AD121" s="367">
        <f t="shared" si="17"/>
        <v>128</v>
      </c>
      <c r="AE121" s="367"/>
      <c r="AF121" s="367"/>
      <c r="AG121" s="345">
        <f t="shared" si="18"/>
        <v>128</v>
      </c>
      <c r="AH121" s="447"/>
      <c r="AI121" s="447">
        <f t="shared" si="14"/>
        <v>128</v>
      </c>
      <c r="AJ121" s="447"/>
      <c r="AK121" s="447"/>
      <c r="AL121" s="447"/>
      <c r="AM121" s="447"/>
      <c r="AN121" s="447"/>
      <c r="AO121" s="447"/>
      <c r="AP121" s="447"/>
      <c r="AQ121" s="447"/>
      <c r="AR121" s="447"/>
      <c r="AS121" s="447" t="s">
        <v>89</v>
      </c>
      <c r="AT121" s="447"/>
      <c r="AU121" s="447">
        <f>J121</f>
        <v>128</v>
      </c>
      <c r="AV121" s="447"/>
      <c r="AW121" s="447"/>
      <c r="AX121" s="447"/>
      <c r="AY121" s="797"/>
      <c r="AZ121" s="764"/>
      <c r="BA121" s="764">
        <f t="shared" si="20"/>
        <v>128</v>
      </c>
      <c r="BB121" s="764">
        <f t="shared" si="21"/>
        <v>0</v>
      </c>
    </row>
    <row r="122" s="400" customFormat="1" ht="50" customHeight="1" spans="1:73">
      <c r="A122" s="693">
        <v>45670</v>
      </c>
      <c r="B122" s="365" t="s">
        <v>361</v>
      </c>
      <c r="C122" s="365" t="s">
        <v>91</v>
      </c>
      <c r="D122" s="366">
        <v>4500155806</v>
      </c>
      <c r="E122" s="367" t="s">
        <v>12521</v>
      </c>
      <c r="F122" s="365" t="s">
        <v>12522</v>
      </c>
      <c r="G122" s="367" t="s">
        <v>6218</v>
      </c>
      <c r="H122" s="367" t="s">
        <v>6218</v>
      </c>
      <c r="I122" s="345" t="s">
        <v>6092</v>
      </c>
      <c r="J122" s="345">
        <v>128</v>
      </c>
      <c r="K122" s="345">
        <v>0</v>
      </c>
      <c r="L122" s="345">
        <v>32</v>
      </c>
      <c r="M122" s="345">
        <f t="shared" si="15"/>
        <v>4</v>
      </c>
      <c r="N122" s="353">
        <v>45729</v>
      </c>
      <c r="O122" s="353">
        <v>45726</v>
      </c>
      <c r="P122" s="441" t="s">
        <v>12512</v>
      </c>
      <c r="Q122" s="367" t="s">
        <v>12513</v>
      </c>
      <c r="R122" s="746" t="s">
        <v>12514</v>
      </c>
      <c r="S122" s="798">
        <f t="shared" si="16"/>
        <v>4</v>
      </c>
      <c r="T122" s="703"/>
      <c r="U122" s="771" t="s">
        <v>98</v>
      </c>
      <c r="V122" s="771" t="s">
        <v>2534</v>
      </c>
      <c r="W122" s="773" t="s">
        <v>6417</v>
      </c>
      <c r="X122" s="734" t="s">
        <v>6489</v>
      </c>
      <c r="Y122" s="366" t="s">
        <v>369</v>
      </c>
      <c r="Z122" s="795">
        <v>2.3647</v>
      </c>
      <c r="AA122" s="345">
        <f t="shared" si="22"/>
        <v>302.6816</v>
      </c>
      <c r="AB122" s="796"/>
      <c r="AC122" s="734"/>
      <c r="AD122" s="367">
        <f t="shared" si="17"/>
        <v>128</v>
      </c>
      <c r="AE122" s="367"/>
      <c r="AF122" s="367"/>
      <c r="AG122" s="345">
        <f t="shared" si="18"/>
        <v>128</v>
      </c>
      <c r="AH122" s="447"/>
      <c r="AI122" s="447">
        <f t="shared" si="14"/>
        <v>128</v>
      </c>
      <c r="AJ122" s="447"/>
      <c r="AK122" s="447"/>
      <c r="AL122" s="447"/>
      <c r="AM122" s="447"/>
      <c r="AN122" s="447"/>
      <c r="AO122" s="447"/>
      <c r="AP122" s="447"/>
      <c r="AQ122" s="447"/>
      <c r="AR122" s="447"/>
      <c r="AS122" s="447" t="s">
        <v>89</v>
      </c>
      <c r="AT122" s="447"/>
      <c r="AU122" s="447"/>
      <c r="AV122" s="447"/>
      <c r="AW122" s="447"/>
      <c r="AX122" s="447"/>
      <c r="AY122" s="797">
        <f t="shared" si="19"/>
        <v>128</v>
      </c>
      <c r="AZ122" s="764"/>
      <c r="BA122" s="764">
        <f t="shared" si="20"/>
        <v>128</v>
      </c>
      <c r="BB122" s="764">
        <f t="shared" si="21"/>
        <v>0</v>
      </c>
    </row>
    <row r="123" s="400" customFormat="1" ht="50" customHeight="1" spans="1:73">
      <c r="A123" s="693">
        <v>45670</v>
      </c>
      <c r="B123" s="365" t="s">
        <v>361</v>
      </c>
      <c r="C123" s="365" t="s">
        <v>91</v>
      </c>
      <c r="D123" s="366">
        <v>4500155806</v>
      </c>
      <c r="E123" s="367" t="s">
        <v>12523</v>
      </c>
      <c r="F123" s="365" t="s">
        <v>12524</v>
      </c>
      <c r="G123" s="367" t="s">
        <v>6218</v>
      </c>
      <c r="H123" s="367" t="s">
        <v>6218</v>
      </c>
      <c r="I123" s="345" t="s">
        <v>6092</v>
      </c>
      <c r="J123" s="345">
        <v>32</v>
      </c>
      <c r="K123" s="345">
        <v>0</v>
      </c>
      <c r="L123" s="345">
        <v>32</v>
      </c>
      <c r="M123" s="345">
        <f t="shared" si="15"/>
        <v>1</v>
      </c>
      <c r="N123" s="353">
        <v>45729</v>
      </c>
      <c r="O123" s="353">
        <v>45726</v>
      </c>
      <c r="P123" s="441" t="s">
        <v>12512</v>
      </c>
      <c r="Q123" s="367" t="s">
        <v>12513</v>
      </c>
      <c r="R123" s="746" t="s">
        <v>12514</v>
      </c>
      <c r="S123" s="798">
        <f t="shared" si="16"/>
        <v>1</v>
      </c>
      <c r="T123" s="703"/>
      <c r="U123" s="771" t="s">
        <v>98</v>
      </c>
      <c r="V123" s="771" t="s">
        <v>2534</v>
      </c>
      <c r="W123" s="773" t="s">
        <v>6417</v>
      </c>
      <c r="X123" s="734" t="s">
        <v>6489</v>
      </c>
      <c r="Y123" s="366" t="s">
        <v>369</v>
      </c>
      <c r="Z123" s="795">
        <v>2.3647</v>
      </c>
      <c r="AA123" s="345">
        <f t="shared" si="22"/>
        <v>75.6704</v>
      </c>
      <c r="AB123" s="796"/>
      <c r="AC123" s="734"/>
      <c r="AD123" s="367">
        <f t="shared" si="17"/>
        <v>32</v>
      </c>
      <c r="AE123" s="367"/>
      <c r="AF123" s="367"/>
      <c r="AG123" s="345">
        <f t="shared" si="18"/>
        <v>32</v>
      </c>
      <c r="AH123" s="447"/>
      <c r="AI123" s="447">
        <f t="shared" si="14"/>
        <v>32</v>
      </c>
      <c r="AJ123" s="447"/>
      <c r="AK123" s="447"/>
      <c r="AL123" s="447"/>
      <c r="AM123" s="447"/>
      <c r="AN123" s="447"/>
      <c r="AO123" s="447"/>
      <c r="AP123" s="447"/>
      <c r="AQ123" s="447"/>
      <c r="AR123" s="447"/>
      <c r="AS123" s="447" t="s">
        <v>89</v>
      </c>
      <c r="AT123" s="447"/>
      <c r="AU123" s="447"/>
      <c r="AV123" s="447"/>
      <c r="AW123" s="447"/>
      <c r="AX123" s="447"/>
      <c r="AY123" s="797">
        <f t="shared" si="19"/>
        <v>32</v>
      </c>
      <c r="AZ123" s="764"/>
      <c r="BA123" s="764">
        <f t="shared" si="20"/>
        <v>32</v>
      </c>
      <c r="BB123" s="764">
        <f t="shared" si="21"/>
        <v>0</v>
      </c>
    </row>
    <row r="124" s="400" customFormat="1" ht="50" customHeight="1" spans="1:73">
      <c r="A124" s="693">
        <v>45652</v>
      </c>
      <c r="B124" s="365" t="s">
        <v>3672</v>
      </c>
      <c r="C124" s="365" t="s">
        <v>91</v>
      </c>
      <c r="D124" s="345">
        <v>4500154762</v>
      </c>
      <c r="E124" s="367">
        <v>32806923</v>
      </c>
      <c r="F124" s="367" t="s">
        <v>12525</v>
      </c>
      <c r="G124" s="367" t="s">
        <v>6298</v>
      </c>
      <c r="H124" s="367" t="s">
        <v>6298</v>
      </c>
      <c r="I124" s="345" t="s">
        <v>6063</v>
      </c>
      <c r="J124" s="345">
        <v>12452</v>
      </c>
      <c r="K124" s="345">
        <v>0</v>
      </c>
      <c r="L124" s="345">
        <v>4</v>
      </c>
      <c r="M124" s="345">
        <f t="shared" si="15"/>
        <v>3113</v>
      </c>
      <c r="N124" s="353">
        <v>45860</v>
      </c>
      <c r="O124" s="353">
        <v>45856</v>
      </c>
      <c r="P124" s="441" t="s">
        <v>12526</v>
      </c>
      <c r="Q124" s="367" t="s">
        <v>12412</v>
      </c>
      <c r="R124" s="734"/>
      <c r="S124" s="798"/>
      <c r="T124" s="703"/>
      <c r="U124" s="799" t="s">
        <v>12527</v>
      </c>
      <c r="V124" s="800" t="s">
        <v>12528</v>
      </c>
      <c r="W124" s="345" t="s">
        <v>12529</v>
      </c>
      <c r="X124" s="734" t="s">
        <v>12530</v>
      </c>
      <c r="Y124" s="366" t="s">
        <v>6319</v>
      </c>
      <c r="Z124" s="345">
        <v>2.3916</v>
      </c>
      <c r="AA124" s="345">
        <f t="shared" si="22"/>
        <v>29780.2032</v>
      </c>
      <c r="AB124" s="796"/>
      <c r="AC124" s="734"/>
      <c r="AD124" s="367">
        <f t="shared" si="17"/>
        <v>12452</v>
      </c>
      <c r="AE124" s="367"/>
      <c r="AF124" s="367"/>
      <c r="AG124" s="345">
        <f t="shared" si="18"/>
        <v>12452</v>
      </c>
      <c r="AH124" s="447"/>
      <c r="AI124" s="447">
        <f t="shared" si="14"/>
        <v>12452</v>
      </c>
      <c r="AJ124" s="447"/>
      <c r="AK124" s="447"/>
      <c r="AL124" s="447"/>
      <c r="AM124" s="447"/>
      <c r="AN124" s="447">
        <f>J124/4</f>
        <v>3113</v>
      </c>
      <c r="AO124" s="447"/>
      <c r="AP124" s="447"/>
      <c r="AQ124" s="447"/>
      <c r="AR124" s="447"/>
      <c r="AS124" s="447" t="s">
        <v>89</v>
      </c>
      <c r="AT124" s="447">
        <f>J124/60*2</f>
        <v>415.066666666667</v>
      </c>
      <c r="AU124" s="447">
        <f>J124/60*10</f>
        <v>2075.33333333333</v>
      </c>
      <c r="AV124" s="447">
        <f>J124/60*10</f>
        <v>2075.33333333333</v>
      </c>
      <c r="AW124" s="447">
        <f>J124/60*8</f>
        <v>1660.26666666667</v>
      </c>
      <c r="AX124" s="447">
        <f>J124/60*10</f>
        <v>2075.33333333333</v>
      </c>
      <c r="AY124" s="797">
        <f>J124/60*10</f>
        <v>2075.33333333333</v>
      </c>
      <c r="AZ124" s="764">
        <f>J124/60*10</f>
        <v>2075.33333333333</v>
      </c>
      <c r="BA124" s="764">
        <f t="shared" si="20"/>
        <v>12452</v>
      </c>
      <c r="BB124" s="764">
        <f t="shared" si="21"/>
        <v>0</v>
      </c>
    </row>
    <row r="125" s="251" customFormat="1" ht="50" customHeight="1" spans="1:73">
      <c r="A125" s="801">
        <v>45726</v>
      </c>
      <c r="B125" s="331" t="s">
        <v>2285</v>
      </c>
      <c r="C125" s="324" t="s">
        <v>351</v>
      </c>
      <c r="D125" s="332">
        <v>4500159526</v>
      </c>
      <c r="E125" s="324" t="s">
        <v>12531</v>
      </c>
      <c r="F125" s="332" t="s">
        <v>12532</v>
      </c>
      <c r="G125" s="324" t="s">
        <v>2577</v>
      </c>
      <c r="H125" s="324" t="s">
        <v>2577</v>
      </c>
      <c r="I125" s="333" t="s">
        <v>2591</v>
      </c>
      <c r="J125" s="333">
        <v>2172</v>
      </c>
      <c r="K125" s="333">
        <v>0</v>
      </c>
      <c r="L125" s="333">
        <v>12</v>
      </c>
      <c r="M125" s="333">
        <f t="shared" si="15"/>
        <v>181</v>
      </c>
      <c r="N125" s="334">
        <v>45775</v>
      </c>
      <c r="O125" s="334">
        <v>45771</v>
      </c>
      <c r="P125" s="369"/>
      <c r="Q125" s="363" t="s">
        <v>12533</v>
      </c>
      <c r="R125" s="454"/>
      <c r="S125" s="454"/>
      <c r="T125" s="454"/>
      <c r="U125" s="454" t="s">
        <v>3586</v>
      </c>
      <c r="V125" s="802"/>
      <c r="W125" s="803" t="s">
        <v>3346</v>
      </c>
      <c r="X125" s="323" t="s">
        <v>12534</v>
      </c>
      <c r="Y125" s="804" t="s">
        <v>1199</v>
      </c>
      <c r="Z125" s="333">
        <v>2.1809</v>
      </c>
      <c r="AA125" s="333">
        <f t="shared" si="22"/>
        <v>4736.9148</v>
      </c>
      <c r="AB125" s="323"/>
      <c r="AC125" s="323" t="s">
        <v>416</v>
      </c>
      <c r="AD125" s="323"/>
      <c r="AE125" s="323"/>
      <c r="AF125" s="324"/>
      <c r="AG125" s="333"/>
      <c r="AH125" s="324">
        <f>J125</f>
        <v>2172</v>
      </c>
      <c r="AI125" s="324"/>
      <c r="AJ125" s="333"/>
      <c r="AK125" s="340"/>
      <c r="AL125" s="340">
        <f t="shared" ref="AL125:AL136" si="23">J125</f>
        <v>2172</v>
      </c>
      <c r="AM125" s="340"/>
      <c r="AN125" s="340"/>
      <c r="AO125" s="340">
        <f>J125</f>
        <v>2172</v>
      </c>
      <c r="AP125" s="340"/>
      <c r="AQ125" s="340"/>
      <c r="AR125" s="340"/>
      <c r="AS125" s="340">
        <f>J125/6</f>
        <v>362</v>
      </c>
      <c r="AT125" s="340"/>
      <c r="AU125" s="340"/>
      <c r="AV125" s="340"/>
      <c r="AW125" s="340"/>
      <c r="AX125" s="340"/>
      <c r="AY125" s="340"/>
      <c r="AZ125" s="340"/>
      <c r="BA125" s="340" t="s">
        <v>89</v>
      </c>
      <c r="BB125" s="340"/>
      <c r="BC125" s="805">
        <f>J125/60*10</f>
        <v>362</v>
      </c>
      <c r="BD125" s="806">
        <f>J125/60*10</f>
        <v>362</v>
      </c>
      <c r="BE125" s="805">
        <f>J125/60*10</f>
        <v>362</v>
      </c>
      <c r="BF125" s="340">
        <f>J125/60*10</f>
        <v>362</v>
      </c>
      <c r="BG125" s="806">
        <f>J125/60*10</f>
        <v>362</v>
      </c>
      <c r="BH125" s="340">
        <f>J125/60*8</f>
        <v>289.6</v>
      </c>
      <c r="BI125" s="340">
        <f>J125/60*2</f>
        <v>72.4</v>
      </c>
      <c r="BO125" s="400"/>
      <c r="BP125" s="400"/>
      <c r="BQ125" s="400"/>
      <c r="BR125" s="400"/>
      <c r="BS125" s="400"/>
      <c r="BT125" s="400"/>
      <c r="BU125" s="400"/>
    </row>
    <row r="126" s="251" customFormat="1" ht="50" customHeight="1" spans="1:73">
      <c r="A126" s="801">
        <v>45726</v>
      </c>
      <c r="B126" s="331" t="s">
        <v>2285</v>
      </c>
      <c r="C126" s="324" t="s">
        <v>351</v>
      </c>
      <c r="D126" s="332">
        <v>4500159526</v>
      </c>
      <c r="E126" s="324" t="s">
        <v>3515</v>
      </c>
      <c r="F126" s="332" t="s">
        <v>12535</v>
      </c>
      <c r="G126" s="324" t="s">
        <v>2577</v>
      </c>
      <c r="H126" s="324" t="s">
        <v>2577</v>
      </c>
      <c r="I126" s="333" t="s">
        <v>2591</v>
      </c>
      <c r="J126" s="333">
        <v>852</v>
      </c>
      <c r="K126" s="333">
        <v>0</v>
      </c>
      <c r="L126" s="333">
        <v>12</v>
      </c>
      <c r="M126" s="333">
        <f t="shared" si="15"/>
        <v>71</v>
      </c>
      <c r="N126" s="334">
        <v>45775</v>
      </c>
      <c r="O126" s="334">
        <v>45771</v>
      </c>
      <c r="P126" s="369"/>
      <c r="Q126" s="363" t="s">
        <v>12533</v>
      </c>
      <c r="R126" s="454"/>
      <c r="S126" s="454"/>
      <c r="T126" s="454"/>
      <c r="U126" s="454" t="s">
        <v>3586</v>
      </c>
      <c r="V126" s="802"/>
      <c r="W126" s="803" t="s">
        <v>3346</v>
      </c>
      <c r="X126" s="323" t="s">
        <v>12534</v>
      </c>
      <c r="Y126" s="804" t="s">
        <v>1199</v>
      </c>
      <c r="Z126" s="333">
        <v>2.1809</v>
      </c>
      <c r="AA126" s="333">
        <f t="shared" si="22"/>
        <v>1858.1268</v>
      </c>
      <c r="AB126" s="323"/>
      <c r="AC126" s="323" t="s">
        <v>416</v>
      </c>
      <c r="AD126" s="323"/>
      <c r="AE126" s="323"/>
      <c r="AF126" s="324"/>
      <c r="AG126" s="333"/>
      <c r="AH126" s="324">
        <f>J126</f>
        <v>852</v>
      </c>
      <c r="AI126" s="324"/>
      <c r="AJ126" s="333"/>
      <c r="AK126" s="340"/>
      <c r="AL126" s="340">
        <f t="shared" si="23"/>
        <v>852</v>
      </c>
      <c r="AM126" s="340"/>
      <c r="AN126" s="340"/>
      <c r="AO126" s="340">
        <f>J126</f>
        <v>852</v>
      </c>
      <c r="AP126" s="340"/>
      <c r="AQ126" s="340"/>
      <c r="AR126" s="340"/>
      <c r="AS126" s="340">
        <f>J126/6</f>
        <v>142</v>
      </c>
      <c r="AT126" s="340"/>
      <c r="AU126" s="340"/>
      <c r="AV126" s="340"/>
      <c r="AW126" s="340"/>
      <c r="AX126" s="340"/>
      <c r="AY126" s="340"/>
      <c r="AZ126" s="340"/>
      <c r="BA126" s="340" t="s">
        <v>89</v>
      </c>
      <c r="BB126" s="340"/>
      <c r="BC126" s="805">
        <f>J126/60*10</f>
        <v>142</v>
      </c>
      <c r="BD126" s="806">
        <f>J126/60*10</f>
        <v>142</v>
      </c>
      <c r="BE126" s="805">
        <f>J126/60*10</f>
        <v>142</v>
      </c>
      <c r="BF126" s="340">
        <f>J126/60*10</f>
        <v>142</v>
      </c>
      <c r="BG126" s="806">
        <f>J126/60*10</f>
        <v>142</v>
      </c>
      <c r="BH126" s="340">
        <f>J126/60*8</f>
        <v>113.6</v>
      </c>
      <c r="BI126" s="340">
        <f>J126/60*2</f>
        <v>28.4</v>
      </c>
      <c r="BO126" s="400"/>
      <c r="BP126" s="400"/>
      <c r="BQ126" s="400"/>
      <c r="BR126" s="400"/>
      <c r="BS126" s="400"/>
      <c r="BT126" s="400"/>
      <c r="BU126" s="400"/>
    </row>
    <row r="127" s="251" customFormat="1" ht="50" customHeight="1" spans="1:73">
      <c r="A127" s="801">
        <v>45726</v>
      </c>
      <c r="B127" s="331" t="s">
        <v>2285</v>
      </c>
      <c r="C127" s="324" t="s">
        <v>351</v>
      </c>
      <c r="D127" s="332">
        <v>4500159461</v>
      </c>
      <c r="E127" s="251" t="s">
        <v>3330</v>
      </c>
      <c r="F127" s="332" t="s">
        <v>12536</v>
      </c>
      <c r="G127" s="324" t="s">
        <v>2577</v>
      </c>
      <c r="H127" s="324" t="s">
        <v>2577</v>
      </c>
      <c r="I127" s="324" t="s">
        <v>2591</v>
      </c>
      <c r="J127" s="333">
        <v>3852</v>
      </c>
      <c r="K127" s="333">
        <v>0</v>
      </c>
      <c r="L127" s="333">
        <v>12</v>
      </c>
      <c r="M127" s="333">
        <f t="shared" si="15"/>
        <v>321</v>
      </c>
      <c r="N127" s="334">
        <v>45756</v>
      </c>
      <c r="O127" s="334">
        <v>45752</v>
      </c>
      <c r="P127" s="324"/>
      <c r="Q127" s="363" t="s">
        <v>12533</v>
      </c>
      <c r="R127" s="323"/>
      <c r="S127" s="454"/>
      <c r="T127" s="454"/>
      <c r="U127" s="454" t="s">
        <v>3586</v>
      </c>
      <c r="V127" s="802"/>
      <c r="W127" s="803" t="s">
        <v>3346</v>
      </c>
      <c r="X127" s="323" t="s">
        <v>12534</v>
      </c>
      <c r="Y127" s="804" t="s">
        <v>1199</v>
      </c>
      <c r="Z127" s="333">
        <v>2.1809</v>
      </c>
      <c r="AA127" s="333">
        <f t="shared" si="22"/>
        <v>8400.8268</v>
      </c>
      <c r="AB127" s="323"/>
      <c r="AC127" s="323" t="s">
        <v>416</v>
      </c>
      <c r="AD127" s="323"/>
      <c r="AE127" s="323"/>
      <c r="AF127" s="324"/>
      <c r="AG127" s="333"/>
      <c r="AH127" s="324">
        <f>J127</f>
        <v>3852</v>
      </c>
      <c r="AI127" s="324"/>
      <c r="AJ127" s="333"/>
      <c r="AK127" s="340"/>
      <c r="AL127" s="340">
        <f t="shared" si="23"/>
        <v>3852</v>
      </c>
      <c r="AM127" s="340"/>
      <c r="AN127" s="340"/>
      <c r="AO127" s="340">
        <f>J127</f>
        <v>3852</v>
      </c>
      <c r="AP127" s="340"/>
      <c r="AQ127" s="340"/>
      <c r="AR127" s="340"/>
      <c r="AS127" s="340">
        <f>J127/6</f>
        <v>642</v>
      </c>
      <c r="AT127" s="340"/>
      <c r="AU127" s="340"/>
      <c r="AV127" s="340"/>
      <c r="AW127" s="340"/>
      <c r="AX127" s="340"/>
      <c r="AY127" s="340"/>
      <c r="AZ127" s="340"/>
      <c r="BA127" s="340" t="s">
        <v>89</v>
      </c>
      <c r="BB127" s="340"/>
      <c r="BC127" s="805">
        <f>J127/60*10</f>
        <v>642</v>
      </c>
      <c r="BD127" s="806">
        <f>J127/60*10</f>
        <v>642</v>
      </c>
      <c r="BE127" s="805">
        <f>J127/60*10</f>
        <v>642</v>
      </c>
      <c r="BF127" s="340">
        <f>J127/60*10</f>
        <v>642</v>
      </c>
      <c r="BG127" s="806">
        <f>J127/60*10</f>
        <v>642</v>
      </c>
      <c r="BH127" s="340">
        <f>J127/60*8</f>
        <v>513.6</v>
      </c>
      <c r="BI127" s="340">
        <f>J127/60*2</f>
        <v>128.4</v>
      </c>
      <c r="BO127" s="400"/>
      <c r="BP127" s="400"/>
      <c r="BQ127" s="400"/>
      <c r="BR127" s="400"/>
      <c r="BS127" s="400"/>
      <c r="BT127" s="400"/>
      <c r="BU127" s="400"/>
    </row>
    <row r="128" s="251" customFormat="1" ht="50" customHeight="1" spans="1:73">
      <c r="A128" s="801">
        <v>45726</v>
      </c>
      <c r="B128" s="331" t="s">
        <v>2285</v>
      </c>
      <c r="C128" s="324" t="s">
        <v>351</v>
      </c>
      <c r="D128" s="332">
        <v>4500159461</v>
      </c>
      <c r="E128" s="324" t="s">
        <v>3336</v>
      </c>
      <c r="F128" s="332" t="s">
        <v>12537</v>
      </c>
      <c r="G128" s="324" t="s">
        <v>2577</v>
      </c>
      <c r="H128" s="324" t="s">
        <v>2577</v>
      </c>
      <c r="I128" s="324" t="s">
        <v>2591</v>
      </c>
      <c r="J128" s="333">
        <v>1500</v>
      </c>
      <c r="K128" s="333">
        <v>0</v>
      </c>
      <c r="L128" s="333">
        <v>12</v>
      </c>
      <c r="M128" s="333">
        <f t="shared" si="15"/>
        <v>125</v>
      </c>
      <c r="N128" s="334">
        <v>45756</v>
      </c>
      <c r="O128" s="334">
        <v>45752</v>
      </c>
      <c r="P128" s="324"/>
      <c r="Q128" s="363" t="s">
        <v>12533</v>
      </c>
      <c r="R128" s="323"/>
      <c r="S128" s="454"/>
      <c r="T128" s="454"/>
      <c r="U128" s="454" t="s">
        <v>3586</v>
      </c>
      <c r="V128" s="802"/>
      <c r="W128" s="803" t="s">
        <v>3346</v>
      </c>
      <c r="X128" s="323" t="s">
        <v>12534</v>
      </c>
      <c r="Y128" s="804" t="s">
        <v>1199</v>
      </c>
      <c r="Z128" s="333">
        <v>2.1809</v>
      </c>
      <c r="AA128" s="333">
        <f t="shared" si="22"/>
        <v>3271.35</v>
      </c>
      <c r="AB128" s="323"/>
      <c r="AC128" s="323" t="s">
        <v>416</v>
      </c>
      <c r="AD128" s="323"/>
      <c r="AE128" s="323"/>
      <c r="AF128" s="324"/>
      <c r="AG128" s="333"/>
      <c r="AH128" s="324">
        <f>J128</f>
        <v>1500</v>
      </c>
      <c r="AI128" s="324"/>
      <c r="AJ128" s="333"/>
      <c r="AK128" s="340"/>
      <c r="AL128" s="340">
        <f t="shared" si="23"/>
        <v>1500</v>
      </c>
      <c r="AM128" s="340"/>
      <c r="AN128" s="340"/>
      <c r="AO128" s="340">
        <f>J128</f>
        <v>1500</v>
      </c>
      <c r="AP128" s="340"/>
      <c r="AQ128" s="340"/>
      <c r="AR128" s="340"/>
      <c r="AS128" s="340">
        <f>J128/6</f>
        <v>250</v>
      </c>
      <c r="AT128" s="340"/>
      <c r="AU128" s="340"/>
      <c r="AV128" s="340"/>
      <c r="AW128" s="340"/>
      <c r="AX128" s="340"/>
      <c r="AY128" s="340"/>
      <c r="AZ128" s="340"/>
      <c r="BA128" s="340" t="s">
        <v>89</v>
      </c>
      <c r="BB128" s="340"/>
      <c r="BC128" s="805">
        <f>J128/60*10</f>
        <v>250</v>
      </c>
      <c r="BD128" s="806">
        <f>J128/60*10</f>
        <v>250</v>
      </c>
      <c r="BE128" s="805">
        <f>J128/60*10</f>
        <v>250</v>
      </c>
      <c r="BF128" s="340">
        <f>J128/60*10</f>
        <v>250</v>
      </c>
      <c r="BG128" s="806">
        <f>J128/60*10</f>
        <v>250</v>
      </c>
      <c r="BH128" s="340">
        <f>J128/60*8</f>
        <v>200</v>
      </c>
      <c r="BI128" s="340">
        <f>J128/60*2</f>
        <v>50</v>
      </c>
      <c r="BO128" s="400"/>
      <c r="BP128" s="400"/>
      <c r="BQ128" s="400"/>
      <c r="BR128" s="400"/>
      <c r="BS128" s="400"/>
      <c r="BT128" s="400"/>
      <c r="BU128" s="400"/>
    </row>
    <row r="129" s="251" customFormat="1" ht="50" customHeight="1" spans="1:79">
      <c r="A129" s="801">
        <v>45726</v>
      </c>
      <c r="B129" s="331" t="s">
        <v>2285</v>
      </c>
      <c r="C129" s="324" t="s">
        <v>351</v>
      </c>
      <c r="D129" s="332">
        <v>4500159461</v>
      </c>
      <c r="E129" s="324" t="s">
        <v>3330</v>
      </c>
      <c r="F129" s="332" t="s">
        <v>12538</v>
      </c>
      <c r="G129" s="324" t="s">
        <v>8290</v>
      </c>
      <c r="H129" s="324" t="s">
        <v>8290</v>
      </c>
      <c r="I129" s="324" t="s">
        <v>8291</v>
      </c>
      <c r="J129" s="333">
        <v>1876</v>
      </c>
      <c r="K129" s="333">
        <v>0</v>
      </c>
      <c r="L129" s="333">
        <v>4</v>
      </c>
      <c r="M129" s="333">
        <f t="shared" si="15"/>
        <v>469</v>
      </c>
      <c r="N129" s="334">
        <v>45756</v>
      </c>
      <c r="O129" s="334">
        <v>45752</v>
      </c>
      <c r="P129" s="324"/>
      <c r="Q129" s="318" t="s">
        <v>12539</v>
      </c>
      <c r="R129" s="323"/>
      <c r="S129" s="454"/>
      <c r="T129" s="454"/>
      <c r="U129" s="454" t="s">
        <v>8439</v>
      </c>
      <c r="V129" s="802"/>
      <c r="W129" s="803" t="s">
        <v>8440</v>
      </c>
      <c r="X129" s="323" t="s">
        <v>12540</v>
      </c>
      <c r="Y129" s="804" t="s">
        <v>1199</v>
      </c>
      <c r="Z129" s="333">
        <v>10.3118</v>
      </c>
      <c r="AA129" s="333">
        <f t="shared" si="22"/>
        <v>19344.9368</v>
      </c>
      <c r="AB129" s="323"/>
      <c r="AC129" s="323" t="s">
        <v>416</v>
      </c>
      <c r="AD129" s="323"/>
      <c r="AE129" s="323"/>
      <c r="AF129" s="324"/>
      <c r="AG129" s="333">
        <f t="shared" ref="AG129:AG136" si="24">J129</f>
        <v>1876</v>
      </c>
      <c r="AH129" s="324"/>
      <c r="AI129" s="324"/>
      <c r="AJ129" s="333">
        <f t="shared" ref="AJ129:AJ138" si="25">J129</f>
        <v>1876</v>
      </c>
      <c r="AK129" s="340"/>
      <c r="AL129" s="340">
        <f t="shared" si="23"/>
        <v>1876</v>
      </c>
      <c r="AM129" s="340"/>
      <c r="AN129" s="340"/>
      <c r="AO129" s="340"/>
      <c r="AP129" s="340" t="s">
        <v>89</v>
      </c>
      <c r="AQ129" s="340">
        <f t="shared" ref="AQ129:AQ136" si="26">J129/3</f>
        <v>625.333333333333</v>
      </c>
      <c r="AR129" s="340">
        <f t="shared" ref="AR129:AR136" si="27">J129/3</f>
        <v>625.333333333333</v>
      </c>
      <c r="AS129" s="340">
        <f t="shared" ref="AS129:AS136" si="28">J129/3</f>
        <v>625.333333333333</v>
      </c>
      <c r="AT129" s="340">
        <f t="shared" ref="AT129:AT136" si="29">SUM(AQ129:AS129)</f>
        <v>1876</v>
      </c>
      <c r="AU129" s="340">
        <f t="shared" ref="AU129:AU136" si="30">J129-AT129</f>
        <v>0</v>
      </c>
      <c r="AV129" s="340"/>
      <c r="AW129" s="340"/>
      <c r="AX129" s="340"/>
      <c r="AY129" s="340"/>
      <c r="AZ129" s="340"/>
      <c r="BA129" s="340"/>
      <c r="BB129" s="340"/>
      <c r="BC129" s="805"/>
      <c r="BD129" s="806"/>
      <c r="BE129" s="805"/>
      <c r="BF129" s="340"/>
      <c r="BG129" s="806"/>
      <c r="BH129" s="340"/>
      <c r="BI129" s="340"/>
      <c r="BO129" s="400"/>
      <c r="BP129" s="400"/>
      <c r="BQ129" s="400"/>
      <c r="BR129" s="400"/>
      <c r="BS129" s="400"/>
      <c r="BT129" s="400"/>
      <c r="BU129" s="400"/>
    </row>
    <row r="130" s="251" customFormat="1" ht="50" customHeight="1" spans="1:79">
      <c r="A130" s="801">
        <v>45726</v>
      </c>
      <c r="B130" s="331" t="s">
        <v>2285</v>
      </c>
      <c r="C130" s="324" t="s">
        <v>351</v>
      </c>
      <c r="D130" s="332">
        <v>4500159461</v>
      </c>
      <c r="E130" s="324" t="s">
        <v>3336</v>
      </c>
      <c r="F130" s="332" t="s">
        <v>12541</v>
      </c>
      <c r="G130" s="324" t="s">
        <v>8290</v>
      </c>
      <c r="H130" s="324" t="s">
        <v>8290</v>
      </c>
      <c r="I130" s="324" t="s">
        <v>8291</v>
      </c>
      <c r="J130" s="333">
        <v>728</v>
      </c>
      <c r="K130" s="333">
        <v>0</v>
      </c>
      <c r="L130" s="333">
        <v>4</v>
      </c>
      <c r="M130" s="333">
        <f t="shared" si="15"/>
        <v>182</v>
      </c>
      <c r="N130" s="334">
        <v>45756</v>
      </c>
      <c r="O130" s="334">
        <v>45752</v>
      </c>
      <c r="P130" s="324"/>
      <c r="Q130" s="318" t="s">
        <v>12539</v>
      </c>
      <c r="R130" s="323"/>
      <c r="S130" s="454"/>
      <c r="T130" s="454"/>
      <c r="U130" s="454" t="s">
        <v>8439</v>
      </c>
      <c r="V130" s="802"/>
      <c r="W130" s="803" t="s">
        <v>8440</v>
      </c>
      <c r="X130" s="323" t="s">
        <v>12540</v>
      </c>
      <c r="Y130" s="804" t="s">
        <v>1199</v>
      </c>
      <c r="Z130" s="333">
        <v>10.3118</v>
      </c>
      <c r="AA130" s="333">
        <f t="shared" si="22"/>
        <v>7506.9904</v>
      </c>
      <c r="AB130" s="323"/>
      <c r="AC130" s="323" t="s">
        <v>416</v>
      </c>
      <c r="AD130" s="323"/>
      <c r="AE130" s="323"/>
      <c r="AF130" s="324"/>
      <c r="AG130" s="333">
        <f t="shared" si="24"/>
        <v>728</v>
      </c>
      <c r="AH130" s="324"/>
      <c r="AI130" s="324"/>
      <c r="AJ130" s="333">
        <f t="shared" si="25"/>
        <v>728</v>
      </c>
      <c r="AK130" s="340"/>
      <c r="AL130" s="340">
        <f t="shared" si="23"/>
        <v>728</v>
      </c>
      <c r="AM130" s="340"/>
      <c r="AN130" s="340"/>
      <c r="AO130" s="340"/>
      <c r="AP130" s="340" t="s">
        <v>89</v>
      </c>
      <c r="AQ130" s="340">
        <f t="shared" si="26"/>
        <v>242.666666666667</v>
      </c>
      <c r="AR130" s="340">
        <f t="shared" si="27"/>
        <v>242.666666666667</v>
      </c>
      <c r="AS130" s="340">
        <f t="shared" si="28"/>
        <v>242.666666666667</v>
      </c>
      <c r="AT130" s="340">
        <f t="shared" si="29"/>
        <v>728</v>
      </c>
      <c r="AU130" s="340">
        <f t="shared" si="30"/>
        <v>0</v>
      </c>
      <c r="AV130" s="340"/>
      <c r="AW130" s="340"/>
      <c r="AX130" s="340"/>
      <c r="AY130" s="340"/>
      <c r="AZ130" s="340"/>
      <c r="BA130" s="340"/>
      <c r="BB130" s="340"/>
      <c r="BC130" s="805"/>
      <c r="BD130" s="806"/>
      <c r="BE130" s="805"/>
      <c r="BF130" s="340"/>
      <c r="BG130" s="806"/>
      <c r="BH130" s="340"/>
      <c r="BI130" s="340"/>
      <c r="BO130" s="400"/>
      <c r="BP130" s="400"/>
      <c r="BQ130" s="400"/>
      <c r="BR130" s="400"/>
      <c r="BS130" s="400"/>
      <c r="BT130" s="400"/>
      <c r="BU130" s="400"/>
    </row>
    <row r="131" s="251" customFormat="1" ht="50" customHeight="1" spans="1:79">
      <c r="A131" s="801">
        <v>45726</v>
      </c>
      <c r="B131" s="331" t="s">
        <v>2285</v>
      </c>
      <c r="C131" s="324" t="s">
        <v>351</v>
      </c>
      <c r="D131" s="332">
        <v>4500159526</v>
      </c>
      <c r="E131" s="324" t="s">
        <v>12531</v>
      </c>
      <c r="F131" s="332" t="s">
        <v>12542</v>
      </c>
      <c r="G131" s="324" t="s">
        <v>8290</v>
      </c>
      <c r="H131" s="324" t="s">
        <v>8290</v>
      </c>
      <c r="I131" s="324" t="s">
        <v>8291</v>
      </c>
      <c r="J131" s="333">
        <v>536</v>
      </c>
      <c r="K131" s="333">
        <v>0</v>
      </c>
      <c r="L131" s="333">
        <v>4</v>
      </c>
      <c r="M131" s="333">
        <f t="shared" si="15"/>
        <v>134</v>
      </c>
      <c r="N131" s="334">
        <v>45775</v>
      </c>
      <c r="O131" s="334">
        <v>45771</v>
      </c>
      <c r="P131" s="324"/>
      <c r="Q131" s="318" t="s">
        <v>12533</v>
      </c>
      <c r="R131" s="323"/>
      <c r="S131" s="454"/>
      <c r="T131" s="454"/>
      <c r="U131" s="454" t="s">
        <v>8458</v>
      </c>
      <c r="V131" s="802"/>
      <c r="W131" s="803" t="s">
        <v>8440</v>
      </c>
      <c r="X131" s="323" t="s">
        <v>12543</v>
      </c>
      <c r="Y131" s="804" t="s">
        <v>1199</v>
      </c>
      <c r="Z131" s="333">
        <v>10.3324</v>
      </c>
      <c r="AA131" s="333">
        <f t="shared" si="22"/>
        <v>5538.1664</v>
      </c>
      <c r="AB131" s="323"/>
      <c r="AC131" s="323" t="s">
        <v>416</v>
      </c>
      <c r="AD131" s="323"/>
      <c r="AE131" s="323"/>
      <c r="AF131" s="324"/>
      <c r="AG131" s="333">
        <f t="shared" si="24"/>
        <v>536</v>
      </c>
      <c r="AH131" s="324"/>
      <c r="AI131" s="324"/>
      <c r="AJ131" s="333">
        <f t="shared" si="25"/>
        <v>536</v>
      </c>
      <c r="AK131" s="340"/>
      <c r="AL131" s="340">
        <f t="shared" si="23"/>
        <v>536</v>
      </c>
      <c r="AM131" s="340"/>
      <c r="AN131" s="340"/>
      <c r="AO131" s="340"/>
      <c r="AP131" s="340" t="s">
        <v>89</v>
      </c>
      <c r="AQ131" s="340">
        <f t="shared" si="26"/>
        <v>178.666666666667</v>
      </c>
      <c r="AR131" s="340">
        <f t="shared" si="27"/>
        <v>178.666666666667</v>
      </c>
      <c r="AS131" s="340">
        <f t="shared" si="28"/>
        <v>178.666666666667</v>
      </c>
      <c r="AT131" s="340">
        <f t="shared" si="29"/>
        <v>536</v>
      </c>
      <c r="AU131" s="340">
        <f t="shared" si="30"/>
        <v>0</v>
      </c>
      <c r="AV131" s="340"/>
      <c r="AW131" s="340"/>
      <c r="AX131" s="340"/>
      <c r="AY131" s="340"/>
      <c r="AZ131" s="340"/>
      <c r="BA131" s="340"/>
      <c r="BB131" s="340"/>
      <c r="BC131" s="805"/>
      <c r="BD131" s="806"/>
      <c r="BE131" s="805"/>
      <c r="BF131" s="340"/>
      <c r="BG131" s="806"/>
      <c r="BH131" s="340"/>
      <c r="BI131" s="340"/>
      <c r="BO131" s="400"/>
      <c r="BP131" s="400"/>
      <c r="BQ131" s="400"/>
      <c r="BR131" s="400"/>
      <c r="BS131" s="400"/>
      <c r="BT131" s="400"/>
      <c r="BU131" s="400"/>
    </row>
    <row r="132" s="251" customFormat="1" ht="50" customHeight="1" spans="1:79">
      <c r="A132" s="801">
        <v>45726</v>
      </c>
      <c r="B132" s="331" t="s">
        <v>2285</v>
      </c>
      <c r="C132" s="324" t="s">
        <v>351</v>
      </c>
      <c r="D132" s="332">
        <v>4500159526</v>
      </c>
      <c r="E132" s="324" t="s">
        <v>3515</v>
      </c>
      <c r="F132" s="332" t="s">
        <v>12544</v>
      </c>
      <c r="G132" s="324" t="s">
        <v>8290</v>
      </c>
      <c r="H132" s="324" t="s">
        <v>8290</v>
      </c>
      <c r="I132" s="324" t="s">
        <v>8291</v>
      </c>
      <c r="J132" s="333">
        <v>208</v>
      </c>
      <c r="K132" s="333">
        <v>0</v>
      </c>
      <c r="L132" s="333">
        <v>4</v>
      </c>
      <c r="M132" s="333">
        <f t="shared" si="15"/>
        <v>52</v>
      </c>
      <c r="N132" s="334">
        <v>45775</v>
      </c>
      <c r="O132" s="334">
        <v>45771</v>
      </c>
      <c r="P132" s="324"/>
      <c r="Q132" s="318" t="s">
        <v>12533</v>
      </c>
      <c r="R132" s="323"/>
      <c r="S132" s="454"/>
      <c r="T132" s="454"/>
      <c r="U132" s="454" t="s">
        <v>8458</v>
      </c>
      <c r="V132" s="802"/>
      <c r="W132" s="803" t="s">
        <v>8440</v>
      </c>
      <c r="X132" s="323" t="s">
        <v>12543</v>
      </c>
      <c r="Y132" s="804" t="s">
        <v>1199</v>
      </c>
      <c r="Z132" s="333">
        <v>10.3324</v>
      </c>
      <c r="AA132" s="333">
        <f t="shared" si="22"/>
        <v>2149.1392</v>
      </c>
      <c r="AB132" s="323"/>
      <c r="AC132" s="323" t="s">
        <v>416</v>
      </c>
      <c r="AD132" s="323"/>
      <c r="AE132" s="323"/>
      <c r="AF132" s="324"/>
      <c r="AG132" s="333">
        <f t="shared" si="24"/>
        <v>208</v>
      </c>
      <c r="AH132" s="324"/>
      <c r="AI132" s="324"/>
      <c r="AJ132" s="333">
        <f t="shared" si="25"/>
        <v>208</v>
      </c>
      <c r="AK132" s="340"/>
      <c r="AL132" s="340">
        <f t="shared" si="23"/>
        <v>208</v>
      </c>
      <c r="AM132" s="340"/>
      <c r="AN132" s="340"/>
      <c r="AO132" s="340"/>
      <c r="AP132" s="340" t="s">
        <v>89</v>
      </c>
      <c r="AQ132" s="340">
        <f t="shared" si="26"/>
        <v>69.3333333333333</v>
      </c>
      <c r="AR132" s="340">
        <f t="shared" si="27"/>
        <v>69.3333333333333</v>
      </c>
      <c r="AS132" s="340">
        <f t="shared" si="28"/>
        <v>69.3333333333333</v>
      </c>
      <c r="AT132" s="340">
        <f t="shared" si="29"/>
        <v>208</v>
      </c>
      <c r="AU132" s="340">
        <f t="shared" si="30"/>
        <v>0</v>
      </c>
      <c r="AV132" s="340"/>
      <c r="AW132" s="340"/>
      <c r="AX132" s="340"/>
      <c r="AY132" s="340"/>
      <c r="AZ132" s="340"/>
      <c r="BA132" s="340"/>
      <c r="BB132" s="340"/>
      <c r="BC132" s="805"/>
      <c r="BD132" s="806"/>
      <c r="BE132" s="805"/>
      <c r="BF132" s="340"/>
      <c r="BG132" s="806"/>
      <c r="BH132" s="340"/>
      <c r="BI132" s="340"/>
      <c r="BO132" s="400"/>
      <c r="BP132" s="400"/>
      <c r="BQ132" s="400"/>
      <c r="BR132" s="400"/>
      <c r="BS132" s="400"/>
      <c r="BT132" s="400"/>
      <c r="BU132" s="400"/>
    </row>
    <row r="133" s="400" customFormat="1" ht="50" customHeight="1" spans="1:79">
      <c r="A133" s="693">
        <v>45747</v>
      </c>
      <c r="B133" s="365" t="s">
        <v>6954</v>
      </c>
      <c r="C133" s="365" t="s">
        <v>91</v>
      </c>
      <c r="D133" s="366">
        <v>4500161570</v>
      </c>
      <c r="E133" s="367" t="s">
        <v>12545</v>
      </c>
      <c r="F133" s="365" t="s">
        <v>12546</v>
      </c>
      <c r="G133" s="367" t="s">
        <v>6254</v>
      </c>
      <c r="H133" s="367" t="s">
        <v>6254</v>
      </c>
      <c r="I133" s="345" t="s">
        <v>6063</v>
      </c>
      <c r="J133" s="345">
        <v>78</v>
      </c>
      <c r="K133" s="345">
        <v>0</v>
      </c>
      <c r="L133" s="345">
        <v>6</v>
      </c>
      <c r="M133" s="345">
        <f t="shared" si="15"/>
        <v>13</v>
      </c>
      <c r="N133" s="353">
        <v>45818</v>
      </c>
      <c r="O133" s="353">
        <v>45814</v>
      </c>
      <c r="P133" s="345" t="s">
        <v>12547</v>
      </c>
      <c r="Q133" s="367"/>
      <c r="R133" s="734"/>
      <c r="S133" s="454"/>
      <c r="T133" s="454"/>
      <c r="U133" s="454" t="s">
        <v>8458</v>
      </c>
      <c r="V133" s="802"/>
      <c r="W133" s="802" t="s">
        <v>8440</v>
      </c>
      <c r="X133" s="323" t="s">
        <v>12548</v>
      </c>
      <c r="Y133" s="804" t="s">
        <v>1199</v>
      </c>
      <c r="Z133" s="333">
        <v>10.3324</v>
      </c>
      <c r="AA133" s="333">
        <f t="shared" si="22"/>
        <v>805.9272</v>
      </c>
      <c r="AB133" s="323"/>
      <c r="AC133" s="323" t="s">
        <v>416</v>
      </c>
      <c r="AD133" s="323"/>
      <c r="AE133" s="323"/>
      <c r="AF133" s="324"/>
      <c r="AG133" s="333">
        <f t="shared" si="24"/>
        <v>78</v>
      </c>
      <c r="AH133" s="324"/>
      <c r="AI133" s="324"/>
      <c r="AJ133" s="333">
        <f t="shared" si="25"/>
        <v>78</v>
      </c>
      <c r="AK133" s="340"/>
      <c r="AL133" s="340">
        <f t="shared" si="23"/>
        <v>78</v>
      </c>
      <c r="AM133" s="340"/>
      <c r="AN133" s="340"/>
      <c r="AO133" s="340"/>
      <c r="AP133" s="340" t="s">
        <v>89</v>
      </c>
      <c r="AQ133" s="340">
        <f t="shared" si="26"/>
        <v>26</v>
      </c>
      <c r="AR133" s="340">
        <f t="shared" si="27"/>
        <v>26</v>
      </c>
      <c r="AS133" s="340">
        <f t="shared" si="28"/>
        <v>26</v>
      </c>
      <c r="AT133" s="340">
        <f t="shared" si="29"/>
        <v>78</v>
      </c>
      <c r="AU133" s="340">
        <f t="shared" si="30"/>
        <v>0</v>
      </c>
      <c r="AV133" s="340"/>
      <c r="AW133" s="340"/>
      <c r="AX133" s="340"/>
      <c r="AY133" s="340"/>
      <c r="AZ133" s="340"/>
      <c r="BA133" s="340"/>
      <c r="BB133" s="340"/>
      <c r="BC133" s="805"/>
      <c r="BD133" s="806"/>
      <c r="BE133" s="805"/>
      <c r="BF133" s="340"/>
      <c r="BG133" s="806"/>
      <c r="BH133" s="340"/>
      <c r="BI133" s="340"/>
      <c r="BJ133" s="251"/>
      <c r="BK133" s="251"/>
      <c r="BL133" s="251"/>
      <c r="BM133" s="251"/>
      <c r="BN133" s="251"/>
      <c r="BV133" s="251"/>
      <c r="BW133" s="251"/>
      <c r="BX133" s="251"/>
      <c r="BY133" s="251"/>
      <c r="BZ133" s="251"/>
      <c r="CA133" s="251"/>
    </row>
    <row r="134" s="400" customFormat="1" ht="50" customHeight="1" spans="1:79">
      <c r="A134" s="693">
        <v>45747</v>
      </c>
      <c r="B134" s="365" t="s">
        <v>6954</v>
      </c>
      <c r="C134" s="365" t="s">
        <v>91</v>
      </c>
      <c r="D134" s="366">
        <v>4500161570</v>
      </c>
      <c r="E134" s="367" t="s">
        <v>12549</v>
      </c>
      <c r="F134" s="365" t="s">
        <v>12550</v>
      </c>
      <c r="G134" s="367" t="s">
        <v>6254</v>
      </c>
      <c r="H134" s="367" t="s">
        <v>6254</v>
      </c>
      <c r="I134" s="345" t="s">
        <v>6063</v>
      </c>
      <c r="J134" s="345">
        <v>120</v>
      </c>
      <c r="K134" s="345">
        <v>0</v>
      </c>
      <c r="L134" s="345">
        <v>6</v>
      </c>
      <c r="M134" s="345">
        <f t="shared" si="15"/>
        <v>20</v>
      </c>
      <c r="N134" s="353">
        <v>45818</v>
      </c>
      <c r="O134" s="353">
        <v>45814</v>
      </c>
      <c r="P134" s="345" t="s">
        <v>12547</v>
      </c>
      <c r="Q134" s="367"/>
      <c r="R134" s="734"/>
      <c r="S134" s="454"/>
      <c r="T134" s="454"/>
      <c r="U134" s="454" t="s">
        <v>8458</v>
      </c>
      <c r="V134" s="802"/>
      <c r="W134" s="802" t="s">
        <v>8440</v>
      </c>
      <c r="X134" s="323" t="s">
        <v>12548</v>
      </c>
      <c r="Y134" s="804" t="s">
        <v>1199</v>
      </c>
      <c r="Z134" s="333">
        <v>10.3324</v>
      </c>
      <c r="AA134" s="333">
        <f t="shared" si="22"/>
        <v>1239.888</v>
      </c>
      <c r="AB134" s="323"/>
      <c r="AC134" s="323" t="s">
        <v>416</v>
      </c>
      <c r="AD134" s="323"/>
      <c r="AE134" s="323"/>
      <c r="AF134" s="324"/>
      <c r="AG134" s="333">
        <f t="shared" si="24"/>
        <v>120</v>
      </c>
      <c r="AH134" s="324"/>
      <c r="AI134" s="324"/>
      <c r="AJ134" s="333">
        <f t="shared" si="25"/>
        <v>120</v>
      </c>
      <c r="AK134" s="340"/>
      <c r="AL134" s="340">
        <f t="shared" si="23"/>
        <v>120</v>
      </c>
      <c r="AM134" s="340"/>
      <c r="AN134" s="340"/>
      <c r="AO134" s="340"/>
      <c r="AP134" s="340" t="s">
        <v>89</v>
      </c>
      <c r="AQ134" s="340">
        <f t="shared" si="26"/>
        <v>40</v>
      </c>
      <c r="AR134" s="340">
        <f t="shared" si="27"/>
        <v>40</v>
      </c>
      <c r="AS134" s="340">
        <f t="shared" si="28"/>
        <v>40</v>
      </c>
      <c r="AT134" s="340">
        <f t="shared" si="29"/>
        <v>120</v>
      </c>
      <c r="AU134" s="340">
        <f t="shared" si="30"/>
        <v>0</v>
      </c>
      <c r="AV134" s="340"/>
      <c r="AW134" s="340"/>
      <c r="AX134" s="340"/>
      <c r="AY134" s="340"/>
      <c r="AZ134" s="340"/>
      <c r="BA134" s="340"/>
      <c r="BB134" s="340"/>
      <c r="BC134" s="805"/>
      <c r="BD134" s="806"/>
      <c r="BE134" s="805"/>
      <c r="BF134" s="340"/>
      <c r="BG134" s="806"/>
      <c r="BH134" s="340"/>
      <c r="BI134" s="340"/>
      <c r="BJ134" s="251"/>
      <c r="BK134" s="251"/>
      <c r="BL134" s="251"/>
      <c r="BM134" s="251"/>
      <c r="BN134" s="251"/>
      <c r="BV134" s="251"/>
      <c r="BW134" s="251"/>
      <c r="BX134" s="251"/>
      <c r="BY134" s="251"/>
      <c r="BZ134" s="251"/>
      <c r="CA134" s="251"/>
    </row>
    <row r="135" s="400" customFormat="1" ht="50" customHeight="1" spans="1:79">
      <c r="A135" s="693">
        <v>45747</v>
      </c>
      <c r="B135" s="365" t="s">
        <v>6954</v>
      </c>
      <c r="C135" s="365" t="s">
        <v>91</v>
      </c>
      <c r="D135" s="366">
        <v>4500161570</v>
      </c>
      <c r="E135" s="367" t="s">
        <v>12551</v>
      </c>
      <c r="F135" s="365" t="s">
        <v>12552</v>
      </c>
      <c r="G135" s="367" t="s">
        <v>6254</v>
      </c>
      <c r="H135" s="367" t="s">
        <v>6254</v>
      </c>
      <c r="I135" s="345" t="s">
        <v>6063</v>
      </c>
      <c r="J135" s="345">
        <v>54</v>
      </c>
      <c r="K135" s="345">
        <v>0</v>
      </c>
      <c r="L135" s="345">
        <v>6</v>
      </c>
      <c r="M135" s="345">
        <f t="shared" si="15"/>
        <v>9</v>
      </c>
      <c r="N135" s="353">
        <v>45818</v>
      </c>
      <c r="O135" s="353">
        <v>45814</v>
      </c>
      <c r="P135" s="345" t="s">
        <v>12547</v>
      </c>
      <c r="Q135" s="367"/>
      <c r="R135" s="734"/>
      <c r="S135" s="454"/>
      <c r="T135" s="454"/>
      <c r="U135" s="454" t="s">
        <v>8458</v>
      </c>
      <c r="V135" s="802"/>
      <c r="W135" s="802" t="s">
        <v>8440</v>
      </c>
      <c r="X135" s="323" t="s">
        <v>12548</v>
      </c>
      <c r="Y135" s="804" t="s">
        <v>1199</v>
      </c>
      <c r="Z135" s="333">
        <v>10.3324</v>
      </c>
      <c r="AA135" s="333">
        <f t="shared" si="22"/>
        <v>557.9496</v>
      </c>
      <c r="AB135" s="323"/>
      <c r="AC135" s="323" t="s">
        <v>416</v>
      </c>
      <c r="AD135" s="323"/>
      <c r="AE135" s="323"/>
      <c r="AF135" s="324"/>
      <c r="AG135" s="333">
        <f t="shared" si="24"/>
        <v>54</v>
      </c>
      <c r="AH135" s="324"/>
      <c r="AI135" s="324"/>
      <c r="AJ135" s="333">
        <f t="shared" si="25"/>
        <v>54</v>
      </c>
      <c r="AK135" s="340"/>
      <c r="AL135" s="340">
        <f t="shared" si="23"/>
        <v>54</v>
      </c>
      <c r="AM135" s="340"/>
      <c r="AN135" s="340"/>
      <c r="AO135" s="340"/>
      <c r="AP135" s="340" t="s">
        <v>89</v>
      </c>
      <c r="AQ135" s="340">
        <f t="shared" si="26"/>
        <v>18</v>
      </c>
      <c r="AR135" s="340">
        <f t="shared" si="27"/>
        <v>18</v>
      </c>
      <c r="AS135" s="340">
        <f t="shared" si="28"/>
        <v>18</v>
      </c>
      <c r="AT135" s="340">
        <f t="shared" si="29"/>
        <v>54</v>
      </c>
      <c r="AU135" s="340">
        <f t="shared" si="30"/>
        <v>0</v>
      </c>
      <c r="AV135" s="340"/>
      <c r="AW135" s="340"/>
      <c r="AX135" s="340"/>
      <c r="AY135" s="340"/>
      <c r="AZ135" s="340"/>
      <c r="BA135" s="340"/>
      <c r="BB135" s="340"/>
      <c r="BC135" s="805"/>
      <c r="BD135" s="806"/>
      <c r="BE135" s="805"/>
      <c r="BF135" s="340"/>
      <c r="BG135" s="806"/>
      <c r="BH135" s="340"/>
      <c r="BI135" s="340"/>
      <c r="BJ135" s="251"/>
      <c r="BK135" s="251"/>
      <c r="BL135" s="251"/>
      <c r="BM135" s="251"/>
      <c r="BN135" s="251"/>
      <c r="BV135" s="251"/>
      <c r="BW135" s="251"/>
      <c r="BX135" s="251"/>
      <c r="BY135" s="251"/>
      <c r="BZ135" s="251"/>
      <c r="CA135" s="251"/>
    </row>
    <row r="136" s="400" customFormat="1" ht="50" customHeight="1" spans="1:79">
      <c r="A136" s="693">
        <v>45747</v>
      </c>
      <c r="B136" s="365" t="s">
        <v>6954</v>
      </c>
      <c r="C136" s="365" t="s">
        <v>91</v>
      </c>
      <c r="D136" s="366">
        <v>4500161570</v>
      </c>
      <c r="E136" s="367" t="s">
        <v>6965</v>
      </c>
      <c r="F136" s="365" t="s">
        <v>6966</v>
      </c>
      <c r="G136" s="367" t="s">
        <v>6254</v>
      </c>
      <c r="H136" s="367" t="s">
        <v>6254</v>
      </c>
      <c r="I136" s="345" t="s">
        <v>6063</v>
      </c>
      <c r="J136" s="345">
        <v>90</v>
      </c>
      <c r="K136" s="345">
        <v>0</v>
      </c>
      <c r="L136" s="345">
        <v>6</v>
      </c>
      <c r="M136" s="345">
        <f t="shared" si="15"/>
        <v>15</v>
      </c>
      <c r="N136" s="353">
        <v>45818</v>
      </c>
      <c r="O136" s="353">
        <v>45814</v>
      </c>
      <c r="P136" s="345" t="s">
        <v>12547</v>
      </c>
      <c r="Q136" s="367"/>
      <c r="R136" s="734"/>
      <c r="S136" s="454"/>
      <c r="T136" s="454"/>
      <c r="U136" s="454" t="s">
        <v>8458</v>
      </c>
      <c r="V136" s="802"/>
      <c r="W136" s="802" t="s">
        <v>8440</v>
      </c>
      <c r="X136" s="323" t="s">
        <v>12548</v>
      </c>
      <c r="Y136" s="804" t="s">
        <v>1199</v>
      </c>
      <c r="Z136" s="333">
        <v>10.3324</v>
      </c>
      <c r="AA136" s="333">
        <f t="shared" si="22"/>
        <v>929.916</v>
      </c>
      <c r="AB136" s="323"/>
      <c r="AC136" s="323" t="s">
        <v>416</v>
      </c>
      <c r="AD136" s="323"/>
      <c r="AE136" s="323"/>
      <c r="AF136" s="324"/>
      <c r="AG136" s="333">
        <f t="shared" si="24"/>
        <v>90</v>
      </c>
      <c r="AH136" s="324"/>
      <c r="AI136" s="324"/>
      <c r="AJ136" s="333">
        <f t="shared" si="25"/>
        <v>90</v>
      </c>
      <c r="AK136" s="340"/>
      <c r="AL136" s="340">
        <f t="shared" si="23"/>
        <v>90</v>
      </c>
      <c r="AM136" s="340"/>
      <c r="AN136" s="340"/>
      <c r="AO136" s="340"/>
      <c r="AP136" s="340" t="s">
        <v>89</v>
      </c>
      <c r="AQ136" s="340">
        <f t="shared" si="26"/>
        <v>30</v>
      </c>
      <c r="AR136" s="340">
        <f t="shared" si="27"/>
        <v>30</v>
      </c>
      <c r="AS136" s="340">
        <f t="shared" si="28"/>
        <v>30</v>
      </c>
      <c r="AT136" s="340">
        <f t="shared" si="29"/>
        <v>90</v>
      </c>
      <c r="AU136" s="340">
        <f t="shared" si="30"/>
        <v>0</v>
      </c>
      <c r="AV136" s="340"/>
      <c r="AW136" s="340"/>
      <c r="AX136" s="340"/>
      <c r="AY136" s="340"/>
      <c r="AZ136" s="340"/>
      <c r="BA136" s="340"/>
      <c r="BB136" s="340"/>
      <c r="BC136" s="805"/>
      <c r="BD136" s="806"/>
      <c r="BE136" s="805"/>
      <c r="BF136" s="340"/>
      <c r="BG136" s="806"/>
      <c r="BH136" s="340"/>
      <c r="BI136" s="340"/>
      <c r="BJ136" s="251"/>
      <c r="BK136" s="251"/>
      <c r="BL136" s="251"/>
      <c r="BM136" s="251"/>
      <c r="BN136" s="251"/>
      <c r="BV136" s="251"/>
      <c r="BW136" s="251"/>
      <c r="BX136" s="251"/>
      <c r="BY136" s="251"/>
      <c r="BZ136" s="251"/>
      <c r="CA136" s="251"/>
    </row>
    <row r="137" s="400" customFormat="1" ht="50" customHeight="1" spans="1:79">
      <c r="A137" s="693">
        <v>45771</v>
      </c>
      <c r="B137" s="365" t="s">
        <v>3156</v>
      </c>
      <c r="C137" s="365" t="s">
        <v>471</v>
      </c>
      <c r="D137" s="366">
        <v>4500164783</v>
      </c>
      <c r="E137" s="367">
        <v>5200006663</v>
      </c>
      <c r="F137" s="365" t="s">
        <v>12553</v>
      </c>
      <c r="G137" s="367" t="s">
        <v>6516</v>
      </c>
      <c r="H137" s="367" t="s">
        <v>6514</v>
      </c>
      <c r="I137" s="345" t="s">
        <v>6063</v>
      </c>
      <c r="J137" s="345">
        <v>2400</v>
      </c>
      <c r="K137" s="345">
        <v>0</v>
      </c>
      <c r="L137" s="345">
        <v>6</v>
      </c>
      <c r="M137" s="345">
        <f t="shared" si="15"/>
        <v>400</v>
      </c>
      <c r="N137" s="353">
        <v>45804</v>
      </c>
      <c r="O137" s="353">
        <v>45800</v>
      </c>
      <c r="P137" s="345" t="s">
        <v>12554</v>
      </c>
      <c r="Q137" s="367"/>
      <c r="R137" s="734"/>
      <c r="S137" s="807"/>
      <c r="T137" s="807"/>
      <c r="U137" s="454" t="s">
        <v>6518</v>
      </c>
      <c r="V137" s="807"/>
      <c r="W137" s="802"/>
      <c r="X137" s="734" t="s">
        <v>12555</v>
      </c>
      <c r="Y137" s="366" t="s">
        <v>596</v>
      </c>
      <c r="Z137" s="345">
        <v>2.2125</v>
      </c>
      <c r="AA137" s="345">
        <f t="shared" si="22"/>
        <v>5310</v>
      </c>
      <c r="AB137" s="796"/>
      <c r="AC137" s="734"/>
      <c r="AD137" s="734"/>
      <c r="AE137" s="734"/>
      <c r="AF137" s="734"/>
      <c r="AG137" s="367"/>
      <c r="AH137" s="367">
        <f>J137</f>
        <v>2400</v>
      </c>
      <c r="AI137" s="345"/>
      <c r="AJ137" s="345">
        <f t="shared" si="25"/>
        <v>2400</v>
      </c>
      <c r="AK137" s="447"/>
      <c r="AL137" s="447"/>
      <c r="AM137" s="447">
        <f>J137</f>
        <v>2400</v>
      </c>
      <c r="AN137" s="447"/>
      <c r="AO137" s="447"/>
      <c r="AP137" s="447"/>
      <c r="AQ137" s="447"/>
      <c r="AR137" s="447"/>
      <c r="AS137" s="447"/>
      <c r="AT137" s="447"/>
      <c r="AU137" s="447"/>
      <c r="AV137" s="447"/>
      <c r="AW137" s="447" t="s">
        <v>89</v>
      </c>
      <c r="AX137" s="447">
        <f>J137/60*2</f>
        <v>80</v>
      </c>
      <c r="AY137" s="447">
        <f>J137/60*10</f>
        <v>400</v>
      </c>
      <c r="AZ137" s="447">
        <f>J137/60*10</f>
        <v>400</v>
      </c>
      <c r="BA137" s="447">
        <f>J137/60*8</f>
        <v>320</v>
      </c>
      <c r="BB137" s="447">
        <f>J137/60*10</f>
        <v>400</v>
      </c>
      <c r="BC137" s="797">
        <f>J137/60*10</f>
        <v>400</v>
      </c>
      <c r="BD137" s="764">
        <f>J137/60*10</f>
        <v>400</v>
      </c>
      <c r="BE137" s="764">
        <f t="shared" ref="BE137:BE150" si="31">SUM(AX137:BD137)</f>
        <v>2400</v>
      </c>
      <c r="BF137" s="764">
        <f t="shared" ref="BF137:BF150" si="32">J137-BE137</f>
        <v>0</v>
      </c>
    </row>
    <row r="138" s="400" customFormat="1" ht="50" customHeight="1" spans="1:79">
      <c r="A138" s="693">
        <v>45756</v>
      </c>
      <c r="B138" s="365" t="s">
        <v>872</v>
      </c>
      <c r="C138" s="365" t="s">
        <v>873</v>
      </c>
      <c r="D138" s="366">
        <v>4500162852</v>
      </c>
      <c r="E138" s="367" t="s">
        <v>12556</v>
      </c>
      <c r="F138" s="365" t="s">
        <v>12557</v>
      </c>
      <c r="G138" s="367" t="s">
        <v>3520</v>
      </c>
      <c r="H138" s="367" t="s">
        <v>3520</v>
      </c>
      <c r="I138" s="345" t="s">
        <v>6063</v>
      </c>
      <c r="J138" s="345">
        <v>1800</v>
      </c>
      <c r="K138" s="345">
        <v>0</v>
      </c>
      <c r="L138" s="345">
        <v>24</v>
      </c>
      <c r="M138" s="345">
        <f t="shared" si="15"/>
        <v>75</v>
      </c>
      <c r="N138" s="353">
        <v>45803</v>
      </c>
      <c r="O138" s="353">
        <v>45799</v>
      </c>
      <c r="P138" s="353" t="s">
        <v>12558</v>
      </c>
      <c r="Q138" s="367"/>
      <c r="R138" s="734"/>
      <c r="S138" s="807"/>
      <c r="T138" s="807"/>
      <c r="U138" s="807" t="s">
        <v>6209</v>
      </c>
      <c r="V138" s="807"/>
      <c r="W138" s="802"/>
      <c r="X138" s="734" t="s">
        <v>12559</v>
      </c>
      <c r="Y138" s="366" t="s">
        <v>1245</v>
      </c>
      <c r="Z138" s="808">
        <v>2.145</v>
      </c>
      <c r="AA138" s="345">
        <f t="shared" si="22"/>
        <v>3861</v>
      </c>
      <c r="AB138" s="796"/>
      <c r="AC138" s="734" t="s">
        <v>416</v>
      </c>
      <c r="AD138" s="734"/>
      <c r="AE138" s="734"/>
      <c r="AF138" s="734"/>
      <c r="AG138" s="367">
        <f t="shared" ref="AG138:AG141" si="33">J138</f>
        <v>1800</v>
      </c>
      <c r="AH138" s="367"/>
      <c r="AI138" s="367"/>
      <c r="AJ138" s="345">
        <f t="shared" si="25"/>
        <v>1800</v>
      </c>
      <c r="AK138" s="447"/>
      <c r="AL138" s="447">
        <f t="shared" ref="AL138:AL141" si="34">J138</f>
        <v>1800</v>
      </c>
      <c r="AM138" s="447"/>
      <c r="AN138" s="447"/>
      <c r="AO138" s="447"/>
      <c r="AP138" s="447"/>
      <c r="AQ138" s="447"/>
      <c r="AR138" s="447"/>
      <c r="AS138" s="447"/>
      <c r="AT138" s="447"/>
      <c r="AU138" s="447"/>
      <c r="AV138" s="447"/>
      <c r="AW138" s="447" t="s">
        <v>89</v>
      </c>
      <c r="AX138" s="447">
        <f>J138/60*2</f>
        <v>60</v>
      </c>
      <c r="AY138" s="447">
        <f>J138/60*10</f>
        <v>300</v>
      </c>
      <c r="AZ138" s="447">
        <f>J138/60*10</f>
        <v>300</v>
      </c>
      <c r="BA138" s="447">
        <f>J138/60*8</f>
        <v>240</v>
      </c>
      <c r="BB138" s="447">
        <f>J138/60*10</f>
        <v>300</v>
      </c>
      <c r="BC138" s="797">
        <f>J138/60*10</f>
        <v>300</v>
      </c>
      <c r="BD138" s="764">
        <f>J138/60*10</f>
        <v>300</v>
      </c>
      <c r="BE138" s="764">
        <f t="shared" si="31"/>
        <v>1800</v>
      </c>
      <c r="BF138" s="764">
        <f t="shared" si="32"/>
        <v>0</v>
      </c>
    </row>
    <row r="139" s="400" customFormat="1" ht="50" customHeight="1" spans="1:79">
      <c r="A139" s="693">
        <v>45681</v>
      </c>
      <c r="B139" s="365" t="s">
        <v>361</v>
      </c>
      <c r="C139" s="365" t="s">
        <v>91</v>
      </c>
      <c r="D139" s="366">
        <v>4500156588</v>
      </c>
      <c r="E139" s="367" t="s">
        <v>12560</v>
      </c>
      <c r="F139" s="365" t="s">
        <v>12561</v>
      </c>
      <c r="G139" s="367" t="s">
        <v>6281</v>
      </c>
      <c r="H139" s="367" t="s">
        <v>6281</v>
      </c>
      <c r="I139" s="367" t="s">
        <v>6292</v>
      </c>
      <c r="J139" s="345">
        <v>384</v>
      </c>
      <c r="K139" s="345">
        <v>0</v>
      </c>
      <c r="L139" s="345">
        <v>32</v>
      </c>
      <c r="M139" s="345">
        <f t="shared" si="15"/>
        <v>12</v>
      </c>
      <c r="N139" s="353">
        <v>45750</v>
      </c>
      <c r="O139" s="353">
        <v>45747</v>
      </c>
      <c r="P139" s="353" t="s">
        <v>12562</v>
      </c>
      <c r="Q139" s="367" t="s">
        <v>12394</v>
      </c>
      <c r="R139" s="734"/>
      <c r="S139" s="809">
        <f>M139</f>
        <v>12</v>
      </c>
      <c r="T139" s="809">
        <f>J139</f>
        <v>384</v>
      </c>
      <c r="U139" s="807" t="s">
        <v>98</v>
      </c>
      <c r="V139" s="771" t="s">
        <v>12563</v>
      </c>
      <c r="W139" s="773" t="s">
        <v>6587</v>
      </c>
      <c r="X139" s="734" t="s">
        <v>6588</v>
      </c>
      <c r="Y139" s="366" t="s">
        <v>369</v>
      </c>
      <c r="Z139" s="795">
        <v>2.2905</v>
      </c>
      <c r="AA139" s="345">
        <f t="shared" si="22"/>
        <v>879.552</v>
      </c>
      <c r="AB139" s="796"/>
      <c r="AC139" s="734" t="s">
        <v>416</v>
      </c>
      <c r="AD139" s="345">
        <v>384</v>
      </c>
      <c r="AE139" s="734"/>
      <c r="AF139" s="734"/>
      <c r="AG139" s="367">
        <f t="shared" si="33"/>
        <v>384</v>
      </c>
      <c r="AH139" s="367"/>
      <c r="AI139" s="367"/>
      <c r="AJ139" s="345">
        <v>160</v>
      </c>
      <c r="AK139" s="447"/>
      <c r="AL139" s="447">
        <f t="shared" si="34"/>
        <v>384</v>
      </c>
      <c r="AM139" s="447"/>
      <c r="AN139" s="447"/>
      <c r="AO139" s="447"/>
      <c r="AP139" s="447"/>
      <c r="AQ139" s="447"/>
      <c r="AR139" s="447"/>
      <c r="AS139" s="447"/>
      <c r="AT139" s="447"/>
      <c r="AU139" s="447"/>
      <c r="AV139" s="447"/>
      <c r="AW139" s="447" t="s">
        <v>89</v>
      </c>
      <c r="AX139" s="447"/>
      <c r="AY139" s="447">
        <f t="shared" ref="AY139:AY150" si="35">J139</f>
        <v>384</v>
      </c>
      <c r="AZ139" s="447"/>
      <c r="BA139" s="447"/>
      <c r="BB139" s="447"/>
      <c r="BC139" s="797"/>
      <c r="BD139" s="764"/>
      <c r="BE139" s="764">
        <f t="shared" si="31"/>
        <v>384</v>
      </c>
      <c r="BF139" s="764">
        <f t="shared" si="32"/>
        <v>0</v>
      </c>
    </row>
    <row r="140" s="400" customFormat="1" ht="50" customHeight="1" spans="1:79">
      <c r="A140" s="693">
        <v>45681</v>
      </c>
      <c r="B140" s="365" t="s">
        <v>361</v>
      </c>
      <c r="C140" s="365" t="s">
        <v>91</v>
      </c>
      <c r="D140" s="366">
        <v>4500156588</v>
      </c>
      <c r="E140" s="367" t="s">
        <v>12564</v>
      </c>
      <c r="F140" s="365" t="s">
        <v>12565</v>
      </c>
      <c r="G140" s="367" t="s">
        <v>6281</v>
      </c>
      <c r="H140" s="367" t="s">
        <v>6281</v>
      </c>
      <c r="I140" s="367" t="s">
        <v>6292</v>
      </c>
      <c r="J140" s="345">
        <v>320</v>
      </c>
      <c r="K140" s="345">
        <v>0</v>
      </c>
      <c r="L140" s="345">
        <v>32</v>
      </c>
      <c r="M140" s="345">
        <f t="shared" si="15"/>
        <v>10</v>
      </c>
      <c r="N140" s="353">
        <v>45750</v>
      </c>
      <c r="O140" s="353">
        <v>45747</v>
      </c>
      <c r="P140" s="353" t="s">
        <v>12562</v>
      </c>
      <c r="Q140" s="367" t="s">
        <v>12394</v>
      </c>
      <c r="R140" s="734"/>
      <c r="S140" s="809">
        <f>M140</f>
        <v>10</v>
      </c>
      <c r="T140" s="809">
        <f>J140</f>
        <v>320</v>
      </c>
      <c r="U140" s="807" t="s">
        <v>98</v>
      </c>
      <c r="V140" s="771" t="s">
        <v>12563</v>
      </c>
      <c r="W140" s="773" t="s">
        <v>6587</v>
      </c>
      <c r="X140" s="734" t="s">
        <v>6588</v>
      </c>
      <c r="Y140" s="366" t="s">
        <v>369</v>
      </c>
      <c r="Z140" s="795">
        <v>2.2905</v>
      </c>
      <c r="AA140" s="345">
        <f t="shared" si="22"/>
        <v>732.96</v>
      </c>
      <c r="AB140" s="796"/>
      <c r="AC140" s="734" t="s">
        <v>416</v>
      </c>
      <c r="AD140" s="345">
        <v>320</v>
      </c>
      <c r="AE140" s="734"/>
      <c r="AF140" s="734"/>
      <c r="AG140" s="367">
        <f t="shared" si="33"/>
        <v>320</v>
      </c>
      <c r="AH140" s="367"/>
      <c r="AI140" s="367"/>
      <c r="AJ140" s="345">
        <v>160</v>
      </c>
      <c r="AK140" s="447"/>
      <c r="AL140" s="447">
        <f t="shared" si="34"/>
        <v>320</v>
      </c>
      <c r="AM140" s="447"/>
      <c r="AN140" s="447"/>
      <c r="AO140" s="447"/>
      <c r="AP140" s="447"/>
      <c r="AQ140" s="447"/>
      <c r="AR140" s="447"/>
      <c r="AS140" s="447"/>
      <c r="AT140" s="447"/>
      <c r="AU140" s="447"/>
      <c r="AV140" s="447"/>
      <c r="AW140" s="447" t="s">
        <v>89</v>
      </c>
      <c r="AX140" s="447"/>
      <c r="AY140" s="447">
        <f t="shared" si="35"/>
        <v>320</v>
      </c>
      <c r="AZ140" s="447"/>
      <c r="BA140" s="447"/>
      <c r="BB140" s="447"/>
      <c r="BC140" s="797"/>
      <c r="BD140" s="764"/>
      <c r="BE140" s="764">
        <f t="shared" si="31"/>
        <v>320</v>
      </c>
      <c r="BF140" s="764">
        <f t="shared" si="32"/>
        <v>0</v>
      </c>
    </row>
    <row r="141" s="400" customFormat="1" ht="50" customHeight="1" spans="1:79">
      <c r="A141" s="693">
        <v>45681</v>
      </c>
      <c r="B141" s="365" t="s">
        <v>361</v>
      </c>
      <c r="C141" s="365" t="s">
        <v>91</v>
      </c>
      <c r="D141" s="366">
        <v>4500156588</v>
      </c>
      <c r="E141" s="367" t="s">
        <v>12566</v>
      </c>
      <c r="F141" s="365" t="s">
        <v>12567</v>
      </c>
      <c r="G141" s="367" t="s">
        <v>6281</v>
      </c>
      <c r="H141" s="367" t="s">
        <v>6281</v>
      </c>
      <c r="I141" s="367" t="s">
        <v>6292</v>
      </c>
      <c r="J141" s="345">
        <v>992</v>
      </c>
      <c r="K141" s="345">
        <v>0</v>
      </c>
      <c r="L141" s="345">
        <v>32</v>
      </c>
      <c r="M141" s="345">
        <f t="shared" si="15"/>
        <v>31</v>
      </c>
      <c r="N141" s="353">
        <v>45750</v>
      </c>
      <c r="O141" s="353">
        <v>45747</v>
      </c>
      <c r="P141" s="353" t="s">
        <v>12562</v>
      </c>
      <c r="Q141" s="367" t="s">
        <v>12394</v>
      </c>
      <c r="R141" s="734"/>
      <c r="S141" s="809">
        <f>M141</f>
        <v>31</v>
      </c>
      <c r="T141" s="809">
        <f>J141</f>
        <v>992</v>
      </c>
      <c r="U141" s="807" t="s">
        <v>98</v>
      </c>
      <c r="V141" s="771" t="s">
        <v>12563</v>
      </c>
      <c r="W141" s="773" t="s">
        <v>6587</v>
      </c>
      <c r="X141" s="734" t="s">
        <v>6588</v>
      </c>
      <c r="Y141" s="366" t="s">
        <v>369</v>
      </c>
      <c r="Z141" s="795">
        <v>2.2905</v>
      </c>
      <c r="AA141" s="345">
        <f t="shared" si="22"/>
        <v>2272.176</v>
      </c>
      <c r="AB141" s="796"/>
      <c r="AC141" s="734" t="s">
        <v>416</v>
      </c>
      <c r="AD141" s="734"/>
      <c r="AE141" s="734"/>
      <c r="AF141" s="734"/>
      <c r="AG141" s="367">
        <f t="shared" si="33"/>
        <v>992</v>
      </c>
      <c r="AH141" s="367"/>
      <c r="AI141" s="367"/>
      <c r="AJ141" s="345">
        <v>160</v>
      </c>
      <c r="AK141" s="447"/>
      <c r="AL141" s="447">
        <f t="shared" si="34"/>
        <v>992</v>
      </c>
      <c r="AM141" s="447"/>
      <c r="AN141" s="447"/>
      <c r="AO141" s="447"/>
      <c r="AP141" s="447"/>
      <c r="AQ141" s="447"/>
      <c r="AR141" s="447"/>
      <c r="AS141" s="447"/>
      <c r="AT141" s="447"/>
      <c r="AU141" s="447"/>
      <c r="AV141" s="447"/>
      <c r="AW141" s="447" t="s">
        <v>89</v>
      </c>
      <c r="AX141" s="447"/>
      <c r="AY141" s="447">
        <f t="shared" si="35"/>
        <v>992</v>
      </c>
      <c r="AZ141" s="447"/>
      <c r="BA141" s="447"/>
      <c r="BB141" s="447"/>
      <c r="BC141" s="797"/>
      <c r="BD141" s="764"/>
      <c r="BE141" s="764">
        <f t="shared" si="31"/>
        <v>992</v>
      </c>
      <c r="BF141" s="764">
        <f t="shared" si="32"/>
        <v>0</v>
      </c>
    </row>
    <row r="142" s="400" customFormat="1" ht="50" customHeight="1" spans="1:79">
      <c r="A142" s="693">
        <v>45791</v>
      </c>
      <c r="B142" s="365" t="s">
        <v>12568</v>
      </c>
      <c r="C142" s="365" t="s">
        <v>396</v>
      </c>
      <c r="D142" s="366">
        <v>4500166334</v>
      </c>
      <c r="E142" s="367" t="s">
        <v>12569</v>
      </c>
      <c r="F142" s="366" t="s">
        <v>12570</v>
      </c>
      <c r="G142" s="367" t="s">
        <v>6106</v>
      </c>
      <c r="H142" s="367" t="s">
        <v>6104</v>
      </c>
      <c r="I142" s="345" t="s">
        <v>6105</v>
      </c>
      <c r="J142" s="345">
        <v>32</v>
      </c>
      <c r="K142" s="345">
        <v>0</v>
      </c>
      <c r="L142" s="345">
        <v>32</v>
      </c>
      <c r="M142" s="345">
        <f t="shared" si="15"/>
        <v>1</v>
      </c>
      <c r="N142" s="334">
        <v>45821</v>
      </c>
      <c r="O142" s="334">
        <v>45817</v>
      </c>
      <c r="P142" s="345" t="s">
        <v>12571</v>
      </c>
      <c r="Q142" s="367"/>
      <c r="R142" s="734"/>
      <c r="S142" s="807"/>
      <c r="T142" s="454"/>
      <c r="U142" s="454" t="s">
        <v>98</v>
      </c>
      <c r="V142" s="454" t="s">
        <v>12572</v>
      </c>
      <c r="W142" s="773"/>
      <c r="X142" s="734" t="s">
        <v>12573</v>
      </c>
      <c r="Y142" s="366" t="s">
        <v>12574</v>
      </c>
      <c r="Z142" s="345">
        <v>2.3617</v>
      </c>
      <c r="AA142" s="345">
        <f t="shared" si="22"/>
        <v>75.5744</v>
      </c>
      <c r="AB142" s="796"/>
      <c r="AC142" s="734" t="s">
        <v>416</v>
      </c>
      <c r="AD142" s="734"/>
      <c r="AE142" s="734"/>
      <c r="AF142" s="734"/>
      <c r="AG142" s="367"/>
      <c r="AH142" s="367">
        <f t="shared" ref="AH142:AH150" si="36">J142</f>
        <v>32</v>
      </c>
      <c r="AI142" s="345"/>
      <c r="AJ142" s="345">
        <f t="shared" ref="AJ142:AJ150" si="37">J142</f>
        <v>32</v>
      </c>
      <c r="AK142" s="447"/>
      <c r="AL142" s="447"/>
      <c r="AM142" s="447">
        <f t="shared" ref="AM142:AM150" si="38">J142</f>
        <v>32</v>
      </c>
      <c r="AN142" s="447"/>
      <c r="AO142" s="447"/>
      <c r="AP142" s="447"/>
      <c r="AQ142" s="447"/>
      <c r="AR142" s="447"/>
      <c r="AS142" s="447"/>
      <c r="AT142" s="447"/>
      <c r="AU142" s="447"/>
      <c r="AV142" s="447"/>
      <c r="AW142" s="447" t="s">
        <v>89</v>
      </c>
      <c r="AX142" s="447"/>
      <c r="AY142" s="447">
        <f t="shared" si="35"/>
        <v>32</v>
      </c>
      <c r="AZ142" s="447"/>
      <c r="BA142" s="447"/>
      <c r="BB142" s="447"/>
      <c r="BC142" s="797"/>
      <c r="BD142" s="764"/>
      <c r="BE142" s="764">
        <f t="shared" si="31"/>
        <v>32</v>
      </c>
      <c r="BF142" s="764">
        <f t="shared" si="32"/>
        <v>0</v>
      </c>
    </row>
    <row r="143" s="400" customFormat="1" ht="50" customHeight="1" spans="1:79">
      <c r="A143" s="693">
        <v>45791</v>
      </c>
      <c r="B143" s="365" t="s">
        <v>12568</v>
      </c>
      <c r="C143" s="365" t="s">
        <v>396</v>
      </c>
      <c r="D143" s="366">
        <v>4500166334</v>
      </c>
      <c r="E143" s="367" t="s">
        <v>12575</v>
      </c>
      <c r="F143" s="366" t="s">
        <v>12576</v>
      </c>
      <c r="G143" s="367" t="s">
        <v>6106</v>
      </c>
      <c r="H143" s="367" t="s">
        <v>6104</v>
      </c>
      <c r="I143" s="345" t="s">
        <v>6105</v>
      </c>
      <c r="J143" s="345">
        <v>32</v>
      </c>
      <c r="K143" s="345">
        <v>0</v>
      </c>
      <c r="L143" s="345">
        <v>32</v>
      </c>
      <c r="M143" s="345">
        <f t="shared" si="15"/>
        <v>1</v>
      </c>
      <c r="N143" s="334">
        <v>45821</v>
      </c>
      <c r="O143" s="334">
        <v>45817</v>
      </c>
      <c r="P143" s="345" t="s">
        <v>12571</v>
      </c>
      <c r="Q143" s="367"/>
      <c r="R143" s="734"/>
      <c r="S143" s="807"/>
      <c r="T143" s="454"/>
      <c r="U143" s="454" t="s">
        <v>98</v>
      </c>
      <c r="V143" s="454" t="s">
        <v>12572</v>
      </c>
      <c r="W143" s="773"/>
      <c r="X143" s="734" t="s">
        <v>12573</v>
      </c>
      <c r="Y143" s="366" t="s">
        <v>12574</v>
      </c>
      <c r="Z143" s="345">
        <v>2.3617</v>
      </c>
      <c r="AA143" s="345">
        <f t="shared" si="22"/>
        <v>75.5744</v>
      </c>
      <c r="AB143" s="796"/>
      <c r="AC143" s="734" t="s">
        <v>416</v>
      </c>
      <c r="AD143" s="734"/>
      <c r="AE143" s="734"/>
      <c r="AF143" s="734"/>
      <c r="AG143" s="367"/>
      <c r="AH143" s="367">
        <f t="shared" si="36"/>
        <v>32</v>
      </c>
      <c r="AI143" s="345"/>
      <c r="AJ143" s="345">
        <f t="shared" si="37"/>
        <v>32</v>
      </c>
      <c r="AK143" s="447"/>
      <c r="AL143" s="447"/>
      <c r="AM143" s="447">
        <f t="shared" si="38"/>
        <v>32</v>
      </c>
      <c r="AN143" s="447"/>
      <c r="AO143" s="447"/>
      <c r="AP143" s="447"/>
      <c r="AQ143" s="447"/>
      <c r="AR143" s="447"/>
      <c r="AS143" s="447"/>
      <c r="AT143" s="447"/>
      <c r="AU143" s="447"/>
      <c r="AV143" s="447"/>
      <c r="AW143" s="447" t="s">
        <v>89</v>
      </c>
      <c r="AX143" s="447"/>
      <c r="AY143" s="447">
        <f t="shared" si="35"/>
        <v>32</v>
      </c>
      <c r="AZ143" s="447"/>
      <c r="BA143" s="447"/>
      <c r="BB143" s="447"/>
      <c r="BC143" s="797"/>
      <c r="BD143" s="764"/>
      <c r="BE143" s="764">
        <f t="shared" si="31"/>
        <v>32</v>
      </c>
      <c r="BF143" s="764">
        <f t="shared" si="32"/>
        <v>0</v>
      </c>
    </row>
    <row r="144" s="400" customFormat="1" ht="50" customHeight="1" spans="1:79">
      <c r="A144" s="693">
        <v>45791</v>
      </c>
      <c r="B144" s="365" t="s">
        <v>12568</v>
      </c>
      <c r="C144" s="365" t="s">
        <v>396</v>
      </c>
      <c r="D144" s="366">
        <v>4500166334</v>
      </c>
      <c r="E144" s="367" t="s">
        <v>12577</v>
      </c>
      <c r="F144" s="366" t="s">
        <v>12578</v>
      </c>
      <c r="G144" s="367" t="s">
        <v>6106</v>
      </c>
      <c r="H144" s="367" t="s">
        <v>6104</v>
      </c>
      <c r="I144" s="345" t="s">
        <v>6105</v>
      </c>
      <c r="J144" s="345">
        <v>32</v>
      </c>
      <c r="K144" s="345">
        <v>0</v>
      </c>
      <c r="L144" s="345">
        <v>32</v>
      </c>
      <c r="M144" s="345">
        <f t="shared" si="15"/>
        <v>1</v>
      </c>
      <c r="N144" s="334">
        <v>45821</v>
      </c>
      <c r="O144" s="334">
        <v>45817</v>
      </c>
      <c r="P144" s="345" t="s">
        <v>12571</v>
      </c>
      <c r="Q144" s="367"/>
      <c r="R144" s="734"/>
      <c r="S144" s="807"/>
      <c r="T144" s="454"/>
      <c r="U144" s="454" t="s">
        <v>98</v>
      </c>
      <c r="V144" s="454" t="s">
        <v>12572</v>
      </c>
      <c r="W144" s="773"/>
      <c r="X144" s="734" t="s">
        <v>12573</v>
      </c>
      <c r="Y144" s="366" t="s">
        <v>12574</v>
      </c>
      <c r="Z144" s="345">
        <v>2.3617</v>
      </c>
      <c r="AA144" s="345">
        <f t="shared" si="22"/>
        <v>75.5744</v>
      </c>
      <c r="AB144" s="796"/>
      <c r="AC144" s="734" t="s">
        <v>416</v>
      </c>
      <c r="AD144" s="734"/>
      <c r="AE144" s="734"/>
      <c r="AF144" s="734"/>
      <c r="AG144" s="367"/>
      <c r="AH144" s="367">
        <f t="shared" si="36"/>
        <v>32</v>
      </c>
      <c r="AI144" s="345"/>
      <c r="AJ144" s="345">
        <f t="shared" si="37"/>
        <v>32</v>
      </c>
      <c r="AK144" s="447"/>
      <c r="AL144" s="447"/>
      <c r="AM144" s="447">
        <f t="shared" si="38"/>
        <v>32</v>
      </c>
      <c r="AN144" s="447"/>
      <c r="AO144" s="447"/>
      <c r="AP144" s="447"/>
      <c r="AQ144" s="447"/>
      <c r="AR144" s="447"/>
      <c r="AS144" s="447"/>
      <c r="AT144" s="447"/>
      <c r="AU144" s="447"/>
      <c r="AV144" s="447"/>
      <c r="AW144" s="447" t="s">
        <v>89</v>
      </c>
      <c r="AX144" s="447"/>
      <c r="AY144" s="447">
        <f t="shared" si="35"/>
        <v>32</v>
      </c>
      <c r="AZ144" s="447"/>
      <c r="BA144" s="447"/>
      <c r="BB144" s="447"/>
      <c r="BC144" s="797"/>
      <c r="BD144" s="764"/>
      <c r="BE144" s="764">
        <f t="shared" si="31"/>
        <v>32</v>
      </c>
      <c r="BF144" s="764">
        <f t="shared" si="32"/>
        <v>0</v>
      </c>
    </row>
    <row r="145" s="400" customFormat="1" ht="50" customHeight="1" spans="1:80">
      <c r="A145" s="693">
        <v>45791</v>
      </c>
      <c r="B145" s="365" t="s">
        <v>12568</v>
      </c>
      <c r="C145" s="365" t="s">
        <v>396</v>
      </c>
      <c r="D145" s="366">
        <v>4500166334</v>
      </c>
      <c r="E145" s="367" t="s">
        <v>12579</v>
      </c>
      <c r="F145" s="366" t="s">
        <v>12580</v>
      </c>
      <c r="G145" s="367" t="s">
        <v>6106</v>
      </c>
      <c r="H145" s="367" t="s">
        <v>6104</v>
      </c>
      <c r="I145" s="345" t="s">
        <v>6105</v>
      </c>
      <c r="J145" s="345">
        <v>32</v>
      </c>
      <c r="K145" s="345">
        <v>0</v>
      </c>
      <c r="L145" s="345">
        <v>32</v>
      </c>
      <c r="M145" s="345">
        <f t="shared" si="15"/>
        <v>1</v>
      </c>
      <c r="N145" s="334">
        <v>45821</v>
      </c>
      <c r="O145" s="334">
        <v>45817</v>
      </c>
      <c r="P145" s="345" t="s">
        <v>12571</v>
      </c>
      <c r="Q145" s="367"/>
      <c r="R145" s="734"/>
      <c r="S145" s="807"/>
      <c r="T145" s="454"/>
      <c r="U145" s="454" t="s">
        <v>98</v>
      </c>
      <c r="V145" s="454" t="s">
        <v>12572</v>
      </c>
      <c r="W145" s="773"/>
      <c r="X145" s="734" t="s">
        <v>12573</v>
      </c>
      <c r="Y145" s="366" t="s">
        <v>12574</v>
      </c>
      <c r="Z145" s="345">
        <v>2.1947</v>
      </c>
      <c r="AA145" s="345">
        <f t="shared" si="22"/>
        <v>70.2304</v>
      </c>
      <c r="AB145" s="796"/>
      <c r="AC145" s="734" t="s">
        <v>416</v>
      </c>
      <c r="AD145" s="734"/>
      <c r="AE145" s="734"/>
      <c r="AF145" s="734"/>
      <c r="AG145" s="367"/>
      <c r="AH145" s="367">
        <f t="shared" si="36"/>
        <v>32</v>
      </c>
      <c r="AI145" s="345"/>
      <c r="AJ145" s="345">
        <f t="shared" si="37"/>
        <v>32</v>
      </c>
      <c r="AK145" s="447"/>
      <c r="AL145" s="447"/>
      <c r="AM145" s="447">
        <f t="shared" si="38"/>
        <v>32</v>
      </c>
      <c r="AN145" s="447"/>
      <c r="AO145" s="447"/>
      <c r="AP145" s="447"/>
      <c r="AQ145" s="447"/>
      <c r="AR145" s="447"/>
      <c r="AS145" s="447"/>
      <c r="AT145" s="447"/>
      <c r="AU145" s="447"/>
      <c r="AV145" s="447"/>
      <c r="AW145" s="447" t="s">
        <v>89</v>
      </c>
      <c r="AX145" s="447"/>
      <c r="AY145" s="447">
        <f t="shared" si="35"/>
        <v>32</v>
      </c>
      <c r="AZ145" s="447"/>
      <c r="BA145" s="447"/>
      <c r="BB145" s="447"/>
      <c r="BC145" s="797"/>
      <c r="BD145" s="764"/>
      <c r="BE145" s="764">
        <f t="shared" si="31"/>
        <v>32</v>
      </c>
      <c r="BF145" s="764">
        <f t="shared" si="32"/>
        <v>0</v>
      </c>
    </row>
    <row r="146" s="400" customFormat="1" ht="50" customHeight="1" spans="1:80">
      <c r="A146" s="693">
        <v>45791</v>
      </c>
      <c r="B146" s="365" t="s">
        <v>12568</v>
      </c>
      <c r="C146" s="365" t="s">
        <v>396</v>
      </c>
      <c r="D146" s="366">
        <v>4500166334</v>
      </c>
      <c r="E146" s="367" t="s">
        <v>12581</v>
      </c>
      <c r="F146" s="366" t="s">
        <v>12582</v>
      </c>
      <c r="G146" s="367" t="s">
        <v>6106</v>
      </c>
      <c r="H146" s="367" t="s">
        <v>6104</v>
      </c>
      <c r="I146" s="345" t="s">
        <v>6105</v>
      </c>
      <c r="J146" s="345">
        <v>32</v>
      </c>
      <c r="K146" s="345">
        <v>0</v>
      </c>
      <c r="L146" s="345">
        <v>32</v>
      </c>
      <c r="M146" s="345">
        <f t="shared" si="15"/>
        <v>1</v>
      </c>
      <c r="N146" s="334">
        <v>45821</v>
      </c>
      <c r="O146" s="334">
        <v>45817</v>
      </c>
      <c r="P146" s="345" t="s">
        <v>12571</v>
      </c>
      <c r="Q146" s="367"/>
      <c r="R146" s="734"/>
      <c r="S146" s="807"/>
      <c r="T146" s="454"/>
      <c r="U146" s="454" t="s">
        <v>98</v>
      </c>
      <c r="V146" s="454" t="s">
        <v>12572</v>
      </c>
      <c r="W146" s="773"/>
      <c r="X146" s="734" t="s">
        <v>12573</v>
      </c>
      <c r="Y146" s="366" t="s">
        <v>12574</v>
      </c>
      <c r="Z146" s="345">
        <v>2.3617</v>
      </c>
      <c r="AA146" s="345">
        <f t="shared" si="22"/>
        <v>75.5744</v>
      </c>
      <c r="AB146" s="796"/>
      <c r="AC146" s="734" t="s">
        <v>416</v>
      </c>
      <c r="AD146" s="734"/>
      <c r="AE146" s="734"/>
      <c r="AF146" s="734"/>
      <c r="AG146" s="367"/>
      <c r="AH146" s="367">
        <f t="shared" si="36"/>
        <v>32</v>
      </c>
      <c r="AI146" s="345"/>
      <c r="AJ146" s="345">
        <f t="shared" si="37"/>
        <v>32</v>
      </c>
      <c r="AK146" s="447"/>
      <c r="AL146" s="447"/>
      <c r="AM146" s="447">
        <f t="shared" si="38"/>
        <v>32</v>
      </c>
      <c r="AN146" s="447"/>
      <c r="AO146" s="447"/>
      <c r="AP146" s="447"/>
      <c r="AQ146" s="447"/>
      <c r="AR146" s="447"/>
      <c r="AS146" s="447"/>
      <c r="AT146" s="447"/>
      <c r="AU146" s="447"/>
      <c r="AV146" s="447"/>
      <c r="AW146" s="447" t="s">
        <v>89</v>
      </c>
      <c r="AX146" s="447"/>
      <c r="AY146" s="447">
        <f t="shared" si="35"/>
        <v>32</v>
      </c>
      <c r="AZ146" s="447"/>
      <c r="BA146" s="447"/>
      <c r="BB146" s="447"/>
      <c r="BC146" s="797"/>
      <c r="BD146" s="764"/>
      <c r="BE146" s="764">
        <f t="shared" si="31"/>
        <v>32</v>
      </c>
      <c r="BF146" s="764">
        <f t="shared" si="32"/>
        <v>0</v>
      </c>
    </row>
    <row r="147" s="400" customFormat="1" ht="50" customHeight="1" spans="1:80">
      <c r="A147" s="693">
        <v>45791</v>
      </c>
      <c r="B147" s="365" t="s">
        <v>12568</v>
      </c>
      <c r="C147" s="365" t="s">
        <v>396</v>
      </c>
      <c r="D147" s="366">
        <v>4500166334</v>
      </c>
      <c r="E147" s="367" t="s">
        <v>12583</v>
      </c>
      <c r="F147" s="366" t="s">
        <v>12584</v>
      </c>
      <c r="G147" s="367" t="s">
        <v>6106</v>
      </c>
      <c r="H147" s="367" t="s">
        <v>6104</v>
      </c>
      <c r="I147" s="345" t="s">
        <v>6105</v>
      </c>
      <c r="J147" s="345">
        <v>32</v>
      </c>
      <c r="K147" s="345">
        <v>0</v>
      </c>
      <c r="L147" s="345">
        <v>32</v>
      </c>
      <c r="M147" s="345">
        <f t="shared" si="15"/>
        <v>1</v>
      </c>
      <c r="N147" s="334">
        <v>45821</v>
      </c>
      <c r="O147" s="334">
        <v>45817</v>
      </c>
      <c r="P147" s="345" t="s">
        <v>12571</v>
      </c>
      <c r="Q147" s="367"/>
      <c r="R147" s="734"/>
      <c r="S147" s="807"/>
      <c r="T147" s="454"/>
      <c r="U147" s="454" t="s">
        <v>98</v>
      </c>
      <c r="V147" s="454" t="s">
        <v>12572</v>
      </c>
      <c r="W147" s="773"/>
      <c r="X147" s="734" t="s">
        <v>12573</v>
      </c>
      <c r="Y147" s="366" t="s">
        <v>12574</v>
      </c>
      <c r="Z147" s="345">
        <v>2.3617</v>
      </c>
      <c r="AA147" s="345">
        <f t="shared" si="22"/>
        <v>75.5744</v>
      </c>
      <c r="AB147" s="796"/>
      <c r="AC147" s="734" t="s">
        <v>416</v>
      </c>
      <c r="AD147" s="734"/>
      <c r="AE147" s="734"/>
      <c r="AF147" s="734"/>
      <c r="AG147" s="367"/>
      <c r="AH147" s="367">
        <f t="shared" si="36"/>
        <v>32</v>
      </c>
      <c r="AI147" s="345"/>
      <c r="AJ147" s="345">
        <f t="shared" si="37"/>
        <v>32</v>
      </c>
      <c r="AK147" s="447"/>
      <c r="AL147" s="447"/>
      <c r="AM147" s="447">
        <f t="shared" si="38"/>
        <v>32</v>
      </c>
      <c r="AN147" s="447"/>
      <c r="AO147" s="447"/>
      <c r="AP147" s="447"/>
      <c r="AQ147" s="447"/>
      <c r="AR147" s="447"/>
      <c r="AS147" s="447"/>
      <c r="AT147" s="447"/>
      <c r="AU147" s="447"/>
      <c r="AV147" s="447"/>
      <c r="AW147" s="447" t="s">
        <v>89</v>
      </c>
      <c r="AX147" s="447"/>
      <c r="AY147" s="447">
        <f t="shared" si="35"/>
        <v>32</v>
      </c>
      <c r="AZ147" s="447"/>
      <c r="BA147" s="447"/>
      <c r="BB147" s="447"/>
      <c r="BC147" s="797"/>
      <c r="BD147" s="764"/>
      <c r="BE147" s="764">
        <f t="shared" si="31"/>
        <v>32</v>
      </c>
      <c r="BF147" s="764">
        <f t="shared" si="32"/>
        <v>0</v>
      </c>
    </row>
    <row r="148" s="400" customFormat="1" ht="50" customHeight="1" spans="1:80">
      <c r="A148" s="693">
        <v>45791</v>
      </c>
      <c r="B148" s="365" t="s">
        <v>12568</v>
      </c>
      <c r="C148" s="365" t="s">
        <v>396</v>
      </c>
      <c r="D148" s="366">
        <v>4500166334</v>
      </c>
      <c r="E148" s="367" t="s">
        <v>12585</v>
      </c>
      <c r="F148" s="366" t="s">
        <v>12586</v>
      </c>
      <c r="G148" s="367" t="s">
        <v>6106</v>
      </c>
      <c r="H148" s="367" t="s">
        <v>6104</v>
      </c>
      <c r="I148" s="345" t="s">
        <v>6105</v>
      </c>
      <c r="J148" s="345">
        <v>32</v>
      </c>
      <c r="K148" s="345">
        <v>0</v>
      </c>
      <c r="L148" s="345">
        <v>32</v>
      </c>
      <c r="M148" s="345">
        <f t="shared" si="15"/>
        <v>1</v>
      </c>
      <c r="N148" s="334">
        <v>45821</v>
      </c>
      <c r="O148" s="334">
        <v>45817</v>
      </c>
      <c r="P148" s="345" t="s">
        <v>12571</v>
      </c>
      <c r="Q148" s="367"/>
      <c r="R148" s="734"/>
      <c r="S148" s="807"/>
      <c r="T148" s="454"/>
      <c r="U148" s="454" t="s">
        <v>98</v>
      </c>
      <c r="V148" s="454" t="s">
        <v>12572</v>
      </c>
      <c r="W148" s="773"/>
      <c r="X148" s="734" t="s">
        <v>12573</v>
      </c>
      <c r="Y148" s="366" t="s">
        <v>12574</v>
      </c>
      <c r="Z148" s="345">
        <v>2.3617</v>
      </c>
      <c r="AA148" s="345">
        <f t="shared" si="22"/>
        <v>75.5744</v>
      </c>
      <c r="AB148" s="796"/>
      <c r="AC148" s="734" t="s">
        <v>416</v>
      </c>
      <c r="AD148" s="734"/>
      <c r="AE148" s="734"/>
      <c r="AF148" s="734"/>
      <c r="AG148" s="367"/>
      <c r="AH148" s="367">
        <f t="shared" si="36"/>
        <v>32</v>
      </c>
      <c r="AI148" s="345"/>
      <c r="AJ148" s="345">
        <f t="shared" si="37"/>
        <v>32</v>
      </c>
      <c r="AK148" s="447"/>
      <c r="AL148" s="447"/>
      <c r="AM148" s="447">
        <f t="shared" si="38"/>
        <v>32</v>
      </c>
      <c r="AN148" s="447"/>
      <c r="AO148" s="447"/>
      <c r="AP148" s="447"/>
      <c r="AQ148" s="447"/>
      <c r="AR148" s="447"/>
      <c r="AS148" s="447"/>
      <c r="AT148" s="447"/>
      <c r="AU148" s="447"/>
      <c r="AV148" s="447"/>
      <c r="AW148" s="447" t="s">
        <v>89</v>
      </c>
      <c r="AX148" s="447"/>
      <c r="AY148" s="447">
        <f t="shared" si="35"/>
        <v>32</v>
      </c>
      <c r="AZ148" s="447"/>
      <c r="BA148" s="447"/>
      <c r="BB148" s="447"/>
      <c r="BC148" s="797"/>
      <c r="BD148" s="764"/>
      <c r="BE148" s="764">
        <f t="shared" si="31"/>
        <v>32</v>
      </c>
      <c r="BF148" s="764">
        <f t="shared" si="32"/>
        <v>0</v>
      </c>
    </row>
    <row r="149" s="251" customFormat="1" ht="57" customHeight="1" spans="1:80">
      <c r="A149" s="810">
        <v>45713</v>
      </c>
      <c r="B149" s="364" t="s">
        <v>2791</v>
      </c>
      <c r="C149" s="377" t="s">
        <v>91</v>
      </c>
      <c r="D149" s="811">
        <v>4500158476</v>
      </c>
      <c r="E149" s="324">
        <v>4477</v>
      </c>
      <c r="F149" s="812" t="s">
        <v>12587</v>
      </c>
      <c r="G149" s="324" t="s">
        <v>360</v>
      </c>
      <c r="H149" s="324" t="s">
        <v>327</v>
      </c>
      <c r="I149" s="333" t="s">
        <v>328</v>
      </c>
      <c r="J149" s="333">
        <v>360</v>
      </c>
      <c r="K149" s="333">
        <v>0</v>
      </c>
      <c r="L149" s="333">
        <v>12</v>
      </c>
      <c r="M149" s="333">
        <f t="shared" si="15"/>
        <v>30</v>
      </c>
      <c r="N149" s="334">
        <v>45762</v>
      </c>
      <c r="O149" s="334">
        <v>45758</v>
      </c>
      <c r="P149" s="813" t="s">
        <v>12588</v>
      </c>
      <c r="Q149" s="367"/>
      <c r="R149" s="734" t="s">
        <v>12589</v>
      </c>
      <c r="S149" s="814">
        <v>0</v>
      </c>
      <c r="T149" s="815">
        <v>0</v>
      </c>
      <c r="U149" s="454" t="s">
        <v>98</v>
      </c>
      <c r="V149" s="454" t="s">
        <v>12572</v>
      </c>
      <c r="W149" s="773"/>
      <c r="X149" s="734" t="s">
        <v>12573</v>
      </c>
      <c r="Y149" s="366" t="s">
        <v>12574</v>
      </c>
      <c r="Z149" s="345">
        <v>2.3617</v>
      </c>
      <c r="AA149" s="345">
        <f t="shared" si="22"/>
        <v>850.212</v>
      </c>
      <c r="AB149" s="796"/>
      <c r="AC149" s="734" t="s">
        <v>416</v>
      </c>
      <c r="AD149" s="734"/>
      <c r="AE149" s="734"/>
      <c r="AF149" s="734"/>
      <c r="AG149" s="367"/>
      <c r="AH149" s="367">
        <f t="shared" si="36"/>
        <v>360</v>
      </c>
      <c r="AI149" s="345"/>
      <c r="AJ149" s="345">
        <f t="shared" si="37"/>
        <v>360</v>
      </c>
      <c r="AK149" s="447"/>
      <c r="AL149" s="447"/>
      <c r="AM149" s="447">
        <f t="shared" si="38"/>
        <v>360</v>
      </c>
      <c r="AN149" s="447"/>
      <c r="AO149" s="447"/>
      <c r="AP149" s="447"/>
      <c r="AQ149" s="447"/>
      <c r="AR149" s="447"/>
      <c r="AS149" s="447"/>
      <c r="AT149" s="447"/>
      <c r="AU149" s="447"/>
      <c r="AV149" s="447"/>
      <c r="AW149" s="447" t="s">
        <v>89</v>
      </c>
      <c r="AX149" s="447"/>
      <c r="AY149" s="447">
        <f t="shared" si="35"/>
        <v>360</v>
      </c>
      <c r="AZ149" s="447"/>
      <c r="BA149" s="447"/>
      <c r="BB149" s="447"/>
      <c r="BC149" s="797"/>
      <c r="BD149" s="764"/>
      <c r="BE149" s="764">
        <f t="shared" si="31"/>
        <v>360</v>
      </c>
      <c r="BF149" s="764">
        <f t="shared" si="32"/>
        <v>0</v>
      </c>
      <c r="BG149" s="400"/>
      <c r="BH149" s="400"/>
      <c r="BI149" s="400"/>
      <c r="BJ149" s="400"/>
      <c r="BK149" s="400"/>
      <c r="BL149" s="400"/>
      <c r="BM149" s="400"/>
      <c r="BN149" s="400"/>
      <c r="BO149" s="400"/>
      <c r="BV149" s="816">
        <f>SUM(BH149:BU149)</f>
        <v>0</v>
      </c>
      <c r="BW149" s="333">
        <f>J149-BV149</f>
        <v>360</v>
      </c>
      <c r="BZ149" s="817"/>
      <c r="CA149" s="817"/>
      <c r="CB149" s="817"/>
    </row>
    <row r="150" s="400" customFormat="1" ht="50" customHeight="1" spans="1:80">
      <c r="A150" s="693">
        <v>45798</v>
      </c>
      <c r="B150" s="365" t="s">
        <v>1016</v>
      </c>
      <c r="C150" s="365" t="s">
        <v>396</v>
      </c>
      <c r="D150" s="366">
        <v>4500167361</v>
      </c>
      <c r="E150" s="345" t="s">
        <v>12590</v>
      </c>
      <c r="F150" s="365" t="s">
        <v>12591</v>
      </c>
      <c r="G150" s="367"/>
      <c r="H150" s="367" t="s">
        <v>7030</v>
      </c>
      <c r="I150" s="345"/>
      <c r="J150" s="345">
        <v>32</v>
      </c>
      <c r="K150" s="345">
        <v>0</v>
      </c>
      <c r="L150" s="345">
        <v>32</v>
      </c>
      <c r="M150" s="345">
        <f t="shared" si="15"/>
        <v>1</v>
      </c>
      <c r="N150" s="353">
        <v>45834</v>
      </c>
      <c r="O150" s="353">
        <v>45831</v>
      </c>
      <c r="P150" s="345" t="s">
        <v>12592</v>
      </c>
      <c r="Q150" s="367"/>
      <c r="R150" s="734"/>
      <c r="S150" s="807"/>
      <c r="T150" s="454"/>
      <c r="U150" s="454" t="s">
        <v>98</v>
      </c>
      <c r="V150" s="454" t="s">
        <v>12572</v>
      </c>
      <c r="W150" s="773"/>
      <c r="X150" s="734" t="s">
        <v>12573</v>
      </c>
      <c r="Y150" s="366" t="s">
        <v>12574</v>
      </c>
      <c r="Z150" s="345">
        <v>2.3617</v>
      </c>
      <c r="AA150" s="345">
        <f t="shared" si="22"/>
        <v>75.5744</v>
      </c>
      <c r="AB150" s="796"/>
      <c r="AC150" s="734" t="s">
        <v>416</v>
      </c>
      <c r="AD150" s="734"/>
      <c r="AE150" s="734"/>
      <c r="AF150" s="734"/>
      <c r="AG150" s="367"/>
      <c r="AH150" s="367">
        <f t="shared" si="36"/>
        <v>32</v>
      </c>
      <c r="AI150" s="345"/>
      <c r="AJ150" s="345">
        <f t="shared" si="37"/>
        <v>32</v>
      </c>
      <c r="AK150" s="447"/>
      <c r="AL150" s="447"/>
      <c r="AM150" s="447">
        <f t="shared" si="38"/>
        <v>32</v>
      </c>
      <c r="AN150" s="447"/>
      <c r="AO150" s="447"/>
      <c r="AP150" s="447"/>
      <c r="AQ150" s="447"/>
      <c r="AR150" s="447"/>
      <c r="AS150" s="447"/>
      <c r="AT150" s="447"/>
      <c r="AU150" s="447"/>
      <c r="AV150" s="447"/>
      <c r="AW150" s="447" t="s">
        <v>89</v>
      </c>
      <c r="AX150" s="447"/>
      <c r="AY150" s="447">
        <f t="shared" si="35"/>
        <v>32</v>
      </c>
      <c r="AZ150" s="447"/>
      <c r="BA150" s="447"/>
      <c r="BB150" s="447"/>
      <c r="BC150" s="797"/>
      <c r="BD150" s="764"/>
      <c r="BE150" s="764">
        <f t="shared" si="31"/>
        <v>32</v>
      </c>
      <c r="BF150" s="764">
        <f t="shared" si="32"/>
        <v>0</v>
      </c>
    </row>
    <row r="151" s="400" customFormat="1" ht="50" customHeight="1" spans="1:80">
      <c r="A151" s="693">
        <v>45798</v>
      </c>
      <c r="B151" s="365" t="s">
        <v>1016</v>
      </c>
      <c r="C151" s="365" t="s">
        <v>396</v>
      </c>
      <c r="D151" s="366">
        <v>4500167361</v>
      </c>
      <c r="E151" s="345" t="s">
        <v>12593</v>
      </c>
      <c r="F151" s="365" t="s">
        <v>12594</v>
      </c>
      <c r="G151" s="367"/>
      <c r="H151" s="367" t="s">
        <v>7030</v>
      </c>
      <c r="I151" s="345"/>
      <c r="J151" s="345">
        <v>32</v>
      </c>
      <c r="K151" s="345">
        <v>0</v>
      </c>
      <c r="L151" s="345">
        <v>32</v>
      </c>
      <c r="M151" s="345">
        <f t="shared" si="15"/>
        <v>1</v>
      </c>
      <c r="N151" s="353">
        <v>45834</v>
      </c>
      <c r="O151" s="353">
        <v>45831</v>
      </c>
      <c r="P151" s="345" t="s">
        <v>12592</v>
      </c>
      <c r="Q151" s="367"/>
      <c r="R151" s="734"/>
      <c r="S151" s="807"/>
      <c r="T151" s="454"/>
      <c r="U151" s="454"/>
      <c r="V151" s="454"/>
      <c r="W151" s="802"/>
      <c r="X151" s="734" t="s">
        <v>7013</v>
      </c>
      <c r="Y151" s="366" t="s">
        <v>369</v>
      </c>
      <c r="Z151" s="345">
        <v>2.2482</v>
      </c>
      <c r="AA151" s="345">
        <f t="shared" ref="AA150:AA154" si="39">Z151*J151</f>
        <v>71.9424</v>
      </c>
      <c r="AB151" s="796"/>
      <c r="AC151" s="734"/>
      <c r="AD151" s="734"/>
      <c r="AE151" s="734"/>
      <c r="AF151" s="734"/>
      <c r="AG151" s="367"/>
      <c r="AH151" s="367"/>
      <c r="AI151" s="367"/>
      <c r="AJ151" s="345"/>
      <c r="AK151" s="447"/>
      <c r="AL151" s="447"/>
      <c r="AM151" s="447"/>
      <c r="AN151" s="447"/>
      <c r="AO151" s="447"/>
      <c r="AP151" s="447"/>
      <c r="AQ151" s="447"/>
      <c r="AR151" s="447"/>
      <c r="AS151" s="447"/>
      <c r="AT151" s="447"/>
      <c r="AU151" s="447"/>
      <c r="AV151" s="447"/>
      <c r="AW151" s="447"/>
      <c r="AX151" s="447"/>
      <c r="AY151" s="447"/>
      <c r="AZ151" s="447"/>
      <c r="BA151" s="447"/>
      <c r="BB151" s="447"/>
      <c r="BC151" s="797"/>
      <c r="BD151" s="764"/>
      <c r="BE151" s="764"/>
      <c r="BF151" s="764"/>
    </row>
    <row r="152" s="400" customFormat="1" ht="50" customHeight="1" spans="1:80">
      <c r="A152" s="693">
        <v>45798</v>
      </c>
      <c r="B152" s="365" t="s">
        <v>1016</v>
      </c>
      <c r="C152" s="365" t="s">
        <v>396</v>
      </c>
      <c r="D152" s="366">
        <v>4500167361</v>
      </c>
      <c r="E152" s="345" t="s">
        <v>12595</v>
      </c>
      <c r="F152" s="365" t="s">
        <v>12596</v>
      </c>
      <c r="G152" s="367"/>
      <c r="H152" s="367" t="s">
        <v>7030</v>
      </c>
      <c r="I152" s="345"/>
      <c r="J152" s="345">
        <v>32</v>
      </c>
      <c r="K152" s="345">
        <v>0</v>
      </c>
      <c r="L152" s="345">
        <v>32</v>
      </c>
      <c r="M152" s="345">
        <f t="shared" si="15"/>
        <v>1</v>
      </c>
      <c r="N152" s="353">
        <v>45834</v>
      </c>
      <c r="O152" s="353">
        <v>45831</v>
      </c>
      <c r="P152" s="345" t="s">
        <v>12592</v>
      </c>
      <c r="Q152" s="367"/>
      <c r="R152" s="734"/>
      <c r="S152" s="807"/>
      <c r="T152" s="454"/>
      <c r="U152" s="454"/>
      <c r="V152" s="454"/>
      <c r="W152" s="802"/>
      <c r="X152" s="734" t="s">
        <v>7013</v>
      </c>
      <c r="Y152" s="366" t="s">
        <v>369</v>
      </c>
      <c r="Z152" s="345">
        <v>2.2482</v>
      </c>
      <c r="AA152" s="345">
        <f t="shared" si="39"/>
        <v>71.9424</v>
      </c>
      <c r="AB152" s="796"/>
      <c r="AC152" s="734"/>
      <c r="AD152" s="734"/>
      <c r="AE152" s="734"/>
      <c r="AF152" s="734"/>
      <c r="AG152" s="367"/>
      <c r="AH152" s="367"/>
      <c r="AI152" s="367"/>
      <c r="AJ152" s="345"/>
      <c r="AK152" s="447"/>
      <c r="AL152" s="447"/>
      <c r="AM152" s="447"/>
      <c r="AN152" s="447"/>
      <c r="AO152" s="447"/>
      <c r="AP152" s="447"/>
      <c r="AQ152" s="447"/>
      <c r="AR152" s="447"/>
      <c r="AS152" s="447"/>
      <c r="AT152" s="447"/>
      <c r="AU152" s="447"/>
      <c r="AV152" s="447"/>
      <c r="AW152" s="447"/>
      <c r="AX152" s="447"/>
      <c r="AY152" s="447"/>
      <c r="AZ152" s="447"/>
      <c r="BA152" s="447"/>
      <c r="BB152" s="447"/>
      <c r="BC152" s="797"/>
      <c r="BD152" s="764"/>
      <c r="BE152" s="764"/>
      <c r="BF152" s="764"/>
    </row>
    <row r="153" s="400" customFormat="1" ht="50" customHeight="1" spans="1:80">
      <c r="A153" s="693">
        <v>45798</v>
      </c>
      <c r="B153" s="365" t="s">
        <v>1016</v>
      </c>
      <c r="C153" s="365" t="s">
        <v>396</v>
      </c>
      <c r="D153" s="366">
        <v>4500167361</v>
      </c>
      <c r="E153" s="345" t="s">
        <v>12597</v>
      </c>
      <c r="F153" s="365" t="s">
        <v>12598</v>
      </c>
      <c r="G153" s="367"/>
      <c r="H153" s="367" t="s">
        <v>7030</v>
      </c>
      <c r="I153" s="345"/>
      <c r="J153" s="345">
        <v>32</v>
      </c>
      <c r="K153" s="345">
        <v>0</v>
      </c>
      <c r="L153" s="345">
        <v>32</v>
      </c>
      <c r="M153" s="345">
        <f t="shared" si="15"/>
        <v>1</v>
      </c>
      <c r="N153" s="353">
        <v>45834</v>
      </c>
      <c r="O153" s="353">
        <v>45831</v>
      </c>
      <c r="P153" s="345" t="s">
        <v>12592</v>
      </c>
      <c r="Q153" s="367"/>
      <c r="R153" s="734"/>
      <c r="S153" s="807"/>
      <c r="T153" s="454"/>
      <c r="U153" s="454"/>
      <c r="V153" s="454"/>
      <c r="W153" s="802"/>
      <c r="X153" s="734" t="s">
        <v>7013</v>
      </c>
      <c r="Y153" s="366" t="s">
        <v>369</v>
      </c>
      <c r="Z153" s="345">
        <v>2.2482</v>
      </c>
      <c r="AA153" s="345">
        <f t="shared" si="39"/>
        <v>71.9424</v>
      </c>
      <c r="AB153" s="796"/>
      <c r="AC153" s="734"/>
      <c r="AD153" s="734"/>
      <c r="AE153" s="734"/>
      <c r="AF153" s="734"/>
      <c r="AG153" s="367"/>
      <c r="AH153" s="367"/>
      <c r="AI153" s="367"/>
      <c r="AJ153" s="345"/>
      <c r="AK153" s="447"/>
      <c r="AL153" s="447"/>
      <c r="AM153" s="447"/>
      <c r="AN153" s="447"/>
      <c r="AO153" s="447"/>
      <c r="AP153" s="447"/>
      <c r="AQ153" s="447"/>
      <c r="AR153" s="447"/>
      <c r="AS153" s="447"/>
      <c r="AT153" s="447"/>
      <c r="AU153" s="447"/>
      <c r="AV153" s="447"/>
      <c r="AW153" s="447"/>
      <c r="AX153" s="447"/>
      <c r="AY153" s="447"/>
      <c r="AZ153" s="447"/>
      <c r="BA153" s="447"/>
      <c r="BB153" s="447"/>
      <c r="BC153" s="797"/>
      <c r="BD153" s="764"/>
      <c r="BE153" s="764"/>
      <c r="BF153" s="764"/>
    </row>
    <row r="154" s="251" customFormat="1" ht="50" customHeight="1" spans="1:80">
      <c r="A154" s="801">
        <v>45798</v>
      </c>
      <c r="B154" s="331" t="s">
        <v>1016</v>
      </c>
      <c r="C154" s="324" t="s">
        <v>396</v>
      </c>
      <c r="D154" s="332">
        <v>4500167361</v>
      </c>
      <c r="E154" s="324" t="s">
        <v>12599</v>
      </c>
      <c r="F154" s="332" t="s">
        <v>12600</v>
      </c>
      <c r="G154" s="308" t="s">
        <v>2676</v>
      </c>
      <c r="H154" s="324" t="s">
        <v>2676</v>
      </c>
      <c r="I154" s="324" t="s">
        <v>2677</v>
      </c>
      <c r="J154" s="333">
        <v>12</v>
      </c>
      <c r="K154" s="333">
        <v>0</v>
      </c>
      <c r="L154" s="333">
        <v>12</v>
      </c>
      <c r="M154" s="333">
        <f t="shared" si="15"/>
        <v>1</v>
      </c>
      <c r="N154" s="334">
        <v>45834</v>
      </c>
      <c r="O154" s="334">
        <v>45831</v>
      </c>
      <c r="P154" s="456" t="s">
        <v>12601</v>
      </c>
      <c r="Q154" s="369" t="s">
        <v>12412</v>
      </c>
      <c r="R154" s="323"/>
      <c r="S154" s="807"/>
      <c r="T154" s="454"/>
      <c r="U154" s="454" t="s">
        <v>4163</v>
      </c>
      <c r="V154" s="454"/>
      <c r="W154" s="320"/>
      <c r="X154" s="323" t="s">
        <v>3949</v>
      </c>
      <c r="Y154" s="333" t="s">
        <v>369</v>
      </c>
      <c r="Z154" s="333">
        <v>2.0433</v>
      </c>
      <c r="AA154" s="333">
        <f t="shared" si="39"/>
        <v>24.5196</v>
      </c>
      <c r="AB154" s="323"/>
      <c r="AC154" s="323" t="s">
        <v>416</v>
      </c>
      <c r="AD154" s="322"/>
      <c r="AE154" s="323"/>
      <c r="AF154" s="323"/>
      <c r="AG154" s="324"/>
      <c r="AH154" s="333"/>
      <c r="AI154" s="333"/>
      <c r="AJ154" s="324"/>
      <c r="AK154" s="324">
        <f>J154</f>
        <v>12</v>
      </c>
      <c r="AL154" s="324"/>
      <c r="AM154" s="333"/>
      <c r="AN154" s="333">
        <f t="shared" ref="AN154:AN159" si="40">J154</f>
        <v>12</v>
      </c>
      <c r="AO154" s="333"/>
      <c r="AP154" s="340"/>
      <c r="AQ154" s="340"/>
      <c r="AR154" s="340"/>
      <c r="AS154" s="340"/>
      <c r="AT154" s="340">
        <f>J154</f>
        <v>12</v>
      </c>
      <c r="AU154" s="340"/>
      <c r="AV154" s="340"/>
      <c r="AW154" s="340"/>
      <c r="AX154" s="340"/>
      <c r="AY154" s="340"/>
      <c r="AZ154" s="340"/>
      <c r="BA154" s="340"/>
      <c r="BB154" s="340"/>
      <c r="BC154" s="340"/>
      <c r="BD154" s="340" t="s">
        <v>89</v>
      </c>
      <c r="BE154" s="340"/>
      <c r="BF154" s="340"/>
      <c r="BG154" s="340">
        <f>J154-BL154</f>
        <v>11.8</v>
      </c>
      <c r="BH154" s="340"/>
      <c r="BI154" s="340"/>
      <c r="BJ154" s="340"/>
      <c r="BK154" s="340"/>
      <c r="BL154" s="340">
        <f>J154/60*1</f>
        <v>0.2</v>
      </c>
      <c r="BM154" s="340"/>
      <c r="BN154" s="340"/>
      <c r="BO154" s="340"/>
      <c r="BP154" s="340"/>
      <c r="BQ154" s="340"/>
      <c r="BR154" s="818"/>
      <c r="BS154" s="819"/>
      <c r="BT154" s="806">
        <f t="shared" ref="BT154:BT159" si="41">SUM(BF154:BS154)</f>
        <v>12</v>
      </c>
      <c r="BU154" s="820">
        <f t="shared" ref="BU154:BU159" si="42">J154-BT154</f>
        <v>0</v>
      </c>
      <c r="BV154" s="817"/>
      <c r="BW154" s="817"/>
      <c r="BX154" s="817"/>
    </row>
    <row r="155" s="676" customFormat="1" ht="50" customHeight="1" spans="1:80">
      <c r="A155" s="821">
        <v>45803</v>
      </c>
      <c r="B155" s="822" t="s">
        <v>672</v>
      </c>
      <c r="C155" s="456" t="s">
        <v>673</v>
      </c>
      <c r="D155" s="823">
        <v>4500167954</v>
      </c>
      <c r="E155" s="456">
        <v>5000001898</v>
      </c>
      <c r="F155" s="823" t="s">
        <v>12602</v>
      </c>
      <c r="G155" s="456"/>
      <c r="H155" s="456" t="s">
        <v>508</v>
      </c>
      <c r="I155" s="456" t="s">
        <v>328</v>
      </c>
      <c r="J155" s="824">
        <v>2400</v>
      </c>
      <c r="K155" s="825">
        <v>0</v>
      </c>
      <c r="L155" s="825">
        <v>6</v>
      </c>
      <c r="M155" s="825">
        <f t="shared" si="15"/>
        <v>400</v>
      </c>
      <c r="N155" s="826">
        <v>45833</v>
      </c>
      <c r="O155" s="826">
        <v>45829</v>
      </c>
      <c r="P155" s="456" t="s">
        <v>12603</v>
      </c>
      <c r="Q155" s="825" t="s">
        <v>12405</v>
      </c>
      <c r="R155" s="827"/>
      <c r="S155" s="828"/>
      <c r="T155" s="829">
        <f>J155/6</f>
        <v>400</v>
      </c>
      <c r="U155" s="830" t="s">
        <v>12604</v>
      </c>
      <c r="V155" s="828"/>
      <c r="W155" s="825"/>
      <c r="X155" s="827" t="s">
        <v>12605</v>
      </c>
      <c r="Y155" s="825" t="s">
        <v>993</v>
      </c>
      <c r="Z155" s="831">
        <v>2.1089</v>
      </c>
      <c r="AA155" s="825">
        <f>J155*Z155</f>
        <v>5061.36</v>
      </c>
      <c r="AB155" s="827"/>
      <c r="AC155" s="827"/>
      <c r="AD155" s="324"/>
      <c r="AE155" s="456">
        <f>J155</f>
        <v>2400</v>
      </c>
      <c r="AF155" s="324"/>
      <c r="AG155" s="456"/>
      <c r="AH155" s="456"/>
      <c r="AI155" s="825"/>
      <c r="AJ155" s="340"/>
      <c r="AK155" s="832">
        <f>J155</f>
        <v>2400</v>
      </c>
      <c r="AL155" s="832"/>
      <c r="AM155" s="340"/>
      <c r="AN155" s="340"/>
      <c r="AO155" s="832">
        <f>J155</f>
        <v>2400</v>
      </c>
      <c r="AP155" s="832"/>
      <c r="AQ155" s="340"/>
      <c r="AR155" s="833"/>
      <c r="AS155" s="833"/>
      <c r="AT155" s="832">
        <f>J155/6</f>
        <v>400</v>
      </c>
      <c r="AU155" s="833"/>
      <c r="AV155" s="833"/>
      <c r="AW155" s="832"/>
      <c r="AX155" s="834"/>
      <c r="AY155" s="833"/>
      <c r="AZ155" s="834"/>
      <c r="BA155" s="834"/>
      <c r="BB155" s="834"/>
      <c r="BC155" s="834"/>
      <c r="BD155" s="832"/>
      <c r="BE155" s="834"/>
      <c r="BF155" s="832"/>
      <c r="BG155" s="835" t="s">
        <v>682</v>
      </c>
      <c r="BH155" s="836">
        <f>J155/60*1</f>
        <v>40</v>
      </c>
      <c r="BI155" s="837">
        <f>J155/60*9</f>
        <v>360</v>
      </c>
      <c r="BJ155" s="837">
        <f t="shared" ref="BJ155:BJ159" si="43">J155/60*10</f>
        <v>400</v>
      </c>
      <c r="BK155" s="837">
        <f>J155/60*10</f>
        <v>400</v>
      </c>
      <c r="BL155" s="837">
        <f>J155/60*10</f>
        <v>400</v>
      </c>
      <c r="BM155" s="838">
        <f>J155/60*10</f>
        <v>400</v>
      </c>
      <c r="BN155" s="832">
        <f>J155/60*10</f>
        <v>400</v>
      </c>
      <c r="BO155" s="839"/>
      <c r="BP155" s="840"/>
      <c r="BQ155" s="840"/>
      <c r="BR155" s="840"/>
      <c r="BS155" s="840"/>
      <c r="BT155" s="841"/>
      <c r="BU155" s="842"/>
      <c r="BV155" s="843">
        <f>SUM(BH155:BU155)</f>
        <v>2400</v>
      </c>
      <c r="BW155" s="825">
        <f>J155-BV155</f>
        <v>0</v>
      </c>
      <c r="BX155" s="844"/>
      <c r="BY155" s="844"/>
      <c r="BZ155" s="845"/>
      <c r="CA155" s="845"/>
      <c r="CB155" s="845"/>
    </row>
    <row r="156" s="254" customFormat="1" ht="50" customHeight="1" spans="1:80">
      <c r="A156" s="846">
        <v>45726</v>
      </c>
      <c r="B156" s="317" t="s">
        <v>2285</v>
      </c>
      <c r="C156" s="318" t="s">
        <v>351</v>
      </c>
      <c r="D156" s="319">
        <v>4500159511</v>
      </c>
      <c r="E156" s="318" t="s">
        <v>3330</v>
      </c>
      <c r="F156" s="319" t="s">
        <v>12606</v>
      </c>
      <c r="G156" s="318" t="s">
        <v>2577</v>
      </c>
      <c r="H156" s="318" t="s">
        <v>2577</v>
      </c>
      <c r="I156" s="318" t="s">
        <v>2578</v>
      </c>
      <c r="J156" s="320">
        <v>1896</v>
      </c>
      <c r="K156" s="320">
        <v>0</v>
      </c>
      <c r="L156" s="320">
        <v>12</v>
      </c>
      <c r="M156" s="320">
        <f t="shared" si="15"/>
        <v>158</v>
      </c>
      <c r="N156" s="321">
        <v>45806</v>
      </c>
      <c r="O156" s="321">
        <v>45803</v>
      </c>
      <c r="P156" s="318" t="s">
        <v>12607</v>
      </c>
      <c r="Q156" s="363"/>
      <c r="R156" s="847" t="s">
        <v>12608</v>
      </c>
      <c r="S156" s="828"/>
      <c r="T156" s="848"/>
      <c r="U156" s="848" t="s">
        <v>3586</v>
      </c>
      <c r="V156" s="848"/>
      <c r="W156" s="847"/>
      <c r="X156" s="847" t="s">
        <v>12609</v>
      </c>
      <c r="Y156" s="320" t="s">
        <v>1199</v>
      </c>
      <c r="Z156" s="320">
        <v>2.1844</v>
      </c>
      <c r="AA156" s="320">
        <f t="shared" ref="AA156:AA186" si="44">Z156*J156</f>
        <v>4141.6224</v>
      </c>
      <c r="AB156" s="847"/>
      <c r="AC156" s="847" t="s">
        <v>416</v>
      </c>
      <c r="AD156" s="322"/>
      <c r="AE156" s="323"/>
      <c r="AF156" s="323"/>
      <c r="AG156" s="324"/>
      <c r="AH156" s="320">
        <f t="shared" ref="AH156:AH159" si="45">J156</f>
        <v>1896</v>
      </c>
      <c r="AI156" s="320"/>
      <c r="AJ156" s="324"/>
      <c r="AK156" s="318"/>
      <c r="AL156" s="318"/>
      <c r="AM156" s="320"/>
      <c r="AN156" s="320">
        <f t="shared" si="40"/>
        <v>1896</v>
      </c>
      <c r="AO156" s="320"/>
      <c r="AP156" s="325"/>
      <c r="AQ156" s="340"/>
      <c r="AR156" s="325">
        <f t="shared" ref="AR156:AR159" si="46">J156</f>
        <v>1896</v>
      </c>
      <c r="AS156" s="340"/>
      <c r="AT156" s="325"/>
      <c r="AU156" s="325">
        <f>J156/6</f>
        <v>316</v>
      </c>
      <c r="AV156" s="325"/>
      <c r="AW156" s="325"/>
      <c r="AX156" s="325"/>
      <c r="AY156" s="325"/>
      <c r="AZ156" s="325"/>
      <c r="BA156" s="325"/>
      <c r="BB156" s="325"/>
      <c r="BC156" s="325"/>
      <c r="BD156" s="325" t="s">
        <v>89</v>
      </c>
      <c r="BE156" s="325"/>
      <c r="BF156" s="325">
        <f t="shared" ref="BF156:BF159" si="47">J156/60*10</f>
        <v>316</v>
      </c>
      <c r="BG156" s="325">
        <f t="shared" ref="BG156:BG159" si="48">J156/60*10</f>
        <v>316</v>
      </c>
      <c r="BH156" s="325">
        <f t="shared" ref="BH156:BH159" si="49">J156/60*10</f>
        <v>316</v>
      </c>
      <c r="BI156" s="325">
        <f t="shared" ref="BI156:BI159" si="50">J156/60*10</f>
        <v>316</v>
      </c>
      <c r="BJ156" s="325">
        <f t="shared" si="43"/>
        <v>316</v>
      </c>
      <c r="BK156" s="325">
        <f t="shared" ref="BK156:BK159" si="51">J156/60*8</f>
        <v>252.8</v>
      </c>
      <c r="BL156" s="325">
        <f t="shared" ref="BL156:BL159" si="52">J156/60*2</f>
        <v>63.2</v>
      </c>
      <c r="BM156" s="340"/>
      <c r="BN156" s="340"/>
      <c r="BO156" s="340"/>
      <c r="BP156" s="340"/>
      <c r="BQ156" s="340"/>
      <c r="BR156" s="818"/>
      <c r="BS156" s="805"/>
      <c r="BT156" s="849">
        <f t="shared" si="41"/>
        <v>1896</v>
      </c>
      <c r="BU156" s="850">
        <f t="shared" si="42"/>
        <v>0</v>
      </c>
      <c r="BV156" s="851"/>
      <c r="BW156" s="851"/>
      <c r="BX156" s="851"/>
    </row>
    <row r="157" s="254" customFormat="1" ht="50" customHeight="1" spans="1:80">
      <c r="A157" s="846">
        <v>45726</v>
      </c>
      <c r="B157" s="317" t="s">
        <v>2285</v>
      </c>
      <c r="C157" s="318" t="s">
        <v>351</v>
      </c>
      <c r="D157" s="319">
        <v>4500159511</v>
      </c>
      <c r="E157" s="318" t="s">
        <v>3336</v>
      </c>
      <c r="F157" s="319" t="s">
        <v>12610</v>
      </c>
      <c r="G157" s="318" t="s">
        <v>2577</v>
      </c>
      <c r="H157" s="318" t="s">
        <v>2577</v>
      </c>
      <c r="I157" s="318" t="s">
        <v>2578</v>
      </c>
      <c r="J157" s="320">
        <v>744</v>
      </c>
      <c r="K157" s="320">
        <v>0</v>
      </c>
      <c r="L157" s="320">
        <v>12</v>
      </c>
      <c r="M157" s="320">
        <f t="shared" si="15"/>
        <v>62</v>
      </c>
      <c r="N157" s="321">
        <v>45806</v>
      </c>
      <c r="O157" s="321">
        <v>45803</v>
      </c>
      <c r="P157" s="318" t="s">
        <v>12607</v>
      </c>
      <c r="Q157" s="363"/>
      <c r="R157" s="847" t="s">
        <v>12608</v>
      </c>
      <c r="S157" s="828"/>
      <c r="T157" s="848"/>
      <c r="U157" s="848" t="s">
        <v>3586</v>
      </c>
      <c r="V157" s="848"/>
      <c r="W157" s="847"/>
      <c r="X157" s="847" t="s">
        <v>12609</v>
      </c>
      <c r="Y157" s="320" t="s">
        <v>1199</v>
      </c>
      <c r="Z157" s="320">
        <v>2.1844</v>
      </c>
      <c r="AA157" s="320">
        <f t="shared" si="44"/>
        <v>1625.1936</v>
      </c>
      <c r="AB157" s="847"/>
      <c r="AC157" s="847" t="s">
        <v>416</v>
      </c>
      <c r="AD157" s="322"/>
      <c r="AE157" s="323"/>
      <c r="AF157" s="323"/>
      <c r="AG157" s="324"/>
      <c r="AH157" s="320">
        <f t="shared" si="45"/>
        <v>744</v>
      </c>
      <c r="AI157" s="320"/>
      <c r="AJ157" s="324"/>
      <c r="AK157" s="318"/>
      <c r="AL157" s="318"/>
      <c r="AM157" s="320"/>
      <c r="AN157" s="320">
        <f t="shared" si="40"/>
        <v>744</v>
      </c>
      <c r="AO157" s="320"/>
      <c r="AP157" s="325"/>
      <c r="AQ157" s="340"/>
      <c r="AR157" s="325">
        <f t="shared" si="46"/>
        <v>744</v>
      </c>
      <c r="AS157" s="340"/>
      <c r="AT157" s="325"/>
      <c r="AU157" s="325">
        <f>J157/6</f>
        <v>124</v>
      </c>
      <c r="AV157" s="325"/>
      <c r="AW157" s="325"/>
      <c r="AX157" s="325"/>
      <c r="AY157" s="325"/>
      <c r="AZ157" s="325"/>
      <c r="BA157" s="325"/>
      <c r="BB157" s="325"/>
      <c r="BC157" s="325"/>
      <c r="BD157" s="325" t="s">
        <v>89</v>
      </c>
      <c r="BE157" s="325"/>
      <c r="BF157" s="325">
        <f t="shared" si="47"/>
        <v>124</v>
      </c>
      <c r="BG157" s="325">
        <f t="shared" si="48"/>
        <v>124</v>
      </c>
      <c r="BH157" s="325">
        <f t="shared" si="49"/>
        <v>124</v>
      </c>
      <c r="BI157" s="325">
        <f t="shared" si="50"/>
        <v>124</v>
      </c>
      <c r="BJ157" s="325">
        <f t="shared" si="43"/>
        <v>124</v>
      </c>
      <c r="BK157" s="325">
        <f t="shared" si="51"/>
        <v>99.2</v>
      </c>
      <c r="BL157" s="325">
        <f t="shared" si="52"/>
        <v>24.8</v>
      </c>
      <c r="BM157" s="340"/>
      <c r="BN157" s="340"/>
      <c r="BO157" s="340"/>
      <c r="BP157" s="340"/>
      <c r="BQ157" s="340"/>
      <c r="BR157" s="818"/>
      <c r="BS157" s="805"/>
      <c r="BT157" s="849">
        <f t="shared" si="41"/>
        <v>744</v>
      </c>
      <c r="BU157" s="850">
        <f t="shared" si="42"/>
        <v>0</v>
      </c>
      <c r="BV157" s="851"/>
      <c r="BW157" s="851"/>
      <c r="BX157" s="851"/>
    </row>
    <row r="158" s="254" customFormat="1" ht="50" customHeight="1" spans="1:80">
      <c r="A158" s="846">
        <v>45726</v>
      </c>
      <c r="B158" s="317" t="s">
        <v>2285</v>
      </c>
      <c r="C158" s="318" t="s">
        <v>351</v>
      </c>
      <c r="D158" s="319">
        <v>4500159511</v>
      </c>
      <c r="E158" s="318" t="s">
        <v>3330</v>
      </c>
      <c r="F158" s="319" t="s">
        <v>12611</v>
      </c>
      <c r="G158" s="318" t="s">
        <v>3356</v>
      </c>
      <c r="H158" s="318" t="s">
        <v>3352</v>
      </c>
      <c r="I158" s="318" t="s">
        <v>3353</v>
      </c>
      <c r="J158" s="320">
        <v>6180</v>
      </c>
      <c r="K158" s="320">
        <v>0</v>
      </c>
      <c r="L158" s="320">
        <v>12</v>
      </c>
      <c r="M158" s="320">
        <f t="shared" si="15"/>
        <v>515</v>
      </c>
      <c r="N158" s="321">
        <v>45806</v>
      </c>
      <c r="O158" s="321">
        <v>45803</v>
      </c>
      <c r="P158" s="318" t="s">
        <v>12612</v>
      </c>
      <c r="Q158" s="852" t="s">
        <v>12613</v>
      </c>
      <c r="R158" s="847" t="s">
        <v>12608</v>
      </c>
      <c r="S158" s="828"/>
      <c r="T158" s="848"/>
      <c r="U158" s="848" t="s">
        <v>1099</v>
      </c>
      <c r="V158" s="848"/>
      <c r="W158" s="853" t="s">
        <v>12614</v>
      </c>
      <c r="X158" s="847" t="s">
        <v>12615</v>
      </c>
      <c r="Y158" s="320" t="s">
        <v>1199</v>
      </c>
      <c r="Z158" s="320">
        <v>4.4796</v>
      </c>
      <c r="AA158" s="320">
        <f t="shared" si="44"/>
        <v>27683.928</v>
      </c>
      <c r="AB158" s="847"/>
      <c r="AC158" s="847" t="s">
        <v>416</v>
      </c>
      <c r="AD158" s="322"/>
      <c r="AE158" s="323"/>
      <c r="AF158" s="323"/>
      <c r="AG158" s="324"/>
      <c r="AH158" s="320">
        <f t="shared" si="45"/>
        <v>6180</v>
      </c>
      <c r="AI158" s="320"/>
      <c r="AJ158" s="324"/>
      <c r="AK158" s="325"/>
      <c r="AL158" s="325"/>
      <c r="AM158" s="325"/>
      <c r="AN158" s="320">
        <f t="shared" si="40"/>
        <v>6180</v>
      </c>
      <c r="AO158" s="320"/>
      <c r="AP158" s="325"/>
      <c r="AQ158" s="340"/>
      <c r="AR158" s="325">
        <f t="shared" si="46"/>
        <v>6180</v>
      </c>
      <c r="AS158" s="340"/>
      <c r="AT158" s="325"/>
      <c r="AU158" s="325"/>
      <c r="AV158" s="325"/>
      <c r="AW158" s="325"/>
      <c r="AX158" s="325"/>
      <c r="AY158" s="325"/>
      <c r="AZ158" s="325"/>
      <c r="BA158" s="325">
        <f>J158</f>
        <v>6180</v>
      </c>
      <c r="BB158" s="325"/>
      <c r="BC158" s="325"/>
      <c r="BD158" s="325" t="s">
        <v>89</v>
      </c>
      <c r="BE158" s="325"/>
      <c r="BF158" s="325">
        <f t="shared" si="47"/>
        <v>1030</v>
      </c>
      <c r="BG158" s="325">
        <f t="shared" si="48"/>
        <v>1030</v>
      </c>
      <c r="BH158" s="325">
        <f t="shared" si="49"/>
        <v>1030</v>
      </c>
      <c r="BI158" s="325">
        <f t="shared" si="50"/>
        <v>1030</v>
      </c>
      <c r="BJ158" s="325">
        <f t="shared" si="43"/>
        <v>1030</v>
      </c>
      <c r="BK158" s="325">
        <f t="shared" si="51"/>
        <v>824</v>
      </c>
      <c r="BL158" s="325">
        <f t="shared" si="52"/>
        <v>206</v>
      </c>
      <c r="BM158" s="251"/>
      <c r="BN158" s="251"/>
      <c r="BO158" s="251"/>
      <c r="BP158" s="251"/>
      <c r="BQ158" s="251"/>
      <c r="BR158" s="251"/>
      <c r="BS158" s="251"/>
      <c r="BT158" s="849">
        <f t="shared" si="41"/>
        <v>6180</v>
      </c>
      <c r="BU158" s="850">
        <f t="shared" si="42"/>
        <v>0</v>
      </c>
      <c r="BV158" s="851"/>
      <c r="BW158" s="851"/>
      <c r="BX158" s="851"/>
    </row>
    <row r="159" s="254" customFormat="1" ht="50" customHeight="1" spans="1:80">
      <c r="A159" s="846">
        <v>45726</v>
      </c>
      <c r="B159" s="317" t="s">
        <v>2285</v>
      </c>
      <c r="C159" s="318" t="s">
        <v>351</v>
      </c>
      <c r="D159" s="319">
        <v>4500159511</v>
      </c>
      <c r="E159" s="318" t="s">
        <v>3515</v>
      </c>
      <c r="F159" s="319" t="s">
        <v>12616</v>
      </c>
      <c r="G159" s="318" t="s">
        <v>3356</v>
      </c>
      <c r="H159" s="318" t="s">
        <v>3352</v>
      </c>
      <c r="I159" s="318" t="s">
        <v>3353</v>
      </c>
      <c r="J159" s="320">
        <v>2400</v>
      </c>
      <c r="K159" s="320">
        <v>0</v>
      </c>
      <c r="L159" s="320">
        <v>12</v>
      </c>
      <c r="M159" s="320">
        <f t="shared" si="15"/>
        <v>200</v>
      </c>
      <c r="N159" s="321">
        <v>45806</v>
      </c>
      <c r="O159" s="321">
        <v>45803</v>
      </c>
      <c r="P159" s="318" t="s">
        <v>12612</v>
      </c>
      <c r="Q159" s="852" t="s">
        <v>12613</v>
      </c>
      <c r="R159" s="847" t="s">
        <v>12608</v>
      </c>
      <c r="S159" s="828"/>
      <c r="T159" s="848"/>
      <c r="U159" s="848" t="s">
        <v>1099</v>
      </c>
      <c r="V159" s="848"/>
      <c r="W159" s="853" t="s">
        <v>12614</v>
      </c>
      <c r="X159" s="847" t="s">
        <v>12615</v>
      </c>
      <c r="Y159" s="320" t="s">
        <v>1199</v>
      </c>
      <c r="Z159" s="320">
        <v>4.4796</v>
      </c>
      <c r="AA159" s="320">
        <f t="shared" si="44"/>
        <v>10751.04</v>
      </c>
      <c r="AB159" s="847"/>
      <c r="AC159" s="847" t="s">
        <v>416</v>
      </c>
      <c r="AD159" s="322"/>
      <c r="AE159" s="323"/>
      <c r="AF159" s="323"/>
      <c r="AG159" s="324"/>
      <c r="AH159" s="320">
        <f t="shared" si="45"/>
        <v>2400</v>
      </c>
      <c r="AI159" s="320"/>
      <c r="AJ159" s="324"/>
      <c r="AK159" s="325"/>
      <c r="AL159" s="325"/>
      <c r="AM159" s="325"/>
      <c r="AN159" s="320">
        <f t="shared" si="40"/>
        <v>2400</v>
      </c>
      <c r="AO159" s="320"/>
      <c r="AP159" s="325"/>
      <c r="AQ159" s="340"/>
      <c r="AR159" s="325">
        <f t="shared" si="46"/>
        <v>2400</v>
      </c>
      <c r="AS159" s="340"/>
      <c r="AT159" s="325"/>
      <c r="AU159" s="325"/>
      <c r="AV159" s="325"/>
      <c r="AW159" s="325"/>
      <c r="AX159" s="325"/>
      <c r="AY159" s="325"/>
      <c r="AZ159" s="325"/>
      <c r="BA159" s="325">
        <f>J159</f>
        <v>2400</v>
      </c>
      <c r="BB159" s="325"/>
      <c r="BC159" s="325"/>
      <c r="BD159" s="325" t="s">
        <v>89</v>
      </c>
      <c r="BE159" s="325"/>
      <c r="BF159" s="325">
        <f t="shared" si="47"/>
        <v>400</v>
      </c>
      <c r="BG159" s="325">
        <f t="shared" si="48"/>
        <v>400</v>
      </c>
      <c r="BH159" s="325">
        <f t="shared" si="49"/>
        <v>400</v>
      </c>
      <c r="BI159" s="325">
        <f t="shared" si="50"/>
        <v>400</v>
      </c>
      <c r="BJ159" s="325">
        <f t="shared" si="43"/>
        <v>400</v>
      </c>
      <c r="BK159" s="325">
        <f t="shared" si="51"/>
        <v>320</v>
      </c>
      <c r="BL159" s="325">
        <f t="shared" si="52"/>
        <v>80</v>
      </c>
      <c r="BM159" s="251"/>
      <c r="BN159" s="251"/>
      <c r="BO159" s="251"/>
      <c r="BP159" s="251"/>
      <c r="BQ159" s="251"/>
      <c r="BR159" s="251"/>
      <c r="BS159" s="251"/>
      <c r="BT159" s="849">
        <f t="shared" si="41"/>
        <v>2400</v>
      </c>
      <c r="BU159" s="850">
        <f t="shared" si="42"/>
        <v>0</v>
      </c>
      <c r="BV159" s="851"/>
      <c r="BW159" s="851"/>
      <c r="BX159" s="851"/>
    </row>
    <row r="160" s="251" customFormat="1" ht="50" customHeight="1" spans="1:80">
      <c r="A160" s="801">
        <v>45819</v>
      </c>
      <c r="B160" s="331" t="s">
        <v>1016</v>
      </c>
      <c r="C160" s="324" t="s">
        <v>396</v>
      </c>
      <c r="D160" s="332">
        <v>4500169708</v>
      </c>
      <c r="E160" s="324" t="s">
        <v>12617</v>
      </c>
      <c r="F160" s="332" t="s">
        <v>12618</v>
      </c>
      <c r="G160" s="324"/>
      <c r="H160" s="324" t="s">
        <v>2666</v>
      </c>
      <c r="I160" s="324" t="s">
        <v>2667</v>
      </c>
      <c r="J160" s="333">
        <v>36</v>
      </c>
      <c r="K160" s="333">
        <v>0</v>
      </c>
      <c r="L160" s="333">
        <v>12</v>
      </c>
      <c r="M160" s="333">
        <f t="shared" si="15"/>
        <v>3</v>
      </c>
      <c r="N160" s="334">
        <v>45855</v>
      </c>
      <c r="O160" s="334">
        <v>45852</v>
      </c>
      <c r="P160" s="318" t="s">
        <v>12316</v>
      </c>
      <c r="Q160" s="369"/>
      <c r="R160" s="323"/>
      <c r="S160" s="828"/>
      <c r="T160" s="454"/>
      <c r="U160" s="454" t="s">
        <v>4163</v>
      </c>
      <c r="V160" s="807" t="s">
        <v>12619</v>
      </c>
      <c r="W160" s="802"/>
      <c r="X160" s="323" t="s">
        <v>4164</v>
      </c>
      <c r="Y160" s="333" t="s">
        <v>369</v>
      </c>
      <c r="Z160" s="333">
        <v>2.0915</v>
      </c>
      <c r="AA160" s="333">
        <f t="shared" si="44"/>
        <v>75.294</v>
      </c>
      <c r="AB160" s="323"/>
      <c r="AC160" s="323"/>
      <c r="AD160" s="324"/>
      <c r="AE160" s="333"/>
      <c r="AF160" s="333"/>
      <c r="AG160" s="324"/>
      <c r="AH160" s="324"/>
      <c r="AI160" s="324">
        <f t="shared" ref="AI160:AI166" si="53">J160</f>
        <v>36</v>
      </c>
      <c r="AJ160" s="333"/>
      <c r="AK160" s="333"/>
      <c r="AL160" s="333">
        <f t="shared" ref="AL160:AL166" si="54">J160</f>
        <v>36</v>
      </c>
      <c r="AM160" s="340"/>
      <c r="AN160" s="340"/>
      <c r="AO160" s="340"/>
      <c r="AP160" s="340"/>
      <c r="AQ160" s="340">
        <f t="shared" ref="AQ160:AQ172" si="55">J160</f>
        <v>36</v>
      </c>
      <c r="AR160" s="340"/>
      <c r="AS160" s="340"/>
      <c r="AT160" s="340"/>
      <c r="AU160" s="340"/>
      <c r="AV160" s="340"/>
      <c r="AW160" s="340"/>
      <c r="AX160" s="340"/>
      <c r="AY160" s="340"/>
      <c r="AZ160" s="340"/>
      <c r="BA160" s="340"/>
      <c r="BB160" s="340" t="s">
        <v>89</v>
      </c>
      <c r="BC160" s="340"/>
      <c r="BD160" s="340"/>
      <c r="BE160" s="340"/>
      <c r="BF160" s="340"/>
      <c r="BG160" s="340"/>
      <c r="BH160" s="340"/>
      <c r="BI160" s="340">
        <f>J160-BJ160</f>
        <v>34.7586206896552</v>
      </c>
      <c r="BJ160" s="340">
        <f t="shared" ref="BJ160:BJ163" si="56">J160/58*2</f>
        <v>1.24137931034483</v>
      </c>
      <c r="BK160" s="340"/>
      <c r="BL160" s="340"/>
      <c r="BM160" s="340"/>
      <c r="BN160" s="340"/>
      <c r="BO160" s="340"/>
      <c r="BP160" s="818"/>
      <c r="BQ160" s="819"/>
      <c r="BR160" s="806">
        <f t="shared" ref="BR160:BR172" si="57">SUM(BD160:BQ160)</f>
        <v>36</v>
      </c>
      <c r="BS160" s="820">
        <f t="shared" ref="BS160:BS172" si="58">J160-BR160</f>
        <v>0</v>
      </c>
      <c r="BT160" s="817"/>
      <c r="BU160" s="817"/>
      <c r="BV160" s="817"/>
      <c r="BW160" s="854"/>
    </row>
    <row r="161" s="251" customFormat="1" ht="50" customHeight="1" spans="1:78">
      <c r="A161" s="801">
        <v>45819</v>
      </c>
      <c r="B161" s="331" t="s">
        <v>1016</v>
      </c>
      <c r="C161" s="324" t="s">
        <v>396</v>
      </c>
      <c r="D161" s="332">
        <v>4500169708</v>
      </c>
      <c r="E161" s="324" t="s">
        <v>12620</v>
      </c>
      <c r="F161" s="332" t="s">
        <v>12621</v>
      </c>
      <c r="G161" s="324"/>
      <c r="H161" s="324" t="s">
        <v>2666</v>
      </c>
      <c r="I161" s="324" t="s">
        <v>2667</v>
      </c>
      <c r="J161" s="333">
        <v>36</v>
      </c>
      <c r="K161" s="333">
        <v>0</v>
      </c>
      <c r="L161" s="333">
        <v>12</v>
      </c>
      <c r="M161" s="333">
        <f t="shared" si="15"/>
        <v>3</v>
      </c>
      <c r="N161" s="334">
        <v>45855</v>
      </c>
      <c r="O161" s="334">
        <v>45852</v>
      </c>
      <c r="P161" s="318" t="s">
        <v>12316</v>
      </c>
      <c r="Q161" s="369"/>
      <c r="R161" s="323"/>
      <c r="S161" s="828"/>
      <c r="T161" s="454"/>
      <c r="U161" s="454" t="s">
        <v>4163</v>
      </c>
      <c r="V161" s="807" t="s">
        <v>12619</v>
      </c>
      <c r="W161" s="802"/>
      <c r="X161" s="323" t="s">
        <v>4164</v>
      </c>
      <c r="Y161" s="333" t="s">
        <v>369</v>
      </c>
      <c r="Z161" s="333">
        <v>2.0915</v>
      </c>
      <c r="AA161" s="333">
        <f t="shared" si="44"/>
        <v>75.294</v>
      </c>
      <c r="AB161" s="323"/>
      <c r="AC161" s="323"/>
      <c r="AD161" s="324"/>
      <c r="AE161" s="333"/>
      <c r="AF161" s="333"/>
      <c r="AG161" s="324"/>
      <c r="AH161" s="324"/>
      <c r="AI161" s="324">
        <f t="shared" si="53"/>
        <v>36</v>
      </c>
      <c r="AJ161" s="333"/>
      <c r="AK161" s="333"/>
      <c r="AL161" s="333">
        <f t="shared" si="54"/>
        <v>36</v>
      </c>
      <c r="AM161" s="340"/>
      <c r="AN161" s="340"/>
      <c r="AO161" s="340"/>
      <c r="AP161" s="340"/>
      <c r="AQ161" s="340">
        <f t="shared" si="55"/>
        <v>36</v>
      </c>
      <c r="AR161" s="340"/>
      <c r="AS161" s="340"/>
      <c r="AT161" s="340"/>
      <c r="AU161" s="340"/>
      <c r="AV161" s="340"/>
      <c r="AW161" s="340"/>
      <c r="AX161" s="340"/>
      <c r="AY161" s="340"/>
      <c r="AZ161" s="340"/>
      <c r="BA161" s="340"/>
      <c r="BB161" s="340" t="s">
        <v>89</v>
      </c>
      <c r="BC161" s="340"/>
      <c r="BD161" s="340"/>
      <c r="BE161" s="340"/>
      <c r="BF161" s="340"/>
      <c r="BG161" s="340"/>
      <c r="BH161" s="340"/>
      <c r="BI161" s="340">
        <f>J161-BJ161</f>
        <v>34.7586206896552</v>
      </c>
      <c r="BJ161" s="340">
        <f t="shared" si="56"/>
        <v>1.24137931034483</v>
      </c>
      <c r="BK161" s="340"/>
      <c r="BL161" s="340"/>
      <c r="BM161" s="340"/>
      <c r="BN161" s="340"/>
      <c r="BO161" s="340"/>
      <c r="BP161" s="818"/>
      <c r="BQ161" s="819"/>
      <c r="BR161" s="806">
        <f t="shared" si="57"/>
        <v>36</v>
      </c>
      <c r="BS161" s="820">
        <f t="shared" si="58"/>
        <v>0</v>
      </c>
      <c r="BT161" s="817"/>
      <c r="BU161" s="817"/>
      <c r="BV161" s="817"/>
      <c r="BW161" s="854"/>
    </row>
    <row r="162" s="251" customFormat="1" ht="50" customHeight="1" spans="1:78">
      <c r="A162" s="801">
        <v>45819</v>
      </c>
      <c r="B162" s="331" t="s">
        <v>1016</v>
      </c>
      <c r="C162" s="324" t="s">
        <v>396</v>
      </c>
      <c r="D162" s="332">
        <v>4500169708</v>
      </c>
      <c r="E162" s="324" t="s">
        <v>12622</v>
      </c>
      <c r="F162" s="332" t="s">
        <v>12623</v>
      </c>
      <c r="G162" s="324"/>
      <c r="H162" s="324" t="s">
        <v>2676</v>
      </c>
      <c r="I162" s="324" t="s">
        <v>2677</v>
      </c>
      <c r="J162" s="333">
        <v>36</v>
      </c>
      <c r="K162" s="333">
        <v>0</v>
      </c>
      <c r="L162" s="333">
        <v>12</v>
      </c>
      <c r="M162" s="333">
        <f t="shared" si="15"/>
        <v>3</v>
      </c>
      <c r="N162" s="334">
        <v>45855</v>
      </c>
      <c r="O162" s="334">
        <v>45852</v>
      </c>
      <c r="P162" s="318" t="s">
        <v>12624</v>
      </c>
      <c r="Q162" s="369"/>
      <c r="R162" s="323"/>
      <c r="S162" s="828"/>
      <c r="T162" s="454"/>
      <c r="U162" s="454" t="s">
        <v>4163</v>
      </c>
      <c r="V162" s="807" t="s">
        <v>12619</v>
      </c>
      <c r="W162" s="802"/>
      <c r="X162" s="323" t="s">
        <v>4164</v>
      </c>
      <c r="Y162" s="333" t="s">
        <v>369</v>
      </c>
      <c r="Z162" s="333">
        <v>2.0915</v>
      </c>
      <c r="AA162" s="333">
        <f t="shared" si="44"/>
        <v>75.294</v>
      </c>
      <c r="AB162" s="323"/>
      <c r="AC162" s="323"/>
      <c r="AD162" s="324"/>
      <c r="AE162" s="333"/>
      <c r="AF162" s="333"/>
      <c r="AG162" s="324"/>
      <c r="AH162" s="324"/>
      <c r="AI162" s="324">
        <f t="shared" si="53"/>
        <v>36</v>
      </c>
      <c r="AJ162" s="333"/>
      <c r="AK162" s="333"/>
      <c r="AL162" s="333">
        <f t="shared" si="54"/>
        <v>36</v>
      </c>
      <c r="AM162" s="340"/>
      <c r="AN162" s="340"/>
      <c r="AO162" s="340"/>
      <c r="AP162" s="340"/>
      <c r="AQ162" s="340">
        <f t="shared" si="55"/>
        <v>36</v>
      </c>
      <c r="AR162" s="340"/>
      <c r="AS162" s="340"/>
      <c r="AT162" s="340"/>
      <c r="AU162" s="340"/>
      <c r="AV162" s="340"/>
      <c r="AW162" s="340"/>
      <c r="AX162" s="340"/>
      <c r="AY162" s="340"/>
      <c r="AZ162" s="340"/>
      <c r="BA162" s="340"/>
      <c r="BB162" s="340" t="s">
        <v>89</v>
      </c>
      <c r="BC162" s="340"/>
      <c r="BD162" s="340"/>
      <c r="BE162" s="340">
        <f t="shared" ref="BE162:BE166" si="59">J162-BJ162</f>
        <v>34.7586206896552</v>
      </c>
      <c r="BF162" s="340"/>
      <c r="BG162" s="340"/>
      <c r="BH162" s="340"/>
      <c r="BI162" s="340"/>
      <c r="BJ162" s="340">
        <f t="shared" si="56"/>
        <v>1.24137931034483</v>
      </c>
      <c r="BK162" s="340"/>
      <c r="BL162" s="340"/>
      <c r="BM162" s="340"/>
      <c r="BN162" s="340"/>
      <c r="BO162" s="340"/>
      <c r="BP162" s="818"/>
      <c r="BQ162" s="819"/>
      <c r="BR162" s="806">
        <f t="shared" si="57"/>
        <v>36</v>
      </c>
      <c r="BS162" s="820">
        <f t="shared" si="58"/>
        <v>0</v>
      </c>
      <c r="BT162" s="817"/>
      <c r="BU162" s="817"/>
      <c r="BV162" s="817"/>
      <c r="BW162" s="854"/>
    </row>
    <row r="163" s="251" customFormat="1" ht="50" customHeight="1" spans="1:78">
      <c r="A163" s="801">
        <v>45819</v>
      </c>
      <c r="B163" s="331" t="s">
        <v>1016</v>
      </c>
      <c r="C163" s="324" t="s">
        <v>396</v>
      </c>
      <c r="D163" s="332">
        <v>4500169708</v>
      </c>
      <c r="E163" s="324" t="s">
        <v>12625</v>
      </c>
      <c r="F163" s="332" t="s">
        <v>12626</v>
      </c>
      <c r="G163" s="324"/>
      <c r="H163" s="324" t="s">
        <v>2676</v>
      </c>
      <c r="I163" s="324" t="s">
        <v>2677</v>
      </c>
      <c r="J163" s="333">
        <v>36</v>
      </c>
      <c r="K163" s="333">
        <v>0</v>
      </c>
      <c r="L163" s="333">
        <v>12</v>
      </c>
      <c r="M163" s="333">
        <f t="shared" si="15"/>
        <v>3</v>
      </c>
      <c r="N163" s="334">
        <v>45855</v>
      </c>
      <c r="O163" s="334">
        <v>45852</v>
      </c>
      <c r="P163" s="318" t="s">
        <v>12316</v>
      </c>
      <c r="Q163" s="369"/>
      <c r="R163" s="323"/>
      <c r="S163" s="828"/>
      <c r="T163" s="454"/>
      <c r="U163" s="454" t="s">
        <v>4163</v>
      </c>
      <c r="V163" s="807" t="s">
        <v>12619</v>
      </c>
      <c r="W163" s="802"/>
      <c r="X163" s="323" t="s">
        <v>4164</v>
      </c>
      <c r="Y163" s="333" t="s">
        <v>369</v>
      </c>
      <c r="Z163" s="333">
        <v>2.0915</v>
      </c>
      <c r="AA163" s="333">
        <f t="shared" si="44"/>
        <v>75.294</v>
      </c>
      <c r="AB163" s="323"/>
      <c r="AC163" s="323"/>
      <c r="AD163" s="324"/>
      <c r="AE163" s="333"/>
      <c r="AF163" s="333"/>
      <c r="AG163" s="324"/>
      <c r="AH163" s="324"/>
      <c r="AI163" s="324">
        <f t="shared" si="53"/>
        <v>36</v>
      </c>
      <c r="AJ163" s="333"/>
      <c r="AK163" s="333"/>
      <c r="AL163" s="333">
        <f t="shared" si="54"/>
        <v>36</v>
      </c>
      <c r="AM163" s="340"/>
      <c r="AN163" s="340"/>
      <c r="AO163" s="340"/>
      <c r="AP163" s="340"/>
      <c r="AQ163" s="340">
        <f t="shared" si="55"/>
        <v>36</v>
      </c>
      <c r="AR163" s="340"/>
      <c r="AS163" s="340"/>
      <c r="AT163" s="340"/>
      <c r="AU163" s="340"/>
      <c r="AV163" s="340"/>
      <c r="AW163" s="340"/>
      <c r="AX163" s="340"/>
      <c r="AY163" s="340"/>
      <c r="AZ163" s="340"/>
      <c r="BA163" s="340"/>
      <c r="BB163" s="340" t="s">
        <v>89</v>
      </c>
      <c r="BC163" s="340"/>
      <c r="BD163" s="340"/>
      <c r="BE163" s="340">
        <f t="shared" si="59"/>
        <v>34.7586206896552</v>
      </c>
      <c r="BF163" s="340"/>
      <c r="BG163" s="340"/>
      <c r="BH163" s="340"/>
      <c r="BI163" s="340"/>
      <c r="BJ163" s="340">
        <f t="shared" si="56"/>
        <v>1.24137931034483</v>
      </c>
      <c r="BK163" s="340"/>
      <c r="BL163" s="340"/>
      <c r="BM163" s="340"/>
      <c r="BN163" s="340"/>
      <c r="BO163" s="340"/>
      <c r="BP163" s="818"/>
      <c r="BQ163" s="819"/>
      <c r="BR163" s="806">
        <f t="shared" si="57"/>
        <v>36</v>
      </c>
      <c r="BS163" s="820">
        <f t="shared" si="58"/>
        <v>0</v>
      </c>
      <c r="BT163" s="817"/>
      <c r="BU163" s="817"/>
      <c r="BV163" s="817"/>
      <c r="BW163" s="854"/>
    </row>
    <row r="164" s="251" customFormat="1" ht="50" customHeight="1" spans="1:78">
      <c r="A164" s="801">
        <v>45821</v>
      </c>
      <c r="B164" s="331" t="s">
        <v>1641</v>
      </c>
      <c r="C164" s="324" t="s">
        <v>396</v>
      </c>
      <c r="D164" s="332">
        <v>4500169979</v>
      </c>
      <c r="E164" s="324" t="s">
        <v>12627</v>
      </c>
      <c r="F164" s="332" t="s">
        <v>12628</v>
      </c>
      <c r="G164" s="324"/>
      <c r="H164" s="324" t="s">
        <v>2676</v>
      </c>
      <c r="I164" s="324" t="s">
        <v>2677</v>
      </c>
      <c r="J164" s="333">
        <v>12</v>
      </c>
      <c r="K164" s="333">
        <v>0</v>
      </c>
      <c r="L164" s="333">
        <v>12</v>
      </c>
      <c r="M164" s="333">
        <f t="shared" si="15"/>
        <v>1</v>
      </c>
      <c r="N164" s="334">
        <v>45856</v>
      </c>
      <c r="O164" s="334">
        <v>45852</v>
      </c>
      <c r="P164" s="318" t="s">
        <v>12316</v>
      </c>
      <c r="Q164" s="369"/>
      <c r="R164" s="323"/>
      <c r="S164" s="828"/>
      <c r="T164" s="454"/>
      <c r="U164" s="454" t="s">
        <v>4163</v>
      </c>
      <c r="V164" s="454" t="s">
        <v>12629</v>
      </c>
      <c r="W164" s="802"/>
      <c r="X164" s="323" t="s">
        <v>4224</v>
      </c>
      <c r="Y164" s="333" t="s">
        <v>369</v>
      </c>
      <c r="Z164" s="333">
        <v>2.1098</v>
      </c>
      <c r="AA164" s="333">
        <f t="shared" si="44"/>
        <v>25.3176</v>
      </c>
      <c r="AB164" s="323"/>
      <c r="AC164" s="323"/>
      <c r="AD164" s="324"/>
      <c r="AE164" s="333"/>
      <c r="AF164" s="333"/>
      <c r="AG164" s="324"/>
      <c r="AH164" s="324"/>
      <c r="AI164" s="324">
        <f t="shared" si="53"/>
        <v>12</v>
      </c>
      <c r="AJ164" s="333"/>
      <c r="AK164" s="333"/>
      <c r="AL164" s="333">
        <f t="shared" si="54"/>
        <v>12</v>
      </c>
      <c r="AM164" s="340"/>
      <c r="AN164" s="340"/>
      <c r="AO164" s="340"/>
      <c r="AP164" s="340"/>
      <c r="AQ164" s="340">
        <f t="shared" si="55"/>
        <v>12</v>
      </c>
      <c r="AR164" s="340"/>
      <c r="AS164" s="340"/>
      <c r="AT164" s="340"/>
      <c r="AU164" s="340"/>
      <c r="AV164" s="340"/>
      <c r="AW164" s="340"/>
      <c r="AX164" s="340"/>
      <c r="AY164" s="340"/>
      <c r="AZ164" s="340"/>
      <c r="BA164" s="340"/>
      <c r="BB164" s="340" t="s">
        <v>89</v>
      </c>
      <c r="BC164" s="340"/>
      <c r="BD164" s="340"/>
      <c r="BE164" s="340">
        <f t="shared" si="59"/>
        <v>11.8</v>
      </c>
      <c r="BF164" s="340"/>
      <c r="BG164" s="340"/>
      <c r="BH164" s="340"/>
      <c r="BI164" s="340"/>
      <c r="BJ164" s="340">
        <f t="shared" ref="BJ164:BJ172" si="60">J164/60*1</f>
        <v>0.2</v>
      </c>
      <c r="BK164" s="340"/>
      <c r="BL164" s="340"/>
      <c r="BM164" s="340"/>
      <c r="BN164" s="340"/>
      <c r="BO164" s="340"/>
      <c r="BP164" s="818"/>
      <c r="BQ164" s="819"/>
      <c r="BR164" s="806">
        <f t="shared" si="57"/>
        <v>12</v>
      </c>
      <c r="BS164" s="820">
        <f t="shared" si="58"/>
        <v>0</v>
      </c>
      <c r="BT164" s="817"/>
      <c r="BU164" s="817"/>
      <c r="BV164" s="817"/>
      <c r="BW164" s="854"/>
    </row>
    <row r="165" s="251" customFormat="1" ht="50" customHeight="1" spans="1:78">
      <c r="A165" s="801">
        <v>45821</v>
      </c>
      <c r="B165" s="331" t="s">
        <v>1641</v>
      </c>
      <c r="C165" s="324" t="s">
        <v>396</v>
      </c>
      <c r="D165" s="332">
        <v>4500169979</v>
      </c>
      <c r="E165" s="324" t="s">
        <v>12630</v>
      </c>
      <c r="F165" s="332" t="s">
        <v>12631</v>
      </c>
      <c r="G165" s="324"/>
      <c r="H165" s="324" t="s">
        <v>2676</v>
      </c>
      <c r="I165" s="324" t="s">
        <v>2677</v>
      </c>
      <c r="J165" s="333">
        <v>12</v>
      </c>
      <c r="K165" s="333">
        <v>0</v>
      </c>
      <c r="L165" s="333">
        <v>12</v>
      </c>
      <c r="M165" s="333">
        <f t="shared" si="15"/>
        <v>1</v>
      </c>
      <c r="N165" s="334">
        <v>45856</v>
      </c>
      <c r="O165" s="334">
        <v>45852</v>
      </c>
      <c r="P165" s="318" t="s">
        <v>12316</v>
      </c>
      <c r="Q165" s="369"/>
      <c r="R165" s="323"/>
      <c r="S165" s="828"/>
      <c r="T165" s="454"/>
      <c r="U165" s="454" t="s">
        <v>4163</v>
      </c>
      <c r="V165" s="454" t="s">
        <v>12629</v>
      </c>
      <c r="W165" s="802"/>
      <c r="X165" s="323" t="s">
        <v>4224</v>
      </c>
      <c r="Y165" s="333" t="s">
        <v>369</v>
      </c>
      <c r="Z165" s="333">
        <v>2.1098</v>
      </c>
      <c r="AA165" s="333">
        <f t="shared" si="44"/>
        <v>25.3176</v>
      </c>
      <c r="AB165" s="323"/>
      <c r="AC165" s="323"/>
      <c r="AD165" s="324"/>
      <c r="AE165" s="333"/>
      <c r="AF165" s="333"/>
      <c r="AG165" s="324"/>
      <c r="AH165" s="324"/>
      <c r="AI165" s="324">
        <f t="shared" si="53"/>
        <v>12</v>
      </c>
      <c r="AJ165" s="333"/>
      <c r="AK165" s="333"/>
      <c r="AL165" s="333">
        <f t="shared" si="54"/>
        <v>12</v>
      </c>
      <c r="AM165" s="340"/>
      <c r="AN165" s="340"/>
      <c r="AO165" s="340"/>
      <c r="AP165" s="340"/>
      <c r="AQ165" s="340">
        <f t="shared" si="55"/>
        <v>12</v>
      </c>
      <c r="AR165" s="340"/>
      <c r="AS165" s="340"/>
      <c r="AT165" s="340"/>
      <c r="AU165" s="340"/>
      <c r="AV165" s="340"/>
      <c r="AW165" s="340"/>
      <c r="AX165" s="340"/>
      <c r="AY165" s="340"/>
      <c r="AZ165" s="340"/>
      <c r="BA165" s="340"/>
      <c r="BB165" s="340" t="s">
        <v>89</v>
      </c>
      <c r="BC165" s="340"/>
      <c r="BD165" s="340"/>
      <c r="BE165" s="340">
        <f t="shared" si="59"/>
        <v>11.8</v>
      </c>
      <c r="BF165" s="340"/>
      <c r="BG165" s="340"/>
      <c r="BH165" s="340"/>
      <c r="BI165" s="340"/>
      <c r="BJ165" s="340">
        <f t="shared" si="60"/>
        <v>0.2</v>
      </c>
      <c r="BK165" s="340"/>
      <c r="BL165" s="340"/>
      <c r="BM165" s="340"/>
      <c r="BN165" s="340"/>
      <c r="BO165" s="340"/>
      <c r="BP165" s="818"/>
      <c r="BQ165" s="819"/>
      <c r="BR165" s="806">
        <f t="shared" si="57"/>
        <v>12</v>
      </c>
      <c r="BS165" s="820">
        <f t="shared" si="58"/>
        <v>0</v>
      </c>
      <c r="BT165" s="817"/>
      <c r="BU165" s="817"/>
      <c r="BV165" s="817"/>
      <c r="BW165" s="854"/>
    </row>
    <row r="166" s="251" customFormat="1" ht="50" customHeight="1" spans="1:78">
      <c r="A166" s="801">
        <v>45821</v>
      </c>
      <c r="B166" s="331" t="s">
        <v>1641</v>
      </c>
      <c r="C166" s="324" t="s">
        <v>396</v>
      </c>
      <c r="D166" s="332">
        <v>4500169979</v>
      </c>
      <c r="E166" s="324" t="s">
        <v>12632</v>
      </c>
      <c r="F166" s="332" t="s">
        <v>12633</v>
      </c>
      <c r="G166" s="324"/>
      <c r="H166" s="324" t="s">
        <v>2676</v>
      </c>
      <c r="I166" s="324" t="s">
        <v>2677</v>
      </c>
      <c r="J166" s="333">
        <v>12</v>
      </c>
      <c r="K166" s="333">
        <v>0</v>
      </c>
      <c r="L166" s="333">
        <v>12</v>
      </c>
      <c r="M166" s="333">
        <f t="shared" si="15"/>
        <v>1</v>
      </c>
      <c r="N166" s="334">
        <v>45856</v>
      </c>
      <c r="O166" s="334">
        <v>45852</v>
      </c>
      <c r="P166" s="318" t="s">
        <v>12316</v>
      </c>
      <c r="Q166" s="369"/>
      <c r="R166" s="323"/>
      <c r="S166" s="828"/>
      <c r="T166" s="454"/>
      <c r="U166" s="454" t="s">
        <v>4163</v>
      </c>
      <c r="V166" s="454" t="s">
        <v>12629</v>
      </c>
      <c r="W166" s="802"/>
      <c r="X166" s="323" t="s">
        <v>4224</v>
      </c>
      <c r="Y166" s="333" t="s">
        <v>369</v>
      </c>
      <c r="Z166" s="333">
        <v>2.1098</v>
      </c>
      <c r="AA166" s="333">
        <f t="shared" si="44"/>
        <v>25.3176</v>
      </c>
      <c r="AB166" s="323"/>
      <c r="AC166" s="323"/>
      <c r="AD166" s="324"/>
      <c r="AE166" s="333"/>
      <c r="AF166" s="333"/>
      <c r="AG166" s="324"/>
      <c r="AH166" s="324"/>
      <c r="AI166" s="324">
        <f t="shared" si="53"/>
        <v>12</v>
      </c>
      <c r="AJ166" s="333"/>
      <c r="AK166" s="333"/>
      <c r="AL166" s="333">
        <f t="shared" si="54"/>
        <v>12</v>
      </c>
      <c r="AM166" s="340"/>
      <c r="AN166" s="340"/>
      <c r="AO166" s="340"/>
      <c r="AP166" s="340"/>
      <c r="AQ166" s="340">
        <f t="shared" si="55"/>
        <v>12</v>
      </c>
      <c r="AR166" s="340"/>
      <c r="AS166" s="340"/>
      <c r="AT166" s="340"/>
      <c r="AU166" s="340"/>
      <c r="AV166" s="340"/>
      <c r="AW166" s="340"/>
      <c r="AX166" s="340"/>
      <c r="AY166" s="340"/>
      <c r="AZ166" s="340"/>
      <c r="BA166" s="340"/>
      <c r="BB166" s="340" t="s">
        <v>89</v>
      </c>
      <c r="BC166" s="340"/>
      <c r="BD166" s="340"/>
      <c r="BE166" s="340">
        <f t="shared" si="59"/>
        <v>11.8</v>
      </c>
      <c r="BF166" s="340"/>
      <c r="BG166" s="340"/>
      <c r="BH166" s="340"/>
      <c r="BI166" s="340"/>
      <c r="BJ166" s="340">
        <f t="shared" si="60"/>
        <v>0.2</v>
      </c>
      <c r="BK166" s="340"/>
      <c r="BL166" s="340"/>
      <c r="BM166" s="340"/>
      <c r="BN166" s="340"/>
      <c r="BO166" s="340"/>
      <c r="BP166" s="818"/>
      <c r="BQ166" s="819"/>
      <c r="BR166" s="806">
        <f t="shared" si="57"/>
        <v>12</v>
      </c>
      <c r="BS166" s="820">
        <f t="shared" si="58"/>
        <v>0</v>
      </c>
      <c r="BT166" s="817"/>
      <c r="BU166" s="817"/>
      <c r="BV166" s="817"/>
      <c r="BW166" s="854"/>
    </row>
    <row r="167" s="251" customFormat="1" ht="50" customHeight="1" spans="1:78">
      <c r="A167" s="801">
        <v>45798</v>
      </c>
      <c r="B167" s="331" t="s">
        <v>1016</v>
      </c>
      <c r="C167" s="324" t="s">
        <v>396</v>
      </c>
      <c r="D167" s="332">
        <v>4500167361</v>
      </c>
      <c r="E167" s="324" t="s">
        <v>12634</v>
      </c>
      <c r="F167" s="332" t="s">
        <v>12635</v>
      </c>
      <c r="G167" s="308" t="s">
        <v>2666</v>
      </c>
      <c r="H167" s="324" t="s">
        <v>2666</v>
      </c>
      <c r="I167" s="324" t="s">
        <v>2667</v>
      </c>
      <c r="J167" s="333">
        <v>36</v>
      </c>
      <c r="K167" s="333">
        <v>0</v>
      </c>
      <c r="L167" s="333">
        <v>12</v>
      </c>
      <c r="M167" s="333">
        <f t="shared" si="15"/>
        <v>3</v>
      </c>
      <c r="N167" s="334">
        <v>45834</v>
      </c>
      <c r="O167" s="334">
        <v>45831</v>
      </c>
      <c r="P167" s="363" t="s">
        <v>12316</v>
      </c>
      <c r="Q167" s="369" t="s">
        <v>12405</v>
      </c>
      <c r="R167" s="323"/>
      <c r="S167" s="828"/>
      <c r="T167" s="454"/>
      <c r="U167" s="454" t="s">
        <v>3948</v>
      </c>
      <c r="V167" s="454"/>
      <c r="W167" s="320"/>
      <c r="X167" s="323" t="s">
        <v>3949</v>
      </c>
      <c r="Y167" s="333" t="s">
        <v>369</v>
      </c>
      <c r="Z167" s="333">
        <v>2.0433</v>
      </c>
      <c r="AA167" s="333">
        <f t="shared" si="44"/>
        <v>73.5588</v>
      </c>
      <c r="AB167" s="323"/>
      <c r="AC167" s="323" t="s">
        <v>416</v>
      </c>
      <c r="AD167" s="324"/>
      <c r="AE167" s="333"/>
      <c r="AF167" s="333"/>
      <c r="AG167" s="324"/>
      <c r="AH167" s="324">
        <f t="shared" ref="AH167:AH174" si="61">J167</f>
        <v>36</v>
      </c>
      <c r="AI167" s="324"/>
      <c r="AJ167" s="333"/>
      <c r="AK167" s="333">
        <f t="shared" ref="AK167:AK172" si="62">J167</f>
        <v>36</v>
      </c>
      <c r="AL167" s="333"/>
      <c r="AM167" s="340"/>
      <c r="AN167" s="340"/>
      <c r="AO167" s="340"/>
      <c r="AP167" s="340"/>
      <c r="AQ167" s="340">
        <f t="shared" si="55"/>
        <v>36</v>
      </c>
      <c r="AR167" s="340"/>
      <c r="AS167" s="340"/>
      <c r="AT167" s="340"/>
      <c r="AU167" s="340"/>
      <c r="AV167" s="340"/>
      <c r="AW167" s="340"/>
      <c r="AX167" s="340"/>
      <c r="AY167" s="340"/>
      <c r="AZ167" s="340"/>
      <c r="BA167" s="340"/>
      <c r="BB167" s="340" t="s">
        <v>89</v>
      </c>
      <c r="BC167" s="340"/>
      <c r="BD167" s="340"/>
      <c r="BE167" s="340"/>
      <c r="BF167" s="340"/>
      <c r="BG167" s="340"/>
      <c r="BH167" s="340"/>
      <c r="BI167" s="340">
        <f>J167-BJ167</f>
        <v>35.4</v>
      </c>
      <c r="BJ167" s="340">
        <f t="shared" si="60"/>
        <v>0.6</v>
      </c>
      <c r="BK167" s="340"/>
      <c r="BL167" s="340"/>
      <c r="BM167" s="340"/>
      <c r="BN167" s="340"/>
      <c r="BO167" s="340"/>
      <c r="BP167" s="818"/>
      <c r="BQ167" s="819"/>
      <c r="BR167" s="806">
        <f t="shared" si="57"/>
        <v>36</v>
      </c>
      <c r="BS167" s="820">
        <f t="shared" si="58"/>
        <v>0</v>
      </c>
      <c r="BT167" s="817"/>
      <c r="BU167" s="817"/>
      <c r="BV167" s="817"/>
      <c r="BW167" s="854" t="str">
        <f>VLOOKUP(D167&amp;H167&amp;I167&amp;J167,'9298 版本变更明细'!C:AJ,34,FALSE)</f>
        <v>B版本膜+A版本指南+口水胶+C版本配件包（香味贴纸/指定配件）</v>
      </c>
      <c r="BX167" s="251" t="s">
        <v>3950</v>
      </c>
    </row>
    <row r="168" s="251" customFormat="1" ht="50" customHeight="1" spans="1:78">
      <c r="A168" s="801">
        <v>45798</v>
      </c>
      <c r="B168" s="331" t="s">
        <v>1016</v>
      </c>
      <c r="C168" s="324" t="s">
        <v>396</v>
      </c>
      <c r="D168" s="332">
        <v>4500167361</v>
      </c>
      <c r="E168" s="324" t="s">
        <v>12636</v>
      </c>
      <c r="F168" s="332" t="s">
        <v>12637</v>
      </c>
      <c r="G168" s="308" t="s">
        <v>2666</v>
      </c>
      <c r="H168" s="324" t="s">
        <v>2666</v>
      </c>
      <c r="I168" s="324" t="s">
        <v>2667</v>
      </c>
      <c r="J168" s="333">
        <v>36</v>
      </c>
      <c r="K168" s="333">
        <v>0</v>
      </c>
      <c r="L168" s="333">
        <v>12</v>
      </c>
      <c r="M168" s="333">
        <f t="shared" si="15"/>
        <v>3</v>
      </c>
      <c r="N168" s="334">
        <v>45834</v>
      </c>
      <c r="O168" s="334">
        <v>45831</v>
      </c>
      <c r="P168" s="363" t="s">
        <v>12316</v>
      </c>
      <c r="Q168" s="369" t="s">
        <v>12405</v>
      </c>
      <c r="R168" s="323"/>
      <c r="S168" s="828"/>
      <c r="T168" s="454"/>
      <c r="U168" s="454" t="s">
        <v>3948</v>
      </c>
      <c r="V168" s="454"/>
      <c r="W168" s="320"/>
      <c r="X168" s="323" t="s">
        <v>3949</v>
      </c>
      <c r="Y168" s="333" t="s">
        <v>369</v>
      </c>
      <c r="Z168" s="333">
        <v>2.0433</v>
      </c>
      <c r="AA168" s="333">
        <f t="shared" si="44"/>
        <v>73.5588</v>
      </c>
      <c r="AB168" s="323"/>
      <c r="AC168" s="323" t="s">
        <v>416</v>
      </c>
      <c r="AD168" s="324"/>
      <c r="AE168" s="333"/>
      <c r="AF168" s="333"/>
      <c r="AG168" s="324"/>
      <c r="AH168" s="324">
        <f t="shared" si="61"/>
        <v>36</v>
      </c>
      <c r="AI168" s="324"/>
      <c r="AJ168" s="333"/>
      <c r="AK168" s="333">
        <f t="shared" si="62"/>
        <v>36</v>
      </c>
      <c r="AL168" s="333"/>
      <c r="AM168" s="340"/>
      <c r="AN168" s="340"/>
      <c r="AO168" s="340"/>
      <c r="AP168" s="340"/>
      <c r="AQ168" s="340">
        <f t="shared" si="55"/>
        <v>36</v>
      </c>
      <c r="AR168" s="340"/>
      <c r="AS168" s="340"/>
      <c r="AT168" s="340"/>
      <c r="AU168" s="340"/>
      <c r="AV168" s="340"/>
      <c r="AW168" s="340"/>
      <c r="AX168" s="340"/>
      <c r="AY168" s="340"/>
      <c r="AZ168" s="340"/>
      <c r="BA168" s="340"/>
      <c r="BB168" s="340" t="s">
        <v>89</v>
      </c>
      <c r="BC168" s="340"/>
      <c r="BD168" s="340"/>
      <c r="BE168" s="340"/>
      <c r="BF168" s="340"/>
      <c r="BG168" s="340"/>
      <c r="BH168" s="340"/>
      <c r="BI168" s="340">
        <f>J168-BJ168</f>
        <v>35.4</v>
      </c>
      <c r="BJ168" s="340">
        <f t="shared" si="60"/>
        <v>0.6</v>
      </c>
      <c r="BK168" s="340"/>
      <c r="BL168" s="340"/>
      <c r="BM168" s="340"/>
      <c r="BN168" s="340"/>
      <c r="BO168" s="340"/>
      <c r="BP168" s="818"/>
      <c r="BQ168" s="819"/>
      <c r="BR168" s="806">
        <f t="shared" si="57"/>
        <v>36</v>
      </c>
      <c r="BS168" s="820">
        <f t="shared" si="58"/>
        <v>0</v>
      </c>
      <c r="BT168" s="817"/>
      <c r="BU168" s="817"/>
      <c r="BV168" s="817"/>
      <c r="BW168" s="854" t="str">
        <f>VLOOKUP(D168&amp;H168&amp;I168&amp;J168,'9298 版本变更明细'!C:AJ,34,FALSE)</f>
        <v>B版本膜+A版本指南+口水胶+C版本配件包（香味贴纸/指定配件）</v>
      </c>
      <c r="BX168" s="251" t="s">
        <v>3950</v>
      </c>
    </row>
    <row r="169" s="251" customFormat="1" ht="50" customHeight="1" spans="1:78">
      <c r="A169" s="801">
        <v>45798</v>
      </c>
      <c r="B169" s="331" t="s">
        <v>1016</v>
      </c>
      <c r="C169" s="324" t="s">
        <v>396</v>
      </c>
      <c r="D169" s="332">
        <v>4500167361</v>
      </c>
      <c r="E169" s="324" t="s">
        <v>12638</v>
      </c>
      <c r="F169" s="332" t="s">
        <v>12639</v>
      </c>
      <c r="G169" s="308" t="s">
        <v>2676</v>
      </c>
      <c r="H169" s="324" t="s">
        <v>2676</v>
      </c>
      <c r="I169" s="324" t="s">
        <v>2677</v>
      </c>
      <c r="J169" s="333">
        <v>24</v>
      </c>
      <c r="K169" s="333">
        <v>0</v>
      </c>
      <c r="L169" s="333">
        <v>12</v>
      </c>
      <c r="M169" s="333">
        <f t="shared" si="15"/>
        <v>2</v>
      </c>
      <c r="N169" s="334">
        <v>45834</v>
      </c>
      <c r="O169" s="334">
        <v>45831</v>
      </c>
      <c r="P169" s="363" t="s">
        <v>12316</v>
      </c>
      <c r="Q169" s="369" t="s">
        <v>12405</v>
      </c>
      <c r="R169" s="323"/>
      <c r="S169" s="828"/>
      <c r="T169" s="454"/>
      <c r="U169" s="454" t="s">
        <v>3948</v>
      </c>
      <c r="V169" s="454"/>
      <c r="W169" s="333"/>
      <c r="X169" s="323" t="s">
        <v>3949</v>
      </c>
      <c r="Y169" s="333" t="s">
        <v>369</v>
      </c>
      <c r="Z169" s="333">
        <v>2.0915</v>
      </c>
      <c r="AA169" s="333">
        <f t="shared" si="44"/>
        <v>50.196</v>
      </c>
      <c r="AB169" s="323"/>
      <c r="AC169" s="323" t="s">
        <v>416</v>
      </c>
      <c r="AD169" s="324"/>
      <c r="AE169" s="333"/>
      <c r="AF169" s="333"/>
      <c r="AG169" s="324"/>
      <c r="AH169" s="324">
        <f t="shared" si="61"/>
        <v>24</v>
      </c>
      <c r="AI169" s="324"/>
      <c r="AJ169" s="333"/>
      <c r="AK169" s="333">
        <f t="shared" si="62"/>
        <v>24</v>
      </c>
      <c r="AL169" s="333"/>
      <c r="AM169" s="340"/>
      <c r="AN169" s="340"/>
      <c r="AO169" s="340"/>
      <c r="AP169" s="340"/>
      <c r="AQ169" s="340">
        <f t="shared" si="55"/>
        <v>24</v>
      </c>
      <c r="AR169" s="340"/>
      <c r="AS169" s="340"/>
      <c r="AT169" s="340"/>
      <c r="AU169" s="340"/>
      <c r="AV169" s="340"/>
      <c r="AW169" s="340"/>
      <c r="AX169" s="340"/>
      <c r="AY169" s="340"/>
      <c r="AZ169" s="340"/>
      <c r="BA169" s="340"/>
      <c r="BB169" s="340" t="s">
        <v>89</v>
      </c>
      <c r="BC169" s="340"/>
      <c r="BD169" s="340"/>
      <c r="BE169" s="340">
        <f t="shared" ref="BE169:BE172" si="63">J169-BJ169</f>
        <v>23.6</v>
      </c>
      <c r="BF169" s="340"/>
      <c r="BG169" s="340"/>
      <c r="BH169" s="340"/>
      <c r="BI169" s="340"/>
      <c r="BJ169" s="340">
        <f t="shared" si="60"/>
        <v>0.4</v>
      </c>
      <c r="BK169" s="340"/>
      <c r="BL169" s="340"/>
      <c r="BM169" s="340"/>
      <c r="BN169" s="340"/>
      <c r="BO169" s="340"/>
      <c r="BP169" s="818"/>
      <c r="BQ169" s="819"/>
      <c r="BR169" s="806">
        <f t="shared" si="57"/>
        <v>24</v>
      </c>
      <c r="BS169" s="820">
        <f t="shared" si="58"/>
        <v>0</v>
      </c>
      <c r="BT169" s="817"/>
      <c r="BU169" s="817"/>
      <c r="BV169" s="817"/>
      <c r="BW169" s="854" t="str">
        <f>VLOOKUP(D169&amp;H169&amp;I169&amp;J169,'9298 版本变更明细'!C:AJ,34,FALSE)</f>
        <v>B版本膜+A版本指南+口水胶+C版本配件包（香味贴纸/指定配件）</v>
      </c>
      <c r="BX169" s="251" t="s">
        <v>3950</v>
      </c>
    </row>
    <row r="170" s="251" customFormat="1" ht="50" customHeight="1" spans="1:78">
      <c r="A170" s="801">
        <v>45798</v>
      </c>
      <c r="B170" s="331" t="s">
        <v>1016</v>
      </c>
      <c r="C170" s="324" t="s">
        <v>396</v>
      </c>
      <c r="D170" s="332">
        <v>4500167361</v>
      </c>
      <c r="E170" s="324" t="s">
        <v>12640</v>
      </c>
      <c r="F170" s="332" t="s">
        <v>12641</v>
      </c>
      <c r="G170" s="308" t="s">
        <v>2676</v>
      </c>
      <c r="H170" s="324" t="s">
        <v>2676</v>
      </c>
      <c r="I170" s="324" t="s">
        <v>2677</v>
      </c>
      <c r="J170" s="333">
        <v>36</v>
      </c>
      <c r="K170" s="333">
        <v>0</v>
      </c>
      <c r="L170" s="333">
        <v>12</v>
      </c>
      <c r="M170" s="333">
        <f t="shared" si="15"/>
        <v>3</v>
      </c>
      <c r="N170" s="334">
        <v>45834</v>
      </c>
      <c r="O170" s="334">
        <v>45831</v>
      </c>
      <c r="P170" s="363" t="s">
        <v>12316</v>
      </c>
      <c r="Q170" s="369" t="s">
        <v>12405</v>
      </c>
      <c r="R170" s="323"/>
      <c r="S170" s="828"/>
      <c r="T170" s="454"/>
      <c r="U170" s="454" t="s">
        <v>3948</v>
      </c>
      <c r="V170" s="454"/>
      <c r="W170" s="333"/>
      <c r="X170" s="323" t="s">
        <v>3949</v>
      </c>
      <c r="Y170" s="333" t="s">
        <v>369</v>
      </c>
      <c r="Z170" s="333">
        <v>2.0915</v>
      </c>
      <c r="AA170" s="333">
        <f t="shared" si="44"/>
        <v>75.294</v>
      </c>
      <c r="AB170" s="323"/>
      <c r="AC170" s="323" t="s">
        <v>416</v>
      </c>
      <c r="AD170" s="324"/>
      <c r="AE170" s="333"/>
      <c r="AF170" s="333"/>
      <c r="AG170" s="324"/>
      <c r="AH170" s="324">
        <f t="shared" si="61"/>
        <v>36</v>
      </c>
      <c r="AI170" s="324"/>
      <c r="AJ170" s="333"/>
      <c r="AK170" s="333">
        <f t="shared" si="62"/>
        <v>36</v>
      </c>
      <c r="AL170" s="333"/>
      <c r="AM170" s="340"/>
      <c r="AN170" s="340"/>
      <c r="AO170" s="340"/>
      <c r="AP170" s="340"/>
      <c r="AQ170" s="340">
        <f t="shared" si="55"/>
        <v>36</v>
      </c>
      <c r="AR170" s="340"/>
      <c r="AS170" s="340"/>
      <c r="AT170" s="340"/>
      <c r="AU170" s="340"/>
      <c r="AV170" s="340"/>
      <c r="AW170" s="340"/>
      <c r="AX170" s="340"/>
      <c r="AY170" s="340"/>
      <c r="AZ170" s="340"/>
      <c r="BA170" s="340"/>
      <c r="BB170" s="340" t="s">
        <v>89</v>
      </c>
      <c r="BC170" s="340"/>
      <c r="BD170" s="340"/>
      <c r="BE170" s="340">
        <f t="shared" si="63"/>
        <v>35.4</v>
      </c>
      <c r="BF170" s="340"/>
      <c r="BG170" s="340"/>
      <c r="BH170" s="340"/>
      <c r="BI170" s="340"/>
      <c r="BJ170" s="340">
        <f t="shared" si="60"/>
        <v>0.6</v>
      </c>
      <c r="BK170" s="340"/>
      <c r="BL170" s="340"/>
      <c r="BM170" s="340"/>
      <c r="BN170" s="340"/>
      <c r="BO170" s="340"/>
      <c r="BP170" s="818"/>
      <c r="BQ170" s="819"/>
      <c r="BR170" s="806">
        <f t="shared" si="57"/>
        <v>36</v>
      </c>
      <c r="BS170" s="820">
        <f t="shared" si="58"/>
        <v>0</v>
      </c>
      <c r="BT170" s="817"/>
      <c r="BU170" s="817"/>
      <c r="BV170" s="817"/>
      <c r="BW170" s="854" t="str">
        <f>VLOOKUP(D170&amp;H170&amp;I170&amp;J170,'9298 版本变更明细'!C:AJ,34,FALSE)</f>
        <v>B版本膜+A版本指南+口水胶+C版本配件包（香味贴纸/指定配件）</v>
      </c>
      <c r="BX170" s="251" t="s">
        <v>3950</v>
      </c>
    </row>
    <row r="171" s="251" customFormat="1" ht="50" customHeight="1" spans="1:78">
      <c r="A171" s="801">
        <v>45798</v>
      </c>
      <c r="B171" s="331" t="s">
        <v>1016</v>
      </c>
      <c r="C171" s="324" t="s">
        <v>396</v>
      </c>
      <c r="D171" s="332">
        <v>4500167361</v>
      </c>
      <c r="E171" s="324" t="s">
        <v>12642</v>
      </c>
      <c r="F171" s="332" t="s">
        <v>12643</v>
      </c>
      <c r="G171" s="308" t="s">
        <v>2676</v>
      </c>
      <c r="H171" s="324" t="s">
        <v>2676</v>
      </c>
      <c r="I171" s="324" t="s">
        <v>2677</v>
      </c>
      <c r="J171" s="333">
        <v>24</v>
      </c>
      <c r="K171" s="333">
        <v>0</v>
      </c>
      <c r="L171" s="333">
        <v>12</v>
      </c>
      <c r="M171" s="333">
        <f t="shared" si="15"/>
        <v>2</v>
      </c>
      <c r="N171" s="334">
        <v>45834</v>
      </c>
      <c r="O171" s="334">
        <v>45831</v>
      </c>
      <c r="P171" s="363" t="s">
        <v>12316</v>
      </c>
      <c r="Q171" s="369" t="s">
        <v>12405</v>
      </c>
      <c r="R171" s="323"/>
      <c r="S171" s="828"/>
      <c r="T171" s="454"/>
      <c r="U171" s="454" t="s">
        <v>3948</v>
      </c>
      <c r="V171" s="454"/>
      <c r="W171" s="333"/>
      <c r="X171" s="323" t="s">
        <v>3949</v>
      </c>
      <c r="Y171" s="333" t="s">
        <v>369</v>
      </c>
      <c r="Z171" s="333">
        <v>2.0915</v>
      </c>
      <c r="AA171" s="333">
        <f t="shared" si="44"/>
        <v>50.196</v>
      </c>
      <c r="AB171" s="323"/>
      <c r="AC171" s="323" t="s">
        <v>416</v>
      </c>
      <c r="AD171" s="324"/>
      <c r="AE171" s="333"/>
      <c r="AF171" s="333"/>
      <c r="AG171" s="324"/>
      <c r="AH171" s="324">
        <f t="shared" si="61"/>
        <v>24</v>
      </c>
      <c r="AI171" s="324"/>
      <c r="AJ171" s="333"/>
      <c r="AK171" s="333">
        <f t="shared" si="62"/>
        <v>24</v>
      </c>
      <c r="AL171" s="333"/>
      <c r="AM171" s="340"/>
      <c r="AN171" s="340"/>
      <c r="AO171" s="340"/>
      <c r="AP171" s="340"/>
      <c r="AQ171" s="340">
        <f t="shared" si="55"/>
        <v>24</v>
      </c>
      <c r="AR171" s="340"/>
      <c r="AS171" s="340"/>
      <c r="AT171" s="340"/>
      <c r="AU171" s="340"/>
      <c r="AV171" s="340"/>
      <c r="AW171" s="340"/>
      <c r="AX171" s="340"/>
      <c r="AY171" s="340"/>
      <c r="AZ171" s="340"/>
      <c r="BA171" s="340"/>
      <c r="BB171" s="340" t="s">
        <v>89</v>
      </c>
      <c r="BC171" s="340"/>
      <c r="BD171" s="340"/>
      <c r="BE171" s="340">
        <f t="shared" si="63"/>
        <v>23.6</v>
      </c>
      <c r="BF171" s="340"/>
      <c r="BG171" s="340"/>
      <c r="BH171" s="340"/>
      <c r="BI171" s="340"/>
      <c r="BJ171" s="340">
        <f t="shared" si="60"/>
        <v>0.4</v>
      </c>
      <c r="BK171" s="340"/>
      <c r="BL171" s="340"/>
      <c r="BM171" s="340"/>
      <c r="BN171" s="340"/>
      <c r="BO171" s="340"/>
      <c r="BP171" s="818"/>
      <c r="BQ171" s="819"/>
      <c r="BR171" s="806">
        <f t="shared" si="57"/>
        <v>24</v>
      </c>
      <c r="BS171" s="820">
        <f t="shared" si="58"/>
        <v>0</v>
      </c>
      <c r="BT171" s="817"/>
      <c r="BU171" s="817"/>
      <c r="BV171" s="817"/>
      <c r="BW171" s="854" t="str">
        <f>VLOOKUP(D171&amp;H171&amp;I171&amp;J171,'9298 版本变更明细'!C:AJ,34,FALSE)</f>
        <v>B版本膜+A版本指南+口水胶+C版本配件包（香味贴纸/指定配件）</v>
      </c>
      <c r="BX171" s="251" t="s">
        <v>3950</v>
      </c>
    </row>
    <row r="172" s="251" customFormat="1" ht="50" customHeight="1" spans="1:78">
      <c r="A172" s="801">
        <v>45798</v>
      </c>
      <c r="B172" s="331" t="s">
        <v>1016</v>
      </c>
      <c r="C172" s="324" t="s">
        <v>396</v>
      </c>
      <c r="D172" s="332">
        <v>4500167361</v>
      </c>
      <c r="E172" s="324" t="s">
        <v>12644</v>
      </c>
      <c r="F172" s="332" t="s">
        <v>12645</v>
      </c>
      <c r="G172" s="308" t="s">
        <v>2676</v>
      </c>
      <c r="H172" s="324" t="s">
        <v>2676</v>
      </c>
      <c r="I172" s="324" t="s">
        <v>2677</v>
      </c>
      <c r="J172" s="333">
        <v>36</v>
      </c>
      <c r="K172" s="333">
        <v>0</v>
      </c>
      <c r="L172" s="333">
        <v>12</v>
      </c>
      <c r="M172" s="333">
        <f t="shared" si="15"/>
        <v>3</v>
      </c>
      <c r="N172" s="334">
        <v>45834</v>
      </c>
      <c r="O172" s="334">
        <v>45831</v>
      </c>
      <c r="P172" s="363" t="s">
        <v>12316</v>
      </c>
      <c r="Q172" s="369" t="s">
        <v>12405</v>
      </c>
      <c r="R172" s="323"/>
      <c r="S172" s="828"/>
      <c r="T172" s="454"/>
      <c r="U172" s="454" t="s">
        <v>3948</v>
      </c>
      <c r="V172" s="454"/>
      <c r="W172" s="333"/>
      <c r="X172" s="323" t="s">
        <v>3949</v>
      </c>
      <c r="Y172" s="333" t="s">
        <v>369</v>
      </c>
      <c r="Z172" s="333">
        <v>2.0915</v>
      </c>
      <c r="AA172" s="333">
        <f t="shared" si="44"/>
        <v>75.294</v>
      </c>
      <c r="AB172" s="323"/>
      <c r="AC172" s="323" t="s">
        <v>416</v>
      </c>
      <c r="AD172" s="324"/>
      <c r="AE172" s="333"/>
      <c r="AF172" s="333"/>
      <c r="AG172" s="324"/>
      <c r="AH172" s="324">
        <f t="shared" si="61"/>
        <v>36</v>
      </c>
      <c r="AI172" s="324"/>
      <c r="AJ172" s="333"/>
      <c r="AK172" s="333">
        <f t="shared" si="62"/>
        <v>36</v>
      </c>
      <c r="AL172" s="333"/>
      <c r="AM172" s="340"/>
      <c r="AN172" s="340"/>
      <c r="AO172" s="340"/>
      <c r="AP172" s="340"/>
      <c r="AQ172" s="340">
        <f t="shared" si="55"/>
        <v>36</v>
      </c>
      <c r="AR172" s="340"/>
      <c r="AS172" s="340"/>
      <c r="AT172" s="340"/>
      <c r="AU172" s="340"/>
      <c r="AV172" s="340"/>
      <c r="AW172" s="340"/>
      <c r="AX172" s="340"/>
      <c r="AY172" s="340"/>
      <c r="AZ172" s="340"/>
      <c r="BA172" s="340"/>
      <c r="BB172" s="340" t="s">
        <v>89</v>
      </c>
      <c r="BC172" s="340"/>
      <c r="BD172" s="340"/>
      <c r="BE172" s="340">
        <f t="shared" si="63"/>
        <v>35.4</v>
      </c>
      <c r="BF172" s="340"/>
      <c r="BG172" s="340"/>
      <c r="BH172" s="340"/>
      <c r="BI172" s="340"/>
      <c r="BJ172" s="340">
        <f t="shared" si="60"/>
        <v>0.6</v>
      </c>
      <c r="BK172" s="340"/>
      <c r="BL172" s="340"/>
      <c r="BM172" s="340"/>
      <c r="BN172" s="340"/>
      <c r="BO172" s="340"/>
      <c r="BP172" s="818"/>
      <c r="BQ172" s="819"/>
      <c r="BR172" s="806">
        <f t="shared" si="57"/>
        <v>36</v>
      </c>
      <c r="BS172" s="820">
        <f t="shared" si="58"/>
        <v>0</v>
      </c>
      <c r="BT172" s="817"/>
      <c r="BU172" s="817"/>
      <c r="BV172" s="817"/>
      <c r="BW172" s="854" t="str">
        <f>VLOOKUP(D172&amp;H172&amp;I172&amp;J172,'9298 版本变更明细'!C:AJ,34,FALSE)</f>
        <v>B版本膜+A版本指南+口水胶+C版本配件包（香味贴纸/指定配件）</v>
      </c>
      <c r="BX172" s="251" t="s">
        <v>3950</v>
      </c>
    </row>
    <row r="173" s="401" customFormat="1" ht="50" customHeight="1" spans="1:78">
      <c r="A173" s="855">
        <v>45733</v>
      </c>
      <c r="B173" s="856" t="s">
        <v>12646</v>
      </c>
      <c r="C173" s="438" t="s">
        <v>91</v>
      </c>
      <c r="D173" s="857">
        <v>4500160320</v>
      </c>
      <c r="E173" s="440" t="s">
        <v>12647</v>
      </c>
      <c r="F173" s="858" t="s">
        <v>12648</v>
      </c>
      <c r="G173" s="440" t="s">
        <v>6195</v>
      </c>
      <c r="H173" s="440" t="s">
        <v>6195</v>
      </c>
      <c r="I173" s="441" t="s">
        <v>6063</v>
      </c>
      <c r="J173" s="441">
        <v>4320</v>
      </c>
      <c r="K173" s="441">
        <v>0</v>
      </c>
      <c r="L173" s="441">
        <v>12</v>
      </c>
      <c r="M173" s="441">
        <f t="shared" si="15"/>
        <v>360</v>
      </c>
      <c r="N173" s="442">
        <v>45785</v>
      </c>
      <c r="O173" s="375">
        <v>45912</v>
      </c>
      <c r="P173" s="859" t="s">
        <v>12649</v>
      </c>
      <c r="Q173" s="440"/>
      <c r="R173" s="746"/>
      <c r="S173" s="860" t="s">
        <v>3558</v>
      </c>
      <c r="T173" s="860"/>
      <c r="U173" s="861" t="s">
        <v>12650</v>
      </c>
      <c r="V173" s="860"/>
      <c r="W173" s="441"/>
      <c r="X173" s="746" t="s">
        <v>1945</v>
      </c>
      <c r="Y173" s="439" t="s">
        <v>6911</v>
      </c>
      <c r="Z173" s="758">
        <v>2.2281</v>
      </c>
      <c r="AA173" s="441">
        <f t="shared" si="44"/>
        <v>9625.392</v>
      </c>
      <c r="AB173" s="862"/>
      <c r="AC173" s="746" t="s">
        <v>416</v>
      </c>
      <c r="AD173" s="746"/>
      <c r="AE173" s="746"/>
      <c r="AF173" s="746"/>
      <c r="AG173" s="440"/>
      <c r="AH173" s="440">
        <f t="shared" si="61"/>
        <v>4320</v>
      </c>
      <c r="AI173" s="440"/>
      <c r="AJ173" s="440"/>
      <c r="AK173" s="440"/>
      <c r="AL173" s="441"/>
      <c r="AM173" s="441">
        <f>J173</f>
        <v>4320</v>
      </c>
      <c r="AN173" s="444"/>
      <c r="AO173" s="444"/>
      <c r="AP173" s="444">
        <f>J173</f>
        <v>4320</v>
      </c>
      <c r="AQ173" s="444"/>
      <c r="AR173" s="444"/>
      <c r="AS173" s="444"/>
      <c r="AT173" s="444"/>
      <c r="AU173" s="444"/>
      <c r="AV173" s="444">
        <f>J173/6</f>
        <v>720</v>
      </c>
      <c r="AW173" s="444"/>
      <c r="AX173" s="444"/>
      <c r="AY173" s="444"/>
      <c r="AZ173" s="444"/>
      <c r="BA173" s="444"/>
      <c r="BB173" s="444"/>
      <c r="BC173" s="444"/>
      <c r="BD173" s="444"/>
      <c r="BE173" s="444" t="s">
        <v>89</v>
      </c>
      <c r="BF173" s="444">
        <f t="shared" ref="BF173:BF180" si="64">J173/60*2</f>
        <v>144</v>
      </c>
      <c r="BG173" s="444">
        <f t="shared" ref="BG173:BG186" si="65">J173/60*10</f>
        <v>720</v>
      </c>
      <c r="BH173" s="444">
        <f t="shared" ref="BH173:BH186" si="66">J173/60*10</f>
        <v>720</v>
      </c>
      <c r="BI173" s="444">
        <f t="shared" ref="BI173:BI186" si="67">J173/60*8</f>
        <v>576</v>
      </c>
      <c r="BJ173" s="444">
        <f t="shared" ref="BJ173:BJ180" si="68">J173/60*10</f>
        <v>720</v>
      </c>
      <c r="BK173" s="759">
        <f t="shared" ref="BK173:BK180" si="69">J173/60*10</f>
        <v>720</v>
      </c>
      <c r="BL173" s="760">
        <f t="shared" ref="BL173:BL180" si="70">J173/60*10</f>
        <v>720</v>
      </c>
      <c r="BM173" s="760">
        <f t="shared" ref="BM173:BM180" si="71">SUM(BF173:BL173)</f>
        <v>4320</v>
      </c>
      <c r="BN173" s="760">
        <f t="shared" ref="BN173:BN180" si="72">J173-BM173</f>
        <v>0</v>
      </c>
      <c r="BO173" s="863" t="e">
        <v>#N/A</v>
      </c>
      <c r="BP173" s="864" t="e">
        <v>#N/A</v>
      </c>
      <c r="BQ173" s="863" t="str">
        <f>VLOOKUP(D173&amp;H173&amp;I173&amp;J173,客户回复!C:AE,29,FALSE)</f>
        <v>全套新包装</v>
      </c>
    </row>
    <row r="174" s="401" customFormat="1" ht="50" customHeight="1" spans="1:78">
      <c r="A174" s="855">
        <v>45734</v>
      </c>
      <c r="B174" s="856" t="s">
        <v>12646</v>
      </c>
      <c r="C174" s="438" t="s">
        <v>91</v>
      </c>
      <c r="D174" s="857">
        <v>4500160320</v>
      </c>
      <c r="E174" s="440" t="s">
        <v>12651</v>
      </c>
      <c r="F174" s="858" t="s">
        <v>12652</v>
      </c>
      <c r="G174" s="440" t="s">
        <v>6195</v>
      </c>
      <c r="H174" s="440" t="s">
        <v>6195</v>
      </c>
      <c r="I174" s="441" t="s">
        <v>6063</v>
      </c>
      <c r="J174" s="441">
        <v>1848</v>
      </c>
      <c r="K174" s="441">
        <v>0</v>
      </c>
      <c r="L174" s="441">
        <v>12</v>
      </c>
      <c r="M174" s="441">
        <f t="shared" si="15"/>
        <v>154</v>
      </c>
      <c r="N174" s="442">
        <v>45785</v>
      </c>
      <c r="O174" s="375">
        <v>45912</v>
      </c>
      <c r="P174" s="859" t="s">
        <v>12649</v>
      </c>
      <c r="Q174" s="440"/>
      <c r="R174" s="746"/>
      <c r="S174" s="860" t="s">
        <v>3558</v>
      </c>
      <c r="T174" s="860"/>
      <c r="U174" s="861" t="s">
        <v>12650</v>
      </c>
      <c r="V174" s="860"/>
      <c r="W174" s="441"/>
      <c r="X174" s="746" t="s">
        <v>1956</v>
      </c>
      <c r="Y174" s="439" t="s">
        <v>6911</v>
      </c>
      <c r="Z174" s="758">
        <v>2.2489</v>
      </c>
      <c r="AA174" s="441">
        <f t="shared" si="44"/>
        <v>4155.9672</v>
      </c>
      <c r="AB174" s="862"/>
      <c r="AC174" s="746" t="s">
        <v>416</v>
      </c>
      <c r="AD174" s="746"/>
      <c r="AE174" s="746"/>
      <c r="AF174" s="746"/>
      <c r="AG174" s="440"/>
      <c r="AH174" s="440">
        <f t="shared" si="61"/>
        <v>1848</v>
      </c>
      <c r="AI174" s="440"/>
      <c r="AJ174" s="440"/>
      <c r="AK174" s="440"/>
      <c r="AL174" s="441"/>
      <c r="AM174" s="441">
        <f>J174</f>
        <v>1848</v>
      </c>
      <c r="AN174" s="444"/>
      <c r="AO174" s="444"/>
      <c r="AP174" s="444">
        <f>J174</f>
        <v>1848</v>
      </c>
      <c r="AQ174" s="444"/>
      <c r="AR174" s="444"/>
      <c r="AS174" s="444"/>
      <c r="AT174" s="444"/>
      <c r="AU174" s="444"/>
      <c r="AV174" s="444">
        <f>J174/6</f>
        <v>308</v>
      </c>
      <c r="AW174" s="444"/>
      <c r="AX174" s="444"/>
      <c r="AY174" s="444"/>
      <c r="AZ174" s="444"/>
      <c r="BA174" s="444"/>
      <c r="BB174" s="444"/>
      <c r="BC174" s="444"/>
      <c r="BD174" s="444"/>
      <c r="BE174" s="444" t="s">
        <v>89</v>
      </c>
      <c r="BF174" s="444">
        <f t="shared" si="64"/>
        <v>61.6</v>
      </c>
      <c r="BG174" s="444">
        <f t="shared" si="65"/>
        <v>308</v>
      </c>
      <c r="BH174" s="444">
        <f t="shared" si="66"/>
        <v>308</v>
      </c>
      <c r="BI174" s="444">
        <f t="shared" si="67"/>
        <v>246.4</v>
      </c>
      <c r="BJ174" s="444">
        <f t="shared" si="68"/>
        <v>308</v>
      </c>
      <c r="BK174" s="759">
        <f t="shared" si="69"/>
        <v>308</v>
      </c>
      <c r="BL174" s="760">
        <f t="shared" si="70"/>
        <v>308</v>
      </c>
      <c r="BM174" s="760">
        <f t="shared" si="71"/>
        <v>1848</v>
      </c>
      <c r="BN174" s="760">
        <f t="shared" si="72"/>
        <v>0</v>
      </c>
      <c r="BO174" s="863" t="e">
        <v>#N/A</v>
      </c>
      <c r="BP174" s="864" t="e">
        <v>#N/A</v>
      </c>
      <c r="BQ174" s="863" t="str">
        <f>VLOOKUP(D174&amp;H174&amp;I174&amp;J174,客户回复!C:AE,29,FALSE)</f>
        <v>全套新包装</v>
      </c>
    </row>
    <row r="175" s="677" customFormat="1" ht="50" customHeight="1" spans="1:78">
      <c r="A175" s="865">
        <v>45611</v>
      </c>
      <c r="B175" s="866" t="s">
        <v>2285</v>
      </c>
      <c r="C175" s="867" t="s">
        <v>2580</v>
      </c>
      <c r="D175" s="868">
        <v>4500151414</v>
      </c>
      <c r="E175" s="867" t="s">
        <v>3330</v>
      </c>
      <c r="F175" s="868" t="s">
        <v>12653</v>
      </c>
      <c r="G175" s="867" t="s">
        <v>2577</v>
      </c>
      <c r="H175" s="867" t="s">
        <v>2577</v>
      </c>
      <c r="I175" s="867" t="s">
        <v>2578</v>
      </c>
      <c r="J175" s="869">
        <v>1320</v>
      </c>
      <c r="K175" s="869">
        <v>0</v>
      </c>
      <c r="L175" s="869">
        <v>12</v>
      </c>
      <c r="M175" s="869">
        <f t="shared" si="15"/>
        <v>110</v>
      </c>
      <c r="N175" s="870">
        <v>45847</v>
      </c>
      <c r="O175" s="870">
        <v>45843</v>
      </c>
      <c r="P175" s="867" t="s">
        <v>12612</v>
      </c>
      <c r="Q175" s="871"/>
      <c r="R175" s="872"/>
      <c r="S175" s="873" t="s">
        <v>3332</v>
      </c>
      <c r="T175" s="873"/>
      <c r="U175" s="873" t="s">
        <v>12654</v>
      </c>
      <c r="V175" s="873"/>
      <c r="W175" s="874" t="s">
        <v>355</v>
      </c>
      <c r="X175" s="872" t="s">
        <v>12655</v>
      </c>
      <c r="Y175" s="869" t="s">
        <v>357</v>
      </c>
      <c r="Z175" s="869">
        <v>2.1844</v>
      </c>
      <c r="AA175" s="869">
        <f t="shared" si="44"/>
        <v>2883.408</v>
      </c>
      <c r="AB175" s="872"/>
      <c r="AC175" s="872" t="s">
        <v>416</v>
      </c>
      <c r="AD175" s="875"/>
      <c r="AE175" s="869"/>
      <c r="AF175" s="869">
        <f>J175</f>
        <v>1320</v>
      </c>
      <c r="AG175" s="875"/>
      <c r="AH175" s="867"/>
      <c r="AI175" s="867"/>
      <c r="AJ175" s="869"/>
      <c r="AK175" s="869">
        <f t="shared" ref="AK175:AK178" si="73">J175</f>
        <v>1320</v>
      </c>
      <c r="AL175" s="869"/>
      <c r="AM175" s="876"/>
      <c r="AN175" s="877"/>
      <c r="AO175" s="876">
        <f t="shared" ref="AO175:AO186" si="74">J175</f>
        <v>1320</v>
      </c>
      <c r="AP175" s="877"/>
      <c r="AQ175" s="876"/>
      <c r="AR175" s="876">
        <f>J175/6</f>
        <v>220</v>
      </c>
      <c r="AS175" s="876"/>
      <c r="AT175" s="876"/>
      <c r="AU175" s="876"/>
      <c r="AV175" s="876"/>
      <c r="AW175" s="876"/>
      <c r="AX175" s="876"/>
      <c r="AY175" s="876"/>
      <c r="AZ175" s="876"/>
      <c r="BA175" s="876"/>
      <c r="BB175" s="876" t="s">
        <v>89</v>
      </c>
      <c r="BC175" s="876"/>
      <c r="BD175" s="876">
        <f>J175/60*10</f>
        <v>220</v>
      </c>
      <c r="BE175" s="876">
        <f>J175/60*10</f>
        <v>220</v>
      </c>
      <c r="BF175" s="876">
        <f>J175/60*10</f>
        <v>220</v>
      </c>
      <c r="BG175" s="876">
        <f t="shared" si="65"/>
        <v>220</v>
      </c>
      <c r="BH175" s="876">
        <f t="shared" si="66"/>
        <v>220</v>
      </c>
      <c r="BI175" s="876">
        <f t="shared" si="67"/>
        <v>176</v>
      </c>
      <c r="BJ175" s="876">
        <f>J175/60*2</f>
        <v>44</v>
      </c>
      <c r="BK175" s="878"/>
      <c r="BL175" s="878"/>
      <c r="BM175" s="878"/>
      <c r="BN175" s="878"/>
      <c r="BO175" s="878"/>
      <c r="BP175" s="879"/>
      <c r="BQ175" s="880"/>
      <c r="BR175" s="881">
        <f>SUM(BD175:BQ175)</f>
        <v>1320</v>
      </c>
      <c r="BS175" s="882">
        <f>J175-BR175</f>
        <v>0</v>
      </c>
      <c r="BT175" s="883"/>
      <c r="BU175" s="883"/>
      <c r="BV175" s="883"/>
      <c r="BW175" s="884" t="str">
        <f>VLOOKUP(D175&amp;H175&amp;I175&amp;J175,'9298 版本变更明细'!C:AJ,34,FALSE)</f>
        <v>版本待定</v>
      </c>
      <c r="BY175" s="885"/>
      <c r="BZ175" s="884"/>
    </row>
    <row r="176" s="677" customFormat="1" ht="50" customHeight="1" spans="1:78">
      <c r="A176" s="865">
        <v>45611</v>
      </c>
      <c r="B176" s="866" t="s">
        <v>2285</v>
      </c>
      <c r="C176" s="867" t="s">
        <v>2580</v>
      </c>
      <c r="D176" s="868">
        <v>4500151414</v>
      </c>
      <c r="E176" s="867" t="s">
        <v>3336</v>
      </c>
      <c r="F176" s="868" t="s">
        <v>12656</v>
      </c>
      <c r="G176" s="867" t="s">
        <v>2577</v>
      </c>
      <c r="H176" s="867" t="s">
        <v>2577</v>
      </c>
      <c r="I176" s="867" t="s">
        <v>2578</v>
      </c>
      <c r="J176" s="869">
        <v>576</v>
      </c>
      <c r="K176" s="869">
        <v>0</v>
      </c>
      <c r="L176" s="869">
        <v>12</v>
      </c>
      <c r="M176" s="869">
        <f t="shared" si="15"/>
        <v>48</v>
      </c>
      <c r="N176" s="870">
        <v>45847</v>
      </c>
      <c r="O176" s="870">
        <v>45843</v>
      </c>
      <c r="P176" s="867" t="s">
        <v>12612</v>
      </c>
      <c r="Q176" s="871"/>
      <c r="R176" s="872"/>
      <c r="S176" s="873" t="s">
        <v>3332</v>
      </c>
      <c r="T176" s="873"/>
      <c r="U176" s="873" t="s">
        <v>12654</v>
      </c>
      <c r="V176" s="873"/>
      <c r="W176" s="874" t="s">
        <v>355</v>
      </c>
      <c r="X176" s="872" t="s">
        <v>12655</v>
      </c>
      <c r="Y176" s="869" t="s">
        <v>357</v>
      </c>
      <c r="Z176" s="869">
        <v>2.1844</v>
      </c>
      <c r="AA176" s="869">
        <f t="shared" si="44"/>
        <v>1258.2144</v>
      </c>
      <c r="AB176" s="872"/>
      <c r="AC176" s="872" t="s">
        <v>416</v>
      </c>
      <c r="AD176" s="875"/>
      <c r="AE176" s="869"/>
      <c r="AF176" s="869">
        <f>J176</f>
        <v>576</v>
      </c>
      <c r="AG176" s="875"/>
      <c r="AH176" s="867"/>
      <c r="AI176" s="867"/>
      <c r="AJ176" s="869"/>
      <c r="AK176" s="869">
        <f t="shared" si="73"/>
        <v>576</v>
      </c>
      <c r="AL176" s="869"/>
      <c r="AM176" s="876"/>
      <c r="AN176" s="877"/>
      <c r="AO176" s="876">
        <f t="shared" si="74"/>
        <v>576</v>
      </c>
      <c r="AP176" s="877"/>
      <c r="AQ176" s="876"/>
      <c r="AR176" s="876">
        <f>J176/6</f>
        <v>96</v>
      </c>
      <c r="AS176" s="876"/>
      <c r="AT176" s="876"/>
      <c r="AU176" s="876"/>
      <c r="AV176" s="876"/>
      <c r="AW176" s="876"/>
      <c r="AX176" s="876"/>
      <c r="AY176" s="876"/>
      <c r="AZ176" s="876"/>
      <c r="BA176" s="876"/>
      <c r="BB176" s="876" t="s">
        <v>89</v>
      </c>
      <c r="BC176" s="876"/>
      <c r="BD176" s="876">
        <f>J176/60*10</f>
        <v>96</v>
      </c>
      <c r="BE176" s="876">
        <f>J176/60*10</f>
        <v>96</v>
      </c>
      <c r="BF176" s="876">
        <f>J176/60*10</f>
        <v>96</v>
      </c>
      <c r="BG176" s="876">
        <f t="shared" si="65"/>
        <v>96</v>
      </c>
      <c r="BH176" s="876">
        <f t="shared" si="66"/>
        <v>96</v>
      </c>
      <c r="BI176" s="876">
        <f t="shared" si="67"/>
        <v>76.8</v>
      </c>
      <c r="BJ176" s="876">
        <f>J176/60*2</f>
        <v>19.2</v>
      </c>
      <c r="BK176" s="878"/>
      <c r="BL176" s="878"/>
      <c r="BM176" s="878"/>
      <c r="BN176" s="878"/>
      <c r="BO176" s="878"/>
      <c r="BP176" s="879"/>
      <c r="BQ176" s="880"/>
      <c r="BR176" s="881">
        <f>SUM(BD176:BQ176)</f>
        <v>576</v>
      </c>
      <c r="BS176" s="882">
        <f>J176-BR176</f>
        <v>0</v>
      </c>
      <c r="BT176" s="883"/>
      <c r="BU176" s="883"/>
      <c r="BV176" s="883"/>
      <c r="BW176" s="884" t="str">
        <f>VLOOKUP(D176&amp;H176&amp;I176&amp;J176,'9298 版本变更明细'!C:AJ,34,FALSE)</f>
        <v>版本待定</v>
      </c>
      <c r="BY176" s="885"/>
      <c r="BZ176" s="884"/>
    </row>
    <row r="177" s="678" customFormat="1" ht="50" customHeight="1" spans="1:82">
      <c r="A177" s="886">
        <v>45750</v>
      </c>
      <c r="B177" s="887" t="s">
        <v>2285</v>
      </c>
      <c r="C177" s="887" t="s">
        <v>2580</v>
      </c>
      <c r="D177" s="888">
        <v>4500151414</v>
      </c>
      <c r="E177" s="888" t="s">
        <v>3330</v>
      </c>
      <c r="F177" s="889" t="s">
        <v>12657</v>
      </c>
      <c r="G177" s="889" t="s">
        <v>6620</v>
      </c>
      <c r="H177" s="889" t="s">
        <v>6254</v>
      </c>
      <c r="I177" s="888" t="s">
        <v>6063</v>
      </c>
      <c r="J177" s="888">
        <v>6720</v>
      </c>
      <c r="K177" s="888">
        <v>0</v>
      </c>
      <c r="L177" s="888">
        <v>6</v>
      </c>
      <c r="M177" s="888">
        <f t="shared" si="15"/>
        <v>1120</v>
      </c>
      <c r="N177" s="890">
        <v>45847</v>
      </c>
      <c r="O177" s="890">
        <v>45843</v>
      </c>
      <c r="P177" s="867" t="s">
        <v>12658</v>
      </c>
      <c r="Q177" s="889"/>
      <c r="R177" s="891"/>
      <c r="S177" s="892" t="s">
        <v>3332</v>
      </c>
      <c r="T177" s="892"/>
      <c r="U177" s="892" t="s">
        <v>12654</v>
      </c>
      <c r="V177" s="892"/>
      <c r="W177" s="893" t="s">
        <v>12659</v>
      </c>
      <c r="X177" s="891" t="s">
        <v>12660</v>
      </c>
      <c r="Y177" s="894" t="s">
        <v>357</v>
      </c>
      <c r="Z177" s="888">
        <v>2.291</v>
      </c>
      <c r="AA177" s="888">
        <f t="shared" si="44"/>
        <v>15395.52</v>
      </c>
      <c r="AB177" s="895"/>
      <c r="AC177" s="891" t="s">
        <v>416</v>
      </c>
      <c r="AD177" s="891"/>
      <c r="AE177" s="891"/>
      <c r="AF177" s="891"/>
      <c r="AG177" s="889"/>
      <c r="AH177" s="889"/>
      <c r="AI177" s="889"/>
      <c r="AJ177" s="889"/>
      <c r="AK177" s="889">
        <f t="shared" si="73"/>
        <v>6720</v>
      </c>
      <c r="AL177" s="888">
        <f t="shared" ref="AL177:AL180" si="75">J177</f>
        <v>6720</v>
      </c>
      <c r="AM177" s="888"/>
      <c r="AN177" s="896"/>
      <c r="AO177" s="896">
        <f t="shared" si="74"/>
        <v>6720</v>
      </c>
      <c r="AP177" s="896"/>
      <c r="AQ177" s="896"/>
      <c r="AR177" s="896"/>
      <c r="AS177" s="896"/>
      <c r="AT177" s="896"/>
      <c r="AU177" s="896">
        <f>J177/6</f>
        <v>1120</v>
      </c>
      <c r="AV177" s="896"/>
      <c r="AW177" s="896"/>
      <c r="AX177" s="896"/>
      <c r="AY177" s="896"/>
      <c r="AZ177" s="896"/>
      <c r="BA177" s="896"/>
      <c r="BB177" s="896"/>
      <c r="BC177" s="896"/>
      <c r="BD177" s="896"/>
      <c r="BE177" s="896" t="s">
        <v>89</v>
      </c>
      <c r="BF177" s="896">
        <f t="shared" si="64"/>
        <v>224</v>
      </c>
      <c r="BG177" s="896">
        <f t="shared" si="65"/>
        <v>1120</v>
      </c>
      <c r="BH177" s="896">
        <f t="shared" si="66"/>
        <v>1120</v>
      </c>
      <c r="BI177" s="896">
        <f t="shared" si="67"/>
        <v>896</v>
      </c>
      <c r="BJ177" s="896">
        <f t="shared" si="68"/>
        <v>1120</v>
      </c>
      <c r="BK177" s="897">
        <f t="shared" si="69"/>
        <v>1120</v>
      </c>
      <c r="BL177" s="898">
        <f t="shared" si="70"/>
        <v>1120</v>
      </c>
      <c r="BM177" s="898">
        <f t="shared" si="71"/>
        <v>6720</v>
      </c>
      <c r="BN177" s="898">
        <f t="shared" si="72"/>
        <v>0</v>
      </c>
      <c r="BO177" s="899"/>
      <c r="BP177" s="900"/>
      <c r="BQ177" s="901"/>
    </row>
    <row r="178" s="678" customFormat="1" ht="50" customHeight="1" spans="1:82">
      <c r="A178" s="886">
        <v>45751</v>
      </c>
      <c r="B178" s="887" t="s">
        <v>2285</v>
      </c>
      <c r="C178" s="887" t="s">
        <v>2580</v>
      </c>
      <c r="D178" s="888">
        <v>4500151414</v>
      </c>
      <c r="E178" s="888" t="s">
        <v>3336</v>
      </c>
      <c r="F178" s="889" t="s">
        <v>12661</v>
      </c>
      <c r="G178" s="889" t="s">
        <v>6620</v>
      </c>
      <c r="H178" s="889" t="s">
        <v>6254</v>
      </c>
      <c r="I178" s="888" t="s">
        <v>6063</v>
      </c>
      <c r="J178" s="888">
        <v>2952</v>
      </c>
      <c r="K178" s="888">
        <v>0</v>
      </c>
      <c r="L178" s="888">
        <v>6</v>
      </c>
      <c r="M178" s="888">
        <f t="shared" si="15"/>
        <v>492</v>
      </c>
      <c r="N178" s="890">
        <v>45847</v>
      </c>
      <c r="O178" s="890">
        <v>45843</v>
      </c>
      <c r="P178" s="867" t="s">
        <v>12658</v>
      </c>
      <c r="Q178" s="889"/>
      <c r="R178" s="891"/>
      <c r="S178" s="892" t="s">
        <v>3332</v>
      </c>
      <c r="T178" s="892"/>
      <c r="U178" s="892" t="s">
        <v>12654</v>
      </c>
      <c r="V178" s="892"/>
      <c r="W178" s="893" t="s">
        <v>12659</v>
      </c>
      <c r="X178" s="891" t="s">
        <v>12660</v>
      </c>
      <c r="Y178" s="894" t="s">
        <v>357</v>
      </c>
      <c r="Z178" s="888">
        <v>2.291</v>
      </c>
      <c r="AA178" s="888">
        <f t="shared" si="44"/>
        <v>6763.032</v>
      </c>
      <c r="AB178" s="895"/>
      <c r="AC178" s="891" t="s">
        <v>416</v>
      </c>
      <c r="AD178" s="891"/>
      <c r="AE178" s="891"/>
      <c r="AF178" s="891"/>
      <c r="AG178" s="889"/>
      <c r="AH178" s="889"/>
      <c r="AI178" s="889"/>
      <c r="AJ178" s="889"/>
      <c r="AK178" s="889">
        <f t="shared" si="73"/>
        <v>2952</v>
      </c>
      <c r="AL178" s="888">
        <f t="shared" si="75"/>
        <v>2952</v>
      </c>
      <c r="AM178" s="888"/>
      <c r="AN178" s="896"/>
      <c r="AO178" s="896">
        <f t="shared" si="74"/>
        <v>2952</v>
      </c>
      <c r="AP178" s="896"/>
      <c r="AQ178" s="896"/>
      <c r="AR178" s="896"/>
      <c r="AS178" s="896"/>
      <c r="AT178" s="896"/>
      <c r="AU178" s="896">
        <f>J178/6</f>
        <v>492</v>
      </c>
      <c r="AV178" s="896"/>
      <c r="AW178" s="896"/>
      <c r="AX178" s="896"/>
      <c r="AY178" s="896"/>
      <c r="AZ178" s="896"/>
      <c r="BA178" s="896"/>
      <c r="BB178" s="896"/>
      <c r="BC178" s="896"/>
      <c r="BD178" s="896"/>
      <c r="BE178" s="896" t="s">
        <v>89</v>
      </c>
      <c r="BF178" s="896">
        <f t="shared" si="64"/>
        <v>98.4</v>
      </c>
      <c r="BG178" s="896">
        <f t="shared" si="65"/>
        <v>492</v>
      </c>
      <c r="BH178" s="896">
        <f t="shared" si="66"/>
        <v>492</v>
      </c>
      <c r="BI178" s="896">
        <f t="shared" si="67"/>
        <v>393.6</v>
      </c>
      <c r="BJ178" s="896">
        <f t="shared" si="68"/>
        <v>492</v>
      </c>
      <c r="BK178" s="897">
        <f t="shared" si="69"/>
        <v>492</v>
      </c>
      <c r="BL178" s="898">
        <f t="shared" si="70"/>
        <v>492</v>
      </c>
      <c r="BM178" s="898">
        <f t="shared" si="71"/>
        <v>2952</v>
      </c>
      <c r="BN178" s="898">
        <f t="shared" si="72"/>
        <v>0</v>
      </c>
      <c r="BO178" s="899"/>
      <c r="BP178" s="900"/>
      <c r="BQ178" s="901"/>
    </row>
    <row r="179" s="678" customFormat="1" ht="50" customHeight="1" spans="1:82">
      <c r="A179" s="886">
        <v>45745</v>
      </c>
      <c r="B179" s="887" t="s">
        <v>2285</v>
      </c>
      <c r="C179" s="887" t="s">
        <v>351</v>
      </c>
      <c r="D179" s="894">
        <v>4500159511</v>
      </c>
      <c r="E179" s="889" t="s">
        <v>3330</v>
      </c>
      <c r="F179" s="887" t="s">
        <v>12611</v>
      </c>
      <c r="G179" s="889" t="s">
        <v>3520</v>
      </c>
      <c r="H179" s="889" t="s">
        <v>6643</v>
      </c>
      <c r="I179" s="888" t="s">
        <v>3517</v>
      </c>
      <c r="J179" s="888">
        <v>6180</v>
      </c>
      <c r="K179" s="888">
        <v>0</v>
      </c>
      <c r="L179" s="888">
        <v>12</v>
      </c>
      <c r="M179" s="888">
        <f t="shared" si="15"/>
        <v>515</v>
      </c>
      <c r="N179" s="890">
        <v>45806</v>
      </c>
      <c r="O179" s="890">
        <v>45803</v>
      </c>
      <c r="P179" s="888" t="s">
        <v>12612</v>
      </c>
      <c r="Q179" s="889"/>
      <c r="R179" s="891"/>
      <c r="S179" s="873" t="s">
        <v>1124</v>
      </c>
      <c r="T179" s="873"/>
      <c r="U179" s="873" t="s">
        <v>1099</v>
      </c>
      <c r="V179" s="873"/>
      <c r="W179" s="874" t="s">
        <v>12614</v>
      </c>
      <c r="X179" s="891" t="s">
        <v>12615</v>
      </c>
      <c r="Y179" s="894" t="s">
        <v>1199</v>
      </c>
      <c r="Z179" s="902">
        <v>4.4796</v>
      </c>
      <c r="AA179" s="888">
        <f t="shared" si="44"/>
        <v>27683.928</v>
      </c>
      <c r="AB179" s="895"/>
      <c r="AC179" s="891" t="s">
        <v>416</v>
      </c>
      <c r="AD179" s="891"/>
      <c r="AE179" s="891"/>
      <c r="AF179" s="891"/>
      <c r="AG179" s="889">
        <f>J179</f>
        <v>6180</v>
      </c>
      <c r="AH179" s="889"/>
      <c r="AI179" s="889"/>
      <c r="AJ179" s="889"/>
      <c r="AK179" s="889"/>
      <c r="AL179" s="888">
        <f t="shared" si="75"/>
        <v>6180</v>
      </c>
      <c r="AM179" s="888"/>
      <c r="AN179" s="896"/>
      <c r="AO179" s="896">
        <f t="shared" si="74"/>
        <v>6180</v>
      </c>
      <c r="AP179" s="896"/>
      <c r="AQ179" s="896"/>
      <c r="AR179" s="896"/>
      <c r="AS179" s="896"/>
      <c r="AT179" s="896"/>
      <c r="AU179" s="896"/>
      <c r="AV179" s="896"/>
      <c r="AW179" s="896"/>
      <c r="AX179" s="896"/>
      <c r="AY179" s="896"/>
      <c r="AZ179" s="896"/>
      <c r="BA179" s="896"/>
      <c r="BB179" s="896"/>
      <c r="BC179" s="896"/>
      <c r="BD179" s="896"/>
      <c r="BE179" s="896" t="s">
        <v>89</v>
      </c>
      <c r="BF179" s="896">
        <f t="shared" si="64"/>
        <v>206</v>
      </c>
      <c r="BG179" s="896">
        <f t="shared" si="65"/>
        <v>1030</v>
      </c>
      <c r="BH179" s="896">
        <f t="shared" si="66"/>
        <v>1030</v>
      </c>
      <c r="BI179" s="896">
        <f t="shared" si="67"/>
        <v>824</v>
      </c>
      <c r="BJ179" s="896">
        <f t="shared" si="68"/>
        <v>1030</v>
      </c>
      <c r="BK179" s="897">
        <f t="shared" si="69"/>
        <v>1030</v>
      </c>
      <c r="BL179" s="898">
        <f t="shared" si="70"/>
        <v>1030</v>
      </c>
      <c r="BM179" s="898">
        <f t="shared" si="71"/>
        <v>6180</v>
      </c>
      <c r="BN179" s="898">
        <f t="shared" si="72"/>
        <v>0</v>
      </c>
      <c r="BO179" s="899"/>
      <c r="BP179" s="900"/>
      <c r="BQ179" s="901"/>
    </row>
    <row r="180" s="678" customFormat="1" ht="50" customHeight="1" spans="1:82">
      <c r="A180" s="886">
        <v>45746</v>
      </c>
      <c r="B180" s="887" t="s">
        <v>2285</v>
      </c>
      <c r="C180" s="887" t="s">
        <v>351</v>
      </c>
      <c r="D180" s="894">
        <v>4500159511</v>
      </c>
      <c r="E180" s="889" t="s">
        <v>3515</v>
      </c>
      <c r="F180" s="887" t="s">
        <v>12616</v>
      </c>
      <c r="G180" s="889" t="s">
        <v>3520</v>
      </c>
      <c r="H180" s="889" t="s">
        <v>6643</v>
      </c>
      <c r="I180" s="888" t="s">
        <v>3517</v>
      </c>
      <c r="J180" s="888">
        <v>2400</v>
      </c>
      <c r="K180" s="888">
        <v>0</v>
      </c>
      <c r="L180" s="888">
        <v>12</v>
      </c>
      <c r="M180" s="888">
        <f t="shared" si="15"/>
        <v>200</v>
      </c>
      <c r="N180" s="890">
        <v>45806</v>
      </c>
      <c r="O180" s="890">
        <v>45803</v>
      </c>
      <c r="P180" s="888" t="s">
        <v>12612</v>
      </c>
      <c r="Q180" s="889"/>
      <c r="R180" s="891"/>
      <c r="S180" s="873" t="s">
        <v>1124</v>
      </c>
      <c r="T180" s="873"/>
      <c r="U180" s="873" t="s">
        <v>1099</v>
      </c>
      <c r="V180" s="873"/>
      <c r="W180" s="874" t="s">
        <v>12614</v>
      </c>
      <c r="X180" s="891" t="s">
        <v>12615</v>
      </c>
      <c r="Y180" s="894" t="s">
        <v>1199</v>
      </c>
      <c r="Z180" s="902">
        <v>4.4796</v>
      </c>
      <c r="AA180" s="888">
        <f t="shared" si="44"/>
        <v>10751.04</v>
      </c>
      <c r="AB180" s="895"/>
      <c r="AC180" s="891" t="s">
        <v>416</v>
      </c>
      <c r="AD180" s="891"/>
      <c r="AE180" s="891"/>
      <c r="AF180" s="891"/>
      <c r="AG180" s="889">
        <f>J180</f>
        <v>2400</v>
      </c>
      <c r="AH180" s="889"/>
      <c r="AI180" s="889"/>
      <c r="AJ180" s="889"/>
      <c r="AK180" s="889"/>
      <c r="AL180" s="888">
        <f t="shared" si="75"/>
        <v>2400</v>
      </c>
      <c r="AM180" s="888"/>
      <c r="AN180" s="896"/>
      <c r="AO180" s="896">
        <f t="shared" si="74"/>
        <v>2400</v>
      </c>
      <c r="AP180" s="896"/>
      <c r="AQ180" s="896"/>
      <c r="AR180" s="896"/>
      <c r="AS180" s="896"/>
      <c r="AT180" s="896"/>
      <c r="AU180" s="896"/>
      <c r="AV180" s="896"/>
      <c r="AW180" s="896"/>
      <c r="AX180" s="896"/>
      <c r="AY180" s="896"/>
      <c r="AZ180" s="896"/>
      <c r="BA180" s="896"/>
      <c r="BB180" s="896"/>
      <c r="BC180" s="896"/>
      <c r="BD180" s="896"/>
      <c r="BE180" s="896" t="s">
        <v>89</v>
      </c>
      <c r="BF180" s="896">
        <f t="shared" si="64"/>
        <v>80</v>
      </c>
      <c r="BG180" s="896">
        <f t="shared" si="65"/>
        <v>400</v>
      </c>
      <c r="BH180" s="896">
        <f t="shared" si="66"/>
        <v>400</v>
      </c>
      <c r="BI180" s="896">
        <f t="shared" si="67"/>
        <v>320</v>
      </c>
      <c r="BJ180" s="896">
        <f t="shared" si="68"/>
        <v>400</v>
      </c>
      <c r="BK180" s="897">
        <f t="shared" si="69"/>
        <v>400</v>
      </c>
      <c r="BL180" s="898">
        <f t="shared" si="70"/>
        <v>400</v>
      </c>
      <c r="BM180" s="898">
        <f t="shared" si="71"/>
        <v>2400</v>
      </c>
      <c r="BN180" s="898">
        <f t="shared" si="72"/>
        <v>0</v>
      </c>
      <c r="BO180" s="899"/>
      <c r="BP180" s="900"/>
      <c r="BQ180" s="901"/>
    </row>
    <row r="181" s="677" customFormat="1" ht="50" customHeight="1" spans="1:82">
      <c r="A181" s="865">
        <v>45726</v>
      </c>
      <c r="B181" s="866" t="s">
        <v>2285</v>
      </c>
      <c r="C181" s="867" t="s">
        <v>351</v>
      </c>
      <c r="D181" s="868">
        <v>4500159526</v>
      </c>
      <c r="E181" s="867" t="s">
        <v>12531</v>
      </c>
      <c r="F181" s="868" t="s">
        <v>12662</v>
      </c>
      <c r="G181" s="867" t="s">
        <v>3349</v>
      </c>
      <c r="H181" s="867" t="s">
        <v>3343</v>
      </c>
      <c r="I181" s="867" t="s">
        <v>3344</v>
      </c>
      <c r="J181" s="869">
        <v>2088</v>
      </c>
      <c r="K181" s="869">
        <v>0</v>
      </c>
      <c r="L181" s="869">
        <v>1</v>
      </c>
      <c r="M181" s="869">
        <f t="shared" si="15"/>
        <v>2088</v>
      </c>
      <c r="N181" s="870">
        <v>45775</v>
      </c>
      <c r="O181" s="870">
        <v>45771</v>
      </c>
      <c r="P181" s="872" t="s">
        <v>3531</v>
      </c>
      <c r="Q181" s="872" t="s">
        <v>82</v>
      </c>
      <c r="R181" s="873"/>
      <c r="S181" s="873" t="s">
        <v>1124</v>
      </c>
      <c r="T181" s="873"/>
      <c r="U181" s="873" t="s">
        <v>1099</v>
      </c>
      <c r="V181" s="872"/>
      <c r="W181" s="874" t="s">
        <v>3518</v>
      </c>
      <c r="X181" s="872" t="s">
        <v>3532</v>
      </c>
      <c r="Y181" s="903" t="s">
        <v>1199</v>
      </c>
      <c r="Z181" s="869">
        <v>8.499</v>
      </c>
      <c r="AA181" s="869">
        <f t="shared" si="44"/>
        <v>17745.912</v>
      </c>
      <c r="AB181" s="904"/>
      <c r="AC181" s="872" t="s">
        <v>416</v>
      </c>
      <c r="AD181" s="905"/>
      <c r="AE181" s="867">
        <f>J181</f>
        <v>2088</v>
      </c>
      <c r="AF181" s="867"/>
      <c r="AG181" s="906"/>
      <c r="AH181" s="876"/>
      <c r="AI181" s="876"/>
      <c r="AJ181" s="876"/>
      <c r="AK181" s="876">
        <f>J181</f>
        <v>2088</v>
      </c>
      <c r="AL181" s="876"/>
      <c r="AM181" s="876"/>
      <c r="AN181" s="907"/>
      <c r="AO181" s="876">
        <f t="shared" si="74"/>
        <v>2088</v>
      </c>
      <c r="AP181" s="907"/>
      <c r="AQ181" s="876"/>
      <c r="AR181" s="876"/>
      <c r="AS181" s="876"/>
      <c r="AT181" s="876"/>
      <c r="AU181" s="876"/>
      <c r="AV181" s="876"/>
      <c r="AW181" s="876"/>
      <c r="AX181" s="876"/>
      <c r="AY181" s="876">
        <f>J181</f>
        <v>2088</v>
      </c>
      <c r="AZ181" s="876"/>
      <c r="BA181" s="908"/>
      <c r="BB181" s="876" t="s">
        <v>89</v>
      </c>
      <c r="BC181" s="908"/>
      <c r="BD181" s="908">
        <f>J181/60*10</f>
        <v>348</v>
      </c>
      <c r="BE181" s="881">
        <f>J181/60*10</f>
        <v>348</v>
      </c>
      <c r="BF181" s="908">
        <f>J181/60*10</f>
        <v>348</v>
      </c>
      <c r="BG181" s="876">
        <f t="shared" si="65"/>
        <v>348</v>
      </c>
      <c r="BH181" s="881">
        <f t="shared" si="66"/>
        <v>348</v>
      </c>
      <c r="BI181" s="876">
        <f t="shared" si="67"/>
        <v>278.4</v>
      </c>
      <c r="BJ181" s="876">
        <f>J181/60*2</f>
        <v>69.6</v>
      </c>
      <c r="BK181" s="909"/>
      <c r="BL181" s="909"/>
      <c r="BM181" s="909"/>
      <c r="BN181" s="909"/>
      <c r="BO181" s="909"/>
      <c r="BP181" s="909"/>
      <c r="BQ181" s="909"/>
      <c r="BR181" s="881">
        <f>SUM(BD181:BQ181)</f>
        <v>2088</v>
      </c>
      <c r="BS181" s="882">
        <f>J181-BR181</f>
        <v>0</v>
      </c>
      <c r="BT181" s="883"/>
      <c r="BU181" s="883"/>
      <c r="BV181" s="883"/>
      <c r="BW181" s="884"/>
      <c r="BY181" s="885"/>
      <c r="BZ181" s="884"/>
    </row>
    <row r="182" s="677" customFormat="1" ht="50" customHeight="1" spans="1:82">
      <c r="A182" s="865">
        <v>45726</v>
      </c>
      <c r="B182" s="866" t="s">
        <v>2285</v>
      </c>
      <c r="C182" s="867" t="s">
        <v>351</v>
      </c>
      <c r="D182" s="868">
        <v>4500159526</v>
      </c>
      <c r="E182" s="867" t="s">
        <v>12531</v>
      </c>
      <c r="F182" s="868" t="s">
        <v>12663</v>
      </c>
      <c r="G182" s="867" t="s">
        <v>3356</v>
      </c>
      <c r="H182" s="867" t="s">
        <v>3352</v>
      </c>
      <c r="I182" s="867" t="s">
        <v>3353</v>
      </c>
      <c r="J182" s="869">
        <v>6144</v>
      </c>
      <c r="K182" s="869">
        <v>0</v>
      </c>
      <c r="L182" s="869">
        <v>12</v>
      </c>
      <c r="M182" s="869">
        <f>J182/L182</f>
        <v>512</v>
      </c>
      <c r="N182" s="870">
        <v>45775</v>
      </c>
      <c r="O182" s="870">
        <v>45771</v>
      </c>
      <c r="P182" s="872" t="s">
        <v>3531</v>
      </c>
      <c r="Q182" s="873" t="s">
        <v>82</v>
      </c>
      <c r="R182" s="873"/>
      <c r="S182" s="873" t="s">
        <v>1124</v>
      </c>
      <c r="T182" s="873"/>
      <c r="U182" s="873" t="s">
        <v>1099</v>
      </c>
      <c r="V182" s="873"/>
      <c r="W182" s="874" t="s">
        <v>3518</v>
      </c>
      <c r="X182" s="872" t="s">
        <v>3519</v>
      </c>
      <c r="Y182" s="903" t="s">
        <v>1199</v>
      </c>
      <c r="Z182" s="903">
        <v>4.4796</v>
      </c>
      <c r="AA182" s="869">
        <f t="shared" si="44"/>
        <v>27522.6624</v>
      </c>
      <c r="AB182" s="904"/>
      <c r="AC182" s="872" t="s">
        <v>416</v>
      </c>
      <c r="AD182" s="905"/>
      <c r="AE182" s="869">
        <f>J182</f>
        <v>6144</v>
      </c>
      <c r="AF182" s="869"/>
      <c r="AG182" s="906"/>
      <c r="AH182" s="876"/>
      <c r="AI182" s="876"/>
      <c r="AJ182" s="876"/>
      <c r="AK182" s="869">
        <f>J182</f>
        <v>6144</v>
      </c>
      <c r="AL182" s="869"/>
      <c r="AM182" s="876"/>
      <c r="AN182" s="907"/>
      <c r="AO182" s="876">
        <f t="shared" si="74"/>
        <v>6144</v>
      </c>
      <c r="AP182" s="907"/>
      <c r="AQ182" s="876"/>
      <c r="AR182" s="876"/>
      <c r="AS182" s="876"/>
      <c r="AT182" s="876"/>
      <c r="AU182" s="876"/>
      <c r="AV182" s="876"/>
      <c r="AW182" s="876"/>
      <c r="AX182" s="876"/>
      <c r="AY182" s="876">
        <f>J182</f>
        <v>6144</v>
      </c>
      <c r="AZ182" s="876"/>
      <c r="BA182" s="908"/>
      <c r="BB182" s="876" t="s">
        <v>89</v>
      </c>
      <c r="BC182" s="908"/>
      <c r="BD182" s="876">
        <f>J182/60*10</f>
        <v>1024</v>
      </c>
      <c r="BE182" s="876">
        <f>J182/60*10</f>
        <v>1024</v>
      </c>
      <c r="BF182" s="876">
        <f>J182/60*10</f>
        <v>1024</v>
      </c>
      <c r="BG182" s="908">
        <f t="shared" si="65"/>
        <v>1024</v>
      </c>
      <c r="BH182" s="881">
        <f t="shared" si="66"/>
        <v>1024</v>
      </c>
      <c r="BI182" s="908">
        <f t="shared" si="67"/>
        <v>819.2</v>
      </c>
      <c r="BJ182" s="876">
        <f>J182/60*2</f>
        <v>204.8</v>
      </c>
      <c r="BK182" s="907"/>
      <c r="BL182" s="907"/>
      <c r="BM182" s="907"/>
      <c r="BN182" s="907"/>
      <c r="BO182" s="907"/>
      <c r="BP182" s="910"/>
      <c r="BQ182" s="911"/>
      <c r="BR182" s="881">
        <f>SUM(BD182:BQ182)</f>
        <v>6144</v>
      </c>
      <c r="BS182" s="882">
        <f>J182-BR182</f>
        <v>0</v>
      </c>
      <c r="BT182" s="883"/>
      <c r="BU182" s="883"/>
      <c r="BV182" s="883"/>
      <c r="BW182" s="884"/>
      <c r="BY182" s="885"/>
      <c r="BZ182" s="884"/>
    </row>
    <row r="183" s="677" customFormat="1" ht="50" customHeight="1" spans="1:82">
      <c r="A183" s="865">
        <v>45726</v>
      </c>
      <c r="B183" s="866" t="s">
        <v>2285</v>
      </c>
      <c r="C183" s="867" t="s">
        <v>351</v>
      </c>
      <c r="D183" s="868">
        <v>4500159511</v>
      </c>
      <c r="E183" s="867" t="s">
        <v>3330</v>
      </c>
      <c r="F183" s="868" t="s">
        <v>12664</v>
      </c>
      <c r="G183" s="867" t="s">
        <v>3349</v>
      </c>
      <c r="H183" s="867" t="s">
        <v>3343</v>
      </c>
      <c r="I183" s="867" t="s">
        <v>3344</v>
      </c>
      <c r="J183" s="869">
        <v>1827</v>
      </c>
      <c r="K183" s="869">
        <v>0</v>
      </c>
      <c r="L183" s="869">
        <v>1</v>
      </c>
      <c r="M183" s="869">
        <f>J183/L183</f>
        <v>1827</v>
      </c>
      <c r="N183" s="870">
        <v>45806</v>
      </c>
      <c r="O183" s="870">
        <v>45803</v>
      </c>
      <c r="P183" s="867" t="s">
        <v>12665</v>
      </c>
      <c r="Q183" s="871" t="s">
        <v>82</v>
      </c>
      <c r="R183" s="872"/>
      <c r="S183" s="873" t="s">
        <v>1124</v>
      </c>
      <c r="T183" s="873"/>
      <c r="U183" s="873" t="s">
        <v>1099</v>
      </c>
      <c r="V183" s="873"/>
      <c r="W183" s="874" t="s">
        <v>12614</v>
      </c>
      <c r="X183" s="872" t="s">
        <v>12666</v>
      </c>
      <c r="Y183" s="869" t="s">
        <v>1199</v>
      </c>
      <c r="Z183" s="869">
        <v>8.499</v>
      </c>
      <c r="AA183" s="869">
        <f t="shared" si="44"/>
        <v>15527.673</v>
      </c>
      <c r="AB183" s="872"/>
      <c r="AC183" s="872" t="s">
        <v>416</v>
      </c>
      <c r="AD183" s="875"/>
      <c r="AE183" s="867">
        <f>J183</f>
        <v>1827</v>
      </c>
      <c r="AF183" s="867"/>
      <c r="AG183" s="875"/>
      <c r="AH183" s="867"/>
      <c r="AI183" s="867"/>
      <c r="AJ183" s="869"/>
      <c r="AK183" s="876">
        <f>J183</f>
        <v>1827</v>
      </c>
      <c r="AL183" s="876"/>
      <c r="AM183" s="876"/>
      <c r="AN183" s="877"/>
      <c r="AO183" s="876">
        <f t="shared" si="74"/>
        <v>1827</v>
      </c>
      <c r="AP183" s="877"/>
      <c r="AQ183" s="876"/>
      <c r="AR183" s="876"/>
      <c r="AS183" s="876"/>
      <c r="AT183" s="876"/>
      <c r="AU183" s="876"/>
      <c r="AV183" s="876"/>
      <c r="AW183" s="876"/>
      <c r="AX183" s="876"/>
      <c r="AY183" s="876">
        <f>J183</f>
        <v>1827</v>
      </c>
      <c r="AZ183" s="876"/>
      <c r="BA183" s="876"/>
      <c r="BB183" s="876" t="s">
        <v>89</v>
      </c>
      <c r="BC183" s="876"/>
      <c r="BD183" s="876">
        <f>J183/60*10</f>
        <v>304.5</v>
      </c>
      <c r="BE183" s="876">
        <f>J183/60*10</f>
        <v>304.5</v>
      </c>
      <c r="BF183" s="876">
        <f>J183/60*10</f>
        <v>304.5</v>
      </c>
      <c r="BG183" s="876">
        <f t="shared" si="65"/>
        <v>304.5</v>
      </c>
      <c r="BH183" s="876">
        <f t="shared" si="66"/>
        <v>304.5</v>
      </c>
      <c r="BI183" s="876">
        <f t="shared" si="67"/>
        <v>243.6</v>
      </c>
      <c r="BJ183" s="876">
        <f>J183/60*2</f>
        <v>60.9</v>
      </c>
      <c r="BK183" s="912"/>
      <c r="BL183" s="912"/>
      <c r="BM183" s="912"/>
      <c r="BN183" s="912"/>
      <c r="BO183" s="912"/>
      <c r="BP183" s="912"/>
      <c r="BQ183" s="912"/>
      <c r="BR183" s="881">
        <f>SUM(BD183:BQ183)</f>
        <v>1827</v>
      </c>
      <c r="BS183" s="882">
        <f>J183-BR183</f>
        <v>0</v>
      </c>
      <c r="BT183" s="883"/>
      <c r="BU183" s="883"/>
      <c r="BV183" s="883"/>
      <c r="BW183" s="884"/>
      <c r="BY183" s="885"/>
      <c r="BZ183" s="884"/>
    </row>
    <row r="184" s="677" customFormat="1" ht="50" customHeight="1" spans="1:82">
      <c r="A184" s="865">
        <v>45726</v>
      </c>
      <c r="B184" s="866" t="s">
        <v>2285</v>
      </c>
      <c r="C184" s="867" t="s">
        <v>351</v>
      </c>
      <c r="D184" s="868">
        <v>4500159511</v>
      </c>
      <c r="E184" s="867" t="s">
        <v>3515</v>
      </c>
      <c r="F184" s="868" t="s">
        <v>12667</v>
      </c>
      <c r="G184" s="867" t="s">
        <v>3349</v>
      </c>
      <c r="H184" s="867" t="s">
        <v>3343</v>
      </c>
      <c r="I184" s="867" t="s">
        <v>3344</v>
      </c>
      <c r="J184" s="869">
        <v>711</v>
      </c>
      <c r="K184" s="869">
        <v>0</v>
      </c>
      <c r="L184" s="869">
        <v>1</v>
      </c>
      <c r="M184" s="869">
        <f>J184/L184</f>
        <v>711</v>
      </c>
      <c r="N184" s="870">
        <v>45806</v>
      </c>
      <c r="O184" s="870">
        <v>45803</v>
      </c>
      <c r="P184" s="872" t="s">
        <v>3531</v>
      </c>
      <c r="Q184" s="871" t="s">
        <v>82</v>
      </c>
      <c r="R184" s="872"/>
      <c r="S184" s="873" t="s">
        <v>1124</v>
      </c>
      <c r="T184" s="873"/>
      <c r="U184" s="873" t="s">
        <v>1099</v>
      </c>
      <c r="V184" s="873"/>
      <c r="W184" s="874" t="s">
        <v>12614</v>
      </c>
      <c r="X184" s="872" t="s">
        <v>12666</v>
      </c>
      <c r="Y184" s="869" t="s">
        <v>1199</v>
      </c>
      <c r="Z184" s="869">
        <v>8.499</v>
      </c>
      <c r="AA184" s="869">
        <f t="shared" si="44"/>
        <v>6042.789</v>
      </c>
      <c r="AB184" s="872"/>
      <c r="AC184" s="872" t="s">
        <v>416</v>
      </c>
      <c r="AD184" s="875"/>
      <c r="AE184" s="867">
        <f>J184</f>
        <v>711</v>
      </c>
      <c r="AF184" s="867"/>
      <c r="AG184" s="875"/>
      <c r="AH184" s="867"/>
      <c r="AI184" s="867"/>
      <c r="AJ184" s="869"/>
      <c r="AK184" s="876">
        <f>J184</f>
        <v>711</v>
      </c>
      <c r="AL184" s="876"/>
      <c r="AM184" s="876"/>
      <c r="AN184" s="877"/>
      <c r="AO184" s="876">
        <f t="shared" si="74"/>
        <v>711</v>
      </c>
      <c r="AP184" s="877"/>
      <c r="AQ184" s="876"/>
      <c r="AR184" s="876"/>
      <c r="AS184" s="876"/>
      <c r="AT184" s="876"/>
      <c r="AU184" s="876"/>
      <c r="AV184" s="876"/>
      <c r="AW184" s="876"/>
      <c r="AX184" s="876"/>
      <c r="AY184" s="876">
        <f>J184</f>
        <v>711</v>
      </c>
      <c r="AZ184" s="876"/>
      <c r="BA184" s="876"/>
      <c r="BB184" s="876" t="s">
        <v>89</v>
      </c>
      <c r="BC184" s="876"/>
      <c r="BD184" s="876">
        <f>J184/60*10</f>
        <v>118.5</v>
      </c>
      <c r="BE184" s="876">
        <f>J184/60*10</f>
        <v>118.5</v>
      </c>
      <c r="BF184" s="876">
        <f>J184/60*10</f>
        <v>118.5</v>
      </c>
      <c r="BG184" s="876">
        <f t="shared" si="65"/>
        <v>118.5</v>
      </c>
      <c r="BH184" s="876">
        <f t="shared" si="66"/>
        <v>118.5</v>
      </c>
      <c r="BI184" s="876">
        <f t="shared" si="67"/>
        <v>94.8</v>
      </c>
      <c r="BJ184" s="876">
        <f>J184/60*2</f>
        <v>23.7</v>
      </c>
      <c r="BK184" s="912"/>
      <c r="BL184" s="912"/>
      <c r="BM184" s="912"/>
      <c r="BN184" s="912"/>
      <c r="BO184" s="912"/>
      <c r="BP184" s="912"/>
      <c r="BQ184" s="912"/>
      <c r="BR184" s="881">
        <f>SUM(BD184:BQ184)</f>
        <v>711</v>
      </c>
      <c r="BS184" s="882">
        <f>J184-BR184</f>
        <v>0</v>
      </c>
      <c r="BT184" s="883"/>
      <c r="BU184" s="883"/>
      <c r="BV184" s="883"/>
      <c r="BW184" s="884"/>
      <c r="BY184" s="885"/>
      <c r="BZ184" s="884"/>
    </row>
    <row r="185" s="678" customFormat="1" ht="50" customHeight="1" spans="1:82">
      <c r="A185" s="886">
        <v>45743</v>
      </c>
      <c r="B185" s="887" t="s">
        <v>2285</v>
      </c>
      <c r="C185" s="887" t="s">
        <v>351</v>
      </c>
      <c r="D185" s="894">
        <v>4500159511</v>
      </c>
      <c r="E185" s="889" t="s">
        <v>3330</v>
      </c>
      <c r="F185" s="887" t="s">
        <v>12664</v>
      </c>
      <c r="G185" s="889" t="s">
        <v>3520</v>
      </c>
      <c r="H185" s="889" t="s">
        <v>6641</v>
      </c>
      <c r="I185" s="889" t="s">
        <v>6642</v>
      </c>
      <c r="J185" s="888">
        <v>1827</v>
      </c>
      <c r="K185" s="888">
        <v>0</v>
      </c>
      <c r="L185" s="888">
        <v>1</v>
      </c>
      <c r="M185" s="888">
        <f>J185/L185</f>
        <v>1827</v>
      </c>
      <c r="N185" s="890">
        <v>45806</v>
      </c>
      <c r="O185" s="890">
        <v>45803</v>
      </c>
      <c r="P185" s="867" t="s">
        <v>12665</v>
      </c>
      <c r="Q185" s="889" t="s">
        <v>82</v>
      </c>
      <c r="R185" s="891"/>
      <c r="S185" s="873" t="s">
        <v>1124</v>
      </c>
      <c r="T185" s="873"/>
      <c r="U185" s="873" t="s">
        <v>1099</v>
      </c>
      <c r="V185" s="873"/>
      <c r="W185" s="874" t="s">
        <v>12614</v>
      </c>
      <c r="X185" s="891" t="s">
        <v>12666</v>
      </c>
      <c r="Y185" s="894" t="s">
        <v>1199</v>
      </c>
      <c r="Z185" s="902">
        <v>8.499</v>
      </c>
      <c r="AA185" s="888">
        <f t="shared" si="44"/>
        <v>15527.673</v>
      </c>
      <c r="AB185" s="895"/>
      <c r="AC185" s="891" t="s">
        <v>416</v>
      </c>
      <c r="AD185" s="891"/>
      <c r="AE185" s="891"/>
      <c r="AF185" s="891"/>
      <c r="AG185" s="889">
        <f t="shared" ref="AG185:AG188" si="76">J185</f>
        <v>1827</v>
      </c>
      <c r="AH185" s="889"/>
      <c r="AI185" s="889"/>
      <c r="AJ185" s="889"/>
      <c r="AK185" s="889"/>
      <c r="AL185" s="888">
        <f t="shared" ref="AL185:AL190" si="77">J185</f>
        <v>1827</v>
      </c>
      <c r="AM185" s="888"/>
      <c r="AN185" s="896"/>
      <c r="AO185" s="896">
        <f t="shared" si="74"/>
        <v>1827</v>
      </c>
      <c r="AP185" s="896"/>
      <c r="AQ185" s="896"/>
      <c r="AR185" s="896"/>
      <c r="AS185" s="896"/>
      <c r="AT185" s="896"/>
      <c r="AU185" s="896"/>
      <c r="AV185" s="896"/>
      <c r="AW185" s="896"/>
      <c r="AX185" s="896"/>
      <c r="AY185" s="896"/>
      <c r="AZ185" s="896"/>
      <c r="BA185" s="896"/>
      <c r="BB185" s="896"/>
      <c r="BC185" s="896"/>
      <c r="BD185" s="896"/>
      <c r="BE185" s="896" t="s">
        <v>89</v>
      </c>
      <c r="BF185" s="896">
        <f>J185/60*2</f>
        <v>60.9</v>
      </c>
      <c r="BG185" s="896">
        <f t="shared" si="65"/>
        <v>304.5</v>
      </c>
      <c r="BH185" s="896">
        <f t="shared" si="66"/>
        <v>304.5</v>
      </c>
      <c r="BI185" s="896">
        <f t="shared" si="67"/>
        <v>243.6</v>
      </c>
      <c r="BJ185" s="896">
        <f>J185/60*10</f>
        <v>304.5</v>
      </c>
      <c r="BK185" s="897">
        <f>J185/60*10</f>
        <v>304.5</v>
      </c>
      <c r="BL185" s="898">
        <f t="shared" ref="BL185:BL188" si="78">J185/60*10</f>
        <v>304.5</v>
      </c>
      <c r="BM185" s="898">
        <f>SUM(BF185:BL185)</f>
        <v>1827</v>
      </c>
      <c r="BN185" s="898">
        <f>J185-BM185</f>
        <v>0</v>
      </c>
      <c r="BO185" s="899"/>
      <c r="BP185" s="900"/>
      <c r="BQ185" s="901"/>
    </row>
    <row r="186" s="678" customFormat="1" ht="50" customHeight="1" spans="1:82">
      <c r="A186" s="886">
        <v>45744</v>
      </c>
      <c r="B186" s="887" t="s">
        <v>2285</v>
      </c>
      <c r="C186" s="887" t="s">
        <v>351</v>
      </c>
      <c r="D186" s="894">
        <v>4500159511</v>
      </c>
      <c r="E186" s="889" t="s">
        <v>3515</v>
      </c>
      <c r="F186" s="887" t="s">
        <v>12667</v>
      </c>
      <c r="G186" s="889" t="s">
        <v>3520</v>
      </c>
      <c r="H186" s="889" t="s">
        <v>6641</v>
      </c>
      <c r="I186" s="889" t="s">
        <v>6642</v>
      </c>
      <c r="J186" s="888">
        <v>711</v>
      </c>
      <c r="K186" s="888">
        <v>0</v>
      </c>
      <c r="L186" s="888">
        <v>1</v>
      </c>
      <c r="M186" s="888">
        <f t="shared" ref="M186:M206" si="79">J186/L186</f>
        <v>711</v>
      </c>
      <c r="N186" s="890">
        <v>45806</v>
      </c>
      <c r="O186" s="890">
        <v>45803</v>
      </c>
      <c r="P186" s="872" t="s">
        <v>3531</v>
      </c>
      <c r="Q186" s="889" t="s">
        <v>82</v>
      </c>
      <c r="R186" s="891"/>
      <c r="S186" s="873" t="s">
        <v>1124</v>
      </c>
      <c r="T186" s="873"/>
      <c r="U186" s="873" t="s">
        <v>1099</v>
      </c>
      <c r="V186" s="873"/>
      <c r="W186" s="874" t="s">
        <v>12614</v>
      </c>
      <c r="X186" s="891" t="s">
        <v>12666</v>
      </c>
      <c r="Y186" s="894" t="s">
        <v>1199</v>
      </c>
      <c r="Z186" s="902">
        <v>8.499</v>
      </c>
      <c r="AA186" s="888">
        <f t="shared" si="44"/>
        <v>6042.789</v>
      </c>
      <c r="AB186" s="895"/>
      <c r="AC186" s="891" t="s">
        <v>416</v>
      </c>
      <c r="AD186" s="891"/>
      <c r="AE186" s="891"/>
      <c r="AF186" s="891"/>
      <c r="AG186" s="889">
        <f t="shared" si="76"/>
        <v>711</v>
      </c>
      <c r="AH186" s="889"/>
      <c r="AI186" s="889"/>
      <c r="AJ186" s="889"/>
      <c r="AK186" s="889"/>
      <c r="AL186" s="888">
        <f t="shared" si="77"/>
        <v>711</v>
      </c>
      <c r="AM186" s="888"/>
      <c r="AN186" s="896"/>
      <c r="AO186" s="896">
        <f t="shared" si="74"/>
        <v>711</v>
      </c>
      <c r="AP186" s="896"/>
      <c r="AQ186" s="896"/>
      <c r="AR186" s="896"/>
      <c r="AS186" s="896"/>
      <c r="AT186" s="896"/>
      <c r="AU186" s="896"/>
      <c r="AV186" s="896"/>
      <c r="AW186" s="896"/>
      <c r="AX186" s="896"/>
      <c r="AY186" s="896"/>
      <c r="AZ186" s="896"/>
      <c r="BA186" s="896"/>
      <c r="BB186" s="896"/>
      <c r="BC186" s="896"/>
      <c r="BD186" s="896"/>
      <c r="BE186" s="896" t="s">
        <v>89</v>
      </c>
      <c r="BF186" s="896">
        <f>J186/60*2</f>
        <v>23.7</v>
      </c>
      <c r="BG186" s="896">
        <f t="shared" si="65"/>
        <v>118.5</v>
      </c>
      <c r="BH186" s="896">
        <f t="shared" si="66"/>
        <v>118.5</v>
      </c>
      <c r="BI186" s="896">
        <f t="shared" si="67"/>
        <v>94.8</v>
      </c>
      <c r="BJ186" s="896">
        <f>J186/60*10</f>
        <v>118.5</v>
      </c>
      <c r="BK186" s="897">
        <f>J186/60*10</f>
        <v>118.5</v>
      </c>
      <c r="BL186" s="898">
        <f t="shared" si="78"/>
        <v>118.5</v>
      </c>
      <c r="BM186" s="898">
        <f>SUM(BF186:BL186)</f>
        <v>711</v>
      </c>
      <c r="BN186" s="898">
        <f>J186-BM186</f>
        <v>0</v>
      </c>
      <c r="BO186" s="899"/>
      <c r="BP186" s="900"/>
      <c r="BQ186" s="901"/>
    </row>
    <row r="187" s="677" customFormat="1" ht="50" customHeight="1" spans="1:82">
      <c r="A187" s="865">
        <v>45912</v>
      </c>
      <c r="B187" s="866" t="s">
        <v>839</v>
      </c>
      <c r="C187" s="867" t="s">
        <v>840</v>
      </c>
      <c r="D187" s="868">
        <v>4500179341</v>
      </c>
      <c r="E187" s="867">
        <v>21105434</v>
      </c>
      <c r="F187" s="868" t="s">
        <v>12668</v>
      </c>
      <c r="G187" s="867"/>
      <c r="H187" s="867" t="s">
        <v>508</v>
      </c>
      <c r="I187" s="867" t="s">
        <v>328</v>
      </c>
      <c r="J187" s="913">
        <v>204</v>
      </c>
      <c r="K187" s="869">
        <v>0</v>
      </c>
      <c r="L187" s="869">
        <v>6</v>
      </c>
      <c r="M187" s="869">
        <f t="shared" si="79"/>
        <v>34</v>
      </c>
      <c r="N187" s="870">
        <v>45957</v>
      </c>
      <c r="O187" s="870">
        <v>45953</v>
      </c>
      <c r="P187" s="869" t="s">
        <v>12669</v>
      </c>
      <c r="Q187" s="914"/>
      <c r="R187" s="915"/>
      <c r="S187" s="916">
        <f>R187-J187</f>
        <v>-204</v>
      </c>
      <c r="T187" s="917"/>
      <c r="U187" s="873" t="s">
        <v>2532</v>
      </c>
      <c r="V187" s="873"/>
      <c r="W187" s="873" t="s">
        <v>12670</v>
      </c>
      <c r="X187" s="873"/>
      <c r="Y187" s="869"/>
      <c r="Z187" s="872" t="s">
        <v>2099</v>
      </c>
      <c r="AA187" s="869" t="s">
        <v>513</v>
      </c>
      <c r="AB187" s="903">
        <v>2.3151</v>
      </c>
      <c r="AC187" s="869">
        <f>J187*AB187</f>
        <v>472.2804</v>
      </c>
      <c r="AD187" s="872"/>
      <c r="AE187" s="872"/>
      <c r="AF187" s="918"/>
      <c r="AG187" s="919">
        <f t="shared" si="76"/>
        <v>204</v>
      </c>
      <c r="AH187" s="918"/>
      <c r="AI187" s="920"/>
      <c r="AJ187" s="921"/>
      <c r="AK187" s="921"/>
      <c r="AL187" s="922"/>
      <c r="AM187" s="921">
        <f>J187</f>
        <v>204</v>
      </c>
      <c r="AN187" s="876"/>
      <c r="AO187" s="922"/>
      <c r="AP187" s="923"/>
      <c r="AQ187" s="921">
        <f t="shared" ref="AQ187:AQ194" si="80">J187</f>
        <v>204</v>
      </c>
      <c r="AR187" s="921"/>
      <c r="AS187" s="923"/>
      <c r="AT187" s="923"/>
      <c r="AU187" s="922"/>
      <c r="AV187" s="921">
        <f>J187/6</f>
        <v>34</v>
      </c>
      <c r="AW187" s="922"/>
      <c r="AX187" s="924"/>
      <c r="AY187" s="925"/>
      <c r="AZ187" s="908"/>
      <c r="BA187" s="926"/>
      <c r="BB187" s="908"/>
      <c r="BC187" s="908"/>
      <c r="BD187" s="927"/>
      <c r="BE187" s="876"/>
      <c r="BF187" s="928"/>
      <c r="BG187" s="869"/>
      <c r="BH187" s="883"/>
      <c r="BI187" s="929" t="s">
        <v>89</v>
      </c>
      <c r="BJ187" s="925">
        <f>J187/60*1</f>
        <v>3.4</v>
      </c>
      <c r="BK187" s="908">
        <f>J187/60*9</f>
        <v>30.6</v>
      </c>
      <c r="BL187" s="908">
        <f t="shared" si="78"/>
        <v>34</v>
      </c>
      <c r="BM187" s="908">
        <f t="shared" ref="BM187:BM194" si="81">J187/60*10</f>
        <v>34</v>
      </c>
      <c r="BN187" s="908">
        <f t="shared" ref="BN187:BN194" si="82">J187/60*10</f>
        <v>34</v>
      </c>
      <c r="BO187" s="927">
        <f>J187/60*10</f>
        <v>34</v>
      </c>
      <c r="BP187" s="876">
        <f>J187/60*10</f>
        <v>34</v>
      </c>
      <c r="BQ187" s="681"/>
      <c r="BR187" s="681"/>
      <c r="BS187" s="681"/>
      <c r="BT187" s="681"/>
      <c r="BU187" s="681"/>
      <c r="BV187" s="681"/>
      <c r="BW187" s="681"/>
      <c r="BX187" s="930">
        <f>SUM(BJ187:BW187)</f>
        <v>204</v>
      </c>
      <c r="BY187" s="869">
        <f>J187-BX187</f>
        <v>0</v>
      </c>
      <c r="BZ187" s="681"/>
      <c r="CA187" s="681"/>
      <c r="CB187" s="929"/>
      <c r="CC187" s="929"/>
      <c r="CD187" s="929"/>
    </row>
    <row r="188" s="677" customFormat="1" ht="50" customHeight="1" spans="1:82">
      <c r="A188" s="865">
        <v>45912</v>
      </c>
      <c r="B188" s="866" t="s">
        <v>505</v>
      </c>
      <c r="C188" s="867" t="s">
        <v>506</v>
      </c>
      <c r="D188" s="868">
        <v>4500179340</v>
      </c>
      <c r="E188" s="867" t="s">
        <v>12671</v>
      </c>
      <c r="F188" s="868" t="s">
        <v>12672</v>
      </c>
      <c r="G188" s="867"/>
      <c r="H188" s="867" t="s">
        <v>508</v>
      </c>
      <c r="I188" s="867" t="s">
        <v>328</v>
      </c>
      <c r="J188" s="913">
        <v>2370</v>
      </c>
      <c r="K188" s="869">
        <v>0</v>
      </c>
      <c r="L188" s="869">
        <v>6</v>
      </c>
      <c r="M188" s="869">
        <f t="shared" si="79"/>
        <v>395</v>
      </c>
      <c r="N188" s="870">
        <v>45957</v>
      </c>
      <c r="O188" s="870">
        <v>45953</v>
      </c>
      <c r="P188" s="869" t="s">
        <v>12669</v>
      </c>
      <c r="Q188" s="914"/>
      <c r="R188" s="915"/>
      <c r="S188" s="916">
        <f>R188-J188</f>
        <v>-2370</v>
      </c>
      <c r="T188" s="917"/>
      <c r="U188" s="873" t="s">
        <v>2532</v>
      </c>
      <c r="V188" s="873"/>
      <c r="W188" s="873" t="s">
        <v>12670</v>
      </c>
      <c r="X188" s="873"/>
      <c r="Y188" s="869"/>
      <c r="Z188" s="872" t="s">
        <v>1536</v>
      </c>
      <c r="AA188" s="869" t="s">
        <v>513</v>
      </c>
      <c r="AB188" s="903">
        <v>2.3151</v>
      </c>
      <c r="AC188" s="869">
        <f>J188*AB188</f>
        <v>5486.787</v>
      </c>
      <c r="AD188" s="872"/>
      <c r="AE188" s="872"/>
      <c r="AF188" s="918"/>
      <c r="AG188" s="919">
        <f t="shared" si="76"/>
        <v>2370</v>
      </c>
      <c r="AH188" s="918"/>
      <c r="AI188" s="920"/>
      <c r="AJ188" s="921"/>
      <c r="AK188" s="921"/>
      <c r="AL188" s="922"/>
      <c r="AM188" s="921">
        <f>J188</f>
        <v>2370</v>
      </c>
      <c r="AN188" s="876"/>
      <c r="AO188" s="922"/>
      <c r="AP188" s="923"/>
      <c r="AQ188" s="921">
        <f t="shared" si="80"/>
        <v>2370</v>
      </c>
      <c r="AR188" s="921"/>
      <c r="AS188" s="923"/>
      <c r="AT188" s="923"/>
      <c r="AU188" s="922"/>
      <c r="AV188" s="921">
        <f>J188/6</f>
        <v>395</v>
      </c>
      <c r="AW188" s="922"/>
      <c r="AX188" s="924"/>
      <c r="AY188" s="925"/>
      <c r="AZ188" s="908"/>
      <c r="BA188" s="926"/>
      <c r="BB188" s="908"/>
      <c r="BC188" s="908"/>
      <c r="BD188" s="927"/>
      <c r="BE188" s="876"/>
      <c r="BF188" s="928"/>
      <c r="BG188" s="869"/>
      <c r="BH188" s="883"/>
      <c r="BI188" s="929" t="s">
        <v>89</v>
      </c>
      <c r="BJ188" s="925">
        <f>J188/60*1</f>
        <v>39.5</v>
      </c>
      <c r="BK188" s="908">
        <f>J188/60*9</f>
        <v>355.5</v>
      </c>
      <c r="BL188" s="908">
        <f t="shared" si="78"/>
        <v>395</v>
      </c>
      <c r="BM188" s="908">
        <f t="shared" si="81"/>
        <v>395</v>
      </c>
      <c r="BN188" s="908">
        <f t="shared" si="82"/>
        <v>395</v>
      </c>
      <c r="BO188" s="927">
        <f>J188/60*10</f>
        <v>395</v>
      </c>
      <c r="BP188" s="876">
        <f>J188/60*10</f>
        <v>395</v>
      </c>
      <c r="BQ188" s="681"/>
      <c r="BR188" s="681"/>
      <c r="BS188" s="681"/>
      <c r="BT188" s="681"/>
      <c r="BU188" s="681"/>
      <c r="BV188" s="681"/>
      <c r="BW188" s="681"/>
      <c r="BX188" s="930">
        <f>SUM(BJ188:BW188)</f>
        <v>2370</v>
      </c>
      <c r="BY188" s="869">
        <f>J188-BX188</f>
        <v>0</v>
      </c>
      <c r="BZ188" s="681"/>
      <c r="CA188" s="681"/>
      <c r="CB188" s="929"/>
      <c r="CC188" s="929"/>
      <c r="CD188" s="929"/>
    </row>
    <row r="189" s="679" customFormat="1" ht="50" customHeight="1" spans="1:82">
      <c r="A189" s="931">
        <v>45902</v>
      </c>
      <c r="B189" s="932" t="s">
        <v>3578</v>
      </c>
      <c r="C189" s="933" t="s">
        <v>91</v>
      </c>
      <c r="D189" s="934">
        <v>4500178517</v>
      </c>
      <c r="E189" s="933">
        <v>218139691</v>
      </c>
      <c r="F189" s="934" t="s">
        <v>12673</v>
      </c>
      <c r="G189" s="933" t="s">
        <v>2590</v>
      </c>
      <c r="H189" s="933" t="s">
        <v>2590</v>
      </c>
      <c r="I189" s="933" t="s">
        <v>2591</v>
      </c>
      <c r="J189" s="935">
        <v>1404</v>
      </c>
      <c r="K189" s="935">
        <v>0</v>
      </c>
      <c r="L189" s="935">
        <v>6</v>
      </c>
      <c r="M189" s="935">
        <f t="shared" si="79"/>
        <v>234</v>
      </c>
      <c r="N189" s="936">
        <v>45972</v>
      </c>
      <c r="O189" s="936">
        <v>45968</v>
      </c>
      <c r="P189" s="918" t="s">
        <v>12674</v>
      </c>
      <c r="Q189" s="937"/>
      <c r="R189" s="938"/>
      <c r="S189" s="939" t="s">
        <v>2532</v>
      </c>
      <c r="T189" s="940"/>
      <c r="U189" s="940" t="s">
        <v>98</v>
      </c>
      <c r="V189" s="940"/>
      <c r="W189" s="935"/>
      <c r="X189" s="938" t="s">
        <v>3580</v>
      </c>
      <c r="Y189" s="935" t="s">
        <v>9870</v>
      </c>
      <c r="Z189" s="935">
        <v>1.3595</v>
      </c>
      <c r="AA189" s="935">
        <f>Z189*J189</f>
        <v>1908.738</v>
      </c>
      <c r="AB189" s="938"/>
      <c r="AC189" s="938" t="s">
        <v>416</v>
      </c>
      <c r="AD189" s="941"/>
      <c r="AE189" s="935"/>
      <c r="AF189" s="942">
        <f>J189</f>
        <v>1404</v>
      </c>
      <c r="AG189" s="941"/>
      <c r="AH189" s="933"/>
      <c r="AI189" s="933"/>
      <c r="AJ189" s="935"/>
      <c r="AK189" s="935"/>
      <c r="AL189" s="942">
        <f t="shared" si="77"/>
        <v>1404</v>
      </c>
      <c r="AM189" s="943"/>
      <c r="AN189" s="944"/>
      <c r="AO189" s="945">
        <f>J189</f>
        <v>1404</v>
      </c>
      <c r="AP189" s="944"/>
      <c r="AQ189" s="945"/>
      <c r="AR189" s="945"/>
      <c r="AS189" s="945">
        <f>J189/6</f>
        <v>234</v>
      </c>
      <c r="AT189" s="943"/>
      <c r="AU189" s="943"/>
      <c r="AV189" s="943"/>
      <c r="AW189" s="943"/>
      <c r="AX189" s="943"/>
      <c r="AY189" s="943"/>
      <c r="AZ189" s="943"/>
      <c r="BA189" s="943"/>
      <c r="BB189" s="943" t="s">
        <v>89</v>
      </c>
      <c r="BC189" s="943"/>
      <c r="BD189" s="945">
        <f>J189/60*10</f>
        <v>234</v>
      </c>
      <c r="BE189" s="945">
        <f>J189/60*10</f>
        <v>234</v>
      </c>
      <c r="BF189" s="945">
        <f>J189/60*10</f>
        <v>234</v>
      </c>
      <c r="BG189" s="945">
        <f>J189/60*10</f>
        <v>234</v>
      </c>
      <c r="BH189" s="945">
        <f>J189/60*10</f>
        <v>234</v>
      </c>
      <c r="BI189" s="945">
        <f>J189/60*8</f>
        <v>187.2</v>
      </c>
      <c r="BJ189" s="945">
        <f>J189/60*2</f>
        <v>46.8</v>
      </c>
      <c r="BK189" s="944"/>
      <c r="BL189" s="944"/>
      <c r="BM189" s="944"/>
      <c r="BN189" s="944"/>
      <c r="BO189" s="944"/>
      <c r="BP189" s="946"/>
      <c r="BQ189" s="947"/>
      <c r="BR189" s="948">
        <f>SUM(BD189:BQ189)</f>
        <v>1404</v>
      </c>
      <c r="BS189" s="949">
        <f>J189-BR189</f>
        <v>0</v>
      </c>
      <c r="BT189" s="950"/>
      <c r="BU189" s="950"/>
      <c r="BV189" s="950"/>
      <c r="BW189" s="951"/>
      <c r="BY189" s="952"/>
      <c r="BZ189" s="951"/>
    </row>
    <row r="190" s="679" customFormat="1" ht="50" customHeight="1" spans="1:82">
      <c r="A190" s="931">
        <v>45902</v>
      </c>
      <c r="B190" s="932" t="s">
        <v>3578</v>
      </c>
      <c r="C190" s="933" t="s">
        <v>91</v>
      </c>
      <c r="D190" s="934">
        <v>4500178515</v>
      </c>
      <c r="E190" s="933">
        <v>218139689</v>
      </c>
      <c r="F190" s="934" t="s">
        <v>12675</v>
      </c>
      <c r="G190" s="933" t="s">
        <v>2590</v>
      </c>
      <c r="H190" s="933" t="s">
        <v>2590</v>
      </c>
      <c r="I190" s="933" t="s">
        <v>2591</v>
      </c>
      <c r="J190" s="935">
        <v>2604</v>
      </c>
      <c r="K190" s="935">
        <v>0</v>
      </c>
      <c r="L190" s="935">
        <v>6</v>
      </c>
      <c r="M190" s="935">
        <f t="shared" si="79"/>
        <v>434</v>
      </c>
      <c r="N190" s="936">
        <v>45972</v>
      </c>
      <c r="O190" s="936">
        <v>45968</v>
      </c>
      <c r="P190" s="918" t="s">
        <v>12674</v>
      </c>
      <c r="Q190" s="937"/>
      <c r="R190" s="938"/>
      <c r="S190" s="940" t="s">
        <v>2532</v>
      </c>
      <c r="T190" s="940"/>
      <c r="U190" s="940" t="s">
        <v>98</v>
      </c>
      <c r="V190" s="940"/>
      <c r="W190" s="935"/>
      <c r="X190" s="938" t="s">
        <v>3580</v>
      </c>
      <c r="Y190" s="935" t="s">
        <v>9870</v>
      </c>
      <c r="Z190" s="935">
        <v>1.3595</v>
      </c>
      <c r="AA190" s="935">
        <f>Z190*J190</f>
        <v>3540.138</v>
      </c>
      <c r="AB190" s="938"/>
      <c r="AC190" s="938" t="s">
        <v>416</v>
      </c>
      <c r="AD190" s="941"/>
      <c r="AE190" s="935"/>
      <c r="AF190" s="942">
        <f>J190</f>
        <v>2604</v>
      </c>
      <c r="AG190" s="941"/>
      <c r="AH190" s="933"/>
      <c r="AI190" s="933"/>
      <c r="AJ190" s="935"/>
      <c r="AK190" s="935"/>
      <c r="AL190" s="942">
        <f t="shared" si="77"/>
        <v>2604</v>
      </c>
      <c r="AM190" s="943"/>
      <c r="AN190" s="944"/>
      <c r="AO190" s="945">
        <f>J190</f>
        <v>2604</v>
      </c>
      <c r="AP190" s="944"/>
      <c r="AQ190" s="943"/>
      <c r="AR190" s="943"/>
      <c r="AS190" s="945">
        <f>J190/6</f>
        <v>434</v>
      </c>
      <c r="AT190" s="943"/>
      <c r="AU190" s="943"/>
      <c r="AV190" s="943"/>
      <c r="AW190" s="943"/>
      <c r="AX190" s="943"/>
      <c r="AY190" s="943"/>
      <c r="AZ190" s="943"/>
      <c r="BA190" s="943"/>
      <c r="BB190" s="943" t="s">
        <v>89</v>
      </c>
      <c r="BC190" s="943"/>
      <c r="BD190" s="945">
        <f>J190/60*10</f>
        <v>434</v>
      </c>
      <c r="BE190" s="945">
        <f>J190/60*10</f>
        <v>434</v>
      </c>
      <c r="BF190" s="945">
        <f>J190/60*10</f>
        <v>434</v>
      </c>
      <c r="BG190" s="945">
        <f>J190/60*10</f>
        <v>434</v>
      </c>
      <c r="BH190" s="945">
        <f>J190/60*10</f>
        <v>434</v>
      </c>
      <c r="BI190" s="945">
        <f>J190/60*8</f>
        <v>347.2</v>
      </c>
      <c r="BJ190" s="945">
        <f>J190/60*2</f>
        <v>86.8</v>
      </c>
      <c r="BK190" s="944"/>
      <c r="BL190" s="944"/>
      <c r="BM190" s="944"/>
      <c r="BN190" s="944"/>
      <c r="BO190" s="944"/>
      <c r="BP190" s="946"/>
      <c r="BQ190" s="947"/>
      <c r="BR190" s="948">
        <f>SUM(BD190:BQ190)</f>
        <v>2604</v>
      </c>
      <c r="BS190" s="949">
        <f>J190-BR190</f>
        <v>0</v>
      </c>
      <c r="BT190" s="953"/>
      <c r="BU190" s="953"/>
      <c r="BV190" s="953"/>
      <c r="BW190" s="951"/>
      <c r="BY190" s="952"/>
      <c r="BZ190" s="951"/>
    </row>
    <row r="191" s="678" customFormat="1" ht="50" customHeight="1" spans="1:82">
      <c r="A191" s="886">
        <v>45726</v>
      </c>
      <c r="B191" s="954" t="s">
        <v>2285</v>
      </c>
      <c r="C191" s="955" t="s">
        <v>351</v>
      </c>
      <c r="D191" s="956">
        <v>4500159526</v>
      </c>
      <c r="E191" s="867" t="s">
        <v>12531</v>
      </c>
      <c r="F191" s="957" t="s">
        <v>12662</v>
      </c>
      <c r="G191" s="889" t="s">
        <v>3520</v>
      </c>
      <c r="H191" s="889" t="s">
        <v>6641</v>
      </c>
      <c r="I191" s="889" t="s">
        <v>6642</v>
      </c>
      <c r="J191" s="888">
        <v>2088</v>
      </c>
      <c r="K191" s="888">
        <v>0</v>
      </c>
      <c r="L191" s="888">
        <v>1</v>
      </c>
      <c r="M191" s="958">
        <f t="shared" si="79"/>
        <v>2088</v>
      </c>
      <c r="N191" s="890">
        <v>45775</v>
      </c>
      <c r="O191" s="890">
        <v>45771</v>
      </c>
      <c r="P191" s="888"/>
      <c r="Q191" s="889" t="s">
        <v>82</v>
      </c>
      <c r="R191" s="959"/>
      <c r="S191" s="959"/>
      <c r="T191" s="891"/>
      <c r="U191" s="873" t="s">
        <v>1124</v>
      </c>
      <c r="V191" s="873"/>
      <c r="W191" s="873" t="s">
        <v>1099</v>
      </c>
      <c r="X191" s="873"/>
      <c r="Y191" s="874" t="s">
        <v>3518</v>
      </c>
      <c r="Z191" s="872" t="s">
        <v>3532</v>
      </c>
      <c r="AA191" s="894" t="s">
        <v>1199</v>
      </c>
      <c r="AB191" s="902">
        <v>8.499</v>
      </c>
      <c r="AC191" s="888">
        <f t="shared" ref="AC191:AC194" si="83">AB191*J191</f>
        <v>17745.912</v>
      </c>
      <c r="AD191" s="895"/>
      <c r="AE191" s="891" t="s">
        <v>416</v>
      </c>
      <c r="AF191" s="891"/>
      <c r="AG191" s="891"/>
      <c r="AH191" s="891"/>
      <c r="AI191" s="889">
        <f>J191</f>
        <v>2088</v>
      </c>
      <c r="AJ191" s="889"/>
      <c r="AK191" s="889"/>
      <c r="AL191" s="889"/>
      <c r="AM191" s="889"/>
      <c r="AN191" s="888">
        <f t="shared" ref="AN191:AN194" si="84">J191</f>
        <v>2088</v>
      </c>
      <c r="AO191" s="888"/>
      <c r="AP191" s="896"/>
      <c r="AQ191" s="896">
        <f t="shared" si="80"/>
        <v>2088</v>
      </c>
      <c r="AR191" s="896"/>
      <c r="AS191" s="896"/>
      <c r="AT191" s="896"/>
      <c r="AU191" s="896"/>
      <c r="AV191" s="896"/>
      <c r="AW191" s="896"/>
      <c r="AX191" s="896"/>
      <c r="AY191" s="896"/>
      <c r="AZ191" s="896"/>
      <c r="BA191" s="896"/>
      <c r="BB191" s="896"/>
      <c r="BC191" s="896"/>
      <c r="BD191" s="896"/>
      <c r="BE191" s="896"/>
      <c r="BF191" s="896"/>
      <c r="BG191" s="896" t="s">
        <v>89</v>
      </c>
      <c r="BH191" s="896">
        <f t="shared" ref="BH191:BH194" si="85">J191/60*2</f>
        <v>69.6</v>
      </c>
      <c r="BI191" s="896">
        <f t="shared" ref="BI191:BI194" si="86">J191/60*10</f>
        <v>348</v>
      </c>
      <c r="BJ191" s="896">
        <f t="shared" ref="BJ191:BJ194" si="87">J191/60*10</f>
        <v>348</v>
      </c>
      <c r="BK191" s="896">
        <f t="shared" ref="BK191:BK194" si="88">J191/60*8</f>
        <v>278.4</v>
      </c>
      <c r="BL191" s="896">
        <f t="shared" ref="BL191:BL194" si="89">J191/60*10</f>
        <v>348</v>
      </c>
      <c r="BM191" s="897">
        <f t="shared" si="81"/>
        <v>348</v>
      </c>
      <c r="BN191" s="898">
        <f t="shared" si="82"/>
        <v>348</v>
      </c>
      <c r="BO191" s="898">
        <f t="shared" ref="BO191:BO194" si="90">SUM(BH191:BN191)</f>
        <v>2088</v>
      </c>
      <c r="BP191" s="898">
        <f t="shared" ref="BP191:BP194" si="91">J191-BO191</f>
        <v>0</v>
      </c>
      <c r="BQ191" s="901"/>
      <c r="BR191" s="960"/>
      <c r="BS191" s="901"/>
    </row>
    <row r="192" s="678" customFormat="1" ht="50" customHeight="1" spans="1:82">
      <c r="A192" s="886">
        <v>45726</v>
      </c>
      <c r="B192" s="954" t="s">
        <v>2285</v>
      </c>
      <c r="C192" s="955" t="s">
        <v>351</v>
      </c>
      <c r="D192" s="956">
        <v>4500159526</v>
      </c>
      <c r="E192" s="867" t="s">
        <v>12531</v>
      </c>
      <c r="F192" s="957" t="s">
        <v>12663</v>
      </c>
      <c r="G192" s="889" t="s">
        <v>3520</v>
      </c>
      <c r="H192" s="889" t="s">
        <v>6643</v>
      </c>
      <c r="I192" s="888" t="s">
        <v>3517</v>
      </c>
      <c r="J192" s="888">
        <v>6144</v>
      </c>
      <c r="K192" s="888">
        <v>0</v>
      </c>
      <c r="L192" s="888">
        <v>12</v>
      </c>
      <c r="M192" s="958">
        <f t="shared" si="79"/>
        <v>512</v>
      </c>
      <c r="N192" s="890">
        <v>45775</v>
      </c>
      <c r="O192" s="890">
        <v>45771</v>
      </c>
      <c r="P192" s="888"/>
      <c r="Q192" s="889" t="s">
        <v>82</v>
      </c>
      <c r="R192" s="959"/>
      <c r="S192" s="959"/>
      <c r="T192" s="891"/>
      <c r="U192" s="873" t="s">
        <v>1124</v>
      </c>
      <c r="V192" s="873"/>
      <c r="W192" s="873" t="s">
        <v>1099</v>
      </c>
      <c r="X192" s="873"/>
      <c r="Y192" s="874" t="s">
        <v>3518</v>
      </c>
      <c r="Z192" s="872" t="s">
        <v>3519</v>
      </c>
      <c r="AA192" s="894" t="s">
        <v>1199</v>
      </c>
      <c r="AB192" s="902">
        <v>4.4796</v>
      </c>
      <c r="AC192" s="888">
        <f t="shared" si="83"/>
        <v>27522.6624</v>
      </c>
      <c r="AD192" s="895"/>
      <c r="AE192" s="891" t="s">
        <v>416</v>
      </c>
      <c r="AF192" s="891"/>
      <c r="AG192" s="891"/>
      <c r="AH192" s="891"/>
      <c r="AI192" s="889">
        <f>J192</f>
        <v>6144</v>
      </c>
      <c r="AJ192" s="889"/>
      <c r="AK192" s="889"/>
      <c r="AL192" s="889"/>
      <c r="AM192" s="889"/>
      <c r="AN192" s="888">
        <f t="shared" si="84"/>
        <v>6144</v>
      </c>
      <c r="AO192" s="888"/>
      <c r="AP192" s="896"/>
      <c r="AQ192" s="896">
        <f t="shared" si="80"/>
        <v>6144</v>
      </c>
      <c r="AR192" s="896"/>
      <c r="AS192" s="896"/>
      <c r="AT192" s="896"/>
      <c r="AU192" s="896"/>
      <c r="AV192" s="896"/>
      <c r="AW192" s="896"/>
      <c r="AX192" s="896"/>
      <c r="AY192" s="896"/>
      <c r="AZ192" s="896"/>
      <c r="BA192" s="896"/>
      <c r="BB192" s="896"/>
      <c r="BC192" s="896"/>
      <c r="BD192" s="896"/>
      <c r="BE192" s="896"/>
      <c r="BF192" s="896"/>
      <c r="BG192" s="896" t="s">
        <v>89</v>
      </c>
      <c r="BH192" s="896">
        <f t="shared" si="85"/>
        <v>204.8</v>
      </c>
      <c r="BI192" s="896">
        <f t="shared" si="86"/>
        <v>1024</v>
      </c>
      <c r="BJ192" s="896">
        <f t="shared" si="87"/>
        <v>1024</v>
      </c>
      <c r="BK192" s="896">
        <f t="shared" si="88"/>
        <v>819.2</v>
      </c>
      <c r="BL192" s="896">
        <f t="shared" si="89"/>
        <v>1024</v>
      </c>
      <c r="BM192" s="897">
        <f t="shared" si="81"/>
        <v>1024</v>
      </c>
      <c r="BN192" s="898">
        <f t="shared" si="82"/>
        <v>1024</v>
      </c>
      <c r="BO192" s="898">
        <f t="shared" si="90"/>
        <v>6144</v>
      </c>
      <c r="BP192" s="898">
        <f t="shared" si="91"/>
        <v>0</v>
      </c>
      <c r="BQ192" s="901"/>
      <c r="BR192" s="960"/>
      <c r="BS192" s="901"/>
    </row>
    <row r="193" s="678" customFormat="1" ht="50" customHeight="1" spans="1:82">
      <c r="A193" s="886">
        <v>45747</v>
      </c>
      <c r="B193" s="887" t="s">
        <v>2285</v>
      </c>
      <c r="C193" s="889" t="s">
        <v>2580</v>
      </c>
      <c r="D193" s="888">
        <v>4500151404</v>
      </c>
      <c r="E193" s="889" t="s">
        <v>3330</v>
      </c>
      <c r="F193" s="889" t="s">
        <v>12676</v>
      </c>
      <c r="G193" s="889" t="s">
        <v>6620</v>
      </c>
      <c r="H193" s="889" t="s">
        <v>6254</v>
      </c>
      <c r="I193" s="888" t="s">
        <v>6063</v>
      </c>
      <c r="J193" s="888">
        <v>6540</v>
      </c>
      <c r="K193" s="888">
        <v>0</v>
      </c>
      <c r="L193" s="888">
        <v>6</v>
      </c>
      <c r="M193" s="958">
        <f t="shared" si="79"/>
        <v>1090</v>
      </c>
      <c r="N193" s="890">
        <v>45817</v>
      </c>
      <c r="O193" s="890">
        <v>45813</v>
      </c>
      <c r="P193" s="888" t="s">
        <v>12612</v>
      </c>
      <c r="Q193" s="889"/>
      <c r="R193" s="889"/>
      <c r="S193" s="961">
        <f>R193-J193</f>
        <v>-6540</v>
      </c>
      <c r="T193" s="891"/>
      <c r="U193" s="892" t="s">
        <v>3332</v>
      </c>
      <c r="V193" s="892"/>
      <c r="W193" s="892" t="s">
        <v>12654</v>
      </c>
      <c r="X193" s="892"/>
      <c r="Y193" s="893" t="s">
        <v>12659</v>
      </c>
      <c r="Z193" s="891" t="s">
        <v>12677</v>
      </c>
      <c r="AA193" s="894" t="s">
        <v>357</v>
      </c>
      <c r="AB193" s="888">
        <v>2.2328</v>
      </c>
      <c r="AC193" s="888">
        <f t="shared" si="83"/>
        <v>14602.512</v>
      </c>
      <c r="AD193" s="895"/>
      <c r="AE193" s="891" t="s">
        <v>416</v>
      </c>
      <c r="AF193" s="891"/>
      <c r="AG193" s="891"/>
      <c r="AH193" s="891"/>
      <c r="AI193" s="889"/>
      <c r="AJ193" s="889"/>
      <c r="AK193" s="889"/>
      <c r="AL193" s="889"/>
      <c r="AM193" s="889">
        <f>J193</f>
        <v>6540</v>
      </c>
      <c r="AN193" s="888">
        <f t="shared" si="84"/>
        <v>6540</v>
      </c>
      <c r="AO193" s="888"/>
      <c r="AP193" s="896"/>
      <c r="AQ193" s="896">
        <f t="shared" si="80"/>
        <v>6540</v>
      </c>
      <c r="AR193" s="896"/>
      <c r="AS193" s="896"/>
      <c r="AT193" s="896"/>
      <c r="AU193" s="896"/>
      <c r="AV193" s="896"/>
      <c r="AW193" s="896">
        <f>J193/6</f>
        <v>1090</v>
      </c>
      <c r="AX193" s="896"/>
      <c r="AY193" s="896"/>
      <c r="AZ193" s="896"/>
      <c r="BA193" s="896"/>
      <c r="BB193" s="896"/>
      <c r="BC193" s="896"/>
      <c r="BD193" s="896"/>
      <c r="BE193" s="896"/>
      <c r="BF193" s="896"/>
      <c r="BG193" s="896" t="s">
        <v>89</v>
      </c>
      <c r="BH193" s="896">
        <f t="shared" si="85"/>
        <v>218</v>
      </c>
      <c r="BI193" s="896">
        <f t="shared" si="86"/>
        <v>1090</v>
      </c>
      <c r="BJ193" s="896">
        <f t="shared" si="87"/>
        <v>1090</v>
      </c>
      <c r="BK193" s="896">
        <f t="shared" si="88"/>
        <v>872</v>
      </c>
      <c r="BL193" s="896">
        <f t="shared" si="89"/>
        <v>1090</v>
      </c>
      <c r="BM193" s="897">
        <f t="shared" si="81"/>
        <v>1090</v>
      </c>
      <c r="BN193" s="898">
        <f t="shared" si="82"/>
        <v>1090</v>
      </c>
      <c r="BO193" s="898">
        <f t="shared" si="90"/>
        <v>6540</v>
      </c>
      <c r="BP193" s="898">
        <f t="shared" si="91"/>
        <v>0</v>
      </c>
      <c r="BQ193" s="899"/>
      <c r="BR193" s="900"/>
      <c r="BS193" s="901"/>
    </row>
    <row r="194" s="678" customFormat="1" ht="50" customHeight="1" spans="1:82">
      <c r="A194" s="886">
        <v>45748</v>
      </c>
      <c r="B194" s="887" t="s">
        <v>2285</v>
      </c>
      <c r="C194" s="889" t="s">
        <v>2580</v>
      </c>
      <c r="D194" s="888">
        <v>4500151404</v>
      </c>
      <c r="E194" s="889" t="s">
        <v>3336</v>
      </c>
      <c r="F194" s="889" t="s">
        <v>12678</v>
      </c>
      <c r="G194" s="889" t="s">
        <v>6620</v>
      </c>
      <c r="H194" s="889" t="s">
        <v>6254</v>
      </c>
      <c r="I194" s="888" t="s">
        <v>6063</v>
      </c>
      <c r="J194" s="888">
        <v>3276</v>
      </c>
      <c r="K194" s="888">
        <v>0</v>
      </c>
      <c r="L194" s="888">
        <v>6</v>
      </c>
      <c r="M194" s="958">
        <f t="shared" si="79"/>
        <v>546</v>
      </c>
      <c r="N194" s="890">
        <v>45817</v>
      </c>
      <c r="O194" s="890">
        <v>45813</v>
      </c>
      <c r="P194" s="888" t="s">
        <v>12612</v>
      </c>
      <c r="Q194" s="889"/>
      <c r="R194" s="889"/>
      <c r="S194" s="961">
        <f>R194-J194</f>
        <v>-3276</v>
      </c>
      <c r="T194" s="891"/>
      <c r="U194" s="892" t="s">
        <v>3332</v>
      </c>
      <c r="V194" s="892"/>
      <c r="W194" s="892" t="s">
        <v>12654</v>
      </c>
      <c r="X194" s="892"/>
      <c r="Y194" s="893" t="s">
        <v>12659</v>
      </c>
      <c r="Z194" s="891" t="s">
        <v>12677</v>
      </c>
      <c r="AA194" s="894" t="s">
        <v>357</v>
      </c>
      <c r="AB194" s="888">
        <v>2.2328</v>
      </c>
      <c r="AC194" s="888">
        <f t="shared" si="83"/>
        <v>7314.6528</v>
      </c>
      <c r="AD194" s="895"/>
      <c r="AE194" s="891" t="s">
        <v>416</v>
      </c>
      <c r="AF194" s="891"/>
      <c r="AG194" s="891"/>
      <c r="AH194" s="891"/>
      <c r="AI194" s="889"/>
      <c r="AJ194" s="889"/>
      <c r="AK194" s="889"/>
      <c r="AL194" s="889"/>
      <c r="AM194" s="889">
        <f>J194</f>
        <v>3276</v>
      </c>
      <c r="AN194" s="888">
        <f t="shared" si="84"/>
        <v>3276</v>
      </c>
      <c r="AO194" s="888"/>
      <c r="AP194" s="896"/>
      <c r="AQ194" s="896">
        <f t="shared" si="80"/>
        <v>3276</v>
      </c>
      <c r="AR194" s="896"/>
      <c r="AS194" s="896"/>
      <c r="AT194" s="896"/>
      <c r="AU194" s="896"/>
      <c r="AV194" s="896"/>
      <c r="AW194" s="896">
        <f>J194/6</f>
        <v>546</v>
      </c>
      <c r="AX194" s="896"/>
      <c r="AY194" s="896"/>
      <c r="AZ194" s="896"/>
      <c r="BA194" s="896"/>
      <c r="BB194" s="896"/>
      <c r="BC194" s="896"/>
      <c r="BD194" s="896"/>
      <c r="BE194" s="896"/>
      <c r="BF194" s="896"/>
      <c r="BG194" s="896" t="s">
        <v>89</v>
      </c>
      <c r="BH194" s="896">
        <f t="shared" si="85"/>
        <v>109.2</v>
      </c>
      <c r="BI194" s="896">
        <f t="shared" si="86"/>
        <v>546</v>
      </c>
      <c r="BJ194" s="896">
        <f t="shared" si="87"/>
        <v>546</v>
      </c>
      <c r="BK194" s="896">
        <f t="shared" si="88"/>
        <v>436.8</v>
      </c>
      <c r="BL194" s="896">
        <f t="shared" si="89"/>
        <v>546</v>
      </c>
      <c r="BM194" s="897">
        <f t="shared" si="81"/>
        <v>546</v>
      </c>
      <c r="BN194" s="898">
        <f t="shared" si="82"/>
        <v>546</v>
      </c>
      <c r="BO194" s="898">
        <f t="shared" si="90"/>
        <v>3276</v>
      </c>
      <c r="BP194" s="898">
        <f t="shared" si="91"/>
        <v>0</v>
      </c>
      <c r="BQ194" s="899"/>
      <c r="BR194" s="900"/>
      <c r="BS194" s="901"/>
    </row>
    <row r="195" s="677" customFormat="1" ht="50" customHeight="1" spans="1:82">
      <c r="A195" s="865">
        <v>45611</v>
      </c>
      <c r="B195" s="866" t="s">
        <v>2285</v>
      </c>
      <c r="C195" s="867" t="s">
        <v>2580</v>
      </c>
      <c r="D195" s="868">
        <v>4500151404</v>
      </c>
      <c r="E195" s="867" t="s">
        <v>3330</v>
      </c>
      <c r="F195" s="868" t="s">
        <v>12679</v>
      </c>
      <c r="G195" s="867" t="s">
        <v>2577</v>
      </c>
      <c r="H195" s="867" t="s">
        <v>2577</v>
      </c>
      <c r="I195" s="867" t="s">
        <v>2578</v>
      </c>
      <c r="J195" s="869">
        <v>1428</v>
      </c>
      <c r="K195" s="869">
        <v>0</v>
      </c>
      <c r="L195" s="869">
        <v>12</v>
      </c>
      <c r="M195" s="869">
        <f t="shared" si="79"/>
        <v>119</v>
      </c>
      <c r="N195" s="870">
        <v>45817</v>
      </c>
      <c r="O195" s="870">
        <v>45813</v>
      </c>
      <c r="P195" s="867" t="s">
        <v>12612</v>
      </c>
      <c r="Q195" s="871"/>
      <c r="R195" s="871"/>
      <c r="S195" s="873" t="s">
        <v>3332</v>
      </c>
      <c r="T195" s="873"/>
      <c r="U195" s="873" t="s">
        <v>12654</v>
      </c>
      <c r="V195" s="873"/>
      <c r="W195" s="874" t="s">
        <v>355</v>
      </c>
      <c r="X195" s="872" t="s">
        <v>12680</v>
      </c>
      <c r="Y195" s="869" t="s">
        <v>357</v>
      </c>
      <c r="Z195" s="869">
        <v>2.1329</v>
      </c>
      <c r="AA195" s="869">
        <f t="shared" ref="AA195:AA198" si="92">Z195*J195</f>
        <v>3045.7812</v>
      </c>
      <c r="AB195" s="872"/>
      <c r="AC195" s="872" t="s">
        <v>416</v>
      </c>
      <c r="AD195" s="875"/>
      <c r="AE195" s="869"/>
      <c r="AF195" s="869">
        <f>J195</f>
        <v>1428</v>
      </c>
      <c r="AG195" s="875"/>
      <c r="AH195" s="867"/>
      <c r="AI195" s="867"/>
      <c r="AJ195" s="869"/>
      <c r="AK195" s="869">
        <f>J195</f>
        <v>1428</v>
      </c>
      <c r="AL195" s="869"/>
      <c r="AM195" s="876"/>
      <c r="AN195" s="877"/>
      <c r="AO195" s="876">
        <f t="shared" ref="AO195:AO203" si="93">J195</f>
        <v>1428</v>
      </c>
      <c r="AP195" s="877"/>
      <c r="AQ195" s="876"/>
      <c r="AR195" s="876">
        <f>J195/6</f>
        <v>238</v>
      </c>
      <c r="AS195" s="876"/>
      <c r="AT195" s="876"/>
      <c r="AU195" s="876"/>
      <c r="AV195" s="876"/>
      <c r="AW195" s="876"/>
      <c r="AX195" s="876"/>
      <c r="AY195" s="876"/>
      <c r="AZ195" s="876"/>
      <c r="BA195" s="876"/>
      <c r="BB195" s="876" t="s">
        <v>89</v>
      </c>
      <c r="BC195" s="876"/>
      <c r="BD195" s="876">
        <f>J195/60*10</f>
        <v>238</v>
      </c>
      <c r="BE195" s="876">
        <f>J195/60*10</f>
        <v>238</v>
      </c>
      <c r="BF195" s="876">
        <f>J195/60*10</f>
        <v>238</v>
      </c>
      <c r="BG195" s="876">
        <f>J195/60*10</f>
        <v>238</v>
      </c>
      <c r="BH195" s="876">
        <f>J195/60*10</f>
        <v>238</v>
      </c>
      <c r="BI195" s="876">
        <f>J195/60*8</f>
        <v>190.4</v>
      </c>
      <c r="BJ195" s="876">
        <f>J195/60*2</f>
        <v>47.6</v>
      </c>
      <c r="BK195" s="878"/>
      <c r="BL195" s="878"/>
      <c r="BM195" s="878"/>
      <c r="BN195" s="878"/>
      <c r="BO195" s="878"/>
      <c r="BP195" s="879"/>
      <c r="BQ195" s="880"/>
      <c r="BR195" s="881">
        <f>SUM(BD195:BQ195)</f>
        <v>1428</v>
      </c>
      <c r="BS195" s="882">
        <f>J195-BR195</f>
        <v>0</v>
      </c>
      <c r="BT195" s="883"/>
      <c r="BU195" s="883"/>
      <c r="BV195" s="883"/>
      <c r="BW195" s="884"/>
      <c r="BY195" s="885"/>
      <c r="BZ195" s="884"/>
    </row>
    <row r="196" s="677" customFormat="1" ht="50" customHeight="1" spans="1:82">
      <c r="A196" s="865">
        <v>45611</v>
      </c>
      <c r="B196" s="866" t="s">
        <v>2285</v>
      </c>
      <c r="C196" s="867" t="s">
        <v>2580</v>
      </c>
      <c r="D196" s="868">
        <v>4500151404</v>
      </c>
      <c r="E196" s="867" t="s">
        <v>3336</v>
      </c>
      <c r="F196" s="868" t="s">
        <v>12681</v>
      </c>
      <c r="G196" s="867" t="s">
        <v>2577</v>
      </c>
      <c r="H196" s="867" t="s">
        <v>2577</v>
      </c>
      <c r="I196" s="867" t="s">
        <v>2578</v>
      </c>
      <c r="J196" s="869">
        <v>732</v>
      </c>
      <c r="K196" s="869">
        <v>0</v>
      </c>
      <c r="L196" s="869">
        <v>12</v>
      </c>
      <c r="M196" s="869">
        <f t="shared" si="79"/>
        <v>61</v>
      </c>
      <c r="N196" s="870">
        <v>45817</v>
      </c>
      <c r="O196" s="870">
        <v>45813</v>
      </c>
      <c r="P196" s="867" t="s">
        <v>12612</v>
      </c>
      <c r="Q196" s="871"/>
      <c r="R196" s="871"/>
      <c r="S196" s="873" t="s">
        <v>3332</v>
      </c>
      <c r="T196" s="873"/>
      <c r="U196" s="873" t="s">
        <v>12654</v>
      </c>
      <c r="V196" s="873"/>
      <c r="W196" s="874" t="s">
        <v>355</v>
      </c>
      <c r="X196" s="872" t="s">
        <v>12680</v>
      </c>
      <c r="Y196" s="869" t="s">
        <v>357</v>
      </c>
      <c r="Z196" s="869">
        <v>2.1329</v>
      </c>
      <c r="AA196" s="869">
        <f t="shared" si="92"/>
        <v>1561.2828</v>
      </c>
      <c r="AB196" s="872"/>
      <c r="AC196" s="872" t="s">
        <v>416</v>
      </c>
      <c r="AD196" s="875"/>
      <c r="AE196" s="869"/>
      <c r="AF196" s="869">
        <f>J196</f>
        <v>732</v>
      </c>
      <c r="AG196" s="875"/>
      <c r="AH196" s="867"/>
      <c r="AI196" s="867"/>
      <c r="AJ196" s="869"/>
      <c r="AK196" s="869">
        <f>J196</f>
        <v>732</v>
      </c>
      <c r="AL196" s="869"/>
      <c r="AM196" s="876"/>
      <c r="AN196" s="877"/>
      <c r="AO196" s="876">
        <f t="shared" si="93"/>
        <v>732</v>
      </c>
      <c r="AP196" s="877"/>
      <c r="AQ196" s="876"/>
      <c r="AR196" s="876">
        <f>J196/6</f>
        <v>122</v>
      </c>
      <c r="AS196" s="876"/>
      <c r="AT196" s="876"/>
      <c r="AU196" s="876"/>
      <c r="AV196" s="876"/>
      <c r="AW196" s="876"/>
      <c r="AX196" s="876"/>
      <c r="AY196" s="876"/>
      <c r="AZ196" s="876"/>
      <c r="BA196" s="876"/>
      <c r="BB196" s="876" t="s">
        <v>89</v>
      </c>
      <c r="BC196" s="876"/>
      <c r="BD196" s="876">
        <f>J196/60*10</f>
        <v>122</v>
      </c>
      <c r="BE196" s="876">
        <f>J196/60*10</f>
        <v>122</v>
      </c>
      <c r="BF196" s="876">
        <f>J196/60*10</f>
        <v>122</v>
      </c>
      <c r="BG196" s="876">
        <f>J196/60*10</f>
        <v>122</v>
      </c>
      <c r="BH196" s="876">
        <f>J196/60*10</f>
        <v>122</v>
      </c>
      <c r="BI196" s="876">
        <f>J196/60*8</f>
        <v>97.6</v>
      </c>
      <c r="BJ196" s="876">
        <f>J196/60*2</f>
        <v>24.4</v>
      </c>
      <c r="BK196" s="878"/>
      <c r="BL196" s="878"/>
      <c r="BM196" s="878"/>
      <c r="BN196" s="878"/>
      <c r="BO196" s="878"/>
      <c r="BP196" s="879"/>
      <c r="BQ196" s="880"/>
      <c r="BR196" s="881">
        <f>SUM(BD196:BQ196)</f>
        <v>732</v>
      </c>
      <c r="BS196" s="882">
        <f>J196-BR196</f>
        <v>0</v>
      </c>
      <c r="BT196" s="883"/>
      <c r="BU196" s="883"/>
      <c r="BV196" s="883"/>
      <c r="BW196" s="884"/>
      <c r="BY196" s="885"/>
      <c r="BZ196" s="884"/>
    </row>
    <row r="197" s="678" customFormat="1" ht="50" customHeight="1" spans="1:82">
      <c r="A197" s="962">
        <v>45726</v>
      </c>
      <c r="B197" s="963" t="s">
        <v>2285</v>
      </c>
      <c r="C197" s="887" t="s">
        <v>351</v>
      </c>
      <c r="D197" s="964">
        <v>4500159511</v>
      </c>
      <c r="E197" s="889" t="s">
        <v>3330</v>
      </c>
      <c r="F197" s="964" t="s">
        <v>12682</v>
      </c>
      <c r="G197" s="965" t="s">
        <v>8290</v>
      </c>
      <c r="H197" s="889" t="s">
        <v>8290</v>
      </c>
      <c r="I197" s="888" t="s">
        <v>8291</v>
      </c>
      <c r="J197" s="888">
        <v>540</v>
      </c>
      <c r="K197" s="888">
        <v>0</v>
      </c>
      <c r="L197" s="888">
        <v>4</v>
      </c>
      <c r="M197" s="888">
        <f t="shared" si="79"/>
        <v>135</v>
      </c>
      <c r="N197" s="890">
        <v>45806</v>
      </c>
      <c r="O197" s="890">
        <v>45803</v>
      </c>
      <c r="P197" s="888" t="s">
        <v>12683</v>
      </c>
      <c r="Q197" s="965" t="s">
        <v>82</v>
      </c>
      <c r="R197" s="891"/>
      <c r="S197" s="873" t="s">
        <v>1124</v>
      </c>
      <c r="T197" s="892"/>
      <c r="U197" s="892" t="s">
        <v>8458</v>
      </c>
      <c r="V197" s="892"/>
      <c r="W197" s="874" t="s">
        <v>8440</v>
      </c>
      <c r="X197" s="645" t="s">
        <v>12548</v>
      </c>
      <c r="Y197" s="649" t="s">
        <v>1199</v>
      </c>
      <c r="Z197" s="888">
        <v>10.3324</v>
      </c>
      <c r="AA197" s="888">
        <f t="shared" si="92"/>
        <v>5579.496</v>
      </c>
      <c r="AB197" s="895"/>
      <c r="AC197" s="966" t="s">
        <v>416</v>
      </c>
      <c r="AD197" s="967"/>
      <c r="AE197" s="967"/>
      <c r="AF197" s="967"/>
      <c r="AG197" s="889">
        <f>J197</f>
        <v>540</v>
      </c>
      <c r="AH197" s="889"/>
      <c r="AI197" s="889"/>
      <c r="AJ197" s="888">
        <f t="shared" ref="AJ197:AJ202" si="94">J197</f>
        <v>540</v>
      </c>
      <c r="AK197" s="896"/>
      <c r="AL197" s="968">
        <f t="shared" ref="AL197:AL203" si="95">J197</f>
        <v>540</v>
      </c>
      <c r="AM197" s="896"/>
      <c r="AN197" s="896"/>
      <c r="AO197" s="968"/>
      <c r="AP197" s="968" t="s">
        <v>89</v>
      </c>
      <c r="AQ197" s="896">
        <f>J197/3</f>
        <v>180</v>
      </c>
      <c r="AR197" s="896">
        <f>J197/3</f>
        <v>180</v>
      </c>
      <c r="AS197" s="896">
        <f>J197/3</f>
        <v>180</v>
      </c>
      <c r="AT197" s="898">
        <f>SUM(AQ197:AS197)</f>
        <v>540</v>
      </c>
      <c r="AU197" s="898">
        <f>J197-AT197</f>
        <v>0</v>
      </c>
    </row>
    <row r="198" s="678" customFormat="1" ht="50" customHeight="1" spans="1:82">
      <c r="A198" s="962">
        <v>45726</v>
      </c>
      <c r="B198" s="963" t="s">
        <v>2285</v>
      </c>
      <c r="C198" s="887" t="s">
        <v>351</v>
      </c>
      <c r="D198" s="964">
        <v>4500159511</v>
      </c>
      <c r="E198" s="889" t="s">
        <v>3336</v>
      </c>
      <c r="F198" s="964" t="s">
        <v>12684</v>
      </c>
      <c r="G198" s="965" t="s">
        <v>8290</v>
      </c>
      <c r="H198" s="889" t="s">
        <v>8290</v>
      </c>
      <c r="I198" s="888" t="s">
        <v>8291</v>
      </c>
      <c r="J198" s="888">
        <v>208</v>
      </c>
      <c r="K198" s="888">
        <v>0</v>
      </c>
      <c r="L198" s="888">
        <v>4</v>
      </c>
      <c r="M198" s="888">
        <f t="shared" si="79"/>
        <v>52</v>
      </c>
      <c r="N198" s="890">
        <v>45806</v>
      </c>
      <c r="O198" s="890">
        <v>45803</v>
      </c>
      <c r="P198" s="888" t="s">
        <v>12683</v>
      </c>
      <c r="Q198" s="965" t="s">
        <v>82</v>
      </c>
      <c r="R198" s="891"/>
      <c r="S198" s="873" t="s">
        <v>1124</v>
      </c>
      <c r="T198" s="892"/>
      <c r="U198" s="892" t="s">
        <v>8458</v>
      </c>
      <c r="V198" s="892"/>
      <c r="W198" s="874" t="s">
        <v>8440</v>
      </c>
      <c r="X198" s="645" t="s">
        <v>12548</v>
      </c>
      <c r="Y198" s="649" t="s">
        <v>1199</v>
      </c>
      <c r="Z198" s="888">
        <v>10.3324</v>
      </c>
      <c r="AA198" s="888">
        <f t="shared" si="92"/>
        <v>2149.1392</v>
      </c>
      <c r="AB198" s="895"/>
      <c r="AC198" s="966" t="s">
        <v>416</v>
      </c>
      <c r="AD198" s="967"/>
      <c r="AE198" s="967"/>
      <c r="AF198" s="967"/>
      <c r="AG198" s="889">
        <f>J198</f>
        <v>208</v>
      </c>
      <c r="AH198" s="889"/>
      <c r="AI198" s="889"/>
      <c r="AJ198" s="888">
        <f t="shared" si="94"/>
        <v>208</v>
      </c>
      <c r="AK198" s="896"/>
      <c r="AL198" s="968">
        <f t="shared" si="95"/>
        <v>208</v>
      </c>
      <c r="AM198" s="896"/>
      <c r="AN198" s="896"/>
      <c r="AO198" s="968"/>
      <c r="AP198" s="968" t="s">
        <v>89</v>
      </c>
      <c r="AQ198" s="896">
        <f>J198/3</f>
        <v>69.3333333333333</v>
      </c>
      <c r="AR198" s="896">
        <f>J198/3</f>
        <v>69.3333333333333</v>
      </c>
      <c r="AS198" s="896">
        <f>J198/3</f>
        <v>69.3333333333333</v>
      </c>
      <c r="AT198" s="898">
        <f>SUM(AQ198:AS198)</f>
        <v>208</v>
      </c>
      <c r="AU198" s="898">
        <f>J198-AT198</f>
        <v>0</v>
      </c>
    </row>
    <row r="199" s="678" customFormat="1" ht="50" customHeight="1" spans="1:82">
      <c r="A199" s="886">
        <v>45953</v>
      </c>
      <c r="B199" s="887" t="s">
        <v>12685</v>
      </c>
      <c r="C199" s="887" t="s">
        <v>2058</v>
      </c>
      <c r="D199" s="888">
        <v>4500182649</v>
      </c>
      <c r="E199" s="889">
        <v>5200008005</v>
      </c>
      <c r="F199" s="889" t="s">
        <v>12686</v>
      </c>
      <c r="G199" s="889" t="s">
        <v>6087</v>
      </c>
      <c r="H199" s="889" t="s">
        <v>6084</v>
      </c>
      <c r="I199" s="888" t="s">
        <v>6063</v>
      </c>
      <c r="J199" s="888">
        <v>504</v>
      </c>
      <c r="K199" s="888">
        <v>0</v>
      </c>
      <c r="L199" s="888">
        <v>6</v>
      </c>
      <c r="M199" s="958">
        <f t="shared" si="79"/>
        <v>84</v>
      </c>
      <c r="N199" s="890">
        <v>45992</v>
      </c>
      <c r="O199" s="890">
        <f>N199-4</f>
        <v>45988</v>
      </c>
      <c r="P199" s="867" t="s">
        <v>12687</v>
      </c>
      <c r="Q199" s="889"/>
      <c r="R199" s="889"/>
      <c r="S199" s="889"/>
      <c r="T199" s="891"/>
      <c r="U199" s="873" t="s">
        <v>12688</v>
      </c>
      <c r="V199" s="969"/>
      <c r="W199" s="873" t="s">
        <v>12689</v>
      </c>
      <c r="X199" s="970"/>
      <c r="Y199" s="874"/>
      <c r="Z199" s="891" t="s">
        <v>12690</v>
      </c>
      <c r="AA199" s="894" t="s">
        <v>578</v>
      </c>
      <c r="AB199" s="888">
        <v>2.2722</v>
      </c>
      <c r="AC199" s="888">
        <f>AB199*J199</f>
        <v>1145.1888</v>
      </c>
      <c r="AD199" s="895"/>
      <c r="AE199" s="891" t="s">
        <v>416</v>
      </c>
      <c r="AF199" s="891"/>
      <c r="AG199" s="891"/>
      <c r="AH199" s="891"/>
      <c r="AI199" s="889"/>
      <c r="AJ199" s="889"/>
      <c r="AK199" s="971"/>
      <c r="AL199" s="971">
        <f t="shared" si="95"/>
        <v>504</v>
      </c>
      <c r="AM199" s="889"/>
      <c r="AN199" s="888"/>
      <c r="AO199" s="958">
        <f t="shared" si="93"/>
        <v>504</v>
      </c>
      <c r="AP199" s="896"/>
      <c r="AQ199" s="896"/>
      <c r="AR199" s="972"/>
      <c r="AS199" s="896"/>
      <c r="AT199" s="896">
        <f>J199</f>
        <v>504</v>
      </c>
      <c r="AU199" s="896"/>
      <c r="AV199" s="896">
        <f>J199/6</f>
        <v>84</v>
      </c>
      <c r="AW199" s="896"/>
      <c r="AX199" s="972"/>
      <c r="AY199" s="896"/>
      <c r="AZ199" s="896"/>
      <c r="BA199" s="896"/>
      <c r="BB199" s="896"/>
      <c r="BC199" s="896"/>
      <c r="BD199" s="896"/>
      <c r="BE199" s="896"/>
      <c r="BF199" s="896"/>
      <c r="BG199" s="896" t="s">
        <v>89</v>
      </c>
      <c r="BH199" s="896">
        <f>J199/60*2</f>
        <v>16.8</v>
      </c>
      <c r="BI199" s="896">
        <f t="shared" ref="BI199:BI205" si="96">J199/60*10</f>
        <v>84</v>
      </c>
      <c r="BJ199" s="896">
        <f t="shared" ref="BJ199:BJ205" si="97">J199/60*10</f>
        <v>84</v>
      </c>
      <c r="BK199" s="896">
        <f>J199/60*8</f>
        <v>67.2</v>
      </c>
      <c r="BL199" s="896">
        <f t="shared" ref="BL199:BL205" si="98">J199/60*10</f>
        <v>84</v>
      </c>
      <c r="BM199" s="897">
        <f>J199/60*10</f>
        <v>84</v>
      </c>
      <c r="BN199" s="898">
        <f>J199/60*10</f>
        <v>84</v>
      </c>
      <c r="BO199" s="898">
        <f>SUM(BH199:BN199)</f>
        <v>504</v>
      </c>
      <c r="BP199" s="898">
        <f>J199-BO199</f>
        <v>0</v>
      </c>
      <c r="BQ199" s="901"/>
      <c r="BR199" s="960"/>
      <c r="BS199" s="901"/>
    </row>
    <row r="200" s="678" customFormat="1" ht="50" customHeight="1" spans="1:82">
      <c r="A200" s="886">
        <v>45965</v>
      </c>
      <c r="B200" s="887" t="s">
        <v>5902</v>
      </c>
      <c r="C200" s="887" t="s">
        <v>3460</v>
      </c>
      <c r="D200" s="888">
        <v>4500184399</v>
      </c>
      <c r="E200" s="889"/>
      <c r="F200" s="889" t="s">
        <v>12691</v>
      </c>
      <c r="G200" s="889" t="s">
        <v>6126</v>
      </c>
      <c r="H200" s="889" t="s">
        <v>6124</v>
      </c>
      <c r="I200" s="888" t="s">
        <v>6063</v>
      </c>
      <c r="J200" s="888">
        <v>72</v>
      </c>
      <c r="K200" s="888">
        <v>0</v>
      </c>
      <c r="L200" s="888">
        <v>12</v>
      </c>
      <c r="M200" s="888">
        <f t="shared" si="79"/>
        <v>6</v>
      </c>
      <c r="N200" s="890">
        <v>46009</v>
      </c>
      <c r="O200" s="890">
        <v>46006</v>
      </c>
      <c r="P200" s="867"/>
      <c r="Q200" s="889"/>
      <c r="R200" s="973"/>
      <c r="S200" s="973"/>
      <c r="T200" s="891"/>
      <c r="U200" s="869" t="s">
        <v>2532</v>
      </c>
      <c r="V200" s="873"/>
      <c r="W200" s="873" t="s">
        <v>3618</v>
      </c>
      <c r="X200" s="970"/>
      <c r="Y200" s="874"/>
      <c r="Z200" s="891" t="s">
        <v>7860</v>
      </c>
      <c r="AA200" s="894" t="s">
        <v>1257</v>
      </c>
      <c r="AB200" s="902">
        <v>2.259</v>
      </c>
      <c r="AC200" s="888">
        <f>AB200*J200</f>
        <v>162.648</v>
      </c>
      <c r="AD200" s="895"/>
      <c r="AE200" s="891" t="s">
        <v>416</v>
      </c>
      <c r="AF200" s="891"/>
      <c r="AG200" s="891"/>
      <c r="AH200" s="891"/>
      <c r="AI200" s="889"/>
      <c r="AJ200" s="889"/>
      <c r="AK200" s="889"/>
      <c r="AL200" s="971">
        <f t="shared" si="95"/>
        <v>72</v>
      </c>
      <c r="AM200" s="889"/>
      <c r="AN200" s="888"/>
      <c r="AO200" s="958">
        <f t="shared" si="93"/>
        <v>72</v>
      </c>
      <c r="AP200" s="896"/>
      <c r="AQ200" s="896"/>
      <c r="AR200" s="972">
        <f>J200</f>
        <v>72</v>
      </c>
      <c r="AS200" s="896"/>
      <c r="AT200" s="896"/>
      <c r="AU200" s="896"/>
      <c r="AV200" s="972">
        <f>J200/6</f>
        <v>12</v>
      </c>
      <c r="AW200" s="896"/>
      <c r="AX200" s="896"/>
      <c r="AY200" s="896"/>
      <c r="AZ200" s="896"/>
      <c r="BA200" s="896"/>
      <c r="BB200" s="896"/>
      <c r="BC200" s="896"/>
      <c r="BD200" s="896"/>
      <c r="BE200" s="896"/>
      <c r="BF200" s="896"/>
      <c r="BG200" s="896" t="s">
        <v>89</v>
      </c>
      <c r="BH200" s="972">
        <f>J200/60*2</f>
        <v>2.4</v>
      </c>
      <c r="BI200" s="972">
        <f t="shared" si="96"/>
        <v>12</v>
      </c>
      <c r="BJ200" s="972">
        <f t="shared" si="97"/>
        <v>12</v>
      </c>
      <c r="BK200" s="972">
        <f>J200/60*8</f>
        <v>9.6</v>
      </c>
      <c r="BL200" s="972">
        <f t="shared" si="98"/>
        <v>12</v>
      </c>
      <c r="BM200" s="974">
        <f>J200/60*10</f>
        <v>12</v>
      </c>
      <c r="BN200" s="975">
        <f>J200/60*10</f>
        <v>12</v>
      </c>
      <c r="BO200" s="975">
        <f>SUM(BH200:BN200)</f>
        <v>72</v>
      </c>
      <c r="BP200" s="898">
        <f>J200-BO200</f>
        <v>0</v>
      </c>
      <c r="BQ200" s="901"/>
      <c r="BR200" s="960"/>
      <c r="BS200" s="901"/>
    </row>
    <row r="201" s="677" customFormat="1" ht="50" customHeight="1" spans="1:82">
      <c r="A201" s="865">
        <v>45965</v>
      </c>
      <c r="B201" s="866" t="s">
        <v>5902</v>
      </c>
      <c r="C201" s="867" t="s">
        <v>3460</v>
      </c>
      <c r="D201" s="868">
        <v>4500184399</v>
      </c>
      <c r="E201" s="867"/>
      <c r="F201" s="868" t="s">
        <v>12692</v>
      </c>
      <c r="G201" s="867" t="s">
        <v>2604</v>
      </c>
      <c r="H201" s="867" t="s">
        <v>2577</v>
      </c>
      <c r="I201" s="867" t="s">
        <v>2578</v>
      </c>
      <c r="J201" s="869">
        <v>72</v>
      </c>
      <c r="K201" s="869">
        <v>0</v>
      </c>
      <c r="L201" s="869">
        <v>12</v>
      </c>
      <c r="M201" s="869">
        <f t="shared" si="79"/>
        <v>6</v>
      </c>
      <c r="N201" s="870">
        <v>46009</v>
      </c>
      <c r="O201" s="976">
        <v>46006</v>
      </c>
      <c r="P201" s="977"/>
      <c r="Q201" s="978"/>
      <c r="R201" s="872"/>
      <c r="S201" s="869" t="s">
        <v>2532</v>
      </c>
      <c r="T201" s="873"/>
      <c r="U201" s="873" t="s">
        <v>3618</v>
      </c>
      <c r="V201" s="873"/>
      <c r="W201" s="869"/>
      <c r="X201" s="872" t="s">
        <v>5227</v>
      </c>
      <c r="Y201" s="869" t="s">
        <v>1257</v>
      </c>
      <c r="Z201" s="869">
        <v>2.1438</v>
      </c>
      <c r="AA201" s="869">
        <f t="shared" ref="AA201:AA203" si="99">Z201*J201</f>
        <v>154.3536</v>
      </c>
      <c r="AB201" s="872"/>
      <c r="AC201" s="872" t="s">
        <v>416</v>
      </c>
      <c r="AD201" s="979"/>
      <c r="AE201" s="869"/>
      <c r="AF201" s="869"/>
      <c r="AG201" s="979"/>
      <c r="AH201" s="867"/>
      <c r="AI201" s="867">
        <f>J201</f>
        <v>72</v>
      </c>
      <c r="AJ201" s="869"/>
      <c r="AK201" s="869"/>
      <c r="AL201" s="869">
        <f t="shared" si="95"/>
        <v>72</v>
      </c>
      <c r="AM201" s="876"/>
      <c r="AN201" s="980"/>
      <c r="AO201" s="876">
        <f t="shared" si="93"/>
        <v>72</v>
      </c>
      <c r="AP201" s="980"/>
      <c r="AQ201" s="876"/>
      <c r="AR201" s="876"/>
      <c r="AS201" s="876">
        <f>J201/6</f>
        <v>12</v>
      </c>
      <c r="AT201" s="876"/>
      <c r="AU201" s="876"/>
      <c r="AV201" s="876"/>
      <c r="AW201" s="876"/>
      <c r="AX201" s="876"/>
      <c r="AY201" s="876"/>
      <c r="AZ201" s="876"/>
      <c r="BA201" s="876"/>
      <c r="BB201" s="876" t="s">
        <v>89</v>
      </c>
      <c r="BC201" s="876"/>
      <c r="BD201" s="876">
        <f t="shared" ref="BD201:BD203" si="100">J201/60*10</f>
        <v>12</v>
      </c>
      <c r="BE201" s="876">
        <f t="shared" ref="BE201:BE203" si="101">J201/60*10</f>
        <v>12</v>
      </c>
      <c r="BF201" s="876">
        <f t="shared" ref="BF201:BF203" si="102">J201/60*10</f>
        <v>12</v>
      </c>
      <c r="BG201" s="876">
        <f t="shared" ref="BG201:BG203" si="103">J201/60*10</f>
        <v>12</v>
      </c>
      <c r="BH201" s="876">
        <f t="shared" ref="BH201:BH205" si="104">J201/60*10</f>
        <v>12</v>
      </c>
      <c r="BI201" s="876">
        <f t="shared" ref="BI201:BI203" si="105">J201/60*8</f>
        <v>9.6</v>
      </c>
      <c r="BJ201" s="876">
        <f t="shared" ref="BJ201:BJ203" si="106">J201/60*2</f>
        <v>2.4</v>
      </c>
      <c r="BK201" s="980"/>
      <c r="BL201" s="980"/>
      <c r="BM201" s="980"/>
      <c r="BN201" s="980"/>
      <c r="BO201" s="980"/>
      <c r="BP201" s="981"/>
      <c r="BQ201" s="982"/>
      <c r="BR201" s="881">
        <f t="shared" ref="BR201:BR203" si="107">SUM(BD201:BQ201)</f>
        <v>72</v>
      </c>
      <c r="BS201" s="882">
        <f t="shared" ref="BS201:BS203" si="108">J201-BR201</f>
        <v>0</v>
      </c>
      <c r="BT201" s="983"/>
      <c r="BU201" s="983"/>
      <c r="BV201" s="983"/>
      <c r="BW201" s="884"/>
      <c r="BY201" s="885"/>
      <c r="BZ201" s="884"/>
    </row>
    <row r="202" s="680" customFormat="1" ht="50" customHeight="1" spans="1:82">
      <c r="A202" s="865">
        <v>45951</v>
      </c>
      <c r="B202" s="866" t="s">
        <v>3744</v>
      </c>
      <c r="C202" s="867" t="s">
        <v>91</v>
      </c>
      <c r="D202" s="868">
        <v>4500182514</v>
      </c>
      <c r="E202" s="867" t="s">
        <v>12693</v>
      </c>
      <c r="F202" s="868" t="s">
        <v>12694</v>
      </c>
      <c r="G202" s="867" t="s">
        <v>2608</v>
      </c>
      <c r="H202" s="867" t="s">
        <v>2608</v>
      </c>
      <c r="I202" s="867" t="s">
        <v>2609</v>
      </c>
      <c r="J202" s="869">
        <v>33684</v>
      </c>
      <c r="K202" s="869">
        <v>0</v>
      </c>
      <c r="L202" s="869">
        <v>6</v>
      </c>
      <c r="M202" s="869">
        <f t="shared" si="79"/>
        <v>5614</v>
      </c>
      <c r="N202" s="870">
        <v>45995</v>
      </c>
      <c r="O202" s="870">
        <v>45992</v>
      </c>
      <c r="P202" s="867" t="s">
        <v>12695</v>
      </c>
      <c r="Q202" s="978"/>
      <c r="R202" s="872"/>
      <c r="S202" s="873" t="s">
        <v>5364</v>
      </c>
      <c r="T202" s="873"/>
      <c r="U202" s="873" t="s">
        <v>98</v>
      </c>
      <c r="V202" s="873"/>
      <c r="W202" s="867" t="s">
        <v>12696</v>
      </c>
      <c r="X202" s="872" t="s">
        <v>12697</v>
      </c>
      <c r="Y202" s="869" t="s">
        <v>1607</v>
      </c>
      <c r="Z202" s="903">
        <v>1.3121</v>
      </c>
      <c r="AA202" s="869">
        <f t="shared" si="99"/>
        <v>44196.7764</v>
      </c>
      <c r="AB202" s="872"/>
      <c r="AC202" s="872" t="s">
        <v>416</v>
      </c>
      <c r="AD202" s="984"/>
      <c r="AE202" s="869"/>
      <c r="AF202" s="869"/>
      <c r="AG202" s="984"/>
      <c r="AH202" s="867"/>
      <c r="AI202" s="867"/>
      <c r="AJ202" s="869">
        <f t="shared" si="94"/>
        <v>33684</v>
      </c>
      <c r="AK202" s="869"/>
      <c r="AL202" s="869">
        <f t="shared" si="95"/>
        <v>33684</v>
      </c>
      <c r="AM202" s="876"/>
      <c r="AN202" s="877"/>
      <c r="AO202" s="876">
        <f t="shared" si="93"/>
        <v>33684</v>
      </c>
      <c r="AP202" s="877"/>
      <c r="AQ202" s="876"/>
      <c r="AR202" s="876"/>
      <c r="AS202" s="876"/>
      <c r="AT202" s="876"/>
      <c r="AU202" s="876"/>
      <c r="AV202" s="876"/>
      <c r="AW202" s="876"/>
      <c r="AX202" s="876"/>
      <c r="AY202" s="876"/>
      <c r="AZ202" s="876"/>
      <c r="BA202" s="876"/>
      <c r="BB202" s="876" t="s">
        <v>89</v>
      </c>
      <c r="BC202" s="876"/>
      <c r="BD202" s="876">
        <f t="shared" si="100"/>
        <v>5614</v>
      </c>
      <c r="BE202" s="876">
        <f t="shared" si="101"/>
        <v>5614</v>
      </c>
      <c r="BF202" s="876">
        <f t="shared" si="102"/>
        <v>5614</v>
      </c>
      <c r="BG202" s="908">
        <f t="shared" si="103"/>
        <v>5614</v>
      </c>
      <c r="BH202" s="882">
        <f t="shared" si="104"/>
        <v>5614</v>
      </c>
      <c r="BI202" s="908">
        <f t="shared" si="105"/>
        <v>4491.2</v>
      </c>
      <c r="BJ202" s="876">
        <f t="shared" si="106"/>
        <v>1122.8</v>
      </c>
      <c r="BK202" s="877"/>
      <c r="BL202" s="985"/>
      <c r="BM202" s="985"/>
      <c r="BN202" s="985"/>
      <c r="BO202" s="985"/>
      <c r="BP202" s="986"/>
      <c r="BQ202" s="987"/>
      <c r="BR202" s="988">
        <f t="shared" si="107"/>
        <v>33684</v>
      </c>
      <c r="BS202" s="988">
        <f t="shared" si="108"/>
        <v>0</v>
      </c>
      <c r="BT202" s="883"/>
      <c r="BU202" s="883"/>
      <c r="BV202" s="883"/>
      <c r="BW202" s="989"/>
      <c r="BY202" s="990"/>
      <c r="BZ202" s="989"/>
    </row>
    <row r="203" s="677" customFormat="1" ht="50" customHeight="1" spans="1:82">
      <c r="A203" s="865">
        <v>45952</v>
      </c>
      <c r="B203" s="866" t="s">
        <v>12698</v>
      </c>
      <c r="C203" s="867" t="s">
        <v>341</v>
      </c>
      <c r="D203" s="868">
        <v>4500182716</v>
      </c>
      <c r="E203" s="867" t="s">
        <v>12699</v>
      </c>
      <c r="F203" s="868" t="s">
        <v>12700</v>
      </c>
      <c r="G203" s="867" t="s">
        <v>2577</v>
      </c>
      <c r="H203" s="867" t="s">
        <v>2577</v>
      </c>
      <c r="I203" s="867" t="s">
        <v>2578</v>
      </c>
      <c r="J203" s="869">
        <v>1764</v>
      </c>
      <c r="K203" s="869">
        <v>0</v>
      </c>
      <c r="L203" s="869">
        <v>12</v>
      </c>
      <c r="M203" s="869">
        <f t="shared" si="79"/>
        <v>147</v>
      </c>
      <c r="N203" s="870">
        <v>46009</v>
      </c>
      <c r="O203" s="976">
        <v>46006</v>
      </c>
      <c r="P203" s="867" t="s">
        <v>12701</v>
      </c>
      <c r="Q203" s="978"/>
      <c r="R203" s="872" t="s">
        <v>12702</v>
      </c>
      <c r="S203" s="970" t="s">
        <v>2195</v>
      </c>
      <c r="T203" s="873"/>
      <c r="U203" s="873" t="s">
        <v>98</v>
      </c>
      <c r="V203" s="873"/>
      <c r="W203" s="869"/>
      <c r="X203" s="872" t="s">
        <v>12703</v>
      </c>
      <c r="Y203" s="869" t="s">
        <v>5106</v>
      </c>
      <c r="Z203" s="869">
        <v>2.1392</v>
      </c>
      <c r="AA203" s="869">
        <f t="shared" si="99"/>
        <v>3773.5488</v>
      </c>
      <c r="AB203" s="872"/>
      <c r="AC203" s="872" t="s">
        <v>416</v>
      </c>
      <c r="AD203" s="984"/>
      <c r="AE203" s="869"/>
      <c r="AF203" s="869">
        <f>J203</f>
        <v>1764</v>
      </c>
      <c r="AG203" s="984"/>
      <c r="AH203" s="867"/>
      <c r="AI203" s="867"/>
      <c r="AJ203" s="869"/>
      <c r="AK203" s="869"/>
      <c r="AL203" s="869">
        <f t="shared" si="95"/>
        <v>1764</v>
      </c>
      <c r="AM203" s="876"/>
      <c r="AN203" s="877"/>
      <c r="AO203" s="876">
        <f t="shared" si="93"/>
        <v>1764</v>
      </c>
      <c r="AP203" s="877"/>
      <c r="AQ203" s="876"/>
      <c r="AR203" s="876"/>
      <c r="AS203" s="876">
        <f>J203/6</f>
        <v>294</v>
      </c>
      <c r="AT203" s="876"/>
      <c r="AU203" s="876"/>
      <c r="AV203" s="876"/>
      <c r="AW203" s="876"/>
      <c r="AX203" s="876"/>
      <c r="AY203" s="876"/>
      <c r="AZ203" s="876"/>
      <c r="BA203" s="876"/>
      <c r="BB203" s="876" t="s">
        <v>89</v>
      </c>
      <c r="BC203" s="876"/>
      <c r="BD203" s="876">
        <f t="shared" si="100"/>
        <v>294</v>
      </c>
      <c r="BE203" s="876">
        <f t="shared" si="101"/>
        <v>294</v>
      </c>
      <c r="BF203" s="876">
        <f t="shared" si="102"/>
        <v>294</v>
      </c>
      <c r="BG203" s="876">
        <f t="shared" si="103"/>
        <v>294</v>
      </c>
      <c r="BH203" s="876">
        <f t="shared" si="104"/>
        <v>294</v>
      </c>
      <c r="BI203" s="876">
        <f t="shared" si="105"/>
        <v>235.2</v>
      </c>
      <c r="BJ203" s="876">
        <f t="shared" si="106"/>
        <v>58.8</v>
      </c>
      <c r="BK203" s="877"/>
      <c r="BL203" s="877"/>
      <c r="BM203" s="877"/>
      <c r="BN203" s="877"/>
      <c r="BO203" s="877"/>
      <c r="BP203" s="991"/>
      <c r="BQ203" s="992"/>
      <c r="BR203" s="881">
        <f t="shared" si="107"/>
        <v>1764</v>
      </c>
      <c r="BS203" s="882">
        <f t="shared" si="108"/>
        <v>0</v>
      </c>
      <c r="BT203" s="983"/>
      <c r="BU203" s="983"/>
      <c r="BV203" s="983"/>
      <c r="BW203" s="884"/>
      <c r="BY203" s="885"/>
      <c r="BZ203" s="884"/>
    </row>
    <row r="204" s="677" customFormat="1" ht="50" customHeight="1" spans="1:82">
      <c r="A204" s="865">
        <v>46027</v>
      </c>
      <c r="B204" s="867" t="s">
        <v>505</v>
      </c>
      <c r="C204" s="867" t="s">
        <v>506</v>
      </c>
      <c r="D204" s="869">
        <v>4500190626</v>
      </c>
      <c r="E204" s="867">
        <v>21387807</v>
      </c>
      <c r="F204" s="869" t="s">
        <v>12704</v>
      </c>
      <c r="G204" s="867" t="s">
        <v>2577</v>
      </c>
      <c r="H204" s="867" t="s">
        <v>2577</v>
      </c>
      <c r="I204" s="867" t="s">
        <v>2578</v>
      </c>
      <c r="J204" s="913">
        <v>1452</v>
      </c>
      <c r="K204" s="869">
        <v>0</v>
      </c>
      <c r="L204" s="869">
        <v>12</v>
      </c>
      <c r="M204" s="869">
        <f t="shared" si="79"/>
        <v>121</v>
      </c>
      <c r="N204" s="870">
        <v>46097</v>
      </c>
      <c r="O204" s="976">
        <v>46093</v>
      </c>
      <c r="P204" s="867" t="s">
        <v>12705</v>
      </c>
      <c r="Q204" s="978"/>
      <c r="R204" s="978"/>
      <c r="S204" s="993"/>
      <c r="T204" s="993"/>
      <c r="U204" s="993"/>
      <c r="V204" s="872"/>
      <c r="W204" s="873" t="s">
        <v>2397</v>
      </c>
      <c r="X204" s="873"/>
      <c r="Y204" s="873" t="s">
        <v>12706</v>
      </c>
      <c r="Z204" s="873"/>
      <c r="AA204" s="869"/>
      <c r="AB204" s="872" t="s">
        <v>12707</v>
      </c>
      <c r="AC204" s="869" t="s">
        <v>2357</v>
      </c>
      <c r="AD204" s="869">
        <v>2.2463</v>
      </c>
      <c r="AE204" s="869">
        <f t="shared" ref="AE204:AE206" si="109">AD204*J204</f>
        <v>3261.6276</v>
      </c>
      <c r="AF204" s="872"/>
      <c r="AG204" s="872" t="s">
        <v>416</v>
      </c>
      <c r="AH204" s="869"/>
      <c r="AI204" s="867"/>
      <c r="AJ204" s="919">
        <f t="shared" ref="AJ204:AJ206" si="110">J204</f>
        <v>1452</v>
      </c>
      <c r="AK204" s="869"/>
      <c r="AL204" s="869"/>
      <c r="AM204" s="867"/>
      <c r="AN204" s="876"/>
      <c r="AO204" s="876"/>
      <c r="AP204" s="869">
        <f t="shared" ref="AP204:AP206" si="111">J204</f>
        <v>1452</v>
      </c>
      <c r="AQ204" s="876"/>
      <c r="AR204" s="922"/>
      <c r="AS204" s="921">
        <f t="shared" ref="AS204:AS206" si="112">J204</f>
        <v>1452</v>
      </c>
      <c r="AT204" s="922"/>
      <c r="AU204" s="876"/>
      <c r="AV204" s="876"/>
      <c r="AW204" s="921">
        <f>J204/6</f>
        <v>242</v>
      </c>
      <c r="AX204" s="876"/>
      <c r="AY204" s="876"/>
      <c r="AZ204" s="876"/>
      <c r="BA204" s="876"/>
      <c r="BB204" s="876"/>
      <c r="BC204" s="876"/>
      <c r="BD204" s="876"/>
      <c r="BE204" s="876"/>
      <c r="BF204" s="876" t="s">
        <v>89</v>
      </c>
      <c r="BG204" s="881"/>
      <c r="BH204" s="876">
        <f t="shared" si="104"/>
        <v>242</v>
      </c>
      <c r="BI204" s="876">
        <f t="shared" si="96"/>
        <v>242</v>
      </c>
      <c r="BJ204" s="876">
        <f t="shared" si="97"/>
        <v>242</v>
      </c>
      <c r="BK204" s="876">
        <f>J204/60*10</f>
        <v>242</v>
      </c>
      <c r="BL204" s="876">
        <f t="shared" si="98"/>
        <v>242</v>
      </c>
      <c r="BM204" s="876">
        <f>J204/60*8</f>
        <v>193.6</v>
      </c>
      <c r="BN204" s="876">
        <f>J204/60*2</f>
        <v>48.4</v>
      </c>
      <c r="BO204" s="994"/>
      <c r="BP204" s="994"/>
      <c r="BQ204" s="994"/>
      <c r="BR204" s="995"/>
      <c r="BS204" s="996"/>
      <c r="BT204" s="996"/>
      <c r="BU204" s="996"/>
      <c r="BV204" s="881">
        <f t="shared" ref="BV204:BV207" si="113">SUM(BH204:BU204)</f>
        <v>1452</v>
      </c>
      <c r="BW204" s="881">
        <f t="shared" ref="BW204:BW206" si="114">J204-BV204</f>
        <v>0</v>
      </c>
      <c r="BX204" s="883"/>
      <c r="BY204" s="883"/>
      <c r="BZ204" s="883"/>
      <c r="CA204" s="884"/>
      <c r="CC204" s="885"/>
      <c r="CD204" s="884"/>
    </row>
    <row r="205" s="677" customFormat="1" ht="50" customHeight="1" spans="1:82">
      <c r="A205" s="865">
        <v>46027</v>
      </c>
      <c r="B205" s="866" t="s">
        <v>839</v>
      </c>
      <c r="C205" s="867" t="s">
        <v>840</v>
      </c>
      <c r="D205" s="868">
        <v>4500190629</v>
      </c>
      <c r="E205" s="867">
        <v>21387810</v>
      </c>
      <c r="F205" s="868" t="s">
        <v>12708</v>
      </c>
      <c r="G205" s="867" t="s">
        <v>2577</v>
      </c>
      <c r="H205" s="867" t="s">
        <v>2577</v>
      </c>
      <c r="I205" s="867" t="s">
        <v>2578</v>
      </c>
      <c r="J205" s="869">
        <v>48</v>
      </c>
      <c r="K205" s="869">
        <v>0</v>
      </c>
      <c r="L205" s="869">
        <v>12</v>
      </c>
      <c r="M205" s="869">
        <f t="shared" si="79"/>
        <v>4</v>
      </c>
      <c r="N205" s="870">
        <v>46097</v>
      </c>
      <c r="O205" s="976">
        <v>46093</v>
      </c>
      <c r="P205" s="867" t="s">
        <v>12705</v>
      </c>
      <c r="Q205" s="978"/>
      <c r="R205" s="978"/>
      <c r="S205" s="993"/>
      <c r="T205" s="993"/>
      <c r="U205" s="993"/>
      <c r="V205" s="872"/>
      <c r="W205" s="873" t="s">
        <v>2397</v>
      </c>
      <c r="X205" s="873"/>
      <c r="Y205" s="873" t="s">
        <v>12706</v>
      </c>
      <c r="Z205" s="873"/>
      <c r="AA205" s="869"/>
      <c r="AB205" s="872" t="s">
        <v>12709</v>
      </c>
      <c r="AC205" s="869" t="s">
        <v>2357</v>
      </c>
      <c r="AD205" s="869">
        <v>2.2509</v>
      </c>
      <c r="AE205" s="869">
        <f t="shared" si="109"/>
        <v>108.0432</v>
      </c>
      <c r="AF205" s="872"/>
      <c r="AG205" s="872" t="s">
        <v>416</v>
      </c>
      <c r="AH205" s="869"/>
      <c r="AI205" s="867"/>
      <c r="AJ205" s="919">
        <f t="shared" si="110"/>
        <v>48</v>
      </c>
      <c r="AK205" s="869"/>
      <c r="AL205" s="869"/>
      <c r="AM205" s="867"/>
      <c r="AN205" s="876"/>
      <c r="AO205" s="876"/>
      <c r="AP205" s="869">
        <f t="shared" si="111"/>
        <v>48</v>
      </c>
      <c r="AQ205" s="876"/>
      <c r="AR205" s="944"/>
      <c r="AS205" s="921">
        <f t="shared" si="112"/>
        <v>48</v>
      </c>
      <c r="AT205" s="944"/>
      <c r="AU205" s="876"/>
      <c r="AV205" s="876"/>
      <c r="AW205" s="997">
        <f>J205/6</f>
        <v>8</v>
      </c>
      <c r="AX205" s="998"/>
      <c r="AY205" s="998"/>
      <c r="AZ205" s="998"/>
      <c r="BA205" s="998"/>
      <c r="BB205" s="998"/>
      <c r="BC205" s="998"/>
      <c r="BD205" s="998"/>
      <c r="BE205" s="998"/>
      <c r="BF205" s="998" t="s">
        <v>89</v>
      </c>
      <c r="BG205" s="999"/>
      <c r="BH205" s="998">
        <f t="shared" si="104"/>
        <v>8</v>
      </c>
      <c r="BI205" s="998">
        <f t="shared" si="96"/>
        <v>8</v>
      </c>
      <c r="BJ205" s="998">
        <f t="shared" si="97"/>
        <v>8</v>
      </c>
      <c r="BK205" s="998">
        <f>J205/60*10</f>
        <v>8</v>
      </c>
      <c r="BL205" s="998">
        <f t="shared" si="98"/>
        <v>8</v>
      </c>
      <c r="BM205" s="998">
        <f>J205/60*8</f>
        <v>6.4</v>
      </c>
      <c r="BN205" s="998">
        <f>J205/60*2</f>
        <v>1.6</v>
      </c>
      <c r="BO205" s="1000"/>
      <c r="BP205" s="1000"/>
      <c r="BQ205" s="1000"/>
      <c r="BR205" s="1001"/>
      <c r="BS205" s="1002"/>
      <c r="BT205" s="1002"/>
      <c r="BU205" s="1002"/>
      <c r="BV205" s="881">
        <f t="shared" si="113"/>
        <v>48</v>
      </c>
      <c r="BW205" s="881">
        <f t="shared" si="114"/>
        <v>0</v>
      </c>
      <c r="BX205" s="883"/>
      <c r="BY205" s="883"/>
      <c r="BZ205" s="883"/>
      <c r="CA205" s="884"/>
      <c r="CC205" s="885"/>
      <c r="CD205" s="884"/>
    </row>
    <row r="206" s="677" customFormat="1" ht="50" customHeight="1" spans="1:82">
      <c r="A206" s="865">
        <v>46042</v>
      </c>
      <c r="B206" s="866" t="s">
        <v>4747</v>
      </c>
      <c r="C206" s="867" t="s">
        <v>91</v>
      </c>
      <c r="D206" s="868">
        <v>4500191895</v>
      </c>
      <c r="E206" s="867">
        <v>4561565094</v>
      </c>
      <c r="F206" s="868" t="s">
        <v>12710</v>
      </c>
      <c r="G206" s="929" t="s">
        <v>2719</v>
      </c>
      <c r="H206" s="867" t="s">
        <v>2719</v>
      </c>
      <c r="I206" s="869" t="s">
        <v>2591</v>
      </c>
      <c r="J206" s="913">
        <v>498</v>
      </c>
      <c r="K206" s="869">
        <v>0</v>
      </c>
      <c r="L206" s="869">
        <v>6</v>
      </c>
      <c r="M206" s="869">
        <f t="shared" si="79"/>
        <v>83</v>
      </c>
      <c r="N206" s="870">
        <v>46097</v>
      </c>
      <c r="O206" s="976">
        <f>N206-4</f>
        <v>46093</v>
      </c>
      <c r="P206" s="977"/>
      <c r="Q206" s="1003"/>
      <c r="R206" s="1003"/>
      <c r="S206" s="1003">
        <f>R206-J206</f>
        <v>-498</v>
      </c>
      <c r="T206" s="1004"/>
      <c r="U206" s="993" t="s">
        <v>321</v>
      </c>
      <c r="V206" s="872"/>
      <c r="W206" s="873" t="s">
        <v>835</v>
      </c>
      <c r="X206" s="873"/>
      <c r="Y206" s="873" t="s">
        <v>5649</v>
      </c>
      <c r="Z206" s="873"/>
      <c r="AA206" s="869"/>
      <c r="AB206" s="872" t="s">
        <v>5650</v>
      </c>
      <c r="AC206" s="869" t="s">
        <v>3262</v>
      </c>
      <c r="AD206" s="869">
        <v>1.2624</v>
      </c>
      <c r="AE206" s="869">
        <f t="shared" si="109"/>
        <v>628.6752</v>
      </c>
      <c r="AF206" s="872"/>
      <c r="AG206" s="872" t="s">
        <v>416</v>
      </c>
      <c r="AH206" s="869"/>
      <c r="AI206" s="869"/>
      <c r="AJ206" s="869">
        <f t="shared" si="110"/>
        <v>498</v>
      </c>
      <c r="AK206" s="867"/>
      <c r="AL206" s="869"/>
      <c r="AM206" s="869"/>
      <c r="AN206" s="869"/>
      <c r="AO206" s="876"/>
      <c r="AP206" s="920">
        <f t="shared" si="111"/>
        <v>498</v>
      </c>
      <c r="AQ206" s="876"/>
      <c r="AR206" s="878"/>
      <c r="AS206" s="876">
        <f t="shared" si="112"/>
        <v>498</v>
      </c>
      <c r="AT206" s="878"/>
      <c r="AU206" s="876"/>
      <c r="AV206" s="876"/>
      <c r="AW206" s="876"/>
      <c r="AX206" s="876"/>
      <c r="AY206" s="876"/>
      <c r="AZ206" s="876"/>
      <c r="BA206" s="876"/>
      <c r="BB206" s="876"/>
      <c r="BC206" s="876"/>
      <c r="BD206" s="876"/>
      <c r="BE206" s="876"/>
      <c r="BF206" s="921" t="s">
        <v>89</v>
      </c>
      <c r="BG206" s="921"/>
      <c r="BH206" s="1005">
        <f>J206/60*6</f>
        <v>49.8</v>
      </c>
      <c r="BI206" s="1005">
        <f>J206/60*4</f>
        <v>33.2</v>
      </c>
      <c r="BJ206" s="1005">
        <f>J206/60*15</f>
        <v>124.5</v>
      </c>
      <c r="BK206" s="1005">
        <f>J206/60*8</f>
        <v>66.4</v>
      </c>
      <c r="BL206" s="1005">
        <f>J206/60*7</f>
        <v>58.1</v>
      </c>
      <c r="BM206" s="1006">
        <f>J206/60*9</f>
        <v>74.7</v>
      </c>
      <c r="BN206" s="1007">
        <f>J206/60*11</f>
        <v>91.3</v>
      </c>
      <c r="BO206" s="1008"/>
      <c r="BP206" s="1008"/>
      <c r="BQ206" s="1008"/>
      <c r="BR206" s="1009"/>
      <c r="BS206" s="1010"/>
      <c r="BT206" s="1010"/>
      <c r="BU206" s="1010"/>
      <c r="BV206" s="1011">
        <f t="shared" si="113"/>
        <v>498</v>
      </c>
      <c r="BW206" s="1012">
        <f t="shared" si="114"/>
        <v>0</v>
      </c>
      <c r="BX206" s="1012"/>
      <c r="BY206" s="1012"/>
      <c r="BZ206" s="1012"/>
      <c r="CA206" s="884"/>
      <c r="CC206" s="885"/>
      <c r="CD206" s="884"/>
    </row>
    <row r="207" s="677" customFormat="1" ht="50" customHeight="1" spans="1:82">
      <c r="A207" s="865">
        <v>46128</v>
      </c>
      <c r="B207" s="866" t="s">
        <v>407</v>
      </c>
      <c r="C207" s="867" t="s">
        <v>91</v>
      </c>
      <c r="D207" s="868">
        <v>4500202279</v>
      </c>
      <c r="E207" s="867">
        <v>60295892</v>
      </c>
      <c r="F207" s="868" t="s">
        <v>12711</v>
      </c>
      <c r="G207" s="867" t="s">
        <v>2627</v>
      </c>
      <c r="H207" s="867" t="s">
        <v>2591</v>
      </c>
      <c r="I207" s="869">
        <v>5016</v>
      </c>
      <c r="J207" s="869">
        <v>0</v>
      </c>
      <c r="K207" s="869">
        <v>24</v>
      </c>
      <c r="L207" s="869">
        <f t="shared" ref="L207:L220" si="115">I207/K207</f>
        <v>209</v>
      </c>
      <c r="M207" s="870">
        <v>46185</v>
      </c>
      <c r="N207" s="976">
        <v>46181</v>
      </c>
      <c r="O207" s="977"/>
      <c r="P207" s="978"/>
      <c r="Q207" s="1003"/>
      <c r="R207" s="1003"/>
      <c r="S207" s="993"/>
      <c r="T207" s="993"/>
      <c r="U207" s="872"/>
      <c r="V207" s="873" t="s">
        <v>2532</v>
      </c>
      <c r="W207" s="873"/>
      <c r="X207" s="873" t="s">
        <v>98</v>
      </c>
      <c r="Y207" s="873" t="s">
        <v>2540</v>
      </c>
      <c r="Z207" s="869"/>
      <c r="AA207" s="872" t="s">
        <v>12712</v>
      </c>
      <c r="AB207" s="869" t="s">
        <v>12713</v>
      </c>
      <c r="AC207" s="1013">
        <v>1.2402</v>
      </c>
      <c r="AD207" s="869">
        <f t="shared" ref="AD207:AD220" si="116">AC207*I207</f>
        <v>6220.8432</v>
      </c>
      <c r="AE207" s="872"/>
      <c r="AF207" s="1014" t="s">
        <v>2627</v>
      </c>
      <c r="AG207" s="872" t="s">
        <v>416</v>
      </c>
      <c r="AH207" s="869"/>
      <c r="AI207" s="867"/>
      <c r="AJ207" s="919">
        <f>I207</f>
        <v>5016</v>
      </c>
      <c r="AK207" s="869"/>
      <c r="AL207" s="869"/>
      <c r="AM207" s="867"/>
      <c r="AN207" s="876"/>
      <c r="AO207" s="876"/>
      <c r="AP207" s="869">
        <f>I207</f>
        <v>5016</v>
      </c>
      <c r="AQ207" s="876"/>
      <c r="AR207" s="980"/>
      <c r="AS207" s="921">
        <f>I207</f>
        <v>5016</v>
      </c>
      <c r="AT207" s="980"/>
      <c r="AU207" s="876"/>
      <c r="AV207" s="876"/>
      <c r="AW207" s="921"/>
      <c r="AX207" s="876"/>
      <c r="AY207" s="876"/>
      <c r="AZ207" s="876"/>
      <c r="BA207" s="876"/>
      <c r="BB207" s="876"/>
      <c r="BC207" s="876"/>
      <c r="BD207" s="876"/>
      <c r="BE207" s="876"/>
      <c r="BF207" s="876" t="s">
        <v>89</v>
      </c>
      <c r="BG207" s="876"/>
      <c r="BH207" s="921">
        <f>I207/60*10</f>
        <v>836</v>
      </c>
      <c r="BI207" s="921">
        <f>I207/60*7</f>
        <v>585.2</v>
      </c>
      <c r="BJ207" s="921">
        <f>I207/60*5</f>
        <v>418</v>
      </c>
      <c r="BK207" s="921">
        <f>I207/60*7</f>
        <v>585.2</v>
      </c>
      <c r="BL207" s="921">
        <f>I207/60*12</f>
        <v>1003.2</v>
      </c>
      <c r="BM207" s="1015">
        <f>I207/60*10</f>
        <v>836</v>
      </c>
      <c r="BN207" s="1016">
        <f>I207/60*9</f>
        <v>752.4</v>
      </c>
      <c r="BO207" s="1017"/>
      <c r="BP207" s="1017"/>
      <c r="BQ207" s="1017"/>
      <c r="BR207" s="1017"/>
      <c r="BS207" s="1017"/>
      <c r="BT207" s="1018"/>
      <c r="BU207" s="1019"/>
      <c r="BV207" s="1011">
        <f t="shared" si="113"/>
        <v>5016</v>
      </c>
      <c r="BW207" s="1011">
        <f>I207-BV207</f>
        <v>0</v>
      </c>
      <c r="BX207" s="1012"/>
      <c r="BY207" s="1012"/>
      <c r="BZ207" s="1012"/>
      <c r="CA207" s="884"/>
      <c r="CC207" s="885"/>
      <c r="CD207" s="884"/>
    </row>
    <row r="208" s="677" customFormat="1" ht="50" customHeight="1" spans="1:82">
      <c r="A208" s="865">
        <v>46119</v>
      </c>
      <c r="B208" s="866" t="s">
        <v>4747</v>
      </c>
      <c r="C208" s="867" t="s">
        <v>91</v>
      </c>
      <c r="D208" s="868" t="s">
        <v>5830</v>
      </c>
      <c r="E208" s="867" t="s">
        <v>12714</v>
      </c>
      <c r="F208" s="868" t="s">
        <v>12715</v>
      </c>
      <c r="G208" s="867" t="s">
        <v>2719</v>
      </c>
      <c r="H208" s="869" t="s">
        <v>2591</v>
      </c>
      <c r="I208" s="913">
        <v>396</v>
      </c>
      <c r="J208" s="869">
        <v>0</v>
      </c>
      <c r="K208" s="869">
        <v>6</v>
      </c>
      <c r="L208" s="869">
        <f t="shared" si="115"/>
        <v>66</v>
      </c>
      <c r="M208" s="870">
        <v>46156</v>
      </c>
      <c r="N208" s="976">
        <v>46153</v>
      </c>
      <c r="O208" s="977"/>
      <c r="P208" s="978"/>
      <c r="Q208" s="1003"/>
      <c r="R208" s="1003">
        <f>Q208-I208</f>
        <v>-396</v>
      </c>
      <c r="S208" s="1020"/>
      <c r="T208" s="993" t="s">
        <v>321</v>
      </c>
      <c r="U208" s="872"/>
      <c r="V208" s="873" t="s">
        <v>5833</v>
      </c>
      <c r="W208" s="873"/>
      <c r="X208" s="873" t="s">
        <v>5796</v>
      </c>
      <c r="Y208" s="873"/>
      <c r="Z208" s="869"/>
      <c r="AA208" s="872" t="s">
        <v>5834</v>
      </c>
      <c r="AB208" s="869" t="s">
        <v>3262</v>
      </c>
      <c r="AC208" s="1013">
        <v>1.2617</v>
      </c>
      <c r="AD208" s="869">
        <f t="shared" si="116"/>
        <v>499.6332</v>
      </c>
      <c r="AE208" s="872"/>
      <c r="AF208" s="867" t="s">
        <v>2719</v>
      </c>
      <c r="AG208" s="872" t="s">
        <v>416</v>
      </c>
      <c r="AH208" s="869"/>
      <c r="AI208" s="867"/>
      <c r="AJ208" s="869">
        <f t="shared" ref="AJ208:AJ213" si="117">I208</f>
        <v>396</v>
      </c>
      <c r="AK208" s="869"/>
      <c r="AL208" s="869"/>
      <c r="AM208" s="867"/>
      <c r="AN208" s="876"/>
      <c r="AO208" s="876"/>
      <c r="AP208" s="869">
        <f t="shared" ref="AP208:AP213" si="118">I208</f>
        <v>396</v>
      </c>
      <c r="AQ208" s="876"/>
      <c r="AR208" s="980"/>
      <c r="AS208" s="876">
        <f t="shared" ref="AS208:AS213" si="119">I208</f>
        <v>396</v>
      </c>
      <c r="AT208" s="980"/>
      <c r="AU208" s="876"/>
      <c r="AV208" s="876"/>
      <c r="AW208" s="881"/>
      <c r="AX208" s="921"/>
      <c r="AY208" s="921"/>
      <c r="AZ208" s="921"/>
      <c r="BA208" s="921"/>
      <c r="BB208" s="921"/>
      <c r="BC208" s="1015"/>
      <c r="BD208" s="1016"/>
      <c r="BE208" s="882"/>
      <c r="BF208" s="921" t="s">
        <v>89</v>
      </c>
      <c r="BG208" s="883"/>
      <c r="BH208" s="921">
        <f t="shared" ref="BH208:BH214" si="120">I208/60*10</f>
        <v>66</v>
      </c>
      <c r="BI208" s="921">
        <f t="shared" ref="BI208:BI214" si="121">I208/60*7</f>
        <v>46.2</v>
      </c>
      <c r="BJ208" s="921">
        <f t="shared" ref="BJ208:BJ214" si="122">I208/60*5</f>
        <v>33</v>
      </c>
      <c r="BK208" s="1021">
        <f t="shared" ref="BK208:BK214" si="123">I208/60*7</f>
        <v>46.2</v>
      </c>
      <c r="BL208" s="1021">
        <f t="shared" ref="BL208:BL214" si="124">I208/60*12</f>
        <v>79.2</v>
      </c>
      <c r="BM208" s="881">
        <f t="shared" ref="BM208:BM214" si="125">I208/60*10</f>
        <v>66</v>
      </c>
      <c r="BN208" s="881">
        <f t="shared" ref="BN208:BN214" si="126">I208/60*9</f>
        <v>59.4</v>
      </c>
      <c r="BO208" s="1022"/>
      <c r="BP208" s="1022"/>
      <c r="BQ208" s="1022"/>
      <c r="BR208" s="1022"/>
      <c r="BS208" s="1022"/>
      <c r="BT208" s="1023"/>
      <c r="BU208" s="1022"/>
      <c r="BV208" s="929">
        <f t="shared" ref="BV208:BV214" si="127">SUM(BH208:BN208)</f>
        <v>396</v>
      </c>
      <c r="BW208" s="929">
        <f t="shared" ref="BW208:BW219" si="128">I208-BV208</f>
        <v>0</v>
      </c>
      <c r="BX208" s="929"/>
      <c r="BY208" s="929"/>
      <c r="BZ208" s="929"/>
      <c r="CA208" s="884"/>
      <c r="CC208" s="885"/>
      <c r="CD208" s="884"/>
    </row>
    <row r="209" s="678" customFormat="1" ht="50" customHeight="1" spans="1:82 16310:16384">
      <c r="A209" s="886">
        <v>46136</v>
      </c>
      <c r="B209" s="887" t="s">
        <v>12716</v>
      </c>
      <c r="C209" s="887" t="s">
        <v>2698</v>
      </c>
      <c r="D209" s="888" t="s">
        <v>5886</v>
      </c>
      <c r="E209" s="888" t="s">
        <v>12717</v>
      </c>
      <c r="F209" s="888" t="s">
        <v>12718</v>
      </c>
      <c r="G209" s="1024" t="s">
        <v>6108</v>
      </c>
      <c r="H209" s="888" t="s">
        <v>6063</v>
      </c>
      <c r="I209" s="888">
        <v>15000</v>
      </c>
      <c r="J209" s="888">
        <v>0</v>
      </c>
      <c r="K209" s="888">
        <v>12</v>
      </c>
      <c r="L209" s="958">
        <f t="shared" si="115"/>
        <v>1250</v>
      </c>
      <c r="M209" s="890">
        <v>46178</v>
      </c>
      <c r="N209" s="890">
        <v>46174</v>
      </c>
      <c r="O209" s="867"/>
      <c r="P209" s="889"/>
      <c r="Q209" s="1020"/>
      <c r="R209" s="1003"/>
      <c r="S209" s="1025"/>
      <c r="T209" s="1020"/>
      <c r="U209" s="1026"/>
      <c r="V209" s="1027" t="s">
        <v>2532</v>
      </c>
      <c r="W209" s="1028"/>
      <c r="X209" s="1027" t="s">
        <v>7844</v>
      </c>
      <c r="Y209" s="1029"/>
      <c r="Z209" s="1030"/>
      <c r="AA209" s="1031" t="s">
        <v>12719</v>
      </c>
      <c r="AB209" s="1032" t="s">
        <v>448</v>
      </c>
      <c r="AC209" s="1031">
        <v>2.2081</v>
      </c>
      <c r="AD209" s="1030">
        <f t="shared" si="116"/>
        <v>33121.5</v>
      </c>
      <c r="AE209" s="1024"/>
      <c r="AF209" s="1024"/>
      <c r="AG209" s="1024"/>
      <c r="AH209" s="1033"/>
      <c r="AI209" s="1024"/>
      <c r="AJ209" s="1030"/>
      <c r="AK209" s="1034"/>
      <c r="AL209" s="1035">
        <f>I209</f>
        <v>15000</v>
      </c>
      <c r="AM209" s="1034"/>
      <c r="AN209" s="1036"/>
      <c r="AO209" s="1035"/>
      <c r="AP209" s="1036"/>
      <c r="AQ209" s="1035">
        <f>I209</f>
        <v>15000</v>
      </c>
      <c r="AR209" s="1036"/>
      <c r="AS209" s="1035"/>
      <c r="AT209" s="1036"/>
      <c r="AU209" s="1035"/>
      <c r="AV209" s="1035">
        <f>I209</f>
        <v>15000</v>
      </c>
      <c r="AW209" s="1035"/>
      <c r="AX209" s="1035">
        <f>I209/6</f>
        <v>2500</v>
      </c>
      <c r="AY209" s="1035"/>
      <c r="AZ209" s="1035"/>
      <c r="BA209" s="1035"/>
      <c r="BB209" s="1035"/>
      <c r="BC209" s="1035"/>
      <c r="BD209" s="1036"/>
      <c r="BE209" s="1035"/>
      <c r="BF209" s="1035"/>
      <c r="BG209" s="1035"/>
      <c r="BH209" s="1035"/>
      <c r="BI209" s="1035" t="s">
        <v>89</v>
      </c>
      <c r="BJ209" s="1035">
        <f>I209/60*9</f>
        <v>2250</v>
      </c>
      <c r="BK209" s="1035">
        <f>I209/60*2</f>
        <v>500</v>
      </c>
      <c r="BL209" s="1035">
        <f>I209/60*5</f>
        <v>1250</v>
      </c>
      <c r="BM209" s="1037">
        <f>I209/60*9</f>
        <v>2250</v>
      </c>
      <c r="BN209" s="1038">
        <f>I209/60*12</f>
        <v>3000</v>
      </c>
      <c r="BO209" s="1039">
        <f>I209/60*15</f>
        <v>3750</v>
      </c>
      <c r="BP209" s="898">
        <f>I209/60*8</f>
        <v>2000</v>
      </c>
      <c r="BQ209" s="975">
        <f>SUM(BJ209:BP209)</f>
        <v>15000</v>
      </c>
      <c r="BR209" s="898">
        <f>I209-BQ209</f>
        <v>0</v>
      </c>
    </row>
    <row r="210" s="677" customFormat="1" ht="50" customHeight="1" spans="1:82 16310:16384">
      <c r="A210" s="865">
        <v>46141</v>
      </c>
      <c r="B210" s="866" t="s">
        <v>7996</v>
      </c>
      <c r="C210" s="867" t="s">
        <v>453</v>
      </c>
      <c r="D210" s="868" t="s">
        <v>12720</v>
      </c>
      <c r="E210" s="867" t="s">
        <v>2434</v>
      </c>
      <c r="F210" s="868" t="s">
        <v>12721</v>
      </c>
      <c r="G210" s="867" t="s">
        <v>2577</v>
      </c>
      <c r="H210" s="867" t="s">
        <v>2591</v>
      </c>
      <c r="I210" s="869">
        <v>7368</v>
      </c>
      <c r="J210" s="869">
        <v>0</v>
      </c>
      <c r="K210" s="869">
        <v>12</v>
      </c>
      <c r="L210" s="869">
        <f t="shared" si="115"/>
        <v>614</v>
      </c>
      <c r="M210" s="870">
        <v>46188</v>
      </c>
      <c r="N210" s="976">
        <v>46184</v>
      </c>
      <c r="O210" s="977"/>
      <c r="P210" s="978"/>
      <c r="Q210" s="1003"/>
      <c r="R210" s="1003"/>
      <c r="S210" s="993"/>
      <c r="T210" s="993"/>
      <c r="U210" s="872"/>
      <c r="V210" s="873" t="s">
        <v>2532</v>
      </c>
      <c r="W210" s="873"/>
      <c r="X210" s="873" t="s">
        <v>12722</v>
      </c>
      <c r="Y210" s="873"/>
      <c r="Z210" s="869"/>
      <c r="AA210" s="872" t="s">
        <v>12723</v>
      </c>
      <c r="AB210" s="869" t="s">
        <v>459</v>
      </c>
      <c r="AC210" s="1013">
        <v>2.1667</v>
      </c>
      <c r="AD210" s="869">
        <f t="shared" si="116"/>
        <v>15964.2456</v>
      </c>
      <c r="AE210" s="872"/>
      <c r="AF210" s="1014" t="s">
        <v>2604</v>
      </c>
      <c r="AG210" s="872" t="s">
        <v>416</v>
      </c>
      <c r="AH210" s="869"/>
      <c r="AI210" s="867"/>
      <c r="AJ210" s="919"/>
      <c r="AK210" s="869"/>
      <c r="AL210" s="869"/>
      <c r="AM210" s="867">
        <f>I210</f>
        <v>7368</v>
      </c>
      <c r="AN210" s="876"/>
      <c r="AO210" s="876"/>
      <c r="AP210" s="869">
        <f t="shared" si="118"/>
        <v>7368</v>
      </c>
      <c r="AQ210" s="876"/>
      <c r="AR210" s="980"/>
      <c r="AS210" s="921">
        <f t="shared" si="119"/>
        <v>7368</v>
      </c>
      <c r="AT210" s="980"/>
      <c r="AU210" s="876"/>
      <c r="AV210" s="876"/>
      <c r="AW210" s="921">
        <f>I210/6</f>
        <v>1228</v>
      </c>
      <c r="AX210" s="876"/>
      <c r="AY210" s="876"/>
      <c r="AZ210" s="876"/>
      <c r="BA210" s="876"/>
      <c r="BB210" s="876"/>
      <c r="BC210" s="876"/>
      <c r="BD210" s="876"/>
      <c r="BE210" s="876"/>
      <c r="BF210" s="876" t="s">
        <v>89</v>
      </c>
      <c r="BG210" s="876"/>
      <c r="BH210" s="921">
        <f t="shared" si="120"/>
        <v>1228</v>
      </c>
      <c r="BI210" s="921">
        <f t="shared" si="121"/>
        <v>859.6</v>
      </c>
      <c r="BJ210" s="921">
        <f t="shared" si="122"/>
        <v>614</v>
      </c>
      <c r="BK210" s="921">
        <f t="shared" si="123"/>
        <v>859.6</v>
      </c>
      <c r="BL210" s="921">
        <f t="shared" si="124"/>
        <v>1473.6</v>
      </c>
      <c r="BM210" s="1015">
        <f t="shared" si="125"/>
        <v>1228</v>
      </c>
      <c r="BN210" s="1016">
        <f t="shared" si="126"/>
        <v>1105.2</v>
      </c>
      <c r="BO210" s="1040"/>
      <c r="BP210" s="1040"/>
      <c r="BQ210" s="1040"/>
      <c r="BR210" s="1040"/>
      <c r="BS210" s="1040"/>
      <c r="BT210" s="1041"/>
      <c r="BU210" s="1042"/>
      <c r="BV210" s="929">
        <f t="shared" si="127"/>
        <v>7368</v>
      </c>
      <c r="BW210" s="929">
        <f t="shared" si="128"/>
        <v>0</v>
      </c>
      <c r="BX210" s="929"/>
      <c r="BY210" s="929"/>
      <c r="BZ210" s="929"/>
      <c r="CA210" s="884"/>
      <c r="CB210" s="677"/>
      <c r="CC210" s="885"/>
      <c r="CD210" s="884"/>
    </row>
    <row r="211" s="678" customFormat="1" ht="50" customHeight="1" spans="1:82 16310:16384">
      <c r="A211" s="886">
        <v>46141</v>
      </c>
      <c r="B211" s="887" t="s">
        <v>12724</v>
      </c>
      <c r="C211" s="887" t="s">
        <v>2723</v>
      </c>
      <c r="D211" s="888" t="s">
        <v>12725</v>
      </c>
      <c r="E211" s="888" t="s">
        <v>12726</v>
      </c>
      <c r="F211" s="1043" t="s">
        <v>12727</v>
      </c>
      <c r="G211" s="1044" t="s">
        <v>12728</v>
      </c>
      <c r="H211" s="888" t="s">
        <v>6063</v>
      </c>
      <c r="I211" s="888">
        <v>360</v>
      </c>
      <c r="J211" s="888">
        <v>0</v>
      </c>
      <c r="K211" s="888">
        <v>12</v>
      </c>
      <c r="L211" s="958">
        <f t="shared" si="115"/>
        <v>30</v>
      </c>
      <c r="M211" s="890">
        <v>46185</v>
      </c>
      <c r="N211" s="890">
        <v>46181</v>
      </c>
      <c r="O211" s="867"/>
      <c r="P211" s="889"/>
      <c r="Q211" s="1020"/>
      <c r="R211" s="1003">
        <f>Q211-I211</f>
        <v>-360</v>
      </c>
      <c r="S211" s="1025"/>
      <c r="T211" s="1020"/>
      <c r="U211" s="872"/>
      <c r="V211" s="873" t="s">
        <v>3695</v>
      </c>
      <c r="W211" s="1045"/>
      <c r="X211" s="873" t="s">
        <v>98</v>
      </c>
      <c r="Y211" s="970"/>
      <c r="Z211" s="888"/>
      <c r="AA211" s="895" t="s">
        <v>12729</v>
      </c>
      <c r="AB211" s="1046" t="s">
        <v>559</v>
      </c>
      <c r="AC211" s="895">
        <v>2.3133</v>
      </c>
      <c r="AD211" s="888">
        <f t="shared" si="116"/>
        <v>832.788</v>
      </c>
      <c r="AE211" s="889"/>
      <c r="AF211" s="889" t="s">
        <v>6126</v>
      </c>
      <c r="AG211" s="889" t="s">
        <v>416</v>
      </c>
      <c r="AH211" s="971"/>
      <c r="AI211" s="889"/>
      <c r="AJ211" s="888"/>
      <c r="AK211" s="958"/>
      <c r="AL211" s="896"/>
      <c r="AM211" s="958"/>
      <c r="AN211" s="972">
        <f>I211</f>
        <v>360</v>
      </c>
      <c r="AO211" s="896"/>
      <c r="AP211" s="972"/>
      <c r="AQ211" s="896">
        <f>I211</f>
        <v>360</v>
      </c>
      <c r="AR211" s="972"/>
      <c r="AS211" s="896"/>
      <c r="AT211" s="972">
        <f>I211</f>
        <v>360</v>
      </c>
      <c r="AU211" s="896"/>
      <c r="AV211" s="896"/>
      <c r="AW211" s="896"/>
      <c r="AX211" s="896">
        <f>I211/6</f>
        <v>60</v>
      </c>
      <c r="AY211" s="896"/>
      <c r="AZ211" s="896"/>
      <c r="BA211" s="896"/>
      <c r="BB211" s="896"/>
      <c r="BC211" s="896"/>
      <c r="BD211" s="972"/>
      <c r="BE211" s="896"/>
      <c r="BF211" s="896"/>
      <c r="BG211" s="896"/>
      <c r="BH211" s="896"/>
      <c r="BI211" s="896" t="s">
        <v>89</v>
      </c>
      <c r="BJ211" s="896">
        <f>I211/60*9</f>
        <v>54</v>
      </c>
      <c r="BK211" s="896">
        <f>I211/60*2</f>
        <v>12</v>
      </c>
      <c r="BL211" s="896">
        <f>I211/60*5</f>
        <v>30</v>
      </c>
      <c r="BM211" s="897">
        <f>I211/60*9</f>
        <v>54</v>
      </c>
      <c r="BN211" s="898">
        <f>I211/60*12</f>
        <v>72</v>
      </c>
      <c r="BO211" s="1039">
        <f>I211/60*15</f>
        <v>90</v>
      </c>
      <c r="BP211" s="898">
        <f>I211/60*8</f>
        <v>48</v>
      </c>
      <c r="BQ211" s="975">
        <f>SUM(BJ211:BP211)</f>
        <v>360</v>
      </c>
      <c r="BR211" s="898">
        <v>0</v>
      </c>
    </row>
    <row r="212" s="677" customFormat="1" ht="50" customHeight="1" spans="1:82 16310:16384">
      <c r="A212" s="865">
        <v>46105</v>
      </c>
      <c r="B212" s="866" t="s">
        <v>4747</v>
      </c>
      <c r="C212" s="867" t="s">
        <v>91</v>
      </c>
      <c r="D212" s="868">
        <v>4500198191</v>
      </c>
      <c r="E212" s="867">
        <v>4563091238</v>
      </c>
      <c r="F212" s="868" t="s">
        <v>12730</v>
      </c>
      <c r="G212" s="867" t="s">
        <v>2719</v>
      </c>
      <c r="H212" s="869" t="s">
        <v>2591</v>
      </c>
      <c r="I212" s="913">
        <v>396</v>
      </c>
      <c r="J212" s="869">
        <v>0</v>
      </c>
      <c r="K212" s="869">
        <v>6</v>
      </c>
      <c r="L212" s="869">
        <f t="shared" si="115"/>
        <v>66</v>
      </c>
      <c r="M212" s="870">
        <v>46150</v>
      </c>
      <c r="N212" s="976">
        <v>46146</v>
      </c>
      <c r="O212" s="977"/>
      <c r="P212" s="871" t="s">
        <v>82</v>
      </c>
      <c r="Q212" s="1003">
        <v>396</v>
      </c>
      <c r="R212" s="1003">
        <f>Q212-I212</f>
        <v>0</v>
      </c>
      <c r="S212" s="1047"/>
      <c r="T212" s="993" t="s">
        <v>321</v>
      </c>
      <c r="U212" s="872"/>
      <c r="V212" s="873" t="s">
        <v>1147</v>
      </c>
      <c r="W212" s="873"/>
      <c r="X212" s="873" t="s">
        <v>5796</v>
      </c>
      <c r="Y212" s="873"/>
      <c r="Z212" s="869"/>
      <c r="AA212" s="872" t="s">
        <v>5797</v>
      </c>
      <c r="AB212" s="869" t="s">
        <v>3262</v>
      </c>
      <c r="AC212" s="1013">
        <v>1.2617</v>
      </c>
      <c r="AD212" s="869">
        <f t="shared" si="116"/>
        <v>499.6332</v>
      </c>
      <c r="AE212" s="872"/>
      <c r="AF212" s="867" t="s">
        <v>2719</v>
      </c>
      <c r="AG212" s="872" t="s">
        <v>416</v>
      </c>
      <c r="AH212" s="869"/>
      <c r="AI212" s="867"/>
      <c r="AJ212" s="919">
        <f t="shared" si="117"/>
        <v>396</v>
      </c>
      <c r="AK212" s="869"/>
      <c r="AL212" s="869"/>
      <c r="AM212" s="867"/>
      <c r="AN212" s="876"/>
      <c r="AO212" s="876"/>
      <c r="AP212" s="869">
        <f t="shared" si="118"/>
        <v>396</v>
      </c>
      <c r="AQ212" s="876"/>
      <c r="AR212" s="1048"/>
      <c r="AS212" s="921">
        <f t="shared" si="119"/>
        <v>396</v>
      </c>
      <c r="AT212" s="1048"/>
      <c r="AU212" s="876"/>
      <c r="AV212" s="876"/>
      <c r="AW212" s="921"/>
      <c r="AX212" s="876"/>
      <c r="AY212" s="876"/>
      <c r="AZ212" s="876"/>
      <c r="BA212" s="876"/>
      <c r="BB212" s="876"/>
      <c r="BC212" s="876"/>
      <c r="BD212" s="876"/>
      <c r="BE212" s="876"/>
      <c r="BF212" s="876" t="s">
        <v>89</v>
      </c>
      <c r="BG212" s="881"/>
      <c r="BH212" s="921">
        <f t="shared" si="120"/>
        <v>66</v>
      </c>
      <c r="BI212" s="921">
        <f t="shared" si="121"/>
        <v>46.2</v>
      </c>
      <c r="BJ212" s="921">
        <f t="shared" si="122"/>
        <v>33</v>
      </c>
      <c r="BK212" s="921">
        <f t="shared" si="123"/>
        <v>46.2</v>
      </c>
      <c r="BL212" s="921">
        <f t="shared" si="124"/>
        <v>79.2</v>
      </c>
      <c r="BM212" s="1015">
        <f t="shared" si="125"/>
        <v>66</v>
      </c>
      <c r="BN212" s="1016">
        <f t="shared" si="126"/>
        <v>59.4</v>
      </c>
      <c r="BO212" s="1049"/>
      <c r="BP212" s="1049"/>
      <c r="BQ212" s="1049"/>
      <c r="BR212" s="1050"/>
      <c r="BS212" s="1051"/>
      <c r="BT212" s="1051"/>
      <c r="BU212" s="1051"/>
      <c r="BV212" s="881">
        <f t="shared" si="127"/>
        <v>396</v>
      </c>
      <c r="BW212" s="882">
        <f t="shared" si="128"/>
        <v>0</v>
      </c>
      <c r="BX212" s="883"/>
      <c r="BY212" s="883"/>
      <c r="BZ212" s="883"/>
      <c r="CA212" s="884"/>
      <c r="CB212" s="677"/>
      <c r="CC212" s="885"/>
      <c r="CD212" s="884"/>
      <c r="CE212" s="677"/>
      <c r="XCZ212" s="1052"/>
      <c r="XDA212" s="1052"/>
      <c r="XDB212" s="1052"/>
      <c r="XDC212" s="1052"/>
      <c r="XDD212" s="1052"/>
      <c r="XDE212" s="1052"/>
      <c r="XDF212" s="1052"/>
      <c r="XDG212" s="1052"/>
      <c r="XDH212" s="1052"/>
      <c r="XDI212" s="1052"/>
      <c r="XDJ212" s="1052"/>
      <c r="XDK212" s="1052"/>
      <c r="XDL212" s="1052"/>
      <c r="XDM212" s="1052"/>
      <c r="XDN212" s="1052"/>
      <c r="XDO212" s="1052"/>
      <c r="XDP212" s="1052"/>
      <c r="XDQ212" s="1052"/>
      <c r="XDR212" s="1052"/>
      <c r="XDS212" s="1052"/>
      <c r="XDT212" s="1052"/>
      <c r="XDU212" s="1052"/>
      <c r="XDV212" s="1052"/>
      <c r="XDW212" s="1052"/>
      <c r="XDX212" s="1052"/>
      <c r="XDY212" s="1052"/>
      <c r="XDZ212" s="1052"/>
      <c r="XEA212" s="1052"/>
      <c r="XEB212" s="1052"/>
      <c r="XEC212" s="1052"/>
      <c r="XED212" s="1052"/>
      <c r="XEE212" s="1052"/>
      <c r="XEF212" s="1052"/>
      <c r="XEG212" s="1052"/>
      <c r="XEH212" s="1052"/>
      <c r="XEI212" s="1052"/>
      <c r="XEJ212" s="1052"/>
      <c r="XEK212" s="1052"/>
      <c r="XEL212" s="1052"/>
      <c r="XEM212" s="1052"/>
      <c r="XEN212" s="1052"/>
      <c r="XEO212" s="1052"/>
      <c r="XEP212" s="1052"/>
      <c r="XEQ212" s="1052"/>
      <c r="XER212" s="1052"/>
      <c r="XES212" s="1052"/>
      <c r="XET212" s="1052"/>
      <c r="XEU212" s="1052"/>
      <c r="XEV212" s="1052"/>
      <c r="XEW212" s="1052"/>
      <c r="XEX212" s="1052"/>
      <c r="XEY212" s="1052"/>
      <c r="XEZ212" s="1052"/>
      <c r="XFA212" s="1052"/>
      <c r="XFB212" s="1052"/>
      <c r="XFC212" s="1052"/>
      <c r="XFD212" s="1052"/>
    </row>
    <row r="213" s="681" customFormat="1" ht="50" customHeight="1" spans="1:82 16310:16384">
      <c r="A213" s="1053">
        <v>46168</v>
      </c>
      <c r="B213" s="1054" t="s">
        <v>12731</v>
      </c>
      <c r="C213" s="1055" t="s">
        <v>91</v>
      </c>
      <c r="D213" s="1056" t="s">
        <v>12732</v>
      </c>
      <c r="E213" s="1055" t="s">
        <v>12733</v>
      </c>
      <c r="F213" s="1056" t="s">
        <v>12734</v>
      </c>
      <c r="G213" s="1055" t="s">
        <v>2577</v>
      </c>
      <c r="H213" s="1055" t="s">
        <v>2620</v>
      </c>
      <c r="I213" s="1057">
        <v>600</v>
      </c>
      <c r="J213" s="1057">
        <v>0</v>
      </c>
      <c r="K213" s="1057">
        <v>12</v>
      </c>
      <c r="L213" s="1057">
        <f t="shared" si="115"/>
        <v>50</v>
      </c>
      <c r="M213" s="1058">
        <v>46210</v>
      </c>
      <c r="N213" s="1059">
        <v>46206</v>
      </c>
      <c r="O213" s="1060"/>
      <c r="P213" s="1061"/>
      <c r="Q213" s="1062"/>
      <c r="R213" s="1063"/>
      <c r="S213" s="1064"/>
      <c r="T213" s="1064"/>
      <c r="U213" s="1065"/>
      <c r="V213" s="1027" t="s">
        <v>2532</v>
      </c>
      <c r="W213" s="1066"/>
      <c r="X213" s="1066" t="s">
        <v>98</v>
      </c>
      <c r="Y213" s="1066" t="s">
        <v>12735</v>
      </c>
      <c r="Z213" s="1057"/>
      <c r="AA213" s="1065" t="s">
        <v>12736</v>
      </c>
      <c r="AB213" s="1057" t="s">
        <v>405</v>
      </c>
      <c r="AC213" s="1067">
        <v>1.3197</v>
      </c>
      <c r="AD213" s="1057">
        <f t="shared" si="116"/>
        <v>791.82</v>
      </c>
      <c r="AE213" s="1065"/>
      <c r="AF213" s="1068"/>
      <c r="AG213" s="1065"/>
      <c r="AH213" s="1057"/>
      <c r="AI213" s="1055"/>
      <c r="AJ213" s="1069">
        <f t="shared" si="117"/>
        <v>600</v>
      </c>
      <c r="AK213" s="1057"/>
      <c r="AL213" s="1057"/>
      <c r="AM213" s="918"/>
      <c r="AN213" s="1070"/>
      <c r="AO213" s="1070"/>
      <c r="AP213" s="1071">
        <f t="shared" si="118"/>
        <v>600</v>
      </c>
      <c r="AQ213" s="1070"/>
      <c r="AR213" s="1072"/>
      <c r="AS213" s="1070">
        <f t="shared" si="119"/>
        <v>600</v>
      </c>
      <c r="AT213" s="1073"/>
      <c r="AU213" s="1070"/>
      <c r="AV213" s="1070"/>
      <c r="AW213" s="1070">
        <f>I213/6</f>
        <v>100</v>
      </c>
      <c r="AX213" s="1070"/>
      <c r="AY213" s="1070"/>
      <c r="AZ213" s="1070"/>
      <c r="BA213" s="1070"/>
      <c r="BB213" s="1070"/>
      <c r="BC213" s="1074"/>
      <c r="BD213" s="1074"/>
      <c r="BE213" s="1074"/>
      <c r="BF213" s="1074" t="s">
        <v>89</v>
      </c>
      <c r="BG213" s="1075"/>
      <c r="BH213" s="1076">
        <f t="shared" si="120"/>
        <v>100</v>
      </c>
      <c r="BI213" s="1077">
        <f t="shared" si="121"/>
        <v>70</v>
      </c>
      <c r="BJ213" s="1077">
        <f t="shared" si="122"/>
        <v>50</v>
      </c>
      <c r="BK213" s="1078">
        <f t="shared" si="123"/>
        <v>70</v>
      </c>
      <c r="BL213" s="1078">
        <f t="shared" si="124"/>
        <v>120</v>
      </c>
      <c r="BM213" s="1078">
        <f t="shared" si="125"/>
        <v>100</v>
      </c>
      <c r="BN213" s="1078">
        <f t="shared" si="126"/>
        <v>90</v>
      </c>
      <c r="BO213" s="979"/>
      <c r="BP213" s="979"/>
      <c r="BQ213" s="979"/>
      <c r="BR213" s="982"/>
      <c r="BS213" s="980"/>
      <c r="BT213" s="980"/>
      <c r="BU213" s="980"/>
      <c r="BV213" s="1078">
        <f t="shared" si="127"/>
        <v>600</v>
      </c>
      <c r="BW213" s="1078">
        <f t="shared" si="128"/>
        <v>0</v>
      </c>
      <c r="BX213" s="1079"/>
      <c r="BY213" s="1080"/>
      <c r="BZ213" s="1080"/>
      <c r="CA213" s="1081"/>
      <c r="CB213" s="681"/>
      <c r="CC213" s="1082"/>
      <c r="CD213" s="1081"/>
      <c r="CE213" s="681"/>
      <c r="XCH213" s="1083"/>
      <c r="XCI213" s="1083"/>
      <c r="XCJ213" s="1083"/>
      <c r="XCK213" s="1083"/>
      <c r="XCL213" s="1083"/>
      <c r="XCM213" s="1083"/>
      <c r="XCN213" s="1083"/>
      <c r="XCO213" s="1083"/>
      <c r="XCP213" s="1083"/>
      <c r="XCQ213" s="1083"/>
      <c r="XCR213" s="1083"/>
      <c r="XCS213" s="1083"/>
      <c r="XCT213" s="1083"/>
      <c r="XCU213" s="1083"/>
      <c r="XCV213" s="1083"/>
      <c r="XCW213" s="1083"/>
      <c r="XCX213" s="1083"/>
      <c r="XCY213" s="1083"/>
      <c r="XCZ213" s="1083"/>
      <c r="XDA213" s="1083"/>
      <c r="XDB213" s="1083"/>
      <c r="XDC213" s="1083"/>
      <c r="XDD213" s="1083"/>
      <c r="XDE213" s="1083"/>
      <c r="XDF213" s="1083"/>
      <c r="XDG213" s="1083"/>
      <c r="XDH213" s="1083"/>
      <c r="XDI213" s="1083"/>
      <c r="XDJ213" s="1083"/>
      <c r="XDK213" s="1083"/>
      <c r="XDL213" s="1083"/>
      <c r="XDM213" s="1083"/>
      <c r="XDN213" s="1083"/>
      <c r="XDO213" s="1083"/>
      <c r="XDP213" s="1083"/>
      <c r="XDQ213" s="1083"/>
      <c r="XDR213" s="1083"/>
      <c r="XDS213" s="1083"/>
      <c r="XDT213" s="1083"/>
      <c r="XDU213" s="1083"/>
      <c r="XDV213" s="1083"/>
      <c r="XDW213" s="1083"/>
      <c r="XDX213" s="1083"/>
      <c r="XDY213" s="1083"/>
      <c r="XDZ213" s="1083"/>
      <c r="XEA213" s="1083"/>
      <c r="XEB213" s="1083"/>
      <c r="XEC213" s="1083"/>
      <c r="XED213" s="1053"/>
      <c r="XEE213" s="1054"/>
      <c r="XEF213" s="1055"/>
      <c r="XEG213" s="1056"/>
      <c r="XEH213" s="1055"/>
      <c r="XEI213" s="1056"/>
      <c r="XEJ213" s="1055"/>
      <c r="XEK213" s="1055"/>
      <c r="XEL213" s="1057"/>
      <c r="XEM213" s="1053"/>
      <c r="XEN213" s="1054"/>
      <c r="XEO213" s="1055"/>
      <c r="XEP213" s="1056"/>
      <c r="XEQ213" s="1055"/>
      <c r="XER213" s="1056"/>
      <c r="XES213" s="1055"/>
      <c r="XET213" s="1055"/>
      <c r="XEU213" s="1057"/>
      <c r="XEV213" s="1053"/>
      <c r="XEW213" s="1054"/>
      <c r="XEX213" s="1055"/>
      <c r="XEY213" s="1056"/>
      <c r="XEZ213" s="1055"/>
      <c r="XFA213" s="1056"/>
      <c r="XFB213" s="1055"/>
      <c r="XFC213" s="1055"/>
      <c r="XFD213" s="1057"/>
    </row>
    <row r="214" s="682" customFormat="1" ht="50" customHeight="1" spans="1:82 16310:16384">
      <c r="A214" s="865">
        <v>46191</v>
      </c>
      <c r="B214" s="866" t="s">
        <v>2005</v>
      </c>
      <c r="C214" s="867" t="s">
        <v>673</v>
      </c>
      <c r="D214" s="868" t="s">
        <v>12737</v>
      </c>
      <c r="E214" s="867" t="s">
        <v>12738</v>
      </c>
      <c r="F214" s="868" t="s">
        <v>12739</v>
      </c>
      <c r="G214" s="867" t="s">
        <v>2590</v>
      </c>
      <c r="H214" s="867" t="s">
        <v>2591</v>
      </c>
      <c r="I214" s="869">
        <v>2400</v>
      </c>
      <c r="J214" s="869">
        <v>0</v>
      </c>
      <c r="K214" s="869">
        <v>6</v>
      </c>
      <c r="L214" s="869">
        <f t="shared" si="115"/>
        <v>400</v>
      </c>
      <c r="M214" s="870">
        <v>46226</v>
      </c>
      <c r="N214" s="976">
        <v>46223</v>
      </c>
      <c r="O214" s="977"/>
      <c r="P214" s="978"/>
      <c r="Q214" s="1003"/>
      <c r="R214" s="1003"/>
      <c r="S214" s="993"/>
      <c r="T214" s="993"/>
      <c r="U214" s="872"/>
      <c r="V214" s="1084" t="s">
        <v>12740</v>
      </c>
      <c r="W214" s="873"/>
      <c r="X214" s="1084" t="s">
        <v>12741</v>
      </c>
      <c r="Y214" s="873"/>
      <c r="Z214" s="869"/>
      <c r="AA214" s="872" t="s">
        <v>12742</v>
      </c>
      <c r="AB214" s="869" t="s">
        <v>993</v>
      </c>
      <c r="AC214" s="1013">
        <v>2.1007</v>
      </c>
      <c r="AD214" s="869">
        <f t="shared" si="116"/>
        <v>5041.68</v>
      </c>
      <c r="AE214" s="872"/>
      <c r="AF214" s="1014"/>
      <c r="AG214" s="872"/>
      <c r="AH214" s="869">
        <f>I214</f>
        <v>2400</v>
      </c>
      <c r="AI214" s="867"/>
      <c r="AJ214" s="919"/>
      <c r="AK214" s="869"/>
      <c r="AL214" s="869">
        <f>I214</f>
        <v>2400</v>
      </c>
      <c r="AM214" s="867">
        <f>I214</f>
        <v>2400</v>
      </c>
      <c r="AN214" s="876"/>
      <c r="AO214" s="876">
        <f>I214/6</f>
        <v>400</v>
      </c>
      <c r="AP214" s="869"/>
      <c r="AQ214" s="876"/>
      <c r="AR214" s="921"/>
      <c r="AS214" s="876"/>
      <c r="AT214" s="876"/>
      <c r="AU214" s="921"/>
      <c r="AV214" s="876"/>
      <c r="AW214" s="896" t="s">
        <v>89</v>
      </c>
      <c r="AX214" s="876">
        <f>I214/60*10</f>
        <v>400</v>
      </c>
      <c r="AY214" s="876">
        <f>I214/60*10</f>
        <v>400</v>
      </c>
      <c r="AZ214" s="876">
        <f>I214/60*10</f>
        <v>400</v>
      </c>
      <c r="BA214" s="876">
        <f>I214/60*10</f>
        <v>400</v>
      </c>
      <c r="BB214" s="876">
        <f>I214/60*10</f>
        <v>400</v>
      </c>
      <c r="BC214" s="876">
        <f>I214/60*8</f>
        <v>320</v>
      </c>
      <c r="BD214" s="876">
        <f>I214/60*2</f>
        <v>80</v>
      </c>
      <c r="BE214" s="1085">
        <f>I214</f>
        <v>2400</v>
      </c>
      <c r="BF214" s="1086">
        <f>I214-BE214</f>
        <v>0</v>
      </c>
      <c r="BG214" s="1087"/>
      <c r="BH214" s="1088">
        <f t="shared" si="120"/>
        <v>400</v>
      </c>
      <c r="BI214" s="1089">
        <f t="shared" si="121"/>
        <v>280</v>
      </c>
      <c r="BJ214" s="1089">
        <f t="shared" si="122"/>
        <v>200</v>
      </c>
      <c r="BK214" s="1090">
        <f t="shared" si="123"/>
        <v>280</v>
      </c>
      <c r="BL214" s="1090">
        <f t="shared" si="124"/>
        <v>480</v>
      </c>
      <c r="BM214" s="1091">
        <f t="shared" si="125"/>
        <v>400</v>
      </c>
      <c r="BN214" s="1092">
        <f t="shared" si="126"/>
        <v>360</v>
      </c>
      <c r="BO214" s="1091"/>
      <c r="BP214" s="1091"/>
      <c r="BQ214" s="1091"/>
      <c r="BR214" s="1091"/>
      <c r="BS214" s="1093"/>
      <c r="BT214" s="1094"/>
      <c r="BU214" s="1091"/>
      <c r="BV214" s="1091">
        <f t="shared" si="127"/>
        <v>2400</v>
      </c>
      <c r="BW214" s="1091">
        <f t="shared" si="128"/>
        <v>0</v>
      </c>
      <c r="BX214" s="1095"/>
      <c r="BY214" s="1096"/>
      <c r="BZ214" s="1096"/>
      <c r="CA214" s="1097"/>
      <c r="CC214" s="1098"/>
      <c r="CD214" s="1097"/>
      <c r="XCZ214" s="1099"/>
      <c r="XDA214" s="1099"/>
      <c r="XDB214" s="1099"/>
      <c r="XDC214" s="1099"/>
      <c r="XDD214" s="1099"/>
      <c r="XDE214" s="1099"/>
      <c r="XDF214" s="1099"/>
      <c r="XDG214" s="1099"/>
      <c r="XDH214" s="1099"/>
      <c r="XDI214" s="1099"/>
      <c r="XDJ214" s="1099"/>
      <c r="XDK214" s="1099"/>
      <c r="XDL214" s="1099"/>
      <c r="XDM214" s="1099"/>
      <c r="XDN214" s="1099"/>
      <c r="XDO214" s="1099"/>
      <c r="XDP214" s="1099"/>
      <c r="XDQ214" s="1099"/>
      <c r="XDR214" s="1099"/>
      <c r="XDS214" s="1099"/>
      <c r="XDT214" s="1099"/>
      <c r="XDU214" s="1099"/>
      <c r="XDV214" s="1099"/>
      <c r="XDW214" s="1099"/>
      <c r="XDX214" s="1099"/>
      <c r="XDY214" s="1099"/>
      <c r="XDZ214" s="1099"/>
      <c r="XEA214" s="1099"/>
      <c r="XEB214" s="1099"/>
      <c r="XEC214" s="1099"/>
      <c r="XED214" s="1099"/>
      <c r="XEE214" s="1099"/>
      <c r="XEF214" s="1099"/>
      <c r="XEG214" s="1099"/>
      <c r="XEH214" s="1099"/>
      <c r="XEI214" s="1099"/>
      <c r="XEJ214" s="1099"/>
      <c r="XEK214" s="1099"/>
      <c r="XEL214" s="1099"/>
      <c r="XEM214" s="1099"/>
      <c r="XEN214" s="1099"/>
      <c r="XEO214" s="1099"/>
      <c r="XEP214" s="1099"/>
      <c r="XEQ214" s="1099"/>
      <c r="XER214" s="1099"/>
      <c r="XES214" s="1099"/>
      <c r="XET214" s="1099"/>
      <c r="XEU214" s="1099"/>
      <c r="XEV214" s="1100"/>
      <c r="XEW214" s="1101"/>
      <c r="XEX214" s="979"/>
      <c r="XEY214" s="1102"/>
      <c r="XEZ214" s="979"/>
      <c r="XFA214" s="1103"/>
      <c r="XFB214" s="1104"/>
      <c r="XFC214" s="1104"/>
      <c r="XFD214" s="1105"/>
    </row>
    <row r="215" s="681" customFormat="1" ht="50" customHeight="1" spans="1:82 16310:16384">
      <c r="A215" s="1106">
        <v>46225</v>
      </c>
      <c r="B215" s="1107" t="s">
        <v>12743</v>
      </c>
      <c r="C215" s="918" t="s">
        <v>738</v>
      </c>
      <c r="D215" s="1108">
        <v>4500217358</v>
      </c>
      <c r="E215" s="918" t="s">
        <v>12744</v>
      </c>
      <c r="F215" s="1108" t="s">
        <v>12745</v>
      </c>
      <c r="G215" s="918" t="s">
        <v>2640</v>
      </c>
      <c r="H215" s="918" t="s">
        <v>2641</v>
      </c>
      <c r="I215" s="1071">
        <v>12</v>
      </c>
      <c r="J215" s="1071">
        <v>0</v>
      </c>
      <c r="K215" s="1071">
        <v>12</v>
      </c>
      <c r="L215" s="1071">
        <f t="shared" si="115"/>
        <v>1</v>
      </c>
      <c r="M215" s="1109">
        <v>46266</v>
      </c>
      <c r="N215" s="1110">
        <v>46262</v>
      </c>
      <c r="O215" s="1111" t="s">
        <v>12746</v>
      </c>
      <c r="P215" s="1112"/>
      <c r="Q215" s="1063"/>
      <c r="R215" s="1063"/>
      <c r="S215" s="1113"/>
      <c r="T215" s="1113"/>
      <c r="U215" s="1026"/>
      <c r="V215" s="1114"/>
      <c r="W215" s="1027"/>
      <c r="X215" s="1114"/>
      <c r="Y215" s="1027"/>
      <c r="Z215" s="1071"/>
      <c r="AA215" s="1115" t="s">
        <v>12747</v>
      </c>
      <c r="AB215" s="1071" t="s">
        <v>7936</v>
      </c>
      <c r="AC215" s="1116">
        <v>2.0433</v>
      </c>
      <c r="AD215" s="1071">
        <f t="shared" si="116"/>
        <v>24.5196</v>
      </c>
      <c r="AE215" s="1026"/>
      <c r="AF215" s="1068"/>
      <c r="AG215" s="1026"/>
      <c r="AH215" s="1071"/>
      <c r="AI215" s="918"/>
      <c r="AJ215" s="1117"/>
      <c r="AK215" s="1071"/>
      <c r="AL215" s="1071"/>
      <c r="AM215" s="918"/>
      <c r="AN215" s="922"/>
      <c r="AO215" s="922"/>
      <c r="AP215" s="1071"/>
      <c r="AQ215" s="922"/>
      <c r="AR215" s="1005"/>
      <c r="AS215" s="922"/>
      <c r="AT215" s="922"/>
      <c r="AU215" s="1005"/>
      <c r="AV215" s="922"/>
      <c r="AW215" s="922"/>
      <c r="AX215" s="922"/>
      <c r="AY215" s="922"/>
      <c r="AZ215" s="922"/>
      <c r="BA215" s="922"/>
      <c r="BB215" s="922"/>
      <c r="BC215" s="922"/>
      <c r="BD215" s="922"/>
      <c r="BE215" s="922"/>
      <c r="BF215" s="922"/>
      <c r="BG215" s="1118"/>
      <c r="BH215" s="1119">
        <f>I215-BU215-6</f>
        <v>6</v>
      </c>
      <c r="BI215" s="1119"/>
      <c r="BJ215" s="1119"/>
      <c r="BK215" s="1120"/>
      <c r="BL215" s="1120"/>
      <c r="BM215" s="1121"/>
      <c r="BN215" s="1122"/>
      <c r="BO215" s="1121"/>
      <c r="BP215" s="1121"/>
      <c r="BQ215" s="1121"/>
      <c r="BR215" s="1121"/>
      <c r="BS215" s="1123"/>
      <c r="BT215" s="1124"/>
      <c r="BU215" s="1121"/>
      <c r="BV215" s="1121">
        <f t="shared" ref="BV215:BV219" si="129">SUM(BH215:BU215)</f>
        <v>6</v>
      </c>
      <c r="BW215" s="1121">
        <f t="shared" si="128"/>
        <v>6</v>
      </c>
      <c r="BX215" s="1079"/>
      <c r="BY215" s="1080"/>
      <c r="BZ215" s="1080"/>
      <c r="CA215" s="1081"/>
      <c r="CC215" s="1082"/>
      <c r="CD215" s="1081"/>
      <c r="XCZ215" s="1083"/>
      <c r="XDA215" s="1083"/>
      <c r="XDB215" s="1083"/>
      <c r="XDC215" s="1083"/>
      <c r="XDD215" s="1083"/>
      <c r="XDE215" s="1083"/>
      <c r="XDF215" s="1083"/>
      <c r="XDG215" s="1083"/>
      <c r="XDH215" s="1083"/>
      <c r="XDI215" s="1083"/>
      <c r="XDJ215" s="1083"/>
      <c r="XDK215" s="1083"/>
      <c r="XDL215" s="1083"/>
      <c r="XDM215" s="1083"/>
      <c r="XDN215" s="1083"/>
      <c r="XDO215" s="1083"/>
      <c r="XDP215" s="1083"/>
      <c r="XDQ215" s="1083"/>
      <c r="XDR215" s="1083"/>
      <c r="XDS215" s="1083"/>
      <c r="XDT215" s="1083"/>
      <c r="XDU215" s="1083"/>
      <c r="XDV215" s="1083"/>
      <c r="XDW215" s="1083"/>
      <c r="XDX215" s="1083"/>
      <c r="XDY215" s="1083"/>
      <c r="XDZ215" s="1083"/>
      <c r="XEA215" s="1083"/>
      <c r="XEB215" s="1083"/>
      <c r="XEC215" s="1083"/>
      <c r="XED215" s="1083"/>
      <c r="XEE215" s="1083"/>
      <c r="XEF215" s="1083"/>
      <c r="XEG215" s="1083"/>
      <c r="XEH215" s="1083"/>
      <c r="XEI215" s="1083"/>
      <c r="XEJ215" s="1083"/>
      <c r="XEK215" s="1083"/>
      <c r="XEL215" s="1083"/>
      <c r="XEM215" s="1083"/>
      <c r="XEN215" s="1083"/>
      <c r="XEO215" s="1083"/>
      <c r="XEP215" s="1083"/>
      <c r="XEQ215" s="1083"/>
      <c r="XER215" s="1083"/>
      <c r="XES215" s="1083"/>
      <c r="XET215" s="1083"/>
      <c r="XEU215" s="1083"/>
      <c r="XEV215" s="1106"/>
      <c r="XEW215" s="1107"/>
      <c r="XEX215" s="918"/>
      <c r="XEY215" s="1108"/>
      <c r="XEZ215" s="918"/>
      <c r="XFA215" s="1108"/>
      <c r="XFB215" s="918"/>
      <c r="XFC215" s="918"/>
      <c r="XFD215" s="1071"/>
    </row>
    <row r="216" s="681" customFormat="1" ht="50" customHeight="1" spans="1:82 16310:16384">
      <c r="A216" s="1106">
        <v>46225</v>
      </c>
      <c r="B216" s="1107" t="s">
        <v>12743</v>
      </c>
      <c r="C216" s="918" t="s">
        <v>738</v>
      </c>
      <c r="D216" s="1108">
        <v>4500217358</v>
      </c>
      <c r="E216" s="918" t="s">
        <v>12744</v>
      </c>
      <c r="F216" s="1108" t="s">
        <v>12748</v>
      </c>
      <c r="G216" s="918" t="s">
        <v>2631</v>
      </c>
      <c r="H216" s="918" t="s">
        <v>2632</v>
      </c>
      <c r="I216" s="1071">
        <v>24</v>
      </c>
      <c r="J216" s="1071">
        <v>0</v>
      </c>
      <c r="K216" s="1071">
        <v>12</v>
      </c>
      <c r="L216" s="1071">
        <f t="shared" si="115"/>
        <v>2</v>
      </c>
      <c r="M216" s="1109">
        <v>46266</v>
      </c>
      <c r="N216" s="1110">
        <v>46262</v>
      </c>
      <c r="O216" s="1111" t="s">
        <v>12746</v>
      </c>
      <c r="P216" s="1112"/>
      <c r="Q216" s="1063"/>
      <c r="R216" s="1063"/>
      <c r="S216" s="1113"/>
      <c r="T216" s="1113"/>
      <c r="U216" s="1026"/>
      <c r="V216" s="1114"/>
      <c r="W216" s="1027"/>
      <c r="X216" s="1114"/>
      <c r="Y216" s="1027"/>
      <c r="Z216" s="1071"/>
      <c r="AA216" s="1115" t="s">
        <v>12749</v>
      </c>
      <c r="AB216" s="1071" t="s">
        <v>7936</v>
      </c>
      <c r="AC216" s="1116">
        <v>2.0433</v>
      </c>
      <c r="AD216" s="1071">
        <f t="shared" si="116"/>
        <v>49.0392</v>
      </c>
      <c r="AE216" s="1026"/>
      <c r="AF216" s="1068"/>
      <c r="AG216" s="1026"/>
      <c r="AH216" s="1071"/>
      <c r="AI216" s="918"/>
      <c r="AJ216" s="1117"/>
      <c r="AK216" s="1071"/>
      <c r="AL216" s="1071"/>
      <c r="AM216" s="918"/>
      <c r="AN216" s="922"/>
      <c r="AO216" s="922"/>
      <c r="AP216" s="1071"/>
      <c r="AQ216" s="922"/>
      <c r="AR216" s="1005"/>
      <c r="AS216" s="922"/>
      <c r="AT216" s="922"/>
      <c r="AU216" s="1005"/>
      <c r="AV216" s="922"/>
      <c r="AW216" s="922"/>
      <c r="AX216" s="922"/>
      <c r="AY216" s="922"/>
      <c r="AZ216" s="922"/>
      <c r="BA216" s="922"/>
      <c r="BB216" s="922"/>
      <c r="BC216" s="922"/>
      <c r="BD216" s="922"/>
      <c r="BE216" s="922"/>
      <c r="BF216" s="922"/>
      <c r="BG216" s="1118"/>
      <c r="BH216" s="1119"/>
      <c r="BI216" s="1119"/>
      <c r="BJ216" s="1119">
        <f t="shared" ref="BJ216:BJ219" si="130">I216-BN216</f>
        <v>24</v>
      </c>
      <c r="BK216" s="1120"/>
      <c r="BL216" s="1120"/>
      <c r="BM216" s="1121"/>
      <c r="BN216" s="1122"/>
      <c r="BO216" s="1121"/>
      <c r="BP216" s="1121"/>
      <c r="BQ216" s="1121"/>
      <c r="BR216" s="1121"/>
      <c r="BS216" s="1123"/>
      <c r="BT216" s="1124"/>
      <c r="BU216" s="1121"/>
      <c r="BV216" s="1121">
        <f t="shared" si="129"/>
        <v>24</v>
      </c>
      <c r="BW216" s="1121">
        <f t="shared" si="128"/>
        <v>0</v>
      </c>
      <c r="BX216" s="1079"/>
      <c r="BY216" s="1080"/>
      <c r="BZ216" s="1080"/>
      <c r="CA216" s="1081"/>
      <c r="CC216" s="1082"/>
      <c r="CD216" s="1081"/>
      <c r="XCZ216" s="1083"/>
      <c r="XDA216" s="1083"/>
      <c r="XDB216" s="1083"/>
      <c r="XDC216" s="1083"/>
      <c r="XDD216" s="1083"/>
      <c r="XDE216" s="1083"/>
      <c r="XDF216" s="1083"/>
      <c r="XDG216" s="1083"/>
      <c r="XDH216" s="1083"/>
      <c r="XDI216" s="1083"/>
      <c r="XDJ216" s="1083"/>
      <c r="XDK216" s="1083"/>
      <c r="XDL216" s="1083"/>
      <c r="XDM216" s="1083"/>
      <c r="XDN216" s="1083"/>
      <c r="XDO216" s="1083"/>
      <c r="XDP216" s="1083"/>
      <c r="XDQ216" s="1083"/>
      <c r="XDR216" s="1083"/>
      <c r="XDS216" s="1083"/>
      <c r="XDT216" s="1083"/>
      <c r="XDU216" s="1083"/>
      <c r="XDV216" s="1083"/>
      <c r="XDW216" s="1083"/>
      <c r="XDX216" s="1083"/>
      <c r="XDY216" s="1083"/>
      <c r="XDZ216" s="1083"/>
      <c r="XEA216" s="1083"/>
      <c r="XEB216" s="1083"/>
      <c r="XEC216" s="1083"/>
      <c r="XED216" s="1083"/>
      <c r="XEE216" s="1083"/>
      <c r="XEF216" s="1083"/>
      <c r="XEG216" s="1083"/>
      <c r="XEH216" s="1083"/>
      <c r="XEI216" s="1083"/>
      <c r="XEJ216" s="1083"/>
      <c r="XEK216" s="1083"/>
      <c r="XEL216" s="1083"/>
      <c r="XEM216" s="1083"/>
      <c r="XEN216" s="1083"/>
      <c r="XEO216" s="1083"/>
      <c r="XEP216" s="1083"/>
      <c r="XEQ216" s="1083"/>
      <c r="XER216" s="1083"/>
      <c r="XES216" s="1083"/>
      <c r="XET216" s="1083"/>
      <c r="XEU216" s="1083"/>
      <c r="XEV216" s="1106"/>
      <c r="XEW216" s="1107"/>
      <c r="XEX216" s="918"/>
      <c r="XEY216" s="1108"/>
      <c r="XEZ216" s="918"/>
      <c r="XFA216" s="1108"/>
      <c r="XFB216" s="918"/>
      <c r="XFC216" s="918"/>
      <c r="XFD216" s="1071"/>
    </row>
    <row r="217" s="681" customFormat="1" ht="50" customHeight="1" spans="1:82 16310:16384">
      <c r="A217" s="1106">
        <v>46225</v>
      </c>
      <c r="B217" s="1107" t="s">
        <v>12743</v>
      </c>
      <c r="C217" s="918" t="s">
        <v>738</v>
      </c>
      <c r="D217" s="1108">
        <v>4500217358</v>
      </c>
      <c r="E217" s="918" t="s">
        <v>12750</v>
      </c>
      <c r="F217" s="1108" t="s">
        <v>12751</v>
      </c>
      <c r="G217" s="918" t="s">
        <v>2640</v>
      </c>
      <c r="H217" s="918" t="s">
        <v>2641</v>
      </c>
      <c r="I217" s="1071">
        <v>36</v>
      </c>
      <c r="J217" s="1071">
        <v>0</v>
      </c>
      <c r="K217" s="1071">
        <v>12</v>
      </c>
      <c r="L217" s="1071">
        <f t="shared" si="115"/>
        <v>3</v>
      </c>
      <c r="M217" s="1109">
        <v>46266</v>
      </c>
      <c r="N217" s="1110">
        <v>46262</v>
      </c>
      <c r="O217" s="1111" t="s">
        <v>12746</v>
      </c>
      <c r="P217" s="1112"/>
      <c r="Q217" s="1063"/>
      <c r="R217" s="1063"/>
      <c r="S217" s="1113"/>
      <c r="T217" s="1113"/>
      <c r="U217" s="1026"/>
      <c r="V217" s="1114"/>
      <c r="W217" s="1027"/>
      <c r="X217" s="1114"/>
      <c r="Y217" s="1027"/>
      <c r="Z217" s="1071"/>
      <c r="AA217" s="1115" t="s">
        <v>12752</v>
      </c>
      <c r="AB217" s="1071" t="s">
        <v>7936</v>
      </c>
      <c r="AC217" s="1116">
        <v>2.0433</v>
      </c>
      <c r="AD217" s="1071">
        <f t="shared" si="116"/>
        <v>73.5588</v>
      </c>
      <c r="AE217" s="1026"/>
      <c r="AF217" s="1068"/>
      <c r="AG217" s="1026"/>
      <c r="AH217" s="1071"/>
      <c r="AI217" s="918"/>
      <c r="AJ217" s="1117"/>
      <c r="AK217" s="1071"/>
      <c r="AL217" s="1071"/>
      <c r="AM217" s="918"/>
      <c r="AN217" s="922"/>
      <c r="AO217" s="922"/>
      <c r="AP217" s="1071"/>
      <c r="AQ217" s="922"/>
      <c r="AR217" s="1005"/>
      <c r="AS217" s="922"/>
      <c r="AT217" s="922"/>
      <c r="AU217" s="1005"/>
      <c r="AV217" s="922"/>
      <c r="AW217" s="922"/>
      <c r="AX217" s="922"/>
      <c r="AY217" s="922"/>
      <c r="AZ217" s="922"/>
      <c r="BA217" s="922"/>
      <c r="BB217" s="922"/>
      <c r="BC217" s="922"/>
      <c r="BD217" s="922"/>
      <c r="BE217" s="922"/>
      <c r="BF217" s="922"/>
      <c r="BG217" s="1118"/>
      <c r="BH217" s="1119">
        <f>I217-BU217-6</f>
        <v>30</v>
      </c>
      <c r="BI217" s="1119"/>
      <c r="BJ217" s="1119"/>
      <c r="BK217" s="1120"/>
      <c r="BL217" s="1120"/>
      <c r="BM217" s="1121"/>
      <c r="BN217" s="1122"/>
      <c r="BO217" s="1121"/>
      <c r="BP217" s="1121"/>
      <c r="BQ217" s="1121"/>
      <c r="BR217" s="1121"/>
      <c r="BS217" s="1123"/>
      <c r="BT217" s="1124"/>
      <c r="BU217" s="1121"/>
      <c r="BV217" s="1121">
        <f t="shared" si="129"/>
        <v>30</v>
      </c>
      <c r="BW217" s="1121">
        <f t="shared" si="128"/>
        <v>6</v>
      </c>
      <c r="BX217" s="1079"/>
      <c r="BY217" s="1080"/>
      <c r="BZ217" s="1080"/>
      <c r="CA217" s="1081"/>
      <c r="CC217" s="1082"/>
      <c r="CD217" s="1081"/>
      <c r="XCZ217" s="1083"/>
      <c r="XDA217" s="1083"/>
      <c r="XDB217" s="1083"/>
      <c r="XDC217" s="1083"/>
      <c r="XDD217" s="1083"/>
      <c r="XDE217" s="1083"/>
      <c r="XDF217" s="1083"/>
      <c r="XDG217" s="1083"/>
      <c r="XDH217" s="1083"/>
      <c r="XDI217" s="1083"/>
      <c r="XDJ217" s="1083"/>
      <c r="XDK217" s="1083"/>
      <c r="XDL217" s="1083"/>
      <c r="XDM217" s="1083"/>
      <c r="XDN217" s="1083"/>
      <c r="XDO217" s="1083"/>
      <c r="XDP217" s="1083"/>
      <c r="XDQ217" s="1083"/>
      <c r="XDR217" s="1083"/>
      <c r="XDS217" s="1083"/>
      <c r="XDT217" s="1083"/>
      <c r="XDU217" s="1083"/>
      <c r="XDV217" s="1083"/>
      <c r="XDW217" s="1083"/>
      <c r="XDX217" s="1083"/>
      <c r="XDY217" s="1083"/>
      <c r="XDZ217" s="1083"/>
      <c r="XEA217" s="1083"/>
      <c r="XEB217" s="1083"/>
      <c r="XEC217" s="1083"/>
      <c r="XED217" s="1083"/>
      <c r="XEE217" s="1083"/>
      <c r="XEF217" s="1083"/>
      <c r="XEG217" s="1083"/>
      <c r="XEH217" s="1083"/>
      <c r="XEI217" s="1083"/>
      <c r="XEJ217" s="1083"/>
      <c r="XEK217" s="1083"/>
      <c r="XEL217" s="1083"/>
      <c r="XEM217" s="1083"/>
      <c r="XEN217" s="1083"/>
      <c r="XEO217" s="1083"/>
      <c r="XEP217" s="1083"/>
      <c r="XEQ217" s="1083"/>
      <c r="XER217" s="1083"/>
      <c r="XES217" s="1083"/>
      <c r="XET217" s="1083"/>
      <c r="XEU217" s="1083"/>
      <c r="XEV217" s="1106"/>
      <c r="XEW217" s="1107"/>
      <c r="XEX217" s="918"/>
      <c r="XEY217" s="1108"/>
      <c r="XEZ217" s="918"/>
      <c r="XFA217" s="1108"/>
      <c r="XFB217" s="918"/>
      <c r="XFC217" s="918"/>
      <c r="XFD217" s="1071"/>
    </row>
    <row r="218" s="681" customFormat="1" ht="50" customHeight="1" spans="1:82 16310:16384">
      <c r="A218" s="1106">
        <v>46225</v>
      </c>
      <c r="B218" s="1107" t="s">
        <v>12743</v>
      </c>
      <c r="C218" s="918" t="s">
        <v>738</v>
      </c>
      <c r="D218" s="1108">
        <v>4500217358</v>
      </c>
      <c r="E218" s="918" t="s">
        <v>12750</v>
      </c>
      <c r="F218" s="1108" t="s">
        <v>12753</v>
      </c>
      <c r="G218" s="918" t="s">
        <v>2631</v>
      </c>
      <c r="H218" s="918" t="s">
        <v>2632</v>
      </c>
      <c r="I218" s="1071">
        <v>36</v>
      </c>
      <c r="J218" s="1071">
        <v>0</v>
      </c>
      <c r="K218" s="1071">
        <v>12</v>
      </c>
      <c r="L218" s="1071">
        <f t="shared" si="115"/>
        <v>3</v>
      </c>
      <c r="M218" s="1109">
        <v>46266</v>
      </c>
      <c r="N218" s="1110">
        <v>46262</v>
      </c>
      <c r="O218" s="1111" t="s">
        <v>12746</v>
      </c>
      <c r="P218" s="1112"/>
      <c r="Q218" s="1063"/>
      <c r="R218" s="1063"/>
      <c r="S218" s="1113"/>
      <c r="T218" s="1113"/>
      <c r="U218" s="1026"/>
      <c r="V218" s="1114"/>
      <c r="W218" s="1027"/>
      <c r="X218" s="1114"/>
      <c r="Y218" s="1027"/>
      <c r="Z218" s="1071"/>
      <c r="AA218" s="1115" t="s">
        <v>12749</v>
      </c>
      <c r="AB218" s="1071" t="s">
        <v>7936</v>
      </c>
      <c r="AC218" s="1116">
        <v>2.0433</v>
      </c>
      <c r="AD218" s="1071">
        <f t="shared" si="116"/>
        <v>73.5588</v>
      </c>
      <c r="AE218" s="1026"/>
      <c r="AF218" s="1068"/>
      <c r="AG218" s="1026"/>
      <c r="AH218" s="1071"/>
      <c r="AI218" s="918"/>
      <c r="AJ218" s="1117"/>
      <c r="AK218" s="1071"/>
      <c r="AL218" s="1071"/>
      <c r="AM218" s="918"/>
      <c r="AN218" s="922"/>
      <c r="AO218" s="922"/>
      <c r="AP218" s="1071"/>
      <c r="AQ218" s="922"/>
      <c r="AR218" s="1005"/>
      <c r="AS218" s="922"/>
      <c r="AT218" s="922"/>
      <c r="AU218" s="1005"/>
      <c r="AV218" s="922"/>
      <c r="AW218" s="922"/>
      <c r="AX218" s="922"/>
      <c r="AY218" s="922"/>
      <c r="AZ218" s="922"/>
      <c r="BA218" s="922"/>
      <c r="BB218" s="922"/>
      <c r="BC218" s="922"/>
      <c r="BD218" s="922"/>
      <c r="BE218" s="922"/>
      <c r="BF218" s="922"/>
      <c r="BG218" s="1118"/>
      <c r="BH218" s="1119"/>
      <c r="BI218" s="1119"/>
      <c r="BJ218" s="1119">
        <f t="shared" si="130"/>
        <v>36</v>
      </c>
      <c r="BK218" s="1120"/>
      <c r="BL218" s="1120"/>
      <c r="BM218" s="1121"/>
      <c r="BN218" s="1122"/>
      <c r="BO218" s="1121"/>
      <c r="BP218" s="1121"/>
      <c r="BQ218" s="1121"/>
      <c r="BR218" s="1121"/>
      <c r="BS218" s="1123"/>
      <c r="BT218" s="1124"/>
      <c r="BU218" s="1121"/>
      <c r="BV218" s="1121">
        <f t="shared" si="129"/>
        <v>36</v>
      </c>
      <c r="BW218" s="1121">
        <f t="shared" si="128"/>
        <v>0</v>
      </c>
      <c r="BX218" s="1079"/>
      <c r="BY218" s="1080"/>
      <c r="BZ218" s="1080"/>
      <c r="CA218" s="1081"/>
      <c r="CC218" s="1082"/>
      <c r="CD218" s="1081"/>
      <c r="XCZ218" s="1083"/>
      <c r="XDA218" s="1083"/>
      <c r="XDB218" s="1083"/>
      <c r="XDC218" s="1083"/>
      <c r="XDD218" s="1083"/>
      <c r="XDE218" s="1083"/>
      <c r="XDF218" s="1083"/>
      <c r="XDG218" s="1083"/>
      <c r="XDH218" s="1083"/>
      <c r="XDI218" s="1083"/>
      <c r="XDJ218" s="1083"/>
      <c r="XDK218" s="1083"/>
      <c r="XDL218" s="1083"/>
      <c r="XDM218" s="1083"/>
      <c r="XDN218" s="1083"/>
      <c r="XDO218" s="1083"/>
      <c r="XDP218" s="1083"/>
      <c r="XDQ218" s="1083"/>
      <c r="XDR218" s="1083"/>
      <c r="XDS218" s="1083"/>
      <c r="XDT218" s="1083"/>
      <c r="XDU218" s="1083"/>
      <c r="XDV218" s="1083"/>
      <c r="XDW218" s="1083"/>
      <c r="XDX218" s="1083"/>
      <c r="XDY218" s="1083"/>
      <c r="XDZ218" s="1083"/>
      <c r="XEA218" s="1083"/>
      <c r="XEB218" s="1083"/>
      <c r="XEC218" s="1083"/>
      <c r="XED218" s="1083"/>
      <c r="XEE218" s="1083"/>
      <c r="XEF218" s="1083"/>
      <c r="XEG218" s="1083"/>
      <c r="XEH218" s="1083"/>
      <c r="XEI218" s="1083"/>
      <c r="XEJ218" s="1083"/>
      <c r="XEK218" s="1083"/>
      <c r="XEL218" s="1083"/>
      <c r="XEM218" s="1083"/>
      <c r="XEN218" s="1083"/>
      <c r="XEO218" s="1083"/>
      <c r="XEP218" s="1083"/>
      <c r="XEQ218" s="1083"/>
      <c r="XER218" s="1083"/>
      <c r="XES218" s="1083"/>
      <c r="XET218" s="1083"/>
      <c r="XEU218" s="1083"/>
      <c r="XEV218" s="1106"/>
      <c r="XEW218" s="1107"/>
      <c r="XEX218" s="918"/>
      <c r="XEY218" s="1108"/>
      <c r="XEZ218" s="918"/>
      <c r="XFA218" s="1108"/>
      <c r="XFB218" s="918"/>
      <c r="XFC218" s="918"/>
      <c r="XFD218" s="1071"/>
    </row>
    <row r="219" s="681" customFormat="1" ht="50" customHeight="1" spans="1:82 16310:16384">
      <c r="A219" s="1106">
        <v>46225</v>
      </c>
      <c r="B219" s="1107" t="s">
        <v>12743</v>
      </c>
      <c r="C219" s="918" t="s">
        <v>738</v>
      </c>
      <c r="D219" s="1108">
        <v>4500217358</v>
      </c>
      <c r="E219" s="918" t="s">
        <v>12754</v>
      </c>
      <c r="F219" s="1108" t="s">
        <v>12755</v>
      </c>
      <c r="G219" s="918" t="s">
        <v>2631</v>
      </c>
      <c r="H219" s="918" t="s">
        <v>2632</v>
      </c>
      <c r="I219" s="1071">
        <v>12</v>
      </c>
      <c r="J219" s="1071">
        <v>0</v>
      </c>
      <c r="K219" s="1071">
        <v>12</v>
      </c>
      <c r="L219" s="1071">
        <f t="shared" si="115"/>
        <v>1</v>
      </c>
      <c r="M219" s="1109">
        <v>46266</v>
      </c>
      <c r="N219" s="1110">
        <v>46262</v>
      </c>
      <c r="O219" s="1111" t="s">
        <v>12746</v>
      </c>
      <c r="P219" s="1112"/>
      <c r="Q219" s="1063"/>
      <c r="R219" s="1063"/>
      <c r="S219" s="1113"/>
      <c r="T219" s="1113"/>
      <c r="U219" s="1026"/>
      <c r="V219" s="1114"/>
      <c r="W219" s="1027"/>
      <c r="X219" s="1114"/>
      <c r="Y219" s="1027"/>
      <c r="Z219" s="1071"/>
      <c r="AA219" s="1115" t="s">
        <v>12747</v>
      </c>
      <c r="AB219" s="1071" t="s">
        <v>7936</v>
      </c>
      <c r="AC219" s="1116">
        <v>2.0433</v>
      </c>
      <c r="AD219" s="1071">
        <f t="shared" si="116"/>
        <v>24.5196</v>
      </c>
      <c r="AE219" s="1026"/>
      <c r="AF219" s="1068"/>
      <c r="AG219" s="1026"/>
      <c r="AH219" s="1071"/>
      <c r="AI219" s="918"/>
      <c r="AJ219" s="1117"/>
      <c r="AK219" s="1071"/>
      <c r="AL219" s="1071"/>
      <c r="AM219" s="918"/>
      <c r="AN219" s="922"/>
      <c r="AO219" s="922"/>
      <c r="AP219" s="1071"/>
      <c r="AQ219" s="922"/>
      <c r="AR219" s="1005"/>
      <c r="AS219" s="922"/>
      <c r="AT219" s="922"/>
      <c r="AU219" s="1005"/>
      <c r="AV219" s="922"/>
      <c r="AW219" s="922"/>
      <c r="AX219" s="922"/>
      <c r="AY219" s="922"/>
      <c r="AZ219" s="922"/>
      <c r="BA219" s="922"/>
      <c r="BB219" s="922"/>
      <c r="BC219" s="922"/>
      <c r="BD219" s="922"/>
      <c r="BE219" s="922"/>
      <c r="BF219" s="922"/>
      <c r="BG219" s="1118"/>
      <c r="BH219" s="1119"/>
      <c r="BI219" s="1119"/>
      <c r="BJ219" s="1119">
        <f t="shared" si="130"/>
        <v>12</v>
      </c>
      <c r="BK219" s="1120"/>
      <c r="BL219" s="1120"/>
      <c r="BM219" s="1121"/>
      <c r="BN219" s="1122"/>
      <c r="BO219" s="1121"/>
      <c r="BP219" s="1121"/>
      <c r="BQ219" s="1121"/>
      <c r="BR219" s="1121"/>
      <c r="BS219" s="1123"/>
      <c r="BT219" s="1124"/>
      <c r="BU219" s="1121"/>
      <c r="BV219" s="1121">
        <f t="shared" si="129"/>
        <v>12</v>
      </c>
      <c r="BW219" s="1121">
        <f t="shared" si="128"/>
        <v>0</v>
      </c>
      <c r="BX219" s="1079"/>
      <c r="BY219" s="1080"/>
      <c r="BZ219" s="1080"/>
      <c r="CA219" s="1081"/>
      <c r="CC219" s="1082"/>
      <c r="CD219" s="1081"/>
      <c r="XCZ219" s="1083"/>
      <c r="XDA219" s="1083"/>
      <c r="XDB219" s="1083"/>
      <c r="XDC219" s="1083"/>
      <c r="XDD219" s="1083"/>
      <c r="XDE219" s="1083"/>
      <c r="XDF219" s="1083"/>
      <c r="XDG219" s="1083"/>
      <c r="XDH219" s="1083"/>
      <c r="XDI219" s="1083"/>
      <c r="XDJ219" s="1083"/>
      <c r="XDK219" s="1083"/>
      <c r="XDL219" s="1083"/>
      <c r="XDM219" s="1083"/>
      <c r="XDN219" s="1083"/>
      <c r="XDO219" s="1083"/>
      <c r="XDP219" s="1083"/>
      <c r="XDQ219" s="1083"/>
      <c r="XDR219" s="1083"/>
      <c r="XDS219" s="1083"/>
      <c r="XDT219" s="1083"/>
      <c r="XDU219" s="1083"/>
      <c r="XDV219" s="1083"/>
      <c r="XDW219" s="1083"/>
      <c r="XDX219" s="1083"/>
      <c r="XDY219" s="1083"/>
      <c r="XDZ219" s="1083"/>
      <c r="XEA219" s="1083"/>
      <c r="XEB219" s="1083"/>
      <c r="XEC219" s="1083"/>
      <c r="XED219" s="1083"/>
      <c r="XEE219" s="1083"/>
      <c r="XEF219" s="1083"/>
      <c r="XEG219" s="1083"/>
      <c r="XEH219" s="1083"/>
      <c r="XEI219" s="1083"/>
      <c r="XEJ219" s="1083"/>
      <c r="XEK219" s="1083"/>
      <c r="XEL219" s="1083"/>
      <c r="XEM219" s="1083"/>
      <c r="XEN219" s="1083"/>
      <c r="XEO219" s="1083"/>
      <c r="XEP219" s="1083"/>
      <c r="XEQ219" s="1083"/>
      <c r="XER219" s="1083"/>
      <c r="XES219" s="1083"/>
      <c r="XET219" s="1083"/>
      <c r="XEU219" s="1083"/>
      <c r="XEV219" s="1106"/>
      <c r="XEW219" s="1107"/>
      <c r="XEX219" s="918"/>
      <c r="XEY219" s="1108"/>
      <c r="XEZ219" s="918"/>
      <c r="XFA219" s="1108"/>
      <c r="XFB219" s="918"/>
      <c r="XFC219" s="918"/>
      <c r="XFD219" s="1071"/>
    </row>
    <row r="220" s="683" customFormat="1" ht="50" customHeight="1" spans="1:82 16310:16384">
      <c r="A220" s="1106">
        <v>46225</v>
      </c>
      <c r="B220" s="1125" t="s">
        <v>12743</v>
      </c>
      <c r="C220" s="1125" t="s">
        <v>738</v>
      </c>
      <c r="D220" s="1030">
        <v>4500217358</v>
      </c>
      <c r="E220" s="1030" t="s">
        <v>12750</v>
      </c>
      <c r="F220" s="1030" t="s">
        <v>12756</v>
      </c>
      <c r="G220" s="1024" t="s">
        <v>6218</v>
      </c>
      <c r="H220" s="1030" t="s">
        <v>6092</v>
      </c>
      <c r="I220" s="1030">
        <v>32</v>
      </c>
      <c r="J220" s="1030">
        <v>0</v>
      </c>
      <c r="K220" s="1030">
        <v>32</v>
      </c>
      <c r="L220" s="1034">
        <f t="shared" si="115"/>
        <v>1</v>
      </c>
      <c r="M220" s="1126">
        <v>46266</v>
      </c>
      <c r="N220" s="1126">
        <v>46262</v>
      </c>
      <c r="O220" s="1111" t="s">
        <v>12746</v>
      </c>
      <c r="P220" s="1024"/>
      <c r="Q220" s="1127"/>
      <c r="R220" s="1063"/>
      <c r="S220" s="1128"/>
      <c r="T220" s="1127"/>
      <c r="U220" s="1026"/>
      <c r="V220" s="1114"/>
      <c r="W220" s="1028"/>
      <c r="X220" s="1114"/>
      <c r="Y220" s="1029"/>
      <c r="Z220" s="1030"/>
      <c r="AA220" s="1031" t="s">
        <v>12757</v>
      </c>
      <c r="AB220" s="1032" t="s">
        <v>7936</v>
      </c>
      <c r="AC220" s="1031">
        <v>2.2475</v>
      </c>
      <c r="AD220" s="1030">
        <f t="shared" si="116"/>
        <v>71.92</v>
      </c>
      <c r="AE220" s="1024"/>
      <c r="AF220" s="1024"/>
      <c r="AG220" s="1024"/>
      <c r="AH220" s="1033"/>
      <c r="AI220" s="1024"/>
      <c r="AJ220" s="1030"/>
      <c r="AK220" s="1034"/>
      <c r="AL220" s="1035"/>
      <c r="AM220" s="1034"/>
      <c r="AN220" s="1036"/>
      <c r="AO220" s="1035"/>
      <c r="AP220" s="1036"/>
      <c r="AQ220" s="1035"/>
      <c r="AR220" s="1036"/>
      <c r="AS220" s="1035"/>
      <c r="AT220" s="1036"/>
      <c r="AU220" s="1035"/>
      <c r="AV220" s="1035"/>
      <c r="AW220" s="1035"/>
      <c r="AX220" s="1035"/>
      <c r="AY220" s="1035"/>
      <c r="AZ220" s="1035"/>
      <c r="BA220" s="1035"/>
      <c r="BB220" s="1035"/>
      <c r="BC220" s="1035"/>
      <c r="BD220" s="1036"/>
      <c r="BE220" s="1035"/>
      <c r="BF220" s="1035"/>
      <c r="BG220" s="1035"/>
      <c r="BH220" s="1035"/>
      <c r="BI220" s="1035"/>
      <c r="BJ220" s="1035"/>
      <c r="BK220" s="1035"/>
      <c r="BL220" s="1035"/>
      <c r="BM220" s="1037"/>
      <c r="BN220" s="1038"/>
      <c r="BO220" s="1129">
        <f>I220-BJ220</f>
        <v>32</v>
      </c>
      <c r="BP220" s="1038"/>
      <c r="BQ220" s="1130">
        <f>SUM(BJ220:BP220)</f>
        <v>32</v>
      </c>
      <c r="BR220" s="1038">
        <f>I220-BQ220</f>
        <v>0</v>
      </c>
    </row>
  </sheetData>
  <sheetProtection formatCells="0" formatColumns="0" formatRows="0" insertRows="0" insertColumns="0" insertHyperlinks="0" deleteColumns="0" deleteRows="0" sort="0" autoFilter="0" pivotTables="0"/>
  <autoFilter xmlns:etc="http://www.wps.cn/officeDocument/2017/etCustomData" ref="A1:CD220" etc:filterBottomFollowUsedRange="0">
    <extLst/>
  </autoFilter>
  <conditionalFormatting sqref="R1">
    <cfRule type="cellIs" dxfId="0" priority="286" operator="equal">
      <formula>"欠"</formula>
    </cfRule>
  </conditionalFormatting>
  <conditionalFormatting sqref="S108:V108">
    <cfRule type="containsText" dxfId="1" priority="284" operator="between" text="欠">
      <formula>NOT(ISERROR(SEARCH("欠",S108)))</formula>
    </cfRule>
  </conditionalFormatting>
  <conditionalFormatting sqref="T118">
    <cfRule type="containsText" dxfId="1" priority="268" operator="between" text="欠">
      <formula>NOT(ISERROR(SEARCH("欠",T118)))</formula>
    </cfRule>
  </conditionalFormatting>
  <conditionalFormatting sqref="T119">
    <cfRule type="containsText" dxfId="1" priority="266" operator="between" text="欠">
      <formula>NOT(ISERROR(SEARCH("欠",T119)))</formula>
    </cfRule>
  </conditionalFormatting>
  <conditionalFormatting sqref="T120">
    <cfRule type="containsText" dxfId="1" priority="265" operator="between" text="欠">
      <formula>NOT(ISERROR(SEARCH("欠",T120)))</formula>
    </cfRule>
  </conditionalFormatting>
  <conditionalFormatting sqref="T121">
    <cfRule type="containsText" dxfId="1" priority="260" operator="between" text="欠">
      <formula>NOT(ISERROR(SEARCH("欠",T121)))</formula>
    </cfRule>
  </conditionalFormatting>
  <conditionalFormatting sqref="T122">
    <cfRule type="containsText" dxfId="1" priority="258" operator="between" text="欠">
      <formula>NOT(ISERROR(SEARCH("欠",T122)))</formula>
    </cfRule>
  </conditionalFormatting>
  <conditionalFormatting sqref="U124:V124">
    <cfRule type="containsText" dxfId="1" priority="254" operator="between" text="欠">
      <formula>NOT(ISERROR(SEARCH("欠",U124)))</formula>
    </cfRule>
  </conditionalFormatting>
  <conditionalFormatting sqref="R126">
    <cfRule type="containsText" dxfId="1" priority="249" operator="between" text="欠">
      <formula>NOT(ISERROR(SEARCH("欠",R126)))</formula>
    </cfRule>
  </conditionalFormatting>
  <conditionalFormatting sqref="U129">
    <cfRule type="containsText" dxfId="1" priority="237" operator="between" text="欠">
      <formula>NOT(ISERROR(SEARCH("欠",U129)))</formula>
    </cfRule>
  </conditionalFormatting>
  <conditionalFormatting sqref="U130">
    <cfRule type="containsText" dxfId="1" priority="236" operator="between" text="欠">
      <formula>NOT(ISERROR(SEARCH("欠",U130)))</formula>
    </cfRule>
  </conditionalFormatting>
  <conditionalFormatting sqref="T131">
    <cfRule type="containsText" dxfId="1" priority="225" operator="between" text="欠">
      <formula>NOT(ISERROR(SEARCH("欠",T131)))</formula>
    </cfRule>
  </conditionalFormatting>
  <conditionalFormatting sqref="U131">
    <cfRule type="containsText" dxfId="1" priority="223" operator="between" text="欠">
      <formula>NOT(ISERROR(SEARCH("欠",U131)))</formula>
    </cfRule>
  </conditionalFormatting>
  <conditionalFormatting sqref="S137:T137">
    <cfRule type="containsText" dxfId="1" priority="206" operator="between" text="欠">
      <formula>NOT(ISERROR(SEARCH("欠",S137)))</formula>
    </cfRule>
  </conditionalFormatting>
  <conditionalFormatting sqref="U137">
    <cfRule type="containsText" dxfId="1" priority="205" operator="between" text="欠">
      <formula>NOT(ISERROR(SEARCH("欠",U137)))</formula>
    </cfRule>
  </conditionalFormatting>
  <conditionalFormatting sqref="V137">
    <cfRule type="containsText" dxfId="1" priority="207" operator="between" text="欠">
      <formula>NOT(ISERROR(SEARCH("欠",V137)))</formula>
    </cfRule>
  </conditionalFormatting>
  <conditionalFormatting sqref="S138">
    <cfRule type="containsText" dxfId="1" priority="202" operator="between" text="欠">
      <formula>NOT(ISERROR(SEARCH("欠",S138)))</formula>
    </cfRule>
  </conditionalFormatting>
  <conditionalFormatting sqref="T138:U138">
    <cfRule type="containsText" dxfId="1" priority="203" operator="between" text="欠">
      <formula>NOT(ISERROR(SEARCH("欠",T138)))</formula>
    </cfRule>
  </conditionalFormatting>
  <conditionalFormatting sqref="V138">
    <cfRule type="containsText" dxfId="1" priority="204" operator="between" text="欠">
      <formula>NOT(ISERROR(SEARCH("欠",V138)))</formula>
    </cfRule>
  </conditionalFormatting>
  <conditionalFormatting sqref="V139">
    <cfRule type="containsText" dxfId="1" priority="201" operator="between" text="欠">
      <formula>NOT(ISERROR(SEARCH("欠",V139)))</formula>
    </cfRule>
  </conditionalFormatting>
  <conditionalFormatting sqref="U151">
    <cfRule type="containsText" dxfId="1" priority="184" operator="between" text="欠">
      <formula>NOT(ISERROR(SEARCH("欠",U151)))</formula>
    </cfRule>
  </conditionalFormatting>
  <conditionalFormatting sqref="V151">
    <cfRule type="containsText" dxfId="1" priority="187" operator="between" text="欠">
      <formula>NOT(ISERROR(SEARCH("欠",V151)))</formula>
    </cfRule>
  </conditionalFormatting>
  <conditionalFormatting sqref="U152">
    <cfRule type="containsText" dxfId="1" priority="183" operator="between" text="欠">
      <formula>NOT(ISERROR(SEARCH("欠",U152)))</formula>
    </cfRule>
  </conditionalFormatting>
  <conditionalFormatting sqref="V152">
    <cfRule type="containsText" dxfId="1" priority="186" operator="between" text="欠">
      <formula>NOT(ISERROR(SEARCH("欠",V152)))</formula>
    </cfRule>
  </conditionalFormatting>
  <conditionalFormatting sqref="U153">
    <cfRule type="containsText" dxfId="1" priority="177" operator="between" text="欠">
      <formula>NOT(ISERROR(SEARCH("欠",U153)))</formula>
    </cfRule>
  </conditionalFormatting>
  <conditionalFormatting sqref="V153">
    <cfRule type="containsText" dxfId="1" priority="178" operator="between" text="欠">
      <formula>NOT(ISERROR(SEARCH("欠",V153)))</formula>
    </cfRule>
  </conditionalFormatting>
  <conditionalFormatting sqref="S154">
    <cfRule type="containsText" dxfId="1" priority="172" operator="between" text="欠">
      <formula>NOT(ISERROR(SEARCH("欠",S154)))</formula>
    </cfRule>
  </conditionalFormatting>
  <conditionalFormatting sqref="T154">
    <cfRule type="containsText" dxfId="1" priority="175" operator="between" text="欠">
      <formula>NOT(ISERROR(SEARCH("欠",T154)))</formula>
    </cfRule>
  </conditionalFormatting>
  <conditionalFormatting sqref="U154">
    <cfRule type="containsText" dxfId="1" priority="173" operator="between" text="欠">
      <formula>NOT(ISERROR(SEARCH("欠",U154)))</formula>
    </cfRule>
  </conditionalFormatting>
  <conditionalFormatting sqref="V154">
    <cfRule type="containsText" dxfId="1" priority="174" operator="between" text="欠">
      <formula>NOT(ISERROR(SEARCH("欠",V154)))</formula>
    </cfRule>
  </conditionalFormatting>
  <conditionalFormatting sqref="U155">
    <cfRule type="containsText" dxfId="1" priority="170" operator="between" text="欠">
      <formula>NOT(ISERROR(SEARCH("欠",U155)))</formula>
    </cfRule>
  </conditionalFormatting>
  <conditionalFormatting sqref="T160">
    <cfRule type="containsText" dxfId="1" priority="161" operator="between" text="欠">
      <formula>NOT(ISERROR(SEARCH("欠",T160)))</formula>
    </cfRule>
  </conditionalFormatting>
  <conditionalFormatting sqref="T161">
    <cfRule type="containsText" dxfId="1" priority="160" operator="between" text="欠">
      <formula>NOT(ISERROR(SEARCH("欠",T161)))</formula>
    </cfRule>
  </conditionalFormatting>
  <conditionalFormatting sqref="T162">
    <cfRule type="containsText" dxfId="1" priority="156" operator="between" text="欠">
      <formula>NOT(ISERROR(SEARCH("欠",T162)))</formula>
    </cfRule>
  </conditionalFormatting>
  <conditionalFormatting sqref="U162">
    <cfRule type="containsText" dxfId="1" priority="155" operator="between" text="欠">
      <formula>NOT(ISERROR(SEARCH("欠",U162)))</formula>
    </cfRule>
  </conditionalFormatting>
  <conditionalFormatting sqref="V162">
    <cfRule type="containsText" dxfId="1" priority="153" operator="between" text="欠">
      <formula>NOT(ISERROR(SEARCH("欠",V162)))</formula>
    </cfRule>
  </conditionalFormatting>
  <conditionalFormatting sqref="T163">
    <cfRule type="containsText" dxfId="1" priority="152" operator="between" text="欠">
      <formula>NOT(ISERROR(SEARCH("欠",T163)))</formula>
    </cfRule>
  </conditionalFormatting>
  <conditionalFormatting sqref="U163">
    <cfRule type="containsText" dxfId="1" priority="151" operator="between" text="欠">
      <formula>NOT(ISERROR(SEARCH("欠",U163)))</formula>
    </cfRule>
  </conditionalFormatting>
  <conditionalFormatting sqref="V163">
    <cfRule type="containsText" dxfId="1" priority="149" operator="between" text="欠">
      <formula>NOT(ISERROR(SEARCH("欠",V163)))</formula>
    </cfRule>
  </conditionalFormatting>
  <conditionalFormatting sqref="T164">
    <cfRule type="containsText" dxfId="1" priority="145" operator="between" text="欠">
      <formula>NOT(ISERROR(SEARCH("欠",T164)))</formula>
    </cfRule>
  </conditionalFormatting>
  <conditionalFormatting sqref="U164">
    <cfRule type="containsText" dxfId="1" priority="147" operator="between" text="欠">
      <formula>NOT(ISERROR(SEARCH("欠",U164)))</formula>
    </cfRule>
  </conditionalFormatting>
  <conditionalFormatting sqref="V164">
    <cfRule type="containsText" dxfId="1" priority="148" operator="between" text="欠">
      <formula>NOT(ISERROR(SEARCH("欠",V164)))</formula>
    </cfRule>
  </conditionalFormatting>
  <conditionalFormatting sqref="T165">
    <cfRule type="containsText" dxfId="1" priority="141" operator="between" text="欠">
      <formula>NOT(ISERROR(SEARCH("欠",T165)))</formula>
    </cfRule>
  </conditionalFormatting>
  <conditionalFormatting sqref="T166">
    <cfRule type="containsText" dxfId="1" priority="140" operator="between" text="欠">
      <formula>NOT(ISERROR(SEARCH("欠",T166)))</formula>
    </cfRule>
  </conditionalFormatting>
  <conditionalFormatting sqref="T167">
    <cfRule type="containsText" dxfId="1" priority="139" operator="between" text="欠">
      <formula>NOT(ISERROR(SEARCH("欠",T167)))</formula>
    </cfRule>
  </conditionalFormatting>
  <conditionalFormatting sqref="U167">
    <cfRule type="containsText" dxfId="1" priority="137" operator="between" text="欠">
      <formula>NOT(ISERROR(SEARCH("欠",U167)))</formula>
    </cfRule>
  </conditionalFormatting>
  <conditionalFormatting sqref="V167">
    <cfRule type="containsText" dxfId="1" priority="138" operator="between" text="欠">
      <formula>NOT(ISERROR(SEARCH("欠",V167)))</formula>
    </cfRule>
  </conditionalFormatting>
  <conditionalFormatting sqref="T168">
    <cfRule type="containsText" dxfId="1" priority="135" operator="between" text="欠">
      <formula>NOT(ISERROR(SEARCH("欠",T168)))</formula>
    </cfRule>
  </conditionalFormatting>
  <conditionalFormatting sqref="U168">
    <cfRule type="containsText" dxfId="1" priority="133" operator="between" text="欠">
      <formula>NOT(ISERROR(SEARCH("欠",U168)))</formula>
    </cfRule>
  </conditionalFormatting>
  <conditionalFormatting sqref="V168">
    <cfRule type="containsText" dxfId="1" priority="134" operator="between" text="欠">
      <formula>NOT(ISERROR(SEARCH("欠",V168)))</formula>
    </cfRule>
  </conditionalFormatting>
  <conditionalFormatting sqref="R181">
    <cfRule type="containsText" dxfId="1" priority="116" operator="between" text="欠">
      <formula>NOT(ISERROR(SEARCH("欠",R181)))</formula>
    </cfRule>
  </conditionalFormatting>
  <conditionalFormatting sqref="S181:T181">
    <cfRule type="containsText" dxfId="1" priority="117" operator="between" text="欠">
      <formula>NOT(ISERROR(SEARCH("欠",S181)))</formula>
    </cfRule>
  </conditionalFormatting>
  <conditionalFormatting sqref="U181">
    <cfRule type="containsText" dxfId="1" priority="115" operator="between" text="欠">
      <formula>NOT(ISERROR(SEARCH("欠",U181)))</formula>
    </cfRule>
  </conditionalFormatting>
  <conditionalFormatting sqref="Q182">
    <cfRule type="containsText" dxfId="1" priority="108" operator="between" text="欠">
      <formula>NOT(ISERROR(SEARCH("欠",Q182)))</formula>
    </cfRule>
  </conditionalFormatting>
  <conditionalFormatting sqref="R182">
    <cfRule type="containsText" dxfId="1" priority="111" operator="between" text="欠">
      <formula>NOT(ISERROR(SEARCH("欠",R182)))</formula>
    </cfRule>
  </conditionalFormatting>
  <conditionalFormatting sqref="S182:T182">
    <cfRule type="containsText" dxfId="1" priority="112" operator="between" text="欠">
      <formula>NOT(ISERROR(SEARCH("欠",S182)))</formula>
    </cfRule>
  </conditionalFormatting>
  <conditionalFormatting sqref="U182">
    <cfRule type="containsText" dxfId="1" priority="109" operator="between" text="欠">
      <formula>NOT(ISERROR(SEARCH("欠",U182)))</formula>
    </cfRule>
  </conditionalFormatting>
  <conditionalFormatting sqref="V182">
    <cfRule type="containsText" dxfId="1" priority="113" operator="between" text="欠">
      <formula>NOT(ISERROR(SEARCH("欠",V182)))</formula>
    </cfRule>
  </conditionalFormatting>
  <conditionalFormatting sqref="U187">
    <cfRule type="containsText" dxfId="1" priority="101" operator="between" text="欠">
      <formula>NOT(ISERROR(SEARCH("欠",U187)))</formula>
    </cfRule>
  </conditionalFormatting>
  <conditionalFormatting sqref="V187">
    <cfRule type="containsText" dxfId="1" priority="98" operator="between" text="欠">
      <formula>NOT(ISERROR(SEARCH("欠",V187)))</formula>
    </cfRule>
  </conditionalFormatting>
  <conditionalFormatting sqref="W187">
    <cfRule type="containsText" dxfId="1" priority="100" operator="between" text="欠">
      <formula>NOT(ISERROR(SEARCH("欠",W187)))</formula>
    </cfRule>
  </conditionalFormatting>
  <conditionalFormatting sqref="X187">
    <cfRule type="containsText" dxfId="1" priority="99" operator="between" text="欠">
      <formula>NOT(ISERROR(SEARCH("欠",X187)))</formula>
    </cfRule>
  </conditionalFormatting>
  <conditionalFormatting sqref="U188">
    <cfRule type="containsText" dxfId="1" priority="97" operator="between" text="欠">
      <formula>NOT(ISERROR(SEARCH("欠",U188)))</formula>
    </cfRule>
  </conditionalFormatting>
  <conditionalFormatting sqref="V188">
    <cfRule type="containsText" dxfId="1" priority="94" operator="between" text="欠">
      <formula>NOT(ISERROR(SEARCH("欠",V188)))</formula>
    </cfRule>
  </conditionalFormatting>
  <conditionalFormatting sqref="W188">
    <cfRule type="containsText" dxfId="1" priority="96" operator="between" text="欠">
      <formula>NOT(ISERROR(SEARCH("欠",W188)))</formula>
    </cfRule>
  </conditionalFormatting>
  <conditionalFormatting sqref="X188">
    <cfRule type="containsText" dxfId="1" priority="95" operator="between" text="欠">
      <formula>NOT(ISERROR(SEARCH("欠",X188)))</formula>
    </cfRule>
  </conditionalFormatting>
  <conditionalFormatting sqref="T189">
    <cfRule type="containsText" dxfId="1" priority="91" operator="between" text="欠">
      <formula>NOT(ISERROR(SEARCH("欠",T189)))</formula>
    </cfRule>
  </conditionalFormatting>
  <conditionalFormatting sqref="V189">
    <cfRule type="containsText" dxfId="1" priority="93" operator="between" text="欠">
      <formula>NOT(ISERROR(SEARCH("欠",V189)))</formula>
    </cfRule>
  </conditionalFormatting>
  <conditionalFormatting sqref="T190">
    <cfRule type="containsText" dxfId="1" priority="89" operator="between" text="欠">
      <formula>NOT(ISERROR(SEARCH("欠",T190)))</formula>
    </cfRule>
  </conditionalFormatting>
  <conditionalFormatting sqref="V190">
    <cfRule type="containsText" dxfId="1" priority="90" operator="between" text="欠">
      <formula>NOT(ISERROR(SEARCH("欠",V190)))</formula>
    </cfRule>
  </conditionalFormatting>
  <conditionalFormatting sqref="U191:V191">
    <cfRule type="containsText" dxfId="1" priority="86" operator="between" text="欠">
      <formula>NOT(ISERROR(SEARCH("欠",U191)))</formula>
    </cfRule>
  </conditionalFormatting>
  <conditionalFormatting sqref="W191">
    <cfRule type="containsText" dxfId="1" priority="85" operator="between" text="欠">
      <formula>NOT(ISERROR(SEARCH("欠",W191)))</formula>
    </cfRule>
  </conditionalFormatting>
  <conditionalFormatting sqref="X191">
    <cfRule type="containsText" dxfId="1" priority="87" operator="between" text="欠">
      <formula>NOT(ISERROR(SEARCH("欠",X191)))</formula>
    </cfRule>
  </conditionalFormatting>
  <conditionalFormatting sqref="U192:V192">
    <cfRule type="containsText" dxfId="1" priority="83" operator="between" text="欠">
      <formula>NOT(ISERROR(SEARCH("欠",U192)))</formula>
    </cfRule>
  </conditionalFormatting>
  <conditionalFormatting sqref="W192">
    <cfRule type="containsText" dxfId="1" priority="82" operator="between" text="欠">
      <formula>NOT(ISERROR(SEARCH("欠",W192)))</formula>
    </cfRule>
  </conditionalFormatting>
  <conditionalFormatting sqref="X192">
    <cfRule type="containsText" dxfId="1" priority="84" operator="between" text="欠">
      <formula>NOT(ISERROR(SEARCH("欠",X192)))</formula>
    </cfRule>
  </conditionalFormatting>
  <conditionalFormatting sqref="T197">
    <cfRule type="containsText" dxfId="1" priority="74" operator="between" text="欠">
      <formula>NOT(ISERROR(SEARCH("欠",T197)))</formula>
    </cfRule>
  </conditionalFormatting>
  <conditionalFormatting sqref="V197">
    <cfRule type="containsText" dxfId="1" priority="76" operator="between" text="欠">
      <formula>NOT(ISERROR(SEARCH("欠",V197)))</formula>
    </cfRule>
  </conditionalFormatting>
  <conditionalFormatting sqref="T198">
    <cfRule type="containsText" dxfId="1" priority="73" operator="between" text="欠">
      <formula>NOT(ISERROR(SEARCH("欠",T198)))</formula>
    </cfRule>
  </conditionalFormatting>
  <conditionalFormatting sqref="V198">
    <cfRule type="containsText" dxfId="1" priority="75" operator="between" text="欠">
      <formula>NOT(ISERROR(SEARCH("欠",V198)))</formula>
    </cfRule>
  </conditionalFormatting>
  <conditionalFormatting sqref="U199">
    <cfRule type="containsText" dxfId="1" priority="68" operator="between" text="欠">
      <formula>NOT(ISERROR(SEARCH("欠",U199)))</formula>
    </cfRule>
  </conditionalFormatting>
  <conditionalFormatting sqref="V199">
    <cfRule type="containsText" dxfId="1" priority="71" operator="between" text="欠">
      <formula>NOT(ISERROR(SEARCH("欠",V199)))</formula>
    </cfRule>
  </conditionalFormatting>
  <conditionalFormatting sqref="W199">
    <cfRule type="containsText" dxfId="1" priority="69" operator="between" text="欠">
      <formula>NOT(ISERROR(SEARCH("欠",W199)))</formula>
    </cfRule>
  </conditionalFormatting>
  <conditionalFormatting sqref="X199">
    <cfRule type="containsText" dxfId="1" priority="70" operator="between" text="欠">
      <formula>NOT(ISERROR(SEARCH("欠",X199)))</formula>
    </cfRule>
  </conditionalFormatting>
  <conditionalFormatting sqref="U200">
    <cfRule type="cellIs" dxfId="0" priority="65" operator="equal">
      <formula>"欠"</formula>
    </cfRule>
  </conditionalFormatting>
  <conditionalFormatting sqref="V200">
    <cfRule type="containsText" dxfId="1" priority="66" operator="between" text="欠">
      <formula>NOT(ISERROR(SEARCH("欠",V200)))</formula>
    </cfRule>
  </conditionalFormatting>
  <conditionalFormatting sqref="X200">
    <cfRule type="containsText" dxfId="1" priority="67" operator="between" text="欠">
      <formula>NOT(ISERROR(SEARCH("欠",X200)))</formula>
    </cfRule>
  </conditionalFormatting>
  <conditionalFormatting sqref="S201">
    <cfRule type="cellIs" dxfId="0" priority="63" operator="equal">
      <formula>"欠"</formula>
    </cfRule>
  </conditionalFormatting>
  <conditionalFormatting sqref="T201">
    <cfRule type="containsText" dxfId="1" priority="64" operator="between" text="欠">
      <formula>NOT(ISERROR(SEARCH("欠",T201)))</formula>
    </cfRule>
  </conditionalFormatting>
  <conditionalFormatting sqref="V201">
    <cfRule type="containsText" dxfId="1" priority="62" operator="between" text="欠">
      <formula>NOT(ISERROR(SEARCH("欠",V201)))</formula>
    </cfRule>
  </conditionalFormatting>
  <conditionalFormatting sqref="S202">
    <cfRule type="cellIs" dxfId="0" priority="60" operator="equal">
      <formula>"欠"</formula>
    </cfRule>
  </conditionalFormatting>
  <conditionalFormatting sqref="V202">
    <cfRule type="containsText" dxfId="1" priority="61" operator="between" text="欠">
      <formula>NOT(ISERROR(SEARCH("欠",V202)))</formula>
    </cfRule>
  </conditionalFormatting>
  <conditionalFormatting sqref="S203">
    <cfRule type="containsText" dxfId="1" priority="57" operator="between" text="欠">
      <formula>NOT(ISERROR(SEARCH("欠",S203)))</formula>
    </cfRule>
  </conditionalFormatting>
  <conditionalFormatting sqref="T203">
    <cfRule type="containsText" dxfId="1" priority="58" operator="between" text="欠">
      <formula>NOT(ISERROR(SEARCH("欠",T203)))</formula>
    </cfRule>
  </conditionalFormatting>
  <conditionalFormatting sqref="U203">
    <cfRule type="containsText" dxfId="1" priority="56" operator="between" text="欠">
      <formula>NOT(ISERROR(SEARCH("欠",U203)))</formula>
    </cfRule>
  </conditionalFormatting>
  <conditionalFormatting sqref="V203">
    <cfRule type="containsText" dxfId="1" priority="59" operator="between" text="欠">
      <formula>NOT(ISERROR(SEARCH("欠",V203)))</formula>
    </cfRule>
  </conditionalFormatting>
  <conditionalFormatting sqref="W204">
    <cfRule type="cellIs" dxfId="0" priority="51" operator="equal">
      <formula>"欠"</formula>
    </cfRule>
    <cfRule type="containsText" dxfId="1" priority="52" operator="between" text="欠">
      <formula>NOT(ISERROR(SEARCH("欠",W204)))</formula>
    </cfRule>
  </conditionalFormatting>
  <conditionalFormatting sqref="X204">
    <cfRule type="containsText" dxfId="1" priority="54" operator="between" text="欠">
      <formula>NOT(ISERROR(SEARCH("欠",X204)))</formula>
    </cfRule>
  </conditionalFormatting>
  <conditionalFormatting sqref="Y204">
    <cfRule type="containsText" dxfId="1" priority="53" operator="between" text="欠">
      <formula>NOT(ISERROR(SEARCH("欠",Y204)))</formula>
    </cfRule>
  </conditionalFormatting>
  <conditionalFormatting sqref="Z204">
    <cfRule type="containsText" dxfId="1" priority="55" operator="between" text="欠">
      <formula>NOT(ISERROR(SEARCH("欠",Z204)))</formula>
    </cfRule>
  </conditionalFormatting>
  <conditionalFormatting sqref="W205">
    <cfRule type="containsText" dxfId="1" priority="50" operator="between" text="欠">
      <formula>NOT(ISERROR(SEARCH("欠",W205)))</formula>
    </cfRule>
    <cfRule type="cellIs" dxfId="0" priority="49" operator="equal">
      <formula>"欠"</formula>
    </cfRule>
  </conditionalFormatting>
  <conditionalFormatting sqref="X205">
    <cfRule type="containsText" dxfId="1" priority="46" operator="between" text="欠">
      <formula>NOT(ISERROR(SEARCH("欠",X205)))</formula>
    </cfRule>
  </conditionalFormatting>
  <conditionalFormatting sqref="Y205">
    <cfRule type="containsText" dxfId="1" priority="48" operator="between" text="欠">
      <formula>NOT(ISERROR(SEARCH("欠",Y205)))</formula>
    </cfRule>
  </conditionalFormatting>
  <conditionalFormatting sqref="Z205">
    <cfRule type="containsText" dxfId="1" priority="47" operator="between" text="欠">
      <formula>NOT(ISERROR(SEARCH("欠",Z205)))</formula>
    </cfRule>
  </conditionalFormatting>
  <conditionalFormatting sqref="W206">
    <cfRule type="containsText" dxfId="1" priority="44" operator="between" text="欠">
      <formula>NOT(ISERROR(SEARCH("欠",W206)))</formula>
    </cfRule>
  </conditionalFormatting>
  <conditionalFormatting sqref="X206">
    <cfRule type="containsText" dxfId="1" priority="45" operator="between" text="欠">
      <formula>NOT(ISERROR(SEARCH("欠",X206)))</formula>
    </cfRule>
  </conditionalFormatting>
  <conditionalFormatting sqref="Y206">
    <cfRule type="containsText" dxfId="1" priority="42" operator="between" text="欠">
      <formula>NOT(ISERROR(SEARCH("欠",Y206)))</formula>
    </cfRule>
  </conditionalFormatting>
  <conditionalFormatting sqref="Z206">
    <cfRule type="containsText" dxfId="1" priority="43" operator="between" text="欠">
      <formula>NOT(ISERROR(SEARCH("欠",Z206)))</formula>
    </cfRule>
  </conditionalFormatting>
  <conditionalFormatting sqref="V207">
    <cfRule type="cellIs" dxfId="0" priority="38" operator="equal">
      <formula>"欠"</formula>
    </cfRule>
    <cfRule type="containsText" dxfId="1" priority="39" operator="between" text="欠">
      <formula>NOT(ISERROR(SEARCH("欠",V207)))</formula>
    </cfRule>
  </conditionalFormatting>
  <conditionalFormatting sqref="W207">
    <cfRule type="containsText" dxfId="1" priority="40" operator="between" text="欠">
      <formula>NOT(ISERROR(SEARCH("欠",W207)))</formula>
    </cfRule>
  </conditionalFormatting>
  <conditionalFormatting sqref="X207">
    <cfRule type="containsText" dxfId="1" priority="37" operator="between" text="欠">
      <formula>NOT(ISERROR(SEARCH("欠",X207)))</formula>
    </cfRule>
  </conditionalFormatting>
  <conditionalFormatting sqref="Y207">
    <cfRule type="containsText" dxfId="1" priority="41" operator="between" text="欠">
      <formula>NOT(ISERROR(SEARCH("欠",Y207)))</formula>
    </cfRule>
  </conditionalFormatting>
  <conditionalFormatting sqref="V208">
    <cfRule type="containsText" dxfId="1" priority="35" operator="between" text="欠">
      <formula>NOT(ISERROR(SEARCH("欠",V208)))</formula>
    </cfRule>
    <cfRule type="cellIs" dxfId="0" priority="34" operator="equal">
      <formula>"欠"</formula>
    </cfRule>
  </conditionalFormatting>
  <conditionalFormatting sqref="W208">
    <cfRule type="containsText" dxfId="1" priority="32" operator="between" text="欠">
      <formula>NOT(ISERROR(SEARCH("欠",W208)))</formula>
    </cfRule>
  </conditionalFormatting>
  <conditionalFormatting sqref="X208">
    <cfRule type="containsText" dxfId="1" priority="36" operator="between" text="欠">
      <formula>NOT(ISERROR(SEARCH("欠",X208)))</formula>
    </cfRule>
  </conditionalFormatting>
  <conditionalFormatting sqref="Y208">
    <cfRule type="containsText" dxfId="1" priority="33" operator="between" text="欠">
      <formula>NOT(ISERROR(SEARCH("欠",Y208)))</formula>
    </cfRule>
  </conditionalFormatting>
  <conditionalFormatting sqref="V209">
    <cfRule type="containsText" dxfId="1" priority="29" operator="between" text="欠">
      <formula>NOT(ISERROR(SEARCH("欠",V209)))</formula>
    </cfRule>
    <cfRule type="cellIs" dxfId="0" priority="28" operator="equal">
      <formula>"欠"</formula>
    </cfRule>
  </conditionalFormatting>
  <conditionalFormatting sqref="X209">
    <cfRule type="containsText" dxfId="1" priority="31" operator="between" text="欠">
      <formula>NOT(ISERROR(SEARCH("欠",X209)))</formula>
    </cfRule>
  </conditionalFormatting>
  <conditionalFormatting sqref="Y209">
    <cfRule type="containsText" dxfId="1" priority="30" operator="between" text="欠">
      <formula>NOT(ISERROR(SEARCH("欠",Y209)))</formula>
    </cfRule>
  </conditionalFormatting>
  <conditionalFormatting sqref="V210">
    <cfRule type="cellIs" dxfId="0" priority="23" operator="equal">
      <formula>"欠"</formula>
    </cfRule>
    <cfRule type="containsText" dxfId="1" priority="24" operator="between" text="欠">
      <formula>NOT(ISERROR(SEARCH("欠",V210)))</formula>
    </cfRule>
  </conditionalFormatting>
  <conditionalFormatting sqref="W210">
    <cfRule type="containsText" dxfId="1" priority="25" operator="between" text="欠">
      <formula>NOT(ISERROR(SEARCH("欠",W210)))</formula>
    </cfRule>
  </conditionalFormatting>
  <conditionalFormatting sqref="X210">
    <cfRule type="containsText" dxfId="1" priority="27" operator="between" text="欠">
      <formula>NOT(ISERROR(SEARCH("欠",X210)))</formula>
    </cfRule>
  </conditionalFormatting>
  <conditionalFormatting sqref="Y210">
    <cfRule type="containsText" dxfId="1" priority="26" operator="between" text="欠">
      <formula>NOT(ISERROR(SEARCH("欠",Y210)))</formula>
    </cfRule>
  </conditionalFormatting>
  <conditionalFormatting sqref="V211">
    <cfRule type="containsText" dxfId="1" priority="15" operator="between" text="欠">
      <formula>NOT(ISERROR(SEARCH("欠",V211)))</formula>
    </cfRule>
    <cfRule type="cellIs" dxfId="0" priority="14" operator="equal">
      <formula>"欠"</formula>
    </cfRule>
  </conditionalFormatting>
  <conditionalFormatting sqref="X211">
    <cfRule type="containsText" dxfId="1" priority="17" operator="between" text="欠">
      <formula>NOT(ISERROR(SEARCH("欠",X211)))</formula>
    </cfRule>
  </conditionalFormatting>
  <conditionalFormatting sqref="Y211">
    <cfRule type="containsText" dxfId="1" priority="16" operator="between" text="欠">
      <formula>NOT(ISERROR(SEARCH("欠",Y211)))</formula>
    </cfRule>
  </conditionalFormatting>
  <conditionalFormatting sqref="V212">
    <cfRule type="cellIs" dxfId="0" priority="20" operator="equal">
      <formula>"欠"</formula>
    </cfRule>
    <cfRule type="containsText" dxfId="1" priority="21" operator="between" text="欠">
      <formula>NOT(ISERROR(SEARCH("欠",V212)))</formula>
    </cfRule>
  </conditionalFormatting>
  <conditionalFormatting sqref="W212">
    <cfRule type="containsText" dxfId="1" priority="18" operator="between" text="欠">
      <formula>NOT(ISERROR(SEARCH("欠",W212)))</formula>
    </cfRule>
  </conditionalFormatting>
  <conditionalFormatting sqref="X212">
    <cfRule type="containsText" dxfId="1" priority="22" operator="between" text="欠">
      <formula>NOT(ISERROR(SEARCH("欠",X212)))</formula>
    </cfRule>
  </conditionalFormatting>
  <conditionalFormatting sqref="Y212">
    <cfRule type="containsText" dxfId="1" priority="19" operator="between" text="欠">
      <formula>NOT(ISERROR(SEARCH("欠",Y212)))</formula>
    </cfRule>
  </conditionalFormatting>
  <conditionalFormatting sqref="V213">
    <cfRule type="containsText" dxfId="1" priority="10" operator="between" text="欠">
      <formula>NOT(ISERROR(SEARCH("欠",V213)))</formula>
    </cfRule>
    <cfRule type="cellIs" dxfId="0" priority="9" operator="equal">
      <formula>"欠"</formula>
    </cfRule>
  </conditionalFormatting>
  <conditionalFormatting sqref="W213">
    <cfRule type="containsText" dxfId="1" priority="12" operator="between" text="欠">
      <formula>NOT(ISERROR(SEARCH("欠",W213)))</formula>
    </cfRule>
  </conditionalFormatting>
  <conditionalFormatting sqref="X213">
    <cfRule type="containsText" dxfId="1" priority="11" operator="between" text="欠">
      <formula>NOT(ISERROR(SEARCH("欠",X213)))</formula>
    </cfRule>
  </conditionalFormatting>
  <conditionalFormatting sqref="Y213">
    <cfRule type="containsText" dxfId="1" priority="13" operator="between" text="欠">
      <formula>NOT(ISERROR(SEARCH("欠",Y213)))</formula>
    </cfRule>
  </conditionalFormatting>
  <conditionalFormatting sqref="Y220">
    <cfRule type="containsText" dxfId="1" priority="1" operator="between" text="欠">
      <formula>NOT(ISERROR(SEARCH("欠",Y220)))</formula>
    </cfRule>
  </conditionalFormatting>
  <conditionalFormatting sqref="S109:S110">
    <cfRule type="containsText" dxfId="1" priority="278" operator="between" text="欠">
      <formula>NOT(ISERROR(SEARCH("欠",S109)))</formula>
    </cfRule>
  </conditionalFormatting>
  <conditionalFormatting sqref="S125:S136">
    <cfRule type="containsText" dxfId="1" priority="252" operator="between" text="欠">
      <formula>NOT(ISERROR(SEARCH("欠",S125)))</formula>
    </cfRule>
  </conditionalFormatting>
  <conditionalFormatting sqref="S142:S153">
    <cfRule type="containsText" dxfId="1" priority="194" operator="between" text="欠">
      <formula>NOT(ISERROR(SEARCH("欠",S142)))</formula>
    </cfRule>
  </conditionalFormatting>
  <conditionalFormatting sqref="S155:S172">
    <cfRule type="containsText" dxfId="1" priority="169" operator="between" text="欠">
      <formula>NOT(ISERROR(SEARCH("欠",S155)))</formula>
    </cfRule>
  </conditionalFormatting>
  <conditionalFormatting sqref="S175:S176">
    <cfRule type="containsText" dxfId="1" priority="124" operator="between" text="欠">
      <formula>NOT(ISERROR(SEARCH("欠",S175)))</formula>
    </cfRule>
  </conditionalFormatting>
  <conditionalFormatting sqref="S189:S190">
    <cfRule type="containsText" dxfId="1" priority="88" operator="between" text="欠">
      <formula>NOT(ISERROR(SEARCH("欠",S189)))</formula>
    </cfRule>
  </conditionalFormatting>
  <conditionalFormatting sqref="S197:S198">
    <cfRule type="containsText" dxfId="1" priority="72" operator="between" text="欠">
      <formula>NOT(ISERROR(SEARCH("欠",S197)))</formula>
    </cfRule>
  </conditionalFormatting>
  <conditionalFormatting sqref="T123:T124">
    <cfRule type="containsText" dxfId="1" priority="257" operator="between" text="欠">
      <formula>NOT(ISERROR(SEARCH("欠",T123)))</formula>
    </cfRule>
  </conditionalFormatting>
  <conditionalFormatting sqref="T132:T136">
    <cfRule type="containsText" dxfId="1" priority="224" operator="between" text="欠">
      <formula>NOT(ISERROR(SEARCH("欠",T132)))</formula>
    </cfRule>
  </conditionalFormatting>
  <conditionalFormatting sqref="T139:T141">
    <cfRule type="containsText" dxfId="1" priority="197" operator="between" text="欠">
      <formula>NOT(ISERROR(SEARCH("欠",T139)))</formula>
    </cfRule>
  </conditionalFormatting>
  <conditionalFormatting sqref="T142:T153">
    <cfRule type="containsText" dxfId="1" priority="196" operator="between" text="欠">
      <formula>NOT(ISERROR(SEARCH("欠",T142)))</formula>
    </cfRule>
  </conditionalFormatting>
  <conditionalFormatting sqref="T158:T159">
    <cfRule type="containsText" dxfId="1" priority="163" operator="between" text="欠">
      <formula>NOT(ISERROR(SEARCH("欠",T158)))</formula>
    </cfRule>
  </conditionalFormatting>
  <conditionalFormatting sqref="T169:T172">
    <cfRule type="containsText" dxfId="1" priority="131" operator="between" text="欠">
      <formula>NOT(ISERROR(SEARCH("欠",T169)))</formula>
    </cfRule>
  </conditionalFormatting>
  <conditionalFormatting sqref="T175:T176">
    <cfRule type="containsText" dxfId="1" priority="122" operator="between" text="欠">
      <formula>NOT(ISERROR(SEARCH("欠",T175)))</formula>
    </cfRule>
  </conditionalFormatting>
  <conditionalFormatting sqref="U109:U111">
    <cfRule type="containsText" dxfId="1" priority="276" operator="between" text="欠">
      <formula>NOT(ISERROR(SEARCH("欠",U109)))</formula>
    </cfRule>
  </conditionalFormatting>
  <conditionalFormatting sqref="U125:U128">
    <cfRule type="containsText" dxfId="1" priority="251" operator="between" text="欠">
      <formula>NOT(ISERROR(SEARCH("欠",U125)))</formula>
    </cfRule>
  </conditionalFormatting>
  <conditionalFormatting sqref="U132:U136">
    <cfRule type="containsText" dxfId="1" priority="222" operator="between" text="欠">
      <formula>NOT(ISERROR(SEARCH("欠",U132)))</formula>
    </cfRule>
  </conditionalFormatting>
  <conditionalFormatting sqref="U140:U141">
    <cfRule type="containsText" dxfId="1" priority="198" operator="between" text="欠">
      <formula>NOT(ISERROR(SEARCH("欠",U140)))</formula>
    </cfRule>
  </conditionalFormatting>
  <conditionalFormatting sqref="U142:U150">
    <cfRule type="containsText" dxfId="1" priority="195" operator="between" text="欠">
      <formula>NOT(ISERROR(SEARCH("欠",U142)))</formula>
    </cfRule>
  </conditionalFormatting>
  <conditionalFormatting sqref="U156:U157">
    <cfRule type="containsText" dxfId="1" priority="167" operator="between" text="欠">
      <formula>NOT(ISERROR(SEARCH("欠",U156)))</formula>
    </cfRule>
  </conditionalFormatting>
  <conditionalFormatting sqref="U158:U159">
    <cfRule type="containsText" dxfId="1" priority="162" operator="between" text="欠">
      <formula>NOT(ISERROR(SEARCH("欠",U158)))</formula>
    </cfRule>
  </conditionalFormatting>
  <conditionalFormatting sqref="U160:U161">
    <cfRule type="containsText" dxfId="1" priority="159" operator="between" text="欠">
      <formula>NOT(ISERROR(SEARCH("欠",U160)))</formula>
    </cfRule>
  </conditionalFormatting>
  <conditionalFormatting sqref="U165:U166">
    <cfRule type="containsText" dxfId="1" priority="143" operator="between" text="欠">
      <formula>NOT(ISERROR(SEARCH("欠",U165)))</formula>
    </cfRule>
  </conditionalFormatting>
  <conditionalFormatting sqref="U169:U172">
    <cfRule type="containsText" dxfId="1" priority="129" operator="between" text="欠">
      <formula>NOT(ISERROR(SEARCH("欠",U169)))</formula>
    </cfRule>
  </conditionalFormatting>
  <conditionalFormatting sqref="U175:U176">
    <cfRule type="containsText" dxfId="1" priority="123" operator="between" text="欠">
      <formula>NOT(ISERROR(SEARCH("欠",U175)))</formula>
    </cfRule>
  </conditionalFormatting>
  <conditionalFormatting sqref="U179:U180">
    <cfRule type="containsText" dxfId="1" priority="118" operator="between" text="欠">
      <formula>NOT(ISERROR(SEARCH("欠",U179)))</formula>
    </cfRule>
  </conditionalFormatting>
  <conditionalFormatting sqref="U183:U184">
    <cfRule type="containsText" dxfId="1" priority="105" operator="between" text="欠">
      <formula>NOT(ISERROR(SEARCH("欠",U183)))</formula>
    </cfRule>
  </conditionalFormatting>
  <conditionalFormatting sqref="U185:U186">
    <cfRule type="containsText" dxfId="1" priority="102" operator="between" text="欠">
      <formula>NOT(ISERROR(SEARCH("欠",U185)))</formula>
    </cfRule>
  </conditionalFormatting>
  <conditionalFormatting sqref="U189:U190">
    <cfRule type="containsText" dxfId="1" priority="92" operator="between" text="欠">
      <formula>NOT(ISERROR(SEARCH("欠",U189)))</formula>
    </cfRule>
  </conditionalFormatting>
  <conditionalFormatting sqref="U195:U196">
    <cfRule type="containsText" dxfId="1" priority="79" operator="between" text="欠">
      <formula>NOT(ISERROR(SEARCH("欠",U195)))</formula>
    </cfRule>
  </conditionalFormatting>
  <conditionalFormatting sqref="U197:U198">
    <cfRule type="containsText" dxfId="1" priority="77" operator="between" text="欠">
      <formula>NOT(ISERROR(SEARCH("欠",U197)))</formula>
    </cfRule>
  </conditionalFormatting>
  <conditionalFormatting sqref="V140:V141">
    <cfRule type="containsText" dxfId="1" priority="199" operator="between" text="欠">
      <formula>NOT(ISERROR(SEARCH("欠",V140)))</formula>
    </cfRule>
  </conditionalFormatting>
  <conditionalFormatting sqref="V142:V150">
    <cfRule type="containsText" dxfId="1" priority="193" operator="between" text="欠">
      <formula>NOT(ISERROR(SEARCH("欠",V142)))</formula>
    </cfRule>
  </conditionalFormatting>
  <conditionalFormatting sqref="V158:V159">
    <cfRule type="containsText" dxfId="1" priority="164" operator="between" text="欠">
      <formula>NOT(ISERROR(SEARCH("欠",V158)))</formula>
    </cfRule>
  </conditionalFormatting>
  <conditionalFormatting sqref="V160:V161">
    <cfRule type="containsText" dxfId="1" priority="157" operator="between" text="欠">
      <formula>NOT(ISERROR(SEARCH("欠",V160)))</formula>
    </cfRule>
  </conditionalFormatting>
  <conditionalFormatting sqref="V165:V166">
    <cfRule type="containsText" dxfId="1" priority="144" operator="between" text="欠">
      <formula>NOT(ISERROR(SEARCH("欠",V165)))</formula>
    </cfRule>
  </conditionalFormatting>
  <conditionalFormatting sqref="V169:V172">
    <cfRule type="containsText" dxfId="1" priority="130" operator="between" text="欠">
      <formula>NOT(ISERROR(SEARCH("欠",V169)))</formula>
    </cfRule>
  </conditionalFormatting>
  <conditionalFormatting sqref="V173:V174">
    <cfRule type="containsText" dxfId="1" priority="126" operator="between" text="欠">
      <formula>NOT(ISERROR(SEARCH("欠",V173)))</formula>
    </cfRule>
  </conditionalFormatting>
  <conditionalFormatting sqref="V175:V176">
    <cfRule type="containsText" dxfId="1" priority="125" operator="between" text="欠">
      <formula>NOT(ISERROR(SEARCH("欠",V175)))</formula>
    </cfRule>
  </conditionalFormatting>
  <conditionalFormatting sqref="V179:V180">
    <cfRule type="containsText" dxfId="1" priority="120" operator="between" text="欠">
      <formula>NOT(ISERROR(SEARCH("欠",V179)))</formula>
    </cfRule>
  </conditionalFormatting>
  <conditionalFormatting sqref="V183:V184">
    <cfRule type="containsText" dxfId="1" priority="106" operator="between" text="欠">
      <formula>NOT(ISERROR(SEARCH("欠",V183)))</formula>
    </cfRule>
  </conditionalFormatting>
  <conditionalFormatting sqref="V185:V186">
    <cfRule type="containsText" dxfId="1" priority="104" operator="between" text="欠">
      <formula>NOT(ISERROR(SEARCH("欠",V185)))</formula>
    </cfRule>
  </conditionalFormatting>
  <conditionalFormatting sqref="V195:V196">
    <cfRule type="containsText" dxfId="1" priority="78" operator="between" text="欠">
      <formula>NOT(ISERROR(SEARCH("欠",V195)))</formula>
    </cfRule>
  </conditionalFormatting>
  <conditionalFormatting sqref="V215:V219">
    <cfRule type="containsText" dxfId="1" priority="6" operator="between" text="欠">
      <formula>NOT(ISERROR(SEARCH("欠",V215)))</formula>
    </cfRule>
    <cfRule type="cellIs" dxfId="0" priority="5" operator="equal">
      <formula>"欠"</formula>
    </cfRule>
  </conditionalFormatting>
  <conditionalFormatting sqref="W215:W219">
    <cfRule type="containsText" dxfId="1" priority="7" operator="between" text="欠">
      <formula>NOT(ISERROR(SEARCH("欠",W215)))</formula>
    </cfRule>
    <cfRule type="containsText" dxfId="1" priority="3" operator="between" text="欠">
      <formula>NOT(ISERROR(SEARCH("欠",W215)))</formula>
    </cfRule>
  </conditionalFormatting>
  <conditionalFormatting sqref="X215:X219">
    <cfRule type="containsText" dxfId="1" priority="2" operator="between" text="欠">
      <formula>NOT(ISERROR(SEARCH("欠",X215)))</formula>
    </cfRule>
  </conditionalFormatting>
  <conditionalFormatting sqref="Y215:Y219">
    <cfRule type="containsText" dxfId="1" priority="8" operator="between" text="欠">
      <formula>NOT(ISERROR(SEARCH("欠",Y215)))</formula>
    </cfRule>
    <cfRule type="containsText" dxfId="1" priority="4" operator="between" text="欠">
      <formula>NOT(ISERROR(SEARCH("欠",Y215)))</formula>
    </cfRule>
  </conditionalFormatting>
  <conditionalFormatting sqref="T109:T110 V109:V113">
    <cfRule type="containsText" dxfId="1" priority="282" operator="between" text="欠">
      <formula>NOT(ISERROR(SEARCH("欠",T109)))</formula>
    </cfRule>
  </conditionalFormatting>
  <conditionalFormatting sqref="S111:T111 S112:U113">
    <cfRule type="containsText" dxfId="1" priority="280" operator="between" text="欠">
      <formula>NOT(ISERROR(SEARCH("欠",S111)))</formula>
    </cfRule>
  </conditionalFormatting>
  <conditionalFormatting sqref="S114:U115 S116:T117">
    <cfRule type="containsText" dxfId="1" priority="274" operator="between" text="欠">
      <formula>NOT(ISERROR(SEARCH("欠",S114)))</formula>
    </cfRule>
  </conditionalFormatting>
  <conditionalFormatting sqref="U116:V117">
    <cfRule type="containsText" dxfId="1" priority="272" operator="between" text="欠">
      <formula>NOT(ISERROR(SEARCH("欠",U116)))</formula>
    </cfRule>
  </conditionalFormatting>
  <conditionalFormatting sqref="S118:S124 U118:V120">
    <cfRule type="containsText" dxfId="1" priority="270" operator="between" text="欠">
      <formula>NOT(ISERROR(SEARCH("欠",S118)))</formula>
    </cfRule>
  </conditionalFormatting>
  <conditionalFormatting sqref="U121:V123">
    <cfRule type="containsText" dxfId="1" priority="262" operator="between" text="欠">
      <formula>NOT(ISERROR(SEARCH("欠",U121)))</formula>
    </cfRule>
  </conditionalFormatting>
  <conditionalFormatting sqref="R125 T125:T130">
    <cfRule type="containsText" dxfId="1" priority="250" operator="between" text="欠">
      <formula>NOT(ISERROR(SEARCH("欠",R125)))</formula>
    </cfRule>
  </conditionalFormatting>
  <conditionalFormatting sqref="S139:S141 U139">
    <cfRule type="containsText" dxfId="1" priority="200" operator="between" text="欠">
      <formula>NOT(ISERROR(SEARCH("欠",S139)))</formula>
    </cfRule>
  </conditionalFormatting>
  <conditionalFormatting sqref="V155 T155">
    <cfRule type="containsText" dxfId="1" priority="171" operator="between" text="欠">
      <formula>NOT(ISERROR(SEARCH("欠",T155)))</formula>
    </cfRule>
  </conditionalFormatting>
  <conditionalFormatting sqref="T156 V156">
    <cfRule type="containsText" dxfId="1" priority="166" operator="between" text="欠">
      <formula>NOT(ISERROR(SEARCH("欠",T156)))</formula>
    </cfRule>
  </conditionalFormatting>
  <conditionalFormatting sqref="V157 T157">
    <cfRule type="containsText" dxfId="1" priority="165" operator="between" text="欠">
      <formula>NOT(ISERROR(SEARCH("欠",T157)))</formula>
    </cfRule>
  </conditionalFormatting>
  <conditionalFormatting sqref="S173:U174">
    <cfRule type="containsText" dxfId="1" priority="127" operator="between" text="欠">
      <formula>NOT(ISERROR(SEARCH("欠",S173)))</formula>
    </cfRule>
  </conditionalFormatting>
  <conditionalFormatting sqref="S177:V178">
    <cfRule type="containsText" dxfId="1" priority="121" operator="between" text="欠">
      <formula>NOT(ISERROR(SEARCH("欠",S177)))</formula>
    </cfRule>
  </conditionalFormatting>
  <conditionalFormatting sqref="S179:T180">
    <cfRule type="containsText" dxfId="1" priority="119" operator="between" text="欠">
      <formula>NOT(ISERROR(SEARCH("欠",S179)))</formula>
    </cfRule>
  </conditionalFormatting>
  <conditionalFormatting sqref="S183:T184">
    <cfRule type="containsText" dxfId="1" priority="107" operator="between" text="欠">
      <formula>NOT(ISERROR(SEARCH("欠",S183)))</formula>
    </cfRule>
  </conditionalFormatting>
  <conditionalFormatting sqref="S185:T186">
    <cfRule type="containsText" dxfId="1" priority="103" operator="between" text="欠">
      <formula>NOT(ISERROR(SEARCH("欠",S185)))</formula>
    </cfRule>
  </conditionalFormatting>
  <conditionalFormatting sqref="U193:X194">
    <cfRule type="containsText" dxfId="1" priority="81" operator="between" text="欠">
      <formula>NOT(ISERROR(SEARCH("欠",U193)))</formula>
    </cfRule>
  </conditionalFormatting>
  <conditionalFormatting sqref="S195:T196">
    <cfRule type="containsText" dxfId="1" priority="80" operator="between" text="欠">
      <formula>NOT(ISERROR(SEARCH("欠",S195)))</formula>
    </cfRule>
  </conditionalFormatting>
  <pageMargins left="0" right="0.0791666666666667" top="0.388888888888889" bottom="0.509027777777778" header="0.5" footer="0.5"/>
  <pageSetup paperSize="9" scale="70" orientation="landscape"/>
  <headerFooter alignWithMargins="0" scaleWithDoc="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XFD97"/>
  <sheetViews>
    <sheetView workbookViewId="0">
      <pane xSplit="13" ySplit="1" topLeftCell="N84" activePane="bottomRight" state="frozen"/>
      <selection/>
      <selection pane="topRight"/>
      <selection pane="bottomLeft"/>
      <selection pane="bottomRight" activeCell="K94" sqref="K94"/>
    </sheetView>
  </sheetViews>
  <sheetFormatPr defaultColWidth="8.1" defaultRowHeight="13.5"/>
  <cols>
    <col min="1" max="1" width="10.1" style="483" customWidth="1"/>
    <col min="2" max="3" width="8.1" style="483"/>
    <col min="4" max="4" width="9.74166666666667" style="483" customWidth="1"/>
    <col min="5" max="6" width="8.1" style="483"/>
    <col min="7" max="7" width="12.7" style="483" customWidth="1"/>
    <col min="8" max="12" width="8.1" style="483"/>
    <col min="13" max="13" width="12.7" style="483" customWidth="1"/>
    <col min="14" max="14" width="13.9" style="483" customWidth="1"/>
    <col min="15" max="15" width="11.6416666666667" style="483" customWidth="1"/>
    <col min="16" max="19" width="8.1" style="483"/>
    <col min="20" max="70" width="8.1" style="483" hidden="1" customWidth="1"/>
    <col min="71" max="72" width="8.1" style="484"/>
    <col min="73" max="16384" width="8.1" style="483"/>
  </cols>
  <sheetData>
    <row r="1" s="475" customFormat="1" ht="50" customHeight="1" spans="1:237">
      <c r="A1" s="485" t="s">
        <v>9108</v>
      </c>
      <c r="B1" s="485" t="s">
        <v>15</v>
      </c>
      <c r="C1" s="485" t="s">
        <v>16</v>
      </c>
      <c r="D1" s="485" t="s">
        <v>17</v>
      </c>
      <c r="E1" s="485" t="s">
        <v>12758</v>
      </c>
      <c r="F1" s="485" t="s">
        <v>9109</v>
      </c>
      <c r="G1" s="485" t="s">
        <v>9110</v>
      </c>
      <c r="H1" s="485" t="s">
        <v>9111</v>
      </c>
      <c r="I1" s="485" t="s">
        <v>9112</v>
      </c>
      <c r="J1" s="485" t="s">
        <v>24</v>
      </c>
      <c r="K1" s="485" t="s">
        <v>9113</v>
      </c>
      <c r="L1" s="485" t="s">
        <v>26</v>
      </c>
      <c r="M1" s="485" t="s">
        <v>9114</v>
      </c>
      <c r="N1" s="485" t="s">
        <v>9115</v>
      </c>
      <c r="O1" s="486" t="s">
        <v>9116</v>
      </c>
      <c r="P1" s="485" t="s">
        <v>30</v>
      </c>
      <c r="Q1" s="487" t="s">
        <v>12223</v>
      </c>
      <c r="R1" s="487" t="s">
        <v>12224</v>
      </c>
      <c r="S1" s="487" t="s">
        <v>12225</v>
      </c>
      <c r="T1" s="486" t="s">
        <v>9121</v>
      </c>
      <c r="U1" s="486" t="s">
        <v>37</v>
      </c>
      <c r="V1" s="486" t="s">
        <v>38</v>
      </c>
      <c r="W1" s="488" t="s">
        <v>39</v>
      </c>
      <c r="X1" s="485" t="s">
        <v>9122</v>
      </c>
      <c r="Y1" s="485" t="s">
        <v>41</v>
      </c>
      <c r="Z1" s="489" t="s">
        <v>42</v>
      </c>
      <c r="AA1" s="490" t="s">
        <v>43</v>
      </c>
      <c r="AB1" s="491" t="s">
        <v>20</v>
      </c>
      <c r="AC1" s="491" t="s">
        <v>44</v>
      </c>
      <c r="AD1" s="485" t="s">
        <v>9123</v>
      </c>
      <c r="AE1" s="485" t="s">
        <v>9125</v>
      </c>
      <c r="AF1" s="492" t="s">
        <v>9128</v>
      </c>
      <c r="AG1" s="493" t="s">
        <v>9129</v>
      </c>
      <c r="AH1" s="494" t="s">
        <v>9131</v>
      </c>
      <c r="AI1" s="493" t="s">
        <v>10188</v>
      </c>
      <c r="AJ1" s="493" t="s">
        <v>10189</v>
      </c>
      <c r="AK1" s="493" t="s">
        <v>10190</v>
      </c>
      <c r="AL1" s="493" t="s">
        <v>10191</v>
      </c>
      <c r="AM1" s="493" t="s">
        <v>2575</v>
      </c>
      <c r="AN1" s="493" t="s">
        <v>9143</v>
      </c>
      <c r="AO1" s="494" t="s">
        <v>9144</v>
      </c>
      <c r="AP1" s="493" t="s">
        <v>9164</v>
      </c>
      <c r="AQ1" s="493" t="s">
        <v>12759</v>
      </c>
      <c r="AR1" s="495" t="s">
        <v>10193</v>
      </c>
      <c r="AT1" s="495" t="s">
        <v>10194</v>
      </c>
      <c r="AV1" s="495" t="s">
        <v>10195</v>
      </c>
      <c r="AX1" s="495" t="s">
        <v>10196</v>
      </c>
      <c r="AY1" s="496"/>
      <c r="AZ1" s="495" t="s">
        <v>9150</v>
      </c>
      <c r="BA1" s="495" t="s">
        <v>10197</v>
      </c>
      <c r="BB1" s="497" t="s">
        <v>9151</v>
      </c>
      <c r="BC1" s="496" t="s">
        <v>9151</v>
      </c>
      <c r="BD1" s="496" t="s">
        <v>9151</v>
      </c>
      <c r="BE1" s="496" t="s">
        <v>9151</v>
      </c>
      <c r="BF1" s="496" t="s">
        <v>9151</v>
      </c>
      <c r="BG1" s="496" t="s">
        <v>9151</v>
      </c>
      <c r="BH1" s="496" t="s">
        <v>9151</v>
      </c>
      <c r="BI1" s="496" t="s">
        <v>9151</v>
      </c>
      <c r="BS1" s="487" t="s">
        <v>12226</v>
      </c>
      <c r="BT1" s="487" t="s">
        <v>12227</v>
      </c>
    </row>
    <row r="2" s="476" customFormat="1" ht="32" customHeight="1" spans="1:237">
      <c r="A2" s="498">
        <v>45376</v>
      </c>
      <c r="B2" s="499" t="s">
        <v>4111</v>
      </c>
      <c r="C2" s="499" t="s">
        <v>91</v>
      </c>
      <c r="D2" s="500">
        <v>4500127793</v>
      </c>
      <c r="E2" s="500">
        <v>5200004335</v>
      </c>
      <c r="F2" s="500" t="s">
        <v>12760</v>
      </c>
      <c r="G2" s="499" t="s">
        <v>12761</v>
      </c>
      <c r="H2" s="499" t="s">
        <v>10203</v>
      </c>
      <c r="I2" s="501">
        <v>1000</v>
      </c>
      <c r="J2" s="502">
        <v>0</v>
      </c>
      <c r="K2" s="502">
        <v>2</v>
      </c>
      <c r="L2" s="502">
        <f t="shared" ref="L2:L65" si="0">I2/K2</f>
        <v>500</v>
      </c>
      <c r="M2" s="503">
        <v>45412</v>
      </c>
      <c r="N2" s="504" t="s">
        <v>12762</v>
      </c>
      <c r="O2" s="505" t="s">
        <v>12412</v>
      </c>
      <c r="P2" s="506"/>
      <c r="Q2" s="506"/>
      <c r="R2" s="507" t="s">
        <v>12763</v>
      </c>
      <c r="S2" s="507" t="s">
        <v>98</v>
      </c>
      <c r="T2" s="507" t="s">
        <v>98</v>
      </c>
      <c r="U2" s="507"/>
      <c r="V2" s="507"/>
      <c r="W2" s="508" t="s">
        <v>12764</v>
      </c>
      <c r="X2" s="499" t="s">
        <v>12765</v>
      </c>
      <c r="Y2" s="509">
        <v>7.75</v>
      </c>
      <c r="Z2" s="510">
        <f t="shared" ref="Z2:Z6" si="1">Y2*I2</f>
        <v>7750</v>
      </c>
      <c r="AA2" s="502"/>
      <c r="AB2" s="499" t="s">
        <v>10202</v>
      </c>
      <c r="AC2" s="501" t="s">
        <v>416</v>
      </c>
      <c r="AD2" s="511">
        <f t="shared" ref="AD2:AD6" si="2">I2</f>
        <v>1000</v>
      </c>
      <c r="AE2" s="511"/>
      <c r="AF2" s="511"/>
      <c r="AG2" s="512">
        <f t="shared" ref="AG2:AG6" si="3">AD2</f>
        <v>1000</v>
      </c>
      <c r="AH2" s="512"/>
      <c r="AI2" s="512"/>
      <c r="AJ2" s="512"/>
      <c r="AK2" s="512">
        <f>I2</f>
        <v>1000</v>
      </c>
      <c r="AL2" s="512"/>
      <c r="AM2" s="513"/>
      <c r="AN2" s="513">
        <f>I2</f>
        <v>1000</v>
      </c>
      <c r="AO2" s="512"/>
      <c r="AP2" s="513">
        <f>I2</f>
        <v>1000</v>
      </c>
      <c r="AQ2" s="513" t="s">
        <v>9164</v>
      </c>
      <c r="AR2" s="512"/>
      <c r="AS2" s="512"/>
      <c r="AT2" s="512"/>
      <c r="AU2" s="512"/>
      <c r="AV2" s="512">
        <f>I2</f>
        <v>1000</v>
      </c>
      <c r="AW2" s="512">
        <f>I2</f>
        <v>1000</v>
      </c>
      <c r="AX2" s="512"/>
      <c r="AY2" s="512"/>
      <c r="AZ2" s="514" t="e">
        <f>AR2+AT2+AV2+AX2+AZ1</f>
        <v>#VALUE!</v>
      </c>
      <c r="BA2" s="514" t="e">
        <f>AS2+AU2+AW2+AY2+BA1</f>
        <v>#VALUE!</v>
      </c>
      <c r="BB2" s="515" t="e">
        <f t="shared" ref="BB2:BI2" si="4">BB1-AR2</f>
        <v>#VALUE!</v>
      </c>
      <c r="BC2" s="515" t="e">
        <f t="shared" si="4"/>
        <v>#VALUE!</v>
      </c>
      <c r="BD2" s="515" t="e">
        <f t="shared" si="4"/>
        <v>#VALUE!</v>
      </c>
      <c r="BE2" s="515" t="e">
        <f t="shared" si="4"/>
        <v>#VALUE!</v>
      </c>
      <c r="BF2" s="515" t="e">
        <f t="shared" si="4"/>
        <v>#VALUE!</v>
      </c>
      <c r="BG2" s="515" t="e">
        <f t="shared" si="4"/>
        <v>#VALUE!</v>
      </c>
      <c r="BH2" s="515" t="e">
        <f t="shared" si="4"/>
        <v>#VALUE!</v>
      </c>
      <c r="BI2" s="515" t="e">
        <f t="shared" si="4"/>
        <v>#VALUE!</v>
      </c>
      <c r="BJ2" s="132"/>
      <c r="BK2" s="132"/>
      <c r="BL2" s="132"/>
      <c r="BM2" s="132"/>
      <c r="BN2" s="132"/>
      <c r="BO2" s="132"/>
      <c r="BP2" s="132"/>
      <c r="BQ2" s="132"/>
      <c r="BR2" s="138"/>
      <c r="BS2" s="99"/>
      <c r="BT2" s="99"/>
      <c r="BU2" s="475"/>
      <c r="BV2" s="475"/>
      <c r="BW2" s="475"/>
      <c r="BX2" s="475"/>
      <c r="BY2" s="475"/>
      <c r="BZ2" s="475"/>
      <c r="CA2" s="475"/>
      <c r="CB2" s="475"/>
      <c r="CC2" s="475"/>
      <c r="CD2" s="475"/>
      <c r="CE2" s="475"/>
      <c r="CF2" s="475"/>
      <c r="CG2" s="475"/>
      <c r="CH2" s="475"/>
      <c r="CI2" s="475"/>
      <c r="CJ2" s="475"/>
      <c r="CK2" s="475"/>
      <c r="CL2" s="475"/>
      <c r="CM2" s="475"/>
      <c r="CN2" s="475"/>
      <c r="CO2" s="132"/>
      <c r="CP2" s="132"/>
      <c r="CQ2" s="132"/>
      <c r="CR2" s="132"/>
      <c r="CS2" s="132"/>
      <c r="CT2" s="132"/>
      <c r="CU2" s="132"/>
      <c r="CV2" s="132"/>
      <c r="CW2" s="132"/>
      <c r="CX2" s="132"/>
      <c r="CY2" s="132"/>
      <c r="CZ2" s="132"/>
      <c r="DA2" s="132"/>
      <c r="DB2" s="132"/>
      <c r="DC2" s="132"/>
      <c r="DD2" s="132"/>
      <c r="DE2" s="132"/>
      <c r="DF2" s="132"/>
      <c r="DG2" s="132"/>
      <c r="DH2" s="132"/>
      <c r="DI2" s="132"/>
      <c r="DJ2" s="132"/>
      <c r="DK2" s="132"/>
      <c r="DL2" s="132"/>
      <c r="DM2" s="132"/>
      <c r="DN2" s="132"/>
      <c r="DO2" s="132"/>
      <c r="DP2" s="132"/>
      <c r="DQ2" s="132"/>
      <c r="DR2" s="132"/>
      <c r="DS2" s="132"/>
      <c r="DT2" s="132"/>
      <c r="DU2" s="132"/>
      <c r="DV2" s="132"/>
      <c r="DW2" s="132"/>
      <c r="DX2" s="132"/>
      <c r="DY2" s="132"/>
      <c r="DZ2" s="132"/>
      <c r="EA2" s="132"/>
      <c r="EB2" s="132"/>
      <c r="EC2" s="132"/>
      <c r="ED2" s="132"/>
      <c r="EE2" s="132"/>
      <c r="EF2" s="132"/>
      <c r="EG2" s="132"/>
      <c r="EH2" s="132"/>
      <c r="EI2" s="132"/>
      <c r="EJ2" s="132"/>
      <c r="EK2" s="132"/>
      <c r="EL2" s="132"/>
      <c r="EM2" s="132"/>
      <c r="EN2" s="132"/>
      <c r="EO2" s="132"/>
      <c r="EP2" s="132"/>
      <c r="EQ2" s="132"/>
      <c r="ER2" s="132"/>
      <c r="ES2" s="132"/>
      <c r="ET2" s="132"/>
      <c r="EU2" s="132"/>
      <c r="EV2" s="132"/>
      <c r="EW2" s="132"/>
      <c r="EX2" s="132"/>
      <c r="EY2" s="132"/>
      <c r="EZ2" s="132"/>
      <c r="FA2" s="132"/>
      <c r="FB2" s="132"/>
      <c r="FC2" s="132"/>
      <c r="FD2" s="132"/>
      <c r="FE2" s="132"/>
      <c r="FF2" s="132"/>
      <c r="FG2" s="132"/>
      <c r="FH2" s="132"/>
      <c r="FI2" s="132"/>
      <c r="FJ2" s="132"/>
      <c r="FK2" s="132"/>
      <c r="FL2" s="132"/>
      <c r="FM2" s="132"/>
      <c r="FN2" s="132"/>
      <c r="FO2" s="132"/>
      <c r="FP2" s="132"/>
      <c r="FQ2" s="132"/>
      <c r="FR2" s="132"/>
      <c r="FS2" s="132"/>
      <c r="FT2" s="132"/>
      <c r="FU2" s="132"/>
      <c r="FV2" s="132"/>
      <c r="FW2" s="132"/>
      <c r="FX2" s="132"/>
      <c r="FY2" s="132"/>
      <c r="FZ2" s="132"/>
      <c r="GA2" s="132"/>
      <c r="GB2" s="132"/>
      <c r="GC2" s="132"/>
      <c r="GD2" s="132"/>
      <c r="GE2" s="132"/>
      <c r="GF2" s="132"/>
      <c r="GG2" s="132"/>
      <c r="GH2" s="132"/>
      <c r="GI2" s="132"/>
      <c r="GJ2" s="132"/>
      <c r="GK2" s="132"/>
      <c r="GL2" s="132"/>
      <c r="GM2" s="132"/>
      <c r="GN2" s="132"/>
      <c r="GO2" s="132"/>
      <c r="GP2" s="132"/>
      <c r="GQ2" s="132"/>
      <c r="GR2" s="132"/>
      <c r="GS2" s="132"/>
      <c r="GT2" s="132"/>
      <c r="GU2" s="132"/>
      <c r="GV2" s="132"/>
      <c r="GW2" s="132"/>
      <c r="GX2" s="132"/>
      <c r="GY2" s="132"/>
      <c r="GZ2" s="132"/>
      <c r="HA2" s="132"/>
      <c r="HB2" s="132"/>
      <c r="HC2" s="132"/>
      <c r="HD2" s="132"/>
      <c r="HE2" s="132"/>
      <c r="HF2" s="132"/>
      <c r="HG2" s="132"/>
      <c r="HH2" s="132"/>
      <c r="HI2" s="132"/>
      <c r="HJ2" s="132"/>
      <c r="HK2" s="132"/>
      <c r="HL2" s="132"/>
      <c r="HM2" s="132"/>
      <c r="HN2" s="132"/>
      <c r="HO2" s="132"/>
      <c r="HP2" s="132"/>
      <c r="HQ2" s="132"/>
      <c r="HR2" s="132"/>
      <c r="HS2" s="132"/>
      <c r="HT2" s="132"/>
    </row>
    <row r="3" s="477" customFormat="1" ht="32" customHeight="1" spans="1:237">
      <c r="A3" s="516">
        <v>45376</v>
      </c>
      <c r="B3" s="517" t="s">
        <v>4111</v>
      </c>
      <c r="C3" s="499" t="s">
        <v>91</v>
      </c>
      <c r="D3" s="518">
        <v>4500127793</v>
      </c>
      <c r="E3" s="518">
        <v>5200004335</v>
      </c>
      <c r="F3" s="518" t="s">
        <v>12766</v>
      </c>
      <c r="G3" s="499" t="s">
        <v>12767</v>
      </c>
      <c r="H3" s="499" t="s">
        <v>8571</v>
      </c>
      <c r="I3" s="501">
        <v>496</v>
      </c>
      <c r="J3" s="501">
        <v>0</v>
      </c>
      <c r="K3" s="501">
        <v>8</v>
      </c>
      <c r="L3" s="501">
        <f t="shared" si="0"/>
        <v>62</v>
      </c>
      <c r="M3" s="504">
        <v>45412</v>
      </c>
      <c r="N3" s="504" t="s">
        <v>12762</v>
      </c>
      <c r="O3" s="505" t="s">
        <v>12412</v>
      </c>
      <c r="P3" s="505"/>
      <c r="Q3" s="505"/>
      <c r="R3" s="507">
        <v>45384</v>
      </c>
      <c r="S3" s="519" t="s">
        <v>98</v>
      </c>
      <c r="T3" s="519" t="s">
        <v>12768</v>
      </c>
      <c r="U3" s="519"/>
      <c r="V3" s="519"/>
      <c r="W3" s="520" t="s">
        <v>12769</v>
      </c>
      <c r="X3" s="517" t="s">
        <v>12765</v>
      </c>
      <c r="Y3" s="521">
        <v>4.43</v>
      </c>
      <c r="Z3" s="522">
        <f t="shared" si="1"/>
        <v>2197.28</v>
      </c>
      <c r="AA3" s="501"/>
      <c r="AB3" s="501" t="s">
        <v>9424</v>
      </c>
      <c r="AC3" s="501" t="s">
        <v>416</v>
      </c>
      <c r="AD3" s="523">
        <f t="shared" si="2"/>
        <v>496</v>
      </c>
      <c r="AE3" s="523"/>
      <c r="AF3" s="523"/>
      <c r="AG3" s="524">
        <f t="shared" si="3"/>
        <v>496</v>
      </c>
      <c r="AH3" s="524"/>
      <c r="AI3" s="524"/>
      <c r="AJ3" s="524"/>
      <c r="AK3" s="524"/>
      <c r="AL3" s="524">
        <f>I3/4</f>
        <v>124</v>
      </c>
      <c r="AM3" s="524">
        <f t="shared" ref="AM3:AM6" si="5">I3</f>
        <v>496</v>
      </c>
      <c r="AN3" s="524"/>
      <c r="AO3" s="524"/>
      <c r="AP3" s="524" t="s">
        <v>9164</v>
      </c>
      <c r="AQ3" s="524"/>
      <c r="AR3" s="524"/>
      <c r="AS3" s="524"/>
      <c r="AT3" s="524">
        <f>I3</f>
        <v>496</v>
      </c>
      <c r="AU3" s="514" t="e">
        <f>AQ3+AR3+AS3+AT3+'92107'!#REF!</f>
        <v>#REF!</v>
      </c>
      <c r="AV3" s="514" t="e">
        <f>'92107'!#REF!-AQ3</f>
        <v>#REF!</v>
      </c>
      <c r="AW3" s="514" t="e">
        <f>'92107'!#REF!-AR3</f>
        <v>#REF!</v>
      </c>
      <c r="AX3" s="514" t="e">
        <f>'92107'!#REF!-AS3</f>
        <v>#REF!</v>
      </c>
      <c r="AY3" s="514" t="e">
        <f>'92107'!#REF!-AT3</f>
        <v>#REF!</v>
      </c>
      <c r="AZ3" s="514"/>
      <c r="BA3" s="525"/>
      <c r="BB3" s="525"/>
      <c r="BC3" s="525"/>
      <c r="BD3" s="525"/>
      <c r="BE3" s="525"/>
      <c r="BF3" s="525"/>
      <c r="BG3" s="525"/>
      <c r="BH3" s="525"/>
      <c r="BI3" s="525"/>
      <c r="BJ3" s="525"/>
      <c r="BK3" s="525"/>
      <c r="BL3" s="525"/>
      <c r="BM3" s="525"/>
      <c r="BN3" s="525"/>
      <c r="BO3" s="525"/>
      <c r="BP3" s="525"/>
      <c r="BQ3" s="525"/>
      <c r="BR3" s="525"/>
      <c r="BS3" s="99"/>
      <c r="BT3" s="99"/>
      <c r="BU3" s="475"/>
      <c r="BV3" s="475"/>
      <c r="BW3" s="475"/>
      <c r="BX3" s="475"/>
      <c r="BY3" s="475"/>
      <c r="BZ3" s="475"/>
      <c r="CA3" s="475"/>
      <c r="CB3" s="475"/>
      <c r="CC3" s="475"/>
      <c r="CD3" s="475"/>
      <c r="CE3" s="475"/>
      <c r="CF3" s="475"/>
      <c r="CG3" s="475"/>
      <c r="CH3" s="475"/>
      <c r="CI3" s="475"/>
      <c r="CJ3" s="475"/>
      <c r="CK3" s="475"/>
      <c r="CL3" s="475"/>
      <c r="CM3" s="475"/>
      <c r="CN3" s="475"/>
      <c r="CO3" s="525"/>
      <c r="CP3" s="525"/>
      <c r="CQ3" s="525"/>
      <c r="CR3" s="525"/>
      <c r="CS3" s="525"/>
      <c r="CT3" s="525"/>
      <c r="CU3" s="525"/>
      <c r="CV3" s="525"/>
      <c r="CW3" s="525"/>
      <c r="CX3" s="525"/>
      <c r="CY3" s="525"/>
      <c r="CZ3" s="525"/>
      <c r="DA3" s="525"/>
      <c r="DB3" s="525"/>
      <c r="DC3" s="525"/>
      <c r="DD3" s="525"/>
      <c r="DE3" s="525"/>
      <c r="DF3" s="525"/>
      <c r="DG3" s="525"/>
      <c r="DH3" s="525"/>
      <c r="DI3" s="525"/>
      <c r="DJ3" s="525"/>
      <c r="DK3" s="525"/>
      <c r="DL3" s="525"/>
      <c r="DM3" s="525"/>
      <c r="DN3" s="525"/>
      <c r="DO3" s="525"/>
      <c r="DP3" s="525"/>
      <c r="DQ3" s="525"/>
      <c r="DR3" s="525"/>
      <c r="DS3" s="525"/>
      <c r="DT3" s="525"/>
      <c r="DU3" s="525"/>
      <c r="DV3" s="525"/>
      <c r="DW3" s="525"/>
      <c r="DX3" s="525"/>
      <c r="DY3" s="525"/>
      <c r="DZ3" s="525"/>
      <c r="EA3" s="525"/>
      <c r="EB3" s="525"/>
      <c r="EC3" s="525"/>
      <c r="ED3" s="525"/>
      <c r="EE3" s="525"/>
      <c r="EF3" s="525"/>
      <c r="EG3" s="525"/>
      <c r="EH3" s="525"/>
      <c r="EI3" s="525"/>
      <c r="EJ3" s="525"/>
      <c r="EK3" s="525"/>
      <c r="EL3" s="525"/>
      <c r="EM3" s="525"/>
      <c r="EN3" s="525"/>
      <c r="EO3" s="525"/>
      <c r="EP3" s="525"/>
      <c r="EQ3" s="525"/>
      <c r="ER3" s="525"/>
      <c r="ES3" s="525"/>
      <c r="ET3" s="525"/>
      <c r="EU3" s="525"/>
      <c r="EV3" s="525"/>
      <c r="EW3" s="525"/>
      <c r="EX3" s="525"/>
      <c r="EY3" s="525"/>
      <c r="EZ3" s="525"/>
      <c r="FA3" s="525"/>
      <c r="FB3" s="525"/>
      <c r="FC3" s="525"/>
      <c r="FD3" s="525"/>
      <c r="FE3" s="525"/>
      <c r="FF3" s="525"/>
      <c r="FG3" s="525"/>
      <c r="FH3" s="525"/>
      <c r="FI3" s="525"/>
      <c r="FJ3" s="525"/>
      <c r="FK3" s="525"/>
      <c r="FL3" s="525"/>
      <c r="FM3" s="525"/>
      <c r="FN3" s="525"/>
      <c r="FO3" s="525"/>
      <c r="FP3" s="525"/>
      <c r="FQ3" s="525"/>
      <c r="FR3" s="525"/>
      <c r="FS3" s="525"/>
      <c r="FT3" s="525"/>
      <c r="FU3" s="525"/>
      <c r="FV3" s="525"/>
      <c r="FW3" s="525"/>
      <c r="FX3" s="525"/>
      <c r="FY3" s="525"/>
      <c r="FZ3" s="525"/>
      <c r="GA3" s="525"/>
      <c r="GB3" s="525"/>
      <c r="GC3" s="525"/>
      <c r="GD3" s="525"/>
      <c r="GE3" s="525"/>
      <c r="GF3" s="525"/>
      <c r="GG3" s="525"/>
      <c r="GH3" s="525"/>
      <c r="GI3" s="525"/>
      <c r="GJ3" s="525"/>
      <c r="GK3" s="525"/>
      <c r="GL3" s="525"/>
      <c r="GM3" s="525"/>
      <c r="GN3" s="525"/>
      <c r="GO3" s="525"/>
      <c r="GP3" s="525"/>
      <c r="GQ3" s="525"/>
      <c r="GR3" s="525"/>
      <c r="GS3" s="525"/>
      <c r="GT3" s="525"/>
      <c r="GU3" s="525"/>
      <c r="GV3" s="525"/>
      <c r="GW3" s="525"/>
      <c r="GX3" s="525"/>
      <c r="GY3" s="525"/>
      <c r="GZ3" s="525"/>
      <c r="HA3" s="525"/>
      <c r="HB3" s="525"/>
      <c r="HC3" s="525"/>
      <c r="HD3" s="525"/>
      <c r="HE3" s="525"/>
      <c r="HF3" s="525"/>
      <c r="HG3" s="525"/>
      <c r="HH3" s="525"/>
      <c r="HI3" s="525"/>
      <c r="HJ3" s="525"/>
      <c r="HK3" s="525"/>
      <c r="HL3" s="525"/>
      <c r="HM3" s="525"/>
      <c r="HN3" s="525"/>
      <c r="HO3" s="525"/>
      <c r="HP3" s="525"/>
      <c r="HQ3" s="525"/>
      <c r="HR3" s="525"/>
      <c r="HS3" s="525"/>
      <c r="HT3" s="525"/>
    </row>
    <row r="4" s="477" customFormat="1" ht="32" customHeight="1" spans="1:237">
      <c r="A4" s="516">
        <v>45376</v>
      </c>
      <c r="B4" s="517" t="s">
        <v>4111</v>
      </c>
      <c r="C4" s="499" t="s">
        <v>91</v>
      </c>
      <c r="D4" s="518">
        <v>4500127793</v>
      </c>
      <c r="E4" s="518">
        <v>5200004335</v>
      </c>
      <c r="F4" s="518" t="s">
        <v>12770</v>
      </c>
      <c r="G4" s="499" t="s">
        <v>12771</v>
      </c>
      <c r="H4" s="499" t="s">
        <v>9100</v>
      </c>
      <c r="I4" s="501">
        <v>496</v>
      </c>
      <c r="J4" s="501">
        <v>0</v>
      </c>
      <c r="K4" s="501">
        <v>8</v>
      </c>
      <c r="L4" s="501">
        <f t="shared" si="0"/>
        <v>62</v>
      </c>
      <c r="M4" s="504">
        <v>45412</v>
      </c>
      <c r="N4" s="504" t="s">
        <v>12762</v>
      </c>
      <c r="O4" s="505" t="s">
        <v>12412</v>
      </c>
      <c r="P4" s="505"/>
      <c r="Q4" s="505"/>
      <c r="R4" s="507">
        <v>45384</v>
      </c>
      <c r="S4" s="519" t="s">
        <v>98</v>
      </c>
      <c r="T4" s="519" t="s">
        <v>12768</v>
      </c>
      <c r="U4" s="519"/>
      <c r="V4" s="519"/>
      <c r="W4" s="520" t="s">
        <v>12769</v>
      </c>
      <c r="X4" s="517" t="s">
        <v>12765</v>
      </c>
      <c r="Y4" s="521">
        <v>4.43</v>
      </c>
      <c r="Z4" s="522">
        <f t="shared" si="1"/>
        <v>2197.28</v>
      </c>
      <c r="AA4" s="501"/>
      <c r="AB4" s="501" t="s">
        <v>9419</v>
      </c>
      <c r="AC4" s="501" t="s">
        <v>416</v>
      </c>
      <c r="AD4" s="523">
        <f t="shared" si="2"/>
        <v>496</v>
      </c>
      <c r="AE4" s="523"/>
      <c r="AF4" s="523"/>
      <c r="AG4" s="524">
        <f t="shared" si="3"/>
        <v>496</v>
      </c>
      <c r="AH4" s="524"/>
      <c r="AI4" s="524"/>
      <c r="AJ4" s="524"/>
      <c r="AK4" s="524">
        <f>I4/4</f>
        <v>124</v>
      </c>
      <c r="AL4" s="524"/>
      <c r="AM4" s="524">
        <f t="shared" si="5"/>
        <v>496</v>
      </c>
      <c r="AN4" s="524"/>
      <c r="AO4" s="524"/>
      <c r="AP4" s="524" t="s">
        <v>9164</v>
      </c>
      <c r="AQ4" s="524"/>
      <c r="AR4" s="524"/>
      <c r="AS4" s="524">
        <f>I4</f>
        <v>496</v>
      </c>
      <c r="AT4" s="524"/>
      <c r="AU4" s="514" t="e">
        <f>AQ4+AR4+AS4+AT4+AU3</f>
        <v>#REF!</v>
      </c>
      <c r="AV4" s="514" t="e">
        <f t="shared" ref="AV4:AY4" si="6">AV3-AQ4</f>
        <v>#REF!</v>
      </c>
      <c r="AW4" s="514" t="e">
        <f t="shared" si="6"/>
        <v>#REF!</v>
      </c>
      <c r="AX4" s="514" t="e">
        <f t="shared" si="6"/>
        <v>#REF!</v>
      </c>
      <c r="AY4" s="514" t="e">
        <f t="shared" si="6"/>
        <v>#REF!</v>
      </c>
      <c r="AZ4" s="514"/>
      <c r="BA4" s="525"/>
      <c r="BB4" s="525"/>
      <c r="BC4" s="525"/>
      <c r="BD4" s="525"/>
      <c r="BE4" s="525"/>
      <c r="BF4" s="525"/>
      <c r="BG4" s="525"/>
      <c r="BH4" s="525"/>
      <c r="BI4" s="525"/>
      <c r="BJ4" s="525"/>
      <c r="BK4" s="525"/>
      <c r="BL4" s="525"/>
      <c r="BM4" s="525"/>
      <c r="BN4" s="525"/>
      <c r="BO4" s="525"/>
      <c r="BP4" s="525"/>
      <c r="BQ4" s="525"/>
      <c r="BR4" s="525"/>
      <c r="BS4" s="99"/>
      <c r="BT4" s="99"/>
      <c r="BU4" s="475"/>
      <c r="BV4" s="475"/>
      <c r="BW4" s="475"/>
      <c r="BX4" s="475"/>
      <c r="BY4" s="475"/>
      <c r="BZ4" s="475"/>
      <c r="CA4" s="475"/>
      <c r="CB4" s="475"/>
      <c r="CC4" s="475"/>
      <c r="CD4" s="475"/>
      <c r="CE4" s="475"/>
      <c r="CF4" s="475"/>
      <c r="CG4" s="475"/>
      <c r="CH4" s="475"/>
      <c r="CI4" s="475"/>
      <c r="CJ4" s="475"/>
      <c r="CK4" s="475"/>
      <c r="CL4" s="475"/>
      <c r="CM4" s="475"/>
      <c r="CN4" s="475"/>
      <c r="CO4" s="525"/>
      <c r="CP4" s="525"/>
      <c r="CQ4" s="525"/>
      <c r="CR4" s="525"/>
      <c r="CS4" s="525"/>
      <c r="CT4" s="525"/>
      <c r="CU4" s="525"/>
      <c r="CV4" s="525"/>
      <c r="CW4" s="525"/>
      <c r="CX4" s="525"/>
      <c r="CY4" s="525"/>
      <c r="CZ4" s="525"/>
      <c r="DA4" s="525"/>
      <c r="DB4" s="525"/>
      <c r="DC4" s="525"/>
      <c r="DD4" s="525"/>
      <c r="DE4" s="525"/>
      <c r="DF4" s="525"/>
      <c r="DG4" s="525"/>
      <c r="DH4" s="525"/>
      <c r="DI4" s="525"/>
      <c r="DJ4" s="525"/>
      <c r="DK4" s="525"/>
      <c r="DL4" s="525"/>
      <c r="DM4" s="525"/>
      <c r="DN4" s="525"/>
      <c r="DO4" s="525"/>
      <c r="DP4" s="525"/>
      <c r="DQ4" s="525"/>
      <c r="DR4" s="525"/>
      <c r="DS4" s="525"/>
      <c r="DT4" s="525"/>
      <c r="DU4" s="525"/>
      <c r="DV4" s="525"/>
      <c r="DW4" s="525"/>
      <c r="DX4" s="525"/>
      <c r="DY4" s="525"/>
      <c r="DZ4" s="525"/>
      <c r="EA4" s="525"/>
      <c r="EB4" s="525"/>
      <c r="EC4" s="525"/>
      <c r="ED4" s="525"/>
      <c r="EE4" s="525"/>
      <c r="EF4" s="525"/>
      <c r="EG4" s="525"/>
      <c r="EH4" s="525"/>
      <c r="EI4" s="525"/>
      <c r="EJ4" s="525"/>
      <c r="EK4" s="525"/>
      <c r="EL4" s="525"/>
      <c r="EM4" s="525"/>
      <c r="EN4" s="525"/>
      <c r="EO4" s="525"/>
      <c r="EP4" s="525"/>
      <c r="EQ4" s="525"/>
      <c r="ER4" s="525"/>
      <c r="ES4" s="525"/>
      <c r="ET4" s="525"/>
      <c r="EU4" s="525"/>
      <c r="EV4" s="525"/>
      <c r="EW4" s="525"/>
      <c r="EX4" s="525"/>
      <c r="EY4" s="525"/>
      <c r="EZ4" s="525"/>
      <c r="FA4" s="525"/>
      <c r="FB4" s="525"/>
      <c r="FC4" s="525"/>
      <c r="FD4" s="525"/>
      <c r="FE4" s="525"/>
      <c r="FF4" s="525"/>
      <c r="FG4" s="525"/>
      <c r="FH4" s="525"/>
      <c r="FI4" s="525"/>
      <c r="FJ4" s="525"/>
      <c r="FK4" s="525"/>
      <c r="FL4" s="525"/>
      <c r="FM4" s="525"/>
      <c r="FN4" s="525"/>
      <c r="FO4" s="525"/>
      <c r="FP4" s="525"/>
      <c r="FQ4" s="525"/>
      <c r="FR4" s="525"/>
      <c r="FS4" s="525"/>
      <c r="FT4" s="525"/>
      <c r="FU4" s="525"/>
      <c r="FV4" s="525"/>
      <c r="FW4" s="525"/>
      <c r="FX4" s="525"/>
      <c r="FY4" s="525"/>
      <c r="FZ4" s="525"/>
      <c r="GA4" s="525"/>
      <c r="GB4" s="525"/>
      <c r="GC4" s="525"/>
      <c r="GD4" s="525"/>
      <c r="GE4" s="525"/>
      <c r="GF4" s="525"/>
      <c r="GG4" s="525"/>
      <c r="GH4" s="525"/>
      <c r="GI4" s="525"/>
      <c r="GJ4" s="525"/>
      <c r="GK4" s="525"/>
      <c r="GL4" s="525"/>
      <c r="GM4" s="525"/>
      <c r="GN4" s="525"/>
      <c r="GO4" s="525"/>
      <c r="GP4" s="525"/>
      <c r="GQ4" s="525"/>
      <c r="GR4" s="525"/>
      <c r="GS4" s="525"/>
      <c r="GT4" s="525"/>
      <c r="GU4" s="525"/>
      <c r="GV4" s="525"/>
      <c r="GW4" s="525"/>
      <c r="GX4" s="525"/>
      <c r="GY4" s="525"/>
      <c r="GZ4" s="525"/>
      <c r="HA4" s="525"/>
      <c r="HB4" s="525"/>
      <c r="HC4" s="525"/>
      <c r="HD4" s="525"/>
      <c r="HE4" s="525"/>
      <c r="HF4" s="525"/>
      <c r="HG4" s="525"/>
      <c r="HH4" s="525"/>
      <c r="HI4" s="525"/>
      <c r="HJ4" s="525"/>
      <c r="HK4" s="525"/>
      <c r="HL4" s="525"/>
      <c r="HM4" s="525"/>
      <c r="HN4" s="525"/>
      <c r="HO4" s="525"/>
      <c r="HP4" s="525"/>
      <c r="HQ4" s="525"/>
      <c r="HR4" s="525"/>
      <c r="HS4" s="525"/>
      <c r="HT4" s="525"/>
    </row>
    <row r="5" s="477" customFormat="1" ht="32" customHeight="1" spans="1:237">
      <c r="A5" s="516">
        <v>45376</v>
      </c>
      <c r="B5" s="517" t="s">
        <v>4111</v>
      </c>
      <c r="C5" s="499" t="s">
        <v>91</v>
      </c>
      <c r="D5" s="518">
        <v>4500127793</v>
      </c>
      <c r="E5" s="518">
        <v>5200004335</v>
      </c>
      <c r="F5" s="518" t="s">
        <v>12772</v>
      </c>
      <c r="G5" s="499" t="s">
        <v>12773</v>
      </c>
      <c r="H5" s="499" t="s">
        <v>9098</v>
      </c>
      <c r="I5" s="501">
        <v>496</v>
      </c>
      <c r="J5" s="501">
        <v>0</v>
      </c>
      <c r="K5" s="501">
        <v>8</v>
      </c>
      <c r="L5" s="501">
        <f t="shared" si="0"/>
        <v>62</v>
      </c>
      <c r="M5" s="504">
        <v>45412</v>
      </c>
      <c r="N5" s="504" t="s">
        <v>12762</v>
      </c>
      <c r="O5" s="505" t="s">
        <v>12412</v>
      </c>
      <c r="P5" s="505"/>
      <c r="Q5" s="505"/>
      <c r="R5" s="507">
        <v>45384</v>
      </c>
      <c r="S5" s="519" t="s">
        <v>98</v>
      </c>
      <c r="T5" s="519" t="s">
        <v>12768</v>
      </c>
      <c r="U5" s="519"/>
      <c r="V5" s="519"/>
      <c r="W5" s="520" t="s">
        <v>12769</v>
      </c>
      <c r="X5" s="517" t="s">
        <v>12765</v>
      </c>
      <c r="Y5" s="521">
        <v>4.43</v>
      </c>
      <c r="Z5" s="522">
        <f t="shared" si="1"/>
        <v>2197.28</v>
      </c>
      <c r="AA5" s="501"/>
      <c r="AB5" s="499" t="s">
        <v>9255</v>
      </c>
      <c r="AC5" s="501" t="s">
        <v>416</v>
      </c>
      <c r="AD5" s="523">
        <f t="shared" si="2"/>
        <v>496</v>
      </c>
      <c r="AE5" s="523"/>
      <c r="AF5" s="523"/>
      <c r="AG5" s="524">
        <f t="shared" si="3"/>
        <v>496</v>
      </c>
      <c r="AH5" s="524"/>
      <c r="AI5" s="524">
        <f>I5/4</f>
        <v>124</v>
      </c>
      <c r="AJ5" s="524"/>
      <c r="AK5" s="524"/>
      <c r="AL5" s="524"/>
      <c r="AM5" s="524">
        <f t="shared" si="5"/>
        <v>496</v>
      </c>
      <c r="AN5" s="524"/>
      <c r="AO5" s="524"/>
      <c r="AP5" s="524" t="s">
        <v>9164</v>
      </c>
      <c r="AQ5" s="524">
        <f>I5</f>
        <v>496</v>
      </c>
      <c r="AR5" s="524"/>
      <c r="AS5" s="524"/>
      <c r="AT5" s="524"/>
      <c r="AU5" s="514" t="e">
        <f>AQ5+AR5+AS5+AT5+AU4</f>
        <v>#REF!</v>
      </c>
      <c r="AV5" s="514" t="e">
        <f t="shared" ref="AV5:AY5" si="7">AV4-AQ5</f>
        <v>#REF!</v>
      </c>
      <c r="AW5" s="514" t="e">
        <f t="shared" si="7"/>
        <v>#REF!</v>
      </c>
      <c r="AX5" s="514" t="e">
        <f t="shared" si="7"/>
        <v>#REF!</v>
      </c>
      <c r="AY5" s="514" t="e">
        <f t="shared" si="7"/>
        <v>#REF!</v>
      </c>
      <c r="AZ5" s="514"/>
      <c r="BA5" s="525"/>
      <c r="BB5" s="525"/>
      <c r="BC5" s="525"/>
      <c r="BD5" s="525"/>
      <c r="BE5" s="525"/>
      <c r="BF5" s="525"/>
      <c r="BG5" s="525"/>
      <c r="BH5" s="525"/>
      <c r="BI5" s="525"/>
      <c r="BJ5" s="525"/>
      <c r="BK5" s="525"/>
      <c r="BL5" s="525"/>
      <c r="BM5" s="525"/>
      <c r="BN5" s="525"/>
      <c r="BO5" s="525"/>
      <c r="BP5" s="525"/>
      <c r="BQ5" s="525"/>
      <c r="BR5" s="525"/>
      <c r="BS5" s="99"/>
      <c r="BT5" s="99"/>
      <c r="BU5" s="475"/>
      <c r="BV5" s="475"/>
      <c r="BW5" s="475"/>
      <c r="BX5" s="475"/>
      <c r="BY5" s="475"/>
      <c r="BZ5" s="475"/>
      <c r="CA5" s="475"/>
      <c r="CB5" s="475"/>
      <c r="CC5" s="475"/>
      <c r="CD5" s="475"/>
      <c r="CE5" s="475"/>
      <c r="CF5" s="475"/>
      <c r="CG5" s="475"/>
      <c r="CH5" s="475"/>
      <c r="CI5" s="475"/>
      <c r="CJ5" s="475"/>
      <c r="CK5" s="475"/>
      <c r="CL5" s="475"/>
      <c r="CM5" s="475"/>
      <c r="CN5" s="475"/>
      <c r="CO5" s="525"/>
      <c r="CP5" s="525"/>
      <c r="CQ5" s="525"/>
      <c r="CR5" s="525"/>
      <c r="CS5" s="525"/>
      <c r="CT5" s="525"/>
      <c r="CU5" s="525"/>
      <c r="CV5" s="525"/>
      <c r="CW5" s="525"/>
      <c r="CX5" s="525"/>
      <c r="CY5" s="525"/>
      <c r="CZ5" s="525"/>
      <c r="DA5" s="525"/>
      <c r="DB5" s="525"/>
      <c r="DC5" s="525"/>
      <c r="DD5" s="525"/>
      <c r="DE5" s="525"/>
      <c r="DF5" s="525"/>
      <c r="DG5" s="525"/>
      <c r="DH5" s="525"/>
      <c r="DI5" s="525"/>
      <c r="DJ5" s="525"/>
      <c r="DK5" s="525"/>
      <c r="DL5" s="525"/>
      <c r="DM5" s="525"/>
      <c r="DN5" s="525"/>
      <c r="DO5" s="525"/>
      <c r="DP5" s="525"/>
      <c r="DQ5" s="525"/>
      <c r="DR5" s="525"/>
      <c r="DS5" s="525"/>
      <c r="DT5" s="525"/>
      <c r="DU5" s="525"/>
      <c r="DV5" s="525"/>
      <c r="DW5" s="525"/>
      <c r="DX5" s="525"/>
      <c r="DY5" s="525"/>
      <c r="DZ5" s="525"/>
      <c r="EA5" s="525"/>
      <c r="EB5" s="525"/>
      <c r="EC5" s="525"/>
      <c r="ED5" s="525"/>
      <c r="EE5" s="525"/>
      <c r="EF5" s="525"/>
      <c r="EG5" s="525"/>
      <c r="EH5" s="525"/>
      <c r="EI5" s="525"/>
      <c r="EJ5" s="525"/>
      <c r="EK5" s="525"/>
      <c r="EL5" s="525"/>
      <c r="EM5" s="525"/>
      <c r="EN5" s="525"/>
      <c r="EO5" s="525"/>
      <c r="EP5" s="525"/>
      <c r="EQ5" s="525"/>
      <c r="ER5" s="525"/>
      <c r="ES5" s="525"/>
      <c r="ET5" s="525"/>
      <c r="EU5" s="525"/>
      <c r="EV5" s="525"/>
      <c r="EW5" s="525"/>
      <c r="EX5" s="525"/>
      <c r="EY5" s="525"/>
      <c r="EZ5" s="525"/>
      <c r="FA5" s="525"/>
      <c r="FB5" s="525"/>
      <c r="FC5" s="525"/>
      <c r="FD5" s="525"/>
      <c r="FE5" s="525"/>
      <c r="FF5" s="525"/>
      <c r="FG5" s="525"/>
      <c r="FH5" s="525"/>
      <c r="FI5" s="525"/>
      <c r="FJ5" s="525"/>
      <c r="FK5" s="525"/>
      <c r="FL5" s="525"/>
      <c r="FM5" s="525"/>
      <c r="FN5" s="525"/>
      <c r="FO5" s="525"/>
      <c r="FP5" s="525"/>
      <c r="FQ5" s="525"/>
      <c r="FR5" s="525"/>
      <c r="FS5" s="525"/>
      <c r="FT5" s="525"/>
      <c r="FU5" s="525"/>
      <c r="FV5" s="525"/>
      <c r="FW5" s="525"/>
      <c r="FX5" s="525"/>
      <c r="FY5" s="525"/>
      <c r="FZ5" s="525"/>
      <c r="GA5" s="525"/>
      <c r="GB5" s="525"/>
      <c r="GC5" s="525"/>
      <c r="GD5" s="525"/>
      <c r="GE5" s="525"/>
      <c r="GF5" s="525"/>
      <c r="GG5" s="525"/>
      <c r="GH5" s="525"/>
      <c r="GI5" s="525"/>
      <c r="GJ5" s="525"/>
      <c r="GK5" s="525"/>
      <c r="GL5" s="525"/>
      <c r="GM5" s="525"/>
      <c r="GN5" s="525"/>
      <c r="GO5" s="525"/>
      <c r="GP5" s="525"/>
      <c r="GQ5" s="525"/>
      <c r="GR5" s="525"/>
      <c r="GS5" s="525"/>
      <c r="GT5" s="525"/>
      <c r="GU5" s="525"/>
      <c r="GV5" s="525"/>
      <c r="GW5" s="525"/>
      <c r="GX5" s="525"/>
      <c r="GY5" s="525"/>
      <c r="GZ5" s="525"/>
      <c r="HA5" s="525"/>
      <c r="HB5" s="525"/>
      <c r="HC5" s="525"/>
      <c r="HD5" s="525"/>
      <c r="HE5" s="525"/>
      <c r="HF5" s="525"/>
      <c r="HG5" s="525"/>
      <c r="HH5" s="525"/>
      <c r="HI5" s="525"/>
      <c r="HJ5" s="525"/>
      <c r="HK5" s="525"/>
      <c r="HL5" s="525"/>
      <c r="HM5" s="525"/>
      <c r="HN5" s="525"/>
      <c r="HO5" s="525"/>
      <c r="HP5" s="525"/>
      <c r="HQ5" s="525"/>
      <c r="HR5" s="525"/>
      <c r="HS5" s="525"/>
      <c r="HT5" s="525"/>
    </row>
    <row r="6" s="477" customFormat="1" ht="32" customHeight="1" spans="1:237">
      <c r="A6" s="516">
        <v>45376</v>
      </c>
      <c r="B6" s="517" t="s">
        <v>4111</v>
      </c>
      <c r="C6" s="499" t="s">
        <v>91</v>
      </c>
      <c r="D6" s="518">
        <v>4500127793</v>
      </c>
      <c r="E6" s="518">
        <v>5200004335</v>
      </c>
      <c r="F6" s="518" t="s">
        <v>12774</v>
      </c>
      <c r="G6" s="499" t="s">
        <v>12775</v>
      </c>
      <c r="H6" s="499" t="s">
        <v>9099</v>
      </c>
      <c r="I6" s="501">
        <v>496</v>
      </c>
      <c r="J6" s="501">
        <v>0</v>
      </c>
      <c r="K6" s="501">
        <v>8</v>
      </c>
      <c r="L6" s="501">
        <f t="shared" si="0"/>
        <v>62</v>
      </c>
      <c r="M6" s="504">
        <v>45412</v>
      </c>
      <c r="N6" s="504" t="s">
        <v>12762</v>
      </c>
      <c r="O6" s="505" t="s">
        <v>12412</v>
      </c>
      <c r="P6" s="505"/>
      <c r="Q6" s="505"/>
      <c r="R6" s="507">
        <v>45384</v>
      </c>
      <c r="S6" s="519" t="s">
        <v>98</v>
      </c>
      <c r="T6" s="519" t="s">
        <v>12768</v>
      </c>
      <c r="U6" s="519"/>
      <c r="V6" s="519"/>
      <c r="W6" s="520" t="s">
        <v>12769</v>
      </c>
      <c r="X6" s="517" t="s">
        <v>12765</v>
      </c>
      <c r="Y6" s="521">
        <v>4.43</v>
      </c>
      <c r="Z6" s="522">
        <f t="shared" si="1"/>
        <v>2197.28</v>
      </c>
      <c r="AA6" s="501"/>
      <c r="AB6" s="501" t="s">
        <v>9431</v>
      </c>
      <c r="AC6" s="501" t="s">
        <v>416</v>
      </c>
      <c r="AD6" s="523">
        <f t="shared" si="2"/>
        <v>496</v>
      </c>
      <c r="AE6" s="523"/>
      <c r="AF6" s="523"/>
      <c r="AG6" s="524">
        <f t="shared" si="3"/>
        <v>496</v>
      </c>
      <c r="AH6" s="524"/>
      <c r="AI6" s="524"/>
      <c r="AJ6" s="524">
        <f>I6/4</f>
        <v>124</v>
      </c>
      <c r="AK6" s="524"/>
      <c r="AL6" s="524"/>
      <c r="AM6" s="524">
        <f t="shared" si="5"/>
        <v>496</v>
      </c>
      <c r="AN6" s="524"/>
      <c r="AO6" s="524"/>
      <c r="AP6" s="524" t="s">
        <v>9164</v>
      </c>
      <c r="AQ6" s="524"/>
      <c r="AR6" s="524">
        <f>I6</f>
        <v>496</v>
      </c>
      <c r="AS6" s="524"/>
      <c r="AT6" s="524"/>
      <c r="AU6" s="514" t="e">
        <f>AQ6+AR6+AS6+AT6+AU5</f>
        <v>#REF!</v>
      </c>
      <c r="AV6" s="514" t="e">
        <f t="shared" ref="AV6:AY6" si="8">AV5-AQ6</f>
        <v>#REF!</v>
      </c>
      <c r="AW6" s="514" t="e">
        <f t="shared" si="8"/>
        <v>#REF!</v>
      </c>
      <c r="AX6" s="514" t="e">
        <f t="shared" si="8"/>
        <v>#REF!</v>
      </c>
      <c r="AY6" s="514" t="e">
        <f t="shared" si="8"/>
        <v>#REF!</v>
      </c>
      <c r="AZ6" s="514"/>
      <c r="BA6" s="525"/>
      <c r="BB6" s="525"/>
      <c r="BC6" s="525"/>
      <c r="BD6" s="525"/>
      <c r="BE6" s="525"/>
      <c r="BF6" s="525"/>
      <c r="BG6" s="525"/>
      <c r="BH6" s="525"/>
      <c r="BI6" s="525"/>
      <c r="BJ6" s="525"/>
      <c r="BK6" s="525"/>
      <c r="BL6" s="525"/>
      <c r="BM6" s="525"/>
      <c r="BN6" s="525"/>
      <c r="BO6" s="525"/>
      <c r="BP6" s="525"/>
      <c r="BQ6" s="525"/>
      <c r="BR6" s="525"/>
      <c r="BS6" s="99"/>
      <c r="BT6" s="99"/>
      <c r="BU6" s="475"/>
      <c r="BV6" s="475"/>
      <c r="BW6" s="475"/>
      <c r="BX6" s="475"/>
      <c r="BY6" s="475"/>
      <c r="BZ6" s="475"/>
      <c r="CA6" s="475"/>
      <c r="CB6" s="475"/>
      <c r="CC6" s="475"/>
      <c r="CD6" s="475"/>
      <c r="CE6" s="475"/>
      <c r="CF6" s="475"/>
      <c r="CG6" s="475"/>
      <c r="CH6" s="475"/>
      <c r="CI6" s="475"/>
      <c r="CJ6" s="475"/>
      <c r="CK6" s="475"/>
      <c r="CL6" s="475"/>
      <c r="CM6" s="475"/>
      <c r="CN6" s="475"/>
      <c r="CO6" s="525"/>
      <c r="CP6" s="525"/>
      <c r="CQ6" s="525"/>
      <c r="CR6" s="525"/>
      <c r="CS6" s="525"/>
      <c r="CT6" s="525"/>
      <c r="CU6" s="525"/>
      <c r="CV6" s="525"/>
      <c r="CW6" s="525"/>
      <c r="CX6" s="525"/>
      <c r="CY6" s="525"/>
      <c r="CZ6" s="525"/>
      <c r="DA6" s="525"/>
      <c r="DB6" s="525"/>
      <c r="DC6" s="525"/>
      <c r="DD6" s="525"/>
      <c r="DE6" s="525"/>
      <c r="DF6" s="525"/>
      <c r="DG6" s="525"/>
      <c r="DH6" s="525"/>
      <c r="DI6" s="525"/>
      <c r="DJ6" s="525"/>
      <c r="DK6" s="525"/>
      <c r="DL6" s="525"/>
      <c r="DM6" s="525"/>
      <c r="DN6" s="525"/>
      <c r="DO6" s="525"/>
      <c r="DP6" s="525"/>
      <c r="DQ6" s="525"/>
      <c r="DR6" s="525"/>
      <c r="DS6" s="525"/>
      <c r="DT6" s="525"/>
      <c r="DU6" s="525"/>
      <c r="DV6" s="525"/>
      <c r="DW6" s="525"/>
      <c r="DX6" s="525"/>
      <c r="DY6" s="525"/>
      <c r="DZ6" s="525"/>
      <c r="EA6" s="525"/>
      <c r="EB6" s="525"/>
      <c r="EC6" s="525"/>
      <c r="ED6" s="525"/>
      <c r="EE6" s="525"/>
      <c r="EF6" s="525"/>
      <c r="EG6" s="525"/>
      <c r="EH6" s="525"/>
      <c r="EI6" s="525"/>
      <c r="EJ6" s="525"/>
      <c r="EK6" s="525"/>
      <c r="EL6" s="525"/>
      <c r="EM6" s="525"/>
      <c r="EN6" s="525"/>
      <c r="EO6" s="525"/>
      <c r="EP6" s="525"/>
      <c r="EQ6" s="525"/>
      <c r="ER6" s="525"/>
      <c r="ES6" s="525"/>
      <c r="ET6" s="525"/>
      <c r="EU6" s="525"/>
      <c r="EV6" s="525"/>
      <c r="EW6" s="525"/>
      <c r="EX6" s="525"/>
      <c r="EY6" s="525"/>
      <c r="EZ6" s="525"/>
      <c r="FA6" s="525"/>
      <c r="FB6" s="525"/>
      <c r="FC6" s="525"/>
      <c r="FD6" s="525"/>
      <c r="FE6" s="525"/>
      <c r="FF6" s="525"/>
      <c r="FG6" s="525"/>
      <c r="FH6" s="525"/>
      <c r="FI6" s="525"/>
      <c r="FJ6" s="525"/>
      <c r="FK6" s="525"/>
      <c r="FL6" s="525"/>
      <c r="FM6" s="525"/>
      <c r="FN6" s="525"/>
      <c r="FO6" s="525"/>
      <c r="FP6" s="525"/>
      <c r="FQ6" s="525"/>
      <c r="FR6" s="525"/>
      <c r="FS6" s="525"/>
      <c r="FT6" s="525"/>
      <c r="FU6" s="525"/>
      <c r="FV6" s="525"/>
      <c r="FW6" s="525"/>
      <c r="FX6" s="525"/>
      <c r="FY6" s="525"/>
      <c r="FZ6" s="525"/>
      <c r="GA6" s="525"/>
      <c r="GB6" s="525"/>
      <c r="GC6" s="525"/>
      <c r="GD6" s="525"/>
      <c r="GE6" s="525"/>
      <c r="GF6" s="525"/>
      <c r="GG6" s="525"/>
      <c r="GH6" s="525"/>
      <c r="GI6" s="525"/>
      <c r="GJ6" s="525"/>
      <c r="GK6" s="525"/>
      <c r="GL6" s="525"/>
      <c r="GM6" s="525"/>
      <c r="GN6" s="525"/>
      <c r="GO6" s="525"/>
      <c r="GP6" s="525"/>
      <c r="GQ6" s="525"/>
      <c r="GR6" s="525"/>
      <c r="GS6" s="525"/>
      <c r="GT6" s="525"/>
      <c r="GU6" s="525"/>
      <c r="GV6" s="525"/>
      <c r="GW6" s="525"/>
      <c r="GX6" s="525"/>
      <c r="GY6" s="525"/>
      <c r="GZ6" s="525"/>
      <c r="HA6" s="525"/>
      <c r="HB6" s="525"/>
      <c r="HC6" s="525"/>
      <c r="HD6" s="525"/>
      <c r="HE6" s="525"/>
      <c r="HF6" s="525"/>
      <c r="HG6" s="525"/>
      <c r="HH6" s="525"/>
      <c r="HI6" s="525"/>
      <c r="HJ6" s="525"/>
      <c r="HK6" s="525"/>
      <c r="HL6" s="525"/>
      <c r="HM6" s="525"/>
      <c r="HN6" s="525"/>
      <c r="HO6" s="525"/>
      <c r="HP6" s="525"/>
      <c r="HQ6" s="525"/>
      <c r="HR6" s="525"/>
      <c r="HS6" s="525"/>
      <c r="HT6" s="525"/>
    </row>
    <row r="7" s="477" customFormat="1" ht="32" customHeight="1" spans="1:237">
      <c r="A7" s="526">
        <v>45408</v>
      </c>
      <c r="B7" s="215"/>
      <c r="C7" s="206"/>
      <c r="D7" s="527" t="s">
        <v>12776</v>
      </c>
      <c r="E7" s="528"/>
      <c r="F7" s="234"/>
      <c r="G7" s="499" t="s">
        <v>12777</v>
      </c>
      <c r="H7" s="499" t="s">
        <v>9155</v>
      </c>
      <c r="I7" s="501">
        <v>0</v>
      </c>
      <c r="J7" s="501">
        <v>0</v>
      </c>
      <c r="K7" s="501">
        <v>4</v>
      </c>
      <c r="L7" s="501">
        <f t="shared" si="0"/>
        <v>0</v>
      </c>
      <c r="M7" s="504">
        <v>45448</v>
      </c>
      <c r="N7" s="504">
        <v>45444</v>
      </c>
      <c r="O7" s="505" t="s">
        <v>12412</v>
      </c>
      <c r="P7" s="505"/>
      <c r="Q7" s="505"/>
      <c r="R7" s="507"/>
      <c r="S7" s="519"/>
      <c r="T7" s="519"/>
      <c r="U7" s="519"/>
      <c r="V7" s="529"/>
      <c r="W7" s="520" t="s">
        <v>12778</v>
      </c>
      <c r="X7" s="150"/>
      <c r="Y7" s="521"/>
      <c r="Z7" s="522"/>
      <c r="AA7" s="501"/>
      <c r="AB7" s="501"/>
      <c r="AC7" s="501"/>
      <c r="AD7" s="523"/>
      <c r="AE7" s="523">
        <f t="shared" ref="AE7:AE12" si="9">I7</f>
        <v>0</v>
      </c>
      <c r="AF7" s="523"/>
      <c r="AG7" s="524">
        <f t="shared" ref="AG7:AG12" si="10">I7</f>
        <v>0</v>
      </c>
      <c r="AH7" s="524"/>
      <c r="AI7" s="524"/>
      <c r="AJ7" s="524"/>
      <c r="AK7" s="524"/>
      <c r="AL7" s="524"/>
      <c r="AM7" s="524"/>
      <c r="AN7" s="524"/>
      <c r="AO7" s="524"/>
      <c r="AP7" s="524"/>
      <c r="AQ7" s="524">
        <f>I7/4</f>
        <v>0</v>
      </c>
      <c r="AR7" s="524">
        <f>I7/4</f>
        <v>0</v>
      </c>
      <c r="AS7" s="524">
        <f>I7/4</f>
        <v>0</v>
      </c>
      <c r="AT7" s="524">
        <f>I7/4</f>
        <v>0</v>
      </c>
      <c r="AU7" s="514" t="e">
        <f>AQ7+AR7+AS7+AT7+'92107'!#REF!</f>
        <v>#REF!</v>
      </c>
      <c r="AV7" s="514" t="e">
        <f>'92107'!#REF!-AQ7</f>
        <v>#REF!</v>
      </c>
      <c r="AW7" s="514" t="e">
        <f>'92107'!#REF!-AR7</f>
        <v>#REF!</v>
      </c>
      <c r="AX7" s="514" t="e">
        <f>'92107'!#REF!-AS7</f>
        <v>#REF!</v>
      </c>
      <c r="AY7" s="514" t="e">
        <f>'92107'!#REF!-AT7</f>
        <v>#REF!</v>
      </c>
      <c r="AZ7" s="514"/>
      <c r="BA7" s="525"/>
      <c r="BB7" s="525"/>
      <c r="BC7" s="525"/>
      <c r="BD7" s="525"/>
      <c r="BE7" s="525"/>
      <c r="BF7" s="525"/>
      <c r="BG7" s="525"/>
      <c r="BH7" s="525"/>
      <c r="BI7" s="525"/>
      <c r="BJ7" s="525"/>
      <c r="BK7" s="525"/>
      <c r="BL7" s="525"/>
      <c r="BM7" s="525"/>
      <c r="BN7" s="525"/>
      <c r="BO7" s="525"/>
      <c r="BP7" s="525"/>
      <c r="BQ7" s="525"/>
      <c r="BR7" s="525"/>
      <c r="BS7" s="99"/>
      <c r="BT7" s="99"/>
      <c r="BU7" s="475"/>
      <c r="BV7" s="475"/>
      <c r="BW7" s="475"/>
      <c r="BX7" s="475"/>
      <c r="BY7" s="475"/>
      <c r="BZ7" s="475"/>
      <c r="CA7" s="475"/>
      <c r="CB7" s="475"/>
      <c r="CC7" s="475"/>
      <c r="CD7" s="475"/>
      <c r="CE7" s="475"/>
      <c r="CF7" s="475"/>
      <c r="CG7" s="475"/>
      <c r="CH7" s="475"/>
      <c r="CI7" s="475"/>
      <c r="CJ7" s="475"/>
      <c r="CK7" s="475"/>
      <c r="CL7" s="475"/>
      <c r="CM7" s="475"/>
      <c r="CN7" s="475"/>
      <c r="CO7" s="525"/>
      <c r="CP7" s="525"/>
      <c r="CQ7" s="525"/>
      <c r="CR7" s="525"/>
      <c r="CS7" s="525"/>
      <c r="CT7" s="525"/>
      <c r="CU7" s="525"/>
      <c r="CV7" s="525"/>
      <c r="CW7" s="525"/>
      <c r="CX7" s="525"/>
      <c r="CY7" s="525"/>
      <c r="CZ7" s="525"/>
      <c r="DA7" s="525"/>
      <c r="DB7" s="525"/>
      <c r="DC7" s="525"/>
      <c r="DD7" s="525"/>
      <c r="DE7" s="525"/>
      <c r="DF7" s="525"/>
      <c r="DG7" s="525"/>
      <c r="DH7" s="525"/>
      <c r="DI7" s="525"/>
      <c r="DJ7" s="525"/>
      <c r="DK7" s="525"/>
      <c r="DL7" s="525"/>
      <c r="DM7" s="525"/>
      <c r="DN7" s="525"/>
      <c r="DO7" s="525"/>
      <c r="DP7" s="525"/>
      <c r="DQ7" s="525"/>
      <c r="DR7" s="525"/>
      <c r="DS7" s="525"/>
      <c r="DT7" s="525"/>
      <c r="DU7" s="525"/>
      <c r="DV7" s="525"/>
      <c r="DW7" s="525"/>
      <c r="DX7" s="525"/>
      <c r="DY7" s="525"/>
      <c r="DZ7" s="525"/>
      <c r="EA7" s="525"/>
      <c r="EB7" s="525"/>
      <c r="EC7" s="525"/>
      <c r="ED7" s="525"/>
      <c r="EE7" s="525"/>
      <c r="EF7" s="525"/>
      <c r="EG7" s="525"/>
      <c r="EH7" s="525"/>
      <c r="EI7" s="525"/>
      <c r="EJ7" s="525"/>
      <c r="EK7" s="525"/>
      <c r="EL7" s="525"/>
      <c r="EM7" s="525"/>
      <c r="EN7" s="525"/>
      <c r="EO7" s="525"/>
      <c r="EP7" s="525"/>
      <c r="EQ7" s="525"/>
      <c r="ER7" s="525"/>
      <c r="ES7" s="525"/>
      <c r="ET7" s="525"/>
      <c r="EU7" s="525"/>
      <c r="EV7" s="525"/>
      <c r="EW7" s="525"/>
      <c r="EX7" s="525"/>
      <c r="EY7" s="525"/>
      <c r="EZ7" s="525"/>
      <c r="FA7" s="525"/>
      <c r="FB7" s="525"/>
      <c r="FC7" s="525"/>
      <c r="FD7" s="525"/>
      <c r="FE7" s="525"/>
      <c r="FF7" s="525"/>
      <c r="FG7" s="525"/>
      <c r="FH7" s="525"/>
      <c r="FI7" s="525"/>
      <c r="FJ7" s="525"/>
      <c r="FK7" s="525"/>
      <c r="FL7" s="525"/>
      <c r="FM7" s="525"/>
      <c r="FN7" s="525"/>
      <c r="FO7" s="525"/>
      <c r="FP7" s="525"/>
      <c r="FQ7" s="525"/>
      <c r="FR7" s="525"/>
      <c r="FS7" s="525"/>
      <c r="FT7" s="525"/>
      <c r="FU7" s="525"/>
      <c r="FV7" s="525"/>
      <c r="FW7" s="525"/>
      <c r="FX7" s="525"/>
      <c r="FY7" s="525"/>
      <c r="FZ7" s="525"/>
      <c r="GA7" s="525"/>
      <c r="GB7" s="525"/>
      <c r="GC7" s="525"/>
      <c r="GD7" s="525"/>
      <c r="GE7" s="525"/>
      <c r="GF7" s="525"/>
      <c r="GG7" s="525"/>
      <c r="GH7" s="525"/>
      <c r="GI7" s="525"/>
      <c r="GJ7" s="525"/>
      <c r="GK7" s="525"/>
      <c r="GL7" s="525"/>
      <c r="GM7" s="525"/>
      <c r="GN7" s="525"/>
      <c r="GO7" s="525"/>
      <c r="GP7" s="525"/>
      <c r="GQ7" s="525"/>
      <c r="GR7" s="525"/>
      <c r="GS7" s="525"/>
      <c r="GT7" s="525"/>
      <c r="GU7" s="525"/>
      <c r="GV7" s="525"/>
      <c r="GW7" s="525"/>
      <c r="GX7" s="525"/>
      <c r="GY7" s="525"/>
      <c r="GZ7" s="525"/>
      <c r="HA7" s="525"/>
      <c r="HB7" s="525"/>
      <c r="HC7" s="525"/>
      <c r="HD7" s="525"/>
      <c r="HE7" s="525"/>
      <c r="HF7" s="525"/>
      <c r="HG7" s="525"/>
      <c r="HH7" s="525"/>
      <c r="HI7" s="525"/>
      <c r="HJ7" s="525"/>
      <c r="HK7" s="525"/>
      <c r="HL7" s="525"/>
      <c r="HM7" s="525"/>
      <c r="HN7" s="525"/>
      <c r="HO7" s="525"/>
      <c r="HP7" s="525"/>
      <c r="HQ7" s="525"/>
      <c r="HR7" s="525"/>
      <c r="HS7" s="525"/>
      <c r="HT7" s="525"/>
    </row>
    <row r="8" s="477" customFormat="1" ht="32" customHeight="1" spans="1:237">
      <c r="A8" s="526">
        <v>45408</v>
      </c>
      <c r="B8" s="215"/>
      <c r="C8" s="206"/>
      <c r="D8" s="527" t="s">
        <v>12776</v>
      </c>
      <c r="E8" s="528"/>
      <c r="F8" s="234"/>
      <c r="G8" s="530" t="s">
        <v>12779</v>
      </c>
      <c r="H8" s="530" t="s">
        <v>9155</v>
      </c>
      <c r="I8" s="502">
        <v>0</v>
      </c>
      <c r="J8" s="502">
        <v>0</v>
      </c>
      <c r="K8" s="502">
        <v>4</v>
      </c>
      <c r="L8" s="502">
        <f t="shared" si="0"/>
        <v>0</v>
      </c>
      <c r="M8" s="503">
        <v>45448</v>
      </c>
      <c r="N8" s="503">
        <v>45444</v>
      </c>
      <c r="O8" s="505" t="s">
        <v>12412</v>
      </c>
      <c r="P8" s="505"/>
      <c r="Q8" s="505"/>
      <c r="R8" s="507"/>
      <c r="S8" s="519"/>
      <c r="T8" s="519"/>
      <c r="U8" s="519"/>
      <c r="V8" s="529"/>
      <c r="W8" s="520" t="s">
        <v>12780</v>
      </c>
      <c r="X8" s="531"/>
      <c r="Y8" s="509"/>
      <c r="Z8" s="510"/>
      <c r="AA8" s="502"/>
      <c r="AB8" s="502"/>
      <c r="AC8" s="501"/>
      <c r="AD8" s="511"/>
      <c r="AE8" s="511"/>
      <c r="AF8" s="511"/>
      <c r="AG8" s="512"/>
      <c r="AH8" s="512"/>
      <c r="AI8" s="512"/>
      <c r="AJ8" s="512"/>
      <c r="AK8" s="512"/>
      <c r="AL8" s="512"/>
      <c r="AM8" s="512"/>
      <c r="AN8" s="512"/>
      <c r="AO8" s="512"/>
      <c r="AP8" s="512"/>
      <c r="AQ8" s="512"/>
      <c r="AR8" s="512">
        <f>I8/4</f>
        <v>0</v>
      </c>
      <c r="AS8" s="512">
        <f t="shared" ref="AS8:AW8" si="11">AR8</f>
        <v>0</v>
      </c>
      <c r="AT8" s="512">
        <f>I8/4</f>
        <v>0</v>
      </c>
      <c r="AU8" s="512">
        <f t="shared" si="11"/>
        <v>0</v>
      </c>
      <c r="AV8" s="515">
        <f>I8/4</f>
        <v>0</v>
      </c>
      <c r="AW8" s="512">
        <f t="shared" si="11"/>
        <v>0</v>
      </c>
      <c r="AX8" s="515">
        <f>I8/4</f>
        <v>0</v>
      </c>
      <c r="AY8" s="512">
        <f>AX8</f>
        <v>0</v>
      </c>
      <c r="AZ8" s="514" t="e">
        <f>AR8+AT8+AV8+AX8+'92108'!#REF!</f>
        <v>#REF!</v>
      </c>
      <c r="BA8" s="514" t="e">
        <f>AS8+AU8+AW8+AY8+'92108'!#REF!</f>
        <v>#REF!</v>
      </c>
      <c r="BB8" s="515" t="e">
        <f>'92108'!#REF!-AR8</f>
        <v>#REF!</v>
      </c>
      <c r="BC8" s="515" t="e">
        <f>'92108'!#REF!-AS8</f>
        <v>#REF!</v>
      </c>
      <c r="BD8" s="515" t="e">
        <f>'92108'!#REF!-AT8</f>
        <v>#REF!</v>
      </c>
      <c r="BE8" s="515" t="e">
        <f>'92108'!#REF!-AU8</f>
        <v>#REF!</v>
      </c>
      <c r="BF8" s="515" t="e">
        <f>'92108'!#REF!-AV8</f>
        <v>#REF!</v>
      </c>
      <c r="BG8" s="515" t="e">
        <f>'92108'!#REF!-AW8</f>
        <v>#REF!</v>
      </c>
      <c r="BH8" s="515" t="e">
        <f>'92108'!#REF!-AX8</f>
        <v>#REF!</v>
      </c>
      <c r="BI8" s="515" t="e">
        <f>'92108'!#REF!-AY8</f>
        <v>#REF!</v>
      </c>
      <c r="BJ8" s="525"/>
      <c r="BK8" s="525"/>
      <c r="BL8" s="525"/>
      <c r="BM8" s="525"/>
      <c r="BN8" s="525"/>
      <c r="BO8" s="525"/>
      <c r="BP8" s="525"/>
      <c r="BQ8" s="525"/>
      <c r="BR8" s="525"/>
      <c r="BS8" s="99"/>
      <c r="BT8" s="99"/>
      <c r="BU8" s="475"/>
      <c r="BV8" s="475"/>
      <c r="BW8" s="475"/>
      <c r="BX8" s="475"/>
      <c r="BY8" s="475"/>
      <c r="BZ8" s="475"/>
      <c r="CA8" s="475"/>
      <c r="CB8" s="475"/>
      <c r="CC8" s="475"/>
      <c r="CD8" s="475"/>
      <c r="CE8" s="475"/>
      <c r="CF8" s="475"/>
      <c r="CG8" s="475"/>
      <c r="CH8" s="475"/>
      <c r="CI8" s="475"/>
      <c r="CJ8" s="475"/>
      <c r="CK8" s="475"/>
      <c r="CL8" s="475"/>
      <c r="CM8" s="475"/>
      <c r="CN8" s="475"/>
      <c r="CO8" s="525"/>
      <c r="CP8" s="525"/>
      <c r="CQ8" s="525"/>
      <c r="CR8" s="525"/>
      <c r="CS8" s="525"/>
      <c r="CT8" s="525"/>
      <c r="CU8" s="525"/>
      <c r="CV8" s="525"/>
      <c r="CW8" s="525"/>
      <c r="CX8" s="525"/>
      <c r="CY8" s="525"/>
      <c r="CZ8" s="525"/>
      <c r="DA8" s="525"/>
      <c r="DB8" s="525"/>
      <c r="DC8" s="525"/>
      <c r="DD8" s="525"/>
      <c r="DE8" s="525"/>
      <c r="DF8" s="525"/>
      <c r="DG8" s="525"/>
      <c r="DH8" s="525"/>
      <c r="DI8" s="525"/>
      <c r="DJ8" s="525"/>
      <c r="DK8" s="525"/>
      <c r="DL8" s="525"/>
      <c r="DM8" s="525"/>
      <c r="DN8" s="525"/>
      <c r="DO8" s="525"/>
      <c r="DP8" s="525"/>
      <c r="DQ8" s="525"/>
      <c r="DR8" s="525"/>
      <c r="DS8" s="525"/>
      <c r="DT8" s="525"/>
      <c r="DU8" s="525"/>
      <c r="DV8" s="525"/>
      <c r="DW8" s="525"/>
      <c r="DX8" s="525"/>
      <c r="DY8" s="525"/>
      <c r="DZ8" s="525"/>
      <c r="EA8" s="525"/>
      <c r="EB8" s="525"/>
      <c r="EC8" s="525"/>
      <c r="ED8" s="525"/>
      <c r="EE8" s="525"/>
      <c r="EF8" s="525"/>
      <c r="EG8" s="525"/>
      <c r="EH8" s="525"/>
      <c r="EI8" s="525"/>
      <c r="EJ8" s="525"/>
      <c r="EK8" s="525"/>
      <c r="EL8" s="525"/>
      <c r="EM8" s="525"/>
      <c r="EN8" s="525"/>
      <c r="EO8" s="525"/>
      <c r="EP8" s="525"/>
      <c r="EQ8" s="525"/>
      <c r="ER8" s="525"/>
      <c r="ES8" s="525"/>
      <c r="ET8" s="525"/>
      <c r="EU8" s="525"/>
      <c r="EV8" s="525"/>
      <c r="EW8" s="525"/>
      <c r="EX8" s="525"/>
      <c r="EY8" s="525"/>
      <c r="EZ8" s="525"/>
      <c r="FA8" s="525"/>
      <c r="FB8" s="525"/>
      <c r="FC8" s="525"/>
      <c r="FD8" s="525"/>
      <c r="FE8" s="525"/>
      <c r="FF8" s="525"/>
      <c r="FG8" s="525"/>
      <c r="FH8" s="525"/>
      <c r="FI8" s="525"/>
      <c r="FJ8" s="525"/>
      <c r="FK8" s="525"/>
      <c r="FL8" s="525"/>
      <c r="FM8" s="525"/>
      <c r="FN8" s="525"/>
      <c r="FO8" s="525"/>
      <c r="FP8" s="525"/>
      <c r="FQ8" s="525"/>
      <c r="FR8" s="525"/>
      <c r="FS8" s="525"/>
      <c r="FT8" s="525"/>
      <c r="FU8" s="525"/>
      <c r="FV8" s="525"/>
      <c r="FW8" s="525"/>
      <c r="FX8" s="525"/>
      <c r="FY8" s="525"/>
      <c r="FZ8" s="525"/>
      <c r="GA8" s="525"/>
      <c r="GB8" s="525"/>
      <c r="GC8" s="525"/>
      <c r="GD8" s="525"/>
      <c r="GE8" s="525"/>
      <c r="GF8" s="525"/>
      <c r="GG8" s="525"/>
      <c r="GH8" s="525"/>
      <c r="GI8" s="525"/>
      <c r="GJ8" s="525"/>
      <c r="GK8" s="525"/>
      <c r="GL8" s="525"/>
      <c r="GM8" s="525"/>
      <c r="GN8" s="525"/>
      <c r="GO8" s="525"/>
      <c r="GP8" s="525"/>
      <c r="GQ8" s="525"/>
      <c r="GR8" s="525"/>
      <c r="GS8" s="525"/>
      <c r="GT8" s="525"/>
      <c r="GU8" s="525"/>
      <c r="GV8" s="525"/>
      <c r="GW8" s="525"/>
      <c r="GX8" s="525"/>
      <c r="GY8" s="525"/>
      <c r="GZ8" s="525"/>
      <c r="HA8" s="525"/>
      <c r="HB8" s="525"/>
      <c r="HC8" s="525"/>
      <c r="HD8" s="525"/>
      <c r="HE8" s="525"/>
      <c r="HF8" s="525"/>
      <c r="HG8" s="525"/>
      <c r="HH8" s="525"/>
      <c r="HI8" s="525"/>
      <c r="HJ8" s="525"/>
      <c r="HK8" s="525"/>
      <c r="HL8" s="525"/>
      <c r="HM8" s="525"/>
      <c r="HN8" s="525"/>
      <c r="HO8" s="525"/>
      <c r="HP8" s="525"/>
      <c r="HQ8" s="525"/>
      <c r="HR8" s="525"/>
      <c r="HS8" s="525"/>
      <c r="HT8" s="525"/>
    </row>
    <row r="9" s="477" customFormat="1" ht="32" customHeight="1" spans="1:237">
      <c r="A9" s="526">
        <v>45383</v>
      </c>
      <c r="B9" s="532" t="s">
        <v>3012</v>
      </c>
      <c r="C9" s="533" t="s">
        <v>569</v>
      </c>
      <c r="D9" s="534">
        <v>4500128123</v>
      </c>
      <c r="E9" s="535" t="s">
        <v>12781</v>
      </c>
      <c r="F9" s="534" t="s">
        <v>12782</v>
      </c>
      <c r="G9" s="499" t="s">
        <v>9431</v>
      </c>
      <c r="H9" s="499" t="s">
        <v>9099</v>
      </c>
      <c r="I9" s="501">
        <v>504</v>
      </c>
      <c r="J9" s="501">
        <v>0</v>
      </c>
      <c r="K9" s="501">
        <v>8</v>
      </c>
      <c r="L9" s="501">
        <f t="shared" si="0"/>
        <v>63</v>
      </c>
      <c r="M9" s="504">
        <v>45429</v>
      </c>
      <c r="N9" s="504" t="s">
        <v>12783</v>
      </c>
      <c r="O9" s="506" t="s">
        <v>12784</v>
      </c>
      <c r="P9" s="505"/>
      <c r="Q9" s="505"/>
      <c r="R9" s="519" t="s">
        <v>7410</v>
      </c>
      <c r="S9" s="519" t="s">
        <v>12785</v>
      </c>
      <c r="T9" s="519" t="s">
        <v>12786</v>
      </c>
      <c r="U9" s="519"/>
      <c r="V9" s="519"/>
      <c r="W9" s="520" t="s">
        <v>12787</v>
      </c>
      <c r="X9" s="531" t="s">
        <v>12788</v>
      </c>
      <c r="Y9" s="521">
        <v>4.43</v>
      </c>
      <c r="Z9" s="522">
        <f t="shared" ref="Z9:Z13" si="12">Y9*I9</f>
        <v>2232.72</v>
      </c>
      <c r="AA9" s="501"/>
      <c r="AB9" s="501" t="s">
        <v>9433</v>
      </c>
      <c r="AC9" s="501" t="s">
        <v>416</v>
      </c>
      <c r="AD9" s="523"/>
      <c r="AE9" s="523">
        <f t="shared" si="9"/>
        <v>504</v>
      </c>
      <c r="AF9" s="523"/>
      <c r="AG9" s="524">
        <f t="shared" si="10"/>
        <v>504</v>
      </c>
      <c r="AH9" s="524"/>
      <c r="AI9" s="524"/>
      <c r="AJ9" s="524">
        <f>I9</f>
        <v>504</v>
      </c>
      <c r="AK9" s="524"/>
      <c r="AL9" s="524"/>
      <c r="AM9" s="524">
        <f t="shared" ref="AM9:AM12" si="13">I9</f>
        <v>504</v>
      </c>
      <c r="AN9" s="524"/>
      <c r="AO9" s="524"/>
      <c r="AP9" s="524"/>
      <c r="AQ9" s="524" t="s">
        <v>9164</v>
      </c>
      <c r="AR9" s="524"/>
      <c r="AS9" s="524">
        <f>I9</f>
        <v>504</v>
      </c>
      <c r="AT9" s="524"/>
      <c r="AU9" s="524"/>
      <c r="AV9" s="514" t="e">
        <f>AR9+AS9+AT9+AU9+'92107'!#REF!</f>
        <v>#REF!</v>
      </c>
      <c r="AW9" s="514" t="e">
        <f>'92107'!#REF!-AR9</f>
        <v>#REF!</v>
      </c>
      <c r="AX9" s="514" t="e">
        <f>'92107'!#REF!-AS9</f>
        <v>#REF!</v>
      </c>
      <c r="AY9" s="514" t="e">
        <f>'92107'!#REF!-AT9</f>
        <v>#REF!</v>
      </c>
      <c r="AZ9" s="514" t="e">
        <f>'92107'!#REF!-AU9</f>
        <v>#REF!</v>
      </c>
      <c r="BA9" s="514"/>
      <c r="BB9" s="525"/>
      <c r="BC9" s="525"/>
      <c r="BD9" s="525"/>
      <c r="BE9" s="525"/>
      <c r="BF9" s="525"/>
      <c r="BG9" s="525"/>
      <c r="BH9" s="525"/>
      <c r="BI9" s="525"/>
      <c r="BJ9" s="525"/>
      <c r="BK9" s="525"/>
      <c r="BL9" s="525"/>
      <c r="BM9" s="525"/>
      <c r="BN9" s="525"/>
      <c r="BO9" s="525"/>
      <c r="BP9" s="525"/>
      <c r="BQ9" s="525"/>
      <c r="BR9" s="525"/>
      <c r="BS9" s="99"/>
      <c r="BT9" s="99"/>
      <c r="BU9" s="475"/>
      <c r="BV9" s="475"/>
      <c r="BW9" s="475"/>
      <c r="BX9" s="475"/>
      <c r="BY9" s="475"/>
      <c r="BZ9" s="475"/>
      <c r="CA9" s="475"/>
      <c r="CB9" s="475"/>
      <c r="CC9" s="475"/>
      <c r="CD9" s="475"/>
      <c r="CE9" s="475"/>
      <c r="CF9" s="475"/>
      <c r="CG9" s="475"/>
      <c r="CH9" s="475"/>
      <c r="CI9" s="475"/>
      <c r="CJ9" s="475"/>
      <c r="CK9" s="475"/>
      <c r="CL9" s="475"/>
      <c r="CM9" s="475"/>
      <c r="CN9" s="475"/>
      <c r="CO9" s="525"/>
      <c r="CP9" s="525"/>
      <c r="CQ9" s="525"/>
      <c r="CR9" s="525"/>
      <c r="CS9" s="525"/>
      <c r="CT9" s="525"/>
      <c r="CU9" s="525"/>
      <c r="CV9" s="525"/>
      <c r="CW9" s="525"/>
      <c r="CX9" s="525"/>
      <c r="CY9" s="525"/>
      <c r="CZ9" s="525"/>
      <c r="DA9" s="525"/>
      <c r="DB9" s="525"/>
      <c r="DC9" s="525"/>
      <c r="DD9" s="525"/>
      <c r="DE9" s="525"/>
      <c r="DF9" s="525"/>
      <c r="DG9" s="525"/>
      <c r="DH9" s="525"/>
      <c r="DI9" s="525"/>
      <c r="DJ9" s="525"/>
      <c r="DK9" s="525"/>
      <c r="DL9" s="525"/>
      <c r="DM9" s="525"/>
      <c r="DN9" s="525"/>
      <c r="DO9" s="525"/>
      <c r="DP9" s="525"/>
      <c r="DQ9" s="525"/>
      <c r="DR9" s="525"/>
      <c r="DS9" s="525"/>
      <c r="DT9" s="525"/>
      <c r="DU9" s="525"/>
      <c r="DV9" s="525"/>
      <c r="DW9" s="525"/>
      <c r="DX9" s="525"/>
      <c r="DY9" s="525"/>
      <c r="DZ9" s="525"/>
      <c r="EA9" s="525"/>
      <c r="EB9" s="525"/>
      <c r="EC9" s="525"/>
      <c r="ED9" s="525"/>
      <c r="EE9" s="525"/>
      <c r="EF9" s="525"/>
      <c r="EG9" s="525"/>
      <c r="EH9" s="525"/>
      <c r="EI9" s="525"/>
      <c r="EJ9" s="525"/>
      <c r="EK9" s="525"/>
      <c r="EL9" s="525"/>
      <c r="EM9" s="525"/>
      <c r="EN9" s="525"/>
      <c r="EO9" s="525"/>
      <c r="EP9" s="525"/>
      <c r="EQ9" s="525"/>
      <c r="ER9" s="525"/>
      <c r="ES9" s="525"/>
      <c r="ET9" s="525"/>
      <c r="EU9" s="525"/>
      <c r="EV9" s="525"/>
      <c r="EW9" s="525"/>
      <c r="EX9" s="525"/>
      <c r="EY9" s="525"/>
      <c r="EZ9" s="525"/>
      <c r="FA9" s="525"/>
      <c r="FB9" s="525"/>
      <c r="FC9" s="525"/>
      <c r="FD9" s="525"/>
      <c r="FE9" s="525"/>
      <c r="FF9" s="525"/>
      <c r="FG9" s="525"/>
      <c r="FH9" s="525"/>
      <c r="FI9" s="525"/>
      <c r="FJ9" s="525"/>
      <c r="FK9" s="525"/>
      <c r="FL9" s="525"/>
      <c r="FM9" s="525"/>
      <c r="FN9" s="525"/>
      <c r="FO9" s="525"/>
      <c r="FP9" s="525"/>
      <c r="FQ9" s="525"/>
      <c r="FR9" s="525"/>
      <c r="FS9" s="525"/>
      <c r="FT9" s="525"/>
      <c r="FU9" s="525"/>
      <c r="FV9" s="525"/>
      <c r="FW9" s="525"/>
      <c r="FX9" s="525"/>
      <c r="FY9" s="525"/>
      <c r="FZ9" s="525"/>
      <c r="GA9" s="525"/>
      <c r="GB9" s="525"/>
      <c r="GC9" s="525"/>
      <c r="GD9" s="525"/>
      <c r="GE9" s="525"/>
      <c r="GF9" s="525"/>
      <c r="GG9" s="525"/>
      <c r="GH9" s="525"/>
      <c r="GI9" s="525"/>
      <c r="GJ9" s="525"/>
      <c r="GK9" s="525"/>
      <c r="GL9" s="525"/>
      <c r="GM9" s="525"/>
      <c r="GN9" s="525"/>
      <c r="GO9" s="525"/>
      <c r="GP9" s="525"/>
      <c r="GQ9" s="525"/>
      <c r="GR9" s="525"/>
      <c r="GS9" s="525"/>
      <c r="GT9" s="525"/>
      <c r="GU9" s="525"/>
      <c r="GV9" s="525"/>
      <c r="GW9" s="525"/>
      <c r="GX9" s="525"/>
      <c r="GY9" s="525"/>
      <c r="GZ9" s="525"/>
      <c r="HA9" s="525"/>
      <c r="HB9" s="525"/>
      <c r="HC9" s="525"/>
      <c r="HD9" s="525"/>
      <c r="HE9" s="525"/>
      <c r="HF9" s="525"/>
      <c r="HG9" s="525"/>
      <c r="HH9" s="525"/>
      <c r="HI9" s="525"/>
      <c r="HJ9" s="525"/>
      <c r="HK9" s="525"/>
      <c r="HL9" s="525"/>
      <c r="HM9" s="525"/>
      <c r="HN9" s="525"/>
      <c r="HO9" s="525"/>
      <c r="HP9" s="525"/>
      <c r="HQ9" s="525"/>
      <c r="HR9" s="525"/>
      <c r="HS9" s="525"/>
      <c r="HT9" s="525"/>
      <c r="HU9" s="525"/>
    </row>
    <row r="10" s="477" customFormat="1" ht="32" customHeight="1" spans="1:237">
      <c r="A10" s="526">
        <v>45383</v>
      </c>
      <c r="B10" s="532" t="s">
        <v>3012</v>
      </c>
      <c r="C10" s="533" t="s">
        <v>569</v>
      </c>
      <c r="D10" s="534">
        <v>4500128123</v>
      </c>
      <c r="E10" s="535" t="s">
        <v>12789</v>
      </c>
      <c r="F10" s="534" t="s">
        <v>12790</v>
      </c>
      <c r="G10" s="499" t="s">
        <v>9424</v>
      </c>
      <c r="H10" s="499" t="s">
        <v>8571</v>
      </c>
      <c r="I10" s="501">
        <v>504</v>
      </c>
      <c r="J10" s="501">
        <v>0</v>
      </c>
      <c r="K10" s="501">
        <v>8</v>
      </c>
      <c r="L10" s="501">
        <f t="shared" si="0"/>
        <v>63</v>
      </c>
      <c r="M10" s="504">
        <v>45429</v>
      </c>
      <c r="N10" s="504" t="s">
        <v>12783</v>
      </c>
      <c r="O10" s="506" t="s">
        <v>12784</v>
      </c>
      <c r="P10" s="505"/>
      <c r="Q10" s="505"/>
      <c r="R10" s="519" t="s">
        <v>7410</v>
      </c>
      <c r="S10" s="519" t="s">
        <v>12785</v>
      </c>
      <c r="T10" s="519" t="s">
        <v>12786</v>
      </c>
      <c r="U10" s="519"/>
      <c r="V10" s="519"/>
      <c r="W10" s="520" t="s">
        <v>12791</v>
      </c>
      <c r="X10" s="531" t="s">
        <v>12788</v>
      </c>
      <c r="Y10" s="521">
        <v>4.43</v>
      </c>
      <c r="Z10" s="522">
        <f t="shared" si="12"/>
        <v>2232.72</v>
      </c>
      <c r="AA10" s="501"/>
      <c r="AB10" s="501" t="s">
        <v>9426</v>
      </c>
      <c r="AC10" s="501" t="s">
        <v>416</v>
      </c>
      <c r="AD10" s="523"/>
      <c r="AE10" s="523">
        <f t="shared" si="9"/>
        <v>504</v>
      </c>
      <c r="AF10" s="523"/>
      <c r="AG10" s="524">
        <f t="shared" si="10"/>
        <v>504</v>
      </c>
      <c r="AH10" s="524"/>
      <c r="AI10" s="524"/>
      <c r="AJ10" s="524"/>
      <c r="AK10" s="524"/>
      <c r="AL10" s="524">
        <f>I10</f>
        <v>504</v>
      </c>
      <c r="AM10" s="524">
        <f t="shared" si="13"/>
        <v>504</v>
      </c>
      <c r="AN10" s="524"/>
      <c r="AO10" s="524"/>
      <c r="AP10" s="524"/>
      <c r="AQ10" s="524" t="s">
        <v>9164</v>
      </c>
      <c r="AR10" s="524"/>
      <c r="AS10" s="524"/>
      <c r="AT10" s="524"/>
      <c r="AU10" s="524">
        <f>I10</f>
        <v>504</v>
      </c>
      <c r="AV10" s="514" t="e">
        <f t="shared" ref="AV10:AV12" si="14">AR10+AS10+AT10+AU10+AV9</f>
        <v>#REF!</v>
      </c>
      <c r="AW10" s="514" t="e">
        <f t="shared" ref="AW10:AZ10" si="15">AW9-AR10</f>
        <v>#REF!</v>
      </c>
      <c r="AX10" s="514" t="e">
        <f t="shared" si="15"/>
        <v>#REF!</v>
      </c>
      <c r="AY10" s="514" t="e">
        <f t="shared" si="15"/>
        <v>#REF!</v>
      </c>
      <c r="AZ10" s="514" t="e">
        <f t="shared" si="15"/>
        <v>#REF!</v>
      </c>
      <c r="BA10" s="514"/>
      <c r="BB10" s="525"/>
      <c r="BC10" s="525"/>
      <c r="BD10" s="525"/>
      <c r="BE10" s="525"/>
      <c r="BF10" s="525"/>
      <c r="BG10" s="525"/>
      <c r="BH10" s="525"/>
      <c r="BI10" s="525"/>
      <c r="BJ10" s="525"/>
      <c r="BK10" s="525"/>
      <c r="BL10" s="525"/>
      <c r="BM10" s="525"/>
      <c r="BN10" s="525"/>
      <c r="BO10" s="525"/>
      <c r="BP10" s="525"/>
      <c r="BQ10" s="525"/>
      <c r="BR10" s="525"/>
      <c r="BS10" s="99"/>
      <c r="BT10" s="99"/>
      <c r="BU10" s="475"/>
      <c r="BV10" s="475"/>
      <c r="BW10" s="475"/>
      <c r="BX10" s="475"/>
      <c r="BY10" s="475"/>
      <c r="BZ10" s="475"/>
      <c r="CA10" s="475"/>
      <c r="CB10" s="475"/>
      <c r="CC10" s="475"/>
      <c r="CD10" s="475"/>
      <c r="CE10" s="475"/>
      <c r="CF10" s="475"/>
      <c r="CG10" s="475"/>
      <c r="CH10" s="475"/>
      <c r="CI10" s="475"/>
      <c r="CJ10" s="475"/>
      <c r="CK10" s="475"/>
      <c r="CL10" s="475"/>
      <c r="CM10" s="475"/>
      <c r="CN10" s="475"/>
      <c r="CO10" s="525"/>
      <c r="CP10" s="525"/>
      <c r="CQ10" s="525"/>
      <c r="CR10" s="525"/>
      <c r="CS10" s="525"/>
      <c r="CT10" s="525"/>
      <c r="CU10" s="525"/>
      <c r="CV10" s="525"/>
      <c r="CW10" s="525"/>
      <c r="CX10" s="525"/>
      <c r="CY10" s="525"/>
      <c r="CZ10" s="525"/>
      <c r="DA10" s="525"/>
      <c r="DB10" s="525"/>
      <c r="DC10" s="525"/>
      <c r="DD10" s="525"/>
      <c r="DE10" s="525"/>
      <c r="DF10" s="525"/>
      <c r="DG10" s="525"/>
      <c r="DH10" s="525"/>
      <c r="DI10" s="525"/>
      <c r="DJ10" s="525"/>
      <c r="DK10" s="525"/>
      <c r="DL10" s="525"/>
      <c r="DM10" s="525"/>
      <c r="DN10" s="525"/>
      <c r="DO10" s="525"/>
      <c r="DP10" s="525"/>
      <c r="DQ10" s="525"/>
      <c r="DR10" s="525"/>
      <c r="DS10" s="525"/>
      <c r="DT10" s="525"/>
      <c r="DU10" s="525"/>
      <c r="DV10" s="525"/>
      <c r="DW10" s="525"/>
      <c r="DX10" s="525"/>
      <c r="DY10" s="525"/>
      <c r="DZ10" s="525"/>
      <c r="EA10" s="525"/>
      <c r="EB10" s="525"/>
      <c r="EC10" s="525"/>
      <c r="ED10" s="525"/>
      <c r="EE10" s="525"/>
      <c r="EF10" s="525"/>
      <c r="EG10" s="525"/>
      <c r="EH10" s="525"/>
      <c r="EI10" s="525"/>
      <c r="EJ10" s="525"/>
      <c r="EK10" s="525"/>
      <c r="EL10" s="525"/>
      <c r="EM10" s="525"/>
      <c r="EN10" s="525"/>
      <c r="EO10" s="525"/>
      <c r="EP10" s="525"/>
      <c r="EQ10" s="525"/>
      <c r="ER10" s="525"/>
      <c r="ES10" s="525"/>
      <c r="ET10" s="525"/>
      <c r="EU10" s="525"/>
      <c r="EV10" s="525"/>
      <c r="EW10" s="525"/>
      <c r="EX10" s="525"/>
      <c r="EY10" s="525"/>
      <c r="EZ10" s="525"/>
      <c r="FA10" s="525"/>
      <c r="FB10" s="525"/>
      <c r="FC10" s="525"/>
      <c r="FD10" s="525"/>
      <c r="FE10" s="525"/>
      <c r="FF10" s="525"/>
      <c r="FG10" s="525"/>
      <c r="FH10" s="525"/>
      <c r="FI10" s="525"/>
      <c r="FJ10" s="525"/>
      <c r="FK10" s="525"/>
      <c r="FL10" s="525"/>
      <c r="FM10" s="525"/>
      <c r="FN10" s="525"/>
      <c r="FO10" s="525"/>
      <c r="FP10" s="525"/>
      <c r="FQ10" s="525"/>
      <c r="FR10" s="525"/>
      <c r="FS10" s="525"/>
      <c r="FT10" s="525"/>
      <c r="FU10" s="525"/>
      <c r="FV10" s="525"/>
      <c r="FW10" s="525"/>
      <c r="FX10" s="525"/>
      <c r="FY10" s="525"/>
      <c r="FZ10" s="525"/>
      <c r="GA10" s="525"/>
      <c r="GB10" s="525"/>
      <c r="GC10" s="525"/>
      <c r="GD10" s="525"/>
      <c r="GE10" s="525"/>
      <c r="GF10" s="525"/>
      <c r="GG10" s="525"/>
      <c r="GH10" s="525"/>
      <c r="GI10" s="525"/>
      <c r="GJ10" s="525"/>
      <c r="GK10" s="525"/>
      <c r="GL10" s="525"/>
      <c r="GM10" s="525"/>
      <c r="GN10" s="525"/>
      <c r="GO10" s="525"/>
      <c r="GP10" s="525"/>
      <c r="GQ10" s="525"/>
      <c r="GR10" s="525"/>
      <c r="GS10" s="525"/>
      <c r="GT10" s="525"/>
      <c r="GU10" s="525"/>
      <c r="GV10" s="525"/>
      <c r="GW10" s="525"/>
      <c r="GX10" s="525"/>
      <c r="GY10" s="525"/>
      <c r="GZ10" s="525"/>
      <c r="HA10" s="525"/>
      <c r="HB10" s="525"/>
      <c r="HC10" s="525"/>
      <c r="HD10" s="525"/>
      <c r="HE10" s="525"/>
      <c r="HF10" s="525"/>
      <c r="HG10" s="525"/>
      <c r="HH10" s="525"/>
      <c r="HI10" s="525"/>
      <c r="HJ10" s="525"/>
      <c r="HK10" s="525"/>
      <c r="HL10" s="525"/>
      <c r="HM10" s="525"/>
      <c r="HN10" s="525"/>
      <c r="HO10" s="525"/>
      <c r="HP10" s="525"/>
      <c r="HQ10" s="525"/>
      <c r="HR10" s="525"/>
      <c r="HS10" s="525"/>
      <c r="HT10" s="525"/>
      <c r="HU10" s="525"/>
    </row>
    <row r="11" s="477" customFormat="1" ht="32" customHeight="1" spans="1:237">
      <c r="A11" s="526">
        <v>45383</v>
      </c>
      <c r="B11" s="532" t="s">
        <v>3012</v>
      </c>
      <c r="C11" s="533" t="s">
        <v>569</v>
      </c>
      <c r="D11" s="534">
        <v>4500128123</v>
      </c>
      <c r="E11" s="535" t="s">
        <v>12792</v>
      </c>
      <c r="F11" s="534" t="s">
        <v>12790</v>
      </c>
      <c r="G11" s="499" t="s">
        <v>9255</v>
      </c>
      <c r="H11" s="499" t="s">
        <v>9098</v>
      </c>
      <c r="I11" s="501">
        <v>504</v>
      </c>
      <c r="J11" s="501">
        <v>0</v>
      </c>
      <c r="K11" s="501">
        <v>8</v>
      </c>
      <c r="L11" s="501">
        <f t="shared" si="0"/>
        <v>63</v>
      </c>
      <c r="M11" s="504">
        <v>45429</v>
      </c>
      <c r="N11" s="504" t="s">
        <v>12783</v>
      </c>
      <c r="O11" s="506" t="s">
        <v>12784</v>
      </c>
      <c r="P11" s="505"/>
      <c r="Q11" s="505"/>
      <c r="R11" s="519" t="s">
        <v>7410</v>
      </c>
      <c r="S11" s="519" t="s">
        <v>12785</v>
      </c>
      <c r="T11" s="519" t="s">
        <v>12786</v>
      </c>
      <c r="U11" s="519"/>
      <c r="V11" s="519"/>
      <c r="W11" s="520" t="s">
        <v>12793</v>
      </c>
      <c r="X11" s="531" t="s">
        <v>12788</v>
      </c>
      <c r="Y11" s="521">
        <v>4.43</v>
      </c>
      <c r="Z11" s="522">
        <f t="shared" si="12"/>
        <v>2232.72</v>
      </c>
      <c r="AA11" s="501"/>
      <c r="AB11" s="501" t="s">
        <v>9429</v>
      </c>
      <c r="AC11" s="501" t="s">
        <v>416</v>
      </c>
      <c r="AD11" s="523"/>
      <c r="AE11" s="523">
        <f t="shared" si="9"/>
        <v>504</v>
      </c>
      <c r="AF11" s="523"/>
      <c r="AG11" s="524">
        <f t="shared" si="10"/>
        <v>504</v>
      </c>
      <c r="AH11" s="524"/>
      <c r="AI11" s="524">
        <f t="shared" ref="AI11:AI15" si="16">I11</f>
        <v>504</v>
      </c>
      <c r="AJ11" s="524"/>
      <c r="AK11" s="524"/>
      <c r="AL11" s="524"/>
      <c r="AM11" s="524">
        <f t="shared" si="13"/>
        <v>504</v>
      </c>
      <c r="AN11" s="524"/>
      <c r="AO11" s="524"/>
      <c r="AP11" s="524"/>
      <c r="AQ11" s="524" t="s">
        <v>9164</v>
      </c>
      <c r="AR11" s="524">
        <f>I11</f>
        <v>504</v>
      </c>
      <c r="AS11" s="524"/>
      <c r="AT11" s="524"/>
      <c r="AU11" s="524"/>
      <c r="AV11" s="514" t="e">
        <f t="shared" si="14"/>
        <v>#REF!</v>
      </c>
      <c r="AW11" s="514" t="e">
        <f t="shared" ref="AW11:AZ11" si="17">AW10-AR11</f>
        <v>#REF!</v>
      </c>
      <c r="AX11" s="514" t="e">
        <f t="shared" si="17"/>
        <v>#REF!</v>
      </c>
      <c r="AY11" s="514" t="e">
        <f t="shared" si="17"/>
        <v>#REF!</v>
      </c>
      <c r="AZ11" s="514" t="e">
        <f t="shared" si="17"/>
        <v>#REF!</v>
      </c>
      <c r="BA11" s="514"/>
      <c r="BB11" s="525"/>
      <c r="BC11" s="525"/>
      <c r="BD11" s="525"/>
      <c r="BE11" s="525"/>
      <c r="BF11" s="525"/>
      <c r="BG11" s="525"/>
      <c r="BH11" s="525"/>
      <c r="BI11" s="525"/>
      <c r="BJ11" s="525"/>
      <c r="BK11" s="525"/>
      <c r="BL11" s="525"/>
      <c r="BM11" s="525"/>
      <c r="BN11" s="525"/>
      <c r="BO11" s="525"/>
      <c r="BP11" s="525"/>
      <c r="BQ11" s="525"/>
      <c r="BR11" s="525"/>
      <c r="BS11" s="99"/>
      <c r="BT11" s="99"/>
      <c r="BU11" s="475"/>
      <c r="BV11" s="475"/>
      <c r="BW11" s="475"/>
      <c r="BX11" s="475"/>
      <c r="BY11" s="475"/>
      <c r="BZ11" s="475"/>
      <c r="CA11" s="475"/>
      <c r="CB11" s="475"/>
      <c r="CC11" s="475"/>
      <c r="CD11" s="475"/>
      <c r="CE11" s="475"/>
      <c r="CF11" s="475"/>
      <c r="CG11" s="475"/>
      <c r="CH11" s="475"/>
      <c r="CI11" s="475"/>
      <c r="CJ11" s="475"/>
      <c r="CK11" s="475"/>
      <c r="CL11" s="475"/>
      <c r="CM11" s="475"/>
      <c r="CN11" s="475"/>
      <c r="CO11" s="525"/>
      <c r="CP11" s="525"/>
      <c r="CQ11" s="525"/>
      <c r="CR11" s="525"/>
      <c r="CS11" s="525"/>
      <c r="CT11" s="525"/>
      <c r="CU11" s="525"/>
      <c r="CV11" s="525"/>
      <c r="CW11" s="525"/>
      <c r="CX11" s="525"/>
      <c r="CY11" s="525"/>
      <c r="CZ11" s="525"/>
      <c r="DA11" s="525"/>
      <c r="DB11" s="525"/>
      <c r="DC11" s="525"/>
      <c r="DD11" s="525"/>
      <c r="DE11" s="525"/>
      <c r="DF11" s="525"/>
      <c r="DG11" s="525"/>
      <c r="DH11" s="525"/>
      <c r="DI11" s="525"/>
      <c r="DJ11" s="525"/>
      <c r="DK11" s="525"/>
      <c r="DL11" s="525"/>
      <c r="DM11" s="525"/>
      <c r="DN11" s="525"/>
      <c r="DO11" s="525"/>
      <c r="DP11" s="525"/>
      <c r="DQ11" s="525"/>
      <c r="DR11" s="525"/>
      <c r="DS11" s="525"/>
      <c r="DT11" s="525"/>
      <c r="DU11" s="525"/>
      <c r="DV11" s="525"/>
      <c r="DW11" s="525"/>
      <c r="DX11" s="525"/>
      <c r="DY11" s="525"/>
      <c r="DZ11" s="525"/>
      <c r="EA11" s="525"/>
      <c r="EB11" s="525"/>
      <c r="EC11" s="525"/>
      <c r="ED11" s="525"/>
      <c r="EE11" s="525"/>
      <c r="EF11" s="525"/>
      <c r="EG11" s="525"/>
      <c r="EH11" s="525"/>
      <c r="EI11" s="525"/>
      <c r="EJ11" s="525"/>
      <c r="EK11" s="525"/>
      <c r="EL11" s="525"/>
      <c r="EM11" s="525"/>
      <c r="EN11" s="525"/>
      <c r="EO11" s="525"/>
      <c r="EP11" s="525"/>
      <c r="EQ11" s="525"/>
      <c r="ER11" s="525"/>
      <c r="ES11" s="525"/>
      <c r="ET11" s="525"/>
      <c r="EU11" s="525"/>
      <c r="EV11" s="525"/>
      <c r="EW11" s="525"/>
      <c r="EX11" s="525"/>
      <c r="EY11" s="525"/>
      <c r="EZ11" s="525"/>
      <c r="FA11" s="525"/>
      <c r="FB11" s="525"/>
      <c r="FC11" s="525"/>
      <c r="FD11" s="525"/>
      <c r="FE11" s="525"/>
      <c r="FF11" s="525"/>
      <c r="FG11" s="525"/>
      <c r="FH11" s="525"/>
      <c r="FI11" s="525"/>
      <c r="FJ11" s="525"/>
      <c r="FK11" s="525"/>
      <c r="FL11" s="525"/>
      <c r="FM11" s="525"/>
      <c r="FN11" s="525"/>
      <c r="FO11" s="525"/>
      <c r="FP11" s="525"/>
      <c r="FQ11" s="525"/>
      <c r="FR11" s="525"/>
      <c r="FS11" s="525"/>
      <c r="FT11" s="525"/>
      <c r="FU11" s="525"/>
      <c r="FV11" s="525"/>
      <c r="FW11" s="525"/>
      <c r="FX11" s="525"/>
      <c r="FY11" s="525"/>
      <c r="FZ11" s="525"/>
      <c r="GA11" s="525"/>
      <c r="GB11" s="525"/>
      <c r="GC11" s="525"/>
      <c r="GD11" s="525"/>
      <c r="GE11" s="525"/>
      <c r="GF11" s="525"/>
      <c r="GG11" s="525"/>
      <c r="GH11" s="525"/>
      <c r="GI11" s="525"/>
      <c r="GJ11" s="525"/>
      <c r="GK11" s="525"/>
      <c r="GL11" s="525"/>
      <c r="GM11" s="525"/>
      <c r="GN11" s="525"/>
      <c r="GO11" s="525"/>
      <c r="GP11" s="525"/>
      <c r="GQ11" s="525"/>
      <c r="GR11" s="525"/>
      <c r="GS11" s="525"/>
      <c r="GT11" s="525"/>
      <c r="GU11" s="525"/>
      <c r="GV11" s="525"/>
      <c r="GW11" s="525"/>
      <c r="GX11" s="525"/>
      <c r="GY11" s="525"/>
      <c r="GZ11" s="525"/>
      <c r="HA11" s="525"/>
      <c r="HB11" s="525"/>
      <c r="HC11" s="525"/>
      <c r="HD11" s="525"/>
      <c r="HE11" s="525"/>
      <c r="HF11" s="525"/>
      <c r="HG11" s="525"/>
      <c r="HH11" s="525"/>
      <c r="HI11" s="525"/>
      <c r="HJ11" s="525"/>
      <c r="HK11" s="525"/>
      <c r="HL11" s="525"/>
      <c r="HM11" s="525"/>
      <c r="HN11" s="525"/>
      <c r="HO11" s="525"/>
      <c r="HP11" s="525"/>
      <c r="HQ11" s="525"/>
      <c r="HR11" s="525"/>
      <c r="HS11" s="525"/>
      <c r="HT11" s="525"/>
      <c r="HU11" s="525"/>
    </row>
    <row r="12" s="477" customFormat="1" ht="32" customHeight="1" spans="1:237">
      <c r="A12" s="526">
        <v>45383</v>
      </c>
      <c r="B12" s="532" t="s">
        <v>3012</v>
      </c>
      <c r="C12" s="533" t="s">
        <v>569</v>
      </c>
      <c r="D12" s="534">
        <v>4500128123</v>
      </c>
      <c r="E12" s="535" t="s">
        <v>12317</v>
      </c>
      <c r="F12" s="534" t="s">
        <v>12794</v>
      </c>
      <c r="G12" s="499" t="s">
        <v>9419</v>
      </c>
      <c r="H12" s="499" t="s">
        <v>9100</v>
      </c>
      <c r="I12" s="501">
        <v>504</v>
      </c>
      <c r="J12" s="501">
        <v>0</v>
      </c>
      <c r="K12" s="501">
        <v>8</v>
      </c>
      <c r="L12" s="501">
        <f t="shared" si="0"/>
        <v>63</v>
      </c>
      <c r="M12" s="504">
        <v>45429</v>
      </c>
      <c r="N12" s="504" t="s">
        <v>12783</v>
      </c>
      <c r="O12" s="506" t="s">
        <v>12784</v>
      </c>
      <c r="P12" s="505"/>
      <c r="Q12" s="505"/>
      <c r="R12" s="519" t="s">
        <v>7410</v>
      </c>
      <c r="S12" s="519" t="s">
        <v>12785</v>
      </c>
      <c r="T12" s="519" t="s">
        <v>12786</v>
      </c>
      <c r="U12" s="519"/>
      <c r="V12" s="519"/>
      <c r="W12" s="520" t="s">
        <v>12795</v>
      </c>
      <c r="X12" s="531" t="s">
        <v>12788</v>
      </c>
      <c r="Y12" s="521">
        <v>4.43</v>
      </c>
      <c r="Z12" s="522">
        <f t="shared" si="12"/>
        <v>2232.72</v>
      </c>
      <c r="AA12" s="501"/>
      <c r="AB12" s="501" t="s">
        <v>9422</v>
      </c>
      <c r="AC12" s="501" t="s">
        <v>416</v>
      </c>
      <c r="AD12" s="523"/>
      <c r="AE12" s="523">
        <f t="shared" si="9"/>
        <v>504</v>
      </c>
      <c r="AF12" s="523"/>
      <c r="AG12" s="524">
        <f t="shared" si="10"/>
        <v>504</v>
      </c>
      <c r="AH12" s="524"/>
      <c r="AI12" s="524"/>
      <c r="AJ12" s="524"/>
      <c r="AK12" s="524">
        <f>I12</f>
        <v>504</v>
      </c>
      <c r="AL12" s="524"/>
      <c r="AM12" s="524">
        <f t="shared" si="13"/>
        <v>504</v>
      </c>
      <c r="AN12" s="524"/>
      <c r="AO12" s="524"/>
      <c r="AP12" s="524"/>
      <c r="AQ12" s="524" t="s">
        <v>9164</v>
      </c>
      <c r="AR12" s="524"/>
      <c r="AS12" s="524"/>
      <c r="AT12" s="524">
        <f>I12</f>
        <v>504</v>
      </c>
      <c r="AU12" s="524"/>
      <c r="AV12" s="514" t="e">
        <f t="shared" si="14"/>
        <v>#REF!</v>
      </c>
      <c r="AW12" s="514" t="e">
        <f t="shared" ref="AW12:AZ12" si="18">AW11-AR12</f>
        <v>#REF!</v>
      </c>
      <c r="AX12" s="514" t="e">
        <f t="shared" si="18"/>
        <v>#REF!</v>
      </c>
      <c r="AY12" s="514" t="e">
        <f t="shared" si="18"/>
        <v>#REF!</v>
      </c>
      <c r="AZ12" s="514" t="e">
        <f t="shared" si="18"/>
        <v>#REF!</v>
      </c>
      <c r="BA12" s="514"/>
      <c r="BB12" s="525"/>
      <c r="BC12" s="525"/>
      <c r="BD12" s="525"/>
      <c r="BE12" s="525"/>
      <c r="BF12" s="525"/>
      <c r="BG12" s="525"/>
      <c r="BH12" s="525"/>
      <c r="BI12" s="525"/>
      <c r="BJ12" s="525"/>
      <c r="BK12" s="525"/>
      <c r="BL12" s="525"/>
      <c r="BM12" s="525"/>
      <c r="BN12" s="525"/>
      <c r="BO12" s="525"/>
      <c r="BP12" s="525"/>
      <c r="BQ12" s="525"/>
      <c r="BR12" s="525"/>
      <c r="BS12" s="99"/>
      <c r="BT12" s="99"/>
      <c r="BU12" s="475"/>
      <c r="BV12" s="475"/>
      <c r="BW12" s="475"/>
      <c r="BX12" s="475"/>
      <c r="BY12" s="475"/>
      <c r="BZ12" s="475"/>
      <c r="CA12" s="475"/>
      <c r="CB12" s="475"/>
      <c r="CC12" s="475"/>
      <c r="CD12" s="475"/>
      <c r="CE12" s="475"/>
      <c r="CF12" s="475"/>
      <c r="CG12" s="475"/>
      <c r="CH12" s="475"/>
      <c r="CI12" s="475"/>
      <c r="CJ12" s="475"/>
      <c r="CK12" s="475"/>
      <c r="CL12" s="475"/>
      <c r="CM12" s="475"/>
      <c r="CN12" s="475"/>
      <c r="CO12" s="525"/>
      <c r="CP12" s="525"/>
      <c r="CQ12" s="525"/>
      <c r="CR12" s="525"/>
      <c r="CS12" s="525"/>
      <c r="CT12" s="525"/>
      <c r="CU12" s="525"/>
      <c r="CV12" s="525"/>
      <c r="CW12" s="525"/>
      <c r="CX12" s="525"/>
      <c r="CY12" s="525"/>
      <c r="CZ12" s="525"/>
      <c r="DA12" s="525"/>
      <c r="DB12" s="525"/>
      <c r="DC12" s="525"/>
      <c r="DD12" s="525"/>
      <c r="DE12" s="525"/>
      <c r="DF12" s="525"/>
      <c r="DG12" s="525"/>
      <c r="DH12" s="525"/>
      <c r="DI12" s="525"/>
      <c r="DJ12" s="525"/>
      <c r="DK12" s="525"/>
      <c r="DL12" s="525"/>
      <c r="DM12" s="525"/>
      <c r="DN12" s="525"/>
      <c r="DO12" s="525"/>
      <c r="DP12" s="525"/>
      <c r="DQ12" s="525"/>
      <c r="DR12" s="525"/>
      <c r="DS12" s="525"/>
      <c r="DT12" s="525"/>
      <c r="DU12" s="525"/>
      <c r="DV12" s="525"/>
      <c r="DW12" s="525"/>
      <c r="DX12" s="525"/>
      <c r="DY12" s="525"/>
      <c r="DZ12" s="525"/>
      <c r="EA12" s="525"/>
      <c r="EB12" s="525"/>
      <c r="EC12" s="525"/>
      <c r="ED12" s="525"/>
      <c r="EE12" s="525"/>
      <c r="EF12" s="525"/>
      <c r="EG12" s="525"/>
      <c r="EH12" s="525"/>
      <c r="EI12" s="525"/>
      <c r="EJ12" s="525"/>
      <c r="EK12" s="525"/>
      <c r="EL12" s="525"/>
      <c r="EM12" s="525"/>
      <c r="EN12" s="525"/>
      <c r="EO12" s="525"/>
      <c r="EP12" s="525"/>
      <c r="EQ12" s="525"/>
      <c r="ER12" s="525"/>
      <c r="ES12" s="525"/>
      <c r="ET12" s="525"/>
      <c r="EU12" s="525"/>
      <c r="EV12" s="525"/>
      <c r="EW12" s="525"/>
      <c r="EX12" s="525"/>
      <c r="EY12" s="525"/>
      <c r="EZ12" s="525"/>
      <c r="FA12" s="525"/>
      <c r="FB12" s="525"/>
      <c r="FC12" s="525"/>
      <c r="FD12" s="525"/>
      <c r="FE12" s="525"/>
      <c r="FF12" s="525"/>
      <c r="FG12" s="525"/>
      <c r="FH12" s="525"/>
      <c r="FI12" s="525"/>
      <c r="FJ12" s="525"/>
      <c r="FK12" s="525"/>
      <c r="FL12" s="525"/>
      <c r="FM12" s="525"/>
      <c r="FN12" s="525"/>
      <c r="FO12" s="525"/>
      <c r="FP12" s="525"/>
      <c r="FQ12" s="525"/>
      <c r="FR12" s="525"/>
      <c r="FS12" s="525"/>
      <c r="FT12" s="525"/>
      <c r="FU12" s="525"/>
      <c r="FV12" s="525"/>
      <c r="FW12" s="525"/>
      <c r="FX12" s="525"/>
      <c r="FY12" s="525"/>
      <c r="FZ12" s="525"/>
      <c r="GA12" s="525"/>
      <c r="GB12" s="525"/>
      <c r="GC12" s="525"/>
      <c r="GD12" s="525"/>
      <c r="GE12" s="525"/>
      <c r="GF12" s="525"/>
      <c r="GG12" s="525"/>
      <c r="GH12" s="525"/>
      <c r="GI12" s="525"/>
      <c r="GJ12" s="525"/>
      <c r="GK12" s="525"/>
      <c r="GL12" s="525"/>
      <c r="GM12" s="525"/>
      <c r="GN12" s="525"/>
      <c r="GO12" s="525"/>
      <c r="GP12" s="525"/>
      <c r="GQ12" s="525"/>
      <c r="GR12" s="525"/>
      <c r="GS12" s="525"/>
      <c r="GT12" s="525"/>
      <c r="GU12" s="525"/>
      <c r="GV12" s="525"/>
      <c r="GW12" s="525"/>
      <c r="GX12" s="525"/>
      <c r="GY12" s="525"/>
      <c r="GZ12" s="525"/>
      <c r="HA12" s="525"/>
      <c r="HB12" s="525"/>
      <c r="HC12" s="525"/>
      <c r="HD12" s="525"/>
      <c r="HE12" s="525"/>
      <c r="HF12" s="525"/>
      <c r="HG12" s="525"/>
      <c r="HH12" s="525"/>
      <c r="HI12" s="525"/>
      <c r="HJ12" s="525"/>
      <c r="HK12" s="525"/>
      <c r="HL12" s="525"/>
      <c r="HM12" s="525"/>
      <c r="HN12" s="525"/>
      <c r="HO12" s="525"/>
      <c r="HP12" s="525"/>
      <c r="HQ12" s="525"/>
      <c r="HR12" s="525"/>
      <c r="HS12" s="525"/>
      <c r="HT12" s="525"/>
      <c r="HU12" s="525"/>
    </row>
    <row r="13" s="477" customFormat="1" ht="32" customHeight="1" spans="1:237">
      <c r="A13" s="526">
        <v>45383</v>
      </c>
      <c r="B13" s="532" t="s">
        <v>3012</v>
      </c>
      <c r="C13" s="533" t="s">
        <v>569</v>
      </c>
      <c r="D13" s="534">
        <v>4500128123</v>
      </c>
      <c r="E13" s="535" t="s">
        <v>12313</v>
      </c>
      <c r="F13" s="534" t="s">
        <v>12796</v>
      </c>
      <c r="G13" s="530" t="s">
        <v>10202</v>
      </c>
      <c r="H13" s="499" t="s">
        <v>10203</v>
      </c>
      <c r="I13" s="501">
        <v>498</v>
      </c>
      <c r="J13" s="502">
        <v>1</v>
      </c>
      <c r="K13" s="502">
        <v>2</v>
      </c>
      <c r="L13" s="502">
        <f t="shared" si="0"/>
        <v>249</v>
      </c>
      <c r="M13" s="503">
        <v>45429</v>
      </c>
      <c r="N13" s="503">
        <v>45425</v>
      </c>
      <c r="O13" s="536" t="s">
        <v>12797</v>
      </c>
      <c r="P13" s="506"/>
      <c r="Q13" s="506"/>
      <c r="R13" s="519" t="s">
        <v>7410</v>
      </c>
      <c r="S13" s="537" t="s">
        <v>12785</v>
      </c>
      <c r="T13" s="519" t="s">
        <v>12786</v>
      </c>
      <c r="U13" s="507"/>
      <c r="V13" s="507"/>
      <c r="W13" s="538" t="s">
        <v>12798</v>
      </c>
      <c r="X13" s="531" t="s">
        <v>12788</v>
      </c>
      <c r="Y13" s="509">
        <v>7.75</v>
      </c>
      <c r="Z13" s="510">
        <f t="shared" si="12"/>
        <v>3859.5</v>
      </c>
      <c r="AA13" s="502"/>
      <c r="AB13" s="499" t="s">
        <v>10202</v>
      </c>
      <c r="AC13" s="501" t="s">
        <v>416</v>
      </c>
      <c r="AD13" s="511">
        <f>I13</f>
        <v>498</v>
      </c>
      <c r="AE13" s="511"/>
      <c r="AF13" s="511"/>
      <c r="AG13" s="512">
        <f>AD13</f>
        <v>498</v>
      </c>
      <c r="AH13" s="512"/>
      <c r="AI13" s="512"/>
      <c r="AJ13" s="512"/>
      <c r="AK13" s="513">
        <f>AG13</f>
        <v>498</v>
      </c>
      <c r="AL13" s="512"/>
      <c r="AM13" s="513"/>
      <c r="AN13" s="513"/>
      <c r="AO13" s="513">
        <f>I13</f>
        <v>498</v>
      </c>
      <c r="AP13" s="513"/>
      <c r="AQ13" s="513">
        <f>I13</f>
        <v>498</v>
      </c>
      <c r="AR13" s="513" t="s">
        <v>9164</v>
      </c>
      <c r="AS13" s="512"/>
      <c r="AT13" s="512"/>
      <c r="AU13" s="512"/>
      <c r="AV13" s="512"/>
      <c r="AW13" s="512">
        <f t="shared" ref="AW13:AW15" si="19">I13</f>
        <v>498</v>
      </c>
      <c r="AX13" s="512">
        <f>I13</f>
        <v>498</v>
      </c>
      <c r="AY13" s="515"/>
      <c r="AZ13" s="512"/>
      <c r="BA13" s="514" t="e">
        <f>AS13+AU13+AW13+AY13+'92108'!#REF!</f>
        <v>#REF!</v>
      </c>
      <c r="BB13" s="514" t="e">
        <f>AT13+AV13+AX13+AZ13+'92108'!#REF!</f>
        <v>#REF!</v>
      </c>
      <c r="BC13" s="515" t="e">
        <f>'92108'!#REF!-AS13</f>
        <v>#REF!</v>
      </c>
      <c r="BD13" s="515" t="e">
        <f>'92108'!#REF!-AT13</f>
        <v>#REF!</v>
      </c>
      <c r="BE13" s="515" t="e">
        <f>'92108'!#REF!-AU13</f>
        <v>#REF!</v>
      </c>
      <c r="BF13" s="515" t="e">
        <f>'92108'!#REF!-AV13</f>
        <v>#REF!</v>
      </c>
      <c r="BG13" s="515" t="e">
        <f>'92108'!#REF!-AW13</f>
        <v>#REF!</v>
      </c>
      <c r="BH13" s="515" t="e">
        <f>'92108'!#REF!-AX13</f>
        <v>#REF!</v>
      </c>
      <c r="BI13" s="515" t="e">
        <f>'92108'!#REF!-AY13</f>
        <v>#REF!</v>
      </c>
      <c r="BJ13" s="515" t="e">
        <f>'92108'!#REF!-AZ13</f>
        <v>#REF!</v>
      </c>
      <c r="BK13" s="525"/>
      <c r="BL13" s="525"/>
      <c r="BM13" s="525"/>
      <c r="BN13" s="525"/>
      <c r="BO13" s="525"/>
      <c r="BP13" s="525"/>
      <c r="BQ13" s="525"/>
      <c r="BR13" s="525"/>
      <c r="BS13" s="99"/>
      <c r="BT13" s="99"/>
      <c r="BU13" s="475"/>
      <c r="BV13" s="475"/>
      <c r="BW13" s="475"/>
      <c r="BX13" s="475"/>
      <c r="BY13" s="475"/>
      <c r="BZ13" s="475"/>
      <c r="CA13" s="475"/>
      <c r="CB13" s="475"/>
      <c r="CC13" s="475"/>
      <c r="CD13" s="475"/>
      <c r="CE13" s="475"/>
      <c r="CF13" s="475"/>
      <c r="CG13" s="475"/>
      <c r="CH13" s="475"/>
      <c r="CI13" s="475"/>
      <c r="CJ13" s="475"/>
      <c r="CK13" s="475"/>
      <c r="CL13" s="475"/>
      <c r="CM13" s="475"/>
      <c r="CN13" s="475"/>
      <c r="CO13" s="525"/>
      <c r="CP13" s="525"/>
      <c r="CQ13" s="525"/>
      <c r="CR13" s="525"/>
      <c r="CS13" s="525"/>
      <c r="CT13" s="525"/>
      <c r="CU13" s="525"/>
      <c r="CV13" s="525"/>
      <c r="CW13" s="525"/>
      <c r="CX13" s="525"/>
      <c r="CY13" s="525"/>
      <c r="CZ13" s="525"/>
      <c r="DA13" s="525"/>
      <c r="DB13" s="525"/>
      <c r="DC13" s="525"/>
      <c r="DD13" s="525"/>
      <c r="DE13" s="525"/>
      <c r="DF13" s="525"/>
      <c r="DG13" s="525"/>
      <c r="DH13" s="525"/>
      <c r="DI13" s="525"/>
      <c r="DJ13" s="525"/>
      <c r="DK13" s="525"/>
      <c r="DL13" s="525"/>
      <c r="DM13" s="525"/>
      <c r="DN13" s="525"/>
      <c r="DO13" s="525"/>
      <c r="DP13" s="525"/>
      <c r="DQ13" s="525"/>
      <c r="DR13" s="525"/>
      <c r="DS13" s="525"/>
      <c r="DT13" s="525"/>
      <c r="DU13" s="525"/>
      <c r="DV13" s="525"/>
      <c r="DW13" s="525"/>
      <c r="DX13" s="525"/>
      <c r="DY13" s="525"/>
      <c r="DZ13" s="525"/>
      <c r="EA13" s="525"/>
      <c r="EB13" s="525"/>
      <c r="EC13" s="525"/>
      <c r="ED13" s="525"/>
      <c r="EE13" s="525"/>
      <c r="EF13" s="525"/>
      <c r="EG13" s="525"/>
      <c r="EH13" s="525"/>
      <c r="EI13" s="525"/>
      <c r="EJ13" s="525"/>
      <c r="EK13" s="525"/>
      <c r="EL13" s="525"/>
      <c r="EM13" s="525"/>
      <c r="EN13" s="525"/>
      <c r="EO13" s="525"/>
      <c r="EP13" s="525"/>
      <c r="EQ13" s="525"/>
      <c r="ER13" s="525"/>
      <c r="ES13" s="525"/>
      <c r="ET13" s="525"/>
      <c r="EU13" s="525"/>
      <c r="EV13" s="525"/>
      <c r="EW13" s="525"/>
      <c r="EX13" s="525"/>
      <c r="EY13" s="525"/>
      <c r="EZ13" s="525"/>
      <c r="FA13" s="525"/>
      <c r="FB13" s="525"/>
      <c r="FC13" s="525"/>
      <c r="FD13" s="525"/>
      <c r="FE13" s="525"/>
      <c r="FF13" s="525"/>
      <c r="FG13" s="525"/>
      <c r="FH13" s="525"/>
      <c r="FI13" s="525"/>
      <c r="FJ13" s="525"/>
      <c r="FK13" s="525"/>
      <c r="FL13" s="525"/>
      <c r="FM13" s="525"/>
      <c r="FN13" s="525"/>
      <c r="FO13" s="525"/>
      <c r="FP13" s="525"/>
      <c r="FQ13" s="525"/>
      <c r="FR13" s="525"/>
      <c r="FS13" s="525"/>
      <c r="FT13" s="525"/>
      <c r="FU13" s="525"/>
      <c r="FV13" s="525"/>
      <c r="FW13" s="525"/>
      <c r="FX13" s="525"/>
      <c r="FY13" s="525"/>
      <c r="FZ13" s="525"/>
      <c r="GA13" s="525"/>
      <c r="GB13" s="525"/>
      <c r="GC13" s="525"/>
      <c r="GD13" s="525"/>
      <c r="GE13" s="525"/>
      <c r="GF13" s="525"/>
      <c r="GG13" s="525"/>
      <c r="GH13" s="525"/>
      <c r="GI13" s="525"/>
      <c r="GJ13" s="525"/>
      <c r="GK13" s="525"/>
      <c r="GL13" s="525"/>
      <c r="GM13" s="525"/>
      <c r="GN13" s="525"/>
      <c r="GO13" s="525"/>
      <c r="GP13" s="525"/>
      <c r="GQ13" s="525"/>
      <c r="GR13" s="525"/>
      <c r="GS13" s="525"/>
      <c r="GT13" s="525"/>
      <c r="GU13" s="525"/>
      <c r="GV13" s="525"/>
      <c r="GW13" s="525"/>
      <c r="GX13" s="525"/>
      <c r="GY13" s="525"/>
      <c r="GZ13" s="525"/>
      <c r="HA13" s="525"/>
      <c r="HB13" s="525"/>
      <c r="HC13" s="525"/>
      <c r="HD13" s="525"/>
      <c r="HE13" s="525"/>
      <c r="HF13" s="525"/>
      <c r="HG13" s="525"/>
      <c r="HH13" s="525"/>
      <c r="HI13" s="525"/>
      <c r="HJ13" s="525"/>
      <c r="HK13" s="525"/>
      <c r="HL13" s="525"/>
      <c r="HM13" s="525"/>
      <c r="HN13" s="525"/>
      <c r="HO13" s="525"/>
      <c r="HP13" s="525"/>
      <c r="HQ13" s="525"/>
      <c r="HR13" s="525"/>
      <c r="HS13" s="525"/>
      <c r="HT13" s="525"/>
      <c r="HU13" s="525"/>
    </row>
    <row r="14" s="478" customFormat="1" ht="32" customHeight="1" spans="1:237">
      <c r="A14" s="539">
        <v>45467</v>
      </c>
      <c r="B14" s="540" t="s">
        <v>2645</v>
      </c>
      <c r="C14" s="541" t="s">
        <v>2058</v>
      </c>
      <c r="D14" s="542">
        <v>4500138198</v>
      </c>
      <c r="E14" s="543" t="s">
        <v>12799</v>
      </c>
      <c r="F14" s="542" t="s">
        <v>12800</v>
      </c>
      <c r="G14" s="499" t="s">
        <v>12801</v>
      </c>
      <c r="H14" s="499" t="s">
        <v>9155</v>
      </c>
      <c r="I14" s="501">
        <v>400</v>
      </c>
      <c r="J14" s="501">
        <v>0</v>
      </c>
      <c r="K14" s="501">
        <v>8</v>
      </c>
      <c r="L14" s="501">
        <f t="shared" si="0"/>
        <v>50</v>
      </c>
      <c r="M14" s="504">
        <v>45499</v>
      </c>
      <c r="N14" s="504" t="s">
        <v>12612</v>
      </c>
      <c r="O14" s="536" t="s">
        <v>12802</v>
      </c>
      <c r="P14" s="505"/>
      <c r="Q14" s="505"/>
      <c r="R14" s="505"/>
      <c r="S14" s="507">
        <v>45467</v>
      </c>
      <c r="T14" s="519" t="s">
        <v>98</v>
      </c>
      <c r="U14" s="519" t="s">
        <v>12803</v>
      </c>
      <c r="V14" s="519"/>
      <c r="W14" s="519"/>
      <c r="X14" s="520" t="s">
        <v>12804</v>
      </c>
      <c r="Y14" s="544" t="s">
        <v>12805</v>
      </c>
      <c r="Z14" s="521">
        <v>4.2589</v>
      </c>
      <c r="AA14" s="522">
        <f t="shared" ref="AA14:AA28" si="20">Z14*I14</f>
        <v>1703.56</v>
      </c>
      <c r="AB14" s="501"/>
      <c r="AC14" s="501" t="s">
        <v>9239</v>
      </c>
      <c r="AD14" s="501" t="s">
        <v>416</v>
      </c>
      <c r="AE14" s="523"/>
      <c r="AF14" s="523">
        <f>I14</f>
        <v>400</v>
      </c>
      <c r="AG14" s="523"/>
      <c r="AH14" s="523"/>
      <c r="AI14" s="524">
        <f t="shared" si="16"/>
        <v>400</v>
      </c>
      <c r="AJ14" s="524"/>
      <c r="AK14" s="524"/>
      <c r="AL14" s="524">
        <f>I14/4</f>
        <v>100</v>
      </c>
      <c r="AM14" s="524">
        <f t="shared" ref="AM14:AO14" si="21">AL14</f>
        <v>100</v>
      </c>
      <c r="AN14" s="524">
        <f t="shared" si="21"/>
        <v>100</v>
      </c>
      <c r="AO14" s="524">
        <f t="shared" si="21"/>
        <v>100</v>
      </c>
      <c r="AP14" s="524"/>
      <c r="AQ14" s="524"/>
      <c r="AR14" s="524"/>
      <c r="AS14" s="524"/>
      <c r="AT14" s="524"/>
      <c r="AU14" s="524"/>
      <c r="AV14" s="524"/>
      <c r="AW14" s="524">
        <f t="shared" si="19"/>
        <v>400</v>
      </c>
      <c r="AX14" s="524"/>
      <c r="AY14" s="524" t="s">
        <v>9164</v>
      </c>
      <c r="AZ14" s="524"/>
      <c r="BA14" s="524">
        <f t="shared" ref="BA14:BA16" si="22">I14/4</f>
        <v>100</v>
      </c>
      <c r="BB14" s="524">
        <f>I14/4</f>
        <v>100</v>
      </c>
      <c r="BC14" s="524">
        <f t="shared" ref="BC14:BC16" si="23">I14/4</f>
        <v>100</v>
      </c>
      <c r="BD14" s="524">
        <f>I14/4</f>
        <v>100</v>
      </c>
      <c r="BE14" s="524"/>
      <c r="BF14" s="514" t="e">
        <f>BA14+BB14+BC14+BD14+'92107'!#REF!</f>
        <v>#REF!</v>
      </c>
      <c r="BG14" s="514" t="e">
        <f>'92107'!#REF!-BA14</f>
        <v>#REF!</v>
      </c>
      <c r="BH14" s="514" t="e">
        <f>'92107'!#REF!-BB14</f>
        <v>#REF!</v>
      </c>
      <c r="BI14" s="514" t="e">
        <f>'92107'!#REF!-BC14</f>
        <v>#REF!</v>
      </c>
      <c r="BJ14" s="514" t="e">
        <f>'92107'!#REF!-BD14</f>
        <v>#REF!</v>
      </c>
      <c r="BK14" s="514"/>
      <c r="BL14" s="525"/>
      <c r="BM14" s="525"/>
      <c r="BN14" s="525"/>
      <c r="BO14" s="525"/>
      <c r="BS14" s="99"/>
      <c r="BT14" s="99"/>
      <c r="BU14" s="475"/>
      <c r="BV14" s="475"/>
      <c r="BW14" s="475"/>
      <c r="BX14" s="475"/>
      <c r="BY14" s="475"/>
      <c r="BZ14" s="475"/>
      <c r="CA14" s="475"/>
      <c r="CB14" s="475"/>
      <c r="CC14" s="475"/>
      <c r="CD14" s="475"/>
      <c r="CE14" s="475"/>
      <c r="CF14" s="475"/>
      <c r="CG14" s="475"/>
      <c r="CH14" s="475"/>
      <c r="CI14" s="475"/>
      <c r="CJ14" s="475"/>
      <c r="CK14" s="475"/>
      <c r="CL14" s="475"/>
      <c r="CM14" s="475"/>
      <c r="CN14" s="475"/>
    </row>
    <row r="15" s="478" customFormat="1" ht="32" customHeight="1" spans="1:237">
      <c r="A15" s="539">
        <v>45471</v>
      </c>
      <c r="B15" s="540" t="s">
        <v>6334</v>
      </c>
      <c r="C15" s="541" t="s">
        <v>840</v>
      </c>
      <c r="D15" s="542">
        <v>4500138726</v>
      </c>
      <c r="E15" s="543" t="s">
        <v>12806</v>
      </c>
      <c r="F15" s="542" t="s">
        <v>12807</v>
      </c>
      <c r="G15" s="499" t="s">
        <v>9154</v>
      </c>
      <c r="H15" s="499" t="s">
        <v>9155</v>
      </c>
      <c r="I15" s="501">
        <v>600</v>
      </c>
      <c r="J15" s="501">
        <v>0</v>
      </c>
      <c r="K15" s="501">
        <v>8</v>
      </c>
      <c r="L15" s="501">
        <f t="shared" si="0"/>
        <v>75</v>
      </c>
      <c r="M15" s="504">
        <v>45523</v>
      </c>
      <c r="N15" s="504" t="s">
        <v>12808</v>
      </c>
      <c r="O15" s="505" t="s">
        <v>12412</v>
      </c>
      <c r="P15" s="505"/>
      <c r="Q15" s="505"/>
      <c r="R15" s="505"/>
      <c r="S15" s="507">
        <v>45471</v>
      </c>
      <c r="T15" s="519" t="s">
        <v>98</v>
      </c>
      <c r="U15" s="519" t="s">
        <v>12809</v>
      </c>
      <c r="V15" s="519"/>
      <c r="W15" s="519"/>
      <c r="X15" s="520" t="s">
        <v>12810</v>
      </c>
      <c r="Y15" s="544" t="s">
        <v>12811</v>
      </c>
      <c r="Z15" s="521">
        <v>4.2475</v>
      </c>
      <c r="AA15" s="522">
        <f t="shared" si="20"/>
        <v>2548.5</v>
      </c>
      <c r="AB15" s="501"/>
      <c r="AC15" s="501" t="s">
        <v>9154</v>
      </c>
      <c r="AD15" s="501" t="s">
        <v>416</v>
      </c>
      <c r="AE15" s="523">
        <f t="shared" ref="AE15:AE28" si="24">I15</f>
        <v>600</v>
      </c>
      <c r="AF15" s="523"/>
      <c r="AG15" s="523"/>
      <c r="AH15" s="523"/>
      <c r="AI15" s="524">
        <f t="shared" si="16"/>
        <v>600</v>
      </c>
      <c r="AJ15" s="524"/>
      <c r="AK15" s="524"/>
      <c r="AL15" s="524">
        <f>I15/4</f>
        <v>150</v>
      </c>
      <c r="AM15" s="524">
        <f t="shared" ref="AM15:AO15" si="25">AL15</f>
        <v>150</v>
      </c>
      <c r="AN15" s="524">
        <f t="shared" si="25"/>
        <v>150</v>
      </c>
      <c r="AO15" s="524">
        <f t="shared" si="25"/>
        <v>150</v>
      </c>
      <c r="AP15" s="524"/>
      <c r="AQ15" s="524"/>
      <c r="AR15" s="524"/>
      <c r="AS15" s="524"/>
      <c r="AT15" s="524"/>
      <c r="AU15" s="524"/>
      <c r="AV15" s="524"/>
      <c r="AW15" s="524">
        <f t="shared" si="19"/>
        <v>600</v>
      </c>
      <c r="AX15" s="524"/>
      <c r="AY15" s="524" t="s">
        <v>9164</v>
      </c>
      <c r="AZ15" s="524"/>
      <c r="BA15" s="524">
        <f t="shared" si="22"/>
        <v>150</v>
      </c>
      <c r="BB15" s="524">
        <f>I15/4</f>
        <v>150</v>
      </c>
      <c r="BC15" s="524">
        <f t="shared" si="23"/>
        <v>150</v>
      </c>
      <c r="BD15" s="524">
        <f>I15/4</f>
        <v>150</v>
      </c>
      <c r="BE15" s="524"/>
      <c r="BF15" s="514" t="e">
        <f>BA15+BB15+BC15+BD15+'92107'!#REF!</f>
        <v>#REF!</v>
      </c>
      <c r="BG15" s="514" t="e">
        <f>'92107'!#REF!-BA15</f>
        <v>#REF!</v>
      </c>
      <c r="BH15" s="514" t="e">
        <f>'92107'!#REF!-BB15</f>
        <v>#REF!</v>
      </c>
      <c r="BI15" s="514" t="e">
        <f>'92107'!#REF!-BC15</f>
        <v>#REF!</v>
      </c>
      <c r="BJ15" s="514" t="e">
        <f>'92107'!#REF!-BD15</f>
        <v>#REF!</v>
      </c>
      <c r="BK15" s="514"/>
      <c r="BL15" s="525"/>
      <c r="BM15" s="525"/>
      <c r="BN15" s="525"/>
      <c r="BO15" s="525"/>
      <c r="BS15" s="99"/>
      <c r="BT15" s="99"/>
      <c r="BU15" s="475"/>
      <c r="BV15" s="475"/>
      <c r="BW15" s="475"/>
      <c r="BX15" s="475"/>
      <c r="BY15" s="475"/>
      <c r="BZ15" s="475"/>
      <c r="CA15" s="475"/>
      <c r="CB15" s="475"/>
      <c r="CC15" s="475"/>
      <c r="CD15" s="475"/>
      <c r="CE15" s="475"/>
      <c r="CF15" s="475"/>
      <c r="CG15" s="475"/>
      <c r="CH15" s="475"/>
      <c r="CI15" s="475"/>
      <c r="CJ15" s="475"/>
      <c r="CK15" s="475"/>
      <c r="CL15" s="475"/>
      <c r="CM15" s="475"/>
      <c r="CN15" s="475"/>
    </row>
    <row r="16" s="477" customFormat="1" ht="32" customHeight="1" spans="1:237">
      <c r="A16" s="539">
        <v>45471</v>
      </c>
      <c r="B16" s="540" t="s">
        <v>6334</v>
      </c>
      <c r="C16" s="541" t="s">
        <v>840</v>
      </c>
      <c r="D16" s="542">
        <v>4500138726</v>
      </c>
      <c r="E16" s="543" t="s">
        <v>12806</v>
      </c>
      <c r="F16" s="542" t="s">
        <v>12812</v>
      </c>
      <c r="G16" s="530" t="s">
        <v>10199</v>
      </c>
      <c r="H16" s="530" t="s">
        <v>9155</v>
      </c>
      <c r="I16" s="502">
        <v>200</v>
      </c>
      <c r="J16" s="502">
        <v>0</v>
      </c>
      <c r="K16" s="502">
        <v>4</v>
      </c>
      <c r="L16" s="502">
        <f t="shared" si="0"/>
        <v>50</v>
      </c>
      <c r="M16" s="503">
        <v>45523</v>
      </c>
      <c r="N16" s="504" t="s">
        <v>12808</v>
      </c>
      <c r="O16" s="505" t="s">
        <v>12412</v>
      </c>
      <c r="P16" s="506"/>
      <c r="Q16" s="506"/>
      <c r="R16" s="507">
        <v>45471</v>
      </c>
      <c r="S16" s="519" t="s">
        <v>98</v>
      </c>
      <c r="T16" s="519" t="s">
        <v>12809</v>
      </c>
      <c r="U16" s="507"/>
      <c r="V16" s="507"/>
      <c r="W16" s="520" t="s">
        <v>12813</v>
      </c>
      <c r="X16" s="502" t="s">
        <v>12811</v>
      </c>
      <c r="Y16" s="509">
        <v>7.3277</v>
      </c>
      <c r="Z16" s="510">
        <f>Y16*I16</f>
        <v>1465.54</v>
      </c>
      <c r="AA16" s="502"/>
      <c r="AB16" s="502" t="s">
        <v>10199</v>
      </c>
      <c r="AC16" s="501" t="s">
        <v>416</v>
      </c>
      <c r="AD16" s="511">
        <f>I16</f>
        <v>200</v>
      </c>
      <c r="AE16" s="511"/>
      <c r="AF16" s="511"/>
      <c r="AG16" s="511"/>
      <c r="AH16" s="512">
        <f>I16</f>
        <v>200</v>
      </c>
      <c r="AI16" s="512"/>
      <c r="AJ16" s="512"/>
      <c r="AK16" s="512">
        <f>I16/4</f>
        <v>50</v>
      </c>
      <c r="AL16" s="512">
        <f t="shared" ref="AL16:AN16" si="26">AK16</f>
        <v>50</v>
      </c>
      <c r="AM16" s="512">
        <f t="shared" si="26"/>
        <v>50</v>
      </c>
      <c r="AN16" s="512">
        <f t="shared" si="26"/>
        <v>50</v>
      </c>
      <c r="AO16" s="512"/>
      <c r="AP16" s="512"/>
      <c r="AQ16" s="512"/>
      <c r="AR16" s="512"/>
      <c r="AS16" s="512"/>
      <c r="AT16" s="512"/>
      <c r="AU16" s="512"/>
      <c r="AV16" s="512">
        <f>I16</f>
        <v>200</v>
      </c>
      <c r="AW16" s="512"/>
      <c r="AX16" s="512">
        <f>I16</f>
        <v>200</v>
      </c>
      <c r="AY16" s="512" t="s">
        <v>9164</v>
      </c>
      <c r="AZ16" s="512"/>
      <c r="BA16" s="512">
        <f t="shared" si="22"/>
        <v>50</v>
      </c>
      <c r="BB16" s="512">
        <f t="shared" ref="BB16:BF16" si="27">BA16</f>
        <v>50</v>
      </c>
      <c r="BC16" s="512">
        <f t="shared" si="23"/>
        <v>50</v>
      </c>
      <c r="BD16" s="512">
        <f t="shared" si="27"/>
        <v>50</v>
      </c>
      <c r="BE16" s="515">
        <f>I16/4</f>
        <v>50</v>
      </c>
      <c r="BF16" s="512">
        <f t="shared" si="27"/>
        <v>50</v>
      </c>
      <c r="BG16" s="515">
        <f>I16/4</f>
        <v>50</v>
      </c>
      <c r="BH16" s="512">
        <f>BG16</f>
        <v>50</v>
      </c>
      <c r="BI16" s="514" t="e">
        <f>BA16+BC16+BE16+BG16+'92108'!#REF!</f>
        <v>#REF!</v>
      </c>
      <c r="BJ16" s="514" t="e">
        <f>BB16+BD16+BF16+BH16+'92108'!#REF!</f>
        <v>#REF!</v>
      </c>
      <c r="BK16" s="515" t="e">
        <f>'92108'!#REF!-BA16</f>
        <v>#REF!</v>
      </c>
      <c r="BL16" s="515" t="e">
        <f>'92108'!#REF!-BB16</f>
        <v>#REF!</v>
      </c>
      <c r="BM16" s="515" t="e">
        <f>'92108'!#REF!-BC16</f>
        <v>#REF!</v>
      </c>
      <c r="BN16" s="515" t="e">
        <f>'92108'!#REF!-BD16</f>
        <v>#REF!</v>
      </c>
      <c r="BO16" s="515" t="e">
        <f>'92108'!#REF!-BE16</f>
        <v>#REF!</v>
      </c>
      <c r="BP16" s="515" t="e">
        <f>'92108'!#REF!-BF16</f>
        <v>#REF!</v>
      </c>
      <c r="BQ16" s="515" t="e">
        <f>'92108'!#REF!-BG16</f>
        <v>#REF!</v>
      </c>
      <c r="BR16" s="545" t="e">
        <f>'92108'!#REF!-BH16</f>
        <v>#REF!</v>
      </c>
      <c r="BS16" s="99"/>
      <c r="BT16" s="99"/>
      <c r="BU16" s="475"/>
      <c r="BV16" s="475"/>
      <c r="BW16" s="475"/>
      <c r="BX16" s="475"/>
      <c r="BY16" s="475"/>
      <c r="BZ16" s="475"/>
      <c r="CA16" s="475"/>
      <c r="CB16" s="475"/>
      <c r="CC16" s="475"/>
      <c r="CD16" s="475"/>
      <c r="CE16" s="475"/>
      <c r="CF16" s="475"/>
      <c r="CG16" s="475"/>
      <c r="CH16" s="475"/>
      <c r="CI16" s="475"/>
      <c r="CJ16" s="475"/>
      <c r="CK16" s="475"/>
      <c r="CL16" s="475"/>
      <c r="CM16" s="475"/>
      <c r="CN16" s="475"/>
      <c r="CO16" s="525"/>
      <c r="CP16" s="525"/>
      <c r="CQ16" s="525"/>
      <c r="CR16" s="525"/>
      <c r="CS16" s="525"/>
      <c r="CT16" s="525"/>
      <c r="CU16" s="525"/>
      <c r="CV16" s="525"/>
      <c r="CW16" s="525"/>
      <c r="CX16" s="525"/>
      <c r="CY16" s="525"/>
      <c r="CZ16" s="525"/>
      <c r="DA16" s="525"/>
      <c r="DB16" s="525"/>
      <c r="DC16" s="525"/>
      <c r="DD16" s="525"/>
      <c r="DE16" s="525"/>
      <c r="DF16" s="525"/>
      <c r="DG16" s="525"/>
      <c r="DH16" s="525"/>
      <c r="DI16" s="525"/>
      <c r="DJ16" s="525"/>
      <c r="DK16" s="525"/>
      <c r="DL16" s="525"/>
      <c r="DM16" s="525"/>
      <c r="DN16" s="525"/>
      <c r="DO16" s="525"/>
      <c r="DP16" s="525"/>
      <c r="DQ16" s="525"/>
      <c r="DR16" s="525"/>
      <c r="DS16" s="525"/>
      <c r="DT16" s="525"/>
      <c r="DU16" s="525"/>
      <c r="DV16" s="525"/>
      <c r="DW16" s="525"/>
      <c r="DX16" s="525"/>
      <c r="DY16" s="525"/>
      <c r="DZ16" s="525"/>
      <c r="EA16" s="525"/>
      <c r="EB16" s="525"/>
      <c r="EC16" s="525"/>
      <c r="ED16" s="525"/>
      <c r="EE16" s="525"/>
      <c r="EF16" s="525"/>
      <c r="EG16" s="525"/>
      <c r="EH16" s="525"/>
      <c r="EI16" s="525"/>
      <c r="EJ16" s="525"/>
      <c r="EK16" s="525"/>
      <c r="EL16" s="525"/>
      <c r="EM16" s="525"/>
      <c r="EN16" s="525"/>
      <c r="EO16" s="525"/>
      <c r="EP16" s="525"/>
      <c r="EQ16" s="525"/>
      <c r="ER16" s="525"/>
      <c r="ES16" s="525"/>
      <c r="ET16" s="525"/>
      <c r="EU16" s="525"/>
      <c r="EV16" s="525"/>
      <c r="EW16" s="525"/>
      <c r="EX16" s="525"/>
      <c r="EY16" s="525"/>
      <c r="EZ16" s="525"/>
      <c r="FA16" s="525"/>
      <c r="FB16" s="525"/>
      <c r="FC16" s="525"/>
      <c r="FD16" s="525"/>
      <c r="FE16" s="525"/>
      <c r="FF16" s="525"/>
      <c r="FG16" s="525"/>
      <c r="FH16" s="525"/>
      <c r="FI16" s="525"/>
      <c r="FJ16" s="525"/>
      <c r="FK16" s="525"/>
      <c r="FL16" s="525"/>
      <c r="FM16" s="525"/>
      <c r="FN16" s="525"/>
      <c r="FO16" s="525"/>
      <c r="FP16" s="525"/>
      <c r="FQ16" s="525"/>
      <c r="FR16" s="525"/>
      <c r="FS16" s="525"/>
      <c r="FT16" s="525"/>
      <c r="FU16" s="525"/>
      <c r="FV16" s="525"/>
      <c r="FW16" s="525"/>
      <c r="FX16" s="525"/>
      <c r="FY16" s="525"/>
      <c r="FZ16" s="525"/>
      <c r="GA16" s="525"/>
      <c r="GB16" s="525"/>
      <c r="GC16" s="525"/>
      <c r="GD16" s="525"/>
      <c r="GE16" s="525"/>
      <c r="GF16" s="525"/>
      <c r="GG16" s="525"/>
      <c r="GH16" s="525"/>
      <c r="GI16" s="525"/>
      <c r="GJ16" s="525"/>
      <c r="GK16" s="525"/>
      <c r="GL16" s="525"/>
      <c r="GM16" s="525"/>
      <c r="GN16" s="525"/>
      <c r="GO16" s="525"/>
      <c r="GP16" s="525"/>
      <c r="GQ16" s="525"/>
      <c r="GR16" s="525"/>
      <c r="GS16" s="525"/>
      <c r="GT16" s="525"/>
      <c r="GU16" s="525"/>
      <c r="GV16" s="525"/>
      <c r="GW16" s="525"/>
      <c r="GX16" s="525"/>
      <c r="GY16" s="525"/>
      <c r="GZ16" s="525"/>
      <c r="HA16" s="525"/>
      <c r="HB16" s="525"/>
      <c r="HC16" s="525"/>
      <c r="HD16" s="525"/>
      <c r="HE16" s="525"/>
      <c r="HF16" s="525"/>
      <c r="HG16" s="525"/>
      <c r="HH16" s="525"/>
      <c r="HI16" s="525"/>
      <c r="HJ16" s="525"/>
      <c r="HK16" s="525"/>
      <c r="HL16" s="525"/>
      <c r="HM16" s="525"/>
      <c r="HN16" s="525"/>
      <c r="HO16" s="525"/>
      <c r="HP16" s="525"/>
      <c r="HQ16" s="525"/>
      <c r="HR16" s="525"/>
      <c r="HS16" s="525"/>
      <c r="HT16" s="525"/>
      <c r="HU16" s="525"/>
      <c r="HV16" s="525"/>
      <c r="HW16" s="525"/>
      <c r="HX16" s="525"/>
      <c r="HY16" s="525"/>
      <c r="HZ16" s="525"/>
      <c r="IA16" s="525"/>
      <c r="IB16" s="525"/>
      <c r="IC16" s="525"/>
    </row>
    <row r="17" s="478" customFormat="1" ht="32" customHeight="1" spans="1:237">
      <c r="A17" s="539">
        <v>45489</v>
      </c>
      <c r="B17" s="540" t="s">
        <v>361</v>
      </c>
      <c r="C17" s="541" t="s">
        <v>91</v>
      </c>
      <c r="D17" s="542">
        <v>4500140354</v>
      </c>
      <c r="E17" s="543" t="s">
        <v>12814</v>
      </c>
      <c r="F17" s="542" t="s">
        <v>12815</v>
      </c>
      <c r="G17" s="499" t="s">
        <v>9424</v>
      </c>
      <c r="H17" s="499" t="s">
        <v>8571</v>
      </c>
      <c r="I17" s="501">
        <v>240</v>
      </c>
      <c r="J17" s="501">
        <v>0</v>
      </c>
      <c r="K17" s="501">
        <v>8</v>
      </c>
      <c r="L17" s="501">
        <f t="shared" si="0"/>
        <v>30</v>
      </c>
      <c r="M17" s="504">
        <v>45534</v>
      </c>
      <c r="N17" s="504">
        <v>45530</v>
      </c>
      <c r="O17" s="505" t="s">
        <v>12412</v>
      </c>
      <c r="P17" s="505"/>
      <c r="Q17" s="505"/>
      <c r="R17" s="505"/>
      <c r="S17" s="507"/>
      <c r="T17" s="519"/>
      <c r="U17" s="519"/>
      <c r="V17" s="519"/>
      <c r="W17" s="519"/>
      <c r="X17" s="520" t="s">
        <v>12816</v>
      </c>
      <c r="Y17" s="501" t="s">
        <v>9870</v>
      </c>
      <c r="Z17" s="521">
        <v>4.2589</v>
      </c>
      <c r="AA17" s="522">
        <f t="shared" si="20"/>
        <v>1022.136</v>
      </c>
      <c r="AB17" s="501"/>
      <c r="AC17" s="501"/>
      <c r="AD17" s="501"/>
      <c r="AE17" s="523">
        <f t="shared" si="24"/>
        <v>240</v>
      </c>
      <c r="AF17" s="523"/>
      <c r="AG17" s="523"/>
      <c r="AH17" s="523"/>
      <c r="AI17" s="524">
        <f t="shared" ref="AI17:AI28" si="28">AE17</f>
        <v>240</v>
      </c>
      <c r="AJ17" s="524"/>
      <c r="AK17" s="524"/>
      <c r="AL17" s="524"/>
      <c r="AM17" s="524"/>
      <c r="AN17" s="524"/>
      <c r="AO17" s="524"/>
      <c r="AP17" s="524"/>
      <c r="AQ17" s="524"/>
      <c r="AR17" s="524"/>
      <c r="AS17" s="524"/>
      <c r="AT17" s="524"/>
      <c r="AU17" s="524"/>
      <c r="AV17" s="524"/>
      <c r="AW17" s="524"/>
      <c r="AX17" s="524"/>
      <c r="AY17" s="524"/>
      <c r="AZ17" s="524"/>
      <c r="BA17" s="524"/>
      <c r="BB17" s="524"/>
      <c r="BC17" s="524"/>
      <c r="BD17" s="524">
        <f>I17</f>
        <v>240</v>
      </c>
      <c r="BE17" s="524"/>
      <c r="BF17" s="514"/>
      <c r="BG17" s="514"/>
      <c r="BH17" s="514"/>
      <c r="BI17" s="514"/>
      <c r="BJ17" s="514"/>
      <c r="BK17" s="514"/>
      <c r="BL17" s="525"/>
      <c r="BM17" s="525"/>
      <c r="BN17" s="525"/>
      <c r="BO17" s="525"/>
      <c r="BS17" s="99"/>
      <c r="BT17" s="99"/>
      <c r="BU17" s="475"/>
      <c r="BV17" s="475"/>
      <c r="BW17" s="475"/>
      <c r="BX17" s="475"/>
      <c r="BY17" s="475"/>
      <c r="BZ17" s="475"/>
      <c r="CA17" s="475"/>
      <c r="CB17" s="475"/>
      <c r="CC17" s="475"/>
      <c r="CD17" s="475"/>
      <c r="CE17" s="475"/>
      <c r="CF17" s="475"/>
      <c r="CG17" s="475"/>
      <c r="CH17" s="475"/>
      <c r="CI17" s="475"/>
      <c r="CJ17" s="475"/>
      <c r="CK17" s="475"/>
      <c r="CL17" s="475"/>
      <c r="CM17" s="475"/>
      <c r="CN17" s="475"/>
    </row>
    <row r="18" s="478" customFormat="1" ht="32" customHeight="1" spans="1:237">
      <c r="A18" s="539">
        <v>45489</v>
      </c>
      <c r="B18" s="540" t="s">
        <v>361</v>
      </c>
      <c r="C18" s="541" t="s">
        <v>91</v>
      </c>
      <c r="D18" s="542">
        <v>4500140354</v>
      </c>
      <c r="E18" s="543" t="s">
        <v>12817</v>
      </c>
      <c r="F18" s="542" t="s">
        <v>12818</v>
      </c>
      <c r="G18" s="499" t="s">
        <v>9419</v>
      </c>
      <c r="H18" s="499" t="s">
        <v>9100</v>
      </c>
      <c r="I18" s="501">
        <v>416</v>
      </c>
      <c r="J18" s="501">
        <v>0</v>
      </c>
      <c r="K18" s="501">
        <v>8</v>
      </c>
      <c r="L18" s="501">
        <f t="shared" si="0"/>
        <v>52</v>
      </c>
      <c r="M18" s="504">
        <v>45534</v>
      </c>
      <c r="N18" s="504">
        <v>45530</v>
      </c>
      <c r="O18" s="505" t="s">
        <v>12412</v>
      </c>
      <c r="P18" s="505"/>
      <c r="Q18" s="505"/>
      <c r="R18" s="505"/>
      <c r="S18" s="507"/>
      <c r="T18" s="519"/>
      <c r="U18" s="519"/>
      <c r="V18" s="519"/>
      <c r="W18" s="519"/>
      <c r="X18" s="520" t="s">
        <v>12816</v>
      </c>
      <c r="Y18" s="501" t="s">
        <v>9870</v>
      </c>
      <c r="Z18" s="521">
        <v>4.2589</v>
      </c>
      <c r="AA18" s="522">
        <f t="shared" si="20"/>
        <v>1771.7024</v>
      </c>
      <c r="AB18" s="501"/>
      <c r="AC18" s="501"/>
      <c r="AD18" s="501"/>
      <c r="AE18" s="523">
        <f t="shared" si="24"/>
        <v>416</v>
      </c>
      <c r="AF18" s="523"/>
      <c r="AG18" s="523"/>
      <c r="AH18" s="523"/>
      <c r="AI18" s="524">
        <f t="shared" si="28"/>
        <v>416</v>
      </c>
      <c r="AJ18" s="524"/>
      <c r="AK18" s="524"/>
      <c r="AL18" s="524"/>
      <c r="AM18" s="524"/>
      <c r="AN18" s="524"/>
      <c r="AO18" s="524"/>
      <c r="AP18" s="524"/>
      <c r="AQ18" s="524"/>
      <c r="AR18" s="524"/>
      <c r="AS18" s="524"/>
      <c r="AT18" s="524"/>
      <c r="AU18" s="524"/>
      <c r="AV18" s="524"/>
      <c r="AW18" s="524"/>
      <c r="AX18" s="524"/>
      <c r="AY18" s="524"/>
      <c r="AZ18" s="524"/>
      <c r="BA18" s="524"/>
      <c r="BB18" s="524"/>
      <c r="BC18" s="524">
        <f>I18</f>
        <v>416</v>
      </c>
      <c r="BD18" s="524"/>
      <c r="BE18" s="524"/>
      <c r="BF18" s="514"/>
      <c r="BG18" s="514"/>
      <c r="BH18" s="514"/>
      <c r="BI18" s="514"/>
      <c r="BJ18" s="514"/>
      <c r="BK18" s="514"/>
      <c r="BL18" s="525"/>
      <c r="BM18" s="525"/>
      <c r="BN18" s="525"/>
      <c r="BO18" s="525"/>
      <c r="BS18" s="99"/>
      <c r="BT18" s="99"/>
      <c r="BU18" s="475"/>
      <c r="BV18" s="475"/>
      <c r="BW18" s="475"/>
      <c r="BX18" s="475"/>
      <c r="BY18" s="475"/>
      <c r="BZ18" s="475"/>
      <c r="CA18" s="475"/>
      <c r="CB18" s="475"/>
      <c r="CC18" s="475"/>
      <c r="CD18" s="475"/>
      <c r="CE18" s="475"/>
      <c r="CF18" s="475"/>
      <c r="CG18" s="475"/>
      <c r="CH18" s="475"/>
      <c r="CI18" s="475"/>
      <c r="CJ18" s="475"/>
      <c r="CK18" s="475"/>
      <c r="CL18" s="475"/>
      <c r="CM18" s="475"/>
      <c r="CN18" s="475"/>
    </row>
    <row r="19" s="478" customFormat="1" ht="32" customHeight="1" spans="1:237">
      <c r="A19" s="539">
        <v>45489</v>
      </c>
      <c r="B19" s="540" t="s">
        <v>361</v>
      </c>
      <c r="C19" s="541" t="s">
        <v>91</v>
      </c>
      <c r="D19" s="542">
        <v>4500140354</v>
      </c>
      <c r="E19" s="543" t="s">
        <v>12819</v>
      </c>
      <c r="F19" s="542" t="s">
        <v>12820</v>
      </c>
      <c r="G19" s="499" t="s">
        <v>9255</v>
      </c>
      <c r="H19" s="499" t="s">
        <v>9098</v>
      </c>
      <c r="I19" s="501">
        <v>408</v>
      </c>
      <c r="J19" s="501">
        <v>0</v>
      </c>
      <c r="K19" s="501">
        <v>8</v>
      </c>
      <c r="L19" s="501">
        <f t="shared" si="0"/>
        <v>51</v>
      </c>
      <c r="M19" s="504">
        <v>45534</v>
      </c>
      <c r="N19" s="504">
        <v>45530</v>
      </c>
      <c r="O19" s="505" t="s">
        <v>12412</v>
      </c>
      <c r="P19" s="505"/>
      <c r="Q19" s="505"/>
      <c r="R19" s="505"/>
      <c r="S19" s="507"/>
      <c r="T19" s="519"/>
      <c r="U19" s="519"/>
      <c r="V19" s="519"/>
      <c r="W19" s="519"/>
      <c r="X19" s="520" t="s">
        <v>12816</v>
      </c>
      <c r="Y19" s="501" t="s">
        <v>9870</v>
      </c>
      <c r="Z19" s="521">
        <v>4.2589</v>
      </c>
      <c r="AA19" s="522">
        <f t="shared" si="20"/>
        <v>1737.6312</v>
      </c>
      <c r="AB19" s="501"/>
      <c r="AC19" s="501"/>
      <c r="AD19" s="501"/>
      <c r="AE19" s="523">
        <f t="shared" si="24"/>
        <v>408</v>
      </c>
      <c r="AF19" s="523"/>
      <c r="AG19" s="523"/>
      <c r="AH19" s="523"/>
      <c r="AI19" s="524">
        <f t="shared" si="28"/>
        <v>408</v>
      </c>
      <c r="AJ19" s="524"/>
      <c r="AK19" s="524"/>
      <c r="AL19" s="524"/>
      <c r="AM19" s="524"/>
      <c r="AN19" s="524"/>
      <c r="AO19" s="524"/>
      <c r="AP19" s="524"/>
      <c r="AQ19" s="524"/>
      <c r="AR19" s="524"/>
      <c r="AS19" s="524"/>
      <c r="AT19" s="524"/>
      <c r="AU19" s="524"/>
      <c r="AV19" s="524"/>
      <c r="AW19" s="524"/>
      <c r="AX19" s="524"/>
      <c r="AY19" s="524"/>
      <c r="AZ19" s="524"/>
      <c r="BA19" s="524">
        <f>I19</f>
        <v>408</v>
      </c>
      <c r="BB19" s="524"/>
      <c r="BC19" s="524"/>
      <c r="BD19" s="524"/>
      <c r="BE19" s="524"/>
      <c r="BF19" s="514"/>
      <c r="BG19" s="514"/>
      <c r="BH19" s="514"/>
      <c r="BI19" s="514"/>
      <c r="BJ19" s="514"/>
      <c r="BK19" s="514"/>
      <c r="BL19" s="525"/>
      <c r="BM19" s="525"/>
      <c r="BN19" s="525"/>
      <c r="BO19" s="525"/>
      <c r="BS19" s="99"/>
      <c r="BT19" s="99"/>
      <c r="BU19" s="475"/>
      <c r="BV19" s="475"/>
      <c r="BW19" s="475"/>
      <c r="BX19" s="475"/>
      <c r="BY19" s="475"/>
      <c r="BZ19" s="475"/>
      <c r="CA19" s="475"/>
      <c r="CB19" s="475"/>
      <c r="CC19" s="475"/>
      <c r="CD19" s="475"/>
      <c r="CE19" s="475"/>
      <c r="CF19" s="475"/>
      <c r="CG19" s="475"/>
      <c r="CH19" s="475"/>
      <c r="CI19" s="475"/>
      <c r="CJ19" s="475"/>
      <c r="CK19" s="475"/>
      <c r="CL19" s="475"/>
      <c r="CM19" s="475"/>
      <c r="CN19" s="475"/>
    </row>
    <row r="20" s="478" customFormat="1" ht="32" customHeight="1" spans="1:237">
      <c r="A20" s="539">
        <v>45489</v>
      </c>
      <c r="B20" s="540" t="s">
        <v>361</v>
      </c>
      <c r="C20" s="541" t="s">
        <v>91</v>
      </c>
      <c r="D20" s="542">
        <v>4500140354</v>
      </c>
      <c r="E20" s="543" t="s">
        <v>12821</v>
      </c>
      <c r="F20" s="542" t="s">
        <v>12822</v>
      </c>
      <c r="G20" s="499" t="s">
        <v>9431</v>
      </c>
      <c r="H20" s="499" t="s">
        <v>9099</v>
      </c>
      <c r="I20" s="501">
        <v>128</v>
      </c>
      <c r="J20" s="501">
        <v>0</v>
      </c>
      <c r="K20" s="501">
        <v>8</v>
      </c>
      <c r="L20" s="501">
        <f t="shared" si="0"/>
        <v>16</v>
      </c>
      <c r="M20" s="504">
        <v>45534</v>
      </c>
      <c r="N20" s="504">
        <v>45530</v>
      </c>
      <c r="O20" s="505" t="s">
        <v>12412</v>
      </c>
      <c r="P20" s="505"/>
      <c r="Q20" s="505"/>
      <c r="R20" s="505"/>
      <c r="S20" s="507"/>
      <c r="T20" s="519"/>
      <c r="U20" s="519"/>
      <c r="V20" s="519"/>
      <c r="W20" s="519"/>
      <c r="X20" s="520" t="s">
        <v>12816</v>
      </c>
      <c r="Y20" s="501" t="s">
        <v>9870</v>
      </c>
      <c r="Z20" s="521">
        <v>4.2589</v>
      </c>
      <c r="AA20" s="522">
        <f t="shared" si="20"/>
        <v>545.1392</v>
      </c>
      <c r="AB20" s="501"/>
      <c r="AC20" s="501"/>
      <c r="AD20" s="501"/>
      <c r="AE20" s="523">
        <f t="shared" si="24"/>
        <v>128</v>
      </c>
      <c r="AF20" s="523"/>
      <c r="AG20" s="523"/>
      <c r="AH20" s="523"/>
      <c r="AI20" s="524">
        <f t="shared" si="28"/>
        <v>128</v>
      </c>
      <c r="AJ20" s="524"/>
      <c r="AK20" s="524"/>
      <c r="AL20" s="524"/>
      <c r="AM20" s="524"/>
      <c r="AN20" s="524"/>
      <c r="AO20" s="524"/>
      <c r="AP20" s="524"/>
      <c r="AQ20" s="524"/>
      <c r="AR20" s="524"/>
      <c r="AS20" s="524"/>
      <c r="AT20" s="524"/>
      <c r="AU20" s="524"/>
      <c r="AV20" s="524"/>
      <c r="AW20" s="524"/>
      <c r="AX20" s="524"/>
      <c r="AY20" s="524"/>
      <c r="AZ20" s="524"/>
      <c r="BA20" s="524"/>
      <c r="BB20" s="524">
        <f t="shared" ref="BB20:BB25" si="29">I20</f>
        <v>128</v>
      </c>
      <c r="BC20" s="524"/>
      <c r="BD20" s="524"/>
      <c r="BE20" s="524"/>
      <c r="BF20" s="514"/>
      <c r="BG20" s="514"/>
      <c r="BH20" s="514"/>
      <c r="BI20" s="514"/>
      <c r="BJ20" s="514"/>
      <c r="BK20" s="514"/>
      <c r="BL20" s="525"/>
      <c r="BM20" s="525"/>
      <c r="BN20" s="525"/>
      <c r="BO20" s="525"/>
      <c r="BS20" s="99"/>
      <c r="BT20" s="99"/>
      <c r="BU20" s="475"/>
      <c r="BV20" s="475"/>
      <c r="BW20" s="475"/>
      <c r="BX20" s="475"/>
      <c r="BY20" s="475"/>
      <c r="BZ20" s="475"/>
      <c r="CA20" s="475"/>
      <c r="CB20" s="475"/>
      <c r="CC20" s="475"/>
      <c r="CD20" s="475"/>
      <c r="CE20" s="475"/>
      <c r="CF20" s="475"/>
      <c r="CG20" s="475"/>
      <c r="CH20" s="475"/>
      <c r="CI20" s="475"/>
      <c r="CJ20" s="475"/>
      <c r="CK20" s="475"/>
      <c r="CL20" s="475"/>
      <c r="CM20" s="475"/>
      <c r="CN20" s="475"/>
    </row>
    <row r="21" s="478" customFormat="1" ht="32" customHeight="1" spans="1:237">
      <c r="A21" s="539">
        <v>45489</v>
      </c>
      <c r="B21" s="540" t="s">
        <v>361</v>
      </c>
      <c r="C21" s="541" t="s">
        <v>91</v>
      </c>
      <c r="D21" s="542">
        <v>4500140354</v>
      </c>
      <c r="E21" s="543" t="s">
        <v>12823</v>
      </c>
      <c r="F21" s="542" t="s">
        <v>12824</v>
      </c>
      <c r="G21" s="499" t="s">
        <v>9431</v>
      </c>
      <c r="H21" s="499" t="s">
        <v>9099</v>
      </c>
      <c r="I21" s="501">
        <v>296</v>
      </c>
      <c r="J21" s="501">
        <v>0</v>
      </c>
      <c r="K21" s="501">
        <v>8</v>
      </c>
      <c r="L21" s="501">
        <f t="shared" si="0"/>
        <v>37</v>
      </c>
      <c r="M21" s="504">
        <v>45534</v>
      </c>
      <c r="N21" s="504">
        <v>45530</v>
      </c>
      <c r="O21" s="505" t="s">
        <v>12412</v>
      </c>
      <c r="P21" s="505"/>
      <c r="Q21" s="505"/>
      <c r="R21" s="505"/>
      <c r="S21" s="507"/>
      <c r="T21" s="519"/>
      <c r="U21" s="519"/>
      <c r="V21" s="519"/>
      <c r="W21" s="519"/>
      <c r="X21" s="520" t="s">
        <v>12816</v>
      </c>
      <c r="Y21" s="501" t="s">
        <v>9870</v>
      </c>
      <c r="Z21" s="521">
        <v>4.2589</v>
      </c>
      <c r="AA21" s="522">
        <f t="shared" si="20"/>
        <v>1260.6344</v>
      </c>
      <c r="AB21" s="501"/>
      <c r="AC21" s="501"/>
      <c r="AD21" s="501"/>
      <c r="AE21" s="523">
        <f t="shared" si="24"/>
        <v>296</v>
      </c>
      <c r="AF21" s="523"/>
      <c r="AG21" s="523"/>
      <c r="AH21" s="523"/>
      <c r="AI21" s="524">
        <f t="shared" si="28"/>
        <v>296</v>
      </c>
      <c r="AJ21" s="524"/>
      <c r="AK21" s="524"/>
      <c r="AL21" s="524"/>
      <c r="AM21" s="524"/>
      <c r="AN21" s="524"/>
      <c r="AO21" s="524"/>
      <c r="AP21" s="524"/>
      <c r="AQ21" s="524"/>
      <c r="AR21" s="524"/>
      <c r="AS21" s="524"/>
      <c r="AT21" s="524"/>
      <c r="AU21" s="524"/>
      <c r="AV21" s="524"/>
      <c r="AW21" s="524"/>
      <c r="AX21" s="524"/>
      <c r="AY21" s="524"/>
      <c r="AZ21" s="524"/>
      <c r="BA21" s="524"/>
      <c r="BB21" s="524">
        <f t="shared" si="29"/>
        <v>296</v>
      </c>
      <c r="BC21" s="524"/>
      <c r="BD21" s="524"/>
      <c r="BE21" s="524"/>
      <c r="BF21" s="514"/>
      <c r="BG21" s="514"/>
      <c r="BH21" s="514"/>
      <c r="BI21" s="514"/>
      <c r="BJ21" s="514"/>
      <c r="BK21" s="514"/>
      <c r="BL21" s="525"/>
      <c r="BM21" s="525"/>
      <c r="BN21" s="525"/>
      <c r="BO21" s="525"/>
      <c r="BS21" s="99"/>
      <c r="BT21" s="99"/>
      <c r="BU21" s="475"/>
      <c r="BV21" s="475"/>
      <c r="BW21" s="475"/>
      <c r="BX21" s="475"/>
      <c r="BY21" s="475"/>
      <c r="BZ21" s="475"/>
      <c r="CA21" s="475"/>
      <c r="CB21" s="475"/>
      <c r="CC21" s="475"/>
      <c r="CD21" s="475"/>
      <c r="CE21" s="475"/>
      <c r="CF21" s="475"/>
      <c r="CG21" s="475"/>
      <c r="CH21" s="475"/>
      <c r="CI21" s="475"/>
      <c r="CJ21" s="475"/>
      <c r="CK21" s="475"/>
      <c r="CL21" s="475"/>
      <c r="CM21" s="475"/>
      <c r="CN21" s="475"/>
    </row>
    <row r="22" s="478" customFormat="1" ht="32" customHeight="1" spans="1:237">
      <c r="A22" s="539">
        <v>45489</v>
      </c>
      <c r="B22" s="540" t="s">
        <v>361</v>
      </c>
      <c r="C22" s="541" t="s">
        <v>91</v>
      </c>
      <c r="D22" s="542">
        <v>4500140333</v>
      </c>
      <c r="E22" s="543" t="s">
        <v>12825</v>
      </c>
      <c r="F22" s="542" t="s">
        <v>12826</v>
      </c>
      <c r="G22" s="499" t="s">
        <v>9419</v>
      </c>
      <c r="H22" s="499" t="s">
        <v>9100</v>
      </c>
      <c r="I22" s="501">
        <v>88</v>
      </c>
      <c r="J22" s="501">
        <v>0</v>
      </c>
      <c r="K22" s="501">
        <v>8</v>
      </c>
      <c r="L22" s="501">
        <f t="shared" si="0"/>
        <v>11</v>
      </c>
      <c r="M22" s="504">
        <v>45534</v>
      </c>
      <c r="N22" s="504">
        <v>45530</v>
      </c>
      <c r="O22" s="505" t="s">
        <v>12412</v>
      </c>
      <c r="P22" s="505"/>
      <c r="Q22" s="505"/>
      <c r="R22" s="505"/>
      <c r="S22" s="507"/>
      <c r="T22" s="519"/>
      <c r="U22" s="519"/>
      <c r="V22" s="519"/>
      <c r="W22" s="519"/>
      <c r="X22" s="520" t="s">
        <v>12827</v>
      </c>
      <c r="Y22" s="501" t="s">
        <v>9870</v>
      </c>
      <c r="Z22" s="521">
        <v>4.0921</v>
      </c>
      <c r="AA22" s="522">
        <f t="shared" si="20"/>
        <v>360.1048</v>
      </c>
      <c r="AB22" s="501"/>
      <c r="AC22" s="501"/>
      <c r="AD22" s="501"/>
      <c r="AE22" s="523">
        <f t="shared" si="24"/>
        <v>88</v>
      </c>
      <c r="AF22" s="523"/>
      <c r="AG22" s="523"/>
      <c r="AH22" s="523"/>
      <c r="AI22" s="524">
        <f t="shared" si="28"/>
        <v>88</v>
      </c>
      <c r="AJ22" s="524"/>
      <c r="AK22" s="524"/>
      <c r="AL22" s="524"/>
      <c r="AM22" s="524"/>
      <c r="AN22" s="524"/>
      <c r="AO22" s="524"/>
      <c r="AP22" s="524"/>
      <c r="AQ22" s="524"/>
      <c r="AR22" s="524"/>
      <c r="AS22" s="524"/>
      <c r="AT22" s="524"/>
      <c r="AU22" s="524"/>
      <c r="AV22" s="524"/>
      <c r="AW22" s="524"/>
      <c r="AX22" s="524"/>
      <c r="AY22" s="524"/>
      <c r="AZ22" s="524"/>
      <c r="BA22" s="524"/>
      <c r="BB22" s="524"/>
      <c r="BC22" s="524">
        <f>I22</f>
        <v>88</v>
      </c>
      <c r="BD22" s="524"/>
      <c r="BE22" s="524"/>
      <c r="BF22" s="514"/>
      <c r="BG22" s="514"/>
      <c r="BH22" s="514"/>
      <c r="BI22" s="514"/>
      <c r="BJ22" s="514"/>
      <c r="BK22" s="514"/>
      <c r="BL22" s="525"/>
      <c r="BM22" s="525"/>
      <c r="BN22" s="525"/>
      <c r="BO22" s="525"/>
      <c r="BS22" s="99"/>
      <c r="BT22" s="99"/>
      <c r="BU22" s="475"/>
      <c r="BV22" s="475"/>
      <c r="BW22" s="475"/>
      <c r="BX22" s="475"/>
      <c r="BY22" s="475"/>
      <c r="BZ22" s="475"/>
      <c r="CA22" s="475"/>
      <c r="CB22" s="475"/>
      <c r="CC22" s="475"/>
      <c r="CD22" s="475"/>
      <c r="CE22" s="475"/>
      <c r="CF22" s="475"/>
      <c r="CG22" s="475"/>
      <c r="CH22" s="475"/>
      <c r="CI22" s="475"/>
      <c r="CJ22" s="475"/>
      <c r="CK22" s="475"/>
      <c r="CL22" s="475"/>
      <c r="CM22" s="475"/>
      <c r="CN22" s="475"/>
    </row>
    <row r="23" s="478" customFormat="1" ht="32" customHeight="1" spans="1:237">
      <c r="A23" s="539">
        <v>45489</v>
      </c>
      <c r="B23" s="540" t="s">
        <v>361</v>
      </c>
      <c r="C23" s="541" t="s">
        <v>91</v>
      </c>
      <c r="D23" s="542">
        <v>4500140333</v>
      </c>
      <c r="E23" s="543" t="s">
        <v>12828</v>
      </c>
      <c r="F23" s="542" t="s">
        <v>12829</v>
      </c>
      <c r="G23" s="499" t="s">
        <v>9424</v>
      </c>
      <c r="H23" s="499" t="s">
        <v>8571</v>
      </c>
      <c r="I23" s="501">
        <v>48</v>
      </c>
      <c r="J23" s="501">
        <v>0</v>
      </c>
      <c r="K23" s="501">
        <v>8</v>
      </c>
      <c r="L23" s="501">
        <f t="shared" si="0"/>
        <v>6</v>
      </c>
      <c r="M23" s="504">
        <v>45534</v>
      </c>
      <c r="N23" s="504">
        <v>45530</v>
      </c>
      <c r="O23" s="505" t="s">
        <v>12412</v>
      </c>
      <c r="P23" s="505"/>
      <c r="Q23" s="505"/>
      <c r="R23" s="505"/>
      <c r="S23" s="507"/>
      <c r="T23" s="519"/>
      <c r="U23" s="519"/>
      <c r="V23" s="519"/>
      <c r="W23" s="519"/>
      <c r="X23" s="520" t="s">
        <v>12827</v>
      </c>
      <c r="Y23" s="501" t="s">
        <v>9870</v>
      </c>
      <c r="Z23" s="521">
        <v>4.0921</v>
      </c>
      <c r="AA23" s="522">
        <f t="shared" si="20"/>
        <v>196.4208</v>
      </c>
      <c r="AB23" s="501"/>
      <c r="AC23" s="501"/>
      <c r="AD23" s="501"/>
      <c r="AE23" s="523">
        <f t="shared" si="24"/>
        <v>48</v>
      </c>
      <c r="AF23" s="523"/>
      <c r="AG23" s="523"/>
      <c r="AH23" s="523"/>
      <c r="AI23" s="524">
        <f t="shared" si="28"/>
        <v>48</v>
      </c>
      <c r="AJ23" s="524"/>
      <c r="AK23" s="524"/>
      <c r="AL23" s="524"/>
      <c r="AM23" s="524"/>
      <c r="AN23" s="524"/>
      <c r="AO23" s="524"/>
      <c r="AP23" s="524"/>
      <c r="AQ23" s="524"/>
      <c r="AR23" s="524"/>
      <c r="AS23" s="524"/>
      <c r="AT23" s="524"/>
      <c r="AU23" s="524"/>
      <c r="AV23" s="524"/>
      <c r="AW23" s="524"/>
      <c r="AX23" s="524"/>
      <c r="AY23" s="524"/>
      <c r="AZ23" s="524"/>
      <c r="BA23" s="524"/>
      <c r="BB23" s="524"/>
      <c r="BC23" s="524"/>
      <c r="BD23" s="524">
        <f>I23</f>
        <v>48</v>
      </c>
      <c r="BE23" s="524"/>
      <c r="BF23" s="514"/>
      <c r="BG23" s="514"/>
      <c r="BH23" s="514"/>
      <c r="BI23" s="514"/>
      <c r="BJ23" s="514"/>
      <c r="BK23" s="514"/>
      <c r="BL23" s="525"/>
      <c r="BM23" s="525"/>
      <c r="BN23" s="525"/>
      <c r="BO23" s="525"/>
      <c r="BS23" s="99"/>
      <c r="BT23" s="99"/>
      <c r="BU23" s="475"/>
      <c r="BV23" s="475"/>
      <c r="BW23" s="475"/>
      <c r="BX23" s="475"/>
      <c r="BY23" s="475"/>
      <c r="BZ23" s="475"/>
      <c r="CA23" s="475"/>
      <c r="CB23" s="475"/>
      <c r="CC23" s="475"/>
      <c r="CD23" s="475"/>
      <c r="CE23" s="475"/>
      <c r="CF23" s="475"/>
      <c r="CG23" s="475"/>
      <c r="CH23" s="475"/>
      <c r="CI23" s="475"/>
      <c r="CJ23" s="475"/>
      <c r="CK23" s="475"/>
      <c r="CL23" s="475"/>
      <c r="CM23" s="475"/>
      <c r="CN23" s="475"/>
    </row>
    <row r="24" s="478" customFormat="1" ht="32" customHeight="1" spans="1:237">
      <c r="A24" s="539">
        <v>45489</v>
      </c>
      <c r="B24" s="540" t="s">
        <v>361</v>
      </c>
      <c r="C24" s="541" t="s">
        <v>91</v>
      </c>
      <c r="D24" s="542">
        <v>4500140333</v>
      </c>
      <c r="E24" s="543" t="s">
        <v>12830</v>
      </c>
      <c r="F24" s="542" t="s">
        <v>12831</v>
      </c>
      <c r="G24" s="499" t="s">
        <v>9255</v>
      </c>
      <c r="H24" s="499" t="s">
        <v>9098</v>
      </c>
      <c r="I24" s="501">
        <v>728</v>
      </c>
      <c r="J24" s="501">
        <v>0</v>
      </c>
      <c r="K24" s="501">
        <v>8</v>
      </c>
      <c r="L24" s="501">
        <f t="shared" si="0"/>
        <v>91</v>
      </c>
      <c r="M24" s="504">
        <v>45534</v>
      </c>
      <c r="N24" s="504">
        <v>45530</v>
      </c>
      <c r="O24" s="505" t="s">
        <v>12412</v>
      </c>
      <c r="P24" s="505"/>
      <c r="Q24" s="505"/>
      <c r="R24" s="505"/>
      <c r="S24" s="507"/>
      <c r="T24" s="519"/>
      <c r="U24" s="519"/>
      <c r="V24" s="519"/>
      <c r="W24" s="519"/>
      <c r="X24" s="520" t="s">
        <v>12827</v>
      </c>
      <c r="Y24" s="501" t="s">
        <v>9870</v>
      </c>
      <c r="Z24" s="521">
        <v>4.0921</v>
      </c>
      <c r="AA24" s="522">
        <f t="shared" si="20"/>
        <v>2979.0488</v>
      </c>
      <c r="AB24" s="501"/>
      <c r="AC24" s="501"/>
      <c r="AD24" s="501"/>
      <c r="AE24" s="523">
        <f t="shared" si="24"/>
        <v>728</v>
      </c>
      <c r="AF24" s="523"/>
      <c r="AG24" s="523"/>
      <c r="AH24" s="523"/>
      <c r="AI24" s="524">
        <f t="shared" si="28"/>
        <v>728</v>
      </c>
      <c r="AJ24" s="524"/>
      <c r="AK24" s="524"/>
      <c r="AL24" s="524"/>
      <c r="AM24" s="524"/>
      <c r="AN24" s="524"/>
      <c r="AO24" s="524"/>
      <c r="AP24" s="524"/>
      <c r="AQ24" s="524"/>
      <c r="AR24" s="524"/>
      <c r="AS24" s="524"/>
      <c r="AT24" s="524"/>
      <c r="AU24" s="524"/>
      <c r="AV24" s="524"/>
      <c r="AW24" s="524"/>
      <c r="AX24" s="524"/>
      <c r="AY24" s="524"/>
      <c r="AZ24" s="524"/>
      <c r="BA24" s="524">
        <f>I24</f>
        <v>728</v>
      </c>
      <c r="BB24" s="524"/>
      <c r="BC24" s="524"/>
      <c r="BD24" s="524"/>
      <c r="BE24" s="524"/>
      <c r="BF24" s="514"/>
      <c r="BG24" s="514"/>
      <c r="BH24" s="514"/>
      <c r="BI24" s="514"/>
      <c r="BJ24" s="514"/>
      <c r="BK24" s="514"/>
      <c r="BL24" s="525"/>
      <c r="BM24" s="525"/>
      <c r="BN24" s="525"/>
      <c r="BO24" s="525"/>
      <c r="BS24" s="99"/>
      <c r="BT24" s="99"/>
      <c r="BU24" s="475"/>
      <c r="BV24" s="475"/>
      <c r="BW24" s="475"/>
      <c r="BX24" s="475"/>
      <c r="BY24" s="475"/>
      <c r="BZ24" s="475"/>
      <c r="CA24" s="475"/>
      <c r="CB24" s="475"/>
      <c r="CC24" s="475"/>
      <c r="CD24" s="475"/>
      <c r="CE24" s="475"/>
      <c r="CF24" s="475"/>
      <c r="CG24" s="475"/>
      <c r="CH24" s="475"/>
      <c r="CI24" s="475"/>
      <c r="CJ24" s="475"/>
      <c r="CK24" s="475"/>
      <c r="CL24" s="475"/>
      <c r="CM24" s="475"/>
      <c r="CN24" s="475"/>
    </row>
    <row r="25" s="478" customFormat="1" ht="32" customHeight="1" spans="1:237">
      <c r="A25" s="539">
        <v>45489</v>
      </c>
      <c r="B25" s="540" t="s">
        <v>361</v>
      </c>
      <c r="C25" s="541" t="s">
        <v>91</v>
      </c>
      <c r="D25" s="542">
        <v>4500140333</v>
      </c>
      <c r="E25" s="543" t="s">
        <v>12832</v>
      </c>
      <c r="F25" s="542" t="s">
        <v>12833</v>
      </c>
      <c r="G25" s="499" t="s">
        <v>9431</v>
      </c>
      <c r="H25" s="499" t="s">
        <v>9099</v>
      </c>
      <c r="I25" s="501">
        <v>800</v>
      </c>
      <c r="J25" s="501">
        <v>0</v>
      </c>
      <c r="K25" s="501">
        <v>8</v>
      </c>
      <c r="L25" s="501">
        <f t="shared" si="0"/>
        <v>100</v>
      </c>
      <c r="M25" s="504">
        <v>45534</v>
      </c>
      <c r="N25" s="504">
        <v>45530</v>
      </c>
      <c r="O25" s="505" t="s">
        <v>12412</v>
      </c>
      <c r="P25" s="505"/>
      <c r="Q25" s="505"/>
      <c r="R25" s="505"/>
      <c r="S25" s="507"/>
      <c r="T25" s="519"/>
      <c r="U25" s="519"/>
      <c r="V25" s="519"/>
      <c r="W25" s="519"/>
      <c r="X25" s="520" t="s">
        <v>12827</v>
      </c>
      <c r="Y25" s="501" t="s">
        <v>9870</v>
      </c>
      <c r="Z25" s="521">
        <v>4.0921</v>
      </c>
      <c r="AA25" s="522">
        <f t="shared" si="20"/>
        <v>3273.68</v>
      </c>
      <c r="AB25" s="501"/>
      <c r="AC25" s="501"/>
      <c r="AD25" s="501"/>
      <c r="AE25" s="523">
        <f t="shared" si="24"/>
        <v>800</v>
      </c>
      <c r="AF25" s="523"/>
      <c r="AG25" s="523"/>
      <c r="AH25" s="523"/>
      <c r="AI25" s="524">
        <f t="shared" si="28"/>
        <v>800</v>
      </c>
      <c r="AJ25" s="524"/>
      <c r="AK25" s="524"/>
      <c r="AL25" s="524"/>
      <c r="AM25" s="524"/>
      <c r="AN25" s="524"/>
      <c r="AO25" s="524"/>
      <c r="AP25" s="524"/>
      <c r="AQ25" s="524"/>
      <c r="AR25" s="524"/>
      <c r="AS25" s="524"/>
      <c r="AT25" s="524"/>
      <c r="AU25" s="524"/>
      <c r="AV25" s="524"/>
      <c r="AW25" s="524"/>
      <c r="AX25" s="524"/>
      <c r="AY25" s="524"/>
      <c r="AZ25" s="524"/>
      <c r="BA25" s="524"/>
      <c r="BB25" s="524">
        <f t="shared" si="29"/>
        <v>800</v>
      </c>
      <c r="BC25" s="524"/>
      <c r="BD25" s="524"/>
      <c r="BE25" s="524"/>
      <c r="BF25" s="514"/>
      <c r="BG25" s="514"/>
      <c r="BH25" s="514"/>
      <c r="BI25" s="514"/>
      <c r="BJ25" s="514"/>
      <c r="BK25" s="514"/>
      <c r="BL25" s="525"/>
      <c r="BM25" s="525"/>
      <c r="BN25" s="525"/>
      <c r="BO25" s="525"/>
      <c r="BS25" s="99"/>
      <c r="BT25" s="99"/>
      <c r="BU25" s="475"/>
      <c r="BV25" s="475"/>
      <c r="BW25" s="475"/>
      <c r="BX25" s="475"/>
      <c r="BY25" s="475"/>
      <c r="BZ25" s="475"/>
      <c r="CA25" s="475"/>
      <c r="CB25" s="475"/>
      <c r="CC25" s="475"/>
      <c r="CD25" s="475"/>
      <c r="CE25" s="475"/>
      <c r="CF25" s="475"/>
      <c r="CG25" s="475"/>
      <c r="CH25" s="475"/>
      <c r="CI25" s="475"/>
      <c r="CJ25" s="475"/>
      <c r="CK25" s="475"/>
      <c r="CL25" s="475"/>
      <c r="CM25" s="475"/>
      <c r="CN25" s="475"/>
    </row>
    <row r="26" s="478" customFormat="1" ht="32" customHeight="1" spans="1:237">
      <c r="A26" s="539">
        <v>45489</v>
      </c>
      <c r="B26" s="540" t="s">
        <v>361</v>
      </c>
      <c r="C26" s="541" t="s">
        <v>91</v>
      </c>
      <c r="D26" s="542">
        <v>4500140333</v>
      </c>
      <c r="E26" s="543" t="s">
        <v>12834</v>
      </c>
      <c r="F26" s="542" t="s">
        <v>12835</v>
      </c>
      <c r="G26" s="499" t="s">
        <v>9419</v>
      </c>
      <c r="H26" s="499" t="s">
        <v>9100</v>
      </c>
      <c r="I26" s="501">
        <v>736</v>
      </c>
      <c r="J26" s="501">
        <v>0</v>
      </c>
      <c r="K26" s="501">
        <v>8</v>
      </c>
      <c r="L26" s="501">
        <f t="shared" si="0"/>
        <v>92</v>
      </c>
      <c r="M26" s="504">
        <v>45534</v>
      </c>
      <c r="N26" s="504">
        <v>45530</v>
      </c>
      <c r="O26" s="505" t="s">
        <v>12412</v>
      </c>
      <c r="P26" s="505"/>
      <c r="Q26" s="505"/>
      <c r="R26" s="505"/>
      <c r="S26" s="507"/>
      <c r="T26" s="519"/>
      <c r="U26" s="519"/>
      <c r="V26" s="519"/>
      <c r="W26" s="519"/>
      <c r="X26" s="520" t="s">
        <v>12827</v>
      </c>
      <c r="Y26" s="501" t="s">
        <v>9870</v>
      </c>
      <c r="Z26" s="521">
        <v>4.0921</v>
      </c>
      <c r="AA26" s="522">
        <f t="shared" si="20"/>
        <v>3011.7856</v>
      </c>
      <c r="AB26" s="501"/>
      <c r="AC26" s="501"/>
      <c r="AD26" s="501"/>
      <c r="AE26" s="523">
        <f t="shared" si="24"/>
        <v>736</v>
      </c>
      <c r="AF26" s="523"/>
      <c r="AG26" s="523"/>
      <c r="AH26" s="523"/>
      <c r="AI26" s="524">
        <f t="shared" si="28"/>
        <v>736</v>
      </c>
      <c r="AJ26" s="524"/>
      <c r="AK26" s="524"/>
      <c r="AL26" s="524"/>
      <c r="AM26" s="524"/>
      <c r="AN26" s="524"/>
      <c r="AO26" s="524"/>
      <c r="AP26" s="524"/>
      <c r="AQ26" s="524"/>
      <c r="AR26" s="524"/>
      <c r="AS26" s="524"/>
      <c r="AT26" s="524"/>
      <c r="AU26" s="524"/>
      <c r="AV26" s="524"/>
      <c r="AW26" s="524"/>
      <c r="AX26" s="524"/>
      <c r="AY26" s="524"/>
      <c r="AZ26" s="524"/>
      <c r="BA26" s="524"/>
      <c r="BB26" s="524"/>
      <c r="BC26" s="524">
        <f>I26</f>
        <v>736</v>
      </c>
      <c r="BD26" s="524"/>
      <c r="BE26" s="524"/>
      <c r="BF26" s="514"/>
      <c r="BG26" s="514"/>
      <c r="BH26" s="514"/>
      <c r="BI26" s="514"/>
      <c r="BJ26" s="514"/>
      <c r="BK26" s="514"/>
      <c r="BL26" s="525"/>
      <c r="BM26" s="525"/>
      <c r="BN26" s="525"/>
      <c r="BO26" s="525"/>
      <c r="BS26" s="99"/>
      <c r="BT26" s="99"/>
      <c r="BU26" s="475"/>
      <c r="BV26" s="475"/>
      <c r="BW26" s="475"/>
      <c r="BX26" s="475"/>
      <c r="BY26" s="475"/>
      <c r="BZ26" s="475"/>
      <c r="CA26" s="475"/>
      <c r="CB26" s="475"/>
      <c r="CC26" s="475"/>
      <c r="CD26" s="475"/>
      <c r="CE26" s="475"/>
      <c r="CF26" s="475"/>
      <c r="CG26" s="475"/>
      <c r="CH26" s="475"/>
      <c r="CI26" s="475"/>
      <c r="CJ26" s="475"/>
      <c r="CK26" s="475"/>
      <c r="CL26" s="475"/>
      <c r="CM26" s="475"/>
      <c r="CN26" s="475"/>
    </row>
    <row r="27" s="478" customFormat="1" ht="32" customHeight="1" spans="1:237">
      <c r="A27" s="539">
        <v>45489</v>
      </c>
      <c r="B27" s="540" t="s">
        <v>361</v>
      </c>
      <c r="C27" s="541" t="s">
        <v>91</v>
      </c>
      <c r="D27" s="542">
        <v>4500140333</v>
      </c>
      <c r="E27" s="543" t="s">
        <v>12836</v>
      </c>
      <c r="F27" s="542" t="s">
        <v>12837</v>
      </c>
      <c r="G27" s="499" t="s">
        <v>9255</v>
      </c>
      <c r="H27" s="499" t="s">
        <v>9098</v>
      </c>
      <c r="I27" s="501">
        <v>80</v>
      </c>
      <c r="J27" s="501">
        <v>0</v>
      </c>
      <c r="K27" s="501">
        <v>8</v>
      </c>
      <c r="L27" s="501">
        <f t="shared" si="0"/>
        <v>10</v>
      </c>
      <c r="M27" s="504">
        <v>45534</v>
      </c>
      <c r="N27" s="504">
        <v>45530</v>
      </c>
      <c r="O27" s="505" t="s">
        <v>12412</v>
      </c>
      <c r="P27" s="505"/>
      <c r="Q27" s="505"/>
      <c r="R27" s="505"/>
      <c r="S27" s="507"/>
      <c r="T27" s="519"/>
      <c r="U27" s="519"/>
      <c r="V27" s="519"/>
      <c r="W27" s="519"/>
      <c r="X27" s="520" t="s">
        <v>12827</v>
      </c>
      <c r="Y27" s="501" t="s">
        <v>9870</v>
      </c>
      <c r="Z27" s="521">
        <v>4.0921</v>
      </c>
      <c r="AA27" s="522">
        <f t="shared" si="20"/>
        <v>327.368</v>
      </c>
      <c r="AB27" s="501"/>
      <c r="AC27" s="501"/>
      <c r="AD27" s="501"/>
      <c r="AE27" s="523">
        <f t="shared" si="24"/>
        <v>80</v>
      </c>
      <c r="AF27" s="523"/>
      <c r="AG27" s="523"/>
      <c r="AH27" s="523"/>
      <c r="AI27" s="524">
        <f t="shared" si="28"/>
        <v>80</v>
      </c>
      <c r="AJ27" s="524"/>
      <c r="AK27" s="524"/>
      <c r="AL27" s="524"/>
      <c r="AM27" s="524"/>
      <c r="AN27" s="524"/>
      <c r="AO27" s="524"/>
      <c r="AP27" s="524"/>
      <c r="AQ27" s="524"/>
      <c r="AR27" s="524"/>
      <c r="AS27" s="524"/>
      <c r="AT27" s="524"/>
      <c r="AU27" s="524"/>
      <c r="AV27" s="524"/>
      <c r="AW27" s="524"/>
      <c r="AX27" s="524"/>
      <c r="AY27" s="524"/>
      <c r="AZ27" s="524"/>
      <c r="BA27" s="524">
        <f>I27</f>
        <v>80</v>
      </c>
      <c r="BB27" s="524"/>
      <c r="BC27" s="524"/>
      <c r="BD27" s="524"/>
      <c r="BE27" s="524"/>
      <c r="BF27" s="514"/>
      <c r="BG27" s="514"/>
      <c r="BH27" s="514"/>
      <c r="BI27" s="514"/>
      <c r="BJ27" s="514"/>
      <c r="BK27" s="514"/>
      <c r="BL27" s="525"/>
      <c r="BM27" s="525"/>
      <c r="BN27" s="525"/>
      <c r="BO27" s="525"/>
      <c r="BS27" s="99"/>
      <c r="BT27" s="99"/>
      <c r="BU27" s="475"/>
      <c r="BV27" s="475"/>
      <c r="BW27" s="475"/>
      <c r="BX27" s="475"/>
      <c r="BY27" s="475"/>
      <c r="BZ27" s="475"/>
      <c r="CA27" s="475"/>
      <c r="CB27" s="475"/>
      <c r="CC27" s="475"/>
      <c r="CD27" s="475"/>
      <c r="CE27" s="475"/>
      <c r="CF27" s="475"/>
      <c r="CG27" s="475"/>
      <c r="CH27" s="475"/>
      <c r="CI27" s="475"/>
      <c r="CJ27" s="475"/>
      <c r="CK27" s="475"/>
      <c r="CL27" s="475"/>
      <c r="CM27" s="475"/>
      <c r="CN27" s="475"/>
    </row>
    <row r="28" s="478" customFormat="1" ht="32" customHeight="1" spans="1:237">
      <c r="A28" s="539">
        <v>45489</v>
      </c>
      <c r="B28" s="540" t="s">
        <v>361</v>
      </c>
      <c r="C28" s="541" t="s">
        <v>91</v>
      </c>
      <c r="D28" s="542">
        <v>4500140333</v>
      </c>
      <c r="E28" s="543" t="s">
        <v>12838</v>
      </c>
      <c r="F28" s="542" t="s">
        <v>12839</v>
      </c>
      <c r="G28" s="499" t="s">
        <v>9424</v>
      </c>
      <c r="H28" s="499" t="s">
        <v>8571</v>
      </c>
      <c r="I28" s="501">
        <v>592</v>
      </c>
      <c r="J28" s="501">
        <v>0</v>
      </c>
      <c r="K28" s="501">
        <v>8</v>
      </c>
      <c r="L28" s="501">
        <f t="shared" si="0"/>
        <v>74</v>
      </c>
      <c r="M28" s="504">
        <v>45534</v>
      </c>
      <c r="N28" s="504">
        <v>45530</v>
      </c>
      <c r="O28" s="505" t="s">
        <v>12412</v>
      </c>
      <c r="P28" s="505"/>
      <c r="Q28" s="505"/>
      <c r="R28" s="505"/>
      <c r="S28" s="507"/>
      <c r="T28" s="519"/>
      <c r="U28" s="519"/>
      <c r="V28" s="519"/>
      <c r="W28" s="519"/>
      <c r="X28" s="520" t="s">
        <v>12827</v>
      </c>
      <c r="Y28" s="501" t="s">
        <v>9870</v>
      </c>
      <c r="Z28" s="521">
        <v>4.0921</v>
      </c>
      <c r="AA28" s="522">
        <f t="shared" si="20"/>
        <v>2422.5232</v>
      </c>
      <c r="AB28" s="501"/>
      <c r="AC28" s="501"/>
      <c r="AD28" s="501"/>
      <c r="AE28" s="523">
        <f t="shared" si="24"/>
        <v>592</v>
      </c>
      <c r="AF28" s="523"/>
      <c r="AG28" s="523"/>
      <c r="AH28" s="523"/>
      <c r="AI28" s="524">
        <f t="shared" si="28"/>
        <v>592</v>
      </c>
      <c r="AJ28" s="524"/>
      <c r="AK28" s="524"/>
      <c r="AL28" s="524"/>
      <c r="AM28" s="524"/>
      <c r="AN28" s="524"/>
      <c r="AO28" s="524"/>
      <c r="AP28" s="524"/>
      <c r="AQ28" s="524"/>
      <c r="AR28" s="524"/>
      <c r="AS28" s="524"/>
      <c r="AT28" s="524"/>
      <c r="AU28" s="524"/>
      <c r="AV28" s="524"/>
      <c r="AW28" s="524"/>
      <c r="AX28" s="524"/>
      <c r="AY28" s="524"/>
      <c r="AZ28" s="524"/>
      <c r="BA28" s="524"/>
      <c r="BB28" s="524"/>
      <c r="BC28" s="524"/>
      <c r="BD28" s="524">
        <f>I28</f>
        <v>592</v>
      </c>
      <c r="BE28" s="524"/>
      <c r="BF28" s="514"/>
      <c r="BG28" s="514"/>
      <c r="BH28" s="514"/>
      <c r="BI28" s="514"/>
      <c r="BJ28" s="514"/>
      <c r="BK28" s="514"/>
      <c r="BL28" s="525"/>
      <c r="BM28" s="525"/>
      <c r="BN28" s="525"/>
      <c r="BO28" s="525"/>
      <c r="BS28" s="99"/>
      <c r="BT28" s="99"/>
      <c r="BU28" s="475"/>
      <c r="BV28" s="475"/>
      <c r="BW28" s="475"/>
      <c r="BX28" s="475"/>
      <c r="BY28" s="475"/>
      <c r="BZ28" s="475"/>
      <c r="CA28" s="475"/>
      <c r="CB28" s="475"/>
      <c r="CC28" s="475"/>
      <c r="CD28" s="475"/>
      <c r="CE28" s="475"/>
      <c r="CF28" s="475"/>
      <c r="CG28" s="475"/>
      <c r="CH28" s="475"/>
      <c r="CI28" s="475"/>
      <c r="CJ28" s="475"/>
      <c r="CK28" s="475"/>
      <c r="CL28" s="475"/>
      <c r="CM28" s="475"/>
      <c r="CN28" s="475"/>
    </row>
    <row r="29" s="477" customFormat="1" ht="32" customHeight="1" spans="1:237">
      <c r="A29" s="539">
        <v>45489</v>
      </c>
      <c r="B29" s="540" t="s">
        <v>361</v>
      </c>
      <c r="C29" s="541" t="s">
        <v>91</v>
      </c>
      <c r="D29" s="542">
        <v>4500140333</v>
      </c>
      <c r="E29" s="543" t="s">
        <v>12840</v>
      </c>
      <c r="F29" s="542" t="s">
        <v>12841</v>
      </c>
      <c r="G29" s="530" t="s">
        <v>10202</v>
      </c>
      <c r="H29" s="499" t="s">
        <v>10203</v>
      </c>
      <c r="I29" s="502">
        <v>1450</v>
      </c>
      <c r="J29" s="502">
        <v>1</v>
      </c>
      <c r="K29" s="502">
        <v>2</v>
      </c>
      <c r="L29" s="502">
        <f t="shared" si="0"/>
        <v>725</v>
      </c>
      <c r="M29" s="503">
        <v>45534</v>
      </c>
      <c r="N29" s="503">
        <v>45530</v>
      </c>
      <c r="O29" s="505" t="s">
        <v>12412</v>
      </c>
      <c r="P29" s="506"/>
      <c r="Q29" s="506"/>
      <c r="R29" s="507"/>
      <c r="S29" s="519"/>
      <c r="T29" s="519"/>
      <c r="U29" s="507"/>
      <c r="V29" s="507"/>
      <c r="W29" s="538" t="s">
        <v>12842</v>
      </c>
      <c r="X29" s="502" t="s">
        <v>9870</v>
      </c>
      <c r="Y29" s="509">
        <v>7.3457</v>
      </c>
      <c r="Z29" s="510">
        <f>Y29*I29</f>
        <v>10651.265</v>
      </c>
      <c r="AA29" s="502"/>
      <c r="AB29" s="502"/>
      <c r="AC29" s="501"/>
      <c r="AD29" s="511">
        <f>I29</f>
        <v>1450</v>
      </c>
      <c r="AE29" s="511"/>
      <c r="AF29" s="511"/>
      <c r="AG29" s="511"/>
      <c r="AH29" s="512">
        <f>I29</f>
        <v>1450</v>
      </c>
      <c r="AI29" s="512"/>
      <c r="AJ29" s="512"/>
      <c r="AK29" s="512"/>
      <c r="AL29" s="512"/>
      <c r="AM29" s="512"/>
      <c r="AN29" s="512"/>
      <c r="AO29" s="512"/>
      <c r="AP29" s="512"/>
      <c r="AQ29" s="512"/>
      <c r="AR29" s="512"/>
      <c r="AS29" s="512"/>
      <c r="AT29" s="512"/>
      <c r="AU29" s="512"/>
      <c r="AV29" s="512"/>
      <c r="AW29" s="512"/>
      <c r="AX29" s="512"/>
      <c r="AY29" s="512"/>
      <c r="AZ29" s="512"/>
      <c r="BA29" s="512"/>
      <c r="BB29" s="512"/>
      <c r="BC29" s="512"/>
      <c r="BD29" s="512"/>
      <c r="BE29" s="512">
        <f>I29</f>
        <v>1450</v>
      </c>
      <c r="BF29" s="512">
        <f>I29</f>
        <v>1450</v>
      </c>
      <c r="BG29" s="515"/>
      <c r="BH29" s="512"/>
      <c r="BI29" s="514"/>
      <c r="BJ29" s="514"/>
      <c r="BK29" s="515"/>
      <c r="BL29" s="515"/>
      <c r="BM29" s="515"/>
      <c r="BN29" s="515"/>
      <c r="BO29" s="515"/>
      <c r="BP29" s="515"/>
      <c r="BQ29" s="515"/>
      <c r="BR29" s="545"/>
      <c r="BS29" s="99"/>
      <c r="BT29" s="99"/>
      <c r="BU29" s="475"/>
      <c r="BV29" s="475"/>
      <c r="BW29" s="475"/>
      <c r="BX29" s="475"/>
      <c r="BY29" s="475"/>
      <c r="BZ29" s="475"/>
      <c r="CA29" s="475"/>
      <c r="CB29" s="475"/>
      <c r="CC29" s="475"/>
      <c r="CD29" s="475"/>
      <c r="CE29" s="475"/>
      <c r="CF29" s="475"/>
      <c r="CG29" s="475"/>
      <c r="CH29" s="475"/>
      <c r="CI29" s="475"/>
      <c r="CJ29" s="475"/>
      <c r="CK29" s="475"/>
      <c r="CL29" s="475"/>
      <c r="CM29" s="475"/>
      <c r="CN29" s="475"/>
      <c r="CO29" s="525"/>
      <c r="CP29" s="525"/>
      <c r="CQ29" s="525"/>
      <c r="CR29" s="525"/>
      <c r="CS29" s="525"/>
      <c r="CT29" s="525"/>
      <c r="CU29" s="525"/>
      <c r="CV29" s="525"/>
      <c r="CW29" s="525"/>
      <c r="CX29" s="525"/>
      <c r="CY29" s="525"/>
      <c r="CZ29" s="525"/>
      <c r="DA29" s="525"/>
      <c r="DB29" s="525"/>
      <c r="DC29" s="525"/>
      <c r="DD29" s="525"/>
      <c r="DE29" s="525"/>
      <c r="DF29" s="525"/>
      <c r="DG29" s="525"/>
      <c r="DH29" s="525"/>
      <c r="DI29" s="525"/>
      <c r="DJ29" s="525"/>
      <c r="DK29" s="525"/>
      <c r="DL29" s="525"/>
      <c r="DM29" s="525"/>
      <c r="DN29" s="525"/>
      <c r="DO29" s="525"/>
      <c r="DP29" s="525"/>
      <c r="DQ29" s="525"/>
      <c r="DR29" s="525"/>
      <c r="DS29" s="525"/>
      <c r="DT29" s="525"/>
      <c r="DU29" s="525"/>
      <c r="DV29" s="525"/>
      <c r="DW29" s="525"/>
      <c r="DX29" s="525"/>
      <c r="DY29" s="525"/>
      <c r="DZ29" s="525"/>
      <c r="EA29" s="525"/>
      <c r="EB29" s="525"/>
      <c r="EC29" s="525"/>
      <c r="ED29" s="525"/>
      <c r="EE29" s="525"/>
      <c r="EF29" s="525"/>
      <c r="EG29" s="525"/>
      <c r="EH29" s="525"/>
      <c r="EI29" s="525"/>
      <c r="EJ29" s="525"/>
      <c r="EK29" s="525"/>
      <c r="EL29" s="525"/>
      <c r="EM29" s="525"/>
      <c r="EN29" s="525"/>
      <c r="EO29" s="525"/>
      <c r="EP29" s="525"/>
      <c r="EQ29" s="525"/>
      <c r="ER29" s="525"/>
      <c r="ES29" s="525"/>
      <c r="ET29" s="525"/>
      <c r="EU29" s="525"/>
      <c r="EV29" s="525"/>
      <c r="EW29" s="525"/>
      <c r="EX29" s="525"/>
      <c r="EY29" s="525"/>
      <c r="EZ29" s="525"/>
      <c r="FA29" s="525"/>
      <c r="FB29" s="525"/>
      <c r="FC29" s="525"/>
      <c r="FD29" s="525"/>
      <c r="FE29" s="525"/>
      <c r="FF29" s="525"/>
      <c r="FG29" s="525"/>
      <c r="FH29" s="525"/>
      <c r="FI29" s="525"/>
      <c r="FJ29" s="525"/>
      <c r="FK29" s="525"/>
      <c r="FL29" s="525"/>
      <c r="FM29" s="525"/>
      <c r="FN29" s="525"/>
      <c r="FO29" s="525"/>
      <c r="FP29" s="525"/>
      <c r="FQ29" s="525"/>
      <c r="FR29" s="525"/>
      <c r="FS29" s="525"/>
      <c r="FT29" s="525"/>
      <c r="FU29" s="525"/>
      <c r="FV29" s="525"/>
      <c r="FW29" s="525"/>
      <c r="FX29" s="525"/>
      <c r="FY29" s="525"/>
      <c r="FZ29" s="525"/>
      <c r="GA29" s="525"/>
      <c r="GB29" s="525"/>
      <c r="GC29" s="525"/>
      <c r="GD29" s="525"/>
      <c r="GE29" s="525"/>
      <c r="GF29" s="525"/>
      <c r="GG29" s="525"/>
      <c r="GH29" s="525"/>
      <c r="GI29" s="525"/>
      <c r="GJ29" s="525"/>
      <c r="GK29" s="525"/>
      <c r="GL29" s="525"/>
      <c r="GM29" s="525"/>
      <c r="GN29" s="525"/>
      <c r="GO29" s="525"/>
      <c r="GP29" s="525"/>
      <c r="GQ29" s="525"/>
      <c r="GR29" s="525"/>
      <c r="GS29" s="525"/>
      <c r="GT29" s="525"/>
      <c r="GU29" s="525"/>
      <c r="GV29" s="525"/>
      <c r="GW29" s="525"/>
      <c r="GX29" s="525"/>
      <c r="GY29" s="525"/>
      <c r="GZ29" s="525"/>
      <c r="HA29" s="525"/>
      <c r="HB29" s="525"/>
      <c r="HC29" s="525"/>
      <c r="HD29" s="525"/>
      <c r="HE29" s="525"/>
      <c r="HF29" s="525"/>
      <c r="HG29" s="525"/>
      <c r="HH29" s="525"/>
      <c r="HI29" s="525"/>
      <c r="HJ29" s="525"/>
      <c r="HK29" s="525"/>
      <c r="HL29" s="525"/>
      <c r="HM29" s="525"/>
      <c r="HN29" s="525"/>
      <c r="HO29" s="525"/>
      <c r="HP29" s="525"/>
      <c r="HQ29" s="525"/>
      <c r="HR29" s="525"/>
      <c r="HS29" s="525"/>
      <c r="HT29" s="525"/>
      <c r="HU29" s="525"/>
      <c r="HV29" s="525"/>
      <c r="HW29" s="525"/>
      <c r="HX29" s="525"/>
      <c r="HY29" s="525"/>
      <c r="HZ29" s="525"/>
      <c r="IA29" s="525"/>
      <c r="IB29" s="525"/>
      <c r="IC29" s="525"/>
    </row>
    <row r="30" s="477" customFormat="1" ht="32" customHeight="1" spans="1:237">
      <c r="A30" s="539">
        <v>45489</v>
      </c>
      <c r="B30" s="540" t="s">
        <v>361</v>
      </c>
      <c r="C30" s="541" t="s">
        <v>91</v>
      </c>
      <c r="D30" s="542">
        <v>4500140333</v>
      </c>
      <c r="E30" s="543" t="s">
        <v>12843</v>
      </c>
      <c r="F30" s="542" t="s">
        <v>12844</v>
      </c>
      <c r="G30" s="530" t="s">
        <v>10202</v>
      </c>
      <c r="H30" s="499" t="s">
        <v>10203</v>
      </c>
      <c r="I30" s="502">
        <v>1376</v>
      </c>
      <c r="J30" s="502">
        <v>1</v>
      </c>
      <c r="K30" s="502">
        <v>2</v>
      </c>
      <c r="L30" s="502">
        <f t="shared" si="0"/>
        <v>688</v>
      </c>
      <c r="M30" s="503">
        <v>45534</v>
      </c>
      <c r="N30" s="503">
        <v>45530</v>
      </c>
      <c r="O30" s="505" t="s">
        <v>12412</v>
      </c>
      <c r="P30" s="506"/>
      <c r="Q30" s="506"/>
      <c r="R30" s="507"/>
      <c r="S30" s="519"/>
      <c r="T30" s="519"/>
      <c r="U30" s="507"/>
      <c r="V30" s="507"/>
      <c r="W30" s="538" t="s">
        <v>12842</v>
      </c>
      <c r="X30" s="502" t="s">
        <v>9870</v>
      </c>
      <c r="Y30" s="509">
        <v>7.3457</v>
      </c>
      <c r="Z30" s="510">
        <f>Y30*I30</f>
        <v>10107.6832</v>
      </c>
      <c r="AA30" s="502"/>
      <c r="AB30" s="502"/>
      <c r="AC30" s="501"/>
      <c r="AD30" s="511">
        <f>I30</f>
        <v>1376</v>
      </c>
      <c r="AE30" s="511"/>
      <c r="AF30" s="511"/>
      <c r="AG30" s="511"/>
      <c r="AH30" s="512">
        <f>I30</f>
        <v>1376</v>
      </c>
      <c r="AI30" s="512"/>
      <c r="AJ30" s="512"/>
      <c r="AK30" s="512"/>
      <c r="AL30" s="512"/>
      <c r="AM30" s="512"/>
      <c r="AN30" s="512"/>
      <c r="AO30" s="512"/>
      <c r="AP30" s="512"/>
      <c r="AQ30" s="512"/>
      <c r="AR30" s="512"/>
      <c r="AS30" s="512"/>
      <c r="AT30" s="512"/>
      <c r="AU30" s="512"/>
      <c r="AV30" s="512"/>
      <c r="AW30" s="512"/>
      <c r="AX30" s="512"/>
      <c r="AY30" s="512"/>
      <c r="AZ30" s="512"/>
      <c r="BA30" s="512"/>
      <c r="BB30" s="512"/>
      <c r="BC30" s="512"/>
      <c r="BD30" s="512"/>
      <c r="BE30" s="512">
        <f>I30</f>
        <v>1376</v>
      </c>
      <c r="BF30" s="512">
        <f>I30</f>
        <v>1376</v>
      </c>
      <c r="BG30" s="515"/>
      <c r="BH30" s="512"/>
      <c r="BI30" s="514"/>
      <c r="BJ30" s="514"/>
      <c r="BK30" s="515"/>
      <c r="BL30" s="515"/>
      <c r="BM30" s="515"/>
      <c r="BN30" s="515"/>
      <c r="BO30" s="515"/>
      <c r="BP30" s="515"/>
      <c r="BQ30" s="515"/>
      <c r="BR30" s="545"/>
      <c r="BS30" s="99"/>
      <c r="BT30" s="99"/>
      <c r="BU30" s="475"/>
      <c r="BV30" s="475"/>
      <c r="BW30" s="475"/>
      <c r="BX30" s="475"/>
      <c r="BY30" s="475"/>
      <c r="BZ30" s="475"/>
      <c r="CA30" s="475"/>
      <c r="CB30" s="475"/>
      <c r="CC30" s="475"/>
      <c r="CD30" s="475"/>
      <c r="CE30" s="475"/>
      <c r="CF30" s="475"/>
      <c r="CG30" s="475"/>
      <c r="CH30" s="475"/>
      <c r="CI30" s="475"/>
      <c r="CJ30" s="475"/>
      <c r="CK30" s="475"/>
      <c r="CL30" s="475"/>
      <c r="CM30" s="475"/>
      <c r="CN30" s="475"/>
      <c r="CO30" s="525"/>
      <c r="CP30" s="525"/>
      <c r="CQ30" s="525"/>
      <c r="CR30" s="525"/>
      <c r="CS30" s="525"/>
      <c r="CT30" s="525"/>
      <c r="CU30" s="525"/>
      <c r="CV30" s="525"/>
      <c r="CW30" s="525"/>
      <c r="CX30" s="525"/>
      <c r="CY30" s="525"/>
      <c r="CZ30" s="525"/>
      <c r="DA30" s="525"/>
      <c r="DB30" s="525"/>
      <c r="DC30" s="525"/>
      <c r="DD30" s="525"/>
      <c r="DE30" s="525"/>
      <c r="DF30" s="525"/>
      <c r="DG30" s="525"/>
      <c r="DH30" s="525"/>
      <c r="DI30" s="525"/>
      <c r="DJ30" s="525"/>
      <c r="DK30" s="525"/>
      <c r="DL30" s="525"/>
      <c r="DM30" s="525"/>
      <c r="DN30" s="525"/>
      <c r="DO30" s="525"/>
      <c r="DP30" s="525"/>
      <c r="DQ30" s="525"/>
      <c r="DR30" s="525"/>
      <c r="DS30" s="525"/>
      <c r="DT30" s="525"/>
      <c r="DU30" s="525"/>
      <c r="DV30" s="525"/>
      <c r="DW30" s="525"/>
      <c r="DX30" s="525"/>
      <c r="DY30" s="525"/>
      <c r="DZ30" s="525"/>
      <c r="EA30" s="525"/>
      <c r="EB30" s="525"/>
      <c r="EC30" s="525"/>
      <c r="ED30" s="525"/>
      <c r="EE30" s="525"/>
      <c r="EF30" s="525"/>
      <c r="EG30" s="525"/>
      <c r="EH30" s="525"/>
      <c r="EI30" s="525"/>
      <c r="EJ30" s="525"/>
      <c r="EK30" s="525"/>
      <c r="EL30" s="525"/>
      <c r="EM30" s="525"/>
      <c r="EN30" s="525"/>
      <c r="EO30" s="525"/>
      <c r="EP30" s="525"/>
      <c r="EQ30" s="525"/>
      <c r="ER30" s="525"/>
      <c r="ES30" s="525"/>
      <c r="ET30" s="525"/>
      <c r="EU30" s="525"/>
      <c r="EV30" s="525"/>
      <c r="EW30" s="525"/>
      <c r="EX30" s="525"/>
      <c r="EY30" s="525"/>
      <c r="EZ30" s="525"/>
      <c r="FA30" s="525"/>
      <c r="FB30" s="525"/>
      <c r="FC30" s="525"/>
      <c r="FD30" s="525"/>
      <c r="FE30" s="525"/>
      <c r="FF30" s="525"/>
      <c r="FG30" s="525"/>
      <c r="FH30" s="525"/>
      <c r="FI30" s="525"/>
      <c r="FJ30" s="525"/>
      <c r="FK30" s="525"/>
      <c r="FL30" s="525"/>
      <c r="FM30" s="525"/>
      <c r="FN30" s="525"/>
      <c r="FO30" s="525"/>
      <c r="FP30" s="525"/>
      <c r="FQ30" s="525"/>
      <c r="FR30" s="525"/>
      <c r="FS30" s="525"/>
      <c r="FT30" s="525"/>
      <c r="FU30" s="525"/>
      <c r="FV30" s="525"/>
      <c r="FW30" s="525"/>
      <c r="FX30" s="525"/>
      <c r="FY30" s="525"/>
      <c r="FZ30" s="525"/>
      <c r="GA30" s="525"/>
      <c r="GB30" s="525"/>
      <c r="GC30" s="525"/>
      <c r="GD30" s="525"/>
      <c r="GE30" s="525"/>
      <c r="GF30" s="525"/>
      <c r="GG30" s="525"/>
      <c r="GH30" s="525"/>
      <c r="GI30" s="525"/>
      <c r="GJ30" s="525"/>
      <c r="GK30" s="525"/>
      <c r="GL30" s="525"/>
      <c r="GM30" s="525"/>
      <c r="GN30" s="525"/>
      <c r="GO30" s="525"/>
      <c r="GP30" s="525"/>
      <c r="GQ30" s="525"/>
      <c r="GR30" s="525"/>
      <c r="GS30" s="525"/>
      <c r="GT30" s="525"/>
      <c r="GU30" s="525"/>
      <c r="GV30" s="525"/>
      <c r="GW30" s="525"/>
      <c r="GX30" s="525"/>
      <c r="GY30" s="525"/>
      <c r="GZ30" s="525"/>
      <c r="HA30" s="525"/>
      <c r="HB30" s="525"/>
      <c r="HC30" s="525"/>
      <c r="HD30" s="525"/>
      <c r="HE30" s="525"/>
      <c r="HF30" s="525"/>
      <c r="HG30" s="525"/>
      <c r="HH30" s="525"/>
      <c r="HI30" s="525"/>
      <c r="HJ30" s="525"/>
      <c r="HK30" s="525"/>
      <c r="HL30" s="525"/>
      <c r="HM30" s="525"/>
      <c r="HN30" s="525"/>
      <c r="HO30" s="525"/>
      <c r="HP30" s="525"/>
      <c r="HQ30" s="525"/>
      <c r="HR30" s="525"/>
      <c r="HS30" s="525"/>
      <c r="HT30" s="525"/>
      <c r="HU30" s="525"/>
      <c r="HV30" s="525"/>
      <c r="HW30" s="525"/>
      <c r="HX30" s="525"/>
      <c r="HY30" s="525"/>
      <c r="HZ30" s="525"/>
      <c r="IA30" s="525"/>
      <c r="IB30" s="525"/>
      <c r="IC30" s="525"/>
    </row>
    <row r="31" s="478" customFormat="1" ht="32" customHeight="1" spans="1:237">
      <c r="A31" s="539">
        <v>45489</v>
      </c>
      <c r="B31" s="540" t="s">
        <v>361</v>
      </c>
      <c r="C31" s="541" t="s">
        <v>91</v>
      </c>
      <c r="D31" s="542">
        <v>4500140268</v>
      </c>
      <c r="E31" s="543" t="s">
        <v>12845</v>
      </c>
      <c r="F31" s="542" t="s">
        <v>12846</v>
      </c>
      <c r="G31" s="499" t="s">
        <v>9419</v>
      </c>
      <c r="H31" s="499" t="s">
        <v>9100</v>
      </c>
      <c r="I31" s="501">
        <v>1480</v>
      </c>
      <c r="J31" s="501">
        <v>0</v>
      </c>
      <c r="K31" s="501">
        <v>8</v>
      </c>
      <c r="L31" s="501">
        <f t="shared" si="0"/>
        <v>185</v>
      </c>
      <c r="M31" s="504">
        <v>45534</v>
      </c>
      <c r="N31" s="504">
        <v>45530</v>
      </c>
      <c r="O31" s="505" t="s">
        <v>12412</v>
      </c>
      <c r="P31" s="505"/>
      <c r="Q31" s="505"/>
      <c r="R31" s="505"/>
      <c r="S31" s="507"/>
      <c r="T31" s="519"/>
      <c r="U31" s="519"/>
      <c r="V31" s="519"/>
      <c r="W31" s="519"/>
      <c r="X31" s="520" t="s">
        <v>12847</v>
      </c>
      <c r="Y31" s="501" t="s">
        <v>9870</v>
      </c>
      <c r="Z31" s="521">
        <v>4.2475</v>
      </c>
      <c r="AA31" s="522">
        <f t="shared" ref="AA31:AA37" si="30">Z31*I31</f>
        <v>6286.3</v>
      </c>
      <c r="AB31" s="501"/>
      <c r="AC31" s="501"/>
      <c r="AD31" s="501"/>
      <c r="AE31" s="523">
        <f t="shared" ref="AE31:AE37" si="31">I31</f>
        <v>1480</v>
      </c>
      <c r="AF31" s="523"/>
      <c r="AG31" s="523"/>
      <c r="AH31" s="523"/>
      <c r="AI31" s="524">
        <f t="shared" ref="AI31:AI37" si="32">AE31</f>
        <v>1480</v>
      </c>
      <c r="AJ31" s="524"/>
      <c r="AK31" s="524"/>
      <c r="AL31" s="524"/>
      <c r="AM31" s="524"/>
      <c r="AN31" s="524"/>
      <c r="AO31" s="524"/>
      <c r="AP31" s="524"/>
      <c r="AQ31" s="524"/>
      <c r="AR31" s="524"/>
      <c r="AS31" s="524"/>
      <c r="AT31" s="524"/>
      <c r="AU31" s="524"/>
      <c r="AV31" s="524"/>
      <c r="AW31" s="524"/>
      <c r="AX31" s="524"/>
      <c r="AY31" s="524"/>
      <c r="AZ31" s="524"/>
      <c r="BA31" s="524"/>
      <c r="BB31" s="524"/>
      <c r="BC31" s="524">
        <f>I31</f>
        <v>1480</v>
      </c>
      <c r="BD31" s="524"/>
      <c r="BE31" s="524"/>
      <c r="BF31" s="514"/>
      <c r="BG31" s="514"/>
      <c r="BH31" s="514"/>
      <c r="BI31" s="514"/>
      <c r="BJ31" s="514"/>
      <c r="BK31" s="514"/>
      <c r="BL31" s="525"/>
      <c r="BM31" s="525"/>
      <c r="BN31" s="525"/>
      <c r="BO31" s="525"/>
      <c r="BS31" s="99"/>
      <c r="BT31" s="99"/>
      <c r="BU31" s="475"/>
      <c r="BV31" s="475"/>
      <c r="BW31" s="475"/>
      <c r="BX31" s="475"/>
      <c r="BY31" s="475"/>
      <c r="BZ31" s="475"/>
      <c r="CA31" s="475"/>
      <c r="CB31" s="475"/>
      <c r="CC31" s="475"/>
      <c r="CD31" s="475"/>
      <c r="CE31" s="475"/>
      <c r="CF31" s="475"/>
      <c r="CG31" s="475"/>
      <c r="CH31" s="475"/>
      <c r="CI31" s="475"/>
      <c r="CJ31" s="475"/>
      <c r="CK31" s="475"/>
      <c r="CL31" s="475"/>
      <c r="CM31" s="475"/>
      <c r="CN31" s="475"/>
    </row>
    <row r="32" s="478" customFormat="1" ht="32" customHeight="1" spans="1:237">
      <c r="A32" s="539">
        <v>45489</v>
      </c>
      <c r="B32" s="540" t="s">
        <v>361</v>
      </c>
      <c r="C32" s="541" t="s">
        <v>91</v>
      </c>
      <c r="D32" s="542" t="s">
        <v>12383</v>
      </c>
      <c r="E32" s="543" t="s">
        <v>12848</v>
      </c>
      <c r="F32" s="542" t="s">
        <v>12849</v>
      </c>
      <c r="G32" s="499" t="s">
        <v>9431</v>
      </c>
      <c r="H32" s="499" t="s">
        <v>9099</v>
      </c>
      <c r="I32" s="501">
        <v>1592</v>
      </c>
      <c r="J32" s="501">
        <v>0</v>
      </c>
      <c r="K32" s="501">
        <v>8</v>
      </c>
      <c r="L32" s="501">
        <f t="shared" si="0"/>
        <v>199</v>
      </c>
      <c r="M32" s="504">
        <v>45534</v>
      </c>
      <c r="N32" s="504">
        <v>45530</v>
      </c>
      <c r="O32" s="505" t="s">
        <v>12412</v>
      </c>
      <c r="P32" s="505"/>
      <c r="Q32" s="505"/>
      <c r="R32" s="505"/>
      <c r="S32" s="507"/>
      <c r="T32" s="519"/>
      <c r="U32" s="519"/>
      <c r="V32" s="519"/>
      <c r="W32" s="519"/>
      <c r="X32" s="520" t="s">
        <v>12847</v>
      </c>
      <c r="Y32" s="501" t="s">
        <v>9870</v>
      </c>
      <c r="Z32" s="521">
        <v>4.2475</v>
      </c>
      <c r="AA32" s="522">
        <f t="shared" si="30"/>
        <v>6762.02</v>
      </c>
      <c r="AB32" s="501"/>
      <c r="AC32" s="501"/>
      <c r="AD32" s="501"/>
      <c r="AE32" s="523">
        <f t="shared" si="31"/>
        <v>1592</v>
      </c>
      <c r="AF32" s="523"/>
      <c r="AG32" s="523"/>
      <c r="AH32" s="523"/>
      <c r="AI32" s="524">
        <f t="shared" si="32"/>
        <v>1592</v>
      </c>
      <c r="AJ32" s="524"/>
      <c r="AK32" s="524"/>
      <c r="AL32" s="524"/>
      <c r="AM32" s="524"/>
      <c r="AN32" s="524"/>
      <c r="AO32" s="524"/>
      <c r="AP32" s="524"/>
      <c r="AQ32" s="524"/>
      <c r="AR32" s="524"/>
      <c r="AS32" s="524"/>
      <c r="AT32" s="524"/>
      <c r="AU32" s="524"/>
      <c r="AV32" s="524"/>
      <c r="AW32" s="524"/>
      <c r="AX32" s="524"/>
      <c r="AY32" s="524"/>
      <c r="AZ32" s="524"/>
      <c r="BA32" s="524"/>
      <c r="BB32" s="524">
        <f>I32</f>
        <v>1592</v>
      </c>
      <c r="BC32" s="524"/>
      <c r="BD32" s="524"/>
      <c r="BE32" s="524"/>
      <c r="BF32" s="514"/>
      <c r="BG32" s="514"/>
      <c r="BH32" s="514"/>
      <c r="BI32" s="514"/>
      <c r="BJ32" s="514"/>
      <c r="BK32" s="514"/>
      <c r="BL32" s="525"/>
      <c r="BM32" s="525"/>
      <c r="BN32" s="525"/>
      <c r="BO32" s="525"/>
      <c r="BS32" s="99"/>
      <c r="BT32" s="99"/>
      <c r="BU32" s="475"/>
      <c r="BV32" s="475"/>
      <c r="BW32" s="475"/>
      <c r="BX32" s="475"/>
      <c r="BY32" s="475"/>
      <c r="BZ32" s="475"/>
      <c r="CA32" s="475"/>
      <c r="CB32" s="475"/>
      <c r="CC32" s="475"/>
      <c r="CD32" s="475"/>
      <c r="CE32" s="475"/>
      <c r="CF32" s="475"/>
      <c r="CG32" s="475"/>
      <c r="CH32" s="475"/>
      <c r="CI32" s="475"/>
      <c r="CJ32" s="475"/>
      <c r="CK32" s="475"/>
      <c r="CL32" s="475"/>
      <c r="CM32" s="475"/>
      <c r="CN32" s="475"/>
    </row>
    <row r="33" s="478" customFormat="1" ht="32" customHeight="1" spans="1:245">
      <c r="A33" s="539">
        <v>45489</v>
      </c>
      <c r="B33" s="540" t="s">
        <v>361</v>
      </c>
      <c r="C33" s="541" t="s">
        <v>91</v>
      </c>
      <c r="D33" s="542" t="s">
        <v>12383</v>
      </c>
      <c r="E33" s="543" t="s">
        <v>12850</v>
      </c>
      <c r="F33" s="542" t="s">
        <v>12851</v>
      </c>
      <c r="G33" s="499" t="s">
        <v>9431</v>
      </c>
      <c r="H33" s="499" t="s">
        <v>9099</v>
      </c>
      <c r="I33" s="501">
        <v>104</v>
      </c>
      <c r="J33" s="501">
        <v>0</v>
      </c>
      <c r="K33" s="501">
        <v>8</v>
      </c>
      <c r="L33" s="501">
        <f t="shared" si="0"/>
        <v>13</v>
      </c>
      <c r="M33" s="504">
        <v>45534</v>
      </c>
      <c r="N33" s="504">
        <v>45530</v>
      </c>
      <c r="O33" s="505" t="s">
        <v>12412</v>
      </c>
      <c r="P33" s="505"/>
      <c r="Q33" s="505"/>
      <c r="R33" s="505"/>
      <c r="S33" s="507"/>
      <c r="T33" s="519"/>
      <c r="U33" s="519"/>
      <c r="V33" s="519"/>
      <c r="W33" s="519"/>
      <c r="X33" s="520" t="s">
        <v>12847</v>
      </c>
      <c r="Y33" s="501" t="s">
        <v>9870</v>
      </c>
      <c r="Z33" s="521">
        <v>4.2475</v>
      </c>
      <c r="AA33" s="522">
        <f t="shared" si="30"/>
        <v>441.74</v>
      </c>
      <c r="AB33" s="501"/>
      <c r="AC33" s="501"/>
      <c r="AD33" s="501"/>
      <c r="AE33" s="523">
        <f t="shared" si="31"/>
        <v>104</v>
      </c>
      <c r="AF33" s="523"/>
      <c r="AG33" s="523"/>
      <c r="AH33" s="523"/>
      <c r="AI33" s="524">
        <f t="shared" si="32"/>
        <v>104</v>
      </c>
      <c r="AJ33" s="524"/>
      <c r="AK33" s="524"/>
      <c r="AL33" s="524"/>
      <c r="AM33" s="524"/>
      <c r="AN33" s="524"/>
      <c r="AO33" s="524"/>
      <c r="AP33" s="524"/>
      <c r="AQ33" s="524"/>
      <c r="AR33" s="524"/>
      <c r="AS33" s="524"/>
      <c r="AT33" s="524"/>
      <c r="AU33" s="524"/>
      <c r="AV33" s="524"/>
      <c r="AW33" s="524"/>
      <c r="AX33" s="524"/>
      <c r="AY33" s="524"/>
      <c r="AZ33" s="524"/>
      <c r="BA33" s="524"/>
      <c r="BB33" s="524">
        <f>I33</f>
        <v>104</v>
      </c>
      <c r="BC33" s="524"/>
      <c r="BD33" s="524"/>
      <c r="BE33" s="524"/>
      <c r="BF33" s="514"/>
      <c r="BG33" s="514"/>
      <c r="BH33" s="514"/>
      <c r="BI33" s="514"/>
      <c r="BJ33" s="514"/>
      <c r="BK33" s="514"/>
      <c r="BL33" s="525"/>
      <c r="BM33" s="525"/>
      <c r="BN33" s="525"/>
      <c r="BO33" s="525"/>
      <c r="BS33" s="99"/>
      <c r="BT33" s="99"/>
      <c r="BU33" s="475"/>
      <c r="BV33" s="475"/>
      <c r="BW33" s="475"/>
      <c r="BX33" s="475"/>
      <c r="BY33" s="475"/>
      <c r="BZ33" s="475"/>
      <c r="CA33" s="475"/>
      <c r="CB33" s="475"/>
      <c r="CC33" s="475"/>
      <c r="CD33" s="475"/>
      <c r="CE33" s="475"/>
      <c r="CF33" s="475"/>
      <c r="CG33" s="475"/>
      <c r="CH33" s="475"/>
      <c r="CI33" s="475"/>
      <c r="CJ33" s="475"/>
      <c r="CK33" s="475"/>
      <c r="CL33" s="475"/>
      <c r="CM33" s="475"/>
      <c r="CN33" s="475"/>
    </row>
    <row r="34" s="478" customFormat="1" ht="32" customHeight="1" spans="1:245">
      <c r="A34" s="539">
        <v>45489</v>
      </c>
      <c r="B34" s="540" t="s">
        <v>361</v>
      </c>
      <c r="C34" s="541" t="s">
        <v>91</v>
      </c>
      <c r="D34" s="542" t="s">
        <v>12383</v>
      </c>
      <c r="E34" s="543" t="s">
        <v>12852</v>
      </c>
      <c r="F34" s="542" t="s">
        <v>12853</v>
      </c>
      <c r="G34" s="499" t="s">
        <v>9255</v>
      </c>
      <c r="H34" s="499" t="s">
        <v>9098</v>
      </c>
      <c r="I34" s="501">
        <v>1368</v>
      </c>
      <c r="J34" s="501">
        <v>0</v>
      </c>
      <c r="K34" s="501">
        <v>8</v>
      </c>
      <c r="L34" s="501">
        <f t="shared" si="0"/>
        <v>171</v>
      </c>
      <c r="M34" s="504">
        <v>45534</v>
      </c>
      <c r="N34" s="504">
        <v>45530</v>
      </c>
      <c r="O34" s="505" t="s">
        <v>12412</v>
      </c>
      <c r="P34" s="505"/>
      <c r="Q34" s="505"/>
      <c r="R34" s="505"/>
      <c r="S34" s="507"/>
      <c r="T34" s="519"/>
      <c r="U34" s="519"/>
      <c r="V34" s="519"/>
      <c r="W34" s="519"/>
      <c r="X34" s="520" t="s">
        <v>12847</v>
      </c>
      <c r="Y34" s="501" t="s">
        <v>9870</v>
      </c>
      <c r="Z34" s="521">
        <v>4.2475</v>
      </c>
      <c r="AA34" s="522">
        <f t="shared" si="30"/>
        <v>5810.58</v>
      </c>
      <c r="AB34" s="501"/>
      <c r="AC34" s="501"/>
      <c r="AD34" s="501"/>
      <c r="AE34" s="523">
        <f t="shared" si="31"/>
        <v>1368</v>
      </c>
      <c r="AF34" s="523"/>
      <c r="AG34" s="523"/>
      <c r="AH34" s="523"/>
      <c r="AI34" s="524">
        <f t="shared" si="32"/>
        <v>1368</v>
      </c>
      <c r="AJ34" s="524"/>
      <c r="AK34" s="524"/>
      <c r="AL34" s="524"/>
      <c r="AM34" s="524"/>
      <c r="AN34" s="524"/>
      <c r="AO34" s="524"/>
      <c r="AP34" s="524"/>
      <c r="AQ34" s="524"/>
      <c r="AR34" s="524"/>
      <c r="AS34" s="524"/>
      <c r="AT34" s="524"/>
      <c r="AU34" s="524"/>
      <c r="AV34" s="524"/>
      <c r="AW34" s="524"/>
      <c r="AX34" s="524"/>
      <c r="AY34" s="524"/>
      <c r="AZ34" s="524"/>
      <c r="BA34" s="524">
        <f>I34</f>
        <v>1368</v>
      </c>
      <c r="BB34" s="524"/>
      <c r="BC34" s="524"/>
      <c r="BD34" s="524"/>
      <c r="BE34" s="524"/>
      <c r="BF34" s="514"/>
      <c r="BG34" s="514"/>
      <c r="BH34" s="514"/>
      <c r="BI34" s="514"/>
      <c r="BJ34" s="514"/>
      <c r="BK34" s="514"/>
      <c r="BL34" s="525"/>
      <c r="BM34" s="525"/>
      <c r="BN34" s="525"/>
      <c r="BO34" s="525"/>
      <c r="BS34" s="99"/>
      <c r="BT34" s="99"/>
      <c r="BU34" s="475"/>
      <c r="BV34" s="475"/>
      <c r="BW34" s="475"/>
      <c r="BX34" s="475"/>
      <c r="BY34" s="475"/>
      <c r="BZ34" s="475"/>
      <c r="CA34" s="475"/>
      <c r="CB34" s="475"/>
      <c r="CC34" s="475"/>
      <c r="CD34" s="475"/>
      <c r="CE34" s="475"/>
      <c r="CF34" s="475"/>
      <c r="CG34" s="475"/>
      <c r="CH34" s="475"/>
      <c r="CI34" s="475"/>
      <c r="CJ34" s="475"/>
      <c r="CK34" s="475"/>
      <c r="CL34" s="475"/>
      <c r="CM34" s="475"/>
      <c r="CN34" s="475"/>
    </row>
    <row r="35" s="478" customFormat="1" ht="32" customHeight="1" spans="1:245">
      <c r="A35" s="539">
        <v>45489</v>
      </c>
      <c r="B35" s="540" t="s">
        <v>361</v>
      </c>
      <c r="C35" s="541" t="s">
        <v>91</v>
      </c>
      <c r="D35" s="542" t="s">
        <v>12383</v>
      </c>
      <c r="E35" s="543" t="s">
        <v>12854</v>
      </c>
      <c r="F35" s="542" t="s">
        <v>12855</v>
      </c>
      <c r="G35" s="499" t="s">
        <v>9424</v>
      </c>
      <c r="H35" s="499" t="s">
        <v>8571</v>
      </c>
      <c r="I35" s="501">
        <v>800</v>
      </c>
      <c r="J35" s="501">
        <v>0</v>
      </c>
      <c r="K35" s="501">
        <v>8</v>
      </c>
      <c r="L35" s="501">
        <f t="shared" si="0"/>
        <v>100</v>
      </c>
      <c r="M35" s="504">
        <v>45534</v>
      </c>
      <c r="N35" s="504">
        <v>45530</v>
      </c>
      <c r="O35" s="505" t="s">
        <v>12412</v>
      </c>
      <c r="P35" s="505"/>
      <c r="Q35" s="505"/>
      <c r="R35" s="505"/>
      <c r="S35" s="507"/>
      <c r="T35" s="519"/>
      <c r="U35" s="519"/>
      <c r="V35" s="519"/>
      <c r="W35" s="519"/>
      <c r="X35" s="520" t="s">
        <v>12847</v>
      </c>
      <c r="Y35" s="501" t="s">
        <v>9870</v>
      </c>
      <c r="Z35" s="521">
        <v>4.2475</v>
      </c>
      <c r="AA35" s="522">
        <f t="shared" si="30"/>
        <v>3398</v>
      </c>
      <c r="AB35" s="501"/>
      <c r="AC35" s="501"/>
      <c r="AD35" s="501"/>
      <c r="AE35" s="523">
        <f t="shared" si="31"/>
        <v>800</v>
      </c>
      <c r="AF35" s="523"/>
      <c r="AG35" s="523"/>
      <c r="AH35" s="523"/>
      <c r="AI35" s="524">
        <f t="shared" si="32"/>
        <v>800</v>
      </c>
      <c r="AJ35" s="524"/>
      <c r="AK35" s="524"/>
      <c r="AL35" s="524"/>
      <c r="AM35" s="524"/>
      <c r="AN35" s="524"/>
      <c r="AO35" s="524"/>
      <c r="AP35" s="524"/>
      <c r="AQ35" s="524"/>
      <c r="AR35" s="524"/>
      <c r="AS35" s="524"/>
      <c r="AT35" s="524"/>
      <c r="AU35" s="524"/>
      <c r="AV35" s="524"/>
      <c r="AW35" s="524"/>
      <c r="AX35" s="524"/>
      <c r="AY35" s="524"/>
      <c r="AZ35" s="524"/>
      <c r="BA35" s="524"/>
      <c r="BB35" s="524"/>
      <c r="BC35" s="524"/>
      <c r="BD35" s="524">
        <f>I35</f>
        <v>800</v>
      </c>
      <c r="BE35" s="524"/>
      <c r="BF35" s="514"/>
      <c r="BG35" s="514"/>
      <c r="BH35" s="514"/>
      <c r="BI35" s="514"/>
      <c r="BJ35" s="514"/>
      <c r="BK35" s="514"/>
      <c r="BL35" s="525"/>
      <c r="BM35" s="525"/>
      <c r="BN35" s="525"/>
      <c r="BO35" s="525"/>
      <c r="BS35" s="99"/>
      <c r="BT35" s="99"/>
      <c r="BU35" s="475"/>
      <c r="BV35" s="475"/>
      <c r="BW35" s="475"/>
      <c r="BX35" s="475"/>
      <c r="BY35" s="475"/>
      <c r="BZ35" s="475"/>
      <c r="CA35" s="475"/>
      <c r="CB35" s="475"/>
      <c r="CC35" s="475"/>
      <c r="CD35" s="475"/>
      <c r="CE35" s="475"/>
      <c r="CF35" s="475"/>
      <c r="CG35" s="475"/>
      <c r="CH35" s="475"/>
      <c r="CI35" s="475"/>
      <c r="CJ35" s="475"/>
      <c r="CK35" s="475"/>
      <c r="CL35" s="475"/>
      <c r="CM35" s="475"/>
      <c r="CN35" s="475"/>
    </row>
    <row r="36" s="478" customFormat="1" ht="32" customHeight="1" spans="1:245">
      <c r="A36" s="539">
        <v>45489</v>
      </c>
      <c r="B36" s="540" t="s">
        <v>361</v>
      </c>
      <c r="C36" s="541" t="s">
        <v>91</v>
      </c>
      <c r="D36" s="542" t="s">
        <v>12383</v>
      </c>
      <c r="E36" s="543" t="s">
        <v>12856</v>
      </c>
      <c r="F36" s="542" t="s">
        <v>12857</v>
      </c>
      <c r="G36" s="499" t="s">
        <v>9255</v>
      </c>
      <c r="H36" s="499" t="s">
        <v>9098</v>
      </c>
      <c r="I36" s="501">
        <v>120</v>
      </c>
      <c r="J36" s="501">
        <v>0</v>
      </c>
      <c r="K36" s="501">
        <v>8</v>
      </c>
      <c r="L36" s="501">
        <f t="shared" si="0"/>
        <v>15</v>
      </c>
      <c r="M36" s="504">
        <v>45534</v>
      </c>
      <c r="N36" s="504">
        <v>45530</v>
      </c>
      <c r="O36" s="505" t="s">
        <v>12412</v>
      </c>
      <c r="P36" s="505"/>
      <c r="Q36" s="505"/>
      <c r="R36" s="505"/>
      <c r="S36" s="507"/>
      <c r="T36" s="519"/>
      <c r="U36" s="519"/>
      <c r="V36" s="519"/>
      <c r="W36" s="519"/>
      <c r="X36" s="520" t="s">
        <v>12847</v>
      </c>
      <c r="Y36" s="501" t="s">
        <v>9870</v>
      </c>
      <c r="Z36" s="521">
        <v>4.2475</v>
      </c>
      <c r="AA36" s="522">
        <f t="shared" si="30"/>
        <v>509.7</v>
      </c>
      <c r="AB36" s="501"/>
      <c r="AC36" s="501"/>
      <c r="AD36" s="501"/>
      <c r="AE36" s="523">
        <f t="shared" si="31"/>
        <v>120</v>
      </c>
      <c r="AF36" s="523"/>
      <c r="AG36" s="523"/>
      <c r="AH36" s="523"/>
      <c r="AI36" s="524">
        <f t="shared" si="32"/>
        <v>120</v>
      </c>
      <c r="AJ36" s="524"/>
      <c r="AK36" s="524"/>
      <c r="AL36" s="524"/>
      <c r="AM36" s="524"/>
      <c r="AN36" s="524"/>
      <c r="AO36" s="524"/>
      <c r="AP36" s="524"/>
      <c r="AQ36" s="524"/>
      <c r="AR36" s="524"/>
      <c r="AS36" s="524"/>
      <c r="AT36" s="524"/>
      <c r="AU36" s="524"/>
      <c r="AV36" s="524"/>
      <c r="AW36" s="524"/>
      <c r="AX36" s="524"/>
      <c r="AY36" s="524"/>
      <c r="AZ36" s="524"/>
      <c r="BA36" s="524">
        <f>I36</f>
        <v>120</v>
      </c>
      <c r="BB36" s="524"/>
      <c r="BC36" s="524"/>
      <c r="BD36" s="524"/>
      <c r="BE36" s="524"/>
      <c r="BF36" s="514"/>
      <c r="BG36" s="514"/>
      <c r="BH36" s="514"/>
      <c r="BI36" s="514"/>
      <c r="BJ36" s="514"/>
      <c r="BK36" s="514"/>
      <c r="BL36" s="525"/>
      <c r="BM36" s="525"/>
      <c r="BN36" s="525"/>
      <c r="BO36" s="525"/>
      <c r="BS36" s="99"/>
      <c r="BT36" s="99"/>
      <c r="BU36" s="475"/>
      <c r="BV36" s="475"/>
      <c r="BW36" s="475"/>
      <c r="BX36" s="475"/>
      <c r="BY36" s="475"/>
      <c r="BZ36" s="475"/>
      <c r="CA36" s="475"/>
      <c r="CB36" s="475"/>
      <c r="CC36" s="475"/>
      <c r="CD36" s="475"/>
      <c r="CE36" s="475"/>
      <c r="CF36" s="475"/>
      <c r="CG36" s="475"/>
      <c r="CH36" s="475"/>
      <c r="CI36" s="475"/>
      <c r="CJ36" s="475"/>
      <c r="CK36" s="475"/>
      <c r="CL36" s="475"/>
      <c r="CM36" s="475"/>
      <c r="CN36" s="475"/>
    </row>
    <row r="37" s="478" customFormat="1" ht="32" customHeight="1" spans="1:245">
      <c r="A37" s="539">
        <v>45489</v>
      </c>
      <c r="B37" s="540" t="s">
        <v>361</v>
      </c>
      <c r="C37" s="541" t="s">
        <v>91</v>
      </c>
      <c r="D37" s="542" t="s">
        <v>12383</v>
      </c>
      <c r="E37" s="543" t="s">
        <v>12858</v>
      </c>
      <c r="F37" s="542" t="s">
        <v>12859</v>
      </c>
      <c r="G37" s="499" t="s">
        <v>9424</v>
      </c>
      <c r="H37" s="499" t="s">
        <v>8571</v>
      </c>
      <c r="I37" s="501">
        <v>16</v>
      </c>
      <c r="J37" s="501">
        <v>0</v>
      </c>
      <c r="K37" s="501">
        <v>8</v>
      </c>
      <c r="L37" s="501">
        <f t="shared" si="0"/>
        <v>2</v>
      </c>
      <c r="M37" s="504">
        <v>45534</v>
      </c>
      <c r="N37" s="504">
        <v>45530</v>
      </c>
      <c r="O37" s="505" t="s">
        <v>12412</v>
      </c>
      <c r="P37" s="505"/>
      <c r="Q37" s="505"/>
      <c r="R37" s="505"/>
      <c r="S37" s="507"/>
      <c r="T37" s="519"/>
      <c r="U37" s="519"/>
      <c r="V37" s="519"/>
      <c r="W37" s="519"/>
      <c r="X37" s="520" t="s">
        <v>12847</v>
      </c>
      <c r="Y37" s="501" t="s">
        <v>9870</v>
      </c>
      <c r="Z37" s="521">
        <v>4.2475</v>
      </c>
      <c r="AA37" s="522">
        <f t="shared" si="30"/>
        <v>67.96</v>
      </c>
      <c r="AB37" s="501"/>
      <c r="AC37" s="501"/>
      <c r="AD37" s="501"/>
      <c r="AE37" s="523">
        <f t="shared" si="31"/>
        <v>16</v>
      </c>
      <c r="AF37" s="523"/>
      <c r="AG37" s="523"/>
      <c r="AH37" s="523"/>
      <c r="AI37" s="524">
        <f t="shared" si="32"/>
        <v>16</v>
      </c>
      <c r="AJ37" s="524"/>
      <c r="AK37" s="524"/>
      <c r="AL37" s="524"/>
      <c r="AM37" s="524"/>
      <c r="AN37" s="524"/>
      <c r="AO37" s="524"/>
      <c r="AP37" s="524"/>
      <c r="AQ37" s="524"/>
      <c r="AR37" s="524"/>
      <c r="AS37" s="524"/>
      <c r="AT37" s="524"/>
      <c r="AU37" s="524"/>
      <c r="AV37" s="524"/>
      <c r="AW37" s="524"/>
      <c r="AX37" s="524"/>
      <c r="AY37" s="524"/>
      <c r="AZ37" s="524"/>
      <c r="BA37" s="524"/>
      <c r="BB37" s="524"/>
      <c r="BC37" s="524"/>
      <c r="BD37" s="524">
        <f>I37</f>
        <v>16</v>
      </c>
      <c r="BE37" s="524"/>
      <c r="BF37" s="514"/>
      <c r="BG37" s="514"/>
      <c r="BH37" s="514"/>
      <c r="BI37" s="514"/>
      <c r="BJ37" s="514"/>
      <c r="BK37" s="514"/>
      <c r="BL37" s="525"/>
      <c r="BM37" s="525"/>
      <c r="BN37" s="525"/>
      <c r="BO37" s="525"/>
      <c r="BS37" s="99"/>
      <c r="BT37" s="99"/>
      <c r="BU37" s="475"/>
      <c r="BV37" s="475"/>
      <c r="BW37" s="475"/>
      <c r="BX37" s="475"/>
      <c r="BY37" s="475"/>
      <c r="BZ37" s="475"/>
      <c r="CA37" s="475"/>
      <c r="CB37" s="475"/>
      <c r="CC37" s="475"/>
      <c r="CD37" s="475"/>
      <c r="CE37" s="475"/>
      <c r="CF37" s="475"/>
      <c r="CG37" s="475"/>
      <c r="CH37" s="475"/>
      <c r="CI37" s="475"/>
      <c r="CJ37" s="475"/>
      <c r="CK37" s="475"/>
      <c r="CL37" s="475"/>
      <c r="CM37" s="475"/>
      <c r="CN37" s="475"/>
    </row>
    <row r="38" s="477" customFormat="1" ht="32" customHeight="1" spans="1:245">
      <c r="A38" s="539">
        <v>45489</v>
      </c>
      <c r="B38" s="540" t="s">
        <v>361</v>
      </c>
      <c r="C38" s="541" t="s">
        <v>91</v>
      </c>
      <c r="D38" s="542">
        <v>4500140268</v>
      </c>
      <c r="E38" s="543" t="s">
        <v>12860</v>
      </c>
      <c r="F38" s="542" t="s">
        <v>12861</v>
      </c>
      <c r="G38" s="530" t="s">
        <v>10202</v>
      </c>
      <c r="H38" s="499" t="s">
        <v>10203</v>
      </c>
      <c r="I38" s="502">
        <v>1964</v>
      </c>
      <c r="J38" s="502">
        <v>1</v>
      </c>
      <c r="K38" s="502">
        <v>2</v>
      </c>
      <c r="L38" s="502">
        <f t="shared" si="0"/>
        <v>982</v>
      </c>
      <c r="M38" s="503">
        <v>45534</v>
      </c>
      <c r="N38" s="503">
        <v>45530</v>
      </c>
      <c r="O38" s="505" t="s">
        <v>12412</v>
      </c>
      <c r="P38" s="506"/>
      <c r="Q38" s="506"/>
      <c r="R38" s="507"/>
      <c r="S38" s="519"/>
      <c r="T38" s="519"/>
      <c r="U38" s="507"/>
      <c r="V38" s="507"/>
      <c r="W38" s="538" t="s">
        <v>12862</v>
      </c>
      <c r="X38" s="502" t="s">
        <v>9870</v>
      </c>
      <c r="Y38" s="509">
        <v>7.6833</v>
      </c>
      <c r="Z38" s="510">
        <f>Y38*I38</f>
        <v>15090.0012</v>
      </c>
      <c r="AA38" s="502"/>
      <c r="AB38" s="502"/>
      <c r="AC38" s="501"/>
      <c r="AD38" s="511">
        <f>I38</f>
        <v>1964</v>
      </c>
      <c r="AE38" s="511"/>
      <c r="AF38" s="511"/>
      <c r="AG38" s="511"/>
      <c r="AH38" s="512">
        <f t="shared" ref="AH38:AH43" si="33">I38</f>
        <v>1964</v>
      </c>
      <c r="AI38" s="512"/>
      <c r="AJ38" s="512"/>
      <c r="AK38" s="512"/>
      <c r="AL38" s="512"/>
      <c r="AM38" s="512"/>
      <c r="AN38" s="512"/>
      <c r="AO38" s="512"/>
      <c r="AP38" s="512"/>
      <c r="AQ38" s="512"/>
      <c r="AR38" s="512"/>
      <c r="AS38" s="512"/>
      <c r="AT38" s="512"/>
      <c r="AU38" s="512"/>
      <c r="AV38" s="512"/>
      <c r="AW38" s="512"/>
      <c r="AX38" s="512"/>
      <c r="AY38" s="512"/>
      <c r="AZ38" s="512"/>
      <c r="BA38" s="512"/>
      <c r="BB38" s="512"/>
      <c r="BC38" s="512"/>
      <c r="BD38" s="512"/>
      <c r="BE38" s="512">
        <f t="shared" ref="BE38:BE43" si="34">I38</f>
        <v>1964</v>
      </c>
      <c r="BF38" s="512">
        <f>I38</f>
        <v>1964</v>
      </c>
      <c r="BG38" s="515"/>
      <c r="BH38" s="512"/>
      <c r="BI38" s="514"/>
      <c r="BJ38" s="514"/>
      <c r="BK38" s="515"/>
      <c r="BL38" s="515"/>
      <c r="BM38" s="515"/>
      <c r="BN38" s="515"/>
      <c r="BO38" s="515"/>
      <c r="BP38" s="515"/>
      <c r="BQ38" s="515"/>
      <c r="BR38" s="545"/>
      <c r="BS38" s="99"/>
      <c r="BT38" s="99"/>
      <c r="BU38" s="475"/>
      <c r="BV38" s="475"/>
      <c r="BW38" s="475"/>
      <c r="BX38" s="475"/>
      <c r="BY38" s="475"/>
      <c r="BZ38" s="475"/>
      <c r="CA38" s="475"/>
      <c r="CB38" s="475"/>
      <c r="CC38" s="475"/>
      <c r="CD38" s="475"/>
      <c r="CE38" s="475"/>
      <c r="CF38" s="475"/>
      <c r="CG38" s="475"/>
      <c r="CH38" s="475"/>
      <c r="CI38" s="475"/>
      <c r="CJ38" s="475"/>
      <c r="CK38" s="475"/>
      <c r="CL38" s="475"/>
      <c r="CM38" s="475"/>
      <c r="CN38" s="475"/>
      <c r="CO38" s="525"/>
      <c r="CP38" s="525"/>
      <c r="CQ38" s="525"/>
      <c r="CR38" s="525"/>
      <c r="CS38" s="525"/>
      <c r="CT38" s="525"/>
      <c r="CU38" s="525"/>
      <c r="CV38" s="525"/>
      <c r="CW38" s="525"/>
      <c r="CX38" s="525"/>
      <c r="CY38" s="525"/>
      <c r="CZ38" s="525"/>
      <c r="DA38" s="525"/>
      <c r="DB38" s="525"/>
      <c r="DC38" s="525"/>
      <c r="DD38" s="525"/>
      <c r="DE38" s="525"/>
      <c r="DF38" s="525"/>
      <c r="DG38" s="525"/>
      <c r="DH38" s="525"/>
      <c r="DI38" s="525"/>
      <c r="DJ38" s="525"/>
      <c r="DK38" s="525"/>
      <c r="DL38" s="525"/>
      <c r="DM38" s="525"/>
      <c r="DN38" s="525"/>
      <c r="DO38" s="525"/>
      <c r="DP38" s="525"/>
      <c r="DQ38" s="525"/>
      <c r="DR38" s="525"/>
      <c r="DS38" s="525"/>
      <c r="DT38" s="525"/>
      <c r="DU38" s="525"/>
      <c r="DV38" s="525"/>
      <c r="DW38" s="525"/>
      <c r="DX38" s="525"/>
      <c r="DY38" s="525"/>
      <c r="DZ38" s="525"/>
      <c r="EA38" s="525"/>
      <c r="EB38" s="525"/>
      <c r="EC38" s="525"/>
      <c r="ED38" s="525"/>
      <c r="EE38" s="525"/>
      <c r="EF38" s="525"/>
      <c r="EG38" s="525"/>
      <c r="EH38" s="525"/>
      <c r="EI38" s="525"/>
      <c r="EJ38" s="525"/>
      <c r="EK38" s="525"/>
      <c r="EL38" s="525"/>
      <c r="EM38" s="525"/>
      <c r="EN38" s="525"/>
      <c r="EO38" s="525"/>
      <c r="EP38" s="525"/>
      <c r="EQ38" s="525"/>
      <c r="ER38" s="525"/>
      <c r="ES38" s="525"/>
      <c r="ET38" s="525"/>
      <c r="EU38" s="525"/>
      <c r="EV38" s="525"/>
      <c r="EW38" s="525"/>
      <c r="EX38" s="525"/>
      <c r="EY38" s="525"/>
      <c r="EZ38" s="525"/>
      <c r="FA38" s="525"/>
      <c r="FB38" s="525"/>
      <c r="FC38" s="525"/>
      <c r="FD38" s="525"/>
      <c r="FE38" s="525"/>
      <c r="FF38" s="525"/>
      <c r="FG38" s="525"/>
      <c r="FH38" s="525"/>
      <c r="FI38" s="525"/>
      <c r="FJ38" s="525"/>
      <c r="FK38" s="525"/>
      <c r="FL38" s="525"/>
      <c r="FM38" s="525"/>
      <c r="FN38" s="525"/>
      <c r="FO38" s="525"/>
      <c r="FP38" s="525"/>
      <c r="FQ38" s="525"/>
      <c r="FR38" s="525"/>
      <c r="FS38" s="525"/>
      <c r="FT38" s="525"/>
      <c r="FU38" s="525"/>
      <c r="FV38" s="525"/>
      <c r="FW38" s="525"/>
      <c r="FX38" s="525"/>
      <c r="FY38" s="525"/>
      <c r="FZ38" s="525"/>
      <c r="GA38" s="525"/>
      <c r="GB38" s="525"/>
      <c r="GC38" s="525"/>
      <c r="GD38" s="525"/>
      <c r="GE38" s="525"/>
      <c r="GF38" s="525"/>
      <c r="GG38" s="525"/>
      <c r="GH38" s="525"/>
      <c r="GI38" s="525"/>
      <c r="GJ38" s="525"/>
      <c r="GK38" s="525"/>
      <c r="GL38" s="525"/>
      <c r="GM38" s="525"/>
      <c r="GN38" s="525"/>
      <c r="GO38" s="525"/>
      <c r="GP38" s="525"/>
      <c r="GQ38" s="525"/>
      <c r="GR38" s="525"/>
      <c r="GS38" s="525"/>
      <c r="GT38" s="525"/>
      <c r="GU38" s="525"/>
      <c r="GV38" s="525"/>
      <c r="GW38" s="525"/>
      <c r="GX38" s="525"/>
      <c r="GY38" s="525"/>
      <c r="GZ38" s="525"/>
      <c r="HA38" s="525"/>
      <c r="HB38" s="525"/>
      <c r="HC38" s="525"/>
      <c r="HD38" s="525"/>
      <c r="HE38" s="525"/>
      <c r="HF38" s="525"/>
      <c r="HG38" s="525"/>
      <c r="HH38" s="525"/>
      <c r="HI38" s="525"/>
      <c r="HJ38" s="525"/>
      <c r="HK38" s="525"/>
      <c r="HL38" s="525"/>
      <c r="HM38" s="525"/>
      <c r="HN38" s="525"/>
      <c r="HO38" s="525"/>
      <c r="HP38" s="525"/>
      <c r="HQ38" s="525"/>
      <c r="HR38" s="525"/>
      <c r="HS38" s="525"/>
      <c r="HT38" s="525"/>
      <c r="HU38" s="525"/>
      <c r="HV38" s="525"/>
      <c r="HW38" s="525"/>
      <c r="HX38" s="525"/>
      <c r="HY38" s="525"/>
      <c r="HZ38" s="525"/>
      <c r="IA38" s="525"/>
      <c r="IB38" s="525"/>
      <c r="IC38" s="525"/>
    </row>
    <row r="39" s="477" customFormat="1" ht="32" customHeight="1" spans="1:245">
      <c r="A39" s="539">
        <v>45489</v>
      </c>
      <c r="B39" s="540" t="s">
        <v>361</v>
      </c>
      <c r="C39" s="541" t="s">
        <v>91</v>
      </c>
      <c r="D39" s="542" t="s">
        <v>12383</v>
      </c>
      <c r="E39" s="543" t="s">
        <v>12863</v>
      </c>
      <c r="F39" s="542" t="s">
        <v>12864</v>
      </c>
      <c r="G39" s="530" t="s">
        <v>10202</v>
      </c>
      <c r="H39" s="499" t="s">
        <v>10203</v>
      </c>
      <c r="I39" s="502">
        <v>3130</v>
      </c>
      <c r="J39" s="502">
        <v>1</v>
      </c>
      <c r="K39" s="502">
        <v>2</v>
      </c>
      <c r="L39" s="502">
        <f t="shared" si="0"/>
        <v>1565</v>
      </c>
      <c r="M39" s="503">
        <v>45534</v>
      </c>
      <c r="N39" s="503">
        <v>45530</v>
      </c>
      <c r="O39" s="505" t="s">
        <v>12412</v>
      </c>
      <c r="P39" s="506"/>
      <c r="Q39" s="506"/>
      <c r="R39" s="507"/>
      <c r="S39" s="519"/>
      <c r="T39" s="519"/>
      <c r="U39" s="507"/>
      <c r="V39" s="507"/>
      <c r="W39" s="538" t="s">
        <v>12862</v>
      </c>
      <c r="X39" s="502" t="s">
        <v>9870</v>
      </c>
      <c r="Y39" s="509">
        <v>7.6833</v>
      </c>
      <c r="Z39" s="510">
        <f>Y39*I39</f>
        <v>24048.729</v>
      </c>
      <c r="AA39" s="502"/>
      <c r="AB39" s="502"/>
      <c r="AC39" s="501"/>
      <c r="AD39" s="511">
        <f>I39</f>
        <v>3130</v>
      </c>
      <c r="AE39" s="511"/>
      <c r="AF39" s="511"/>
      <c r="AG39" s="511"/>
      <c r="AH39" s="512">
        <f t="shared" si="33"/>
        <v>3130</v>
      </c>
      <c r="AI39" s="512"/>
      <c r="AJ39" s="512"/>
      <c r="AK39" s="512"/>
      <c r="AL39" s="512"/>
      <c r="AM39" s="512"/>
      <c r="AN39" s="512"/>
      <c r="AO39" s="512"/>
      <c r="AP39" s="512"/>
      <c r="AQ39" s="512"/>
      <c r="AR39" s="512"/>
      <c r="AS39" s="512"/>
      <c r="AT39" s="512"/>
      <c r="AU39" s="512"/>
      <c r="AV39" s="512"/>
      <c r="AW39" s="512"/>
      <c r="AX39" s="512"/>
      <c r="AY39" s="512"/>
      <c r="AZ39" s="512"/>
      <c r="BA39" s="512"/>
      <c r="BB39" s="512"/>
      <c r="BC39" s="512"/>
      <c r="BD39" s="512"/>
      <c r="BE39" s="512">
        <f t="shared" si="34"/>
        <v>3130</v>
      </c>
      <c r="BF39" s="512">
        <f>I39</f>
        <v>3130</v>
      </c>
      <c r="BG39" s="515"/>
      <c r="BH39" s="512"/>
      <c r="BI39" s="514"/>
      <c r="BJ39" s="514"/>
      <c r="BK39" s="515"/>
      <c r="BL39" s="515"/>
      <c r="BM39" s="515"/>
      <c r="BN39" s="515"/>
      <c r="BO39" s="515"/>
      <c r="BP39" s="515"/>
      <c r="BQ39" s="515"/>
      <c r="BR39" s="545"/>
      <c r="BS39" s="99"/>
      <c r="BT39" s="99"/>
      <c r="BU39" s="475"/>
      <c r="BV39" s="475"/>
      <c r="BW39" s="475"/>
      <c r="BX39" s="475"/>
      <c r="BY39" s="475"/>
      <c r="BZ39" s="475"/>
      <c r="CA39" s="475"/>
      <c r="CB39" s="475"/>
      <c r="CC39" s="475"/>
      <c r="CD39" s="475"/>
      <c r="CE39" s="475"/>
      <c r="CF39" s="475"/>
      <c r="CG39" s="475"/>
      <c r="CH39" s="475"/>
      <c r="CI39" s="475"/>
      <c r="CJ39" s="475"/>
      <c r="CK39" s="475"/>
      <c r="CL39" s="475"/>
      <c r="CM39" s="475"/>
      <c r="CN39" s="475"/>
      <c r="CO39" s="525"/>
      <c r="CP39" s="525"/>
      <c r="CQ39" s="525"/>
      <c r="CR39" s="525"/>
      <c r="CS39" s="525"/>
      <c r="CT39" s="525"/>
      <c r="CU39" s="525"/>
      <c r="CV39" s="525"/>
      <c r="CW39" s="525"/>
      <c r="CX39" s="525"/>
      <c r="CY39" s="525"/>
      <c r="CZ39" s="525"/>
      <c r="DA39" s="525"/>
      <c r="DB39" s="525"/>
      <c r="DC39" s="525"/>
      <c r="DD39" s="525"/>
      <c r="DE39" s="525"/>
      <c r="DF39" s="525"/>
      <c r="DG39" s="525"/>
      <c r="DH39" s="525"/>
      <c r="DI39" s="525"/>
      <c r="DJ39" s="525"/>
      <c r="DK39" s="525"/>
      <c r="DL39" s="525"/>
      <c r="DM39" s="525"/>
      <c r="DN39" s="525"/>
      <c r="DO39" s="525"/>
      <c r="DP39" s="525"/>
      <c r="DQ39" s="525"/>
      <c r="DR39" s="525"/>
      <c r="DS39" s="525"/>
      <c r="DT39" s="525"/>
      <c r="DU39" s="525"/>
      <c r="DV39" s="525"/>
      <c r="DW39" s="525"/>
      <c r="DX39" s="525"/>
      <c r="DY39" s="525"/>
      <c r="DZ39" s="525"/>
      <c r="EA39" s="525"/>
      <c r="EB39" s="525"/>
      <c r="EC39" s="525"/>
      <c r="ED39" s="525"/>
      <c r="EE39" s="525"/>
      <c r="EF39" s="525"/>
      <c r="EG39" s="525"/>
      <c r="EH39" s="525"/>
      <c r="EI39" s="525"/>
      <c r="EJ39" s="525"/>
      <c r="EK39" s="525"/>
      <c r="EL39" s="525"/>
      <c r="EM39" s="525"/>
      <c r="EN39" s="525"/>
      <c r="EO39" s="525"/>
      <c r="EP39" s="525"/>
      <c r="EQ39" s="525"/>
      <c r="ER39" s="525"/>
      <c r="ES39" s="525"/>
      <c r="ET39" s="525"/>
      <c r="EU39" s="525"/>
      <c r="EV39" s="525"/>
      <c r="EW39" s="525"/>
      <c r="EX39" s="525"/>
      <c r="EY39" s="525"/>
      <c r="EZ39" s="525"/>
      <c r="FA39" s="525"/>
      <c r="FB39" s="525"/>
      <c r="FC39" s="525"/>
      <c r="FD39" s="525"/>
      <c r="FE39" s="525"/>
      <c r="FF39" s="525"/>
      <c r="FG39" s="525"/>
      <c r="FH39" s="525"/>
      <c r="FI39" s="525"/>
      <c r="FJ39" s="525"/>
      <c r="FK39" s="525"/>
      <c r="FL39" s="525"/>
      <c r="FM39" s="525"/>
      <c r="FN39" s="525"/>
      <c r="FO39" s="525"/>
      <c r="FP39" s="525"/>
      <c r="FQ39" s="525"/>
      <c r="FR39" s="525"/>
      <c r="FS39" s="525"/>
      <c r="FT39" s="525"/>
      <c r="FU39" s="525"/>
      <c r="FV39" s="525"/>
      <c r="FW39" s="525"/>
      <c r="FX39" s="525"/>
      <c r="FY39" s="525"/>
      <c r="FZ39" s="525"/>
      <c r="GA39" s="525"/>
      <c r="GB39" s="525"/>
      <c r="GC39" s="525"/>
      <c r="GD39" s="525"/>
      <c r="GE39" s="525"/>
      <c r="GF39" s="525"/>
      <c r="GG39" s="525"/>
      <c r="GH39" s="525"/>
      <c r="GI39" s="525"/>
      <c r="GJ39" s="525"/>
      <c r="GK39" s="525"/>
      <c r="GL39" s="525"/>
      <c r="GM39" s="525"/>
      <c r="GN39" s="525"/>
      <c r="GO39" s="525"/>
      <c r="GP39" s="525"/>
      <c r="GQ39" s="525"/>
      <c r="GR39" s="525"/>
      <c r="GS39" s="525"/>
      <c r="GT39" s="525"/>
      <c r="GU39" s="525"/>
      <c r="GV39" s="525"/>
      <c r="GW39" s="525"/>
      <c r="GX39" s="525"/>
      <c r="GY39" s="525"/>
      <c r="GZ39" s="525"/>
      <c r="HA39" s="525"/>
      <c r="HB39" s="525"/>
      <c r="HC39" s="525"/>
      <c r="HD39" s="525"/>
      <c r="HE39" s="525"/>
      <c r="HF39" s="525"/>
      <c r="HG39" s="525"/>
      <c r="HH39" s="525"/>
      <c r="HI39" s="525"/>
      <c r="HJ39" s="525"/>
      <c r="HK39" s="525"/>
      <c r="HL39" s="525"/>
      <c r="HM39" s="525"/>
      <c r="HN39" s="525"/>
      <c r="HO39" s="525"/>
      <c r="HP39" s="525"/>
      <c r="HQ39" s="525"/>
      <c r="HR39" s="525"/>
      <c r="HS39" s="525"/>
      <c r="HT39" s="525"/>
      <c r="HU39" s="525"/>
      <c r="HV39" s="525"/>
      <c r="HW39" s="525"/>
      <c r="HX39" s="525"/>
      <c r="HY39" s="525"/>
      <c r="HZ39" s="525"/>
      <c r="IA39" s="525"/>
      <c r="IB39" s="525"/>
      <c r="IC39" s="525"/>
    </row>
    <row r="40" s="478" customFormat="1" ht="32" customHeight="1" spans="1:245">
      <c r="A40" s="539">
        <v>45495</v>
      </c>
      <c r="B40" s="540" t="s">
        <v>505</v>
      </c>
      <c r="C40" s="541" t="s">
        <v>506</v>
      </c>
      <c r="D40" s="542">
        <v>4500140952</v>
      </c>
      <c r="E40" s="543" t="s">
        <v>12865</v>
      </c>
      <c r="F40" s="542" t="s">
        <v>12866</v>
      </c>
      <c r="G40" s="499" t="s">
        <v>9154</v>
      </c>
      <c r="H40" s="499" t="s">
        <v>9155</v>
      </c>
      <c r="I40" s="501">
        <v>1504</v>
      </c>
      <c r="J40" s="501">
        <v>0</v>
      </c>
      <c r="K40" s="501">
        <v>8</v>
      </c>
      <c r="L40" s="501">
        <f t="shared" si="0"/>
        <v>188</v>
      </c>
      <c r="M40" s="504">
        <v>45540</v>
      </c>
      <c r="N40" s="504" t="s">
        <v>12867</v>
      </c>
      <c r="O40" s="505" t="s">
        <v>12412</v>
      </c>
      <c r="P40" s="505"/>
      <c r="Q40" s="505"/>
      <c r="R40" s="505"/>
      <c r="S40" s="507" t="s">
        <v>2532</v>
      </c>
      <c r="T40" s="519" t="s">
        <v>12785</v>
      </c>
      <c r="U40" s="519" t="s">
        <v>12868</v>
      </c>
      <c r="V40" s="519"/>
      <c r="W40" s="519"/>
      <c r="X40" s="520" t="s">
        <v>12869</v>
      </c>
      <c r="Y40" s="501" t="s">
        <v>513</v>
      </c>
      <c r="Z40" s="521">
        <v>4.5774</v>
      </c>
      <c r="AA40" s="522">
        <f t="shared" ref="AA40:AA43" si="35">Z40*I40</f>
        <v>6884.4096</v>
      </c>
      <c r="AB40" s="501"/>
      <c r="AC40" s="501" t="s">
        <v>9154</v>
      </c>
      <c r="AD40" s="501"/>
      <c r="AE40" s="523">
        <f>I40</f>
        <v>1504</v>
      </c>
      <c r="AF40" s="523"/>
      <c r="AG40" s="523"/>
      <c r="AH40" s="523"/>
      <c r="AI40" s="524">
        <f>I40</f>
        <v>1504</v>
      </c>
      <c r="AJ40" s="524"/>
      <c r="AK40" s="524"/>
      <c r="AL40" s="524"/>
      <c r="AM40" s="524">
        <f>I40/4</f>
        <v>376</v>
      </c>
      <c r="AN40" s="524">
        <f t="shared" ref="AN40:AP40" si="36">AM40</f>
        <v>376</v>
      </c>
      <c r="AO40" s="524">
        <f t="shared" si="36"/>
        <v>376</v>
      </c>
      <c r="AP40" s="524">
        <f t="shared" si="36"/>
        <v>376</v>
      </c>
      <c r="AQ40" s="524"/>
      <c r="AR40" s="524"/>
      <c r="AS40" s="524"/>
      <c r="AT40" s="524"/>
      <c r="AU40" s="524"/>
      <c r="AV40" s="524"/>
      <c r="AW40" s="524"/>
      <c r="AX40" s="524">
        <f>I40</f>
        <v>1504</v>
      </c>
      <c r="AY40" s="524"/>
      <c r="AZ40" s="524" t="s">
        <v>9164</v>
      </c>
      <c r="BA40" s="524"/>
      <c r="BB40" s="524">
        <f>I40/4</f>
        <v>376</v>
      </c>
      <c r="BC40" s="524">
        <f>I40/4</f>
        <v>376</v>
      </c>
      <c r="BD40" s="524">
        <f>I40/4</f>
        <v>376</v>
      </c>
      <c r="BE40" s="524">
        <f>I40/4</f>
        <v>376</v>
      </c>
      <c r="BF40" s="524"/>
      <c r="BG40" s="514">
        <f>BB40+BC40+BD40+BE40+BG39</f>
        <v>1504</v>
      </c>
      <c r="BH40" s="514">
        <f t="shared" ref="BH40:BK40" si="37">BH39-BB40</f>
        <v>-376</v>
      </c>
      <c r="BI40" s="514">
        <f t="shared" si="37"/>
        <v>-376</v>
      </c>
      <c r="BJ40" s="514">
        <f t="shared" si="37"/>
        <v>-376</v>
      </c>
      <c r="BK40" s="514">
        <f t="shared" si="37"/>
        <v>-376</v>
      </c>
      <c r="BL40" s="514"/>
      <c r="BM40" s="525"/>
      <c r="BN40" s="525"/>
      <c r="BO40" s="525"/>
      <c r="BP40" s="525"/>
      <c r="BS40" s="99"/>
      <c r="BT40" s="99"/>
      <c r="BU40" s="475"/>
      <c r="BV40" s="475"/>
      <c r="BW40" s="475"/>
      <c r="BX40" s="475"/>
      <c r="BY40" s="475"/>
      <c r="BZ40" s="475"/>
      <c r="CA40" s="475"/>
      <c r="CB40" s="475"/>
      <c r="CC40" s="475"/>
      <c r="CD40" s="475"/>
      <c r="CE40" s="475"/>
      <c r="CF40" s="475"/>
      <c r="CG40" s="475"/>
      <c r="CH40" s="475"/>
      <c r="CI40" s="475"/>
      <c r="CJ40" s="475"/>
      <c r="CK40" s="475"/>
      <c r="CL40" s="475"/>
      <c r="CM40" s="475"/>
      <c r="CN40" s="475"/>
    </row>
    <row r="41" s="478" customFormat="1" ht="32" customHeight="1" spans="1:245">
      <c r="A41" s="539">
        <v>45513</v>
      </c>
      <c r="B41" s="540" t="s">
        <v>12399</v>
      </c>
      <c r="C41" s="541" t="s">
        <v>341</v>
      </c>
      <c r="D41" s="542">
        <v>4500142673</v>
      </c>
      <c r="E41" s="543" t="s">
        <v>12870</v>
      </c>
      <c r="F41" s="542" t="s">
        <v>12871</v>
      </c>
      <c r="G41" s="499" t="s">
        <v>9255</v>
      </c>
      <c r="H41" s="499" t="s">
        <v>9098</v>
      </c>
      <c r="I41" s="501">
        <v>504</v>
      </c>
      <c r="J41" s="501">
        <v>0</v>
      </c>
      <c r="K41" s="501">
        <v>8</v>
      </c>
      <c r="L41" s="501">
        <f t="shared" si="0"/>
        <v>63</v>
      </c>
      <c r="M41" s="504">
        <v>45545</v>
      </c>
      <c r="N41" s="504" t="s">
        <v>12872</v>
      </c>
      <c r="O41" s="546" t="s">
        <v>12873</v>
      </c>
      <c r="P41" s="505"/>
      <c r="Q41" s="505"/>
      <c r="R41" s="505"/>
      <c r="S41" s="507" t="s">
        <v>2532</v>
      </c>
      <c r="T41" s="519" t="s">
        <v>98</v>
      </c>
      <c r="U41" s="519" t="s">
        <v>12874</v>
      </c>
      <c r="V41" s="519"/>
      <c r="W41" s="519"/>
      <c r="X41" s="520" t="s">
        <v>12875</v>
      </c>
      <c r="Y41" s="501" t="s">
        <v>380</v>
      </c>
      <c r="Z41" s="521">
        <v>4.2475</v>
      </c>
      <c r="AA41" s="522">
        <f t="shared" si="35"/>
        <v>2140.74</v>
      </c>
      <c r="AB41" s="501"/>
      <c r="AC41" s="501"/>
      <c r="AD41" s="501"/>
      <c r="AE41" s="523"/>
      <c r="AF41" s="523"/>
      <c r="AG41" s="523"/>
      <c r="AH41" s="523">
        <f t="shared" si="33"/>
        <v>504</v>
      </c>
      <c r="AI41" s="523"/>
      <c r="AJ41" s="523"/>
      <c r="AK41" s="524"/>
      <c r="AL41" s="524">
        <f t="shared" ref="AL41:AL43" si="38">I41</f>
        <v>504</v>
      </c>
      <c r="AM41" s="524"/>
      <c r="AN41" s="524"/>
      <c r="AO41" s="524"/>
      <c r="AP41" s="524"/>
      <c r="AQ41" s="524"/>
      <c r="AR41" s="524"/>
      <c r="AS41" s="524"/>
      <c r="AT41" s="524">
        <f>I41</f>
        <v>504</v>
      </c>
      <c r="AU41" s="524"/>
      <c r="AV41" s="524"/>
      <c r="AW41" s="524"/>
      <c r="AX41" s="524"/>
      <c r="AY41" s="524"/>
      <c r="AZ41" s="524"/>
      <c r="BA41" s="524"/>
      <c r="BB41" s="524"/>
      <c r="BC41" s="524"/>
      <c r="BD41" s="524"/>
      <c r="BE41" s="524">
        <f t="shared" si="34"/>
        <v>504</v>
      </c>
      <c r="BF41" s="524"/>
      <c r="BG41" s="524" t="s">
        <v>9164</v>
      </c>
      <c r="BH41" s="524"/>
      <c r="BI41" s="524">
        <f>I41</f>
        <v>504</v>
      </c>
      <c r="BJ41" s="524"/>
      <c r="BK41" s="524"/>
      <c r="BL41" s="524"/>
      <c r="BM41" s="524"/>
      <c r="BN41" s="514" t="e">
        <f>BI41+BJ41+BK41+BL41+'取消单-1'!BN48</f>
        <v>#REF!</v>
      </c>
      <c r="BO41" s="514" t="e">
        <f>'取消单-1'!BO48-BI41</f>
        <v>#REF!</v>
      </c>
      <c r="BP41" s="514" t="e">
        <f>'取消单-1'!BP48-BJ41</f>
        <v>#REF!</v>
      </c>
      <c r="BQ41" s="514" t="e">
        <f>'取消单-1'!BQ48-BK41</f>
        <v>#REF!</v>
      </c>
      <c r="BR41" s="547" t="e">
        <f>'取消单-1'!BR48-BL41</f>
        <v>#REF!</v>
      </c>
      <c r="BS41" s="99"/>
      <c r="BT41" s="99"/>
      <c r="BU41" s="475"/>
      <c r="BV41" s="475"/>
      <c r="BW41" s="475"/>
      <c r="BX41" s="475"/>
      <c r="BY41" s="475"/>
      <c r="BZ41" s="475"/>
      <c r="CA41" s="475"/>
      <c r="CB41" s="475"/>
      <c r="CC41" s="475"/>
      <c r="CD41" s="475"/>
      <c r="CE41" s="475"/>
      <c r="CF41" s="475"/>
      <c r="CG41" s="475"/>
      <c r="CH41" s="475"/>
      <c r="CI41" s="475"/>
      <c r="CJ41" s="475"/>
      <c r="CK41" s="475"/>
      <c r="CL41" s="475"/>
      <c r="CM41" s="475"/>
      <c r="CN41" s="475"/>
    </row>
    <row r="42" s="478" customFormat="1" ht="32" customHeight="1" spans="1:245">
      <c r="A42" s="539">
        <v>45516</v>
      </c>
      <c r="B42" s="540" t="s">
        <v>12399</v>
      </c>
      <c r="C42" s="541" t="s">
        <v>341</v>
      </c>
      <c r="D42" s="542">
        <v>4500142712</v>
      </c>
      <c r="E42" s="543" t="s">
        <v>12876</v>
      </c>
      <c r="F42" s="542" t="s">
        <v>12877</v>
      </c>
      <c r="G42" s="499" t="s">
        <v>9424</v>
      </c>
      <c r="H42" s="499" t="s">
        <v>8571</v>
      </c>
      <c r="I42" s="501">
        <v>504</v>
      </c>
      <c r="J42" s="501">
        <v>0</v>
      </c>
      <c r="K42" s="501">
        <v>8</v>
      </c>
      <c r="L42" s="501">
        <f t="shared" si="0"/>
        <v>63</v>
      </c>
      <c r="M42" s="504">
        <v>45548</v>
      </c>
      <c r="N42" s="504" t="s">
        <v>12872</v>
      </c>
      <c r="O42" s="505" t="s">
        <v>12878</v>
      </c>
      <c r="P42" s="505"/>
      <c r="Q42" s="505"/>
      <c r="R42" s="505"/>
      <c r="S42" s="507" t="s">
        <v>12879</v>
      </c>
      <c r="T42" s="519" t="s">
        <v>12785</v>
      </c>
      <c r="U42" s="519" t="s">
        <v>12880</v>
      </c>
      <c r="V42" s="519"/>
      <c r="W42" s="519"/>
      <c r="X42" s="520" t="s">
        <v>12881</v>
      </c>
      <c r="Y42" s="501" t="s">
        <v>380</v>
      </c>
      <c r="Z42" s="521">
        <v>4.2475</v>
      </c>
      <c r="AA42" s="522">
        <f t="shared" si="35"/>
        <v>2140.74</v>
      </c>
      <c r="AB42" s="501"/>
      <c r="AC42" s="501"/>
      <c r="AD42" s="501"/>
      <c r="AE42" s="523"/>
      <c r="AF42" s="523"/>
      <c r="AG42" s="523"/>
      <c r="AH42" s="523">
        <f t="shared" si="33"/>
        <v>504</v>
      </c>
      <c r="AI42" s="523"/>
      <c r="AJ42" s="523"/>
      <c r="AK42" s="524"/>
      <c r="AL42" s="524">
        <f t="shared" si="38"/>
        <v>504</v>
      </c>
      <c r="AM42" s="524"/>
      <c r="AN42" s="524"/>
      <c r="AO42" s="524"/>
      <c r="AP42" s="524"/>
      <c r="AQ42" s="524"/>
      <c r="AR42" s="524"/>
      <c r="AS42" s="524"/>
      <c r="AT42" s="524"/>
      <c r="AU42" s="524"/>
      <c r="AV42" s="524"/>
      <c r="AW42" s="524">
        <f>I42</f>
        <v>504</v>
      </c>
      <c r="AX42" s="524"/>
      <c r="AY42" s="524"/>
      <c r="AZ42" s="524"/>
      <c r="BA42" s="524"/>
      <c r="BB42" s="524"/>
      <c r="BC42" s="524"/>
      <c r="BD42" s="524"/>
      <c r="BE42" s="524">
        <f t="shared" si="34"/>
        <v>504</v>
      </c>
      <c r="BF42" s="524"/>
      <c r="BG42" s="524" t="s">
        <v>9164</v>
      </c>
      <c r="BH42" s="524"/>
      <c r="BI42" s="524"/>
      <c r="BJ42" s="524"/>
      <c r="BK42" s="524"/>
      <c r="BL42" s="524">
        <f>I42</f>
        <v>504</v>
      </c>
      <c r="BM42" s="524"/>
      <c r="BN42" s="514" t="e">
        <f>BI42+BJ42+BK42+BL42+'92107'!#REF!</f>
        <v>#REF!</v>
      </c>
      <c r="BO42" s="514" t="e">
        <f>'92107'!#REF!-BI42</f>
        <v>#REF!</v>
      </c>
      <c r="BP42" s="514" t="e">
        <f>'92107'!#REF!-BJ42</f>
        <v>#REF!</v>
      </c>
      <c r="BQ42" s="514" t="e">
        <f>'92107'!#REF!-BK42</f>
        <v>#REF!</v>
      </c>
      <c r="BR42" s="547" t="e">
        <f>'92107'!#REF!-BL42</f>
        <v>#REF!</v>
      </c>
      <c r="BS42" s="99"/>
      <c r="BT42" s="99"/>
      <c r="BU42" s="475"/>
      <c r="BV42" s="475"/>
      <c r="BW42" s="475"/>
      <c r="BX42" s="475"/>
      <c r="BY42" s="475"/>
      <c r="BZ42" s="475"/>
      <c r="CA42" s="475"/>
      <c r="CB42" s="475"/>
      <c r="CC42" s="475"/>
      <c r="CD42" s="475"/>
      <c r="CE42" s="475"/>
      <c r="CF42" s="475"/>
      <c r="CG42" s="475"/>
      <c r="CH42" s="475"/>
      <c r="CI42" s="475"/>
      <c r="CJ42" s="475"/>
      <c r="CK42" s="475"/>
      <c r="CL42" s="475"/>
      <c r="CM42" s="475"/>
      <c r="CN42" s="475"/>
    </row>
    <row r="43" s="478" customFormat="1" ht="32" customHeight="1" spans="1:245">
      <c r="A43" s="539">
        <v>45516</v>
      </c>
      <c r="B43" s="540" t="s">
        <v>12399</v>
      </c>
      <c r="C43" s="541" t="s">
        <v>341</v>
      </c>
      <c r="D43" s="542">
        <v>4500142712</v>
      </c>
      <c r="E43" s="543" t="s">
        <v>12876</v>
      </c>
      <c r="F43" s="542" t="s">
        <v>12882</v>
      </c>
      <c r="G43" s="499" t="s">
        <v>9419</v>
      </c>
      <c r="H43" s="499" t="s">
        <v>9100</v>
      </c>
      <c r="I43" s="501">
        <v>504</v>
      </c>
      <c r="J43" s="501">
        <v>0</v>
      </c>
      <c r="K43" s="501">
        <v>8</v>
      </c>
      <c r="L43" s="501">
        <f t="shared" si="0"/>
        <v>63</v>
      </c>
      <c r="M43" s="504">
        <v>45548</v>
      </c>
      <c r="N43" s="504" t="s">
        <v>12872</v>
      </c>
      <c r="O43" s="505" t="s">
        <v>12878</v>
      </c>
      <c r="P43" s="505"/>
      <c r="Q43" s="505"/>
      <c r="R43" s="505"/>
      <c r="S43" s="507" t="s">
        <v>12879</v>
      </c>
      <c r="T43" s="519" t="s">
        <v>12785</v>
      </c>
      <c r="U43" s="519" t="s">
        <v>12880</v>
      </c>
      <c r="V43" s="519"/>
      <c r="W43" s="519"/>
      <c r="X43" s="520" t="s">
        <v>12883</v>
      </c>
      <c r="Y43" s="501" t="s">
        <v>380</v>
      </c>
      <c r="Z43" s="521">
        <v>4.2475</v>
      </c>
      <c r="AA43" s="522">
        <f t="shared" si="35"/>
        <v>2140.74</v>
      </c>
      <c r="AB43" s="501"/>
      <c r="AC43" s="501"/>
      <c r="AD43" s="501"/>
      <c r="AE43" s="523"/>
      <c r="AF43" s="523"/>
      <c r="AG43" s="523"/>
      <c r="AH43" s="523">
        <f t="shared" si="33"/>
        <v>504</v>
      </c>
      <c r="AI43" s="523"/>
      <c r="AJ43" s="523"/>
      <c r="AK43" s="524"/>
      <c r="AL43" s="524">
        <f t="shared" si="38"/>
        <v>504</v>
      </c>
      <c r="AM43" s="524"/>
      <c r="AN43" s="524"/>
      <c r="AO43" s="524"/>
      <c r="AP43" s="524"/>
      <c r="AQ43" s="524"/>
      <c r="AR43" s="524"/>
      <c r="AS43" s="524"/>
      <c r="AT43" s="524"/>
      <c r="AU43" s="524"/>
      <c r="AV43" s="524">
        <f>I43</f>
        <v>504</v>
      </c>
      <c r="AW43" s="524"/>
      <c r="AX43" s="524"/>
      <c r="AY43" s="524"/>
      <c r="AZ43" s="524"/>
      <c r="BA43" s="524"/>
      <c r="BB43" s="524"/>
      <c r="BC43" s="524"/>
      <c r="BD43" s="524"/>
      <c r="BE43" s="524">
        <f t="shared" si="34"/>
        <v>504</v>
      </c>
      <c r="BF43" s="524"/>
      <c r="BG43" s="524" t="s">
        <v>9164</v>
      </c>
      <c r="BH43" s="524"/>
      <c r="BI43" s="524"/>
      <c r="BJ43" s="524"/>
      <c r="BK43" s="524">
        <f>I43</f>
        <v>504</v>
      </c>
      <c r="BL43" s="524"/>
      <c r="BM43" s="524"/>
      <c r="BN43" s="514" t="e">
        <f>BI43+BJ43+BK43+BL43+BN42</f>
        <v>#REF!</v>
      </c>
      <c r="BO43" s="514" t="e">
        <f t="shared" ref="BO43:BR43" si="39">BO42-BI43</f>
        <v>#REF!</v>
      </c>
      <c r="BP43" s="514" t="e">
        <f t="shared" si="39"/>
        <v>#REF!</v>
      </c>
      <c r="BQ43" s="514" t="e">
        <f t="shared" si="39"/>
        <v>#REF!</v>
      </c>
      <c r="BR43" s="547" t="e">
        <f t="shared" si="39"/>
        <v>#REF!</v>
      </c>
      <c r="BS43" s="99"/>
      <c r="BT43" s="99"/>
      <c r="BU43" s="475"/>
      <c r="BV43" s="475"/>
      <c r="BW43" s="475"/>
      <c r="BX43" s="475"/>
      <c r="BY43" s="475"/>
      <c r="BZ43" s="475"/>
      <c r="CA43" s="475"/>
      <c r="CB43" s="475"/>
      <c r="CC43" s="475"/>
      <c r="CD43" s="475"/>
      <c r="CE43" s="475"/>
      <c r="CF43" s="475"/>
      <c r="CG43" s="475"/>
      <c r="CH43" s="475"/>
      <c r="CI43" s="475"/>
      <c r="CJ43" s="475"/>
      <c r="CK43" s="475"/>
      <c r="CL43" s="475"/>
      <c r="CM43" s="475"/>
      <c r="CN43" s="475"/>
    </row>
    <row r="44" s="477" customFormat="1" ht="32" customHeight="1" spans="1:245">
      <c r="A44" s="539">
        <v>45516</v>
      </c>
      <c r="B44" s="540" t="s">
        <v>12399</v>
      </c>
      <c r="C44" s="541" t="s">
        <v>341</v>
      </c>
      <c r="D44" s="542">
        <v>4500142712</v>
      </c>
      <c r="E44" s="543" t="s">
        <v>12876</v>
      </c>
      <c r="F44" s="542" t="s">
        <v>12884</v>
      </c>
      <c r="G44" s="530" t="s">
        <v>10279</v>
      </c>
      <c r="H44" s="499" t="s">
        <v>10280</v>
      </c>
      <c r="I44" s="502">
        <v>500</v>
      </c>
      <c r="J44" s="502">
        <v>1</v>
      </c>
      <c r="K44" s="502">
        <v>2</v>
      </c>
      <c r="L44" s="502">
        <f t="shared" si="0"/>
        <v>250</v>
      </c>
      <c r="M44" s="503">
        <v>45548</v>
      </c>
      <c r="N44" s="504" t="s">
        <v>12872</v>
      </c>
      <c r="O44" s="505" t="s">
        <v>12885</v>
      </c>
      <c r="P44" s="505"/>
      <c r="Q44" s="506"/>
      <c r="R44" s="507" t="s">
        <v>12879</v>
      </c>
      <c r="S44" s="519" t="s">
        <v>12785</v>
      </c>
      <c r="T44" s="519" t="s">
        <v>12886</v>
      </c>
      <c r="U44" s="519" t="s">
        <v>12887</v>
      </c>
      <c r="V44" s="507"/>
      <c r="W44" s="538" t="s">
        <v>12888</v>
      </c>
      <c r="X44" s="502" t="s">
        <v>7009</v>
      </c>
      <c r="Y44" s="509">
        <v>7.743</v>
      </c>
      <c r="Z44" s="510">
        <f t="shared" ref="Z44:Z46" si="40">Y44*I44</f>
        <v>3871.5</v>
      </c>
      <c r="AA44" s="502"/>
      <c r="AB44" s="502"/>
      <c r="AC44" s="501"/>
      <c r="AD44" s="511">
        <f t="shared" ref="AD44:AD46" si="41">I44</f>
        <v>500</v>
      </c>
      <c r="AE44" s="511"/>
      <c r="AF44" s="511"/>
      <c r="AG44" s="511"/>
      <c r="AH44" s="511"/>
      <c r="AI44" s="511"/>
      <c r="AJ44" s="512">
        <f t="shared" ref="AJ44:AJ46" si="42">I44</f>
        <v>500</v>
      </c>
      <c r="AK44" s="512"/>
      <c r="AL44" s="512"/>
      <c r="AM44" s="512"/>
      <c r="AN44" s="512"/>
      <c r="AO44" s="512">
        <f>I44</f>
        <v>500</v>
      </c>
      <c r="AP44" s="512"/>
      <c r="AQ44" s="512"/>
      <c r="AR44" s="512"/>
      <c r="AS44" s="512"/>
      <c r="AT44" s="512"/>
      <c r="AU44" s="512"/>
      <c r="AV44" s="512"/>
      <c r="AW44" s="512"/>
      <c r="AX44" s="512"/>
      <c r="AY44" s="512"/>
      <c r="AZ44" s="512"/>
      <c r="BA44" s="512"/>
      <c r="BB44" s="512"/>
      <c r="BC44" s="512"/>
      <c r="BD44" s="512">
        <f t="shared" ref="BD44:BD46" si="43">I44</f>
        <v>500</v>
      </c>
      <c r="BE44" s="512"/>
      <c r="BF44" s="512">
        <f t="shared" ref="BF44:BF46" si="44">I44</f>
        <v>500</v>
      </c>
      <c r="BG44" s="512" t="s">
        <v>9164</v>
      </c>
      <c r="BH44" s="512"/>
      <c r="BI44" s="512">
        <f>I44</f>
        <v>500</v>
      </c>
      <c r="BJ44" s="512">
        <f>I44</f>
        <v>500</v>
      </c>
      <c r="BK44" s="512"/>
      <c r="BL44" s="512"/>
      <c r="BM44" s="515"/>
      <c r="BN44" s="512"/>
      <c r="BO44" s="515"/>
      <c r="BP44" s="512"/>
      <c r="BQ44" s="514" t="e">
        <f>BI44+BK44+BM44+BO44+'92108'!#REF!</f>
        <v>#REF!</v>
      </c>
      <c r="BR44" s="547" t="e">
        <f>BJ44+BL44+BN44+BP44+'92108'!#REF!</f>
        <v>#REF!</v>
      </c>
      <c r="BS44" s="99"/>
      <c r="BT44" s="99"/>
      <c r="BU44" s="475"/>
      <c r="BV44" s="475"/>
      <c r="BW44" s="475"/>
      <c r="BX44" s="475"/>
      <c r="BY44" s="475"/>
      <c r="BZ44" s="475"/>
      <c r="CA44" s="475"/>
      <c r="CB44" s="475"/>
      <c r="CC44" s="475"/>
      <c r="CD44" s="475"/>
      <c r="CE44" s="475"/>
      <c r="CF44" s="475"/>
      <c r="CG44" s="475"/>
      <c r="CH44" s="475"/>
      <c r="CI44" s="475"/>
      <c r="CJ44" s="475"/>
      <c r="CK44" s="475"/>
      <c r="CL44" s="475"/>
      <c r="CM44" s="475"/>
      <c r="CN44" s="475"/>
      <c r="CO44" s="525"/>
      <c r="CP44" s="525"/>
      <c r="CQ44" s="525"/>
      <c r="CR44" s="525"/>
      <c r="CS44" s="525"/>
      <c r="CT44" s="525"/>
      <c r="CU44" s="525"/>
      <c r="CV44" s="525"/>
      <c r="CW44" s="525"/>
      <c r="CX44" s="525"/>
      <c r="CY44" s="525"/>
      <c r="CZ44" s="525"/>
      <c r="DA44" s="525"/>
      <c r="DB44" s="525"/>
      <c r="DC44" s="525"/>
      <c r="DD44" s="525"/>
      <c r="DE44" s="525"/>
      <c r="DF44" s="525"/>
      <c r="DG44" s="525"/>
      <c r="DH44" s="525"/>
      <c r="DI44" s="525"/>
      <c r="DJ44" s="525"/>
      <c r="DK44" s="525"/>
      <c r="DL44" s="525"/>
      <c r="DM44" s="525"/>
      <c r="DN44" s="525"/>
      <c r="DO44" s="525"/>
      <c r="DP44" s="525"/>
      <c r="DQ44" s="525"/>
      <c r="DR44" s="525"/>
      <c r="DS44" s="525"/>
      <c r="DT44" s="525"/>
      <c r="DU44" s="525"/>
      <c r="DV44" s="525"/>
      <c r="DW44" s="525"/>
      <c r="DX44" s="525"/>
      <c r="DY44" s="525"/>
      <c r="DZ44" s="525"/>
      <c r="EA44" s="525"/>
      <c r="EB44" s="525"/>
      <c r="EC44" s="525"/>
      <c r="ED44" s="525"/>
      <c r="EE44" s="525"/>
      <c r="EF44" s="525"/>
      <c r="EG44" s="525"/>
      <c r="EH44" s="525"/>
      <c r="EI44" s="525"/>
      <c r="EJ44" s="525"/>
      <c r="EK44" s="525"/>
      <c r="EL44" s="525"/>
      <c r="EM44" s="525"/>
      <c r="EN44" s="525"/>
      <c r="EO44" s="525"/>
      <c r="EP44" s="525"/>
      <c r="EQ44" s="525"/>
      <c r="ER44" s="525"/>
      <c r="ES44" s="525"/>
      <c r="ET44" s="525"/>
      <c r="EU44" s="525"/>
      <c r="EV44" s="525"/>
      <c r="EW44" s="525"/>
      <c r="EX44" s="525"/>
      <c r="EY44" s="525"/>
      <c r="EZ44" s="525"/>
      <c r="FA44" s="525"/>
      <c r="FB44" s="525"/>
      <c r="FC44" s="525"/>
      <c r="FD44" s="525"/>
      <c r="FE44" s="525"/>
      <c r="FF44" s="525"/>
      <c r="FG44" s="525"/>
      <c r="FH44" s="525"/>
      <c r="FI44" s="525"/>
      <c r="FJ44" s="525"/>
      <c r="FK44" s="525"/>
      <c r="FL44" s="525"/>
      <c r="FM44" s="525"/>
      <c r="FN44" s="525"/>
      <c r="FO44" s="525"/>
      <c r="FP44" s="525"/>
      <c r="FQ44" s="525"/>
      <c r="FR44" s="525"/>
      <c r="FS44" s="525"/>
      <c r="FT44" s="525"/>
      <c r="FU44" s="525"/>
      <c r="FV44" s="525"/>
      <c r="FW44" s="525"/>
      <c r="FX44" s="525"/>
      <c r="FY44" s="525"/>
      <c r="FZ44" s="525"/>
      <c r="GA44" s="525"/>
      <c r="GB44" s="525"/>
      <c r="GC44" s="525"/>
      <c r="GD44" s="525"/>
      <c r="GE44" s="525"/>
      <c r="GF44" s="525"/>
      <c r="GG44" s="525"/>
      <c r="GH44" s="525"/>
      <c r="GI44" s="525"/>
      <c r="GJ44" s="525"/>
      <c r="GK44" s="525"/>
      <c r="GL44" s="525"/>
      <c r="GM44" s="525"/>
      <c r="GN44" s="525"/>
      <c r="GO44" s="525"/>
      <c r="GP44" s="525"/>
      <c r="GQ44" s="525"/>
      <c r="GR44" s="525"/>
      <c r="GS44" s="525"/>
      <c r="GT44" s="525"/>
      <c r="GU44" s="525"/>
      <c r="GV44" s="525"/>
      <c r="GW44" s="525"/>
      <c r="GX44" s="525"/>
      <c r="GY44" s="525"/>
      <c r="GZ44" s="525"/>
      <c r="HA44" s="525"/>
      <c r="HB44" s="525"/>
      <c r="HC44" s="525"/>
      <c r="HD44" s="525"/>
      <c r="HE44" s="525"/>
      <c r="HF44" s="525"/>
      <c r="HG44" s="525"/>
      <c r="HH44" s="525"/>
      <c r="HI44" s="525"/>
      <c r="HJ44" s="525"/>
      <c r="HK44" s="525"/>
      <c r="HL44" s="525"/>
      <c r="HM44" s="525"/>
      <c r="HN44" s="525"/>
      <c r="HO44" s="525"/>
      <c r="HP44" s="525"/>
      <c r="HQ44" s="525"/>
      <c r="HR44" s="525"/>
      <c r="HS44" s="525"/>
      <c r="HT44" s="525"/>
      <c r="HU44" s="525"/>
      <c r="HV44" s="525"/>
      <c r="HW44" s="525"/>
      <c r="HX44" s="525"/>
      <c r="HY44" s="525"/>
      <c r="HZ44" s="525"/>
      <c r="IA44" s="525"/>
      <c r="IB44" s="525"/>
      <c r="IC44" s="525"/>
      <c r="ID44" s="525"/>
      <c r="IE44" s="525"/>
      <c r="IF44" s="525"/>
      <c r="IG44" s="525"/>
      <c r="IH44" s="525"/>
      <c r="II44" s="525"/>
      <c r="IJ44" s="525"/>
      <c r="IK44" s="525"/>
    </row>
    <row r="45" s="477" customFormat="1" ht="32" customHeight="1" spans="1:245">
      <c r="A45" s="539">
        <v>45516</v>
      </c>
      <c r="B45" s="540" t="s">
        <v>12399</v>
      </c>
      <c r="C45" s="541" t="s">
        <v>341</v>
      </c>
      <c r="D45" s="542">
        <v>4500142712</v>
      </c>
      <c r="E45" s="543" t="s">
        <v>12889</v>
      </c>
      <c r="F45" s="542" t="s">
        <v>12890</v>
      </c>
      <c r="G45" s="530" t="s">
        <v>10284</v>
      </c>
      <c r="H45" s="499" t="s">
        <v>10285</v>
      </c>
      <c r="I45" s="502">
        <v>500</v>
      </c>
      <c r="J45" s="502">
        <v>1</v>
      </c>
      <c r="K45" s="502">
        <v>2</v>
      </c>
      <c r="L45" s="502">
        <f t="shared" si="0"/>
        <v>250</v>
      </c>
      <c r="M45" s="503">
        <v>45548</v>
      </c>
      <c r="N45" s="504" t="s">
        <v>12872</v>
      </c>
      <c r="O45" s="505" t="s">
        <v>12885</v>
      </c>
      <c r="P45" s="505"/>
      <c r="Q45" s="506"/>
      <c r="R45" s="507" t="s">
        <v>12879</v>
      </c>
      <c r="S45" s="519" t="s">
        <v>12785</v>
      </c>
      <c r="T45" s="519" t="s">
        <v>12886</v>
      </c>
      <c r="U45" s="519" t="s">
        <v>12887</v>
      </c>
      <c r="V45" s="507"/>
      <c r="W45" s="538" t="s">
        <v>12891</v>
      </c>
      <c r="X45" s="502" t="s">
        <v>7009</v>
      </c>
      <c r="Y45" s="509">
        <v>7.743</v>
      </c>
      <c r="Z45" s="510">
        <f t="shared" si="40"/>
        <v>3871.5</v>
      </c>
      <c r="AA45" s="502"/>
      <c r="AB45" s="502"/>
      <c r="AC45" s="501"/>
      <c r="AD45" s="511">
        <f t="shared" si="41"/>
        <v>500</v>
      </c>
      <c r="AE45" s="511"/>
      <c r="AF45" s="511"/>
      <c r="AG45" s="511"/>
      <c r="AH45" s="511"/>
      <c r="AI45" s="511"/>
      <c r="AJ45" s="512">
        <f t="shared" si="42"/>
        <v>500</v>
      </c>
      <c r="AK45" s="512"/>
      <c r="AL45" s="512"/>
      <c r="AM45" s="512"/>
      <c r="AN45" s="512"/>
      <c r="AO45" s="512"/>
      <c r="AP45" s="512"/>
      <c r="AQ45" s="512"/>
      <c r="AR45" s="512">
        <f>I45</f>
        <v>500</v>
      </c>
      <c r="AS45" s="512"/>
      <c r="AT45" s="512"/>
      <c r="AU45" s="512"/>
      <c r="AV45" s="512"/>
      <c r="AW45" s="512"/>
      <c r="AX45" s="512"/>
      <c r="AY45" s="512"/>
      <c r="AZ45" s="512"/>
      <c r="BA45" s="512"/>
      <c r="BB45" s="512"/>
      <c r="BC45" s="512"/>
      <c r="BD45" s="512">
        <f t="shared" si="43"/>
        <v>500</v>
      </c>
      <c r="BE45" s="512"/>
      <c r="BF45" s="512">
        <f t="shared" si="44"/>
        <v>500</v>
      </c>
      <c r="BG45" s="512" t="s">
        <v>9164</v>
      </c>
      <c r="BH45" s="512"/>
      <c r="BI45" s="512"/>
      <c r="BJ45" s="512"/>
      <c r="BK45" s="512"/>
      <c r="BL45" s="512"/>
      <c r="BM45" s="515"/>
      <c r="BN45" s="512"/>
      <c r="BO45" s="515">
        <f>I45</f>
        <v>500</v>
      </c>
      <c r="BP45" s="512">
        <f>BO45</f>
        <v>500</v>
      </c>
      <c r="BQ45" s="514" t="e">
        <f>BI45+BK45+BM45+BO45+BQ44</f>
        <v>#REF!</v>
      </c>
      <c r="BR45" s="547" t="e">
        <f>BJ45+BL45+BN45+BP45+BR44</f>
        <v>#REF!</v>
      </c>
      <c r="BS45" s="99"/>
      <c r="BT45" s="99"/>
      <c r="BU45" s="475"/>
      <c r="BV45" s="475"/>
      <c r="BW45" s="475"/>
      <c r="BX45" s="475"/>
      <c r="BY45" s="475"/>
      <c r="BZ45" s="475"/>
      <c r="CA45" s="475"/>
      <c r="CB45" s="475"/>
      <c r="CC45" s="475"/>
      <c r="CD45" s="475"/>
      <c r="CE45" s="475"/>
      <c r="CF45" s="475"/>
      <c r="CG45" s="475"/>
      <c r="CH45" s="475"/>
      <c r="CI45" s="475"/>
      <c r="CJ45" s="475"/>
      <c r="CK45" s="475"/>
      <c r="CL45" s="475"/>
      <c r="CM45" s="475"/>
      <c r="CN45" s="475"/>
      <c r="CO45" s="525"/>
      <c r="CP45" s="525"/>
      <c r="CQ45" s="525"/>
      <c r="CR45" s="525"/>
      <c r="CS45" s="525"/>
      <c r="CT45" s="525"/>
      <c r="CU45" s="525"/>
      <c r="CV45" s="525"/>
      <c r="CW45" s="525"/>
      <c r="CX45" s="525"/>
      <c r="CY45" s="525"/>
      <c r="CZ45" s="525"/>
      <c r="DA45" s="525"/>
      <c r="DB45" s="525"/>
      <c r="DC45" s="525"/>
      <c r="DD45" s="525"/>
      <c r="DE45" s="525"/>
      <c r="DF45" s="525"/>
      <c r="DG45" s="525"/>
      <c r="DH45" s="525"/>
      <c r="DI45" s="525"/>
      <c r="DJ45" s="525"/>
      <c r="DK45" s="525"/>
      <c r="DL45" s="525"/>
      <c r="DM45" s="525"/>
      <c r="DN45" s="525"/>
      <c r="DO45" s="525"/>
      <c r="DP45" s="525"/>
      <c r="DQ45" s="525"/>
      <c r="DR45" s="525"/>
      <c r="DS45" s="525"/>
      <c r="DT45" s="525"/>
      <c r="DU45" s="525"/>
      <c r="DV45" s="525"/>
      <c r="DW45" s="525"/>
      <c r="DX45" s="525"/>
      <c r="DY45" s="525"/>
      <c r="DZ45" s="525"/>
      <c r="EA45" s="525"/>
      <c r="EB45" s="525"/>
      <c r="EC45" s="525"/>
      <c r="ED45" s="525"/>
      <c r="EE45" s="525"/>
      <c r="EF45" s="525"/>
      <c r="EG45" s="525"/>
      <c r="EH45" s="525"/>
      <c r="EI45" s="525"/>
      <c r="EJ45" s="525"/>
      <c r="EK45" s="525"/>
      <c r="EL45" s="525"/>
      <c r="EM45" s="525"/>
      <c r="EN45" s="525"/>
      <c r="EO45" s="525"/>
      <c r="EP45" s="525"/>
      <c r="EQ45" s="525"/>
      <c r="ER45" s="525"/>
      <c r="ES45" s="525"/>
      <c r="ET45" s="525"/>
      <c r="EU45" s="525"/>
      <c r="EV45" s="525"/>
      <c r="EW45" s="525"/>
      <c r="EX45" s="525"/>
      <c r="EY45" s="525"/>
      <c r="EZ45" s="525"/>
      <c r="FA45" s="525"/>
      <c r="FB45" s="525"/>
      <c r="FC45" s="525"/>
      <c r="FD45" s="525"/>
      <c r="FE45" s="525"/>
      <c r="FF45" s="525"/>
      <c r="FG45" s="525"/>
      <c r="FH45" s="525"/>
      <c r="FI45" s="525"/>
      <c r="FJ45" s="525"/>
      <c r="FK45" s="525"/>
      <c r="FL45" s="525"/>
      <c r="FM45" s="525"/>
      <c r="FN45" s="525"/>
      <c r="FO45" s="525"/>
      <c r="FP45" s="525"/>
      <c r="FQ45" s="525"/>
      <c r="FR45" s="525"/>
      <c r="FS45" s="525"/>
      <c r="FT45" s="525"/>
      <c r="FU45" s="525"/>
      <c r="FV45" s="525"/>
      <c r="FW45" s="525"/>
      <c r="FX45" s="525"/>
      <c r="FY45" s="525"/>
      <c r="FZ45" s="525"/>
      <c r="GA45" s="525"/>
      <c r="GB45" s="525"/>
      <c r="GC45" s="525"/>
      <c r="GD45" s="525"/>
      <c r="GE45" s="525"/>
      <c r="GF45" s="525"/>
      <c r="GG45" s="525"/>
      <c r="GH45" s="525"/>
      <c r="GI45" s="525"/>
      <c r="GJ45" s="525"/>
      <c r="GK45" s="525"/>
      <c r="GL45" s="525"/>
      <c r="GM45" s="525"/>
      <c r="GN45" s="525"/>
      <c r="GO45" s="525"/>
      <c r="GP45" s="525"/>
      <c r="GQ45" s="525"/>
      <c r="GR45" s="525"/>
      <c r="GS45" s="525"/>
      <c r="GT45" s="525"/>
      <c r="GU45" s="525"/>
      <c r="GV45" s="525"/>
      <c r="GW45" s="525"/>
      <c r="GX45" s="525"/>
      <c r="GY45" s="525"/>
      <c r="GZ45" s="525"/>
      <c r="HA45" s="525"/>
      <c r="HB45" s="525"/>
      <c r="HC45" s="525"/>
      <c r="HD45" s="525"/>
      <c r="HE45" s="525"/>
      <c r="HF45" s="525"/>
      <c r="HG45" s="525"/>
      <c r="HH45" s="525"/>
      <c r="HI45" s="525"/>
      <c r="HJ45" s="525"/>
      <c r="HK45" s="525"/>
      <c r="HL45" s="525"/>
      <c r="HM45" s="525"/>
      <c r="HN45" s="525"/>
      <c r="HO45" s="525"/>
      <c r="HP45" s="525"/>
      <c r="HQ45" s="525"/>
      <c r="HR45" s="525"/>
      <c r="HS45" s="525"/>
      <c r="HT45" s="525"/>
      <c r="HU45" s="525"/>
      <c r="HV45" s="525"/>
      <c r="HW45" s="525"/>
      <c r="HX45" s="525"/>
      <c r="HY45" s="525"/>
      <c r="HZ45" s="525"/>
      <c r="IA45" s="525"/>
      <c r="IB45" s="525"/>
      <c r="IC45" s="525"/>
      <c r="ID45" s="525"/>
      <c r="IE45" s="525"/>
      <c r="IF45" s="525"/>
      <c r="IG45" s="525"/>
      <c r="IH45" s="525"/>
      <c r="II45" s="525"/>
      <c r="IJ45" s="525"/>
      <c r="IK45" s="525"/>
    </row>
    <row r="46" s="477" customFormat="1" ht="32" customHeight="1" spans="1:245">
      <c r="A46" s="539">
        <v>45516</v>
      </c>
      <c r="B46" s="540" t="s">
        <v>12399</v>
      </c>
      <c r="C46" s="541" t="s">
        <v>341</v>
      </c>
      <c r="D46" s="542">
        <v>4500142712</v>
      </c>
      <c r="E46" s="543" t="s">
        <v>12889</v>
      </c>
      <c r="F46" s="542" t="s">
        <v>12892</v>
      </c>
      <c r="G46" s="530" t="s">
        <v>10273</v>
      </c>
      <c r="H46" s="499" t="s">
        <v>10274</v>
      </c>
      <c r="I46" s="502">
        <v>500</v>
      </c>
      <c r="J46" s="502">
        <v>1</v>
      </c>
      <c r="K46" s="502">
        <v>2</v>
      </c>
      <c r="L46" s="502">
        <f t="shared" si="0"/>
        <v>250</v>
      </c>
      <c r="M46" s="503">
        <v>45548</v>
      </c>
      <c r="N46" s="504" t="s">
        <v>12872</v>
      </c>
      <c r="O46" s="505" t="s">
        <v>12885</v>
      </c>
      <c r="P46" s="505"/>
      <c r="Q46" s="506"/>
      <c r="R46" s="507" t="s">
        <v>12879</v>
      </c>
      <c r="S46" s="519" t="s">
        <v>12785</v>
      </c>
      <c r="T46" s="519" t="s">
        <v>12886</v>
      </c>
      <c r="U46" s="519" t="s">
        <v>12887</v>
      </c>
      <c r="V46" s="507"/>
      <c r="W46" s="538" t="s">
        <v>12893</v>
      </c>
      <c r="X46" s="502" t="s">
        <v>7009</v>
      </c>
      <c r="Y46" s="509">
        <v>7.743</v>
      </c>
      <c r="Z46" s="510">
        <f t="shared" si="40"/>
        <v>3871.5</v>
      </c>
      <c r="AA46" s="502"/>
      <c r="AB46" s="502"/>
      <c r="AC46" s="501"/>
      <c r="AD46" s="511">
        <f t="shared" si="41"/>
        <v>500</v>
      </c>
      <c r="AE46" s="511"/>
      <c r="AF46" s="511"/>
      <c r="AG46" s="511"/>
      <c r="AH46" s="511"/>
      <c r="AI46" s="511"/>
      <c r="AJ46" s="512">
        <f t="shared" si="42"/>
        <v>500</v>
      </c>
      <c r="AK46" s="512"/>
      <c r="AL46" s="512"/>
      <c r="AM46" s="512"/>
      <c r="AN46" s="512"/>
      <c r="AO46" s="512"/>
      <c r="AP46" s="512">
        <f>I46</f>
        <v>500</v>
      </c>
      <c r="AQ46" s="512"/>
      <c r="AR46" s="512"/>
      <c r="AS46" s="512"/>
      <c r="AT46" s="512"/>
      <c r="AU46" s="512"/>
      <c r="AV46" s="512"/>
      <c r="AW46" s="512"/>
      <c r="AX46" s="512"/>
      <c r="AY46" s="512"/>
      <c r="AZ46" s="512"/>
      <c r="BA46" s="512"/>
      <c r="BB46" s="512"/>
      <c r="BC46" s="512"/>
      <c r="BD46" s="512">
        <f t="shared" si="43"/>
        <v>500</v>
      </c>
      <c r="BE46" s="512"/>
      <c r="BF46" s="512">
        <f t="shared" si="44"/>
        <v>500</v>
      </c>
      <c r="BG46" s="512" t="s">
        <v>9164</v>
      </c>
      <c r="BH46" s="512"/>
      <c r="BI46" s="512"/>
      <c r="BJ46" s="512"/>
      <c r="BK46" s="512">
        <f t="shared" ref="BK46:BK52" si="45">I46</f>
        <v>500</v>
      </c>
      <c r="BL46" s="512">
        <f>BK46</f>
        <v>500</v>
      </c>
      <c r="BM46" s="515"/>
      <c r="BN46" s="512"/>
      <c r="BO46" s="515"/>
      <c r="BP46" s="512"/>
      <c r="BQ46" s="514" t="e">
        <f>BI46+BK46+BM46+BO46+BQ45</f>
        <v>#REF!</v>
      </c>
      <c r="BR46" s="547" t="e">
        <f>BJ46+BL46+BN46+BP46+BR45</f>
        <v>#REF!</v>
      </c>
      <c r="BS46" s="99"/>
      <c r="BT46" s="99"/>
      <c r="BU46" s="475"/>
      <c r="BV46" s="475"/>
      <c r="BW46" s="475"/>
      <c r="BX46" s="475"/>
      <c r="BY46" s="475"/>
      <c r="BZ46" s="475"/>
      <c r="CA46" s="475"/>
      <c r="CB46" s="475"/>
      <c r="CC46" s="475"/>
      <c r="CD46" s="475"/>
      <c r="CE46" s="475"/>
      <c r="CF46" s="475"/>
      <c r="CG46" s="475"/>
      <c r="CH46" s="475"/>
      <c r="CI46" s="475"/>
      <c r="CJ46" s="475"/>
      <c r="CK46" s="475"/>
      <c r="CL46" s="475"/>
      <c r="CM46" s="475"/>
      <c r="CN46" s="475"/>
      <c r="CO46" s="525"/>
      <c r="CP46" s="525"/>
      <c r="CQ46" s="525"/>
      <c r="CR46" s="525"/>
      <c r="CS46" s="525"/>
      <c r="CT46" s="525"/>
      <c r="CU46" s="525"/>
      <c r="CV46" s="525"/>
      <c r="CW46" s="525"/>
      <c r="CX46" s="525"/>
      <c r="CY46" s="525"/>
      <c r="CZ46" s="525"/>
      <c r="DA46" s="525"/>
      <c r="DB46" s="525"/>
      <c r="DC46" s="525"/>
      <c r="DD46" s="525"/>
      <c r="DE46" s="525"/>
      <c r="DF46" s="525"/>
      <c r="DG46" s="525"/>
      <c r="DH46" s="525"/>
      <c r="DI46" s="525"/>
      <c r="DJ46" s="525"/>
      <c r="DK46" s="525"/>
      <c r="DL46" s="525"/>
      <c r="DM46" s="525"/>
      <c r="DN46" s="525"/>
      <c r="DO46" s="525"/>
      <c r="DP46" s="525"/>
      <c r="DQ46" s="525"/>
      <c r="DR46" s="525"/>
      <c r="DS46" s="525"/>
      <c r="DT46" s="525"/>
      <c r="DU46" s="525"/>
      <c r="DV46" s="525"/>
      <c r="DW46" s="525"/>
      <c r="DX46" s="525"/>
      <c r="DY46" s="525"/>
      <c r="DZ46" s="525"/>
      <c r="EA46" s="525"/>
      <c r="EB46" s="525"/>
      <c r="EC46" s="525"/>
      <c r="ED46" s="525"/>
      <c r="EE46" s="525"/>
      <c r="EF46" s="525"/>
      <c r="EG46" s="525"/>
      <c r="EH46" s="525"/>
      <c r="EI46" s="525"/>
      <c r="EJ46" s="525"/>
      <c r="EK46" s="525"/>
      <c r="EL46" s="525"/>
      <c r="EM46" s="525"/>
      <c r="EN46" s="525"/>
      <c r="EO46" s="525"/>
      <c r="EP46" s="525"/>
      <c r="EQ46" s="525"/>
      <c r="ER46" s="525"/>
      <c r="ES46" s="525"/>
      <c r="ET46" s="525"/>
      <c r="EU46" s="525"/>
      <c r="EV46" s="525"/>
      <c r="EW46" s="525"/>
      <c r="EX46" s="525"/>
      <c r="EY46" s="525"/>
      <c r="EZ46" s="525"/>
      <c r="FA46" s="525"/>
      <c r="FB46" s="525"/>
      <c r="FC46" s="525"/>
      <c r="FD46" s="525"/>
      <c r="FE46" s="525"/>
      <c r="FF46" s="525"/>
      <c r="FG46" s="525"/>
      <c r="FH46" s="525"/>
      <c r="FI46" s="525"/>
      <c r="FJ46" s="525"/>
      <c r="FK46" s="525"/>
      <c r="FL46" s="525"/>
      <c r="FM46" s="525"/>
      <c r="FN46" s="525"/>
      <c r="FO46" s="525"/>
      <c r="FP46" s="525"/>
      <c r="FQ46" s="525"/>
      <c r="FR46" s="525"/>
      <c r="FS46" s="525"/>
      <c r="FT46" s="525"/>
      <c r="FU46" s="525"/>
      <c r="FV46" s="525"/>
      <c r="FW46" s="525"/>
      <c r="FX46" s="525"/>
      <c r="FY46" s="525"/>
      <c r="FZ46" s="525"/>
      <c r="GA46" s="525"/>
      <c r="GB46" s="525"/>
      <c r="GC46" s="525"/>
      <c r="GD46" s="525"/>
      <c r="GE46" s="525"/>
      <c r="GF46" s="525"/>
      <c r="GG46" s="525"/>
      <c r="GH46" s="525"/>
      <c r="GI46" s="525"/>
      <c r="GJ46" s="525"/>
      <c r="GK46" s="525"/>
      <c r="GL46" s="525"/>
      <c r="GM46" s="525"/>
      <c r="GN46" s="525"/>
      <c r="GO46" s="525"/>
      <c r="GP46" s="525"/>
      <c r="GQ46" s="525"/>
      <c r="GR46" s="525"/>
      <c r="GS46" s="525"/>
      <c r="GT46" s="525"/>
      <c r="GU46" s="525"/>
      <c r="GV46" s="525"/>
      <c r="GW46" s="525"/>
      <c r="GX46" s="525"/>
      <c r="GY46" s="525"/>
      <c r="GZ46" s="525"/>
      <c r="HA46" s="525"/>
      <c r="HB46" s="525"/>
      <c r="HC46" s="525"/>
      <c r="HD46" s="525"/>
      <c r="HE46" s="525"/>
      <c r="HF46" s="525"/>
      <c r="HG46" s="525"/>
      <c r="HH46" s="525"/>
      <c r="HI46" s="525"/>
      <c r="HJ46" s="525"/>
      <c r="HK46" s="525"/>
      <c r="HL46" s="525"/>
      <c r="HM46" s="525"/>
      <c r="HN46" s="525"/>
      <c r="HO46" s="525"/>
      <c r="HP46" s="525"/>
      <c r="HQ46" s="525"/>
      <c r="HR46" s="525"/>
      <c r="HS46" s="525"/>
      <c r="HT46" s="525"/>
      <c r="HU46" s="525"/>
      <c r="HV46" s="525"/>
      <c r="HW46" s="525"/>
      <c r="HX46" s="525"/>
      <c r="HY46" s="525"/>
      <c r="HZ46" s="525"/>
      <c r="IA46" s="525"/>
      <c r="IB46" s="525"/>
      <c r="IC46" s="525"/>
      <c r="ID46" s="525"/>
      <c r="IE46" s="525"/>
      <c r="IF46" s="525"/>
      <c r="IG46" s="525"/>
      <c r="IH46" s="525"/>
      <c r="II46" s="525"/>
      <c r="IJ46" s="525"/>
      <c r="IK46" s="525"/>
    </row>
    <row r="47" s="478" customFormat="1" ht="32" customHeight="1" spans="1:245">
      <c r="A47" s="539">
        <v>45513</v>
      </c>
      <c r="B47" s="540" t="s">
        <v>12894</v>
      </c>
      <c r="C47" s="541" t="s">
        <v>569</v>
      </c>
      <c r="D47" s="542">
        <v>4500142610</v>
      </c>
      <c r="E47" s="543" t="s">
        <v>12895</v>
      </c>
      <c r="F47" s="542" t="s">
        <v>12896</v>
      </c>
      <c r="G47" s="499" t="s">
        <v>9255</v>
      </c>
      <c r="H47" s="499" t="s">
        <v>9098</v>
      </c>
      <c r="I47" s="501">
        <v>496</v>
      </c>
      <c r="J47" s="501">
        <v>0</v>
      </c>
      <c r="K47" s="501">
        <v>8</v>
      </c>
      <c r="L47" s="501">
        <f t="shared" si="0"/>
        <v>62</v>
      </c>
      <c r="M47" s="504">
        <v>45545</v>
      </c>
      <c r="N47" s="504" t="s">
        <v>12872</v>
      </c>
      <c r="O47" s="548" t="s">
        <v>12897</v>
      </c>
      <c r="P47" s="505"/>
      <c r="Q47" s="505"/>
      <c r="R47" s="505"/>
      <c r="S47" s="507" t="s">
        <v>7410</v>
      </c>
      <c r="T47" s="519" t="s">
        <v>12785</v>
      </c>
      <c r="U47" s="519" t="s">
        <v>12898</v>
      </c>
      <c r="V47" s="519"/>
      <c r="W47" s="519"/>
      <c r="X47" s="520" t="s">
        <v>12899</v>
      </c>
      <c r="Y47" s="501" t="s">
        <v>12900</v>
      </c>
      <c r="Z47" s="521">
        <v>4.2589</v>
      </c>
      <c r="AA47" s="522">
        <f t="shared" ref="AA47:AA62" si="46">Z47*I47</f>
        <v>2112.4144</v>
      </c>
      <c r="AB47" s="501"/>
      <c r="AC47" s="501"/>
      <c r="AD47" s="501"/>
      <c r="AE47" s="523"/>
      <c r="AF47" s="523"/>
      <c r="AG47" s="523"/>
      <c r="AH47" s="523">
        <f>I47</f>
        <v>496</v>
      </c>
      <c r="AI47" s="523"/>
      <c r="AJ47" s="523"/>
      <c r="AK47" s="524"/>
      <c r="AL47" s="524">
        <f t="shared" ref="AL47:AL49" si="47">I47</f>
        <v>496</v>
      </c>
      <c r="AM47" s="524"/>
      <c r="AN47" s="524"/>
      <c r="AO47" s="524"/>
      <c r="AP47" s="524"/>
      <c r="AQ47" s="524"/>
      <c r="AR47" s="524"/>
      <c r="AS47" s="524"/>
      <c r="AT47" s="524">
        <f>I47</f>
        <v>496</v>
      </c>
      <c r="AU47" s="524"/>
      <c r="AV47" s="524"/>
      <c r="AW47" s="524"/>
      <c r="AX47" s="524"/>
      <c r="AY47" s="524"/>
      <c r="AZ47" s="524"/>
      <c r="BA47" s="524"/>
      <c r="BB47" s="524"/>
      <c r="BC47" s="524"/>
      <c r="BD47" s="524"/>
      <c r="BE47" s="524">
        <f t="shared" ref="BE47:BE62" si="48">I47</f>
        <v>496</v>
      </c>
      <c r="BF47" s="524"/>
      <c r="BG47" s="524" t="s">
        <v>9164</v>
      </c>
      <c r="BH47" s="524"/>
      <c r="BI47" s="524">
        <f>I47</f>
        <v>496</v>
      </c>
      <c r="BJ47" s="524"/>
      <c r="BK47" s="524"/>
      <c r="BL47" s="524"/>
      <c r="BM47" s="524"/>
      <c r="BN47" s="514" t="e">
        <f>BI47+BJ47+BK47+BL47+'92107'!#REF!</f>
        <v>#REF!</v>
      </c>
      <c r="BO47" s="514" t="e">
        <f>'92107'!#REF!-BI47</f>
        <v>#REF!</v>
      </c>
      <c r="BP47" s="514" t="e">
        <f>'92107'!#REF!-BJ47</f>
        <v>#REF!</v>
      </c>
      <c r="BQ47" s="514" t="e">
        <f>'92107'!#REF!-BK47</f>
        <v>#REF!</v>
      </c>
      <c r="BR47" s="547" t="e">
        <f>'92107'!#REF!-BL47</f>
        <v>#REF!</v>
      </c>
      <c r="BS47" s="99"/>
      <c r="BT47" s="99"/>
      <c r="BU47" s="475"/>
      <c r="BV47" s="475"/>
      <c r="BW47" s="475"/>
      <c r="BX47" s="475"/>
      <c r="BY47" s="475"/>
      <c r="BZ47" s="475"/>
      <c r="CA47" s="475"/>
      <c r="CB47" s="475"/>
      <c r="CC47" s="475"/>
      <c r="CD47" s="475"/>
      <c r="CE47" s="475"/>
      <c r="CF47" s="475"/>
      <c r="CG47" s="475"/>
      <c r="CH47" s="475"/>
      <c r="CI47" s="475"/>
      <c r="CJ47" s="475"/>
      <c r="CK47" s="475"/>
      <c r="CL47" s="475"/>
      <c r="CM47" s="475"/>
      <c r="CN47" s="475"/>
    </row>
    <row r="48" s="478" customFormat="1" ht="32" customHeight="1" spans="1:245">
      <c r="A48" s="539">
        <v>45513</v>
      </c>
      <c r="B48" s="540" t="s">
        <v>12894</v>
      </c>
      <c r="C48" s="541" t="s">
        <v>569</v>
      </c>
      <c r="D48" s="542">
        <v>4500142610</v>
      </c>
      <c r="E48" s="543" t="s">
        <v>12895</v>
      </c>
      <c r="F48" s="542" t="s">
        <v>12901</v>
      </c>
      <c r="G48" s="499" t="s">
        <v>9424</v>
      </c>
      <c r="H48" s="499" t="s">
        <v>8571</v>
      </c>
      <c r="I48" s="501">
        <v>504</v>
      </c>
      <c r="J48" s="501">
        <v>0</v>
      </c>
      <c r="K48" s="501">
        <v>8</v>
      </c>
      <c r="L48" s="501">
        <f t="shared" si="0"/>
        <v>63</v>
      </c>
      <c r="M48" s="504">
        <v>45545</v>
      </c>
      <c r="N48" s="504" t="s">
        <v>12872</v>
      </c>
      <c r="O48" s="548" t="s">
        <v>12897</v>
      </c>
      <c r="P48" s="505"/>
      <c r="Q48" s="505"/>
      <c r="R48" s="505"/>
      <c r="S48" s="507" t="s">
        <v>7410</v>
      </c>
      <c r="T48" s="519" t="s">
        <v>12785</v>
      </c>
      <c r="U48" s="519" t="s">
        <v>12898</v>
      </c>
      <c r="V48" s="519"/>
      <c r="W48" s="519"/>
      <c r="X48" s="520" t="s">
        <v>12902</v>
      </c>
      <c r="Y48" s="501" t="s">
        <v>12900</v>
      </c>
      <c r="Z48" s="521">
        <v>4.2475</v>
      </c>
      <c r="AA48" s="522">
        <f t="shared" si="46"/>
        <v>2140.74</v>
      </c>
      <c r="AB48" s="501"/>
      <c r="AC48" s="501"/>
      <c r="AD48" s="501"/>
      <c r="AE48" s="523"/>
      <c r="AF48" s="523"/>
      <c r="AG48" s="523"/>
      <c r="AH48" s="523">
        <f>I48</f>
        <v>504</v>
      </c>
      <c r="AI48" s="523"/>
      <c r="AJ48" s="523"/>
      <c r="AK48" s="524"/>
      <c r="AL48" s="524">
        <f t="shared" si="47"/>
        <v>504</v>
      </c>
      <c r="AM48" s="524"/>
      <c r="AN48" s="524"/>
      <c r="AO48" s="524"/>
      <c r="AP48" s="524"/>
      <c r="AQ48" s="524"/>
      <c r="AR48" s="524"/>
      <c r="AS48" s="524"/>
      <c r="AT48" s="524"/>
      <c r="AU48" s="524"/>
      <c r="AV48" s="524"/>
      <c r="AW48" s="524">
        <f>I48</f>
        <v>504</v>
      </c>
      <c r="AX48" s="524"/>
      <c r="AY48" s="524"/>
      <c r="AZ48" s="524"/>
      <c r="BA48" s="524"/>
      <c r="BB48" s="524"/>
      <c r="BC48" s="524"/>
      <c r="BD48" s="524"/>
      <c r="BE48" s="524">
        <f t="shared" si="48"/>
        <v>504</v>
      </c>
      <c r="BF48" s="524"/>
      <c r="BG48" s="524" t="s">
        <v>9164</v>
      </c>
      <c r="BH48" s="524"/>
      <c r="BI48" s="524"/>
      <c r="BJ48" s="524"/>
      <c r="BK48" s="524"/>
      <c r="BL48" s="524">
        <f>I48</f>
        <v>504</v>
      </c>
      <c r="BM48" s="524"/>
      <c r="BN48" s="514" t="e">
        <f t="shared" ref="BN48:BN57" si="49">BI48+BJ48+BK48+BL48+BN47</f>
        <v>#REF!</v>
      </c>
      <c r="BO48" s="514" t="e">
        <f t="shared" ref="BO48:BR48" si="50">BO47-BI48</f>
        <v>#REF!</v>
      </c>
      <c r="BP48" s="514" t="e">
        <f t="shared" si="50"/>
        <v>#REF!</v>
      </c>
      <c r="BQ48" s="514" t="e">
        <f t="shared" si="50"/>
        <v>#REF!</v>
      </c>
      <c r="BR48" s="547" t="e">
        <f t="shared" si="50"/>
        <v>#REF!</v>
      </c>
      <c r="BS48" s="99"/>
      <c r="BT48" s="99"/>
      <c r="BU48" s="475"/>
      <c r="BV48" s="475"/>
      <c r="BW48" s="475"/>
      <c r="BX48" s="475"/>
      <c r="BY48" s="475"/>
      <c r="BZ48" s="475"/>
      <c r="CA48" s="475"/>
      <c r="CB48" s="475"/>
      <c r="CC48" s="475"/>
      <c r="CD48" s="475"/>
      <c r="CE48" s="475"/>
      <c r="CF48" s="475"/>
      <c r="CG48" s="475"/>
      <c r="CH48" s="475"/>
      <c r="CI48" s="475"/>
      <c r="CJ48" s="475"/>
      <c r="CK48" s="475"/>
      <c r="CL48" s="475"/>
      <c r="CM48" s="475"/>
      <c r="CN48" s="475"/>
    </row>
    <row r="49" s="478" customFormat="1" ht="32" customHeight="1" spans="1:245">
      <c r="A49" s="539">
        <v>45513</v>
      </c>
      <c r="B49" s="540" t="s">
        <v>12894</v>
      </c>
      <c r="C49" s="541" t="s">
        <v>569</v>
      </c>
      <c r="D49" s="542">
        <v>4500142613</v>
      </c>
      <c r="E49" s="543" t="s">
        <v>12903</v>
      </c>
      <c r="F49" s="542" t="s">
        <v>12904</v>
      </c>
      <c r="G49" s="499" t="s">
        <v>9419</v>
      </c>
      <c r="H49" s="499" t="s">
        <v>9100</v>
      </c>
      <c r="I49" s="501">
        <v>504</v>
      </c>
      <c r="J49" s="501">
        <v>0</v>
      </c>
      <c r="K49" s="501">
        <v>8</v>
      </c>
      <c r="L49" s="501">
        <f t="shared" si="0"/>
        <v>63</v>
      </c>
      <c r="M49" s="504">
        <v>45558</v>
      </c>
      <c r="N49" s="504" t="s">
        <v>12872</v>
      </c>
      <c r="O49" s="505" t="s">
        <v>12412</v>
      </c>
      <c r="P49" s="505"/>
      <c r="Q49" s="505"/>
      <c r="R49" s="505"/>
      <c r="S49" s="507" t="s">
        <v>12905</v>
      </c>
      <c r="T49" s="519" t="s">
        <v>12785</v>
      </c>
      <c r="U49" s="519" t="s">
        <v>12906</v>
      </c>
      <c r="V49" s="519"/>
      <c r="W49" s="519"/>
      <c r="X49" s="520" t="s">
        <v>12907</v>
      </c>
      <c r="Y49" s="501" t="s">
        <v>12900</v>
      </c>
      <c r="Z49" s="521">
        <v>4.0921</v>
      </c>
      <c r="AA49" s="522">
        <f t="shared" si="46"/>
        <v>2062.4184</v>
      </c>
      <c r="AB49" s="501"/>
      <c r="AC49" s="501"/>
      <c r="AD49" s="501"/>
      <c r="AE49" s="523"/>
      <c r="AF49" s="523">
        <f>I49</f>
        <v>504</v>
      </c>
      <c r="AG49" s="523"/>
      <c r="AH49" s="523"/>
      <c r="AI49" s="523"/>
      <c r="AJ49" s="523"/>
      <c r="AK49" s="524"/>
      <c r="AL49" s="524">
        <f t="shared" si="47"/>
        <v>504</v>
      </c>
      <c r="AM49" s="524"/>
      <c r="AN49" s="524"/>
      <c r="AO49" s="524"/>
      <c r="AP49" s="524"/>
      <c r="AQ49" s="524"/>
      <c r="AR49" s="524"/>
      <c r="AS49" s="524"/>
      <c r="AT49" s="524"/>
      <c r="AU49" s="524"/>
      <c r="AV49" s="524">
        <f>I49</f>
        <v>504</v>
      </c>
      <c r="AW49" s="524"/>
      <c r="AX49" s="524"/>
      <c r="AY49" s="524"/>
      <c r="AZ49" s="524"/>
      <c r="BA49" s="524"/>
      <c r="BB49" s="524"/>
      <c r="BC49" s="524"/>
      <c r="BD49" s="524"/>
      <c r="BE49" s="524">
        <f t="shared" si="48"/>
        <v>504</v>
      </c>
      <c r="BF49" s="524"/>
      <c r="BG49" s="524" t="s">
        <v>9164</v>
      </c>
      <c r="BH49" s="524"/>
      <c r="BI49" s="524"/>
      <c r="BJ49" s="524"/>
      <c r="BK49" s="524">
        <f t="shared" si="45"/>
        <v>504</v>
      </c>
      <c r="BL49" s="524"/>
      <c r="BM49" s="524"/>
      <c r="BN49" s="514" t="e">
        <f t="shared" si="49"/>
        <v>#REF!</v>
      </c>
      <c r="BO49" s="514" t="e">
        <f t="shared" ref="BO49:BR49" si="51">BO48-BI49</f>
        <v>#REF!</v>
      </c>
      <c r="BP49" s="514" t="e">
        <f t="shared" si="51"/>
        <v>#REF!</v>
      </c>
      <c r="BQ49" s="514" t="e">
        <f t="shared" si="51"/>
        <v>#REF!</v>
      </c>
      <c r="BR49" s="547" t="e">
        <f t="shared" si="51"/>
        <v>#REF!</v>
      </c>
      <c r="BS49" s="99"/>
      <c r="BT49" s="99"/>
      <c r="BU49" s="475"/>
      <c r="BV49" s="475"/>
      <c r="BW49" s="475"/>
      <c r="BX49" s="475"/>
      <c r="BY49" s="475"/>
      <c r="BZ49" s="475"/>
      <c r="CA49" s="475"/>
      <c r="CB49" s="475"/>
      <c r="CC49" s="475"/>
      <c r="CD49" s="475"/>
      <c r="CE49" s="475"/>
      <c r="CF49" s="475"/>
      <c r="CG49" s="475"/>
      <c r="CH49" s="475"/>
      <c r="CI49" s="475"/>
      <c r="CJ49" s="475"/>
      <c r="CK49" s="475"/>
      <c r="CL49" s="475"/>
      <c r="CM49" s="475"/>
      <c r="CN49" s="475"/>
    </row>
    <row r="50" s="478" customFormat="1" ht="32" customHeight="1" spans="1:245">
      <c r="A50" s="539">
        <v>45526</v>
      </c>
      <c r="B50" s="540" t="s">
        <v>361</v>
      </c>
      <c r="C50" s="541" t="s">
        <v>91</v>
      </c>
      <c r="D50" s="542">
        <v>4500143709</v>
      </c>
      <c r="E50" s="543" t="s">
        <v>12908</v>
      </c>
      <c r="F50" s="542" t="s">
        <v>12909</v>
      </c>
      <c r="G50" s="499" t="s">
        <v>9424</v>
      </c>
      <c r="H50" s="499" t="s">
        <v>8571</v>
      </c>
      <c r="I50" s="501">
        <v>696</v>
      </c>
      <c r="J50" s="501">
        <v>0</v>
      </c>
      <c r="K50" s="501">
        <v>8</v>
      </c>
      <c r="L50" s="501">
        <f t="shared" si="0"/>
        <v>87</v>
      </c>
      <c r="M50" s="504">
        <v>45576</v>
      </c>
      <c r="N50" s="504" t="s">
        <v>12910</v>
      </c>
      <c r="O50" s="505" t="s">
        <v>12412</v>
      </c>
      <c r="P50" s="505"/>
      <c r="Q50" s="505"/>
      <c r="R50" s="505"/>
      <c r="S50" s="507" t="s">
        <v>12911</v>
      </c>
      <c r="T50" s="519" t="s">
        <v>12785</v>
      </c>
      <c r="U50" s="519" t="s">
        <v>12912</v>
      </c>
      <c r="V50" s="519"/>
      <c r="W50" s="519"/>
      <c r="X50" s="520" t="s">
        <v>12913</v>
      </c>
      <c r="Y50" s="501" t="s">
        <v>357</v>
      </c>
      <c r="Z50" s="521">
        <v>4.2475</v>
      </c>
      <c r="AA50" s="522">
        <f t="shared" si="46"/>
        <v>2956.26</v>
      </c>
      <c r="AB50" s="501"/>
      <c r="AC50" s="501"/>
      <c r="AD50" s="501"/>
      <c r="AE50" s="523">
        <f t="shared" ref="AE50:AE62" si="52">I50</f>
        <v>696</v>
      </c>
      <c r="AF50" s="523"/>
      <c r="AG50" s="523"/>
      <c r="AH50" s="523"/>
      <c r="AI50" s="523"/>
      <c r="AJ50" s="523"/>
      <c r="AK50" s="524">
        <f t="shared" ref="AK50:AK62" si="53">I50</f>
        <v>696</v>
      </c>
      <c r="AL50" s="524"/>
      <c r="AM50" s="524"/>
      <c r="AN50" s="524"/>
      <c r="AO50" s="524"/>
      <c r="AP50" s="524"/>
      <c r="AQ50" s="524"/>
      <c r="AR50" s="524"/>
      <c r="AS50" s="524">
        <f>I50</f>
        <v>696</v>
      </c>
      <c r="AT50" s="524"/>
      <c r="AU50" s="524"/>
      <c r="AV50" s="524"/>
      <c r="AW50" s="524"/>
      <c r="AX50" s="524"/>
      <c r="AY50" s="524"/>
      <c r="AZ50" s="524"/>
      <c r="BA50" s="524"/>
      <c r="BB50" s="524"/>
      <c r="BC50" s="524"/>
      <c r="BD50" s="524"/>
      <c r="BE50" s="524">
        <f t="shared" si="48"/>
        <v>696</v>
      </c>
      <c r="BF50" s="524"/>
      <c r="BG50" s="524" t="s">
        <v>9164</v>
      </c>
      <c r="BH50" s="524"/>
      <c r="BI50" s="524"/>
      <c r="BJ50" s="524"/>
      <c r="BK50" s="524"/>
      <c r="BL50" s="524">
        <f>I50</f>
        <v>696</v>
      </c>
      <c r="BM50" s="524"/>
      <c r="BN50" s="514" t="e">
        <f>BI50+BJ50+BK50+BL50+'92107'!#REF!</f>
        <v>#REF!</v>
      </c>
      <c r="BO50" s="514" t="e">
        <f>'92107'!#REF!-BI50</f>
        <v>#REF!</v>
      </c>
      <c r="BP50" s="514" t="e">
        <f>'92107'!#REF!-BJ50</f>
        <v>#REF!</v>
      </c>
      <c r="BQ50" s="514" t="e">
        <f>'92107'!#REF!-BK50</f>
        <v>#REF!</v>
      </c>
      <c r="BR50" s="547" t="e">
        <f>'92107'!#REF!-BL50</f>
        <v>#REF!</v>
      </c>
      <c r="BS50" s="99"/>
      <c r="BT50" s="99"/>
      <c r="BU50" s="475"/>
      <c r="BV50" s="475"/>
      <c r="BW50" s="475"/>
      <c r="BX50" s="475"/>
      <c r="BY50" s="475"/>
      <c r="BZ50" s="475"/>
      <c r="CA50" s="475"/>
      <c r="CB50" s="475"/>
      <c r="CC50" s="475"/>
      <c r="CD50" s="475"/>
      <c r="CE50" s="475"/>
      <c r="CF50" s="475"/>
      <c r="CG50" s="475"/>
      <c r="CH50" s="475"/>
      <c r="CI50" s="475"/>
      <c r="CJ50" s="475"/>
      <c r="CK50" s="475"/>
      <c r="CL50" s="475"/>
      <c r="CM50" s="475"/>
      <c r="CN50" s="475"/>
    </row>
    <row r="51" s="478" customFormat="1" ht="32" customHeight="1" spans="1:245">
      <c r="A51" s="539">
        <v>45526</v>
      </c>
      <c r="B51" s="540" t="s">
        <v>361</v>
      </c>
      <c r="C51" s="541" t="s">
        <v>91</v>
      </c>
      <c r="D51" s="542" t="s">
        <v>12914</v>
      </c>
      <c r="E51" s="543" t="s">
        <v>12915</v>
      </c>
      <c r="F51" s="542" t="s">
        <v>12916</v>
      </c>
      <c r="G51" s="499" t="s">
        <v>9419</v>
      </c>
      <c r="H51" s="499" t="s">
        <v>9100</v>
      </c>
      <c r="I51" s="501">
        <v>304</v>
      </c>
      <c r="J51" s="501">
        <v>0</v>
      </c>
      <c r="K51" s="501">
        <v>8</v>
      </c>
      <c r="L51" s="501">
        <f t="shared" si="0"/>
        <v>38</v>
      </c>
      <c r="M51" s="504">
        <v>45576</v>
      </c>
      <c r="N51" s="504" t="s">
        <v>12910</v>
      </c>
      <c r="O51" s="505" t="s">
        <v>12412</v>
      </c>
      <c r="P51" s="505"/>
      <c r="Q51" s="505"/>
      <c r="R51" s="505"/>
      <c r="S51" s="507" t="s">
        <v>12911</v>
      </c>
      <c r="T51" s="519" t="s">
        <v>12785</v>
      </c>
      <c r="U51" s="519" t="s">
        <v>12912</v>
      </c>
      <c r="V51" s="519"/>
      <c r="W51" s="519"/>
      <c r="X51" s="520" t="s">
        <v>12913</v>
      </c>
      <c r="Y51" s="501" t="s">
        <v>357</v>
      </c>
      <c r="Z51" s="521">
        <v>4.2475</v>
      </c>
      <c r="AA51" s="522">
        <f t="shared" si="46"/>
        <v>1291.24</v>
      </c>
      <c r="AB51" s="501"/>
      <c r="AC51" s="501"/>
      <c r="AD51" s="501"/>
      <c r="AE51" s="523">
        <f t="shared" si="52"/>
        <v>304</v>
      </c>
      <c r="AF51" s="523"/>
      <c r="AG51" s="523"/>
      <c r="AH51" s="523"/>
      <c r="AI51" s="523"/>
      <c r="AJ51" s="523"/>
      <c r="AK51" s="524">
        <f t="shared" si="53"/>
        <v>304</v>
      </c>
      <c r="AL51" s="524"/>
      <c r="AM51" s="524"/>
      <c r="AN51" s="524"/>
      <c r="AO51" s="524"/>
      <c r="AP51" s="524"/>
      <c r="AQ51" s="524"/>
      <c r="AR51" s="524">
        <f>I51</f>
        <v>304</v>
      </c>
      <c r="AS51" s="524"/>
      <c r="AT51" s="524"/>
      <c r="AU51" s="524"/>
      <c r="AV51" s="524"/>
      <c r="AW51" s="524"/>
      <c r="AX51" s="524"/>
      <c r="AY51" s="524"/>
      <c r="AZ51" s="524"/>
      <c r="BA51" s="524"/>
      <c r="BB51" s="524"/>
      <c r="BC51" s="524"/>
      <c r="BD51" s="524"/>
      <c r="BE51" s="524">
        <f t="shared" si="48"/>
        <v>304</v>
      </c>
      <c r="BF51" s="524"/>
      <c r="BG51" s="524" t="s">
        <v>9164</v>
      </c>
      <c r="BH51" s="524"/>
      <c r="BI51" s="524"/>
      <c r="BJ51" s="524"/>
      <c r="BK51" s="524">
        <f t="shared" si="45"/>
        <v>304</v>
      </c>
      <c r="BL51" s="524"/>
      <c r="BM51" s="524"/>
      <c r="BN51" s="514" t="e">
        <f t="shared" si="49"/>
        <v>#REF!</v>
      </c>
      <c r="BO51" s="514" t="e">
        <f t="shared" ref="BO51:BR51" si="54">BO50-BI51</f>
        <v>#REF!</v>
      </c>
      <c r="BP51" s="514" t="e">
        <f t="shared" si="54"/>
        <v>#REF!</v>
      </c>
      <c r="BQ51" s="514" t="e">
        <f t="shared" si="54"/>
        <v>#REF!</v>
      </c>
      <c r="BR51" s="547" t="e">
        <f t="shared" si="54"/>
        <v>#REF!</v>
      </c>
      <c r="BS51" s="99"/>
      <c r="BT51" s="99"/>
      <c r="BU51" s="475"/>
      <c r="BV51" s="475"/>
      <c r="BW51" s="475"/>
      <c r="BX51" s="475"/>
      <c r="BY51" s="475"/>
      <c r="BZ51" s="475"/>
      <c r="CA51" s="475"/>
      <c r="CB51" s="475"/>
      <c r="CC51" s="475"/>
      <c r="CD51" s="475"/>
      <c r="CE51" s="475"/>
      <c r="CF51" s="475"/>
      <c r="CG51" s="475"/>
      <c r="CH51" s="475"/>
      <c r="CI51" s="475"/>
      <c r="CJ51" s="475"/>
      <c r="CK51" s="475"/>
      <c r="CL51" s="475"/>
      <c r="CM51" s="475"/>
      <c r="CN51" s="475"/>
    </row>
    <row r="52" s="478" customFormat="1" ht="32" customHeight="1" spans="1:245">
      <c r="A52" s="539">
        <v>45526</v>
      </c>
      <c r="B52" s="540" t="s">
        <v>361</v>
      </c>
      <c r="C52" s="541" t="s">
        <v>91</v>
      </c>
      <c r="D52" s="542" t="s">
        <v>12914</v>
      </c>
      <c r="E52" s="543" t="s">
        <v>12917</v>
      </c>
      <c r="F52" s="542" t="s">
        <v>12918</v>
      </c>
      <c r="G52" s="499" t="s">
        <v>9419</v>
      </c>
      <c r="H52" s="499" t="s">
        <v>9100</v>
      </c>
      <c r="I52" s="501">
        <v>1392</v>
      </c>
      <c r="J52" s="501">
        <v>0</v>
      </c>
      <c r="K52" s="501">
        <v>8</v>
      </c>
      <c r="L52" s="501">
        <f t="shared" si="0"/>
        <v>174</v>
      </c>
      <c r="M52" s="504">
        <v>45576</v>
      </c>
      <c r="N52" s="504" t="s">
        <v>12910</v>
      </c>
      <c r="O52" s="505" t="s">
        <v>12412</v>
      </c>
      <c r="P52" s="505"/>
      <c r="Q52" s="505"/>
      <c r="R52" s="505"/>
      <c r="S52" s="507" t="s">
        <v>12911</v>
      </c>
      <c r="T52" s="519" t="s">
        <v>12785</v>
      </c>
      <c r="U52" s="519" t="s">
        <v>12912</v>
      </c>
      <c r="V52" s="519"/>
      <c r="W52" s="519"/>
      <c r="X52" s="520" t="s">
        <v>12913</v>
      </c>
      <c r="Y52" s="501" t="s">
        <v>357</v>
      </c>
      <c r="Z52" s="521">
        <v>4.2475</v>
      </c>
      <c r="AA52" s="522">
        <f t="shared" si="46"/>
        <v>5912.52</v>
      </c>
      <c r="AB52" s="501"/>
      <c r="AC52" s="501"/>
      <c r="AD52" s="501"/>
      <c r="AE52" s="523">
        <f t="shared" si="52"/>
        <v>1392</v>
      </c>
      <c r="AF52" s="523"/>
      <c r="AG52" s="523"/>
      <c r="AH52" s="523"/>
      <c r="AI52" s="523"/>
      <c r="AJ52" s="523"/>
      <c r="AK52" s="524">
        <f t="shared" si="53"/>
        <v>1392</v>
      </c>
      <c r="AL52" s="524"/>
      <c r="AM52" s="524"/>
      <c r="AN52" s="524"/>
      <c r="AO52" s="524"/>
      <c r="AP52" s="524"/>
      <c r="AQ52" s="524"/>
      <c r="AR52" s="524">
        <f>I52</f>
        <v>1392</v>
      </c>
      <c r="AS52" s="524"/>
      <c r="AT52" s="524"/>
      <c r="AU52" s="524"/>
      <c r="AV52" s="524"/>
      <c r="AW52" s="524"/>
      <c r="AX52" s="524"/>
      <c r="AY52" s="524"/>
      <c r="AZ52" s="524"/>
      <c r="BA52" s="524"/>
      <c r="BB52" s="524"/>
      <c r="BC52" s="524"/>
      <c r="BD52" s="524"/>
      <c r="BE52" s="524">
        <f t="shared" si="48"/>
        <v>1392</v>
      </c>
      <c r="BF52" s="524"/>
      <c r="BG52" s="524" t="s">
        <v>9164</v>
      </c>
      <c r="BH52" s="524"/>
      <c r="BI52" s="524"/>
      <c r="BJ52" s="524"/>
      <c r="BK52" s="524">
        <f t="shared" si="45"/>
        <v>1392</v>
      </c>
      <c r="BL52" s="524"/>
      <c r="BM52" s="524"/>
      <c r="BN52" s="514" t="e">
        <f t="shared" si="49"/>
        <v>#REF!</v>
      </c>
      <c r="BO52" s="514" t="e">
        <f t="shared" ref="BO52:BR52" si="55">BO51-BI52</f>
        <v>#REF!</v>
      </c>
      <c r="BP52" s="514" t="e">
        <f t="shared" si="55"/>
        <v>#REF!</v>
      </c>
      <c r="BQ52" s="514" t="e">
        <f t="shared" si="55"/>
        <v>#REF!</v>
      </c>
      <c r="BR52" s="547" t="e">
        <f t="shared" si="55"/>
        <v>#REF!</v>
      </c>
      <c r="BS52" s="99"/>
      <c r="BT52" s="99"/>
      <c r="BU52" s="475"/>
      <c r="BV52" s="475"/>
      <c r="BW52" s="475"/>
      <c r="BX52" s="475"/>
      <c r="BY52" s="475"/>
      <c r="BZ52" s="475"/>
      <c r="CA52" s="475"/>
      <c r="CB52" s="475"/>
      <c r="CC52" s="475"/>
      <c r="CD52" s="475"/>
      <c r="CE52" s="475"/>
      <c r="CF52" s="475"/>
      <c r="CG52" s="475"/>
      <c r="CH52" s="475"/>
      <c r="CI52" s="475"/>
      <c r="CJ52" s="475"/>
      <c r="CK52" s="475"/>
      <c r="CL52" s="475"/>
      <c r="CM52" s="475"/>
      <c r="CN52" s="475"/>
    </row>
    <row r="53" s="478" customFormat="1" ht="32" customHeight="1" spans="1:245">
      <c r="A53" s="539">
        <v>45526</v>
      </c>
      <c r="B53" s="540" t="s">
        <v>361</v>
      </c>
      <c r="C53" s="541" t="s">
        <v>91</v>
      </c>
      <c r="D53" s="542" t="s">
        <v>12914</v>
      </c>
      <c r="E53" s="543" t="s">
        <v>12919</v>
      </c>
      <c r="F53" s="542" t="s">
        <v>12920</v>
      </c>
      <c r="G53" s="499" t="s">
        <v>9255</v>
      </c>
      <c r="H53" s="499" t="s">
        <v>9098</v>
      </c>
      <c r="I53" s="501">
        <v>272</v>
      </c>
      <c r="J53" s="501">
        <v>0</v>
      </c>
      <c r="K53" s="501">
        <v>8</v>
      </c>
      <c r="L53" s="501">
        <f t="shared" si="0"/>
        <v>34</v>
      </c>
      <c r="M53" s="504">
        <v>45576</v>
      </c>
      <c r="N53" s="504" t="s">
        <v>12910</v>
      </c>
      <c r="O53" s="505" t="s">
        <v>12412</v>
      </c>
      <c r="P53" s="505"/>
      <c r="Q53" s="505"/>
      <c r="R53" s="505"/>
      <c r="S53" s="507" t="s">
        <v>12911</v>
      </c>
      <c r="T53" s="519" t="s">
        <v>12785</v>
      </c>
      <c r="U53" s="519" t="s">
        <v>12912</v>
      </c>
      <c r="V53" s="519"/>
      <c r="W53" s="519"/>
      <c r="X53" s="520" t="s">
        <v>12913</v>
      </c>
      <c r="Y53" s="501" t="s">
        <v>357</v>
      </c>
      <c r="Z53" s="521">
        <v>4.2475</v>
      </c>
      <c r="AA53" s="522">
        <f t="shared" si="46"/>
        <v>1155.32</v>
      </c>
      <c r="AB53" s="501"/>
      <c r="AC53" s="501"/>
      <c r="AD53" s="501"/>
      <c r="AE53" s="523">
        <f t="shared" si="52"/>
        <v>272</v>
      </c>
      <c r="AF53" s="523"/>
      <c r="AG53" s="523"/>
      <c r="AH53" s="523"/>
      <c r="AI53" s="523"/>
      <c r="AJ53" s="523"/>
      <c r="AK53" s="524">
        <f t="shared" si="53"/>
        <v>272</v>
      </c>
      <c r="AL53" s="524"/>
      <c r="AM53" s="524"/>
      <c r="AN53" s="524"/>
      <c r="AO53" s="524"/>
      <c r="AP53" s="524">
        <f>I53</f>
        <v>272</v>
      </c>
      <c r="AQ53" s="524"/>
      <c r="AR53" s="524"/>
      <c r="AS53" s="524"/>
      <c r="AT53" s="524"/>
      <c r="AU53" s="524"/>
      <c r="AV53" s="524"/>
      <c r="AW53" s="524"/>
      <c r="AX53" s="524"/>
      <c r="AY53" s="524"/>
      <c r="AZ53" s="524"/>
      <c r="BA53" s="524"/>
      <c r="BB53" s="524"/>
      <c r="BC53" s="524"/>
      <c r="BD53" s="524"/>
      <c r="BE53" s="524">
        <f t="shared" si="48"/>
        <v>272</v>
      </c>
      <c r="BF53" s="524"/>
      <c r="BG53" s="524" t="s">
        <v>9164</v>
      </c>
      <c r="BH53" s="524"/>
      <c r="BI53" s="524">
        <f>I53</f>
        <v>272</v>
      </c>
      <c r="BJ53" s="524"/>
      <c r="BK53" s="524"/>
      <c r="BL53" s="524"/>
      <c r="BM53" s="524"/>
      <c r="BN53" s="514" t="e">
        <f t="shared" si="49"/>
        <v>#REF!</v>
      </c>
      <c r="BO53" s="514" t="e">
        <f t="shared" ref="BO53:BR53" si="56">BO52-BI53</f>
        <v>#REF!</v>
      </c>
      <c r="BP53" s="514" t="e">
        <f t="shared" si="56"/>
        <v>#REF!</v>
      </c>
      <c r="BQ53" s="514" t="e">
        <f t="shared" si="56"/>
        <v>#REF!</v>
      </c>
      <c r="BR53" s="547" t="e">
        <f t="shared" si="56"/>
        <v>#REF!</v>
      </c>
      <c r="BS53" s="99"/>
      <c r="BT53" s="99"/>
      <c r="BU53" s="475"/>
      <c r="BV53" s="475"/>
      <c r="BW53" s="475"/>
      <c r="BX53" s="475"/>
      <c r="BY53" s="475"/>
      <c r="BZ53" s="475"/>
      <c r="CA53" s="475"/>
      <c r="CB53" s="475"/>
      <c r="CC53" s="475"/>
      <c r="CD53" s="475"/>
      <c r="CE53" s="475"/>
      <c r="CF53" s="475"/>
      <c r="CG53" s="475"/>
      <c r="CH53" s="475"/>
      <c r="CI53" s="475"/>
      <c r="CJ53" s="475"/>
      <c r="CK53" s="475"/>
      <c r="CL53" s="475"/>
      <c r="CM53" s="475"/>
      <c r="CN53" s="475"/>
    </row>
    <row r="54" s="478" customFormat="1" ht="32" customHeight="1" spans="1:245">
      <c r="A54" s="539">
        <v>45526</v>
      </c>
      <c r="B54" s="540" t="s">
        <v>361</v>
      </c>
      <c r="C54" s="541" t="s">
        <v>91</v>
      </c>
      <c r="D54" s="542" t="s">
        <v>12914</v>
      </c>
      <c r="E54" s="543" t="s">
        <v>12921</v>
      </c>
      <c r="F54" s="542" t="s">
        <v>12922</v>
      </c>
      <c r="G54" s="499" t="s">
        <v>9255</v>
      </c>
      <c r="H54" s="499" t="s">
        <v>9098</v>
      </c>
      <c r="I54" s="501">
        <v>1048</v>
      </c>
      <c r="J54" s="501">
        <v>0</v>
      </c>
      <c r="K54" s="501">
        <v>8</v>
      </c>
      <c r="L54" s="501">
        <f t="shared" si="0"/>
        <v>131</v>
      </c>
      <c r="M54" s="504">
        <v>45576</v>
      </c>
      <c r="N54" s="504" t="s">
        <v>12910</v>
      </c>
      <c r="O54" s="505" t="s">
        <v>12412</v>
      </c>
      <c r="P54" s="505"/>
      <c r="Q54" s="505"/>
      <c r="R54" s="505"/>
      <c r="S54" s="507"/>
      <c r="T54" s="519" t="s">
        <v>12785</v>
      </c>
      <c r="U54" s="519" t="s">
        <v>12912</v>
      </c>
      <c r="V54" s="519"/>
      <c r="W54" s="519"/>
      <c r="X54" s="520" t="s">
        <v>12913</v>
      </c>
      <c r="Y54" s="501" t="s">
        <v>357</v>
      </c>
      <c r="Z54" s="521">
        <v>4.2475</v>
      </c>
      <c r="AA54" s="522">
        <f t="shared" si="46"/>
        <v>4451.38</v>
      </c>
      <c r="AB54" s="501"/>
      <c r="AC54" s="501"/>
      <c r="AD54" s="501"/>
      <c r="AE54" s="523">
        <f t="shared" si="52"/>
        <v>1048</v>
      </c>
      <c r="AF54" s="523"/>
      <c r="AG54" s="523"/>
      <c r="AH54" s="523"/>
      <c r="AI54" s="523"/>
      <c r="AJ54" s="523"/>
      <c r="AK54" s="524">
        <f t="shared" si="53"/>
        <v>1048</v>
      </c>
      <c r="AL54" s="524"/>
      <c r="AM54" s="524"/>
      <c r="AN54" s="524"/>
      <c r="AO54" s="524"/>
      <c r="AP54" s="524">
        <f>I54</f>
        <v>1048</v>
      </c>
      <c r="AQ54" s="524"/>
      <c r="AR54" s="524"/>
      <c r="AS54" s="524"/>
      <c r="AT54" s="524"/>
      <c r="AU54" s="524"/>
      <c r="AV54" s="524"/>
      <c r="AW54" s="524"/>
      <c r="AX54" s="524"/>
      <c r="AY54" s="524"/>
      <c r="AZ54" s="524"/>
      <c r="BA54" s="524"/>
      <c r="BB54" s="524"/>
      <c r="BC54" s="524"/>
      <c r="BD54" s="524"/>
      <c r="BE54" s="524">
        <f t="shared" si="48"/>
        <v>1048</v>
      </c>
      <c r="BF54" s="524"/>
      <c r="BG54" s="524" t="s">
        <v>9164</v>
      </c>
      <c r="BH54" s="524"/>
      <c r="BI54" s="524">
        <f>I54</f>
        <v>1048</v>
      </c>
      <c r="BJ54" s="524"/>
      <c r="BK54" s="524"/>
      <c r="BL54" s="524"/>
      <c r="BM54" s="524"/>
      <c r="BN54" s="514" t="e">
        <f t="shared" si="49"/>
        <v>#REF!</v>
      </c>
      <c r="BO54" s="514" t="e">
        <f t="shared" ref="BO54:BR54" si="57">BO53-BI54</f>
        <v>#REF!</v>
      </c>
      <c r="BP54" s="514" t="e">
        <f t="shared" si="57"/>
        <v>#REF!</v>
      </c>
      <c r="BQ54" s="514" t="e">
        <f t="shared" si="57"/>
        <v>#REF!</v>
      </c>
      <c r="BR54" s="547" t="e">
        <f t="shared" si="57"/>
        <v>#REF!</v>
      </c>
      <c r="BS54" s="99"/>
      <c r="BT54" s="99"/>
      <c r="BU54" s="475"/>
      <c r="BV54" s="475"/>
      <c r="BW54" s="475"/>
      <c r="BX54" s="475"/>
      <c r="BY54" s="475"/>
      <c r="BZ54" s="475"/>
      <c r="CA54" s="475"/>
      <c r="CB54" s="475"/>
      <c r="CC54" s="475"/>
      <c r="CD54" s="475"/>
      <c r="CE54" s="475"/>
      <c r="CF54" s="475"/>
      <c r="CG54" s="475"/>
      <c r="CH54" s="475"/>
      <c r="CI54" s="475"/>
      <c r="CJ54" s="475"/>
      <c r="CK54" s="475"/>
      <c r="CL54" s="475"/>
      <c r="CM54" s="475"/>
      <c r="CN54" s="475"/>
    </row>
    <row r="55" s="478" customFormat="1" ht="32" customHeight="1" spans="1:245">
      <c r="A55" s="539">
        <v>45526</v>
      </c>
      <c r="B55" s="540" t="s">
        <v>361</v>
      </c>
      <c r="C55" s="541" t="s">
        <v>91</v>
      </c>
      <c r="D55" s="542" t="s">
        <v>12914</v>
      </c>
      <c r="E55" s="543" t="s">
        <v>12923</v>
      </c>
      <c r="F55" s="542" t="s">
        <v>12924</v>
      </c>
      <c r="G55" s="499" t="s">
        <v>9431</v>
      </c>
      <c r="H55" s="499" t="s">
        <v>9099</v>
      </c>
      <c r="I55" s="501">
        <v>296</v>
      </c>
      <c r="J55" s="501">
        <v>0</v>
      </c>
      <c r="K55" s="501">
        <v>8</v>
      </c>
      <c r="L55" s="501">
        <f t="shared" si="0"/>
        <v>37</v>
      </c>
      <c r="M55" s="504">
        <v>45576</v>
      </c>
      <c r="N55" s="504" t="s">
        <v>12910</v>
      </c>
      <c r="O55" s="505" t="s">
        <v>12412</v>
      </c>
      <c r="P55" s="505"/>
      <c r="Q55" s="505"/>
      <c r="R55" s="505"/>
      <c r="S55" s="507"/>
      <c r="T55" s="519" t="s">
        <v>12785</v>
      </c>
      <c r="U55" s="519" t="s">
        <v>12912</v>
      </c>
      <c r="V55" s="519"/>
      <c r="W55" s="519"/>
      <c r="X55" s="520" t="s">
        <v>12913</v>
      </c>
      <c r="Y55" s="501" t="s">
        <v>357</v>
      </c>
      <c r="Z55" s="521">
        <v>4.2475</v>
      </c>
      <c r="AA55" s="522">
        <f t="shared" si="46"/>
        <v>1257.26</v>
      </c>
      <c r="AB55" s="501"/>
      <c r="AC55" s="501"/>
      <c r="AD55" s="501"/>
      <c r="AE55" s="523">
        <f t="shared" si="52"/>
        <v>296</v>
      </c>
      <c r="AF55" s="523"/>
      <c r="AG55" s="523"/>
      <c r="AH55" s="523"/>
      <c r="AI55" s="523"/>
      <c r="AJ55" s="523"/>
      <c r="AK55" s="524">
        <f t="shared" si="53"/>
        <v>296</v>
      </c>
      <c r="AL55" s="524"/>
      <c r="AM55" s="524"/>
      <c r="AN55" s="524"/>
      <c r="AO55" s="524"/>
      <c r="AP55" s="524"/>
      <c r="AQ55" s="524">
        <f t="shared" ref="AQ55:AQ57" si="58">I55</f>
        <v>296</v>
      </c>
      <c r="AR55" s="524"/>
      <c r="AS55" s="524"/>
      <c r="AT55" s="524"/>
      <c r="AU55" s="524"/>
      <c r="AV55" s="524"/>
      <c r="AW55" s="524"/>
      <c r="AX55" s="524"/>
      <c r="AY55" s="524"/>
      <c r="AZ55" s="524"/>
      <c r="BA55" s="524"/>
      <c r="BB55" s="524"/>
      <c r="BC55" s="524"/>
      <c r="BD55" s="524"/>
      <c r="BE55" s="524">
        <f t="shared" si="48"/>
        <v>296</v>
      </c>
      <c r="BF55" s="524"/>
      <c r="BG55" s="524" t="s">
        <v>9164</v>
      </c>
      <c r="BH55" s="524"/>
      <c r="BI55" s="524"/>
      <c r="BJ55" s="524">
        <f t="shared" ref="BJ55:BJ57" si="59">I55</f>
        <v>296</v>
      </c>
      <c r="BK55" s="524"/>
      <c r="BL55" s="524"/>
      <c r="BM55" s="524"/>
      <c r="BN55" s="514" t="e">
        <f t="shared" si="49"/>
        <v>#REF!</v>
      </c>
      <c r="BO55" s="514" t="e">
        <f t="shared" ref="BO55:BR55" si="60">BO54-BI55</f>
        <v>#REF!</v>
      </c>
      <c r="BP55" s="514" t="e">
        <f t="shared" si="60"/>
        <v>#REF!</v>
      </c>
      <c r="BQ55" s="514" t="e">
        <f t="shared" si="60"/>
        <v>#REF!</v>
      </c>
      <c r="BR55" s="547" t="e">
        <f t="shared" si="60"/>
        <v>#REF!</v>
      </c>
      <c r="BS55" s="99"/>
      <c r="BT55" s="99"/>
      <c r="BU55" s="475"/>
      <c r="BV55" s="475"/>
      <c r="BW55" s="475"/>
      <c r="BX55" s="475"/>
      <c r="BY55" s="475"/>
      <c r="BZ55" s="475"/>
      <c r="CA55" s="475"/>
      <c r="CB55" s="475"/>
      <c r="CC55" s="475"/>
      <c r="CD55" s="475"/>
      <c r="CE55" s="475"/>
      <c r="CF55" s="475"/>
      <c r="CG55" s="475"/>
      <c r="CH55" s="475"/>
      <c r="CI55" s="475"/>
      <c r="CJ55" s="475"/>
      <c r="CK55" s="475"/>
      <c r="CL55" s="475"/>
      <c r="CM55" s="475"/>
      <c r="CN55" s="475"/>
    </row>
    <row r="56" s="478" customFormat="1" ht="32" customHeight="1" spans="1:245">
      <c r="A56" s="539">
        <v>45526</v>
      </c>
      <c r="B56" s="540" t="s">
        <v>361</v>
      </c>
      <c r="C56" s="541" t="s">
        <v>91</v>
      </c>
      <c r="D56" s="542" t="s">
        <v>12914</v>
      </c>
      <c r="E56" s="543" t="s">
        <v>12925</v>
      </c>
      <c r="F56" s="542" t="s">
        <v>12926</v>
      </c>
      <c r="G56" s="499" t="s">
        <v>9431</v>
      </c>
      <c r="H56" s="499" t="s">
        <v>9099</v>
      </c>
      <c r="I56" s="501">
        <v>760</v>
      </c>
      <c r="J56" s="501">
        <v>0</v>
      </c>
      <c r="K56" s="501">
        <v>8</v>
      </c>
      <c r="L56" s="501">
        <f t="shared" si="0"/>
        <v>95</v>
      </c>
      <c r="M56" s="504">
        <v>45576</v>
      </c>
      <c r="N56" s="504" t="s">
        <v>12910</v>
      </c>
      <c r="O56" s="505" t="s">
        <v>12412</v>
      </c>
      <c r="P56" s="505"/>
      <c r="Q56" s="505"/>
      <c r="R56" s="505"/>
      <c r="S56" s="507"/>
      <c r="T56" s="519" t="s">
        <v>12785</v>
      </c>
      <c r="U56" s="519" t="s">
        <v>12912</v>
      </c>
      <c r="V56" s="519"/>
      <c r="W56" s="519"/>
      <c r="X56" s="520" t="s">
        <v>12913</v>
      </c>
      <c r="Y56" s="501" t="s">
        <v>357</v>
      </c>
      <c r="Z56" s="521">
        <v>4.2475</v>
      </c>
      <c r="AA56" s="522">
        <f t="shared" si="46"/>
        <v>3228.1</v>
      </c>
      <c r="AB56" s="501"/>
      <c r="AC56" s="501"/>
      <c r="AD56" s="501"/>
      <c r="AE56" s="523">
        <f t="shared" si="52"/>
        <v>760</v>
      </c>
      <c r="AF56" s="523"/>
      <c r="AG56" s="523"/>
      <c r="AH56" s="523"/>
      <c r="AI56" s="523"/>
      <c r="AJ56" s="523"/>
      <c r="AK56" s="524">
        <f t="shared" si="53"/>
        <v>760</v>
      </c>
      <c r="AL56" s="524"/>
      <c r="AM56" s="524"/>
      <c r="AN56" s="524"/>
      <c r="AO56" s="524"/>
      <c r="AP56" s="524"/>
      <c r="AQ56" s="524">
        <f t="shared" si="58"/>
        <v>760</v>
      </c>
      <c r="AR56" s="524"/>
      <c r="AS56" s="524"/>
      <c r="AT56" s="524"/>
      <c r="AU56" s="524"/>
      <c r="AV56" s="524"/>
      <c r="AW56" s="524"/>
      <c r="AX56" s="524"/>
      <c r="AY56" s="524"/>
      <c r="AZ56" s="524"/>
      <c r="BA56" s="524"/>
      <c r="BB56" s="524"/>
      <c r="BC56" s="524"/>
      <c r="BD56" s="524"/>
      <c r="BE56" s="524">
        <f t="shared" si="48"/>
        <v>760</v>
      </c>
      <c r="BF56" s="524"/>
      <c r="BG56" s="524" t="s">
        <v>9164</v>
      </c>
      <c r="BH56" s="524"/>
      <c r="BI56" s="524"/>
      <c r="BJ56" s="524">
        <f t="shared" si="59"/>
        <v>760</v>
      </c>
      <c r="BK56" s="524"/>
      <c r="BL56" s="524"/>
      <c r="BM56" s="524"/>
      <c r="BN56" s="514" t="e">
        <f t="shared" si="49"/>
        <v>#REF!</v>
      </c>
      <c r="BO56" s="514" t="e">
        <f t="shared" ref="BO56:BR56" si="61">BO55-BI56</f>
        <v>#REF!</v>
      </c>
      <c r="BP56" s="514" t="e">
        <f t="shared" si="61"/>
        <v>#REF!</v>
      </c>
      <c r="BQ56" s="514" t="e">
        <f t="shared" si="61"/>
        <v>#REF!</v>
      </c>
      <c r="BR56" s="547" t="e">
        <f t="shared" si="61"/>
        <v>#REF!</v>
      </c>
      <c r="BS56" s="99"/>
      <c r="BT56" s="99"/>
      <c r="BU56" s="475"/>
      <c r="BV56" s="475"/>
      <c r="BW56" s="475"/>
      <c r="BX56" s="475"/>
      <c r="BY56" s="475"/>
      <c r="BZ56" s="475"/>
      <c r="CA56" s="475"/>
      <c r="CB56" s="475"/>
      <c r="CC56" s="475"/>
      <c r="CD56" s="475"/>
      <c r="CE56" s="475"/>
      <c r="CF56" s="475"/>
      <c r="CG56" s="475"/>
      <c r="CH56" s="475"/>
      <c r="CI56" s="475"/>
      <c r="CJ56" s="475"/>
      <c r="CK56" s="475"/>
      <c r="CL56" s="475"/>
      <c r="CM56" s="475"/>
      <c r="CN56" s="475"/>
    </row>
    <row r="57" s="478" customFormat="1" ht="32" customHeight="1" spans="1:245">
      <c r="A57" s="539">
        <v>45526</v>
      </c>
      <c r="B57" s="540" t="s">
        <v>361</v>
      </c>
      <c r="C57" s="541" t="s">
        <v>91</v>
      </c>
      <c r="D57" s="542" t="s">
        <v>12914</v>
      </c>
      <c r="E57" s="543" t="s">
        <v>12927</v>
      </c>
      <c r="F57" s="542" t="s">
        <v>12928</v>
      </c>
      <c r="G57" s="499" t="s">
        <v>9431</v>
      </c>
      <c r="H57" s="499" t="s">
        <v>9099</v>
      </c>
      <c r="I57" s="501">
        <v>40</v>
      </c>
      <c r="J57" s="501">
        <v>0</v>
      </c>
      <c r="K57" s="501">
        <v>8</v>
      </c>
      <c r="L57" s="501">
        <f t="shared" si="0"/>
        <v>5</v>
      </c>
      <c r="M57" s="504">
        <v>45576</v>
      </c>
      <c r="N57" s="504" t="s">
        <v>12910</v>
      </c>
      <c r="O57" s="505" t="s">
        <v>12412</v>
      </c>
      <c r="P57" s="505"/>
      <c r="Q57" s="505"/>
      <c r="R57" s="505"/>
      <c r="S57" s="507"/>
      <c r="T57" s="519" t="s">
        <v>12785</v>
      </c>
      <c r="U57" s="519" t="s">
        <v>12912</v>
      </c>
      <c r="V57" s="519"/>
      <c r="W57" s="519"/>
      <c r="X57" s="520" t="s">
        <v>12913</v>
      </c>
      <c r="Y57" s="501" t="s">
        <v>357</v>
      </c>
      <c r="Z57" s="521">
        <v>4.2475</v>
      </c>
      <c r="AA57" s="522">
        <f t="shared" si="46"/>
        <v>169.9</v>
      </c>
      <c r="AB57" s="501"/>
      <c r="AC57" s="501"/>
      <c r="AD57" s="501"/>
      <c r="AE57" s="523">
        <f t="shared" si="52"/>
        <v>40</v>
      </c>
      <c r="AF57" s="523"/>
      <c r="AG57" s="523"/>
      <c r="AH57" s="523"/>
      <c r="AI57" s="523"/>
      <c r="AJ57" s="523"/>
      <c r="AK57" s="524">
        <f t="shared" si="53"/>
        <v>40</v>
      </c>
      <c r="AL57" s="524"/>
      <c r="AM57" s="524"/>
      <c r="AN57" s="524"/>
      <c r="AO57" s="524"/>
      <c r="AP57" s="524"/>
      <c r="AQ57" s="524">
        <f t="shared" si="58"/>
        <v>40</v>
      </c>
      <c r="AR57" s="524"/>
      <c r="AS57" s="524"/>
      <c r="AT57" s="524"/>
      <c r="AU57" s="524"/>
      <c r="AV57" s="524"/>
      <c r="AW57" s="524"/>
      <c r="AX57" s="524"/>
      <c r="AY57" s="524"/>
      <c r="AZ57" s="524"/>
      <c r="BA57" s="524"/>
      <c r="BB57" s="524"/>
      <c r="BC57" s="524"/>
      <c r="BD57" s="524"/>
      <c r="BE57" s="524">
        <f t="shared" si="48"/>
        <v>40</v>
      </c>
      <c r="BF57" s="524"/>
      <c r="BG57" s="524" t="s">
        <v>9164</v>
      </c>
      <c r="BH57" s="524"/>
      <c r="BI57" s="524"/>
      <c r="BJ57" s="524">
        <f t="shared" si="59"/>
        <v>40</v>
      </c>
      <c r="BK57" s="524"/>
      <c r="BL57" s="524"/>
      <c r="BM57" s="524"/>
      <c r="BN57" s="514" t="e">
        <f t="shared" si="49"/>
        <v>#REF!</v>
      </c>
      <c r="BO57" s="514" t="e">
        <f t="shared" ref="BO57:BR57" si="62">BO56-BI57</f>
        <v>#REF!</v>
      </c>
      <c r="BP57" s="514" t="e">
        <f t="shared" si="62"/>
        <v>#REF!</v>
      </c>
      <c r="BQ57" s="514" t="e">
        <f t="shared" si="62"/>
        <v>#REF!</v>
      </c>
      <c r="BR57" s="547" t="e">
        <f t="shared" si="62"/>
        <v>#REF!</v>
      </c>
      <c r="BS57" s="99"/>
      <c r="BT57" s="99"/>
      <c r="BU57" s="475"/>
      <c r="BV57" s="475"/>
      <c r="BW57" s="475"/>
      <c r="BX57" s="475"/>
      <c r="BY57" s="475"/>
      <c r="BZ57" s="475"/>
      <c r="CA57" s="475"/>
      <c r="CB57" s="475"/>
      <c r="CC57" s="475"/>
      <c r="CD57" s="475"/>
      <c r="CE57" s="475"/>
      <c r="CF57" s="475"/>
      <c r="CG57" s="475"/>
      <c r="CH57" s="475"/>
      <c r="CI57" s="475"/>
      <c r="CJ57" s="475"/>
      <c r="CK57" s="475"/>
      <c r="CL57" s="475"/>
      <c r="CM57" s="475"/>
      <c r="CN57" s="475"/>
    </row>
    <row r="58" s="478" customFormat="1" ht="32" customHeight="1" spans="1:245">
      <c r="A58" s="539">
        <v>45526</v>
      </c>
      <c r="B58" s="540" t="s">
        <v>361</v>
      </c>
      <c r="C58" s="541" t="s">
        <v>91</v>
      </c>
      <c r="D58" s="542">
        <v>4500143730</v>
      </c>
      <c r="E58" s="543" t="s">
        <v>12929</v>
      </c>
      <c r="F58" s="542" t="s">
        <v>12930</v>
      </c>
      <c r="G58" s="499" t="s">
        <v>9424</v>
      </c>
      <c r="H58" s="499" t="s">
        <v>8571</v>
      </c>
      <c r="I58" s="501">
        <v>232</v>
      </c>
      <c r="J58" s="501">
        <v>0</v>
      </c>
      <c r="K58" s="501">
        <v>8</v>
      </c>
      <c r="L58" s="501">
        <f t="shared" si="0"/>
        <v>29</v>
      </c>
      <c r="M58" s="504">
        <v>45576</v>
      </c>
      <c r="N58" s="504" t="s">
        <v>12910</v>
      </c>
      <c r="O58" s="505" t="s">
        <v>12412</v>
      </c>
      <c r="P58" s="505"/>
      <c r="Q58" s="505"/>
      <c r="R58" s="505"/>
      <c r="S58" s="505"/>
      <c r="T58" s="519" t="s">
        <v>12785</v>
      </c>
      <c r="U58" s="519" t="s">
        <v>12931</v>
      </c>
      <c r="V58" s="519"/>
      <c r="W58" s="519"/>
      <c r="X58" s="520" t="s">
        <v>12932</v>
      </c>
      <c r="Y58" s="501" t="s">
        <v>357</v>
      </c>
      <c r="Z58" s="521">
        <v>4.2589</v>
      </c>
      <c r="AA58" s="522">
        <f t="shared" si="46"/>
        <v>988.0648</v>
      </c>
      <c r="AB58" s="501"/>
      <c r="AC58" s="501"/>
      <c r="AD58" s="501"/>
      <c r="AE58" s="523">
        <f t="shared" si="52"/>
        <v>232</v>
      </c>
      <c r="AF58" s="523"/>
      <c r="AG58" s="523"/>
      <c r="AH58" s="523"/>
      <c r="AI58" s="523"/>
      <c r="AJ58" s="523"/>
      <c r="AK58" s="524">
        <f t="shared" si="53"/>
        <v>232</v>
      </c>
      <c r="AL58" s="524"/>
      <c r="AM58" s="524"/>
      <c r="AN58" s="524"/>
      <c r="AO58" s="524"/>
      <c r="AP58" s="524"/>
      <c r="AQ58" s="524"/>
      <c r="AR58" s="524"/>
      <c r="AS58" s="524">
        <f>I58</f>
        <v>232</v>
      </c>
      <c r="AT58" s="524"/>
      <c r="AU58" s="524"/>
      <c r="AV58" s="524"/>
      <c r="AW58" s="524"/>
      <c r="AX58" s="524"/>
      <c r="AY58" s="524"/>
      <c r="AZ58" s="524"/>
      <c r="BA58" s="524"/>
      <c r="BB58" s="524"/>
      <c r="BC58" s="524"/>
      <c r="BD58" s="524"/>
      <c r="BE58" s="524">
        <f t="shared" si="48"/>
        <v>232</v>
      </c>
      <c r="BF58" s="524"/>
      <c r="BG58" s="524" t="s">
        <v>9164</v>
      </c>
      <c r="BH58" s="524"/>
      <c r="BI58" s="524"/>
      <c r="BJ58" s="524"/>
      <c r="BK58" s="524"/>
      <c r="BL58" s="524">
        <f>I58</f>
        <v>232</v>
      </c>
      <c r="BM58" s="524"/>
      <c r="BN58" s="514" t="e">
        <f>BI58+BJ58+BK58+BL58+'取消单-1'!BN57</f>
        <v>#REF!</v>
      </c>
      <c r="BO58" s="514" t="e">
        <f>'取消单-1'!BO57-BI58</f>
        <v>#REF!</v>
      </c>
      <c r="BP58" s="514" t="e">
        <f>'取消单-1'!BP57-BJ58</f>
        <v>#REF!</v>
      </c>
      <c r="BQ58" s="514" t="e">
        <f>'取消单-1'!BQ57-BK58</f>
        <v>#REF!</v>
      </c>
      <c r="BR58" s="547" t="e">
        <f>'取消单-1'!BR57-BL58</f>
        <v>#REF!</v>
      </c>
      <c r="BS58" s="99"/>
      <c r="BT58" s="99"/>
      <c r="BU58" s="475"/>
      <c r="BV58" s="475"/>
      <c r="BW58" s="475"/>
      <c r="BX58" s="475"/>
      <c r="BY58" s="475"/>
      <c r="BZ58" s="475"/>
      <c r="CA58" s="475"/>
      <c r="CB58" s="475"/>
      <c r="CC58" s="475"/>
      <c r="CD58" s="475"/>
      <c r="CE58" s="475"/>
      <c r="CF58" s="475"/>
      <c r="CG58" s="475"/>
      <c r="CH58" s="475"/>
      <c r="CI58" s="475"/>
      <c r="CJ58" s="475"/>
      <c r="CK58" s="475"/>
      <c r="CL58" s="475"/>
      <c r="CM58" s="475"/>
      <c r="CN58" s="475"/>
    </row>
    <row r="59" s="478" customFormat="1" ht="32" customHeight="1" spans="1:245">
      <c r="A59" s="539">
        <v>45526</v>
      </c>
      <c r="B59" s="540" t="s">
        <v>361</v>
      </c>
      <c r="C59" s="541" t="s">
        <v>91</v>
      </c>
      <c r="D59" s="542">
        <v>4500143730</v>
      </c>
      <c r="E59" s="543" t="s">
        <v>12933</v>
      </c>
      <c r="F59" s="542" t="s">
        <v>12934</v>
      </c>
      <c r="G59" s="499" t="s">
        <v>9424</v>
      </c>
      <c r="H59" s="499" t="s">
        <v>8571</v>
      </c>
      <c r="I59" s="501">
        <v>208</v>
      </c>
      <c r="J59" s="501">
        <v>0</v>
      </c>
      <c r="K59" s="501">
        <v>8</v>
      </c>
      <c r="L59" s="501">
        <f t="shared" si="0"/>
        <v>26</v>
      </c>
      <c r="M59" s="504">
        <v>45576</v>
      </c>
      <c r="N59" s="504" t="s">
        <v>12910</v>
      </c>
      <c r="O59" s="505" t="s">
        <v>12412</v>
      </c>
      <c r="P59" s="505"/>
      <c r="Q59" s="505"/>
      <c r="R59" s="505"/>
      <c r="S59" s="505"/>
      <c r="T59" s="519" t="s">
        <v>12785</v>
      </c>
      <c r="U59" s="519" t="s">
        <v>12931</v>
      </c>
      <c r="V59" s="519"/>
      <c r="W59" s="519"/>
      <c r="X59" s="520" t="s">
        <v>12935</v>
      </c>
      <c r="Y59" s="501" t="s">
        <v>357</v>
      </c>
      <c r="Z59" s="521">
        <v>4.2589</v>
      </c>
      <c r="AA59" s="522">
        <f t="shared" si="46"/>
        <v>885.8512</v>
      </c>
      <c r="AB59" s="501"/>
      <c r="AC59" s="501"/>
      <c r="AD59" s="501"/>
      <c r="AE59" s="523">
        <f t="shared" si="52"/>
        <v>208</v>
      </c>
      <c r="AF59" s="523"/>
      <c r="AG59" s="523"/>
      <c r="AH59" s="523"/>
      <c r="AI59" s="523"/>
      <c r="AJ59" s="523"/>
      <c r="AK59" s="524">
        <f t="shared" si="53"/>
        <v>208</v>
      </c>
      <c r="AL59" s="524"/>
      <c r="AM59" s="524"/>
      <c r="AN59" s="524"/>
      <c r="AO59" s="524"/>
      <c r="AP59" s="524"/>
      <c r="AQ59" s="524"/>
      <c r="AR59" s="524"/>
      <c r="AS59" s="524">
        <f>I59</f>
        <v>208</v>
      </c>
      <c r="AT59" s="524"/>
      <c r="AU59" s="524"/>
      <c r="AV59" s="524"/>
      <c r="AW59" s="524"/>
      <c r="AX59" s="524"/>
      <c r="AY59" s="524"/>
      <c r="AZ59" s="524"/>
      <c r="BA59" s="524"/>
      <c r="BB59" s="524"/>
      <c r="BC59" s="524"/>
      <c r="BD59" s="524"/>
      <c r="BE59" s="524">
        <f t="shared" si="48"/>
        <v>208</v>
      </c>
      <c r="BF59" s="524"/>
      <c r="BG59" s="524" t="s">
        <v>9164</v>
      </c>
      <c r="BH59" s="524"/>
      <c r="BI59" s="524"/>
      <c r="BJ59" s="524"/>
      <c r="BK59" s="524"/>
      <c r="BL59" s="524">
        <f>I59</f>
        <v>208</v>
      </c>
      <c r="BM59" s="524"/>
      <c r="BN59" s="514" t="e">
        <f t="shared" ref="BN59:BN62" si="63">BI59+BJ59+BK59+BL59+BN58</f>
        <v>#REF!</v>
      </c>
      <c r="BO59" s="514" t="e">
        <f t="shared" ref="BO59:BR59" si="64">BO58-BI59</f>
        <v>#REF!</v>
      </c>
      <c r="BP59" s="514" t="e">
        <f t="shared" si="64"/>
        <v>#REF!</v>
      </c>
      <c r="BQ59" s="514" t="e">
        <f t="shared" si="64"/>
        <v>#REF!</v>
      </c>
      <c r="BR59" s="547" t="e">
        <f t="shared" si="64"/>
        <v>#REF!</v>
      </c>
      <c r="BS59" s="99"/>
      <c r="BT59" s="99"/>
      <c r="BU59" s="475"/>
      <c r="BV59" s="475"/>
      <c r="BW59" s="475"/>
      <c r="BX59" s="475"/>
      <c r="BY59" s="475"/>
      <c r="BZ59" s="475"/>
      <c r="CA59" s="475"/>
      <c r="CB59" s="475"/>
      <c r="CC59" s="475"/>
      <c r="CD59" s="475"/>
      <c r="CE59" s="475"/>
      <c r="CF59" s="475"/>
      <c r="CG59" s="475"/>
      <c r="CH59" s="475"/>
      <c r="CI59" s="475"/>
      <c r="CJ59" s="475"/>
      <c r="CK59" s="475"/>
      <c r="CL59" s="475"/>
      <c r="CM59" s="475"/>
      <c r="CN59" s="475"/>
    </row>
    <row r="60" s="478" customFormat="1" ht="32" customHeight="1" spans="1:245">
      <c r="A60" s="539">
        <v>45526</v>
      </c>
      <c r="B60" s="540" t="s">
        <v>361</v>
      </c>
      <c r="C60" s="541" t="s">
        <v>91</v>
      </c>
      <c r="D60" s="542">
        <v>4500143730</v>
      </c>
      <c r="E60" s="543" t="s">
        <v>12936</v>
      </c>
      <c r="F60" s="542" t="s">
        <v>12937</v>
      </c>
      <c r="G60" s="499" t="s">
        <v>9419</v>
      </c>
      <c r="H60" s="499" t="s">
        <v>9100</v>
      </c>
      <c r="I60" s="501">
        <v>296</v>
      </c>
      <c r="J60" s="501">
        <v>0</v>
      </c>
      <c r="K60" s="501">
        <v>8</v>
      </c>
      <c r="L60" s="501">
        <f t="shared" si="0"/>
        <v>37</v>
      </c>
      <c r="M60" s="504">
        <v>45576</v>
      </c>
      <c r="N60" s="504" t="s">
        <v>12910</v>
      </c>
      <c r="O60" s="505" t="s">
        <v>12412</v>
      </c>
      <c r="P60" s="505"/>
      <c r="Q60" s="505"/>
      <c r="R60" s="505"/>
      <c r="S60" s="505"/>
      <c r="T60" s="519" t="s">
        <v>12785</v>
      </c>
      <c r="U60" s="519" t="s">
        <v>12931</v>
      </c>
      <c r="V60" s="519"/>
      <c r="W60" s="519"/>
      <c r="X60" s="520" t="s">
        <v>12935</v>
      </c>
      <c r="Y60" s="501" t="s">
        <v>357</v>
      </c>
      <c r="Z60" s="521">
        <v>4.2589</v>
      </c>
      <c r="AA60" s="522">
        <f t="shared" si="46"/>
        <v>1260.6344</v>
      </c>
      <c r="AB60" s="501"/>
      <c r="AC60" s="501"/>
      <c r="AD60" s="501"/>
      <c r="AE60" s="523">
        <f t="shared" si="52"/>
        <v>296</v>
      </c>
      <c r="AF60" s="523"/>
      <c r="AG60" s="523"/>
      <c r="AH60" s="523"/>
      <c r="AI60" s="523"/>
      <c r="AJ60" s="523"/>
      <c r="AK60" s="524">
        <f t="shared" si="53"/>
        <v>296</v>
      </c>
      <c r="AL60" s="524"/>
      <c r="AM60" s="524"/>
      <c r="AN60" s="524"/>
      <c r="AO60" s="524"/>
      <c r="AP60" s="524"/>
      <c r="AQ60" s="524"/>
      <c r="AR60" s="524">
        <f>I60</f>
        <v>296</v>
      </c>
      <c r="AS60" s="524"/>
      <c r="AT60" s="524"/>
      <c r="AU60" s="524"/>
      <c r="AV60" s="524"/>
      <c r="AW60" s="524"/>
      <c r="AX60" s="524"/>
      <c r="AY60" s="524"/>
      <c r="AZ60" s="524"/>
      <c r="BA60" s="524"/>
      <c r="BB60" s="524"/>
      <c r="BC60" s="524"/>
      <c r="BD60" s="524"/>
      <c r="BE60" s="524">
        <f t="shared" si="48"/>
        <v>296</v>
      </c>
      <c r="BF60" s="524"/>
      <c r="BG60" s="524" t="s">
        <v>9164</v>
      </c>
      <c r="BH60" s="524"/>
      <c r="BI60" s="524"/>
      <c r="BJ60" s="524"/>
      <c r="BK60" s="524">
        <f>I60</f>
        <v>296</v>
      </c>
      <c r="BL60" s="524"/>
      <c r="BM60" s="524"/>
      <c r="BN60" s="514" t="e">
        <f t="shared" si="63"/>
        <v>#REF!</v>
      </c>
      <c r="BO60" s="514" t="e">
        <f t="shared" ref="BO60:BR60" si="65">BO59-BI60</f>
        <v>#REF!</v>
      </c>
      <c r="BP60" s="514" t="e">
        <f t="shared" si="65"/>
        <v>#REF!</v>
      </c>
      <c r="BQ60" s="514" t="e">
        <f t="shared" si="65"/>
        <v>#REF!</v>
      </c>
      <c r="BR60" s="547" t="e">
        <f t="shared" si="65"/>
        <v>#REF!</v>
      </c>
      <c r="BS60" s="99"/>
      <c r="BT60" s="99"/>
      <c r="BU60" s="475"/>
      <c r="BV60" s="475"/>
      <c r="BW60" s="475"/>
      <c r="BX60" s="475"/>
      <c r="BY60" s="475"/>
      <c r="BZ60" s="475"/>
      <c r="CA60" s="475"/>
      <c r="CB60" s="475"/>
      <c r="CC60" s="475"/>
      <c r="CD60" s="475"/>
      <c r="CE60" s="475"/>
      <c r="CF60" s="475"/>
      <c r="CG60" s="475"/>
      <c r="CH60" s="475"/>
      <c r="CI60" s="475"/>
      <c r="CJ60" s="475"/>
      <c r="CK60" s="475"/>
      <c r="CL60" s="475"/>
      <c r="CM60" s="475"/>
      <c r="CN60" s="475"/>
    </row>
    <row r="61" s="478" customFormat="1" ht="32" customHeight="1" spans="1:245">
      <c r="A61" s="539">
        <v>45526</v>
      </c>
      <c r="B61" s="540" t="s">
        <v>361</v>
      </c>
      <c r="C61" s="541" t="s">
        <v>91</v>
      </c>
      <c r="D61" s="542">
        <v>4500143730</v>
      </c>
      <c r="E61" s="543" t="s">
        <v>12938</v>
      </c>
      <c r="F61" s="542" t="s">
        <v>12939</v>
      </c>
      <c r="G61" s="499" t="s">
        <v>9255</v>
      </c>
      <c r="H61" s="499" t="s">
        <v>9098</v>
      </c>
      <c r="I61" s="501">
        <v>1264</v>
      </c>
      <c r="J61" s="501">
        <v>0</v>
      </c>
      <c r="K61" s="501">
        <v>8</v>
      </c>
      <c r="L61" s="501">
        <f t="shared" si="0"/>
        <v>158</v>
      </c>
      <c r="M61" s="504">
        <v>45576</v>
      </c>
      <c r="N61" s="504" t="s">
        <v>12910</v>
      </c>
      <c r="O61" s="505" t="s">
        <v>12412</v>
      </c>
      <c r="P61" s="505"/>
      <c r="Q61" s="505"/>
      <c r="R61" s="505"/>
      <c r="S61" s="505"/>
      <c r="T61" s="519" t="s">
        <v>12785</v>
      </c>
      <c r="U61" s="519" t="s">
        <v>12931</v>
      </c>
      <c r="V61" s="519"/>
      <c r="W61" s="519"/>
      <c r="X61" s="520" t="s">
        <v>12935</v>
      </c>
      <c r="Y61" s="501" t="s">
        <v>357</v>
      </c>
      <c r="Z61" s="521">
        <v>4.2589</v>
      </c>
      <c r="AA61" s="522">
        <f t="shared" si="46"/>
        <v>5383.2496</v>
      </c>
      <c r="AB61" s="501"/>
      <c r="AC61" s="501"/>
      <c r="AD61" s="501"/>
      <c r="AE61" s="523">
        <f t="shared" si="52"/>
        <v>1264</v>
      </c>
      <c r="AF61" s="523"/>
      <c r="AG61" s="523"/>
      <c r="AH61" s="523"/>
      <c r="AI61" s="523"/>
      <c r="AJ61" s="523"/>
      <c r="AK61" s="524">
        <f t="shared" si="53"/>
        <v>1264</v>
      </c>
      <c r="AL61" s="524"/>
      <c r="AM61" s="524"/>
      <c r="AN61" s="524"/>
      <c r="AO61" s="524"/>
      <c r="AP61" s="524">
        <f>I61</f>
        <v>1264</v>
      </c>
      <c r="AQ61" s="524"/>
      <c r="AR61" s="524"/>
      <c r="AS61" s="524"/>
      <c r="AT61" s="524"/>
      <c r="AU61" s="524"/>
      <c r="AV61" s="524"/>
      <c r="AW61" s="524"/>
      <c r="AX61" s="524"/>
      <c r="AY61" s="524"/>
      <c r="AZ61" s="524"/>
      <c r="BA61" s="524"/>
      <c r="BB61" s="524"/>
      <c r="BC61" s="524"/>
      <c r="BD61" s="524"/>
      <c r="BE61" s="524">
        <f t="shared" si="48"/>
        <v>1264</v>
      </c>
      <c r="BF61" s="524"/>
      <c r="BG61" s="524" t="s">
        <v>9164</v>
      </c>
      <c r="BH61" s="524"/>
      <c r="BI61" s="524">
        <f>I61</f>
        <v>1264</v>
      </c>
      <c r="BJ61" s="524"/>
      <c r="BK61" s="524"/>
      <c r="BL61" s="524"/>
      <c r="BM61" s="524"/>
      <c r="BN61" s="514" t="e">
        <f t="shared" si="63"/>
        <v>#REF!</v>
      </c>
      <c r="BO61" s="514" t="e">
        <f t="shared" ref="BO61:BR61" si="66">BO60-BI61</f>
        <v>#REF!</v>
      </c>
      <c r="BP61" s="514" t="e">
        <f t="shared" si="66"/>
        <v>#REF!</v>
      </c>
      <c r="BQ61" s="514" t="e">
        <f t="shared" si="66"/>
        <v>#REF!</v>
      </c>
      <c r="BR61" s="547" t="e">
        <f t="shared" si="66"/>
        <v>#REF!</v>
      </c>
      <c r="BS61" s="99"/>
      <c r="BT61" s="99"/>
      <c r="BU61" s="475"/>
      <c r="BV61" s="475"/>
      <c r="BW61" s="475"/>
      <c r="BX61" s="475"/>
      <c r="BY61" s="475"/>
      <c r="BZ61" s="475"/>
      <c r="CA61" s="475"/>
      <c r="CB61" s="475"/>
      <c r="CC61" s="475"/>
      <c r="CD61" s="475"/>
      <c r="CE61" s="475"/>
      <c r="CF61" s="475"/>
      <c r="CG61" s="475"/>
      <c r="CH61" s="475"/>
      <c r="CI61" s="475"/>
      <c r="CJ61" s="475"/>
      <c r="CK61" s="475"/>
      <c r="CL61" s="475"/>
      <c r="CM61" s="475"/>
      <c r="CN61" s="475"/>
    </row>
    <row r="62" s="478" customFormat="1" ht="32" customHeight="1" spans="1:245">
      <c r="A62" s="539">
        <v>45526</v>
      </c>
      <c r="B62" s="540" t="s">
        <v>361</v>
      </c>
      <c r="C62" s="541" t="s">
        <v>91</v>
      </c>
      <c r="D62" s="542">
        <v>4500143730</v>
      </c>
      <c r="E62" s="543" t="s">
        <v>12940</v>
      </c>
      <c r="F62" s="542" t="s">
        <v>12941</v>
      </c>
      <c r="G62" s="499" t="s">
        <v>9255</v>
      </c>
      <c r="H62" s="499" t="s">
        <v>9098</v>
      </c>
      <c r="I62" s="501">
        <v>424</v>
      </c>
      <c r="J62" s="501">
        <v>0</v>
      </c>
      <c r="K62" s="501">
        <v>8</v>
      </c>
      <c r="L62" s="501">
        <f t="shared" si="0"/>
        <v>53</v>
      </c>
      <c r="M62" s="504">
        <v>45576</v>
      </c>
      <c r="N62" s="504" t="s">
        <v>12910</v>
      </c>
      <c r="O62" s="505" t="s">
        <v>12412</v>
      </c>
      <c r="P62" s="505"/>
      <c r="Q62" s="505"/>
      <c r="R62" s="505"/>
      <c r="S62" s="505"/>
      <c r="T62" s="519" t="s">
        <v>12785</v>
      </c>
      <c r="U62" s="519" t="s">
        <v>12931</v>
      </c>
      <c r="V62" s="519"/>
      <c r="W62" s="519"/>
      <c r="X62" s="520" t="s">
        <v>12935</v>
      </c>
      <c r="Y62" s="501" t="s">
        <v>357</v>
      </c>
      <c r="Z62" s="521">
        <v>4.2589</v>
      </c>
      <c r="AA62" s="522">
        <f t="shared" si="46"/>
        <v>1805.7736</v>
      </c>
      <c r="AB62" s="501"/>
      <c r="AC62" s="501"/>
      <c r="AD62" s="501"/>
      <c r="AE62" s="523">
        <f t="shared" si="52"/>
        <v>424</v>
      </c>
      <c r="AF62" s="523"/>
      <c r="AG62" s="523"/>
      <c r="AH62" s="523"/>
      <c r="AI62" s="523"/>
      <c r="AJ62" s="523"/>
      <c r="AK62" s="524">
        <f t="shared" si="53"/>
        <v>424</v>
      </c>
      <c r="AL62" s="524"/>
      <c r="AM62" s="524"/>
      <c r="AN62" s="524"/>
      <c r="AO62" s="524"/>
      <c r="AP62" s="524">
        <f>I62</f>
        <v>424</v>
      </c>
      <c r="AQ62" s="524"/>
      <c r="AR62" s="524"/>
      <c r="AS62" s="524"/>
      <c r="AT62" s="524"/>
      <c r="AU62" s="524"/>
      <c r="AV62" s="524"/>
      <c r="AW62" s="524"/>
      <c r="AX62" s="524"/>
      <c r="AY62" s="524"/>
      <c r="AZ62" s="524"/>
      <c r="BA62" s="524"/>
      <c r="BB62" s="524"/>
      <c r="BC62" s="524"/>
      <c r="BD62" s="524"/>
      <c r="BE62" s="524">
        <f t="shared" si="48"/>
        <v>424</v>
      </c>
      <c r="BF62" s="524"/>
      <c r="BG62" s="524" t="s">
        <v>9164</v>
      </c>
      <c r="BH62" s="524"/>
      <c r="BI62" s="524">
        <f>I62</f>
        <v>424</v>
      </c>
      <c r="BJ62" s="524"/>
      <c r="BK62" s="524"/>
      <c r="BL62" s="524"/>
      <c r="BM62" s="524"/>
      <c r="BN62" s="514" t="e">
        <f t="shared" si="63"/>
        <v>#REF!</v>
      </c>
      <c r="BO62" s="514" t="e">
        <f t="shared" ref="BO62:BR62" si="67">BO61-BI62</f>
        <v>#REF!</v>
      </c>
      <c r="BP62" s="514" t="e">
        <f t="shared" si="67"/>
        <v>#REF!</v>
      </c>
      <c r="BQ62" s="514" t="e">
        <f t="shared" si="67"/>
        <v>#REF!</v>
      </c>
      <c r="BR62" s="547" t="e">
        <f t="shared" si="67"/>
        <v>#REF!</v>
      </c>
      <c r="BS62" s="99"/>
      <c r="BT62" s="99"/>
      <c r="BU62" s="475"/>
      <c r="BV62" s="475"/>
      <c r="BW62" s="475"/>
      <c r="BX62" s="475"/>
      <c r="BY62" s="475"/>
      <c r="BZ62" s="475"/>
      <c r="CA62" s="475"/>
      <c r="CB62" s="475"/>
      <c r="CC62" s="475"/>
      <c r="CD62" s="475"/>
      <c r="CE62" s="475"/>
      <c r="CF62" s="475"/>
      <c r="CG62" s="475"/>
      <c r="CH62" s="475"/>
      <c r="CI62" s="475"/>
      <c r="CJ62" s="475"/>
      <c r="CK62" s="475"/>
      <c r="CL62" s="475"/>
      <c r="CM62" s="475"/>
      <c r="CN62" s="475"/>
    </row>
    <row r="63" s="477" customFormat="1" ht="32" customHeight="1" spans="1:245">
      <c r="A63" s="549">
        <v>45526</v>
      </c>
      <c r="B63" s="550" t="s">
        <v>361</v>
      </c>
      <c r="C63" s="225" t="s">
        <v>91</v>
      </c>
      <c r="D63" s="551">
        <v>4500143730</v>
      </c>
      <c r="E63" s="552" t="s">
        <v>12942</v>
      </c>
      <c r="F63" s="551" t="s">
        <v>12943</v>
      </c>
      <c r="G63" s="553" t="s">
        <v>10202</v>
      </c>
      <c r="H63" s="499" t="s">
        <v>10203</v>
      </c>
      <c r="I63" s="502">
        <v>2520</v>
      </c>
      <c r="J63" s="502">
        <v>1</v>
      </c>
      <c r="K63" s="502">
        <v>2</v>
      </c>
      <c r="L63" s="502">
        <f t="shared" si="0"/>
        <v>1260</v>
      </c>
      <c r="M63" s="503">
        <v>45576</v>
      </c>
      <c r="N63" s="504" t="s">
        <v>12910</v>
      </c>
      <c r="O63" s="505" t="s">
        <v>12412</v>
      </c>
      <c r="P63" s="506"/>
      <c r="Q63" s="506"/>
      <c r="R63" s="507"/>
      <c r="S63" s="519"/>
      <c r="T63" s="507" t="s">
        <v>12944</v>
      </c>
      <c r="U63" s="507" t="s">
        <v>12945</v>
      </c>
      <c r="V63" s="507"/>
      <c r="W63" s="538" t="s">
        <v>12946</v>
      </c>
      <c r="X63" s="502" t="s">
        <v>9870</v>
      </c>
      <c r="Y63" s="509">
        <v>7.7262</v>
      </c>
      <c r="Z63" s="510">
        <f t="shared" ref="Z63:Z67" si="68">Y63*I63</f>
        <v>19470.024</v>
      </c>
      <c r="AA63" s="502"/>
      <c r="AB63" s="502"/>
      <c r="AC63" s="501"/>
      <c r="AD63" s="511">
        <f t="shared" ref="AD63:AD67" si="69">I63</f>
        <v>2520</v>
      </c>
      <c r="AE63" s="511"/>
      <c r="AF63" s="511"/>
      <c r="AG63" s="511"/>
      <c r="AH63" s="511"/>
      <c r="AI63" s="511"/>
      <c r="AJ63" s="512">
        <f t="shared" ref="AJ63:AJ67" si="70">I63</f>
        <v>2520</v>
      </c>
      <c r="AK63" s="512"/>
      <c r="AL63" s="512"/>
      <c r="AM63" s="512"/>
      <c r="AN63" s="512"/>
      <c r="AO63" s="512"/>
      <c r="AP63" s="512"/>
      <c r="AQ63" s="512">
        <f t="shared" ref="AQ63:AQ67" si="71">I63</f>
        <v>2520</v>
      </c>
      <c r="AR63" s="512"/>
      <c r="AS63" s="512"/>
      <c r="AT63" s="512"/>
      <c r="AU63" s="512"/>
      <c r="AV63" s="512"/>
      <c r="AW63" s="512"/>
      <c r="AX63" s="512"/>
      <c r="AY63" s="512"/>
      <c r="AZ63" s="512"/>
      <c r="BA63" s="512"/>
      <c r="BB63" s="512"/>
      <c r="BC63" s="512"/>
      <c r="BD63" s="512">
        <f t="shared" ref="BD63:BD67" si="72">I63</f>
        <v>2520</v>
      </c>
      <c r="BE63" s="512"/>
      <c r="BF63" s="512">
        <f t="shared" ref="BF63:BF67" si="73">I63</f>
        <v>2520</v>
      </c>
      <c r="BG63" s="512" t="s">
        <v>9164</v>
      </c>
      <c r="BH63" s="512"/>
      <c r="BI63" s="512"/>
      <c r="BJ63" s="512"/>
      <c r="BK63" s="512"/>
      <c r="BL63" s="512"/>
      <c r="BM63" s="512">
        <f t="shared" ref="BM63:BM67" si="74">I63</f>
        <v>2520</v>
      </c>
      <c r="BN63" s="512">
        <f t="shared" ref="BN63:BN67" si="75">I63</f>
        <v>2520</v>
      </c>
      <c r="BO63" s="515"/>
      <c r="BP63" s="512"/>
      <c r="BQ63" s="514" t="e">
        <f>BI63+BK63+BM63+BO63+'92108'!#REF!</f>
        <v>#REF!</v>
      </c>
      <c r="BR63" s="547" t="e">
        <f>BJ63+BL63+BN63+BP63+'92108'!#REF!</f>
        <v>#REF!</v>
      </c>
      <c r="BS63" s="99"/>
      <c r="BT63" s="99"/>
      <c r="BU63" s="475"/>
      <c r="BV63" s="475"/>
      <c r="BW63" s="475"/>
      <c r="BX63" s="475"/>
      <c r="BY63" s="475"/>
      <c r="BZ63" s="475"/>
      <c r="CA63" s="475"/>
      <c r="CB63" s="475"/>
      <c r="CC63" s="475"/>
      <c r="CD63" s="475"/>
      <c r="CE63" s="475"/>
      <c r="CF63" s="475"/>
      <c r="CG63" s="475"/>
      <c r="CH63" s="475"/>
      <c r="CI63" s="475"/>
      <c r="CJ63" s="475"/>
      <c r="CK63" s="475"/>
      <c r="CL63" s="475"/>
      <c r="CM63" s="475"/>
      <c r="CN63" s="475"/>
      <c r="CO63" s="525"/>
      <c r="CP63" s="525"/>
      <c r="CQ63" s="525"/>
      <c r="CR63" s="525"/>
      <c r="CS63" s="525"/>
      <c r="CT63" s="525"/>
      <c r="CU63" s="525"/>
      <c r="CV63" s="525"/>
      <c r="CW63" s="525"/>
      <c r="CX63" s="525"/>
      <c r="CY63" s="525"/>
      <c r="CZ63" s="525"/>
      <c r="DA63" s="525"/>
      <c r="DB63" s="525"/>
      <c r="DC63" s="525"/>
      <c r="DD63" s="525"/>
      <c r="DE63" s="525"/>
      <c r="DF63" s="525"/>
      <c r="DG63" s="525"/>
      <c r="DH63" s="525"/>
      <c r="DI63" s="525"/>
      <c r="DJ63" s="525"/>
      <c r="DK63" s="525"/>
      <c r="DL63" s="525"/>
      <c r="DM63" s="525"/>
      <c r="DN63" s="525"/>
      <c r="DO63" s="525"/>
      <c r="DP63" s="525"/>
      <c r="DQ63" s="525"/>
      <c r="DR63" s="525"/>
      <c r="DS63" s="525"/>
      <c r="DT63" s="525"/>
      <c r="DU63" s="525"/>
      <c r="DV63" s="525"/>
      <c r="DW63" s="525"/>
      <c r="DX63" s="525"/>
      <c r="DY63" s="525"/>
      <c r="DZ63" s="525"/>
      <c r="EA63" s="525"/>
      <c r="EB63" s="525"/>
      <c r="EC63" s="525"/>
      <c r="ED63" s="525"/>
      <c r="EE63" s="525"/>
      <c r="EF63" s="525"/>
      <c r="EG63" s="525"/>
      <c r="EH63" s="525"/>
      <c r="EI63" s="525"/>
      <c r="EJ63" s="525"/>
      <c r="EK63" s="525"/>
      <c r="EL63" s="525"/>
      <c r="EM63" s="525"/>
      <c r="EN63" s="525"/>
      <c r="EO63" s="525"/>
      <c r="EP63" s="525"/>
      <c r="EQ63" s="525"/>
      <c r="ER63" s="525"/>
      <c r="ES63" s="525"/>
      <c r="ET63" s="525"/>
      <c r="EU63" s="525"/>
      <c r="EV63" s="525"/>
      <c r="EW63" s="525"/>
      <c r="EX63" s="525"/>
      <c r="EY63" s="525"/>
      <c r="EZ63" s="525"/>
      <c r="FA63" s="525"/>
      <c r="FB63" s="525"/>
      <c r="FC63" s="525"/>
      <c r="FD63" s="525"/>
      <c r="FE63" s="525"/>
      <c r="FF63" s="525"/>
      <c r="FG63" s="525"/>
      <c r="FH63" s="525"/>
      <c r="FI63" s="525"/>
      <c r="FJ63" s="525"/>
      <c r="FK63" s="525"/>
      <c r="FL63" s="525"/>
      <c r="FM63" s="525"/>
      <c r="FN63" s="525"/>
      <c r="FO63" s="525"/>
      <c r="FP63" s="525"/>
      <c r="FQ63" s="525"/>
      <c r="FR63" s="525"/>
      <c r="FS63" s="525"/>
      <c r="FT63" s="525"/>
      <c r="FU63" s="525"/>
      <c r="FV63" s="525"/>
      <c r="FW63" s="525"/>
      <c r="FX63" s="525"/>
      <c r="FY63" s="525"/>
      <c r="FZ63" s="525"/>
      <c r="GA63" s="525"/>
      <c r="GB63" s="525"/>
      <c r="GC63" s="525"/>
      <c r="GD63" s="525"/>
      <c r="GE63" s="525"/>
      <c r="GF63" s="525"/>
      <c r="GG63" s="525"/>
      <c r="GH63" s="525"/>
      <c r="GI63" s="525"/>
      <c r="GJ63" s="525"/>
      <c r="GK63" s="525"/>
      <c r="GL63" s="525"/>
      <c r="GM63" s="525"/>
      <c r="GN63" s="525"/>
      <c r="GO63" s="525"/>
      <c r="GP63" s="525"/>
      <c r="GQ63" s="525"/>
      <c r="GR63" s="525"/>
      <c r="GS63" s="525"/>
      <c r="GT63" s="525"/>
      <c r="GU63" s="525"/>
      <c r="GV63" s="525"/>
      <c r="GW63" s="525"/>
      <c r="GX63" s="525"/>
      <c r="GY63" s="525"/>
      <c r="GZ63" s="525"/>
      <c r="HA63" s="525"/>
      <c r="HB63" s="525"/>
      <c r="HC63" s="525"/>
      <c r="HD63" s="525"/>
      <c r="HE63" s="525"/>
      <c r="HF63" s="525"/>
      <c r="HG63" s="525"/>
      <c r="HH63" s="525"/>
      <c r="HI63" s="525"/>
      <c r="HJ63" s="525"/>
      <c r="HK63" s="525"/>
      <c r="HL63" s="525"/>
      <c r="HM63" s="525"/>
      <c r="HN63" s="525"/>
      <c r="HO63" s="525"/>
      <c r="HP63" s="525"/>
      <c r="HQ63" s="525"/>
      <c r="HR63" s="525"/>
      <c r="HS63" s="525"/>
      <c r="HT63" s="525"/>
      <c r="HU63" s="525"/>
      <c r="HV63" s="525"/>
      <c r="HW63" s="525"/>
      <c r="HX63" s="525"/>
      <c r="HY63" s="525"/>
      <c r="HZ63" s="525"/>
      <c r="IA63" s="525"/>
      <c r="IB63" s="525"/>
      <c r="IC63" s="525"/>
      <c r="ID63" s="525"/>
      <c r="IE63" s="525"/>
      <c r="IF63" s="525"/>
      <c r="IG63" s="525"/>
      <c r="IH63" s="525"/>
      <c r="II63" s="525"/>
      <c r="IJ63" s="525"/>
      <c r="IK63" s="525"/>
    </row>
    <row r="64" s="478" customFormat="1" ht="32" customHeight="1" spans="1:245">
      <c r="A64" s="539">
        <v>45526</v>
      </c>
      <c r="B64" s="540" t="s">
        <v>361</v>
      </c>
      <c r="C64" s="541" t="s">
        <v>91</v>
      </c>
      <c r="D64" s="542">
        <v>4500143631</v>
      </c>
      <c r="E64" s="543" t="s">
        <v>12947</v>
      </c>
      <c r="F64" s="542" t="s">
        <v>12948</v>
      </c>
      <c r="G64" s="499" t="s">
        <v>9424</v>
      </c>
      <c r="H64" s="499" t="s">
        <v>8571</v>
      </c>
      <c r="I64" s="501">
        <v>40</v>
      </c>
      <c r="J64" s="501">
        <v>0</v>
      </c>
      <c r="K64" s="501">
        <v>8</v>
      </c>
      <c r="L64" s="501">
        <f t="shared" si="0"/>
        <v>5</v>
      </c>
      <c r="M64" s="504">
        <v>45576</v>
      </c>
      <c r="N64" s="504" t="s">
        <v>12910</v>
      </c>
      <c r="O64" s="505" t="s">
        <v>12412</v>
      </c>
      <c r="P64" s="505"/>
      <c r="Q64" s="505"/>
      <c r="R64" s="505"/>
      <c r="S64" s="507"/>
      <c r="T64" s="519" t="s">
        <v>12785</v>
      </c>
      <c r="U64" s="519" t="s">
        <v>12949</v>
      </c>
      <c r="V64" s="519"/>
      <c r="W64" s="519"/>
      <c r="X64" s="520" t="s">
        <v>12950</v>
      </c>
      <c r="Y64" s="501" t="s">
        <v>357</v>
      </c>
      <c r="Z64" s="521">
        <v>4.2589</v>
      </c>
      <c r="AA64" s="522">
        <f>Z64*I64</f>
        <v>170.356</v>
      </c>
      <c r="AB64" s="501"/>
      <c r="AC64" s="501"/>
      <c r="AD64" s="501"/>
      <c r="AE64" s="523">
        <f>I64</f>
        <v>40</v>
      </c>
      <c r="AF64" s="523"/>
      <c r="AG64" s="523"/>
      <c r="AH64" s="523"/>
      <c r="AI64" s="523"/>
      <c r="AJ64" s="523"/>
      <c r="AK64" s="524">
        <f>I64</f>
        <v>40</v>
      </c>
      <c r="AL64" s="524"/>
      <c r="AM64" s="524"/>
      <c r="AN64" s="524"/>
      <c r="AO64" s="524"/>
      <c r="AP64" s="524"/>
      <c r="AQ64" s="524"/>
      <c r="AR64" s="524"/>
      <c r="AS64" s="524">
        <f>I64</f>
        <v>40</v>
      </c>
      <c r="AT64" s="524"/>
      <c r="AU64" s="524"/>
      <c r="AV64" s="524"/>
      <c r="AW64" s="524"/>
      <c r="AX64" s="524"/>
      <c r="AY64" s="524"/>
      <c r="AZ64" s="524"/>
      <c r="BA64" s="524"/>
      <c r="BB64" s="524"/>
      <c r="BC64" s="524"/>
      <c r="BD64" s="524"/>
      <c r="BE64" s="524">
        <f>I64</f>
        <v>40</v>
      </c>
      <c r="BF64" s="524"/>
      <c r="BG64" s="524" t="s">
        <v>9164</v>
      </c>
      <c r="BH64" s="524"/>
      <c r="BI64" s="524"/>
      <c r="BJ64" s="524"/>
      <c r="BK64" s="524"/>
      <c r="BL64" s="524">
        <f>I64</f>
        <v>40</v>
      </c>
      <c r="BM64" s="524"/>
      <c r="BN64" s="514" t="e">
        <f>BI64+BJ64+BK64+BL64+'取消单-1'!BN62</f>
        <v>#REF!</v>
      </c>
      <c r="BO64" s="514" t="e">
        <f>'取消单-1'!BO62-BI64</f>
        <v>#REF!</v>
      </c>
      <c r="BP64" s="514" t="e">
        <f>'取消单-1'!BP62-BJ64</f>
        <v>#REF!</v>
      </c>
      <c r="BQ64" s="514" t="e">
        <f>'取消单-1'!BQ62-BK64</f>
        <v>#REF!</v>
      </c>
      <c r="BR64" s="547" t="e">
        <f>'取消单-1'!BR62-BL64</f>
        <v>#REF!</v>
      </c>
      <c r="BS64" s="99"/>
      <c r="BT64" s="99"/>
      <c r="BU64" s="475"/>
      <c r="BV64" s="475"/>
      <c r="BW64" s="475"/>
      <c r="BX64" s="475"/>
      <c r="BY64" s="475"/>
      <c r="BZ64" s="475"/>
      <c r="CA64" s="475"/>
      <c r="CB64" s="475"/>
      <c r="CC64" s="475"/>
      <c r="CD64" s="475"/>
      <c r="CE64" s="475"/>
      <c r="CF64" s="475"/>
      <c r="CG64" s="475"/>
      <c r="CH64" s="475"/>
      <c r="CI64" s="475"/>
      <c r="CJ64" s="475"/>
      <c r="CK64" s="475"/>
      <c r="CL64" s="475"/>
      <c r="CM64" s="475"/>
      <c r="CN64" s="475"/>
    </row>
    <row r="65" s="477" customFormat="1" ht="32" customHeight="1" spans="1:245 16376:16384">
      <c r="A65" s="539">
        <v>45504</v>
      </c>
      <c r="B65" s="540" t="s">
        <v>361</v>
      </c>
      <c r="C65" s="541" t="s">
        <v>91</v>
      </c>
      <c r="D65" s="542">
        <v>4500141730</v>
      </c>
      <c r="E65" s="543"/>
      <c r="F65" s="542" t="s">
        <v>12951</v>
      </c>
      <c r="G65" s="530" t="s">
        <v>10202</v>
      </c>
      <c r="H65" s="499" t="s">
        <v>10203</v>
      </c>
      <c r="I65" s="502">
        <v>2</v>
      </c>
      <c r="J65" s="502">
        <v>1</v>
      </c>
      <c r="K65" s="502">
        <v>2</v>
      </c>
      <c r="L65" s="502">
        <f t="shared" si="0"/>
        <v>1</v>
      </c>
      <c r="M65" s="503">
        <v>45558</v>
      </c>
      <c r="N65" s="503">
        <v>45554</v>
      </c>
      <c r="O65" s="554" t="s">
        <v>12952</v>
      </c>
      <c r="P65" s="555" t="s">
        <v>82</v>
      </c>
      <c r="Q65" s="506"/>
      <c r="R65" s="507"/>
      <c r="S65" s="519"/>
      <c r="T65" s="519" t="s">
        <v>12953</v>
      </c>
      <c r="U65" s="507" t="s">
        <v>12945</v>
      </c>
      <c r="V65" s="507"/>
      <c r="W65" s="538" t="s">
        <v>12954</v>
      </c>
      <c r="X65" s="502" t="s">
        <v>9870</v>
      </c>
      <c r="Y65" s="509">
        <v>7.743</v>
      </c>
      <c r="Z65" s="510">
        <f t="shared" si="68"/>
        <v>15.486</v>
      </c>
      <c r="AA65" s="502"/>
      <c r="AB65" s="502" t="s">
        <v>10202</v>
      </c>
      <c r="AC65" s="501" t="s">
        <v>416</v>
      </c>
      <c r="AD65" s="511">
        <f t="shared" si="69"/>
        <v>2</v>
      </c>
      <c r="AE65" s="511"/>
      <c r="AF65" s="511"/>
      <c r="AG65" s="511"/>
      <c r="AH65" s="511"/>
      <c r="AI65" s="511"/>
      <c r="AJ65" s="512">
        <f t="shared" si="70"/>
        <v>2</v>
      </c>
      <c r="AK65" s="512"/>
      <c r="AL65" s="512"/>
      <c r="AM65" s="512"/>
      <c r="AN65" s="512"/>
      <c r="AO65" s="512"/>
      <c r="AP65" s="512"/>
      <c r="AQ65" s="512">
        <f t="shared" si="71"/>
        <v>2</v>
      </c>
      <c r="AR65" s="512"/>
      <c r="AS65" s="512"/>
      <c r="AT65" s="512"/>
      <c r="AU65" s="512"/>
      <c r="AV65" s="512"/>
      <c r="AW65" s="512"/>
      <c r="AX65" s="512"/>
      <c r="AY65" s="512"/>
      <c r="AZ65" s="512"/>
      <c r="BA65" s="512"/>
      <c r="BB65" s="512"/>
      <c r="BC65" s="512"/>
      <c r="BD65" s="512">
        <f t="shared" si="72"/>
        <v>2</v>
      </c>
      <c r="BE65" s="512"/>
      <c r="BF65" s="512">
        <f t="shared" si="73"/>
        <v>2</v>
      </c>
      <c r="BG65" s="512" t="s">
        <v>9164</v>
      </c>
      <c r="BH65" s="512"/>
      <c r="BI65" s="512"/>
      <c r="BJ65" s="512"/>
      <c r="BK65" s="512"/>
      <c r="BL65" s="512"/>
      <c r="BM65" s="512">
        <f t="shared" si="74"/>
        <v>2</v>
      </c>
      <c r="BN65" s="512">
        <f t="shared" si="75"/>
        <v>2</v>
      </c>
      <c r="BO65" s="515"/>
      <c r="BP65" s="512"/>
      <c r="BQ65" s="514" t="e">
        <f>BI65+BK65+BM65+BO65+'92108'!#REF!</f>
        <v>#REF!</v>
      </c>
      <c r="BR65" s="547" t="e">
        <f>BJ65+BL65+BN65+BP65+'92108'!#REF!</f>
        <v>#REF!</v>
      </c>
      <c r="BS65" s="556">
        <f t="shared" ref="BS65:BS67" si="76">L65</f>
        <v>1</v>
      </c>
      <c r="BT65" s="556">
        <f t="shared" ref="BT65:BT67" si="77">I65</f>
        <v>2</v>
      </c>
      <c r="BU65" s="475"/>
      <c r="BV65" s="475"/>
      <c r="BW65" s="475"/>
      <c r="BX65" s="475"/>
      <c r="BY65" s="475"/>
      <c r="BZ65" s="475"/>
      <c r="CA65" s="475"/>
      <c r="CB65" s="475"/>
      <c r="CC65" s="475"/>
      <c r="CD65" s="475"/>
      <c r="CE65" s="475"/>
      <c r="CF65" s="475"/>
      <c r="CG65" s="475"/>
      <c r="CH65" s="475"/>
      <c r="CI65" s="475"/>
      <c r="CJ65" s="475"/>
      <c r="CK65" s="475"/>
      <c r="CL65" s="475"/>
      <c r="CM65" s="475"/>
      <c r="CN65" s="475"/>
      <c r="CO65" s="525"/>
      <c r="CP65" s="525"/>
      <c r="CQ65" s="525"/>
      <c r="CR65" s="525"/>
      <c r="CS65" s="525"/>
      <c r="CT65" s="525"/>
      <c r="CU65" s="525"/>
      <c r="CV65" s="525"/>
      <c r="CW65" s="525"/>
      <c r="CX65" s="525"/>
      <c r="CY65" s="525"/>
      <c r="CZ65" s="525"/>
      <c r="DA65" s="525"/>
      <c r="DB65" s="525"/>
      <c r="DC65" s="525"/>
      <c r="DD65" s="525"/>
      <c r="DE65" s="525"/>
      <c r="DF65" s="525"/>
      <c r="DG65" s="525"/>
      <c r="DH65" s="525"/>
      <c r="DI65" s="525"/>
      <c r="DJ65" s="525"/>
      <c r="DK65" s="525"/>
      <c r="DL65" s="525"/>
      <c r="DM65" s="525"/>
      <c r="DN65" s="525"/>
      <c r="DO65" s="525"/>
      <c r="DP65" s="525"/>
      <c r="DQ65" s="525"/>
      <c r="DR65" s="525"/>
      <c r="DS65" s="525"/>
      <c r="DT65" s="525"/>
      <c r="DU65" s="525"/>
      <c r="DV65" s="525"/>
      <c r="DW65" s="525"/>
      <c r="DX65" s="525"/>
      <c r="DY65" s="525"/>
      <c r="DZ65" s="525"/>
      <c r="EA65" s="525"/>
      <c r="EB65" s="525"/>
      <c r="EC65" s="525"/>
      <c r="ED65" s="525"/>
      <c r="EE65" s="525"/>
      <c r="EF65" s="525"/>
      <c r="EG65" s="525"/>
      <c r="EH65" s="525"/>
      <c r="EI65" s="525"/>
      <c r="EJ65" s="525"/>
      <c r="EK65" s="525"/>
      <c r="EL65" s="525"/>
      <c r="EM65" s="525"/>
      <c r="EN65" s="525"/>
      <c r="EO65" s="525"/>
      <c r="EP65" s="525"/>
      <c r="EQ65" s="525"/>
      <c r="ER65" s="525"/>
      <c r="ES65" s="525"/>
      <c r="ET65" s="525"/>
      <c r="EU65" s="525"/>
      <c r="EV65" s="525"/>
      <c r="EW65" s="525"/>
      <c r="EX65" s="525"/>
      <c r="EY65" s="525"/>
      <c r="EZ65" s="525"/>
      <c r="FA65" s="525"/>
      <c r="FB65" s="525"/>
      <c r="FC65" s="525"/>
      <c r="FD65" s="525"/>
      <c r="FE65" s="525"/>
      <c r="FF65" s="525"/>
      <c r="FG65" s="525"/>
      <c r="FH65" s="525"/>
      <c r="FI65" s="525"/>
      <c r="FJ65" s="525"/>
      <c r="FK65" s="525"/>
      <c r="FL65" s="525"/>
      <c r="FM65" s="525"/>
      <c r="FN65" s="525"/>
      <c r="FO65" s="525"/>
      <c r="FP65" s="525"/>
      <c r="FQ65" s="525"/>
      <c r="FR65" s="525"/>
      <c r="FS65" s="525"/>
      <c r="FT65" s="525"/>
      <c r="FU65" s="525"/>
      <c r="FV65" s="525"/>
      <c r="FW65" s="525"/>
      <c r="FX65" s="525"/>
      <c r="FY65" s="525"/>
      <c r="FZ65" s="525"/>
      <c r="GA65" s="525"/>
      <c r="GB65" s="525"/>
      <c r="GC65" s="525"/>
      <c r="GD65" s="525"/>
      <c r="GE65" s="525"/>
      <c r="GF65" s="525"/>
      <c r="GG65" s="525"/>
      <c r="GH65" s="525"/>
      <c r="GI65" s="525"/>
      <c r="GJ65" s="525"/>
      <c r="GK65" s="525"/>
      <c r="GL65" s="525"/>
      <c r="GM65" s="525"/>
      <c r="GN65" s="525"/>
      <c r="GO65" s="525"/>
      <c r="GP65" s="525"/>
      <c r="GQ65" s="525"/>
      <c r="GR65" s="525"/>
      <c r="GS65" s="525"/>
      <c r="GT65" s="525"/>
      <c r="GU65" s="525"/>
      <c r="GV65" s="525"/>
      <c r="GW65" s="525"/>
      <c r="GX65" s="525"/>
      <c r="GY65" s="525"/>
      <c r="GZ65" s="525"/>
      <c r="HA65" s="525"/>
      <c r="HB65" s="525"/>
      <c r="HC65" s="525"/>
      <c r="HD65" s="525"/>
      <c r="HE65" s="525"/>
      <c r="HF65" s="525"/>
      <c r="HG65" s="525"/>
      <c r="HH65" s="525"/>
      <c r="HI65" s="525"/>
      <c r="HJ65" s="525"/>
      <c r="HK65" s="525"/>
      <c r="HL65" s="525"/>
      <c r="HM65" s="525"/>
      <c r="HN65" s="525"/>
      <c r="HO65" s="525"/>
      <c r="HP65" s="525"/>
      <c r="HQ65" s="525"/>
      <c r="HR65" s="525"/>
      <c r="HS65" s="525"/>
      <c r="HT65" s="525"/>
      <c r="HU65" s="525"/>
      <c r="HV65" s="525"/>
      <c r="HW65" s="525"/>
      <c r="HX65" s="525"/>
      <c r="HY65" s="525"/>
      <c r="HZ65" s="525"/>
      <c r="IA65" s="525"/>
      <c r="IB65" s="525"/>
      <c r="IC65" s="525"/>
      <c r="ID65" s="525"/>
      <c r="IE65" s="525"/>
      <c r="IF65" s="525"/>
      <c r="IG65" s="525"/>
      <c r="IH65" s="525"/>
      <c r="II65" s="525"/>
      <c r="IJ65" s="525"/>
      <c r="IK65" s="525"/>
    </row>
    <row r="66" s="477" customFormat="1" ht="32" customHeight="1" spans="1:245 16376:16384">
      <c r="A66" s="539">
        <v>45504</v>
      </c>
      <c r="B66" s="540" t="s">
        <v>361</v>
      </c>
      <c r="C66" s="541" t="s">
        <v>91</v>
      </c>
      <c r="D66" s="542">
        <v>4500141730</v>
      </c>
      <c r="E66" s="543"/>
      <c r="F66" s="542" t="s">
        <v>12955</v>
      </c>
      <c r="G66" s="530" t="s">
        <v>10202</v>
      </c>
      <c r="H66" s="499" t="s">
        <v>10203</v>
      </c>
      <c r="I66" s="502">
        <v>384</v>
      </c>
      <c r="J66" s="502">
        <v>1</v>
      </c>
      <c r="K66" s="502">
        <v>2</v>
      </c>
      <c r="L66" s="502">
        <f t="shared" ref="L66:L97" si="78">I66/K66</f>
        <v>192</v>
      </c>
      <c r="M66" s="503">
        <v>45558</v>
      </c>
      <c r="N66" s="503">
        <v>45554</v>
      </c>
      <c r="O66" s="554" t="s">
        <v>12952</v>
      </c>
      <c r="P66" s="555" t="s">
        <v>82</v>
      </c>
      <c r="Q66" s="506"/>
      <c r="R66" s="507"/>
      <c r="S66" s="519"/>
      <c r="T66" s="519" t="s">
        <v>12953</v>
      </c>
      <c r="U66" s="507" t="s">
        <v>12945</v>
      </c>
      <c r="V66" s="507"/>
      <c r="W66" s="538" t="s">
        <v>12956</v>
      </c>
      <c r="X66" s="502" t="s">
        <v>9870</v>
      </c>
      <c r="Y66" s="509">
        <v>7.743</v>
      </c>
      <c r="Z66" s="510">
        <f t="shared" si="68"/>
        <v>2973.312</v>
      </c>
      <c r="AA66" s="502"/>
      <c r="AB66" s="502" t="s">
        <v>10202</v>
      </c>
      <c r="AC66" s="501" t="s">
        <v>416</v>
      </c>
      <c r="AD66" s="511">
        <f t="shared" si="69"/>
        <v>384</v>
      </c>
      <c r="AE66" s="511"/>
      <c r="AF66" s="511"/>
      <c r="AG66" s="511"/>
      <c r="AH66" s="511"/>
      <c r="AI66" s="511"/>
      <c r="AJ66" s="512">
        <f t="shared" si="70"/>
        <v>384</v>
      </c>
      <c r="AK66" s="512"/>
      <c r="AL66" s="512"/>
      <c r="AM66" s="512"/>
      <c r="AN66" s="512"/>
      <c r="AO66" s="512"/>
      <c r="AP66" s="512"/>
      <c r="AQ66" s="512">
        <f t="shared" si="71"/>
        <v>384</v>
      </c>
      <c r="AR66" s="512"/>
      <c r="AS66" s="512"/>
      <c r="AT66" s="512"/>
      <c r="AU66" s="512"/>
      <c r="AV66" s="512"/>
      <c r="AW66" s="512"/>
      <c r="AX66" s="512"/>
      <c r="AY66" s="512"/>
      <c r="AZ66" s="512"/>
      <c r="BA66" s="512"/>
      <c r="BB66" s="512"/>
      <c r="BC66" s="512"/>
      <c r="BD66" s="512">
        <f t="shared" si="72"/>
        <v>384</v>
      </c>
      <c r="BE66" s="512"/>
      <c r="BF66" s="512">
        <f t="shared" si="73"/>
        <v>384</v>
      </c>
      <c r="BG66" s="512" t="s">
        <v>9164</v>
      </c>
      <c r="BH66" s="512"/>
      <c r="BI66" s="512"/>
      <c r="BJ66" s="512"/>
      <c r="BK66" s="512"/>
      <c r="BL66" s="512"/>
      <c r="BM66" s="512">
        <f t="shared" si="74"/>
        <v>384</v>
      </c>
      <c r="BN66" s="512">
        <f t="shared" si="75"/>
        <v>384</v>
      </c>
      <c r="BO66" s="515"/>
      <c r="BP66" s="512"/>
      <c r="BQ66" s="514" t="e">
        <f>BI66+BK66+BM66+BO66+BQ65</f>
        <v>#REF!</v>
      </c>
      <c r="BR66" s="547" t="e">
        <f>BJ66+BL66+BN66+BP66+BR65</f>
        <v>#REF!</v>
      </c>
      <c r="BS66" s="556">
        <f t="shared" si="76"/>
        <v>192</v>
      </c>
      <c r="BT66" s="556">
        <f t="shared" si="77"/>
        <v>384</v>
      </c>
      <c r="BU66" s="475"/>
      <c r="BV66" s="475"/>
      <c r="BW66" s="475"/>
      <c r="BX66" s="475"/>
      <c r="BY66" s="475"/>
      <c r="BZ66" s="475"/>
      <c r="CA66" s="475"/>
      <c r="CB66" s="475"/>
      <c r="CC66" s="475"/>
      <c r="CD66" s="475"/>
      <c r="CE66" s="475"/>
      <c r="CF66" s="475"/>
      <c r="CG66" s="475"/>
      <c r="CH66" s="475"/>
      <c r="CI66" s="475"/>
      <c r="CJ66" s="475"/>
      <c r="CK66" s="475"/>
      <c r="CL66" s="475"/>
      <c r="CM66" s="475"/>
      <c r="CN66" s="475"/>
      <c r="CO66" s="525"/>
      <c r="CP66" s="525"/>
      <c r="CQ66" s="525"/>
      <c r="CR66" s="525"/>
      <c r="CS66" s="525"/>
      <c r="CT66" s="525"/>
      <c r="CU66" s="525"/>
      <c r="CV66" s="525"/>
      <c r="CW66" s="525"/>
      <c r="CX66" s="525"/>
      <c r="CY66" s="525"/>
      <c r="CZ66" s="525"/>
      <c r="DA66" s="525"/>
      <c r="DB66" s="525"/>
      <c r="DC66" s="525"/>
      <c r="DD66" s="525"/>
      <c r="DE66" s="525"/>
      <c r="DF66" s="525"/>
      <c r="DG66" s="525"/>
      <c r="DH66" s="525"/>
      <c r="DI66" s="525"/>
      <c r="DJ66" s="525"/>
      <c r="DK66" s="525"/>
      <c r="DL66" s="525"/>
      <c r="DM66" s="525"/>
      <c r="DN66" s="525"/>
      <c r="DO66" s="525"/>
      <c r="DP66" s="525"/>
      <c r="DQ66" s="525"/>
      <c r="DR66" s="525"/>
      <c r="DS66" s="525"/>
      <c r="DT66" s="525"/>
      <c r="DU66" s="525"/>
      <c r="DV66" s="525"/>
      <c r="DW66" s="525"/>
      <c r="DX66" s="525"/>
      <c r="DY66" s="525"/>
      <c r="DZ66" s="525"/>
      <c r="EA66" s="525"/>
      <c r="EB66" s="525"/>
      <c r="EC66" s="525"/>
      <c r="ED66" s="525"/>
      <c r="EE66" s="525"/>
      <c r="EF66" s="525"/>
      <c r="EG66" s="525"/>
      <c r="EH66" s="525"/>
      <c r="EI66" s="525"/>
      <c r="EJ66" s="525"/>
      <c r="EK66" s="525"/>
      <c r="EL66" s="525"/>
      <c r="EM66" s="525"/>
      <c r="EN66" s="525"/>
      <c r="EO66" s="525"/>
      <c r="EP66" s="525"/>
      <c r="EQ66" s="525"/>
      <c r="ER66" s="525"/>
      <c r="ES66" s="525"/>
      <c r="ET66" s="525"/>
      <c r="EU66" s="525"/>
      <c r="EV66" s="525"/>
      <c r="EW66" s="525"/>
      <c r="EX66" s="525"/>
      <c r="EY66" s="525"/>
      <c r="EZ66" s="525"/>
      <c r="FA66" s="525"/>
      <c r="FB66" s="525"/>
      <c r="FC66" s="525"/>
      <c r="FD66" s="525"/>
      <c r="FE66" s="525"/>
      <c r="FF66" s="525"/>
      <c r="FG66" s="525"/>
      <c r="FH66" s="525"/>
      <c r="FI66" s="525"/>
      <c r="FJ66" s="525"/>
      <c r="FK66" s="525"/>
      <c r="FL66" s="525"/>
      <c r="FM66" s="525"/>
      <c r="FN66" s="525"/>
      <c r="FO66" s="525"/>
      <c r="FP66" s="525"/>
      <c r="FQ66" s="525"/>
      <c r="FR66" s="525"/>
      <c r="FS66" s="525"/>
      <c r="FT66" s="525"/>
      <c r="FU66" s="525"/>
      <c r="FV66" s="525"/>
      <c r="FW66" s="525"/>
      <c r="FX66" s="525"/>
      <c r="FY66" s="525"/>
      <c r="FZ66" s="525"/>
      <c r="GA66" s="525"/>
      <c r="GB66" s="525"/>
      <c r="GC66" s="525"/>
      <c r="GD66" s="525"/>
      <c r="GE66" s="525"/>
      <c r="GF66" s="525"/>
      <c r="GG66" s="525"/>
      <c r="GH66" s="525"/>
      <c r="GI66" s="525"/>
      <c r="GJ66" s="525"/>
      <c r="GK66" s="525"/>
      <c r="GL66" s="525"/>
      <c r="GM66" s="525"/>
      <c r="GN66" s="525"/>
      <c r="GO66" s="525"/>
      <c r="GP66" s="525"/>
      <c r="GQ66" s="525"/>
      <c r="GR66" s="525"/>
      <c r="GS66" s="525"/>
      <c r="GT66" s="525"/>
      <c r="GU66" s="525"/>
      <c r="GV66" s="525"/>
      <c r="GW66" s="525"/>
      <c r="GX66" s="525"/>
      <c r="GY66" s="525"/>
      <c r="GZ66" s="525"/>
      <c r="HA66" s="525"/>
      <c r="HB66" s="525"/>
      <c r="HC66" s="525"/>
      <c r="HD66" s="525"/>
      <c r="HE66" s="525"/>
      <c r="HF66" s="525"/>
      <c r="HG66" s="525"/>
      <c r="HH66" s="525"/>
      <c r="HI66" s="525"/>
      <c r="HJ66" s="525"/>
      <c r="HK66" s="525"/>
      <c r="HL66" s="525"/>
      <c r="HM66" s="525"/>
      <c r="HN66" s="525"/>
      <c r="HO66" s="525"/>
      <c r="HP66" s="525"/>
      <c r="HQ66" s="525"/>
      <c r="HR66" s="525"/>
      <c r="HS66" s="525"/>
      <c r="HT66" s="525"/>
      <c r="HU66" s="525"/>
      <c r="HV66" s="525"/>
      <c r="HW66" s="525"/>
      <c r="HX66" s="525"/>
      <c r="HY66" s="525"/>
      <c r="HZ66" s="525"/>
      <c r="IA66" s="525"/>
      <c r="IB66" s="525"/>
      <c r="IC66" s="525"/>
      <c r="ID66" s="525"/>
      <c r="IE66" s="525"/>
      <c r="IF66" s="525"/>
      <c r="IG66" s="525"/>
      <c r="IH66" s="525"/>
      <c r="II66" s="525"/>
      <c r="IJ66" s="525"/>
      <c r="IK66" s="525"/>
    </row>
    <row r="67" s="477" customFormat="1" ht="32" customHeight="1" spans="1:245 16376:16384">
      <c r="A67" s="539">
        <v>45504</v>
      </c>
      <c r="B67" s="540" t="s">
        <v>361</v>
      </c>
      <c r="C67" s="541" t="s">
        <v>91</v>
      </c>
      <c r="D67" s="542">
        <v>4500141730</v>
      </c>
      <c r="E67" s="543"/>
      <c r="F67" s="542" t="s">
        <v>12957</v>
      </c>
      <c r="G67" s="530" t="s">
        <v>10202</v>
      </c>
      <c r="H67" s="499" t="s">
        <v>10203</v>
      </c>
      <c r="I67" s="502">
        <v>972</v>
      </c>
      <c r="J67" s="502">
        <v>1</v>
      </c>
      <c r="K67" s="502">
        <v>2</v>
      </c>
      <c r="L67" s="502">
        <f t="shared" si="78"/>
        <v>486</v>
      </c>
      <c r="M67" s="503">
        <v>45558</v>
      </c>
      <c r="N67" s="503">
        <v>45554</v>
      </c>
      <c r="O67" s="554" t="s">
        <v>12952</v>
      </c>
      <c r="P67" s="555" t="s">
        <v>82</v>
      </c>
      <c r="Q67" s="506"/>
      <c r="R67" s="507"/>
      <c r="S67" s="519"/>
      <c r="T67" s="519" t="s">
        <v>12953</v>
      </c>
      <c r="U67" s="507" t="s">
        <v>12945</v>
      </c>
      <c r="V67" s="507"/>
      <c r="W67" s="538" t="s">
        <v>12956</v>
      </c>
      <c r="X67" s="502" t="s">
        <v>9870</v>
      </c>
      <c r="Y67" s="509">
        <v>7.743</v>
      </c>
      <c r="Z67" s="510">
        <f t="shared" si="68"/>
        <v>7526.196</v>
      </c>
      <c r="AA67" s="502"/>
      <c r="AB67" s="502" t="s">
        <v>10202</v>
      </c>
      <c r="AC67" s="501" t="s">
        <v>416</v>
      </c>
      <c r="AD67" s="511">
        <f t="shared" si="69"/>
        <v>972</v>
      </c>
      <c r="AE67" s="511"/>
      <c r="AF67" s="511"/>
      <c r="AG67" s="511"/>
      <c r="AH67" s="511"/>
      <c r="AI67" s="511"/>
      <c r="AJ67" s="512">
        <f t="shared" si="70"/>
        <v>972</v>
      </c>
      <c r="AK67" s="512"/>
      <c r="AL67" s="512"/>
      <c r="AM67" s="512"/>
      <c r="AN67" s="512"/>
      <c r="AO67" s="512"/>
      <c r="AP67" s="512"/>
      <c r="AQ67" s="512">
        <f t="shared" si="71"/>
        <v>972</v>
      </c>
      <c r="AR67" s="512"/>
      <c r="AS67" s="512"/>
      <c r="AT67" s="512"/>
      <c r="AU67" s="512"/>
      <c r="AV67" s="512"/>
      <c r="AW67" s="512"/>
      <c r="AX67" s="512"/>
      <c r="AY67" s="512"/>
      <c r="AZ67" s="512"/>
      <c r="BA67" s="512"/>
      <c r="BB67" s="512"/>
      <c r="BC67" s="512"/>
      <c r="BD67" s="512">
        <f t="shared" si="72"/>
        <v>972</v>
      </c>
      <c r="BE67" s="512"/>
      <c r="BF67" s="512">
        <f t="shared" si="73"/>
        <v>972</v>
      </c>
      <c r="BG67" s="512" t="s">
        <v>9164</v>
      </c>
      <c r="BH67" s="512"/>
      <c r="BI67" s="512"/>
      <c r="BJ67" s="512"/>
      <c r="BK67" s="512"/>
      <c r="BL67" s="512"/>
      <c r="BM67" s="512">
        <f t="shared" si="74"/>
        <v>972</v>
      </c>
      <c r="BN67" s="512">
        <f t="shared" si="75"/>
        <v>972</v>
      </c>
      <c r="BO67" s="515"/>
      <c r="BP67" s="512"/>
      <c r="BQ67" s="514" t="e">
        <f>BI67+BK67+BM67+BO67+BQ66</f>
        <v>#REF!</v>
      </c>
      <c r="BR67" s="547" t="e">
        <f>BJ67+BL67+BN67+BP67+BR66</f>
        <v>#REF!</v>
      </c>
      <c r="BS67" s="556">
        <f t="shared" si="76"/>
        <v>486</v>
      </c>
      <c r="BT67" s="556">
        <f t="shared" si="77"/>
        <v>972</v>
      </c>
      <c r="BU67" s="475"/>
      <c r="BV67" s="475"/>
      <c r="BW67" s="475"/>
      <c r="BX67" s="475"/>
      <c r="BY67" s="475"/>
      <c r="BZ67" s="475"/>
      <c r="CA67" s="475"/>
      <c r="CB67" s="475"/>
      <c r="CC67" s="475"/>
      <c r="CD67" s="475"/>
      <c r="CE67" s="475"/>
      <c r="CF67" s="475"/>
      <c r="CG67" s="475"/>
      <c r="CH67" s="475"/>
      <c r="CI67" s="475"/>
      <c r="CJ67" s="475"/>
      <c r="CK67" s="475"/>
      <c r="CL67" s="475"/>
      <c r="CM67" s="475"/>
      <c r="CN67" s="475"/>
      <c r="CO67" s="525"/>
      <c r="CP67" s="525"/>
      <c r="CQ67" s="525"/>
      <c r="CR67" s="525"/>
      <c r="CS67" s="525"/>
      <c r="CT67" s="525"/>
      <c r="CU67" s="525"/>
      <c r="CV67" s="525"/>
      <c r="CW67" s="525"/>
      <c r="CX67" s="525"/>
      <c r="CY67" s="525"/>
      <c r="CZ67" s="525"/>
      <c r="DA67" s="525"/>
      <c r="DB67" s="525"/>
      <c r="DC67" s="525"/>
      <c r="DD67" s="525"/>
      <c r="DE67" s="525"/>
      <c r="DF67" s="525"/>
      <c r="DG67" s="525"/>
      <c r="DH67" s="525"/>
      <c r="DI67" s="525"/>
      <c r="DJ67" s="525"/>
      <c r="DK67" s="525"/>
      <c r="DL67" s="525"/>
      <c r="DM67" s="525"/>
      <c r="DN67" s="525"/>
      <c r="DO67" s="525"/>
      <c r="DP67" s="525"/>
      <c r="DQ67" s="525"/>
      <c r="DR67" s="525"/>
      <c r="DS67" s="525"/>
      <c r="DT67" s="525"/>
      <c r="DU67" s="525"/>
      <c r="DV67" s="525"/>
      <c r="DW67" s="525"/>
      <c r="DX67" s="525"/>
      <c r="DY67" s="525"/>
      <c r="DZ67" s="525"/>
      <c r="EA67" s="525"/>
      <c r="EB67" s="525"/>
      <c r="EC67" s="525"/>
      <c r="ED67" s="525"/>
      <c r="EE67" s="525"/>
      <c r="EF67" s="525"/>
      <c r="EG67" s="525"/>
      <c r="EH67" s="525"/>
      <c r="EI67" s="525"/>
      <c r="EJ67" s="525"/>
      <c r="EK67" s="525"/>
      <c r="EL67" s="525"/>
      <c r="EM67" s="525"/>
      <c r="EN67" s="525"/>
      <c r="EO67" s="525"/>
      <c r="EP67" s="525"/>
      <c r="EQ67" s="525"/>
      <c r="ER67" s="525"/>
      <c r="ES67" s="525"/>
      <c r="ET67" s="525"/>
      <c r="EU67" s="525"/>
      <c r="EV67" s="525"/>
      <c r="EW67" s="525"/>
      <c r="EX67" s="525"/>
      <c r="EY67" s="525"/>
      <c r="EZ67" s="525"/>
      <c r="FA67" s="525"/>
      <c r="FB67" s="525"/>
      <c r="FC67" s="525"/>
      <c r="FD67" s="525"/>
      <c r="FE67" s="525"/>
      <c r="FF67" s="525"/>
      <c r="FG67" s="525"/>
      <c r="FH67" s="525"/>
      <c r="FI67" s="525"/>
      <c r="FJ67" s="525"/>
      <c r="FK67" s="525"/>
      <c r="FL67" s="525"/>
      <c r="FM67" s="525"/>
      <c r="FN67" s="525"/>
      <c r="FO67" s="525"/>
      <c r="FP67" s="525"/>
      <c r="FQ67" s="525"/>
      <c r="FR67" s="525"/>
      <c r="FS67" s="525"/>
      <c r="FT67" s="525"/>
      <c r="FU67" s="525"/>
      <c r="FV67" s="525"/>
      <c r="FW67" s="525"/>
      <c r="FX67" s="525"/>
      <c r="FY67" s="525"/>
      <c r="FZ67" s="525"/>
      <c r="GA67" s="525"/>
      <c r="GB67" s="525"/>
      <c r="GC67" s="525"/>
      <c r="GD67" s="525"/>
      <c r="GE67" s="525"/>
      <c r="GF67" s="525"/>
      <c r="GG67" s="525"/>
      <c r="GH67" s="525"/>
      <c r="GI67" s="525"/>
      <c r="GJ67" s="525"/>
      <c r="GK67" s="525"/>
      <c r="GL67" s="525"/>
      <c r="GM67" s="525"/>
      <c r="GN67" s="525"/>
      <c r="GO67" s="525"/>
      <c r="GP67" s="525"/>
      <c r="GQ67" s="525"/>
      <c r="GR67" s="525"/>
      <c r="GS67" s="525"/>
      <c r="GT67" s="525"/>
      <c r="GU67" s="525"/>
      <c r="GV67" s="525"/>
      <c r="GW67" s="525"/>
      <c r="GX67" s="525"/>
      <c r="GY67" s="525"/>
      <c r="GZ67" s="525"/>
      <c r="HA67" s="525"/>
      <c r="HB67" s="525"/>
      <c r="HC67" s="525"/>
      <c r="HD67" s="525"/>
      <c r="HE67" s="525"/>
      <c r="HF67" s="525"/>
      <c r="HG67" s="525"/>
      <c r="HH67" s="525"/>
      <c r="HI67" s="525"/>
      <c r="HJ67" s="525"/>
      <c r="HK67" s="525"/>
      <c r="HL67" s="525"/>
      <c r="HM67" s="525"/>
      <c r="HN67" s="525"/>
      <c r="HO67" s="525"/>
      <c r="HP67" s="525"/>
      <c r="HQ67" s="525"/>
      <c r="HR67" s="525"/>
      <c r="HS67" s="525"/>
      <c r="HT67" s="525"/>
      <c r="HU67" s="525"/>
      <c r="HV67" s="525"/>
      <c r="HW67" s="525"/>
      <c r="HX67" s="525"/>
      <c r="HY67" s="525"/>
      <c r="HZ67" s="525"/>
      <c r="IA67" s="525"/>
      <c r="IB67" s="525"/>
      <c r="IC67" s="525"/>
      <c r="ID67" s="525"/>
      <c r="IE67" s="525"/>
      <c r="IF67" s="525"/>
      <c r="IG67" s="525"/>
      <c r="IH67" s="525"/>
      <c r="II67" s="525"/>
      <c r="IJ67" s="525"/>
      <c r="IK67" s="525"/>
    </row>
    <row r="68" s="478" customFormat="1" ht="32" customHeight="1" spans="1:245 16376:16384">
      <c r="A68" s="539">
        <v>45548</v>
      </c>
      <c r="B68" s="540" t="s">
        <v>12958</v>
      </c>
      <c r="C68" s="541" t="s">
        <v>471</v>
      </c>
      <c r="D68" s="542">
        <v>4500145189</v>
      </c>
      <c r="E68" s="543" t="s">
        <v>12959</v>
      </c>
      <c r="F68" s="542" t="s">
        <v>12960</v>
      </c>
      <c r="G68" s="499" t="s">
        <v>9154</v>
      </c>
      <c r="H68" s="499" t="s">
        <v>9155</v>
      </c>
      <c r="I68" s="501">
        <v>1600</v>
      </c>
      <c r="J68" s="501">
        <v>0</v>
      </c>
      <c r="K68" s="501">
        <v>8</v>
      </c>
      <c r="L68" s="501">
        <f t="shared" si="78"/>
        <v>200</v>
      </c>
      <c r="M68" s="504">
        <v>45590</v>
      </c>
      <c r="N68" s="504" t="s">
        <v>12961</v>
      </c>
      <c r="O68" s="505"/>
      <c r="P68" s="505"/>
      <c r="Q68" s="505"/>
      <c r="R68" s="505"/>
      <c r="S68" s="507"/>
      <c r="T68" s="519" t="s">
        <v>98</v>
      </c>
      <c r="U68" s="519" t="s">
        <v>12962</v>
      </c>
      <c r="V68" s="519"/>
      <c r="W68" s="519"/>
      <c r="X68" s="520" t="s">
        <v>12963</v>
      </c>
      <c r="Y68" s="501" t="s">
        <v>7597</v>
      </c>
      <c r="Z68" s="521">
        <v>4.2475</v>
      </c>
      <c r="AA68" s="522">
        <f>Z68*I68</f>
        <v>6796</v>
      </c>
      <c r="AB68" s="501"/>
      <c r="AC68" s="557" t="s">
        <v>9239</v>
      </c>
      <c r="AD68" s="501" t="s">
        <v>416</v>
      </c>
      <c r="AE68" s="523"/>
      <c r="AF68" s="523"/>
      <c r="AG68" s="523">
        <f>I68</f>
        <v>1600</v>
      </c>
      <c r="AH68" s="523"/>
      <c r="AI68" s="523"/>
      <c r="AJ68" s="523"/>
      <c r="AK68" s="524">
        <f>I68</f>
        <v>1600</v>
      </c>
      <c r="AL68" s="524"/>
      <c r="AM68" s="524"/>
      <c r="AN68" s="524"/>
      <c r="AO68" s="524"/>
      <c r="AP68" s="524">
        <f>I68/4</f>
        <v>400</v>
      </c>
      <c r="AQ68" s="524">
        <f t="shared" ref="AQ68:AS68" si="79">AP68</f>
        <v>400</v>
      </c>
      <c r="AR68" s="524">
        <f t="shared" si="79"/>
        <v>400</v>
      </c>
      <c r="AS68" s="524">
        <f t="shared" si="79"/>
        <v>400</v>
      </c>
      <c r="AT68" s="524"/>
      <c r="AU68" s="524"/>
      <c r="AV68" s="524"/>
      <c r="AW68" s="524"/>
      <c r="AX68" s="524"/>
      <c r="AY68" s="524"/>
      <c r="AZ68" s="524"/>
      <c r="BA68" s="524"/>
      <c r="BB68" s="524"/>
      <c r="BC68" s="524"/>
      <c r="BD68" s="524"/>
      <c r="BE68" s="524">
        <f>I68</f>
        <v>1600</v>
      </c>
      <c r="BF68" s="524"/>
      <c r="BG68" s="524" t="s">
        <v>9164</v>
      </c>
      <c r="BH68" s="524"/>
      <c r="BI68" s="524">
        <f t="shared" ref="BI68:BI74" si="80">I68/4</f>
        <v>400</v>
      </c>
      <c r="BJ68" s="524">
        <f>I68/4</f>
        <v>400</v>
      </c>
      <c r="BK68" s="524">
        <f>I68/4</f>
        <v>400</v>
      </c>
      <c r="BL68" s="524">
        <f>I68/4</f>
        <v>400</v>
      </c>
      <c r="BM68" s="524"/>
      <c r="BN68" s="514" t="e">
        <f>BI68+BJ68+BK68+BL68+'92107'!#REF!</f>
        <v>#REF!</v>
      </c>
      <c r="BO68" s="514" t="e">
        <f>'92107'!#REF!-BI68</f>
        <v>#REF!</v>
      </c>
      <c r="BP68" s="514" t="e">
        <f>'92107'!#REF!-BJ68</f>
        <v>#REF!</v>
      </c>
      <c r="BQ68" s="514" t="e">
        <f>'92107'!#REF!-BK68</f>
        <v>#REF!</v>
      </c>
      <c r="BR68" s="547" t="e">
        <f>'92107'!#REF!-BL68</f>
        <v>#REF!</v>
      </c>
      <c r="BS68" s="99"/>
      <c r="BT68" s="99"/>
      <c r="BU68" s="475"/>
      <c r="BV68" s="475"/>
      <c r="BW68" s="475"/>
      <c r="BX68" s="475"/>
      <c r="BY68" s="475"/>
      <c r="BZ68" s="475"/>
      <c r="CA68" s="475"/>
      <c r="CB68" s="475"/>
      <c r="CC68" s="475"/>
      <c r="CD68" s="475"/>
      <c r="CE68" s="475"/>
      <c r="CF68" s="475"/>
      <c r="CG68" s="475"/>
      <c r="CH68" s="475"/>
      <c r="CI68" s="475"/>
      <c r="CJ68" s="475"/>
      <c r="CK68" s="475"/>
      <c r="CL68" s="475"/>
      <c r="CM68" s="475"/>
      <c r="CN68" s="475"/>
    </row>
    <row r="69" s="478" customFormat="1" ht="32" customHeight="1" spans="1:245 16376:16384">
      <c r="A69" s="539">
        <v>45289</v>
      </c>
      <c r="B69" s="540" t="s">
        <v>323</v>
      </c>
      <c r="C69" s="541" t="s">
        <v>324</v>
      </c>
      <c r="D69" s="542" t="s">
        <v>9152</v>
      </c>
      <c r="E69" s="543" t="s">
        <v>9153</v>
      </c>
      <c r="F69" s="558"/>
      <c r="G69" s="499" t="s">
        <v>9453</v>
      </c>
      <c r="H69" s="499" t="s">
        <v>12964</v>
      </c>
      <c r="I69" s="501">
        <v>30</v>
      </c>
      <c r="J69" s="501">
        <v>0</v>
      </c>
      <c r="K69" s="501">
        <v>30</v>
      </c>
      <c r="L69" s="501">
        <f t="shared" si="78"/>
        <v>1</v>
      </c>
      <c r="M69" s="504">
        <v>45313</v>
      </c>
      <c r="N69" s="504" t="s">
        <v>12965</v>
      </c>
      <c r="O69" s="505"/>
      <c r="P69" s="505"/>
      <c r="Q69" s="505"/>
      <c r="R69" s="505"/>
      <c r="S69" s="519"/>
      <c r="T69" s="519" t="s">
        <v>98</v>
      </c>
      <c r="U69" s="519" t="s">
        <v>98</v>
      </c>
      <c r="V69" s="519"/>
      <c r="W69" s="519"/>
      <c r="X69" s="559" t="s">
        <v>9156</v>
      </c>
      <c r="Y69" s="501"/>
      <c r="Z69" s="521"/>
      <c r="AA69" s="522"/>
      <c r="AB69" s="501"/>
      <c r="AC69" s="501" t="s">
        <v>5400</v>
      </c>
      <c r="AD69" s="501" t="s">
        <v>5400</v>
      </c>
      <c r="AE69" s="523"/>
      <c r="AF69" s="523"/>
      <c r="AG69" s="523"/>
      <c r="AH69" s="523"/>
      <c r="AI69" s="523"/>
      <c r="AJ69" s="523"/>
      <c r="AK69" s="524"/>
      <c r="AL69" s="524"/>
      <c r="AM69" s="524"/>
      <c r="AN69" s="524"/>
      <c r="AO69" s="524"/>
      <c r="AP69" s="524"/>
      <c r="AQ69" s="524"/>
      <c r="AR69" s="524"/>
      <c r="AS69" s="524"/>
      <c r="AT69" s="524"/>
      <c r="AU69" s="524"/>
      <c r="AV69" s="524"/>
      <c r="AW69" s="524"/>
      <c r="AX69" s="524"/>
      <c r="AY69" s="524"/>
      <c r="AZ69" s="524"/>
      <c r="BA69" s="524"/>
      <c r="BB69" s="524"/>
      <c r="BC69" s="524"/>
      <c r="BD69" s="524"/>
      <c r="BE69" s="524"/>
      <c r="BF69" s="524"/>
      <c r="BG69" s="524"/>
      <c r="BH69" s="524"/>
      <c r="BI69" s="524">
        <v>0</v>
      </c>
      <c r="BJ69" s="524">
        <v>0</v>
      </c>
      <c r="BK69" s="524">
        <v>0</v>
      </c>
      <c r="BL69" s="524">
        <v>0</v>
      </c>
      <c r="BM69" s="524">
        <f>BI69+BJ69+BK69+BL69-I69</f>
        <v>-30</v>
      </c>
      <c r="BN69" s="514">
        <f>BI69+BJ69+BK69+BL69+'92107'!BS4</f>
        <v>512480</v>
      </c>
      <c r="BO69" s="514">
        <f>'92107'!BT4-BI69</f>
        <v>151789.333333333</v>
      </c>
      <c r="BP69" s="514">
        <f>'92107'!BU4-BJ69</f>
        <v>151789.333333333</v>
      </c>
      <c r="BQ69" s="514">
        <f>'92107'!BV4-BK69</f>
        <v>151789.333333333</v>
      </c>
      <c r="BR69" s="547">
        <f>'92107'!BW4-BL69</f>
        <v>151789.333333333</v>
      </c>
      <c r="BS69" s="99"/>
      <c r="BT69" s="99"/>
      <c r="BU69" s="475"/>
      <c r="BV69" s="475"/>
      <c r="BW69" s="475"/>
      <c r="BX69" s="475"/>
      <c r="BY69" s="475"/>
      <c r="BZ69" s="475"/>
      <c r="CA69" s="475"/>
      <c r="CB69" s="475"/>
      <c r="CC69" s="475"/>
      <c r="CD69" s="475"/>
      <c r="CE69" s="475"/>
      <c r="CF69" s="475"/>
      <c r="CG69" s="475"/>
      <c r="CH69" s="475"/>
      <c r="CI69" s="475"/>
      <c r="CJ69" s="475"/>
      <c r="CK69" s="475"/>
      <c r="CL69" s="475"/>
      <c r="CM69" s="475"/>
      <c r="CN69" s="475"/>
    </row>
    <row r="70" s="477" customFormat="1" ht="32" customHeight="1" spans="1:245 16376:16384">
      <c r="A70" s="539">
        <v>45289</v>
      </c>
      <c r="B70" s="540" t="s">
        <v>323</v>
      </c>
      <c r="C70" s="541" t="s">
        <v>324</v>
      </c>
      <c r="D70" s="542" t="s">
        <v>10198</v>
      </c>
      <c r="E70" s="543" t="s">
        <v>9153</v>
      </c>
      <c r="F70" s="558"/>
      <c r="G70" s="499" t="s">
        <v>10307</v>
      </c>
      <c r="H70" s="499" t="s">
        <v>12966</v>
      </c>
      <c r="I70" s="501">
        <v>24</v>
      </c>
      <c r="J70" s="502">
        <v>0</v>
      </c>
      <c r="K70" s="502">
        <v>24</v>
      </c>
      <c r="L70" s="502">
        <f t="shared" si="78"/>
        <v>1</v>
      </c>
      <c r="M70" s="503">
        <v>45316</v>
      </c>
      <c r="N70" s="504" t="s">
        <v>12965</v>
      </c>
      <c r="O70" s="506"/>
      <c r="P70" s="506"/>
      <c r="Q70" s="506"/>
      <c r="R70" s="507"/>
      <c r="S70" s="507"/>
      <c r="T70" s="507" t="s">
        <v>98</v>
      </c>
      <c r="U70" s="507"/>
      <c r="V70" s="507"/>
      <c r="W70" s="560" t="s">
        <v>10200</v>
      </c>
      <c r="X70" s="502"/>
      <c r="Y70" s="509"/>
      <c r="Z70" s="510"/>
      <c r="AA70" s="502"/>
      <c r="AB70" s="502" t="s">
        <v>5400</v>
      </c>
      <c r="AC70" s="502" t="s">
        <v>5400</v>
      </c>
      <c r="AD70" s="511"/>
      <c r="AE70" s="511"/>
      <c r="AF70" s="511"/>
      <c r="AG70" s="511"/>
      <c r="AH70" s="511"/>
      <c r="AI70" s="511"/>
      <c r="AJ70" s="512"/>
      <c r="AK70" s="512"/>
      <c r="AL70" s="512"/>
      <c r="AM70" s="512"/>
      <c r="AN70" s="512"/>
      <c r="AO70" s="512"/>
      <c r="AP70" s="512"/>
      <c r="AQ70" s="512"/>
      <c r="AR70" s="512"/>
      <c r="AS70" s="512"/>
      <c r="AT70" s="512"/>
      <c r="AU70" s="512"/>
      <c r="AV70" s="512"/>
      <c r="AW70" s="512"/>
      <c r="AX70" s="512"/>
      <c r="AY70" s="512"/>
      <c r="AZ70" s="512"/>
      <c r="BA70" s="512"/>
      <c r="BB70" s="512"/>
      <c r="BC70" s="512"/>
      <c r="BD70" s="512"/>
      <c r="BE70" s="512"/>
      <c r="BF70" s="512"/>
      <c r="BG70" s="512"/>
      <c r="BH70" s="512"/>
      <c r="BI70" s="512">
        <v>0</v>
      </c>
      <c r="BJ70" s="512">
        <v>0</v>
      </c>
      <c r="BK70" s="512">
        <v>0</v>
      </c>
      <c r="BL70" s="512">
        <v>0</v>
      </c>
      <c r="BM70" s="512">
        <v>0</v>
      </c>
      <c r="BN70" s="512">
        <v>0</v>
      </c>
      <c r="BO70" s="512">
        <v>0</v>
      </c>
      <c r="BP70" s="512">
        <v>0</v>
      </c>
      <c r="BQ70" s="514" t="e">
        <f>BI70+BK70+BM70+BO70+'92108'!#REF!</f>
        <v>#REF!</v>
      </c>
      <c r="BR70" s="547">
        <f>BJ70+BL70+BN70+BP70+'92108'!BQ4</f>
        <v>238025</v>
      </c>
      <c r="BS70" s="99"/>
      <c r="BT70" s="99"/>
      <c r="BU70" s="475"/>
      <c r="BV70" s="475"/>
      <c r="BW70" s="475"/>
      <c r="BX70" s="475"/>
      <c r="BY70" s="475"/>
      <c r="BZ70" s="475"/>
      <c r="CA70" s="475"/>
      <c r="CB70" s="475"/>
      <c r="CC70" s="475"/>
      <c r="CD70" s="475"/>
      <c r="CE70" s="475"/>
      <c r="CF70" s="475"/>
      <c r="CG70" s="475"/>
      <c r="CH70" s="475"/>
      <c r="CI70" s="475"/>
      <c r="CJ70" s="475"/>
      <c r="CK70" s="475"/>
      <c r="CL70" s="475"/>
      <c r="CM70" s="475"/>
      <c r="CN70" s="475"/>
      <c r="CO70" s="525"/>
      <c r="CP70" s="525"/>
      <c r="CQ70" s="525"/>
      <c r="CR70" s="525"/>
      <c r="CS70" s="525"/>
      <c r="CT70" s="525"/>
      <c r="CU70" s="525"/>
      <c r="CV70" s="525"/>
      <c r="CW70" s="525"/>
      <c r="CX70" s="525"/>
      <c r="CY70" s="525"/>
      <c r="CZ70" s="525"/>
      <c r="DA70" s="525"/>
      <c r="DB70" s="525"/>
      <c r="DC70" s="525"/>
      <c r="DD70" s="525"/>
      <c r="DE70" s="525"/>
      <c r="DF70" s="525"/>
      <c r="DG70" s="525"/>
      <c r="DH70" s="525"/>
      <c r="DI70" s="525"/>
      <c r="DJ70" s="525"/>
      <c r="DK70" s="525"/>
      <c r="DL70" s="525"/>
      <c r="DM70" s="525"/>
      <c r="DN70" s="525"/>
      <c r="DO70" s="525"/>
      <c r="DP70" s="525"/>
      <c r="DQ70" s="525"/>
      <c r="DR70" s="525"/>
      <c r="DS70" s="525"/>
      <c r="DT70" s="525"/>
      <c r="DU70" s="525"/>
      <c r="DV70" s="525"/>
      <c r="DW70" s="525"/>
      <c r="DX70" s="525"/>
      <c r="DY70" s="525"/>
      <c r="DZ70" s="525"/>
      <c r="EA70" s="525"/>
      <c r="EB70" s="525"/>
      <c r="EC70" s="525"/>
      <c r="ED70" s="525"/>
      <c r="EE70" s="525"/>
      <c r="EF70" s="525"/>
      <c r="EG70" s="525"/>
      <c r="EH70" s="525"/>
      <c r="EI70" s="525"/>
      <c r="EJ70" s="525"/>
      <c r="EK70" s="525"/>
      <c r="EL70" s="525"/>
      <c r="EM70" s="525"/>
      <c r="EN70" s="525"/>
      <c r="EO70" s="525"/>
      <c r="EP70" s="525"/>
      <c r="EQ70" s="525"/>
      <c r="ER70" s="525"/>
      <c r="ES70" s="525"/>
      <c r="ET70" s="525"/>
      <c r="EU70" s="525"/>
      <c r="EV70" s="525"/>
      <c r="EW70" s="525"/>
      <c r="EX70" s="525"/>
      <c r="EY70" s="525"/>
      <c r="EZ70" s="525"/>
      <c r="FA70" s="525"/>
      <c r="FB70" s="525"/>
      <c r="FC70" s="525"/>
      <c r="FD70" s="525"/>
      <c r="FE70" s="525"/>
      <c r="FF70" s="525"/>
      <c r="FG70" s="525"/>
      <c r="FH70" s="525"/>
      <c r="FI70" s="525"/>
      <c r="FJ70" s="525"/>
      <c r="FK70" s="525"/>
      <c r="FL70" s="525"/>
      <c r="FM70" s="525"/>
      <c r="FN70" s="525"/>
      <c r="FO70" s="525"/>
      <c r="FP70" s="525"/>
      <c r="FQ70" s="525"/>
      <c r="FR70" s="525"/>
      <c r="FS70" s="525"/>
      <c r="FT70" s="525"/>
      <c r="FU70" s="525"/>
      <c r="FV70" s="525"/>
      <c r="FW70" s="525"/>
      <c r="FX70" s="525"/>
      <c r="FY70" s="525"/>
      <c r="FZ70" s="525"/>
      <c r="GA70" s="525"/>
      <c r="GB70" s="525"/>
      <c r="GC70" s="525"/>
      <c r="GD70" s="525"/>
      <c r="GE70" s="525"/>
      <c r="GF70" s="525"/>
      <c r="GG70" s="525"/>
      <c r="GH70" s="525"/>
      <c r="GI70" s="525"/>
      <c r="GJ70" s="525"/>
      <c r="GK70" s="525"/>
      <c r="GL70" s="525"/>
      <c r="GM70" s="525"/>
      <c r="GN70" s="525"/>
      <c r="GO70" s="525"/>
      <c r="GP70" s="525"/>
      <c r="GQ70" s="525"/>
      <c r="GR70" s="525"/>
      <c r="GS70" s="525"/>
      <c r="GT70" s="525"/>
      <c r="GU70" s="525"/>
      <c r="GV70" s="525"/>
      <c r="GW70" s="525"/>
      <c r="GX70" s="525"/>
      <c r="GY70" s="525"/>
      <c r="GZ70" s="525"/>
      <c r="HA70" s="525"/>
      <c r="HB70" s="525"/>
      <c r="HC70" s="525"/>
      <c r="HD70" s="525"/>
      <c r="HE70" s="525"/>
      <c r="HF70" s="525"/>
      <c r="HG70" s="525"/>
      <c r="HH70" s="525"/>
      <c r="HI70" s="525"/>
      <c r="HJ70" s="525"/>
      <c r="HK70" s="525"/>
      <c r="HL70" s="525"/>
      <c r="HM70" s="525"/>
      <c r="HN70" s="525"/>
      <c r="HO70" s="525"/>
      <c r="HP70" s="525"/>
      <c r="HQ70" s="525"/>
      <c r="HR70" s="525"/>
      <c r="HS70" s="525"/>
      <c r="HT70" s="525"/>
      <c r="HU70" s="525"/>
      <c r="HV70" s="525"/>
      <c r="HW70" s="525"/>
      <c r="HX70" s="525"/>
      <c r="HY70" s="525"/>
      <c r="HZ70" s="525"/>
      <c r="IA70" s="525"/>
      <c r="IB70" s="525"/>
      <c r="IC70" s="525"/>
      <c r="ID70" s="525"/>
      <c r="IE70" s="525"/>
      <c r="IF70" s="525"/>
      <c r="IG70" s="525"/>
      <c r="IH70" s="525"/>
      <c r="II70" s="525"/>
      <c r="IJ70" s="525"/>
      <c r="IK70" s="525"/>
    </row>
    <row r="71" s="478" customFormat="1" ht="32" customHeight="1" spans="1:245 16376:16384">
      <c r="A71" s="539">
        <v>45589</v>
      </c>
      <c r="B71" s="540" t="s">
        <v>3138</v>
      </c>
      <c r="C71" s="541" t="s">
        <v>396</v>
      </c>
      <c r="D71" s="542">
        <v>4500148922</v>
      </c>
      <c r="E71" s="543" t="s">
        <v>12484</v>
      </c>
      <c r="F71" s="542" t="s">
        <v>12967</v>
      </c>
      <c r="G71" s="499" t="s">
        <v>9355</v>
      </c>
      <c r="H71" s="499" t="s">
        <v>9356</v>
      </c>
      <c r="I71" s="501">
        <v>800</v>
      </c>
      <c r="J71" s="501">
        <v>0</v>
      </c>
      <c r="K71" s="501">
        <v>8</v>
      </c>
      <c r="L71" s="501">
        <f t="shared" si="78"/>
        <v>100</v>
      </c>
      <c r="M71" s="504">
        <v>45625</v>
      </c>
      <c r="N71" s="504">
        <v>45621</v>
      </c>
      <c r="O71" s="506"/>
      <c r="P71" s="505"/>
      <c r="Q71" s="561" t="s">
        <v>12968</v>
      </c>
      <c r="R71" s="561" t="s">
        <v>12467</v>
      </c>
      <c r="S71" s="507"/>
      <c r="T71" s="519" t="s">
        <v>98</v>
      </c>
      <c r="U71" s="519" t="s">
        <v>12969</v>
      </c>
      <c r="V71" s="519"/>
      <c r="W71" s="520"/>
      <c r="X71" s="520" t="s">
        <v>12970</v>
      </c>
      <c r="Y71" s="501" t="s">
        <v>405</v>
      </c>
      <c r="Z71" s="521">
        <v>4.2475</v>
      </c>
      <c r="AA71" s="522">
        <f>Z71*I71</f>
        <v>3398</v>
      </c>
      <c r="AB71" s="501"/>
      <c r="AC71" s="499"/>
      <c r="AD71" s="501"/>
      <c r="AE71" s="523"/>
      <c r="AF71" s="523"/>
      <c r="AG71" s="523"/>
      <c r="AH71" s="523">
        <f>I71</f>
        <v>800</v>
      </c>
      <c r="AI71" s="562"/>
      <c r="AJ71" s="523"/>
      <c r="AK71" s="524">
        <f>I71</f>
        <v>800</v>
      </c>
      <c r="AL71" s="524"/>
      <c r="AM71" s="563"/>
      <c r="AN71" s="524"/>
      <c r="AO71" s="524"/>
      <c r="AP71" s="524">
        <f>I71/4</f>
        <v>200</v>
      </c>
      <c r="AQ71" s="524">
        <f t="shared" ref="AQ71:AS71" si="81">AP71</f>
        <v>200</v>
      </c>
      <c r="AR71" s="524">
        <f t="shared" si="81"/>
        <v>200</v>
      </c>
      <c r="AS71" s="524">
        <f t="shared" si="81"/>
        <v>200</v>
      </c>
      <c r="AT71" s="524"/>
      <c r="AU71" s="524"/>
      <c r="AV71" s="524"/>
      <c r="AW71" s="524"/>
      <c r="AX71" s="524"/>
      <c r="AY71" s="524"/>
      <c r="AZ71" s="524"/>
      <c r="BA71" s="524"/>
      <c r="BB71" s="524"/>
      <c r="BC71" s="524"/>
      <c r="BD71" s="524"/>
      <c r="BE71" s="524"/>
      <c r="BF71" s="524">
        <f t="shared" ref="BF71:BF74" si="82">I71</f>
        <v>800</v>
      </c>
      <c r="BG71" s="524" t="s">
        <v>9164</v>
      </c>
      <c r="BH71" s="524"/>
      <c r="BI71" s="524">
        <f t="shared" si="80"/>
        <v>200</v>
      </c>
      <c r="BJ71" s="524">
        <f>I71/4</f>
        <v>200</v>
      </c>
      <c r="BK71" s="524">
        <f>I71/4</f>
        <v>200</v>
      </c>
      <c r="BL71" s="524">
        <f>I71/4</f>
        <v>200</v>
      </c>
      <c r="BM71" s="524"/>
      <c r="BN71" s="514" t="e">
        <f>BI71+BJ71+BK71+BL71+'92107'!#REF!</f>
        <v>#REF!</v>
      </c>
      <c r="BO71" s="514" t="e">
        <f>'92107'!#REF!-BI71</f>
        <v>#REF!</v>
      </c>
      <c r="BP71" s="514" t="e">
        <f>'92107'!#REF!-BJ71</f>
        <v>#REF!</v>
      </c>
      <c r="BQ71" s="514" t="e">
        <f>'92107'!#REF!-BK71</f>
        <v>#REF!</v>
      </c>
      <c r="BR71" s="547" t="e">
        <f>'92107'!#REF!-BL71</f>
        <v>#REF!</v>
      </c>
      <c r="BS71" s="99"/>
      <c r="BT71" s="556">
        <f>L71</f>
        <v>100</v>
      </c>
      <c r="BU71" s="475"/>
      <c r="BV71" s="475"/>
      <c r="BW71" s="475"/>
      <c r="BX71" s="475"/>
      <c r="BY71" s="475"/>
      <c r="BZ71" s="475"/>
      <c r="CA71" s="475"/>
      <c r="CB71" s="475"/>
      <c r="CC71" s="475"/>
      <c r="CD71" s="475"/>
      <c r="CE71" s="475"/>
      <c r="CF71" s="475"/>
      <c r="CG71" s="475"/>
      <c r="CH71" s="475"/>
      <c r="CI71" s="475"/>
      <c r="CJ71" s="475"/>
      <c r="CK71" s="475"/>
      <c r="CL71" s="475"/>
      <c r="CM71" s="475"/>
      <c r="CN71" s="475"/>
    </row>
    <row r="72" s="479" customFormat="1" ht="32" customHeight="1" spans="1:245 16376:16384">
      <c r="A72" s="564">
        <v>45713</v>
      </c>
      <c r="B72" s="540" t="s">
        <v>2285</v>
      </c>
      <c r="C72" s="541" t="s">
        <v>351</v>
      </c>
      <c r="D72" s="542">
        <v>4500158543</v>
      </c>
      <c r="E72" s="543" t="s">
        <v>3330</v>
      </c>
      <c r="F72" s="542" t="s">
        <v>12971</v>
      </c>
      <c r="G72" s="565" t="s">
        <v>10199</v>
      </c>
      <c r="H72" s="499" t="s">
        <v>9155</v>
      </c>
      <c r="I72" s="501">
        <v>2184</v>
      </c>
      <c r="J72" s="501">
        <v>0</v>
      </c>
      <c r="K72" s="501">
        <v>4</v>
      </c>
      <c r="L72" s="501">
        <f t="shared" si="78"/>
        <v>546</v>
      </c>
      <c r="M72" s="504">
        <v>45751</v>
      </c>
      <c r="N72" s="504">
        <v>45747</v>
      </c>
      <c r="O72" s="506"/>
      <c r="P72" s="505" t="s">
        <v>10206</v>
      </c>
      <c r="Q72" s="566" t="s">
        <v>12972</v>
      </c>
      <c r="R72" s="519"/>
      <c r="S72" s="519"/>
      <c r="T72" s="519" t="s">
        <v>10318</v>
      </c>
      <c r="U72" s="519"/>
      <c r="V72" s="519" t="s">
        <v>10319</v>
      </c>
      <c r="W72" s="520" t="s">
        <v>12973</v>
      </c>
      <c r="X72" s="501" t="s">
        <v>357</v>
      </c>
      <c r="Y72" s="521">
        <v>7.294</v>
      </c>
      <c r="Z72" s="522">
        <f t="shared" ref="Z72:Z74" si="83">Y72*I72</f>
        <v>15930.096</v>
      </c>
      <c r="AA72" s="501"/>
      <c r="AB72" s="540" t="s">
        <v>10312</v>
      </c>
      <c r="AC72" s="501" t="s">
        <v>416</v>
      </c>
      <c r="AD72" s="523">
        <f t="shared" ref="AD72:AD74" si="84">I72</f>
        <v>2184</v>
      </c>
      <c r="AE72" s="523"/>
      <c r="AF72" s="523"/>
      <c r="AG72" s="523"/>
      <c r="AH72" s="523"/>
      <c r="AI72" s="523"/>
      <c r="AJ72" s="524">
        <f t="shared" ref="AJ72:AJ74" si="85">I72</f>
        <v>2184</v>
      </c>
      <c r="AK72" s="524"/>
      <c r="AL72" s="524"/>
      <c r="AM72" s="524"/>
      <c r="AN72" s="567"/>
      <c r="AO72" s="568"/>
      <c r="AP72" s="524"/>
      <c r="AQ72" s="524">
        <f t="shared" ref="AQ72:AQ74" si="86">I72/4</f>
        <v>546</v>
      </c>
      <c r="AR72" s="569"/>
      <c r="AS72" s="568">
        <f t="shared" ref="AS72:AS74" si="87">I72/4</f>
        <v>546</v>
      </c>
      <c r="AT72" s="524">
        <f t="shared" ref="AT72:AT74" si="88">I72/4</f>
        <v>546</v>
      </c>
      <c r="AU72" s="524"/>
      <c r="AV72" s="569">
        <f>AS72</f>
        <v>546</v>
      </c>
      <c r="AW72" s="568"/>
      <c r="AX72" s="524"/>
      <c r="AY72" s="524"/>
      <c r="AZ72" s="569"/>
      <c r="BA72" s="568"/>
      <c r="BB72" s="569"/>
      <c r="BC72" s="570"/>
      <c r="BD72" s="524">
        <f t="shared" ref="BD72:BD74" si="89">I72</f>
        <v>2184</v>
      </c>
      <c r="BE72" s="524"/>
      <c r="BF72" s="524">
        <f t="shared" si="82"/>
        <v>2184</v>
      </c>
      <c r="BG72" s="524" t="s">
        <v>9164</v>
      </c>
      <c r="BH72" s="524"/>
      <c r="BI72" s="524">
        <f t="shared" si="80"/>
        <v>546</v>
      </c>
      <c r="BJ72" s="524">
        <f t="shared" ref="BJ72:BP72" si="90">BI72</f>
        <v>546</v>
      </c>
      <c r="BK72" s="524">
        <f t="shared" si="90"/>
        <v>546</v>
      </c>
      <c r="BL72" s="524">
        <f t="shared" si="90"/>
        <v>546</v>
      </c>
      <c r="BM72" s="514">
        <f t="shared" si="90"/>
        <v>546</v>
      </c>
      <c r="BN72" s="524">
        <f t="shared" si="90"/>
        <v>546</v>
      </c>
      <c r="BO72" s="514">
        <f t="shared" si="90"/>
        <v>546</v>
      </c>
      <c r="BP72" s="524">
        <f t="shared" si="90"/>
        <v>546</v>
      </c>
      <c r="BQ72" s="514">
        <f>'92108'!$BQ$136+BJ72+BL72+BN72+BP72</f>
        <v>240209</v>
      </c>
      <c r="BR72" s="514">
        <f>'92108'!BR38-BI72</f>
        <v>21807.75</v>
      </c>
      <c r="BS72" s="514"/>
      <c r="BT72" s="514"/>
      <c r="BU72" s="475"/>
      <c r="BV72" s="475"/>
      <c r="BW72" s="475"/>
      <c r="BX72" s="475"/>
      <c r="BY72" s="475"/>
      <c r="BZ72" s="571"/>
      <c r="CA72" s="571"/>
      <c r="CB72" s="571"/>
      <c r="CC72" s="571"/>
      <c r="CD72" s="571"/>
      <c r="CE72" s="571"/>
      <c r="CF72" s="571"/>
      <c r="CG72" s="571"/>
      <c r="CH72" s="571"/>
      <c r="CI72" s="571"/>
      <c r="CJ72" s="571"/>
      <c r="CK72" s="571"/>
      <c r="CL72" s="571"/>
      <c r="CM72" s="571"/>
      <c r="CN72" s="571"/>
      <c r="CO72" s="571"/>
      <c r="CP72" s="571"/>
      <c r="CQ72" s="571"/>
      <c r="CR72" s="571"/>
      <c r="CS72" s="571"/>
      <c r="CT72" s="571"/>
      <c r="CU72" s="571"/>
      <c r="CV72" s="571"/>
      <c r="CW72" s="571"/>
      <c r="CX72" s="571"/>
      <c r="CY72" s="571"/>
      <c r="CZ72" s="571"/>
      <c r="DA72" s="571"/>
      <c r="DB72" s="571"/>
      <c r="DC72" s="571"/>
      <c r="DD72" s="571"/>
      <c r="DE72" s="571"/>
      <c r="DF72" s="571"/>
      <c r="DG72" s="571"/>
      <c r="DH72" s="571"/>
      <c r="DI72" s="571"/>
      <c r="DJ72" s="571"/>
      <c r="DK72" s="571"/>
      <c r="DL72" s="571"/>
      <c r="DM72" s="571"/>
      <c r="DN72" s="571"/>
      <c r="DO72" s="571"/>
      <c r="DP72" s="571"/>
      <c r="DQ72" s="571"/>
      <c r="DR72" s="571"/>
      <c r="DS72" s="571"/>
      <c r="DT72" s="571"/>
      <c r="DU72" s="571"/>
      <c r="DV72" s="571"/>
      <c r="DW72" s="571"/>
      <c r="DX72" s="571"/>
      <c r="DY72" s="571"/>
      <c r="DZ72" s="571"/>
      <c r="EA72" s="571"/>
      <c r="EB72" s="571"/>
      <c r="EC72" s="571"/>
      <c r="ED72" s="571"/>
      <c r="EE72" s="571"/>
      <c r="EF72" s="571"/>
      <c r="EG72" s="571"/>
      <c r="EH72" s="571"/>
      <c r="EI72" s="571"/>
      <c r="EJ72" s="571"/>
      <c r="EK72" s="571"/>
      <c r="EL72" s="571"/>
      <c r="EM72" s="571"/>
      <c r="EN72" s="571"/>
      <c r="EO72" s="571"/>
      <c r="EP72" s="571"/>
      <c r="EQ72" s="571"/>
      <c r="ER72" s="571"/>
      <c r="ES72" s="571"/>
      <c r="ET72" s="571"/>
      <c r="EU72" s="571"/>
      <c r="EV72" s="571"/>
      <c r="EW72" s="571"/>
      <c r="EX72" s="571"/>
      <c r="EY72" s="571"/>
      <c r="EZ72" s="571"/>
      <c r="FA72" s="571"/>
      <c r="FB72" s="571"/>
      <c r="FC72" s="571"/>
      <c r="FD72" s="571"/>
      <c r="FE72" s="571"/>
      <c r="FF72" s="571"/>
      <c r="FG72" s="571"/>
      <c r="FH72" s="571"/>
      <c r="FI72" s="571"/>
      <c r="FJ72" s="571"/>
      <c r="FK72" s="571"/>
      <c r="FL72" s="571"/>
      <c r="FM72" s="571"/>
      <c r="FN72" s="571"/>
      <c r="FO72" s="571"/>
      <c r="FP72" s="571"/>
      <c r="FQ72" s="571"/>
      <c r="FR72" s="571"/>
      <c r="FS72" s="571"/>
      <c r="FT72" s="571"/>
      <c r="FU72" s="571"/>
      <c r="FV72" s="571"/>
      <c r="FW72" s="571"/>
      <c r="FX72" s="571"/>
      <c r="FY72" s="571"/>
      <c r="FZ72" s="571"/>
      <c r="GA72" s="571"/>
      <c r="GB72" s="571"/>
      <c r="GC72" s="571"/>
      <c r="GD72" s="571"/>
      <c r="GE72" s="571"/>
      <c r="GF72" s="571"/>
      <c r="GG72" s="571"/>
      <c r="GH72" s="571"/>
      <c r="GI72" s="571"/>
      <c r="GJ72" s="571"/>
      <c r="GK72" s="571"/>
      <c r="GL72" s="571"/>
      <c r="GM72" s="571"/>
      <c r="GN72" s="571"/>
      <c r="GO72" s="571"/>
      <c r="GP72" s="571"/>
      <c r="GQ72" s="571"/>
      <c r="GR72" s="571"/>
      <c r="GS72" s="571"/>
      <c r="GT72" s="571"/>
      <c r="GU72" s="571"/>
      <c r="GV72" s="571"/>
      <c r="GW72" s="571"/>
      <c r="GX72" s="571"/>
      <c r="GY72" s="571"/>
      <c r="GZ72" s="571"/>
      <c r="HA72" s="571"/>
      <c r="HB72" s="571"/>
      <c r="HC72" s="571"/>
      <c r="HD72" s="571"/>
      <c r="HE72" s="571"/>
      <c r="HF72" s="571"/>
      <c r="HG72" s="571"/>
      <c r="HH72" s="571"/>
      <c r="HI72" s="571"/>
      <c r="HJ72" s="571"/>
      <c r="HK72" s="571"/>
      <c r="HL72" s="571"/>
      <c r="HM72" s="571"/>
      <c r="HN72" s="571"/>
      <c r="HO72" s="571"/>
      <c r="HP72" s="571"/>
      <c r="HQ72" s="571"/>
      <c r="HR72" s="571"/>
      <c r="HS72" s="571"/>
      <c r="HT72" s="571"/>
      <c r="HU72" s="571"/>
      <c r="HV72" s="571"/>
      <c r="HW72" s="571"/>
      <c r="HX72" s="571"/>
      <c r="HY72" s="571"/>
      <c r="HZ72" s="571"/>
      <c r="IA72" s="571"/>
      <c r="IB72" s="571"/>
      <c r="IC72" s="571"/>
      <c r="ID72" s="571"/>
      <c r="IE72" s="571"/>
      <c r="IF72" s="571"/>
      <c r="IG72" s="571"/>
      <c r="IH72" s="571"/>
      <c r="II72" s="571"/>
      <c r="IJ72" s="571"/>
    </row>
    <row r="73" s="479" customFormat="1" ht="32" customHeight="1" spans="1:245 16376:16384">
      <c r="A73" s="564">
        <v>45713</v>
      </c>
      <c r="B73" s="540" t="s">
        <v>2285</v>
      </c>
      <c r="C73" s="541" t="s">
        <v>351</v>
      </c>
      <c r="D73" s="542">
        <v>4500158543</v>
      </c>
      <c r="E73" s="543" t="s">
        <v>3336</v>
      </c>
      <c r="F73" s="542" t="s">
        <v>12974</v>
      </c>
      <c r="G73" s="565" t="s">
        <v>10199</v>
      </c>
      <c r="H73" s="499" t="s">
        <v>9155</v>
      </c>
      <c r="I73" s="501">
        <v>988</v>
      </c>
      <c r="J73" s="501">
        <v>0</v>
      </c>
      <c r="K73" s="501">
        <v>4</v>
      </c>
      <c r="L73" s="501">
        <f t="shared" si="78"/>
        <v>247</v>
      </c>
      <c r="M73" s="504">
        <v>45751</v>
      </c>
      <c r="N73" s="504">
        <v>45747</v>
      </c>
      <c r="O73" s="506"/>
      <c r="P73" s="505" t="s">
        <v>10206</v>
      </c>
      <c r="Q73" s="566" t="s">
        <v>12972</v>
      </c>
      <c r="R73" s="519"/>
      <c r="S73" s="519"/>
      <c r="T73" s="519" t="s">
        <v>10318</v>
      </c>
      <c r="U73" s="519"/>
      <c r="V73" s="519" t="s">
        <v>10319</v>
      </c>
      <c r="W73" s="520" t="s">
        <v>12975</v>
      </c>
      <c r="X73" s="501" t="s">
        <v>357</v>
      </c>
      <c r="Y73" s="521">
        <v>7.294</v>
      </c>
      <c r="Z73" s="522">
        <f t="shared" si="83"/>
        <v>7206.472</v>
      </c>
      <c r="AA73" s="501"/>
      <c r="AB73" s="540" t="s">
        <v>10312</v>
      </c>
      <c r="AC73" s="501" t="s">
        <v>416</v>
      </c>
      <c r="AD73" s="523">
        <f t="shared" si="84"/>
        <v>988</v>
      </c>
      <c r="AE73" s="523"/>
      <c r="AF73" s="523"/>
      <c r="AG73" s="523"/>
      <c r="AH73" s="523"/>
      <c r="AI73" s="523"/>
      <c r="AJ73" s="524">
        <f t="shared" si="85"/>
        <v>988</v>
      </c>
      <c r="AK73" s="524"/>
      <c r="AL73" s="524"/>
      <c r="AM73" s="524"/>
      <c r="AN73" s="567"/>
      <c r="AO73" s="568"/>
      <c r="AP73" s="524"/>
      <c r="AQ73" s="524">
        <f t="shared" si="86"/>
        <v>247</v>
      </c>
      <c r="AR73" s="569"/>
      <c r="AS73" s="568">
        <f t="shared" si="87"/>
        <v>247</v>
      </c>
      <c r="AT73" s="524">
        <f t="shared" si="88"/>
        <v>247</v>
      </c>
      <c r="AU73" s="524"/>
      <c r="AV73" s="569">
        <f>AS73</f>
        <v>247</v>
      </c>
      <c r="AW73" s="568"/>
      <c r="AX73" s="524"/>
      <c r="AY73" s="524"/>
      <c r="AZ73" s="569"/>
      <c r="BA73" s="568"/>
      <c r="BB73" s="569"/>
      <c r="BC73" s="570"/>
      <c r="BD73" s="524">
        <f t="shared" si="89"/>
        <v>988</v>
      </c>
      <c r="BE73" s="524"/>
      <c r="BF73" s="524">
        <f t="shared" si="82"/>
        <v>988</v>
      </c>
      <c r="BG73" s="524" t="s">
        <v>9164</v>
      </c>
      <c r="BH73" s="524"/>
      <c r="BI73" s="524">
        <f t="shared" si="80"/>
        <v>247</v>
      </c>
      <c r="BJ73" s="524">
        <f t="shared" ref="BJ73:BP73" si="91">BI73</f>
        <v>247</v>
      </c>
      <c r="BK73" s="524">
        <f t="shared" si="91"/>
        <v>247</v>
      </c>
      <c r="BL73" s="524">
        <f t="shared" si="91"/>
        <v>247</v>
      </c>
      <c r="BM73" s="514">
        <f t="shared" si="91"/>
        <v>247</v>
      </c>
      <c r="BN73" s="524">
        <f t="shared" si="91"/>
        <v>247</v>
      </c>
      <c r="BO73" s="514">
        <f t="shared" si="91"/>
        <v>247</v>
      </c>
      <c r="BP73" s="524">
        <f t="shared" si="91"/>
        <v>247</v>
      </c>
      <c r="BQ73" s="514">
        <f>'92108'!$BQ$136+BJ73+BL73+BN73+BP73</f>
        <v>239013</v>
      </c>
      <c r="BR73" s="514">
        <f>BR72-BI73</f>
        <v>21560.75</v>
      </c>
      <c r="BS73" s="514"/>
      <c r="BT73" s="514"/>
      <c r="BU73" s="475"/>
      <c r="BV73" s="475"/>
      <c r="BW73" s="475"/>
      <c r="BX73" s="475"/>
      <c r="BY73" s="475"/>
      <c r="BZ73" s="571"/>
      <c r="CA73" s="571"/>
      <c r="CB73" s="571"/>
      <c r="CC73" s="571"/>
      <c r="CD73" s="571"/>
      <c r="CE73" s="571"/>
      <c r="CF73" s="571"/>
      <c r="CG73" s="571"/>
      <c r="CH73" s="571"/>
      <c r="CI73" s="571"/>
      <c r="CJ73" s="571"/>
      <c r="CK73" s="571"/>
      <c r="CL73" s="571"/>
      <c r="CM73" s="571"/>
      <c r="CN73" s="571"/>
      <c r="CO73" s="571"/>
      <c r="CP73" s="571"/>
      <c r="CQ73" s="571"/>
      <c r="CR73" s="571"/>
      <c r="CS73" s="571"/>
      <c r="CT73" s="571"/>
      <c r="CU73" s="571"/>
      <c r="CV73" s="571"/>
      <c r="CW73" s="571"/>
      <c r="CX73" s="571"/>
      <c r="CY73" s="571"/>
      <c r="CZ73" s="571"/>
      <c r="DA73" s="571"/>
      <c r="DB73" s="571"/>
      <c r="DC73" s="571"/>
      <c r="DD73" s="571"/>
      <c r="DE73" s="571"/>
      <c r="DF73" s="571"/>
      <c r="DG73" s="571"/>
      <c r="DH73" s="571"/>
      <c r="DI73" s="571"/>
      <c r="DJ73" s="571"/>
      <c r="DK73" s="571"/>
      <c r="DL73" s="571"/>
      <c r="DM73" s="571"/>
      <c r="DN73" s="571"/>
      <c r="DO73" s="571"/>
      <c r="DP73" s="571"/>
      <c r="DQ73" s="571"/>
      <c r="DR73" s="571"/>
      <c r="DS73" s="571"/>
      <c r="DT73" s="571"/>
      <c r="DU73" s="571"/>
      <c r="DV73" s="571"/>
      <c r="DW73" s="571"/>
      <c r="DX73" s="571"/>
      <c r="DY73" s="571"/>
      <c r="DZ73" s="571"/>
      <c r="EA73" s="571"/>
      <c r="EB73" s="571"/>
      <c r="EC73" s="571"/>
      <c r="ED73" s="571"/>
      <c r="EE73" s="571"/>
      <c r="EF73" s="571"/>
      <c r="EG73" s="571"/>
      <c r="EH73" s="571"/>
      <c r="EI73" s="571"/>
      <c r="EJ73" s="571"/>
      <c r="EK73" s="571"/>
      <c r="EL73" s="571"/>
      <c r="EM73" s="571"/>
      <c r="EN73" s="571"/>
      <c r="EO73" s="571"/>
      <c r="EP73" s="571"/>
      <c r="EQ73" s="571"/>
      <c r="ER73" s="571"/>
      <c r="ES73" s="571"/>
      <c r="ET73" s="571"/>
      <c r="EU73" s="571"/>
      <c r="EV73" s="571"/>
      <c r="EW73" s="571"/>
      <c r="EX73" s="571"/>
      <c r="EY73" s="571"/>
      <c r="EZ73" s="571"/>
      <c r="FA73" s="571"/>
      <c r="FB73" s="571"/>
      <c r="FC73" s="571"/>
      <c r="FD73" s="571"/>
      <c r="FE73" s="571"/>
      <c r="FF73" s="571"/>
      <c r="FG73" s="571"/>
      <c r="FH73" s="571"/>
      <c r="FI73" s="571"/>
      <c r="FJ73" s="571"/>
      <c r="FK73" s="571"/>
      <c r="FL73" s="571"/>
      <c r="FM73" s="571"/>
      <c r="FN73" s="571"/>
      <c r="FO73" s="571"/>
      <c r="FP73" s="571"/>
      <c r="FQ73" s="571"/>
      <c r="FR73" s="571"/>
      <c r="FS73" s="571"/>
      <c r="FT73" s="571"/>
      <c r="FU73" s="571"/>
      <c r="FV73" s="571"/>
      <c r="FW73" s="571"/>
      <c r="FX73" s="571"/>
      <c r="FY73" s="571"/>
      <c r="FZ73" s="571"/>
      <c r="GA73" s="571"/>
      <c r="GB73" s="571"/>
      <c r="GC73" s="571"/>
      <c r="GD73" s="571"/>
      <c r="GE73" s="571"/>
      <c r="GF73" s="571"/>
      <c r="GG73" s="571"/>
      <c r="GH73" s="571"/>
      <c r="GI73" s="571"/>
      <c r="GJ73" s="571"/>
      <c r="GK73" s="571"/>
      <c r="GL73" s="571"/>
      <c r="GM73" s="571"/>
      <c r="GN73" s="571"/>
      <c r="GO73" s="571"/>
      <c r="GP73" s="571"/>
      <c r="GQ73" s="571"/>
      <c r="GR73" s="571"/>
      <c r="GS73" s="571"/>
      <c r="GT73" s="571"/>
      <c r="GU73" s="571"/>
      <c r="GV73" s="571"/>
      <c r="GW73" s="571"/>
      <c r="GX73" s="571"/>
      <c r="GY73" s="571"/>
      <c r="GZ73" s="571"/>
      <c r="HA73" s="571"/>
      <c r="HB73" s="571"/>
      <c r="HC73" s="571"/>
      <c r="HD73" s="571"/>
      <c r="HE73" s="571"/>
      <c r="HF73" s="571"/>
      <c r="HG73" s="571"/>
      <c r="HH73" s="571"/>
      <c r="HI73" s="571"/>
      <c r="HJ73" s="571"/>
      <c r="HK73" s="571"/>
      <c r="HL73" s="571"/>
      <c r="HM73" s="571"/>
      <c r="HN73" s="571"/>
      <c r="HO73" s="571"/>
      <c r="HP73" s="571"/>
      <c r="HQ73" s="571"/>
      <c r="HR73" s="571"/>
      <c r="HS73" s="571"/>
      <c r="HT73" s="571"/>
      <c r="HU73" s="571"/>
      <c r="HV73" s="571"/>
      <c r="HW73" s="571"/>
      <c r="HX73" s="571"/>
      <c r="HY73" s="571"/>
      <c r="HZ73" s="571"/>
      <c r="IA73" s="571"/>
      <c r="IB73" s="571"/>
      <c r="IC73" s="571"/>
      <c r="ID73" s="571"/>
      <c r="IE73" s="571"/>
      <c r="IF73" s="571"/>
      <c r="IG73" s="571"/>
      <c r="IH73" s="571"/>
      <c r="II73" s="571"/>
      <c r="IJ73" s="571"/>
    </row>
    <row r="74" s="480" customFormat="1" ht="32" customHeight="1" spans="1:245 16376:16384">
      <c r="A74" s="572">
        <v>45747</v>
      </c>
      <c r="B74" s="573" t="s">
        <v>6954</v>
      </c>
      <c r="C74" s="574" t="s">
        <v>91</v>
      </c>
      <c r="D74" s="575">
        <v>4500161570</v>
      </c>
      <c r="E74" s="576" t="s">
        <v>6965</v>
      </c>
      <c r="F74" s="577" t="s">
        <v>10377</v>
      </c>
      <c r="G74" s="578" t="s">
        <v>10199</v>
      </c>
      <c r="H74" s="579" t="s">
        <v>9155</v>
      </c>
      <c r="I74" s="580">
        <v>56</v>
      </c>
      <c r="J74" s="580">
        <v>0</v>
      </c>
      <c r="K74" s="580">
        <v>4</v>
      </c>
      <c r="L74" s="580">
        <f t="shared" si="78"/>
        <v>14</v>
      </c>
      <c r="M74" s="581">
        <v>45818</v>
      </c>
      <c r="N74" s="581">
        <v>45814</v>
      </c>
      <c r="O74" s="506"/>
      <c r="P74" s="561"/>
      <c r="Q74" s="566" t="s">
        <v>12976</v>
      </c>
      <c r="R74" s="519"/>
      <c r="S74" s="582"/>
      <c r="T74" s="582" t="s">
        <v>98</v>
      </c>
      <c r="U74" s="582"/>
      <c r="V74" s="582"/>
      <c r="W74" s="583" t="s">
        <v>6957</v>
      </c>
      <c r="X74" s="580" t="s">
        <v>3262</v>
      </c>
      <c r="Y74" s="584">
        <v>7.7954</v>
      </c>
      <c r="Z74" s="585">
        <f t="shared" si="83"/>
        <v>436.5424</v>
      </c>
      <c r="AA74" s="580"/>
      <c r="AB74" s="540" t="s">
        <v>10312</v>
      </c>
      <c r="AC74" s="501" t="s">
        <v>416</v>
      </c>
      <c r="AD74" s="586">
        <f t="shared" si="84"/>
        <v>56</v>
      </c>
      <c r="AE74" s="586"/>
      <c r="AF74" s="586"/>
      <c r="AG74" s="586"/>
      <c r="AH74" s="586"/>
      <c r="AI74" s="586"/>
      <c r="AJ74" s="587">
        <f t="shared" si="85"/>
        <v>56</v>
      </c>
      <c r="AK74" s="587"/>
      <c r="AL74" s="587"/>
      <c r="AM74" s="587"/>
      <c r="AN74" s="588"/>
      <c r="AO74" s="589"/>
      <c r="AP74" s="587"/>
      <c r="AQ74" s="587">
        <f t="shared" si="86"/>
        <v>14</v>
      </c>
      <c r="AR74" s="590"/>
      <c r="AS74" s="589">
        <f t="shared" si="87"/>
        <v>14</v>
      </c>
      <c r="AT74" s="587">
        <f t="shared" si="88"/>
        <v>14</v>
      </c>
      <c r="AU74" s="587"/>
      <c r="AV74" s="590">
        <f>I74/4</f>
        <v>14</v>
      </c>
      <c r="AW74" s="589"/>
      <c r="AX74" s="587"/>
      <c r="AY74" s="587"/>
      <c r="AZ74" s="590"/>
      <c r="BA74" s="589"/>
      <c r="BB74" s="590"/>
      <c r="BC74" s="591"/>
      <c r="BD74" s="587">
        <f t="shared" si="89"/>
        <v>56</v>
      </c>
      <c r="BE74" s="587"/>
      <c r="BF74" s="524">
        <f t="shared" si="82"/>
        <v>56</v>
      </c>
      <c r="BG74" s="524" t="s">
        <v>9164</v>
      </c>
      <c r="BH74" s="587"/>
      <c r="BI74" s="587">
        <f t="shared" si="80"/>
        <v>14</v>
      </c>
      <c r="BJ74" s="587">
        <f t="shared" ref="BJ74:BP74" si="92">BI74</f>
        <v>14</v>
      </c>
      <c r="BK74" s="587">
        <f t="shared" si="92"/>
        <v>14</v>
      </c>
      <c r="BL74" s="587">
        <f t="shared" si="92"/>
        <v>14</v>
      </c>
      <c r="BM74" s="592">
        <f t="shared" si="92"/>
        <v>14</v>
      </c>
      <c r="BN74" s="587">
        <f t="shared" si="92"/>
        <v>14</v>
      </c>
      <c r="BO74" s="592">
        <f t="shared" si="92"/>
        <v>14</v>
      </c>
      <c r="BP74" s="587">
        <f t="shared" si="92"/>
        <v>14</v>
      </c>
      <c r="BQ74" s="514">
        <f>'92108'!$BQ$136+BJ74+BL74+BN74+BP74</f>
        <v>238081</v>
      </c>
      <c r="BR74" s="514">
        <f>'92108'!BR58-BI74</f>
        <v>19546.5</v>
      </c>
      <c r="BS74" s="514"/>
      <c r="BT74" s="514"/>
      <c r="BU74" s="475"/>
      <c r="BV74" s="475"/>
      <c r="BW74" s="475"/>
      <c r="BX74" s="475"/>
      <c r="BY74" s="475"/>
      <c r="BZ74" s="593"/>
      <c r="CA74" s="593"/>
      <c r="CB74" s="593"/>
      <c r="CC74" s="593"/>
      <c r="CD74" s="593"/>
      <c r="CE74" s="593"/>
      <c r="CF74" s="593"/>
      <c r="CG74" s="593"/>
      <c r="CH74" s="593"/>
      <c r="CI74" s="593"/>
      <c r="CJ74" s="593"/>
      <c r="CK74" s="593"/>
      <c r="CL74" s="593"/>
      <c r="CM74" s="593"/>
      <c r="CN74" s="593"/>
      <c r="CO74" s="593"/>
      <c r="CP74" s="593"/>
      <c r="CQ74" s="593"/>
      <c r="CR74" s="593"/>
      <c r="CS74" s="593"/>
      <c r="CT74" s="593"/>
      <c r="CU74" s="593"/>
      <c r="CV74" s="593"/>
      <c r="CW74" s="593"/>
      <c r="CX74" s="593"/>
      <c r="CY74" s="593"/>
      <c r="CZ74" s="593"/>
      <c r="DA74" s="593"/>
      <c r="DB74" s="593"/>
      <c r="DC74" s="593"/>
      <c r="DD74" s="593"/>
      <c r="DE74" s="593"/>
      <c r="DF74" s="593"/>
      <c r="DG74" s="593"/>
      <c r="DH74" s="593"/>
      <c r="DI74" s="593"/>
      <c r="DJ74" s="593"/>
      <c r="DK74" s="593"/>
      <c r="DL74" s="593"/>
      <c r="DM74" s="593"/>
      <c r="DN74" s="593"/>
      <c r="DO74" s="593"/>
      <c r="DP74" s="593"/>
      <c r="DQ74" s="593"/>
      <c r="DR74" s="593"/>
      <c r="DS74" s="593"/>
      <c r="DT74" s="593"/>
      <c r="DU74" s="593"/>
      <c r="DV74" s="593"/>
      <c r="DW74" s="593"/>
      <c r="DX74" s="593"/>
      <c r="DY74" s="593"/>
      <c r="DZ74" s="593"/>
      <c r="EA74" s="593"/>
      <c r="EB74" s="593"/>
      <c r="EC74" s="593"/>
      <c r="ED74" s="593"/>
      <c r="EE74" s="593"/>
      <c r="EF74" s="593"/>
      <c r="EG74" s="593"/>
      <c r="EH74" s="593"/>
      <c r="EI74" s="593"/>
      <c r="EJ74" s="593"/>
      <c r="EK74" s="593"/>
      <c r="EL74" s="593"/>
      <c r="EM74" s="593"/>
      <c r="EN74" s="593"/>
      <c r="EO74" s="593"/>
      <c r="EP74" s="593"/>
      <c r="EQ74" s="593"/>
      <c r="ER74" s="593"/>
      <c r="ES74" s="593"/>
      <c r="ET74" s="593"/>
      <c r="EU74" s="593"/>
      <c r="EV74" s="593"/>
      <c r="EW74" s="593"/>
      <c r="EX74" s="593"/>
      <c r="EY74" s="593"/>
      <c r="EZ74" s="593"/>
      <c r="FA74" s="593"/>
      <c r="FB74" s="593"/>
      <c r="FC74" s="593"/>
      <c r="FD74" s="593"/>
      <c r="FE74" s="593"/>
      <c r="FF74" s="593"/>
      <c r="FG74" s="593"/>
      <c r="FH74" s="593"/>
      <c r="FI74" s="593"/>
      <c r="FJ74" s="593"/>
      <c r="FK74" s="593"/>
      <c r="FL74" s="593"/>
      <c r="FM74" s="593"/>
      <c r="FN74" s="593"/>
      <c r="FO74" s="593"/>
      <c r="FP74" s="593"/>
      <c r="FQ74" s="593"/>
      <c r="FR74" s="593"/>
      <c r="FS74" s="593"/>
      <c r="FT74" s="593"/>
      <c r="FU74" s="593"/>
      <c r="FV74" s="593"/>
      <c r="FW74" s="593"/>
      <c r="FX74" s="593"/>
      <c r="FY74" s="593"/>
      <c r="FZ74" s="593"/>
      <c r="GA74" s="593"/>
      <c r="GB74" s="593"/>
      <c r="GC74" s="593"/>
      <c r="GD74" s="593"/>
      <c r="GE74" s="593"/>
      <c r="GF74" s="593"/>
      <c r="GG74" s="593"/>
      <c r="GH74" s="593"/>
      <c r="GI74" s="593"/>
      <c r="GJ74" s="593"/>
      <c r="GK74" s="593"/>
      <c r="GL74" s="593"/>
      <c r="GM74" s="593"/>
      <c r="GN74" s="593"/>
      <c r="GO74" s="593"/>
      <c r="GP74" s="593"/>
      <c r="GQ74" s="593"/>
      <c r="GR74" s="593"/>
      <c r="GS74" s="593"/>
      <c r="GT74" s="593"/>
      <c r="GU74" s="593"/>
      <c r="GV74" s="593"/>
      <c r="GW74" s="593"/>
      <c r="GX74" s="593"/>
      <c r="GY74" s="593"/>
      <c r="GZ74" s="593"/>
      <c r="HA74" s="593"/>
      <c r="HB74" s="593"/>
      <c r="HC74" s="593"/>
      <c r="HD74" s="593"/>
      <c r="HE74" s="593"/>
      <c r="HF74" s="593"/>
      <c r="HG74" s="593"/>
      <c r="HH74" s="593"/>
      <c r="HI74" s="593"/>
      <c r="HJ74" s="593"/>
      <c r="HK74" s="593"/>
      <c r="HL74" s="593"/>
      <c r="HM74" s="593"/>
      <c r="HN74" s="593"/>
      <c r="HO74" s="593"/>
      <c r="HP74" s="593"/>
      <c r="HQ74" s="593"/>
      <c r="HR74" s="593"/>
      <c r="HS74" s="593"/>
      <c r="HT74" s="593"/>
      <c r="HU74" s="593"/>
      <c r="HV74" s="593"/>
      <c r="HW74" s="593"/>
      <c r="HX74" s="593"/>
      <c r="HY74" s="593"/>
      <c r="HZ74" s="593"/>
      <c r="IA74" s="593"/>
      <c r="IB74" s="593"/>
      <c r="IC74" s="593"/>
      <c r="ID74" s="593"/>
      <c r="IE74" s="593"/>
      <c r="IF74" s="593"/>
      <c r="IG74" s="593"/>
      <c r="IH74" s="593"/>
      <c r="II74" s="593"/>
      <c r="IJ74" s="593"/>
    </row>
    <row r="75" s="479" customFormat="1" ht="32" customHeight="1" spans="1:245 16376:16384">
      <c r="A75" s="564">
        <v>45756</v>
      </c>
      <c r="B75" s="540" t="s">
        <v>872</v>
      </c>
      <c r="C75" s="541" t="s">
        <v>873</v>
      </c>
      <c r="D75" s="542">
        <v>4500162852</v>
      </c>
      <c r="E75" s="520" t="s">
        <v>12556</v>
      </c>
      <c r="F75" s="542" t="s">
        <v>12977</v>
      </c>
      <c r="G75" s="565" t="s">
        <v>9419</v>
      </c>
      <c r="H75" s="499" t="s">
        <v>9100</v>
      </c>
      <c r="I75" s="501">
        <v>240</v>
      </c>
      <c r="J75" s="501">
        <v>0</v>
      </c>
      <c r="K75" s="501">
        <v>8</v>
      </c>
      <c r="L75" s="501">
        <f t="shared" si="78"/>
        <v>30</v>
      </c>
      <c r="M75" s="504">
        <v>45803</v>
      </c>
      <c r="N75" s="504">
        <v>45799</v>
      </c>
      <c r="O75" s="561" t="s">
        <v>12978</v>
      </c>
      <c r="P75" s="561"/>
      <c r="Q75" s="566" t="s">
        <v>12979</v>
      </c>
      <c r="R75" s="505"/>
      <c r="S75" s="519"/>
      <c r="T75" s="519"/>
      <c r="U75" s="519"/>
      <c r="V75" s="519"/>
      <c r="W75" s="519"/>
      <c r="X75" s="520"/>
      <c r="Y75" s="501"/>
      <c r="Z75" s="521"/>
      <c r="AA75" s="522"/>
      <c r="AB75" s="501"/>
      <c r="AC75" s="500"/>
      <c r="AD75" s="501"/>
      <c r="AE75" s="562"/>
      <c r="AF75" s="523"/>
      <c r="AG75" s="562"/>
      <c r="AH75" s="523"/>
      <c r="AI75" s="594"/>
      <c r="AJ75" s="524"/>
      <c r="AK75" s="563"/>
      <c r="AL75" s="524"/>
      <c r="AM75" s="524"/>
      <c r="AN75" s="524"/>
      <c r="AO75" s="524"/>
      <c r="AP75" s="595"/>
      <c r="AQ75" s="594"/>
      <c r="AR75" s="594"/>
      <c r="AS75" s="596"/>
      <c r="AT75" s="568"/>
      <c r="AU75" s="524"/>
      <c r="AV75" s="524"/>
      <c r="AW75" s="569"/>
      <c r="AX75" s="524"/>
      <c r="AY75" s="524"/>
      <c r="AZ75" s="524"/>
      <c r="BA75" s="524"/>
      <c r="BB75" s="524"/>
      <c r="BC75" s="524"/>
      <c r="BD75" s="524"/>
      <c r="BE75" s="524"/>
      <c r="BF75" s="524"/>
      <c r="BG75" s="524"/>
      <c r="BH75" s="524"/>
      <c r="BI75" s="597"/>
      <c r="BJ75" s="514"/>
      <c r="BK75" s="514"/>
      <c r="BL75" s="524"/>
      <c r="BM75" s="514"/>
      <c r="BN75" s="524"/>
      <c r="BO75" s="514"/>
      <c r="BP75" s="598"/>
      <c r="BQ75" s="598"/>
      <c r="BR75" s="598"/>
      <c r="BS75" s="598"/>
      <c r="BT75" s="514"/>
      <c r="XEV75" s="564"/>
      <c r="XEW75" s="540"/>
      <c r="XEX75" s="541"/>
      <c r="XEY75" s="564"/>
      <c r="XEZ75" s="540"/>
      <c r="XFA75" s="541"/>
      <c r="XFB75" s="564"/>
      <c r="XFC75" s="540"/>
      <c r="XFD75" s="541"/>
    </row>
    <row r="76" s="479" customFormat="1" ht="32" customHeight="1" spans="1:245 16376:16384">
      <c r="A76" s="564">
        <v>45756</v>
      </c>
      <c r="B76" s="540" t="s">
        <v>872</v>
      </c>
      <c r="C76" s="541" t="s">
        <v>873</v>
      </c>
      <c r="D76" s="542">
        <v>4500162852</v>
      </c>
      <c r="E76" s="520" t="s">
        <v>12556</v>
      </c>
      <c r="F76" s="542" t="s">
        <v>12980</v>
      </c>
      <c r="G76" s="565" t="s">
        <v>9255</v>
      </c>
      <c r="H76" s="499" t="s">
        <v>9098</v>
      </c>
      <c r="I76" s="501">
        <v>240</v>
      </c>
      <c r="J76" s="501">
        <v>0</v>
      </c>
      <c r="K76" s="501">
        <v>8</v>
      </c>
      <c r="L76" s="501">
        <f t="shared" si="78"/>
        <v>30</v>
      </c>
      <c r="M76" s="504">
        <v>45803</v>
      </c>
      <c r="N76" s="504">
        <v>45799</v>
      </c>
      <c r="O76" s="561" t="s">
        <v>12978</v>
      </c>
      <c r="P76" s="561"/>
      <c r="Q76" s="566" t="s">
        <v>12979</v>
      </c>
      <c r="R76" s="505"/>
      <c r="S76" s="519"/>
      <c r="T76" s="519"/>
      <c r="U76" s="519"/>
      <c r="V76" s="519"/>
      <c r="W76" s="519"/>
      <c r="X76" s="520"/>
      <c r="Y76" s="501"/>
      <c r="Z76" s="521"/>
      <c r="AA76" s="522"/>
      <c r="AB76" s="501"/>
      <c r="AC76" s="500"/>
      <c r="AD76" s="501"/>
      <c r="AE76" s="562"/>
      <c r="AF76" s="523"/>
      <c r="AG76" s="562"/>
      <c r="AH76" s="523"/>
      <c r="AI76" s="594"/>
      <c r="AJ76" s="524"/>
      <c r="AK76" s="563"/>
      <c r="AL76" s="524"/>
      <c r="AM76" s="524"/>
      <c r="AN76" s="524"/>
      <c r="AO76" s="524"/>
      <c r="AP76" s="595"/>
      <c r="AQ76" s="594"/>
      <c r="AR76" s="594"/>
      <c r="AS76" s="596"/>
      <c r="AT76" s="568"/>
      <c r="AU76" s="524"/>
      <c r="AV76" s="524"/>
      <c r="AW76" s="569"/>
      <c r="AX76" s="524"/>
      <c r="AY76" s="524"/>
      <c r="AZ76" s="524"/>
      <c r="BA76" s="524"/>
      <c r="BB76" s="524"/>
      <c r="BC76" s="524"/>
      <c r="BD76" s="524"/>
      <c r="BE76" s="524"/>
      <c r="BF76" s="524"/>
      <c r="BG76" s="524"/>
      <c r="BH76" s="524"/>
      <c r="BI76" s="597"/>
      <c r="BJ76" s="524"/>
      <c r="BK76" s="514"/>
      <c r="BL76" s="514"/>
      <c r="BM76" s="514"/>
      <c r="BN76" s="524"/>
      <c r="BO76" s="514"/>
      <c r="BP76" s="598"/>
      <c r="BQ76" s="598"/>
      <c r="BR76" s="598"/>
      <c r="BS76" s="598"/>
      <c r="BT76" s="514"/>
      <c r="XEV76" s="564"/>
      <c r="XEW76" s="540"/>
      <c r="XEX76" s="541"/>
      <c r="XEY76" s="564"/>
      <c r="XEZ76" s="540"/>
      <c r="XFA76" s="541"/>
      <c r="XFB76" s="564"/>
      <c r="XFC76" s="540"/>
      <c r="XFD76" s="541"/>
    </row>
    <row r="77" s="479" customFormat="1" ht="32" customHeight="1" spans="1:245 16376:16384">
      <c r="A77" s="564">
        <v>45756</v>
      </c>
      <c r="B77" s="540" t="s">
        <v>872</v>
      </c>
      <c r="C77" s="541" t="s">
        <v>873</v>
      </c>
      <c r="D77" s="542">
        <v>4500162852</v>
      </c>
      <c r="E77" s="520" t="s">
        <v>12556</v>
      </c>
      <c r="F77" s="542" t="s">
        <v>12981</v>
      </c>
      <c r="G77" s="565" t="s">
        <v>9431</v>
      </c>
      <c r="H77" s="499" t="s">
        <v>9099</v>
      </c>
      <c r="I77" s="501">
        <v>240</v>
      </c>
      <c r="J77" s="501">
        <v>0</v>
      </c>
      <c r="K77" s="501">
        <v>8</v>
      </c>
      <c r="L77" s="501">
        <f t="shared" si="78"/>
        <v>30</v>
      </c>
      <c r="M77" s="504">
        <v>45803</v>
      </c>
      <c r="N77" s="504">
        <v>45799</v>
      </c>
      <c r="O77" s="561" t="s">
        <v>12978</v>
      </c>
      <c r="P77" s="561"/>
      <c r="Q77" s="566" t="s">
        <v>12979</v>
      </c>
      <c r="R77" s="505"/>
      <c r="S77" s="519"/>
      <c r="T77" s="519"/>
      <c r="U77" s="519"/>
      <c r="V77" s="519"/>
      <c r="W77" s="519"/>
      <c r="X77" s="520"/>
      <c r="Y77" s="501"/>
      <c r="Z77" s="521"/>
      <c r="AA77" s="522"/>
      <c r="AB77" s="501"/>
      <c r="AC77" s="500"/>
      <c r="AD77" s="501"/>
      <c r="AE77" s="562"/>
      <c r="AF77" s="523"/>
      <c r="AG77" s="562"/>
      <c r="AH77" s="523"/>
      <c r="AI77" s="594"/>
      <c r="AJ77" s="524"/>
      <c r="AK77" s="563"/>
      <c r="AL77" s="524"/>
      <c r="AM77" s="524"/>
      <c r="AN77" s="524"/>
      <c r="AO77" s="524"/>
      <c r="AP77" s="595"/>
      <c r="AQ77" s="594"/>
      <c r="AR77" s="594"/>
      <c r="AS77" s="596"/>
      <c r="AT77" s="568"/>
      <c r="AU77" s="524"/>
      <c r="AV77" s="524"/>
      <c r="AW77" s="569"/>
      <c r="AX77" s="524"/>
      <c r="AY77" s="524"/>
      <c r="AZ77" s="524"/>
      <c r="BA77" s="524"/>
      <c r="BB77" s="524"/>
      <c r="BC77" s="524"/>
      <c r="BD77" s="524"/>
      <c r="BE77" s="524"/>
      <c r="BF77" s="524"/>
      <c r="BG77" s="524"/>
      <c r="BH77" s="524"/>
      <c r="BI77" s="597"/>
      <c r="BJ77" s="514"/>
      <c r="BK77" s="524"/>
      <c r="BL77" s="514"/>
      <c r="BM77" s="514"/>
      <c r="BN77" s="524"/>
      <c r="BO77" s="514"/>
      <c r="BP77" s="598"/>
      <c r="BQ77" s="598"/>
      <c r="BR77" s="598"/>
      <c r="BS77" s="598"/>
      <c r="BT77" s="514"/>
      <c r="XEV77" s="564"/>
      <c r="XEW77" s="540"/>
      <c r="XEX77" s="541"/>
      <c r="XEY77" s="564"/>
      <c r="XEZ77" s="540"/>
      <c r="XFA77" s="541"/>
      <c r="XFB77" s="564"/>
      <c r="XFC77" s="540"/>
      <c r="XFD77" s="541"/>
    </row>
    <row r="78" s="479" customFormat="1" ht="32" customHeight="1" spans="1:245 16376:16384">
      <c r="A78" s="564">
        <v>45756</v>
      </c>
      <c r="B78" s="540" t="s">
        <v>872</v>
      </c>
      <c r="C78" s="541" t="s">
        <v>873</v>
      </c>
      <c r="D78" s="542">
        <v>4500162852</v>
      </c>
      <c r="E78" s="543" t="s">
        <v>12982</v>
      </c>
      <c r="F78" s="542" t="s">
        <v>12983</v>
      </c>
      <c r="G78" s="565" t="s">
        <v>10345</v>
      </c>
      <c r="H78" s="499" t="s">
        <v>10346</v>
      </c>
      <c r="I78" s="501">
        <v>1008</v>
      </c>
      <c r="J78" s="501">
        <v>0</v>
      </c>
      <c r="K78" s="501">
        <v>4</v>
      </c>
      <c r="L78" s="501">
        <f t="shared" si="78"/>
        <v>252</v>
      </c>
      <c r="M78" s="504">
        <v>45806</v>
      </c>
      <c r="N78" s="504">
        <v>45803</v>
      </c>
      <c r="O78" s="505"/>
      <c r="P78" s="505"/>
      <c r="Q78" s="566" t="s">
        <v>12979</v>
      </c>
      <c r="R78" s="519"/>
      <c r="S78" s="519"/>
      <c r="T78" s="519"/>
      <c r="U78" s="519"/>
      <c r="V78" s="519"/>
      <c r="W78" s="599"/>
      <c r="X78" s="501"/>
      <c r="Y78" s="521"/>
      <c r="Z78" s="522"/>
      <c r="AA78" s="501"/>
      <c r="AB78" s="565"/>
      <c r="AC78" s="501"/>
      <c r="AD78" s="523"/>
      <c r="AE78" s="523"/>
      <c r="AF78" s="562"/>
      <c r="AG78" s="523"/>
      <c r="AH78" s="523"/>
      <c r="AI78" s="523"/>
      <c r="AJ78" s="524"/>
      <c r="AK78" s="524"/>
      <c r="AL78" s="524"/>
      <c r="AM78" s="524"/>
      <c r="AN78" s="567"/>
      <c r="AO78" s="568"/>
      <c r="AP78" s="524"/>
      <c r="AQ78" s="524"/>
      <c r="AR78" s="569"/>
      <c r="AS78" s="568"/>
      <c r="AT78" s="524"/>
      <c r="AU78" s="524"/>
      <c r="AV78" s="569"/>
      <c r="AW78" s="568"/>
      <c r="AX78" s="524"/>
      <c r="AY78" s="524"/>
      <c r="AZ78" s="569"/>
      <c r="BA78" s="568"/>
      <c r="BB78" s="569"/>
      <c r="BC78" s="570"/>
      <c r="BD78" s="524"/>
      <c r="BE78" s="524"/>
      <c r="BF78" s="524"/>
      <c r="BG78" s="524"/>
      <c r="BH78" s="524"/>
      <c r="BI78" s="524"/>
      <c r="BJ78" s="524"/>
      <c r="BK78" s="524"/>
      <c r="BL78" s="524"/>
      <c r="BM78" s="514"/>
      <c r="BN78" s="524"/>
      <c r="BO78" s="514"/>
      <c r="BP78" s="524"/>
      <c r="BQ78" s="514"/>
      <c r="BR78" s="514"/>
      <c r="BS78" s="598"/>
      <c r="BT78" s="598"/>
      <c r="BZ78" s="571"/>
      <c r="CA78" s="571"/>
      <c r="CB78" s="571"/>
      <c r="CC78" s="571"/>
      <c r="CD78" s="571"/>
      <c r="CE78" s="571"/>
      <c r="CF78" s="571"/>
      <c r="CG78" s="571"/>
      <c r="CH78" s="571"/>
      <c r="CI78" s="571"/>
      <c r="CJ78" s="571"/>
      <c r="CK78" s="571"/>
      <c r="CL78" s="571"/>
      <c r="CM78" s="571"/>
      <c r="CN78" s="571"/>
      <c r="CO78" s="571"/>
      <c r="CP78" s="571"/>
      <c r="CQ78" s="571"/>
      <c r="CR78" s="571"/>
      <c r="CS78" s="571"/>
      <c r="CT78" s="571"/>
      <c r="CU78" s="571"/>
      <c r="CV78" s="571"/>
      <c r="CW78" s="571"/>
      <c r="CX78" s="571"/>
      <c r="CY78" s="571"/>
      <c r="CZ78" s="571"/>
      <c r="DA78" s="571"/>
      <c r="DB78" s="571"/>
      <c r="DC78" s="571"/>
      <c r="DD78" s="571"/>
      <c r="DE78" s="571"/>
      <c r="DF78" s="571"/>
      <c r="DG78" s="571"/>
      <c r="DH78" s="571"/>
      <c r="DI78" s="571"/>
      <c r="DJ78" s="571"/>
      <c r="DK78" s="571"/>
      <c r="DL78" s="571"/>
      <c r="DM78" s="571"/>
      <c r="DN78" s="571"/>
      <c r="DO78" s="571"/>
      <c r="DP78" s="571"/>
      <c r="DQ78" s="571"/>
      <c r="DR78" s="571"/>
      <c r="DS78" s="571"/>
      <c r="DT78" s="571"/>
      <c r="DU78" s="571"/>
      <c r="DV78" s="571"/>
      <c r="DW78" s="571"/>
      <c r="DX78" s="571"/>
      <c r="DY78" s="571"/>
      <c r="DZ78" s="571"/>
      <c r="EA78" s="571"/>
      <c r="EB78" s="571"/>
      <c r="EC78" s="571"/>
      <c r="ED78" s="571"/>
      <c r="EE78" s="571"/>
      <c r="EF78" s="571"/>
      <c r="EG78" s="571"/>
      <c r="EH78" s="571"/>
      <c r="EI78" s="571"/>
      <c r="EJ78" s="571"/>
      <c r="EK78" s="571"/>
      <c r="EL78" s="571"/>
      <c r="EM78" s="571"/>
      <c r="EN78" s="571"/>
      <c r="EO78" s="571"/>
      <c r="EP78" s="571"/>
      <c r="EQ78" s="571"/>
      <c r="ER78" s="571"/>
      <c r="ES78" s="571"/>
      <c r="ET78" s="571"/>
      <c r="EU78" s="571"/>
      <c r="EV78" s="571"/>
      <c r="EW78" s="571"/>
      <c r="EX78" s="571"/>
      <c r="EY78" s="571"/>
      <c r="EZ78" s="571"/>
      <c r="FA78" s="571"/>
      <c r="FB78" s="571"/>
      <c r="FC78" s="571"/>
      <c r="FD78" s="571"/>
      <c r="FE78" s="571"/>
      <c r="FF78" s="571"/>
      <c r="FG78" s="571"/>
      <c r="FH78" s="571"/>
      <c r="FI78" s="571"/>
      <c r="FJ78" s="571"/>
      <c r="FK78" s="571"/>
      <c r="FL78" s="571"/>
      <c r="FM78" s="571"/>
      <c r="FN78" s="571"/>
      <c r="FO78" s="571"/>
      <c r="FP78" s="571"/>
      <c r="FQ78" s="571"/>
      <c r="FR78" s="571"/>
      <c r="FS78" s="571"/>
      <c r="FT78" s="571"/>
      <c r="FU78" s="571"/>
      <c r="FV78" s="571"/>
      <c r="FW78" s="571"/>
      <c r="FX78" s="571"/>
      <c r="FY78" s="571"/>
      <c r="FZ78" s="571"/>
      <c r="GA78" s="571"/>
      <c r="GB78" s="571"/>
      <c r="GC78" s="571"/>
      <c r="GD78" s="571"/>
      <c r="GE78" s="571"/>
      <c r="GF78" s="571"/>
      <c r="GG78" s="571"/>
      <c r="GH78" s="571"/>
      <c r="GI78" s="571"/>
      <c r="GJ78" s="571"/>
      <c r="GK78" s="571"/>
      <c r="GL78" s="571"/>
      <c r="GM78" s="571"/>
      <c r="GN78" s="571"/>
      <c r="GO78" s="571"/>
      <c r="GP78" s="571"/>
      <c r="GQ78" s="571"/>
      <c r="GR78" s="571"/>
      <c r="GS78" s="571"/>
      <c r="GT78" s="571"/>
      <c r="GU78" s="571"/>
      <c r="GV78" s="571"/>
      <c r="GW78" s="571"/>
      <c r="GX78" s="571"/>
      <c r="GY78" s="571"/>
      <c r="GZ78" s="571"/>
      <c r="HA78" s="571"/>
      <c r="HB78" s="571"/>
      <c r="HC78" s="571"/>
      <c r="HD78" s="571"/>
      <c r="HE78" s="571"/>
      <c r="HF78" s="571"/>
      <c r="HG78" s="571"/>
      <c r="HH78" s="571"/>
      <c r="HI78" s="571"/>
      <c r="HJ78" s="571"/>
      <c r="HK78" s="571"/>
      <c r="HL78" s="571"/>
      <c r="HM78" s="571"/>
      <c r="HN78" s="571"/>
      <c r="HO78" s="571"/>
      <c r="HP78" s="571"/>
      <c r="HQ78" s="571"/>
      <c r="HR78" s="571"/>
      <c r="HS78" s="571"/>
      <c r="HT78" s="571"/>
      <c r="HU78" s="571"/>
      <c r="HV78" s="571"/>
      <c r="HW78" s="571"/>
      <c r="HX78" s="571"/>
      <c r="HY78" s="571"/>
      <c r="HZ78" s="571"/>
      <c r="IA78" s="571"/>
      <c r="IB78" s="571"/>
      <c r="IC78" s="571"/>
      <c r="ID78" s="571"/>
      <c r="IE78" s="571"/>
      <c r="IF78" s="571"/>
      <c r="IG78" s="571"/>
      <c r="IH78" s="571"/>
      <c r="II78" s="571"/>
      <c r="IJ78" s="571"/>
    </row>
    <row r="79" s="479" customFormat="1" ht="32" customHeight="1" spans="1:245 16376:16384">
      <c r="A79" s="564">
        <v>45756</v>
      </c>
      <c r="B79" s="540" t="s">
        <v>872</v>
      </c>
      <c r="C79" s="541" t="s">
        <v>873</v>
      </c>
      <c r="D79" s="542">
        <v>4500162852</v>
      </c>
      <c r="E79" s="543" t="s">
        <v>12982</v>
      </c>
      <c r="F79" s="542" t="s">
        <v>12984</v>
      </c>
      <c r="G79" s="565" t="s">
        <v>10292</v>
      </c>
      <c r="H79" s="499" t="s">
        <v>10293</v>
      </c>
      <c r="I79" s="501">
        <v>1008</v>
      </c>
      <c r="J79" s="501">
        <v>0</v>
      </c>
      <c r="K79" s="501">
        <v>4</v>
      </c>
      <c r="L79" s="501">
        <f t="shared" si="78"/>
        <v>252</v>
      </c>
      <c r="M79" s="504">
        <v>45806</v>
      </c>
      <c r="N79" s="504">
        <v>45803</v>
      </c>
      <c r="O79" s="505"/>
      <c r="P79" s="505"/>
      <c r="Q79" s="566" t="s">
        <v>12979</v>
      </c>
      <c r="R79" s="519"/>
      <c r="S79" s="519"/>
      <c r="T79" s="519"/>
      <c r="U79" s="519"/>
      <c r="V79" s="519"/>
      <c r="W79" s="599"/>
      <c r="X79" s="501"/>
      <c r="Y79" s="521"/>
      <c r="Z79" s="522"/>
      <c r="AA79" s="501"/>
      <c r="AB79" s="565"/>
      <c r="AC79" s="501"/>
      <c r="AD79" s="523"/>
      <c r="AE79" s="523"/>
      <c r="AF79" s="562"/>
      <c r="AG79" s="523"/>
      <c r="AH79" s="523"/>
      <c r="AI79" s="523"/>
      <c r="AJ79" s="524"/>
      <c r="AK79" s="524"/>
      <c r="AL79" s="524"/>
      <c r="AM79" s="524"/>
      <c r="AN79" s="567"/>
      <c r="AO79" s="568"/>
      <c r="AP79" s="524"/>
      <c r="AQ79" s="524"/>
      <c r="AR79" s="569"/>
      <c r="AS79" s="568"/>
      <c r="AT79" s="524"/>
      <c r="AU79" s="524"/>
      <c r="AV79" s="569"/>
      <c r="AW79" s="568"/>
      <c r="AX79" s="524"/>
      <c r="AY79" s="524"/>
      <c r="AZ79" s="569"/>
      <c r="BA79" s="568"/>
      <c r="BB79" s="569"/>
      <c r="BC79" s="570"/>
      <c r="BD79" s="524"/>
      <c r="BE79" s="524"/>
      <c r="BF79" s="524"/>
      <c r="BG79" s="524"/>
      <c r="BH79" s="524"/>
      <c r="BI79" s="524"/>
      <c r="BJ79" s="524"/>
      <c r="BK79" s="524"/>
      <c r="BL79" s="524"/>
      <c r="BM79" s="514"/>
      <c r="BN79" s="524"/>
      <c r="BO79" s="514"/>
      <c r="BP79" s="524"/>
      <c r="BQ79" s="514"/>
      <c r="BR79" s="514"/>
      <c r="BS79" s="598"/>
      <c r="BT79" s="598"/>
      <c r="BZ79" s="571"/>
      <c r="CA79" s="571"/>
      <c r="CB79" s="571"/>
      <c r="CC79" s="571"/>
      <c r="CD79" s="571"/>
      <c r="CE79" s="571"/>
      <c r="CF79" s="571"/>
      <c r="CG79" s="571"/>
      <c r="CH79" s="571"/>
      <c r="CI79" s="571"/>
      <c r="CJ79" s="571"/>
      <c r="CK79" s="571"/>
      <c r="CL79" s="571"/>
      <c r="CM79" s="571"/>
      <c r="CN79" s="571"/>
      <c r="CO79" s="571"/>
      <c r="CP79" s="571"/>
      <c r="CQ79" s="571"/>
      <c r="CR79" s="571"/>
      <c r="CS79" s="571"/>
      <c r="CT79" s="571"/>
      <c r="CU79" s="571"/>
      <c r="CV79" s="571"/>
      <c r="CW79" s="571"/>
      <c r="CX79" s="571"/>
      <c r="CY79" s="571"/>
      <c r="CZ79" s="571"/>
      <c r="DA79" s="571"/>
      <c r="DB79" s="571"/>
      <c r="DC79" s="571"/>
      <c r="DD79" s="571"/>
      <c r="DE79" s="571"/>
      <c r="DF79" s="571"/>
      <c r="DG79" s="571"/>
      <c r="DH79" s="571"/>
      <c r="DI79" s="571"/>
      <c r="DJ79" s="571"/>
      <c r="DK79" s="571"/>
      <c r="DL79" s="571"/>
      <c r="DM79" s="571"/>
      <c r="DN79" s="571"/>
      <c r="DO79" s="571"/>
      <c r="DP79" s="571"/>
      <c r="DQ79" s="571"/>
      <c r="DR79" s="571"/>
      <c r="DS79" s="571"/>
      <c r="DT79" s="571"/>
      <c r="DU79" s="571"/>
      <c r="DV79" s="571"/>
      <c r="DW79" s="571"/>
      <c r="DX79" s="571"/>
      <c r="DY79" s="571"/>
      <c r="DZ79" s="571"/>
      <c r="EA79" s="571"/>
      <c r="EB79" s="571"/>
      <c r="EC79" s="571"/>
      <c r="ED79" s="571"/>
      <c r="EE79" s="571"/>
      <c r="EF79" s="571"/>
      <c r="EG79" s="571"/>
      <c r="EH79" s="571"/>
      <c r="EI79" s="571"/>
      <c r="EJ79" s="571"/>
      <c r="EK79" s="571"/>
      <c r="EL79" s="571"/>
      <c r="EM79" s="571"/>
      <c r="EN79" s="571"/>
      <c r="EO79" s="571"/>
      <c r="EP79" s="571"/>
      <c r="EQ79" s="571"/>
      <c r="ER79" s="571"/>
      <c r="ES79" s="571"/>
      <c r="ET79" s="571"/>
      <c r="EU79" s="571"/>
      <c r="EV79" s="571"/>
      <c r="EW79" s="571"/>
      <c r="EX79" s="571"/>
      <c r="EY79" s="571"/>
      <c r="EZ79" s="571"/>
      <c r="FA79" s="571"/>
      <c r="FB79" s="571"/>
      <c r="FC79" s="571"/>
      <c r="FD79" s="571"/>
      <c r="FE79" s="571"/>
      <c r="FF79" s="571"/>
      <c r="FG79" s="571"/>
      <c r="FH79" s="571"/>
      <c r="FI79" s="571"/>
      <c r="FJ79" s="571"/>
      <c r="FK79" s="571"/>
      <c r="FL79" s="571"/>
      <c r="FM79" s="571"/>
      <c r="FN79" s="571"/>
      <c r="FO79" s="571"/>
      <c r="FP79" s="571"/>
      <c r="FQ79" s="571"/>
      <c r="FR79" s="571"/>
      <c r="FS79" s="571"/>
      <c r="FT79" s="571"/>
      <c r="FU79" s="571"/>
      <c r="FV79" s="571"/>
      <c r="FW79" s="571"/>
      <c r="FX79" s="571"/>
      <c r="FY79" s="571"/>
      <c r="FZ79" s="571"/>
      <c r="GA79" s="571"/>
      <c r="GB79" s="571"/>
      <c r="GC79" s="571"/>
      <c r="GD79" s="571"/>
      <c r="GE79" s="571"/>
      <c r="GF79" s="571"/>
      <c r="GG79" s="571"/>
      <c r="GH79" s="571"/>
      <c r="GI79" s="571"/>
      <c r="GJ79" s="571"/>
      <c r="GK79" s="571"/>
      <c r="GL79" s="571"/>
      <c r="GM79" s="571"/>
      <c r="GN79" s="571"/>
      <c r="GO79" s="571"/>
      <c r="GP79" s="571"/>
      <c r="GQ79" s="571"/>
      <c r="GR79" s="571"/>
      <c r="GS79" s="571"/>
      <c r="GT79" s="571"/>
      <c r="GU79" s="571"/>
      <c r="GV79" s="571"/>
      <c r="GW79" s="571"/>
      <c r="GX79" s="571"/>
      <c r="GY79" s="571"/>
      <c r="GZ79" s="571"/>
      <c r="HA79" s="571"/>
      <c r="HB79" s="571"/>
      <c r="HC79" s="571"/>
      <c r="HD79" s="571"/>
      <c r="HE79" s="571"/>
      <c r="HF79" s="571"/>
      <c r="HG79" s="571"/>
      <c r="HH79" s="571"/>
      <c r="HI79" s="571"/>
      <c r="HJ79" s="571"/>
      <c r="HK79" s="571"/>
      <c r="HL79" s="571"/>
      <c r="HM79" s="571"/>
      <c r="HN79" s="571"/>
      <c r="HO79" s="571"/>
      <c r="HP79" s="571"/>
      <c r="HQ79" s="571"/>
      <c r="HR79" s="571"/>
      <c r="HS79" s="571"/>
      <c r="HT79" s="571"/>
      <c r="HU79" s="571"/>
      <c r="HV79" s="571"/>
      <c r="HW79" s="571"/>
      <c r="HX79" s="571"/>
      <c r="HY79" s="571"/>
      <c r="HZ79" s="571"/>
      <c r="IA79" s="571"/>
      <c r="IB79" s="571"/>
      <c r="IC79" s="571"/>
      <c r="ID79" s="571"/>
      <c r="IE79" s="571"/>
      <c r="IF79" s="571"/>
      <c r="IG79" s="571"/>
      <c r="IH79" s="571"/>
      <c r="II79" s="571"/>
      <c r="IJ79" s="571"/>
    </row>
    <row r="80" s="479" customFormat="1" ht="32" customHeight="1" spans="1:245 16376:16384">
      <c r="A80" s="564">
        <v>45756</v>
      </c>
      <c r="B80" s="540" t="s">
        <v>872</v>
      </c>
      <c r="C80" s="541" t="s">
        <v>873</v>
      </c>
      <c r="D80" s="542">
        <v>4500162852</v>
      </c>
      <c r="E80" s="543" t="s">
        <v>12982</v>
      </c>
      <c r="F80" s="542" t="s">
        <v>12985</v>
      </c>
      <c r="G80" s="565" t="s">
        <v>10297</v>
      </c>
      <c r="H80" s="499" t="s">
        <v>10298</v>
      </c>
      <c r="I80" s="501">
        <v>1008</v>
      </c>
      <c r="J80" s="501">
        <v>0</v>
      </c>
      <c r="K80" s="501">
        <v>4</v>
      </c>
      <c r="L80" s="501">
        <f t="shared" si="78"/>
        <v>252</v>
      </c>
      <c r="M80" s="504">
        <v>45806</v>
      </c>
      <c r="N80" s="504">
        <v>45803</v>
      </c>
      <c r="O80" s="505"/>
      <c r="P80" s="505"/>
      <c r="Q80" s="566" t="s">
        <v>12979</v>
      </c>
      <c r="R80" s="519"/>
      <c r="S80" s="519"/>
      <c r="T80" s="519"/>
      <c r="U80" s="519"/>
      <c r="V80" s="519"/>
      <c r="W80" s="599"/>
      <c r="X80" s="501"/>
      <c r="Y80" s="521"/>
      <c r="Z80" s="522"/>
      <c r="AA80" s="501"/>
      <c r="AB80" s="565"/>
      <c r="AC80" s="501"/>
      <c r="AD80" s="523"/>
      <c r="AE80" s="523"/>
      <c r="AF80" s="562"/>
      <c r="AG80" s="523"/>
      <c r="AH80" s="523"/>
      <c r="AI80" s="523"/>
      <c r="AJ80" s="524"/>
      <c r="AK80" s="524"/>
      <c r="AL80" s="524"/>
      <c r="AM80" s="524"/>
      <c r="AN80" s="567"/>
      <c r="AO80" s="568"/>
      <c r="AP80" s="524"/>
      <c r="AQ80" s="524"/>
      <c r="AR80" s="569"/>
      <c r="AS80" s="568"/>
      <c r="AT80" s="524"/>
      <c r="AU80" s="524"/>
      <c r="AV80" s="569"/>
      <c r="AW80" s="568"/>
      <c r="AX80" s="524"/>
      <c r="AY80" s="524"/>
      <c r="AZ80" s="569"/>
      <c r="BA80" s="568"/>
      <c r="BB80" s="569"/>
      <c r="BC80" s="570"/>
      <c r="BD80" s="524"/>
      <c r="BE80" s="524"/>
      <c r="BF80" s="524"/>
      <c r="BG80" s="524"/>
      <c r="BH80" s="524"/>
      <c r="BI80" s="524"/>
      <c r="BJ80" s="524"/>
      <c r="BK80" s="524"/>
      <c r="BL80" s="524"/>
      <c r="BM80" s="524"/>
      <c r="BN80" s="524"/>
      <c r="BO80" s="514"/>
      <c r="BP80" s="524"/>
      <c r="BQ80" s="514"/>
      <c r="BR80" s="514"/>
      <c r="BS80" s="598"/>
      <c r="BT80" s="598"/>
      <c r="BZ80" s="571"/>
      <c r="CA80" s="571"/>
      <c r="CB80" s="571"/>
      <c r="CC80" s="571"/>
      <c r="CD80" s="571"/>
      <c r="CE80" s="571"/>
      <c r="CF80" s="571"/>
      <c r="CG80" s="571"/>
      <c r="CH80" s="571"/>
      <c r="CI80" s="571"/>
      <c r="CJ80" s="571"/>
      <c r="CK80" s="571"/>
      <c r="CL80" s="571"/>
      <c r="CM80" s="571"/>
      <c r="CN80" s="571"/>
      <c r="CO80" s="571"/>
      <c r="CP80" s="571"/>
      <c r="CQ80" s="571"/>
      <c r="CR80" s="571"/>
      <c r="CS80" s="571"/>
      <c r="CT80" s="571"/>
      <c r="CU80" s="571"/>
      <c r="CV80" s="571"/>
      <c r="CW80" s="571"/>
      <c r="CX80" s="571"/>
      <c r="CY80" s="571"/>
      <c r="CZ80" s="571"/>
      <c r="DA80" s="571"/>
      <c r="DB80" s="571"/>
      <c r="DC80" s="571"/>
      <c r="DD80" s="571"/>
      <c r="DE80" s="571"/>
      <c r="DF80" s="571"/>
      <c r="DG80" s="571"/>
      <c r="DH80" s="571"/>
      <c r="DI80" s="571"/>
      <c r="DJ80" s="571"/>
      <c r="DK80" s="571"/>
      <c r="DL80" s="571"/>
      <c r="DM80" s="571"/>
      <c r="DN80" s="571"/>
      <c r="DO80" s="571"/>
      <c r="DP80" s="571"/>
      <c r="DQ80" s="571"/>
      <c r="DR80" s="571"/>
      <c r="DS80" s="571"/>
      <c r="DT80" s="571"/>
      <c r="DU80" s="571"/>
      <c r="DV80" s="571"/>
      <c r="DW80" s="571"/>
      <c r="DX80" s="571"/>
      <c r="DY80" s="571"/>
      <c r="DZ80" s="571"/>
      <c r="EA80" s="571"/>
      <c r="EB80" s="571"/>
      <c r="EC80" s="571"/>
      <c r="ED80" s="571"/>
      <c r="EE80" s="571"/>
      <c r="EF80" s="571"/>
      <c r="EG80" s="571"/>
      <c r="EH80" s="571"/>
      <c r="EI80" s="571"/>
      <c r="EJ80" s="571"/>
      <c r="EK80" s="571"/>
      <c r="EL80" s="571"/>
      <c r="EM80" s="571"/>
      <c r="EN80" s="571"/>
      <c r="EO80" s="571"/>
      <c r="EP80" s="571"/>
      <c r="EQ80" s="571"/>
      <c r="ER80" s="571"/>
      <c r="ES80" s="571"/>
      <c r="ET80" s="571"/>
      <c r="EU80" s="571"/>
      <c r="EV80" s="571"/>
      <c r="EW80" s="571"/>
      <c r="EX80" s="571"/>
      <c r="EY80" s="571"/>
      <c r="EZ80" s="571"/>
      <c r="FA80" s="571"/>
      <c r="FB80" s="571"/>
      <c r="FC80" s="571"/>
      <c r="FD80" s="571"/>
      <c r="FE80" s="571"/>
      <c r="FF80" s="571"/>
      <c r="FG80" s="571"/>
      <c r="FH80" s="571"/>
      <c r="FI80" s="571"/>
      <c r="FJ80" s="571"/>
      <c r="FK80" s="571"/>
      <c r="FL80" s="571"/>
      <c r="FM80" s="571"/>
      <c r="FN80" s="571"/>
      <c r="FO80" s="571"/>
      <c r="FP80" s="571"/>
      <c r="FQ80" s="571"/>
      <c r="FR80" s="571"/>
      <c r="FS80" s="571"/>
      <c r="FT80" s="571"/>
      <c r="FU80" s="571"/>
      <c r="FV80" s="571"/>
      <c r="FW80" s="571"/>
      <c r="FX80" s="571"/>
      <c r="FY80" s="571"/>
      <c r="FZ80" s="571"/>
      <c r="GA80" s="571"/>
      <c r="GB80" s="571"/>
      <c r="GC80" s="571"/>
      <c r="GD80" s="571"/>
      <c r="GE80" s="571"/>
      <c r="GF80" s="571"/>
      <c r="GG80" s="571"/>
      <c r="GH80" s="571"/>
      <c r="GI80" s="571"/>
      <c r="GJ80" s="571"/>
      <c r="GK80" s="571"/>
      <c r="GL80" s="571"/>
      <c r="GM80" s="571"/>
      <c r="GN80" s="571"/>
      <c r="GO80" s="571"/>
      <c r="GP80" s="571"/>
      <c r="GQ80" s="571"/>
      <c r="GR80" s="571"/>
      <c r="GS80" s="571"/>
      <c r="GT80" s="571"/>
      <c r="GU80" s="571"/>
      <c r="GV80" s="571"/>
      <c r="GW80" s="571"/>
      <c r="GX80" s="571"/>
      <c r="GY80" s="571"/>
      <c r="GZ80" s="571"/>
      <c r="HA80" s="571"/>
      <c r="HB80" s="571"/>
      <c r="HC80" s="571"/>
      <c r="HD80" s="571"/>
      <c r="HE80" s="571"/>
      <c r="HF80" s="571"/>
      <c r="HG80" s="571"/>
      <c r="HH80" s="571"/>
      <c r="HI80" s="571"/>
      <c r="HJ80" s="571"/>
      <c r="HK80" s="571"/>
      <c r="HL80" s="571"/>
      <c r="HM80" s="571"/>
      <c r="HN80" s="571"/>
      <c r="HO80" s="571"/>
      <c r="HP80" s="571"/>
      <c r="HQ80" s="571"/>
      <c r="HR80" s="571"/>
      <c r="HS80" s="571"/>
      <c r="HT80" s="571"/>
      <c r="HU80" s="571"/>
      <c r="HV80" s="571"/>
      <c r="HW80" s="571"/>
      <c r="HX80" s="571"/>
      <c r="HY80" s="571"/>
      <c r="HZ80" s="571"/>
      <c r="IA80" s="571"/>
      <c r="IB80" s="571"/>
      <c r="IC80" s="571"/>
      <c r="ID80" s="571"/>
      <c r="IE80" s="571"/>
      <c r="IF80" s="571"/>
      <c r="IG80" s="571"/>
      <c r="IH80" s="571"/>
      <c r="II80" s="571"/>
      <c r="IJ80" s="571"/>
    </row>
    <row r="81" s="481" customFormat="1" ht="32" customHeight="1" spans="1:244 16384:16384">
      <c r="A81" s="600">
        <v>45800</v>
      </c>
      <c r="B81" s="601" t="s">
        <v>5030</v>
      </c>
      <c r="C81" s="602" t="s">
        <v>341</v>
      </c>
      <c r="D81" s="603">
        <v>4500167846</v>
      </c>
      <c r="E81" s="604"/>
      <c r="F81" s="603" t="s">
        <v>12986</v>
      </c>
      <c r="G81" s="605" t="s">
        <v>9209</v>
      </c>
      <c r="H81" s="606" t="s">
        <v>9210</v>
      </c>
      <c r="I81" s="607">
        <v>2288</v>
      </c>
      <c r="J81" s="607">
        <v>0</v>
      </c>
      <c r="K81" s="607">
        <v>88</v>
      </c>
      <c r="L81" s="607">
        <f t="shared" si="78"/>
        <v>26</v>
      </c>
      <c r="M81" s="608">
        <v>45822</v>
      </c>
      <c r="N81" s="608">
        <v>45818</v>
      </c>
      <c r="O81" s="609" t="s">
        <v>12987</v>
      </c>
      <c r="P81" s="505"/>
      <c r="Q81" s="609"/>
      <c r="R81" s="609"/>
      <c r="S81" s="610"/>
      <c r="T81" s="610"/>
      <c r="U81" s="610" t="s">
        <v>98</v>
      </c>
      <c r="V81" s="610"/>
      <c r="W81" s="610" t="s">
        <v>12988</v>
      </c>
      <c r="X81" s="611" t="s">
        <v>12989</v>
      </c>
      <c r="Y81" s="607" t="s">
        <v>1459</v>
      </c>
      <c r="Z81" s="612">
        <v>384.5354</v>
      </c>
      <c r="AA81" s="613">
        <f>Z81*L81</f>
        <v>9997.9204</v>
      </c>
      <c r="AB81" s="607"/>
      <c r="AC81" s="606" t="s">
        <v>9209</v>
      </c>
      <c r="AD81" s="607" t="s">
        <v>416</v>
      </c>
      <c r="AE81" s="614"/>
      <c r="AF81" s="615">
        <f t="shared" ref="AF81:AF85" si="93">I81</f>
        <v>2288</v>
      </c>
      <c r="AG81" s="614"/>
      <c r="AH81" s="615"/>
      <c r="AI81" s="614"/>
      <c r="AJ81" s="615"/>
      <c r="AK81" s="616"/>
      <c r="AL81" s="617">
        <f t="shared" ref="AL81:AL85" si="94">I81</f>
        <v>2288</v>
      </c>
      <c r="AM81" s="617"/>
      <c r="AN81" s="617"/>
      <c r="AO81" s="618"/>
      <c r="AP81" s="619"/>
      <c r="AQ81" s="620"/>
      <c r="AR81" s="620"/>
      <c r="AS81" s="616"/>
      <c r="AT81" s="589">
        <f t="shared" ref="AT81:AT86" si="95">I81/4</f>
        <v>572</v>
      </c>
      <c r="AU81" s="587">
        <f t="shared" ref="AU81:AU83" si="96">I81/4</f>
        <v>572</v>
      </c>
      <c r="AV81" s="587">
        <f t="shared" ref="AV81:AV83" si="97">I81/4</f>
        <v>572</v>
      </c>
      <c r="AW81" s="590">
        <f t="shared" ref="AW81:AW83" si="98">I81/4</f>
        <v>572</v>
      </c>
      <c r="AX81" s="621"/>
      <c r="AY81" s="617"/>
      <c r="AZ81" s="617"/>
      <c r="BA81" s="617"/>
      <c r="BB81" s="617"/>
      <c r="BC81" s="617"/>
      <c r="BD81" s="617"/>
      <c r="BE81" s="617"/>
      <c r="BF81" s="617">
        <f t="shared" ref="BF81:BF86" si="99">I81</f>
        <v>2288</v>
      </c>
      <c r="BG81" s="617"/>
      <c r="BH81" s="617" t="s">
        <v>9164</v>
      </c>
      <c r="BI81" s="620"/>
      <c r="BJ81" s="617">
        <f t="shared" ref="BJ81:BJ87" si="100">I81/4</f>
        <v>572</v>
      </c>
      <c r="BK81" s="617">
        <f t="shared" ref="BK81:BK87" si="101">I81/4</f>
        <v>572</v>
      </c>
      <c r="BL81" s="617">
        <f t="shared" ref="BL81:BL87" si="102">I81/4</f>
        <v>572</v>
      </c>
      <c r="BM81" s="617">
        <f t="shared" ref="BM81:BM87" si="103">I81/4</f>
        <v>572</v>
      </c>
      <c r="BN81" s="617">
        <f t="shared" ref="BN81:BN85" si="104">BJ81+BK81+BL81+BM81-I81</f>
        <v>0</v>
      </c>
      <c r="BO81" s="622">
        <f>BJ81+BK81+BL81+BM81+'92107'!$BS$369</f>
        <v>514768</v>
      </c>
      <c r="BP81" s="622"/>
      <c r="BQ81" s="622"/>
      <c r="BR81" s="622"/>
      <c r="BS81" s="622"/>
      <c r="BT81" s="622"/>
      <c r="BU81" s="623"/>
      <c r="BV81" s="623"/>
      <c r="BW81" s="623"/>
      <c r="BX81" s="623"/>
    </row>
    <row r="82" s="481" customFormat="1" ht="32" customHeight="1" spans="1:244 16384:16384">
      <c r="A82" s="600">
        <v>45801</v>
      </c>
      <c r="B82" s="601" t="s">
        <v>5030</v>
      </c>
      <c r="C82" s="602" t="s">
        <v>341</v>
      </c>
      <c r="D82" s="603">
        <v>4500167852</v>
      </c>
      <c r="E82" s="604"/>
      <c r="F82" s="603" t="s">
        <v>12990</v>
      </c>
      <c r="G82" s="605" t="s">
        <v>9585</v>
      </c>
      <c r="H82" s="606" t="s">
        <v>9155</v>
      </c>
      <c r="I82" s="607">
        <v>240</v>
      </c>
      <c r="J82" s="607">
        <v>0</v>
      </c>
      <c r="K82" s="607">
        <v>1</v>
      </c>
      <c r="L82" s="607">
        <f t="shared" si="78"/>
        <v>240</v>
      </c>
      <c r="M82" s="608">
        <v>45822</v>
      </c>
      <c r="N82" s="608">
        <v>45818</v>
      </c>
      <c r="O82" s="609" t="s">
        <v>12987</v>
      </c>
      <c r="P82" s="505"/>
      <c r="Q82" s="609"/>
      <c r="R82" s="609"/>
      <c r="S82" s="610"/>
      <c r="T82" s="610"/>
      <c r="U82" s="610" t="s">
        <v>98</v>
      </c>
      <c r="V82" s="610"/>
      <c r="W82" s="610"/>
      <c r="X82" s="611" t="s">
        <v>12991</v>
      </c>
      <c r="Y82" s="607" t="s">
        <v>1459</v>
      </c>
      <c r="Z82" s="612">
        <v>4.3195</v>
      </c>
      <c r="AA82" s="613">
        <f t="shared" ref="AA82:AA85" si="105">Z82*I82</f>
        <v>1036.68</v>
      </c>
      <c r="AB82" s="607"/>
      <c r="AC82" s="606" t="s">
        <v>9598</v>
      </c>
      <c r="AD82" s="607"/>
      <c r="AE82" s="614"/>
      <c r="AF82" s="615">
        <f t="shared" si="93"/>
        <v>240</v>
      </c>
      <c r="AG82" s="614"/>
      <c r="AH82" s="615"/>
      <c r="AI82" s="614"/>
      <c r="AJ82" s="615"/>
      <c r="AK82" s="616"/>
      <c r="AL82" s="617">
        <f t="shared" si="94"/>
        <v>240</v>
      </c>
      <c r="AM82" s="617"/>
      <c r="AN82" s="617"/>
      <c r="AO82" s="618"/>
      <c r="AP82" s="619"/>
      <c r="AQ82" s="620"/>
      <c r="AR82" s="620"/>
      <c r="AS82" s="616"/>
      <c r="AT82" s="589">
        <f t="shared" si="95"/>
        <v>60</v>
      </c>
      <c r="AU82" s="587">
        <f t="shared" si="96"/>
        <v>60</v>
      </c>
      <c r="AV82" s="587">
        <f t="shared" si="97"/>
        <v>60</v>
      </c>
      <c r="AW82" s="590">
        <f t="shared" si="98"/>
        <v>60</v>
      </c>
      <c r="AX82" s="621"/>
      <c r="AY82" s="617"/>
      <c r="AZ82" s="617"/>
      <c r="BA82" s="617"/>
      <c r="BB82" s="617"/>
      <c r="BC82" s="617"/>
      <c r="BD82" s="617"/>
      <c r="BE82" s="617"/>
      <c r="BF82" s="617">
        <f t="shared" si="99"/>
        <v>240</v>
      </c>
      <c r="BG82" s="617"/>
      <c r="BH82" s="617" t="s">
        <v>9164</v>
      </c>
      <c r="BI82" s="620"/>
      <c r="BJ82" s="617">
        <f t="shared" si="100"/>
        <v>60</v>
      </c>
      <c r="BK82" s="617">
        <f t="shared" si="101"/>
        <v>60</v>
      </c>
      <c r="BL82" s="617">
        <f t="shared" si="102"/>
        <v>60</v>
      </c>
      <c r="BM82" s="622">
        <f t="shared" si="103"/>
        <v>60</v>
      </c>
      <c r="BN82" s="617">
        <f t="shared" si="104"/>
        <v>0</v>
      </c>
      <c r="BO82" s="622">
        <f>BJ82+BK82+BL82+BM82+'92107'!$BS$369</f>
        <v>512720</v>
      </c>
      <c r="BP82" s="622"/>
      <c r="BQ82" s="622"/>
      <c r="BR82" s="622"/>
      <c r="BS82" s="622">
        <f>I82</f>
        <v>240</v>
      </c>
      <c r="BT82" s="622"/>
      <c r="BU82" s="623"/>
      <c r="BV82" s="623"/>
      <c r="BW82" s="623"/>
      <c r="BX82" s="623"/>
    </row>
    <row r="83" s="480" customFormat="1" ht="32" customHeight="1" spans="1:244 16384:16384">
      <c r="A83" s="572">
        <v>45831</v>
      </c>
      <c r="B83" s="573" t="s">
        <v>505</v>
      </c>
      <c r="C83" s="574" t="s">
        <v>506</v>
      </c>
      <c r="D83" s="575">
        <v>4500170975</v>
      </c>
      <c r="E83" s="624" t="s">
        <v>12992</v>
      </c>
      <c r="F83" s="575" t="s">
        <v>12993</v>
      </c>
      <c r="G83" s="578" t="s">
        <v>9154</v>
      </c>
      <c r="H83" s="579" t="s">
        <v>9155</v>
      </c>
      <c r="I83" s="580">
        <v>1504</v>
      </c>
      <c r="J83" s="580">
        <v>0</v>
      </c>
      <c r="K83" s="580">
        <v>8</v>
      </c>
      <c r="L83" s="580">
        <f t="shared" si="78"/>
        <v>188</v>
      </c>
      <c r="M83" s="581">
        <v>45873</v>
      </c>
      <c r="N83" s="581">
        <f t="shared" ref="N83:N87" si="106">M83-4</f>
        <v>45869</v>
      </c>
      <c r="O83" s="609" t="s">
        <v>12987</v>
      </c>
      <c r="P83" s="561"/>
      <c r="Q83" s="561"/>
      <c r="R83" s="561"/>
      <c r="S83" s="582" t="s">
        <v>2532</v>
      </c>
      <c r="T83" s="582"/>
      <c r="U83" s="582" t="s">
        <v>12706</v>
      </c>
      <c r="V83" s="582"/>
      <c r="W83" s="582"/>
      <c r="X83" s="624" t="s">
        <v>9568</v>
      </c>
      <c r="Y83" s="580" t="s">
        <v>513</v>
      </c>
      <c r="Z83" s="584">
        <v>4.4827</v>
      </c>
      <c r="AA83" s="585">
        <f t="shared" si="105"/>
        <v>6741.9808</v>
      </c>
      <c r="AB83" s="580"/>
      <c r="AC83" s="578"/>
      <c r="AD83" s="580"/>
      <c r="AE83" s="586"/>
      <c r="AF83" s="586">
        <f t="shared" si="93"/>
        <v>1504</v>
      </c>
      <c r="AG83" s="586"/>
      <c r="AH83" s="586"/>
      <c r="AI83" s="586"/>
      <c r="AJ83" s="586"/>
      <c r="AK83" s="587"/>
      <c r="AL83" s="587">
        <f t="shared" si="94"/>
        <v>1504</v>
      </c>
      <c r="AM83" s="587"/>
      <c r="AN83" s="587"/>
      <c r="AO83" s="588"/>
      <c r="AP83" s="589"/>
      <c r="AQ83" s="587"/>
      <c r="AR83" s="587"/>
      <c r="AS83" s="590"/>
      <c r="AT83" s="589">
        <f t="shared" si="95"/>
        <v>376</v>
      </c>
      <c r="AU83" s="587">
        <f t="shared" si="96"/>
        <v>376</v>
      </c>
      <c r="AV83" s="587">
        <f t="shared" si="97"/>
        <v>376</v>
      </c>
      <c r="AW83" s="590">
        <f t="shared" si="98"/>
        <v>376</v>
      </c>
      <c r="AX83" s="591"/>
      <c r="AY83" s="587"/>
      <c r="AZ83" s="587"/>
      <c r="BA83" s="587"/>
      <c r="BB83" s="587"/>
      <c r="BC83" s="587"/>
      <c r="BD83" s="587"/>
      <c r="BE83" s="587"/>
      <c r="BF83" s="587">
        <f t="shared" si="99"/>
        <v>1504</v>
      </c>
      <c r="BG83" s="587"/>
      <c r="BH83" s="587" t="s">
        <v>9164</v>
      </c>
      <c r="BI83" s="587"/>
      <c r="BJ83" s="587">
        <f t="shared" si="100"/>
        <v>376</v>
      </c>
      <c r="BK83" s="587">
        <f t="shared" si="101"/>
        <v>376</v>
      </c>
      <c r="BL83" s="587">
        <f t="shared" si="102"/>
        <v>376</v>
      </c>
      <c r="BM83" s="592">
        <f t="shared" si="103"/>
        <v>376</v>
      </c>
      <c r="BN83" s="587"/>
      <c r="BO83" s="592"/>
      <c r="BP83" s="592"/>
      <c r="BQ83" s="592"/>
      <c r="BR83" s="592"/>
      <c r="BS83" s="592"/>
      <c r="BT83" s="592"/>
      <c r="BU83" s="593"/>
      <c r="BV83" s="593"/>
      <c r="BW83" s="593"/>
      <c r="BX83" s="593"/>
    </row>
    <row r="84" s="480" customFormat="1" ht="32" customHeight="1" spans="1:244 16384:16384">
      <c r="A84" s="572">
        <v>45803</v>
      </c>
      <c r="B84" s="573" t="s">
        <v>505</v>
      </c>
      <c r="C84" s="574" t="s">
        <v>506</v>
      </c>
      <c r="D84" s="575">
        <v>4500166289</v>
      </c>
      <c r="E84" s="624">
        <v>20858537</v>
      </c>
      <c r="F84" s="575" t="s">
        <v>12994</v>
      </c>
      <c r="G84" s="578" t="s">
        <v>9154</v>
      </c>
      <c r="H84" s="579" t="s">
        <v>9155</v>
      </c>
      <c r="I84" s="580">
        <v>1504</v>
      </c>
      <c r="J84" s="580">
        <v>0</v>
      </c>
      <c r="K84" s="580">
        <v>8</v>
      </c>
      <c r="L84" s="580">
        <f t="shared" si="78"/>
        <v>188</v>
      </c>
      <c r="M84" s="581">
        <v>45845</v>
      </c>
      <c r="N84" s="581">
        <v>45841</v>
      </c>
      <c r="O84" s="609" t="s">
        <v>12987</v>
      </c>
      <c r="P84" s="625" t="s">
        <v>82</v>
      </c>
      <c r="Q84" s="561"/>
      <c r="R84" s="561" t="s">
        <v>12467</v>
      </c>
      <c r="S84" s="582" t="s">
        <v>1412</v>
      </c>
      <c r="T84" s="582"/>
      <c r="U84" s="582" t="s">
        <v>1534</v>
      </c>
      <c r="V84" s="582"/>
      <c r="W84" s="582"/>
      <c r="X84" s="624" t="s">
        <v>12869</v>
      </c>
      <c r="Y84" s="580" t="s">
        <v>513</v>
      </c>
      <c r="Z84" s="584">
        <v>4.4827</v>
      </c>
      <c r="AA84" s="585">
        <f t="shared" si="105"/>
        <v>6741.9808</v>
      </c>
      <c r="AB84" s="580"/>
      <c r="AC84" s="580" t="s">
        <v>9154</v>
      </c>
      <c r="AD84" s="580" t="s">
        <v>416</v>
      </c>
      <c r="AE84" s="626"/>
      <c r="AF84" s="586">
        <f t="shared" si="93"/>
        <v>1504</v>
      </c>
      <c r="AG84" s="626"/>
      <c r="AH84" s="586"/>
      <c r="AI84" s="626"/>
      <c r="AJ84" s="586"/>
      <c r="AK84" s="627"/>
      <c r="AL84" s="587">
        <f t="shared" si="94"/>
        <v>1504</v>
      </c>
      <c r="AM84" s="587"/>
      <c r="AN84" s="587"/>
      <c r="AO84" s="588"/>
      <c r="AP84" s="628"/>
      <c r="AQ84" s="627"/>
      <c r="AR84" s="627"/>
      <c r="AS84" s="629"/>
      <c r="AT84" s="589">
        <f t="shared" si="95"/>
        <v>376</v>
      </c>
      <c r="AU84" s="587">
        <f>AT84</f>
        <v>376</v>
      </c>
      <c r="AV84" s="587">
        <f>AT84</f>
        <v>376</v>
      </c>
      <c r="AW84" s="590">
        <f>AT84</f>
        <v>376</v>
      </c>
      <c r="AX84" s="591"/>
      <c r="AY84" s="587"/>
      <c r="AZ84" s="587"/>
      <c r="BA84" s="587"/>
      <c r="BB84" s="587"/>
      <c r="BC84" s="587"/>
      <c r="BD84" s="587"/>
      <c r="BE84" s="587"/>
      <c r="BF84" s="587">
        <f t="shared" si="99"/>
        <v>1504</v>
      </c>
      <c r="BG84" s="587"/>
      <c r="BH84" s="587" t="s">
        <v>9164</v>
      </c>
      <c r="BI84" s="627"/>
      <c r="BJ84" s="587">
        <f t="shared" si="100"/>
        <v>376</v>
      </c>
      <c r="BK84" s="587">
        <f t="shared" si="101"/>
        <v>376</v>
      </c>
      <c r="BL84" s="587">
        <f t="shared" si="102"/>
        <v>376</v>
      </c>
      <c r="BM84" s="587">
        <f t="shared" si="103"/>
        <v>376</v>
      </c>
      <c r="BN84" s="587">
        <f t="shared" si="104"/>
        <v>0</v>
      </c>
      <c r="BO84" s="592"/>
      <c r="BP84" s="592"/>
      <c r="BQ84" s="592"/>
      <c r="BR84" s="592"/>
      <c r="BS84" s="592">
        <v>188</v>
      </c>
      <c r="BT84" s="592"/>
      <c r="BU84" s="593"/>
      <c r="BV84" s="593"/>
      <c r="BW84" s="593"/>
      <c r="BX84" s="593"/>
    </row>
    <row r="85" s="480" customFormat="1" ht="32" customHeight="1" spans="1:244 16384:16384">
      <c r="A85" s="572">
        <v>45821</v>
      </c>
      <c r="B85" s="573" t="s">
        <v>6459</v>
      </c>
      <c r="C85" s="574" t="s">
        <v>506</v>
      </c>
      <c r="D85" s="575">
        <v>4500169933</v>
      </c>
      <c r="E85" s="624">
        <v>2465852</v>
      </c>
      <c r="F85" s="575" t="s">
        <v>12995</v>
      </c>
      <c r="G85" s="578" t="s">
        <v>9154</v>
      </c>
      <c r="H85" s="579" t="s">
        <v>9155</v>
      </c>
      <c r="I85" s="580">
        <v>1600</v>
      </c>
      <c r="J85" s="580">
        <v>0</v>
      </c>
      <c r="K85" s="580">
        <v>8</v>
      </c>
      <c r="L85" s="580">
        <f t="shared" si="78"/>
        <v>200</v>
      </c>
      <c r="M85" s="581">
        <v>45866</v>
      </c>
      <c r="N85" s="581">
        <v>45862</v>
      </c>
      <c r="O85" s="561" t="s">
        <v>12624</v>
      </c>
      <c r="P85" s="561"/>
      <c r="Q85" s="561"/>
      <c r="R85" s="561"/>
      <c r="S85" s="582" t="s">
        <v>1479</v>
      </c>
      <c r="T85" s="582"/>
      <c r="U85" s="582" t="s">
        <v>12996</v>
      </c>
      <c r="V85" s="582"/>
      <c r="W85" s="582"/>
      <c r="X85" s="624" t="s">
        <v>12997</v>
      </c>
      <c r="Y85" s="580" t="s">
        <v>3202</v>
      </c>
      <c r="Z85" s="584">
        <v>4.4827</v>
      </c>
      <c r="AA85" s="585">
        <f t="shared" si="105"/>
        <v>7172.32</v>
      </c>
      <c r="AB85" s="580"/>
      <c r="AC85" s="580" t="s">
        <v>9154</v>
      </c>
      <c r="AD85" s="580" t="s">
        <v>416</v>
      </c>
      <c r="AE85" s="626"/>
      <c r="AF85" s="586">
        <f t="shared" si="93"/>
        <v>1600</v>
      </c>
      <c r="AG85" s="626"/>
      <c r="AH85" s="586"/>
      <c r="AI85" s="626"/>
      <c r="AJ85" s="586"/>
      <c r="AK85" s="627"/>
      <c r="AL85" s="587">
        <f t="shared" si="94"/>
        <v>1600</v>
      </c>
      <c r="AM85" s="587"/>
      <c r="AN85" s="587"/>
      <c r="AO85" s="588"/>
      <c r="AP85" s="628"/>
      <c r="AQ85" s="627"/>
      <c r="AR85" s="627"/>
      <c r="AS85" s="629"/>
      <c r="AT85" s="589">
        <f t="shared" si="95"/>
        <v>400</v>
      </c>
      <c r="AU85" s="587">
        <f>AT85</f>
        <v>400</v>
      </c>
      <c r="AV85" s="587">
        <f>AT85</f>
        <v>400</v>
      </c>
      <c r="AW85" s="590">
        <f>AT85</f>
        <v>400</v>
      </c>
      <c r="AX85" s="591"/>
      <c r="AY85" s="587"/>
      <c r="AZ85" s="587"/>
      <c r="BA85" s="587"/>
      <c r="BB85" s="587"/>
      <c r="BC85" s="587"/>
      <c r="BD85" s="587"/>
      <c r="BE85" s="587"/>
      <c r="BF85" s="587">
        <f t="shared" si="99"/>
        <v>1600</v>
      </c>
      <c r="BG85" s="587"/>
      <c r="BH85" s="587" t="s">
        <v>9164</v>
      </c>
      <c r="BI85" s="627"/>
      <c r="BJ85" s="587">
        <f t="shared" si="100"/>
        <v>400</v>
      </c>
      <c r="BK85" s="587">
        <f t="shared" si="101"/>
        <v>400</v>
      </c>
      <c r="BL85" s="587">
        <f t="shared" si="102"/>
        <v>400</v>
      </c>
      <c r="BM85" s="592">
        <f t="shared" si="103"/>
        <v>400</v>
      </c>
      <c r="BN85" s="587">
        <f t="shared" si="104"/>
        <v>0</v>
      </c>
      <c r="BO85" s="592"/>
      <c r="BP85" s="592"/>
      <c r="BQ85" s="592"/>
      <c r="BR85" s="592"/>
      <c r="BS85" s="592"/>
      <c r="BT85" s="592"/>
      <c r="BU85" s="593"/>
      <c r="BV85" s="593"/>
      <c r="BW85" s="593"/>
      <c r="BX85" s="593"/>
    </row>
    <row r="86" s="479" customFormat="1" ht="32" customHeight="1" spans="1:244 16384:16384">
      <c r="A86" s="630">
        <v>45775</v>
      </c>
      <c r="B86" s="540" t="s">
        <v>737</v>
      </c>
      <c r="C86" s="541" t="s">
        <v>738</v>
      </c>
      <c r="D86" s="631">
        <v>4500164920</v>
      </c>
      <c r="E86" s="543">
        <v>61963726</v>
      </c>
      <c r="F86" s="542" t="s">
        <v>12998</v>
      </c>
      <c r="G86" s="565" t="s">
        <v>10199</v>
      </c>
      <c r="H86" s="499" t="s">
        <v>9155</v>
      </c>
      <c r="I86" s="501">
        <v>300</v>
      </c>
      <c r="J86" s="501">
        <v>0</v>
      </c>
      <c r="K86" s="501">
        <v>4</v>
      </c>
      <c r="L86" s="501">
        <f t="shared" si="78"/>
        <v>75</v>
      </c>
      <c r="M86" s="632">
        <v>45863</v>
      </c>
      <c r="N86" s="632">
        <f t="shared" si="106"/>
        <v>45859</v>
      </c>
      <c r="O86" s="566" t="s">
        <v>12624</v>
      </c>
      <c r="P86" s="505"/>
      <c r="Q86" s="505">
        <v>45849</v>
      </c>
      <c r="R86" s="519" t="s">
        <v>4149</v>
      </c>
      <c r="S86" s="519"/>
      <c r="T86" s="519" t="s">
        <v>4359</v>
      </c>
      <c r="U86" s="519"/>
      <c r="V86" s="519"/>
      <c r="W86" s="633" t="s">
        <v>12999</v>
      </c>
      <c r="X86" s="501" t="s">
        <v>459</v>
      </c>
      <c r="Y86" s="521">
        <v>7.1761</v>
      </c>
      <c r="Z86" s="522">
        <f t="shared" ref="Z86:Z90" si="107">Y86*I86</f>
        <v>2152.83</v>
      </c>
      <c r="AA86" s="501"/>
      <c r="AB86" s="540" t="s">
        <v>10391</v>
      </c>
      <c r="AC86" s="501" t="s">
        <v>416</v>
      </c>
      <c r="AD86" s="523"/>
      <c r="AE86" s="523"/>
      <c r="AF86" s="562"/>
      <c r="AG86" s="523">
        <f>I86</f>
        <v>300</v>
      </c>
      <c r="AH86" s="523"/>
      <c r="AI86" s="523"/>
      <c r="AJ86" s="524">
        <f t="shared" ref="AJ86:AJ90" si="108">I86</f>
        <v>300</v>
      </c>
      <c r="AK86" s="524"/>
      <c r="AL86" s="524"/>
      <c r="AM86" s="524"/>
      <c r="AN86" s="634"/>
      <c r="AO86" s="568"/>
      <c r="AP86" s="524"/>
      <c r="AQ86" s="524">
        <f t="shared" ref="AQ86:AQ90" si="109">I86/4</f>
        <v>75</v>
      </c>
      <c r="AR86" s="569"/>
      <c r="AS86" s="568">
        <f t="shared" ref="AS86:AS90" si="110">I86/4</f>
        <v>75</v>
      </c>
      <c r="AT86" s="524">
        <f t="shared" si="95"/>
        <v>75</v>
      </c>
      <c r="AU86" s="524"/>
      <c r="AV86" s="569">
        <f t="shared" ref="AV86:AV96" si="111">I86/4</f>
        <v>75</v>
      </c>
      <c r="AW86" s="635"/>
      <c r="AX86" s="636"/>
      <c r="AY86" s="636"/>
      <c r="AZ86" s="637"/>
      <c r="BA86" s="635"/>
      <c r="BB86" s="637"/>
      <c r="BC86" s="570"/>
      <c r="BD86" s="524">
        <f t="shared" ref="BD86:BD90" si="112">I86</f>
        <v>300</v>
      </c>
      <c r="BE86" s="524"/>
      <c r="BF86" s="524">
        <f t="shared" si="99"/>
        <v>300</v>
      </c>
      <c r="BG86" s="524" t="s">
        <v>9164</v>
      </c>
      <c r="BH86" s="524"/>
      <c r="BI86" s="524">
        <f t="shared" ref="BI86:BI90" si="113">I86/4</f>
        <v>75</v>
      </c>
      <c r="BJ86" s="524">
        <f t="shared" si="100"/>
        <v>75</v>
      </c>
      <c r="BK86" s="524">
        <f t="shared" si="101"/>
        <v>75</v>
      </c>
      <c r="BL86" s="524">
        <f t="shared" si="102"/>
        <v>75</v>
      </c>
      <c r="BM86" s="514">
        <f t="shared" si="103"/>
        <v>75</v>
      </c>
      <c r="BN86" s="524">
        <f>I86/4</f>
        <v>75</v>
      </c>
      <c r="BO86" s="514">
        <f>I86/4</f>
        <v>75</v>
      </c>
      <c r="BP86" s="524">
        <f>I86/4</f>
        <v>75</v>
      </c>
      <c r="BQ86" s="514">
        <f>'92108'!$BQ$136+BJ86+BL86+BN86+BP86</f>
        <v>238325</v>
      </c>
      <c r="BR86" s="598">
        <f>'92108'!BR59-BI86</f>
        <v>18227.5</v>
      </c>
      <c r="BS86" s="622">
        <f>L86</f>
        <v>75</v>
      </c>
      <c r="BT86" s="598"/>
      <c r="BU86" s="593"/>
      <c r="BV86" s="593"/>
      <c r="BW86" s="593"/>
      <c r="BX86" s="593"/>
      <c r="BY86" s="480"/>
      <c r="BZ86" s="571"/>
      <c r="CA86" s="571"/>
      <c r="CB86" s="571"/>
      <c r="CC86" s="571"/>
      <c r="CD86" s="571"/>
      <c r="CE86" s="571"/>
      <c r="CF86" s="571"/>
      <c r="CG86" s="571"/>
      <c r="CH86" s="571"/>
      <c r="CI86" s="571"/>
      <c r="CJ86" s="571"/>
      <c r="CK86" s="571"/>
      <c r="CL86" s="571"/>
      <c r="CM86" s="571"/>
      <c r="CN86" s="571"/>
      <c r="CO86" s="571"/>
      <c r="CP86" s="571"/>
      <c r="CQ86" s="571"/>
      <c r="CR86" s="571"/>
      <c r="CS86" s="571"/>
      <c r="CT86" s="571"/>
      <c r="CU86" s="571"/>
      <c r="CV86" s="571"/>
      <c r="CW86" s="571"/>
      <c r="CX86" s="571"/>
      <c r="CY86" s="571"/>
      <c r="CZ86" s="571"/>
      <c r="DA86" s="571"/>
      <c r="DB86" s="571"/>
      <c r="DC86" s="571"/>
      <c r="DD86" s="571"/>
      <c r="DE86" s="571"/>
      <c r="DF86" s="571"/>
      <c r="DG86" s="571"/>
      <c r="DH86" s="571"/>
      <c r="DI86" s="571"/>
      <c r="DJ86" s="571"/>
      <c r="DK86" s="571"/>
      <c r="DL86" s="571"/>
      <c r="DM86" s="571"/>
      <c r="DN86" s="571"/>
      <c r="DO86" s="571"/>
      <c r="DP86" s="571"/>
      <c r="DQ86" s="571"/>
      <c r="DR86" s="571"/>
      <c r="DS86" s="571"/>
      <c r="DT86" s="571"/>
      <c r="DU86" s="571"/>
      <c r="DV86" s="571"/>
      <c r="DW86" s="571"/>
      <c r="DX86" s="571"/>
      <c r="DY86" s="571"/>
      <c r="DZ86" s="571"/>
      <c r="EA86" s="571"/>
      <c r="EB86" s="571"/>
      <c r="EC86" s="571"/>
      <c r="ED86" s="571"/>
      <c r="EE86" s="571"/>
      <c r="EF86" s="571"/>
      <c r="EG86" s="571"/>
      <c r="EH86" s="571"/>
      <c r="EI86" s="571"/>
      <c r="EJ86" s="571"/>
      <c r="EK86" s="571"/>
      <c r="EL86" s="571"/>
      <c r="EM86" s="571"/>
      <c r="EN86" s="571"/>
      <c r="EO86" s="571"/>
      <c r="EP86" s="571"/>
      <c r="EQ86" s="571"/>
      <c r="ER86" s="571"/>
      <c r="ES86" s="571"/>
      <c r="ET86" s="571"/>
      <c r="EU86" s="571"/>
      <c r="EV86" s="571"/>
      <c r="EW86" s="571"/>
      <c r="EX86" s="571"/>
      <c r="EY86" s="571"/>
      <c r="EZ86" s="571"/>
      <c r="FA86" s="571"/>
      <c r="FB86" s="571"/>
      <c r="FC86" s="571"/>
      <c r="FD86" s="571"/>
      <c r="FE86" s="571"/>
      <c r="FF86" s="571"/>
      <c r="FG86" s="571"/>
      <c r="FH86" s="571"/>
      <c r="FI86" s="571"/>
      <c r="FJ86" s="571"/>
      <c r="FK86" s="571"/>
      <c r="FL86" s="571"/>
      <c r="FM86" s="571"/>
      <c r="FN86" s="571"/>
      <c r="FO86" s="571"/>
      <c r="FP86" s="571"/>
      <c r="FQ86" s="571"/>
      <c r="FR86" s="571"/>
      <c r="FS86" s="571"/>
      <c r="FT86" s="571"/>
      <c r="FU86" s="571"/>
      <c r="FV86" s="571"/>
      <c r="FW86" s="571"/>
      <c r="FX86" s="571"/>
      <c r="FY86" s="571"/>
      <c r="FZ86" s="571"/>
      <c r="GA86" s="571"/>
      <c r="GB86" s="571"/>
      <c r="GC86" s="571"/>
      <c r="GD86" s="571"/>
      <c r="GE86" s="571"/>
      <c r="GF86" s="571"/>
      <c r="GG86" s="571"/>
      <c r="GH86" s="571"/>
      <c r="GI86" s="571"/>
      <c r="GJ86" s="571"/>
      <c r="GK86" s="571"/>
      <c r="GL86" s="571"/>
      <c r="GM86" s="571"/>
      <c r="GN86" s="571"/>
      <c r="GO86" s="571"/>
      <c r="GP86" s="571"/>
      <c r="GQ86" s="571"/>
      <c r="GR86" s="571"/>
      <c r="GS86" s="571"/>
      <c r="GT86" s="571"/>
      <c r="GU86" s="571"/>
      <c r="GV86" s="571"/>
      <c r="GW86" s="571"/>
      <c r="GX86" s="571"/>
      <c r="GY86" s="571"/>
      <c r="GZ86" s="571"/>
      <c r="HA86" s="571"/>
      <c r="HB86" s="571"/>
      <c r="HC86" s="571"/>
      <c r="HD86" s="571"/>
      <c r="HE86" s="571"/>
      <c r="HF86" s="571"/>
      <c r="HG86" s="571"/>
      <c r="HH86" s="571"/>
      <c r="HI86" s="571"/>
      <c r="HJ86" s="571"/>
      <c r="HK86" s="571"/>
      <c r="HL86" s="571"/>
      <c r="HM86" s="571"/>
      <c r="HN86" s="571"/>
      <c r="HO86" s="571"/>
      <c r="HP86" s="571"/>
      <c r="HQ86" s="571"/>
      <c r="HR86" s="571"/>
      <c r="HS86" s="571"/>
      <c r="HT86" s="571"/>
      <c r="HU86" s="571"/>
      <c r="HV86" s="571"/>
      <c r="HW86" s="571"/>
      <c r="HX86" s="571"/>
      <c r="HY86" s="571"/>
      <c r="HZ86" s="571"/>
      <c r="IA86" s="571"/>
      <c r="IB86" s="571"/>
      <c r="IC86" s="571"/>
      <c r="ID86" s="571"/>
      <c r="IE86" s="571"/>
      <c r="IF86" s="571"/>
      <c r="IG86" s="571"/>
      <c r="IH86" s="571"/>
      <c r="II86" s="571"/>
      <c r="IJ86" s="571"/>
    </row>
    <row r="87" s="479" customFormat="1" ht="32" customHeight="1" spans="1:244 16384:16384">
      <c r="A87" s="630">
        <v>45789</v>
      </c>
      <c r="B87" s="540" t="s">
        <v>737</v>
      </c>
      <c r="C87" s="541" t="s">
        <v>738</v>
      </c>
      <c r="D87" s="631">
        <v>4500165982</v>
      </c>
      <c r="E87" s="543" t="s">
        <v>13000</v>
      </c>
      <c r="F87" s="542" t="s">
        <v>13001</v>
      </c>
      <c r="G87" s="565" t="s">
        <v>10199</v>
      </c>
      <c r="H87" s="499" t="s">
        <v>9155</v>
      </c>
      <c r="I87" s="501">
        <v>600</v>
      </c>
      <c r="J87" s="501">
        <v>0</v>
      </c>
      <c r="K87" s="501">
        <v>4</v>
      </c>
      <c r="L87" s="501">
        <f t="shared" si="78"/>
        <v>150</v>
      </c>
      <c r="M87" s="632">
        <v>45863</v>
      </c>
      <c r="N87" s="632">
        <f t="shared" si="106"/>
        <v>45859</v>
      </c>
      <c r="O87" s="566" t="s">
        <v>12624</v>
      </c>
      <c r="P87" s="505"/>
      <c r="Q87" s="505">
        <v>45849</v>
      </c>
      <c r="R87" s="519" t="s">
        <v>1628</v>
      </c>
      <c r="S87" s="519"/>
      <c r="T87" s="519" t="s">
        <v>4359</v>
      </c>
      <c r="U87" s="519"/>
      <c r="V87" s="519"/>
      <c r="W87" s="633" t="s">
        <v>13002</v>
      </c>
      <c r="X87" s="501" t="s">
        <v>3805</v>
      </c>
      <c r="Y87" s="521">
        <v>7.1595</v>
      </c>
      <c r="Z87" s="522">
        <f t="shared" si="107"/>
        <v>4295.7</v>
      </c>
      <c r="AA87" s="501"/>
      <c r="AB87" s="540" t="s">
        <v>10391</v>
      </c>
      <c r="AC87" s="501" t="s">
        <v>416</v>
      </c>
      <c r="AD87" s="523"/>
      <c r="AE87" s="523"/>
      <c r="AF87" s="523"/>
      <c r="AG87" s="523">
        <f>I87</f>
        <v>600</v>
      </c>
      <c r="AH87" s="523"/>
      <c r="AI87" s="524"/>
      <c r="AJ87" s="524">
        <f t="shared" si="108"/>
        <v>600</v>
      </c>
      <c r="AK87" s="524"/>
      <c r="AL87" s="524"/>
      <c r="AM87" s="567"/>
      <c r="AN87" s="634"/>
      <c r="AO87" s="568"/>
      <c r="AP87" s="524"/>
      <c r="AQ87" s="524"/>
      <c r="AR87" s="569"/>
      <c r="AS87" s="568"/>
      <c r="AT87" s="524"/>
      <c r="AU87" s="524"/>
      <c r="AV87" s="569"/>
      <c r="AW87" s="635"/>
      <c r="AX87" s="636"/>
      <c r="AY87" s="636"/>
      <c r="AZ87" s="637"/>
      <c r="BA87" s="635"/>
      <c r="BB87" s="637"/>
      <c r="BC87" s="524"/>
      <c r="BD87" s="524">
        <f t="shared" si="112"/>
        <v>600</v>
      </c>
      <c r="BE87" s="524"/>
      <c r="BF87" s="524"/>
      <c r="BG87" s="524" t="s">
        <v>9164</v>
      </c>
      <c r="BH87" s="524"/>
      <c r="BI87" s="524">
        <f t="shared" si="113"/>
        <v>150</v>
      </c>
      <c r="BJ87" s="524">
        <f t="shared" si="100"/>
        <v>150</v>
      </c>
      <c r="BK87" s="524">
        <f t="shared" si="101"/>
        <v>150</v>
      </c>
      <c r="BL87" s="514">
        <f t="shared" si="102"/>
        <v>150</v>
      </c>
      <c r="BM87" s="524">
        <f t="shared" si="103"/>
        <v>150</v>
      </c>
      <c r="BN87" s="514">
        <f>I87/4</f>
        <v>150</v>
      </c>
      <c r="BO87" s="524">
        <f>I87/4</f>
        <v>150</v>
      </c>
      <c r="BP87" s="514">
        <f>I87/4</f>
        <v>150</v>
      </c>
      <c r="BQ87" s="514">
        <f>'92108'!$BQ$136+BJ87+BL87+BN87+BP87</f>
        <v>238625</v>
      </c>
      <c r="BR87" s="598">
        <f>BR86-BI87</f>
        <v>18077.5</v>
      </c>
      <c r="BS87" s="598"/>
      <c r="BT87" s="598"/>
      <c r="BU87" s="593"/>
      <c r="BV87" s="593"/>
      <c r="BW87" s="593"/>
      <c r="BX87" s="593"/>
      <c r="BY87" s="480"/>
      <c r="BZ87" s="571"/>
      <c r="CA87" s="571"/>
      <c r="CB87" s="571"/>
      <c r="CC87" s="571"/>
      <c r="CD87" s="571"/>
      <c r="CE87" s="571"/>
      <c r="CF87" s="571"/>
      <c r="CG87" s="571"/>
      <c r="CH87" s="571"/>
      <c r="CI87" s="571"/>
      <c r="CJ87" s="571"/>
      <c r="CK87" s="571"/>
      <c r="CL87" s="571"/>
      <c r="CM87" s="571"/>
      <c r="CN87" s="571"/>
      <c r="CO87" s="571"/>
      <c r="CP87" s="571"/>
      <c r="CQ87" s="571"/>
      <c r="CR87" s="571"/>
      <c r="CS87" s="571"/>
      <c r="CT87" s="571"/>
      <c r="CU87" s="571"/>
      <c r="CV87" s="571"/>
      <c r="CW87" s="571"/>
      <c r="CX87" s="571"/>
      <c r="CY87" s="571"/>
      <c r="CZ87" s="571"/>
      <c r="DA87" s="571"/>
      <c r="DB87" s="571"/>
      <c r="DC87" s="571"/>
      <c r="DD87" s="571"/>
      <c r="DE87" s="571"/>
      <c r="DF87" s="571"/>
      <c r="DG87" s="571"/>
      <c r="DH87" s="571"/>
      <c r="DI87" s="571"/>
      <c r="DJ87" s="571"/>
      <c r="DK87" s="571"/>
      <c r="DL87" s="571"/>
      <c r="DM87" s="571"/>
      <c r="DN87" s="571"/>
      <c r="DO87" s="571"/>
      <c r="DP87" s="571"/>
      <c r="DQ87" s="571"/>
      <c r="DR87" s="571"/>
      <c r="DS87" s="571"/>
      <c r="DT87" s="571"/>
      <c r="DU87" s="571"/>
      <c r="DV87" s="571"/>
      <c r="DW87" s="571"/>
      <c r="DX87" s="571"/>
      <c r="DY87" s="571"/>
      <c r="DZ87" s="571"/>
      <c r="EA87" s="571"/>
      <c r="EB87" s="571"/>
      <c r="EC87" s="571"/>
      <c r="ED87" s="571"/>
      <c r="EE87" s="571"/>
      <c r="EF87" s="571"/>
      <c r="EG87" s="571"/>
      <c r="EH87" s="571"/>
      <c r="EI87" s="571"/>
      <c r="EJ87" s="571"/>
      <c r="EK87" s="571"/>
      <c r="EL87" s="571"/>
      <c r="EM87" s="571"/>
      <c r="EN87" s="571"/>
      <c r="EO87" s="571"/>
      <c r="EP87" s="571"/>
      <c r="EQ87" s="571"/>
      <c r="ER87" s="571"/>
      <c r="ES87" s="571"/>
      <c r="ET87" s="571"/>
      <c r="EU87" s="571"/>
      <c r="EV87" s="571"/>
      <c r="EW87" s="571"/>
      <c r="EX87" s="571"/>
      <c r="EY87" s="571"/>
      <c r="EZ87" s="571"/>
      <c r="FA87" s="571"/>
      <c r="FB87" s="571"/>
      <c r="FC87" s="571"/>
      <c r="FD87" s="571"/>
      <c r="FE87" s="571"/>
      <c r="FF87" s="571"/>
      <c r="FG87" s="571"/>
      <c r="FH87" s="571"/>
      <c r="FI87" s="571"/>
      <c r="FJ87" s="571"/>
      <c r="FK87" s="571"/>
      <c r="FL87" s="571"/>
      <c r="FM87" s="571"/>
      <c r="FN87" s="571"/>
      <c r="FO87" s="571"/>
      <c r="FP87" s="571"/>
      <c r="FQ87" s="571"/>
      <c r="FR87" s="571"/>
      <c r="FS87" s="571"/>
      <c r="FT87" s="571"/>
      <c r="FU87" s="571"/>
      <c r="FV87" s="571"/>
      <c r="FW87" s="571"/>
      <c r="FX87" s="571"/>
      <c r="FY87" s="571"/>
      <c r="FZ87" s="571"/>
      <c r="GA87" s="571"/>
      <c r="GB87" s="571"/>
      <c r="GC87" s="571"/>
      <c r="GD87" s="571"/>
      <c r="GE87" s="571"/>
      <c r="GF87" s="571"/>
      <c r="GG87" s="571"/>
      <c r="GH87" s="571"/>
      <c r="GI87" s="571"/>
      <c r="GJ87" s="571"/>
      <c r="GK87" s="571"/>
      <c r="GL87" s="571"/>
      <c r="GM87" s="571"/>
      <c r="GN87" s="571"/>
      <c r="GO87" s="571"/>
      <c r="GP87" s="571"/>
      <c r="GQ87" s="571"/>
      <c r="GR87" s="571"/>
      <c r="GS87" s="571"/>
      <c r="GT87" s="571"/>
      <c r="GU87" s="571"/>
      <c r="GV87" s="571"/>
      <c r="GW87" s="571"/>
      <c r="GX87" s="571"/>
      <c r="GY87" s="571"/>
      <c r="GZ87" s="571"/>
      <c r="HA87" s="571"/>
      <c r="HB87" s="571"/>
      <c r="HC87" s="571"/>
      <c r="HD87" s="571"/>
      <c r="HE87" s="571"/>
      <c r="HF87" s="571"/>
      <c r="HG87" s="571"/>
      <c r="HH87" s="571"/>
      <c r="HI87" s="571"/>
      <c r="HJ87" s="571"/>
      <c r="HK87" s="571"/>
      <c r="HL87" s="571"/>
      <c r="HM87" s="571"/>
      <c r="HN87" s="571"/>
      <c r="HO87" s="571"/>
      <c r="HP87" s="571"/>
      <c r="HQ87" s="571"/>
      <c r="HR87" s="571"/>
      <c r="HS87" s="571"/>
      <c r="HT87" s="571"/>
      <c r="HU87" s="571"/>
      <c r="HV87" s="571"/>
      <c r="HW87" s="571"/>
      <c r="HX87" s="571"/>
      <c r="HY87" s="571"/>
      <c r="HZ87" s="571"/>
      <c r="IA87" s="571"/>
      <c r="IB87" s="571"/>
      <c r="IC87" s="571"/>
      <c r="ID87" s="571"/>
      <c r="IE87" s="571"/>
      <c r="IF87" s="571"/>
      <c r="IG87" s="571"/>
      <c r="IH87" s="571"/>
      <c r="II87" s="571"/>
      <c r="XFD87" s="630"/>
    </row>
    <row r="88" s="480" customFormat="1" ht="32" customHeight="1" spans="1:244 16384:16384">
      <c r="A88" s="572">
        <v>45713</v>
      </c>
      <c r="B88" s="573" t="s">
        <v>2285</v>
      </c>
      <c r="C88" s="574" t="s">
        <v>351</v>
      </c>
      <c r="D88" s="575">
        <v>4500158550</v>
      </c>
      <c r="E88" s="576" t="s">
        <v>3336</v>
      </c>
      <c r="F88" s="575" t="s">
        <v>13003</v>
      </c>
      <c r="G88" s="578" t="s">
        <v>10199</v>
      </c>
      <c r="H88" s="579" t="s">
        <v>9155</v>
      </c>
      <c r="I88" s="580">
        <v>460</v>
      </c>
      <c r="J88" s="580">
        <v>0</v>
      </c>
      <c r="K88" s="580">
        <v>4</v>
      </c>
      <c r="L88" s="580">
        <f t="shared" si="78"/>
        <v>115</v>
      </c>
      <c r="M88" s="581">
        <v>45786</v>
      </c>
      <c r="N88" s="581">
        <v>45782</v>
      </c>
      <c r="O88" s="561"/>
      <c r="P88" s="561" t="s">
        <v>82</v>
      </c>
      <c r="Q88" s="561"/>
      <c r="R88" s="582" t="s">
        <v>974</v>
      </c>
      <c r="S88" s="582"/>
      <c r="T88" s="582" t="s">
        <v>10318</v>
      </c>
      <c r="U88" s="582"/>
      <c r="V88" s="582" t="s">
        <v>10319</v>
      </c>
      <c r="W88" s="624" t="s">
        <v>13004</v>
      </c>
      <c r="X88" s="580" t="s">
        <v>357</v>
      </c>
      <c r="Y88" s="584">
        <v>7.3108</v>
      </c>
      <c r="Z88" s="585">
        <f t="shared" si="107"/>
        <v>3362.968</v>
      </c>
      <c r="AA88" s="580"/>
      <c r="AB88" s="573" t="s">
        <v>10312</v>
      </c>
      <c r="AC88" s="580" t="s">
        <v>416</v>
      </c>
      <c r="AD88" s="586">
        <f t="shared" ref="AD88:AD90" si="114">I88</f>
        <v>460</v>
      </c>
      <c r="AE88" s="586"/>
      <c r="AF88" s="638"/>
      <c r="AG88" s="586"/>
      <c r="AH88" s="586"/>
      <c r="AI88" s="586"/>
      <c r="AJ88" s="587">
        <f t="shared" si="108"/>
        <v>460</v>
      </c>
      <c r="AK88" s="587"/>
      <c r="AL88" s="587"/>
      <c r="AM88" s="587"/>
      <c r="AN88" s="588"/>
      <c r="AO88" s="589"/>
      <c r="AP88" s="587"/>
      <c r="AQ88" s="587">
        <f t="shared" si="109"/>
        <v>115</v>
      </c>
      <c r="AR88" s="590"/>
      <c r="AS88" s="589">
        <f t="shared" si="110"/>
        <v>115</v>
      </c>
      <c r="AT88" s="587">
        <f t="shared" ref="AT88:AT96" si="115">I88/4</f>
        <v>115</v>
      </c>
      <c r="AU88" s="587">
        <f t="shared" ref="AU88:AU94" si="116">I88/4</f>
        <v>115</v>
      </c>
      <c r="AV88" s="590">
        <f>AS88</f>
        <v>115</v>
      </c>
      <c r="AW88" s="589"/>
      <c r="AX88" s="587"/>
      <c r="AY88" s="587"/>
      <c r="AZ88" s="590"/>
      <c r="BA88" s="589"/>
      <c r="BB88" s="590"/>
      <c r="BC88" s="591"/>
      <c r="BD88" s="587">
        <f t="shared" si="112"/>
        <v>460</v>
      </c>
      <c r="BE88" s="587"/>
      <c r="BF88" s="587">
        <f t="shared" ref="BF88:BF94" si="117">I88</f>
        <v>460</v>
      </c>
      <c r="BG88" s="587" t="s">
        <v>9164</v>
      </c>
      <c r="BH88" s="587"/>
      <c r="BI88" s="587">
        <f t="shared" si="113"/>
        <v>115</v>
      </c>
      <c r="BJ88" s="587">
        <f t="shared" ref="BJ88:BP88" si="118">BI88</f>
        <v>115</v>
      </c>
      <c r="BK88" s="587">
        <f t="shared" si="118"/>
        <v>115</v>
      </c>
      <c r="BL88" s="587">
        <f t="shared" si="118"/>
        <v>115</v>
      </c>
      <c r="BM88" s="592">
        <f t="shared" si="118"/>
        <v>115</v>
      </c>
      <c r="BN88" s="587">
        <f t="shared" si="118"/>
        <v>115</v>
      </c>
      <c r="BO88" s="592">
        <f t="shared" si="118"/>
        <v>115</v>
      </c>
      <c r="BP88" s="587">
        <f t="shared" si="118"/>
        <v>115</v>
      </c>
      <c r="BQ88" s="592">
        <f>'92108'!$BQ$136+BJ88+BL88+BN88+BP88</f>
        <v>238485</v>
      </c>
      <c r="BR88" s="592">
        <f>'92108'!BR63-BI88</f>
        <v>20333.5</v>
      </c>
      <c r="BS88" s="592">
        <f>'92108'!BS63-BJ88</f>
        <v>20333.5</v>
      </c>
      <c r="BT88" s="592">
        <f>'92108'!BT63-BK88</f>
        <v>19545.5</v>
      </c>
      <c r="BU88" s="592">
        <f>'92108'!BU63-BL88</f>
        <v>19545.5</v>
      </c>
      <c r="BV88" s="592">
        <f>'92108'!BV63-BM88</f>
        <v>34751.5</v>
      </c>
      <c r="BW88" s="592">
        <f>'92108'!BW63-BN88</f>
        <v>34751.5</v>
      </c>
      <c r="BX88" s="592">
        <f>'92108'!BX63-BO88</f>
        <v>20625.5</v>
      </c>
      <c r="BY88" s="592">
        <f>'92108'!BY63-BP88</f>
        <v>20625.5</v>
      </c>
      <c r="BZ88" s="593"/>
      <c r="CA88" s="593"/>
      <c r="CB88" s="593"/>
      <c r="CC88" s="593"/>
      <c r="CD88" s="593"/>
      <c r="CE88" s="593"/>
      <c r="CF88" s="593"/>
      <c r="CG88" s="593"/>
      <c r="CH88" s="593"/>
      <c r="CI88" s="593"/>
      <c r="CJ88" s="593"/>
      <c r="CK88" s="593"/>
      <c r="CL88" s="593"/>
      <c r="CM88" s="593"/>
      <c r="CN88" s="593"/>
      <c r="CO88" s="593"/>
      <c r="CP88" s="593"/>
      <c r="CQ88" s="593"/>
      <c r="CR88" s="593"/>
      <c r="CS88" s="593"/>
      <c r="CT88" s="593"/>
      <c r="CU88" s="593"/>
      <c r="CV88" s="593"/>
      <c r="CW88" s="593"/>
      <c r="CX88" s="593"/>
      <c r="CY88" s="593"/>
      <c r="CZ88" s="593"/>
      <c r="DA88" s="593"/>
      <c r="DB88" s="593"/>
      <c r="DC88" s="593"/>
      <c r="DD88" s="593"/>
      <c r="DE88" s="593"/>
      <c r="DF88" s="593"/>
      <c r="DG88" s="593"/>
      <c r="DH88" s="593"/>
      <c r="DI88" s="593"/>
      <c r="DJ88" s="593"/>
      <c r="DK88" s="593"/>
      <c r="DL88" s="593"/>
      <c r="DM88" s="593"/>
      <c r="DN88" s="593"/>
      <c r="DO88" s="593"/>
      <c r="DP88" s="593"/>
      <c r="DQ88" s="593"/>
      <c r="DR88" s="593"/>
      <c r="DS88" s="593"/>
      <c r="DT88" s="593"/>
      <c r="DU88" s="593"/>
      <c r="DV88" s="593"/>
      <c r="DW88" s="593"/>
      <c r="DX88" s="593"/>
      <c r="DY88" s="593"/>
      <c r="DZ88" s="593"/>
      <c r="EA88" s="593"/>
      <c r="EB88" s="593"/>
      <c r="EC88" s="593"/>
      <c r="ED88" s="593"/>
      <c r="EE88" s="593"/>
      <c r="EF88" s="593"/>
      <c r="EG88" s="593"/>
      <c r="EH88" s="593"/>
      <c r="EI88" s="593"/>
      <c r="EJ88" s="593"/>
      <c r="EK88" s="593"/>
      <c r="EL88" s="593"/>
      <c r="EM88" s="593"/>
      <c r="EN88" s="593"/>
      <c r="EO88" s="593"/>
      <c r="EP88" s="593"/>
      <c r="EQ88" s="593"/>
      <c r="ER88" s="593"/>
      <c r="ES88" s="593"/>
      <c r="ET88" s="593"/>
      <c r="EU88" s="593"/>
      <c r="EV88" s="593"/>
      <c r="EW88" s="593"/>
      <c r="EX88" s="593"/>
      <c r="EY88" s="593"/>
      <c r="EZ88" s="593"/>
      <c r="FA88" s="593"/>
      <c r="FB88" s="593"/>
      <c r="FC88" s="593"/>
      <c r="FD88" s="593"/>
      <c r="FE88" s="593"/>
      <c r="FF88" s="593"/>
      <c r="FG88" s="593"/>
      <c r="FH88" s="593"/>
      <c r="FI88" s="593"/>
      <c r="FJ88" s="593"/>
      <c r="FK88" s="593"/>
      <c r="FL88" s="593"/>
      <c r="FM88" s="593"/>
      <c r="FN88" s="593"/>
      <c r="FO88" s="593"/>
      <c r="FP88" s="593"/>
      <c r="FQ88" s="593"/>
      <c r="FR88" s="593"/>
      <c r="FS88" s="593"/>
      <c r="FT88" s="593"/>
      <c r="FU88" s="593"/>
      <c r="FV88" s="593"/>
      <c r="FW88" s="593"/>
      <c r="FX88" s="593"/>
      <c r="FY88" s="593"/>
      <c r="FZ88" s="593"/>
      <c r="GA88" s="593"/>
      <c r="GB88" s="593"/>
      <c r="GC88" s="593"/>
      <c r="GD88" s="593"/>
      <c r="GE88" s="593"/>
      <c r="GF88" s="593"/>
      <c r="GG88" s="593"/>
      <c r="GH88" s="593"/>
      <c r="GI88" s="593"/>
      <c r="GJ88" s="593"/>
      <c r="GK88" s="593"/>
      <c r="GL88" s="593"/>
      <c r="GM88" s="593"/>
      <c r="GN88" s="593"/>
      <c r="GO88" s="593"/>
      <c r="GP88" s="593"/>
      <c r="GQ88" s="593"/>
      <c r="GR88" s="593"/>
      <c r="GS88" s="593"/>
      <c r="GT88" s="593"/>
      <c r="GU88" s="593"/>
      <c r="GV88" s="593"/>
      <c r="GW88" s="593"/>
      <c r="GX88" s="593"/>
      <c r="GY88" s="593"/>
      <c r="GZ88" s="593"/>
      <c r="HA88" s="593"/>
      <c r="HB88" s="593"/>
      <c r="HC88" s="593"/>
      <c r="HD88" s="593"/>
      <c r="HE88" s="593"/>
      <c r="HF88" s="593"/>
      <c r="HG88" s="593"/>
      <c r="HH88" s="593"/>
      <c r="HI88" s="593"/>
      <c r="HJ88" s="593"/>
      <c r="HK88" s="593"/>
      <c r="HL88" s="593"/>
      <c r="HM88" s="593"/>
      <c r="HN88" s="593"/>
      <c r="HO88" s="593"/>
      <c r="HP88" s="593"/>
      <c r="HQ88" s="593"/>
      <c r="HR88" s="593"/>
      <c r="HS88" s="593"/>
      <c r="HT88" s="593"/>
      <c r="HU88" s="593"/>
      <c r="HV88" s="593"/>
      <c r="HW88" s="593"/>
      <c r="HX88" s="593"/>
      <c r="HY88" s="593"/>
      <c r="HZ88" s="593"/>
      <c r="IA88" s="593"/>
      <c r="IB88" s="593"/>
      <c r="IC88" s="593"/>
      <c r="ID88" s="593"/>
      <c r="IE88" s="593"/>
      <c r="IF88" s="593"/>
      <c r="IG88" s="593"/>
      <c r="IH88" s="593"/>
      <c r="II88" s="593"/>
      <c r="IJ88" s="593"/>
    </row>
    <row r="89" s="480" customFormat="1" ht="32" customHeight="1" spans="1:244 16384:16384">
      <c r="A89" s="639">
        <v>45765</v>
      </c>
      <c r="B89" s="573" t="s">
        <v>2285</v>
      </c>
      <c r="C89" s="574" t="s">
        <v>351</v>
      </c>
      <c r="D89" s="575">
        <v>4500164094</v>
      </c>
      <c r="E89" s="576" t="s">
        <v>3330</v>
      </c>
      <c r="F89" s="575" t="s">
        <v>13005</v>
      </c>
      <c r="G89" s="578" t="s">
        <v>10199</v>
      </c>
      <c r="H89" s="579" t="s">
        <v>9155</v>
      </c>
      <c r="I89" s="580">
        <v>652</v>
      </c>
      <c r="J89" s="580">
        <v>0</v>
      </c>
      <c r="K89" s="580">
        <v>4</v>
      </c>
      <c r="L89" s="580">
        <f t="shared" si="78"/>
        <v>163</v>
      </c>
      <c r="M89" s="581">
        <v>45896</v>
      </c>
      <c r="N89" s="581">
        <v>45892</v>
      </c>
      <c r="O89" s="561" t="s">
        <v>12612</v>
      </c>
      <c r="P89" s="561"/>
      <c r="Q89" s="561"/>
      <c r="R89" s="582" t="s">
        <v>3909</v>
      </c>
      <c r="S89" s="582"/>
      <c r="T89" s="582" t="s">
        <v>9749</v>
      </c>
      <c r="U89" s="582"/>
      <c r="V89" s="582" t="s">
        <v>4457</v>
      </c>
      <c r="W89" s="583" t="s">
        <v>13006</v>
      </c>
      <c r="X89" s="580" t="s">
        <v>1199</v>
      </c>
      <c r="Y89" s="584">
        <v>6.8678</v>
      </c>
      <c r="Z89" s="585">
        <f t="shared" si="107"/>
        <v>4477.8056</v>
      </c>
      <c r="AA89" s="580"/>
      <c r="AB89" s="573" t="s">
        <v>10312</v>
      </c>
      <c r="AC89" s="580" t="s">
        <v>416</v>
      </c>
      <c r="AD89" s="586">
        <f t="shared" si="114"/>
        <v>652</v>
      </c>
      <c r="AE89" s="586"/>
      <c r="AF89" s="640"/>
      <c r="AG89" s="586"/>
      <c r="AH89" s="586"/>
      <c r="AI89" s="586"/>
      <c r="AJ89" s="587">
        <f t="shared" si="108"/>
        <v>652</v>
      </c>
      <c r="AK89" s="587"/>
      <c r="AL89" s="587"/>
      <c r="AM89" s="587"/>
      <c r="AN89" s="634"/>
      <c r="AO89" s="568"/>
      <c r="AP89" s="524"/>
      <c r="AQ89" s="524">
        <f t="shared" si="109"/>
        <v>163</v>
      </c>
      <c r="AR89" s="569"/>
      <c r="AS89" s="568">
        <f t="shared" si="110"/>
        <v>163</v>
      </c>
      <c r="AT89" s="524">
        <f t="shared" si="115"/>
        <v>163</v>
      </c>
      <c r="AU89" s="524"/>
      <c r="AV89" s="569">
        <f t="shared" si="111"/>
        <v>163</v>
      </c>
      <c r="AW89" s="589"/>
      <c r="AX89" s="587"/>
      <c r="AY89" s="587"/>
      <c r="AZ89" s="590"/>
      <c r="BA89" s="589"/>
      <c r="BB89" s="590"/>
      <c r="BC89" s="591"/>
      <c r="BD89" s="587">
        <f t="shared" si="112"/>
        <v>652</v>
      </c>
      <c r="BE89" s="587"/>
      <c r="BF89" s="587"/>
      <c r="BG89" s="587" t="s">
        <v>9164</v>
      </c>
      <c r="BH89" s="587"/>
      <c r="BI89" s="587">
        <f t="shared" si="113"/>
        <v>163</v>
      </c>
      <c r="BJ89" s="587">
        <f t="shared" ref="BJ89:BP89" si="119">BI89</f>
        <v>163</v>
      </c>
      <c r="BK89" s="587">
        <f t="shared" si="119"/>
        <v>163</v>
      </c>
      <c r="BL89" s="587">
        <f t="shared" si="119"/>
        <v>163</v>
      </c>
      <c r="BM89" s="592">
        <f t="shared" si="119"/>
        <v>163</v>
      </c>
      <c r="BN89" s="587">
        <f t="shared" si="119"/>
        <v>163</v>
      </c>
      <c r="BO89" s="592">
        <f t="shared" si="119"/>
        <v>163</v>
      </c>
      <c r="BP89" s="587">
        <f t="shared" si="119"/>
        <v>163</v>
      </c>
      <c r="BQ89" s="592">
        <f>'92108'!$BQ$136+BJ89+BL89+BN89+BP89</f>
        <v>238677</v>
      </c>
      <c r="BR89" s="592">
        <f>'取消单-1'!BR96-BI89</f>
        <v>16376.5</v>
      </c>
      <c r="BS89" s="592">
        <f>'取消单-1'!BS96-BJ89</f>
        <v>-1701</v>
      </c>
      <c r="BT89" s="592">
        <f>'取消单-1'!BT96-BK89</f>
        <v>-1701</v>
      </c>
      <c r="BU89" s="592">
        <f>'取消单-1'!BU96-BL89</f>
        <v>-1701</v>
      </c>
      <c r="BV89" s="592">
        <f>'取消单-1'!BV96-BM89</f>
        <v>-1701</v>
      </c>
      <c r="BW89" s="592">
        <f>'取消单-1'!BW96-BN89</f>
        <v>-1701</v>
      </c>
      <c r="BX89" s="592">
        <f>'取消单-1'!BX96-BO89</f>
        <v>-1701</v>
      </c>
      <c r="BY89" s="592">
        <f>'取消单-1'!BY96-BP89</f>
        <v>-1701</v>
      </c>
      <c r="BZ89" s="593"/>
      <c r="CA89" s="593"/>
      <c r="CB89" s="593"/>
      <c r="CC89" s="593"/>
      <c r="CD89" s="593"/>
      <c r="CE89" s="593"/>
      <c r="CF89" s="593"/>
      <c r="CG89" s="593"/>
      <c r="CH89" s="593"/>
      <c r="CI89" s="593"/>
      <c r="CJ89" s="593"/>
      <c r="CK89" s="593"/>
      <c r="CL89" s="593"/>
      <c r="CM89" s="593"/>
      <c r="CN89" s="593"/>
      <c r="CO89" s="593"/>
      <c r="CP89" s="593"/>
      <c r="CQ89" s="593"/>
      <c r="CR89" s="593"/>
      <c r="CS89" s="593"/>
      <c r="CT89" s="593"/>
      <c r="CU89" s="593"/>
      <c r="CV89" s="593"/>
      <c r="CW89" s="593"/>
      <c r="CX89" s="593"/>
      <c r="CY89" s="593"/>
      <c r="CZ89" s="593"/>
      <c r="DA89" s="593"/>
      <c r="DB89" s="593"/>
      <c r="DC89" s="593"/>
      <c r="DD89" s="593"/>
      <c r="DE89" s="593"/>
      <c r="DF89" s="593"/>
      <c r="DG89" s="593"/>
      <c r="DH89" s="593"/>
      <c r="DI89" s="593"/>
      <c r="DJ89" s="593"/>
      <c r="DK89" s="593"/>
      <c r="DL89" s="593"/>
      <c r="DM89" s="593"/>
      <c r="DN89" s="593"/>
      <c r="DO89" s="593"/>
      <c r="DP89" s="593"/>
      <c r="DQ89" s="593"/>
      <c r="DR89" s="593"/>
      <c r="DS89" s="593"/>
      <c r="DT89" s="593"/>
      <c r="DU89" s="593"/>
      <c r="DV89" s="593"/>
      <c r="DW89" s="593"/>
      <c r="DX89" s="593"/>
      <c r="DY89" s="593"/>
      <c r="DZ89" s="593"/>
      <c r="EA89" s="593"/>
      <c r="EB89" s="593"/>
      <c r="EC89" s="593"/>
      <c r="ED89" s="593"/>
      <c r="EE89" s="593"/>
      <c r="EF89" s="593"/>
      <c r="EG89" s="593"/>
      <c r="EH89" s="593"/>
      <c r="EI89" s="593"/>
      <c r="EJ89" s="593"/>
      <c r="EK89" s="593"/>
      <c r="EL89" s="593"/>
      <c r="EM89" s="593"/>
      <c r="EN89" s="593"/>
      <c r="EO89" s="593"/>
      <c r="EP89" s="593"/>
      <c r="EQ89" s="593"/>
      <c r="ER89" s="593"/>
      <c r="ES89" s="593"/>
      <c r="ET89" s="593"/>
      <c r="EU89" s="593"/>
      <c r="EV89" s="593"/>
      <c r="EW89" s="593"/>
      <c r="EX89" s="593"/>
      <c r="EY89" s="593"/>
      <c r="EZ89" s="593"/>
      <c r="FA89" s="593"/>
      <c r="FB89" s="593"/>
      <c r="FC89" s="593"/>
      <c r="FD89" s="593"/>
      <c r="FE89" s="593"/>
      <c r="FF89" s="593"/>
      <c r="FG89" s="593"/>
      <c r="FH89" s="593"/>
      <c r="FI89" s="593"/>
      <c r="FJ89" s="593"/>
      <c r="FK89" s="593"/>
      <c r="FL89" s="593"/>
      <c r="FM89" s="593"/>
      <c r="FN89" s="593"/>
      <c r="FO89" s="593"/>
      <c r="FP89" s="593"/>
      <c r="FQ89" s="593"/>
      <c r="FR89" s="593"/>
      <c r="FS89" s="593"/>
      <c r="FT89" s="593"/>
      <c r="FU89" s="593"/>
      <c r="FV89" s="593"/>
      <c r="FW89" s="593"/>
      <c r="FX89" s="593"/>
      <c r="FY89" s="593"/>
      <c r="FZ89" s="593"/>
      <c r="GA89" s="593"/>
      <c r="GB89" s="593"/>
      <c r="GC89" s="593"/>
      <c r="GD89" s="593"/>
      <c r="GE89" s="593"/>
      <c r="GF89" s="593"/>
      <c r="GG89" s="593"/>
      <c r="GH89" s="593"/>
      <c r="GI89" s="593"/>
      <c r="GJ89" s="593"/>
      <c r="GK89" s="593"/>
      <c r="GL89" s="593"/>
      <c r="GM89" s="593"/>
      <c r="GN89" s="593"/>
      <c r="GO89" s="593"/>
      <c r="GP89" s="593"/>
      <c r="GQ89" s="593"/>
      <c r="GR89" s="593"/>
      <c r="GS89" s="593"/>
      <c r="GT89" s="593"/>
      <c r="GU89" s="593"/>
      <c r="GV89" s="593"/>
      <c r="GW89" s="593"/>
      <c r="GX89" s="593"/>
      <c r="GY89" s="593"/>
      <c r="GZ89" s="593"/>
      <c r="HA89" s="593"/>
      <c r="HB89" s="593"/>
      <c r="HC89" s="593"/>
      <c r="HD89" s="593"/>
      <c r="HE89" s="593"/>
      <c r="HF89" s="593"/>
      <c r="HG89" s="593"/>
      <c r="HH89" s="593"/>
      <c r="HI89" s="593"/>
      <c r="HJ89" s="593"/>
      <c r="HK89" s="593"/>
      <c r="HL89" s="593"/>
      <c r="HM89" s="593"/>
      <c r="HN89" s="593"/>
      <c r="HO89" s="593"/>
      <c r="HP89" s="593"/>
      <c r="HQ89" s="593"/>
      <c r="HR89" s="593"/>
      <c r="HS89" s="593"/>
      <c r="HT89" s="593"/>
      <c r="HU89" s="593"/>
      <c r="HV89" s="593"/>
      <c r="HW89" s="593"/>
      <c r="HX89" s="593"/>
      <c r="HY89" s="593"/>
      <c r="HZ89" s="593"/>
      <c r="IA89" s="593"/>
      <c r="IB89" s="593"/>
      <c r="IC89" s="593"/>
      <c r="ID89" s="593"/>
      <c r="IE89" s="593"/>
      <c r="IF89" s="593"/>
      <c r="IG89" s="593"/>
      <c r="IH89" s="593"/>
      <c r="II89" s="593"/>
      <c r="IJ89" s="593"/>
    </row>
    <row r="90" s="480" customFormat="1" ht="32" customHeight="1" spans="1:244 16384:16384">
      <c r="A90" s="639">
        <v>45765</v>
      </c>
      <c r="B90" s="573" t="s">
        <v>2285</v>
      </c>
      <c r="C90" s="574" t="s">
        <v>351</v>
      </c>
      <c r="D90" s="575">
        <v>4500164094</v>
      </c>
      <c r="E90" s="576" t="s">
        <v>3336</v>
      </c>
      <c r="F90" s="575" t="s">
        <v>13007</v>
      </c>
      <c r="G90" s="578" t="s">
        <v>10199</v>
      </c>
      <c r="H90" s="579" t="s">
        <v>9155</v>
      </c>
      <c r="I90" s="580">
        <v>252</v>
      </c>
      <c r="J90" s="580">
        <v>0</v>
      </c>
      <c r="K90" s="580">
        <v>4</v>
      </c>
      <c r="L90" s="580">
        <f t="shared" si="78"/>
        <v>63</v>
      </c>
      <c r="M90" s="581">
        <v>45896</v>
      </c>
      <c r="N90" s="581">
        <v>45892</v>
      </c>
      <c r="O90" s="561" t="s">
        <v>12612</v>
      </c>
      <c r="P90" s="561"/>
      <c r="Q90" s="561"/>
      <c r="R90" s="582" t="s">
        <v>3909</v>
      </c>
      <c r="S90" s="582"/>
      <c r="T90" s="582" t="s">
        <v>9749</v>
      </c>
      <c r="U90" s="582"/>
      <c r="V90" s="582" t="s">
        <v>4457</v>
      </c>
      <c r="W90" s="583" t="s">
        <v>13006</v>
      </c>
      <c r="X90" s="580" t="s">
        <v>1199</v>
      </c>
      <c r="Y90" s="584">
        <v>7.1595</v>
      </c>
      <c r="Z90" s="585">
        <f t="shared" si="107"/>
        <v>1804.194</v>
      </c>
      <c r="AA90" s="580"/>
      <c r="AB90" s="573" t="s">
        <v>10312</v>
      </c>
      <c r="AC90" s="580" t="s">
        <v>416</v>
      </c>
      <c r="AD90" s="586">
        <f t="shared" si="114"/>
        <v>252</v>
      </c>
      <c r="AE90" s="586"/>
      <c r="AF90" s="640"/>
      <c r="AG90" s="586"/>
      <c r="AH90" s="586"/>
      <c r="AI90" s="586"/>
      <c r="AJ90" s="587">
        <f t="shared" si="108"/>
        <v>252</v>
      </c>
      <c r="AK90" s="587"/>
      <c r="AL90" s="587"/>
      <c r="AM90" s="587"/>
      <c r="AN90" s="634"/>
      <c r="AO90" s="568"/>
      <c r="AP90" s="524"/>
      <c r="AQ90" s="524">
        <f t="shared" si="109"/>
        <v>63</v>
      </c>
      <c r="AR90" s="569"/>
      <c r="AS90" s="568">
        <f t="shared" si="110"/>
        <v>63</v>
      </c>
      <c r="AT90" s="524">
        <f t="shared" si="115"/>
        <v>63</v>
      </c>
      <c r="AU90" s="524"/>
      <c r="AV90" s="569">
        <f t="shared" si="111"/>
        <v>63</v>
      </c>
      <c r="AW90" s="589"/>
      <c r="AX90" s="587"/>
      <c r="AY90" s="587"/>
      <c r="AZ90" s="590"/>
      <c r="BA90" s="589"/>
      <c r="BB90" s="590"/>
      <c r="BC90" s="591"/>
      <c r="BD90" s="587">
        <f t="shared" si="112"/>
        <v>252</v>
      </c>
      <c r="BE90" s="587"/>
      <c r="BF90" s="587"/>
      <c r="BG90" s="587" t="s">
        <v>9164</v>
      </c>
      <c r="BH90" s="587"/>
      <c r="BI90" s="587">
        <f t="shared" si="113"/>
        <v>63</v>
      </c>
      <c r="BJ90" s="587">
        <f t="shared" ref="BJ90:BP90" si="120">BI90</f>
        <v>63</v>
      </c>
      <c r="BK90" s="587">
        <f t="shared" si="120"/>
        <v>63</v>
      </c>
      <c r="BL90" s="587">
        <f t="shared" si="120"/>
        <v>63</v>
      </c>
      <c r="BM90" s="592">
        <f t="shared" si="120"/>
        <v>63</v>
      </c>
      <c r="BN90" s="587">
        <f t="shared" si="120"/>
        <v>63</v>
      </c>
      <c r="BO90" s="592">
        <f t="shared" si="120"/>
        <v>63</v>
      </c>
      <c r="BP90" s="587">
        <f t="shared" si="120"/>
        <v>63</v>
      </c>
      <c r="BQ90" s="592">
        <f>'92108'!$BQ$136+BJ90+BL90+BN90+BP90</f>
        <v>238277</v>
      </c>
      <c r="BR90" s="592">
        <f t="shared" ref="BR90:BY90" si="121">BR89-BI90</f>
        <v>16313.5</v>
      </c>
      <c r="BS90" s="592">
        <f t="shared" si="121"/>
        <v>-1764</v>
      </c>
      <c r="BT90" s="592">
        <f t="shared" si="121"/>
        <v>-1764</v>
      </c>
      <c r="BU90" s="592">
        <f t="shared" si="121"/>
        <v>-1764</v>
      </c>
      <c r="BV90" s="592">
        <f t="shared" si="121"/>
        <v>-1764</v>
      </c>
      <c r="BW90" s="592">
        <f t="shared" si="121"/>
        <v>-1764</v>
      </c>
      <c r="BX90" s="592">
        <f t="shared" si="121"/>
        <v>-1764</v>
      </c>
      <c r="BY90" s="592">
        <f t="shared" si="121"/>
        <v>-1764</v>
      </c>
      <c r="BZ90" s="593"/>
      <c r="CA90" s="593"/>
      <c r="CB90" s="593"/>
      <c r="CC90" s="593"/>
      <c r="CD90" s="593"/>
      <c r="CE90" s="593"/>
      <c r="CF90" s="593"/>
      <c r="CG90" s="593"/>
      <c r="CH90" s="593"/>
      <c r="CI90" s="593"/>
      <c r="CJ90" s="593"/>
      <c r="CK90" s="593"/>
      <c r="CL90" s="593"/>
      <c r="CM90" s="593"/>
      <c r="CN90" s="593"/>
      <c r="CO90" s="593"/>
      <c r="CP90" s="593"/>
      <c r="CQ90" s="593"/>
      <c r="CR90" s="593"/>
      <c r="CS90" s="593"/>
      <c r="CT90" s="593"/>
      <c r="CU90" s="593"/>
      <c r="CV90" s="593"/>
      <c r="CW90" s="593"/>
      <c r="CX90" s="593"/>
      <c r="CY90" s="593"/>
      <c r="CZ90" s="593"/>
      <c r="DA90" s="593"/>
      <c r="DB90" s="593"/>
      <c r="DC90" s="593"/>
      <c r="DD90" s="593"/>
      <c r="DE90" s="593"/>
      <c r="DF90" s="593"/>
      <c r="DG90" s="593"/>
      <c r="DH90" s="593"/>
      <c r="DI90" s="593"/>
      <c r="DJ90" s="593"/>
      <c r="DK90" s="593"/>
      <c r="DL90" s="593"/>
      <c r="DM90" s="593"/>
      <c r="DN90" s="593"/>
      <c r="DO90" s="593"/>
      <c r="DP90" s="593"/>
      <c r="DQ90" s="593"/>
      <c r="DR90" s="593"/>
      <c r="DS90" s="593"/>
      <c r="DT90" s="593"/>
      <c r="DU90" s="593"/>
      <c r="DV90" s="593"/>
      <c r="DW90" s="593"/>
      <c r="DX90" s="593"/>
      <c r="DY90" s="593"/>
      <c r="DZ90" s="593"/>
      <c r="EA90" s="593"/>
      <c r="EB90" s="593"/>
      <c r="EC90" s="593"/>
      <c r="ED90" s="593"/>
      <c r="EE90" s="593"/>
      <c r="EF90" s="593"/>
      <c r="EG90" s="593"/>
      <c r="EH90" s="593"/>
      <c r="EI90" s="593"/>
      <c r="EJ90" s="593"/>
      <c r="EK90" s="593"/>
      <c r="EL90" s="593"/>
      <c r="EM90" s="593"/>
      <c r="EN90" s="593"/>
      <c r="EO90" s="593"/>
      <c r="EP90" s="593"/>
      <c r="EQ90" s="593"/>
      <c r="ER90" s="593"/>
      <c r="ES90" s="593"/>
      <c r="ET90" s="593"/>
      <c r="EU90" s="593"/>
      <c r="EV90" s="593"/>
      <c r="EW90" s="593"/>
      <c r="EX90" s="593"/>
      <c r="EY90" s="593"/>
      <c r="EZ90" s="593"/>
      <c r="FA90" s="593"/>
      <c r="FB90" s="593"/>
      <c r="FC90" s="593"/>
      <c r="FD90" s="593"/>
      <c r="FE90" s="593"/>
      <c r="FF90" s="593"/>
      <c r="FG90" s="593"/>
      <c r="FH90" s="593"/>
      <c r="FI90" s="593"/>
      <c r="FJ90" s="593"/>
      <c r="FK90" s="593"/>
      <c r="FL90" s="593"/>
      <c r="FM90" s="593"/>
      <c r="FN90" s="593"/>
      <c r="FO90" s="593"/>
      <c r="FP90" s="593"/>
      <c r="FQ90" s="593"/>
      <c r="FR90" s="593"/>
      <c r="FS90" s="593"/>
      <c r="FT90" s="593"/>
      <c r="FU90" s="593"/>
      <c r="FV90" s="593"/>
      <c r="FW90" s="593"/>
      <c r="FX90" s="593"/>
      <c r="FY90" s="593"/>
      <c r="FZ90" s="593"/>
      <c r="GA90" s="593"/>
      <c r="GB90" s="593"/>
      <c r="GC90" s="593"/>
      <c r="GD90" s="593"/>
      <c r="GE90" s="593"/>
      <c r="GF90" s="593"/>
      <c r="GG90" s="593"/>
      <c r="GH90" s="593"/>
      <c r="GI90" s="593"/>
      <c r="GJ90" s="593"/>
      <c r="GK90" s="593"/>
      <c r="GL90" s="593"/>
      <c r="GM90" s="593"/>
      <c r="GN90" s="593"/>
      <c r="GO90" s="593"/>
      <c r="GP90" s="593"/>
      <c r="GQ90" s="593"/>
      <c r="GR90" s="593"/>
      <c r="GS90" s="593"/>
      <c r="GT90" s="593"/>
      <c r="GU90" s="593"/>
      <c r="GV90" s="593"/>
      <c r="GW90" s="593"/>
      <c r="GX90" s="593"/>
      <c r="GY90" s="593"/>
      <c r="GZ90" s="593"/>
      <c r="HA90" s="593"/>
      <c r="HB90" s="593"/>
      <c r="HC90" s="593"/>
      <c r="HD90" s="593"/>
      <c r="HE90" s="593"/>
      <c r="HF90" s="593"/>
      <c r="HG90" s="593"/>
      <c r="HH90" s="593"/>
      <c r="HI90" s="593"/>
      <c r="HJ90" s="593"/>
      <c r="HK90" s="593"/>
      <c r="HL90" s="593"/>
      <c r="HM90" s="593"/>
      <c r="HN90" s="593"/>
      <c r="HO90" s="593"/>
      <c r="HP90" s="593"/>
      <c r="HQ90" s="593"/>
      <c r="HR90" s="593"/>
      <c r="HS90" s="593"/>
      <c r="HT90" s="593"/>
      <c r="HU90" s="593"/>
      <c r="HV90" s="593"/>
      <c r="HW90" s="593"/>
      <c r="HX90" s="593"/>
      <c r="HY90" s="593"/>
      <c r="HZ90" s="593"/>
      <c r="IA90" s="593"/>
      <c r="IB90" s="593"/>
      <c r="IC90" s="593"/>
      <c r="ID90" s="593"/>
      <c r="IE90" s="593"/>
      <c r="IF90" s="593"/>
      <c r="IG90" s="593"/>
      <c r="IH90" s="593"/>
      <c r="II90" s="593"/>
      <c r="IJ90" s="593"/>
    </row>
    <row r="91" s="480" customFormat="1" ht="32" customHeight="1" spans="1:244 16384:16384">
      <c r="A91" s="572">
        <v>45765</v>
      </c>
      <c r="B91" s="573" t="s">
        <v>2285</v>
      </c>
      <c r="C91" s="574" t="s">
        <v>351</v>
      </c>
      <c r="D91" s="575">
        <v>4500164094</v>
      </c>
      <c r="E91" s="624" t="s">
        <v>3330</v>
      </c>
      <c r="F91" s="575" t="s">
        <v>13008</v>
      </c>
      <c r="G91" s="578" t="s">
        <v>9154</v>
      </c>
      <c r="H91" s="579" t="s">
        <v>9155</v>
      </c>
      <c r="I91" s="580">
        <v>1368</v>
      </c>
      <c r="J91" s="580">
        <v>0</v>
      </c>
      <c r="K91" s="580">
        <v>8</v>
      </c>
      <c r="L91" s="580">
        <f t="shared" si="78"/>
        <v>171</v>
      </c>
      <c r="M91" s="581">
        <v>45896</v>
      </c>
      <c r="N91" s="581">
        <v>45892</v>
      </c>
      <c r="O91" s="561" t="s">
        <v>12612</v>
      </c>
      <c r="P91" s="561"/>
      <c r="Q91" s="561"/>
      <c r="R91" s="561"/>
      <c r="S91" s="582" t="s">
        <v>3909</v>
      </c>
      <c r="T91" s="582"/>
      <c r="U91" s="582" t="s">
        <v>13009</v>
      </c>
      <c r="V91" s="582"/>
      <c r="W91" s="582" t="s">
        <v>4457</v>
      </c>
      <c r="X91" s="624" t="s">
        <v>13006</v>
      </c>
      <c r="Y91" s="580" t="s">
        <v>1199</v>
      </c>
      <c r="Z91" s="584">
        <v>4.0075</v>
      </c>
      <c r="AA91" s="585">
        <f t="shared" ref="AA91:AA94" si="122">Z91*I91</f>
        <v>5482.26</v>
      </c>
      <c r="AB91" s="580"/>
      <c r="AC91" s="580" t="s">
        <v>9154</v>
      </c>
      <c r="AD91" s="580" t="s">
        <v>416</v>
      </c>
      <c r="AE91" s="640"/>
      <c r="AF91" s="586">
        <f t="shared" ref="AF91:AF94" si="123">I91</f>
        <v>1368</v>
      </c>
      <c r="AG91" s="640"/>
      <c r="AH91" s="586"/>
      <c r="AI91" s="640"/>
      <c r="AJ91" s="586"/>
      <c r="AK91" s="594"/>
      <c r="AL91" s="587">
        <f t="shared" ref="AL91:AL94" si="124">I91</f>
        <v>1368</v>
      </c>
      <c r="AM91" s="587"/>
      <c r="AN91" s="587"/>
      <c r="AO91" s="588"/>
      <c r="AP91" s="595"/>
      <c r="AQ91" s="594"/>
      <c r="AR91" s="594"/>
      <c r="AS91" s="596"/>
      <c r="AT91" s="589">
        <f t="shared" si="115"/>
        <v>342</v>
      </c>
      <c r="AU91" s="587">
        <f t="shared" si="116"/>
        <v>342</v>
      </c>
      <c r="AV91" s="587">
        <f t="shared" si="111"/>
        <v>342</v>
      </c>
      <c r="AW91" s="590">
        <f t="shared" ref="AW91:AW94" si="125">I91/4</f>
        <v>342</v>
      </c>
      <c r="AX91" s="591"/>
      <c r="AY91" s="587"/>
      <c r="AZ91" s="587"/>
      <c r="BA91" s="587"/>
      <c r="BB91" s="587"/>
      <c r="BC91" s="587"/>
      <c r="BD91" s="587"/>
      <c r="BE91" s="587"/>
      <c r="BF91" s="587">
        <f t="shared" si="117"/>
        <v>1368</v>
      </c>
      <c r="BG91" s="587"/>
      <c r="BH91" s="587" t="s">
        <v>9164</v>
      </c>
      <c r="BI91" s="594"/>
      <c r="BJ91" s="587">
        <f t="shared" ref="BJ91:BJ94" si="126">I91/4</f>
        <v>342</v>
      </c>
      <c r="BK91" s="587">
        <f t="shared" ref="BK91:BK94" si="127">I91/4</f>
        <v>342</v>
      </c>
      <c r="BL91" s="587">
        <f t="shared" ref="BL91:BL94" si="128">I91/4</f>
        <v>342</v>
      </c>
      <c r="BM91" s="592">
        <f t="shared" ref="BM91:BM94" si="129">I91/4</f>
        <v>342</v>
      </c>
      <c r="BN91" s="587">
        <f t="shared" ref="BN91:BN94" si="130">BJ91+BK91+BL91+BM91-I91</f>
        <v>0</v>
      </c>
      <c r="BO91" s="592">
        <f>BJ91+BK91+BL91+BM91+'92107'!$BS$369</f>
        <v>513848</v>
      </c>
      <c r="BP91" s="592">
        <f>'取消单-1'!BP94-BJ91</f>
        <v>-32307</v>
      </c>
      <c r="BQ91" s="592">
        <f>'取消单-1'!BQ94-BK91</f>
        <v>-32307</v>
      </c>
      <c r="BR91" s="592">
        <f>'取消单-1'!BR94-BL91</f>
        <v>-32307</v>
      </c>
      <c r="BS91" s="592">
        <f>'取消单-1'!BS94-BM91</f>
        <v>-32307</v>
      </c>
      <c r="BT91" s="592"/>
      <c r="BU91" s="593"/>
      <c r="BV91" s="593"/>
      <c r="BW91" s="593"/>
      <c r="BX91" s="593"/>
    </row>
    <row r="92" s="480" customFormat="1" ht="32" customHeight="1" spans="1:244 16384:16384">
      <c r="A92" s="572">
        <v>45765</v>
      </c>
      <c r="B92" s="573" t="s">
        <v>2285</v>
      </c>
      <c r="C92" s="574" t="s">
        <v>351</v>
      </c>
      <c r="D92" s="575">
        <v>4500164094</v>
      </c>
      <c r="E92" s="624" t="s">
        <v>3336</v>
      </c>
      <c r="F92" s="575" t="s">
        <v>13010</v>
      </c>
      <c r="G92" s="578" t="s">
        <v>9154</v>
      </c>
      <c r="H92" s="579" t="s">
        <v>9155</v>
      </c>
      <c r="I92" s="580">
        <v>528</v>
      </c>
      <c r="J92" s="580">
        <v>0</v>
      </c>
      <c r="K92" s="580">
        <v>8</v>
      </c>
      <c r="L92" s="580">
        <f t="shared" si="78"/>
        <v>66</v>
      </c>
      <c r="M92" s="581">
        <v>45896</v>
      </c>
      <c r="N92" s="581">
        <v>45892</v>
      </c>
      <c r="O92" s="561" t="s">
        <v>12612</v>
      </c>
      <c r="P92" s="561"/>
      <c r="Q92" s="561"/>
      <c r="R92" s="561"/>
      <c r="S92" s="582" t="s">
        <v>3909</v>
      </c>
      <c r="T92" s="582"/>
      <c r="U92" s="582" t="s">
        <v>13009</v>
      </c>
      <c r="V92" s="582"/>
      <c r="W92" s="582" t="s">
        <v>4457</v>
      </c>
      <c r="X92" s="624" t="s">
        <v>13006</v>
      </c>
      <c r="Y92" s="580" t="s">
        <v>1199</v>
      </c>
      <c r="Z92" s="584">
        <v>4.0075</v>
      </c>
      <c r="AA92" s="585">
        <f t="shared" si="122"/>
        <v>2115.96</v>
      </c>
      <c r="AB92" s="580"/>
      <c r="AC92" s="580" t="s">
        <v>9154</v>
      </c>
      <c r="AD92" s="580" t="s">
        <v>416</v>
      </c>
      <c r="AE92" s="640"/>
      <c r="AF92" s="586">
        <f t="shared" si="123"/>
        <v>528</v>
      </c>
      <c r="AG92" s="640"/>
      <c r="AH92" s="586"/>
      <c r="AI92" s="640"/>
      <c r="AJ92" s="586"/>
      <c r="AK92" s="594"/>
      <c r="AL92" s="587">
        <f t="shared" si="124"/>
        <v>528</v>
      </c>
      <c r="AM92" s="587"/>
      <c r="AN92" s="587"/>
      <c r="AO92" s="588"/>
      <c r="AP92" s="595"/>
      <c r="AQ92" s="594"/>
      <c r="AR92" s="594"/>
      <c r="AS92" s="596"/>
      <c r="AT92" s="589">
        <f t="shared" si="115"/>
        <v>132</v>
      </c>
      <c r="AU92" s="587">
        <f t="shared" si="116"/>
        <v>132</v>
      </c>
      <c r="AV92" s="587">
        <f t="shared" si="111"/>
        <v>132</v>
      </c>
      <c r="AW92" s="590">
        <f t="shared" si="125"/>
        <v>132</v>
      </c>
      <c r="AX92" s="591"/>
      <c r="AY92" s="587"/>
      <c r="AZ92" s="587"/>
      <c r="BA92" s="587"/>
      <c r="BB92" s="587"/>
      <c r="BC92" s="587"/>
      <c r="BD92" s="587"/>
      <c r="BE92" s="587"/>
      <c r="BF92" s="587">
        <f t="shared" si="117"/>
        <v>528</v>
      </c>
      <c r="BG92" s="587"/>
      <c r="BH92" s="587" t="s">
        <v>9164</v>
      </c>
      <c r="BI92" s="594"/>
      <c r="BJ92" s="587">
        <f t="shared" si="126"/>
        <v>132</v>
      </c>
      <c r="BK92" s="587">
        <f t="shared" si="127"/>
        <v>132</v>
      </c>
      <c r="BL92" s="587">
        <f t="shared" si="128"/>
        <v>132</v>
      </c>
      <c r="BM92" s="592">
        <f t="shared" si="129"/>
        <v>132</v>
      </c>
      <c r="BN92" s="587">
        <f t="shared" si="130"/>
        <v>0</v>
      </c>
      <c r="BO92" s="592">
        <f>BJ92+BK92+BL92+BM92+'92107'!$BS$369</f>
        <v>513008</v>
      </c>
      <c r="BP92" s="592">
        <f t="shared" ref="BP92:BS92" si="131">BP91-BJ92</f>
        <v>-32439</v>
      </c>
      <c r="BQ92" s="592">
        <f t="shared" si="131"/>
        <v>-32439</v>
      </c>
      <c r="BR92" s="592">
        <f t="shared" si="131"/>
        <v>-32439</v>
      </c>
      <c r="BS92" s="592">
        <f t="shared" si="131"/>
        <v>-32439</v>
      </c>
      <c r="BT92" s="592"/>
      <c r="BU92" s="593"/>
      <c r="BV92" s="593"/>
      <c r="BW92" s="593"/>
      <c r="BX92" s="593"/>
    </row>
    <row r="93" s="480" customFormat="1" ht="32" customHeight="1" spans="1:244 16384:16384">
      <c r="A93" s="572">
        <v>45765</v>
      </c>
      <c r="B93" s="573" t="s">
        <v>2285</v>
      </c>
      <c r="C93" s="574" t="s">
        <v>351</v>
      </c>
      <c r="D93" s="575">
        <v>4500164050</v>
      </c>
      <c r="E93" s="624" t="s">
        <v>3330</v>
      </c>
      <c r="F93" s="575" t="s">
        <v>13011</v>
      </c>
      <c r="G93" s="578" t="s">
        <v>9154</v>
      </c>
      <c r="H93" s="579" t="s">
        <v>9155</v>
      </c>
      <c r="I93" s="580">
        <v>2112</v>
      </c>
      <c r="J93" s="580">
        <v>0</v>
      </c>
      <c r="K93" s="580">
        <v>8</v>
      </c>
      <c r="L93" s="580">
        <f t="shared" si="78"/>
        <v>264</v>
      </c>
      <c r="M93" s="581">
        <v>45866</v>
      </c>
      <c r="N93" s="581">
        <v>45862</v>
      </c>
      <c r="O93" s="561" t="s">
        <v>12612</v>
      </c>
      <c r="P93" s="561"/>
      <c r="Q93" s="561"/>
      <c r="R93" s="561"/>
      <c r="S93" s="582" t="s">
        <v>3909</v>
      </c>
      <c r="T93" s="582"/>
      <c r="U93" s="582" t="s">
        <v>13012</v>
      </c>
      <c r="V93" s="582"/>
      <c r="W93" s="582" t="s">
        <v>4457</v>
      </c>
      <c r="X93" s="624" t="s">
        <v>13013</v>
      </c>
      <c r="Y93" s="580" t="s">
        <v>1199</v>
      </c>
      <c r="Z93" s="584">
        <v>3.9964</v>
      </c>
      <c r="AA93" s="585">
        <f t="shared" si="122"/>
        <v>8440.3968</v>
      </c>
      <c r="AB93" s="580"/>
      <c r="AC93" s="580" t="s">
        <v>9154</v>
      </c>
      <c r="AD93" s="580" t="s">
        <v>416</v>
      </c>
      <c r="AE93" s="640"/>
      <c r="AF93" s="586">
        <f t="shared" si="123"/>
        <v>2112</v>
      </c>
      <c r="AG93" s="640"/>
      <c r="AH93" s="586"/>
      <c r="AI93" s="640"/>
      <c r="AJ93" s="586"/>
      <c r="AK93" s="594"/>
      <c r="AL93" s="587">
        <f t="shared" si="124"/>
        <v>2112</v>
      </c>
      <c r="AM93" s="587"/>
      <c r="AN93" s="587"/>
      <c r="AO93" s="588"/>
      <c r="AP93" s="595"/>
      <c r="AQ93" s="594"/>
      <c r="AR93" s="594"/>
      <c r="AS93" s="596"/>
      <c r="AT93" s="589">
        <f t="shared" si="115"/>
        <v>528</v>
      </c>
      <c r="AU93" s="587">
        <f t="shared" si="116"/>
        <v>528</v>
      </c>
      <c r="AV93" s="587">
        <f t="shared" si="111"/>
        <v>528</v>
      </c>
      <c r="AW93" s="590">
        <f t="shared" si="125"/>
        <v>528</v>
      </c>
      <c r="AX93" s="591"/>
      <c r="AY93" s="587"/>
      <c r="AZ93" s="587"/>
      <c r="BA93" s="587"/>
      <c r="BB93" s="587"/>
      <c r="BC93" s="587"/>
      <c r="BD93" s="587"/>
      <c r="BE93" s="587"/>
      <c r="BF93" s="587">
        <f t="shared" si="117"/>
        <v>2112</v>
      </c>
      <c r="BG93" s="587"/>
      <c r="BH93" s="587" t="s">
        <v>9164</v>
      </c>
      <c r="BI93" s="594"/>
      <c r="BJ93" s="587">
        <f t="shared" si="126"/>
        <v>528</v>
      </c>
      <c r="BK93" s="587">
        <f t="shared" si="127"/>
        <v>528</v>
      </c>
      <c r="BL93" s="587">
        <f t="shared" si="128"/>
        <v>528</v>
      </c>
      <c r="BM93" s="592">
        <f t="shared" si="129"/>
        <v>528</v>
      </c>
      <c r="BN93" s="587">
        <f t="shared" si="130"/>
        <v>0</v>
      </c>
      <c r="BO93" s="592">
        <f>BJ93+BK93+BL93+BM93+'92107'!$BS$369</f>
        <v>514592</v>
      </c>
      <c r="BP93" s="592">
        <f>'92107'!BT200-BJ93</f>
        <v>-31759</v>
      </c>
      <c r="BQ93" s="592">
        <f>'92107'!BU200-BK93</f>
        <v>-31759</v>
      </c>
      <c r="BR93" s="592">
        <f>'92107'!BV200-BL93</f>
        <v>-31759</v>
      </c>
      <c r="BS93" s="592">
        <f>'92107'!BW200-BM93</f>
        <v>-31759</v>
      </c>
      <c r="BT93" s="592"/>
      <c r="BU93" s="593"/>
      <c r="BV93" s="593"/>
      <c r="BW93" s="593"/>
      <c r="BX93" s="593"/>
    </row>
    <row r="94" s="480" customFormat="1" ht="32" customHeight="1" spans="1:244 16384:16384">
      <c r="A94" s="572">
        <v>45765</v>
      </c>
      <c r="B94" s="573" t="s">
        <v>2285</v>
      </c>
      <c r="C94" s="574" t="s">
        <v>351</v>
      </c>
      <c r="D94" s="575">
        <v>4500164050</v>
      </c>
      <c r="E94" s="624" t="s">
        <v>3336</v>
      </c>
      <c r="F94" s="575" t="s">
        <v>13014</v>
      </c>
      <c r="G94" s="578" t="s">
        <v>9154</v>
      </c>
      <c r="H94" s="579" t="s">
        <v>9155</v>
      </c>
      <c r="I94" s="580">
        <v>824</v>
      </c>
      <c r="J94" s="580">
        <v>0</v>
      </c>
      <c r="K94" s="580">
        <v>8</v>
      </c>
      <c r="L94" s="580">
        <f t="shared" si="78"/>
        <v>103</v>
      </c>
      <c r="M94" s="581">
        <v>45866</v>
      </c>
      <c r="N94" s="581">
        <v>45862</v>
      </c>
      <c r="O94" s="561" t="s">
        <v>12612</v>
      </c>
      <c r="P94" s="561"/>
      <c r="Q94" s="561"/>
      <c r="R94" s="561"/>
      <c r="S94" s="582" t="s">
        <v>3909</v>
      </c>
      <c r="T94" s="582"/>
      <c r="U94" s="582" t="s">
        <v>13012</v>
      </c>
      <c r="V94" s="582"/>
      <c r="W94" s="582" t="s">
        <v>4457</v>
      </c>
      <c r="X94" s="624" t="s">
        <v>13013</v>
      </c>
      <c r="Y94" s="580" t="s">
        <v>1199</v>
      </c>
      <c r="Z94" s="584">
        <v>3.9964</v>
      </c>
      <c r="AA94" s="585">
        <f t="shared" si="122"/>
        <v>3293.0336</v>
      </c>
      <c r="AB94" s="580"/>
      <c r="AC94" s="580" t="s">
        <v>9154</v>
      </c>
      <c r="AD94" s="580" t="s">
        <v>416</v>
      </c>
      <c r="AE94" s="640"/>
      <c r="AF94" s="586">
        <f t="shared" si="123"/>
        <v>824</v>
      </c>
      <c r="AG94" s="640"/>
      <c r="AH94" s="586"/>
      <c r="AI94" s="640"/>
      <c r="AJ94" s="586"/>
      <c r="AK94" s="594"/>
      <c r="AL94" s="587">
        <f t="shared" si="124"/>
        <v>824</v>
      </c>
      <c r="AM94" s="587"/>
      <c r="AN94" s="587"/>
      <c r="AO94" s="588"/>
      <c r="AP94" s="595"/>
      <c r="AQ94" s="594"/>
      <c r="AR94" s="594"/>
      <c r="AS94" s="596"/>
      <c r="AT94" s="589">
        <f t="shared" si="115"/>
        <v>206</v>
      </c>
      <c r="AU94" s="587">
        <f t="shared" si="116"/>
        <v>206</v>
      </c>
      <c r="AV94" s="587">
        <f t="shared" si="111"/>
        <v>206</v>
      </c>
      <c r="AW94" s="590">
        <f t="shared" si="125"/>
        <v>206</v>
      </c>
      <c r="AX94" s="591"/>
      <c r="AY94" s="587"/>
      <c r="AZ94" s="587"/>
      <c r="BA94" s="587"/>
      <c r="BB94" s="587"/>
      <c r="BC94" s="587"/>
      <c r="BD94" s="587"/>
      <c r="BE94" s="587"/>
      <c r="BF94" s="587">
        <f t="shared" si="117"/>
        <v>824</v>
      </c>
      <c r="BG94" s="587"/>
      <c r="BH94" s="587" t="s">
        <v>9164</v>
      </c>
      <c r="BI94" s="594"/>
      <c r="BJ94" s="587">
        <f t="shared" si="126"/>
        <v>206</v>
      </c>
      <c r="BK94" s="587">
        <f t="shared" si="127"/>
        <v>206</v>
      </c>
      <c r="BL94" s="587">
        <f t="shared" si="128"/>
        <v>206</v>
      </c>
      <c r="BM94" s="592">
        <f t="shared" si="129"/>
        <v>206</v>
      </c>
      <c r="BN94" s="587">
        <f t="shared" si="130"/>
        <v>0</v>
      </c>
      <c r="BO94" s="592">
        <f>BJ94+BK94+BL94+BM94+'92107'!$BS$369</f>
        <v>513304</v>
      </c>
      <c r="BP94" s="592">
        <f t="shared" ref="BP94:BS94" si="132">BP93-BJ94</f>
        <v>-31965</v>
      </c>
      <c r="BQ94" s="592">
        <f t="shared" si="132"/>
        <v>-31965</v>
      </c>
      <c r="BR94" s="592">
        <f t="shared" si="132"/>
        <v>-31965</v>
      </c>
      <c r="BS94" s="592">
        <f t="shared" si="132"/>
        <v>-31965</v>
      </c>
      <c r="BT94" s="592"/>
      <c r="BU94" s="593"/>
      <c r="BV94" s="593"/>
      <c r="BW94" s="593"/>
      <c r="BX94" s="593"/>
    </row>
    <row r="95" s="480" customFormat="1" ht="32" customHeight="1" spans="1:244 16384:16384">
      <c r="A95" s="639">
        <v>45765</v>
      </c>
      <c r="B95" s="573" t="s">
        <v>2285</v>
      </c>
      <c r="C95" s="574" t="s">
        <v>351</v>
      </c>
      <c r="D95" s="575">
        <v>4500164050</v>
      </c>
      <c r="E95" s="576" t="s">
        <v>3330</v>
      </c>
      <c r="F95" s="575" t="s">
        <v>13015</v>
      </c>
      <c r="G95" s="578" t="s">
        <v>10199</v>
      </c>
      <c r="H95" s="579" t="s">
        <v>9155</v>
      </c>
      <c r="I95" s="580">
        <v>1372</v>
      </c>
      <c r="J95" s="580">
        <v>0</v>
      </c>
      <c r="K95" s="580">
        <v>4</v>
      </c>
      <c r="L95" s="580">
        <f t="shared" si="78"/>
        <v>343</v>
      </c>
      <c r="M95" s="581">
        <v>45866</v>
      </c>
      <c r="N95" s="581">
        <v>45862</v>
      </c>
      <c r="O95" s="561" t="s">
        <v>12612</v>
      </c>
      <c r="P95" s="561"/>
      <c r="Q95" s="561"/>
      <c r="R95" s="582" t="s">
        <v>3909</v>
      </c>
      <c r="S95" s="582"/>
      <c r="T95" s="582" t="s">
        <v>13012</v>
      </c>
      <c r="U95" s="582"/>
      <c r="V95" s="582" t="s">
        <v>4457</v>
      </c>
      <c r="W95" s="583" t="s">
        <v>13013</v>
      </c>
      <c r="X95" s="580" t="s">
        <v>1199</v>
      </c>
      <c r="Y95" s="584">
        <v>6.8678</v>
      </c>
      <c r="Z95" s="585">
        <f>Y95*I95</f>
        <v>9422.6216</v>
      </c>
      <c r="AA95" s="580"/>
      <c r="AB95" s="573" t="s">
        <v>10312</v>
      </c>
      <c r="AC95" s="580" t="s">
        <v>416</v>
      </c>
      <c r="AD95" s="586">
        <f>I95</f>
        <v>1372</v>
      </c>
      <c r="AE95" s="586"/>
      <c r="AF95" s="640"/>
      <c r="AG95" s="586"/>
      <c r="AH95" s="586"/>
      <c r="AI95" s="586"/>
      <c r="AJ95" s="587">
        <f t="shared" ref="AJ95:AJ97" si="133">I95</f>
        <v>1372</v>
      </c>
      <c r="AK95" s="587"/>
      <c r="AL95" s="587"/>
      <c r="AM95" s="587"/>
      <c r="AN95" s="634"/>
      <c r="AO95" s="568"/>
      <c r="AP95" s="524"/>
      <c r="AQ95" s="524">
        <f>I95/4</f>
        <v>343</v>
      </c>
      <c r="AR95" s="569"/>
      <c r="AS95" s="568">
        <f>I95/4</f>
        <v>343</v>
      </c>
      <c r="AT95" s="524">
        <f t="shared" si="115"/>
        <v>343</v>
      </c>
      <c r="AU95" s="524"/>
      <c r="AV95" s="569">
        <f t="shared" si="111"/>
        <v>343</v>
      </c>
      <c r="AW95" s="589"/>
      <c r="AX95" s="587"/>
      <c r="AY95" s="587"/>
      <c r="AZ95" s="590"/>
      <c r="BA95" s="589"/>
      <c r="BB95" s="590"/>
      <c r="BC95" s="591"/>
      <c r="BD95" s="587">
        <f>I95</f>
        <v>1372</v>
      </c>
      <c r="BE95" s="587"/>
      <c r="BF95" s="587"/>
      <c r="BG95" s="587" t="s">
        <v>9164</v>
      </c>
      <c r="BH95" s="587"/>
      <c r="BI95" s="587">
        <f>I95/4</f>
        <v>343</v>
      </c>
      <c r="BJ95" s="587">
        <f t="shared" ref="BJ95:BP95" si="134">BI95</f>
        <v>343</v>
      </c>
      <c r="BK95" s="587">
        <f t="shared" si="134"/>
        <v>343</v>
      </c>
      <c r="BL95" s="587">
        <f t="shared" si="134"/>
        <v>343</v>
      </c>
      <c r="BM95" s="592">
        <f t="shared" si="134"/>
        <v>343</v>
      </c>
      <c r="BN95" s="587">
        <f t="shared" si="134"/>
        <v>343</v>
      </c>
      <c r="BO95" s="592">
        <f t="shared" si="134"/>
        <v>343</v>
      </c>
      <c r="BP95" s="587">
        <f t="shared" si="134"/>
        <v>343</v>
      </c>
      <c r="BQ95" s="592">
        <f>'92108'!$BQ$136+BJ95+BL95+BN95+BP95</f>
        <v>239397</v>
      </c>
      <c r="BR95" s="592">
        <f>'92108'!BR74-BI95</f>
        <v>16672.5</v>
      </c>
      <c r="BS95" s="592">
        <f>'92108'!BS74-BJ95</f>
        <v>-1405</v>
      </c>
      <c r="BT95" s="592">
        <f>'92108'!BT74-BK95</f>
        <v>-1405</v>
      </c>
      <c r="BU95" s="592">
        <f>'92108'!BU74-BL95</f>
        <v>-1405</v>
      </c>
      <c r="BV95" s="592">
        <f>'92108'!BV74-BM95</f>
        <v>-1405</v>
      </c>
      <c r="BW95" s="592">
        <f>'92108'!BW74-BN95</f>
        <v>-1405</v>
      </c>
      <c r="BX95" s="592">
        <f>'92108'!BX74-BO95</f>
        <v>-1405</v>
      </c>
      <c r="BY95" s="592">
        <f>'92108'!BY74-BP95</f>
        <v>-1405</v>
      </c>
      <c r="BZ95" s="593"/>
      <c r="CA95" s="593"/>
      <c r="CB95" s="593"/>
      <c r="CC95" s="593"/>
      <c r="CD95" s="593"/>
      <c r="CE95" s="593"/>
      <c r="CF95" s="593"/>
      <c r="CG95" s="593"/>
      <c r="CH95" s="593"/>
      <c r="CI95" s="593"/>
      <c r="CJ95" s="593"/>
      <c r="CK95" s="593"/>
      <c r="CL95" s="593"/>
      <c r="CM95" s="593"/>
      <c r="CN95" s="593"/>
      <c r="CO95" s="593"/>
      <c r="CP95" s="593"/>
      <c r="CQ95" s="593"/>
      <c r="CR95" s="593"/>
      <c r="CS95" s="593"/>
      <c r="CT95" s="593"/>
      <c r="CU95" s="593"/>
      <c r="CV95" s="593"/>
      <c r="CW95" s="593"/>
      <c r="CX95" s="593"/>
      <c r="CY95" s="593"/>
      <c r="CZ95" s="593"/>
      <c r="DA95" s="593"/>
      <c r="DB95" s="593"/>
      <c r="DC95" s="593"/>
      <c r="DD95" s="593"/>
      <c r="DE95" s="593"/>
      <c r="DF95" s="593"/>
      <c r="DG95" s="593"/>
      <c r="DH95" s="593"/>
      <c r="DI95" s="593"/>
      <c r="DJ95" s="593"/>
      <c r="DK95" s="593"/>
      <c r="DL95" s="593"/>
      <c r="DM95" s="593"/>
      <c r="DN95" s="593"/>
      <c r="DO95" s="593"/>
      <c r="DP95" s="593"/>
      <c r="DQ95" s="593"/>
      <c r="DR95" s="593"/>
      <c r="DS95" s="593"/>
      <c r="DT95" s="593"/>
      <c r="DU95" s="593"/>
      <c r="DV95" s="593"/>
      <c r="DW95" s="593"/>
      <c r="DX95" s="593"/>
      <c r="DY95" s="593"/>
      <c r="DZ95" s="593"/>
      <c r="EA95" s="593"/>
      <c r="EB95" s="593"/>
      <c r="EC95" s="593"/>
      <c r="ED95" s="593"/>
      <c r="EE95" s="593"/>
      <c r="EF95" s="593"/>
      <c r="EG95" s="593"/>
      <c r="EH95" s="593"/>
      <c r="EI95" s="593"/>
      <c r="EJ95" s="593"/>
      <c r="EK95" s="593"/>
      <c r="EL95" s="593"/>
      <c r="EM95" s="593"/>
      <c r="EN95" s="593"/>
      <c r="EO95" s="593"/>
      <c r="EP95" s="593"/>
      <c r="EQ95" s="593"/>
      <c r="ER95" s="593"/>
      <c r="ES95" s="593"/>
      <c r="ET95" s="593"/>
      <c r="EU95" s="593"/>
      <c r="EV95" s="593"/>
      <c r="EW95" s="593"/>
      <c r="EX95" s="593"/>
      <c r="EY95" s="593"/>
      <c r="EZ95" s="593"/>
      <c r="FA95" s="593"/>
      <c r="FB95" s="593"/>
      <c r="FC95" s="593"/>
      <c r="FD95" s="593"/>
      <c r="FE95" s="593"/>
      <c r="FF95" s="593"/>
      <c r="FG95" s="593"/>
      <c r="FH95" s="593"/>
      <c r="FI95" s="593"/>
      <c r="FJ95" s="593"/>
      <c r="FK95" s="593"/>
      <c r="FL95" s="593"/>
      <c r="FM95" s="593"/>
      <c r="FN95" s="593"/>
      <c r="FO95" s="593"/>
      <c r="FP95" s="593"/>
      <c r="FQ95" s="593"/>
      <c r="FR95" s="593"/>
      <c r="FS95" s="593"/>
      <c r="FT95" s="593"/>
      <c r="FU95" s="593"/>
      <c r="FV95" s="593"/>
      <c r="FW95" s="593"/>
      <c r="FX95" s="593"/>
      <c r="FY95" s="593"/>
      <c r="FZ95" s="593"/>
      <c r="GA95" s="593"/>
      <c r="GB95" s="593"/>
      <c r="GC95" s="593"/>
      <c r="GD95" s="593"/>
      <c r="GE95" s="593"/>
      <c r="GF95" s="593"/>
      <c r="GG95" s="593"/>
      <c r="GH95" s="593"/>
      <c r="GI95" s="593"/>
      <c r="GJ95" s="593"/>
      <c r="GK95" s="593"/>
      <c r="GL95" s="593"/>
      <c r="GM95" s="593"/>
      <c r="GN95" s="593"/>
      <c r="GO95" s="593"/>
      <c r="GP95" s="593"/>
      <c r="GQ95" s="593"/>
      <c r="GR95" s="593"/>
      <c r="GS95" s="593"/>
      <c r="GT95" s="593"/>
      <c r="GU95" s="593"/>
      <c r="GV95" s="593"/>
      <c r="GW95" s="593"/>
      <c r="GX95" s="593"/>
      <c r="GY95" s="593"/>
      <c r="GZ95" s="593"/>
      <c r="HA95" s="593"/>
      <c r="HB95" s="593"/>
      <c r="HC95" s="593"/>
      <c r="HD95" s="593"/>
      <c r="HE95" s="593"/>
      <c r="HF95" s="593"/>
      <c r="HG95" s="593"/>
      <c r="HH95" s="593"/>
      <c r="HI95" s="593"/>
      <c r="HJ95" s="593"/>
      <c r="HK95" s="593"/>
      <c r="HL95" s="593"/>
      <c r="HM95" s="593"/>
      <c r="HN95" s="593"/>
      <c r="HO95" s="593"/>
      <c r="HP95" s="593"/>
      <c r="HQ95" s="593"/>
      <c r="HR95" s="593"/>
      <c r="HS95" s="593"/>
      <c r="HT95" s="593"/>
      <c r="HU95" s="593"/>
      <c r="HV95" s="593"/>
      <c r="HW95" s="593"/>
      <c r="HX95" s="593"/>
      <c r="HY95" s="593"/>
      <c r="HZ95" s="593"/>
      <c r="IA95" s="593"/>
      <c r="IB95" s="593"/>
      <c r="IC95" s="593"/>
      <c r="ID95" s="593"/>
      <c r="IE95" s="593"/>
      <c r="IF95" s="593"/>
      <c r="IG95" s="593"/>
      <c r="IH95" s="593"/>
      <c r="II95" s="593"/>
      <c r="IJ95" s="593"/>
    </row>
    <row r="96" s="480" customFormat="1" ht="32" customHeight="1" spans="1:244 16384:16384">
      <c r="A96" s="639">
        <v>45765</v>
      </c>
      <c r="B96" s="573" t="s">
        <v>2285</v>
      </c>
      <c r="C96" s="574" t="s">
        <v>351</v>
      </c>
      <c r="D96" s="575">
        <v>4500164050</v>
      </c>
      <c r="E96" s="576" t="s">
        <v>3336</v>
      </c>
      <c r="F96" s="575" t="s">
        <v>13016</v>
      </c>
      <c r="G96" s="578" t="s">
        <v>10199</v>
      </c>
      <c r="H96" s="579" t="s">
        <v>9155</v>
      </c>
      <c r="I96" s="580">
        <v>532</v>
      </c>
      <c r="J96" s="580">
        <v>0</v>
      </c>
      <c r="K96" s="580">
        <v>4</v>
      </c>
      <c r="L96" s="580">
        <f t="shared" si="78"/>
        <v>133</v>
      </c>
      <c r="M96" s="581">
        <v>45866</v>
      </c>
      <c r="N96" s="581">
        <v>45862</v>
      </c>
      <c r="O96" s="561" t="s">
        <v>12612</v>
      </c>
      <c r="P96" s="561"/>
      <c r="Q96" s="561"/>
      <c r="R96" s="582" t="s">
        <v>3909</v>
      </c>
      <c r="S96" s="582"/>
      <c r="T96" s="582" t="s">
        <v>13012</v>
      </c>
      <c r="U96" s="582"/>
      <c r="V96" s="582" t="s">
        <v>4457</v>
      </c>
      <c r="W96" s="583" t="s">
        <v>13013</v>
      </c>
      <c r="X96" s="580" t="s">
        <v>1199</v>
      </c>
      <c r="Y96" s="584">
        <v>7.1595</v>
      </c>
      <c r="Z96" s="585">
        <f>Y96*I96</f>
        <v>3808.854</v>
      </c>
      <c r="AA96" s="580"/>
      <c r="AB96" s="573" t="s">
        <v>10312</v>
      </c>
      <c r="AC96" s="580" t="s">
        <v>416</v>
      </c>
      <c r="AD96" s="586">
        <f>I96</f>
        <v>532</v>
      </c>
      <c r="AE96" s="586"/>
      <c r="AF96" s="640"/>
      <c r="AG96" s="586"/>
      <c r="AH96" s="586"/>
      <c r="AI96" s="586"/>
      <c r="AJ96" s="587">
        <f t="shared" si="133"/>
        <v>532</v>
      </c>
      <c r="AK96" s="587"/>
      <c r="AL96" s="587"/>
      <c r="AM96" s="587"/>
      <c r="AN96" s="634"/>
      <c r="AO96" s="568"/>
      <c r="AP96" s="524"/>
      <c r="AQ96" s="524">
        <f>I96/4</f>
        <v>133</v>
      </c>
      <c r="AR96" s="569"/>
      <c r="AS96" s="568">
        <f>I96/4</f>
        <v>133</v>
      </c>
      <c r="AT96" s="524">
        <f t="shared" si="115"/>
        <v>133</v>
      </c>
      <c r="AU96" s="524"/>
      <c r="AV96" s="569">
        <f t="shared" si="111"/>
        <v>133</v>
      </c>
      <c r="AW96" s="589"/>
      <c r="AX96" s="587"/>
      <c r="AY96" s="587"/>
      <c r="AZ96" s="590"/>
      <c r="BA96" s="589"/>
      <c r="BB96" s="590"/>
      <c r="BC96" s="591"/>
      <c r="BD96" s="587">
        <f>I96</f>
        <v>532</v>
      </c>
      <c r="BE96" s="587"/>
      <c r="BF96" s="587"/>
      <c r="BG96" s="587" t="s">
        <v>9164</v>
      </c>
      <c r="BH96" s="587"/>
      <c r="BI96" s="587">
        <f>I96/4</f>
        <v>133</v>
      </c>
      <c r="BJ96" s="587">
        <f t="shared" ref="BJ96:BP96" si="135">BI96</f>
        <v>133</v>
      </c>
      <c r="BK96" s="587">
        <f t="shared" si="135"/>
        <v>133</v>
      </c>
      <c r="BL96" s="587">
        <f t="shared" si="135"/>
        <v>133</v>
      </c>
      <c r="BM96" s="592">
        <f t="shared" si="135"/>
        <v>133</v>
      </c>
      <c r="BN96" s="587">
        <f t="shared" si="135"/>
        <v>133</v>
      </c>
      <c r="BO96" s="592">
        <f t="shared" si="135"/>
        <v>133</v>
      </c>
      <c r="BP96" s="587">
        <f t="shared" si="135"/>
        <v>133</v>
      </c>
      <c r="BQ96" s="592">
        <f>'92108'!$BQ$136+BJ96+BL96+BN96+BP96</f>
        <v>238557</v>
      </c>
      <c r="BR96" s="592">
        <f t="shared" ref="BR96:BY96" si="136">BR95-BI96</f>
        <v>16539.5</v>
      </c>
      <c r="BS96" s="592">
        <f t="shared" si="136"/>
        <v>-1538</v>
      </c>
      <c r="BT96" s="592">
        <f t="shared" si="136"/>
        <v>-1538</v>
      </c>
      <c r="BU96" s="592">
        <f t="shared" si="136"/>
        <v>-1538</v>
      </c>
      <c r="BV96" s="592">
        <f t="shared" si="136"/>
        <v>-1538</v>
      </c>
      <c r="BW96" s="592">
        <f t="shared" si="136"/>
        <v>-1538</v>
      </c>
      <c r="BX96" s="592">
        <f t="shared" si="136"/>
        <v>-1538</v>
      </c>
      <c r="BY96" s="592">
        <f t="shared" si="136"/>
        <v>-1538</v>
      </c>
      <c r="BZ96" s="593"/>
      <c r="CA96" s="593"/>
      <c r="CB96" s="593"/>
      <c r="CC96" s="593"/>
      <c r="CD96" s="593"/>
      <c r="CE96" s="593"/>
      <c r="CF96" s="593"/>
      <c r="CG96" s="593"/>
      <c r="CH96" s="593"/>
      <c r="CI96" s="593"/>
      <c r="CJ96" s="593"/>
      <c r="CK96" s="593"/>
      <c r="CL96" s="593"/>
      <c r="CM96" s="593"/>
      <c r="CN96" s="593"/>
      <c r="CO96" s="593"/>
      <c r="CP96" s="593"/>
      <c r="CQ96" s="593"/>
      <c r="CR96" s="593"/>
      <c r="CS96" s="593"/>
      <c r="CT96" s="593"/>
      <c r="CU96" s="593"/>
      <c r="CV96" s="593"/>
      <c r="CW96" s="593"/>
      <c r="CX96" s="593"/>
      <c r="CY96" s="593"/>
      <c r="CZ96" s="593"/>
      <c r="DA96" s="593"/>
      <c r="DB96" s="593"/>
      <c r="DC96" s="593"/>
      <c r="DD96" s="593"/>
      <c r="DE96" s="593"/>
      <c r="DF96" s="593"/>
      <c r="DG96" s="593"/>
      <c r="DH96" s="593"/>
      <c r="DI96" s="593"/>
      <c r="DJ96" s="593"/>
      <c r="DK96" s="593"/>
      <c r="DL96" s="593"/>
      <c r="DM96" s="593"/>
      <c r="DN96" s="593"/>
      <c r="DO96" s="593"/>
      <c r="DP96" s="593"/>
      <c r="DQ96" s="593"/>
      <c r="DR96" s="593"/>
      <c r="DS96" s="593"/>
      <c r="DT96" s="593"/>
      <c r="DU96" s="593"/>
      <c r="DV96" s="593"/>
      <c r="DW96" s="593"/>
      <c r="DX96" s="593"/>
      <c r="DY96" s="593"/>
      <c r="DZ96" s="593"/>
      <c r="EA96" s="593"/>
      <c r="EB96" s="593"/>
      <c r="EC96" s="593"/>
      <c r="ED96" s="593"/>
      <c r="EE96" s="593"/>
      <c r="EF96" s="593"/>
      <c r="EG96" s="593"/>
      <c r="EH96" s="593"/>
      <c r="EI96" s="593"/>
      <c r="EJ96" s="593"/>
      <c r="EK96" s="593"/>
      <c r="EL96" s="593"/>
      <c r="EM96" s="593"/>
      <c r="EN96" s="593"/>
      <c r="EO96" s="593"/>
      <c r="EP96" s="593"/>
      <c r="EQ96" s="593"/>
      <c r="ER96" s="593"/>
      <c r="ES96" s="593"/>
      <c r="ET96" s="593"/>
      <c r="EU96" s="593"/>
      <c r="EV96" s="593"/>
      <c r="EW96" s="593"/>
      <c r="EX96" s="593"/>
      <c r="EY96" s="593"/>
      <c r="EZ96" s="593"/>
      <c r="FA96" s="593"/>
      <c r="FB96" s="593"/>
      <c r="FC96" s="593"/>
      <c r="FD96" s="593"/>
      <c r="FE96" s="593"/>
      <c r="FF96" s="593"/>
      <c r="FG96" s="593"/>
      <c r="FH96" s="593"/>
      <c r="FI96" s="593"/>
      <c r="FJ96" s="593"/>
      <c r="FK96" s="593"/>
      <c r="FL96" s="593"/>
      <c r="FM96" s="593"/>
      <c r="FN96" s="593"/>
      <c r="FO96" s="593"/>
      <c r="FP96" s="593"/>
      <c r="FQ96" s="593"/>
      <c r="FR96" s="593"/>
      <c r="FS96" s="593"/>
      <c r="FT96" s="593"/>
      <c r="FU96" s="593"/>
      <c r="FV96" s="593"/>
      <c r="FW96" s="593"/>
      <c r="FX96" s="593"/>
      <c r="FY96" s="593"/>
      <c r="FZ96" s="593"/>
      <c r="GA96" s="593"/>
      <c r="GB96" s="593"/>
      <c r="GC96" s="593"/>
      <c r="GD96" s="593"/>
      <c r="GE96" s="593"/>
      <c r="GF96" s="593"/>
      <c r="GG96" s="593"/>
      <c r="GH96" s="593"/>
      <c r="GI96" s="593"/>
      <c r="GJ96" s="593"/>
      <c r="GK96" s="593"/>
      <c r="GL96" s="593"/>
      <c r="GM96" s="593"/>
      <c r="GN96" s="593"/>
      <c r="GO96" s="593"/>
      <c r="GP96" s="593"/>
      <c r="GQ96" s="593"/>
      <c r="GR96" s="593"/>
      <c r="GS96" s="593"/>
      <c r="GT96" s="593"/>
      <c r="GU96" s="593"/>
      <c r="GV96" s="593"/>
      <c r="GW96" s="593"/>
      <c r="GX96" s="593"/>
      <c r="GY96" s="593"/>
      <c r="GZ96" s="593"/>
      <c r="HA96" s="593"/>
      <c r="HB96" s="593"/>
      <c r="HC96" s="593"/>
      <c r="HD96" s="593"/>
      <c r="HE96" s="593"/>
      <c r="HF96" s="593"/>
      <c r="HG96" s="593"/>
      <c r="HH96" s="593"/>
      <c r="HI96" s="593"/>
      <c r="HJ96" s="593"/>
      <c r="HK96" s="593"/>
      <c r="HL96" s="593"/>
      <c r="HM96" s="593"/>
      <c r="HN96" s="593"/>
      <c r="HO96" s="593"/>
      <c r="HP96" s="593"/>
      <c r="HQ96" s="593"/>
      <c r="HR96" s="593"/>
      <c r="HS96" s="593"/>
      <c r="HT96" s="593"/>
      <c r="HU96" s="593"/>
      <c r="HV96" s="593"/>
      <c r="HW96" s="593"/>
      <c r="HX96" s="593"/>
      <c r="HY96" s="593"/>
      <c r="HZ96" s="593"/>
      <c r="IA96" s="593"/>
      <c r="IB96" s="593"/>
      <c r="IC96" s="593"/>
      <c r="ID96" s="593"/>
      <c r="IE96" s="593"/>
      <c r="IF96" s="593"/>
      <c r="IG96" s="593"/>
      <c r="IH96" s="593"/>
      <c r="II96" s="593"/>
      <c r="IJ96" s="593"/>
    </row>
    <row r="97" s="482" customFormat="1" ht="32" customHeight="1" spans="1:76">
      <c r="A97" s="641">
        <v>46015</v>
      </c>
      <c r="B97" s="642" t="s">
        <v>331</v>
      </c>
      <c r="C97" s="643" t="s">
        <v>7896</v>
      </c>
      <c r="D97" s="644">
        <v>4500189742</v>
      </c>
      <c r="E97" s="645" t="s">
        <v>9987</v>
      </c>
      <c r="F97" s="644" t="s">
        <v>13017</v>
      </c>
      <c r="G97" s="646" t="s">
        <v>9585</v>
      </c>
      <c r="H97" s="647" t="s">
        <v>9155</v>
      </c>
      <c r="I97" s="648">
        <v>1500</v>
      </c>
      <c r="J97" s="649">
        <v>0</v>
      </c>
      <c r="K97" s="649">
        <v>1</v>
      </c>
      <c r="L97" s="649">
        <f t="shared" si="78"/>
        <v>1500</v>
      </c>
      <c r="M97" s="650">
        <v>46080</v>
      </c>
      <c r="N97" s="651">
        <v>46076</v>
      </c>
      <c r="O97" s="652" t="s">
        <v>13018</v>
      </c>
      <c r="P97" s="652"/>
      <c r="Q97" s="653"/>
      <c r="R97" s="654">
        <f>Q97-I97</f>
        <v>-1500</v>
      </c>
      <c r="S97" s="653"/>
      <c r="T97" s="653"/>
      <c r="U97" s="655"/>
      <c r="V97" s="652"/>
      <c r="W97" s="647" t="s">
        <v>3121</v>
      </c>
      <c r="X97" s="656"/>
      <c r="Y97" s="656" t="s">
        <v>9985</v>
      </c>
      <c r="Z97" s="656"/>
      <c r="AA97" s="656"/>
      <c r="AB97" s="645" t="s">
        <v>13019</v>
      </c>
      <c r="AC97" s="649" t="s">
        <v>5135</v>
      </c>
      <c r="AD97" s="657">
        <v>4.1238</v>
      </c>
      <c r="AE97" s="658">
        <f>AD97*I97</f>
        <v>6185.7</v>
      </c>
      <c r="AF97" s="649"/>
      <c r="AG97" s="646" t="s">
        <v>9585</v>
      </c>
      <c r="AH97" s="649" t="s">
        <v>416</v>
      </c>
      <c r="AI97" s="659"/>
      <c r="AJ97" s="660">
        <f t="shared" si="133"/>
        <v>1500</v>
      </c>
      <c r="AK97" s="661"/>
      <c r="AL97" s="660"/>
      <c r="AM97" s="661"/>
      <c r="AN97" s="660"/>
      <c r="AO97" s="662"/>
      <c r="AP97" s="663">
        <f>I97</f>
        <v>1500</v>
      </c>
      <c r="AQ97" s="663"/>
      <c r="AR97" s="663"/>
      <c r="AS97" s="664"/>
      <c r="AT97" s="665"/>
      <c r="AU97" s="662"/>
      <c r="AV97" s="662"/>
      <c r="AW97" s="666"/>
      <c r="AX97" s="667">
        <f>I97/4</f>
        <v>375</v>
      </c>
      <c r="AY97" s="663">
        <f>I97/4</f>
        <v>375</v>
      </c>
      <c r="AZ97" s="663">
        <f>I97/4</f>
        <v>375</v>
      </c>
      <c r="BA97" s="668">
        <f>I97/4</f>
        <v>375</v>
      </c>
      <c r="BB97" s="669"/>
      <c r="BC97" s="663"/>
      <c r="BD97" s="663"/>
      <c r="BE97" s="663"/>
      <c r="BF97" s="663"/>
      <c r="BG97" s="663"/>
      <c r="BH97" s="663"/>
      <c r="BI97" s="663"/>
      <c r="BJ97" s="663">
        <f>I97</f>
        <v>1500</v>
      </c>
      <c r="BK97" s="663"/>
      <c r="BL97" s="663" t="s">
        <v>9164</v>
      </c>
      <c r="BM97" s="662"/>
      <c r="BN97" s="663">
        <f>I97/4</f>
        <v>375</v>
      </c>
      <c r="BO97" s="663">
        <f>I97/4</f>
        <v>375</v>
      </c>
      <c r="BP97" s="663">
        <f>I97/4</f>
        <v>375</v>
      </c>
      <c r="BQ97" s="670">
        <f>I97/4</f>
        <v>375</v>
      </c>
      <c r="BR97" s="663">
        <f>BN97+BO97+BP97+BQ97-I97</f>
        <v>0</v>
      </c>
      <c r="BS97" s="670">
        <v>1500</v>
      </c>
      <c r="BT97" s="670"/>
      <c r="BU97" s="670"/>
      <c r="BV97" s="670"/>
      <c r="BW97" s="670"/>
      <c r="BX97" s="670"/>
    </row>
  </sheetData>
  <sheetProtection formatCells="0" formatColumns="0" formatRows="0" insertRows="0" insertColumns="0" insertHyperlinks="0" deleteColumns="0" deleteRows="0" sort="0" autoFilter="0" pivotTables="0"/>
  <autoFilter xmlns:etc="http://www.wps.cn/officeDocument/2017/etCustomData" ref="A1:IK97" etc:filterBottomFollowUsedRange="0">
    <extLst/>
  </autoFilter>
  <conditionalFormatting sqref="S1">
    <cfRule type="cellIs" dxfId="0" priority="95" operator="equal">
      <formula>"欠"</formula>
    </cfRule>
  </conditionalFormatting>
  <conditionalFormatting sqref="U1">
    <cfRule type="containsText" dxfId="0" priority="268" operator="between" text="欠">
      <formula>NOT(ISERROR(SEARCH("欠",U1)))</formula>
    </cfRule>
  </conditionalFormatting>
  <conditionalFormatting sqref="AZ1">
    <cfRule type="expression" dxfId="2" priority="266">
      <formula>$AX$3="合计"</formula>
    </cfRule>
  </conditionalFormatting>
  <conditionalFormatting sqref="AZ1:BA1">
    <cfRule type="expression" dxfId="2" priority="265">
      <formula>$AZ$3="合计"</formula>
    </cfRule>
    <cfRule type="expression" dxfId="2" priority="264">
      <formula>$AZ1="合计"</formula>
    </cfRule>
  </conditionalFormatting>
  <conditionalFormatting sqref="BA1">
    <cfRule type="expression" dxfId="2" priority="267">
      <formula>$AX$3="合计"</formula>
    </cfRule>
  </conditionalFormatting>
  <conditionalFormatting sqref="BS1:BT1">
    <cfRule type="cellIs" dxfId="0" priority="94" operator="equal">
      <formula>"欠"</formula>
    </cfRule>
  </conditionalFormatting>
  <conditionalFormatting sqref="R2">
    <cfRule type="containsText" dxfId="0" priority="257" operator="between" text="欠">
      <formula>NOT(ISERROR(SEARCH("欠",R2)))</formula>
    </cfRule>
  </conditionalFormatting>
  <conditionalFormatting sqref="S2:T2">
    <cfRule type="containsText" dxfId="0" priority="262" operator="between" text="欠">
      <formula>NOT(ISERROR(SEARCH("欠",S2)))</formula>
    </cfRule>
  </conditionalFormatting>
  <conditionalFormatting sqref="U2">
    <cfRule type="containsText" dxfId="0" priority="263" operator="between" text="欠">
      <formula>NOT(ISERROR(SEARCH("欠",U2)))</formula>
    </cfRule>
  </conditionalFormatting>
  <conditionalFormatting sqref="AZ2">
    <cfRule type="expression" dxfId="2" priority="260">
      <formula>$AX$3="合计"</formula>
    </cfRule>
  </conditionalFormatting>
  <conditionalFormatting sqref="AZ2:BA2">
    <cfRule type="expression" dxfId="2" priority="259">
      <formula>$AZ$3="合计"</formula>
    </cfRule>
    <cfRule type="expression" dxfId="2" priority="258">
      <formula>$AZ2="合计"</formula>
    </cfRule>
  </conditionalFormatting>
  <conditionalFormatting sqref="BA2">
    <cfRule type="expression" dxfId="2" priority="261">
      <formula>$AX$3="合计"</formula>
    </cfRule>
  </conditionalFormatting>
  <conditionalFormatting sqref="R7">
    <cfRule type="containsText" dxfId="0" priority="250" operator="between" text="欠">
      <formula>NOT(ISERROR(SEARCH("欠",R7)))</formula>
    </cfRule>
  </conditionalFormatting>
  <conditionalFormatting sqref="S7">
    <cfRule type="containsText" dxfId="0" priority="249" operator="between" text="欠">
      <formula>NOT(ISERROR(SEARCH("欠",S7)))</formula>
    </cfRule>
  </conditionalFormatting>
  <conditionalFormatting sqref="T7">
    <cfRule type="containsText" dxfId="0" priority="248" operator="between" text="欠">
      <formula>NOT(ISERROR(SEARCH("欠",T7)))</formula>
    </cfRule>
  </conditionalFormatting>
  <conditionalFormatting sqref="U7">
    <cfRule type="containsText" dxfId="0" priority="252" operator="between" text="欠">
      <formula>NOT(ISERROR(SEARCH("欠",U7)))</formula>
    </cfRule>
  </conditionalFormatting>
  <conditionalFormatting sqref="AU7">
    <cfRule type="expression" dxfId="2" priority="251">
      <formula>$AU$3="合计"</formula>
    </cfRule>
  </conditionalFormatting>
  <conditionalFormatting sqref="R8">
    <cfRule type="containsText" dxfId="0" priority="243" operator="between" text="欠">
      <formula>NOT(ISERROR(SEARCH("欠",R8)))</formula>
    </cfRule>
  </conditionalFormatting>
  <conditionalFormatting sqref="S8">
    <cfRule type="containsText" dxfId="0" priority="242" operator="between" text="欠">
      <formula>NOT(ISERROR(SEARCH("欠",S8)))</formula>
    </cfRule>
  </conditionalFormatting>
  <conditionalFormatting sqref="T8">
    <cfRule type="containsText" dxfId="0" priority="241" operator="between" text="欠">
      <formula>NOT(ISERROR(SEARCH("欠",T8)))</formula>
    </cfRule>
  </conditionalFormatting>
  <conditionalFormatting sqref="AZ8">
    <cfRule type="expression" dxfId="2" priority="246">
      <formula>$AX$3="合计"</formula>
    </cfRule>
  </conditionalFormatting>
  <conditionalFormatting sqref="AZ8:BA8">
    <cfRule type="expression" dxfId="2" priority="245">
      <formula>$AZ$3="合计"</formula>
    </cfRule>
    <cfRule type="expression" dxfId="2" priority="244">
      <formula>$AZ8="合计"</formula>
    </cfRule>
  </conditionalFormatting>
  <conditionalFormatting sqref="BA8">
    <cfRule type="expression" dxfId="2" priority="247">
      <formula>$AX$3="合计"</formula>
    </cfRule>
  </conditionalFormatting>
  <conditionalFormatting sqref="S13">
    <cfRule type="containsText" dxfId="0" priority="234" operator="between" text="欠">
      <formula>NOT(ISERROR(SEARCH("欠",S13)))</formula>
    </cfRule>
  </conditionalFormatting>
  <conditionalFormatting sqref="U13">
    <cfRule type="containsText" dxfId="0" priority="235" operator="between" text="欠">
      <formula>NOT(ISERROR(SEARCH("欠",U13)))</formula>
    </cfRule>
  </conditionalFormatting>
  <conditionalFormatting sqref="BA13">
    <cfRule type="expression" dxfId="2" priority="232">
      <formula>$AY$3="合计"</formula>
    </cfRule>
  </conditionalFormatting>
  <conditionalFormatting sqref="BA13:BB13">
    <cfRule type="expression" dxfId="2" priority="231">
      <formula>$BA$3="合计"</formula>
    </cfRule>
    <cfRule type="expression" dxfId="2" priority="230">
      <formula>$BA13="合计"</formula>
    </cfRule>
  </conditionalFormatting>
  <conditionalFormatting sqref="BB13">
    <cfRule type="expression" dxfId="2" priority="233">
      <formula>$AY$3="合计"</formula>
    </cfRule>
  </conditionalFormatting>
  <conditionalFormatting sqref="S14">
    <cfRule type="containsText" dxfId="0" priority="226" operator="between" text="欠">
      <formula>NOT(ISERROR(SEARCH("欠",S14)))</formula>
    </cfRule>
  </conditionalFormatting>
  <conditionalFormatting sqref="T14">
    <cfRule type="containsText" dxfId="0" priority="225" operator="between" text="欠">
      <formula>NOT(ISERROR(SEARCH("欠",T14)))</formula>
    </cfRule>
  </conditionalFormatting>
  <conditionalFormatting sqref="U14">
    <cfRule type="containsText" dxfId="0" priority="224" operator="between" text="欠">
      <formula>NOT(ISERROR(SEARCH("欠",U14)))</formula>
    </cfRule>
  </conditionalFormatting>
  <conditionalFormatting sqref="V14">
    <cfRule type="containsText" dxfId="0" priority="228" operator="between" text="欠">
      <formula>NOT(ISERROR(SEARCH("欠",V14)))</formula>
    </cfRule>
  </conditionalFormatting>
  <conditionalFormatting sqref="BF14">
    <cfRule type="expression" dxfId="2" priority="227">
      <formula>$BF$3="合计"</formula>
    </cfRule>
  </conditionalFormatting>
  <conditionalFormatting sqref="S15">
    <cfRule type="containsText" dxfId="0" priority="220" operator="between" text="欠">
      <formula>NOT(ISERROR(SEARCH("欠",S15)))</formula>
    </cfRule>
  </conditionalFormatting>
  <conditionalFormatting sqref="T15">
    <cfRule type="containsText" dxfId="0" priority="219" operator="between" text="欠">
      <formula>NOT(ISERROR(SEARCH("欠",T15)))</formula>
    </cfRule>
  </conditionalFormatting>
  <conditionalFormatting sqref="U15">
    <cfRule type="containsText" dxfId="0" priority="222" operator="between" text="欠">
      <formula>NOT(ISERROR(SEARCH("欠",U15)))</formula>
    </cfRule>
  </conditionalFormatting>
  <conditionalFormatting sqref="V15">
    <cfRule type="containsText" dxfId="0" priority="223" operator="between" text="欠">
      <formula>NOT(ISERROR(SEARCH("欠",V15)))</formula>
    </cfRule>
  </conditionalFormatting>
  <conditionalFormatting sqref="BF15">
    <cfRule type="expression" dxfId="2" priority="221">
      <formula>$BF$3="合计"</formula>
    </cfRule>
  </conditionalFormatting>
  <conditionalFormatting sqref="R16">
    <cfRule type="containsText" dxfId="0" priority="212" operator="between" text="欠">
      <formula>NOT(ISERROR(SEARCH("欠",R16)))</formula>
    </cfRule>
  </conditionalFormatting>
  <conditionalFormatting sqref="S16">
    <cfRule type="containsText" dxfId="0" priority="211" operator="between" text="欠">
      <formula>NOT(ISERROR(SEARCH("欠",S16)))</formula>
    </cfRule>
  </conditionalFormatting>
  <conditionalFormatting sqref="T16">
    <cfRule type="containsText" dxfId="0" priority="213" operator="between" text="欠">
      <formula>NOT(ISERROR(SEARCH("欠",T16)))</formula>
    </cfRule>
  </conditionalFormatting>
  <conditionalFormatting sqref="U16">
    <cfRule type="containsText" dxfId="0" priority="218" operator="between" text="欠">
      <formula>NOT(ISERROR(SEARCH("欠",U16)))</formula>
    </cfRule>
  </conditionalFormatting>
  <conditionalFormatting sqref="BI16">
    <cfRule type="expression" dxfId="2" priority="216">
      <formula>$BG$3="合计"</formula>
    </cfRule>
  </conditionalFormatting>
  <conditionalFormatting sqref="BI16:BJ16">
    <cfRule type="expression" dxfId="2" priority="215">
      <formula>$BI$3="合计"</formula>
    </cfRule>
    <cfRule type="expression" dxfId="2" priority="214">
      <formula>$BI16="合计"</formula>
    </cfRule>
  </conditionalFormatting>
  <conditionalFormatting sqref="BJ16">
    <cfRule type="expression" dxfId="2" priority="217">
      <formula>$BG$3="合计"</formula>
    </cfRule>
  </conditionalFormatting>
  <conditionalFormatting sqref="S40">
    <cfRule type="containsText" dxfId="0" priority="175" operator="between" text="欠">
      <formula>NOT(ISERROR(SEARCH("欠",S40)))</formula>
    </cfRule>
  </conditionalFormatting>
  <conditionalFormatting sqref="T40">
    <cfRule type="containsText" dxfId="0" priority="176" operator="between" text="欠">
      <formula>NOT(ISERROR(SEARCH("欠",T40)))</formula>
    </cfRule>
  </conditionalFormatting>
  <conditionalFormatting sqref="U40">
    <cfRule type="containsText" dxfId="0" priority="178" operator="between" text="欠">
      <formula>NOT(ISERROR(SEARCH("欠",U40)))</formula>
    </cfRule>
  </conditionalFormatting>
  <conditionalFormatting sqref="V40">
    <cfRule type="containsText" dxfId="0" priority="179" operator="between" text="欠">
      <formula>NOT(ISERROR(SEARCH("欠",V40)))</formula>
    </cfRule>
  </conditionalFormatting>
  <conditionalFormatting sqref="BG40">
    <cfRule type="expression" dxfId="2" priority="177">
      <formula>$BG$3="合计"</formula>
    </cfRule>
  </conditionalFormatting>
  <conditionalFormatting sqref="S41">
    <cfRule type="containsText" dxfId="0" priority="170" operator="between" text="欠">
      <formula>NOT(ISERROR(SEARCH("欠",S41)))</formula>
    </cfRule>
  </conditionalFormatting>
  <conditionalFormatting sqref="T41">
    <cfRule type="containsText" dxfId="0" priority="171" operator="between" text="欠">
      <formula>NOT(ISERROR(SEARCH("欠",T41)))</formula>
    </cfRule>
  </conditionalFormatting>
  <conditionalFormatting sqref="U41">
    <cfRule type="containsText" dxfId="0" priority="173" operator="between" text="欠">
      <formula>NOT(ISERROR(SEARCH("欠",U41)))</formula>
    </cfRule>
  </conditionalFormatting>
  <conditionalFormatting sqref="V41">
    <cfRule type="containsText" dxfId="0" priority="174" operator="between" text="欠">
      <formula>NOT(ISERROR(SEARCH("欠",V41)))</formula>
    </cfRule>
  </conditionalFormatting>
  <conditionalFormatting sqref="BN41">
    <cfRule type="expression" dxfId="2" priority="172">
      <formula>$BN$3="合计"</formula>
    </cfRule>
  </conditionalFormatting>
  <conditionalFormatting sqref="S49">
    <cfRule type="containsText" dxfId="0" priority="147" operator="between" text="欠">
      <formula>NOT(ISERROR(SEARCH("欠",S49)))</formula>
    </cfRule>
  </conditionalFormatting>
  <conditionalFormatting sqref="T49">
    <cfRule type="containsText" dxfId="0" priority="148" operator="between" text="欠">
      <formula>NOT(ISERROR(SEARCH("欠",T49)))</formula>
    </cfRule>
  </conditionalFormatting>
  <conditionalFormatting sqref="U49">
    <cfRule type="containsText" dxfId="0" priority="150" operator="between" text="欠">
      <formula>NOT(ISERROR(SEARCH("欠",U49)))</formula>
    </cfRule>
  </conditionalFormatting>
  <conditionalFormatting sqref="V49">
    <cfRule type="containsText" dxfId="0" priority="151" operator="between" text="欠">
      <formula>NOT(ISERROR(SEARCH("欠",V49)))</formula>
    </cfRule>
  </conditionalFormatting>
  <conditionalFormatting sqref="BN49">
    <cfRule type="expression" dxfId="2" priority="149">
      <formula>$BN$3="合计"</formula>
    </cfRule>
  </conditionalFormatting>
  <conditionalFormatting sqref="R63">
    <cfRule type="containsText" dxfId="0" priority="136" operator="between" text="欠">
      <formula>NOT(ISERROR(SEARCH("欠",R63)))</formula>
    </cfRule>
  </conditionalFormatting>
  <conditionalFormatting sqref="S63">
    <cfRule type="containsText" dxfId="0" priority="131" operator="between" text="欠">
      <formula>NOT(ISERROR(SEARCH("欠",S63)))</formula>
    </cfRule>
  </conditionalFormatting>
  <conditionalFormatting sqref="T63">
    <cfRule type="containsText" dxfId="0" priority="130" operator="between" text="欠">
      <formula>NOT(ISERROR(SEARCH("欠",T63)))</formula>
    </cfRule>
  </conditionalFormatting>
  <conditionalFormatting sqref="U63">
    <cfRule type="containsText" dxfId="0" priority="137" operator="between" text="欠">
      <formula>NOT(ISERROR(SEARCH("欠",U63)))</formula>
    </cfRule>
  </conditionalFormatting>
  <conditionalFormatting sqref="BQ63">
    <cfRule type="expression" dxfId="2" priority="134">
      <formula>$BO$3="合计"</formula>
    </cfRule>
  </conditionalFormatting>
  <conditionalFormatting sqref="BQ63:BR63">
    <cfRule type="expression" dxfId="2" priority="133">
      <formula>$BQ$3="合计"</formula>
    </cfRule>
    <cfRule type="expression" dxfId="2" priority="132">
      <formula>$BQ63="合计"</formula>
    </cfRule>
  </conditionalFormatting>
  <conditionalFormatting sqref="BR63">
    <cfRule type="expression" dxfId="2" priority="135">
      <formula>$BO$3="合计"</formula>
    </cfRule>
  </conditionalFormatting>
  <conditionalFormatting sqref="S64">
    <cfRule type="containsText" dxfId="0" priority="125" operator="between" text="欠">
      <formula>NOT(ISERROR(SEARCH("欠",S64)))</formula>
    </cfRule>
  </conditionalFormatting>
  <conditionalFormatting sqref="T64">
    <cfRule type="containsText" dxfId="0" priority="126" operator="between" text="欠">
      <formula>NOT(ISERROR(SEARCH("欠",T64)))</formula>
    </cfRule>
  </conditionalFormatting>
  <conditionalFormatting sqref="U64">
    <cfRule type="containsText" dxfId="0" priority="128" operator="between" text="欠">
      <formula>NOT(ISERROR(SEARCH("欠",U64)))</formula>
    </cfRule>
  </conditionalFormatting>
  <conditionalFormatting sqref="V64">
    <cfRule type="containsText" dxfId="0" priority="129" operator="between" text="欠">
      <formula>NOT(ISERROR(SEARCH("欠",V64)))</formula>
    </cfRule>
  </conditionalFormatting>
  <conditionalFormatting sqref="BN64">
    <cfRule type="expression" dxfId="2" priority="127">
      <formula>$BN$3="合计"</formula>
    </cfRule>
  </conditionalFormatting>
  <conditionalFormatting sqref="S68">
    <cfRule type="containsText" dxfId="0" priority="112" operator="between" text="欠">
      <formula>NOT(ISERROR(SEARCH("欠",S68)))</formula>
    </cfRule>
  </conditionalFormatting>
  <conditionalFormatting sqref="T68">
    <cfRule type="containsText" dxfId="0" priority="113" operator="between" text="欠">
      <formula>NOT(ISERROR(SEARCH("欠",T68)))</formula>
    </cfRule>
  </conditionalFormatting>
  <conditionalFormatting sqref="U68">
    <cfRule type="containsText" dxfId="0" priority="115" operator="between" text="欠">
      <formula>NOT(ISERROR(SEARCH("欠",U68)))</formula>
    </cfRule>
  </conditionalFormatting>
  <conditionalFormatting sqref="V68">
    <cfRule type="containsText" dxfId="0" priority="116" operator="between" text="欠">
      <formula>NOT(ISERROR(SEARCH("欠",V68)))</formula>
    </cfRule>
  </conditionalFormatting>
  <conditionalFormatting sqref="BN68">
    <cfRule type="expression" dxfId="2" priority="114">
      <formula>$BN$3="合计"</formula>
    </cfRule>
  </conditionalFormatting>
  <conditionalFormatting sqref="S69">
    <cfRule type="containsText" dxfId="0" priority="110" operator="between" text="欠">
      <formula>NOT(ISERROR(SEARCH("欠",S69)))</formula>
    </cfRule>
  </conditionalFormatting>
  <conditionalFormatting sqref="T69">
    <cfRule type="containsText" dxfId="0" priority="109" operator="between" text="欠">
      <formula>NOT(ISERROR(SEARCH("欠",T69)))</formula>
    </cfRule>
  </conditionalFormatting>
  <conditionalFormatting sqref="U69">
    <cfRule type="containsText" dxfId="0" priority="108" operator="between" text="欠">
      <formula>NOT(ISERROR(SEARCH("欠",U69)))</formula>
    </cfRule>
  </conditionalFormatting>
  <conditionalFormatting sqref="V69">
    <cfRule type="containsText" dxfId="0" priority="111" operator="between" text="欠">
      <formula>NOT(ISERROR(SEARCH("欠",V69)))</formula>
    </cfRule>
  </conditionalFormatting>
  <conditionalFormatting sqref="BN69">
    <cfRule type="expression" dxfId="2" priority="107">
      <formula>$BN$3="合计"</formula>
    </cfRule>
  </conditionalFormatting>
  <conditionalFormatting sqref="R70:T70">
    <cfRule type="containsText" dxfId="0" priority="105" operator="between" text="欠">
      <formula>NOT(ISERROR(SEARCH("欠",R70)))</formula>
    </cfRule>
  </conditionalFormatting>
  <conditionalFormatting sqref="U70">
    <cfRule type="containsText" dxfId="0" priority="106" operator="between" text="欠">
      <formula>NOT(ISERROR(SEARCH("欠",U70)))</formula>
    </cfRule>
  </conditionalFormatting>
  <conditionalFormatting sqref="BQ70">
    <cfRule type="expression" dxfId="2" priority="103">
      <formula>$BO$3="合计"</formula>
    </cfRule>
  </conditionalFormatting>
  <conditionalFormatting sqref="BQ70:BR70">
    <cfRule type="expression" dxfId="2" priority="102">
      <formula>$BQ$3="合计"</formula>
    </cfRule>
    <cfRule type="expression" dxfId="2" priority="101">
      <formula>$BQ70="合计"</formula>
    </cfRule>
  </conditionalFormatting>
  <conditionalFormatting sqref="BR70">
    <cfRule type="expression" dxfId="2" priority="104">
      <formula>$BO$3="合计"</formula>
    </cfRule>
  </conditionalFormatting>
  <conditionalFormatting sqref="S71">
    <cfRule type="containsText" dxfId="0" priority="96" operator="between" text="欠">
      <formula>NOT(ISERROR(SEARCH("欠",S71)))</formula>
    </cfRule>
  </conditionalFormatting>
  <conditionalFormatting sqref="T71">
    <cfRule type="containsText" dxfId="0" priority="97" operator="between" text="欠">
      <formula>NOT(ISERROR(SEARCH("欠",T71)))</formula>
    </cfRule>
  </conditionalFormatting>
  <conditionalFormatting sqref="U71">
    <cfRule type="containsText" dxfId="0" priority="99" operator="between" text="欠">
      <formula>NOT(ISERROR(SEARCH("欠",U71)))</formula>
    </cfRule>
  </conditionalFormatting>
  <conditionalFormatting sqref="V71">
    <cfRule type="containsText" dxfId="0" priority="100" operator="between" text="欠">
      <formula>NOT(ISERROR(SEARCH("欠",V71)))</formula>
    </cfRule>
  </conditionalFormatting>
  <conditionalFormatting sqref="BN71">
    <cfRule type="expression" dxfId="2" priority="98">
      <formula>$BN$3="合计"</formula>
    </cfRule>
  </conditionalFormatting>
  <conditionalFormatting sqref="S74">
    <cfRule type="containsText" dxfId="0" priority="85" operator="between" text="欠">
      <formula>NOT(ISERROR(SEARCH("欠",S74)))</formula>
    </cfRule>
  </conditionalFormatting>
  <conditionalFormatting sqref="T74">
    <cfRule type="containsText" dxfId="0" priority="84" operator="between" text="欠">
      <formula>NOT(ISERROR(SEARCH("欠",T74)))</formula>
    </cfRule>
  </conditionalFormatting>
  <conditionalFormatting sqref="U74">
    <cfRule type="containsText" dxfId="0" priority="83" operator="between" text="欠">
      <formula>NOT(ISERROR(SEARCH("欠",U74)))</formula>
    </cfRule>
  </conditionalFormatting>
  <conditionalFormatting sqref="BQ74">
    <cfRule type="expression" dxfId="2" priority="87">
      <formula>$BO$3="合计"</formula>
    </cfRule>
    <cfRule type="expression" dxfId="2" priority="86">
      <formula>#REF!="合计"</formula>
    </cfRule>
  </conditionalFormatting>
  <conditionalFormatting sqref="T75">
    <cfRule type="containsText" dxfId="0" priority="78" operator="between" text="欠">
      <formula>NOT(ISERROR(SEARCH("欠",T75)))</formula>
    </cfRule>
  </conditionalFormatting>
  <conditionalFormatting sqref="V75">
    <cfRule type="containsText" dxfId="0" priority="81" operator="between" text="欠">
      <formula>NOT(ISERROR(SEARCH("欠",V75)))</formula>
    </cfRule>
  </conditionalFormatting>
  <conditionalFormatting sqref="T76">
    <cfRule type="containsText" dxfId="0" priority="77" operator="between" text="欠">
      <formula>NOT(ISERROR(SEARCH("欠",T76)))</formula>
    </cfRule>
  </conditionalFormatting>
  <conditionalFormatting sqref="V76">
    <cfRule type="containsText" dxfId="0" priority="80" operator="between" text="欠">
      <formula>NOT(ISERROR(SEARCH("欠",V76)))</formula>
    </cfRule>
  </conditionalFormatting>
  <conditionalFormatting sqref="T77">
    <cfRule type="containsText" dxfId="0" priority="76" operator="between" text="欠">
      <formula>NOT(ISERROR(SEARCH("欠",T77)))</formula>
    </cfRule>
  </conditionalFormatting>
  <conditionalFormatting sqref="V77">
    <cfRule type="containsText" dxfId="0" priority="79" operator="between" text="欠">
      <formula>NOT(ISERROR(SEARCH("欠",V77)))</formula>
    </cfRule>
  </conditionalFormatting>
  <conditionalFormatting sqref="W81">
    <cfRule type="containsText" dxfId="0" priority="62" operator="between" text="欠">
      <formula>NOT(ISERROR(SEARCH("欠",W81)))</formula>
    </cfRule>
  </conditionalFormatting>
  <conditionalFormatting sqref="S83">
    <cfRule type="containsText" dxfId="0" priority="59" operator="between" text="欠">
      <formula>NOT(ISERROR(SEARCH("欠",S83)))</formula>
    </cfRule>
  </conditionalFormatting>
  <conditionalFormatting sqref="T83">
    <cfRule type="containsText" dxfId="0" priority="58" operator="between" text="欠">
      <formula>NOT(ISERROR(SEARCH("欠",T83)))</formula>
    </cfRule>
  </conditionalFormatting>
  <conditionalFormatting sqref="U83">
    <cfRule type="containsText" dxfId="0" priority="57" operator="between" text="欠">
      <formula>NOT(ISERROR(SEARCH("欠",U83)))</formula>
    </cfRule>
  </conditionalFormatting>
  <conditionalFormatting sqref="V83">
    <cfRule type="containsText" dxfId="0" priority="61" operator="between" text="欠">
      <formula>NOT(ISERROR(SEARCH("欠",V83)))</formula>
    </cfRule>
  </conditionalFormatting>
  <conditionalFormatting sqref="BO83">
    <cfRule type="expression" dxfId="2" priority="60">
      <formula>$BO$3="合计"</formula>
    </cfRule>
  </conditionalFormatting>
  <conditionalFormatting sqref="S84">
    <cfRule type="containsText" dxfId="0" priority="54" operator="between" text="欠">
      <formula>NOT(ISERROR(SEARCH("欠",S84)))</formula>
    </cfRule>
  </conditionalFormatting>
  <conditionalFormatting sqref="T84">
    <cfRule type="containsText" dxfId="0" priority="53" operator="between" text="欠">
      <formula>NOT(ISERROR(SEARCH("欠",T84)))</formula>
    </cfRule>
  </conditionalFormatting>
  <conditionalFormatting sqref="U84">
    <cfRule type="containsText" dxfId="0" priority="52" operator="between" text="欠">
      <formula>NOT(ISERROR(SEARCH("欠",U84)))</formula>
    </cfRule>
  </conditionalFormatting>
  <conditionalFormatting sqref="V84">
    <cfRule type="containsText" dxfId="0" priority="56" operator="between" text="欠">
      <formula>NOT(ISERROR(SEARCH("欠",V84)))</formula>
    </cfRule>
  </conditionalFormatting>
  <conditionalFormatting sqref="BO84">
    <cfRule type="expression" dxfId="2" priority="55">
      <formula>$BO$3="合计"</formula>
    </cfRule>
  </conditionalFormatting>
  <conditionalFormatting sqref="S85">
    <cfRule type="containsText" dxfId="0" priority="49" operator="between" text="欠">
      <formula>NOT(ISERROR(SEARCH("欠",S85)))</formula>
    </cfRule>
  </conditionalFormatting>
  <conditionalFormatting sqref="T85">
    <cfRule type="containsText" dxfId="0" priority="48" operator="between" text="欠">
      <formula>NOT(ISERROR(SEARCH("欠",T85)))</formula>
    </cfRule>
  </conditionalFormatting>
  <conditionalFormatting sqref="U85">
    <cfRule type="containsText" dxfId="0" priority="47" operator="between" text="欠">
      <formula>NOT(ISERROR(SEARCH("欠",U85)))</formula>
    </cfRule>
  </conditionalFormatting>
  <conditionalFormatting sqref="V85">
    <cfRule type="containsText" dxfId="0" priority="51" operator="between" text="欠">
      <formula>NOT(ISERROR(SEARCH("欠",V85)))</formula>
    </cfRule>
  </conditionalFormatting>
  <conditionalFormatting sqref="BO85">
    <cfRule type="expression" dxfId="2" priority="50">
      <formula>$BO$3="合计"</formula>
    </cfRule>
  </conditionalFormatting>
  <conditionalFormatting sqref="R86">
    <cfRule type="containsText" dxfId="0" priority="41" operator="between" text="欠">
      <formula>NOT(ISERROR(SEARCH("欠",R86)))</formula>
    </cfRule>
  </conditionalFormatting>
  <conditionalFormatting sqref="S86">
    <cfRule type="containsText" dxfId="0" priority="43" operator="between" text="欠">
      <formula>NOT(ISERROR(SEARCH("欠",S86)))</formula>
    </cfRule>
  </conditionalFormatting>
  <conditionalFormatting sqref="T86">
    <cfRule type="containsText" dxfId="0" priority="42" operator="between" text="欠">
      <formula>NOT(ISERROR(SEARCH("欠",T86)))</formula>
    </cfRule>
  </conditionalFormatting>
  <conditionalFormatting sqref="U86">
    <cfRule type="containsText" dxfId="0" priority="44" operator="between" text="欠">
      <formula>NOT(ISERROR(SEARCH("欠",U86)))</formula>
    </cfRule>
  </conditionalFormatting>
  <conditionalFormatting sqref="BQ86">
    <cfRule type="expression" dxfId="2" priority="46">
      <formula>$BO$3="合计"</formula>
    </cfRule>
    <cfRule type="expression" dxfId="2" priority="45">
      <formula>#REF!="合计"</formula>
    </cfRule>
  </conditionalFormatting>
  <conditionalFormatting sqref="R87">
    <cfRule type="containsText" dxfId="0" priority="35" operator="between" text="欠">
      <formula>NOT(ISERROR(SEARCH("欠",R87)))</formula>
    </cfRule>
  </conditionalFormatting>
  <conditionalFormatting sqref="S87">
    <cfRule type="containsText" dxfId="0" priority="38" operator="between" text="欠">
      <formula>NOT(ISERROR(SEARCH("欠",S87)))</formula>
    </cfRule>
  </conditionalFormatting>
  <conditionalFormatting sqref="T87">
    <cfRule type="containsText" dxfId="0" priority="36" operator="between" text="欠">
      <formula>NOT(ISERROR(SEARCH("欠",T87)))</formula>
    </cfRule>
  </conditionalFormatting>
  <conditionalFormatting sqref="U87">
    <cfRule type="containsText" dxfId="0" priority="37" operator="between" text="欠">
      <formula>NOT(ISERROR(SEARCH("欠",U87)))</formula>
    </cfRule>
  </conditionalFormatting>
  <conditionalFormatting sqref="BP87">
    <cfRule type="expression" dxfId="2" priority="40">
      <formula>$BO$3="合计"</formula>
    </cfRule>
    <cfRule type="expression" dxfId="2" priority="39">
      <formula>#REF!="合计"</formula>
    </cfRule>
  </conditionalFormatting>
  <conditionalFormatting sqref="R88">
    <cfRule type="containsText" dxfId="0" priority="29" operator="between" text="欠">
      <formula>NOT(ISERROR(SEARCH("欠",R88)))</formula>
    </cfRule>
  </conditionalFormatting>
  <conditionalFormatting sqref="S88">
    <cfRule type="containsText" dxfId="0" priority="30" operator="between" text="欠">
      <formula>NOT(ISERROR(SEARCH("欠",S88)))</formula>
    </cfRule>
  </conditionalFormatting>
  <conditionalFormatting sqref="T88">
    <cfRule type="containsText" dxfId="0" priority="31" operator="between" text="欠">
      <formula>NOT(ISERROR(SEARCH("欠",T88)))</formula>
    </cfRule>
  </conditionalFormatting>
  <conditionalFormatting sqref="U88">
    <cfRule type="containsText" dxfId="0" priority="32" operator="between" text="欠">
      <formula>NOT(ISERROR(SEARCH("欠",U88)))</formula>
    </cfRule>
  </conditionalFormatting>
  <conditionalFormatting sqref="BQ88">
    <cfRule type="expression" dxfId="2" priority="34">
      <formula>$BO$3="合计"</formula>
    </cfRule>
    <cfRule type="expression" dxfId="2" priority="33">
      <formula>#REF!="合计"</formula>
    </cfRule>
  </conditionalFormatting>
  <conditionalFormatting sqref="W97">
    <cfRule type="cellIs" dxfId="0" priority="2" operator="equal">
      <formula>"欠"</formula>
    </cfRule>
  </conditionalFormatting>
  <conditionalFormatting sqref="X97">
    <cfRule type="containsText" dxfId="0" priority="5" operator="between" text="欠">
      <formula>NOT(ISERROR(SEARCH("欠",X97)))</formula>
    </cfRule>
  </conditionalFormatting>
  <conditionalFormatting sqref="Y97">
    <cfRule type="containsText" dxfId="0" priority="1" operator="between" text="欠">
      <formula>NOT(ISERROR(SEARCH("欠",Y97)))</formula>
    </cfRule>
  </conditionalFormatting>
  <conditionalFormatting sqref="Z97">
    <cfRule type="cellIs" dxfId="0" priority="4" operator="equal">
      <formula>"欠"</formula>
    </cfRule>
    <cfRule type="containsText" dxfId="0" priority="3" operator="between" text="欠">
      <formula>NOT(ISERROR(SEARCH("欠",Z97)))</formula>
    </cfRule>
  </conditionalFormatting>
  <conditionalFormatting sqref="BS97">
    <cfRule type="expression" dxfId="2" priority="6">
      <formula>$BS$3="合计"</formula>
    </cfRule>
  </conditionalFormatting>
  <conditionalFormatting sqref="R3:R6">
    <cfRule type="containsText" dxfId="0" priority="253" operator="between" text="欠">
      <formula>NOT(ISERROR(SEARCH("欠",R3)))</formula>
    </cfRule>
  </conditionalFormatting>
  <conditionalFormatting sqref="R9:R12">
    <cfRule type="containsText" dxfId="0" priority="237" operator="between" text="欠">
      <formula>NOT(ISERROR(SEARCH("欠",R9)))</formula>
    </cfRule>
  </conditionalFormatting>
  <conditionalFormatting sqref="R29:R30">
    <cfRule type="containsText" dxfId="0" priority="193" operator="between" text="欠">
      <formula>NOT(ISERROR(SEARCH("欠",R29)))</formula>
    </cfRule>
  </conditionalFormatting>
  <conditionalFormatting sqref="R38:R39">
    <cfRule type="containsText" dxfId="0" priority="180" operator="between" text="欠">
      <formula>NOT(ISERROR(SEARCH("欠",R38)))</formula>
    </cfRule>
  </conditionalFormatting>
  <conditionalFormatting sqref="R44:R46">
    <cfRule type="containsText" dxfId="0" priority="158" operator="between" text="欠">
      <formula>NOT(ISERROR(SEARCH("欠",R44)))</formula>
    </cfRule>
  </conditionalFormatting>
  <conditionalFormatting sqref="R65:R67">
    <cfRule type="containsText" dxfId="0" priority="117" operator="between" text="欠">
      <formula>NOT(ISERROR(SEARCH("欠",R65)))</formula>
    </cfRule>
  </conditionalFormatting>
  <conditionalFormatting sqref="R72:R74">
    <cfRule type="containsText" dxfId="0" priority="88" operator="between" text="欠">
      <formula>NOT(ISERROR(SEARCH("欠",R72)))</formula>
    </cfRule>
  </conditionalFormatting>
  <conditionalFormatting sqref="R78:R80">
    <cfRule type="containsText" dxfId="0" priority="69" operator="between" text="欠">
      <formula>NOT(ISERROR(SEARCH("欠",R78)))</formula>
    </cfRule>
  </conditionalFormatting>
  <conditionalFormatting sqref="R89:R90">
    <cfRule type="containsText" dxfId="0" priority="23" operator="between" text="欠">
      <formula>NOT(ISERROR(SEARCH("欠",R89)))</formula>
    </cfRule>
  </conditionalFormatting>
  <conditionalFormatting sqref="R95:R96">
    <cfRule type="containsText" dxfId="0" priority="9" operator="between" text="欠">
      <formula>NOT(ISERROR(SEARCH("欠",R95)))</formula>
    </cfRule>
  </conditionalFormatting>
  <conditionalFormatting sqref="S9:S12">
    <cfRule type="containsText" dxfId="0" priority="236" operator="between" text="欠">
      <formula>NOT(ISERROR(SEARCH("欠",S9)))</formula>
    </cfRule>
  </conditionalFormatting>
  <conditionalFormatting sqref="S17:S21">
    <cfRule type="containsText" dxfId="0" priority="206" operator="between" text="欠">
      <formula>NOT(ISERROR(SEARCH("欠",S17)))</formula>
    </cfRule>
  </conditionalFormatting>
  <conditionalFormatting sqref="S22:S28">
    <cfRule type="containsText" dxfId="0" priority="201" operator="between" text="欠">
      <formula>NOT(ISERROR(SEARCH("欠",S22)))</formula>
    </cfRule>
  </conditionalFormatting>
  <conditionalFormatting sqref="S29:S30">
    <cfRule type="containsText" dxfId="0" priority="195" operator="between" text="欠">
      <formula>NOT(ISERROR(SEARCH("欠",S29)))</formula>
    </cfRule>
  </conditionalFormatting>
  <conditionalFormatting sqref="S31:S37">
    <cfRule type="containsText" dxfId="0" priority="188" operator="between" text="欠">
      <formula>NOT(ISERROR(SEARCH("欠",S31)))</formula>
    </cfRule>
  </conditionalFormatting>
  <conditionalFormatting sqref="S38:S39">
    <cfRule type="containsText" dxfId="0" priority="182" operator="between" text="欠">
      <formula>NOT(ISERROR(SEARCH("欠",S38)))</formula>
    </cfRule>
  </conditionalFormatting>
  <conditionalFormatting sqref="S42:S43">
    <cfRule type="containsText" dxfId="0" priority="165" operator="between" text="欠">
      <formula>NOT(ISERROR(SEARCH("欠",S42)))</formula>
    </cfRule>
  </conditionalFormatting>
  <conditionalFormatting sqref="S44:S46">
    <cfRule type="containsText" dxfId="0" priority="159" operator="between" text="欠">
      <formula>NOT(ISERROR(SEARCH("欠",S44)))</formula>
    </cfRule>
  </conditionalFormatting>
  <conditionalFormatting sqref="S47:S48">
    <cfRule type="containsText" dxfId="0" priority="152" operator="between" text="欠">
      <formula>NOT(ISERROR(SEARCH("欠",S47)))</formula>
    </cfRule>
  </conditionalFormatting>
  <conditionalFormatting sqref="S50:S57">
    <cfRule type="containsText" dxfId="0" priority="142" operator="between" text="欠">
      <formula>NOT(ISERROR(SEARCH("欠",S50)))</formula>
    </cfRule>
  </conditionalFormatting>
  <conditionalFormatting sqref="S65:S67">
    <cfRule type="containsText" dxfId="0" priority="118" operator="between" text="欠">
      <formula>NOT(ISERROR(SEARCH("欠",S65)))</formula>
    </cfRule>
  </conditionalFormatting>
  <conditionalFormatting sqref="S72:S73">
    <cfRule type="containsText" dxfId="0" priority="89" operator="between" text="欠">
      <formula>NOT(ISERROR(SEARCH("欠",S72)))</formula>
    </cfRule>
  </conditionalFormatting>
  <conditionalFormatting sqref="S75:S77">
    <cfRule type="containsText" dxfId="0" priority="74" operator="between" text="欠">
      <formula>NOT(ISERROR(SEARCH("欠",S75)))</formula>
    </cfRule>
  </conditionalFormatting>
  <conditionalFormatting sqref="S78:S80">
    <cfRule type="containsText" dxfId="0" priority="68" operator="between" text="欠">
      <formula>NOT(ISERROR(SEARCH("欠",S78)))</formula>
    </cfRule>
  </conditionalFormatting>
  <conditionalFormatting sqref="S81:S82">
    <cfRule type="containsText" dxfId="0" priority="66" operator="between" text="欠">
      <formula>NOT(ISERROR(SEARCH("欠",S81)))</formula>
    </cfRule>
  </conditionalFormatting>
  <conditionalFormatting sqref="S89:S90">
    <cfRule type="containsText" dxfId="0" priority="26" operator="between" text="欠">
      <formula>NOT(ISERROR(SEARCH("欠",S89)))</formula>
    </cfRule>
  </conditionalFormatting>
  <conditionalFormatting sqref="S91:S92">
    <cfRule type="containsText" dxfId="0" priority="20" operator="between" text="欠">
      <formula>NOT(ISERROR(SEARCH("欠",S91)))</formula>
    </cfRule>
  </conditionalFormatting>
  <conditionalFormatting sqref="S93:S94">
    <cfRule type="containsText" dxfId="0" priority="15" operator="between" text="欠">
      <formula>NOT(ISERROR(SEARCH("欠",S93)))</formula>
    </cfRule>
  </conditionalFormatting>
  <conditionalFormatting sqref="S95:S96">
    <cfRule type="containsText" dxfId="0" priority="8" operator="between" text="欠">
      <formula>NOT(ISERROR(SEARCH("欠",S95)))</formula>
    </cfRule>
  </conditionalFormatting>
  <conditionalFormatting sqref="T9:T12">
    <cfRule type="containsText" dxfId="0" priority="238" operator="between" text="欠">
      <formula>NOT(ISERROR(SEARCH("欠",T9)))</formula>
    </cfRule>
  </conditionalFormatting>
  <conditionalFormatting sqref="T17:T21">
    <cfRule type="containsText" dxfId="0" priority="207" operator="between" text="欠">
      <formula>NOT(ISERROR(SEARCH("欠",T17)))</formula>
    </cfRule>
  </conditionalFormatting>
  <conditionalFormatting sqref="T22:T28">
    <cfRule type="containsText" dxfId="0" priority="202" operator="between" text="欠">
      <formula>NOT(ISERROR(SEARCH("欠",T22)))</formula>
    </cfRule>
  </conditionalFormatting>
  <conditionalFormatting sqref="T29:T30">
    <cfRule type="containsText" dxfId="0" priority="194" operator="between" text="欠">
      <formula>NOT(ISERROR(SEARCH("欠",T29)))</formula>
    </cfRule>
  </conditionalFormatting>
  <conditionalFormatting sqref="T31:T37">
    <cfRule type="containsText" dxfId="0" priority="189" operator="between" text="欠">
      <formula>NOT(ISERROR(SEARCH("欠",T31)))</formula>
    </cfRule>
  </conditionalFormatting>
  <conditionalFormatting sqref="T38:T39">
    <cfRule type="containsText" dxfId="0" priority="181" operator="between" text="欠">
      <formula>NOT(ISERROR(SEARCH("欠",T38)))</formula>
    </cfRule>
  </conditionalFormatting>
  <conditionalFormatting sqref="T42:T43">
    <cfRule type="containsText" dxfId="0" priority="166" operator="between" text="欠">
      <formula>NOT(ISERROR(SEARCH("欠",T42)))</formula>
    </cfRule>
  </conditionalFormatting>
  <conditionalFormatting sqref="T44:T46">
    <cfRule type="containsText" dxfId="0" priority="157" operator="between" text="欠">
      <formula>NOT(ISERROR(SEARCH("欠",T44)))</formula>
    </cfRule>
  </conditionalFormatting>
  <conditionalFormatting sqref="T47:T48">
    <cfRule type="containsText" dxfId="0" priority="153" operator="between" text="欠">
      <formula>NOT(ISERROR(SEARCH("欠",T47)))</formula>
    </cfRule>
  </conditionalFormatting>
  <conditionalFormatting sqref="T50:T57">
    <cfRule type="containsText" dxfId="0" priority="143" operator="between" text="欠">
      <formula>NOT(ISERROR(SEARCH("欠",T50)))</formula>
    </cfRule>
  </conditionalFormatting>
  <conditionalFormatting sqref="T58:T62">
    <cfRule type="containsText" dxfId="0" priority="138" operator="between" text="欠">
      <formula>NOT(ISERROR(SEARCH("欠",T58)))</formula>
    </cfRule>
  </conditionalFormatting>
  <conditionalFormatting sqref="T65:T67">
    <cfRule type="containsText" dxfId="0" priority="119" operator="between" text="欠">
      <formula>NOT(ISERROR(SEARCH("欠",T65)))</formula>
    </cfRule>
  </conditionalFormatting>
  <conditionalFormatting sqref="T72:T73">
    <cfRule type="containsText" dxfId="0" priority="90" operator="between" text="欠">
      <formula>NOT(ISERROR(SEARCH("欠",T72)))</formula>
    </cfRule>
  </conditionalFormatting>
  <conditionalFormatting sqref="T78:T80">
    <cfRule type="containsText" dxfId="0" priority="70" operator="between" text="欠">
      <formula>NOT(ISERROR(SEARCH("欠",T78)))</formula>
    </cfRule>
  </conditionalFormatting>
  <conditionalFormatting sqref="T81:T82">
    <cfRule type="containsText" dxfId="0" priority="63" operator="between" text="欠">
      <formula>NOT(ISERROR(SEARCH("欠",T81)))</formula>
    </cfRule>
  </conditionalFormatting>
  <conditionalFormatting sqref="T89:T90">
    <cfRule type="containsText" dxfId="0" priority="25" operator="between" text="欠">
      <formula>NOT(ISERROR(SEARCH("欠",T89)))</formula>
    </cfRule>
  </conditionalFormatting>
  <conditionalFormatting sqref="T91:T92">
    <cfRule type="containsText" dxfId="0" priority="19" operator="between" text="欠">
      <formula>NOT(ISERROR(SEARCH("欠",T91)))</formula>
    </cfRule>
  </conditionalFormatting>
  <conditionalFormatting sqref="T93:T94">
    <cfRule type="containsText" dxfId="0" priority="14" operator="between" text="欠">
      <formula>NOT(ISERROR(SEARCH("欠",T93)))</formula>
    </cfRule>
  </conditionalFormatting>
  <conditionalFormatting sqref="T95:T96">
    <cfRule type="containsText" dxfId="0" priority="7" operator="between" text="欠">
      <formula>NOT(ISERROR(SEARCH("欠",T95)))</formula>
    </cfRule>
  </conditionalFormatting>
  <conditionalFormatting sqref="U3:U6">
    <cfRule type="containsText" dxfId="0" priority="256" operator="between" text="欠">
      <formula>NOT(ISERROR(SEARCH("欠",U3)))</formula>
    </cfRule>
  </conditionalFormatting>
  <conditionalFormatting sqref="U9:U12">
    <cfRule type="containsText" dxfId="0" priority="240" operator="between" text="欠">
      <formula>NOT(ISERROR(SEARCH("欠",U9)))</formula>
    </cfRule>
  </conditionalFormatting>
  <conditionalFormatting sqref="U17:U21">
    <cfRule type="containsText" dxfId="0" priority="209" operator="between" text="欠">
      <formula>NOT(ISERROR(SEARCH("欠",U17)))</formula>
    </cfRule>
  </conditionalFormatting>
  <conditionalFormatting sqref="U22:U28">
    <cfRule type="containsText" dxfId="0" priority="204" operator="between" text="欠">
      <formula>NOT(ISERROR(SEARCH("欠",U22)))</formula>
    </cfRule>
  </conditionalFormatting>
  <conditionalFormatting sqref="U29:U30">
    <cfRule type="containsText" dxfId="0" priority="200" operator="between" text="欠">
      <formula>NOT(ISERROR(SEARCH("欠",U29)))</formula>
    </cfRule>
  </conditionalFormatting>
  <conditionalFormatting sqref="U31:U37">
    <cfRule type="containsText" dxfId="0" priority="191" operator="between" text="欠">
      <formula>NOT(ISERROR(SEARCH("欠",U31)))</formula>
    </cfRule>
  </conditionalFormatting>
  <conditionalFormatting sqref="U38:U39">
    <cfRule type="containsText" dxfId="0" priority="187" operator="between" text="欠">
      <formula>NOT(ISERROR(SEARCH("欠",U38)))</formula>
    </cfRule>
  </conditionalFormatting>
  <conditionalFormatting sqref="U42:U43">
    <cfRule type="containsText" dxfId="0" priority="168" operator="between" text="欠">
      <formula>NOT(ISERROR(SEARCH("欠",U42)))</formula>
    </cfRule>
  </conditionalFormatting>
  <conditionalFormatting sqref="U44:U46">
    <cfRule type="containsText" dxfId="0" priority="160" operator="between" text="欠">
      <formula>NOT(ISERROR(SEARCH("欠",U44)))</formula>
    </cfRule>
  </conditionalFormatting>
  <conditionalFormatting sqref="U47:U48">
    <cfRule type="containsText" dxfId="0" priority="155" operator="between" text="欠">
      <formula>NOT(ISERROR(SEARCH("欠",U47)))</formula>
    </cfRule>
  </conditionalFormatting>
  <conditionalFormatting sqref="U50:U57">
    <cfRule type="containsText" dxfId="0" priority="145" operator="between" text="欠">
      <formula>NOT(ISERROR(SEARCH("欠",U50)))</formula>
    </cfRule>
  </conditionalFormatting>
  <conditionalFormatting sqref="U58:U62">
    <cfRule type="containsText" dxfId="0" priority="140" operator="between" text="欠">
      <formula>NOT(ISERROR(SEARCH("欠",U58)))</formula>
    </cfRule>
  </conditionalFormatting>
  <conditionalFormatting sqref="U65:U67">
    <cfRule type="containsText" dxfId="0" priority="124" operator="between" text="欠">
      <formula>NOT(ISERROR(SEARCH("欠",U65)))</formula>
    </cfRule>
  </conditionalFormatting>
  <conditionalFormatting sqref="U72:U73">
    <cfRule type="containsText" dxfId="0" priority="93" operator="between" text="欠">
      <formula>NOT(ISERROR(SEARCH("欠",U72)))</formula>
    </cfRule>
  </conditionalFormatting>
  <conditionalFormatting sqref="U75:U77">
    <cfRule type="containsText" dxfId="0" priority="75" operator="between" text="欠">
      <formula>NOT(ISERROR(SEARCH("欠",U75)))</formula>
    </cfRule>
  </conditionalFormatting>
  <conditionalFormatting sqref="U78:U80">
    <cfRule type="containsText" dxfId="0" priority="71" operator="between" text="欠">
      <formula>NOT(ISERROR(SEARCH("欠",U78)))</formula>
    </cfRule>
  </conditionalFormatting>
  <conditionalFormatting sqref="U81:U82">
    <cfRule type="containsText" dxfId="0" priority="64" operator="between" text="欠">
      <formula>NOT(ISERROR(SEARCH("欠",U81)))</formula>
    </cfRule>
  </conditionalFormatting>
  <conditionalFormatting sqref="U89:U90">
    <cfRule type="containsText" dxfId="0" priority="24" operator="between" text="欠">
      <formula>NOT(ISERROR(SEARCH("欠",U89)))</formula>
    </cfRule>
  </conditionalFormatting>
  <conditionalFormatting sqref="U91:U92">
    <cfRule type="containsText" dxfId="0" priority="18" operator="between" text="欠">
      <formula>NOT(ISERROR(SEARCH("欠",U91)))</formula>
    </cfRule>
  </conditionalFormatting>
  <conditionalFormatting sqref="U93:U94">
    <cfRule type="containsText" dxfId="0" priority="13" operator="between" text="欠">
      <formula>NOT(ISERROR(SEARCH("欠",U93)))</formula>
    </cfRule>
  </conditionalFormatting>
  <conditionalFormatting sqref="U95:U96">
    <cfRule type="containsText" dxfId="0" priority="10" operator="between" text="欠">
      <formula>NOT(ISERROR(SEARCH("欠",U95)))</formula>
    </cfRule>
  </conditionalFormatting>
  <conditionalFormatting sqref="V17:V21">
    <cfRule type="containsText" dxfId="0" priority="210" operator="between" text="欠">
      <formula>NOT(ISERROR(SEARCH("欠",V17)))</formula>
    </cfRule>
  </conditionalFormatting>
  <conditionalFormatting sqref="V22:V28">
    <cfRule type="containsText" dxfId="0" priority="205" operator="between" text="欠">
      <formula>NOT(ISERROR(SEARCH("欠",V22)))</formula>
    </cfRule>
  </conditionalFormatting>
  <conditionalFormatting sqref="V31:V37">
    <cfRule type="containsText" dxfId="0" priority="192" operator="between" text="欠">
      <formula>NOT(ISERROR(SEARCH("欠",V31)))</formula>
    </cfRule>
  </conditionalFormatting>
  <conditionalFormatting sqref="V42:V43">
    <cfRule type="containsText" dxfId="0" priority="169" operator="between" text="欠">
      <formula>NOT(ISERROR(SEARCH("欠",V42)))</formula>
    </cfRule>
  </conditionalFormatting>
  <conditionalFormatting sqref="V47:V48">
    <cfRule type="containsText" dxfId="0" priority="156" operator="between" text="欠">
      <formula>NOT(ISERROR(SEARCH("欠",V47)))</formula>
    </cfRule>
  </conditionalFormatting>
  <conditionalFormatting sqref="V50:V57">
    <cfRule type="containsText" dxfId="0" priority="146" operator="between" text="欠">
      <formula>NOT(ISERROR(SEARCH("欠",V50)))</formula>
    </cfRule>
  </conditionalFormatting>
  <conditionalFormatting sqref="V58:V62">
    <cfRule type="containsText" dxfId="0" priority="141" operator="between" text="欠">
      <formula>NOT(ISERROR(SEARCH("欠",V58)))</formula>
    </cfRule>
  </conditionalFormatting>
  <conditionalFormatting sqref="V81:V82">
    <cfRule type="containsText" dxfId="0" priority="65" operator="between" text="欠">
      <formula>NOT(ISERROR(SEARCH("欠",V81)))</formula>
    </cfRule>
  </conditionalFormatting>
  <conditionalFormatting sqref="V91:V92">
    <cfRule type="containsText" dxfId="0" priority="22" operator="between" text="欠">
      <formula>NOT(ISERROR(SEARCH("欠",V91)))</formula>
    </cfRule>
  </conditionalFormatting>
  <conditionalFormatting sqref="V93:V94">
    <cfRule type="containsText" dxfId="0" priority="17" operator="between" text="欠">
      <formula>NOT(ISERROR(SEARCH("欠",V93)))</formula>
    </cfRule>
  </conditionalFormatting>
  <conditionalFormatting sqref="AU3:AU6">
    <cfRule type="expression" dxfId="2" priority="254">
      <formula>$AU$3="合计"</formula>
    </cfRule>
  </conditionalFormatting>
  <conditionalFormatting sqref="AV9:AV12">
    <cfRule type="expression" dxfId="2" priority="239">
      <formula>$AV$3="合计"</formula>
    </cfRule>
  </conditionalFormatting>
  <conditionalFormatting sqref="BF17:BF21">
    <cfRule type="expression" dxfId="2" priority="208">
      <formula>$BF$3="合计"</formula>
    </cfRule>
  </conditionalFormatting>
  <conditionalFormatting sqref="BF22:BF28">
    <cfRule type="expression" dxfId="2" priority="203">
      <formula>$BF$3="合计"</formula>
    </cfRule>
  </conditionalFormatting>
  <conditionalFormatting sqref="BF31:BF37">
    <cfRule type="expression" dxfId="2" priority="190">
      <formula>$BF$3="合计"</formula>
    </cfRule>
  </conditionalFormatting>
  <conditionalFormatting sqref="BI29:BI30">
    <cfRule type="expression" dxfId="2" priority="198">
      <formula>$BG$3="合计"</formula>
    </cfRule>
  </conditionalFormatting>
  <conditionalFormatting sqref="BI38:BI39">
    <cfRule type="expression" dxfId="2" priority="185">
      <formula>$BG$3="合计"</formula>
    </cfRule>
  </conditionalFormatting>
  <conditionalFormatting sqref="BJ29:BJ30">
    <cfRule type="expression" dxfId="2" priority="199">
      <formula>$BG$3="合计"</formula>
    </cfRule>
  </conditionalFormatting>
  <conditionalFormatting sqref="BJ38:BJ39">
    <cfRule type="expression" dxfId="2" priority="186">
      <formula>$BG$3="合计"</formula>
    </cfRule>
  </conditionalFormatting>
  <conditionalFormatting sqref="BN42:BN43">
    <cfRule type="expression" dxfId="2" priority="167">
      <formula>$BN$3="合计"</formula>
    </cfRule>
  </conditionalFormatting>
  <conditionalFormatting sqref="BN47:BN48">
    <cfRule type="expression" dxfId="2" priority="154">
      <formula>$BN$3="合计"</formula>
    </cfRule>
  </conditionalFormatting>
  <conditionalFormatting sqref="BN50:BN57">
    <cfRule type="expression" dxfId="2" priority="144">
      <formula>$BN$3="合计"</formula>
    </cfRule>
  </conditionalFormatting>
  <conditionalFormatting sqref="BN58:BN62">
    <cfRule type="expression" dxfId="2" priority="139">
      <formula>$BN$3="合计"</formula>
    </cfRule>
  </conditionalFormatting>
  <conditionalFormatting sqref="BO75:BO77">
    <cfRule type="expression" dxfId="2" priority="82">
      <formula>$BO$3="合计"</formula>
    </cfRule>
  </conditionalFormatting>
  <conditionalFormatting sqref="BO81:BO82">
    <cfRule type="expression" dxfId="2" priority="67">
      <formula>$BO$3="合计"</formula>
    </cfRule>
  </conditionalFormatting>
  <conditionalFormatting sqref="BO91:BO92">
    <cfRule type="expression" dxfId="2" priority="21">
      <formula>$BO$3="合计"</formula>
    </cfRule>
  </conditionalFormatting>
  <conditionalFormatting sqref="BO93:BO94">
    <cfRule type="expression" dxfId="2" priority="16">
      <formula>$BO$3="合计"</formula>
    </cfRule>
  </conditionalFormatting>
  <conditionalFormatting sqref="BQ44:BQ46">
    <cfRule type="expression" dxfId="2" priority="163">
      <formula>$BO$3="合计"</formula>
    </cfRule>
  </conditionalFormatting>
  <conditionalFormatting sqref="BQ65:BQ67">
    <cfRule type="expression" dxfId="2" priority="122">
      <formula>$BO$3="合计"</formula>
    </cfRule>
  </conditionalFormatting>
  <conditionalFormatting sqref="BQ72:BQ73">
    <cfRule type="expression" dxfId="2" priority="92">
      <formula>$BO$3="合计"</formula>
    </cfRule>
    <cfRule type="expression" dxfId="2" priority="91">
      <formula>#REF!="合计"</formula>
    </cfRule>
  </conditionalFormatting>
  <conditionalFormatting sqref="BQ78:BQ80">
    <cfRule type="expression" dxfId="2" priority="73">
      <formula>$BO$3="合计"</formula>
    </cfRule>
    <cfRule type="expression" dxfId="2" priority="72">
      <formula>#REF!="合计"</formula>
    </cfRule>
  </conditionalFormatting>
  <conditionalFormatting sqref="BQ89:BQ90">
    <cfRule type="expression" dxfId="2" priority="28">
      <formula>$BO$3="合计"</formula>
    </cfRule>
    <cfRule type="expression" dxfId="2" priority="27">
      <formula>#REF!="合计"</formula>
    </cfRule>
  </conditionalFormatting>
  <conditionalFormatting sqref="BQ95:BQ96">
    <cfRule type="expression" dxfId="2" priority="12">
      <formula>$BO$3="合计"</formula>
    </cfRule>
    <cfRule type="expression" dxfId="2" priority="11">
      <formula>#REF!="合计"</formula>
    </cfRule>
  </conditionalFormatting>
  <conditionalFormatting sqref="BR44:BR46">
    <cfRule type="expression" dxfId="2" priority="164">
      <formula>$BO$3="合计"</formula>
    </cfRule>
  </conditionalFormatting>
  <conditionalFormatting sqref="BR65:BR67">
    <cfRule type="expression" dxfId="2" priority="123">
      <formula>$BO$3="合计"</formula>
    </cfRule>
  </conditionalFormatting>
  <conditionalFormatting sqref="S3:T6">
    <cfRule type="containsText" dxfId="0" priority="255" operator="between" text="欠">
      <formula>NOT(ISERROR(SEARCH("欠",S3)))</formula>
    </cfRule>
  </conditionalFormatting>
  <conditionalFormatting sqref="R13 T13">
    <cfRule type="containsText" dxfId="0" priority="229" operator="between" text="欠">
      <formula>NOT(ISERROR(SEARCH("欠",R13)))</formula>
    </cfRule>
  </conditionalFormatting>
  <conditionalFormatting sqref="BI29:BJ30">
    <cfRule type="expression" dxfId="2" priority="197">
      <formula>$BI$3="合计"</formula>
    </cfRule>
    <cfRule type="expression" dxfId="2" priority="196">
      <formula>$BI29="合计"</formula>
    </cfRule>
  </conditionalFormatting>
  <conditionalFormatting sqref="BI38:BJ39">
    <cfRule type="expression" dxfId="2" priority="184">
      <formula>$BI$3="合计"</formula>
    </cfRule>
    <cfRule type="expression" dxfId="2" priority="183">
      <formula>$BI38="合计"</formula>
    </cfRule>
  </conditionalFormatting>
  <conditionalFormatting sqref="BQ44:BR46">
    <cfRule type="expression" dxfId="2" priority="162">
      <formula>$BQ$3="合计"</formula>
    </cfRule>
    <cfRule type="expression" dxfId="2" priority="161">
      <formula>$BQ44="合计"</formula>
    </cfRule>
  </conditionalFormatting>
  <conditionalFormatting sqref="BQ65:BR67">
    <cfRule type="expression" dxfId="2" priority="121">
      <formula>$BQ$3="合计"</formula>
    </cfRule>
    <cfRule type="expression" dxfId="2" priority="120">
      <formula>$BQ65="合计"</formula>
    </cfRule>
  </conditionalFormatting>
  <dataValidations count="1">
    <dataValidation type="list" allowBlank="1" showInputMessage="1" showErrorMessage="1" sqref="AC16 AC63 AD64 AD68 AD71 AH97 AC2:AC13 AC29:AC30 AC38:AC39 AC44:AC46 AC65:AC67 AC72:AC74 AC78:AC80 AC86:AC90 AC95:AC96 AD14:AD15 AD17:AD28 AD31:AD37 AD40:AD43 AD47:AD62 AD75:AD77 AD81:AD85 AD91:AD94">
      <formula1>"已入,无BOM"</formula1>
    </dataValidation>
  </dataValidations>
  <pageMargins left="0.75" right="0.75" top="1" bottom="1" header="0.5" footer="0.5"/>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83"/>
  <sheetViews>
    <sheetView zoomScale="40" zoomScaleNormal="40" workbookViewId="0">
      <pane xSplit="13" ySplit="3" topLeftCell="N128" activePane="bottomRight" state="frozen"/>
      <selection/>
      <selection pane="topRight"/>
      <selection pane="bottomLeft"/>
      <selection pane="bottomRight" activeCell="D1021" sqref="D1021"/>
    </sheetView>
  </sheetViews>
  <sheetFormatPr defaultColWidth="9" defaultRowHeight="27"/>
  <cols>
    <col min="1" max="1" width="16.5833333333333" style="403" customWidth="1"/>
    <col min="2" max="3" width="11.3" style="403" customWidth="1"/>
    <col min="4" max="4" width="19.9916666666667" style="398" customWidth="1"/>
    <col min="5" max="5" width="21.0083333333333" style="398" customWidth="1"/>
    <col min="6" max="6" width="18.6333333333333" style="403" customWidth="1"/>
    <col min="7" max="7" width="30.8" style="398" customWidth="1"/>
    <col min="8" max="8" width="12.6416666666667" style="398" customWidth="1"/>
    <col min="9" max="9" width="9.275" style="398" customWidth="1"/>
    <col min="10" max="10" width="9.41666666666667" style="398" customWidth="1"/>
    <col min="11" max="11" width="11.5833333333333" style="398" customWidth="1"/>
    <col min="12" max="12" width="21.35" style="398" customWidth="1"/>
    <col min="13" max="13" width="21.275" style="404" customWidth="1"/>
    <col min="14" max="14" width="29.4" style="403" customWidth="1"/>
    <col min="15" max="15" width="17.4" style="405" customWidth="1"/>
    <col min="16" max="19" width="17.4" style="403" hidden="1" customWidth="1"/>
    <col min="20" max="20" width="17.4" style="406" hidden="1" customWidth="1"/>
    <col min="21" max="22" width="17.4" style="407" hidden="1" customWidth="1"/>
    <col min="23" max="30" width="17.4" style="408" hidden="1" customWidth="1"/>
    <col min="31" max="31" width="99.5" style="409" customWidth="1"/>
    <col min="32" max="32" width="20" style="400" customWidth="1"/>
    <col min="33" max="16349" width="9" style="400"/>
    <col min="16350" max="16384" width="9" style="265"/>
  </cols>
  <sheetData>
    <row r="1" s="398" customFormat="1" ht="75" customHeight="1" spans="1:31">
      <c r="A1" s="406"/>
      <c r="B1" s="410"/>
      <c r="C1" s="410"/>
      <c r="D1" s="406"/>
      <c r="E1" s="406"/>
      <c r="F1" s="410"/>
      <c r="G1" s="406"/>
      <c r="H1" s="406"/>
      <c r="I1" s="411"/>
      <c r="J1" s="412"/>
      <c r="K1" s="411"/>
      <c r="L1" s="411"/>
      <c r="M1" s="413"/>
      <c r="N1" s="414"/>
      <c r="O1" s="415"/>
      <c r="P1" s="414"/>
      <c r="Q1" s="414"/>
      <c r="R1" s="414"/>
      <c r="S1" s="414"/>
      <c r="T1" s="411"/>
      <c r="U1" s="416"/>
      <c r="V1" s="416"/>
      <c r="W1" s="416"/>
      <c r="X1" s="417"/>
      <c r="Y1" s="417"/>
      <c r="Z1" s="417"/>
      <c r="AA1" s="417"/>
      <c r="AB1" s="417"/>
      <c r="AC1" s="417"/>
      <c r="AD1" s="417"/>
      <c r="AE1" s="418"/>
    </row>
    <row r="2" s="399" customFormat="1" ht="24.95" customHeight="1" spans="1:31">
      <c r="A2" s="419"/>
      <c r="B2" s="419"/>
      <c r="C2" s="419"/>
      <c r="D2" s="420"/>
      <c r="E2" s="420"/>
      <c r="F2" s="421"/>
      <c r="G2" s="421" t="s">
        <v>3</v>
      </c>
      <c r="H2" s="421"/>
      <c r="I2" s="406"/>
      <c r="J2" s="406" t="s">
        <v>4</v>
      </c>
      <c r="K2" s="406"/>
      <c r="L2" s="406"/>
      <c r="M2" s="422"/>
      <c r="N2" s="410" t="s">
        <v>5</v>
      </c>
      <c r="O2" s="423"/>
      <c r="P2" s="424" t="s">
        <v>6</v>
      </c>
      <c r="Q2" s="424"/>
      <c r="R2" s="424"/>
      <c r="S2" s="424"/>
      <c r="T2" s="424"/>
      <c r="U2" s="425" t="s">
        <v>286</v>
      </c>
      <c r="V2" s="425"/>
      <c r="W2" s="426"/>
      <c r="X2" s="426" t="s">
        <v>287</v>
      </c>
      <c r="Y2" s="426"/>
      <c r="Z2" s="426"/>
      <c r="AA2" s="408"/>
      <c r="AB2" s="408"/>
      <c r="AC2" s="408"/>
      <c r="AD2" s="408"/>
      <c r="AE2" s="418"/>
    </row>
    <row r="3" s="400" customFormat="1" ht="89" customHeight="1" spans="1:31">
      <c r="A3" s="427" t="s">
        <v>15</v>
      </c>
      <c r="B3" s="427" t="s">
        <v>16</v>
      </c>
      <c r="C3" s="427"/>
      <c r="D3" s="427" t="s">
        <v>17</v>
      </c>
      <c r="E3" s="427" t="s">
        <v>12222</v>
      </c>
      <c r="F3" s="427" t="s">
        <v>21</v>
      </c>
      <c r="G3" s="427" t="s">
        <v>22</v>
      </c>
      <c r="H3" s="427" t="s">
        <v>23</v>
      </c>
      <c r="I3" s="427" t="s">
        <v>24</v>
      </c>
      <c r="J3" s="427" t="s">
        <v>25</v>
      </c>
      <c r="K3" s="427" t="s">
        <v>26</v>
      </c>
      <c r="L3" s="427" t="s">
        <v>27</v>
      </c>
      <c r="M3" s="428" t="s">
        <v>13020</v>
      </c>
      <c r="N3" s="429" t="s">
        <v>29</v>
      </c>
      <c r="O3" s="427" t="s">
        <v>40</v>
      </c>
      <c r="P3" s="427" t="s">
        <v>6038</v>
      </c>
      <c r="Q3" s="430" t="s">
        <v>13021</v>
      </c>
      <c r="R3" s="431" t="s">
        <v>46</v>
      </c>
      <c r="S3" s="432" t="s">
        <v>6040</v>
      </c>
      <c r="T3" s="433" t="s">
        <v>48</v>
      </c>
      <c r="U3" s="433" t="s">
        <v>294</v>
      </c>
      <c r="V3" s="434" t="s">
        <v>13022</v>
      </c>
      <c r="W3" s="435" t="s">
        <v>52</v>
      </c>
      <c r="X3" s="436" t="s">
        <v>53</v>
      </c>
      <c r="Y3" s="437" t="s">
        <v>297</v>
      </c>
      <c r="Z3" s="435" t="s">
        <v>300</v>
      </c>
      <c r="AA3" s="437" t="s">
        <v>6042</v>
      </c>
      <c r="AB3" s="427" t="s">
        <v>2567</v>
      </c>
      <c r="AC3" s="427" t="s">
        <v>2569</v>
      </c>
      <c r="AD3" s="427" t="s">
        <v>6045</v>
      </c>
      <c r="AE3" s="409"/>
    </row>
    <row r="4" s="401" customFormat="1" ht="50" customHeight="1" spans="1:31">
      <c r="A4" s="438" t="s">
        <v>2285</v>
      </c>
      <c r="B4" s="438" t="s">
        <v>351</v>
      </c>
      <c r="C4" s="438"/>
      <c r="D4" s="439">
        <v>4500159511</v>
      </c>
      <c r="E4" s="440" t="s">
        <v>3330</v>
      </c>
      <c r="F4" s="440" t="s">
        <v>6641</v>
      </c>
      <c r="G4" s="440" t="s">
        <v>6642</v>
      </c>
      <c r="H4" s="441">
        <v>1827</v>
      </c>
      <c r="I4" s="441">
        <v>0</v>
      </c>
      <c r="J4" s="441">
        <v>1</v>
      </c>
      <c r="K4" s="441">
        <f t="shared" ref="K4:K56" si="0">H4/J4</f>
        <v>1827</v>
      </c>
      <c r="L4" s="442">
        <v>45806</v>
      </c>
      <c r="M4" s="443">
        <v>45803</v>
      </c>
      <c r="N4" s="441" t="s">
        <v>12612</v>
      </c>
      <c r="O4" s="438" t="s">
        <v>1199</v>
      </c>
      <c r="P4" s="440"/>
      <c r="Q4" s="440">
        <f t="shared" ref="Q4:Q7" si="1">H4</f>
        <v>1827</v>
      </c>
      <c r="R4" s="440"/>
      <c r="S4" s="440"/>
      <c r="T4" s="440"/>
      <c r="U4" s="441"/>
      <c r="V4" s="441">
        <f t="shared" ref="V4:V11" si="2">H4</f>
        <v>1827</v>
      </c>
      <c r="W4" s="444"/>
      <c r="X4" s="444"/>
      <c r="Y4" s="444">
        <f t="shared" ref="Y4:Y11" si="3">H4</f>
        <v>1827</v>
      </c>
      <c r="Z4" s="444"/>
      <c r="AA4" s="444"/>
      <c r="AB4" s="444"/>
      <c r="AC4" s="444"/>
      <c r="AD4" s="444"/>
      <c r="AE4" s="445" t="s">
        <v>4196</v>
      </c>
    </row>
    <row r="5" s="401" customFormat="1" ht="50" customHeight="1" spans="1:31">
      <c r="A5" s="438" t="s">
        <v>2285</v>
      </c>
      <c r="B5" s="438" t="s">
        <v>351</v>
      </c>
      <c r="C5" s="438"/>
      <c r="D5" s="439">
        <v>4500159511</v>
      </c>
      <c r="E5" s="440" t="s">
        <v>3515</v>
      </c>
      <c r="F5" s="440" t="s">
        <v>6641</v>
      </c>
      <c r="G5" s="440" t="s">
        <v>6642</v>
      </c>
      <c r="H5" s="441">
        <v>711</v>
      </c>
      <c r="I5" s="441">
        <v>0</v>
      </c>
      <c r="J5" s="441">
        <v>1</v>
      </c>
      <c r="K5" s="441">
        <f t="shared" si="0"/>
        <v>711</v>
      </c>
      <c r="L5" s="442">
        <v>45806</v>
      </c>
      <c r="M5" s="443">
        <v>45803</v>
      </c>
      <c r="N5" s="441" t="s">
        <v>12612</v>
      </c>
      <c r="O5" s="438" t="s">
        <v>1199</v>
      </c>
      <c r="P5" s="440"/>
      <c r="Q5" s="440">
        <f t="shared" si="1"/>
        <v>711</v>
      </c>
      <c r="R5" s="440"/>
      <c r="S5" s="440"/>
      <c r="T5" s="440"/>
      <c r="U5" s="441"/>
      <c r="V5" s="441">
        <f t="shared" si="2"/>
        <v>711</v>
      </c>
      <c r="W5" s="444"/>
      <c r="X5" s="444"/>
      <c r="Y5" s="444">
        <f t="shared" si="3"/>
        <v>711</v>
      </c>
      <c r="Z5" s="444"/>
      <c r="AA5" s="444"/>
      <c r="AB5" s="444"/>
      <c r="AC5" s="444"/>
      <c r="AD5" s="444"/>
      <c r="AE5" s="445" t="s">
        <v>4196</v>
      </c>
    </row>
    <row r="6" s="401" customFormat="1" ht="50" customHeight="1" spans="1:31">
      <c r="A6" s="438" t="s">
        <v>2285</v>
      </c>
      <c r="B6" s="438" t="s">
        <v>351</v>
      </c>
      <c r="C6" s="438"/>
      <c r="D6" s="439">
        <v>4500159511</v>
      </c>
      <c r="E6" s="440" t="s">
        <v>3330</v>
      </c>
      <c r="F6" s="440" t="s">
        <v>6643</v>
      </c>
      <c r="G6" s="441" t="s">
        <v>3517</v>
      </c>
      <c r="H6" s="441">
        <v>6180</v>
      </c>
      <c r="I6" s="441">
        <v>0</v>
      </c>
      <c r="J6" s="441">
        <v>12</v>
      </c>
      <c r="K6" s="441">
        <f t="shared" si="0"/>
        <v>515</v>
      </c>
      <c r="L6" s="442">
        <v>45806</v>
      </c>
      <c r="M6" s="443">
        <v>45803</v>
      </c>
      <c r="N6" s="441" t="s">
        <v>12612</v>
      </c>
      <c r="O6" s="438" t="s">
        <v>1199</v>
      </c>
      <c r="P6" s="440"/>
      <c r="Q6" s="440">
        <f t="shared" si="1"/>
        <v>6180</v>
      </c>
      <c r="R6" s="440"/>
      <c r="S6" s="440"/>
      <c r="T6" s="440"/>
      <c r="U6" s="441"/>
      <c r="V6" s="441">
        <f t="shared" si="2"/>
        <v>6180</v>
      </c>
      <c r="W6" s="444"/>
      <c r="X6" s="444"/>
      <c r="Y6" s="444">
        <f t="shared" si="3"/>
        <v>6180</v>
      </c>
      <c r="Z6" s="444"/>
      <c r="AA6" s="444"/>
      <c r="AB6" s="444"/>
      <c r="AC6" s="444"/>
      <c r="AD6" s="444"/>
      <c r="AE6" s="445" t="s">
        <v>4196</v>
      </c>
    </row>
    <row r="7" s="401" customFormat="1" ht="50" customHeight="1" spans="1:31">
      <c r="A7" s="438" t="s">
        <v>2285</v>
      </c>
      <c r="B7" s="438" t="s">
        <v>351</v>
      </c>
      <c r="C7" s="438"/>
      <c r="D7" s="439">
        <v>4500159511</v>
      </c>
      <c r="E7" s="440" t="s">
        <v>3515</v>
      </c>
      <c r="F7" s="440" t="s">
        <v>6643</v>
      </c>
      <c r="G7" s="441" t="s">
        <v>3517</v>
      </c>
      <c r="H7" s="441">
        <v>2400</v>
      </c>
      <c r="I7" s="441">
        <v>0</v>
      </c>
      <c r="J7" s="441">
        <v>12</v>
      </c>
      <c r="K7" s="441">
        <f t="shared" si="0"/>
        <v>200</v>
      </c>
      <c r="L7" s="442">
        <v>45806</v>
      </c>
      <c r="M7" s="443">
        <v>45803</v>
      </c>
      <c r="N7" s="441" t="s">
        <v>12612</v>
      </c>
      <c r="O7" s="438" t="s">
        <v>1199</v>
      </c>
      <c r="P7" s="440"/>
      <c r="Q7" s="440">
        <f t="shared" si="1"/>
        <v>2400</v>
      </c>
      <c r="R7" s="440"/>
      <c r="S7" s="440"/>
      <c r="T7" s="440"/>
      <c r="U7" s="441"/>
      <c r="V7" s="441">
        <f t="shared" si="2"/>
        <v>2400</v>
      </c>
      <c r="W7" s="444"/>
      <c r="X7" s="444"/>
      <c r="Y7" s="444">
        <f t="shared" si="3"/>
        <v>2400</v>
      </c>
      <c r="Z7" s="444"/>
      <c r="AA7" s="444"/>
      <c r="AB7" s="444"/>
      <c r="AC7" s="444"/>
      <c r="AD7" s="444"/>
      <c r="AE7" s="445" t="s">
        <v>4196</v>
      </c>
    </row>
    <row r="8" s="401" customFormat="1" ht="50" customHeight="1" spans="1:31">
      <c r="A8" s="438" t="s">
        <v>2285</v>
      </c>
      <c r="B8" s="440" t="s">
        <v>2580</v>
      </c>
      <c r="C8" s="440"/>
      <c r="D8" s="441">
        <v>4500151404</v>
      </c>
      <c r="E8" s="440" t="s">
        <v>3330</v>
      </c>
      <c r="F8" s="440" t="s">
        <v>6254</v>
      </c>
      <c r="G8" s="441" t="s">
        <v>6063</v>
      </c>
      <c r="H8" s="441">
        <v>6540</v>
      </c>
      <c r="I8" s="441">
        <v>0</v>
      </c>
      <c r="J8" s="441">
        <v>6</v>
      </c>
      <c r="K8" s="441">
        <f t="shared" si="0"/>
        <v>1090</v>
      </c>
      <c r="L8" s="442">
        <v>45817</v>
      </c>
      <c r="M8" s="443">
        <v>45813</v>
      </c>
      <c r="N8" s="441" t="s">
        <v>12612</v>
      </c>
      <c r="O8" s="438" t="s">
        <v>357</v>
      </c>
      <c r="P8" s="440"/>
      <c r="Q8" s="440"/>
      <c r="R8" s="440"/>
      <c r="S8" s="440"/>
      <c r="T8" s="440">
        <f t="shared" ref="T8:T11" si="4">H8</f>
        <v>6540</v>
      </c>
      <c r="U8" s="441"/>
      <c r="V8" s="441">
        <f t="shared" si="2"/>
        <v>6540</v>
      </c>
      <c r="W8" s="444"/>
      <c r="X8" s="444"/>
      <c r="Y8" s="444">
        <f t="shared" si="3"/>
        <v>6540</v>
      </c>
      <c r="Z8" s="444"/>
      <c r="AA8" s="444"/>
      <c r="AB8" s="444"/>
      <c r="AC8" s="444">
        <f t="shared" ref="AC8:AC11" si="5">H8/6</f>
        <v>1090</v>
      </c>
      <c r="AD8" s="444"/>
      <c r="AE8" s="445" t="s">
        <v>4196</v>
      </c>
    </row>
    <row r="9" s="401" customFormat="1" ht="50" customHeight="1" spans="1:31">
      <c r="A9" s="438" t="s">
        <v>2285</v>
      </c>
      <c r="B9" s="440" t="s">
        <v>2580</v>
      </c>
      <c r="C9" s="440"/>
      <c r="D9" s="441">
        <v>4500151404</v>
      </c>
      <c r="E9" s="440" t="s">
        <v>3336</v>
      </c>
      <c r="F9" s="440" t="s">
        <v>6254</v>
      </c>
      <c r="G9" s="441" t="s">
        <v>6063</v>
      </c>
      <c r="H9" s="441">
        <v>3276</v>
      </c>
      <c r="I9" s="441">
        <v>0</v>
      </c>
      <c r="J9" s="441">
        <v>6</v>
      </c>
      <c r="K9" s="441">
        <f t="shared" si="0"/>
        <v>546</v>
      </c>
      <c r="L9" s="442">
        <v>45817</v>
      </c>
      <c r="M9" s="443">
        <v>45813</v>
      </c>
      <c r="N9" s="441" t="s">
        <v>12612</v>
      </c>
      <c r="O9" s="438" t="s">
        <v>357</v>
      </c>
      <c r="P9" s="440"/>
      <c r="Q9" s="440"/>
      <c r="R9" s="440"/>
      <c r="S9" s="440"/>
      <c r="T9" s="440">
        <f t="shared" si="4"/>
        <v>3276</v>
      </c>
      <c r="U9" s="441"/>
      <c r="V9" s="441">
        <f t="shared" si="2"/>
        <v>3276</v>
      </c>
      <c r="W9" s="444"/>
      <c r="X9" s="444"/>
      <c r="Y9" s="444">
        <f t="shared" si="3"/>
        <v>3276</v>
      </c>
      <c r="Z9" s="444"/>
      <c r="AA9" s="444"/>
      <c r="AB9" s="444"/>
      <c r="AC9" s="444">
        <f t="shared" si="5"/>
        <v>546</v>
      </c>
      <c r="AD9" s="444"/>
      <c r="AE9" s="445" t="s">
        <v>4196</v>
      </c>
    </row>
    <row r="10" s="401" customFormat="1" ht="50" customHeight="1" spans="1:31">
      <c r="A10" s="438" t="s">
        <v>2285</v>
      </c>
      <c r="B10" s="438" t="s">
        <v>2580</v>
      </c>
      <c r="C10" s="438"/>
      <c r="D10" s="441">
        <v>4500151414</v>
      </c>
      <c r="E10" s="441" t="s">
        <v>3330</v>
      </c>
      <c r="F10" s="440" t="s">
        <v>6254</v>
      </c>
      <c r="G10" s="441" t="s">
        <v>6063</v>
      </c>
      <c r="H10" s="441">
        <v>6720</v>
      </c>
      <c r="I10" s="441">
        <v>0</v>
      </c>
      <c r="J10" s="441">
        <v>6</v>
      </c>
      <c r="K10" s="441">
        <f t="shared" si="0"/>
        <v>1120</v>
      </c>
      <c r="L10" s="442">
        <v>45847</v>
      </c>
      <c r="M10" s="443">
        <v>45843</v>
      </c>
      <c r="N10" s="318" t="s">
        <v>12612</v>
      </c>
      <c r="O10" s="438" t="s">
        <v>357</v>
      </c>
      <c r="P10" s="440"/>
      <c r="Q10" s="440"/>
      <c r="R10" s="440"/>
      <c r="S10" s="440"/>
      <c r="T10" s="440">
        <f t="shared" si="4"/>
        <v>6720</v>
      </c>
      <c r="U10" s="441"/>
      <c r="V10" s="441">
        <f t="shared" si="2"/>
        <v>6720</v>
      </c>
      <c r="W10" s="444"/>
      <c r="X10" s="444"/>
      <c r="Y10" s="444">
        <f t="shared" si="3"/>
        <v>6720</v>
      </c>
      <c r="Z10" s="444"/>
      <c r="AA10" s="444"/>
      <c r="AB10" s="444"/>
      <c r="AC10" s="444">
        <f t="shared" si="5"/>
        <v>1120</v>
      </c>
      <c r="AD10" s="444"/>
      <c r="AE10" s="445" t="s">
        <v>4196</v>
      </c>
    </row>
    <row r="11" s="401" customFormat="1" ht="50" customHeight="1" spans="1:31">
      <c r="A11" s="438" t="s">
        <v>2285</v>
      </c>
      <c r="B11" s="438" t="s">
        <v>2580</v>
      </c>
      <c r="C11" s="438"/>
      <c r="D11" s="441">
        <v>4500151414</v>
      </c>
      <c r="E11" s="441" t="s">
        <v>3336</v>
      </c>
      <c r="F11" s="440" t="s">
        <v>6254</v>
      </c>
      <c r="G11" s="441" t="s">
        <v>6063</v>
      </c>
      <c r="H11" s="441">
        <v>2952</v>
      </c>
      <c r="I11" s="441">
        <v>0</v>
      </c>
      <c r="J11" s="441">
        <v>6</v>
      </c>
      <c r="K11" s="441">
        <f t="shared" si="0"/>
        <v>492</v>
      </c>
      <c r="L11" s="442">
        <v>45847</v>
      </c>
      <c r="M11" s="443">
        <v>45843</v>
      </c>
      <c r="N11" s="318" t="s">
        <v>12612</v>
      </c>
      <c r="O11" s="438" t="s">
        <v>357</v>
      </c>
      <c r="P11" s="440"/>
      <c r="Q11" s="440"/>
      <c r="R11" s="440"/>
      <c r="S11" s="440"/>
      <c r="T11" s="440">
        <f t="shared" si="4"/>
        <v>2952</v>
      </c>
      <c r="U11" s="441"/>
      <c r="V11" s="441">
        <f t="shared" si="2"/>
        <v>2952</v>
      </c>
      <c r="W11" s="444"/>
      <c r="X11" s="444"/>
      <c r="Y11" s="444">
        <f t="shared" si="3"/>
        <v>2952</v>
      </c>
      <c r="Z11" s="444"/>
      <c r="AA11" s="444"/>
      <c r="AB11" s="444"/>
      <c r="AC11" s="444">
        <f t="shared" si="5"/>
        <v>492</v>
      </c>
      <c r="AD11" s="444"/>
      <c r="AE11" s="445" t="s">
        <v>4196</v>
      </c>
    </row>
    <row r="12" s="400" customFormat="1" ht="50" customHeight="1" spans="1:31">
      <c r="A12" s="365" t="s">
        <v>7153</v>
      </c>
      <c r="B12" s="365" t="s">
        <v>569</v>
      </c>
      <c r="C12" s="365" t="str">
        <f>D12&amp;F12&amp;G12&amp;H12</f>
        <v>450016674892104F-S001长尾巴猫（展示架）600</v>
      </c>
      <c r="D12" s="366">
        <v>4500166748</v>
      </c>
      <c r="E12" s="345"/>
      <c r="F12" s="367" t="s">
        <v>7155</v>
      </c>
      <c r="G12" s="345" t="s">
        <v>7156</v>
      </c>
      <c r="H12" s="345">
        <v>600</v>
      </c>
      <c r="I12" s="345">
        <v>0</v>
      </c>
      <c r="J12" s="345">
        <v>40</v>
      </c>
      <c r="K12" s="345">
        <f t="shared" si="0"/>
        <v>15</v>
      </c>
      <c r="L12" s="353">
        <v>45841</v>
      </c>
      <c r="M12" s="446">
        <v>45847</v>
      </c>
      <c r="N12" s="441" t="s">
        <v>7082</v>
      </c>
      <c r="O12" s="365" t="s">
        <v>3720</v>
      </c>
      <c r="P12" s="367"/>
      <c r="Q12" s="367"/>
      <c r="R12" s="367">
        <f t="shared" ref="R12:R17" si="6">H12</f>
        <v>600</v>
      </c>
      <c r="S12" s="367"/>
      <c r="T12" s="367"/>
      <c r="U12" s="345">
        <f t="shared" ref="U12:U14" si="7">H12</f>
        <v>600</v>
      </c>
      <c r="V12" s="345"/>
      <c r="W12" s="447"/>
      <c r="X12" s="447"/>
      <c r="Y12" s="447"/>
      <c r="Z12" s="447">
        <f>H12</f>
        <v>600</v>
      </c>
      <c r="AA12" s="447"/>
      <c r="AB12" s="447"/>
      <c r="AC12" s="447"/>
      <c r="AD12" s="447"/>
      <c r="AE12" s="448" t="s">
        <v>13023</v>
      </c>
    </row>
    <row r="13" s="400" customFormat="1" ht="50" customHeight="1" spans="1:31">
      <c r="A13" s="365" t="s">
        <v>331</v>
      </c>
      <c r="B13" s="365" t="s">
        <v>4102</v>
      </c>
      <c r="C13" s="365" t="str">
        <f t="shared" ref="C13:C44" si="8">D13&amp;F13&amp;G13&amp;H13</f>
        <v>450016866192123-S002-92104长尾巴猫（9298+92104）2004</v>
      </c>
      <c r="D13" s="366">
        <v>4500168661</v>
      </c>
      <c r="E13" s="345" t="s">
        <v>4103</v>
      </c>
      <c r="F13" s="367" t="s">
        <v>7203</v>
      </c>
      <c r="G13" s="345" t="s">
        <v>3517</v>
      </c>
      <c r="H13" s="345">
        <v>2004</v>
      </c>
      <c r="I13" s="345">
        <v>0</v>
      </c>
      <c r="J13" s="345">
        <v>6</v>
      </c>
      <c r="K13" s="345">
        <f t="shared" si="0"/>
        <v>334</v>
      </c>
      <c r="L13" s="353">
        <v>45848</v>
      </c>
      <c r="M13" s="353">
        <v>45848</v>
      </c>
      <c r="N13" s="324" t="s">
        <v>7204</v>
      </c>
      <c r="O13" s="365" t="s">
        <v>2382</v>
      </c>
      <c r="P13" s="367">
        <f>H13</f>
        <v>2004</v>
      </c>
      <c r="Q13" s="367"/>
      <c r="R13" s="367"/>
      <c r="S13" s="367"/>
      <c r="T13" s="367"/>
      <c r="U13" s="345">
        <f t="shared" si="7"/>
        <v>2004</v>
      </c>
      <c r="V13" s="345"/>
      <c r="W13" s="447"/>
      <c r="X13" s="447">
        <f t="shared" ref="X13:X16" si="9">H13</f>
        <v>2004</v>
      </c>
      <c r="Y13" s="447"/>
      <c r="Z13" s="447"/>
      <c r="AA13" s="447"/>
      <c r="AB13" s="447"/>
      <c r="AC13" s="447"/>
      <c r="AD13" s="447"/>
      <c r="AE13" s="448" t="s">
        <v>13023</v>
      </c>
    </row>
    <row r="14" s="400" customFormat="1" ht="50" customHeight="1" spans="1:31">
      <c r="A14" s="365" t="s">
        <v>3156</v>
      </c>
      <c r="B14" s="365" t="s">
        <v>471</v>
      </c>
      <c r="C14" s="365" t="str">
        <f t="shared" si="8"/>
        <v>450016919092104TQ1-S001-MTS长尾巴猫7800</v>
      </c>
      <c r="D14" s="345">
        <v>4500169190</v>
      </c>
      <c r="E14" s="345">
        <v>5200006920</v>
      </c>
      <c r="F14" s="367" t="s">
        <v>7131</v>
      </c>
      <c r="G14" s="345" t="s">
        <v>6063</v>
      </c>
      <c r="H14" s="345">
        <v>7800</v>
      </c>
      <c r="I14" s="345">
        <v>0</v>
      </c>
      <c r="J14" s="345">
        <v>12</v>
      </c>
      <c r="K14" s="345">
        <f t="shared" si="0"/>
        <v>650</v>
      </c>
      <c r="L14" s="353">
        <v>45849</v>
      </c>
      <c r="M14" s="353">
        <v>45849</v>
      </c>
      <c r="N14" s="345"/>
      <c r="O14" s="365" t="s">
        <v>4059</v>
      </c>
      <c r="P14" s="367"/>
      <c r="Q14" s="367"/>
      <c r="R14" s="367">
        <f t="shared" si="6"/>
        <v>7800</v>
      </c>
      <c r="S14" s="367"/>
      <c r="T14" s="367"/>
      <c r="U14" s="345">
        <f t="shared" si="7"/>
        <v>7800</v>
      </c>
      <c r="V14" s="345"/>
      <c r="W14" s="447"/>
      <c r="X14" s="447">
        <f t="shared" si="9"/>
        <v>7800</v>
      </c>
      <c r="Y14" s="447"/>
      <c r="Z14" s="447"/>
      <c r="AA14" s="447"/>
      <c r="AB14" s="447">
        <f>H14/6</f>
        <v>1300</v>
      </c>
      <c r="AC14" s="447"/>
      <c r="AD14" s="447"/>
      <c r="AE14" s="448" t="s">
        <v>13023</v>
      </c>
    </row>
    <row r="15" s="400" customFormat="1" ht="50" customHeight="1" spans="1:31">
      <c r="A15" s="365" t="s">
        <v>2732</v>
      </c>
      <c r="B15" s="365" t="s">
        <v>840</v>
      </c>
      <c r="C15" s="365" t="str">
        <f t="shared" si="8"/>
        <v>450016893092123-S001-92104长尾巴猫（9298+92104）2604</v>
      </c>
      <c r="D15" s="345">
        <v>4500168930</v>
      </c>
      <c r="E15" s="345" t="s">
        <v>4147</v>
      </c>
      <c r="F15" s="367" t="s">
        <v>6643</v>
      </c>
      <c r="G15" s="345" t="s">
        <v>3517</v>
      </c>
      <c r="H15" s="345">
        <v>2604</v>
      </c>
      <c r="I15" s="345">
        <v>0</v>
      </c>
      <c r="J15" s="345">
        <v>12</v>
      </c>
      <c r="K15" s="345">
        <f t="shared" si="0"/>
        <v>217</v>
      </c>
      <c r="L15" s="353">
        <v>45852</v>
      </c>
      <c r="M15" s="353">
        <v>45852</v>
      </c>
      <c r="N15" s="367"/>
      <c r="O15" s="365" t="s">
        <v>4141</v>
      </c>
      <c r="P15" s="367"/>
      <c r="Q15" s="440">
        <f t="shared" ref="Q15:Q20" si="10">H15</f>
        <v>2604</v>
      </c>
      <c r="R15" s="367"/>
      <c r="S15" s="367"/>
      <c r="T15" s="367"/>
      <c r="U15" s="345"/>
      <c r="V15" s="441">
        <f>H15</f>
        <v>2604</v>
      </c>
      <c r="W15" s="447"/>
      <c r="X15" s="447">
        <f t="shared" si="9"/>
        <v>2604</v>
      </c>
      <c r="Y15" s="447"/>
      <c r="Z15" s="447"/>
      <c r="AA15" s="447"/>
      <c r="AB15" s="447"/>
      <c r="AC15" s="447"/>
      <c r="AD15" s="447"/>
      <c r="AE15" s="448" t="s">
        <v>13024</v>
      </c>
    </row>
    <row r="16" s="400" customFormat="1" ht="50" customHeight="1" spans="1:31">
      <c r="A16" s="365" t="s">
        <v>2732</v>
      </c>
      <c r="B16" s="365" t="s">
        <v>840</v>
      </c>
      <c r="C16" s="365" t="str">
        <f t="shared" si="8"/>
        <v>450016893492123-S001-92104长尾巴猫（9298+92104）1404</v>
      </c>
      <c r="D16" s="345">
        <v>4500168934</v>
      </c>
      <c r="E16" s="345">
        <v>29083575</v>
      </c>
      <c r="F16" s="367" t="s">
        <v>6643</v>
      </c>
      <c r="G16" s="345" t="s">
        <v>3517</v>
      </c>
      <c r="H16" s="345">
        <v>1404</v>
      </c>
      <c r="I16" s="345">
        <v>0</v>
      </c>
      <c r="J16" s="345">
        <v>12</v>
      </c>
      <c r="K16" s="345">
        <f t="shared" si="0"/>
        <v>117</v>
      </c>
      <c r="L16" s="353">
        <v>45852</v>
      </c>
      <c r="M16" s="353">
        <v>45852</v>
      </c>
      <c r="N16" s="367"/>
      <c r="O16" s="365" t="s">
        <v>4141</v>
      </c>
      <c r="P16" s="367"/>
      <c r="Q16" s="440">
        <f t="shared" si="10"/>
        <v>1404</v>
      </c>
      <c r="R16" s="367"/>
      <c r="S16" s="367"/>
      <c r="T16" s="367"/>
      <c r="U16" s="345"/>
      <c r="V16" s="441">
        <f>H16</f>
        <v>1404</v>
      </c>
      <c r="W16" s="447"/>
      <c r="X16" s="447">
        <f t="shared" si="9"/>
        <v>1404</v>
      </c>
      <c r="Y16" s="447"/>
      <c r="Z16" s="447"/>
      <c r="AA16" s="447"/>
      <c r="AB16" s="447"/>
      <c r="AC16" s="447"/>
      <c r="AD16" s="447"/>
      <c r="AE16" s="448" t="s">
        <v>13024</v>
      </c>
    </row>
    <row r="17" s="400" customFormat="1" ht="50" customHeight="1" spans="1:31">
      <c r="A17" s="365" t="s">
        <v>7141</v>
      </c>
      <c r="B17" s="365" t="s">
        <v>6225</v>
      </c>
      <c r="C17" s="365" t="str">
        <f t="shared" si="8"/>
        <v>450016880192104TQ2-S002-NB长尾巴猫4002</v>
      </c>
      <c r="D17" s="345">
        <v>4500168801</v>
      </c>
      <c r="E17" s="367">
        <v>1158191</v>
      </c>
      <c r="F17" s="367" t="s">
        <v>6228</v>
      </c>
      <c r="G17" s="345" t="s">
        <v>6063</v>
      </c>
      <c r="H17" s="345">
        <v>4002</v>
      </c>
      <c r="I17" s="345">
        <v>0</v>
      </c>
      <c r="J17" s="345">
        <v>6</v>
      </c>
      <c r="K17" s="345">
        <f t="shared" si="0"/>
        <v>667</v>
      </c>
      <c r="L17" s="353">
        <v>45853</v>
      </c>
      <c r="M17" s="449">
        <v>45853</v>
      </c>
      <c r="N17" s="367"/>
      <c r="O17" s="365" t="s">
        <v>4665</v>
      </c>
      <c r="P17" s="367"/>
      <c r="Q17" s="367"/>
      <c r="R17" s="367">
        <f t="shared" si="6"/>
        <v>4002</v>
      </c>
      <c r="S17" s="367"/>
      <c r="T17" s="367"/>
      <c r="U17" s="345">
        <f t="shared" ref="U17:U21" si="11">H17</f>
        <v>4002</v>
      </c>
      <c r="V17" s="345"/>
      <c r="W17" s="447"/>
      <c r="X17" s="447"/>
      <c r="Y17" s="447"/>
      <c r="Z17" s="447">
        <f>H17</f>
        <v>4002</v>
      </c>
      <c r="AA17" s="447"/>
      <c r="AB17" s="447"/>
      <c r="AC17" s="447">
        <f>H17/6</f>
        <v>667</v>
      </c>
      <c r="AD17" s="447"/>
      <c r="AE17" s="448" t="s">
        <v>13023</v>
      </c>
    </row>
    <row r="18" s="400" customFormat="1" ht="50" customHeight="1" spans="1:31">
      <c r="A18" s="365" t="s">
        <v>2949</v>
      </c>
      <c r="B18" s="365" t="s">
        <v>341</v>
      </c>
      <c r="C18" s="365" t="str">
        <f t="shared" si="8"/>
        <v>450015983992104TQ4-S001长尾巴猫3504</v>
      </c>
      <c r="D18" s="345">
        <v>4500159839</v>
      </c>
      <c r="E18" s="367" t="s">
        <v>7146</v>
      </c>
      <c r="F18" s="367" t="s">
        <v>6122</v>
      </c>
      <c r="G18" s="345" t="s">
        <v>6063</v>
      </c>
      <c r="H18" s="345">
        <v>3504</v>
      </c>
      <c r="I18" s="345">
        <v>4</v>
      </c>
      <c r="J18" s="345">
        <v>16</v>
      </c>
      <c r="K18" s="345">
        <f t="shared" si="0"/>
        <v>219</v>
      </c>
      <c r="L18" s="353">
        <v>45854</v>
      </c>
      <c r="M18" s="449">
        <v>45856</v>
      </c>
      <c r="N18" s="367" t="s">
        <v>4663</v>
      </c>
      <c r="O18" s="365" t="s">
        <v>1459</v>
      </c>
      <c r="P18" s="367">
        <f>H18</f>
        <v>3504</v>
      </c>
      <c r="Q18" s="367"/>
      <c r="R18" s="367"/>
      <c r="S18" s="367"/>
      <c r="T18" s="367"/>
      <c r="U18" s="345">
        <f t="shared" si="11"/>
        <v>3504</v>
      </c>
      <c r="V18" s="345"/>
      <c r="W18" s="447"/>
      <c r="X18" s="447">
        <f t="shared" ref="X18:X21" si="12">H18</f>
        <v>3504</v>
      </c>
      <c r="Y18" s="447"/>
      <c r="Z18" s="447"/>
      <c r="AA18" s="447"/>
      <c r="AB18" s="447"/>
      <c r="AC18" s="447"/>
      <c r="AD18" s="447"/>
      <c r="AE18" s="448" t="s">
        <v>13023</v>
      </c>
    </row>
    <row r="19" s="400" customFormat="1" ht="50" customHeight="1" spans="1:31">
      <c r="A19" s="365" t="s">
        <v>7134</v>
      </c>
      <c r="B19" s="365" t="s">
        <v>7135</v>
      </c>
      <c r="C19" s="365" t="str">
        <f t="shared" si="8"/>
        <v>450016960992104-S004长尾巴猫3000</v>
      </c>
      <c r="D19" s="345">
        <v>4500169609</v>
      </c>
      <c r="E19" s="367"/>
      <c r="F19" s="367" t="s">
        <v>6159</v>
      </c>
      <c r="G19" s="345" t="s">
        <v>6063</v>
      </c>
      <c r="H19" s="450">
        <v>3000</v>
      </c>
      <c r="I19" s="345">
        <v>0</v>
      </c>
      <c r="J19" s="345">
        <v>6</v>
      </c>
      <c r="K19" s="345">
        <f t="shared" si="0"/>
        <v>500</v>
      </c>
      <c r="L19" s="353">
        <v>45854</v>
      </c>
      <c r="M19" s="451">
        <v>45856</v>
      </c>
      <c r="N19" s="441" t="s">
        <v>7137</v>
      </c>
      <c r="O19" s="365" t="s">
        <v>801</v>
      </c>
      <c r="P19" s="367"/>
      <c r="Q19" s="367">
        <f t="shared" si="10"/>
        <v>3000</v>
      </c>
      <c r="R19" s="367"/>
      <c r="S19" s="367"/>
      <c r="T19" s="367"/>
      <c r="U19" s="345">
        <f t="shared" si="11"/>
        <v>3000</v>
      </c>
      <c r="V19" s="345"/>
      <c r="W19" s="447"/>
      <c r="X19" s="447">
        <f t="shared" si="12"/>
        <v>3000</v>
      </c>
      <c r="Y19" s="447"/>
      <c r="Z19" s="447"/>
      <c r="AA19" s="447"/>
      <c r="AB19" s="447"/>
      <c r="AC19" s="447"/>
      <c r="AD19" s="447"/>
      <c r="AE19" s="409" t="s">
        <v>13025</v>
      </c>
    </row>
    <row r="20" s="400" customFormat="1" ht="50" customHeight="1" spans="1:31">
      <c r="A20" s="365" t="s">
        <v>1477</v>
      </c>
      <c r="B20" s="365" t="s">
        <v>351</v>
      </c>
      <c r="C20" s="365" t="str">
        <f t="shared" si="8"/>
        <v>450016963792104-S001长尾巴猫1800</v>
      </c>
      <c r="D20" s="345">
        <v>4500169637</v>
      </c>
      <c r="E20" s="367"/>
      <c r="F20" s="367" t="s">
        <v>3520</v>
      </c>
      <c r="G20" s="345" t="s">
        <v>6063</v>
      </c>
      <c r="H20" s="450">
        <v>1800</v>
      </c>
      <c r="I20" s="345">
        <v>0</v>
      </c>
      <c r="J20" s="345">
        <v>24</v>
      </c>
      <c r="K20" s="345">
        <f t="shared" si="0"/>
        <v>75</v>
      </c>
      <c r="L20" s="353">
        <v>45856</v>
      </c>
      <c r="M20" s="451">
        <v>45858</v>
      </c>
      <c r="N20" s="345"/>
      <c r="O20" s="365" t="s">
        <v>1199</v>
      </c>
      <c r="P20" s="440"/>
      <c r="Q20" s="367">
        <f t="shared" si="10"/>
        <v>1800</v>
      </c>
      <c r="R20" s="367"/>
      <c r="S20" s="367"/>
      <c r="T20" s="345"/>
      <c r="U20" s="345">
        <f t="shared" si="11"/>
        <v>1800</v>
      </c>
      <c r="V20" s="345"/>
      <c r="W20" s="447"/>
      <c r="X20" s="447">
        <f t="shared" si="12"/>
        <v>1800</v>
      </c>
      <c r="Y20" s="447"/>
      <c r="Z20" s="447"/>
      <c r="AA20" s="447"/>
      <c r="AB20" s="447"/>
      <c r="AC20" s="447"/>
      <c r="AD20" s="447"/>
      <c r="AE20" s="409" t="s">
        <v>13025</v>
      </c>
    </row>
    <row r="21" s="400" customFormat="1" ht="50" customHeight="1" spans="1:31">
      <c r="A21" s="365" t="s">
        <v>3536</v>
      </c>
      <c r="B21" s="365" t="s">
        <v>1546</v>
      </c>
      <c r="C21" s="365" t="str">
        <f t="shared" si="8"/>
        <v>450016054492104TQ1-S001长尾巴猫60</v>
      </c>
      <c r="D21" s="345">
        <v>4500160544</v>
      </c>
      <c r="E21" s="367"/>
      <c r="F21" s="367" t="s">
        <v>6124</v>
      </c>
      <c r="G21" s="345" t="s">
        <v>6063</v>
      </c>
      <c r="H21" s="450">
        <v>60</v>
      </c>
      <c r="I21" s="345">
        <v>0</v>
      </c>
      <c r="J21" s="345">
        <v>12</v>
      </c>
      <c r="K21" s="345">
        <f t="shared" si="0"/>
        <v>5</v>
      </c>
      <c r="L21" s="353">
        <v>45856</v>
      </c>
      <c r="M21" s="451">
        <v>45859</v>
      </c>
      <c r="N21" s="345"/>
      <c r="O21" s="365" t="s">
        <v>459</v>
      </c>
      <c r="P21" s="367"/>
      <c r="Q21" s="367"/>
      <c r="R21" s="367">
        <f>H21</f>
        <v>60</v>
      </c>
      <c r="S21" s="367"/>
      <c r="T21" s="345"/>
      <c r="U21" s="345">
        <f t="shared" si="11"/>
        <v>60</v>
      </c>
      <c r="V21" s="345"/>
      <c r="W21" s="447"/>
      <c r="X21" s="447">
        <f t="shared" si="12"/>
        <v>60</v>
      </c>
      <c r="Y21" s="447"/>
      <c r="Z21" s="447"/>
      <c r="AA21" s="447"/>
      <c r="AB21" s="447">
        <f>H21/6</f>
        <v>10</v>
      </c>
      <c r="AC21" s="447"/>
      <c r="AD21" s="447"/>
      <c r="AE21" s="409" t="s">
        <v>13023</v>
      </c>
    </row>
    <row r="22" s="400" customFormat="1" ht="50" customHeight="1" spans="1:31">
      <c r="A22" s="365" t="s">
        <v>7212</v>
      </c>
      <c r="B22" s="365" t="s">
        <v>91</v>
      </c>
      <c r="C22" s="365" t="str">
        <f t="shared" si="8"/>
        <v>450016807892104-S001长尾巴猫16632</v>
      </c>
      <c r="D22" s="345">
        <v>4500168078</v>
      </c>
      <c r="E22" s="367" t="s">
        <v>7213</v>
      </c>
      <c r="F22" s="367" t="s">
        <v>3520</v>
      </c>
      <c r="G22" s="345" t="s">
        <v>6063</v>
      </c>
      <c r="H22" s="345">
        <v>16632</v>
      </c>
      <c r="I22" s="345">
        <v>0</v>
      </c>
      <c r="J22" s="345">
        <v>24</v>
      </c>
      <c r="K22" s="345">
        <f t="shared" si="0"/>
        <v>693</v>
      </c>
      <c r="L22" s="353">
        <v>45856</v>
      </c>
      <c r="M22" s="451">
        <v>45859</v>
      </c>
      <c r="N22" s="452" t="s">
        <v>7215</v>
      </c>
      <c r="O22" s="365" t="s">
        <v>7217</v>
      </c>
      <c r="P22" s="367"/>
      <c r="Q22" s="367">
        <f t="shared" ref="Q22:Q26" si="13">H22</f>
        <v>16632</v>
      </c>
      <c r="R22" s="367"/>
      <c r="S22" s="367"/>
      <c r="T22" s="345"/>
      <c r="U22" s="345"/>
      <c r="V22" s="345">
        <f t="shared" ref="V22:V26" si="14">H22</f>
        <v>16632</v>
      </c>
      <c r="W22" s="447"/>
      <c r="X22" s="447"/>
      <c r="Y22" s="447">
        <f>H22</f>
        <v>16632</v>
      </c>
      <c r="Z22" s="447"/>
      <c r="AA22" s="447"/>
      <c r="AB22" s="447"/>
      <c r="AC22" s="447"/>
      <c r="AD22" s="447"/>
      <c r="AE22" s="445" t="s">
        <v>4196</v>
      </c>
    </row>
    <row r="23" s="400" customFormat="1" ht="50" customHeight="1" spans="1:31">
      <c r="A23" s="365" t="s">
        <v>7212</v>
      </c>
      <c r="B23" s="365" t="s">
        <v>91</v>
      </c>
      <c r="C23" s="365" t="str">
        <f t="shared" si="8"/>
        <v>450016807892104-S001长尾巴猫8304</v>
      </c>
      <c r="D23" s="345">
        <v>4500168078</v>
      </c>
      <c r="E23" s="367" t="s">
        <v>7219</v>
      </c>
      <c r="F23" s="367" t="s">
        <v>3520</v>
      </c>
      <c r="G23" s="345" t="s">
        <v>6063</v>
      </c>
      <c r="H23" s="345">
        <v>8304</v>
      </c>
      <c r="I23" s="345">
        <v>0</v>
      </c>
      <c r="J23" s="345">
        <v>24</v>
      </c>
      <c r="K23" s="345">
        <f t="shared" si="0"/>
        <v>346</v>
      </c>
      <c r="L23" s="353">
        <v>45856</v>
      </c>
      <c r="M23" s="451">
        <v>45859</v>
      </c>
      <c r="N23" s="452" t="s">
        <v>7215</v>
      </c>
      <c r="O23" s="365" t="s">
        <v>7217</v>
      </c>
      <c r="P23" s="367"/>
      <c r="Q23" s="367">
        <f t="shared" si="13"/>
        <v>8304</v>
      </c>
      <c r="R23" s="367"/>
      <c r="S23" s="367"/>
      <c r="T23" s="345"/>
      <c r="U23" s="345"/>
      <c r="V23" s="345">
        <f t="shared" si="14"/>
        <v>8304</v>
      </c>
      <c r="W23" s="447"/>
      <c r="X23" s="447"/>
      <c r="Y23" s="447">
        <f>H23</f>
        <v>8304</v>
      </c>
      <c r="Z23" s="447"/>
      <c r="AA23" s="447"/>
      <c r="AB23" s="447"/>
      <c r="AC23" s="447"/>
      <c r="AD23" s="447"/>
      <c r="AE23" s="445" t="s">
        <v>4196</v>
      </c>
    </row>
    <row r="24" s="400" customFormat="1" ht="50" customHeight="1" spans="1:31">
      <c r="A24" s="365" t="s">
        <v>3853</v>
      </c>
      <c r="B24" s="377" t="s">
        <v>516</v>
      </c>
      <c r="C24" s="365" t="str">
        <f t="shared" si="8"/>
        <v>450016589992104TQ1-S001长尾巴猫12000</v>
      </c>
      <c r="D24" s="366">
        <v>4500165899</v>
      </c>
      <c r="E24" s="367"/>
      <c r="F24" s="367" t="s">
        <v>6124</v>
      </c>
      <c r="G24" s="345" t="s">
        <v>6063</v>
      </c>
      <c r="H24" s="450">
        <v>12000</v>
      </c>
      <c r="I24" s="345">
        <v>0</v>
      </c>
      <c r="J24" s="345">
        <v>12</v>
      </c>
      <c r="K24" s="345">
        <f t="shared" si="0"/>
        <v>1000</v>
      </c>
      <c r="L24" s="353">
        <v>45827</v>
      </c>
      <c r="M24" s="453">
        <v>45859</v>
      </c>
      <c r="N24" s="454"/>
      <c r="O24" s="365" t="s">
        <v>3805</v>
      </c>
      <c r="P24" s="367"/>
      <c r="Q24" s="367"/>
      <c r="R24" s="367"/>
      <c r="S24" s="367">
        <f>H24</f>
        <v>12000</v>
      </c>
      <c r="T24" s="367"/>
      <c r="U24" s="345">
        <f t="shared" ref="U24:U50" si="15">H24</f>
        <v>12000</v>
      </c>
      <c r="V24" s="345"/>
      <c r="W24" s="447"/>
      <c r="X24" s="447">
        <f>H24</f>
        <v>12000</v>
      </c>
      <c r="Y24" s="447"/>
      <c r="Z24" s="447"/>
      <c r="AA24" s="447"/>
      <c r="AB24" s="447">
        <f>H24/6</f>
        <v>2000</v>
      </c>
      <c r="AC24" s="447"/>
      <c r="AD24" s="447"/>
      <c r="AE24" s="409" t="s">
        <v>13026</v>
      </c>
    </row>
    <row r="25" s="400" customFormat="1" ht="50" customHeight="1" spans="1:31">
      <c r="A25" s="365" t="s">
        <v>4198</v>
      </c>
      <c r="B25" s="365" t="s">
        <v>341</v>
      </c>
      <c r="C25" s="365" t="str">
        <f t="shared" si="8"/>
        <v>450016351692104TQ4-S003长尾巴猫3000</v>
      </c>
      <c r="D25" s="345">
        <v>4500163516</v>
      </c>
      <c r="E25" s="367" t="s">
        <v>7162</v>
      </c>
      <c r="F25" s="367" t="s">
        <v>6298</v>
      </c>
      <c r="G25" s="345" t="s">
        <v>6063</v>
      </c>
      <c r="H25" s="450">
        <v>3000</v>
      </c>
      <c r="I25" s="345">
        <v>0</v>
      </c>
      <c r="J25" s="345">
        <v>4</v>
      </c>
      <c r="K25" s="345">
        <f t="shared" si="0"/>
        <v>750</v>
      </c>
      <c r="L25" s="353">
        <v>45855</v>
      </c>
      <c r="M25" s="451">
        <v>45860</v>
      </c>
      <c r="N25" s="441" t="s">
        <v>7137</v>
      </c>
      <c r="O25" s="365" t="s">
        <v>1245</v>
      </c>
      <c r="P25" s="367"/>
      <c r="Q25" s="367">
        <f t="shared" si="13"/>
        <v>3000</v>
      </c>
      <c r="R25" s="367"/>
      <c r="S25" s="367"/>
      <c r="T25" s="367"/>
      <c r="U25" s="345">
        <f t="shared" si="15"/>
        <v>3000</v>
      </c>
      <c r="V25" s="345"/>
      <c r="W25" s="447"/>
      <c r="X25" s="447">
        <f>H25</f>
        <v>3000</v>
      </c>
      <c r="Y25" s="447"/>
      <c r="Z25" s="447"/>
      <c r="AA25" s="447"/>
      <c r="AB25" s="447"/>
      <c r="AC25" s="447"/>
      <c r="AD25" s="447"/>
      <c r="AE25" s="409" t="s">
        <v>13025</v>
      </c>
    </row>
    <row r="26" s="400" customFormat="1" ht="50" customHeight="1" spans="1:31">
      <c r="A26" s="365" t="s">
        <v>2616</v>
      </c>
      <c r="B26" s="365" t="s">
        <v>471</v>
      </c>
      <c r="C26" s="365" t="str">
        <f t="shared" si="8"/>
        <v>450016834692104-S006-NB.PKC长尾巴猫（干燥剂）3000</v>
      </c>
      <c r="D26" s="345">
        <v>4500168346</v>
      </c>
      <c r="E26" s="455" t="s">
        <v>4203</v>
      </c>
      <c r="F26" s="367" t="s">
        <v>7117</v>
      </c>
      <c r="G26" s="345" t="s">
        <v>6800</v>
      </c>
      <c r="H26" s="345">
        <v>3000</v>
      </c>
      <c r="I26" s="345">
        <v>0</v>
      </c>
      <c r="J26" s="345">
        <v>24</v>
      </c>
      <c r="K26" s="345">
        <f t="shared" si="0"/>
        <v>125</v>
      </c>
      <c r="L26" s="353">
        <v>45855</v>
      </c>
      <c r="M26" s="451">
        <v>45860</v>
      </c>
      <c r="N26" s="456" t="s">
        <v>4205</v>
      </c>
      <c r="O26" s="365" t="s">
        <v>2624</v>
      </c>
      <c r="P26" s="367"/>
      <c r="Q26" s="367">
        <f t="shared" si="13"/>
        <v>3000</v>
      </c>
      <c r="R26" s="367"/>
      <c r="S26" s="367"/>
      <c r="T26" s="367"/>
      <c r="U26" s="345"/>
      <c r="V26" s="345">
        <f t="shared" si="14"/>
        <v>3000</v>
      </c>
      <c r="W26" s="447"/>
      <c r="X26" s="447"/>
      <c r="Y26" s="447"/>
      <c r="Z26" s="447"/>
      <c r="AA26" s="447">
        <f>H26</f>
        <v>3000</v>
      </c>
      <c r="AB26" s="447"/>
      <c r="AC26" s="447"/>
      <c r="AD26" s="447"/>
      <c r="AE26" s="445" t="s">
        <v>4196</v>
      </c>
    </row>
    <row r="27" s="400" customFormat="1" ht="50" customHeight="1" spans="1:31">
      <c r="A27" s="365" t="s">
        <v>1016</v>
      </c>
      <c r="B27" s="365" t="s">
        <v>396</v>
      </c>
      <c r="C27" s="365" t="str">
        <f t="shared" si="8"/>
        <v>450016970892104G-S001-NB.WMB褴褛猫（邮包盒）96</v>
      </c>
      <c r="D27" s="345">
        <v>4500169708</v>
      </c>
      <c r="E27" s="367" t="s">
        <v>7165</v>
      </c>
      <c r="F27" s="367" t="s">
        <v>6099</v>
      </c>
      <c r="G27" s="345" t="s">
        <v>6100</v>
      </c>
      <c r="H27" s="450">
        <v>96</v>
      </c>
      <c r="I27" s="345">
        <v>0</v>
      </c>
      <c r="J27" s="345">
        <v>32</v>
      </c>
      <c r="K27" s="345">
        <f t="shared" si="0"/>
        <v>3</v>
      </c>
      <c r="L27" s="353">
        <v>45855</v>
      </c>
      <c r="M27" s="451">
        <v>45860</v>
      </c>
      <c r="N27" s="367" t="s">
        <v>7167</v>
      </c>
      <c r="O27" s="365" t="s">
        <v>369</v>
      </c>
      <c r="P27" s="367"/>
      <c r="Q27" s="367"/>
      <c r="R27" s="367">
        <f t="shared" ref="R27:R50" si="16">H27</f>
        <v>96</v>
      </c>
      <c r="S27" s="367"/>
      <c r="T27" s="367"/>
      <c r="U27" s="345">
        <f t="shared" si="15"/>
        <v>96</v>
      </c>
      <c r="V27" s="345"/>
      <c r="W27" s="447"/>
      <c r="X27" s="447"/>
      <c r="Y27" s="447"/>
      <c r="Z27" s="447">
        <f t="shared" ref="Z27:Z50" si="17">H27</f>
        <v>96</v>
      </c>
      <c r="AA27" s="447"/>
      <c r="AB27" s="447"/>
      <c r="AC27" s="447"/>
      <c r="AD27" s="447"/>
      <c r="AE27" s="409" t="s">
        <v>13023</v>
      </c>
    </row>
    <row r="28" s="400" customFormat="1" ht="50" customHeight="1" spans="1:31">
      <c r="A28" s="365" t="s">
        <v>1016</v>
      </c>
      <c r="B28" s="365" t="s">
        <v>396</v>
      </c>
      <c r="C28" s="365" t="str">
        <f t="shared" si="8"/>
        <v>450016970892104G-S001-NB.WMB褴褛猫（邮包盒）64</v>
      </c>
      <c r="D28" s="345">
        <v>4500169708</v>
      </c>
      <c r="E28" s="367" t="s">
        <v>7169</v>
      </c>
      <c r="F28" s="367" t="s">
        <v>6099</v>
      </c>
      <c r="G28" s="345" t="s">
        <v>6100</v>
      </c>
      <c r="H28" s="450">
        <v>64</v>
      </c>
      <c r="I28" s="345">
        <v>0</v>
      </c>
      <c r="J28" s="345">
        <v>32</v>
      </c>
      <c r="K28" s="345">
        <f t="shared" si="0"/>
        <v>2</v>
      </c>
      <c r="L28" s="353">
        <v>45855</v>
      </c>
      <c r="M28" s="451">
        <v>45860</v>
      </c>
      <c r="N28" s="367" t="s">
        <v>7167</v>
      </c>
      <c r="O28" s="365" t="s">
        <v>369</v>
      </c>
      <c r="P28" s="367"/>
      <c r="Q28" s="367"/>
      <c r="R28" s="367">
        <f t="shared" si="16"/>
        <v>64</v>
      </c>
      <c r="S28" s="367"/>
      <c r="T28" s="367"/>
      <c r="U28" s="345">
        <f t="shared" si="15"/>
        <v>64</v>
      </c>
      <c r="V28" s="345"/>
      <c r="W28" s="447"/>
      <c r="X28" s="447"/>
      <c r="Y28" s="447"/>
      <c r="Z28" s="447">
        <f t="shared" si="17"/>
        <v>64</v>
      </c>
      <c r="AA28" s="447"/>
      <c r="AB28" s="447"/>
      <c r="AC28" s="447"/>
      <c r="AD28" s="447"/>
      <c r="AE28" s="409" t="s">
        <v>13023</v>
      </c>
    </row>
    <row r="29" s="400" customFormat="1" ht="50" customHeight="1" spans="1:31">
      <c r="A29" s="365" t="s">
        <v>1016</v>
      </c>
      <c r="B29" s="365" t="s">
        <v>396</v>
      </c>
      <c r="C29" s="365" t="str">
        <f t="shared" si="8"/>
        <v>450016970892104G-S001-NB.WMB褴褛猫（邮包盒）32</v>
      </c>
      <c r="D29" s="345">
        <v>4500169708</v>
      </c>
      <c r="E29" s="367" t="s">
        <v>7171</v>
      </c>
      <c r="F29" s="367" t="s">
        <v>6099</v>
      </c>
      <c r="G29" s="345" t="s">
        <v>6100</v>
      </c>
      <c r="H29" s="450">
        <v>32</v>
      </c>
      <c r="I29" s="345">
        <v>0</v>
      </c>
      <c r="J29" s="345">
        <v>32</v>
      </c>
      <c r="K29" s="345">
        <f t="shared" si="0"/>
        <v>1</v>
      </c>
      <c r="L29" s="353">
        <v>45855</v>
      </c>
      <c r="M29" s="451">
        <v>45860</v>
      </c>
      <c r="N29" s="367" t="s">
        <v>7167</v>
      </c>
      <c r="O29" s="365" t="s">
        <v>369</v>
      </c>
      <c r="P29" s="367"/>
      <c r="Q29" s="367"/>
      <c r="R29" s="367">
        <f t="shared" si="16"/>
        <v>32</v>
      </c>
      <c r="S29" s="367"/>
      <c r="T29" s="367"/>
      <c r="U29" s="345">
        <f t="shared" si="15"/>
        <v>32</v>
      </c>
      <c r="V29" s="345"/>
      <c r="W29" s="447"/>
      <c r="X29" s="447"/>
      <c r="Y29" s="447"/>
      <c r="Z29" s="447">
        <f t="shared" si="17"/>
        <v>32</v>
      </c>
      <c r="AA29" s="447"/>
      <c r="AB29" s="447"/>
      <c r="AC29" s="447"/>
      <c r="AD29" s="447"/>
      <c r="AE29" s="409" t="s">
        <v>13023</v>
      </c>
    </row>
    <row r="30" s="400" customFormat="1" ht="50" customHeight="1" spans="1:31">
      <c r="A30" s="365" t="s">
        <v>1016</v>
      </c>
      <c r="B30" s="365" t="s">
        <v>396</v>
      </c>
      <c r="C30" s="365" t="str">
        <f t="shared" si="8"/>
        <v>450016970892104G-S001-NB.WMB褴褛猫（邮包盒）64</v>
      </c>
      <c r="D30" s="345">
        <v>4500169708</v>
      </c>
      <c r="E30" s="367" t="s">
        <v>7173</v>
      </c>
      <c r="F30" s="367" t="s">
        <v>6099</v>
      </c>
      <c r="G30" s="345" t="s">
        <v>6100</v>
      </c>
      <c r="H30" s="450">
        <v>64</v>
      </c>
      <c r="I30" s="345">
        <v>0</v>
      </c>
      <c r="J30" s="345">
        <v>32</v>
      </c>
      <c r="K30" s="345">
        <f t="shared" si="0"/>
        <v>2</v>
      </c>
      <c r="L30" s="353">
        <v>45855</v>
      </c>
      <c r="M30" s="451">
        <v>45860</v>
      </c>
      <c r="N30" s="367" t="s">
        <v>7167</v>
      </c>
      <c r="O30" s="365" t="s">
        <v>369</v>
      </c>
      <c r="P30" s="367"/>
      <c r="Q30" s="367"/>
      <c r="R30" s="367">
        <f t="shared" si="16"/>
        <v>64</v>
      </c>
      <c r="S30" s="367"/>
      <c r="T30" s="367"/>
      <c r="U30" s="345">
        <f t="shared" si="15"/>
        <v>64</v>
      </c>
      <c r="V30" s="345"/>
      <c r="W30" s="447"/>
      <c r="X30" s="447"/>
      <c r="Y30" s="447"/>
      <c r="Z30" s="447">
        <f t="shared" si="17"/>
        <v>64</v>
      </c>
      <c r="AA30" s="447"/>
      <c r="AB30" s="447"/>
      <c r="AC30" s="447"/>
      <c r="AD30" s="447"/>
      <c r="AE30" s="409" t="s">
        <v>13023</v>
      </c>
    </row>
    <row r="31" s="400" customFormat="1" ht="50" customHeight="1" spans="1:31">
      <c r="A31" s="365" t="s">
        <v>1016</v>
      </c>
      <c r="B31" s="365" t="s">
        <v>396</v>
      </c>
      <c r="C31" s="365" t="str">
        <f t="shared" si="8"/>
        <v>450016970892104B-S001-NB.WMB缅因猫（邮包盒）96</v>
      </c>
      <c r="D31" s="345">
        <v>4500169708</v>
      </c>
      <c r="E31" s="367" t="s">
        <v>7175</v>
      </c>
      <c r="F31" s="367" t="s">
        <v>6091</v>
      </c>
      <c r="G31" s="345" t="s">
        <v>6092</v>
      </c>
      <c r="H31" s="450">
        <v>96</v>
      </c>
      <c r="I31" s="345">
        <v>0</v>
      </c>
      <c r="J31" s="345">
        <v>32</v>
      </c>
      <c r="K31" s="345">
        <f t="shared" si="0"/>
        <v>3</v>
      </c>
      <c r="L31" s="353">
        <v>45855</v>
      </c>
      <c r="M31" s="451">
        <v>45860</v>
      </c>
      <c r="N31" s="367" t="s">
        <v>7167</v>
      </c>
      <c r="O31" s="365" t="s">
        <v>369</v>
      </c>
      <c r="P31" s="367"/>
      <c r="Q31" s="367"/>
      <c r="R31" s="367">
        <f t="shared" si="16"/>
        <v>96</v>
      </c>
      <c r="S31" s="367"/>
      <c r="T31" s="367"/>
      <c r="U31" s="345">
        <f t="shared" si="15"/>
        <v>96</v>
      </c>
      <c r="V31" s="345"/>
      <c r="W31" s="447"/>
      <c r="X31" s="447"/>
      <c r="Y31" s="447"/>
      <c r="Z31" s="447">
        <f t="shared" si="17"/>
        <v>96</v>
      </c>
      <c r="AA31" s="447"/>
      <c r="AB31" s="447"/>
      <c r="AC31" s="447"/>
      <c r="AD31" s="447"/>
      <c r="AE31" s="409" t="s">
        <v>13023</v>
      </c>
    </row>
    <row r="32" s="400" customFormat="1" ht="50" customHeight="1" spans="1:31">
      <c r="A32" s="365" t="s">
        <v>1016</v>
      </c>
      <c r="B32" s="365" t="s">
        <v>396</v>
      </c>
      <c r="C32" s="365" t="str">
        <f t="shared" si="8"/>
        <v>450016970892104B-S001-NB.WMB缅因猫（邮包盒）64</v>
      </c>
      <c r="D32" s="345">
        <v>4500169708</v>
      </c>
      <c r="E32" s="367" t="s">
        <v>7177</v>
      </c>
      <c r="F32" s="367" t="s">
        <v>6091</v>
      </c>
      <c r="G32" s="345" t="s">
        <v>6092</v>
      </c>
      <c r="H32" s="450">
        <v>64</v>
      </c>
      <c r="I32" s="345">
        <v>0</v>
      </c>
      <c r="J32" s="345">
        <v>32</v>
      </c>
      <c r="K32" s="345">
        <f t="shared" si="0"/>
        <v>2</v>
      </c>
      <c r="L32" s="353">
        <v>45855</v>
      </c>
      <c r="M32" s="451">
        <v>45860</v>
      </c>
      <c r="N32" s="367" t="s">
        <v>7167</v>
      </c>
      <c r="O32" s="365" t="s">
        <v>369</v>
      </c>
      <c r="P32" s="367"/>
      <c r="Q32" s="367"/>
      <c r="R32" s="367">
        <f t="shared" si="16"/>
        <v>64</v>
      </c>
      <c r="S32" s="367"/>
      <c r="T32" s="367"/>
      <c r="U32" s="345">
        <f t="shared" si="15"/>
        <v>64</v>
      </c>
      <c r="V32" s="345"/>
      <c r="W32" s="447"/>
      <c r="X32" s="447"/>
      <c r="Y32" s="447"/>
      <c r="Z32" s="447">
        <f t="shared" si="17"/>
        <v>64</v>
      </c>
      <c r="AA32" s="447"/>
      <c r="AB32" s="447"/>
      <c r="AC32" s="447"/>
      <c r="AD32" s="447"/>
      <c r="AE32" s="409" t="s">
        <v>13023</v>
      </c>
    </row>
    <row r="33" s="400" customFormat="1" ht="50" customHeight="1" spans="1:31">
      <c r="A33" s="365" t="s">
        <v>1016</v>
      </c>
      <c r="B33" s="365" t="s">
        <v>396</v>
      </c>
      <c r="C33" s="365" t="str">
        <f t="shared" si="8"/>
        <v>450016970892104B-S001-NB.WMB缅因猫（邮包盒）32</v>
      </c>
      <c r="D33" s="345">
        <v>4500169708</v>
      </c>
      <c r="E33" s="367" t="s">
        <v>7179</v>
      </c>
      <c r="F33" s="367" t="s">
        <v>6091</v>
      </c>
      <c r="G33" s="345" t="s">
        <v>6092</v>
      </c>
      <c r="H33" s="450">
        <v>32</v>
      </c>
      <c r="I33" s="345">
        <v>0</v>
      </c>
      <c r="J33" s="345">
        <v>32</v>
      </c>
      <c r="K33" s="345">
        <f t="shared" si="0"/>
        <v>1</v>
      </c>
      <c r="L33" s="353">
        <v>45855</v>
      </c>
      <c r="M33" s="451">
        <v>45860</v>
      </c>
      <c r="N33" s="367" t="s">
        <v>7167</v>
      </c>
      <c r="O33" s="365" t="s">
        <v>369</v>
      </c>
      <c r="P33" s="367"/>
      <c r="Q33" s="367"/>
      <c r="R33" s="367">
        <f t="shared" si="16"/>
        <v>32</v>
      </c>
      <c r="S33" s="367"/>
      <c r="T33" s="367"/>
      <c r="U33" s="345">
        <f t="shared" si="15"/>
        <v>32</v>
      </c>
      <c r="V33" s="345"/>
      <c r="W33" s="447"/>
      <c r="X33" s="447"/>
      <c r="Y33" s="447"/>
      <c r="Z33" s="447">
        <f t="shared" si="17"/>
        <v>32</v>
      </c>
      <c r="AA33" s="447"/>
      <c r="AB33" s="447"/>
      <c r="AC33" s="447"/>
      <c r="AD33" s="447"/>
      <c r="AE33" s="409" t="s">
        <v>13023</v>
      </c>
    </row>
    <row r="34" s="400" customFormat="1" ht="50" customHeight="1" spans="1:31">
      <c r="A34" s="365" t="s">
        <v>1016</v>
      </c>
      <c r="B34" s="365" t="s">
        <v>396</v>
      </c>
      <c r="C34" s="365" t="str">
        <f t="shared" si="8"/>
        <v>450016970892104B-S001-NB.WMB缅因猫（邮包盒）64</v>
      </c>
      <c r="D34" s="345">
        <v>4500169708</v>
      </c>
      <c r="E34" s="367" t="s">
        <v>7181</v>
      </c>
      <c r="F34" s="367" t="s">
        <v>6091</v>
      </c>
      <c r="G34" s="345" t="s">
        <v>6092</v>
      </c>
      <c r="H34" s="450">
        <v>64</v>
      </c>
      <c r="I34" s="345">
        <v>0</v>
      </c>
      <c r="J34" s="345">
        <v>32</v>
      </c>
      <c r="K34" s="345">
        <f t="shared" si="0"/>
        <v>2</v>
      </c>
      <c r="L34" s="353">
        <v>45855</v>
      </c>
      <c r="M34" s="451">
        <v>45860</v>
      </c>
      <c r="N34" s="367" t="s">
        <v>7167</v>
      </c>
      <c r="O34" s="365" t="s">
        <v>369</v>
      </c>
      <c r="P34" s="367"/>
      <c r="Q34" s="367"/>
      <c r="R34" s="367">
        <f t="shared" si="16"/>
        <v>64</v>
      </c>
      <c r="S34" s="367"/>
      <c r="T34" s="367"/>
      <c r="U34" s="345">
        <f t="shared" si="15"/>
        <v>64</v>
      </c>
      <c r="V34" s="345"/>
      <c r="W34" s="447"/>
      <c r="X34" s="447"/>
      <c r="Y34" s="447"/>
      <c r="Z34" s="447">
        <f t="shared" si="17"/>
        <v>64</v>
      </c>
      <c r="AA34" s="447"/>
      <c r="AB34" s="447"/>
      <c r="AC34" s="447"/>
      <c r="AD34" s="447"/>
      <c r="AE34" s="409" t="s">
        <v>13023</v>
      </c>
    </row>
    <row r="35" s="400" customFormat="1" ht="50" customHeight="1" spans="1:31">
      <c r="A35" s="365" t="s">
        <v>1016</v>
      </c>
      <c r="B35" s="365" t="s">
        <v>396</v>
      </c>
      <c r="C35" s="365" t="str">
        <f t="shared" si="8"/>
        <v>450016970892104D-S001-NB.MB布偶猫（邮包盒）32</v>
      </c>
      <c r="D35" s="345">
        <v>4500169708</v>
      </c>
      <c r="E35" s="367" t="s">
        <v>7183</v>
      </c>
      <c r="F35" s="367" t="s">
        <v>7185</v>
      </c>
      <c r="G35" s="345" t="s">
        <v>6242</v>
      </c>
      <c r="H35" s="450">
        <v>32</v>
      </c>
      <c r="I35" s="345">
        <v>0</v>
      </c>
      <c r="J35" s="345">
        <v>32</v>
      </c>
      <c r="K35" s="345">
        <f t="shared" si="0"/>
        <v>1</v>
      </c>
      <c r="L35" s="353">
        <v>45855</v>
      </c>
      <c r="M35" s="451">
        <v>45860</v>
      </c>
      <c r="N35" s="367" t="s">
        <v>7167</v>
      </c>
      <c r="O35" s="365" t="s">
        <v>369</v>
      </c>
      <c r="P35" s="367"/>
      <c r="Q35" s="367"/>
      <c r="R35" s="367">
        <f t="shared" si="16"/>
        <v>32</v>
      </c>
      <c r="S35" s="367"/>
      <c r="T35" s="367"/>
      <c r="U35" s="345">
        <f t="shared" si="15"/>
        <v>32</v>
      </c>
      <c r="V35" s="345"/>
      <c r="W35" s="447"/>
      <c r="X35" s="447"/>
      <c r="Y35" s="447"/>
      <c r="Z35" s="447">
        <f t="shared" si="17"/>
        <v>32</v>
      </c>
      <c r="AA35" s="447"/>
      <c r="AB35" s="447"/>
      <c r="AC35" s="447"/>
      <c r="AD35" s="447"/>
      <c r="AE35" s="409" t="s">
        <v>13023</v>
      </c>
    </row>
    <row r="36" s="400" customFormat="1" ht="50" customHeight="1" spans="1:31">
      <c r="A36" s="365" t="s">
        <v>1016</v>
      </c>
      <c r="B36" s="365" t="s">
        <v>396</v>
      </c>
      <c r="C36" s="365" t="str">
        <f t="shared" si="8"/>
        <v>450016970892104D-S001-NB.MB布偶猫（邮包盒）32</v>
      </c>
      <c r="D36" s="345">
        <v>4500169708</v>
      </c>
      <c r="E36" s="367" t="s">
        <v>7187</v>
      </c>
      <c r="F36" s="367" t="s">
        <v>7185</v>
      </c>
      <c r="G36" s="345" t="s">
        <v>6242</v>
      </c>
      <c r="H36" s="450">
        <v>32</v>
      </c>
      <c r="I36" s="345">
        <v>0</v>
      </c>
      <c r="J36" s="345">
        <v>32</v>
      </c>
      <c r="K36" s="345">
        <f t="shared" si="0"/>
        <v>1</v>
      </c>
      <c r="L36" s="353">
        <v>45855</v>
      </c>
      <c r="M36" s="451">
        <v>45860</v>
      </c>
      <c r="N36" s="367" t="s">
        <v>7167</v>
      </c>
      <c r="O36" s="365" t="s">
        <v>369</v>
      </c>
      <c r="P36" s="367"/>
      <c r="Q36" s="367"/>
      <c r="R36" s="367">
        <f t="shared" si="16"/>
        <v>32</v>
      </c>
      <c r="S36" s="367"/>
      <c r="T36" s="367"/>
      <c r="U36" s="345">
        <f t="shared" si="15"/>
        <v>32</v>
      </c>
      <c r="V36" s="345"/>
      <c r="W36" s="447"/>
      <c r="X36" s="447"/>
      <c r="Y36" s="447"/>
      <c r="Z36" s="447">
        <f t="shared" si="17"/>
        <v>32</v>
      </c>
      <c r="AA36" s="447"/>
      <c r="AB36" s="447"/>
      <c r="AC36" s="447"/>
      <c r="AD36" s="447"/>
      <c r="AE36" s="409" t="s">
        <v>13023</v>
      </c>
    </row>
    <row r="37" s="400" customFormat="1" ht="50" customHeight="1" spans="1:31">
      <c r="A37" s="365" t="s">
        <v>1016</v>
      </c>
      <c r="B37" s="365" t="s">
        <v>396</v>
      </c>
      <c r="C37" s="365" t="str">
        <f t="shared" si="8"/>
        <v>450016970892104D-S001-NB.MB布偶猫（邮包盒）32</v>
      </c>
      <c r="D37" s="345">
        <v>4500169708</v>
      </c>
      <c r="E37" s="367" t="s">
        <v>7189</v>
      </c>
      <c r="F37" s="367" t="s">
        <v>7185</v>
      </c>
      <c r="G37" s="345" t="s">
        <v>6242</v>
      </c>
      <c r="H37" s="450">
        <v>32</v>
      </c>
      <c r="I37" s="345">
        <v>0</v>
      </c>
      <c r="J37" s="345">
        <v>32</v>
      </c>
      <c r="K37" s="345">
        <f t="shared" si="0"/>
        <v>1</v>
      </c>
      <c r="L37" s="353">
        <v>45855</v>
      </c>
      <c r="M37" s="451">
        <v>45860</v>
      </c>
      <c r="N37" s="367" t="s">
        <v>7167</v>
      </c>
      <c r="O37" s="365" t="s">
        <v>369</v>
      </c>
      <c r="P37" s="367"/>
      <c r="Q37" s="367"/>
      <c r="R37" s="367">
        <f t="shared" si="16"/>
        <v>32</v>
      </c>
      <c r="S37" s="367"/>
      <c r="T37" s="367"/>
      <c r="U37" s="345">
        <f t="shared" si="15"/>
        <v>32</v>
      </c>
      <c r="V37" s="345"/>
      <c r="W37" s="447"/>
      <c r="X37" s="447"/>
      <c r="Y37" s="447"/>
      <c r="Z37" s="447">
        <f t="shared" si="17"/>
        <v>32</v>
      </c>
      <c r="AA37" s="447"/>
      <c r="AB37" s="447"/>
      <c r="AC37" s="447"/>
      <c r="AD37" s="447"/>
      <c r="AE37" s="409" t="s">
        <v>13023</v>
      </c>
    </row>
    <row r="38" s="400" customFormat="1" ht="50" customHeight="1" spans="1:31">
      <c r="A38" s="365" t="s">
        <v>1016</v>
      </c>
      <c r="B38" s="365" t="s">
        <v>396</v>
      </c>
      <c r="C38" s="365" t="str">
        <f t="shared" si="8"/>
        <v>450016970892104D-S001-NB.MB布偶猫（邮包盒）32</v>
      </c>
      <c r="D38" s="345">
        <v>4500169708</v>
      </c>
      <c r="E38" s="367" t="s">
        <v>7191</v>
      </c>
      <c r="F38" s="367" t="s">
        <v>7185</v>
      </c>
      <c r="G38" s="345" t="s">
        <v>6242</v>
      </c>
      <c r="H38" s="450">
        <v>32</v>
      </c>
      <c r="I38" s="345">
        <v>0</v>
      </c>
      <c r="J38" s="345">
        <v>32</v>
      </c>
      <c r="K38" s="345">
        <f t="shared" si="0"/>
        <v>1</v>
      </c>
      <c r="L38" s="353">
        <v>45855</v>
      </c>
      <c r="M38" s="451">
        <v>45860</v>
      </c>
      <c r="N38" s="367" t="s">
        <v>7167</v>
      </c>
      <c r="O38" s="365" t="s">
        <v>369</v>
      </c>
      <c r="P38" s="367"/>
      <c r="Q38" s="367"/>
      <c r="R38" s="367">
        <f t="shared" si="16"/>
        <v>32</v>
      </c>
      <c r="S38" s="367"/>
      <c r="T38" s="367"/>
      <c r="U38" s="345">
        <f t="shared" si="15"/>
        <v>32</v>
      </c>
      <c r="V38" s="345"/>
      <c r="W38" s="447"/>
      <c r="X38" s="447"/>
      <c r="Y38" s="447"/>
      <c r="Z38" s="447">
        <f t="shared" si="17"/>
        <v>32</v>
      </c>
      <c r="AA38" s="447"/>
      <c r="AB38" s="447"/>
      <c r="AC38" s="447"/>
      <c r="AD38" s="447"/>
      <c r="AE38" s="409" t="s">
        <v>13023</v>
      </c>
    </row>
    <row r="39" s="400" customFormat="1" ht="50" customHeight="1" spans="1:31">
      <c r="A39" s="365" t="s">
        <v>1016</v>
      </c>
      <c r="B39" s="365" t="s">
        <v>396</v>
      </c>
      <c r="C39" s="365" t="str">
        <f t="shared" si="8"/>
        <v>450016970892104H-S001-NB.WMB森林猫（邮包盒）32</v>
      </c>
      <c r="D39" s="345">
        <v>4500169708</v>
      </c>
      <c r="E39" s="367" t="s">
        <v>7193</v>
      </c>
      <c r="F39" s="367" t="s">
        <v>6104</v>
      </c>
      <c r="G39" s="345" t="s">
        <v>6105</v>
      </c>
      <c r="H39" s="450">
        <v>32</v>
      </c>
      <c r="I39" s="345">
        <v>0</v>
      </c>
      <c r="J39" s="345">
        <v>32</v>
      </c>
      <c r="K39" s="345">
        <f t="shared" si="0"/>
        <v>1</v>
      </c>
      <c r="L39" s="353">
        <v>45855</v>
      </c>
      <c r="M39" s="451">
        <v>45860</v>
      </c>
      <c r="N39" s="367" t="s">
        <v>7167</v>
      </c>
      <c r="O39" s="365" t="s">
        <v>369</v>
      </c>
      <c r="P39" s="367"/>
      <c r="Q39" s="367"/>
      <c r="R39" s="367">
        <f t="shared" si="16"/>
        <v>32</v>
      </c>
      <c r="S39" s="367"/>
      <c r="T39" s="367"/>
      <c r="U39" s="345">
        <f t="shared" si="15"/>
        <v>32</v>
      </c>
      <c r="V39" s="345"/>
      <c r="W39" s="447"/>
      <c r="X39" s="447"/>
      <c r="Y39" s="447"/>
      <c r="Z39" s="447">
        <f t="shared" si="17"/>
        <v>32</v>
      </c>
      <c r="AA39" s="447"/>
      <c r="AB39" s="447"/>
      <c r="AC39" s="447"/>
      <c r="AD39" s="447"/>
      <c r="AE39" s="409" t="s">
        <v>13023</v>
      </c>
    </row>
    <row r="40" s="400" customFormat="1" ht="50" customHeight="1" spans="1:31">
      <c r="A40" s="365" t="s">
        <v>1016</v>
      </c>
      <c r="B40" s="365" t="s">
        <v>396</v>
      </c>
      <c r="C40" s="365" t="str">
        <f t="shared" si="8"/>
        <v>450016970892104H-S001-NB.WMB森林猫（邮包盒）32</v>
      </c>
      <c r="D40" s="345">
        <v>4500169708</v>
      </c>
      <c r="E40" s="367" t="s">
        <v>7195</v>
      </c>
      <c r="F40" s="367" t="s">
        <v>6104</v>
      </c>
      <c r="G40" s="345" t="s">
        <v>6105</v>
      </c>
      <c r="H40" s="450">
        <v>32</v>
      </c>
      <c r="I40" s="345">
        <v>0</v>
      </c>
      <c r="J40" s="345">
        <v>32</v>
      </c>
      <c r="K40" s="345">
        <f t="shared" si="0"/>
        <v>1</v>
      </c>
      <c r="L40" s="353">
        <v>45855</v>
      </c>
      <c r="M40" s="451">
        <v>45860</v>
      </c>
      <c r="N40" s="367" t="s">
        <v>7167</v>
      </c>
      <c r="O40" s="365" t="s">
        <v>369</v>
      </c>
      <c r="P40" s="367"/>
      <c r="Q40" s="367"/>
      <c r="R40" s="367">
        <f t="shared" si="16"/>
        <v>32</v>
      </c>
      <c r="S40" s="367"/>
      <c r="T40" s="367"/>
      <c r="U40" s="345">
        <f t="shared" si="15"/>
        <v>32</v>
      </c>
      <c r="V40" s="345"/>
      <c r="W40" s="447"/>
      <c r="X40" s="447"/>
      <c r="Y40" s="447"/>
      <c r="Z40" s="447">
        <f t="shared" si="17"/>
        <v>32</v>
      </c>
      <c r="AA40" s="447"/>
      <c r="AB40" s="447"/>
      <c r="AC40" s="447"/>
      <c r="AD40" s="447"/>
      <c r="AE40" s="409" t="s">
        <v>13023</v>
      </c>
    </row>
    <row r="41" s="400" customFormat="1" ht="50" customHeight="1" spans="1:31">
      <c r="A41" s="365" t="s">
        <v>1016</v>
      </c>
      <c r="B41" s="365" t="s">
        <v>396</v>
      </c>
      <c r="C41" s="365" t="str">
        <f t="shared" si="8"/>
        <v>450016970892104H-S001-NB.WMB森林猫（邮包盒）32</v>
      </c>
      <c r="D41" s="345">
        <v>4500169708</v>
      </c>
      <c r="E41" s="367" t="s">
        <v>7197</v>
      </c>
      <c r="F41" s="367" t="s">
        <v>6104</v>
      </c>
      <c r="G41" s="345" t="s">
        <v>6105</v>
      </c>
      <c r="H41" s="450">
        <v>32</v>
      </c>
      <c r="I41" s="345">
        <v>0</v>
      </c>
      <c r="J41" s="345">
        <v>32</v>
      </c>
      <c r="K41" s="345">
        <f t="shared" si="0"/>
        <v>1</v>
      </c>
      <c r="L41" s="353">
        <v>45855</v>
      </c>
      <c r="M41" s="451">
        <v>45860</v>
      </c>
      <c r="N41" s="367" t="s">
        <v>7167</v>
      </c>
      <c r="O41" s="365" t="s">
        <v>369</v>
      </c>
      <c r="P41" s="367"/>
      <c r="Q41" s="367"/>
      <c r="R41" s="367">
        <f t="shared" si="16"/>
        <v>32</v>
      </c>
      <c r="S41" s="367"/>
      <c r="T41" s="367"/>
      <c r="U41" s="345">
        <f t="shared" si="15"/>
        <v>32</v>
      </c>
      <c r="V41" s="345"/>
      <c r="W41" s="447"/>
      <c r="X41" s="447"/>
      <c r="Y41" s="447"/>
      <c r="Z41" s="447">
        <f t="shared" si="17"/>
        <v>32</v>
      </c>
      <c r="AA41" s="447"/>
      <c r="AB41" s="447"/>
      <c r="AC41" s="447"/>
      <c r="AD41" s="447"/>
      <c r="AE41" s="409" t="s">
        <v>13023</v>
      </c>
    </row>
    <row r="42" s="400" customFormat="1" ht="50" customHeight="1" spans="1:31">
      <c r="A42" s="365" t="s">
        <v>1016</v>
      </c>
      <c r="B42" s="365" t="s">
        <v>396</v>
      </c>
      <c r="C42" s="365" t="str">
        <f t="shared" si="8"/>
        <v>450016970892104H-S001-NB.WMB森林猫（邮包盒）32</v>
      </c>
      <c r="D42" s="345">
        <v>4500169708</v>
      </c>
      <c r="E42" s="367" t="s">
        <v>7199</v>
      </c>
      <c r="F42" s="367" t="s">
        <v>6104</v>
      </c>
      <c r="G42" s="345" t="s">
        <v>6105</v>
      </c>
      <c r="H42" s="450">
        <v>32</v>
      </c>
      <c r="I42" s="345">
        <v>0</v>
      </c>
      <c r="J42" s="345">
        <v>32</v>
      </c>
      <c r="K42" s="345">
        <f t="shared" si="0"/>
        <v>1</v>
      </c>
      <c r="L42" s="353">
        <v>45855</v>
      </c>
      <c r="M42" s="451">
        <v>45860</v>
      </c>
      <c r="N42" s="367" t="s">
        <v>7167</v>
      </c>
      <c r="O42" s="365" t="s">
        <v>369</v>
      </c>
      <c r="P42" s="367"/>
      <c r="Q42" s="367"/>
      <c r="R42" s="367">
        <f t="shared" si="16"/>
        <v>32</v>
      </c>
      <c r="S42" s="367"/>
      <c r="T42" s="367"/>
      <c r="U42" s="345">
        <f t="shared" si="15"/>
        <v>32</v>
      </c>
      <c r="V42" s="345"/>
      <c r="W42" s="447"/>
      <c r="X42" s="447"/>
      <c r="Y42" s="447"/>
      <c r="Z42" s="447">
        <f t="shared" si="17"/>
        <v>32</v>
      </c>
      <c r="AA42" s="447"/>
      <c r="AB42" s="447"/>
      <c r="AC42" s="447"/>
      <c r="AD42" s="447"/>
      <c r="AE42" s="409" t="s">
        <v>13023</v>
      </c>
    </row>
    <row r="43" s="400" customFormat="1" ht="50" customHeight="1" spans="1:31">
      <c r="A43" s="365" t="s">
        <v>1641</v>
      </c>
      <c r="B43" s="365" t="s">
        <v>396</v>
      </c>
      <c r="C43" s="365" t="str">
        <f t="shared" si="8"/>
        <v>450016997192104B-S001-NB.WMB缅因猫（邮包盒）32</v>
      </c>
      <c r="D43" s="345">
        <v>4500169971</v>
      </c>
      <c r="E43" s="367" t="s">
        <v>7227</v>
      </c>
      <c r="F43" s="367" t="s">
        <v>6091</v>
      </c>
      <c r="G43" s="345" t="s">
        <v>6092</v>
      </c>
      <c r="H43" s="450">
        <v>32</v>
      </c>
      <c r="I43" s="345">
        <v>0</v>
      </c>
      <c r="J43" s="345">
        <v>32</v>
      </c>
      <c r="K43" s="345">
        <f t="shared" si="0"/>
        <v>1</v>
      </c>
      <c r="L43" s="353">
        <v>45856</v>
      </c>
      <c r="M43" s="451">
        <v>45860</v>
      </c>
      <c r="N43" s="367" t="s">
        <v>7167</v>
      </c>
      <c r="O43" s="365" t="s">
        <v>369</v>
      </c>
      <c r="P43" s="367"/>
      <c r="Q43" s="367"/>
      <c r="R43" s="367">
        <f t="shared" si="16"/>
        <v>32</v>
      </c>
      <c r="S43" s="367"/>
      <c r="T43" s="345"/>
      <c r="U43" s="345">
        <f t="shared" si="15"/>
        <v>32</v>
      </c>
      <c r="V43" s="345"/>
      <c r="W43" s="447"/>
      <c r="X43" s="447"/>
      <c r="Y43" s="447"/>
      <c r="Z43" s="447">
        <f t="shared" si="17"/>
        <v>32</v>
      </c>
      <c r="AA43" s="447"/>
      <c r="AB43" s="447"/>
      <c r="AC43" s="447"/>
      <c r="AD43" s="447"/>
      <c r="AE43" s="409" t="s">
        <v>13023</v>
      </c>
    </row>
    <row r="44" s="400" customFormat="1" ht="50" customHeight="1" spans="1:31">
      <c r="A44" s="365" t="s">
        <v>1641</v>
      </c>
      <c r="B44" s="365" t="s">
        <v>396</v>
      </c>
      <c r="C44" s="365" t="str">
        <f t="shared" si="8"/>
        <v>450016997192104B-S001-NB.WMB缅因猫（邮包盒）32</v>
      </c>
      <c r="D44" s="345">
        <v>4500169971</v>
      </c>
      <c r="E44" s="367" t="s">
        <v>7229</v>
      </c>
      <c r="F44" s="367" t="s">
        <v>6091</v>
      </c>
      <c r="G44" s="345" t="s">
        <v>6092</v>
      </c>
      <c r="H44" s="450">
        <v>32</v>
      </c>
      <c r="I44" s="345">
        <v>0</v>
      </c>
      <c r="J44" s="345">
        <v>32</v>
      </c>
      <c r="K44" s="345">
        <f t="shared" si="0"/>
        <v>1</v>
      </c>
      <c r="L44" s="353">
        <v>45856</v>
      </c>
      <c r="M44" s="451">
        <v>45860</v>
      </c>
      <c r="N44" s="367" t="s">
        <v>7167</v>
      </c>
      <c r="O44" s="365" t="s">
        <v>369</v>
      </c>
      <c r="P44" s="367"/>
      <c r="Q44" s="367"/>
      <c r="R44" s="367">
        <f t="shared" si="16"/>
        <v>32</v>
      </c>
      <c r="S44" s="367"/>
      <c r="T44" s="345"/>
      <c r="U44" s="345">
        <f t="shared" si="15"/>
        <v>32</v>
      </c>
      <c r="V44" s="345"/>
      <c r="W44" s="447"/>
      <c r="X44" s="447"/>
      <c r="Y44" s="447"/>
      <c r="Z44" s="447">
        <f t="shared" si="17"/>
        <v>32</v>
      </c>
      <c r="AA44" s="447"/>
      <c r="AB44" s="447"/>
      <c r="AC44" s="447"/>
      <c r="AD44" s="447"/>
      <c r="AE44" s="409" t="s">
        <v>13023</v>
      </c>
    </row>
    <row r="45" s="400" customFormat="1" ht="50" customHeight="1" spans="1:31">
      <c r="A45" s="365" t="s">
        <v>1641</v>
      </c>
      <c r="B45" s="365" t="s">
        <v>396</v>
      </c>
      <c r="C45" s="365" t="str">
        <f t="shared" ref="C45:C76" si="18">D45&amp;F45&amp;G45&amp;H45</f>
        <v>450016997192104B-S001-NB.WMB缅因猫（邮包盒）32</v>
      </c>
      <c r="D45" s="345">
        <v>4500169971</v>
      </c>
      <c r="E45" s="367" t="s">
        <v>7231</v>
      </c>
      <c r="F45" s="367" t="s">
        <v>6091</v>
      </c>
      <c r="G45" s="345" t="s">
        <v>6092</v>
      </c>
      <c r="H45" s="450">
        <v>32</v>
      </c>
      <c r="I45" s="345">
        <v>0</v>
      </c>
      <c r="J45" s="345">
        <v>32</v>
      </c>
      <c r="K45" s="345">
        <f t="shared" si="0"/>
        <v>1</v>
      </c>
      <c r="L45" s="353">
        <v>45856</v>
      </c>
      <c r="M45" s="451">
        <v>45860</v>
      </c>
      <c r="N45" s="367" t="s">
        <v>7167</v>
      </c>
      <c r="O45" s="365" t="s">
        <v>369</v>
      </c>
      <c r="P45" s="367"/>
      <c r="Q45" s="367"/>
      <c r="R45" s="367">
        <f t="shared" si="16"/>
        <v>32</v>
      </c>
      <c r="S45" s="367"/>
      <c r="T45" s="345"/>
      <c r="U45" s="345">
        <f t="shared" si="15"/>
        <v>32</v>
      </c>
      <c r="V45" s="345"/>
      <c r="W45" s="447"/>
      <c r="X45" s="447"/>
      <c r="Y45" s="447"/>
      <c r="Z45" s="447">
        <f t="shared" si="17"/>
        <v>32</v>
      </c>
      <c r="AA45" s="447"/>
      <c r="AB45" s="447"/>
      <c r="AC45" s="447"/>
      <c r="AD45" s="447"/>
      <c r="AE45" s="409" t="s">
        <v>13023</v>
      </c>
    </row>
    <row r="46" s="400" customFormat="1" ht="50" customHeight="1" spans="1:31">
      <c r="A46" s="365" t="s">
        <v>1641</v>
      </c>
      <c r="B46" s="365" t="s">
        <v>396</v>
      </c>
      <c r="C46" s="365" t="str">
        <f t="shared" si="18"/>
        <v>450016997192104D-S001-NB.MB布偶猫（邮包盒）32</v>
      </c>
      <c r="D46" s="345">
        <v>4500169971</v>
      </c>
      <c r="E46" s="367" t="s">
        <v>7233</v>
      </c>
      <c r="F46" s="367" t="s">
        <v>7185</v>
      </c>
      <c r="G46" s="345" t="s">
        <v>6242</v>
      </c>
      <c r="H46" s="450">
        <v>32</v>
      </c>
      <c r="I46" s="345">
        <v>0</v>
      </c>
      <c r="J46" s="345">
        <v>32</v>
      </c>
      <c r="K46" s="345">
        <f t="shared" si="0"/>
        <v>1</v>
      </c>
      <c r="L46" s="353">
        <v>45856</v>
      </c>
      <c r="M46" s="451">
        <v>45860</v>
      </c>
      <c r="N46" s="367" t="s">
        <v>7167</v>
      </c>
      <c r="O46" s="365" t="s">
        <v>369</v>
      </c>
      <c r="P46" s="367"/>
      <c r="Q46" s="367"/>
      <c r="R46" s="367">
        <f t="shared" si="16"/>
        <v>32</v>
      </c>
      <c r="S46" s="367"/>
      <c r="T46" s="345"/>
      <c r="U46" s="345">
        <f t="shared" si="15"/>
        <v>32</v>
      </c>
      <c r="V46" s="345"/>
      <c r="W46" s="447"/>
      <c r="X46" s="447"/>
      <c r="Y46" s="447"/>
      <c r="Z46" s="447">
        <f t="shared" si="17"/>
        <v>32</v>
      </c>
      <c r="AA46" s="447"/>
      <c r="AB46" s="447"/>
      <c r="AC46" s="447"/>
      <c r="AD46" s="447"/>
      <c r="AE46" s="409" t="s">
        <v>13023</v>
      </c>
    </row>
    <row r="47" s="400" customFormat="1" ht="50" customHeight="1" spans="1:31">
      <c r="A47" s="365" t="s">
        <v>1641</v>
      </c>
      <c r="B47" s="365" t="s">
        <v>396</v>
      </c>
      <c r="C47" s="365" t="str">
        <f t="shared" si="18"/>
        <v>450016997192104D-S001-NB.MB布偶猫（邮包盒）32</v>
      </c>
      <c r="D47" s="345">
        <v>4500169971</v>
      </c>
      <c r="E47" s="367" t="s">
        <v>7235</v>
      </c>
      <c r="F47" s="367" t="s">
        <v>7185</v>
      </c>
      <c r="G47" s="345" t="s">
        <v>6242</v>
      </c>
      <c r="H47" s="450">
        <v>32</v>
      </c>
      <c r="I47" s="345">
        <v>0</v>
      </c>
      <c r="J47" s="345">
        <v>32</v>
      </c>
      <c r="K47" s="345">
        <f t="shared" si="0"/>
        <v>1</v>
      </c>
      <c r="L47" s="353">
        <v>45856</v>
      </c>
      <c r="M47" s="451">
        <v>45860</v>
      </c>
      <c r="N47" s="367" t="s">
        <v>7167</v>
      </c>
      <c r="O47" s="365" t="s">
        <v>369</v>
      </c>
      <c r="P47" s="367"/>
      <c r="Q47" s="367"/>
      <c r="R47" s="367">
        <f t="shared" si="16"/>
        <v>32</v>
      </c>
      <c r="S47" s="367"/>
      <c r="T47" s="345"/>
      <c r="U47" s="345">
        <f t="shared" si="15"/>
        <v>32</v>
      </c>
      <c r="V47" s="345"/>
      <c r="W47" s="447"/>
      <c r="X47" s="447"/>
      <c r="Y47" s="447"/>
      <c r="Z47" s="447">
        <f t="shared" si="17"/>
        <v>32</v>
      </c>
      <c r="AA47" s="447"/>
      <c r="AB47" s="447"/>
      <c r="AC47" s="447"/>
      <c r="AD47" s="447"/>
      <c r="AE47" s="409" t="s">
        <v>13023</v>
      </c>
    </row>
    <row r="48" s="400" customFormat="1" ht="50" customHeight="1" spans="1:31">
      <c r="A48" s="365" t="s">
        <v>1641</v>
      </c>
      <c r="B48" s="365" t="s">
        <v>396</v>
      </c>
      <c r="C48" s="365" t="str">
        <f t="shared" si="18"/>
        <v>450016997192104D-S001-NB.MB布偶猫（邮包盒）32</v>
      </c>
      <c r="D48" s="345">
        <v>4500169971</v>
      </c>
      <c r="E48" s="367" t="s">
        <v>7237</v>
      </c>
      <c r="F48" s="367" t="s">
        <v>7185</v>
      </c>
      <c r="G48" s="345" t="s">
        <v>6242</v>
      </c>
      <c r="H48" s="450">
        <v>32</v>
      </c>
      <c r="I48" s="345">
        <v>0</v>
      </c>
      <c r="J48" s="345">
        <v>32</v>
      </c>
      <c r="K48" s="345">
        <f t="shared" si="0"/>
        <v>1</v>
      </c>
      <c r="L48" s="353">
        <v>45856</v>
      </c>
      <c r="M48" s="451">
        <v>45860</v>
      </c>
      <c r="N48" s="367" t="s">
        <v>7167</v>
      </c>
      <c r="O48" s="365" t="s">
        <v>369</v>
      </c>
      <c r="P48" s="367"/>
      <c r="Q48" s="367"/>
      <c r="R48" s="367">
        <f t="shared" si="16"/>
        <v>32</v>
      </c>
      <c r="S48" s="367"/>
      <c r="T48" s="345"/>
      <c r="U48" s="345">
        <f t="shared" si="15"/>
        <v>32</v>
      </c>
      <c r="V48" s="345"/>
      <c r="W48" s="447"/>
      <c r="X48" s="447"/>
      <c r="Y48" s="447"/>
      <c r="Z48" s="447">
        <f t="shared" si="17"/>
        <v>32</v>
      </c>
      <c r="AA48" s="447"/>
      <c r="AB48" s="447"/>
      <c r="AC48" s="447"/>
      <c r="AD48" s="447"/>
      <c r="AE48" s="409" t="s">
        <v>13023</v>
      </c>
    </row>
    <row r="49" s="400" customFormat="1" ht="50" customHeight="1" spans="1:31">
      <c r="A49" s="365" t="s">
        <v>1641</v>
      </c>
      <c r="B49" s="365" t="s">
        <v>396</v>
      </c>
      <c r="C49" s="365" t="str">
        <f t="shared" si="18"/>
        <v>450016997192104D-S001-NB.MB布偶猫（邮包盒）32</v>
      </c>
      <c r="D49" s="345">
        <v>4500169971</v>
      </c>
      <c r="E49" s="367" t="s">
        <v>7239</v>
      </c>
      <c r="F49" s="367" t="s">
        <v>7185</v>
      </c>
      <c r="G49" s="345" t="s">
        <v>6242</v>
      </c>
      <c r="H49" s="450">
        <v>32</v>
      </c>
      <c r="I49" s="345">
        <v>0</v>
      </c>
      <c r="J49" s="345">
        <v>32</v>
      </c>
      <c r="K49" s="345">
        <f t="shared" si="0"/>
        <v>1</v>
      </c>
      <c r="L49" s="353">
        <v>45856</v>
      </c>
      <c r="M49" s="451">
        <v>45860</v>
      </c>
      <c r="N49" s="367" t="s">
        <v>7167</v>
      </c>
      <c r="O49" s="365" t="s">
        <v>369</v>
      </c>
      <c r="P49" s="367"/>
      <c r="Q49" s="367"/>
      <c r="R49" s="367">
        <f t="shared" si="16"/>
        <v>32</v>
      </c>
      <c r="S49" s="367"/>
      <c r="T49" s="345"/>
      <c r="U49" s="345">
        <f t="shared" si="15"/>
        <v>32</v>
      </c>
      <c r="V49" s="345"/>
      <c r="W49" s="447"/>
      <c r="X49" s="447"/>
      <c r="Y49" s="447"/>
      <c r="Z49" s="447">
        <f t="shared" si="17"/>
        <v>32</v>
      </c>
      <c r="AA49" s="447"/>
      <c r="AB49" s="447"/>
      <c r="AC49" s="447"/>
      <c r="AD49" s="447"/>
      <c r="AE49" s="409" t="s">
        <v>13023</v>
      </c>
    </row>
    <row r="50" s="400" customFormat="1" ht="50" customHeight="1" spans="1:31">
      <c r="A50" s="365" t="s">
        <v>1641</v>
      </c>
      <c r="B50" s="365" t="s">
        <v>396</v>
      </c>
      <c r="C50" s="365" t="str">
        <f t="shared" si="18"/>
        <v>450016997192104D-S001-NB.MB布偶猫（邮包盒）32</v>
      </c>
      <c r="D50" s="345">
        <v>4500169971</v>
      </c>
      <c r="E50" s="367" t="s">
        <v>7241</v>
      </c>
      <c r="F50" s="367" t="s">
        <v>7185</v>
      </c>
      <c r="G50" s="345" t="s">
        <v>6242</v>
      </c>
      <c r="H50" s="450">
        <v>32</v>
      </c>
      <c r="I50" s="345">
        <v>0</v>
      </c>
      <c r="J50" s="345">
        <v>32</v>
      </c>
      <c r="K50" s="345">
        <f t="shared" si="0"/>
        <v>1</v>
      </c>
      <c r="L50" s="353">
        <v>45856</v>
      </c>
      <c r="M50" s="451">
        <v>45860</v>
      </c>
      <c r="N50" s="367" t="s">
        <v>7167</v>
      </c>
      <c r="O50" s="365" t="s">
        <v>369</v>
      </c>
      <c r="P50" s="367"/>
      <c r="Q50" s="367"/>
      <c r="R50" s="367">
        <f t="shared" si="16"/>
        <v>32</v>
      </c>
      <c r="S50" s="367"/>
      <c r="T50" s="345"/>
      <c r="U50" s="345">
        <f t="shared" si="15"/>
        <v>32</v>
      </c>
      <c r="V50" s="345"/>
      <c r="W50" s="447"/>
      <c r="X50" s="447"/>
      <c r="Y50" s="447"/>
      <c r="Z50" s="447">
        <f t="shared" si="17"/>
        <v>32</v>
      </c>
      <c r="AA50" s="447"/>
      <c r="AB50" s="447"/>
      <c r="AC50" s="447"/>
      <c r="AD50" s="447"/>
      <c r="AE50" s="409" t="s">
        <v>13023</v>
      </c>
    </row>
    <row r="51" s="400" customFormat="1" ht="50" customHeight="1" spans="1:31">
      <c r="A51" s="331" t="s">
        <v>3657</v>
      </c>
      <c r="B51" s="324" t="s">
        <v>341</v>
      </c>
      <c r="C51" s="365" t="str">
        <f t="shared" si="18"/>
        <v>450016396192123-S001长尾巴猫（9298+92104）8316</v>
      </c>
      <c r="D51" s="332">
        <v>4500163961</v>
      </c>
      <c r="E51" s="324" t="s">
        <v>4335</v>
      </c>
      <c r="F51" s="367" t="s">
        <v>3356</v>
      </c>
      <c r="G51" s="345" t="s">
        <v>3517</v>
      </c>
      <c r="H51" s="345">
        <v>8316</v>
      </c>
      <c r="I51" s="345">
        <v>0</v>
      </c>
      <c r="J51" s="345">
        <v>12</v>
      </c>
      <c r="K51" s="345">
        <f t="shared" si="0"/>
        <v>693</v>
      </c>
      <c r="L51" s="353">
        <v>45859</v>
      </c>
      <c r="M51" s="451">
        <v>45866</v>
      </c>
      <c r="N51" s="367"/>
      <c r="O51" s="324" t="s">
        <v>1131</v>
      </c>
      <c r="P51" s="367"/>
      <c r="Q51" s="367"/>
      <c r="R51" s="367"/>
      <c r="S51" s="367"/>
      <c r="T51" s="367">
        <f>H51</f>
        <v>8316</v>
      </c>
      <c r="U51" s="345"/>
      <c r="V51" s="345">
        <f t="shared" ref="V51:V56" si="19">H51</f>
        <v>8316</v>
      </c>
      <c r="W51" s="447"/>
      <c r="X51" s="447">
        <f t="shared" ref="X51:X53" si="20">H51</f>
        <v>8316</v>
      </c>
      <c r="Y51" s="447"/>
      <c r="Z51" s="447"/>
      <c r="AA51" s="447"/>
      <c r="AB51" s="447"/>
      <c r="AC51" s="447"/>
      <c r="AD51" s="447"/>
      <c r="AE51" s="409" t="s">
        <v>13027</v>
      </c>
    </row>
    <row r="52" s="400" customFormat="1" ht="50" customHeight="1" spans="1:31">
      <c r="A52" s="331" t="s">
        <v>3657</v>
      </c>
      <c r="B52" s="324" t="s">
        <v>341</v>
      </c>
      <c r="C52" s="365" t="str">
        <f t="shared" si="18"/>
        <v>450016396192123-S001长尾巴猫（9298+92104）8316</v>
      </c>
      <c r="D52" s="332">
        <v>4500163961</v>
      </c>
      <c r="E52" s="324" t="s">
        <v>4339</v>
      </c>
      <c r="F52" s="367" t="s">
        <v>3356</v>
      </c>
      <c r="G52" s="345" t="s">
        <v>3517</v>
      </c>
      <c r="H52" s="345">
        <v>8316</v>
      </c>
      <c r="I52" s="345">
        <v>0</v>
      </c>
      <c r="J52" s="345">
        <v>12</v>
      </c>
      <c r="K52" s="345">
        <f t="shared" si="0"/>
        <v>693</v>
      </c>
      <c r="L52" s="353">
        <v>45859</v>
      </c>
      <c r="M52" s="451">
        <v>45866</v>
      </c>
      <c r="N52" s="367"/>
      <c r="O52" s="324" t="s">
        <v>1131</v>
      </c>
      <c r="P52" s="367"/>
      <c r="Q52" s="367"/>
      <c r="R52" s="367"/>
      <c r="S52" s="367"/>
      <c r="T52" s="367">
        <f>H52</f>
        <v>8316</v>
      </c>
      <c r="U52" s="345"/>
      <c r="V52" s="345">
        <f t="shared" si="19"/>
        <v>8316</v>
      </c>
      <c r="W52" s="447"/>
      <c r="X52" s="447">
        <f t="shared" si="20"/>
        <v>8316</v>
      </c>
      <c r="Y52" s="447"/>
      <c r="Z52" s="447"/>
      <c r="AA52" s="447"/>
      <c r="AB52" s="447"/>
      <c r="AC52" s="447"/>
      <c r="AD52" s="447"/>
      <c r="AE52" s="409" t="s">
        <v>13027</v>
      </c>
    </row>
    <row r="53" s="400" customFormat="1" ht="50" customHeight="1" spans="1:31">
      <c r="A53" s="365" t="s">
        <v>3905</v>
      </c>
      <c r="B53" s="365" t="s">
        <v>1385</v>
      </c>
      <c r="C53" s="365" t="str">
        <f t="shared" si="18"/>
        <v>450016940792104TQ2-S001长尾巴猫1920</v>
      </c>
      <c r="D53" s="345">
        <v>4500169407</v>
      </c>
      <c r="E53" s="367" t="s">
        <v>4314</v>
      </c>
      <c r="F53" s="367" t="s">
        <v>6195</v>
      </c>
      <c r="G53" s="345" t="s">
        <v>6063</v>
      </c>
      <c r="H53" s="450">
        <v>1920</v>
      </c>
      <c r="I53" s="345">
        <v>0</v>
      </c>
      <c r="J53" s="345">
        <v>12</v>
      </c>
      <c r="K53" s="345">
        <f t="shared" si="0"/>
        <v>160</v>
      </c>
      <c r="L53" s="353">
        <v>45859</v>
      </c>
      <c r="M53" s="451">
        <v>45863</v>
      </c>
      <c r="N53" s="345"/>
      <c r="O53" s="365" t="s">
        <v>448</v>
      </c>
      <c r="P53" s="367"/>
      <c r="Q53" s="367">
        <f>H53</f>
        <v>1920</v>
      </c>
      <c r="R53" s="367"/>
      <c r="S53" s="367"/>
      <c r="T53" s="345"/>
      <c r="U53" s="345"/>
      <c r="V53" s="345">
        <f t="shared" si="19"/>
        <v>1920</v>
      </c>
      <c r="W53" s="447"/>
      <c r="X53" s="447">
        <f t="shared" si="20"/>
        <v>1920</v>
      </c>
      <c r="Y53" s="447"/>
      <c r="Z53" s="447"/>
      <c r="AA53" s="447"/>
      <c r="AB53" s="447"/>
      <c r="AC53" s="447">
        <f>H53/6</f>
        <v>320</v>
      </c>
      <c r="AD53" s="447"/>
      <c r="AE53" s="409" t="s">
        <v>13024</v>
      </c>
    </row>
    <row r="54" s="400" customFormat="1" ht="50" customHeight="1" spans="1:31">
      <c r="A54" s="365" t="s">
        <v>3905</v>
      </c>
      <c r="B54" s="365" t="s">
        <v>1385</v>
      </c>
      <c r="C54" s="365" t="str">
        <f t="shared" si="18"/>
        <v>450016940792124-S001-92104长尾巴猫（92119+9298+92104）1400</v>
      </c>
      <c r="D54" s="345">
        <v>4500169407</v>
      </c>
      <c r="E54" s="367" t="s">
        <v>4314</v>
      </c>
      <c r="F54" s="367" t="s">
        <v>6641</v>
      </c>
      <c r="G54" s="367" t="s">
        <v>6642</v>
      </c>
      <c r="H54" s="345">
        <v>1400</v>
      </c>
      <c r="I54" s="345">
        <v>0</v>
      </c>
      <c r="J54" s="345">
        <v>1</v>
      </c>
      <c r="K54" s="345">
        <f t="shared" si="0"/>
        <v>1400</v>
      </c>
      <c r="L54" s="353">
        <v>45859</v>
      </c>
      <c r="M54" s="451">
        <v>45863</v>
      </c>
      <c r="N54" s="318" t="s">
        <v>7268</v>
      </c>
      <c r="O54" s="365" t="s">
        <v>448</v>
      </c>
      <c r="P54" s="367"/>
      <c r="Q54" s="367">
        <f>H54</f>
        <v>1400</v>
      </c>
      <c r="R54" s="367"/>
      <c r="S54" s="367"/>
      <c r="T54" s="345"/>
      <c r="U54" s="345"/>
      <c r="V54" s="345">
        <f t="shared" si="19"/>
        <v>1400</v>
      </c>
      <c r="W54" s="447"/>
      <c r="X54" s="447"/>
      <c r="Y54" s="447">
        <f t="shared" ref="Y54:Y56" si="21">H54</f>
        <v>1400</v>
      </c>
      <c r="Z54" s="447"/>
      <c r="AA54" s="447"/>
      <c r="AB54" s="447"/>
      <c r="AC54" s="447"/>
      <c r="AD54" s="447"/>
      <c r="AE54" s="445" t="s">
        <v>4196</v>
      </c>
    </row>
    <row r="55" s="400" customFormat="1" ht="50" customHeight="1" spans="1:31">
      <c r="A55" s="365" t="s">
        <v>3599</v>
      </c>
      <c r="B55" s="365" t="s">
        <v>2058</v>
      </c>
      <c r="C55" s="365" t="str">
        <f t="shared" si="18"/>
        <v>450016928592123-S001-92104长尾巴猫（9298+92104）2508</v>
      </c>
      <c r="D55" s="345">
        <v>4500169285</v>
      </c>
      <c r="E55" s="367">
        <v>2000007035</v>
      </c>
      <c r="F55" s="367" t="s">
        <v>6643</v>
      </c>
      <c r="G55" s="345" t="s">
        <v>3517</v>
      </c>
      <c r="H55" s="345">
        <v>2508</v>
      </c>
      <c r="I55" s="345">
        <v>0</v>
      </c>
      <c r="J55" s="345">
        <v>12</v>
      </c>
      <c r="K55" s="345">
        <f t="shared" si="0"/>
        <v>209</v>
      </c>
      <c r="L55" s="353">
        <v>45859</v>
      </c>
      <c r="M55" s="387">
        <v>45859</v>
      </c>
      <c r="N55" s="324" t="s">
        <v>7283</v>
      </c>
      <c r="O55" s="365" t="s">
        <v>578</v>
      </c>
      <c r="P55" s="367"/>
      <c r="Q55" s="367"/>
      <c r="R55" s="367"/>
      <c r="S55" s="367">
        <f>H55</f>
        <v>2508</v>
      </c>
      <c r="T55" s="345"/>
      <c r="U55" s="345"/>
      <c r="V55" s="345">
        <f t="shared" si="19"/>
        <v>2508</v>
      </c>
      <c r="W55" s="447"/>
      <c r="X55" s="447"/>
      <c r="Y55" s="447">
        <f t="shared" si="21"/>
        <v>2508</v>
      </c>
      <c r="Z55" s="447"/>
      <c r="AA55" s="447"/>
      <c r="AB55" s="447"/>
      <c r="AC55" s="447"/>
      <c r="AD55" s="447"/>
      <c r="AE55" s="445" t="s">
        <v>4196</v>
      </c>
    </row>
    <row r="56" s="400" customFormat="1" ht="50" customHeight="1" spans="1:31">
      <c r="A56" s="365" t="s">
        <v>568</v>
      </c>
      <c r="B56" s="365" t="s">
        <v>569</v>
      </c>
      <c r="C56" s="365" t="str">
        <f t="shared" si="18"/>
        <v>450016930092123-S001-92104长尾巴猫（9298+92104）1200</v>
      </c>
      <c r="D56" s="345">
        <v>4500169300</v>
      </c>
      <c r="E56" s="367">
        <v>2000007049</v>
      </c>
      <c r="F56" s="367" t="s">
        <v>6643</v>
      </c>
      <c r="G56" s="345" t="s">
        <v>3517</v>
      </c>
      <c r="H56" s="345">
        <v>1200</v>
      </c>
      <c r="I56" s="345">
        <v>0</v>
      </c>
      <c r="J56" s="345">
        <v>12</v>
      </c>
      <c r="K56" s="345">
        <f t="shared" si="0"/>
        <v>100</v>
      </c>
      <c r="L56" s="353">
        <v>45859</v>
      </c>
      <c r="M56" s="387">
        <v>45859</v>
      </c>
      <c r="N56" s="324" t="s">
        <v>7283</v>
      </c>
      <c r="O56" s="365" t="s">
        <v>578</v>
      </c>
      <c r="P56" s="367"/>
      <c r="Q56" s="367"/>
      <c r="R56" s="367"/>
      <c r="S56" s="367">
        <f>H56</f>
        <v>1200</v>
      </c>
      <c r="T56" s="345"/>
      <c r="U56" s="345"/>
      <c r="V56" s="345">
        <f t="shared" si="19"/>
        <v>1200</v>
      </c>
      <c r="W56" s="447"/>
      <c r="X56" s="447"/>
      <c r="Y56" s="447">
        <f t="shared" si="21"/>
        <v>1200</v>
      </c>
      <c r="Z56" s="447"/>
      <c r="AA56" s="447"/>
      <c r="AB56" s="447"/>
      <c r="AC56" s="447"/>
      <c r="AD56" s="447"/>
      <c r="AE56" s="445" t="s">
        <v>4196</v>
      </c>
    </row>
    <row r="57" s="400" customFormat="1" ht="50" customHeight="1" spans="1:31">
      <c r="A57" s="365" t="s">
        <v>1641</v>
      </c>
      <c r="B57" s="365" t="s">
        <v>396</v>
      </c>
      <c r="C57" s="365" t="str">
        <f t="shared" si="18"/>
        <v>450017014692104B-S001-NB.WMB缅因猫（邮包盒）32</v>
      </c>
      <c r="D57" s="345">
        <v>4500170146</v>
      </c>
      <c r="E57" s="367" t="s">
        <v>7243</v>
      </c>
      <c r="F57" s="367" t="s">
        <v>6091</v>
      </c>
      <c r="G57" s="345" t="s">
        <v>6092</v>
      </c>
      <c r="H57" s="450">
        <v>32</v>
      </c>
      <c r="I57" s="345">
        <v>0</v>
      </c>
      <c r="J57" s="345">
        <v>32</v>
      </c>
      <c r="K57" s="345">
        <v>1</v>
      </c>
      <c r="L57" s="353">
        <v>45859</v>
      </c>
      <c r="M57" s="451">
        <v>45860</v>
      </c>
      <c r="N57" s="324" t="s">
        <v>7167</v>
      </c>
      <c r="O57" s="365" t="s">
        <v>369</v>
      </c>
      <c r="P57" s="367"/>
      <c r="Q57" s="367"/>
      <c r="R57" s="367">
        <f t="shared" ref="R57:R64" si="22">H57</f>
        <v>32</v>
      </c>
      <c r="S57" s="367"/>
      <c r="T57" s="345"/>
      <c r="U57" s="345">
        <f t="shared" ref="U57:U64" si="23">H57</f>
        <v>32</v>
      </c>
      <c r="V57" s="345"/>
      <c r="W57" s="447"/>
      <c r="X57" s="447"/>
      <c r="Y57" s="447"/>
      <c r="Z57" s="447">
        <f t="shared" ref="Z57:Z65" si="24">H57</f>
        <v>32</v>
      </c>
      <c r="AA57" s="447"/>
      <c r="AB57" s="447"/>
      <c r="AC57" s="447"/>
      <c r="AD57" s="447"/>
      <c r="AE57" s="409" t="s">
        <v>13023</v>
      </c>
    </row>
    <row r="58" s="400" customFormat="1" ht="50" customHeight="1" spans="1:31">
      <c r="A58" s="365" t="s">
        <v>1641</v>
      </c>
      <c r="B58" s="365" t="s">
        <v>396</v>
      </c>
      <c r="C58" s="365" t="str">
        <f t="shared" si="18"/>
        <v>450017014692104B-S001-NB.WMB缅因猫（邮包盒）32</v>
      </c>
      <c r="D58" s="345">
        <v>4500170146</v>
      </c>
      <c r="E58" s="367" t="s">
        <v>7246</v>
      </c>
      <c r="F58" s="367" t="s">
        <v>6091</v>
      </c>
      <c r="G58" s="345" t="s">
        <v>6092</v>
      </c>
      <c r="H58" s="450">
        <v>32</v>
      </c>
      <c r="I58" s="345">
        <v>0</v>
      </c>
      <c r="J58" s="345">
        <v>32</v>
      </c>
      <c r="K58" s="345">
        <v>1</v>
      </c>
      <c r="L58" s="353">
        <v>45859</v>
      </c>
      <c r="M58" s="451">
        <v>45860</v>
      </c>
      <c r="N58" s="324" t="s">
        <v>7167</v>
      </c>
      <c r="O58" s="365" t="s">
        <v>369</v>
      </c>
      <c r="P58" s="367"/>
      <c r="Q58" s="367"/>
      <c r="R58" s="367">
        <f t="shared" si="22"/>
        <v>32</v>
      </c>
      <c r="S58" s="367"/>
      <c r="T58" s="345"/>
      <c r="U58" s="345">
        <f t="shared" si="23"/>
        <v>32</v>
      </c>
      <c r="V58" s="345"/>
      <c r="W58" s="447"/>
      <c r="X58" s="447"/>
      <c r="Y58" s="447"/>
      <c r="Z58" s="447">
        <f t="shared" si="24"/>
        <v>32</v>
      </c>
      <c r="AA58" s="447"/>
      <c r="AB58" s="447"/>
      <c r="AC58" s="447"/>
      <c r="AD58" s="447"/>
      <c r="AE58" s="409" t="s">
        <v>13023</v>
      </c>
    </row>
    <row r="59" s="400" customFormat="1" ht="50" customHeight="1" spans="1:31">
      <c r="A59" s="365" t="s">
        <v>1641</v>
      </c>
      <c r="B59" s="365" t="s">
        <v>396</v>
      </c>
      <c r="C59" s="365" t="str">
        <f t="shared" si="18"/>
        <v>450017014692104B-S001-NB.WMB缅因猫（邮包盒）32</v>
      </c>
      <c r="D59" s="345">
        <v>4500170146</v>
      </c>
      <c r="E59" s="367" t="s">
        <v>7248</v>
      </c>
      <c r="F59" s="367" t="s">
        <v>6091</v>
      </c>
      <c r="G59" s="345" t="s">
        <v>6092</v>
      </c>
      <c r="H59" s="450">
        <v>32</v>
      </c>
      <c r="I59" s="345">
        <v>0</v>
      </c>
      <c r="J59" s="345">
        <v>32</v>
      </c>
      <c r="K59" s="345">
        <v>1</v>
      </c>
      <c r="L59" s="353">
        <v>45859</v>
      </c>
      <c r="M59" s="451">
        <v>45860</v>
      </c>
      <c r="N59" s="324" t="s">
        <v>7167</v>
      </c>
      <c r="O59" s="365" t="s">
        <v>369</v>
      </c>
      <c r="P59" s="367"/>
      <c r="Q59" s="367"/>
      <c r="R59" s="367">
        <f t="shared" si="22"/>
        <v>32</v>
      </c>
      <c r="S59" s="367"/>
      <c r="T59" s="345"/>
      <c r="U59" s="345">
        <f t="shared" si="23"/>
        <v>32</v>
      </c>
      <c r="V59" s="345"/>
      <c r="W59" s="447"/>
      <c r="X59" s="447"/>
      <c r="Y59" s="447"/>
      <c r="Z59" s="447">
        <f t="shared" si="24"/>
        <v>32</v>
      </c>
      <c r="AA59" s="447"/>
      <c r="AB59" s="447"/>
      <c r="AC59" s="447"/>
      <c r="AD59" s="447"/>
      <c r="AE59" s="409" t="s">
        <v>13023</v>
      </c>
    </row>
    <row r="60" s="400" customFormat="1" ht="50" customHeight="1" spans="1:31">
      <c r="A60" s="365" t="s">
        <v>1641</v>
      </c>
      <c r="B60" s="365" t="s">
        <v>396</v>
      </c>
      <c r="C60" s="365" t="str">
        <f t="shared" si="18"/>
        <v>450017014692104D-S001-NB.MB布偶猫（邮包盒）32</v>
      </c>
      <c r="D60" s="345">
        <v>4500170146</v>
      </c>
      <c r="E60" s="367" t="s">
        <v>7250</v>
      </c>
      <c r="F60" s="367" t="s">
        <v>7185</v>
      </c>
      <c r="G60" s="345" t="s">
        <v>6242</v>
      </c>
      <c r="H60" s="450">
        <v>32</v>
      </c>
      <c r="I60" s="345">
        <v>0</v>
      </c>
      <c r="J60" s="345">
        <v>32</v>
      </c>
      <c r="K60" s="345">
        <v>1</v>
      </c>
      <c r="L60" s="353">
        <v>45859</v>
      </c>
      <c r="M60" s="451">
        <v>45860</v>
      </c>
      <c r="N60" s="324" t="s">
        <v>7167</v>
      </c>
      <c r="O60" s="365" t="s">
        <v>369</v>
      </c>
      <c r="P60" s="367"/>
      <c r="Q60" s="367"/>
      <c r="R60" s="367">
        <f t="shared" si="22"/>
        <v>32</v>
      </c>
      <c r="S60" s="367"/>
      <c r="T60" s="345"/>
      <c r="U60" s="345">
        <f t="shared" si="23"/>
        <v>32</v>
      </c>
      <c r="V60" s="345"/>
      <c r="W60" s="447"/>
      <c r="X60" s="447"/>
      <c r="Y60" s="447"/>
      <c r="Z60" s="447">
        <f t="shared" si="24"/>
        <v>32</v>
      </c>
      <c r="AA60" s="447"/>
      <c r="AB60" s="447"/>
      <c r="AC60" s="447"/>
      <c r="AD60" s="447"/>
      <c r="AE60" s="409" t="s">
        <v>13023</v>
      </c>
    </row>
    <row r="61" s="400" customFormat="1" ht="50" customHeight="1" spans="1:31">
      <c r="A61" s="365" t="s">
        <v>1641</v>
      </c>
      <c r="B61" s="365" t="s">
        <v>396</v>
      </c>
      <c r="C61" s="365" t="str">
        <f t="shared" si="18"/>
        <v>450017014692104D-S001-NB.MB布偶猫（邮包盒）32</v>
      </c>
      <c r="D61" s="345">
        <v>4500170146</v>
      </c>
      <c r="E61" s="367" t="s">
        <v>7252</v>
      </c>
      <c r="F61" s="367" t="s">
        <v>7185</v>
      </c>
      <c r="G61" s="345" t="s">
        <v>6242</v>
      </c>
      <c r="H61" s="450">
        <v>32</v>
      </c>
      <c r="I61" s="345">
        <v>0</v>
      </c>
      <c r="J61" s="345">
        <v>32</v>
      </c>
      <c r="K61" s="345">
        <v>1</v>
      </c>
      <c r="L61" s="353">
        <v>45859</v>
      </c>
      <c r="M61" s="451">
        <v>45860</v>
      </c>
      <c r="N61" s="324" t="s">
        <v>7167</v>
      </c>
      <c r="O61" s="365" t="s">
        <v>369</v>
      </c>
      <c r="P61" s="367"/>
      <c r="Q61" s="367"/>
      <c r="R61" s="367">
        <f t="shared" si="22"/>
        <v>32</v>
      </c>
      <c r="S61" s="367"/>
      <c r="T61" s="345"/>
      <c r="U61" s="345">
        <f t="shared" si="23"/>
        <v>32</v>
      </c>
      <c r="V61" s="345"/>
      <c r="W61" s="447"/>
      <c r="X61" s="447"/>
      <c r="Y61" s="447"/>
      <c r="Z61" s="447">
        <f t="shared" si="24"/>
        <v>32</v>
      </c>
      <c r="AA61" s="447"/>
      <c r="AB61" s="447"/>
      <c r="AC61" s="447"/>
      <c r="AD61" s="447"/>
      <c r="AE61" s="409" t="s">
        <v>13023</v>
      </c>
    </row>
    <row r="62" s="400" customFormat="1" ht="50" customHeight="1" spans="1:31">
      <c r="A62" s="365" t="s">
        <v>1641</v>
      </c>
      <c r="B62" s="365" t="s">
        <v>396</v>
      </c>
      <c r="C62" s="365" t="str">
        <f t="shared" si="18"/>
        <v>450017014692104D-S001-NB.MB布偶猫（邮包盒）32</v>
      </c>
      <c r="D62" s="345">
        <v>4500170146</v>
      </c>
      <c r="E62" s="367" t="s">
        <v>7254</v>
      </c>
      <c r="F62" s="367" t="s">
        <v>7185</v>
      </c>
      <c r="G62" s="345" t="s">
        <v>6242</v>
      </c>
      <c r="H62" s="450">
        <v>32</v>
      </c>
      <c r="I62" s="345">
        <v>0</v>
      </c>
      <c r="J62" s="345">
        <v>32</v>
      </c>
      <c r="K62" s="345">
        <v>1</v>
      </c>
      <c r="L62" s="353">
        <v>45859</v>
      </c>
      <c r="M62" s="451">
        <v>45860</v>
      </c>
      <c r="N62" s="324" t="s">
        <v>7167</v>
      </c>
      <c r="O62" s="365" t="s">
        <v>369</v>
      </c>
      <c r="P62" s="367"/>
      <c r="Q62" s="367"/>
      <c r="R62" s="367">
        <f t="shared" si="22"/>
        <v>32</v>
      </c>
      <c r="S62" s="367"/>
      <c r="T62" s="345"/>
      <c r="U62" s="345">
        <f t="shared" si="23"/>
        <v>32</v>
      </c>
      <c r="V62" s="345"/>
      <c r="W62" s="447"/>
      <c r="X62" s="447"/>
      <c r="Y62" s="447"/>
      <c r="Z62" s="447">
        <f t="shared" si="24"/>
        <v>32</v>
      </c>
      <c r="AA62" s="447"/>
      <c r="AB62" s="447"/>
      <c r="AC62" s="447"/>
      <c r="AD62" s="447"/>
      <c r="AE62" s="409" t="s">
        <v>13023</v>
      </c>
    </row>
    <row r="63" s="400" customFormat="1" ht="50" customHeight="1" spans="1:31">
      <c r="A63" s="365" t="s">
        <v>1641</v>
      </c>
      <c r="B63" s="365" t="s">
        <v>396</v>
      </c>
      <c r="C63" s="365" t="str">
        <f t="shared" si="18"/>
        <v>450017014692104D-S001-NB.MB布偶猫（邮包盒）32</v>
      </c>
      <c r="D63" s="345">
        <v>4500170146</v>
      </c>
      <c r="E63" s="367" t="s">
        <v>7256</v>
      </c>
      <c r="F63" s="367" t="s">
        <v>7185</v>
      </c>
      <c r="G63" s="345" t="s">
        <v>6242</v>
      </c>
      <c r="H63" s="450">
        <v>32</v>
      </c>
      <c r="I63" s="345">
        <v>0</v>
      </c>
      <c r="J63" s="345">
        <v>32</v>
      </c>
      <c r="K63" s="345">
        <v>1</v>
      </c>
      <c r="L63" s="353">
        <v>45859</v>
      </c>
      <c r="M63" s="451">
        <v>45860</v>
      </c>
      <c r="N63" s="324" t="s">
        <v>7167</v>
      </c>
      <c r="O63" s="365" t="s">
        <v>369</v>
      </c>
      <c r="P63" s="367"/>
      <c r="Q63" s="367"/>
      <c r="R63" s="367">
        <f t="shared" si="22"/>
        <v>32</v>
      </c>
      <c r="S63" s="367"/>
      <c r="T63" s="345"/>
      <c r="U63" s="345">
        <f t="shared" si="23"/>
        <v>32</v>
      </c>
      <c r="V63" s="345"/>
      <c r="W63" s="447"/>
      <c r="X63" s="447"/>
      <c r="Y63" s="447"/>
      <c r="Z63" s="447">
        <f t="shared" si="24"/>
        <v>32</v>
      </c>
      <c r="AA63" s="447"/>
      <c r="AB63" s="447"/>
      <c r="AC63" s="447"/>
      <c r="AD63" s="447"/>
      <c r="AE63" s="409" t="s">
        <v>13023</v>
      </c>
    </row>
    <row r="64" s="400" customFormat="1" ht="50" customHeight="1" spans="1:31">
      <c r="A64" s="365" t="s">
        <v>1641</v>
      </c>
      <c r="B64" s="365" t="s">
        <v>396</v>
      </c>
      <c r="C64" s="365" t="str">
        <f t="shared" si="18"/>
        <v>450017014692104D-S001-NB.MB布偶猫（邮包盒）32</v>
      </c>
      <c r="D64" s="345">
        <v>4500170146</v>
      </c>
      <c r="E64" s="367" t="s">
        <v>7258</v>
      </c>
      <c r="F64" s="367" t="s">
        <v>7185</v>
      </c>
      <c r="G64" s="345" t="s">
        <v>6242</v>
      </c>
      <c r="H64" s="450">
        <v>32</v>
      </c>
      <c r="I64" s="345">
        <v>0</v>
      </c>
      <c r="J64" s="345">
        <v>32</v>
      </c>
      <c r="K64" s="345">
        <v>1</v>
      </c>
      <c r="L64" s="353">
        <v>45859</v>
      </c>
      <c r="M64" s="451">
        <v>45860</v>
      </c>
      <c r="N64" s="324" t="s">
        <v>7167</v>
      </c>
      <c r="O64" s="365" t="s">
        <v>369</v>
      </c>
      <c r="P64" s="367"/>
      <c r="Q64" s="367"/>
      <c r="R64" s="367">
        <f t="shared" si="22"/>
        <v>32</v>
      </c>
      <c r="S64" s="367"/>
      <c r="T64" s="345"/>
      <c r="U64" s="345">
        <f t="shared" si="23"/>
        <v>32</v>
      </c>
      <c r="V64" s="345"/>
      <c r="W64" s="447"/>
      <c r="X64" s="447"/>
      <c r="Y64" s="447"/>
      <c r="Z64" s="447">
        <f t="shared" si="24"/>
        <v>32</v>
      </c>
      <c r="AA64" s="447"/>
      <c r="AB64" s="447"/>
      <c r="AC64" s="447"/>
      <c r="AD64" s="447"/>
      <c r="AE64" s="409" t="s">
        <v>13023</v>
      </c>
    </row>
    <row r="65" s="400" customFormat="1" ht="50" customHeight="1" spans="1:31">
      <c r="A65" s="365" t="s">
        <v>6224</v>
      </c>
      <c r="B65" s="365" t="s">
        <v>6225</v>
      </c>
      <c r="C65" s="365" t="str">
        <f t="shared" si="18"/>
        <v>450016937192104TQ2-S002-NB长尾巴猫1128</v>
      </c>
      <c r="D65" s="345">
        <v>4500169371</v>
      </c>
      <c r="E65" s="367" t="s">
        <v>7222</v>
      </c>
      <c r="F65" s="367" t="s">
        <v>6228</v>
      </c>
      <c r="G65" s="345" t="s">
        <v>6063</v>
      </c>
      <c r="H65" s="450">
        <v>1128</v>
      </c>
      <c r="I65" s="345">
        <v>0</v>
      </c>
      <c r="J65" s="345">
        <v>6</v>
      </c>
      <c r="K65" s="345">
        <f t="shared" ref="K65:K96" si="25">H65/J65</f>
        <v>188</v>
      </c>
      <c r="L65" s="353">
        <v>45862</v>
      </c>
      <c r="M65" s="451">
        <v>45863</v>
      </c>
      <c r="N65" s="345"/>
      <c r="O65" s="365" t="s">
        <v>424</v>
      </c>
      <c r="P65" s="367"/>
      <c r="Q65" s="367"/>
      <c r="R65" s="367"/>
      <c r="S65" s="367">
        <f t="shared" ref="S65:S67" si="26">H65</f>
        <v>1128</v>
      </c>
      <c r="T65" s="345"/>
      <c r="U65" s="345"/>
      <c r="V65" s="345">
        <f t="shared" ref="V65:V128" si="27">H65</f>
        <v>1128</v>
      </c>
      <c r="W65" s="447"/>
      <c r="X65" s="447"/>
      <c r="Y65" s="447"/>
      <c r="Z65" s="447">
        <f t="shared" si="24"/>
        <v>1128</v>
      </c>
      <c r="AA65" s="447"/>
      <c r="AB65" s="447"/>
      <c r="AC65" s="447">
        <f>H65/6</f>
        <v>188</v>
      </c>
      <c r="AD65" s="447"/>
      <c r="AE65" s="409" t="s">
        <v>13024</v>
      </c>
    </row>
    <row r="66" s="400" customFormat="1" ht="50" customHeight="1" spans="1:31">
      <c r="A66" s="365" t="s">
        <v>737</v>
      </c>
      <c r="B66" s="365" t="s">
        <v>738</v>
      </c>
      <c r="C66" s="365" t="str">
        <f t="shared" si="18"/>
        <v>450016492092104TQ1-S001长尾巴猫360</v>
      </c>
      <c r="D66" s="366">
        <v>4500164920</v>
      </c>
      <c r="E66" s="345">
        <v>61963726</v>
      </c>
      <c r="F66" s="367" t="s">
        <v>6124</v>
      </c>
      <c r="G66" s="345" t="s">
        <v>6063</v>
      </c>
      <c r="H66" s="450">
        <v>360</v>
      </c>
      <c r="I66" s="345">
        <v>0</v>
      </c>
      <c r="J66" s="345">
        <v>12</v>
      </c>
      <c r="K66" s="345">
        <f t="shared" si="25"/>
        <v>30</v>
      </c>
      <c r="L66" s="353">
        <v>45863</v>
      </c>
      <c r="M66" s="387">
        <v>45863</v>
      </c>
      <c r="N66" s="367"/>
      <c r="O66" s="365" t="s">
        <v>459</v>
      </c>
      <c r="P66" s="367"/>
      <c r="Q66" s="367"/>
      <c r="R66" s="367"/>
      <c r="S66" s="367">
        <f t="shared" si="26"/>
        <v>360</v>
      </c>
      <c r="T66" s="367"/>
      <c r="U66" s="345"/>
      <c r="V66" s="345">
        <f t="shared" si="27"/>
        <v>360</v>
      </c>
      <c r="W66" s="447"/>
      <c r="X66" s="447">
        <f>H66</f>
        <v>360</v>
      </c>
      <c r="Y66" s="447"/>
      <c r="Z66" s="447"/>
      <c r="AA66" s="447"/>
      <c r="AB66" s="447">
        <f>H66/6</f>
        <v>60</v>
      </c>
      <c r="AC66" s="447"/>
      <c r="AD66" s="447"/>
      <c r="AE66" s="409" t="s">
        <v>13024</v>
      </c>
    </row>
    <row r="67" s="400" customFormat="1" ht="50" customHeight="1" spans="1:31">
      <c r="A67" s="365" t="s">
        <v>737</v>
      </c>
      <c r="B67" s="365" t="s">
        <v>738</v>
      </c>
      <c r="C67" s="365" t="str">
        <f t="shared" si="18"/>
        <v>450016598292104TQ1-S001长尾巴猫1608</v>
      </c>
      <c r="D67" s="366">
        <v>4500165982</v>
      </c>
      <c r="E67" s="345">
        <v>61971743</v>
      </c>
      <c r="F67" s="367" t="s">
        <v>6124</v>
      </c>
      <c r="G67" s="345" t="s">
        <v>6063</v>
      </c>
      <c r="H67" s="450">
        <v>1608</v>
      </c>
      <c r="I67" s="345">
        <v>0</v>
      </c>
      <c r="J67" s="345">
        <v>12</v>
      </c>
      <c r="K67" s="345">
        <f t="shared" si="25"/>
        <v>134</v>
      </c>
      <c r="L67" s="353">
        <v>45863</v>
      </c>
      <c r="M67" s="387">
        <v>45863</v>
      </c>
      <c r="N67" s="324"/>
      <c r="O67" s="365" t="s">
        <v>3805</v>
      </c>
      <c r="P67" s="367"/>
      <c r="Q67" s="367"/>
      <c r="R67" s="367"/>
      <c r="S67" s="367">
        <f t="shared" si="26"/>
        <v>1608</v>
      </c>
      <c r="T67" s="367"/>
      <c r="U67" s="345"/>
      <c r="V67" s="345">
        <f t="shared" si="27"/>
        <v>1608</v>
      </c>
      <c r="W67" s="447"/>
      <c r="X67" s="447">
        <f>H67</f>
        <v>1608</v>
      </c>
      <c r="Y67" s="447"/>
      <c r="Z67" s="447"/>
      <c r="AA67" s="447"/>
      <c r="AB67" s="447">
        <f>H67/6</f>
        <v>268</v>
      </c>
      <c r="AC67" s="447"/>
      <c r="AD67" s="447"/>
      <c r="AE67" s="409" t="s">
        <v>13024</v>
      </c>
    </row>
    <row r="68" s="400" customFormat="1" ht="50" customHeight="1" spans="1:31">
      <c r="A68" s="365" t="s">
        <v>340</v>
      </c>
      <c r="B68" s="365" t="s">
        <v>341</v>
      </c>
      <c r="C68" s="365" t="str">
        <f t="shared" si="18"/>
        <v>450016456492124-S001-92104长尾巴猫（92119+9298+92104）2701</v>
      </c>
      <c r="D68" s="345">
        <v>4500164564</v>
      </c>
      <c r="E68" s="367" t="s">
        <v>4387</v>
      </c>
      <c r="F68" s="367" t="s">
        <v>6641</v>
      </c>
      <c r="G68" s="367" t="s">
        <v>6642</v>
      </c>
      <c r="H68" s="345">
        <v>2701</v>
      </c>
      <c r="I68" s="345">
        <v>0</v>
      </c>
      <c r="J68" s="345">
        <v>1</v>
      </c>
      <c r="K68" s="345">
        <f t="shared" si="25"/>
        <v>2701</v>
      </c>
      <c r="L68" s="353">
        <v>45863</v>
      </c>
      <c r="M68" s="387">
        <v>45863</v>
      </c>
      <c r="N68" s="345"/>
      <c r="O68" s="365" t="s">
        <v>4392</v>
      </c>
      <c r="P68" s="367"/>
      <c r="Q68" s="367">
        <f t="shared" ref="Q68:Q75" si="28">H68</f>
        <v>2701</v>
      </c>
      <c r="R68" s="367"/>
      <c r="S68" s="367"/>
      <c r="T68" s="345"/>
      <c r="U68" s="345"/>
      <c r="V68" s="345">
        <f t="shared" si="27"/>
        <v>2701</v>
      </c>
      <c r="W68" s="447"/>
      <c r="X68" s="447"/>
      <c r="Y68" s="447">
        <f t="shared" ref="Y68:Y78" si="29">H68</f>
        <v>2701</v>
      </c>
      <c r="Z68" s="447"/>
      <c r="AA68" s="447"/>
      <c r="AB68" s="447"/>
      <c r="AC68" s="447"/>
      <c r="AD68" s="447"/>
      <c r="AE68" s="445" t="s">
        <v>4196</v>
      </c>
    </row>
    <row r="69" s="400" customFormat="1" ht="50" customHeight="1" spans="1:31">
      <c r="A69" s="365" t="s">
        <v>340</v>
      </c>
      <c r="B69" s="365" t="s">
        <v>341</v>
      </c>
      <c r="C69" s="365" t="str">
        <f t="shared" si="18"/>
        <v>450016456492124-S001-92104长尾巴猫（92119+9298+92104）1299</v>
      </c>
      <c r="D69" s="345">
        <v>4500164564</v>
      </c>
      <c r="E69" s="367" t="s">
        <v>4393</v>
      </c>
      <c r="F69" s="367" t="s">
        <v>6641</v>
      </c>
      <c r="G69" s="367" t="s">
        <v>6642</v>
      </c>
      <c r="H69" s="345">
        <v>1299</v>
      </c>
      <c r="I69" s="345">
        <v>0</v>
      </c>
      <c r="J69" s="345">
        <v>1</v>
      </c>
      <c r="K69" s="345">
        <f t="shared" si="25"/>
        <v>1299</v>
      </c>
      <c r="L69" s="353">
        <v>45863</v>
      </c>
      <c r="M69" s="387">
        <v>45863</v>
      </c>
      <c r="N69" s="345"/>
      <c r="O69" s="365" t="s">
        <v>4392</v>
      </c>
      <c r="P69" s="367"/>
      <c r="Q69" s="367">
        <f t="shared" si="28"/>
        <v>1299</v>
      </c>
      <c r="R69" s="367"/>
      <c r="S69" s="367"/>
      <c r="T69" s="345"/>
      <c r="U69" s="345"/>
      <c r="V69" s="345">
        <f t="shared" si="27"/>
        <v>1299</v>
      </c>
      <c r="W69" s="447"/>
      <c r="X69" s="447"/>
      <c r="Y69" s="447">
        <f t="shared" si="29"/>
        <v>1299</v>
      </c>
      <c r="Z69" s="447"/>
      <c r="AA69" s="447"/>
      <c r="AB69" s="447"/>
      <c r="AC69" s="447"/>
      <c r="AD69" s="447"/>
      <c r="AE69" s="445" t="s">
        <v>4196</v>
      </c>
    </row>
    <row r="70" s="400" customFormat="1" ht="50" customHeight="1" spans="1:31">
      <c r="A70" s="365" t="s">
        <v>7212</v>
      </c>
      <c r="B70" s="365" t="s">
        <v>91</v>
      </c>
      <c r="C70" s="365" t="str">
        <f t="shared" si="18"/>
        <v>450016808092104-S001长尾巴猫16632</v>
      </c>
      <c r="D70" s="345">
        <v>4500168080</v>
      </c>
      <c r="E70" s="367" t="s">
        <v>7286</v>
      </c>
      <c r="F70" s="367" t="s">
        <v>3520</v>
      </c>
      <c r="G70" s="345" t="s">
        <v>6063</v>
      </c>
      <c r="H70" s="345">
        <v>16632</v>
      </c>
      <c r="I70" s="345">
        <v>0</v>
      </c>
      <c r="J70" s="345">
        <v>24</v>
      </c>
      <c r="K70" s="345">
        <f t="shared" si="25"/>
        <v>693</v>
      </c>
      <c r="L70" s="353">
        <v>45863</v>
      </c>
      <c r="M70" s="451">
        <v>45870</v>
      </c>
      <c r="N70" s="345"/>
      <c r="O70" s="365" t="s">
        <v>7217</v>
      </c>
      <c r="P70" s="367"/>
      <c r="Q70" s="367">
        <f t="shared" si="28"/>
        <v>16632</v>
      </c>
      <c r="R70" s="367"/>
      <c r="S70" s="367"/>
      <c r="T70" s="345"/>
      <c r="U70" s="345"/>
      <c r="V70" s="345">
        <f t="shared" si="27"/>
        <v>16632</v>
      </c>
      <c r="W70" s="447"/>
      <c r="X70" s="447"/>
      <c r="Y70" s="447">
        <f t="shared" si="29"/>
        <v>16632</v>
      </c>
      <c r="Z70" s="447"/>
      <c r="AA70" s="447"/>
      <c r="AB70" s="447"/>
      <c r="AC70" s="447"/>
      <c r="AD70" s="447"/>
      <c r="AE70" s="445" t="s">
        <v>4196</v>
      </c>
    </row>
    <row r="71" s="400" customFormat="1" ht="50" customHeight="1" spans="1:31">
      <c r="A71" s="365" t="s">
        <v>7212</v>
      </c>
      <c r="B71" s="365" t="s">
        <v>91</v>
      </c>
      <c r="C71" s="365" t="str">
        <f t="shared" si="18"/>
        <v>450016808092104-S001长尾巴猫8304</v>
      </c>
      <c r="D71" s="345">
        <v>4500168080</v>
      </c>
      <c r="E71" s="367" t="s">
        <v>7289</v>
      </c>
      <c r="F71" s="367" t="s">
        <v>3520</v>
      </c>
      <c r="G71" s="345" t="s">
        <v>6063</v>
      </c>
      <c r="H71" s="345">
        <v>8304</v>
      </c>
      <c r="I71" s="345">
        <v>0</v>
      </c>
      <c r="J71" s="345">
        <v>24</v>
      </c>
      <c r="K71" s="345">
        <f t="shared" si="25"/>
        <v>346</v>
      </c>
      <c r="L71" s="353">
        <v>45863</v>
      </c>
      <c r="M71" s="451">
        <v>45870</v>
      </c>
      <c r="N71" s="345"/>
      <c r="O71" s="365" t="s">
        <v>7217</v>
      </c>
      <c r="P71" s="367"/>
      <c r="Q71" s="367">
        <f t="shared" si="28"/>
        <v>8304</v>
      </c>
      <c r="R71" s="367"/>
      <c r="S71" s="367"/>
      <c r="T71" s="345"/>
      <c r="U71" s="345"/>
      <c r="V71" s="345">
        <f t="shared" si="27"/>
        <v>8304</v>
      </c>
      <c r="W71" s="447"/>
      <c r="X71" s="447"/>
      <c r="Y71" s="447">
        <f t="shared" si="29"/>
        <v>8304</v>
      </c>
      <c r="Z71" s="447"/>
      <c r="AA71" s="447"/>
      <c r="AB71" s="447"/>
      <c r="AC71" s="447"/>
      <c r="AD71" s="447"/>
      <c r="AE71" s="445" t="s">
        <v>4196</v>
      </c>
    </row>
    <row r="72" s="400" customFormat="1" ht="50" customHeight="1" spans="1:31">
      <c r="A72" s="365" t="s">
        <v>7212</v>
      </c>
      <c r="B72" s="365" t="s">
        <v>91</v>
      </c>
      <c r="C72" s="365" t="str">
        <f t="shared" si="18"/>
        <v>450016808092104-S001长尾巴猫16632</v>
      </c>
      <c r="D72" s="345">
        <v>4500168080</v>
      </c>
      <c r="E72" s="367" t="s">
        <v>7291</v>
      </c>
      <c r="F72" s="367" t="s">
        <v>3520</v>
      </c>
      <c r="G72" s="345" t="s">
        <v>6063</v>
      </c>
      <c r="H72" s="345">
        <v>16632</v>
      </c>
      <c r="I72" s="345">
        <v>0</v>
      </c>
      <c r="J72" s="345">
        <v>24</v>
      </c>
      <c r="K72" s="345">
        <f t="shared" si="25"/>
        <v>693</v>
      </c>
      <c r="L72" s="353">
        <v>45863</v>
      </c>
      <c r="M72" s="451">
        <v>45870</v>
      </c>
      <c r="N72" s="345"/>
      <c r="O72" s="365" t="s">
        <v>7217</v>
      </c>
      <c r="P72" s="367"/>
      <c r="Q72" s="367">
        <f t="shared" si="28"/>
        <v>16632</v>
      </c>
      <c r="R72" s="367"/>
      <c r="S72" s="367"/>
      <c r="T72" s="345"/>
      <c r="U72" s="345"/>
      <c r="V72" s="345">
        <f t="shared" si="27"/>
        <v>16632</v>
      </c>
      <c r="W72" s="447"/>
      <c r="X72" s="447"/>
      <c r="Y72" s="447">
        <f t="shared" si="29"/>
        <v>16632</v>
      </c>
      <c r="Z72" s="447"/>
      <c r="AA72" s="447"/>
      <c r="AB72" s="447"/>
      <c r="AC72" s="447"/>
      <c r="AD72" s="447"/>
      <c r="AE72" s="445" t="s">
        <v>4196</v>
      </c>
    </row>
    <row r="73" s="400" customFormat="1" ht="50" customHeight="1" spans="1:31">
      <c r="A73" s="365" t="s">
        <v>7212</v>
      </c>
      <c r="B73" s="365" t="s">
        <v>91</v>
      </c>
      <c r="C73" s="365" t="str">
        <f t="shared" si="18"/>
        <v>450016808092104-S001长尾巴猫8304</v>
      </c>
      <c r="D73" s="345">
        <v>4500168080</v>
      </c>
      <c r="E73" s="367" t="s">
        <v>7294</v>
      </c>
      <c r="F73" s="367" t="s">
        <v>3520</v>
      </c>
      <c r="G73" s="345" t="s">
        <v>6063</v>
      </c>
      <c r="H73" s="345">
        <v>8304</v>
      </c>
      <c r="I73" s="345">
        <v>0</v>
      </c>
      <c r="J73" s="345">
        <v>24</v>
      </c>
      <c r="K73" s="345">
        <f t="shared" si="25"/>
        <v>346</v>
      </c>
      <c r="L73" s="353">
        <v>45863</v>
      </c>
      <c r="M73" s="451">
        <v>45870</v>
      </c>
      <c r="N73" s="345"/>
      <c r="O73" s="365" t="s">
        <v>7217</v>
      </c>
      <c r="P73" s="367"/>
      <c r="Q73" s="367">
        <f t="shared" si="28"/>
        <v>8304</v>
      </c>
      <c r="R73" s="367"/>
      <c r="S73" s="367"/>
      <c r="T73" s="345"/>
      <c r="U73" s="345"/>
      <c r="V73" s="345">
        <f t="shared" si="27"/>
        <v>8304</v>
      </c>
      <c r="W73" s="447"/>
      <c r="X73" s="447"/>
      <c r="Y73" s="447">
        <f t="shared" si="29"/>
        <v>8304</v>
      </c>
      <c r="Z73" s="447"/>
      <c r="AA73" s="447"/>
      <c r="AB73" s="447"/>
      <c r="AC73" s="447"/>
      <c r="AD73" s="447"/>
      <c r="AE73" s="445" t="s">
        <v>4196</v>
      </c>
    </row>
    <row r="74" s="400" customFormat="1" ht="50" customHeight="1" spans="1:31">
      <c r="A74" s="365" t="s">
        <v>7212</v>
      </c>
      <c r="B74" s="365" t="s">
        <v>91</v>
      </c>
      <c r="C74" s="365" t="str">
        <f t="shared" si="18"/>
        <v>450016808092104-S001长尾巴猫16632</v>
      </c>
      <c r="D74" s="345">
        <v>4500168080</v>
      </c>
      <c r="E74" s="367" t="s">
        <v>7297</v>
      </c>
      <c r="F74" s="367" t="s">
        <v>3520</v>
      </c>
      <c r="G74" s="345" t="s">
        <v>6063</v>
      </c>
      <c r="H74" s="345">
        <v>16632</v>
      </c>
      <c r="I74" s="345">
        <v>0</v>
      </c>
      <c r="J74" s="345">
        <v>24</v>
      </c>
      <c r="K74" s="345">
        <f t="shared" si="25"/>
        <v>693</v>
      </c>
      <c r="L74" s="353">
        <v>45863</v>
      </c>
      <c r="M74" s="451">
        <v>45870</v>
      </c>
      <c r="N74" s="345"/>
      <c r="O74" s="365" t="s">
        <v>7217</v>
      </c>
      <c r="P74" s="367"/>
      <c r="Q74" s="367">
        <f t="shared" si="28"/>
        <v>16632</v>
      </c>
      <c r="R74" s="367"/>
      <c r="S74" s="367"/>
      <c r="T74" s="345"/>
      <c r="U74" s="345"/>
      <c r="V74" s="345">
        <f t="shared" si="27"/>
        <v>16632</v>
      </c>
      <c r="W74" s="447"/>
      <c r="X74" s="447"/>
      <c r="Y74" s="447">
        <f t="shared" si="29"/>
        <v>16632</v>
      </c>
      <c r="Z74" s="447"/>
      <c r="AA74" s="447"/>
      <c r="AB74" s="447"/>
      <c r="AC74" s="447"/>
      <c r="AD74" s="447"/>
      <c r="AE74" s="445" t="s">
        <v>4196</v>
      </c>
    </row>
    <row r="75" s="400" customFormat="1" ht="50" customHeight="1" spans="1:31">
      <c r="A75" s="365" t="s">
        <v>7212</v>
      </c>
      <c r="B75" s="365" t="s">
        <v>91</v>
      </c>
      <c r="C75" s="365" t="str">
        <f t="shared" si="18"/>
        <v>450016808092104-S001长尾巴猫8304</v>
      </c>
      <c r="D75" s="345">
        <v>4500168080</v>
      </c>
      <c r="E75" s="367" t="s">
        <v>7300</v>
      </c>
      <c r="F75" s="367" t="s">
        <v>3520</v>
      </c>
      <c r="G75" s="345" t="s">
        <v>6063</v>
      </c>
      <c r="H75" s="345">
        <v>8304</v>
      </c>
      <c r="I75" s="345">
        <v>0</v>
      </c>
      <c r="J75" s="345">
        <v>24</v>
      </c>
      <c r="K75" s="345">
        <f t="shared" si="25"/>
        <v>346</v>
      </c>
      <c r="L75" s="353">
        <v>45863</v>
      </c>
      <c r="M75" s="451">
        <v>45870</v>
      </c>
      <c r="N75" s="345"/>
      <c r="O75" s="365" t="s">
        <v>7217</v>
      </c>
      <c r="P75" s="367"/>
      <c r="Q75" s="367">
        <f t="shared" si="28"/>
        <v>8304</v>
      </c>
      <c r="R75" s="367"/>
      <c r="S75" s="367"/>
      <c r="T75" s="345"/>
      <c r="U75" s="345"/>
      <c r="V75" s="345">
        <f t="shared" si="27"/>
        <v>8304</v>
      </c>
      <c r="W75" s="447"/>
      <c r="X75" s="447"/>
      <c r="Y75" s="447">
        <f t="shared" si="29"/>
        <v>8304</v>
      </c>
      <c r="Z75" s="447"/>
      <c r="AA75" s="447"/>
      <c r="AB75" s="447"/>
      <c r="AC75" s="447"/>
      <c r="AD75" s="447"/>
      <c r="AE75" s="445" t="s">
        <v>4196</v>
      </c>
    </row>
    <row r="76" s="400" customFormat="1" ht="50" customHeight="1" spans="1:31">
      <c r="A76" s="365" t="s">
        <v>4395</v>
      </c>
      <c r="B76" s="365" t="s">
        <v>524</v>
      </c>
      <c r="C76" s="365" t="str">
        <f t="shared" si="18"/>
        <v>450016960492104TQ1-S001长尾巴猫300</v>
      </c>
      <c r="D76" s="345">
        <v>4500169604</v>
      </c>
      <c r="E76" s="367"/>
      <c r="F76" s="367" t="s">
        <v>6124</v>
      </c>
      <c r="G76" s="345" t="s">
        <v>6063</v>
      </c>
      <c r="H76" s="345">
        <v>300</v>
      </c>
      <c r="I76" s="345">
        <v>0</v>
      </c>
      <c r="J76" s="345">
        <v>12</v>
      </c>
      <c r="K76" s="345">
        <f t="shared" si="25"/>
        <v>25</v>
      </c>
      <c r="L76" s="353">
        <v>45863</v>
      </c>
      <c r="M76" s="451">
        <v>45870</v>
      </c>
      <c r="N76" s="324"/>
      <c r="O76" s="365" t="s">
        <v>459</v>
      </c>
      <c r="P76" s="367"/>
      <c r="Q76" s="367"/>
      <c r="R76" s="367"/>
      <c r="S76" s="367">
        <f t="shared" ref="S76:S86" si="30">H76</f>
        <v>300</v>
      </c>
      <c r="T76" s="367"/>
      <c r="U76" s="345"/>
      <c r="V76" s="345">
        <f t="shared" si="27"/>
        <v>300</v>
      </c>
      <c r="W76" s="447"/>
      <c r="X76" s="447"/>
      <c r="Y76" s="447">
        <f t="shared" si="29"/>
        <v>300</v>
      </c>
      <c r="Z76" s="447"/>
      <c r="AA76" s="447"/>
      <c r="AB76" s="447">
        <f>H76/6</f>
        <v>50</v>
      </c>
      <c r="AC76" s="447"/>
      <c r="AD76" s="447"/>
      <c r="AE76" s="445" t="s">
        <v>4196</v>
      </c>
    </row>
    <row r="77" s="400" customFormat="1" ht="50" customHeight="1" spans="1:31">
      <c r="A77" s="365" t="s">
        <v>340</v>
      </c>
      <c r="B77" s="365" t="s">
        <v>341</v>
      </c>
      <c r="C77" s="365" t="str">
        <f t="shared" ref="C77:C108" si="31">D77&amp;F77&amp;G77&amp;H77</f>
        <v>450016422192104-S001长尾巴猫1008</v>
      </c>
      <c r="D77" s="366">
        <v>4500164221</v>
      </c>
      <c r="E77" s="345">
        <v>240139</v>
      </c>
      <c r="F77" s="367" t="s">
        <v>3520</v>
      </c>
      <c r="G77" s="345" t="s">
        <v>6063</v>
      </c>
      <c r="H77" s="345">
        <v>1008</v>
      </c>
      <c r="I77" s="345">
        <v>0</v>
      </c>
      <c r="J77" s="345">
        <v>24</v>
      </c>
      <c r="K77" s="345">
        <f t="shared" si="25"/>
        <v>42</v>
      </c>
      <c r="L77" s="353">
        <v>45870</v>
      </c>
      <c r="M77" s="387">
        <v>45870</v>
      </c>
      <c r="N77" s="324"/>
      <c r="O77" s="365" t="s">
        <v>3577</v>
      </c>
      <c r="P77" s="367"/>
      <c r="Q77" s="367">
        <f t="shared" ref="Q77:Q80" si="32">H77</f>
        <v>1008</v>
      </c>
      <c r="R77" s="367"/>
      <c r="S77" s="367"/>
      <c r="T77" s="367"/>
      <c r="U77" s="345"/>
      <c r="V77" s="345">
        <f t="shared" si="27"/>
        <v>1008</v>
      </c>
      <c r="W77" s="447"/>
      <c r="X77" s="447"/>
      <c r="Y77" s="447">
        <f t="shared" si="29"/>
        <v>1008</v>
      </c>
      <c r="Z77" s="447"/>
      <c r="AA77" s="447"/>
      <c r="AB77" s="447"/>
      <c r="AC77" s="447"/>
      <c r="AD77" s="447"/>
      <c r="AE77" s="445" t="s">
        <v>4196</v>
      </c>
    </row>
    <row r="78" s="400" customFormat="1" ht="50" customHeight="1" spans="1:31">
      <c r="A78" s="365" t="s">
        <v>2775</v>
      </c>
      <c r="B78" s="365" t="s">
        <v>2776</v>
      </c>
      <c r="C78" s="365" t="str">
        <f t="shared" si="31"/>
        <v>450017125392104TQ1-S001长尾巴猫1620</v>
      </c>
      <c r="D78" s="366">
        <v>4500171253</v>
      </c>
      <c r="E78" s="345"/>
      <c r="F78" s="367" t="s">
        <v>6124</v>
      </c>
      <c r="G78" s="345" t="s">
        <v>6063</v>
      </c>
      <c r="H78" s="345">
        <v>1620</v>
      </c>
      <c r="I78" s="345">
        <v>0</v>
      </c>
      <c r="J78" s="345">
        <v>12</v>
      </c>
      <c r="K78" s="345">
        <f t="shared" si="25"/>
        <v>135</v>
      </c>
      <c r="L78" s="353">
        <v>45870</v>
      </c>
      <c r="M78" s="387">
        <v>45870</v>
      </c>
      <c r="N78" s="324"/>
      <c r="O78" s="365" t="s">
        <v>459</v>
      </c>
      <c r="P78" s="367"/>
      <c r="Q78" s="367"/>
      <c r="R78" s="367"/>
      <c r="S78" s="367">
        <f t="shared" si="30"/>
        <v>1620</v>
      </c>
      <c r="T78" s="367"/>
      <c r="U78" s="345"/>
      <c r="V78" s="345">
        <f t="shared" si="27"/>
        <v>1620</v>
      </c>
      <c r="W78" s="447"/>
      <c r="X78" s="447"/>
      <c r="Y78" s="447">
        <f t="shared" si="29"/>
        <v>1620</v>
      </c>
      <c r="Z78" s="447"/>
      <c r="AA78" s="447"/>
      <c r="AB78" s="447">
        <f>H78/6</f>
        <v>270</v>
      </c>
      <c r="AC78" s="447"/>
      <c r="AD78" s="447"/>
      <c r="AE78" s="445" t="s">
        <v>4196</v>
      </c>
    </row>
    <row r="79" s="400" customFormat="1" ht="50" customHeight="1" spans="1:31">
      <c r="A79" s="365" t="s">
        <v>1682</v>
      </c>
      <c r="B79" s="365" t="s">
        <v>91</v>
      </c>
      <c r="C79" s="365" t="str">
        <f t="shared" si="31"/>
        <v>450017133492104-S001长尾巴猫4800</v>
      </c>
      <c r="D79" s="366">
        <v>4500171334</v>
      </c>
      <c r="E79" s="345">
        <v>383742406</v>
      </c>
      <c r="F79" s="367" t="s">
        <v>3520</v>
      </c>
      <c r="G79" s="345" t="s">
        <v>6063</v>
      </c>
      <c r="H79" s="345">
        <v>4800</v>
      </c>
      <c r="I79" s="345">
        <v>0</v>
      </c>
      <c r="J79" s="345">
        <v>24</v>
      </c>
      <c r="K79" s="345">
        <f t="shared" si="25"/>
        <v>200</v>
      </c>
      <c r="L79" s="353">
        <v>45868</v>
      </c>
      <c r="M79" s="451">
        <v>45870</v>
      </c>
      <c r="N79" s="324"/>
      <c r="O79" s="365" t="s">
        <v>500</v>
      </c>
      <c r="P79" s="367"/>
      <c r="Q79" s="367">
        <f t="shared" si="32"/>
        <v>4800</v>
      </c>
      <c r="R79" s="367"/>
      <c r="S79" s="367"/>
      <c r="T79" s="367"/>
      <c r="U79" s="345"/>
      <c r="V79" s="345">
        <f t="shared" si="27"/>
        <v>4800</v>
      </c>
      <c r="W79" s="447"/>
      <c r="X79" s="447">
        <f>H79</f>
        <v>4800</v>
      </c>
      <c r="Y79" s="447"/>
      <c r="Z79" s="447"/>
      <c r="AA79" s="447"/>
      <c r="AB79" s="447"/>
      <c r="AC79" s="447"/>
      <c r="AD79" s="447"/>
      <c r="AE79" s="409" t="s">
        <v>13028</v>
      </c>
    </row>
    <row r="80" s="400" customFormat="1" ht="50" customHeight="1" spans="1:31">
      <c r="A80" s="365" t="s">
        <v>1682</v>
      </c>
      <c r="B80" s="365" t="s">
        <v>91</v>
      </c>
      <c r="C80" s="365" t="str">
        <f t="shared" si="31"/>
        <v>450017133492104-S001长尾巴猫7200</v>
      </c>
      <c r="D80" s="366">
        <v>4500171334</v>
      </c>
      <c r="E80" s="345">
        <v>383738506</v>
      </c>
      <c r="F80" s="367" t="s">
        <v>3520</v>
      </c>
      <c r="G80" s="345" t="s">
        <v>6063</v>
      </c>
      <c r="H80" s="345">
        <v>7200</v>
      </c>
      <c r="I80" s="345">
        <v>0</v>
      </c>
      <c r="J80" s="345">
        <v>24</v>
      </c>
      <c r="K80" s="345">
        <f t="shared" si="25"/>
        <v>300</v>
      </c>
      <c r="L80" s="353">
        <v>45868</v>
      </c>
      <c r="M80" s="451">
        <v>45870</v>
      </c>
      <c r="N80" s="324"/>
      <c r="O80" s="365" t="s">
        <v>500</v>
      </c>
      <c r="P80" s="367"/>
      <c r="Q80" s="367">
        <f t="shared" si="32"/>
        <v>7200</v>
      </c>
      <c r="R80" s="367"/>
      <c r="S80" s="367"/>
      <c r="T80" s="367"/>
      <c r="U80" s="345"/>
      <c r="V80" s="345">
        <f t="shared" si="27"/>
        <v>7200</v>
      </c>
      <c r="W80" s="447"/>
      <c r="X80" s="457">
        <f>H80</f>
        <v>7200</v>
      </c>
      <c r="Y80" s="447"/>
      <c r="Z80" s="447"/>
      <c r="AA80" s="447"/>
      <c r="AB80" s="447"/>
      <c r="AC80" s="447"/>
      <c r="AD80" s="447"/>
      <c r="AE80" s="409" t="s">
        <v>13028</v>
      </c>
    </row>
    <row r="81" s="400" customFormat="1" ht="50" customHeight="1" spans="1:31">
      <c r="A81" s="365" t="s">
        <v>1057</v>
      </c>
      <c r="B81" s="365" t="s">
        <v>396</v>
      </c>
      <c r="C81" s="365" t="str">
        <f t="shared" si="31"/>
        <v>450017133592104-S001-NB长尾巴猫960</v>
      </c>
      <c r="D81" s="366">
        <v>4500171335</v>
      </c>
      <c r="E81" s="345" t="s">
        <v>1575</v>
      </c>
      <c r="F81" s="367" t="s">
        <v>6074</v>
      </c>
      <c r="G81" s="345" t="s">
        <v>6063</v>
      </c>
      <c r="H81" s="345">
        <v>960</v>
      </c>
      <c r="I81" s="345">
        <v>0</v>
      </c>
      <c r="J81" s="345">
        <v>24</v>
      </c>
      <c r="K81" s="345">
        <f t="shared" si="25"/>
        <v>40</v>
      </c>
      <c r="L81" s="353">
        <v>45870</v>
      </c>
      <c r="M81" s="451">
        <v>45871</v>
      </c>
      <c r="N81" s="324"/>
      <c r="O81" s="365" t="s">
        <v>405</v>
      </c>
      <c r="P81" s="367"/>
      <c r="Q81" s="367"/>
      <c r="R81" s="367"/>
      <c r="S81" s="367">
        <f t="shared" si="30"/>
        <v>960</v>
      </c>
      <c r="T81" s="367"/>
      <c r="U81" s="345"/>
      <c r="V81" s="345">
        <f t="shared" si="27"/>
        <v>960</v>
      </c>
      <c r="W81" s="447"/>
      <c r="X81" s="447"/>
      <c r="Y81" s="447"/>
      <c r="Z81" s="447">
        <f t="shared" ref="Z81:Z86" si="33">H81</f>
        <v>960</v>
      </c>
      <c r="AA81" s="447"/>
      <c r="AB81" s="447"/>
      <c r="AC81" s="447"/>
      <c r="AD81" s="447"/>
      <c r="AE81" s="409" t="s">
        <v>13028</v>
      </c>
    </row>
    <row r="82" s="400" customFormat="1" ht="50" customHeight="1" spans="1:31">
      <c r="A82" s="365" t="s">
        <v>1057</v>
      </c>
      <c r="B82" s="365" t="s">
        <v>396</v>
      </c>
      <c r="C82" s="365" t="str">
        <f t="shared" si="31"/>
        <v>450017133592104-S001-NB长尾巴猫240</v>
      </c>
      <c r="D82" s="366">
        <v>4500171335</v>
      </c>
      <c r="E82" s="345" t="s">
        <v>1575</v>
      </c>
      <c r="F82" s="367" t="s">
        <v>6074</v>
      </c>
      <c r="G82" s="345" t="s">
        <v>6063</v>
      </c>
      <c r="H82" s="345">
        <v>240</v>
      </c>
      <c r="I82" s="345">
        <v>0</v>
      </c>
      <c r="J82" s="345">
        <v>24</v>
      </c>
      <c r="K82" s="345">
        <f t="shared" si="25"/>
        <v>10</v>
      </c>
      <c r="L82" s="353">
        <v>45870</v>
      </c>
      <c r="M82" s="451">
        <v>45871</v>
      </c>
      <c r="N82" s="324"/>
      <c r="O82" s="365" t="s">
        <v>405</v>
      </c>
      <c r="P82" s="367"/>
      <c r="Q82" s="367"/>
      <c r="R82" s="367"/>
      <c r="S82" s="367">
        <f t="shared" si="30"/>
        <v>240</v>
      </c>
      <c r="T82" s="367"/>
      <c r="U82" s="345"/>
      <c r="V82" s="345">
        <f t="shared" si="27"/>
        <v>240</v>
      </c>
      <c r="W82" s="447"/>
      <c r="X82" s="447"/>
      <c r="Y82" s="447"/>
      <c r="Z82" s="447">
        <f t="shared" si="33"/>
        <v>240</v>
      </c>
      <c r="AA82" s="447"/>
      <c r="AB82" s="447"/>
      <c r="AC82" s="447"/>
      <c r="AD82" s="447"/>
      <c r="AE82" s="409" t="s">
        <v>13028</v>
      </c>
    </row>
    <row r="83" s="400" customFormat="1" ht="50" customHeight="1" spans="1:31">
      <c r="A83" s="365" t="s">
        <v>1057</v>
      </c>
      <c r="B83" s="365" t="s">
        <v>396</v>
      </c>
      <c r="C83" s="365" t="str">
        <f t="shared" si="31"/>
        <v>450017133592104-S001-NB长尾巴猫960</v>
      </c>
      <c r="D83" s="366">
        <v>4500171335</v>
      </c>
      <c r="E83" s="345" t="s">
        <v>1575</v>
      </c>
      <c r="F83" s="367" t="s">
        <v>6074</v>
      </c>
      <c r="G83" s="345" t="s">
        <v>6063</v>
      </c>
      <c r="H83" s="345">
        <v>960</v>
      </c>
      <c r="I83" s="345">
        <v>0</v>
      </c>
      <c r="J83" s="345">
        <v>24</v>
      </c>
      <c r="K83" s="345">
        <f t="shared" si="25"/>
        <v>40</v>
      </c>
      <c r="L83" s="353">
        <v>45870</v>
      </c>
      <c r="M83" s="451">
        <v>45871</v>
      </c>
      <c r="N83" s="324"/>
      <c r="O83" s="365" t="s">
        <v>405</v>
      </c>
      <c r="P83" s="367"/>
      <c r="Q83" s="367"/>
      <c r="R83" s="367"/>
      <c r="S83" s="367">
        <f t="shared" si="30"/>
        <v>960</v>
      </c>
      <c r="T83" s="367"/>
      <c r="U83" s="345"/>
      <c r="V83" s="345">
        <f t="shared" si="27"/>
        <v>960</v>
      </c>
      <c r="W83" s="447"/>
      <c r="X83" s="447"/>
      <c r="Y83" s="447"/>
      <c r="Z83" s="447">
        <f t="shared" si="33"/>
        <v>960</v>
      </c>
      <c r="AA83" s="447"/>
      <c r="AB83" s="447"/>
      <c r="AC83" s="447"/>
      <c r="AD83" s="447"/>
      <c r="AE83" s="409" t="s">
        <v>13028</v>
      </c>
    </row>
    <row r="84" s="400" customFormat="1" ht="50" customHeight="1" spans="1:31">
      <c r="A84" s="365" t="s">
        <v>1057</v>
      </c>
      <c r="B84" s="365" t="s">
        <v>396</v>
      </c>
      <c r="C84" s="365" t="str">
        <f t="shared" si="31"/>
        <v>450017133592104-S001-NB长尾巴猫240</v>
      </c>
      <c r="D84" s="366">
        <v>4500171335</v>
      </c>
      <c r="E84" s="345" t="s">
        <v>1575</v>
      </c>
      <c r="F84" s="367" t="s">
        <v>6074</v>
      </c>
      <c r="G84" s="345" t="s">
        <v>6063</v>
      </c>
      <c r="H84" s="345">
        <v>240</v>
      </c>
      <c r="I84" s="345">
        <v>0</v>
      </c>
      <c r="J84" s="345">
        <v>24</v>
      </c>
      <c r="K84" s="345">
        <f t="shared" si="25"/>
        <v>10</v>
      </c>
      <c r="L84" s="353">
        <v>45870</v>
      </c>
      <c r="M84" s="451">
        <v>45871</v>
      </c>
      <c r="N84" s="324"/>
      <c r="O84" s="365" t="s">
        <v>405</v>
      </c>
      <c r="P84" s="367"/>
      <c r="Q84" s="367"/>
      <c r="R84" s="367"/>
      <c r="S84" s="367">
        <f t="shared" si="30"/>
        <v>240</v>
      </c>
      <c r="T84" s="367"/>
      <c r="U84" s="345"/>
      <c r="V84" s="345">
        <f t="shared" si="27"/>
        <v>240</v>
      </c>
      <c r="W84" s="447"/>
      <c r="X84" s="447"/>
      <c r="Y84" s="447"/>
      <c r="Z84" s="447">
        <f t="shared" si="33"/>
        <v>240</v>
      </c>
      <c r="AA84" s="447"/>
      <c r="AB84" s="447"/>
      <c r="AC84" s="447"/>
      <c r="AD84" s="447"/>
      <c r="AE84" s="409" t="s">
        <v>13028</v>
      </c>
    </row>
    <row r="85" s="400" customFormat="1" ht="50" customHeight="1" spans="1:31">
      <c r="A85" s="365" t="s">
        <v>1057</v>
      </c>
      <c r="B85" s="365" t="s">
        <v>396</v>
      </c>
      <c r="C85" s="365" t="str">
        <f t="shared" si="31"/>
        <v>450017134292104-S001-NB长尾巴猫120</v>
      </c>
      <c r="D85" s="366">
        <v>4500171342</v>
      </c>
      <c r="E85" s="345" t="s">
        <v>1584</v>
      </c>
      <c r="F85" s="367" t="s">
        <v>6074</v>
      </c>
      <c r="G85" s="345" t="s">
        <v>6063</v>
      </c>
      <c r="H85" s="345">
        <v>120</v>
      </c>
      <c r="I85" s="345">
        <v>0</v>
      </c>
      <c r="J85" s="345">
        <v>24</v>
      </c>
      <c r="K85" s="345">
        <f t="shared" si="25"/>
        <v>5</v>
      </c>
      <c r="L85" s="353">
        <v>45870</v>
      </c>
      <c r="M85" s="451">
        <v>45871</v>
      </c>
      <c r="N85" s="324"/>
      <c r="O85" s="365" t="s">
        <v>405</v>
      </c>
      <c r="P85" s="367"/>
      <c r="Q85" s="367"/>
      <c r="R85" s="367"/>
      <c r="S85" s="367">
        <f t="shared" si="30"/>
        <v>120</v>
      </c>
      <c r="T85" s="367"/>
      <c r="U85" s="345"/>
      <c r="V85" s="345">
        <f t="shared" si="27"/>
        <v>120</v>
      </c>
      <c r="W85" s="447"/>
      <c r="X85" s="447"/>
      <c r="Y85" s="447"/>
      <c r="Z85" s="447">
        <f t="shared" si="33"/>
        <v>120</v>
      </c>
      <c r="AA85" s="447"/>
      <c r="AB85" s="447"/>
      <c r="AC85" s="447"/>
      <c r="AD85" s="447"/>
      <c r="AE85" s="409" t="s">
        <v>13028</v>
      </c>
    </row>
    <row r="86" s="400" customFormat="1" ht="50" customHeight="1" spans="1:31">
      <c r="A86" s="365" t="s">
        <v>1057</v>
      </c>
      <c r="B86" s="365" t="s">
        <v>396</v>
      </c>
      <c r="C86" s="365" t="str">
        <f t="shared" si="31"/>
        <v>450017134292104-S001-NB长尾巴猫120</v>
      </c>
      <c r="D86" s="366">
        <v>4500171342</v>
      </c>
      <c r="E86" s="345" t="s">
        <v>1584</v>
      </c>
      <c r="F86" s="367" t="s">
        <v>6074</v>
      </c>
      <c r="G86" s="345" t="s">
        <v>6063</v>
      </c>
      <c r="H86" s="345">
        <v>120</v>
      </c>
      <c r="I86" s="345">
        <v>0</v>
      </c>
      <c r="J86" s="345">
        <v>24</v>
      </c>
      <c r="K86" s="345">
        <f t="shared" si="25"/>
        <v>5</v>
      </c>
      <c r="L86" s="353">
        <v>45870</v>
      </c>
      <c r="M86" s="451">
        <v>45871</v>
      </c>
      <c r="N86" s="324"/>
      <c r="O86" s="365" t="s">
        <v>405</v>
      </c>
      <c r="P86" s="367"/>
      <c r="Q86" s="367"/>
      <c r="R86" s="367"/>
      <c r="S86" s="367">
        <f t="shared" si="30"/>
        <v>120</v>
      </c>
      <c r="T86" s="367"/>
      <c r="U86" s="345"/>
      <c r="V86" s="345">
        <f t="shared" si="27"/>
        <v>120</v>
      </c>
      <c r="W86" s="447"/>
      <c r="X86" s="447"/>
      <c r="Y86" s="447"/>
      <c r="Z86" s="447">
        <f t="shared" si="33"/>
        <v>120</v>
      </c>
      <c r="AA86" s="447"/>
      <c r="AB86" s="447"/>
      <c r="AC86" s="447"/>
      <c r="AD86" s="447"/>
      <c r="AE86" s="409" t="s">
        <v>13028</v>
      </c>
    </row>
    <row r="87" s="400" customFormat="1" ht="50" customHeight="1" spans="1:31">
      <c r="A87" s="365" t="s">
        <v>7317</v>
      </c>
      <c r="B87" s="365" t="s">
        <v>7318</v>
      </c>
      <c r="C87" s="365" t="str">
        <f t="shared" si="31"/>
        <v>450017050192104-S001长尾巴猫2400</v>
      </c>
      <c r="D87" s="366">
        <v>4500170501</v>
      </c>
      <c r="E87" s="345"/>
      <c r="F87" s="367" t="s">
        <v>3520</v>
      </c>
      <c r="G87" s="345" t="s">
        <v>6063</v>
      </c>
      <c r="H87" s="345">
        <v>2400</v>
      </c>
      <c r="I87" s="345">
        <v>0</v>
      </c>
      <c r="J87" s="345">
        <v>24</v>
      </c>
      <c r="K87" s="345">
        <f t="shared" si="25"/>
        <v>100</v>
      </c>
      <c r="L87" s="353">
        <v>45866</v>
      </c>
      <c r="M87" s="451">
        <v>45873</v>
      </c>
      <c r="N87" s="324"/>
      <c r="O87" s="365" t="s">
        <v>892</v>
      </c>
      <c r="P87" s="367"/>
      <c r="Q87" s="367">
        <f>H87</f>
        <v>2400</v>
      </c>
      <c r="R87" s="367"/>
      <c r="S87" s="367"/>
      <c r="T87" s="367"/>
      <c r="U87" s="345"/>
      <c r="V87" s="345">
        <f t="shared" si="27"/>
        <v>2400</v>
      </c>
      <c r="W87" s="447"/>
      <c r="X87" s="447"/>
      <c r="Y87" s="447">
        <f t="shared" ref="Y87:Y93" si="34">H87</f>
        <v>2400</v>
      </c>
      <c r="Z87" s="447"/>
      <c r="AA87" s="447"/>
      <c r="AB87" s="447"/>
      <c r="AC87" s="447"/>
      <c r="AD87" s="447"/>
      <c r="AE87" s="445" t="s">
        <v>4196</v>
      </c>
    </row>
    <row r="88" s="400" customFormat="1" ht="50" customHeight="1" spans="1:31">
      <c r="A88" s="365" t="s">
        <v>1545</v>
      </c>
      <c r="B88" s="365" t="s">
        <v>1546</v>
      </c>
      <c r="C88" s="365" t="str">
        <f t="shared" si="31"/>
        <v>450016477492104TQ1-S001长尾巴猫288</v>
      </c>
      <c r="D88" s="345">
        <v>4500164774</v>
      </c>
      <c r="E88" s="367" t="s">
        <v>1547</v>
      </c>
      <c r="F88" s="367" t="s">
        <v>6124</v>
      </c>
      <c r="G88" s="345" t="s">
        <v>6063</v>
      </c>
      <c r="H88" s="345">
        <v>288</v>
      </c>
      <c r="I88" s="345">
        <v>0</v>
      </c>
      <c r="J88" s="345">
        <v>12</v>
      </c>
      <c r="K88" s="345">
        <f t="shared" si="25"/>
        <v>24</v>
      </c>
      <c r="L88" s="353">
        <v>45859</v>
      </c>
      <c r="M88" s="453">
        <v>45874</v>
      </c>
      <c r="N88" s="345"/>
      <c r="O88" s="365" t="s">
        <v>459</v>
      </c>
      <c r="P88" s="367"/>
      <c r="Q88" s="367"/>
      <c r="R88" s="367"/>
      <c r="S88" s="367">
        <f t="shared" ref="S88:S92" si="35">H88</f>
        <v>288</v>
      </c>
      <c r="T88" s="345"/>
      <c r="U88" s="345"/>
      <c r="V88" s="345">
        <f t="shared" si="27"/>
        <v>288</v>
      </c>
      <c r="W88" s="447"/>
      <c r="X88" s="447"/>
      <c r="Y88" s="447">
        <f t="shared" si="34"/>
        <v>288</v>
      </c>
      <c r="Z88" s="447"/>
      <c r="AA88" s="447"/>
      <c r="AB88" s="447">
        <f t="shared" ref="AB88:AB92" si="36">H88/6</f>
        <v>48</v>
      </c>
      <c r="AC88" s="447"/>
      <c r="AD88" s="447"/>
      <c r="AE88" s="445" t="s">
        <v>4196</v>
      </c>
    </row>
    <row r="89" s="400" customFormat="1" ht="50" customHeight="1" spans="1:31">
      <c r="A89" s="365" t="s">
        <v>1538</v>
      </c>
      <c r="B89" s="365" t="s">
        <v>1142</v>
      </c>
      <c r="C89" s="365" t="str">
        <f t="shared" si="31"/>
        <v>450015984892104TQ1-S001长尾巴猫96</v>
      </c>
      <c r="D89" s="345">
        <v>4500159848</v>
      </c>
      <c r="E89" s="367" t="s">
        <v>1539</v>
      </c>
      <c r="F89" s="367" t="s">
        <v>6124</v>
      </c>
      <c r="G89" s="345" t="s">
        <v>6063</v>
      </c>
      <c r="H89" s="345">
        <v>96</v>
      </c>
      <c r="I89" s="345">
        <v>0</v>
      </c>
      <c r="J89" s="345">
        <v>12</v>
      </c>
      <c r="K89" s="345">
        <f t="shared" si="25"/>
        <v>8</v>
      </c>
      <c r="L89" s="353">
        <v>45859</v>
      </c>
      <c r="M89" s="453">
        <v>45874</v>
      </c>
      <c r="N89" s="345"/>
      <c r="O89" s="365" t="s">
        <v>459</v>
      </c>
      <c r="P89" s="367"/>
      <c r="Q89" s="367"/>
      <c r="R89" s="367"/>
      <c r="S89" s="367">
        <f t="shared" si="35"/>
        <v>96</v>
      </c>
      <c r="T89" s="345"/>
      <c r="U89" s="345"/>
      <c r="V89" s="345">
        <f t="shared" si="27"/>
        <v>96</v>
      </c>
      <c r="W89" s="447"/>
      <c r="X89" s="447"/>
      <c r="Y89" s="447">
        <f t="shared" si="34"/>
        <v>96</v>
      </c>
      <c r="Z89" s="447"/>
      <c r="AA89" s="447"/>
      <c r="AB89" s="447">
        <f t="shared" si="36"/>
        <v>16</v>
      </c>
      <c r="AC89" s="447"/>
      <c r="AD89" s="447"/>
      <c r="AE89" s="445" t="s">
        <v>4196</v>
      </c>
    </row>
    <row r="90" s="400" customFormat="1" ht="50" customHeight="1" spans="1:31">
      <c r="A90" s="365" t="s">
        <v>2285</v>
      </c>
      <c r="B90" s="365" t="s">
        <v>351</v>
      </c>
      <c r="C90" s="365" t="str">
        <f t="shared" si="31"/>
        <v>450016445192104TQ2-S002长尾巴猫（新档）10242</v>
      </c>
      <c r="D90" s="366">
        <v>4500164451</v>
      </c>
      <c r="E90" s="345" t="s">
        <v>3330</v>
      </c>
      <c r="F90" s="367" t="s">
        <v>6254</v>
      </c>
      <c r="G90" s="345" t="s">
        <v>7308</v>
      </c>
      <c r="H90" s="345">
        <v>10242</v>
      </c>
      <c r="I90" s="345">
        <v>0</v>
      </c>
      <c r="J90" s="345">
        <v>6</v>
      </c>
      <c r="K90" s="345">
        <f t="shared" si="25"/>
        <v>1707</v>
      </c>
      <c r="L90" s="353">
        <v>45873</v>
      </c>
      <c r="M90" s="451">
        <v>45874</v>
      </c>
      <c r="N90" s="367"/>
      <c r="O90" s="365" t="s">
        <v>1199</v>
      </c>
      <c r="P90" s="367"/>
      <c r="Q90" s="367"/>
      <c r="R90" s="367"/>
      <c r="S90" s="367"/>
      <c r="T90" s="367">
        <f>H90</f>
        <v>10242</v>
      </c>
      <c r="U90" s="345"/>
      <c r="V90" s="345">
        <f t="shared" si="27"/>
        <v>10242</v>
      </c>
      <c r="W90" s="447"/>
      <c r="X90" s="447"/>
      <c r="Y90" s="447">
        <f t="shared" si="34"/>
        <v>10242</v>
      </c>
      <c r="Z90" s="447"/>
      <c r="AA90" s="447"/>
      <c r="AB90" s="447"/>
      <c r="AC90" s="447">
        <f t="shared" ref="AC90:AC96" si="37">H90/6</f>
        <v>1707</v>
      </c>
      <c r="AD90" s="447"/>
      <c r="AE90" s="409" t="s">
        <v>13029</v>
      </c>
    </row>
    <row r="91" s="400" customFormat="1" ht="50" customHeight="1" spans="1:31">
      <c r="A91" s="365" t="s">
        <v>2285</v>
      </c>
      <c r="B91" s="365" t="s">
        <v>351</v>
      </c>
      <c r="C91" s="365" t="str">
        <f t="shared" si="31"/>
        <v>450016445192104TQ2-S002长尾巴猫（新档）3984</v>
      </c>
      <c r="D91" s="366">
        <v>4500164451</v>
      </c>
      <c r="E91" s="345" t="s">
        <v>3336</v>
      </c>
      <c r="F91" s="367" t="s">
        <v>6254</v>
      </c>
      <c r="G91" s="345" t="s">
        <v>7308</v>
      </c>
      <c r="H91" s="345">
        <v>3984</v>
      </c>
      <c r="I91" s="345">
        <v>0</v>
      </c>
      <c r="J91" s="345">
        <v>6</v>
      </c>
      <c r="K91" s="345">
        <f t="shared" si="25"/>
        <v>664</v>
      </c>
      <c r="L91" s="353">
        <v>45873</v>
      </c>
      <c r="M91" s="451">
        <v>45874</v>
      </c>
      <c r="N91" s="367"/>
      <c r="O91" s="365" t="s">
        <v>1199</v>
      </c>
      <c r="P91" s="367"/>
      <c r="Q91" s="367"/>
      <c r="R91" s="367"/>
      <c r="S91" s="367"/>
      <c r="T91" s="367">
        <f>H91</f>
        <v>3984</v>
      </c>
      <c r="U91" s="345"/>
      <c r="V91" s="345">
        <f t="shared" si="27"/>
        <v>3984</v>
      </c>
      <c r="W91" s="447"/>
      <c r="X91" s="447"/>
      <c r="Y91" s="447">
        <f t="shared" si="34"/>
        <v>3984</v>
      </c>
      <c r="Z91" s="447"/>
      <c r="AA91" s="447"/>
      <c r="AB91" s="447"/>
      <c r="AC91" s="447">
        <f t="shared" si="37"/>
        <v>664</v>
      </c>
      <c r="AD91" s="447"/>
      <c r="AE91" s="409" t="s">
        <v>13029</v>
      </c>
    </row>
    <row r="92" s="400" customFormat="1" ht="50" customHeight="1" spans="1:31">
      <c r="A92" s="365" t="s">
        <v>1596</v>
      </c>
      <c r="B92" s="365" t="s">
        <v>1430</v>
      </c>
      <c r="C92" s="365" t="str">
        <f t="shared" si="31"/>
        <v>450017210392104TQ1-S001长尾巴猫600</v>
      </c>
      <c r="D92" s="366">
        <v>4500172103</v>
      </c>
      <c r="E92" s="345"/>
      <c r="F92" s="367" t="s">
        <v>6124</v>
      </c>
      <c r="G92" s="345" t="s">
        <v>6063</v>
      </c>
      <c r="H92" s="345">
        <v>600</v>
      </c>
      <c r="I92" s="345">
        <v>0</v>
      </c>
      <c r="J92" s="345">
        <v>12</v>
      </c>
      <c r="K92" s="345">
        <f t="shared" si="25"/>
        <v>50</v>
      </c>
      <c r="L92" s="353">
        <v>45874</v>
      </c>
      <c r="M92" s="387">
        <v>45874</v>
      </c>
      <c r="N92" s="324"/>
      <c r="O92" s="365" t="s">
        <v>1434</v>
      </c>
      <c r="P92" s="367"/>
      <c r="Q92" s="367"/>
      <c r="R92" s="367"/>
      <c r="S92" s="367">
        <f t="shared" si="35"/>
        <v>600</v>
      </c>
      <c r="T92" s="367"/>
      <c r="U92" s="345"/>
      <c r="V92" s="345">
        <f t="shared" si="27"/>
        <v>600</v>
      </c>
      <c r="W92" s="447"/>
      <c r="X92" s="447"/>
      <c r="Y92" s="447">
        <f t="shared" si="34"/>
        <v>600</v>
      </c>
      <c r="Z92" s="447"/>
      <c r="AA92" s="447"/>
      <c r="AB92" s="447">
        <f t="shared" si="36"/>
        <v>100</v>
      </c>
      <c r="AC92" s="447"/>
      <c r="AD92" s="447"/>
      <c r="AE92" s="445" t="s">
        <v>4196</v>
      </c>
    </row>
    <row r="93" s="400" customFormat="1" ht="50" customHeight="1" spans="1:31">
      <c r="A93" s="365" t="s">
        <v>407</v>
      </c>
      <c r="B93" s="365" t="s">
        <v>91</v>
      </c>
      <c r="C93" s="365" t="str">
        <f t="shared" si="31"/>
        <v>450017220392104-S001长尾巴猫4002</v>
      </c>
      <c r="D93" s="366">
        <v>4500172203</v>
      </c>
      <c r="E93" s="345">
        <v>60235975</v>
      </c>
      <c r="F93" s="367" t="s">
        <v>3520</v>
      </c>
      <c r="G93" s="345" t="s">
        <v>6063</v>
      </c>
      <c r="H93" s="345">
        <v>4002</v>
      </c>
      <c r="I93" s="345">
        <v>0</v>
      </c>
      <c r="J93" s="345">
        <v>24</v>
      </c>
      <c r="K93" s="345">
        <f t="shared" si="25"/>
        <v>166.75</v>
      </c>
      <c r="L93" s="353">
        <v>45870</v>
      </c>
      <c r="M93" s="451">
        <v>45875</v>
      </c>
      <c r="N93" s="324"/>
      <c r="O93" s="365" t="s">
        <v>393</v>
      </c>
      <c r="P93" s="367"/>
      <c r="Q93" s="367">
        <f t="shared" ref="Q93:Q98" si="38">H93</f>
        <v>4002</v>
      </c>
      <c r="R93" s="367"/>
      <c r="S93" s="367"/>
      <c r="T93" s="367"/>
      <c r="U93" s="345"/>
      <c r="V93" s="345">
        <f t="shared" si="27"/>
        <v>4002</v>
      </c>
      <c r="W93" s="447"/>
      <c r="X93" s="447"/>
      <c r="Y93" s="447">
        <f t="shared" si="34"/>
        <v>4002</v>
      </c>
      <c r="Z93" s="447"/>
      <c r="AA93" s="447"/>
      <c r="AB93" s="447"/>
      <c r="AC93" s="447"/>
      <c r="AD93" s="447"/>
      <c r="AE93" s="445" t="s">
        <v>4196</v>
      </c>
    </row>
    <row r="94" s="400" customFormat="1" ht="50" customHeight="1" spans="1:31">
      <c r="A94" s="365" t="s">
        <v>7332</v>
      </c>
      <c r="B94" s="365" t="s">
        <v>1624</v>
      </c>
      <c r="C94" s="365" t="str">
        <f t="shared" si="31"/>
        <v>450016977392104TQ2-S002-NB长尾巴猫402</v>
      </c>
      <c r="D94" s="366">
        <v>4500169773</v>
      </c>
      <c r="E94" s="345" t="s">
        <v>7333</v>
      </c>
      <c r="F94" s="367" t="s">
        <v>6228</v>
      </c>
      <c r="G94" s="345" t="s">
        <v>6063</v>
      </c>
      <c r="H94" s="345">
        <v>402</v>
      </c>
      <c r="I94" s="345">
        <v>0</v>
      </c>
      <c r="J94" s="345">
        <v>6</v>
      </c>
      <c r="K94" s="345">
        <f t="shared" si="25"/>
        <v>67</v>
      </c>
      <c r="L94" s="353">
        <v>45874</v>
      </c>
      <c r="M94" s="451">
        <v>45876</v>
      </c>
      <c r="N94" s="324"/>
      <c r="O94" s="365" t="s">
        <v>6785</v>
      </c>
      <c r="P94" s="367"/>
      <c r="Q94" s="367"/>
      <c r="R94" s="367"/>
      <c r="S94" s="367">
        <f t="shared" ref="S94:S114" si="39">H94</f>
        <v>402</v>
      </c>
      <c r="T94" s="367"/>
      <c r="U94" s="345"/>
      <c r="V94" s="345">
        <f t="shared" si="27"/>
        <v>402</v>
      </c>
      <c r="W94" s="447"/>
      <c r="X94" s="447"/>
      <c r="Y94" s="447"/>
      <c r="Z94" s="447">
        <f t="shared" ref="Z94:Z113" si="40">H94</f>
        <v>402</v>
      </c>
      <c r="AA94" s="447"/>
      <c r="AB94" s="447"/>
      <c r="AC94" s="447">
        <f t="shared" si="37"/>
        <v>67</v>
      </c>
      <c r="AD94" s="447"/>
      <c r="AE94" s="409" t="s">
        <v>13028</v>
      </c>
    </row>
    <row r="95" s="400" customFormat="1" ht="50" customHeight="1" spans="1:31">
      <c r="A95" s="365" t="s">
        <v>7313</v>
      </c>
      <c r="B95" s="365" t="s">
        <v>1385</v>
      </c>
      <c r="C95" s="365" t="str">
        <f t="shared" si="31"/>
        <v>450016594092104TQ2-S001长尾巴猫468</v>
      </c>
      <c r="D95" s="345">
        <v>4500165940</v>
      </c>
      <c r="E95" s="367">
        <v>4752530092</v>
      </c>
      <c r="F95" s="367" t="s">
        <v>6195</v>
      </c>
      <c r="G95" s="345" t="s">
        <v>6063</v>
      </c>
      <c r="H95" s="345">
        <v>468</v>
      </c>
      <c r="I95" s="345">
        <v>0</v>
      </c>
      <c r="J95" s="345">
        <v>12</v>
      </c>
      <c r="K95" s="345">
        <f t="shared" si="25"/>
        <v>39</v>
      </c>
      <c r="L95" s="353">
        <v>45875</v>
      </c>
      <c r="M95" s="451">
        <v>45876</v>
      </c>
      <c r="N95" s="324"/>
      <c r="O95" s="365" t="s">
        <v>448</v>
      </c>
      <c r="P95" s="367"/>
      <c r="Q95" s="367">
        <f t="shared" si="38"/>
        <v>468</v>
      </c>
      <c r="R95" s="367"/>
      <c r="S95" s="367"/>
      <c r="T95" s="367"/>
      <c r="U95" s="345"/>
      <c r="V95" s="345">
        <f t="shared" si="27"/>
        <v>468</v>
      </c>
      <c r="W95" s="447"/>
      <c r="X95" s="447"/>
      <c r="Y95" s="447">
        <f t="shared" ref="Y95:Y98" si="41">H95</f>
        <v>468</v>
      </c>
      <c r="Z95" s="447"/>
      <c r="AA95" s="447"/>
      <c r="AB95" s="447"/>
      <c r="AC95" s="447">
        <f t="shared" si="37"/>
        <v>78</v>
      </c>
      <c r="AD95" s="447"/>
      <c r="AE95" s="445" t="s">
        <v>4196</v>
      </c>
    </row>
    <row r="96" s="400" customFormat="1" ht="50" customHeight="1" spans="1:31">
      <c r="A96" s="365" t="s">
        <v>7337</v>
      </c>
      <c r="B96" s="365" t="s">
        <v>6225</v>
      </c>
      <c r="C96" s="365" t="str">
        <f t="shared" si="31"/>
        <v>450016976492104TQ2-S002-NB长尾巴猫960</v>
      </c>
      <c r="D96" s="345">
        <v>4500169764</v>
      </c>
      <c r="E96" s="367" t="s">
        <v>7338</v>
      </c>
      <c r="F96" s="367" t="s">
        <v>6228</v>
      </c>
      <c r="G96" s="345" t="s">
        <v>6063</v>
      </c>
      <c r="H96" s="345">
        <v>960</v>
      </c>
      <c r="I96" s="345">
        <v>0</v>
      </c>
      <c r="J96" s="345">
        <v>6</v>
      </c>
      <c r="K96" s="345">
        <f t="shared" si="25"/>
        <v>160</v>
      </c>
      <c r="L96" s="353">
        <v>45877</v>
      </c>
      <c r="M96" s="451">
        <v>45877</v>
      </c>
      <c r="N96" s="324"/>
      <c r="O96" s="365" t="s">
        <v>424</v>
      </c>
      <c r="P96" s="367"/>
      <c r="Q96" s="367"/>
      <c r="R96" s="367"/>
      <c r="S96" s="367">
        <f t="shared" si="39"/>
        <v>960</v>
      </c>
      <c r="T96" s="367"/>
      <c r="U96" s="345"/>
      <c r="V96" s="345">
        <f t="shared" si="27"/>
        <v>960</v>
      </c>
      <c r="W96" s="447"/>
      <c r="X96" s="447"/>
      <c r="Y96" s="447"/>
      <c r="Z96" s="447">
        <f t="shared" si="40"/>
        <v>960</v>
      </c>
      <c r="AA96" s="447"/>
      <c r="AB96" s="447"/>
      <c r="AC96" s="447">
        <f t="shared" si="37"/>
        <v>160</v>
      </c>
      <c r="AD96" s="447"/>
      <c r="AE96" s="409" t="s">
        <v>13028</v>
      </c>
    </row>
    <row r="97" s="400" customFormat="1" ht="50" customHeight="1" spans="1:31">
      <c r="A97" s="365" t="s">
        <v>340</v>
      </c>
      <c r="B97" s="365" t="s">
        <v>341</v>
      </c>
      <c r="C97" s="365" t="str">
        <f t="shared" si="31"/>
        <v>450017194192124-S001-92104狗蛋四代混装（92119+9298+92104）1299</v>
      </c>
      <c r="D97" s="345">
        <v>4500171941</v>
      </c>
      <c r="E97" s="367" t="s">
        <v>4540</v>
      </c>
      <c r="F97" s="367" t="s">
        <v>6641</v>
      </c>
      <c r="G97" s="345" t="s">
        <v>3344</v>
      </c>
      <c r="H97" s="345">
        <v>1299</v>
      </c>
      <c r="I97" s="345">
        <v>0</v>
      </c>
      <c r="J97" s="345">
        <v>1</v>
      </c>
      <c r="K97" s="345">
        <v>1299</v>
      </c>
      <c r="L97" s="353">
        <v>45877</v>
      </c>
      <c r="M97" s="387">
        <v>45877</v>
      </c>
      <c r="N97" s="324"/>
      <c r="O97" s="365" t="s">
        <v>1459</v>
      </c>
      <c r="P97" s="367"/>
      <c r="Q97" s="367">
        <f t="shared" si="38"/>
        <v>1299</v>
      </c>
      <c r="R97" s="367"/>
      <c r="S97" s="367"/>
      <c r="T97" s="367"/>
      <c r="U97" s="345"/>
      <c r="V97" s="345">
        <f t="shared" si="27"/>
        <v>1299</v>
      </c>
      <c r="W97" s="447"/>
      <c r="X97" s="447"/>
      <c r="Y97" s="447">
        <f t="shared" si="41"/>
        <v>1299</v>
      </c>
      <c r="Z97" s="447"/>
      <c r="AA97" s="447"/>
      <c r="AB97" s="447"/>
      <c r="AC97" s="447"/>
      <c r="AD97" s="447"/>
      <c r="AE97" s="445" t="s">
        <v>4196</v>
      </c>
    </row>
    <row r="98" s="400" customFormat="1" ht="50" customHeight="1" spans="1:31">
      <c r="A98" s="365" t="s">
        <v>340</v>
      </c>
      <c r="B98" s="365" t="s">
        <v>341</v>
      </c>
      <c r="C98" s="365" t="str">
        <f t="shared" si="31"/>
        <v>450017194192124-S001-92104狗蛋四代混装（92119+9298+92104）2701</v>
      </c>
      <c r="D98" s="345">
        <v>4500171941</v>
      </c>
      <c r="E98" s="367" t="s">
        <v>4546</v>
      </c>
      <c r="F98" s="367" t="s">
        <v>6641</v>
      </c>
      <c r="G98" s="345" t="s">
        <v>3344</v>
      </c>
      <c r="H98" s="345">
        <v>2701</v>
      </c>
      <c r="I98" s="345">
        <v>0</v>
      </c>
      <c r="J98" s="345">
        <v>1</v>
      </c>
      <c r="K98" s="345">
        <v>2701</v>
      </c>
      <c r="L98" s="353">
        <v>45877</v>
      </c>
      <c r="M98" s="387">
        <v>45877</v>
      </c>
      <c r="N98" s="324"/>
      <c r="O98" s="365" t="s">
        <v>1459</v>
      </c>
      <c r="P98" s="367"/>
      <c r="Q98" s="367">
        <f t="shared" si="38"/>
        <v>2701</v>
      </c>
      <c r="R98" s="367"/>
      <c r="S98" s="367"/>
      <c r="T98" s="367"/>
      <c r="U98" s="345"/>
      <c r="V98" s="345">
        <f t="shared" si="27"/>
        <v>2701</v>
      </c>
      <c r="W98" s="447"/>
      <c r="X98" s="447"/>
      <c r="Y98" s="447">
        <f t="shared" si="41"/>
        <v>2701</v>
      </c>
      <c r="Z98" s="447"/>
      <c r="AA98" s="447"/>
      <c r="AB98" s="447"/>
      <c r="AC98" s="447"/>
      <c r="AD98" s="447"/>
      <c r="AE98" s="445" t="s">
        <v>4196</v>
      </c>
    </row>
    <row r="99" s="400" customFormat="1" ht="50" customHeight="1" spans="1:31">
      <c r="A99" s="365" t="s">
        <v>1641</v>
      </c>
      <c r="B99" s="365" t="s">
        <v>396</v>
      </c>
      <c r="C99" s="365" t="str">
        <f t="shared" si="31"/>
        <v>450017261292104G-S001-NB.WMB褴褛猫（邮包盒）64</v>
      </c>
      <c r="D99" s="345">
        <v>4500172612</v>
      </c>
      <c r="E99" s="367" t="s">
        <v>7341</v>
      </c>
      <c r="F99" s="367" t="s">
        <v>6099</v>
      </c>
      <c r="G99" s="345" t="s">
        <v>6100</v>
      </c>
      <c r="H99" s="345">
        <v>64</v>
      </c>
      <c r="I99" s="345">
        <v>0</v>
      </c>
      <c r="J99" s="345">
        <v>32</v>
      </c>
      <c r="K99" s="345">
        <v>2</v>
      </c>
      <c r="L99" s="353">
        <v>45877</v>
      </c>
      <c r="M99" s="387">
        <v>45877</v>
      </c>
      <c r="N99" s="324"/>
      <c r="O99" s="365" t="s">
        <v>369</v>
      </c>
      <c r="P99" s="367"/>
      <c r="Q99" s="367"/>
      <c r="R99" s="367"/>
      <c r="S99" s="367">
        <f t="shared" si="39"/>
        <v>64</v>
      </c>
      <c r="T99" s="367"/>
      <c r="U99" s="345"/>
      <c r="V99" s="345">
        <f t="shared" si="27"/>
        <v>64</v>
      </c>
      <c r="W99" s="447"/>
      <c r="X99" s="447"/>
      <c r="Y99" s="447"/>
      <c r="Z99" s="447">
        <f t="shared" si="40"/>
        <v>64</v>
      </c>
      <c r="AA99" s="447"/>
      <c r="AB99" s="447"/>
      <c r="AC99" s="447"/>
      <c r="AD99" s="447"/>
      <c r="AE99" s="409" t="s">
        <v>13028</v>
      </c>
    </row>
    <row r="100" s="400" customFormat="1" ht="50" customHeight="1" spans="1:31">
      <c r="A100" s="365" t="s">
        <v>1641</v>
      </c>
      <c r="B100" s="365" t="s">
        <v>396</v>
      </c>
      <c r="C100" s="365" t="str">
        <f t="shared" si="31"/>
        <v>450017261292104G-S001-NB.WMB褴褛猫（邮包盒）32</v>
      </c>
      <c r="D100" s="345">
        <v>4500172612</v>
      </c>
      <c r="E100" s="367" t="s">
        <v>7345</v>
      </c>
      <c r="F100" s="367" t="s">
        <v>6099</v>
      </c>
      <c r="G100" s="345" t="s">
        <v>6100</v>
      </c>
      <c r="H100" s="345">
        <v>32</v>
      </c>
      <c r="I100" s="345">
        <v>0</v>
      </c>
      <c r="J100" s="345">
        <v>32</v>
      </c>
      <c r="K100" s="345">
        <v>1</v>
      </c>
      <c r="L100" s="353">
        <v>45877</v>
      </c>
      <c r="M100" s="387">
        <v>45877</v>
      </c>
      <c r="N100" s="324"/>
      <c r="O100" s="365" t="s">
        <v>369</v>
      </c>
      <c r="P100" s="367"/>
      <c r="Q100" s="367"/>
      <c r="R100" s="367"/>
      <c r="S100" s="367">
        <f t="shared" si="39"/>
        <v>32</v>
      </c>
      <c r="T100" s="367"/>
      <c r="U100" s="345"/>
      <c r="V100" s="345">
        <f t="shared" si="27"/>
        <v>32</v>
      </c>
      <c r="W100" s="447"/>
      <c r="X100" s="447"/>
      <c r="Y100" s="447"/>
      <c r="Z100" s="447">
        <f t="shared" si="40"/>
        <v>32</v>
      </c>
      <c r="AA100" s="447"/>
      <c r="AB100" s="447"/>
      <c r="AC100" s="447"/>
      <c r="AD100" s="447"/>
      <c r="AE100" s="409" t="s">
        <v>13028</v>
      </c>
    </row>
    <row r="101" s="400" customFormat="1" ht="50" customHeight="1" spans="1:31">
      <c r="A101" s="365" t="s">
        <v>1641</v>
      </c>
      <c r="B101" s="365" t="s">
        <v>396</v>
      </c>
      <c r="C101" s="365" t="str">
        <f t="shared" si="31"/>
        <v>450017261292104G-S001-NB.WMB褴褛猫（邮包盒）32</v>
      </c>
      <c r="D101" s="345">
        <v>4500172612</v>
      </c>
      <c r="E101" s="367" t="s">
        <v>7347</v>
      </c>
      <c r="F101" s="367" t="s">
        <v>6099</v>
      </c>
      <c r="G101" s="345" t="s">
        <v>6100</v>
      </c>
      <c r="H101" s="345">
        <v>32</v>
      </c>
      <c r="I101" s="345">
        <v>0</v>
      </c>
      <c r="J101" s="345">
        <v>32</v>
      </c>
      <c r="K101" s="345">
        <v>1</v>
      </c>
      <c r="L101" s="353">
        <v>45877</v>
      </c>
      <c r="M101" s="387">
        <v>45877</v>
      </c>
      <c r="N101" s="324"/>
      <c r="O101" s="365" t="s">
        <v>369</v>
      </c>
      <c r="P101" s="367"/>
      <c r="Q101" s="367"/>
      <c r="R101" s="367"/>
      <c r="S101" s="367">
        <f t="shared" si="39"/>
        <v>32</v>
      </c>
      <c r="T101" s="367"/>
      <c r="U101" s="345"/>
      <c r="V101" s="345">
        <f t="shared" si="27"/>
        <v>32</v>
      </c>
      <c r="W101" s="447"/>
      <c r="X101" s="447"/>
      <c r="Y101" s="447"/>
      <c r="Z101" s="447">
        <f t="shared" si="40"/>
        <v>32</v>
      </c>
      <c r="AA101" s="447"/>
      <c r="AB101" s="447"/>
      <c r="AC101" s="447"/>
      <c r="AD101" s="447"/>
      <c r="AE101" s="409" t="s">
        <v>13028</v>
      </c>
    </row>
    <row r="102" s="400" customFormat="1" ht="50" customHeight="1" spans="1:31">
      <c r="A102" s="365" t="s">
        <v>1641</v>
      </c>
      <c r="B102" s="365" t="s">
        <v>396</v>
      </c>
      <c r="C102" s="365" t="str">
        <f t="shared" si="31"/>
        <v>450017261292104G-S001-NB.WMB褴褛猫（邮包盒）64</v>
      </c>
      <c r="D102" s="345">
        <v>4500172612</v>
      </c>
      <c r="E102" s="367" t="s">
        <v>7349</v>
      </c>
      <c r="F102" s="367" t="s">
        <v>6099</v>
      </c>
      <c r="G102" s="345" t="s">
        <v>6100</v>
      </c>
      <c r="H102" s="345">
        <v>64</v>
      </c>
      <c r="I102" s="345">
        <v>0</v>
      </c>
      <c r="J102" s="345">
        <v>32</v>
      </c>
      <c r="K102" s="345">
        <v>2</v>
      </c>
      <c r="L102" s="353">
        <v>45877</v>
      </c>
      <c r="M102" s="387">
        <v>45877</v>
      </c>
      <c r="N102" s="324"/>
      <c r="O102" s="365" t="s">
        <v>369</v>
      </c>
      <c r="P102" s="367"/>
      <c r="Q102" s="367"/>
      <c r="R102" s="367"/>
      <c r="S102" s="367">
        <f t="shared" si="39"/>
        <v>64</v>
      </c>
      <c r="T102" s="367"/>
      <c r="U102" s="345"/>
      <c r="V102" s="345">
        <f t="shared" si="27"/>
        <v>64</v>
      </c>
      <c r="W102" s="447"/>
      <c r="X102" s="447"/>
      <c r="Y102" s="447"/>
      <c r="Z102" s="447">
        <f t="shared" si="40"/>
        <v>64</v>
      </c>
      <c r="AA102" s="447"/>
      <c r="AB102" s="447"/>
      <c r="AC102" s="447"/>
      <c r="AD102" s="447"/>
      <c r="AE102" s="409" t="s">
        <v>13028</v>
      </c>
    </row>
    <row r="103" s="400" customFormat="1" ht="50" customHeight="1" spans="1:31">
      <c r="A103" s="365" t="s">
        <v>1641</v>
      </c>
      <c r="B103" s="365" t="s">
        <v>396</v>
      </c>
      <c r="C103" s="365" t="str">
        <f t="shared" si="31"/>
        <v>450017261292104G-S001-NB.WMB褴褛猫（邮包盒）32</v>
      </c>
      <c r="D103" s="345">
        <v>4500172612</v>
      </c>
      <c r="E103" s="367" t="s">
        <v>7351</v>
      </c>
      <c r="F103" s="367" t="s">
        <v>6099</v>
      </c>
      <c r="G103" s="345" t="s">
        <v>6100</v>
      </c>
      <c r="H103" s="345">
        <v>32</v>
      </c>
      <c r="I103" s="345">
        <v>0</v>
      </c>
      <c r="J103" s="345">
        <v>32</v>
      </c>
      <c r="K103" s="345">
        <v>1</v>
      </c>
      <c r="L103" s="353">
        <v>45877</v>
      </c>
      <c r="M103" s="387">
        <v>45877</v>
      </c>
      <c r="N103" s="324"/>
      <c r="O103" s="365" t="s">
        <v>369</v>
      </c>
      <c r="P103" s="367"/>
      <c r="Q103" s="367"/>
      <c r="R103" s="367"/>
      <c r="S103" s="367">
        <f t="shared" si="39"/>
        <v>32</v>
      </c>
      <c r="T103" s="367"/>
      <c r="U103" s="345"/>
      <c r="V103" s="345">
        <f t="shared" si="27"/>
        <v>32</v>
      </c>
      <c r="W103" s="447"/>
      <c r="X103" s="447"/>
      <c r="Y103" s="447"/>
      <c r="Z103" s="447">
        <f t="shared" si="40"/>
        <v>32</v>
      </c>
      <c r="AA103" s="447"/>
      <c r="AB103" s="447"/>
      <c r="AC103" s="447"/>
      <c r="AD103" s="447"/>
      <c r="AE103" s="409" t="s">
        <v>13028</v>
      </c>
    </row>
    <row r="104" s="400" customFormat="1" ht="50" customHeight="1" spans="1:31">
      <c r="A104" s="365" t="s">
        <v>1641</v>
      </c>
      <c r="B104" s="365" t="s">
        <v>396</v>
      </c>
      <c r="C104" s="365" t="str">
        <f t="shared" si="31"/>
        <v>450017261292104G-S001-NB.WMB褴褛猫（邮包盒）64</v>
      </c>
      <c r="D104" s="345">
        <v>4500172612</v>
      </c>
      <c r="E104" s="367" t="s">
        <v>7353</v>
      </c>
      <c r="F104" s="367" t="s">
        <v>6099</v>
      </c>
      <c r="G104" s="345" t="s">
        <v>6100</v>
      </c>
      <c r="H104" s="345">
        <v>64</v>
      </c>
      <c r="I104" s="345">
        <v>0</v>
      </c>
      <c r="J104" s="345">
        <v>32</v>
      </c>
      <c r="K104" s="345">
        <v>2</v>
      </c>
      <c r="L104" s="353">
        <v>45877</v>
      </c>
      <c r="M104" s="387">
        <v>45877</v>
      </c>
      <c r="N104" s="324"/>
      <c r="O104" s="365" t="s">
        <v>369</v>
      </c>
      <c r="P104" s="367"/>
      <c r="Q104" s="367"/>
      <c r="R104" s="367"/>
      <c r="S104" s="367">
        <f t="shared" si="39"/>
        <v>64</v>
      </c>
      <c r="T104" s="367"/>
      <c r="U104" s="345"/>
      <c r="V104" s="345">
        <f t="shared" si="27"/>
        <v>64</v>
      </c>
      <c r="W104" s="447"/>
      <c r="X104" s="447"/>
      <c r="Y104" s="447"/>
      <c r="Z104" s="447">
        <f t="shared" si="40"/>
        <v>64</v>
      </c>
      <c r="AA104" s="447"/>
      <c r="AB104" s="447"/>
      <c r="AC104" s="447"/>
      <c r="AD104" s="447"/>
      <c r="AE104" s="409" t="s">
        <v>13028</v>
      </c>
    </row>
    <row r="105" s="400" customFormat="1" ht="50" customHeight="1" spans="1:31">
      <c r="A105" s="365" t="s">
        <v>1641</v>
      </c>
      <c r="B105" s="365" t="s">
        <v>396</v>
      </c>
      <c r="C105" s="365" t="str">
        <f t="shared" si="31"/>
        <v>450017261292104G-S001-NB.WMB褴褛猫（邮包盒）64</v>
      </c>
      <c r="D105" s="345">
        <v>4500172612</v>
      </c>
      <c r="E105" s="367" t="s">
        <v>7355</v>
      </c>
      <c r="F105" s="367" t="s">
        <v>6099</v>
      </c>
      <c r="G105" s="345" t="s">
        <v>6100</v>
      </c>
      <c r="H105" s="345">
        <v>64</v>
      </c>
      <c r="I105" s="345">
        <v>0</v>
      </c>
      <c r="J105" s="345">
        <v>32</v>
      </c>
      <c r="K105" s="345">
        <v>2</v>
      </c>
      <c r="L105" s="353">
        <v>45877</v>
      </c>
      <c r="M105" s="387">
        <v>45877</v>
      </c>
      <c r="N105" s="324"/>
      <c r="O105" s="365" t="s">
        <v>369</v>
      </c>
      <c r="P105" s="367"/>
      <c r="Q105" s="367"/>
      <c r="R105" s="367"/>
      <c r="S105" s="367">
        <f t="shared" si="39"/>
        <v>64</v>
      </c>
      <c r="T105" s="367"/>
      <c r="U105" s="345"/>
      <c r="V105" s="345">
        <f t="shared" si="27"/>
        <v>64</v>
      </c>
      <c r="W105" s="447"/>
      <c r="X105" s="447"/>
      <c r="Y105" s="447"/>
      <c r="Z105" s="447">
        <f t="shared" si="40"/>
        <v>64</v>
      </c>
      <c r="AA105" s="447"/>
      <c r="AB105" s="447"/>
      <c r="AC105" s="447"/>
      <c r="AD105" s="447"/>
      <c r="AE105" s="409" t="s">
        <v>13028</v>
      </c>
    </row>
    <row r="106" s="400" customFormat="1" ht="50" customHeight="1" spans="1:31">
      <c r="A106" s="365" t="s">
        <v>1641</v>
      </c>
      <c r="B106" s="365" t="s">
        <v>396</v>
      </c>
      <c r="C106" s="365" t="str">
        <f t="shared" si="31"/>
        <v>450017261292104G-S001-NB.WMB褴褛猫（邮包盒）32</v>
      </c>
      <c r="D106" s="345">
        <v>4500172612</v>
      </c>
      <c r="E106" s="367" t="s">
        <v>7357</v>
      </c>
      <c r="F106" s="367" t="s">
        <v>6099</v>
      </c>
      <c r="G106" s="345" t="s">
        <v>6100</v>
      </c>
      <c r="H106" s="345">
        <v>32</v>
      </c>
      <c r="I106" s="345">
        <v>0</v>
      </c>
      <c r="J106" s="345">
        <v>32</v>
      </c>
      <c r="K106" s="345">
        <v>1</v>
      </c>
      <c r="L106" s="353">
        <v>45877</v>
      </c>
      <c r="M106" s="387">
        <v>45877</v>
      </c>
      <c r="N106" s="324"/>
      <c r="O106" s="365" t="s">
        <v>369</v>
      </c>
      <c r="P106" s="367"/>
      <c r="Q106" s="367"/>
      <c r="R106" s="367"/>
      <c r="S106" s="367">
        <f t="shared" si="39"/>
        <v>32</v>
      </c>
      <c r="T106" s="367"/>
      <c r="U106" s="345"/>
      <c r="V106" s="345">
        <f t="shared" si="27"/>
        <v>32</v>
      </c>
      <c r="W106" s="447"/>
      <c r="X106" s="447"/>
      <c r="Y106" s="447"/>
      <c r="Z106" s="447">
        <f t="shared" si="40"/>
        <v>32</v>
      </c>
      <c r="AA106" s="447"/>
      <c r="AB106" s="447"/>
      <c r="AC106" s="447"/>
      <c r="AD106" s="447"/>
      <c r="AE106" s="409" t="s">
        <v>13028</v>
      </c>
    </row>
    <row r="107" s="400" customFormat="1" ht="50" customHeight="1" spans="1:31">
      <c r="A107" s="365" t="s">
        <v>1641</v>
      </c>
      <c r="B107" s="365" t="s">
        <v>396</v>
      </c>
      <c r="C107" s="365" t="str">
        <f t="shared" si="31"/>
        <v>450017261292104B-S001-NB.WMB缅因猫（邮包盒）32</v>
      </c>
      <c r="D107" s="345">
        <v>4500172612</v>
      </c>
      <c r="E107" s="367" t="s">
        <v>7359</v>
      </c>
      <c r="F107" s="367" t="s">
        <v>6091</v>
      </c>
      <c r="G107" s="345" t="s">
        <v>6092</v>
      </c>
      <c r="H107" s="345">
        <v>32</v>
      </c>
      <c r="I107" s="345">
        <v>0</v>
      </c>
      <c r="J107" s="345">
        <v>32</v>
      </c>
      <c r="K107" s="345">
        <v>1</v>
      </c>
      <c r="L107" s="353">
        <v>45877</v>
      </c>
      <c r="M107" s="387">
        <v>45877</v>
      </c>
      <c r="N107" s="324"/>
      <c r="O107" s="365" t="s">
        <v>369</v>
      </c>
      <c r="P107" s="367"/>
      <c r="Q107" s="367"/>
      <c r="R107" s="367"/>
      <c r="S107" s="367">
        <f t="shared" si="39"/>
        <v>32</v>
      </c>
      <c r="T107" s="367"/>
      <c r="U107" s="345"/>
      <c r="V107" s="345">
        <f t="shared" si="27"/>
        <v>32</v>
      </c>
      <c r="W107" s="447"/>
      <c r="X107" s="447"/>
      <c r="Y107" s="447"/>
      <c r="Z107" s="447">
        <f t="shared" si="40"/>
        <v>32</v>
      </c>
      <c r="AA107" s="447"/>
      <c r="AB107" s="447"/>
      <c r="AC107" s="447"/>
      <c r="AD107" s="447"/>
      <c r="AE107" s="409" t="s">
        <v>13028</v>
      </c>
    </row>
    <row r="108" s="400" customFormat="1" ht="50" customHeight="1" spans="1:31">
      <c r="A108" s="365" t="s">
        <v>1641</v>
      </c>
      <c r="B108" s="365" t="s">
        <v>396</v>
      </c>
      <c r="C108" s="365" t="str">
        <f t="shared" si="31"/>
        <v>450017261292104B-S001-NB.WMB缅因猫（邮包盒）64</v>
      </c>
      <c r="D108" s="345">
        <v>4500172612</v>
      </c>
      <c r="E108" s="367" t="s">
        <v>7361</v>
      </c>
      <c r="F108" s="367" t="s">
        <v>6091</v>
      </c>
      <c r="G108" s="345" t="s">
        <v>6092</v>
      </c>
      <c r="H108" s="345">
        <v>64</v>
      </c>
      <c r="I108" s="345">
        <v>0</v>
      </c>
      <c r="J108" s="345">
        <v>32</v>
      </c>
      <c r="K108" s="345">
        <v>2</v>
      </c>
      <c r="L108" s="353">
        <v>45877</v>
      </c>
      <c r="M108" s="387">
        <v>45877</v>
      </c>
      <c r="N108" s="324"/>
      <c r="O108" s="365" t="s">
        <v>369</v>
      </c>
      <c r="P108" s="367"/>
      <c r="Q108" s="367"/>
      <c r="R108" s="367"/>
      <c r="S108" s="367">
        <f t="shared" si="39"/>
        <v>64</v>
      </c>
      <c r="T108" s="367"/>
      <c r="U108" s="345"/>
      <c r="V108" s="345">
        <f t="shared" si="27"/>
        <v>64</v>
      </c>
      <c r="W108" s="447"/>
      <c r="X108" s="447"/>
      <c r="Y108" s="447"/>
      <c r="Z108" s="447">
        <f t="shared" si="40"/>
        <v>64</v>
      </c>
      <c r="AA108" s="447"/>
      <c r="AB108" s="447"/>
      <c r="AC108" s="447"/>
      <c r="AD108" s="447"/>
      <c r="AE108" s="409" t="s">
        <v>13028</v>
      </c>
    </row>
    <row r="109" s="400" customFormat="1" ht="50" customHeight="1" spans="1:31">
      <c r="A109" s="365" t="s">
        <v>1641</v>
      </c>
      <c r="B109" s="365" t="s">
        <v>396</v>
      </c>
      <c r="C109" s="365" t="str">
        <f t="shared" ref="C109:C145" si="42">D109&amp;F109&amp;G109&amp;H109</f>
        <v>450017261292104B-S001-NB.WMB缅因猫（邮包盒）64</v>
      </c>
      <c r="D109" s="345">
        <v>4500172612</v>
      </c>
      <c r="E109" s="367" t="s">
        <v>7363</v>
      </c>
      <c r="F109" s="367" t="s">
        <v>6091</v>
      </c>
      <c r="G109" s="345" t="s">
        <v>6092</v>
      </c>
      <c r="H109" s="345">
        <v>64</v>
      </c>
      <c r="I109" s="345">
        <v>0</v>
      </c>
      <c r="J109" s="345">
        <v>32</v>
      </c>
      <c r="K109" s="345">
        <v>2</v>
      </c>
      <c r="L109" s="353">
        <v>45877</v>
      </c>
      <c r="M109" s="387">
        <v>45877</v>
      </c>
      <c r="N109" s="324"/>
      <c r="O109" s="365" t="s">
        <v>369</v>
      </c>
      <c r="P109" s="367"/>
      <c r="Q109" s="367"/>
      <c r="R109" s="367"/>
      <c r="S109" s="367">
        <f t="shared" si="39"/>
        <v>64</v>
      </c>
      <c r="T109" s="367"/>
      <c r="U109" s="345"/>
      <c r="V109" s="345">
        <f t="shared" si="27"/>
        <v>64</v>
      </c>
      <c r="W109" s="447"/>
      <c r="X109" s="447"/>
      <c r="Y109" s="447"/>
      <c r="Z109" s="447">
        <f t="shared" si="40"/>
        <v>64</v>
      </c>
      <c r="AA109" s="447"/>
      <c r="AB109" s="447"/>
      <c r="AC109" s="447"/>
      <c r="AD109" s="447"/>
      <c r="AE109" s="409" t="s">
        <v>13028</v>
      </c>
    </row>
    <row r="110" s="400" customFormat="1" ht="50" customHeight="1" spans="1:31">
      <c r="A110" s="365" t="s">
        <v>1641</v>
      </c>
      <c r="B110" s="365" t="s">
        <v>396</v>
      </c>
      <c r="C110" s="365" t="str">
        <f t="shared" si="42"/>
        <v>450017261292104B-S001-NB.WMB缅因猫（邮包盒）32</v>
      </c>
      <c r="D110" s="345">
        <v>4500172612</v>
      </c>
      <c r="E110" s="367" t="s">
        <v>7365</v>
      </c>
      <c r="F110" s="367" t="s">
        <v>6091</v>
      </c>
      <c r="G110" s="345" t="s">
        <v>6092</v>
      </c>
      <c r="H110" s="345">
        <v>32</v>
      </c>
      <c r="I110" s="345">
        <v>0</v>
      </c>
      <c r="J110" s="345">
        <v>32</v>
      </c>
      <c r="K110" s="345">
        <v>1</v>
      </c>
      <c r="L110" s="353">
        <v>45877</v>
      </c>
      <c r="M110" s="387">
        <v>45877</v>
      </c>
      <c r="N110" s="324"/>
      <c r="O110" s="365" t="s">
        <v>369</v>
      </c>
      <c r="P110" s="367"/>
      <c r="Q110" s="367"/>
      <c r="R110" s="367"/>
      <c r="S110" s="367">
        <f t="shared" si="39"/>
        <v>32</v>
      </c>
      <c r="T110" s="367"/>
      <c r="U110" s="345"/>
      <c r="V110" s="345">
        <f t="shared" si="27"/>
        <v>32</v>
      </c>
      <c r="W110" s="447"/>
      <c r="X110" s="447"/>
      <c r="Y110" s="447"/>
      <c r="Z110" s="447">
        <f t="shared" si="40"/>
        <v>32</v>
      </c>
      <c r="AA110" s="447"/>
      <c r="AB110" s="447"/>
      <c r="AC110" s="447"/>
      <c r="AD110" s="447"/>
      <c r="AE110" s="409" t="s">
        <v>13028</v>
      </c>
    </row>
    <row r="111" s="400" customFormat="1" ht="50" customHeight="1" spans="1:31">
      <c r="A111" s="365" t="s">
        <v>1641</v>
      </c>
      <c r="B111" s="365" t="s">
        <v>396</v>
      </c>
      <c r="C111" s="365" t="str">
        <f t="shared" si="42"/>
        <v>450017261292104B-S001-NB.WMB缅因猫（邮包盒）32</v>
      </c>
      <c r="D111" s="345">
        <v>4500172612</v>
      </c>
      <c r="E111" s="367" t="s">
        <v>7367</v>
      </c>
      <c r="F111" s="367" t="s">
        <v>6091</v>
      </c>
      <c r="G111" s="345" t="s">
        <v>6092</v>
      </c>
      <c r="H111" s="345">
        <v>32</v>
      </c>
      <c r="I111" s="345">
        <v>0</v>
      </c>
      <c r="J111" s="345">
        <v>32</v>
      </c>
      <c r="K111" s="345">
        <v>1</v>
      </c>
      <c r="L111" s="353">
        <v>45877</v>
      </c>
      <c r="M111" s="387">
        <v>45877</v>
      </c>
      <c r="N111" s="324"/>
      <c r="O111" s="365" t="s">
        <v>369</v>
      </c>
      <c r="P111" s="367"/>
      <c r="Q111" s="367"/>
      <c r="R111" s="367"/>
      <c r="S111" s="367">
        <f t="shared" si="39"/>
        <v>32</v>
      </c>
      <c r="T111" s="367"/>
      <c r="U111" s="345"/>
      <c r="V111" s="345">
        <f t="shared" si="27"/>
        <v>32</v>
      </c>
      <c r="W111" s="447"/>
      <c r="X111" s="447"/>
      <c r="Y111" s="447"/>
      <c r="Z111" s="447">
        <f t="shared" si="40"/>
        <v>32</v>
      </c>
      <c r="AA111" s="447"/>
      <c r="AB111" s="447"/>
      <c r="AC111" s="447"/>
      <c r="AD111" s="447"/>
      <c r="AE111" s="409" t="s">
        <v>13028</v>
      </c>
    </row>
    <row r="112" s="400" customFormat="1" ht="50" customHeight="1" spans="1:31">
      <c r="A112" s="365" t="s">
        <v>1641</v>
      </c>
      <c r="B112" s="365" t="s">
        <v>396</v>
      </c>
      <c r="C112" s="365" t="str">
        <f t="shared" si="42"/>
        <v>450017261292104B-S001-NB.WMB缅因猫（邮包盒）32</v>
      </c>
      <c r="D112" s="345">
        <v>4500172612</v>
      </c>
      <c r="E112" s="367" t="s">
        <v>7369</v>
      </c>
      <c r="F112" s="367" t="s">
        <v>6091</v>
      </c>
      <c r="G112" s="345" t="s">
        <v>6092</v>
      </c>
      <c r="H112" s="345">
        <v>32</v>
      </c>
      <c r="I112" s="345">
        <v>0</v>
      </c>
      <c r="J112" s="345">
        <v>32</v>
      </c>
      <c r="K112" s="345">
        <v>1</v>
      </c>
      <c r="L112" s="353">
        <v>45877</v>
      </c>
      <c r="M112" s="387">
        <v>45877</v>
      </c>
      <c r="N112" s="324"/>
      <c r="O112" s="365" t="s">
        <v>369</v>
      </c>
      <c r="P112" s="367"/>
      <c r="Q112" s="367"/>
      <c r="R112" s="367"/>
      <c r="S112" s="367">
        <f t="shared" si="39"/>
        <v>32</v>
      </c>
      <c r="T112" s="367"/>
      <c r="U112" s="345"/>
      <c r="V112" s="345">
        <f t="shared" si="27"/>
        <v>32</v>
      </c>
      <c r="W112" s="447"/>
      <c r="X112" s="447"/>
      <c r="Y112" s="447"/>
      <c r="Z112" s="447">
        <f t="shared" si="40"/>
        <v>32</v>
      </c>
      <c r="AA112" s="447"/>
      <c r="AB112" s="447"/>
      <c r="AC112" s="447"/>
      <c r="AD112" s="447"/>
      <c r="AE112" s="409" t="s">
        <v>13028</v>
      </c>
    </row>
    <row r="113" s="400" customFormat="1" ht="50" customHeight="1" spans="1:31">
      <c r="A113" s="365" t="s">
        <v>1641</v>
      </c>
      <c r="B113" s="365" t="s">
        <v>396</v>
      </c>
      <c r="C113" s="365" t="str">
        <f t="shared" si="42"/>
        <v>450017261292104B-S001-NB.WMB缅因猫（邮包盒）32</v>
      </c>
      <c r="D113" s="345">
        <v>4500172612</v>
      </c>
      <c r="E113" s="367" t="s">
        <v>7371</v>
      </c>
      <c r="F113" s="367" t="s">
        <v>6091</v>
      </c>
      <c r="G113" s="345" t="s">
        <v>6092</v>
      </c>
      <c r="H113" s="345">
        <v>32</v>
      </c>
      <c r="I113" s="345">
        <v>0</v>
      </c>
      <c r="J113" s="345">
        <v>32</v>
      </c>
      <c r="K113" s="345">
        <v>1</v>
      </c>
      <c r="L113" s="353">
        <v>45877</v>
      </c>
      <c r="M113" s="387">
        <v>45877</v>
      </c>
      <c r="N113" s="324"/>
      <c r="O113" s="365" t="s">
        <v>369</v>
      </c>
      <c r="P113" s="367"/>
      <c r="Q113" s="367"/>
      <c r="R113" s="367"/>
      <c r="S113" s="367">
        <f t="shared" si="39"/>
        <v>32</v>
      </c>
      <c r="T113" s="367"/>
      <c r="U113" s="345"/>
      <c r="V113" s="345">
        <f t="shared" si="27"/>
        <v>32</v>
      </c>
      <c r="W113" s="447"/>
      <c r="X113" s="447"/>
      <c r="Y113" s="447"/>
      <c r="Z113" s="447">
        <f t="shared" si="40"/>
        <v>32</v>
      </c>
      <c r="AA113" s="447"/>
      <c r="AB113" s="447"/>
      <c r="AC113" s="447"/>
      <c r="AD113" s="447"/>
      <c r="AE113" s="409" t="s">
        <v>13028</v>
      </c>
    </row>
    <row r="114" s="400" customFormat="1" ht="50" customHeight="1" spans="1:31">
      <c r="A114" s="365" t="s">
        <v>4533</v>
      </c>
      <c r="B114" s="365" t="s">
        <v>738</v>
      </c>
      <c r="C114" s="365" t="str">
        <f t="shared" si="42"/>
        <v>450017075092104TQ1-S001长尾巴猫504</v>
      </c>
      <c r="D114" s="345">
        <v>4500170750</v>
      </c>
      <c r="E114" s="367"/>
      <c r="F114" s="367" t="s">
        <v>6124</v>
      </c>
      <c r="G114" s="345" t="s">
        <v>6063</v>
      </c>
      <c r="H114" s="345">
        <v>504</v>
      </c>
      <c r="I114" s="345">
        <v>0</v>
      </c>
      <c r="J114" s="345">
        <v>12</v>
      </c>
      <c r="K114" s="345">
        <f t="shared" ref="K114:K145" si="43">H114/J114</f>
        <v>42</v>
      </c>
      <c r="L114" s="353">
        <v>45877</v>
      </c>
      <c r="M114" s="451">
        <v>45878</v>
      </c>
      <c r="N114" s="324"/>
      <c r="O114" s="365" t="s">
        <v>1257</v>
      </c>
      <c r="P114" s="367"/>
      <c r="Q114" s="367"/>
      <c r="R114" s="367"/>
      <c r="S114" s="367">
        <f t="shared" si="39"/>
        <v>504</v>
      </c>
      <c r="T114" s="367"/>
      <c r="U114" s="345"/>
      <c r="V114" s="345">
        <f t="shared" si="27"/>
        <v>504</v>
      </c>
      <c r="W114" s="447"/>
      <c r="X114" s="447"/>
      <c r="Y114" s="447">
        <f t="shared" ref="Y114:Y123" si="44">H114</f>
        <v>504</v>
      </c>
      <c r="Z114" s="447"/>
      <c r="AA114" s="447"/>
      <c r="AB114" s="447">
        <f>H114/6</f>
        <v>84</v>
      </c>
      <c r="AC114" s="447"/>
      <c r="AD114" s="447"/>
      <c r="AE114" s="445" t="s">
        <v>4196</v>
      </c>
    </row>
    <row r="115" s="400" customFormat="1" ht="50" customHeight="1" spans="1:31">
      <c r="A115" s="365" t="s">
        <v>1617</v>
      </c>
      <c r="B115" s="365" t="s">
        <v>91</v>
      </c>
      <c r="C115" s="365" t="str">
        <f t="shared" si="42"/>
        <v>450017177892104-S001长尾巴猫1200</v>
      </c>
      <c r="D115" s="366">
        <v>4500171778</v>
      </c>
      <c r="E115" s="345">
        <v>70072654</v>
      </c>
      <c r="F115" s="367" t="s">
        <v>3520</v>
      </c>
      <c r="G115" s="345" t="s">
        <v>6063</v>
      </c>
      <c r="H115" s="345">
        <v>1200</v>
      </c>
      <c r="I115" s="345">
        <v>0</v>
      </c>
      <c r="J115" s="345">
        <v>24</v>
      </c>
      <c r="K115" s="345">
        <f t="shared" si="43"/>
        <v>50</v>
      </c>
      <c r="L115" s="353">
        <v>45874</v>
      </c>
      <c r="M115" s="451">
        <v>45880</v>
      </c>
      <c r="N115" s="324"/>
      <c r="O115" s="365" t="s">
        <v>393</v>
      </c>
      <c r="P115" s="367"/>
      <c r="Q115" s="367">
        <f>H115</f>
        <v>1200</v>
      </c>
      <c r="R115" s="367"/>
      <c r="S115" s="367"/>
      <c r="T115" s="367"/>
      <c r="U115" s="345"/>
      <c r="V115" s="345">
        <f t="shared" si="27"/>
        <v>1200</v>
      </c>
      <c r="W115" s="447"/>
      <c r="X115" s="447"/>
      <c r="Y115" s="447">
        <f t="shared" si="44"/>
        <v>1200</v>
      </c>
      <c r="Z115" s="447"/>
      <c r="AA115" s="447"/>
      <c r="AB115" s="447"/>
      <c r="AC115" s="447"/>
      <c r="AD115" s="447"/>
      <c r="AE115" s="445" t="s">
        <v>4196</v>
      </c>
    </row>
    <row r="116" s="400" customFormat="1" ht="50" customHeight="1" spans="1:31">
      <c r="A116" s="365" t="s">
        <v>2285</v>
      </c>
      <c r="B116" s="365" t="s">
        <v>351</v>
      </c>
      <c r="C116" s="365" t="str">
        <f t="shared" si="42"/>
        <v>450016445792104TQ2-S002长尾巴猫（新档）6858</v>
      </c>
      <c r="D116" s="345">
        <v>4500164457</v>
      </c>
      <c r="E116" s="367" t="s">
        <v>3330</v>
      </c>
      <c r="F116" s="367" t="s">
        <v>6254</v>
      </c>
      <c r="G116" s="345" t="s">
        <v>7308</v>
      </c>
      <c r="H116" s="345">
        <v>6858</v>
      </c>
      <c r="I116" s="345">
        <v>0</v>
      </c>
      <c r="J116" s="345">
        <v>6</v>
      </c>
      <c r="K116" s="345">
        <f t="shared" si="43"/>
        <v>1143</v>
      </c>
      <c r="L116" s="353">
        <v>45877</v>
      </c>
      <c r="M116" s="451">
        <v>45880</v>
      </c>
      <c r="N116" s="324"/>
      <c r="O116" s="365" t="s">
        <v>1199</v>
      </c>
      <c r="P116" s="367"/>
      <c r="Q116" s="367"/>
      <c r="R116" s="367"/>
      <c r="S116" s="367"/>
      <c r="T116" s="367">
        <f>H116</f>
        <v>6858</v>
      </c>
      <c r="U116" s="345"/>
      <c r="V116" s="345">
        <f t="shared" si="27"/>
        <v>6858</v>
      </c>
      <c r="W116" s="447"/>
      <c r="X116" s="447"/>
      <c r="Y116" s="447">
        <f t="shared" si="44"/>
        <v>6858</v>
      </c>
      <c r="Z116" s="447"/>
      <c r="AA116" s="447"/>
      <c r="AB116" s="447"/>
      <c r="AC116" s="447">
        <f t="shared" ref="AC116:AC119" si="45">H116/6</f>
        <v>1143</v>
      </c>
      <c r="AD116" s="447"/>
      <c r="AE116" s="409" t="s">
        <v>13029</v>
      </c>
    </row>
    <row r="117" s="400" customFormat="1" ht="50" customHeight="1" spans="1:31">
      <c r="A117" s="365" t="s">
        <v>2285</v>
      </c>
      <c r="B117" s="365" t="s">
        <v>351</v>
      </c>
      <c r="C117" s="365" t="str">
        <f t="shared" si="42"/>
        <v>450016445792104TQ2-S002长尾巴猫（新档）2670</v>
      </c>
      <c r="D117" s="345">
        <v>4500164457</v>
      </c>
      <c r="E117" s="367" t="s">
        <v>3336</v>
      </c>
      <c r="F117" s="367" t="s">
        <v>6254</v>
      </c>
      <c r="G117" s="345" t="s">
        <v>7308</v>
      </c>
      <c r="H117" s="345">
        <v>2670</v>
      </c>
      <c r="I117" s="345">
        <v>0</v>
      </c>
      <c r="J117" s="345">
        <v>6</v>
      </c>
      <c r="K117" s="345">
        <f t="shared" si="43"/>
        <v>445</v>
      </c>
      <c r="L117" s="353">
        <v>45877</v>
      </c>
      <c r="M117" s="451">
        <v>45880</v>
      </c>
      <c r="N117" s="324"/>
      <c r="O117" s="365" t="s">
        <v>1199</v>
      </c>
      <c r="P117" s="367"/>
      <c r="Q117" s="367"/>
      <c r="R117" s="367"/>
      <c r="S117" s="367"/>
      <c r="T117" s="367">
        <f>H117</f>
        <v>2670</v>
      </c>
      <c r="U117" s="345"/>
      <c r="V117" s="345">
        <f t="shared" si="27"/>
        <v>2670</v>
      </c>
      <c r="W117" s="447"/>
      <c r="X117" s="447"/>
      <c r="Y117" s="447">
        <f t="shared" si="44"/>
        <v>2670</v>
      </c>
      <c r="Z117" s="447"/>
      <c r="AA117" s="447"/>
      <c r="AB117" s="447"/>
      <c r="AC117" s="447">
        <f t="shared" si="45"/>
        <v>445</v>
      </c>
      <c r="AD117" s="447"/>
      <c r="AE117" s="409" t="s">
        <v>13029</v>
      </c>
    </row>
    <row r="118" s="400" customFormat="1" ht="50" customHeight="1" spans="1:31">
      <c r="A118" s="365" t="s">
        <v>7387</v>
      </c>
      <c r="B118" s="365" t="s">
        <v>2756</v>
      </c>
      <c r="C118" s="365" t="str">
        <f t="shared" si="42"/>
        <v>450017118992104TQ1-S001长尾巴猫1800</v>
      </c>
      <c r="D118" s="345">
        <v>4500171189</v>
      </c>
      <c r="E118" s="367" t="s">
        <v>7388</v>
      </c>
      <c r="F118" s="367" t="s">
        <v>6124</v>
      </c>
      <c r="G118" s="345" t="s">
        <v>6063</v>
      </c>
      <c r="H118" s="345">
        <v>1800</v>
      </c>
      <c r="I118" s="345">
        <v>0</v>
      </c>
      <c r="J118" s="345">
        <v>12</v>
      </c>
      <c r="K118" s="345">
        <f t="shared" si="43"/>
        <v>150</v>
      </c>
      <c r="L118" s="353">
        <v>45880</v>
      </c>
      <c r="M118" s="387">
        <v>45880</v>
      </c>
      <c r="N118" s="324"/>
      <c r="O118" s="365" t="s">
        <v>578</v>
      </c>
      <c r="P118" s="367"/>
      <c r="Q118" s="367"/>
      <c r="R118" s="367"/>
      <c r="S118" s="367">
        <f t="shared" ref="S118:S123" si="46">H118</f>
        <v>1800</v>
      </c>
      <c r="T118" s="367"/>
      <c r="U118" s="345"/>
      <c r="V118" s="345">
        <f t="shared" si="27"/>
        <v>1800</v>
      </c>
      <c r="W118" s="447"/>
      <c r="X118" s="447"/>
      <c r="Y118" s="447">
        <f t="shared" si="44"/>
        <v>1800</v>
      </c>
      <c r="Z118" s="447"/>
      <c r="AA118" s="447"/>
      <c r="AB118" s="447">
        <f>H118/6</f>
        <v>300</v>
      </c>
      <c r="AC118" s="447"/>
      <c r="AD118" s="447"/>
      <c r="AE118" s="445" t="s">
        <v>4196</v>
      </c>
    </row>
    <row r="119" s="400" customFormat="1" ht="50" customHeight="1" spans="1:31">
      <c r="A119" s="365" t="s">
        <v>7060</v>
      </c>
      <c r="B119" s="365" t="s">
        <v>91</v>
      </c>
      <c r="C119" s="365" t="str">
        <f t="shared" si="42"/>
        <v>450016918492104TQ2-S001长尾巴猫336</v>
      </c>
      <c r="D119" s="345">
        <v>4500169184</v>
      </c>
      <c r="E119" s="367" t="s">
        <v>7393</v>
      </c>
      <c r="F119" s="367" t="s">
        <v>6195</v>
      </c>
      <c r="G119" s="345" t="s">
        <v>6063</v>
      </c>
      <c r="H119" s="345">
        <v>336</v>
      </c>
      <c r="I119" s="345">
        <v>0</v>
      </c>
      <c r="J119" s="345">
        <v>12</v>
      </c>
      <c r="K119" s="345">
        <f t="shared" si="43"/>
        <v>28</v>
      </c>
      <c r="L119" s="353">
        <v>45881</v>
      </c>
      <c r="M119" s="387">
        <v>45881</v>
      </c>
      <c r="N119" s="324"/>
      <c r="O119" s="365" t="s">
        <v>7398</v>
      </c>
      <c r="P119" s="367"/>
      <c r="Q119" s="367">
        <f>H119</f>
        <v>336</v>
      </c>
      <c r="R119" s="367"/>
      <c r="S119" s="367"/>
      <c r="T119" s="367"/>
      <c r="U119" s="345"/>
      <c r="V119" s="345">
        <f t="shared" si="27"/>
        <v>336</v>
      </c>
      <c r="W119" s="447"/>
      <c r="X119" s="447"/>
      <c r="Y119" s="447">
        <f t="shared" si="44"/>
        <v>336</v>
      </c>
      <c r="Z119" s="447"/>
      <c r="AA119" s="447"/>
      <c r="AB119" s="447"/>
      <c r="AC119" s="447">
        <f t="shared" si="45"/>
        <v>56</v>
      </c>
      <c r="AD119" s="447"/>
      <c r="AE119" s="445" t="s">
        <v>4196</v>
      </c>
    </row>
    <row r="120" s="400" customFormat="1" ht="50" customHeight="1" spans="1:31">
      <c r="A120" s="365" t="s">
        <v>2171</v>
      </c>
      <c r="B120" s="365" t="s">
        <v>471</v>
      </c>
      <c r="C120" s="365" t="str">
        <f t="shared" si="42"/>
        <v>450017117692104H-S001森林猫（邮包盒新稿）480</v>
      </c>
      <c r="D120" s="345">
        <v>4500171176</v>
      </c>
      <c r="E120" s="367" t="s">
        <v>7373</v>
      </c>
      <c r="F120" s="367" t="s">
        <v>6281</v>
      </c>
      <c r="G120" s="367" t="s">
        <v>6292</v>
      </c>
      <c r="H120" s="345">
        <v>480</v>
      </c>
      <c r="I120" s="345">
        <v>1</v>
      </c>
      <c r="J120" s="345">
        <v>32</v>
      </c>
      <c r="K120" s="345">
        <f t="shared" si="43"/>
        <v>15</v>
      </c>
      <c r="L120" s="353">
        <v>45876</v>
      </c>
      <c r="M120" s="451">
        <v>45881</v>
      </c>
      <c r="N120" s="324"/>
      <c r="O120" s="365" t="s">
        <v>380</v>
      </c>
      <c r="P120" s="367"/>
      <c r="Q120" s="367"/>
      <c r="R120" s="367"/>
      <c r="S120" s="367">
        <f t="shared" si="46"/>
        <v>480</v>
      </c>
      <c r="T120" s="367"/>
      <c r="U120" s="345"/>
      <c r="V120" s="345">
        <f t="shared" si="27"/>
        <v>480</v>
      </c>
      <c r="W120" s="447"/>
      <c r="X120" s="447"/>
      <c r="Y120" s="447">
        <f t="shared" si="44"/>
        <v>480</v>
      </c>
      <c r="Z120" s="447"/>
      <c r="AA120" s="447"/>
      <c r="AB120" s="447"/>
      <c r="AC120" s="447"/>
      <c r="AD120" s="447"/>
      <c r="AE120" s="445" t="s">
        <v>4196</v>
      </c>
    </row>
    <row r="121" s="400" customFormat="1" ht="50" customHeight="1" spans="1:31">
      <c r="A121" s="365" t="s">
        <v>2171</v>
      </c>
      <c r="B121" s="365" t="s">
        <v>471</v>
      </c>
      <c r="C121" s="365" t="str">
        <f t="shared" si="42"/>
        <v>450017117692104G-S001褴褛猫（邮包盒）2880</v>
      </c>
      <c r="D121" s="345">
        <v>4500171176</v>
      </c>
      <c r="E121" s="367" t="s">
        <v>7373</v>
      </c>
      <c r="F121" s="367" t="s">
        <v>6223</v>
      </c>
      <c r="G121" s="367" t="s">
        <v>6100</v>
      </c>
      <c r="H121" s="345">
        <v>2880</v>
      </c>
      <c r="I121" s="345">
        <v>1</v>
      </c>
      <c r="J121" s="345">
        <v>32</v>
      </c>
      <c r="K121" s="345">
        <f t="shared" si="43"/>
        <v>90</v>
      </c>
      <c r="L121" s="353">
        <v>45876</v>
      </c>
      <c r="M121" s="451">
        <v>45881</v>
      </c>
      <c r="N121" s="324"/>
      <c r="O121" s="365" t="s">
        <v>380</v>
      </c>
      <c r="P121" s="367"/>
      <c r="Q121" s="367"/>
      <c r="R121" s="367"/>
      <c r="S121" s="367">
        <f t="shared" si="46"/>
        <v>2880</v>
      </c>
      <c r="T121" s="367"/>
      <c r="U121" s="345"/>
      <c r="V121" s="345">
        <f t="shared" si="27"/>
        <v>2880</v>
      </c>
      <c r="W121" s="447"/>
      <c r="X121" s="447"/>
      <c r="Y121" s="447">
        <f t="shared" si="44"/>
        <v>2880</v>
      </c>
      <c r="Z121" s="447"/>
      <c r="AA121" s="447"/>
      <c r="AB121" s="447"/>
      <c r="AC121" s="447"/>
      <c r="AD121" s="447"/>
      <c r="AE121" s="445" t="s">
        <v>4196</v>
      </c>
    </row>
    <row r="122" s="400" customFormat="1" ht="50" customHeight="1" spans="1:31">
      <c r="A122" s="365" t="s">
        <v>2171</v>
      </c>
      <c r="B122" s="365" t="s">
        <v>471</v>
      </c>
      <c r="C122" s="365" t="str">
        <f t="shared" si="42"/>
        <v>450017117692104H-S001森林猫（邮包盒新稿）480</v>
      </c>
      <c r="D122" s="345">
        <v>4500171176</v>
      </c>
      <c r="E122" s="367" t="s">
        <v>7380</v>
      </c>
      <c r="F122" s="367" t="s">
        <v>6281</v>
      </c>
      <c r="G122" s="367" t="s">
        <v>6292</v>
      </c>
      <c r="H122" s="345">
        <v>480</v>
      </c>
      <c r="I122" s="345">
        <v>1</v>
      </c>
      <c r="J122" s="345">
        <v>32</v>
      </c>
      <c r="K122" s="345">
        <f t="shared" si="43"/>
        <v>15</v>
      </c>
      <c r="L122" s="353">
        <v>45876</v>
      </c>
      <c r="M122" s="451">
        <v>45881</v>
      </c>
      <c r="N122" s="324"/>
      <c r="O122" s="365" t="s">
        <v>380</v>
      </c>
      <c r="P122" s="367"/>
      <c r="Q122" s="367"/>
      <c r="R122" s="367"/>
      <c r="S122" s="367">
        <f t="shared" si="46"/>
        <v>480</v>
      </c>
      <c r="T122" s="367"/>
      <c r="U122" s="345"/>
      <c r="V122" s="345">
        <f t="shared" si="27"/>
        <v>480</v>
      </c>
      <c r="W122" s="447"/>
      <c r="X122" s="447"/>
      <c r="Y122" s="447">
        <f t="shared" si="44"/>
        <v>480</v>
      </c>
      <c r="Z122" s="447"/>
      <c r="AA122" s="447"/>
      <c r="AB122" s="447"/>
      <c r="AC122" s="447"/>
      <c r="AD122" s="447"/>
      <c r="AE122" s="445" t="s">
        <v>4196</v>
      </c>
    </row>
    <row r="123" s="400" customFormat="1" ht="50" customHeight="1" spans="1:31">
      <c r="A123" s="365" t="s">
        <v>2171</v>
      </c>
      <c r="B123" s="365" t="s">
        <v>471</v>
      </c>
      <c r="C123" s="365" t="str">
        <f t="shared" si="42"/>
        <v>450017117692104G-S001褴褛猫（邮包盒）480</v>
      </c>
      <c r="D123" s="345">
        <v>4500171176</v>
      </c>
      <c r="E123" s="367" t="s">
        <v>7380</v>
      </c>
      <c r="F123" s="367" t="s">
        <v>6223</v>
      </c>
      <c r="G123" s="367" t="s">
        <v>6100</v>
      </c>
      <c r="H123" s="345">
        <v>480</v>
      </c>
      <c r="I123" s="345">
        <v>1</v>
      </c>
      <c r="J123" s="345">
        <v>32</v>
      </c>
      <c r="K123" s="345">
        <f t="shared" si="43"/>
        <v>15</v>
      </c>
      <c r="L123" s="353">
        <v>45876</v>
      </c>
      <c r="M123" s="451">
        <v>45881</v>
      </c>
      <c r="N123" s="324"/>
      <c r="O123" s="365" t="s">
        <v>380</v>
      </c>
      <c r="P123" s="367"/>
      <c r="Q123" s="367"/>
      <c r="R123" s="367"/>
      <c r="S123" s="367">
        <f t="shared" si="46"/>
        <v>480</v>
      </c>
      <c r="T123" s="367"/>
      <c r="U123" s="345"/>
      <c r="V123" s="345">
        <f t="shared" si="27"/>
        <v>480</v>
      </c>
      <c r="W123" s="447"/>
      <c r="X123" s="447"/>
      <c r="Y123" s="447">
        <f t="shared" si="44"/>
        <v>480</v>
      </c>
      <c r="Z123" s="447"/>
      <c r="AA123" s="447"/>
      <c r="AB123" s="447"/>
      <c r="AC123" s="447"/>
      <c r="AD123" s="447"/>
      <c r="AE123" s="445" t="s">
        <v>4196</v>
      </c>
    </row>
    <row r="124" s="400" customFormat="1" ht="50" customHeight="1" spans="1:31">
      <c r="A124" s="365" t="s">
        <v>2872</v>
      </c>
      <c r="B124" s="365" t="s">
        <v>471</v>
      </c>
      <c r="C124" s="365" t="str">
        <f t="shared" si="42"/>
        <v>450017249992104TQ1-S001-NB长尾巴猫1416</v>
      </c>
      <c r="D124" s="345">
        <v>4500172499</v>
      </c>
      <c r="E124" s="367"/>
      <c r="F124" s="367" t="s">
        <v>6108</v>
      </c>
      <c r="G124" s="345" t="s">
        <v>6063</v>
      </c>
      <c r="H124" s="345">
        <v>1416</v>
      </c>
      <c r="I124" s="345">
        <v>0</v>
      </c>
      <c r="J124" s="345">
        <v>12</v>
      </c>
      <c r="K124" s="345">
        <f t="shared" si="43"/>
        <v>118</v>
      </c>
      <c r="L124" s="353">
        <v>45883</v>
      </c>
      <c r="M124" s="387">
        <v>45883</v>
      </c>
      <c r="N124" s="324"/>
      <c r="O124" s="365" t="s">
        <v>4573</v>
      </c>
      <c r="P124" s="367"/>
      <c r="Q124" s="367">
        <f t="shared" ref="Q124:Q131" si="47">H124</f>
        <v>1416</v>
      </c>
      <c r="R124" s="367"/>
      <c r="S124" s="367"/>
      <c r="T124" s="367"/>
      <c r="U124" s="345"/>
      <c r="V124" s="345">
        <f t="shared" si="27"/>
        <v>1416</v>
      </c>
      <c r="W124" s="447"/>
      <c r="X124" s="447"/>
      <c r="Y124" s="447"/>
      <c r="Z124" s="447">
        <f>H124</f>
        <v>1416</v>
      </c>
      <c r="AA124" s="447"/>
      <c r="AB124" s="458">
        <f t="shared" ref="AB124:AB129" si="48">H124/6</f>
        <v>236</v>
      </c>
      <c r="AC124" s="447"/>
      <c r="AD124" s="447"/>
      <c r="AE124" s="409" t="s">
        <v>13028</v>
      </c>
    </row>
    <row r="125" s="400" customFormat="1" ht="50" customHeight="1" spans="1:31">
      <c r="A125" s="365" t="s">
        <v>4477</v>
      </c>
      <c r="B125" s="365" t="s">
        <v>2813</v>
      </c>
      <c r="C125" s="365" t="str">
        <f t="shared" si="42"/>
        <v>450017133292104TQ1-S001长尾巴猫1080</v>
      </c>
      <c r="D125" s="345">
        <v>4500171332</v>
      </c>
      <c r="E125" s="367"/>
      <c r="F125" s="367" t="s">
        <v>6124</v>
      </c>
      <c r="G125" s="345" t="s">
        <v>6063</v>
      </c>
      <c r="H125" s="345">
        <v>1080</v>
      </c>
      <c r="I125" s="345">
        <v>0</v>
      </c>
      <c r="J125" s="345">
        <v>12</v>
      </c>
      <c r="K125" s="345">
        <f t="shared" si="43"/>
        <v>90</v>
      </c>
      <c r="L125" s="353">
        <v>45876</v>
      </c>
      <c r="M125" s="451">
        <v>45883</v>
      </c>
      <c r="N125" s="324"/>
      <c r="O125" s="365" t="s">
        <v>4481</v>
      </c>
      <c r="P125" s="367"/>
      <c r="Q125" s="367"/>
      <c r="R125" s="367"/>
      <c r="S125" s="367">
        <f>H125</f>
        <v>1080</v>
      </c>
      <c r="T125" s="367"/>
      <c r="U125" s="345"/>
      <c r="V125" s="345">
        <f t="shared" si="27"/>
        <v>1080</v>
      </c>
      <c r="W125" s="447"/>
      <c r="X125" s="447"/>
      <c r="Y125" s="447">
        <f t="shared" ref="Y125:Y145" si="49">H125</f>
        <v>1080</v>
      </c>
      <c r="Z125" s="447"/>
      <c r="AA125" s="447"/>
      <c r="AB125" s="447">
        <f t="shared" si="48"/>
        <v>180</v>
      </c>
      <c r="AC125" s="447"/>
      <c r="AD125" s="447"/>
      <c r="AE125" s="445" t="s">
        <v>4196</v>
      </c>
    </row>
    <row r="126" s="400" customFormat="1" ht="50" customHeight="1" spans="1:31">
      <c r="A126" s="365" t="s">
        <v>2949</v>
      </c>
      <c r="B126" s="365" t="s">
        <v>341</v>
      </c>
      <c r="C126" s="365" t="str">
        <f t="shared" si="42"/>
        <v>450016059892104TQ4-S001长尾巴猫2576</v>
      </c>
      <c r="D126" s="345">
        <v>4500160598</v>
      </c>
      <c r="E126" s="367">
        <v>14662229</v>
      </c>
      <c r="F126" s="367" t="s">
        <v>6122</v>
      </c>
      <c r="G126" s="345" t="s">
        <v>6063</v>
      </c>
      <c r="H126" s="345">
        <v>2576</v>
      </c>
      <c r="I126" s="345">
        <v>4</v>
      </c>
      <c r="J126" s="345">
        <v>16</v>
      </c>
      <c r="K126" s="345">
        <f t="shared" si="43"/>
        <v>161</v>
      </c>
      <c r="L126" s="353">
        <v>45877</v>
      </c>
      <c r="M126" s="451">
        <v>45884</v>
      </c>
      <c r="N126" s="324" t="s">
        <v>4663</v>
      </c>
      <c r="O126" s="365" t="s">
        <v>1459</v>
      </c>
      <c r="P126" s="367"/>
      <c r="Q126" s="367">
        <f t="shared" si="47"/>
        <v>2576</v>
      </c>
      <c r="R126" s="367"/>
      <c r="S126" s="367"/>
      <c r="T126" s="367"/>
      <c r="U126" s="345"/>
      <c r="V126" s="345">
        <f t="shared" si="27"/>
        <v>2576</v>
      </c>
      <c r="W126" s="447"/>
      <c r="X126" s="447"/>
      <c r="Y126" s="447">
        <f t="shared" si="49"/>
        <v>2576</v>
      </c>
      <c r="Z126" s="447"/>
      <c r="AA126" s="447"/>
      <c r="AB126" s="447"/>
      <c r="AC126" s="447"/>
      <c r="AD126" s="447"/>
      <c r="AE126" s="445" t="s">
        <v>4196</v>
      </c>
    </row>
    <row r="127" s="400" customFormat="1" ht="50" customHeight="1" spans="1:31">
      <c r="A127" s="365" t="s">
        <v>1617</v>
      </c>
      <c r="B127" s="365" t="s">
        <v>91</v>
      </c>
      <c r="C127" s="365" t="str">
        <f t="shared" si="42"/>
        <v>450017178192104-S001长尾巴猫1200</v>
      </c>
      <c r="D127" s="345">
        <v>4500171781</v>
      </c>
      <c r="E127" s="367" t="s">
        <v>4565</v>
      </c>
      <c r="F127" s="367" t="s">
        <v>3520</v>
      </c>
      <c r="G127" s="345" t="s">
        <v>6063</v>
      </c>
      <c r="H127" s="345">
        <v>1200</v>
      </c>
      <c r="I127" s="345">
        <v>0</v>
      </c>
      <c r="J127" s="345">
        <v>24</v>
      </c>
      <c r="K127" s="345">
        <f t="shared" si="43"/>
        <v>50</v>
      </c>
      <c r="L127" s="353">
        <v>45882</v>
      </c>
      <c r="M127" s="451">
        <v>45887</v>
      </c>
      <c r="N127" s="324"/>
      <c r="O127" s="365" t="s">
        <v>393</v>
      </c>
      <c r="P127" s="367"/>
      <c r="Q127" s="367">
        <f t="shared" si="47"/>
        <v>1200</v>
      </c>
      <c r="R127" s="367"/>
      <c r="S127" s="367"/>
      <c r="T127" s="367"/>
      <c r="U127" s="345"/>
      <c r="V127" s="345">
        <f t="shared" si="27"/>
        <v>1200</v>
      </c>
      <c r="W127" s="447"/>
      <c r="X127" s="447"/>
      <c r="Y127" s="447">
        <f t="shared" si="49"/>
        <v>1200</v>
      </c>
      <c r="Z127" s="447"/>
      <c r="AA127" s="447"/>
      <c r="AB127" s="447"/>
      <c r="AC127" s="447"/>
      <c r="AD127" s="447"/>
      <c r="AE127" s="445" t="s">
        <v>4196</v>
      </c>
    </row>
    <row r="128" s="400" customFormat="1" ht="50" customHeight="1" spans="1:31">
      <c r="A128" s="365" t="s">
        <v>407</v>
      </c>
      <c r="B128" s="365" t="s">
        <v>91</v>
      </c>
      <c r="C128" s="365" t="str">
        <f t="shared" si="42"/>
        <v>450017222492104-S001长尾巴猫4008</v>
      </c>
      <c r="D128" s="345">
        <v>4500172224</v>
      </c>
      <c r="E128" s="367">
        <v>60235989</v>
      </c>
      <c r="F128" s="367" t="s">
        <v>3520</v>
      </c>
      <c r="G128" s="345" t="s">
        <v>6063</v>
      </c>
      <c r="H128" s="345">
        <v>4008</v>
      </c>
      <c r="I128" s="345">
        <v>0</v>
      </c>
      <c r="J128" s="345">
        <v>24</v>
      </c>
      <c r="K128" s="345">
        <f t="shared" si="43"/>
        <v>167</v>
      </c>
      <c r="L128" s="353">
        <v>45883</v>
      </c>
      <c r="M128" s="451">
        <v>45888</v>
      </c>
      <c r="N128" s="324"/>
      <c r="O128" s="365" t="s">
        <v>393</v>
      </c>
      <c r="P128" s="367"/>
      <c r="Q128" s="367">
        <f t="shared" si="47"/>
        <v>4008</v>
      </c>
      <c r="R128" s="367"/>
      <c r="S128" s="367"/>
      <c r="T128" s="367"/>
      <c r="U128" s="345"/>
      <c r="V128" s="345">
        <f t="shared" si="27"/>
        <v>4008</v>
      </c>
      <c r="W128" s="447"/>
      <c r="X128" s="447"/>
      <c r="Y128" s="447">
        <f t="shared" si="49"/>
        <v>4008</v>
      </c>
      <c r="Z128" s="447"/>
      <c r="AA128" s="447"/>
      <c r="AB128" s="447"/>
      <c r="AC128" s="447"/>
      <c r="AD128" s="447"/>
      <c r="AE128" s="445" t="s">
        <v>4196</v>
      </c>
    </row>
    <row r="129" s="400" customFormat="1" ht="50" customHeight="1" spans="1:31">
      <c r="A129" s="365" t="s">
        <v>3118</v>
      </c>
      <c r="B129" s="365" t="s">
        <v>506</v>
      </c>
      <c r="C129" s="365" t="str">
        <f t="shared" si="42"/>
        <v>450017266992104TQ1-S002长尾巴猫1200</v>
      </c>
      <c r="D129" s="366">
        <v>4500172669</v>
      </c>
      <c r="E129" s="367">
        <v>84443</v>
      </c>
      <c r="F129" s="367" t="s">
        <v>6186</v>
      </c>
      <c r="G129" s="345" t="s">
        <v>6063</v>
      </c>
      <c r="H129" s="345">
        <v>1200</v>
      </c>
      <c r="I129" s="345">
        <v>0</v>
      </c>
      <c r="J129" s="345">
        <v>6</v>
      </c>
      <c r="K129" s="345">
        <f t="shared" si="43"/>
        <v>200</v>
      </c>
      <c r="L129" s="353">
        <v>45890</v>
      </c>
      <c r="M129" s="387">
        <v>45890</v>
      </c>
      <c r="N129" s="324"/>
      <c r="O129" s="365" t="s">
        <v>448</v>
      </c>
      <c r="P129" s="367"/>
      <c r="Q129" s="367">
        <f t="shared" si="47"/>
        <v>1200</v>
      </c>
      <c r="R129" s="367"/>
      <c r="S129" s="367"/>
      <c r="T129" s="367"/>
      <c r="U129" s="345"/>
      <c r="V129" s="345">
        <f t="shared" ref="V129:V145" si="50">H129</f>
        <v>1200</v>
      </c>
      <c r="W129" s="447"/>
      <c r="X129" s="447"/>
      <c r="Y129" s="447">
        <f t="shared" si="49"/>
        <v>1200</v>
      </c>
      <c r="Z129" s="447"/>
      <c r="AA129" s="447"/>
      <c r="AB129" s="447">
        <f t="shared" si="48"/>
        <v>200</v>
      </c>
      <c r="AC129" s="447"/>
      <c r="AD129" s="447"/>
      <c r="AE129" s="445" t="s">
        <v>4196</v>
      </c>
    </row>
    <row r="130" s="400" customFormat="1" ht="50" customHeight="1" spans="1:31">
      <c r="A130" s="365" t="s">
        <v>1617</v>
      </c>
      <c r="B130" s="365" t="s">
        <v>91</v>
      </c>
      <c r="C130" s="365" t="str">
        <f t="shared" si="42"/>
        <v>450017178392104-S001长尾巴猫1200</v>
      </c>
      <c r="D130" s="345">
        <v>4500171783</v>
      </c>
      <c r="E130" s="367" t="s">
        <v>4613</v>
      </c>
      <c r="F130" s="367" t="s">
        <v>3520</v>
      </c>
      <c r="G130" s="345" t="s">
        <v>6063</v>
      </c>
      <c r="H130" s="345">
        <v>1200</v>
      </c>
      <c r="I130" s="345">
        <v>0</v>
      </c>
      <c r="J130" s="345">
        <v>24</v>
      </c>
      <c r="K130" s="345">
        <f t="shared" si="43"/>
        <v>50</v>
      </c>
      <c r="L130" s="353">
        <v>45889</v>
      </c>
      <c r="M130" s="451">
        <v>45891</v>
      </c>
      <c r="N130" s="324"/>
      <c r="O130" s="365" t="s">
        <v>393</v>
      </c>
      <c r="P130" s="367"/>
      <c r="Q130" s="367">
        <f t="shared" si="47"/>
        <v>1200</v>
      </c>
      <c r="R130" s="367"/>
      <c r="S130" s="367"/>
      <c r="T130" s="367"/>
      <c r="U130" s="345"/>
      <c r="V130" s="345">
        <f t="shared" si="50"/>
        <v>1200</v>
      </c>
      <c r="W130" s="447"/>
      <c r="X130" s="447"/>
      <c r="Y130" s="447">
        <f t="shared" si="49"/>
        <v>1200</v>
      </c>
      <c r="Z130" s="447"/>
      <c r="AA130" s="447"/>
      <c r="AB130" s="447" t="s">
        <v>4337</v>
      </c>
      <c r="AC130" s="447"/>
      <c r="AD130" s="447"/>
      <c r="AE130" s="445" t="s">
        <v>4196</v>
      </c>
    </row>
    <row r="131" s="400" customFormat="1" ht="50" customHeight="1" spans="1:31">
      <c r="A131" s="365" t="s">
        <v>4198</v>
      </c>
      <c r="B131" s="365" t="s">
        <v>341</v>
      </c>
      <c r="C131" s="365" t="str">
        <f t="shared" si="42"/>
        <v>450016451292104TQ4-S003长尾巴猫5500</v>
      </c>
      <c r="D131" s="345">
        <v>4500164512</v>
      </c>
      <c r="E131" s="367" t="s">
        <v>4653</v>
      </c>
      <c r="F131" s="367" t="s">
        <v>6298</v>
      </c>
      <c r="G131" s="345" t="s">
        <v>6063</v>
      </c>
      <c r="H131" s="345">
        <v>5500</v>
      </c>
      <c r="I131" s="345">
        <v>0</v>
      </c>
      <c r="J131" s="345">
        <v>4</v>
      </c>
      <c r="K131" s="345">
        <f t="shared" si="43"/>
        <v>1375</v>
      </c>
      <c r="L131" s="353">
        <v>45890</v>
      </c>
      <c r="M131" s="451">
        <v>45891</v>
      </c>
      <c r="N131" s="324"/>
      <c r="O131" s="365" t="s">
        <v>1245</v>
      </c>
      <c r="P131" s="367"/>
      <c r="Q131" s="367">
        <f t="shared" si="47"/>
        <v>5500</v>
      </c>
      <c r="R131" s="367"/>
      <c r="S131" s="367"/>
      <c r="T131" s="367"/>
      <c r="U131" s="345"/>
      <c r="V131" s="345">
        <f t="shared" si="50"/>
        <v>5500</v>
      </c>
      <c r="W131" s="447"/>
      <c r="X131" s="447"/>
      <c r="Y131" s="447">
        <f t="shared" si="49"/>
        <v>5500</v>
      </c>
      <c r="Z131" s="447"/>
      <c r="AA131" s="447"/>
      <c r="AB131" s="447"/>
      <c r="AC131" s="447"/>
      <c r="AD131" s="447"/>
      <c r="AE131" s="445" t="s">
        <v>4196</v>
      </c>
    </row>
    <row r="132" s="400" customFormat="1" ht="50" customHeight="1" spans="1:31">
      <c r="A132" s="365" t="s">
        <v>1777</v>
      </c>
      <c r="B132" s="365" t="s">
        <v>1142</v>
      </c>
      <c r="C132" s="365" t="str">
        <f t="shared" si="42"/>
        <v>450017016792104TQ1-S001长尾巴猫720</v>
      </c>
      <c r="D132" s="366">
        <v>4500170167</v>
      </c>
      <c r="E132" s="345" t="s">
        <v>1778</v>
      </c>
      <c r="F132" s="367" t="s">
        <v>6124</v>
      </c>
      <c r="G132" s="345" t="s">
        <v>6063</v>
      </c>
      <c r="H132" s="345">
        <v>720</v>
      </c>
      <c r="I132" s="345">
        <v>0</v>
      </c>
      <c r="J132" s="345">
        <v>12</v>
      </c>
      <c r="K132" s="345">
        <f t="shared" si="43"/>
        <v>60</v>
      </c>
      <c r="L132" s="353">
        <v>45891</v>
      </c>
      <c r="M132" s="387">
        <v>45891</v>
      </c>
      <c r="N132" s="324"/>
      <c r="O132" s="365" t="s">
        <v>459</v>
      </c>
      <c r="P132" s="367"/>
      <c r="Q132" s="367"/>
      <c r="R132" s="367"/>
      <c r="S132" s="367">
        <f>H132</f>
        <v>720</v>
      </c>
      <c r="T132" s="367"/>
      <c r="U132" s="345"/>
      <c r="V132" s="345">
        <f t="shared" si="50"/>
        <v>720</v>
      </c>
      <c r="W132" s="447"/>
      <c r="X132" s="447"/>
      <c r="Y132" s="447">
        <f t="shared" si="49"/>
        <v>720</v>
      </c>
      <c r="Z132" s="447"/>
      <c r="AA132" s="447"/>
      <c r="AB132" s="447">
        <f>H132/6</f>
        <v>120</v>
      </c>
      <c r="AC132" s="447"/>
      <c r="AD132" s="447"/>
      <c r="AE132" s="445" t="s">
        <v>4196</v>
      </c>
    </row>
    <row r="133" s="400" customFormat="1" ht="50" customHeight="1" spans="1:31">
      <c r="A133" s="365" t="s">
        <v>340</v>
      </c>
      <c r="B133" s="365" t="s">
        <v>341</v>
      </c>
      <c r="C133" s="365" t="str">
        <f t="shared" si="42"/>
        <v>450016428692104-S001长尾巴猫408</v>
      </c>
      <c r="D133" s="366">
        <v>4500164286</v>
      </c>
      <c r="E133" s="345">
        <v>240204</v>
      </c>
      <c r="F133" s="367" t="s">
        <v>3520</v>
      </c>
      <c r="G133" s="345" t="s">
        <v>6063</v>
      </c>
      <c r="H133" s="345">
        <v>408</v>
      </c>
      <c r="I133" s="345">
        <v>0</v>
      </c>
      <c r="J133" s="345">
        <v>24</v>
      </c>
      <c r="K133" s="345">
        <f t="shared" si="43"/>
        <v>17</v>
      </c>
      <c r="L133" s="353">
        <v>45891</v>
      </c>
      <c r="M133" s="387">
        <v>45891</v>
      </c>
      <c r="N133" s="324"/>
      <c r="O133" s="365" t="s">
        <v>7093</v>
      </c>
      <c r="P133" s="367"/>
      <c r="Q133" s="367">
        <f t="shared" ref="Q133:Q139" si="51">H133</f>
        <v>408</v>
      </c>
      <c r="R133" s="367"/>
      <c r="S133" s="367"/>
      <c r="T133" s="367"/>
      <c r="U133" s="345"/>
      <c r="V133" s="345">
        <f t="shared" si="50"/>
        <v>408</v>
      </c>
      <c r="W133" s="447"/>
      <c r="X133" s="447"/>
      <c r="Y133" s="447">
        <f t="shared" si="49"/>
        <v>408</v>
      </c>
      <c r="Z133" s="447"/>
      <c r="AA133" s="447"/>
      <c r="AB133" s="447"/>
      <c r="AC133" s="447"/>
      <c r="AD133" s="447"/>
      <c r="AE133" s="445" t="s">
        <v>4196</v>
      </c>
    </row>
    <row r="134" s="400" customFormat="1" ht="50" customHeight="1" spans="1:31">
      <c r="A134" s="365" t="s">
        <v>7452</v>
      </c>
      <c r="B134" s="365" t="s">
        <v>91</v>
      </c>
      <c r="C134" s="365" t="str">
        <f t="shared" si="42"/>
        <v>450017104292104TQ4-S003长尾巴猫88280</v>
      </c>
      <c r="D134" s="345">
        <v>4500171042</v>
      </c>
      <c r="E134" s="367" t="s">
        <v>13030</v>
      </c>
      <c r="F134" s="367" t="s">
        <v>6298</v>
      </c>
      <c r="G134" s="345" t="s">
        <v>6063</v>
      </c>
      <c r="H134" s="345">
        <v>88280</v>
      </c>
      <c r="I134" s="345">
        <v>0</v>
      </c>
      <c r="J134" s="345">
        <v>4</v>
      </c>
      <c r="K134" s="345">
        <f t="shared" si="43"/>
        <v>22070</v>
      </c>
      <c r="L134" s="353">
        <v>45889</v>
      </c>
      <c r="M134" s="451">
        <v>45892</v>
      </c>
      <c r="N134" s="324" t="s">
        <v>7455</v>
      </c>
      <c r="O134" s="365" t="s">
        <v>6651</v>
      </c>
      <c r="P134" s="367"/>
      <c r="Q134" s="367">
        <f t="shared" si="51"/>
        <v>88280</v>
      </c>
      <c r="R134" s="367"/>
      <c r="S134" s="367"/>
      <c r="T134" s="367"/>
      <c r="U134" s="345"/>
      <c r="V134" s="345">
        <f t="shared" si="50"/>
        <v>88280</v>
      </c>
      <c r="W134" s="447"/>
      <c r="X134" s="447"/>
      <c r="Y134" s="447">
        <f t="shared" si="49"/>
        <v>88280</v>
      </c>
      <c r="Z134" s="447"/>
      <c r="AA134" s="447"/>
      <c r="AB134" s="447"/>
      <c r="AC134" s="447"/>
      <c r="AD134" s="447"/>
      <c r="AE134" s="445" t="s">
        <v>4196</v>
      </c>
    </row>
    <row r="135" s="400" customFormat="1" ht="50" customHeight="1" spans="1:31">
      <c r="A135" s="365" t="s">
        <v>2285</v>
      </c>
      <c r="B135" s="365" t="s">
        <v>351</v>
      </c>
      <c r="C135" s="365" t="str">
        <f t="shared" si="42"/>
        <v>450016446492104TQ2-S002长尾巴猫（新档）5940</v>
      </c>
      <c r="D135" s="345">
        <v>4500164464</v>
      </c>
      <c r="E135" s="367" t="s">
        <v>3330</v>
      </c>
      <c r="F135" s="367" t="s">
        <v>6254</v>
      </c>
      <c r="G135" s="345" t="s">
        <v>7308</v>
      </c>
      <c r="H135" s="345">
        <v>5940</v>
      </c>
      <c r="I135" s="345">
        <v>0</v>
      </c>
      <c r="J135" s="345">
        <v>6</v>
      </c>
      <c r="K135" s="345">
        <f t="shared" si="43"/>
        <v>990</v>
      </c>
      <c r="L135" s="353">
        <v>45896</v>
      </c>
      <c r="M135" s="387">
        <v>45892</v>
      </c>
      <c r="N135" s="367"/>
      <c r="O135" s="365" t="s">
        <v>1199</v>
      </c>
      <c r="P135" s="367"/>
      <c r="Q135" s="367"/>
      <c r="R135" s="367"/>
      <c r="S135" s="367"/>
      <c r="T135" s="367">
        <f>H135</f>
        <v>5940</v>
      </c>
      <c r="U135" s="345"/>
      <c r="V135" s="345">
        <f t="shared" si="50"/>
        <v>5940</v>
      </c>
      <c r="W135" s="447"/>
      <c r="X135" s="447"/>
      <c r="Y135" s="447">
        <f t="shared" si="49"/>
        <v>5940</v>
      </c>
      <c r="Z135" s="447"/>
      <c r="AA135" s="447"/>
      <c r="AB135" s="447"/>
      <c r="AC135" s="447">
        <f t="shared" ref="AC135:AC139" si="52">H135/6</f>
        <v>990</v>
      </c>
      <c r="AD135" s="447"/>
      <c r="AE135" s="409" t="s">
        <v>13029</v>
      </c>
    </row>
    <row r="136" s="400" customFormat="1" ht="50" customHeight="1" spans="1:31">
      <c r="A136" s="365" t="s">
        <v>2285</v>
      </c>
      <c r="B136" s="365" t="s">
        <v>351</v>
      </c>
      <c r="C136" s="365" t="str">
        <f t="shared" si="42"/>
        <v>450016446492104TQ2-S002长尾巴猫（新档）2310</v>
      </c>
      <c r="D136" s="345">
        <v>4500164464</v>
      </c>
      <c r="E136" s="367" t="s">
        <v>3336</v>
      </c>
      <c r="F136" s="367" t="s">
        <v>6254</v>
      </c>
      <c r="G136" s="345" t="s">
        <v>7308</v>
      </c>
      <c r="H136" s="345">
        <v>2310</v>
      </c>
      <c r="I136" s="345">
        <v>0</v>
      </c>
      <c r="J136" s="345">
        <v>6</v>
      </c>
      <c r="K136" s="345">
        <f t="shared" si="43"/>
        <v>385</v>
      </c>
      <c r="L136" s="353">
        <v>45896</v>
      </c>
      <c r="M136" s="387">
        <v>45892</v>
      </c>
      <c r="N136" s="367"/>
      <c r="O136" s="365" t="s">
        <v>1199</v>
      </c>
      <c r="P136" s="367"/>
      <c r="Q136" s="367"/>
      <c r="R136" s="367"/>
      <c r="S136" s="367"/>
      <c r="T136" s="367">
        <f>H136</f>
        <v>2310</v>
      </c>
      <c r="U136" s="345"/>
      <c r="V136" s="345">
        <f t="shared" si="50"/>
        <v>2310</v>
      </c>
      <c r="W136" s="447"/>
      <c r="X136" s="447"/>
      <c r="Y136" s="447">
        <f t="shared" si="49"/>
        <v>2310</v>
      </c>
      <c r="Z136" s="447"/>
      <c r="AA136" s="447"/>
      <c r="AB136" s="447"/>
      <c r="AC136" s="447">
        <f t="shared" si="52"/>
        <v>385</v>
      </c>
      <c r="AD136" s="447"/>
      <c r="AE136" s="409" t="s">
        <v>13029</v>
      </c>
    </row>
    <row r="137" s="400" customFormat="1" ht="50" customHeight="1" spans="1:31">
      <c r="A137" s="365" t="s">
        <v>407</v>
      </c>
      <c r="B137" s="365" t="s">
        <v>91</v>
      </c>
      <c r="C137" s="365" t="str">
        <f t="shared" si="42"/>
        <v>450017220892104-S001长尾巴猫10008</v>
      </c>
      <c r="D137" s="345">
        <v>4500172208</v>
      </c>
      <c r="E137" s="367" t="s">
        <v>4822</v>
      </c>
      <c r="F137" s="367" t="s">
        <v>3520</v>
      </c>
      <c r="G137" s="345" t="s">
        <v>6063</v>
      </c>
      <c r="H137" s="345">
        <v>10008</v>
      </c>
      <c r="I137" s="345">
        <v>0</v>
      </c>
      <c r="J137" s="345">
        <v>24</v>
      </c>
      <c r="K137" s="345">
        <f t="shared" si="43"/>
        <v>417</v>
      </c>
      <c r="L137" s="353">
        <v>45898</v>
      </c>
      <c r="M137" s="387">
        <v>45894</v>
      </c>
      <c r="N137" s="324"/>
      <c r="O137" s="365" t="s">
        <v>393</v>
      </c>
      <c r="P137" s="367"/>
      <c r="Q137" s="367">
        <f t="shared" si="51"/>
        <v>10008</v>
      </c>
      <c r="R137" s="367"/>
      <c r="S137" s="367"/>
      <c r="T137" s="367"/>
      <c r="U137" s="345"/>
      <c r="V137" s="345">
        <f t="shared" si="50"/>
        <v>10008</v>
      </c>
      <c r="W137" s="447"/>
      <c r="X137" s="447"/>
      <c r="Y137" s="447">
        <f t="shared" si="49"/>
        <v>10008</v>
      </c>
      <c r="Z137" s="447"/>
      <c r="AA137" s="447"/>
      <c r="AB137" s="447"/>
      <c r="AC137" s="447"/>
      <c r="AD137" s="447"/>
      <c r="AE137" s="445" t="s">
        <v>4196</v>
      </c>
    </row>
    <row r="138" s="400" customFormat="1" ht="50" customHeight="1" spans="1:31">
      <c r="A138" s="459" t="s">
        <v>12646</v>
      </c>
      <c r="B138" s="365" t="s">
        <v>91</v>
      </c>
      <c r="C138" s="365" t="str">
        <f t="shared" si="42"/>
        <v>450016032092104TQ2-S001长尾巴猫4320</v>
      </c>
      <c r="D138" s="460">
        <v>4500160320</v>
      </c>
      <c r="E138" s="367" t="s">
        <v>12647</v>
      </c>
      <c r="F138" s="367" t="s">
        <v>6195</v>
      </c>
      <c r="G138" s="345" t="s">
        <v>6063</v>
      </c>
      <c r="H138" s="345">
        <v>4320</v>
      </c>
      <c r="I138" s="345">
        <v>0</v>
      </c>
      <c r="J138" s="345">
        <v>12</v>
      </c>
      <c r="K138" s="345">
        <f t="shared" si="43"/>
        <v>360</v>
      </c>
      <c r="L138" s="353">
        <v>45785</v>
      </c>
      <c r="M138" s="453">
        <v>45912</v>
      </c>
      <c r="N138" s="440" t="s">
        <v>13031</v>
      </c>
      <c r="O138" s="365" t="s">
        <v>6911</v>
      </c>
      <c r="P138" s="367"/>
      <c r="Q138" s="367">
        <f t="shared" si="51"/>
        <v>4320</v>
      </c>
      <c r="R138" s="367"/>
      <c r="S138" s="367"/>
      <c r="T138" s="367"/>
      <c r="U138" s="345"/>
      <c r="V138" s="345">
        <f t="shared" si="50"/>
        <v>4320</v>
      </c>
      <c r="W138" s="447"/>
      <c r="X138" s="447"/>
      <c r="Y138" s="447">
        <f t="shared" si="49"/>
        <v>4320</v>
      </c>
      <c r="Z138" s="447"/>
      <c r="AA138" s="447"/>
      <c r="AB138" s="447"/>
      <c r="AC138" s="447">
        <f t="shared" si="52"/>
        <v>720</v>
      </c>
      <c r="AD138" s="447"/>
      <c r="AE138" s="445" t="s">
        <v>4196</v>
      </c>
    </row>
    <row r="139" s="400" customFormat="1" ht="50" customHeight="1" spans="1:31">
      <c r="A139" s="459" t="s">
        <v>12646</v>
      </c>
      <c r="B139" s="365" t="s">
        <v>91</v>
      </c>
      <c r="C139" s="365" t="str">
        <f t="shared" si="42"/>
        <v>450016032092104TQ2-S001长尾巴猫1848</v>
      </c>
      <c r="D139" s="460">
        <v>4500160320</v>
      </c>
      <c r="E139" s="367" t="s">
        <v>12651</v>
      </c>
      <c r="F139" s="367" t="s">
        <v>6195</v>
      </c>
      <c r="G139" s="345" t="s">
        <v>6063</v>
      </c>
      <c r="H139" s="345">
        <v>1848</v>
      </c>
      <c r="I139" s="345">
        <v>0</v>
      </c>
      <c r="J139" s="345">
        <v>12</v>
      </c>
      <c r="K139" s="345">
        <f t="shared" si="43"/>
        <v>154</v>
      </c>
      <c r="L139" s="353">
        <v>45785</v>
      </c>
      <c r="M139" s="453">
        <v>45912</v>
      </c>
      <c r="N139" s="440" t="s">
        <v>13031</v>
      </c>
      <c r="O139" s="365" t="s">
        <v>6911</v>
      </c>
      <c r="P139" s="367"/>
      <c r="Q139" s="367">
        <f t="shared" si="51"/>
        <v>1848</v>
      </c>
      <c r="R139" s="367"/>
      <c r="S139" s="367"/>
      <c r="T139" s="367"/>
      <c r="U139" s="345"/>
      <c r="V139" s="345">
        <f t="shared" si="50"/>
        <v>1848</v>
      </c>
      <c r="W139" s="447"/>
      <c r="X139" s="447"/>
      <c r="Y139" s="447">
        <f t="shared" si="49"/>
        <v>1848</v>
      </c>
      <c r="Z139" s="447"/>
      <c r="AA139" s="447"/>
      <c r="AB139" s="447"/>
      <c r="AC139" s="447">
        <f t="shared" si="52"/>
        <v>308</v>
      </c>
      <c r="AD139" s="447"/>
      <c r="AE139" s="445" t="s">
        <v>4196</v>
      </c>
    </row>
    <row r="140" s="400" customFormat="1" ht="50" customHeight="1" spans="1:31">
      <c r="A140" s="365" t="s">
        <v>7590</v>
      </c>
      <c r="B140" s="365" t="s">
        <v>471</v>
      </c>
      <c r="C140" s="365" t="str">
        <f t="shared" si="42"/>
        <v>450016938892104A-S002长尾巴猫120</v>
      </c>
      <c r="D140" s="345">
        <v>4500169388</v>
      </c>
      <c r="E140" s="367" t="s">
        <v>7591</v>
      </c>
      <c r="F140" s="367" t="s">
        <v>7593</v>
      </c>
      <c r="G140" s="345" t="s">
        <v>6063</v>
      </c>
      <c r="H140" s="345">
        <v>120</v>
      </c>
      <c r="I140" s="345">
        <v>0</v>
      </c>
      <c r="J140" s="345">
        <v>24</v>
      </c>
      <c r="K140" s="345">
        <f t="shared" si="43"/>
        <v>5</v>
      </c>
      <c r="L140" s="353">
        <v>45918</v>
      </c>
      <c r="M140" s="387">
        <v>45915</v>
      </c>
      <c r="N140" s="324"/>
      <c r="O140" s="365" t="s">
        <v>7597</v>
      </c>
      <c r="P140" s="367"/>
      <c r="Q140" s="367"/>
      <c r="R140" s="367"/>
      <c r="S140" s="367">
        <f t="shared" ref="S140:S145" si="53">H140</f>
        <v>120</v>
      </c>
      <c r="T140" s="367"/>
      <c r="U140" s="345"/>
      <c r="V140" s="345">
        <f t="shared" si="50"/>
        <v>120</v>
      </c>
      <c r="W140" s="447"/>
      <c r="X140" s="447"/>
      <c r="Y140" s="447">
        <f t="shared" si="49"/>
        <v>120</v>
      </c>
      <c r="Z140" s="447"/>
      <c r="AA140" s="447"/>
      <c r="AB140" s="447"/>
      <c r="AC140" s="447"/>
      <c r="AD140" s="447"/>
      <c r="AE140" s="445" t="s">
        <v>4196</v>
      </c>
    </row>
    <row r="141" s="400" customFormat="1" ht="50" customHeight="1" spans="1:31">
      <c r="A141" s="365" t="s">
        <v>7590</v>
      </c>
      <c r="B141" s="365" t="s">
        <v>471</v>
      </c>
      <c r="C141" s="365" t="str">
        <f t="shared" si="42"/>
        <v>450016938892104B-S002长尾巴猫120</v>
      </c>
      <c r="D141" s="345">
        <v>4500169388</v>
      </c>
      <c r="E141" s="367" t="s">
        <v>7591</v>
      </c>
      <c r="F141" s="367" t="s">
        <v>7600</v>
      </c>
      <c r="G141" s="345" t="s">
        <v>6063</v>
      </c>
      <c r="H141" s="345">
        <v>120</v>
      </c>
      <c r="I141" s="345">
        <v>0</v>
      </c>
      <c r="J141" s="345">
        <v>24</v>
      </c>
      <c r="K141" s="345">
        <f t="shared" si="43"/>
        <v>5</v>
      </c>
      <c r="L141" s="353">
        <v>45918</v>
      </c>
      <c r="M141" s="387">
        <v>45915</v>
      </c>
      <c r="N141" s="324"/>
      <c r="O141" s="365" t="s">
        <v>7597</v>
      </c>
      <c r="P141" s="367"/>
      <c r="Q141" s="367"/>
      <c r="R141" s="367"/>
      <c r="S141" s="367">
        <f t="shared" si="53"/>
        <v>120</v>
      </c>
      <c r="T141" s="367"/>
      <c r="U141" s="345"/>
      <c r="V141" s="345">
        <f t="shared" si="50"/>
        <v>120</v>
      </c>
      <c r="W141" s="447"/>
      <c r="X141" s="447"/>
      <c r="Y141" s="447">
        <f t="shared" si="49"/>
        <v>120</v>
      </c>
      <c r="Z141" s="447"/>
      <c r="AA141" s="447"/>
      <c r="AB141" s="447"/>
      <c r="AC141" s="447"/>
      <c r="AD141" s="447"/>
      <c r="AE141" s="445" t="s">
        <v>4196</v>
      </c>
    </row>
    <row r="142" s="400" customFormat="1" ht="50" customHeight="1" spans="1:31">
      <c r="A142" s="365" t="s">
        <v>7590</v>
      </c>
      <c r="B142" s="365" t="s">
        <v>471</v>
      </c>
      <c r="C142" s="365" t="str">
        <f t="shared" si="42"/>
        <v>450016938892104D-S002长尾巴猫120</v>
      </c>
      <c r="D142" s="345">
        <v>4500169388</v>
      </c>
      <c r="E142" s="367" t="s">
        <v>7591</v>
      </c>
      <c r="F142" s="367" t="s">
        <v>7603</v>
      </c>
      <c r="G142" s="345" t="s">
        <v>6063</v>
      </c>
      <c r="H142" s="345">
        <v>120</v>
      </c>
      <c r="I142" s="345">
        <v>0</v>
      </c>
      <c r="J142" s="345">
        <v>24</v>
      </c>
      <c r="K142" s="345">
        <f t="shared" si="43"/>
        <v>5</v>
      </c>
      <c r="L142" s="353">
        <v>45918</v>
      </c>
      <c r="M142" s="387">
        <v>45915</v>
      </c>
      <c r="N142" s="324"/>
      <c r="O142" s="365" t="s">
        <v>7597</v>
      </c>
      <c r="P142" s="367"/>
      <c r="Q142" s="367"/>
      <c r="R142" s="367"/>
      <c r="S142" s="367">
        <f t="shared" si="53"/>
        <v>120</v>
      </c>
      <c r="T142" s="367"/>
      <c r="U142" s="345"/>
      <c r="V142" s="345">
        <f t="shared" si="50"/>
        <v>120</v>
      </c>
      <c r="W142" s="447"/>
      <c r="X142" s="447"/>
      <c r="Y142" s="447">
        <f t="shared" si="49"/>
        <v>120</v>
      </c>
      <c r="Z142" s="447"/>
      <c r="AA142" s="447"/>
      <c r="AB142" s="447"/>
      <c r="AC142" s="447"/>
      <c r="AD142" s="447"/>
      <c r="AE142" s="445" t="s">
        <v>4196</v>
      </c>
    </row>
    <row r="143" s="400" customFormat="1" ht="50" customHeight="1" spans="1:31">
      <c r="A143" s="365" t="s">
        <v>7590</v>
      </c>
      <c r="B143" s="365" t="s">
        <v>471</v>
      </c>
      <c r="C143" s="365" t="str">
        <f t="shared" si="42"/>
        <v>450016938892104E-S002长尾巴猫120</v>
      </c>
      <c r="D143" s="345">
        <v>4500169388</v>
      </c>
      <c r="E143" s="367" t="s">
        <v>7591</v>
      </c>
      <c r="F143" s="367" t="s">
        <v>7605</v>
      </c>
      <c r="G143" s="345" t="s">
        <v>6063</v>
      </c>
      <c r="H143" s="345">
        <v>120</v>
      </c>
      <c r="I143" s="345">
        <v>0</v>
      </c>
      <c r="J143" s="345">
        <v>24</v>
      </c>
      <c r="K143" s="345">
        <f t="shared" si="43"/>
        <v>5</v>
      </c>
      <c r="L143" s="353">
        <v>45918</v>
      </c>
      <c r="M143" s="387">
        <v>45915</v>
      </c>
      <c r="N143" s="324"/>
      <c r="O143" s="365" t="s">
        <v>7597</v>
      </c>
      <c r="P143" s="367"/>
      <c r="Q143" s="367"/>
      <c r="R143" s="367"/>
      <c r="S143" s="367">
        <f t="shared" si="53"/>
        <v>120</v>
      </c>
      <c r="T143" s="367"/>
      <c r="U143" s="345"/>
      <c r="V143" s="345">
        <f t="shared" si="50"/>
        <v>120</v>
      </c>
      <c r="W143" s="447"/>
      <c r="X143" s="447"/>
      <c r="Y143" s="447">
        <f t="shared" si="49"/>
        <v>120</v>
      </c>
      <c r="Z143" s="447"/>
      <c r="AA143" s="447"/>
      <c r="AB143" s="447"/>
      <c r="AC143" s="447"/>
      <c r="AD143" s="447"/>
      <c r="AE143" s="445" t="s">
        <v>4196</v>
      </c>
    </row>
    <row r="144" s="400" customFormat="1" ht="50" customHeight="1" spans="1:31">
      <c r="A144" s="365" t="s">
        <v>7590</v>
      </c>
      <c r="B144" s="365" t="s">
        <v>471</v>
      </c>
      <c r="C144" s="365" t="str">
        <f t="shared" si="42"/>
        <v>450016938892104G-S002长尾巴猫120</v>
      </c>
      <c r="D144" s="345">
        <v>4500169388</v>
      </c>
      <c r="E144" s="367" t="s">
        <v>7591</v>
      </c>
      <c r="F144" s="367" t="s">
        <v>7608</v>
      </c>
      <c r="G144" s="345" t="s">
        <v>6063</v>
      </c>
      <c r="H144" s="345">
        <v>120</v>
      </c>
      <c r="I144" s="345">
        <v>0</v>
      </c>
      <c r="J144" s="345">
        <v>24</v>
      </c>
      <c r="K144" s="345">
        <f t="shared" si="43"/>
        <v>5</v>
      </c>
      <c r="L144" s="353">
        <v>45918</v>
      </c>
      <c r="M144" s="387">
        <v>45915</v>
      </c>
      <c r="N144" s="324"/>
      <c r="O144" s="365" t="s">
        <v>7597</v>
      </c>
      <c r="P144" s="367"/>
      <c r="Q144" s="367"/>
      <c r="R144" s="367"/>
      <c r="S144" s="367">
        <f t="shared" si="53"/>
        <v>120</v>
      </c>
      <c r="T144" s="367"/>
      <c r="U144" s="345"/>
      <c r="V144" s="345">
        <f t="shared" si="50"/>
        <v>120</v>
      </c>
      <c r="W144" s="447"/>
      <c r="X144" s="447"/>
      <c r="Y144" s="447">
        <f t="shared" si="49"/>
        <v>120</v>
      </c>
      <c r="Z144" s="447"/>
      <c r="AA144" s="447"/>
      <c r="AB144" s="447"/>
      <c r="AC144" s="447"/>
      <c r="AD144" s="447"/>
      <c r="AE144" s="445" t="s">
        <v>4196</v>
      </c>
    </row>
    <row r="145" s="400" customFormat="1" ht="50" customHeight="1" spans="1:31">
      <c r="A145" s="365" t="s">
        <v>7590</v>
      </c>
      <c r="B145" s="365" t="s">
        <v>471</v>
      </c>
      <c r="C145" s="365" t="str">
        <f t="shared" si="42"/>
        <v>450016938892104H-S002长尾巴猫120</v>
      </c>
      <c r="D145" s="345">
        <v>4500169388</v>
      </c>
      <c r="E145" s="367" t="s">
        <v>7591</v>
      </c>
      <c r="F145" s="367" t="s">
        <v>7610</v>
      </c>
      <c r="G145" s="345" t="s">
        <v>6063</v>
      </c>
      <c r="H145" s="345">
        <v>120</v>
      </c>
      <c r="I145" s="345">
        <v>0</v>
      </c>
      <c r="J145" s="345">
        <v>24</v>
      </c>
      <c r="K145" s="345">
        <f t="shared" si="43"/>
        <v>5</v>
      </c>
      <c r="L145" s="353">
        <v>45918</v>
      </c>
      <c r="M145" s="387">
        <v>45915</v>
      </c>
      <c r="N145" s="324"/>
      <c r="O145" s="365" t="s">
        <v>7597</v>
      </c>
      <c r="P145" s="367"/>
      <c r="Q145" s="367"/>
      <c r="R145" s="367"/>
      <c r="S145" s="367">
        <f t="shared" si="53"/>
        <v>120</v>
      </c>
      <c r="T145" s="367"/>
      <c r="U145" s="345"/>
      <c r="V145" s="345">
        <f t="shared" si="50"/>
        <v>120</v>
      </c>
      <c r="W145" s="447"/>
      <c r="X145" s="447"/>
      <c r="Y145" s="447">
        <f t="shared" si="49"/>
        <v>120</v>
      </c>
      <c r="Z145" s="447"/>
      <c r="AA145" s="447"/>
      <c r="AB145" s="447"/>
      <c r="AC145" s="447"/>
      <c r="AD145" s="447"/>
      <c r="AE145" s="445" t="s">
        <v>4196</v>
      </c>
    </row>
    <row r="146" s="400" customFormat="1" ht="50" customHeight="1" spans="1:31">
      <c r="A146" s="365"/>
      <c r="B146" s="365"/>
      <c r="C146" s="365"/>
      <c r="D146" s="345"/>
      <c r="E146" s="367"/>
      <c r="F146" s="367"/>
      <c r="G146" s="345"/>
      <c r="H146" s="345"/>
      <c r="I146" s="345"/>
      <c r="J146" s="345"/>
      <c r="K146" s="345"/>
      <c r="L146" s="353"/>
      <c r="M146" s="387"/>
      <c r="N146" s="324"/>
      <c r="O146" s="365"/>
      <c r="P146" s="367"/>
      <c r="Q146" s="367"/>
      <c r="R146" s="367"/>
      <c r="S146" s="367"/>
      <c r="T146" s="367"/>
      <c r="U146" s="345"/>
      <c r="V146" s="345"/>
      <c r="W146" s="447"/>
      <c r="X146" s="447"/>
      <c r="Y146" s="447"/>
      <c r="Z146" s="447"/>
      <c r="AA146" s="447"/>
      <c r="AB146" s="447"/>
      <c r="AC146" s="447"/>
      <c r="AD146" s="447"/>
      <c r="AE146" s="409"/>
    </row>
    <row r="147" s="400" customFormat="1" ht="50" customHeight="1" spans="1:31">
      <c r="A147" s="365"/>
      <c r="B147" s="365"/>
      <c r="C147" s="365"/>
      <c r="D147" s="345"/>
      <c r="E147" s="367"/>
      <c r="F147" s="367"/>
      <c r="G147" s="345"/>
      <c r="H147" s="345"/>
      <c r="I147" s="345"/>
      <c r="J147" s="345"/>
      <c r="K147" s="345"/>
      <c r="L147" s="353"/>
      <c r="M147" s="387"/>
      <c r="N147" s="324"/>
      <c r="O147" s="365"/>
      <c r="P147" s="367"/>
      <c r="Q147" s="367"/>
      <c r="R147" s="367"/>
      <c r="S147" s="367"/>
      <c r="T147" s="367"/>
      <c r="U147" s="345"/>
      <c r="V147" s="345"/>
      <c r="W147" s="447"/>
      <c r="X147" s="447"/>
      <c r="Y147" s="447"/>
      <c r="Z147" s="447"/>
      <c r="AA147" s="447"/>
      <c r="AB147" s="447"/>
      <c r="AC147" s="447"/>
      <c r="AD147" s="447"/>
      <c r="AE147" s="409"/>
    </row>
    <row r="148" s="400" customFormat="1" ht="50" customHeight="1" spans="1:31">
      <c r="A148" s="365"/>
      <c r="B148" s="365"/>
      <c r="C148" s="365"/>
      <c r="D148" s="345"/>
      <c r="E148" s="367"/>
      <c r="F148" s="367"/>
      <c r="G148" s="367"/>
      <c r="H148" s="345"/>
      <c r="I148" s="345"/>
      <c r="J148" s="345"/>
      <c r="K148" s="345"/>
      <c r="L148" s="353"/>
      <c r="M148" s="387"/>
      <c r="N148" s="345"/>
      <c r="O148" s="365"/>
      <c r="P148" s="367"/>
      <c r="Q148" s="367"/>
      <c r="R148" s="367"/>
      <c r="S148" s="367"/>
      <c r="T148" s="367"/>
      <c r="U148" s="345"/>
      <c r="V148" s="345"/>
      <c r="W148" s="447"/>
      <c r="X148" s="447"/>
      <c r="Y148" s="447"/>
      <c r="Z148" s="447"/>
      <c r="AA148" s="447"/>
      <c r="AB148" s="447"/>
      <c r="AC148" s="447"/>
      <c r="AD148" s="447"/>
      <c r="AE148" s="409"/>
    </row>
    <row r="149" s="400" customFormat="1" ht="51" customHeight="1" spans="1:31">
      <c r="A149" s="403"/>
      <c r="B149" s="403"/>
      <c r="C149" s="403"/>
      <c r="D149" s="398"/>
      <c r="E149" s="403"/>
      <c r="F149" s="398"/>
      <c r="G149" s="398"/>
      <c r="H149" s="398">
        <f>SUM(H4:H148)</f>
        <v>403268</v>
      </c>
      <c r="I149" s="398"/>
      <c r="J149" s="398"/>
      <c r="K149" s="398"/>
      <c r="L149" s="461"/>
      <c r="M149" s="462"/>
      <c r="N149" s="403"/>
      <c r="O149" s="405"/>
      <c r="P149" s="463">
        <f t="shared" ref="P149:U149" si="54">SUM(P4:P148)</f>
        <v>5508</v>
      </c>
      <c r="Q149" s="463"/>
      <c r="R149" s="463">
        <f t="shared" si="54"/>
        <v>13742</v>
      </c>
      <c r="S149" s="463"/>
      <c r="T149" s="463">
        <f t="shared" si="54"/>
        <v>68124</v>
      </c>
      <c r="U149" s="463">
        <f t="shared" si="54"/>
        <v>39050</v>
      </c>
      <c r="V149" s="463"/>
      <c r="W149" s="463">
        <f t="shared" ref="W149:Z149" si="55">SUM(W4:W148)</f>
        <v>0</v>
      </c>
      <c r="X149" s="463">
        <f t="shared" si="55"/>
        <v>69696</v>
      </c>
      <c r="Y149" s="463"/>
      <c r="Z149" s="463">
        <f t="shared" si="55"/>
        <v>13100</v>
      </c>
      <c r="AA149" s="463"/>
      <c r="AB149" s="463">
        <f t="shared" ref="AB149:AD149" si="56">SUM(AB4:AB148)</f>
        <v>5242</v>
      </c>
      <c r="AC149" s="463">
        <f t="shared" si="56"/>
        <v>11146</v>
      </c>
      <c r="AD149" s="463">
        <f t="shared" si="56"/>
        <v>0</v>
      </c>
      <c r="AE149" s="409"/>
    </row>
    <row r="150" s="400" customFormat="1" ht="51" customHeight="1" spans="1:31">
      <c r="A150" s="403"/>
      <c r="B150" s="403"/>
      <c r="C150" s="403"/>
      <c r="D150" s="398"/>
      <c r="E150" s="403"/>
      <c r="F150" s="398"/>
      <c r="G150" s="398"/>
      <c r="H150" s="398"/>
      <c r="I150" s="398"/>
      <c r="J150" s="398"/>
      <c r="K150" s="398"/>
      <c r="L150" s="461"/>
      <c r="M150" s="462"/>
      <c r="N150" s="403"/>
      <c r="O150" s="405"/>
      <c r="P150" s="463"/>
      <c r="Q150" s="463"/>
      <c r="R150" s="463"/>
      <c r="S150" s="463"/>
      <c r="T150" s="463"/>
      <c r="U150" s="463"/>
      <c r="V150" s="463"/>
      <c r="W150" s="463"/>
      <c r="X150" s="463"/>
      <c r="Y150" s="463"/>
      <c r="Z150" s="463"/>
      <c r="AA150" s="463"/>
      <c r="AB150" s="463"/>
      <c r="AC150" s="463"/>
      <c r="AD150" s="463"/>
      <c r="AE150" s="409"/>
    </row>
    <row r="151" s="400" customFormat="1" ht="51" customHeight="1" spans="1:31">
      <c r="A151" s="403"/>
      <c r="B151" s="403"/>
      <c r="C151" s="403"/>
      <c r="D151" s="398"/>
      <c r="E151" s="403"/>
      <c r="F151" s="398"/>
      <c r="G151" s="398"/>
      <c r="H151" s="398"/>
      <c r="I151" s="398"/>
      <c r="J151" s="398"/>
      <c r="K151" s="398"/>
      <c r="L151" s="461"/>
      <c r="M151" s="462"/>
      <c r="N151" s="403"/>
      <c r="O151" s="405"/>
      <c r="P151" s="463"/>
      <c r="Q151" s="463"/>
      <c r="R151" s="463"/>
      <c r="S151" s="463"/>
      <c r="T151" s="463"/>
      <c r="U151" s="463"/>
      <c r="V151" s="463"/>
      <c r="W151" s="463"/>
      <c r="X151" s="463"/>
      <c r="Y151" s="463"/>
      <c r="Z151" s="463"/>
      <c r="AA151" s="463"/>
      <c r="AB151" s="463"/>
      <c r="AC151" s="463"/>
      <c r="AD151" s="463"/>
      <c r="AE151" s="409"/>
    </row>
    <row r="152" s="400" customFormat="1" ht="51" customHeight="1" spans="1:31">
      <c r="A152" s="403"/>
      <c r="B152" s="403"/>
      <c r="C152" s="403"/>
      <c r="D152" s="398"/>
      <c r="E152" s="403"/>
      <c r="F152" s="398"/>
      <c r="G152" s="398"/>
      <c r="H152" s="398"/>
      <c r="I152" s="398"/>
      <c r="J152" s="398"/>
      <c r="K152" s="398"/>
      <c r="L152" s="461"/>
      <c r="M152" s="462"/>
      <c r="N152" s="403"/>
      <c r="O152" s="405"/>
      <c r="P152" s="463"/>
      <c r="Q152" s="463"/>
      <c r="R152" s="463"/>
      <c r="S152" s="463"/>
      <c r="T152" s="463"/>
      <c r="U152" s="464"/>
      <c r="V152" s="465"/>
      <c r="W152" s="463"/>
      <c r="X152" s="463"/>
      <c r="Y152" s="463"/>
      <c r="Z152" s="463"/>
      <c r="AA152" s="463"/>
      <c r="AB152" s="463"/>
      <c r="AC152" s="463"/>
      <c r="AD152" s="463"/>
      <c r="AE152" s="409"/>
    </row>
    <row r="153" s="402" customFormat="1" customHeight="1" spans="1:31">
      <c r="A153" s="466"/>
      <c r="B153" s="466"/>
      <c r="C153" s="466"/>
      <c r="D153" s="465"/>
      <c r="E153" s="466"/>
      <c r="F153" s="466"/>
      <c r="G153" s="466"/>
      <c r="H153" s="466"/>
      <c r="J153" s="465"/>
      <c r="K153" s="465"/>
      <c r="L153" s="467"/>
      <c r="M153" s="468"/>
      <c r="N153" s="403"/>
      <c r="O153" s="469"/>
      <c r="P153" s="466"/>
      <c r="Q153" s="466"/>
      <c r="R153" s="470"/>
      <c r="S153" s="470"/>
      <c r="T153" s="471"/>
      <c r="U153" s="472"/>
      <c r="V153" s="472"/>
      <c r="W153" s="472"/>
      <c r="X153" s="472"/>
      <c r="Y153" s="472"/>
      <c r="Z153" s="472"/>
      <c r="AA153" s="472"/>
      <c r="AB153" s="408"/>
      <c r="AC153" s="472"/>
      <c r="AD153" s="472"/>
      <c r="AE153" s="473"/>
    </row>
    <row r="154" spans="1:31">
      <c r="E154" s="403"/>
      <c r="F154" s="398"/>
      <c r="L154" s="461"/>
      <c r="M154" s="462"/>
      <c r="R154" s="406"/>
      <c r="S154" s="406"/>
      <c r="T154" s="407"/>
      <c r="U154" s="408"/>
      <c r="V154" s="408"/>
    </row>
    <row r="155" spans="1:31">
      <c r="E155" s="403"/>
      <c r="L155" s="461"/>
      <c r="R155" s="406"/>
      <c r="S155" s="406"/>
      <c r="T155" s="407"/>
      <c r="U155" s="408"/>
      <c r="V155" s="408"/>
    </row>
    <row r="156" spans="1:31">
      <c r="E156" s="403"/>
      <c r="F156" s="398"/>
      <c r="L156" s="461"/>
      <c r="M156" s="462"/>
      <c r="R156" s="406"/>
      <c r="S156" s="406"/>
      <c r="T156" s="407"/>
      <c r="U156" s="408"/>
      <c r="V156" s="408"/>
    </row>
    <row r="157" spans="1:31">
      <c r="E157" s="403"/>
      <c r="F157" s="398"/>
      <c r="L157" s="461"/>
      <c r="M157" s="462"/>
      <c r="R157" s="406"/>
      <c r="S157" s="406"/>
      <c r="T157" s="407"/>
      <c r="U157" s="408"/>
      <c r="V157" s="408"/>
    </row>
    <row r="158" spans="1:31">
      <c r="E158" s="403"/>
      <c r="F158" s="398"/>
      <c r="L158" s="461"/>
      <c r="M158" s="462"/>
      <c r="R158" s="406"/>
      <c r="S158" s="406"/>
      <c r="T158" s="407"/>
      <c r="U158" s="408"/>
      <c r="V158" s="408"/>
    </row>
    <row r="159" spans="1:31">
      <c r="E159" s="403"/>
      <c r="F159" s="398"/>
      <c r="L159" s="461"/>
      <c r="M159" s="462"/>
      <c r="R159" s="406"/>
      <c r="S159" s="406"/>
      <c r="T159" s="407"/>
      <c r="U159" s="408"/>
      <c r="V159" s="408"/>
    </row>
    <row r="160" spans="1:31">
      <c r="E160" s="403"/>
      <c r="G160" s="403"/>
      <c r="L160" s="461"/>
      <c r="M160" s="462"/>
      <c r="R160" s="406"/>
      <c r="S160" s="406"/>
      <c r="T160" s="407"/>
      <c r="U160" s="408"/>
      <c r="V160" s="408"/>
    </row>
    <row r="161" spans="5:30">
      <c r="E161" s="403"/>
      <c r="F161" s="398"/>
      <c r="L161" s="461"/>
      <c r="M161" s="462"/>
      <c r="R161" s="406"/>
      <c r="S161" s="406"/>
      <c r="T161" s="407"/>
      <c r="U161" s="408"/>
      <c r="V161" s="408"/>
    </row>
    <row r="162" spans="5:30">
      <c r="E162" s="403"/>
      <c r="F162" s="398"/>
      <c r="L162" s="461"/>
      <c r="M162" s="462"/>
      <c r="R162" s="406"/>
      <c r="S162" s="406"/>
      <c r="T162" s="407"/>
      <c r="U162" s="408"/>
      <c r="V162" s="408"/>
    </row>
    <row r="163" spans="5:30">
      <c r="E163" s="403"/>
      <c r="F163" s="398"/>
      <c r="L163" s="461"/>
      <c r="M163" s="462"/>
      <c r="P163" s="407"/>
      <c r="Q163" s="407"/>
      <c r="R163" s="407"/>
      <c r="S163" s="407"/>
      <c r="T163" s="408"/>
      <c r="U163" s="408"/>
      <c r="V163" s="408"/>
      <c r="AC163" s="474"/>
      <c r="AD163" s="474"/>
    </row>
    <row r="164" spans="5:30">
      <c r="E164" s="403"/>
      <c r="G164" s="403"/>
      <c r="L164" s="461"/>
      <c r="M164" s="462"/>
      <c r="P164" s="407"/>
      <c r="Q164" s="407"/>
      <c r="R164" s="407"/>
      <c r="S164" s="407"/>
      <c r="T164" s="408"/>
      <c r="U164" s="408"/>
      <c r="V164" s="408"/>
      <c r="AC164" s="474"/>
      <c r="AD164" s="474"/>
    </row>
    <row r="165" spans="5:30">
      <c r="E165" s="403"/>
      <c r="F165" s="398"/>
      <c r="L165" s="461"/>
      <c r="M165" s="462"/>
      <c r="P165" s="407"/>
      <c r="Q165" s="407"/>
      <c r="R165" s="408"/>
      <c r="S165" s="408"/>
      <c r="T165" s="408"/>
      <c r="U165" s="408"/>
      <c r="V165" s="408"/>
      <c r="AC165" s="403"/>
      <c r="AD165" s="403"/>
    </row>
    <row r="166" spans="5:30">
      <c r="E166" s="403"/>
      <c r="F166" s="398"/>
      <c r="G166" s="403"/>
      <c r="H166" s="403"/>
      <c r="L166" s="461"/>
      <c r="M166" s="462"/>
      <c r="P166" s="407"/>
      <c r="Q166" s="407"/>
      <c r="R166" s="408"/>
      <c r="S166" s="408"/>
      <c r="T166" s="408"/>
      <c r="U166" s="408"/>
      <c r="V166" s="408"/>
      <c r="AC166" s="403"/>
      <c r="AD166" s="403"/>
    </row>
    <row r="167" spans="5:30">
      <c r="E167" s="403"/>
      <c r="F167" s="398"/>
      <c r="L167" s="461"/>
      <c r="M167" s="462"/>
      <c r="P167" s="407"/>
      <c r="Q167" s="407"/>
      <c r="R167" s="407"/>
      <c r="S167" s="407"/>
      <c r="T167" s="408"/>
      <c r="U167" s="408"/>
      <c r="V167" s="408"/>
      <c r="AC167" s="474"/>
      <c r="AD167" s="474"/>
    </row>
    <row r="168" spans="5:30">
      <c r="E168" s="403"/>
      <c r="F168" s="398"/>
      <c r="L168" s="461"/>
      <c r="M168" s="462"/>
      <c r="R168" s="406"/>
      <c r="S168" s="406"/>
      <c r="T168" s="407"/>
      <c r="U168" s="408"/>
      <c r="V168" s="408"/>
    </row>
    <row r="170" spans="5:30">
      <c r="G170" s="403"/>
      <c r="H170" s="403"/>
    </row>
    <row r="171" spans="5:30">
      <c r="G171" s="403"/>
      <c r="H171" s="403"/>
    </row>
    <row r="183" spans="7:7">
      <c r="G183" s="403"/>
    </row>
  </sheetData>
  <sheetProtection formatCells="0" formatColumns="0" formatRows="0" insertRows="0" insertColumns="0" insertHyperlinks="0" deleteColumns="0" deleteRows="0" sort="0" autoFilter="0" pivotTables="0"/>
  <autoFilter xmlns:etc="http://www.wps.cn/officeDocument/2017/etCustomData" ref="A3:XFD145" etc:filterBottomFollowUsedRange="0">
    <extLst/>
  </autoFilter>
  <mergeCells count="7">
    <mergeCell ref="A1:H1"/>
    <mergeCell ref="A2:E2"/>
    <mergeCell ref="G2:H2"/>
    <mergeCell ref="J2:L2"/>
    <mergeCell ref="P2:T2"/>
    <mergeCell ref="U2:W2"/>
    <mergeCell ref="X2:Z2"/>
  </mergeCells>
  <conditionalFormatting sqref="N24">
    <cfRule type="containsText" dxfId="1" priority="1" operator="between" text="欠">
      <formula>NOT(ISERROR(SEARCH("欠",N24)))</formula>
    </cfRule>
  </conditionalFormatting>
  <pageMargins left="0" right="0.0784722222222222" top="0.306944444444444" bottom="0.306944444444444" header="0.5" footer="0.5"/>
  <pageSetup paperSize="9" scale="45" fitToWidth="0" orientation="landscape" horizontalDpi="600"/>
  <headerFooter alignWithMargins="0" scaleWithDoc="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239"/>
  <sheetViews>
    <sheetView zoomScale="50" zoomScaleNormal="50" workbookViewId="0">
      <pane xSplit="12" ySplit="3" topLeftCell="M74" activePane="bottomRight" state="frozen"/>
      <selection/>
      <selection pane="topRight"/>
      <selection pane="bottomLeft"/>
      <selection pane="bottomRight" activeCell="D1021" sqref="D1021"/>
    </sheetView>
  </sheetViews>
  <sheetFormatPr defaultColWidth="9" defaultRowHeight="20.25"/>
  <cols>
    <col min="1" max="1" width="16.425" style="257" customWidth="1"/>
    <col min="2" max="2" width="11.3" style="257" customWidth="1"/>
    <col min="3" max="3" width="30.2" style="257" customWidth="1"/>
    <col min="4" max="4" width="20.2" style="249" customWidth="1"/>
    <col min="5" max="5" width="22" style="257" customWidth="1"/>
    <col min="6" max="6" width="20.6" style="249" customWidth="1"/>
    <col min="7" max="7" width="12.6416666666667" style="249" customWidth="1"/>
    <col min="8" max="8" width="9.275" style="249" customWidth="1"/>
    <col min="9" max="9" width="9.41666666666667" style="249" customWidth="1"/>
    <col min="10" max="10" width="11.9916666666667" style="249" customWidth="1"/>
    <col min="11" max="11" width="20" style="249" customWidth="1"/>
    <col min="12" max="12" width="20" style="258" customWidth="1"/>
    <col min="13" max="13" width="19.8166666666667" style="257" customWidth="1"/>
    <col min="14" max="14" width="17.4" style="259" customWidth="1"/>
    <col min="15" max="15" width="9.81666666666667" style="260" hidden="1" customWidth="1"/>
    <col min="16" max="17" width="9.81666666666667" style="259" hidden="1" customWidth="1"/>
    <col min="18" max="23" width="17.4" style="257" hidden="1" customWidth="1"/>
    <col min="24" max="24" width="17.4" style="261" hidden="1" customWidth="1"/>
    <col min="25" max="26" width="17.4" style="262" hidden="1" customWidth="1"/>
    <col min="27" max="35" width="17.4" style="263" hidden="1" customWidth="1"/>
    <col min="36" max="36" width="146.75" style="264" customWidth="1"/>
    <col min="37" max="37" width="146.75" style="251" customWidth="1"/>
    <col min="38" max="16259" width="21.325" style="251"/>
    <col min="16260" max="16288" width="9" style="251"/>
    <col min="16289" max="16289" width="9" style="265"/>
    <col min="16290" max="16290" width="21.325" style="265"/>
    <col min="16291" max="16342" width="9" style="265"/>
  </cols>
  <sheetData>
    <row r="1" s="249" customFormat="1" ht="75" customHeight="1" spans="1:36">
      <c r="A1" s="261"/>
      <c r="B1" s="266"/>
      <c r="C1" s="266"/>
      <c r="D1" s="261"/>
      <c r="E1" s="266"/>
      <c r="F1" s="261"/>
      <c r="G1" s="261"/>
      <c r="H1" s="267"/>
      <c r="I1" s="268"/>
      <c r="J1" s="267"/>
      <c r="K1" s="267"/>
      <c r="L1" s="269"/>
      <c r="M1" s="266"/>
      <c r="N1" s="270"/>
      <c r="O1" s="271"/>
      <c r="P1" s="272"/>
      <c r="Q1" s="272"/>
      <c r="R1" s="273"/>
      <c r="S1" s="273"/>
      <c r="T1" s="273"/>
      <c r="U1" s="273"/>
      <c r="V1" s="273"/>
      <c r="W1" s="273"/>
      <c r="X1" s="267"/>
      <c r="Y1" s="274"/>
      <c r="Z1" s="274"/>
      <c r="AA1" s="274"/>
      <c r="AB1" s="275"/>
      <c r="AC1" s="275"/>
      <c r="AD1" s="275"/>
      <c r="AE1" s="275"/>
      <c r="AF1" s="275"/>
      <c r="AG1" s="275"/>
      <c r="AH1" s="275"/>
      <c r="AI1" s="275"/>
      <c r="AJ1" s="276"/>
    </row>
    <row r="2" s="250" customFormat="1" ht="19" customHeight="1" spans="1:36">
      <c r="A2" s="277"/>
      <c r="B2" s="277"/>
      <c r="C2" s="277"/>
      <c r="D2" s="278"/>
      <c r="E2" s="279"/>
      <c r="F2" s="279" t="s">
        <v>3</v>
      </c>
      <c r="G2" s="279"/>
      <c r="H2" s="261"/>
      <c r="I2" s="261" t="s">
        <v>4</v>
      </c>
      <c r="J2" s="261"/>
      <c r="K2" s="261"/>
      <c r="L2" s="280"/>
      <c r="M2" s="266" t="s">
        <v>5</v>
      </c>
      <c r="N2" s="272"/>
      <c r="O2" s="271"/>
      <c r="P2" s="272"/>
      <c r="Q2" s="272"/>
      <c r="R2" s="281" t="s">
        <v>6</v>
      </c>
      <c r="S2" s="281"/>
      <c r="T2" s="281"/>
      <c r="U2" s="281"/>
      <c r="V2" s="281"/>
      <c r="W2" s="281"/>
      <c r="X2" s="281"/>
      <c r="Y2" s="282" t="s">
        <v>286</v>
      </c>
      <c r="Z2" s="282"/>
      <c r="AA2" s="283"/>
      <c r="AB2" s="283" t="s">
        <v>287</v>
      </c>
      <c r="AC2" s="283"/>
      <c r="AD2" s="283"/>
      <c r="AE2" s="283"/>
      <c r="AF2" s="263"/>
      <c r="AG2" s="263"/>
      <c r="AH2" s="263"/>
      <c r="AI2" s="263"/>
      <c r="AJ2" s="276"/>
    </row>
    <row r="3" s="251" customFormat="1" ht="89" customHeight="1" spans="1:36">
      <c r="A3" s="284" t="s">
        <v>15</v>
      </c>
      <c r="B3" s="284" t="s">
        <v>16</v>
      </c>
      <c r="C3" s="284"/>
      <c r="D3" s="284" t="s">
        <v>17</v>
      </c>
      <c r="E3" s="284" t="s">
        <v>21</v>
      </c>
      <c r="F3" s="284" t="s">
        <v>22</v>
      </c>
      <c r="G3" s="284" t="s">
        <v>23</v>
      </c>
      <c r="H3" s="284" t="s">
        <v>24</v>
      </c>
      <c r="I3" s="284" t="s">
        <v>25</v>
      </c>
      <c r="J3" s="284" t="s">
        <v>26</v>
      </c>
      <c r="K3" s="284" t="s">
        <v>27</v>
      </c>
      <c r="L3" s="284" t="s">
        <v>28</v>
      </c>
      <c r="M3" s="285" t="s">
        <v>29</v>
      </c>
      <c r="N3" s="284" t="s">
        <v>40</v>
      </c>
      <c r="O3" s="286" t="s">
        <v>31</v>
      </c>
      <c r="P3" s="287" t="s">
        <v>321</v>
      </c>
      <c r="Q3" s="287" t="s">
        <v>322</v>
      </c>
      <c r="R3" s="284" t="s">
        <v>45</v>
      </c>
      <c r="S3" s="284" t="s">
        <v>290</v>
      </c>
      <c r="T3" s="288" t="s">
        <v>2561</v>
      </c>
      <c r="U3" s="289" t="s">
        <v>2562</v>
      </c>
      <c r="V3" s="290" t="s">
        <v>2563</v>
      </c>
      <c r="W3" s="291" t="s">
        <v>2564</v>
      </c>
      <c r="X3" s="289" t="s">
        <v>48</v>
      </c>
      <c r="Y3" s="289" t="s">
        <v>294</v>
      </c>
      <c r="Z3" s="291" t="s">
        <v>295</v>
      </c>
      <c r="AA3" s="292" t="s">
        <v>52</v>
      </c>
      <c r="AB3" s="292" t="s">
        <v>53</v>
      </c>
      <c r="AC3" s="292" t="s">
        <v>2565</v>
      </c>
      <c r="AD3" s="292" t="s">
        <v>300</v>
      </c>
      <c r="AE3" s="293" t="s">
        <v>2566</v>
      </c>
      <c r="AF3" s="284" t="s">
        <v>2567</v>
      </c>
      <c r="AG3" s="294" t="s">
        <v>2568</v>
      </c>
      <c r="AH3" s="284" t="s">
        <v>2569</v>
      </c>
      <c r="AI3" s="294" t="s">
        <v>2570</v>
      </c>
      <c r="AJ3" s="295" t="s">
        <v>13032</v>
      </c>
    </row>
    <row r="4" s="252" customFormat="1" ht="50" customHeight="1" spans="1:36">
      <c r="A4" s="296" t="s">
        <v>1315</v>
      </c>
      <c r="B4" s="297" t="s">
        <v>1316</v>
      </c>
      <c r="C4" s="297"/>
      <c r="D4" s="298">
        <v>4500166280</v>
      </c>
      <c r="E4" s="297" t="s">
        <v>3821</v>
      </c>
      <c r="F4" s="297" t="s">
        <v>1320</v>
      </c>
      <c r="G4" s="299">
        <v>3800</v>
      </c>
      <c r="H4" s="299">
        <v>0</v>
      </c>
      <c r="I4" s="299">
        <v>4</v>
      </c>
      <c r="J4" s="299">
        <f t="shared" ref="J4:J67" si="0">G4/I4</f>
        <v>950</v>
      </c>
      <c r="K4" s="300">
        <v>45829</v>
      </c>
      <c r="L4" s="300">
        <f t="shared" ref="L4:L10" si="1">K4-4</f>
        <v>45825</v>
      </c>
      <c r="M4" s="297" t="s">
        <v>1321</v>
      </c>
      <c r="N4" s="297" t="s">
        <v>1326</v>
      </c>
      <c r="O4" s="301"/>
      <c r="P4" s="302"/>
      <c r="Q4" s="302"/>
      <c r="R4" s="303"/>
      <c r="S4" s="299"/>
      <c r="T4" s="299"/>
      <c r="U4" s="303"/>
      <c r="V4" s="297"/>
      <c r="W4" s="297"/>
      <c r="X4" s="299">
        <f>G4</f>
        <v>3800</v>
      </c>
      <c r="Y4" s="299"/>
      <c r="Z4" s="299"/>
      <c r="AA4" s="304">
        <f>G4</f>
        <v>3800</v>
      </c>
      <c r="AB4" s="305"/>
      <c r="AC4" s="306">
        <f t="shared" ref="AC4:AC16" si="2">G4</f>
        <v>3800</v>
      </c>
      <c r="AD4" s="305"/>
      <c r="AE4" s="304"/>
      <c r="AF4" s="304"/>
      <c r="AG4" s="304"/>
      <c r="AH4" s="304"/>
      <c r="AI4" s="304"/>
      <c r="AJ4" s="264" t="s">
        <v>13033</v>
      </c>
    </row>
    <row r="5" s="253" customFormat="1" ht="50" customHeight="1" spans="1:36">
      <c r="A5" s="307" t="s">
        <v>3827</v>
      </c>
      <c r="B5" s="308" t="s">
        <v>3828</v>
      </c>
      <c r="C5" s="308"/>
      <c r="D5" s="309">
        <v>4500165723</v>
      </c>
      <c r="E5" s="308" t="s">
        <v>2577</v>
      </c>
      <c r="F5" s="308" t="s">
        <v>2578</v>
      </c>
      <c r="G5" s="310">
        <v>552</v>
      </c>
      <c r="H5" s="310">
        <v>0</v>
      </c>
      <c r="I5" s="310">
        <v>12</v>
      </c>
      <c r="J5" s="310">
        <f t="shared" si="0"/>
        <v>46</v>
      </c>
      <c r="K5" s="311">
        <v>45824</v>
      </c>
      <c r="L5" s="311">
        <f t="shared" si="1"/>
        <v>45820</v>
      </c>
      <c r="M5" s="308"/>
      <c r="N5" s="308" t="s">
        <v>3832</v>
      </c>
      <c r="O5" s="312"/>
      <c r="P5" s="313"/>
      <c r="Q5" s="313"/>
      <c r="R5" s="314"/>
      <c r="S5" s="310"/>
      <c r="T5" s="310"/>
      <c r="U5" s="314"/>
      <c r="V5" s="308">
        <f>G5</f>
        <v>552</v>
      </c>
      <c r="W5" s="308"/>
      <c r="X5" s="310"/>
      <c r="Y5" s="310">
        <f t="shared" ref="Y5:Y17" si="3">G5</f>
        <v>552</v>
      </c>
      <c r="Z5" s="310"/>
      <c r="AA5" s="315"/>
      <c r="AB5" s="316"/>
      <c r="AC5" s="306">
        <f t="shared" si="2"/>
        <v>552</v>
      </c>
      <c r="AD5" s="316"/>
      <c r="AE5" s="315"/>
      <c r="AF5" s="315">
        <f t="shared" ref="AF5:AF16" si="4">G5/6</f>
        <v>92</v>
      </c>
      <c r="AG5" s="315"/>
      <c r="AH5" s="315"/>
      <c r="AI5" s="315"/>
      <c r="AJ5" s="264" t="s">
        <v>13034</v>
      </c>
    </row>
    <row r="6" s="253" customFormat="1" ht="50" customHeight="1" spans="1:36">
      <c r="A6" s="307" t="s">
        <v>3843</v>
      </c>
      <c r="B6" s="308" t="s">
        <v>341</v>
      </c>
      <c r="C6" s="308"/>
      <c r="D6" s="309">
        <v>4500164628</v>
      </c>
      <c r="E6" s="308" t="s">
        <v>2577</v>
      </c>
      <c r="F6" s="308" t="s">
        <v>2578</v>
      </c>
      <c r="G6" s="310">
        <v>540</v>
      </c>
      <c r="H6" s="310">
        <v>0</v>
      </c>
      <c r="I6" s="310">
        <v>12</v>
      </c>
      <c r="J6" s="310">
        <f t="shared" si="0"/>
        <v>45</v>
      </c>
      <c r="K6" s="311">
        <v>45826</v>
      </c>
      <c r="L6" s="311">
        <v>45822</v>
      </c>
      <c r="M6" s="308"/>
      <c r="N6" s="308" t="s">
        <v>3847</v>
      </c>
      <c r="O6" s="312"/>
      <c r="P6" s="313"/>
      <c r="Q6" s="313"/>
      <c r="R6" s="314"/>
      <c r="S6" s="310">
        <f>G6</f>
        <v>540</v>
      </c>
      <c r="T6" s="310"/>
      <c r="U6" s="314"/>
      <c r="V6" s="308"/>
      <c r="W6" s="308"/>
      <c r="X6" s="310"/>
      <c r="Y6" s="310">
        <f t="shared" si="3"/>
        <v>540</v>
      </c>
      <c r="Z6" s="310"/>
      <c r="AA6" s="315"/>
      <c r="AB6" s="316"/>
      <c r="AC6" s="306">
        <f t="shared" si="2"/>
        <v>540</v>
      </c>
      <c r="AD6" s="316"/>
      <c r="AE6" s="315"/>
      <c r="AF6" s="315">
        <f t="shared" si="4"/>
        <v>90</v>
      </c>
      <c r="AG6" s="315"/>
      <c r="AH6" s="315"/>
      <c r="AI6" s="315"/>
      <c r="AJ6" s="264" t="s">
        <v>13034</v>
      </c>
    </row>
    <row r="7" s="254" customFormat="1" ht="50" customHeight="1" spans="1:36">
      <c r="A7" s="317" t="s">
        <v>2285</v>
      </c>
      <c r="B7" s="318" t="s">
        <v>2580</v>
      </c>
      <c r="C7" s="318" t="str">
        <f>D7&amp;E7&amp;F7&amp;G7</f>
        <v>45001514049298TQ1-S001狗蛋四代PDQ1428</v>
      </c>
      <c r="D7" s="319">
        <v>4500151404</v>
      </c>
      <c r="E7" s="318" t="s">
        <v>2577</v>
      </c>
      <c r="F7" s="318" t="s">
        <v>2578</v>
      </c>
      <c r="G7" s="320">
        <v>1428</v>
      </c>
      <c r="H7" s="320">
        <v>0</v>
      </c>
      <c r="I7" s="320">
        <v>12</v>
      </c>
      <c r="J7" s="320">
        <f t="shared" si="0"/>
        <v>119</v>
      </c>
      <c r="K7" s="321">
        <v>45817</v>
      </c>
      <c r="L7" s="321">
        <v>45813</v>
      </c>
      <c r="M7" s="318" t="s">
        <v>12612</v>
      </c>
      <c r="N7" s="318" t="s">
        <v>357</v>
      </c>
      <c r="O7" s="322"/>
      <c r="P7" s="323"/>
      <c r="Q7" s="323"/>
      <c r="R7" s="324"/>
      <c r="S7" s="320"/>
      <c r="T7" s="320">
        <f t="shared" ref="T7:T12" si="5">G7</f>
        <v>1428</v>
      </c>
      <c r="U7" s="324"/>
      <c r="V7" s="318"/>
      <c r="W7" s="318"/>
      <c r="X7" s="320"/>
      <c r="Y7" s="320">
        <f t="shared" si="3"/>
        <v>1428</v>
      </c>
      <c r="Z7" s="320"/>
      <c r="AA7" s="325"/>
      <c r="AB7" s="326"/>
      <c r="AC7" s="325">
        <f t="shared" si="2"/>
        <v>1428</v>
      </c>
      <c r="AD7" s="326"/>
      <c r="AE7" s="325"/>
      <c r="AF7" s="325">
        <f t="shared" si="4"/>
        <v>238</v>
      </c>
      <c r="AG7" s="325"/>
      <c r="AH7" s="325"/>
      <c r="AI7" s="325"/>
      <c r="AJ7" s="327" t="s">
        <v>13035</v>
      </c>
    </row>
    <row r="8" s="254" customFormat="1" ht="50" customHeight="1" spans="1:36">
      <c r="A8" s="317" t="s">
        <v>2285</v>
      </c>
      <c r="B8" s="318" t="s">
        <v>2580</v>
      </c>
      <c r="C8" s="318" t="str">
        <f t="shared" ref="C8:C39" si="6">D8&amp;E8&amp;F8&amp;G8</f>
        <v>45001514049298TQ1-S001狗蛋四代PDQ732</v>
      </c>
      <c r="D8" s="319">
        <v>4500151404</v>
      </c>
      <c r="E8" s="318" t="s">
        <v>2577</v>
      </c>
      <c r="F8" s="318" t="s">
        <v>2578</v>
      </c>
      <c r="G8" s="320">
        <v>732</v>
      </c>
      <c r="H8" s="320">
        <v>0</v>
      </c>
      <c r="I8" s="320">
        <v>12</v>
      </c>
      <c r="J8" s="320">
        <f t="shared" si="0"/>
        <v>61</v>
      </c>
      <c r="K8" s="321">
        <v>45817</v>
      </c>
      <c r="L8" s="321">
        <v>45813</v>
      </c>
      <c r="M8" s="318" t="s">
        <v>12612</v>
      </c>
      <c r="N8" s="318" t="s">
        <v>357</v>
      </c>
      <c r="O8" s="322"/>
      <c r="P8" s="323"/>
      <c r="Q8" s="323"/>
      <c r="R8" s="324"/>
      <c r="S8" s="320"/>
      <c r="T8" s="320">
        <f t="shared" si="5"/>
        <v>732</v>
      </c>
      <c r="U8" s="324"/>
      <c r="V8" s="318"/>
      <c r="W8" s="318"/>
      <c r="X8" s="320"/>
      <c r="Y8" s="320">
        <f t="shared" si="3"/>
        <v>732</v>
      </c>
      <c r="Z8" s="320"/>
      <c r="AA8" s="325"/>
      <c r="AB8" s="326"/>
      <c r="AC8" s="325">
        <f t="shared" si="2"/>
        <v>732</v>
      </c>
      <c r="AD8" s="326"/>
      <c r="AE8" s="325"/>
      <c r="AF8" s="325">
        <f t="shared" si="4"/>
        <v>122</v>
      </c>
      <c r="AG8" s="325"/>
      <c r="AH8" s="325"/>
      <c r="AI8" s="325"/>
      <c r="AJ8" s="327" t="s">
        <v>13035</v>
      </c>
    </row>
    <row r="9" s="254" customFormat="1" ht="50" customHeight="1" spans="1:36">
      <c r="A9" s="317" t="s">
        <v>2285</v>
      </c>
      <c r="B9" s="318" t="s">
        <v>351</v>
      </c>
      <c r="C9" s="318" t="str">
        <f t="shared" si="6"/>
        <v>45001644519298TQ1-S001狗蛋四代PDQ7044</v>
      </c>
      <c r="D9" s="319">
        <v>4500164451</v>
      </c>
      <c r="E9" s="318" t="s">
        <v>2577</v>
      </c>
      <c r="F9" s="318" t="s">
        <v>2578</v>
      </c>
      <c r="G9" s="320">
        <v>7044</v>
      </c>
      <c r="H9" s="320">
        <v>0</v>
      </c>
      <c r="I9" s="320">
        <v>12</v>
      </c>
      <c r="J9" s="320">
        <f t="shared" si="0"/>
        <v>587</v>
      </c>
      <c r="K9" s="321">
        <v>45836</v>
      </c>
      <c r="L9" s="321">
        <f t="shared" si="1"/>
        <v>45832</v>
      </c>
      <c r="M9" s="318" t="s">
        <v>12612</v>
      </c>
      <c r="N9" s="318" t="s">
        <v>1199</v>
      </c>
      <c r="O9" s="328"/>
      <c r="P9" s="329"/>
      <c r="Q9" s="329"/>
      <c r="R9" s="330"/>
      <c r="S9" s="320"/>
      <c r="T9" s="320"/>
      <c r="U9" s="330"/>
      <c r="V9" s="318"/>
      <c r="W9" s="318"/>
      <c r="X9" s="320">
        <f t="shared" ref="X9:X16" si="7">G9</f>
        <v>7044</v>
      </c>
      <c r="Y9" s="320">
        <f t="shared" si="3"/>
        <v>7044</v>
      </c>
      <c r="Z9" s="320"/>
      <c r="AA9" s="325"/>
      <c r="AB9" s="326"/>
      <c r="AC9" s="325">
        <f t="shared" si="2"/>
        <v>7044</v>
      </c>
      <c r="AD9" s="326"/>
      <c r="AE9" s="325"/>
      <c r="AF9" s="325">
        <f t="shared" si="4"/>
        <v>1174</v>
      </c>
      <c r="AG9" s="325"/>
      <c r="AH9" s="325"/>
      <c r="AI9" s="325"/>
      <c r="AJ9" s="327" t="s">
        <v>13035</v>
      </c>
    </row>
    <row r="10" s="254" customFormat="1" ht="50" customHeight="1" spans="1:36">
      <c r="A10" s="317" t="s">
        <v>2285</v>
      </c>
      <c r="B10" s="318" t="s">
        <v>351</v>
      </c>
      <c r="C10" s="318" t="str">
        <f t="shared" si="6"/>
        <v>45001644519298TQ1-S001狗蛋四代PDQ2736</v>
      </c>
      <c r="D10" s="319">
        <v>4500164451</v>
      </c>
      <c r="E10" s="318" t="s">
        <v>2577</v>
      </c>
      <c r="F10" s="318" t="s">
        <v>2578</v>
      </c>
      <c r="G10" s="320">
        <v>2736</v>
      </c>
      <c r="H10" s="320">
        <v>0</v>
      </c>
      <c r="I10" s="320">
        <v>12</v>
      </c>
      <c r="J10" s="320">
        <f t="shared" si="0"/>
        <v>228</v>
      </c>
      <c r="K10" s="321">
        <v>45836</v>
      </c>
      <c r="L10" s="321">
        <f t="shared" si="1"/>
        <v>45832</v>
      </c>
      <c r="M10" s="318" t="s">
        <v>12612</v>
      </c>
      <c r="N10" s="318" t="s">
        <v>1199</v>
      </c>
      <c r="O10" s="328"/>
      <c r="P10" s="329"/>
      <c r="Q10" s="329"/>
      <c r="R10" s="330"/>
      <c r="S10" s="320"/>
      <c r="T10" s="320"/>
      <c r="U10" s="330"/>
      <c r="V10" s="318"/>
      <c r="W10" s="318"/>
      <c r="X10" s="320">
        <f t="shared" si="7"/>
        <v>2736</v>
      </c>
      <c r="Y10" s="320">
        <f t="shared" si="3"/>
        <v>2736</v>
      </c>
      <c r="Z10" s="320"/>
      <c r="AA10" s="325"/>
      <c r="AB10" s="326"/>
      <c r="AC10" s="325">
        <f t="shared" si="2"/>
        <v>2736</v>
      </c>
      <c r="AD10" s="326"/>
      <c r="AE10" s="325"/>
      <c r="AF10" s="325">
        <f t="shared" si="4"/>
        <v>456</v>
      </c>
      <c r="AG10" s="325"/>
      <c r="AH10" s="325"/>
      <c r="AI10" s="325"/>
      <c r="AJ10" s="327" t="s">
        <v>13035</v>
      </c>
    </row>
    <row r="11" s="254" customFormat="1" ht="50" customHeight="1" spans="1:36">
      <c r="A11" s="317" t="s">
        <v>2285</v>
      </c>
      <c r="B11" s="318" t="s">
        <v>2580</v>
      </c>
      <c r="C11" s="318" t="str">
        <f t="shared" si="6"/>
        <v>45001514149298TQ1-S001狗蛋四代PDQ1320</v>
      </c>
      <c r="D11" s="319">
        <v>4500151414</v>
      </c>
      <c r="E11" s="318" t="s">
        <v>2577</v>
      </c>
      <c r="F11" s="318" t="s">
        <v>2578</v>
      </c>
      <c r="G11" s="320">
        <v>1320</v>
      </c>
      <c r="H11" s="320">
        <v>0</v>
      </c>
      <c r="I11" s="320">
        <v>12</v>
      </c>
      <c r="J11" s="320">
        <f t="shared" si="0"/>
        <v>110</v>
      </c>
      <c r="K11" s="321">
        <v>45847</v>
      </c>
      <c r="L11" s="321">
        <v>45843</v>
      </c>
      <c r="M11" s="318" t="s">
        <v>12612</v>
      </c>
      <c r="N11" s="318" t="s">
        <v>357</v>
      </c>
      <c r="O11" s="322"/>
      <c r="P11" s="323"/>
      <c r="Q11" s="323"/>
      <c r="R11" s="324"/>
      <c r="S11" s="320"/>
      <c r="T11" s="320">
        <f t="shared" si="5"/>
        <v>1320</v>
      </c>
      <c r="U11" s="324"/>
      <c r="V11" s="318"/>
      <c r="W11" s="318"/>
      <c r="X11" s="320"/>
      <c r="Y11" s="320">
        <f t="shared" si="3"/>
        <v>1320</v>
      </c>
      <c r="Z11" s="320"/>
      <c r="AA11" s="325"/>
      <c r="AB11" s="326"/>
      <c r="AC11" s="325">
        <f t="shared" si="2"/>
        <v>1320</v>
      </c>
      <c r="AD11" s="326"/>
      <c r="AE11" s="325"/>
      <c r="AF11" s="325">
        <f t="shared" si="4"/>
        <v>220</v>
      </c>
      <c r="AG11" s="325"/>
      <c r="AH11" s="325"/>
      <c r="AI11" s="325"/>
      <c r="AJ11" s="327" t="s">
        <v>13035</v>
      </c>
    </row>
    <row r="12" s="254" customFormat="1" ht="50" customHeight="1" spans="1:36">
      <c r="A12" s="317" t="s">
        <v>2285</v>
      </c>
      <c r="B12" s="318" t="s">
        <v>2580</v>
      </c>
      <c r="C12" s="318" t="str">
        <f t="shared" si="6"/>
        <v>45001514149298TQ1-S001狗蛋四代PDQ576</v>
      </c>
      <c r="D12" s="319">
        <v>4500151414</v>
      </c>
      <c r="E12" s="318" t="s">
        <v>2577</v>
      </c>
      <c r="F12" s="318" t="s">
        <v>2578</v>
      </c>
      <c r="G12" s="320">
        <v>576</v>
      </c>
      <c r="H12" s="320">
        <v>0</v>
      </c>
      <c r="I12" s="320">
        <v>12</v>
      </c>
      <c r="J12" s="320">
        <f t="shared" si="0"/>
        <v>48</v>
      </c>
      <c r="K12" s="321">
        <v>45847</v>
      </c>
      <c r="L12" s="321">
        <v>45843</v>
      </c>
      <c r="M12" s="318" t="s">
        <v>12612</v>
      </c>
      <c r="N12" s="318" t="s">
        <v>357</v>
      </c>
      <c r="O12" s="322"/>
      <c r="P12" s="323"/>
      <c r="Q12" s="323"/>
      <c r="R12" s="324"/>
      <c r="S12" s="320"/>
      <c r="T12" s="320">
        <f t="shared" si="5"/>
        <v>576</v>
      </c>
      <c r="U12" s="324"/>
      <c r="V12" s="318"/>
      <c r="W12" s="318"/>
      <c r="X12" s="320"/>
      <c r="Y12" s="320">
        <f t="shared" si="3"/>
        <v>576</v>
      </c>
      <c r="Z12" s="320"/>
      <c r="AA12" s="325"/>
      <c r="AB12" s="326"/>
      <c r="AC12" s="325">
        <f t="shared" si="2"/>
        <v>576</v>
      </c>
      <c r="AD12" s="326"/>
      <c r="AE12" s="325"/>
      <c r="AF12" s="325">
        <f t="shared" si="4"/>
        <v>96</v>
      </c>
      <c r="AG12" s="325"/>
      <c r="AH12" s="325"/>
      <c r="AI12" s="325"/>
      <c r="AJ12" s="327" t="s">
        <v>13035</v>
      </c>
    </row>
    <row r="13" s="254" customFormat="1" ht="50" customHeight="1" spans="1:36">
      <c r="A13" s="317" t="s">
        <v>2285</v>
      </c>
      <c r="B13" s="318" t="s">
        <v>351</v>
      </c>
      <c r="C13" s="318" t="str">
        <f t="shared" si="6"/>
        <v>45001644579298TQ1-S001狗蛋四代PDQ4716</v>
      </c>
      <c r="D13" s="319">
        <v>4500164457</v>
      </c>
      <c r="E13" s="318" t="s">
        <v>2577</v>
      </c>
      <c r="F13" s="318" t="s">
        <v>2578</v>
      </c>
      <c r="G13" s="320">
        <v>4716</v>
      </c>
      <c r="H13" s="320">
        <v>0</v>
      </c>
      <c r="I13" s="320">
        <v>12</v>
      </c>
      <c r="J13" s="320">
        <f t="shared" si="0"/>
        <v>393</v>
      </c>
      <c r="K13" s="321">
        <v>45866</v>
      </c>
      <c r="L13" s="321">
        <f>K13-4</f>
        <v>45862</v>
      </c>
      <c r="M13" s="318" t="s">
        <v>12612</v>
      </c>
      <c r="N13" s="318" t="s">
        <v>1199</v>
      </c>
      <c r="O13" s="328"/>
      <c r="P13" s="329"/>
      <c r="Q13" s="329"/>
      <c r="R13" s="330"/>
      <c r="S13" s="320"/>
      <c r="T13" s="320"/>
      <c r="U13" s="330"/>
      <c r="V13" s="318"/>
      <c r="W13" s="318"/>
      <c r="X13" s="320">
        <f t="shared" si="7"/>
        <v>4716</v>
      </c>
      <c r="Y13" s="320">
        <f t="shared" si="3"/>
        <v>4716</v>
      </c>
      <c r="Z13" s="320"/>
      <c r="AA13" s="325"/>
      <c r="AB13" s="326"/>
      <c r="AC13" s="325">
        <f t="shared" si="2"/>
        <v>4716</v>
      </c>
      <c r="AD13" s="326"/>
      <c r="AE13" s="325"/>
      <c r="AF13" s="325">
        <f t="shared" si="4"/>
        <v>786</v>
      </c>
      <c r="AG13" s="325"/>
      <c r="AH13" s="325"/>
      <c r="AI13" s="325"/>
      <c r="AJ13" s="327" t="s">
        <v>13035</v>
      </c>
    </row>
    <row r="14" s="254" customFormat="1" ht="50" customHeight="1" spans="1:36">
      <c r="A14" s="317" t="s">
        <v>2285</v>
      </c>
      <c r="B14" s="318" t="s">
        <v>351</v>
      </c>
      <c r="C14" s="318" t="str">
        <f t="shared" si="6"/>
        <v>45001644579298TQ1-S001狗蛋四代PDQ1836</v>
      </c>
      <c r="D14" s="319">
        <v>4500164457</v>
      </c>
      <c r="E14" s="318" t="s">
        <v>2577</v>
      </c>
      <c r="F14" s="318" t="s">
        <v>2578</v>
      </c>
      <c r="G14" s="320">
        <v>1836</v>
      </c>
      <c r="H14" s="320">
        <v>0</v>
      </c>
      <c r="I14" s="320">
        <v>12</v>
      </c>
      <c r="J14" s="320">
        <f t="shared" si="0"/>
        <v>153</v>
      </c>
      <c r="K14" s="321">
        <v>45866</v>
      </c>
      <c r="L14" s="321">
        <f>K14-4</f>
        <v>45862</v>
      </c>
      <c r="M14" s="318" t="s">
        <v>12612</v>
      </c>
      <c r="N14" s="318" t="s">
        <v>1199</v>
      </c>
      <c r="O14" s="328"/>
      <c r="P14" s="329"/>
      <c r="Q14" s="329"/>
      <c r="R14" s="330"/>
      <c r="S14" s="320"/>
      <c r="T14" s="320"/>
      <c r="U14" s="330"/>
      <c r="V14" s="318"/>
      <c r="W14" s="318"/>
      <c r="X14" s="320">
        <f t="shared" si="7"/>
        <v>1836</v>
      </c>
      <c r="Y14" s="320">
        <f t="shared" si="3"/>
        <v>1836</v>
      </c>
      <c r="Z14" s="320"/>
      <c r="AA14" s="325"/>
      <c r="AB14" s="326"/>
      <c r="AC14" s="325">
        <f t="shared" si="2"/>
        <v>1836</v>
      </c>
      <c r="AD14" s="326"/>
      <c r="AE14" s="325"/>
      <c r="AF14" s="325">
        <f t="shared" si="4"/>
        <v>306</v>
      </c>
      <c r="AG14" s="325"/>
      <c r="AH14" s="325"/>
      <c r="AI14" s="325"/>
      <c r="AJ14" s="327" t="s">
        <v>13035</v>
      </c>
    </row>
    <row r="15" s="254" customFormat="1" ht="50" customHeight="1" spans="1:36">
      <c r="A15" s="317" t="s">
        <v>2285</v>
      </c>
      <c r="B15" s="318" t="s">
        <v>351</v>
      </c>
      <c r="C15" s="318" t="str">
        <f t="shared" si="6"/>
        <v>45001644649298TQ1-S001狗蛋四代PDQ4092</v>
      </c>
      <c r="D15" s="319">
        <v>4500164464</v>
      </c>
      <c r="E15" s="318" t="s">
        <v>2577</v>
      </c>
      <c r="F15" s="318" t="s">
        <v>2578</v>
      </c>
      <c r="G15" s="320">
        <v>4092</v>
      </c>
      <c r="H15" s="320">
        <v>0</v>
      </c>
      <c r="I15" s="320">
        <v>12</v>
      </c>
      <c r="J15" s="320">
        <f t="shared" si="0"/>
        <v>341</v>
      </c>
      <c r="K15" s="321">
        <v>45896</v>
      </c>
      <c r="L15" s="321">
        <v>45892</v>
      </c>
      <c r="M15" s="318" t="s">
        <v>12612</v>
      </c>
      <c r="N15" s="318" t="s">
        <v>1199</v>
      </c>
      <c r="O15" s="328"/>
      <c r="P15" s="329"/>
      <c r="Q15" s="329"/>
      <c r="R15" s="330"/>
      <c r="S15" s="320"/>
      <c r="T15" s="320"/>
      <c r="U15" s="330"/>
      <c r="V15" s="318"/>
      <c r="W15" s="318"/>
      <c r="X15" s="320">
        <f t="shared" si="7"/>
        <v>4092</v>
      </c>
      <c r="Y15" s="320">
        <f t="shared" si="3"/>
        <v>4092</v>
      </c>
      <c r="Z15" s="320"/>
      <c r="AA15" s="325"/>
      <c r="AB15" s="326"/>
      <c r="AC15" s="325">
        <f t="shared" si="2"/>
        <v>4092</v>
      </c>
      <c r="AD15" s="326"/>
      <c r="AE15" s="325"/>
      <c r="AF15" s="325">
        <f t="shared" si="4"/>
        <v>682</v>
      </c>
      <c r="AG15" s="325"/>
      <c r="AH15" s="325"/>
      <c r="AI15" s="325"/>
      <c r="AJ15" s="327" t="s">
        <v>13035</v>
      </c>
    </row>
    <row r="16" s="254" customFormat="1" ht="50" customHeight="1" spans="1:36">
      <c r="A16" s="317" t="s">
        <v>2285</v>
      </c>
      <c r="B16" s="318" t="s">
        <v>351</v>
      </c>
      <c r="C16" s="318" t="str">
        <f t="shared" si="6"/>
        <v>45001644649298TQ1-S001狗蛋四代PDQ1584</v>
      </c>
      <c r="D16" s="319">
        <v>4500164464</v>
      </c>
      <c r="E16" s="318" t="s">
        <v>2577</v>
      </c>
      <c r="F16" s="318" t="s">
        <v>2578</v>
      </c>
      <c r="G16" s="320">
        <v>1584</v>
      </c>
      <c r="H16" s="320">
        <v>0</v>
      </c>
      <c r="I16" s="320">
        <v>12</v>
      </c>
      <c r="J16" s="320">
        <f t="shared" si="0"/>
        <v>132</v>
      </c>
      <c r="K16" s="321">
        <v>45896</v>
      </c>
      <c r="L16" s="321">
        <v>45892</v>
      </c>
      <c r="M16" s="318" t="s">
        <v>12612</v>
      </c>
      <c r="N16" s="318" t="s">
        <v>1199</v>
      </c>
      <c r="O16" s="328"/>
      <c r="P16" s="329"/>
      <c r="Q16" s="329"/>
      <c r="R16" s="330"/>
      <c r="S16" s="320"/>
      <c r="T16" s="320"/>
      <c r="U16" s="330"/>
      <c r="V16" s="318"/>
      <c r="W16" s="318"/>
      <c r="X16" s="320">
        <f t="shared" si="7"/>
        <v>1584</v>
      </c>
      <c r="Y16" s="320">
        <f t="shared" si="3"/>
        <v>1584</v>
      </c>
      <c r="Z16" s="320"/>
      <c r="AA16" s="325"/>
      <c r="AB16" s="326"/>
      <c r="AC16" s="325">
        <f t="shared" si="2"/>
        <v>1584</v>
      </c>
      <c r="AD16" s="326"/>
      <c r="AE16" s="325"/>
      <c r="AF16" s="325">
        <f t="shared" si="4"/>
        <v>264</v>
      </c>
      <c r="AG16" s="325"/>
      <c r="AH16" s="325"/>
      <c r="AI16" s="325"/>
      <c r="AJ16" s="327" t="s">
        <v>13035</v>
      </c>
    </row>
    <row r="17" s="251" customFormat="1" ht="50" customHeight="1" spans="1:36">
      <c r="A17" s="331" t="s">
        <v>3156</v>
      </c>
      <c r="B17" s="324" t="s">
        <v>471</v>
      </c>
      <c r="C17" s="318" t="str">
        <f t="shared" si="6"/>
        <v>4500160859MTQ39-S001
-NB-MTS-9298狗蛋四代混装（92104+9298）7800</v>
      </c>
      <c r="D17" s="332">
        <v>4500160859</v>
      </c>
      <c r="E17" s="324" t="s">
        <v>3838</v>
      </c>
      <c r="F17" s="324" t="s">
        <v>3353</v>
      </c>
      <c r="G17" s="333">
        <v>7800</v>
      </c>
      <c r="H17" s="333">
        <v>0</v>
      </c>
      <c r="I17" s="333">
        <v>6</v>
      </c>
      <c r="J17" s="333">
        <f t="shared" si="0"/>
        <v>1300</v>
      </c>
      <c r="K17" s="334">
        <v>45824</v>
      </c>
      <c r="L17" s="334">
        <v>45820</v>
      </c>
      <c r="M17" s="335" t="s">
        <v>13036</v>
      </c>
      <c r="N17" s="324" t="s">
        <v>3593</v>
      </c>
      <c r="O17" s="336"/>
      <c r="P17" s="337"/>
      <c r="Q17" s="337"/>
      <c r="R17" s="338"/>
      <c r="S17" s="333"/>
      <c r="T17" s="333"/>
      <c r="U17" s="339"/>
      <c r="V17" s="324">
        <f>G17</f>
        <v>7800</v>
      </c>
      <c r="W17" s="324"/>
      <c r="X17" s="333"/>
      <c r="Y17" s="333">
        <f t="shared" si="3"/>
        <v>7800</v>
      </c>
      <c r="Z17" s="333"/>
      <c r="AA17" s="340"/>
      <c r="AB17" s="341"/>
      <c r="AC17" s="340"/>
      <c r="AD17" s="341"/>
      <c r="AE17" s="340">
        <f>G17</f>
        <v>7800</v>
      </c>
      <c r="AF17" s="340"/>
      <c r="AG17" s="340"/>
      <c r="AH17" s="340"/>
      <c r="AI17" s="340"/>
      <c r="AJ17" s="264" t="s">
        <v>13034</v>
      </c>
    </row>
    <row r="18" s="251" customFormat="1" ht="50" customHeight="1" spans="1:36">
      <c r="A18" s="331" t="s">
        <v>1315</v>
      </c>
      <c r="B18" s="324" t="s">
        <v>1316</v>
      </c>
      <c r="C18" s="318" t="str">
        <f t="shared" si="6"/>
        <v>4500166280MTQ41-S001-92135狗蛋四代混装（9279+9298）6000</v>
      </c>
      <c r="D18" s="332">
        <v>4500166280</v>
      </c>
      <c r="E18" s="324" t="s">
        <v>3821</v>
      </c>
      <c r="F18" s="324" t="s">
        <v>1320</v>
      </c>
      <c r="G18" s="333">
        <v>6000</v>
      </c>
      <c r="H18" s="333">
        <v>0</v>
      </c>
      <c r="I18" s="333">
        <v>4</v>
      </c>
      <c r="J18" s="333">
        <f t="shared" si="0"/>
        <v>1500</v>
      </c>
      <c r="K18" s="334">
        <v>45822</v>
      </c>
      <c r="L18" s="334">
        <v>45819</v>
      </c>
      <c r="M18" s="342" t="s">
        <v>13037</v>
      </c>
      <c r="N18" s="324" t="s">
        <v>1326</v>
      </c>
      <c r="O18" s="328"/>
      <c r="P18" s="329"/>
      <c r="Q18" s="329"/>
      <c r="R18" s="330"/>
      <c r="S18" s="333"/>
      <c r="T18" s="333"/>
      <c r="U18" s="330"/>
      <c r="V18" s="324"/>
      <c r="W18" s="324"/>
      <c r="X18" s="333">
        <f t="shared" ref="X18:X21" si="8">G18</f>
        <v>6000</v>
      </c>
      <c r="Y18" s="333"/>
      <c r="Z18" s="333"/>
      <c r="AA18" s="340">
        <f t="shared" ref="AA18:AA21" si="9">G18</f>
        <v>6000</v>
      </c>
      <c r="AB18" s="326"/>
      <c r="AC18" s="343">
        <f t="shared" ref="AC18:AC30" si="10">G18</f>
        <v>6000</v>
      </c>
      <c r="AD18" s="326"/>
      <c r="AE18" s="340"/>
      <c r="AF18" s="340"/>
      <c r="AG18" s="340"/>
      <c r="AH18" s="340"/>
      <c r="AI18" s="340"/>
      <c r="AJ18" s="264" t="s">
        <v>13033</v>
      </c>
    </row>
    <row r="19" s="251" customFormat="1" ht="50" customHeight="1" spans="1:36">
      <c r="A19" s="331" t="s">
        <v>672</v>
      </c>
      <c r="B19" s="324" t="s">
        <v>673</v>
      </c>
      <c r="C19" s="318" t="str">
        <f t="shared" si="6"/>
        <v>45001659149298TQ1-S002狗蛋四代2400</v>
      </c>
      <c r="D19" s="332">
        <v>4500165914</v>
      </c>
      <c r="E19" s="324" t="s">
        <v>2590</v>
      </c>
      <c r="F19" s="324" t="s">
        <v>2591</v>
      </c>
      <c r="G19" s="333">
        <v>2400</v>
      </c>
      <c r="H19" s="333">
        <v>0</v>
      </c>
      <c r="I19" s="333">
        <v>6</v>
      </c>
      <c r="J19" s="333">
        <f t="shared" si="0"/>
        <v>400</v>
      </c>
      <c r="K19" s="334">
        <v>45824</v>
      </c>
      <c r="L19" s="334">
        <f t="shared" ref="L19:L21" si="11">K19-4</f>
        <v>45820</v>
      </c>
      <c r="M19" s="335" t="s">
        <v>13038</v>
      </c>
      <c r="N19" s="324" t="s">
        <v>3836</v>
      </c>
      <c r="O19" s="328"/>
      <c r="P19" s="329"/>
      <c r="Q19" s="329"/>
      <c r="R19" s="330"/>
      <c r="S19" s="344">
        <f t="shared" ref="S19:S30" si="12">G19</f>
        <v>2400</v>
      </c>
      <c r="T19" s="333"/>
      <c r="U19" s="330"/>
      <c r="V19" s="324"/>
      <c r="W19" s="324"/>
      <c r="X19" s="333"/>
      <c r="Y19" s="333"/>
      <c r="Z19" s="333"/>
      <c r="AA19" s="340">
        <f t="shared" si="9"/>
        <v>2400</v>
      </c>
      <c r="AB19" s="326"/>
      <c r="AC19" s="343">
        <f t="shared" si="10"/>
        <v>2400</v>
      </c>
      <c r="AD19" s="326"/>
      <c r="AE19" s="340"/>
      <c r="AF19" s="343">
        <f>G19/6</f>
        <v>400</v>
      </c>
      <c r="AG19" s="340"/>
      <c r="AH19" s="340"/>
      <c r="AI19" s="340"/>
      <c r="AJ19" s="264" t="s">
        <v>13039</v>
      </c>
    </row>
    <row r="20" s="251" customFormat="1" ht="50" customHeight="1" spans="1:36">
      <c r="A20" s="331" t="s">
        <v>1315</v>
      </c>
      <c r="B20" s="324" t="s">
        <v>1316</v>
      </c>
      <c r="C20" s="318" t="str">
        <f t="shared" si="6"/>
        <v>4500162573MTQ41-S001-92135狗蛋四代混装（9279+9298）3600</v>
      </c>
      <c r="D20" s="332">
        <v>4500162573</v>
      </c>
      <c r="E20" s="324" t="s">
        <v>3821</v>
      </c>
      <c r="F20" s="324" t="s">
        <v>1320</v>
      </c>
      <c r="G20" s="333">
        <v>3600</v>
      </c>
      <c r="H20" s="333">
        <v>0</v>
      </c>
      <c r="I20" s="333">
        <v>4</v>
      </c>
      <c r="J20" s="333">
        <f t="shared" si="0"/>
        <v>900</v>
      </c>
      <c r="K20" s="334">
        <v>45824</v>
      </c>
      <c r="L20" s="334">
        <f t="shared" si="11"/>
        <v>45820</v>
      </c>
      <c r="M20" s="335" t="s">
        <v>13040</v>
      </c>
      <c r="N20" s="324" t="s">
        <v>1326</v>
      </c>
      <c r="O20" s="328"/>
      <c r="P20" s="329"/>
      <c r="Q20" s="329"/>
      <c r="R20" s="330"/>
      <c r="S20" s="333"/>
      <c r="T20" s="333"/>
      <c r="U20" s="330"/>
      <c r="V20" s="324"/>
      <c r="W20" s="324"/>
      <c r="X20" s="333">
        <f t="shared" si="8"/>
        <v>3600</v>
      </c>
      <c r="Y20" s="333"/>
      <c r="Z20" s="333"/>
      <c r="AA20" s="340">
        <f t="shared" si="9"/>
        <v>3600</v>
      </c>
      <c r="AB20" s="326"/>
      <c r="AC20" s="343">
        <f t="shared" si="10"/>
        <v>3600</v>
      </c>
      <c r="AD20" s="326"/>
      <c r="AE20" s="340"/>
      <c r="AF20" s="340"/>
      <c r="AG20" s="340"/>
      <c r="AH20" s="340"/>
      <c r="AI20" s="340"/>
      <c r="AJ20" s="264" t="s">
        <v>13033</v>
      </c>
    </row>
    <row r="21" s="251" customFormat="1" ht="50" customHeight="1" spans="1:36">
      <c r="A21" s="331" t="s">
        <v>1315</v>
      </c>
      <c r="B21" s="324" t="s">
        <v>1316</v>
      </c>
      <c r="C21" s="318" t="str">
        <f t="shared" si="6"/>
        <v>4500162573MTQ41-S001-92135狗蛋四代混装（9279+9298）5400</v>
      </c>
      <c r="D21" s="332">
        <v>4500162573</v>
      </c>
      <c r="E21" s="324" t="s">
        <v>3821</v>
      </c>
      <c r="F21" s="324" t="s">
        <v>1320</v>
      </c>
      <c r="G21" s="333">
        <v>5400</v>
      </c>
      <c r="H21" s="333">
        <v>0</v>
      </c>
      <c r="I21" s="333">
        <v>4</v>
      </c>
      <c r="J21" s="333">
        <f t="shared" si="0"/>
        <v>1350</v>
      </c>
      <c r="K21" s="334">
        <v>45824</v>
      </c>
      <c r="L21" s="334">
        <f t="shared" si="11"/>
        <v>45820</v>
      </c>
      <c r="M21" s="335" t="s">
        <v>13040</v>
      </c>
      <c r="N21" s="324" t="s">
        <v>1326</v>
      </c>
      <c r="O21" s="328"/>
      <c r="P21" s="329"/>
      <c r="Q21" s="329"/>
      <c r="R21" s="330"/>
      <c r="S21" s="333"/>
      <c r="T21" s="333"/>
      <c r="U21" s="330"/>
      <c r="V21" s="324"/>
      <c r="W21" s="324"/>
      <c r="X21" s="333">
        <f t="shared" si="8"/>
        <v>5400</v>
      </c>
      <c r="Y21" s="333"/>
      <c r="Z21" s="333"/>
      <c r="AA21" s="340">
        <f t="shared" si="9"/>
        <v>5400</v>
      </c>
      <c r="AB21" s="326"/>
      <c r="AC21" s="343">
        <f t="shared" si="10"/>
        <v>5400</v>
      </c>
      <c r="AD21" s="326"/>
      <c r="AE21" s="340"/>
      <c r="AF21" s="340"/>
      <c r="AG21" s="340"/>
      <c r="AH21" s="340"/>
      <c r="AI21" s="340"/>
      <c r="AJ21" s="264" t="s">
        <v>13033</v>
      </c>
    </row>
    <row r="22" s="251" customFormat="1" ht="50" customHeight="1" spans="1:36">
      <c r="A22" s="331" t="s">
        <v>3848</v>
      </c>
      <c r="B22" s="324" t="s">
        <v>341</v>
      </c>
      <c r="C22" s="318" t="str">
        <f t="shared" si="6"/>
        <v>45001661279298TQ1-S003狗蛋四代PDQ（无闪粉）720</v>
      </c>
      <c r="D22" s="332">
        <v>4500166127</v>
      </c>
      <c r="E22" s="324" t="s">
        <v>2964</v>
      </c>
      <c r="F22" s="324" t="s">
        <v>2965</v>
      </c>
      <c r="G22" s="333">
        <v>720</v>
      </c>
      <c r="H22" s="333">
        <v>6</v>
      </c>
      <c r="I22" s="333">
        <v>12</v>
      </c>
      <c r="J22" s="333">
        <f t="shared" si="0"/>
        <v>60</v>
      </c>
      <c r="K22" s="334">
        <v>45826</v>
      </c>
      <c r="L22" s="334">
        <v>45822</v>
      </c>
      <c r="M22" s="335" t="s">
        <v>13040</v>
      </c>
      <c r="N22" s="324" t="s">
        <v>3852</v>
      </c>
      <c r="O22" s="328"/>
      <c r="P22" s="329"/>
      <c r="Q22" s="329"/>
      <c r="R22" s="330"/>
      <c r="S22" s="344">
        <f t="shared" si="12"/>
        <v>720</v>
      </c>
      <c r="T22" s="333"/>
      <c r="U22" s="330"/>
      <c r="V22" s="324"/>
      <c r="W22" s="324"/>
      <c r="X22" s="333"/>
      <c r="Y22" s="333">
        <f t="shared" ref="Y22:Y37" si="13">G22</f>
        <v>720</v>
      </c>
      <c r="Z22" s="333"/>
      <c r="AA22" s="340"/>
      <c r="AB22" s="326"/>
      <c r="AC22" s="343">
        <f t="shared" si="10"/>
        <v>720</v>
      </c>
      <c r="AD22" s="326"/>
      <c r="AE22" s="340"/>
      <c r="AF22" s="343">
        <f>G22/6</f>
        <v>120</v>
      </c>
      <c r="AG22" s="340"/>
      <c r="AH22" s="340"/>
      <c r="AI22" s="340"/>
      <c r="AJ22" s="264" t="s">
        <v>13034</v>
      </c>
    </row>
    <row r="23" s="251" customFormat="1" ht="50" customHeight="1" spans="1:36">
      <c r="A23" s="331" t="s">
        <v>3771</v>
      </c>
      <c r="B23" s="324" t="s">
        <v>3772</v>
      </c>
      <c r="C23" s="318" t="str">
        <f t="shared" si="6"/>
        <v>450016256092123-S001-1狗蛋四代混装（92104+9298）10020</v>
      </c>
      <c r="D23" s="332">
        <v>4500162560</v>
      </c>
      <c r="E23" s="324" t="s">
        <v>3775</v>
      </c>
      <c r="F23" s="324" t="s">
        <v>3353</v>
      </c>
      <c r="G23" s="345">
        <v>10020</v>
      </c>
      <c r="H23" s="345">
        <v>0</v>
      </c>
      <c r="I23" s="345">
        <v>12</v>
      </c>
      <c r="J23" s="345">
        <f t="shared" si="0"/>
        <v>835</v>
      </c>
      <c r="K23" s="334">
        <v>45817</v>
      </c>
      <c r="L23" s="334">
        <v>45828</v>
      </c>
      <c r="M23" s="346"/>
      <c r="N23" s="324" t="s">
        <v>559</v>
      </c>
      <c r="O23" s="328"/>
      <c r="P23" s="329"/>
      <c r="Q23" s="329"/>
      <c r="R23" s="330"/>
      <c r="S23" s="333"/>
      <c r="T23" s="333"/>
      <c r="U23" s="330"/>
      <c r="V23" s="324"/>
      <c r="W23" s="324"/>
      <c r="X23" s="333">
        <f>G23</f>
        <v>10020</v>
      </c>
      <c r="Y23" s="333"/>
      <c r="Z23" s="333"/>
      <c r="AA23" s="340">
        <f>G23</f>
        <v>10020</v>
      </c>
      <c r="AB23" s="326"/>
      <c r="AC23" s="343">
        <f t="shared" si="10"/>
        <v>10020</v>
      </c>
      <c r="AD23" s="326"/>
      <c r="AE23" s="340"/>
      <c r="AF23" s="340"/>
      <c r="AG23" s="340"/>
      <c r="AH23" s="340"/>
      <c r="AI23" s="340"/>
      <c r="AJ23" s="264" t="s">
        <v>13033</v>
      </c>
    </row>
    <row r="24" s="251" customFormat="1" ht="50" customHeight="1" spans="1:36">
      <c r="A24" s="331" t="s">
        <v>3495</v>
      </c>
      <c r="B24" s="324" t="s">
        <v>91</v>
      </c>
      <c r="C24" s="318" t="str">
        <f t="shared" si="6"/>
        <v>45001674989298SLB-S002狗蛋四代卡板装(无闪粉）768</v>
      </c>
      <c r="D24" s="332">
        <v>4500167498</v>
      </c>
      <c r="E24" s="324" t="s">
        <v>3068</v>
      </c>
      <c r="F24" s="324" t="s">
        <v>3069</v>
      </c>
      <c r="G24" s="333">
        <v>768</v>
      </c>
      <c r="H24" s="333">
        <v>2</v>
      </c>
      <c r="I24" s="333">
        <v>384</v>
      </c>
      <c r="J24" s="333">
        <f t="shared" si="0"/>
        <v>2</v>
      </c>
      <c r="K24" s="334">
        <v>45828</v>
      </c>
      <c r="L24" s="334">
        <v>45824</v>
      </c>
      <c r="M24" s="347" t="s">
        <v>13041</v>
      </c>
      <c r="N24" s="348" t="s">
        <v>3706</v>
      </c>
      <c r="O24" s="328"/>
      <c r="P24" s="329"/>
      <c r="Q24" s="329"/>
      <c r="R24" s="330"/>
      <c r="S24" s="344">
        <f t="shared" si="12"/>
        <v>768</v>
      </c>
      <c r="T24" s="333"/>
      <c r="U24" s="330"/>
      <c r="V24" s="324"/>
      <c r="W24" s="324"/>
      <c r="X24" s="333"/>
      <c r="Y24" s="344">
        <f t="shared" si="13"/>
        <v>768</v>
      </c>
      <c r="Z24" s="333"/>
      <c r="AA24" s="340"/>
      <c r="AB24" s="326"/>
      <c r="AC24" s="343">
        <f t="shared" si="10"/>
        <v>768</v>
      </c>
      <c r="AD24" s="326"/>
      <c r="AE24" s="340"/>
      <c r="AF24" s="340"/>
      <c r="AG24" s="340"/>
      <c r="AH24" s="340"/>
      <c r="AI24" s="340"/>
      <c r="AJ24" s="264" t="s">
        <v>13034</v>
      </c>
    </row>
    <row r="25" s="251" customFormat="1" ht="50" customHeight="1" spans="1:36">
      <c r="A25" s="331" t="s">
        <v>3495</v>
      </c>
      <c r="B25" s="324" t="s">
        <v>91</v>
      </c>
      <c r="C25" s="318" t="str">
        <f t="shared" si="6"/>
        <v>45001674989298SLB-S002狗蛋四代卡板装(无闪粉）768</v>
      </c>
      <c r="D25" s="332">
        <v>4500167498</v>
      </c>
      <c r="E25" s="324" t="s">
        <v>3068</v>
      </c>
      <c r="F25" s="324" t="s">
        <v>3069</v>
      </c>
      <c r="G25" s="333">
        <v>768</v>
      </c>
      <c r="H25" s="333">
        <v>2</v>
      </c>
      <c r="I25" s="333">
        <v>384</v>
      </c>
      <c r="J25" s="333">
        <f t="shared" si="0"/>
        <v>2</v>
      </c>
      <c r="K25" s="334">
        <v>45828</v>
      </c>
      <c r="L25" s="334">
        <v>45824</v>
      </c>
      <c r="M25" s="347" t="s">
        <v>13041</v>
      </c>
      <c r="N25" s="348" t="s">
        <v>3706</v>
      </c>
      <c r="O25" s="328"/>
      <c r="P25" s="329"/>
      <c r="Q25" s="329"/>
      <c r="R25" s="330"/>
      <c r="S25" s="344">
        <f t="shared" si="12"/>
        <v>768</v>
      </c>
      <c r="T25" s="333"/>
      <c r="U25" s="330"/>
      <c r="V25" s="324"/>
      <c r="W25" s="324"/>
      <c r="X25" s="333"/>
      <c r="Y25" s="344">
        <f t="shared" si="13"/>
        <v>768</v>
      </c>
      <c r="Z25" s="333"/>
      <c r="AA25" s="340"/>
      <c r="AB25" s="326"/>
      <c r="AC25" s="343">
        <f t="shared" si="10"/>
        <v>768</v>
      </c>
      <c r="AD25" s="326"/>
      <c r="AE25" s="340"/>
      <c r="AF25" s="340"/>
      <c r="AG25" s="340"/>
      <c r="AH25" s="340"/>
      <c r="AI25" s="340"/>
      <c r="AJ25" s="264" t="s">
        <v>13034</v>
      </c>
    </row>
    <row r="26" s="251" customFormat="1" ht="50" customHeight="1" spans="1:36">
      <c r="A26" s="331" t="s">
        <v>3495</v>
      </c>
      <c r="B26" s="324" t="s">
        <v>91</v>
      </c>
      <c r="C26" s="318" t="str">
        <f t="shared" si="6"/>
        <v>45001674989298SLB-S002狗蛋四代卡板装(无闪粉）768</v>
      </c>
      <c r="D26" s="332">
        <v>4500167498</v>
      </c>
      <c r="E26" s="324" t="s">
        <v>3068</v>
      </c>
      <c r="F26" s="324" t="s">
        <v>3069</v>
      </c>
      <c r="G26" s="333">
        <v>768</v>
      </c>
      <c r="H26" s="333">
        <v>2</v>
      </c>
      <c r="I26" s="333">
        <v>384</v>
      </c>
      <c r="J26" s="333">
        <f t="shared" si="0"/>
        <v>2</v>
      </c>
      <c r="K26" s="334">
        <v>45828</v>
      </c>
      <c r="L26" s="334">
        <v>45824</v>
      </c>
      <c r="M26" s="347" t="s">
        <v>13041</v>
      </c>
      <c r="N26" s="348" t="s">
        <v>3706</v>
      </c>
      <c r="O26" s="328"/>
      <c r="P26" s="329"/>
      <c r="Q26" s="329"/>
      <c r="R26" s="330"/>
      <c r="S26" s="344">
        <f t="shared" si="12"/>
        <v>768</v>
      </c>
      <c r="T26" s="333"/>
      <c r="U26" s="330"/>
      <c r="V26" s="324"/>
      <c r="W26" s="324"/>
      <c r="X26" s="333"/>
      <c r="Y26" s="344">
        <f t="shared" si="13"/>
        <v>768</v>
      </c>
      <c r="Z26" s="333"/>
      <c r="AA26" s="340"/>
      <c r="AB26" s="326"/>
      <c r="AC26" s="343">
        <f t="shared" si="10"/>
        <v>768</v>
      </c>
      <c r="AD26" s="326"/>
      <c r="AE26" s="340"/>
      <c r="AF26" s="340"/>
      <c r="AG26" s="340"/>
      <c r="AH26" s="340"/>
      <c r="AI26" s="340"/>
      <c r="AJ26" s="264" t="s">
        <v>13034</v>
      </c>
    </row>
    <row r="27" s="251" customFormat="1" ht="50" customHeight="1" spans="1:36">
      <c r="A27" s="331" t="s">
        <v>3495</v>
      </c>
      <c r="B27" s="324" t="s">
        <v>91</v>
      </c>
      <c r="C27" s="318" t="str">
        <f t="shared" si="6"/>
        <v>45001674989298SLB-S002狗蛋四代卡板装(无闪粉）1152</v>
      </c>
      <c r="D27" s="332">
        <v>4500167498</v>
      </c>
      <c r="E27" s="324" t="s">
        <v>3068</v>
      </c>
      <c r="F27" s="324" t="s">
        <v>3069</v>
      </c>
      <c r="G27" s="333">
        <v>1152</v>
      </c>
      <c r="H27" s="333">
        <v>2</v>
      </c>
      <c r="I27" s="333">
        <v>384</v>
      </c>
      <c r="J27" s="333">
        <f t="shared" si="0"/>
        <v>3</v>
      </c>
      <c r="K27" s="334">
        <v>45828</v>
      </c>
      <c r="L27" s="334">
        <v>45824</v>
      </c>
      <c r="M27" s="347" t="s">
        <v>13041</v>
      </c>
      <c r="N27" s="348" t="s">
        <v>3706</v>
      </c>
      <c r="O27" s="328"/>
      <c r="P27" s="329"/>
      <c r="Q27" s="329"/>
      <c r="R27" s="330"/>
      <c r="S27" s="344">
        <f t="shared" si="12"/>
        <v>1152</v>
      </c>
      <c r="T27" s="333"/>
      <c r="U27" s="330"/>
      <c r="V27" s="324"/>
      <c r="W27" s="324"/>
      <c r="X27" s="333"/>
      <c r="Y27" s="344">
        <f t="shared" si="13"/>
        <v>1152</v>
      </c>
      <c r="Z27" s="333"/>
      <c r="AA27" s="340"/>
      <c r="AB27" s="326"/>
      <c r="AC27" s="343">
        <f t="shared" si="10"/>
        <v>1152</v>
      </c>
      <c r="AD27" s="326"/>
      <c r="AE27" s="340"/>
      <c r="AF27" s="340"/>
      <c r="AG27" s="340"/>
      <c r="AH27" s="340"/>
      <c r="AI27" s="340"/>
      <c r="AJ27" s="264" t="s">
        <v>13034</v>
      </c>
    </row>
    <row r="28" s="251" customFormat="1" ht="50" customHeight="1" spans="1:36">
      <c r="A28" s="331" t="s">
        <v>3495</v>
      </c>
      <c r="B28" s="324" t="s">
        <v>91</v>
      </c>
      <c r="C28" s="318" t="str">
        <f t="shared" si="6"/>
        <v>45001674989298SLB-S002狗蛋四代卡板装(无闪粉）1152</v>
      </c>
      <c r="D28" s="332">
        <v>4500167498</v>
      </c>
      <c r="E28" s="324" t="s">
        <v>3068</v>
      </c>
      <c r="F28" s="324" t="s">
        <v>3069</v>
      </c>
      <c r="G28" s="333">
        <v>1152</v>
      </c>
      <c r="H28" s="333">
        <v>2</v>
      </c>
      <c r="I28" s="333">
        <v>384</v>
      </c>
      <c r="J28" s="333">
        <f t="shared" si="0"/>
        <v>3</v>
      </c>
      <c r="K28" s="334">
        <v>45828</v>
      </c>
      <c r="L28" s="334">
        <v>45824</v>
      </c>
      <c r="M28" s="347" t="s">
        <v>13041</v>
      </c>
      <c r="N28" s="348" t="s">
        <v>3706</v>
      </c>
      <c r="O28" s="328"/>
      <c r="P28" s="329"/>
      <c r="Q28" s="329"/>
      <c r="R28" s="330"/>
      <c r="S28" s="344">
        <f t="shared" si="12"/>
        <v>1152</v>
      </c>
      <c r="T28" s="333"/>
      <c r="U28" s="330"/>
      <c r="V28" s="324"/>
      <c r="W28" s="324"/>
      <c r="X28" s="333"/>
      <c r="Y28" s="344">
        <f t="shared" si="13"/>
        <v>1152</v>
      </c>
      <c r="Z28" s="333"/>
      <c r="AA28" s="340"/>
      <c r="AB28" s="326"/>
      <c r="AC28" s="343">
        <f t="shared" si="10"/>
        <v>1152</v>
      </c>
      <c r="AD28" s="326"/>
      <c r="AE28" s="340"/>
      <c r="AF28" s="340"/>
      <c r="AG28" s="340"/>
      <c r="AH28" s="340"/>
      <c r="AI28" s="340"/>
      <c r="AJ28" s="264" t="s">
        <v>13034</v>
      </c>
    </row>
    <row r="29" s="251" customFormat="1" ht="50" customHeight="1" spans="1:36">
      <c r="A29" s="349" t="s">
        <v>3891</v>
      </c>
      <c r="B29" s="350" t="s">
        <v>341</v>
      </c>
      <c r="C29" s="318" t="str">
        <f t="shared" si="6"/>
        <v>45001617809298TQ4-S003狗蛋四代2720</v>
      </c>
      <c r="D29" s="351">
        <v>4500161780</v>
      </c>
      <c r="E29" s="352" t="s">
        <v>2917</v>
      </c>
      <c r="F29" s="333" t="s">
        <v>2591</v>
      </c>
      <c r="G29" s="333">
        <v>2720</v>
      </c>
      <c r="H29" s="333">
        <v>0</v>
      </c>
      <c r="I29" s="333">
        <v>16</v>
      </c>
      <c r="J29" s="333">
        <f t="shared" si="0"/>
        <v>170</v>
      </c>
      <c r="K29" s="353">
        <v>45828</v>
      </c>
      <c r="L29" s="353">
        <v>45824</v>
      </c>
      <c r="M29" s="335" t="s">
        <v>13042</v>
      </c>
      <c r="N29" s="354" t="s">
        <v>3896</v>
      </c>
      <c r="O29" s="328"/>
      <c r="P29" s="329"/>
      <c r="Q29" s="329"/>
      <c r="R29" s="330"/>
      <c r="S29" s="344">
        <f t="shared" si="12"/>
        <v>2720</v>
      </c>
      <c r="T29" s="333"/>
      <c r="U29" s="330"/>
      <c r="V29" s="324"/>
      <c r="W29" s="324"/>
      <c r="X29" s="333"/>
      <c r="Y29" s="344">
        <f t="shared" si="13"/>
        <v>2720</v>
      </c>
      <c r="Z29" s="333"/>
      <c r="AA29" s="340"/>
      <c r="AB29" s="326"/>
      <c r="AC29" s="343">
        <f t="shared" si="10"/>
        <v>2720</v>
      </c>
      <c r="AD29" s="326"/>
      <c r="AE29" s="340"/>
      <c r="AF29" s="340"/>
      <c r="AG29" s="340"/>
      <c r="AH29" s="340"/>
      <c r="AI29" s="340"/>
      <c r="AJ29" s="264" t="s">
        <v>13034</v>
      </c>
    </row>
    <row r="30" s="251" customFormat="1" ht="50" customHeight="1" spans="1:36">
      <c r="A30" s="349" t="s">
        <v>3891</v>
      </c>
      <c r="B30" s="350" t="s">
        <v>341</v>
      </c>
      <c r="C30" s="318" t="str">
        <f t="shared" si="6"/>
        <v>45001596689298TQ4-S003狗蛋四代5088</v>
      </c>
      <c r="D30" s="351">
        <v>4500159668</v>
      </c>
      <c r="E30" s="352" t="s">
        <v>2917</v>
      </c>
      <c r="F30" s="333" t="s">
        <v>2591</v>
      </c>
      <c r="G30" s="333">
        <v>5088</v>
      </c>
      <c r="H30" s="333">
        <v>0</v>
      </c>
      <c r="I30" s="333">
        <v>16</v>
      </c>
      <c r="J30" s="333">
        <f t="shared" si="0"/>
        <v>318</v>
      </c>
      <c r="K30" s="353">
        <v>45828</v>
      </c>
      <c r="L30" s="353">
        <v>45824</v>
      </c>
      <c r="M30" s="335" t="s">
        <v>13042</v>
      </c>
      <c r="N30" s="354" t="s">
        <v>3896</v>
      </c>
      <c r="O30" s="328"/>
      <c r="P30" s="329"/>
      <c r="Q30" s="329"/>
      <c r="R30" s="330"/>
      <c r="S30" s="344">
        <f t="shared" si="12"/>
        <v>5088</v>
      </c>
      <c r="T30" s="333"/>
      <c r="U30" s="330"/>
      <c r="V30" s="324"/>
      <c r="W30" s="324"/>
      <c r="X30" s="333"/>
      <c r="Y30" s="344">
        <f t="shared" si="13"/>
        <v>5088</v>
      </c>
      <c r="Z30" s="333"/>
      <c r="AA30" s="340"/>
      <c r="AB30" s="326"/>
      <c r="AC30" s="343">
        <f t="shared" si="10"/>
        <v>5088</v>
      </c>
      <c r="AD30" s="326"/>
      <c r="AE30" s="340"/>
      <c r="AF30" s="340"/>
      <c r="AG30" s="340"/>
      <c r="AH30" s="340"/>
      <c r="AI30" s="340"/>
      <c r="AJ30" s="264" t="s">
        <v>13034</v>
      </c>
    </row>
    <row r="31" s="251" customFormat="1" ht="50" customHeight="1" spans="1:36">
      <c r="A31" s="331" t="s">
        <v>3878</v>
      </c>
      <c r="B31" s="324" t="s">
        <v>471</v>
      </c>
      <c r="C31" s="318" t="str">
        <f t="shared" si="6"/>
        <v>4500166501MB175-9298-S001-NB狗蛋四代混装（9298+92104各3pcs）8100</v>
      </c>
      <c r="D31" s="332">
        <v>4500166501</v>
      </c>
      <c r="E31" s="324" t="s">
        <v>3881</v>
      </c>
      <c r="F31" s="324" t="s">
        <v>3882</v>
      </c>
      <c r="G31" s="333">
        <v>8100</v>
      </c>
      <c r="H31" s="333">
        <v>0</v>
      </c>
      <c r="I31" s="333">
        <v>3</v>
      </c>
      <c r="J31" s="333">
        <f t="shared" si="0"/>
        <v>2700</v>
      </c>
      <c r="K31" s="334">
        <v>45828</v>
      </c>
      <c r="L31" s="334">
        <v>45824</v>
      </c>
      <c r="M31" s="335" t="s">
        <v>13042</v>
      </c>
      <c r="N31" s="324" t="s">
        <v>2624</v>
      </c>
      <c r="O31" s="355"/>
      <c r="P31" s="356"/>
      <c r="Q31" s="356"/>
      <c r="R31" s="357"/>
      <c r="S31" s="333"/>
      <c r="T31" s="333"/>
      <c r="U31" s="357"/>
      <c r="V31" s="358">
        <f t="shared" ref="V31:V35" si="14">G31</f>
        <v>8100</v>
      </c>
      <c r="W31" s="324"/>
      <c r="X31" s="333"/>
      <c r="Y31" s="344">
        <f t="shared" si="13"/>
        <v>8100</v>
      </c>
      <c r="Z31" s="333"/>
      <c r="AA31" s="340"/>
      <c r="AB31" s="359"/>
      <c r="AC31" s="340"/>
      <c r="AD31" s="359"/>
      <c r="AE31" s="343">
        <f t="shared" ref="AE31:AE34" si="15">G31</f>
        <v>8100</v>
      </c>
      <c r="AF31" s="340"/>
      <c r="AG31" s="340"/>
      <c r="AH31" s="340"/>
      <c r="AI31" s="340"/>
      <c r="AJ31" s="264" t="s">
        <v>13034</v>
      </c>
    </row>
    <row r="32" s="251" customFormat="1" ht="50" customHeight="1" spans="1:36">
      <c r="A32" s="331" t="s">
        <v>3878</v>
      </c>
      <c r="B32" s="324" t="s">
        <v>471</v>
      </c>
      <c r="C32" s="318" t="str">
        <f t="shared" si="6"/>
        <v>4500166501MB175-9298-S001-NB狗蛋四代混装（9298+92104各3pcs）150</v>
      </c>
      <c r="D32" s="332">
        <v>4500166501</v>
      </c>
      <c r="E32" s="324" t="s">
        <v>3881</v>
      </c>
      <c r="F32" s="324" t="s">
        <v>3882</v>
      </c>
      <c r="G32" s="333">
        <v>150</v>
      </c>
      <c r="H32" s="333">
        <v>0</v>
      </c>
      <c r="I32" s="333">
        <v>3</v>
      </c>
      <c r="J32" s="333">
        <f t="shared" si="0"/>
        <v>50</v>
      </c>
      <c r="K32" s="334">
        <v>45828</v>
      </c>
      <c r="L32" s="334">
        <v>45824</v>
      </c>
      <c r="M32" s="335" t="s">
        <v>13042</v>
      </c>
      <c r="N32" s="324" t="s">
        <v>2624</v>
      </c>
      <c r="O32" s="355"/>
      <c r="P32" s="356"/>
      <c r="Q32" s="356"/>
      <c r="R32" s="357"/>
      <c r="S32" s="333"/>
      <c r="T32" s="333"/>
      <c r="U32" s="357"/>
      <c r="V32" s="358">
        <f t="shared" si="14"/>
        <v>150</v>
      </c>
      <c r="W32" s="324"/>
      <c r="X32" s="333"/>
      <c r="Y32" s="344">
        <f t="shared" si="13"/>
        <v>150</v>
      </c>
      <c r="Z32" s="333"/>
      <c r="AA32" s="340"/>
      <c r="AB32" s="359"/>
      <c r="AC32" s="340"/>
      <c r="AD32" s="359"/>
      <c r="AE32" s="343">
        <f t="shared" si="15"/>
        <v>150</v>
      </c>
      <c r="AF32" s="340"/>
      <c r="AG32" s="340"/>
      <c r="AH32" s="340"/>
      <c r="AI32" s="340"/>
      <c r="AJ32" s="264" t="s">
        <v>13034</v>
      </c>
    </row>
    <row r="33" s="251" customFormat="1" ht="50" customHeight="1" spans="1:36">
      <c r="A33" s="331" t="s">
        <v>3878</v>
      </c>
      <c r="B33" s="324" t="s">
        <v>471</v>
      </c>
      <c r="C33" s="318" t="str">
        <f t="shared" si="6"/>
        <v>4500166501MB175-9298-S001-NB狗蛋四代混装（9298+92104各3pcs）3915</v>
      </c>
      <c r="D33" s="332">
        <v>4500166501</v>
      </c>
      <c r="E33" s="324" t="s">
        <v>3881</v>
      </c>
      <c r="F33" s="324" t="s">
        <v>3882</v>
      </c>
      <c r="G33" s="333">
        <v>3915</v>
      </c>
      <c r="H33" s="333">
        <v>0</v>
      </c>
      <c r="I33" s="333">
        <v>3</v>
      </c>
      <c r="J33" s="333">
        <f t="shared" si="0"/>
        <v>1305</v>
      </c>
      <c r="K33" s="334">
        <v>45828</v>
      </c>
      <c r="L33" s="334">
        <v>45824</v>
      </c>
      <c r="M33" s="335" t="s">
        <v>13042</v>
      </c>
      <c r="N33" s="324" t="s">
        <v>2624</v>
      </c>
      <c r="O33" s="355"/>
      <c r="P33" s="356"/>
      <c r="Q33" s="356"/>
      <c r="R33" s="357"/>
      <c r="S33" s="333"/>
      <c r="T33" s="333"/>
      <c r="U33" s="357"/>
      <c r="V33" s="358">
        <f t="shared" si="14"/>
        <v>3915</v>
      </c>
      <c r="W33" s="324"/>
      <c r="X33" s="333"/>
      <c r="Y33" s="344">
        <f t="shared" si="13"/>
        <v>3915</v>
      </c>
      <c r="Z33" s="333"/>
      <c r="AA33" s="340"/>
      <c r="AB33" s="359"/>
      <c r="AC33" s="340"/>
      <c r="AD33" s="359"/>
      <c r="AE33" s="343">
        <f t="shared" si="15"/>
        <v>3915</v>
      </c>
      <c r="AF33" s="340"/>
      <c r="AG33" s="340"/>
      <c r="AH33" s="340"/>
      <c r="AI33" s="340"/>
      <c r="AJ33" s="264" t="s">
        <v>13034</v>
      </c>
    </row>
    <row r="34" s="251" customFormat="1" ht="50" customHeight="1" spans="1:36">
      <c r="A34" s="331" t="s">
        <v>3878</v>
      </c>
      <c r="B34" s="324" t="s">
        <v>471</v>
      </c>
      <c r="C34" s="318" t="str">
        <f t="shared" si="6"/>
        <v>4500166501MB175-9298-S001-NB狗蛋四代混装（9298+92104各3pcs）1485</v>
      </c>
      <c r="D34" s="332">
        <v>4500166501</v>
      </c>
      <c r="E34" s="324" t="s">
        <v>3881</v>
      </c>
      <c r="F34" s="324" t="s">
        <v>3882</v>
      </c>
      <c r="G34" s="333">
        <v>1485</v>
      </c>
      <c r="H34" s="333">
        <v>0</v>
      </c>
      <c r="I34" s="333">
        <v>3</v>
      </c>
      <c r="J34" s="333">
        <f t="shared" si="0"/>
        <v>495</v>
      </c>
      <c r="K34" s="334">
        <v>45828</v>
      </c>
      <c r="L34" s="334">
        <v>45824</v>
      </c>
      <c r="M34" s="335" t="s">
        <v>13042</v>
      </c>
      <c r="N34" s="324" t="s">
        <v>2624</v>
      </c>
      <c r="O34" s="355"/>
      <c r="P34" s="356"/>
      <c r="Q34" s="356"/>
      <c r="R34" s="357"/>
      <c r="S34" s="333"/>
      <c r="T34" s="333"/>
      <c r="U34" s="357"/>
      <c r="V34" s="358">
        <f t="shared" si="14"/>
        <v>1485</v>
      </c>
      <c r="W34" s="324"/>
      <c r="X34" s="333"/>
      <c r="Y34" s="344">
        <f t="shared" si="13"/>
        <v>1485</v>
      </c>
      <c r="Z34" s="333"/>
      <c r="AA34" s="340"/>
      <c r="AB34" s="359"/>
      <c r="AC34" s="340"/>
      <c r="AD34" s="359"/>
      <c r="AE34" s="343">
        <f t="shared" si="15"/>
        <v>1485</v>
      </c>
      <c r="AF34" s="340"/>
      <c r="AG34" s="340"/>
      <c r="AH34" s="340"/>
      <c r="AI34" s="340"/>
      <c r="AJ34" s="264" t="s">
        <v>13034</v>
      </c>
    </row>
    <row r="35" s="251" customFormat="1" ht="50" customHeight="1" spans="1:36">
      <c r="A35" s="331" t="s">
        <v>3901</v>
      </c>
      <c r="B35" s="324" t="s">
        <v>1316</v>
      </c>
      <c r="C35" s="318" t="str">
        <f t="shared" si="6"/>
        <v>45001667769298-S001狗蛋四代7752</v>
      </c>
      <c r="D35" s="332">
        <v>4500166776</v>
      </c>
      <c r="E35" s="324" t="s">
        <v>2627</v>
      </c>
      <c r="F35" s="324" t="s">
        <v>2591</v>
      </c>
      <c r="G35" s="333">
        <v>7752</v>
      </c>
      <c r="H35" s="333">
        <v>0</v>
      </c>
      <c r="I35" s="333">
        <v>24</v>
      </c>
      <c r="J35" s="333">
        <f t="shared" si="0"/>
        <v>323</v>
      </c>
      <c r="K35" s="334">
        <v>45828</v>
      </c>
      <c r="L35" s="334">
        <v>45824</v>
      </c>
      <c r="M35" s="335" t="s">
        <v>13043</v>
      </c>
      <c r="N35" s="324" t="s">
        <v>1326</v>
      </c>
      <c r="O35" s="355"/>
      <c r="P35" s="356"/>
      <c r="Q35" s="356"/>
      <c r="R35" s="357"/>
      <c r="S35" s="333"/>
      <c r="T35" s="333"/>
      <c r="U35" s="357"/>
      <c r="V35" s="358">
        <f t="shared" si="14"/>
        <v>7752</v>
      </c>
      <c r="W35" s="324"/>
      <c r="X35" s="333"/>
      <c r="Y35" s="344">
        <f t="shared" si="13"/>
        <v>7752</v>
      </c>
      <c r="Z35" s="333"/>
      <c r="AA35" s="340"/>
      <c r="AB35" s="359"/>
      <c r="AC35" s="343">
        <f t="shared" ref="AC35:AC44" si="16">G35</f>
        <v>7752</v>
      </c>
      <c r="AD35" s="359"/>
      <c r="AE35" s="340"/>
      <c r="AF35" s="340"/>
      <c r="AG35" s="340"/>
      <c r="AH35" s="340"/>
      <c r="AI35" s="340"/>
      <c r="AJ35" s="264" t="s">
        <v>13034</v>
      </c>
    </row>
    <row r="36" s="251" customFormat="1" ht="50" customHeight="1" spans="1:36">
      <c r="A36" s="349" t="s">
        <v>3905</v>
      </c>
      <c r="B36" s="350" t="s">
        <v>1385</v>
      </c>
      <c r="C36" s="318" t="str">
        <f t="shared" si="6"/>
        <v>45001658519298TQ2-S001狗蛋四代468</v>
      </c>
      <c r="D36" s="351">
        <v>4500165851</v>
      </c>
      <c r="E36" s="352" t="s">
        <v>2806</v>
      </c>
      <c r="F36" s="324" t="s">
        <v>2591</v>
      </c>
      <c r="G36" s="333">
        <v>468</v>
      </c>
      <c r="H36" s="333">
        <v>0</v>
      </c>
      <c r="I36" s="333">
        <v>12</v>
      </c>
      <c r="J36" s="333">
        <f t="shared" si="0"/>
        <v>39</v>
      </c>
      <c r="K36" s="353">
        <v>45828</v>
      </c>
      <c r="L36" s="353">
        <v>45824</v>
      </c>
      <c r="M36" s="360"/>
      <c r="N36" s="354" t="s">
        <v>1389</v>
      </c>
      <c r="O36" s="328"/>
      <c r="P36" s="329"/>
      <c r="Q36" s="329"/>
      <c r="R36" s="330"/>
      <c r="S36" s="358">
        <f t="shared" ref="S36:S42" si="17">G36</f>
        <v>468</v>
      </c>
      <c r="T36" s="324"/>
      <c r="U36" s="330"/>
      <c r="V36" s="324"/>
      <c r="W36" s="324"/>
      <c r="X36" s="333"/>
      <c r="Y36" s="344">
        <f t="shared" si="13"/>
        <v>468</v>
      </c>
      <c r="Z36" s="333"/>
      <c r="AA36" s="340"/>
      <c r="AB36" s="326"/>
      <c r="AC36" s="343">
        <f t="shared" si="16"/>
        <v>468</v>
      </c>
      <c r="AD36" s="326"/>
      <c r="AE36" s="340"/>
      <c r="AF36" s="340"/>
      <c r="AG36" s="340"/>
      <c r="AH36" s="343">
        <f>G36/6</f>
        <v>78</v>
      </c>
      <c r="AI36" s="340"/>
      <c r="AJ36" s="264" t="s">
        <v>13034</v>
      </c>
    </row>
    <row r="37" s="251" customFormat="1" ht="50" customHeight="1" spans="1:36">
      <c r="A37" s="349" t="s">
        <v>3912</v>
      </c>
      <c r="B37" s="350" t="s">
        <v>3913</v>
      </c>
      <c r="C37" s="318" t="str">
        <f t="shared" si="6"/>
        <v>45001665999298-S001狗蛋四代720</v>
      </c>
      <c r="D37" s="351">
        <v>4500166599</v>
      </c>
      <c r="E37" s="352" t="s">
        <v>2627</v>
      </c>
      <c r="F37" s="333" t="s">
        <v>2591</v>
      </c>
      <c r="G37" s="333">
        <v>720</v>
      </c>
      <c r="H37" s="333">
        <v>0</v>
      </c>
      <c r="I37" s="333">
        <v>24</v>
      </c>
      <c r="J37" s="333">
        <f t="shared" si="0"/>
        <v>30</v>
      </c>
      <c r="K37" s="353">
        <v>45828</v>
      </c>
      <c r="L37" s="353">
        <v>45824</v>
      </c>
      <c r="M37" s="335" t="s">
        <v>13040</v>
      </c>
      <c r="N37" s="354" t="s">
        <v>3728</v>
      </c>
      <c r="O37" s="328"/>
      <c r="P37" s="329"/>
      <c r="Q37" s="329"/>
      <c r="R37" s="330"/>
      <c r="S37" s="344">
        <f t="shared" si="17"/>
        <v>720</v>
      </c>
      <c r="T37" s="333"/>
      <c r="U37" s="330"/>
      <c r="V37" s="324"/>
      <c r="W37" s="324"/>
      <c r="X37" s="333"/>
      <c r="Y37" s="344">
        <f t="shared" si="13"/>
        <v>720</v>
      </c>
      <c r="Z37" s="333"/>
      <c r="AA37" s="340"/>
      <c r="AB37" s="326"/>
      <c r="AC37" s="343">
        <f t="shared" si="16"/>
        <v>720</v>
      </c>
      <c r="AD37" s="326"/>
      <c r="AE37" s="340"/>
      <c r="AF37" s="340"/>
      <c r="AG37" s="340"/>
      <c r="AH37" s="340"/>
      <c r="AI37" s="340"/>
      <c r="AJ37" s="264" t="s">
        <v>13034</v>
      </c>
    </row>
    <row r="38" s="251" customFormat="1" ht="50" customHeight="1" spans="1:36">
      <c r="A38" s="331" t="s">
        <v>1315</v>
      </c>
      <c r="B38" s="324" t="s">
        <v>1316</v>
      </c>
      <c r="C38" s="318" t="str">
        <f t="shared" si="6"/>
        <v>4500162573MTQ41-S001-92135狗蛋四代混装（9279+9298）1200</v>
      </c>
      <c r="D38" s="332">
        <v>4500162573</v>
      </c>
      <c r="E38" s="324" t="s">
        <v>3821</v>
      </c>
      <c r="F38" s="324" t="s">
        <v>1320</v>
      </c>
      <c r="G38" s="333">
        <v>1200</v>
      </c>
      <c r="H38" s="333">
        <v>0</v>
      </c>
      <c r="I38" s="333">
        <v>4</v>
      </c>
      <c r="J38" s="333">
        <f t="shared" si="0"/>
        <v>300</v>
      </c>
      <c r="K38" s="334">
        <v>45829</v>
      </c>
      <c r="L38" s="334">
        <f>K38-4</f>
        <v>45825</v>
      </c>
      <c r="M38" s="361" t="s">
        <v>13044</v>
      </c>
      <c r="N38" s="324" t="s">
        <v>1326</v>
      </c>
      <c r="O38" s="328"/>
      <c r="P38" s="329"/>
      <c r="Q38" s="329"/>
      <c r="R38" s="330"/>
      <c r="S38" s="333"/>
      <c r="T38" s="333"/>
      <c r="U38" s="330"/>
      <c r="V38" s="324"/>
      <c r="W38" s="324"/>
      <c r="X38" s="333">
        <f>G38</f>
        <v>1200</v>
      </c>
      <c r="Y38" s="333"/>
      <c r="Z38" s="333"/>
      <c r="AA38" s="340">
        <f>G38</f>
        <v>1200</v>
      </c>
      <c r="AB38" s="326"/>
      <c r="AC38" s="343">
        <f t="shared" si="16"/>
        <v>1200</v>
      </c>
      <c r="AD38" s="326"/>
      <c r="AE38" s="340"/>
      <c r="AF38" s="340"/>
      <c r="AG38" s="340"/>
      <c r="AH38" s="340"/>
      <c r="AI38" s="340"/>
      <c r="AJ38" s="264" t="s">
        <v>13033</v>
      </c>
    </row>
    <row r="39" s="251" customFormat="1" ht="50" customHeight="1" spans="1:36">
      <c r="A39" s="331" t="s">
        <v>1331</v>
      </c>
      <c r="B39" s="324" t="s">
        <v>1332</v>
      </c>
      <c r="C39" s="318" t="str">
        <f t="shared" si="6"/>
        <v>45001671529298TQ1-S001狗蛋四代PDQ360</v>
      </c>
      <c r="D39" s="332">
        <v>4500167152</v>
      </c>
      <c r="E39" s="324" t="s">
        <v>2577</v>
      </c>
      <c r="F39" s="324" t="s">
        <v>2578</v>
      </c>
      <c r="G39" s="333">
        <v>360</v>
      </c>
      <c r="H39" s="333">
        <v>0</v>
      </c>
      <c r="I39" s="333">
        <v>12</v>
      </c>
      <c r="J39" s="333">
        <f t="shared" si="0"/>
        <v>30</v>
      </c>
      <c r="K39" s="334">
        <v>45831</v>
      </c>
      <c r="L39" s="334">
        <v>45827</v>
      </c>
      <c r="M39" s="342" t="s">
        <v>13045</v>
      </c>
      <c r="N39" s="324" t="s">
        <v>459</v>
      </c>
      <c r="O39" s="328"/>
      <c r="P39" s="329"/>
      <c r="Q39" s="329"/>
      <c r="R39" s="330"/>
      <c r="S39" s="333"/>
      <c r="T39" s="333"/>
      <c r="U39" s="330"/>
      <c r="V39" s="358">
        <f t="shared" ref="V39:V59" si="18">G39</f>
        <v>360</v>
      </c>
      <c r="W39" s="324"/>
      <c r="X39" s="333"/>
      <c r="Y39" s="344">
        <f t="shared" ref="Y39:Y61" si="19">G39</f>
        <v>360</v>
      </c>
      <c r="Z39" s="333"/>
      <c r="AA39" s="340"/>
      <c r="AB39" s="326"/>
      <c r="AC39" s="343">
        <f t="shared" si="16"/>
        <v>360</v>
      </c>
      <c r="AD39" s="326"/>
      <c r="AE39" s="340"/>
      <c r="AF39" s="343">
        <f t="shared" ref="AF39:AF43" si="20">G39/6</f>
        <v>60</v>
      </c>
      <c r="AG39" s="340"/>
      <c r="AH39" s="340"/>
      <c r="AI39" s="340"/>
      <c r="AJ39" s="264" t="s">
        <v>13034</v>
      </c>
    </row>
    <row r="40" s="251" customFormat="1" ht="50" customHeight="1" spans="1:36">
      <c r="A40" s="331" t="s">
        <v>3922</v>
      </c>
      <c r="B40" s="324" t="s">
        <v>506</v>
      </c>
      <c r="C40" s="318" t="str">
        <f t="shared" ref="C40:C71" si="21">D40&amp;E40&amp;F40&amp;G40</f>
        <v>45001658609298TQ1-S001狗蛋四代PDQ1500</v>
      </c>
      <c r="D40" s="332">
        <v>4500165860</v>
      </c>
      <c r="E40" s="324" t="s">
        <v>2577</v>
      </c>
      <c r="F40" s="324" t="s">
        <v>2578</v>
      </c>
      <c r="G40" s="333">
        <v>1500</v>
      </c>
      <c r="H40" s="333">
        <v>0</v>
      </c>
      <c r="I40" s="333">
        <v>12</v>
      </c>
      <c r="J40" s="333">
        <f t="shared" si="0"/>
        <v>125</v>
      </c>
      <c r="K40" s="334">
        <v>45831</v>
      </c>
      <c r="L40" s="334">
        <v>45827</v>
      </c>
      <c r="M40" s="342" t="s">
        <v>13046</v>
      </c>
      <c r="N40" s="324" t="s">
        <v>3928</v>
      </c>
      <c r="O40" s="328"/>
      <c r="P40" s="329"/>
      <c r="Q40" s="329"/>
      <c r="R40" s="330"/>
      <c r="S40" s="344">
        <f t="shared" si="17"/>
        <v>1500</v>
      </c>
      <c r="T40" s="333"/>
      <c r="U40" s="330"/>
      <c r="V40" s="324"/>
      <c r="W40" s="324"/>
      <c r="X40" s="333"/>
      <c r="Y40" s="344">
        <f t="shared" si="19"/>
        <v>1500</v>
      </c>
      <c r="Z40" s="333"/>
      <c r="AA40" s="340"/>
      <c r="AB40" s="326"/>
      <c r="AC40" s="343">
        <f t="shared" si="16"/>
        <v>1500</v>
      </c>
      <c r="AD40" s="326"/>
      <c r="AE40" s="340"/>
      <c r="AF40" s="343">
        <f t="shared" si="20"/>
        <v>250</v>
      </c>
      <c r="AG40" s="340"/>
      <c r="AH40" s="340"/>
      <c r="AI40" s="340"/>
      <c r="AJ40" s="264" t="s">
        <v>13034</v>
      </c>
    </row>
    <row r="41" s="251" customFormat="1" ht="50" customHeight="1" spans="1:36">
      <c r="A41" s="331" t="s">
        <v>3929</v>
      </c>
      <c r="B41" s="324" t="s">
        <v>91</v>
      </c>
      <c r="C41" s="318" t="str">
        <f t="shared" si="21"/>
        <v>45001688899298TQ1-S002狗蛋四代2088</v>
      </c>
      <c r="D41" s="362">
        <v>4500168889</v>
      </c>
      <c r="E41" s="324" t="s">
        <v>2590</v>
      </c>
      <c r="F41" s="324" t="s">
        <v>2591</v>
      </c>
      <c r="G41" s="333">
        <v>2088</v>
      </c>
      <c r="H41" s="333">
        <v>0</v>
      </c>
      <c r="I41" s="333">
        <v>6</v>
      </c>
      <c r="J41" s="333">
        <f t="shared" si="0"/>
        <v>348</v>
      </c>
      <c r="K41" s="334">
        <v>45831</v>
      </c>
      <c r="L41" s="334">
        <v>45827</v>
      </c>
      <c r="M41" s="363" t="s">
        <v>3931</v>
      </c>
      <c r="N41" s="324" t="s">
        <v>3933</v>
      </c>
      <c r="O41" s="328"/>
      <c r="P41" s="329"/>
      <c r="Q41" s="329"/>
      <c r="R41" s="330"/>
      <c r="S41" s="358">
        <f t="shared" si="17"/>
        <v>2088</v>
      </c>
      <c r="T41" s="324"/>
      <c r="U41" s="330"/>
      <c r="V41" s="324"/>
      <c r="W41" s="324"/>
      <c r="X41" s="333"/>
      <c r="Y41" s="344">
        <f t="shared" si="19"/>
        <v>2088</v>
      </c>
      <c r="Z41" s="333"/>
      <c r="AA41" s="340"/>
      <c r="AB41" s="326"/>
      <c r="AC41" s="343">
        <f t="shared" si="16"/>
        <v>2088</v>
      </c>
      <c r="AD41" s="326"/>
      <c r="AE41" s="340"/>
      <c r="AF41" s="343">
        <f t="shared" si="20"/>
        <v>348</v>
      </c>
      <c r="AG41" s="340"/>
      <c r="AH41" s="340"/>
      <c r="AI41" s="340"/>
      <c r="AJ41" s="264" t="s">
        <v>13034</v>
      </c>
    </row>
    <row r="42" s="251" customFormat="1" ht="50" customHeight="1" spans="1:36">
      <c r="A42" s="364" t="s">
        <v>3929</v>
      </c>
      <c r="B42" s="324" t="s">
        <v>91</v>
      </c>
      <c r="C42" s="318" t="str">
        <f t="shared" si="21"/>
        <v>45001688329298TQ1-S002狗蛋四代1128</v>
      </c>
      <c r="D42" s="362">
        <v>4500168832</v>
      </c>
      <c r="E42" s="324" t="s">
        <v>2590</v>
      </c>
      <c r="F42" s="324" t="s">
        <v>2591</v>
      </c>
      <c r="G42" s="333">
        <v>1128</v>
      </c>
      <c r="H42" s="333">
        <v>0</v>
      </c>
      <c r="I42" s="333">
        <v>6</v>
      </c>
      <c r="J42" s="333">
        <f t="shared" si="0"/>
        <v>188</v>
      </c>
      <c r="K42" s="334">
        <v>45831</v>
      </c>
      <c r="L42" s="334">
        <v>45827</v>
      </c>
      <c r="M42" s="363" t="s">
        <v>3936</v>
      </c>
      <c r="N42" s="324" t="s">
        <v>3933</v>
      </c>
      <c r="O42" s="328"/>
      <c r="P42" s="329"/>
      <c r="Q42" s="329"/>
      <c r="R42" s="330"/>
      <c r="S42" s="358">
        <f t="shared" si="17"/>
        <v>1128</v>
      </c>
      <c r="T42" s="324"/>
      <c r="U42" s="330"/>
      <c r="V42" s="324"/>
      <c r="W42" s="324"/>
      <c r="X42" s="333"/>
      <c r="Y42" s="344">
        <f t="shared" si="19"/>
        <v>1128</v>
      </c>
      <c r="Z42" s="333"/>
      <c r="AA42" s="340"/>
      <c r="AB42" s="326"/>
      <c r="AC42" s="343">
        <f t="shared" si="16"/>
        <v>1128</v>
      </c>
      <c r="AD42" s="326"/>
      <c r="AE42" s="340"/>
      <c r="AF42" s="343">
        <f t="shared" si="20"/>
        <v>188</v>
      </c>
      <c r="AG42" s="340"/>
      <c r="AH42" s="340"/>
      <c r="AI42" s="340"/>
      <c r="AJ42" s="264" t="s">
        <v>13034</v>
      </c>
    </row>
    <row r="43" s="251" customFormat="1" ht="50" customHeight="1" spans="1:36">
      <c r="A43" s="365" t="s">
        <v>3799</v>
      </c>
      <c r="B43" s="365" t="s">
        <v>738</v>
      </c>
      <c r="C43" s="318" t="str">
        <f t="shared" si="21"/>
        <v>45001657929298TQ1-S001狗蛋四代PDQ1404</v>
      </c>
      <c r="D43" s="366">
        <v>4500165792</v>
      </c>
      <c r="E43" s="367" t="s">
        <v>2577</v>
      </c>
      <c r="F43" s="324" t="s">
        <v>2578</v>
      </c>
      <c r="G43" s="333">
        <v>1404</v>
      </c>
      <c r="H43" s="333">
        <v>0</v>
      </c>
      <c r="I43" s="333">
        <v>12</v>
      </c>
      <c r="J43" s="333">
        <f t="shared" si="0"/>
        <v>117</v>
      </c>
      <c r="K43" s="334">
        <v>45818</v>
      </c>
      <c r="L43" s="368">
        <v>45832</v>
      </c>
      <c r="M43" s="369"/>
      <c r="N43" s="365" t="s">
        <v>3805</v>
      </c>
      <c r="O43" s="328"/>
      <c r="P43" s="329"/>
      <c r="Q43" s="329"/>
      <c r="R43" s="330"/>
      <c r="S43" s="333"/>
      <c r="T43" s="333"/>
      <c r="U43" s="330"/>
      <c r="V43" s="358">
        <f t="shared" si="18"/>
        <v>1404</v>
      </c>
      <c r="W43" s="324"/>
      <c r="X43" s="333"/>
      <c r="Y43" s="344">
        <f t="shared" si="19"/>
        <v>1404</v>
      </c>
      <c r="Z43" s="333"/>
      <c r="AA43" s="340"/>
      <c r="AB43" s="326"/>
      <c r="AC43" s="343">
        <f t="shared" si="16"/>
        <v>1404</v>
      </c>
      <c r="AD43" s="326"/>
      <c r="AE43" s="340"/>
      <c r="AF43" s="343">
        <f t="shared" si="20"/>
        <v>234</v>
      </c>
      <c r="AG43" s="340"/>
      <c r="AH43" s="340"/>
      <c r="AI43" s="340"/>
      <c r="AJ43" s="264" t="s">
        <v>13034</v>
      </c>
    </row>
    <row r="44" s="251" customFormat="1" ht="50" customHeight="1" spans="1:36">
      <c r="A44" s="331" t="s">
        <v>3248</v>
      </c>
      <c r="B44" s="324" t="s">
        <v>1279</v>
      </c>
      <c r="C44" s="318" t="str">
        <f t="shared" si="21"/>
        <v>450016458792123-S001-9298狗蛋四代混装（92104+9298）1500</v>
      </c>
      <c r="D44" s="332">
        <v>4500164587</v>
      </c>
      <c r="E44" s="324" t="s">
        <v>3352</v>
      </c>
      <c r="F44" s="324" t="s">
        <v>3353</v>
      </c>
      <c r="G44" s="333">
        <v>1500</v>
      </c>
      <c r="H44" s="333">
        <v>0</v>
      </c>
      <c r="I44" s="333">
        <v>12</v>
      </c>
      <c r="J44" s="333">
        <f t="shared" si="0"/>
        <v>125</v>
      </c>
      <c r="K44" s="334">
        <v>45818</v>
      </c>
      <c r="L44" s="370">
        <v>45832</v>
      </c>
      <c r="M44" s="371" t="s">
        <v>13047</v>
      </c>
      <c r="N44" s="324" t="s">
        <v>1298</v>
      </c>
      <c r="O44" s="328"/>
      <c r="P44" s="329"/>
      <c r="Q44" s="329"/>
      <c r="R44" s="330"/>
      <c r="S44" s="333"/>
      <c r="T44" s="333"/>
      <c r="U44" s="330"/>
      <c r="V44" s="372">
        <f t="shared" si="18"/>
        <v>1500</v>
      </c>
      <c r="W44" s="318"/>
      <c r="X44" s="333"/>
      <c r="Y44" s="344">
        <f t="shared" si="19"/>
        <v>1500</v>
      </c>
      <c r="Z44" s="320"/>
      <c r="AA44" s="340"/>
      <c r="AB44" s="326"/>
      <c r="AC44" s="343">
        <f t="shared" si="16"/>
        <v>1500</v>
      </c>
      <c r="AD44" s="326"/>
      <c r="AE44" s="340"/>
      <c r="AF44" s="340"/>
      <c r="AG44" s="340"/>
      <c r="AH44" s="340"/>
      <c r="AI44" s="340"/>
      <c r="AJ44" s="264" t="s">
        <v>13034</v>
      </c>
    </row>
    <row r="45" s="251" customFormat="1" ht="50" customHeight="1" spans="1:36">
      <c r="A45" s="331" t="s">
        <v>3542</v>
      </c>
      <c r="B45" s="324" t="s">
        <v>471</v>
      </c>
      <c r="C45" s="318" t="str">
        <f t="shared" si="21"/>
        <v>45001668689298TQ2-S001-NB狗蛋四代(无闪粉）504</v>
      </c>
      <c r="D45" s="332">
        <v>4500166868</v>
      </c>
      <c r="E45" s="324" t="s">
        <v>3545</v>
      </c>
      <c r="F45" s="324" t="s">
        <v>2620</v>
      </c>
      <c r="G45" s="333">
        <v>504</v>
      </c>
      <c r="H45" s="333">
        <v>0</v>
      </c>
      <c r="I45" s="333">
        <v>12</v>
      </c>
      <c r="J45" s="333">
        <f t="shared" si="0"/>
        <v>42</v>
      </c>
      <c r="K45" s="334">
        <v>45834</v>
      </c>
      <c r="L45" s="334">
        <v>45831</v>
      </c>
      <c r="M45" s="342" t="s">
        <v>13048</v>
      </c>
      <c r="N45" s="324" t="s">
        <v>2878</v>
      </c>
      <c r="O45" s="355"/>
      <c r="P45" s="356"/>
      <c r="Q45" s="356"/>
      <c r="R45" s="357"/>
      <c r="S45" s="333"/>
      <c r="T45" s="333"/>
      <c r="U45" s="357"/>
      <c r="V45" s="358">
        <f t="shared" si="18"/>
        <v>504</v>
      </c>
      <c r="W45" s="324"/>
      <c r="X45" s="333"/>
      <c r="Y45" s="344">
        <f t="shared" si="19"/>
        <v>504</v>
      </c>
      <c r="Z45" s="333"/>
      <c r="AA45" s="340"/>
      <c r="AB45" s="359"/>
      <c r="AC45" s="340"/>
      <c r="AD45" s="359"/>
      <c r="AE45" s="343">
        <f t="shared" ref="AE45:AE58" si="22">G45</f>
        <v>504</v>
      </c>
      <c r="AF45" s="340"/>
      <c r="AG45" s="340"/>
      <c r="AH45" s="343">
        <f>G45/6</f>
        <v>84</v>
      </c>
      <c r="AI45" s="340"/>
      <c r="AJ45" s="264" t="s">
        <v>13034</v>
      </c>
    </row>
    <row r="46" s="251" customFormat="1" ht="50" customHeight="1" spans="1:36">
      <c r="A46" s="331" t="s">
        <v>1016</v>
      </c>
      <c r="B46" s="324" t="s">
        <v>396</v>
      </c>
      <c r="C46" s="318" t="str">
        <f t="shared" si="21"/>
        <v>45001673619298A-S001-NB牧羊犬36</v>
      </c>
      <c r="D46" s="332">
        <v>4500167361</v>
      </c>
      <c r="E46" s="324" t="s">
        <v>2666</v>
      </c>
      <c r="F46" s="324" t="s">
        <v>2667</v>
      </c>
      <c r="G46" s="333">
        <v>36</v>
      </c>
      <c r="H46" s="333">
        <v>0</v>
      </c>
      <c r="I46" s="333">
        <v>12</v>
      </c>
      <c r="J46" s="333">
        <f t="shared" si="0"/>
        <v>3</v>
      </c>
      <c r="K46" s="334">
        <v>45834</v>
      </c>
      <c r="L46" s="334">
        <v>45831</v>
      </c>
      <c r="M46" s="342" t="s">
        <v>13048</v>
      </c>
      <c r="N46" s="324" t="s">
        <v>369</v>
      </c>
      <c r="O46" s="328"/>
      <c r="P46" s="329"/>
      <c r="Q46" s="329"/>
      <c r="R46" s="330"/>
      <c r="S46" s="333"/>
      <c r="T46" s="333"/>
      <c r="U46" s="330"/>
      <c r="V46" s="358">
        <f t="shared" si="18"/>
        <v>36</v>
      </c>
      <c r="W46" s="324"/>
      <c r="X46" s="333"/>
      <c r="Y46" s="344">
        <f t="shared" si="19"/>
        <v>36</v>
      </c>
      <c r="Z46" s="333"/>
      <c r="AA46" s="340"/>
      <c r="AB46" s="326"/>
      <c r="AC46" s="340"/>
      <c r="AD46" s="326"/>
      <c r="AE46" s="343">
        <f t="shared" si="22"/>
        <v>36</v>
      </c>
      <c r="AF46" s="340"/>
      <c r="AG46" s="340"/>
      <c r="AH46" s="340"/>
      <c r="AI46" s="340"/>
      <c r="AJ46" s="264" t="s">
        <v>13034</v>
      </c>
    </row>
    <row r="47" s="251" customFormat="1" ht="50" customHeight="1" spans="1:36">
      <c r="A47" s="331" t="s">
        <v>1016</v>
      </c>
      <c r="B47" s="324" t="s">
        <v>396</v>
      </c>
      <c r="C47" s="318" t="str">
        <f t="shared" si="21"/>
        <v>45001673619298A-S001-NB牧羊犬36</v>
      </c>
      <c r="D47" s="332">
        <v>4500167361</v>
      </c>
      <c r="E47" s="324" t="s">
        <v>2666</v>
      </c>
      <c r="F47" s="324" t="s">
        <v>2667</v>
      </c>
      <c r="G47" s="333">
        <v>36</v>
      </c>
      <c r="H47" s="333">
        <v>0</v>
      </c>
      <c r="I47" s="333">
        <v>12</v>
      </c>
      <c r="J47" s="333">
        <f t="shared" si="0"/>
        <v>3</v>
      </c>
      <c r="K47" s="334">
        <v>45834</v>
      </c>
      <c r="L47" s="334">
        <v>45831</v>
      </c>
      <c r="M47" s="342" t="s">
        <v>13048</v>
      </c>
      <c r="N47" s="324" t="s">
        <v>369</v>
      </c>
      <c r="O47" s="328"/>
      <c r="P47" s="329"/>
      <c r="Q47" s="329"/>
      <c r="R47" s="330"/>
      <c r="S47" s="333"/>
      <c r="T47" s="333"/>
      <c r="U47" s="330"/>
      <c r="V47" s="358">
        <f t="shared" si="18"/>
        <v>36</v>
      </c>
      <c r="W47" s="324"/>
      <c r="X47" s="333"/>
      <c r="Y47" s="344">
        <f t="shared" si="19"/>
        <v>36</v>
      </c>
      <c r="Z47" s="333"/>
      <c r="AA47" s="340"/>
      <c r="AB47" s="326"/>
      <c r="AC47" s="340"/>
      <c r="AD47" s="326"/>
      <c r="AE47" s="343">
        <f t="shared" si="22"/>
        <v>36</v>
      </c>
      <c r="AF47" s="340"/>
      <c r="AG47" s="340"/>
      <c r="AH47" s="340"/>
      <c r="AI47" s="340"/>
      <c r="AJ47" s="264" t="s">
        <v>13034</v>
      </c>
    </row>
    <row r="48" s="251" customFormat="1" ht="50" customHeight="1" spans="1:36">
      <c r="A48" s="331" t="s">
        <v>1016</v>
      </c>
      <c r="B48" s="324" t="s">
        <v>396</v>
      </c>
      <c r="C48" s="318" t="str">
        <f t="shared" si="21"/>
        <v>45001673619298A-S001-NB牧羊犬36</v>
      </c>
      <c r="D48" s="332">
        <v>4500167361</v>
      </c>
      <c r="E48" s="324" t="s">
        <v>2666</v>
      </c>
      <c r="F48" s="324" t="s">
        <v>2667</v>
      </c>
      <c r="G48" s="333">
        <v>36</v>
      </c>
      <c r="H48" s="333">
        <v>0</v>
      </c>
      <c r="I48" s="333">
        <v>12</v>
      </c>
      <c r="J48" s="333">
        <f t="shared" si="0"/>
        <v>3</v>
      </c>
      <c r="K48" s="334">
        <v>45834</v>
      </c>
      <c r="L48" s="334">
        <v>45831</v>
      </c>
      <c r="M48" s="342" t="s">
        <v>13048</v>
      </c>
      <c r="N48" s="324" t="s">
        <v>369</v>
      </c>
      <c r="O48" s="328"/>
      <c r="P48" s="329"/>
      <c r="Q48" s="329"/>
      <c r="R48" s="330"/>
      <c r="S48" s="333"/>
      <c r="T48" s="333"/>
      <c r="U48" s="330"/>
      <c r="V48" s="358">
        <f t="shared" si="18"/>
        <v>36</v>
      </c>
      <c r="W48" s="324"/>
      <c r="X48" s="333"/>
      <c r="Y48" s="344">
        <f t="shared" si="19"/>
        <v>36</v>
      </c>
      <c r="Z48" s="333"/>
      <c r="AA48" s="340"/>
      <c r="AB48" s="326"/>
      <c r="AC48" s="340"/>
      <c r="AD48" s="326"/>
      <c r="AE48" s="343">
        <f t="shared" si="22"/>
        <v>36</v>
      </c>
      <c r="AF48" s="340"/>
      <c r="AG48" s="340"/>
      <c r="AH48" s="340"/>
      <c r="AI48" s="340"/>
      <c r="AJ48" s="264" t="s">
        <v>13034</v>
      </c>
    </row>
    <row r="49" s="251" customFormat="1" ht="50" customHeight="1" spans="1:36">
      <c r="A49" s="331" t="s">
        <v>1016</v>
      </c>
      <c r="B49" s="324" t="s">
        <v>396</v>
      </c>
      <c r="C49" s="318" t="str">
        <f t="shared" si="21"/>
        <v>45001673619298A-S001-NB牧羊犬36</v>
      </c>
      <c r="D49" s="332">
        <v>4500167361</v>
      </c>
      <c r="E49" s="324" t="s">
        <v>2666</v>
      </c>
      <c r="F49" s="324" t="s">
        <v>2667</v>
      </c>
      <c r="G49" s="333">
        <v>36</v>
      </c>
      <c r="H49" s="333">
        <v>0</v>
      </c>
      <c r="I49" s="333">
        <v>12</v>
      </c>
      <c r="J49" s="333">
        <f t="shared" si="0"/>
        <v>3</v>
      </c>
      <c r="K49" s="334">
        <v>45834</v>
      </c>
      <c r="L49" s="334">
        <v>45831</v>
      </c>
      <c r="M49" s="342" t="s">
        <v>13048</v>
      </c>
      <c r="N49" s="324" t="s">
        <v>369</v>
      </c>
      <c r="O49" s="328"/>
      <c r="P49" s="329"/>
      <c r="Q49" s="329"/>
      <c r="R49" s="330"/>
      <c r="S49" s="333"/>
      <c r="T49" s="333"/>
      <c r="U49" s="330"/>
      <c r="V49" s="358">
        <f t="shared" si="18"/>
        <v>36</v>
      </c>
      <c r="W49" s="324"/>
      <c r="X49" s="333"/>
      <c r="Y49" s="344">
        <f t="shared" si="19"/>
        <v>36</v>
      </c>
      <c r="Z49" s="333"/>
      <c r="AA49" s="340"/>
      <c r="AB49" s="326"/>
      <c r="AC49" s="340"/>
      <c r="AD49" s="326"/>
      <c r="AE49" s="343">
        <f t="shared" si="22"/>
        <v>36</v>
      </c>
      <c r="AF49" s="340"/>
      <c r="AG49" s="340"/>
      <c r="AH49" s="340"/>
      <c r="AI49" s="340"/>
      <c r="AJ49" s="264" t="s">
        <v>13034</v>
      </c>
    </row>
    <row r="50" s="251" customFormat="1" ht="50" customHeight="1" spans="1:36">
      <c r="A50" s="331" t="s">
        <v>1016</v>
      </c>
      <c r="B50" s="324" t="s">
        <v>396</v>
      </c>
      <c r="C50" s="318" t="str">
        <f t="shared" si="21"/>
        <v>45001673619298D-S001-NB黑白斑点狗12</v>
      </c>
      <c r="D50" s="332">
        <v>4500167361</v>
      </c>
      <c r="E50" s="324" t="s">
        <v>2680</v>
      </c>
      <c r="F50" s="324" t="s">
        <v>2632</v>
      </c>
      <c r="G50" s="333">
        <v>12</v>
      </c>
      <c r="H50" s="333">
        <v>0</v>
      </c>
      <c r="I50" s="333">
        <v>12</v>
      </c>
      <c r="J50" s="333">
        <f t="shared" si="0"/>
        <v>1</v>
      </c>
      <c r="K50" s="334">
        <v>45834</v>
      </c>
      <c r="L50" s="334">
        <v>45831</v>
      </c>
      <c r="M50" s="342" t="s">
        <v>13048</v>
      </c>
      <c r="N50" s="324" t="s">
        <v>369</v>
      </c>
      <c r="O50" s="328"/>
      <c r="P50" s="329"/>
      <c r="Q50" s="329"/>
      <c r="R50" s="330"/>
      <c r="S50" s="333"/>
      <c r="T50" s="333"/>
      <c r="U50" s="330"/>
      <c r="V50" s="358">
        <f t="shared" si="18"/>
        <v>12</v>
      </c>
      <c r="W50" s="324"/>
      <c r="X50" s="333"/>
      <c r="Y50" s="344">
        <f t="shared" si="19"/>
        <v>12</v>
      </c>
      <c r="Z50" s="333"/>
      <c r="AA50" s="340"/>
      <c r="AB50" s="326"/>
      <c r="AC50" s="340"/>
      <c r="AD50" s="326"/>
      <c r="AE50" s="343">
        <f t="shared" si="22"/>
        <v>12</v>
      </c>
      <c r="AF50" s="340"/>
      <c r="AG50" s="340"/>
      <c r="AH50" s="340"/>
      <c r="AI50" s="340"/>
      <c r="AJ50" s="264" t="s">
        <v>13034</v>
      </c>
    </row>
    <row r="51" s="251" customFormat="1" ht="50" customHeight="1" spans="1:36">
      <c r="A51" s="331" t="s">
        <v>1016</v>
      </c>
      <c r="B51" s="324" t="s">
        <v>396</v>
      </c>
      <c r="C51" s="318" t="str">
        <f t="shared" si="21"/>
        <v>45001673619298D-S001-NB黑白斑点狗12</v>
      </c>
      <c r="D51" s="332">
        <v>4500167361</v>
      </c>
      <c r="E51" s="324" t="s">
        <v>2680</v>
      </c>
      <c r="F51" s="324" t="s">
        <v>2632</v>
      </c>
      <c r="G51" s="333">
        <v>12</v>
      </c>
      <c r="H51" s="333">
        <v>0</v>
      </c>
      <c r="I51" s="333">
        <v>12</v>
      </c>
      <c r="J51" s="333">
        <f t="shared" si="0"/>
        <v>1</v>
      </c>
      <c r="K51" s="334">
        <v>45834</v>
      </c>
      <c r="L51" s="334">
        <v>45831</v>
      </c>
      <c r="M51" s="342" t="s">
        <v>13048</v>
      </c>
      <c r="N51" s="324" t="s">
        <v>369</v>
      </c>
      <c r="O51" s="328"/>
      <c r="P51" s="329"/>
      <c r="Q51" s="329"/>
      <c r="R51" s="330"/>
      <c r="S51" s="333"/>
      <c r="T51" s="333"/>
      <c r="U51" s="330"/>
      <c r="V51" s="358">
        <f t="shared" si="18"/>
        <v>12</v>
      </c>
      <c r="W51" s="324"/>
      <c r="X51" s="333"/>
      <c r="Y51" s="344">
        <f t="shared" si="19"/>
        <v>12</v>
      </c>
      <c r="Z51" s="333"/>
      <c r="AA51" s="340"/>
      <c r="AB51" s="326"/>
      <c r="AC51" s="340"/>
      <c r="AD51" s="326"/>
      <c r="AE51" s="343">
        <f t="shared" si="22"/>
        <v>12</v>
      </c>
      <c r="AF51" s="340"/>
      <c r="AG51" s="340"/>
      <c r="AH51" s="340"/>
      <c r="AI51" s="340"/>
      <c r="AJ51" s="264" t="s">
        <v>13034</v>
      </c>
    </row>
    <row r="52" s="251" customFormat="1" ht="50" customHeight="1" spans="1:36">
      <c r="A52" s="331" t="s">
        <v>1016</v>
      </c>
      <c r="B52" s="324" t="s">
        <v>396</v>
      </c>
      <c r="C52" s="318" t="str">
        <f t="shared" si="21"/>
        <v>45001673619298D-S001-NB黑白斑点狗12</v>
      </c>
      <c r="D52" s="332">
        <v>4500167361</v>
      </c>
      <c r="E52" s="324" t="s">
        <v>2680</v>
      </c>
      <c r="F52" s="324" t="s">
        <v>2632</v>
      </c>
      <c r="G52" s="333">
        <v>12</v>
      </c>
      <c r="H52" s="333">
        <v>0</v>
      </c>
      <c r="I52" s="333">
        <v>12</v>
      </c>
      <c r="J52" s="333">
        <f t="shared" si="0"/>
        <v>1</v>
      </c>
      <c r="K52" s="334">
        <v>45834</v>
      </c>
      <c r="L52" s="334">
        <v>45831</v>
      </c>
      <c r="M52" s="342" t="s">
        <v>13048</v>
      </c>
      <c r="N52" s="324" t="s">
        <v>369</v>
      </c>
      <c r="O52" s="328"/>
      <c r="P52" s="329"/>
      <c r="Q52" s="329"/>
      <c r="R52" s="330"/>
      <c r="S52" s="333"/>
      <c r="T52" s="333"/>
      <c r="U52" s="330"/>
      <c r="V52" s="358">
        <f t="shared" si="18"/>
        <v>12</v>
      </c>
      <c r="W52" s="324"/>
      <c r="X52" s="333"/>
      <c r="Y52" s="344">
        <f t="shared" si="19"/>
        <v>12</v>
      </c>
      <c r="Z52" s="333"/>
      <c r="AA52" s="340"/>
      <c r="AB52" s="326"/>
      <c r="AC52" s="340"/>
      <c r="AD52" s="326"/>
      <c r="AE52" s="343">
        <f t="shared" si="22"/>
        <v>12</v>
      </c>
      <c r="AF52" s="340"/>
      <c r="AG52" s="340"/>
      <c r="AH52" s="340"/>
      <c r="AI52" s="340"/>
      <c r="AJ52" s="264" t="s">
        <v>13034</v>
      </c>
    </row>
    <row r="53" s="251" customFormat="1" ht="50" customHeight="1" spans="1:36">
      <c r="A53" s="331" t="s">
        <v>1016</v>
      </c>
      <c r="B53" s="324" t="s">
        <v>396</v>
      </c>
      <c r="C53" s="318" t="str">
        <f t="shared" si="21"/>
        <v>45001673619298E-S001-NB雪纳瑞24</v>
      </c>
      <c r="D53" s="332">
        <v>4500167361</v>
      </c>
      <c r="E53" s="324" t="s">
        <v>3021</v>
      </c>
      <c r="F53" s="324" t="s">
        <v>2984</v>
      </c>
      <c r="G53" s="333">
        <v>24</v>
      </c>
      <c r="H53" s="333">
        <v>0</v>
      </c>
      <c r="I53" s="333">
        <v>12</v>
      </c>
      <c r="J53" s="333">
        <f t="shared" si="0"/>
        <v>2</v>
      </c>
      <c r="K53" s="334">
        <v>45834</v>
      </c>
      <c r="L53" s="334">
        <v>45831</v>
      </c>
      <c r="M53" s="342" t="s">
        <v>13048</v>
      </c>
      <c r="N53" s="324" t="s">
        <v>369</v>
      </c>
      <c r="O53" s="328"/>
      <c r="P53" s="329"/>
      <c r="Q53" s="329"/>
      <c r="R53" s="330"/>
      <c r="S53" s="333"/>
      <c r="T53" s="333"/>
      <c r="U53" s="330"/>
      <c r="V53" s="358">
        <f t="shared" si="18"/>
        <v>24</v>
      </c>
      <c r="W53" s="324"/>
      <c r="X53" s="333"/>
      <c r="Y53" s="344">
        <f t="shared" si="19"/>
        <v>24</v>
      </c>
      <c r="Z53" s="333"/>
      <c r="AA53" s="340"/>
      <c r="AB53" s="326"/>
      <c r="AC53" s="340"/>
      <c r="AD53" s="326"/>
      <c r="AE53" s="343">
        <f t="shared" si="22"/>
        <v>24</v>
      </c>
      <c r="AF53" s="340"/>
      <c r="AG53" s="340"/>
      <c r="AH53" s="340"/>
      <c r="AI53" s="340"/>
      <c r="AJ53" s="264" t="s">
        <v>13034</v>
      </c>
    </row>
    <row r="54" s="251" customFormat="1" ht="50" customHeight="1" spans="1:36">
      <c r="A54" s="331" t="s">
        <v>1016</v>
      </c>
      <c r="B54" s="324" t="s">
        <v>396</v>
      </c>
      <c r="C54" s="318" t="str">
        <f t="shared" si="21"/>
        <v>45001673619298G-S001-NB咖啡斑点狗12</v>
      </c>
      <c r="D54" s="332">
        <v>4500167361</v>
      </c>
      <c r="E54" s="324" t="s">
        <v>2676</v>
      </c>
      <c r="F54" s="324" t="s">
        <v>2677</v>
      </c>
      <c r="G54" s="333">
        <v>12</v>
      </c>
      <c r="H54" s="333">
        <v>0</v>
      </c>
      <c r="I54" s="333">
        <v>12</v>
      </c>
      <c r="J54" s="333">
        <f t="shared" si="0"/>
        <v>1</v>
      </c>
      <c r="K54" s="334">
        <v>45834</v>
      </c>
      <c r="L54" s="334">
        <v>45831</v>
      </c>
      <c r="M54" s="342" t="s">
        <v>13048</v>
      </c>
      <c r="N54" s="324" t="s">
        <v>369</v>
      </c>
      <c r="O54" s="328"/>
      <c r="P54" s="329"/>
      <c r="Q54" s="329"/>
      <c r="R54" s="330"/>
      <c r="S54" s="333"/>
      <c r="T54" s="333"/>
      <c r="U54" s="330"/>
      <c r="V54" s="358">
        <f t="shared" si="18"/>
        <v>12</v>
      </c>
      <c r="W54" s="324"/>
      <c r="X54" s="333"/>
      <c r="Y54" s="344">
        <f t="shared" si="19"/>
        <v>12</v>
      </c>
      <c r="Z54" s="333"/>
      <c r="AA54" s="340"/>
      <c r="AB54" s="326"/>
      <c r="AC54" s="340"/>
      <c r="AD54" s="326"/>
      <c r="AE54" s="343">
        <f t="shared" si="22"/>
        <v>12</v>
      </c>
      <c r="AF54" s="340"/>
      <c r="AG54" s="340"/>
      <c r="AH54" s="340"/>
      <c r="AI54" s="340"/>
      <c r="AJ54" s="264" t="s">
        <v>13034</v>
      </c>
    </row>
    <row r="55" s="251" customFormat="1" ht="50" customHeight="1" spans="1:36">
      <c r="A55" s="331" t="s">
        <v>1016</v>
      </c>
      <c r="B55" s="324" t="s">
        <v>396</v>
      </c>
      <c r="C55" s="318" t="str">
        <f t="shared" si="21"/>
        <v>45001673619298G-S001-NB咖啡斑点狗24</v>
      </c>
      <c r="D55" s="332">
        <v>4500167361</v>
      </c>
      <c r="E55" s="324" t="s">
        <v>2676</v>
      </c>
      <c r="F55" s="324" t="s">
        <v>2677</v>
      </c>
      <c r="G55" s="333">
        <v>24</v>
      </c>
      <c r="H55" s="333">
        <v>0</v>
      </c>
      <c r="I55" s="333">
        <v>12</v>
      </c>
      <c r="J55" s="333">
        <f t="shared" si="0"/>
        <v>2</v>
      </c>
      <c r="K55" s="334">
        <v>45834</v>
      </c>
      <c r="L55" s="334">
        <v>45831</v>
      </c>
      <c r="M55" s="342" t="s">
        <v>13048</v>
      </c>
      <c r="N55" s="324" t="s">
        <v>369</v>
      </c>
      <c r="O55" s="328"/>
      <c r="P55" s="329"/>
      <c r="Q55" s="329"/>
      <c r="R55" s="330"/>
      <c r="S55" s="333"/>
      <c r="T55" s="333"/>
      <c r="U55" s="330"/>
      <c r="V55" s="358">
        <f t="shared" si="18"/>
        <v>24</v>
      </c>
      <c r="W55" s="324"/>
      <c r="X55" s="333"/>
      <c r="Y55" s="344">
        <f t="shared" si="19"/>
        <v>24</v>
      </c>
      <c r="Z55" s="333"/>
      <c r="AA55" s="340"/>
      <c r="AB55" s="326"/>
      <c r="AC55" s="340"/>
      <c r="AD55" s="326"/>
      <c r="AE55" s="343">
        <f t="shared" si="22"/>
        <v>24</v>
      </c>
      <c r="AF55" s="340"/>
      <c r="AG55" s="340"/>
      <c r="AH55" s="340"/>
      <c r="AI55" s="340"/>
      <c r="AJ55" s="264" t="s">
        <v>13034</v>
      </c>
    </row>
    <row r="56" s="251" customFormat="1" ht="50" customHeight="1" spans="1:36">
      <c r="A56" s="331" t="s">
        <v>1016</v>
      </c>
      <c r="B56" s="324" t="s">
        <v>396</v>
      </c>
      <c r="C56" s="318" t="str">
        <f t="shared" si="21"/>
        <v>45001673619298G-S001-NB咖啡斑点狗36</v>
      </c>
      <c r="D56" s="332">
        <v>4500167361</v>
      </c>
      <c r="E56" s="324" t="s">
        <v>2676</v>
      </c>
      <c r="F56" s="324" t="s">
        <v>2677</v>
      </c>
      <c r="G56" s="333">
        <v>36</v>
      </c>
      <c r="H56" s="333">
        <v>0</v>
      </c>
      <c r="I56" s="333">
        <v>12</v>
      </c>
      <c r="J56" s="333">
        <f t="shared" si="0"/>
        <v>3</v>
      </c>
      <c r="K56" s="334">
        <v>45834</v>
      </c>
      <c r="L56" s="334">
        <v>45831</v>
      </c>
      <c r="M56" s="342" t="s">
        <v>13048</v>
      </c>
      <c r="N56" s="324" t="s">
        <v>369</v>
      </c>
      <c r="O56" s="328"/>
      <c r="P56" s="329"/>
      <c r="Q56" s="329"/>
      <c r="R56" s="330"/>
      <c r="S56" s="333"/>
      <c r="T56" s="333"/>
      <c r="U56" s="330"/>
      <c r="V56" s="358">
        <f t="shared" si="18"/>
        <v>36</v>
      </c>
      <c r="W56" s="324"/>
      <c r="X56" s="333"/>
      <c r="Y56" s="344">
        <f t="shared" si="19"/>
        <v>36</v>
      </c>
      <c r="Z56" s="333"/>
      <c r="AA56" s="340"/>
      <c r="AB56" s="326"/>
      <c r="AC56" s="340"/>
      <c r="AD56" s="326"/>
      <c r="AE56" s="343">
        <f t="shared" si="22"/>
        <v>36</v>
      </c>
      <c r="AF56" s="340"/>
      <c r="AG56" s="340"/>
      <c r="AH56" s="340"/>
      <c r="AI56" s="340"/>
      <c r="AJ56" s="264" t="s">
        <v>13034</v>
      </c>
    </row>
    <row r="57" s="251" customFormat="1" ht="50" customHeight="1" spans="1:36">
      <c r="A57" s="331" t="s">
        <v>1016</v>
      </c>
      <c r="B57" s="324" t="s">
        <v>396</v>
      </c>
      <c r="C57" s="318" t="str">
        <f t="shared" si="21"/>
        <v>45001673619298G-S001-NB咖啡斑点狗24</v>
      </c>
      <c r="D57" s="332">
        <v>4500167361</v>
      </c>
      <c r="E57" s="324" t="s">
        <v>2676</v>
      </c>
      <c r="F57" s="324" t="s">
        <v>2677</v>
      </c>
      <c r="G57" s="333">
        <v>24</v>
      </c>
      <c r="H57" s="333">
        <v>0</v>
      </c>
      <c r="I57" s="333">
        <v>12</v>
      </c>
      <c r="J57" s="333">
        <f t="shared" si="0"/>
        <v>2</v>
      </c>
      <c r="K57" s="334">
        <v>45834</v>
      </c>
      <c r="L57" s="334">
        <v>45831</v>
      </c>
      <c r="M57" s="342" t="s">
        <v>13048</v>
      </c>
      <c r="N57" s="324" t="s">
        <v>369</v>
      </c>
      <c r="O57" s="328"/>
      <c r="P57" s="329"/>
      <c r="Q57" s="329"/>
      <c r="R57" s="330"/>
      <c r="S57" s="333"/>
      <c r="T57" s="333"/>
      <c r="U57" s="330"/>
      <c r="V57" s="358">
        <f t="shared" si="18"/>
        <v>24</v>
      </c>
      <c r="W57" s="324"/>
      <c r="X57" s="333"/>
      <c r="Y57" s="344">
        <f t="shared" si="19"/>
        <v>24</v>
      </c>
      <c r="Z57" s="333"/>
      <c r="AA57" s="340"/>
      <c r="AB57" s="326"/>
      <c r="AC57" s="340"/>
      <c r="AD57" s="326"/>
      <c r="AE57" s="343">
        <f t="shared" si="22"/>
        <v>24</v>
      </c>
      <c r="AF57" s="340"/>
      <c r="AG57" s="340"/>
      <c r="AH57" s="340"/>
      <c r="AI57" s="340"/>
      <c r="AJ57" s="264" t="s">
        <v>13034</v>
      </c>
    </row>
    <row r="58" s="251" customFormat="1" ht="50" customHeight="1" spans="1:36">
      <c r="A58" s="331" t="s">
        <v>1016</v>
      </c>
      <c r="B58" s="324" t="s">
        <v>396</v>
      </c>
      <c r="C58" s="318" t="str">
        <f t="shared" si="21"/>
        <v>45001673619298G-S001-NB咖啡斑点狗36</v>
      </c>
      <c r="D58" s="332">
        <v>4500167361</v>
      </c>
      <c r="E58" s="324" t="s">
        <v>2676</v>
      </c>
      <c r="F58" s="324" t="s">
        <v>2677</v>
      </c>
      <c r="G58" s="333">
        <v>36</v>
      </c>
      <c r="H58" s="333">
        <v>0</v>
      </c>
      <c r="I58" s="333">
        <v>12</v>
      </c>
      <c r="J58" s="333">
        <f t="shared" si="0"/>
        <v>3</v>
      </c>
      <c r="K58" s="334">
        <v>45834</v>
      </c>
      <c r="L58" s="334">
        <v>45831</v>
      </c>
      <c r="M58" s="342" t="s">
        <v>13048</v>
      </c>
      <c r="N58" s="324" t="s">
        <v>369</v>
      </c>
      <c r="O58" s="328"/>
      <c r="P58" s="329"/>
      <c r="Q58" s="329"/>
      <c r="R58" s="330"/>
      <c r="S58" s="333"/>
      <c r="T58" s="333"/>
      <c r="U58" s="330"/>
      <c r="V58" s="358">
        <f t="shared" si="18"/>
        <v>36</v>
      </c>
      <c r="W58" s="324"/>
      <c r="X58" s="333"/>
      <c r="Y58" s="344">
        <f t="shared" si="19"/>
        <v>36</v>
      </c>
      <c r="Z58" s="333"/>
      <c r="AA58" s="340"/>
      <c r="AB58" s="326"/>
      <c r="AC58" s="340"/>
      <c r="AD58" s="326"/>
      <c r="AE58" s="343">
        <f t="shared" si="22"/>
        <v>36</v>
      </c>
      <c r="AF58" s="340"/>
      <c r="AG58" s="340"/>
      <c r="AH58" s="340"/>
      <c r="AI58" s="340"/>
      <c r="AJ58" s="264" t="s">
        <v>13034</v>
      </c>
    </row>
    <row r="59" s="251" customFormat="1" ht="50" customHeight="1" spans="1:36">
      <c r="A59" s="331" t="s">
        <v>3811</v>
      </c>
      <c r="B59" s="324" t="s">
        <v>3812</v>
      </c>
      <c r="C59" s="318" t="str">
        <f t="shared" si="21"/>
        <v>45001636919298TQ1-S001狗蛋四代3000</v>
      </c>
      <c r="D59" s="332">
        <v>4500163691</v>
      </c>
      <c r="E59" s="324" t="s">
        <v>2577</v>
      </c>
      <c r="F59" s="333" t="s">
        <v>2591</v>
      </c>
      <c r="G59" s="333">
        <v>3000</v>
      </c>
      <c r="H59" s="333">
        <v>0</v>
      </c>
      <c r="I59" s="333">
        <v>12</v>
      </c>
      <c r="J59" s="333">
        <f t="shared" si="0"/>
        <v>250</v>
      </c>
      <c r="K59" s="334">
        <v>45818</v>
      </c>
      <c r="L59" s="370">
        <v>45834</v>
      </c>
      <c r="M59" s="373" t="s">
        <v>13049</v>
      </c>
      <c r="N59" s="324" t="s">
        <v>459</v>
      </c>
      <c r="O59" s="324"/>
      <c r="P59" s="324"/>
      <c r="Q59" s="333"/>
      <c r="R59" s="333"/>
      <c r="S59" s="340"/>
      <c r="T59" s="340"/>
      <c r="U59" s="340"/>
      <c r="V59" s="343">
        <f t="shared" si="18"/>
        <v>3000</v>
      </c>
      <c r="W59" s="340"/>
      <c r="X59" s="340"/>
      <c r="Y59" s="343">
        <f t="shared" si="19"/>
        <v>3000</v>
      </c>
      <c r="Z59" s="340"/>
      <c r="AA59" s="340"/>
      <c r="AB59" s="340"/>
      <c r="AC59" s="343">
        <f t="shared" ref="AC59:AC86" si="23">G59</f>
        <v>3000</v>
      </c>
      <c r="AD59" s="340"/>
      <c r="AE59" s="340"/>
      <c r="AF59" s="343">
        <f>G59/6</f>
        <v>500</v>
      </c>
      <c r="AG59" s="340"/>
      <c r="AH59" s="340"/>
      <c r="AI59" s="340"/>
      <c r="AJ59" s="264" t="s">
        <v>13034</v>
      </c>
    </row>
    <row r="60" s="251" customFormat="1" ht="50" customHeight="1" spans="1:36">
      <c r="A60" s="364" t="s">
        <v>3891</v>
      </c>
      <c r="B60" s="324" t="s">
        <v>341</v>
      </c>
      <c r="C60" s="318" t="str">
        <f t="shared" si="21"/>
        <v>45001663759298TQ4-S003狗蛋四代2000</v>
      </c>
      <c r="D60" s="332">
        <v>4500166375</v>
      </c>
      <c r="E60" s="324" t="s">
        <v>2917</v>
      </c>
      <c r="F60" s="333" t="s">
        <v>2591</v>
      </c>
      <c r="G60" s="333">
        <v>2000</v>
      </c>
      <c r="H60" s="333">
        <v>0</v>
      </c>
      <c r="I60" s="333">
        <v>16</v>
      </c>
      <c r="J60" s="333">
        <f t="shared" si="0"/>
        <v>125</v>
      </c>
      <c r="K60" s="334">
        <v>45835</v>
      </c>
      <c r="L60" s="334">
        <v>45831</v>
      </c>
      <c r="M60" s="342" t="s">
        <v>13046</v>
      </c>
      <c r="N60" s="324" t="s">
        <v>3896</v>
      </c>
      <c r="O60" s="328"/>
      <c r="P60" s="329"/>
      <c r="Q60" s="329"/>
      <c r="R60" s="330"/>
      <c r="S60" s="344">
        <f>G60</f>
        <v>2000</v>
      </c>
      <c r="T60" s="333"/>
      <c r="U60" s="330"/>
      <c r="V60" s="324"/>
      <c r="W60" s="324"/>
      <c r="X60" s="333"/>
      <c r="Y60" s="344">
        <f t="shared" si="19"/>
        <v>2000</v>
      </c>
      <c r="Z60" s="333"/>
      <c r="AA60" s="340"/>
      <c r="AB60" s="326"/>
      <c r="AC60" s="343">
        <f t="shared" si="23"/>
        <v>2000</v>
      </c>
      <c r="AD60" s="326"/>
      <c r="AE60" s="340"/>
      <c r="AF60" s="340"/>
      <c r="AG60" s="340"/>
      <c r="AH60" s="340"/>
      <c r="AI60" s="340"/>
      <c r="AJ60" s="264" t="s">
        <v>13034</v>
      </c>
    </row>
    <row r="61" s="251" customFormat="1" ht="50" customHeight="1" spans="1:36">
      <c r="A61" s="365" t="s">
        <v>340</v>
      </c>
      <c r="B61" s="365" t="s">
        <v>341</v>
      </c>
      <c r="C61" s="318" t="str">
        <f t="shared" si="21"/>
        <v>450016449992124-S001-9298狗蛋四代混装（92119+9298+92104）2000</v>
      </c>
      <c r="D61" s="366">
        <v>4500164499</v>
      </c>
      <c r="E61" s="367" t="s">
        <v>3343</v>
      </c>
      <c r="F61" s="324" t="s">
        <v>3344</v>
      </c>
      <c r="G61" s="345">
        <v>2000</v>
      </c>
      <c r="H61" s="345">
        <v>0</v>
      </c>
      <c r="I61" s="345">
        <v>1</v>
      </c>
      <c r="J61" s="345">
        <f t="shared" si="0"/>
        <v>2000</v>
      </c>
      <c r="K61" s="353">
        <v>45835</v>
      </c>
      <c r="L61" s="353">
        <v>45831</v>
      </c>
      <c r="M61" s="360"/>
      <c r="N61" s="365" t="s">
        <v>3990</v>
      </c>
      <c r="O61" s="328"/>
      <c r="P61" s="329"/>
      <c r="Q61" s="329"/>
      <c r="R61" s="330"/>
      <c r="S61" s="344">
        <f>G61</f>
        <v>2000</v>
      </c>
      <c r="T61" s="333"/>
      <c r="U61" s="330"/>
      <c r="V61" s="324"/>
      <c r="W61" s="324"/>
      <c r="X61" s="333"/>
      <c r="Y61" s="344">
        <f t="shared" si="19"/>
        <v>2000</v>
      </c>
      <c r="Z61" s="333"/>
      <c r="AA61" s="340"/>
      <c r="AB61" s="326"/>
      <c r="AC61" s="343">
        <f t="shared" si="23"/>
        <v>2000</v>
      </c>
      <c r="AD61" s="326"/>
      <c r="AE61" s="340"/>
      <c r="AF61" s="340"/>
      <c r="AG61" s="340"/>
      <c r="AH61" s="340"/>
      <c r="AI61" s="340"/>
      <c r="AJ61" s="264" t="s">
        <v>13034</v>
      </c>
    </row>
    <row r="62" s="251" customFormat="1" ht="50" customHeight="1" spans="1:36">
      <c r="A62" s="331" t="s">
        <v>3608</v>
      </c>
      <c r="B62" s="324" t="s">
        <v>738</v>
      </c>
      <c r="C62" s="318" t="str">
        <f t="shared" si="21"/>
        <v>45001678979298-S001狗蛋四代96</v>
      </c>
      <c r="D62" s="332">
        <v>4500167897</v>
      </c>
      <c r="E62" s="324" t="s">
        <v>2627</v>
      </c>
      <c r="F62" s="324" t="s">
        <v>2591</v>
      </c>
      <c r="G62" s="333">
        <v>96</v>
      </c>
      <c r="H62" s="333">
        <v>0</v>
      </c>
      <c r="I62" s="333">
        <v>24</v>
      </c>
      <c r="J62" s="333">
        <f t="shared" si="0"/>
        <v>4</v>
      </c>
      <c r="K62" s="334">
        <v>45836</v>
      </c>
      <c r="L62" s="334">
        <v>45832</v>
      </c>
      <c r="M62" s="342" t="s">
        <v>13044</v>
      </c>
      <c r="N62" s="324" t="s">
        <v>1257</v>
      </c>
      <c r="O62" s="328"/>
      <c r="P62" s="329"/>
      <c r="Q62" s="329"/>
      <c r="R62" s="330"/>
      <c r="S62" s="333"/>
      <c r="T62" s="333"/>
      <c r="U62" s="330"/>
      <c r="V62" s="324"/>
      <c r="W62" s="324">
        <f>G62</f>
        <v>96</v>
      </c>
      <c r="X62" s="333"/>
      <c r="Y62" s="333"/>
      <c r="Z62" s="333">
        <f>G62</f>
        <v>96</v>
      </c>
      <c r="AA62" s="340"/>
      <c r="AB62" s="326"/>
      <c r="AC62" s="343">
        <f t="shared" si="23"/>
        <v>96</v>
      </c>
      <c r="AD62" s="326"/>
      <c r="AE62" s="340"/>
      <c r="AF62" s="340"/>
      <c r="AG62" s="340"/>
      <c r="AH62" s="340"/>
      <c r="AI62" s="340"/>
      <c r="AJ62" s="327" t="s">
        <v>13050</v>
      </c>
    </row>
    <row r="63" s="251" customFormat="1" ht="50" customHeight="1" spans="1:36">
      <c r="A63" s="331" t="s">
        <v>1315</v>
      </c>
      <c r="B63" s="324" t="s">
        <v>1316</v>
      </c>
      <c r="C63" s="318" t="str">
        <f t="shared" si="21"/>
        <v>4500166280MTQ41-S001-92135狗蛋四代混装（9279+9298）2852</v>
      </c>
      <c r="D63" s="332">
        <v>4500166280</v>
      </c>
      <c r="E63" s="324" t="s">
        <v>3821</v>
      </c>
      <c r="F63" s="324" t="s">
        <v>1320</v>
      </c>
      <c r="G63" s="333">
        <v>2852</v>
      </c>
      <c r="H63" s="333">
        <v>0</v>
      </c>
      <c r="I63" s="333">
        <v>4</v>
      </c>
      <c r="J63" s="333">
        <f t="shared" si="0"/>
        <v>713</v>
      </c>
      <c r="K63" s="334">
        <v>45836</v>
      </c>
      <c r="L63" s="334">
        <f t="shared" ref="L63:L68" si="24">K63-4</f>
        <v>45832</v>
      </c>
      <c r="M63" s="320"/>
      <c r="N63" s="324" t="s">
        <v>1326</v>
      </c>
      <c r="O63" s="328"/>
      <c r="P63" s="329"/>
      <c r="Q63" s="329"/>
      <c r="R63" s="330"/>
      <c r="S63" s="333"/>
      <c r="T63" s="333"/>
      <c r="U63" s="330"/>
      <c r="V63" s="324"/>
      <c r="W63" s="324"/>
      <c r="X63" s="333">
        <f t="shared" ref="X63:X66" si="25">G63</f>
        <v>2852</v>
      </c>
      <c r="Y63" s="333"/>
      <c r="Z63" s="333"/>
      <c r="AA63" s="340">
        <f t="shared" ref="AA63:AA66" si="26">G63</f>
        <v>2852</v>
      </c>
      <c r="AB63" s="326"/>
      <c r="AC63" s="343">
        <f t="shared" si="23"/>
        <v>2852</v>
      </c>
      <c r="AD63" s="326"/>
      <c r="AE63" s="340"/>
      <c r="AF63" s="340"/>
      <c r="AG63" s="340"/>
      <c r="AH63" s="340"/>
      <c r="AI63" s="340"/>
      <c r="AJ63" s="264" t="s">
        <v>13033</v>
      </c>
    </row>
    <row r="64" s="251" customFormat="1" ht="50" customHeight="1" spans="1:36">
      <c r="A64" s="331" t="s">
        <v>1315</v>
      </c>
      <c r="B64" s="324" t="s">
        <v>1316</v>
      </c>
      <c r="C64" s="318" t="str">
        <f t="shared" si="21"/>
        <v>4500166280MTQ41-S001-92135狗蛋四代混装（9279+9298）5660</v>
      </c>
      <c r="D64" s="332">
        <v>4500166280</v>
      </c>
      <c r="E64" s="324" t="s">
        <v>3821</v>
      </c>
      <c r="F64" s="324" t="s">
        <v>1320</v>
      </c>
      <c r="G64" s="333">
        <v>5660</v>
      </c>
      <c r="H64" s="333">
        <v>0</v>
      </c>
      <c r="I64" s="333">
        <v>4</v>
      </c>
      <c r="J64" s="333">
        <f t="shared" si="0"/>
        <v>1415</v>
      </c>
      <c r="K64" s="334">
        <v>45836</v>
      </c>
      <c r="L64" s="334">
        <v>45833</v>
      </c>
      <c r="M64" s="320"/>
      <c r="N64" s="324" t="s">
        <v>1326</v>
      </c>
      <c r="O64" s="328"/>
      <c r="P64" s="329"/>
      <c r="Q64" s="329"/>
      <c r="R64" s="330"/>
      <c r="S64" s="333"/>
      <c r="T64" s="333"/>
      <c r="U64" s="330"/>
      <c r="V64" s="324"/>
      <c r="W64" s="324"/>
      <c r="X64" s="333">
        <f t="shared" si="25"/>
        <v>5660</v>
      </c>
      <c r="Y64" s="333"/>
      <c r="Z64" s="333"/>
      <c r="AA64" s="340">
        <f t="shared" si="26"/>
        <v>5660</v>
      </c>
      <c r="AB64" s="326"/>
      <c r="AC64" s="343">
        <f t="shared" si="23"/>
        <v>5660</v>
      </c>
      <c r="AD64" s="326"/>
      <c r="AE64" s="340"/>
      <c r="AF64" s="340"/>
      <c r="AG64" s="340"/>
      <c r="AH64" s="340"/>
      <c r="AI64" s="340"/>
      <c r="AJ64" s="264" t="s">
        <v>13033</v>
      </c>
    </row>
    <row r="65" s="251" customFormat="1" ht="50" customHeight="1" spans="1:36">
      <c r="A65" s="331" t="s">
        <v>1315</v>
      </c>
      <c r="B65" s="324" t="s">
        <v>1316</v>
      </c>
      <c r="C65" s="318" t="str">
        <f t="shared" si="21"/>
        <v>4500162577MTQ41-S001-92135狗蛋四代混装（9279+9298）3600</v>
      </c>
      <c r="D65" s="332">
        <v>4500162577</v>
      </c>
      <c r="E65" s="324" t="s">
        <v>3821</v>
      </c>
      <c r="F65" s="324" t="s">
        <v>1320</v>
      </c>
      <c r="G65" s="333">
        <v>3600</v>
      </c>
      <c r="H65" s="333">
        <v>0</v>
      </c>
      <c r="I65" s="333">
        <v>4</v>
      </c>
      <c r="J65" s="333">
        <f t="shared" si="0"/>
        <v>900</v>
      </c>
      <c r="K65" s="334">
        <v>45838</v>
      </c>
      <c r="L65" s="334">
        <f t="shared" si="24"/>
        <v>45834</v>
      </c>
      <c r="M65" s="360"/>
      <c r="N65" s="324" t="s">
        <v>1326</v>
      </c>
      <c r="O65" s="328"/>
      <c r="P65" s="329"/>
      <c r="Q65" s="329"/>
      <c r="R65" s="330"/>
      <c r="S65" s="333"/>
      <c r="T65" s="333"/>
      <c r="U65" s="330"/>
      <c r="V65" s="324"/>
      <c r="W65" s="324"/>
      <c r="X65" s="333">
        <f t="shared" si="25"/>
        <v>3600</v>
      </c>
      <c r="Y65" s="333"/>
      <c r="Z65" s="333"/>
      <c r="AA65" s="340">
        <f t="shared" si="26"/>
        <v>3600</v>
      </c>
      <c r="AB65" s="326"/>
      <c r="AC65" s="343">
        <f t="shared" si="23"/>
        <v>3600</v>
      </c>
      <c r="AD65" s="326"/>
      <c r="AE65" s="340"/>
      <c r="AF65" s="340"/>
      <c r="AG65" s="340"/>
      <c r="AH65" s="340"/>
      <c r="AI65" s="340"/>
      <c r="AJ65" s="264" t="s">
        <v>13033</v>
      </c>
    </row>
    <row r="66" s="251" customFormat="1" ht="50" customHeight="1" spans="1:36">
      <c r="A66" s="331" t="s">
        <v>1315</v>
      </c>
      <c r="B66" s="324" t="s">
        <v>1316</v>
      </c>
      <c r="C66" s="318" t="str">
        <f t="shared" si="21"/>
        <v>4500162577MTQ41-S001-92135狗蛋四代混装（9279+9298）5092</v>
      </c>
      <c r="D66" s="332">
        <v>4500162577</v>
      </c>
      <c r="E66" s="324" t="s">
        <v>3821</v>
      </c>
      <c r="F66" s="324" t="s">
        <v>1320</v>
      </c>
      <c r="G66" s="333">
        <v>5092</v>
      </c>
      <c r="H66" s="333">
        <v>0</v>
      </c>
      <c r="I66" s="333">
        <v>4</v>
      </c>
      <c r="J66" s="333">
        <f t="shared" si="0"/>
        <v>1273</v>
      </c>
      <c r="K66" s="334">
        <v>45838</v>
      </c>
      <c r="L66" s="334">
        <f t="shared" si="24"/>
        <v>45834</v>
      </c>
      <c r="M66" s="360"/>
      <c r="N66" s="324" t="s">
        <v>1326</v>
      </c>
      <c r="O66" s="328"/>
      <c r="P66" s="329"/>
      <c r="Q66" s="329"/>
      <c r="R66" s="330"/>
      <c r="S66" s="333"/>
      <c r="T66" s="333"/>
      <c r="U66" s="330"/>
      <c r="V66" s="324"/>
      <c r="W66" s="324"/>
      <c r="X66" s="333">
        <f t="shared" si="25"/>
        <v>5092</v>
      </c>
      <c r="Y66" s="333"/>
      <c r="Z66" s="333"/>
      <c r="AA66" s="340">
        <f t="shared" si="26"/>
        <v>5092</v>
      </c>
      <c r="AB66" s="326"/>
      <c r="AC66" s="343">
        <f t="shared" si="23"/>
        <v>5092</v>
      </c>
      <c r="AD66" s="326"/>
      <c r="AE66" s="340"/>
      <c r="AF66" s="340"/>
      <c r="AG66" s="340"/>
      <c r="AH66" s="340"/>
      <c r="AI66" s="340"/>
      <c r="AJ66" s="264" t="s">
        <v>13033</v>
      </c>
    </row>
    <row r="67" s="251" customFormat="1" ht="50" customHeight="1" spans="1:36">
      <c r="A67" s="331" t="s">
        <v>1384</v>
      </c>
      <c r="B67" s="324" t="s">
        <v>1385</v>
      </c>
      <c r="C67" s="318" t="str">
        <f t="shared" si="21"/>
        <v>45001665169298TQ2-S001狗蛋四代480</v>
      </c>
      <c r="D67" s="332">
        <v>4500166516</v>
      </c>
      <c r="E67" s="324" t="s">
        <v>2806</v>
      </c>
      <c r="F67" s="324" t="s">
        <v>2591</v>
      </c>
      <c r="G67" s="333">
        <v>480</v>
      </c>
      <c r="H67" s="333">
        <v>0</v>
      </c>
      <c r="I67" s="333">
        <v>12</v>
      </c>
      <c r="J67" s="333">
        <f t="shared" si="0"/>
        <v>40</v>
      </c>
      <c r="K67" s="334">
        <v>45838</v>
      </c>
      <c r="L67" s="334">
        <f t="shared" si="24"/>
        <v>45834</v>
      </c>
      <c r="M67" s="373" t="s">
        <v>13051</v>
      </c>
      <c r="N67" s="324" t="s">
        <v>1389</v>
      </c>
      <c r="O67" s="328"/>
      <c r="P67" s="329"/>
      <c r="Q67" s="329"/>
      <c r="R67" s="330"/>
      <c r="S67" s="344">
        <f t="shared" ref="S67:S82" si="27">G67</f>
        <v>480</v>
      </c>
      <c r="T67" s="333"/>
      <c r="U67" s="330"/>
      <c r="V67" s="324"/>
      <c r="W67" s="324"/>
      <c r="X67" s="333"/>
      <c r="Y67" s="344">
        <f t="shared" ref="Y67:Y82" si="28">G67</f>
        <v>480</v>
      </c>
      <c r="Z67" s="333"/>
      <c r="AA67" s="340"/>
      <c r="AB67" s="326"/>
      <c r="AC67" s="343">
        <f t="shared" si="23"/>
        <v>480</v>
      </c>
      <c r="AD67" s="326"/>
      <c r="AE67" s="340"/>
      <c r="AF67" s="340"/>
      <c r="AG67" s="340"/>
      <c r="AH67" s="343">
        <f>G67/6</f>
        <v>80</v>
      </c>
      <c r="AI67" s="340"/>
      <c r="AJ67" s="264" t="s">
        <v>13034</v>
      </c>
    </row>
    <row r="68" s="251" customFormat="1" ht="50" customHeight="1" spans="1:36">
      <c r="A68" s="331" t="s">
        <v>505</v>
      </c>
      <c r="B68" s="324" t="s">
        <v>506</v>
      </c>
      <c r="C68" s="318" t="str">
        <f t="shared" si="21"/>
        <v>45001662869298TQ1-S001狗蛋四代PDQ1500</v>
      </c>
      <c r="D68" s="332">
        <v>4500166286</v>
      </c>
      <c r="E68" s="324" t="s">
        <v>2577</v>
      </c>
      <c r="F68" s="324" t="s">
        <v>2578</v>
      </c>
      <c r="G68" s="333">
        <v>1500</v>
      </c>
      <c r="H68" s="333">
        <v>0</v>
      </c>
      <c r="I68" s="333">
        <v>12</v>
      </c>
      <c r="J68" s="333">
        <f t="shared" ref="J68:J131" si="29">G68/I68</f>
        <v>125</v>
      </c>
      <c r="K68" s="334">
        <v>45838</v>
      </c>
      <c r="L68" s="334">
        <f t="shared" si="24"/>
        <v>45834</v>
      </c>
      <c r="M68" s="373" t="s">
        <v>13052</v>
      </c>
      <c r="N68" s="324" t="s">
        <v>513</v>
      </c>
      <c r="O68" s="328"/>
      <c r="P68" s="329"/>
      <c r="Q68" s="329"/>
      <c r="R68" s="330"/>
      <c r="S68" s="344">
        <f t="shared" si="27"/>
        <v>1500</v>
      </c>
      <c r="T68" s="333"/>
      <c r="U68" s="330"/>
      <c r="V68" s="324"/>
      <c r="W68" s="324"/>
      <c r="X68" s="333"/>
      <c r="Y68" s="344">
        <f t="shared" si="28"/>
        <v>1500</v>
      </c>
      <c r="Z68" s="333"/>
      <c r="AA68" s="340"/>
      <c r="AB68" s="326"/>
      <c r="AC68" s="343">
        <f t="shared" si="23"/>
        <v>1500</v>
      </c>
      <c r="AD68" s="326"/>
      <c r="AE68" s="340"/>
      <c r="AF68" s="343">
        <f t="shared" ref="AF68:AF72" si="30">G68/6</f>
        <v>250</v>
      </c>
      <c r="AG68" s="340"/>
      <c r="AH68" s="340"/>
      <c r="AI68" s="340"/>
      <c r="AJ68" s="264" t="s">
        <v>13034</v>
      </c>
    </row>
    <row r="69" s="251" customFormat="1" ht="50" customHeight="1" spans="1:36">
      <c r="A69" s="331" t="s">
        <v>1429</v>
      </c>
      <c r="B69" s="324" t="s">
        <v>1430</v>
      </c>
      <c r="C69" s="318" t="str">
        <f t="shared" si="21"/>
        <v>45001680559298TQ1-S001狗蛋四代PDQ192</v>
      </c>
      <c r="D69" s="332">
        <v>4500168055</v>
      </c>
      <c r="E69" s="324" t="s">
        <v>2577</v>
      </c>
      <c r="F69" s="324" t="s">
        <v>2578</v>
      </c>
      <c r="G69" s="333">
        <v>192</v>
      </c>
      <c r="H69" s="333">
        <v>0</v>
      </c>
      <c r="I69" s="333">
        <v>12</v>
      </c>
      <c r="J69" s="333">
        <f t="shared" si="29"/>
        <v>16</v>
      </c>
      <c r="K69" s="334">
        <v>45838</v>
      </c>
      <c r="L69" s="334">
        <v>45834</v>
      </c>
      <c r="M69" s="373" t="s">
        <v>13053</v>
      </c>
      <c r="N69" s="324" t="s">
        <v>459</v>
      </c>
      <c r="O69" s="328"/>
      <c r="P69" s="329"/>
      <c r="Q69" s="329"/>
      <c r="R69" s="330"/>
      <c r="S69" s="333"/>
      <c r="T69" s="333"/>
      <c r="U69" s="330"/>
      <c r="V69" s="358">
        <f>G69</f>
        <v>192</v>
      </c>
      <c r="W69" s="324"/>
      <c r="X69" s="333"/>
      <c r="Y69" s="358">
        <f t="shared" si="28"/>
        <v>192</v>
      </c>
      <c r="Z69" s="333"/>
      <c r="AA69" s="340"/>
      <c r="AB69" s="326"/>
      <c r="AC69" s="343">
        <f t="shared" si="23"/>
        <v>192</v>
      </c>
      <c r="AD69" s="326"/>
      <c r="AE69" s="340"/>
      <c r="AF69" s="340"/>
      <c r="AG69" s="340"/>
      <c r="AH69" s="340"/>
      <c r="AI69" s="340"/>
      <c r="AJ69" s="264" t="s">
        <v>13054</v>
      </c>
    </row>
    <row r="70" s="251" customFormat="1" ht="50" customHeight="1" spans="1:36">
      <c r="A70" s="331" t="s">
        <v>2908</v>
      </c>
      <c r="B70" s="324" t="s">
        <v>341</v>
      </c>
      <c r="C70" s="318" t="str">
        <f t="shared" si="21"/>
        <v>450016406892124-S001-9298狗蛋四代混装（92119+9298+92104）22764</v>
      </c>
      <c r="D70" s="332">
        <v>4500164068</v>
      </c>
      <c r="E70" s="324" t="s">
        <v>3343</v>
      </c>
      <c r="F70" s="324" t="s">
        <v>3344</v>
      </c>
      <c r="G70" s="333">
        <v>22764</v>
      </c>
      <c r="H70" s="333">
        <v>0</v>
      </c>
      <c r="I70" s="333">
        <v>1</v>
      </c>
      <c r="J70" s="333">
        <f t="shared" si="29"/>
        <v>22764</v>
      </c>
      <c r="K70" s="334">
        <v>45839</v>
      </c>
      <c r="L70" s="334">
        <f t="shared" ref="L70:L85" si="31">K70-4</f>
        <v>45835</v>
      </c>
      <c r="M70" s="335" t="s">
        <v>13055</v>
      </c>
      <c r="N70" s="324" t="s">
        <v>1245</v>
      </c>
      <c r="O70" s="328"/>
      <c r="P70" s="329"/>
      <c r="Q70" s="329"/>
      <c r="R70" s="330"/>
      <c r="S70" s="358">
        <f t="shared" si="27"/>
        <v>22764</v>
      </c>
      <c r="T70" s="324"/>
      <c r="U70" s="330"/>
      <c r="V70" s="324"/>
      <c r="W70" s="324"/>
      <c r="X70" s="333"/>
      <c r="Y70" s="343">
        <f t="shared" si="28"/>
        <v>22764</v>
      </c>
      <c r="Z70" s="340"/>
      <c r="AA70" s="340"/>
      <c r="AB70" s="326"/>
      <c r="AC70" s="343">
        <f t="shared" si="23"/>
        <v>22764</v>
      </c>
      <c r="AD70" s="326"/>
      <c r="AE70" s="340"/>
      <c r="AF70" s="340"/>
      <c r="AG70" s="340"/>
      <c r="AH70" s="340"/>
      <c r="AI70" s="340"/>
      <c r="AJ70" s="264" t="s">
        <v>13034</v>
      </c>
    </row>
    <row r="71" s="251" customFormat="1" ht="50" customHeight="1" spans="1:36">
      <c r="A71" s="331" t="s">
        <v>1391</v>
      </c>
      <c r="B71" s="324" t="s">
        <v>91</v>
      </c>
      <c r="C71" s="318" t="str">
        <f t="shared" si="21"/>
        <v>45001672949298TQ1-S001狗蛋四代PDQ1608</v>
      </c>
      <c r="D71" s="332">
        <v>4500167294</v>
      </c>
      <c r="E71" s="324" t="s">
        <v>2577</v>
      </c>
      <c r="F71" s="324" t="s">
        <v>2578</v>
      </c>
      <c r="G71" s="333">
        <v>1608</v>
      </c>
      <c r="H71" s="333">
        <v>0</v>
      </c>
      <c r="I71" s="333">
        <v>12</v>
      </c>
      <c r="J71" s="333">
        <f t="shared" si="29"/>
        <v>134</v>
      </c>
      <c r="K71" s="334">
        <v>45839</v>
      </c>
      <c r="L71" s="334">
        <f t="shared" si="31"/>
        <v>45835</v>
      </c>
      <c r="M71" s="318" t="s">
        <v>200</v>
      </c>
      <c r="N71" s="324" t="s">
        <v>500</v>
      </c>
      <c r="O71" s="328"/>
      <c r="P71" s="329"/>
      <c r="Q71" s="329"/>
      <c r="R71" s="330"/>
      <c r="S71" s="344">
        <f t="shared" si="27"/>
        <v>1608</v>
      </c>
      <c r="T71" s="333"/>
      <c r="U71" s="330"/>
      <c r="V71" s="324"/>
      <c r="W71" s="324"/>
      <c r="X71" s="333"/>
      <c r="Y71" s="344">
        <f t="shared" si="28"/>
        <v>1608</v>
      </c>
      <c r="Z71" s="333"/>
      <c r="AA71" s="340"/>
      <c r="AB71" s="326"/>
      <c r="AC71" s="343">
        <f t="shared" si="23"/>
        <v>1608</v>
      </c>
      <c r="AD71" s="326"/>
      <c r="AE71" s="340"/>
      <c r="AF71" s="343">
        <f t="shared" si="30"/>
        <v>268</v>
      </c>
      <c r="AG71" s="340"/>
      <c r="AH71" s="340"/>
      <c r="AI71" s="340"/>
      <c r="AJ71" s="264" t="s">
        <v>13034</v>
      </c>
    </row>
    <row r="72" s="251" customFormat="1" ht="50" customHeight="1" spans="1:36">
      <c r="A72" s="331" t="s">
        <v>1391</v>
      </c>
      <c r="B72" s="324" t="s">
        <v>91</v>
      </c>
      <c r="C72" s="318" t="str">
        <f t="shared" ref="C72:C103" si="32">D72&amp;E72&amp;F72&amp;G72</f>
        <v>45001672949298TQ1-S001狗蛋四代PDQ120</v>
      </c>
      <c r="D72" s="332">
        <v>4500167294</v>
      </c>
      <c r="E72" s="324" t="s">
        <v>2577</v>
      </c>
      <c r="F72" s="324" t="s">
        <v>2578</v>
      </c>
      <c r="G72" s="333">
        <v>120</v>
      </c>
      <c r="H72" s="333">
        <v>0</v>
      </c>
      <c r="I72" s="333">
        <v>12</v>
      </c>
      <c r="J72" s="333">
        <f t="shared" si="29"/>
        <v>10</v>
      </c>
      <c r="K72" s="334">
        <v>45839</v>
      </c>
      <c r="L72" s="334">
        <f t="shared" si="31"/>
        <v>45835</v>
      </c>
      <c r="M72" s="318" t="s">
        <v>200</v>
      </c>
      <c r="N72" s="324" t="s">
        <v>500</v>
      </c>
      <c r="O72" s="328"/>
      <c r="P72" s="329"/>
      <c r="Q72" s="329"/>
      <c r="R72" s="330"/>
      <c r="S72" s="344">
        <f t="shared" si="27"/>
        <v>120</v>
      </c>
      <c r="T72" s="333"/>
      <c r="U72" s="330"/>
      <c r="V72" s="324"/>
      <c r="W72" s="324"/>
      <c r="X72" s="333"/>
      <c r="Y72" s="344">
        <f t="shared" si="28"/>
        <v>120</v>
      </c>
      <c r="Z72" s="333"/>
      <c r="AA72" s="340"/>
      <c r="AB72" s="326"/>
      <c r="AC72" s="343">
        <f t="shared" si="23"/>
        <v>120</v>
      </c>
      <c r="AD72" s="326"/>
      <c r="AE72" s="340"/>
      <c r="AF72" s="343">
        <f t="shared" si="30"/>
        <v>20</v>
      </c>
      <c r="AG72" s="340"/>
      <c r="AH72" s="340"/>
      <c r="AI72" s="340"/>
      <c r="AJ72" s="264" t="s">
        <v>13034</v>
      </c>
    </row>
    <row r="73" s="251" customFormat="1" ht="50" customHeight="1" spans="1:36">
      <c r="A73" s="331" t="s">
        <v>1409</v>
      </c>
      <c r="B73" s="324" t="s">
        <v>1410</v>
      </c>
      <c r="C73" s="318" t="str">
        <f t="shared" si="32"/>
        <v>45001678949298-S001狗蛋四代720</v>
      </c>
      <c r="D73" s="332">
        <v>4500167894</v>
      </c>
      <c r="E73" s="324" t="s">
        <v>2627</v>
      </c>
      <c r="F73" s="324" t="s">
        <v>2591</v>
      </c>
      <c r="G73" s="333">
        <v>720</v>
      </c>
      <c r="H73" s="333">
        <v>0</v>
      </c>
      <c r="I73" s="333">
        <v>24</v>
      </c>
      <c r="J73" s="333">
        <f t="shared" si="29"/>
        <v>30</v>
      </c>
      <c r="K73" s="334">
        <v>45839</v>
      </c>
      <c r="L73" s="334">
        <f t="shared" si="31"/>
        <v>45835</v>
      </c>
      <c r="M73" s="335" t="s">
        <v>13049</v>
      </c>
      <c r="N73" s="324" t="s">
        <v>892</v>
      </c>
      <c r="O73" s="328"/>
      <c r="P73" s="329"/>
      <c r="Q73" s="329"/>
      <c r="R73" s="330"/>
      <c r="S73" s="344">
        <f t="shared" si="27"/>
        <v>720</v>
      </c>
      <c r="T73" s="333"/>
      <c r="U73" s="330"/>
      <c r="V73" s="324"/>
      <c r="W73" s="324"/>
      <c r="X73" s="333"/>
      <c r="Y73" s="344">
        <f t="shared" si="28"/>
        <v>720</v>
      </c>
      <c r="Z73" s="333"/>
      <c r="AA73" s="340"/>
      <c r="AB73" s="326"/>
      <c r="AC73" s="343">
        <f t="shared" si="23"/>
        <v>720</v>
      </c>
      <c r="AD73" s="326"/>
      <c r="AE73" s="340"/>
      <c r="AF73" s="340"/>
      <c r="AG73" s="340"/>
      <c r="AH73" s="340"/>
      <c r="AI73" s="340"/>
      <c r="AJ73" s="264" t="s">
        <v>13034</v>
      </c>
    </row>
    <row r="74" s="251" customFormat="1" ht="50" customHeight="1" spans="1:36">
      <c r="A74" s="331" t="s">
        <v>3256</v>
      </c>
      <c r="B74" s="324" t="s">
        <v>91</v>
      </c>
      <c r="C74" s="318" t="str">
        <f t="shared" si="32"/>
        <v>45001673169298-S003狗蛋四代582</v>
      </c>
      <c r="D74" s="332">
        <v>4500167316</v>
      </c>
      <c r="E74" s="324" t="s">
        <v>2719</v>
      </c>
      <c r="F74" s="333" t="s">
        <v>2591</v>
      </c>
      <c r="G74" s="333">
        <v>582</v>
      </c>
      <c r="H74" s="333">
        <v>0</v>
      </c>
      <c r="I74" s="333">
        <v>6</v>
      </c>
      <c r="J74" s="333">
        <f t="shared" si="29"/>
        <v>97</v>
      </c>
      <c r="K74" s="334">
        <v>45840</v>
      </c>
      <c r="L74" s="334">
        <f t="shared" si="31"/>
        <v>45836</v>
      </c>
      <c r="M74" s="335" t="s">
        <v>13056</v>
      </c>
      <c r="N74" s="324" t="s">
        <v>3262</v>
      </c>
      <c r="O74" s="328"/>
      <c r="P74" s="329"/>
      <c r="Q74" s="329"/>
      <c r="R74" s="330"/>
      <c r="S74" s="344">
        <f t="shared" si="27"/>
        <v>582</v>
      </c>
      <c r="T74" s="333"/>
      <c r="U74" s="330"/>
      <c r="V74" s="324"/>
      <c r="W74" s="324"/>
      <c r="X74" s="333"/>
      <c r="Y74" s="344">
        <f t="shared" si="28"/>
        <v>582</v>
      </c>
      <c r="Z74" s="333"/>
      <c r="AA74" s="340"/>
      <c r="AB74" s="326"/>
      <c r="AC74" s="343">
        <f t="shared" si="23"/>
        <v>582</v>
      </c>
      <c r="AD74" s="326"/>
      <c r="AE74" s="340"/>
      <c r="AF74" s="340"/>
      <c r="AG74" s="340"/>
      <c r="AH74" s="340"/>
      <c r="AI74" s="340"/>
      <c r="AJ74" s="264" t="s">
        <v>13034</v>
      </c>
    </row>
    <row r="75" s="251" customFormat="1" ht="50" customHeight="1" spans="1:36">
      <c r="A75" s="331" t="s">
        <v>3256</v>
      </c>
      <c r="B75" s="324" t="s">
        <v>91</v>
      </c>
      <c r="C75" s="318" t="str">
        <f t="shared" si="32"/>
        <v>45001673169298-S003狗蛋四代606</v>
      </c>
      <c r="D75" s="332">
        <v>4500167316</v>
      </c>
      <c r="E75" s="324" t="s">
        <v>2719</v>
      </c>
      <c r="F75" s="333" t="s">
        <v>2591</v>
      </c>
      <c r="G75" s="333">
        <v>606</v>
      </c>
      <c r="H75" s="333">
        <v>0</v>
      </c>
      <c r="I75" s="333">
        <v>6</v>
      </c>
      <c r="J75" s="333">
        <f t="shared" si="29"/>
        <v>101</v>
      </c>
      <c r="K75" s="334">
        <v>45840</v>
      </c>
      <c r="L75" s="334">
        <f t="shared" si="31"/>
        <v>45836</v>
      </c>
      <c r="M75" s="335" t="s">
        <v>13056</v>
      </c>
      <c r="N75" s="324" t="s">
        <v>3262</v>
      </c>
      <c r="O75" s="328"/>
      <c r="P75" s="329"/>
      <c r="Q75" s="329"/>
      <c r="R75" s="330"/>
      <c r="S75" s="344">
        <f t="shared" si="27"/>
        <v>606</v>
      </c>
      <c r="T75" s="333"/>
      <c r="U75" s="330"/>
      <c r="V75" s="324"/>
      <c r="W75" s="324"/>
      <c r="X75" s="333"/>
      <c r="Y75" s="344">
        <f t="shared" si="28"/>
        <v>606</v>
      </c>
      <c r="Z75" s="333"/>
      <c r="AA75" s="340"/>
      <c r="AB75" s="326"/>
      <c r="AC75" s="343">
        <f t="shared" si="23"/>
        <v>606</v>
      </c>
      <c r="AD75" s="326"/>
      <c r="AE75" s="340"/>
      <c r="AF75" s="340"/>
      <c r="AG75" s="340"/>
      <c r="AH75" s="340"/>
      <c r="AI75" s="340"/>
      <c r="AJ75" s="264" t="s">
        <v>13034</v>
      </c>
    </row>
    <row r="76" s="251" customFormat="1" ht="50" customHeight="1" spans="1:36">
      <c r="A76" s="331" t="s">
        <v>3256</v>
      </c>
      <c r="B76" s="324" t="s">
        <v>91</v>
      </c>
      <c r="C76" s="318" t="str">
        <f t="shared" si="32"/>
        <v>45001673169298-S003狗蛋四代720</v>
      </c>
      <c r="D76" s="332">
        <v>4500167316</v>
      </c>
      <c r="E76" s="324" t="s">
        <v>2719</v>
      </c>
      <c r="F76" s="333" t="s">
        <v>2591</v>
      </c>
      <c r="G76" s="333">
        <v>720</v>
      </c>
      <c r="H76" s="333">
        <v>0</v>
      </c>
      <c r="I76" s="333">
        <v>6</v>
      </c>
      <c r="J76" s="333">
        <f t="shared" si="29"/>
        <v>120</v>
      </c>
      <c r="K76" s="334">
        <v>45840</v>
      </c>
      <c r="L76" s="334">
        <f t="shared" si="31"/>
        <v>45836</v>
      </c>
      <c r="M76" s="335" t="s">
        <v>13056</v>
      </c>
      <c r="N76" s="324" t="s">
        <v>3262</v>
      </c>
      <c r="O76" s="328"/>
      <c r="P76" s="329"/>
      <c r="Q76" s="329"/>
      <c r="R76" s="330"/>
      <c r="S76" s="344">
        <f t="shared" si="27"/>
        <v>720</v>
      </c>
      <c r="T76" s="333"/>
      <c r="U76" s="330"/>
      <c r="V76" s="324"/>
      <c r="W76" s="324"/>
      <c r="X76" s="333"/>
      <c r="Y76" s="344">
        <f t="shared" si="28"/>
        <v>720</v>
      </c>
      <c r="Z76" s="333"/>
      <c r="AA76" s="340"/>
      <c r="AB76" s="326"/>
      <c r="AC76" s="343">
        <f t="shared" si="23"/>
        <v>720</v>
      </c>
      <c r="AD76" s="326"/>
      <c r="AE76" s="340"/>
      <c r="AF76" s="340"/>
      <c r="AG76" s="340"/>
      <c r="AH76" s="340"/>
      <c r="AI76" s="340"/>
      <c r="AJ76" s="264" t="s">
        <v>13034</v>
      </c>
    </row>
    <row r="77" s="251" customFormat="1" ht="50" customHeight="1" spans="1:36">
      <c r="A77" s="331" t="s">
        <v>3256</v>
      </c>
      <c r="B77" s="324" t="s">
        <v>91</v>
      </c>
      <c r="C77" s="318" t="str">
        <f t="shared" si="32"/>
        <v>45001673169298-S003狗蛋四代3702</v>
      </c>
      <c r="D77" s="332">
        <v>4500167316</v>
      </c>
      <c r="E77" s="324" t="s">
        <v>2719</v>
      </c>
      <c r="F77" s="333" t="s">
        <v>2591</v>
      </c>
      <c r="G77" s="333">
        <v>3702</v>
      </c>
      <c r="H77" s="333">
        <v>0</v>
      </c>
      <c r="I77" s="333">
        <v>6</v>
      </c>
      <c r="J77" s="333">
        <f t="shared" si="29"/>
        <v>617</v>
      </c>
      <c r="K77" s="334">
        <v>45840</v>
      </c>
      <c r="L77" s="334">
        <f t="shared" si="31"/>
        <v>45836</v>
      </c>
      <c r="M77" s="335" t="s">
        <v>13056</v>
      </c>
      <c r="N77" s="324" t="s">
        <v>3262</v>
      </c>
      <c r="O77" s="328"/>
      <c r="P77" s="329"/>
      <c r="Q77" s="329"/>
      <c r="R77" s="330"/>
      <c r="S77" s="344">
        <f t="shared" si="27"/>
        <v>3702</v>
      </c>
      <c r="T77" s="333"/>
      <c r="U77" s="330"/>
      <c r="V77" s="324"/>
      <c r="W77" s="324"/>
      <c r="X77" s="333"/>
      <c r="Y77" s="344">
        <f t="shared" si="28"/>
        <v>3702</v>
      </c>
      <c r="Z77" s="333"/>
      <c r="AA77" s="340"/>
      <c r="AB77" s="326"/>
      <c r="AC77" s="343">
        <f t="shared" si="23"/>
        <v>3702</v>
      </c>
      <c r="AD77" s="326"/>
      <c r="AE77" s="340"/>
      <c r="AF77" s="340"/>
      <c r="AG77" s="340"/>
      <c r="AH77" s="340"/>
      <c r="AI77" s="340"/>
      <c r="AJ77" s="264" t="s">
        <v>13034</v>
      </c>
    </row>
    <row r="78" s="251" customFormat="1" ht="50" customHeight="1" spans="1:36">
      <c r="A78" s="331" t="s">
        <v>3256</v>
      </c>
      <c r="B78" s="324" t="s">
        <v>91</v>
      </c>
      <c r="C78" s="318" t="str">
        <f t="shared" si="32"/>
        <v>45001673169298-S003狗蛋四代978</v>
      </c>
      <c r="D78" s="332">
        <v>4500167316</v>
      </c>
      <c r="E78" s="324" t="s">
        <v>2719</v>
      </c>
      <c r="F78" s="333" t="s">
        <v>2591</v>
      </c>
      <c r="G78" s="333">
        <v>978</v>
      </c>
      <c r="H78" s="333">
        <v>0</v>
      </c>
      <c r="I78" s="333">
        <v>6</v>
      </c>
      <c r="J78" s="333">
        <f t="shared" si="29"/>
        <v>163</v>
      </c>
      <c r="K78" s="334">
        <v>45840</v>
      </c>
      <c r="L78" s="334">
        <f t="shared" si="31"/>
        <v>45836</v>
      </c>
      <c r="M78" s="335" t="s">
        <v>13056</v>
      </c>
      <c r="N78" s="324" t="s">
        <v>3262</v>
      </c>
      <c r="O78" s="328"/>
      <c r="P78" s="329"/>
      <c r="Q78" s="329"/>
      <c r="R78" s="330"/>
      <c r="S78" s="344">
        <f t="shared" si="27"/>
        <v>978</v>
      </c>
      <c r="T78" s="333"/>
      <c r="U78" s="330"/>
      <c r="V78" s="324"/>
      <c r="W78" s="324"/>
      <c r="X78" s="333"/>
      <c r="Y78" s="344">
        <f t="shared" si="28"/>
        <v>978</v>
      </c>
      <c r="Z78" s="333"/>
      <c r="AA78" s="340"/>
      <c r="AB78" s="326"/>
      <c r="AC78" s="343">
        <f t="shared" si="23"/>
        <v>978</v>
      </c>
      <c r="AD78" s="326"/>
      <c r="AE78" s="340"/>
      <c r="AF78" s="340"/>
      <c r="AG78" s="340"/>
      <c r="AH78" s="340"/>
      <c r="AI78" s="340"/>
      <c r="AJ78" s="264" t="s">
        <v>13034</v>
      </c>
    </row>
    <row r="79" s="251" customFormat="1" ht="50" customHeight="1" spans="1:36">
      <c r="A79" s="331" t="s">
        <v>3256</v>
      </c>
      <c r="B79" s="324" t="s">
        <v>91</v>
      </c>
      <c r="C79" s="318" t="str">
        <f t="shared" si="32"/>
        <v>45001673169298-S003狗蛋四代936</v>
      </c>
      <c r="D79" s="332">
        <v>4500167316</v>
      </c>
      <c r="E79" s="324" t="s">
        <v>2719</v>
      </c>
      <c r="F79" s="333" t="s">
        <v>2591</v>
      </c>
      <c r="G79" s="333">
        <v>936</v>
      </c>
      <c r="H79" s="333">
        <v>0</v>
      </c>
      <c r="I79" s="333">
        <v>6</v>
      </c>
      <c r="J79" s="333">
        <f t="shared" si="29"/>
        <v>156</v>
      </c>
      <c r="K79" s="334">
        <v>45840</v>
      </c>
      <c r="L79" s="334">
        <f t="shared" si="31"/>
        <v>45836</v>
      </c>
      <c r="M79" s="335" t="s">
        <v>13056</v>
      </c>
      <c r="N79" s="324" t="s">
        <v>3262</v>
      </c>
      <c r="O79" s="328"/>
      <c r="P79" s="329"/>
      <c r="Q79" s="329"/>
      <c r="R79" s="330"/>
      <c r="S79" s="344">
        <f t="shared" si="27"/>
        <v>936</v>
      </c>
      <c r="T79" s="333"/>
      <c r="U79" s="330"/>
      <c r="V79" s="324"/>
      <c r="W79" s="324"/>
      <c r="X79" s="333"/>
      <c r="Y79" s="344">
        <f t="shared" si="28"/>
        <v>936</v>
      </c>
      <c r="Z79" s="333"/>
      <c r="AA79" s="340"/>
      <c r="AB79" s="326"/>
      <c r="AC79" s="343">
        <f t="shared" si="23"/>
        <v>936</v>
      </c>
      <c r="AD79" s="326"/>
      <c r="AE79" s="340"/>
      <c r="AF79" s="340"/>
      <c r="AG79" s="340"/>
      <c r="AH79" s="340"/>
      <c r="AI79" s="340"/>
      <c r="AJ79" s="264" t="s">
        <v>13034</v>
      </c>
    </row>
    <row r="80" s="251" customFormat="1" ht="50" customHeight="1" spans="1:36">
      <c r="A80" s="331" t="s">
        <v>3256</v>
      </c>
      <c r="B80" s="324" t="s">
        <v>91</v>
      </c>
      <c r="C80" s="318" t="str">
        <f t="shared" si="32"/>
        <v>45001673169298-S003狗蛋四代480</v>
      </c>
      <c r="D80" s="332">
        <v>4500167316</v>
      </c>
      <c r="E80" s="324" t="s">
        <v>2719</v>
      </c>
      <c r="F80" s="333" t="s">
        <v>2591</v>
      </c>
      <c r="G80" s="333">
        <v>480</v>
      </c>
      <c r="H80" s="333">
        <v>0</v>
      </c>
      <c r="I80" s="333">
        <v>6</v>
      </c>
      <c r="J80" s="333">
        <f t="shared" si="29"/>
        <v>80</v>
      </c>
      <c r="K80" s="334">
        <v>45840</v>
      </c>
      <c r="L80" s="334">
        <f t="shared" si="31"/>
        <v>45836</v>
      </c>
      <c r="M80" s="335" t="s">
        <v>13056</v>
      </c>
      <c r="N80" s="324" t="s">
        <v>3262</v>
      </c>
      <c r="O80" s="328"/>
      <c r="P80" s="329"/>
      <c r="Q80" s="329"/>
      <c r="R80" s="330"/>
      <c r="S80" s="344">
        <f t="shared" si="27"/>
        <v>480</v>
      </c>
      <c r="T80" s="333"/>
      <c r="U80" s="330"/>
      <c r="V80" s="324"/>
      <c r="W80" s="324"/>
      <c r="X80" s="333"/>
      <c r="Y80" s="344">
        <f t="shared" si="28"/>
        <v>480</v>
      </c>
      <c r="Z80" s="333"/>
      <c r="AA80" s="340"/>
      <c r="AB80" s="326"/>
      <c r="AC80" s="343">
        <f t="shared" si="23"/>
        <v>480</v>
      </c>
      <c r="AD80" s="326"/>
      <c r="AE80" s="340"/>
      <c r="AF80" s="340"/>
      <c r="AG80" s="340"/>
      <c r="AH80" s="340"/>
      <c r="AI80" s="340"/>
      <c r="AJ80" s="264" t="s">
        <v>13034</v>
      </c>
    </row>
    <row r="81" s="251" customFormat="1" ht="50" customHeight="1" spans="1:36">
      <c r="A81" s="331" t="s">
        <v>3256</v>
      </c>
      <c r="B81" s="324" t="s">
        <v>91</v>
      </c>
      <c r="C81" s="318" t="str">
        <f t="shared" si="32"/>
        <v>45001673169298-S003狗蛋四代1296</v>
      </c>
      <c r="D81" s="332">
        <v>4500167316</v>
      </c>
      <c r="E81" s="324" t="s">
        <v>2719</v>
      </c>
      <c r="F81" s="333" t="s">
        <v>2591</v>
      </c>
      <c r="G81" s="333">
        <v>1296</v>
      </c>
      <c r="H81" s="333">
        <v>0</v>
      </c>
      <c r="I81" s="333">
        <v>6</v>
      </c>
      <c r="J81" s="333">
        <f t="shared" si="29"/>
        <v>216</v>
      </c>
      <c r="K81" s="334">
        <v>45840</v>
      </c>
      <c r="L81" s="334">
        <f t="shared" si="31"/>
        <v>45836</v>
      </c>
      <c r="M81" s="335" t="s">
        <v>13056</v>
      </c>
      <c r="N81" s="324" t="s">
        <v>3262</v>
      </c>
      <c r="O81" s="328"/>
      <c r="P81" s="329"/>
      <c r="Q81" s="329"/>
      <c r="R81" s="330"/>
      <c r="S81" s="344">
        <f t="shared" si="27"/>
        <v>1296</v>
      </c>
      <c r="T81" s="333"/>
      <c r="U81" s="330"/>
      <c r="V81" s="324"/>
      <c r="W81" s="324"/>
      <c r="X81" s="333"/>
      <c r="Y81" s="344">
        <f t="shared" si="28"/>
        <v>1296</v>
      </c>
      <c r="Z81" s="333"/>
      <c r="AA81" s="340"/>
      <c r="AB81" s="326"/>
      <c r="AC81" s="343">
        <f t="shared" si="23"/>
        <v>1296</v>
      </c>
      <c r="AD81" s="326"/>
      <c r="AE81" s="340"/>
      <c r="AF81" s="340"/>
      <c r="AG81" s="340"/>
      <c r="AH81" s="340"/>
      <c r="AI81" s="340"/>
      <c r="AJ81" s="264" t="s">
        <v>13034</v>
      </c>
    </row>
    <row r="82" s="251" customFormat="1" ht="50" customHeight="1" spans="1:36">
      <c r="A82" s="331" t="s">
        <v>3256</v>
      </c>
      <c r="B82" s="324" t="s">
        <v>91</v>
      </c>
      <c r="C82" s="318" t="str">
        <f t="shared" si="32"/>
        <v>45001673169298-S003狗蛋四代840</v>
      </c>
      <c r="D82" s="332">
        <v>4500167316</v>
      </c>
      <c r="E82" s="324" t="s">
        <v>2719</v>
      </c>
      <c r="F82" s="333" t="s">
        <v>2591</v>
      </c>
      <c r="G82" s="333">
        <v>840</v>
      </c>
      <c r="H82" s="333">
        <v>0</v>
      </c>
      <c r="I82" s="333">
        <v>6</v>
      </c>
      <c r="J82" s="333">
        <f t="shared" si="29"/>
        <v>140</v>
      </c>
      <c r="K82" s="334">
        <v>45840</v>
      </c>
      <c r="L82" s="334">
        <f t="shared" si="31"/>
        <v>45836</v>
      </c>
      <c r="M82" s="335" t="s">
        <v>13056</v>
      </c>
      <c r="N82" s="324" t="s">
        <v>3262</v>
      </c>
      <c r="O82" s="328"/>
      <c r="P82" s="329"/>
      <c r="Q82" s="329"/>
      <c r="R82" s="330"/>
      <c r="S82" s="344">
        <f t="shared" si="27"/>
        <v>840</v>
      </c>
      <c r="T82" s="333"/>
      <c r="U82" s="330"/>
      <c r="V82" s="324"/>
      <c r="W82" s="324"/>
      <c r="X82" s="333"/>
      <c r="Y82" s="344">
        <f t="shared" si="28"/>
        <v>840</v>
      </c>
      <c r="Z82" s="333"/>
      <c r="AA82" s="340"/>
      <c r="AB82" s="326"/>
      <c r="AC82" s="343">
        <f t="shared" si="23"/>
        <v>840</v>
      </c>
      <c r="AD82" s="326"/>
      <c r="AE82" s="340"/>
      <c r="AF82" s="340"/>
      <c r="AG82" s="340"/>
      <c r="AH82" s="340"/>
      <c r="AI82" s="340"/>
      <c r="AJ82" s="264" t="s">
        <v>13034</v>
      </c>
    </row>
    <row r="83" s="251" customFormat="1" ht="50" customHeight="1" spans="1:36">
      <c r="A83" s="331" t="s">
        <v>1429</v>
      </c>
      <c r="B83" s="324" t="s">
        <v>1430</v>
      </c>
      <c r="C83" s="318" t="str">
        <f t="shared" si="32"/>
        <v>45001684639298TQ1-S001狗蛋四代PDQ240</v>
      </c>
      <c r="D83" s="332">
        <v>4500168463</v>
      </c>
      <c r="E83" s="324" t="s">
        <v>2577</v>
      </c>
      <c r="F83" s="324" t="s">
        <v>2578</v>
      </c>
      <c r="G83" s="333">
        <v>240</v>
      </c>
      <c r="H83" s="333">
        <v>0</v>
      </c>
      <c r="I83" s="333">
        <v>12</v>
      </c>
      <c r="J83" s="333">
        <f t="shared" si="29"/>
        <v>20</v>
      </c>
      <c r="K83" s="334">
        <v>45840</v>
      </c>
      <c r="L83" s="334">
        <f t="shared" si="31"/>
        <v>45836</v>
      </c>
      <c r="M83" s="335" t="s">
        <v>13053</v>
      </c>
      <c r="N83" s="324" t="s">
        <v>1434</v>
      </c>
      <c r="O83" s="328"/>
      <c r="P83" s="329"/>
      <c r="Q83" s="329"/>
      <c r="R83" s="330"/>
      <c r="S83" s="333"/>
      <c r="T83" s="333"/>
      <c r="U83" s="330"/>
      <c r="V83" s="324"/>
      <c r="W83" s="324">
        <f>G83</f>
        <v>240</v>
      </c>
      <c r="X83" s="333"/>
      <c r="Y83" s="333"/>
      <c r="Z83" s="333">
        <f>G83</f>
        <v>240</v>
      </c>
      <c r="AA83" s="340"/>
      <c r="AB83" s="326"/>
      <c r="AC83" s="343">
        <f t="shared" si="23"/>
        <v>240</v>
      </c>
      <c r="AD83" s="326"/>
      <c r="AE83" s="340"/>
      <c r="AF83" s="340"/>
      <c r="AG83" s="340">
        <f>G83/6</f>
        <v>40</v>
      </c>
      <c r="AH83" s="340"/>
      <c r="AI83" s="340"/>
      <c r="AJ83" s="327" t="s">
        <v>13050</v>
      </c>
    </row>
    <row r="84" s="251" customFormat="1" ht="50" customHeight="1" spans="1:36">
      <c r="A84" s="331" t="s">
        <v>1429</v>
      </c>
      <c r="B84" s="324" t="s">
        <v>1430</v>
      </c>
      <c r="C84" s="318" t="str">
        <f t="shared" si="32"/>
        <v>45001685949298TQ1-S001狗蛋四代PDQ120</v>
      </c>
      <c r="D84" s="332">
        <v>4500168594</v>
      </c>
      <c r="E84" s="324" t="s">
        <v>2577</v>
      </c>
      <c r="F84" s="324" t="s">
        <v>2578</v>
      </c>
      <c r="G84" s="333">
        <v>120</v>
      </c>
      <c r="H84" s="333">
        <v>0</v>
      </c>
      <c r="I84" s="333">
        <v>12</v>
      </c>
      <c r="J84" s="333">
        <f t="shared" si="29"/>
        <v>10</v>
      </c>
      <c r="K84" s="334">
        <v>45840</v>
      </c>
      <c r="L84" s="334">
        <f t="shared" si="31"/>
        <v>45836</v>
      </c>
      <c r="M84" s="360"/>
      <c r="N84" s="324" t="s">
        <v>1434</v>
      </c>
      <c r="O84" s="328"/>
      <c r="P84" s="329"/>
      <c r="Q84" s="329"/>
      <c r="R84" s="330"/>
      <c r="S84" s="333"/>
      <c r="T84" s="333"/>
      <c r="U84" s="330"/>
      <c r="V84" s="358">
        <f t="shared" ref="V84:V86" si="33">G84</f>
        <v>120</v>
      </c>
      <c r="W84" s="324"/>
      <c r="X84" s="333"/>
      <c r="Y84" s="344">
        <f t="shared" ref="Y84:Y90" si="34">G84</f>
        <v>120</v>
      </c>
      <c r="Z84" s="333"/>
      <c r="AA84" s="340"/>
      <c r="AB84" s="326"/>
      <c r="AC84" s="343">
        <f t="shared" si="23"/>
        <v>120</v>
      </c>
      <c r="AD84" s="326"/>
      <c r="AE84" s="340"/>
      <c r="AF84" s="343">
        <f t="shared" ref="AF84:AF89" si="35">G84/6</f>
        <v>20</v>
      </c>
      <c r="AG84" s="340"/>
      <c r="AH84" s="340"/>
      <c r="AI84" s="340"/>
      <c r="AJ84" s="264" t="s">
        <v>13034</v>
      </c>
    </row>
    <row r="85" s="251" customFormat="1" ht="50" customHeight="1" spans="1:36">
      <c r="A85" s="331" t="s">
        <v>1429</v>
      </c>
      <c r="B85" s="324" t="s">
        <v>1430</v>
      </c>
      <c r="C85" s="318" t="str">
        <f t="shared" si="32"/>
        <v>45001687059298TQ1-S001狗蛋四代PDQ264</v>
      </c>
      <c r="D85" s="332">
        <v>4500168705</v>
      </c>
      <c r="E85" s="324" t="s">
        <v>2577</v>
      </c>
      <c r="F85" s="324" t="s">
        <v>2578</v>
      </c>
      <c r="G85" s="333">
        <v>264</v>
      </c>
      <c r="H85" s="333">
        <v>0</v>
      </c>
      <c r="I85" s="333">
        <v>12</v>
      </c>
      <c r="J85" s="333">
        <f t="shared" si="29"/>
        <v>22</v>
      </c>
      <c r="K85" s="334">
        <v>45840</v>
      </c>
      <c r="L85" s="334">
        <f t="shared" si="31"/>
        <v>45836</v>
      </c>
      <c r="M85" s="360"/>
      <c r="N85" s="324" t="s">
        <v>1434</v>
      </c>
      <c r="O85" s="328"/>
      <c r="P85" s="329"/>
      <c r="Q85" s="329"/>
      <c r="R85" s="330"/>
      <c r="S85" s="333"/>
      <c r="T85" s="333"/>
      <c r="U85" s="330"/>
      <c r="V85" s="358">
        <f t="shared" si="33"/>
        <v>264</v>
      </c>
      <c r="W85" s="324"/>
      <c r="X85" s="333"/>
      <c r="Y85" s="344">
        <f t="shared" si="34"/>
        <v>264</v>
      </c>
      <c r="Z85" s="333"/>
      <c r="AA85" s="340"/>
      <c r="AB85" s="326"/>
      <c r="AC85" s="343">
        <f t="shared" si="23"/>
        <v>264</v>
      </c>
      <c r="AD85" s="326"/>
      <c r="AE85" s="340"/>
      <c r="AF85" s="343">
        <f t="shared" si="35"/>
        <v>44</v>
      </c>
      <c r="AG85" s="340"/>
      <c r="AH85" s="340"/>
      <c r="AI85" s="340"/>
      <c r="AJ85" s="264" t="s">
        <v>13034</v>
      </c>
    </row>
    <row r="86" s="251" customFormat="1" ht="50" customHeight="1" spans="1:36">
      <c r="A86" s="331" t="s">
        <v>3982</v>
      </c>
      <c r="B86" s="324" t="s">
        <v>738</v>
      </c>
      <c r="C86" s="318" t="str">
        <f t="shared" si="32"/>
        <v>45001657469298TQ1-S001狗蛋四代PDQ552</v>
      </c>
      <c r="D86" s="332">
        <v>4500165746</v>
      </c>
      <c r="E86" s="324" t="s">
        <v>2577</v>
      </c>
      <c r="F86" s="324" t="s">
        <v>2578</v>
      </c>
      <c r="G86" s="333">
        <v>552</v>
      </c>
      <c r="H86" s="333">
        <v>0</v>
      </c>
      <c r="I86" s="333">
        <v>12</v>
      </c>
      <c r="J86" s="333">
        <f t="shared" si="29"/>
        <v>46</v>
      </c>
      <c r="K86" s="370">
        <v>45835</v>
      </c>
      <c r="L86" s="374">
        <v>45842</v>
      </c>
      <c r="M86" s="371" t="s">
        <v>13057</v>
      </c>
      <c r="N86" s="324" t="s">
        <v>1257</v>
      </c>
      <c r="O86" s="355"/>
      <c r="P86" s="356"/>
      <c r="Q86" s="356"/>
      <c r="R86" s="357"/>
      <c r="S86" s="333"/>
      <c r="T86" s="333"/>
      <c r="U86" s="357"/>
      <c r="V86" s="358">
        <f t="shared" si="33"/>
        <v>552</v>
      </c>
      <c r="W86" s="324"/>
      <c r="X86" s="333"/>
      <c r="Y86" s="344">
        <f t="shared" si="34"/>
        <v>552</v>
      </c>
      <c r="Z86" s="333"/>
      <c r="AA86" s="340"/>
      <c r="AB86" s="359"/>
      <c r="AC86" s="343">
        <f t="shared" si="23"/>
        <v>552</v>
      </c>
      <c r="AD86" s="359"/>
      <c r="AE86" s="340"/>
      <c r="AF86" s="343">
        <f t="shared" si="35"/>
        <v>92</v>
      </c>
      <c r="AG86" s="340"/>
      <c r="AH86" s="340"/>
      <c r="AI86" s="340"/>
      <c r="AJ86" s="264" t="s">
        <v>13034</v>
      </c>
    </row>
    <row r="87" s="251" customFormat="1" ht="50" customHeight="1" spans="1:36">
      <c r="A87" s="331" t="s">
        <v>3156</v>
      </c>
      <c r="B87" s="324" t="s">
        <v>471</v>
      </c>
      <c r="C87" s="318" t="str">
        <f t="shared" si="32"/>
        <v>45001651209298TQ1-S002-NB-MTS狗蛋四代（无闪粉）1200</v>
      </c>
      <c r="D87" s="332">
        <v>4500165120</v>
      </c>
      <c r="E87" s="324" t="s">
        <v>2647</v>
      </c>
      <c r="F87" s="324" t="s">
        <v>2648</v>
      </c>
      <c r="G87" s="333">
        <v>1200</v>
      </c>
      <c r="H87" s="333">
        <v>0</v>
      </c>
      <c r="I87" s="333">
        <v>6</v>
      </c>
      <c r="J87" s="333">
        <f t="shared" si="29"/>
        <v>200</v>
      </c>
      <c r="K87" s="334">
        <v>45842</v>
      </c>
      <c r="L87" s="334">
        <f t="shared" ref="L87:L92" si="36">K87-4</f>
        <v>45838</v>
      </c>
      <c r="M87" s="335" t="s">
        <v>13049</v>
      </c>
      <c r="N87" s="324" t="s">
        <v>4059</v>
      </c>
      <c r="O87" s="328"/>
      <c r="P87" s="329"/>
      <c r="Q87" s="329"/>
      <c r="R87" s="330"/>
      <c r="S87" s="333"/>
      <c r="T87" s="333"/>
      <c r="U87" s="330"/>
      <c r="V87" s="324"/>
      <c r="W87" s="324">
        <f>G87</f>
        <v>1200</v>
      </c>
      <c r="X87" s="333"/>
      <c r="Y87" s="344">
        <f t="shared" si="34"/>
        <v>1200</v>
      </c>
      <c r="Z87" s="333"/>
      <c r="AA87" s="340"/>
      <c r="AB87" s="326"/>
      <c r="AC87" s="340"/>
      <c r="AD87" s="326"/>
      <c r="AE87" s="343">
        <f>G87</f>
        <v>1200</v>
      </c>
      <c r="AF87" s="343">
        <f t="shared" si="35"/>
        <v>200</v>
      </c>
      <c r="AG87" s="340"/>
      <c r="AH87" s="340"/>
      <c r="AI87" s="340"/>
      <c r="AJ87" s="327" t="s">
        <v>13058</v>
      </c>
    </row>
    <row r="88" s="251" customFormat="1" ht="50" customHeight="1" spans="1:36">
      <c r="A88" s="331" t="s">
        <v>3685</v>
      </c>
      <c r="B88" s="324" t="s">
        <v>351</v>
      </c>
      <c r="C88" s="318" t="str">
        <f t="shared" si="32"/>
        <v>45001669109298TQ1-S002狗蛋四代222</v>
      </c>
      <c r="D88" s="332">
        <v>4500166910</v>
      </c>
      <c r="E88" s="324" t="s">
        <v>2590</v>
      </c>
      <c r="F88" s="324" t="s">
        <v>2591</v>
      </c>
      <c r="G88" s="333">
        <v>222</v>
      </c>
      <c r="H88" s="333">
        <v>0</v>
      </c>
      <c r="I88" s="333">
        <v>6</v>
      </c>
      <c r="J88" s="333">
        <f t="shared" si="29"/>
        <v>37</v>
      </c>
      <c r="K88" s="334">
        <v>45842</v>
      </c>
      <c r="L88" s="334">
        <f t="shared" si="36"/>
        <v>45838</v>
      </c>
      <c r="M88" s="335" t="s">
        <v>13059</v>
      </c>
      <c r="N88" s="324" t="s">
        <v>1131</v>
      </c>
      <c r="O88" s="328"/>
      <c r="P88" s="329"/>
      <c r="Q88" s="329"/>
      <c r="R88" s="330"/>
      <c r="S88" s="344">
        <f>G88</f>
        <v>222</v>
      </c>
      <c r="T88" s="333"/>
      <c r="U88" s="330"/>
      <c r="V88" s="324"/>
      <c r="W88" s="324"/>
      <c r="X88" s="333"/>
      <c r="Y88" s="344">
        <f t="shared" si="34"/>
        <v>222</v>
      </c>
      <c r="Z88" s="333"/>
      <c r="AA88" s="340"/>
      <c r="AB88" s="326"/>
      <c r="AC88" s="343">
        <f t="shared" ref="AC88:AC92" si="37">G88</f>
        <v>222</v>
      </c>
      <c r="AD88" s="326"/>
      <c r="AE88" s="340"/>
      <c r="AF88" s="343">
        <f t="shared" si="35"/>
        <v>37</v>
      </c>
      <c r="AG88" s="340"/>
      <c r="AH88" s="340"/>
      <c r="AI88" s="340"/>
      <c r="AJ88" s="264" t="s">
        <v>13034</v>
      </c>
    </row>
    <row r="89" s="251" customFormat="1" ht="50" customHeight="1" spans="1:36">
      <c r="A89" s="331" t="s">
        <v>4061</v>
      </c>
      <c r="B89" s="324" t="s">
        <v>840</v>
      </c>
      <c r="C89" s="318" t="str">
        <f t="shared" si="32"/>
        <v>45001670549298TQ1-S002狗蛋四代360</v>
      </c>
      <c r="D89" s="332">
        <v>4500167054</v>
      </c>
      <c r="E89" s="324" t="s">
        <v>2590</v>
      </c>
      <c r="F89" s="324" t="s">
        <v>2591</v>
      </c>
      <c r="G89" s="333">
        <v>360</v>
      </c>
      <c r="H89" s="333">
        <v>0</v>
      </c>
      <c r="I89" s="333">
        <v>6</v>
      </c>
      <c r="J89" s="333">
        <f t="shared" si="29"/>
        <v>60</v>
      </c>
      <c r="K89" s="334">
        <v>45842</v>
      </c>
      <c r="L89" s="334">
        <f t="shared" si="36"/>
        <v>45838</v>
      </c>
      <c r="M89" s="335" t="s">
        <v>13059</v>
      </c>
      <c r="N89" s="324" t="s">
        <v>2735</v>
      </c>
      <c r="O89" s="328"/>
      <c r="P89" s="329"/>
      <c r="Q89" s="329"/>
      <c r="R89" s="330"/>
      <c r="S89" s="358">
        <f>G89</f>
        <v>360</v>
      </c>
      <c r="T89" s="324"/>
      <c r="U89" s="330"/>
      <c r="V89" s="324"/>
      <c r="W89" s="324"/>
      <c r="X89" s="333"/>
      <c r="Y89" s="344">
        <f t="shared" si="34"/>
        <v>360</v>
      </c>
      <c r="Z89" s="333"/>
      <c r="AA89" s="340"/>
      <c r="AB89" s="326"/>
      <c r="AC89" s="343">
        <f t="shared" si="37"/>
        <v>360</v>
      </c>
      <c r="AD89" s="326"/>
      <c r="AE89" s="340"/>
      <c r="AF89" s="343">
        <f t="shared" si="35"/>
        <v>60</v>
      </c>
      <c r="AG89" s="340"/>
      <c r="AH89" s="340"/>
      <c r="AI89" s="340"/>
      <c r="AJ89" s="264" t="s">
        <v>13034</v>
      </c>
    </row>
    <row r="90" s="251" customFormat="1" ht="50" customHeight="1" spans="1:36">
      <c r="A90" s="331" t="s">
        <v>2616</v>
      </c>
      <c r="B90" s="324" t="s">
        <v>471</v>
      </c>
      <c r="C90" s="318" t="str">
        <f t="shared" si="32"/>
        <v>45001680679298-S008-NB.PKC狗蛋四代-干燥剂6504</v>
      </c>
      <c r="D90" s="332">
        <v>4500168067</v>
      </c>
      <c r="E90" s="324" t="s">
        <v>4068</v>
      </c>
      <c r="F90" s="324" t="s">
        <v>4069</v>
      </c>
      <c r="G90" s="333">
        <v>6504</v>
      </c>
      <c r="H90" s="333">
        <v>0</v>
      </c>
      <c r="I90" s="333">
        <v>24</v>
      </c>
      <c r="J90" s="333">
        <f t="shared" si="29"/>
        <v>271</v>
      </c>
      <c r="K90" s="334">
        <v>45842</v>
      </c>
      <c r="L90" s="334">
        <f t="shared" si="36"/>
        <v>45838</v>
      </c>
      <c r="M90" s="335" t="s">
        <v>13049</v>
      </c>
      <c r="N90" s="324" t="s">
        <v>2624</v>
      </c>
      <c r="O90" s="328"/>
      <c r="P90" s="329"/>
      <c r="Q90" s="329"/>
      <c r="R90" s="330"/>
      <c r="S90" s="324"/>
      <c r="T90" s="324">
        <f>G90</f>
        <v>6504</v>
      </c>
      <c r="U90" s="330"/>
      <c r="V90" s="324"/>
      <c r="W90" s="324"/>
      <c r="X90" s="333"/>
      <c r="Y90" s="344">
        <f t="shared" si="34"/>
        <v>6504</v>
      </c>
      <c r="Z90" s="333"/>
      <c r="AA90" s="340"/>
      <c r="AB90" s="326"/>
      <c r="AC90" s="340"/>
      <c r="AD90" s="326"/>
      <c r="AE90" s="343">
        <f>G90</f>
        <v>6504</v>
      </c>
      <c r="AF90" s="340"/>
      <c r="AG90" s="340"/>
      <c r="AH90" s="340"/>
      <c r="AI90" s="340"/>
      <c r="AJ90" s="327" t="s">
        <v>13058</v>
      </c>
    </row>
    <row r="91" s="251" customFormat="1" ht="50" customHeight="1" spans="1:36">
      <c r="A91" s="331" t="s">
        <v>1315</v>
      </c>
      <c r="B91" s="324" t="s">
        <v>1316</v>
      </c>
      <c r="C91" s="318" t="str">
        <f t="shared" si="32"/>
        <v>4500162577MTQ41-S001-92135狗蛋四代混装（9279+9298）1200</v>
      </c>
      <c r="D91" s="332">
        <v>4500162577</v>
      </c>
      <c r="E91" s="324" t="s">
        <v>3821</v>
      </c>
      <c r="F91" s="324" t="s">
        <v>1320</v>
      </c>
      <c r="G91" s="333">
        <v>1200</v>
      </c>
      <c r="H91" s="333">
        <v>0</v>
      </c>
      <c r="I91" s="333">
        <v>4</v>
      </c>
      <c r="J91" s="333">
        <f t="shared" si="29"/>
        <v>300</v>
      </c>
      <c r="K91" s="334">
        <v>45843</v>
      </c>
      <c r="L91" s="334">
        <f t="shared" si="36"/>
        <v>45839</v>
      </c>
      <c r="M91" s="360"/>
      <c r="N91" s="324" t="s">
        <v>1326</v>
      </c>
      <c r="O91" s="328"/>
      <c r="P91" s="329"/>
      <c r="Q91" s="329"/>
      <c r="R91" s="330"/>
      <c r="S91" s="333"/>
      <c r="T91" s="333"/>
      <c r="U91" s="330"/>
      <c r="V91" s="324"/>
      <c r="W91" s="324"/>
      <c r="X91" s="333">
        <f>G91</f>
        <v>1200</v>
      </c>
      <c r="Y91" s="333"/>
      <c r="Z91" s="333"/>
      <c r="AA91" s="340">
        <f>G91</f>
        <v>1200</v>
      </c>
      <c r="AB91" s="326"/>
      <c r="AC91" s="343">
        <f t="shared" si="37"/>
        <v>1200</v>
      </c>
      <c r="AD91" s="326"/>
      <c r="AE91" s="340"/>
      <c r="AF91" s="340"/>
      <c r="AG91" s="340"/>
      <c r="AH91" s="340"/>
      <c r="AI91" s="340"/>
      <c r="AJ91" s="264" t="s">
        <v>13033</v>
      </c>
    </row>
    <row r="92" s="251" customFormat="1" ht="50" customHeight="1" spans="1:36">
      <c r="A92" s="331" t="s">
        <v>1315</v>
      </c>
      <c r="B92" s="324" t="s">
        <v>1316</v>
      </c>
      <c r="C92" s="318" t="str">
        <f t="shared" si="32"/>
        <v>4500166280MTQ41-S001-92135狗蛋四代混装（9279+9298）4244</v>
      </c>
      <c r="D92" s="332">
        <v>4500166280</v>
      </c>
      <c r="E92" s="324" t="s">
        <v>3821</v>
      </c>
      <c r="F92" s="324" t="s">
        <v>1320</v>
      </c>
      <c r="G92" s="333">
        <v>4244</v>
      </c>
      <c r="H92" s="333">
        <v>0</v>
      </c>
      <c r="I92" s="333">
        <v>4</v>
      </c>
      <c r="J92" s="333">
        <f t="shared" si="29"/>
        <v>1061</v>
      </c>
      <c r="K92" s="334">
        <v>45843</v>
      </c>
      <c r="L92" s="334">
        <f t="shared" si="36"/>
        <v>45839</v>
      </c>
      <c r="M92" s="360"/>
      <c r="N92" s="324" t="s">
        <v>1326</v>
      </c>
      <c r="O92" s="328"/>
      <c r="P92" s="329"/>
      <c r="Q92" s="329"/>
      <c r="R92" s="330"/>
      <c r="S92" s="333"/>
      <c r="T92" s="333"/>
      <c r="U92" s="330"/>
      <c r="V92" s="324"/>
      <c r="W92" s="324"/>
      <c r="X92" s="333">
        <f>G92</f>
        <v>4244</v>
      </c>
      <c r="Y92" s="333"/>
      <c r="Z92" s="333"/>
      <c r="AA92" s="340">
        <f>G92</f>
        <v>4244</v>
      </c>
      <c r="AB92" s="326"/>
      <c r="AC92" s="343">
        <f t="shared" si="37"/>
        <v>4244</v>
      </c>
      <c r="AD92" s="326"/>
      <c r="AE92" s="340"/>
      <c r="AF92" s="340"/>
      <c r="AG92" s="340"/>
      <c r="AH92" s="340"/>
      <c r="AI92" s="340"/>
      <c r="AJ92" s="264" t="s">
        <v>13033</v>
      </c>
    </row>
    <row r="93" s="251" customFormat="1" ht="50" customHeight="1" spans="1:36">
      <c r="A93" s="331" t="s">
        <v>2645</v>
      </c>
      <c r="B93" s="324" t="s">
        <v>2058</v>
      </c>
      <c r="C93" s="318" t="str">
        <f t="shared" si="32"/>
        <v>45001685219298TQ1-S002-NB-MTS狗蛋四代（无闪粉）1200</v>
      </c>
      <c r="D93" s="332">
        <v>4500168521</v>
      </c>
      <c r="E93" s="324" t="s">
        <v>2647</v>
      </c>
      <c r="F93" s="324" t="s">
        <v>2648</v>
      </c>
      <c r="G93" s="333">
        <v>1200</v>
      </c>
      <c r="H93" s="333">
        <v>0</v>
      </c>
      <c r="I93" s="333">
        <v>6</v>
      </c>
      <c r="J93" s="333">
        <f t="shared" si="29"/>
        <v>200</v>
      </c>
      <c r="K93" s="334">
        <v>45844</v>
      </c>
      <c r="L93" s="334">
        <v>45840</v>
      </c>
      <c r="M93" s="360"/>
      <c r="N93" s="324" t="s">
        <v>3107</v>
      </c>
      <c r="O93" s="328"/>
      <c r="P93" s="329"/>
      <c r="Q93" s="329"/>
      <c r="R93" s="330"/>
      <c r="S93" s="333"/>
      <c r="T93" s="333"/>
      <c r="U93" s="330"/>
      <c r="V93" s="324"/>
      <c r="W93" s="324">
        <f t="shared" ref="W93:W102" si="38">G93</f>
        <v>1200</v>
      </c>
      <c r="X93" s="333"/>
      <c r="Y93" s="344">
        <f t="shared" ref="Y93:Y95" si="39">G93</f>
        <v>1200</v>
      </c>
      <c r="Z93" s="333"/>
      <c r="AA93" s="340"/>
      <c r="AB93" s="326"/>
      <c r="AC93" s="340"/>
      <c r="AD93" s="326"/>
      <c r="AE93" s="343">
        <f>G93</f>
        <v>1200</v>
      </c>
      <c r="AF93" s="343">
        <f>G93/6</f>
        <v>200</v>
      </c>
      <c r="AG93" s="340"/>
      <c r="AH93" s="340"/>
      <c r="AI93" s="340"/>
      <c r="AJ93" s="327" t="s">
        <v>13058</v>
      </c>
    </row>
    <row r="94" s="251" customFormat="1" ht="50" customHeight="1" spans="1:36">
      <c r="A94" s="331" t="s">
        <v>2628</v>
      </c>
      <c r="B94" s="324" t="s">
        <v>738</v>
      </c>
      <c r="C94" s="318" t="str">
        <f t="shared" si="32"/>
        <v>45001689019298H-S001猎犬12</v>
      </c>
      <c r="D94" s="332">
        <v>4500168901</v>
      </c>
      <c r="E94" s="324" t="s">
        <v>3186</v>
      </c>
      <c r="F94" s="324" t="s">
        <v>11048</v>
      </c>
      <c r="G94" s="333">
        <v>12</v>
      </c>
      <c r="H94" s="333">
        <v>0</v>
      </c>
      <c r="I94" s="333">
        <v>12</v>
      </c>
      <c r="J94" s="333">
        <f t="shared" si="29"/>
        <v>1</v>
      </c>
      <c r="K94" s="334">
        <v>45840</v>
      </c>
      <c r="L94" s="321">
        <v>45845</v>
      </c>
      <c r="M94" s="360"/>
      <c r="N94" s="324" t="s">
        <v>1257</v>
      </c>
      <c r="O94" s="328"/>
      <c r="P94" s="329"/>
      <c r="Q94" s="329"/>
      <c r="R94" s="330"/>
      <c r="S94" s="333"/>
      <c r="T94" s="333"/>
      <c r="U94" s="330"/>
      <c r="V94" s="324"/>
      <c r="W94" s="324">
        <f t="shared" si="38"/>
        <v>12</v>
      </c>
      <c r="X94" s="333"/>
      <c r="Y94" s="344">
        <f t="shared" si="39"/>
        <v>12</v>
      </c>
      <c r="Z94" s="333"/>
      <c r="AA94" s="340"/>
      <c r="AB94" s="326"/>
      <c r="AC94" s="343">
        <f t="shared" ref="AC94:AC123" si="40">G94</f>
        <v>12</v>
      </c>
      <c r="AD94" s="326"/>
      <c r="AE94" s="340"/>
      <c r="AF94" s="340"/>
      <c r="AG94" s="340"/>
      <c r="AH94" s="340"/>
      <c r="AI94" s="340"/>
      <c r="AJ94" s="327" t="s">
        <v>13058</v>
      </c>
    </row>
    <row r="95" s="251" customFormat="1" ht="50" customHeight="1" spans="1:36">
      <c r="A95" s="331" t="s">
        <v>2628</v>
      </c>
      <c r="B95" s="324" t="s">
        <v>738</v>
      </c>
      <c r="C95" s="318" t="str">
        <f t="shared" si="32"/>
        <v>45001689019298G-S001咖啡斑点狗12</v>
      </c>
      <c r="D95" s="332">
        <v>4500168901</v>
      </c>
      <c r="E95" s="324" t="s">
        <v>3174</v>
      </c>
      <c r="F95" s="324" t="s">
        <v>2677</v>
      </c>
      <c r="G95" s="333">
        <v>12</v>
      </c>
      <c r="H95" s="333">
        <v>0</v>
      </c>
      <c r="I95" s="333">
        <v>12</v>
      </c>
      <c r="J95" s="333">
        <f t="shared" si="29"/>
        <v>1</v>
      </c>
      <c r="K95" s="334">
        <v>45840</v>
      </c>
      <c r="L95" s="321">
        <v>45845</v>
      </c>
      <c r="M95" s="360"/>
      <c r="N95" s="324" t="s">
        <v>1257</v>
      </c>
      <c r="O95" s="328"/>
      <c r="P95" s="329"/>
      <c r="Q95" s="329"/>
      <c r="R95" s="330"/>
      <c r="S95" s="333"/>
      <c r="T95" s="333"/>
      <c r="U95" s="330"/>
      <c r="V95" s="324"/>
      <c r="W95" s="324">
        <f t="shared" si="38"/>
        <v>12</v>
      </c>
      <c r="X95" s="333"/>
      <c r="Y95" s="344">
        <f t="shared" si="39"/>
        <v>12</v>
      </c>
      <c r="Z95" s="333"/>
      <c r="AA95" s="340"/>
      <c r="AB95" s="326"/>
      <c r="AC95" s="343">
        <f t="shared" si="40"/>
        <v>12</v>
      </c>
      <c r="AD95" s="326"/>
      <c r="AE95" s="340"/>
      <c r="AF95" s="340"/>
      <c r="AG95" s="340"/>
      <c r="AH95" s="340"/>
      <c r="AI95" s="340"/>
      <c r="AJ95" s="327" t="s">
        <v>13058</v>
      </c>
    </row>
    <row r="96" s="251" customFormat="1" ht="50" customHeight="1" spans="1:36">
      <c r="A96" s="364" t="s">
        <v>2628</v>
      </c>
      <c r="B96" s="324" t="s">
        <v>738</v>
      </c>
      <c r="C96" s="318" t="str">
        <f t="shared" si="32"/>
        <v>45001681279298E-S001雪纳瑞108</v>
      </c>
      <c r="D96" s="332">
        <v>4500168127</v>
      </c>
      <c r="E96" s="324" t="s">
        <v>2983</v>
      </c>
      <c r="F96" s="324" t="s">
        <v>2984</v>
      </c>
      <c r="G96" s="333">
        <v>108</v>
      </c>
      <c r="H96" s="333">
        <v>0</v>
      </c>
      <c r="I96" s="333">
        <v>12</v>
      </c>
      <c r="J96" s="333">
        <f t="shared" si="29"/>
        <v>9</v>
      </c>
      <c r="K96" s="334">
        <v>45834</v>
      </c>
      <c r="L96" s="375">
        <v>45845</v>
      </c>
      <c r="M96" s="342" t="s">
        <v>13046</v>
      </c>
      <c r="N96" s="324" t="s">
        <v>1257</v>
      </c>
      <c r="O96" s="328"/>
      <c r="P96" s="329"/>
      <c r="Q96" s="329"/>
      <c r="R96" s="330"/>
      <c r="S96" s="333"/>
      <c r="T96" s="333"/>
      <c r="U96" s="330"/>
      <c r="V96" s="324"/>
      <c r="W96" s="324">
        <f t="shared" si="38"/>
        <v>108</v>
      </c>
      <c r="X96" s="333"/>
      <c r="Y96" s="333"/>
      <c r="Z96" s="333">
        <f t="shared" ref="Z96:Z100" si="41">G96</f>
        <v>108</v>
      </c>
      <c r="AA96" s="340"/>
      <c r="AB96" s="326"/>
      <c r="AC96" s="343">
        <f t="shared" si="40"/>
        <v>108</v>
      </c>
      <c r="AD96" s="326"/>
      <c r="AE96" s="340"/>
      <c r="AF96" s="340"/>
      <c r="AG96" s="340"/>
      <c r="AH96" s="340"/>
      <c r="AI96" s="340"/>
      <c r="AJ96" s="327" t="s">
        <v>13050</v>
      </c>
    </row>
    <row r="97" s="251" customFormat="1" ht="50" customHeight="1" spans="1:36">
      <c r="A97" s="364" t="s">
        <v>2628</v>
      </c>
      <c r="B97" s="324" t="s">
        <v>738</v>
      </c>
      <c r="C97" s="318" t="str">
        <f t="shared" si="32"/>
        <v>45001681279298G-S001咖啡斑点狗24</v>
      </c>
      <c r="D97" s="332">
        <v>4500168127</v>
      </c>
      <c r="E97" s="324" t="s">
        <v>3174</v>
      </c>
      <c r="F97" s="324" t="s">
        <v>2677</v>
      </c>
      <c r="G97" s="333">
        <v>24</v>
      </c>
      <c r="H97" s="333">
        <v>0</v>
      </c>
      <c r="I97" s="333">
        <v>12</v>
      </c>
      <c r="J97" s="333">
        <f t="shared" si="29"/>
        <v>2</v>
      </c>
      <c r="K97" s="334">
        <v>45834</v>
      </c>
      <c r="L97" s="375">
        <v>45845</v>
      </c>
      <c r="M97" s="342" t="s">
        <v>13046</v>
      </c>
      <c r="N97" s="324" t="s">
        <v>1257</v>
      </c>
      <c r="O97" s="328"/>
      <c r="P97" s="329"/>
      <c r="Q97" s="329"/>
      <c r="R97" s="330"/>
      <c r="S97" s="333"/>
      <c r="T97" s="333"/>
      <c r="U97" s="330"/>
      <c r="V97" s="324"/>
      <c r="W97" s="324">
        <f t="shared" si="38"/>
        <v>24</v>
      </c>
      <c r="X97" s="333"/>
      <c r="Y97" s="333"/>
      <c r="Z97" s="333">
        <f t="shared" si="41"/>
        <v>24</v>
      </c>
      <c r="AA97" s="340"/>
      <c r="AB97" s="326"/>
      <c r="AC97" s="343">
        <f t="shared" si="40"/>
        <v>24</v>
      </c>
      <c r="AD97" s="326"/>
      <c r="AE97" s="340"/>
      <c r="AF97" s="340"/>
      <c r="AG97" s="340"/>
      <c r="AH97" s="340"/>
      <c r="AI97" s="340"/>
      <c r="AJ97" s="327" t="s">
        <v>13050</v>
      </c>
    </row>
    <row r="98" s="251" customFormat="1" ht="50" customHeight="1" spans="1:36">
      <c r="A98" s="364" t="s">
        <v>2628</v>
      </c>
      <c r="B98" s="324" t="s">
        <v>738</v>
      </c>
      <c r="C98" s="318" t="str">
        <f t="shared" si="32"/>
        <v>45001681279298B-S001贵妇犬48</v>
      </c>
      <c r="D98" s="332">
        <v>4500168127</v>
      </c>
      <c r="E98" s="324" t="s">
        <v>2640</v>
      </c>
      <c r="F98" s="324" t="s">
        <v>2641</v>
      </c>
      <c r="G98" s="333">
        <v>48</v>
      </c>
      <c r="H98" s="333">
        <v>0</v>
      </c>
      <c r="I98" s="333">
        <v>12</v>
      </c>
      <c r="J98" s="333">
        <f t="shared" si="29"/>
        <v>4</v>
      </c>
      <c r="K98" s="334">
        <v>45834</v>
      </c>
      <c r="L98" s="375">
        <v>45845</v>
      </c>
      <c r="M98" s="342" t="s">
        <v>13046</v>
      </c>
      <c r="N98" s="324" t="s">
        <v>1257</v>
      </c>
      <c r="O98" s="328"/>
      <c r="P98" s="329"/>
      <c r="Q98" s="329"/>
      <c r="R98" s="330"/>
      <c r="S98" s="333"/>
      <c r="T98" s="333"/>
      <c r="U98" s="330"/>
      <c r="V98" s="324"/>
      <c r="W98" s="324">
        <f t="shared" si="38"/>
        <v>48</v>
      </c>
      <c r="X98" s="333"/>
      <c r="Y98" s="333"/>
      <c r="Z98" s="333">
        <f t="shared" si="41"/>
        <v>48</v>
      </c>
      <c r="AA98" s="340"/>
      <c r="AB98" s="326"/>
      <c r="AC98" s="343">
        <f t="shared" si="40"/>
        <v>48</v>
      </c>
      <c r="AD98" s="326"/>
      <c r="AE98" s="340"/>
      <c r="AF98" s="340"/>
      <c r="AG98" s="340"/>
      <c r="AH98" s="340"/>
      <c r="AI98" s="340"/>
      <c r="AJ98" s="327" t="s">
        <v>13050</v>
      </c>
    </row>
    <row r="99" s="251" customFormat="1" ht="50" customHeight="1" spans="1:36">
      <c r="A99" s="364" t="s">
        <v>2628</v>
      </c>
      <c r="B99" s="324" t="s">
        <v>738</v>
      </c>
      <c r="C99" s="318" t="str">
        <f t="shared" si="32"/>
        <v>45001681279298E-S001雪纳瑞12</v>
      </c>
      <c r="D99" s="332">
        <v>4500168127</v>
      </c>
      <c r="E99" s="324" t="s">
        <v>2983</v>
      </c>
      <c r="F99" s="324" t="s">
        <v>2984</v>
      </c>
      <c r="G99" s="333">
        <v>12</v>
      </c>
      <c r="H99" s="333">
        <v>0</v>
      </c>
      <c r="I99" s="333">
        <v>12</v>
      </c>
      <c r="J99" s="333">
        <f t="shared" si="29"/>
        <v>1</v>
      </c>
      <c r="K99" s="334">
        <v>45834</v>
      </c>
      <c r="L99" s="375">
        <v>45845</v>
      </c>
      <c r="M99" s="342" t="s">
        <v>13046</v>
      </c>
      <c r="N99" s="324" t="s">
        <v>1257</v>
      </c>
      <c r="O99" s="328"/>
      <c r="P99" s="329"/>
      <c r="Q99" s="329"/>
      <c r="R99" s="330"/>
      <c r="S99" s="333"/>
      <c r="T99" s="333"/>
      <c r="U99" s="330"/>
      <c r="V99" s="324"/>
      <c r="W99" s="324">
        <f t="shared" si="38"/>
        <v>12</v>
      </c>
      <c r="X99" s="333"/>
      <c r="Y99" s="333"/>
      <c r="Z99" s="333">
        <f t="shared" si="41"/>
        <v>12</v>
      </c>
      <c r="AA99" s="340"/>
      <c r="AB99" s="326"/>
      <c r="AC99" s="343">
        <f t="shared" si="40"/>
        <v>12</v>
      </c>
      <c r="AD99" s="326"/>
      <c r="AE99" s="340"/>
      <c r="AF99" s="340"/>
      <c r="AG99" s="340"/>
      <c r="AH99" s="340"/>
      <c r="AI99" s="340"/>
      <c r="AJ99" s="327" t="s">
        <v>13050</v>
      </c>
    </row>
    <row r="100" s="251" customFormat="1" ht="50" customHeight="1" spans="1:36">
      <c r="A100" s="364" t="s">
        <v>2628</v>
      </c>
      <c r="B100" s="324" t="s">
        <v>738</v>
      </c>
      <c r="C100" s="318" t="str">
        <f t="shared" si="32"/>
        <v>45001681279298H-S001猎犬36</v>
      </c>
      <c r="D100" s="332">
        <v>4500168127</v>
      </c>
      <c r="E100" s="324" t="s">
        <v>3186</v>
      </c>
      <c r="F100" s="324" t="s">
        <v>11048</v>
      </c>
      <c r="G100" s="333">
        <v>36</v>
      </c>
      <c r="H100" s="333">
        <v>0</v>
      </c>
      <c r="I100" s="333">
        <v>12</v>
      </c>
      <c r="J100" s="333">
        <f t="shared" si="29"/>
        <v>3</v>
      </c>
      <c r="K100" s="334">
        <v>45834</v>
      </c>
      <c r="L100" s="375">
        <v>45845</v>
      </c>
      <c r="M100" s="342" t="s">
        <v>13046</v>
      </c>
      <c r="N100" s="324" t="s">
        <v>1257</v>
      </c>
      <c r="O100" s="328"/>
      <c r="P100" s="329"/>
      <c r="Q100" s="329"/>
      <c r="R100" s="330"/>
      <c r="S100" s="333"/>
      <c r="T100" s="333"/>
      <c r="U100" s="330"/>
      <c r="V100" s="324"/>
      <c r="W100" s="324">
        <f t="shared" si="38"/>
        <v>36</v>
      </c>
      <c r="X100" s="333"/>
      <c r="Y100" s="333"/>
      <c r="Z100" s="333">
        <f t="shared" si="41"/>
        <v>36</v>
      </c>
      <c r="AA100" s="340"/>
      <c r="AB100" s="326"/>
      <c r="AC100" s="343">
        <f t="shared" si="40"/>
        <v>36</v>
      </c>
      <c r="AD100" s="326"/>
      <c r="AE100" s="340"/>
      <c r="AF100" s="340"/>
      <c r="AG100" s="340"/>
      <c r="AH100" s="340"/>
      <c r="AI100" s="340"/>
      <c r="AJ100" s="327" t="s">
        <v>13050</v>
      </c>
    </row>
    <row r="101" s="251" customFormat="1" ht="50" customHeight="1" spans="1:36">
      <c r="A101" s="331" t="s">
        <v>3853</v>
      </c>
      <c r="B101" s="324" t="s">
        <v>516</v>
      </c>
      <c r="C101" s="318" t="str">
        <f t="shared" si="32"/>
        <v>45001658999298TQ1-S001狗蛋四代PDQ10008</v>
      </c>
      <c r="D101" s="332">
        <v>4500165899</v>
      </c>
      <c r="E101" s="324" t="s">
        <v>2577</v>
      </c>
      <c r="F101" s="324" t="s">
        <v>2578</v>
      </c>
      <c r="G101" s="333">
        <v>10008</v>
      </c>
      <c r="H101" s="333">
        <v>0</v>
      </c>
      <c r="I101" s="333">
        <v>12</v>
      </c>
      <c r="J101" s="333">
        <f t="shared" si="29"/>
        <v>834</v>
      </c>
      <c r="K101" s="334">
        <v>45827</v>
      </c>
      <c r="L101" s="370">
        <v>45845</v>
      </c>
      <c r="M101" s="373" t="s">
        <v>13049</v>
      </c>
      <c r="N101" s="324" t="s">
        <v>3805</v>
      </c>
      <c r="O101" s="328"/>
      <c r="P101" s="329"/>
      <c r="Q101" s="329"/>
      <c r="R101" s="330"/>
      <c r="S101" s="333"/>
      <c r="T101" s="333"/>
      <c r="U101" s="330"/>
      <c r="V101" s="324"/>
      <c r="W101" s="324">
        <f t="shared" si="38"/>
        <v>10008</v>
      </c>
      <c r="X101" s="333"/>
      <c r="Y101" s="344">
        <f t="shared" ref="Y101:Y103" si="42">G101</f>
        <v>10008</v>
      </c>
      <c r="Z101" s="333"/>
      <c r="AA101" s="340"/>
      <c r="AB101" s="326"/>
      <c r="AC101" s="343">
        <f t="shared" si="40"/>
        <v>10008</v>
      </c>
      <c r="AD101" s="326"/>
      <c r="AE101" s="340"/>
      <c r="AF101" s="343">
        <f>G101/6</f>
        <v>1668</v>
      </c>
      <c r="AG101" s="340"/>
      <c r="AH101" s="340"/>
      <c r="AI101" s="340"/>
      <c r="AJ101" s="327" t="s">
        <v>13058</v>
      </c>
    </row>
    <row r="102" s="251" customFormat="1" ht="50" customHeight="1" spans="1:36">
      <c r="A102" s="331" t="s">
        <v>737</v>
      </c>
      <c r="B102" s="324" t="s">
        <v>738</v>
      </c>
      <c r="C102" s="318" t="str">
        <f t="shared" si="32"/>
        <v>45001649209298TQ1-S001狗蛋四代PDQ240</v>
      </c>
      <c r="D102" s="332">
        <v>4500164920</v>
      </c>
      <c r="E102" s="324" t="s">
        <v>2577</v>
      </c>
      <c r="F102" s="324" t="s">
        <v>2578</v>
      </c>
      <c r="G102" s="333">
        <v>240</v>
      </c>
      <c r="H102" s="333">
        <v>0</v>
      </c>
      <c r="I102" s="333">
        <v>12</v>
      </c>
      <c r="J102" s="333">
        <f t="shared" si="29"/>
        <v>20</v>
      </c>
      <c r="K102" s="321">
        <v>45828</v>
      </c>
      <c r="L102" s="375">
        <v>45845</v>
      </c>
      <c r="M102" s="371" t="s">
        <v>13057</v>
      </c>
      <c r="N102" s="324" t="s">
        <v>459</v>
      </c>
      <c r="O102" s="328"/>
      <c r="P102" s="329"/>
      <c r="Q102" s="329"/>
      <c r="R102" s="330"/>
      <c r="S102" s="333"/>
      <c r="T102" s="333"/>
      <c r="U102" s="330"/>
      <c r="V102" s="324"/>
      <c r="W102" s="324">
        <f t="shared" si="38"/>
        <v>240</v>
      </c>
      <c r="X102" s="333"/>
      <c r="Y102" s="344">
        <f t="shared" si="42"/>
        <v>240</v>
      </c>
      <c r="Z102" s="333"/>
      <c r="AA102" s="340"/>
      <c r="AB102" s="326"/>
      <c r="AC102" s="343">
        <f t="shared" si="40"/>
        <v>240</v>
      </c>
      <c r="AD102" s="326"/>
      <c r="AE102" s="340"/>
      <c r="AF102" s="343">
        <f>G102/6</f>
        <v>40</v>
      </c>
      <c r="AG102" s="340"/>
      <c r="AH102" s="340"/>
      <c r="AI102" s="340"/>
      <c r="AJ102" s="327" t="s">
        <v>13058</v>
      </c>
    </row>
    <row r="103" s="251" customFormat="1" ht="50" customHeight="1" spans="1:36">
      <c r="A103" s="331" t="s">
        <v>331</v>
      </c>
      <c r="B103" s="324" t="s">
        <v>4102</v>
      </c>
      <c r="C103" s="318" t="str">
        <f t="shared" si="32"/>
        <v>450016866192123-S002-9298狗蛋四代混装（92104+9298）1002</v>
      </c>
      <c r="D103" s="332">
        <v>4500168661</v>
      </c>
      <c r="E103" s="324" t="s">
        <v>4105</v>
      </c>
      <c r="F103" s="324" t="s">
        <v>3353</v>
      </c>
      <c r="G103" s="333">
        <v>1002</v>
      </c>
      <c r="H103" s="333">
        <v>0</v>
      </c>
      <c r="I103" s="333">
        <v>6</v>
      </c>
      <c r="J103" s="333">
        <f t="shared" si="29"/>
        <v>167</v>
      </c>
      <c r="K103" s="334">
        <v>45840</v>
      </c>
      <c r="L103" s="374">
        <v>45845</v>
      </c>
      <c r="M103" s="376" t="s">
        <v>13060</v>
      </c>
      <c r="N103" s="324" t="s">
        <v>2382</v>
      </c>
      <c r="O103" s="328"/>
      <c r="P103" s="329"/>
      <c r="Q103" s="329"/>
      <c r="R103" s="330"/>
      <c r="S103" s="333"/>
      <c r="T103" s="333">
        <f t="shared" ref="T103:T108" si="43">G103</f>
        <v>1002</v>
      </c>
      <c r="U103" s="330"/>
      <c r="V103" s="324"/>
      <c r="W103" s="324"/>
      <c r="X103" s="333"/>
      <c r="Y103" s="344">
        <f t="shared" si="42"/>
        <v>1002</v>
      </c>
      <c r="Z103" s="333"/>
      <c r="AA103" s="340"/>
      <c r="AB103" s="326"/>
      <c r="AC103" s="343">
        <f t="shared" si="40"/>
        <v>1002</v>
      </c>
      <c r="AD103" s="326"/>
      <c r="AE103" s="340"/>
      <c r="AF103" s="340"/>
      <c r="AG103" s="340"/>
      <c r="AH103" s="340"/>
      <c r="AI103" s="340"/>
      <c r="AJ103" s="327" t="s">
        <v>13058</v>
      </c>
    </row>
    <row r="104" s="251" customFormat="1" ht="50" customHeight="1" spans="1:36">
      <c r="A104" s="331" t="s">
        <v>1315</v>
      </c>
      <c r="B104" s="324" t="s">
        <v>1316</v>
      </c>
      <c r="C104" s="318" t="str">
        <f t="shared" ref="C104:C135" si="44">D104&amp;E104&amp;F104&amp;G104</f>
        <v>4500162577MTQ41-S001-92135狗蛋四代混装（9279+9298）2700</v>
      </c>
      <c r="D104" s="332">
        <v>4500162577</v>
      </c>
      <c r="E104" s="324" t="s">
        <v>3821</v>
      </c>
      <c r="F104" s="324" t="s">
        <v>1320</v>
      </c>
      <c r="G104" s="333">
        <v>2700</v>
      </c>
      <c r="H104" s="333">
        <v>0</v>
      </c>
      <c r="I104" s="333">
        <v>4</v>
      </c>
      <c r="J104" s="333">
        <f t="shared" si="29"/>
        <v>675</v>
      </c>
      <c r="K104" s="334">
        <v>45845</v>
      </c>
      <c r="L104" s="334">
        <f>K104-4</f>
        <v>45841</v>
      </c>
      <c r="M104" s="360"/>
      <c r="N104" s="324" t="s">
        <v>1326</v>
      </c>
      <c r="O104" s="328"/>
      <c r="P104" s="329"/>
      <c r="Q104" s="329"/>
      <c r="R104" s="330"/>
      <c r="S104" s="333"/>
      <c r="T104" s="333"/>
      <c r="U104" s="330"/>
      <c r="V104" s="324"/>
      <c r="W104" s="324"/>
      <c r="X104" s="333">
        <f>G104</f>
        <v>2700</v>
      </c>
      <c r="Y104" s="333"/>
      <c r="Z104" s="333"/>
      <c r="AA104" s="340">
        <f>G104</f>
        <v>2700</v>
      </c>
      <c r="AB104" s="326"/>
      <c r="AC104" s="343">
        <f t="shared" si="40"/>
        <v>2700</v>
      </c>
      <c r="AD104" s="326"/>
      <c r="AE104" s="340"/>
      <c r="AF104" s="340"/>
      <c r="AG104" s="340"/>
      <c r="AH104" s="340"/>
      <c r="AI104" s="340"/>
      <c r="AJ104" s="264" t="s">
        <v>13033</v>
      </c>
    </row>
    <row r="105" s="251" customFormat="1" ht="50" customHeight="1" spans="1:36">
      <c r="A105" s="331" t="s">
        <v>1315</v>
      </c>
      <c r="B105" s="324" t="s">
        <v>1316</v>
      </c>
      <c r="C105" s="318" t="str">
        <f t="shared" si="44"/>
        <v>4500162577MTQ41-S001-92135狗蛋四代混装（9279+9298）3824</v>
      </c>
      <c r="D105" s="332">
        <v>4500162577</v>
      </c>
      <c r="E105" s="324" t="s">
        <v>3821</v>
      </c>
      <c r="F105" s="324" t="s">
        <v>1320</v>
      </c>
      <c r="G105" s="333">
        <v>3824</v>
      </c>
      <c r="H105" s="333">
        <v>0</v>
      </c>
      <c r="I105" s="333">
        <v>4</v>
      </c>
      <c r="J105" s="333">
        <f t="shared" si="29"/>
        <v>956</v>
      </c>
      <c r="K105" s="334">
        <v>45845</v>
      </c>
      <c r="L105" s="334">
        <f>K105-4</f>
        <v>45841</v>
      </c>
      <c r="M105" s="360"/>
      <c r="N105" s="324" t="s">
        <v>1326</v>
      </c>
      <c r="O105" s="328"/>
      <c r="P105" s="329"/>
      <c r="Q105" s="329"/>
      <c r="R105" s="330"/>
      <c r="S105" s="333"/>
      <c r="T105" s="333"/>
      <c r="U105" s="330"/>
      <c r="V105" s="324"/>
      <c r="W105" s="324"/>
      <c r="X105" s="333">
        <f>G105</f>
        <v>3824</v>
      </c>
      <c r="Y105" s="333"/>
      <c r="Z105" s="333"/>
      <c r="AA105" s="340">
        <f>G105</f>
        <v>3824</v>
      </c>
      <c r="AB105" s="326"/>
      <c r="AC105" s="343">
        <f t="shared" si="40"/>
        <v>3824</v>
      </c>
      <c r="AD105" s="326"/>
      <c r="AE105" s="340"/>
      <c r="AF105" s="340"/>
      <c r="AG105" s="340"/>
      <c r="AH105" s="340"/>
      <c r="AI105" s="340"/>
      <c r="AJ105" s="264" t="s">
        <v>13033</v>
      </c>
    </row>
    <row r="106" s="251" customFormat="1" ht="50" customHeight="1" spans="1:36">
      <c r="A106" s="331" t="s">
        <v>839</v>
      </c>
      <c r="B106" s="324" t="s">
        <v>840</v>
      </c>
      <c r="C106" s="318" t="str">
        <f t="shared" si="44"/>
        <v>45001662909298TQ1-S001狗蛋四代PDQ36</v>
      </c>
      <c r="D106" s="332">
        <v>4500166290</v>
      </c>
      <c r="E106" s="324" t="s">
        <v>2577</v>
      </c>
      <c r="F106" s="324" t="s">
        <v>2578</v>
      </c>
      <c r="G106" s="333">
        <v>36</v>
      </c>
      <c r="H106" s="333">
        <v>0</v>
      </c>
      <c r="I106" s="333">
        <v>12</v>
      </c>
      <c r="J106" s="333">
        <f t="shared" si="29"/>
        <v>3</v>
      </c>
      <c r="K106" s="334">
        <v>45845</v>
      </c>
      <c r="L106" s="334">
        <v>45841</v>
      </c>
      <c r="M106" s="360"/>
      <c r="N106" s="324" t="s">
        <v>513</v>
      </c>
      <c r="O106" s="328"/>
      <c r="P106" s="329"/>
      <c r="Q106" s="329"/>
      <c r="R106" s="330"/>
      <c r="S106" s="333"/>
      <c r="T106" s="333">
        <f t="shared" si="43"/>
        <v>36</v>
      </c>
      <c r="U106" s="330"/>
      <c r="V106" s="324"/>
      <c r="W106" s="324"/>
      <c r="X106" s="333"/>
      <c r="Y106" s="344">
        <f t="shared" ref="Y106:Y115" si="45">G106</f>
        <v>36</v>
      </c>
      <c r="Z106" s="333"/>
      <c r="AA106" s="340"/>
      <c r="AB106" s="326"/>
      <c r="AC106" s="343">
        <f t="shared" si="40"/>
        <v>36</v>
      </c>
      <c r="AD106" s="326"/>
      <c r="AE106" s="340"/>
      <c r="AF106" s="340"/>
      <c r="AG106" s="340">
        <f>G106/6</f>
        <v>6</v>
      </c>
      <c r="AH106" s="340"/>
      <c r="AI106" s="340"/>
      <c r="AJ106" s="327" t="s">
        <v>13058</v>
      </c>
    </row>
    <row r="107" s="251" customFormat="1" ht="50" customHeight="1" spans="1:36">
      <c r="A107" s="331" t="s">
        <v>505</v>
      </c>
      <c r="B107" s="324" t="s">
        <v>506</v>
      </c>
      <c r="C107" s="318" t="str">
        <f t="shared" si="44"/>
        <v>45001662899298TQ1-S001狗蛋四代PDQ1824</v>
      </c>
      <c r="D107" s="332">
        <v>4500166289</v>
      </c>
      <c r="E107" s="324" t="s">
        <v>2577</v>
      </c>
      <c r="F107" s="324" t="s">
        <v>2578</v>
      </c>
      <c r="G107" s="333">
        <v>1824</v>
      </c>
      <c r="H107" s="333">
        <v>0</v>
      </c>
      <c r="I107" s="333">
        <v>12</v>
      </c>
      <c r="J107" s="333">
        <f t="shared" si="29"/>
        <v>152</v>
      </c>
      <c r="K107" s="334">
        <v>45845</v>
      </c>
      <c r="L107" s="334">
        <v>45841</v>
      </c>
      <c r="M107" s="360"/>
      <c r="N107" s="324" t="s">
        <v>513</v>
      </c>
      <c r="O107" s="328"/>
      <c r="P107" s="329"/>
      <c r="Q107" s="329"/>
      <c r="R107" s="330"/>
      <c r="S107" s="333"/>
      <c r="T107" s="333">
        <f t="shared" si="43"/>
        <v>1824</v>
      </c>
      <c r="U107" s="330"/>
      <c r="V107" s="324"/>
      <c r="W107" s="324"/>
      <c r="X107" s="333"/>
      <c r="Y107" s="344">
        <f t="shared" si="45"/>
        <v>1824</v>
      </c>
      <c r="Z107" s="333"/>
      <c r="AA107" s="340"/>
      <c r="AB107" s="326"/>
      <c r="AC107" s="343">
        <f t="shared" si="40"/>
        <v>1824</v>
      </c>
      <c r="AD107" s="326"/>
      <c r="AE107" s="340"/>
      <c r="AF107" s="340"/>
      <c r="AG107" s="340">
        <f>G107/6</f>
        <v>304</v>
      </c>
      <c r="AH107" s="340"/>
      <c r="AI107" s="340"/>
      <c r="AJ107" s="327" t="s">
        <v>13058</v>
      </c>
    </row>
    <row r="108" s="251" customFormat="1" ht="50" customHeight="1" spans="1:36">
      <c r="A108" s="364" t="s">
        <v>872</v>
      </c>
      <c r="B108" s="377" t="s">
        <v>873</v>
      </c>
      <c r="C108" s="318" t="str">
        <f t="shared" si="44"/>
        <v>45001687279298F-S001狗蛋四代展示架（无闪粉）840</v>
      </c>
      <c r="D108" s="332">
        <v>4500168727</v>
      </c>
      <c r="E108" s="324" t="s">
        <v>2861</v>
      </c>
      <c r="F108" s="324" t="s">
        <v>2862</v>
      </c>
      <c r="G108" s="378">
        <v>840</v>
      </c>
      <c r="H108" s="333">
        <v>0</v>
      </c>
      <c r="I108" s="333">
        <v>40</v>
      </c>
      <c r="J108" s="333">
        <f t="shared" si="29"/>
        <v>21</v>
      </c>
      <c r="K108" s="334">
        <v>45848</v>
      </c>
      <c r="L108" s="334">
        <v>45845</v>
      </c>
      <c r="M108" s="360"/>
      <c r="N108" s="377" t="s">
        <v>1131</v>
      </c>
      <c r="O108" s="328"/>
      <c r="P108" s="329"/>
      <c r="Q108" s="329"/>
      <c r="R108" s="330"/>
      <c r="S108" s="333"/>
      <c r="T108" s="333">
        <f t="shared" si="43"/>
        <v>840</v>
      </c>
      <c r="U108" s="330"/>
      <c r="V108" s="324"/>
      <c r="W108" s="324"/>
      <c r="X108" s="333"/>
      <c r="Y108" s="344">
        <f t="shared" si="45"/>
        <v>840</v>
      </c>
      <c r="Z108" s="333"/>
      <c r="AA108" s="340"/>
      <c r="AB108" s="326"/>
      <c r="AC108" s="343">
        <f t="shared" si="40"/>
        <v>840</v>
      </c>
      <c r="AD108" s="326"/>
      <c r="AE108" s="340"/>
      <c r="AF108" s="340"/>
      <c r="AG108" s="340"/>
      <c r="AH108" s="340"/>
      <c r="AI108" s="340"/>
      <c r="AJ108" s="327" t="s">
        <v>13058</v>
      </c>
    </row>
    <row r="109" s="251" customFormat="1" ht="50" customHeight="1" spans="1:36">
      <c r="A109" s="364" t="s">
        <v>872</v>
      </c>
      <c r="B109" s="377" t="s">
        <v>873</v>
      </c>
      <c r="C109" s="318" t="str">
        <f t="shared" si="44"/>
        <v>45001687309298-S001狗蛋四代2136</v>
      </c>
      <c r="D109" s="332">
        <v>4500168730</v>
      </c>
      <c r="E109" s="324" t="s">
        <v>2627</v>
      </c>
      <c r="F109" s="324" t="s">
        <v>2591</v>
      </c>
      <c r="G109" s="333">
        <v>2136</v>
      </c>
      <c r="H109" s="333">
        <v>0</v>
      </c>
      <c r="I109" s="333">
        <v>24</v>
      </c>
      <c r="J109" s="333">
        <f t="shared" si="29"/>
        <v>89</v>
      </c>
      <c r="K109" s="334">
        <v>45848</v>
      </c>
      <c r="L109" s="334">
        <v>45845</v>
      </c>
      <c r="M109" s="360"/>
      <c r="N109" s="377" t="s">
        <v>1131</v>
      </c>
      <c r="O109" s="328"/>
      <c r="P109" s="329"/>
      <c r="Q109" s="329"/>
      <c r="R109" s="330"/>
      <c r="S109" s="344">
        <f>G109</f>
        <v>2136</v>
      </c>
      <c r="T109" s="333"/>
      <c r="U109" s="330"/>
      <c r="V109" s="324"/>
      <c r="W109" s="324"/>
      <c r="X109" s="333"/>
      <c r="Y109" s="344">
        <f t="shared" si="45"/>
        <v>2136</v>
      </c>
      <c r="Z109" s="333"/>
      <c r="AA109" s="340"/>
      <c r="AB109" s="326"/>
      <c r="AC109" s="343">
        <f t="shared" si="40"/>
        <v>2136</v>
      </c>
      <c r="AD109" s="326"/>
      <c r="AE109" s="340"/>
      <c r="AF109" s="340"/>
      <c r="AG109" s="340"/>
      <c r="AH109" s="340"/>
      <c r="AI109" s="340"/>
      <c r="AJ109" s="264" t="s">
        <v>13034</v>
      </c>
    </row>
    <row r="110" s="255" customFormat="1" ht="50" customHeight="1" spans="1:36">
      <c r="A110" s="379" t="s">
        <v>4111</v>
      </c>
      <c r="B110" s="357" t="s">
        <v>91</v>
      </c>
      <c r="C110" s="318" t="str">
        <f t="shared" si="44"/>
        <v>45001694659298H-S001-MTS-邮包盒狗蛋四代84</v>
      </c>
      <c r="D110" s="362">
        <v>4500169465</v>
      </c>
      <c r="E110" s="357" t="s">
        <v>13061</v>
      </c>
      <c r="F110" s="357" t="s">
        <v>2591</v>
      </c>
      <c r="G110" s="380">
        <v>84</v>
      </c>
      <c r="H110" s="380">
        <v>0</v>
      </c>
      <c r="I110" s="380">
        <v>12</v>
      </c>
      <c r="J110" s="380">
        <f t="shared" si="29"/>
        <v>7</v>
      </c>
      <c r="K110" s="370">
        <v>45849</v>
      </c>
      <c r="L110" s="370">
        <f t="shared" ref="L110:L117" si="46">K110-4</f>
        <v>45845</v>
      </c>
      <c r="M110" s="357" t="s">
        <v>4115</v>
      </c>
      <c r="N110" s="357" t="s">
        <v>1024</v>
      </c>
      <c r="O110" s="328"/>
      <c r="P110" s="329"/>
      <c r="Q110" s="329"/>
      <c r="R110" s="330"/>
      <c r="S110" s="380"/>
      <c r="T110" s="380">
        <f t="shared" ref="T110:T115" si="47">G110</f>
        <v>84</v>
      </c>
      <c r="U110" s="330"/>
      <c r="V110" s="357"/>
      <c r="W110" s="357"/>
      <c r="X110" s="380"/>
      <c r="Y110" s="344">
        <f t="shared" si="45"/>
        <v>84</v>
      </c>
      <c r="Z110" s="380"/>
      <c r="AA110" s="359"/>
      <c r="AB110" s="326"/>
      <c r="AC110" s="343">
        <f t="shared" si="40"/>
        <v>84</v>
      </c>
      <c r="AD110" s="326"/>
      <c r="AE110" s="359"/>
      <c r="AF110" s="359"/>
      <c r="AG110" s="359"/>
      <c r="AH110" s="359"/>
      <c r="AI110" s="359"/>
      <c r="AJ110" s="327" t="s">
        <v>13058</v>
      </c>
    </row>
    <row r="111" s="255" customFormat="1" ht="50" customHeight="1" spans="1:36">
      <c r="A111" s="379" t="s">
        <v>3495</v>
      </c>
      <c r="B111" s="357" t="s">
        <v>91</v>
      </c>
      <c r="C111" s="318" t="str">
        <f t="shared" si="44"/>
        <v>45001693739298SLB-S002狗蛋四代卡板装(无闪粉）1536</v>
      </c>
      <c r="D111" s="362">
        <v>4500169373</v>
      </c>
      <c r="E111" s="357" t="s">
        <v>3068</v>
      </c>
      <c r="F111" s="357" t="s">
        <v>3069</v>
      </c>
      <c r="G111" s="380">
        <v>1536</v>
      </c>
      <c r="H111" s="380">
        <v>2</v>
      </c>
      <c r="I111" s="380">
        <v>384</v>
      </c>
      <c r="J111" s="380">
        <f t="shared" si="29"/>
        <v>4</v>
      </c>
      <c r="K111" s="370">
        <v>45849</v>
      </c>
      <c r="L111" s="370">
        <f t="shared" si="46"/>
        <v>45845</v>
      </c>
      <c r="M111" s="357"/>
      <c r="N111" s="357" t="s">
        <v>3076</v>
      </c>
      <c r="O111" s="328"/>
      <c r="P111" s="329"/>
      <c r="Q111" s="329"/>
      <c r="R111" s="330"/>
      <c r="S111" s="380"/>
      <c r="T111" s="380">
        <f t="shared" si="47"/>
        <v>1536</v>
      </c>
      <c r="U111" s="330"/>
      <c r="V111" s="357"/>
      <c r="W111" s="357"/>
      <c r="X111" s="380"/>
      <c r="Y111" s="344">
        <f t="shared" si="45"/>
        <v>1536</v>
      </c>
      <c r="Z111" s="380"/>
      <c r="AA111" s="359"/>
      <c r="AB111" s="326"/>
      <c r="AC111" s="343">
        <f t="shared" si="40"/>
        <v>1536</v>
      </c>
      <c r="AD111" s="326"/>
      <c r="AE111" s="359"/>
      <c r="AF111" s="359"/>
      <c r="AG111" s="359"/>
      <c r="AH111" s="359"/>
      <c r="AI111" s="359"/>
      <c r="AJ111" s="327" t="s">
        <v>13058</v>
      </c>
    </row>
    <row r="112" s="255" customFormat="1" ht="50" customHeight="1" spans="1:36">
      <c r="A112" s="379" t="s">
        <v>3495</v>
      </c>
      <c r="B112" s="357" t="s">
        <v>91</v>
      </c>
      <c r="C112" s="318" t="str">
        <f t="shared" si="44"/>
        <v>45001693739298SLB-S002狗蛋四代卡板装(无闪粉）768</v>
      </c>
      <c r="D112" s="362">
        <v>4500169373</v>
      </c>
      <c r="E112" s="357" t="s">
        <v>3068</v>
      </c>
      <c r="F112" s="357" t="s">
        <v>3069</v>
      </c>
      <c r="G112" s="380">
        <v>768</v>
      </c>
      <c r="H112" s="380">
        <v>2</v>
      </c>
      <c r="I112" s="380">
        <v>384</v>
      </c>
      <c r="J112" s="380">
        <f t="shared" si="29"/>
        <v>2</v>
      </c>
      <c r="K112" s="370">
        <v>45849</v>
      </c>
      <c r="L112" s="370">
        <f t="shared" si="46"/>
        <v>45845</v>
      </c>
      <c r="M112" s="357"/>
      <c r="N112" s="357" t="s">
        <v>3076</v>
      </c>
      <c r="O112" s="328"/>
      <c r="P112" s="329"/>
      <c r="Q112" s="329"/>
      <c r="R112" s="330"/>
      <c r="S112" s="380"/>
      <c r="T112" s="380">
        <f t="shared" si="47"/>
        <v>768</v>
      </c>
      <c r="U112" s="330"/>
      <c r="V112" s="357"/>
      <c r="W112" s="357"/>
      <c r="X112" s="380"/>
      <c r="Y112" s="344">
        <f t="shared" si="45"/>
        <v>768</v>
      </c>
      <c r="Z112" s="380"/>
      <c r="AA112" s="359"/>
      <c r="AB112" s="326"/>
      <c r="AC112" s="343">
        <f t="shared" si="40"/>
        <v>768</v>
      </c>
      <c r="AD112" s="326"/>
      <c r="AE112" s="359"/>
      <c r="AF112" s="359"/>
      <c r="AG112" s="359"/>
      <c r="AH112" s="359"/>
      <c r="AI112" s="359"/>
      <c r="AJ112" s="327" t="s">
        <v>13058</v>
      </c>
    </row>
    <row r="113" s="255" customFormat="1" ht="50" customHeight="1" spans="1:36">
      <c r="A113" s="379" t="s">
        <v>3495</v>
      </c>
      <c r="B113" s="357" t="s">
        <v>91</v>
      </c>
      <c r="C113" s="318" t="str">
        <f t="shared" si="44"/>
        <v>45001693739298SLB-S002狗蛋四代卡板装(无闪粉）768</v>
      </c>
      <c r="D113" s="362">
        <v>4500169373</v>
      </c>
      <c r="E113" s="357" t="s">
        <v>3068</v>
      </c>
      <c r="F113" s="357" t="s">
        <v>3069</v>
      </c>
      <c r="G113" s="380">
        <v>768</v>
      </c>
      <c r="H113" s="380">
        <v>2</v>
      </c>
      <c r="I113" s="380">
        <v>384</v>
      </c>
      <c r="J113" s="380">
        <f t="shared" si="29"/>
        <v>2</v>
      </c>
      <c r="K113" s="370">
        <v>45849</v>
      </c>
      <c r="L113" s="370">
        <f t="shared" si="46"/>
        <v>45845</v>
      </c>
      <c r="M113" s="357"/>
      <c r="N113" s="357" t="s">
        <v>3076</v>
      </c>
      <c r="O113" s="328"/>
      <c r="P113" s="329"/>
      <c r="Q113" s="329"/>
      <c r="R113" s="330"/>
      <c r="S113" s="380"/>
      <c r="T113" s="380">
        <f t="shared" si="47"/>
        <v>768</v>
      </c>
      <c r="U113" s="330"/>
      <c r="V113" s="357"/>
      <c r="W113" s="357"/>
      <c r="X113" s="380"/>
      <c r="Y113" s="344">
        <f t="shared" si="45"/>
        <v>768</v>
      </c>
      <c r="Z113" s="380"/>
      <c r="AA113" s="359"/>
      <c r="AB113" s="326"/>
      <c r="AC113" s="343">
        <f t="shared" si="40"/>
        <v>768</v>
      </c>
      <c r="AD113" s="326"/>
      <c r="AE113" s="359"/>
      <c r="AF113" s="359"/>
      <c r="AG113" s="359"/>
      <c r="AH113" s="359"/>
      <c r="AI113" s="359"/>
      <c r="AJ113" s="327" t="s">
        <v>13058</v>
      </c>
    </row>
    <row r="114" s="255" customFormat="1" ht="50" customHeight="1" spans="1:36">
      <c r="A114" s="379" t="s">
        <v>3495</v>
      </c>
      <c r="B114" s="357" t="s">
        <v>91</v>
      </c>
      <c r="C114" s="318" t="str">
        <f t="shared" si="44"/>
        <v>45001693739298SLB-S002狗蛋四代卡板装(无闪粉）1152</v>
      </c>
      <c r="D114" s="362">
        <v>4500169373</v>
      </c>
      <c r="E114" s="357" t="s">
        <v>3068</v>
      </c>
      <c r="F114" s="357" t="s">
        <v>3069</v>
      </c>
      <c r="G114" s="380">
        <v>1152</v>
      </c>
      <c r="H114" s="380">
        <v>2</v>
      </c>
      <c r="I114" s="380">
        <v>384</v>
      </c>
      <c r="J114" s="380">
        <f t="shared" si="29"/>
        <v>3</v>
      </c>
      <c r="K114" s="370">
        <v>45849</v>
      </c>
      <c r="L114" s="370">
        <f t="shared" si="46"/>
        <v>45845</v>
      </c>
      <c r="M114" s="357"/>
      <c r="N114" s="357" t="s">
        <v>3076</v>
      </c>
      <c r="O114" s="328"/>
      <c r="P114" s="329"/>
      <c r="Q114" s="329"/>
      <c r="R114" s="330"/>
      <c r="S114" s="380"/>
      <c r="T114" s="380">
        <f t="shared" si="47"/>
        <v>1152</v>
      </c>
      <c r="U114" s="330"/>
      <c r="V114" s="357"/>
      <c r="W114" s="357"/>
      <c r="X114" s="380"/>
      <c r="Y114" s="344">
        <f t="shared" si="45"/>
        <v>1152</v>
      </c>
      <c r="Z114" s="380"/>
      <c r="AA114" s="359"/>
      <c r="AB114" s="326"/>
      <c r="AC114" s="343">
        <f t="shared" si="40"/>
        <v>1152</v>
      </c>
      <c r="AD114" s="326"/>
      <c r="AE114" s="359"/>
      <c r="AF114" s="359"/>
      <c r="AG114" s="359"/>
      <c r="AH114" s="359"/>
      <c r="AI114" s="359"/>
      <c r="AJ114" s="327" t="s">
        <v>13058</v>
      </c>
    </row>
    <row r="115" s="255" customFormat="1" ht="50" customHeight="1" spans="1:36">
      <c r="A115" s="379" t="s">
        <v>3495</v>
      </c>
      <c r="B115" s="357" t="s">
        <v>91</v>
      </c>
      <c r="C115" s="318" t="str">
        <f t="shared" si="44"/>
        <v>45001693739298SLB-S002狗蛋四代卡板装(无闪粉）1536</v>
      </c>
      <c r="D115" s="362">
        <v>4500169373</v>
      </c>
      <c r="E115" s="357" t="s">
        <v>3068</v>
      </c>
      <c r="F115" s="357" t="s">
        <v>3069</v>
      </c>
      <c r="G115" s="380">
        <v>1536</v>
      </c>
      <c r="H115" s="380">
        <v>2</v>
      </c>
      <c r="I115" s="380">
        <v>384</v>
      </c>
      <c r="J115" s="380">
        <f t="shared" si="29"/>
        <v>4</v>
      </c>
      <c r="K115" s="370">
        <v>45849</v>
      </c>
      <c r="L115" s="370">
        <f t="shared" si="46"/>
        <v>45845</v>
      </c>
      <c r="M115" s="357"/>
      <c r="N115" s="357" t="s">
        <v>3076</v>
      </c>
      <c r="O115" s="328"/>
      <c r="P115" s="329"/>
      <c r="Q115" s="329"/>
      <c r="R115" s="330"/>
      <c r="S115" s="380"/>
      <c r="T115" s="380">
        <f t="shared" si="47"/>
        <v>1536</v>
      </c>
      <c r="U115" s="330"/>
      <c r="V115" s="357"/>
      <c r="W115" s="357"/>
      <c r="X115" s="380"/>
      <c r="Y115" s="344">
        <f t="shared" si="45"/>
        <v>1536</v>
      </c>
      <c r="Z115" s="380"/>
      <c r="AA115" s="359"/>
      <c r="AB115" s="326"/>
      <c r="AC115" s="343">
        <f t="shared" si="40"/>
        <v>1536</v>
      </c>
      <c r="AD115" s="326"/>
      <c r="AE115" s="359"/>
      <c r="AF115" s="359"/>
      <c r="AG115" s="359"/>
      <c r="AH115" s="359"/>
      <c r="AI115" s="359"/>
      <c r="AJ115" s="327" t="s">
        <v>13058</v>
      </c>
    </row>
    <row r="116" s="251" customFormat="1" ht="50" customHeight="1" spans="1:36">
      <c r="A116" s="331" t="s">
        <v>1315</v>
      </c>
      <c r="B116" s="324" t="s">
        <v>1316</v>
      </c>
      <c r="C116" s="318" t="str">
        <f t="shared" si="44"/>
        <v>4500166280MTQ41-S001-92135狗蛋四代混装（9279+9298）2852</v>
      </c>
      <c r="D116" s="332">
        <v>4500166280</v>
      </c>
      <c r="E116" s="324" t="s">
        <v>3821</v>
      </c>
      <c r="F116" s="324" t="s">
        <v>1320</v>
      </c>
      <c r="G116" s="333">
        <v>2852</v>
      </c>
      <c r="H116" s="333">
        <v>0</v>
      </c>
      <c r="I116" s="333">
        <v>4</v>
      </c>
      <c r="J116" s="333">
        <f t="shared" si="29"/>
        <v>713</v>
      </c>
      <c r="K116" s="334">
        <v>45850</v>
      </c>
      <c r="L116" s="334">
        <f t="shared" si="46"/>
        <v>45846</v>
      </c>
      <c r="M116" s="324" t="s">
        <v>1472</v>
      </c>
      <c r="N116" s="324" t="s">
        <v>1326</v>
      </c>
      <c r="O116" s="328"/>
      <c r="P116" s="329"/>
      <c r="Q116" s="329"/>
      <c r="R116" s="330"/>
      <c r="S116" s="333"/>
      <c r="T116" s="333"/>
      <c r="U116" s="330"/>
      <c r="V116" s="324"/>
      <c r="W116" s="324"/>
      <c r="X116" s="333">
        <f>G116</f>
        <v>2852</v>
      </c>
      <c r="Y116" s="333"/>
      <c r="Z116" s="333"/>
      <c r="AA116" s="340">
        <f>G116</f>
        <v>2852</v>
      </c>
      <c r="AB116" s="326"/>
      <c r="AC116" s="343">
        <f t="shared" si="40"/>
        <v>2852</v>
      </c>
      <c r="AD116" s="326"/>
      <c r="AE116" s="340"/>
      <c r="AF116" s="340"/>
      <c r="AG116" s="340"/>
      <c r="AH116" s="340"/>
      <c r="AI116" s="340"/>
      <c r="AJ116" s="264" t="s">
        <v>13033</v>
      </c>
    </row>
    <row r="117" s="251" customFormat="1" ht="50" customHeight="1" spans="1:36">
      <c r="A117" s="331" t="s">
        <v>1315</v>
      </c>
      <c r="B117" s="324" t="s">
        <v>1316</v>
      </c>
      <c r="C117" s="318" t="str">
        <f t="shared" si="44"/>
        <v>4500162577MTQ41-S001-92135狗蛋四代混装（9279+9298）900</v>
      </c>
      <c r="D117" s="332">
        <v>4500162577</v>
      </c>
      <c r="E117" s="324" t="s">
        <v>3821</v>
      </c>
      <c r="F117" s="324" t="s">
        <v>1320</v>
      </c>
      <c r="G117" s="333">
        <v>900</v>
      </c>
      <c r="H117" s="333">
        <v>0</v>
      </c>
      <c r="I117" s="333">
        <v>4</v>
      </c>
      <c r="J117" s="333">
        <f t="shared" si="29"/>
        <v>225</v>
      </c>
      <c r="K117" s="334">
        <v>45850</v>
      </c>
      <c r="L117" s="334">
        <f t="shared" si="46"/>
        <v>45846</v>
      </c>
      <c r="M117" s="360"/>
      <c r="N117" s="324" t="s">
        <v>1326</v>
      </c>
      <c r="O117" s="328"/>
      <c r="P117" s="329"/>
      <c r="Q117" s="329"/>
      <c r="R117" s="330"/>
      <c r="S117" s="333"/>
      <c r="T117" s="333"/>
      <c r="U117" s="330"/>
      <c r="V117" s="324"/>
      <c r="W117" s="324"/>
      <c r="X117" s="333">
        <f>G117</f>
        <v>900</v>
      </c>
      <c r="Y117" s="333"/>
      <c r="Z117" s="333"/>
      <c r="AA117" s="340">
        <f>G117</f>
        <v>900</v>
      </c>
      <c r="AB117" s="326"/>
      <c r="AC117" s="343">
        <f t="shared" si="40"/>
        <v>900</v>
      </c>
      <c r="AD117" s="326"/>
      <c r="AE117" s="340"/>
      <c r="AF117" s="340"/>
      <c r="AG117" s="340"/>
      <c r="AH117" s="340"/>
      <c r="AI117" s="340"/>
      <c r="AJ117" s="264" t="s">
        <v>13033</v>
      </c>
    </row>
    <row r="118" s="251" customFormat="1" ht="50" customHeight="1" spans="1:36">
      <c r="A118" s="364" t="s">
        <v>2732</v>
      </c>
      <c r="B118" s="377" t="s">
        <v>840</v>
      </c>
      <c r="C118" s="318" t="str">
        <f t="shared" si="44"/>
        <v>45001686209298TQ1-S001狗蛋四代PDQ840</v>
      </c>
      <c r="D118" s="332">
        <v>4500168620</v>
      </c>
      <c r="E118" s="324" t="s">
        <v>2577</v>
      </c>
      <c r="F118" s="324" t="s">
        <v>2578</v>
      </c>
      <c r="G118" s="333">
        <v>840</v>
      </c>
      <c r="H118" s="333">
        <v>0</v>
      </c>
      <c r="I118" s="333">
        <v>12</v>
      </c>
      <c r="J118" s="333">
        <f t="shared" si="29"/>
        <v>70</v>
      </c>
      <c r="K118" s="334">
        <v>45851</v>
      </c>
      <c r="L118" s="334">
        <v>45847</v>
      </c>
      <c r="M118" s="360"/>
      <c r="N118" s="377" t="s">
        <v>4141</v>
      </c>
      <c r="O118" s="328"/>
      <c r="P118" s="329"/>
      <c r="Q118" s="329"/>
      <c r="R118" s="330"/>
      <c r="S118" s="344">
        <f t="shared" ref="S118:S124" si="48">G118</f>
        <v>840</v>
      </c>
      <c r="T118" s="333"/>
      <c r="U118" s="330"/>
      <c r="V118" s="324"/>
      <c r="W118" s="324"/>
      <c r="X118" s="333"/>
      <c r="Y118" s="344">
        <f t="shared" ref="Y118:Y121" si="49">G118</f>
        <v>840</v>
      </c>
      <c r="Z118" s="333"/>
      <c r="AA118" s="340"/>
      <c r="AB118" s="326"/>
      <c r="AC118" s="343">
        <f t="shared" si="40"/>
        <v>840</v>
      </c>
      <c r="AD118" s="326"/>
      <c r="AE118" s="340"/>
      <c r="AF118" s="343">
        <f>G118/6</f>
        <v>140</v>
      </c>
      <c r="AG118" s="340"/>
      <c r="AH118" s="340"/>
      <c r="AI118" s="340"/>
      <c r="AJ118" s="264" t="s">
        <v>13034</v>
      </c>
    </row>
    <row r="119" s="251" customFormat="1" ht="50" customHeight="1" spans="1:36">
      <c r="A119" s="364" t="s">
        <v>2732</v>
      </c>
      <c r="B119" s="377" t="s">
        <v>840</v>
      </c>
      <c r="C119" s="318" t="str">
        <f t="shared" si="44"/>
        <v>45001686599298TQ1-S001狗蛋四代PDQ1560</v>
      </c>
      <c r="D119" s="332">
        <v>4500168659</v>
      </c>
      <c r="E119" s="324" t="s">
        <v>2577</v>
      </c>
      <c r="F119" s="324" t="s">
        <v>2578</v>
      </c>
      <c r="G119" s="333">
        <v>1560</v>
      </c>
      <c r="H119" s="333">
        <v>0</v>
      </c>
      <c r="I119" s="333">
        <v>12</v>
      </c>
      <c r="J119" s="333">
        <f t="shared" si="29"/>
        <v>130</v>
      </c>
      <c r="K119" s="334">
        <v>45851</v>
      </c>
      <c r="L119" s="334">
        <v>45847</v>
      </c>
      <c r="M119" s="360"/>
      <c r="N119" s="377" t="s">
        <v>4141</v>
      </c>
      <c r="O119" s="328"/>
      <c r="P119" s="329"/>
      <c r="Q119" s="329"/>
      <c r="R119" s="330"/>
      <c r="S119" s="344">
        <f t="shared" si="48"/>
        <v>1560</v>
      </c>
      <c r="T119" s="333"/>
      <c r="U119" s="330"/>
      <c r="V119" s="324"/>
      <c r="W119" s="324"/>
      <c r="X119" s="333"/>
      <c r="Y119" s="344">
        <f t="shared" si="49"/>
        <v>1560</v>
      </c>
      <c r="Z119" s="333"/>
      <c r="AA119" s="340"/>
      <c r="AB119" s="326"/>
      <c r="AC119" s="343">
        <f t="shared" si="40"/>
        <v>1560</v>
      </c>
      <c r="AD119" s="326"/>
      <c r="AE119" s="340"/>
      <c r="AF119" s="343">
        <f>G119/6</f>
        <v>260</v>
      </c>
      <c r="AG119" s="340"/>
      <c r="AH119" s="340"/>
      <c r="AI119" s="340"/>
      <c r="AJ119" s="264" t="s">
        <v>13034</v>
      </c>
    </row>
    <row r="120" s="251" customFormat="1" ht="50" customHeight="1" spans="1:36">
      <c r="A120" s="364" t="s">
        <v>2732</v>
      </c>
      <c r="B120" s="377" t="s">
        <v>840</v>
      </c>
      <c r="C120" s="318" t="str">
        <f t="shared" si="44"/>
        <v>450016893092123-S001-9298狗蛋四代混装（92104+9298）2604</v>
      </c>
      <c r="D120" s="332">
        <v>4500168930</v>
      </c>
      <c r="E120" s="324" t="s">
        <v>3352</v>
      </c>
      <c r="F120" s="324" t="s">
        <v>3353</v>
      </c>
      <c r="G120" s="333">
        <v>2604</v>
      </c>
      <c r="H120" s="333">
        <v>0</v>
      </c>
      <c r="I120" s="333">
        <v>12</v>
      </c>
      <c r="J120" s="333">
        <f t="shared" si="29"/>
        <v>217</v>
      </c>
      <c r="K120" s="334">
        <v>45852</v>
      </c>
      <c r="L120" s="334">
        <v>45848</v>
      </c>
      <c r="M120" s="381" t="s">
        <v>4106</v>
      </c>
      <c r="N120" s="377" t="s">
        <v>4141</v>
      </c>
      <c r="O120" s="328"/>
      <c r="P120" s="329"/>
      <c r="Q120" s="329"/>
      <c r="R120" s="330"/>
      <c r="S120" s="333"/>
      <c r="T120" s="333">
        <f>G120</f>
        <v>2604</v>
      </c>
      <c r="U120" s="330"/>
      <c r="V120" s="324"/>
      <c r="W120" s="324"/>
      <c r="X120" s="333"/>
      <c r="Y120" s="344">
        <f t="shared" si="49"/>
        <v>2604</v>
      </c>
      <c r="Z120" s="333"/>
      <c r="AA120" s="340"/>
      <c r="AB120" s="326"/>
      <c r="AC120" s="343">
        <f t="shared" si="40"/>
        <v>2604</v>
      </c>
      <c r="AD120" s="326"/>
      <c r="AE120" s="340"/>
      <c r="AF120" s="340"/>
      <c r="AG120" s="340"/>
      <c r="AH120" s="340"/>
      <c r="AI120" s="340"/>
      <c r="AJ120" s="327" t="s">
        <v>13058</v>
      </c>
    </row>
    <row r="121" s="251" customFormat="1" ht="50" customHeight="1" spans="1:36">
      <c r="A121" s="364" t="s">
        <v>2732</v>
      </c>
      <c r="B121" s="377" t="s">
        <v>840</v>
      </c>
      <c r="C121" s="318" t="str">
        <f t="shared" si="44"/>
        <v>450016893492123-S001-9298狗蛋四代混装（92104+9298）1404</v>
      </c>
      <c r="D121" s="332">
        <v>4500168934</v>
      </c>
      <c r="E121" s="324" t="s">
        <v>3352</v>
      </c>
      <c r="F121" s="324" t="s">
        <v>3353</v>
      </c>
      <c r="G121" s="333">
        <v>1404</v>
      </c>
      <c r="H121" s="333">
        <v>0</v>
      </c>
      <c r="I121" s="333">
        <v>12</v>
      </c>
      <c r="J121" s="333">
        <f t="shared" si="29"/>
        <v>117</v>
      </c>
      <c r="K121" s="334">
        <v>45852</v>
      </c>
      <c r="L121" s="334">
        <v>45848</v>
      </c>
      <c r="M121" s="381" t="s">
        <v>4106</v>
      </c>
      <c r="N121" s="377" t="s">
        <v>4141</v>
      </c>
      <c r="O121" s="328"/>
      <c r="P121" s="329"/>
      <c r="Q121" s="329"/>
      <c r="R121" s="330"/>
      <c r="S121" s="333"/>
      <c r="T121" s="333">
        <f>G121</f>
        <v>1404</v>
      </c>
      <c r="U121" s="330"/>
      <c r="V121" s="324"/>
      <c r="W121" s="324"/>
      <c r="X121" s="333"/>
      <c r="Y121" s="344">
        <f t="shared" si="49"/>
        <v>1404</v>
      </c>
      <c r="Z121" s="333"/>
      <c r="AA121" s="340"/>
      <c r="AB121" s="326"/>
      <c r="AC121" s="343">
        <f t="shared" si="40"/>
        <v>1404</v>
      </c>
      <c r="AD121" s="326"/>
      <c r="AE121" s="340"/>
      <c r="AF121" s="340"/>
      <c r="AG121" s="340"/>
      <c r="AH121" s="340"/>
      <c r="AI121" s="340"/>
      <c r="AJ121" s="327" t="s">
        <v>13058</v>
      </c>
    </row>
    <row r="122" s="251" customFormat="1" ht="50" customHeight="1" spans="1:36">
      <c r="A122" s="364" t="s">
        <v>3744</v>
      </c>
      <c r="B122" s="377" t="s">
        <v>91</v>
      </c>
      <c r="C122" s="318" t="str">
        <f t="shared" si="44"/>
        <v>45001639539298-S006-PKC狗蛋四代胶袋2只装33684</v>
      </c>
      <c r="D122" s="332">
        <v>4500163953</v>
      </c>
      <c r="E122" s="324" t="s">
        <v>2608</v>
      </c>
      <c r="F122" s="324" t="s">
        <v>2609</v>
      </c>
      <c r="G122" s="333">
        <v>33684</v>
      </c>
      <c r="H122" s="333">
        <v>0</v>
      </c>
      <c r="I122" s="333">
        <v>6</v>
      </c>
      <c r="J122" s="333">
        <f t="shared" si="29"/>
        <v>5614</v>
      </c>
      <c r="K122" s="334">
        <v>45852</v>
      </c>
      <c r="L122" s="334">
        <v>45848</v>
      </c>
      <c r="M122" s="360"/>
      <c r="N122" s="377" t="s">
        <v>4158</v>
      </c>
      <c r="O122" s="328"/>
      <c r="P122" s="329"/>
      <c r="Q122" s="329"/>
      <c r="R122" s="330"/>
      <c r="S122" s="333"/>
      <c r="T122" s="333"/>
      <c r="U122" s="330"/>
      <c r="V122" s="324"/>
      <c r="W122" s="324"/>
      <c r="X122" s="333">
        <f>G122</f>
        <v>33684</v>
      </c>
      <c r="Y122" s="333"/>
      <c r="Z122" s="333">
        <f t="shared" ref="Z122:Z126" si="50">G122</f>
        <v>33684</v>
      </c>
      <c r="AA122" s="340"/>
      <c r="AB122" s="326"/>
      <c r="AC122" s="343">
        <f t="shared" si="40"/>
        <v>33684</v>
      </c>
      <c r="AD122" s="326"/>
      <c r="AE122" s="340"/>
      <c r="AF122" s="340"/>
      <c r="AG122" s="340"/>
      <c r="AH122" s="340"/>
      <c r="AI122" s="340"/>
      <c r="AJ122" s="264" t="s">
        <v>13062</v>
      </c>
    </row>
    <row r="123" s="251" customFormat="1" ht="50" customHeight="1" spans="1:36">
      <c r="A123" s="365" t="s">
        <v>4198</v>
      </c>
      <c r="B123" s="365" t="s">
        <v>341</v>
      </c>
      <c r="C123" s="318" t="str">
        <f t="shared" si="44"/>
        <v>45001635169298TQ4-S001狗蛋四代(无闪粉）4000</v>
      </c>
      <c r="D123" s="345">
        <v>4500163516</v>
      </c>
      <c r="E123" s="367" t="s">
        <v>2911</v>
      </c>
      <c r="F123" s="324" t="s">
        <v>2620</v>
      </c>
      <c r="G123" s="333">
        <v>4000</v>
      </c>
      <c r="H123" s="333">
        <v>0</v>
      </c>
      <c r="I123" s="333">
        <v>4</v>
      </c>
      <c r="J123" s="333">
        <f t="shared" si="29"/>
        <v>1000</v>
      </c>
      <c r="K123" s="353">
        <v>45855</v>
      </c>
      <c r="L123" s="353">
        <v>45852</v>
      </c>
      <c r="M123" s="360"/>
      <c r="N123" s="365" t="s">
        <v>1245</v>
      </c>
      <c r="O123" s="328"/>
      <c r="P123" s="329"/>
      <c r="Q123" s="329"/>
      <c r="R123" s="330"/>
      <c r="S123" s="344">
        <f t="shared" si="48"/>
        <v>4000</v>
      </c>
      <c r="T123" s="333"/>
      <c r="U123" s="330"/>
      <c r="V123" s="324"/>
      <c r="W123" s="324"/>
      <c r="X123" s="333"/>
      <c r="Y123" s="344">
        <f t="shared" ref="Y123:Y128" si="51">G123</f>
        <v>4000</v>
      </c>
      <c r="Z123" s="333"/>
      <c r="AA123" s="340"/>
      <c r="AB123" s="326"/>
      <c r="AC123" s="343">
        <f t="shared" si="40"/>
        <v>4000</v>
      </c>
      <c r="AD123" s="326"/>
      <c r="AE123" s="340"/>
      <c r="AF123" s="340"/>
      <c r="AG123" s="340"/>
      <c r="AH123" s="340"/>
      <c r="AI123" s="340"/>
      <c r="AJ123" s="264" t="s">
        <v>13034</v>
      </c>
    </row>
    <row r="124" s="251" customFormat="1" ht="50" customHeight="1" spans="1:36">
      <c r="A124" s="331" t="s">
        <v>2616</v>
      </c>
      <c r="B124" s="324" t="s">
        <v>471</v>
      </c>
      <c r="C124" s="318" t="str">
        <f t="shared" si="44"/>
        <v>45001683469298-S008-NB-PKC狗蛋四代-干燥剂5520</v>
      </c>
      <c r="D124" s="332">
        <v>4500168346</v>
      </c>
      <c r="E124" s="324" t="s">
        <v>13063</v>
      </c>
      <c r="F124" s="324" t="s">
        <v>4069</v>
      </c>
      <c r="G124" s="333">
        <v>5520</v>
      </c>
      <c r="H124" s="333">
        <v>0</v>
      </c>
      <c r="I124" s="333">
        <v>24</v>
      </c>
      <c r="J124" s="333">
        <f t="shared" si="29"/>
        <v>230</v>
      </c>
      <c r="K124" s="334">
        <v>45855</v>
      </c>
      <c r="L124" s="334">
        <v>45852</v>
      </c>
      <c r="M124" s="360"/>
      <c r="N124" s="324" t="s">
        <v>2624</v>
      </c>
      <c r="O124" s="328"/>
      <c r="P124" s="329"/>
      <c r="Q124" s="329"/>
      <c r="R124" s="330"/>
      <c r="S124" s="344">
        <f t="shared" si="48"/>
        <v>5520</v>
      </c>
      <c r="T124" s="333"/>
      <c r="U124" s="330"/>
      <c r="V124" s="324"/>
      <c r="W124" s="324"/>
      <c r="X124" s="333"/>
      <c r="Y124" s="344">
        <f t="shared" si="51"/>
        <v>5520</v>
      </c>
      <c r="Z124" s="333"/>
      <c r="AA124" s="340"/>
      <c r="AB124" s="326"/>
      <c r="AC124" s="340"/>
      <c r="AD124" s="326"/>
      <c r="AE124" s="343">
        <f>G124</f>
        <v>5520</v>
      </c>
      <c r="AF124" s="340"/>
      <c r="AG124" s="340"/>
      <c r="AH124" s="340"/>
      <c r="AI124" s="340"/>
      <c r="AJ124" s="264" t="s">
        <v>13034</v>
      </c>
    </row>
    <row r="125" s="251" customFormat="1" ht="50" customHeight="1" spans="1:36">
      <c r="A125" s="349" t="s">
        <v>737</v>
      </c>
      <c r="B125" s="350" t="s">
        <v>738</v>
      </c>
      <c r="C125" s="318" t="str">
        <f t="shared" si="44"/>
        <v>45001659829298TQ1-S001狗蛋四代PDQ708</v>
      </c>
      <c r="D125" s="351">
        <v>4500165982</v>
      </c>
      <c r="E125" s="352" t="s">
        <v>2577</v>
      </c>
      <c r="F125" s="333" t="s">
        <v>2578</v>
      </c>
      <c r="G125" s="333">
        <v>708</v>
      </c>
      <c r="H125" s="333">
        <v>0</v>
      </c>
      <c r="I125" s="333">
        <v>12</v>
      </c>
      <c r="J125" s="333">
        <f t="shared" si="29"/>
        <v>59</v>
      </c>
      <c r="K125" s="353">
        <v>45828</v>
      </c>
      <c r="L125" s="375">
        <v>45855</v>
      </c>
      <c r="M125" s="371" t="s">
        <v>13057</v>
      </c>
      <c r="N125" s="354" t="s">
        <v>3805</v>
      </c>
      <c r="O125" s="328"/>
      <c r="P125" s="329"/>
      <c r="Q125" s="329"/>
      <c r="R125" s="330"/>
      <c r="S125" s="333"/>
      <c r="T125" s="333"/>
      <c r="U125" s="330"/>
      <c r="V125" s="324"/>
      <c r="W125" s="324">
        <f t="shared" ref="W125:W130" si="52">G125</f>
        <v>708</v>
      </c>
      <c r="X125" s="333"/>
      <c r="Y125" s="333"/>
      <c r="Z125" s="333">
        <f t="shared" si="50"/>
        <v>708</v>
      </c>
      <c r="AA125" s="340"/>
      <c r="AB125" s="326"/>
      <c r="AC125" s="343">
        <f t="shared" ref="AC125:AC131" si="53">G125</f>
        <v>708</v>
      </c>
      <c r="AD125" s="326"/>
      <c r="AE125" s="340"/>
      <c r="AF125" s="343">
        <f t="shared" ref="AF125:AF130" si="54">G125/6</f>
        <v>118</v>
      </c>
      <c r="AG125" s="340"/>
      <c r="AH125" s="340"/>
      <c r="AI125" s="340"/>
      <c r="AJ125" s="327" t="s">
        <v>13050</v>
      </c>
    </row>
    <row r="126" s="251" customFormat="1" ht="50" customHeight="1" spans="1:36">
      <c r="A126" s="365" t="s">
        <v>3744</v>
      </c>
      <c r="B126" s="365" t="s">
        <v>91</v>
      </c>
      <c r="C126" s="318" t="str">
        <f t="shared" si="44"/>
        <v>45001677529298-S006-PKC狗蛋四代胶袋2只装33684</v>
      </c>
      <c r="D126" s="345">
        <v>4500167752</v>
      </c>
      <c r="E126" s="324" t="s">
        <v>2608</v>
      </c>
      <c r="F126" s="324" t="s">
        <v>2609</v>
      </c>
      <c r="G126" s="333">
        <v>33684</v>
      </c>
      <c r="H126" s="333">
        <v>0</v>
      </c>
      <c r="I126" s="333">
        <v>6</v>
      </c>
      <c r="J126" s="333">
        <f t="shared" si="29"/>
        <v>5614</v>
      </c>
      <c r="K126" s="353">
        <v>45855</v>
      </c>
      <c r="L126" s="353">
        <v>45852</v>
      </c>
      <c r="M126" s="360"/>
      <c r="N126" s="377" t="s">
        <v>4158</v>
      </c>
      <c r="O126" s="328"/>
      <c r="P126" s="329"/>
      <c r="Q126" s="329"/>
      <c r="R126" s="330"/>
      <c r="S126" s="333"/>
      <c r="T126" s="333"/>
      <c r="U126" s="330"/>
      <c r="V126" s="324"/>
      <c r="W126" s="324"/>
      <c r="X126" s="333">
        <f>G126</f>
        <v>33684</v>
      </c>
      <c r="Y126" s="333"/>
      <c r="Z126" s="333">
        <f t="shared" si="50"/>
        <v>33684</v>
      </c>
      <c r="AA126" s="340"/>
      <c r="AB126" s="326"/>
      <c r="AC126" s="340">
        <f t="shared" si="53"/>
        <v>33684</v>
      </c>
      <c r="AD126" s="326"/>
      <c r="AE126" s="340"/>
      <c r="AF126" s="340"/>
      <c r="AG126" s="340"/>
      <c r="AH126" s="340"/>
      <c r="AI126" s="340"/>
      <c r="AJ126" s="327" t="s">
        <v>4196</v>
      </c>
    </row>
    <row r="127" s="251" customFormat="1" ht="50" customHeight="1" spans="1:36">
      <c r="A127" s="331" t="s">
        <v>2697</v>
      </c>
      <c r="B127" s="324" t="s">
        <v>2698</v>
      </c>
      <c r="C127" s="318" t="str">
        <f t="shared" si="44"/>
        <v>45001685179298TQ1-S001-NB狗蛋四代5004</v>
      </c>
      <c r="D127" s="332">
        <v>4500168517</v>
      </c>
      <c r="E127" s="324" t="s">
        <v>2700</v>
      </c>
      <c r="F127" s="324" t="s">
        <v>2591</v>
      </c>
      <c r="G127" s="333">
        <v>5004</v>
      </c>
      <c r="H127" s="333">
        <v>0</v>
      </c>
      <c r="I127" s="333">
        <v>12</v>
      </c>
      <c r="J127" s="333">
        <f t="shared" si="29"/>
        <v>417</v>
      </c>
      <c r="K127" s="334">
        <v>45856</v>
      </c>
      <c r="L127" s="334">
        <v>45852</v>
      </c>
      <c r="M127" s="360"/>
      <c r="N127" s="324" t="s">
        <v>559</v>
      </c>
      <c r="O127" s="328"/>
      <c r="P127" s="329"/>
      <c r="Q127" s="329"/>
      <c r="R127" s="330"/>
      <c r="S127" s="333"/>
      <c r="T127" s="333">
        <f>G127</f>
        <v>5004</v>
      </c>
      <c r="U127" s="330"/>
      <c r="V127" s="324"/>
      <c r="W127" s="324"/>
      <c r="X127" s="333"/>
      <c r="Y127" s="344">
        <f t="shared" si="51"/>
        <v>5004</v>
      </c>
      <c r="Z127" s="333"/>
      <c r="AA127" s="340"/>
      <c r="AB127" s="326"/>
      <c r="AC127" s="340"/>
      <c r="AD127" s="326"/>
      <c r="AE127" s="343">
        <f>G127</f>
        <v>5004</v>
      </c>
      <c r="AF127" s="340"/>
      <c r="AG127" s="340"/>
      <c r="AH127" s="340"/>
      <c r="AI127" s="340"/>
      <c r="AJ127" s="327" t="s">
        <v>13058</v>
      </c>
    </row>
    <row r="128" s="251" customFormat="1" ht="50" customHeight="1" spans="1:36">
      <c r="A128" s="331" t="s">
        <v>387</v>
      </c>
      <c r="B128" s="324" t="s">
        <v>91</v>
      </c>
      <c r="C128" s="318" t="str">
        <f t="shared" si="44"/>
        <v>45001550249298-S001狗蛋四代600</v>
      </c>
      <c r="D128" s="332">
        <v>4500155024</v>
      </c>
      <c r="E128" s="324" t="s">
        <v>2627</v>
      </c>
      <c r="F128" s="333" t="s">
        <v>2591</v>
      </c>
      <c r="G128" s="333">
        <v>600</v>
      </c>
      <c r="H128" s="333">
        <v>0</v>
      </c>
      <c r="I128" s="333">
        <v>24</v>
      </c>
      <c r="J128" s="333">
        <f t="shared" si="29"/>
        <v>25</v>
      </c>
      <c r="K128" s="334">
        <v>45856</v>
      </c>
      <c r="L128" s="334">
        <v>45852</v>
      </c>
      <c r="M128" s="360"/>
      <c r="N128" s="324" t="s">
        <v>393</v>
      </c>
      <c r="O128" s="322"/>
      <c r="P128" s="323"/>
      <c r="Q128" s="323"/>
      <c r="R128" s="324"/>
      <c r="S128" s="358">
        <f>G128</f>
        <v>600</v>
      </c>
      <c r="T128" s="324"/>
      <c r="U128" s="324"/>
      <c r="V128" s="324"/>
      <c r="W128" s="324"/>
      <c r="X128" s="333"/>
      <c r="Y128" s="358">
        <f t="shared" si="51"/>
        <v>600</v>
      </c>
      <c r="Z128" s="333"/>
      <c r="AA128" s="340"/>
      <c r="AB128" s="340"/>
      <c r="AC128" s="343">
        <f t="shared" si="53"/>
        <v>600</v>
      </c>
      <c r="AD128" s="340"/>
      <c r="AE128" s="340"/>
      <c r="AF128" s="340"/>
      <c r="AG128" s="340"/>
      <c r="AH128" s="340"/>
      <c r="AI128" s="340"/>
      <c r="AJ128" s="264" t="s">
        <v>13054</v>
      </c>
    </row>
    <row r="129" s="251" customFormat="1" ht="50" customHeight="1" spans="1:36">
      <c r="A129" s="331" t="s">
        <v>3536</v>
      </c>
      <c r="B129" s="324" t="s">
        <v>1546</v>
      </c>
      <c r="C129" s="318" t="str">
        <f t="shared" si="44"/>
        <v>45001605449298TQ1-S001狗蛋四代PDQ60</v>
      </c>
      <c r="D129" s="332">
        <v>4500160544</v>
      </c>
      <c r="E129" s="324" t="s">
        <v>2577</v>
      </c>
      <c r="F129" s="324" t="s">
        <v>2578</v>
      </c>
      <c r="G129" s="333">
        <v>60</v>
      </c>
      <c r="H129" s="333">
        <v>0</v>
      </c>
      <c r="I129" s="333">
        <v>12</v>
      </c>
      <c r="J129" s="333">
        <f t="shared" si="29"/>
        <v>5</v>
      </c>
      <c r="K129" s="334">
        <v>45856</v>
      </c>
      <c r="L129" s="334">
        <v>45852</v>
      </c>
      <c r="M129" s="360"/>
      <c r="N129" s="324" t="s">
        <v>459</v>
      </c>
      <c r="O129" s="328"/>
      <c r="P129" s="329"/>
      <c r="Q129" s="329"/>
      <c r="R129" s="330"/>
      <c r="S129" s="333"/>
      <c r="T129" s="333"/>
      <c r="U129" s="330"/>
      <c r="V129" s="324"/>
      <c r="W129" s="324">
        <f t="shared" si="52"/>
        <v>60</v>
      </c>
      <c r="X129" s="333"/>
      <c r="Y129" s="333"/>
      <c r="Z129" s="333">
        <f t="shared" ref="Z129:Z132" si="55">G129</f>
        <v>60</v>
      </c>
      <c r="AA129" s="340"/>
      <c r="AB129" s="326"/>
      <c r="AC129" s="343">
        <f t="shared" si="53"/>
        <v>60</v>
      </c>
      <c r="AD129" s="326"/>
      <c r="AE129" s="340"/>
      <c r="AF129" s="343">
        <f t="shared" si="54"/>
        <v>10</v>
      </c>
      <c r="AG129" s="340"/>
      <c r="AH129" s="340"/>
      <c r="AI129" s="340"/>
      <c r="AJ129" s="327" t="s">
        <v>13050</v>
      </c>
    </row>
    <row r="130" s="251" customFormat="1" ht="50" customHeight="1" spans="1:36">
      <c r="A130" s="331" t="s">
        <v>1331</v>
      </c>
      <c r="B130" s="324" t="s">
        <v>1332</v>
      </c>
      <c r="C130" s="318" t="str">
        <f t="shared" si="44"/>
        <v>45001674639298TQ1-S001狗蛋四代PDQ360</v>
      </c>
      <c r="D130" s="332">
        <v>4500167463</v>
      </c>
      <c r="E130" s="324" t="s">
        <v>2577</v>
      </c>
      <c r="F130" s="324" t="s">
        <v>2578</v>
      </c>
      <c r="G130" s="333">
        <v>360</v>
      </c>
      <c r="H130" s="333">
        <v>0</v>
      </c>
      <c r="I130" s="333">
        <v>12</v>
      </c>
      <c r="J130" s="333">
        <f t="shared" si="29"/>
        <v>30</v>
      </c>
      <c r="K130" s="334">
        <v>45856</v>
      </c>
      <c r="L130" s="334">
        <v>45852</v>
      </c>
      <c r="M130" s="360"/>
      <c r="N130" s="324" t="s">
        <v>459</v>
      </c>
      <c r="O130" s="328"/>
      <c r="P130" s="329"/>
      <c r="Q130" s="329"/>
      <c r="R130" s="330"/>
      <c r="S130" s="333"/>
      <c r="T130" s="333"/>
      <c r="U130" s="330"/>
      <c r="V130" s="324"/>
      <c r="W130" s="324">
        <f t="shared" si="52"/>
        <v>360</v>
      </c>
      <c r="X130" s="333"/>
      <c r="Y130" s="333"/>
      <c r="Z130" s="333">
        <f t="shared" si="55"/>
        <v>360</v>
      </c>
      <c r="AA130" s="340"/>
      <c r="AB130" s="326"/>
      <c r="AC130" s="343">
        <f t="shared" si="53"/>
        <v>360</v>
      </c>
      <c r="AD130" s="326"/>
      <c r="AE130" s="340"/>
      <c r="AF130" s="343">
        <f t="shared" si="54"/>
        <v>60</v>
      </c>
      <c r="AG130" s="340"/>
      <c r="AH130" s="340"/>
      <c r="AI130" s="340"/>
      <c r="AJ130" s="327" t="s">
        <v>13050</v>
      </c>
    </row>
    <row r="131" s="255" customFormat="1" ht="50" customHeight="1" spans="1:36">
      <c r="A131" s="379" t="s">
        <v>980</v>
      </c>
      <c r="B131" s="357" t="s">
        <v>351</v>
      </c>
      <c r="C131" s="318" t="str">
        <f t="shared" si="44"/>
        <v>45001693559298-S001狗蛋四代1776</v>
      </c>
      <c r="D131" s="362">
        <v>4500169355</v>
      </c>
      <c r="E131" s="357" t="s">
        <v>2627</v>
      </c>
      <c r="F131" s="380" t="s">
        <v>2591</v>
      </c>
      <c r="G131" s="380">
        <v>1776</v>
      </c>
      <c r="H131" s="380">
        <v>0</v>
      </c>
      <c r="I131" s="380">
        <v>24</v>
      </c>
      <c r="J131" s="380">
        <f t="shared" si="29"/>
        <v>74</v>
      </c>
      <c r="K131" s="370">
        <v>45856</v>
      </c>
      <c r="L131" s="370">
        <v>45852</v>
      </c>
      <c r="M131" s="382"/>
      <c r="N131" s="357" t="s">
        <v>1199</v>
      </c>
      <c r="O131" s="328"/>
      <c r="P131" s="329"/>
      <c r="Q131" s="329"/>
      <c r="R131" s="330"/>
      <c r="S131" s="380"/>
      <c r="T131" s="380">
        <f>G131</f>
        <v>1776</v>
      </c>
      <c r="U131" s="330"/>
      <c r="V131" s="357"/>
      <c r="W131" s="357"/>
      <c r="X131" s="380"/>
      <c r="Y131" s="380"/>
      <c r="Z131" s="333">
        <f t="shared" si="55"/>
        <v>1776</v>
      </c>
      <c r="AA131" s="359"/>
      <c r="AB131" s="326"/>
      <c r="AC131" s="343">
        <f t="shared" si="53"/>
        <v>1776</v>
      </c>
      <c r="AD131" s="326"/>
      <c r="AE131" s="359"/>
      <c r="AF131" s="359"/>
      <c r="AG131" s="359"/>
      <c r="AH131" s="359"/>
      <c r="AI131" s="359"/>
      <c r="AJ131" s="383" t="s">
        <v>13064</v>
      </c>
    </row>
    <row r="132" s="255" customFormat="1" ht="50" customHeight="1" spans="1:36">
      <c r="A132" s="379" t="s">
        <v>3156</v>
      </c>
      <c r="B132" s="357" t="s">
        <v>471</v>
      </c>
      <c r="C132" s="318" t="str">
        <f t="shared" si="44"/>
        <v>45001699099298TQ1-S002-NB-MTS狗蛋四代（无闪粉）15000</v>
      </c>
      <c r="D132" s="362">
        <v>4500169909</v>
      </c>
      <c r="E132" s="357" t="s">
        <v>2647</v>
      </c>
      <c r="F132" s="357" t="s">
        <v>2648</v>
      </c>
      <c r="G132" s="380">
        <v>15000</v>
      </c>
      <c r="H132" s="380">
        <v>0</v>
      </c>
      <c r="I132" s="380">
        <v>6</v>
      </c>
      <c r="J132" s="380">
        <f t="shared" ref="J132:J177" si="56">G132/I132</f>
        <v>2500</v>
      </c>
      <c r="K132" s="370">
        <v>45856</v>
      </c>
      <c r="L132" s="370">
        <v>45852</v>
      </c>
      <c r="M132" s="382"/>
      <c r="N132" s="357" t="s">
        <v>4059</v>
      </c>
      <c r="O132" s="328"/>
      <c r="P132" s="329"/>
      <c r="Q132" s="329"/>
      <c r="R132" s="330"/>
      <c r="S132" s="380"/>
      <c r="T132" s="380"/>
      <c r="U132" s="330"/>
      <c r="V132" s="324"/>
      <c r="W132" s="324">
        <f t="shared" ref="W132:W141" si="57">G132</f>
        <v>15000</v>
      </c>
      <c r="X132" s="380"/>
      <c r="Y132" s="380"/>
      <c r="Z132" s="333">
        <f t="shared" si="55"/>
        <v>15000</v>
      </c>
      <c r="AA132" s="359"/>
      <c r="AB132" s="326"/>
      <c r="AC132" s="359"/>
      <c r="AD132" s="326"/>
      <c r="AE132" s="343">
        <f t="shared" ref="AE132:AE141" si="58">G132</f>
        <v>15000</v>
      </c>
      <c r="AF132" s="343">
        <f>G132/6</f>
        <v>2500</v>
      </c>
      <c r="AG132" s="359"/>
      <c r="AH132" s="359"/>
      <c r="AI132" s="359"/>
      <c r="AJ132" s="327" t="s">
        <v>13050</v>
      </c>
    </row>
    <row r="133" s="251" customFormat="1" ht="50" customHeight="1" spans="1:36">
      <c r="A133" s="331" t="s">
        <v>1315</v>
      </c>
      <c r="B133" s="324" t="s">
        <v>1316</v>
      </c>
      <c r="C133" s="318" t="str">
        <f t="shared" si="44"/>
        <v>4500166280MTQ41-S001-92135狗蛋四代混装（9279+9298）2852</v>
      </c>
      <c r="D133" s="332">
        <v>4500166280</v>
      </c>
      <c r="E133" s="324" t="s">
        <v>3821</v>
      </c>
      <c r="F133" s="324" t="s">
        <v>1320</v>
      </c>
      <c r="G133" s="333">
        <v>2852</v>
      </c>
      <c r="H133" s="333">
        <v>0</v>
      </c>
      <c r="I133" s="333">
        <v>4</v>
      </c>
      <c r="J133" s="333">
        <f t="shared" si="56"/>
        <v>713</v>
      </c>
      <c r="K133" s="334">
        <v>45857</v>
      </c>
      <c r="L133" s="334">
        <f t="shared" ref="L133:L135" si="59">K133-4</f>
        <v>45853</v>
      </c>
      <c r="M133" s="324" t="s">
        <v>1472</v>
      </c>
      <c r="N133" s="324" t="s">
        <v>1326</v>
      </c>
      <c r="O133" s="328"/>
      <c r="P133" s="329"/>
      <c r="Q133" s="329"/>
      <c r="R133" s="330"/>
      <c r="S133" s="333"/>
      <c r="T133" s="333"/>
      <c r="U133" s="330"/>
      <c r="V133" s="324"/>
      <c r="W133" s="324"/>
      <c r="X133" s="333">
        <f t="shared" ref="X133:X135" si="60">G133</f>
        <v>2852</v>
      </c>
      <c r="Y133" s="333"/>
      <c r="Z133" s="333"/>
      <c r="AA133" s="340">
        <f t="shared" ref="AA133:AA135" si="61">G133</f>
        <v>2852</v>
      </c>
      <c r="AB133" s="326"/>
      <c r="AC133" s="343">
        <f t="shared" ref="AC133:AC135" si="62">G133</f>
        <v>2852</v>
      </c>
      <c r="AD133" s="326"/>
      <c r="AE133" s="340"/>
      <c r="AF133" s="340"/>
      <c r="AG133" s="340"/>
      <c r="AH133" s="340"/>
      <c r="AI133" s="340"/>
      <c r="AJ133" s="264" t="s">
        <v>13033</v>
      </c>
    </row>
    <row r="134" s="251" customFormat="1" ht="50" customHeight="1" spans="1:36">
      <c r="A134" s="331" t="s">
        <v>1315</v>
      </c>
      <c r="B134" s="324" t="s">
        <v>1316</v>
      </c>
      <c r="C134" s="318" t="str">
        <f t="shared" si="44"/>
        <v>4500166280MTQ41-S001-92135狗蛋四代混装（9279+9298）4244</v>
      </c>
      <c r="D134" s="332">
        <v>4500166280</v>
      </c>
      <c r="E134" s="324" t="s">
        <v>3821</v>
      </c>
      <c r="F134" s="324" t="s">
        <v>1320</v>
      </c>
      <c r="G134" s="333">
        <v>4244</v>
      </c>
      <c r="H134" s="333">
        <v>0</v>
      </c>
      <c r="I134" s="333">
        <v>4</v>
      </c>
      <c r="J134" s="333">
        <f t="shared" si="56"/>
        <v>1061</v>
      </c>
      <c r="K134" s="334">
        <v>45857</v>
      </c>
      <c r="L134" s="334">
        <f t="shared" si="59"/>
        <v>45853</v>
      </c>
      <c r="M134" s="324" t="s">
        <v>1558</v>
      </c>
      <c r="N134" s="324" t="s">
        <v>1326</v>
      </c>
      <c r="O134" s="328"/>
      <c r="P134" s="329"/>
      <c r="Q134" s="329"/>
      <c r="R134" s="330"/>
      <c r="S134" s="333"/>
      <c r="T134" s="333"/>
      <c r="U134" s="330"/>
      <c r="V134" s="324"/>
      <c r="W134" s="324"/>
      <c r="X134" s="333">
        <f t="shared" si="60"/>
        <v>4244</v>
      </c>
      <c r="Y134" s="333"/>
      <c r="Z134" s="333"/>
      <c r="AA134" s="340">
        <f t="shared" si="61"/>
        <v>4244</v>
      </c>
      <c r="AB134" s="326"/>
      <c r="AC134" s="340">
        <f t="shared" si="62"/>
        <v>4244</v>
      </c>
      <c r="AD134" s="326"/>
      <c r="AE134" s="340"/>
      <c r="AF134" s="340"/>
      <c r="AG134" s="340"/>
      <c r="AH134" s="340"/>
      <c r="AI134" s="340"/>
      <c r="AJ134" s="327" t="s">
        <v>13065</v>
      </c>
    </row>
    <row r="135" s="251" customFormat="1" ht="50" customHeight="1" spans="1:36">
      <c r="A135" s="331" t="s">
        <v>1315</v>
      </c>
      <c r="B135" s="324" t="s">
        <v>1316</v>
      </c>
      <c r="C135" s="318" t="str">
        <f t="shared" si="44"/>
        <v>4500166280MTQ41-S001-92135狗蛋四代混装（9279+9298）4244</v>
      </c>
      <c r="D135" s="332">
        <v>4500166280</v>
      </c>
      <c r="E135" s="324" t="s">
        <v>3821</v>
      </c>
      <c r="F135" s="324" t="s">
        <v>1320</v>
      </c>
      <c r="G135" s="333">
        <v>4244</v>
      </c>
      <c r="H135" s="333">
        <v>0</v>
      </c>
      <c r="I135" s="333">
        <v>4</v>
      </c>
      <c r="J135" s="333">
        <f t="shared" si="56"/>
        <v>1061</v>
      </c>
      <c r="K135" s="334">
        <v>45857</v>
      </c>
      <c r="L135" s="334">
        <f t="shared" si="59"/>
        <v>45853</v>
      </c>
      <c r="M135" s="324" t="s">
        <v>1558</v>
      </c>
      <c r="N135" s="324" t="s">
        <v>1326</v>
      </c>
      <c r="O135" s="328"/>
      <c r="P135" s="329"/>
      <c r="Q135" s="329"/>
      <c r="R135" s="330"/>
      <c r="S135" s="333"/>
      <c r="T135" s="333"/>
      <c r="U135" s="330"/>
      <c r="V135" s="324"/>
      <c r="W135" s="324"/>
      <c r="X135" s="333">
        <f t="shared" si="60"/>
        <v>4244</v>
      </c>
      <c r="Y135" s="333"/>
      <c r="Z135" s="333"/>
      <c r="AA135" s="340">
        <f t="shared" si="61"/>
        <v>4244</v>
      </c>
      <c r="AB135" s="326"/>
      <c r="AC135" s="340">
        <f t="shared" si="62"/>
        <v>4244</v>
      </c>
      <c r="AD135" s="326"/>
      <c r="AE135" s="340"/>
      <c r="AF135" s="340"/>
      <c r="AG135" s="340"/>
      <c r="AH135" s="340"/>
      <c r="AI135" s="340"/>
      <c r="AJ135" s="327" t="s">
        <v>13065</v>
      </c>
    </row>
    <row r="136" s="251" customFormat="1" ht="50" customHeight="1" spans="1:36">
      <c r="A136" s="331" t="s">
        <v>4576</v>
      </c>
      <c r="B136" s="324" t="s">
        <v>569</v>
      </c>
      <c r="C136" s="318" t="str">
        <f t="shared" ref="C136:C177" si="63">D136&amp;E136&amp;F136&amp;G136</f>
        <v>45001636839298TQ1-S001-NB狗蛋四代180</v>
      </c>
      <c r="D136" s="332">
        <v>4500163683</v>
      </c>
      <c r="E136" s="324" t="s">
        <v>2700</v>
      </c>
      <c r="F136" s="324" t="s">
        <v>2591</v>
      </c>
      <c r="G136" s="333">
        <v>180</v>
      </c>
      <c r="H136" s="333">
        <v>0</v>
      </c>
      <c r="I136" s="333">
        <v>12</v>
      </c>
      <c r="J136" s="333">
        <f t="shared" si="56"/>
        <v>15</v>
      </c>
      <c r="K136" s="334">
        <v>45857</v>
      </c>
      <c r="L136" s="334">
        <v>45854</v>
      </c>
      <c r="M136" s="369"/>
      <c r="N136" s="324" t="s">
        <v>4582</v>
      </c>
      <c r="O136" s="328"/>
      <c r="P136" s="329"/>
      <c r="Q136" s="329"/>
      <c r="R136" s="330"/>
      <c r="S136" s="333"/>
      <c r="T136" s="333"/>
      <c r="U136" s="330"/>
      <c r="V136" s="324"/>
      <c r="W136" s="324">
        <f t="shared" si="57"/>
        <v>180</v>
      </c>
      <c r="X136" s="340"/>
      <c r="Y136" s="333"/>
      <c r="Z136" s="333">
        <f t="shared" ref="Z136:Z141" si="64">G136</f>
        <v>180</v>
      </c>
      <c r="AA136" s="340"/>
      <c r="AB136" s="326"/>
      <c r="AC136" s="340"/>
      <c r="AD136" s="326"/>
      <c r="AE136" s="343">
        <f t="shared" si="58"/>
        <v>180</v>
      </c>
      <c r="AF136" s="343">
        <f t="shared" ref="AF136:AF140" si="65">G136/6</f>
        <v>30</v>
      </c>
      <c r="AG136" s="340"/>
      <c r="AH136" s="340"/>
      <c r="AI136" s="340"/>
      <c r="AJ136" s="327" t="s">
        <v>13050</v>
      </c>
    </row>
    <row r="137" s="251" customFormat="1" ht="50" customHeight="1" spans="1:36">
      <c r="A137" s="331" t="s">
        <v>4576</v>
      </c>
      <c r="B137" s="324" t="s">
        <v>569</v>
      </c>
      <c r="C137" s="318" t="str">
        <f t="shared" si="63"/>
        <v>45001636839298F-S001狗蛋四代展示架（无闪粉）240</v>
      </c>
      <c r="D137" s="332">
        <v>4500163683</v>
      </c>
      <c r="E137" s="324" t="s">
        <v>2861</v>
      </c>
      <c r="F137" s="324" t="s">
        <v>2862</v>
      </c>
      <c r="G137" s="378">
        <v>240</v>
      </c>
      <c r="H137" s="333">
        <v>0</v>
      </c>
      <c r="I137" s="333">
        <v>40</v>
      </c>
      <c r="J137" s="333">
        <f t="shared" si="56"/>
        <v>6</v>
      </c>
      <c r="K137" s="334">
        <v>45857</v>
      </c>
      <c r="L137" s="334">
        <v>45854</v>
      </c>
      <c r="M137" s="369"/>
      <c r="N137" s="324" t="s">
        <v>4582</v>
      </c>
      <c r="O137" s="328"/>
      <c r="P137" s="329"/>
      <c r="Q137" s="329"/>
      <c r="R137" s="330"/>
      <c r="S137" s="333"/>
      <c r="T137" s="333"/>
      <c r="U137" s="330"/>
      <c r="V137" s="324"/>
      <c r="W137" s="324">
        <f t="shared" si="57"/>
        <v>240</v>
      </c>
      <c r="X137" s="340"/>
      <c r="Y137" s="333"/>
      <c r="Z137" s="333">
        <f t="shared" si="64"/>
        <v>240</v>
      </c>
      <c r="AA137" s="340"/>
      <c r="AB137" s="326"/>
      <c r="AC137" s="340"/>
      <c r="AD137" s="326"/>
      <c r="AE137" s="343">
        <f t="shared" si="58"/>
        <v>240</v>
      </c>
      <c r="AF137" s="340"/>
      <c r="AG137" s="340"/>
      <c r="AH137" s="340"/>
      <c r="AI137" s="340"/>
      <c r="AJ137" s="327" t="s">
        <v>13050</v>
      </c>
    </row>
    <row r="138" s="251" customFormat="1" ht="50" customHeight="1" spans="1:36">
      <c r="A138" s="331" t="s">
        <v>4576</v>
      </c>
      <c r="B138" s="324" t="s">
        <v>569</v>
      </c>
      <c r="C138" s="318" t="str">
        <f t="shared" si="63"/>
        <v>45001636489298TQ1-S001-NB狗蛋四代1200</v>
      </c>
      <c r="D138" s="332">
        <v>4500163648</v>
      </c>
      <c r="E138" s="324" t="s">
        <v>2700</v>
      </c>
      <c r="F138" s="324" t="s">
        <v>2591</v>
      </c>
      <c r="G138" s="333">
        <v>1200</v>
      </c>
      <c r="H138" s="333">
        <v>0</v>
      </c>
      <c r="I138" s="333">
        <v>12</v>
      </c>
      <c r="J138" s="333">
        <f t="shared" si="56"/>
        <v>100</v>
      </c>
      <c r="K138" s="334">
        <v>45857</v>
      </c>
      <c r="L138" s="334">
        <v>45854</v>
      </c>
      <c r="M138" s="369"/>
      <c r="N138" s="324" t="s">
        <v>4582</v>
      </c>
      <c r="O138" s="328"/>
      <c r="P138" s="329"/>
      <c r="Q138" s="329"/>
      <c r="R138" s="330"/>
      <c r="S138" s="333"/>
      <c r="T138" s="333"/>
      <c r="U138" s="330"/>
      <c r="V138" s="324"/>
      <c r="W138" s="324">
        <f t="shared" si="57"/>
        <v>1200</v>
      </c>
      <c r="X138" s="340"/>
      <c r="Y138" s="333"/>
      <c r="Z138" s="333">
        <f t="shared" si="64"/>
        <v>1200</v>
      </c>
      <c r="AA138" s="340"/>
      <c r="AB138" s="326"/>
      <c r="AC138" s="340"/>
      <c r="AD138" s="326"/>
      <c r="AE138" s="343">
        <f t="shared" si="58"/>
        <v>1200</v>
      </c>
      <c r="AF138" s="343">
        <f t="shared" si="65"/>
        <v>200</v>
      </c>
      <c r="AG138" s="340"/>
      <c r="AH138" s="340"/>
      <c r="AI138" s="340"/>
      <c r="AJ138" s="327" t="s">
        <v>13050</v>
      </c>
    </row>
    <row r="139" s="251" customFormat="1" ht="50" customHeight="1" spans="1:36">
      <c r="A139" s="331" t="s">
        <v>4576</v>
      </c>
      <c r="B139" s="324" t="s">
        <v>569</v>
      </c>
      <c r="C139" s="318" t="str">
        <f t="shared" si="63"/>
        <v>45001636489298F-S001狗蛋四代展示架（无闪粉）1200</v>
      </c>
      <c r="D139" s="332">
        <v>4500163648</v>
      </c>
      <c r="E139" s="324" t="s">
        <v>2861</v>
      </c>
      <c r="F139" s="324" t="s">
        <v>2862</v>
      </c>
      <c r="G139" s="378">
        <v>1200</v>
      </c>
      <c r="H139" s="333">
        <v>0</v>
      </c>
      <c r="I139" s="333">
        <v>40</v>
      </c>
      <c r="J139" s="333">
        <f t="shared" si="56"/>
        <v>30</v>
      </c>
      <c r="K139" s="334">
        <v>45857</v>
      </c>
      <c r="L139" s="334">
        <v>45854</v>
      </c>
      <c r="M139" s="369"/>
      <c r="N139" s="324" t="s">
        <v>4582</v>
      </c>
      <c r="O139" s="328"/>
      <c r="P139" s="329"/>
      <c r="Q139" s="329"/>
      <c r="R139" s="330"/>
      <c r="S139" s="333"/>
      <c r="T139" s="333"/>
      <c r="U139" s="330"/>
      <c r="V139" s="324"/>
      <c r="W139" s="324">
        <f t="shared" si="57"/>
        <v>1200</v>
      </c>
      <c r="X139" s="340"/>
      <c r="Y139" s="333"/>
      <c r="Z139" s="333">
        <f t="shared" si="64"/>
        <v>1200</v>
      </c>
      <c r="AA139" s="340"/>
      <c r="AB139" s="326"/>
      <c r="AC139" s="340"/>
      <c r="AD139" s="326"/>
      <c r="AE139" s="343">
        <f t="shared" si="58"/>
        <v>1200</v>
      </c>
      <c r="AF139" s="340"/>
      <c r="AG139" s="340"/>
      <c r="AH139" s="340"/>
      <c r="AI139" s="340"/>
      <c r="AJ139" s="327" t="s">
        <v>13050</v>
      </c>
    </row>
    <row r="140" s="251" customFormat="1" ht="50" customHeight="1" spans="1:36">
      <c r="A140" s="331" t="s">
        <v>4576</v>
      </c>
      <c r="B140" s="324" t="s">
        <v>569</v>
      </c>
      <c r="C140" s="318" t="str">
        <f t="shared" si="63"/>
        <v>45001637189298TQ1-S001-NB狗蛋四代240</v>
      </c>
      <c r="D140" s="332">
        <v>4500163718</v>
      </c>
      <c r="E140" s="324" t="s">
        <v>2700</v>
      </c>
      <c r="F140" s="324" t="s">
        <v>2591</v>
      </c>
      <c r="G140" s="333">
        <v>240</v>
      </c>
      <c r="H140" s="333">
        <v>0</v>
      </c>
      <c r="I140" s="333">
        <v>12</v>
      </c>
      <c r="J140" s="333">
        <f t="shared" si="56"/>
        <v>20</v>
      </c>
      <c r="K140" s="334">
        <v>45857</v>
      </c>
      <c r="L140" s="334">
        <v>45854</v>
      </c>
      <c r="M140" s="369"/>
      <c r="N140" s="324" t="s">
        <v>4582</v>
      </c>
      <c r="O140" s="328"/>
      <c r="P140" s="329"/>
      <c r="Q140" s="329"/>
      <c r="R140" s="330"/>
      <c r="S140" s="333"/>
      <c r="T140" s="333"/>
      <c r="U140" s="330"/>
      <c r="V140" s="324"/>
      <c r="W140" s="324">
        <f t="shared" si="57"/>
        <v>240</v>
      </c>
      <c r="X140" s="333"/>
      <c r="Y140" s="333"/>
      <c r="Z140" s="333">
        <f t="shared" si="64"/>
        <v>240</v>
      </c>
      <c r="AA140" s="340"/>
      <c r="AB140" s="326"/>
      <c r="AC140" s="340"/>
      <c r="AD140" s="326"/>
      <c r="AE140" s="343">
        <f t="shared" si="58"/>
        <v>240</v>
      </c>
      <c r="AF140" s="343">
        <f t="shared" si="65"/>
        <v>40</v>
      </c>
      <c r="AG140" s="340"/>
      <c r="AH140" s="340"/>
      <c r="AI140" s="340"/>
      <c r="AJ140" s="327" t="s">
        <v>13050</v>
      </c>
    </row>
    <row r="141" s="251" customFormat="1" ht="50" customHeight="1" spans="1:36">
      <c r="A141" s="331" t="s">
        <v>4576</v>
      </c>
      <c r="B141" s="324" t="s">
        <v>569</v>
      </c>
      <c r="C141" s="318" t="str">
        <f t="shared" si="63"/>
        <v>45001637189298F-S001狗蛋四代展示架（无闪粉）320</v>
      </c>
      <c r="D141" s="332">
        <v>4500163718</v>
      </c>
      <c r="E141" s="324" t="s">
        <v>2861</v>
      </c>
      <c r="F141" s="324" t="s">
        <v>2862</v>
      </c>
      <c r="G141" s="378">
        <v>320</v>
      </c>
      <c r="H141" s="333">
        <v>0</v>
      </c>
      <c r="I141" s="333">
        <v>40</v>
      </c>
      <c r="J141" s="333">
        <f t="shared" si="56"/>
        <v>8</v>
      </c>
      <c r="K141" s="334">
        <v>45857</v>
      </c>
      <c r="L141" s="334">
        <v>45854</v>
      </c>
      <c r="M141" s="369"/>
      <c r="N141" s="324" t="s">
        <v>4582</v>
      </c>
      <c r="O141" s="328"/>
      <c r="P141" s="329"/>
      <c r="Q141" s="329"/>
      <c r="R141" s="330"/>
      <c r="S141" s="333"/>
      <c r="T141" s="333"/>
      <c r="U141" s="330"/>
      <c r="V141" s="324"/>
      <c r="W141" s="324">
        <f t="shared" si="57"/>
        <v>320</v>
      </c>
      <c r="X141" s="333"/>
      <c r="Y141" s="333"/>
      <c r="Z141" s="333">
        <f t="shared" si="64"/>
        <v>320</v>
      </c>
      <c r="AA141" s="340"/>
      <c r="AB141" s="326"/>
      <c r="AC141" s="340"/>
      <c r="AD141" s="326"/>
      <c r="AE141" s="343">
        <f t="shared" si="58"/>
        <v>320</v>
      </c>
      <c r="AF141" s="340"/>
      <c r="AG141" s="340"/>
      <c r="AH141" s="340"/>
      <c r="AI141" s="340"/>
      <c r="AJ141" s="327" t="s">
        <v>13050</v>
      </c>
    </row>
    <row r="142" s="251" customFormat="1" ht="50" customHeight="1" spans="1:36">
      <c r="A142" s="331" t="s">
        <v>1315</v>
      </c>
      <c r="B142" s="324" t="s">
        <v>1316</v>
      </c>
      <c r="C142" s="318" t="str">
        <f t="shared" si="63"/>
        <v>4500162579MTQ41-S001-92135狗蛋四代混装（9279+9298）2700</v>
      </c>
      <c r="D142" s="332">
        <v>4500162579</v>
      </c>
      <c r="E142" s="324" t="s">
        <v>3821</v>
      </c>
      <c r="F142" s="324" t="s">
        <v>1320</v>
      </c>
      <c r="G142" s="333">
        <v>2700</v>
      </c>
      <c r="H142" s="333">
        <v>0</v>
      </c>
      <c r="I142" s="333">
        <v>4</v>
      </c>
      <c r="J142" s="333">
        <f t="shared" si="56"/>
        <v>675</v>
      </c>
      <c r="K142" s="334">
        <v>45859</v>
      </c>
      <c r="L142" s="334">
        <f t="shared" ref="L142:L152" si="66">K142-4</f>
        <v>45855</v>
      </c>
      <c r="M142" s="360"/>
      <c r="N142" s="324" t="s">
        <v>1326</v>
      </c>
      <c r="O142" s="328"/>
      <c r="P142" s="329"/>
      <c r="Q142" s="329"/>
      <c r="R142" s="330"/>
      <c r="S142" s="333"/>
      <c r="T142" s="333"/>
      <c r="U142" s="330"/>
      <c r="V142" s="324"/>
      <c r="W142" s="324"/>
      <c r="X142" s="333">
        <f t="shared" ref="X142:X145" si="67">G142</f>
        <v>2700</v>
      </c>
      <c r="Y142" s="333"/>
      <c r="Z142" s="333"/>
      <c r="AA142" s="340">
        <f>G142</f>
        <v>2700</v>
      </c>
      <c r="AB142" s="326"/>
      <c r="AC142" s="340">
        <f t="shared" ref="AC142:AC177" si="68">G142</f>
        <v>2700</v>
      </c>
      <c r="AD142" s="326"/>
      <c r="AE142" s="340"/>
      <c r="AF142" s="340"/>
      <c r="AG142" s="340"/>
      <c r="AH142" s="340"/>
      <c r="AI142" s="340"/>
      <c r="AJ142" s="327" t="s">
        <v>13065</v>
      </c>
    </row>
    <row r="143" s="251" customFormat="1" ht="50" customHeight="1" spans="1:36">
      <c r="A143" s="331" t="s">
        <v>1315</v>
      </c>
      <c r="B143" s="324" t="s">
        <v>1316</v>
      </c>
      <c r="C143" s="318" t="str">
        <f t="shared" si="63"/>
        <v>4500162579MTQ41-S001-92135狗蛋四代混装（9279+9298）3824</v>
      </c>
      <c r="D143" s="332">
        <v>4500162579</v>
      </c>
      <c r="E143" s="324" t="s">
        <v>3821</v>
      </c>
      <c r="F143" s="324" t="s">
        <v>1320</v>
      </c>
      <c r="G143" s="333">
        <v>3824</v>
      </c>
      <c r="H143" s="333">
        <v>0</v>
      </c>
      <c r="I143" s="333">
        <v>4</v>
      </c>
      <c r="J143" s="333">
        <f t="shared" si="56"/>
        <v>956</v>
      </c>
      <c r="K143" s="334">
        <v>45859</v>
      </c>
      <c r="L143" s="334">
        <f t="shared" si="66"/>
        <v>45855</v>
      </c>
      <c r="M143" s="360"/>
      <c r="N143" s="324" t="s">
        <v>1326</v>
      </c>
      <c r="O143" s="328"/>
      <c r="P143" s="329"/>
      <c r="Q143" s="329"/>
      <c r="R143" s="330"/>
      <c r="S143" s="333"/>
      <c r="T143" s="333"/>
      <c r="U143" s="330"/>
      <c r="V143" s="324"/>
      <c r="W143" s="324"/>
      <c r="X143" s="333">
        <f t="shared" si="67"/>
        <v>3824</v>
      </c>
      <c r="Y143" s="333"/>
      <c r="Z143" s="333"/>
      <c r="AA143" s="340">
        <f>G143</f>
        <v>3824</v>
      </c>
      <c r="AB143" s="326"/>
      <c r="AC143" s="340">
        <f t="shared" si="68"/>
        <v>3824</v>
      </c>
      <c r="AD143" s="326"/>
      <c r="AE143" s="340"/>
      <c r="AF143" s="340"/>
      <c r="AG143" s="340"/>
      <c r="AH143" s="340"/>
      <c r="AI143" s="340"/>
      <c r="AJ143" s="327" t="s">
        <v>13065</v>
      </c>
    </row>
    <row r="144" s="251" customFormat="1" ht="50" customHeight="1" spans="1:36">
      <c r="A144" s="331" t="s">
        <v>3657</v>
      </c>
      <c r="B144" s="324" t="s">
        <v>341</v>
      </c>
      <c r="C144" s="318" t="str">
        <f t="shared" si="63"/>
        <v>450016396192123-S001狗蛋四代混装（92104+9298）8316</v>
      </c>
      <c r="D144" s="332">
        <v>4500163961</v>
      </c>
      <c r="E144" s="324" t="s">
        <v>3356</v>
      </c>
      <c r="F144" s="324" t="s">
        <v>3353</v>
      </c>
      <c r="G144" s="345">
        <v>8316</v>
      </c>
      <c r="H144" s="345">
        <v>0</v>
      </c>
      <c r="I144" s="345">
        <v>12</v>
      </c>
      <c r="J144" s="345">
        <f t="shared" si="56"/>
        <v>693</v>
      </c>
      <c r="K144" s="334">
        <v>45859</v>
      </c>
      <c r="L144" s="334">
        <f t="shared" si="66"/>
        <v>45855</v>
      </c>
      <c r="M144" s="360"/>
      <c r="N144" s="324" t="s">
        <v>1131</v>
      </c>
      <c r="O144" s="328"/>
      <c r="P144" s="329"/>
      <c r="Q144" s="329"/>
      <c r="R144" s="330"/>
      <c r="S144" s="333"/>
      <c r="T144" s="333"/>
      <c r="U144" s="330"/>
      <c r="V144" s="324"/>
      <c r="W144" s="324"/>
      <c r="X144" s="333">
        <f t="shared" si="67"/>
        <v>8316</v>
      </c>
      <c r="Y144" s="333"/>
      <c r="Z144" s="333">
        <f t="shared" ref="Z144:Z157" si="69">G144</f>
        <v>8316</v>
      </c>
      <c r="AA144" s="340"/>
      <c r="AB144" s="326"/>
      <c r="AC144" s="340">
        <f t="shared" si="68"/>
        <v>8316</v>
      </c>
      <c r="AD144" s="326"/>
      <c r="AE144" s="340"/>
      <c r="AF144" s="340"/>
      <c r="AG144" s="340"/>
      <c r="AH144" s="340"/>
      <c r="AI144" s="340"/>
      <c r="AJ144" s="327" t="s">
        <v>4196</v>
      </c>
    </row>
    <row r="145" s="251" customFormat="1" ht="50" customHeight="1" spans="1:36">
      <c r="A145" s="331" t="s">
        <v>3657</v>
      </c>
      <c r="B145" s="324" t="s">
        <v>341</v>
      </c>
      <c r="C145" s="318" t="str">
        <f t="shared" si="63"/>
        <v>450016396192123-S001狗蛋四代混装（92104+9298）8316</v>
      </c>
      <c r="D145" s="332">
        <v>4500163961</v>
      </c>
      <c r="E145" s="324" t="s">
        <v>3356</v>
      </c>
      <c r="F145" s="324" t="s">
        <v>3353</v>
      </c>
      <c r="G145" s="345">
        <v>8316</v>
      </c>
      <c r="H145" s="345">
        <v>0</v>
      </c>
      <c r="I145" s="345">
        <v>12</v>
      </c>
      <c r="J145" s="345">
        <f t="shared" si="56"/>
        <v>693</v>
      </c>
      <c r="K145" s="334">
        <v>45859</v>
      </c>
      <c r="L145" s="334">
        <f t="shared" si="66"/>
        <v>45855</v>
      </c>
      <c r="M145" s="360"/>
      <c r="N145" s="324" t="s">
        <v>1131</v>
      </c>
      <c r="O145" s="328"/>
      <c r="P145" s="329"/>
      <c r="Q145" s="329"/>
      <c r="R145" s="330"/>
      <c r="S145" s="333"/>
      <c r="T145" s="333"/>
      <c r="U145" s="330"/>
      <c r="V145" s="324"/>
      <c r="W145" s="324"/>
      <c r="X145" s="333">
        <f t="shared" si="67"/>
        <v>8316</v>
      </c>
      <c r="Y145" s="333"/>
      <c r="Z145" s="333">
        <f t="shared" si="69"/>
        <v>8316</v>
      </c>
      <c r="AA145" s="340"/>
      <c r="AB145" s="326"/>
      <c r="AC145" s="340">
        <f t="shared" si="68"/>
        <v>8316</v>
      </c>
      <c r="AD145" s="326"/>
      <c r="AE145" s="340"/>
      <c r="AF145" s="340"/>
      <c r="AG145" s="340"/>
      <c r="AH145" s="340"/>
      <c r="AI145" s="340"/>
      <c r="AJ145" s="327" t="s">
        <v>4196</v>
      </c>
    </row>
    <row r="146" s="251" customFormat="1" ht="50" customHeight="1" spans="1:36">
      <c r="A146" s="331" t="s">
        <v>1538</v>
      </c>
      <c r="B146" s="324" t="s">
        <v>1142</v>
      </c>
      <c r="C146" s="318" t="str">
        <f t="shared" si="63"/>
        <v>45001598489298TQ1-S001狗蛋四代PDQ96</v>
      </c>
      <c r="D146" s="332">
        <v>4500159848</v>
      </c>
      <c r="E146" s="324" t="s">
        <v>2577</v>
      </c>
      <c r="F146" s="324" t="s">
        <v>2578</v>
      </c>
      <c r="G146" s="333">
        <v>96</v>
      </c>
      <c r="H146" s="333">
        <v>0</v>
      </c>
      <c r="I146" s="333">
        <v>12</v>
      </c>
      <c r="J146" s="333">
        <f t="shared" si="56"/>
        <v>8</v>
      </c>
      <c r="K146" s="334">
        <v>45859</v>
      </c>
      <c r="L146" s="334">
        <f t="shared" si="66"/>
        <v>45855</v>
      </c>
      <c r="M146" s="360"/>
      <c r="N146" s="324" t="s">
        <v>459</v>
      </c>
      <c r="O146" s="328"/>
      <c r="P146" s="329"/>
      <c r="Q146" s="329"/>
      <c r="R146" s="330"/>
      <c r="S146" s="333"/>
      <c r="T146" s="333"/>
      <c r="U146" s="330"/>
      <c r="V146" s="324"/>
      <c r="W146" s="324">
        <f t="shared" ref="W146:W150" si="70">G146</f>
        <v>96</v>
      </c>
      <c r="X146" s="333"/>
      <c r="Y146" s="333"/>
      <c r="Z146" s="333">
        <f t="shared" si="69"/>
        <v>96</v>
      </c>
      <c r="AA146" s="340"/>
      <c r="AB146" s="326"/>
      <c r="AC146" s="340">
        <f t="shared" si="68"/>
        <v>96</v>
      </c>
      <c r="AD146" s="326"/>
      <c r="AE146" s="340"/>
      <c r="AF146" s="343">
        <f t="shared" ref="AF146:AF151" si="71">G146/6</f>
        <v>16</v>
      </c>
      <c r="AG146" s="340"/>
      <c r="AH146" s="340"/>
      <c r="AI146" s="340"/>
      <c r="AJ146" s="264" t="s">
        <v>13066</v>
      </c>
    </row>
    <row r="147" s="251" customFormat="1" ht="50" customHeight="1" spans="1:36">
      <c r="A147" s="331" t="s">
        <v>1545</v>
      </c>
      <c r="B147" s="324" t="s">
        <v>1546</v>
      </c>
      <c r="C147" s="318" t="str">
        <f t="shared" si="63"/>
        <v>45001647749298TQ1-S001狗蛋四代PDQ144</v>
      </c>
      <c r="D147" s="332">
        <v>4500164774</v>
      </c>
      <c r="E147" s="324" t="s">
        <v>2577</v>
      </c>
      <c r="F147" s="324" t="s">
        <v>2578</v>
      </c>
      <c r="G147" s="333">
        <v>144</v>
      </c>
      <c r="H147" s="333">
        <v>0</v>
      </c>
      <c r="I147" s="333">
        <v>12</v>
      </c>
      <c r="J147" s="333">
        <f t="shared" si="56"/>
        <v>12</v>
      </c>
      <c r="K147" s="334">
        <v>45859</v>
      </c>
      <c r="L147" s="334">
        <f t="shared" si="66"/>
        <v>45855</v>
      </c>
      <c r="M147" s="360"/>
      <c r="N147" s="324" t="s">
        <v>459</v>
      </c>
      <c r="O147" s="328"/>
      <c r="P147" s="329"/>
      <c r="Q147" s="329"/>
      <c r="R147" s="330"/>
      <c r="S147" s="333"/>
      <c r="T147" s="333"/>
      <c r="U147" s="330"/>
      <c r="V147" s="324"/>
      <c r="W147" s="324">
        <f t="shared" si="70"/>
        <v>144</v>
      </c>
      <c r="X147" s="333"/>
      <c r="Y147" s="333"/>
      <c r="Z147" s="333">
        <f t="shared" si="69"/>
        <v>144</v>
      </c>
      <c r="AA147" s="340"/>
      <c r="AB147" s="326"/>
      <c r="AC147" s="340">
        <f t="shared" si="68"/>
        <v>144</v>
      </c>
      <c r="AD147" s="326"/>
      <c r="AE147" s="340"/>
      <c r="AF147" s="343">
        <f t="shared" si="71"/>
        <v>24</v>
      </c>
      <c r="AG147" s="340"/>
      <c r="AH147" s="340"/>
      <c r="AI147" s="340"/>
      <c r="AJ147" s="264" t="s">
        <v>13066</v>
      </c>
    </row>
    <row r="148" s="255" customFormat="1" ht="50" customHeight="1" spans="1:36">
      <c r="A148" s="379" t="s">
        <v>3905</v>
      </c>
      <c r="B148" s="357" t="s">
        <v>1385</v>
      </c>
      <c r="C148" s="318" t="str">
        <f t="shared" si="63"/>
        <v>45001694079298TQ2-S001狗蛋四代1920</v>
      </c>
      <c r="D148" s="362">
        <v>4500169407</v>
      </c>
      <c r="E148" s="357" t="s">
        <v>2806</v>
      </c>
      <c r="F148" s="357" t="s">
        <v>2591</v>
      </c>
      <c r="G148" s="380">
        <v>1920</v>
      </c>
      <c r="H148" s="380">
        <v>0</v>
      </c>
      <c r="I148" s="380">
        <v>12</v>
      </c>
      <c r="J148" s="380">
        <f t="shared" si="56"/>
        <v>160</v>
      </c>
      <c r="K148" s="370">
        <v>45859</v>
      </c>
      <c r="L148" s="370">
        <f t="shared" si="66"/>
        <v>45855</v>
      </c>
      <c r="M148" s="382"/>
      <c r="N148" s="357" t="s">
        <v>448</v>
      </c>
      <c r="O148" s="328"/>
      <c r="P148" s="329"/>
      <c r="Q148" s="329"/>
      <c r="R148" s="330"/>
      <c r="S148" s="380"/>
      <c r="T148" s="380">
        <f t="shared" ref="T148:T151" si="72">G148</f>
        <v>1920</v>
      </c>
      <c r="U148" s="330"/>
      <c r="V148" s="357"/>
      <c r="W148" s="357"/>
      <c r="X148" s="380"/>
      <c r="Y148" s="380"/>
      <c r="Z148" s="333">
        <f t="shared" si="69"/>
        <v>1920</v>
      </c>
      <c r="AA148" s="359"/>
      <c r="AB148" s="326"/>
      <c r="AC148" s="359">
        <f t="shared" si="68"/>
        <v>1920</v>
      </c>
      <c r="AD148" s="326"/>
      <c r="AE148" s="359"/>
      <c r="AF148" s="359"/>
      <c r="AG148" s="359"/>
      <c r="AH148" s="343">
        <f>G148/6</f>
        <v>320</v>
      </c>
      <c r="AI148" s="340"/>
      <c r="AJ148" s="264" t="s">
        <v>13066</v>
      </c>
    </row>
    <row r="149" s="255" customFormat="1" ht="50" customHeight="1" spans="1:36">
      <c r="A149" s="384" t="s">
        <v>3905</v>
      </c>
      <c r="B149" s="384" t="s">
        <v>1385</v>
      </c>
      <c r="C149" s="318" t="str">
        <f t="shared" si="63"/>
        <v>450016940792124-S001-9298狗蛋四代混装（92119+9298+92104）1400</v>
      </c>
      <c r="D149" s="385">
        <v>4500169407</v>
      </c>
      <c r="E149" s="386" t="s">
        <v>3343</v>
      </c>
      <c r="F149" s="357" t="s">
        <v>3344</v>
      </c>
      <c r="G149" s="385">
        <v>1400</v>
      </c>
      <c r="H149" s="385">
        <v>0</v>
      </c>
      <c r="I149" s="385">
        <v>1</v>
      </c>
      <c r="J149" s="385">
        <f t="shared" si="56"/>
        <v>1400</v>
      </c>
      <c r="K149" s="387">
        <v>45859</v>
      </c>
      <c r="L149" s="387">
        <f t="shared" si="66"/>
        <v>45855</v>
      </c>
      <c r="M149" s="382"/>
      <c r="N149" s="384" t="s">
        <v>448</v>
      </c>
      <c r="O149" s="328"/>
      <c r="P149" s="329"/>
      <c r="Q149" s="329"/>
      <c r="R149" s="330"/>
      <c r="S149" s="380"/>
      <c r="T149" s="380">
        <f t="shared" si="72"/>
        <v>1400</v>
      </c>
      <c r="U149" s="330"/>
      <c r="V149" s="357"/>
      <c r="W149" s="357"/>
      <c r="X149" s="380"/>
      <c r="Y149" s="380"/>
      <c r="Z149" s="333">
        <f t="shared" si="69"/>
        <v>1400</v>
      </c>
      <c r="AA149" s="359"/>
      <c r="AB149" s="326"/>
      <c r="AC149" s="359">
        <f t="shared" si="68"/>
        <v>1400</v>
      </c>
      <c r="AD149" s="326"/>
      <c r="AE149" s="359"/>
      <c r="AF149" s="359"/>
      <c r="AG149" s="359"/>
      <c r="AH149" s="359"/>
      <c r="AI149" s="359"/>
      <c r="AJ149" s="327" t="s">
        <v>4196</v>
      </c>
    </row>
    <row r="150" s="255" customFormat="1" ht="50" customHeight="1" spans="1:36">
      <c r="A150" s="384" t="s">
        <v>3599</v>
      </c>
      <c r="B150" s="384" t="s">
        <v>2058</v>
      </c>
      <c r="C150" s="318" t="str">
        <f t="shared" si="63"/>
        <v>450016928592123-S001-9298狗蛋四代混装（92104+9298）2508</v>
      </c>
      <c r="D150" s="385">
        <v>4500169285</v>
      </c>
      <c r="E150" s="386" t="s">
        <v>3352</v>
      </c>
      <c r="F150" s="357" t="s">
        <v>3353</v>
      </c>
      <c r="G150" s="380">
        <v>2508</v>
      </c>
      <c r="H150" s="380">
        <v>0</v>
      </c>
      <c r="I150" s="380">
        <v>12</v>
      </c>
      <c r="J150" s="380">
        <f t="shared" si="56"/>
        <v>209</v>
      </c>
      <c r="K150" s="387">
        <v>45859</v>
      </c>
      <c r="L150" s="387">
        <f t="shared" si="66"/>
        <v>45855</v>
      </c>
      <c r="M150" s="376" t="s">
        <v>4106</v>
      </c>
      <c r="N150" s="384" t="s">
        <v>578</v>
      </c>
      <c r="O150" s="328"/>
      <c r="P150" s="329"/>
      <c r="Q150" s="329"/>
      <c r="R150" s="330"/>
      <c r="S150" s="380"/>
      <c r="T150" s="380"/>
      <c r="U150" s="330"/>
      <c r="V150" s="357"/>
      <c r="W150" s="357">
        <f t="shared" si="70"/>
        <v>2508</v>
      </c>
      <c r="X150" s="380"/>
      <c r="Y150" s="380"/>
      <c r="Z150" s="333">
        <f t="shared" si="69"/>
        <v>2508</v>
      </c>
      <c r="AA150" s="359"/>
      <c r="AB150" s="326"/>
      <c r="AC150" s="359">
        <f t="shared" si="68"/>
        <v>2508</v>
      </c>
      <c r="AD150" s="326"/>
      <c r="AE150" s="359"/>
      <c r="AF150" s="359"/>
      <c r="AG150" s="359"/>
      <c r="AH150" s="359"/>
      <c r="AI150" s="359"/>
      <c r="AJ150" s="327" t="s">
        <v>4196</v>
      </c>
    </row>
    <row r="151" s="255" customFormat="1" ht="50" customHeight="1" spans="1:36">
      <c r="A151" s="384" t="s">
        <v>839</v>
      </c>
      <c r="B151" s="384" t="s">
        <v>840</v>
      </c>
      <c r="C151" s="318" t="str">
        <f t="shared" si="63"/>
        <v>45001692879298TQ1-S001狗蛋四代PDQ48</v>
      </c>
      <c r="D151" s="385">
        <v>4500169287</v>
      </c>
      <c r="E151" s="386" t="s">
        <v>2577</v>
      </c>
      <c r="F151" s="357" t="s">
        <v>2578</v>
      </c>
      <c r="G151" s="380">
        <v>48</v>
      </c>
      <c r="H151" s="380">
        <v>0</v>
      </c>
      <c r="I151" s="380">
        <v>12</v>
      </c>
      <c r="J151" s="380">
        <f t="shared" si="56"/>
        <v>4</v>
      </c>
      <c r="K151" s="387">
        <v>45859</v>
      </c>
      <c r="L151" s="387">
        <f t="shared" si="66"/>
        <v>45855</v>
      </c>
      <c r="M151" s="382"/>
      <c r="N151" s="384" t="s">
        <v>513</v>
      </c>
      <c r="O151" s="328"/>
      <c r="P151" s="329"/>
      <c r="Q151" s="329"/>
      <c r="R151" s="330"/>
      <c r="S151" s="380"/>
      <c r="T151" s="380">
        <f t="shared" si="72"/>
        <v>48</v>
      </c>
      <c r="U151" s="330"/>
      <c r="V151" s="357"/>
      <c r="W151" s="357"/>
      <c r="X151" s="380"/>
      <c r="Y151" s="380"/>
      <c r="Z151" s="333">
        <f t="shared" si="69"/>
        <v>48</v>
      </c>
      <c r="AA151" s="359"/>
      <c r="AB151" s="326"/>
      <c r="AC151" s="359">
        <f t="shared" si="68"/>
        <v>48</v>
      </c>
      <c r="AD151" s="326"/>
      <c r="AE151" s="359"/>
      <c r="AF151" s="343">
        <f t="shared" si="71"/>
        <v>8</v>
      </c>
      <c r="AG151" s="359"/>
      <c r="AH151" s="359"/>
      <c r="AI151" s="359"/>
      <c r="AJ151" s="264" t="s">
        <v>13066</v>
      </c>
    </row>
    <row r="152" s="255" customFormat="1" ht="50" customHeight="1" spans="1:36">
      <c r="A152" s="384" t="s">
        <v>568</v>
      </c>
      <c r="B152" s="384" t="s">
        <v>569</v>
      </c>
      <c r="C152" s="318" t="str">
        <f t="shared" si="63"/>
        <v>450016930092123-S001-9298狗蛋四代混装（92104+9298）1200</v>
      </c>
      <c r="D152" s="385">
        <v>4500169300</v>
      </c>
      <c r="E152" s="386" t="s">
        <v>3352</v>
      </c>
      <c r="F152" s="357" t="s">
        <v>3353</v>
      </c>
      <c r="G152" s="380">
        <v>1200</v>
      </c>
      <c r="H152" s="380">
        <v>0</v>
      </c>
      <c r="I152" s="380">
        <v>12</v>
      </c>
      <c r="J152" s="380">
        <f t="shared" si="56"/>
        <v>100</v>
      </c>
      <c r="K152" s="387">
        <v>45859</v>
      </c>
      <c r="L152" s="387">
        <f t="shared" si="66"/>
        <v>45855</v>
      </c>
      <c r="M152" s="376" t="s">
        <v>4106</v>
      </c>
      <c r="N152" s="384" t="s">
        <v>578</v>
      </c>
      <c r="O152" s="328"/>
      <c r="P152" s="329"/>
      <c r="Q152" s="329"/>
      <c r="R152" s="330"/>
      <c r="S152" s="380"/>
      <c r="T152" s="380"/>
      <c r="U152" s="330"/>
      <c r="V152" s="357"/>
      <c r="W152" s="357">
        <f t="shared" ref="W152:W157" si="73">G152</f>
        <v>1200</v>
      </c>
      <c r="X152" s="380"/>
      <c r="Y152" s="380"/>
      <c r="Z152" s="333">
        <f t="shared" si="69"/>
        <v>1200</v>
      </c>
      <c r="AA152" s="359"/>
      <c r="AB152" s="326"/>
      <c r="AC152" s="359">
        <f t="shared" si="68"/>
        <v>1200</v>
      </c>
      <c r="AD152" s="326"/>
      <c r="AE152" s="359"/>
      <c r="AF152" s="359"/>
      <c r="AG152" s="359"/>
      <c r="AH152" s="359"/>
      <c r="AI152" s="359"/>
      <c r="AJ152" s="327" t="s">
        <v>4196</v>
      </c>
    </row>
    <row r="153" s="255" customFormat="1" ht="50" customHeight="1" spans="1:36">
      <c r="A153" s="384" t="s">
        <v>523</v>
      </c>
      <c r="B153" s="384" t="s">
        <v>524</v>
      </c>
      <c r="C153" s="318" t="str">
        <f t="shared" si="63"/>
        <v>45001697519298TQ1-S001狗蛋四代PDQ180</v>
      </c>
      <c r="D153" s="385">
        <v>4500169751</v>
      </c>
      <c r="E153" s="386" t="s">
        <v>2577</v>
      </c>
      <c r="F153" s="357" t="s">
        <v>2578</v>
      </c>
      <c r="G153" s="380">
        <v>180</v>
      </c>
      <c r="H153" s="380">
        <v>0</v>
      </c>
      <c r="I153" s="380">
        <v>12</v>
      </c>
      <c r="J153" s="380">
        <f t="shared" si="56"/>
        <v>15</v>
      </c>
      <c r="K153" s="387">
        <v>45859</v>
      </c>
      <c r="L153" s="387">
        <v>45855</v>
      </c>
      <c r="M153" s="376"/>
      <c r="N153" s="384" t="s">
        <v>459</v>
      </c>
      <c r="O153" s="328"/>
      <c r="P153" s="329"/>
      <c r="Q153" s="329"/>
      <c r="R153" s="330"/>
      <c r="S153" s="380"/>
      <c r="T153" s="380"/>
      <c r="U153" s="330"/>
      <c r="V153" s="324"/>
      <c r="W153" s="324">
        <f t="shared" si="73"/>
        <v>180</v>
      </c>
      <c r="X153" s="380"/>
      <c r="Y153" s="380"/>
      <c r="Z153" s="333">
        <f t="shared" si="69"/>
        <v>180</v>
      </c>
      <c r="AA153" s="359"/>
      <c r="AB153" s="326"/>
      <c r="AC153" s="359">
        <f t="shared" si="68"/>
        <v>180</v>
      </c>
      <c r="AD153" s="326"/>
      <c r="AE153" s="359"/>
      <c r="AF153" s="343">
        <f t="shared" ref="AF153:AF157" si="74">G153/6</f>
        <v>30</v>
      </c>
      <c r="AG153" s="359"/>
      <c r="AH153" s="359"/>
      <c r="AI153" s="359"/>
      <c r="AJ153" s="264" t="s">
        <v>13066</v>
      </c>
    </row>
    <row r="154" s="255" customFormat="1" ht="50" customHeight="1" spans="1:36">
      <c r="A154" s="384" t="s">
        <v>505</v>
      </c>
      <c r="B154" s="384" t="s">
        <v>506</v>
      </c>
      <c r="C154" s="318" t="str">
        <f t="shared" si="63"/>
        <v>45001692869298TQ1-S001狗蛋四代PDQ1452</v>
      </c>
      <c r="D154" s="385">
        <v>4500169286</v>
      </c>
      <c r="E154" s="386" t="s">
        <v>2577</v>
      </c>
      <c r="F154" s="357" t="s">
        <v>2578</v>
      </c>
      <c r="G154" s="380">
        <v>1452</v>
      </c>
      <c r="H154" s="380">
        <v>0</v>
      </c>
      <c r="I154" s="380">
        <v>12</v>
      </c>
      <c r="J154" s="380">
        <f t="shared" si="56"/>
        <v>121</v>
      </c>
      <c r="K154" s="387">
        <v>45859</v>
      </c>
      <c r="L154" s="387">
        <v>45855</v>
      </c>
      <c r="M154" s="376"/>
      <c r="N154" s="384" t="s">
        <v>513</v>
      </c>
      <c r="O154" s="328"/>
      <c r="P154" s="329"/>
      <c r="Q154" s="329"/>
      <c r="R154" s="330"/>
      <c r="S154" s="380"/>
      <c r="T154" s="380">
        <f t="shared" ref="T154:T156" si="75">G154</f>
        <v>1452</v>
      </c>
      <c r="U154" s="330"/>
      <c r="V154" s="357"/>
      <c r="W154" s="357"/>
      <c r="X154" s="380"/>
      <c r="Y154" s="380"/>
      <c r="Z154" s="333">
        <f t="shared" si="69"/>
        <v>1452</v>
      </c>
      <c r="AA154" s="359"/>
      <c r="AB154" s="326"/>
      <c r="AC154" s="359">
        <f t="shared" si="68"/>
        <v>1452</v>
      </c>
      <c r="AD154" s="326"/>
      <c r="AE154" s="359"/>
      <c r="AF154" s="343">
        <f t="shared" si="74"/>
        <v>242</v>
      </c>
      <c r="AG154" s="359"/>
      <c r="AH154" s="359"/>
      <c r="AI154" s="359"/>
      <c r="AJ154" s="264" t="s">
        <v>13066</v>
      </c>
    </row>
    <row r="155" s="251" customFormat="1" ht="50" customHeight="1" spans="1:36">
      <c r="A155" s="365" t="s">
        <v>340</v>
      </c>
      <c r="B155" s="365" t="s">
        <v>341</v>
      </c>
      <c r="C155" s="318" t="str">
        <f t="shared" si="63"/>
        <v>450016456492124-S001-9298狗蛋四代混装（92119+9298+92104）2701</v>
      </c>
      <c r="D155" s="345">
        <v>4500164564</v>
      </c>
      <c r="E155" s="367" t="s">
        <v>3343</v>
      </c>
      <c r="F155" s="324" t="s">
        <v>3344</v>
      </c>
      <c r="G155" s="345">
        <v>2701</v>
      </c>
      <c r="H155" s="345">
        <v>0</v>
      </c>
      <c r="I155" s="345">
        <v>1</v>
      </c>
      <c r="J155" s="345">
        <f t="shared" si="56"/>
        <v>2701</v>
      </c>
      <c r="K155" s="353">
        <v>45863</v>
      </c>
      <c r="L155" s="353">
        <v>45859</v>
      </c>
      <c r="M155" s="360"/>
      <c r="N155" s="365" t="s">
        <v>4392</v>
      </c>
      <c r="O155" s="328"/>
      <c r="P155" s="329"/>
      <c r="Q155" s="329"/>
      <c r="R155" s="330"/>
      <c r="S155" s="333"/>
      <c r="T155" s="333">
        <f t="shared" si="75"/>
        <v>2701</v>
      </c>
      <c r="U155" s="330"/>
      <c r="V155" s="324"/>
      <c r="W155" s="324"/>
      <c r="X155" s="333"/>
      <c r="Y155" s="333"/>
      <c r="Z155" s="333">
        <f t="shared" si="69"/>
        <v>2701</v>
      </c>
      <c r="AA155" s="340"/>
      <c r="AB155" s="326"/>
      <c r="AC155" s="340">
        <f t="shared" si="68"/>
        <v>2701</v>
      </c>
      <c r="AD155" s="326"/>
      <c r="AE155" s="340"/>
      <c r="AF155" s="340"/>
      <c r="AG155" s="340"/>
      <c r="AH155" s="340"/>
      <c r="AI155" s="340"/>
      <c r="AJ155" s="327" t="s">
        <v>4196</v>
      </c>
    </row>
    <row r="156" s="251" customFormat="1" ht="50" customHeight="1" spans="1:36">
      <c r="A156" s="365" t="s">
        <v>340</v>
      </c>
      <c r="B156" s="365" t="s">
        <v>341</v>
      </c>
      <c r="C156" s="318" t="str">
        <f t="shared" si="63"/>
        <v>450016456492124-S001-9298狗蛋四代混装（92119+9298+92104）1299</v>
      </c>
      <c r="D156" s="345">
        <v>4500164564</v>
      </c>
      <c r="E156" s="367" t="s">
        <v>3343</v>
      </c>
      <c r="F156" s="324" t="s">
        <v>3344</v>
      </c>
      <c r="G156" s="345">
        <v>1299</v>
      </c>
      <c r="H156" s="345">
        <v>0</v>
      </c>
      <c r="I156" s="345">
        <v>1</v>
      </c>
      <c r="J156" s="345">
        <f t="shared" si="56"/>
        <v>1299</v>
      </c>
      <c r="K156" s="353">
        <v>45863</v>
      </c>
      <c r="L156" s="353">
        <v>45859</v>
      </c>
      <c r="M156" s="360"/>
      <c r="N156" s="365" t="s">
        <v>4392</v>
      </c>
      <c r="O156" s="328"/>
      <c r="P156" s="329"/>
      <c r="Q156" s="329"/>
      <c r="R156" s="330"/>
      <c r="S156" s="333"/>
      <c r="T156" s="333">
        <f t="shared" si="75"/>
        <v>1299</v>
      </c>
      <c r="U156" s="330"/>
      <c r="V156" s="324"/>
      <c r="W156" s="324"/>
      <c r="X156" s="333"/>
      <c r="Y156" s="333"/>
      <c r="Z156" s="333">
        <f t="shared" si="69"/>
        <v>1299</v>
      </c>
      <c r="AA156" s="340"/>
      <c r="AB156" s="326"/>
      <c r="AC156" s="340">
        <f t="shared" si="68"/>
        <v>1299</v>
      </c>
      <c r="AD156" s="326"/>
      <c r="AE156" s="340"/>
      <c r="AF156" s="340"/>
      <c r="AG156" s="340"/>
      <c r="AH156" s="340"/>
      <c r="AI156" s="340"/>
      <c r="AJ156" s="327" t="s">
        <v>4196</v>
      </c>
    </row>
    <row r="157" s="255" customFormat="1" ht="50" customHeight="1" spans="1:36">
      <c r="A157" s="384" t="s">
        <v>4395</v>
      </c>
      <c r="B157" s="384" t="s">
        <v>524</v>
      </c>
      <c r="C157" s="318" t="str">
        <f t="shared" si="63"/>
        <v>45001696049298TQ1-S001狗蛋四代PDQ600</v>
      </c>
      <c r="D157" s="385">
        <v>4500169604</v>
      </c>
      <c r="E157" s="386" t="s">
        <v>2577</v>
      </c>
      <c r="F157" s="357" t="s">
        <v>2578</v>
      </c>
      <c r="G157" s="380">
        <v>600</v>
      </c>
      <c r="H157" s="380">
        <v>0</v>
      </c>
      <c r="I157" s="380">
        <v>12</v>
      </c>
      <c r="J157" s="380">
        <f t="shared" si="56"/>
        <v>50</v>
      </c>
      <c r="K157" s="387">
        <v>45863</v>
      </c>
      <c r="L157" s="387">
        <v>45859</v>
      </c>
      <c r="M157" s="382"/>
      <c r="N157" s="384" t="s">
        <v>459</v>
      </c>
      <c r="O157" s="328"/>
      <c r="P157" s="329"/>
      <c r="Q157" s="329"/>
      <c r="R157" s="330"/>
      <c r="S157" s="380"/>
      <c r="T157" s="380"/>
      <c r="U157" s="330"/>
      <c r="V157" s="324"/>
      <c r="W157" s="324">
        <f t="shared" si="73"/>
        <v>600</v>
      </c>
      <c r="X157" s="380"/>
      <c r="Y157" s="380"/>
      <c r="Z157" s="333">
        <f t="shared" si="69"/>
        <v>600</v>
      </c>
      <c r="AA157" s="359"/>
      <c r="AB157" s="326"/>
      <c r="AC157" s="359">
        <f t="shared" si="68"/>
        <v>600</v>
      </c>
      <c r="AD157" s="326"/>
      <c r="AE157" s="359"/>
      <c r="AF157" s="343">
        <f t="shared" si="74"/>
        <v>100</v>
      </c>
      <c r="AG157" s="359"/>
      <c r="AH157" s="359"/>
      <c r="AI157" s="359"/>
      <c r="AJ157" s="264" t="s">
        <v>13066</v>
      </c>
    </row>
    <row r="158" s="251" customFormat="1" ht="50" customHeight="1" spans="1:36">
      <c r="A158" s="331" t="s">
        <v>1315</v>
      </c>
      <c r="B158" s="324" t="s">
        <v>1316</v>
      </c>
      <c r="C158" s="318" t="str">
        <f t="shared" si="63"/>
        <v>4500162579MTQ41-S001-92135狗蛋四代混装（9279+9298）900</v>
      </c>
      <c r="D158" s="332">
        <v>4500162579</v>
      </c>
      <c r="E158" s="324" t="s">
        <v>3821</v>
      </c>
      <c r="F158" s="324" t="s">
        <v>1320</v>
      </c>
      <c r="G158" s="333">
        <v>900</v>
      </c>
      <c r="H158" s="333">
        <v>0</v>
      </c>
      <c r="I158" s="333">
        <v>4</v>
      </c>
      <c r="J158" s="333">
        <f t="shared" si="56"/>
        <v>225</v>
      </c>
      <c r="K158" s="334">
        <v>45864</v>
      </c>
      <c r="L158" s="334">
        <f t="shared" ref="L158:L160" si="76">K158-4</f>
        <v>45860</v>
      </c>
      <c r="M158" s="360"/>
      <c r="N158" s="324" t="s">
        <v>1326</v>
      </c>
      <c r="O158" s="328"/>
      <c r="P158" s="329"/>
      <c r="Q158" s="329"/>
      <c r="R158" s="330"/>
      <c r="S158" s="333"/>
      <c r="T158" s="333"/>
      <c r="U158" s="330"/>
      <c r="V158" s="324"/>
      <c r="W158" s="324"/>
      <c r="X158" s="333">
        <f t="shared" ref="X158:X161" si="77">G158</f>
        <v>900</v>
      </c>
      <c r="Y158" s="333"/>
      <c r="Z158" s="333"/>
      <c r="AA158" s="340">
        <f t="shared" ref="AA158:AA160" si="78">G158</f>
        <v>900</v>
      </c>
      <c r="AB158" s="326"/>
      <c r="AC158" s="340">
        <f t="shared" si="68"/>
        <v>900</v>
      </c>
      <c r="AD158" s="326"/>
      <c r="AE158" s="340"/>
      <c r="AF158" s="340"/>
      <c r="AG158" s="340"/>
      <c r="AH158" s="340"/>
      <c r="AI158" s="340"/>
      <c r="AJ158" s="327" t="s">
        <v>13065</v>
      </c>
    </row>
    <row r="159" s="251" customFormat="1" ht="50" customHeight="1" spans="1:36">
      <c r="A159" s="331" t="s">
        <v>1315</v>
      </c>
      <c r="B159" s="324" t="s">
        <v>1316</v>
      </c>
      <c r="C159" s="318" t="str">
        <f t="shared" si="63"/>
        <v>4500162586MTQ41-S001-92135狗蛋四代混装（9279+9298）2700</v>
      </c>
      <c r="D159" s="332">
        <v>4500162586</v>
      </c>
      <c r="E159" s="324" t="s">
        <v>3821</v>
      </c>
      <c r="F159" s="324" t="s">
        <v>1320</v>
      </c>
      <c r="G159" s="333">
        <v>2700</v>
      </c>
      <c r="H159" s="333">
        <v>0</v>
      </c>
      <c r="I159" s="333">
        <v>4</v>
      </c>
      <c r="J159" s="333">
        <f t="shared" si="56"/>
        <v>675</v>
      </c>
      <c r="K159" s="334">
        <v>45866</v>
      </c>
      <c r="L159" s="334">
        <f t="shared" si="76"/>
        <v>45862</v>
      </c>
      <c r="M159" s="360"/>
      <c r="N159" s="324" t="s">
        <v>1326</v>
      </c>
      <c r="O159" s="328"/>
      <c r="P159" s="329"/>
      <c r="Q159" s="329"/>
      <c r="R159" s="330"/>
      <c r="S159" s="333"/>
      <c r="T159" s="333"/>
      <c r="U159" s="330"/>
      <c r="V159" s="324"/>
      <c r="W159" s="324"/>
      <c r="X159" s="333">
        <f t="shared" si="77"/>
        <v>2700</v>
      </c>
      <c r="Y159" s="333"/>
      <c r="Z159" s="333"/>
      <c r="AA159" s="340">
        <f t="shared" si="78"/>
        <v>2700</v>
      </c>
      <c r="AB159" s="326"/>
      <c r="AC159" s="340">
        <f t="shared" si="68"/>
        <v>2700</v>
      </c>
      <c r="AD159" s="326"/>
      <c r="AE159" s="340"/>
      <c r="AF159" s="340"/>
      <c r="AG159" s="340"/>
      <c r="AH159" s="340"/>
      <c r="AI159" s="340"/>
      <c r="AJ159" s="327" t="s">
        <v>13065</v>
      </c>
    </row>
    <row r="160" s="251" customFormat="1" ht="50" customHeight="1" spans="1:36">
      <c r="A160" s="331" t="s">
        <v>1315</v>
      </c>
      <c r="B160" s="324" t="s">
        <v>1316</v>
      </c>
      <c r="C160" s="318" t="str">
        <f t="shared" si="63"/>
        <v>4500162586MTQ41-S001-92135狗蛋四代混装（9279+9298）3824</v>
      </c>
      <c r="D160" s="332">
        <v>4500162586</v>
      </c>
      <c r="E160" s="324" t="s">
        <v>3821</v>
      </c>
      <c r="F160" s="324" t="s">
        <v>1320</v>
      </c>
      <c r="G160" s="333">
        <v>3824</v>
      </c>
      <c r="H160" s="333">
        <v>0</v>
      </c>
      <c r="I160" s="333">
        <v>4</v>
      </c>
      <c r="J160" s="333">
        <f t="shared" si="56"/>
        <v>956</v>
      </c>
      <c r="K160" s="334">
        <v>45866</v>
      </c>
      <c r="L160" s="334">
        <f t="shared" si="76"/>
        <v>45862</v>
      </c>
      <c r="M160" s="360"/>
      <c r="N160" s="324" t="s">
        <v>1326</v>
      </c>
      <c r="O160" s="328"/>
      <c r="P160" s="329"/>
      <c r="Q160" s="329"/>
      <c r="R160" s="330"/>
      <c r="S160" s="333"/>
      <c r="T160" s="333"/>
      <c r="U160" s="330"/>
      <c r="V160" s="324"/>
      <c r="W160" s="324"/>
      <c r="X160" s="333">
        <f t="shared" si="77"/>
        <v>3824</v>
      </c>
      <c r="Y160" s="333"/>
      <c r="Z160" s="333"/>
      <c r="AA160" s="340">
        <f t="shared" si="78"/>
        <v>3824</v>
      </c>
      <c r="AB160" s="326"/>
      <c r="AC160" s="340">
        <f t="shared" si="68"/>
        <v>3824</v>
      </c>
      <c r="AD160" s="326"/>
      <c r="AE160" s="340"/>
      <c r="AF160" s="340"/>
      <c r="AG160" s="340"/>
      <c r="AH160" s="340"/>
      <c r="AI160" s="340"/>
      <c r="AJ160" s="327" t="s">
        <v>13065</v>
      </c>
    </row>
    <row r="161" s="251" customFormat="1" ht="50" customHeight="1" spans="1:36">
      <c r="A161" s="331" t="s">
        <v>3744</v>
      </c>
      <c r="B161" s="324" t="s">
        <v>91</v>
      </c>
      <c r="C161" s="318" t="str">
        <f t="shared" si="63"/>
        <v>45001640729298-S006-PKC狗蛋四代胶袋2只装33684</v>
      </c>
      <c r="D161" s="332">
        <v>4500164072</v>
      </c>
      <c r="E161" s="324" t="s">
        <v>2608</v>
      </c>
      <c r="F161" s="324" t="s">
        <v>2609</v>
      </c>
      <c r="G161" s="333">
        <v>33684</v>
      </c>
      <c r="H161" s="333">
        <v>0</v>
      </c>
      <c r="I161" s="333">
        <v>6</v>
      </c>
      <c r="J161" s="333">
        <f t="shared" si="56"/>
        <v>5614</v>
      </c>
      <c r="K161" s="334">
        <v>45866</v>
      </c>
      <c r="L161" s="334">
        <v>45862</v>
      </c>
      <c r="M161" s="318" t="s">
        <v>13067</v>
      </c>
      <c r="N161" s="324" t="s">
        <v>4158</v>
      </c>
      <c r="O161" s="328"/>
      <c r="P161" s="329"/>
      <c r="Q161" s="329"/>
      <c r="R161" s="330"/>
      <c r="S161" s="333"/>
      <c r="T161" s="333"/>
      <c r="U161" s="330"/>
      <c r="V161" s="324"/>
      <c r="W161" s="324"/>
      <c r="X161" s="333">
        <f t="shared" si="77"/>
        <v>33684</v>
      </c>
      <c r="Y161" s="333"/>
      <c r="Z161" s="333">
        <f t="shared" ref="Z161:Z163" si="79">G161</f>
        <v>33684</v>
      </c>
      <c r="AA161" s="340"/>
      <c r="AB161" s="326"/>
      <c r="AC161" s="340">
        <f t="shared" si="68"/>
        <v>33684</v>
      </c>
      <c r="AD161" s="326"/>
      <c r="AE161" s="340"/>
      <c r="AF161" s="340"/>
      <c r="AG161" s="340"/>
      <c r="AH161" s="340"/>
      <c r="AI161" s="340"/>
      <c r="AJ161" s="327" t="s">
        <v>4196</v>
      </c>
    </row>
    <row r="162" s="255" customFormat="1" ht="50" customHeight="1" spans="1:36">
      <c r="A162" s="379" t="s">
        <v>839</v>
      </c>
      <c r="B162" s="357" t="s">
        <v>840</v>
      </c>
      <c r="C162" s="318" t="str">
        <f t="shared" si="63"/>
        <v>45001698799298TQ1-S001狗蛋四代PDQ72</v>
      </c>
      <c r="D162" s="362">
        <v>4500169879</v>
      </c>
      <c r="E162" s="357" t="s">
        <v>2577</v>
      </c>
      <c r="F162" s="357" t="s">
        <v>2578</v>
      </c>
      <c r="G162" s="380">
        <v>72</v>
      </c>
      <c r="H162" s="380">
        <v>0</v>
      </c>
      <c r="I162" s="380">
        <v>12</v>
      </c>
      <c r="J162" s="380">
        <f t="shared" si="56"/>
        <v>6</v>
      </c>
      <c r="K162" s="370">
        <v>45866</v>
      </c>
      <c r="L162" s="370">
        <v>45862</v>
      </c>
      <c r="M162" s="357"/>
      <c r="N162" s="357" t="s">
        <v>513</v>
      </c>
      <c r="O162" s="328"/>
      <c r="P162" s="329"/>
      <c r="Q162" s="329"/>
      <c r="R162" s="330"/>
      <c r="S162" s="380"/>
      <c r="T162" s="380">
        <f>G162</f>
        <v>72</v>
      </c>
      <c r="U162" s="330"/>
      <c r="V162" s="357"/>
      <c r="W162" s="357"/>
      <c r="X162" s="380"/>
      <c r="Y162" s="380"/>
      <c r="Z162" s="333">
        <f t="shared" si="79"/>
        <v>72</v>
      </c>
      <c r="AA162" s="359"/>
      <c r="AB162" s="326"/>
      <c r="AC162" s="359">
        <f t="shared" si="68"/>
        <v>72</v>
      </c>
      <c r="AD162" s="326"/>
      <c r="AE162" s="359"/>
      <c r="AF162" s="343">
        <f>G162/6</f>
        <v>12</v>
      </c>
      <c r="AG162" s="359"/>
      <c r="AH162" s="359"/>
      <c r="AI162" s="359"/>
      <c r="AJ162" s="264" t="s">
        <v>13066</v>
      </c>
    </row>
    <row r="163" s="255" customFormat="1" ht="50" customHeight="1" spans="1:36">
      <c r="A163" s="379" t="s">
        <v>505</v>
      </c>
      <c r="B163" s="357" t="s">
        <v>506</v>
      </c>
      <c r="C163" s="318" t="str">
        <f t="shared" si="63"/>
        <v>45001698789298TQ1-S001狗蛋四代PDQ1428</v>
      </c>
      <c r="D163" s="362">
        <v>4500169878</v>
      </c>
      <c r="E163" s="357" t="s">
        <v>2577</v>
      </c>
      <c r="F163" s="357" t="s">
        <v>2578</v>
      </c>
      <c r="G163" s="380">
        <v>1428</v>
      </c>
      <c r="H163" s="380">
        <v>0</v>
      </c>
      <c r="I163" s="380">
        <v>12</v>
      </c>
      <c r="J163" s="380">
        <f t="shared" si="56"/>
        <v>119</v>
      </c>
      <c r="K163" s="370">
        <v>45866</v>
      </c>
      <c r="L163" s="370">
        <v>45862</v>
      </c>
      <c r="M163" s="357"/>
      <c r="N163" s="357" t="s">
        <v>513</v>
      </c>
      <c r="O163" s="328"/>
      <c r="P163" s="329"/>
      <c r="Q163" s="329"/>
      <c r="R163" s="330"/>
      <c r="S163" s="380"/>
      <c r="T163" s="380">
        <f>G163</f>
        <v>1428</v>
      </c>
      <c r="U163" s="330"/>
      <c r="V163" s="357"/>
      <c r="W163" s="357"/>
      <c r="X163" s="380"/>
      <c r="Y163" s="380"/>
      <c r="Z163" s="333">
        <f t="shared" si="79"/>
        <v>1428</v>
      </c>
      <c r="AA163" s="359"/>
      <c r="AB163" s="326"/>
      <c r="AC163" s="359">
        <f t="shared" si="68"/>
        <v>1428</v>
      </c>
      <c r="AD163" s="326"/>
      <c r="AE163" s="359"/>
      <c r="AF163" s="343">
        <f>G163/6</f>
        <v>238</v>
      </c>
      <c r="AG163" s="359"/>
      <c r="AH163" s="359"/>
      <c r="AI163" s="359"/>
      <c r="AJ163" s="264" t="s">
        <v>13066</v>
      </c>
    </row>
    <row r="164" s="251" customFormat="1" ht="50" customHeight="1" spans="1:36">
      <c r="A164" s="331" t="s">
        <v>1315</v>
      </c>
      <c r="B164" s="324" t="s">
        <v>1316</v>
      </c>
      <c r="C164" s="318" t="str">
        <f t="shared" si="63"/>
        <v>4500166280MTQ41-S001-92135狗蛋四代混装（9279+9298）3040</v>
      </c>
      <c r="D164" s="332">
        <v>4500166280</v>
      </c>
      <c r="E164" s="324" t="s">
        <v>3821</v>
      </c>
      <c r="F164" s="324" t="s">
        <v>1320</v>
      </c>
      <c r="G164" s="333">
        <v>3040</v>
      </c>
      <c r="H164" s="333">
        <v>0</v>
      </c>
      <c r="I164" s="333">
        <v>4</v>
      </c>
      <c r="J164" s="333">
        <f t="shared" si="56"/>
        <v>760</v>
      </c>
      <c r="K164" s="334">
        <v>45871</v>
      </c>
      <c r="L164" s="334">
        <f t="shared" ref="L164:L169" si="80">K164-4</f>
        <v>45867</v>
      </c>
      <c r="M164" s="324" t="s">
        <v>1558</v>
      </c>
      <c r="N164" s="324" t="s">
        <v>1326</v>
      </c>
      <c r="O164" s="328"/>
      <c r="P164" s="329"/>
      <c r="Q164" s="329"/>
      <c r="R164" s="330"/>
      <c r="S164" s="333"/>
      <c r="T164" s="333"/>
      <c r="U164" s="330"/>
      <c r="V164" s="324"/>
      <c r="W164" s="324"/>
      <c r="X164" s="333">
        <f t="shared" ref="X164:X169" si="81">G164</f>
        <v>3040</v>
      </c>
      <c r="Y164" s="333"/>
      <c r="Z164" s="333"/>
      <c r="AA164" s="340">
        <f t="shared" ref="AA164:AA169" si="82">G164</f>
        <v>3040</v>
      </c>
      <c r="AB164" s="326"/>
      <c r="AC164" s="340">
        <f t="shared" si="68"/>
        <v>3040</v>
      </c>
      <c r="AD164" s="326"/>
      <c r="AE164" s="340"/>
      <c r="AF164" s="340"/>
      <c r="AG164" s="340"/>
      <c r="AH164" s="340"/>
      <c r="AI164" s="340"/>
      <c r="AJ164" s="327" t="s">
        <v>13065</v>
      </c>
    </row>
    <row r="165" s="251" customFormat="1" ht="50" customHeight="1" spans="1:36">
      <c r="A165" s="331" t="s">
        <v>1315</v>
      </c>
      <c r="B165" s="324" t="s">
        <v>1316</v>
      </c>
      <c r="C165" s="318" t="str">
        <f t="shared" si="63"/>
        <v>4500162586MTQ41-S001-92135狗蛋四代混装（9279+9298）900</v>
      </c>
      <c r="D165" s="332">
        <v>4500162586</v>
      </c>
      <c r="E165" s="324" t="s">
        <v>3821</v>
      </c>
      <c r="F165" s="324" t="s">
        <v>1320</v>
      </c>
      <c r="G165" s="333">
        <v>900</v>
      </c>
      <c r="H165" s="333">
        <v>0</v>
      </c>
      <c r="I165" s="333">
        <v>4</v>
      </c>
      <c r="J165" s="333">
        <f t="shared" si="56"/>
        <v>225</v>
      </c>
      <c r="K165" s="334">
        <v>45871</v>
      </c>
      <c r="L165" s="334">
        <f t="shared" si="80"/>
        <v>45867</v>
      </c>
      <c r="M165" s="360"/>
      <c r="N165" s="324" t="s">
        <v>1326</v>
      </c>
      <c r="O165" s="328"/>
      <c r="P165" s="329"/>
      <c r="Q165" s="329"/>
      <c r="R165" s="330"/>
      <c r="S165" s="333"/>
      <c r="T165" s="333"/>
      <c r="U165" s="330"/>
      <c r="V165" s="324"/>
      <c r="W165" s="324"/>
      <c r="X165" s="333">
        <f t="shared" si="81"/>
        <v>900</v>
      </c>
      <c r="Y165" s="333"/>
      <c r="Z165" s="333"/>
      <c r="AA165" s="340">
        <f t="shared" si="82"/>
        <v>900</v>
      </c>
      <c r="AB165" s="326"/>
      <c r="AC165" s="340">
        <f t="shared" si="68"/>
        <v>900</v>
      </c>
      <c r="AD165" s="326"/>
      <c r="AE165" s="340"/>
      <c r="AF165" s="340"/>
      <c r="AG165" s="340"/>
      <c r="AH165" s="340"/>
      <c r="AI165" s="340"/>
      <c r="AJ165" s="327" t="s">
        <v>13065</v>
      </c>
    </row>
    <row r="166" s="251" customFormat="1" ht="50" customHeight="1" spans="1:36">
      <c r="A166" s="331" t="s">
        <v>1315</v>
      </c>
      <c r="B166" s="324" t="s">
        <v>1316</v>
      </c>
      <c r="C166" s="318" t="str">
        <f t="shared" si="63"/>
        <v>4500166280MTQ41-S001-92135狗蛋四代混装（9279+9298）3800</v>
      </c>
      <c r="D166" s="332">
        <v>4500166280</v>
      </c>
      <c r="E166" s="324" t="s">
        <v>3821</v>
      </c>
      <c r="F166" s="324" t="s">
        <v>1320</v>
      </c>
      <c r="G166" s="333">
        <v>3800</v>
      </c>
      <c r="H166" s="333">
        <v>0</v>
      </c>
      <c r="I166" s="333">
        <v>4</v>
      </c>
      <c r="J166" s="333">
        <f t="shared" si="56"/>
        <v>950</v>
      </c>
      <c r="K166" s="334">
        <v>45878</v>
      </c>
      <c r="L166" s="334">
        <f t="shared" si="80"/>
        <v>45874</v>
      </c>
      <c r="M166" s="324" t="s">
        <v>1745</v>
      </c>
      <c r="N166" s="324" t="s">
        <v>1326</v>
      </c>
      <c r="O166" s="328"/>
      <c r="P166" s="329"/>
      <c r="Q166" s="329"/>
      <c r="R166" s="330"/>
      <c r="S166" s="333"/>
      <c r="T166" s="333"/>
      <c r="U166" s="330"/>
      <c r="V166" s="324"/>
      <c r="W166" s="324"/>
      <c r="X166" s="333">
        <f t="shared" si="81"/>
        <v>3800</v>
      </c>
      <c r="Y166" s="333"/>
      <c r="Z166" s="333"/>
      <c r="AA166" s="340">
        <f t="shared" si="82"/>
        <v>3800</v>
      </c>
      <c r="AB166" s="326"/>
      <c r="AC166" s="340">
        <f t="shared" si="68"/>
        <v>3800</v>
      </c>
      <c r="AD166" s="326"/>
      <c r="AE166" s="340"/>
      <c r="AF166" s="340"/>
      <c r="AG166" s="340"/>
      <c r="AH166" s="340"/>
      <c r="AI166" s="340"/>
      <c r="AJ166" s="327" t="s">
        <v>13065</v>
      </c>
    </row>
    <row r="167" s="251" customFormat="1" ht="50" customHeight="1" spans="1:36">
      <c r="A167" s="331" t="s">
        <v>1315</v>
      </c>
      <c r="B167" s="324" t="s">
        <v>1316</v>
      </c>
      <c r="C167" s="318" t="str">
        <f t="shared" si="63"/>
        <v>4500166280MTQ41-S001-92135狗蛋四代混装（9279+9298）4528</v>
      </c>
      <c r="D167" s="332">
        <v>4500166280</v>
      </c>
      <c r="E167" s="324" t="s">
        <v>3821</v>
      </c>
      <c r="F167" s="324" t="s">
        <v>1320</v>
      </c>
      <c r="G167" s="333">
        <v>4528</v>
      </c>
      <c r="H167" s="333">
        <v>0</v>
      </c>
      <c r="I167" s="333">
        <v>4</v>
      </c>
      <c r="J167" s="333">
        <f t="shared" si="56"/>
        <v>1132</v>
      </c>
      <c r="K167" s="334">
        <v>45878</v>
      </c>
      <c r="L167" s="334">
        <f t="shared" si="80"/>
        <v>45874</v>
      </c>
      <c r="M167" s="324" t="s">
        <v>1745</v>
      </c>
      <c r="N167" s="324" t="s">
        <v>1326</v>
      </c>
      <c r="O167" s="328"/>
      <c r="P167" s="329"/>
      <c r="Q167" s="329"/>
      <c r="R167" s="330"/>
      <c r="S167" s="333"/>
      <c r="T167" s="333"/>
      <c r="U167" s="330"/>
      <c r="V167" s="324"/>
      <c r="W167" s="324"/>
      <c r="X167" s="333">
        <f t="shared" si="81"/>
        <v>4528</v>
      </c>
      <c r="Y167" s="333"/>
      <c r="Z167" s="333"/>
      <c r="AA167" s="340">
        <f t="shared" si="82"/>
        <v>4528</v>
      </c>
      <c r="AB167" s="326"/>
      <c r="AC167" s="340">
        <f t="shared" si="68"/>
        <v>4528</v>
      </c>
      <c r="AD167" s="326"/>
      <c r="AE167" s="340"/>
      <c r="AF167" s="340"/>
      <c r="AG167" s="340"/>
      <c r="AH167" s="340"/>
      <c r="AI167" s="340"/>
      <c r="AJ167" s="327" t="s">
        <v>13065</v>
      </c>
    </row>
    <row r="168" s="251" customFormat="1" ht="50" customHeight="1" spans="1:36">
      <c r="A168" s="331" t="s">
        <v>1315</v>
      </c>
      <c r="B168" s="324" t="s">
        <v>1316</v>
      </c>
      <c r="C168" s="318" t="str">
        <f t="shared" si="63"/>
        <v>4500162590MTQ41-S001-92135狗蛋四代混装（9279+9298）2880</v>
      </c>
      <c r="D168" s="332">
        <v>4500162590</v>
      </c>
      <c r="E168" s="324" t="s">
        <v>3821</v>
      </c>
      <c r="F168" s="324" t="s">
        <v>1320</v>
      </c>
      <c r="G168" s="333">
        <v>2880</v>
      </c>
      <c r="H168" s="333">
        <v>0</v>
      </c>
      <c r="I168" s="333">
        <v>4</v>
      </c>
      <c r="J168" s="333">
        <f t="shared" si="56"/>
        <v>720</v>
      </c>
      <c r="K168" s="334">
        <v>45880</v>
      </c>
      <c r="L168" s="334">
        <f t="shared" si="80"/>
        <v>45876</v>
      </c>
      <c r="M168" s="360"/>
      <c r="N168" s="324" t="s">
        <v>1326</v>
      </c>
      <c r="O168" s="328"/>
      <c r="P168" s="329"/>
      <c r="Q168" s="329"/>
      <c r="R168" s="330"/>
      <c r="S168" s="333"/>
      <c r="T168" s="333"/>
      <c r="U168" s="330"/>
      <c r="V168" s="324"/>
      <c r="W168" s="324"/>
      <c r="X168" s="333">
        <f t="shared" si="81"/>
        <v>2880</v>
      </c>
      <c r="Y168" s="333"/>
      <c r="Z168" s="333"/>
      <c r="AA168" s="340">
        <f t="shared" si="82"/>
        <v>2880</v>
      </c>
      <c r="AB168" s="326"/>
      <c r="AC168" s="340">
        <f t="shared" si="68"/>
        <v>2880</v>
      </c>
      <c r="AD168" s="326"/>
      <c r="AE168" s="340"/>
      <c r="AF168" s="340"/>
      <c r="AG168" s="340"/>
      <c r="AH168" s="340"/>
      <c r="AI168" s="340"/>
      <c r="AJ168" s="327" t="s">
        <v>13065</v>
      </c>
    </row>
    <row r="169" s="251" customFormat="1" ht="50" customHeight="1" spans="1:36">
      <c r="A169" s="331" t="s">
        <v>1315</v>
      </c>
      <c r="B169" s="324" t="s">
        <v>1316</v>
      </c>
      <c r="C169" s="318" t="str">
        <f t="shared" si="63"/>
        <v>4500162590MTQ41-S001-92135狗蛋四代混装（9279+9298）4076</v>
      </c>
      <c r="D169" s="332">
        <v>4500162590</v>
      </c>
      <c r="E169" s="324" t="s">
        <v>3821</v>
      </c>
      <c r="F169" s="324" t="s">
        <v>1320</v>
      </c>
      <c r="G169" s="320">
        <v>4076</v>
      </c>
      <c r="H169" s="333">
        <v>0</v>
      </c>
      <c r="I169" s="333">
        <v>4</v>
      </c>
      <c r="J169" s="333">
        <f t="shared" si="56"/>
        <v>1019</v>
      </c>
      <c r="K169" s="334">
        <v>45880</v>
      </c>
      <c r="L169" s="334">
        <f t="shared" si="80"/>
        <v>45876</v>
      </c>
      <c r="M169" s="360"/>
      <c r="N169" s="324" t="s">
        <v>1326</v>
      </c>
      <c r="O169" s="328"/>
      <c r="P169" s="329"/>
      <c r="Q169" s="329"/>
      <c r="R169" s="330"/>
      <c r="S169" s="333"/>
      <c r="T169" s="333"/>
      <c r="U169" s="330"/>
      <c r="V169" s="324"/>
      <c r="W169" s="324"/>
      <c r="X169" s="333">
        <f t="shared" si="81"/>
        <v>4076</v>
      </c>
      <c r="Y169" s="333"/>
      <c r="Z169" s="333"/>
      <c r="AA169" s="340">
        <f t="shared" si="82"/>
        <v>4076</v>
      </c>
      <c r="AB169" s="326"/>
      <c r="AC169" s="340">
        <f t="shared" si="68"/>
        <v>4076</v>
      </c>
      <c r="AD169" s="326"/>
      <c r="AE169" s="340"/>
      <c r="AF169" s="340"/>
      <c r="AG169" s="340"/>
      <c r="AH169" s="340"/>
      <c r="AI169" s="340"/>
      <c r="AJ169" s="327" t="s">
        <v>13065</v>
      </c>
    </row>
    <row r="170" s="251" customFormat="1" ht="50" customHeight="1" spans="1:36">
      <c r="A170" s="331" t="s">
        <v>3685</v>
      </c>
      <c r="B170" s="324" t="s">
        <v>351</v>
      </c>
      <c r="C170" s="318" t="str">
        <f t="shared" si="63"/>
        <v>45001669109298TQ1-S002狗蛋四代408</v>
      </c>
      <c r="D170" s="332">
        <v>4500166910</v>
      </c>
      <c r="E170" s="324" t="s">
        <v>2590</v>
      </c>
      <c r="F170" s="324" t="s">
        <v>2591</v>
      </c>
      <c r="G170" s="333">
        <v>408</v>
      </c>
      <c r="H170" s="333">
        <v>0</v>
      </c>
      <c r="I170" s="333">
        <v>6</v>
      </c>
      <c r="J170" s="333">
        <f t="shared" si="56"/>
        <v>68</v>
      </c>
      <c r="K170" s="334">
        <v>45883</v>
      </c>
      <c r="L170" s="334">
        <v>45880</v>
      </c>
      <c r="M170" s="360"/>
      <c r="N170" s="324" t="s">
        <v>1131</v>
      </c>
      <c r="O170" s="328"/>
      <c r="P170" s="329"/>
      <c r="Q170" s="329"/>
      <c r="R170" s="330"/>
      <c r="S170" s="333"/>
      <c r="T170" s="333">
        <f>G170</f>
        <v>408</v>
      </c>
      <c r="U170" s="330"/>
      <c r="V170" s="324"/>
      <c r="W170" s="324"/>
      <c r="X170" s="333"/>
      <c r="Y170" s="333"/>
      <c r="Z170" s="333">
        <f>G170</f>
        <v>408</v>
      </c>
      <c r="AA170" s="340"/>
      <c r="AB170" s="326"/>
      <c r="AC170" s="340">
        <f t="shared" si="68"/>
        <v>408</v>
      </c>
      <c r="AD170" s="326"/>
      <c r="AE170" s="340"/>
      <c r="AF170" s="340"/>
      <c r="AG170" s="340">
        <f>G170/6</f>
        <v>68</v>
      </c>
      <c r="AH170" s="340"/>
      <c r="AI170" s="340"/>
      <c r="AJ170" s="327" t="s">
        <v>4196</v>
      </c>
    </row>
    <row r="171" s="251" customFormat="1" ht="50" customHeight="1" spans="1:36">
      <c r="A171" s="331" t="s">
        <v>1315</v>
      </c>
      <c r="B171" s="324" t="s">
        <v>1316</v>
      </c>
      <c r="C171" s="318" t="str">
        <f t="shared" si="63"/>
        <v>4500162590MTQ41-S001-92135狗蛋四代混装（9279+9298）960</v>
      </c>
      <c r="D171" s="332">
        <v>4500162590</v>
      </c>
      <c r="E171" s="324" t="s">
        <v>3821</v>
      </c>
      <c r="F171" s="324" t="s">
        <v>1320</v>
      </c>
      <c r="G171" s="333">
        <v>960</v>
      </c>
      <c r="H171" s="333">
        <v>0</v>
      </c>
      <c r="I171" s="333">
        <v>4</v>
      </c>
      <c r="J171" s="333">
        <f t="shared" si="56"/>
        <v>240</v>
      </c>
      <c r="K171" s="334">
        <v>45885</v>
      </c>
      <c r="L171" s="334">
        <f t="shared" ref="L171:L174" si="83">K171-4</f>
        <v>45881</v>
      </c>
      <c r="M171" s="360"/>
      <c r="N171" s="324" t="s">
        <v>1326</v>
      </c>
      <c r="O171" s="328"/>
      <c r="P171" s="329"/>
      <c r="Q171" s="329"/>
      <c r="R171" s="330"/>
      <c r="S171" s="333"/>
      <c r="T171" s="333"/>
      <c r="U171" s="330"/>
      <c r="V171" s="324"/>
      <c r="W171" s="324"/>
      <c r="X171" s="333">
        <f t="shared" ref="X171:X174" si="84">G171</f>
        <v>960</v>
      </c>
      <c r="Y171" s="333"/>
      <c r="Z171" s="333"/>
      <c r="AA171" s="340">
        <f t="shared" ref="AA171:AA174" si="85">G171</f>
        <v>960</v>
      </c>
      <c r="AB171" s="326"/>
      <c r="AC171" s="340">
        <f t="shared" si="68"/>
        <v>960</v>
      </c>
      <c r="AD171" s="326"/>
      <c r="AE171" s="340"/>
      <c r="AF171" s="340"/>
      <c r="AG171" s="340"/>
      <c r="AH171" s="340"/>
      <c r="AI171" s="340"/>
      <c r="AJ171" s="327" t="s">
        <v>13065</v>
      </c>
    </row>
    <row r="172" s="251" customFormat="1" ht="50" customHeight="1" spans="1:36">
      <c r="A172" s="331" t="s">
        <v>1315</v>
      </c>
      <c r="B172" s="324" t="s">
        <v>1316</v>
      </c>
      <c r="C172" s="318" t="str">
        <f t="shared" si="63"/>
        <v>4500166280MTQ41-S001-92135狗蛋四代混装（9279+9298）5660</v>
      </c>
      <c r="D172" s="332">
        <v>4500166280</v>
      </c>
      <c r="E172" s="324" t="s">
        <v>3821</v>
      </c>
      <c r="F172" s="324" t="s">
        <v>1320</v>
      </c>
      <c r="G172" s="333">
        <v>5660</v>
      </c>
      <c r="H172" s="333">
        <v>0</v>
      </c>
      <c r="I172" s="333">
        <v>4</v>
      </c>
      <c r="J172" s="333">
        <f t="shared" si="56"/>
        <v>1415</v>
      </c>
      <c r="K172" s="334">
        <v>45885</v>
      </c>
      <c r="L172" s="334">
        <f t="shared" si="83"/>
        <v>45881</v>
      </c>
      <c r="M172" s="324" t="s">
        <v>1802</v>
      </c>
      <c r="N172" s="324" t="s">
        <v>1326</v>
      </c>
      <c r="O172" s="328"/>
      <c r="P172" s="329"/>
      <c r="Q172" s="329"/>
      <c r="R172" s="330"/>
      <c r="S172" s="333"/>
      <c r="T172" s="333"/>
      <c r="U172" s="330"/>
      <c r="V172" s="324"/>
      <c r="W172" s="324"/>
      <c r="X172" s="333">
        <f t="shared" si="84"/>
        <v>5660</v>
      </c>
      <c r="Y172" s="333"/>
      <c r="Z172" s="333"/>
      <c r="AA172" s="340">
        <f t="shared" si="85"/>
        <v>5660</v>
      </c>
      <c r="AB172" s="326"/>
      <c r="AC172" s="340">
        <f t="shared" si="68"/>
        <v>5660</v>
      </c>
      <c r="AD172" s="326"/>
      <c r="AE172" s="340"/>
      <c r="AF172" s="340"/>
      <c r="AG172" s="340"/>
      <c r="AH172" s="340"/>
      <c r="AI172" s="340"/>
      <c r="AJ172" s="327" t="s">
        <v>13065</v>
      </c>
    </row>
    <row r="173" s="251" customFormat="1" ht="50" customHeight="1" spans="1:36">
      <c r="A173" s="331" t="s">
        <v>1315</v>
      </c>
      <c r="B173" s="324" t="s">
        <v>1316</v>
      </c>
      <c r="C173" s="318" t="str">
        <f t="shared" si="63"/>
        <v>4500162590MTQ41-S001-92135狗蛋四代混装（9279+9298）3600</v>
      </c>
      <c r="D173" s="332">
        <v>4500162590</v>
      </c>
      <c r="E173" s="324" t="s">
        <v>3821</v>
      </c>
      <c r="F173" s="324" t="s">
        <v>1320</v>
      </c>
      <c r="G173" s="333">
        <v>3600</v>
      </c>
      <c r="H173" s="333">
        <v>0</v>
      </c>
      <c r="I173" s="333">
        <v>4</v>
      </c>
      <c r="J173" s="333">
        <f t="shared" si="56"/>
        <v>900</v>
      </c>
      <c r="K173" s="334">
        <v>45887</v>
      </c>
      <c r="L173" s="334">
        <f t="shared" si="83"/>
        <v>45883</v>
      </c>
      <c r="M173" s="360"/>
      <c r="N173" s="324" t="s">
        <v>1326</v>
      </c>
      <c r="O173" s="328"/>
      <c r="P173" s="329"/>
      <c r="Q173" s="329"/>
      <c r="R173" s="330"/>
      <c r="S173" s="333"/>
      <c r="T173" s="333"/>
      <c r="U173" s="330"/>
      <c r="V173" s="324"/>
      <c r="W173" s="324"/>
      <c r="X173" s="333">
        <f t="shared" si="84"/>
        <v>3600</v>
      </c>
      <c r="Y173" s="333"/>
      <c r="Z173" s="333"/>
      <c r="AA173" s="340">
        <f t="shared" si="85"/>
        <v>3600</v>
      </c>
      <c r="AB173" s="326"/>
      <c r="AC173" s="340">
        <f t="shared" si="68"/>
        <v>3600</v>
      </c>
      <c r="AD173" s="326"/>
      <c r="AE173" s="340"/>
      <c r="AF173" s="340"/>
      <c r="AG173" s="340"/>
      <c r="AH173" s="340"/>
      <c r="AI173" s="340"/>
      <c r="AJ173" s="327" t="s">
        <v>13065</v>
      </c>
    </row>
    <row r="174" s="251" customFormat="1" ht="50" customHeight="1" spans="1:36">
      <c r="A174" s="331" t="s">
        <v>1315</v>
      </c>
      <c r="B174" s="324" t="s">
        <v>1316</v>
      </c>
      <c r="C174" s="318" t="str">
        <f t="shared" si="63"/>
        <v>4500162590MTQ41-S001-92135狗蛋四代混装（9279+9298）5092</v>
      </c>
      <c r="D174" s="332">
        <v>4500162590</v>
      </c>
      <c r="E174" s="324" t="s">
        <v>3821</v>
      </c>
      <c r="F174" s="324" t="s">
        <v>1320</v>
      </c>
      <c r="G174" s="333">
        <v>5092</v>
      </c>
      <c r="H174" s="333">
        <v>0</v>
      </c>
      <c r="I174" s="333">
        <v>4</v>
      </c>
      <c r="J174" s="333">
        <f t="shared" si="56"/>
        <v>1273</v>
      </c>
      <c r="K174" s="334">
        <v>45887</v>
      </c>
      <c r="L174" s="334">
        <f t="shared" si="83"/>
        <v>45883</v>
      </c>
      <c r="M174" s="360"/>
      <c r="N174" s="324" t="s">
        <v>1326</v>
      </c>
      <c r="O174" s="328"/>
      <c r="P174" s="329"/>
      <c r="Q174" s="329"/>
      <c r="R174" s="330"/>
      <c r="S174" s="333"/>
      <c r="T174" s="333"/>
      <c r="U174" s="330"/>
      <c r="V174" s="324"/>
      <c r="W174" s="324"/>
      <c r="X174" s="333">
        <f t="shared" si="84"/>
        <v>5092</v>
      </c>
      <c r="Y174" s="333"/>
      <c r="Z174" s="333"/>
      <c r="AA174" s="340">
        <f t="shared" si="85"/>
        <v>5092</v>
      </c>
      <c r="AB174" s="326"/>
      <c r="AC174" s="340">
        <f t="shared" si="68"/>
        <v>5092</v>
      </c>
      <c r="AD174" s="326"/>
      <c r="AE174" s="340"/>
      <c r="AF174" s="340"/>
      <c r="AG174" s="340"/>
      <c r="AH174" s="340"/>
      <c r="AI174" s="340"/>
      <c r="AJ174" s="327" t="s">
        <v>13065</v>
      </c>
    </row>
    <row r="175" s="251" customFormat="1" ht="50" customHeight="1" spans="1:36">
      <c r="A175" s="331" t="s">
        <v>4198</v>
      </c>
      <c r="B175" s="324" t="s">
        <v>341</v>
      </c>
      <c r="C175" s="318" t="str">
        <f t="shared" si="63"/>
        <v>45001645129298TQ4-S001狗蛋四代(无闪粉）4000</v>
      </c>
      <c r="D175" s="332">
        <v>4500164512</v>
      </c>
      <c r="E175" s="324" t="s">
        <v>2911</v>
      </c>
      <c r="F175" s="324" t="s">
        <v>2620</v>
      </c>
      <c r="G175" s="333">
        <v>4000</v>
      </c>
      <c r="H175" s="333">
        <v>0</v>
      </c>
      <c r="I175" s="333">
        <v>4</v>
      </c>
      <c r="J175" s="333">
        <f t="shared" si="56"/>
        <v>1000</v>
      </c>
      <c r="K175" s="334">
        <v>45890</v>
      </c>
      <c r="L175" s="334">
        <v>45887</v>
      </c>
      <c r="M175" s="360"/>
      <c r="N175" s="324" t="s">
        <v>1245</v>
      </c>
      <c r="O175" s="328"/>
      <c r="P175" s="329"/>
      <c r="Q175" s="329"/>
      <c r="R175" s="330"/>
      <c r="S175" s="333"/>
      <c r="T175" s="333">
        <f>G175</f>
        <v>4000</v>
      </c>
      <c r="U175" s="330"/>
      <c r="V175" s="324"/>
      <c r="W175" s="324"/>
      <c r="X175" s="333"/>
      <c r="Y175" s="333"/>
      <c r="Z175" s="333">
        <f>G175</f>
        <v>4000</v>
      </c>
      <c r="AA175" s="340"/>
      <c r="AB175" s="326"/>
      <c r="AC175" s="340">
        <f t="shared" si="68"/>
        <v>4000</v>
      </c>
      <c r="AD175" s="326"/>
      <c r="AE175" s="340"/>
      <c r="AF175" s="340"/>
      <c r="AG175" s="340"/>
      <c r="AH175" s="340"/>
      <c r="AI175" s="340"/>
      <c r="AJ175" s="327" t="s">
        <v>4196</v>
      </c>
    </row>
    <row r="176" s="251" customFormat="1" ht="50" customHeight="1" spans="1:36">
      <c r="A176" s="331" t="s">
        <v>1315</v>
      </c>
      <c r="B176" s="324" t="s">
        <v>1316</v>
      </c>
      <c r="C176" s="318" t="str">
        <f t="shared" si="63"/>
        <v>4500162590MTQ41-S001-92135狗蛋四代混装（9279+9298）1200</v>
      </c>
      <c r="D176" s="332">
        <v>4500162590</v>
      </c>
      <c r="E176" s="324" t="s">
        <v>3821</v>
      </c>
      <c r="F176" s="324" t="s">
        <v>1320</v>
      </c>
      <c r="G176" s="333">
        <v>1200</v>
      </c>
      <c r="H176" s="333">
        <v>0</v>
      </c>
      <c r="I176" s="333">
        <v>4</v>
      </c>
      <c r="J176" s="333">
        <f t="shared" si="56"/>
        <v>300</v>
      </c>
      <c r="K176" s="334">
        <v>45892</v>
      </c>
      <c r="L176" s="334">
        <f>K176-4</f>
        <v>45888</v>
      </c>
      <c r="M176" s="360"/>
      <c r="N176" s="324" t="s">
        <v>1326</v>
      </c>
      <c r="O176" s="328"/>
      <c r="P176" s="329"/>
      <c r="Q176" s="329"/>
      <c r="R176" s="330"/>
      <c r="S176" s="333"/>
      <c r="T176" s="333"/>
      <c r="U176" s="330"/>
      <c r="V176" s="324"/>
      <c r="W176" s="324"/>
      <c r="X176" s="333">
        <f>G176</f>
        <v>1200</v>
      </c>
      <c r="Y176" s="333"/>
      <c r="Z176" s="333"/>
      <c r="AA176" s="340">
        <f>G176</f>
        <v>1200</v>
      </c>
      <c r="AB176" s="326"/>
      <c r="AC176" s="340">
        <f t="shared" si="68"/>
        <v>1200</v>
      </c>
      <c r="AD176" s="326"/>
      <c r="AE176" s="340"/>
      <c r="AF176" s="340"/>
      <c r="AG176" s="340"/>
      <c r="AH176" s="340"/>
      <c r="AI176" s="340"/>
      <c r="AJ176" s="327" t="s">
        <v>13065</v>
      </c>
    </row>
    <row r="177" s="251" customFormat="1" ht="50" customHeight="1" spans="1:36">
      <c r="A177" s="331" t="s">
        <v>4815</v>
      </c>
      <c r="B177" s="324" t="s">
        <v>91</v>
      </c>
      <c r="C177" s="318" t="str">
        <f t="shared" si="63"/>
        <v>45001643529298-S006-PKC狗蛋四代胶袋2只装33684</v>
      </c>
      <c r="D177" s="332">
        <v>4500164352</v>
      </c>
      <c r="E177" s="324" t="s">
        <v>2608</v>
      </c>
      <c r="F177" s="324" t="s">
        <v>2609</v>
      </c>
      <c r="G177" s="333">
        <v>33684</v>
      </c>
      <c r="H177" s="333">
        <v>0</v>
      </c>
      <c r="I177" s="333">
        <v>6</v>
      </c>
      <c r="J177" s="333">
        <f t="shared" si="56"/>
        <v>5614</v>
      </c>
      <c r="K177" s="334">
        <v>45918</v>
      </c>
      <c r="L177" s="334">
        <v>45915</v>
      </c>
      <c r="M177" s="324"/>
      <c r="N177" s="324" t="s">
        <v>4158</v>
      </c>
      <c r="O177" s="328"/>
      <c r="P177" s="329"/>
      <c r="Q177" s="329"/>
      <c r="R177" s="330"/>
      <c r="S177" s="333"/>
      <c r="T177" s="333"/>
      <c r="U177" s="330"/>
      <c r="V177" s="324"/>
      <c r="W177" s="324"/>
      <c r="X177" s="333">
        <f>G177</f>
        <v>33684</v>
      </c>
      <c r="Y177" s="333"/>
      <c r="Z177" s="333">
        <f>G177</f>
        <v>33684</v>
      </c>
      <c r="AA177" s="340"/>
      <c r="AB177" s="326"/>
      <c r="AC177" s="340">
        <f t="shared" si="68"/>
        <v>33684</v>
      </c>
      <c r="AD177" s="326"/>
      <c r="AE177" s="340"/>
      <c r="AF177" s="340"/>
      <c r="AG177" s="340"/>
      <c r="AH177" s="340"/>
      <c r="AI177" s="340"/>
      <c r="AJ177" s="327" t="s">
        <v>4196</v>
      </c>
    </row>
    <row r="178" s="251" customFormat="1" ht="50" customHeight="1" spans="1:36">
      <c r="A178" s="331"/>
      <c r="B178" s="324"/>
      <c r="C178" s="324"/>
      <c r="D178" s="332"/>
      <c r="E178" s="324"/>
      <c r="F178" s="324"/>
      <c r="G178" s="333"/>
      <c r="H178" s="333"/>
      <c r="I178" s="333"/>
      <c r="J178" s="333"/>
      <c r="K178" s="334"/>
      <c r="L178" s="334"/>
      <c r="M178" s="360"/>
      <c r="N178" s="324"/>
      <c r="O178" s="322"/>
      <c r="P178" s="323"/>
      <c r="Q178" s="323"/>
      <c r="R178" s="324"/>
      <c r="S178" s="333"/>
      <c r="T178" s="333"/>
      <c r="U178" s="324"/>
      <c r="V178" s="324"/>
      <c r="W178" s="324"/>
      <c r="X178" s="333"/>
      <c r="Y178" s="333"/>
      <c r="Z178" s="333"/>
      <c r="AA178" s="340"/>
      <c r="AB178" s="326"/>
      <c r="AC178" s="340"/>
      <c r="AD178" s="326"/>
      <c r="AE178" s="340"/>
      <c r="AF178" s="340"/>
      <c r="AG178" s="340"/>
      <c r="AH178" s="340"/>
      <c r="AI178" s="340"/>
      <c r="AJ178" s="264"/>
    </row>
    <row r="179" s="251" customFormat="1" ht="41" customHeight="1" spans="1:36">
      <c r="A179" s="257"/>
      <c r="B179" s="257"/>
      <c r="C179" s="257"/>
      <c r="D179" s="249"/>
      <c r="E179" s="257"/>
      <c r="F179" s="249"/>
      <c r="G179" s="249"/>
      <c r="H179" s="249"/>
      <c r="I179" s="249"/>
      <c r="J179" s="249"/>
      <c r="K179" s="258"/>
      <c r="L179" s="249"/>
      <c r="M179" s="257"/>
      <c r="N179" s="259"/>
      <c r="O179" s="260"/>
      <c r="P179" s="257"/>
      <c r="Q179" s="257"/>
      <c r="R179" s="257"/>
      <c r="S179" s="257"/>
      <c r="T179" s="257"/>
      <c r="U179" s="261"/>
      <c r="V179" s="261"/>
      <c r="W179" s="261"/>
      <c r="X179" s="262"/>
      <c r="Y179" s="263"/>
      <c r="Z179" s="263"/>
      <c r="AA179" s="263"/>
      <c r="AB179" s="263"/>
      <c r="AC179" s="263"/>
      <c r="AD179" s="263"/>
      <c r="AE179" s="263"/>
      <c r="AF179" s="263"/>
      <c r="AG179" s="263"/>
      <c r="AH179" s="263"/>
      <c r="AI179" s="263"/>
      <c r="AJ179" s="264"/>
    </row>
    <row r="180" s="256" customFormat="1" ht="50" customHeight="1" spans="1:36">
      <c r="A180" s="388"/>
      <c r="B180" s="389"/>
      <c r="C180" s="389"/>
      <c r="D180" s="390"/>
      <c r="E180" s="389"/>
      <c r="F180" s="389"/>
      <c r="G180" s="391"/>
      <c r="H180" s="391"/>
      <c r="I180" s="391"/>
      <c r="J180" s="391"/>
      <c r="K180" s="392"/>
      <c r="L180" s="392"/>
      <c r="M180" s="346"/>
      <c r="N180" s="389"/>
      <c r="O180" s="393"/>
      <c r="P180" s="394"/>
      <c r="Q180" s="394"/>
      <c r="R180" s="389"/>
      <c r="S180" s="391"/>
      <c r="T180" s="391"/>
      <c r="U180" s="389"/>
      <c r="V180" s="389"/>
      <c r="W180" s="389"/>
      <c r="X180" s="391"/>
      <c r="Y180" s="391"/>
      <c r="Z180" s="391"/>
      <c r="AA180" s="395"/>
      <c r="AB180" s="396"/>
      <c r="AC180" s="395"/>
      <c r="AD180" s="396"/>
      <c r="AE180" s="395"/>
      <c r="AF180" s="395"/>
      <c r="AG180" s="395"/>
      <c r="AH180" s="395"/>
      <c r="AI180" s="395"/>
      <c r="AJ180" s="397"/>
    </row>
    <row r="181" s="256" customFormat="1" ht="50" customHeight="1" spans="1:36">
      <c r="A181" s="388"/>
      <c r="B181" s="389"/>
      <c r="C181" s="389"/>
      <c r="D181" s="390"/>
      <c r="E181" s="389"/>
      <c r="F181" s="389"/>
      <c r="G181" s="391"/>
      <c r="H181" s="391"/>
      <c r="I181" s="391"/>
      <c r="J181" s="391"/>
      <c r="K181" s="392"/>
      <c r="L181" s="392"/>
      <c r="M181" s="346"/>
      <c r="N181" s="389"/>
      <c r="O181" s="393"/>
      <c r="P181" s="394"/>
      <c r="Q181" s="394"/>
      <c r="R181" s="389"/>
      <c r="S181" s="391"/>
      <c r="T181" s="391"/>
      <c r="U181" s="389"/>
      <c r="V181" s="389"/>
      <c r="W181" s="389"/>
      <c r="X181" s="391"/>
      <c r="Y181" s="391"/>
      <c r="Z181" s="391"/>
      <c r="AA181" s="395"/>
      <c r="AB181" s="396"/>
      <c r="AC181" s="395"/>
      <c r="AD181" s="396"/>
      <c r="AE181" s="395"/>
      <c r="AF181" s="395"/>
      <c r="AG181" s="395"/>
      <c r="AH181" s="395"/>
      <c r="AI181" s="395"/>
      <c r="AJ181" s="397"/>
    </row>
    <row r="182" s="256" customFormat="1" ht="50" customHeight="1" spans="1:36">
      <c r="A182" s="388"/>
      <c r="B182" s="389"/>
      <c r="C182" s="389"/>
      <c r="D182" s="390"/>
      <c r="E182" s="389"/>
      <c r="F182" s="389"/>
      <c r="G182" s="391"/>
      <c r="H182" s="391"/>
      <c r="I182" s="391"/>
      <c r="J182" s="391"/>
      <c r="K182" s="392"/>
      <c r="L182" s="392"/>
      <c r="M182" s="346"/>
      <c r="N182" s="389"/>
      <c r="O182" s="393"/>
      <c r="P182" s="394"/>
      <c r="Q182" s="394"/>
      <c r="R182" s="389"/>
      <c r="S182" s="391"/>
      <c r="T182" s="391"/>
      <c r="U182" s="389"/>
      <c r="V182" s="389"/>
      <c r="W182" s="389"/>
      <c r="X182" s="391"/>
      <c r="Y182" s="391"/>
      <c r="Z182" s="391"/>
      <c r="AA182" s="395"/>
      <c r="AB182" s="396"/>
      <c r="AC182" s="395"/>
      <c r="AD182" s="396"/>
      <c r="AE182" s="395"/>
      <c r="AF182" s="395"/>
      <c r="AG182" s="395"/>
      <c r="AH182" s="395"/>
      <c r="AI182" s="395"/>
      <c r="AJ182" s="397"/>
    </row>
    <row r="183" s="256" customFormat="1" ht="50" customHeight="1" spans="1:36">
      <c r="A183" s="388"/>
      <c r="B183" s="389"/>
      <c r="C183" s="389"/>
      <c r="D183" s="390"/>
      <c r="E183" s="389"/>
      <c r="F183" s="389"/>
      <c r="G183" s="391"/>
      <c r="H183" s="391"/>
      <c r="I183" s="391"/>
      <c r="J183" s="391"/>
      <c r="K183" s="392"/>
      <c r="L183" s="392"/>
      <c r="M183" s="346"/>
      <c r="N183" s="389"/>
      <c r="O183" s="393"/>
      <c r="P183" s="394"/>
      <c r="Q183" s="394"/>
      <c r="R183" s="389"/>
      <c r="S183" s="391"/>
      <c r="T183" s="391"/>
      <c r="U183" s="389"/>
      <c r="V183" s="389"/>
      <c r="W183" s="389"/>
      <c r="X183" s="391"/>
      <c r="Y183" s="391"/>
      <c r="Z183" s="391"/>
      <c r="AA183" s="395"/>
      <c r="AB183" s="396"/>
      <c r="AC183" s="395"/>
      <c r="AD183" s="396"/>
      <c r="AE183" s="395"/>
      <c r="AF183" s="395"/>
      <c r="AG183" s="395"/>
      <c r="AH183" s="395"/>
      <c r="AI183" s="395"/>
      <c r="AJ183" s="397"/>
    </row>
    <row r="184" s="256" customFormat="1" ht="50" customHeight="1" spans="1:36">
      <c r="A184" s="388"/>
      <c r="B184" s="389"/>
      <c r="C184" s="389"/>
      <c r="D184" s="390"/>
      <c r="E184" s="389"/>
      <c r="F184" s="389"/>
      <c r="G184" s="391"/>
      <c r="H184" s="391"/>
      <c r="I184" s="391"/>
      <c r="J184" s="391"/>
      <c r="K184" s="392"/>
      <c r="L184" s="392"/>
      <c r="M184" s="346"/>
      <c r="N184" s="389"/>
      <c r="O184" s="393"/>
      <c r="P184" s="394"/>
      <c r="Q184" s="394"/>
      <c r="R184" s="389"/>
      <c r="S184" s="391"/>
      <c r="T184" s="391"/>
      <c r="U184" s="389"/>
      <c r="V184" s="389"/>
      <c r="W184" s="389"/>
      <c r="X184" s="391"/>
      <c r="Y184" s="391"/>
      <c r="Z184" s="391"/>
      <c r="AA184" s="395"/>
      <c r="AB184" s="396"/>
      <c r="AC184" s="395"/>
      <c r="AD184" s="396"/>
      <c r="AE184" s="395"/>
      <c r="AF184" s="395"/>
      <c r="AG184" s="395"/>
      <c r="AH184" s="395"/>
      <c r="AI184" s="395"/>
      <c r="AJ184" s="397"/>
    </row>
    <row r="185" s="256" customFormat="1" ht="50" customHeight="1" spans="1:36">
      <c r="A185" s="388"/>
      <c r="B185" s="389"/>
      <c r="C185" s="389"/>
      <c r="D185" s="390"/>
      <c r="E185" s="389"/>
      <c r="F185" s="389"/>
      <c r="G185" s="391"/>
      <c r="H185" s="391"/>
      <c r="I185" s="391"/>
      <c r="J185" s="391"/>
      <c r="K185" s="392"/>
      <c r="L185" s="392"/>
      <c r="M185" s="346"/>
      <c r="N185" s="389"/>
      <c r="O185" s="393"/>
      <c r="P185" s="394"/>
      <c r="Q185" s="394"/>
      <c r="R185" s="389"/>
      <c r="S185" s="391"/>
      <c r="T185" s="391"/>
      <c r="U185" s="389"/>
      <c r="V185" s="389"/>
      <c r="W185" s="389"/>
      <c r="X185" s="391"/>
      <c r="Y185" s="391"/>
      <c r="Z185" s="391"/>
      <c r="AA185" s="395"/>
      <c r="AB185" s="396"/>
      <c r="AC185" s="395"/>
      <c r="AD185" s="396"/>
      <c r="AE185" s="395"/>
      <c r="AF185" s="395"/>
      <c r="AG185" s="395"/>
      <c r="AH185" s="395"/>
      <c r="AI185" s="395"/>
      <c r="AJ185" s="397"/>
    </row>
    <row r="186" s="256" customFormat="1" ht="50" customHeight="1" spans="1:36">
      <c r="A186" s="388"/>
      <c r="B186" s="389"/>
      <c r="C186" s="389"/>
      <c r="D186" s="390"/>
      <c r="E186" s="389"/>
      <c r="F186" s="389"/>
      <c r="G186" s="391"/>
      <c r="H186" s="391"/>
      <c r="I186" s="391"/>
      <c r="J186" s="391"/>
      <c r="K186" s="392"/>
      <c r="L186" s="392"/>
      <c r="M186" s="346"/>
      <c r="N186" s="389"/>
      <c r="O186" s="393"/>
      <c r="P186" s="394"/>
      <c r="Q186" s="394"/>
      <c r="R186" s="389"/>
      <c r="S186" s="391"/>
      <c r="T186" s="391"/>
      <c r="U186" s="389"/>
      <c r="V186" s="389"/>
      <c r="W186" s="389"/>
      <c r="X186" s="391"/>
      <c r="Y186" s="391"/>
      <c r="Z186" s="391"/>
      <c r="AA186" s="395"/>
      <c r="AB186" s="396"/>
      <c r="AC186" s="395"/>
      <c r="AD186" s="396"/>
      <c r="AE186" s="395"/>
      <c r="AF186" s="395"/>
      <c r="AG186" s="395"/>
      <c r="AH186" s="395"/>
      <c r="AI186" s="395"/>
      <c r="AJ186" s="397"/>
    </row>
    <row r="187" s="256" customFormat="1" ht="50" customHeight="1" spans="1:36">
      <c r="A187" s="388"/>
      <c r="B187" s="389"/>
      <c r="C187" s="389"/>
      <c r="D187" s="390"/>
      <c r="E187" s="389"/>
      <c r="F187" s="389"/>
      <c r="G187" s="391"/>
      <c r="H187" s="391"/>
      <c r="I187" s="391"/>
      <c r="J187" s="391"/>
      <c r="K187" s="392"/>
      <c r="L187" s="392"/>
      <c r="M187" s="346"/>
      <c r="N187" s="389"/>
      <c r="O187" s="393"/>
      <c r="P187" s="394"/>
      <c r="Q187" s="394"/>
      <c r="R187" s="389"/>
      <c r="S187" s="391"/>
      <c r="T187" s="391"/>
      <c r="U187" s="389"/>
      <c r="V187" s="389"/>
      <c r="W187" s="389"/>
      <c r="X187" s="391"/>
      <c r="Y187" s="391"/>
      <c r="Z187" s="391"/>
      <c r="AA187" s="395"/>
      <c r="AB187" s="396"/>
      <c r="AC187" s="395"/>
      <c r="AD187" s="396"/>
      <c r="AE187" s="395"/>
      <c r="AF187" s="395"/>
      <c r="AG187" s="395"/>
      <c r="AH187" s="395"/>
      <c r="AI187" s="395"/>
      <c r="AJ187" s="397"/>
    </row>
    <row r="188" s="256" customFormat="1" ht="50" customHeight="1" spans="1:36">
      <c r="A188" s="388"/>
      <c r="B188" s="389"/>
      <c r="C188" s="389"/>
      <c r="D188" s="390"/>
      <c r="E188" s="389"/>
      <c r="F188" s="389"/>
      <c r="G188" s="391"/>
      <c r="H188" s="391"/>
      <c r="I188" s="391"/>
      <c r="J188" s="391"/>
      <c r="K188" s="392"/>
      <c r="L188" s="392"/>
      <c r="M188" s="346"/>
      <c r="N188" s="389"/>
      <c r="O188" s="393"/>
      <c r="P188" s="394"/>
      <c r="Q188" s="394"/>
      <c r="R188" s="389"/>
      <c r="S188" s="391"/>
      <c r="T188" s="391"/>
      <c r="U188" s="389"/>
      <c r="V188" s="389"/>
      <c r="W188" s="389"/>
      <c r="X188" s="391"/>
      <c r="Y188" s="391"/>
      <c r="Z188" s="391"/>
      <c r="AA188" s="395"/>
      <c r="AB188" s="396"/>
      <c r="AC188" s="395"/>
      <c r="AD188" s="396"/>
      <c r="AE188" s="395"/>
      <c r="AF188" s="395"/>
      <c r="AG188" s="395"/>
      <c r="AH188" s="395"/>
      <c r="AI188" s="395"/>
      <c r="AJ188" s="397"/>
    </row>
    <row r="189" s="256" customFormat="1" ht="50" customHeight="1" spans="1:36">
      <c r="A189" s="388"/>
      <c r="B189" s="389"/>
      <c r="C189" s="389"/>
      <c r="D189" s="390"/>
      <c r="E189" s="389"/>
      <c r="F189" s="389"/>
      <c r="G189" s="391"/>
      <c r="H189" s="391"/>
      <c r="I189" s="391"/>
      <c r="J189" s="391"/>
      <c r="K189" s="392"/>
      <c r="L189" s="392"/>
      <c r="M189" s="346"/>
      <c r="N189" s="389"/>
      <c r="O189" s="393"/>
      <c r="P189" s="394"/>
      <c r="Q189" s="394"/>
      <c r="R189" s="389"/>
      <c r="S189" s="391"/>
      <c r="T189" s="391"/>
      <c r="U189" s="389"/>
      <c r="V189" s="389"/>
      <c r="W189" s="389"/>
      <c r="X189" s="391"/>
      <c r="Y189" s="391"/>
      <c r="Z189" s="391"/>
      <c r="AA189" s="395"/>
      <c r="AB189" s="396"/>
      <c r="AC189" s="395"/>
      <c r="AD189" s="396"/>
      <c r="AE189" s="395"/>
      <c r="AF189" s="395"/>
      <c r="AG189" s="395"/>
      <c r="AH189" s="395"/>
      <c r="AI189" s="395"/>
      <c r="AJ189" s="397"/>
    </row>
    <row r="190" s="256" customFormat="1" ht="50" customHeight="1" spans="1:36">
      <c r="A190" s="388"/>
      <c r="B190" s="389"/>
      <c r="C190" s="389"/>
      <c r="D190" s="390"/>
      <c r="E190" s="389"/>
      <c r="F190" s="389"/>
      <c r="G190" s="391"/>
      <c r="H190" s="391"/>
      <c r="I190" s="391"/>
      <c r="J190" s="391"/>
      <c r="K190" s="392"/>
      <c r="L190" s="392"/>
      <c r="M190" s="346"/>
      <c r="N190" s="389"/>
      <c r="O190" s="393"/>
      <c r="P190" s="394"/>
      <c r="Q190" s="394"/>
      <c r="R190" s="389"/>
      <c r="S190" s="391"/>
      <c r="T190" s="391"/>
      <c r="U190" s="389"/>
      <c r="V190" s="389"/>
      <c r="W190" s="389"/>
      <c r="X190" s="391"/>
      <c r="Y190" s="391"/>
      <c r="Z190" s="391"/>
      <c r="AA190" s="395"/>
      <c r="AB190" s="396"/>
      <c r="AC190" s="395"/>
      <c r="AD190" s="396"/>
      <c r="AE190" s="395"/>
      <c r="AF190" s="395"/>
      <c r="AG190" s="395"/>
      <c r="AH190" s="395"/>
      <c r="AI190" s="395"/>
      <c r="AJ190" s="397"/>
    </row>
    <row r="191" s="256" customFormat="1" ht="50" customHeight="1" spans="1:36">
      <c r="A191" s="388"/>
      <c r="B191" s="389"/>
      <c r="C191" s="389"/>
      <c r="D191" s="390"/>
      <c r="E191" s="389"/>
      <c r="F191" s="389"/>
      <c r="G191" s="391"/>
      <c r="H191" s="391"/>
      <c r="I191" s="391"/>
      <c r="J191" s="391"/>
      <c r="K191" s="392"/>
      <c r="L191" s="392"/>
      <c r="M191" s="346"/>
      <c r="N191" s="389"/>
      <c r="O191" s="393"/>
      <c r="P191" s="394"/>
      <c r="Q191" s="394"/>
      <c r="R191" s="389"/>
      <c r="S191" s="391"/>
      <c r="T191" s="391"/>
      <c r="U191" s="389"/>
      <c r="V191" s="389"/>
      <c r="W191" s="389"/>
      <c r="X191" s="391"/>
      <c r="Y191" s="391"/>
      <c r="Z191" s="391"/>
      <c r="AA191" s="395"/>
      <c r="AB191" s="396"/>
      <c r="AC191" s="395"/>
      <c r="AD191" s="396"/>
      <c r="AE191" s="395"/>
      <c r="AF191" s="395"/>
      <c r="AG191" s="395"/>
      <c r="AH191" s="395"/>
      <c r="AI191" s="395"/>
      <c r="AJ191" s="397"/>
    </row>
    <row r="192" s="256" customFormat="1" ht="50" customHeight="1" spans="1:36">
      <c r="A192" s="388"/>
      <c r="B192" s="389"/>
      <c r="C192" s="389"/>
      <c r="D192" s="390"/>
      <c r="E192" s="389"/>
      <c r="F192" s="389"/>
      <c r="G192" s="391"/>
      <c r="H192" s="391"/>
      <c r="I192" s="391"/>
      <c r="J192" s="391"/>
      <c r="K192" s="392"/>
      <c r="L192" s="392"/>
      <c r="M192" s="346"/>
      <c r="N192" s="389"/>
      <c r="O192" s="393"/>
      <c r="P192" s="394"/>
      <c r="Q192" s="394"/>
      <c r="R192" s="389"/>
      <c r="S192" s="391"/>
      <c r="T192" s="391"/>
      <c r="U192" s="389"/>
      <c r="V192" s="389"/>
      <c r="W192" s="389"/>
      <c r="X192" s="391"/>
      <c r="Y192" s="391"/>
      <c r="Z192" s="391"/>
      <c r="AA192" s="395"/>
      <c r="AB192" s="396"/>
      <c r="AC192" s="395"/>
      <c r="AD192" s="396"/>
      <c r="AE192" s="395"/>
      <c r="AF192" s="395"/>
      <c r="AG192" s="395"/>
      <c r="AH192" s="395"/>
      <c r="AI192" s="395"/>
      <c r="AJ192" s="397"/>
    </row>
    <row r="193" s="256" customFormat="1" ht="50" customHeight="1" spans="1:36">
      <c r="A193" s="388"/>
      <c r="B193" s="389"/>
      <c r="C193" s="389"/>
      <c r="D193" s="390"/>
      <c r="E193" s="389"/>
      <c r="F193" s="389"/>
      <c r="G193" s="391"/>
      <c r="H193" s="391"/>
      <c r="I193" s="391"/>
      <c r="J193" s="391"/>
      <c r="K193" s="392"/>
      <c r="L193" s="392"/>
      <c r="M193" s="346"/>
      <c r="N193" s="389"/>
      <c r="O193" s="393"/>
      <c r="P193" s="394"/>
      <c r="Q193" s="394"/>
      <c r="R193" s="389"/>
      <c r="S193" s="391"/>
      <c r="T193" s="391"/>
      <c r="U193" s="389"/>
      <c r="V193" s="389"/>
      <c r="W193" s="389"/>
      <c r="X193" s="391"/>
      <c r="Y193" s="391"/>
      <c r="Z193" s="391"/>
      <c r="AA193" s="395"/>
      <c r="AB193" s="396"/>
      <c r="AC193" s="395"/>
      <c r="AD193" s="396"/>
      <c r="AE193" s="395"/>
      <c r="AF193" s="395"/>
      <c r="AG193" s="395"/>
      <c r="AH193" s="395"/>
      <c r="AI193" s="395"/>
      <c r="AJ193" s="397"/>
    </row>
    <row r="194" s="256" customFormat="1" ht="50" customHeight="1" spans="1:36">
      <c r="A194" s="388"/>
      <c r="B194" s="389"/>
      <c r="C194" s="389"/>
      <c r="D194" s="390"/>
      <c r="E194" s="389"/>
      <c r="F194" s="389"/>
      <c r="G194" s="391"/>
      <c r="H194" s="391"/>
      <c r="I194" s="391"/>
      <c r="J194" s="391"/>
      <c r="K194" s="392"/>
      <c r="L194" s="392"/>
      <c r="M194" s="346"/>
      <c r="N194" s="389"/>
      <c r="O194" s="393"/>
      <c r="P194" s="394"/>
      <c r="Q194" s="394"/>
      <c r="R194" s="389"/>
      <c r="S194" s="391"/>
      <c r="T194" s="391"/>
      <c r="U194" s="389"/>
      <c r="V194" s="389"/>
      <c r="W194" s="389"/>
      <c r="X194" s="391"/>
      <c r="Y194" s="391"/>
      <c r="Z194" s="391"/>
      <c r="AA194" s="395"/>
      <c r="AB194" s="396"/>
      <c r="AC194" s="395"/>
      <c r="AD194" s="396"/>
      <c r="AE194" s="395"/>
      <c r="AF194" s="395"/>
      <c r="AG194" s="395"/>
      <c r="AH194" s="395"/>
      <c r="AI194" s="395"/>
      <c r="AJ194" s="397"/>
    </row>
    <row r="195" s="256" customFormat="1" ht="50" customHeight="1" spans="1:36">
      <c r="A195" s="388"/>
      <c r="B195" s="389"/>
      <c r="C195" s="389"/>
      <c r="D195" s="390"/>
      <c r="E195" s="389"/>
      <c r="F195" s="389"/>
      <c r="G195" s="391"/>
      <c r="H195" s="391"/>
      <c r="I195" s="391"/>
      <c r="J195" s="391"/>
      <c r="K195" s="392"/>
      <c r="L195" s="392"/>
      <c r="M195" s="346"/>
      <c r="N195" s="389"/>
      <c r="O195" s="393"/>
      <c r="P195" s="394"/>
      <c r="Q195" s="394"/>
      <c r="R195" s="389"/>
      <c r="S195" s="391"/>
      <c r="T195" s="391"/>
      <c r="U195" s="389"/>
      <c r="V195" s="389"/>
      <c r="W195" s="389"/>
      <c r="X195" s="391"/>
      <c r="Y195" s="391"/>
      <c r="Z195" s="391"/>
      <c r="AA195" s="395"/>
      <c r="AB195" s="396"/>
      <c r="AC195" s="395"/>
      <c r="AD195" s="396"/>
      <c r="AE195" s="395"/>
      <c r="AF195" s="395"/>
      <c r="AG195" s="395"/>
      <c r="AH195" s="395"/>
      <c r="AI195" s="395"/>
      <c r="AJ195" s="397"/>
    </row>
    <row r="196" s="256" customFormat="1" ht="50" customHeight="1" spans="1:36">
      <c r="A196" s="388"/>
      <c r="B196" s="389"/>
      <c r="C196" s="389"/>
      <c r="D196" s="390"/>
      <c r="E196" s="389"/>
      <c r="F196" s="389"/>
      <c r="G196" s="391"/>
      <c r="H196" s="391"/>
      <c r="I196" s="391"/>
      <c r="J196" s="391"/>
      <c r="K196" s="392"/>
      <c r="L196" s="392"/>
      <c r="M196" s="346"/>
      <c r="N196" s="389"/>
      <c r="O196" s="393"/>
      <c r="P196" s="394"/>
      <c r="Q196" s="394"/>
      <c r="R196" s="389"/>
      <c r="S196" s="391"/>
      <c r="T196" s="391"/>
      <c r="U196" s="389"/>
      <c r="V196" s="389"/>
      <c r="W196" s="389"/>
      <c r="X196" s="391"/>
      <c r="Y196" s="391"/>
      <c r="Z196" s="391"/>
      <c r="AA196" s="395"/>
      <c r="AB196" s="396"/>
      <c r="AC196" s="395"/>
      <c r="AD196" s="396"/>
      <c r="AE196" s="395"/>
      <c r="AF196" s="395"/>
      <c r="AG196" s="395"/>
      <c r="AH196" s="395"/>
      <c r="AI196" s="395"/>
      <c r="AJ196" s="397"/>
    </row>
    <row r="197" s="256" customFormat="1" ht="50" customHeight="1" spans="1:36">
      <c r="A197" s="388"/>
      <c r="B197" s="389"/>
      <c r="C197" s="389"/>
      <c r="D197" s="390"/>
      <c r="E197" s="389"/>
      <c r="F197" s="389"/>
      <c r="G197" s="391"/>
      <c r="H197" s="391"/>
      <c r="I197" s="391"/>
      <c r="J197" s="391"/>
      <c r="K197" s="392"/>
      <c r="L197" s="392"/>
      <c r="M197" s="346"/>
      <c r="N197" s="389"/>
      <c r="O197" s="393"/>
      <c r="P197" s="394"/>
      <c r="Q197" s="394"/>
      <c r="R197" s="389"/>
      <c r="S197" s="391"/>
      <c r="T197" s="391"/>
      <c r="U197" s="389"/>
      <c r="V197" s="389"/>
      <c r="W197" s="389"/>
      <c r="X197" s="391"/>
      <c r="Y197" s="391"/>
      <c r="Z197" s="391"/>
      <c r="AA197" s="395"/>
      <c r="AB197" s="396"/>
      <c r="AC197" s="395"/>
      <c r="AD197" s="396"/>
      <c r="AE197" s="395"/>
      <c r="AF197" s="395"/>
      <c r="AG197" s="395"/>
      <c r="AH197" s="395"/>
      <c r="AI197" s="395"/>
      <c r="AJ197" s="397"/>
    </row>
    <row r="198" s="256" customFormat="1" ht="50" customHeight="1" spans="1:36">
      <c r="A198" s="388"/>
      <c r="B198" s="389"/>
      <c r="C198" s="389"/>
      <c r="D198" s="390"/>
      <c r="E198" s="389"/>
      <c r="F198" s="389"/>
      <c r="G198" s="391"/>
      <c r="H198" s="391"/>
      <c r="I198" s="391"/>
      <c r="J198" s="391"/>
      <c r="K198" s="392"/>
      <c r="L198" s="392"/>
      <c r="M198" s="346"/>
      <c r="N198" s="389"/>
      <c r="O198" s="393"/>
      <c r="P198" s="394"/>
      <c r="Q198" s="394"/>
      <c r="R198" s="389"/>
      <c r="S198" s="391"/>
      <c r="T198" s="391"/>
      <c r="U198" s="389"/>
      <c r="V198" s="389"/>
      <c r="W198" s="389"/>
      <c r="X198" s="391"/>
      <c r="Y198" s="391"/>
      <c r="Z198" s="391"/>
      <c r="AA198" s="395"/>
      <c r="AB198" s="396"/>
      <c r="AC198" s="395"/>
      <c r="AD198" s="396"/>
      <c r="AE198" s="395"/>
      <c r="AF198" s="395"/>
      <c r="AG198" s="395"/>
      <c r="AH198" s="395"/>
      <c r="AI198" s="395"/>
      <c r="AJ198" s="397"/>
    </row>
    <row r="199" s="256" customFormat="1" ht="50" customHeight="1" spans="1:36">
      <c r="A199" s="388"/>
      <c r="B199" s="389"/>
      <c r="C199" s="389"/>
      <c r="D199" s="390"/>
      <c r="E199" s="389"/>
      <c r="F199" s="389"/>
      <c r="G199" s="391"/>
      <c r="H199" s="391"/>
      <c r="I199" s="391"/>
      <c r="J199" s="391"/>
      <c r="K199" s="392"/>
      <c r="L199" s="392"/>
      <c r="M199" s="346"/>
      <c r="N199" s="389"/>
      <c r="O199" s="393"/>
      <c r="P199" s="394"/>
      <c r="Q199" s="394"/>
      <c r="R199" s="389"/>
      <c r="S199" s="391"/>
      <c r="T199" s="391"/>
      <c r="U199" s="389"/>
      <c r="V199" s="389"/>
      <c r="W199" s="389"/>
      <c r="X199" s="391"/>
      <c r="Y199" s="391"/>
      <c r="Z199" s="391"/>
      <c r="AA199" s="395"/>
      <c r="AB199" s="396"/>
      <c r="AC199" s="395"/>
      <c r="AD199" s="396"/>
      <c r="AE199" s="395"/>
      <c r="AF199" s="395"/>
      <c r="AG199" s="395"/>
      <c r="AH199" s="395"/>
      <c r="AI199" s="395"/>
      <c r="AJ199" s="397"/>
    </row>
    <row r="200" s="256" customFormat="1" ht="50" customHeight="1" spans="1:36">
      <c r="A200" s="388"/>
      <c r="B200" s="389"/>
      <c r="C200" s="389"/>
      <c r="D200" s="390"/>
      <c r="E200" s="389"/>
      <c r="F200" s="389"/>
      <c r="G200" s="391"/>
      <c r="H200" s="391"/>
      <c r="I200" s="391"/>
      <c r="J200" s="391"/>
      <c r="K200" s="392"/>
      <c r="L200" s="392"/>
      <c r="M200" s="346"/>
      <c r="N200" s="389"/>
      <c r="O200" s="393"/>
      <c r="P200" s="394"/>
      <c r="Q200" s="394"/>
      <c r="R200" s="389"/>
      <c r="S200" s="391"/>
      <c r="T200" s="391"/>
      <c r="U200" s="389"/>
      <c r="V200" s="389"/>
      <c r="W200" s="389"/>
      <c r="X200" s="391"/>
      <c r="Y200" s="391"/>
      <c r="Z200" s="391"/>
      <c r="AA200" s="395"/>
      <c r="AB200" s="396"/>
      <c r="AC200" s="395"/>
      <c r="AD200" s="396"/>
      <c r="AE200" s="395"/>
      <c r="AF200" s="395"/>
      <c r="AG200" s="395"/>
      <c r="AH200" s="395"/>
      <c r="AI200" s="395"/>
      <c r="AJ200" s="397"/>
    </row>
    <row r="201" s="256" customFormat="1" ht="50" customHeight="1" spans="1:36">
      <c r="A201" s="388"/>
      <c r="B201" s="389"/>
      <c r="C201" s="389"/>
      <c r="D201" s="390"/>
      <c r="E201" s="389"/>
      <c r="F201" s="389"/>
      <c r="G201" s="391"/>
      <c r="H201" s="391"/>
      <c r="I201" s="391"/>
      <c r="J201" s="391"/>
      <c r="K201" s="392"/>
      <c r="L201" s="392"/>
      <c r="M201" s="346"/>
      <c r="N201" s="389"/>
      <c r="O201" s="393"/>
      <c r="P201" s="394"/>
      <c r="Q201" s="394"/>
      <c r="R201" s="389"/>
      <c r="S201" s="391"/>
      <c r="T201" s="391"/>
      <c r="U201" s="389"/>
      <c r="V201" s="389"/>
      <c r="W201" s="389"/>
      <c r="X201" s="391"/>
      <c r="Y201" s="391"/>
      <c r="Z201" s="391"/>
      <c r="AA201" s="395"/>
      <c r="AB201" s="396"/>
      <c r="AC201" s="395"/>
      <c r="AD201" s="396"/>
      <c r="AE201" s="395"/>
      <c r="AF201" s="395"/>
      <c r="AG201" s="395"/>
      <c r="AH201" s="395"/>
      <c r="AI201" s="395"/>
      <c r="AJ201" s="397"/>
    </row>
    <row r="202" s="256" customFormat="1" ht="50" customHeight="1" spans="1:36">
      <c r="A202" s="388"/>
      <c r="B202" s="389"/>
      <c r="C202" s="389"/>
      <c r="D202" s="390"/>
      <c r="E202" s="389"/>
      <c r="F202" s="389"/>
      <c r="G202" s="391"/>
      <c r="H202" s="391"/>
      <c r="I202" s="391"/>
      <c r="J202" s="391"/>
      <c r="K202" s="392"/>
      <c r="L202" s="392"/>
      <c r="M202" s="346"/>
      <c r="N202" s="389"/>
      <c r="O202" s="393"/>
      <c r="P202" s="394"/>
      <c r="Q202" s="394"/>
      <c r="R202" s="389"/>
      <c r="S202" s="391"/>
      <c r="T202" s="391"/>
      <c r="U202" s="389"/>
      <c r="V202" s="389"/>
      <c r="W202" s="389"/>
      <c r="X202" s="391"/>
      <c r="Y202" s="391"/>
      <c r="Z202" s="391"/>
      <c r="AA202" s="395"/>
      <c r="AB202" s="396"/>
      <c r="AC202" s="395"/>
      <c r="AD202" s="396"/>
      <c r="AE202" s="395"/>
      <c r="AF202" s="395"/>
      <c r="AG202" s="395"/>
      <c r="AH202" s="395"/>
      <c r="AI202" s="395"/>
      <c r="AJ202" s="397"/>
    </row>
    <row r="203" s="256" customFormat="1" ht="50" customHeight="1" spans="1:36">
      <c r="A203" s="388"/>
      <c r="B203" s="389"/>
      <c r="C203" s="389"/>
      <c r="D203" s="390"/>
      <c r="E203" s="389"/>
      <c r="F203" s="389"/>
      <c r="G203" s="391"/>
      <c r="H203" s="391"/>
      <c r="I203" s="391"/>
      <c r="J203" s="391"/>
      <c r="K203" s="392"/>
      <c r="L203" s="392"/>
      <c r="M203" s="346"/>
      <c r="N203" s="389"/>
      <c r="O203" s="393"/>
      <c r="P203" s="394"/>
      <c r="Q203" s="394"/>
      <c r="R203" s="389"/>
      <c r="S203" s="391"/>
      <c r="T203" s="391"/>
      <c r="U203" s="389"/>
      <c r="V203" s="389"/>
      <c r="W203" s="389"/>
      <c r="X203" s="391"/>
      <c r="Y203" s="391"/>
      <c r="Z203" s="391"/>
      <c r="AA203" s="395"/>
      <c r="AB203" s="396"/>
      <c r="AC203" s="395"/>
      <c r="AD203" s="396"/>
      <c r="AE203" s="395"/>
      <c r="AF203" s="395"/>
      <c r="AG203" s="395"/>
      <c r="AH203" s="395"/>
      <c r="AI203" s="395"/>
      <c r="AJ203" s="397"/>
    </row>
    <row r="204" s="256" customFormat="1" ht="50" customHeight="1" spans="1:36">
      <c r="A204" s="388"/>
      <c r="B204" s="389"/>
      <c r="C204" s="389"/>
      <c r="D204" s="390"/>
      <c r="E204" s="389"/>
      <c r="F204" s="389"/>
      <c r="G204" s="391"/>
      <c r="H204" s="391"/>
      <c r="I204" s="391"/>
      <c r="J204" s="391"/>
      <c r="K204" s="392"/>
      <c r="L204" s="392"/>
      <c r="M204" s="346"/>
      <c r="N204" s="389"/>
      <c r="O204" s="393"/>
      <c r="P204" s="394"/>
      <c r="Q204" s="394"/>
      <c r="R204" s="389"/>
      <c r="S204" s="391"/>
      <c r="T204" s="391"/>
      <c r="U204" s="389"/>
      <c r="V204" s="389"/>
      <c r="W204" s="389"/>
      <c r="X204" s="391"/>
      <c r="Y204" s="391"/>
      <c r="Z204" s="391"/>
      <c r="AA204" s="395"/>
      <c r="AB204" s="396"/>
      <c r="AC204" s="395"/>
      <c r="AD204" s="396"/>
      <c r="AE204" s="395"/>
      <c r="AF204" s="395"/>
      <c r="AG204" s="395"/>
      <c r="AH204" s="395"/>
      <c r="AI204" s="395"/>
      <c r="AJ204" s="397"/>
    </row>
    <row r="205" s="256" customFormat="1" ht="50" customHeight="1" spans="1:36">
      <c r="A205" s="388"/>
      <c r="B205" s="389"/>
      <c r="C205" s="389"/>
      <c r="D205" s="390"/>
      <c r="E205" s="389"/>
      <c r="F205" s="389"/>
      <c r="G205" s="391"/>
      <c r="H205" s="391"/>
      <c r="I205" s="391"/>
      <c r="J205" s="391"/>
      <c r="K205" s="392"/>
      <c r="L205" s="392"/>
      <c r="M205" s="346"/>
      <c r="N205" s="389"/>
      <c r="O205" s="393"/>
      <c r="P205" s="394"/>
      <c r="Q205" s="394"/>
      <c r="R205" s="389"/>
      <c r="S205" s="391"/>
      <c r="T205" s="391"/>
      <c r="U205" s="389"/>
      <c r="V205" s="389"/>
      <c r="W205" s="389"/>
      <c r="X205" s="391"/>
      <c r="Y205" s="391"/>
      <c r="Z205" s="391"/>
      <c r="AA205" s="395"/>
      <c r="AB205" s="396"/>
      <c r="AC205" s="395"/>
      <c r="AD205" s="396"/>
      <c r="AE205" s="395"/>
      <c r="AF205" s="395"/>
      <c r="AG205" s="395"/>
      <c r="AH205" s="395"/>
      <c r="AI205" s="395"/>
      <c r="AJ205" s="397"/>
    </row>
    <row r="206" s="256" customFormat="1" ht="50" customHeight="1" spans="1:36">
      <c r="A206" s="388"/>
      <c r="B206" s="389"/>
      <c r="C206" s="389"/>
      <c r="D206" s="390"/>
      <c r="E206" s="389"/>
      <c r="F206" s="389"/>
      <c r="G206" s="391"/>
      <c r="H206" s="391"/>
      <c r="I206" s="391"/>
      <c r="J206" s="391"/>
      <c r="K206" s="392"/>
      <c r="L206" s="392"/>
      <c r="M206" s="346"/>
      <c r="N206" s="389"/>
      <c r="O206" s="393"/>
      <c r="P206" s="394"/>
      <c r="Q206" s="394"/>
      <c r="R206" s="389"/>
      <c r="S206" s="391"/>
      <c r="T206" s="391"/>
      <c r="U206" s="389"/>
      <c r="V206" s="389"/>
      <c r="W206" s="389"/>
      <c r="X206" s="391"/>
      <c r="Y206" s="391"/>
      <c r="Z206" s="391"/>
      <c r="AA206" s="395"/>
      <c r="AB206" s="396"/>
      <c r="AC206" s="395"/>
      <c r="AD206" s="396"/>
      <c r="AE206" s="395"/>
      <c r="AF206" s="395"/>
      <c r="AG206" s="395"/>
      <c r="AH206" s="395"/>
      <c r="AI206" s="395"/>
      <c r="AJ206" s="397"/>
    </row>
    <row r="207" s="256" customFormat="1" ht="50" customHeight="1" spans="1:36">
      <c r="A207" s="388"/>
      <c r="B207" s="389"/>
      <c r="C207" s="389"/>
      <c r="D207" s="390"/>
      <c r="E207" s="389"/>
      <c r="F207" s="389"/>
      <c r="G207" s="391"/>
      <c r="H207" s="391"/>
      <c r="I207" s="391"/>
      <c r="J207" s="391"/>
      <c r="K207" s="392"/>
      <c r="L207" s="392"/>
      <c r="M207" s="346"/>
      <c r="N207" s="389"/>
      <c r="O207" s="393"/>
      <c r="P207" s="394"/>
      <c r="Q207" s="394"/>
      <c r="R207" s="389"/>
      <c r="S207" s="391"/>
      <c r="T207" s="391"/>
      <c r="U207" s="389"/>
      <c r="V207" s="389"/>
      <c r="W207" s="389"/>
      <c r="X207" s="391"/>
      <c r="Y207" s="391"/>
      <c r="Z207" s="391"/>
      <c r="AA207" s="395"/>
      <c r="AB207" s="396"/>
      <c r="AC207" s="395"/>
      <c r="AD207" s="396"/>
      <c r="AE207" s="395"/>
      <c r="AF207" s="395"/>
      <c r="AG207" s="395"/>
      <c r="AH207" s="395"/>
      <c r="AI207" s="395"/>
      <c r="AJ207" s="397"/>
    </row>
    <row r="208" s="256" customFormat="1" ht="50" customHeight="1" spans="1:36">
      <c r="A208" s="388"/>
      <c r="B208" s="389"/>
      <c r="C208" s="389"/>
      <c r="D208" s="390"/>
      <c r="E208" s="389"/>
      <c r="F208" s="389"/>
      <c r="G208" s="391"/>
      <c r="H208" s="391"/>
      <c r="I208" s="391"/>
      <c r="J208" s="391"/>
      <c r="K208" s="392"/>
      <c r="L208" s="392"/>
      <c r="M208" s="346"/>
      <c r="N208" s="389"/>
      <c r="O208" s="393"/>
      <c r="P208" s="394"/>
      <c r="Q208" s="394"/>
      <c r="R208" s="389"/>
      <c r="S208" s="391"/>
      <c r="T208" s="391"/>
      <c r="U208" s="389"/>
      <c r="V208" s="389"/>
      <c r="W208" s="389"/>
      <c r="X208" s="391"/>
      <c r="Y208" s="391"/>
      <c r="Z208" s="391"/>
      <c r="AA208" s="395"/>
      <c r="AB208" s="396"/>
      <c r="AC208" s="395"/>
      <c r="AD208" s="396"/>
      <c r="AE208" s="395"/>
      <c r="AF208" s="395"/>
      <c r="AG208" s="395"/>
      <c r="AH208" s="395"/>
      <c r="AI208" s="395"/>
      <c r="AJ208" s="397"/>
    </row>
    <row r="209" s="256" customFormat="1" ht="50" customHeight="1" spans="1:36">
      <c r="A209" s="388"/>
      <c r="B209" s="389"/>
      <c r="C209" s="389"/>
      <c r="D209" s="390"/>
      <c r="E209" s="389"/>
      <c r="F209" s="389"/>
      <c r="G209" s="391"/>
      <c r="H209" s="391"/>
      <c r="I209" s="391"/>
      <c r="J209" s="391"/>
      <c r="K209" s="392"/>
      <c r="L209" s="392"/>
      <c r="M209" s="346"/>
      <c r="N209" s="389"/>
      <c r="O209" s="393"/>
      <c r="P209" s="394"/>
      <c r="Q209" s="394"/>
      <c r="R209" s="389"/>
      <c r="S209" s="391"/>
      <c r="T209" s="391"/>
      <c r="U209" s="389"/>
      <c r="V209" s="389"/>
      <c r="W209" s="389"/>
      <c r="X209" s="391"/>
      <c r="Y209" s="391"/>
      <c r="Z209" s="391"/>
      <c r="AA209" s="395"/>
      <c r="AB209" s="396"/>
      <c r="AC209" s="395"/>
      <c r="AD209" s="396"/>
      <c r="AE209" s="395"/>
      <c r="AF209" s="395"/>
      <c r="AG209" s="395"/>
      <c r="AH209" s="395"/>
      <c r="AI209" s="395"/>
      <c r="AJ209" s="397"/>
    </row>
    <row r="210" s="256" customFormat="1" ht="50" customHeight="1" spans="1:36">
      <c r="A210" s="388"/>
      <c r="B210" s="389"/>
      <c r="C210" s="389"/>
      <c r="D210" s="390"/>
      <c r="E210" s="389"/>
      <c r="F210" s="389"/>
      <c r="G210" s="391"/>
      <c r="H210" s="391"/>
      <c r="I210" s="391"/>
      <c r="J210" s="391"/>
      <c r="K210" s="392"/>
      <c r="L210" s="392"/>
      <c r="M210" s="346"/>
      <c r="N210" s="389"/>
      <c r="O210" s="393"/>
      <c r="P210" s="394"/>
      <c r="Q210" s="394"/>
      <c r="R210" s="389"/>
      <c r="S210" s="391"/>
      <c r="T210" s="391"/>
      <c r="U210" s="389"/>
      <c r="V210" s="389"/>
      <c r="W210" s="389"/>
      <c r="X210" s="391"/>
      <c r="Y210" s="391"/>
      <c r="Z210" s="391"/>
      <c r="AA210" s="395"/>
      <c r="AB210" s="396"/>
      <c r="AC210" s="395"/>
      <c r="AD210" s="396"/>
      <c r="AE210" s="395"/>
      <c r="AF210" s="395"/>
      <c r="AG210" s="395"/>
      <c r="AH210" s="395"/>
      <c r="AI210" s="395"/>
      <c r="AJ210" s="397"/>
    </row>
    <row r="211" s="256" customFormat="1" ht="50" customHeight="1" spans="1:36">
      <c r="A211" s="388"/>
      <c r="B211" s="389"/>
      <c r="C211" s="389"/>
      <c r="D211" s="390"/>
      <c r="E211" s="389"/>
      <c r="F211" s="389"/>
      <c r="G211" s="391"/>
      <c r="H211" s="391"/>
      <c r="I211" s="391"/>
      <c r="J211" s="391"/>
      <c r="K211" s="392"/>
      <c r="L211" s="392"/>
      <c r="M211" s="346"/>
      <c r="N211" s="389"/>
      <c r="O211" s="393"/>
      <c r="P211" s="394"/>
      <c r="Q211" s="394"/>
      <c r="R211" s="389"/>
      <c r="S211" s="391"/>
      <c r="T211" s="391"/>
      <c r="U211" s="389"/>
      <c r="V211" s="389"/>
      <c r="W211" s="389"/>
      <c r="X211" s="391"/>
      <c r="Y211" s="391"/>
      <c r="Z211" s="391"/>
      <c r="AA211" s="395"/>
      <c r="AB211" s="396"/>
      <c r="AC211" s="395"/>
      <c r="AD211" s="396"/>
      <c r="AE211" s="395"/>
      <c r="AF211" s="395"/>
      <c r="AG211" s="395"/>
      <c r="AH211" s="395"/>
      <c r="AI211" s="395"/>
      <c r="AJ211" s="397"/>
    </row>
    <row r="212" s="256" customFormat="1" ht="50" customHeight="1" spans="1:36">
      <c r="A212" s="388"/>
      <c r="B212" s="389"/>
      <c r="C212" s="389"/>
      <c r="D212" s="390"/>
      <c r="E212" s="389"/>
      <c r="F212" s="389"/>
      <c r="G212" s="391"/>
      <c r="H212" s="391"/>
      <c r="I212" s="391"/>
      <c r="J212" s="391"/>
      <c r="K212" s="392"/>
      <c r="L212" s="392"/>
      <c r="M212" s="346"/>
      <c r="N212" s="389"/>
      <c r="O212" s="393"/>
      <c r="P212" s="394"/>
      <c r="Q212" s="394"/>
      <c r="R212" s="389"/>
      <c r="S212" s="391"/>
      <c r="T212" s="391"/>
      <c r="U212" s="389"/>
      <c r="V212" s="389"/>
      <c r="W212" s="389"/>
      <c r="X212" s="391"/>
      <c r="Y212" s="391"/>
      <c r="Z212" s="391"/>
      <c r="AA212" s="395"/>
      <c r="AB212" s="396"/>
      <c r="AC212" s="395"/>
      <c r="AD212" s="396"/>
      <c r="AE212" s="395"/>
      <c r="AF212" s="395"/>
      <c r="AG212" s="395"/>
      <c r="AH212" s="395"/>
      <c r="AI212" s="395"/>
      <c r="AJ212" s="397"/>
    </row>
    <row r="213" s="256" customFormat="1" ht="50" customHeight="1" spans="1:36">
      <c r="A213" s="388"/>
      <c r="B213" s="389"/>
      <c r="C213" s="389"/>
      <c r="D213" s="390"/>
      <c r="E213" s="389"/>
      <c r="F213" s="389"/>
      <c r="G213" s="391"/>
      <c r="H213" s="391"/>
      <c r="I213" s="391"/>
      <c r="J213" s="391"/>
      <c r="K213" s="392"/>
      <c r="L213" s="392"/>
      <c r="M213" s="346"/>
      <c r="N213" s="389"/>
      <c r="O213" s="393"/>
      <c r="P213" s="394"/>
      <c r="Q213" s="394"/>
      <c r="R213" s="389"/>
      <c r="S213" s="391"/>
      <c r="T213" s="391"/>
      <c r="U213" s="389"/>
      <c r="V213" s="389"/>
      <c r="W213" s="389"/>
      <c r="X213" s="391"/>
      <c r="Y213" s="391"/>
      <c r="Z213" s="391"/>
      <c r="AA213" s="395"/>
      <c r="AB213" s="396"/>
      <c r="AC213" s="395"/>
      <c r="AD213" s="396"/>
      <c r="AE213" s="395"/>
      <c r="AF213" s="395"/>
      <c r="AG213" s="395"/>
      <c r="AH213" s="395"/>
      <c r="AI213" s="395"/>
      <c r="AJ213" s="397"/>
    </row>
    <row r="214" s="256" customFormat="1" ht="50" customHeight="1" spans="1:36">
      <c r="A214" s="388"/>
      <c r="B214" s="389"/>
      <c r="C214" s="389"/>
      <c r="D214" s="390"/>
      <c r="E214" s="389"/>
      <c r="F214" s="389"/>
      <c r="G214" s="391"/>
      <c r="H214" s="391"/>
      <c r="I214" s="391"/>
      <c r="J214" s="391"/>
      <c r="K214" s="392"/>
      <c r="L214" s="392"/>
      <c r="M214" s="346"/>
      <c r="N214" s="389"/>
      <c r="O214" s="393"/>
      <c r="P214" s="394"/>
      <c r="Q214" s="394"/>
      <c r="R214" s="389"/>
      <c r="S214" s="391"/>
      <c r="T214" s="391"/>
      <c r="U214" s="389"/>
      <c r="V214" s="389"/>
      <c r="W214" s="389"/>
      <c r="X214" s="391"/>
      <c r="Y214" s="391"/>
      <c r="Z214" s="391"/>
      <c r="AA214" s="395"/>
      <c r="AB214" s="396"/>
      <c r="AC214" s="395"/>
      <c r="AD214" s="396"/>
      <c r="AE214" s="395"/>
      <c r="AF214" s="395"/>
      <c r="AG214" s="395"/>
      <c r="AH214" s="395"/>
      <c r="AI214" s="395"/>
      <c r="AJ214" s="397"/>
    </row>
    <row r="215" s="256" customFormat="1" ht="50" customHeight="1" spans="1:36">
      <c r="A215" s="388"/>
      <c r="B215" s="389"/>
      <c r="C215" s="389"/>
      <c r="D215" s="390"/>
      <c r="E215" s="389"/>
      <c r="F215" s="389"/>
      <c r="G215" s="391"/>
      <c r="H215" s="391"/>
      <c r="I215" s="391"/>
      <c r="J215" s="391"/>
      <c r="K215" s="392"/>
      <c r="L215" s="392"/>
      <c r="M215" s="346"/>
      <c r="N215" s="389"/>
      <c r="O215" s="393"/>
      <c r="P215" s="394"/>
      <c r="Q215" s="394"/>
      <c r="R215" s="389"/>
      <c r="S215" s="391"/>
      <c r="T215" s="391"/>
      <c r="U215" s="389"/>
      <c r="V215" s="389"/>
      <c r="W215" s="389"/>
      <c r="X215" s="391"/>
      <c r="Y215" s="391"/>
      <c r="Z215" s="391"/>
      <c r="AA215" s="395"/>
      <c r="AB215" s="396"/>
      <c r="AC215" s="395"/>
      <c r="AD215" s="396"/>
      <c r="AE215" s="395"/>
      <c r="AF215" s="395"/>
      <c r="AG215" s="395"/>
      <c r="AH215" s="395"/>
      <c r="AI215" s="395"/>
      <c r="AJ215" s="397"/>
    </row>
    <row r="216" s="256" customFormat="1" ht="50" customHeight="1" spans="1:36">
      <c r="A216" s="388"/>
      <c r="B216" s="389"/>
      <c r="C216" s="389"/>
      <c r="D216" s="390"/>
      <c r="E216" s="389"/>
      <c r="F216" s="389"/>
      <c r="G216" s="391"/>
      <c r="H216" s="391"/>
      <c r="I216" s="391"/>
      <c r="J216" s="391"/>
      <c r="K216" s="392"/>
      <c r="L216" s="392"/>
      <c r="M216" s="346"/>
      <c r="N216" s="389"/>
      <c r="O216" s="393"/>
      <c r="P216" s="394"/>
      <c r="Q216" s="394"/>
      <c r="R216" s="389"/>
      <c r="S216" s="391"/>
      <c r="T216" s="391"/>
      <c r="U216" s="389"/>
      <c r="V216" s="389"/>
      <c r="W216" s="389"/>
      <c r="X216" s="391"/>
      <c r="Y216" s="391"/>
      <c r="Z216" s="391"/>
      <c r="AA216" s="395"/>
      <c r="AB216" s="396"/>
      <c r="AC216" s="395"/>
      <c r="AD216" s="396"/>
      <c r="AE216" s="395"/>
      <c r="AF216" s="395"/>
      <c r="AG216" s="395"/>
      <c r="AH216" s="395"/>
      <c r="AI216" s="395"/>
      <c r="AJ216" s="397"/>
    </row>
    <row r="217" s="256" customFormat="1" ht="50" customHeight="1" spans="1:36">
      <c r="A217" s="388"/>
      <c r="B217" s="389"/>
      <c r="C217" s="389"/>
      <c r="D217" s="390"/>
      <c r="E217" s="389"/>
      <c r="F217" s="389"/>
      <c r="G217" s="391"/>
      <c r="H217" s="391"/>
      <c r="I217" s="391"/>
      <c r="J217" s="391"/>
      <c r="K217" s="392"/>
      <c r="L217" s="392"/>
      <c r="M217" s="346"/>
      <c r="N217" s="389"/>
      <c r="O217" s="393"/>
      <c r="P217" s="394"/>
      <c r="Q217" s="394"/>
      <c r="R217" s="389"/>
      <c r="S217" s="391"/>
      <c r="T217" s="391"/>
      <c r="U217" s="389"/>
      <c r="V217" s="389"/>
      <c r="W217" s="389"/>
      <c r="X217" s="391"/>
      <c r="Y217" s="391"/>
      <c r="Z217" s="391"/>
      <c r="AA217" s="395"/>
      <c r="AB217" s="396"/>
      <c r="AC217" s="395"/>
      <c r="AD217" s="396"/>
      <c r="AE217" s="395"/>
      <c r="AF217" s="395"/>
      <c r="AG217" s="395"/>
      <c r="AH217" s="395"/>
      <c r="AI217" s="395"/>
      <c r="AJ217" s="397"/>
    </row>
    <row r="218" s="256" customFormat="1" ht="50" customHeight="1" spans="1:36">
      <c r="A218" s="388"/>
      <c r="B218" s="389"/>
      <c r="C218" s="389"/>
      <c r="D218" s="390"/>
      <c r="E218" s="389"/>
      <c r="F218" s="389"/>
      <c r="G218" s="391"/>
      <c r="H218" s="391"/>
      <c r="I218" s="391"/>
      <c r="J218" s="391"/>
      <c r="K218" s="392"/>
      <c r="L218" s="392"/>
      <c r="M218" s="346"/>
      <c r="N218" s="389"/>
      <c r="O218" s="393"/>
      <c r="P218" s="394"/>
      <c r="Q218" s="394"/>
      <c r="R218" s="389"/>
      <c r="S218" s="391"/>
      <c r="T218" s="391"/>
      <c r="U218" s="389"/>
      <c r="V218" s="389"/>
      <c r="W218" s="389"/>
      <c r="X218" s="391"/>
      <c r="Y218" s="391"/>
      <c r="Z218" s="391"/>
      <c r="AA218" s="395"/>
      <c r="AB218" s="396"/>
      <c r="AC218" s="395"/>
      <c r="AD218" s="396"/>
      <c r="AE218" s="395"/>
      <c r="AF218" s="395"/>
      <c r="AG218" s="395"/>
      <c r="AH218" s="395"/>
      <c r="AI218" s="395"/>
      <c r="AJ218" s="397"/>
    </row>
    <row r="219" s="256" customFormat="1" ht="50" customHeight="1" spans="1:36">
      <c r="A219" s="388"/>
      <c r="B219" s="389"/>
      <c r="C219" s="389"/>
      <c r="D219" s="390"/>
      <c r="E219" s="389"/>
      <c r="F219" s="389"/>
      <c r="G219" s="391"/>
      <c r="H219" s="391"/>
      <c r="I219" s="391"/>
      <c r="J219" s="391"/>
      <c r="K219" s="392"/>
      <c r="L219" s="392"/>
      <c r="M219" s="346"/>
      <c r="N219" s="389"/>
      <c r="O219" s="393"/>
      <c r="P219" s="394"/>
      <c r="Q219" s="394"/>
      <c r="R219" s="389"/>
      <c r="S219" s="391"/>
      <c r="T219" s="391"/>
      <c r="U219" s="389"/>
      <c r="V219" s="389"/>
      <c r="W219" s="389"/>
      <c r="X219" s="391"/>
      <c r="Y219" s="391"/>
      <c r="Z219" s="391"/>
      <c r="AA219" s="395"/>
      <c r="AB219" s="396"/>
      <c r="AC219" s="395"/>
      <c r="AD219" s="396"/>
      <c r="AE219" s="395"/>
      <c r="AF219" s="395"/>
      <c r="AG219" s="395"/>
      <c r="AH219" s="395"/>
      <c r="AI219" s="395"/>
      <c r="AJ219" s="397"/>
    </row>
    <row r="220" s="256" customFormat="1" ht="50" customHeight="1" spans="1:36">
      <c r="A220" s="388"/>
      <c r="B220" s="389"/>
      <c r="C220" s="389"/>
      <c r="D220" s="390"/>
      <c r="E220" s="389"/>
      <c r="F220" s="389"/>
      <c r="G220" s="391"/>
      <c r="H220" s="391"/>
      <c r="I220" s="391"/>
      <c r="J220" s="391"/>
      <c r="K220" s="392"/>
      <c r="L220" s="392"/>
      <c r="M220" s="346"/>
      <c r="N220" s="389"/>
      <c r="O220" s="393"/>
      <c r="P220" s="394"/>
      <c r="Q220" s="394"/>
      <c r="R220" s="389"/>
      <c r="S220" s="391"/>
      <c r="T220" s="391"/>
      <c r="U220" s="389"/>
      <c r="V220" s="389"/>
      <c r="W220" s="389"/>
      <c r="X220" s="391"/>
      <c r="Y220" s="391"/>
      <c r="Z220" s="391"/>
      <c r="AA220" s="395"/>
      <c r="AB220" s="396"/>
      <c r="AC220" s="395"/>
      <c r="AD220" s="396"/>
      <c r="AE220" s="395"/>
      <c r="AF220" s="395"/>
      <c r="AG220" s="395"/>
      <c r="AH220" s="395"/>
      <c r="AI220" s="395"/>
      <c r="AJ220" s="397"/>
    </row>
    <row r="221" s="256" customFormat="1" ht="50" customHeight="1" spans="1:36">
      <c r="A221" s="388"/>
      <c r="B221" s="389"/>
      <c r="C221" s="389"/>
      <c r="D221" s="390"/>
      <c r="E221" s="389"/>
      <c r="F221" s="389"/>
      <c r="G221" s="391"/>
      <c r="H221" s="391"/>
      <c r="I221" s="391"/>
      <c r="J221" s="391"/>
      <c r="K221" s="392"/>
      <c r="L221" s="392"/>
      <c r="M221" s="346"/>
      <c r="N221" s="389"/>
      <c r="O221" s="393"/>
      <c r="P221" s="394"/>
      <c r="Q221" s="394"/>
      <c r="R221" s="389"/>
      <c r="S221" s="391"/>
      <c r="T221" s="391"/>
      <c r="U221" s="389"/>
      <c r="V221" s="389"/>
      <c r="W221" s="389"/>
      <c r="X221" s="391"/>
      <c r="Y221" s="391"/>
      <c r="Z221" s="391"/>
      <c r="AA221" s="395"/>
      <c r="AB221" s="396"/>
      <c r="AC221" s="395"/>
      <c r="AD221" s="396"/>
      <c r="AE221" s="395"/>
      <c r="AF221" s="395"/>
      <c r="AG221" s="395"/>
      <c r="AH221" s="395"/>
      <c r="AI221" s="395"/>
      <c r="AJ221" s="397"/>
    </row>
    <row r="222" s="256" customFormat="1" ht="50" customHeight="1" spans="1:36">
      <c r="A222" s="388"/>
      <c r="B222" s="389"/>
      <c r="C222" s="389"/>
      <c r="D222" s="390"/>
      <c r="E222" s="389"/>
      <c r="F222" s="389"/>
      <c r="G222" s="391"/>
      <c r="H222" s="391"/>
      <c r="I222" s="391"/>
      <c r="J222" s="391"/>
      <c r="K222" s="392"/>
      <c r="L222" s="392"/>
      <c r="M222" s="346"/>
      <c r="N222" s="389"/>
      <c r="O222" s="393"/>
      <c r="P222" s="394"/>
      <c r="Q222" s="394"/>
      <c r="R222" s="389"/>
      <c r="S222" s="391"/>
      <c r="T222" s="391"/>
      <c r="U222" s="389"/>
      <c r="V222" s="389"/>
      <c r="W222" s="389"/>
      <c r="X222" s="391"/>
      <c r="Y222" s="391"/>
      <c r="Z222" s="391"/>
      <c r="AA222" s="395"/>
      <c r="AB222" s="396"/>
      <c r="AC222" s="395"/>
      <c r="AD222" s="396"/>
      <c r="AE222" s="395"/>
      <c r="AF222" s="395"/>
      <c r="AG222" s="395"/>
      <c r="AH222" s="395"/>
      <c r="AI222" s="395"/>
      <c r="AJ222" s="397"/>
    </row>
    <row r="223" s="256" customFormat="1" ht="50" customHeight="1" spans="1:36">
      <c r="A223" s="388"/>
      <c r="B223" s="389"/>
      <c r="C223" s="389"/>
      <c r="D223" s="390"/>
      <c r="E223" s="389"/>
      <c r="F223" s="389"/>
      <c r="G223" s="391"/>
      <c r="H223" s="391"/>
      <c r="I223" s="391"/>
      <c r="J223" s="391"/>
      <c r="K223" s="392"/>
      <c r="L223" s="392"/>
      <c r="M223" s="346"/>
      <c r="N223" s="389"/>
      <c r="O223" s="393"/>
      <c r="P223" s="394"/>
      <c r="Q223" s="394"/>
      <c r="R223" s="389"/>
      <c r="S223" s="391"/>
      <c r="T223" s="391"/>
      <c r="U223" s="389"/>
      <c r="V223" s="389"/>
      <c r="W223" s="389"/>
      <c r="X223" s="391"/>
      <c r="Y223" s="391"/>
      <c r="Z223" s="391"/>
      <c r="AA223" s="395"/>
      <c r="AB223" s="396"/>
      <c r="AC223" s="395"/>
      <c r="AD223" s="396"/>
      <c r="AE223" s="395"/>
      <c r="AF223" s="395"/>
      <c r="AG223" s="395"/>
      <c r="AH223" s="395"/>
      <c r="AI223" s="395"/>
      <c r="AJ223" s="397"/>
    </row>
    <row r="224" s="256" customFormat="1" ht="50" customHeight="1" spans="1:36">
      <c r="A224" s="388"/>
      <c r="B224" s="389"/>
      <c r="C224" s="389"/>
      <c r="D224" s="390"/>
      <c r="E224" s="389"/>
      <c r="F224" s="389"/>
      <c r="G224" s="391"/>
      <c r="H224" s="391"/>
      <c r="I224" s="391"/>
      <c r="J224" s="391"/>
      <c r="K224" s="392"/>
      <c r="L224" s="392"/>
      <c r="M224" s="346"/>
      <c r="N224" s="389"/>
      <c r="O224" s="393"/>
      <c r="P224" s="394"/>
      <c r="Q224" s="394"/>
      <c r="R224" s="389"/>
      <c r="S224" s="391"/>
      <c r="T224" s="391"/>
      <c r="U224" s="389"/>
      <c r="V224" s="389"/>
      <c r="W224" s="389"/>
      <c r="X224" s="391"/>
      <c r="Y224" s="391"/>
      <c r="Z224" s="391"/>
      <c r="AA224" s="395"/>
      <c r="AB224" s="396"/>
      <c r="AC224" s="395"/>
      <c r="AD224" s="396"/>
      <c r="AE224" s="395"/>
      <c r="AF224" s="395"/>
      <c r="AG224" s="395"/>
      <c r="AH224" s="395"/>
      <c r="AI224" s="395"/>
      <c r="AJ224" s="397"/>
    </row>
    <row r="225" s="256" customFormat="1" ht="50" customHeight="1" spans="1:36">
      <c r="A225" s="388"/>
      <c r="B225" s="389"/>
      <c r="C225" s="389"/>
      <c r="D225" s="390"/>
      <c r="E225" s="389"/>
      <c r="F225" s="389"/>
      <c r="G225" s="391"/>
      <c r="H225" s="391"/>
      <c r="I225" s="391"/>
      <c r="J225" s="391"/>
      <c r="K225" s="392"/>
      <c r="L225" s="392"/>
      <c r="M225" s="346"/>
      <c r="N225" s="389"/>
      <c r="O225" s="393"/>
      <c r="P225" s="394"/>
      <c r="Q225" s="394"/>
      <c r="R225" s="389"/>
      <c r="S225" s="391"/>
      <c r="T225" s="391"/>
      <c r="U225" s="389"/>
      <c r="V225" s="389"/>
      <c r="W225" s="389"/>
      <c r="X225" s="391"/>
      <c r="Y225" s="391"/>
      <c r="Z225" s="391"/>
      <c r="AA225" s="395"/>
      <c r="AB225" s="396"/>
      <c r="AC225" s="395"/>
      <c r="AD225" s="396"/>
      <c r="AE225" s="395"/>
      <c r="AF225" s="395"/>
      <c r="AG225" s="395"/>
      <c r="AH225" s="395"/>
      <c r="AI225" s="395"/>
      <c r="AJ225" s="397"/>
    </row>
    <row r="226" s="256" customFormat="1" ht="50" customHeight="1" spans="1:36">
      <c r="A226" s="388"/>
      <c r="B226" s="389"/>
      <c r="C226" s="389"/>
      <c r="D226" s="390"/>
      <c r="E226" s="389"/>
      <c r="F226" s="389"/>
      <c r="G226" s="391"/>
      <c r="H226" s="391"/>
      <c r="I226" s="391"/>
      <c r="J226" s="391"/>
      <c r="K226" s="392"/>
      <c r="L226" s="392"/>
      <c r="M226" s="346"/>
      <c r="N226" s="389"/>
      <c r="O226" s="393"/>
      <c r="P226" s="394"/>
      <c r="Q226" s="394"/>
      <c r="R226" s="389"/>
      <c r="S226" s="391"/>
      <c r="T226" s="391"/>
      <c r="U226" s="389"/>
      <c r="V226" s="389"/>
      <c r="W226" s="389"/>
      <c r="X226" s="391"/>
      <c r="Y226" s="391"/>
      <c r="Z226" s="391"/>
      <c r="AA226" s="395"/>
      <c r="AB226" s="396"/>
      <c r="AC226" s="395"/>
      <c r="AD226" s="396"/>
      <c r="AE226" s="395"/>
      <c r="AF226" s="395"/>
      <c r="AG226" s="395"/>
      <c r="AH226" s="395"/>
      <c r="AI226" s="395"/>
      <c r="AJ226" s="397"/>
    </row>
    <row r="227" s="256" customFormat="1" ht="50" customHeight="1" spans="1:36">
      <c r="A227" s="388"/>
      <c r="B227" s="389"/>
      <c r="C227" s="389"/>
      <c r="D227" s="390"/>
      <c r="E227" s="389"/>
      <c r="F227" s="389"/>
      <c r="G227" s="391"/>
      <c r="H227" s="391"/>
      <c r="I227" s="391"/>
      <c r="J227" s="391"/>
      <c r="K227" s="392"/>
      <c r="L227" s="392"/>
      <c r="M227" s="346"/>
      <c r="N227" s="389"/>
      <c r="O227" s="393"/>
      <c r="P227" s="394"/>
      <c r="Q227" s="394"/>
      <c r="R227" s="389"/>
      <c r="S227" s="391"/>
      <c r="T227" s="391"/>
      <c r="U227" s="389"/>
      <c r="V227" s="389"/>
      <c r="W227" s="389"/>
      <c r="X227" s="391"/>
      <c r="Y227" s="391"/>
      <c r="Z227" s="391"/>
      <c r="AA227" s="395"/>
      <c r="AB227" s="396"/>
      <c r="AC227" s="395"/>
      <c r="AD227" s="396"/>
      <c r="AE227" s="395"/>
      <c r="AF227" s="395"/>
      <c r="AG227" s="395"/>
      <c r="AH227" s="395"/>
      <c r="AI227" s="395"/>
      <c r="AJ227" s="397"/>
    </row>
    <row r="228" s="256" customFormat="1" ht="50" customHeight="1" spans="1:36">
      <c r="A228" s="388"/>
      <c r="B228" s="389"/>
      <c r="C228" s="389"/>
      <c r="D228" s="390"/>
      <c r="E228" s="389"/>
      <c r="F228" s="389"/>
      <c r="G228" s="391"/>
      <c r="H228" s="391"/>
      <c r="I228" s="391"/>
      <c r="J228" s="391"/>
      <c r="K228" s="392"/>
      <c r="L228" s="392"/>
      <c r="M228" s="346"/>
      <c r="N228" s="389"/>
      <c r="O228" s="393"/>
      <c r="P228" s="394"/>
      <c r="Q228" s="394"/>
      <c r="R228" s="389"/>
      <c r="S228" s="391"/>
      <c r="T228" s="391"/>
      <c r="U228" s="389"/>
      <c r="V228" s="389"/>
      <c r="W228" s="389"/>
      <c r="X228" s="391"/>
      <c r="Y228" s="391"/>
      <c r="Z228" s="391"/>
      <c r="AA228" s="395"/>
      <c r="AB228" s="396"/>
      <c r="AC228" s="395"/>
      <c r="AD228" s="396"/>
      <c r="AE228" s="395"/>
      <c r="AF228" s="395"/>
      <c r="AG228" s="395"/>
      <c r="AH228" s="395"/>
      <c r="AI228" s="395"/>
      <c r="AJ228" s="397"/>
    </row>
    <row r="229" s="256" customFormat="1" ht="50" customHeight="1" spans="1:36">
      <c r="A229" s="388"/>
      <c r="B229" s="389"/>
      <c r="C229" s="389"/>
      <c r="D229" s="390"/>
      <c r="E229" s="389"/>
      <c r="F229" s="389"/>
      <c r="G229" s="391"/>
      <c r="H229" s="391"/>
      <c r="I229" s="391"/>
      <c r="J229" s="391"/>
      <c r="K229" s="392"/>
      <c r="L229" s="392"/>
      <c r="M229" s="346"/>
      <c r="N229" s="389"/>
      <c r="O229" s="393"/>
      <c r="P229" s="394"/>
      <c r="Q229" s="394"/>
      <c r="R229" s="389"/>
      <c r="S229" s="391"/>
      <c r="T229" s="391"/>
      <c r="U229" s="389"/>
      <c r="V229" s="389"/>
      <c r="W229" s="389"/>
      <c r="X229" s="391"/>
      <c r="Y229" s="391"/>
      <c r="Z229" s="391"/>
      <c r="AA229" s="395"/>
      <c r="AB229" s="396"/>
      <c r="AC229" s="395"/>
      <c r="AD229" s="396"/>
      <c r="AE229" s="395"/>
      <c r="AF229" s="395"/>
      <c r="AG229" s="395"/>
      <c r="AH229" s="395"/>
      <c r="AI229" s="395"/>
      <c r="AJ229" s="397"/>
    </row>
    <row r="230" s="256" customFormat="1" ht="50" customHeight="1" spans="1:36">
      <c r="A230" s="388"/>
      <c r="B230" s="389"/>
      <c r="C230" s="389"/>
      <c r="D230" s="390"/>
      <c r="E230" s="389"/>
      <c r="F230" s="389"/>
      <c r="G230" s="391"/>
      <c r="H230" s="391"/>
      <c r="I230" s="391"/>
      <c r="J230" s="391"/>
      <c r="K230" s="392"/>
      <c r="L230" s="392"/>
      <c r="M230" s="346"/>
      <c r="N230" s="389"/>
      <c r="O230" s="393"/>
      <c r="P230" s="394"/>
      <c r="Q230" s="394"/>
      <c r="R230" s="389"/>
      <c r="S230" s="391"/>
      <c r="T230" s="391"/>
      <c r="U230" s="389"/>
      <c r="V230" s="389"/>
      <c r="W230" s="389"/>
      <c r="X230" s="391"/>
      <c r="Y230" s="391"/>
      <c r="Z230" s="391"/>
      <c r="AA230" s="395"/>
      <c r="AB230" s="396"/>
      <c r="AC230" s="395"/>
      <c r="AD230" s="396"/>
      <c r="AE230" s="395"/>
      <c r="AF230" s="395"/>
      <c r="AG230" s="395"/>
      <c r="AH230" s="395"/>
      <c r="AI230" s="395"/>
      <c r="AJ230" s="397"/>
    </row>
    <row r="231" s="256" customFormat="1" ht="50" customHeight="1" spans="1:36">
      <c r="A231" s="388"/>
      <c r="B231" s="389"/>
      <c r="C231" s="389"/>
      <c r="D231" s="390"/>
      <c r="E231" s="389"/>
      <c r="F231" s="389"/>
      <c r="G231" s="391"/>
      <c r="H231" s="391"/>
      <c r="I231" s="391"/>
      <c r="J231" s="391"/>
      <c r="K231" s="392"/>
      <c r="L231" s="392"/>
      <c r="M231" s="346"/>
      <c r="N231" s="389"/>
      <c r="O231" s="393"/>
      <c r="P231" s="394"/>
      <c r="Q231" s="394"/>
      <c r="R231" s="389"/>
      <c r="S231" s="391"/>
      <c r="T231" s="391"/>
      <c r="U231" s="389"/>
      <c r="V231" s="389"/>
      <c r="W231" s="389"/>
      <c r="X231" s="391"/>
      <c r="Y231" s="391"/>
      <c r="Z231" s="391"/>
      <c r="AA231" s="395"/>
      <c r="AB231" s="396"/>
      <c r="AC231" s="395"/>
      <c r="AD231" s="396"/>
      <c r="AE231" s="395"/>
      <c r="AF231" s="395"/>
      <c r="AG231" s="395"/>
      <c r="AH231" s="395"/>
      <c r="AI231" s="395"/>
      <c r="AJ231" s="397"/>
    </row>
    <row r="232" s="256" customFormat="1" ht="50" customHeight="1" spans="1:36">
      <c r="A232" s="388"/>
      <c r="B232" s="389"/>
      <c r="C232" s="389"/>
      <c r="D232" s="390"/>
      <c r="E232" s="389"/>
      <c r="F232" s="389"/>
      <c r="G232" s="391"/>
      <c r="H232" s="391"/>
      <c r="I232" s="391"/>
      <c r="J232" s="391"/>
      <c r="K232" s="392"/>
      <c r="L232" s="392"/>
      <c r="M232" s="346"/>
      <c r="N232" s="389"/>
      <c r="O232" s="393"/>
      <c r="P232" s="394"/>
      <c r="Q232" s="394"/>
      <c r="R232" s="389"/>
      <c r="S232" s="391"/>
      <c r="T232" s="391"/>
      <c r="U232" s="389"/>
      <c r="V232" s="389"/>
      <c r="W232" s="389"/>
      <c r="X232" s="391"/>
      <c r="Y232" s="391"/>
      <c r="Z232" s="391"/>
      <c r="AA232" s="395"/>
      <c r="AB232" s="396"/>
      <c r="AC232" s="395"/>
      <c r="AD232" s="396"/>
      <c r="AE232" s="395"/>
      <c r="AF232" s="395"/>
      <c r="AG232" s="395"/>
      <c r="AH232" s="395"/>
      <c r="AI232" s="395"/>
      <c r="AJ232" s="397"/>
    </row>
    <row r="233" s="256" customFormat="1" ht="50" customHeight="1" spans="1:36">
      <c r="A233" s="388"/>
      <c r="B233" s="389"/>
      <c r="C233" s="389"/>
      <c r="D233" s="390"/>
      <c r="E233" s="389"/>
      <c r="F233" s="389"/>
      <c r="G233" s="391"/>
      <c r="H233" s="391"/>
      <c r="I233" s="391"/>
      <c r="J233" s="391"/>
      <c r="K233" s="392"/>
      <c r="L233" s="392"/>
      <c r="M233" s="346"/>
      <c r="N233" s="389"/>
      <c r="O233" s="393"/>
      <c r="P233" s="394"/>
      <c r="Q233" s="394"/>
      <c r="R233" s="389"/>
      <c r="S233" s="391"/>
      <c r="T233" s="391"/>
      <c r="U233" s="389"/>
      <c r="V233" s="389"/>
      <c r="W233" s="389"/>
      <c r="X233" s="391"/>
      <c r="Y233" s="391"/>
      <c r="Z233" s="391"/>
      <c r="AA233" s="395"/>
      <c r="AB233" s="396"/>
      <c r="AC233" s="395"/>
      <c r="AD233" s="396"/>
      <c r="AE233" s="395"/>
      <c r="AF233" s="395"/>
      <c r="AG233" s="395"/>
      <c r="AH233" s="395"/>
      <c r="AI233" s="395"/>
      <c r="AJ233" s="397"/>
    </row>
    <row r="234" s="256" customFormat="1" ht="50" customHeight="1" spans="1:36">
      <c r="A234" s="388"/>
      <c r="B234" s="389"/>
      <c r="C234" s="389"/>
      <c r="D234" s="390"/>
      <c r="E234" s="389"/>
      <c r="F234" s="389"/>
      <c r="G234" s="391"/>
      <c r="H234" s="391"/>
      <c r="I234" s="391"/>
      <c r="J234" s="391"/>
      <c r="K234" s="392"/>
      <c r="L234" s="392"/>
      <c r="M234" s="346"/>
      <c r="N234" s="389"/>
      <c r="O234" s="393"/>
      <c r="P234" s="394"/>
      <c r="Q234" s="394"/>
      <c r="R234" s="389"/>
      <c r="S234" s="391"/>
      <c r="T234" s="391"/>
      <c r="U234" s="389"/>
      <c r="V234" s="389"/>
      <c r="W234" s="389"/>
      <c r="X234" s="391"/>
      <c r="Y234" s="391"/>
      <c r="Z234" s="391"/>
      <c r="AA234" s="395"/>
      <c r="AB234" s="396"/>
      <c r="AC234" s="395"/>
      <c r="AD234" s="396"/>
      <c r="AE234" s="395"/>
      <c r="AF234" s="395"/>
      <c r="AG234" s="395"/>
      <c r="AH234" s="395"/>
      <c r="AI234" s="395"/>
      <c r="AJ234" s="397"/>
    </row>
    <row r="235" s="256" customFormat="1" ht="50" customHeight="1" spans="1:36">
      <c r="A235" s="388"/>
      <c r="B235" s="389"/>
      <c r="C235" s="389"/>
      <c r="D235" s="390"/>
      <c r="E235" s="389"/>
      <c r="F235" s="389"/>
      <c r="G235" s="391"/>
      <c r="H235" s="391"/>
      <c r="I235" s="391"/>
      <c r="J235" s="391"/>
      <c r="K235" s="392"/>
      <c r="L235" s="392"/>
      <c r="M235" s="346"/>
      <c r="N235" s="389"/>
      <c r="O235" s="393"/>
      <c r="P235" s="394"/>
      <c r="Q235" s="394"/>
      <c r="R235" s="389"/>
      <c r="S235" s="391"/>
      <c r="T235" s="391"/>
      <c r="U235" s="389"/>
      <c r="V235" s="389"/>
      <c r="W235" s="389"/>
      <c r="X235" s="391"/>
      <c r="Y235" s="391"/>
      <c r="Z235" s="391"/>
      <c r="AA235" s="395"/>
      <c r="AB235" s="396"/>
      <c r="AC235" s="395"/>
      <c r="AD235" s="396"/>
      <c r="AE235" s="395"/>
      <c r="AF235" s="395"/>
      <c r="AG235" s="395"/>
      <c r="AH235" s="395"/>
      <c r="AI235" s="395"/>
      <c r="AJ235" s="397"/>
    </row>
    <row r="236" s="256" customFormat="1" ht="50" customHeight="1" spans="1:36">
      <c r="A236" s="388"/>
      <c r="B236" s="389"/>
      <c r="C236" s="389"/>
      <c r="D236" s="390"/>
      <c r="E236" s="389"/>
      <c r="F236" s="389"/>
      <c r="G236" s="391"/>
      <c r="H236" s="391"/>
      <c r="I236" s="391"/>
      <c r="J236" s="391"/>
      <c r="K236" s="392"/>
      <c r="L236" s="392"/>
      <c r="M236" s="346"/>
      <c r="N236" s="389"/>
      <c r="O236" s="393"/>
      <c r="P236" s="394"/>
      <c r="Q236" s="394"/>
      <c r="R236" s="389"/>
      <c r="S236" s="391"/>
      <c r="T236" s="391"/>
      <c r="U236" s="389"/>
      <c r="V236" s="389"/>
      <c r="W236" s="389"/>
      <c r="X236" s="391"/>
      <c r="Y236" s="391"/>
      <c r="Z236" s="391"/>
      <c r="AA236" s="395"/>
      <c r="AB236" s="396"/>
      <c r="AC236" s="395"/>
      <c r="AD236" s="396"/>
      <c r="AE236" s="395"/>
      <c r="AF236" s="395"/>
      <c r="AG236" s="395"/>
      <c r="AH236" s="395"/>
      <c r="AI236" s="395"/>
      <c r="AJ236" s="397"/>
    </row>
    <row r="237" s="256" customFormat="1" ht="50" customHeight="1" spans="1:36">
      <c r="A237" s="388"/>
      <c r="B237" s="389"/>
      <c r="C237" s="389"/>
      <c r="D237" s="390"/>
      <c r="E237" s="389"/>
      <c r="F237" s="389"/>
      <c r="G237" s="391"/>
      <c r="H237" s="391"/>
      <c r="I237" s="391"/>
      <c r="J237" s="391"/>
      <c r="K237" s="392"/>
      <c r="L237" s="392"/>
      <c r="M237" s="346"/>
      <c r="N237" s="389"/>
      <c r="O237" s="393"/>
      <c r="P237" s="394"/>
      <c r="Q237" s="394"/>
      <c r="R237" s="389"/>
      <c r="S237" s="391"/>
      <c r="T237" s="391"/>
      <c r="U237" s="389"/>
      <c r="V237" s="389"/>
      <c r="W237" s="389"/>
      <c r="X237" s="391"/>
      <c r="Y237" s="391"/>
      <c r="Z237" s="391"/>
      <c r="AA237" s="395"/>
      <c r="AB237" s="396"/>
      <c r="AC237" s="395"/>
      <c r="AD237" s="396"/>
      <c r="AE237" s="395"/>
      <c r="AF237" s="395"/>
      <c r="AG237" s="395"/>
      <c r="AH237" s="395"/>
      <c r="AI237" s="395"/>
      <c r="AJ237" s="397"/>
    </row>
    <row r="238" s="256" customFormat="1" ht="50" customHeight="1" spans="1:36">
      <c r="A238" s="388"/>
      <c r="B238" s="389"/>
      <c r="C238" s="389"/>
      <c r="D238" s="390"/>
      <c r="E238" s="389"/>
      <c r="F238" s="389"/>
      <c r="G238" s="391"/>
      <c r="H238" s="391"/>
      <c r="I238" s="391"/>
      <c r="J238" s="391"/>
      <c r="K238" s="392"/>
      <c r="L238" s="392"/>
      <c r="M238" s="346"/>
      <c r="N238" s="389"/>
      <c r="O238" s="393"/>
      <c r="P238" s="394"/>
      <c r="Q238" s="394"/>
      <c r="R238" s="389"/>
      <c r="S238" s="391"/>
      <c r="T238" s="391"/>
      <c r="U238" s="389"/>
      <c r="V238" s="389"/>
      <c r="W238" s="389"/>
      <c r="X238" s="391"/>
      <c r="Y238" s="391"/>
      <c r="Z238" s="391"/>
      <c r="AA238" s="395"/>
      <c r="AB238" s="396"/>
      <c r="AC238" s="395"/>
      <c r="AD238" s="396"/>
      <c r="AE238" s="395"/>
      <c r="AF238" s="395"/>
      <c r="AG238" s="395"/>
      <c r="AH238" s="395"/>
      <c r="AI238" s="395"/>
      <c r="AJ238" s="397"/>
    </row>
    <row r="239" s="256" customFormat="1" ht="50" customHeight="1" spans="1:36">
      <c r="A239" s="388"/>
      <c r="B239" s="389"/>
      <c r="C239" s="389"/>
      <c r="D239" s="390"/>
      <c r="E239" s="389"/>
      <c r="F239" s="389"/>
      <c r="G239" s="391"/>
      <c r="H239" s="391"/>
      <c r="I239" s="391"/>
      <c r="J239" s="391"/>
      <c r="K239" s="392"/>
      <c r="L239" s="392"/>
      <c r="M239" s="346"/>
      <c r="N239" s="389"/>
      <c r="O239" s="393"/>
      <c r="P239" s="394"/>
      <c r="Q239" s="394"/>
      <c r="R239" s="389"/>
      <c r="S239" s="391"/>
      <c r="T239" s="391"/>
      <c r="U239" s="389"/>
      <c r="V239" s="389"/>
      <c r="W239" s="389"/>
      <c r="X239" s="391"/>
      <c r="Y239" s="391"/>
      <c r="Z239" s="391"/>
      <c r="AA239" s="395"/>
      <c r="AB239" s="396"/>
      <c r="AC239" s="395"/>
      <c r="AD239" s="396"/>
      <c r="AE239" s="395"/>
      <c r="AF239" s="395"/>
      <c r="AG239" s="395"/>
      <c r="AH239" s="395"/>
      <c r="AI239" s="395"/>
      <c r="AJ239" s="397"/>
    </row>
  </sheetData>
  <sheetProtection formatCells="0" formatColumns="0" formatRows="0" insertRows="0" insertColumns="0" insertHyperlinks="0" deleteColumns="0" deleteRows="0" sort="0" autoFilter="0" pivotTables="0"/>
  <autoFilter xmlns:etc="http://www.wps.cn/officeDocument/2017/etCustomData" ref="A3:XDN177" etc:filterBottomFollowUsedRange="0">
    <extLst/>
  </autoFilter>
  <mergeCells count="7">
    <mergeCell ref="A1:G1"/>
    <mergeCell ref="A2:D2"/>
    <mergeCell ref="F2:G2"/>
    <mergeCell ref="I2:K2"/>
    <mergeCell ref="R2:X2"/>
    <mergeCell ref="Y2:AA2"/>
    <mergeCell ref="AB2:AE2"/>
  </mergeCells>
  <pageMargins left="0" right="0.0784722222222222" top="0.306944444444444" bottom="0.306944444444444" header="0.5" footer="0.5"/>
  <pageSetup paperSize="9" scale="45" fitToWidth="0" orientation="landscape" horizontalDpi="600"/>
  <headerFooter alignWithMargins="0" scaleWithDoc="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T65317"/>
  <sheetViews>
    <sheetView zoomScale="70" zoomScaleNormal="70" workbookViewId="0">
      <pane xSplit="8" ySplit="3" topLeftCell="I47" activePane="bottomRight" state="frozen"/>
      <selection/>
      <selection pane="topRight"/>
      <selection pane="bottomLeft"/>
      <selection pane="bottomRight" activeCell="D1021" sqref="D1021"/>
    </sheetView>
  </sheetViews>
  <sheetFormatPr defaultColWidth="9" defaultRowHeight="15"/>
  <cols>
    <col min="1" max="1" width="15.875" style="20" customWidth="1"/>
    <col min="2" max="2" width="8.25" style="20" customWidth="1"/>
    <col min="3" max="3" width="11.75" style="20" customWidth="1"/>
    <col min="4" max="4" width="11.125" style="18" customWidth="1"/>
    <col min="5" max="5" width="13.125" style="18" customWidth="1"/>
    <col min="6" max="6" width="10.375" style="20" customWidth="1"/>
    <col min="7" max="7" width="7.5" style="20" customWidth="1"/>
    <col min="8" max="8" width="7.375" style="20" customWidth="1"/>
    <col min="9" max="9" width="7" style="20" hidden="1" customWidth="1"/>
    <col min="10" max="10" width="6.875" style="20" hidden="1" customWidth="1"/>
    <col min="11" max="11" width="6.625" style="20" hidden="1" customWidth="1"/>
    <col min="12" max="12" width="9" style="20" hidden="1" customWidth="1" outlineLevel="1"/>
    <col min="13" max="13" width="13.125" style="22" hidden="1" customWidth="1" outlineLevel="1"/>
    <col min="14" max="14" width="7.5" style="20" hidden="1" customWidth="1" collapsed="1"/>
    <col min="15" max="15" width="7" style="20" hidden="1" customWidth="1"/>
    <col min="16" max="16" width="7" style="23" hidden="1" customWidth="1"/>
    <col min="17" max="17" width="7" style="20" hidden="1" customWidth="1"/>
    <col min="18" max="18" width="7.875" style="20" hidden="1" customWidth="1"/>
    <col min="19" max="19" width="9" style="20" hidden="1" customWidth="1"/>
    <col min="20" max="20" width="10" style="20" hidden="1" customWidth="1"/>
    <col min="21" max="21" width="7.875" style="18" hidden="1" customWidth="1"/>
    <col min="22" max="23" width="6.625" style="24" customWidth="1"/>
    <col min="24" max="24" width="6.625" style="25" customWidth="1"/>
    <col min="25" max="28" width="6.625" style="26" customWidth="1"/>
    <col min="29" max="29" width="6.625" style="27" customWidth="1"/>
    <col min="30" max="30" width="6.625" style="28" customWidth="1"/>
    <col min="31" max="43" width="7.125" style="28" customWidth="1"/>
    <col min="44" max="45" width="8.875" style="28" customWidth="1"/>
    <col min="46" max="51" width="7.125" style="28" customWidth="1"/>
    <col min="52" max="53" width="7.125" style="28" hidden="1" customWidth="1"/>
    <col min="54" max="56" width="7.125" style="28" customWidth="1"/>
    <col min="57" max="59" width="10.375" style="24" customWidth="1"/>
    <col min="60" max="60" width="9.875" style="24" customWidth="1"/>
    <col min="61" max="61" width="7.25" style="29" customWidth="1"/>
    <col min="62" max="86" width="9.875" style="30" customWidth="1"/>
    <col min="87" max="98" width="9.875" style="31" customWidth="1"/>
    <col min="99" max="101" width="9.875" style="26" customWidth="1"/>
    <col min="102" max="103" width="9" style="17"/>
    <col min="104" max="114" width="9" style="20"/>
    <col min="115" max="117" width="9" style="32"/>
    <col min="118" max="119" width="11" style="20" customWidth="1"/>
    <col min="120" max="16384" width="9" style="20"/>
  </cols>
  <sheetData>
    <row r="1" ht="69" customHeight="1" spans="1:124">
      <c r="A1" s="33" t="s">
        <v>13068</v>
      </c>
      <c r="B1" s="33"/>
      <c r="C1" s="33"/>
      <c r="D1" s="34"/>
      <c r="E1" s="33"/>
      <c r="F1" s="33"/>
      <c r="G1" s="33"/>
      <c r="H1" s="33"/>
      <c r="I1" s="35"/>
      <c r="J1" s="35"/>
      <c r="K1" s="35"/>
      <c r="L1" s="35"/>
      <c r="M1" s="35"/>
      <c r="N1" s="35"/>
      <c r="O1" s="35"/>
      <c r="P1" s="36"/>
      <c r="Q1" s="35"/>
      <c r="R1" s="35"/>
      <c r="S1" s="35"/>
      <c r="T1" s="35"/>
      <c r="U1" s="37"/>
      <c r="V1" s="38" t="s">
        <v>13069</v>
      </c>
      <c r="W1" s="38"/>
      <c r="X1" s="38"/>
      <c r="Y1" s="38"/>
      <c r="Z1" s="38"/>
      <c r="AA1" s="38"/>
      <c r="AB1" s="38"/>
      <c r="AC1" s="38"/>
      <c r="AD1" s="38"/>
      <c r="AE1" s="39" t="s">
        <v>13070</v>
      </c>
      <c r="AF1" s="40"/>
      <c r="AG1" s="40"/>
      <c r="AH1" s="40"/>
      <c r="AI1" s="40"/>
      <c r="AJ1" s="40"/>
      <c r="AK1" s="40"/>
      <c r="AL1" s="40"/>
      <c r="AM1" s="40"/>
      <c r="AN1" s="41" t="s">
        <v>13071</v>
      </c>
      <c r="AO1" s="41"/>
      <c r="AP1" s="41"/>
      <c r="AQ1" s="41"/>
      <c r="AR1" s="41"/>
      <c r="AS1" s="41"/>
      <c r="AT1" s="41"/>
      <c r="AU1" s="41"/>
      <c r="AV1" s="41"/>
      <c r="AW1" s="42" t="s">
        <v>13072</v>
      </c>
      <c r="AX1" s="42"/>
      <c r="AY1" s="42"/>
      <c r="AZ1" s="42"/>
      <c r="BA1" s="42"/>
      <c r="BB1" s="42"/>
      <c r="BC1" s="42"/>
      <c r="BD1" s="42"/>
      <c r="BE1" s="43" t="s">
        <v>13073</v>
      </c>
      <c r="BF1" s="43"/>
      <c r="BG1" s="43"/>
      <c r="BH1" s="43"/>
      <c r="BI1" s="44"/>
      <c r="BJ1" s="45"/>
      <c r="BK1" s="45"/>
      <c r="BL1" s="45"/>
      <c r="BM1" s="45"/>
      <c r="BN1" s="45"/>
      <c r="BO1" s="45"/>
      <c r="BP1" s="45"/>
      <c r="BQ1" s="45"/>
      <c r="BR1" s="45"/>
      <c r="BS1" s="45"/>
      <c r="BT1" s="45"/>
      <c r="BU1" s="45"/>
      <c r="BV1" s="46" t="s">
        <v>13074</v>
      </c>
      <c r="BW1" s="46"/>
      <c r="BX1" s="46"/>
      <c r="BY1" s="46"/>
      <c r="BZ1" s="46"/>
      <c r="CA1" s="46"/>
      <c r="CB1" s="46"/>
      <c r="CC1" s="46"/>
      <c r="CD1" s="46"/>
      <c r="CE1" s="46"/>
      <c r="CF1" s="46"/>
      <c r="CG1" s="46"/>
      <c r="CH1" s="46"/>
      <c r="CI1" s="47" t="s">
        <v>13071</v>
      </c>
      <c r="CJ1" s="47"/>
      <c r="CK1" s="47"/>
      <c r="CL1" s="47"/>
      <c r="CM1" s="47"/>
      <c r="CN1" s="47"/>
      <c r="CO1" s="48" t="s">
        <v>13075</v>
      </c>
      <c r="CP1" s="49"/>
      <c r="CQ1" s="49"/>
      <c r="CR1" s="49"/>
      <c r="CS1" s="49"/>
      <c r="CT1" s="50"/>
      <c r="CU1" s="46" t="s">
        <v>13073</v>
      </c>
      <c r="CV1" s="46"/>
      <c r="CW1" s="46"/>
      <c r="CX1" s="51" t="s">
        <v>13076</v>
      </c>
      <c r="CY1" s="51"/>
      <c r="CZ1" s="51"/>
      <c r="DA1" s="51"/>
      <c r="DB1" s="51"/>
      <c r="DC1" s="51"/>
      <c r="DD1" s="51"/>
      <c r="DE1" s="51" t="s">
        <v>13077</v>
      </c>
      <c r="DF1" s="51"/>
      <c r="DG1" s="51"/>
      <c r="DH1" s="51"/>
      <c r="DI1" s="51"/>
      <c r="DJ1" s="51"/>
      <c r="DK1" s="52" t="s">
        <v>13078</v>
      </c>
      <c r="DL1" s="52"/>
      <c r="DM1" s="52"/>
      <c r="DN1" s="51" t="s">
        <v>13079</v>
      </c>
      <c r="DO1" s="51" t="s">
        <v>13080</v>
      </c>
      <c r="DP1" s="53"/>
      <c r="DQ1" s="53"/>
      <c r="DR1" s="53"/>
      <c r="DS1" s="53"/>
      <c r="DT1" s="53"/>
    </row>
    <row r="2" s="17" customFormat="1" ht="18" customHeight="1" spans="1:124">
      <c r="A2" s="54"/>
      <c r="B2" s="54"/>
      <c r="C2" s="54"/>
      <c r="D2" s="55"/>
      <c r="E2" s="55"/>
      <c r="F2" s="55"/>
      <c r="H2" s="56"/>
      <c r="I2" s="56"/>
      <c r="J2" s="56"/>
      <c r="K2" s="56"/>
      <c r="L2" s="56"/>
      <c r="M2" s="57"/>
      <c r="N2" s="56"/>
      <c r="O2" s="56"/>
      <c r="P2" s="58"/>
      <c r="Q2" s="56"/>
      <c r="R2" s="56"/>
      <c r="S2" s="56"/>
      <c r="T2" s="56"/>
      <c r="U2" s="59"/>
      <c r="V2" s="60" t="s">
        <v>6</v>
      </c>
      <c r="W2" s="60"/>
      <c r="X2" s="61"/>
      <c r="Y2" s="62" t="s">
        <v>7</v>
      </c>
      <c r="Z2" s="62"/>
      <c r="AA2" s="62"/>
      <c r="AB2" s="62"/>
      <c r="AC2" s="63"/>
      <c r="AD2" s="63"/>
      <c r="AE2" s="64" t="s">
        <v>6</v>
      </c>
      <c r="AF2" s="64"/>
      <c r="AG2" s="65"/>
      <c r="AH2" s="66" t="s">
        <v>7</v>
      </c>
      <c r="AI2" s="66"/>
      <c r="AJ2" s="66"/>
      <c r="AK2" s="66"/>
      <c r="AL2" s="67"/>
      <c r="AM2" s="67"/>
      <c r="AN2" s="27" t="s">
        <v>13081</v>
      </c>
      <c r="AO2" s="27"/>
      <c r="AP2" s="27" t="s">
        <v>13082</v>
      </c>
      <c r="AQ2" s="27"/>
      <c r="AR2" s="27"/>
      <c r="AS2" s="27"/>
      <c r="AT2" s="27"/>
      <c r="AU2" s="27"/>
      <c r="AV2" s="27"/>
      <c r="AW2" s="28"/>
      <c r="AX2" s="28"/>
      <c r="AY2" s="28"/>
      <c r="AZ2" s="28"/>
      <c r="BA2" s="28"/>
      <c r="BB2" s="28"/>
      <c r="BC2" s="28"/>
      <c r="BD2" s="28"/>
      <c r="BE2" s="68"/>
      <c r="BF2" s="68"/>
      <c r="BG2" s="68"/>
      <c r="BH2" s="69"/>
      <c r="BI2" s="70"/>
      <c r="BJ2" s="71">
        <v>3</v>
      </c>
      <c r="BK2" s="72"/>
      <c r="BL2" s="71">
        <v>4</v>
      </c>
      <c r="BM2" s="71"/>
      <c r="BN2" s="71">
        <v>5</v>
      </c>
      <c r="BO2" s="71"/>
      <c r="BP2" s="71">
        <v>5</v>
      </c>
      <c r="BQ2" s="71"/>
      <c r="BR2" s="71">
        <v>4</v>
      </c>
      <c r="BS2" s="72"/>
      <c r="BT2" s="71">
        <v>3</v>
      </c>
      <c r="BU2" s="71"/>
      <c r="BV2" s="46"/>
      <c r="BW2" s="46"/>
      <c r="BX2" s="46"/>
      <c r="BY2" s="46"/>
      <c r="BZ2" s="46"/>
      <c r="CA2" s="46"/>
      <c r="CB2" s="46"/>
      <c r="CC2" s="46"/>
      <c r="CD2" s="46"/>
      <c r="CE2" s="46"/>
      <c r="CF2" s="46"/>
      <c r="CG2" s="46"/>
      <c r="CH2" s="46"/>
      <c r="CI2" s="47"/>
      <c r="CJ2" s="47"/>
      <c r="CK2" s="47"/>
      <c r="CL2" s="47"/>
      <c r="CM2" s="47"/>
      <c r="CN2" s="47"/>
      <c r="CO2" s="48"/>
      <c r="CP2" s="49"/>
      <c r="CQ2" s="49"/>
      <c r="CR2" s="49"/>
      <c r="CS2" s="49"/>
      <c r="CT2" s="50"/>
      <c r="CU2" s="46"/>
      <c r="CV2" s="46"/>
      <c r="CW2" s="46"/>
      <c r="CZ2" s="20"/>
      <c r="DK2" s="73"/>
      <c r="DL2" s="73"/>
      <c r="DM2" s="73"/>
      <c r="DN2" s="20"/>
      <c r="DO2" s="20"/>
    </row>
    <row r="3" s="18" customFormat="1" ht="60.95" customHeight="1" spans="1:124">
      <c r="A3" s="74" t="s">
        <v>13083</v>
      </c>
      <c r="B3" s="74" t="s">
        <v>13084</v>
      </c>
      <c r="C3" s="74" t="s">
        <v>13085</v>
      </c>
      <c r="D3" s="74" t="s">
        <v>13086</v>
      </c>
      <c r="E3" s="74" t="s">
        <v>15</v>
      </c>
      <c r="F3" s="74" t="s">
        <v>9110</v>
      </c>
      <c r="G3" s="75" t="s">
        <v>9111</v>
      </c>
      <c r="H3" s="75" t="s">
        <v>13087</v>
      </c>
      <c r="I3" s="75" t="s">
        <v>13088</v>
      </c>
      <c r="J3" s="74" t="s">
        <v>13089</v>
      </c>
      <c r="K3" s="74" t="s">
        <v>26</v>
      </c>
      <c r="L3" s="74" t="s">
        <v>13090</v>
      </c>
      <c r="M3" s="76" t="s">
        <v>13091</v>
      </c>
      <c r="N3" s="74" t="s">
        <v>13092</v>
      </c>
      <c r="O3" s="74" t="s">
        <v>30</v>
      </c>
      <c r="P3" s="77" t="s">
        <v>13093</v>
      </c>
      <c r="Q3" s="74" t="s">
        <v>13094</v>
      </c>
      <c r="R3" s="74" t="s">
        <v>13095</v>
      </c>
      <c r="S3" s="74" t="s">
        <v>13096</v>
      </c>
      <c r="T3" s="74" t="s">
        <v>13097</v>
      </c>
      <c r="U3" s="78" t="s">
        <v>13098</v>
      </c>
      <c r="V3" s="79" t="s">
        <v>13099</v>
      </c>
      <c r="W3" s="79" t="s">
        <v>13100</v>
      </c>
      <c r="X3" s="80" t="s">
        <v>48</v>
      </c>
      <c r="Y3" s="81" t="s">
        <v>13101</v>
      </c>
      <c r="Z3" s="81" t="s">
        <v>13102</v>
      </c>
      <c r="AA3" s="81" t="s">
        <v>13103</v>
      </c>
      <c r="AB3" s="81" t="s">
        <v>13104</v>
      </c>
      <c r="AC3" s="82" t="s">
        <v>13105</v>
      </c>
      <c r="AD3" s="82" t="s">
        <v>66</v>
      </c>
      <c r="AE3" s="83" t="s">
        <v>13106</v>
      </c>
      <c r="AF3" s="83" t="s">
        <v>13107</v>
      </c>
      <c r="AG3" s="84" t="s">
        <v>48</v>
      </c>
      <c r="AH3" s="85" t="s">
        <v>13108</v>
      </c>
      <c r="AI3" s="85" t="s">
        <v>13109</v>
      </c>
      <c r="AJ3" s="85" t="s">
        <v>13110</v>
      </c>
      <c r="AK3" s="85" t="s">
        <v>13111</v>
      </c>
      <c r="AL3" s="86" t="s">
        <v>13105</v>
      </c>
      <c r="AM3" s="86" t="s">
        <v>66</v>
      </c>
      <c r="AN3" s="87" t="s">
        <v>13112</v>
      </c>
      <c r="AO3" s="87" t="s">
        <v>13113</v>
      </c>
      <c r="AP3" s="87" t="s">
        <v>13112</v>
      </c>
      <c r="AQ3" s="87" t="s">
        <v>13113</v>
      </c>
      <c r="AR3" s="87" t="s">
        <v>11575</v>
      </c>
      <c r="AS3" s="87" t="s">
        <v>13114</v>
      </c>
      <c r="AT3" s="87" t="s">
        <v>13115</v>
      </c>
      <c r="AU3" s="87" t="s">
        <v>13116</v>
      </c>
      <c r="AV3" s="87" t="s">
        <v>11578</v>
      </c>
      <c r="AW3" s="88" t="s">
        <v>13117</v>
      </c>
      <c r="AX3" s="88" t="s">
        <v>13118</v>
      </c>
      <c r="AY3" s="88" t="s">
        <v>13119</v>
      </c>
      <c r="AZ3" s="88" t="s">
        <v>13118</v>
      </c>
      <c r="BA3" s="88" t="s">
        <v>13120</v>
      </c>
      <c r="BB3" s="88" t="s">
        <v>11574</v>
      </c>
      <c r="BC3" s="89" t="s">
        <v>13121</v>
      </c>
      <c r="BD3" s="89" t="s">
        <v>13122</v>
      </c>
      <c r="BE3" s="83" t="s">
        <v>13123</v>
      </c>
      <c r="BF3" s="83" t="s">
        <v>13124</v>
      </c>
      <c r="BG3" s="83" t="s">
        <v>13107</v>
      </c>
      <c r="BH3" s="83" t="s">
        <v>13125</v>
      </c>
      <c r="BI3" s="90" t="s">
        <v>43</v>
      </c>
      <c r="BJ3" s="82" t="s">
        <v>13126</v>
      </c>
      <c r="BK3" s="82" t="s">
        <v>13127</v>
      </c>
      <c r="BL3" s="82" t="s">
        <v>13128</v>
      </c>
      <c r="BM3" s="82" t="s">
        <v>13129</v>
      </c>
      <c r="BN3" s="82" t="s">
        <v>13130</v>
      </c>
      <c r="BO3" s="82" t="s">
        <v>13131</v>
      </c>
      <c r="BP3" s="82" t="s">
        <v>13132</v>
      </c>
      <c r="BQ3" s="82" t="s">
        <v>13133</v>
      </c>
      <c r="BR3" s="82" t="s">
        <v>13134</v>
      </c>
      <c r="BS3" s="82" t="s">
        <v>13135</v>
      </c>
      <c r="BT3" s="82" t="s">
        <v>13136</v>
      </c>
      <c r="BU3" s="82" t="s">
        <v>13137</v>
      </c>
      <c r="BV3" s="86" t="s">
        <v>13138</v>
      </c>
      <c r="BW3" s="86" t="s">
        <v>13139</v>
      </c>
      <c r="BX3" s="86" t="s">
        <v>13140</v>
      </c>
      <c r="BY3" s="86" t="s">
        <v>13141</v>
      </c>
      <c r="BZ3" s="86" t="s">
        <v>13142</v>
      </c>
      <c r="CA3" s="86" t="s">
        <v>13143</v>
      </c>
      <c r="CB3" s="86" t="s">
        <v>13144</v>
      </c>
      <c r="CC3" s="86" t="s">
        <v>13145</v>
      </c>
      <c r="CD3" s="86" t="s">
        <v>13146</v>
      </c>
      <c r="CE3" s="86" t="s">
        <v>13147</v>
      </c>
      <c r="CF3" s="86" t="s">
        <v>13148</v>
      </c>
      <c r="CG3" s="86" t="s">
        <v>13149</v>
      </c>
      <c r="CH3" s="86" t="s">
        <v>13150</v>
      </c>
      <c r="CI3" s="91" t="s">
        <v>13151</v>
      </c>
      <c r="CJ3" s="91" t="s">
        <v>13152</v>
      </c>
      <c r="CK3" s="91" t="s">
        <v>13153</v>
      </c>
      <c r="CL3" s="91" t="s">
        <v>10624</v>
      </c>
      <c r="CM3" s="91" t="s">
        <v>10620</v>
      </c>
      <c r="CN3" s="92" t="s">
        <v>10626</v>
      </c>
      <c r="CO3" s="93" t="s">
        <v>13154</v>
      </c>
      <c r="CP3" s="94" t="s">
        <v>13155</v>
      </c>
      <c r="CQ3" s="94" t="s">
        <v>13156</v>
      </c>
      <c r="CR3" s="94" t="s">
        <v>13157</v>
      </c>
      <c r="CS3" s="94" t="s">
        <v>13158</v>
      </c>
      <c r="CT3" s="95" t="s">
        <v>13159</v>
      </c>
      <c r="CU3" s="96" t="s">
        <v>13160</v>
      </c>
      <c r="CV3" s="97" t="s">
        <v>13153</v>
      </c>
      <c r="CW3" s="98" t="s">
        <v>13152</v>
      </c>
      <c r="CX3" s="99" t="s">
        <v>13161</v>
      </c>
      <c r="CY3" s="99" t="s">
        <v>13162</v>
      </c>
      <c r="CZ3" s="100" t="s">
        <v>13163</v>
      </c>
      <c r="DA3" s="99" t="s">
        <v>13164</v>
      </c>
      <c r="DB3" s="99" t="s">
        <v>13165</v>
      </c>
      <c r="DC3" s="99" t="s">
        <v>13166</v>
      </c>
      <c r="DD3" s="99" t="s">
        <v>13167</v>
      </c>
      <c r="DE3" s="101" t="s">
        <v>13168</v>
      </c>
      <c r="DF3" s="101" t="s">
        <v>13169</v>
      </c>
      <c r="DG3" s="101" t="s">
        <v>13170</v>
      </c>
      <c r="DH3" s="101" t="s">
        <v>13171</v>
      </c>
      <c r="DI3" s="101" t="s">
        <v>13172</v>
      </c>
      <c r="DJ3" s="101" t="s">
        <v>13173</v>
      </c>
      <c r="DK3" s="86" t="s">
        <v>13174</v>
      </c>
      <c r="DL3" s="86" t="s">
        <v>13175</v>
      </c>
      <c r="DM3" s="86" t="s">
        <v>13176</v>
      </c>
      <c r="DN3" s="99" t="s">
        <v>13177</v>
      </c>
      <c r="DO3" s="99" t="s">
        <v>13178</v>
      </c>
    </row>
    <row r="4" s="19" customFormat="1" ht="41.1" customHeight="1" spans="1:124">
      <c r="A4" s="102">
        <v>43243</v>
      </c>
      <c r="B4" s="103" t="s">
        <v>13179</v>
      </c>
      <c r="C4" s="104" t="s">
        <v>13180</v>
      </c>
      <c r="D4" s="105"/>
      <c r="E4" s="106"/>
      <c r="F4" s="107" t="s">
        <v>13181</v>
      </c>
      <c r="G4" s="101" t="s">
        <v>13182</v>
      </c>
      <c r="H4" s="108">
        <v>360</v>
      </c>
      <c r="I4" s="103"/>
      <c r="J4" s="103"/>
      <c r="K4" s="103"/>
      <c r="L4" s="109"/>
      <c r="M4" s="110"/>
      <c r="N4" s="111"/>
      <c r="O4" s="111"/>
      <c r="P4" s="112"/>
      <c r="Q4" s="111"/>
      <c r="R4" s="111"/>
      <c r="S4" s="113"/>
      <c r="T4" s="111"/>
      <c r="U4" s="114"/>
      <c r="V4" s="104">
        <f>H4</f>
        <v>360</v>
      </c>
      <c r="W4" s="104"/>
      <c r="X4" s="79"/>
      <c r="Y4" s="115">
        <f>H4</f>
        <v>360</v>
      </c>
      <c r="Z4" s="115"/>
      <c r="AA4" s="115"/>
      <c r="AB4" s="115"/>
      <c r="AC4" s="81"/>
      <c r="AD4" s="82" t="s">
        <v>13183</v>
      </c>
      <c r="AE4" s="116"/>
      <c r="AF4" s="116"/>
      <c r="AG4" s="116"/>
      <c r="AH4" s="116"/>
      <c r="AI4" s="116"/>
      <c r="AJ4" s="116"/>
      <c r="AK4" s="116"/>
      <c r="AL4" s="116"/>
      <c r="AM4" s="116"/>
      <c r="AN4" s="116"/>
      <c r="AO4" s="116"/>
      <c r="AP4" s="116"/>
      <c r="AQ4" s="116"/>
      <c r="AR4" s="116"/>
      <c r="AS4" s="116"/>
      <c r="AT4" s="116"/>
      <c r="AU4" s="116"/>
      <c r="AV4" s="116"/>
      <c r="AW4" s="117"/>
      <c r="AX4" s="117"/>
      <c r="AY4" s="117"/>
      <c r="AZ4" s="117"/>
      <c r="BA4" s="117"/>
      <c r="BB4" s="117"/>
      <c r="BC4" s="117"/>
      <c r="BD4" s="117"/>
      <c r="BE4" s="118"/>
      <c r="BF4" s="118"/>
      <c r="BG4" s="118"/>
      <c r="BH4" s="119"/>
      <c r="BI4" s="120">
        <v>19573</v>
      </c>
      <c r="BJ4" s="121">
        <f>H4/12</f>
        <v>30</v>
      </c>
      <c r="BK4" s="121">
        <f>H4/12</f>
        <v>30</v>
      </c>
      <c r="BL4" s="122">
        <f>H4/12</f>
        <v>30</v>
      </c>
      <c r="BM4" s="122">
        <f>H4/12</f>
        <v>30</v>
      </c>
      <c r="BN4" s="122">
        <f>H4/12</f>
        <v>30</v>
      </c>
      <c r="BO4" s="122">
        <f>H4/12</f>
        <v>30</v>
      </c>
      <c r="BP4" s="122">
        <f>H4/12</f>
        <v>30</v>
      </c>
      <c r="BQ4" s="122">
        <f>H4/12</f>
        <v>30</v>
      </c>
      <c r="BR4" s="122">
        <f>H4/12</f>
        <v>30</v>
      </c>
      <c r="BS4" s="122">
        <f>H4/12</f>
        <v>30</v>
      </c>
      <c r="BT4" s="122">
        <f>H4/12</f>
        <v>30</v>
      </c>
      <c r="BU4" s="122">
        <f>H4/12</f>
        <v>30</v>
      </c>
      <c r="BV4" s="123"/>
      <c r="BW4" s="123"/>
      <c r="BX4" s="123"/>
      <c r="BY4" s="123"/>
      <c r="BZ4" s="123"/>
      <c r="CA4" s="123"/>
      <c r="CB4" s="123"/>
      <c r="CC4" s="123"/>
      <c r="CD4" s="123"/>
      <c r="CE4" s="123"/>
      <c r="CF4" s="123"/>
      <c r="CG4" s="123"/>
      <c r="CH4" s="123"/>
      <c r="CI4" s="122"/>
      <c r="CJ4" s="122"/>
      <c r="CK4" s="122"/>
      <c r="CL4" s="122"/>
      <c r="CM4" s="122"/>
      <c r="CN4" s="124"/>
      <c r="CO4" s="125"/>
      <c r="CP4" s="126"/>
      <c r="CQ4" s="126"/>
      <c r="CR4" s="126"/>
      <c r="CS4" s="126"/>
      <c r="CT4" s="127"/>
      <c r="CU4" s="128"/>
      <c r="CV4" s="123"/>
      <c r="CW4" s="129"/>
      <c r="CX4" s="103"/>
      <c r="CY4" s="103"/>
      <c r="CZ4" s="103"/>
      <c r="DA4" s="103"/>
      <c r="DB4" s="103"/>
      <c r="DC4" s="103"/>
      <c r="DD4" s="103"/>
      <c r="DE4" s="103"/>
      <c r="DF4" s="103"/>
      <c r="DG4" s="103"/>
      <c r="DH4" s="103"/>
      <c r="DI4" s="103"/>
      <c r="DJ4" s="103"/>
      <c r="DK4" s="130"/>
      <c r="DL4" s="130"/>
      <c r="DM4" s="130"/>
      <c r="DN4" s="103"/>
      <c r="DO4" s="103"/>
    </row>
    <row r="5" s="19" customFormat="1" ht="41.1" customHeight="1" spans="1:124">
      <c r="A5" s="102">
        <v>43265</v>
      </c>
      <c r="B5" s="103" t="s">
        <v>13184</v>
      </c>
      <c r="C5" s="104" t="s">
        <v>13185</v>
      </c>
      <c r="D5" s="105"/>
      <c r="E5" s="106"/>
      <c r="F5" s="107" t="s">
        <v>13181</v>
      </c>
      <c r="G5" s="101" t="s">
        <v>13182</v>
      </c>
      <c r="H5" s="108">
        <v>480</v>
      </c>
      <c r="I5" s="103"/>
      <c r="J5" s="103"/>
      <c r="K5" s="103"/>
      <c r="L5" s="109"/>
      <c r="M5" s="110"/>
      <c r="N5" s="111"/>
      <c r="O5" s="111"/>
      <c r="P5" s="112"/>
      <c r="Q5" s="111"/>
      <c r="R5" s="111"/>
      <c r="S5" s="113"/>
      <c r="T5" s="111"/>
      <c r="U5" s="114"/>
      <c r="V5" s="104">
        <f t="shared" ref="V5:V10" si="0">H5</f>
        <v>480</v>
      </c>
      <c r="W5" s="104"/>
      <c r="X5" s="79"/>
      <c r="Y5" s="115">
        <f t="shared" ref="Y5:Y10" si="1">H5</f>
        <v>480</v>
      </c>
      <c r="Z5" s="115"/>
      <c r="AA5" s="115"/>
      <c r="AB5" s="115"/>
      <c r="AC5" s="81"/>
      <c r="AD5" s="82" t="s">
        <v>13183</v>
      </c>
      <c r="AE5" s="116"/>
      <c r="AF5" s="116"/>
      <c r="AG5" s="116"/>
      <c r="AH5" s="116"/>
      <c r="AI5" s="116"/>
      <c r="AJ5" s="116"/>
      <c r="AK5" s="116"/>
      <c r="AL5" s="116"/>
      <c r="AM5" s="116"/>
      <c r="AN5" s="116"/>
      <c r="AO5" s="116"/>
      <c r="AP5" s="116"/>
      <c r="AQ5" s="116"/>
      <c r="AR5" s="116"/>
      <c r="AS5" s="116"/>
      <c r="AT5" s="116"/>
      <c r="AU5" s="116"/>
      <c r="AV5" s="116"/>
      <c r="AW5" s="117"/>
      <c r="AX5" s="117"/>
      <c r="AY5" s="117"/>
      <c r="AZ5" s="117"/>
      <c r="BA5" s="117"/>
      <c r="BB5" s="117"/>
      <c r="BC5" s="117"/>
      <c r="BD5" s="117"/>
      <c r="BE5" s="118"/>
      <c r="BF5" s="118"/>
      <c r="BG5" s="118"/>
      <c r="BH5" s="119"/>
      <c r="BI5" s="120">
        <v>19654</v>
      </c>
      <c r="BJ5" s="121">
        <f>H5/12</f>
        <v>40</v>
      </c>
      <c r="BK5" s="121">
        <f>H5/12</f>
        <v>40</v>
      </c>
      <c r="BL5" s="122">
        <f>H5/12</f>
        <v>40</v>
      </c>
      <c r="BM5" s="122">
        <f>H5/12</f>
        <v>40</v>
      </c>
      <c r="BN5" s="122">
        <f>H5/12</f>
        <v>40</v>
      </c>
      <c r="BO5" s="122">
        <f>H5/12</f>
        <v>40</v>
      </c>
      <c r="BP5" s="122">
        <f>H5/12</f>
        <v>40</v>
      </c>
      <c r="BQ5" s="122">
        <f>H5/12</f>
        <v>40</v>
      </c>
      <c r="BR5" s="122">
        <f>H5/12</f>
        <v>40</v>
      </c>
      <c r="BS5" s="122">
        <f>H5/12</f>
        <v>40</v>
      </c>
      <c r="BT5" s="122">
        <f>H5/12</f>
        <v>40</v>
      </c>
      <c r="BU5" s="122">
        <f>H5/12</f>
        <v>40</v>
      </c>
      <c r="BV5" s="123"/>
      <c r="BW5" s="123"/>
      <c r="BX5" s="123"/>
      <c r="BY5" s="123"/>
      <c r="BZ5" s="123"/>
      <c r="CA5" s="123"/>
      <c r="CB5" s="123"/>
      <c r="CC5" s="123"/>
      <c r="CD5" s="123"/>
      <c r="CE5" s="123"/>
      <c r="CF5" s="123"/>
      <c r="CG5" s="123"/>
      <c r="CH5" s="123"/>
      <c r="CI5" s="122"/>
      <c r="CJ5" s="122"/>
      <c r="CK5" s="122"/>
      <c r="CL5" s="122"/>
      <c r="CM5" s="122"/>
      <c r="CN5" s="124"/>
      <c r="CO5" s="125"/>
      <c r="CP5" s="126"/>
      <c r="CQ5" s="126"/>
      <c r="CR5" s="126"/>
      <c r="CS5" s="126"/>
      <c r="CT5" s="127"/>
      <c r="CU5" s="128"/>
      <c r="CV5" s="123"/>
      <c r="CW5" s="129"/>
      <c r="CX5" s="103"/>
      <c r="CY5" s="103"/>
      <c r="CZ5" s="103"/>
      <c r="DA5" s="103"/>
      <c r="DB5" s="103"/>
      <c r="DC5" s="103"/>
      <c r="DD5" s="103"/>
      <c r="DE5" s="103"/>
      <c r="DF5" s="103"/>
      <c r="DG5" s="103"/>
      <c r="DH5" s="103"/>
      <c r="DI5" s="103"/>
      <c r="DJ5" s="103"/>
      <c r="DK5" s="130"/>
      <c r="DL5" s="130"/>
      <c r="DM5" s="130"/>
      <c r="DN5" s="103"/>
      <c r="DO5" s="103"/>
    </row>
    <row r="6" ht="41.1" customHeight="1" spans="1:124">
      <c r="A6" s="131">
        <v>43265</v>
      </c>
      <c r="B6" s="132" t="s">
        <v>13186</v>
      </c>
      <c r="C6" s="133">
        <v>4500010393</v>
      </c>
      <c r="D6" s="134"/>
      <c r="E6" s="135" t="s">
        <v>13187</v>
      </c>
      <c r="F6" s="136" t="s">
        <v>13181</v>
      </c>
      <c r="G6" s="137" t="s">
        <v>13182</v>
      </c>
      <c r="H6" s="138">
        <v>36</v>
      </c>
      <c r="I6" s="132"/>
      <c r="J6" s="132"/>
      <c r="K6" s="132"/>
      <c r="L6" s="139"/>
      <c r="M6" s="140"/>
      <c r="N6" s="141"/>
      <c r="O6" s="141"/>
      <c r="P6" s="142"/>
      <c r="Q6" s="141"/>
      <c r="R6" s="141"/>
      <c r="S6" s="143"/>
      <c r="T6" s="141"/>
      <c r="U6" s="144"/>
      <c r="V6" s="145">
        <f t="shared" si="0"/>
        <v>36</v>
      </c>
      <c r="W6" s="133"/>
      <c r="X6" s="79"/>
      <c r="Y6" s="146">
        <f t="shared" si="1"/>
        <v>36</v>
      </c>
      <c r="Z6" s="146"/>
      <c r="AA6" s="147"/>
      <c r="AB6" s="147"/>
      <c r="AC6" s="81"/>
      <c r="AD6" s="148" t="s">
        <v>13183</v>
      </c>
      <c r="AE6" s="149"/>
      <c r="AF6" s="149"/>
      <c r="AG6" s="149"/>
      <c r="AH6" s="149"/>
      <c r="AI6" s="149"/>
      <c r="AJ6" s="149"/>
      <c r="AK6" s="149"/>
      <c r="AL6" s="149"/>
      <c r="AM6" s="149"/>
      <c r="AN6" s="149"/>
      <c r="AO6" s="149"/>
      <c r="AP6" s="149"/>
      <c r="AQ6" s="149"/>
      <c r="AR6" s="149"/>
      <c r="AS6" s="149"/>
      <c r="AT6" s="149"/>
      <c r="AU6" s="149"/>
      <c r="AV6" s="149"/>
      <c r="AW6" s="117"/>
      <c r="AX6" s="117"/>
      <c r="AY6" s="117"/>
      <c r="AZ6" s="117"/>
      <c r="BA6" s="117"/>
      <c r="BB6" s="117"/>
      <c r="BC6" s="117"/>
      <c r="BD6" s="117"/>
      <c r="BE6" s="118"/>
      <c r="BF6" s="118"/>
      <c r="BG6" s="118"/>
      <c r="BH6" s="119"/>
      <c r="BI6" s="150"/>
      <c r="BJ6" s="121">
        <f>H6/12</f>
        <v>3</v>
      </c>
      <c r="BK6" s="121">
        <f>H6/12</f>
        <v>3</v>
      </c>
      <c r="BL6" s="122">
        <f>H6/12</f>
        <v>3</v>
      </c>
      <c r="BM6" s="122">
        <f>H6/12</f>
        <v>3</v>
      </c>
      <c r="BN6" s="122">
        <f>H6/12</f>
        <v>3</v>
      </c>
      <c r="BO6" s="122">
        <f>H6/12</f>
        <v>3</v>
      </c>
      <c r="BP6" s="122">
        <f>H6/12</f>
        <v>3</v>
      </c>
      <c r="BQ6" s="122">
        <f>H6/12</f>
        <v>3</v>
      </c>
      <c r="BR6" s="122">
        <f>H6/12</f>
        <v>3</v>
      </c>
      <c r="BS6" s="122">
        <f>H6/12</f>
        <v>3</v>
      </c>
      <c r="BT6" s="122">
        <f>H6/12</f>
        <v>3</v>
      </c>
      <c r="BU6" s="122">
        <f>H6/12</f>
        <v>3</v>
      </c>
      <c r="BV6" s="123"/>
      <c r="BW6" s="123"/>
      <c r="BX6" s="123"/>
      <c r="BY6" s="123"/>
      <c r="BZ6" s="123"/>
      <c r="CA6" s="123"/>
      <c r="CB6" s="123"/>
      <c r="CC6" s="123"/>
      <c r="CD6" s="123"/>
      <c r="CE6" s="123"/>
      <c r="CF6" s="123"/>
      <c r="CG6" s="123"/>
      <c r="CH6" s="123"/>
      <c r="CI6" s="122"/>
      <c r="CJ6" s="122"/>
      <c r="CK6" s="122"/>
      <c r="CL6" s="122"/>
      <c r="CM6" s="122"/>
      <c r="CN6" s="124"/>
      <c r="CO6" s="125"/>
      <c r="CP6" s="126"/>
      <c r="CQ6" s="126"/>
      <c r="CR6" s="126"/>
      <c r="CS6" s="126"/>
      <c r="CT6" s="127"/>
      <c r="CU6" s="128"/>
      <c r="CV6" s="123"/>
      <c r="CW6" s="129"/>
      <c r="CX6" s="132"/>
      <c r="CY6" s="132"/>
      <c r="CZ6" s="132"/>
      <c r="DA6" s="132"/>
      <c r="DB6" s="132"/>
      <c r="DC6" s="132"/>
      <c r="DD6" s="132"/>
      <c r="DE6" s="103"/>
      <c r="DF6" s="103"/>
      <c r="DG6" s="103"/>
      <c r="DH6" s="103"/>
      <c r="DI6" s="103"/>
      <c r="DJ6" s="103"/>
      <c r="DK6" s="130"/>
      <c r="DL6" s="130"/>
      <c r="DM6" s="130"/>
      <c r="DN6" s="132"/>
      <c r="DO6" s="132"/>
    </row>
    <row r="7" ht="41.1" customHeight="1" spans="1:124">
      <c r="A7" s="131">
        <v>43265</v>
      </c>
      <c r="B7" s="132" t="s">
        <v>13188</v>
      </c>
      <c r="C7" s="133">
        <v>4500010570</v>
      </c>
      <c r="D7" s="134"/>
      <c r="E7" s="151" t="s">
        <v>13189</v>
      </c>
      <c r="F7" s="136" t="s">
        <v>13181</v>
      </c>
      <c r="G7" s="137" t="s">
        <v>13182</v>
      </c>
      <c r="H7" s="138">
        <v>12</v>
      </c>
      <c r="I7" s="132"/>
      <c r="J7" s="132"/>
      <c r="K7" s="132"/>
      <c r="L7" s="139"/>
      <c r="M7" s="140"/>
      <c r="N7" s="141"/>
      <c r="O7" s="141"/>
      <c r="P7" s="142"/>
      <c r="Q7" s="141"/>
      <c r="R7" s="141"/>
      <c r="S7" s="143"/>
      <c r="T7" s="141"/>
      <c r="U7" s="152"/>
      <c r="V7" s="153">
        <f t="shared" si="0"/>
        <v>12</v>
      </c>
      <c r="W7" s="154"/>
      <c r="X7" s="155"/>
      <c r="Y7" s="146">
        <f t="shared" si="1"/>
        <v>12</v>
      </c>
      <c r="Z7" s="156"/>
      <c r="AA7" s="157"/>
      <c r="AB7" s="157"/>
      <c r="AC7" s="158"/>
      <c r="AD7" s="159" t="s">
        <v>13183</v>
      </c>
      <c r="AE7" s="117"/>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17"/>
      <c r="BD7" s="117"/>
      <c r="BE7" s="118"/>
      <c r="BF7" s="118"/>
      <c r="BG7" s="118"/>
      <c r="BH7" s="119"/>
      <c r="BI7" s="150"/>
      <c r="BJ7" s="121">
        <f>H7/12</f>
        <v>1</v>
      </c>
      <c r="BK7" s="121">
        <f>H7/12</f>
        <v>1</v>
      </c>
      <c r="BL7" s="122">
        <f>H7/12</f>
        <v>1</v>
      </c>
      <c r="BM7" s="122">
        <f>H7/12</f>
        <v>1</v>
      </c>
      <c r="BN7" s="122">
        <f>H7/12</f>
        <v>1</v>
      </c>
      <c r="BO7" s="122">
        <f>H7/12</f>
        <v>1</v>
      </c>
      <c r="BP7" s="122">
        <f>H7/12</f>
        <v>1</v>
      </c>
      <c r="BQ7" s="122">
        <f>H7/12</f>
        <v>1</v>
      </c>
      <c r="BR7" s="122">
        <f>H7/12</f>
        <v>1</v>
      </c>
      <c r="BS7" s="122">
        <f>H7/12</f>
        <v>1</v>
      </c>
      <c r="BT7" s="122">
        <f>H7/12</f>
        <v>1</v>
      </c>
      <c r="BU7" s="122">
        <f>H7/12</f>
        <v>1</v>
      </c>
      <c r="BV7" s="123"/>
      <c r="BW7" s="123"/>
      <c r="BX7" s="123"/>
      <c r="BY7" s="123"/>
      <c r="BZ7" s="123"/>
      <c r="CA7" s="123"/>
      <c r="CB7" s="123"/>
      <c r="CC7" s="123"/>
      <c r="CD7" s="123"/>
      <c r="CE7" s="123"/>
      <c r="CF7" s="123"/>
      <c r="CG7" s="123"/>
      <c r="CH7" s="123"/>
      <c r="CI7" s="122"/>
      <c r="CJ7" s="122"/>
      <c r="CK7" s="122"/>
      <c r="CL7" s="122"/>
      <c r="CM7" s="122"/>
      <c r="CN7" s="124"/>
      <c r="CO7" s="125"/>
      <c r="CP7" s="126"/>
      <c r="CQ7" s="126"/>
      <c r="CR7" s="126"/>
      <c r="CS7" s="126"/>
      <c r="CT7" s="127"/>
      <c r="CU7" s="128"/>
      <c r="CV7" s="123"/>
      <c r="CW7" s="129"/>
      <c r="CX7" s="132"/>
      <c r="CY7" s="132"/>
      <c r="CZ7" s="132"/>
      <c r="DA7" s="132"/>
      <c r="DB7" s="132"/>
      <c r="DC7" s="132"/>
      <c r="DD7" s="132"/>
      <c r="DE7" s="103"/>
      <c r="DF7" s="103"/>
      <c r="DG7" s="103"/>
      <c r="DH7" s="103"/>
      <c r="DI7" s="103"/>
      <c r="DJ7" s="103"/>
      <c r="DK7" s="130"/>
      <c r="DL7" s="130"/>
      <c r="DM7" s="130"/>
      <c r="DN7" s="132"/>
      <c r="DO7" s="132"/>
    </row>
    <row r="8" ht="41.1" customHeight="1" spans="1:124">
      <c r="A8" s="131">
        <v>43265</v>
      </c>
      <c r="B8" s="132" t="s">
        <v>13190</v>
      </c>
      <c r="C8" s="133">
        <v>4500009837</v>
      </c>
      <c r="D8" s="134"/>
      <c r="E8" s="135" t="s">
        <v>13191</v>
      </c>
      <c r="F8" s="136" t="s">
        <v>13181</v>
      </c>
      <c r="G8" s="137" t="s">
        <v>13182</v>
      </c>
      <c r="H8" s="138">
        <v>12</v>
      </c>
      <c r="I8" s="132"/>
      <c r="J8" s="132"/>
      <c r="K8" s="132"/>
      <c r="L8" s="139"/>
      <c r="M8" s="140"/>
      <c r="N8" s="141"/>
      <c r="O8" s="141"/>
      <c r="P8" s="142"/>
      <c r="Q8" s="141"/>
      <c r="R8" s="141"/>
      <c r="S8" s="143"/>
      <c r="T8" s="141"/>
      <c r="U8" s="152"/>
      <c r="V8" s="153">
        <f t="shared" si="0"/>
        <v>12</v>
      </c>
      <c r="W8" s="154"/>
      <c r="X8" s="155"/>
      <c r="Y8" s="146">
        <f t="shared" si="1"/>
        <v>12</v>
      </c>
      <c r="Z8" s="156"/>
      <c r="AA8" s="157"/>
      <c r="AB8" s="157"/>
      <c r="AC8" s="158"/>
      <c r="AD8" s="159" t="s">
        <v>13183</v>
      </c>
      <c r="AE8" s="117"/>
      <c r="AF8" s="117"/>
      <c r="AG8" s="117"/>
      <c r="AH8" s="117"/>
      <c r="AI8" s="117"/>
      <c r="AJ8" s="117"/>
      <c r="AK8" s="117"/>
      <c r="AL8" s="117"/>
      <c r="AM8" s="117"/>
      <c r="AN8" s="117"/>
      <c r="AO8" s="117"/>
      <c r="AP8" s="117"/>
      <c r="AQ8" s="117"/>
      <c r="AR8" s="117"/>
      <c r="AS8" s="117"/>
      <c r="AT8" s="117"/>
      <c r="AU8" s="117"/>
      <c r="AV8" s="117"/>
      <c r="AW8" s="117"/>
      <c r="AX8" s="117"/>
      <c r="AY8" s="117"/>
      <c r="AZ8" s="117"/>
      <c r="BA8" s="117"/>
      <c r="BB8" s="117"/>
      <c r="BC8" s="117"/>
      <c r="BD8" s="117"/>
      <c r="BE8" s="118"/>
      <c r="BF8" s="118"/>
      <c r="BG8" s="118"/>
      <c r="BH8" s="119"/>
      <c r="BI8" s="150"/>
      <c r="BJ8" s="121">
        <f>H8/12</f>
        <v>1</v>
      </c>
      <c r="BK8" s="121">
        <f>H8/12</f>
        <v>1</v>
      </c>
      <c r="BL8" s="122">
        <f>H8/12</f>
        <v>1</v>
      </c>
      <c r="BM8" s="122">
        <f>H8/12</f>
        <v>1</v>
      </c>
      <c r="BN8" s="122">
        <f>H8/12</f>
        <v>1</v>
      </c>
      <c r="BO8" s="122">
        <f>H8/12</f>
        <v>1</v>
      </c>
      <c r="BP8" s="122">
        <f>H8/12</f>
        <v>1</v>
      </c>
      <c r="BQ8" s="122">
        <f>H8/12</f>
        <v>1</v>
      </c>
      <c r="BR8" s="122">
        <f>H8/12</f>
        <v>1</v>
      </c>
      <c r="BS8" s="122">
        <f>H8/12</f>
        <v>1</v>
      </c>
      <c r="BT8" s="122">
        <f>H8/12</f>
        <v>1</v>
      </c>
      <c r="BU8" s="122">
        <f>H8/12</f>
        <v>1</v>
      </c>
      <c r="BV8" s="123"/>
      <c r="BW8" s="123"/>
      <c r="BX8" s="123"/>
      <c r="BY8" s="123"/>
      <c r="BZ8" s="123"/>
      <c r="CA8" s="123"/>
      <c r="CB8" s="123"/>
      <c r="CC8" s="123"/>
      <c r="CD8" s="123"/>
      <c r="CE8" s="123"/>
      <c r="CF8" s="123"/>
      <c r="CG8" s="123"/>
      <c r="CH8" s="123"/>
      <c r="CI8" s="122"/>
      <c r="CJ8" s="122"/>
      <c r="CK8" s="122"/>
      <c r="CL8" s="122"/>
      <c r="CM8" s="122"/>
      <c r="CN8" s="124"/>
      <c r="CO8" s="125"/>
      <c r="CP8" s="126"/>
      <c r="CQ8" s="126"/>
      <c r="CR8" s="126"/>
      <c r="CS8" s="126"/>
      <c r="CT8" s="127"/>
      <c r="CU8" s="128"/>
      <c r="CV8" s="123"/>
      <c r="CW8" s="129"/>
      <c r="CX8" s="132"/>
      <c r="CY8" s="132"/>
      <c r="CZ8" s="132"/>
      <c r="DA8" s="132"/>
      <c r="DB8" s="132"/>
      <c r="DC8" s="132"/>
      <c r="DD8" s="132"/>
      <c r="DE8" s="103"/>
      <c r="DF8" s="103"/>
      <c r="DG8" s="103"/>
      <c r="DH8" s="103"/>
      <c r="DI8" s="103"/>
      <c r="DJ8" s="103"/>
      <c r="DK8" s="130"/>
      <c r="DL8" s="130"/>
      <c r="DM8" s="130"/>
      <c r="DN8" s="132"/>
      <c r="DO8" s="132"/>
    </row>
    <row r="9" ht="41.1" customHeight="1" spans="1:124">
      <c r="A9" s="131">
        <v>43270</v>
      </c>
      <c r="B9" s="132" t="s">
        <v>13192</v>
      </c>
      <c r="C9" s="160" t="s">
        <v>13193</v>
      </c>
      <c r="D9" s="134"/>
      <c r="E9" s="135" t="s">
        <v>13194</v>
      </c>
      <c r="F9" s="136" t="s">
        <v>13181</v>
      </c>
      <c r="G9" s="137" t="s">
        <v>13182</v>
      </c>
      <c r="H9" s="138">
        <v>6</v>
      </c>
      <c r="I9" s="132"/>
      <c r="J9" s="132"/>
      <c r="K9" s="132"/>
      <c r="L9" s="139"/>
      <c r="M9" s="140"/>
      <c r="N9" s="141"/>
      <c r="O9" s="141"/>
      <c r="P9" s="142"/>
      <c r="Q9" s="141"/>
      <c r="R9" s="141"/>
      <c r="S9" s="143"/>
      <c r="T9" s="141"/>
      <c r="U9" s="152"/>
      <c r="V9" s="153">
        <f t="shared" si="0"/>
        <v>6</v>
      </c>
      <c r="W9" s="154"/>
      <c r="X9" s="155"/>
      <c r="Y9" s="146">
        <f t="shared" si="1"/>
        <v>6</v>
      </c>
      <c r="Z9" s="156"/>
      <c r="AA9" s="157"/>
      <c r="AB9" s="157"/>
      <c r="AC9" s="158"/>
      <c r="AD9" s="159" t="s">
        <v>13183</v>
      </c>
      <c r="AE9" s="117"/>
      <c r="AF9" s="117"/>
      <c r="AG9" s="117"/>
      <c r="AH9" s="117"/>
      <c r="AI9" s="117"/>
      <c r="AJ9" s="117"/>
      <c r="AK9" s="117"/>
      <c r="AL9" s="117"/>
      <c r="AM9" s="117"/>
      <c r="AN9" s="117"/>
      <c r="AO9" s="117"/>
      <c r="AP9" s="117"/>
      <c r="AQ9" s="117"/>
      <c r="AR9" s="117"/>
      <c r="AS9" s="117"/>
      <c r="AT9" s="117"/>
      <c r="AU9" s="117"/>
      <c r="AV9" s="117"/>
      <c r="AW9" s="117"/>
      <c r="AX9" s="117"/>
      <c r="AY9" s="117"/>
      <c r="AZ9" s="117"/>
      <c r="BA9" s="117"/>
      <c r="BB9" s="117"/>
      <c r="BC9" s="117"/>
      <c r="BD9" s="117"/>
      <c r="BE9" s="118"/>
      <c r="BF9" s="118"/>
      <c r="BG9" s="118"/>
      <c r="BH9" s="119"/>
      <c r="BI9" s="150"/>
      <c r="BJ9" s="121">
        <v>1</v>
      </c>
      <c r="BK9" s="121"/>
      <c r="BL9" s="122">
        <v>1</v>
      </c>
      <c r="BM9" s="122"/>
      <c r="BN9" s="122">
        <v>1</v>
      </c>
      <c r="BO9" s="122"/>
      <c r="BP9" s="122">
        <v>1</v>
      </c>
      <c r="BQ9" s="122"/>
      <c r="BR9" s="122">
        <v>1</v>
      </c>
      <c r="BS9" s="122"/>
      <c r="BT9" s="122">
        <v>1</v>
      </c>
      <c r="BU9" s="122"/>
      <c r="BV9" s="123"/>
      <c r="BW9" s="123"/>
      <c r="BX9" s="123"/>
      <c r="BY9" s="123"/>
      <c r="BZ9" s="123"/>
      <c r="CA9" s="123"/>
      <c r="CB9" s="123"/>
      <c r="CC9" s="123"/>
      <c r="CD9" s="123"/>
      <c r="CE9" s="123"/>
      <c r="CF9" s="123"/>
      <c r="CG9" s="123"/>
      <c r="CH9" s="123"/>
      <c r="CI9" s="122"/>
      <c r="CJ9" s="122"/>
      <c r="CK9" s="122"/>
      <c r="CL9" s="122"/>
      <c r="CM9" s="122"/>
      <c r="CN9" s="124"/>
      <c r="CO9" s="125"/>
      <c r="CP9" s="126"/>
      <c r="CQ9" s="126"/>
      <c r="CR9" s="126"/>
      <c r="CS9" s="126"/>
      <c r="CT9" s="127"/>
      <c r="CU9" s="128"/>
      <c r="CV9" s="123"/>
      <c r="CW9" s="129"/>
      <c r="CX9" s="132"/>
      <c r="CY9" s="132"/>
      <c r="CZ9" s="132"/>
      <c r="DA9" s="132"/>
      <c r="DB9" s="132"/>
      <c r="DC9" s="132"/>
      <c r="DD9" s="132"/>
      <c r="DE9" s="103"/>
      <c r="DF9" s="103"/>
      <c r="DG9" s="103"/>
      <c r="DH9" s="103"/>
      <c r="DI9" s="103"/>
      <c r="DJ9" s="103"/>
      <c r="DK9" s="130"/>
      <c r="DL9" s="130"/>
      <c r="DM9" s="130"/>
      <c r="DN9" s="132"/>
      <c r="DO9" s="132"/>
    </row>
    <row r="10" ht="41.1" customHeight="1" spans="1:124">
      <c r="A10" s="131">
        <v>43270</v>
      </c>
      <c r="B10" s="132" t="s">
        <v>13192</v>
      </c>
      <c r="C10" s="160">
        <v>4500010598</v>
      </c>
      <c r="D10" s="134"/>
      <c r="E10" s="135" t="s">
        <v>2775</v>
      </c>
      <c r="F10" s="136" t="s">
        <v>13181</v>
      </c>
      <c r="G10" s="137" t="s">
        <v>13182</v>
      </c>
      <c r="H10" s="138">
        <v>24</v>
      </c>
      <c r="I10" s="132"/>
      <c r="J10" s="132"/>
      <c r="K10" s="132"/>
      <c r="L10" s="139"/>
      <c r="M10" s="140"/>
      <c r="N10" s="141"/>
      <c r="O10" s="141"/>
      <c r="P10" s="142"/>
      <c r="Q10" s="141"/>
      <c r="R10" s="141"/>
      <c r="S10" s="143"/>
      <c r="T10" s="141"/>
      <c r="U10" s="152"/>
      <c r="V10" s="153">
        <f t="shared" si="0"/>
        <v>24</v>
      </c>
      <c r="W10" s="154"/>
      <c r="X10" s="155"/>
      <c r="Y10" s="146">
        <f t="shared" si="1"/>
        <v>24</v>
      </c>
      <c r="Z10" s="156"/>
      <c r="AA10" s="157"/>
      <c r="AB10" s="157"/>
      <c r="AC10" s="158"/>
      <c r="AD10" s="159" t="s">
        <v>13183</v>
      </c>
      <c r="AE10" s="117"/>
      <c r="AF10" s="117"/>
      <c r="AG10" s="117"/>
      <c r="AH10" s="117"/>
      <c r="AI10" s="117"/>
      <c r="AJ10" s="117"/>
      <c r="AK10" s="117"/>
      <c r="AL10" s="117"/>
      <c r="AM10" s="117"/>
      <c r="AN10" s="117"/>
      <c r="AO10" s="117"/>
      <c r="AP10" s="117"/>
      <c r="AQ10" s="117"/>
      <c r="AR10" s="117"/>
      <c r="AS10" s="117"/>
      <c r="AT10" s="117"/>
      <c r="AU10" s="117"/>
      <c r="AV10" s="117"/>
      <c r="AW10" s="117"/>
      <c r="AX10" s="117"/>
      <c r="AY10" s="117"/>
      <c r="AZ10" s="117"/>
      <c r="BA10" s="117"/>
      <c r="BB10" s="117"/>
      <c r="BC10" s="117"/>
      <c r="BD10" s="117"/>
      <c r="BE10" s="118"/>
      <c r="BF10" s="118"/>
      <c r="BG10" s="118"/>
      <c r="BH10" s="119"/>
      <c r="BI10" s="150"/>
      <c r="BJ10" s="121">
        <f>H10/12</f>
        <v>2</v>
      </c>
      <c r="BK10" s="121">
        <f>H10/12</f>
        <v>2</v>
      </c>
      <c r="BL10" s="122">
        <f>H10/12</f>
        <v>2</v>
      </c>
      <c r="BM10" s="122">
        <f>H10/12</f>
        <v>2</v>
      </c>
      <c r="BN10" s="122">
        <f>H10/12</f>
        <v>2</v>
      </c>
      <c r="BO10" s="122">
        <f>H10/12</f>
        <v>2</v>
      </c>
      <c r="BP10" s="122">
        <f>H10/12</f>
        <v>2</v>
      </c>
      <c r="BQ10" s="122">
        <f>H10/12</f>
        <v>2</v>
      </c>
      <c r="BR10" s="122">
        <f>H10/12</f>
        <v>2</v>
      </c>
      <c r="BS10" s="122">
        <f>H10/12</f>
        <v>2</v>
      </c>
      <c r="BT10" s="122">
        <f>H10/12</f>
        <v>2</v>
      </c>
      <c r="BU10" s="122">
        <f>H10/12</f>
        <v>2</v>
      </c>
      <c r="BV10" s="123"/>
      <c r="BW10" s="123"/>
      <c r="BX10" s="123"/>
      <c r="BY10" s="123"/>
      <c r="BZ10" s="123"/>
      <c r="CA10" s="123"/>
      <c r="CB10" s="123"/>
      <c r="CC10" s="123"/>
      <c r="CD10" s="123"/>
      <c r="CE10" s="123"/>
      <c r="CF10" s="123"/>
      <c r="CG10" s="123"/>
      <c r="CH10" s="123"/>
      <c r="CI10" s="122"/>
      <c r="CJ10" s="122"/>
      <c r="CK10" s="122"/>
      <c r="CL10" s="122"/>
      <c r="CM10" s="122"/>
      <c r="CN10" s="124"/>
      <c r="CO10" s="125"/>
      <c r="CP10" s="126"/>
      <c r="CQ10" s="126"/>
      <c r="CR10" s="126"/>
      <c r="CS10" s="126"/>
      <c r="CT10" s="127"/>
      <c r="CU10" s="128"/>
      <c r="CV10" s="123"/>
      <c r="CW10" s="129"/>
      <c r="CX10" s="132"/>
      <c r="CY10" s="132"/>
      <c r="CZ10" s="132"/>
      <c r="DA10" s="132"/>
      <c r="DB10" s="132"/>
      <c r="DC10" s="132"/>
      <c r="DD10" s="132"/>
      <c r="DE10" s="103"/>
      <c r="DF10" s="103"/>
      <c r="DG10" s="103"/>
      <c r="DH10" s="103"/>
      <c r="DI10" s="103"/>
      <c r="DJ10" s="103"/>
      <c r="DK10" s="130"/>
      <c r="DL10" s="130"/>
      <c r="DM10" s="130"/>
      <c r="DN10" s="132"/>
      <c r="DO10" s="132"/>
    </row>
    <row r="11" ht="41.1" customHeight="1" spans="1:124">
      <c r="A11" s="131">
        <v>43277</v>
      </c>
      <c r="B11" s="132" t="s">
        <v>13195</v>
      </c>
      <c r="C11" s="160">
        <v>4500010957</v>
      </c>
      <c r="D11" s="161" t="s">
        <v>13196</v>
      </c>
      <c r="E11" s="135" t="s">
        <v>13197</v>
      </c>
      <c r="F11" s="136" t="s">
        <v>13181</v>
      </c>
      <c r="G11" s="137" t="s">
        <v>13182</v>
      </c>
      <c r="H11" s="138">
        <v>36</v>
      </c>
      <c r="I11" s="132"/>
      <c r="J11" s="132"/>
      <c r="K11" s="132"/>
      <c r="L11" s="139"/>
      <c r="M11" s="140"/>
      <c r="N11" s="141"/>
      <c r="O11" s="141"/>
      <c r="P11" s="142"/>
      <c r="Q11" s="141"/>
      <c r="R11" s="141"/>
      <c r="S11" s="143"/>
      <c r="T11" s="141"/>
      <c r="U11" s="152"/>
      <c r="V11" s="153"/>
      <c r="W11" s="154"/>
      <c r="X11" s="155">
        <v>36</v>
      </c>
      <c r="Y11" s="146"/>
      <c r="Z11" s="156"/>
      <c r="AA11" s="157"/>
      <c r="AB11" s="157"/>
      <c r="AC11" s="158">
        <v>36</v>
      </c>
      <c r="AD11" s="159" t="s">
        <v>13183</v>
      </c>
      <c r="AE11" s="117"/>
      <c r="AF11" s="117"/>
      <c r="AG11" s="117"/>
      <c r="AH11" s="117"/>
      <c r="AI11" s="117"/>
      <c r="AJ11" s="117"/>
      <c r="AK11" s="117"/>
      <c r="AL11" s="117"/>
      <c r="AM11" s="117"/>
      <c r="AN11" s="117"/>
      <c r="AO11" s="117"/>
      <c r="AP11" s="117"/>
      <c r="AQ11" s="117"/>
      <c r="AR11" s="117"/>
      <c r="AS11" s="117"/>
      <c r="AT11" s="117"/>
      <c r="AU11" s="117"/>
      <c r="AV11" s="117"/>
      <c r="AW11" s="117"/>
      <c r="AX11" s="117"/>
      <c r="AY11" s="117"/>
      <c r="AZ11" s="117"/>
      <c r="BA11" s="117"/>
      <c r="BB11" s="117"/>
      <c r="BC11" s="117"/>
      <c r="BD11" s="117"/>
      <c r="BE11" s="118"/>
      <c r="BF11" s="118"/>
      <c r="BG11" s="118"/>
      <c r="BH11" s="119"/>
      <c r="BI11" s="150"/>
      <c r="BJ11" s="121">
        <f>H11/12</f>
        <v>3</v>
      </c>
      <c r="BK11" s="121">
        <f>H11/12</f>
        <v>3</v>
      </c>
      <c r="BL11" s="122">
        <f>H11/12</f>
        <v>3</v>
      </c>
      <c r="BM11" s="122">
        <f>H11/12</f>
        <v>3</v>
      </c>
      <c r="BN11" s="122">
        <f>H11/12</f>
        <v>3</v>
      </c>
      <c r="BO11" s="122">
        <f>H11/12</f>
        <v>3</v>
      </c>
      <c r="BP11" s="122">
        <f>H11/12</f>
        <v>3</v>
      </c>
      <c r="BQ11" s="122">
        <f>H11/12</f>
        <v>3</v>
      </c>
      <c r="BR11" s="122">
        <f>H11/12</f>
        <v>3</v>
      </c>
      <c r="BS11" s="122">
        <f>H11/12</f>
        <v>3</v>
      </c>
      <c r="BT11" s="122">
        <f>H11/12</f>
        <v>3</v>
      </c>
      <c r="BU11" s="122">
        <f>H11/12</f>
        <v>3</v>
      </c>
      <c r="BV11" s="123"/>
      <c r="BW11" s="123"/>
      <c r="BX11" s="123"/>
      <c r="BY11" s="123"/>
      <c r="BZ11" s="123"/>
      <c r="CA11" s="123"/>
      <c r="CB11" s="123"/>
      <c r="CC11" s="123"/>
      <c r="CD11" s="123"/>
      <c r="CE11" s="123"/>
      <c r="CF11" s="123"/>
      <c r="CG11" s="123"/>
      <c r="CH11" s="123"/>
      <c r="CI11" s="122"/>
      <c r="CJ11" s="122"/>
      <c r="CK11" s="122"/>
      <c r="CL11" s="122"/>
      <c r="CM11" s="122"/>
      <c r="CN11" s="124"/>
      <c r="CO11" s="125"/>
      <c r="CP11" s="126"/>
      <c r="CQ11" s="126"/>
      <c r="CR11" s="126"/>
      <c r="CS11" s="126"/>
      <c r="CT11" s="127"/>
      <c r="CU11" s="128"/>
      <c r="CV11" s="123"/>
      <c r="CW11" s="129"/>
      <c r="CX11" s="132"/>
      <c r="CY11" s="132"/>
      <c r="CZ11" s="132"/>
      <c r="DA11" s="132"/>
      <c r="DB11" s="132"/>
      <c r="DC11" s="132"/>
      <c r="DD11" s="132"/>
      <c r="DE11" s="103"/>
      <c r="DF11" s="103"/>
      <c r="DG11" s="103"/>
      <c r="DH11" s="103"/>
      <c r="DI11" s="103"/>
      <c r="DJ11" s="103"/>
      <c r="DK11" s="130"/>
      <c r="DL11" s="130"/>
      <c r="DM11" s="130"/>
      <c r="DN11" s="132"/>
      <c r="DO11" s="132"/>
    </row>
    <row r="12" ht="41.1" customHeight="1" spans="1:124">
      <c r="A12" s="131">
        <v>43277</v>
      </c>
      <c r="B12" s="132" t="s">
        <v>13198</v>
      </c>
      <c r="C12" s="160">
        <v>450012096</v>
      </c>
      <c r="D12" s="161" t="s">
        <v>13199</v>
      </c>
      <c r="E12" s="135" t="s">
        <v>13200</v>
      </c>
      <c r="F12" s="136" t="s">
        <v>13181</v>
      </c>
      <c r="G12" s="137" t="s">
        <v>13182</v>
      </c>
      <c r="H12" s="138">
        <v>12</v>
      </c>
      <c r="I12" s="132"/>
      <c r="J12" s="132"/>
      <c r="K12" s="132"/>
      <c r="L12" s="139"/>
      <c r="M12" s="140"/>
      <c r="N12" s="141"/>
      <c r="O12" s="141"/>
      <c r="P12" s="142"/>
      <c r="Q12" s="141"/>
      <c r="R12" s="141"/>
      <c r="S12" s="143"/>
      <c r="T12" s="141"/>
      <c r="U12" s="152"/>
      <c r="V12" s="153">
        <v>12</v>
      </c>
      <c r="W12" s="154"/>
      <c r="X12" s="155"/>
      <c r="Y12" s="146">
        <v>12</v>
      </c>
      <c r="Z12" s="156"/>
      <c r="AA12" s="157"/>
      <c r="AB12" s="157"/>
      <c r="AC12" s="158"/>
      <c r="AD12" s="159" t="s">
        <v>13183</v>
      </c>
      <c r="AE12" s="117"/>
      <c r="AF12" s="117"/>
      <c r="AG12" s="117"/>
      <c r="AH12" s="117"/>
      <c r="AI12" s="117"/>
      <c r="AJ12" s="117"/>
      <c r="AK12" s="117"/>
      <c r="AL12" s="117"/>
      <c r="AM12" s="117"/>
      <c r="AN12" s="117"/>
      <c r="AO12" s="117"/>
      <c r="AP12" s="117"/>
      <c r="AQ12" s="117"/>
      <c r="AR12" s="117"/>
      <c r="AS12" s="117"/>
      <c r="AT12" s="117"/>
      <c r="AU12" s="117"/>
      <c r="AV12" s="117"/>
      <c r="AW12" s="117"/>
      <c r="AX12" s="117"/>
      <c r="AY12" s="117"/>
      <c r="AZ12" s="117"/>
      <c r="BA12" s="117"/>
      <c r="BB12" s="117"/>
      <c r="BC12" s="117"/>
      <c r="BD12" s="117"/>
      <c r="BE12" s="118"/>
      <c r="BF12" s="118"/>
      <c r="BG12" s="118"/>
      <c r="BH12" s="119"/>
      <c r="BI12" s="150"/>
      <c r="BJ12" s="121">
        <f>H12/12</f>
        <v>1</v>
      </c>
      <c r="BK12" s="121">
        <f>H12/12</f>
        <v>1</v>
      </c>
      <c r="BL12" s="122">
        <f>H12/12</f>
        <v>1</v>
      </c>
      <c r="BM12" s="122">
        <f>H12/12</f>
        <v>1</v>
      </c>
      <c r="BN12" s="122">
        <f>H12/12</f>
        <v>1</v>
      </c>
      <c r="BO12" s="122">
        <f>H12/12</f>
        <v>1</v>
      </c>
      <c r="BP12" s="122">
        <f>H12/12</f>
        <v>1</v>
      </c>
      <c r="BQ12" s="122">
        <f>H12/12</f>
        <v>1</v>
      </c>
      <c r="BR12" s="122">
        <f>H12/12</f>
        <v>1</v>
      </c>
      <c r="BS12" s="122">
        <f>H12/12</f>
        <v>1</v>
      </c>
      <c r="BT12" s="122">
        <f>H12/12</f>
        <v>1</v>
      </c>
      <c r="BU12" s="122">
        <f>H12/12</f>
        <v>1</v>
      </c>
      <c r="BV12" s="123"/>
      <c r="BW12" s="123"/>
      <c r="BX12" s="123"/>
      <c r="BY12" s="123"/>
      <c r="BZ12" s="123"/>
      <c r="CA12" s="123"/>
      <c r="CB12" s="123"/>
      <c r="CC12" s="123"/>
      <c r="CD12" s="123"/>
      <c r="CE12" s="123"/>
      <c r="CF12" s="123"/>
      <c r="CG12" s="123"/>
      <c r="CH12" s="123"/>
      <c r="CI12" s="122"/>
      <c r="CJ12" s="122"/>
      <c r="CK12" s="122"/>
      <c r="CL12" s="122"/>
      <c r="CM12" s="122"/>
      <c r="CN12" s="124"/>
      <c r="CO12" s="125"/>
      <c r="CP12" s="126"/>
      <c r="CQ12" s="126"/>
      <c r="CR12" s="126"/>
      <c r="CS12" s="126"/>
      <c r="CT12" s="127"/>
      <c r="CU12" s="128"/>
      <c r="CV12" s="123"/>
      <c r="CW12" s="129"/>
      <c r="CX12" s="132"/>
      <c r="CY12" s="132"/>
      <c r="CZ12" s="132"/>
      <c r="DA12" s="132"/>
      <c r="DB12" s="132"/>
      <c r="DC12" s="132"/>
      <c r="DD12" s="132"/>
      <c r="DE12" s="103"/>
      <c r="DF12" s="103"/>
      <c r="DG12" s="103"/>
      <c r="DH12" s="103"/>
      <c r="DI12" s="103"/>
      <c r="DJ12" s="103"/>
      <c r="DK12" s="130"/>
      <c r="DL12" s="130"/>
      <c r="DM12" s="130"/>
      <c r="DN12" s="132"/>
      <c r="DO12" s="132"/>
    </row>
    <row r="13" ht="41.1" customHeight="1" spans="1:124">
      <c r="A13" s="131">
        <v>43265</v>
      </c>
      <c r="B13" s="132" t="s">
        <v>13188</v>
      </c>
      <c r="C13" s="133">
        <v>4500010570</v>
      </c>
      <c r="D13" s="134"/>
      <c r="E13" s="135" t="s">
        <v>13201</v>
      </c>
      <c r="F13" s="136" t="s">
        <v>13181</v>
      </c>
      <c r="G13" s="137" t="s">
        <v>13182</v>
      </c>
      <c r="H13" s="138">
        <v>2</v>
      </c>
      <c r="I13" s="132"/>
      <c r="J13" s="132"/>
      <c r="K13" s="132"/>
      <c r="L13" s="139"/>
      <c r="M13" s="140"/>
      <c r="N13" s="141"/>
      <c r="O13" s="141"/>
      <c r="P13" s="142"/>
      <c r="Q13" s="141"/>
      <c r="R13" s="141"/>
      <c r="S13" s="143"/>
      <c r="T13" s="141"/>
      <c r="U13" s="152"/>
      <c r="V13" s="153">
        <v>12</v>
      </c>
      <c r="W13" s="154"/>
      <c r="X13" s="155"/>
      <c r="Y13" s="146">
        <v>12</v>
      </c>
      <c r="Z13" s="156"/>
      <c r="AA13" s="157"/>
      <c r="AB13" s="157"/>
      <c r="AC13" s="158"/>
      <c r="AD13" s="159" t="s">
        <v>13183</v>
      </c>
      <c r="AE13" s="117"/>
      <c r="AF13" s="117"/>
      <c r="AG13" s="117"/>
      <c r="AH13" s="117"/>
      <c r="AI13" s="117"/>
      <c r="AJ13" s="117"/>
      <c r="AK13" s="117"/>
      <c r="AL13" s="117"/>
      <c r="AM13" s="117"/>
      <c r="AN13" s="117"/>
      <c r="AO13" s="117"/>
      <c r="AP13" s="117"/>
      <c r="AQ13" s="117"/>
      <c r="AR13" s="117"/>
      <c r="AS13" s="117"/>
      <c r="AT13" s="117"/>
      <c r="AU13" s="117"/>
      <c r="AV13" s="117"/>
      <c r="AW13" s="117"/>
      <c r="AX13" s="117"/>
      <c r="AY13" s="117"/>
      <c r="AZ13" s="117"/>
      <c r="BA13" s="117"/>
      <c r="BB13" s="117"/>
      <c r="BC13" s="117"/>
      <c r="BD13" s="117"/>
      <c r="BE13" s="118"/>
      <c r="BF13" s="118"/>
      <c r="BG13" s="118"/>
      <c r="BH13" s="119"/>
      <c r="BI13" s="150"/>
      <c r="BJ13" s="121"/>
      <c r="BK13" s="121"/>
      <c r="BL13" s="122"/>
      <c r="BM13" s="122"/>
      <c r="BN13" s="122">
        <v>1</v>
      </c>
      <c r="BO13" s="122">
        <v>1</v>
      </c>
      <c r="BP13" s="122"/>
      <c r="BQ13" s="122"/>
      <c r="BR13" s="122"/>
      <c r="BS13" s="122"/>
      <c r="BT13" s="122"/>
      <c r="BU13" s="122"/>
      <c r="BV13" s="123"/>
      <c r="BW13" s="123"/>
      <c r="BX13" s="123"/>
      <c r="BY13" s="123"/>
      <c r="BZ13" s="123"/>
      <c r="CA13" s="123"/>
      <c r="CB13" s="123"/>
      <c r="CC13" s="123"/>
      <c r="CD13" s="123"/>
      <c r="CE13" s="123"/>
      <c r="CF13" s="123"/>
      <c r="CG13" s="123"/>
      <c r="CH13" s="123"/>
      <c r="CI13" s="122"/>
      <c r="CJ13" s="122"/>
      <c r="CK13" s="122"/>
      <c r="CL13" s="122"/>
      <c r="CM13" s="122"/>
      <c r="CN13" s="124"/>
      <c r="CO13" s="125"/>
      <c r="CP13" s="126"/>
      <c r="CQ13" s="126"/>
      <c r="CR13" s="126"/>
      <c r="CS13" s="126"/>
      <c r="CT13" s="127"/>
      <c r="CU13" s="128"/>
      <c r="CV13" s="123"/>
      <c r="CW13" s="129"/>
      <c r="CX13" s="132"/>
      <c r="CY13" s="132"/>
      <c r="CZ13" s="132"/>
      <c r="DA13" s="132"/>
      <c r="DB13" s="132"/>
      <c r="DC13" s="132"/>
      <c r="DD13" s="132"/>
      <c r="DE13" s="103"/>
      <c r="DF13" s="103"/>
      <c r="DG13" s="103"/>
      <c r="DH13" s="103"/>
      <c r="DI13" s="103"/>
      <c r="DJ13" s="103"/>
      <c r="DK13" s="130"/>
      <c r="DL13" s="130"/>
      <c r="DM13" s="130"/>
      <c r="DN13" s="132"/>
      <c r="DO13" s="132"/>
    </row>
    <row r="14" s="19" customFormat="1" ht="41.1" customHeight="1" spans="1:124">
      <c r="A14" s="102">
        <v>43284</v>
      </c>
      <c r="B14" s="103"/>
      <c r="C14" s="104" t="s">
        <v>13202</v>
      </c>
      <c r="D14" s="105"/>
      <c r="E14" s="162"/>
      <c r="F14" s="107" t="s">
        <v>13181</v>
      </c>
      <c r="G14" s="101" t="s">
        <v>13182</v>
      </c>
      <c r="H14" s="108">
        <v>480</v>
      </c>
      <c r="I14" s="103"/>
      <c r="J14" s="103"/>
      <c r="K14" s="103"/>
      <c r="L14" s="109"/>
      <c r="M14" s="110"/>
      <c r="N14" s="111"/>
      <c r="O14" s="111"/>
      <c r="P14" s="112"/>
      <c r="Q14" s="111"/>
      <c r="R14" s="111"/>
      <c r="S14" s="113"/>
      <c r="T14" s="111"/>
      <c r="U14" s="163"/>
      <c r="V14" s="164">
        <v>480</v>
      </c>
      <c r="W14" s="165"/>
      <c r="X14" s="155"/>
      <c r="Y14" s="115">
        <v>480</v>
      </c>
      <c r="Z14" s="166"/>
      <c r="AA14" s="166"/>
      <c r="AB14" s="166"/>
      <c r="AC14" s="158"/>
      <c r="AD14" s="167" t="s">
        <v>13183</v>
      </c>
      <c r="AE14" s="168"/>
      <c r="AF14" s="168"/>
      <c r="AG14" s="168"/>
      <c r="AH14" s="168"/>
      <c r="AI14" s="168"/>
      <c r="AJ14" s="168"/>
      <c r="AK14" s="168"/>
      <c r="AL14" s="168"/>
      <c r="AM14" s="168"/>
      <c r="AN14" s="168"/>
      <c r="AO14" s="168"/>
      <c r="AP14" s="168"/>
      <c r="AQ14" s="168"/>
      <c r="AR14" s="168"/>
      <c r="AS14" s="168"/>
      <c r="AT14" s="168"/>
      <c r="AU14" s="168"/>
      <c r="AV14" s="168"/>
      <c r="AW14" s="117"/>
      <c r="AX14" s="117"/>
      <c r="AY14" s="117"/>
      <c r="AZ14" s="117"/>
      <c r="BA14" s="117"/>
      <c r="BB14" s="117"/>
      <c r="BC14" s="117"/>
      <c r="BD14" s="117"/>
      <c r="BE14" s="118"/>
      <c r="BF14" s="118"/>
      <c r="BG14" s="118"/>
      <c r="BH14" s="119"/>
      <c r="BI14" s="120">
        <v>19655</v>
      </c>
      <c r="BJ14" s="121">
        <f>H14/12</f>
        <v>40</v>
      </c>
      <c r="BK14" s="121">
        <f>H14/12</f>
        <v>40</v>
      </c>
      <c r="BL14" s="122">
        <f>H14/12</f>
        <v>40</v>
      </c>
      <c r="BM14" s="122">
        <f>H14/12</f>
        <v>40</v>
      </c>
      <c r="BN14" s="122">
        <f>H14/12</f>
        <v>40</v>
      </c>
      <c r="BO14" s="122">
        <f>H14/12</f>
        <v>40</v>
      </c>
      <c r="BP14" s="122">
        <f>H14/12</f>
        <v>40</v>
      </c>
      <c r="BQ14" s="122">
        <f>H14/12</f>
        <v>40</v>
      </c>
      <c r="BR14" s="122">
        <f>H14/12</f>
        <v>40</v>
      </c>
      <c r="BS14" s="122">
        <f>H14/12</f>
        <v>40</v>
      </c>
      <c r="BT14" s="122">
        <f>H14/12</f>
        <v>40</v>
      </c>
      <c r="BU14" s="122">
        <f>H14/12</f>
        <v>40</v>
      </c>
      <c r="BV14" s="123"/>
      <c r="BW14" s="123"/>
      <c r="BX14" s="123"/>
      <c r="BY14" s="123"/>
      <c r="BZ14" s="123"/>
      <c r="CA14" s="123"/>
      <c r="CB14" s="123"/>
      <c r="CC14" s="123"/>
      <c r="CD14" s="123"/>
      <c r="CE14" s="123"/>
      <c r="CF14" s="123"/>
      <c r="CG14" s="123"/>
      <c r="CH14" s="123"/>
      <c r="CI14" s="122"/>
      <c r="CJ14" s="122"/>
      <c r="CK14" s="122"/>
      <c r="CL14" s="122"/>
      <c r="CM14" s="122"/>
      <c r="CN14" s="124"/>
      <c r="CO14" s="125"/>
      <c r="CP14" s="126"/>
      <c r="CQ14" s="126"/>
      <c r="CR14" s="126"/>
      <c r="CS14" s="126"/>
      <c r="CT14" s="127"/>
      <c r="CU14" s="128"/>
      <c r="CV14" s="123"/>
      <c r="CW14" s="129"/>
      <c r="CX14" s="103"/>
      <c r="CY14" s="103"/>
      <c r="CZ14" s="103"/>
      <c r="DA14" s="103"/>
      <c r="DB14" s="103"/>
      <c r="DC14" s="103"/>
      <c r="DD14" s="103"/>
      <c r="DE14" s="103"/>
      <c r="DF14" s="103"/>
      <c r="DG14" s="103"/>
      <c r="DH14" s="103"/>
      <c r="DI14" s="103"/>
      <c r="DJ14" s="103"/>
      <c r="DK14" s="130"/>
      <c r="DL14" s="130"/>
      <c r="DM14" s="130"/>
      <c r="DN14" s="103"/>
      <c r="DO14" s="103"/>
    </row>
    <row r="15" ht="41.1" customHeight="1" spans="1:124">
      <c r="A15" s="131">
        <v>43286</v>
      </c>
      <c r="B15" s="132"/>
      <c r="C15" s="133">
        <v>4500010467</v>
      </c>
      <c r="D15" s="134"/>
      <c r="E15" s="135"/>
      <c r="F15" s="136" t="s">
        <v>13181</v>
      </c>
      <c r="G15" s="137" t="s">
        <v>13182</v>
      </c>
      <c r="H15" s="138">
        <v>10</v>
      </c>
      <c r="I15" s="132"/>
      <c r="J15" s="132"/>
      <c r="K15" s="132"/>
      <c r="L15" s="139"/>
      <c r="M15" s="140"/>
      <c r="N15" s="141"/>
      <c r="O15" s="141"/>
      <c r="P15" s="142"/>
      <c r="Q15" s="141"/>
      <c r="R15" s="141"/>
      <c r="S15" s="143"/>
      <c r="T15" s="141"/>
      <c r="U15" s="152"/>
      <c r="V15" s="153">
        <v>10</v>
      </c>
      <c r="W15" s="154"/>
      <c r="X15" s="155"/>
      <c r="Y15" s="146">
        <v>10</v>
      </c>
      <c r="Z15" s="156"/>
      <c r="AA15" s="157"/>
      <c r="AB15" s="157"/>
      <c r="AC15" s="158"/>
      <c r="AD15" s="159" t="s">
        <v>13183</v>
      </c>
      <c r="AE15" s="117"/>
      <c r="AF15" s="117"/>
      <c r="AG15" s="117"/>
      <c r="AH15" s="117"/>
      <c r="AI15" s="117"/>
      <c r="AJ15" s="117"/>
      <c r="AK15" s="117"/>
      <c r="AL15" s="117"/>
      <c r="AM15" s="117"/>
      <c r="AN15" s="117"/>
      <c r="AO15" s="117"/>
      <c r="AP15" s="117"/>
      <c r="AQ15" s="117"/>
      <c r="AR15" s="117"/>
      <c r="AS15" s="117"/>
      <c r="AT15" s="117"/>
      <c r="AU15" s="117"/>
      <c r="AV15" s="117"/>
      <c r="AW15" s="117"/>
      <c r="AX15" s="117"/>
      <c r="AY15" s="117"/>
      <c r="AZ15" s="117"/>
      <c r="BA15" s="117"/>
      <c r="BB15" s="117"/>
      <c r="BC15" s="117"/>
      <c r="BD15" s="117"/>
      <c r="BE15" s="118"/>
      <c r="BF15" s="118"/>
      <c r="BG15" s="118"/>
      <c r="BH15" s="119"/>
      <c r="BI15" s="150"/>
      <c r="BJ15" s="121"/>
      <c r="BK15" s="121"/>
      <c r="BL15" s="122">
        <v>1</v>
      </c>
      <c r="BM15" s="122">
        <v>1</v>
      </c>
      <c r="BN15" s="122">
        <v>1</v>
      </c>
      <c r="BO15" s="122">
        <v>1</v>
      </c>
      <c r="BP15" s="122">
        <v>1</v>
      </c>
      <c r="BQ15" s="122">
        <v>1</v>
      </c>
      <c r="BR15" s="122">
        <v>1</v>
      </c>
      <c r="BS15" s="122">
        <v>1</v>
      </c>
      <c r="BT15" s="122">
        <v>1</v>
      </c>
      <c r="BU15" s="122">
        <v>1</v>
      </c>
      <c r="BV15" s="123"/>
      <c r="BW15" s="123"/>
      <c r="BX15" s="123"/>
      <c r="BY15" s="123"/>
      <c r="BZ15" s="123"/>
      <c r="CA15" s="123"/>
      <c r="CB15" s="123"/>
      <c r="CC15" s="123"/>
      <c r="CD15" s="123"/>
      <c r="CE15" s="123"/>
      <c r="CF15" s="123"/>
      <c r="CG15" s="123"/>
      <c r="CH15" s="123"/>
      <c r="CI15" s="122"/>
      <c r="CJ15" s="122"/>
      <c r="CK15" s="122"/>
      <c r="CL15" s="122"/>
      <c r="CM15" s="122"/>
      <c r="CN15" s="124"/>
      <c r="CO15" s="125"/>
      <c r="CP15" s="126"/>
      <c r="CQ15" s="126"/>
      <c r="CR15" s="126"/>
      <c r="CS15" s="126"/>
      <c r="CT15" s="127"/>
      <c r="CU15" s="128"/>
      <c r="CV15" s="123"/>
      <c r="CW15" s="129"/>
      <c r="CX15" s="132"/>
      <c r="CY15" s="132"/>
      <c r="CZ15" s="132"/>
      <c r="DA15" s="132"/>
      <c r="DB15" s="132"/>
      <c r="DC15" s="132"/>
      <c r="DD15" s="132"/>
      <c r="DE15" s="103"/>
      <c r="DF15" s="103"/>
      <c r="DG15" s="103"/>
      <c r="DH15" s="103"/>
      <c r="DI15" s="103"/>
      <c r="DJ15" s="103"/>
      <c r="DK15" s="130"/>
      <c r="DL15" s="130"/>
      <c r="DM15" s="130"/>
      <c r="DN15" s="132"/>
      <c r="DO15" s="132"/>
    </row>
    <row r="16" ht="41.1" customHeight="1" spans="1:124">
      <c r="A16" s="131">
        <v>43287</v>
      </c>
      <c r="B16" s="132"/>
      <c r="C16" s="133">
        <v>4500010333</v>
      </c>
      <c r="D16" s="134"/>
      <c r="E16" s="135"/>
      <c r="F16" s="136" t="s">
        <v>13181</v>
      </c>
      <c r="G16" s="137" t="s">
        <v>13182</v>
      </c>
      <c r="H16" s="138">
        <v>10</v>
      </c>
      <c r="I16" s="132"/>
      <c r="J16" s="132"/>
      <c r="K16" s="132"/>
      <c r="L16" s="139"/>
      <c r="M16" s="140"/>
      <c r="N16" s="141"/>
      <c r="O16" s="141"/>
      <c r="P16" s="142"/>
      <c r="Q16" s="141"/>
      <c r="R16" s="141"/>
      <c r="S16" s="143"/>
      <c r="T16" s="141"/>
      <c r="U16" s="152"/>
      <c r="V16" s="153">
        <v>10</v>
      </c>
      <c r="W16" s="154"/>
      <c r="X16" s="155"/>
      <c r="Y16" s="146">
        <v>10</v>
      </c>
      <c r="Z16" s="156"/>
      <c r="AA16" s="157"/>
      <c r="AB16" s="157"/>
      <c r="AC16" s="158"/>
      <c r="AD16" s="159" t="s">
        <v>13183</v>
      </c>
      <c r="AE16" s="117"/>
      <c r="AF16" s="117"/>
      <c r="AG16" s="117"/>
      <c r="AH16" s="117"/>
      <c r="AI16" s="117"/>
      <c r="AJ16" s="117"/>
      <c r="AK16" s="117"/>
      <c r="AL16" s="117"/>
      <c r="AM16" s="117"/>
      <c r="AN16" s="117"/>
      <c r="AO16" s="117"/>
      <c r="AP16" s="117"/>
      <c r="AQ16" s="117"/>
      <c r="AR16" s="117"/>
      <c r="AS16" s="117"/>
      <c r="AT16" s="117"/>
      <c r="AU16" s="117"/>
      <c r="AV16" s="117"/>
      <c r="AW16" s="117"/>
      <c r="AX16" s="117"/>
      <c r="AY16" s="117"/>
      <c r="AZ16" s="117"/>
      <c r="BA16" s="117"/>
      <c r="BB16" s="117"/>
      <c r="BC16" s="117"/>
      <c r="BD16" s="117"/>
      <c r="BE16" s="118"/>
      <c r="BF16" s="118"/>
      <c r="BG16" s="118"/>
      <c r="BH16" s="119"/>
      <c r="BI16" s="150"/>
      <c r="BJ16" s="121"/>
      <c r="BK16" s="121"/>
      <c r="BL16" s="122">
        <v>1</v>
      </c>
      <c r="BM16" s="122">
        <v>1</v>
      </c>
      <c r="BN16" s="122">
        <v>1</v>
      </c>
      <c r="BO16" s="122">
        <v>1</v>
      </c>
      <c r="BP16" s="122">
        <v>1</v>
      </c>
      <c r="BQ16" s="122">
        <v>1</v>
      </c>
      <c r="BR16" s="122">
        <v>1</v>
      </c>
      <c r="BS16" s="122">
        <v>1</v>
      </c>
      <c r="BT16" s="122">
        <v>1</v>
      </c>
      <c r="BU16" s="122">
        <v>1</v>
      </c>
      <c r="BV16" s="123"/>
      <c r="BW16" s="123"/>
      <c r="BX16" s="123"/>
      <c r="BY16" s="123"/>
      <c r="BZ16" s="123"/>
      <c r="CA16" s="123"/>
      <c r="CB16" s="123"/>
      <c r="CC16" s="123"/>
      <c r="CD16" s="123"/>
      <c r="CE16" s="123"/>
      <c r="CF16" s="123"/>
      <c r="CG16" s="123"/>
      <c r="CH16" s="123"/>
      <c r="CI16" s="122"/>
      <c r="CJ16" s="122"/>
      <c r="CK16" s="122"/>
      <c r="CL16" s="122"/>
      <c r="CM16" s="122"/>
      <c r="CN16" s="124"/>
      <c r="CO16" s="125"/>
      <c r="CP16" s="126"/>
      <c r="CQ16" s="126"/>
      <c r="CR16" s="126"/>
      <c r="CS16" s="126"/>
      <c r="CT16" s="127"/>
      <c r="CU16" s="128"/>
      <c r="CV16" s="123"/>
      <c r="CW16" s="129"/>
      <c r="CX16" s="132"/>
      <c r="CY16" s="132"/>
      <c r="CZ16" s="132"/>
      <c r="DA16" s="132"/>
      <c r="DB16" s="132"/>
      <c r="DC16" s="132"/>
      <c r="DD16" s="132"/>
      <c r="DE16" s="103"/>
      <c r="DF16" s="103"/>
      <c r="DG16" s="103"/>
      <c r="DH16" s="103"/>
      <c r="DI16" s="103"/>
      <c r="DJ16" s="103"/>
      <c r="DK16" s="130"/>
      <c r="DL16" s="130"/>
      <c r="DM16" s="130"/>
      <c r="DN16" s="132"/>
      <c r="DO16" s="132"/>
    </row>
    <row r="17" s="20" customFormat="1" ht="41.1" customHeight="1" spans="1:119">
      <c r="A17" s="131">
        <v>43302</v>
      </c>
      <c r="B17" s="132"/>
      <c r="C17" s="133">
        <v>4500012533</v>
      </c>
      <c r="D17" s="134"/>
      <c r="E17" s="135"/>
      <c r="F17" s="136" t="s">
        <v>13181</v>
      </c>
      <c r="G17" s="137" t="s">
        <v>13182</v>
      </c>
      <c r="H17" s="138">
        <v>12</v>
      </c>
      <c r="I17" s="132"/>
      <c r="J17" s="132"/>
      <c r="K17" s="132"/>
      <c r="L17" s="139"/>
      <c r="M17" s="140"/>
      <c r="N17" s="141"/>
      <c r="O17" s="141"/>
      <c r="P17" s="142"/>
      <c r="Q17" s="141"/>
      <c r="R17" s="141"/>
      <c r="S17" s="143"/>
      <c r="T17" s="141"/>
      <c r="U17" s="152"/>
      <c r="V17" s="153">
        <v>12</v>
      </c>
      <c r="W17" s="154"/>
      <c r="X17" s="155"/>
      <c r="Y17" s="146">
        <v>12</v>
      </c>
      <c r="Z17" s="156"/>
      <c r="AA17" s="157"/>
      <c r="AB17" s="157"/>
      <c r="AC17" s="158"/>
      <c r="AD17" s="159" t="s">
        <v>13183</v>
      </c>
      <c r="AE17" s="117"/>
      <c r="AF17" s="117"/>
      <c r="AG17" s="117"/>
      <c r="AH17" s="117"/>
      <c r="AI17" s="117"/>
      <c r="AJ17" s="117"/>
      <c r="AK17" s="117"/>
      <c r="AL17" s="117"/>
      <c r="AM17" s="117"/>
      <c r="AN17" s="117"/>
      <c r="AO17" s="117"/>
      <c r="AP17" s="117"/>
      <c r="AQ17" s="117"/>
      <c r="AR17" s="117"/>
      <c r="AS17" s="117"/>
      <c r="AT17" s="117"/>
      <c r="AU17" s="117"/>
      <c r="AV17" s="117"/>
      <c r="AW17" s="117"/>
      <c r="AX17" s="117"/>
      <c r="AY17" s="117"/>
      <c r="AZ17" s="117"/>
      <c r="BA17" s="117"/>
      <c r="BB17" s="117"/>
      <c r="BC17" s="117"/>
      <c r="BD17" s="117"/>
      <c r="BE17" s="118"/>
      <c r="BF17" s="118"/>
      <c r="BG17" s="118"/>
      <c r="BH17" s="119"/>
      <c r="BI17" s="150"/>
      <c r="BJ17" s="121">
        <v>1</v>
      </c>
      <c r="BK17" s="121">
        <v>1</v>
      </c>
      <c r="BL17" s="122">
        <v>1</v>
      </c>
      <c r="BM17" s="122">
        <v>1</v>
      </c>
      <c r="BN17" s="122">
        <v>1</v>
      </c>
      <c r="BO17" s="122">
        <v>1</v>
      </c>
      <c r="BP17" s="122">
        <v>1</v>
      </c>
      <c r="BQ17" s="122">
        <v>1</v>
      </c>
      <c r="BR17" s="122">
        <v>1</v>
      </c>
      <c r="BS17" s="122">
        <v>1</v>
      </c>
      <c r="BT17" s="122">
        <v>1</v>
      </c>
      <c r="BU17" s="122">
        <v>1</v>
      </c>
      <c r="BV17" s="123"/>
      <c r="BW17" s="123"/>
      <c r="BX17" s="123"/>
      <c r="BY17" s="123"/>
      <c r="BZ17" s="123"/>
      <c r="CA17" s="123"/>
      <c r="CB17" s="123"/>
      <c r="CC17" s="123"/>
      <c r="CD17" s="123"/>
      <c r="CE17" s="123"/>
      <c r="CF17" s="123"/>
      <c r="CG17" s="123"/>
      <c r="CH17" s="123"/>
      <c r="CI17" s="122"/>
      <c r="CJ17" s="122"/>
      <c r="CK17" s="122"/>
      <c r="CL17" s="122"/>
      <c r="CM17" s="122"/>
      <c r="CN17" s="124"/>
      <c r="CO17" s="125"/>
      <c r="CP17" s="126"/>
      <c r="CQ17" s="126"/>
      <c r="CR17" s="126"/>
      <c r="CS17" s="126"/>
      <c r="CT17" s="127"/>
      <c r="CU17" s="128"/>
      <c r="CV17" s="123"/>
      <c r="CW17" s="129"/>
      <c r="CX17" s="132"/>
      <c r="CY17" s="132"/>
      <c r="CZ17" s="132"/>
      <c r="DA17" s="132"/>
      <c r="DB17" s="132"/>
      <c r="DC17" s="132"/>
      <c r="DD17" s="132"/>
      <c r="DE17" s="103"/>
      <c r="DF17" s="103"/>
      <c r="DG17" s="103"/>
      <c r="DH17" s="103"/>
      <c r="DI17" s="103"/>
      <c r="DJ17" s="103"/>
      <c r="DK17" s="130"/>
      <c r="DL17" s="130"/>
      <c r="DM17" s="130"/>
      <c r="DN17" s="132"/>
      <c r="DO17" s="132"/>
    </row>
    <row r="18" s="20" customFormat="1" ht="41.1" customHeight="1" spans="1:119">
      <c r="A18" s="131">
        <v>43302</v>
      </c>
      <c r="B18" s="132"/>
      <c r="C18" s="133">
        <v>4500010568</v>
      </c>
      <c r="D18" s="134"/>
      <c r="E18" s="135"/>
      <c r="F18" s="136" t="s">
        <v>13181</v>
      </c>
      <c r="G18" s="137" t="s">
        <v>13182</v>
      </c>
      <c r="H18" s="138">
        <v>4</v>
      </c>
      <c r="I18" s="132"/>
      <c r="J18" s="132"/>
      <c r="K18" s="132"/>
      <c r="L18" s="139"/>
      <c r="M18" s="140"/>
      <c r="N18" s="141"/>
      <c r="O18" s="141"/>
      <c r="P18" s="142"/>
      <c r="Q18" s="141"/>
      <c r="R18" s="141"/>
      <c r="S18" s="143"/>
      <c r="T18" s="141"/>
      <c r="U18" s="152"/>
      <c r="V18" s="153">
        <v>4</v>
      </c>
      <c r="W18" s="154"/>
      <c r="X18" s="155"/>
      <c r="Y18" s="146"/>
      <c r="Z18" s="156"/>
      <c r="AA18" s="157"/>
      <c r="AB18" s="157"/>
      <c r="AC18" s="158">
        <v>4</v>
      </c>
      <c r="AD18" s="159" t="s">
        <v>13203</v>
      </c>
      <c r="AE18" s="117"/>
      <c r="AF18" s="117"/>
      <c r="AG18" s="117"/>
      <c r="AH18" s="117"/>
      <c r="AI18" s="117"/>
      <c r="AJ18" s="117"/>
      <c r="AK18" s="117"/>
      <c r="AL18" s="117"/>
      <c r="AM18" s="117"/>
      <c r="AN18" s="117"/>
      <c r="AO18" s="117"/>
      <c r="AP18" s="117"/>
      <c r="AQ18" s="117"/>
      <c r="AR18" s="117"/>
      <c r="AS18" s="117"/>
      <c r="AT18" s="117"/>
      <c r="AU18" s="117"/>
      <c r="AV18" s="117"/>
      <c r="AW18" s="117"/>
      <c r="AX18" s="117"/>
      <c r="AY18" s="117"/>
      <c r="AZ18" s="117"/>
      <c r="BA18" s="117"/>
      <c r="BB18" s="117"/>
      <c r="BC18" s="117"/>
      <c r="BD18" s="117"/>
      <c r="BE18" s="118"/>
      <c r="BF18" s="118"/>
      <c r="BG18" s="118"/>
      <c r="BH18" s="119"/>
      <c r="BI18" s="150"/>
      <c r="BJ18" s="121">
        <v>1</v>
      </c>
      <c r="BK18" s="121"/>
      <c r="BL18" s="122">
        <v>1</v>
      </c>
      <c r="BM18" s="122"/>
      <c r="BN18" s="122">
        <v>1</v>
      </c>
      <c r="BO18" s="122"/>
      <c r="BP18" s="122">
        <v>1</v>
      </c>
      <c r="BQ18" s="122"/>
      <c r="BR18" s="122"/>
      <c r="BS18" s="122"/>
      <c r="BT18" s="122"/>
      <c r="BU18" s="122"/>
      <c r="BV18" s="123"/>
      <c r="BW18" s="123"/>
      <c r="BX18" s="123"/>
      <c r="BY18" s="123"/>
      <c r="BZ18" s="123"/>
      <c r="CA18" s="123"/>
      <c r="CB18" s="123"/>
      <c r="CC18" s="123"/>
      <c r="CD18" s="123"/>
      <c r="CE18" s="123"/>
      <c r="CF18" s="123"/>
      <c r="CG18" s="123"/>
      <c r="CH18" s="123"/>
      <c r="CI18" s="122"/>
      <c r="CJ18" s="122"/>
      <c r="CK18" s="122"/>
      <c r="CL18" s="122"/>
      <c r="CM18" s="122"/>
      <c r="CN18" s="124"/>
      <c r="CO18" s="125"/>
      <c r="CP18" s="126"/>
      <c r="CQ18" s="126"/>
      <c r="CR18" s="126"/>
      <c r="CS18" s="126"/>
      <c r="CT18" s="127"/>
      <c r="CU18" s="128"/>
      <c r="CV18" s="123"/>
      <c r="CW18" s="129"/>
      <c r="CX18" s="132"/>
      <c r="CY18" s="132"/>
      <c r="CZ18" s="132"/>
      <c r="DA18" s="132"/>
      <c r="DB18" s="132"/>
      <c r="DC18" s="132"/>
      <c r="DD18" s="132"/>
      <c r="DE18" s="103"/>
      <c r="DF18" s="103"/>
      <c r="DG18" s="103"/>
      <c r="DH18" s="103"/>
      <c r="DI18" s="103"/>
      <c r="DJ18" s="103"/>
      <c r="DK18" s="130"/>
      <c r="DL18" s="130"/>
      <c r="DM18" s="130"/>
      <c r="DN18" s="132"/>
      <c r="DO18" s="132"/>
    </row>
    <row r="19" s="20" customFormat="1" ht="41.1" customHeight="1" spans="1:119">
      <c r="A19" s="131">
        <v>43306</v>
      </c>
      <c r="B19" s="132"/>
      <c r="C19" s="133">
        <v>4500010570</v>
      </c>
      <c r="D19" s="134"/>
      <c r="E19" s="135" t="s">
        <v>13204</v>
      </c>
      <c r="F19" s="136" t="s">
        <v>13181</v>
      </c>
      <c r="G19" s="137" t="s">
        <v>13182</v>
      </c>
      <c r="H19" s="138">
        <v>28</v>
      </c>
      <c r="I19" s="132"/>
      <c r="J19" s="132"/>
      <c r="K19" s="132"/>
      <c r="L19" s="139"/>
      <c r="M19" s="140"/>
      <c r="N19" s="141"/>
      <c r="O19" s="141"/>
      <c r="P19" s="142"/>
      <c r="Q19" s="141"/>
      <c r="R19" s="141"/>
      <c r="S19" s="143"/>
      <c r="T19" s="141"/>
      <c r="U19" s="152"/>
      <c r="V19" s="153"/>
      <c r="W19" s="154"/>
      <c r="X19" s="155">
        <v>28</v>
      </c>
      <c r="Y19" s="146">
        <v>28</v>
      </c>
      <c r="Z19" s="156"/>
      <c r="AA19" s="157"/>
      <c r="AB19" s="157"/>
      <c r="AC19" s="158"/>
      <c r="AD19" s="159" t="s">
        <v>13205</v>
      </c>
      <c r="AE19" s="117"/>
      <c r="AF19" s="117"/>
      <c r="AG19" s="117"/>
      <c r="AH19" s="117"/>
      <c r="AI19" s="117"/>
      <c r="AJ19" s="117"/>
      <c r="AK19" s="117"/>
      <c r="AL19" s="117"/>
      <c r="AM19" s="117"/>
      <c r="AN19" s="117"/>
      <c r="AO19" s="117"/>
      <c r="AP19" s="117"/>
      <c r="AQ19" s="117"/>
      <c r="AR19" s="117"/>
      <c r="AS19" s="117"/>
      <c r="AT19" s="117"/>
      <c r="AU19" s="117"/>
      <c r="AV19" s="117"/>
      <c r="AW19" s="117"/>
      <c r="AX19" s="117"/>
      <c r="AY19" s="117"/>
      <c r="AZ19" s="117"/>
      <c r="BA19" s="117"/>
      <c r="BB19" s="117"/>
      <c r="BC19" s="117"/>
      <c r="BD19" s="117"/>
      <c r="BE19" s="118"/>
      <c r="BF19" s="118"/>
      <c r="BG19" s="118"/>
      <c r="BH19" s="119"/>
      <c r="BI19" s="150"/>
      <c r="BJ19" s="121">
        <v>3</v>
      </c>
      <c r="BK19" s="121">
        <v>2</v>
      </c>
      <c r="BL19" s="122">
        <v>3</v>
      </c>
      <c r="BM19" s="122">
        <v>2</v>
      </c>
      <c r="BN19" s="122">
        <v>3</v>
      </c>
      <c r="BO19" s="122">
        <v>2</v>
      </c>
      <c r="BP19" s="122">
        <v>3</v>
      </c>
      <c r="BQ19" s="122">
        <v>2</v>
      </c>
      <c r="BR19" s="122">
        <v>2</v>
      </c>
      <c r="BS19" s="122">
        <v>2</v>
      </c>
      <c r="BT19" s="122">
        <v>2</v>
      </c>
      <c r="BU19" s="122">
        <v>2</v>
      </c>
      <c r="BV19" s="123"/>
      <c r="BW19" s="123"/>
      <c r="BX19" s="123"/>
      <c r="BY19" s="123"/>
      <c r="BZ19" s="123"/>
      <c r="CA19" s="123"/>
      <c r="CB19" s="123"/>
      <c r="CC19" s="123"/>
      <c r="CD19" s="123"/>
      <c r="CE19" s="123"/>
      <c r="CF19" s="123"/>
      <c r="CG19" s="123"/>
      <c r="CH19" s="123"/>
      <c r="CI19" s="122"/>
      <c r="CJ19" s="122"/>
      <c r="CK19" s="122"/>
      <c r="CL19" s="122"/>
      <c r="CM19" s="122"/>
      <c r="CN19" s="124"/>
      <c r="CO19" s="125"/>
      <c r="CP19" s="126"/>
      <c r="CQ19" s="126"/>
      <c r="CR19" s="126"/>
      <c r="CS19" s="126"/>
      <c r="CT19" s="127"/>
      <c r="CU19" s="128"/>
      <c r="CV19" s="123"/>
      <c r="CW19" s="129"/>
      <c r="CX19" s="132"/>
      <c r="CY19" s="132"/>
      <c r="CZ19" s="132"/>
      <c r="DA19" s="132"/>
      <c r="DB19" s="132"/>
      <c r="DC19" s="132"/>
      <c r="DD19" s="132"/>
      <c r="DE19" s="103"/>
      <c r="DF19" s="103"/>
      <c r="DG19" s="103"/>
      <c r="DH19" s="103"/>
      <c r="DI19" s="103"/>
      <c r="DJ19" s="103"/>
      <c r="DK19" s="130"/>
      <c r="DL19" s="130"/>
      <c r="DM19" s="130"/>
      <c r="DN19" s="132"/>
      <c r="DO19" s="132"/>
    </row>
    <row r="20" s="20" customFormat="1" ht="41.1" customHeight="1" spans="1:119">
      <c r="A20" s="131">
        <v>43306</v>
      </c>
      <c r="B20" s="132"/>
      <c r="C20" s="133">
        <v>4500010574</v>
      </c>
      <c r="D20" s="134"/>
      <c r="E20" s="135" t="s">
        <v>13206</v>
      </c>
      <c r="F20" s="136" t="s">
        <v>13181</v>
      </c>
      <c r="G20" s="137" t="s">
        <v>13182</v>
      </c>
      <c r="H20" s="138">
        <v>25</v>
      </c>
      <c r="I20" s="132"/>
      <c r="J20" s="132"/>
      <c r="K20" s="132"/>
      <c r="L20" s="139"/>
      <c r="M20" s="140"/>
      <c r="N20" s="141"/>
      <c r="O20" s="141"/>
      <c r="P20" s="142"/>
      <c r="Q20" s="141"/>
      <c r="R20" s="141"/>
      <c r="S20" s="143"/>
      <c r="T20" s="141"/>
      <c r="U20" s="152"/>
      <c r="V20" s="153"/>
      <c r="W20" s="154"/>
      <c r="X20" s="155">
        <v>25</v>
      </c>
      <c r="Y20" s="146">
        <v>25</v>
      </c>
      <c r="Z20" s="156"/>
      <c r="AA20" s="157"/>
      <c r="AB20" s="157"/>
      <c r="AC20" s="158"/>
      <c r="AD20" s="159" t="s">
        <v>13207</v>
      </c>
      <c r="AE20" s="117"/>
      <c r="AF20" s="117"/>
      <c r="AG20" s="117"/>
      <c r="AH20" s="117"/>
      <c r="AI20" s="117"/>
      <c r="AJ20" s="117"/>
      <c r="AK20" s="117"/>
      <c r="AL20" s="117"/>
      <c r="AM20" s="117"/>
      <c r="AN20" s="117"/>
      <c r="AO20" s="117"/>
      <c r="AP20" s="117"/>
      <c r="AQ20" s="117"/>
      <c r="AR20" s="117"/>
      <c r="AS20" s="117"/>
      <c r="AT20" s="117"/>
      <c r="AU20" s="117"/>
      <c r="AV20" s="117"/>
      <c r="AW20" s="117"/>
      <c r="AX20" s="117"/>
      <c r="AY20" s="117"/>
      <c r="AZ20" s="117"/>
      <c r="BA20" s="117"/>
      <c r="BB20" s="117"/>
      <c r="BC20" s="117"/>
      <c r="BD20" s="117"/>
      <c r="BE20" s="118"/>
      <c r="BF20" s="118"/>
      <c r="BG20" s="118"/>
      <c r="BH20" s="119"/>
      <c r="BI20" s="150"/>
      <c r="BJ20" s="121">
        <v>2</v>
      </c>
      <c r="BK20" s="121">
        <v>2</v>
      </c>
      <c r="BL20" s="122">
        <v>2</v>
      </c>
      <c r="BM20" s="122">
        <v>2</v>
      </c>
      <c r="BN20" s="122">
        <v>2</v>
      </c>
      <c r="BO20" s="122">
        <v>2</v>
      </c>
      <c r="BP20" s="122">
        <v>3</v>
      </c>
      <c r="BQ20" s="122">
        <v>2</v>
      </c>
      <c r="BR20" s="122">
        <v>2</v>
      </c>
      <c r="BS20" s="122">
        <v>2</v>
      </c>
      <c r="BT20" s="122">
        <v>2</v>
      </c>
      <c r="BU20" s="122">
        <v>2</v>
      </c>
      <c r="BV20" s="123"/>
      <c r="BW20" s="123"/>
      <c r="BX20" s="123"/>
      <c r="BY20" s="123"/>
      <c r="BZ20" s="123"/>
      <c r="CA20" s="123"/>
      <c r="CB20" s="123"/>
      <c r="CC20" s="123"/>
      <c r="CD20" s="123"/>
      <c r="CE20" s="123"/>
      <c r="CF20" s="123"/>
      <c r="CG20" s="123"/>
      <c r="CH20" s="123"/>
      <c r="CI20" s="122"/>
      <c r="CJ20" s="122"/>
      <c r="CK20" s="122"/>
      <c r="CL20" s="122"/>
      <c r="CM20" s="122"/>
      <c r="CN20" s="124"/>
      <c r="CO20" s="125"/>
      <c r="CP20" s="126"/>
      <c r="CQ20" s="126"/>
      <c r="CR20" s="126"/>
      <c r="CS20" s="126"/>
      <c r="CT20" s="127"/>
      <c r="CU20" s="128"/>
      <c r="CV20" s="123"/>
      <c r="CW20" s="129"/>
      <c r="CX20" s="132"/>
      <c r="CY20" s="132"/>
      <c r="CZ20" s="132"/>
      <c r="DA20" s="132"/>
      <c r="DB20" s="132"/>
      <c r="DC20" s="132"/>
      <c r="DD20" s="132"/>
      <c r="DE20" s="103"/>
      <c r="DF20" s="103"/>
      <c r="DG20" s="103"/>
      <c r="DH20" s="103"/>
      <c r="DI20" s="103"/>
      <c r="DJ20" s="103"/>
      <c r="DK20" s="130"/>
      <c r="DL20" s="130"/>
      <c r="DM20" s="130"/>
      <c r="DN20" s="132"/>
      <c r="DO20" s="132"/>
    </row>
    <row r="21" s="20" customFormat="1" ht="41.1" customHeight="1" spans="1:119">
      <c r="A21" s="131">
        <v>43313</v>
      </c>
      <c r="B21" s="132"/>
      <c r="C21" s="133">
        <v>4500009768</v>
      </c>
      <c r="D21" s="134"/>
      <c r="E21" s="135" t="s">
        <v>13208</v>
      </c>
      <c r="F21" s="136" t="s">
        <v>13181</v>
      </c>
      <c r="G21" s="137" t="s">
        <v>13182</v>
      </c>
      <c r="H21" s="138">
        <v>2</v>
      </c>
      <c r="I21" s="132"/>
      <c r="J21" s="132"/>
      <c r="K21" s="132"/>
      <c r="L21" s="139"/>
      <c r="M21" s="140"/>
      <c r="N21" s="141"/>
      <c r="O21" s="141"/>
      <c r="P21" s="142"/>
      <c r="Q21" s="141"/>
      <c r="R21" s="141"/>
      <c r="S21" s="143"/>
      <c r="T21" s="141"/>
      <c r="U21" s="152"/>
      <c r="V21" s="153">
        <v>2</v>
      </c>
      <c r="W21" s="154"/>
      <c r="X21" s="155"/>
      <c r="Y21" s="146">
        <v>2</v>
      </c>
      <c r="Z21" s="156"/>
      <c r="AA21" s="157"/>
      <c r="AB21" s="157"/>
      <c r="AC21" s="158"/>
      <c r="AD21" s="159" t="s">
        <v>13183</v>
      </c>
      <c r="AE21" s="117"/>
      <c r="AF21" s="117"/>
      <c r="AG21" s="117"/>
      <c r="AH21" s="117"/>
      <c r="AI21" s="117"/>
      <c r="AJ21" s="117"/>
      <c r="AK21" s="117"/>
      <c r="AL21" s="117"/>
      <c r="AM21" s="117"/>
      <c r="AN21" s="117"/>
      <c r="AO21" s="117"/>
      <c r="AP21" s="117"/>
      <c r="AQ21" s="117"/>
      <c r="AR21" s="117"/>
      <c r="AS21" s="117"/>
      <c r="AT21" s="117"/>
      <c r="AU21" s="117"/>
      <c r="AV21" s="117"/>
      <c r="AW21" s="117"/>
      <c r="AX21" s="117"/>
      <c r="AY21" s="117"/>
      <c r="AZ21" s="117"/>
      <c r="BA21" s="117"/>
      <c r="BB21" s="117"/>
      <c r="BC21" s="117"/>
      <c r="BD21" s="117"/>
      <c r="BE21" s="118"/>
      <c r="BF21" s="118"/>
      <c r="BG21" s="118"/>
      <c r="BH21" s="119"/>
      <c r="BI21" s="150"/>
      <c r="BJ21" s="121"/>
      <c r="BK21" s="121"/>
      <c r="BL21" s="122"/>
      <c r="BM21" s="122"/>
      <c r="BN21" s="122">
        <v>1</v>
      </c>
      <c r="BO21" s="122"/>
      <c r="BP21" s="122">
        <v>1</v>
      </c>
      <c r="BQ21" s="122"/>
      <c r="BR21" s="122"/>
      <c r="BS21" s="122"/>
      <c r="BT21" s="122"/>
      <c r="BU21" s="122"/>
      <c r="BV21" s="123"/>
      <c r="BW21" s="123"/>
      <c r="BX21" s="123"/>
      <c r="BY21" s="123"/>
      <c r="BZ21" s="123"/>
      <c r="CA21" s="123"/>
      <c r="CB21" s="123"/>
      <c r="CC21" s="123"/>
      <c r="CD21" s="123"/>
      <c r="CE21" s="123"/>
      <c r="CF21" s="123"/>
      <c r="CG21" s="123"/>
      <c r="CH21" s="123"/>
      <c r="CI21" s="122"/>
      <c r="CJ21" s="122"/>
      <c r="CK21" s="122"/>
      <c r="CL21" s="122"/>
      <c r="CM21" s="122"/>
      <c r="CN21" s="124"/>
      <c r="CO21" s="125"/>
      <c r="CP21" s="126"/>
      <c r="CQ21" s="126"/>
      <c r="CR21" s="126"/>
      <c r="CS21" s="126"/>
      <c r="CT21" s="127"/>
      <c r="CU21" s="128"/>
      <c r="CV21" s="123"/>
      <c r="CW21" s="129"/>
      <c r="CX21" s="132"/>
      <c r="CY21" s="132"/>
      <c r="CZ21" s="132"/>
      <c r="DA21" s="132"/>
      <c r="DB21" s="132"/>
      <c r="DC21" s="132"/>
      <c r="DD21" s="132"/>
      <c r="DE21" s="103"/>
      <c r="DF21" s="103"/>
      <c r="DG21" s="103"/>
      <c r="DH21" s="103"/>
      <c r="DI21" s="103"/>
      <c r="DJ21" s="103"/>
      <c r="DK21" s="130"/>
      <c r="DL21" s="130"/>
      <c r="DM21" s="130"/>
      <c r="DN21" s="132"/>
      <c r="DO21" s="132"/>
    </row>
    <row r="22" s="20" customFormat="1" ht="41.1" customHeight="1" spans="1:119">
      <c r="A22" s="131">
        <v>43313</v>
      </c>
      <c r="B22" s="132"/>
      <c r="C22" s="133">
        <v>4500012277</v>
      </c>
      <c r="D22" s="134"/>
      <c r="E22" s="135" t="s">
        <v>13209</v>
      </c>
      <c r="F22" s="136" t="s">
        <v>13210</v>
      </c>
      <c r="G22" s="137" t="s">
        <v>13182</v>
      </c>
      <c r="H22" s="138">
        <v>10</v>
      </c>
      <c r="I22" s="132"/>
      <c r="J22" s="132"/>
      <c r="K22" s="132"/>
      <c r="L22" s="139"/>
      <c r="M22" s="140"/>
      <c r="N22" s="141"/>
      <c r="O22" s="141"/>
      <c r="P22" s="142"/>
      <c r="Q22" s="141"/>
      <c r="R22" s="141"/>
      <c r="S22" s="143"/>
      <c r="T22" s="141"/>
      <c r="U22" s="152"/>
      <c r="V22" s="153">
        <v>10</v>
      </c>
      <c r="W22" s="154"/>
      <c r="X22" s="155"/>
      <c r="Y22" s="146">
        <v>10</v>
      </c>
      <c r="Z22" s="156"/>
      <c r="AA22" s="157"/>
      <c r="AB22" s="157"/>
      <c r="AC22" s="158"/>
      <c r="AD22" s="159" t="s">
        <v>13183</v>
      </c>
      <c r="AE22" s="117"/>
      <c r="AF22" s="117"/>
      <c r="AG22" s="117"/>
      <c r="AH22" s="117"/>
      <c r="AI22" s="117"/>
      <c r="AJ22" s="117"/>
      <c r="AK22" s="117"/>
      <c r="AL22" s="117"/>
      <c r="AM22" s="117"/>
      <c r="AN22" s="117"/>
      <c r="AO22" s="117"/>
      <c r="AP22" s="117"/>
      <c r="AQ22" s="117"/>
      <c r="AR22" s="117"/>
      <c r="AS22" s="117"/>
      <c r="AT22" s="117"/>
      <c r="AU22" s="117"/>
      <c r="AV22" s="117"/>
      <c r="AW22" s="117"/>
      <c r="AX22" s="117"/>
      <c r="AY22" s="117"/>
      <c r="AZ22" s="117"/>
      <c r="BA22" s="117"/>
      <c r="BB22" s="117"/>
      <c r="BC22" s="117"/>
      <c r="BD22" s="117"/>
      <c r="BE22" s="118"/>
      <c r="BF22" s="118"/>
      <c r="BG22" s="118"/>
      <c r="BH22" s="119"/>
      <c r="BI22" s="150"/>
      <c r="BJ22" s="121"/>
      <c r="BK22" s="121"/>
      <c r="BL22" s="122">
        <v>1</v>
      </c>
      <c r="BM22" s="122">
        <v>1</v>
      </c>
      <c r="BN22" s="122">
        <v>1</v>
      </c>
      <c r="BO22" s="122">
        <v>1</v>
      </c>
      <c r="BP22" s="122">
        <v>1</v>
      </c>
      <c r="BQ22" s="122">
        <v>1</v>
      </c>
      <c r="BR22" s="122">
        <v>1</v>
      </c>
      <c r="BS22" s="122">
        <v>1</v>
      </c>
      <c r="BT22" s="122">
        <v>1</v>
      </c>
      <c r="BU22" s="122">
        <v>1</v>
      </c>
      <c r="BV22" s="123"/>
      <c r="BW22" s="123"/>
      <c r="BX22" s="123"/>
      <c r="BY22" s="123"/>
      <c r="BZ22" s="123"/>
      <c r="CA22" s="123"/>
      <c r="CB22" s="123"/>
      <c r="CC22" s="123"/>
      <c r="CD22" s="123"/>
      <c r="CE22" s="123"/>
      <c r="CF22" s="123"/>
      <c r="CG22" s="123"/>
      <c r="CH22" s="123"/>
      <c r="CI22" s="122"/>
      <c r="CJ22" s="122"/>
      <c r="CK22" s="122"/>
      <c r="CL22" s="122"/>
      <c r="CM22" s="122"/>
      <c r="CN22" s="124"/>
      <c r="CO22" s="125"/>
      <c r="CP22" s="126"/>
      <c r="CQ22" s="126"/>
      <c r="CR22" s="126"/>
      <c r="CS22" s="126"/>
      <c r="CT22" s="127"/>
      <c r="CU22" s="128"/>
      <c r="CV22" s="123"/>
      <c r="CW22" s="129"/>
      <c r="CX22" s="132"/>
      <c r="CY22" s="132"/>
      <c r="CZ22" s="132"/>
      <c r="DA22" s="132"/>
      <c r="DB22" s="132"/>
      <c r="DC22" s="132"/>
      <c r="DD22" s="132"/>
      <c r="DE22" s="103"/>
      <c r="DF22" s="103"/>
      <c r="DG22" s="103"/>
      <c r="DH22" s="103"/>
      <c r="DI22" s="103"/>
      <c r="DJ22" s="103"/>
      <c r="DK22" s="130"/>
      <c r="DL22" s="130"/>
      <c r="DM22" s="130"/>
      <c r="DN22" s="132"/>
      <c r="DO22" s="132"/>
    </row>
    <row r="23" s="20" customFormat="1" ht="41.1" customHeight="1" spans="1:119">
      <c r="A23" s="131">
        <v>43316</v>
      </c>
      <c r="B23" s="132"/>
      <c r="C23" s="133">
        <v>4500009878</v>
      </c>
      <c r="D23" s="134"/>
      <c r="E23" s="135" t="s">
        <v>13211</v>
      </c>
      <c r="F23" s="136" t="s">
        <v>13181</v>
      </c>
      <c r="G23" s="137" t="s">
        <v>13182</v>
      </c>
      <c r="H23" s="138">
        <v>2</v>
      </c>
      <c r="I23" s="132"/>
      <c r="J23" s="132"/>
      <c r="K23" s="132"/>
      <c r="L23" s="139"/>
      <c r="M23" s="140"/>
      <c r="N23" s="141"/>
      <c r="O23" s="141"/>
      <c r="P23" s="142"/>
      <c r="Q23" s="141"/>
      <c r="R23" s="141"/>
      <c r="S23" s="143"/>
      <c r="T23" s="141"/>
      <c r="U23" s="152"/>
      <c r="V23" s="153">
        <v>2</v>
      </c>
      <c r="W23" s="154"/>
      <c r="X23" s="155"/>
      <c r="Y23" s="146">
        <v>2</v>
      </c>
      <c r="Z23" s="156"/>
      <c r="AA23" s="157"/>
      <c r="AB23" s="157"/>
      <c r="AC23" s="158"/>
      <c r="AD23" s="159" t="s">
        <v>13183</v>
      </c>
      <c r="AE23" s="117"/>
      <c r="AF23" s="117"/>
      <c r="AG23" s="117"/>
      <c r="AH23" s="117"/>
      <c r="AI23" s="117"/>
      <c r="AJ23" s="117"/>
      <c r="AK23" s="117"/>
      <c r="AL23" s="117"/>
      <c r="AM23" s="117"/>
      <c r="AN23" s="117"/>
      <c r="AO23" s="117"/>
      <c r="AP23" s="117"/>
      <c r="AQ23" s="117"/>
      <c r="AR23" s="117"/>
      <c r="AS23" s="117"/>
      <c r="AT23" s="117"/>
      <c r="AU23" s="117"/>
      <c r="AV23" s="117"/>
      <c r="AW23" s="117"/>
      <c r="AX23" s="117"/>
      <c r="AY23" s="117"/>
      <c r="AZ23" s="117"/>
      <c r="BA23" s="117"/>
      <c r="BB23" s="117"/>
      <c r="BC23" s="117"/>
      <c r="BD23" s="117"/>
      <c r="BE23" s="118"/>
      <c r="BF23" s="118"/>
      <c r="BG23" s="118"/>
      <c r="BH23" s="119"/>
      <c r="BI23" s="150"/>
      <c r="BJ23" s="121"/>
      <c r="BK23" s="121"/>
      <c r="BL23" s="122"/>
      <c r="BM23" s="122"/>
      <c r="BN23" s="122"/>
      <c r="BO23" s="122"/>
      <c r="BP23" s="122"/>
      <c r="BQ23" s="122"/>
      <c r="BR23" s="122"/>
      <c r="BS23" s="122"/>
      <c r="BT23" s="122"/>
      <c r="BU23" s="122"/>
      <c r="BV23" s="123"/>
      <c r="BW23" s="123"/>
      <c r="BX23" s="123"/>
      <c r="BY23" s="123"/>
      <c r="BZ23" s="123"/>
      <c r="CA23" s="123"/>
      <c r="CB23" s="123"/>
      <c r="CC23" s="123"/>
      <c r="CD23" s="123"/>
      <c r="CE23" s="123"/>
      <c r="CF23" s="123"/>
      <c r="CG23" s="123"/>
      <c r="CH23" s="123"/>
      <c r="CI23" s="122"/>
      <c r="CJ23" s="122"/>
      <c r="CK23" s="122"/>
      <c r="CL23" s="122"/>
      <c r="CM23" s="122"/>
      <c r="CN23" s="124"/>
      <c r="CO23" s="125"/>
      <c r="CP23" s="126"/>
      <c r="CQ23" s="126"/>
      <c r="CR23" s="126"/>
      <c r="CS23" s="126"/>
      <c r="CT23" s="127"/>
      <c r="CU23" s="128"/>
      <c r="CV23" s="123"/>
      <c r="CW23" s="129"/>
      <c r="CX23" s="132"/>
      <c r="CY23" s="132"/>
      <c r="CZ23" s="132"/>
      <c r="DA23" s="132"/>
      <c r="DB23" s="132"/>
      <c r="DC23" s="132"/>
      <c r="DD23" s="132"/>
      <c r="DE23" s="103"/>
      <c r="DF23" s="103"/>
      <c r="DG23" s="103"/>
      <c r="DH23" s="103"/>
      <c r="DI23" s="103"/>
      <c r="DJ23" s="103"/>
      <c r="DK23" s="130"/>
      <c r="DL23" s="130"/>
      <c r="DM23" s="130"/>
      <c r="DN23" s="132"/>
      <c r="DO23" s="132"/>
    </row>
    <row r="24" s="20" customFormat="1" ht="41.1" customHeight="1" spans="1:119">
      <c r="A24" s="131">
        <v>43318</v>
      </c>
      <c r="B24" s="132"/>
      <c r="C24" s="133">
        <v>4500012769</v>
      </c>
      <c r="D24" s="134"/>
      <c r="E24" s="135" t="s">
        <v>13212</v>
      </c>
      <c r="F24" s="136" t="s">
        <v>13181</v>
      </c>
      <c r="G24" s="137" t="s">
        <v>13182</v>
      </c>
      <c r="H24" s="138">
        <v>2</v>
      </c>
      <c r="I24" s="132"/>
      <c r="J24" s="132"/>
      <c r="K24" s="132"/>
      <c r="L24" s="139"/>
      <c r="M24" s="140"/>
      <c r="N24" s="141"/>
      <c r="O24" s="141"/>
      <c r="P24" s="142"/>
      <c r="Q24" s="141"/>
      <c r="R24" s="141"/>
      <c r="S24" s="143"/>
      <c r="T24" s="141"/>
      <c r="U24" s="152"/>
      <c r="V24" s="153"/>
      <c r="W24" s="154"/>
      <c r="X24" s="155"/>
      <c r="Y24" s="146"/>
      <c r="Z24" s="156"/>
      <c r="AA24" s="157"/>
      <c r="AB24" s="157"/>
      <c r="AC24" s="158"/>
      <c r="AD24" s="159" t="s">
        <v>13183</v>
      </c>
      <c r="AE24" s="117"/>
      <c r="AF24" s="117"/>
      <c r="AG24" s="117"/>
      <c r="AH24" s="117"/>
      <c r="AI24" s="117"/>
      <c r="AJ24" s="117"/>
      <c r="AK24" s="117"/>
      <c r="AL24" s="117"/>
      <c r="AM24" s="117"/>
      <c r="AN24" s="117"/>
      <c r="AO24" s="117"/>
      <c r="AP24" s="117"/>
      <c r="AQ24" s="117"/>
      <c r="AR24" s="117"/>
      <c r="AS24" s="117"/>
      <c r="AT24" s="117"/>
      <c r="AU24" s="117"/>
      <c r="AV24" s="117"/>
      <c r="AW24" s="117"/>
      <c r="AX24" s="117"/>
      <c r="AY24" s="117"/>
      <c r="AZ24" s="117"/>
      <c r="BA24" s="117"/>
      <c r="BB24" s="117"/>
      <c r="BC24" s="117"/>
      <c r="BD24" s="117"/>
      <c r="BE24" s="118"/>
      <c r="BF24" s="118"/>
      <c r="BG24" s="118"/>
      <c r="BH24" s="119"/>
      <c r="BI24" s="150"/>
      <c r="BJ24" s="121"/>
      <c r="BK24" s="121"/>
      <c r="BL24" s="122"/>
      <c r="BM24" s="122"/>
      <c r="BN24" s="122"/>
      <c r="BO24" s="122"/>
      <c r="BP24" s="122"/>
      <c r="BQ24" s="122"/>
      <c r="BR24" s="122"/>
      <c r="BS24" s="122"/>
      <c r="BT24" s="122">
        <v>2</v>
      </c>
      <c r="BU24" s="122"/>
      <c r="BV24" s="123"/>
      <c r="BW24" s="123"/>
      <c r="BX24" s="123"/>
      <c r="BY24" s="123"/>
      <c r="BZ24" s="123"/>
      <c r="CA24" s="123"/>
      <c r="CB24" s="123"/>
      <c r="CC24" s="123"/>
      <c r="CD24" s="123"/>
      <c r="CE24" s="123"/>
      <c r="CF24" s="123"/>
      <c r="CG24" s="123"/>
      <c r="CH24" s="123"/>
      <c r="CI24" s="122"/>
      <c r="CJ24" s="122"/>
      <c r="CK24" s="122"/>
      <c r="CL24" s="122"/>
      <c r="CM24" s="122"/>
      <c r="CN24" s="124"/>
      <c r="CO24" s="125"/>
      <c r="CP24" s="126"/>
      <c r="CQ24" s="126"/>
      <c r="CR24" s="126"/>
      <c r="CS24" s="126"/>
      <c r="CT24" s="127"/>
      <c r="CU24" s="128"/>
      <c r="CV24" s="123"/>
      <c r="CW24" s="129"/>
      <c r="CX24" s="132"/>
      <c r="CY24" s="132"/>
      <c r="CZ24" s="132"/>
      <c r="DA24" s="132"/>
      <c r="DB24" s="132"/>
      <c r="DC24" s="132"/>
      <c r="DD24" s="132"/>
      <c r="DE24" s="103"/>
      <c r="DF24" s="103"/>
      <c r="DG24" s="103"/>
      <c r="DH24" s="103"/>
      <c r="DI24" s="103"/>
      <c r="DJ24" s="103"/>
      <c r="DK24" s="130"/>
      <c r="DL24" s="130"/>
      <c r="DM24" s="130"/>
      <c r="DN24" s="132"/>
      <c r="DO24" s="132"/>
    </row>
    <row r="25" s="20" customFormat="1" ht="41.1" customHeight="1" spans="1:119">
      <c r="A25" s="131">
        <v>43321</v>
      </c>
      <c r="B25" s="132"/>
      <c r="C25" s="133">
        <v>4500012192</v>
      </c>
      <c r="D25" s="161" t="s">
        <v>13187</v>
      </c>
      <c r="E25" s="100" t="s">
        <v>13213</v>
      </c>
      <c r="F25" s="136" t="s">
        <v>13181</v>
      </c>
      <c r="G25" s="137" t="s">
        <v>13182</v>
      </c>
      <c r="H25" s="138">
        <v>25</v>
      </c>
      <c r="I25" s="132"/>
      <c r="J25" s="132"/>
      <c r="K25" s="132"/>
      <c r="L25" s="139"/>
      <c r="M25" s="140"/>
      <c r="N25" s="141"/>
      <c r="O25" s="141"/>
      <c r="P25" s="142"/>
      <c r="Q25" s="141"/>
      <c r="R25" s="141"/>
      <c r="S25" s="143"/>
      <c r="T25" s="141"/>
      <c r="U25" s="152"/>
      <c r="V25" s="153"/>
      <c r="W25" s="154"/>
      <c r="X25" s="155">
        <v>25</v>
      </c>
      <c r="Y25" s="146"/>
      <c r="Z25" s="156"/>
      <c r="AA25" s="157"/>
      <c r="AB25" s="157"/>
      <c r="AC25" s="158">
        <v>25</v>
      </c>
      <c r="AD25" s="159" t="s">
        <v>13214</v>
      </c>
      <c r="AE25" s="117"/>
      <c r="AF25" s="117"/>
      <c r="AG25" s="117"/>
      <c r="AH25" s="117"/>
      <c r="AI25" s="117"/>
      <c r="AJ25" s="117"/>
      <c r="AK25" s="117"/>
      <c r="AL25" s="117"/>
      <c r="AM25" s="117"/>
      <c r="AN25" s="117"/>
      <c r="AO25" s="117"/>
      <c r="AP25" s="117"/>
      <c r="AQ25" s="117"/>
      <c r="AR25" s="117"/>
      <c r="AS25" s="117"/>
      <c r="AT25" s="117"/>
      <c r="AU25" s="117"/>
      <c r="AV25" s="117"/>
      <c r="AW25" s="117"/>
      <c r="AX25" s="117"/>
      <c r="AY25" s="117"/>
      <c r="AZ25" s="117"/>
      <c r="BA25" s="117"/>
      <c r="BB25" s="117"/>
      <c r="BC25" s="117"/>
      <c r="BD25" s="117"/>
      <c r="BE25" s="118"/>
      <c r="BF25" s="118"/>
      <c r="BG25" s="118"/>
      <c r="BH25" s="119"/>
      <c r="BI25" s="150"/>
      <c r="BJ25" s="121">
        <v>2</v>
      </c>
      <c r="BK25" s="121">
        <v>2</v>
      </c>
      <c r="BL25" s="122">
        <v>2</v>
      </c>
      <c r="BM25" s="122">
        <v>2</v>
      </c>
      <c r="BN25" s="122">
        <v>2</v>
      </c>
      <c r="BO25" s="122">
        <v>2</v>
      </c>
      <c r="BP25" s="122">
        <v>3</v>
      </c>
      <c r="BQ25" s="122">
        <v>2</v>
      </c>
      <c r="BR25" s="122">
        <v>2</v>
      </c>
      <c r="BS25" s="122">
        <v>2</v>
      </c>
      <c r="BT25" s="122">
        <v>2</v>
      </c>
      <c r="BU25" s="122">
        <v>2</v>
      </c>
      <c r="BV25" s="123"/>
      <c r="BW25" s="123"/>
      <c r="BX25" s="123"/>
      <c r="BY25" s="123"/>
      <c r="BZ25" s="123"/>
      <c r="CA25" s="123"/>
      <c r="CB25" s="123"/>
      <c r="CC25" s="123"/>
      <c r="CD25" s="123"/>
      <c r="CE25" s="123"/>
      <c r="CF25" s="123"/>
      <c r="CG25" s="123"/>
      <c r="CH25" s="123"/>
      <c r="CI25" s="122"/>
      <c r="CJ25" s="122"/>
      <c r="CK25" s="122"/>
      <c r="CL25" s="122"/>
      <c r="CM25" s="122"/>
      <c r="CN25" s="124"/>
      <c r="CO25" s="125"/>
      <c r="CP25" s="126"/>
      <c r="CQ25" s="126"/>
      <c r="CR25" s="126"/>
      <c r="CS25" s="126"/>
      <c r="CT25" s="127"/>
      <c r="CU25" s="128"/>
      <c r="CV25" s="123"/>
      <c r="CW25" s="129"/>
      <c r="CX25" s="132"/>
      <c r="CY25" s="132"/>
      <c r="CZ25" s="132"/>
      <c r="DA25" s="132"/>
      <c r="DB25" s="132"/>
      <c r="DC25" s="132"/>
      <c r="DD25" s="132"/>
      <c r="DE25" s="103"/>
      <c r="DF25" s="103"/>
      <c r="DG25" s="103"/>
      <c r="DH25" s="103"/>
      <c r="DI25" s="103"/>
      <c r="DJ25" s="103"/>
      <c r="DK25" s="130"/>
      <c r="DL25" s="130"/>
      <c r="DM25" s="130"/>
      <c r="DN25" s="132"/>
      <c r="DO25" s="132"/>
    </row>
    <row r="26" s="20" customFormat="1" ht="41.1" customHeight="1" spans="1:119">
      <c r="A26" s="131">
        <v>43323</v>
      </c>
      <c r="B26" s="132"/>
      <c r="C26" s="133">
        <v>4500012835</v>
      </c>
      <c r="D26" s="161" t="s">
        <v>13199</v>
      </c>
      <c r="E26" s="100" t="s">
        <v>13215</v>
      </c>
      <c r="F26" s="136" t="s">
        <v>13181</v>
      </c>
      <c r="G26" s="137" t="s">
        <v>13182</v>
      </c>
      <c r="H26" s="138">
        <v>18</v>
      </c>
      <c r="I26" s="132"/>
      <c r="J26" s="132"/>
      <c r="K26" s="132"/>
      <c r="L26" s="139"/>
      <c r="M26" s="140"/>
      <c r="N26" s="141"/>
      <c r="O26" s="141"/>
      <c r="P26" s="142"/>
      <c r="Q26" s="141"/>
      <c r="R26" s="141"/>
      <c r="S26" s="143"/>
      <c r="T26" s="141"/>
      <c r="U26" s="152"/>
      <c r="V26" s="153">
        <v>18</v>
      </c>
      <c r="W26" s="154"/>
      <c r="X26" s="155"/>
      <c r="Y26" s="146">
        <v>18</v>
      </c>
      <c r="Z26" s="156"/>
      <c r="AA26" s="157"/>
      <c r="AB26" s="157"/>
      <c r="AC26" s="158"/>
      <c r="AD26" s="159" t="s">
        <v>13183</v>
      </c>
      <c r="AE26" s="117"/>
      <c r="AF26" s="117"/>
      <c r="AG26" s="117"/>
      <c r="AH26" s="117"/>
      <c r="AI26" s="117"/>
      <c r="AJ26" s="117"/>
      <c r="AK26" s="117"/>
      <c r="AL26" s="117"/>
      <c r="AM26" s="117"/>
      <c r="AN26" s="117"/>
      <c r="AO26" s="117"/>
      <c r="AP26" s="117"/>
      <c r="AQ26" s="117"/>
      <c r="AR26" s="117"/>
      <c r="AS26" s="117"/>
      <c r="AT26" s="117"/>
      <c r="AU26" s="117"/>
      <c r="AV26" s="117"/>
      <c r="AW26" s="117"/>
      <c r="AX26" s="117"/>
      <c r="AY26" s="117"/>
      <c r="AZ26" s="117"/>
      <c r="BA26" s="117"/>
      <c r="BB26" s="117"/>
      <c r="BC26" s="117"/>
      <c r="BD26" s="117"/>
      <c r="BE26" s="118"/>
      <c r="BF26" s="118"/>
      <c r="BG26" s="118"/>
      <c r="BH26" s="119"/>
      <c r="BI26" s="150"/>
      <c r="BJ26" s="121">
        <v>3</v>
      </c>
      <c r="BK26" s="121"/>
      <c r="BL26" s="122">
        <v>3</v>
      </c>
      <c r="BM26" s="122"/>
      <c r="BN26" s="122">
        <v>3</v>
      </c>
      <c r="BO26" s="122"/>
      <c r="BP26" s="122">
        <v>3</v>
      </c>
      <c r="BQ26" s="122"/>
      <c r="BR26" s="122">
        <v>3</v>
      </c>
      <c r="BS26" s="122"/>
      <c r="BT26" s="122">
        <v>3</v>
      </c>
      <c r="BU26" s="122"/>
      <c r="BV26" s="123"/>
      <c r="BW26" s="123"/>
      <c r="BX26" s="123"/>
      <c r="BY26" s="123"/>
      <c r="BZ26" s="123"/>
      <c r="CA26" s="123"/>
      <c r="CB26" s="123"/>
      <c r="CC26" s="123"/>
      <c r="CD26" s="123"/>
      <c r="CE26" s="123"/>
      <c r="CF26" s="123"/>
      <c r="CG26" s="123"/>
      <c r="CH26" s="123"/>
      <c r="CI26" s="122"/>
      <c r="CJ26" s="122"/>
      <c r="CK26" s="122"/>
      <c r="CL26" s="122"/>
      <c r="CM26" s="122"/>
      <c r="CN26" s="124"/>
      <c r="CO26" s="125"/>
      <c r="CP26" s="126"/>
      <c r="CQ26" s="126"/>
      <c r="CR26" s="126"/>
      <c r="CS26" s="126"/>
      <c r="CT26" s="127"/>
      <c r="CU26" s="128"/>
      <c r="CV26" s="123"/>
      <c r="CW26" s="129"/>
      <c r="CX26" s="132"/>
      <c r="CY26" s="132"/>
      <c r="CZ26" s="132"/>
      <c r="DA26" s="132"/>
      <c r="DB26" s="132"/>
      <c r="DC26" s="132"/>
      <c r="DD26" s="132"/>
      <c r="DE26" s="103"/>
      <c r="DF26" s="103"/>
      <c r="DG26" s="103"/>
      <c r="DH26" s="103"/>
      <c r="DI26" s="103"/>
      <c r="DJ26" s="103"/>
      <c r="DK26" s="130"/>
      <c r="DL26" s="130"/>
      <c r="DM26" s="130"/>
      <c r="DN26" s="132"/>
      <c r="DO26" s="132"/>
    </row>
    <row r="27" s="20" customFormat="1" ht="41.1" customHeight="1" spans="1:119">
      <c r="A27" s="131">
        <v>43332</v>
      </c>
      <c r="B27" s="132"/>
      <c r="C27" s="133">
        <v>4500010580</v>
      </c>
      <c r="D27" s="161" t="s">
        <v>13216</v>
      </c>
      <c r="E27" s="100" t="s">
        <v>13217</v>
      </c>
      <c r="F27" s="136" t="s">
        <v>13181</v>
      </c>
      <c r="G27" s="137" t="s">
        <v>13182</v>
      </c>
      <c r="H27" s="138">
        <v>12</v>
      </c>
      <c r="I27" s="132"/>
      <c r="J27" s="132"/>
      <c r="K27" s="132"/>
      <c r="L27" s="139"/>
      <c r="M27" s="140"/>
      <c r="N27" s="141"/>
      <c r="O27" s="141"/>
      <c r="P27" s="142"/>
      <c r="Q27" s="141"/>
      <c r="R27" s="141"/>
      <c r="S27" s="143"/>
      <c r="T27" s="141"/>
      <c r="U27" s="152"/>
      <c r="V27" s="153"/>
      <c r="W27" s="154"/>
      <c r="X27" s="155">
        <v>12</v>
      </c>
      <c r="Y27" s="146">
        <v>12</v>
      </c>
      <c r="Z27" s="156"/>
      <c r="AA27" s="157"/>
      <c r="AB27" s="157"/>
      <c r="AC27" s="158"/>
      <c r="AD27" s="159" t="s">
        <v>13218</v>
      </c>
      <c r="AE27" s="117"/>
      <c r="AF27" s="117"/>
      <c r="AG27" s="117"/>
      <c r="AH27" s="117"/>
      <c r="AI27" s="117"/>
      <c r="AJ27" s="117"/>
      <c r="AK27" s="117"/>
      <c r="AL27" s="117"/>
      <c r="AM27" s="117"/>
      <c r="AN27" s="117"/>
      <c r="AO27" s="117"/>
      <c r="AP27" s="117"/>
      <c r="AQ27" s="117"/>
      <c r="AR27" s="117"/>
      <c r="AS27" s="117"/>
      <c r="AT27" s="117"/>
      <c r="AU27" s="117"/>
      <c r="AV27" s="117"/>
      <c r="AW27" s="117"/>
      <c r="AX27" s="117"/>
      <c r="AY27" s="117"/>
      <c r="AZ27" s="117"/>
      <c r="BA27" s="117"/>
      <c r="BB27" s="117"/>
      <c r="BC27" s="117"/>
      <c r="BD27" s="117"/>
      <c r="BE27" s="118"/>
      <c r="BF27" s="118"/>
      <c r="BG27" s="118"/>
      <c r="BH27" s="119"/>
      <c r="BI27" s="150"/>
      <c r="BJ27" s="121">
        <v>2</v>
      </c>
      <c r="BK27" s="121">
        <v>2</v>
      </c>
      <c r="BL27" s="122">
        <v>2</v>
      </c>
      <c r="BM27" s="122">
        <v>2</v>
      </c>
      <c r="BN27" s="122">
        <v>2</v>
      </c>
      <c r="BO27" s="122">
        <v>2</v>
      </c>
      <c r="BP27" s="122">
        <v>3</v>
      </c>
      <c r="BQ27" s="122">
        <v>2</v>
      </c>
      <c r="BR27" s="122">
        <v>2</v>
      </c>
      <c r="BS27" s="122">
        <v>2</v>
      </c>
      <c r="BT27" s="122">
        <v>2</v>
      </c>
      <c r="BU27" s="122">
        <v>2</v>
      </c>
      <c r="BV27" s="123"/>
      <c r="BW27" s="123"/>
      <c r="BX27" s="123"/>
      <c r="BY27" s="123"/>
      <c r="BZ27" s="123"/>
      <c r="CA27" s="123"/>
      <c r="CB27" s="123"/>
      <c r="CC27" s="123"/>
      <c r="CD27" s="123"/>
      <c r="CE27" s="123"/>
      <c r="CF27" s="123"/>
      <c r="CG27" s="123"/>
      <c r="CH27" s="123"/>
      <c r="CI27" s="122"/>
      <c r="CJ27" s="122"/>
      <c r="CK27" s="122"/>
      <c r="CL27" s="122"/>
      <c r="CM27" s="122"/>
      <c r="CN27" s="124"/>
      <c r="CO27" s="125"/>
      <c r="CP27" s="126"/>
      <c r="CQ27" s="126"/>
      <c r="CR27" s="126"/>
      <c r="CS27" s="126"/>
      <c r="CT27" s="127"/>
      <c r="CU27" s="128"/>
      <c r="CV27" s="123"/>
      <c r="CW27" s="129"/>
      <c r="CX27" s="132"/>
      <c r="CY27" s="132"/>
      <c r="CZ27" s="132"/>
      <c r="DA27" s="132"/>
      <c r="DB27" s="132"/>
      <c r="DC27" s="132"/>
      <c r="DD27" s="132"/>
      <c r="DE27" s="103"/>
      <c r="DF27" s="103"/>
      <c r="DG27" s="103"/>
      <c r="DH27" s="103"/>
      <c r="DI27" s="103"/>
      <c r="DJ27" s="103"/>
      <c r="DK27" s="130"/>
      <c r="DL27" s="130"/>
      <c r="DM27" s="130"/>
      <c r="DN27" s="132"/>
      <c r="DO27" s="132"/>
    </row>
    <row r="28" s="20" customFormat="1" ht="41.1" customHeight="1" spans="1:119">
      <c r="A28" s="131">
        <v>43332</v>
      </c>
      <c r="B28" s="132"/>
      <c r="C28" s="133">
        <v>4500011417</v>
      </c>
      <c r="D28" s="161" t="s">
        <v>13216</v>
      </c>
      <c r="E28" s="100" t="s">
        <v>2697</v>
      </c>
      <c r="F28" s="136" t="s">
        <v>13181</v>
      </c>
      <c r="G28" s="137" t="s">
        <v>13182</v>
      </c>
      <c r="H28" s="138">
        <v>12</v>
      </c>
      <c r="I28" s="132"/>
      <c r="J28" s="132"/>
      <c r="K28" s="132"/>
      <c r="L28" s="139"/>
      <c r="M28" s="140"/>
      <c r="N28" s="141"/>
      <c r="O28" s="141"/>
      <c r="P28" s="142"/>
      <c r="Q28" s="141"/>
      <c r="R28" s="141"/>
      <c r="S28" s="143"/>
      <c r="T28" s="141"/>
      <c r="U28" s="152"/>
      <c r="V28" s="153"/>
      <c r="W28" s="154"/>
      <c r="X28" s="155">
        <v>12</v>
      </c>
      <c r="Y28" s="146">
        <v>12</v>
      </c>
      <c r="Z28" s="156"/>
      <c r="AA28" s="157"/>
      <c r="AB28" s="157"/>
      <c r="AC28" s="158"/>
      <c r="AD28" s="159" t="s">
        <v>13219</v>
      </c>
      <c r="AE28" s="117"/>
      <c r="AF28" s="117"/>
      <c r="AG28" s="117"/>
      <c r="AH28" s="117"/>
      <c r="AI28" s="117"/>
      <c r="AJ28" s="117"/>
      <c r="AK28" s="117"/>
      <c r="AL28" s="117"/>
      <c r="AM28" s="117"/>
      <c r="AN28" s="117"/>
      <c r="AO28" s="117"/>
      <c r="AP28" s="117"/>
      <c r="AQ28" s="117"/>
      <c r="AR28" s="117"/>
      <c r="AS28" s="117"/>
      <c r="AT28" s="117"/>
      <c r="AU28" s="117"/>
      <c r="AV28" s="117"/>
      <c r="AW28" s="117"/>
      <c r="AX28" s="117"/>
      <c r="AY28" s="117"/>
      <c r="AZ28" s="117"/>
      <c r="BA28" s="117"/>
      <c r="BB28" s="117"/>
      <c r="BC28" s="117"/>
      <c r="BD28" s="117"/>
      <c r="BE28" s="118"/>
      <c r="BF28" s="118"/>
      <c r="BG28" s="118"/>
      <c r="BH28" s="119"/>
      <c r="BI28" s="150"/>
      <c r="BJ28" s="121">
        <v>2</v>
      </c>
      <c r="BK28" s="121">
        <v>2</v>
      </c>
      <c r="BL28" s="122">
        <v>2</v>
      </c>
      <c r="BM28" s="122">
        <v>2</v>
      </c>
      <c r="BN28" s="122">
        <v>2</v>
      </c>
      <c r="BO28" s="122">
        <v>2</v>
      </c>
      <c r="BP28" s="122">
        <v>3</v>
      </c>
      <c r="BQ28" s="122">
        <v>2</v>
      </c>
      <c r="BR28" s="122">
        <v>2</v>
      </c>
      <c r="BS28" s="122">
        <v>2</v>
      </c>
      <c r="BT28" s="122">
        <v>2</v>
      </c>
      <c r="BU28" s="122">
        <v>2</v>
      </c>
      <c r="BV28" s="123"/>
      <c r="BW28" s="123"/>
      <c r="BX28" s="123"/>
      <c r="BY28" s="123"/>
      <c r="BZ28" s="123"/>
      <c r="CA28" s="123"/>
      <c r="CB28" s="123"/>
      <c r="CC28" s="123"/>
      <c r="CD28" s="123"/>
      <c r="CE28" s="123"/>
      <c r="CF28" s="123"/>
      <c r="CG28" s="123"/>
      <c r="CH28" s="123"/>
      <c r="CI28" s="122"/>
      <c r="CJ28" s="122"/>
      <c r="CK28" s="122"/>
      <c r="CL28" s="122"/>
      <c r="CM28" s="122"/>
      <c r="CN28" s="124"/>
      <c r="CO28" s="125"/>
      <c r="CP28" s="126"/>
      <c r="CQ28" s="126"/>
      <c r="CR28" s="126"/>
      <c r="CS28" s="126"/>
      <c r="CT28" s="127"/>
      <c r="CU28" s="128"/>
      <c r="CV28" s="123"/>
      <c r="CW28" s="129"/>
      <c r="CX28" s="132"/>
      <c r="CY28" s="132"/>
      <c r="CZ28" s="132"/>
      <c r="DA28" s="132"/>
      <c r="DB28" s="132"/>
      <c r="DC28" s="132"/>
      <c r="DD28" s="132"/>
      <c r="DE28" s="103"/>
      <c r="DF28" s="103"/>
      <c r="DG28" s="103"/>
      <c r="DH28" s="103"/>
      <c r="DI28" s="103"/>
      <c r="DJ28" s="103"/>
      <c r="DK28" s="130"/>
      <c r="DL28" s="130"/>
      <c r="DM28" s="130"/>
      <c r="DN28" s="132"/>
      <c r="DO28" s="132"/>
    </row>
    <row r="29" s="20" customFormat="1" ht="41.1" customHeight="1" spans="1:119">
      <c r="A29" s="131">
        <v>43335</v>
      </c>
      <c r="B29" s="132"/>
      <c r="C29" s="133">
        <v>4500012306</v>
      </c>
      <c r="D29" s="161" t="s">
        <v>13220</v>
      </c>
      <c r="E29" s="100" t="s">
        <v>3138</v>
      </c>
      <c r="F29" s="136" t="s">
        <v>13181</v>
      </c>
      <c r="G29" s="137" t="s">
        <v>13182</v>
      </c>
      <c r="H29" s="138">
        <v>24</v>
      </c>
      <c r="I29" s="132"/>
      <c r="J29" s="132"/>
      <c r="K29" s="132"/>
      <c r="L29" s="139"/>
      <c r="M29" s="140"/>
      <c r="N29" s="141"/>
      <c r="O29" s="141"/>
      <c r="P29" s="142"/>
      <c r="Q29" s="141"/>
      <c r="R29" s="141"/>
      <c r="S29" s="143"/>
      <c r="T29" s="141"/>
      <c r="U29" s="152"/>
      <c r="V29" s="153"/>
      <c r="W29" s="154">
        <v>24</v>
      </c>
      <c r="X29" s="155"/>
      <c r="Y29" s="146"/>
      <c r="Z29" s="156"/>
      <c r="AA29" s="157">
        <v>24</v>
      </c>
      <c r="AB29" s="157"/>
      <c r="AC29" s="158"/>
      <c r="AD29" s="159" t="s">
        <v>13183</v>
      </c>
      <c r="AE29" s="117"/>
      <c r="AF29" s="117"/>
      <c r="AG29" s="117"/>
      <c r="AH29" s="117"/>
      <c r="AI29" s="117"/>
      <c r="AJ29" s="117"/>
      <c r="AK29" s="117"/>
      <c r="AL29" s="117"/>
      <c r="AM29" s="117"/>
      <c r="AN29" s="117"/>
      <c r="AO29" s="117"/>
      <c r="AP29" s="117"/>
      <c r="AQ29" s="117"/>
      <c r="AR29" s="117"/>
      <c r="AS29" s="117"/>
      <c r="AT29" s="117"/>
      <c r="AU29" s="117"/>
      <c r="AV29" s="117"/>
      <c r="AW29" s="117"/>
      <c r="AX29" s="117"/>
      <c r="AY29" s="117"/>
      <c r="AZ29" s="117"/>
      <c r="BA29" s="117"/>
      <c r="BB29" s="117"/>
      <c r="BC29" s="117"/>
      <c r="BD29" s="117"/>
      <c r="BE29" s="118"/>
      <c r="BF29" s="118"/>
      <c r="BG29" s="118"/>
      <c r="BH29" s="119"/>
      <c r="BI29" s="150"/>
      <c r="BJ29" s="121">
        <v>2</v>
      </c>
      <c r="BK29" s="121">
        <v>2</v>
      </c>
      <c r="BL29" s="122">
        <v>2</v>
      </c>
      <c r="BM29" s="122">
        <v>2</v>
      </c>
      <c r="BN29" s="122">
        <v>2</v>
      </c>
      <c r="BO29" s="122">
        <v>2</v>
      </c>
      <c r="BP29" s="122">
        <v>2</v>
      </c>
      <c r="BQ29" s="122">
        <v>2</v>
      </c>
      <c r="BR29" s="122">
        <v>2</v>
      </c>
      <c r="BS29" s="122">
        <v>2</v>
      </c>
      <c r="BT29" s="122">
        <v>2</v>
      </c>
      <c r="BU29" s="122">
        <v>2</v>
      </c>
      <c r="BV29" s="123"/>
      <c r="BW29" s="123"/>
      <c r="BX29" s="123"/>
      <c r="BY29" s="123"/>
      <c r="BZ29" s="123"/>
      <c r="CA29" s="123"/>
      <c r="CB29" s="123"/>
      <c r="CC29" s="123"/>
      <c r="CD29" s="123"/>
      <c r="CE29" s="123"/>
      <c r="CF29" s="123"/>
      <c r="CG29" s="123"/>
      <c r="CH29" s="123"/>
      <c r="CI29" s="122"/>
      <c r="CJ29" s="122"/>
      <c r="CK29" s="122"/>
      <c r="CL29" s="122"/>
      <c r="CM29" s="122"/>
      <c r="CN29" s="124"/>
      <c r="CO29" s="125"/>
      <c r="CP29" s="126"/>
      <c r="CQ29" s="126"/>
      <c r="CR29" s="126"/>
      <c r="CS29" s="126"/>
      <c r="CT29" s="127"/>
      <c r="CU29" s="128"/>
      <c r="CV29" s="123"/>
      <c r="CW29" s="129"/>
      <c r="CX29" s="132"/>
      <c r="CY29" s="132"/>
      <c r="CZ29" s="132"/>
      <c r="DA29" s="132"/>
      <c r="DB29" s="132"/>
      <c r="DC29" s="132"/>
      <c r="DD29" s="132"/>
      <c r="DE29" s="103"/>
      <c r="DF29" s="103"/>
      <c r="DG29" s="103"/>
      <c r="DH29" s="103"/>
      <c r="DI29" s="103"/>
      <c r="DJ29" s="103"/>
      <c r="DK29" s="130"/>
      <c r="DL29" s="130"/>
      <c r="DM29" s="130"/>
      <c r="DN29" s="132"/>
      <c r="DO29" s="132"/>
    </row>
    <row r="30" s="20" customFormat="1" ht="41.1" customHeight="1" spans="1:119">
      <c r="A30" s="131">
        <v>43336</v>
      </c>
      <c r="B30" s="132"/>
      <c r="C30" s="133">
        <v>4500009673</v>
      </c>
      <c r="D30" s="161" t="s">
        <v>13221</v>
      </c>
      <c r="E30" s="100" t="s">
        <v>3657</v>
      </c>
      <c r="F30" s="136" t="s">
        <v>13222</v>
      </c>
      <c r="G30" s="137" t="s">
        <v>13182</v>
      </c>
      <c r="H30" s="138">
        <v>10</v>
      </c>
      <c r="I30" s="132"/>
      <c r="J30" s="132"/>
      <c r="K30" s="132"/>
      <c r="L30" s="139"/>
      <c r="M30" s="140"/>
      <c r="N30" s="141"/>
      <c r="O30" s="141"/>
      <c r="P30" s="142"/>
      <c r="Q30" s="141"/>
      <c r="R30" s="141"/>
      <c r="S30" s="143"/>
      <c r="T30" s="141"/>
      <c r="U30" s="152"/>
      <c r="V30" s="153">
        <v>10</v>
      </c>
      <c r="W30" s="154"/>
      <c r="X30" s="155"/>
      <c r="Y30" s="146">
        <v>10</v>
      </c>
      <c r="Z30" s="156"/>
      <c r="AA30" s="157"/>
      <c r="AB30" s="157"/>
      <c r="AC30" s="158"/>
      <c r="AD30" s="159" t="s">
        <v>13183</v>
      </c>
      <c r="AE30" s="117"/>
      <c r="AF30" s="117"/>
      <c r="AG30" s="117"/>
      <c r="AH30" s="117"/>
      <c r="AI30" s="117"/>
      <c r="AJ30" s="117"/>
      <c r="AK30" s="117"/>
      <c r="AL30" s="117"/>
      <c r="AM30" s="117"/>
      <c r="AN30" s="117"/>
      <c r="AO30" s="117"/>
      <c r="AP30" s="117"/>
      <c r="AQ30" s="117"/>
      <c r="AR30" s="117"/>
      <c r="AS30" s="117"/>
      <c r="AT30" s="117"/>
      <c r="AU30" s="117"/>
      <c r="AV30" s="117"/>
      <c r="AW30" s="117"/>
      <c r="AX30" s="117"/>
      <c r="AY30" s="117"/>
      <c r="AZ30" s="117"/>
      <c r="BA30" s="117"/>
      <c r="BB30" s="117"/>
      <c r="BC30" s="117"/>
      <c r="BD30" s="117"/>
      <c r="BE30" s="118"/>
      <c r="BF30" s="118"/>
      <c r="BG30" s="118"/>
      <c r="BH30" s="119"/>
      <c r="BI30" s="150"/>
      <c r="BJ30" s="121"/>
      <c r="BK30" s="121"/>
      <c r="BL30" s="122">
        <v>1</v>
      </c>
      <c r="BM30" s="122">
        <v>1</v>
      </c>
      <c r="BN30" s="122">
        <v>1</v>
      </c>
      <c r="BO30" s="122">
        <v>1</v>
      </c>
      <c r="BP30" s="122">
        <v>1</v>
      </c>
      <c r="BQ30" s="122">
        <v>1</v>
      </c>
      <c r="BR30" s="122">
        <v>1</v>
      </c>
      <c r="BS30" s="122">
        <v>1</v>
      </c>
      <c r="BT30" s="122">
        <v>1</v>
      </c>
      <c r="BU30" s="122">
        <v>1</v>
      </c>
      <c r="BV30" s="123"/>
      <c r="BW30" s="123"/>
      <c r="BX30" s="123"/>
      <c r="BY30" s="123"/>
      <c r="BZ30" s="123"/>
      <c r="CA30" s="123"/>
      <c r="CB30" s="123"/>
      <c r="CC30" s="123"/>
      <c r="CD30" s="123"/>
      <c r="CE30" s="123"/>
      <c r="CF30" s="123"/>
      <c r="CG30" s="123"/>
      <c r="CH30" s="123"/>
      <c r="CI30" s="122"/>
      <c r="CJ30" s="122"/>
      <c r="CK30" s="122"/>
      <c r="CL30" s="122"/>
      <c r="CM30" s="122"/>
      <c r="CN30" s="124"/>
      <c r="CO30" s="125"/>
      <c r="CP30" s="126"/>
      <c r="CQ30" s="126"/>
      <c r="CR30" s="126"/>
      <c r="CS30" s="126"/>
      <c r="CT30" s="127"/>
      <c r="CU30" s="128"/>
      <c r="CV30" s="123"/>
      <c r="CW30" s="129"/>
      <c r="CX30" s="132"/>
      <c r="CY30" s="132"/>
      <c r="CZ30" s="132"/>
      <c r="DA30" s="132"/>
      <c r="DB30" s="132"/>
      <c r="DC30" s="132"/>
      <c r="DD30" s="132"/>
      <c r="DE30" s="103"/>
      <c r="DF30" s="103"/>
      <c r="DG30" s="103"/>
      <c r="DH30" s="103"/>
      <c r="DI30" s="103"/>
      <c r="DJ30" s="103"/>
      <c r="DK30" s="130"/>
      <c r="DL30" s="130"/>
      <c r="DM30" s="130"/>
      <c r="DN30" s="132"/>
      <c r="DO30" s="132"/>
    </row>
    <row r="31" s="20" customFormat="1" ht="41.1" customHeight="1" spans="1:119">
      <c r="A31" s="131">
        <v>43336</v>
      </c>
      <c r="B31" s="132"/>
      <c r="C31" s="160" t="s">
        <v>13193</v>
      </c>
      <c r="D31" s="161" t="s">
        <v>13223</v>
      </c>
      <c r="E31" s="100" t="s">
        <v>13198</v>
      </c>
      <c r="F31" s="136" t="s">
        <v>13181</v>
      </c>
      <c r="G31" s="137" t="s">
        <v>13182</v>
      </c>
      <c r="H31" s="138">
        <v>24</v>
      </c>
      <c r="I31" s="132"/>
      <c r="J31" s="132"/>
      <c r="K31" s="132"/>
      <c r="L31" s="139"/>
      <c r="M31" s="140"/>
      <c r="N31" s="141"/>
      <c r="O31" s="141"/>
      <c r="P31" s="142"/>
      <c r="Q31" s="141"/>
      <c r="R31" s="141"/>
      <c r="S31" s="143"/>
      <c r="T31" s="141"/>
      <c r="U31" s="152"/>
      <c r="V31" s="153">
        <v>24</v>
      </c>
      <c r="W31" s="154"/>
      <c r="X31" s="155"/>
      <c r="Y31" s="146">
        <v>24</v>
      </c>
      <c r="Z31" s="156"/>
      <c r="AA31" s="157"/>
      <c r="AB31" s="157"/>
      <c r="AC31" s="158"/>
      <c r="AD31" s="159" t="s">
        <v>13183</v>
      </c>
      <c r="AE31" s="117"/>
      <c r="AF31" s="117"/>
      <c r="AG31" s="117"/>
      <c r="AH31" s="117"/>
      <c r="AI31" s="117"/>
      <c r="AJ31" s="117"/>
      <c r="AK31" s="117"/>
      <c r="AL31" s="117"/>
      <c r="AM31" s="117"/>
      <c r="AN31" s="117"/>
      <c r="AO31" s="117"/>
      <c r="AP31" s="117"/>
      <c r="AQ31" s="117"/>
      <c r="AR31" s="117"/>
      <c r="AS31" s="117"/>
      <c r="AT31" s="117"/>
      <c r="AU31" s="117"/>
      <c r="AV31" s="117"/>
      <c r="AW31" s="117"/>
      <c r="AX31" s="117"/>
      <c r="AY31" s="117"/>
      <c r="AZ31" s="117"/>
      <c r="BA31" s="117"/>
      <c r="BB31" s="117"/>
      <c r="BC31" s="117"/>
      <c r="BD31" s="117"/>
      <c r="BE31" s="118"/>
      <c r="BF31" s="118"/>
      <c r="BG31" s="118"/>
      <c r="BH31" s="119"/>
      <c r="BI31" s="150"/>
      <c r="BJ31" s="121">
        <v>2</v>
      </c>
      <c r="BK31" s="121">
        <v>2</v>
      </c>
      <c r="BL31" s="122">
        <v>2</v>
      </c>
      <c r="BM31" s="122">
        <v>2</v>
      </c>
      <c r="BN31" s="122">
        <v>2</v>
      </c>
      <c r="BO31" s="122">
        <v>2</v>
      </c>
      <c r="BP31" s="122">
        <v>2</v>
      </c>
      <c r="BQ31" s="122">
        <v>2</v>
      </c>
      <c r="BR31" s="122">
        <v>2</v>
      </c>
      <c r="BS31" s="122">
        <v>2</v>
      </c>
      <c r="BT31" s="122">
        <v>2</v>
      </c>
      <c r="BU31" s="122">
        <v>2</v>
      </c>
      <c r="BV31" s="123"/>
      <c r="BW31" s="123"/>
      <c r="BX31" s="123"/>
      <c r="BY31" s="123"/>
      <c r="BZ31" s="123"/>
      <c r="CA31" s="123"/>
      <c r="CB31" s="123"/>
      <c r="CC31" s="123"/>
      <c r="CD31" s="123"/>
      <c r="CE31" s="123"/>
      <c r="CF31" s="123"/>
      <c r="CG31" s="123"/>
      <c r="CH31" s="123"/>
      <c r="CI31" s="122"/>
      <c r="CJ31" s="122"/>
      <c r="CK31" s="122"/>
      <c r="CL31" s="122"/>
      <c r="CM31" s="122"/>
      <c r="CN31" s="124"/>
      <c r="CO31" s="125"/>
      <c r="CP31" s="126"/>
      <c r="CQ31" s="126"/>
      <c r="CR31" s="126"/>
      <c r="CS31" s="126"/>
      <c r="CT31" s="127"/>
      <c r="CU31" s="128"/>
      <c r="CV31" s="123"/>
      <c r="CW31" s="129"/>
      <c r="CX31" s="132"/>
      <c r="CY31" s="132"/>
      <c r="CZ31" s="132"/>
      <c r="DA31" s="132"/>
      <c r="DB31" s="132"/>
      <c r="DC31" s="132"/>
      <c r="DD31" s="132"/>
      <c r="DE31" s="103"/>
      <c r="DF31" s="103"/>
      <c r="DG31" s="103"/>
      <c r="DH31" s="103"/>
      <c r="DI31" s="103"/>
      <c r="DJ31" s="103"/>
      <c r="DK31" s="130"/>
      <c r="DL31" s="130"/>
      <c r="DM31" s="130"/>
      <c r="DN31" s="132"/>
      <c r="DO31" s="132"/>
    </row>
    <row r="32" s="21" customFormat="1" ht="41.1" customHeight="1" spans="1:119">
      <c r="A32" s="169">
        <v>43342</v>
      </c>
      <c r="B32" s="170"/>
      <c r="C32" s="171" t="s">
        <v>13224</v>
      </c>
      <c r="D32" s="172"/>
      <c r="E32" s="173"/>
      <c r="F32" s="174" t="s">
        <v>13181</v>
      </c>
      <c r="G32" s="175" t="s">
        <v>13182</v>
      </c>
      <c r="H32" s="176">
        <v>360</v>
      </c>
      <c r="I32" s="170"/>
      <c r="J32" s="170"/>
      <c r="K32" s="170"/>
      <c r="L32" s="177"/>
      <c r="M32" s="178"/>
      <c r="N32" s="141"/>
      <c r="O32" s="141"/>
      <c r="P32" s="142"/>
      <c r="Q32" s="141"/>
      <c r="R32" s="141"/>
      <c r="S32" s="143"/>
      <c r="T32" s="141"/>
      <c r="U32" s="152"/>
      <c r="V32" s="179">
        <v>24</v>
      </c>
      <c r="W32" s="180"/>
      <c r="X32" s="181"/>
      <c r="Y32" s="182">
        <v>24</v>
      </c>
      <c r="Z32" s="183"/>
      <c r="AA32" s="184"/>
      <c r="AB32" s="184"/>
      <c r="AC32" s="185"/>
      <c r="AD32" s="186"/>
      <c r="AE32" s="187"/>
      <c r="AF32" s="187"/>
      <c r="AG32" s="187"/>
      <c r="AH32" s="187"/>
      <c r="AI32" s="187"/>
      <c r="AJ32" s="187"/>
      <c r="AK32" s="187"/>
      <c r="AL32" s="187"/>
      <c r="AM32" s="187"/>
      <c r="AN32" s="187"/>
      <c r="AO32" s="187"/>
      <c r="AP32" s="187"/>
      <c r="AQ32" s="187"/>
      <c r="AR32" s="187"/>
      <c r="AS32" s="187"/>
      <c r="AT32" s="187"/>
      <c r="AU32" s="187"/>
      <c r="AV32" s="187"/>
      <c r="AW32" s="187"/>
      <c r="AX32" s="187"/>
      <c r="AY32" s="187"/>
      <c r="AZ32" s="187"/>
      <c r="BA32" s="187"/>
      <c r="BB32" s="187"/>
      <c r="BC32" s="187"/>
      <c r="BD32" s="187"/>
      <c r="BE32" s="118"/>
      <c r="BF32" s="118"/>
      <c r="BG32" s="118"/>
      <c r="BH32" s="119"/>
      <c r="BI32" s="188">
        <v>19952</v>
      </c>
      <c r="BJ32" s="189">
        <f>H32/24*3/2</f>
        <v>22.5</v>
      </c>
      <c r="BK32" s="189">
        <f>H32/24*3/2</f>
        <v>22.5</v>
      </c>
      <c r="BL32" s="189">
        <f>H32/24*4/2</f>
        <v>30</v>
      </c>
      <c r="BM32" s="189">
        <f>H32/24*4/2</f>
        <v>30</v>
      </c>
      <c r="BN32" s="189">
        <f>H32/24*5/2</f>
        <v>37.5</v>
      </c>
      <c r="BO32" s="189">
        <f>H32/24*5/2</f>
        <v>37.5</v>
      </c>
      <c r="BP32" s="189">
        <f>H32/24*5/2</f>
        <v>37.5</v>
      </c>
      <c r="BQ32" s="189">
        <f>H32/24*5/2</f>
        <v>37.5</v>
      </c>
      <c r="BR32" s="189">
        <f>H32/24*4/2</f>
        <v>30</v>
      </c>
      <c r="BS32" s="189">
        <f>H32/24*4/2</f>
        <v>30</v>
      </c>
      <c r="BT32" s="189">
        <f>H32/24*3/2</f>
        <v>22.5</v>
      </c>
      <c r="BU32" s="189">
        <f>H32/24*3/2</f>
        <v>22.5</v>
      </c>
      <c r="BV32" s="190"/>
      <c r="BW32" s="190"/>
      <c r="BX32" s="190"/>
      <c r="BY32" s="190"/>
      <c r="BZ32" s="190"/>
      <c r="CA32" s="190"/>
      <c r="CB32" s="190"/>
      <c r="CC32" s="190"/>
      <c r="CD32" s="190"/>
      <c r="CE32" s="190"/>
      <c r="CF32" s="190"/>
      <c r="CG32" s="190"/>
      <c r="CH32" s="190"/>
      <c r="CI32" s="189"/>
      <c r="CJ32" s="189"/>
      <c r="CK32" s="189"/>
      <c r="CL32" s="189"/>
      <c r="CM32" s="189"/>
      <c r="CN32" s="191"/>
      <c r="CO32" s="192"/>
      <c r="CP32" s="193"/>
      <c r="CQ32" s="193"/>
      <c r="CR32" s="193"/>
      <c r="CS32" s="193"/>
      <c r="CT32" s="194"/>
      <c r="CU32" s="195"/>
      <c r="CV32" s="190"/>
      <c r="CW32" s="196"/>
      <c r="CX32" s="170"/>
      <c r="CY32" s="170"/>
      <c r="CZ32" s="170"/>
      <c r="DA32" s="170"/>
      <c r="DB32" s="170"/>
      <c r="DC32" s="170"/>
      <c r="DD32" s="170"/>
      <c r="DE32" s="197"/>
      <c r="DF32" s="197"/>
      <c r="DG32" s="197"/>
      <c r="DH32" s="197"/>
      <c r="DI32" s="197"/>
      <c r="DJ32" s="197"/>
      <c r="DK32" s="198"/>
      <c r="DL32" s="198"/>
      <c r="DM32" s="198"/>
      <c r="DN32" s="170"/>
      <c r="DO32" s="170"/>
    </row>
    <row r="33" ht="41.1" customHeight="1" spans="1:119">
      <c r="A33" s="131">
        <v>43364</v>
      </c>
      <c r="B33" s="132"/>
      <c r="C33" s="160">
        <v>4500011712</v>
      </c>
      <c r="D33" s="161" t="s">
        <v>13221</v>
      </c>
      <c r="E33" s="100" t="s">
        <v>2681</v>
      </c>
      <c r="F33" s="136" t="s">
        <v>13181</v>
      </c>
      <c r="G33" s="137" t="s">
        <v>13182</v>
      </c>
      <c r="H33" s="138">
        <v>9</v>
      </c>
      <c r="I33" s="132"/>
      <c r="J33" s="132"/>
      <c r="K33" s="132"/>
      <c r="L33" s="139"/>
      <c r="M33" s="140"/>
      <c r="N33" s="141"/>
      <c r="O33" s="141"/>
      <c r="P33" s="142"/>
      <c r="Q33" s="141"/>
      <c r="R33" s="141"/>
      <c r="S33" s="143"/>
      <c r="T33" s="141"/>
      <c r="U33" s="152"/>
      <c r="V33" s="153">
        <v>9</v>
      </c>
      <c r="W33" s="154"/>
      <c r="X33" s="155"/>
      <c r="Y33" s="146">
        <v>9</v>
      </c>
      <c r="Z33" s="156"/>
      <c r="AA33" s="157"/>
      <c r="AB33" s="157"/>
      <c r="AC33" s="158"/>
      <c r="AD33" s="159" t="s">
        <v>13183</v>
      </c>
      <c r="AE33" s="117"/>
      <c r="AF33" s="117"/>
      <c r="AG33" s="117"/>
      <c r="AH33" s="117"/>
      <c r="AI33" s="117"/>
      <c r="AJ33" s="117"/>
      <c r="AK33" s="117"/>
      <c r="AL33" s="117"/>
      <c r="AM33" s="117"/>
      <c r="AN33" s="117"/>
      <c r="AO33" s="117"/>
      <c r="AP33" s="117"/>
      <c r="AQ33" s="117"/>
      <c r="AR33" s="117"/>
      <c r="AS33" s="117"/>
      <c r="AT33" s="117"/>
      <c r="AU33" s="117"/>
      <c r="AV33" s="117"/>
      <c r="AW33" s="117"/>
      <c r="AX33" s="117"/>
      <c r="AY33" s="117"/>
      <c r="AZ33" s="117"/>
      <c r="BA33" s="117"/>
      <c r="BB33" s="117"/>
      <c r="BC33" s="117"/>
      <c r="BD33" s="117"/>
      <c r="BE33" s="118"/>
      <c r="BF33" s="118"/>
      <c r="BG33" s="118"/>
      <c r="BH33" s="119"/>
      <c r="BI33" s="150"/>
      <c r="BJ33" s="121">
        <v>1</v>
      </c>
      <c r="BK33" s="121">
        <v>1</v>
      </c>
      <c r="BL33" s="121">
        <v>1</v>
      </c>
      <c r="BM33" s="121">
        <v>1</v>
      </c>
      <c r="BN33" s="121"/>
      <c r="BO33" s="121"/>
      <c r="BP33" s="121"/>
      <c r="BQ33" s="121">
        <v>1</v>
      </c>
      <c r="BR33" s="121">
        <v>1</v>
      </c>
      <c r="BS33" s="121">
        <v>1</v>
      </c>
      <c r="BT33" s="121">
        <v>1</v>
      </c>
      <c r="BU33" s="121">
        <v>1</v>
      </c>
      <c r="BV33" s="199"/>
      <c r="BW33" s="199"/>
      <c r="BX33" s="199"/>
      <c r="BY33" s="199"/>
      <c r="BZ33" s="199"/>
      <c r="CA33" s="199"/>
      <c r="CB33" s="199"/>
      <c r="CC33" s="199"/>
      <c r="CD33" s="199"/>
      <c r="CE33" s="199"/>
      <c r="CF33" s="199"/>
      <c r="CG33" s="199"/>
      <c r="CH33" s="199"/>
      <c r="CI33" s="121"/>
      <c r="CJ33" s="121"/>
      <c r="CK33" s="121"/>
      <c r="CL33" s="121"/>
      <c r="CM33" s="121"/>
      <c r="CN33" s="200"/>
      <c r="CO33" s="201"/>
      <c r="CP33" s="202"/>
      <c r="CQ33" s="202"/>
      <c r="CR33" s="202"/>
      <c r="CS33" s="202"/>
      <c r="CT33" s="203"/>
      <c r="CU33" s="204"/>
      <c r="CV33" s="199"/>
      <c r="CW33" s="205"/>
      <c r="CX33" s="132"/>
      <c r="CY33" s="132"/>
      <c r="CZ33" s="132"/>
      <c r="DA33" s="132"/>
      <c r="DB33" s="132"/>
      <c r="DC33" s="132"/>
      <c r="DD33" s="132"/>
      <c r="DE33" s="103"/>
      <c r="DF33" s="103"/>
      <c r="DG33" s="103"/>
      <c r="DH33" s="103"/>
      <c r="DI33" s="103"/>
      <c r="DJ33" s="103"/>
      <c r="DK33" s="130"/>
      <c r="DL33" s="130"/>
      <c r="DM33" s="130"/>
      <c r="DN33" s="132"/>
      <c r="DO33" s="132"/>
    </row>
    <row r="34" ht="41.1" customHeight="1" spans="1:119">
      <c r="A34" s="131">
        <v>43364</v>
      </c>
      <c r="B34" s="132"/>
      <c r="C34" s="160">
        <v>4500013372</v>
      </c>
      <c r="D34" s="161" t="s">
        <v>13221</v>
      </c>
      <c r="E34" s="100" t="s">
        <v>13225</v>
      </c>
      <c r="F34" s="136" t="s">
        <v>13181</v>
      </c>
      <c r="G34" s="137" t="s">
        <v>13182</v>
      </c>
      <c r="H34" s="138">
        <v>2</v>
      </c>
      <c r="I34" s="132"/>
      <c r="J34" s="132"/>
      <c r="K34" s="132"/>
      <c r="L34" s="139"/>
      <c r="M34" s="140"/>
      <c r="N34" s="141"/>
      <c r="O34" s="141"/>
      <c r="P34" s="142"/>
      <c r="Q34" s="141"/>
      <c r="R34" s="141"/>
      <c r="S34" s="143"/>
      <c r="T34" s="141"/>
      <c r="U34" s="152"/>
      <c r="V34" s="153"/>
      <c r="W34" s="154">
        <v>2</v>
      </c>
      <c r="X34" s="155"/>
      <c r="Y34" s="146"/>
      <c r="Z34" s="156"/>
      <c r="AA34" s="157">
        <v>2</v>
      </c>
      <c r="AB34" s="157"/>
      <c r="AC34" s="158"/>
      <c r="AD34" s="159" t="s">
        <v>13183</v>
      </c>
      <c r="AE34" s="117"/>
      <c r="AF34" s="117"/>
      <c r="AG34" s="117"/>
      <c r="AH34" s="117"/>
      <c r="AI34" s="117"/>
      <c r="AJ34" s="117"/>
      <c r="AK34" s="117"/>
      <c r="AL34" s="117"/>
      <c r="AM34" s="117"/>
      <c r="AN34" s="117"/>
      <c r="AO34" s="117"/>
      <c r="AP34" s="117"/>
      <c r="AQ34" s="117"/>
      <c r="AR34" s="117"/>
      <c r="AS34" s="117"/>
      <c r="AT34" s="117"/>
      <c r="AU34" s="117"/>
      <c r="AV34" s="117"/>
      <c r="AW34" s="117"/>
      <c r="AX34" s="117"/>
      <c r="AY34" s="117"/>
      <c r="AZ34" s="117"/>
      <c r="BA34" s="117"/>
      <c r="BB34" s="117"/>
      <c r="BC34" s="117"/>
      <c r="BD34" s="117"/>
      <c r="BE34" s="118"/>
      <c r="BF34" s="118"/>
      <c r="BG34" s="118"/>
      <c r="BH34" s="119"/>
      <c r="BI34" s="150"/>
      <c r="BJ34" s="121"/>
      <c r="BK34" s="121"/>
      <c r="BL34" s="121"/>
      <c r="BM34" s="121"/>
      <c r="BN34" s="121">
        <v>1</v>
      </c>
      <c r="BO34" s="121"/>
      <c r="BP34" s="121">
        <v>1</v>
      </c>
      <c r="BQ34" s="121"/>
      <c r="BR34" s="121"/>
      <c r="BS34" s="121"/>
      <c r="BT34" s="121"/>
      <c r="BU34" s="121"/>
      <c r="BV34" s="199"/>
      <c r="BW34" s="199"/>
      <c r="BX34" s="199"/>
      <c r="BY34" s="199"/>
      <c r="BZ34" s="199"/>
      <c r="CA34" s="199"/>
      <c r="CB34" s="199"/>
      <c r="CC34" s="199"/>
      <c r="CD34" s="199"/>
      <c r="CE34" s="199"/>
      <c r="CF34" s="199"/>
      <c r="CG34" s="199"/>
      <c r="CH34" s="199"/>
      <c r="CI34" s="121"/>
      <c r="CJ34" s="121"/>
      <c r="CK34" s="121"/>
      <c r="CL34" s="121"/>
      <c r="CM34" s="121"/>
      <c r="CN34" s="200"/>
      <c r="CO34" s="201"/>
      <c r="CP34" s="202"/>
      <c r="CQ34" s="202"/>
      <c r="CR34" s="202"/>
      <c r="CS34" s="202"/>
      <c r="CT34" s="203"/>
      <c r="CU34" s="204"/>
      <c r="CV34" s="199"/>
      <c r="CW34" s="205"/>
      <c r="CX34" s="132"/>
      <c r="CY34" s="132"/>
      <c r="CZ34" s="132"/>
      <c r="DA34" s="132"/>
      <c r="DB34" s="132"/>
      <c r="DC34" s="132"/>
      <c r="DD34" s="132"/>
      <c r="DE34" s="103"/>
      <c r="DF34" s="103"/>
      <c r="DG34" s="103"/>
      <c r="DH34" s="103"/>
      <c r="DI34" s="103"/>
      <c r="DJ34" s="103"/>
      <c r="DK34" s="130"/>
      <c r="DL34" s="130"/>
      <c r="DM34" s="130"/>
      <c r="DN34" s="132"/>
      <c r="DO34" s="132"/>
    </row>
    <row r="35" ht="41.1" customHeight="1" spans="1:119">
      <c r="A35" s="131">
        <v>43369</v>
      </c>
      <c r="B35" s="132"/>
      <c r="C35" s="160">
        <v>4500013085</v>
      </c>
      <c r="D35" s="161" t="s">
        <v>13226</v>
      </c>
      <c r="E35" s="100"/>
      <c r="F35" s="136" t="s">
        <v>13181</v>
      </c>
      <c r="G35" s="137" t="s">
        <v>13227</v>
      </c>
      <c r="H35" s="138">
        <v>8</v>
      </c>
      <c r="I35" s="132"/>
      <c r="J35" s="132"/>
      <c r="K35" s="132"/>
      <c r="L35" s="139"/>
      <c r="M35" s="140"/>
      <c r="N35" s="141"/>
      <c r="O35" s="141"/>
      <c r="P35" s="142"/>
      <c r="Q35" s="141"/>
      <c r="R35" s="141"/>
      <c r="S35" s="143"/>
      <c r="T35" s="141"/>
      <c r="U35" s="152"/>
      <c r="V35" s="153">
        <v>8</v>
      </c>
      <c r="W35" s="154"/>
      <c r="X35" s="155"/>
      <c r="Y35" s="146">
        <v>8</v>
      </c>
      <c r="Z35" s="156"/>
      <c r="AA35" s="157"/>
      <c r="AB35" s="157"/>
      <c r="AC35" s="158"/>
      <c r="AD35" s="159" t="s">
        <v>13183</v>
      </c>
      <c r="AE35" s="117"/>
      <c r="AF35" s="117"/>
      <c r="AG35" s="117"/>
      <c r="AH35" s="117"/>
      <c r="AI35" s="117"/>
      <c r="AJ35" s="117"/>
      <c r="AK35" s="117"/>
      <c r="AL35" s="117"/>
      <c r="AM35" s="117"/>
      <c r="AN35" s="117"/>
      <c r="AO35" s="117"/>
      <c r="AP35" s="117"/>
      <c r="AQ35" s="117"/>
      <c r="AR35" s="117"/>
      <c r="AS35" s="117"/>
      <c r="AT35" s="117"/>
      <c r="AU35" s="117"/>
      <c r="AV35" s="117"/>
      <c r="AW35" s="117"/>
      <c r="AX35" s="117"/>
      <c r="AY35" s="117"/>
      <c r="AZ35" s="117"/>
      <c r="BA35" s="117"/>
      <c r="BB35" s="117"/>
      <c r="BC35" s="117"/>
      <c r="BD35" s="117"/>
      <c r="BE35" s="118"/>
      <c r="BF35" s="118"/>
      <c r="BG35" s="118"/>
      <c r="BH35" s="119"/>
      <c r="BI35" s="150"/>
      <c r="BJ35" s="121"/>
      <c r="BK35" s="121"/>
      <c r="BL35" s="121"/>
      <c r="BM35" s="121"/>
      <c r="BN35" s="121"/>
      <c r="BO35" s="121"/>
      <c r="BP35" s="121"/>
      <c r="BQ35" s="121">
        <v>8</v>
      </c>
      <c r="BR35" s="121"/>
      <c r="BS35" s="121"/>
      <c r="BT35" s="121"/>
      <c r="BU35" s="121"/>
      <c r="BV35" s="199"/>
      <c r="BW35" s="199"/>
      <c r="BX35" s="199"/>
      <c r="BY35" s="199"/>
      <c r="BZ35" s="199"/>
      <c r="CA35" s="199"/>
      <c r="CB35" s="199"/>
      <c r="CC35" s="199"/>
      <c r="CD35" s="199"/>
      <c r="CE35" s="199"/>
      <c r="CF35" s="199"/>
      <c r="CG35" s="199"/>
      <c r="CH35" s="199"/>
      <c r="CI35" s="121"/>
      <c r="CJ35" s="121"/>
      <c r="CK35" s="121"/>
      <c r="CL35" s="121"/>
      <c r="CM35" s="121"/>
      <c r="CN35" s="200"/>
      <c r="CO35" s="201"/>
      <c r="CP35" s="202"/>
      <c r="CQ35" s="202"/>
      <c r="CR35" s="202"/>
      <c r="CS35" s="202"/>
      <c r="CT35" s="203"/>
      <c r="CU35" s="204"/>
      <c r="CV35" s="199"/>
      <c r="CW35" s="205"/>
      <c r="CX35" s="132"/>
      <c r="CY35" s="132"/>
      <c r="CZ35" s="132"/>
      <c r="DA35" s="132"/>
      <c r="DB35" s="132"/>
      <c r="DC35" s="132"/>
      <c r="DD35" s="132"/>
      <c r="DE35" s="103"/>
      <c r="DF35" s="103"/>
      <c r="DG35" s="103"/>
      <c r="DH35" s="103"/>
      <c r="DI35" s="103"/>
      <c r="DJ35" s="103"/>
      <c r="DK35" s="130"/>
      <c r="DL35" s="130"/>
      <c r="DM35" s="130"/>
      <c r="DN35" s="132"/>
      <c r="DO35" s="132"/>
    </row>
    <row r="36" ht="41.1" customHeight="1" spans="1:119">
      <c r="A36" s="131">
        <v>43382</v>
      </c>
      <c r="B36" s="132"/>
      <c r="C36" s="160">
        <v>4500013648</v>
      </c>
      <c r="D36" s="161" t="s">
        <v>13187</v>
      </c>
      <c r="E36" s="100"/>
      <c r="F36" s="136" t="s">
        <v>13181</v>
      </c>
      <c r="G36" s="137" t="s">
        <v>13182</v>
      </c>
      <c r="H36" s="138">
        <v>24</v>
      </c>
      <c r="I36" s="132"/>
      <c r="J36" s="132"/>
      <c r="K36" s="132"/>
      <c r="L36" s="139"/>
      <c r="M36" s="140"/>
      <c r="N36" s="141"/>
      <c r="O36" s="141"/>
      <c r="P36" s="142"/>
      <c r="Q36" s="141"/>
      <c r="R36" s="141"/>
      <c r="S36" s="143"/>
      <c r="T36" s="141"/>
      <c r="U36" s="152"/>
      <c r="V36" s="153">
        <v>24</v>
      </c>
      <c r="W36" s="154"/>
      <c r="X36" s="155"/>
      <c r="Y36" s="146">
        <v>24</v>
      </c>
      <c r="Z36" s="156"/>
      <c r="AA36" s="157"/>
      <c r="AB36" s="157"/>
      <c r="AC36" s="158"/>
      <c r="AD36" s="159" t="s">
        <v>13183</v>
      </c>
      <c r="AE36" s="117"/>
      <c r="AF36" s="117"/>
      <c r="AG36" s="117"/>
      <c r="AH36" s="117"/>
      <c r="AI36" s="117"/>
      <c r="AJ36" s="117"/>
      <c r="AK36" s="117"/>
      <c r="AL36" s="117"/>
      <c r="AM36" s="117"/>
      <c r="AN36" s="117"/>
      <c r="AO36" s="117"/>
      <c r="AP36" s="117"/>
      <c r="AQ36" s="117"/>
      <c r="AR36" s="117"/>
      <c r="AS36" s="117"/>
      <c r="AT36" s="117"/>
      <c r="AU36" s="117"/>
      <c r="AV36" s="117"/>
      <c r="AW36" s="117"/>
      <c r="AX36" s="117"/>
      <c r="AY36" s="117"/>
      <c r="AZ36" s="117"/>
      <c r="BA36" s="117"/>
      <c r="BB36" s="117"/>
      <c r="BC36" s="117"/>
      <c r="BD36" s="117"/>
      <c r="BE36" s="118"/>
      <c r="BF36" s="118"/>
      <c r="BG36" s="118"/>
      <c r="BH36" s="119"/>
      <c r="BI36" s="150"/>
      <c r="BJ36" s="121">
        <v>2</v>
      </c>
      <c r="BK36" s="121">
        <v>2</v>
      </c>
      <c r="BL36" s="121">
        <v>2</v>
      </c>
      <c r="BM36" s="121">
        <v>2</v>
      </c>
      <c r="BN36" s="121">
        <v>2</v>
      </c>
      <c r="BO36" s="121">
        <v>2</v>
      </c>
      <c r="BP36" s="121">
        <v>2</v>
      </c>
      <c r="BQ36" s="121">
        <v>2</v>
      </c>
      <c r="BR36" s="121">
        <v>2</v>
      </c>
      <c r="BS36" s="121">
        <v>2</v>
      </c>
      <c r="BT36" s="121">
        <v>2</v>
      </c>
      <c r="BU36" s="121">
        <v>2</v>
      </c>
      <c r="BV36" s="199"/>
      <c r="BW36" s="199"/>
      <c r="BX36" s="199"/>
      <c r="BY36" s="199"/>
      <c r="BZ36" s="199"/>
      <c r="CA36" s="199"/>
      <c r="CB36" s="199"/>
      <c r="CC36" s="199"/>
      <c r="CD36" s="199"/>
      <c r="CE36" s="199"/>
      <c r="CF36" s="199"/>
      <c r="CG36" s="199"/>
      <c r="CH36" s="199"/>
      <c r="CI36" s="121"/>
      <c r="CJ36" s="121"/>
      <c r="CK36" s="121"/>
      <c r="CL36" s="121"/>
      <c r="CM36" s="121"/>
      <c r="CN36" s="200"/>
      <c r="CO36" s="201"/>
      <c r="CP36" s="202"/>
      <c r="CQ36" s="202"/>
      <c r="CR36" s="202"/>
      <c r="CS36" s="202"/>
      <c r="CT36" s="203"/>
      <c r="CU36" s="204"/>
      <c r="CV36" s="199"/>
      <c r="CW36" s="205"/>
      <c r="CX36" s="132"/>
      <c r="CY36" s="132"/>
      <c r="CZ36" s="132"/>
      <c r="DA36" s="132"/>
      <c r="DB36" s="132"/>
      <c r="DC36" s="132"/>
      <c r="DD36" s="132"/>
      <c r="DE36" s="103"/>
      <c r="DF36" s="103"/>
      <c r="DG36" s="103"/>
      <c r="DH36" s="103"/>
      <c r="DI36" s="103"/>
      <c r="DJ36" s="103"/>
      <c r="DK36" s="130"/>
      <c r="DL36" s="130"/>
      <c r="DM36" s="130"/>
      <c r="DN36" s="132"/>
      <c r="DO36" s="132"/>
    </row>
    <row r="37" ht="41.1" customHeight="1" spans="1:119">
      <c r="A37" s="131">
        <v>43384</v>
      </c>
      <c r="B37" s="132"/>
      <c r="C37" s="160">
        <v>4500013155</v>
      </c>
      <c r="D37" s="161" t="s">
        <v>13228</v>
      </c>
      <c r="E37" s="100"/>
      <c r="F37" s="136" t="s">
        <v>13181</v>
      </c>
      <c r="G37" s="137" t="s">
        <v>13182</v>
      </c>
      <c r="H37" s="138">
        <v>12</v>
      </c>
      <c r="I37" s="132"/>
      <c r="J37" s="132"/>
      <c r="K37" s="132"/>
      <c r="L37" s="139"/>
      <c r="M37" s="140"/>
      <c r="N37" s="141"/>
      <c r="O37" s="141"/>
      <c r="P37" s="142"/>
      <c r="Q37" s="141"/>
      <c r="R37" s="141"/>
      <c r="S37" s="143"/>
      <c r="T37" s="141"/>
      <c r="U37" s="152"/>
      <c r="V37" s="153">
        <v>12</v>
      </c>
      <c r="W37" s="154"/>
      <c r="X37" s="155"/>
      <c r="Y37" s="146">
        <v>12</v>
      </c>
      <c r="Z37" s="156"/>
      <c r="AA37" s="157"/>
      <c r="AB37" s="157"/>
      <c r="AC37" s="158"/>
      <c r="AD37" s="159" t="s">
        <v>13183</v>
      </c>
      <c r="AE37" s="117"/>
      <c r="AF37" s="117"/>
      <c r="AG37" s="117"/>
      <c r="AH37" s="117"/>
      <c r="AI37" s="117"/>
      <c r="AJ37" s="117"/>
      <c r="AK37" s="117"/>
      <c r="AL37" s="117"/>
      <c r="AM37" s="117"/>
      <c r="AN37" s="117"/>
      <c r="AO37" s="117"/>
      <c r="AP37" s="117"/>
      <c r="AQ37" s="117"/>
      <c r="AR37" s="117"/>
      <c r="AS37" s="117"/>
      <c r="AT37" s="117"/>
      <c r="AU37" s="117"/>
      <c r="AV37" s="117"/>
      <c r="AW37" s="117"/>
      <c r="AX37" s="117"/>
      <c r="AY37" s="117"/>
      <c r="AZ37" s="117"/>
      <c r="BA37" s="117"/>
      <c r="BB37" s="117"/>
      <c r="BC37" s="117"/>
      <c r="BD37" s="117"/>
      <c r="BE37" s="118"/>
      <c r="BF37" s="118"/>
      <c r="BG37" s="118"/>
      <c r="BH37" s="119"/>
      <c r="BI37" s="150"/>
      <c r="BJ37" s="121">
        <v>1</v>
      </c>
      <c r="BK37" s="121">
        <v>1</v>
      </c>
      <c r="BL37" s="121">
        <v>1</v>
      </c>
      <c r="BM37" s="121">
        <v>1</v>
      </c>
      <c r="BN37" s="121">
        <v>1</v>
      </c>
      <c r="BO37" s="121">
        <v>1</v>
      </c>
      <c r="BP37" s="121">
        <v>1</v>
      </c>
      <c r="BQ37" s="121">
        <v>1</v>
      </c>
      <c r="BR37" s="121">
        <v>1</v>
      </c>
      <c r="BS37" s="121">
        <v>1</v>
      </c>
      <c r="BT37" s="121">
        <v>1</v>
      </c>
      <c r="BU37" s="121">
        <v>1</v>
      </c>
      <c r="BV37" s="199"/>
      <c r="BW37" s="199"/>
      <c r="BX37" s="199"/>
      <c r="BY37" s="199"/>
      <c r="BZ37" s="199"/>
      <c r="CA37" s="199"/>
      <c r="CB37" s="199"/>
      <c r="CC37" s="199"/>
      <c r="CD37" s="199"/>
      <c r="CE37" s="199"/>
      <c r="CF37" s="199"/>
      <c r="CG37" s="199"/>
      <c r="CH37" s="199"/>
      <c r="CI37" s="121"/>
      <c r="CJ37" s="121"/>
      <c r="CK37" s="121"/>
      <c r="CL37" s="121"/>
      <c r="CM37" s="121"/>
      <c r="CN37" s="200"/>
      <c r="CO37" s="201"/>
      <c r="CP37" s="202"/>
      <c r="CQ37" s="202"/>
      <c r="CR37" s="202"/>
      <c r="CS37" s="202"/>
      <c r="CT37" s="203"/>
      <c r="CU37" s="204"/>
      <c r="CV37" s="199"/>
      <c r="CW37" s="205"/>
      <c r="CX37" s="132"/>
      <c r="CY37" s="132"/>
      <c r="CZ37" s="132"/>
      <c r="DA37" s="132"/>
      <c r="DB37" s="132"/>
      <c r="DC37" s="132"/>
      <c r="DD37" s="132"/>
      <c r="DE37" s="103"/>
      <c r="DF37" s="103"/>
      <c r="DG37" s="103"/>
      <c r="DH37" s="103"/>
      <c r="DI37" s="103"/>
      <c r="DJ37" s="103"/>
      <c r="DK37" s="130"/>
      <c r="DL37" s="130"/>
      <c r="DM37" s="130"/>
      <c r="DN37" s="132"/>
      <c r="DO37" s="132"/>
    </row>
    <row r="38" ht="41.1" customHeight="1" spans="1:119">
      <c r="A38" s="131">
        <v>43392</v>
      </c>
      <c r="B38" s="132"/>
      <c r="C38" s="160">
        <v>4500013641</v>
      </c>
      <c r="D38" s="161" t="s">
        <v>13228</v>
      </c>
      <c r="E38" s="100"/>
      <c r="F38" s="136" t="s">
        <v>13181</v>
      </c>
      <c r="G38" s="137" t="s">
        <v>13182</v>
      </c>
      <c r="H38" s="138">
        <v>12</v>
      </c>
      <c r="I38" s="132"/>
      <c r="J38" s="132"/>
      <c r="K38" s="132"/>
      <c r="L38" s="139"/>
      <c r="M38" s="140"/>
      <c r="N38" s="141"/>
      <c r="O38" s="141"/>
      <c r="P38" s="142"/>
      <c r="Q38" s="141"/>
      <c r="R38" s="141"/>
      <c r="S38" s="143"/>
      <c r="T38" s="141"/>
      <c r="U38" s="152"/>
      <c r="V38" s="153"/>
      <c r="W38" s="154"/>
      <c r="X38" s="155">
        <v>12</v>
      </c>
      <c r="Y38" s="146"/>
      <c r="Z38" s="156"/>
      <c r="AA38" s="157"/>
      <c r="AB38" s="157"/>
      <c r="AC38" s="158">
        <v>12</v>
      </c>
      <c r="AD38" s="159" t="s">
        <v>13229</v>
      </c>
      <c r="AE38" s="117"/>
      <c r="AF38" s="117"/>
      <c r="AG38" s="117"/>
      <c r="AH38" s="117"/>
      <c r="AI38" s="117"/>
      <c r="AJ38" s="117"/>
      <c r="AK38" s="117"/>
      <c r="AL38" s="117"/>
      <c r="AM38" s="117"/>
      <c r="AN38" s="117"/>
      <c r="AO38" s="117"/>
      <c r="AP38" s="117"/>
      <c r="AQ38" s="117"/>
      <c r="AR38" s="117"/>
      <c r="AS38" s="117"/>
      <c r="AT38" s="117"/>
      <c r="AU38" s="117"/>
      <c r="AV38" s="117"/>
      <c r="AW38" s="117"/>
      <c r="AX38" s="117"/>
      <c r="AY38" s="117"/>
      <c r="AZ38" s="117"/>
      <c r="BA38" s="117"/>
      <c r="BB38" s="117"/>
      <c r="BC38" s="117"/>
      <c r="BD38" s="117"/>
      <c r="BE38" s="118"/>
      <c r="BF38" s="118"/>
      <c r="BG38" s="118"/>
      <c r="BH38" s="119"/>
      <c r="BI38" s="150"/>
      <c r="BJ38" s="121">
        <v>1</v>
      </c>
      <c r="BK38" s="121">
        <v>1</v>
      </c>
      <c r="BL38" s="121">
        <v>1</v>
      </c>
      <c r="BM38" s="121">
        <v>1</v>
      </c>
      <c r="BN38" s="121">
        <v>1</v>
      </c>
      <c r="BO38" s="121">
        <v>1</v>
      </c>
      <c r="BP38" s="121">
        <v>1</v>
      </c>
      <c r="BQ38" s="121">
        <v>1</v>
      </c>
      <c r="BR38" s="121">
        <v>1</v>
      </c>
      <c r="BS38" s="121">
        <v>1</v>
      </c>
      <c r="BT38" s="121">
        <v>1</v>
      </c>
      <c r="BU38" s="121">
        <v>1</v>
      </c>
      <c r="BV38" s="199"/>
      <c r="BW38" s="199"/>
      <c r="BX38" s="199"/>
      <c r="BY38" s="199"/>
      <c r="BZ38" s="199"/>
      <c r="CA38" s="199"/>
      <c r="CB38" s="199"/>
      <c r="CC38" s="199"/>
      <c r="CD38" s="199"/>
      <c r="CE38" s="199"/>
      <c r="CF38" s="199"/>
      <c r="CG38" s="199"/>
      <c r="CH38" s="199"/>
      <c r="CI38" s="121"/>
      <c r="CJ38" s="121"/>
      <c r="CK38" s="121"/>
      <c r="CL38" s="121"/>
      <c r="CM38" s="121"/>
      <c r="CN38" s="200"/>
      <c r="CO38" s="201"/>
      <c r="CP38" s="202"/>
      <c r="CQ38" s="202"/>
      <c r="CR38" s="202"/>
      <c r="CS38" s="202"/>
      <c r="CT38" s="203"/>
      <c r="CU38" s="204"/>
      <c r="CV38" s="199"/>
      <c r="CW38" s="205"/>
      <c r="CX38" s="132"/>
      <c r="CY38" s="132"/>
      <c r="CZ38" s="132"/>
      <c r="DA38" s="132"/>
      <c r="DB38" s="132"/>
      <c r="DC38" s="132"/>
      <c r="DD38" s="132"/>
      <c r="DE38" s="103"/>
      <c r="DF38" s="103"/>
      <c r="DG38" s="103"/>
      <c r="DH38" s="103"/>
      <c r="DI38" s="103"/>
      <c r="DJ38" s="103"/>
      <c r="DK38" s="130"/>
      <c r="DL38" s="130"/>
      <c r="DM38" s="130"/>
      <c r="DN38" s="132"/>
      <c r="DO38" s="132"/>
    </row>
    <row r="39" ht="41.1" customHeight="1" spans="1:119">
      <c r="A39" s="131">
        <v>43392</v>
      </c>
      <c r="B39" s="132"/>
      <c r="C39" s="160" t="s">
        <v>13230</v>
      </c>
      <c r="D39" s="161" t="s">
        <v>13231</v>
      </c>
      <c r="E39" s="100"/>
      <c r="F39" s="136" t="s">
        <v>13181</v>
      </c>
      <c r="G39" s="137" t="s">
        <v>13182</v>
      </c>
      <c r="H39" s="138">
        <v>204</v>
      </c>
      <c r="I39" s="132"/>
      <c r="J39" s="132"/>
      <c r="K39" s="132"/>
      <c r="L39" s="139"/>
      <c r="M39" s="140"/>
      <c r="N39" s="141"/>
      <c r="O39" s="141"/>
      <c r="P39" s="142"/>
      <c r="Q39" s="141"/>
      <c r="R39" s="141"/>
      <c r="S39" s="143"/>
      <c r="T39" s="141"/>
      <c r="U39" s="152"/>
      <c r="V39" s="153">
        <v>204</v>
      </c>
      <c r="W39" s="154"/>
      <c r="X39" s="155"/>
      <c r="Y39" s="146">
        <v>204</v>
      </c>
      <c r="Z39" s="156"/>
      <c r="AA39" s="157"/>
      <c r="AB39" s="157"/>
      <c r="AC39" s="158"/>
      <c r="AD39" s="159" t="s">
        <v>13183</v>
      </c>
      <c r="AE39" s="117"/>
      <c r="AF39" s="117"/>
      <c r="AG39" s="117"/>
      <c r="AH39" s="117"/>
      <c r="AI39" s="117"/>
      <c r="AJ39" s="117"/>
      <c r="AK39" s="117"/>
      <c r="AL39" s="117"/>
      <c r="AM39" s="117"/>
      <c r="AN39" s="117"/>
      <c r="AO39" s="117"/>
      <c r="AP39" s="117"/>
      <c r="AQ39" s="117"/>
      <c r="AR39" s="117"/>
      <c r="AS39" s="117"/>
      <c r="AT39" s="117"/>
      <c r="AU39" s="117"/>
      <c r="AV39" s="117"/>
      <c r="AW39" s="117"/>
      <c r="AX39" s="117"/>
      <c r="AY39" s="117"/>
      <c r="AZ39" s="117"/>
      <c r="BA39" s="117"/>
      <c r="BB39" s="117"/>
      <c r="BC39" s="117"/>
      <c r="BD39" s="117"/>
      <c r="BE39" s="118"/>
      <c r="BF39" s="118"/>
      <c r="BG39" s="118"/>
      <c r="BH39" s="119"/>
      <c r="BI39" s="150"/>
      <c r="BJ39" s="121">
        <v>17</v>
      </c>
      <c r="BK39" s="121">
        <v>17</v>
      </c>
      <c r="BL39" s="121">
        <v>17</v>
      </c>
      <c r="BM39" s="121">
        <v>17</v>
      </c>
      <c r="BN39" s="121">
        <v>17</v>
      </c>
      <c r="BO39" s="121">
        <v>17</v>
      </c>
      <c r="BP39" s="121">
        <v>17</v>
      </c>
      <c r="BQ39" s="121">
        <v>17</v>
      </c>
      <c r="BR39" s="121">
        <v>17</v>
      </c>
      <c r="BS39" s="121">
        <v>17</v>
      </c>
      <c r="BT39" s="121">
        <v>17</v>
      </c>
      <c r="BU39" s="121">
        <v>17</v>
      </c>
      <c r="BV39" s="199"/>
      <c r="BW39" s="199"/>
      <c r="BX39" s="199"/>
      <c r="BY39" s="199"/>
      <c r="BZ39" s="199"/>
      <c r="CA39" s="199"/>
      <c r="CB39" s="199"/>
      <c r="CC39" s="199"/>
      <c r="CD39" s="199"/>
      <c r="CE39" s="199"/>
      <c r="CF39" s="199"/>
      <c r="CG39" s="199"/>
      <c r="CH39" s="199"/>
      <c r="CI39" s="121"/>
      <c r="CJ39" s="121"/>
      <c r="CK39" s="121"/>
      <c r="CL39" s="121"/>
      <c r="CM39" s="121"/>
      <c r="CN39" s="200"/>
      <c r="CO39" s="201"/>
      <c r="CP39" s="202"/>
      <c r="CQ39" s="202"/>
      <c r="CR39" s="202"/>
      <c r="CS39" s="202"/>
      <c r="CT39" s="203"/>
      <c r="CU39" s="204"/>
      <c r="CV39" s="199"/>
      <c r="CW39" s="205"/>
      <c r="CX39" s="132"/>
      <c r="CY39" s="132"/>
      <c r="CZ39" s="132"/>
      <c r="DA39" s="132"/>
      <c r="DB39" s="132"/>
      <c r="DC39" s="132"/>
      <c r="DD39" s="132"/>
      <c r="DE39" s="103"/>
      <c r="DF39" s="103"/>
      <c r="DG39" s="103"/>
      <c r="DH39" s="103"/>
      <c r="DI39" s="103"/>
      <c r="DJ39" s="103"/>
      <c r="DK39" s="130"/>
      <c r="DL39" s="130"/>
      <c r="DM39" s="130"/>
      <c r="DN39" s="132"/>
      <c r="DO39" s="132"/>
    </row>
    <row r="40" ht="41.1" customHeight="1" spans="1:119">
      <c r="A40" s="131">
        <v>43392</v>
      </c>
      <c r="B40" s="132"/>
      <c r="C40" s="160" t="s">
        <v>13232</v>
      </c>
      <c r="D40" s="161" t="s">
        <v>13231</v>
      </c>
      <c r="E40" s="100"/>
      <c r="F40" s="136" t="s">
        <v>13181</v>
      </c>
      <c r="G40" s="137" t="s">
        <v>13182</v>
      </c>
      <c r="H40" s="138">
        <v>480</v>
      </c>
      <c r="I40" s="132"/>
      <c r="J40" s="132"/>
      <c r="K40" s="132"/>
      <c r="L40" s="139"/>
      <c r="M40" s="140"/>
      <c r="N40" s="141"/>
      <c r="O40" s="141"/>
      <c r="P40" s="142"/>
      <c r="Q40" s="141"/>
      <c r="R40" s="141"/>
      <c r="S40" s="143"/>
      <c r="T40" s="141"/>
      <c r="U40" s="152"/>
      <c r="V40" s="153">
        <v>480</v>
      </c>
      <c r="W40" s="154"/>
      <c r="X40" s="155"/>
      <c r="Y40" s="146">
        <v>480</v>
      </c>
      <c r="Z40" s="156"/>
      <c r="AA40" s="157"/>
      <c r="AB40" s="157"/>
      <c r="AC40" s="158"/>
      <c r="AD40" s="159" t="s">
        <v>13183</v>
      </c>
      <c r="AE40" s="117"/>
      <c r="AF40" s="117"/>
      <c r="AG40" s="117"/>
      <c r="AH40" s="117"/>
      <c r="AI40" s="117"/>
      <c r="AJ40" s="117"/>
      <c r="AK40" s="117"/>
      <c r="AL40" s="117"/>
      <c r="AM40" s="117"/>
      <c r="AN40" s="117"/>
      <c r="AO40" s="117"/>
      <c r="AP40" s="117"/>
      <c r="AQ40" s="117"/>
      <c r="AR40" s="117"/>
      <c r="AS40" s="117"/>
      <c r="AT40" s="117"/>
      <c r="AU40" s="117"/>
      <c r="AV40" s="117"/>
      <c r="AW40" s="117"/>
      <c r="AX40" s="117"/>
      <c r="AY40" s="117"/>
      <c r="AZ40" s="117"/>
      <c r="BA40" s="117"/>
      <c r="BB40" s="117"/>
      <c r="BC40" s="117"/>
      <c r="BD40" s="117"/>
      <c r="BE40" s="118"/>
      <c r="BF40" s="118"/>
      <c r="BG40" s="118"/>
      <c r="BH40" s="119"/>
      <c r="BI40" s="150"/>
      <c r="BJ40" s="121">
        <v>40</v>
      </c>
      <c r="BK40" s="121">
        <v>40</v>
      </c>
      <c r="BL40" s="121">
        <v>40</v>
      </c>
      <c r="BM40" s="121">
        <v>40</v>
      </c>
      <c r="BN40" s="121">
        <v>40</v>
      </c>
      <c r="BO40" s="121">
        <v>40</v>
      </c>
      <c r="BP40" s="121">
        <v>40</v>
      </c>
      <c r="BQ40" s="121">
        <v>40</v>
      </c>
      <c r="BR40" s="121">
        <v>40</v>
      </c>
      <c r="BS40" s="121">
        <v>40</v>
      </c>
      <c r="BT40" s="121">
        <v>40</v>
      </c>
      <c r="BU40" s="121">
        <v>40</v>
      </c>
      <c r="BV40" s="199"/>
      <c r="BW40" s="199"/>
      <c r="BX40" s="199"/>
      <c r="BY40" s="199"/>
      <c r="BZ40" s="199"/>
      <c r="CA40" s="199"/>
      <c r="CB40" s="199"/>
      <c r="CC40" s="199"/>
      <c r="CD40" s="199"/>
      <c r="CE40" s="199"/>
      <c r="CF40" s="199"/>
      <c r="CG40" s="199"/>
      <c r="CH40" s="199"/>
      <c r="CI40" s="121"/>
      <c r="CJ40" s="121"/>
      <c r="CK40" s="121"/>
      <c r="CL40" s="121"/>
      <c r="CM40" s="121"/>
      <c r="CN40" s="200"/>
      <c r="CO40" s="201"/>
      <c r="CP40" s="202"/>
      <c r="CQ40" s="202"/>
      <c r="CR40" s="202"/>
      <c r="CS40" s="202"/>
      <c r="CT40" s="203"/>
      <c r="CU40" s="204"/>
      <c r="CV40" s="199"/>
      <c r="CW40" s="205"/>
      <c r="CX40" s="132"/>
      <c r="CY40" s="132"/>
      <c r="CZ40" s="132"/>
      <c r="DA40" s="132"/>
      <c r="DB40" s="132"/>
      <c r="DC40" s="132"/>
      <c r="DD40" s="132"/>
      <c r="DE40" s="103"/>
      <c r="DF40" s="103"/>
      <c r="DG40" s="103"/>
      <c r="DH40" s="103"/>
      <c r="DI40" s="103"/>
      <c r="DJ40" s="103"/>
      <c r="DK40" s="130"/>
      <c r="DL40" s="130"/>
      <c r="DM40" s="130"/>
      <c r="DN40" s="132"/>
      <c r="DO40" s="132"/>
    </row>
    <row r="41" ht="41.1" customHeight="1" spans="1:119">
      <c r="A41" s="131">
        <v>43395</v>
      </c>
      <c r="B41" s="132"/>
      <c r="C41" s="160">
        <v>4500013346</v>
      </c>
      <c r="D41" s="161" t="s">
        <v>13187</v>
      </c>
      <c r="E41" s="100"/>
      <c r="F41" s="136" t="s">
        <v>13181</v>
      </c>
      <c r="G41" s="137" t="s">
        <v>13182</v>
      </c>
      <c r="H41" s="138">
        <v>24</v>
      </c>
      <c r="I41" s="132"/>
      <c r="J41" s="132"/>
      <c r="K41" s="132"/>
      <c r="L41" s="139"/>
      <c r="M41" s="140"/>
      <c r="N41" s="141"/>
      <c r="O41" s="141"/>
      <c r="P41" s="142"/>
      <c r="Q41" s="141"/>
      <c r="R41" s="141"/>
      <c r="S41" s="143"/>
      <c r="T41" s="141"/>
      <c r="U41" s="152"/>
      <c r="V41" s="153"/>
      <c r="W41" s="154">
        <v>24</v>
      </c>
      <c r="X41" s="155"/>
      <c r="Y41" s="146"/>
      <c r="Z41" s="156">
        <v>24</v>
      </c>
      <c r="AA41" s="157"/>
      <c r="AB41" s="157"/>
      <c r="AC41" s="158"/>
      <c r="AD41" s="159" t="s">
        <v>13183</v>
      </c>
      <c r="AE41" s="117"/>
      <c r="AF41" s="117"/>
      <c r="AG41" s="117"/>
      <c r="AH41" s="117"/>
      <c r="AI41" s="117"/>
      <c r="AJ41" s="117"/>
      <c r="AK41" s="117"/>
      <c r="AL41" s="117"/>
      <c r="AM41" s="117"/>
      <c r="AN41" s="117"/>
      <c r="AO41" s="117"/>
      <c r="AP41" s="117"/>
      <c r="AQ41" s="117"/>
      <c r="AR41" s="117"/>
      <c r="AS41" s="117"/>
      <c r="AT41" s="117"/>
      <c r="AU41" s="117"/>
      <c r="AV41" s="117"/>
      <c r="AW41" s="117"/>
      <c r="AX41" s="117"/>
      <c r="AY41" s="117"/>
      <c r="AZ41" s="117"/>
      <c r="BA41" s="117"/>
      <c r="BB41" s="117"/>
      <c r="BC41" s="117"/>
      <c r="BD41" s="117"/>
      <c r="BE41" s="118"/>
      <c r="BF41" s="118"/>
      <c r="BG41" s="118"/>
      <c r="BH41" s="119"/>
      <c r="BI41" s="150"/>
      <c r="BJ41" s="121">
        <v>2</v>
      </c>
      <c r="BK41" s="121">
        <v>2</v>
      </c>
      <c r="BL41" s="121">
        <v>2</v>
      </c>
      <c r="BM41" s="121">
        <v>2</v>
      </c>
      <c r="BN41" s="121">
        <v>2</v>
      </c>
      <c r="BO41" s="121">
        <v>2</v>
      </c>
      <c r="BP41" s="121">
        <v>2</v>
      </c>
      <c r="BQ41" s="121">
        <v>2</v>
      </c>
      <c r="BR41" s="121">
        <v>2</v>
      </c>
      <c r="BS41" s="121">
        <v>2</v>
      </c>
      <c r="BT41" s="121">
        <v>2</v>
      </c>
      <c r="BU41" s="121">
        <v>2</v>
      </c>
      <c r="BV41" s="199"/>
      <c r="BW41" s="199"/>
      <c r="BX41" s="199"/>
      <c r="BY41" s="199"/>
      <c r="BZ41" s="199"/>
      <c r="CA41" s="199"/>
      <c r="CB41" s="199"/>
      <c r="CC41" s="199"/>
      <c r="CD41" s="199"/>
      <c r="CE41" s="199"/>
      <c r="CF41" s="199"/>
      <c r="CG41" s="199"/>
      <c r="CH41" s="199"/>
      <c r="CI41" s="121"/>
      <c r="CJ41" s="121"/>
      <c r="CK41" s="121"/>
      <c r="CL41" s="121"/>
      <c r="CM41" s="121"/>
      <c r="CN41" s="200"/>
      <c r="CO41" s="201"/>
      <c r="CP41" s="202"/>
      <c r="CQ41" s="202"/>
      <c r="CR41" s="202"/>
      <c r="CS41" s="202"/>
      <c r="CT41" s="203"/>
      <c r="CU41" s="204"/>
      <c r="CV41" s="199"/>
      <c r="CW41" s="205"/>
      <c r="CX41" s="132"/>
      <c r="CY41" s="132"/>
      <c r="CZ41" s="132"/>
      <c r="DA41" s="132"/>
      <c r="DB41" s="132"/>
      <c r="DC41" s="132"/>
      <c r="DD41" s="132"/>
      <c r="DE41" s="103"/>
      <c r="DF41" s="103"/>
      <c r="DG41" s="103"/>
      <c r="DH41" s="103"/>
      <c r="DI41" s="103"/>
      <c r="DJ41" s="103"/>
      <c r="DK41" s="130"/>
      <c r="DL41" s="130"/>
      <c r="DM41" s="130"/>
      <c r="DN41" s="132"/>
      <c r="DO41" s="132"/>
    </row>
    <row r="42" ht="41.1" customHeight="1" spans="1:119">
      <c r="A42" s="131">
        <v>43417</v>
      </c>
      <c r="B42" s="132"/>
      <c r="C42" s="160">
        <v>4500014341</v>
      </c>
      <c r="D42" s="161" t="s">
        <v>13221</v>
      </c>
      <c r="E42" s="100"/>
      <c r="F42" s="136" t="s">
        <v>13181</v>
      </c>
      <c r="G42" s="137" t="s">
        <v>13182</v>
      </c>
      <c r="H42" s="138">
        <v>2</v>
      </c>
      <c r="I42" s="132"/>
      <c r="J42" s="132"/>
      <c r="K42" s="132"/>
      <c r="L42" s="139"/>
      <c r="M42" s="140"/>
      <c r="N42" s="141"/>
      <c r="O42" s="141"/>
      <c r="P42" s="142"/>
      <c r="Q42" s="141"/>
      <c r="R42" s="141"/>
      <c r="S42" s="143"/>
      <c r="T42" s="141"/>
      <c r="U42" s="152"/>
      <c r="V42" s="153">
        <v>2</v>
      </c>
      <c r="W42" s="154"/>
      <c r="X42" s="155"/>
      <c r="Y42" s="146"/>
      <c r="Z42" s="156">
        <v>2</v>
      </c>
      <c r="AA42" s="157"/>
      <c r="AB42" s="157"/>
      <c r="AC42" s="158"/>
      <c r="AD42" s="159" t="s">
        <v>13183</v>
      </c>
      <c r="AE42" s="117"/>
      <c r="AF42" s="117"/>
      <c r="AG42" s="117"/>
      <c r="AH42" s="117"/>
      <c r="AI42" s="117"/>
      <c r="AJ42" s="117"/>
      <c r="AK42" s="117"/>
      <c r="AL42" s="117"/>
      <c r="AM42" s="117"/>
      <c r="AN42" s="117"/>
      <c r="AO42" s="117"/>
      <c r="AP42" s="117"/>
      <c r="AQ42" s="117"/>
      <c r="AR42" s="117"/>
      <c r="AS42" s="117"/>
      <c r="AT42" s="117"/>
      <c r="AU42" s="117"/>
      <c r="AV42" s="117"/>
      <c r="AW42" s="117"/>
      <c r="AX42" s="117"/>
      <c r="AY42" s="117"/>
      <c r="AZ42" s="117"/>
      <c r="BA42" s="117"/>
      <c r="BB42" s="117"/>
      <c r="BC42" s="117"/>
      <c r="BD42" s="117"/>
      <c r="BE42" s="118"/>
      <c r="BF42" s="118"/>
      <c r="BG42" s="118"/>
      <c r="BH42" s="119"/>
      <c r="BI42" s="150"/>
      <c r="BJ42" s="121"/>
      <c r="BK42" s="121"/>
      <c r="BL42" s="121">
        <v>2</v>
      </c>
      <c r="BM42" s="121"/>
      <c r="BN42" s="121"/>
      <c r="BO42" s="121"/>
      <c r="BP42" s="121"/>
      <c r="BQ42" s="121"/>
      <c r="BR42" s="121"/>
      <c r="BS42" s="121"/>
      <c r="BT42" s="121"/>
      <c r="BU42" s="121"/>
      <c r="BV42" s="199"/>
      <c r="BW42" s="199"/>
      <c r="BX42" s="199"/>
      <c r="BY42" s="199"/>
      <c r="BZ42" s="199"/>
      <c r="CA42" s="199"/>
      <c r="CB42" s="199"/>
      <c r="CC42" s="199"/>
      <c r="CD42" s="199"/>
      <c r="CE42" s="199"/>
      <c r="CF42" s="199"/>
      <c r="CG42" s="199"/>
      <c r="CH42" s="199"/>
      <c r="CI42" s="121"/>
      <c r="CJ42" s="121"/>
      <c r="CK42" s="121"/>
      <c r="CL42" s="121"/>
      <c r="CM42" s="121"/>
      <c r="CN42" s="200"/>
      <c r="CO42" s="201"/>
      <c r="CP42" s="202"/>
      <c r="CQ42" s="202"/>
      <c r="CR42" s="202"/>
      <c r="CS42" s="202"/>
      <c r="CT42" s="203"/>
      <c r="CU42" s="204"/>
      <c r="CV42" s="199"/>
      <c r="CW42" s="205"/>
      <c r="CX42" s="132"/>
      <c r="CY42" s="132"/>
      <c r="CZ42" s="132"/>
      <c r="DA42" s="132"/>
      <c r="DB42" s="132"/>
      <c r="DC42" s="132"/>
      <c r="DD42" s="132"/>
      <c r="DE42" s="103"/>
      <c r="DF42" s="103"/>
      <c r="DG42" s="103"/>
      <c r="DH42" s="103"/>
      <c r="DI42" s="103"/>
      <c r="DJ42" s="103"/>
      <c r="DK42" s="130"/>
      <c r="DL42" s="130"/>
      <c r="DM42" s="130"/>
      <c r="DN42" s="132"/>
      <c r="DO42" s="132"/>
    </row>
    <row r="43" ht="41.1" customHeight="1" spans="1:119">
      <c r="A43" s="131">
        <v>43419</v>
      </c>
      <c r="B43" s="132" t="s">
        <v>12181</v>
      </c>
      <c r="C43" s="160"/>
      <c r="D43" s="161" t="s">
        <v>13233</v>
      </c>
      <c r="E43" s="100" t="s">
        <v>13234</v>
      </c>
      <c r="F43" s="136" t="s">
        <v>13181</v>
      </c>
      <c r="G43" s="137" t="s">
        <v>13182</v>
      </c>
      <c r="H43" s="138">
        <v>48</v>
      </c>
      <c r="I43" s="132"/>
      <c r="J43" s="132"/>
      <c r="K43" s="132"/>
      <c r="L43" s="139"/>
      <c r="M43" s="140"/>
      <c r="N43" s="141"/>
      <c r="O43" s="141"/>
      <c r="P43" s="142"/>
      <c r="Q43" s="141"/>
      <c r="R43" s="141"/>
      <c r="S43" s="143"/>
      <c r="T43" s="141"/>
      <c r="U43" s="152"/>
      <c r="V43" s="153">
        <v>48</v>
      </c>
      <c r="W43" s="154"/>
      <c r="X43" s="155"/>
      <c r="Y43" s="146"/>
      <c r="Z43" s="156">
        <v>48</v>
      </c>
      <c r="AA43" s="157"/>
      <c r="AB43" s="157"/>
      <c r="AC43" s="158"/>
      <c r="AD43" s="159" t="s">
        <v>13183</v>
      </c>
      <c r="AE43" s="117"/>
      <c r="AF43" s="117"/>
      <c r="AG43" s="117"/>
      <c r="AH43" s="117"/>
      <c r="AI43" s="117"/>
      <c r="AJ43" s="117"/>
      <c r="AK43" s="117"/>
      <c r="AL43" s="117"/>
      <c r="AM43" s="117"/>
      <c r="AN43" s="117"/>
      <c r="AO43" s="117"/>
      <c r="AP43" s="117"/>
      <c r="AQ43" s="117"/>
      <c r="AR43" s="117"/>
      <c r="AS43" s="117"/>
      <c r="AT43" s="117"/>
      <c r="AU43" s="117"/>
      <c r="AV43" s="117"/>
      <c r="AW43" s="117"/>
      <c r="AX43" s="117"/>
      <c r="AY43" s="117"/>
      <c r="AZ43" s="117"/>
      <c r="BA43" s="117"/>
      <c r="BB43" s="117"/>
      <c r="BC43" s="117"/>
      <c r="BD43" s="117"/>
      <c r="BE43" s="118"/>
      <c r="BF43" s="118"/>
      <c r="BG43" s="118"/>
      <c r="BH43" s="119"/>
      <c r="BI43" s="150"/>
      <c r="BJ43" s="121">
        <v>4</v>
      </c>
      <c r="BK43" s="121">
        <v>4</v>
      </c>
      <c r="BL43" s="121">
        <v>4</v>
      </c>
      <c r="BM43" s="121">
        <v>4</v>
      </c>
      <c r="BN43" s="121">
        <v>4</v>
      </c>
      <c r="BO43" s="121">
        <v>4</v>
      </c>
      <c r="BP43" s="121">
        <v>4</v>
      </c>
      <c r="BQ43" s="121">
        <v>4</v>
      </c>
      <c r="BR43" s="121">
        <v>4</v>
      </c>
      <c r="BS43" s="121">
        <v>4</v>
      </c>
      <c r="BT43" s="121">
        <v>4</v>
      </c>
      <c r="BU43" s="121">
        <v>4</v>
      </c>
      <c r="BV43" s="199"/>
      <c r="BW43" s="199"/>
      <c r="BX43" s="199"/>
      <c r="BY43" s="199"/>
      <c r="BZ43" s="199"/>
      <c r="CA43" s="199"/>
      <c r="CB43" s="199"/>
      <c r="CC43" s="199"/>
      <c r="CD43" s="199"/>
      <c r="CE43" s="199"/>
      <c r="CF43" s="199"/>
      <c r="CG43" s="199"/>
      <c r="CH43" s="199"/>
      <c r="CI43" s="121"/>
      <c r="CJ43" s="121"/>
      <c r="CK43" s="121"/>
      <c r="CL43" s="121"/>
      <c r="CM43" s="121"/>
      <c r="CN43" s="200"/>
      <c r="CO43" s="201"/>
      <c r="CP43" s="202"/>
      <c r="CQ43" s="202"/>
      <c r="CR43" s="202"/>
      <c r="CS43" s="202"/>
      <c r="CT43" s="203"/>
      <c r="CU43" s="204"/>
      <c r="CV43" s="199"/>
      <c r="CW43" s="205"/>
      <c r="CX43" s="132"/>
      <c r="CY43" s="132"/>
      <c r="CZ43" s="132"/>
      <c r="DA43" s="132"/>
      <c r="DB43" s="132"/>
      <c r="DC43" s="132"/>
      <c r="DD43" s="132"/>
      <c r="DE43" s="103"/>
      <c r="DF43" s="103"/>
      <c r="DG43" s="103"/>
      <c r="DH43" s="103"/>
      <c r="DI43" s="103"/>
      <c r="DJ43" s="103"/>
      <c r="DK43" s="130"/>
      <c r="DL43" s="130"/>
      <c r="DM43" s="130"/>
      <c r="DN43" s="132"/>
      <c r="DO43" s="132"/>
    </row>
    <row r="44" ht="41.1" customHeight="1" spans="1:119">
      <c r="A44" s="131">
        <v>43419</v>
      </c>
      <c r="B44" s="132" t="s">
        <v>12181</v>
      </c>
      <c r="C44" s="160"/>
      <c r="D44" s="161" t="s">
        <v>13187</v>
      </c>
      <c r="E44" s="100" t="s">
        <v>13234</v>
      </c>
      <c r="F44" s="136" t="s">
        <v>13181</v>
      </c>
      <c r="G44" s="137" t="s">
        <v>13182</v>
      </c>
      <c r="H44" s="138">
        <v>24</v>
      </c>
      <c r="I44" s="132"/>
      <c r="J44" s="132"/>
      <c r="K44" s="132"/>
      <c r="L44" s="139"/>
      <c r="M44" s="140"/>
      <c r="N44" s="141"/>
      <c r="O44" s="141"/>
      <c r="P44" s="142"/>
      <c r="Q44" s="141"/>
      <c r="R44" s="141"/>
      <c r="S44" s="143"/>
      <c r="T44" s="141"/>
      <c r="U44" s="152"/>
      <c r="V44" s="153">
        <v>24</v>
      </c>
      <c r="W44" s="154"/>
      <c r="X44" s="155"/>
      <c r="Y44" s="146"/>
      <c r="Z44" s="156">
        <v>24</v>
      </c>
      <c r="AA44" s="157"/>
      <c r="AB44" s="157"/>
      <c r="AC44" s="158"/>
      <c r="AD44" s="159" t="s">
        <v>13183</v>
      </c>
      <c r="AE44" s="117"/>
      <c r="AF44" s="117"/>
      <c r="AG44" s="117"/>
      <c r="AH44" s="117"/>
      <c r="AI44" s="117"/>
      <c r="AJ44" s="117"/>
      <c r="AK44" s="117"/>
      <c r="AL44" s="117"/>
      <c r="AM44" s="117"/>
      <c r="AN44" s="117"/>
      <c r="AO44" s="117"/>
      <c r="AP44" s="117"/>
      <c r="AQ44" s="117"/>
      <c r="AR44" s="117"/>
      <c r="AS44" s="117"/>
      <c r="AT44" s="117"/>
      <c r="AU44" s="117"/>
      <c r="AV44" s="117"/>
      <c r="AW44" s="117"/>
      <c r="AX44" s="117"/>
      <c r="AY44" s="117"/>
      <c r="AZ44" s="117"/>
      <c r="BA44" s="117"/>
      <c r="BB44" s="117"/>
      <c r="BC44" s="117"/>
      <c r="BD44" s="117"/>
      <c r="BE44" s="118"/>
      <c r="BF44" s="118"/>
      <c r="BG44" s="118"/>
      <c r="BH44" s="119"/>
      <c r="BI44" s="150"/>
      <c r="BJ44" s="121">
        <v>2</v>
      </c>
      <c r="BK44" s="121">
        <v>2</v>
      </c>
      <c r="BL44" s="121">
        <v>2</v>
      </c>
      <c r="BM44" s="121">
        <v>2</v>
      </c>
      <c r="BN44" s="121">
        <v>2</v>
      </c>
      <c r="BO44" s="121">
        <v>2</v>
      </c>
      <c r="BP44" s="121">
        <v>2</v>
      </c>
      <c r="BQ44" s="121">
        <v>2</v>
      </c>
      <c r="BR44" s="121">
        <v>2</v>
      </c>
      <c r="BS44" s="121">
        <v>2</v>
      </c>
      <c r="BT44" s="121">
        <v>2</v>
      </c>
      <c r="BU44" s="121">
        <v>2</v>
      </c>
      <c r="BV44" s="199"/>
      <c r="BW44" s="199"/>
      <c r="BX44" s="199"/>
      <c r="BY44" s="199"/>
      <c r="BZ44" s="199"/>
      <c r="CA44" s="199"/>
      <c r="CB44" s="199"/>
      <c r="CC44" s="199"/>
      <c r="CD44" s="199"/>
      <c r="CE44" s="199"/>
      <c r="CF44" s="199"/>
      <c r="CG44" s="199"/>
      <c r="CH44" s="199"/>
      <c r="CI44" s="121"/>
      <c r="CJ44" s="121"/>
      <c r="CK44" s="121"/>
      <c r="CL44" s="121"/>
      <c r="CM44" s="121"/>
      <c r="CN44" s="200"/>
      <c r="CO44" s="201"/>
      <c r="CP44" s="202"/>
      <c r="CQ44" s="202"/>
      <c r="CR44" s="202"/>
      <c r="CS44" s="202"/>
      <c r="CT44" s="203"/>
      <c r="CU44" s="204"/>
      <c r="CV44" s="199"/>
      <c r="CW44" s="205"/>
      <c r="CX44" s="132"/>
      <c r="CY44" s="132"/>
      <c r="CZ44" s="132"/>
      <c r="DA44" s="132"/>
      <c r="DB44" s="132"/>
      <c r="DC44" s="132"/>
      <c r="DD44" s="132"/>
      <c r="DE44" s="103"/>
      <c r="DF44" s="103"/>
      <c r="DG44" s="103"/>
      <c r="DH44" s="103"/>
      <c r="DI44" s="103"/>
      <c r="DJ44" s="103"/>
      <c r="DK44" s="130"/>
      <c r="DL44" s="130"/>
      <c r="DM44" s="130"/>
      <c r="DN44" s="132"/>
      <c r="DO44" s="132"/>
    </row>
    <row r="45" ht="41.1" customHeight="1" spans="1:119">
      <c r="A45" s="131">
        <v>43427</v>
      </c>
      <c r="B45" s="132" t="s">
        <v>12181</v>
      </c>
      <c r="C45" s="160" t="s">
        <v>13235</v>
      </c>
      <c r="D45" s="161" t="s">
        <v>13233</v>
      </c>
      <c r="E45" s="100" t="s">
        <v>13236</v>
      </c>
      <c r="F45" s="136" t="s">
        <v>13181</v>
      </c>
      <c r="G45" s="137" t="s">
        <v>13182</v>
      </c>
      <c r="H45" s="138">
        <v>48</v>
      </c>
      <c r="I45" s="132"/>
      <c r="J45" s="132"/>
      <c r="K45" s="132"/>
      <c r="L45" s="139"/>
      <c r="M45" s="140"/>
      <c r="N45" s="141"/>
      <c r="O45" s="141"/>
      <c r="P45" s="142"/>
      <c r="Q45" s="141"/>
      <c r="R45" s="141"/>
      <c r="S45" s="143"/>
      <c r="T45" s="141"/>
      <c r="U45" s="152"/>
      <c r="V45" s="153"/>
      <c r="W45" s="154">
        <v>48</v>
      </c>
      <c r="X45" s="155"/>
      <c r="Y45" s="146"/>
      <c r="Z45" s="156"/>
      <c r="AA45" s="157"/>
      <c r="AB45" s="157">
        <v>48</v>
      </c>
      <c r="AC45" s="158"/>
      <c r="AD45" s="159" t="s">
        <v>13183</v>
      </c>
      <c r="AE45" s="117"/>
      <c r="AF45" s="117"/>
      <c r="AG45" s="117"/>
      <c r="AH45" s="117"/>
      <c r="AI45" s="117"/>
      <c r="AJ45" s="117"/>
      <c r="AK45" s="117"/>
      <c r="AL45" s="117"/>
      <c r="AM45" s="117"/>
      <c r="AN45" s="117"/>
      <c r="AO45" s="117"/>
      <c r="AP45" s="117"/>
      <c r="AQ45" s="117"/>
      <c r="AR45" s="117"/>
      <c r="AS45" s="117"/>
      <c r="AT45" s="117"/>
      <c r="AU45" s="117"/>
      <c r="AV45" s="117"/>
      <c r="AW45" s="117"/>
      <c r="AX45" s="117"/>
      <c r="AY45" s="117"/>
      <c r="AZ45" s="117"/>
      <c r="BA45" s="117"/>
      <c r="BB45" s="117"/>
      <c r="BC45" s="117"/>
      <c r="BD45" s="117"/>
      <c r="BE45" s="118"/>
      <c r="BF45" s="118"/>
      <c r="BG45" s="118"/>
      <c r="BH45" s="119"/>
      <c r="BI45" s="150"/>
      <c r="BJ45" s="121">
        <v>4</v>
      </c>
      <c r="BK45" s="121">
        <v>4</v>
      </c>
      <c r="BL45" s="121">
        <v>4</v>
      </c>
      <c r="BM45" s="121">
        <v>4</v>
      </c>
      <c r="BN45" s="121">
        <v>4</v>
      </c>
      <c r="BO45" s="121">
        <v>4</v>
      </c>
      <c r="BP45" s="121">
        <v>4</v>
      </c>
      <c r="BQ45" s="121">
        <v>4</v>
      </c>
      <c r="BR45" s="121">
        <v>4</v>
      </c>
      <c r="BS45" s="121">
        <v>4</v>
      </c>
      <c r="BT45" s="121">
        <v>4</v>
      </c>
      <c r="BU45" s="121">
        <v>4</v>
      </c>
      <c r="BV45" s="199"/>
      <c r="BW45" s="199"/>
      <c r="BX45" s="199"/>
      <c r="BY45" s="199"/>
      <c r="BZ45" s="199"/>
      <c r="CA45" s="199"/>
      <c r="CB45" s="199"/>
      <c r="CC45" s="199"/>
      <c r="CD45" s="199"/>
      <c r="CE45" s="199"/>
      <c r="CF45" s="199"/>
      <c r="CG45" s="199"/>
      <c r="CH45" s="199"/>
      <c r="CI45" s="121"/>
      <c r="CJ45" s="121"/>
      <c r="CK45" s="121"/>
      <c r="CL45" s="121"/>
      <c r="CM45" s="121"/>
      <c r="CN45" s="200"/>
      <c r="CO45" s="201"/>
      <c r="CP45" s="202"/>
      <c r="CQ45" s="202"/>
      <c r="CR45" s="202"/>
      <c r="CS45" s="202"/>
      <c r="CT45" s="203"/>
      <c r="CU45" s="204"/>
      <c r="CV45" s="199"/>
      <c r="CW45" s="205"/>
      <c r="CX45" s="132"/>
      <c r="CY45" s="132"/>
      <c r="CZ45" s="132"/>
      <c r="DA45" s="132"/>
      <c r="DB45" s="132"/>
      <c r="DC45" s="132"/>
      <c r="DD45" s="132"/>
      <c r="DE45" s="103"/>
      <c r="DF45" s="103"/>
      <c r="DG45" s="103"/>
      <c r="DH45" s="103"/>
      <c r="DI45" s="103"/>
      <c r="DJ45" s="103"/>
      <c r="DK45" s="130"/>
      <c r="DL45" s="130"/>
      <c r="DM45" s="130"/>
      <c r="DN45" s="132"/>
      <c r="DO45" s="132"/>
    </row>
    <row r="46" ht="41.1" customHeight="1" spans="1:119">
      <c r="A46" s="131">
        <v>43444</v>
      </c>
      <c r="B46" s="132" t="s">
        <v>13237</v>
      </c>
      <c r="C46" s="160">
        <v>4500014867</v>
      </c>
      <c r="D46" s="161" t="s">
        <v>13228</v>
      </c>
      <c r="E46" s="100" t="s">
        <v>13238</v>
      </c>
      <c r="F46" s="136" t="s">
        <v>13181</v>
      </c>
      <c r="G46" s="137" t="s">
        <v>13182</v>
      </c>
      <c r="H46" s="138">
        <v>12</v>
      </c>
      <c r="I46" s="132"/>
      <c r="J46" s="132"/>
      <c r="K46" s="132"/>
      <c r="L46" s="139"/>
      <c r="M46" s="140"/>
      <c r="N46" s="141"/>
      <c r="O46" s="141"/>
      <c r="P46" s="142"/>
      <c r="Q46" s="141"/>
      <c r="R46" s="141"/>
      <c r="S46" s="143"/>
      <c r="T46" s="141"/>
      <c r="U46" s="152"/>
      <c r="V46" s="153">
        <v>12</v>
      </c>
      <c r="W46" s="154"/>
      <c r="X46" s="155"/>
      <c r="Y46" s="146"/>
      <c r="Z46" s="156"/>
      <c r="AA46" s="157"/>
      <c r="AB46" s="157"/>
      <c r="AC46" s="158">
        <v>12</v>
      </c>
      <c r="AD46" s="159" t="s">
        <v>13229</v>
      </c>
      <c r="AE46" s="117"/>
      <c r="AF46" s="117"/>
      <c r="AG46" s="117"/>
      <c r="AH46" s="117"/>
      <c r="AI46" s="117"/>
      <c r="AJ46" s="117"/>
      <c r="AK46" s="117"/>
      <c r="AL46" s="117"/>
      <c r="AM46" s="117"/>
      <c r="AN46" s="117"/>
      <c r="AO46" s="117"/>
      <c r="AP46" s="117"/>
      <c r="AQ46" s="117"/>
      <c r="AR46" s="117"/>
      <c r="AS46" s="117"/>
      <c r="AT46" s="117"/>
      <c r="AU46" s="117"/>
      <c r="AV46" s="117"/>
      <c r="AW46" s="117"/>
      <c r="AX46" s="117"/>
      <c r="AY46" s="117"/>
      <c r="AZ46" s="117"/>
      <c r="BA46" s="117"/>
      <c r="BB46" s="117"/>
      <c r="BC46" s="117"/>
      <c r="BD46" s="117"/>
      <c r="BE46" s="118"/>
      <c r="BF46" s="118"/>
      <c r="BG46" s="118"/>
      <c r="BH46" s="119"/>
      <c r="BI46" s="150"/>
      <c r="BJ46" s="121">
        <v>1</v>
      </c>
      <c r="BK46" s="121">
        <v>1</v>
      </c>
      <c r="BL46" s="121">
        <v>1</v>
      </c>
      <c r="BM46" s="121">
        <v>1</v>
      </c>
      <c r="BN46" s="121">
        <v>1</v>
      </c>
      <c r="BO46" s="121">
        <v>1</v>
      </c>
      <c r="BP46" s="121">
        <v>1</v>
      </c>
      <c r="BQ46" s="121">
        <v>1</v>
      </c>
      <c r="BR46" s="121">
        <v>1</v>
      </c>
      <c r="BS46" s="121">
        <v>1</v>
      </c>
      <c r="BT46" s="121">
        <v>1</v>
      </c>
      <c r="BU46" s="121">
        <v>1</v>
      </c>
      <c r="BV46" s="199"/>
      <c r="BW46" s="199"/>
      <c r="BX46" s="199"/>
      <c r="BY46" s="199"/>
      <c r="BZ46" s="199"/>
      <c r="CA46" s="199"/>
      <c r="CB46" s="199"/>
      <c r="CC46" s="199"/>
      <c r="CD46" s="199"/>
      <c r="CE46" s="199"/>
      <c r="CF46" s="199"/>
      <c r="CG46" s="199"/>
      <c r="CH46" s="199"/>
      <c r="CI46" s="121"/>
      <c r="CJ46" s="121"/>
      <c r="CK46" s="121"/>
      <c r="CL46" s="121"/>
      <c r="CM46" s="121"/>
      <c r="CN46" s="200"/>
      <c r="CO46" s="201"/>
      <c r="CP46" s="202"/>
      <c r="CQ46" s="202"/>
      <c r="CR46" s="202"/>
      <c r="CS46" s="202"/>
      <c r="CT46" s="203"/>
      <c r="CU46" s="204"/>
      <c r="CV46" s="199"/>
      <c r="CW46" s="205"/>
      <c r="CX46" s="132"/>
      <c r="CY46" s="132"/>
      <c r="CZ46" s="132"/>
      <c r="DA46" s="132"/>
      <c r="DB46" s="132"/>
      <c r="DC46" s="132"/>
      <c r="DD46" s="132"/>
      <c r="DE46" s="103"/>
      <c r="DF46" s="103"/>
      <c r="DG46" s="103"/>
      <c r="DH46" s="103"/>
      <c r="DI46" s="103"/>
      <c r="DJ46" s="103"/>
      <c r="DK46" s="130"/>
      <c r="DL46" s="130"/>
      <c r="DM46" s="130"/>
      <c r="DN46" s="132"/>
      <c r="DO46" s="132"/>
    </row>
    <row r="47" ht="41.1" customHeight="1" spans="1:119">
      <c r="A47" s="131">
        <v>43444</v>
      </c>
      <c r="B47" s="132" t="s">
        <v>13237</v>
      </c>
      <c r="C47" s="160">
        <v>4500015110</v>
      </c>
      <c r="D47" s="161" t="s">
        <v>13228</v>
      </c>
      <c r="E47" s="100" t="s">
        <v>13239</v>
      </c>
      <c r="F47" s="136" t="s">
        <v>13181</v>
      </c>
      <c r="G47" s="137" t="s">
        <v>13182</v>
      </c>
      <c r="H47" s="138">
        <v>12</v>
      </c>
      <c r="I47" s="132"/>
      <c r="J47" s="132"/>
      <c r="K47" s="132"/>
      <c r="L47" s="139"/>
      <c r="M47" s="140"/>
      <c r="N47" s="141"/>
      <c r="O47" s="141"/>
      <c r="P47" s="142"/>
      <c r="Q47" s="141"/>
      <c r="R47" s="141"/>
      <c r="S47" s="143"/>
      <c r="T47" s="141"/>
      <c r="U47" s="152"/>
      <c r="V47" s="153">
        <v>12</v>
      </c>
      <c r="W47" s="154"/>
      <c r="X47" s="155"/>
      <c r="Y47" s="146"/>
      <c r="Z47" s="156"/>
      <c r="AA47" s="157"/>
      <c r="AB47" s="157"/>
      <c r="AC47" s="158">
        <v>12</v>
      </c>
      <c r="AD47" s="159" t="s">
        <v>13240</v>
      </c>
      <c r="AE47" s="117"/>
      <c r="AF47" s="117"/>
      <c r="AG47" s="117"/>
      <c r="AH47" s="117"/>
      <c r="AI47" s="117"/>
      <c r="AJ47" s="117"/>
      <c r="AK47" s="117"/>
      <c r="AL47" s="117"/>
      <c r="AM47" s="117"/>
      <c r="AN47" s="117"/>
      <c r="AO47" s="117"/>
      <c r="AP47" s="117"/>
      <c r="AQ47" s="117"/>
      <c r="AR47" s="117"/>
      <c r="AS47" s="117"/>
      <c r="AT47" s="117"/>
      <c r="AU47" s="117"/>
      <c r="AV47" s="117"/>
      <c r="AW47" s="117"/>
      <c r="AX47" s="117"/>
      <c r="AY47" s="117"/>
      <c r="AZ47" s="117"/>
      <c r="BA47" s="117"/>
      <c r="BB47" s="117"/>
      <c r="BC47" s="117"/>
      <c r="BD47" s="117"/>
      <c r="BE47" s="118"/>
      <c r="BF47" s="118"/>
      <c r="BG47" s="118"/>
      <c r="BH47" s="119"/>
      <c r="BI47" s="150"/>
      <c r="BJ47" s="121">
        <v>1</v>
      </c>
      <c r="BK47" s="121">
        <v>1</v>
      </c>
      <c r="BL47" s="121">
        <v>1</v>
      </c>
      <c r="BM47" s="121">
        <v>1</v>
      </c>
      <c r="BN47" s="121">
        <v>1</v>
      </c>
      <c r="BO47" s="121">
        <v>1</v>
      </c>
      <c r="BP47" s="121">
        <v>1</v>
      </c>
      <c r="BQ47" s="121">
        <v>1</v>
      </c>
      <c r="BR47" s="121">
        <v>1</v>
      </c>
      <c r="BS47" s="121">
        <v>1</v>
      </c>
      <c r="BT47" s="121">
        <v>1</v>
      </c>
      <c r="BU47" s="121">
        <v>1</v>
      </c>
      <c r="BV47" s="199"/>
      <c r="BW47" s="199"/>
      <c r="BX47" s="199"/>
      <c r="BY47" s="199"/>
      <c r="BZ47" s="199"/>
      <c r="CA47" s="199"/>
      <c r="CB47" s="199"/>
      <c r="CC47" s="199"/>
      <c r="CD47" s="199"/>
      <c r="CE47" s="199"/>
      <c r="CF47" s="199"/>
      <c r="CG47" s="199"/>
      <c r="CH47" s="199"/>
      <c r="CI47" s="121"/>
      <c r="CJ47" s="121"/>
      <c r="CK47" s="121"/>
      <c r="CL47" s="121"/>
      <c r="CM47" s="121"/>
      <c r="CN47" s="200"/>
      <c r="CO47" s="201"/>
      <c r="CP47" s="202"/>
      <c r="CQ47" s="202"/>
      <c r="CR47" s="202"/>
      <c r="CS47" s="202"/>
      <c r="CT47" s="203"/>
      <c r="CU47" s="204"/>
      <c r="CV47" s="199"/>
      <c r="CW47" s="205"/>
      <c r="CX47" s="132"/>
      <c r="CY47" s="132"/>
      <c r="CZ47" s="132"/>
      <c r="DA47" s="132"/>
      <c r="DB47" s="132"/>
      <c r="DC47" s="132"/>
      <c r="DD47" s="132"/>
      <c r="DE47" s="103"/>
      <c r="DF47" s="103"/>
      <c r="DG47" s="103"/>
      <c r="DH47" s="103"/>
      <c r="DI47" s="103"/>
      <c r="DJ47" s="103"/>
      <c r="DK47" s="130"/>
      <c r="DL47" s="130"/>
      <c r="DM47" s="130"/>
      <c r="DN47" s="132"/>
      <c r="DO47" s="132"/>
    </row>
    <row r="48" ht="41.1" customHeight="1" spans="1:119">
      <c r="A48" s="131">
        <v>43446</v>
      </c>
      <c r="B48" s="132" t="s">
        <v>13241</v>
      </c>
      <c r="C48" s="160" t="s">
        <v>13242</v>
      </c>
      <c r="D48" s="161" t="s">
        <v>13243</v>
      </c>
      <c r="E48" s="206" t="s">
        <v>13243</v>
      </c>
      <c r="F48" s="136" t="s">
        <v>13244</v>
      </c>
      <c r="G48" s="137" t="s">
        <v>13245</v>
      </c>
      <c r="H48" s="138">
        <v>40</v>
      </c>
      <c r="I48" s="132"/>
      <c r="J48" s="132"/>
      <c r="K48" s="132"/>
      <c r="L48" s="139"/>
      <c r="M48" s="140"/>
      <c r="N48" s="141"/>
      <c r="O48" s="141"/>
      <c r="P48" s="142"/>
      <c r="Q48" s="141"/>
      <c r="R48" s="141"/>
      <c r="S48" s="143"/>
      <c r="T48" s="141"/>
      <c r="U48" s="152"/>
      <c r="V48" s="153"/>
      <c r="W48" s="154"/>
      <c r="X48" s="155"/>
      <c r="Y48" s="146"/>
      <c r="Z48" s="156"/>
      <c r="AA48" s="157"/>
      <c r="AB48" s="157"/>
      <c r="AC48" s="158"/>
      <c r="AD48" s="159"/>
      <c r="AE48" s="117"/>
      <c r="AF48" s="117"/>
      <c r="AG48" s="117"/>
      <c r="AH48" s="117"/>
      <c r="AI48" s="117"/>
      <c r="AJ48" s="117"/>
      <c r="AK48" s="117"/>
      <c r="AL48" s="117"/>
      <c r="AM48" s="117"/>
      <c r="AN48" s="117"/>
      <c r="AO48" s="117"/>
      <c r="AP48" s="117"/>
      <c r="AQ48" s="117"/>
      <c r="AR48" s="117"/>
      <c r="AS48" s="117"/>
      <c r="AT48" s="117"/>
      <c r="AU48" s="117"/>
      <c r="AV48" s="117"/>
      <c r="AW48" s="117"/>
      <c r="AX48" s="117"/>
      <c r="AY48" s="117"/>
      <c r="AZ48" s="117"/>
      <c r="BA48" s="117"/>
      <c r="BB48" s="117"/>
      <c r="BC48" s="117"/>
      <c r="BD48" s="117"/>
      <c r="BE48" s="118"/>
      <c r="BF48" s="118"/>
      <c r="BG48" s="118"/>
      <c r="BH48" s="119"/>
      <c r="BI48" s="150">
        <v>25917</v>
      </c>
      <c r="BJ48" s="121"/>
      <c r="BK48" s="121"/>
      <c r="BL48" s="121"/>
      <c r="BM48" s="121"/>
      <c r="BN48" s="121"/>
      <c r="BO48" s="121"/>
      <c r="BP48" s="121"/>
      <c r="BQ48" s="121"/>
      <c r="BR48" s="121"/>
      <c r="BS48" s="121"/>
      <c r="BT48" s="121"/>
      <c r="BU48" s="121"/>
      <c r="BV48" s="199"/>
      <c r="BW48" s="199"/>
      <c r="BX48" s="199"/>
      <c r="BY48" s="199"/>
      <c r="BZ48" s="199"/>
      <c r="CA48" s="199"/>
      <c r="CB48" s="199"/>
      <c r="CC48" s="199"/>
      <c r="CD48" s="199"/>
      <c r="CE48" s="199"/>
      <c r="CF48" s="199"/>
      <c r="CG48" s="199"/>
      <c r="CH48" s="199"/>
      <c r="CI48" s="121"/>
      <c r="CJ48" s="121"/>
      <c r="CK48" s="121"/>
      <c r="CL48" s="121"/>
      <c r="CM48" s="121"/>
      <c r="CN48" s="200"/>
      <c r="CO48" s="201"/>
      <c r="CP48" s="202"/>
      <c r="CQ48" s="202"/>
      <c r="CR48" s="202"/>
      <c r="CS48" s="202"/>
      <c r="CT48" s="203"/>
      <c r="CU48" s="204"/>
      <c r="CV48" s="199"/>
      <c r="CW48" s="205"/>
      <c r="CX48" s="132"/>
      <c r="CY48" s="132"/>
      <c r="CZ48" s="132"/>
      <c r="DA48" s="132"/>
      <c r="DB48" s="132"/>
      <c r="DC48" s="132"/>
      <c r="DD48" s="132"/>
      <c r="DE48" s="103"/>
      <c r="DF48" s="103"/>
      <c r="DG48" s="103"/>
      <c r="DH48" s="103"/>
      <c r="DI48" s="103"/>
      <c r="DJ48" s="103"/>
      <c r="DK48" s="130"/>
      <c r="DL48" s="130"/>
      <c r="DM48" s="130"/>
      <c r="DN48" s="132"/>
      <c r="DO48" s="132"/>
    </row>
    <row r="49" ht="41.1" customHeight="1" spans="1:119">
      <c r="A49" s="131">
        <v>43448</v>
      </c>
      <c r="B49" s="132" t="s">
        <v>12181</v>
      </c>
      <c r="C49" s="160">
        <v>4500015267</v>
      </c>
      <c r="D49" s="161"/>
      <c r="E49" s="100" t="s">
        <v>13246</v>
      </c>
      <c r="F49" s="136" t="s">
        <v>13247</v>
      </c>
      <c r="G49" s="137" t="s">
        <v>13182</v>
      </c>
      <c r="H49" s="138">
        <v>48</v>
      </c>
      <c r="I49" s="132"/>
      <c r="J49" s="132"/>
      <c r="K49" s="132"/>
      <c r="L49" s="139"/>
      <c r="M49" s="140"/>
      <c r="N49" s="141"/>
      <c r="O49" s="141"/>
      <c r="P49" s="142"/>
      <c r="Q49" s="141"/>
      <c r="R49" s="141"/>
      <c r="S49" s="143"/>
      <c r="T49" s="141"/>
      <c r="U49" s="152"/>
      <c r="V49" s="153">
        <v>48</v>
      </c>
      <c r="W49" s="154"/>
      <c r="X49" s="155"/>
      <c r="Y49" s="146"/>
      <c r="Z49" s="156">
        <v>48</v>
      </c>
      <c r="AA49" s="157"/>
      <c r="AB49" s="157"/>
      <c r="AC49" s="158"/>
      <c r="AD49" s="159" t="s">
        <v>13183</v>
      </c>
      <c r="AE49" s="117"/>
      <c r="AF49" s="117"/>
      <c r="AG49" s="117"/>
      <c r="AH49" s="117"/>
      <c r="AI49" s="117"/>
      <c r="AJ49" s="117"/>
      <c r="AK49" s="117"/>
      <c r="AL49" s="117"/>
      <c r="AM49" s="117"/>
      <c r="AN49" s="117"/>
      <c r="AO49" s="117"/>
      <c r="AP49" s="117"/>
      <c r="AQ49" s="117"/>
      <c r="AR49" s="117"/>
      <c r="AS49" s="117"/>
      <c r="AT49" s="117"/>
      <c r="AU49" s="117"/>
      <c r="AV49" s="117"/>
      <c r="AW49" s="117"/>
      <c r="AX49" s="117"/>
      <c r="AY49" s="117"/>
      <c r="AZ49" s="117"/>
      <c r="BA49" s="117"/>
      <c r="BB49" s="117"/>
      <c r="BC49" s="117"/>
      <c r="BD49" s="117"/>
      <c r="BE49" s="118"/>
      <c r="BF49" s="118"/>
      <c r="BG49" s="118"/>
      <c r="BH49" s="119"/>
      <c r="BI49" s="150"/>
      <c r="BJ49" s="121">
        <v>4</v>
      </c>
      <c r="BK49" s="121">
        <v>4</v>
      </c>
      <c r="BL49" s="121">
        <v>4</v>
      </c>
      <c r="BM49" s="121">
        <v>4</v>
      </c>
      <c r="BN49" s="121">
        <v>4</v>
      </c>
      <c r="BO49" s="121">
        <v>4</v>
      </c>
      <c r="BP49" s="121">
        <v>4</v>
      </c>
      <c r="BQ49" s="121">
        <v>4</v>
      </c>
      <c r="BR49" s="121">
        <v>4</v>
      </c>
      <c r="BS49" s="121">
        <v>4</v>
      </c>
      <c r="BT49" s="121">
        <v>4</v>
      </c>
      <c r="BU49" s="121">
        <v>4</v>
      </c>
      <c r="BV49" s="199"/>
      <c r="BW49" s="199"/>
      <c r="BX49" s="199"/>
      <c r="BY49" s="199"/>
      <c r="BZ49" s="199"/>
      <c r="CA49" s="199"/>
      <c r="CB49" s="199"/>
      <c r="CC49" s="199"/>
      <c r="CD49" s="199"/>
      <c r="CE49" s="199"/>
      <c r="CF49" s="199"/>
      <c r="CG49" s="199"/>
      <c r="CH49" s="199"/>
      <c r="CI49" s="121"/>
      <c r="CJ49" s="121"/>
      <c r="CK49" s="121"/>
      <c r="CL49" s="121"/>
      <c r="CM49" s="121"/>
      <c r="CN49" s="200"/>
      <c r="CO49" s="201"/>
      <c r="CP49" s="202"/>
      <c r="CQ49" s="202"/>
      <c r="CR49" s="202"/>
      <c r="CS49" s="202"/>
      <c r="CT49" s="203"/>
      <c r="CU49" s="204"/>
      <c r="CV49" s="199"/>
      <c r="CW49" s="205"/>
      <c r="CX49" s="132"/>
      <c r="CY49" s="132"/>
      <c r="CZ49" s="132"/>
      <c r="DA49" s="132"/>
      <c r="DB49" s="132"/>
      <c r="DC49" s="132"/>
      <c r="DD49" s="132"/>
      <c r="DE49" s="103"/>
      <c r="DF49" s="103"/>
      <c r="DG49" s="103"/>
      <c r="DH49" s="103"/>
      <c r="DI49" s="103"/>
      <c r="DJ49" s="103"/>
      <c r="DK49" s="130"/>
      <c r="DL49" s="130"/>
      <c r="DM49" s="130"/>
      <c r="DN49" s="132"/>
      <c r="DO49" s="132"/>
    </row>
    <row r="50" ht="41.1" customHeight="1" spans="1:119">
      <c r="A50" s="131">
        <v>43454</v>
      </c>
      <c r="B50" s="132" t="s">
        <v>13248</v>
      </c>
      <c r="C50" s="160" t="s">
        <v>13249</v>
      </c>
      <c r="D50" s="161" t="s">
        <v>13231</v>
      </c>
      <c r="E50" s="206" t="s">
        <v>13250</v>
      </c>
      <c r="F50" s="136" t="s">
        <v>13181</v>
      </c>
      <c r="G50" s="137" t="s">
        <v>13182</v>
      </c>
      <c r="H50" s="138">
        <v>480</v>
      </c>
      <c r="I50" s="132"/>
      <c r="J50" s="132"/>
      <c r="K50" s="132"/>
      <c r="L50" s="139"/>
      <c r="M50" s="140"/>
      <c r="N50" s="141"/>
      <c r="O50" s="141"/>
      <c r="P50" s="142"/>
      <c r="Q50" s="141"/>
      <c r="R50" s="141"/>
      <c r="S50" s="143"/>
      <c r="T50" s="141"/>
      <c r="U50" s="152"/>
      <c r="V50" s="153">
        <v>480</v>
      </c>
      <c r="W50" s="154"/>
      <c r="X50" s="155"/>
      <c r="Y50" s="146"/>
      <c r="Z50" s="156">
        <v>480</v>
      </c>
      <c r="AA50" s="157"/>
      <c r="AB50" s="157"/>
      <c r="AC50" s="158"/>
      <c r="AD50" s="159" t="s">
        <v>13183</v>
      </c>
      <c r="AE50" s="117"/>
      <c r="AF50" s="117"/>
      <c r="AG50" s="117"/>
      <c r="AH50" s="117"/>
      <c r="AI50" s="117"/>
      <c r="AJ50" s="117"/>
      <c r="AK50" s="117"/>
      <c r="AL50" s="117"/>
      <c r="AM50" s="117"/>
      <c r="AN50" s="117"/>
      <c r="AO50" s="117"/>
      <c r="AP50" s="117"/>
      <c r="AQ50" s="117"/>
      <c r="AR50" s="117"/>
      <c r="AS50" s="117"/>
      <c r="AT50" s="117"/>
      <c r="AU50" s="117"/>
      <c r="AV50" s="117"/>
      <c r="AW50" s="117"/>
      <c r="AX50" s="117"/>
      <c r="AY50" s="117"/>
      <c r="AZ50" s="117"/>
      <c r="BA50" s="117"/>
      <c r="BB50" s="117"/>
      <c r="BC50" s="117"/>
      <c r="BD50" s="117"/>
      <c r="BE50" s="118"/>
      <c r="BF50" s="118"/>
      <c r="BG50" s="118"/>
      <c r="BH50" s="119"/>
      <c r="BI50" s="150">
        <v>25944</v>
      </c>
      <c r="BJ50" s="121">
        <v>40</v>
      </c>
      <c r="BK50" s="121">
        <v>40</v>
      </c>
      <c r="BL50" s="121">
        <v>40</v>
      </c>
      <c r="BM50" s="121">
        <v>40</v>
      </c>
      <c r="BN50" s="121">
        <v>40</v>
      </c>
      <c r="BO50" s="121">
        <v>40</v>
      </c>
      <c r="BP50" s="121">
        <v>40</v>
      </c>
      <c r="BQ50" s="121">
        <v>40</v>
      </c>
      <c r="BR50" s="121">
        <v>40</v>
      </c>
      <c r="BS50" s="121">
        <v>40</v>
      </c>
      <c r="BT50" s="121">
        <v>40</v>
      </c>
      <c r="BU50" s="121">
        <v>40</v>
      </c>
      <c r="BV50" s="199"/>
      <c r="BW50" s="199"/>
      <c r="BX50" s="199"/>
      <c r="BY50" s="199"/>
      <c r="BZ50" s="199"/>
      <c r="CA50" s="199"/>
      <c r="CB50" s="199"/>
      <c r="CC50" s="199"/>
      <c r="CD50" s="199"/>
      <c r="CE50" s="199"/>
      <c r="CF50" s="199"/>
      <c r="CG50" s="199"/>
      <c r="CH50" s="199"/>
      <c r="CI50" s="121"/>
      <c r="CJ50" s="121"/>
      <c r="CK50" s="121"/>
      <c r="CL50" s="121"/>
      <c r="CM50" s="121"/>
      <c r="CN50" s="200"/>
      <c r="CO50" s="201"/>
      <c r="CP50" s="202"/>
      <c r="CQ50" s="202"/>
      <c r="CR50" s="202"/>
      <c r="CS50" s="202"/>
      <c r="CT50" s="203"/>
      <c r="CU50" s="204"/>
      <c r="CV50" s="199"/>
      <c r="CW50" s="205"/>
      <c r="CX50" s="132"/>
      <c r="CY50" s="132"/>
      <c r="CZ50" s="132"/>
      <c r="DA50" s="132"/>
      <c r="DB50" s="132"/>
      <c r="DC50" s="132"/>
      <c r="DD50" s="132"/>
      <c r="DE50" s="103"/>
      <c r="DF50" s="103"/>
      <c r="DG50" s="103"/>
      <c r="DH50" s="103"/>
      <c r="DI50" s="103"/>
      <c r="DJ50" s="103"/>
      <c r="DK50" s="130"/>
      <c r="DL50" s="130"/>
      <c r="DM50" s="130"/>
      <c r="DN50" s="132"/>
      <c r="DO50" s="132"/>
    </row>
    <row r="51" s="21" customFormat="1" ht="41.1" customHeight="1" spans="1:119">
      <c r="A51" s="169">
        <v>43479</v>
      </c>
      <c r="B51" s="170" t="s">
        <v>13241</v>
      </c>
      <c r="C51" s="171">
        <v>4800007665</v>
      </c>
      <c r="D51" s="172" t="s">
        <v>13243</v>
      </c>
      <c r="E51" s="207" t="s">
        <v>13243</v>
      </c>
      <c r="F51" s="174" t="s">
        <v>13244</v>
      </c>
      <c r="G51" s="175" t="s">
        <v>13245</v>
      </c>
      <c r="H51" s="176">
        <v>20</v>
      </c>
      <c r="I51" s="170"/>
      <c r="J51" s="170"/>
      <c r="K51" s="170"/>
      <c r="L51" s="177"/>
      <c r="M51" s="178"/>
      <c r="N51" s="208"/>
      <c r="O51" s="208"/>
      <c r="P51" s="209"/>
      <c r="Q51" s="208"/>
      <c r="R51" s="208"/>
      <c r="S51" s="210"/>
      <c r="T51" s="208"/>
      <c r="U51" s="211"/>
      <c r="V51" s="179"/>
      <c r="W51" s="180"/>
      <c r="X51" s="181"/>
      <c r="Y51" s="182"/>
      <c r="Z51" s="183"/>
      <c r="AA51" s="184"/>
      <c r="AB51" s="184"/>
      <c r="AC51" s="185"/>
      <c r="AD51" s="186"/>
      <c r="AE51" s="187"/>
      <c r="AF51" s="187"/>
      <c r="AG51" s="187"/>
      <c r="AH51" s="187"/>
      <c r="AI51" s="187"/>
      <c r="AJ51" s="187"/>
      <c r="AK51" s="187"/>
      <c r="AL51" s="187"/>
      <c r="AM51" s="187"/>
      <c r="AN51" s="187"/>
      <c r="AO51" s="187"/>
      <c r="AP51" s="187"/>
      <c r="AQ51" s="187"/>
      <c r="AR51" s="187"/>
      <c r="AS51" s="187"/>
      <c r="AT51" s="187"/>
      <c r="AU51" s="187"/>
      <c r="AV51" s="187"/>
      <c r="AW51" s="187"/>
      <c r="AX51" s="187"/>
      <c r="AY51" s="187"/>
      <c r="AZ51" s="187"/>
      <c r="BA51" s="187"/>
      <c r="BB51" s="187"/>
      <c r="BC51" s="187"/>
      <c r="BD51" s="187"/>
      <c r="BE51" s="212"/>
      <c r="BF51" s="212"/>
      <c r="BG51" s="212"/>
      <c r="BH51" s="213"/>
      <c r="BI51" s="188">
        <v>26075</v>
      </c>
      <c r="BJ51" s="189"/>
      <c r="BK51" s="189"/>
      <c r="BL51" s="189"/>
      <c r="BM51" s="189"/>
      <c r="BN51" s="189"/>
      <c r="BO51" s="189"/>
      <c r="BP51" s="189"/>
      <c r="BQ51" s="189"/>
      <c r="BR51" s="189"/>
      <c r="BS51" s="189"/>
      <c r="BT51" s="189"/>
      <c r="BU51" s="189"/>
      <c r="BV51" s="190"/>
      <c r="BW51" s="190"/>
      <c r="BX51" s="190"/>
      <c r="BY51" s="190"/>
      <c r="BZ51" s="190"/>
      <c r="CA51" s="190"/>
      <c r="CB51" s="190"/>
      <c r="CC51" s="190"/>
      <c r="CD51" s="190"/>
      <c r="CE51" s="190"/>
      <c r="CF51" s="190"/>
      <c r="CG51" s="190"/>
      <c r="CH51" s="190"/>
      <c r="CI51" s="189"/>
      <c r="CJ51" s="189"/>
      <c r="CK51" s="189"/>
      <c r="CL51" s="189"/>
      <c r="CM51" s="189"/>
      <c r="CN51" s="191"/>
      <c r="CO51" s="192"/>
      <c r="CP51" s="193"/>
      <c r="CQ51" s="193"/>
      <c r="CR51" s="193"/>
      <c r="CS51" s="193"/>
      <c r="CT51" s="194"/>
      <c r="CU51" s="195"/>
      <c r="CV51" s="190"/>
      <c r="CW51" s="196"/>
      <c r="CX51" s="170"/>
      <c r="CY51" s="170"/>
      <c r="CZ51" s="170"/>
      <c r="DA51" s="170"/>
      <c r="DB51" s="170"/>
      <c r="DC51" s="170"/>
      <c r="DD51" s="170"/>
      <c r="DE51" s="197"/>
      <c r="DF51" s="197"/>
      <c r="DG51" s="197"/>
      <c r="DH51" s="197"/>
      <c r="DI51" s="197"/>
      <c r="DJ51" s="197"/>
      <c r="DK51" s="198"/>
      <c r="DL51" s="198"/>
      <c r="DM51" s="198"/>
      <c r="DN51" s="170"/>
      <c r="DO51" s="170"/>
    </row>
    <row r="52" s="21" customFormat="1" ht="41.1" customHeight="1" spans="1:119">
      <c r="A52" s="169">
        <v>43488</v>
      </c>
      <c r="B52" s="170" t="s">
        <v>13241</v>
      </c>
      <c r="C52" s="171">
        <v>4500007847</v>
      </c>
      <c r="D52" s="172" t="s">
        <v>13243</v>
      </c>
      <c r="E52" s="207" t="s">
        <v>13243</v>
      </c>
      <c r="F52" s="174" t="s">
        <v>13244</v>
      </c>
      <c r="G52" s="175" t="s">
        <v>13245</v>
      </c>
      <c r="H52" s="176">
        <v>30</v>
      </c>
      <c r="I52" s="170"/>
      <c r="J52" s="170"/>
      <c r="K52" s="170"/>
      <c r="L52" s="177"/>
      <c r="M52" s="178"/>
      <c r="N52" s="208"/>
      <c r="O52" s="208"/>
      <c r="P52" s="209"/>
      <c r="Q52" s="208"/>
      <c r="R52" s="208"/>
      <c r="S52" s="210"/>
      <c r="T52" s="208"/>
      <c r="U52" s="211"/>
      <c r="V52" s="179"/>
      <c r="W52" s="180"/>
      <c r="X52" s="181"/>
      <c r="Y52" s="182"/>
      <c r="Z52" s="183"/>
      <c r="AA52" s="184"/>
      <c r="AB52" s="184"/>
      <c r="AC52" s="185"/>
      <c r="AD52" s="186"/>
      <c r="AE52" s="187"/>
      <c r="AF52" s="187"/>
      <c r="AG52" s="187"/>
      <c r="AH52" s="187"/>
      <c r="AI52" s="187"/>
      <c r="AJ52" s="187"/>
      <c r="AK52" s="187"/>
      <c r="AL52" s="187"/>
      <c r="AM52" s="187"/>
      <c r="AN52" s="187"/>
      <c r="AO52" s="187"/>
      <c r="AP52" s="187"/>
      <c r="AQ52" s="187"/>
      <c r="AR52" s="187"/>
      <c r="AS52" s="187"/>
      <c r="AT52" s="187"/>
      <c r="AU52" s="187"/>
      <c r="AV52" s="187"/>
      <c r="AW52" s="187"/>
      <c r="AX52" s="187"/>
      <c r="AY52" s="187"/>
      <c r="AZ52" s="187"/>
      <c r="BA52" s="187"/>
      <c r="BB52" s="187"/>
      <c r="BC52" s="187"/>
      <c r="BD52" s="187"/>
      <c r="BE52" s="212"/>
      <c r="BF52" s="212"/>
      <c r="BG52" s="212"/>
      <c r="BH52" s="213"/>
      <c r="BI52" s="188">
        <v>26074</v>
      </c>
      <c r="BJ52" s="189"/>
      <c r="BK52" s="189"/>
      <c r="BL52" s="189"/>
      <c r="BM52" s="189"/>
      <c r="BN52" s="189"/>
      <c r="BO52" s="189"/>
      <c r="BP52" s="189"/>
      <c r="BQ52" s="189"/>
      <c r="BR52" s="189"/>
      <c r="BS52" s="189"/>
      <c r="BT52" s="189"/>
      <c r="BU52" s="189"/>
      <c r="BV52" s="190"/>
      <c r="BW52" s="190"/>
      <c r="BX52" s="190"/>
      <c r="BY52" s="190"/>
      <c r="BZ52" s="190"/>
      <c r="CA52" s="190"/>
      <c r="CB52" s="190"/>
      <c r="CC52" s="190"/>
      <c r="CD52" s="190"/>
      <c r="CE52" s="190"/>
      <c r="CF52" s="190"/>
      <c r="CG52" s="190"/>
      <c r="CH52" s="190"/>
      <c r="CI52" s="189"/>
      <c r="CJ52" s="189"/>
      <c r="CK52" s="189"/>
      <c r="CL52" s="189"/>
      <c r="CM52" s="189"/>
      <c r="CN52" s="191"/>
      <c r="CO52" s="192"/>
      <c r="CP52" s="193"/>
      <c r="CQ52" s="193"/>
      <c r="CR52" s="193"/>
      <c r="CS52" s="193"/>
      <c r="CT52" s="194"/>
      <c r="CU52" s="195"/>
      <c r="CV52" s="190"/>
      <c r="CW52" s="196"/>
      <c r="CX52" s="170"/>
      <c r="CY52" s="170"/>
      <c r="CZ52" s="170"/>
      <c r="DA52" s="170"/>
      <c r="DB52" s="170"/>
      <c r="DC52" s="170"/>
      <c r="DD52" s="170"/>
      <c r="DE52" s="197"/>
      <c r="DF52" s="197"/>
      <c r="DG52" s="197"/>
      <c r="DH52" s="197"/>
      <c r="DI52" s="197"/>
      <c r="DJ52" s="197"/>
      <c r="DK52" s="198"/>
      <c r="DL52" s="198"/>
      <c r="DM52" s="198"/>
      <c r="DN52" s="170"/>
      <c r="DO52" s="170"/>
    </row>
    <row r="53" ht="41.1" customHeight="1" spans="1:119">
      <c r="A53" s="131">
        <v>43510</v>
      </c>
      <c r="B53" s="132" t="s">
        <v>13195</v>
      </c>
      <c r="C53" s="160" t="s">
        <v>13193</v>
      </c>
      <c r="D53" s="161"/>
      <c r="E53" s="206" t="s">
        <v>13251</v>
      </c>
      <c r="F53" s="136" t="s">
        <v>13181</v>
      </c>
      <c r="G53" s="137" t="s">
        <v>13182</v>
      </c>
      <c r="H53" s="138">
        <v>48</v>
      </c>
      <c r="I53" s="132"/>
      <c r="J53" s="132"/>
      <c r="K53" s="132"/>
      <c r="L53" s="139"/>
      <c r="M53" s="140"/>
      <c r="N53" s="208"/>
      <c r="O53" s="208"/>
      <c r="P53" s="209"/>
      <c r="Q53" s="208"/>
      <c r="R53" s="208"/>
      <c r="S53" s="210"/>
      <c r="T53" s="208"/>
      <c r="U53" s="211"/>
      <c r="V53" s="153">
        <f>H53</f>
        <v>48</v>
      </c>
      <c r="W53" s="154"/>
      <c r="X53" s="155"/>
      <c r="Y53" s="146"/>
      <c r="Z53" s="156">
        <f>H53</f>
        <v>48</v>
      </c>
      <c r="AA53" s="157"/>
      <c r="AB53" s="157"/>
      <c r="AC53" s="158"/>
      <c r="AD53" s="159" t="s">
        <v>13183</v>
      </c>
      <c r="AE53" s="117"/>
      <c r="AF53" s="117"/>
      <c r="AG53" s="117"/>
      <c r="AH53" s="117"/>
      <c r="AI53" s="117"/>
      <c r="AJ53" s="117"/>
      <c r="AK53" s="117"/>
      <c r="AL53" s="117"/>
      <c r="AM53" s="117"/>
      <c r="AN53" s="117"/>
      <c r="AO53" s="117"/>
      <c r="AP53" s="117"/>
      <c r="AQ53" s="117"/>
      <c r="AR53" s="117"/>
      <c r="AS53" s="117"/>
      <c r="AT53" s="117"/>
      <c r="AU53" s="117"/>
      <c r="AV53" s="117"/>
      <c r="AW53" s="117"/>
      <c r="AX53" s="117"/>
      <c r="AY53" s="117"/>
      <c r="AZ53" s="117"/>
      <c r="BA53" s="117"/>
      <c r="BB53" s="117"/>
      <c r="BC53" s="117"/>
      <c r="BD53" s="117"/>
      <c r="BE53" s="212"/>
      <c r="BF53" s="212"/>
      <c r="BG53" s="212"/>
      <c r="BH53" s="213"/>
      <c r="BI53" s="150"/>
      <c r="BJ53" s="121">
        <v>4</v>
      </c>
      <c r="BK53" s="121">
        <v>4</v>
      </c>
      <c r="BL53" s="121">
        <v>4</v>
      </c>
      <c r="BM53" s="121">
        <v>4</v>
      </c>
      <c r="BN53" s="121">
        <v>4</v>
      </c>
      <c r="BO53" s="121">
        <v>4</v>
      </c>
      <c r="BP53" s="121">
        <v>4</v>
      </c>
      <c r="BQ53" s="121">
        <v>4</v>
      </c>
      <c r="BR53" s="121">
        <v>4</v>
      </c>
      <c r="BS53" s="121">
        <v>4</v>
      </c>
      <c r="BT53" s="121">
        <v>4</v>
      </c>
      <c r="BU53" s="121">
        <v>4</v>
      </c>
      <c r="BV53" s="199"/>
      <c r="BW53" s="199"/>
      <c r="BX53" s="199"/>
      <c r="BY53" s="199"/>
      <c r="BZ53" s="199"/>
      <c r="CA53" s="199"/>
      <c r="CB53" s="199"/>
      <c r="CC53" s="199"/>
      <c r="CD53" s="199"/>
      <c r="CE53" s="199"/>
      <c r="CF53" s="199"/>
      <c r="CG53" s="199"/>
      <c r="CH53" s="199"/>
      <c r="CI53" s="121"/>
      <c r="CJ53" s="121"/>
      <c r="CK53" s="121"/>
      <c r="CL53" s="121"/>
      <c r="CM53" s="121"/>
      <c r="CN53" s="200"/>
      <c r="CO53" s="201"/>
      <c r="CP53" s="202"/>
      <c r="CQ53" s="202"/>
      <c r="CR53" s="202"/>
      <c r="CS53" s="202"/>
      <c r="CT53" s="203"/>
      <c r="CU53" s="204"/>
      <c r="CV53" s="199"/>
      <c r="CW53" s="205"/>
      <c r="CX53" s="132"/>
      <c r="CY53" s="132"/>
      <c r="CZ53" s="132"/>
      <c r="DA53" s="132"/>
      <c r="DB53" s="132"/>
      <c r="DC53" s="132"/>
      <c r="DD53" s="132"/>
      <c r="DE53" s="103"/>
      <c r="DF53" s="103"/>
      <c r="DG53" s="103"/>
      <c r="DH53" s="103"/>
      <c r="DI53" s="103"/>
      <c r="DJ53" s="103"/>
      <c r="DK53" s="130"/>
      <c r="DL53" s="130"/>
      <c r="DM53" s="130"/>
      <c r="DN53" s="132"/>
      <c r="DO53" s="132"/>
    </row>
    <row r="54" ht="41.1" customHeight="1" spans="1:119">
      <c r="A54" s="131">
        <v>43514</v>
      </c>
      <c r="B54" s="132" t="s">
        <v>13252</v>
      </c>
      <c r="C54" s="160">
        <v>4500016381</v>
      </c>
      <c r="D54" s="161"/>
      <c r="E54" s="206" t="s">
        <v>13221</v>
      </c>
      <c r="F54" s="136" t="s">
        <v>13181</v>
      </c>
      <c r="G54" s="137" t="s">
        <v>13182</v>
      </c>
      <c r="H54" s="138">
        <v>12</v>
      </c>
      <c r="I54" s="132"/>
      <c r="J54" s="132"/>
      <c r="K54" s="132"/>
      <c r="L54" s="139"/>
      <c r="M54" s="140"/>
      <c r="N54" s="208"/>
      <c r="O54" s="208"/>
      <c r="P54" s="209"/>
      <c r="Q54" s="208"/>
      <c r="R54" s="208"/>
      <c r="S54" s="210"/>
      <c r="T54" s="208"/>
      <c r="U54" s="211"/>
      <c r="V54" s="153">
        <v>12</v>
      </c>
      <c r="W54" s="154"/>
      <c r="X54" s="155"/>
      <c r="Y54" s="146"/>
      <c r="Z54" s="156">
        <v>12</v>
      </c>
      <c r="AA54" s="157"/>
      <c r="AB54" s="157"/>
      <c r="AC54" s="158"/>
      <c r="AD54" s="159" t="s">
        <v>13183</v>
      </c>
      <c r="AE54" s="117"/>
      <c r="AF54" s="117"/>
      <c r="AG54" s="117"/>
      <c r="AH54" s="117"/>
      <c r="AI54" s="117"/>
      <c r="AJ54" s="117"/>
      <c r="AK54" s="117"/>
      <c r="AL54" s="117"/>
      <c r="AM54" s="117"/>
      <c r="AN54" s="117"/>
      <c r="AO54" s="117"/>
      <c r="AP54" s="117"/>
      <c r="AQ54" s="117"/>
      <c r="AR54" s="117"/>
      <c r="AS54" s="117"/>
      <c r="AT54" s="117"/>
      <c r="AU54" s="117"/>
      <c r="AV54" s="117"/>
      <c r="AW54" s="117"/>
      <c r="AX54" s="117"/>
      <c r="AY54" s="117"/>
      <c r="AZ54" s="117"/>
      <c r="BA54" s="117"/>
      <c r="BB54" s="117"/>
      <c r="BC54" s="117"/>
      <c r="BD54" s="117"/>
      <c r="BE54" s="212"/>
      <c r="BF54" s="212"/>
      <c r="BG54" s="212"/>
      <c r="BH54" s="213"/>
      <c r="BI54" s="150"/>
      <c r="BJ54" s="121">
        <v>1</v>
      </c>
      <c r="BK54" s="121">
        <v>1</v>
      </c>
      <c r="BL54" s="121">
        <v>1</v>
      </c>
      <c r="BM54" s="121">
        <v>1</v>
      </c>
      <c r="BN54" s="121">
        <v>1</v>
      </c>
      <c r="BO54" s="121">
        <v>1</v>
      </c>
      <c r="BP54" s="121">
        <v>1</v>
      </c>
      <c r="BQ54" s="121">
        <v>1</v>
      </c>
      <c r="BR54" s="121">
        <v>1</v>
      </c>
      <c r="BS54" s="121">
        <v>1</v>
      </c>
      <c r="BT54" s="121">
        <v>1</v>
      </c>
      <c r="BU54" s="121">
        <v>1</v>
      </c>
      <c r="BV54" s="199"/>
      <c r="BW54" s="199"/>
      <c r="BX54" s="199"/>
      <c r="BY54" s="199"/>
      <c r="BZ54" s="199"/>
      <c r="CA54" s="199"/>
      <c r="CB54" s="199"/>
      <c r="CC54" s="199"/>
      <c r="CD54" s="199"/>
      <c r="CE54" s="199"/>
      <c r="CF54" s="199"/>
      <c r="CG54" s="199"/>
      <c r="CH54" s="199"/>
      <c r="CI54" s="121"/>
      <c r="CJ54" s="121"/>
      <c r="CK54" s="121"/>
      <c r="CL54" s="121"/>
      <c r="CM54" s="121"/>
      <c r="CN54" s="200"/>
      <c r="CO54" s="201"/>
      <c r="CP54" s="202"/>
      <c r="CQ54" s="202"/>
      <c r="CR54" s="202"/>
      <c r="CS54" s="202"/>
      <c r="CT54" s="203"/>
      <c r="CU54" s="204"/>
      <c r="CV54" s="199"/>
      <c r="CW54" s="205"/>
      <c r="CX54" s="132"/>
      <c r="CY54" s="132"/>
      <c r="CZ54" s="132"/>
      <c r="DA54" s="132"/>
      <c r="DB54" s="132"/>
      <c r="DC54" s="132"/>
      <c r="DD54" s="132"/>
      <c r="DE54" s="103"/>
      <c r="DF54" s="103"/>
      <c r="DG54" s="103"/>
      <c r="DH54" s="103"/>
      <c r="DI54" s="103"/>
      <c r="DJ54" s="103"/>
      <c r="DK54" s="130"/>
      <c r="DL54" s="130"/>
      <c r="DM54" s="130"/>
      <c r="DN54" s="132"/>
      <c r="DO54" s="132"/>
    </row>
    <row r="55" ht="41.1" customHeight="1" spans="1:119">
      <c r="A55" s="131">
        <v>43518</v>
      </c>
      <c r="B55" s="132" t="s">
        <v>13253</v>
      </c>
      <c r="C55" s="160">
        <v>4500016832</v>
      </c>
      <c r="D55" s="161" t="s">
        <v>13254</v>
      </c>
      <c r="E55" s="206" t="s">
        <v>13255</v>
      </c>
      <c r="F55" s="136" t="s">
        <v>13181</v>
      </c>
      <c r="G55" s="137" t="s">
        <v>13182</v>
      </c>
      <c r="H55" s="138">
        <v>15</v>
      </c>
      <c r="I55" s="132"/>
      <c r="J55" s="132"/>
      <c r="K55" s="132"/>
      <c r="L55" s="139"/>
      <c r="M55" s="140"/>
      <c r="N55" s="208"/>
      <c r="O55" s="208"/>
      <c r="P55" s="209"/>
      <c r="Q55" s="208"/>
      <c r="R55" s="208"/>
      <c r="S55" s="210"/>
      <c r="T55" s="208"/>
      <c r="U55" s="211"/>
      <c r="V55" s="153">
        <v>15</v>
      </c>
      <c r="W55" s="154"/>
      <c r="X55" s="155"/>
      <c r="Y55" s="146"/>
      <c r="Z55" s="156">
        <v>15</v>
      </c>
      <c r="AA55" s="157"/>
      <c r="AB55" s="157"/>
      <c r="AC55" s="158"/>
      <c r="AD55" s="159" t="s">
        <v>13183</v>
      </c>
      <c r="AE55" s="117"/>
      <c r="AF55" s="117"/>
      <c r="AG55" s="117"/>
      <c r="AH55" s="117"/>
      <c r="AI55" s="117"/>
      <c r="AJ55" s="117"/>
      <c r="AK55" s="117"/>
      <c r="AL55" s="117"/>
      <c r="AM55" s="117"/>
      <c r="AN55" s="117"/>
      <c r="AO55" s="117"/>
      <c r="AP55" s="117"/>
      <c r="AQ55" s="117"/>
      <c r="AR55" s="117"/>
      <c r="AS55" s="117"/>
      <c r="AT55" s="117"/>
      <c r="AU55" s="117"/>
      <c r="AV55" s="117"/>
      <c r="AW55" s="117"/>
      <c r="AX55" s="117"/>
      <c r="AY55" s="117"/>
      <c r="AZ55" s="117"/>
      <c r="BA55" s="117"/>
      <c r="BB55" s="117"/>
      <c r="BC55" s="117"/>
      <c r="BD55" s="117"/>
      <c r="BE55" s="212"/>
      <c r="BF55" s="212"/>
      <c r="BG55" s="212"/>
      <c r="BH55" s="213"/>
      <c r="BI55" s="150"/>
      <c r="BJ55" s="121">
        <v>1</v>
      </c>
      <c r="BK55" s="121">
        <v>1</v>
      </c>
      <c r="BL55" s="121">
        <v>1</v>
      </c>
      <c r="BM55" s="121">
        <v>1</v>
      </c>
      <c r="BN55" s="121">
        <v>1</v>
      </c>
      <c r="BO55" s="121">
        <v>1</v>
      </c>
      <c r="BP55" s="121">
        <v>1</v>
      </c>
      <c r="BQ55" s="121">
        <v>1</v>
      </c>
      <c r="BR55" s="121">
        <v>4</v>
      </c>
      <c r="BS55" s="121">
        <v>1</v>
      </c>
      <c r="BT55" s="121">
        <v>1</v>
      </c>
      <c r="BU55" s="121">
        <v>1</v>
      </c>
      <c r="BV55" s="199"/>
      <c r="BW55" s="199"/>
      <c r="BX55" s="199"/>
      <c r="BY55" s="199"/>
      <c r="BZ55" s="199"/>
      <c r="CA55" s="199"/>
      <c r="CB55" s="199"/>
      <c r="CC55" s="199"/>
      <c r="CD55" s="199"/>
      <c r="CE55" s="199"/>
      <c r="CF55" s="199"/>
      <c r="CG55" s="199"/>
      <c r="CH55" s="199"/>
      <c r="CI55" s="121"/>
      <c r="CJ55" s="121"/>
      <c r="CK55" s="121"/>
      <c r="CL55" s="121"/>
      <c r="CM55" s="121"/>
      <c r="CN55" s="200"/>
      <c r="CO55" s="201"/>
      <c r="CP55" s="202"/>
      <c r="CQ55" s="202"/>
      <c r="CR55" s="202"/>
      <c r="CS55" s="202"/>
      <c r="CT55" s="203"/>
      <c r="CU55" s="204"/>
      <c r="CV55" s="199"/>
      <c r="CW55" s="205"/>
      <c r="CX55" s="132"/>
      <c r="CY55" s="132"/>
      <c r="CZ55" s="132"/>
      <c r="DA55" s="132"/>
      <c r="DB55" s="132"/>
      <c r="DC55" s="132"/>
      <c r="DD55" s="132"/>
      <c r="DE55" s="103"/>
      <c r="DF55" s="103"/>
      <c r="DG55" s="103"/>
      <c r="DH55" s="103"/>
      <c r="DI55" s="103"/>
      <c r="DJ55" s="103"/>
      <c r="DK55" s="130"/>
      <c r="DL55" s="130"/>
      <c r="DM55" s="130"/>
      <c r="DN55" s="132"/>
      <c r="DO55" s="132"/>
    </row>
    <row r="56" ht="41.1" customHeight="1" spans="1:119">
      <c r="A56" s="131">
        <v>43522</v>
      </c>
      <c r="B56" s="132" t="s">
        <v>13256</v>
      </c>
      <c r="C56" s="160">
        <v>4500017093</v>
      </c>
      <c r="D56" s="161" t="s">
        <v>13257</v>
      </c>
      <c r="E56" s="206" t="s">
        <v>13258</v>
      </c>
      <c r="F56" s="136" t="s">
        <v>13259</v>
      </c>
      <c r="G56" s="137" t="s">
        <v>13182</v>
      </c>
      <c r="H56" s="138">
        <v>24</v>
      </c>
      <c r="I56" s="132"/>
      <c r="J56" s="132"/>
      <c r="K56" s="132"/>
      <c r="L56" s="139"/>
      <c r="M56" s="140"/>
      <c r="N56" s="208"/>
      <c r="O56" s="208"/>
      <c r="P56" s="209"/>
      <c r="Q56" s="208"/>
      <c r="R56" s="208"/>
      <c r="S56" s="210"/>
      <c r="T56" s="208"/>
      <c r="U56" s="211"/>
      <c r="V56" s="153">
        <v>24</v>
      </c>
      <c r="W56" s="154"/>
      <c r="X56" s="155"/>
      <c r="Y56" s="146"/>
      <c r="Z56" s="156">
        <v>24</v>
      </c>
      <c r="AA56" s="157"/>
      <c r="AB56" s="157"/>
      <c r="AC56" s="158"/>
      <c r="AD56" s="159" t="s">
        <v>13183</v>
      </c>
      <c r="AE56" s="117"/>
      <c r="AF56" s="117"/>
      <c r="AG56" s="117"/>
      <c r="AH56" s="117"/>
      <c r="AI56" s="117"/>
      <c r="AJ56" s="117"/>
      <c r="AK56" s="117"/>
      <c r="AL56" s="117"/>
      <c r="AM56" s="117"/>
      <c r="AN56" s="117"/>
      <c r="AO56" s="117"/>
      <c r="AP56" s="117"/>
      <c r="AQ56" s="117"/>
      <c r="AR56" s="117"/>
      <c r="AS56" s="117"/>
      <c r="AT56" s="117"/>
      <c r="AU56" s="117"/>
      <c r="AV56" s="117"/>
      <c r="AW56" s="117"/>
      <c r="AX56" s="117"/>
      <c r="AY56" s="117"/>
      <c r="AZ56" s="117"/>
      <c r="BA56" s="117"/>
      <c r="BB56" s="117"/>
      <c r="BC56" s="117"/>
      <c r="BD56" s="117"/>
      <c r="BE56" s="212"/>
      <c r="BF56" s="212"/>
      <c r="BG56" s="212"/>
      <c r="BH56" s="213"/>
      <c r="BI56" s="150"/>
      <c r="BJ56" s="121">
        <v>2</v>
      </c>
      <c r="BK56" s="121">
        <v>2</v>
      </c>
      <c r="BL56" s="121">
        <v>2</v>
      </c>
      <c r="BM56" s="121">
        <v>2</v>
      </c>
      <c r="BN56" s="121">
        <v>2</v>
      </c>
      <c r="BO56" s="121">
        <v>2</v>
      </c>
      <c r="BP56" s="121">
        <v>2</v>
      </c>
      <c r="BQ56" s="121">
        <v>2</v>
      </c>
      <c r="BR56" s="121">
        <v>2</v>
      </c>
      <c r="BS56" s="121">
        <v>2</v>
      </c>
      <c r="BT56" s="121">
        <v>2</v>
      </c>
      <c r="BU56" s="121">
        <v>2</v>
      </c>
      <c r="BV56" s="199"/>
      <c r="BW56" s="199"/>
      <c r="BX56" s="199"/>
      <c r="BY56" s="199"/>
      <c r="BZ56" s="199"/>
      <c r="CA56" s="199"/>
      <c r="CB56" s="199"/>
      <c r="CC56" s="199"/>
      <c r="CD56" s="199"/>
      <c r="CE56" s="199"/>
      <c r="CF56" s="199"/>
      <c r="CG56" s="199"/>
      <c r="CH56" s="199"/>
      <c r="CI56" s="121"/>
      <c r="CJ56" s="121"/>
      <c r="CK56" s="121"/>
      <c r="CL56" s="121"/>
      <c r="CM56" s="121"/>
      <c r="CN56" s="200"/>
      <c r="CO56" s="201"/>
      <c r="CP56" s="202"/>
      <c r="CQ56" s="202"/>
      <c r="CR56" s="202"/>
      <c r="CS56" s="202"/>
      <c r="CT56" s="203"/>
      <c r="CU56" s="204"/>
      <c r="CV56" s="199"/>
      <c r="CW56" s="205"/>
      <c r="CX56" s="132"/>
      <c r="CY56" s="132"/>
      <c r="CZ56" s="132"/>
      <c r="DA56" s="132"/>
      <c r="DB56" s="132"/>
      <c r="DC56" s="132"/>
      <c r="DD56" s="132"/>
      <c r="DE56" s="103"/>
      <c r="DF56" s="103"/>
      <c r="DG56" s="103"/>
      <c r="DH56" s="103"/>
      <c r="DI56" s="103"/>
      <c r="DJ56" s="103"/>
      <c r="DK56" s="130"/>
      <c r="DL56" s="130"/>
      <c r="DM56" s="130"/>
      <c r="DN56" s="132"/>
      <c r="DO56" s="132"/>
    </row>
    <row r="57" ht="41.1" customHeight="1" spans="1:119">
      <c r="A57" s="131">
        <v>43522</v>
      </c>
      <c r="B57" s="132" t="s">
        <v>13237</v>
      </c>
      <c r="C57" s="160">
        <v>4500016464</v>
      </c>
      <c r="D57" s="161"/>
      <c r="E57" s="206" t="s">
        <v>13260</v>
      </c>
      <c r="F57" s="136" t="s">
        <v>13181</v>
      </c>
      <c r="G57" s="137" t="s">
        <v>13182</v>
      </c>
      <c r="H57" s="138">
        <v>12</v>
      </c>
      <c r="I57" s="132"/>
      <c r="J57" s="132"/>
      <c r="K57" s="132"/>
      <c r="L57" s="139"/>
      <c r="M57" s="140"/>
      <c r="N57" s="208"/>
      <c r="O57" s="208"/>
      <c r="P57" s="209"/>
      <c r="Q57" s="208"/>
      <c r="R57" s="208"/>
      <c r="S57" s="210"/>
      <c r="T57" s="208"/>
      <c r="U57" s="211"/>
      <c r="V57" s="153"/>
      <c r="W57" s="154"/>
      <c r="X57" s="155">
        <v>12</v>
      </c>
      <c r="Y57" s="146"/>
      <c r="Z57" s="156">
        <v>12</v>
      </c>
      <c r="AA57" s="157"/>
      <c r="AB57" s="157"/>
      <c r="AC57" s="158"/>
      <c r="AD57" s="159" t="s">
        <v>13240</v>
      </c>
      <c r="AE57" s="117"/>
      <c r="AF57" s="117"/>
      <c r="AG57" s="117"/>
      <c r="AH57" s="117"/>
      <c r="AI57" s="117"/>
      <c r="AJ57" s="117"/>
      <c r="AK57" s="117"/>
      <c r="AL57" s="117"/>
      <c r="AM57" s="117"/>
      <c r="AN57" s="117"/>
      <c r="AO57" s="117"/>
      <c r="AP57" s="117"/>
      <c r="AQ57" s="117"/>
      <c r="AR57" s="117"/>
      <c r="AS57" s="117"/>
      <c r="AT57" s="117"/>
      <c r="AU57" s="117"/>
      <c r="AV57" s="117"/>
      <c r="AW57" s="117"/>
      <c r="AX57" s="117"/>
      <c r="AY57" s="117"/>
      <c r="AZ57" s="117"/>
      <c r="BA57" s="117"/>
      <c r="BB57" s="117"/>
      <c r="BC57" s="117"/>
      <c r="BD57" s="117"/>
      <c r="BE57" s="212"/>
      <c r="BF57" s="212"/>
      <c r="BG57" s="212"/>
      <c r="BH57" s="213"/>
      <c r="BI57" s="150"/>
      <c r="BJ57" s="121">
        <v>1</v>
      </c>
      <c r="BK57" s="121">
        <v>1</v>
      </c>
      <c r="BL57" s="121">
        <v>1</v>
      </c>
      <c r="BM57" s="121">
        <v>1</v>
      </c>
      <c r="BN57" s="121">
        <v>1</v>
      </c>
      <c r="BO57" s="121">
        <v>1</v>
      </c>
      <c r="BP57" s="121">
        <v>1</v>
      </c>
      <c r="BQ57" s="121">
        <v>1</v>
      </c>
      <c r="BR57" s="121">
        <v>1</v>
      </c>
      <c r="BS57" s="121">
        <v>1</v>
      </c>
      <c r="BT57" s="121">
        <v>1</v>
      </c>
      <c r="BU57" s="121">
        <v>1</v>
      </c>
      <c r="BV57" s="199"/>
      <c r="BW57" s="199"/>
      <c r="BX57" s="199"/>
      <c r="BY57" s="199"/>
      <c r="BZ57" s="199"/>
      <c r="CA57" s="199"/>
      <c r="CB57" s="199"/>
      <c r="CC57" s="199"/>
      <c r="CD57" s="199"/>
      <c r="CE57" s="199"/>
      <c r="CF57" s="199"/>
      <c r="CG57" s="199"/>
      <c r="CH57" s="199"/>
      <c r="CI57" s="121"/>
      <c r="CJ57" s="121"/>
      <c r="CK57" s="121"/>
      <c r="CL57" s="121"/>
      <c r="CM57" s="121"/>
      <c r="CN57" s="200"/>
      <c r="CO57" s="201"/>
      <c r="CP57" s="202"/>
      <c r="CQ57" s="202"/>
      <c r="CR57" s="202"/>
      <c r="CS57" s="202"/>
      <c r="CT57" s="203"/>
      <c r="CU57" s="204"/>
      <c r="CV57" s="199"/>
      <c r="CW57" s="205"/>
      <c r="CX57" s="132"/>
      <c r="CY57" s="132"/>
      <c r="CZ57" s="132"/>
      <c r="DA57" s="132"/>
      <c r="DB57" s="132"/>
      <c r="DC57" s="132"/>
      <c r="DD57" s="132"/>
      <c r="DE57" s="103"/>
      <c r="DF57" s="103"/>
      <c r="DG57" s="103"/>
      <c r="DH57" s="103"/>
      <c r="DI57" s="103"/>
      <c r="DJ57" s="103"/>
      <c r="DK57" s="130"/>
      <c r="DL57" s="130"/>
      <c r="DM57" s="130"/>
      <c r="DN57" s="132"/>
      <c r="DO57" s="132"/>
    </row>
    <row r="58" ht="41.1" customHeight="1" spans="1:119">
      <c r="A58" s="131">
        <v>43529</v>
      </c>
      <c r="B58" s="132" t="s">
        <v>13195</v>
      </c>
      <c r="C58" s="160">
        <v>4500016256</v>
      </c>
      <c r="D58" s="161" t="s">
        <v>13261</v>
      </c>
      <c r="E58" s="206" t="s">
        <v>13262</v>
      </c>
      <c r="F58" s="136" t="s">
        <v>13181</v>
      </c>
      <c r="G58" s="137" t="s">
        <v>13182</v>
      </c>
      <c r="H58" s="138">
        <v>24</v>
      </c>
      <c r="I58" s="132"/>
      <c r="J58" s="132"/>
      <c r="K58" s="132"/>
      <c r="L58" s="139"/>
      <c r="M58" s="140"/>
      <c r="N58" s="208"/>
      <c r="O58" s="208"/>
      <c r="P58" s="209"/>
      <c r="Q58" s="208"/>
      <c r="R58" s="208"/>
      <c r="S58" s="210"/>
      <c r="T58" s="208"/>
      <c r="U58" s="211"/>
      <c r="V58" s="153">
        <v>24</v>
      </c>
      <c r="W58" s="154"/>
      <c r="X58" s="155"/>
      <c r="Y58" s="146"/>
      <c r="Z58" s="156">
        <v>24</v>
      </c>
      <c r="AA58" s="157"/>
      <c r="AB58" s="157"/>
      <c r="AC58" s="158"/>
      <c r="AD58" s="159" t="s">
        <v>13183</v>
      </c>
      <c r="AE58" s="117"/>
      <c r="AF58" s="117"/>
      <c r="AG58" s="117"/>
      <c r="AH58" s="117"/>
      <c r="AI58" s="117"/>
      <c r="AJ58" s="117"/>
      <c r="AK58" s="117"/>
      <c r="AL58" s="117"/>
      <c r="AM58" s="117"/>
      <c r="AN58" s="117"/>
      <c r="AO58" s="117"/>
      <c r="AP58" s="117"/>
      <c r="AQ58" s="117"/>
      <c r="AR58" s="117"/>
      <c r="AS58" s="117"/>
      <c r="AT58" s="117"/>
      <c r="AU58" s="117"/>
      <c r="AV58" s="117"/>
      <c r="AW58" s="117"/>
      <c r="AX58" s="117"/>
      <c r="AY58" s="117"/>
      <c r="AZ58" s="117"/>
      <c r="BA58" s="117"/>
      <c r="BB58" s="117"/>
      <c r="BC58" s="117"/>
      <c r="BD58" s="117"/>
      <c r="BE58" s="212"/>
      <c r="BF58" s="212"/>
      <c r="BG58" s="212"/>
      <c r="BH58" s="213"/>
      <c r="BI58" s="150"/>
      <c r="BJ58" s="121">
        <v>2</v>
      </c>
      <c r="BK58" s="121">
        <v>2</v>
      </c>
      <c r="BL58" s="121">
        <v>2</v>
      </c>
      <c r="BM58" s="121">
        <v>2</v>
      </c>
      <c r="BN58" s="121">
        <v>2</v>
      </c>
      <c r="BO58" s="121">
        <v>2</v>
      </c>
      <c r="BP58" s="121">
        <v>2</v>
      </c>
      <c r="BQ58" s="121">
        <v>2</v>
      </c>
      <c r="BR58" s="121">
        <v>2</v>
      </c>
      <c r="BS58" s="121">
        <v>2</v>
      </c>
      <c r="BT58" s="121">
        <v>2</v>
      </c>
      <c r="BU58" s="121">
        <v>2</v>
      </c>
      <c r="BV58" s="199"/>
      <c r="BW58" s="199"/>
      <c r="BX58" s="199"/>
      <c r="BY58" s="199"/>
      <c r="BZ58" s="199"/>
      <c r="CA58" s="199"/>
      <c r="CB58" s="199"/>
      <c r="CC58" s="199"/>
      <c r="CD58" s="199"/>
      <c r="CE58" s="199"/>
      <c r="CF58" s="199"/>
      <c r="CG58" s="199"/>
      <c r="CH58" s="199"/>
      <c r="CI58" s="121"/>
      <c r="CJ58" s="121"/>
      <c r="CK58" s="121"/>
      <c r="CL58" s="121"/>
      <c r="CM58" s="121"/>
      <c r="CN58" s="200"/>
      <c r="CO58" s="201"/>
      <c r="CP58" s="202"/>
      <c r="CQ58" s="202"/>
      <c r="CR58" s="202"/>
      <c r="CS58" s="202"/>
      <c r="CT58" s="203"/>
      <c r="CU58" s="204"/>
      <c r="CV58" s="199"/>
      <c r="CW58" s="205"/>
      <c r="CX58" s="132"/>
      <c r="CY58" s="132"/>
      <c r="CZ58" s="132"/>
      <c r="DA58" s="132"/>
      <c r="DB58" s="132"/>
      <c r="DC58" s="132"/>
      <c r="DD58" s="132"/>
      <c r="DE58" s="103"/>
      <c r="DF58" s="103"/>
      <c r="DG58" s="103"/>
      <c r="DH58" s="103"/>
      <c r="DI58" s="103"/>
      <c r="DJ58" s="103"/>
      <c r="DK58" s="130"/>
      <c r="DL58" s="130"/>
      <c r="DM58" s="130"/>
      <c r="DN58" s="132"/>
      <c r="DO58" s="132"/>
    </row>
    <row r="59" ht="41.1" customHeight="1" spans="1:119">
      <c r="A59" s="131">
        <v>43542</v>
      </c>
      <c r="B59" s="132" t="s">
        <v>13263</v>
      </c>
      <c r="C59" s="160" t="s">
        <v>13193</v>
      </c>
      <c r="D59" s="161" t="s">
        <v>13264</v>
      </c>
      <c r="E59" s="206"/>
      <c r="F59" s="136" t="s">
        <v>13181</v>
      </c>
      <c r="G59" s="137" t="s">
        <v>13182</v>
      </c>
      <c r="H59" s="138">
        <v>24</v>
      </c>
      <c r="I59" s="132"/>
      <c r="J59" s="132"/>
      <c r="K59" s="132"/>
      <c r="L59" s="139"/>
      <c r="M59" s="140"/>
      <c r="N59" s="208"/>
      <c r="O59" s="208"/>
      <c r="P59" s="209"/>
      <c r="Q59" s="208"/>
      <c r="R59" s="208"/>
      <c r="S59" s="210"/>
      <c r="T59" s="208"/>
      <c r="U59" s="211"/>
      <c r="V59" s="153">
        <v>24</v>
      </c>
      <c r="W59" s="154"/>
      <c r="X59" s="155"/>
      <c r="Y59" s="146"/>
      <c r="Z59" s="156">
        <v>24</v>
      </c>
      <c r="AA59" s="157"/>
      <c r="AB59" s="157"/>
      <c r="AC59" s="158"/>
      <c r="AD59" s="159" t="s">
        <v>13183</v>
      </c>
      <c r="AE59" s="117"/>
      <c r="AF59" s="117"/>
      <c r="AG59" s="117"/>
      <c r="AH59" s="117"/>
      <c r="AI59" s="117"/>
      <c r="AJ59" s="117"/>
      <c r="AK59" s="117"/>
      <c r="AL59" s="117"/>
      <c r="AM59" s="117"/>
      <c r="AN59" s="117"/>
      <c r="AO59" s="117"/>
      <c r="AP59" s="117"/>
      <c r="AQ59" s="117"/>
      <c r="AR59" s="117"/>
      <c r="AS59" s="117"/>
      <c r="AT59" s="117"/>
      <c r="AU59" s="117"/>
      <c r="AV59" s="117"/>
      <c r="AW59" s="117"/>
      <c r="AX59" s="117"/>
      <c r="AY59" s="117"/>
      <c r="AZ59" s="117"/>
      <c r="BA59" s="117"/>
      <c r="BB59" s="117"/>
      <c r="BC59" s="117"/>
      <c r="BD59" s="117"/>
      <c r="BE59" s="212"/>
      <c r="BF59" s="212"/>
      <c r="BG59" s="212"/>
      <c r="BH59" s="213"/>
      <c r="BI59" s="150"/>
      <c r="BJ59" s="121">
        <v>2</v>
      </c>
      <c r="BK59" s="121">
        <v>2</v>
      </c>
      <c r="BL59" s="121">
        <v>2</v>
      </c>
      <c r="BM59" s="121">
        <v>2</v>
      </c>
      <c r="BN59" s="121">
        <v>2</v>
      </c>
      <c r="BO59" s="121">
        <v>2</v>
      </c>
      <c r="BP59" s="121">
        <v>2</v>
      </c>
      <c r="BQ59" s="121">
        <v>2</v>
      </c>
      <c r="BR59" s="121">
        <v>2</v>
      </c>
      <c r="BS59" s="121">
        <v>2</v>
      </c>
      <c r="BT59" s="121">
        <v>2</v>
      </c>
      <c r="BU59" s="121">
        <v>2</v>
      </c>
      <c r="BV59" s="199"/>
      <c r="BW59" s="199"/>
      <c r="BX59" s="199"/>
      <c r="BY59" s="199"/>
      <c r="BZ59" s="199"/>
      <c r="CA59" s="199"/>
      <c r="CB59" s="199"/>
      <c r="CC59" s="199"/>
      <c r="CD59" s="199"/>
      <c r="CE59" s="199"/>
      <c r="CF59" s="199"/>
      <c r="CG59" s="199"/>
      <c r="CH59" s="199"/>
      <c r="CI59" s="121"/>
      <c r="CJ59" s="121"/>
      <c r="CK59" s="121"/>
      <c r="CL59" s="121"/>
      <c r="CM59" s="121"/>
      <c r="CN59" s="200"/>
      <c r="CO59" s="201"/>
      <c r="CP59" s="202"/>
      <c r="CQ59" s="202"/>
      <c r="CR59" s="202"/>
      <c r="CS59" s="202"/>
      <c r="CT59" s="203"/>
      <c r="CU59" s="204"/>
      <c r="CV59" s="199"/>
      <c r="CW59" s="205"/>
      <c r="CX59" s="132"/>
      <c r="CY59" s="132"/>
      <c r="CZ59" s="132"/>
      <c r="DA59" s="132"/>
      <c r="DB59" s="132"/>
      <c r="DC59" s="132"/>
      <c r="DD59" s="132"/>
      <c r="DE59" s="103"/>
      <c r="DF59" s="103"/>
      <c r="DG59" s="103"/>
      <c r="DH59" s="103"/>
      <c r="DI59" s="103"/>
      <c r="DJ59" s="103"/>
      <c r="DK59" s="130"/>
      <c r="DL59" s="130"/>
      <c r="DM59" s="130"/>
      <c r="DN59" s="132"/>
      <c r="DO59" s="132"/>
    </row>
    <row r="60" ht="41.1" customHeight="1" spans="1:119">
      <c r="A60" s="131">
        <v>43573</v>
      </c>
      <c r="B60" s="132" t="s">
        <v>13237</v>
      </c>
      <c r="C60" s="160">
        <v>4500018212</v>
      </c>
      <c r="D60" s="161" t="s">
        <v>13265</v>
      </c>
      <c r="E60" s="206" t="s">
        <v>13266</v>
      </c>
      <c r="F60" s="136" t="s">
        <v>13267</v>
      </c>
      <c r="G60" s="137" t="s">
        <v>13268</v>
      </c>
      <c r="H60" s="138">
        <v>13</v>
      </c>
      <c r="I60" s="132"/>
      <c r="J60" s="132"/>
      <c r="K60" s="132"/>
      <c r="L60" s="139"/>
      <c r="M60" s="140"/>
      <c r="N60" s="208"/>
      <c r="O60" s="208"/>
      <c r="P60" s="209"/>
      <c r="Q60" s="208"/>
      <c r="R60" s="208"/>
      <c r="S60" s="210"/>
      <c r="T60" s="208"/>
      <c r="U60" s="211"/>
      <c r="V60" s="153"/>
      <c r="W60" s="154"/>
      <c r="X60" s="155"/>
      <c r="Y60" s="146"/>
      <c r="Z60" s="156"/>
      <c r="AA60" s="157"/>
      <c r="AB60" s="157"/>
      <c r="AC60" s="158"/>
      <c r="AD60" s="159"/>
      <c r="AE60" s="117">
        <v>13</v>
      </c>
      <c r="AF60" s="117"/>
      <c r="AG60" s="117"/>
      <c r="AH60" s="117">
        <v>13</v>
      </c>
      <c r="AI60" s="117"/>
      <c r="AJ60" s="117"/>
      <c r="AK60" s="117"/>
      <c r="AL60" s="117"/>
      <c r="AM60" s="117" t="s">
        <v>13183</v>
      </c>
      <c r="AN60" s="117"/>
      <c r="AO60" s="117"/>
      <c r="AP60" s="117"/>
      <c r="AQ60" s="117"/>
      <c r="AR60" s="117"/>
      <c r="AS60" s="117"/>
      <c r="AT60" s="117"/>
      <c r="AU60" s="117"/>
      <c r="AV60" s="117"/>
      <c r="AW60" s="117"/>
      <c r="AX60" s="117"/>
      <c r="AY60" s="117"/>
      <c r="AZ60" s="117"/>
      <c r="BA60" s="117"/>
      <c r="BB60" s="117"/>
      <c r="BC60" s="117"/>
      <c r="BD60" s="117"/>
      <c r="BE60" s="212"/>
      <c r="BF60" s="212"/>
      <c r="BG60" s="212"/>
      <c r="BH60" s="213"/>
      <c r="BI60" s="150"/>
      <c r="BJ60" s="121"/>
      <c r="BK60" s="121"/>
      <c r="BL60" s="121"/>
      <c r="BM60" s="121"/>
      <c r="BN60" s="121"/>
      <c r="BO60" s="121"/>
      <c r="BP60" s="121"/>
      <c r="BQ60" s="121"/>
      <c r="BR60" s="121"/>
      <c r="BS60" s="121"/>
      <c r="BT60" s="121"/>
      <c r="BU60" s="121"/>
      <c r="BV60" s="199">
        <v>1</v>
      </c>
      <c r="BW60" s="199">
        <v>1</v>
      </c>
      <c r="BX60" s="199">
        <v>1</v>
      </c>
      <c r="BY60" s="199">
        <v>1</v>
      </c>
      <c r="BZ60" s="199">
        <v>1</v>
      </c>
      <c r="CA60" s="199">
        <v>1</v>
      </c>
      <c r="CB60" s="199">
        <v>1</v>
      </c>
      <c r="CC60" s="199">
        <v>1</v>
      </c>
      <c r="CD60" s="199">
        <v>1</v>
      </c>
      <c r="CE60" s="199">
        <v>1</v>
      </c>
      <c r="CF60" s="199">
        <v>1</v>
      </c>
      <c r="CG60" s="199">
        <v>1</v>
      </c>
      <c r="CH60" s="199">
        <v>1</v>
      </c>
      <c r="CI60" s="121"/>
      <c r="CJ60" s="121"/>
      <c r="CK60" s="121"/>
      <c r="CL60" s="121"/>
      <c r="CM60" s="121"/>
      <c r="CN60" s="200"/>
      <c r="CO60" s="201"/>
      <c r="CP60" s="202"/>
      <c r="CQ60" s="202"/>
      <c r="CR60" s="202"/>
      <c r="CS60" s="202"/>
      <c r="CT60" s="203"/>
      <c r="CU60" s="204"/>
      <c r="CV60" s="199"/>
      <c r="CW60" s="205"/>
      <c r="CX60" s="132"/>
      <c r="CY60" s="132"/>
      <c r="CZ60" s="132"/>
      <c r="DA60" s="132"/>
      <c r="DB60" s="132"/>
      <c r="DC60" s="132"/>
      <c r="DD60" s="132"/>
      <c r="DE60" s="103"/>
      <c r="DF60" s="103"/>
      <c r="DG60" s="103"/>
      <c r="DH60" s="103"/>
      <c r="DI60" s="103"/>
      <c r="DJ60" s="103"/>
      <c r="DK60" s="130"/>
      <c r="DL60" s="130"/>
      <c r="DM60" s="130"/>
      <c r="DN60" s="132"/>
      <c r="DO60" s="132"/>
    </row>
    <row r="61" ht="41.1" customHeight="1" spans="1:119">
      <c r="A61" s="131">
        <v>43574</v>
      </c>
      <c r="B61" s="132" t="s">
        <v>13263</v>
      </c>
      <c r="C61" s="160">
        <v>4500017981</v>
      </c>
      <c r="D61" s="214" t="s">
        <v>5030</v>
      </c>
      <c r="E61" s="206" t="s">
        <v>13254</v>
      </c>
      <c r="F61" s="100" t="s">
        <v>13269</v>
      </c>
      <c r="G61" s="137" t="s">
        <v>13268</v>
      </c>
      <c r="H61" s="138">
        <v>33</v>
      </c>
      <c r="I61" s="132"/>
      <c r="J61" s="132"/>
      <c r="K61" s="132"/>
      <c r="L61" s="139"/>
      <c r="M61" s="140"/>
      <c r="N61" s="208"/>
      <c r="O61" s="208"/>
      <c r="P61" s="209"/>
      <c r="Q61" s="208"/>
      <c r="R61" s="208"/>
      <c r="S61" s="210"/>
      <c r="T61" s="208"/>
      <c r="U61" s="211"/>
      <c r="V61" s="153"/>
      <c r="W61" s="154"/>
      <c r="X61" s="155"/>
      <c r="Y61" s="146"/>
      <c r="Z61" s="156"/>
      <c r="AA61" s="157"/>
      <c r="AB61" s="157"/>
      <c r="AC61" s="158"/>
      <c r="AD61" s="159"/>
      <c r="AE61" s="117">
        <v>33</v>
      </c>
      <c r="AF61" s="117"/>
      <c r="AG61" s="117"/>
      <c r="AH61" s="117">
        <v>33</v>
      </c>
      <c r="AI61" s="117"/>
      <c r="AJ61" s="117"/>
      <c r="AK61" s="117"/>
      <c r="AL61" s="117"/>
      <c r="AM61" s="117" t="s">
        <v>13183</v>
      </c>
      <c r="AN61" s="117"/>
      <c r="AO61" s="117"/>
      <c r="AP61" s="117"/>
      <c r="AQ61" s="117"/>
      <c r="AR61" s="117"/>
      <c r="AS61" s="117"/>
      <c r="AT61" s="117"/>
      <c r="AU61" s="117"/>
      <c r="AV61" s="117"/>
      <c r="AW61" s="117"/>
      <c r="AX61" s="117"/>
      <c r="AY61" s="117"/>
      <c r="AZ61" s="117"/>
      <c r="BA61" s="117"/>
      <c r="BB61" s="117"/>
      <c r="BC61" s="117"/>
      <c r="BD61" s="117"/>
      <c r="BE61" s="212"/>
      <c r="BF61" s="212"/>
      <c r="BG61" s="212"/>
      <c r="BH61" s="213"/>
      <c r="BI61" s="150"/>
      <c r="BJ61" s="121"/>
      <c r="BK61" s="121"/>
      <c r="BL61" s="121"/>
      <c r="BM61" s="121"/>
      <c r="BN61" s="121"/>
      <c r="BO61" s="121"/>
      <c r="BP61" s="121"/>
      <c r="BQ61" s="121"/>
      <c r="BR61" s="121"/>
      <c r="BS61" s="121"/>
      <c r="BT61" s="121"/>
      <c r="BU61" s="121"/>
      <c r="BV61" s="199">
        <v>3</v>
      </c>
      <c r="BW61" s="199">
        <v>3</v>
      </c>
      <c r="BX61" s="199">
        <v>3</v>
      </c>
      <c r="BY61" s="199">
        <v>3</v>
      </c>
      <c r="BZ61" s="199">
        <v>3</v>
      </c>
      <c r="CA61" s="199">
        <v>3</v>
      </c>
      <c r="CB61" s="199">
        <v>3</v>
      </c>
      <c r="CC61" s="199"/>
      <c r="CD61" s="199"/>
      <c r="CE61" s="199">
        <v>3</v>
      </c>
      <c r="CF61" s="199">
        <v>3</v>
      </c>
      <c r="CG61" s="199">
        <v>3</v>
      </c>
      <c r="CH61" s="199">
        <v>3</v>
      </c>
      <c r="CI61" s="121"/>
      <c r="CJ61" s="121"/>
      <c r="CK61" s="121"/>
      <c r="CL61" s="121"/>
      <c r="CM61" s="121"/>
      <c r="CN61" s="200"/>
      <c r="CO61" s="201"/>
      <c r="CP61" s="202"/>
      <c r="CQ61" s="202"/>
      <c r="CR61" s="202"/>
      <c r="CS61" s="202"/>
      <c r="CT61" s="203"/>
      <c r="CU61" s="204"/>
      <c r="CV61" s="199"/>
      <c r="CW61" s="205"/>
      <c r="CX61" s="132"/>
      <c r="CY61" s="132"/>
      <c r="CZ61" s="132"/>
      <c r="DA61" s="132"/>
      <c r="DB61" s="132"/>
      <c r="DC61" s="132"/>
      <c r="DD61" s="132"/>
      <c r="DE61" s="103"/>
      <c r="DF61" s="103"/>
      <c r="DG61" s="103"/>
      <c r="DH61" s="103"/>
      <c r="DI61" s="103"/>
      <c r="DJ61" s="103"/>
      <c r="DK61" s="130"/>
      <c r="DL61" s="130"/>
      <c r="DM61" s="130"/>
      <c r="DN61" s="132"/>
      <c r="DO61" s="132"/>
    </row>
    <row r="62" ht="41.1" customHeight="1" spans="1:119">
      <c r="A62" s="131">
        <v>43574</v>
      </c>
      <c r="B62" s="132" t="s">
        <v>13270</v>
      </c>
      <c r="C62" s="160">
        <v>450018388</v>
      </c>
      <c r="D62" s="215" t="s">
        <v>6459</v>
      </c>
      <c r="E62" s="206" t="s">
        <v>13271</v>
      </c>
      <c r="F62" s="100" t="s">
        <v>13267</v>
      </c>
      <c r="G62" s="137" t="s">
        <v>13268</v>
      </c>
      <c r="H62" s="138">
        <v>13</v>
      </c>
      <c r="I62" s="132"/>
      <c r="J62" s="132"/>
      <c r="K62" s="132"/>
      <c r="L62" s="139"/>
      <c r="M62" s="140"/>
      <c r="N62" s="208"/>
      <c r="O62" s="208"/>
      <c r="P62" s="209"/>
      <c r="Q62" s="208"/>
      <c r="R62" s="208"/>
      <c r="S62" s="210"/>
      <c r="T62" s="208"/>
      <c r="U62" s="211"/>
      <c r="V62" s="153"/>
      <c r="W62" s="154"/>
      <c r="X62" s="155"/>
      <c r="Y62" s="146"/>
      <c r="Z62" s="156"/>
      <c r="AA62" s="157"/>
      <c r="AB62" s="157"/>
      <c r="AC62" s="158"/>
      <c r="AD62" s="159"/>
      <c r="AE62" s="117">
        <v>13</v>
      </c>
      <c r="AF62" s="117"/>
      <c r="AG62" s="117"/>
      <c r="AH62" s="117">
        <v>13</v>
      </c>
      <c r="AI62" s="117"/>
      <c r="AJ62" s="117"/>
      <c r="AK62" s="117"/>
      <c r="AL62" s="117"/>
      <c r="AM62" s="117" t="s">
        <v>13183</v>
      </c>
      <c r="AN62" s="117"/>
      <c r="AO62" s="117"/>
      <c r="AP62" s="117"/>
      <c r="AQ62" s="117"/>
      <c r="AR62" s="117"/>
      <c r="AS62" s="117"/>
      <c r="AT62" s="117"/>
      <c r="AU62" s="117"/>
      <c r="AV62" s="117"/>
      <c r="AW62" s="117"/>
      <c r="AX62" s="117"/>
      <c r="AY62" s="117"/>
      <c r="AZ62" s="117"/>
      <c r="BA62" s="117"/>
      <c r="BB62" s="117"/>
      <c r="BC62" s="117"/>
      <c r="BD62" s="117"/>
      <c r="BE62" s="212"/>
      <c r="BF62" s="212"/>
      <c r="BG62" s="212"/>
      <c r="BH62" s="213"/>
      <c r="BI62" s="150"/>
      <c r="BJ62" s="121"/>
      <c r="BK62" s="121"/>
      <c r="BL62" s="121"/>
      <c r="BM62" s="121"/>
      <c r="BN62" s="121"/>
      <c r="BO62" s="121"/>
      <c r="BP62" s="121"/>
      <c r="BQ62" s="121"/>
      <c r="BR62" s="121"/>
      <c r="BS62" s="121"/>
      <c r="BT62" s="121"/>
      <c r="BU62" s="121"/>
      <c r="BV62" s="199">
        <v>1</v>
      </c>
      <c r="BW62" s="199">
        <v>1</v>
      </c>
      <c r="BX62" s="199">
        <v>1</v>
      </c>
      <c r="BY62" s="199">
        <v>1</v>
      </c>
      <c r="BZ62" s="199">
        <v>1</v>
      </c>
      <c r="CA62" s="199">
        <v>1</v>
      </c>
      <c r="CB62" s="199">
        <v>1</v>
      </c>
      <c r="CC62" s="199">
        <v>1</v>
      </c>
      <c r="CD62" s="199">
        <v>1</v>
      </c>
      <c r="CE62" s="199">
        <v>1</v>
      </c>
      <c r="CF62" s="199">
        <v>1</v>
      </c>
      <c r="CG62" s="199">
        <v>1</v>
      </c>
      <c r="CH62" s="199">
        <v>1</v>
      </c>
      <c r="CI62" s="121"/>
      <c r="CJ62" s="121"/>
      <c r="CK62" s="121"/>
      <c r="CL62" s="121"/>
      <c r="CM62" s="121"/>
      <c r="CN62" s="200"/>
      <c r="CO62" s="201"/>
      <c r="CP62" s="202"/>
      <c r="CQ62" s="202"/>
      <c r="CR62" s="202"/>
      <c r="CS62" s="202"/>
      <c r="CT62" s="203"/>
      <c r="CU62" s="204"/>
      <c r="CV62" s="199"/>
      <c r="CW62" s="205"/>
      <c r="CX62" s="132"/>
      <c r="CY62" s="132"/>
      <c r="CZ62" s="132"/>
      <c r="DA62" s="132"/>
      <c r="DB62" s="132"/>
      <c r="DC62" s="132"/>
      <c r="DD62" s="132"/>
      <c r="DE62" s="103"/>
      <c r="DF62" s="103"/>
      <c r="DG62" s="103"/>
      <c r="DH62" s="103"/>
      <c r="DI62" s="103"/>
      <c r="DJ62" s="103"/>
      <c r="DK62" s="130"/>
      <c r="DL62" s="130"/>
      <c r="DM62" s="130"/>
      <c r="DN62" s="132"/>
      <c r="DO62" s="132"/>
    </row>
    <row r="63" ht="41.1" customHeight="1" spans="1:119">
      <c r="A63" s="131">
        <v>43574</v>
      </c>
      <c r="B63" s="132" t="s">
        <v>13272</v>
      </c>
      <c r="C63" s="160">
        <v>4500016572</v>
      </c>
      <c r="D63" s="215" t="s">
        <v>13209</v>
      </c>
      <c r="E63" s="206" t="s">
        <v>13228</v>
      </c>
      <c r="F63" s="100" t="s">
        <v>13273</v>
      </c>
      <c r="G63" s="137" t="s">
        <v>13268</v>
      </c>
      <c r="H63" s="138">
        <v>11</v>
      </c>
      <c r="I63" s="132"/>
      <c r="J63" s="132"/>
      <c r="K63" s="132"/>
      <c r="L63" s="139"/>
      <c r="M63" s="140"/>
      <c r="N63" s="208"/>
      <c r="O63" s="208"/>
      <c r="P63" s="209"/>
      <c r="Q63" s="208"/>
      <c r="R63" s="208"/>
      <c r="S63" s="210"/>
      <c r="T63" s="208"/>
      <c r="U63" s="211"/>
      <c r="V63" s="153"/>
      <c r="W63" s="154"/>
      <c r="X63" s="155"/>
      <c r="Y63" s="146"/>
      <c r="Z63" s="156"/>
      <c r="AA63" s="157"/>
      <c r="AB63" s="157"/>
      <c r="AC63" s="158"/>
      <c r="AD63" s="159"/>
      <c r="AE63" s="117">
        <v>11</v>
      </c>
      <c r="AF63" s="117"/>
      <c r="AG63" s="117"/>
      <c r="AH63" s="117">
        <v>11</v>
      </c>
      <c r="AI63" s="117"/>
      <c r="AJ63" s="117"/>
      <c r="AK63" s="117"/>
      <c r="AL63" s="117"/>
      <c r="AM63" s="117" t="s">
        <v>13183</v>
      </c>
      <c r="AN63" s="117"/>
      <c r="AO63" s="117"/>
      <c r="AP63" s="117"/>
      <c r="AQ63" s="117"/>
      <c r="AR63" s="117"/>
      <c r="AS63" s="117"/>
      <c r="AT63" s="117"/>
      <c r="AU63" s="117"/>
      <c r="AV63" s="117"/>
      <c r="AW63" s="117"/>
      <c r="AX63" s="117"/>
      <c r="AY63" s="117"/>
      <c r="AZ63" s="117"/>
      <c r="BA63" s="117"/>
      <c r="BB63" s="117"/>
      <c r="BC63" s="117"/>
      <c r="BD63" s="117"/>
      <c r="BE63" s="212"/>
      <c r="BF63" s="212"/>
      <c r="BG63" s="212"/>
      <c r="BH63" s="213"/>
      <c r="BI63" s="150"/>
      <c r="BJ63" s="121"/>
      <c r="BK63" s="121"/>
      <c r="BL63" s="121"/>
      <c r="BM63" s="121"/>
      <c r="BN63" s="121"/>
      <c r="BO63" s="121"/>
      <c r="BP63" s="121"/>
      <c r="BQ63" s="121"/>
      <c r="BR63" s="121"/>
      <c r="BS63" s="121"/>
      <c r="BT63" s="121"/>
      <c r="BU63" s="121"/>
      <c r="BV63" s="199">
        <v>1</v>
      </c>
      <c r="BW63" s="199">
        <v>1</v>
      </c>
      <c r="BX63" s="199">
        <v>1</v>
      </c>
      <c r="BY63" s="199">
        <v>1</v>
      </c>
      <c r="BZ63" s="199">
        <v>1</v>
      </c>
      <c r="CA63" s="199">
        <v>1</v>
      </c>
      <c r="CB63" s="199">
        <v>1</v>
      </c>
      <c r="CC63" s="199"/>
      <c r="CD63" s="199"/>
      <c r="CE63" s="199">
        <v>1</v>
      </c>
      <c r="CF63" s="199">
        <v>1</v>
      </c>
      <c r="CG63" s="199">
        <v>1</v>
      </c>
      <c r="CH63" s="199">
        <v>1</v>
      </c>
      <c r="CI63" s="121"/>
      <c r="CJ63" s="121"/>
      <c r="CK63" s="121"/>
      <c r="CL63" s="121"/>
      <c r="CM63" s="121"/>
      <c r="CN63" s="200"/>
      <c r="CO63" s="201"/>
      <c r="CP63" s="202"/>
      <c r="CQ63" s="202"/>
      <c r="CR63" s="202"/>
      <c r="CS63" s="202"/>
      <c r="CT63" s="203"/>
      <c r="CU63" s="204"/>
      <c r="CV63" s="199"/>
      <c r="CW63" s="205"/>
      <c r="CX63" s="132"/>
      <c r="CY63" s="132"/>
      <c r="CZ63" s="132"/>
      <c r="DA63" s="132"/>
      <c r="DB63" s="132"/>
      <c r="DC63" s="132"/>
      <c r="DD63" s="132"/>
      <c r="DE63" s="103"/>
      <c r="DF63" s="103"/>
      <c r="DG63" s="103"/>
      <c r="DH63" s="103"/>
      <c r="DI63" s="103"/>
      <c r="DJ63" s="103"/>
      <c r="DK63" s="130"/>
      <c r="DL63" s="130"/>
      <c r="DM63" s="130"/>
      <c r="DN63" s="132"/>
      <c r="DO63" s="132"/>
    </row>
    <row r="64" ht="41.1" customHeight="1" spans="1:119">
      <c r="A64" s="131">
        <v>43580</v>
      </c>
      <c r="B64" s="132" t="s">
        <v>13198</v>
      </c>
      <c r="C64" s="160">
        <v>4500017858</v>
      </c>
      <c r="D64" s="215" t="s">
        <v>13274</v>
      </c>
      <c r="E64" s="206" t="s">
        <v>13233</v>
      </c>
      <c r="F64" s="100" t="s">
        <v>13181</v>
      </c>
      <c r="G64" s="137" t="s">
        <v>13275</v>
      </c>
      <c r="H64" s="138">
        <v>2</v>
      </c>
      <c r="I64" s="132"/>
      <c r="J64" s="132"/>
      <c r="K64" s="132"/>
      <c r="L64" s="139"/>
      <c r="M64" s="140"/>
      <c r="N64" s="208"/>
      <c r="O64" s="208"/>
      <c r="P64" s="209"/>
      <c r="Q64" s="208"/>
      <c r="R64" s="208"/>
      <c r="S64" s="210"/>
      <c r="T64" s="208"/>
      <c r="U64" s="211"/>
      <c r="V64" s="153">
        <v>2</v>
      </c>
      <c r="W64" s="154"/>
      <c r="X64" s="155"/>
      <c r="Y64" s="146"/>
      <c r="Z64" s="156">
        <v>2</v>
      </c>
      <c r="AA64" s="157"/>
      <c r="AB64" s="157"/>
      <c r="AC64" s="158"/>
      <c r="AD64" s="159" t="s">
        <v>13183</v>
      </c>
      <c r="AE64" s="117"/>
      <c r="AF64" s="117"/>
      <c r="AG64" s="117"/>
      <c r="AH64" s="117"/>
      <c r="AI64" s="117"/>
      <c r="AJ64" s="117"/>
      <c r="AK64" s="117"/>
      <c r="AL64" s="117"/>
      <c r="AM64" s="117"/>
      <c r="AN64" s="117"/>
      <c r="AO64" s="117"/>
      <c r="AP64" s="117"/>
      <c r="AQ64" s="117"/>
      <c r="AR64" s="117"/>
      <c r="AS64" s="117"/>
      <c r="AT64" s="117"/>
      <c r="AU64" s="117"/>
      <c r="AV64" s="117"/>
      <c r="AW64" s="117"/>
      <c r="AX64" s="117"/>
      <c r="AY64" s="117"/>
      <c r="AZ64" s="117"/>
      <c r="BA64" s="117"/>
      <c r="BB64" s="117"/>
      <c r="BC64" s="117"/>
      <c r="BD64" s="117"/>
      <c r="BE64" s="212"/>
      <c r="BF64" s="212"/>
      <c r="BG64" s="212"/>
      <c r="BH64" s="213"/>
      <c r="BI64" s="150"/>
      <c r="BJ64" s="121"/>
      <c r="BK64" s="121"/>
      <c r="BL64" s="121"/>
      <c r="BM64" s="121"/>
      <c r="BN64" s="121"/>
      <c r="BO64" s="121">
        <v>1</v>
      </c>
      <c r="BP64" s="121"/>
      <c r="BQ64" s="121"/>
      <c r="BR64" s="121">
        <v>1</v>
      </c>
      <c r="BS64" s="121"/>
      <c r="BT64" s="121"/>
      <c r="BU64" s="121"/>
      <c r="BV64" s="199"/>
      <c r="BW64" s="199"/>
      <c r="BX64" s="199"/>
      <c r="BY64" s="199"/>
      <c r="BZ64" s="199"/>
      <c r="CA64" s="199"/>
      <c r="CB64" s="199"/>
      <c r="CC64" s="199"/>
      <c r="CD64" s="199"/>
      <c r="CE64" s="199"/>
      <c r="CF64" s="199"/>
      <c r="CG64" s="199"/>
      <c r="CH64" s="199"/>
      <c r="CI64" s="121"/>
      <c r="CJ64" s="121"/>
      <c r="CK64" s="121"/>
      <c r="CL64" s="121"/>
      <c r="CM64" s="121"/>
      <c r="CN64" s="200"/>
      <c r="CO64" s="201"/>
      <c r="CP64" s="202"/>
      <c r="CQ64" s="202"/>
      <c r="CR64" s="202"/>
      <c r="CS64" s="202"/>
      <c r="CT64" s="203"/>
      <c r="CU64" s="204"/>
      <c r="CV64" s="199"/>
      <c r="CW64" s="205"/>
      <c r="CX64" s="132"/>
      <c r="CY64" s="132"/>
      <c r="CZ64" s="132"/>
      <c r="DA64" s="132"/>
      <c r="DB64" s="132"/>
      <c r="DC64" s="132"/>
      <c r="DD64" s="132"/>
      <c r="DE64" s="103"/>
      <c r="DF64" s="103"/>
      <c r="DG64" s="103"/>
      <c r="DH64" s="103"/>
      <c r="DI64" s="103"/>
      <c r="DJ64" s="103"/>
      <c r="DK64" s="130"/>
      <c r="DL64" s="130"/>
      <c r="DM64" s="130"/>
      <c r="DN64" s="132"/>
      <c r="DO64" s="132"/>
    </row>
    <row r="65" ht="41.1" customHeight="1" spans="1:119">
      <c r="A65" s="131">
        <v>43580</v>
      </c>
      <c r="B65" s="132" t="s">
        <v>13198</v>
      </c>
      <c r="C65" s="160">
        <v>4500017858</v>
      </c>
      <c r="D65" s="215" t="s">
        <v>13274</v>
      </c>
      <c r="E65" s="206" t="s">
        <v>13233</v>
      </c>
      <c r="F65" s="100" t="s">
        <v>13181</v>
      </c>
      <c r="G65" s="137" t="s">
        <v>13276</v>
      </c>
      <c r="H65" s="138">
        <v>2</v>
      </c>
      <c r="I65" s="132"/>
      <c r="J65" s="132"/>
      <c r="K65" s="132"/>
      <c r="L65" s="139"/>
      <c r="M65" s="140"/>
      <c r="N65" s="208"/>
      <c r="O65" s="208"/>
      <c r="P65" s="209"/>
      <c r="Q65" s="208"/>
      <c r="R65" s="208"/>
      <c r="S65" s="210"/>
      <c r="T65" s="208"/>
      <c r="U65" s="211"/>
      <c r="V65" s="153">
        <v>2</v>
      </c>
      <c r="W65" s="154"/>
      <c r="X65" s="155"/>
      <c r="Y65" s="146"/>
      <c r="Z65" s="156">
        <v>2</v>
      </c>
      <c r="AA65" s="157"/>
      <c r="AB65" s="157"/>
      <c r="AC65" s="158"/>
      <c r="AD65" s="159" t="s">
        <v>13183</v>
      </c>
      <c r="AE65" s="117"/>
      <c r="AF65" s="117"/>
      <c r="AG65" s="117"/>
      <c r="AH65" s="117"/>
      <c r="AI65" s="117"/>
      <c r="AJ65" s="117"/>
      <c r="AK65" s="117"/>
      <c r="AL65" s="117"/>
      <c r="AM65" s="117"/>
      <c r="AN65" s="117"/>
      <c r="AO65" s="117"/>
      <c r="AP65" s="117"/>
      <c r="AQ65" s="117"/>
      <c r="AR65" s="117"/>
      <c r="AS65" s="117"/>
      <c r="AT65" s="117"/>
      <c r="AU65" s="117"/>
      <c r="AV65" s="117"/>
      <c r="AW65" s="117"/>
      <c r="AX65" s="117"/>
      <c r="AY65" s="117"/>
      <c r="AZ65" s="117"/>
      <c r="BA65" s="117"/>
      <c r="BB65" s="117"/>
      <c r="BC65" s="117"/>
      <c r="BD65" s="117"/>
      <c r="BE65" s="212"/>
      <c r="BF65" s="212"/>
      <c r="BG65" s="212"/>
      <c r="BH65" s="213"/>
      <c r="BI65" s="150"/>
      <c r="BJ65" s="121"/>
      <c r="BK65" s="121"/>
      <c r="BL65" s="121"/>
      <c r="BM65" s="121"/>
      <c r="BN65" s="121"/>
      <c r="BO65" s="121"/>
      <c r="BP65" s="121"/>
      <c r="BQ65" s="121"/>
      <c r="BR65" s="121"/>
      <c r="BS65" s="121"/>
      <c r="BT65" s="121"/>
      <c r="BU65" s="121"/>
      <c r="BV65" s="199"/>
      <c r="BW65" s="199"/>
      <c r="BX65" s="199"/>
      <c r="BY65" s="199"/>
      <c r="BZ65" s="199"/>
      <c r="CA65" s="199"/>
      <c r="CB65" s="199"/>
      <c r="CC65" s="199"/>
      <c r="CD65" s="199"/>
      <c r="CE65" s="199"/>
      <c r="CF65" s="199"/>
      <c r="CG65" s="199"/>
      <c r="CH65" s="199"/>
      <c r="CI65" s="121"/>
      <c r="CJ65" s="121"/>
      <c r="CK65" s="121"/>
      <c r="CL65" s="121">
        <v>1</v>
      </c>
      <c r="CM65" s="121"/>
      <c r="CN65" s="200">
        <v>1</v>
      </c>
      <c r="CO65" s="201"/>
      <c r="CP65" s="202"/>
      <c r="CQ65" s="202"/>
      <c r="CR65" s="202"/>
      <c r="CS65" s="202"/>
      <c r="CT65" s="203"/>
      <c r="CU65" s="204"/>
      <c r="CV65" s="199"/>
      <c r="CW65" s="205"/>
      <c r="CX65" s="132"/>
      <c r="CY65" s="132"/>
      <c r="CZ65" s="132"/>
      <c r="DA65" s="132"/>
      <c r="DB65" s="132"/>
      <c r="DC65" s="132"/>
      <c r="DD65" s="132"/>
      <c r="DE65" s="103"/>
      <c r="DF65" s="103"/>
      <c r="DG65" s="103"/>
      <c r="DH65" s="103"/>
      <c r="DI65" s="103"/>
      <c r="DJ65" s="103"/>
      <c r="DK65" s="130"/>
      <c r="DL65" s="130"/>
      <c r="DM65" s="130"/>
      <c r="DN65" s="132"/>
      <c r="DO65" s="132"/>
    </row>
    <row r="66" ht="41.1" customHeight="1" spans="1:119">
      <c r="A66" s="131">
        <v>43580</v>
      </c>
      <c r="B66" s="132" t="s">
        <v>13263</v>
      </c>
      <c r="C66" s="160">
        <v>4500018097</v>
      </c>
      <c r="D66" s="215" t="s">
        <v>5030</v>
      </c>
      <c r="E66" s="206" t="s">
        <v>13254</v>
      </c>
      <c r="F66" s="100" t="s">
        <v>13277</v>
      </c>
      <c r="G66" s="137" t="s">
        <v>13276</v>
      </c>
      <c r="H66" s="138">
        <v>18</v>
      </c>
      <c r="I66" s="132"/>
      <c r="J66" s="132"/>
      <c r="K66" s="132"/>
      <c r="L66" s="139"/>
      <c r="M66" s="140"/>
      <c r="N66" s="208"/>
      <c r="O66" s="208"/>
      <c r="P66" s="209"/>
      <c r="Q66" s="208"/>
      <c r="R66" s="208"/>
      <c r="S66" s="210"/>
      <c r="T66" s="208"/>
      <c r="U66" s="211"/>
      <c r="V66" s="153"/>
      <c r="W66" s="154"/>
      <c r="X66" s="155"/>
      <c r="Y66" s="146"/>
      <c r="Z66" s="156"/>
      <c r="AA66" s="157"/>
      <c r="AB66" s="157"/>
      <c r="AC66" s="158"/>
      <c r="AD66" s="159"/>
      <c r="AE66" s="117"/>
      <c r="AF66" s="117"/>
      <c r="AG66" s="117"/>
      <c r="AH66" s="117"/>
      <c r="AI66" s="117"/>
      <c r="AJ66" s="117"/>
      <c r="AK66" s="117"/>
      <c r="AL66" s="117"/>
      <c r="AM66" s="117"/>
      <c r="AN66" s="117">
        <f>H66</f>
        <v>18</v>
      </c>
      <c r="AO66" s="117">
        <f>H66</f>
        <v>18</v>
      </c>
      <c r="AP66" s="117"/>
      <c r="AQ66" s="117"/>
      <c r="AR66" s="117"/>
      <c r="AS66" s="117"/>
      <c r="AT66" s="117"/>
      <c r="AU66" s="117"/>
      <c r="AV66" s="117"/>
      <c r="AW66" s="117"/>
      <c r="AX66" s="117"/>
      <c r="AY66" s="117"/>
      <c r="AZ66" s="117"/>
      <c r="BA66" s="117"/>
      <c r="BB66" s="117"/>
      <c r="BC66" s="117"/>
      <c r="BD66" s="117"/>
      <c r="BE66" s="212"/>
      <c r="BF66" s="212"/>
      <c r="BG66" s="212"/>
      <c r="BH66" s="213"/>
      <c r="BI66" s="150"/>
      <c r="BJ66" s="121"/>
      <c r="BK66" s="121"/>
      <c r="BL66" s="121"/>
      <c r="BM66" s="121"/>
      <c r="BN66" s="121"/>
      <c r="BO66" s="121"/>
      <c r="BP66" s="121"/>
      <c r="BQ66" s="121"/>
      <c r="BR66" s="121"/>
      <c r="BS66" s="121"/>
      <c r="BT66" s="121"/>
      <c r="BU66" s="121"/>
      <c r="BV66" s="199"/>
      <c r="BW66" s="199"/>
      <c r="BX66" s="199"/>
      <c r="BY66" s="199"/>
      <c r="BZ66" s="199"/>
      <c r="CA66" s="199"/>
      <c r="CB66" s="199"/>
      <c r="CC66" s="199"/>
      <c r="CD66" s="199"/>
      <c r="CE66" s="199"/>
      <c r="CF66" s="199"/>
      <c r="CG66" s="199"/>
      <c r="CH66" s="199"/>
      <c r="CI66" s="121">
        <v>3</v>
      </c>
      <c r="CJ66" s="121">
        <v>3</v>
      </c>
      <c r="CK66" s="121">
        <v>3</v>
      </c>
      <c r="CL66" s="121">
        <v>3</v>
      </c>
      <c r="CM66" s="121">
        <v>3</v>
      </c>
      <c r="CN66" s="200">
        <v>3</v>
      </c>
      <c r="CO66" s="201"/>
      <c r="CP66" s="202"/>
      <c r="CQ66" s="202"/>
      <c r="CR66" s="202"/>
      <c r="CS66" s="202"/>
      <c r="CT66" s="203"/>
      <c r="CU66" s="204"/>
      <c r="CV66" s="199"/>
      <c r="CW66" s="205"/>
      <c r="CX66" s="132"/>
      <c r="CY66" s="132"/>
      <c r="CZ66" s="132"/>
      <c r="DA66" s="132"/>
      <c r="DB66" s="132"/>
      <c r="DC66" s="132"/>
      <c r="DD66" s="132"/>
      <c r="DE66" s="103"/>
      <c r="DF66" s="103"/>
      <c r="DG66" s="103"/>
      <c r="DH66" s="103"/>
      <c r="DI66" s="103"/>
      <c r="DJ66" s="103"/>
      <c r="DK66" s="130"/>
      <c r="DL66" s="130"/>
      <c r="DM66" s="130"/>
      <c r="DN66" s="132"/>
      <c r="DO66" s="132"/>
    </row>
    <row r="67" ht="41.1" customHeight="1" spans="1:119">
      <c r="A67" s="131">
        <v>43580</v>
      </c>
      <c r="B67" s="132" t="s">
        <v>13190</v>
      </c>
      <c r="C67" s="160">
        <v>4500017238</v>
      </c>
      <c r="D67" s="215" t="s">
        <v>13278</v>
      </c>
      <c r="E67" s="206" t="s">
        <v>13228</v>
      </c>
      <c r="F67" s="100" t="s">
        <v>13279</v>
      </c>
      <c r="G67" s="137" t="s">
        <v>13268</v>
      </c>
      <c r="H67" s="138">
        <v>11</v>
      </c>
      <c r="I67" s="132"/>
      <c r="J67" s="132"/>
      <c r="K67" s="132"/>
      <c r="L67" s="139"/>
      <c r="M67" s="140"/>
      <c r="N67" s="208"/>
      <c r="O67" s="208"/>
      <c r="P67" s="209"/>
      <c r="Q67" s="208"/>
      <c r="R67" s="208"/>
      <c r="S67" s="210"/>
      <c r="T67" s="208"/>
      <c r="U67" s="211"/>
      <c r="V67" s="153"/>
      <c r="W67" s="154"/>
      <c r="X67" s="155"/>
      <c r="Y67" s="146"/>
      <c r="Z67" s="156"/>
      <c r="AA67" s="157"/>
      <c r="AB67" s="157"/>
      <c r="AC67" s="158"/>
      <c r="AD67" s="159"/>
      <c r="AE67" s="117">
        <f>H67</f>
        <v>11</v>
      </c>
      <c r="AF67" s="117"/>
      <c r="AG67" s="117"/>
      <c r="AH67" s="117">
        <f>H67</f>
        <v>11</v>
      </c>
      <c r="AI67" s="117"/>
      <c r="AJ67" s="117"/>
      <c r="AK67" s="117"/>
      <c r="AL67" s="117"/>
      <c r="AM67" s="117" t="s">
        <v>13183</v>
      </c>
      <c r="AN67" s="117"/>
      <c r="AO67" s="117"/>
      <c r="AP67" s="117"/>
      <c r="AQ67" s="117"/>
      <c r="AR67" s="117"/>
      <c r="AS67" s="117"/>
      <c r="AT67" s="117"/>
      <c r="AU67" s="117"/>
      <c r="AV67" s="117"/>
      <c r="AW67" s="117"/>
      <c r="AX67" s="117"/>
      <c r="AY67" s="117"/>
      <c r="AZ67" s="117"/>
      <c r="BA67" s="117"/>
      <c r="BB67" s="117"/>
      <c r="BC67" s="117"/>
      <c r="BD67" s="117"/>
      <c r="BE67" s="212"/>
      <c r="BF67" s="212"/>
      <c r="BG67" s="212"/>
      <c r="BH67" s="213"/>
      <c r="BI67" s="150"/>
      <c r="BJ67" s="121"/>
      <c r="BK67" s="121"/>
      <c r="BL67" s="121"/>
      <c r="BM67" s="121"/>
      <c r="BN67" s="121"/>
      <c r="BO67" s="121"/>
      <c r="BP67" s="121"/>
      <c r="BQ67" s="121"/>
      <c r="BR67" s="121"/>
      <c r="BS67" s="121"/>
      <c r="BT67" s="121"/>
      <c r="BU67" s="121"/>
      <c r="BV67" s="199">
        <v>1</v>
      </c>
      <c r="BW67" s="199">
        <v>1</v>
      </c>
      <c r="BX67" s="199">
        <v>1</v>
      </c>
      <c r="BY67" s="199">
        <v>1</v>
      </c>
      <c r="BZ67" s="199">
        <v>1</v>
      </c>
      <c r="CA67" s="199"/>
      <c r="CB67" s="199"/>
      <c r="CC67" s="199">
        <v>1</v>
      </c>
      <c r="CD67" s="199">
        <v>1</v>
      </c>
      <c r="CE67" s="199">
        <v>1</v>
      </c>
      <c r="CF67" s="199">
        <v>1</v>
      </c>
      <c r="CG67" s="199">
        <v>1</v>
      </c>
      <c r="CH67" s="199">
        <v>1</v>
      </c>
      <c r="CI67" s="121"/>
      <c r="CJ67" s="121"/>
      <c r="CK67" s="121"/>
      <c r="CL67" s="121"/>
      <c r="CM67" s="121"/>
      <c r="CN67" s="200"/>
      <c r="CO67" s="201"/>
      <c r="CP67" s="202"/>
      <c r="CQ67" s="202"/>
      <c r="CR67" s="202"/>
      <c r="CS67" s="202"/>
      <c r="CT67" s="203"/>
      <c r="CU67" s="204"/>
      <c r="CV67" s="199"/>
      <c r="CW67" s="205"/>
      <c r="CX67" s="132"/>
      <c r="CY67" s="132"/>
      <c r="CZ67" s="132"/>
      <c r="DA67" s="132"/>
      <c r="DB67" s="132"/>
      <c r="DC67" s="132"/>
      <c r="DD67" s="132"/>
      <c r="DE67" s="103"/>
      <c r="DF67" s="103"/>
      <c r="DG67" s="103"/>
      <c r="DH67" s="103"/>
      <c r="DI67" s="103"/>
      <c r="DJ67" s="103"/>
      <c r="DK67" s="130"/>
      <c r="DL67" s="130"/>
      <c r="DM67" s="130"/>
      <c r="DN67" s="132"/>
      <c r="DO67" s="132"/>
    </row>
    <row r="68" ht="41.1" customHeight="1" spans="1:119">
      <c r="A68" s="131">
        <v>43580</v>
      </c>
      <c r="B68" s="132" t="s">
        <v>13190</v>
      </c>
      <c r="C68" s="160">
        <v>4500017239</v>
      </c>
      <c r="D68" s="215" t="s">
        <v>13278</v>
      </c>
      <c r="E68" s="206" t="s">
        <v>13228</v>
      </c>
      <c r="F68" s="100" t="s">
        <v>13280</v>
      </c>
      <c r="G68" s="137" t="s">
        <v>13276</v>
      </c>
      <c r="H68" s="138">
        <v>6</v>
      </c>
      <c r="I68" s="132"/>
      <c r="J68" s="132"/>
      <c r="K68" s="132"/>
      <c r="L68" s="139"/>
      <c r="M68" s="140"/>
      <c r="N68" s="208"/>
      <c r="O68" s="208"/>
      <c r="P68" s="209"/>
      <c r="Q68" s="208"/>
      <c r="R68" s="208"/>
      <c r="S68" s="210"/>
      <c r="T68" s="208"/>
      <c r="U68" s="211"/>
      <c r="V68" s="153"/>
      <c r="W68" s="154"/>
      <c r="X68" s="155"/>
      <c r="Y68" s="146"/>
      <c r="Z68" s="156"/>
      <c r="AA68" s="157"/>
      <c r="AB68" s="157"/>
      <c r="AC68" s="158"/>
      <c r="AD68" s="159"/>
      <c r="AE68" s="117"/>
      <c r="AF68" s="117"/>
      <c r="AG68" s="117"/>
      <c r="AH68" s="117"/>
      <c r="AI68" s="117"/>
      <c r="AJ68" s="117"/>
      <c r="AK68" s="117"/>
      <c r="AL68" s="117"/>
      <c r="AM68" s="117"/>
      <c r="AN68" s="117">
        <f>H68</f>
        <v>6</v>
      </c>
      <c r="AO68" s="117">
        <f>H68</f>
        <v>6</v>
      </c>
      <c r="AP68" s="117"/>
      <c r="AQ68" s="117"/>
      <c r="AR68" s="117"/>
      <c r="AS68" s="117"/>
      <c r="AT68" s="117"/>
      <c r="AU68" s="117"/>
      <c r="AV68" s="117">
        <v>1</v>
      </c>
      <c r="AW68" s="117"/>
      <c r="AX68" s="117"/>
      <c r="AY68" s="117"/>
      <c r="AZ68" s="117"/>
      <c r="BA68" s="117"/>
      <c r="BB68" s="117"/>
      <c r="BC68" s="117"/>
      <c r="BD68" s="117"/>
      <c r="BE68" s="212"/>
      <c r="BF68" s="212"/>
      <c r="BG68" s="212"/>
      <c r="BH68" s="213"/>
      <c r="BI68" s="150"/>
      <c r="BJ68" s="121"/>
      <c r="BK68" s="121"/>
      <c r="BL68" s="121"/>
      <c r="BM68" s="121"/>
      <c r="BN68" s="121"/>
      <c r="BO68" s="121"/>
      <c r="BP68" s="121"/>
      <c r="BQ68" s="121"/>
      <c r="BR68" s="121"/>
      <c r="BS68" s="121"/>
      <c r="BT68" s="121"/>
      <c r="BU68" s="121"/>
      <c r="BV68" s="199"/>
      <c r="BW68" s="199"/>
      <c r="BX68" s="199"/>
      <c r="BY68" s="199"/>
      <c r="BZ68" s="199"/>
      <c r="CA68" s="199"/>
      <c r="CB68" s="199"/>
      <c r="CC68" s="199"/>
      <c r="CD68" s="199"/>
      <c r="CE68" s="199"/>
      <c r="CF68" s="199"/>
      <c r="CG68" s="199"/>
      <c r="CH68" s="199"/>
      <c r="CI68" s="121">
        <v>1</v>
      </c>
      <c r="CJ68" s="121">
        <v>1</v>
      </c>
      <c r="CK68" s="121">
        <v>1</v>
      </c>
      <c r="CL68" s="121">
        <v>1</v>
      </c>
      <c r="CM68" s="121">
        <v>1</v>
      </c>
      <c r="CN68" s="200">
        <v>1</v>
      </c>
      <c r="CO68" s="201"/>
      <c r="CP68" s="202"/>
      <c r="CQ68" s="202"/>
      <c r="CR68" s="202"/>
      <c r="CS68" s="202"/>
      <c r="CT68" s="203"/>
      <c r="CU68" s="204"/>
      <c r="CV68" s="199"/>
      <c r="CW68" s="205"/>
      <c r="CX68" s="132"/>
      <c r="CY68" s="132"/>
      <c r="CZ68" s="132"/>
      <c r="DA68" s="132"/>
      <c r="DB68" s="132"/>
      <c r="DC68" s="132"/>
      <c r="DD68" s="132"/>
      <c r="DE68" s="103"/>
      <c r="DF68" s="103"/>
      <c r="DG68" s="103"/>
      <c r="DH68" s="103"/>
      <c r="DI68" s="103"/>
      <c r="DJ68" s="103"/>
      <c r="DK68" s="130"/>
      <c r="DL68" s="130"/>
      <c r="DM68" s="130"/>
      <c r="DN68" s="132"/>
      <c r="DO68" s="132"/>
    </row>
    <row r="69" ht="41.1" customHeight="1" spans="1:119">
      <c r="A69" s="131">
        <v>43580</v>
      </c>
      <c r="B69" s="132" t="s">
        <v>13281</v>
      </c>
      <c r="C69" s="160">
        <v>4500017957</v>
      </c>
      <c r="D69" s="215" t="s">
        <v>2605</v>
      </c>
      <c r="E69" s="206" t="s">
        <v>13196</v>
      </c>
      <c r="F69" s="206" t="s">
        <v>13282</v>
      </c>
      <c r="G69" s="100" t="s">
        <v>13283</v>
      </c>
      <c r="H69" s="138">
        <v>36</v>
      </c>
      <c r="I69" s="132"/>
      <c r="J69" s="132"/>
      <c r="K69" s="132"/>
      <c r="L69" s="139"/>
      <c r="M69" s="140"/>
      <c r="N69" s="208"/>
      <c r="O69" s="208"/>
      <c r="P69" s="209"/>
      <c r="Q69" s="208"/>
      <c r="R69" s="208"/>
      <c r="S69" s="210"/>
      <c r="T69" s="208"/>
      <c r="U69" s="211"/>
      <c r="V69" s="153"/>
      <c r="W69" s="154"/>
      <c r="X69" s="155"/>
      <c r="Y69" s="146"/>
      <c r="Z69" s="156"/>
      <c r="AA69" s="157"/>
      <c r="AB69" s="157"/>
      <c r="AC69" s="158"/>
      <c r="AD69" s="159"/>
      <c r="AE69" s="117"/>
      <c r="AF69" s="117"/>
      <c r="AG69" s="117"/>
      <c r="AH69" s="117"/>
      <c r="AI69" s="117"/>
      <c r="AJ69" s="117"/>
      <c r="AK69" s="117"/>
      <c r="AL69" s="117"/>
      <c r="AM69" s="117"/>
      <c r="AN69" s="117">
        <f>H69</f>
        <v>36</v>
      </c>
      <c r="AO69" s="117">
        <f>H69</f>
        <v>36</v>
      </c>
      <c r="AP69" s="117"/>
      <c r="AQ69" s="117"/>
      <c r="AR69" s="117"/>
      <c r="AS69" s="117"/>
      <c r="AT69" s="117"/>
      <c r="AU69" s="117"/>
      <c r="AV69" s="117"/>
      <c r="AW69" s="117"/>
      <c r="AX69" s="117"/>
      <c r="AY69" s="117"/>
      <c r="AZ69" s="117"/>
      <c r="BA69" s="117"/>
      <c r="BB69" s="117"/>
      <c r="BC69" s="117"/>
      <c r="BD69" s="117"/>
      <c r="BE69" s="212"/>
      <c r="BF69" s="212"/>
      <c r="BG69" s="212"/>
      <c r="BH69" s="213"/>
      <c r="BI69" s="150"/>
      <c r="BJ69" s="121"/>
      <c r="BK69" s="121"/>
      <c r="BL69" s="121"/>
      <c r="BM69" s="121"/>
      <c r="BN69" s="121"/>
      <c r="BO69" s="121"/>
      <c r="BP69" s="121"/>
      <c r="BQ69" s="121"/>
      <c r="BR69" s="121"/>
      <c r="BS69" s="121"/>
      <c r="BT69" s="121"/>
      <c r="BU69" s="121"/>
      <c r="BV69" s="199"/>
      <c r="BW69" s="199"/>
      <c r="BX69" s="199"/>
      <c r="BY69" s="199"/>
      <c r="BZ69" s="199"/>
      <c r="CA69" s="199"/>
      <c r="CB69" s="199"/>
      <c r="CC69" s="199"/>
      <c r="CD69" s="199"/>
      <c r="CE69" s="199"/>
      <c r="CF69" s="199"/>
      <c r="CG69" s="199"/>
      <c r="CH69" s="199"/>
      <c r="CI69" s="121">
        <v>6</v>
      </c>
      <c r="CJ69" s="121">
        <f>CI69</f>
        <v>6</v>
      </c>
      <c r="CK69" s="121">
        <f>CJ69</f>
        <v>6</v>
      </c>
      <c r="CL69" s="121">
        <f>CK69</f>
        <v>6</v>
      </c>
      <c r="CM69" s="121">
        <f>CL69</f>
        <v>6</v>
      </c>
      <c r="CN69" s="200">
        <f>CM69</f>
        <v>6</v>
      </c>
      <c r="CO69" s="201"/>
      <c r="CP69" s="202"/>
      <c r="CQ69" s="202"/>
      <c r="CR69" s="202"/>
      <c r="CS69" s="202"/>
      <c r="CT69" s="203"/>
      <c r="CU69" s="204"/>
      <c r="CV69" s="199"/>
      <c r="CW69" s="205"/>
      <c r="CX69" s="132"/>
      <c r="CY69" s="132"/>
      <c r="CZ69" s="132"/>
      <c r="DA69" s="132"/>
      <c r="DB69" s="132"/>
      <c r="DC69" s="132"/>
      <c r="DD69" s="132"/>
      <c r="DE69" s="103"/>
      <c r="DF69" s="103"/>
      <c r="DG69" s="103"/>
      <c r="DH69" s="103"/>
      <c r="DI69" s="103"/>
      <c r="DJ69" s="103"/>
      <c r="DK69" s="130"/>
      <c r="DL69" s="130"/>
      <c r="DM69" s="130"/>
      <c r="DN69" s="132"/>
      <c r="DO69" s="132"/>
    </row>
    <row r="70" ht="41.1" customHeight="1" spans="1:119">
      <c r="A70" s="131">
        <v>43589</v>
      </c>
      <c r="B70" s="132" t="s">
        <v>13270</v>
      </c>
      <c r="C70" s="160">
        <v>4500018388</v>
      </c>
      <c r="D70" s="215" t="s">
        <v>6459</v>
      </c>
      <c r="E70" s="206" t="s">
        <v>13196</v>
      </c>
      <c r="F70" s="206" t="s">
        <v>13267</v>
      </c>
      <c r="G70" s="100" t="s">
        <v>13268</v>
      </c>
      <c r="H70" s="138">
        <v>39</v>
      </c>
      <c r="I70" s="132"/>
      <c r="J70" s="132"/>
      <c r="K70" s="132"/>
      <c r="L70" s="139"/>
      <c r="M70" s="140"/>
      <c r="N70" s="208"/>
      <c r="O70" s="208"/>
      <c r="P70" s="209"/>
      <c r="Q70" s="208"/>
      <c r="R70" s="208"/>
      <c r="S70" s="210"/>
      <c r="T70" s="208"/>
      <c r="U70" s="211"/>
      <c r="V70" s="153"/>
      <c r="W70" s="154"/>
      <c r="X70" s="155"/>
      <c r="Y70" s="146"/>
      <c r="Z70" s="156"/>
      <c r="AA70" s="157"/>
      <c r="AB70" s="157"/>
      <c r="AC70" s="158"/>
      <c r="AD70" s="159"/>
      <c r="AE70" s="117">
        <v>39</v>
      </c>
      <c r="AF70" s="117"/>
      <c r="AG70" s="117"/>
      <c r="AH70" s="117">
        <v>39</v>
      </c>
      <c r="AI70" s="117"/>
      <c r="AJ70" s="117"/>
      <c r="AK70" s="117"/>
      <c r="AL70" s="117"/>
      <c r="AM70" s="117" t="s">
        <v>13183</v>
      </c>
      <c r="AN70" s="117"/>
      <c r="AO70" s="117"/>
      <c r="AP70" s="117"/>
      <c r="AQ70" s="117"/>
      <c r="AR70" s="117"/>
      <c r="AS70" s="117"/>
      <c r="AT70" s="117"/>
      <c r="AU70" s="117"/>
      <c r="AV70" s="117"/>
      <c r="AW70" s="117"/>
      <c r="AX70" s="117"/>
      <c r="AY70" s="117"/>
      <c r="AZ70" s="117"/>
      <c r="BA70" s="117"/>
      <c r="BB70" s="117"/>
      <c r="BC70" s="117"/>
      <c r="BD70" s="117"/>
      <c r="BE70" s="212"/>
      <c r="BF70" s="212"/>
      <c r="BG70" s="212"/>
      <c r="BH70" s="213"/>
      <c r="BI70" s="150"/>
      <c r="BJ70" s="121"/>
      <c r="BK70" s="121"/>
      <c r="BL70" s="121"/>
      <c r="BM70" s="121"/>
      <c r="BN70" s="121"/>
      <c r="BO70" s="121"/>
      <c r="BP70" s="121"/>
      <c r="BQ70" s="121"/>
      <c r="BR70" s="121"/>
      <c r="BS70" s="121"/>
      <c r="BT70" s="121"/>
      <c r="BU70" s="121"/>
      <c r="BV70" s="199">
        <v>3</v>
      </c>
      <c r="BW70" s="199">
        <v>3</v>
      </c>
      <c r="BX70" s="199">
        <v>3</v>
      </c>
      <c r="BY70" s="199">
        <v>3</v>
      </c>
      <c r="BZ70" s="199">
        <v>3</v>
      </c>
      <c r="CA70" s="199">
        <v>3</v>
      </c>
      <c r="CB70" s="199">
        <v>3</v>
      </c>
      <c r="CC70" s="199">
        <v>3</v>
      </c>
      <c r="CD70" s="199">
        <v>3</v>
      </c>
      <c r="CE70" s="199">
        <v>3</v>
      </c>
      <c r="CF70" s="199">
        <v>3</v>
      </c>
      <c r="CG70" s="199">
        <v>3</v>
      </c>
      <c r="CH70" s="199">
        <v>3</v>
      </c>
      <c r="CI70" s="121"/>
      <c r="CJ70" s="121"/>
      <c r="CK70" s="121"/>
      <c r="CL70" s="121"/>
      <c r="CM70" s="121"/>
      <c r="CN70" s="200"/>
      <c r="CO70" s="201"/>
      <c r="CP70" s="202"/>
      <c r="CQ70" s="202"/>
      <c r="CR70" s="202"/>
      <c r="CS70" s="202"/>
      <c r="CT70" s="203"/>
      <c r="CU70" s="204"/>
      <c r="CV70" s="199"/>
      <c r="CW70" s="205"/>
      <c r="CX70" s="132"/>
      <c r="CY70" s="132"/>
      <c r="CZ70" s="132"/>
      <c r="DA70" s="132"/>
      <c r="DB70" s="132"/>
      <c r="DC70" s="132"/>
      <c r="DD70" s="132"/>
      <c r="DE70" s="103"/>
      <c r="DF70" s="103"/>
      <c r="DG70" s="103"/>
      <c r="DH70" s="103"/>
      <c r="DI70" s="103"/>
      <c r="DJ70" s="103"/>
      <c r="DK70" s="130"/>
      <c r="DL70" s="130"/>
      <c r="DM70" s="130"/>
      <c r="DN70" s="132"/>
      <c r="DO70" s="132"/>
    </row>
    <row r="71" ht="41.1" customHeight="1" spans="1:119">
      <c r="A71" s="131">
        <v>43589</v>
      </c>
      <c r="B71" s="132" t="s">
        <v>13284</v>
      </c>
      <c r="C71" s="160">
        <v>4500017956</v>
      </c>
      <c r="D71" s="215" t="s">
        <v>13285</v>
      </c>
      <c r="E71" s="206" t="s">
        <v>13233</v>
      </c>
      <c r="F71" s="206" t="s">
        <v>13267</v>
      </c>
      <c r="G71" s="100" t="s">
        <v>13268</v>
      </c>
      <c r="H71" s="138">
        <v>52</v>
      </c>
      <c r="I71" s="132"/>
      <c r="J71" s="132"/>
      <c r="K71" s="132"/>
      <c r="L71" s="139"/>
      <c r="M71" s="140"/>
      <c r="N71" s="208"/>
      <c r="O71" s="208"/>
      <c r="P71" s="209"/>
      <c r="Q71" s="208"/>
      <c r="R71" s="208"/>
      <c r="S71" s="210"/>
      <c r="T71" s="208"/>
      <c r="U71" s="211"/>
      <c r="V71" s="153"/>
      <c r="W71" s="154"/>
      <c r="X71" s="155"/>
      <c r="Y71" s="146"/>
      <c r="Z71" s="156"/>
      <c r="AA71" s="157"/>
      <c r="AB71" s="157"/>
      <c r="AC71" s="158"/>
      <c r="AD71" s="159"/>
      <c r="AE71" s="117">
        <v>52</v>
      </c>
      <c r="AF71" s="117"/>
      <c r="AG71" s="117"/>
      <c r="AH71" s="117">
        <v>52</v>
      </c>
      <c r="AI71" s="117"/>
      <c r="AJ71" s="117"/>
      <c r="AK71" s="117"/>
      <c r="AL71" s="117"/>
      <c r="AM71" s="117" t="s">
        <v>13183</v>
      </c>
      <c r="AN71" s="117"/>
      <c r="AO71" s="117"/>
      <c r="AP71" s="117"/>
      <c r="AQ71" s="117"/>
      <c r="AR71" s="117"/>
      <c r="AS71" s="117"/>
      <c r="AT71" s="117"/>
      <c r="AU71" s="117"/>
      <c r="AV71" s="117"/>
      <c r="AW71" s="117"/>
      <c r="AX71" s="117"/>
      <c r="AY71" s="117"/>
      <c r="AZ71" s="117"/>
      <c r="BA71" s="117"/>
      <c r="BB71" s="117"/>
      <c r="BC71" s="117"/>
      <c r="BD71" s="117"/>
      <c r="BE71" s="212"/>
      <c r="BF71" s="212"/>
      <c r="BG71" s="212"/>
      <c r="BH71" s="213"/>
      <c r="BI71" s="150"/>
      <c r="BJ71" s="121"/>
      <c r="BK71" s="121"/>
      <c r="BL71" s="121"/>
      <c r="BM71" s="121"/>
      <c r="BN71" s="121"/>
      <c r="BO71" s="121"/>
      <c r="BP71" s="121"/>
      <c r="BQ71" s="121"/>
      <c r="BR71" s="121"/>
      <c r="BS71" s="121"/>
      <c r="BT71" s="121"/>
      <c r="BU71" s="121"/>
      <c r="BV71" s="199">
        <v>4</v>
      </c>
      <c r="BW71" s="199">
        <v>4</v>
      </c>
      <c r="BX71" s="199">
        <v>4</v>
      </c>
      <c r="BY71" s="199">
        <v>4</v>
      </c>
      <c r="BZ71" s="199">
        <v>4</v>
      </c>
      <c r="CA71" s="199">
        <v>4</v>
      </c>
      <c r="CB71" s="199">
        <v>4</v>
      </c>
      <c r="CC71" s="199">
        <v>4</v>
      </c>
      <c r="CD71" s="199">
        <v>4</v>
      </c>
      <c r="CE71" s="199">
        <v>4</v>
      </c>
      <c r="CF71" s="199">
        <v>4</v>
      </c>
      <c r="CG71" s="199">
        <v>4</v>
      </c>
      <c r="CH71" s="199">
        <v>4</v>
      </c>
      <c r="CI71" s="121"/>
      <c r="CJ71" s="121"/>
      <c r="CK71" s="121"/>
      <c r="CL71" s="121"/>
      <c r="CM71" s="121"/>
      <c r="CN71" s="200"/>
      <c r="CO71" s="201"/>
      <c r="CP71" s="202"/>
      <c r="CQ71" s="202"/>
      <c r="CR71" s="202"/>
      <c r="CS71" s="202"/>
      <c r="CT71" s="203"/>
      <c r="CU71" s="204"/>
      <c r="CV71" s="199"/>
      <c r="CW71" s="205"/>
      <c r="CX71" s="132"/>
      <c r="CY71" s="132"/>
      <c r="CZ71" s="132"/>
      <c r="DA71" s="132"/>
      <c r="DB71" s="132"/>
      <c r="DC71" s="132"/>
      <c r="DD71" s="132"/>
      <c r="DE71" s="103"/>
      <c r="DF71" s="103"/>
      <c r="DG71" s="103"/>
      <c r="DH71" s="103"/>
      <c r="DI71" s="103"/>
      <c r="DJ71" s="103"/>
      <c r="DK71" s="130"/>
      <c r="DL71" s="130"/>
      <c r="DM71" s="130"/>
      <c r="DN71" s="132"/>
      <c r="DO71" s="132"/>
    </row>
    <row r="72" ht="41.1" customHeight="1" spans="1:119">
      <c r="A72" s="131">
        <v>43593</v>
      </c>
      <c r="B72" s="132" t="s">
        <v>13256</v>
      </c>
      <c r="C72" s="160">
        <v>4500018397</v>
      </c>
      <c r="D72" s="215" t="s">
        <v>13286</v>
      </c>
      <c r="E72" s="206" t="s">
        <v>13287</v>
      </c>
      <c r="F72" s="206" t="s">
        <v>13280</v>
      </c>
      <c r="G72" s="100" t="s">
        <v>13283</v>
      </c>
      <c r="H72" s="138">
        <v>54</v>
      </c>
      <c r="I72" s="132"/>
      <c r="J72" s="132"/>
      <c r="K72" s="132"/>
      <c r="L72" s="139"/>
      <c r="M72" s="140"/>
      <c r="N72" s="208"/>
      <c r="O72" s="208"/>
      <c r="P72" s="209"/>
      <c r="Q72" s="208"/>
      <c r="R72" s="208"/>
      <c r="S72" s="210"/>
      <c r="T72" s="208"/>
      <c r="U72" s="211"/>
      <c r="V72" s="153"/>
      <c r="W72" s="154"/>
      <c r="X72" s="155"/>
      <c r="Y72" s="146"/>
      <c r="Z72" s="156"/>
      <c r="AA72" s="157"/>
      <c r="AB72" s="157"/>
      <c r="AC72" s="158"/>
      <c r="AD72" s="159"/>
      <c r="AE72" s="117"/>
      <c r="AF72" s="117"/>
      <c r="AG72" s="117"/>
      <c r="AH72" s="117"/>
      <c r="AI72" s="117"/>
      <c r="AJ72" s="117"/>
      <c r="AK72" s="117"/>
      <c r="AL72" s="117"/>
      <c r="AM72" s="117"/>
      <c r="AN72" s="117">
        <v>54</v>
      </c>
      <c r="AO72" s="117">
        <v>54</v>
      </c>
      <c r="AP72" s="117"/>
      <c r="AQ72" s="117"/>
      <c r="AR72" s="117"/>
      <c r="AS72" s="117"/>
      <c r="AT72" s="117"/>
      <c r="AU72" s="117"/>
      <c r="AV72" s="117">
        <f>H72/6</f>
        <v>9</v>
      </c>
      <c r="AW72" s="117"/>
      <c r="AX72" s="117"/>
      <c r="AY72" s="117"/>
      <c r="AZ72" s="117"/>
      <c r="BA72" s="117"/>
      <c r="BB72" s="117"/>
      <c r="BC72" s="117"/>
      <c r="BD72" s="117"/>
      <c r="BE72" s="216"/>
      <c r="BF72" s="216"/>
      <c r="BG72" s="216"/>
      <c r="BH72" s="217"/>
      <c r="BI72" s="150"/>
      <c r="BJ72" s="121"/>
      <c r="BK72" s="121"/>
      <c r="BL72" s="121"/>
      <c r="BM72" s="121"/>
      <c r="BN72" s="121"/>
      <c r="BO72" s="121"/>
      <c r="BP72" s="121"/>
      <c r="BQ72" s="121"/>
      <c r="BR72" s="121"/>
      <c r="BS72" s="121"/>
      <c r="BT72" s="121"/>
      <c r="BU72" s="121"/>
      <c r="BV72" s="199"/>
      <c r="BW72" s="199"/>
      <c r="BX72" s="199"/>
      <c r="BY72" s="199"/>
      <c r="BZ72" s="199"/>
      <c r="CA72" s="199"/>
      <c r="CB72" s="199"/>
      <c r="CC72" s="199"/>
      <c r="CD72" s="199"/>
      <c r="CE72" s="199"/>
      <c r="CF72" s="199"/>
      <c r="CG72" s="199"/>
      <c r="CH72" s="199"/>
      <c r="CI72" s="121">
        <v>9</v>
      </c>
      <c r="CJ72" s="121">
        <v>9</v>
      </c>
      <c r="CK72" s="121">
        <v>9</v>
      </c>
      <c r="CL72" s="121">
        <v>9</v>
      </c>
      <c r="CM72" s="121">
        <v>9</v>
      </c>
      <c r="CN72" s="200">
        <v>9</v>
      </c>
      <c r="CO72" s="201"/>
      <c r="CP72" s="202"/>
      <c r="CQ72" s="202"/>
      <c r="CR72" s="202"/>
      <c r="CS72" s="202"/>
      <c r="CT72" s="203"/>
      <c r="CU72" s="204"/>
      <c r="CV72" s="199"/>
      <c r="CW72" s="205"/>
      <c r="CX72" s="132"/>
      <c r="CY72" s="132"/>
      <c r="CZ72" s="132"/>
      <c r="DA72" s="132"/>
      <c r="DB72" s="132"/>
      <c r="DC72" s="132"/>
      <c r="DD72" s="132"/>
      <c r="DE72" s="103"/>
      <c r="DF72" s="103"/>
      <c r="DG72" s="103"/>
      <c r="DH72" s="103"/>
      <c r="DI72" s="103"/>
      <c r="DJ72" s="103"/>
      <c r="DK72" s="130"/>
      <c r="DL72" s="130"/>
      <c r="DM72" s="130"/>
      <c r="DN72" s="132"/>
      <c r="DO72" s="132"/>
    </row>
    <row r="73" ht="41.1" customHeight="1" spans="1:119">
      <c r="A73" s="131">
        <v>43593</v>
      </c>
      <c r="B73" s="132" t="s">
        <v>13288</v>
      </c>
      <c r="C73" s="160">
        <v>4500017078</v>
      </c>
      <c r="D73" s="215" t="s">
        <v>13289</v>
      </c>
      <c r="E73" s="206" t="s">
        <v>13228</v>
      </c>
      <c r="F73" s="206" t="s">
        <v>13290</v>
      </c>
      <c r="G73" s="100" t="s">
        <v>13276</v>
      </c>
      <c r="H73" s="138">
        <v>6</v>
      </c>
      <c r="I73" s="132"/>
      <c r="J73" s="132"/>
      <c r="K73" s="132"/>
      <c r="L73" s="139"/>
      <c r="M73" s="140"/>
      <c r="N73" s="208"/>
      <c r="O73" s="208"/>
      <c r="P73" s="209"/>
      <c r="Q73" s="208"/>
      <c r="R73" s="208"/>
      <c r="S73" s="210"/>
      <c r="T73" s="208"/>
      <c r="U73" s="211"/>
      <c r="V73" s="153"/>
      <c r="W73" s="154"/>
      <c r="X73" s="155"/>
      <c r="Y73" s="146"/>
      <c r="Z73" s="156"/>
      <c r="AA73" s="157"/>
      <c r="AB73" s="157"/>
      <c r="AC73" s="158"/>
      <c r="AD73" s="159"/>
      <c r="AE73" s="117"/>
      <c r="AF73" s="117"/>
      <c r="AG73" s="117"/>
      <c r="AH73" s="117"/>
      <c r="AI73" s="117"/>
      <c r="AJ73" s="117"/>
      <c r="AK73" s="117"/>
      <c r="AL73" s="117"/>
      <c r="AM73" s="117"/>
      <c r="AN73" s="117">
        <v>6</v>
      </c>
      <c r="AO73" s="117">
        <v>6</v>
      </c>
      <c r="AP73" s="117"/>
      <c r="AQ73" s="117"/>
      <c r="AR73" s="117"/>
      <c r="AS73" s="117"/>
      <c r="AT73" s="117"/>
      <c r="AU73" s="117"/>
      <c r="AV73" s="117"/>
      <c r="AW73" s="117"/>
      <c r="AX73" s="117"/>
      <c r="AY73" s="117"/>
      <c r="AZ73" s="117"/>
      <c r="BA73" s="117"/>
      <c r="BB73" s="117"/>
      <c r="BC73" s="117"/>
      <c r="BD73" s="117"/>
      <c r="BE73" s="216"/>
      <c r="BF73" s="216"/>
      <c r="BG73" s="216"/>
      <c r="BH73" s="217"/>
      <c r="BI73" s="150"/>
      <c r="BJ73" s="121"/>
      <c r="BK73" s="121"/>
      <c r="BL73" s="121"/>
      <c r="BM73" s="121"/>
      <c r="BN73" s="121"/>
      <c r="BO73" s="121"/>
      <c r="BP73" s="121"/>
      <c r="BQ73" s="121"/>
      <c r="BR73" s="121"/>
      <c r="BS73" s="121"/>
      <c r="BT73" s="121"/>
      <c r="BU73" s="121"/>
      <c r="BV73" s="199"/>
      <c r="BW73" s="199"/>
      <c r="BX73" s="199"/>
      <c r="BY73" s="199"/>
      <c r="BZ73" s="199"/>
      <c r="CA73" s="199"/>
      <c r="CB73" s="199"/>
      <c r="CC73" s="199"/>
      <c r="CD73" s="199"/>
      <c r="CE73" s="199"/>
      <c r="CF73" s="199"/>
      <c r="CG73" s="199"/>
      <c r="CH73" s="199"/>
      <c r="CI73" s="121">
        <v>1</v>
      </c>
      <c r="CJ73" s="121">
        <v>1</v>
      </c>
      <c r="CK73" s="121">
        <v>1</v>
      </c>
      <c r="CL73" s="121">
        <v>1</v>
      </c>
      <c r="CM73" s="121">
        <v>1</v>
      </c>
      <c r="CN73" s="200">
        <v>1</v>
      </c>
      <c r="CO73" s="201"/>
      <c r="CP73" s="202"/>
      <c r="CQ73" s="202"/>
      <c r="CR73" s="202"/>
      <c r="CS73" s="202"/>
      <c r="CT73" s="203"/>
      <c r="CU73" s="204"/>
      <c r="CV73" s="199"/>
      <c r="CW73" s="205"/>
      <c r="CX73" s="132"/>
      <c r="CY73" s="132"/>
      <c r="CZ73" s="132"/>
      <c r="DA73" s="132"/>
      <c r="DB73" s="132"/>
      <c r="DC73" s="132"/>
      <c r="DD73" s="132"/>
      <c r="DE73" s="103"/>
      <c r="DF73" s="103"/>
      <c r="DG73" s="103"/>
      <c r="DH73" s="103"/>
      <c r="DI73" s="103"/>
      <c r="DJ73" s="103"/>
      <c r="DK73" s="130"/>
      <c r="DL73" s="130"/>
      <c r="DM73" s="130"/>
      <c r="DN73" s="132"/>
      <c r="DO73" s="132"/>
    </row>
    <row r="74" ht="41.1" customHeight="1" spans="1:119">
      <c r="A74" s="131">
        <v>43595</v>
      </c>
      <c r="B74" s="132" t="s">
        <v>1199</v>
      </c>
      <c r="C74" s="160">
        <v>4500019662</v>
      </c>
      <c r="D74" s="215" t="s">
        <v>13291</v>
      </c>
      <c r="E74" s="206" t="s">
        <v>13292</v>
      </c>
      <c r="F74" s="206">
        <v>9202</v>
      </c>
      <c r="G74" s="100" t="s">
        <v>13268</v>
      </c>
      <c r="H74" s="138">
        <v>4</v>
      </c>
      <c r="I74" s="132"/>
      <c r="J74" s="132"/>
      <c r="K74" s="132"/>
      <c r="L74" s="139"/>
      <c r="M74" s="140"/>
      <c r="N74" s="208"/>
      <c r="O74" s="208"/>
      <c r="P74" s="209"/>
      <c r="Q74" s="208"/>
      <c r="R74" s="208"/>
      <c r="S74" s="210"/>
      <c r="T74" s="208"/>
      <c r="U74" s="211"/>
      <c r="V74" s="153"/>
      <c r="W74" s="154"/>
      <c r="X74" s="155"/>
      <c r="Y74" s="146"/>
      <c r="Z74" s="156"/>
      <c r="AA74" s="157"/>
      <c r="AB74" s="157"/>
      <c r="AC74" s="158"/>
      <c r="AD74" s="159"/>
      <c r="AE74" s="117">
        <v>4</v>
      </c>
      <c r="AF74" s="117"/>
      <c r="AG74" s="117"/>
      <c r="AH74" s="117">
        <v>4</v>
      </c>
      <c r="AI74" s="117"/>
      <c r="AJ74" s="117"/>
      <c r="AK74" s="117"/>
      <c r="AL74" s="117"/>
      <c r="AM74" s="117" t="s">
        <v>13183</v>
      </c>
      <c r="AN74" s="117"/>
      <c r="AO74" s="117"/>
      <c r="AP74" s="117"/>
      <c r="AQ74" s="117"/>
      <c r="AR74" s="117"/>
      <c r="AS74" s="117"/>
      <c r="AT74" s="117"/>
      <c r="AU74" s="117"/>
      <c r="AV74" s="117"/>
      <c r="AW74" s="117"/>
      <c r="AX74" s="117"/>
      <c r="AY74" s="117"/>
      <c r="AZ74" s="117"/>
      <c r="BA74" s="117"/>
      <c r="BB74" s="117"/>
      <c r="BC74" s="117"/>
      <c r="BD74" s="117"/>
      <c r="BE74" s="216"/>
      <c r="BF74" s="216"/>
      <c r="BG74" s="216"/>
      <c r="BH74" s="217"/>
      <c r="BI74" s="150"/>
      <c r="BJ74" s="121"/>
      <c r="BK74" s="121"/>
      <c r="BL74" s="121"/>
      <c r="BM74" s="121"/>
      <c r="BN74" s="121"/>
      <c r="BO74" s="121"/>
      <c r="BP74" s="121"/>
      <c r="BQ74" s="121"/>
      <c r="BR74" s="121"/>
      <c r="BS74" s="121"/>
      <c r="BT74" s="121"/>
      <c r="BU74" s="121"/>
      <c r="BV74" s="199"/>
      <c r="BW74" s="199"/>
      <c r="BX74" s="199"/>
      <c r="BY74" s="199"/>
      <c r="BZ74" s="199"/>
      <c r="CA74" s="199">
        <v>1</v>
      </c>
      <c r="CB74" s="199">
        <v>1</v>
      </c>
      <c r="CC74" s="199"/>
      <c r="CD74" s="199"/>
      <c r="CE74" s="199"/>
      <c r="CF74" s="199"/>
      <c r="CG74" s="199">
        <v>1</v>
      </c>
      <c r="CH74" s="199">
        <v>1</v>
      </c>
      <c r="CI74" s="121"/>
      <c r="CJ74" s="121"/>
      <c r="CK74" s="121"/>
      <c r="CL74" s="121"/>
      <c r="CM74" s="121"/>
      <c r="CN74" s="200"/>
      <c r="CO74" s="201"/>
      <c r="CP74" s="202"/>
      <c r="CQ74" s="202"/>
      <c r="CR74" s="202"/>
      <c r="CS74" s="202"/>
      <c r="CT74" s="203"/>
      <c r="CU74" s="204"/>
      <c r="CV74" s="199"/>
      <c r="CW74" s="205"/>
      <c r="CX74" s="132"/>
      <c r="CY74" s="132"/>
      <c r="CZ74" s="132"/>
      <c r="DA74" s="132"/>
      <c r="DB74" s="132"/>
      <c r="DC74" s="132"/>
      <c r="DD74" s="132"/>
      <c r="DE74" s="103"/>
      <c r="DF74" s="103"/>
      <c r="DG74" s="103"/>
      <c r="DH74" s="103"/>
      <c r="DI74" s="103"/>
      <c r="DJ74" s="103"/>
      <c r="DK74" s="130"/>
      <c r="DL74" s="130"/>
      <c r="DM74" s="130"/>
      <c r="DN74" s="132"/>
      <c r="DO74" s="132"/>
    </row>
    <row r="75" ht="41.1" customHeight="1" spans="1:119">
      <c r="A75" s="131">
        <v>43659</v>
      </c>
      <c r="B75" s="132" t="s">
        <v>13293</v>
      </c>
      <c r="C75" s="160" t="s">
        <v>11744</v>
      </c>
      <c r="D75" s="215"/>
      <c r="E75" s="206" t="s">
        <v>13294</v>
      </c>
      <c r="F75" s="206" t="s">
        <v>13267</v>
      </c>
      <c r="G75" s="100" t="s">
        <v>13268</v>
      </c>
      <c r="H75" s="138">
        <v>13</v>
      </c>
      <c r="I75" s="132"/>
      <c r="J75" s="132"/>
      <c r="K75" s="132"/>
      <c r="L75" s="139"/>
      <c r="M75" s="140"/>
      <c r="N75" s="208"/>
      <c r="O75" s="208"/>
      <c r="P75" s="209"/>
      <c r="Q75" s="208"/>
      <c r="R75" s="208"/>
      <c r="S75" s="210"/>
      <c r="T75" s="208"/>
      <c r="U75" s="211"/>
      <c r="V75" s="153"/>
      <c r="W75" s="154"/>
      <c r="X75" s="155"/>
      <c r="Y75" s="146"/>
      <c r="Z75" s="156"/>
      <c r="AA75" s="157"/>
      <c r="AB75" s="157"/>
      <c r="AC75" s="158"/>
      <c r="AD75" s="159"/>
      <c r="AE75" s="117"/>
      <c r="AF75" s="117">
        <v>13</v>
      </c>
      <c r="AG75" s="117"/>
      <c r="AH75" s="117"/>
      <c r="AI75" s="117"/>
      <c r="AJ75" s="117"/>
      <c r="AK75" s="117">
        <v>13</v>
      </c>
      <c r="AL75" s="117"/>
      <c r="AM75" s="117"/>
      <c r="AN75" s="117"/>
      <c r="AO75" s="117"/>
      <c r="AP75" s="117"/>
      <c r="AQ75" s="117"/>
      <c r="AR75" s="117"/>
      <c r="AS75" s="117"/>
      <c r="AT75" s="117"/>
      <c r="AU75" s="117"/>
      <c r="AV75" s="117"/>
      <c r="AW75" s="117"/>
      <c r="AX75" s="117"/>
      <c r="AY75" s="117"/>
      <c r="AZ75" s="117"/>
      <c r="BA75" s="117"/>
      <c r="BB75" s="117"/>
      <c r="BC75" s="117"/>
      <c r="BD75" s="117"/>
      <c r="BE75" s="216"/>
      <c r="BF75" s="216"/>
      <c r="BG75" s="216"/>
      <c r="BH75" s="217"/>
      <c r="BI75" s="150"/>
      <c r="BJ75" s="121"/>
      <c r="BK75" s="121"/>
      <c r="BL75" s="121"/>
      <c r="BM75" s="121"/>
      <c r="BN75" s="121"/>
      <c r="BO75" s="121"/>
      <c r="BP75" s="121"/>
      <c r="BQ75" s="121"/>
      <c r="BR75" s="121"/>
      <c r="BS75" s="121"/>
      <c r="BT75" s="121"/>
      <c r="BU75" s="121"/>
      <c r="BV75" s="199">
        <v>1</v>
      </c>
      <c r="BW75" s="199">
        <v>1</v>
      </c>
      <c r="BX75" s="199">
        <v>1</v>
      </c>
      <c r="BY75" s="199">
        <v>1</v>
      </c>
      <c r="BZ75" s="199">
        <v>1</v>
      </c>
      <c r="CA75" s="199">
        <v>1</v>
      </c>
      <c r="CB75" s="199">
        <v>1</v>
      </c>
      <c r="CC75" s="199">
        <v>1</v>
      </c>
      <c r="CD75" s="199">
        <v>1</v>
      </c>
      <c r="CE75" s="199">
        <v>1</v>
      </c>
      <c r="CF75" s="199">
        <v>1</v>
      </c>
      <c r="CG75" s="199">
        <v>1</v>
      </c>
      <c r="CH75" s="199">
        <v>1</v>
      </c>
      <c r="CI75" s="121"/>
      <c r="CJ75" s="121"/>
      <c r="CK75" s="121"/>
      <c r="CL75" s="121"/>
      <c r="CM75" s="121"/>
      <c r="CN75" s="200"/>
      <c r="CO75" s="201"/>
      <c r="CP75" s="202"/>
      <c r="CQ75" s="202"/>
      <c r="CR75" s="202"/>
      <c r="CS75" s="202"/>
      <c r="CT75" s="203"/>
      <c r="CU75" s="204"/>
      <c r="CV75" s="199"/>
      <c r="CW75" s="205"/>
      <c r="CX75" s="132"/>
      <c r="CY75" s="132"/>
      <c r="CZ75" s="132"/>
      <c r="DA75" s="132"/>
      <c r="DB75" s="132"/>
      <c r="DC75" s="132"/>
      <c r="DD75" s="132"/>
      <c r="DE75" s="103"/>
      <c r="DF75" s="103"/>
      <c r="DG75" s="103"/>
      <c r="DH75" s="103"/>
      <c r="DI75" s="103"/>
      <c r="DJ75" s="103"/>
      <c r="DK75" s="130"/>
      <c r="DL75" s="130"/>
      <c r="DM75" s="130"/>
      <c r="DN75" s="132"/>
      <c r="DO75" s="132"/>
    </row>
    <row r="76" ht="41.1" customHeight="1" spans="1:119">
      <c r="A76" s="131">
        <v>43659</v>
      </c>
      <c r="B76" s="132" t="s">
        <v>13293</v>
      </c>
      <c r="C76" s="160" t="s">
        <v>11744</v>
      </c>
      <c r="D76" s="215"/>
      <c r="E76" s="206" t="s">
        <v>13294</v>
      </c>
      <c r="F76" s="206" t="s">
        <v>13282</v>
      </c>
      <c r="G76" s="100" t="s">
        <v>13276</v>
      </c>
      <c r="H76" s="138">
        <v>6</v>
      </c>
      <c r="I76" s="132"/>
      <c r="J76" s="132"/>
      <c r="K76" s="132"/>
      <c r="L76" s="139"/>
      <c r="M76" s="140"/>
      <c r="N76" s="208"/>
      <c r="O76" s="208"/>
      <c r="P76" s="209"/>
      <c r="Q76" s="208"/>
      <c r="R76" s="208"/>
      <c r="S76" s="210"/>
      <c r="T76" s="208"/>
      <c r="U76" s="211"/>
      <c r="V76" s="153"/>
      <c r="W76" s="154"/>
      <c r="X76" s="155"/>
      <c r="Y76" s="146"/>
      <c r="Z76" s="156"/>
      <c r="AA76" s="157"/>
      <c r="AB76" s="157"/>
      <c r="AC76" s="158"/>
      <c r="AD76" s="159"/>
      <c r="AE76" s="117"/>
      <c r="AF76" s="117"/>
      <c r="AG76" s="117"/>
      <c r="AH76" s="117"/>
      <c r="AI76" s="117"/>
      <c r="AJ76" s="117"/>
      <c r="AK76" s="117"/>
      <c r="AL76" s="117"/>
      <c r="AM76" s="117"/>
      <c r="AN76" s="117"/>
      <c r="AO76" s="117">
        <v>6</v>
      </c>
      <c r="AP76" s="117"/>
      <c r="AQ76" s="117">
        <v>6</v>
      </c>
      <c r="AR76" s="117"/>
      <c r="AS76" s="117"/>
      <c r="AT76" s="117"/>
      <c r="AU76" s="117"/>
      <c r="AV76" s="117"/>
      <c r="AW76" s="117"/>
      <c r="AX76" s="117"/>
      <c r="AY76" s="117"/>
      <c r="AZ76" s="117"/>
      <c r="BA76" s="117"/>
      <c r="BB76" s="117"/>
      <c r="BC76" s="117"/>
      <c r="BD76" s="117"/>
      <c r="BE76" s="216"/>
      <c r="BF76" s="216"/>
      <c r="BG76" s="216"/>
      <c r="BH76" s="217"/>
      <c r="BI76" s="150"/>
      <c r="BJ76" s="121"/>
      <c r="BK76" s="121"/>
      <c r="BL76" s="121"/>
      <c r="BM76" s="121"/>
      <c r="BN76" s="121"/>
      <c r="BO76" s="121"/>
      <c r="BP76" s="121"/>
      <c r="BQ76" s="121"/>
      <c r="BR76" s="121"/>
      <c r="BS76" s="121"/>
      <c r="BT76" s="121"/>
      <c r="BU76" s="121"/>
      <c r="BV76" s="199"/>
      <c r="BW76" s="199"/>
      <c r="BX76" s="199"/>
      <c r="BY76" s="199"/>
      <c r="BZ76" s="199"/>
      <c r="CA76" s="199"/>
      <c r="CB76" s="199"/>
      <c r="CC76" s="199"/>
      <c r="CD76" s="199"/>
      <c r="CE76" s="199"/>
      <c r="CF76" s="199"/>
      <c r="CG76" s="199"/>
      <c r="CH76" s="199"/>
      <c r="CI76" s="121">
        <v>1</v>
      </c>
      <c r="CJ76" s="121">
        <v>1</v>
      </c>
      <c r="CK76" s="121">
        <v>1</v>
      </c>
      <c r="CL76" s="121">
        <v>1</v>
      </c>
      <c r="CM76" s="121">
        <v>1</v>
      </c>
      <c r="CN76" s="200">
        <v>1</v>
      </c>
      <c r="CO76" s="201"/>
      <c r="CP76" s="202"/>
      <c r="CQ76" s="202"/>
      <c r="CR76" s="202"/>
      <c r="CS76" s="202"/>
      <c r="CT76" s="203"/>
      <c r="CU76" s="204"/>
      <c r="CV76" s="199"/>
      <c r="CW76" s="205"/>
      <c r="CX76" s="132"/>
      <c r="CY76" s="132"/>
      <c r="CZ76" s="132"/>
      <c r="DA76" s="132"/>
      <c r="DB76" s="132"/>
      <c r="DC76" s="132"/>
      <c r="DD76" s="132"/>
      <c r="DE76" s="103"/>
      <c r="DF76" s="103"/>
      <c r="DG76" s="103"/>
      <c r="DH76" s="103"/>
      <c r="DI76" s="103"/>
      <c r="DJ76" s="103"/>
      <c r="DK76" s="130"/>
      <c r="DL76" s="130"/>
      <c r="DM76" s="130"/>
      <c r="DN76" s="132"/>
      <c r="DO76" s="132"/>
    </row>
    <row r="77" ht="41.1" customHeight="1" spans="1:119">
      <c r="A77" s="131">
        <v>43670</v>
      </c>
      <c r="B77" s="132" t="s">
        <v>13295</v>
      </c>
      <c r="C77" s="160">
        <v>4500020704</v>
      </c>
      <c r="D77" s="215" t="s">
        <v>13286</v>
      </c>
      <c r="E77" s="206" t="s">
        <v>13296</v>
      </c>
      <c r="F77" s="206" t="s">
        <v>13297</v>
      </c>
      <c r="G77" s="206" t="s">
        <v>13298</v>
      </c>
      <c r="H77" s="138">
        <v>9</v>
      </c>
      <c r="I77" s="132"/>
      <c r="J77" s="132"/>
      <c r="K77" s="132"/>
      <c r="L77" s="139"/>
      <c r="M77" s="140"/>
      <c r="N77" s="208"/>
      <c r="O77" s="208"/>
      <c r="P77" s="209"/>
      <c r="Q77" s="208"/>
      <c r="R77" s="208"/>
      <c r="S77" s="210"/>
      <c r="T77" s="208"/>
      <c r="U77" s="211"/>
      <c r="V77" s="153"/>
      <c r="W77" s="154"/>
      <c r="X77" s="155"/>
      <c r="Y77" s="146"/>
      <c r="Z77" s="156"/>
      <c r="AA77" s="157"/>
      <c r="AB77" s="157"/>
      <c r="AC77" s="158"/>
      <c r="AD77" s="159"/>
      <c r="AE77" s="117"/>
      <c r="AF77" s="117"/>
      <c r="AG77" s="117"/>
      <c r="AH77" s="117"/>
      <c r="AI77" s="117"/>
      <c r="AJ77" s="117"/>
      <c r="AK77" s="117"/>
      <c r="AL77" s="117"/>
      <c r="AM77" s="117"/>
      <c r="AN77" s="117"/>
      <c r="AO77" s="117"/>
      <c r="AP77" s="117"/>
      <c r="AQ77" s="117"/>
      <c r="AR77" s="117"/>
      <c r="AS77" s="117"/>
      <c r="AT77" s="117"/>
      <c r="AU77" s="117"/>
      <c r="AV77" s="117"/>
      <c r="AW77" s="117"/>
      <c r="AX77" s="117"/>
      <c r="AY77" s="117"/>
      <c r="AZ77" s="117"/>
      <c r="BA77" s="117"/>
      <c r="BB77" s="117"/>
      <c r="BC77" s="117"/>
      <c r="BD77" s="117"/>
      <c r="BE77" s="216">
        <v>9</v>
      </c>
      <c r="BF77" s="216">
        <v>9</v>
      </c>
      <c r="BG77" s="216"/>
      <c r="BH77" s="217"/>
      <c r="BI77" s="150"/>
      <c r="BJ77" s="121"/>
      <c r="BK77" s="121"/>
      <c r="BL77" s="121"/>
      <c r="BM77" s="121"/>
      <c r="BN77" s="121"/>
      <c r="BO77" s="121"/>
      <c r="BP77" s="121"/>
      <c r="BQ77" s="121"/>
      <c r="BR77" s="121"/>
      <c r="BS77" s="121"/>
      <c r="BT77" s="121"/>
      <c r="BU77" s="121"/>
      <c r="BV77" s="199"/>
      <c r="BW77" s="199"/>
      <c r="BX77" s="199"/>
      <c r="BY77" s="199"/>
      <c r="BZ77" s="199"/>
      <c r="CA77" s="199"/>
      <c r="CB77" s="199"/>
      <c r="CC77" s="199"/>
      <c r="CD77" s="199"/>
      <c r="CE77" s="199"/>
      <c r="CF77" s="199"/>
      <c r="CG77" s="199"/>
      <c r="CH77" s="199"/>
      <c r="CI77" s="121"/>
      <c r="CJ77" s="121"/>
      <c r="CK77" s="121"/>
      <c r="CL77" s="121"/>
      <c r="CM77" s="121"/>
      <c r="CN77" s="200"/>
      <c r="CO77" s="201"/>
      <c r="CP77" s="202"/>
      <c r="CQ77" s="202"/>
      <c r="CR77" s="202"/>
      <c r="CS77" s="202"/>
      <c r="CT77" s="203"/>
      <c r="CU77" s="204">
        <v>4</v>
      </c>
      <c r="CV77" s="199">
        <v>4</v>
      </c>
      <c r="CW77" s="205">
        <v>4</v>
      </c>
      <c r="CX77" s="132"/>
      <c r="CY77" s="132"/>
      <c r="CZ77" s="132"/>
      <c r="DA77" s="132"/>
      <c r="DB77" s="132"/>
      <c r="DC77" s="132"/>
      <c r="DD77" s="132"/>
      <c r="DE77" s="103"/>
      <c r="DF77" s="103"/>
      <c r="DG77" s="103"/>
      <c r="DH77" s="103"/>
      <c r="DI77" s="103"/>
      <c r="DJ77" s="103"/>
      <c r="DK77" s="130"/>
      <c r="DL77" s="130"/>
      <c r="DM77" s="130"/>
      <c r="DN77" s="132"/>
      <c r="DO77" s="132"/>
    </row>
    <row r="78" ht="41.1" customHeight="1" spans="1:119">
      <c r="A78" s="131">
        <v>43667</v>
      </c>
      <c r="B78" s="132" t="s">
        <v>13299</v>
      </c>
      <c r="C78" s="160">
        <v>4500022133</v>
      </c>
      <c r="D78" s="215" t="s">
        <v>13300</v>
      </c>
      <c r="E78" s="206" t="s">
        <v>13301</v>
      </c>
      <c r="F78" s="206" t="s">
        <v>13297</v>
      </c>
      <c r="G78" s="206" t="s">
        <v>13298</v>
      </c>
      <c r="H78" s="138">
        <v>4</v>
      </c>
      <c r="I78" s="132"/>
      <c r="J78" s="132"/>
      <c r="K78" s="132"/>
      <c r="L78" s="139"/>
      <c r="M78" s="140"/>
      <c r="N78" s="208"/>
      <c r="O78" s="208"/>
      <c r="P78" s="209"/>
      <c r="Q78" s="208"/>
      <c r="R78" s="208"/>
      <c r="S78" s="210"/>
      <c r="T78" s="208"/>
      <c r="U78" s="211"/>
      <c r="V78" s="153"/>
      <c r="W78" s="154"/>
      <c r="X78" s="155"/>
      <c r="Y78" s="146"/>
      <c r="Z78" s="156"/>
      <c r="AA78" s="157"/>
      <c r="AB78" s="157"/>
      <c r="AC78" s="158"/>
      <c r="AD78" s="159"/>
      <c r="AE78" s="117"/>
      <c r="AF78" s="117"/>
      <c r="AG78" s="117"/>
      <c r="AH78" s="117"/>
      <c r="AI78" s="117"/>
      <c r="AJ78" s="117"/>
      <c r="AK78" s="117"/>
      <c r="AL78" s="117"/>
      <c r="AM78" s="117"/>
      <c r="AN78" s="117"/>
      <c r="AO78" s="117"/>
      <c r="AP78" s="117"/>
      <c r="AQ78" s="117"/>
      <c r="AR78" s="117"/>
      <c r="AS78" s="117"/>
      <c r="AT78" s="117"/>
      <c r="AU78" s="117"/>
      <c r="AV78" s="117"/>
      <c r="AW78" s="117"/>
      <c r="AX78" s="117"/>
      <c r="AY78" s="117"/>
      <c r="AZ78" s="117"/>
      <c r="BA78" s="117"/>
      <c r="BB78" s="117"/>
      <c r="BC78" s="117"/>
      <c r="BD78" s="117"/>
      <c r="BE78" s="216">
        <v>4</v>
      </c>
      <c r="BF78" s="216">
        <v>4</v>
      </c>
      <c r="BG78" s="216"/>
      <c r="BH78" s="217"/>
      <c r="BI78" s="150"/>
      <c r="BJ78" s="121"/>
      <c r="BK78" s="121"/>
      <c r="BL78" s="121"/>
      <c r="BM78" s="121"/>
      <c r="BN78" s="121"/>
      <c r="BO78" s="121"/>
      <c r="BP78" s="121"/>
      <c r="BQ78" s="121"/>
      <c r="BR78" s="121"/>
      <c r="BS78" s="121"/>
      <c r="BT78" s="121"/>
      <c r="BU78" s="121"/>
      <c r="BV78" s="199"/>
      <c r="BW78" s="199"/>
      <c r="BX78" s="199"/>
      <c r="BY78" s="199"/>
      <c r="BZ78" s="199"/>
      <c r="CA78" s="199"/>
      <c r="CB78" s="199"/>
      <c r="CC78" s="199"/>
      <c r="CD78" s="199"/>
      <c r="CE78" s="199"/>
      <c r="CF78" s="199"/>
      <c r="CG78" s="199"/>
      <c r="CH78" s="199"/>
      <c r="CI78" s="121"/>
      <c r="CJ78" s="121"/>
      <c r="CK78" s="121"/>
      <c r="CL78" s="121"/>
      <c r="CM78" s="121"/>
      <c r="CN78" s="200"/>
      <c r="CO78" s="201"/>
      <c r="CP78" s="202"/>
      <c r="CQ78" s="202"/>
      <c r="CR78" s="202"/>
      <c r="CS78" s="202"/>
      <c r="CT78" s="203"/>
      <c r="CU78" s="204">
        <v>1</v>
      </c>
      <c r="CV78" s="199">
        <v>2</v>
      </c>
      <c r="CW78" s="205">
        <v>1</v>
      </c>
      <c r="CX78" s="132"/>
      <c r="CY78" s="132"/>
      <c r="CZ78" s="132"/>
      <c r="DA78" s="132"/>
      <c r="DB78" s="132"/>
      <c r="DC78" s="132"/>
      <c r="DD78" s="132"/>
      <c r="DE78" s="103"/>
      <c r="DF78" s="103"/>
      <c r="DG78" s="103"/>
      <c r="DH78" s="103"/>
      <c r="DI78" s="103"/>
      <c r="DJ78" s="103"/>
      <c r="DK78" s="130"/>
      <c r="DL78" s="130"/>
      <c r="DM78" s="130"/>
      <c r="DN78" s="132"/>
      <c r="DO78" s="132"/>
    </row>
    <row r="79" ht="41.1" customHeight="1" spans="1:119">
      <c r="A79" s="131">
        <v>43671</v>
      </c>
      <c r="B79" s="132" t="s">
        <v>13302</v>
      </c>
      <c r="C79" s="160" t="s">
        <v>11744</v>
      </c>
      <c r="D79" s="215"/>
      <c r="E79" s="206" t="s">
        <v>13303</v>
      </c>
      <c r="F79" s="206" t="s">
        <v>13297</v>
      </c>
      <c r="G79" s="206" t="s">
        <v>13298</v>
      </c>
      <c r="H79" s="138">
        <v>3</v>
      </c>
      <c r="I79" s="132"/>
      <c r="J79" s="132"/>
      <c r="K79" s="132"/>
      <c r="L79" s="139"/>
      <c r="M79" s="140"/>
      <c r="N79" s="208"/>
      <c r="O79" s="208"/>
      <c r="P79" s="209"/>
      <c r="Q79" s="208"/>
      <c r="R79" s="208"/>
      <c r="S79" s="210"/>
      <c r="T79" s="208"/>
      <c r="U79" s="211"/>
      <c r="V79" s="153"/>
      <c r="W79" s="154"/>
      <c r="X79" s="155"/>
      <c r="Y79" s="146"/>
      <c r="Z79" s="156"/>
      <c r="AA79" s="157"/>
      <c r="AB79" s="157"/>
      <c r="AC79" s="158"/>
      <c r="AD79" s="159"/>
      <c r="AE79" s="117"/>
      <c r="AF79" s="117"/>
      <c r="AG79" s="117"/>
      <c r="AH79" s="117"/>
      <c r="AI79" s="117"/>
      <c r="AJ79" s="117"/>
      <c r="AK79" s="117"/>
      <c r="AL79" s="117"/>
      <c r="AM79" s="117"/>
      <c r="AN79" s="117"/>
      <c r="AO79" s="117"/>
      <c r="AP79" s="117"/>
      <c r="AQ79" s="117"/>
      <c r="AR79" s="117"/>
      <c r="AS79" s="117"/>
      <c r="AT79" s="117"/>
      <c r="AU79" s="117"/>
      <c r="AV79" s="117"/>
      <c r="AW79" s="117"/>
      <c r="AX79" s="117"/>
      <c r="AY79" s="117"/>
      <c r="AZ79" s="117"/>
      <c r="BA79" s="117"/>
      <c r="BB79" s="117"/>
      <c r="BC79" s="117"/>
      <c r="BD79" s="117"/>
      <c r="BE79" s="216"/>
      <c r="BF79" s="216"/>
      <c r="BG79" s="216"/>
      <c r="BH79" s="217"/>
      <c r="BI79" s="150"/>
      <c r="BJ79" s="121"/>
      <c r="BK79" s="121"/>
      <c r="BL79" s="121"/>
      <c r="BM79" s="121"/>
      <c r="BN79" s="121"/>
      <c r="BO79" s="121"/>
      <c r="BP79" s="121"/>
      <c r="BQ79" s="121"/>
      <c r="BR79" s="121"/>
      <c r="BS79" s="121"/>
      <c r="BT79" s="121"/>
      <c r="BU79" s="121"/>
      <c r="BV79" s="199"/>
      <c r="BW79" s="199"/>
      <c r="BX79" s="199"/>
      <c r="BY79" s="199"/>
      <c r="BZ79" s="199"/>
      <c r="CA79" s="199"/>
      <c r="CB79" s="199"/>
      <c r="CC79" s="199"/>
      <c r="CD79" s="199"/>
      <c r="CE79" s="199"/>
      <c r="CF79" s="199"/>
      <c r="CG79" s="199"/>
      <c r="CH79" s="199"/>
      <c r="CI79" s="121"/>
      <c r="CJ79" s="121"/>
      <c r="CK79" s="121"/>
      <c r="CL79" s="121"/>
      <c r="CM79" s="121"/>
      <c r="CN79" s="200"/>
      <c r="CO79" s="201"/>
      <c r="CP79" s="202"/>
      <c r="CQ79" s="202"/>
      <c r="CR79" s="202"/>
      <c r="CS79" s="202"/>
      <c r="CT79" s="203"/>
      <c r="CU79" s="204">
        <v>1</v>
      </c>
      <c r="CV79" s="199">
        <v>1</v>
      </c>
      <c r="CW79" s="205">
        <v>1</v>
      </c>
      <c r="CX79" s="132"/>
      <c r="CY79" s="132"/>
      <c r="CZ79" s="132"/>
      <c r="DA79" s="132"/>
      <c r="DB79" s="132"/>
      <c r="DC79" s="132"/>
      <c r="DD79" s="132"/>
      <c r="DE79" s="103"/>
      <c r="DF79" s="103"/>
      <c r="DG79" s="103"/>
      <c r="DH79" s="103"/>
      <c r="DI79" s="103"/>
      <c r="DJ79" s="103"/>
      <c r="DK79" s="130"/>
      <c r="DL79" s="130"/>
      <c r="DM79" s="130"/>
      <c r="DN79" s="132"/>
      <c r="DO79" s="132"/>
    </row>
    <row r="80" ht="41.1" customHeight="1" spans="1:119">
      <c r="A80" s="131">
        <v>43671</v>
      </c>
      <c r="B80" s="132" t="s">
        <v>13304</v>
      </c>
      <c r="C80" s="160">
        <v>4500021345</v>
      </c>
      <c r="D80" s="215"/>
      <c r="E80" s="206" t="s">
        <v>13301</v>
      </c>
      <c r="F80" s="206" t="s">
        <v>13297</v>
      </c>
      <c r="G80" s="206" t="s">
        <v>13298</v>
      </c>
      <c r="H80" s="138">
        <v>1</v>
      </c>
      <c r="I80" s="132"/>
      <c r="J80" s="132"/>
      <c r="K80" s="132"/>
      <c r="L80" s="139"/>
      <c r="M80" s="140"/>
      <c r="N80" s="208"/>
      <c r="O80" s="208"/>
      <c r="P80" s="209"/>
      <c r="Q80" s="208"/>
      <c r="R80" s="208"/>
      <c r="S80" s="210"/>
      <c r="T80" s="208"/>
      <c r="U80" s="211"/>
      <c r="V80" s="153"/>
      <c r="W80" s="154"/>
      <c r="X80" s="155"/>
      <c r="Y80" s="146"/>
      <c r="Z80" s="156"/>
      <c r="AA80" s="157"/>
      <c r="AB80" s="157"/>
      <c r="AC80" s="158"/>
      <c r="AD80" s="159"/>
      <c r="AE80" s="117"/>
      <c r="AF80" s="117"/>
      <c r="AG80" s="117"/>
      <c r="AH80" s="117"/>
      <c r="AI80" s="117"/>
      <c r="AJ80" s="117"/>
      <c r="AK80" s="117"/>
      <c r="AL80" s="117"/>
      <c r="AM80" s="117"/>
      <c r="AN80" s="117"/>
      <c r="AO80" s="117"/>
      <c r="AP80" s="117"/>
      <c r="AQ80" s="117"/>
      <c r="AR80" s="117"/>
      <c r="AS80" s="117"/>
      <c r="AT80" s="117"/>
      <c r="AU80" s="117"/>
      <c r="AV80" s="117"/>
      <c r="AW80" s="117"/>
      <c r="AX80" s="117"/>
      <c r="AY80" s="117"/>
      <c r="AZ80" s="117"/>
      <c r="BA80" s="117"/>
      <c r="BB80" s="117"/>
      <c r="BC80" s="117"/>
      <c r="BD80" s="117"/>
      <c r="BE80" s="216">
        <v>1</v>
      </c>
      <c r="BF80" s="216">
        <v>1</v>
      </c>
      <c r="BG80" s="216"/>
      <c r="BH80" s="217"/>
      <c r="BI80" s="150"/>
      <c r="BJ80" s="121"/>
      <c r="BK80" s="121"/>
      <c r="BL80" s="121"/>
      <c r="BM80" s="121"/>
      <c r="BN80" s="121"/>
      <c r="BO80" s="121"/>
      <c r="BP80" s="121"/>
      <c r="BQ80" s="121"/>
      <c r="BR80" s="121"/>
      <c r="BS80" s="121"/>
      <c r="BT80" s="121"/>
      <c r="BU80" s="121"/>
      <c r="BV80" s="199"/>
      <c r="BW80" s="199"/>
      <c r="BX80" s="199"/>
      <c r="BY80" s="199"/>
      <c r="BZ80" s="199"/>
      <c r="CA80" s="199"/>
      <c r="CB80" s="199"/>
      <c r="CC80" s="199"/>
      <c r="CD80" s="199"/>
      <c r="CE80" s="199"/>
      <c r="CF80" s="199"/>
      <c r="CG80" s="199"/>
      <c r="CH80" s="199"/>
      <c r="CI80" s="121"/>
      <c r="CJ80" s="121"/>
      <c r="CK80" s="121"/>
      <c r="CL80" s="121"/>
      <c r="CM80" s="121"/>
      <c r="CN80" s="200"/>
      <c r="CO80" s="201"/>
      <c r="CP80" s="202"/>
      <c r="CQ80" s="202"/>
      <c r="CR80" s="202"/>
      <c r="CS80" s="202"/>
      <c r="CT80" s="203"/>
      <c r="CU80" s="204"/>
      <c r="CV80" s="199"/>
      <c r="CW80" s="205">
        <v>1</v>
      </c>
      <c r="CX80" s="132"/>
      <c r="CY80" s="132"/>
      <c r="CZ80" s="132"/>
      <c r="DA80" s="132"/>
      <c r="DB80" s="132"/>
      <c r="DC80" s="132"/>
      <c r="DD80" s="132"/>
      <c r="DE80" s="103"/>
      <c r="DF80" s="103"/>
      <c r="DG80" s="103"/>
      <c r="DH80" s="103"/>
      <c r="DI80" s="103"/>
      <c r="DJ80" s="103"/>
      <c r="DK80" s="130"/>
      <c r="DL80" s="130"/>
      <c r="DM80" s="130"/>
      <c r="DN80" s="132"/>
      <c r="DO80" s="132"/>
    </row>
    <row r="81" ht="41.1" customHeight="1" spans="1:119">
      <c r="A81" s="131">
        <v>43675</v>
      </c>
      <c r="B81" s="132" t="s">
        <v>12181</v>
      </c>
      <c r="C81" s="160" t="s">
        <v>11744</v>
      </c>
      <c r="D81" s="215" t="s">
        <v>13305</v>
      </c>
      <c r="E81" s="206" t="s">
        <v>13306</v>
      </c>
      <c r="F81" s="206" t="s">
        <v>13279</v>
      </c>
      <c r="G81" s="206" t="s">
        <v>13268</v>
      </c>
      <c r="H81" s="138">
        <v>18</v>
      </c>
      <c r="I81" s="132"/>
      <c r="J81" s="132"/>
      <c r="K81" s="132"/>
      <c r="L81" s="139"/>
      <c r="M81" s="140"/>
      <c r="N81" s="208"/>
      <c r="O81" s="208"/>
      <c r="P81" s="209"/>
      <c r="Q81" s="208"/>
      <c r="R81" s="208"/>
      <c r="S81" s="210"/>
      <c r="T81" s="208"/>
      <c r="U81" s="211"/>
      <c r="V81" s="153"/>
      <c r="W81" s="154"/>
      <c r="X81" s="155"/>
      <c r="Y81" s="146"/>
      <c r="Z81" s="156"/>
      <c r="AA81" s="157"/>
      <c r="AB81" s="157"/>
      <c r="AC81" s="158"/>
      <c r="AD81" s="159"/>
      <c r="AE81" s="117">
        <v>2</v>
      </c>
      <c r="AF81" s="117"/>
      <c r="AG81" s="117"/>
      <c r="AH81" s="117">
        <v>2</v>
      </c>
      <c r="AI81" s="117"/>
      <c r="AJ81" s="117"/>
      <c r="AK81" s="117"/>
      <c r="AL81" s="117"/>
      <c r="AM81" s="117"/>
      <c r="AN81" s="117"/>
      <c r="AO81" s="117"/>
      <c r="AP81" s="117"/>
      <c r="AQ81" s="117"/>
      <c r="AR81" s="117"/>
      <c r="AS81" s="117"/>
      <c r="AT81" s="117"/>
      <c r="AU81" s="117"/>
      <c r="AV81" s="117"/>
      <c r="AW81" s="117"/>
      <c r="AX81" s="117"/>
      <c r="AY81" s="117"/>
      <c r="AZ81" s="117"/>
      <c r="BA81" s="117"/>
      <c r="BB81" s="117"/>
      <c r="BC81" s="117"/>
      <c r="BD81" s="117"/>
      <c r="BE81" s="216"/>
      <c r="BF81" s="216"/>
      <c r="BG81" s="216"/>
      <c r="BH81" s="217"/>
      <c r="BI81" s="150"/>
      <c r="BJ81" s="121"/>
      <c r="BK81" s="121"/>
      <c r="BL81" s="121"/>
      <c r="BM81" s="121"/>
      <c r="BN81" s="121"/>
      <c r="BO81" s="121"/>
      <c r="BP81" s="121"/>
      <c r="BQ81" s="121"/>
      <c r="BR81" s="121"/>
      <c r="BS81" s="121"/>
      <c r="BT81" s="121"/>
      <c r="BU81" s="121"/>
      <c r="BV81" s="199">
        <v>2</v>
      </c>
      <c r="BW81" s="199">
        <v>2</v>
      </c>
      <c r="BX81" s="199">
        <v>2</v>
      </c>
      <c r="BY81" s="199">
        <v>2</v>
      </c>
      <c r="BZ81" s="199">
        <v>2</v>
      </c>
      <c r="CA81" s="199"/>
      <c r="CB81" s="199"/>
      <c r="CC81" s="199"/>
      <c r="CD81" s="199"/>
      <c r="CE81" s="199">
        <v>2</v>
      </c>
      <c r="CF81" s="199">
        <v>2</v>
      </c>
      <c r="CG81" s="199">
        <v>2</v>
      </c>
      <c r="CH81" s="199">
        <v>2</v>
      </c>
      <c r="CI81" s="121"/>
      <c r="CJ81" s="121"/>
      <c r="CK81" s="121"/>
      <c r="CL81" s="121"/>
      <c r="CM81" s="121"/>
      <c r="CN81" s="200"/>
      <c r="CO81" s="201"/>
      <c r="CP81" s="202"/>
      <c r="CQ81" s="202"/>
      <c r="CR81" s="202"/>
      <c r="CS81" s="202"/>
      <c r="CT81" s="203"/>
      <c r="CU81" s="204"/>
      <c r="CV81" s="199"/>
      <c r="CW81" s="205"/>
      <c r="CX81" s="132"/>
      <c r="CY81" s="132"/>
      <c r="CZ81" s="132"/>
      <c r="DA81" s="132"/>
      <c r="DB81" s="132"/>
      <c r="DC81" s="132"/>
      <c r="DD81" s="132"/>
      <c r="DE81" s="103"/>
      <c r="DF81" s="103"/>
      <c r="DG81" s="103"/>
      <c r="DH81" s="103"/>
      <c r="DI81" s="103"/>
      <c r="DJ81" s="103"/>
      <c r="DK81" s="130"/>
      <c r="DL81" s="130"/>
      <c r="DM81" s="130"/>
      <c r="DN81" s="132"/>
      <c r="DO81" s="132"/>
    </row>
    <row r="82" ht="41.1" customHeight="1" spans="1:119">
      <c r="A82" s="131">
        <v>43672</v>
      </c>
      <c r="B82" s="132" t="s">
        <v>13307</v>
      </c>
      <c r="C82" s="160">
        <v>450019786</v>
      </c>
      <c r="D82" s="215" t="s">
        <v>13265</v>
      </c>
      <c r="E82" s="206" t="s">
        <v>13301</v>
      </c>
      <c r="F82" s="206" t="s">
        <v>13267</v>
      </c>
      <c r="G82" s="206" t="s">
        <v>13268</v>
      </c>
      <c r="H82" s="138">
        <v>13</v>
      </c>
      <c r="I82" s="132"/>
      <c r="J82" s="132"/>
      <c r="K82" s="132"/>
      <c r="L82" s="139"/>
      <c r="M82" s="140"/>
      <c r="N82" s="208"/>
      <c r="O82" s="208"/>
      <c r="P82" s="209"/>
      <c r="Q82" s="208"/>
      <c r="R82" s="208"/>
      <c r="S82" s="210"/>
      <c r="T82" s="208"/>
      <c r="U82" s="211"/>
      <c r="V82" s="153"/>
      <c r="W82" s="154"/>
      <c r="X82" s="155"/>
      <c r="Y82" s="146"/>
      <c r="Z82" s="156"/>
      <c r="AA82" s="157"/>
      <c r="AB82" s="157"/>
      <c r="AC82" s="158"/>
      <c r="AD82" s="159"/>
      <c r="AE82" s="117">
        <v>13</v>
      </c>
      <c r="AF82" s="117"/>
      <c r="AG82" s="117"/>
      <c r="AH82" s="117">
        <v>13</v>
      </c>
      <c r="AI82" s="117"/>
      <c r="AJ82" s="117"/>
      <c r="AK82" s="117"/>
      <c r="AL82" s="117"/>
      <c r="AM82" s="117"/>
      <c r="AN82" s="117"/>
      <c r="AO82" s="117"/>
      <c r="AP82" s="117"/>
      <c r="AQ82" s="117"/>
      <c r="AR82" s="117"/>
      <c r="AS82" s="117"/>
      <c r="AT82" s="117"/>
      <c r="AU82" s="117"/>
      <c r="AV82" s="117"/>
      <c r="AW82" s="117"/>
      <c r="AX82" s="117"/>
      <c r="AY82" s="117"/>
      <c r="AZ82" s="117"/>
      <c r="BA82" s="117"/>
      <c r="BB82" s="117"/>
      <c r="BC82" s="117"/>
      <c r="BD82" s="117"/>
      <c r="BE82" s="216"/>
      <c r="BF82" s="216"/>
      <c r="BG82" s="216"/>
      <c r="BH82" s="217"/>
      <c r="BI82" s="150"/>
      <c r="BJ82" s="121"/>
      <c r="BK82" s="121"/>
      <c r="BL82" s="121"/>
      <c r="BM82" s="121"/>
      <c r="BN82" s="121"/>
      <c r="BO82" s="121"/>
      <c r="BP82" s="121"/>
      <c r="BQ82" s="121"/>
      <c r="BR82" s="121"/>
      <c r="BS82" s="121"/>
      <c r="BT82" s="121"/>
      <c r="BU82" s="121"/>
      <c r="BV82" s="199">
        <v>1</v>
      </c>
      <c r="BW82" s="199">
        <v>1</v>
      </c>
      <c r="BX82" s="199">
        <v>1</v>
      </c>
      <c r="BY82" s="199">
        <v>1</v>
      </c>
      <c r="BZ82" s="199">
        <v>1</v>
      </c>
      <c r="CA82" s="199">
        <v>1</v>
      </c>
      <c r="CB82" s="199">
        <v>1</v>
      </c>
      <c r="CC82" s="199">
        <v>1</v>
      </c>
      <c r="CD82" s="199">
        <v>1</v>
      </c>
      <c r="CE82" s="199">
        <v>1</v>
      </c>
      <c r="CF82" s="199">
        <v>1</v>
      </c>
      <c r="CG82" s="199">
        <v>1</v>
      </c>
      <c r="CH82" s="199">
        <v>1</v>
      </c>
      <c r="CI82" s="121"/>
      <c r="CJ82" s="121"/>
      <c r="CK82" s="121"/>
      <c r="CL82" s="121"/>
      <c r="CM82" s="121"/>
      <c r="CN82" s="200"/>
      <c r="CO82" s="201"/>
      <c r="CP82" s="202"/>
      <c r="CQ82" s="202"/>
      <c r="CR82" s="202"/>
      <c r="CS82" s="202"/>
      <c r="CT82" s="203"/>
      <c r="CU82" s="204"/>
      <c r="CV82" s="199"/>
      <c r="CW82" s="205"/>
      <c r="CX82" s="132"/>
      <c r="CY82" s="132"/>
      <c r="CZ82" s="132"/>
      <c r="DA82" s="132"/>
      <c r="DB82" s="132"/>
      <c r="DC82" s="132"/>
      <c r="DD82" s="132"/>
      <c r="DE82" s="103"/>
      <c r="DF82" s="103"/>
      <c r="DG82" s="103"/>
      <c r="DH82" s="103"/>
      <c r="DI82" s="103"/>
      <c r="DJ82" s="103"/>
      <c r="DK82" s="130"/>
      <c r="DL82" s="130"/>
      <c r="DM82" s="130"/>
      <c r="DN82" s="132"/>
      <c r="DO82" s="132"/>
    </row>
    <row r="83" ht="41.1" customHeight="1" spans="1:119">
      <c r="A83" s="131">
        <v>43678</v>
      </c>
      <c r="B83" s="132" t="s">
        <v>13304</v>
      </c>
      <c r="C83" s="160">
        <v>4500019768</v>
      </c>
      <c r="D83" s="215" t="s">
        <v>13308</v>
      </c>
      <c r="E83" s="206" t="s">
        <v>13309</v>
      </c>
      <c r="F83" s="206" t="s">
        <v>13310</v>
      </c>
      <c r="G83" s="206" t="s">
        <v>13311</v>
      </c>
      <c r="H83" s="138">
        <v>1</v>
      </c>
      <c r="I83" s="132"/>
      <c r="J83" s="132"/>
      <c r="K83" s="132"/>
      <c r="L83" s="139"/>
      <c r="M83" s="140"/>
      <c r="N83" s="208"/>
      <c r="O83" s="208"/>
      <c r="P83" s="209"/>
      <c r="Q83" s="208"/>
      <c r="R83" s="208"/>
      <c r="S83" s="210"/>
      <c r="T83" s="208"/>
      <c r="U83" s="211"/>
      <c r="V83" s="153"/>
      <c r="W83" s="154"/>
      <c r="X83" s="155"/>
      <c r="Y83" s="146"/>
      <c r="Z83" s="156"/>
      <c r="AA83" s="157"/>
      <c r="AB83" s="157"/>
      <c r="AC83" s="158"/>
      <c r="AD83" s="159"/>
      <c r="AE83" s="117"/>
      <c r="AF83" s="117"/>
      <c r="AG83" s="117"/>
      <c r="AH83" s="117"/>
      <c r="AI83" s="117"/>
      <c r="AJ83" s="117"/>
      <c r="AK83" s="117"/>
      <c r="AL83" s="117"/>
      <c r="AM83" s="117"/>
      <c r="AN83" s="117"/>
      <c r="AO83" s="117"/>
      <c r="AP83" s="117"/>
      <c r="AQ83" s="117"/>
      <c r="AR83" s="117"/>
      <c r="AS83" s="117"/>
      <c r="AT83" s="117"/>
      <c r="AU83" s="117"/>
      <c r="AV83" s="117"/>
      <c r="AW83" s="117"/>
      <c r="AX83" s="117"/>
      <c r="AY83" s="117"/>
      <c r="AZ83" s="117"/>
      <c r="BA83" s="117"/>
      <c r="BB83" s="117"/>
      <c r="BC83" s="117"/>
      <c r="BD83" s="117"/>
      <c r="BE83" s="216">
        <v>1</v>
      </c>
      <c r="BF83" s="216">
        <v>1</v>
      </c>
      <c r="BG83" s="216"/>
      <c r="BH83" s="217"/>
      <c r="BI83" s="150"/>
      <c r="BJ83" s="121"/>
      <c r="BK83" s="121"/>
      <c r="BL83" s="121"/>
      <c r="BM83" s="121"/>
      <c r="BN83" s="121"/>
      <c r="BO83" s="121"/>
      <c r="BP83" s="121"/>
      <c r="BQ83" s="121"/>
      <c r="BR83" s="121"/>
      <c r="BS83" s="121"/>
      <c r="BT83" s="121"/>
      <c r="BU83" s="121"/>
      <c r="BV83" s="199"/>
      <c r="BW83" s="199"/>
      <c r="BX83" s="199"/>
      <c r="BY83" s="199"/>
      <c r="BZ83" s="199"/>
      <c r="CA83" s="199"/>
      <c r="CB83" s="199"/>
      <c r="CC83" s="199"/>
      <c r="CD83" s="199"/>
      <c r="CE83" s="199"/>
      <c r="CF83" s="199"/>
      <c r="CG83" s="199"/>
      <c r="CH83" s="199"/>
      <c r="CI83" s="121"/>
      <c r="CJ83" s="121"/>
      <c r="CK83" s="121"/>
      <c r="CL83" s="121"/>
      <c r="CM83" s="121"/>
      <c r="CN83" s="200"/>
      <c r="CO83" s="201"/>
      <c r="CP83" s="202"/>
      <c r="CQ83" s="202"/>
      <c r="CR83" s="202"/>
      <c r="CS83" s="202"/>
      <c r="CT83" s="203"/>
      <c r="CU83" s="204"/>
      <c r="CV83" s="199"/>
      <c r="CW83" s="205">
        <v>1</v>
      </c>
      <c r="CX83" s="132"/>
      <c r="CY83" s="132"/>
      <c r="CZ83" s="132"/>
      <c r="DA83" s="132"/>
      <c r="DB83" s="132"/>
      <c r="DC83" s="132"/>
      <c r="DD83" s="132"/>
      <c r="DE83" s="103"/>
      <c r="DF83" s="103"/>
      <c r="DG83" s="103"/>
      <c r="DH83" s="103"/>
      <c r="DI83" s="103"/>
      <c r="DJ83" s="103"/>
      <c r="DK83" s="130"/>
      <c r="DL83" s="130"/>
      <c r="DM83" s="130"/>
      <c r="DN83" s="132"/>
      <c r="DO83" s="132"/>
    </row>
    <row r="84" ht="41.1" customHeight="1" spans="1:119">
      <c r="A84" s="131">
        <v>43678</v>
      </c>
      <c r="B84" s="132" t="s">
        <v>11739</v>
      </c>
      <c r="C84" s="160">
        <v>4500022323</v>
      </c>
      <c r="D84" s="215" t="s">
        <v>13312</v>
      </c>
      <c r="E84" s="206" t="s">
        <v>13301</v>
      </c>
      <c r="F84" s="206" t="s">
        <v>13297</v>
      </c>
      <c r="G84" s="206" t="s">
        <v>13311</v>
      </c>
      <c r="H84" s="138">
        <v>1</v>
      </c>
      <c r="I84" s="132"/>
      <c r="J84" s="132"/>
      <c r="K84" s="132"/>
      <c r="L84" s="139"/>
      <c r="M84" s="140"/>
      <c r="N84" s="208"/>
      <c r="O84" s="208"/>
      <c r="P84" s="209"/>
      <c r="Q84" s="208"/>
      <c r="R84" s="208"/>
      <c r="S84" s="210"/>
      <c r="T84" s="208"/>
      <c r="U84" s="211"/>
      <c r="V84" s="153"/>
      <c r="W84" s="154"/>
      <c r="X84" s="155"/>
      <c r="Y84" s="146"/>
      <c r="Z84" s="156"/>
      <c r="AA84" s="157"/>
      <c r="AB84" s="157"/>
      <c r="AC84" s="158"/>
      <c r="AD84" s="159"/>
      <c r="AE84" s="117"/>
      <c r="AF84" s="117"/>
      <c r="AG84" s="117"/>
      <c r="AH84" s="117"/>
      <c r="AI84" s="117"/>
      <c r="AJ84" s="117"/>
      <c r="AK84" s="117"/>
      <c r="AL84" s="117"/>
      <c r="AM84" s="117"/>
      <c r="AN84" s="117"/>
      <c r="AO84" s="117"/>
      <c r="AP84" s="117"/>
      <c r="AQ84" s="117"/>
      <c r="AR84" s="117"/>
      <c r="AS84" s="117"/>
      <c r="AT84" s="117"/>
      <c r="AU84" s="117"/>
      <c r="AV84" s="117"/>
      <c r="AW84" s="117"/>
      <c r="AX84" s="117"/>
      <c r="AY84" s="117"/>
      <c r="AZ84" s="117"/>
      <c r="BA84" s="117"/>
      <c r="BB84" s="117"/>
      <c r="BC84" s="117"/>
      <c r="BD84" s="117"/>
      <c r="BE84" s="216">
        <v>1</v>
      </c>
      <c r="BF84" s="216">
        <v>1</v>
      </c>
      <c r="BG84" s="216"/>
      <c r="BH84" s="217"/>
      <c r="BI84" s="150"/>
      <c r="BJ84" s="121"/>
      <c r="BK84" s="121"/>
      <c r="BL84" s="121"/>
      <c r="BM84" s="121"/>
      <c r="BN84" s="121"/>
      <c r="BO84" s="121"/>
      <c r="BP84" s="121"/>
      <c r="BQ84" s="121"/>
      <c r="BR84" s="121"/>
      <c r="BS84" s="121"/>
      <c r="BT84" s="121"/>
      <c r="BU84" s="121"/>
      <c r="BV84" s="199"/>
      <c r="BW84" s="199"/>
      <c r="BX84" s="199"/>
      <c r="BY84" s="199"/>
      <c r="BZ84" s="199"/>
      <c r="CA84" s="199"/>
      <c r="CB84" s="199"/>
      <c r="CC84" s="199"/>
      <c r="CD84" s="199"/>
      <c r="CE84" s="199"/>
      <c r="CF84" s="199"/>
      <c r="CG84" s="199"/>
      <c r="CH84" s="199"/>
      <c r="CI84" s="121"/>
      <c r="CJ84" s="121"/>
      <c r="CK84" s="121"/>
      <c r="CL84" s="121"/>
      <c r="CM84" s="121"/>
      <c r="CN84" s="200"/>
      <c r="CO84" s="201"/>
      <c r="CP84" s="202"/>
      <c r="CQ84" s="202"/>
      <c r="CR84" s="202"/>
      <c r="CS84" s="202"/>
      <c r="CT84" s="203"/>
      <c r="CU84" s="204"/>
      <c r="CV84" s="199"/>
      <c r="CW84" s="205">
        <v>1</v>
      </c>
      <c r="CX84" s="132"/>
      <c r="CY84" s="132"/>
      <c r="CZ84" s="132"/>
      <c r="DA84" s="132"/>
      <c r="DB84" s="132"/>
      <c r="DC84" s="132"/>
      <c r="DD84" s="132"/>
      <c r="DE84" s="103"/>
      <c r="DF84" s="103"/>
      <c r="DG84" s="103"/>
      <c r="DH84" s="103"/>
      <c r="DI84" s="103"/>
      <c r="DJ84" s="103"/>
      <c r="DK84" s="130"/>
      <c r="DL84" s="130"/>
      <c r="DM84" s="130"/>
      <c r="DN84" s="132"/>
      <c r="DO84" s="132"/>
    </row>
    <row r="85" ht="41.1" customHeight="1" spans="1:119">
      <c r="A85" s="131">
        <v>43678</v>
      </c>
      <c r="B85" s="132" t="s">
        <v>13313</v>
      </c>
      <c r="C85" s="160">
        <v>4500020704</v>
      </c>
      <c r="D85" s="215" t="s">
        <v>13215</v>
      </c>
      <c r="E85" s="206" t="s">
        <v>13314</v>
      </c>
      <c r="F85" s="206" t="s">
        <v>13297</v>
      </c>
      <c r="G85" s="206" t="s">
        <v>13298</v>
      </c>
      <c r="H85" s="138">
        <v>9</v>
      </c>
      <c r="I85" s="132"/>
      <c r="J85" s="132"/>
      <c r="K85" s="132"/>
      <c r="L85" s="139"/>
      <c r="M85" s="140"/>
      <c r="N85" s="208"/>
      <c r="O85" s="208"/>
      <c r="P85" s="209"/>
      <c r="Q85" s="208"/>
      <c r="R85" s="208"/>
      <c r="S85" s="210"/>
      <c r="T85" s="208"/>
      <c r="U85" s="211"/>
      <c r="V85" s="153"/>
      <c r="W85" s="154"/>
      <c r="X85" s="155"/>
      <c r="Y85" s="146"/>
      <c r="Z85" s="156"/>
      <c r="AA85" s="157"/>
      <c r="AB85" s="157"/>
      <c r="AC85" s="158"/>
      <c r="AD85" s="159"/>
      <c r="AE85" s="117"/>
      <c r="AF85" s="117"/>
      <c r="AG85" s="117"/>
      <c r="AH85" s="117"/>
      <c r="AI85" s="117"/>
      <c r="AJ85" s="117"/>
      <c r="AK85" s="117"/>
      <c r="AL85" s="117"/>
      <c r="AM85" s="117"/>
      <c r="AN85" s="117"/>
      <c r="AO85" s="117"/>
      <c r="AP85" s="117"/>
      <c r="AQ85" s="117"/>
      <c r="AR85" s="117"/>
      <c r="AS85" s="117"/>
      <c r="AT85" s="117"/>
      <c r="AU85" s="117"/>
      <c r="AV85" s="117"/>
      <c r="AW85" s="117"/>
      <c r="AX85" s="117"/>
      <c r="AY85" s="117"/>
      <c r="AZ85" s="117"/>
      <c r="BA85" s="117"/>
      <c r="BB85" s="117"/>
      <c r="BC85" s="117"/>
      <c r="BD85" s="117"/>
      <c r="BE85" s="216">
        <v>9</v>
      </c>
      <c r="BF85" s="216">
        <v>9</v>
      </c>
      <c r="BG85" s="216"/>
      <c r="BH85" s="217"/>
      <c r="BI85" s="150"/>
      <c r="BJ85" s="121"/>
      <c r="BK85" s="121"/>
      <c r="BL85" s="121"/>
      <c r="BM85" s="121"/>
      <c r="BN85" s="121"/>
      <c r="BO85" s="121"/>
      <c r="BP85" s="121"/>
      <c r="BQ85" s="121"/>
      <c r="BR85" s="121"/>
      <c r="BS85" s="121"/>
      <c r="BT85" s="121"/>
      <c r="BU85" s="121"/>
      <c r="BV85" s="199"/>
      <c r="BW85" s="199"/>
      <c r="BX85" s="199"/>
      <c r="BY85" s="199"/>
      <c r="BZ85" s="199"/>
      <c r="CA85" s="199"/>
      <c r="CB85" s="199"/>
      <c r="CC85" s="199"/>
      <c r="CD85" s="199"/>
      <c r="CE85" s="199"/>
      <c r="CF85" s="199"/>
      <c r="CG85" s="199"/>
      <c r="CH85" s="199"/>
      <c r="CI85" s="121"/>
      <c r="CJ85" s="121"/>
      <c r="CK85" s="121"/>
      <c r="CL85" s="121"/>
      <c r="CM85" s="121"/>
      <c r="CN85" s="200"/>
      <c r="CO85" s="201"/>
      <c r="CP85" s="202"/>
      <c r="CQ85" s="202"/>
      <c r="CR85" s="202"/>
      <c r="CS85" s="202"/>
      <c r="CT85" s="203"/>
      <c r="CU85" s="204">
        <v>3</v>
      </c>
      <c r="CV85" s="199">
        <v>3</v>
      </c>
      <c r="CW85" s="205">
        <v>3</v>
      </c>
      <c r="CX85" s="132"/>
      <c r="CY85" s="132"/>
      <c r="CZ85" s="132"/>
      <c r="DA85" s="132"/>
      <c r="DB85" s="132"/>
      <c r="DC85" s="132"/>
      <c r="DD85" s="132"/>
      <c r="DE85" s="103"/>
      <c r="DF85" s="103"/>
      <c r="DG85" s="103"/>
      <c r="DH85" s="103"/>
      <c r="DI85" s="103"/>
      <c r="DJ85" s="103"/>
      <c r="DK85" s="130"/>
      <c r="DL85" s="130"/>
      <c r="DM85" s="130"/>
      <c r="DN85" s="132"/>
      <c r="DO85" s="132"/>
    </row>
    <row r="86" ht="41.1" customHeight="1" spans="1:119">
      <c r="A86" s="131">
        <v>43679</v>
      </c>
      <c r="B86" s="132" t="s">
        <v>13253</v>
      </c>
      <c r="C86" s="160">
        <v>4500022498</v>
      </c>
      <c r="D86" s="215" t="s">
        <v>13255</v>
      </c>
      <c r="E86" s="206" t="s">
        <v>13315</v>
      </c>
      <c r="F86" s="100" t="s">
        <v>13297</v>
      </c>
      <c r="G86" s="206" t="s">
        <v>13298</v>
      </c>
      <c r="H86" s="138">
        <v>9</v>
      </c>
      <c r="I86" s="132"/>
      <c r="J86" s="132"/>
      <c r="K86" s="132"/>
      <c r="L86" s="139"/>
      <c r="M86" s="140"/>
      <c r="N86" s="208"/>
      <c r="O86" s="208"/>
      <c r="P86" s="209"/>
      <c r="Q86" s="208"/>
      <c r="R86" s="208"/>
      <c r="S86" s="210"/>
      <c r="T86" s="208"/>
      <c r="U86" s="211"/>
      <c r="V86" s="153"/>
      <c r="W86" s="154"/>
      <c r="X86" s="155"/>
      <c r="Y86" s="146"/>
      <c r="Z86" s="156"/>
      <c r="AA86" s="157"/>
      <c r="AB86" s="157"/>
      <c r="AC86" s="158"/>
      <c r="AD86" s="159"/>
      <c r="AE86" s="117"/>
      <c r="AF86" s="117"/>
      <c r="AG86" s="117"/>
      <c r="AH86" s="117"/>
      <c r="AI86" s="117"/>
      <c r="AJ86" s="117"/>
      <c r="AK86" s="117"/>
      <c r="AL86" s="117"/>
      <c r="AM86" s="117"/>
      <c r="AN86" s="117"/>
      <c r="AO86" s="117"/>
      <c r="AP86" s="117"/>
      <c r="AQ86" s="117"/>
      <c r="AR86" s="117"/>
      <c r="AS86" s="117"/>
      <c r="AT86" s="117"/>
      <c r="AU86" s="117"/>
      <c r="AV86" s="117"/>
      <c r="AW86" s="117"/>
      <c r="AX86" s="117"/>
      <c r="AY86" s="117"/>
      <c r="AZ86" s="117"/>
      <c r="BA86" s="117"/>
      <c r="BB86" s="117"/>
      <c r="BC86" s="117"/>
      <c r="BD86" s="117"/>
      <c r="BE86" s="216">
        <v>9</v>
      </c>
      <c r="BF86" s="216">
        <v>9</v>
      </c>
      <c r="BG86" s="216"/>
      <c r="BH86" s="217"/>
      <c r="BI86" s="150"/>
      <c r="BJ86" s="121"/>
      <c r="BK86" s="121"/>
      <c r="BL86" s="121"/>
      <c r="BM86" s="121"/>
      <c r="BN86" s="121"/>
      <c r="BO86" s="121"/>
      <c r="BP86" s="121"/>
      <c r="BQ86" s="121"/>
      <c r="BR86" s="121"/>
      <c r="BS86" s="121"/>
      <c r="BT86" s="121"/>
      <c r="BU86" s="121"/>
      <c r="BV86" s="199"/>
      <c r="BW86" s="199"/>
      <c r="BX86" s="199"/>
      <c r="BY86" s="199"/>
      <c r="BZ86" s="199"/>
      <c r="CA86" s="199"/>
      <c r="CB86" s="199"/>
      <c r="CC86" s="199"/>
      <c r="CD86" s="199"/>
      <c r="CE86" s="199"/>
      <c r="CF86" s="199"/>
      <c r="CG86" s="199"/>
      <c r="CH86" s="199"/>
      <c r="CI86" s="121"/>
      <c r="CJ86" s="121"/>
      <c r="CK86" s="121"/>
      <c r="CL86" s="121"/>
      <c r="CM86" s="121"/>
      <c r="CN86" s="200"/>
      <c r="CO86" s="201"/>
      <c r="CP86" s="202"/>
      <c r="CQ86" s="202"/>
      <c r="CR86" s="202"/>
      <c r="CS86" s="202"/>
      <c r="CT86" s="203"/>
      <c r="CU86" s="204">
        <v>3</v>
      </c>
      <c r="CV86" s="199">
        <v>3</v>
      </c>
      <c r="CW86" s="205">
        <v>3</v>
      </c>
      <c r="CX86" s="132"/>
      <c r="CY86" s="132"/>
      <c r="CZ86" s="132"/>
      <c r="DA86" s="132"/>
      <c r="DB86" s="132"/>
      <c r="DC86" s="132"/>
      <c r="DD86" s="132"/>
      <c r="DE86" s="103"/>
      <c r="DF86" s="103"/>
      <c r="DG86" s="103"/>
      <c r="DH86" s="103"/>
      <c r="DI86" s="103"/>
      <c r="DJ86" s="103"/>
      <c r="DK86" s="130"/>
      <c r="DL86" s="130"/>
      <c r="DM86" s="130"/>
      <c r="DN86" s="132"/>
      <c r="DO86" s="132"/>
    </row>
    <row r="87" ht="41.1" customHeight="1" spans="1:119">
      <c r="A87" s="131">
        <v>43680</v>
      </c>
      <c r="B87" s="132" t="s">
        <v>13190</v>
      </c>
      <c r="C87" s="160" t="s">
        <v>11744</v>
      </c>
      <c r="D87" s="215" t="s">
        <v>13316</v>
      </c>
      <c r="E87" s="206" t="s">
        <v>13317</v>
      </c>
      <c r="F87" s="100" t="s">
        <v>13290</v>
      </c>
      <c r="G87" s="206" t="s">
        <v>13318</v>
      </c>
      <c r="H87" s="138">
        <v>12</v>
      </c>
      <c r="I87" s="132"/>
      <c r="J87" s="132"/>
      <c r="K87" s="132"/>
      <c r="L87" s="139"/>
      <c r="M87" s="140"/>
      <c r="N87" s="208"/>
      <c r="O87" s="208"/>
      <c r="P87" s="209"/>
      <c r="Q87" s="208"/>
      <c r="R87" s="208"/>
      <c r="S87" s="210"/>
      <c r="T87" s="208"/>
      <c r="U87" s="211"/>
      <c r="V87" s="153"/>
      <c r="W87" s="154"/>
      <c r="X87" s="155"/>
      <c r="Y87" s="146"/>
      <c r="Z87" s="156"/>
      <c r="AA87" s="157"/>
      <c r="AB87" s="157"/>
      <c r="AC87" s="158"/>
      <c r="AD87" s="159"/>
      <c r="AE87" s="117"/>
      <c r="AF87" s="117"/>
      <c r="AG87" s="117"/>
      <c r="AH87" s="117"/>
      <c r="AI87" s="117"/>
      <c r="AJ87" s="117"/>
      <c r="AK87" s="117"/>
      <c r="AL87" s="117"/>
      <c r="AM87" s="117"/>
      <c r="AN87" s="117"/>
      <c r="AO87" s="117"/>
      <c r="AP87" s="117">
        <v>12</v>
      </c>
      <c r="AQ87" s="117">
        <v>12</v>
      </c>
      <c r="AR87" s="117"/>
      <c r="AS87" s="117"/>
      <c r="AT87" s="117"/>
      <c r="AU87" s="117"/>
      <c r="AV87" s="117"/>
      <c r="AW87" s="117"/>
      <c r="AX87" s="117"/>
      <c r="AY87" s="117"/>
      <c r="AZ87" s="117"/>
      <c r="BA87" s="117"/>
      <c r="BB87" s="117"/>
      <c r="BC87" s="117"/>
      <c r="BD87" s="117"/>
      <c r="BE87" s="216"/>
      <c r="BF87" s="216"/>
      <c r="BG87" s="216"/>
      <c r="BH87" s="217"/>
      <c r="BI87" s="150"/>
      <c r="BJ87" s="121"/>
      <c r="BK87" s="121"/>
      <c r="BL87" s="121"/>
      <c r="BM87" s="121"/>
      <c r="BN87" s="121"/>
      <c r="BO87" s="121"/>
      <c r="BP87" s="121"/>
      <c r="BQ87" s="121"/>
      <c r="BR87" s="121"/>
      <c r="BS87" s="121"/>
      <c r="BT87" s="121"/>
      <c r="BU87" s="121"/>
      <c r="BV87" s="199"/>
      <c r="BW87" s="199"/>
      <c r="BX87" s="199"/>
      <c r="BY87" s="199"/>
      <c r="BZ87" s="199"/>
      <c r="CA87" s="199"/>
      <c r="CB87" s="199"/>
      <c r="CC87" s="199"/>
      <c r="CD87" s="199"/>
      <c r="CE87" s="199"/>
      <c r="CF87" s="199"/>
      <c r="CG87" s="199"/>
      <c r="CH87" s="199"/>
      <c r="CI87" s="121">
        <v>2</v>
      </c>
      <c r="CJ87" s="121">
        <v>2</v>
      </c>
      <c r="CK87" s="121">
        <v>2</v>
      </c>
      <c r="CL87" s="121">
        <v>2</v>
      </c>
      <c r="CM87" s="121">
        <v>2</v>
      </c>
      <c r="CN87" s="200">
        <v>2</v>
      </c>
      <c r="CO87" s="201"/>
      <c r="CP87" s="202"/>
      <c r="CQ87" s="202"/>
      <c r="CR87" s="202"/>
      <c r="CS87" s="202"/>
      <c r="CT87" s="203"/>
      <c r="CU87" s="204"/>
      <c r="CV87" s="199"/>
      <c r="CW87" s="205"/>
      <c r="CX87" s="132"/>
      <c r="CY87" s="132"/>
      <c r="CZ87" s="132"/>
      <c r="DA87" s="132"/>
      <c r="DB87" s="132"/>
      <c r="DC87" s="132"/>
      <c r="DD87" s="132"/>
      <c r="DE87" s="103"/>
      <c r="DF87" s="103"/>
      <c r="DG87" s="103"/>
      <c r="DH87" s="103"/>
      <c r="DI87" s="103"/>
      <c r="DJ87" s="103"/>
      <c r="DK87" s="130"/>
      <c r="DL87" s="130"/>
      <c r="DM87" s="130"/>
      <c r="DN87" s="132"/>
      <c r="DO87" s="132"/>
    </row>
    <row r="88" ht="41.1" customHeight="1" spans="1:119">
      <c r="A88" s="131">
        <v>43682</v>
      </c>
      <c r="B88" s="132" t="s">
        <v>13295</v>
      </c>
      <c r="C88" s="160">
        <v>4500020707</v>
      </c>
      <c r="D88" s="215" t="s">
        <v>13215</v>
      </c>
      <c r="E88" s="206" t="s">
        <v>13319</v>
      </c>
      <c r="F88" s="206" t="s">
        <v>13297</v>
      </c>
      <c r="G88" s="206" t="s">
        <v>13298</v>
      </c>
      <c r="H88" s="138">
        <v>12</v>
      </c>
      <c r="I88" s="132"/>
      <c r="J88" s="132"/>
      <c r="K88" s="132"/>
      <c r="L88" s="139"/>
      <c r="M88" s="140"/>
      <c r="N88" s="208"/>
      <c r="O88" s="208"/>
      <c r="P88" s="209"/>
      <c r="Q88" s="208"/>
      <c r="R88" s="208"/>
      <c r="S88" s="210"/>
      <c r="T88" s="208"/>
      <c r="U88" s="211"/>
      <c r="V88" s="153"/>
      <c r="W88" s="154"/>
      <c r="X88" s="155"/>
      <c r="Y88" s="146"/>
      <c r="Z88" s="156"/>
      <c r="AA88" s="157"/>
      <c r="AB88" s="157"/>
      <c r="AC88" s="158"/>
      <c r="AD88" s="159"/>
      <c r="AE88" s="117"/>
      <c r="AF88" s="117"/>
      <c r="AG88" s="117"/>
      <c r="AH88" s="117"/>
      <c r="AI88" s="117"/>
      <c r="AJ88" s="117"/>
      <c r="AK88" s="117"/>
      <c r="AL88" s="117"/>
      <c r="AM88" s="117"/>
      <c r="AN88" s="117"/>
      <c r="AO88" s="117"/>
      <c r="AP88" s="117"/>
      <c r="AQ88" s="117"/>
      <c r="AR88" s="117"/>
      <c r="AS88" s="117"/>
      <c r="AT88" s="117"/>
      <c r="AU88" s="117"/>
      <c r="AV88" s="117"/>
      <c r="AW88" s="117"/>
      <c r="AX88" s="117"/>
      <c r="AY88" s="117"/>
      <c r="AZ88" s="117"/>
      <c r="BA88" s="117"/>
      <c r="BB88" s="117"/>
      <c r="BC88" s="117"/>
      <c r="BD88" s="117"/>
      <c r="BE88" s="216">
        <v>12</v>
      </c>
      <c r="BF88" s="216">
        <v>12</v>
      </c>
      <c r="BG88" s="216"/>
      <c r="BH88" s="217"/>
      <c r="BI88" s="150"/>
      <c r="BJ88" s="121"/>
      <c r="BK88" s="121"/>
      <c r="BL88" s="121"/>
      <c r="BM88" s="121"/>
      <c r="BN88" s="121"/>
      <c r="BO88" s="121"/>
      <c r="BP88" s="121"/>
      <c r="BQ88" s="121"/>
      <c r="BR88" s="121"/>
      <c r="BS88" s="121"/>
      <c r="BT88" s="121"/>
      <c r="BU88" s="121"/>
      <c r="BV88" s="199"/>
      <c r="BW88" s="199"/>
      <c r="BX88" s="199"/>
      <c r="BY88" s="199"/>
      <c r="BZ88" s="199"/>
      <c r="CA88" s="199"/>
      <c r="CB88" s="199"/>
      <c r="CC88" s="199"/>
      <c r="CD88" s="199"/>
      <c r="CE88" s="199"/>
      <c r="CF88" s="199"/>
      <c r="CG88" s="199"/>
      <c r="CH88" s="199"/>
      <c r="CI88" s="121"/>
      <c r="CJ88" s="121"/>
      <c r="CK88" s="121"/>
      <c r="CL88" s="121"/>
      <c r="CM88" s="121"/>
      <c r="CN88" s="200"/>
      <c r="CO88" s="201"/>
      <c r="CP88" s="202"/>
      <c r="CQ88" s="202"/>
      <c r="CR88" s="202"/>
      <c r="CS88" s="202"/>
      <c r="CT88" s="203"/>
      <c r="CU88" s="204">
        <v>4</v>
      </c>
      <c r="CV88" s="199">
        <v>4</v>
      </c>
      <c r="CW88" s="205">
        <v>4</v>
      </c>
      <c r="CX88" s="132"/>
      <c r="CY88" s="132"/>
      <c r="CZ88" s="132"/>
      <c r="DA88" s="132"/>
      <c r="DB88" s="132"/>
      <c r="DC88" s="132"/>
      <c r="DD88" s="132"/>
      <c r="DE88" s="103"/>
      <c r="DF88" s="103"/>
      <c r="DG88" s="103"/>
      <c r="DH88" s="103"/>
      <c r="DI88" s="103"/>
      <c r="DJ88" s="103"/>
      <c r="DK88" s="130"/>
      <c r="DL88" s="130"/>
      <c r="DM88" s="130"/>
      <c r="DN88" s="132"/>
      <c r="DO88" s="132"/>
    </row>
    <row r="89" ht="41.1" customHeight="1" spans="1:119">
      <c r="A89" s="131">
        <v>43683</v>
      </c>
      <c r="B89" s="132" t="s">
        <v>13313</v>
      </c>
      <c r="C89" s="160">
        <v>4500021874</v>
      </c>
      <c r="D89" s="215" t="s">
        <v>13215</v>
      </c>
      <c r="E89" s="206" t="s">
        <v>13320</v>
      </c>
      <c r="F89" s="206" t="s">
        <v>13269</v>
      </c>
      <c r="G89" s="206" t="s">
        <v>13268</v>
      </c>
      <c r="H89" s="138">
        <v>22</v>
      </c>
      <c r="I89" s="132"/>
      <c r="J89" s="132"/>
      <c r="K89" s="132"/>
      <c r="L89" s="139"/>
      <c r="M89" s="140"/>
      <c r="N89" s="208"/>
      <c r="O89" s="208"/>
      <c r="P89" s="209"/>
      <c r="Q89" s="208"/>
      <c r="R89" s="208"/>
      <c r="S89" s="210"/>
      <c r="T89" s="208"/>
      <c r="U89" s="211"/>
      <c r="V89" s="153"/>
      <c r="W89" s="154"/>
      <c r="X89" s="155"/>
      <c r="Y89" s="146"/>
      <c r="Z89" s="156"/>
      <c r="AA89" s="157"/>
      <c r="AB89" s="157"/>
      <c r="AC89" s="158"/>
      <c r="AD89" s="159"/>
      <c r="AE89" s="117">
        <v>22</v>
      </c>
      <c r="AF89" s="117"/>
      <c r="AG89" s="117"/>
      <c r="AH89" s="117">
        <v>22</v>
      </c>
      <c r="AI89" s="117"/>
      <c r="AJ89" s="117"/>
      <c r="AK89" s="117"/>
      <c r="AL89" s="117"/>
      <c r="AM89" s="117"/>
      <c r="AN89" s="117"/>
      <c r="AO89" s="117"/>
      <c r="AP89" s="117"/>
      <c r="AQ89" s="117"/>
      <c r="AR89" s="117"/>
      <c r="AS89" s="117"/>
      <c r="AT89" s="117"/>
      <c r="AU89" s="117"/>
      <c r="AV89" s="117"/>
      <c r="AW89" s="117"/>
      <c r="AX89" s="117"/>
      <c r="AY89" s="117"/>
      <c r="AZ89" s="117"/>
      <c r="BA89" s="117"/>
      <c r="BB89" s="117"/>
      <c r="BC89" s="117"/>
      <c r="BD89" s="117"/>
      <c r="BE89" s="216"/>
      <c r="BF89" s="216"/>
      <c r="BG89" s="216"/>
      <c r="BH89" s="217"/>
      <c r="BI89" s="150"/>
      <c r="BJ89" s="121"/>
      <c r="BK89" s="121"/>
      <c r="BL89" s="121"/>
      <c r="BM89" s="121"/>
      <c r="BN89" s="121"/>
      <c r="BO89" s="121"/>
      <c r="BP89" s="121"/>
      <c r="BQ89" s="121"/>
      <c r="BR89" s="121"/>
      <c r="BS89" s="121"/>
      <c r="BT89" s="121"/>
      <c r="BU89" s="121"/>
      <c r="BV89" s="199">
        <v>2</v>
      </c>
      <c r="BW89" s="199">
        <v>2</v>
      </c>
      <c r="BX89" s="199">
        <v>2</v>
      </c>
      <c r="BY89" s="199">
        <v>2</v>
      </c>
      <c r="BZ89" s="199">
        <v>2</v>
      </c>
      <c r="CA89" s="199">
        <v>2</v>
      </c>
      <c r="CB89" s="199">
        <v>2</v>
      </c>
      <c r="CC89" s="199"/>
      <c r="CD89" s="199"/>
      <c r="CE89" s="199">
        <v>2</v>
      </c>
      <c r="CF89" s="199">
        <v>2</v>
      </c>
      <c r="CG89" s="199">
        <v>2</v>
      </c>
      <c r="CH89" s="199">
        <v>2</v>
      </c>
      <c r="CI89" s="121"/>
      <c r="CJ89" s="121"/>
      <c r="CK89" s="121"/>
      <c r="CL89" s="121"/>
      <c r="CM89" s="121"/>
      <c r="CN89" s="200"/>
      <c r="CO89" s="201"/>
      <c r="CP89" s="202"/>
      <c r="CQ89" s="202"/>
      <c r="CR89" s="202"/>
      <c r="CS89" s="202"/>
      <c r="CT89" s="203"/>
      <c r="CU89" s="204"/>
      <c r="CV89" s="199"/>
      <c r="CW89" s="205"/>
      <c r="CX89" s="132"/>
      <c r="CY89" s="132"/>
      <c r="CZ89" s="132"/>
      <c r="DA89" s="132"/>
      <c r="DB89" s="132"/>
      <c r="DC89" s="132"/>
      <c r="DD89" s="132"/>
      <c r="DE89" s="103"/>
      <c r="DF89" s="103"/>
      <c r="DG89" s="103"/>
      <c r="DH89" s="103"/>
      <c r="DI89" s="103"/>
      <c r="DJ89" s="103"/>
      <c r="DK89" s="130"/>
      <c r="DL89" s="130"/>
      <c r="DM89" s="130"/>
      <c r="DN89" s="132"/>
      <c r="DO89" s="132"/>
    </row>
    <row r="90" ht="41.1" customHeight="1" spans="1:119">
      <c r="A90" s="131">
        <v>43683</v>
      </c>
      <c r="B90" s="132" t="s">
        <v>13321</v>
      </c>
      <c r="C90" s="160">
        <v>4500021576</v>
      </c>
      <c r="D90" s="215" t="s">
        <v>6498</v>
      </c>
      <c r="E90" s="206" t="s">
        <v>13322</v>
      </c>
      <c r="F90" s="206" t="s">
        <v>13323</v>
      </c>
      <c r="G90" s="206" t="s">
        <v>13268</v>
      </c>
      <c r="H90" s="138">
        <v>13</v>
      </c>
      <c r="I90" s="132"/>
      <c r="J90" s="132"/>
      <c r="K90" s="132"/>
      <c r="L90" s="139"/>
      <c r="M90" s="140"/>
      <c r="N90" s="208"/>
      <c r="O90" s="208"/>
      <c r="P90" s="209"/>
      <c r="Q90" s="208"/>
      <c r="R90" s="208"/>
      <c r="S90" s="210"/>
      <c r="T90" s="208"/>
      <c r="U90" s="211"/>
      <c r="V90" s="153"/>
      <c r="W90" s="154"/>
      <c r="X90" s="155"/>
      <c r="Y90" s="146"/>
      <c r="Z90" s="156"/>
      <c r="AA90" s="157"/>
      <c r="AB90" s="157"/>
      <c r="AC90" s="158"/>
      <c r="AD90" s="159"/>
      <c r="AE90" s="117"/>
      <c r="AF90" s="117"/>
      <c r="AG90" s="117"/>
      <c r="AH90" s="117"/>
      <c r="AI90" s="117"/>
      <c r="AJ90" s="117"/>
      <c r="AK90" s="117"/>
      <c r="AL90" s="117"/>
      <c r="AM90" s="117"/>
      <c r="AN90" s="117"/>
      <c r="AO90" s="117"/>
      <c r="AP90" s="117"/>
      <c r="AQ90" s="117"/>
      <c r="AR90" s="117"/>
      <c r="AS90" s="117"/>
      <c r="AT90" s="117"/>
      <c r="AU90" s="117"/>
      <c r="AV90" s="117"/>
      <c r="AW90" s="117"/>
      <c r="AX90" s="117"/>
      <c r="AY90" s="117"/>
      <c r="AZ90" s="117"/>
      <c r="BA90" s="117"/>
      <c r="BB90" s="117"/>
      <c r="BC90" s="117"/>
      <c r="BD90" s="117"/>
      <c r="BE90" s="216"/>
      <c r="BF90" s="216"/>
      <c r="BG90" s="216"/>
      <c r="BH90" s="217"/>
      <c r="BI90" s="150"/>
      <c r="BJ90" s="121"/>
      <c r="BK90" s="121"/>
      <c r="BL90" s="121"/>
      <c r="BM90" s="121"/>
      <c r="BN90" s="121"/>
      <c r="BO90" s="121"/>
      <c r="BP90" s="121"/>
      <c r="BQ90" s="121"/>
      <c r="BR90" s="121"/>
      <c r="BS90" s="121"/>
      <c r="BT90" s="121"/>
      <c r="BU90" s="121"/>
      <c r="BV90" s="199">
        <v>1</v>
      </c>
      <c r="BW90" s="199">
        <v>1</v>
      </c>
      <c r="BX90" s="199">
        <v>1</v>
      </c>
      <c r="BY90" s="199">
        <v>1</v>
      </c>
      <c r="BZ90" s="199">
        <v>1</v>
      </c>
      <c r="CA90" s="199">
        <v>1</v>
      </c>
      <c r="CB90" s="199">
        <v>1</v>
      </c>
      <c r="CC90" s="199">
        <v>1</v>
      </c>
      <c r="CD90" s="199">
        <v>1</v>
      </c>
      <c r="CE90" s="199">
        <v>1</v>
      </c>
      <c r="CF90" s="199">
        <v>1</v>
      </c>
      <c r="CG90" s="199">
        <v>1</v>
      </c>
      <c r="CH90" s="199">
        <v>1</v>
      </c>
      <c r="CI90" s="121"/>
      <c r="CJ90" s="121"/>
      <c r="CK90" s="121"/>
      <c r="CL90" s="121"/>
      <c r="CM90" s="121"/>
      <c r="CN90" s="200"/>
      <c r="CO90" s="201"/>
      <c r="CP90" s="202"/>
      <c r="CQ90" s="202"/>
      <c r="CR90" s="202"/>
      <c r="CS90" s="202"/>
      <c r="CT90" s="203"/>
      <c r="CU90" s="204"/>
      <c r="CV90" s="199"/>
      <c r="CW90" s="205"/>
      <c r="CX90" s="132"/>
      <c r="CY90" s="132"/>
      <c r="CZ90" s="132"/>
      <c r="DA90" s="132"/>
      <c r="DB90" s="132"/>
      <c r="DC90" s="132"/>
      <c r="DD90" s="132"/>
      <c r="DE90" s="103"/>
      <c r="DF90" s="103"/>
      <c r="DG90" s="103"/>
      <c r="DH90" s="103"/>
      <c r="DI90" s="103"/>
      <c r="DJ90" s="103"/>
      <c r="DK90" s="130"/>
      <c r="DL90" s="130"/>
      <c r="DM90" s="130"/>
      <c r="DN90" s="132"/>
      <c r="DO90" s="132"/>
    </row>
    <row r="91" ht="41.1" customHeight="1" spans="1:119">
      <c r="A91" s="131">
        <v>43686</v>
      </c>
      <c r="B91" s="99" t="s">
        <v>13324</v>
      </c>
      <c r="C91" s="160">
        <v>4500022135</v>
      </c>
      <c r="D91" s="215" t="s">
        <v>13325</v>
      </c>
      <c r="E91" s="206" t="s">
        <v>13322</v>
      </c>
      <c r="F91" s="136" t="s">
        <v>13297</v>
      </c>
      <c r="G91" s="206" t="s">
        <v>13298</v>
      </c>
      <c r="H91" s="138">
        <v>3</v>
      </c>
      <c r="I91" s="132"/>
      <c r="J91" s="132"/>
      <c r="K91" s="132"/>
      <c r="L91" s="139"/>
      <c r="M91" s="140"/>
      <c r="N91" s="208"/>
      <c r="O91" s="208"/>
      <c r="P91" s="209"/>
      <c r="Q91" s="208"/>
      <c r="R91" s="208"/>
      <c r="S91" s="210"/>
      <c r="T91" s="208"/>
      <c r="U91" s="211"/>
      <c r="V91" s="153"/>
      <c r="W91" s="154"/>
      <c r="X91" s="155"/>
      <c r="Y91" s="146"/>
      <c r="Z91" s="156"/>
      <c r="AA91" s="157"/>
      <c r="AB91" s="157"/>
      <c r="AC91" s="158"/>
      <c r="AD91" s="159"/>
      <c r="AE91" s="117"/>
      <c r="AF91" s="117"/>
      <c r="AG91" s="117"/>
      <c r="AH91" s="117"/>
      <c r="AI91" s="117"/>
      <c r="AJ91" s="117"/>
      <c r="AK91" s="117"/>
      <c r="AL91" s="117"/>
      <c r="AM91" s="117"/>
      <c r="AN91" s="117"/>
      <c r="AO91" s="117"/>
      <c r="AP91" s="117"/>
      <c r="AQ91" s="117"/>
      <c r="AR91" s="117"/>
      <c r="AS91" s="117"/>
      <c r="AT91" s="117"/>
      <c r="AU91" s="117"/>
      <c r="AV91" s="117"/>
      <c r="AW91" s="117"/>
      <c r="AX91" s="117"/>
      <c r="AY91" s="117"/>
      <c r="AZ91" s="117"/>
      <c r="BA91" s="117"/>
      <c r="BB91" s="117"/>
      <c r="BC91" s="117"/>
      <c r="BD91" s="117"/>
      <c r="BE91" s="216">
        <v>3</v>
      </c>
      <c r="BF91" s="216">
        <v>3</v>
      </c>
      <c r="BG91" s="216"/>
      <c r="BH91" s="217"/>
      <c r="BI91" s="150"/>
      <c r="BJ91" s="121"/>
      <c r="BK91" s="121"/>
      <c r="BL91" s="121"/>
      <c r="BM91" s="121"/>
      <c r="BN91" s="121"/>
      <c r="BO91" s="121"/>
      <c r="BP91" s="121"/>
      <c r="BQ91" s="121"/>
      <c r="BR91" s="121"/>
      <c r="BS91" s="121"/>
      <c r="BT91" s="121"/>
      <c r="BU91" s="121"/>
      <c r="BV91" s="199"/>
      <c r="BW91" s="199"/>
      <c r="BX91" s="199"/>
      <c r="BY91" s="199"/>
      <c r="BZ91" s="199"/>
      <c r="CA91" s="199"/>
      <c r="CB91" s="199"/>
      <c r="CC91" s="199"/>
      <c r="CD91" s="199"/>
      <c r="CE91" s="199"/>
      <c r="CF91" s="199"/>
      <c r="CG91" s="199"/>
      <c r="CH91" s="199"/>
      <c r="CI91" s="121"/>
      <c r="CJ91" s="121"/>
      <c r="CK91" s="121"/>
      <c r="CL91" s="121"/>
      <c r="CM91" s="121"/>
      <c r="CN91" s="200"/>
      <c r="CO91" s="201"/>
      <c r="CP91" s="202"/>
      <c r="CQ91" s="202"/>
      <c r="CR91" s="202"/>
      <c r="CS91" s="202"/>
      <c r="CT91" s="203"/>
      <c r="CU91" s="204">
        <v>1</v>
      </c>
      <c r="CV91" s="199">
        <v>1</v>
      </c>
      <c r="CW91" s="205">
        <v>1</v>
      </c>
      <c r="CX91" s="132"/>
      <c r="CY91" s="132"/>
      <c r="CZ91" s="132"/>
      <c r="DA91" s="132"/>
      <c r="DB91" s="132"/>
      <c r="DC91" s="132"/>
      <c r="DD91" s="132"/>
      <c r="DE91" s="103"/>
      <c r="DF91" s="103"/>
      <c r="DG91" s="103"/>
      <c r="DH91" s="103"/>
      <c r="DI91" s="103"/>
      <c r="DJ91" s="103"/>
      <c r="DK91" s="130"/>
      <c r="DL91" s="130"/>
      <c r="DM91" s="130"/>
      <c r="DN91" s="132"/>
      <c r="DO91" s="132"/>
    </row>
    <row r="92" ht="41.1" customHeight="1" spans="1:119">
      <c r="A92" s="131">
        <v>43686</v>
      </c>
      <c r="B92" s="132" t="s">
        <v>13326</v>
      </c>
      <c r="C92" s="160">
        <v>4500017857</v>
      </c>
      <c r="D92" s="218" t="s">
        <v>13327</v>
      </c>
      <c r="E92" s="206" t="s">
        <v>13320</v>
      </c>
      <c r="F92" s="136" t="s">
        <v>13290</v>
      </c>
      <c r="G92" s="137" t="s">
        <v>13283</v>
      </c>
      <c r="H92" s="138">
        <v>12</v>
      </c>
      <c r="I92" s="132"/>
      <c r="J92" s="132"/>
      <c r="K92" s="132"/>
      <c r="L92" s="139"/>
      <c r="M92" s="140"/>
      <c r="N92" s="208"/>
      <c r="O92" s="208"/>
      <c r="P92" s="209"/>
      <c r="Q92" s="208"/>
      <c r="R92" s="208"/>
      <c r="S92" s="210"/>
      <c r="T92" s="208"/>
      <c r="U92" s="211"/>
      <c r="V92" s="153"/>
      <c r="W92" s="154"/>
      <c r="X92" s="155"/>
      <c r="Y92" s="146"/>
      <c r="Z92" s="156"/>
      <c r="AA92" s="157"/>
      <c r="AB92" s="157"/>
      <c r="AC92" s="158"/>
      <c r="AD92" s="159"/>
      <c r="AE92" s="117"/>
      <c r="AF92" s="117"/>
      <c r="AG92" s="117"/>
      <c r="AH92" s="117"/>
      <c r="AI92" s="117"/>
      <c r="AJ92" s="117"/>
      <c r="AK92" s="117"/>
      <c r="AL92" s="117"/>
      <c r="AM92" s="117"/>
      <c r="AN92" s="117"/>
      <c r="AO92" s="117"/>
      <c r="AP92" s="117">
        <v>12</v>
      </c>
      <c r="AQ92" s="117"/>
      <c r="AR92" s="117"/>
      <c r="AS92" s="117"/>
      <c r="AT92" s="117"/>
      <c r="AU92" s="117"/>
      <c r="AV92" s="117"/>
      <c r="AW92" s="117"/>
      <c r="AX92" s="117"/>
      <c r="AY92" s="117"/>
      <c r="AZ92" s="117"/>
      <c r="BA92" s="117"/>
      <c r="BB92" s="117"/>
      <c r="BC92" s="117"/>
      <c r="BD92" s="117"/>
      <c r="BE92" s="216"/>
      <c r="BF92" s="216"/>
      <c r="BG92" s="216"/>
      <c r="BH92" s="217"/>
      <c r="BI92" s="150"/>
      <c r="BJ92" s="121"/>
      <c r="BK92" s="121"/>
      <c r="BL92" s="121"/>
      <c r="BM92" s="121"/>
      <c r="BN92" s="121"/>
      <c r="BO92" s="121"/>
      <c r="BP92" s="121"/>
      <c r="BQ92" s="121"/>
      <c r="BR92" s="121"/>
      <c r="BS92" s="121"/>
      <c r="BT92" s="121"/>
      <c r="BU92" s="121"/>
      <c r="BV92" s="199"/>
      <c r="BW92" s="199"/>
      <c r="BX92" s="199"/>
      <c r="BY92" s="199"/>
      <c r="BZ92" s="199"/>
      <c r="CA92" s="199"/>
      <c r="CB92" s="199"/>
      <c r="CC92" s="199"/>
      <c r="CD92" s="199"/>
      <c r="CE92" s="199"/>
      <c r="CF92" s="199"/>
      <c r="CG92" s="199"/>
      <c r="CH92" s="199"/>
      <c r="CI92" s="121">
        <v>2</v>
      </c>
      <c r="CJ92" s="121">
        <v>2</v>
      </c>
      <c r="CK92" s="121">
        <v>2</v>
      </c>
      <c r="CL92" s="121">
        <v>2</v>
      </c>
      <c r="CM92" s="121">
        <v>2</v>
      </c>
      <c r="CN92" s="200">
        <v>2</v>
      </c>
      <c r="CO92" s="201"/>
      <c r="CP92" s="202"/>
      <c r="CQ92" s="202"/>
      <c r="CR92" s="202"/>
      <c r="CS92" s="202"/>
      <c r="CT92" s="203"/>
      <c r="CU92" s="204"/>
      <c r="CV92" s="199"/>
      <c r="CW92" s="205"/>
      <c r="CX92" s="132"/>
      <c r="CY92" s="132"/>
      <c r="CZ92" s="132"/>
      <c r="DA92" s="132"/>
      <c r="DB92" s="132"/>
      <c r="DC92" s="132"/>
      <c r="DD92" s="132"/>
      <c r="DE92" s="103"/>
      <c r="DF92" s="103"/>
      <c r="DG92" s="103"/>
      <c r="DH92" s="103"/>
      <c r="DI92" s="103"/>
      <c r="DJ92" s="103"/>
      <c r="DK92" s="130"/>
      <c r="DL92" s="130"/>
      <c r="DM92" s="130"/>
      <c r="DN92" s="132"/>
      <c r="DO92" s="132"/>
    </row>
    <row r="93" ht="41.1" customHeight="1" spans="1:119">
      <c r="A93" s="131">
        <v>43687</v>
      </c>
      <c r="B93" s="132" t="s">
        <v>13328</v>
      </c>
      <c r="C93" s="160">
        <v>4500022562</v>
      </c>
      <c r="D93" s="215" t="s">
        <v>13217</v>
      </c>
      <c r="E93" s="206" t="s">
        <v>13322</v>
      </c>
      <c r="F93" s="136" t="s">
        <v>13181</v>
      </c>
      <c r="G93" s="137" t="s">
        <v>13182</v>
      </c>
      <c r="H93" s="138">
        <v>12</v>
      </c>
      <c r="I93" s="132"/>
      <c r="J93" s="132"/>
      <c r="K93" s="132"/>
      <c r="L93" s="139"/>
      <c r="M93" s="140"/>
      <c r="N93" s="208"/>
      <c r="O93" s="208"/>
      <c r="P93" s="209"/>
      <c r="Q93" s="208"/>
      <c r="R93" s="208"/>
      <c r="S93" s="210"/>
      <c r="T93" s="208"/>
      <c r="U93" s="211"/>
      <c r="V93" s="153"/>
      <c r="W93" s="154">
        <v>12</v>
      </c>
      <c r="X93" s="155"/>
      <c r="Y93" s="146"/>
      <c r="Z93" s="156"/>
      <c r="AA93" s="157"/>
      <c r="AB93" s="157">
        <v>12</v>
      </c>
      <c r="AC93" s="158"/>
      <c r="AD93" s="159"/>
      <c r="AE93" s="117"/>
      <c r="AF93" s="117"/>
      <c r="AG93" s="117"/>
      <c r="AH93" s="117"/>
      <c r="AI93" s="117"/>
      <c r="AJ93" s="117"/>
      <c r="AK93" s="117"/>
      <c r="AL93" s="117"/>
      <c r="AM93" s="117"/>
      <c r="AN93" s="117"/>
      <c r="AO93" s="117"/>
      <c r="AP93" s="117"/>
      <c r="AQ93" s="117"/>
      <c r="AR93" s="117"/>
      <c r="AS93" s="117"/>
      <c r="AT93" s="117"/>
      <c r="AU93" s="117"/>
      <c r="AV93" s="117"/>
      <c r="AW93" s="117"/>
      <c r="AX93" s="117"/>
      <c r="AY93" s="117"/>
      <c r="AZ93" s="117"/>
      <c r="BA93" s="117"/>
      <c r="BB93" s="117"/>
      <c r="BC93" s="117"/>
      <c r="BD93" s="117"/>
      <c r="BE93" s="216"/>
      <c r="BF93" s="216"/>
      <c r="BG93" s="216"/>
      <c r="BH93" s="217"/>
      <c r="BI93" s="150"/>
      <c r="BJ93" s="121">
        <v>1</v>
      </c>
      <c r="BK93" s="121">
        <v>1</v>
      </c>
      <c r="BL93" s="121">
        <v>1</v>
      </c>
      <c r="BM93" s="121">
        <v>1</v>
      </c>
      <c r="BN93" s="121">
        <v>1</v>
      </c>
      <c r="BO93" s="121">
        <v>1</v>
      </c>
      <c r="BP93" s="121">
        <v>1</v>
      </c>
      <c r="BQ93" s="121">
        <v>1</v>
      </c>
      <c r="BR93" s="121">
        <v>1</v>
      </c>
      <c r="BS93" s="121">
        <v>1</v>
      </c>
      <c r="BT93" s="121">
        <v>1</v>
      </c>
      <c r="BU93" s="121">
        <v>1</v>
      </c>
      <c r="BV93" s="199"/>
      <c r="BW93" s="199"/>
      <c r="BX93" s="199"/>
      <c r="BY93" s="199"/>
      <c r="BZ93" s="199"/>
      <c r="CA93" s="199"/>
      <c r="CB93" s="199"/>
      <c r="CC93" s="199"/>
      <c r="CD93" s="199"/>
      <c r="CE93" s="199"/>
      <c r="CF93" s="199"/>
      <c r="CG93" s="199"/>
      <c r="CH93" s="199"/>
      <c r="CI93" s="121"/>
      <c r="CJ93" s="121"/>
      <c r="CK93" s="121"/>
      <c r="CL93" s="121"/>
      <c r="CM93" s="121"/>
      <c r="CN93" s="200"/>
      <c r="CO93" s="201"/>
      <c r="CP93" s="202"/>
      <c r="CQ93" s="202"/>
      <c r="CR93" s="202"/>
      <c r="CS93" s="202"/>
      <c r="CT93" s="203"/>
      <c r="CU93" s="204"/>
      <c r="CV93" s="199"/>
      <c r="CW93" s="205"/>
      <c r="CX93" s="132"/>
      <c r="CY93" s="132"/>
      <c r="CZ93" s="132"/>
      <c r="DA93" s="132"/>
      <c r="DB93" s="132"/>
      <c r="DC93" s="132"/>
      <c r="DD93" s="132"/>
      <c r="DE93" s="103"/>
      <c r="DF93" s="103"/>
      <c r="DG93" s="103"/>
      <c r="DH93" s="103"/>
      <c r="DI93" s="103"/>
      <c r="DJ93" s="103"/>
      <c r="DK93" s="130"/>
      <c r="DL93" s="130"/>
      <c r="DM93" s="130"/>
      <c r="DN93" s="132"/>
      <c r="DO93" s="132"/>
    </row>
    <row r="94" ht="41.1" customHeight="1" spans="1:119">
      <c r="A94" s="131">
        <v>43689</v>
      </c>
      <c r="B94" s="132" t="s">
        <v>13329</v>
      </c>
      <c r="C94" s="160">
        <v>4500019647</v>
      </c>
      <c r="D94" s="219" t="s">
        <v>13330</v>
      </c>
      <c r="E94" s="206" t="s">
        <v>13322</v>
      </c>
      <c r="F94" s="136" t="s">
        <v>13331</v>
      </c>
      <c r="G94" s="137" t="s">
        <v>13283</v>
      </c>
      <c r="H94" s="138">
        <v>6</v>
      </c>
      <c r="I94" s="132"/>
      <c r="J94" s="132"/>
      <c r="K94" s="132"/>
      <c r="L94" s="139"/>
      <c r="M94" s="140"/>
      <c r="N94" s="208"/>
      <c r="O94" s="208"/>
      <c r="P94" s="209"/>
      <c r="Q94" s="208"/>
      <c r="R94" s="208"/>
      <c r="S94" s="210"/>
      <c r="T94" s="208"/>
      <c r="U94" s="211"/>
      <c r="V94" s="153"/>
      <c r="W94" s="154"/>
      <c r="X94" s="155"/>
      <c r="Y94" s="146"/>
      <c r="Z94" s="156"/>
      <c r="AA94" s="157"/>
      <c r="AB94" s="157"/>
      <c r="AC94" s="158"/>
      <c r="AD94" s="159"/>
      <c r="AE94" s="117"/>
      <c r="AF94" s="117"/>
      <c r="AG94" s="117"/>
      <c r="AH94" s="117"/>
      <c r="AI94" s="117"/>
      <c r="AJ94" s="117"/>
      <c r="AK94" s="117"/>
      <c r="AL94" s="117"/>
      <c r="AM94" s="117"/>
      <c r="AN94" s="117"/>
      <c r="AO94" s="117"/>
      <c r="AP94" s="117"/>
      <c r="AQ94" s="117"/>
      <c r="AR94" s="117">
        <v>6</v>
      </c>
      <c r="AS94" s="117">
        <v>6</v>
      </c>
      <c r="AT94" s="117">
        <v>6</v>
      </c>
      <c r="AU94" s="117"/>
      <c r="AV94" s="117"/>
      <c r="AW94" s="117"/>
      <c r="AX94" s="117"/>
      <c r="AY94" s="117"/>
      <c r="AZ94" s="117"/>
      <c r="BA94" s="117"/>
      <c r="BB94" s="117"/>
      <c r="BC94" s="117"/>
      <c r="BD94" s="117"/>
      <c r="BE94" s="216"/>
      <c r="BF94" s="216"/>
      <c r="BG94" s="216"/>
      <c r="BH94" s="217"/>
      <c r="BI94" s="150"/>
      <c r="BJ94" s="121"/>
      <c r="BK94" s="121"/>
      <c r="BL94" s="121"/>
      <c r="BM94" s="121"/>
      <c r="BN94" s="121"/>
      <c r="BO94" s="121"/>
      <c r="BP94" s="121"/>
      <c r="BQ94" s="121"/>
      <c r="BR94" s="121"/>
      <c r="BS94" s="121"/>
      <c r="BT94" s="121"/>
      <c r="BU94" s="121"/>
      <c r="BV94" s="199"/>
      <c r="BW94" s="199"/>
      <c r="BX94" s="199"/>
      <c r="BY94" s="199"/>
      <c r="BZ94" s="199"/>
      <c r="CA94" s="199"/>
      <c r="CB94" s="199"/>
      <c r="CC94" s="199"/>
      <c r="CD94" s="199"/>
      <c r="CE94" s="199"/>
      <c r="CF94" s="199"/>
      <c r="CG94" s="199"/>
      <c r="CH94" s="199"/>
      <c r="CI94" s="121">
        <v>1</v>
      </c>
      <c r="CJ94" s="121">
        <v>1</v>
      </c>
      <c r="CK94" s="121">
        <v>1</v>
      </c>
      <c r="CL94" s="121">
        <v>1</v>
      </c>
      <c r="CM94" s="121">
        <v>1</v>
      </c>
      <c r="CN94" s="200">
        <v>1</v>
      </c>
      <c r="CO94" s="201"/>
      <c r="CP94" s="202"/>
      <c r="CQ94" s="202"/>
      <c r="CR94" s="202"/>
      <c r="CS94" s="202"/>
      <c r="CT94" s="203"/>
      <c r="CU94" s="204"/>
      <c r="CV94" s="199"/>
      <c r="CW94" s="205"/>
      <c r="CX94" s="132"/>
      <c r="CY94" s="132"/>
      <c r="CZ94" s="132"/>
      <c r="DA94" s="132"/>
      <c r="DB94" s="132"/>
      <c r="DC94" s="132"/>
      <c r="DD94" s="132"/>
      <c r="DE94" s="103"/>
      <c r="DF94" s="103"/>
      <c r="DG94" s="103"/>
      <c r="DH94" s="103"/>
      <c r="DI94" s="103"/>
      <c r="DJ94" s="103"/>
      <c r="DK94" s="130"/>
      <c r="DL94" s="130"/>
      <c r="DM94" s="130"/>
      <c r="DN94" s="132"/>
      <c r="DO94" s="132"/>
    </row>
    <row r="95" ht="41.1" customHeight="1" spans="1:119">
      <c r="A95" s="131">
        <v>43689</v>
      </c>
      <c r="B95" s="132" t="s">
        <v>13299</v>
      </c>
      <c r="C95" s="160">
        <v>4500022128</v>
      </c>
      <c r="D95" s="219" t="s">
        <v>13332</v>
      </c>
      <c r="E95" s="206" t="s">
        <v>13322</v>
      </c>
      <c r="F95" s="136" t="s">
        <v>13290</v>
      </c>
      <c r="G95" s="137" t="s">
        <v>13283</v>
      </c>
      <c r="H95" s="138">
        <v>12</v>
      </c>
      <c r="I95" s="132"/>
      <c r="J95" s="132"/>
      <c r="K95" s="132"/>
      <c r="L95" s="139"/>
      <c r="M95" s="140"/>
      <c r="N95" s="208"/>
      <c r="O95" s="208"/>
      <c r="P95" s="209"/>
      <c r="Q95" s="208"/>
      <c r="R95" s="208"/>
      <c r="S95" s="210"/>
      <c r="T95" s="208"/>
      <c r="U95" s="211"/>
      <c r="V95" s="153"/>
      <c r="W95" s="154"/>
      <c r="X95" s="155"/>
      <c r="Y95" s="146"/>
      <c r="Z95" s="156"/>
      <c r="AA95" s="157"/>
      <c r="AB95" s="157"/>
      <c r="AC95" s="158"/>
      <c r="AD95" s="159"/>
      <c r="AE95" s="117"/>
      <c r="AF95" s="117"/>
      <c r="AG95" s="117"/>
      <c r="AH95" s="117"/>
      <c r="AI95" s="117"/>
      <c r="AJ95" s="117"/>
      <c r="AK95" s="117"/>
      <c r="AL95" s="117"/>
      <c r="AM95" s="117"/>
      <c r="AN95" s="117"/>
      <c r="AO95" s="117"/>
      <c r="AP95" s="117">
        <v>12</v>
      </c>
      <c r="AQ95" s="117">
        <v>12</v>
      </c>
      <c r="AR95" s="117"/>
      <c r="AS95" s="117"/>
      <c r="AT95" s="117"/>
      <c r="AU95" s="117"/>
      <c r="AV95" s="117"/>
      <c r="AW95" s="117"/>
      <c r="AX95" s="117"/>
      <c r="AY95" s="117"/>
      <c r="AZ95" s="117"/>
      <c r="BA95" s="117"/>
      <c r="BB95" s="117"/>
      <c r="BC95" s="117"/>
      <c r="BD95" s="117"/>
      <c r="BE95" s="216"/>
      <c r="BF95" s="216"/>
      <c r="BG95" s="216"/>
      <c r="BH95" s="217"/>
      <c r="BI95" s="150"/>
      <c r="BJ95" s="121"/>
      <c r="BK95" s="121"/>
      <c r="BL95" s="121"/>
      <c r="BM95" s="121"/>
      <c r="BN95" s="121"/>
      <c r="BO95" s="121"/>
      <c r="BP95" s="121"/>
      <c r="BQ95" s="121"/>
      <c r="BR95" s="121"/>
      <c r="BS95" s="121"/>
      <c r="BT95" s="121"/>
      <c r="BU95" s="121"/>
      <c r="BV95" s="199"/>
      <c r="BW95" s="199"/>
      <c r="BX95" s="199"/>
      <c r="BY95" s="199"/>
      <c r="BZ95" s="199"/>
      <c r="CA95" s="199"/>
      <c r="CB95" s="199"/>
      <c r="CC95" s="199"/>
      <c r="CD95" s="199"/>
      <c r="CE95" s="199"/>
      <c r="CF95" s="199"/>
      <c r="CG95" s="199"/>
      <c r="CH95" s="199"/>
      <c r="CI95" s="121">
        <v>2</v>
      </c>
      <c r="CJ95" s="121">
        <v>2</v>
      </c>
      <c r="CK95" s="121">
        <v>2</v>
      </c>
      <c r="CL95" s="121">
        <v>2</v>
      </c>
      <c r="CM95" s="121">
        <v>2</v>
      </c>
      <c r="CN95" s="200">
        <v>2</v>
      </c>
      <c r="CO95" s="201"/>
      <c r="CP95" s="202"/>
      <c r="CQ95" s="202"/>
      <c r="CR95" s="202"/>
      <c r="CS95" s="202"/>
      <c r="CT95" s="203"/>
      <c r="CU95" s="204"/>
      <c r="CV95" s="199"/>
      <c r="CW95" s="205"/>
      <c r="CX95" s="132"/>
      <c r="CY95" s="132"/>
      <c r="CZ95" s="132"/>
      <c r="DA95" s="132"/>
      <c r="DB95" s="132"/>
      <c r="DC95" s="132"/>
      <c r="DD95" s="132"/>
      <c r="DE95" s="103"/>
      <c r="DF95" s="103"/>
      <c r="DG95" s="103"/>
      <c r="DH95" s="103"/>
      <c r="DI95" s="103"/>
      <c r="DJ95" s="103"/>
      <c r="DK95" s="130"/>
      <c r="DL95" s="130"/>
      <c r="DM95" s="130"/>
      <c r="DN95" s="132"/>
      <c r="DO95" s="132"/>
    </row>
    <row r="96" ht="41.1" customHeight="1" spans="1:119">
      <c r="A96" s="131">
        <v>43689</v>
      </c>
      <c r="B96" s="132" t="s">
        <v>13299</v>
      </c>
      <c r="C96" s="160">
        <v>4500022128</v>
      </c>
      <c r="D96" s="219" t="s">
        <v>13332</v>
      </c>
      <c r="E96" s="206" t="s">
        <v>13322</v>
      </c>
      <c r="F96" s="136" t="s">
        <v>13267</v>
      </c>
      <c r="G96" s="137" t="s">
        <v>13268</v>
      </c>
      <c r="H96" s="138">
        <v>4</v>
      </c>
      <c r="I96" s="132"/>
      <c r="J96" s="132"/>
      <c r="K96" s="132"/>
      <c r="L96" s="139"/>
      <c r="M96" s="140"/>
      <c r="N96" s="208"/>
      <c r="O96" s="208"/>
      <c r="P96" s="209"/>
      <c r="Q96" s="208"/>
      <c r="R96" s="208"/>
      <c r="S96" s="210"/>
      <c r="T96" s="208"/>
      <c r="U96" s="211"/>
      <c r="V96" s="153"/>
      <c r="W96" s="154"/>
      <c r="X96" s="155"/>
      <c r="Y96" s="146"/>
      <c r="Z96" s="156"/>
      <c r="AA96" s="157"/>
      <c r="AB96" s="157"/>
      <c r="AC96" s="158"/>
      <c r="AD96" s="159"/>
      <c r="AE96" s="117">
        <v>4</v>
      </c>
      <c r="AF96" s="117"/>
      <c r="AG96" s="117"/>
      <c r="AH96" s="117"/>
      <c r="AI96" s="117">
        <v>4</v>
      </c>
      <c r="AJ96" s="117"/>
      <c r="AK96" s="117"/>
      <c r="AL96" s="117"/>
      <c r="AM96" s="117"/>
      <c r="AN96" s="117"/>
      <c r="AO96" s="117"/>
      <c r="AP96" s="117"/>
      <c r="AQ96" s="117"/>
      <c r="AR96" s="117"/>
      <c r="AS96" s="117"/>
      <c r="AT96" s="117"/>
      <c r="AU96" s="117"/>
      <c r="AV96" s="117"/>
      <c r="AW96" s="117"/>
      <c r="AX96" s="117"/>
      <c r="AY96" s="117"/>
      <c r="AZ96" s="117"/>
      <c r="BA96" s="117"/>
      <c r="BB96" s="117"/>
      <c r="BC96" s="117"/>
      <c r="BD96" s="117"/>
      <c r="BE96" s="216"/>
      <c r="BF96" s="216"/>
      <c r="BG96" s="216"/>
      <c r="BH96" s="217"/>
      <c r="BI96" s="150"/>
      <c r="BJ96" s="121"/>
      <c r="BK96" s="121"/>
      <c r="BL96" s="121"/>
      <c r="BM96" s="121"/>
      <c r="BN96" s="121"/>
      <c r="BO96" s="121"/>
      <c r="BP96" s="121"/>
      <c r="BQ96" s="121"/>
      <c r="BR96" s="121"/>
      <c r="BS96" s="121"/>
      <c r="BT96" s="121"/>
      <c r="BU96" s="121"/>
      <c r="BV96" s="199"/>
      <c r="BW96" s="199"/>
      <c r="BX96" s="199"/>
      <c r="BY96" s="199"/>
      <c r="BZ96" s="199"/>
      <c r="CA96" s="199">
        <v>1</v>
      </c>
      <c r="CB96" s="199"/>
      <c r="CC96" s="199"/>
      <c r="CD96" s="199">
        <v>1</v>
      </c>
      <c r="CE96" s="199"/>
      <c r="CF96" s="199">
        <v>1</v>
      </c>
      <c r="CG96" s="199"/>
      <c r="CH96" s="199">
        <v>1</v>
      </c>
      <c r="CI96" s="121"/>
      <c r="CJ96" s="121"/>
      <c r="CK96" s="121"/>
      <c r="CL96" s="121"/>
      <c r="CM96" s="121"/>
      <c r="CN96" s="200"/>
      <c r="CO96" s="201"/>
      <c r="CP96" s="202"/>
      <c r="CQ96" s="202"/>
      <c r="CR96" s="202"/>
      <c r="CS96" s="202"/>
      <c r="CT96" s="203"/>
      <c r="CU96" s="204"/>
      <c r="CV96" s="199"/>
      <c r="CW96" s="205"/>
      <c r="CX96" s="132"/>
      <c r="CY96" s="132"/>
      <c r="CZ96" s="132"/>
      <c r="DA96" s="132"/>
      <c r="DB96" s="132"/>
      <c r="DC96" s="132"/>
      <c r="DD96" s="132"/>
      <c r="DE96" s="103"/>
      <c r="DF96" s="103"/>
      <c r="DG96" s="103"/>
      <c r="DH96" s="103"/>
      <c r="DI96" s="103"/>
      <c r="DJ96" s="103"/>
      <c r="DK96" s="130"/>
      <c r="DL96" s="130"/>
      <c r="DM96" s="130"/>
      <c r="DN96" s="132"/>
      <c r="DO96" s="132"/>
    </row>
    <row r="97" ht="41.1" customHeight="1" spans="1:119">
      <c r="A97" s="131">
        <v>43689</v>
      </c>
      <c r="B97" s="132" t="s">
        <v>13326</v>
      </c>
      <c r="C97" s="160">
        <v>4500017361</v>
      </c>
      <c r="D97" s="218" t="s">
        <v>13333</v>
      </c>
      <c r="E97" s="220" t="s">
        <v>13320</v>
      </c>
      <c r="F97" s="100" t="s">
        <v>13334</v>
      </c>
      <c r="G97" s="137" t="s">
        <v>13268</v>
      </c>
      <c r="H97" s="138">
        <v>26</v>
      </c>
      <c r="I97" s="132"/>
      <c r="J97" s="132"/>
      <c r="K97" s="132"/>
      <c r="L97" s="139"/>
      <c r="M97" s="140"/>
      <c r="N97" s="208"/>
      <c r="O97" s="208"/>
      <c r="P97" s="209"/>
      <c r="Q97" s="208"/>
      <c r="R97" s="208"/>
      <c r="S97" s="210"/>
      <c r="T97" s="208"/>
      <c r="U97" s="211"/>
      <c r="V97" s="153"/>
      <c r="W97" s="154"/>
      <c r="X97" s="155"/>
      <c r="Y97" s="146"/>
      <c r="Z97" s="156"/>
      <c r="AA97" s="157"/>
      <c r="AB97" s="157"/>
      <c r="AC97" s="158"/>
      <c r="AD97" s="159"/>
      <c r="AE97" s="117">
        <v>26</v>
      </c>
      <c r="AF97" s="117"/>
      <c r="AG97" s="117"/>
      <c r="AH97" s="117"/>
      <c r="AI97" s="117"/>
      <c r="AJ97" s="117"/>
      <c r="AK97" s="117"/>
      <c r="AL97" s="117">
        <v>26</v>
      </c>
      <c r="AM97" s="117"/>
      <c r="AN97" s="117"/>
      <c r="AO97" s="117"/>
      <c r="AP97" s="117"/>
      <c r="AQ97" s="117"/>
      <c r="AR97" s="117"/>
      <c r="AS97" s="117"/>
      <c r="AT97" s="117"/>
      <c r="AU97" s="117"/>
      <c r="AV97" s="117"/>
      <c r="AW97" s="117"/>
      <c r="AX97" s="117"/>
      <c r="AY97" s="117"/>
      <c r="AZ97" s="117"/>
      <c r="BA97" s="117"/>
      <c r="BB97" s="117"/>
      <c r="BC97" s="117"/>
      <c r="BD97" s="117"/>
      <c r="BE97" s="216"/>
      <c r="BF97" s="216"/>
      <c r="BG97" s="216"/>
      <c r="BH97" s="217"/>
      <c r="BI97" s="150"/>
      <c r="BJ97" s="121"/>
      <c r="BK97" s="121"/>
      <c r="BL97" s="121"/>
      <c r="BM97" s="121"/>
      <c r="BN97" s="121"/>
      <c r="BO97" s="121"/>
      <c r="BP97" s="121"/>
      <c r="BQ97" s="121"/>
      <c r="BR97" s="121"/>
      <c r="BS97" s="121"/>
      <c r="BT97" s="121"/>
      <c r="BU97" s="121"/>
      <c r="BV97" s="199">
        <v>2</v>
      </c>
      <c r="BW97" s="199">
        <v>2</v>
      </c>
      <c r="BX97" s="199">
        <v>2</v>
      </c>
      <c r="BY97" s="199">
        <v>2</v>
      </c>
      <c r="BZ97" s="199">
        <v>2</v>
      </c>
      <c r="CA97" s="199">
        <v>2</v>
      </c>
      <c r="CB97" s="199">
        <v>2</v>
      </c>
      <c r="CC97" s="199">
        <v>2</v>
      </c>
      <c r="CD97" s="199">
        <v>2</v>
      </c>
      <c r="CE97" s="199">
        <v>2</v>
      </c>
      <c r="CF97" s="199">
        <v>2</v>
      </c>
      <c r="CG97" s="199">
        <v>2</v>
      </c>
      <c r="CH97" s="199">
        <v>2</v>
      </c>
      <c r="CI97" s="121"/>
      <c r="CJ97" s="121"/>
      <c r="CK97" s="121"/>
      <c r="CL97" s="121"/>
      <c r="CM97" s="121"/>
      <c r="CN97" s="200"/>
      <c r="CO97" s="201"/>
      <c r="CP97" s="202"/>
      <c r="CQ97" s="202"/>
      <c r="CR97" s="202"/>
      <c r="CS97" s="202"/>
      <c r="CT97" s="203"/>
      <c r="CU97" s="204"/>
      <c r="CV97" s="199"/>
      <c r="CW97" s="205"/>
      <c r="CX97" s="132"/>
      <c r="CY97" s="132"/>
      <c r="CZ97" s="132"/>
      <c r="DA97" s="132"/>
      <c r="DB97" s="132"/>
      <c r="DC97" s="132"/>
      <c r="DD97" s="132"/>
      <c r="DE97" s="103"/>
      <c r="DF97" s="103"/>
      <c r="DG97" s="103"/>
      <c r="DH97" s="103"/>
      <c r="DI97" s="103"/>
      <c r="DJ97" s="103"/>
      <c r="DK97" s="130"/>
      <c r="DL97" s="130"/>
      <c r="DM97" s="130"/>
      <c r="DN97" s="132"/>
      <c r="DO97" s="132"/>
    </row>
    <row r="98" ht="41.1" customHeight="1" spans="1:119">
      <c r="A98" s="131">
        <v>43689</v>
      </c>
      <c r="B98" s="132" t="s">
        <v>13335</v>
      </c>
      <c r="C98" s="160">
        <v>4500018407</v>
      </c>
      <c r="D98" s="215" t="s">
        <v>13336</v>
      </c>
      <c r="E98" s="206" t="s">
        <v>13322</v>
      </c>
      <c r="F98" s="136" t="s">
        <v>13337</v>
      </c>
      <c r="G98" s="137" t="s">
        <v>13338</v>
      </c>
      <c r="H98" s="138">
        <v>1</v>
      </c>
      <c r="I98" s="132"/>
      <c r="J98" s="132"/>
      <c r="K98" s="132"/>
      <c r="L98" s="139"/>
      <c r="M98" s="140"/>
      <c r="N98" s="208"/>
      <c r="O98" s="208"/>
      <c r="P98" s="209"/>
      <c r="Q98" s="208"/>
      <c r="R98" s="208"/>
      <c r="S98" s="210"/>
      <c r="T98" s="208"/>
      <c r="U98" s="211"/>
      <c r="V98" s="153"/>
      <c r="W98" s="154"/>
      <c r="X98" s="155"/>
      <c r="Y98" s="146"/>
      <c r="Z98" s="156"/>
      <c r="AA98" s="157"/>
      <c r="AB98" s="157"/>
      <c r="AC98" s="158"/>
      <c r="AD98" s="159"/>
      <c r="AE98" s="117"/>
      <c r="AF98" s="117"/>
      <c r="AG98" s="117"/>
      <c r="AH98" s="117"/>
      <c r="AI98" s="117"/>
      <c r="AJ98" s="117"/>
      <c r="AK98" s="117"/>
      <c r="AL98" s="117"/>
      <c r="AM98" s="117"/>
      <c r="AN98" s="117"/>
      <c r="AO98" s="117"/>
      <c r="AP98" s="117"/>
      <c r="AQ98" s="117"/>
      <c r="AR98" s="117"/>
      <c r="AS98" s="117"/>
      <c r="AT98" s="117"/>
      <c r="AU98" s="117"/>
      <c r="AV98" s="117"/>
      <c r="AW98" s="117"/>
      <c r="AX98" s="117"/>
      <c r="AY98" s="117"/>
      <c r="AZ98" s="117"/>
      <c r="BA98" s="117"/>
      <c r="BB98" s="117"/>
      <c r="BC98" s="117"/>
      <c r="BD98" s="117"/>
      <c r="BE98" s="216">
        <v>1</v>
      </c>
      <c r="BF98" s="216">
        <v>1</v>
      </c>
      <c r="BG98" s="216"/>
      <c r="BH98" s="217"/>
      <c r="BI98" s="150"/>
      <c r="BJ98" s="121"/>
      <c r="BK98" s="121"/>
      <c r="BL98" s="121"/>
      <c r="BM98" s="121"/>
      <c r="BN98" s="121"/>
      <c r="BO98" s="121"/>
      <c r="BP98" s="121"/>
      <c r="BQ98" s="121"/>
      <c r="BR98" s="121"/>
      <c r="BS98" s="121"/>
      <c r="BT98" s="121"/>
      <c r="BU98" s="121"/>
      <c r="BV98" s="199"/>
      <c r="BW98" s="199"/>
      <c r="BX98" s="199"/>
      <c r="BY98" s="199"/>
      <c r="BZ98" s="199"/>
      <c r="CA98" s="199"/>
      <c r="CB98" s="199"/>
      <c r="CC98" s="199"/>
      <c r="CD98" s="199"/>
      <c r="CE98" s="199"/>
      <c r="CF98" s="199"/>
      <c r="CG98" s="199"/>
      <c r="CH98" s="199"/>
      <c r="CI98" s="121"/>
      <c r="CJ98" s="121"/>
      <c r="CK98" s="121"/>
      <c r="CL98" s="121"/>
      <c r="CM98" s="121"/>
      <c r="CN98" s="200"/>
      <c r="CO98" s="201"/>
      <c r="CP98" s="202"/>
      <c r="CQ98" s="202"/>
      <c r="CR98" s="202"/>
      <c r="CS98" s="202"/>
      <c r="CT98" s="203"/>
      <c r="CU98" s="204"/>
      <c r="CV98" s="199">
        <v>1</v>
      </c>
      <c r="CW98" s="205"/>
      <c r="CX98" s="132"/>
      <c r="CY98" s="132"/>
      <c r="CZ98" s="132"/>
      <c r="DA98" s="132"/>
      <c r="DB98" s="132"/>
      <c r="DC98" s="132"/>
      <c r="DD98" s="132"/>
      <c r="DE98" s="103"/>
      <c r="DF98" s="103"/>
      <c r="DG98" s="103"/>
      <c r="DH98" s="103"/>
      <c r="DI98" s="103"/>
      <c r="DJ98" s="103"/>
      <c r="DK98" s="130"/>
      <c r="DL98" s="130"/>
      <c r="DM98" s="130"/>
      <c r="DN98" s="132"/>
      <c r="DO98" s="132"/>
    </row>
    <row r="99" ht="41.1" customHeight="1" spans="1:119">
      <c r="A99" s="131">
        <v>43690</v>
      </c>
      <c r="B99" s="132" t="s">
        <v>13339</v>
      </c>
      <c r="C99" s="160">
        <v>4500017962</v>
      </c>
      <c r="D99" s="215" t="s">
        <v>13340</v>
      </c>
      <c r="E99" s="221" t="s">
        <v>13320</v>
      </c>
      <c r="F99" s="136" t="s">
        <v>13341</v>
      </c>
      <c r="G99" s="137" t="s">
        <v>13268</v>
      </c>
      <c r="H99" s="138">
        <v>1</v>
      </c>
      <c r="I99" s="132"/>
      <c r="J99" s="132"/>
      <c r="K99" s="132"/>
      <c r="L99" s="139"/>
      <c r="M99" s="140"/>
      <c r="N99" s="208"/>
      <c r="O99" s="208"/>
      <c r="P99" s="209"/>
      <c r="Q99" s="208"/>
      <c r="R99" s="208"/>
      <c r="S99" s="210"/>
      <c r="T99" s="208"/>
      <c r="U99" s="211"/>
      <c r="V99" s="153"/>
      <c r="W99" s="154"/>
      <c r="X99" s="155"/>
      <c r="Y99" s="146"/>
      <c r="Z99" s="156"/>
      <c r="AA99" s="157"/>
      <c r="AB99" s="157"/>
      <c r="AC99" s="158"/>
      <c r="AD99" s="159"/>
      <c r="AE99" s="117"/>
      <c r="AF99" s="117"/>
      <c r="AG99" s="117"/>
      <c r="AH99" s="117"/>
      <c r="AI99" s="117"/>
      <c r="AJ99" s="117"/>
      <c r="AK99" s="117"/>
      <c r="AL99" s="117"/>
      <c r="AM99" s="117"/>
      <c r="AN99" s="117"/>
      <c r="AO99" s="117"/>
      <c r="AP99" s="117"/>
      <c r="AQ99" s="117"/>
      <c r="AR99" s="117"/>
      <c r="AS99" s="117"/>
      <c r="AT99" s="117"/>
      <c r="AU99" s="117"/>
      <c r="AV99" s="117"/>
      <c r="AW99" s="117"/>
      <c r="AX99" s="117"/>
      <c r="AY99" s="117"/>
      <c r="AZ99" s="117"/>
      <c r="BA99" s="117"/>
      <c r="BB99" s="117"/>
      <c r="BC99" s="117"/>
      <c r="BD99" s="117"/>
      <c r="BE99" s="216"/>
      <c r="BF99" s="216"/>
      <c r="BG99" s="216"/>
      <c r="BH99" s="217"/>
      <c r="BI99" s="150"/>
      <c r="BJ99" s="121"/>
      <c r="BK99" s="121"/>
      <c r="BL99" s="121"/>
      <c r="BM99" s="121"/>
      <c r="BN99" s="121"/>
      <c r="BO99" s="121"/>
      <c r="BP99" s="121"/>
      <c r="BQ99" s="121"/>
      <c r="BR99" s="121"/>
      <c r="BS99" s="121"/>
      <c r="BT99" s="121"/>
      <c r="BU99" s="121"/>
      <c r="BV99" s="199">
        <v>1</v>
      </c>
      <c r="BW99" s="199"/>
      <c r="BX99" s="199"/>
      <c r="BY99" s="199"/>
      <c r="BZ99" s="199"/>
      <c r="CA99" s="199"/>
      <c r="CB99" s="199"/>
      <c r="CC99" s="199"/>
      <c r="CD99" s="199"/>
      <c r="CE99" s="199"/>
      <c r="CF99" s="199"/>
      <c r="CG99" s="199"/>
      <c r="CH99" s="199"/>
      <c r="CI99" s="121"/>
      <c r="CJ99" s="121"/>
      <c r="CK99" s="121"/>
      <c r="CL99" s="121"/>
      <c r="CM99" s="121"/>
      <c r="CN99" s="200"/>
      <c r="CO99" s="201"/>
      <c r="CP99" s="202"/>
      <c r="CQ99" s="202"/>
      <c r="CR99" s="202"/>
      <c r="CS99" s="202"/>
      <c r="CT99" s="203"/>
      <c r="CU99" s="204"/>
      <c r="CV99" s="199"/>
      <c r="CW99" s="205"/>
      <c r="CX99" s="132"/>
      <c r="CY99" s="132"/>
      <c r="CZ99" s="132"/>
      <c r="DA99" s="132"/>
      <c r="DB99" s="132"/>
      <c r="DC99" s="132"/>
      <c r="DD99" s="132"/>
      <c r="DE99" s="103"/>
      <c r="DF99" s="103"/>
      <c r="DG99" s="103"/>
      <c r="DH99" s="103"/>
      <c r="DI99" s="103"/>
      <c r="DJ99" s="103"/>
      <c r="DK99" s="130"/>
      <c r="DL99" s="130"/>
      <c r="DM99" s="130"/>
      <c r="DN99" s="132"/>
      <c r="DO99" s="132"/>
    </row>
    <row r="100" ht="41.1" customHeight="1" spans="1:119">
      <c r="A100" s="131">
        <v>43690</v>
      </c>
      <c r="B100" s="132" t="s">
        <v>13299</v>
      </c>
      <c r="C100" s="160">
        <v>4500022128</v>
      </c>
      <c r="D100" s="219" t="s">
        <v>13332</v>
      </c>
      <c r="E100" s="206" t="s">
        <v>13322</v>
      </c>
      <c r="F100" s="136" t="s">
        <v>13290</v>
      </c>
      <c r="G100" s="137" t="s">
        <v>13283</v>
      </c>
      <c r="H100" s="138">
        <v>6</v>
      </c>
      <c r="I100" s="132"/>
      <c r="J100" s="132"/>
      <c r="K100" s="132"/>
      <c r="L100" s="139"/>
      <c r="M100" s="140"/>
      <c r="N100" s="208"/>
      <c r="O100" s="208"/>
      <c r="P100" s="209"/>
      <c r="Q100" s="208"/>
      <c r="R100" s="208"/>
      <c r="S100" s="210"/>
      <c r="T100" s="208"/>
      <c r="U100" s="211"/>
      <c r="V100" s="153"/>
      <c r="W100" s="154"/>
      <c r="X100" s="155"/>
      <c r="Y100" s="146"/>
      <c r="Z100" s="156"/>
      <c r="AA100" s="157"/>
      <c r="AB100" s="157"/>
      <c r="AC100" s="158"/>
      <c r="AD100" s="159"/>
      <c r="AE100" s="117"/>
      <c r="AF100" s="117"/>
      <c r="AG100" s="117"/>
      <c r="AH100" s="117"/>
      <c r="AI100" s="117"/>
      <c r="AJ100" s="117"/>
      <c r="AK100" s="117"/>
      <c r="AL100" s="117"/>
      <c r="AM100" s="117"/>
      <c r="AN100" s="117"/>
      <c r="AO100" s="117"/>
      <c r="AP100" s="117">
        <v>6</v>
      </c>
      <c r="AQ100" s="117">
        <v>6</v>
      </c>
      <c r="AR100" s="117"/>
      <c r="AS100" s="117"/>
      <c r="AT100" s="117"/>
      <c r="AU100" s="117"/>
      <c r="AV100" s="117"/>
      <c r="AW100" s="117"/>
      <c r="AX100" s="117"/>
      <c r="AY100" s="117"/>
      <c r="AZ100" s="117"/>
      <c r="BA100" s="117"/>
      <c r="BB100" s="117"/>
      <c r="BC100" s="117"/>
      <c r="BD100" s="117"/>
      <c r="BE100" s="216"/>
      <c r="BF100" s="216"/>
      <c r="BG100" s="216"/>
      <c r="BH100" s="217"/>
      <c r="BI100" s="150"/>
      <c r="BJ100" s="121"/>
      <c r="BK100" s="121"/>
      <c r="BL100" s="121"/>
      <c r="BM100" s="121"/>
      <c r="BN100" s="121"/>
      <c r="BO100" s="121"/>
      <c r="BP100" s="121"/>
      <c r="BQ100" s="121"/>
      <c r="BR100" s="121"/>
      <c r="BS100" s="121"/>
      <c r="BT100" s="121"/>
      <c r="BU100" s="121"/>
      <c r="BV100" s="199"/>
      <c r="BW100" s="199"/>
      <c r="BX100" s="199"/>
      <c r="BY100" s="199"/>
      <c r="BZ100" s="199"/>
      <c r="CA100" s="199"/>
      <c r="CB100" s="199"/>
      <c r="CC100" s="199"/>
      <c r="CD100" s="199"/>
      <c r="CE100" s="199"/>
      <c r="CF100" s="199"/>
      <c r="CG100" s="199"/>
      <c r="CH100" s="199"/>
      <c r="CI100" s="121">
        <v>1</v>
      </c>
      <c r="CJ100" s="121">
        <v>1</v>
      </c>
      <c r="CK100" s="121">
        <v>1</v>
      </c>
      <c r="CL100" s="121">
        <v>1</v>
      </c>
      <c r="CM100" s="121">
        <v>1</v>
      </c>
      <c r="CN100" s="200">
        <v>1</v>
      </c>
      <c r="CO100" s="201"/>
      <c r="CP100" s="202"/>
      <c r="CQ100" s="202"/>
      <c r="CR100" s="202"/>
      <c r="CS100" s="202"/>
      <c r="CT100" s="203"/>
      <c r="CU100" s="204"/>
      <c r="CV100" s="199"/>
      <c r="CW100" s="205"/>
      <c r="CX100" s="132"/>
      <c r="CY100" s="132"/>
      <c r="CZ100" s="132"/>
      <c r="DA100" s="132"/>
      <c r="DB100" s="132"/>
      <c r="DC100" s="132"/>
      <c r="DD100" s="132"/>
      <c r="DE100" s="103"/>
      <c r="DF100" s="103"/>
      <c r="DG100" s="103"/>
      <c r="DH100" s="103"/>
      <c r="DI100" s="103"/>
      <c r="DJ100" s="103"/>
      <c r="DK100" s="130"/>
      <c r="DL100" s="130"/>
      <c r="DM100" s="130"/>
      <c r="DN100" s="132"/>
      <c r="DO100" s="132"/>
    </row>
    <row r="101" ht="41.1" customHeight="1" spans="1:119">
      <c r="A101" s="131">
        <v>43691</v>
      </c>
      <c r="B101" s="132" t="s">
        <v>13342</v>
      </c>
      <c r="C101" s="160">
        <v>4500021249</v>
      </c>
      <c r="D101" s="100" t="s">
        <v>13343</v>
      </c>
      <c r="E101" s="206" t="s">
        <v>13322</v>
      </c>
      <c r="F101" s="100" t="s">
        <v>13297</v>
      </c>
      <c r="G101" s="222" t="s">
        <v>13344</v>
      </c>
      <c r="H101" s="138">
        <v>15</v>
      </c>
      <c r="I101" s="132"/>
      <c r="J101" s="132"/>
      <c r="K101" s="132"/>
      <c r="L101" s="139"/>
      <c r="M101" s="140"/>
      <c r="N101" s="208"/>
      <c r="O101" s="208"/>
      <c r="P101" s="209"/>
      <c r="Q101" s="208"/>
      <c r="R101" s="208"/>
      <c r="S101" s="210"/>
      <c r="T101" s="208"/>
      <c r="U101" s="211"/>
      <c r="V101" s="153"/>
      <c r="W101" s="154"/>
      <c r="X101" s="155"/>
      <c r="Y101" s="146"/>
      <c r="Z101" s="156"/>
      <c r="AA101" s="157"/>
      <c r="AB101" s="157"/>
      <c r="AC101" s="158"/>
      <c r="AD101" s="159"/>
      <c r="AE101" s="117"/>
      <c r="AF101" s="117"/>
      <c r="AG101" s="117"/>
      <c r="AH101" s="117"/>
      <c r="AI101" s="117"/>
      <c r="AJ101" s="117"/>
      <c r="AK101" s="117"/>
      <c r="AL101" s="117"/>
      <c r="AM101" s="117"/>
      <c r="AN101" s="117"/>
      <c r="AO101" s="117"/>
      <c r="AP101" s="117"/>
      <c r="AQ101" s="117"/>
      <c r="AR101" s="117"/>
      <c r="AS101" s="117"/>
      <c r="AT101" s="117"/>
      <c r="AU101" s="117"/>
      <c r="AV101" s="117"/>
      <c r="AW101" s="117"/>
      <c r="AX101" s="117"/>
      <c r="AY101" s="117"/>
      <c r="AZ101" s="117"/>
      <c r="BA101" s="117"/>
      <c r="BB101" s="117"/>
      <c r="BC101" s="117"/>
      <c r="BD101" s="117"/>
      <c r="BE101" s="216">
        <v>15</v>
      </c>
      <c r="BF101" s="216"/>
      <c r="BG101" s="216"/>
      <c r="BH101" s="217"/>
      <c r="BI101" s="150"/>
      <c r="BJ101" s="121"/>
      <c r="BK101" s="121"/>
      <c r="BL101" s="121"/>
      <c r="BM101" s="121"/>
      <c r="BN101" s="121"/>
      <c r="BO101" s="121"/>
      <c r="BP101" s="121"/>
      <c r="BQ101" s="121"/>
      <c r="BR101" s="121"/>
      <c r="BS101" s="121"/>
      <c r="BT101" s="121"/>
      <c r="BU101" s="121"/>
      <c r="BV101" s="199"/>
      <c r="BW101" s="199"/>
      <c r="BX101" s="199"/>
      <c r="BY101" s="199"/>
      <c r="BZ101" s="199"/>
      <c r="CA101" s="199"/>
      <c r="CB101" s="199"/>
      <c r="CC101" s="199"/>
      <c r="CD101" s="199"/>
      <c r="CE101" s="199"/>
      <c r="CF101" s="199"/>
      <c r="CG101" s="199"/>
      <c r="CH101" s="199"/>
      <c r="CI101" s="121"/>
      <c r="CJ101" s="121"/>
      <c r="CK101" s="121"/>
      <c r="CL101" s="121"/>
      <c r="CM101" s="121"/>
      <c r="CN101" s="200"/>
      <c r="CO101" s="201"/>
      <c r="CP101" s="202"/>
      <c r="CQ101" s="202"/>
      <c r="CR101" s="202"/>
      <c r="CS101" s="202"/>
      <c r="CT101" s="203"/>
      <c r="CU101" s="204">
        <v>5</v>
      </c>
      <c r="CV101" s="199">
        <v>5</v>
      </c>
      <c r="CW101" s="205">
        <v>5</v>
      </c>
      <c r="CX101" s="132"/>
      <c r="CY101" s="132"/>
      <c r="CZ101" s="132"/>
      <c r="DA101" s="132"/>
      <c r="DB101" s="132"/>
      <c r="DC101" s="132"/>
      <c r="DD101" s="132"/>
      <c r="DE101" s="103"/>
      <c r="DF101" s="103"/>
      <c r="DG101" s="103"/>
      <c r="DH101" s="103"/>
      <c r="DI101" s="103"/>
      <c r="DJ101" s="103"/>
      <c r="DK101" s="130"/>
      <c r="DL101" s="130"/>
      <c r="DM101" s="130"/>
      <c r="DN101" s="132"/>
      <c r="DO101" s="132"/>
    </row>
    <row r="102" ht="41.1" customHeight="1" spans="1:119">
      <c r="A102" s="131">
        <v>43691</v>
      </c>
      <c r="B102" s="132" t="s">
        <v>13253</v>
      </c>
      <c r="C102" s="160">
        <v>4500022498</v>
      </c>
      <c r="D102" s="215" t="s">
        <v>13255</v>
      </c>
      <c r="E102" s="206" t="s">
        <v>13315</v>
      </c>
      <c r="F102" s="100" t="s">
        <v>13297</v>
      </c>
      <c r="G102" s="206" t="s">
        <v>13298</v>
      </c>
      <c r="H102" s="138">
        <v>9</v>
      </c>
      <c r="I102" s="132"/>
      <c r="J102" s="132"/>
      <c r="K102" s="132"/>
      <c r="L102" s="139"/>
      <c r="M102" s="140"/>
      <c r="N102" s="208"/>
      <c r="O102" s="208"/>
      <c r="P102" s="209"/>
      <c r="Q102" s="208"/>
      <c r="R102" s="208"/>
      <c r="S102" s="210"/>
      <c r="T102" s="208"/>
      <c r="U102" s="211"/>
      <c r="V102" s="153"/>
      <c r="W102" s="154"/>
      <c r="X102" s="155"/>
      <c r="Y102" s="146"/>
      <c r="Z102" s="156"/>
      <c r="AA102" s="157"/>
      <c r="AB102" s="157"/>
      <c r="AC102" s="158"/>
      <c r="AD102" s="159"/>
      <c r="AE102" s="117"/>
      <c r="AF102" s="117"/>
      <c r="AG102" s="117"/>
      <c r="AH102" s="117"/>
      <c r="AI102" s="117"/>
      <c r="AJ102" s="117"/>
      <c r="AK102" s="117"/>
      <c r="AL102" s="117"/>
      <c r="AM102" s="117"/>
      <c r="AN102" s="117"/>
      <c r="AO102" s="117"/>
      <c r="AP102" s="117"/>
      <c r="AQ102" s="117"/>
      <c r="AR102" s="117"/>
      <c r="AS102" s="117"/>
      <c r="AT102" s="117"/>
      <c r="AU102" s="117"/>
      <c r="AV102" s="117"/>
      <c r="AW102" s="117"/>
      <c r="AX102" s="117"/>
      <c r="AY102" s="117"/>
      <c r="AZ102" s="117"/>
      <c r="BA102" s="117"/>
      <c r="BB102" s="117"/>
      <c r="BC102" s="117"/>
      <c r="BD102" s="117"/>
      <c r="BE102" s="216">
        <v>9</v>
      </c>
      <c r="BF102" s="216">
        <v>9</v>
      </c>
      <c r="BG102" s="216"/>
      <c r="BH102" s="217"/>
      <c r="BI102" s="150"/>
      <c r="BJ102" s="121"/>
      <c r="BK102" s="121"/>
      <c r="BL102" s="121"/>
      <c r="BM102" s="121"/>
      <c r="BN102" s="121"/>
      <c r="BO102" s="121"/>
      <c r="BP102" s="121"/>
      <c r="BQ102" s="121"/>
      <c r="BR102" s="121"/>
      <c r="BS102" s="121"/>
      <c r="BT102" s="121"/>
      <c r="BU102" s="121"/>
      <c r="BV102" s="199"/>
      <c r="BW102" s="199"/>
      <c r="BX102" s="199"/>
      <c r="BY102" s="199"/>
      <c r="BZ102" s="199"/>
      <c r="CA102" s="199"/>
      <c r="CB102" s="199"/>
      <c r="CC102" s="199"/>
      <c r="CD102" s="199"/>
      <c r="CE102" s="199"/>
      <c r="CF102" s="199"/>
      <c r="CG102" s="199"/>
      <c r="CH102" s="199"/>
      <c r="CI102" s="121"/>
      <c r="CJ102" s="121"/>
      <c r="CK102" s="121"/>
      <c r="CL102" s="121"/>
      <c r="CM102" s="121"/>
      <c r="CN102" s="200"/>
      <c r="CO102" s="201"/>
      <c r="CP102" s="202"/>
      <c r="CQ102" s="202"/>
      <c r="CR102" s="202"/>
      <c r="CS102" s="202"/>
      <c r="CT102" s="203"/>
      <c r="CU102" s="204">
        <v>3</v>
      </c>
      <c r="CV102" s="199">
        <v>3</v>
      </c>
      <c r="CW102" s="205">
        <v>3</v>
      </c>
      <c r="CX102" s="132"/>
      <c r="CY102" s="132"/>
      <c r="CZ102" s="132"/>
      <c r="DA102" s="132"/>
      <c r="DB102" s="132"/>
      <c r="DC102" s="132"/>
      <c r="DD102" s="132"/>
      <c r="DE102" s="103"/>
      <c r="DF102" s="103"/>
      <c r="DG102" s="103"/>
      <c r="DH102" s="103"/>
      <c r="DI102" s="103"/>
      <c r="DJ102" s="103"/>
      <c r="DK102" s="130"/>
      <c r="DL102" s="130"/>
      <c r="DM102" s="130"/>
      <c r="DN102" s="132"/>
      <c r="DO102" s="132"/>
    </row>
    <row r="103" ht="41.1" customHeight="1" spans="1:119">
      <c r="A103" s="131">
        <v>43691</v>
      </c>
      <c r="B103" s="132" t="s">
        <v>13339</v>
      </c>
      <c r="C103" s="160">
        <v>4500017962</v>
      </c>
      <c r="D103" s="215" t="s">
        <v>13340</v>
      </c>
      <c r="E103" s="221" t="s">
        <v>13320</v>
      </c>
      <c r="F103" s="136" t="s">
        <v>13345</v>
      </c>
      <c r="G103" s="137" t="s">
        <v>13268</v>
      </c>
      <c r="H103" s="138">
        <v>2</v>
      </c>
      <c r="I103" s="132"/>
      <c r="J103" s="132"/>
      <c r="K103" s="132"/>
      <c r="L103" s="139"/>
      <c r="M103" s="140"/>
      <c r="N103" s="208"/>
      <c r="O103" s="208"/>
      <c r="P103" s="209"/>
      <c r="Q103" s="208"/>
      <c r="R103" s="208"/>
      <c r="S103" s="210"/>
      <c r="T103" s="208"/>
      <c r="U103" s="211"/>
      <c r="V103" s="153"/>
      <c r="W103" s="154"/>
      <c r="X103" s="155"/>
      <c r="Y103" s="146"/>
      <c r="Z103" s="156"/>
      <c r="AA103" s="157"/>
      <c r="AB103" s="157"/>
      <c r="AC103" s="158"/>
      <c r="AD103" s="159"/>
      <c r="AE103" s="117"/>
      <c r="AF103" s="117"/>
      <c r="AG103" s="117"/>
      <c r="AH103" s="117"/>
      <c r="AI103" s="117"/>
      <c r="AJ103" s="117"/>
      <c r="AK103" s="117"/>
      <c r="AL103" s="117"/>
      <c r="AM103" s="117"/>
      <c r="AN103" s="117"/>
      <c r="AO103" s="117"/>
      <c r="AP103" s="117"/>
      <c r="AQ103" s="117"/>
      <c r="AR103" s="117"/>
      <c r="AS103" s="117"/>
      <c r="AT103" s="117"/>
      <c r="AU103" s="117"/>
      <c r="AV103" s="117"/>
      <c r="AW103" s="117"/>
      <c r="AX103" s="117"/>
      <c r="AY103" s="117"/>
      <c r="AZ103" s="117"/>
      <c r="BA103" s="117"/>
      <c r="BB103" s="117"/>
      <c r="BC103" s="117"/>
      <c r="BD103" s="117"/>
      <c r="BE103" s="216"/>
      <c r="BF103" s="216"/>
      <c r="BG103" s="216"/>
      <c r="BH103" s="217"/>
      <c r="BI103" s="150"/>
      <c r="BJ103" s="121"/>
      <c r="BK103" s="121"/>
      <c r="BL103" s="121"/>
      <c r="BM103" s="121"/>
      <c r="BN103" s="121"/>
      <c r="BO103" s="121"/>
      <c r="BP103" s="121"/>
      <c r="BQ103" s="121"/>
      <c r="BR103" s="121"/>
      <c r="BS103" s="121"/>
      <c r="BT103" s="121"/>
      <c r="BU103" s="121"/>
      <c r="BV103" s="199"/>
      <c r="BW103" s="199"/>
      <c r="BX103" s="199"/>
      <c r="BY103" s="199"/>
      <c r="BZ103" s="199">
        <v>2</v>
      </c>
      <c r="CA103" s="199"/>
      <c r="CB103" s="199"/>
      <c r="CC103" s="199"/>
      <c r="CD103" s="199"/>
      <c r="CE103" s="199"/>
      <c r="CF103" s="199"/>
      <c r="CG103" s="199"/>
      <c r="CH103" s="199"/>
      <c r="CI103" s="121"/>
      <c r="CJ103" s="121"/>
      <c r="CK103" s="121"/>
      <c r="CL103" s="121"/>
      <c r="CM103" s="121"/>
      <c r="CN103" s="200"/>
      <c r="CO103" s="201"/>
      <c r="CP103" s="202"/>
      <c r="CQ103" s="202"/>
      <c r="CR103" s="202"/>
      <c r="CS103" s="202"/>
      <c r="CT103" s="203"/>
      <c r="CU103" s="204"/>
      <c r="CV103" s="199"/>
      <c r="CW103" s="205"/>
      <c r="CX103" s="132"/>
      <c r="CY103" s="132"/>
      <c r="CZ103" s="132"/>
      <c r="DA103" s="132"/>
      <c r="DB103" s="132"/>
      <c r="DC103" s="132"/>
      <c r="DD103" s="132"/>
      <c r="DE103" s="103"/>
      <c r="DF103" s="103"/>
      <c r="DG103" s="103"/>
      <c r="DH103" s="103"/>
      <c r="DI103" s="103"/>
      <c r="DJ103" s="103"/>
      <c r="DK103" s="130"/>
      <c r="DL103" s="130"/>
      <c r="DM103" s="130"/>
      <c r="DN103" s="132"/>
      <c r="DO103" s="132"/>
    </row>
    <row r="104" ht="41.1" customHeight="1" spans="1:119">
      <c r="A104" s="131">
        <v>43693</v>
      </c>
      <c r="B104" s="132" t="s">
        <v>13346</v>
      </c>
      <c r="C104" s="160">
        <v>4500022480</v>
      </c>
      <c r="D104" s="215" t="s">
        <v>13347</v>
      </c>
      <c r="E104" s="221" t="s">
        <v>13322</v>
      </c>
      <c r="F104" s="136" t="s">
        <v>13267</v>
      </c>
      <c r="G104" s="137" t="s">
        <v>13268</v>
      </c>
      <c r="H104" s="138">
        <v>2</v>
      </c>
      <c r="I104" s="132"/>
      <c r="J104" s="132"/>
      <c r="K104" s="132"/>
      <c r="L104" s="139"/>
      <c r="M104" s="140"/>
      <c r="N104" s="208"/>
      <c r="O104" s="208"/>
      <c r="P104" s="209"/>
      <c r="Q104" s="208"/>
      <c r="R104" s="208"/>
      <c r="S104" s="210"/>
      <c r="T104" s="208"/>
      <c r="U104" s="211"/>
      <c r="V104" s="153"/>
      <c r="W104" s="154"/>
      <c r="X104" s="155"/>
      <c r="Y104" s="146"/>
      <c r="Z104" s="156"/>
      <c r="AA104" s="157"/>
      <c r="AB104" s="157"/>
      <c r="AC104" s="158"/>
      <c r="AD104" s="159"/>
      <c r="AE104" s="117">
        <v>2</v>
      </c>
      <c r="AF104" s="117"/>
      <c r="AG104" s="117"/>
      <c r="AH104" s="117"/>
      <c r="AI104" s="117"/>
      <c r="AJ104" s="117"/>
      <c r="AK104" s="117"/>
      <c r="AL104" s="117">
        <v>2</v>
      </c>
      <c r="AM104" s="117"/>
      <c r="AN104" s="117"/>
      <c r="AO104" s="117"/>
      <c r="AP104" s="117"/>
      <c r="AQ104" s="117"/>
      <c r="AR104" s="117"/>
      <c r="AS104" s="117"/>
      <c r="AT104" s="117"/>
      <c r="AU104" s="117"/>
      <c r="AV104" s="117"/>
      <c r="AW104" s="117"/>
      <c r="AX104" s="117"/>
      <c r="AY104" s="117"/>
      <c r="AZ104" s="117"/>
      <c r="BA104" s="117"/>
      <c r="BB104" s="117"/>
      <c r="BC104" s="117"/>
      <c r="BD104" s="117"/>
      <c r="BE104" s="216"/>
      <c r="BF104" s="216"/>
      <c r="BG104" s="216"/>
      <c r="BH104" s="217"/>
      <c r="BI104" s="150"/>
      <c r="BJ104" s="121"/>
      <c r="BK104" s="121"/>
      <c r="BL104" s="121"/>
      <c r="BM104" s="121"/>
      <c r="BN104" s="121"/>
      <c r="BO104" s="121"/>
      <c r="BP104" s="121"/>
      <c r="BQ104" s="121"/>
      <c r="BR104" s="121"/>
      <c r="BS104" s="121"/>
      <c r="BT104" s="121"/>
      <c r="BU104" s="121"/>
      <c r="BV104" s="199"/>
      <c r="BW104" s="199">
        <v>1</v>
      </c>
      <c r="BX104" s="199"/>
      <c r="BY104" s="199">
        <v>1</v>
      </c>
      <c r="BZ104" s="199"/>
      <c r="CA104" s="199"/>
      <c r="CB104" s="199"/>
      <c r="CC104" s="199"/>
      <c r="CD104" s="199"/>
      <c r="CE104" s="199"/>
      <c r="CF104" s="199"/>
      <c r="CG104" s="199"/>
      <c r="CH104" s="199"/>
      <c r="CI104" s="121"/>
      <c r="CJ104" s="121"/>
      <c r="CK104" s="121"/>
      <c r="CL104" s="121"/>
      <c r="CM104" s="121"/>
      <c r="CN104" s="200"/>
      <c r="CO104" s="201"/>
      <c r="CP104" s="202"/>
      <c r="CQ104" s="202"/>
      <c r="CR104" s="202"/>
      <c r="CS104" s="202"/>
      <c r="CT104" s="203"/>
      <c r="CU104" s="204"/>
      <c r="CV104" s="199"/>
      <c r="CW104" s="205"/>
      <c r="CX104" s="132"/>
      <c r="CY104" s="132"/>
      <c r="CZ104" s="132"/>
      <c r="DA104" s="132"/>
      <c r="DB104" s="132"/>
      <c r="DC104" s="132"/>
      <c r="DD104" s="132"/>
      <c r="DE104" s="103"/>
      <c r="DF104" s="103"/>
      <c r="DG104" s="103"/>
      <c r="DH104" s="103"/>
      <c r="DI104" s="103"/>
      <c r="DJ104" s="103"/>
      <c r="DK104" s="130"/>
      <c r="DL104" s="130"/>
      <c r="DM104" s="130"/>
      <c r="DN104" s="132"/>
      <c r="DO104" s="132"/>
    </row>
    <row r="105" ht="41.1" customHeight="1" spans="1:119">
      <c r="A105" s="131">
        <v>43693</v>
      </c>
      <c r="B105" s="132" t="s">
        <v>13348</v>
      </c>
      <c r="C105" s="160">
        <v>4500022323</v>
      </c>
      <c r="D105" s="215" t="s">
        <v>13312</v>
      </c>
      <c r="E105" s="206" t="s">
        <v>13315</v>
      </c>
      <c r="F105" s="100" t="s">
        <v>13297</v>
      </c>
      <c r="G105" s="222" t="s">
        <v>13344</v>
      </c>
      <c r="H105" s="138">
        <v>18</v>
      </c>
      <c r="I105" s="132"/>
      <c r="J105" s="132"/>
      <c r="K105" s="132"/>
      <c r="L105" s="139"/>
      <c r="M105" s="140"/>
      <c r="N105" s="208"/>
      <c r="O105" s="208"/>
      <c r="P105" s="209"/>
      <c r="Q105" s="208"/>
      <c r="R105" s="208"/>
      <c r="S105" s="210"/>
      <c r="T105" s="208"/>
      <c r="U105" s="211"/>
      <c r="V105" s="153"/>
      <c r="W105" s="154"/>
      <c r="X105" s="155"/>
      <c r="Y105" s="146"/>
      <c r="Z105" s="156"/>
      <c r="AA105" s="157"/>
      <c r="AB105" s="157"/>
      <c r="AC105" s="158"/>
      <c r="AD105" s="159"/>
      <c r="AE105" s="117"/>
      <c r="AF105" s="117"/>
      <c r="AG105" s="117"/>
      <c r="AH105" s="117"/>
      <c r="AI105" s="117"/>
      <c r="AJ105" s="117"/>
      <c r="AK105" s="117"/>
      <c r="AL105" s="117"/>
      <c r="AM105" s="117"/>
      <c r="AN105" s="117"/>
      <c r="AO105" s="117"/>
      <c r="AP105" s="117"/>
      <c r="AQ105" s="117"/>
      <c r="AR105" s="117"/>
      <c r="AS105" s="117"/>
      <c r="AT105" s="117"/>
      <c r="AU105" s="117"/>
      <c r="AV105" s="117"/>
      <c r="AW105" s="117"/>
      <c r="AX105" s="117"/>
      <c r="AY105" s="117"/>
      <c r="AZ105" s="117"/>
      <c r="BA105" s="117"/>
      <c r="BB105" s="117"/>
      <c r="BC105" s="117"/>
      <c r="BD105" s="117"/>
      <c r="BE105" s="216">
        <v>18</v>
      </c>
      <c r="BF105" s="216">
        <v>18</v>
      </c>
      <c r="BG105" s="216"/>
      <c r="BH105" s="217"/>
      <c r="BI105" s="150"/>
      <c r="BJ105" s="121"/>
      <c r="BK105" s="121"/>
      <c r="BL105" s="121"/>
      <c r="BM105" s="121"/>
      <c r="BN105" s="121"/>
      <c r="BO105" s="121"/>
      <c r="BP105" s="121"/>
      <c r="BQ105" s="121"/>
      <c r="BR105" s="121"/>
      <c r="BS105" s="121"/>
      <c r="BT105" s="121"/>
      <c r="BU105" s="121"/>
      <c r="BV105" s="199"/>
      <c r="BW105" s="199"/>
      <c r="BX105" s="199"/>
      <c r="BY105" s="199"/>
      <c r="BZ105" s="199"/>
      <c r="CA105" s="199"/>
      <c r="CB105" s="199"/>
      <c r="CC105" s="199"/>
      <c r="CD105" s="199"/>
      <c r="CE105" s="199"/>
      <c r="CF105" s="199"/>
      <c r="CG105" s="199"/>
      <c r="CH105" s="199"/>
      <c r="CI105" s="121"/>
      <c r="CJ105" s="121"/>
      <c r="CK105" s="121"/>
      <c r="CL105" s="121"/>
      <c r="CM105" s="121"/>
      <c r="CN105" s="200"/>
      <c r="CO105" s="201"/>
      <c r="CP105" s="202"/>
      <c r="CQ105" s="202"/>
      <c r="CR105" s="202"/>
      <c r="CS105" s="202"/>
      <c r="CT105" s="203"/>
      <c r="CU105" s="204">
        <v>6</v>
      </c>
      <c r="CV105" s="199">
        <v>6</v>
      </c>
      <c r="CW105" s="205">
        <v>6</v>
      </c>
      <c r="CX105" s="132"/>
      <c r="CY105" s="132"/>
      <c r="CZ105" s="132"/>
      <c r="DA105" s="132"/>
      <c r="DB105" s="132"/>
      <c r="DC105" s="132"/>
      <c r="DD105" s="132"/>
      <c r="DE105" s="103"/>
      <c r="DF105" s="103"/>
      <c r="DG105" s="103"/>
      <c r="DH105" s="103"/>
      <c r="DI105" s="103"/>
      <c r="DJ105" s="103"/>
      <c r="DK105" s="130"/>
      <c r="DL105" s="130"/>
      <c r="DM105" s="130"/>
      <c r="DN105" s="132"/>
      <c r="DO105" s="132"/>
    </row>
    <row r="106" ht="41.1" customHeight="1" spans="1:119">
      <c r="A106" s="131">
        <v>43694</v>
      </c>
      <c r="B106" s="132" t="s">
        <v>13349</v>
      </c>
      <c r="C106" s="160">
        <v>4500022229</v>
      </c>
      <c r="D106" s="215" t="s">
        <v>6459</v>
      </c>
      <c r="E106" s="221" t="s">
        <v>13322</v>
      </c>
      <c r="F106" s="136" t="s">
        <v>13297</v>
      </c>
      <c r="G106" s="222" t="s">
        <v>13344</v>
      </c>
      <c r="H106" s="138">
        <v>3</v>
      </c>
      <c r="I106" s="132"/>
      <c r="J106" s="132"/>
      <c r="K106" s="132"/>
      <c r="L106" s="139"/>
      <c r="M106" s="140"/>
      <c r="N106" s="208"/>
      <c r="O106" s="208"/>
      <c r="P106" s="209"/>
      <c r="Q106" s="208"/>
      <c r="R106" s="208"/>
      <c r="S106" s="210"/>
      <c r="T106" s="208"/>
      <c r="U106" s="211"/>
      <c r="V106" s="153"/>
      <c r="W106" s="154"/>
      <c r="X106" s="155"/>
      <c r="Y106" s="146"/>
      <c r="Z106" s="156"/>
      <c r="AA106" s="157"/>
      <c r="AB106" s="157"/>
      <c r="AC106" s="158"/>
      <c r="AD106" s="159"/>
      <c r="AE106" s="223"/>
      <c r="AF106" s="223"/>
      <c r="AG106" s="223"/>
      <c r="AH106" s="223"/>
      <c r="AI106" s="223"/>
      <c r="AJ106" s="117"/>
      <c r="AK106" s="117"/>
      <c r="AL106" s="117"/>
      <c r="AM106" s="117"/>
      <c r="AN106" s="117"/>
      <c r="AO106" s="117"/>
      <c r="AP106" s="117"/>
      <c r="AQ106" s="117"/>
      <c r="AR106" s="117"/>
      <c r="AS106" s="117"/>
      <c r="AT106" s="117"/>
      <c r="AU106" s="117"/>
      <c r="AV106" s="117"/>
      <c r="AW106" s="117"/>
      <c r="AX106" s="117"/>
      <c r="AY106" s="117"/>
      <c r="AZ106" s="117"/>
      <c r="BA106" s="117"/>
      <c r="BB106" s="117"/>
      <c r="BC106" s="117"/>
      <c r="BD106" s="117"/>
      <c r="BE106" s="216">
        <v>3</v>
      </c>
      <c r="BF106" s="216">
        <v>3</v>
      </c>
      <c r="BG106" s="216"/>
      <c r="BH106" s="217"/>
      <c r="BI106" s="150"/>
      <c r="BJ106" s="121"/>
      <c r="BK106" s="121"/>
      <c r="BL106" s="121"/>
      <c r="BM106" s="121"/>
      <c r="BN106" s="121"/>
      <c r="BO106" s="121"/>
      <c r="BP106" s="121"/>
      <c r="BQ106" s="121"/>
      <c r="BR106" s="121"/>
      <c r="BS106" s="121"/>
      <c r="BT106" s="121"/>
      <c r="BU106" s="121"/>
      <c r="BV106" s="199"/>
      <c r="BW106" s="199"/>
      <c r="BX106" s="199"/>
      <c r="BY106" s="199"/>
      <c r="BZ106" s="199"/>
      <c r="CA106" s="199"/>
      <c r="CB106" s="199"/>
      <c r="CC106" s="199"/>
      <c r="CD106" s="199"/>
      <c r="CE106" s="199"/>
      <c r="CF106" s="199"/>
      <c r="CG106" s="199"/>
      <c r="CH106" s="199"/>
      <c r="CI106" s="121"/>
      <c r="CJ106" s="121"/>
      <c r="CK106" s="121"/>
      <c r="CL106" s="121"/>
      <c r="CM106" s="121"/>
      <c r="CN106" s="200"/>
      <c r="CO106" s="201"/>
      <c r="CP106" s="202"/>
      <c r="CQ106" s="202"/>
      <c r="CR106" s="202"/>
      <c r="CS106" s="202"/>
      <c r="CT106" s="203"/>
      <c r="CU106" s="204">
        <v>1</v>
      </c>
      <c r="CV106" s="199">
        <v>1</v>
      </c>
      <c r="CW106" s="205">
        <v>1</v>
      </c>
      <c r="CX106" s="132"/>
      <c r="CY106" s="132"/>
      <c r="CZ106" s="132"/>
      <c r="DA106" s="132"/>
      <c r="DB106" s="132"/>
      <c r="DC106" s="132"/>
      <c r="DD106" s="132"/>
      <c r="DE106" s="103"/>
      <c r="DF106" s="103"/>
      <c r="DG106" s="103"/>
      <c r="DH106" s="103"/>
      <c r="DI106" s="103"/>
      <c r="DJ106" s="103"/>
      <c r="DK106" s="130"/>
      <c r="DL106" s="130"/>
      <c r="DM106" s="130"/>
      <c r="DN106" s="132"/>
      <c r="DO106" s="132"/>
    </row>
    <row r="107" ht="41.1" customHeight="1" spans="1:119">
      <c r="A107" s="131">
        <v>43696</v>
      </c>
      <c r="B107" s="132" t="s">
        <v>13195</v>
      </c>
      <c r="C107" s="160">
        <v>4500019758</v>
      </c>
      <c r="D107" s="215" t="s">
        <v>13350</v>
      </c>
      <c r="E107" s="221" t="s">
        <v>13322</v>
      </c>
      <c r="F107" s="136" t="s">
        <v>13351</v>
      </c>
      <c r="G107" s="222" t="s">
        <v>13268</v>
      </c>
      <c r="H107" s="138">
        <v>12</v>
      </c>
      <c r="I107" s="132"/>
      <c r="J107" s="132"/>
      <c r="K107" s="132"/>
      <c r="L107" s="139"/>
      <c r="M107" s="140"/>
      <c r="N107" s="208"/>
      <c r="O107" s="208"/>
      <c r="P107" s="209"/>
      <c r="Q107" s="208"/>
      <c r="R107" s="208"/>
      <c r="S107" s="210"/>
      <c r="T107" s="208"/>
      <c r="U107" s="211"/>
      <c r="V107" s="153"/>
      <c r="W107" s="154"/>
      <c r="X107" s="155"/>
      <c r="Y107" s="146"/>
      <c r="Z107" s="156"/>
      <c r="AA107" s="157"/>
      <c r="AB107" s="157"/>
      <c r="AC107" s="158"/>
      <c r="AD107" s="159"/>
      <c r="AE107" s="117">
        <v>12</v>
      </c>
      <c r="AF107" s="117"/>
      <c r="AG107" s="117"/>
      <c r="AH107" s="117"/>
      <c r="AI107" s="117">
        <v>12</v>
      </c>
      <c r="AJ107" s="117"/>
      <c r="AK107" s="117"/>
      <c r="AL107" s="117"/>
      <c r="AM107" s="117"/>
      <c r="AN107" s="117"/>
      <c r="AO107" s="117"/>
      <c r="AP107" s="117"/>
      <c r="AQ107" s="117"/>
      <c r="AR107" s="117"/>
      <c r="AS107" s="117"/>
      <c r="AT107" s="117"/>
      <c r="AU107" s="117"/>
      <c r="AV107" s="117"/>
      <c r="AW107" s="117"/>
      <c r="AX107" s="117"/>
      <c r="AY107" s="117"/>
      <c r="AZ107" s="117"/>
      <c r="BA107" s="117"/>
      <c r="BB107" s="117"/>
      <c r="BC107" s="117"/>
      <c r="BD107" s="117"/>
      <c r="BE107" s="216"/>
      <c r="BF107" s="216"/>
      <c r="BG107" s="216"/>
      <c r="BH107" s="217"/>
      <c r="BI107" s="150"/>
      <c r="BJ107" s="121"/>
      <c r="BK107" s="121"/>
      <c r="BL107" s="121"/>
      <c r="BM107" s="121"/>
      <c r="BN107" s="121"/>
      <c r="BO107" s="121"/>
      <c r="BP107" s="121"/>
      <c r="BQ107" s="121"/>
      <c r="BR107" s="121"/>
      <c r="BS107" s="121"/>
      <c r="BT107" s="121"/>
      <c r="BU107" s="121"/>
      <c r="BV107" s="199">
        <v>1</v>
      </c>
      <c r="BW107" s="199">
        <v>1</v>
      </c>
      <c r="BX107" s="199">
        <v>1</v>
      </c>
      <c r="BY107" s="199">
        <v>1</v>
      </c>
      <c r="BZ107" s="199">
        <v>1</v>
      </c>
      <c r="CA107" s="199">
        <v>1</v>
      </c>
      <c r="CB107" s="199">
        <v>1</v>
      </c>
      <c r="CC107" s="199">
        <v>1</v>
      </c>
      <c r="CD107" s="199">
        <v>1</v>
      </c>
      <c r="CE107" s="199">
        <v>1</v>
      </c>
      <c r="CF107" s="199">
        <v>1</v>
      </c>
      <c r="CG107" s="199">
        <v>1</v>
      </c>
      <c r="CH107" s="199">
        <v>1</v>
      </c>
      <c r="CI107" s="121"/>
      <c r="CJ107" s="121"/>
      <c r="CK107" s="121"/>
      <c r="CL107" s="121"/>
      <c r="CM107" s="121"/>
      <c r="CN107" s="200"/>
      <c r="CO107" s="201"/>
      <c r="CP107" s="202"/>
      <c r="CQ107" s="202"/>
      <c r="CR107" s="202"/>
      <c r="CS107" s="202"/>
      <c r="CT107" s="203"/>
      <c r="CU107" s="204"/>
      <c r="CV107" s="199"/>
      <c r="CW107" s="205"/>
      <c r="CX107" s="132"/>
      <c r="CY107" s="132"/>
      <c r="CZ107" s="132"/>
      <c r="DA107" s="132"/>
      <c r="DB107" s="132"/>
      <c r="DC107" s="132"/>
      <c r="DD107" s="132"/>
      <c r="DE107" s="103"/>
      <c r="DF107" s="103"/>
      <c r="DG107" s="103"/>
      <c r="DH107" s="103"/>
      <c r="DI107" s="103"/>
      <c r="DJ107" s="103"/>
      <c r="DK107" s="130"/>
      <c r="DL107" s="130"/>
      <c r="DM107" s="130"/>
      <c r="DN107" s="132"/>
      <c r="DO107" s="132"/>
    </row>
    <row r="108" ht="41.1" customHeight="1" spans="1:119">
      <c r="A108" s="131">
        <v>43697</v>
      </c>
      <c r="B108" s="132" t="s">
        <v>13349</v>
      </c>
      <c r="C108" s="160">
        <v>4500022229</v>
      </c>
      <c r="D108" s="215" t="s">
        <v>6459</v>
      </c>
      <c r="E108" s="221" t="s">
        <v>13322</v>
      </c>
      <c r="F108" s="136" t="s">
        <v>13297</v>
      </c>
      <c r="G108" s="222" t="s">
        <v>13344</v>
      </c>
      <c r="H108" s="138">
        <v>6</v>
      </c>
      <c r="I108" s="132"/>
      <c r="J108" s="132"/>
      <c r="K108" s="132"/>
      <c r="L108" s="139"/>
      <c r="M108" s="140"/>
      <c r="N108" s="208"/>
      <c r="O108" s="208"/>
      <c r="P108" s="209"/>
      <c r="Q108" s="208"/>
      <c r="R108" s="208"/>
      <c r="S108" s="210"/>
      <c r="T108" s="208"/>
      <c r="U108" s="211"/>
      <c r="V108" s="153"/>
      <c r="W108" s="154"/>
      <c r="X108" s="155"/>
      <c r="Y108" s="146"/>
      <c r="Z108" s="156"/>
      <c r="AA108" s="157"/>
      <c r="AB108" s="157"/>
      <c r="AC108" s="158"/>
      <c r="AD108" s="159"/>
      <c r="AE108" s="117"/>
      <c r="AF108" s="117"/>
      <c r="AG108" s="117"/>
      <c r="AH108" s="117"/>
      <c r="AI108" s="117"/>
      <c r="AJ108" s="117"/>
      <c r="AK108" s="117"/>
      <c r="AL108" s="117"/>
      <c r="AM108" s="117"/>
      <c r="AN108" s="117"/>
      <c r="AO108" s="117"/>
      <c r="AP108" s="117"/>
      <c r="AQ108" s="117"/>
      <c r="AR108" s="117"/>
      <c r="AS108" s="117"/>
      <c r="AT108" s="117"/>
      <c r="AU108" s="117"/>
      <c r="AV108" s="117"/>
      <c r="AW108" s="117"/>
      <c r="AX108" s="117"/>
      <c r="AY108" s="117"/>
      <c r="AZ108" s="117"/>
      <c r="BA108" s="117"/>
      <c r="BB108" s="117"/>
      <c r="BC108" s="117"/>
      <c r="BD108" s="117"/>
      <c r="BE108" s="216">
        <v>6</v>
      </c>
      <c r="BF108" s="216">
        <v>6</v>
      </c>
      <c r="BG108" s="216"/>
      <c r="BH108" s="217"/>
      <c r="BI108" s="150"/>
      <c r="BJ108" s="121"/>
      <c r="BK108" s="121"/>
      <c r="BL108" s="121"/>
      <c r="BM108" s="121"/>
      <c r="BN108" s="121"/>
      <c r="BO108" s="121"/>
      <c r="BP108" s="121"/>
      <c r="BQ108" s="121"/>
      <c r="BR108" s="121"/>
      <c r="BS108" s="121"/>
      <c r="BT108" s="121"/>
      <c r="BU108" s="121"/>
      <c r="BV108" s="199"/>
      <c r="BW108" s="199"/>
      <c r="BX108" s="199"/>
      <c r="BY108" s="199"/>
      <c r="BZ108" s="199"/>
      <c r="CA108" s="199"/>
      <c r="CB108" s="199"/>
      <c r="CC108" s="199"/>
      <c r="CD108" s="199"/>
      <c r="CE108" s="199"/>
      <c r="CF108" s="199"/>
      <c r="CG108" s="199"/>
      <c r="CH108" s="199"/>
      <c r="CI108" s="121"/>
      <c r="CJ108" s="121"/>
      <c r="CK108" s="121"/>
      <c r="CL108" s="121"/>
      <c r="CM108" s="121"/>
      <c r="CN108" s="200"/>
      <c r="CO108" s="201"/>
      <c r="CP108" s="202"/>
      <c r="CQ108" s="202"/>
      <c r="CR108" s="202"/>
      <c r="CS108" s="202"/>
      <c r="CT108" s="203"/>
      <c r="CU108" s="204">
        <v>2</v>
      </c>
      <c r="CV108" s="199">
        <v>2</v>
      </c>
      <c r="CW108" s="205">
        <v>2</v>
      </c>
      <c r="CX108" s="132"/>
      <c r="CY108" s="132"/>
      <c r="CZ108" s="132"/>
      <c r="DA108" s="132"/>
      <c r="DB108" s="132"/>
      <c r="DC108" s="132"/>
      <c r="DD108" s="132"/>
      <c r="DE108" s="103"/>
      <c r="DF108" s="103"/>
      <c r="DG108" s="103"/>
      <c r="DH108" s="103"/>
      <c r="DI108" s="103"/>
      <c r="DJ108" s="103"/>
      <c r="DK108" s="130"/>
      <c r="DL108" s="130"/>
      <c r="DM108" s="130"/>
      <c r="DN108" s="132"/>
      <c r="DO108" s="132"/>
    </row>
    <row r="109" ht="41.1" customHeight="1" spans="1:119">
      <c r="A109" s="131">
        <v>43704</v>
      </c>
      <c r="B109" s="132" t="s">
        <v>13352</v>
      </c>
      <c r="C109" s="160">
        <v>4500023487</v>
      </c>
      <c r="D109" s="215" t="s">
        <v>13353</v>
      </c>
      <c r="E109" s="137" t="s">
        <v>13315</v>
      </c>
      <c r="F109" s="136" t="s">
        <v>13354</v>
      </c>
      <c r="G109" s="137" t="s">
        <v>13355</v>
      </c>
      <c r="H109" s="138">
        <v>36</v>
      </c>
      <c r="I109" s="132"/>
      <c r="J109" s="132"/>
      <c r="K109" s="132"/>
      <c r="L109" s="139"/>
      <c r="M109" s="140"/>
      <c r="N109" s="208"/>
      <c r="O109" s="208"/>
      <c r="P109" s="209"/>
      <c r="Q109" s="208"/>
      <c r="R109" s="208"/>
      <c r="S109" s="210"/>
      <c r="T109" s="208"/>
      <c r="U109" s="211"/>
      <c r="V109" s="153"/>
      <c r="W109" s="154"/>
      <c r="X109" s="155"/>
      <c r="Y109" s="146"/>
      <c r="Z109" s="156"/>
      <c r="AA109" s="157"/>
      <c r="AB109" s="157"/>
      <c r="AC109" s="158"/>
      <c r="AD109" s="159"/>
      <c r="AE109" s="117">
        <v>36</v>
      </c>
      <c r="AF109" s="117"/>
      <c r="AG109" s="117"/>
      <c r="AH109" s="117">
        <v>36</v>
      </c>
      <c r="AI109" s="117"/>
      <c r="AJ109" s="117"/>
      <c r="AK109" s="117"/>
      <c r="AL109" s="117"/>
      <c r="AM109" s="117"/>
      <c r="AN109" s="117"/>
      <c r="AO109" s="117"/>
      <c r="AP109" s="117"/>
      <c r="AQ109" s="117"/>
      <c r="AR109" s="117"/>
      <c r="AS109" s="117"/>
      <c r="AT109" s="117"/>
      <c r="AU109" s="117"/>
      <c r="AV109" s="117"/>
      <c r="AW109" s="117"/>
      <c r="AX109" s="117"/>
      <c r="AY109" s="117"/>
      <c r="AZ109" s="117"/>
      <c r="BA109" s="117"/>
      <c r="BB109" s="117"/>
      <c r="BC109" s="117"/>
      <c r="BD109" s="117"/>
      <c r="BE109" s="216"/>
      <c r="BF109" s="216"/>
      <c r="BG109" s="216"/>
      <c r="BH109" s="217"/>
      <c r="BI109" s="150"/>
      <c r="BJ109" s="121"/>
      <c r="BK109" s="121"/>
      <c r="BL109" s="121"/>
      <c r="BM109" s="121"/>
      <c r="BN109" s="121"/>
      <c r="BO109" s="121"/>
      <c r="BP109" s="121"/>
      <c r="BQ109" s="121"/>
      <c r="BR109" s="121"/>
      <c r="BS109" s="121"/>
      <c r="BT109" s="121"/>
      <c r="BU109" s="121"/>
      <c r="BV109" s="199">
        <v>4</v>
      </c>
      <c r="BW109" s="199">
        <v>4</v>
      </c>
      <c r="BX109" s="199">
        <v>4</v>
      </c>
      <c r="BY109" s="199">
        <v>4</v>
      </c>
      <c r="BZ109" s="199">
        <v>4</v>
      </c>
      <c r="CA109" s="199"/>
      <c r="CB109" s="199"/>
      <c r="CC109" s="199"/>
      <c r="CD109" s="199"/>
      <c r="CE109" s="199">
        <v>4</v>
      </c>
      <c r="CF109" s="199">
        <v>4</v>
      </c>
      <c r="CG109" s="199">
        <v>4</v>
      </c>
      <c r="CH109" s="199">
        <v>4</v>
      </c>
      <c r="CI109" s="121"/>
      <c r="CJ109" s="121"/>
      <c r="CK109" s="121"/>
      <c r="CL109" s="121"/>
      <c r="CM109" s="121"/>
      <c r="CN109" s="200"/>
      <c r="CO109" s="201"/>
      <c r="CP109" s="202"/>
      <c r="CQ109" s="202"/>
      <c r="CR109" s="202"/>
      <c r="CS109" s="202"/>
      <c r="CT109" s="203"/>
      <c r="CU109" s="204"/>
      <c r="CV109" s="199"/>
      <c r="CW109" s="205"/>
      <c r="CX109" s="132"/>
      <c r="CY109" s="132"/>
      <c r="CZ109" s="132"/>
      <c r="DA109" s="132"/>
      <c r="DB109" s="132"/>
      <c r="DC109" s="132"/>
      <c r="DD109" s="132"/>
      <c r="DE109" s="103"/>
      <c r="DF109" s="103"/>
      <c r="DG109" s="103"/>
      <c r="DH109" s="103"/>
      <c r="DI109" s="103"/>
      <c r="DJ109" s="103"/>
      <c r="DK109" s="130"/>
      <c r="DL109" s="130"/>
      <c r="DM109" s="130"/>
      <c r="DN109" s="132"/>
      <c r="DO109" s="132"/>
    </row>
    <row r="110" ht="41.1" customHeight="1" spans="1:119">
      <c r="A110" s="131">
        <v>43704</v>
      </c>
      <c r="B110" s="132" t="s">
        <v>12181</v>
      </c>
      <c r="C110" s="160">
        <v>4500023487</v>
      </c>
      <c r="D110" s="215" t="s">
        <v>13353</v>
      </c>
      <c r="E110" s="137" t="s">
        <v>13320</v>
      </c>
      <c r="F110" s="136" t="s">
        <v>13354</v>
      </c>
      <c r="G110" s="137" t="s">
        <v>13355</v>
      </c>
      <c r="H110" s="138">
        <v>18</v>
      </c>
      <c r="I110" s="132"/>
      <c r="J110" s="132"/>
      <c r="K110" s="132"/>
      <c r="L110" s="139"/>
      <c r="M110" s="140"/>
      <c r="N110" s="208"/>
      <c r="O110" s="208"/>
      <c r="P110" s="209"/>
      <c r="Q110" s="208"/>
      <c r="R110" s="208"/>
      <c r="S110" s="210"/>
      <c r="T110" s="208"/>
      <c r="U110" s="211"/>
      <c r="V110" s="153"/>
      <c r="W110" s="154"/>
      <c r="X110" s="155"/>
      <c r="Y110" s="146"/>
      <c r="Z110" s="156"/>
      <c r="AA110" s="157"/>
      <c r="AB110" s="157"/>
      <c r="AC110" s="158"/>
      <c r="AD110" s="159"/>
      <c r="AE110" s="117">
        <v>18</v>
      </c>
      <c r="AF110" s="117"/>
      <c r="AG110" s="117"/>
      <c r="AH110" s="117">
        <v>18</v>
      </c>
      <c r="AI110" s="117"/>
      <c r="AJ110" s="117"/>
      <c r="AK110" s="117"/>
      <c r="AL110" s="117"/>
      <c r="AM110" s="117"/>
      <c r="AN110" s="117"/>
      <c r="AO110" s="117"/>
      <c r="AP110" s="117"/>
      <c r="AQ110" s="117"/>
      <c r="AR110" s="117"/>
      <c r="AS110" s="117"/>
      <c r="AT110" s="117"/>
      <c r="AU110" s="117"/>
      <c r="AV110" s="117"/>
      <c r="AW110" s="117"/>
      <c r="AX110" s="117"/>
      <c r="AY110" s="117"/>
      <c r="AZ110" s="117"/>
      <c r="BA110" s="117"/>
      <c r="BB110" s="117"/>
      <c r="BC110" s="117"/>
      <c r="BD110" s="117"/>
      <c r="BE110" s="216"/>
      <c r="BF110" s="216"/>
      <c r="BG110" s="216"/>
      <c r="BH110" s="217"/>
      <c r="BI110" s="150"/>
      <c r="BJ110" s="121"/>
      <c r="BK110" s="121"/>
      <c r="BL110" s="121"/>
      <c r="BM110" s="121"/>
      <c r="BN110" s="121"/>
      <c r="BO110" s="121"/>
      <c r="BP110" s="121"/>
      <c r="BQ110" s="121"/>
      <c r="BR110" s="121"/>
      <c r="BS110" s="121"/>
      <c r="BT110" s="121"/>
      <c r="BU110" s="121"/>
      <c r="BV110" s="199">
        <v>2</v>
      </c>
      <c r="BW110" s="199">
        <v>2</v>
      </c>
      <c r="BX110" s="199">
        <v>2</v>
      </c>
      <c r="BY110" s="199">
        <v>2</v>
      </c>
      <c r="BZ110" s="199">
        <v>2</v>
      </c>
      <c r="CA110" s="199"/>
      <c r="CB110" s="199"/>
      <c r="CC110" s="199"/>
      <c r="CD110" s="199"/>
      <c r="CE110" s="199">
        <v>2</v>
      </c>
      <c r="CF110" s="199">
        <v>2</v>
      </c>
      <c r="CG110" s="199">
        <v>2</v>
      </c>
      <c r="CH110" s="199">
        <v>2</v>
      </c>
      <c r="CI110" s="121"/>
      <c r="CJ110" s="121"/>
      <c r="CK110" s="121"/>
      <c r="CL110" s="121"/>
      <c r="CM110" s="121"/>
      <c r="CN110" s="200"/>
      <c r="CO110" s="201"/>
      <c r="CP110" s="202"/>
      <c r="CQ110" s="202"/>
      <c r="CR110" s="202"/>
      <c r="CS110" s="202"/>
      <c r="CT110" s="203"/>
      <c r="CU110" s="204"/>
      <c r="CV110" s="199"/>
      <c r="CW110" s="205"/>
      <c r="CX110" s="132"/>
      <c r="CY110" s="132"/>
      <c r="CZ110" s="132"/>
      <c r="DA110" s="132"/>
      <c r="DB110" s="132"/>
      <c r="DC110" s="132"/>
      <c r="DD110" s="132"/>
      <c r="DE110" s="103"/>
      <c r="DF110" s="103"/>
      <c r="DG110" s="103"/>
      <c r="DH110" s="103"/>
      <c r="DI110" s="103"/>
      <c r="DJ110" s="103"/>
      <c r="DK110" s="130"/>
      <c r="DL110" s="130"/>
      <c r="DM110" s="130"/>
      <c r="DN110" s="132"/>
      <c r="DO110" s="132"/>
    </row>
    <row r="111" ht="41.1" customHeight="1" spans="1:119">
      <c r="A111" s="131">
        <v>43706</v>
      </c>
      <c r="B111" s="132" t="s">
        <v>13190</v>
      </c>
      <c r="C111" s="160">
        <v>4500019967</v>
      </c>
      <c r="D111" s="215" t="s">
        <v>2681</v>
      </c>
      <c r="E111" s="221" t="s">
        <v>13322</v>
      </c>
      <c r="F111" s="100" t="s">
        <v>13356</v>
      </c>
      <c r="G111" s="222" t="s">
        <v>13344</v>
      </c>
      <c r="H111" s="138">
        <v>9</v>
      </c>
      <c r="I111" s="132"/>
      <c r="J111" s="132"/>
      <c r="K111" s="132"/>
      <c r="L111" s="139"/>
      <c r="M111" s="140"/>
      <c r="N111" s="208"/>
      <c r="O111" s="208"/>
      <c r="P111" s="209"/>
      <c r="Q111" s="208"/>
      <c r="R111" s="208"/>
      <c r="S111" s="210"/>
      <c r="T111" s="208"/>
      <c r="U111" s="211"/>
      <c r="V111" s="153"/>
      <c r="W111" s="154"/>
      <c r="X111" s="155"/>
      <c r="Y111" s="146"/>
      <c r="Z111" s="156"/>
      <c r="AA111" s="157"/>
      <c r="AB111" s="157"/>
      <c r="AC111" s="158"/>
      <c r="AD111" s="159"/>
      <c r="AE111" s="117"/>
      <c r="AF111" s="117"/>
      <c r="AG111" s="117"/>
      <c r="AH111" s="117"/>
      <c r="AI111" s="117"/>
      <c r="AJ111" s="117"/>
      <c r="AK111" s="117"/>
      <c r="AL111" s="117"/>
      <c r="AM111" s="117"/>
      <c r="AN111" s="117"/>
      <c r="AO111" s="117"/>
      <c r="AP111" s="117"/>
      <c r="AQ111" s="117"/>
      <c r="AR111" s="117"/>
      <c r="AS111" s="117"/>
      <c r="AT111" s="117"/>
      <c r="AU111" s="117"/>
      <c r="AV111" s="117"/>
      <c r="AW111" s="117"/>
      <c r="AX111" s="117"/>
      <c r="AY111" s="117"/>
      <c r="AZ111" s="117"/>
      <c r="BA111" s="117"/>
      <c r="BB111" s="117"/>
      <c r="BC111" s="117"/>
      <c r="BD111" s="117"/>
      <c r="BE111" s="216">
        <v>9</v>
      </c>
      <c r="BF111" s="216">
        <v>9</v>
      </c>
      <c r="BG111" s="216"/>
      <c r="BH111" s="217"/>
      <c r="BI111" s="150"/>
      <c r="BJ111" s="121"/>
      <c r="BK111" s="121"/>
      <c r="BL111" s="121"/>
      <c r="BM111" s="121"/>
      <c r="BN111" s="121"/>
      <c r="BO111" s="121"/>
      <c r="BP111" s="121"/>
      <c r="BQ111" s="121"/>
      <c r="BR111" s="121"/>
      <c r="BS111" s="121"/>
      <c r="BT111" s="121"/>
      <c r="BU111" s="121"/>
      <c r="BV111" s="199"/>
      <c r="BW111" s="199"/>
      <c r="BX111" s="199"/>
      <c r="BY111" s="199"/>
      <c r="BZ111" s="199"/>
      <c r="CA111" s="199"/>
      <c r="CB111" s="199"/>
      <c r="CC111" s="199"/>
      <c r="CD111" s="199"/>
      <c r="CE111" s="199"/>
      <c r="CF111" s="199"/>
      <c r="CG111" s="199"/>
      <c r="CH111" s="199"/>
      <c r="CI111" s="121"/>
      <c r="CJ111" s="121"/>
      <c r="CK111" s="121"/>
      <c r="CL111" s="121"/>
      <c r="CM111" s="121"/>
      <c r="CN111" s="200"/>
      <c r="CO111" s="201"/>
      <c r="CP111" s="202"/>
      <c r="CQ111" s="202"/>
      <c r="CR111" s="202"/>
      <c r="CS111" s="202"/>
      <c r="CT111" s="203"/>
      <c r="CU111" s="204">
        <v>3</v>
      </c>
      <c r="CV111" s="199">
        <v>3</v>
      </c>
      <c r="CW111" s="205">
        <v>3</v>
      </c>
      <c r="CX111" s="132"/>
      <c r="CY111" s="132"/>
      <c r="CZ111" s="132"/>
      <c r="DA111" s="132"/>
      <c r="DB111" s="132"/>
      <c r="DC111" s="132"/>
      <c r="DD111" s="132"/>
      <c r="DE111" s="103"/>
      <c r="DF111" s="103"/>
      <c r="DG111" s="103"/>
      <c r="DH111" s="103"/>
      <c r="DI111" s="103"/>
      <c r="DJ111" s="103"/>
      <c r="DK111" s="130"/>
      <c r="DL111" s="130"/>
      <c r="DM111" s="130"/>
      <c r="DN111" s="132"/>
      <c r="DO111" s="132"/>
    </row>
    <row r="112" ht="41.1" customHeight="1" spans="1:119">
      <c r="A112" s="131">
        <v>43706</v>
      </c>
      <c r="B112" s="132" t="s">
        <v>11739</v>
      </c>
      <c r="C112" s="160">
        <v>4500022323</v>
      </c>
      <c r="D112" s="215" t="s">
        <v>13312</v>
      </c>
      <c r="E112" s="221" t="s">
        <v>13357</v>
      </c>
      <c r="F112" s="100" t="s">
        <v>13297</v>
      </c>
      <c r="G112" s="222" t="s">
        <v>13344</v>
      </c>
      <c r="H112" s="138">
        <v>1</v>
      </c>
      <c r="I112" s="132"/>
      <c r="J112" s="132"/>
      <c r="K112" s="132"/>
      <c r="L112" s="139"/>
      <c r="M112" s="140"/>
      <c r="N112" s="208"/>
      <c r="O112" s="208"/>
      <c r="P112" s="209"/>
      <c r="Q112" s="208"/>
      <c r="R112" s="208"/>
      <c r="S112" s="210"/>
      <c r="T112" s="208"/>
      <c r="U112" s="211"/>
      <c r="V112" s="153"/>
      <c r="W112" s="154"/>
      <c r="X112" s="155"/>
      <c r="Y112" s="146"/>
      <c r="Z112" s="156"/>
      <c r="AA112" s="157"/>
      <c r="AB112" s="157"/>
      <c r="AC112" s="158"/>
      <c r="AD112" s="159"/>
      <c r="AE112" s="117"/>
      <c r="AF112" s="117"/>
      <c r="AG112" s="117"/>
      <c r="AH112" s="117"/>
      <c r="AI112" s="117"/>
      <c r="AJ112" s="117"/>
      <c r="AK112" s="117"/>
      <c r="AL112" s="117"/>
      <c r="AM112" s="117"/>
      <c r="AN112" s="117"/>
      <c r="AO112" s="117"/>
      <c r="AP112" s="117"/>
      <c r="AQ112" s="117"/>
      <c r="AR112" s="117"/>
      <c r="AS112" s="117"/>
      <c r="AT112" s="117"/>
      <c r="AU112" s="117"/>
      <c r="AV112" s="117"/>
      <c r="AW112" s="117"/>
      <c r="AX112" s="117"/>
      <c r="AY112" s="117"/>
      <c r="AZ112" s="117"/>
      <c r="BA112" s="117"/>
      <c r="BB112" s="117"/>
      <c r="BC112" s="117"/>
      <c r="BD112" s="117"/>
      <c r="BE112" s="216">
        <v>1</v>
      </c>
      <c r="BF112" s="216">
        <v>1</v>
      </c>
      <c r="BG112" s="216"/>
      <c r="BH112" s="217"/>
      <c r="BI112" s="150"/>
      <c r="BJ112" s="121"/>
      <c r="BK112" s="121"/>
      <c r="BL112" s="121"/>
      <c r="BM112" s="121"/>
      <c r="BN112" s="121"/>
      <c r="BO112" s="121"/>
      <c r="BP112" s="121"/>
      <c r="BQ112" s="121"/>
      <c r="BR112" s="121"/>
      <c r="BS112" s="121"/>
      <c r="BT112" s="121"/>
      <c r="BU112" s="121"/>
      <c r="BV112" s="199"/>
      <c r="BW112" s="199"/>
      <c r="BX112" s="199"/>
      <c r="BY112" s="199"/>
      <c r="BZ112" s="199"/>
      <c r="CA112" s="199"/>
      <c r="CB112" s="199"/>
      <c r="CC112" s="199"/>
      <c r="CD112" s="199"/>
      <c r="CE112" s="199"/>
      <c r="CF112" s="199"/>
      <c r="CG112" s="199"/>
      <c r="CH112" s="199"/>
      <c r="CI112" s="121"/>
      <c r="CJ112" s="121"/>
      <c r="CK112" s="121"/>
      <c r="CL112" s="121"/>
      <c r="CM112" s="121"/>
      <c r="CN112" s="200"/>
      <c r="CO112" s="201"/>
      <c r="CP112" s="202"/>
      <c r="CQ112" s="202"/>
      <c r="CR112" s="202"/>
      <c r="CS112" s="202"/>
      <c r="CT112" s="203"/>
      <c r="CU112" s="204"/>
      <c r="CV112" s="199">
        <v>1</v>
      </c>
      <c r="CW112" s="205"/>
      <c r="CX112" s="132"/>
      <c r="CY112" s="132"/>
      <c r="CZ112" s="132"/>
      <c r="DA112" s="132"/>
      <c r="DB112" s="132"/>
      <c r="DC112" s="132"/>
      <c r="DD112" s="132"/>
      <c r="DE112" s="103"/>
      <c r="DF112" s="103"/>
      <c r="DG112" s="103"/>
      <c r="DH112" s="103"/>
      <c r="DI112" s="103"/>
      <c r="DJ112" s="103"/>
      <c r="DK112" s="130"/>
      <c r="DL112" s="130"/>
      <c r="DM112" s="130"/>
      <c r="DN112" s="132"/>
      <c r="DO112" s="132"/>
    </row>
    <row r="113" ht="41.1" customHeight="1" spans="1:119">
      <c r="A113" s="224">
        <v>43712</v>
      </c>
      <c r="B113" s="131" t="s">
        <v>13358</v>
      </c>
      <c r="C113" s="160">
        <v>4500019564</v>
      </c>
      <c r="D113" s="215" t="s">
        <v>13359</v>
      </c>
      <c r="E113" s="221" t="s">
        <v>13322</v>
      </c>
      <c r="F113" s="136" t="s">
        <v>13267</v>
      </c>
      <c r="G113" s="137" t="s">
        <v>13268</v>
      </c>
      <c r="H113" s="138">
        <v>4</v>
      </c>
      <c r="I113" s="132"/>
      <c r="J113" s="132"/>
      <c r="K113" s="132"/>
      <c r="L113" s="139"/>
      <c r="M113" s="140"/>
      <c r="N113" s="208"/>
      <c r="O113" s="208"/>
      <c r="P113" s="209"/>
      <c r="Q113" s="208"/>
      <c r="R113" s="208"/>
      <c r="S113" s="210"/>
      <c r="T113" s="208"/>
      <c r="U113" s="211"/>
      <c r="V113" s="153"/>
      <c r="W113" s="154"/>
      <c r="X113" s="155"/>
      <c r="Y113" s="146"/>
      <c r="Z113" s="156"/>
      <c r="AA113" s="157"/>
      <c r="AB113" s="157"/>
      <c r="AC113" s="158"/>
      <c r="AD113" s="159"/>
      <c r="AE113" s="117"/>
      <c r="AF113" s="117"/>
      <c r="AG113" s="117">
        <v>4</v>
      </c>
      <c r="AH113" s="117"/>
      <c r="AI113" s="117"/>
      <c r="AJ113" s="117"/>
      <c r="AK113" s="117"/>
      <c r="AL113" s="117">
        <v>4</v>
      </c>
      <c r="AM113" s="117"/>
      <c r="AN113" s="117"/>
      <c r="AO113" s="117"/>
      <c r="AP113" s="117"/>
      <c r="AQ113" s="117"/>
      <c r="AR113" s="117"/>
      <c r="AS113" s="117"/>
      <c r="AT113" s="117"/>
      <c r="AU113" s="117"/>
      <c r="AV113" s="117"/>
      <c r="AW113" s="117"/>
      <c r="AX113" s="117"/>
      <c r="AY113" s="117"/>
      <c r="AZ113" s="117"/>
      <c r="BA113" s="117"/>
      <c r="BB113" s="117"/>
      <c r="BC113" s="117"/>
      <c r="BD113" s="117"/>
      <c r="BE113" s="216"/>
      <c r="BF113" s="216"/>
      <c r="BG113" s="216"/>
      <c r="BH113" s="217"/>
      <c r="BI113" s="150"/>
      <c r="BJ113" s="121"/>
      <c r="BK113" s="121"/>
      <c r="BL113" s="121"/>
      <c r="BM113" s="121"/>
      <c r="BN113" s="121"/>
      <c r="BO113" s="121"/>
      <c r="BP113" s="121"/>
      <c r="BQ113" s="121"/>
      <c r="BR113" s="121"/>
      <c r="BS113" s="121"/>
      <c r="BT113" s="121"/>
      <c r="BU113" s="121"/>
      <c r="BV113" s="199">
        <v>1</v>
      </c>
      <c r="BW113" s="199">
        <v>1</v>
      </c>
      <c r="BX113" s="199"/>
      <c r="BY113" s="199"/>
      <c r="BZ113" s="199"/>
      <c r="CA113" s="199">
        <v>1</v>
      </c>
      <c r="CB113" s="199"/>
      <c r="CC113" s="199"/>
      <c r="CD113" s="199"/>
      <c r="CE113" s="199">
        <v>1</v>
      </c>
      <c r="CF113" s="199"/>
      <c r="CG113" s="199"/>
      <c r="CH113" s="199"/>
      <c r="CI113" s="121"/>
      <c r="CJ113" s="121"/>
      <c r="CK113" s="121"/>
      <c r="CL113" s="121"/>
      <c r="CM113" s="121"/>
      <c r="CN113" s="200"/>
      <c r="CO113" s="201"/>
      <c r="CP113" s="202"/>
      <c r="CQ113" s="202"/>
      <c r="CR113" s="202"/>
      <c r="CS113" s="202"/>
      <c r="CT113" s="203"/>
      <c r="CU113" s="204"/>
      <c r="CV113" s="199"/>
      <c r="CW113" s="205"/>
      <c r="CX113" s="132"/>
      <c r="CY113" s="132"/>
      <c r="CZ113" s="132"/>
      <c r="DA113" s="132"/>
      <c r="DB113" s="132"/>
      <c r="DC113" s="132"/>
      <c r="DD113" s="132"/>
      <c r="DE113" s="103"/>
      <c r="DF113" s="103"/>
      <c r="DG113" s="103"/>
      <c r="DH113" s="103"/>
      <c r="DI113" s="103"/>
      <c r="DJ113" s="103"/>
      <c r="DK113" s="130"/>
      <c r="DL113" s="130"/>
      <c r="DM113" s="130"/>
      <c r="DN113" s="132"/>
      <c r="DO113" s="132"/>
    </row>
    <row r="114" ht="41.1" customHeight="1" spans="1:119">
      <c r="A114" s="131">
        <v>43712</v>
      </c>
      <c r="B114" s="132" t="s">
        <v>13360</v>
      </c>
      <c r="C114" s="160"/>
      <c r="D114" s="215"/>
      <c r="E114" s="221" t="s">
        <v>13361</v>
      </c>
      <c r="F114" s="100">
        <v>9209</v>
      </c>
      <c r="G114" s="222" t="s">
        <v>13362</v>
      </c>
      <c r="H114" s="138">
        <v>3</v>
      </c>
      <c r="I114" s="132"/>
      <c r="J114" s="132"/>
      <c r="K114" s="132"/>
      <c r="L114" s="139"/>
      <c r="M114" s="140"/>
      <c r="N114" s="208"/>
      <c r="O114" s="208"/>
      <c r="P114" s="209"/>
      <c r="Q114" s="208"/>
      <c r="R114" s="208"/>
      <c r="S114" s="210"/>
      <c r="T114" s="208"/>
      <c r="U114" s="211"/>
      <c r="V114" s="153"/>
      <c r="W114" s="154"/>
      <c r="X114" s="155"/>
      <c r="Y114" s="146"/>
      <c r="Z114" s="156"/>
      <c r="AA114" s="157"/>
      <c r="AB114" s="157"/>
      <c r="AC114" s="158"/>
      <c r="AD114" s="159"/>
      <c r="AE114" s="117"/>
      <c r="AF114" s="117"/>
      <c r="AG114" s="117"/>
      <c r="AH114" s="117"/>
      <c r="AI114" s="117"/>
      <c r="AJ114" s="117"/>
      <c r="AK114" s="117"/>
      <c r="AL114" s="117"/>
      <c r="AM114" s="117"/>
      <c r="AN114" s="117"/>
      <c r="AO114" s="117"/>
      <c r="AP114" s="117"/>
      <c r="AQ114" s="117"/>
      <c r="AR114" s="117"/>
      <c r="AS114" s="117"/>
      <c r="AT114" s="117"/>
      <c r="AU114" s="117"/>
      <c r="AV114" s="117"/>
      <c r="AW114" s="117"/>
      <c r="AX114" s="117"/>
      <c r="AY114" s="117"/>
      <c r="AZ114" s="117"/>
      <c r="BA114" s="117"/>
      <c r="BB114" s="117"/>
      <c r="BC114" s="117"/>
      <c r="BD114" s="117"/>
      <c r="BE114" s="216">
        <v>3</v>
      </c>
      <c r="BF114" s="216">
        <v>3</v>
      </c>
      <c r="BG114" s="216"/>
      <c r="BH114" s="217"/>
      <c r="BI114" s="150"/>
      <c r="BJ114" s="121"/>
      <c r="BK114" s="121"/>
      <c r="BL114" s="121"/>
      <c r="BM114" s="121"/>
      <c r="BN114" s="121"/>
      <c r="BO114" s="121"/>
      <c r="BP114" s="121"/>
      <c r="BQ114" s="121"/>
      <c r="BR114" s="121"/>
      <c r="BS114" s="121"/>
      <c r="BT114" s="121"/>
      <c r="BU114" s="121"/>
      <c r="BV114" s="199"/>
      <c r="BW114" s="199"/>
      <c r="BX114" s="199"/>
      <c r="BY114" s="199"/>
      <c r="BZ114" s="199"/>
      <c r="CA114" s="199"/>
      <c r="CB114" s="199"/>
      <c r="CC114" s="199"/>
      <c r="CD114" s="199"/>
      <c r="CE114" s="199"/>
      <c r="CF114" s="199"/>
      <c r="CG114" s="199"/>
      <c r="CH114" s="199"/>
      <c r="CI114" s="121"/>
      <c r="CJ114" s="121"/>
      <c r="CK114" s="121"/>
      <c r="CL114" s="121"/>
      <c r="CM114" s="121"/>
      <c r="CN114" s="200"/>
      <c r="CO114" s="201"/>
      <c r="CP114" s="202"/>
      <c r="CQ114" s="202"/>
      <c r="CR114" s="202"/>
      <c r="CS114" s="202"/>
      <c r="CT114" s="203"/>
      <c r="CU114" s="204">
        <v>1</v>
      </c>
      <c r="CV114" s="199">
        <v>1</v>
      </c>
      <c r="CW114" s="205">
        <v>1</v>
      </c>
      <c r="CX114" s="132"/>
      <c r="CY114" s="132"/>
      <c r="CZ114" s="132"/>
      <c r="DA114" s="132"/>
      <c r="DB114" s="132"/>
      <c r="DC114" s="132"/>
      <c r="DD114" s="132"/>
      <c r="DE114" s="103"/>
      <c r="DF114" s="103"/>
      <c r="DG114" s="103"/>
      <c r="DH114" s="103"/>
      <c r="DI114" s="103"/>
      <c r="DJ114" s="103"/>
      <c r="DK114" s="130"/>
      <c r="DL114" s="130"/>
      <c r="DM114" s="130"/>
      <c r="DN114" s="132"/>
      <c r="DO114" s="132"/>
    </row>
    <row r="115" ht="41.1" customHeight="1" spans="1:119">
      <c r="A115" s="131">
        <v>43712</v>
      </c>
      <c r="B115" s="132" t="s">
        <v>13339</v>
      </c>
      <c r="C115" s="160"/>
      <c r="D115" s="215" t="s">
        <v>13340</v>
      </c>
      <c r="E115" s="221" t="s">
        <v>13315</v>
      </c>
      <c r="F115" s="100" t="s">
        <v>13280</v>
      </c>
      <c r="G115" s="137" t="s">
        <v>13283</v>
      </c>
      <c r="H115" s="138">
        <v>24</v>
      </c>
      <c r="I115" s="132"/>
      <c r="J115" s="132"/>
      <c r="K115" s="132"/>
      <c r="L115" s="139"/>
      <c r="M115" s="140"/>
      <c r="N115" s="208"/>
      <c r="O115" s="208"/>
      <c r="P115" s="209"/>
      <c r="Q115" s="208"/>
      <c r="R115" s="208"/>
      <c r="S115" s="210"/>
      <c r="T115" s="208"/>
      <c r="U115" s="211"/>
      <c r="V115" s="153"/>
      <c r="W115" s="154"/>
      <c r="X115" s="155"/>
      <c r="Y115" s="146"/>
      <c r="Z115" s="156"/>
      <c r="AA115" s="157"/>
      <c r="AB115" s="157"/>
      <c r="AC115" s="158"/>
      <c r="AD115" s="159"/>
      <c r="AE115" s="117"/>
      <c r="AF115" s="117"/>
      <c r="AG115" s="117"/>
      <c r="AH115" s="117"/>
      <c r="AI115" s="117"/>
      <c r="AJ115" s="117"/>
      <c r="AK115" s="117"/>
      <c r="AL115" s="117"/>
      <c r="AM115" s="117"/>
      <c r="AN115" s="117"/>
      <c r="AO115" s="117"/>
      <c r="AP115" s="117">
        <v>24</v>
      </c>
      <c r="AQ115" s="117">
        <v>24</v>
      </c>
      <c r="AR115" s="117"/>
      <c r="AS115" s="117"/>
      <c r="AT115" s="117">
        <v>24</v>
      </c>
      <c r="AU115" s="117"/>
      <c r="AV115" s="117"/>
      <c r="AW115" s="117"/>
      <c r="AX115" s="117"/>
      <c r="AY115" s="117"/>
      <c r="AZ115" s="117"/>
      <c r="BA115" s="117"/>
      <c r="BB115" s="117"/>
      <c r="BC115" s="117"/>
      <c r="BD115" s="117"/>
      <c r="BE115" s="216"/>
      <c r="BF115" s="216"/>
      <c r="BG115" s="216"/>
      <c r="BH115" s="217"/>
      <c r="BI115" s="150"/>
      <c r="BJ115" s="121"/>
      <c r="BK115" s="121"/>
      <c r="BL115" s="121"/>
      <c r="BM115" s="121"/>
      <c r="BN115" s="121"/>
      <c r="BO115" s="121"/>
      <c r="BP115" s="121"/>
      <c r="BQ115" s="121"/>
      <c r="BR115" s="121"/>
      <c r="BS115" s="121"/>
      <c r="BT115" s="121"/>
      <c r="BU115" s="121"/>
      <c r="BV115" s="199"/>
      <c r="BW115" s="199"/>
      <c r="BX115" s="199"/>
      <c r="BY115" s="199"/>
      <c r="BZ115" s="199"/>
      <c r="CA115" s="199"/>
      <c r="CB115" s="199"/>
      <c r="CC115" s="199"/>
      <c r="CD115" s="199"/>
      <c r="CE115" s="199"/>
      <c r="CF115" s="199"/>
      <c r="CG115" s="199"/>
      <c r="CH115" s="199"/>
      <c r="CI115" s="121">
        <v>4</v>
      </c>
      <c r="CJ115" s="121">
        <v>4</v>
      </c>
      <c r="CK115" s="121">
        <v>4</v>
      </c>
      <c r="CL115" s="121">
        <v>4</v>
      </c>
      <c r="CM115" s="121">
        <v>4</v>
      </c>
      <c r="CN115" s="200">
        <v>4</v>
      </c>
      <c r="CO115" s="201"/>
      <c r="CP115" s="202"/>
      <c r="CQ115" s="202"/>
      <c r="CR115" s="202"/>
      <c r="CS115" s="202"/>
      <c r="CT115" s="203"/>
      <c r="CU115" s="204"/>
      <c r="CV115" s="199"/>
      <c r="CW115" s="205"/>
      <c r="CX115" s="132"/>
      <c r="CY115" s="132"/>
      <c r="CZ115" s="132"/>
      <c r="DA115" s="132"/>
      <c r="DB115" s="132"/>
      <c r="DC115" s="132"/>
      <c r="DD115" s="132"/>
      <c r="DE115" s="103"/>
      <c r="DF115" s="103"/>
      <c r="DG115" s="103"/>
      <c r="DH115" s="103"/>
      <c r="DI115" s="103"/>
      <c r="DJ115" s="103"/>
      <c r="DK115" s="130"/>
      <c r="DL115" s="130"/>
      <c r="DM115" s="130"/>
      <c r="DN115" s="132"/>
      <c r="DO115" s="132"/>
    </row>
    <row r="116" ht="41.1" customHeight="1" spans="1:119">
      <c r="A116" s="131">
        <v>43712</v>
      </c>
      <c r="B116" s="132" t="s">
        <v>13339</v>
      </c>
      <c r="C116" s="160"/>
      <c r="D116" s="215" t="s">
        <v>13340</v>
      </c>
      <c r="E116" s="221" t="s">
        <v>13315</v>
      </c>
      <c r="F116" s="100">
        <v>9202</v>
      </c>
      <c r="G116" s="137" t="s">
        <v>13268</v>
      </c>
      <c r="H116" s="138">
        <v>8</v>
      </c>
      <c r="I116" s="132"/>
      <c r="J116" s="132"/>
      <c r="K116" s="132"/>
      <c r="L116" s="139"/>
      <c r="M116" s="140"/>
      <c r="N116" s="208"/>
      <c r="O116" s="208"/>
      <c r="P116" s="209"/>
      <c r="Q116" s="208"/>
      <c r="R116" s="208"/>
      <c r="S116" s="210"/>
      <c r="T116" s="208"/>
      <c r="U116" s="211"/>
      <c r="V116" s="153"/>
      <c r="W116" s="154"/>
      <c r="X116" s="155"/>
      <c r="Y116" s="146"/>
      <c r="Z116" s="156"/>
      <c r="AA116" s="157"/>
      <c r="AB116" s="157"/>
      <c r="AC116" s="158"/>
      <c r="AD116" s="159"/>
      <c r="AE116" s="117">
        <v>8</v>
      </c>
      <c r="AF116" s="117"/>
      <c r="AG116" s="117"/>
      <c r="AH116" s="117">
        <v>8</v>
      </c>
      <c r="AI116" s="117"/>
      <c r="AJ116" s="117"/>
      <c r="AK116" s="117"/>
      <c r="AL116" s="117"/>
      <c r="AM116" s="117"/>
      <c r="AN116" s="117"/>
      <c r="AO116" s="117"/>
      <c r="AP116" s="117"/>
      <c r="AQ116" s="117"/>
      <c r="AR116" s="117"/>
      <c r="AS116" s="117"/>
      <c r="AT116" s="117"/>
      <c r="AU116" s="117"/>
      <c r="AV116" s="117"/>
      <c r="AW116" s="117"/>
      <c r="AX116" s="117"/>
      <c r="AY116" s="117"/>
      <c r="AZ116" s="117"/>
      <c r="BA116" s="117"/>
      <c r="BB116" s="117"/>
      <c r="BC116" s="117"/>
      <c r="BD116" s="117"/>
      <c r="BE116" s="216"/>
      <c r="BF116" s="216"/>
      <c r="BG116" s="216"/>
      <c r="BH116" s="217"/>
      <c r="BI116" s="150"/>
      <c r="BJ116" s="121"/>
      <c r="BK116" s="121"/>
      <c r="BL116" s="121"/>
      <c r="BM116" s="121"/>
      <c r="BN116" s="121"/>
      <c r="BO116" s="121"/>
      <c r="BP116" s="121"/>
      <c r="BQ116" s="121"/>
      <c r="BR116" s="121"/>
      <c r="BS116" s="121"/>
      <c r="BT116" s="121"/>
      <c r="BU116" s="121"/>
      <c r="BV116" s="199"/>
      <c r="BW116" s="199"/>
      <c r="BX116" s="199"/>
      <c r="BY116" s="199"/>
      <c r="BZ116" s="199"/>
      <c r="CA116" s="199"/>
      <c r="CB116" s="199"/>
      <c r="CC116" s="199">
        <v>4</v>
      </c>
      <c r="CD116" s="199">
        <v>4</v>
      </c>
      <c r="CE116" s="199"/>
      <c r="CF116" s="199"/>
      <c r="CG116" s="199"/>
      <c r="CH116" s="199"/>
      <c r="CI116" s="121"/>
      <c r="CJ116" s="121"/>
      <c r="CK116" s="121"/>
      <c r="CL116" s="121"/>
      <c r="CM116" s="121"/>
      <c r="CN116" s="200"/>
      <c r="CO116" s="201"/>
      <c r="CP116" s="202"/>
      <c r="CQ116" s="202"/>
      <c r="CR116" s="202"/>
      <c r="CS116" s="202"/>
      <c r="CT116" s="203"/>
      <c r="CU116" s="204"/>
      <c r="CV116" s="199"/>
      <c r="CW116" s="205"/>
      <c r="CX116" s="132"/>
      <c r="CY116" s="132"/>
      <c r="CZ116" s="132"/>
      <c r="DA116" s="132"/>
      <c r="DB116" s="132"/>
      <c r="DC116" s="132"/>
      <c r="DD116" s="132"/>
      <c r="DE116" s="103"/>
      <c r="DF116" s="103"/>
      <c r="DG116" s="103"/>
      <c r="DH116" s="103"/>
      <c r="DI116" s="103"/>
      <c r="DJ116" s="103"/>
      <c r="DK116" s="130"/>
      <c r="DL116" s="130"/>
      <c r="DM116" s="130"/>
      <c r="DN116" s="132"/>
      <c r="DO116" s="132"/>
    </row>
    <row r="117" ht="41.1" customHeight="1" spans="1:119">
      <c r="A117" s="131">
        <v>43717</v>
      </c>
      <c r="B117" s="132" t="s">
        <v>13363</v>
      </c>
      <c r="C117" s="160">
        <v>4500023472</v>
      </c>
      <c r="D117" s="215" t="s">
        <v>13364</v>
      </c>
      <c r="E117" s="221" t="s">
        <v>13322</v>
      </c>
      <c r="F117" s="100" t="s">
        <v>13297</v>
      </c>
      <c r="G117" s="222" t="s">
        <v>13344</v>
      </c>
      <c r="H117" s="138">
        <v>3</v>
      </c>
      <c r="I117" s="132"/>
      <c r="J117" s="132"/>
      <c r="K117" s="132"/>
      <c r="L117" s="139"/>
      <c r="M117" s="140"/>
      <c r="N117" s="208"/>
      <c r="O117" s="208"/>
      <c r="P117" s="209"/>
      <c r="Q117" s="208"/>
      <c r="R117" s="208"/>
      <c r="S117" s="210"/>
      <c r="T117" s="208"/>
      <c r="U117" s="211"/>
      <c r="V117" s="153"/>
      <c r="W117" s="154"/>
      <c r="X117" s="155"/>
      <c r="Y117" s="146"/>
      <c r="Z117" s="156"/>
      <c r="AA117" s="157"/>
      <c r="AB117" s="157"/>
      <c r="AC117" s="158"/>
      <c r="AD117" s="159"/>
      <c r="AE117" s="117"/>
      <c r="AF117" s="117"/>
      <c r="AG117" s="117"/>
      <c r="AH117" s="117"/>
      <c r="AI117" s="117"/>
      <c r="AJ117" s="117"/>
      <c r="AK117" s="117"/>
      <c r="AL117" s="117"/>
      <c r="AM117" s="117"/>
      <c r="AN117" s="117"/>
      <c r="AO117" s="117"/>
      <c r="AP117" s="117"/>
      <c r="AQ117" s="117"/>
      <c r="AR117" s="117"/>
      <c r="AS117" s="117"/>
      <c r="AT117" s="117"/>
      <c r="AU117" s="117"/>
      <c r="AV117" s="117"/>
      <c r="AW117" s="117"/>
      <c r="AX117" s="117"/>
      <c r="AY117" s="117"/>
      <c r="AZ117" s="117"/>
      <c r="BA117" s="117"/>
      <c r="BB117" s="117"/>
      <c r="BC117" s="117"/>
      <c r="BD117" s="117"/>
      <c r="BE117" s="216">
        <v>3</v>
      </c>
      <c r="BF117" s="216">
        <v>3</v>
      </c>
      <c r="BG117" s="216"/>
      <c r="BH117" s="217"/>
      <c r="BI117" s="150"/>
      <c r="BJ117" s="121"/>
      <c r="BK117" s="121"/>
      <c r="BL117" s="121"/>
      <c r="BM117" s="121"/>
      <c r="BN117" s="121"/>
      <c r="BO117" s="121"/>
      <c r="BP117" s="121"/>
      <c r="BQ117" s="121"/>
      <c r="BR117" s="121"/>
      <c r="BS117" s="121"/>
      <c r="BT117" s="121"/>
      <c r="BU117" s="121"/>
      <c r="BV117" s="199"/>
      <c r="BW117" s="199"/>
      <c r="BX117" s="199"/>
      <c r="BY117" s="199"/>
      <c r="BZ117" s="199"/>
      <c r="CA117" s="199"/>
      <c r="CB117" s="199"/>
      <c r="CC117" s="199"/>
      <c r="CD117" s="199"/>
      <c r="CE117" s="199"/>
      <c r="CF117" s="199"/>
      <c r="CG117" s="199"/>
      <c r="CH117" s="199"/>
      <c r="CI117" s="121"/>
      <c r="CJ117" s="121"/>
      <c r="CK117" s="121"/>
      <c r="CL117" s="121"/>
      <c r="CM117" s="121"/>
      <c r="CN117" s="200"/>
      <c r="CO117" s="201"/>
      <c r="CP117" s="202"/>
      <c r="CQ117" s="202"/>
      <c r="CR117" s="202"/>
      <c r="CS117" s="202"/>
      <c r="CT117" s="203"/>
      <c r="CU117" s="204">
        <v>1</v>
      </c>
      <c r="CV117" s="199">
        <v>1</v>
      </c>
      <c r="CW117" s="205">
        <v>1</v>
      </c>
      <c r="CX117" s="132"/>
      <c r="CY117" s="132"/>
      <c r="CZ117" s="132"/>
      <c r="DA117" s="132"/>
      <c r="DB117" s="132"/>
      <c r="DC117" s="132"/>
      <c r="DD117" s="132"/>
      <c r="DE117" s="103"/>
      <c r="DF117" s="103"/>
      <c r="DG117" s="103"/>
      <c r="DH117" s="103"/>
      <c r="DI117" s="103"/>
      <c r="DJ117" s="103"/>
      <c r="DK117" s="130"/>
      <c r="DL117" s="130"/>
      <c r="DM117" s="130"/>
      <c r="DN117" s="132"/>
      <c r="DO117" s="132"/>
    </row>
    <row r="118" ht="41.1" customHeight="1" spans="1:119">
      <c r="A118" s="131">
        <v>43719</v>
      </c>
      <c r="B118" s="132" t="s">
        <v>13190</v>
      </c>
      <c r="C118" s="160">
        <v>4500023297</v>
      </c>
      <c r="D118" s="215" t="s">
        <v>13365</v>
      </c>
      <c r="E118" s="221" t="s">
        <v>13322</v>
      </c>
      <c r="F118" s="136" t="s">
        <v>13290</v>
      </c>
      <c r="G118" s="137" t="s">
        <v>13283</v>
      </c>
      <c r="H118" s="138">
        <v>12</v>
      </c>
      <c r="I118" s="132"/>
      <c r="J118" s="132"/>
      <c r="K118" s="132"/>
      <c r="L118" s="139"/>
      <c r="M118" s="140"/>
      <c r="N118" s="208"/>
      <c r="O118" s="208"/>
      <c r="P118" s="209"/>
      <c r="Q118" s="208"/>
      <c r="R118" s="208"/>
      <c r="S118" s="210"/>
      <c r="T118" s="208"/>
      <c r="U118" s="211"/>
      <c r="V118" s="153"/>
      <c r="W118" s="154"/>
      <c r="X118" s="155"/>
      <c r="Y118" s="146"/>
      <c r="Z118" s="156"/>
      <c r="AA118" s="157"/>
      <c r="AB118" s="157"/>
      <c r="AC118" s="158"/>
      <c r="AD118" s="159"/>
      <c r="AE118" s="117"/>
      <c r="AF118" s="117"/>
      <c r="AG118" s="117"/>
      <c r="AH118" s="117"/>
      <c r="AI118" s="117"/>
      <c r="AJ118" s="117"/>
      <c r="AK118" s="117"/>
      <c r="AL118" s="117"/>
      <c r="AM118" s="117"/>
      <c r="AN118" s="117"/>
      <c r="AO118" s="117"/>
      <c r="AP118" s="117">
        <v>12</v>
      </c>
      <c r="AQ118" s="117">
        <v>12</v>
      </c>
      <c r="AR118" s="117"/>
      <c r="AS118" s="117"/>
      <c r="AT118" s="117"/>
      <c r="AU118" s="117"/>
      <c r="AV118" s="117"/>
      <c r="AW118" s="117"/>
      <c r="AX118" s="117"/>
      <c r="AY118" s="117"/>
      <c r="AZ118" s="117"/>
      <c r="BA118" s="117"/>
      <c r="BB118" s="117"/>
      <c r="BC118" s="117"/>
      <c r="BD118" s="117"/>
      <c r="BE118" s="216"/>
      <c r="BF118" s="216"/>
      <c r="BG118" s="216"/>
      <c r="BH118" s="217"/>
      <c r="BI118" s="150"/>
      <c r="BJ118" s="121"/>
      <c r="BK118" s="121"/>
      <c r="BL118" s="121"/>
      <c r="BM118" s="121"/>
      <c r="BN118" s="121"/>
      <c r="BO118" s="121"/>
      <c r="BP118" s="121"/>
      <c r="BQ118" s="121"/>
      <c r="BR118" s="121"/>
      <c r="BS118" s="121"/>
      <c r="BT118" s="121"/>
      <c r="BU118" s="121"/>
      <c r="BV118" s="199"/>
      <c r="BW118" s="199"/>
      <c r="BX118" s="199"/>
      <c r="BY118" s="199"/>
      <c r="BZ118" s="199"/>
      <c r="CA118" s="199"/>
      <c r="CB118" s="199"/>
      <c r="CC118" s="199"/>
      <c r="CD118" s="199"/>
      <c r="CE118" s="199"/>
      <c r="CF118" s="199"/>
      <c r="CG118" s="199"/>
      <c r="CH118" s="199"/>
      <c r="CI118" s="121">
        <v>2</v>
      </c>
      <c r="CJ118" s="121">
        <v>2</v>
      </c>
      <c r="CK118" s="121">
        <v>2</v>
      </c>
      <c r="CL118" s="121">
        <v>2</v>
      </c>
      <c r="CM118" s="121">
        <v>2</v>
      </c>
      <c r="CN118" s="200">
        <v>2</v>
      </c>
      <c r="CO118" s="201"/>
      <c r="CP118" s="202"/>
      <c r="CQ118" s="202"/>
      <c r="CR118" s="202"/>
      <c r="CS118" s="202"/>
      <c r="CT118" s="203"/>
      <c r="CU118" s="204"/>
      <c r="CV118" s="199"/>
      <c r="CW118" s="205"/>
      <c r="CX118" s="132"/>
      <c r="CY118" s="132"/>
      <c r="CZ118" s="132"/>
      <c r="DA118" s="132"/>
      <c r="DB118" s="132"/>
      <c r="DC118" s="132"/>
      <c r="DD118" s="132"/>
      <c r="DE118" s="103"/>
      <c r="DF118" s="103"/>
      <c r="DG118" s="103"/>
      <c r="DH118" s="103"/>
      <c r="DI118" s="103"/>
      <c r="DJ118" s="103"/>
      <c r="DK118" s="130"/>
      <c r="DL118" s="130"/>
      <c r="DM118" s="130"/>
      <c r="DN118" s="132"/>
      <c r="DO118" s="132"/>
    </row>
    <row r="119" ht="41.1" customHeight="1" spans="1:119">
      <c r="A119" s="131">
        <v>43719</v>
      </c>
      <c r="B119" s="132" t="s">
        <v>13366</v>
      </c>
      <c r="C119" s="160"/>
      <c r="D119" s="215"/>
      <c r="E119" s="221" t="s">
        <v>13367</v>
      </c>
      <c r="F119" s="100" t="s">
        <v>11577</v>
      </c>
      <c r="G119" s="137" t="s">
        <v>13283</v>
      </c>
      <c r="H119" s="138">
        <v>3</v>
      </c>
      <c r="I119" s="132"/>
      <c r="J119" s="132"/>
      <c r="K119" s="132"/>
      <c r="L119" s="139"/>
      <c r="M119" s="140"/>
      <c r="N119" s="208"/>
      <c r="O119" s="208"/>
      <c r="P119" s="209"/>
      <c r="Q119" s="208"/>
      <c r="R119" s="208"/>
      <c r="S119" s="210"/>
      <c r="T119" s="208"/>
      <c r="U119" s="211"/>
      <c r="V119" s="153"/>
      <c r="W119" s="154"/>
      <c r="X119" s="155"/>
      <c r="Y119" s="146"/>
      <c r="Z119" s="156"/>
      <c r="AA119" s="157"/>
      <c r="AB119" s="157"/>
      <c r="AC119" s="158"/>
      <c r="AD119" s="159"/>
      <c r="AE119" s="117"/>
      <c r="AF119" s="117"/>
      <c r="AG119" s="117"/>
      <c r="AH119" s="117"/>
      <c r="AI119" s="117"/>
      <c r="AJ119" s="117"/>
      <c r="AK119" s="117"/>
      <c r="AL119" s="117"/>
      <c r="AM119" s="117"/>
      <c r="AN119" s="117"/>
      <c r="AO119" s="117"/>
      <c r="AP119" s="117"/>
      <c r="AQ119" s="117"/>
      <c r="AR119" s="117"/>
      <c r="AS119" s="117"/>
      <c r="AT119" s="117"/>
      <c r="AU119" s="117">
        <v>3</v>
      </c>
      <c r="AV119" s="117"/>
      <c r="AW119" s="117"/>
      <c r="AX119" s="117"/>
      <c r="AY119" s="117"/>
      <c r="AZ119" s="117"/>
      <c r="BA119" s="117"/>
      <c r="BB119" s="117"/>
      <c r="BC119" s="117"/>
      <c r="BD119" s="117"/>
      <c r="BE119" s="216"/>
      <c r="BF119" s="216"/>
      <c r="BG119" s="216"/>
      <c r="BH119" s="217"/>
      <c r="BI119" s="150"/>
      <c r="BJ119" s="121"/>
      <c r="BK119" s="121"/>
      <c r="BL119" s="121"/>
      <c r="BM119" s="121"/>
      <c r="BN119" s="121"/>
      <c r="BO119" s="121"/>
      <c r="BP119" s="121"/>
      <c r="BQ119" s="121"/>
      <c r="BR119" s="121"/>
      <c r="BS119" s="121"/>
      <c r="BT119" s="121"/>
      <c r="BU119" s="121"/>
      <c r="BV119" s="199"/>
      <c r="BW119" s="199"/>
      <c r="BX119" s="199"/>
      <c r="BY119" s="199"/>
      <c r="BZ119" s="199"/>
      <c r="CA119" s="199"/>
      <c r="CB119" s="199"/>
      <c r="CC119" s="199"/>
      <c r="CD119" s="199"/>
      <c r="CE119" s="199"/>
      <c r="CF119" s="199"/>
      <c r="CG119" s="199"/>
      <c r="CH119" s="199"/>
      <c r="CI119" s="121"/>
      <c r="CJ119" s="121"/>
      <c r="CK119" s="121"/>
      <c r="CL119" s="121"/>
      <c r="CM119" s="121"/>
      <c r="CN119" s="200"/>
      <c r="CO119" s="201"/>
      <c r="CP119" s="202"/>
      <c r="CQ119" s="202"/>
      <c r="CR119" s="202"/>
      <c r="CS119" s="202"/>
      <c r="CT119" s="203"/>
      <c r="CU119" s="204"/>
      <c r="CV119" s="199"/>
      <c r="CW119" s="205"/>
      <c r="CX119" s="132"/>
      <c r="CY119" s="132"/>
      <c r="CZ119" s="132"/>
      <c r="DA119" s="132"/>
      <c r="DB119" s="132"/>
      <c r="DC119" s="132"/>
      <c r="DD119" s="132"/>
      <c r="DE119" s="103"/>
      <c r="DF119" s="103"/>
      <c r="DG119" s="103"/>
      <c r="DH119" s="103"/>
      <c r="DI119" s="103"/>
      <c r="DJ119" s="103"/>
      <c r="DK119" s="130"/>
      <c r="DL119" s="130"/>
      <c r="DM119" s="130"/>
      <c r="DN119" s="132"/>
      <c r="DO119" s="132"/>
    </row>
    <row r="120" ht="41.1" customHeight="1" spans="1:119">
      <c r="A120" s="131">
        <v>43731</v>
      </c>
      <c r="B120" s="132" t="s">
        <v>13368</v>
      </c>
      <c r="C120" s="160">
        <v>4500024755</v>
      </c>
      <c r="D120" s="215" t="s">
        <v>13369</v>
      </c>
      <c r="E120" s="221" t="s">
        <v>13315</v>
      </c>
      <c r="F120" s="100">
        <v>9201</v>
      </c>
      <c r="G120" s="137" t="s">
        <v>13182</v>
      </c>
      <c r="H120" s="138">
        <v>12</v>
      </c>
      <c r="I120" s="132"/>
      <c r="J120" s="132"/>
      <c r="K120" s="132"/>
      <c r="L120" s="139"/>
      <c r="M120" s="140"/>
      <c r="N120" s="208"/>
      <c r="O120" s="208"/>
      <c r="P120" s="209"/>
      <c r="Q120" s="208"/>
      <c r="R120" s="208"/>
      <c r="S120" s="210"/>
      <c r="T120" s="208"/>
      <c r="U120" s="211"/>
      <c r="V120" s="153">
        <v>12</v>
      </c>
      <c r="W120" s="154"/>
      <c r="X120" s="155"/>
      <c r="Y120" s="146"/>
      <c r="Z120" s="156">
        <v>12</v>
      </c>
      <c r="AA120" s="157"/>
      <c r="AB120" s="157"/>
      <c r="AC120" s="158"/>
      <c r="AD120" s="159"/>
      <c r="AE120" s="117"/>
      <c r="AF120" s="117"/>
      <c r="AG120" s="117"/>
      <c r="AH120" s="117"/>
      <c r="AI120" s="117"/>
      <c r="AJ120" s="117"/>
      <c r="AK120" s="117"/>
      <c r="AL120" s="117"/>
      <c r="AM120" s="117"/>
      <c r="AN120" s="117"/>
      <c r="AO120" s="117"/>
      <c r="AP120" s="117"/>
      <c r="AQ120" s="117"/>
      <c r="AR120" s="117"/>
      <c r="AS120" s="117"/>
      <c r="AT120" s="117"/>
      <c r="AU120" s="117"/>
      <c r="AV120" s="117"/>
      <c r="AW120" s="117"/>
      <c r="AX120" s="117"/>
      <c r="AY120" s="117"/>
      <c r="AZ120" s="117"/>
      <c r="BA120" s="117"/>
      <c r="BB120" s="117"/>
      <c r="BC120" s="117"/>
      <c r="BD120" s="117"/>
      <c r="BE120" s="216"/>
      <c r="BF120" s="216"/>
      <c r="BG120" s="216"/>
      <c r="BH120" s="217"/>
      <c r="BI120" s="150"/>
      <c r="BJ120" s="150">
        <v>1</v>
      </c>
      <c r="BK120" s="150">
        <v>1</v>
      </c>
      <c r="BL120" s="150">
        <v>1</v>
      </c>
      <c r="BM120" s="150">
        <v>1</v>
      </c>
      <c r="BN120" s="150">
        <v>1</v>
      </c>
      <c r="BO120" s="150">
        <v>1</v>
      </c>
      <c r="BP120" s="150">
        <v>1</v>
      </c>
      <c r="BQ120" s="150">
        <v>1</v>
      </c>
      <c r="BR120" s="150">
        <v>1</v>
      </c>
      <c r="BS120" s="150">
        <v>1</v>
      </c>
      <c r="BT120" s="150">
        <v>1</v>
      </c>
      <c r="BU120" s="150">
        <v>1</v>
      </c>
      <c r="BV120" s="199"/>
      <c r="BW120" s="199"/>
      <c r="BX120" s="199"/>
      <c r="BY120" s="199"/>
      <c r="BZ120" s="199"/>
      <c r="CA120" s="199"/>
      <c r="CB120" s="199"/>
      <c r="CC120" s="199"/>
      <c r="CD120" s="199"/>
      <c r="CE120" s="199"/>
      <c r="CF120" s="199"/>
      <c r="CG120" s="199"/>
      <c r="CH120" s="199"/>
      <c r="CI120" s="121"/>
      <c r="CJ120" s="121"/>
      <c r="CK120" s="121"/>
      <c r="CL120" s="121"/>
      <c r="CM120" s="121"/>
      <c r="CN120" s="200"/>
      <c r="CO120" s="201"/>
      <c r="CP120" s="202"/>
      <c r="CQ120" s="202"/>
      <c r="CR120" s="202"/>
      <c r="CS120" s="202"/>
      <c r="CT120" s="203"/>
      <c r="CU120" s="204"/>
      <c r="CV120" s="199"/>
      <c r="CW120" s="205"/>
      <c r="CX120" s="132"/>
      <c r="CY120" s="132"/>
      <c r="CZ120" s="132"/>
      <c r="DA120" s="132"/>
      <c r="DB120" s="132"/>
      <c r="DC120" s="132"/>
      <c r="DD120" s="132"/>
      <c r="DE120" s="103"/>
      <c r="DF120" s="103"/>
      <c r="DG120" s="103"/>
      <c r="DH120" s="103"/>
      <c r="DI120" s="103"/>
      <c r="DJ120" s="103"/>
      <c r="DK120" s="130"/>
      <c r="DL120" s="130"/>
      <c r="DM120" s="130"/>
      <c r="DN120" s="132"/>
      <c r="DO120" s="132"/>
    </row>
    <row r="121" ht="41.1" customHeight="1" spans="1:119">
      <c r="A121" s="131">
        <v>43732</v>
      </c>
      <c r="B121" s="132" t="s">
        <v>13307</v>
      </c>
      <c r="C121" s="160">
        <v>4500022166</v>
      </c>
      <c r="D121" s="215" t="s">
        <v>13370</v>
      </c>
      <c r="E121" s="221" t="s">
        <v>13322</v>
      </c>
      <c r="F121" s="100" t="s">
        <v>13297</v>
      </c>
      <c r="G121" s="222" t="s">
        <v>13344</v>
      </c>
      <c r="H121" s="138">
        <v>4</v>
      </c>
      <c r="I121" s="132"/>
      <c r="J121" s="132"/>
      <c r="K121" s="132"/>
      <c r="L121" s="139"/>
      <c r="M121" s="140"/>
      <c r="N121" s="208"/>
      <c r="O121" s="208"/>
      <c r="P121" s="209"/>
      <c r="Q121" s="208"/>
      <c r="R121" s="208"/>
      <c r="S121" s="210"/>
      <c r="T121" s="208"/>
      <c r="U121" s="211"/>
      <c r="V121" s="153"/>
      <c r="W121" s="154"/>
      <c r="X121" s="155"/>
      <c r="Y121" s="146"/>
      <c r="Z121" s="156"/>
      <c r="AA121" s="157"/>
      <c r="AB121" s="157"/>
      <c r="AC121" s="158"/>
      <c r="AD121" s="159"/>
      <c r="AE121" s="117"/>
      <c r="AF121" s="117"/>
      <c r="AG121" s="117"/>
      <c r="AH121" s="117"/>
      <c r="AI121" s="117"/>
      <c r="AJ121" s="117"/>
      <c r="AK121" s="117"/>
      <c r="AL121" s="117"/>
      <c r="AM121" s="117"/>
      <c r="AN121" s="117"/>
      <c r="AO121" s="117"/>
      <c r="AP121" s="117"/>
      <c r="AQ121" s="117"/>
      <c r="AR121" s="117"/>
      <c r="AS121" s="117"/>
      <c r="AT121" s="117"/>
      <c r="AU121" s="117"/>
      <c r="AV121" s="117"/>
      <c r="AW121" s="117"/>
      <c r="AX121" s="117"/>
      <c r="AY121" s="117"/>
      <c r="AZ121" s="117"/>
      <c r="BA121" s="117"/>
      <c r="BB121" s="117"/>
      <c r="BC121" s="117"/>
      <c r="BD121" s="117"/>
      <c r="BE121" s="216">
        <v>4</v>
      </c>
      <c r="BF121" s="216">
        <v>4</v>
      </c>
      <c r="BG121" s="216"/>
      <c r="BH121" s="217"/>
      <c r="BI121" s="150"/>
      <c r="BJ121" s="121"/>
      <c r="BK121" s="121"/>
      <c r="BL121" s="121"/>
      <c r="BM121" s="121"/>
      <c r="BN121" s="121"/>
      <c r="BO121" s="121"/>
      <c r="BP121" s="121"/>
      <c r="BQ121" s="121"/>
      <c r="BR121" s="121"/>
      <c r="BS121" s="121"/>
      <c r="BT121" s="121"/>
      <c r="BU121" s="121"/>
      <c r="BV121" s="199"/>
      <c r="BW121" s="199"/>
      <c r="BX121" s="199"/>
      <c r="BY121" s="199"/>
      <c r="BZ121" s="199"/>
      <c r="CA121" s="199"/>
      <c r="CB121" s="199"/>
      <c r="CC121" s="199"/>
      <c r="CD121" s="199"/>
      <c r="CE121" s="199"/>
      <c r="CF121" s="199"/>
      <c r="CG121" s="199"/>
      <c r="CH121" s="199"/>
      <c r="CI121" s="121"/>
      <c r="CJ121" s="121"/>
      <c r="CK121" s="121"/>
      <c r="CL121" s="121"/>
      <c r="CM121" s="121"/>
      <c r="CN121" s="200"/>
      <c r="CO121" s="201"/>
      <c r="CP121" s="202"/>
      <c r="CQ121" s="202"/>
      <c r="CR121" s="202"/>
      <c r="CS121" s="202"/>
      <c r="CT121" s="203"/>
      <c r="CU121" s="204">
        <v>1</v>
      </c>
      <c r="CV121" s="199">
        <v>1</v>
      </c>
      <c r="CW121" s="205">
        <v>2</v>
      </c>
      <c r="CX121" s="132"/>
      <c r="CY121" s="132"/>
      <c r="CZ121" s="132"/>
      <c r="DA121" s="132"/>
      <c r="DB121" s="132"/>
      <c r="DC121" s="132"/>
      <c r="DD121" s="132"/>
      <c r="DE121" s="103"/>
      <c r="DF121" s="103"/>
      <c r="DG121" s="103"/>
      <c r="DH121" s="103"/>
      <c r="DI121" s="103"/>
      <c r="DJ121" s="103"/>
      <c r="DK121" s="130"/>
      <c r="DL121" s="130"/>
      <c r="DM121" s="130"/>
      <c r="DN121" s="132"/>
      <c r="DO121" s="132"/>
    </row>
    <row r="122" ht="41.1" customHeight="1" spans="1:119">
      <c r="A122" s="131">
        <v>43747</v>
      </c>
      <c r="B122" s="132" t="s">
        <v>11685</v>
      </c>
      <c r="C122" s="160">
        <v>4500024278</v>
      </c>
      <c r="D122" s="218" t="s">
        <v>13371</v>
      </c>
      <c r="E122" s="221" t="s">
        <v>13320</v>
      </c>
      <c r="F122" s="100" t="s">
        <v>13297</v>
      </c>
      <c r="G122" s="222" t="s">
        <v>13344</v>
      </c>
      <c r="H122" s="138">
        <v>6</v>
      </c>
      <c r="I122" s="132"/>
      <c r="J122" s="132"/>
      <c r="K122" s="132"/>
      <c r="L122" s="139"/>
      <c r="M122" s="140"/>
      <c r="N122" s="208"/>
      <c r="O122" s="208"/>
      <c r="P122" s="209"/>
      <c r="Q122" s="208"/>
      <c r="R122" s="208"/>
      <c r="S122" s="210"/>
      <c r="T122" s="208"/>
      <c r="U122" s="211"/>
      <c r="V122" s="153"/>
      <c r="W122" s="154"/>
      <c r="X122" s="155"/>
      <c r="Y122" s="146"/>
      <c r="Z122" s="156"/>
      <c r="AA122" s="157"/>
      <c r="AB122" s="157"/>
      <c r="AC122" s="158"/>
      <c r="AD122" s="159"/>
      <c r="AE122" s="117"/>
      <c r="AF122" s="117"/>
      <c r="AG122" s="117"/>
      <c r="AH122" s="117"/>
      <c r="AI122" s="117"/>
      <c r="AJ122" s="117"/>
      <c r="AK122" s="117"/>
      <c r="AL122" s="117"/>
      <c r="AM122" s="117"/>
      <c r="AN122" s="117"/>
      <c r="AO122" s="117"/>
      <c r="AP122" s="117"/>
      <c r="AQ122" s="117"/>
      <c r="AR122" s="117"/>
      <c r="AS122" s="117"/>
      <c r="AT122" s="117"/>
      <c r="AU122" s="117"/>
      <c r="AV122" s="117"/>
      <c r="AW122" s="117"/>
      <c r="AX122" s="117"/>
      <c r="AY122" s="117"/>
      <c r="AZ122" s="117"/>
      <c r="BA122" s="117"/>
      <c r="BB122" s="117"/>
      <c r="BC122" s="117"/>
      <c r="BD122" s="117"/>
      <c r="BE122" s="216">
        <v>6</v>
      </c>
      <c r="BF122" s="216"/>
      <c r="BG122" s="216"/>
      <c r="BH122" s="217"/>
      <c r="BI122" s="150"/>
      <c r="BJ122" s="121"/>
      <c r="BK122" s="121"/>
      <c r="BL122" s="121"/>
      <c r="BM122" s="121"/>
      <c r="BN122" s="121"/>
      <c r="BO122" s="121"/>
      <c r="BP122" s="121"/>
      <c r="BQ122" s="121"/>
      <c r="BR122" s="121"/>
      <c r="BS122" s="121"/>
      <c r="BT122" s="121"/>
      <c r="BU122" s="121"/>
      <c r="BV122" s="199"/>
      <c r="BW122" s="199"/>
      <c r="BX122" s="199"/>
      <c r="BY122" s="199"/>
      <c r="BZ122" s="199"/>
      <c r="CA122" s="199"/>
      <c r="CB122" s="199"/>
      <c r="CC122" s="199"/>
      <c r="CD122" s="199"/>
      <c r="CE122" s="199"/>
      <c r="CF122" s="199"/>
      <c r="CG122" s="199"/>
      <c r="CH122" s="199"/>
      <c r="CI122" s="121"/>
      <c r="CJ122" s="121"/>
      <c r="CK122" s="121"/>
      <c r="CL122" s="121"/>
      <c r="CM122" s="121"/>
      <c r="CN122" s="200"/>
      <c r="CO122" s="201"/>
      <c r="CP122" s="202"/>
      <c r="CQ122" s="202"/>
      <c r="CR122" s="202"/>
      <c r="CS122" s="202"/>
      <c r="CT122" s="203"/>
      <c r="CU122" s="204">
        <v>2</v>
      </c>
      <c r="CV122" s="199">
        <v>2</v>
      </c>
      <c r="CW122" s="205">
        <v>2</v>
      </c>
      <c r="CX122" s="132"/>
      <c r="CY122" s="132"/>
      <c r="CZ122" s="132"/>
      <c r="DA122" s="132"/>
      <c r="DB122" s="132"/>
      <c r="DC122" s="132"/>
      <c r="DD122" s="132"/>
      <c r="DE122" s="103"/>
      <c r="DF122" s="103"/>
      <c r="DG122" s="103"/>
      <c r="DH122" s="103"/>
      <c r="DI122" s="103"/>
      <c r="DJ122" s="103"/>
      <c r="DK122" s="130"/>
      <c r="DL122" s="130"/>
      <c r="DM122" s="130"/>
      <c r="DN122" s="132"/>
      <c r="DO122" s="132"/>
    </row>
    <row r="123" ht="41.1" customHeight="1" spans="1:119">
      <c r="A123" s="131">
        <v>43752</v>
      </c>
      <c r="B123" s="132" t="s">
        <v>13360</v>
      </c>
      <c r="C123" s="160" t="s">
        <v>9164</v>
      </c>
      <c r="D123" s="218"/>
      <c r="E123" s="221" t="s">
        <v>13320</v>
      </c>
      <c r="F123" s="100">
        <v>9202</v>
      </c>
      <c r="G123" s="222" t="s">
        <v>13268</v>
      </c>
      <c r="H123" s="138">
        <v>12</v>
      </c>
      <c r="I123" s="132"/>
      <c r="J123" s="132"/>
      <c r="K123" s="132"/>
      <c r="L123" s="139"/>
      <c r="M123" s="140"/>
      <c r="N123" s="208"/>
      <c r="O123" s="208"/>
      <c r="P123" s="209"/>
      <c r="Q123" s="208"/>
      <c r="R123" s="208"/>
      <c r="S123" s="210"/>
      <c r="T123" s="208"/>
      <c r="U123" s="211"/>
      <c r="V123" s="153"/>
      <c r="W123" s="154"/>
      <c r="X123" s="155"/>
      <c r="Y123" s="146"/>
      <c r="Z123" s="156"/>
      <c r="AA123" s="157"/>
      <c r="AB123" s="157"/>
      <c r="AC123" s="158"/>
      <c r="AD123" s="159"/>
      <c r="AE123" s="117">
        <v>12</v>
      </c>
      <c r="AF123" s="117"/>
      <c r="AG123" s="117"/>
      <c r="AH123" s="117">
        <v>12</v>
      </c>
      <c r="AI123" s="117"/>
      <c r="AJ123" s="117"/>
      <c r="AK123" s="117"/>
      <c r="AL123" s="117"/>
      <c r="AM123" s="117"/>
      <c r="AN123" s="117"/>
      <c r="AO123" s="117"/>
      <c r="AP123" s="117"/>
      <c r="AQ123" s="117"/>
      <c r="AR123" s="117"/>
      <c r="AS123" s="117"/>
      <c r="AT123" s="117"/>
      <c r="AU123" s="117"/>
      <c r="AV123" s="117"/>
      <c r="AW123" s="117"/>
      <c r="AX123" s="117"/>
      <c r="AY123" s="117"/>
      <c r="AZ123" s="117"/>
      <c r="BA123" s="117"/>
      <c r="BB123" s="117"/>
      <c r="BC123" s="117"/>
      <c r="BD123" s="117"/>
      <c r="BE123" s="216"/>
      <c r="BF123" s="216"/>
      <c r="BG123" s="216"/>
      <c r="BH123" s="217"/>
      <c r="BI123" s="150"/>
      <c r="BJ123" s="121"/>
      <c r="BK123" s="121"/>
      <c r="BL123" s="121"/>
      <c r="BM123" s="121"/>
      <c r="BN123" s="121"/>
      <c r="BO123" s="121"/>
      <c r="BP123" s="121"/>
      <c r="BQ123" s="121"/>
      <c r="BR123" s="121"/>
      <c r="BS123" s="121"/>
      <c r="BT123" s="121"/>
      <c r="BU123" s="121"/>
      <c r="BV123" s="199">
        <v>2</v>
      </c>
      <c r="BW123" s="199"/>
      <c r="BX123" s="199">
        <v>2</v>
      </c>
      <c r="BY123" s="199"/>
      <c r="BZ123" s="199"/>
      <c r="CA123" s="199">
        <v>2</v>
      </c>
      <c r="CB123" s="199"/>
      <c r="CC123" s="199">
        <v>2</v>
      </c>
      <c r="CD123" s="199"/>
      <c r="CE123" s="199">
        <v>2</v>
      </c>
      <c r="CF123" s="199"/>
      <c r="CG123" s="199"/>
      <c r="CH123" s="199">
        <v>2</v>
      </c>
      <c r="CI123" s="121"/>
      <c r="CJ123" s="121"/>
      <c r="CK123" s="121"/>
      <c r="CL123" s="121"/>
      <c r="CM123" s="121"/>
      <c r="CN123" s="200"/>
      <c r="CO123" s="201"/>
      <c r="CP123" s="202"/>
      <c r="CQ123" s="202"/>
      <c r="CR123" s="202"/>
      <c r="CS123" s="202"/>
      <c r="CT123" s="203"/>
      <c r="CU123" s="204"/>
      <c r="CV123" s="199"/>
      <c r="CW123" s="205"/>
      <c r="CX123" s="132"/>
      <c r="CY123" s="132"/>
      <c r="CZ123" s="132"/>
      <c r="DA123" s="132"/>
      <c r="DB123" s="132"/>
      <c r="DC123" s="132"/>
      <c r="DD123" s="132"/>
      <c r="DE123" s="103"/>
      <c r="DF123" s="103"/>
      <c r="DG123" s="103"/>
      <c r="DH123" s="103"/>
      <c r="DI123" s="103"/>
      <c r="DJ123" s="103"/>
      <c r="DK123" s="130"/>
      <c r="DL123" s="130"/>
      <c r="DM123" s="130"/>
      <c r="DN123" s="132"/>
      <c r="DO123" s="132"/>
    </row>
    <row r="124" ht="41.1" customHeight="1" spans="1:119">
      <c r="A124" s="131">
        <v>43780</v>
      </c>
      <c r="B124" s="132" t="s">
        <v>13372</v>
      </c>
      <c r="C124" s="160" t="s">
        <v>9164</v>
      </c>
      <c r="D124" s="218"/>
      <c r="E124" s="221" t="s">
        <v>13315</v>
      </c>
      <c r="F124" s="100">
        <v>9202</v>
      </c>
      <c r="G124" s="222" t="s">
        <v>13268</v>
      </c>
      <c r="H124" s="138">
        <v>26</v>
      </c>
      <c r="I124" s="132"/>
      <c r="J124" s="132"/>
      <c r="K124" s="132"/>
      <c r="L124" s="139"/>
      <c r="M124" s="140"/>
      <c r="N124" s="208"/>
      <c r="O124" s="208"/>
      <c r="P124" s="209"/>
      <c r="Q124" s="208"/>
      <c r="R124" s="208"/>
      <c r="S124" s="210"/>
      <c r="T124" s="208"/>
      <c r="U124" s="211"/>
      <c r="V124" s="153"/>
      <c r="W124" s="154"/>
      <c r="X124" s="155"/>
      <c r="Y124" s="146"/>
      <c r="Z124" s="156"/>
      <c r="AA124" s="157"/>
      <c r="AB124" s="157"/>
      <c r="AC124" s="158"/>
      <c r="AD124" s="159"/>
      <c r="AE124" s="117">
        <v>26</v>
      </c>
      <c r="AF124" s="117"/>
      <c r="AG124" s="117"/>
      <c r="AH124" s="117">
        <v>26</v>
      </c>
      <c r="AI124" s="117"/>
      <c r="AJ124" s="117"/>
      <c r="AK124" s="117"/>
      <c r="AL124" s="117"/>
      <c r="AM124" s="117"/>
      <c r="AN124" s="117"/>
      <c r="AO124" s="117"/>
      <c r="AP124" s="117"/>
      <c r="AQ124" s="117"/>
      <c r="AR124" s="117"/>
      <c r="AS124" s="117"/>
      <c r="AT124" s="117"/>
      <c r="AU124" s="117"/>
      <c r="AV124" s="117"/>
      <c r="AW124" s="117"/>
      <c r="AX124" s="117"/>
      <c r="AY124" s="117"/>
      <c r="AZ124" s="117"/>
      <c r="BA124" s="117"/>
      <c r="BB124" s="117"/>
      <c r="BC124" s="117"/>
      <c r="BD124" s="117"/>
      <c r="BE124" s="216"/>
      <c r="BF124" s="216"/>
      <c r="BG124" s="216"/>
      <c r="BH124" s="217"/>
      <c r="BI124" s="150"/>
      <c r="BJ124" s="121"/>
      <c r="BK124" s="121"/>
      <c r="BL124" s="121"/>
      <c r="BM124" s="121"/>
      <c r="BN124" s="121"/>
      <c r="BO124" s="121"/>
      <c r="BP124" s="121"/>
      <c r="BQ124" s="121"/>
      <c r="BR124" s="121"/>
      <c r="BS124" s="121"/>
      <c r="BT124" s="121"/>
      <c r="BU124" s="121"/>
      <c r="BV124" s="199">
        <v>2</v>
      </c>
      <c r="BW124" s="199">
        <v>2</v>
      </c>
      <c r="BX124" s="199">
        <v>2</v>
      </c>
      <c r="BY124" s="199">
        <v>2</v>
      </c>
      <c r="BZ124" s="199">
        <v>2</v>
      </c>
      <c r="CA124" s="199">
        <v>2</v>
      </c>
      <c r="CB124" s="199">
        <v>2</v>
      </c>
      <c r="CC124" s="199">
        <v>2</v>
      </c>
      <c r="CD124" s="199">
        <v>2</v>
      </c>
      <c r="CE124" s="199">
        <v>2</v>
      </c>
      <c r="CF124" s="199">
        <v>2</v>
      </c>
      <c r="CG124" s="199">
        <v>2</v>
      </c>
      <c r="CH124" s="199">
        <v>2</v>
      </c>
      <c r="CI124" s="121"/>
      <c r="CJ124" s="121"/>
      <c r="CK124" s="121"/>
      <c r="CL124" s="121"/>
      <c r="CM124" s="121"/>
      <c r="CN124" s="200"/>
      <c r="CO124" s="201"/>
      <c r="CP124" s="202"/>
      <c r="CQ124" s="202"/>
      <c r="CR124" s="202"/>
      <c r="CS124" s="202"/>
      <c r="CT124" s="203"/>
      <c r="CU124" s="204"/>
      <c r="CV124" s="199"/>
      <c r="CW124" s="205"/>
      <c r="CX124" s="132"/>
      <c r="CY124" s="132"/>
      <c r="CZ124" s="132"/>
      <c r="DA124" s="132"/>
      <c r="DB124" s="132"/>
      <c r="DC124" s="132"/>
      <c r="DD124" s="132"/>
      <c r="DE124" s="103"/>
      <c r="DF124" s="103"/>
      <c r="DG124" s="103"/>
      <c r="DH124" s="103"/>
      <c r="DI124" s="103"/>
      <c r="DJ124" s="103"/>
      <c r="DK124" s="130"/>
      <c r="DL124" s="130"/>
      <c r="DM124" s="130"/>
      <c r="DN124" s="132"/>
      <c r="DO124" s="132"/>
    </row>
    <row r="125" ht="41.1" customHeight="1" spans="1:119">
      <c r="A125" s="131">
        <v>43782</v>
      </c>
      <c r="B125" s="132" t="s">
        <v>13373</v>
      </c>
      <c r="C125" s="160">
        <v>4500024746</v>
      </c>
      <c r="D125" s="215" t="s">
        <v>13353</v>
      </c>
      <c r="E125" s="221" t="s">
        <v>13320</v>
      </c>
      <c r="F125" s="100">
        <v>9202</v>
      </c>
      <c r="G125" s="222" t="s">
        <v>13268</v>
      </c>
      <c r="H125" s="138">
        <v>3</v>
      </c>
      <c r="I125" s="132"/>
      <c r="J125" s="132"/>
      <c r="K125" s="132"/>
      <c r="L125" s="139"/>
      <c r="M125" s="140"/>
      <c r="N125" s="208"/>
      <c r="O125" s="208"/>
      <c r="P125" s="209"/>
      <c r="Q125" s="208"/>
      <c r="R125" s="208"/>
      <c r="S125" s="210"/>
      <c r="T125" s="208"/>
      <c r="U125" s="211"/>
      <c r="V125" s="153"/>
      <c r="W125" s="154"/>
      <c r="X125" s="155"/>
      <c r="Y125" s="146"/>
      <c r="Z125" s="156"/>
      <c r="AA125" s="157"/>
      <c r="AB125" s="157"/>
      <c r="AC125" s="158"/>
      <c r="AD125" s="159"/>
      <c r="AE125" s="117">
        <v>3</v>
      </c>
      <c r="AF125" s="117"/>
      <c r="AG125" s="117"/>
      <c r="AH125" s="117">
        <v>3</v>
      </c>
      <c r="AI125" s="117"/>
      <c r="AJ125" s="117"/>
      <c r="AK125" s="117"/>
      <c r="AL125" s="117"/>
      <c r="AM125" s="117"/>
      <c r="AN125" s="117"/>
      <c r="AO125" s="117"/>
      <c r="AP125" s="117"/>
      <c r="AQ125" s="117"/>
      <c r="AR125" s="117"/>
      <c r="AS125" s="117"/>
      <c r="AT125" s="117"/>
      <c r="AU125" s="117"/>
      <c r="AV125" s="117"/>
      <c r="AW125" s="117"/>
      <c r="AX125" s="117"/>
      <c r="AY125" s="117"/>
      <c r="AZ125" s="117"/>
      <c r="BA125" s="117"/>
      <c r="BB125" s="117"/>
      <c r="BC125" s="117"/>
      <c r="BD125" s="117"/>
      <c r="BE125" s="216"/>
      <c r="BF125" s="216"/>
      <c r="BG125" s="216"/>
      <c r="BH125" s="217"/>
      <c r="BI125" s="150"/>
      <c r="BJ125" s="121"/>
      <c r="BK125" s="121"/>
      <c r="BL125" s="121"/>
      <c r="BM125" s="121"/>
      <c r="BN125" s="121"/>
      <c r="BO125" s="121"/>
      <c r="BP125" s="121"/>
      <c r="BQ125" s="121"/>
      <c r="BR125" s="121"/>
      <c r="BS125" s="121"/>
      <c r="BT125" s="121"/>
      <c r="BU125" s="121"/>
      <c r="BV125" s="199"/>
      <c r="BW125" s="199"/>
      <c r="BX125" s="199">
        <v>1</v>
      </c>
      <c r="BY125" s="199"/>
      <c r="BZ125" s="199"/>
      <c r="CA125" s="199"/>
      <c r="CB125" s="199"/>
      <c r="CC125" s="199"/>
      <c r="CD125" s="199"/>
      <c r="CE125" s="199">
        <v>1</v>
      </c>
      <c r="CF125" s="199"/>
      <c r="CG125" s="199"/>
      <c r="CH125" s="199">
        <v>1</v>
      </c>
      <c r="CI125" s="121"/>
      <c r="CJ125" s="121"/>
      <c r="CK125" s="121"/>
      <c r="CL125" s="121"/>
      <c r="CM125" s="121"/>
      <c r="CN125" s="200"/>
      <c r="CO125" s="201"/>
      <c r="CP125" s="202"/>
      <c r="CQ125" s="202"/>
      <c r="CR125" s="202"/>
      <c r="CS125" s="202"/>
      <c r="CT125" s="203"/>
      <c r="CU125" s="204"/>
      <c r="CV125" s="199"/>
      <c r="CW125" s="205"/>
      <c r="CX125" s="132"/>
      <c r="CY125" s="132"/>
      <c r="CZ125" s="132"/>
      <c r="DA125" s="132"/>
      <c r="DB125" s="132"/>
      <c r="DC125" s="132"/>
      <c r="DD125" s="132"/>
      <c r="DE125" s="103"/>
      <c r="DF125" s="103"/>
      <c r="DG125" s="103"/>
      <c r="DH125" s="103"/>
      <c r="DI125" s="103"/>
      <c r="DJ125" s="103"/>
      <c r="DK125" s="130"/>
      <c r="DL125" s="130"/>
      <c r="DM125" s="130"/>
      <c r="DN125" s="132"/>
      <c r="DO125" s="132"/>
    </row>
    <row r="126" ht="41.1" customHeight="1" spans="1:119">
      <c r="A126" s="131">
        <v>43788</v>
      </c>
      <c r="B126" s="132" t="s">
        <v>13313</v>
      </c>
      <c r="C126" s="160">
        <v>4500025754</v>
      </c>
      <c r="D126" s="215" t="s">
        <v>13215</v>
      </c>
      <c r="E126" s="221" t="s">
        <v>13322</v>
      </c>
      <c r="F126" s="100">
        <v>9209</v>
      </c>
      <c r="G126" s="222" t="s">
        <v>13344</v>
      </c>
      <c r="H126" s="138">
        <v>9</v>
      </c>
      <c r="I126" s="132"/>
      <c r="J126" s="132"/>
      <c r="K126" s="132"/>
      <c r="L126" s="139"/>
      <c r="M126" s="140"/>
      <c r="N126" s="208"/>
      <c r="O126" s="208"/>
      <c r="P126" s="209"/>
      <c r="Q126" s="208"/>
      <c r="R126" s="208"/>
      <c r="S126" s="210"/>
      <c r="T126" s="208"/>
      <c r="U126" s="211"/>
      <c r="V126" s="153"/>
      <c r="W126" s="154"/>
      <c r="X126" s="155"/>
      <c r="Y126" s="146"/>
      <c r="Z126" s="156"/>
      <c r="AA126" s="157"/>
      <c r="AB126" s="157"/>
      <c r="AC126" s="158"/>
      <c r="AD126" s="159"/>
      <c r="AE126" s="117"/>
      <c r="AF126" s="117"/>
      <c r="AG126" s="117"/>
      <c r="AH126" s="117"/>
      <c r="AI126" s="117"/>
      <c r="AJ126" s="117"/>
      <c r="AK126" s="117"/>
      <c r="AL126" s="117"/>
      <c r="AM126" s="117"/>
      <c r="AN126" s="117"/>
      <c r="AO126" s="117"/>
      <c r="AP126" s="117"/>
      <c r="AQ126" s="117"/>
      <c r="AR126" s="117"/>
      <c r="AS126" s="117"/>
      <c r="AT126" s="117"/>
      <c r="AU126" s="117"/>
      <c r="AV126" s="117"/>
      <c r="AW126" s="117"/>
      <c r="AX126" s="117"/>
      <c r="AY126" s="117"/>
      <c r="AZ126" s="117"/>
      <c r="BA126" s="117"/>
      <c r="BB126" s="117"/>
      <c r="BC126" s="117"/>
      <c r="BD126" s="117"/>
      <c r="BE126" s="216"/>
      <c r="BF126" s="216"/>
      <c r="BG126" s="216">
        <v>9</v>
      </c>
      <c r="BH126" s="217">
        <v>9</v>
      </c>
      <c r="BI126" s="150"/>
      <c r="BJ126" s="121"/>
      <c r="BK126" s="121"/>
      <c r="BL126" s="121"/>
      <c r="BM126" s="121"/>
      <c r="BN126" s="121"/>
      <c r="BO126" s="121"/>
      <c r="BP126" s="121"/>
      <c r="BQ126" s="121"/>
      <c r="BR126" s="121"/>
      <c r="BS126" s="121"/>
      <c r="BT126" s="121"/>
      <c r="BU126" s="121"/>
      <c r="BV126" s="199"/>
      <c r="BW126" s="199"/>
      <c r="BX126" s="199"/>
      <c r="BY126" s="199"/>
      <c r="BZ126" s="199"/>
      <c r="CA126" s="199"/>
      <c r="CB126" s="199"/>
      <c r="CC126" s="199"/>
      <c r="CD126" s="199"/>
      <c r="CE126" s="199"/>
      <c r="CF126" s="199"/>
      <c r="CG126" s="199"/>
      <c r="CH126" s="199"/>
      <c r="CI126" s="121"/>
      <c r="CJ126" s="121"/>
      <c r="CK126" s="121"/>
      <c r="CL126" s="121"/>
      <c r="CM126" s="121"/>
      <c r="CN126" s="200"/>
      <c r="CO126" s="201"/>
      <c r="CP126" s="202"/>
      <c r="CQ126" s="202"/>
      <c r="CR126" s="202"/>
      <c r="CS126" s="202"/>
      <c r="CT126" s="203"/>
      <c r="CU126" s="204">
        <v>3</v>
      </c>
      <c r="CV126" s="199">
        <v>3</v>
      </c>
      <c r="CW126" s="205">
        <v>3</v>
      </c>
      <c r="CX126" s="132"/>
      <c r="CY126" s="132"/>
      <c r="CZ126" s="132"/>
      <c r="DA126" s="132"/>
      <c r="DB126" s="132"/>
      <c r="DC126" s="132"/>
      <c r="DD126" s="132"/>
      <c r="DE126" s="103"/>
      <c r="DF126" s="103"/>
      <c r="DG126" s="103"/>
      <c r="DH126" s="103"/>
      <c r="DI126" s="103"/>
      <c r="DJ126" s="103"/>
      <c r="DK126" s="130"/>
      <c r="DL126" s="130"/>
      <c r="DM126" s="130"/>
      <c r="DN126" s="132"/>
      <c r="DO126" s="132"/>
    </row>
    <row r="127" ht="41.1" customHeight="1" spans="1:119">
      <c r="A127" s="131">
        <v>43789</v>
      </c>
      <c r="B127" s="132" t="s">
        <v>13342</v>
      </c>
      <c r="C127" s="160">
        <v>4500026403</v>
      </c>
      <c r="D127" s="215" t="s">
        <v>13374</v>
      </c>
      <c r="E127" s="221" t="s">
        <v>13322</v>
      </c>
      <c r="F127" s="100">
        <v>9202</v>
      </c>
      <c r="G127" s="222" t="s">
        <v>13268</v>
      </c>
      <c r="H127" s="138">
        <v>1</v>
      </c>
      <c r="I127" s="132"/>
      <c r="J127" s="132"/>
      <c r="K127" s="132"/>
      <c r="L127" s="139"/>
      <c r="M127" s="140"/>
      <c r="N127" s="208"/>
      <c r="O127" s="208"/>
      <c r="P127" s="209"/>
      <c r="Q127" s="208"/>
      <c r="R127" s="208"/>
      <c r="S127" s="210"/>
      <c r="T127" s="208"/>
      <c r="U127" s="211"/>
      <c r="V127" s="153"/>
      <c r="W127" s="154"/>
      <c r="X127" s="155"/>
      <c r="Y127" s="146"/>
      <c r="Z127" s="156"/>
      <c r="AA127" s="157"/>
      <c r="AB127" s="157"/>
      <c r="AC127" s="158"/>
      <c r="AD127" s="159"/>
      <c r="AE127" s="117"/>
      <c r="AF127" s="117"/>
      <c r="AG127" s="117">
        <v>1</v>
      </c>
      <c r="AH127" s="117"/>
      <c r="AI127" s="117"/>
      <c r="AJ127" s="117"/>
      <c r="AK127" s="117"/>
      <c r="AL127" s="117">
        <v>1</v>
      </c>
      <c r="AM127" s="117"/>
      <c r="AN127" s="117"/>
      <c r="AO127" s="117"/>
      <c r="AP127" s="117"/>
      <c r="AQ127" s="117"/>
      <c r="AR127" s="117"/>
      <c r="AS127" s="117"/>
      <c r="AT127" s="117"/>
      <c r="AU127" s="117"/>
      <c r="AV127" s="117"/>
      <c r="AW127" s="117"/>
      <c r="AX127" s="117"/>
      <c r="AY127" s="117"/>
      <c r="AZ127" s="117"/>
      <c r="BA127" s="117"/>
      <c r="BB127" s="117"/>
      <c r="BC127" s="117"/>
      <c r="BD127" s="117"/>
      <c r="BE127" s="216"/>
      <c r="BF127" s="216"/>
      <c r="BG127" s="216"/>
      <c r="BH127" s="217"/>
      <c r="BI127" s="150"/>
      <c r="BJ127" s="121"/>
      <c r="BK127" s="121"/>
      <c r="BL127" s="121"/>
      <c r="BM127" s="121"/>
      <c r="BN127" s="121"/>
      <c r="BO127" s="121"/>
      <c r="BP127" s="121"/>
      <c r="BQ127" s="121"/>
      <c r="BR127" s="121"/>
      <c r="BS127" s="121"/>
      <c r="BT127" s="121"/>
      <c r="BU127" s="121"/>
      <c r="BV127" s="199"/>
      <c r="BW127" s="199"/>
      <c r="BX127" s="199"/>
      <c r="BY127" s="199"/>
      <c r="BZ127" s="199"/>
      <c r="CA127" s="199"/>
      <c r="CB127" s="199"/>
      <c r="CC127" s="199"/>
      <c r="CD127" s="199"/>
      <c r="CE127" s="199">
        <v>1</v>
      </c>
      <c r="CF127" s="199"/>
      <c r="CG127" s="199"/>
      <c r="CH127" s="199"/>
      <c r="CI127" s="121"/>
      <c r="CJ127" s="121"/>
      <c r="CK127" s="121"/>
      <c r="CL127" s="121"/>
      <c r="CM127" s="121"/>
      <c r="CN127" s="200"/>
      <c r="CO127" s="201"/>
      <c r="CP127" s="202"/>
      <c r="CQ127" s="202"/>
      <c r="CR127" s="202"/>
      <c r="CS127" s="202"/>
      <c r="CT127" s="203"/>
      <c r="CU127" s="204"/>
      <c r="CV127" s="199"/>
      <c r="CW127" s="205"/>
      <c r="CX127" s="132"/>
      <c r="CY127" s="132"/>
      <c r="CZ127" s="132"/>
      <c r="DA127" s="132"/>
      <c r="DB127" s="132"/>
      <c r="DC127" s="132"/>
      <c r="DD127" s="132"/>
      <c r="DE127" s="103"/>
      <c r="DF127" s="103"/>
      <c r="DG127" s="103"/>
      <c r="DH127" s="103"/>
      <c r="DI127" s="103"/>
      <c r="DJ127" s="103"/>
      <c r="DK127" s="130"/>
      <c r="DL127" s="130"/>
      <c r="DM127" s="130"/>
      <c r="DN127" s="132"/>
      <c r="DO127" s="132"/>
    </row>
    <row r="128" ht="41.1" customHeight="1" spans="1:119">
      <c r="A128" s="131">
        <v>43789</v>
      </c>
      <c r="B128" s="132" t="s">
        <v>13342</v>
      </c>
      <c r="C128" s="160">
        <v>4500026403</v>
      </c>
      <c r="D128" s="215" t="s">
        <v>13374</v>
      </c>
      <c r="E128" s="221" t="s">
        <v>13322</v>
      </c>
      <c r="F128" s="100">
        <v>9204</v>
      </c>
      <c r="G128" s="137" t="s">
        <v>13283</v>
      </c>
      <c r="H128" s="138">
        <v>1</v>
      </c>
      <c r="I128" s="132"/>
      <c r="J128" s="132"/>
      <c r="K128" s="132"/>
      <c r="L128" s="139"/>
      <c r="M128" s="140"/>
      <c r="N128" s="208"/>
      <c r="O128" s="208"/>
      <c r="P128" s="209"/>
      <c r="Q128" s="208"/>
      <c r="R128" s="208"/>
      <c r="S128" s="210"/>
      <c r="T128" s="208"/>
      <c r="U128" s="211"/>
      <c r="V128" s="153"/>
      <c r="W128" s="154"/>
      <c r="X128" s="155"/>
      <c r="Y128" s="146"/>
      <c r="Z128" s="156"/>
      <c r="AA128" s="157"/>
      <c r="AB128" s="157"/>
      <c r="AC128" s="158"/>
      <c r="AD128" s="159"/>
      <c r="AE128" s="117"/>
      <c r="AF128" s="117"/>
      <c r="AG128" s="117"/>
      <c r="AH128" s="117"/>
      <c r="AI128" s="117"/>
      <c r="AJ128" s="117"/>
      <c r="AK128" s="117"/>
      <c r="AL128" s="117"/>
      <c r="AM128" s="117"/>
      <c r="AN128" s="117"/>
      <c r="AO128" s="117"/>
      <c r="AP128" s="117"/>
      <c r="AQ128" s="117"/>
      <c r="AR128" s="117">
        <v>1</v>
      </c>
      <c r="AS128" s="117">
        <v>1</v>
      </c>
      <c r="AT128" s="117"/>
      <c r="AU128" s="117"/>
      <c r="AV128" s="117"/>
      <c r="AW128" s="117"/>
      <c r="AX128" s="117"/>
      <c r="AY128" s="117"/>
      <c r="AZ128" s="117"/>
      <c r="BA128" s="117"/>
      <c r="BB128" s="117"/>
      <c r="BC128" s="117"/>
      <c r="BD128" s="117"/>
      <c r="BE128" s="216"/>
      <c r="BF128" s="216"/>
      <c r="BG128" s="216"/>
      <c r="BH128" s="217"/>
      <c r="BI128" s="150"/>
      <c r="BJ128" s="121"/>
      <c r="BK128" s="121"/>
      <c r="BL128" s="121"/>
      <c r="BM128" s="121"/>
      <c r="BN128" s="121"/>
      <c r="BO128" s="121"/>
      <c r="BP128" s="121"/>
      <c r="BQ128" s="121"/>
      <c r="BR128" s="121"/>
      <c r="BS128" s="121"/>
      <c r="BT128" s="121"/>
      <c r="BU128" s="121"/>
      <c r="BV128" s="199"/>
      <c r="BW128" s="199"/>
      <c r="BX128" s="199"/>
      <c r="BY128" s="199"/>
      <c r="BZ128" s="199"/>
      <c r="CA128" s="199"/>
      <c r="CB128" s="199"/>
      <c r="CC128" s="199"/>
      <c r="CD128" s="199"/>
      <c r="CE128" s="199"/>
      <c r="CF128" s="199"/>
      <c r="CG128" s="199"/>
      <c r="CH128" s="199"/>
      <c r="CI128" s="121">
        <v>1</v>
      </c>
      <c r="CJ128" s="121"/>
      <c r="CK128" s="121"/>
      <c r="CL128" s="121"/>
      <c r="CM128" s="121"/>
      <c r="CN128" s="200"/>
      <c r="CO128" s="201"/>
      <c r="CP128" s="202"/>
      <c r="CQ128" s="202"/>
      <c r="CR128" s="202"/>
      <c r="CS128" s="202"/>
      <c r="CT128" s="203"/>
      <c r="CU128" s="204"/>
      <c r="CV128" s="199"/>
      <c r="CW128" s="205"/>
      <c r="CX128" s="132"/>
      <c r="CY128" s="132"/>
      <c r="CZ128" s="132"/>
      <c r="DA128" s="132"/>
      <c r="DB128" s="132"/>
      <c r="DC128" s="132"/>
      <c r="DD128" s="132"/>
      <c r="DE128" s="103"/>
      <c r="DF128" s="103"/>
      <c r="DG128" s="103"/>
      <c r="DH128" s="103"/>
      <c r="DI128" s="103"/>
      <c r="DJ128" s="103"/>
      <c r="DK128" s="130"/>
      <c r="DL128" s="130"/>
      <c r="DM128" s="130"/>
      <c r="DN128" s="132"/>
      <c r="DO128" s="132"/>
    </row>
    <row r="129" ht="41.1" customHeight="1" spans="1:119">
      <c r="A129" s="131">
        <v>43791</v>
      </c>
      <c r="B129" s="132" t="s">
        <v>13375</v>
      </c>
      <c r="C129" s="160">
        <v>4500026405</v>
      </c>
      <c r="D129" s="215" t="s">
        <v>13258</v>
      </c>
      <c r="E129" s="221" t="s">
        <v>13320</v>
      </c>
      <c r="F129" s="100">
        <v>9202</v>
      </c>
      <c r="G129" s="222" t="s">
        <v>13268</v>
      </c>
      <c r="H129" s="138">
        <v>11</v>
      </c>
      <c r="I129" s="132"/>
      <c r="J129" s="132"/>
      <c r="K129" s="132"/>
      <c r="L129" s="139"/>
      <c r="M129" s="140"/>
      <c r="N129" s="208"/>
      <c r="O129" s="208"/>
      <c r="P129" s="209"/>
      <c r="Q129" s="208"/>
      <c r="R129" s="208"/>
      <c r="S129" s="210"/>
      <c r="T129" s="208"/>
      <c r="U129" s="211"/>
      <c r="V129" s="153"/>
      <c r="W129" s="154"/>
      <c r="X129" s="155"/>
      <c r="Y129" s="146"/>
      <c r="Z129" s="156"/>
      <c r="AA129" s="157"/>
      <c r="AB129" s="157"/>
      <c r="AC129" s="158"/>
      <c r="AD129" s="159"/>
      <c r="AE129" s="117">
        <v>11</v>
      </c>
      <c r="AF129" s="117"/>
      <c r="AG129" s="117"/>
      <c r="AH129" s="117"/>
      <c r="AI129" s="117">
        <v>11</v>
      </c>
      <c r="AJ129" s="117"/>
      <c r="AK129" s="117"/>
      <c r="AL129" s="117"/>
      <c r="AM129" s="117"/>
      <c r="AN129" s="117"/>
      <c r="AO129" s="117"/>
      <c r="AP129" s="117"/>
      <c r="AQ129" s="117"/>
      <c r="AR129" s="117"/>
      <c r="AS129" s="117"/>
      <c r="AT129" s="117"/>
      <c r="AU129" s="117"/>
      <c r="AV129" s="117"/>
      <c r="AW129" s="117"/>
      <c r="AX129" s="117"/>
      <c r="AY129" s="117"/>
      <c r="AZ129" s="117"/>
      <c r="BA129" s="117"/>
      <c r="BB129" s="117"/>
      <c r="BC129" s="117"/>
      <c r="BD129" s="117"/>
      <c r="BE129" s="216"/>
      <c r="BF129" s="216"/>
      <c r="BG129" s="216"/>
      <c r="BH129" s="217"/>
      <c r="BI129" s="150"/>
      <c r="BJ129" s="121"/>
      <c r="BK129" s="121"/>
      <c r="BL129" s="121"/>
      <c r="BM129" s="121"/>
      <c r="BN129" s="121"/>
      <c r="BO129" s="121"/>
      <c r="BP129" s="121"/>
      <c r="BQ129" s="121"/>
      <c r="BR129" s="121"/>
      <c r="BS129" s="121"/>
      <c r="BT129" s="121"/>
      <c r="BU129" s="121"/>
      <c r="BV129" s="199">
        <v>1</v>
      </c>
      <c r="BW129" s="199">
        <v>1</v>
      </c>
      <c r="BX129" s="199">
        <v>1</v>
      </c>
      <c r="BY129" s="199">
        <v>1</v>
      </c>
      <c r="BZ129" s="199">
        <v>1</v>
      </c>
      <c r="CA129" s="199">
        <v>1</v>
      </c>
      <c r="CB129" s="199">
        <v>1</v>
      </c>
      <c r="CC129" s="199"/>
      <c r="CD129" s="199"/>
      <c r="CE129" s="199">
        <v>1</v>
      </c>
      <c r="CF129" s="199">
        <v>1</v>
      </c>
      <c r="CG129" s="199">
        <v>1</v>
      </c>
      <c r="CH129" s="199">
        <v>1</v>
      </c>
      <c r="CI129" s="121"/>
      <c r="CJ129" s="121"/>
      <c r="CK129" s="121"/>
      <c r="CL129" s="121"/>
      <c r="CM129" s="121"/>
      <c r="CN129" s="200"/>
      <c r="CO129" s="201"/>
      <c r="CP129" s="202"/>
      <c r="CQ129" s="202"/>
      <c r="CR129" s="202"/>
      <c r="CS129" s="202"/>
      <c r="CT129" s="203"/>
      <c r="CU129" s="204"/>
      <c r="CV129" s="199"/>
      <c r="CW129" s="205"/>
      <c r="CX129" s="132"/>
      <c r="CY129" s="132"/>
      <c r="CZ129" s="132"/>
      <c r="DA129" s="132"/>
      <c r="DB129" s="132"/>
      <c r="DC129" s="132"/>
      <c r="DD129" s="132"/>
      <c r="DE129" s="103"/>
      <c r="DF129" s="103"/>
      <c r="DG129" s="103"/>
      <c r="DH129" s="103"/>
      <c r="DI129" s="103"/>
      <c r="DJ129" s="103"/>
      <c r="DK129" s="130"/>
      <c r="DL129" s="130"/>
      <c r="DM129" s="130"/>
      <c r="DN129" s="132"/>
      <c r="DO129" s="132"/>
    </row>
    <row r="130" ht="41.1" customHeight="1" spans="1:119">
      <c r="A130" s="131">
        <v>43796</v>
      </c>
      <c r="B130" s="132" t="s">
        <v>11685</v>
      </c>
      <c r="C130" s="160">
        <v>4500024884</v>
      </c>
      <c r="D130" s="215" t="s">
        <v>13376</v>
      </c>
      <c r="E130" s="221" t="s">
        <v>13361</v>
      </c>
      <c r="F130" s="100">
        <v>9204</v>
      </c>
      <c r="G130" s="137" t="s">
        <v>13283</v>
      </c>
      <c r="H130" s="138">
        <v>1</v>
      </c>
      <c r="I130" s="132"/>
      <c r="J130" s="132"/>
      <c r="K130" s="132"/>
      <c r="L130" s="139"/>
      <c r="M130" s="140"/>
      <c r="N130" s="208"/>
      <c r="O130" s="208"/>
      <c r="P130" s="209"/>
      <c r="Q130" s="208"/>
      <c r="R130" s="208"/>
      <c r="S130" s="210"/>
      <c r="T130" s="208"/>
      <c r="U130" s="211"/>
      <c r="V130" s="153"/>
      <c r="W130" s="154"/>
      <c r="X130" s="155"/>
      <c r="Y130" s="146"/>
      <c r="Z130" s="156"/>
      <c r="AA130" s="157"/>
      <c r="AB130" s="157"/>
      <c r="AC130" s="158"/>
      <c r="AD130" s="159"/>
      <c r="AE130" s="117"/>
      <c r="AF130" s="117"/>
      <c r="AG130" s="117"/>
      <c r="AH130" s="117"/>
      <c r="AI130" s="117"/>
      <c r="AJ130" s="117"/>
      <c r="AK130" s="117"/>
      <c r="AL130" s="117"/>
      <c r="AM130" s="117"/>
      <c r="AN130" s="117"/>
      <c r="AO130" s="117"/>
      <c r="AP130" s="117">
        <v>1</v>
      </c>
      <c r="AQ130" s="117"/>
      <c r="AR130" s="117"/>
      <c r="AS130" s="117"/>
      <c r="AT130" s="117"/>
      <c r="AU130" s="117"/>
      <c r="AV130" s="117"/>
      <c r="AW130" s="117"/>
      <c r="AX130" s="117"/>
      <c r="AY130" s="117"/>
      <c r="AZ130" s="117"/>
      <c r="BA130" s="117"/>
      <c r="BB130" s="117"/>
      <c r="BC130" s="117"/>
      <c r="BD130" s="117"/>
      <c r="BE130" s="216"/>
      <c r="BF130" s="216"/>
      <c r="BG130" s="216"/>
      <c r="BH130" s="217"/>
      <c r="BI130" s="150"/>
      <c r="BJ130" s="121"/>
      <c r="BK130" s="121"/>
      <c r="BL130" s="121"/>
      <c r="BM130" s="121"/>
      <c r="BN130" s="121"/>
      <c r="BO130" s="121"/>
      <c r="BP130" s="121"/>
      <c r="BQ130" s="121"/>
      <c r="BR130" s="121"/>
      <c r="BS130" s="121"/>
      <c r="BT130" s="121"/>
      <c r="BU130" s="121"/>
      <c r="BV130" s="199"/>
      <c r="BW130" s="199"/>
      <c r="BX130" s="199"/>
      <c r="BY130" s="199"/>
      <c r="BZ130" s="199"/>
      <c r="CA130" s="199"/>
      <c r="CB130" s="199"/>
      <c r="CC130" s="199"/>
      <c r="CD130" s="199"/>
      <c r="CE130" s="199"/>
      <c r="CF130" s="199"/>
      <c r="CG130" s="199"/>
      <c r="CH130" s="199"/>
      <c r="CI130" s="121"/>
      <c r="CJ130" s="121"/>
      <c r="CK130" s="121">
        <v>1</v>
      </c>
      <c r="CL130" s="121"/>
      <c r="CM130" s="121"/>
      <c r="CN130" s="200"/>
      <c r="CO130" s="201"/>
      <c r="CP130" s="202"/>
      <c r="CQ130" s="202"/>
      <c r="CR130" s="202"/>
      <c r="CS130" s="202"/>
      <c r="CT130" s="203"/>
      <c r="CU130" s="204"/>
      <c r="CV130" s="199"/>
      <c r="CW130" s="205"/>
      <c r="CX130" s="132"/>
      <c r="CY130" s="132"/>
      <c r="CZ130" s="132"/>
      <c r="DA130" s="132"/>
      <c r="DB130" s="132"/>
      <c r="DC130" s="132"/>
      <c r="DD130" s="132"/>
      <c r="DE130" s="103"/>
      <c r="DF130" s="103"/>
      <c r="DG130" s="103"/>
      <c r="DH130" s="103"/>
      <c r="DI130" s="103"/>
      <c r="DJ130" s="103"/>
      <c r="DK130" s="130"/>
      <c r="DL130" s="130"/>
      <c r="DM130" s="130"/>
      <c r="DN130" s="132"/>
      <c r="DO130" s="132"/>
    </row>
    <row r="131" ht="41.1" customHeight="1" spans="1:119">
      <c r="A131" s="131">
        <v>43796</v>
      </c>
      <c r="B131" s="132" t="s">
        <v>13377</v>
      </c>
      <c r="C131" s="160">
        <v>4500026271</v>
      </c>
      <c r="D131" s="215" t="s">
        <v>13378</v>
      </c>
      <c r="E131" s="221" t="s">
        <v>13315</v>
      </c>
      <c r="F131" s="100">
        <v>9202</v>
      </c>
      <c r="G131" s="222" t="s">
        <v>13268</v>
      </c>
      <c r="H131" s="138">
        <v>9</v>
      </c>
      <c r="I131" s="132"/>
      <c r="J131" s="132"/>
      <c r="K131" s="132"/>
      <c r="L131" s="139"/>
      <c r="M131" s="140"/>
      <c r="N131" s="208"/>
      <c r="O131" s="208"/>
      <c r="P131" s="209"/>
      <c r="Q131" s="208"/>
      <c r="R131" s="208"/>
      <c r="S131" s="210"/>
      <c r="T131" s="208"/>
      <c r="U131" s="211"/>
      <c r="V131" s="153"/>
      <c r="W131" s="154"/>
      <c r="X131" s="155"/>
      <c r="Y131" s="146"/>
      <c r="Z131" s="156"/>
      <c r="AA131" s="157"/>
      <c r="AB131" s="157"/>
      <c r="AC131" s="158"/>
      <c r="AD131" s="159"/>
      <c r="AE131" s="117">
        <v>9</v>
      </c>
      <c r="AF131" s="117"/>
      <c r="AG131" s="117"/>
      <c r="AH131" s="117"/>
      <c r="AI131" s="117">
        <v>9</v>
      </c>
      <c r="AJ131" s="117"/>
      <c r="AK131" s="117"/>
      <c r="AL131" s="117"/>
      <c r="AM131" s="117"/>
      <c r="AN131" s="117"/>
      <c r="AO131" s="117"/>
      <c r="AP131" s="117"/>
      <c r="AQ131" s="117"/>
      <c r="AR131" s="117"/>
      <c r="AS131" s="117"/>
      <c r="AT131" s="117"/>
      <c r="AU131" s="117"/>
      <c r="AV131" s="117"/>
      <c r="AW131" s="117"/>
      <c r="AX131" s="117"/>
      <c r="AY131" s="117"/>
      <c r="AZ131" s="117"/>
      <c r="BA131" s="117"/>
      <c r="BB131" s="117"/>
      <c r="BC131" s="117"/>
      <c r="BD131" s="117"/>
      <c r="BE131" s="216"/>
      <c r="BF131" s="216"/>
      <c r="BG131" s="216"/>
      <c r="BH131" s="217"/>
      <c r="BI131" s="150"/>
      <c r="BJ131" s="121"/>
      <c r="BK131" s="121"/>
      <c r="BL131" s="121"/>
      <c r="BM131" s="121"/>
      <c r="BN131" s="121"/>
      <c r="BO131" s="121"/>
      <c r="BP131" s="121"/>
      <c r="BQ131" s="121"/>
      <c r="BR131" s="121"/>
      <c r="BS131" s="121"/>
      <c r="BT131" s="121"/>
      <c r="BU131" s="121"/>
      <c r="BV131" s="199">
        <v>1</v>
      </c>
      <c r="BW131" s="199">
        <v>1</v>
      </c>
      <c r="BX131" s="199">
        <v>1</v>
      </c>
      <c r="BY131" s="199">
        <v>1</v>
      </c>
      <c r="BZ131" s="199">
        <v>1</v>
      </c>
      <c r="CA131" s="199"/>
      <c r="CB131" s="199"/>
      <c r="CC131" s="199"/>
      <c r="CD131" s="199"/>
      <c r="CE131" s="199">
        <v>1</v>
      </c>
      <c r="CF131" s="199">
        <v>1</v>
      </c>
      <c r="CG131" s="199">
        <v>1</v>
      </c>
      <c r="CH131" s="199">
        <v>1</v>
      </c>
      <c r="CI131" s="121"/>
      <c r="CJ131" s="121"/>
      <c r="CK131" s="121"/>
      <c r="CL131" s="121"/>
      <c r="CM131" s="121"/>
      <c r="CN131" s="200"/>
      <c r="CO131" s="201"/>
      <c r="CP131" s="202"/>
      <c r="CQ131" s="202"/>
      <c r="CR131" s="202"/>
      <c r="CS131" s="202"/>
      <c r="CT131" s="203"/>
      <c r="CU131" s="204"/>
      <c r="CV131" s="199"/>
      <c r="CW131" s="205"/>
      <c r="CX131" s="132"/>
      <c r="CY131" s="132"/>
      <c r="CZ131" s="132"/>
      <c r="DA131" s="132"/>
      <c r="DB131" s="132"/>
      <c r="DC131" s="132"/>
      <c r="DD131" s="132"/>
      <c r="DE131" s="103"/>
      <c r="DF131" s="103"/>
      <c r="DG131" s="103"/>
      <c r="DH131" s="103"/>
      <c r="DI131" s="103"/>
      <c r="DJ131" s="103"/>
      <c r="DK131" s="130"/>
      <c r="DL131" s="130"/>
      <c r="DM131" s="130"/>
      <c r="DN131" s="132"/>
      <c r="DO131" s="132"/>
    </row>
    <row r="132" ht="41.1" customHeight="1" spans="1:119">
      <c r="A132" s="131">
        <v>43797</v>
      </c>
      <c r="B132" s="132" t="s">
        <v>13339</v>
      </c>
      <c r="C132" s="160">
        <v>4500025608</v>
      </c>
      <c r="D132" s="215" t="s">
        <v>13340</v>
      </c>
      <c r="E132" s="221" t="s">
        <v>13320</v>
      </c>
      <c r="F132" s="100" t="s">
        <v>13379</v>
      </c>
      <c r="G132" s="222" t="s">
        <v>13318</v>
      </c>
      <c r="H132" s="138">
        <v>18</v>
      </c>
      <c r="I132" s="132"/>
      <c r="J132" s="132"/>
      <c r="K132" s="132"/>
      <c r="L132" s="139"/>
      <c r="M132" s="140"/>
      <c r="N132" s="208"/>
      <c r="O132" s="208"/>
      <c r="P132" s="209"/>
      <c r="Q132" s="208"/>
      <c r="R132" s="208"/>
      <c r="S132" s="210"/>
      <c r="T132" s="208"/>
      <c r="U132" s="211"/>
      <c r="V132" s="153"/>
      <c r="W132" s="154"/>
      <c r="X132" s="155"/>
      <c r="Y132" s="146"/>
      <c r="Z132" s="156"/>
      <c r="AA132" s="157"/>
      <c r="AB132" s="157"/>
      <c r="AC132" s="158"/>
      <c r="AD132" s="159"/>
      <c r="AE132" s="117"/>
      <c r="AF132" s="117"/>
      <c r="AG132" s="117"/>
      <c r="AH132" s="117"/>
      <c r="AI132" s="117"/>
      <c r="AJ132" s="117"/>
      <c r="AK132" s="117"/>
      <c r="AL132" s="117"/>
      <c r="AM132" s="117"/>
      <c r="AN132" s="117"/>
      <c r="AO132" s="117"/>
      <c r="AP132" s="117"/>
      <c r="AQ132" s="117"/>
      <c r="AR132" s="117">
        <v>18</v>
      </c>
      <c r="AS132" s="117">
        <v>18</v>
      </c>
      <c r="AT132" s="117">
        <v>18</v>
      </c>
      <c r="AU132" s="117"/>
      <c r="AV132" s="117">
        <v>18</v>
      </c>
      <c r="AW132" s="117"/>
      <c r="AX132" s="117"/>
      <c r="AY132" s="117"/>
      <c r="AZ132" s="117"/>
      <c r="BA132" s="117"/>
      <c r="BB132" s="117"/>
      <c r="BC132" s="117"/>
      <c r="BD132" s="117"/>
      <c r="BE132" s="216"/>
      <c r="BF132" s="216"/>
      <c r="BG132" s="216"/>
      <c r="BH132" s="217"/>
      <c r="BI132" s="150"/>
      <c r="BJ132" s="121"/>
      <c r="BK132" s="121"/>
      <c r="BL132" s="121"/>
      <c r="BM132" s="121"/>
      <c r="BN132" s="121"/>
      <c r="BO132" s="121"/>
      <c r="BP132" s="121"/>
      <c r="BQ132" s="121"/>
      <c r="BR132" s="121"/>
      <c r="BS132" s="121"/>
      <c r="BT132" s="121"/>
      <c r="BU132" s="121"/>
      <c r="BV132" s="199"/>
      <c r="BW132" s="199"/>
      <c r="BX132" s="199"/>
      <c r="BY132" s="199"/>
      <c r="BZ132" s="199"/>
      <c r="CA132" s="199"/>
      <c r="CB132" s="199"/>
      <c r="CC132" s="199"/>
      <c r="CD132" s="199"/>
      <c r="CE132" s="199"/>
      <c r="CF132" s="199"/>
      <c r="CG132" s="199"/>
      <c r="CH132" s="199"/>
      <c r="CI132" s="121">
        <v>3</v>
      </c>
      <c r="CJ132" s="121">
        <v>3</v>
      </c>
      <c r="CK132" s="121">
        <v>3</v>
      </c>
      <c r="CL132" s="121">
        <v>3</v>
      </c>
      <c r="CM132" s="121">
        <v>3</v>
      </c>
      <c r="CN132" s="121">
        <v>3</v>
      </c>
      <c r="CO132" s="201"/>
      <c r="CP132" s="202"/>
      <c r="CQ132" s="202"/>
      <c r="CR132" s="202"/>
      <c r="CS132" s="202"/>
      <c r="CT132" s="203"/>
      <c r="CU132" s="204"/>
      <c r="CV132" s="199"/>
      <c r="CW132" s="205"/>
      <c r="CX132" s="132"/>
      <c r="CY132" s="132"/>
      <c r="CZ132" s="132"/>
      <c r="DA132" s="132"/>
      <c r="DB132" s="132"/>
      <c r="DC132" s="132"/>
      <c r="DD132" s="132"/>
      <c r="DE132" s="103"/>
      <c r="DF132" s="103"/>
      <c r="DG132" s="103"/>
      <c r="DH132" s="103"/>
      <c r="DI132" s="103"/>
      <c r="DJ132" s="103"/>
      <c r="DK132" s="130"/>
      <c r="DL132" s="130"/>
      <c r="DM132" s="130"/>
      <c r="DN132" s="132"/>
      <c r="DO132" s="132"/>
    </row>
    <row r="133" ht="41.1" customHeight="1" spans="1:119">
      <c r="A133" s="131">
        <v>43797</v>
      </c>
      <c r="B133" s="132" t="s">
        <v>13190</v>
      </c>
      <c r="C133" s="160">
        <v>4500026271</v>
      </c>
      <c r="D133" s="215" t="s">
        <v>13378</v>
      </c>
      <c r="E133" s="221" t="s">
        <v>13322</v>
      </c>
      <c r="F133" s="100">
        <v>9201</v>
      </c>
      <c r="G133" s="225" t="s">
        <v>13182</v>
      </c>
      <c r="H133" s="138">
        <v>6</v>
      </c>
      <c r="I133" s="132"/>
      <c r="J133" s="132"/>
      <c r="K133" s="132"/>
      <c r="L133" s="139"/>
      <c r="M133" s="140"/>
      <c r="N133" s="208"/>
      <c r="O133" s="208"/>
      <c r="P133" s="209"/>
      <c r="Q133" s="208"/>
      <c r="R133" s="208"/>
      <c r="S133" s="210"/>
      <c r="T133" s="208"/>
      <c r="U133" s="211"/>
      <c r="V133" s="153">
        <v>6</v>
      </c>
      <c r="W133" s="154"/>
      <c r="X133" s="155"/>
      <c r="Y133" s="146"/>
      <c r="Z133" s="156">
        <v>6</v>
      </c>
      <c r="AA133" s="157"/>
      <c r="AB133" s="157"/>
      <c r="AC133" s="158"/>
      <c r="AD133" s="159"/>
      <c r="AE133" s="117"/>
      <c r="AF133" s="117"/>
      <c r="AG133" s="117"/>
      <c r="AH133" s="117"/>
      <c r="AI133" s="117"/>
      <c r="AJ133" s="117"/>
      <c r="AK133" s="117"/>
      <c r="AL133" s="117"/>
      <c r="AM133" s="117"/>
      <c r="AN133" s="117"/>
      <c r="AO133" s="117"/>
      <c r="AP133" s="117"/>
      <c r="AQ133" s="117"/>
      <c r="AR133" s="117"/>
      <c r="AS133" s="117"/>
      <c r="AT133" s="117"/>
      <c r="AU133" s="117"/>
      <c r="AV133" s="117"/>
      <c r="AW133" s="117"/>
      <c r="AX133" s="117"/>
      <c r="AY133" s="117"/>
      <c r="AZ133" s="117"/>
      <c r="BA133" s="117"/>
      <c r="BB133" s="117"/>
      <c r="BC133" s="117"/>
      <c r="BD133" s="117"/>
      <c r="BE133" s="216"/>
      <c r="BF133" s="216"/>
      <c r="BG133" s="216"/>
      <c r="BH133" s="217"/>
      <c r="BI133" s="150"/>
      <c r="BJ133" s="121"/>
      <c r="BK133" s="121"/>
      <c r="BL133" s="121"/>
      <c r="BM133" s="121"/>
      <c r="BN133" s="121"/>
      <c r="BO133" s="121"/>
      <c r="BP133" s="121"/>
      <c r="BQ133" s="121"/>
      <c r="BR133" s="121"/>
      <c r="BS133" s="121"/>
      <c r="BT133" s="121"/>
      <c r="BU133" s="121"/>
      <c r="BV133" s="199"/>
      <c r="BW133" s="199"/>
      <c r="BX133" s="199"/>
      <c r="BY133" s="199"/>
      <c r="BZ133" s="199"/>
      <c r="CA133" s="199"/>
      <c r="CB133" s="199"/>
      <c r="CC133" s="199"/>
      <c r="CD133" s="199"/>
      <c r="CE133" s="199"/>
      <c r="CF133" s="199"/>
      <c r="CG133" s="199"/>
      <c r="CH133" s="199"/>
      <c r="CI133" s="121"/>
      <c r="CJ133" s="121"/>
      <c r="CK133" s="121"/>
      <c r="CL133" s="121"/>
      <c r="CM133" s="121"/>
      <c r="CN133" s="200"/>
      <c r="CO133" s="201"/>
      <c r="CP133" s="202"/>
      <c r="CQ133" s="202"/>
      <c r="CR133" s="202"/>
      <c r="CS133" s="202"/>
      <c r="CT133" s="203"/>
      <c r="CU133" s="204"/>
      <c r="CV133" s="199"/>
      <c r="CW133" s="205"/>
      <c r="CX133" s="132"/>
      <c r="CY133" s="132"/>
      <c r="CZ133" s="132"/>
      <c r="DA133" s="132"/>
      <c r="DB133" s="132"/>
      <c r="DC133" s="132"/>
      <c r="DD133" s="132"/>
      <c r="DE133" s="103"/>
      <c r="DF133" s="103"/>
      <c r="DG133" s="103"/>
      <c r="DH133" s="103"/>
      <c r="DI133" s="103"/>
      <c r="DJ133" s="103"/>
      <c r="DK133" s="130"/>
      <c r="DL133" s="130"/>
      <c r="DM133" s="130"/>
      <c r="DN133" s="132"/>
      <c r="DO133" s="132"/>
    </row>
    <row r="134" ht="41.1" customHeight="1" spans="1:119">
      <c r="A134" s="131">
        <v>43797</v>
      </c>
      <c r="B134" s="132" t="s">
        <v>13190</v>
      </c>
      <c r="C134" s="160">
        <v>4500026271</v>
      </c>
      <c r="D134" s="215" t="s">
        <v>13378</v>
      </c>
      <c r="E134" s="221" t="s">
        <v>13322</v>
      </c>
      <c r="F134" s="100" t="s">
        <v>13267</v>
      </c>
      <c r="G134" s="100" t="s">
        <v>13268</v>
      </c>
      <c r="H134" s="138">
        <v>6</v>
      </c>
      <c r="I134" s="132"/>
      <c r="J134" s="132"/>
      <c r="K134" s="132"/>
      <c r="L134" s="139"/>
      <c r="M134" s="140"/>
      <c r="N134" s="208"/>
      <c r="O134" s="208"/>
      <c r="P134" s="209"/>
      <c r="Q134" s="208"/>
      <c r="R134" s="208"/>
      <c r="S134" s="210"/>
      <c r="T134" s="208"/>
      <c r="U134" s="211"/>
      <c r="V134" s="153"/>
      <c r="W134" s="154"/>
      <c r="X134" s="155"/>
      <c r="Y134" s="146"/>
      <c r="Z134" s="156"/>
      <c r="AA134" s="157"/>
      <c r="AB134" s="157"/>
      <c r="AC134" s="158"/>
      <c r="AD134" s="159"/>
      <c r="AE134" s="117">
        <v>6</v>
      </c>
      <c r="AF134" s="117"/>
      <c r="AG134" s="117"/>
      <c r="AH134" s="117"/>
      <c r="AI134" s="117">
        <v>6</v>
      </c>
      <c r="AJ134" s="117"/>
      <c r="AK134" s="117"/>
      <c r="AL134" s="117"/>
      <c r="AM134" s="117"/>
      <c r="AN134" s="117"/>
      <c r="AO134" s="117"/>
      <c r="AP134" s="117"/>
      <c r="AQ134" s="117"/>
      <c r="AR134" s="117"/>
      <c r="AS134" s="117"/>
      <c r="AT134" s="117"/>
      <c r="AU134" s="117"/>
      <c r="AV134" s="117"/>
      <c r="AW134" s="117"/>
      <c r="AX134" s="117"/>
      <c r="AY134" s="117"/>
      <c r="AZ134" s="117"/>
      <c r="BA134" s="117"/>
      <c r="BB134" s="117"/>
      <c r="BC134" s="117"/>
      <c r="BD134" s="117"/>
      <c r="BE134" s="216"/>
      <c r="BF134" s="216"/>
      <c r="BG134" s="216"/>
      <c r="BH134" s="217"/>
      <c r="BI134" s="150"/>
      <c r="BJ134" s="121"/>
      <c r="BK134" s="121"/>
      <c r="BL134" s="121"/>
      <c r="BM134" s="121"/>
      <c r="BN134" s="121"/>
      <c r="BO134" s="121"/>
      <c r="BP134" s="121"/>
      <c r="BQ134" s="121"/>
      <c r="BR134" s="121"/>
      <c r="BS134" s="121"/>
      <c r="BT134" s="121"/>
      <c r="BU134" s="121"/>
      <c r="BV134" s="199">
        <v>1</v>
      </c>
      <c r="BW134" s="199"/>
      <c r="BX134" s="199">
        <v>1</v>
      </c>
      <c r="BY134" s="199">
        <v>1</v>
      </c>
      <c r="BZ134" s="199">
        <v>1</v>
      </c>
      <c r="CA134" s="199"/>
      <c r="CB134" s="199"/>
      <c r="CC134" s="199"/>
      <c r="CD134" s="199"/>
      <c r="CE134" s="199">
        <v>1</v>
      </c>
      <c r="CF134" s="199"/>
      <c r="CG134" s="199"/>
      <c r="CH134" s="199">
        <v>1</v>
      </c>
      <c r="CI134" s="121"/>
      <c r="CJ134" s="121"/>
      <c r="CK134" s="121"/>
      <c r="CL134" s="121"/>
      <c r="CM134" s="121"/>
      <c r="CN134" s="200"/>
      <c r="CO134" s="201"/>
      <c r="CP134" s="202"/>
      <c r="CQ134" s="202"/>
      <c r="CR134" s="202"/>
      <c r="CS134" s="202"/>
      <c r="CT134" s="203"/>
      <c r="CU134" s="204"/>
      <c r="CV134" s="199"/>
      <c r="CW134" s="205"/>
      <c r="CX134" s="132"/>
      <c r="CY134" s="132"/>
      <c r="CZ134" s="132"/>
      <c r="DA134" s="132"/>
      <c r="DB134" s="132"/>
      <c r="DC134" s="132"/>
      <c r="DD134" s="132"/>
      <c r="DE134" s="103"/>
      <c r="DF134" s="103"/>
      <c r="DG134" s="103"/>
      <c r="DH134" s="103"/>
      <c r="DI134" s="103"/>
      <c r="DJ134" s="103"/>
      <c r="DK134" s="130"/>
      <c r="DL134" s="130"/>
      <c r="DM134" s="130"/>
      <c r="DN134" s="132"/>
      <c r="DO134" s="132"/>
    </row>
    <row r="135" ht="41.1" customHeight="1" spans="1:119">
      <c r="A135" s="131">
        <v>43797</v>
      </c>
      <c r="B135" s="132" t="s">
        <v>13190</v>
      </c>
      <c r="C135" s="160">
        <v>4500026271</v>
      </c>
      <c r="D135" s="215" t="s">
        <v>13378</v>
      </c>
      <c r="E135" s="221" t="s">
        <v>13322</v>
      </c>
      <c r="F135" s="100" t="s">
        <v>13380</v>
      </c>
      <c r="G135" s="137" t="s">
        <v>13276</v>
      </c>
      <c r="H135" s="138">
        <v>6</v>
      </c>
      <c r="I135" s="132"/>
      <c r="J135" s="132"/>
      <c r="K135" s="132"/>
      <c r="L135" s="139"/>
      <c r="M135" s="140"/>
      <c r="N135" s="208"/>
      <c r="O135" s="208"/>
      <c r="P135" s="209"/>
      <c r="Q135" s="208"/>
      <c r="R135" s="208"/>
      <c r="S135" s="210"/>
      <c r="T135" s="208"/>
      <c r="U135" s="211"/>
      <c r="V135" s="153"/>
      <c r="W135" s="154"/>
      <c r="X135" s="155"/>
      <c r="Y135" s="146"/>
      <c r="Z135" s="156"/>
      <c r="AA135" s="157"/>
      <c r="AB135" s="157"/>
      <c r="AC135" s="158"/>
      <c r="AD135" s="159"/>
      <c r="AE135" s="117"/>
      <c r="AF135" s="117"/>
      <c r="AG135" s="117"/>
      <c r="AH135" s="117"/>
      <c r="AI135" s="117"/>
      <c r="AJ135" s="117"/>
      <c r="AK135" s="117"/>
      <c r="AL135" s="117"/>
      <c r="AM135" s="117"/>
      <c r="AN135" s="117"/>
      <c r="AO135" s="117"/>
      <c r="AP135" s="117">
        <v>6</v>
      </c>
      <c r="AQ135" s="117">
        <v>6</v>
      </c>
      <c r="AR135" s="117"/>
      <c r="AS135" s="117"/>
      <c r="AT135" s="117"/>
      <c r="AU135" s="117"/>
      <c r="AV135" s="117"/>
      <c r="AW135" s="117"/>
      <c r="AX135" s="117"/>
      <c r="AY135" s="117"/>
      <c r="AZ135" s="117"/>
      <c r="BA135" s="117"/>
      <c r="BB135" s="117"/>
      <c r="BC135" s="117"/>
      <c r="BD135" s="117"/>
      <c r="BE135" s="216"/>
      <c r="BF135" s="216"/>
      <c r="BG135" s="216"/>
      <c r="BH135" s="217"/>
      <c r="BI135" s="150"/>
      <c r="BJ135" s="121"/>
      <c r="BK135" s="121"/>
      <c r="BL135" s="121"/>
      <c r="BM135" s="121"/>
      <c r="BN135" s="121"/>
      <c r="BO135" s="121"/>
      <c r="BP135" s="121"/>
      <c r="BQ135" s="121"/>
      <c r="BR135" s="121"/>
      <c r="BS135" s="121"/>
      <c r="BT135" s="121"/>
      <c r="BU135" s="121"/>
      <c r="BV135" s="199"/>
      <c r="BW135" s="199"/>
      <c r="BX135" s="199"/>
      <c r="BY135" s="199"/>
      <c r="BZ135" s="199"/>
      <c r="CA135" s="199"/>
      <c r="CB135" s="199"/>
      <c r="CC135" s="199"/>
      <c r="CD135" s="199"/>
      <c r="CE135" s="199"/>
      <c r="CF135" s="199"/>
      <c r="CG135" s="199"/>
      <c r="CH135" s="199"/>
      <c r="CI135" s="121">
        <v>1</v>
      </c>
      <c r="CJ135" s="121">
        <v>1</v>
      </c>
      <c r="CK135" s="121">
        <v>1</v>
      </c>
      <c r="CL135" s="121">
        <v>1</v>
      </c>
      <c r="CM135" s="121">
        <v>1</v>
      </c>
      <c r="CN135" s="121">
        <v>1</v>
      </c>
      <c r="CO135" s="201"/>
      <c r="CP135" s="202"/>
      <c r="CQ135" s="202"/>
      <c r="CR135" s="202"/>
      <c r="CS135" s="202"/>
      <c r="CT135" s="203"/>
      <c r="CU135" s="204"/>
      <c r="CV135" s="199"/>
      <c r="CW135" s="205"/>
      <c r="CX135" s="132"/>
      <c r="CY135" s="132"/>
      <c r="CZ135" s="132"/>
      <c r="DA135" s="132"/>
      <c r="DB135" s="132"/>
      <c r="DC135" s="132"/>
      <c r="DD135" s="132"/>
      <c r="DE135" s="103"/>
      <c r="DF135" s="103"/>
      <c r="DG135" s="103"/>
      <c r="DH135" s="103"/>
      <c r="DI135" s="103"/>
      <c r="DJ135" s="103"/>
      <c r="DK135" s="130"/>
      <c r="DL135" s="130"/>
      <c r="DM135" s="130"/>
      <c r="DN135" s="132"/>
      <c r="DO135" s="132"/>
    </row>
    <row r="136" ht="41.1" customHeight="1" spans="1:119">
      <c r="A136" s="131">
        <v>43802</v>
      </c>
      <c r="B136" s="132" t="s">
        <v>13307</v>
      </c>
      <c r="C136" s="160">
        <v>4500026571</v>
      </c>
      <c r="D136" s="215" t="s">
        <v>13381</v>
      </c>
      <c r="E136" s="221" t="s">
        <v>13322</v>
      </c>
      <c r="F136" s="136" t="s">
        <v>13267</v>
      </c>
      <c r="G136" s="137" t="s">
        <v>13268</v>
      </c>
      <c r="H136" s="138">
        <v>13</v>
      </c>
      <c r="I136" s="132"/>
      <c r="J136" s="132"/>
      <c r="K136" s="132"/>
      <c r="L136" s="139"/>
      <c r="M136" s="140"/>
      <c r="N136" s="208"/>
      <c r="O136" s="208"/>
      <c r="P136" s="209"/>
      <c r="Q136" s="208"/>
      <c r="R136" s="208"/>
      <c r="S136" s="210"/>
      <c r="T136" s="208"/>
      <c r="U136" s="211"/>
      <c r="V136" s="153"/>
      <c r="W136" s="154"/>
      <c r="X136" s="155"/>
      <c r="Y136" s="146"/>
      <c r="Z136" s="156"/>
      <c r="AA136" s="157"/>
      <c r="AB136" s="157"/>
      <c r="AC136" s="158"/>
      <c r="AD136" s="159"/>
      <c r="AE136" s="117">
        <v>13</v>
      </c>
      <c r="AF136" s="117"/>
      <c r="AG136" s="117"/>
      <c r="AH136" s="117"/>
      <c r="AI136" s="117">
        <v>13</v>
      </c>
      <c r="AJ136" s="117"/>
      <c r="AK136" s="117"/>
      <c r="AL136" s="117"/>
      <c r="AM136" s="117"/>
      <c r="AN136" s="117"/>
      <c r="AO136" s="117"/>
      <c r="AP136" s="117"/>
      <c r="AQ136" s="117"/>
      <c r="AR136" s="117"/>
      <c r="AS136" s="117"/>
      <c r="AT136" s="117"/>
      <c r="AU136" s="117"/>
      <c r="AV136" s="117"/>
      <c r="AW136" s="117"/>
      <c r="AX136" s="117"/>
      <c r="AY136" s="117"/>
      <c r="AZ136" s="117"/>
      <c r="BA136" s="117"/>
      <c r="BB136" s="117"/>
      <c r="BC136" s="117"/>
      <c r="BD136" s="117"/>
      <c r="BE136" s="216"/>
      <c r="BF136" s="216"/>
      <c r="BG136" s="216"/>
      <c r="BH136" s="217"/>
      <c r="BI136" s="150"/>
      <c r="BJ136" s="121"/>
      <c r="BK136" s="121"/>
      <c r="BL136" s="121"/>
      <c r="BM136" s="121"/>
      <c r="BN136" s="121"/>
      <c r="BO136" s="121"/>
      <c r="BP136" s="121"/>
      <c r="BQ136" s="121"/>
      <c r="BR136" s="121"/>
      <c r="BS136" s="121"/>
      <c r="BT136" s="121"/>
      <c r="BU136" s="121"/>
      <c r="BV136" s="199">
        <v>1</v>
      </c>
      <c r="BW136" s="199">
        <v>1</v>
      </c>
      <c r="BX136" s="199">
        <v>1</v>
      </c>
      <c r="BY136" s="199">
        <v>1</v>
      </c>
      <c r="BZ136" s="199">
        <v>1</v>
      </c>
      <c r="CA136" s="199">
        <v>1</v>
      </c>
      <c r="CB136" s="199">
        <v>1</v>
      </c>
      <c r="CC136" s="199">
        <v>1</v>
      </c>
      <c r="CD136" s="199">
        <v>1</v>
      </c>
      <c r="CE136" s="199">
        <v>1</v>
      </c>
      <c r="CF136" s="199">
        <v>1</v>
      </c>
      <c r="CG136" s="199">
        <v>1</v>
      </c>
      <c r="CH136" s="199">
        <v>1</v>
      </c>
      <c r="CI136" s="121"/>
      <c r="CJ136" s="121"/>
      <c r="CK136" s="121"/>
      <c r="CL136" s="121"/>
      <c r="CM136" s="121"/>
      <c r="CN136" s="200"/>
      <c r="CO136" s="201"/>
      <c r="CP136" s="202"/>
      <c r="CQ136" s="202"/>
      <c r="CR136" s="202"/>
      <c r="CS136" s="202"/>
      <c r="CT136" s="203"/>
      <c r="CU136" s="204"/>
      <c r="CV136" s="199"/>
      <c r="CW136" s="205"/>
      <c r="CX136" s="132"/>
      <c r="CY136" s="132"/>
      <c r="CZ136" s="132"/>
      <c r="DA136" s="132"/>
      <c r="DB136" s="132"/>
      <c r="DC136" s="132"/>
      <c r="DD136" s="132"/>
      <c r="DE136" s="103"/>
      <c r="DF136" s="103"/>
      <c r="DG136" s="103"/>
      <c r="DH136" s="103"/>
      <c r="DI136" s="103"/>
      <c r="DJ136" s="103"/>
      <c r="DK136" s="130"/>
      <c r="DL136" s="130"/>
      <c r="DM136" s="130"/>
      <c r="DN136" s="132"/>
      <c r="DO136" s="132"/>
    </row>
    <row r="137" ht="41.1" customHeight="1" spans="1:119">
      <c r="A137" s="131">
        <v>43810</v>
      </c>
      <c r="B137" s="132" t="s">
        <v>11685</v>
      </c>
      <c r="C137" s="160">
        <v>4500026904</v>
      </c>
      <c r="D137" s="215" t="s">
        <v>13382</v>
      </c>
      <c r="E137" s="221" t="s">
        <v>13322</v>
      </c>
      <c r="F137" s="136">
        <v>9202</v>
      </c>
      <c r="G137" s="100" t="s">
        <v>13268</v>
      </c>
      <c r="H137" s="138">
        <v>2</v>
      </c>
      <c r="I137" s="132"/>
      <c r="J137" s="132"/>
      <c r="K137" s="132"/>
      <c r="L137" s="139"/>
      <c r="M137" s="140"/>
      <c r="N137" s="208"/>
      <c r="O137" s="208"/>
      <c r="P137" s="209"/>
      <c r="Q137" s="208"/>
      <c r="R137" s="208"/>
      <c r="S137" s="210"/>
      <c r="T137" s="208"/>
      <c r="U137" s="211"/>
      <c r="V137" s="153"/>
      <c r="W137" s="154"/>
      <c r="X137" s="155"/>
      <c r="Y137" s="146"/>
      <c r="Z137" s="156"/>
      <c r="AA137" s="157"/>
      <c r="AB137" s="157"/>
      <c r="AC137" s="158"/>
      <c r="AD137" s="159"/>
      <c r="AE137" s="117">
        <v>2</v>
      </c>
      <c r="AF137" s="117"/>
      <c r="AG137" s="117"/>
      <c r="AH137" s="117"/>
      <c r="AI137" s="117">
        <v>2</v>
      </c>
      <c r="AJ137" s="117"/>
      <c r="AK137" s="117"/>
      <c r="AL137" s="117"/>
      <c r="AM137" s="117"/>
      <c r="AN137" s="117"/>
      <c r="AO137" s="117"/>
      <c r="AP137" s="117"/>
      <c r="AQ137" s="117"/>
      <c r="AR137" s="117"/>
      <c r="AS137" s="117"/>
      <c r="AT137" s="117"/>
      <c r="AU137" s="117"/>
      <c r="AV137" s="117"/>
      <c r="AW137" s="117"/>
      <c r="AX137" s="117"/>
      <c r="AY137" s="117"/>
      <c r="AZ137" s="117"/>
      <c r="BA137" s="117"/>
      <c r="BB137" s="117"/>
      <c r="BC137" s="117"/>
      <c r="BD137" s="117"/>
      <c r="BE137" s="216"/>
      <c r="BF137" s="216"/>
      <c r="BG137" s="216"/>
      <c r="BH137" s="217"/>
      <c r="BI137" s="150"/>
      <c r="BJ137" s="121"/>
      <c r="BK137" s="121"/>
      <c r="BL137" s="121"/>
      <c r="BM137" s="121"/>
      <c r="BN137" s="121"/>
      <c r="BO137" s="121"/>
      <c r="BP137" s="121"/>
      <c r="BQ137" s="121"/>
      <c r="BR137" s="121"/>
      <c r="BS137" s="121"/>
      <c r="BT137" s="121"/>
      <c r="BU137" s="121"/>
      <c r="BV137" s="199">
        <v>1</v>
      </c>
      <c r="BW137" s="199"/>
      <c r="BX137" s="199"/>
      <c r="BY137" s="199"/>
      <c r="BZ137" s="199"/>
      <c r="CA137" s="199"/>
      <c r="CB137" s="199"/>
      <c r="CC137" s="199"/>
      <c r="CD137" s="199"/>
      <c r="CE137" s="199">
        <v>1</v>
      </c>
      <c r="CF137" s="199"/>
      <c r="CG137" s="199"/>
      <c r="CH137" s="199"/>
      <c r="CI137" s="121"/>
      <c r="CJ137" s="121"/>
      <c r="CK137" s="121"/>
      <c r="CL137" s="121"/>
      <c r="CM137" s="121"/>
      <c r="CN137" s="200"/>
      <c r="CO137" s="201"/>
      <c r="CP137" s="202"/>
      <c r="CQ137" s="202"/>
      <c r="CR137" s="202"/>
      <c r="CS137" s="202"/>
      <c r="CT137" s="203"/>
      <c r="CU137" s="204"/>
      <c r="CV137" s="199"/>
      <c r="CW137" s="205"/>
      <c r="CX137" s="132"/>
      <c r="CY137" s="132"/>
      <c r="CZ137" s="132"/>
      <c r="DA137" s="132"/>
      <c r="DB137" s="132"/>
      <c r="DC137" s="132"/>
      <c r="DD137" s="132"/>
      <c r="DE137" s="103"/>
      <c r="DF137" s="103"/>
      <c r="DG137" s="103"/>
      <c r="DH137" s="103"/>
      <c r="DI137" s="103"/>
      <c r="DJ137" s="103"/>
      <c r="DK137" s="130"/>
      <c r="DL137" s="130"/>
      <c r="DM137" s="130"/>
      <c r="DN137" s="132"/>
      <c r="DO137" s="132"/>
    </row>
    <row r="138" ht="41.1" customHeight="1" spans="1:119">
      <c r="A138" s="131">
        <v>43810</v>
      </c>
      <c r="B138" s="132" t="s">
        <v>11685</v>
      </c>
      <c r="C138" s="160">
        <v>4500026904</v>
      </c>
      <c r="D138" s="215" t="s">
        <v>13382</v>
      </c>
      <c r="E138" s="221" t="s">
        <v>13322</v>
      </c>
      <c r="F138" s="136" t="s">
        <v>11577</v>
      </c>
      <c r="G138" s="137" t="s">
        <v>13276</v>
      </c>
      <c r="H138" s="138">
        <v>2</v>
      </c>
      <c r="I138" s="132"/>
      <c r="J138" s="132"/>
      <c r="K138" s="132"/>
      <c r="L138" s="139"/>
      <c r="M138" s="140"/>
      <c r="N138" s="208"/>
      <c r="O138" s="208"/>
      <c r="P138" s="209"/>
      <c r="Q138" s="208"/>
      <c r="R138" s="208"/>
      <c r="S138" s="210"/>
      <c r="T138" s="208"/>
      <c r="U138" s="211"/>
      <c r="V138" s="153"/>
      <c r="W138" s="154"/>
      <c r="X138" s="155"/>
      <c r="Y138" s="146"/>
      <c r="Z138" s="156"/>
      <c r="AA138" s="157"/>
      <c r="AB138" s="157"/>
      <c r="AC138" s="158"/>
      <c r="AD138" s="159"/>
      <c r="AE138" s="117"/>
      <c r="AF138" s="117"/>
      <c r="AG138" s="117"/>
      <c r="AH138" s="117"/>
      <c r="AI138" s="117"/>
      <c r="AJ138" s="117"/>
      <c r="AK138" s="117"/>
      <c r="AL138" s="117"/>
      <c r="AM138" s="117"/>
      <c r="AN138" s="117"/>
      <c r="AO138" s="117"/>
      <c r="AP138" s="117">
        <v>2</v>
      </c>
      <c r="AQ138" s="117">
        <v>2</v>
      </c>
      <c r="AR138" s="117"/>
      <c r="AS138" s="117"/>
      <c r="AT138" s="117"/>
      <c r="AU138" s="117"/>
      <c r="AV138" s="117"/>
      <c r="AW138" s="117"/>
      <c r="AX138" s="117"/>
      <c r="AY138" s="117"/>
      <c r="AZ138" s="117"/>
      <c r="BA138" s="117"/>
      <c r="BB138" s="117"/>
      <c r="BC138" s="117"/>
      <c r="BD138" s="117"/>
      <c r="BE138" s="216"/>
      <c r="BF138" s="216"/>
      <c r="BG138" s="216"/>
      <c r="BH138" s="217"/>
      <c r="BI138" s="150"/>
      <c r="BJ138" s="121"/>
      <c r="BK138" s="121"/>
      <c r="BL138" s="121"/>
      <c r="BM138" s="121"/>
      <c r="BN138" s="121"/>
      <c r="BO138" s="121"/>
      <c r="BP138" s="121"/>
      <c r="BQ138" s="121"/>
      <c r="BR138" s="121"/>
      <c r="BS138" s="121"/>
      <c r="BT138" s="121"/>
      <c r="BU138" s="121"/>
      <c r="BV138" s="199"/>
      <c r="BW138" s="199"/>
      <c r="BX138" s="199"/>
      <c r="BY138" s="199"/>
      <c r="BZ138" s="199"/>
      <c r="CA138" s="199"/>
      <c r="CB138" s="199"/>
      <c r="CC138" s="199"/>
      <c r="CD138" s="199"/>
      <c r="CE138" s="199"/>
      <c r="CF138" s="199"/>
      <c r="CG138" s="199"/>
      <c r="CH138" s="199"/>
      <c r="CI138" s="121"/>
      <c r="CJ138" s="121">
        <v>1</v>
      </c>
      <c r="CK138" s="121"/>
      <c r="CL138" s="121"/>
      <c r="CM138" s="121"/>
      <c r="CN138" s="200">
        <v>1</v>
      </c>
      <c r="CO138" s="201"/>
      <c r="CP138" s="202"/>
      <c r="CQ138" s="202"/>
      <c r="CR138" s="202"/>
      <c r="CS138" s="202"/>
      <c r="CT138" s="203"/>
      <c r="CU138" s="204"/>
      <c r="CV138" s="199"/>
      <c r="CW138" s="205"/>
      <c r="CX138" s="132"/>
      <c r="CY138" s="132"/>
      <c r="CZ138" s="132"/>
      <c r="DA138" s="132"/>
      <c r="DB138" s="132"/>
      <c r="DC138" s="132"/>
      <c r="DD138" s="132"/>
      <c r="DE138" s="103"/>
      <c r="DF138" s="103"/>
      <c r="DG138" s="103"/>
      <c r="DH138" s="103"/>
      <c r="DI138" s="103"/>
      <c r="DJ138" s="103"/>
      <c r="DK138" s="130"/>
      <c r="DL138" s="130"/>
      <c r="DM138" s="130"/>
      <c r="DN138" s="132"/>
      <c r="DO138" s="132"/>
    </row>
    <row r="139" ht="41.1" customHeight="1" spans="1:119">
      <c r="A139" s="131">
        <v>43810</v>
      </c>
      <c r="B139" s="132" t="s">
        <v>13383</v>
      </c>
      <c r="C139" s="160" t="s">
        <v>9164</v>
      </c>
      <c r="D139" s="215" t="s">
        <v>13384</v>
      </c>
      <c r="E139" s="136" t="s">
        <v>13361</v>
      </c>
      <c r="F139" s="136" t="s">
        <v>13267</v>
      </c>
      <c r="G139" s="137" t="s">
        <v>13268</v>
      </c>
      <c r="H139" s="138">
        <v>1</v>
      </c>
      <c r="I139" s="132"/>
      <c r="J139" s="132"/>
      <c r="K139" s="132"/>
      <c r="L139" s="139"/>
      <c r="M139" s="140"/>
      <c r="N139" s="208"/>
      <c r="O139" s="208"/>
      <c r="P139" s="209"/>
      <c r="Q139" s="208"/>
      <c r="R139" s="208"/>
      <c r="S139" s="210"/>
      <c r="T139" s="208"/>
      <c r="U139" s="211"/>
      <c r="V139" s="153"/>
      <c r="W139" s="154"/>
      <c r="X139" s="155"/>
      <c r="Y139" s="146"/>
      <c r="Z139" s="156"/>
      <c r="AA139" s="157"/>
      <c r="AB139" s="157"/>
      <c r="AC139" s="158"/>
      <c r="AD139" s="159"/>
      <c r="AE139" s="117">
        <v>1</v>
      </c>
      <c r="AF139" s="117"/>
      <c r="AG139" s="117"/>
      <c r="AH139" s="117"/>
      <c r="AI139" s="117">
        <v>1</v>
      </c>
      <c r="AJ139" s="117"/>
      <c r="AK139" s="117"/>
      <c r="AL139" s="117"/>
      <c r="AM139" s="117"/>
      <c r="AN139" s="117"/>
      <c r="AO139" s="117"/>
      <c r="AP139" s="117"/>
      <c r="AQ139" s="117"/>
      <c r="AR139" s="117"/>
      <c r="AS139" s="117"/>
      <c r="AT139" s="117"/>
      <c r="AU139" s="117"/>
      <c r="AV139" s="117"/>
      <c r="AW139" s="117"/>
      <c r="AX139" s="117"/>
      <c r="AY139" s="117"/>
      <c r="AZ139" s="117"/>
      <c r="BA139" s="117"/>
      <c r="BB139" s="117"/>
      <c r="BC139" s="117"/>
      <c r="BD139" s="117"/>
      <c r="BE139" s="216"/>
      <c r="BF139" s="216"/>
      <c r="BG139" s="216"/>
      <c r="BH139" s="217"/>
      <c r="BI139" s="150"/>
      <c r="BJ139" s="121"/>
      <c r="BK139" s="121"/>
      <c r="BL139" s="121"/>
      <c r="BM139" s="121"/>
      <c r="BN139" s="121"/>
      <c r="BO139" s="121"/>
      <c r="BP139" s="121"/>
      <c r="BQ139" s="121"/>
      <c r="BR139" s="121"/>
      <c r="BS139" s="121"/>
      <c r="BT139" s="121"/>
      <c r="BU139" s="121"/>
      <c r="BV139" s="199"/>
      <c r="BW139" s="199"/>
      <c r="BX139" s="199"/>
      <c r="BY139" s="199"/>
      <c r="BZ139" s="199"/>
      <c r="CA139" s="199"/>
      <c r="CB139" s="199"/>
      <c r="CC139" s="199">
        <v>1</v>
      </c>
      <c r="CD139" s="199"/>
      <c r="CE139" s="199"/>
      <c r="CF139" s="199"/>
      <c r="CG139" s="199"/>
      <c r="CH139" s="199"/>
      <c r="CI139" s="121"/>
      <c r="CJ139" s="121"/>
      <c r="CK139" s="121"/>
      <c r="CL139" s="121"/>
      <c r="CM139" s="121"/>
      <c r="CN139" s="200"/>
      <c r="CO139" s="201"/>
      <c r="CP139" s="202"/>
      <c r="CQ139" s="202"/>
      <c r="CR139" s="202"/>
      <c r="CS139" s="202"/>
      <c r="CT139" s="203"/>
      <c r="CU139" s="204"/>
      <c r="CV139" s="199"/>
      <c r="CW139" s="205"/>
      <c r="CX139" s="132"/>
      <c r="CY139" s="132"/>
      <c r="CZ139" s="132"/>
      <c r="DA139" s="132"/>
      <c r="DB139" s="132"/>
      <c r="DC139" s="132"/>
      <c r="DD139" s="132"/>
      <c r="DE139" s="103"/>
      <c r="DF139" s="103"/>
      <c r="DG139" s="103"/>
      <c r="DH139" s="103"/>
      <c r="DI139" s="103"/>
      <c r="DJ139" s="103"/>
      <c r="DK139" s="130"/>
      <c r="DL139" s="130"/>
      <c r="DM139" s="130"/>
      <c r="DN139" s="132"/>
      <c r="DO139" s="132"/>
    </row>
    <row r="140" ht="41.1" customHeight="1" spans="1:119">
      <c r="A140" s="131">
        <v>43817</v>
      </c>
      <c r="B140" s="132" t="s">
        <v>13385</v>
      </c>
      <c r="C140" s="160">
        <v>4500027467</v>
      </c>
      <c r="D140" s="215" t="s">
        <v>13386</v>
      </c>
      <c r="E140" s="221" t="s">
        <v>13315</v>
      </c>
      <c r="F140" s="136">
        <v>9209</v>
      </c>
      <c r="G140" s="222" t="s">
        <v>13387</v>
      </c>
      <c r="H140" s="138">
        <v>2</v>
      </c>
      <c r="I140" s="132"/>
      <c r="J140" s="132"/>
      <c r="K140" s="132"/>
      <c r="L140" s="139"/>
      <c r="M140" s="140"/>
      <c r="N140" s="208"/>
      <c r="O140" s="208"/>
      <c r="P140" s="209"/>
      <c r="Q140" s="208"/>
      <c r="R140" s="208"/>
      <c r="S140" s="210"/>
      <c r="T140" s="208"/>
      <c r="U140" s="211"/>
      <c r="V140" s="153"/>
      <c r="W140" s="154"/>
      <c r="X140" s="155"/>
      <c r="Y140" s="146"/>
      <c r="Z140" s="156"/>
      <c r="AA140" s="157"/>
      <c r="AB140" s="157"/>
      <c r="AC140" s="158"/>
      <c r="AD140" s="159"/>
      <c r="AE140" s="117"/>
      <c r="AF140" s="117"/>
      <c r="AG140" s="117"/>
      <c r="AH140" s="117"/>
      <c r="AI140" s="117"/>
      <c r="AJ140" s="117"/>
      <c r="AK140" s="117"/>
      <c r="AL140" s="117"/>
      <c r="AM140" s="117"/>
      <c r="AN140" s="117"/>
      <c r="AO140" s="117"/>
      <c r="AP140" s="117"/>
      <c r="AQ140" s="117"/>
      <c r="AR140" s="117"/>
      <c r="AS140" s="117"/>
      <c r="AT140" s="117"/>
      <c r="AU140" s="117"/>
      <c r="AV140" s="117"/>
      <c r="AW140" s="117"/>
      <c r="AX140" s="117"/>
      <c r="AY140" s="117"/>
      <c r="AZ140" s="117"/>
      <c r="BA140" s="117"/>
      <c r="BB140" s="117"/>
      <c r="BC140" s="117"/>
      <c r="BD140" s="117"/>
      <c r="BE140" s="216"/>
      <c r="BF140" s="216"/>
      <c r="BG140" s="216">
        <v>2</v>
      </c>
      <c r="BH140" s="217">
        <v>2</v>
      </c>
      <c r="BI140" s="150"/>
      <c r="BJ140" s="121"/>
      <c r="BK140" s="121"/>
      <c r="BL140" s="121"/>
      <c r="BM140" s="121"/>
      <c r="BN140" s="121"/>
      <c r="BO140" s="121"/>
      <c r="BP140" s="121"/>
      <c r="BQ140" s="121"/>
      <c r="BR140" s="121"/>
      <c r="BS140" s="121"/>
      <c r="BT140" s="121"/>
      <c r="BU140" s="121"/>
      <c r="BV140" s="199"/>
      <c r="BW140" s="199"/>
      <c r="BX140" s="199"/>
      <c r="BY140" s="199"/>
      <c r="BZ140" s="199"/>
      <c r="CA140" s="199"/>
      <c r="CB140" s="199"/>
      <c r="CC140" s="199"/>
      <c r="CD140" s="199"/>
      <c r="CE140" s="199"/>
      <c r="CF140" s="199"/>
      <c r="CG140" s="199"/>
      <c r="CH140" s="199"/>
      <c r="CI140" s="121"/>
      <c r="CJ140" s="121"/>
      <c r="CK140" s="121"/>
      <c r="CL140" s="121"/>
      <c r="CM140" s="121"/>
      <c r="CN140" s="200"/>
      <c r="CO140" s="201"/>
      <c r="CP140" s="202"/>
      <c r="CQ140" s="202"/>
      <c r="CR140" s="202"/>
      <c r="CS140" s="202"/>
      <c r="CT140" s="203"/>
      <c r="CU140" s="204">
        <v>1</v>
      </c>
      <c r="CV140" s="199">
        <v>1</v>
      </c>
      <c r="CW140" s="205"/>
      <c r="CX140" s="132"/>
      <c r="CY140" s="132"/>
      <c r="CZ140" s="132"/>
      <c r="DA140" s="132"/>
      <c r="DB140" s="132"/>
      <c r="DC140" s="132"/>
      <c r="DD140" s="132"/>
      <c r="DE140" s="103"/>
      <c r="DF140" s="103"/>
      <c r="DG140" s="103"/>
      <c r="DH140" s="103"/>
      <c r="DI140" s="103"/>
      <c r="DJ140" s="103"/>
      <c r="DK140" s="130"/>
      <c r="DL140" s="130"/>
      <c r="DM140" s="130"/>
      <c r="DN140" s="132"/>
      <c r="DO140" s="132"/>
    </row>
    <row r="141" ht="41.1" customHeight="1" spans="1:119">
      <c r="A141" s="131">
        <v>43818</v>
      </c>
      <c r="B141" s="132" t="s">
        <v>11685</v>
      </c>
      <c r="C141" s="160">
        <v>4500026748</v>
      </c>
      <c r="D141" s="215" t="s">
        <v>13382</v>
      </c>
      <c r="E141" s="221" t="s">
        <v>13322</v>
      </c>
      <c r="F141" s="136">
        <v>9202</v>
      </c>
      <c r="G141" s="137" t="s">
        <v>13268</v>
      </c>
      <c r="H141" s="138">
        <v>2</v>
      </c>
      <c r="I141" s="132"/>
      <c r="J141" s="132"/>
      <c r="K141" s="132"/>
      <c r="L141" s="139"/>
      <c r="M141" s="140"/>
      <c r="N141" s="208"/>
      <c r="O141" s="208"/>
      <c r="P141" s="209"/>
      <c r="Q141" s="208"/>
      <c r="R141" s="208"/>
      <c r="S141" s="210"/>
      <c r="T141" s="208"/>
      <c r="U141" s="211"/>
      <c r="V141" s="153"/>
      <c r="W141" s="154"/>
      <c r="X141" s="155"/>
      <c r="Y141" s="146"/>
      <c r="Z141" s="156"/>
      <c r="AA141" s="157"/>
      <c r="AB141" s="157"/>
      <c r="AC141" s="158"/>
      <c r="AD141" s="159"/>
      <c r="AE141" s="117">
        <v>2</v>
      </c>
      <c r="AF141" s="117"/>
      <c r="AG141" s="117"/>
      <c r="AH141" s="117"/>
      <c r="AI141" s="117">
        <v>2</v>
      </c>
      <c r="AJ141" s="117"/>
      <c r="AK141" s="117"/>
      <c r="AL141" s="117"/>
      <c r="AM141" s="117"/>
      <c r="AN141" s="117"/>
      <c r="AO141" s="117"/>
      <c r="AP141" s="117"/>
      <c r="AQ141" s="117"/>
      <c r="AR141" s="117"/>
      <c r="AS141" s="117"/>
      <c r="AT141" s="117"/>
      <c r="AU141" s="117"/>
      <c r="AV141" s="117"/>
      <c r="AW141" s="117"/>
      <c r="AX141" s="117"/>
      <c r="AY141" s="117"/>
      <c r="AZ141" s="117"/>
      <c r="BA141" s="117"/>
      <c r="BB141" s="117"/>
      <c r="BC141" s="117"/>
      <c r="BD141" s="117"/>
      <c r="BE141" s="216"/>
      <c r="BF141" s="216"/>
      <c r="BG141" s="216"/>
      <c r="BH141" s="217"/>
      <c r="BI141" s="150"/>
      <c r="BJ141" s="121"/>
      <c r="BK141" s="121"/>
      <c r="BL141" s="121"/>
      <c r="BM141" s="121"/>
      <c r="BN141" s="121"/>
      <c r="BO141" s="121"/>
      <c r="BP141" s="121"/>
      <c r="BQ141" s="121"/>
      <c r="BR141" s="121"/>
      <c r="BS141" s="121"/>
      <c r="BT141" s="121"/>
      <c r="BU141" s="121"/>
      <c r="BV141" s="199">
        <v>1</v>
      </c>
      <c r="BW141" s="199"/>
      <c r="BX141" s="199"/>
      <c r="BY141" s="199"/>
      <c r="BZ141" s="199"/>
      <c r="CA141" s="199"/>
      <c r="CB141" s="199"/>
      <c r="CC141" s="199"/>
      <c r="CD141" s="199"/>
      <c r="CE141" s="199">
        <v>1</v>
      </c>
      <c r="CF141" s="199"/>
      <c r="CG141" s="199"/>
      <c r="CH141" s="199"/>
      <c r="CI141" s="121"/>
      <c r="CJ141" s="121"/>
      <c r="CK141" s="121"/>
      <c r="CL141" s="121"/>
      <c r="CM141" s="121"/>
      <c r="CN141" s="200"/>
      <c r="CO141" s="201"/>
      <c r="CP141" s="202"/>
      <c r="CQ141" s="202"/>
      <c r="CR141" s="202"/>
      <c r="CS141" s="202"/>
      <c r="CT141" s="203"/>
      <c r="CU141" s="204"/>
      <c r="CV141" s="199"/>
      <c r="CW141" s="205"/>
      <c r="CX141" s="132"/>
      <c r="CY141" s="132"/>
      <c r="CZ141" s="132"/>
      <c r="DA141" s="132"/>
      <c r="DB141" s="132"/>
      <c r="DC141" s="132"/>
      <c r="DD141" s="132"/>
      <c r="DE141" s="103"/>
      <c r="DF141" s="103"/>
      <c r="DG141" s="103"/>
      <c r="DH141" s="103"/>
      <c r="DI141" s="103"/>
      <c r="DJ141" s="103"/>
      <c r="DK141" s="130"/>
      <c r="DL141" s="130"/>
      <c r="DM141" s="130"/>
      <c r="DN141" s="132"/>
      <c r="DO141" s="132"/>
    </row>
    <row r="142" ht="41.1" customHeight="1" spans="1:119">
      <c r="A142" s="131">
        <v>43818</v>
      </c>
      <c r="B142" s="132" t="s">
        <v>11685</v>
      </c>
      <c r="C142" s="160">
        <v>4500026748</v>
      </c>
      <c r="D142" s="215" t="s">
        <v>13382</v>
      </c>
      <c r="E142" s="221" t="s">
        <v>13322</v>
      </c>
      <c r="F142" s="136" t="s">
        <v>13380</v>
      </c>
      <c r="G142" s="137" t="s">
        <v>13276</v>
      </c>
      <c r="H142" s="138">
        <v>2</v>
      </c>
      <c r="I142" s="132"/>
      <c r="J142" s="132"/>
      <c r="K142" s="132"/>
      <c r="L142" s="139"/>
      <c r="M142" s="140"/>
      <c r="N142" s="208"/>
      <c r="O142" s="208"/>
      <c r="P142" s="209"/>
      <c r="Q142" s="208"/>
      <c r="R142" s="208"/>
      <c r="S142" s="210"/>
      <c r="T142" s="208"/>
      <c r="U142" s="211"/>
      <c r="V142" s="153"/>
      <c r="W142" s="154"/>
      <c r="X142" s="155"/>
      <c r="Y142" s="146"/>
      <c r="Z142" s="156"/>
      <c r="AA142" s="157"/>
      <c r="AB142" s="157"/>
      <c r="AC142" s="158"/>
      <c r="AD142" s="159"/>
      <c r="AE142" s="117"/>
      <c r="AF142" s="117"/>
      <c r="AG142" s="117"/>
      <c r="AH142" s="117"/>
      <c r="AI142" s="117"/>
      <c r="AJ142" s="117"/>
      <c r="AK142" s="117"/>
      <c r="AL142" s="117"/>
      <c r="AM142" s="117"/>
      <c r="AN142" s="117"/>
      <c r="AO142" s="117"/>
      <c r="AP142" s="117">
        <v>2</v>
      </c>
      <c r="AQ142" s="117">
        <v>2</v>
      </c>
      <c r="AR142" s="117"/>
      <c r="AS142" s="117"/>
      <c r="AT142" s="117"/>
      <c r="AU142" s="117"/>
      <c r="AV142" s="117"/>
      <c r="AW142" s="117"/>
      <c r="AX142" s="117"/>
      <c r="AY142" s="117"/>
      <c r="AZ142" s="117"/>
      <c r="BA142" s="117"/>
      <c r="BB142" s="117"/>
      <c r="BC142" s="117"/>
      <c r="BD142" s="117"/>
      <c r="BE142" s="216"/>
      <c r="BF142" s="216"/>
      <c r="BG142" s="216"/>
      <c r="BH142" s="217"/>
      <c r="BI142" s="150"/>
      <c r="BJ142" s="121"/>
      <c r="BK142" s="121"/>
      <c r="BL142" s="121"/>
      <c r="BM142" s="121"/>
      <c r="BN142" s="121"/>
      <c r="BO142" s="121"/>
      <c r="BP142" s="121"/>
      <c r="BQ142" s="121"/>
      <c r="BR142" s="121"/>
      <c r="BS142" s="121"/>
      <c r="BT142" s="121"/>
      <c r="BU142" s="121"/>
      <c r="BV142" s="199"/>
      <c r="BW142" s="199"/>
      <c r="BX142" s="199"/>
      <c r="BY142" s="199"/>
      <c r="BZ142" s="199"/>
      <c r="CA142" s="199"/>
      <c r="CB142" s="199"/>
      <c r="CC142" s="199"/>
      <c r="CD142" s="199"/>
      <c r="CE142" s="199"/>
      <c r="CF142" s="199"/>
      <c r="CG142" s="199"/>
      <c r="CH142" s="199"/>
      <c r="CI142" s="121">
        <v>1</v>
      </c>
      <c r="CJ142" s="121"/>
      <c r="CK142" s="121"/>
      <c r="CL142" s="121">
        <v>1</v>
      </c>
      <c r="CM142" s="121"/>
      <c r="CN142" s="200"/>
      <c r="CO142" s="201"/>
      <c r="CP142" s="202"/>
      <c r="CQ142" s="202"/>
      <c r="CR142" s="202"/>
      <c r="CS142" s="202"/>
      <c r="CT142" s="203"/>
      <c r="CU142" s="204"/>
      <c r="CV142" s="199"/>
      <c r="CW142" s="205"/>
      <c r="CX142" s="132"/>
      <c r="CY142" s="132"/>
      <c r="CZ142" s="132"/>
      <c r="DA142" s="132"/>
      <c r="DB142" s="132"/>
      <c r="DC142" s="132"/>
      <c r="DD142" s="132"/>
      <c r="DE142" s="103"/>
      <c r="DF142" s="103"/>
      <c r="DG142" s="103"/>
      <c r="DH142" s="103"/>
      <c r="DI142" s="103"/>
      <c r="DJ142" s="103"/>
      <c r="DK142" s="130"/>
      <c r="DL142" s="130"/>
      <c r="DM142" s="130"/>
      <c r="DN142" s="132"/>
      <c r="DO142" s="132"/>
    </row>
    <row r="143" ht="41.1" customHeight="1" spans="1:119">
      <c r="A143" s="131">
        <v>43824</v>
      </c>
      <c r="B143" s="132" t="s">
        <v>13383</v>
      </c>
      <c r="C143" s="160">
        <v>4500027594</v>
      </c>
      <c r="D143" s="215" t="s">
        <v>13384</v>
      </c>
      <c r="E143" s="221" t="s">
        <v>13320</v>
      </c>
      <c r="F143" s="136" t="s">
        <v>13267</v>
      </c>
      <c r="G143" s="137" t="s">
        <v>13268</v>
      </c>
      <c r="H143" s="138">
        <v>13</v>
      </c>
      <c r="I143" s="132"/>
      <c r="J143" s="132"/>
      <c r="K143" s="132"/>
      <c r="L143" s="139"/>
      <c r="M143" s="140"/>
      <c r="N143" s="208"/>
      <c r="O143" s="208"/>
      <c r="P143" s="209"/>
      <c r="Q143" s="208"/>
      <c r="R143" s="208"/>
      <c r="S143" s="210"/>
      <c r="T143" s="208"/>
      <c r="U143" s="211"/>
      <c r="V143" s="153"/>
      <c r="W143" s="154"/>
      <c r="X143" s="155"/>
      <c r="Y143" s="146"/>
      <c r="Z143" s="156"/>
      <c r="AA143" s="157"/>
      <c r="AB143" s="157"/>
      <c r="AC143" s="158"/>
      <c r="AD143" s="159"/>
      <c r="AE143" s="117">
        <v>13</v>
      </c>
      <c r="AF143" s="117"/>
      <c r="AG143" s="117"/>
      <c r="AH143" s="117"/>
      <c r="AI143" s="117">
        <v>13</v>
      </c>
      <c r="AJ143" s="117"/>
      <c r="AK143" s="117"/>
      <c r="AL143" s="117"/>
      <c r="AM143" s="117"/>
      <c r="AN143" s="117"/>
      <c r="AO143" s="117"/>
      <c r="AP143" s="117"/>
      <c r="AQ143" s="117"/>
      <c r="AR143" s="117"/>
      <c r="AS143" s="117"/>
      <c r="AT143" s="117"/>
      <c r="AU143" s="117"/>
      <c r="AV143" s="117"/>
      <c r="AW143" s="117"/>
      <c r="AX143" s="117"/>
      <c r="AY143" s="117"/>
      <c r="AZ143" s="117"/>
      <c r="BA143" s="117"/>
      <c r="BB143" s="117"/>
      <c r="BC143" s="117"/>
      <c r="BD143" s="117"/>
      <c r="BE143" s="216"/>
      <c r="BF143" s="216"/>
      <c r="BG143" s="216"/>
      <c r="BH143" s="217"/>
      <c r="BI143" s="150"/>
      <c r="BJ143" s="121"/>
      <c r="BK143" s="121"/>
      <c r="BL143" s="121"/>
      <c r="BM143" s="121"/>
      <c r="BN143" s="121"/>
      <c r="BO143" s="121"/>
      <c r="BP143" s="121"/>
      <c r="BQ143" s="121"/>
      <c r="BR143" s="121"/>
      <c r="BS143" s="121"/>
      <c r="BT143" s="121"/>
      <c r="BU143" s="121"/>
      <c r="BV143" s="199">
        <v>1</v>
      </c>
      <c r="BW143" s="199">
        <v>1</v>
      </c>
      <c r="BX143" s="199">
        <v>1</v>
      </c>
      <c r="BY143" s="199">
        <v>1</v>
      </c>
      <c r="BZ143" s="199">
        <v>1</v>
      </c>
      <c r="CA143" s="199">
        <v>1</v>
      </c>
      <c r="CB143" s="199">
        <v>1</v>
      </c>
      <c r="CC143" s="199">
        <v>1</v>
      </c>
      <c r="CD143" s="199">
        <v>1</v>
      </c>
      <c r="CE143" s="199">
        <v>1</v>
      </c>
      <c r="CF143" s="199">
        <v>1</v>
      </c>
      <c r="CG143" s="199">
        <v>1</v>
      </c>
      <c r="CH143" s="199">
        <v>1</v>
      </c>
      <c r="CI143" s="121"/>
      <c r="CJ143" s="121"/>
      <c r="CK143" s="121"/>
      <c r="CL143" s="121"/>
      <c r="CM143" s="121"/>
      <c r="CN143" s="200"/>
      <c r="CO143" s="201"/>
      <c r="CP143" s="202"/>
      <c r="CQ143" s="202"/>
      <c r="CR143" s="202"/>
      <c r="CS143" s="202"/>
      <c r="CT143" s="203"/>
      <c r="CU143" s="204"/>
      <c r="CV143" s="199"/>
      <c r="CW143" s="205"/>
      <c r="CX143" s="132"/>
      <c r="CY143" s="132"/>
      <c r="CZ143" s="132"/>
      <c r="DA143" s="132"/>
      <c r="DB143" s="132"/>
      <c r="DC143" s="132"/>
      <c r="DD143" s="132"/>
      <c r="DE143" s="103"/>
      <c r="DF143" s="103"/>
      <c r="DG143" s="103"/>
      <c r="DH143" s="103"/>
      <c r="DI143" s="103"/>
      <c r="DJ143" s="103"/>
      <c r="DK143" s="130"/>
      <c r="DL143" s="130"/>
      <c r="DM143" s="130"/>
      <c r="DN143" s="132"/>
      <c r="DO143" s="132"/>
    </row>
    <row r="144" ht="41.1" customHeight="1" spans="1:119">
      <c r="A144" s="131">
        <v>43825</v>
      </c>
      <c r="B144" s="132" t="s">
        <v>13383</v>
      </c>
      <c r="C144" s="160">
        <v>4500027594</v>
      </c>
      <c r="D144" s="215" t="s">
        <v>13384</v>
      </c>
      <c r="E144" s="221" t="s">
        <v>13322</v>
      </c>
      <c r="F144" s="136" t="s">
        <v>13267</v>
      </c>
      <c r="G144" s="137" t="s">
        <v>13268</v>
      </c>
      <c r="H144" s="138">
        <v>2</v>
      </c>
      <c r="I144" s="132"/>
      <c r="J144" s="132"/>
      <c r="K144" s="132"/>
      <c r="L144" s="139"/>
      <c r="M144" s="140"/>
      <c r="N144" s="208"/>
      <c r="O144" s="208"/>
      <c r="P144" s="209"/>
      <c r="Q144" s="208"/>
      <c r="R144" s="208"/>
      <c r="S144" s="210"/>
      <c r="T144" s="208"/>
      <c r="U144" s="211"/>
      <c r="V144" s="153"/>
      <c r="W144" s="154"/>
      <c r="X144" s="155"/>
      <c r="Y144" s="146"/>
      <c r="Z144" s="156"/>
      <c r="AA144" s="157"/>
      <c r="AB144" s="157"/>
      <c r="AC144" s="158"/>
      <c r="AD144" s="159"/>
      <c r="AE144" s="117">
        <v>2</v>
      </c>
      <c r="AF144" s="117"/>
      <c r="AG144" s="117"/>
      <c r="AH144" s="117"/>
      <c r="AI144" s="117">
        <v>2</v>
      </c>
      <c r="AJ144" s="117"/>
      <c r="AK144" s="117"/>
      <c r="AL144" s="117"/>
      <c r="AM144" s="117"/>
      <c r="AN144" s="117"/>
      <c r="AO144" s="117"/>
      <c r="AP144" s="117"/>
      <c r="AQ144" s="117"/>
      <c r="AR144" s="117"/>
      <c r="AS144" s="117"/>
      <c r="AT144" s="117"/>
      <c r="AU144" s="117"/>
      <c r="AV144" s="117"/>
      <c r="AW144" s="117"/>
      <c r="AX144" s="117"/>
      <c r="AY144" s="117"/>
      <c r="AZ144" s="117"/>
      <c r="BA144" s="117"/>
      <c r="BB144" s="117"/>
      <c r="BC144" s="117"/>
      <c r="BD144" s="117"/>
      <c r="BE144" s="216"/>
      <c r="BF144" s="216"/>
      <c r="BG144" s="216"/>
      <c r="BH144" s="217"/>
      <c r="BI144" s="150"/>
      <c r="BJ144" s="121"/>
      <c r="BK144" s="121"/>
      <c r="BL144" s="121"/>
      <c r="BM144" s="121"/>
      <c r="BN144" s="121"/>
      <c r="BO144" s="121"/>
      <c r="BP144" s="121"/>
      <c r="BQ144" s="121"/>
      <c r="BR144" s="121"/>
      <c r="BS144" s="121"/>
      <c r="BT144" s="121"/>
      <c r="BU144" s="121"/>
      <c r="BV144" s="199"/>
      <c r="BW144" s="199"/>
      <c r="BX144" s="199"/>
      <c r="BY144" s="199"/>
      <c r="BZ144" s="199"/>
      <c r="CA144" s="199"/>
      <c r="CB144" s="199"/>
      <c r="CC144" s="199"/>
      <c r="CD144" s="199"/>
      <c r="CE144" s="199"/>
      <c r="CF144" s="199"/>
      <c r="CG144" s="199">
        <v>1</v>
      </c>
      <c r="CH144" s="199">
        <v>1</v>
      </c>
      <c r="CI144" s="121"/>
      <c r="CJ144" s="121"/>
      <c r="CK144" s="121"/>
      <c r="CL144" s="121"/>
      <c r="CM144" s="121"/>
      <c r="CN144" s="200"/>
      <c r="CO144" s="201"/>
      <c r="CP144" s="202"/>
      <c r="CQ144" s="202"/>
      <c r="CR144" s="202"/>
      <c r="CS144" s="202"/>
      <c r="CT144" s="203"/>
      <c r="CU144" s="204"/>
      <c r="CV144" s="199"/>
      <c r="CW144" s="205"/>
      <c r="CX144" s="132"/>
      <c r="CY144" s="132"/>
      <c r="CZ144" s="132"/>
      <c r="DA144" s="132"/>
      <c r="DB144" s="132"/>
      <c r="DC144" s="132"/>
      <c r="DD144" s="132"/>
      <c r="DE144" s="103"/>
      <c r="DF144" s="103"/>
      <c r="DG144" s="103"/>
      <c r="DH144" s="103"/>
      <c r="DI144" s="103"/>
      <c r="DJ144" s="103"/>
      <c r="DK144" s="130"/>
      <c r="DL144" s="130"/>
      <c r="DM144" s="130"/>
      <c r="DN144" s="132"/>
      <c r="DO144" s="132"/>
    </row>
    <row r="145" ht="41.1" customHeight="1" spans="1:119">
      <c r="A145" s="131">
        <v>43829</v>
      </c>
      <c r="B145" s="132" t="s">
        <v>6785</v>
      </c>
      <c r="C145" s="160">
        <v>4500025572</v>
      </c>
      <c r="D145" s="215" t="s">
        <v>5030</v>
      </c>
      <c r="E145" s="206" t="s">
        <v>13320</v>
      </c>
      <c r="F145" s="206" t="s">
        <v>13388</v>
      </c>
      <c r="G145" s="206" t="s">
        <v>13389</v>
      </c>
      <c r="H145" s="138">
        <v>18</v>
      </c>
      <c r="I145" s="132"/>
      <c r="J145" s="132"/>
      <c r="K145" s="132"/>
      <c r="L145" s="139"/>
      <c r="M145" s="140"/>
      <c r="N145" s="208"/>
      <c r="O145" s="208"/>
      <c r="P145" s="209"/>
      <c r="Q145" s="208"/>
      <c r="R145" s="208"/>
      <c r="S145" s="210"/>
      <c r="T145" s="208"/>
      <c r="U145" s="211"/>
      <c r="V145" s="153"/>
      <c r="W145" s="154"/>
      <c r="X145" s="155"/>
      <c r="Y145" s="146"/>
      <c r="Z145" s="156"/>
      <c r="AA145" s="157"/>
      <c r="AB145" s="157"/>
      <c r="AC145" s="158"/>
      <c r="AD145" s="159"/>
      <c r="AE145" s="117"/>
      <c r="AF145" s="117"/>
      <c r="AG145" s="117"/>
      <c r="AH145" s="117"/>
      <c r="AI145" s="117"/>
      <c r="AJ145" s="117"/>
      <c r="AK145" s="117"/>
      <c r="AL145" s="117"/>
      <c r="AM145" s="117"/>
      <c r="AN145" s="117"/>
      <c r="AO145" s="117"/>
      <c r="AP145" s="117"/>
      <c r="AQ145" s="117"/>
      <c r="AR145" s="117"/>
      <c r="AS145" s="117"/>
      <c r="AT145" s="117"/>
      <c r="AU145" s="117"/>
      <c r="AV145" s="117"/>
      <c r="AW145" s="117">
        <v>18</v>
      </c>
      <c r="AX145" s="117"/>
      <c r="AY145" s="117">
        <v>18</v>
      </c>
      <c r="AZ145" s="117"/>
      <c r="BA145" s="117"/>
      <c r="BB145" s="117"/>
      <c r="BC145" s="117"/>
      <c r="BD145" s="117">
        <v>3</v>
      </c>
      <c r="BE145" s="216"/>
      <c r="BF145" s="216"/>
      <c r="BG145" s="216"/>
      <c r="BH145" s="217"/>
      <c r="BI145" s="150"/>
      <c r="BJ145" s="121"/>
      <c r="BK145" s="121"/>
      <c r="BL145" s="121"/>
      <c r="BM145" s="121"/>
      <c r="BN145" s="121"/>
      <c r="BO145" s="121"/>
      <c r="BP145" s="121"/>
      <c r="BQ145" s="121"/>
      <c r="BR145" s="121"/>
      <c r="BS145" s="121"/>
      <c r="BT145" s="121"/>
      <c r="BU145" s="121"/>
      <c r="BV145" s="199"/>
      <c r="BW145" s="199"/>
      <c r="BX145" s="199"/>
      <c r="BY145" s="199"/>
      <c r="BZ145" s="199"/>
      <c r="CA145" s="199"/>
      <c r="CB145" s="199"/>
      <c r="CC145" s="199"/>
      <c r="CD145" s="199"/>
      <c r="CE145" s="199"/>
      <c r="CF145" s="199"/>
      <c r="CG145" s="199"/>
      <c r="CH145" s="199"/>
      <c r="CI145" s="121"/>
      <c r="CJ145" s="121"/>
      <c r="CK145" s="121"/>
      <c r="CL145" s="121"/>
      <c r="CM145" s="121"/>
      <c r="CN145" s="200"/>
      <c r="CO145" s="201"/>
      <c r="CP145" s="202"/>
      <c r="CQ145" s="202"/>
      <c r="CR145" s="202"/>
      <c r="CS145" s="202"/>
      <c r="CT145" s="203"/>
      <c r="CU145" s="204"/>
      <c r="CV145" s="199"/>
      <c r="CW145" s="205"/>
      <c r="CX145" s="132"/>
      <c r="CY145" s="132"/>
      <c r="CZ145" s="132"/>
      <c r="DA145" s="132"/>
      <c r="DB145" s="132"/>
      <c r="DC145" s="132"/>
      <c r="DD145" s="132"/>
      <c r="DE145" s="103"/>
      <c r="DF145" s="103"/>
      <c r="DG145" s="103"/>
      <c r="DH145" s="103"/>
      <c r="DI145" s="103"/>
      <c r="DJ145" s="103"/>
      <c r="DK145" s="130"/>
      <c r="DL145" s="130"/>
      <c r="DM145" s="130"/>
      <c r="DN145" s="132"/>
      <c r="DO145" s="132"/>
    </row>
    <row r="146" ht="41.1" customHeight="1" spans="1:119">
      <c r="A146" s="131">
        <v>43829</v>
      </c>
      <c r="B146" s="132" t="s">
        <v>13307</v>
      </c>
      <c r="C146" s="133">
        <v>4500026380</v>
      </c>
      <c r="D146" s="99" t="s">
        <v>13381</v>
      </c>
      <c r="E146" s="135" t="s">
        <v>13322</v>
      </c>
      <c r="F146" s="226" t="s">
        <v>13390</v>
      </c>
      <c r="G146" s="137" t="s">
        <v>13276</v>
      </c>
      <c r="H146" s="138">
        <v>6</v>
      </c>
      <c r="I146" s="132"/>
      <c r="J146" s="132"/>
      <c r="K146" s="132"/>
      <c r="L146" s="139"/>
      <c r="M146" s="140"/>
      <c r="N146" s="141"/>
      <c r="O146" s="141"/>
      <c r="P146" s="142"/>
      <c r="Q146" s="141"/>
      <c r="R146" s="141"/>
      <c r="S146" s="141"/>
      <c r="T146" s="141"/>
      <c r="U146" s="142"/>
      <c r="V146" s="227"/>
      <c r="W146" s="142"/>
      <c r="X146" s="228"/>
      <c r="Y146" s="199"/>
      <c r="Z146" s="199"/>
      <c r="AA146" s="202"/>
      <c r="AB146" s="202"/>
      <c r="AC146" s="63"/>
      <c r="AD146" s="229"/>
      <c r="AE146" s="229"/>
      <c r="AF146" s="229"/>
      <c r="AG146" s="229"/>
      <c r="AH146" s="229"/>
      <c r="AI146" s="229"/>
      <c r="AJ146" s="229"/>
      <c r="AK146" s="229"/>
      <c r="AL146" s="229"/>
      <c r="AM146" s="229"/>
      <c r="AN146" s="229"/>
      <c r="AO146" s="229"/>
      <c r="AP146" s="229"/>
      <c r="AQ146" s="229"/>
      <c r="AR146" s="229"/>
      <c r="AS146" s="229"/>
      <c r="AT146" s="229"/>
      <c r="AU146" s="229"/>
      <c r="AV146" s="229"/>
      <c r="AW146" s="229">
        <v>6</v>
      </c>
      <c r="AX146" s="229"/>
      <c r="AY146" s="229">
        <v>6</v>
      </c>
      <c r="AZ146" s="229"/>
      <c r="BA146" s="229"/>
      <c r="BB146" s="229"/>
      <c r="BC146" s="229">
        <v>1</v>
      </c>
      <c r="BD146" s="229"/>
      <c r="BE146" s="230"/>
      <c r="BF146" s="231"/>
      <c r="BG146" s="231"/>
      <c r="BH146" s="231"/>
      <c r="BI146" s="133"/>
      <c r="BJ146" s="121"/>
      <c r="BK146" s="121"/>
      <c r="BL146" s="121"/>
      <c r="BM146" s="121"/>
      <c r="BN146" s="121"/>
      <c r="BO146" s="121"/>
      <c r="BP146" s="121"/>
      <c r="BQ146" s="121"/>
      <c r="BR146" s="121"/>
      <c r="BS146" s="121"/>
      <c r="BT146" s="121"/>
      <c r="BU146" s="121"/>
      <c r="BV146" s="199"/>
      <c r="BW146" s="199"/>
      <c r="BX146" s="199"/>
      <c r="BY146" s="199"/>
      <c r="BZ146" s="199"/>
      <c r="CA146" s="199"/>
      <c r="CB146" s="199"/>
      <c r="CC146" s="199"/>
      <c r="CD146" s="199"/>
      <c r="CE146" s="199"/>
      <c r="CF146" s="199"/>
      <c r="CG146" s="199"/>
      <c r="CH146" s="199"/>
      <c r="CI146" s="121"/>
      <c r="CJ146" s="121"/>
      <c r="CK146" s="121"/>
      <c r="CL146" s="121"/>
      <c r="CM146" s="121"/>
      <c r="CN146" s="200"/>
      <c r="CO146" s="201"/>
      <c r="CP146" s="202"/>
      <c r="CQ146" s="202"/>
      <c r="CR146" s="202"/>
      <c r="CS146" s="202"/>
      <c r="CT146" s="203"/>
      <c r="CU146" s="204"/>
      <c r="CV146" s="199"/>
      <c r="CW146" s="205"/>
      <c r="CX146" s="132"/>
      <c r="CY146" s="132"/>
      <c r="CZ146" s="132"/>
      <c r="DA146" s="132"/>
      <c r="DB146" s="132"/>
      <c r="DC146" s="132"/>
      <c r="DD146" s="132"/>
      <c r="DE146" s="103"/>
      <c r="DF146" s="103"/>
      <c r="DG146" s="103"/>
      <c r="DH146" s="103"/>
      <c r="DI146" s="103"/>
      <c r="DJ146" s="103"/>
      <c r="DK146" s="130"/>
      <c r="DL146" s="130"/>
      <c r="DM146" s="130"/>
      <c r="DN146" s="132"/>
      <c r="DO146" s="132"/>
    </row>
    <row r="147" ht="26.25" customHeight="1" spans="1:119">
      <c r="A147" s="131">
        <v>43829</v>
      </c>
      <c r="B147" s="132" t="s">
        <v>13391</v>
      </c>
      <c r="C147" s="132">
        <v>4500027174</v>
      </c>
      <c r="D147" s="99" t="s">
        <v>13392</v>
      </c>
      <c r="E147" s="99" t="s">
        <v>13322</v>
      </c>
      <c r="F147" s="232" t="s">
        <v>13393</v>
      </c>
      <c r="G147" s="99" t="s">
        <v>13276</v>
      </c>
      <c r="H147" s="132">
        <v>6</v>
      </c>
      <c r="I147" s="132"/>
      <c r="J147" s="132"/>
      <c r="K147" s="132"/>
      <c r="L147" s="132"/>
      <c r="M147" s="140"/>
      <c r="N147" s="132"/>
      <c r="O147" s="132"/>
      <c r="P147" s="142"/>
      <c r="Q147" s="132"/>
      <c r="R147" s="132"/>
      <c r="S147" s="132"/>
      <c r="T147" s="132"/>
      <c r="U147" s="99"/>
      <c r="V147" s="233"/>
      <c r="W147" s="233"/>
      <c r="X147" s="61"/>
      <c r="Y147" s="199"/>
      <c r="Z147" s="199"/>
      <c r="AA147" s="199"/>
      <c r="AB147" s="199"/>
      <c r="AC147" s="63"/>
      <c r="AD147" s="229"/>
      <c r="AE147" s="229"/>
      <c r="AF147" s="229"/>
      <c r="AG147" s="229"/>
      <c r="AH147" s="229"/>
      <c r="AI147" s="229"/>
      <c r="AJ147" s="229"/>
      <c r="AK147" s="229"/>
      <c r="AL147" s="229"/>
      <c r="AM147" s="229"/>
      <c r="AN147" s="229"/>
      <c r="AO147" s="229"/>
      <c r="AP147" s="229"/>
      <c r="AQ147" s="229"/>
      <c r="AR147" s="229"/>
      <c r="AS147" s="229"/>
      <c r="AT147" s="229"/>
      <c r="AU147" s="229"/>
      <c r="AV147" s="229"/>
      <c r="AW147" s="229">
        <v>6</v>
      </c>
      <c r="AX147" s="229"/>
      <c r="AY147" s="229">
        <v>6</v>
      </c>
      <c r="AZ147" s="229"/>
      <c r="BA147" s="229"/>
      <c r="BB147" s="229"/>
      <c r="BC147" s="229">
        <v>1</v>
      </c>
      <c r="BD147" s="229"/>
      <c r="BE147" s="233"/>
      <c r="BF147" s="233"/>
      <c r="BG147" s="233"/>
      <c r="BH147" s="233"/>
      <c r="BI147" s="133"/>
      <c r="BJ147" s="202"/>
      <c r="BK147" s="202"/>
      <c r="BL147" s="202"/>
      <c r="BM147" s="202"/>
      <c r="BN147" s="202"/>
      <c r="BO147" s="202"/>
      <c r="BP147" s="202"/>
      <c r="BQ147" s="202"/>
      <c r="BR147" s="202"/>
      <c r="BS147" s="202"/>
      <c r="BT147" s="202"/>
      <c r="BU147" s="202"/>
      <c r="BV147" s="202"/>
      <c r="BW147" s="202"/>
      <c r="BX147" s="202"/>
      <c r="BY147" s="202"/>
      <c r="BZ147" s="202"/>
      <c r="CA147" s="202"/>
      <c r="CB147" s="202"/>
      <c r="CC147" s="202"/>
      <c r="CD147" s="202"/>
      <c r="CE147" s="202"/>
      <c r="CF147" s="202"/>
      <c r="CG147" s="202"/>
      <c r="CH147" s="202"/>
      <c r="CI147" s="121"/>
      <c r="CJ147" s="121"/>
      <c r="CK147" s="121"/>
      <c r="CL147" s="121"/>
      <c r="CM147" s="121"/>
      <c r="CN147" s="121"/>
      <c r="CO147" s="121"/>
      <c r="CP147" s="121"/>
      <c r="CQ147" s="121"/>
      <c r="CR147" s="121"/>
      <c r="CS147" s="121"/>
      <c r="CT147" s="121"/>
      <c r="CU147" s="199"/>
      <c r="CV147" s="199"/>
      <c r="CW147" s="205"/>
      <c r="CX147" s="132"/>
      <c r="CY147" s="132"/>
      <c r="CZ147" s="132"/>
      <c r="DA147" s="132"/>
      <c r="DB147" s="132"/>
      <c r="DC147" s="132"/>
      <c r="DD147" s="132"/>
      <c r="DE147" s="103"/>
      <c r="DF147" s="103"/>
      <c r="DG147" s="103"/>
      <c r="DH147" s="103"/>
      <c r="DI147" s="103"/>
      <c r="DJ147" s="103"/>
      <c r="DK147" s="130"/>
      <c r="DL147" s="130"/>
      <c r="DM147" s="130"/>
      <c r="DN147" s="132"/>
      <c r="DO147" s="132"/>
    </row>
    <row r="148" ht="26.25" customHeight="1" spans="1:119">
      <c r="A148" s="131">
        <v>43832</v>
      </c>
      <c r="B148" s="132" t="s">
        <v>13375</v>
      </c>
      <c r="C148" s="132">
        <v>4500027360</v>
      </c>
      <c r="D148" s="99" t="s">
        <v>13286</v>
      </c>
      <c r="E148" s="137" t="s">
        <v>13320</v>
      </c>
      <c r="F148" s="232" t="s">
        <v>13394</v>
      </c>
      <c r="G148" s="218" t="s">
        <v>13268</v>
      </c>
      <c r="H148" s="132">
        <v>11</v>
      </c>
      <c r="I148" s="132"/>
      <c r="J148" s="132"/>
      <c r="K148" s="132"/>
      <c r="L148" s="132"/>
      <c r="M148" s="140"/>
      <c r="N148" s="132"/>
      <c r="O148" s="132"/>
      <c r="P148" s="142"/>
      <c r="Q148" s="132"/>
      <c r="R148" s="132"/>
      <c r="S148" s="132"/>
      <c r="T148" s="132"/>
      <c r="U148" s="99"/>
      <c r="V148" s="233"/>
      <c r="W148" s="233"/>
      <c r="X148" s="61"/>
      <c r="Y148" s="199"/>
      <c r="Z148" s="199"/>
      <c r="AA148" s="199"/>
      <c r="AB148" s="199"/>
      <c r="AC148" s="63"/>
      <c r="AD148" s="229"/>
      <c r="AE148" s="229">
        <v>11</v>
      </c>
      <c r="AF148" s="229"/>
      <c r="AG148" s="229"/>
      <c r="AH148" s="229"/>
      <c r="AI148" s="229">
        <v>11</v>
      </c>
      <c r="AJ148" s="229"/>
      <c r="AK148" s="229"/>
      <c r="AL148" s="229"/>
      <c r="AM148" s="229"/>
      <c r="AN148" s="229"/>
      <c r="AO148" s="229"/>
      <c r="AP148" s="229"/>
      <c r="AQ148" s="229"/>
      <c r="AR148" s="229"/>
      <c r="AS148" s="229"/>
      <c r="AT148" s="229"/>
      <c r="AU148" s="229"/>
      <c r="AV148" s="229"/>
      <c r="AW148" s="229"/>
      <c r="AX148" s="229"/>
      <c r="AY148" s="229"/>
      <c r="AZ148" s="229"/>
      <c r="BA148" s="229"/>
      <c r="BB148" s="229"/>
      <c r="BC148" s="229"/>
      <c r="BD148" s="229"/>
      <c r="BE148" s="233"/>
      <c r="BF148" s="233"/>
      <c r="BG148" s="233"/>
      <c r="BH148" s="233"/>
      <c r="BI148" s="133"/>
      <c r="BJ148" s="202"/>
      <c r="BK148" s="202"/>
      <c r="BL148" s="202"/>
      <c r="BM148" s="202"/>
      <c r="BN148" s="202"/>
      <c r="BO148" s="202"/>
      <c r="BP148" s="202"/>
      <c r="BQ148" s="202"/>
      <c r="BR148" s="202"/>
      <c r="BS148" s="202"/>
      <c r="BT148" s="202"/>
      <c r="BU148" s="202"/>
      <c r="BV148" s="202">
        <v>1</v>
      </c>
      <c r="BW148" s="202">
        <v>1</v>
      </c>
      <c r="BX148" s="202">
        <v>1</v>
      </c>
      <c r="BY148" s="202">
        <v>1</v>
      </c>
      <c r="BZ148" s="202">
        <v>1</v>
      </c>
      <c r="CA148" s="202">
        <v>1</v>
      </c>
      <c r="CB148" s="202">
        <v>1</v>
      </c>
      <c r="CC148" s="202"/>
      <c r="CD148" s="202"/>
      <c r="CE148" s="202">
        <v>1</v>
      </c>
      <c r="CF148" s="202">
        <v>1</v>
      </c>
      <c r="CG148" s="202">
        <v>1</v>
      </c>
      <c r="CH148" s="202">
        <v>1</v>
      </c>
      <c r="CI148" s="121"/>
      <c r="CJ148" s="121"/>
      <c r="CK148" s="121"/>
      <c r="CL148" s="121"/>
      <c r="CM148" s="121"/>
      <c r="CN148" s="121"/>
      <c r="CO148" s="121"/>
      <c r="CP148" s="121"/>
      <c r="CQ148" s="121"/>
      <c r="CR148" s="121"/>
      <c r="CS148" s="121"/>
      <c r="CT148" s="121"/>
      <c r="CU148" s="199"/>
      <c r="CV148" s="199"/>
      <c r="CW148" s="205"/>
      <c r="CX148" s="132"/>
      <c r="CY148" s="132"/>
      <c r="CZ148" s="132"/>
      <c r="DA148" s="132"/>
      <c r="DB148" s="132"/>
      <c r="DC148" s="132"/>
      <c r="DD148" s="132"/>
      <c r="DE148" s="103"/>
      <c r="DF148" s="103"/>
      <c r="DG148" s="103"/>
      <c r="DH148" s="103"/>
      <c r="DI148" s="103"/>
      <c r="DJ148" s="103"/>
      <c r="DK148" s="130"/>
      <c r="DL148" s="130"/>
      <c r="DM148" s="130"/>
      <c r="DN148" s="132"/>
      <c r="DO148" s="132"/>
    </row>
    <row r="149" ht="26.25" customHeight="1" spans="1:119">
      <c r="A149" s="131">
        <v>43840</v>
      </c>
      <c r="B149" s="132" t="s">
        <v>1199</v>
      </c>
      <c r="C149" s="132">
        <v>4500027765</v>
      </c>
      <c r="D149" s="215" t="s">
        <v>13395</v>
      </c>
      <c r="E149" s="206" t="s">
        <v>13315</v>
      </c>
      <c r="F149" s="100" t="s">
        <v>13297</v>
      </c>
      <c r="G149" s="222" t="s">
        <v>13344</v>
      </c>
      <c r="H149" s="132">
        <v>2</v>
      </c>
      <c r="I149" s="132"/>
      <c r="J149" s="132"/>
      <c r="K149" s="132"/>
      <c r="L149" s="132"/>
      <c r="M149" s="140"/>
      <c r="N149" s="132"/>
      <c r="O149" s="132"/>
      <c r="P149" s="142"/>
      <c r="Q149" s="132"/>
      <c r="R149" s="132"/>
      <c r="S149" s="132"/>
      <c r="T149" s="132"/>
      <c r="U149" s="99"/>
      <c r="V149" s="233"/>
      <c r="W149" s="233"/>
      <c r="X149" s="61"/>
      <c r="Y149" s="199"/>
      <c r="Z149" s="199"/>
      <c r="AA149" s="199"/>
      <c r="AB149" s="199"/>
      <c r="AC149" s="63"/>
      <c r="AD149" s="229"/>
      <c r="AE149" s="229"/>
      <c r="AF149" s="229"/>
      <c r="AG149" s="229"/>
      <c r="AH149" s="229"/>
      <c r="AI149" s="229"/>
      <c r="AJ149" s="229"/>
      <c r="AK149" s="229"/>
      <c r="AL149" s="229"/>
      <c r="AM149" s="229"/>
      <c r="AN149" s="229"/>
      <c r="AO149" s="229"/>
      <c r="AP149" s="229"/>
      <c r="AQ149" s="229"/>
      <c r="AR149" s="229"/>
      <c r="AS149" s="229"/>
      <c r="AT149" s="229"/>
      <c r="AU149" s="229"/>
      <c r="AV149" s="229"/>
      <c r="AW149" s="229"/>
      <c r="AX149" s="229"/>
      <c r="AY149" s="229"/>
      <c r="AZ149" s="229"/>
      <c r="BA149" s="229"/>
      <c r="BB149" s="229"/>
      <c r="BC149" s="229"/>
      <c r="BD149" s="229"/>
      <c r="BE149" s="233"/>
      <c r="BF149" s="233"/>
      <c r="BG149" s="233">
        <v>2</v>
      </c>
      <c r="BH149" s="233">
        <v>2</v>
      </c>
      <c r="BI149" s="133"/>
      <c r="BJ149" s="202"/>
      <c r="BK149" s="202"/>
      <c r="BL149" s="202"/>
      <c r="BM149" s="202"/>
      <c r="BN149" s="202"/>
      <c r="BO149" s="202"/>
      <c r="BP149" s="202"/>
      <c r="BQ149" s="202"/>
      <c r="BR149" s="202"/>
      <c r="BS149" s="202"/>
      <c r="BT149" s="202"/>
      <c r="BU149" s="202"/>
      <c r="BV149" s="202"/>
      <c r="BW149" s="202"/>
      <c r="BX149" s="202"/>
      <c r="BY149" s="202"/>
      <c r="BZ149" s="202"/>
      <c r="CA149" s="202"/>
      <c r="CB149" s="202"/>
      <c r="CC149" s="202"/>
      <c r="CD149" s="202"/>
      <c r="CE149" s="202"/>
      <c r="CF149" s="202"/>
      <c r="CG149" s="202"/>
      <c r="CH149" s="202"/>
      <c r="CI149" s="121"/>
      <c r="CJ149" s="121"/>
      <c r="CK149" s="121"/>
      <c r="CL149" s="121"/>
      <c r="CM149" s="121"/>
      <c r="CN149" s="121"/>
      <c r="CO149" s="121"/>
      <c r="CP149" s="121"/>
      <c r="CQ149" s="121"/>
      <c r="CR149" s="121"/>
      <c r="CS149" s="121"/>
      <c r="CT149" s="121"/>
      <c r="CU149" s="199"/>
      <c r="CV149" s="199">
        <v>1</v>
      </c>
      <c r="CW149" s="205">
        <v>1</v>
      </c>
      <c r="CX149" s="132"/>
      <c r="CY149" s="132"/>
      <c r="CZ149" s="132"/>
      <c r="DA149" s="132"/>
      <c r="DB149" s="132"/>
      <c r="DC149" s="132"/>
      <c r="DD149" s="132"/>
      <c r="DE149" s="103"/>
      <c r="DF149" s="103"/>
      <c r="DG149" s="103"/>
      <c r="DH149" s="103"/>
      <c r="DI149" s="103"/>
      <c r="DJ149" s="103"/>
      <c r="DK149" s="130"/>
      <c r="DL149" s="130"/>
      <c r="DM149" s="130"/>
      <c r="DN149" s="132"/>
      <c r="DO149" s="132"/>
    </row>
    <row r="150" ht="26.25" customHeight="1" spans="1:119">
      <c r="A150" s="131">
        <v>43840</v>
      </c>
      <c r="B150" s="132" t="s">
        <v>1199</v>
      </c>
      <c r="C150" s="132">
        <v>4500027765</v>
      </c>
      <c r="D150" s="215" t="s">
        <v>13395</v>
      </c>
      <c r="E150" s="206" t="s">
        <v>13315</v>
      </c>
      <c r="F150" s="136" t="s">
        <v>13390</v>
      </c>
      <c r="G150" s="137" t="s">
        <v>13276</v>
      </c>
      <c r="H150" s="132">
        <v>2</v>
      </c>
      <c r="I150" s="132"/>
      <c r="J150" s="132"/>
      <c r="K150" s="132"/>
      <c r="L150" s="132"/>
      <c r="M150" s="140"/>
      <c r="N150" s="132"/>
      <c r="O150" s="132"/>
      <c r="P150" s="142"/>
      <c r="Q150" s="132"/>
      <c r="R150" s="132"/>
      <c r="S150" s="132"/>
      <c r="T150" s="132"/>
      <c r="U150" s="99"/>
      <c r="V150" s="233"/>
      <c r="W150" s="233"/>
      <c r="X150" s="61"/>
      <c r="Y150" s="199"/>
      <c r="Z150" s="199"/>
      <c r="AA150" s="199"/>
      <c r="AB150" s="199"/>
      <c r="AC150" s="63"/>
      <c r="AD150" s="229"/>
      <c r="AE150" s="229"/>
      <c r="AF150" s="229"/>
      <c r="AG150" s="229"/>
      <c r="AH150" s="229"/>
      <c r="AI150" s="229"/>
      <c r="AJ150" s="229"/>
      <c r="AK150" s="229"/>
      <c r="AL150" s="229"/>
      <c r="AM150" s="229"/>
      <c r="AN150" s="229"/>
      <c r="AO150" s="229"/>
      <c r="AP150" s="229"/>
      <c r="AQ150" s="229"/>
      <c r="AR150" s="229"/>
      <c r="AS150" s="229"/>
      <c r="AT150" s="229"/>
      <c r="AU150" s="229"/>
      <c r="AV150" s="229"/>
      <c r="AW150" s="229">
        <v>2</v>
      </c>
      <c r="AX150" s="229"/>
      <c r="AY150" s="229">
        <v>2</v>
      </c>
      <c r="AZ150" s="229"/>
      <c r="BA150" s="229"/>
      <c r="BB150" s="229"/>
      <c r="BC150" s="229"/>
      <c r="BD150" s="229"/>
      <c r="BE150" s="233"/>
      <c r="BF150" s="233"/>
      <c r="BG150" s="233"/>
      <c r="BH150" s="233"/>
      <c r="BI150" s="133"/>
      <c r="BJ150" s="202"/>
      <c r="BK150" s="202"/>
      <c r="BL150" s="202"/>
      <c r="BM150" s="202"/>
      <c r="BN150" s="202"/>
      <c r="BO150" s="202"/>
      <c r="BP150" s="202"/>
      <c r="BQ150" s="202"/>
      <c r="BR150" s="202"/>
      <c r="BS150" s="202"/>
      <c r="BT150" s="202"/>
      <c r="BU150" s="202"/>
      <c r="BV150" s="202"/>
      <c r="BW150" s="202"/>
      <c r="BX150" s="202"/>
      <c r="BY150" s="202"/>
      <c r="BZ150" s="202"/>
      <c r="CA150" s="202"/>
      <c r="CB150" s="202"/>
      <c r="CC150" s="202"/>
      <c r="CD150" s="202"/>
      <c r="CE150" s="202"/>
      <c r="CF150" s="202"/>
      <c r="CG150" s="202"/>
      <c r="CH150" s="202"/>
      <c r="CI150" s="121"/>
      <c r="CJ150" s="121"/>
      <c r="CK150" s="121"/>
      <c r="CL150" s="121"/>
      <c r="CM150" s="121"/>
      <c r="CN150" s="121"/>
      <c r="CO150" s="121"/>
      <c r="CP150" s="121">
        <v>1</v>
      </c>
      <c r="CQ150" s="121"/>
      <c r="CR150" s="121"/>
      <c r="CS150" s="121"/>
      <c r="CT150" s="121">
        <v>1</v>
      </c>
      <c r="CU150" s="199"/>
      <c r="CV150" s="199"/>
      <c r="CW150" s="205"/>
      <c r="CX150" s="132"/>
      <c r="CY150" s="132"/>
      <c r="CZ150" s="132"/>
      <c r="DA150" s="132"/>
      <c r="DB150" s="132"/>
      <c r="DC150" s="132"/>
      <c r="DD150" s="132"/>
      <c r="DE150" s="103"/>
      <c r="DF150" s="103"/>
      <c r="DG150" s="103"/>
      <c r="DH150" s="103"/>
      <c r="DI150" s="103"/>
      <c r="DJ150" s="103"/>
      <c r="DK150" s="130"/>
      <c r="DL150" s="130"/>
      <c r="DM150" s="130"/>
      <c r="DN150" s="132"/>
      <c r="DO150" s="132"/>
    </row>
    <row r="151" ht="26.25" customHeight="1" spans="1:119">
      <c r="A151" s="131">
        <v>43843</v>
      </c>
      <c r="B151" s="132" t="s">
        <v>13253</v>
      </c>
      <c r="C151" s="132">
        <v>4500027105</v>
      </c>
      <c r="D151" s="99" t="s">
        <v>13325</v>
      </c>
      <c r="E151" s="99" t="s">
        <v>13322</v>
      </c>
      <c r="F151" s="215" t="s">
        <v>13396</v>
      </c>
      <c r="G151" s="99" t="s">
        <v>13276</v>
      </c>
      <c r="H151" s="132">
        <v>6</v>
      </c>
      <c r="I151" s="132"/>
      <c r="J151" s="132"/>
      <c r="K151" s="132"/>
      <c r="L151" s="132"/>
      <c r="M151" s="140"/>
      <c r="N151" s="132"/>
      <c r="O151" s="132"/>
      <c r="P151" s="142"/>
      <c r="Q151" s="132"/>
      <c r="R151" s="132"/>
      <c r="S151" s="132"/>
      <c r="T151" s="132"/>
      <c r="U151" s="99"/>
      <c r="V151" s="233"/>
      <c r="W151" s="233"/>
      <c r="X151" s="61"/>
      <c r="Y151" s="199"/>
      <c r="Z151" s="199"/>
      <c r="AA151" s="199"/>
      <c r="AB151" s="199"/>
      <c r="AC151" s="63"/>
      <c r="AD151" s="229"/>
      <c r="AE151" s="229"/>
      <c r="AF151" s="229"/>
      <c r="AG151" s="229"/>
      <c r="AH151" s="229"/>
      <c r="AI151" s="229"/>
      <c r="AJ151" s="229"/>
      <c r="AK151" s="229"/>
      <c r="AL151" s="229"/>
      <c r="AM151" s="229"/>
      <c r="AN151" s="229"/>
      <c r="AO151" s="229"/>
      <c r="AP151" s="229"/>
      <c r="AQ151" s="229"/>
      <c r="AR151" s="229"/>
      <c r="AS151" s="229"/>
      <c r="AT151" s="229"/>
      <c r="AU151" s="229"/>
      <c r="AV151" s="229"/>
      <c r="AW151" s="229">
        <v>6</v>
      </c>
      <c r="AX151" s="229"/>
      <c r="AY151" s="229">
        <v>6</v>
      </c>
      <c r="AZ151" s="229"/>
      <c r="BA151" s="229"/>
      <c r="BB151" s="229"/>
      <c r="BC151" s="229">
        <v>1</v>
      </c>
      <c r="BD151" s="229"/>
      <c r="BE151" s="233"/>
      <c r="BF151" s="233"/>
      <c r="BG151" s="233"/>
      <c r="BH151" s="233"/>
      <c r="BI151" s="133"/>
      <c r="BJ151" s="202"/>
      <c r="BK151" s="202"/>
      <c r="BL151" s="202"/>
      <c r="BM151" s="202"/>
      <c r="BN151" s="202"/>
      <c r="BO151" s="202"/>
      <c r="BP151" s="202"/>
      <c r="BQ151" s="202"/>
      <c r="BR151" s="202"/>
      <c r="BS151" s="202"/>
      <c r="BT151" s="202"/>
      <c r="BU151" s="202"/>
      <c r="BV151" s="202"/>
      <c r="BW151" s="202"/>
      <c r="BX151" s="202"/>
      <c r="BY151" s="202"/>
      <c r="BZ151" s="202"/>
      <c r="CA151" s="202"/>
      <c r="CB151" s="202"/>
      <c r="CC151" s="202"/>
      <c r="CD151" s="202"/>
      <c r="CE151" s="202"/>
      <c r="CF151" s="202"/>
      <c r="CG151" s="202"/>
      <c r="CH151" s="202"/>
      <c r="CI151" s="121"/>
      <c r="CJ151" s="121"/>
      <c r="CK151" s="121"/>
      <c r="CL151" s="121"/>
      <c r="CM151" s="121"/>
      <c r="CN151" s="121"/>
      <c r="CO151" s="121">
        <v>1</v>
      </c>
      <c r="CP151" s="121">
        <v>1</v>
      </c>
      <c r="CQ151" s="121">
        <v>1</v>
      </c>
      <c r="CR151" s="121">
        <v>1</v>
      </c>
      <c r="CS151" s="121">
        <v>1</v>
      </c>
      <c r="CT151" s="121">
        <v>1</v>
      </c>
      <c r="CU151" s="199"/>
      <c r="CV151" s="199"/>
      <c r="CW151" s="205"/>
      <c r="CX151" s="132"/>
      <c r="CY151" s="132"/>
      <c r="CZ151" s="132"/>
      <c r="DA151" s="132"/>
      <c r="DB151" s="132"/>
      <c r="DC151" s="132"/>
      <c r="DD151" s="132"/>
      <c r="DE151" s="103"/>
      <c r="DF151" s="103"/>
      <c r="DG151" s="103"/>
      <c r="DH151" s="103"/>
      <c r="DI151" s="103"/>
      <c r="DJ151" s="103"/>
      <c r="DK151" s="130"/>
      <c r="DL151" s="130"/>
      <c r="DM151" s="130"/>
      <c r="DN151" s="132"/>
      <c r="DO151" s="132"/>
    </row>
    <row r="152" ht="26.25" customHeight="1" spans="1:119">
      <c r="A152" s="131">
        <v>43885</v>
      </c>
      <c r="B152" s="132" t="s">
        <v>13198</v>
      </c>
      <c r="C152" s="132" t="s">
        <v>9164</v>
      </c>
      <c r="D152" s="99"/>
      <c r="E152" s="206" t="s">
        <v>13315</v>
      </c>
      <c r="F152" s="232">
        <v>9202</v>
      </c>
      <c r="G152" s="218" t="s">
        <v>13268</v>
      </c>
      <c r="H152" s="132">
        <v>13</v>
      </c>
      <c r="I152" s="132"/>
      <c r="J152" s="132"/>
      <c r="K152" s="132"/>
      <c r="L152" s="132"/>
      <c r="M152" s="140"/>
      <c r="N152" s="132"/>
      <c r="O152" s="132"/>
      <c r="P152" s="142"/>
      <c r="Q152" s="132"/>
      <c r="R152" s="132"/>
      <c r="S152" s="132"/>
      <c r="T152" s="132"/>
      <c r="U152" s="99"/>
      <c r="V152" s="233"/>
      <c r="W152" s="233"/>
      <c r="X152" s="61"/>
      <c r="Y152" s="199"/>
      <c r="Z152" s="199"/>
      <c r="AA152" s="199"/>
      <c r="AB152" s="199"/>
      <c r="AC152" s="63"/>
      <c r="AD152" s="229"/>
      <c r="AE152" s="229">
        <v>13</v>
      </c>
      <c r="AF152" s="229"/>
      <c r="AG152" s="229"/>
      <c r="AH152" s="229"/>
      <c r="AI152" s="229">
        <v>13</v>
      </c>
      <c r="AJ152" s="229"/>
      <c r="AK152" s="229"/>
      <c r="AL152" s="229"/>
      <c r="AM152" s="229"/>
      <c r="AN152" s="229"/>
      <c r="AO152" s="229"/>
      <c r="AP152" s="229"/>
      <c r="AQ152" s="229"/>
      <c r="AR152" s="229"/>
      <c r="AS152" s="229"/>
      <c r="AT152" s="229"/>
      <c r="AU152" s="229"/>
      <c r="AV152" s="229"/>
      <c r="AW152" s="229"/>
      <c r="AX152" s="229"/>
      <c r="AY152" s="229"/>
      <c r="AZ152" s="229"/>
      <c r="BA152" s="229"/>
      <c r="BB152" s="229"/>
      <c r="BC152" s="229"/>
      <c r="BD152" s="229"/>
      <c r="BE152" s="233"/>
      <c r="BF152" s="233"/>
      <c r="BG152" s="233"/>
      <c r="BH152" s="233"/>
      <c r="BI152" s="133"/>
      <c r="BJ152" s="202"/>
      <c r="BK152" s="202"/>
      <c r="BL152" s="202"/>
      <c r="BM152" s="202"/>
      <c r="BN152" s="202"/>
      <c r="BO152" s="202"/>
      <c r="BP152" s="202"/>
      <c r="BQ152" s="202"/>
      <c r="BR152" s="202"/>
      <c r="BS152" s="202"/>
      <c r="BT152" s="202"/>
      <c r="BU152" s="202"/>
      <c r="BV152" s="202">
        <v>1</v>
      </c>
      <c r="BW152" s="202">
        <v>1</v>
      </c>
      <c r="BX152" s="202">
        <v>1</v>
      </c>
      <c r="BY152" s="202">
        <v>1</v>
      </c>
      <c r="BZ152" s="202">
        <v>1</v>
      </c>
      <c r="CA152" s="202">
        <v>1</v>
      </c>
      <c r="CB152" s="202">
        <v>1</v>
      </c>
      <c r="CC152" s="202">
        <v>1</v>
      </c>
      <c r="CD152" s="202">
        <v>1</v>
      </c>
      <c r="CE152" s="202">
        <v>1</v>
      </c>
      <c r="CF152" s="202">
        <v>1</v>
      </c>
      <c r="CG152" s="202">
        <v>1</v>
      </c>
      <c r="CH152" s="202">
        <v>1</v>
      </c>
      <c r="CI152" s="121"/>
      <c r="CJ152" s="121"/>
      <c r="CK152" s="121"/>
      <c r="CL152" s="121"/>
      <c r="CM152" s="121"/>
      <c r="CN152" s="121"/>
      <c r="CO152" s="121"/>
      <c r="CP152" s="121"/>
      <c r="CQ152" s="121"/>
      <c r="CR152" s="121"/>
      <c r="CS152" s="121"/>
      <c r="CT152" s="121"/>
      <c r="CU152" s="199"/>
      <c r="CV152" s="199"/>
      <c r="CW152" s="205"/>
      <c r="CX152" s="132"/>
      <c r="CY152" s="132"/>
      <c r="CZ152" s="132"/>
      <c r="DA152" s="132"/>
      <c r="DB152" s="132"/>
      <c r="DC152" s="132"/>
      <c r="DD152" s="132"/>
      <c r="DE152" s="103"/>
      <c r="DF152" s="103"/>
      <c r="DG152" s="103"/>
      <c r="DH152" s="103"/>
      <c r="DI152" s="103"/>
      <c r="DJ152" s="103"/>
      <c r="DK152" s="130"/>
      <c r="DL152" s="130"/>
      <c r="DM152" s="130"/>
      <c r="DN152" s="132"/>
      <c r="DO152" s="132"/>
    </row>
    <row r="153" ht="26.25" customHeight="1" spans="1:119">
      <c r="A153" s="131">
        <v>43885</v>
      </c>
      <c r="B153" s="132" t="s">
        <v>13198</v>
      </c>
      <c r="C153" s="132" t="s">
        <v>9164</v>
      </c>
      <c r="D153" s="99"/>
      <c r="E153" s="206" t="s">
        <v>13315</v>
      </c>
      <c r="F153" s="232">
        <v>9214</v>
      </c>
      <c r="G153" s="137" t="s">
        <v>13276</v>
      </c>
      <c r="H153" s="132">
        <v>6</v>
      </c>
      <c r="I153" s="132"/>
      <c r="J153" s="132"/>
      <c r="K153" s="132"/>
      <c r="L153" s="132"/>
      <c r="M153" s="140"/>
      <c r="N153" s="132"/>
      <c r="O153" s="132"/>
      <c r="P153" s="142"/>
      <c r="Q153" s="132"/>
      <c r="R153" s="132"/>
      <c r="S153" s="132"/>
      <c r="T153" s="132"/>
      <c r="U153" s="99"/>
      <c r="V153" s="233"/>
      <c r="W153" s="233"/>
      <c r="X153" s="61"/>
      <c r="Y153" s="199"/>
      <c r="Z153" s="199"/>
      <c r="AA153" s="199"/>
      <c r="AB153" s="199"/>
      <c r="AC153" s="63"/>
      <c r="AD153" s="229"/>
      <c r="AE153" s="229"/>
      <c r="AF153" s="229"/>
      <c r="AG153" s="229"/>
      <c r="AH153" s="229"/>
      <c r="AI153" s="229"/>
      <c r="AJ153" s="229"/>
      <c r="AK153" s="229"/>
      <c r="AL153" s="229"/>
      <c r="AM153" s="229"/>
      <c r="AN153" s="229"/>
      <c r="AO153" s="229"/>
      <c r="AP153" s="229"/>
      <c r="AQ153" s="229"/>
      <c r="AR153" s="229"/>
      <c r="AS153" s="229"/>
      <c r="AT153" s="229"/>
      <c r="AU153" s="229"/>
      <c r="AV153" s="229"/>
      <c r="AW153" s="229">
        <v>6</v>
      </c>
      <c r="AX153" s="229"/>
      <c r="AY153" s="229">
        <v>6</v>
      </c>
      <c r="AZ153" s="229"/>
      <c r="BA153" s="229"/>
      <c r="BB153" s="229"/>
      <c r="BC153" s="229">
        <v>1</v>
      </c>
      <c r="BD153" s="229"/>
      <c r="BE153" s="233"/>
      <c r="BF153" s="233"/>
      <c r="BG153" s="233"/>
      <c r="BH153" s="233"/>
      <c r="BI153" s="133"/>
      <c r="BJ153" s="202"/>
      <c r="BK153" s="202"/>
      <c r="BL153" s="202"/>
      <c r="BM153" s="202"/>
      <c r="BN153" s="202"/>
      <c r="BO153" s="202"/>
      <c r="BP153" s="202"/>
      <c r="BQ153" s="202"/>
      <c r="BR153" s="202"/>
      <c r="BS153" s="202"/>
      <c r="BT153" s="202"/>
      <c r="BU153" s="202"/>
      <c r="BV153" s="202"/>
      <c r="BW153" s="202"/>
      <c r="BX153" s="202"/>
      <c r="BY153" s="202"/>
      <c r="BZ153" s="202"/>
      <c r="CA153" s="202"/>
      <c r="CB153" s="202"/>
      <c r="CC153" s="202"/>
      <c r="CD153" s="202"/>
      <c r="CE153" s="202"/>
      <c r="CF153" s="202"/>
      <c r="CG153" s="202"/>
      <c r="CH153" s="202"/>
      <c r="CI153" s="121"/>
      <c r="CJ153" s="121"/>
      <c r="CK153" s="121"/>
      <c r="CL153" s="121"/>
      <c r="CM153" s="121"/>
      <c r="CN153" s="121"/>
      <c r="CO153" s="121">
        <v>1</v>
      </c>
      <c r="CP153" s="121">
        <v>1</v>
      </c>
      <c r="CQ153" s="121">
        <v>1</v>
      </c>
      <c r="CR153" s="121">
        <v>1</v>
      </c>
      <c r="CS153" s="121">
        <v>1</v>
      </c>
      <c r="CT153" s="121">
        <v>1</v>
      </c>
      <c r="CU153" s="199"/>
      <c r="CV153" s="199"/>
      <c r="CW153" s="205"/>
      <c r="CX153" s="132"/>
      <c r="CY153" s="132"/>
      <c r="CZ153" s="132"/>
      <c r="DA153" s="132"/>
      <c r="DB153" s="132"/>
      <c r="DC153" s="132"/>
      <c r="DD153" s="132"/>
      <c r="DE153" s="103"/>
      <c r="DF153" s="103"/>
      <c r="DG153" s="103"/>
      <c r="DH153" s="103"/>
      <c r="DI153" s="103"/>
      <c r="DJ153" s="103"/>
      <c r="DK153" s="130"/>
      <c r="DL153" s="130"/>
      <c r="DM153" s="130"/>
      <c r="DN153" s="132"/>
      <c r="DO153" s="132"/>
    </row>
    <row r="154" ht="26.25" customHeight="1" spans="1:119">
      <c r="A154" s="131">
        <v>43886</v>
      </c>
      <c r="B154" s="132" t="s">
        <v>13302</v>
      </c>
      <c r="C154" s="132">
        <v>4500028528</v>
      </c>
      <c r="D154" s="99" t="s">
        <v>438</v>
      </c>
      <c r="E154" s="206" t="s">
        <v>13322</v>
      </c>
      <c r="F154" s="215" t="s">
        <v>13390</v>
      </c>
      <c r="G154" s="137" t="s">
        <v>13276</v>
      </c>
      <c r="H154" s="132">
        <v>6</v>
      </c>
      <c r="I154" s="132"/>
      <c r="J154" s="132"/>
      <c r="K154" s="132"/>
      <c r="L154" s="132"/>
      <c r="M154" s="140"/>
      <c r="N154" s="132"/>
      <c r="O154" s="132"/>
      <c r="P154" s="142"/>
      <c r="Q154" s="132"/>
      <c r="R154" s="132"/>
      <c r="S154" s="132"/>
      <c r="T154" s="132"/>
      <c r="U154" s="99"/>
      <c r="V154" s="233"/>
      <c r="W154" s="233"/>
      <c r="X154" s="61"/>
      <c r="Y154" s="199"/>
      <c r="Z154" s="199"/>
      <c r="AA154" s="199"/>
      <c r="AB154" s="199"/>
      <c r="AC154" s="63"/>
      <c r="AD154" s="229"/>
      <c r="AE154" s="229"/>
      <c r="AF154" s="229"/>
      <c r="AG154" s="229"/>
      <c r="AH154" s="229"/>
      <c r="AI154" s="229"/>
      <c r="AJ154" s="229"/>
      <c r="AK154" s="229"/>
      <c r="AL154" s="229"/>
      <c r="AM154" s="229"/>
      <c r="AN154" s="229"/>
      <c r="AO154" s="229"/>
      <c r="AP154" s="229"/>
      <c r="AQ154" s="229"/>
      <c r="AR154" s="229"/>
      <c r="AS154" s="229"/>
      <c r="AT154" s="229"/>
      <c r="AU154" s="229"/>
      <c r="AV154" s="229"/>
      <c r="AW154" s="229">
        <v>6</v>
      </c>
      <c r="AX154" s="229"/>
      <c r="AY154" s="229">
        <v>6</v>
      </c>
      <c r="AZ154" s="229"/>
      <c r="BA154" s="229"/>
      <c r="BB154" s="229"/>
      <c r="BC154" s="229">
        <v>1</v>
      </c>
      <c r="BD154" s="229"/>
      <c r="BE154" s="233"/>
      <c r="BF154" s="233"/>
      <c r="BG154" s="233"/>
      <c r="BH154" s="233"/>
      <c r="BI154" s="133"/>
      <c r="BJ154" s="202"/>
      <c r="BK154" s="202"/>
      <c r="BL154" s="202"/>
      <c r="BM154" s="202"/>
      <c r="BN154" s="202"/>
      <c r="BO154" s="202"/>
      <c r="BP154" s="202"/>
      <c r="BQ154" s="202"/>
      <c r="BR154" s="202"/>
      <c r="BS154" s="202"/>
      <c r="BT154" s="202"/>
      <c r="BU154" s="202"/>
      <c r="BV154" s="202"/>
      <c r="BW154" s="202"/>
      <c r="BX154" s="202"/>
      <c r="BY154" s="202"/>
      <c r="BZ154" s="202"/>
      <c r="CA154" s="202"/>
      <c r="CB154" s="202"/>
      <c r="CC154" s="202"/>
      <c r="CD154" s="202"/>
      <c r="CE154" s="202"/>
      <c r="CF154" s="202"/>
      <c r="CG154" s="202"/>
      <c r="CH154" s="202"/>
      <c r="CI154" s="121"/>
      <c r="CJ154" s="121"/>
      <c r="CK154" s="121"/>
      <c r="CL154" s="121"/>
      <c r="CM154" s="121"/>
      <c r="CN154" s="121"/>
      <c r="CO154" s="121">
        <v>1</v>
      </c>
      <c r="CP154" s="121">
        <v>1</v>
      </c>
      <c r="CQ154" s="121">
        <v>1</v>
      </c>
      <c r="CR154" s="121">
        <v>1</v>
      </c>
      <c r="CS154" s="121">
        <v>1</v>
      </c>
      <c r="CT154" s="121">
        <v>1</v>
      </c>
      <c r="CU154" s="199"/>
      <c r="CV154" s="199"/>
      <c r="CW154" s="205"/>
      <c r="CX154" s="132"/>
      <c r="CY154" s="132"/>
      <c r="CZ154" s="132"/>
      <c r="DA154" s="132"/>
      <c r="DB154" s="132"/>
      <c r="DC154" s="132"/>
      <c r="DD154" s="132"/>
      <c r="DE154" s="103"/>
      <c r="DF154" s="103"/>
      <c r="DG154" s="103"/>
      <c r="DH154" s="103"/>
      <c r="DI154" s="103"/>
      <c r="DJ154" s="103"/>
      <c r="DK154" s="130"/>
      <c r="DL154" s="130"/>
      <c r="DM154" s="130"/>
      <c r="DN154" s="132"/>
      <c r="DO154" s="132"/>
    </row>
    <row r="155" ht="26.25" customHeight="1" spans="1:119">
      <c r="A155" s="131">
        <v>43892</v>
      </c>
      <c r="B155" s="132" t="s">
        <v>13313</v>
      </c>
      <c r="C155" s="234">
        <v>4500028631</v>
      </c>
      <c r="D155" s="215" t="s">
        <v>13215</v>
      </c>
      <c r="E155" s="220" t="s">
        <v>13320</v>
      </c>
      <c r="F155" s="100" t="s">
        <v>13297</v>
      </c>
      <c r="G155" s="222" t="s">
        <v>13344</v>
      </c>
      <c r="H155" s="132">
        <v>9</v>
      </c>
      <c r="I155" s="132"/>
      <c r="J155" s="132"/>
      <c r="K155" s="132"/>
      <c r="L155" s="132"/>
      <c r="M155" s="140"/>
      <c r="N155" s="132"/>
      <c r="O155" s="132"/>
      <c r="P155" s="142"/>
      <c r="Q155" s="132"/>
      <c r="R155" s="132"/>
      <c r="S155" s="132"/>
      <c r="T155" s="132"/>
      <c r="U155" s="99"/>
      <c r="V155" s="233"/>
      <c r="W155" s="233"/>
      <c r="X155" s="61"/>
      <c r="Y155" s="199"/>
      <c r="Z155" s="199"/>
      <c r="AA155" s="199"/>
      <c r="AB155" s="199"/>
      <c r="AC155" s="63"/>
      <c r="AD155" s="229"/>
      <c r="AE155" s="229"/>
      <c r="AF155" s="229"/>
      <c r="AG155" s="229"/>
      <c r="AH155" s="229"/>
      <c r="AI155" s="229"/>
      <c r="AJ155" s="229"/>
      <c r="AK155" s="229"/>
      <c r="AL155" s="229"/>
      <c r="AM155" s="229"/>
      <c r="AN155" s="229"/>
      <c r="AO155" s="229"/>
      <c r="AP155" s="229"/>
      <c r="AQ155" s="229"/>
      <c r="AR155" s="229"/>
      <c r="AS155" s="229"/>
      <c r="AT155" s="229"/>
      <c r="AU155" s="229"/>
      <c r="AV155" s="229"/>
      <c r="AW155" s="229"/>
      <c r="AX155" s="229"/>
      <c r="AY155" s="229"/>
      <c r="AZ155" s="229"/>
      <c r="BA155" s="229"/>
      <c r="BB155" s="229"/>
      <c r="BC155" s="229"/>
      <c r="BD155" s="229"/>
      <c r="BE155" s="233"/>
      <c r="BF155" s="233"/>
      <c r="BG155" s="233">
        <v>9</v>
      </c>
      <c r="BH155" s="233">
        <v>9</v>
      </c>
      <c r="BI155" s="133"/>
      <c r="BJ155" s="202"/>
      <c r="BK155" s="202"/>
      <c r="BL155" s="202"/>
      <c r="BM155" s="202"/>
      <c r="BN155" s="202"/>
      <c r="BO155" s="202"/>
      <c r="BP155" s="202"/>
      <c r="BQ155" s="202"/>
      <c r="BR155" s="202"/>
      <c r="BS155" s="202"/>
      <c r="BT155" s="202"/>
      <c r="BU155" s="202"/>
      <c r="BV155" s="202"/>
      <c r="BW155" s="202"/>
      <c r="BX155" s="202"/>
      <c r="BY155" s="202"/>
      <c r="BZ155" s="202"/>
      <c r="CA155" s="202"/>
      <c r="CB155" s="202"/>
      <c r="CC155" s="202"/>
      <c r="CD155" s="202"/>
      <c r="CE155" s="202"/>
      <c r="CF155" s="202"/>
      <c r="CG155" s="202"/>
      <c r="CH155" s="202"/>
      <c r="CI155" s="121"/>
      <c r="CJ155" s="121"/>
      <c r="CK155" s="121"/>
      <c r="CL155" s="121"/>
      <c r="CM155" s="121"/>
      <c r="CN155" s="121"/>
      <c r="CO155" s="121"/>
      <c r="CP155" s="121"/>
      <c r="CQ155" s="121"/>
      <c r="CR155" s="121"/>
      <c r="CS155" s="121"/>
      <c r="CT155" s="121"/>
      <c r="CU155" s="199">
        <v>3</v>
      </c>
      <c r="CV155" s="199">
        <v>3</v>
      </c>
      <c r="CW155" s="199">
        <v>3</v>
      </c>
      <c r="CX155" s="132"/>
      <c r="CY155" s="132"/>
      <c r="CZ155" s="132"/>
      <c r="DA155" s="132"/>
      <c r="DB155" s="132"/>
      <c r="DC155" s="132"/>
      <c r="DD155" s="132"/>
      <c r="DE155" s="103"/>
      <c r="DF155" s="103"/>
      <c r="DG155" s="103"/>
      <c r="DH155" s="103"/>
      <c r="DI155" s="103"/>
      <c r="DJ155" s="103"/>
      <c r="DK155" s="130"/>
      <c r="DL155" s="130"/>
      <c r="DM155" s="130"/>
      <c r="DN155" s="132"/>
      <c r="DO155" s="132"/>
    </row>
    <row r="156" ht="26.25" customHeight="1" spans="1:119">
      <c r="A156" s="131">
        <v>43892</v>
      </c>
      <c r="B156" s="132" t="s">
        <v>13313</v>
      </c>
      <c r="C156" s="234">
        <v>4500028634</v>
      </c>
      <c r="D156" s="215" t="s">
        <v>13397</v>
      </c>
      <c r="E156" s="206" t="s">
        <v>13317</v>
      </c>
      <c r="F156" s="100" t="s">
        <v>13398</v>
      </c>
      <c r="G156" s="137" t="s">
        <v>13276</v>
      </c>
      <c r="H156" s="137">
        <v>36</v>
      </c>
      <c r="I156" s="132"/>
      <c r="J156" s="132"/>
      <c r="K156" s="132"/>
      <c r="L156" s="132"/>
      <c r="M156" s="140"/>
      <c r="N156" s="132"/>
      <c r="O156" s="132"/>
      <c r="P156" s="142"/>
      <c r="Q156" s="132"/>
      <c r="R156" s="132"/>
      <c r="S156" s="132"/>
      <c r="T156" s="132"/>
      <c r="U156" s="99"/>
      <c r="V156" s="233"/>
      <c r="W156" s="233"/>
      <c r="X156" s="61"/>
      <c r="Y156" s="199"/>
      <c r="Z156" s="199"/>
      <c r="AA156" s="199"/>
      <c r="AB156" s="199"/>
      <c r="AC156" s="63"/>
      <c r="AD156" s="229"/>
      <c r="AE156" s="229"/>
      <c r="AF156" s="229"/>
      <c r="AG156" s="229"/>
      <c r="AH156" s="229"/>
      <c r="AI156" s="229"/>
      <c r="AJ156" s="229"/>
      <c r="AK156" s="229"/>
      <c r="AL156" s="229"/>
      <c r="AM156" s="229"/>
      <c r="AN156" s="229"/>
      <c r="AO156" s="229"/>
      <c r="AP156" s="229"/>
      <c r="AQ156" s="229"/>
      <c r="AR156" s="229"/>
      <c r="AS156" s="229"/>
      <c r="AT156" s="229"/>
      <c r="AU156" s="229"/>
      <c r="AV156" s="229"/>
      <c r="AW156" s="229">
        <v>36</v>
      </c>
      <c r="AX156" s="229"/>
      <c r="AY156" s="229">
        <v>36</v>
      </c>
      <c r="AZ156" s="229"/>
      <c r="BA156" s="229"/>
      <c r="BB156" s="229"/>
      <c r="BC156" s="229"/>
      <c r="BD156" s="229"/>
      <c r="BE156" s="233"/>
      <c r="BF156" s="233"/>
      <c r="BG156" s="233"/>
      <c r="BH156" s="233"/>
      <c r="BI156" s="133"/>
      <c r="BJ156" s="202"/>
      <c r="BK156" s="202"/>
      <c r="BL156" s="202"/>
      <c r="BM156" s="202"/>
      <c r="BN156" s="202"/>
      <c r="BO156" s="202"/>
      <c r="BP156" s="202"/>
      <c r="BQ156" s="202"/>
      <c r="BR156" s="202"/>
      <c r="BS156" s="202"/>
      <c r="BT156" s="202"/>
      <c r="BU156" s="202"/>
      <c r="BV156" s="202"/>
      <c r="BW156" s="202"/>
      <c r="BX156" s="202"/>
      <c r="BY156" s="202"/>
      <c r="BZ156" s="202"/>
      <c r="CA156" s="202"/>
      <c r="CB156" s="202"/>
      <c r="CC156" s="202"/>
      <c r="CD156" s="202"/>
      <c r="CE156" s="202"/>
      <c r="CF156" s="202"/>
      <c r="CG156" s="202"/>
      <c r="CH156" s="202"/>
      <c r="CI156" s="121"/>
      <c r="CJ156" s="121"/>
      <c r="CK156" s="121"/>
      <c r="CL156" s="121"/>
      <c r="CM156" s="121"/>
      <c r="CN156" s="121"/>
      <c r="CO156" s="121">
        <v>6</v>
      </c>
      <c r="CP156" s="121">
        <v>6</v>
      </c>
      <c r="CQ156" s="121">
        <v>6</v>
      </c>
      <c r="CR156" s="121">
        <v>6</v>
      </c>
      <c r="CS156" s="121">
        <v>6</v>
      </c>
      <c r="CT156" s="121">
        <v>6</v>
      </c>
      <c r="CU156" s="199"/>
      <c r="CV156" s="199"/>
      <c r="CW156" s="205"/>
      <c r="CX156" s="132"/>
      <c r="CY156" s="132"/>
      <c r="CZ156" s="132"/>
      <c r="DA156" s="132"/>
      <c r="DB156" s="132"/>
      <c r="DC156" s="132"/>
      <c r="DD156" s="132"/>
      <c r="DE156" s="103"/>
      <c r="DF156" s="103"/>
      <c r="DG156" s="103"/>
      <c r="DH156" s="103"/>
      <c r="DI156" s="103"/>
      <c r="DJ156" s="103"/>
      <c r="DK156" s="130"/>
      <c r="DL156" s="130"/>
      <c r="DM156" s="130"/>
      <c r="DN156" s="132"/>
      <c r="DO156" s="132"/>
    </row>
    <row r="157" ht="26.25" customHeight="1" spans="1:119">
      <c r="A157" s="131">
        <v>43894</v>
      </c>
      <c r="B157" s="99" t="s">
        <v>13399</v>
      </c>
      <c r="C157" s="132" t="s">
        <v>9164</v>
      </c>
      <c r="D157" s="99"/>
      <c r="E157" s="206" t="s">
        <v>13315</v>
      </c>
      <c r="F157" s="232">
        <v>9201</v>
      </c>
      <c r="G157" s="137" t="s">
        <v>13182</v>
      </c>
      <c r="H157" s="132">
        <v>50</v>
      </c>
      <c r="I157" s="132"/>
      <c r="J157" s="132"/>
      <c r="K157" s="132"/>
      <c r="L157" s="132"/>
      <c r="M157" s="140"/>
      <c r="N157" s="132"/>
      <c r="O157" s="132"/>
      <c r="P157" s="142"/>
      <c r="Q157" s="132"/>
      <c r="R157" s="132"/>
      <c r="S157" s="132"/>
      <c r="T157" s="132"/>
      <c r="U157" s="99"/>
      <c r="V157" s="233"/>
      <c r="W157" s="233">
        <v>50</v>
      </c>
      <c r="X157" s="61"/>
      <c r="Y157" s="199"/>
      <c r="Z157" s="199"/>
      <c r="AA157" s="199"/>
      <c r="AB157" s="199">
        <v>50</v>
      </c>
      <c r="AC157" s="63"/>
      <c r="AD157" s="229"/>
      <c r="AE157" s="229"/>
      <c r="AF157" s="229"/>
      <c r="AG157" s="229"/>
      <c r="AH157" s="229"/>
      <c r="AI157" s="229"/>
      <c r="AJ157" s="229"/>
      <c r="AK157" s="229"/>
      <c r="AL157" s="229"/>
      <c r="AM157" s="229"/>
      <c r="AN157" s="229"/>
      <c r="AO157" s="229"/>
      <c r="AP157" s="229"/>
      <c r="AQ157" s="229"/>
      <c r="AR157" s="229"/>
      <c r="AS157" s="229"/>
      <c r="AT157" s="229"/>
      <c r="AU157" s="229"/>
      <c r="AV157" s="229"/>
      <c r="AW157" s="229"/>
      <c r="AX157" s="229"/>
      <c r="AY157" s="229"/>
      <c r="AZ157" s="229"/>
      <c r="BA157" s="229"/>
      <c r="BB157" s="229"/>
      <c r="BC157" s="229"/>
      <c r="BD157" s="229"/>
      <c r="BE157" s="233"/>
      <c r="BF157" s="233"/>
      <c r="BG157" s="233"/>
      <c r="BH157" s="233"/>
      <c r="BI157" s="133"/>
      <c r="BJ157" s="202">
        <v>5</v>
      </c>
      <c r="BK157" s="202">
        <v>5</v>
      </c>
      <c r="BL157" s="202">
        <v>5</v>
      </c>
      <c r="BM157" s="202">
        <v>5</v>
      </c>
      <c r="BN157" s="202">
        <v>5</v>
      </c>
      <c r="BO157" s="202">
        <v>5</v>
      </c>
      <c r="BP157" s="202">
        <v>5</v>
      </c>
      <c r="BQ157" s="202">
        <v>5</v>
      </c>
      <c r="BR157" s="202"/>
      <c r="BS157" s="202">
        <v>5</v>
      </c>
      <c r="BT157" s="202">
        <v>5</v>
      </c>
      <c r="BU157" s="202"/>
      <c r="BV157" s="202"/>
      <c r="BW157" s="202"/>
      <c r="BX157" s="202"/>
      <c r="BY157" s="202"/>
      <c r="BZ157" s="202"/>
      <c r="CA157" s="202"/>
      <c r="CB157" s="202"/>
      <c r="CC157" s="202"/>
      <c r="CD157" s="202"/>
      <c r="CE157" s="202"/>
      <c r="CF157" s="202"/>
      <c r="CG157" s="202"/>
      <c r="CH157" s="202"/>
      <c r="CI157" s="121"/>
      <c r="CJ157" s="121"/>
      <c r="CK157" s="121"/>
      <c r="CL157" s="121"/>
      <c r="CM157" s="121"/>
      <c r="CN157" s="121"/>
      <c r="CO157" s="121"/>
      <c r="CP157" s="121"/>
      <c r="CQ157" s="121"/>
      <c r="CR157" s="121"/>
      <c r="CS157" s="121"/>
      <c r="CT157" s="121"/>
      <c r="CU157" s="199"/>
      <c r="CV157" s="199"/>
      <c r="CW157" s="205"/>
      <c r="CX157" s="132"/>
      <c r="CY157" s="132"/>
      <c r="CZ157" s="132"/>
      <c r="DA157" s="132"/>
      <c r="DB157" s="132"/>
      <c r="DC157" s="132"/>
      <c r="DD157" s="132"/>
      <c r="DE157" s="103"/>
      <c r="DF157" s="103"/>
      <c r="DG157" s="103"/>
      <c r="DH157" s="103"/>
      <c r="DI157" s="103"/>
      <c r="DJ157" s="103"/>
      <c r="DK157" s="130"/>
      <c r="DL157" s="130"/>
      <c r="DM157" s="130"/>
      <c r="DN157" s="132"/>
      <c r="DO157" s="132"/>
    </row>
    <row r="158" ht="26.25" customHeight="1" spans="1:119">
      <c r="A158" s="131">
        <v>43894</v>
      </c>
      <c r="B158" s="132" t="s">
        <v>1199</v>
      </c>
      <c r="C158" s="132" t="s">
        <v>9164</v>
      </c>
      <c r="D158" s="99"/>
      <c r="E158" s="206" t="s">
        <v>13315</v>
      </c>
      <c r="F158" s="232" t="s">
        <v>13400</v>
      </c>
      <c r="G158" s="137" t="s">
        <v>13276</v>
      </c>
      <c r="H158" s="132">
        <v>2</v>
      </c>
      <c r="I158" s="132"/>
      <c r="J158" s="132"/>
      <c r="K158" s="132"/>
      <c r="L158" s="132"/>
      <c r="M158" s="140"/>
      <c r="N158" s="132"/>
      <c r="O158" s="132"/>
      <c r="P158" s="142"/>
      <c r="Q158" s="132"/>
      <c r="R158" s="132"/>
      <c r="S158" s="132"/>
      <c r="T158" s="132"/>
      <c r="U158" s="99"/>
      <c r="V158" s="233"/>
      <c r="W158" s="233"/>
      <c r="X158" s="61"/>
      <c r="Y158" s="199"/>
      <c r="Z158" s="199"/>
      <c r="AA158" s="199"/>
      <c r="AB158" s="199"/>
      <c r="AC158" s="63"/>
      <c r="AD158" s="229"/>
      <c r="AE158" s="229"/>
      <c r="AF158" s="229"/>
      <c r="AG158" s="229"/>
      <c r="AH158" s="229"/>
      <c r="AI158" s="229"/>
      <c r="AJ158" s="229"/>
      <c r="AK158" s="229"/>
      <c r="AL158" s="229"/>
      <c r="AM158" s="229"/>
      <c r="AN158" s="229"/>
      <c r="AO158" s="229"/>
      <c r="AP158" s="229"/>
      <c r="AQ158" s="229"/>
      <c r="AR158" s="229"/>
      <c r="AS158" s="229"/>
      <c r="AT158" s="229"/>
      <c r="AU158" s="229"/>
      <c r="AV158" s="229"/>
      <c r="AW158" s="229">
        <v>2</v>
      </c>
      <c r="AX158" s="229"/>
      <c r="AY158" s="229">
        <v>2</v>
      </c>
      <c r="AZ158" s="229"/>
      <c r="BA158" s="229"/>
      <c r="BB158" s="229"/>
      <c r="BC158" s="229"/>
      <c r="BD158" s="229"/>
      <c r="BE158" s="233"/>
      <c r="BF158" s="233"/>
      <c r="BG158" s="233"/>
      <c r="BH158" s="233"/>
      <c r="BI158" s="133"/>
      <c r="BJ158" s="202"/>
      <c r="BK158" s="202"/>
      <c r="BL158" s="202"/>
      <c r="BM158" s="202"/>
      <c r="BN158" s="202"/>
      <c r="BO158" s="202"/>
      <c r="BP158" s="202"/>
      <c r="BQ158" s="202"/>
      <c r="BR158" s="202"/>
      <c r="BS158" s="202"/>
      <c r="BT158" s="202"/>
      <c r="BU158" s="202"/>
      <c r="BV158" s="202"/>
      <c r="BW158" s="202"/>
      <c r="BX158" s="202"/>
      <c r="BY158" s="202"/>
      <c r="BZ158" s="202"/>
      <c r="CA158" s="202"/>
      <c r="CB158" s="202"/>
      <c r="CC158" s="202"/>
      <c r="CD158" s="202"/>
      <c r="CE158" s="202"/>
      <c r="CF158" s="202"/>
      <c r="CG158" s="202"/>
      <c r="CH158" s="202"/>
      <c r="CI158" s="121"/>
      <c r="CJ158" s="121"/>
      <c r="CK158" s="121"/>
      <c r="CL158" s="121"/>
      <c r="CM158" s="121"/>
      <c r="CN158" s="121"/>
      <c r="CO158" s="121"/>
      <c r="CP158" s="121"/>
      <c r="CQ158" s="121">
        <v>1</v>
      </c>
      <c r="CR158" s="121"/>
      <c r="CS158" s="121">
        <v>1</v>
      </c>
      <c r="CT158" s="121"/>
      <c r="CU158" s="199"/>
      <c r="CV158" s="199"/>
      <c r="CW158" s="205"/>
      <c r="CX158" s="132"/>
      <c r="CY158" s="132"/>
      <c r="CZ158" s="132"/>
      <c r="DA158" s="132"/>
      <c r="DB158" s="132"/>
      <c r="DC158" s="132"/>
      <c r="DD158" s="132"/>
      <c r="DE158" s="103"/>
      <c r="DF158" s="103"/>
      <c r="DG158" s="103"/>
      <c r="DH158" s="103"/>
      <c r="DI158" s="103"/>
      <c r="DJ158" s="103"/>
      <c r="DK158" s="130"/>
      <c r="DL158" s="130"/>
      <c r="DM158" s="130"/>
      <c r="DN158" s="132"/>
      <c r="DO158" s="132"/>
    </row>
    <row r="159" ht="26.25" customHeight="1" spans="1:119">
      <c r="A159" s="131">
        <v>43896</v>
      </c>
      <c r="B159" s="132" t="s">
        <v>13383</v>
      </c>
      <c r="C159" s="132">
        <v>4500028929</v>
      </c>
      <c r="D159" s="99" t="s">
        <v>13401</v>
      </c>
      <c r="E159" s="206" t="s">
        <v>13315</v>
      </c>
      <c r="F159" s="232">
        <v>9202</v>
      </c>
      <c r="G159" s="218" t="s">
        <v>13268</v>
      </c>
      <c r="H159" s="132">
        <v>2</v>
      </c>
      <c r="I159" s="132"/>
      <c r="J159" s="132"/>
      <c r="K159" s="132"/>
      <c r="L159" s="132"/>
      <c r="M159" s="140"/>
      <c r="N159" s="132"/>
      <c r="O159" s="132"/>
      <c r="P159" s="142"/>
      <c r="Q159" s="132"/>
      <c r="R159" s="132"/>
      <c r="S159" s="132"/>
      <c r="T159" s="132"/>
      <c r="U159" s="99"/>
      <c r="V159" s="233"/>
      <c r="W159" s="233"/>
      <c r="X159" s="61"/>
      <c r="Y159" s="199"/>
      <c r="Z159" s="199"/>
      <c r="AA159" s="199"/>
      <c r="AB159" s="199"/>
      <c r="AC159" s="63"/>
      <c r="AD159" s="229"/>
      <c r="AE159" s="229">
        <v>2</v>
      </c>
      <c r="AF159" s="229"/>
      <c r="AG159" s="229"/>
      <c r="AH159" s="229"/>
      <c r="AI159" s="229">
        <v>2</v>
      </c>
      <c r="AJ159" s="229"/>
      <c r="AK159" s="229"/>
      <c r="AL159" s="229"/>
      <c r="AM159" s="229"/>
      <c r="AN159" s="229"/>
      <c r="AO159" s="229"/>
      <c r="AP159" s="229"/>
      <c r="AQ159" s="229"/>
      <c r="AR159" s="229"/>
      <c r="AS159" s="229"/>
      <c r="AT159" s="229"/>
      <c r="AU159" s="229"/>
      <c r="AV159" s="229"/>
      <c r="AW159" s="229"/>
      <c r="AX159" s="229"/>
      <c r="AY159" s="229"/>
      <c r="AZ159" s="229"/>
      <c r="BA159" s="229"/>
      <c r="BB159" s="229"/>
      <c r="BC159" s="229"/>
      <c r="BD159" s="229"/>
      <c r="BE159" s="233"/>
      <c r="BF159" s="233"/>
      <c r="BG159" s="233"/>
      <c r="BH159" s="233"/>
      <c r="BI159" s="133"/>
      <c r="BJ159" s="202"/>
      <c r="BK159" s="202"/>
      <c r="BL159" s="202"/>
      <c r="BM159" s="202"/>
      <c r="BN159" s="202"/>
      <c r="BO159" s="202"/>
      <c r="BP159" s="202"/>
      <c r="BQ159" s="202"/>
      <c r="BR159" s="202"/>
      <c r="BS159" s="202"/>
      <c r="BT159" s="202"/>
      <c r="BU159" s="202"/>
      <c r="BV159" s="202"/>
      <c r="BW159" s="202"/>
      <c r="BX159" s="202">
        <v>1</v>
      </c>
      <c r="BY159" s="202"/>
      <c r="BZ159" s="202"/>
      <c r="CA159" s="202"/>
      <c r="CB159" s="202"/>
      <c r="CC159" s="202"/>
      <c r="CD159" s="202"/>
      <c r="CE159" s="202">
        <v>1</v>
      </c>
      <c r="CF159" s="202"/>
      <c r="CG159" s="202"/>
      <c r="CH159" s="202"/>
      <c r="CI159" s="121"/>
      <c r="CJ159" s="121"/>
      <c r="CK159" s="121"/>
      <c r="CL159" s="121"/>
      <c r="CM159" s="121"/>
      <c r="CN159" s="121"/>
      <c r="CO159" s="121"/>
      <c r="CP159" s="121"/>
      <c r="CQ159" s="121"/>
      <c r="CR159" s="121"/>
      <c r="CS159" s="121"/>
      <c r="CT159" s="121"/>
      <c r="CU159" s="199"/>
      <c r="CV159" s="199"/>
      <c r="CW159" s="205"/>
      <c r="CX159" s="132"/>
      <c r="CY159" s="132"/>
      <c r="CZ159" s="132"/>
      <c r="DA159" s="132"/>
      <c r="DB159" s="132"/>
      <c r="DC159" s="132"/>
      <c r="DD159" s="132"/>
      <c r="DE159" s="103"/>
      <c r="DF159" s="103"/>
      <c r="DG159" s="103"/>
      <c r="DH159" s="103"/>
      <c r="DI159" s="103"/>
      <c r="DJ159" s="103"/>
      <c r="DK159" s="130"/>
      <c r="DL159" s="130"/>
      <c r="DM159" s="130"/>
      <c r="DN159" s="132"/>
      <c r="DO159" s="132"/>
    </row>
    <row r="160" ht="26.25" customHeight="1" spans="1:119">
      <c r="A160" s="131">
        <v>43896</v>
      </c>
      <c r="B160" s="132" t="s">
        <v>13402</v>
      </c>
      <c r="C160" s="132"/>
      <c r="D160" s="99"/>
      <c r="E160" s="206" t="s">
        <v>13361</v>
      </c>
      <c r="F160" s="232">
        <v>9202</v>
      </c>
      <c r="G160" s="218" t="s">
        <v>13268</v>
      </c>
      <c r="H160" s="132">
        <v>5</v>
      </c>
      <c r="I160" s="132"/>
      <c r="J160" s="132"/>
      <c r="K160" s="132"/>
      <c r="L160" s="132"/>
      <c r="M160" s="140"/>
      <c r="N160" s="132"/>
      <c r="O160" s="132"/>
      <c r="P160" s="142"/>
      <c r="Q160" s="132"/>
      <c r="R160" s="132"/>
      <c r="S160" s="132"/>
      <c r="T160" s="132"/>
      <c r="U160" s="99"/>
      <c r="V160" s="233"/>
      <c r="W160" s="233"/>
      <c r="X160" s="61"/>
      <c r="Y160" s="199"/>
      <c r="Z160" s="199"/>
      <c r="AA160" s="199"/>
      <c r="AB160" s="199"/>
      <c r="AC160" s="63"/>
      <c r="AD160" s="229"/>
      <c r="AE160" s="229"/>
      <c r="AF160" s="229"/>
      <c r="AG160" s="229"/>
      <c r="AH160" s="229"/>
      <c r="AI160" s="229"/>
      <c r="AJ160" s="229"/>
      <c r="AK160" s="229"/>
      <c r="AL160" s="229"/>
      <c r="AM160" s="229"/>
      <c r="AN160" s="229"/>
      <c r="AO160" s="229"/>
      <c r="AP160" s="229"/>
      <c r="AQ160" s="229"/>
      <c r="AR160" s="229"/>
      <c r="AS160" s="229"/>
      <c r="AT160" s="229"/>
      <c r="AU160" s="229"/>
      <c r="AV160" s="229"/>
      <c r="AW160" s="229"/>
      <c r="AX160" s="229"/>
      <c r="AY160" s="229"/>
      <c r="AZ160" s="229"/>
      <c r="BA160" s="229"/>
      <c r="BB160" s="229"/>
      <c r="BC160" s="229"/>
      <c r="BD160" s="229"/>
      <c r="BE160" s="233"/>
      <c r="BF160" s="233"/>
      <c r="BG160" s="233"/>
      <c r="BH160" s="233"/>
      <c r="BI160" s="133"/>
      <c r="BJ160" s="202"/>
      <c r="BK160" s="202"/>
      <c r="BL160" s="202"/>
      <c r="BM160" s="202"/>
      <c r="BN160" s="202"/>
      <c r="BO160" s="202"/>
      <c r="BP160" s="202"/>
      <c r="BQ160" s="202"/>
      <c r="BR160" s="202"/>
      <c r="BS160" s="202"/>
      <c r="BT160" s="202"/>
      <c r="BU160" s="202"/>
      <c r="BV160" s="202">
        <v>2</v>
      </c>
      <c r="BW160" s="202"/>
      <c r="BX160" s="202"/>
      <c r="BY160" s="202">
        <v>2</v>
      </c>
      <c r="BZ160" s="202"/>
      <c r="CA160" s="202">
        <v>1</v>
      </c>
      <c r="CB160" s="202"/>
      <c r="CC160" s="202"/>
      <c r="CD160" s="202"/>
      <c r="CE160" s="202"/>
      <c r="CF160" s="202"/>
      <c r="CG160" s="202"/>
      <c r="CH160" s="202"/>
      <c r="CI160" s="121"/>
      <c r="CJ160" s="121"/>
      <c r="CK160" s="121"/>
      <c r="CL160" s="121"/>
      <c r="CM160" s="121"/>
      <c r="CN160" s="121"/>
      <c r="CO160" s="121"/>
      <c r="CP160" s="121"/>
      <c r="CQ160" s="121"/>
      <c r="CR160" s="121"/>
      <c r="CS160" s="121"/>
      <c r="CT160" s="121"/>
      <c r="CU160" s="199"/>
      <c r="CV160" s="199"/>
      <c r="CW160" s="205"/>
      <c r="CX160" s="132"/>
      <c r="CY160" s="132"/>
      <c r="CZ160" s="132"/>
      <c r="DA160" s="132"/>
      <c r="DB160" s="132"/>
      <c r="DC160" s="132"/>
      <c r="DD160" s="132"/>
      <c r="DE160" s="103"/>
      <c r="DF160" s="103"/>
      <c r="DG160" s="103"/>
      <c r="DH160" s="103"/>
      <c r="DI160" s="103"/>
      <c r="DJ160" s="103"/>
      <c r="DK160" s="130"/>
      <c r="DL160" s="130"/>
      <c r="DM160" s="130"/>
      <c r="DN160" s="132"/>
      <c r="DO160" s="132"/>
    </row>
    <row r="161" ht="26.25" customHeight="1" spans="1:119">
      <c r="A161" s="131">
        <v>43900</v>
      </c>
      <c r="B161" s="132" t="s">
        <v>11685</v>
      </c>
      <c r="C161" s="132">
        <v>4500028826</v>
      </c>
      <c r="D161" s="215" t="s">
        <v>13376</v>
      </c>
      <c r="E161" s="206" t="s">
        <v>13361</v>
      </c>
      <c r="F161" s="232">
        <v>9209</v>
      </c>
      <c r="G161" s="222" t="s">
        <v>13344</v>
      </c>
      <c r="H161" s="132">
        <v>1</v>
      </c>
      <c r="I161" s="132"/>
      <c r="J161" s="132"/>
      <c r="K161" s="132"/>
      <c r="L161" s="132"/>
      <c r="M161" s="140"/>
      <c r="N161" s="132"/>
      <c r="O161" s="132"/>
      <c r="P161" s="142"/>
      <c r="Q161" s="132"/>
      <c r="R161" s="132"/>
      <c r="S161" s="132"/>
      <c r="T161" s="132"/>
      <c r="U161" s="99"/>
      <c r="V161" s="233"/>
      <c r="W161" s="233"/>
      <c r="X161" s="61"/>
      <c r="Y161" s="199"/>
      <c r="Z161" s="199"/>
      <c r="AA161" s="199"/>
      <c r="AB161" s="199"/>
      <c r="AC161" s="63"/>
      <c r="AD161" s="229"/>
      <c r="AE161" s="229"/>
      <c r="AF161" s="229"/>
      <c r="AG161" s="229"/>
      <c r="AH161" s="229"/>
      <c r="AI161" s="229"/>
      <c r="AJ161" s="229"/>
      <c r="AK161" s="229"/>
      <c r="AL161" s="229"/>
      <c r="AM161" s="229"/>
      <c r="AN161" s="229"/>
      <c r="AO161" s="229"/>
      <c r="AP161" s="229"/>
      <c r="AQ161" s="229"/>
      <c r="AR161" s="229"/>
      <c r="AS161" s="229"/>
      <c r="AT161" s="229"/>
      <c r="AU161" s="229"/>
      <c r="AV161" s="229"/>
      <c r="AW161" s="229"/>
      <c r="AX161" s="229"/>
      <c r="AY161" s="229"/>
      <c r="AZ161" s="229"/>
      <c r="BA161" s="229"/>
      <c r="BB161" s="229"/>
      <c r="BC161" s="229"/>
      <c r="BD161" s="229"/>
      <c r="BE161" s="233"/>
      <c r="BF161" s="233"/>
      <c r="BG161" s="233">
        <v>1</v>
      </c>
      <c r="BH161" s="233"/>
      <c r="BI161" s="133"/>
      <c r="BJ161" s="202"/>
      <c r="BK161" s="202"/>
      <c r="BL161" s="202"/>
      <c r="BM161" s="202"/>
      <c r="BN161" s="202"/>
      <c r="BO161" s="202"/>
      <c r="BP161" s="202"/>
      <c r="BQ161" s="202"/>
      <c r="BR161" s="202"/>
      <c r="BS161" s="202"/>
      <c r="BT161" s="202"/>
      <c r="BU161" s="202"/>
      <c r="BV161" s="202"/>
      <c r="BW161" s="202"/>
      <c r="BX161" s="202"/>
      <c r="BY161" s="202"/>
      <c r="BZ161" s="202"/>
      <c r="CA161" s="202"/>
      <c r="CB161" s="202"/>
      <c r="CC161" s="202"/>
      <c r="CD161" s="202"/>
      <c r="CE161" s="202"/>
      <c r="CF161" s="202"/>
      <c r="CG161" s="202"/>
      <c r="CH161" s="202"/>
      <c r="CI161" s="121"/>
      <c r="CJ161" s="121"/>
      <c r="CK161" s="121"/>
      <c r="CL161" s="121"/>
      <c r="CM161" s="121"/>
      <c r="CN161" s="121"/>
      <c r="CO161" s="121"/>
      <c r="CP161" s="121"/>
      <c r="CQ161" s="121"/>
      <c r="CR161" s="121"/>
      <c r="CS161" s="121"/>
      <c r="CT161" s="121"/>
      <c r="CU161" s="199"/>
      <c r="CV161" s="199"/>
      <c r="CW161" s="205">
        <v>1</v>
      </c>
      <c r="CX161" s="132"/>
      <c r="CY161" s="132"/>
      <c r="CZ161" s="132"/>
      <c r="DA161" s="132"/>
      <c r="DB161" s="132"/>
      <c r="DC161" s="132"/>
      <c r="DD161" s="132"/>
      <c r="DE161" s="103"/>
      <c r="DF161" s="103"/>
      <c r="DG161" s="103"/>
      <c r="DH161" s="103"/>
      <c r="DI161" s="103"/>
      <c r="DJ161" s="103"/>
      <c r="DK161" s="130"/>
      <c r="DL161" s="130"/>
      <c r="DM161" s="130"/>
      <c r="DN161" s="132"/>
      <c r="DO161" s="132"/>
    </row>
    <row r="162" ht="26.25" customHeight="1" spans="1:119">
      <c r="A162" s="131">
        <v>43910</v>
      </c>
      <c r="B162" s="132" t="s">
        <v>11685</v>
      </c>
      <c r="C162" s="132">
        <v>4500028092</v>
      </c>
      <c r="D162" s="215" t="s">
        <v>13376</v>
      </c>
      <c r="E162" s="206" t="s">
        <v>13403</v>
      </c>
      <c r="F162" s="232">
        <v>9202</v>
      </c>
      <c r="G162" s="218" t="s">
        <v>13268</v>
      </c>
      <c r="H162" s="132">
        <v>4</v>
      </c>
      <c r="I162" s="132"/>
      <c r="J162" s="132"/>
      <c r="K162" s="132"/>
      <c r="L162" s="132"/>
      <c r="M162" s="140"/>
      <c r="N162" s="132"/>
      <c r="O162" s="132"/>
      <c r="P162" s="142"/>
      <c r="Q162" s="132"/>
      <c r="R162" s="132"/>
      <c r="S162" s="132"/>
      <c r="T162" s="132"/>
      <c r="U162" s="99"/>
      <c r="V162" s="233"/>
      <c r="W162" s="233"/>
      <c r="X162" s="61"/>
      <c r="Y162" s="199"/>
      <c r="Z162" s="199"/>
      <c r="AA162" s="199"/>
      <c r="AB162" s="199"/>
      <c r="AC162" s="63"/>
      <c r="AD162" s="229"/>
      <c r="AE162" s="229">
        <v>4</v>
      </c>
      <c r="AF162" s="229"/>
      <c r="AG162" s="229"/>
      <c r="AH162" s="229"/>
      <c r="AI162" s="229"/>
      <c r="AJ162" s="229"/>
      <c r="AK162" s="229"/>
      <c r="AL162" s="229">
        <v>4</v>
      </c>
      <c r="AM162" s="229"/>
      <c r="AN162" s="229"/>
      <c r="AO162" s="229"/>
      <c r="AP162" s="229"/>
      <c r="AQ162" s="229"/>
      <c r="AR162" s="229"/>
      <c r="AS162" s="229"/>
      <c r="AT162" s="229"/>
      <c r="AU162" s="229"/>
      <c r="AV162" s="229"/>
      <c r="AW162" s="229"/>
      <c r="AX162" s="229"/>
      <c r="AY162" s="229"/>
      <c r="AZ162" s="229"/>
      <c r="BA162" s="229"/>
      <c r="BB162" s="229"/>
      <c r="BC162" s="229"/>
      <c r="BD162" s="229"/>
      <c r="BE162" s="233"/>
      <c r="BF162" s="233"/>
      <c r="BG162" s="233"/>
      <c r="BH162" s="233"/>
      <c r="BI162" s="133"/>
      <c r="BJ162" s="202"/>
      <c r="BK162" s="202"/>
      <c r="BL162" s="202"/>
      <c r="BM162" s="202"/>
      <c r="BN162" s="202"/>
      <c r="BO162" s="202"/>
      <c r="BP162" s="202"/>
      <c r="BQ162" s="202"/>
      <c r="BR162" s="202"/>
      <c r="BS162" s="202"/>
      <c r="BT162" s="202"/>
      <c r="BU162" s="202"/>
      <c r="BV162" s="202"/>
      <c r="BW162" s="202"/>
      <c r="BX162" s="202"/>
      <c r="BY162" s="202">
        <v>1</v>
      </c>
      <c r="BZ162" s="202"/>
      <c r="CA162" s="202"/>
      <c r="CB162" s="202"/>
      <c r="CC162" s="202">
        <v>1</v>
      </c>
      <c r="CD162" s="202"/>
      <c r="CE162" s="202">
        <v>1</v>
      </c>
      <c r="CF162" s="202">
        <v>1</v>
      </c>
      <c r="CG162" s="202"/>
      <c r="CH162" s="202"/>
      <c r="CI162" s="121"/>
      <c r="CJ162" s="121"/>
      <c r="CK162" s="121"/>
      <c r="CL162" s="121"/>
      <c r="CM162" s="121"/>
      <c r="CN162" s="121"/>
      <c r="CO162" s="121"/>
      <c r="CP162" s="121"/>
      <c r="CQ162" s="121"/>
      <c r="CR162" s="121"/>
      <c r="CS162" s="121"/>
      <c r="CT162" s="121"/>
      <c r="CU162" s="199"/>
      <c r="CV162" s="199"/>
      <c r="CW162" s="205"/>
      <c r="CX162" s="132"/>
      <c r="CY162" s="132"/>
      <c r="CZ162" s="132"/>
      <c r="DA162" s="132"/>
      <c r="DB162" s="132"/>
      <c r="DC162" s="132"/>
      <c r="DD162" s="132"/>
      <c r="DE162" s="103"/>
      <c r="DF162" s="103"/>
      <c r="DG162" s="103"/>
      <c r="DH162" s="103"/>
      <c r="DI162" s="103"/>
      <c r="DJ162" s="103"/>
      <c r="DK162" s="130"/>
      <c r="DL162" s="130"/>
      <c r="DM162" s="130"/>
      <c r="DN162" s="132"/>
      <c r="DO162" s="132"/>
    </row>
    <row r="163" ht="26.25" customHeight="1" spans="1:119">
      <c r="A163" s="131">
        <v>43911</v>
      </c>
      <c r="B163" s="132" t="s">
        <v>13195</v>
      </c>
      <c r="C163" s="132">
        <v>4500029090</v>
      </c>
      <c r="D163" s="215" t="s">
        <v>13404</v>
      </c>
      <c r="E163" s="206" t="s">
        <v>13322</v>
      </c>
      <c r="F163" s="232">
        <v>9201</v>
      </c>
      <c r="G163" s="137" t="s">
        <v>13182</v>
      </c>
      <c r="H163" s="132">
        <v>30</v>
      </c>
      <c r="I163" s="132"/>
      <c r="J163" s="132"/>
      <c r="K163" s="132"/>
      <c r="L163" s="132"/>
      <c r="M163" s="140"/>
      <c r="N163" s="132"/>
      <c r="O163" s="132"/>
      <c r="P163" s="142"/>
      <c r="Q163" s="132"/>
      <c r="R163" s="132"/>
      <c r="S163" s="132"/>
      <c r="T163" s="132"/>
      <c r="U163" s="99"/>
      <c r="V163" s="233"/>
      <c r="W163" s="233">
        <v>30</v>
      </c>
      <c r="X163" s="61"/>
      <c r="Y163" s="199"/>
      <c r="Z163" s="199"/>
      <c r="AA163" s="199"/>
      <c r="AB163" s="199"/>
      <c r="AC163" s="63">
        <v>30</v>
      </c>
      <c r="AD163" s="229"/>
      <c r="AE163" s="229"/>
      <c r="AF163" s="229"/>
      <c r="AG163" s="229"/>
      <c r="AH163" s="229"/>
      <c r="AI163" s="229"/>
      <c r="AJ163" s="229"/>
      <c r="AK163" s="229"/>
      <c r="AL163" s="229"/>
      <c r="AM163" s="229"/>
      <c r="AN163" s="229"/>
      <c r="AO163" s="229"/>
      <c r="AP163" s="229"/>
      <c r="AQ163" s="229"/>
      <c r="AR163" s="229"/>
      <c r="AS163" s="229"/>
      <c r="AT163" s="229"/>
      <c r="AU163" s="229"/>
      <c r="AV163" s="229"/>
      <c r="AW163" s="229"/>
      <c r="AX163" s="229"/>
      <c r="AY163" s="229"/>
      <c r="AZ163" s="229"/>
      <c r="BA163" s="229"/>
      <c r="BB163" s="229"/>
      <c r="BC163" s="229"/>
      <c r="BD163" s="229"/>
      <c r="BE163" s="233"/>
      <c r="BF163" s="233"/>
      <c r="BG163" s="233"/>
      <c r="BH163" s="233"/>
      <c r="BI163" s="133"/>
      <c r="BJ163" s="202">
        <v>3</v>
      </c>
      <c r="BK163" s="202">
        <v>3</v>
      </c>
      <c r="BL163" s="202">
        <v>3</v>
      </c>
      <c r="BM163" s="202">
        <v>3</v>
      </c>
      <c r="BN163" s="202">
        <v>3</v>
      </c>
      <c r="BO163" s="202">
        <v>3</v>
      </c>
      <c r="BP163" s="202">
        <v>3</v>
      </c>
      <c r="BQ163" s="202">
        <v>3</v>
      </c>
      <c r="BR163" s="202"/>
      <c r="BS163" s="202">
        <v>3</v>
      </c>
      <c r="BT163" s="202">
        <v>3</v>
      </c>
      <c r="BU163" s="202"/>
      <c r="BV163" s="202"/>
      <c r="BW163" s="202"/>
      <c r="BX163" s="202"/>
      <c r="BY163" s="202"/>
      <c r="BZ163" s="202"/>
      <c r="CA163" s="202"/>
      <c r="CB163" s="202"/>
      <c r="CC163" s="202"/>
      <c r="CD163" s="202"/>
      <c r="CE163" s="202"/>
      <c r="CF163" s="202"/>
      <c r="CG163" s="202"/>
      <c r="CH163" s="202"/>
      <c r="CI163" s="121"/>
      <c r="CJ163" s="121"/>
      <c r="CK163" s="121"/>
      <c r="CL163" s="121"/>
      <c r="CM163" s="121"/>
      <c r="CN163" s="121"/>
      <c r="CO163" s="121"/>
      <c r="CP163" s="121"/>
      <c r="CQ163" s="121"/>
      <c r="CR163" s="121"/>
      <c r="CS163" s="121"/>
      <c r="CT163" s="121"/>
      <c r="CU163" s="199"/>
      <c r="CV163" s="199"/>
      <c r="CW163" s="205"/>
      <c r="CX163" s="132"/>
      <c r="CY163" s="132"/>
      <c r="CZ163" s="132"/>
      <c r="DA163" s="132"/>
      <c r="DB163" s="132"/>
      <c r="DC163" s="132"/>
      <c r="DD163" s="132"/>
      <c r="DE163" s="103"/>
      <c r="DF163" s="103"/>
      <c r="DG163" s="103"/>
      <c r="DH163" s="103"/>
      <c r="DI163" s="103"/>
      <c r="DJ163" s="103"/>
      <c r="DK163" s="130"/>
      <c r="DL163" s="130"/>
      <c r="DM163" s="130"/>
      <c r="DN163" s="132"/>
      <c r="DO163" s="132"/>
    </row>
    <row r="164" ht="26.25" customHeight="1" spans="1:119">
      <c r="A164" s="131">
        <v>43916</v>
      </c>
      <c r="B164" s="132" t="s">
        <v>13405</v>
      </c>
      <c r="C164" s="132">
        <v>4500028646</v>
      </c>
      <c r="D164" s="215" t="s">
        <v>13406</v>
      </c>
      <c r="E164" s="206" t="s">
        <v>13361</v>
      </c>
      <c r="F164" s="232">
        <v>9202</v>
      </c>
      <c r="G164" s="218" t="s">
        <v>13268</v>
      </c>
      <c r="H164" s="132">
        <v>5</v>
      </c>
      <c r="I164" s="132"/>
      <c r="J164" s="132"/>
      <c r="K164" s="132"/>
      <c r="L164" s="132"/>
      <c r="M164" s="140"/>
      <c r="N164" s="132"/>
      <c r="O164" s="132"/>
      <c r="P164" s="142"/>
      <c r="Q164" s="132"/>
      <c r="R164" s="132"/>
      <c r="S164" s="132"/>
      <c r="T164" s="132"/>
      <c r="U164" s="99"/>
      <c r="V164" s="233"/>
      <c r="W164" s="233"/>
      <c r="X164" s="61"/>
      <c r="Y164" s="199"/>
      <c r="Z164" s="199"/>
      <c r="AA164" s="199"/>
      <c r="AB164" s="199"/>
      <c r="AC164" s="63"/>
      <c r="AD164" s="229"/>
      <c r="AE164" s="229"/>
      <c r="AF164" s="229"/>
      <c r="AG164" s="229">
        <v>5</v>
      </c>
      <c r="AH164" s="229"/>
      <c r="AI164" s="229"/>
      <c r="AJ164" s="229"/>
      <c r="AK164" s="229"/>
      <c r="AL164" s="229">
        <v>5</v>
      </c>
      <c r="AM164" s="229"/>
      <c r="AN164" s="229"/>
      <c r="AO164" s="229"/>
      <c r="AP164" s="229"/>
      <c r="AQ164" s="229"/>
      <c r="AR164" s="229"/>
      <c r="AS164" s="229"/>
      <c r="AT164" s="229"/>
      <c r="AU164" s="229"/>
      <c r="AV164" s="229"/>
      <c r="AW164" s="229"/>
      <c r="AX164" s="229"/>
      <c r="AY164" s="229"/>
      <c r="AZ164" s="229"/>
      <c r="BA164" s="229"/>
      <c r="BB164" s="229"/>
      <c r="BC164" s="229"/>
      <c r="BD164" s="229"/>
      <c r="BE164" s="233"/>
      <c r="BF164" s="233"/>
      <c r="BG164" s="233"/>
      <c r="BH164" s="233"/>
      <c r="BI164" s="133"/>
      <c r="BJ164" s="202"/>
      <c r="BK164" s="202"/>
      <c r="BL164" s="202"/>
      <c r="BM164" s="202"/>
      <c r="BN164" s="202"/>
      <c r="BO164" s="202"/>
      <c r="BP164" s="202"/>
      <c r="BQ164" s="202"/>
      <c r="BR164" s="202"/>
      <c r="BS164" s="202"/>
      <c r="BT164" s="202"/>
      <c r="BU164" s="202"/>
      <c r="BV164" s="202">
        <v>2</v>
      </c>
      <c r="BW164" s="202"/>
      <c r="BX164" s="202"/>
      <c r="BY164" s="202">
        <v>2</v>
      </c>
      <c r="BZ164" s="202"/>
      <c r="CA164" s="202">
        <v>1</v>
      </c>
      <c r="CB164" s="202"/>
      <c r="CC164" s="202"/>
      <c r="CD164" s="202"/>
      <c r="CE164" s="202"/>
      <c r="CF164" s="202"/>
      <c r="CG164" s="202"/>
      <c r="CH164" s="202"/>
      <c r="CI164" s="121"/>
      <c r="CJ164" s="121"/>
      <c r="CK164" s="121"/>
      <c r="CL164" s="121"/>
      <c r="CM164" s="121"/>
      <c r="CN164" s="121"/>
      <c r="CO164" s="121"/>
      <c r="CP164" s="121"/>
      <c r="CQ164" s="121"/>
      <c r="CR164" s="121"/>
      <c r="CS164" s="121"/>
      <c r="CT164" s="121"/>
      <c r="CU164" s="199"/>
      <c r="CV164" s="199"/>
      <c r="CW164" s="205"/>
      <c r="CX164" s="132"/>
      <c r="CY164" s="132"/>
      <c r="CZ164" s="132"/>
      <c r="DA164" s="132"/>
      <c r="DB164" s="132"/>
      <c r="DC164" s="132"/>
      <c r="DD164" s="132"/>
      <c r="DE164" s="103"/>
      <c r="DF164" s="103"/>
      <c r="DG164" s="103"/>
      <c r="DH164" s="103"/>
      <c r="DI164" s="103"/>
      <c r="DJ164" s="103"/>
      <c r="DK164" s="130"/>
      <c r="DL164" s="130"/>
      <c r="DM164" s="130"/>
      <c r="DN164" s="132"/>
      <c r="DO164" s="132"/>
    </row>
    <row r="165" ht="26.25" customHeight="1" spans="1:119">
      <c r="A165" s="131">
        <v>43920</v>
      </c>
      <c r="B165" s="132" t="s">
        <v>13281</v>
      </c>
      <c r="C165" s="132">
        <v>4500028903</v>
      </c>
      <c r="D165" s="215" t="s">
        <v>2605</v>
      </c>
      <c r="E165" s="206" t="s">
        <v>13322</v>
      </c>
      <c r="F165" s="232" t="s">
        <v>13407</v>
      </c>
      <c r="G165" s="137" t="s">
        <v>13276</v>
      </c>
      <c r="H165" s="132">
        <v>36</v>
      </c>
      <c r="I165" s="132"/>
      <c r="J165" s="132"/>
      <c r="K165" s="132"/>
      <c r="L165" s="132"/>
      <c r="M165" s="140"/>
      <c r="N165" s="132"/>
      <c r="O165" s="132"/>
      <c r="P165" s="142"/>
      <c r="Q165" s="132"/>
      <c r="R165" s="132"/>
      <c r="S165" s="132"/>
      <c r="T165" s="132"/>
      <c r="U165" s="99"/>
      <c r="V165" s="233"/>
      <c r="W165" s="233"/>
      <c r="X165" s="61"/>
      <c r="Y165" s="199"/>
      <c r="Z165" s="199"/>
      <c r="AA165" s="199"/>
      <c r="AB165" s="199"/>
      <c r="AC165" s="63"/>
      <c r="AD165" s="229"/>
      <c r="AE165" s="229"/>
      <c r="AF165" s="229"/>
      <c r="AG165" s="229"/>
      <c r="AH165" s="229"/>
      <c r="AI165" s="229"/>
      <c r="AJ165" s="229"/>
      <c r="AK165" s="229"/>
      <c r="AL165" s="229"/>
      <c r="AM165" s="229"/>
      <c r="AN165" s="229"/>
      <c r="AO165" s="229"/>
      <c r="AP165" s="229"/>
      <c r="AQ165" s="229"/>
      <c r="AR165" s="229"/>
      <c r="AS165" s="229"/>
      <c r="AT165" s="229"/>
      <c r="AU165" s="229"/>
      <c r="AV165" s="229"/>
      <c r="AW165" s="229"/>
      <c r="AX165" s="229">
        <v>36</v>
      </c>
      <c r="AY165" s="229">
        <v>36</v>
      </c>
      <c r="AZ165" s="229"/>
      <c r="BA165" s="229"/>
      <c r="BB165" s="229"/>
      <c r="BC165" s="229"/>
      <c r="BD165" s="229"/>
      <c r="BE165" s="233"/>
      <c r="BF165" s="233"/>
      <c r="BG165" s="233"/>
      <c r="BH165" s="233"/>
      <c r="BI165" s="133"/>
      <c r="BJ165" s="202"/>
      <c r="BK165" s="202"/>
      <c r="BL165" s="202"/>
      <c r="BM165" s="202"/>
      <c r="BN165" s="202"/>
      <c r="BO165" s="202"/>
      <c r="BP165" s="202"/>
      <c r="BQ165" s="202"/>
      <c r="BR165" s="202"/>
      <c r="BS165" s="202"/>
      <c r="BT165" s="202"/>
      <c r="BU165" s="202"/>
      <c r="BV165" s="202"/>
      <c r="BW165" s="202"/>
      <c r="BX165" s="202"/>
      <c r="BY165" s="202"/>
      <c r="BZ165" s="202"/>
      <c r="CA165" s="202"/>
      <c r="CB165" s="202"/>
      <c r="CC165" s="202"/>
      <c r="CD165" s="202"/>
      <c r="CE165" s="202"/>
      <c r="CF165" s="202"/>
      <c r="CG165" s="202"/>
      <c r="CH165" s="202"/>
      <c r="CI165" s="121"/>
      <c r="CJ165" s="121"/>
      <c r="CK165" s="121"/>
      <c r="CL165" s="121"/>
      <c r="CM165" s="121"/>
      <c r="CN165" s="121"/>
      <c r="CO165" s="121">
        <v>6</v>
      </c>
      <c r="CP165" s="121">
        <v>6</v>
      </c>
      <c r="CQ165" s="121">
        <v>6</v>
      </c>
      <c r="CR165" s="121">
        <v>6</v>
      </c>
      <c r="CS165" s="121">
        <v>6</v>
      </c>
      <c r="CT165" s="121">
        <v>6</v>
      </c>
      <c r="CU165" s="199"/>
      <c r="CV165" s="199"/>
      <c r="CW165" s="205"/>
      <c r="CX165" s="132"/>
      <c r="CY165" s="132"/>
      <c r="CZ165" s="132"/>
      <c r="DA165" s="132"/>
      <c r="DB165" s="132"/>
      <c r="DC165" s="132"/>
      <c r="DD165" s="132"/>
      <c r="DE165" s="103"/>
      <c r="DF165" s="103"/>
      <c r="DG165" s="103"/>
      <c r="DH165" s="103"/>
      <c r="DI165" s="103"/>
      <c r="DJ165" s="103"/>
      <c r="DK165" s="130"/>
      <c r="DL165" s="130"/>
      <c r="DM165" s="130"/>
      <c r="DN165" s="132"/>
      <c r="DO165" s="132"/>
    </row>
    <row r="166" ht="26.25" customHeight="1" spans="1:119">
      <c r="A166" s="131">
        <v>43920</v>
      </c>
      <c r="B166" s="132" t="s">
        <v>13281</v>
      </c>
      <c r="C166" s="132">
        <v>4500028903</v>
      </c>
      <c r="D166" s="215" t="s">
        <v>2605</v>
      </c>
      <c r="E166" s="206" t="s">
        <v>13322</v>
      </c>
      <c r="F166" s="232" t="s">
        <v>13407</v>
      </c>
      <c r="G166" s="137" t="s">
        <v>13408</v>
      </c>
      <c r="H166" s="132">
        <v>2</v>
      </c>
      <c r="I166" s="132"/>
      <c r="J166" s="132"/>
      <c r="K166" s="132"/>
      <c r="L166" s="132"/>
      <c r="M166" s="140"/>
      <c r="N166" s="132"/>
      <c r="O166" s="132"/>
      <c r="P166" s="142"/>
      <c r="Q166" s="132"/>
      <c r="R166" s="132"/>
      <c r="S166" s="132"/>
      <c r="T166" s="132"/>
      <c r="U166" s="99"/>
      <c r="V166" s="233"/>
      <c r="W166" s="233"/>
      <c r="X166" s="61"/>
      <c r="Y166" s="199"/>
      <c r="Z166" s="199"/>
      <c r="AA166" s="199"/>
      <c r="AB166" s="199"/>
      <c r="AC166" s="63"/>
      <c r="AD166" s="229"/>
      <c r="AE166" s="229"/>
      <c r="AF166" s="229"/>
      <c r="AG166" s="229"/>
      <c r="AH166" s="229"/>
      <c r="AI166" s="229"/>
      <c r="AJ166" s="229"/>
      <c r="AK166" s="229"/>
      <c r="AL166" s="229"/>
      <c r="AM166" s="229"/>
      <c r="AN166" s="229"/>
      <c r="AO166" s="229"/>
      <c r="AP166" s="229"/>
      <c r="AQ166" s="229"/>
      <c r="AR166" s="229"/>
      <c r="AS166" s="229"/>
      <c r="AT166" s="229"/>
      <c r="AU166" s="229"/>
      <c r="AV166" s="229"/>
      <c r="AW166" s="229"/>
      <c r="AX166" s="229"/>
      <c r="AY166" s="229">
        <v>2</v>
      </c>
      <c r="AZ166" s="229"/>
      <c r="BA166" s="229"/>
      <c r="BB166" s="229"/>
      <c r="BC166" s="229"/>
      <c r="BD166" s="229"/>
      <c r="BE166" s="233"/>
      <c r="BF166" s="233"/>
      <c r="BG166" s="233"/>
      <c r="BH166" s="233"/>
      <c r="BI166" s="133"/>
      <c r="BJ166" s="202"/>
      <c r="BK166" s="202"/>
      <c r="BL166" s="202"/>
      <c r="BM166" s="202"/>
      <c r="BN166" s="202"/>
      <c r="BO166" s="202"/>
      <c r="BP166" s="202"/>
      <c r="BQ166" s="202"/>
      <c r="BR166" s="202"/>
      <c r="BS166" s="202"/>
      <c r="BT166" s="202"/>
      <c r="BU166" s="202"/>
      <c r="BV166" s="202"/>
      <c r="BW166" s="202"/>
      <c r="BX166" s="202"/>
      <c r="BY166" s="202"/>
      <c r="BZ166" s="202"/>
      <c r="CA166" s="202"/>
      <c r="CB166" s="202"/>
      <c r="CC166" s="202"/>
      <c r="CD166" s="202"/>
      <c r="CE166" s="202"/>
      <c r="CF166" s="202"/>
      <c r="CG166" s="202"/>
      <c r="CH166" s="202"/>
      <c r="CI166" s="121"/>
      <c r="CJ166" s="121"/>
      <c r="CK166" s="121"/>
      <c r="CL166" s="121"/>
      <c r="CM166" s="121"/>
      <c r="CN166" s="121"/>
      <c r="CO166" s="121">
        <v>1</v>
      </c>
      <c r="CP166" s="121"/>
      <c r="CQ166" s="121"/>
      <c r="CR166" s="121">
        <v>1</v>
      </c>
      <c r="CS166" s="121"/>
      <c r="CT166" s="121"/>
      <c r="CU166" s="199"/>
      <c r="CV166" s="199"/>
      <c r="CW166" s="205"/>
      <c r="CX166" s="132"/>
      <c r="CY166" s="132"/>
      <c r="CZ166" s="132"/>
      <c r="DA166" s="132"/>
      <c r="DB166" s="132"/>
      <c r="DC166" s="132"/>
      <c r="DD166" s="132"/>
      <c r="DE166" s="103"/>
      <c r="DF166" s="103"/>
      <c r="DG166" s="103"/>
      <c r="DH166" s="103"/>
      <c r="DI166" s="103"/>
      <c r="DJ166" s="103"/>
      <c r="DK166" s="130"/>
      <c r="DL166" s="130"/>
      <c r="DM166" s="130"/>
      <c r="DN166" s="132"/>
      <c r="DO166" s="132"/>
    </row>
    <row r="167" ht="26.25" customHeight="1" spans="1:119">
      <c r="A167" s="131">
        <v>43923</v>
      </c>
      <c r="B167" s="99" t="s">
        <v>6785</v>
      </c>
      <c r="C167" s="215">
        <v>4500029539</v>
      </c>
      <c r="D167" s="99" t="s">
        <v>5030</v>
      </c>
      <c r="E167" s="206" t="s">
        <v>13315</v>
      </c>
      <c r="F167" s="136" t="s">
        <v>13409</v>
      </c>
      <c r="G167" s="137" t="s">
        <v>13410</v>
      </c>
      <c r="H167" s="132">
        <v>24</v>
      </c>
      <c r="I167" s="132"/>
      <c r="J167" s="132"/>
      <c r="K167" s="132"/>
      <c r="L167" s="132"/>
      <c r="M167" s="140"/>
      <c r="N167" s="132"/>
      <c r="O167" s="132"/>
      <c r="P167" s="142"/>
      <c r="Q167" s="132"/>
      <c r="R167" s="132"/>
      <c r="S167" s="132"/>
      <c r="T167" s="132"/>
      <c r="U167" s="99"/>
      <c r="V167" s="233"/>
      <c r="W167" s="233"/>
      <c r="X167" s="61"/>
      <c r="Y167" s="199"/>
      <c r="Z167" s="199"/>
      <c r="AA167" s="199"/>
      <c r="AB167" s="199"/>
      <c r="AC167" s="63"/>
      <c r="AD167" s="229"/>
      <c r="AE167" s="229"/>
      <c r="AF167" s="229"/>
      <c r="AG167" s="229"/>
      <c r="AH167" s="229"/>
      <c r="AI167" s="229"/>
      <c r="AJ167" s="229"/>
      <c r="AK167" s="229"/>
      <c r="AL167" s="229"/>
      <c r="AM167" s="229"/>
      <c r="AN167" s="229"/>
      <c r="AO167" s="229"/>
      <c r="AP167" s="229"/>
      <c r="AQ167" s="229"/>
      <c r="AR167" s="229"/>
      <c r="AS167" s="229"/>
      <c r="AT167" s="229"/>
      <c r="AU167" s="229"/>
      <c r="AV167" s="229"/>
      <c r="AW167" s="229"/>
      <c r="AX167" s="229"/>
      <c r="AY167" s="229"/>
      <c r="AZ167" s="229"/>
      <c r="BA167" s="229"/>
      <c r="BB167" s="229"/>
      <c r="BC167" s="229"/>
      <c r="BD167" s="229"/>
      <c r="BE167" s="233"/>
      <c r="BF167" s="233"/>
      <c r="BG167" s="233"/>
      <c r="BH167" s="233"/>
      <c r="BI167" s="133"/>
      <c r="BJ167" s="202"/>
      <c r="BK167" s="202"/>
      <c r="BL167" s="202"/>
      <c r="BM167" s="202"/>
      <c r="BN167" s="202"/>
      <c r="BO167" s="202"/>
      <c r="BP167" s="202"/>
      <c r="BQ167" s="202"/>
      <c r="BR167" s="202"/>
      <c r="BS167" s="202"/>
      <c r="BT167" s="202"/>
      <c r="BU167" s="202"/>
      <c r="BV167" s="202"/>
      <c r="BW167" s="202"/>
      <c r="BX167" s="202"/>
      <c r="BY167" s="202"/>
      <c r="BZ167" s="202"/>
      <c r="CA167" s="202"/>
      <c r="CB167" s="202"/>
      <c r="CC167" s="202"/>
      <c r="CD167" s="202"/>
      <c r="CE167" s="202"/>
      <c r="CF167" s="202"/>
      <c r="CG167" s="202"/>
      <c r="CH167" s="202"/>
      <c r="CI167" s="121"/>
      <c r="CJ167" s="121"/>
      <c r="CK167" s="121"/>
      <c r="CL167" s="121"/>
      <c r="CM167" s="121"/>
      <c r="CN167" s="121"/>
      <c r="CO167" s="121"/>
      <c r="CP167" s="121"/>
      <c r="CQ167" s="121"/>
      <c r="CR167" s="121"/>
      <c r="CS167" s="121"/>
      <c r="CT167" s="121"/>
      <c r="CU167" s="199"/>
      <c r="CV167" s="199"/>
      <c r="CW167" s="205"/>
      <c r="CX167" s="132"/>
      <c r="CY167" s="132">
        <v>4</v>
      </c>
      <c r="CZ167" s="132">
        <v>4</v>
      </c>
      <c r="DA167" s="132">
        <v>4</v>
      </c>
      <c r="DB167" s="132">
        <v>4</v>
      </c>
      <c r="DC167" s="132">
        <v>4</v>
      </c>
      <c r="DD167" s="132">
        <v>4</v>
      </c>
      <c r="DE167" s="103"/>
      <c r="DF167" s="103"/>
      <c r="DG167" s="103"/>
      <c r="DH167" s="103"/>
      <c r="DI167" s="103"/>
      <c r="DJ167" s="103"/>
      <c r="DK167" s="130"/>
      <c r="DL167" s="130"/>
      <c r="DM167" s="130"/>
      <c r="DN167" s="132"/>
      <c r="DO167" s="132"/>
    </row>
    <row r="168" ht="26.25" customHeight="1" spans="1:119">
      <c r="A168" s="131">
        <v>43930</v>
      </c>
      <c r="B168" s="99" t="s">
        <v>13411</v>
      </c>
      <c r="C168" s="215">
        <v>4500029309</v>
      </c>
      <c r="D168" s="215" t="s">
        <v>13412</v>
      </c>
      <c r="E168" s="221" t="s">
        <v>13413</v>
      </c>
      <c r="F168" s="136" t="s">
        <v>13414</v>
      </c>
      <c r="G168" s="137" t="s">
        <v>13410</v>
      </c>
      <c r="H168" s="132">
        <v>3</v>
      </c>
      <c r="I168" s="132"/>
      <c r="J168" s="132"/>
      <c r="K168" s="132"/>
      <c r="L168" s="132"/>
      <c r="M168" s="140"/>
      <c r="N168" s="132"/>
      <c r="O168" s="132"/>
      <c r="P168" s="142"/>
      <c r="Q168" s="132"/>
      <c r="R168" s="132"/>
      <c r="S168" s="132"/>
      <c r="T168" s="132"/>
      <c r="U168" s="99"/>
      <c r="V168" s="233"/>
      <c r="W168" s="233"/>
      <c r="X168" s="61"/>
      <c r="Y168" s="199"/>
      <c r="Z168" s="199"/>
      <c r="AA168" s="199"/>
      <c r="AB168" s="199"/>
      <c r="AC168" s="63"/>
      <c r="AD168" s="229"/>
      <c r="AE168" s="229"/>
      <c r="AF168" s="229"/>
      <c r="AG168" s="229"/>
      <c r="AH168" s="229"/>
      <c r="AI168" s="229"/>
      <c r="AJ168" s="229"/>
      <c r="AK168" s="229"/>
      <c r="AL168" s="229"/>
      <c r="AM168" s="229"/>
      <c r="AN168" s="229"/>
      <c r="AO168" s="229"/>
      <c r="AP168" s="229"/>
      <c r="AQ168" s="229"/>
      <c r="AR168" s="229"/>
      <c r="AS168" s="229"/>
      <c r="AT168" s="229"/>
      <c r="AU168" s="229"/>
      <c r="AV168" s="229"/>
      <c r="AW168" s="229"/>
      <c r="AX168" s="229"/>
      <c r="AY168" s="229"/>
      <c r="AZ168" s="229"/>
      <c r="BA168" s="229"/>
      <c r="BB168" s="229"/>
      <c r="BC168" s="229"/>
      <c r="BD168" s="229"/>
      <c r="BE168" s="233"/>
      <c r="BF168" s="233"/>
      <c r="BG168" s="233"/>
      <c r="BH168" s="233"/>
      <c r="BI168" s="133"/>
      <c r="BJ168" s="202"/>
      <c r="BK168" s="202"/>
      <c r="BL168" s="202"/>
      <c r="BM168" s="202"/>
      <c r="BN168" s="202"/>
      <c r="BO168" s="202"/>
      <c r="BP168" s="202"/>
      <c r="BQ168" s="202"/>
      <c r="BR168" s="202"/>
      <c r="BS168" s="202"/>
      <c r="BT168" s="202"/>
      <c r="BU168" s="202"/>
      <c r="BV168" s="202"/>
      <c r="BW168" s="202"/>
      <c r="BX168" s="202"/>
      <c r="BY168" s="202"/>
      <c r="BZ168" s="202"/>
      <c r="CA168" s="202"/>
      <c r="CB168" s="202"/>
      <c r="CC168" s="202"/>
      <c r="CD168" s="202"/>
      <c r="CE168" s="202"/>
      <c r="CF168" s="202"/>
      <c r="CG168" s="202"/>
      <c r="CH168" s="202"/>
      <c r="CI168" s="121"/>
      <c r="CJ168" s="121"/>
      <c r="CK168" s="121"/>
      <c r="CL168" s="121"/>
      <c r="CM168" s="121"/>
      <c r="CN168" s="121"/>
      <c r="CO168" s="121"/>
      <c r="CP168" s="121"/>
      <c r="CQ168" s="121"/>
      <c r="CR168" s="121"/>
      <c r="CS168" s="121"/>
      <c r="CT168" s="121"/>
      <c r="CU168" s="199"/>
      <c r="CV168" s="199"/>
      <c r="CW168" s="205"/>
      <c r="CX168" s="132"/>
      <c r="CY168" s="132"/>
      <c r="CZ168" s="132"/>
      <c r="DA168" s="132">
        <v>1</v>
      </c>
      <c r="DB168" s="132">
        <v>1</v>
      </c>
      <c r="DC168" s="132"/>
      <c r="DD168" s="132">
        <v>1</v>
      </c>
      <c r="DE168" s="103"/>
      <c r="DF168" s="103"/>
      <c r="DG168" s="103"/>
      <c r="DH168" s="103"/>
      <c r="DI168" s="103"/>
      <c r="DJ168" s="103"/>
      <c r="DK168" s="130"/>
      <c r="DL168" s="130"/>
      <c r="DM168" s="130"/>
      <c r="DN168" s="132"/>
      <c r="DO168" s="132"/>
    </row>
    <row r="169" ht="26.25" customHeight="1" spans="1:119">
      <c r="A169" s="131">
        <v>43930</v>
      </c>
      <c r="B169" s="99"/>
      <c r="C169" s="215">
        <v>4500029108</v>
      </c>
      <c r="D169" s="99" t="s">
        <v>13415</v>
      </c>
      <c r="E169" s="206" t="s">
        <v>13315</v>
      </c>
      <c r="F169" s="136">
        <v>9215</v>
      </c>
      <c r="G169" s="137" t="s">
        <v>13410</v>
      </c>
      <c r="H169" s="132">
        <v>10</v>
      </c>
      <c r="I169" s="132"/>
      <c r="J169" s="132"/>
      <c r="K169" s="132"/>
      <c r="L169" s="132"/>
      <c r="M169" s="140"/>
      <c r="N169" s="132"/>
      <c r="O169" s="132"/>
      <c r="P169" s="142"/>
      <c r="Q169" s="132"/>
      <c r="R169" s="132"/>
      <c r="S169" s="132"/>
      <c r="T169" s="132"/>
      <c r="U169" s="99"/>
      <c r="V169" s="233"/>
      <c r="W169" s="233"/>
      <c r="X169" s="61"/>
      <c r="Y169" s="199"/>
      <c r="Z169" s="199"/>
      <c r="AA169" s="199"/>
      <c r="AB169" s="199"/>
      <c r="AC169" s="63"/>
      <c r="AD169" s="229"/>
      <c r="AE169" s="229"/>
      <c r="AF169" s="229"/>
      <c r="AG169" s="229"/>
      <c r="AH169" s="229"/>
      <c r="AI169" s="229"/>
      <c r="AJ169" s="229"/>
      <c r="AK169" s="229"/>
      <c r="AL169" s="229"/>
      <c r="AM169" s="229"/>
      <c r="AN169" s="229"/>
      <c r="AO169" s="229"/>
      <c r="AP169" s="229"/>
      <c r="AQ169" s="229"/>
      <c r="AR169" s="229"/>
      <c r="AS169" s="229"/>
      <c r="AT169" s="229"/>
      <c r="AU169" s="229"/>
      <c r="AV169" s="229"/>
      <c r="AW169" s="229"/>
      <c r="AX169" s="229"/>
      <c r="AY169" s="229"/>
      <c r="AZ169" s="229"/>
      <c r="BA169" s="229"/>
      <c r="BB169" s="229"/>
      <c r="BC169" s="229"/>
      <c r="BD169" s="229"/>
      <c r="BE169" s="233"/>
      <c r="BF169" s="233"/>
      <c r="BG169" s="233"/>
      <c r="BH169" s="233"/>
      <c r="BI169" s="133"/>
      <c r="BJ169" s="202"/>
      <c r="BK169" s="202"/>
      <c r="BL169" s="202"/>
      <c r="BM169" s="202"/>
      <c r="BN169" s="202"/>
      <c r="BO169" s="202"/>
      <c r="BP169" s="202"/>
      <c r="BQ169" s="202"/>
      <c r="BR169" s="202"/>
      <c r="BS169" s="202"/>
      <c r="BT169" s="202"/>
      <c r="BU169" s="202"/>
      <c r="BV169" s="202"/>
      <c r="BW169" s="202"/>
      <c r="BX169" s="202"/>
      <c r="BY169" s="202"/>
      <c r="BZ169" s="202"/>
      <c r="CA169" s="202"/>
      <c r="CB169" s="202"/>
      <c r="CC169" s="202"/>
      <c r="CD169" s="202"/>
      <c r="CE169" s="202"/>
      <c r="CF169" s="202"/>
      <c r="CG169" s="202"/>
      <c r="CH169" s="202"/>
      <c r="CI169" s="121"/>
      <c r="CJ169" s="121"/>
      <c r="CK169" s="121"/>
      <c r="CL169" s="121"/>
      <c r="CM169" s="121"/>
      <c r="CN169" s="121"/>
      <c r="CO169" s="121"/>
      <c r="CP169" s="121"/>
      <c r="CQ169" s="121"/>
      <c r="CR169" s="121"/>
      <c r="CS169" s="121"/>
      <c r="CT169" s="121"/>
      <c r="CU169" s="199"/>
      <c r="CV169" s="199"/>
      <c r="CW169" s="205"/>
      <c r="CX169" s="132"/>
      <c r="CY169" s="132">
        <v>2</v>
      </c>
      <c r="CZ169" s="132">
        <v>2</v>
      </c>
      <c r="DA169" s="132">
        <v>2</v>
      </c>
      <c r="DB169" s="132">
        <v>2</v>
      </c>
      <c r="DC169" s="132"/>
      <c r="DD169" s="132">
        <v>2</v>
      </c>
      <c r="DE169" s="103"/>
      <c r="DF169" s="103"/>
      <c r="DG169" s="103"/>
      <c r="DH169" s="103"/>
      <c r="DI169" s="103"/>
      <c r="DJ169" s="103"/>
      <c r="DK169" s="130"/>
      <c r="DL169" s="130"/>
      <c r="DM169" s="130"/>
      <c r="DN169" s="132"/>
      <c r="DO169" s="132"/>
    </row>
    <row r="170" ht="26.25" customHeight="1" spans="1:119">
      <c r="A170" s="131">
        <v>43930</v>
      </c>
      <c r="B170" s="99"/>
      <c r="C170" s="215">
        <v>4500029108</v>
      </c>
      <c r="D170" s="99" t="s">
        <v>13415</v>
      </c>
      <c r="E170" s="206" t="s">
        <v>13315</v>
      </c>
      <c r="F170" s="136">
        <v>9214</v>
      </c>
      <c r="G170" s="137" t="s">
        <v>13276</v>
      </c>
      <c r="H170" s="132">
        <v>12</v>
      </c>
      <c r="I170" s="132"/>
      <c r="J170" s="132"/>
      <c r="K170" s="132"/>
      <c r="L170" s="132"/>
      <c r="M170" s="140"/>
      <c r="N170" s="132"/>
      <c r="O170" s="132"/>
      <c r="P170" s="142"/>
      <c r="Q170" s="132"/>
      <c r="R170" s="132"/>
      <c r="S170" s="132"/>
      <c r="T170" s="132"/>
      <c r="U170" s="99"/>
      <c r="V170" s="233"/>
      <c r="W170" s="233"/>
      <c r="X170" s="61"/>
      <c r="Y170" s="199"/>
      <c r="Z170" s="199"/>
      <c r="AA170" s="199"/>
      <c r="AB170" s="199"/>
      <c r="AC170" s="63"/>
      <c r="AD170" s="229"/>
      <c r="AE170" s="229"/>
      <c r="AF170" s="229"/>
      <c r="AG170" s="229"/>
      <c r="AH170" s="229"/>
      <c r="AI170" s="229"/>
      <c r="AJ170" s="229"/>
      <c r="AK170" s="229"/>
      <c r="AL170" s="229"/>
      <c r="AM170" s="229"/>
      <c r="AN170" s="229"/>
      <c r="AO170" s="229"/>
      <c r="AP170" s="229"/>
      <c r="AQ170" s="229"/>
      <c r="AR170" s="229"/>
      <c r="AS170" s="229"/>
      <c r="AT170" s="229"/>
      <c r="AU170" s="229"/>
      <c r="AV170" s="229"/>
      <c r="AW170" s="229"/>
      <c r="AX170" s="229">
        <v>12</v>
      </c>
      <c r="AY170" s="229">
        <v>12</v>
      </c>
      <c r="AZ170" s="229"/>
      <c r="BA170" s="229"/>
      <c r="BB170" s="229"/>
      <c r="BC170" s="229"/>
      <c r="BD170" s="229"/>
      <c r="BE170" s="233"/>
      <c r="BF170" s="233"/>
      <c r="BG170" s="233"/>
      <c r="BH170" s="233"/>
      <c r="BI170" s="133"/>
      <c r="BJ170" s="202"/>
      <c r="BK170" s="202"/>
      <c r="BL170" s="202"/>
      <c r="BM170" s="202"/>
      <c r="BN170" s="202"/>
      <c r="BO170" s="202"/>
      <c r="BP170" s="202"/>
      <c r="BQ170" s="202"/>
      <c r="BR170" s="202"/>
      <c r="BS170" s="202"/>
      <c r="BT170" s="202"/>
      <c r="BU170" s="202"/>
      <c r="BV170" s="202"/>
      <c r="BW170" s="202"/>
      <c r="BX170" s="202"/>
      <c r="BY170" s="202"/>
      <c r="BZ170" s="202"/>
      <c r="CA170" s="202"/>
      <c r="CB170" s="202"/>
      <c r="CC170" s="202"/>
      <c r="CD170" s="202"/>
      <c r="CE170" s="202"/>
      <c r="CF170" s="202"/>
      <c r="CG170" s="202"/>
      <c r="CH170" s="202"/>
      <c r="CI170" s="121"/>
      <c r="CJ170" s="121"/>
      <c r="CK170" s="121"/>
      <c r="CL170" s="121"/>
      <c r="CM170" s="121"/>
      <c r="CN170" s="121"/>
      <c r="CO170" s="121">
        <v>2</v>
      </c>
      <c r="CP170" s="121">
        <v>2</v>
      </c>
      <c r="CQ170" s="121">
        <v>2</v>
      </c>
      <c r="CR170" s="121">
        <v>2</v>
      </c>
      <c r="CS170" s="121">
        <v>2</v>
      </c>
      <c r="CT170" s="121">
        <v>2</v>
      </c>
      <c r="CU170" s="199"/>
      <c r="CV170" s="199"/>
      <c r="CW170" s="205"/>
      <c r="CX170" s="132"/>
      <c r="CY170" s="132"/>
      <c r="CZ170" s="132"/>
      <c r="DA170" s="132"/>
      <c r="DB170" s="132"/>
      <c r="DC170" s="132"/>
      <c r="DD170" s="132"/>
      <c r="DE170" s="103"/>
      <c r="DF170" s="103"/>
      <c r="DG170" s="103"/>
      <c r="DH170" s="103"/>
      <c r="DI170" s="103"/>
      <c r="DJ170" s="103"/>
      <c r="DK170" s="130"/>
      <c r="DL170" s="130"/>
      <c r="DM170" s="130"/>
      <c r="DN170" s="132"/>
      <c r="DO170" s="132"/>
    </row>
    <row r="171" ht="26.25" customHeight="1" spans="1:119">
      <c r="A171" s="131">
        <v>43931</v>
      </c>
      <c r="B171" s="100" t="s">
        <v>13416</v>
      </c>
      <c r="C171" s="100">
        <v>4500028935</v>
      </c>
      <c r="D171" s="206" t="s">
        <v>13417</v>
      </c>
      <c r="E171" s="206" t="s">
        <v>13322</v>
      </c>
      <c r="F171" s="100" t="s">
        <v>13390</v>
      </c>
      <c r="G171" s="137" t="s">
        <v>13276</v>
      </c>
      <c r="H171" s="132">
        <v>6</v>
      </c>
      <c r="I171" s="132"/>
      <c r="J171" s="132"/>
      <c r="K171" s="132"/>
      <c r="L171" s="139"/>
      <c r="M171" s="140"/>
      <c r="N171" s="141"/>
      <c r="O171" s="141"/>
      <c r="P171" s="142"/>
      <c r="Q171" s="141"/>
      <c r="R171" s="141"/>
      <c r="S171" s="141"/>
      <c r="T171" s="141"/>
      <c r="U171" s="142"/>
      <c r="V171" s="227"/>
      <c r="W171" s="227"/>
      <c r="X171" s="228"/>
      <c r="Y171" s="199"/>
      <c r="Z171" s="199"/>
      <c r="AA171" s="199"/>
      <c r="AB171" s="199"/>
      <c r="AC171" s="63"/>
      <c r="AD171" s="229"/>
      <c r="AE171" s="229"/>
      <c r="AF171" s="229"/>
      <c r="AG171" s="229"/>
      <c r="AH171" s="229"/>
      <c r="AI171" s="229"/>
      <c r="AJ171" s="229"/>
      <c r="AK171" s="229"/>
      <c r="AL171" s="229"/>
      <c r="AM171" s="229"/>
      <c r="AN171" s="229"/>
      <c r="AO171" s="229"/>
      <c r="AP171" s="229"/>
      <c r="AQ171" s="229"/>
      <c r="AR171" s="229"/>
      <c r="AS171" s="229"/>
      <c r="AT171" s="229"/>
      <c r="AU171" s="229"/>
      <c r="AV171" s="229"/>
      <c r="AW171" s="229"/>
      <c r="AX171" s="229">
        <v>6</v>
      </c>
      <c r="AY171" s="229"/>
      <c r="AZ171" s="229"/>
      <c r="BA171" s="229"/>
      <c r="BB171" s="229"/>
      <c r="BC171" s="229"/>
      <c r="BD171" s="229">
        <v>1</v>
      </c>
      <c r="BE171" s="227"/>
      <c r="BF171" s="227"/>
      <c r="BG171" s="227"/>
      <c r="BH171" s="227"/>
      <c r="BI171" s="133"/>
      <c r="BJ171" s="202"/>
      <c r="BK171" s="202"/>
      <c r="BL171" s="202"/>
      <c r="BM171" s="202"/>
      <c r="BN171" s="202"/>
      <c r="BO171" s="202"/>
      <c r="BP171" s="202"/>
      <c r="BQ171" s="202"/>
      <c r="BR171" s="202"/>
      <c r="BS171" s="202"/>
      <c r="BT171" s="202"/>
      <c r="BU171" s="202"/>
      <c r="BV171" s="202"/>
      <c r="BW171" s="202"/>
      <c r="BX171" s="202"/>
      <c r="BY171" s="202"/>
      <c r="BZ171" s="202"/>
      <c r="CA171" s="202"/>
      <c r="CB171" s="202"/>
      <c r="CC171" s="202"/>
      <c r="CD171" s="202"/>
      <c r="CE171" s="202"/>
      <c r="CF171" s="202"/>
      <c r="CG171" s="202"/>
      <c r="CH171" s="202"/>
      <c r="CI171" s="121"/>
      <c r="CJ171" s="121"/>
      <c r="CK171" s="121"/>
      <c r="CL171" s="121"/>
      <c r="CM171" s="121"/>
      <c r="CN171" s="121"/>
      <c r="CO171" s="121">
        <v>1</v>
      </c>
      <c r="CP171" s="121">
        <v>1</v>
      </c>
      <c r="CQ171" s="121">
        <v>1</v>
      </c>
      <c r="CR171" s="121">
        <v>1</v>
      </c>
      <c r="CS171" s="121">
        <v>1</v>
      </c>
      <c r="CT171" s="121">
        <v>1</v>
      </c>
      <c r="CU171" s="199"/>
      <c r="CV171" s="199"/>
      <c r="CW171" s="205"/>
      <c r="CX171" s="132"/>
      <c r="CY171" s="132"/>
      <c r="CZ171" s="132"/>
      <c r="DA171" s="132"/>
      <c r="DB171" s="132"/>
      <c r="DC171" s="132"/>
      <c r="DD171" s="132"/>
      <c r="DE171" s="103"/>
      <c r="DF171" s="103"/>
      <c r="DG171" s="103"/>
      <c r="DH171" s="103"/>
      <c r="DI171" s="103"/>
      <c r="DJ171" s="103"/>
      <c r="DK171" s="130"/>
      <c r="DL171" s="130"/>
      <c r="DM171" s="130"/>
      <c r="DN171" s="132"/>
      <c r="DO171" s="132"/>
    </row>
    <row r="172" ht="26.25" customHeight="1" spans="1:119">
      <c r="A172" s="131">
        <v>43932</v>
      </c>
      <c r="B172" s="99" t="s">
        <v>6785</v>
      </c>
      <c r="C172" s="234">
        <v>4500029539</v>
      </c>
      <c r="D172" s="215" t="s">
        <v>5030</v>
      </c>
      <c r="E172" s="221" t="s">
        <v>13418</v>
      </c>
      <c r="F172" s="136" t="s">
        <v>13419</v>
      </c>
      <c r="G172" s="137" t="s">
        <v>13410</v>
      </c>
      <c r="H172" s="132">
        <v>2</v>
      </c>
      <c r="I172" s="132"/>
      <c r="J172" s="132"/>
      <c r="K172" s="132"/>
      <c r="L172" s="139"/>
      <c r="M172" s="140"/>
      <c r="N172" s="141"/>
      <c r="O172" s="141"/>
      <c r="P172" s="142"/>
      <c r="Q172" s="141"/>
      <c r="R172" s="141"/>
      <c r="S172" s="141"/>
      <c r="T172" s="141"/>
      <c r="U172" s="142"/>
      <c r="V172" s="227"/>
      <c r="W172" s="227"/>
      <c r="X172" s="228"/>
      <c r="Y172" s="199"/>
      <c r="Z172" s="199"/>
      <c r="AA172" s="199"/>
      <c r="AB172" s="199"/>
      <c r="AC172" s="63"/>
      <c r="AD172" s="229"/>
      <c r="AE172" s="229"/>
      <c r="AF172" s="229"/>
      <c r="AG172" s="229"/>
      <c r="AH172" s="229"/>
      <c r="AI172" s="229"/>
      <c r="AJ172" s="229"/>
      <c r="AK172" s="229"/>
      <c r="AL172" s="229"/>
      <c r="AM172" s="229"/>
      <c r="AN172" s="229"/>
      <c r="AO172" s="229"/>
      <c r="AP172" s="229"/>
      <c r="AQ172" s="229"/>
      <c r="AR172" s="229"/>
      <c r="AS172" s="229"/>
      <c r="AT172" s="229"/>
      <c r="AU172" s="229"/>
      <c r="AV172" s="229"/>
      <c r="AW172" s="229"/>
      <c r="AX172" s="229"/>
      <c r="AY172" s="229"/>
      <c r="AZ172" s="229"/>
      <c r="BA172" s="229"/>
      <c r="BB172" s="229"/>
      <c r="BC172" s="229"/>
      <c r="BD172" s="229"/>
      <c r="BE172" s="227"/>
      <c r="BF172" s="227"/>
      <c r="BG172" s="227"/>
      <c r="BH172" s="227"/>
      <c r="BI172" s="133"/>
      <c r="BJ172" s="202"/>
      <c r="BK172" s="202"/>
      <c r="BL172" s="202"/>
      <c r="BM172" s="202"/>
      <c r="BN172" s="202"/>
      <c r="BO172" s="202"/>
      <c r="BP172" s="202"/>
      <c r="BQ172" s="202"/>
      <c r="BR172" s="202"/>
      <c r="BS172" s="202"/>
      <c r="BT172" s="202"/>
      <c r="BU172" s="202"/>
      <c r="BV172" s="202"/>
      <c r="BW172" s="202"/>
      <c r="BX172" s="202"/>
      <c r="BY172" s="202"/>
      <c r="BZ172" s="202"/>
      <c r="CA172" s="202"/>
      <c r="CB172" s="202"/>
      <c r="CC172" s="202"/>
      <c r="CD172" s="202"/>
      <c r="CE172" s="202"/>
      <c r="CF172" s="202"/>
      <c r="CG172" s="202"/>
      <c r="CH172" s="202"/>
      <c r="CI172" s="121"/>
      <c r="CJ172" s="121"/>
      <c r="CK172" s="121"/>
      <c r="CL172" s="121"/>
      <c r="CM172" s="121"/>
      <c r="CN172" s="121"/>
      <c r="CO172" s="121"/>
      <c r="CP172" s="121"/>
      <c r="CQ172" s="121"/>
      <c r="CR172" s="121"/>
      <c r="CS172" s="121"/>
      <c r="CT172" s="121"/>
      <c r="CU172" s="199"/>
      <c r="CV172" s="199"/>
      <c r="CW172" s="205"/>
      <c r="CX172" s="132"/>
      <c r="CY172" s="132"/>
      <c r="CZ172" s="132"/>
      <c r="DA172" s="132"/>
      <c r="DB172" s="132">
        <v>2</v>
      </c>
      <c r="DC172" s="132"/>
      <c r="DD172" s="132"/>
      <c r="DE172" s="103"/>
      <c r="DF172" s="103"/>
      <c r="DG172" s="103"/>
      <c r="DH172" s="103"/>
      <c r="DI172" s="103"/>
      <c r="DJ172" s="103"/>
      <c r="DK172" s="130"/>
      <c r="DL172" s="130"/>
      <c r="DM172" s="130"/>
      <c r="DN172" s="132"/>
      <c r="DO172" s="132"/>
    </row>
    <row r="173" ht="26.25" customHeight="1" spans="1:119">
      <c r="A173" s="131">
        <v>43932</v>
      </c>
      <c r="B173" s="99" t="s">
        <v>6785</v>
      </c>
      <c r="C173" s="234">
        <v>4500029539</v>
      </c>
      <c r="D173" s="215" t="s">
        <v>5030</v>
      </c>
      <c r="E173" s="221" t="s">
        <v>13320</v>
      </c>
      <c r="F173" s="136" t="s">
        <v>13419</v>
      </c>
      <c r="G173" s="137" t="s">
        <v>13410</v>
      </c>
      <c r="H173" s="132">
        <v>18</v>
      </c>
      <c r="I173" s="132"/>
      <c r="J173" s="132"/>
      <c r="K173" s="132"/>
      <c r="L173" s="139"/>
      <c r="M173" s="140"/>
      <c r="N173" s="141"/>
      <c r="O173" s="141"/>
      <c r="P173" s="142"/>
      <c r="Q173" s="141"/>
      <c r="R173" s="141"/>
      <c r="S173" s="141"/>
      <c r="T173" s="141"/>
      <c r="U173" s="142"/>
      <c r="V173" s="227"/>
      <c r="W173" s="227"/>
      <c r="X173" s="228"/>
      <c r="Y173" s="199"/>
      <c r="Z173" s="199"/>
      <c r="AA173" s="199"/>
      <c r="AB173" s="199"/>
      <c r="AC173" s="63"/>
      <c r="AD173" s="229"/>
      <c r="AE173" s="229"/>
      <c r="AF173" s="229"/>
      <c r="AG173" s="229"/>
      <c r="AH173" s="229"/>
      <c r="AI173" s="229"/>
      <c r="AJ173" s="229"/>
      <c r="AK173" s="229"/>
      <c r="AL173" s="229"/>
      <c r="AM173" s="229"/>
      <c r="AN173" s="229"/>
      <c r="AO173" s="229"/>
      <c r="AP173" s="229"/>
      <c r="AQ173" s="229"/>
      <c r="AR173" s="229"/>
      <c r="AS173" s="229"/>
      <c r="AT173" s="229"/>
      <c r="AU173" s="229"/>
      <c r="AV173" s="229"/>
      <c r="AW173" s="229"/>
      <c r="AX173" s="229"/>
      <c r="AY173" s="229"/>
      <c r="AZ173" s="229"/>
      <c r="BA173" s="229"/>
      <c r="BB173" s="229"/>
      <c r="BC173" s="229"/>
      <c r="BD173" s="229"/>
      <c r="BE173" s="227"/>
      <c r="BF173" s="227"/>
      <c r="BG173" s="227"/>
      <c r="BH173" s="227"/>
      <c r="BI173" s="133"/>
      <c r="BJ173" s="202"/>
      <c r="BK173" s="202"/>
      <c r="BL173" s="202"/>
      <c r="BM173" s="202"/>
      <c r="BN173" s="202"/>
      <c r="BO173" s="202"/>
      <c r="BP173" s="202"/>
      <c r="BQ173" s="202"/>
      <c r="BR173" s="202"/>
      <c r="BS173" s="202"/>
      <c r="BT173" s="202"/>
      <c r="BU173" s="202"/>
      <c r="BV173" s="202"/>
      <c r="BW173" s="202"/>
      <c r="BX173" s="202"/>
      <c r="BY173" s="202"/>
      <c r="BZ173" s="202"/>
      <c r="CA173" s="202"/>
      <c r="CB173" s="202"/>
      <c r="CC173" s="202"/>
      <c r="CD173" s="202"/>
      <c r="CE173" s="202"/>
      <c r="CF173" s="202"/>
      <c r="CG173" s="202"/>
      <c r="CH173" s="202"/>
      <c r="CI173" s="121"/>
      <c r="CJ173" s="121"/>
      <c r="CK173" s="121"/>
      <c r="CL173" s="121"/>
      <c r="CM173" s="121"/>
      <c r="CN173" s="121"/>
      <c r="CO173" s="121"/>
      <c r="CP173" s="121"/>
      <c r="CQ173" s="121"/>
      <c r="CR173" s="121"/>
      <c r="CS173" s="121"/>
      <c r="CT173" s="121"/>
      <c r="CU173" s="199"/>
      <c r="CV173" s="199"/>
      <c r="CW173" s="205"/>
      <c r="CX173" s="132"/>
      <c r="CY173" s="132">
        <v>3</v>
      </c>
      <c r="CZ173" s="132">
        <v>3</v>
      </c>
      <c r="DA173" s="132">
        <v>3</v>
      </c>
      <c r="DB173" s="132">
        <v>3</v>
      </c>
      <c r="DC173" s="132">
        <v>3</v>
      </c>
      <c r="DD173" s="132">
        <v>3</v>
      </c>
      <c r="DE173" s="103"/>
      <c r="DF173" s="103"/>
      <c r="DG173" s="103"/>
      <c r="DH173" s="103"/>
      <c r="DI173" s="103"/>
      <c r="DJ173" s="103"/>
      <c r="DK173" s="130"/>
      <c r="DL173" s="130"/>
      <c r="DM173" s="130"/>
      <c r="DN173" s="132"/>
      <c r="DO173" s="132"/>
    </row>
    <row r="174" ht="26.25" customHeight="1" spans="1:119">
      <c r="A174" s="131">
        <v>43934</v>
      </c>
      <c r="B174" s="99" t="s">
        <v>3061</v>
      </c>
      <c r="C174" s="234" t="s">
        <v>13420</v>
      </c>
      <c r="D174" s="215"/>
      <c r="E174" s="221" t="s">
        <v>13320</v>
      </c>
      <c r="F174" s="136">
        <v>9214</v>
      </c>
      <c r="G174" s="137" t="s">
        <v>13276</v>
      </c>
      <c r="H174" s="132">
        <v>12</v>
      </c>
      <c r="I174" s="132"/>
      <c r="J174" s="132"/>
      <c r="K174" s="132"/>
      <c r="L174" s="139"/>
      <c r="M174" s="140"/>
      <c r="N174" s="141"/>
      <c r="O174" s="141"/>
      <c r="P174" s="142"/>
      <c r="Q174" s="141"/>
      <c r="R174" s="141"/>
      <c r="S174" s="141"/>
      <c r="T174" s="141"/>
      <c r="U174" s="142"/>
      <c r="V174" s="227"/>
      <c r="W174" s="227"/>
      <c r="X174" s="228"/>
      <c r="Y174" s="199"/>
      <c r="Z174" s="199"/>
      <c r="AA174" s="199"/>
      <c r="AB174" s="199"/>
      <c r="AC174" s="63"/>
      <c r="AD174" s="229"/>
      <c r="AE174" s="229"/>
      <c r="AF174" s="229"/>
      <c r="AG174" s="229"/>
      <c r="AH174" s="229"/>
      <c r="AI174" s="229"/>
      <c r="AJ174" s="229"/>
      <c r="AK174" s="229"/>
      <c r="AL174" s="229"/>
      <c r="AM174" s="229"/>
      <c r="AN174" s="229"/>
      <c r="AO174" s="229"/>
      <c r="AP174" s="229"/>
      <c r="AQ174" s="229"/>
      <c r="AR174" s="229"/>
      <c r="AS174" s="229"/>
      <c r="AT174" s="229"/>
      <c r="AU174" s="229"/>
      <c r="AV174" s="229"/>
      <c r="AW174" s="229"/>
      <c r="AX174" s="229">
        <v>12</v>
      </c>
      <c r="AY174" s="229">
        <v>12</v>
      </c>
      <c r="AZ174" s="229"/>
      <c r="BA174" s="229"/>
      <c r="BB174" s="229"/>
      <c r="BC174" s="229"/>
      <c r="BD174" s="229"/>
      <c r="BE174" s="227"/>
      <c r="BF174" s="227"/>
      <c r="BG174" s="227"/>
      <c r="BH174" s="227"/>
      <c r="BI174" s="133"/>
      <c r="BJ174" s="202"/>
      <c r="BK174" s="202"/>
      <c r="BL174" s="202"/>
      <c r="BM174" s="202"/>
      <c r="BN174" s="202"/>
      <c r="BO174" s="202"/>
      <c r="BP174" s="202"/>
      <c r="BQ174" s="202"/>
      <c r="BR174" s="202"/>
      <c r="BS174" s="202"/>
      <c r="BT174" s="202"/>
      <c r="BU174" s="202"/>
      <c r="BV174" s="202"/>
      <c r="BW174" s="202"/>
      <c r="BX174" s="202"/>
      <c r="BY174" s="202"/>
      <c r="BZ174" s="202"/>
      <c r="CA174" s="202"/>
      <c r="CB174" s="202"/>
      <c r="CC174" s="202"/>
      <c r="CD174" s="202"/>
      <c r="CE174" s="202"/>
      <c r="CF174" s="202"/>
      <c r="CG174" s="202"/>
      <c r="CH174" s="202"/>
      <c r="CI174" s="121"/>
      <c r="CJ174" s="121"/>
      <c r="CK174" s="121"/>
      <c r="CL174" s="121"/>
      <c r="CM174" s="121"/>
      <c r="CN174" s="121"/>
      <c r="CO174" s="121">
        <v>2</v>
      </c>
      <c r="CP174" s="121">
        <v>2</v>
      </c>
      <c r="CQ174" s="121">
        <v>2</v>
      </c>
      <c r="CR174" s="121">
        <v>2</v>
      </c>
      <c r="CS174" s="121">
        <v>2</v>
      </c>
      <c r="CT174" s="121">
        <v>2</v>
      </c>
      <c r="CU174" s="199"/>
      <c r="CV174" s="199"/>
      <c r="CW174" s="205"/>
      <c r="CX174" s="132"/>
      <c r="CY174" s="132"/>
      <c r="CZ174" s="132"/>
      <c r="DA174" s="132"/>
      <c r="DB174" s="132"/>
      <c r="DC174" s="132"/>
      <c r="DD174" s="132"/>
      <c r="DE174" s="103"/>
      <c r="DF174" s="103"/>
      <c r="DG174" s="103"/>
      <c r="DH174" s="103"/>
      <c r="DI174" s="103"/>
      <c r="DJ174" s="103"/>
      <c r="DK174" s="130"/>
      <c r="DL174" s="130"/>
      <c r="DM174" s="130"/>
      <c r="DN174" s="132"/>
      <c r="DO174" s="132"/>
    </row>
    <row r="175" ht="26.25" customHeight="1" spans="1:119">
      <c r="A175" s="131">
        <v>43935</v>
      </c>
      <c r="B175" s="100" t="s">
        <v>13416</v>
      </c>
      <c r="C175" s="100">
        <v>4500028935</v>
      </c>
      <c r="D175" s="206" t="s">
        <v>13417</v>
      </c>
      <c r="E175" s="206" t="s">
        <v>13322</v>
      </c>
      <c r="F175" s="100" t="s">
        <v>13390</v>
      </c>
      <c r="G175" s="137" t="s">
        <v>13276</v>
      </c>
      <c r="H175" s="132">
        <v>6</v>
      </c>
      <c r="I175" s="132"/>
      <c r="J175" s="132"/>
      <c r="K175" s="132"/>
      <c r="L175" s="139"/>
      <c r="M175" s="140"/>
      <c r="N175" s="141"/>
      <c r="O175" s="141"/>
      <c r="P175" s="142"/>
      <c r="Q175" s="141"/>
      <c r="R175" s="141"/>
      <c r="S175" s="141"/>
      <c r="T175" s="141"/>
      <c r="U175" s="142"/>
      <c r="V175" s="227"/>
      <c r="W175" s="227"/>
      <c r="X175" s="228"/>
      <c r="Y175" s="199"/>
      <c r="Z175" s="199"/>
      <c r="AA175" s="199"/>
      <c r="AB175" s="199"/>
      <c r="AC175" s="63"/>
      <c r="AD175" s="229"/>
      <c r="AE175" s="229"/>
      <c r="AF175" s="229"/>
      <c r="AG175" s="229"/>
      <c r="AH175" s="229"/>
      <c r="AI175" s="229"/>
      <c r="AJ175" s="229"/>
      <c r="AK175" s="229"/>
      <c r="AL175" s="229"/>
      <c r="AM175" s="229"/>
      <c r="AN175" s="229"/>
      <c r="AO175" s="229"/>
      <c r="AP175" s="229"/>
      <c r="AQ175" s="229"/>
      <c r="AR175" s="229"/>
      <c r="AS175" s="229"/>
      <c r="AT175" s="229"/>
      <c r="AU175" s="229"/>
      <c r="AV175" s="229"/>
      <c r="AW175" s="229"/>
      <c r="AX175" s="229">
        <v>6</v>
      </c>
      <c r="AY175" s="229"/>
      <c r="AZ175" s="229"/>
      <c r="BA175" s="229"/>
      <c r="BB175" s="229"/>
      <c r="BC175" s="229"/>
      <c r="BD175" s="229">
        <v>2</v>
      </c>
      <c r="BE175" s="227"/>
      <c r="BF175" s="227"/>
      <c r="BG175" s="227"/>
      <c r="BH175" s="227"/>
      <c r="BI175" s="133"/>
      <c r="BJ175" s="202"/>
      <c r="BK175" s="202"/>
      <c r="BL175" s="202"/>
      <c r="BM175" s="202"/>
      <c r="BN175" s="202"/>
      <c r="BO175" s="202"/>
      <c r="BP175" s="202"/>
      <c r="BQ175" s="202"/>
      <c r="BR175" s="202"/>
      <c r="BS175" s="202"/>
      <c r="BT175" s="202"/>
      <c r="BU175" s="202"/>
      <c r="BV175" s="202"/>
      <c r="BW175" s="202"/>
      <c r="BX175" s="202"/>
      <c r="BY175" s="202"/>
      <c r="BZ175" s="202"/>
      <c r="CA175" s="202"/>
      <c r="CB175" s="202"/>
      <c r="CC175" s="202"/>
      <c r="CD175" s="202"/>
      <c r="CE175" s="202"/>
      <c r="CF175" s="202"/>
      <c r="CG175" s="202"/>
      <c r="CH175" s="202"/>
      <c r="CI175" s="121"/>
      <c r="CJ175" s="121"/>
      <c r="CK175" s="121"/>
      <c r="CL175" s="121"/>
      <c r="CM175" s="121"/>
      <c r="CN175" s="121"/>
      <c r="CO175" s="121">
        <v>1</v>
      </c>
      <c r="CP175" s="121">
        <v>1</v>
      </c>
      <c r="CQ175" s="121">
        <v>1</v>
      </c>
      <c r="CR175" s="121">
        <v>1</v>
      </c>
      <c r="CS175" s="121">
        <v>1</v>
      </c>
      <c r="CT175" s="121">
        <v>1</v>
      </c>
      <c r="CU175" s="199"/>
      <c r="CV175" s="199"/>
      <c r="CW175" s="205"/>
      <c r="CX175" s="132"/>
      <c r="CY175" s="132"/>
      <c r="CZ175" s="132"/>
      <c r="DA175" s="132"/>
      <c r="DB175" s="132"/>
      <c r="DC175" s="132"/>
      <c r="DD175" s="132"/>
      <c r="DE175" s="103"/>
      <c r="DF175" s="103"/>
      <c r="DG175" s="103"/>
      <c r="DH175" s="103"/>
      <c r="DI175" s="103"/>
      <c r="DJ175" s="103"/>
      <c r="DK175" s="130"/>
      <c r="DL175" s="130"/>
      <c r="DM175" s="130"/>
      <c r="DN175" s="132"/>
      <c r="DO175" s="132"/>
    </row>
    <row r="176" ht="26.25" customHeight="1" spans="1:119">
      <c r="A176" s="131">
        <v>43936</v>
      </c>
      <c r="B176" s="99" t="s">
        <v>13421</v>
      </c>
      <c r="C176" s="100">
        <v>4500029958</v>
      </c>
      <c r="D176" s="100" t="s">
        <v>13258</v>
      </c>
      <c r="E176" s="221" t="s">
        <v>13422</v>
      </c>
      <c r="F176" s="136" t="s">
        <v>13423</v>
      </c>
      <c r="G176" s="137" t="s">
        <v>13424</v>
      </c>
      <c r="H176" s="132">
        <v>30</v>
      </c>
      <c r="I176" s="132"/>
      <c r="J176" s="132"/>
      <c r="K176" s="132"/>
      <c r="L176" s="139"/>
      <c r="M176" s="140"/>
      <c r="N176" s="141"/>
      <c r="O176" s="141"/>
      <c r="P176" s="142"/>
      <c r="Q176" s="141"/>
      <c r="R176" s="141"/>
      <c r="S176" s="141"/>
      <c r="T176" s="141"/>
      <c r="U176" s="142"/>
      <c r="V176" s="227"/>
      <c r="W176" s="227"/>
      <c r="X176" s="228"/>
      <c r="Y176" s="199"/>
      <c r="Z176" s="199"/>
      <c r="AA176" s="199"/>
      <c r="AB176" s="199"/>
      <c r="AC176" s="63"/>
      <c r="AD176" s="229"/>
      <c r="AE176" s="229"/>
      <c r="AF176" s="229"/>
      <c r="AG176" s="229"/>
      <c r="AH176" s="229"/>
      <c r="AI176" s="229"/>
      <c r="AJ176" s="229"/>
      <c r="AK176" s="229"/>
      <c r="AL176" s="229"/>
      <c r="AM176" s="229"/>
      <c r="AN176" s="229"/>
      <c r="AO176" s="229"/>
      <c r="AP176" s="229"/>
      <c r="AQ176" s="229"/>
      <c r="AR176" s="229"/>
      <c r="AS176" s="229"/>
      <c r="AT176" s="229"/>
      <c r="AU176" s="229"/>
      <c r="AV176" s="229"/>
      <c r="AW176" s="229"/>
      <c r="AX176" s="229"/>
      <c r="AY176" s="229"/>
      <c r="AZ176" s="229"/>
      <c r="BA176" s="229"/>
      <c r="BB176" s="229"/>
      <c r="BC176" s="229"/>
      <c r="BD176" s="229"/>
      <c r="BE176" s="227"/>
      <c r="BF176" s="227"/>
      <c r="BG176" s="227"/>
      <c r="BH176" s="227"/>
      <c r="BI176" s="133"/>
      <c r="BJ176" s="202"/>
      <c r="BK176" s="202"/>
      <c r="BL176" s="202"/>
      <c r="BM176" s="202"/>
      <c r="BN176" s="202"/>
      <c r="BO176" s="202"/>
      <c r="BP176" s="202"/>
      <c r="BQ176" s="202"/>
      <c r="BR176" s="202"/>
      <c r="BS176" s="202"/>
      <c r="BT176" s="202"/>
      <c r="BU176" s="202"/>
      <c r="BV176" s="202"/>
      <c r="BW176" s="202"/>
      <c r="BX176" s="202"/>
      <c r="BY176" s="202"/>
      <c r="BZ176" s="202"/>
      <c r="CA176" s="202"/>
      <c r="CB176" s="202"/>
      <c r="CC176" s="202"/>
      <c r="CD176" s="202"/>
      <c r="CE176" s="202"/>
      <c r="CF176" s="202"/>
      <c r="CG176" s="202"/>
      <c r="CH176" s="202"/>
      <c r="CI176" s="121"/>
      <c r="CJ176" s="121"/>
      <c r="CK176" s="121"/>
      <c r="CL176" s="121"/>
      <c r="CM176" s="121"/>
      <c r="CN176" s="121"/>
      <c r="CO176" s="121"/>
      <c r="CP176" s="121"/>
      <c r="CQ176" s="121"/>
      <c r="CR176" s="121"/>
      <c r="CS176" s="121"/>
      <c r="CT176" s="121"/>
      <c r="CU176" s="199"/>
      <c r="CV176" s="199"/>
      <c r="CW176" s="205"/>
      <c r="CX176" s="132"/>
      <c r="CY176" s="132"/>
      <c r="CZ176" s="132"/>
      <c r="DA176" s="132"/>
      <c r="DB176" s="132"/>
      <c r="DC176" s="132"/>
      <c r="DD176" s="132"/>
      <c r="DE176" s="103"/>
      <c r="DF176" s="103">
        <v>6</v>
      </c>
      <c r="DG176" s="103">
        <v>6</v>
      </c>
      <c r="DH176" s="103">
        <v>6</v>
      </c>
      <c r="DI176" s="103">
        <v>6</v>
      </c>
      <c r="DJ176" s="103">
        <v>6</v>
      </c>
      <c r="DK176" s="130"/>
      <c r="DL176" s="130"/>
      <c r="DM176" s="130"/>
      <c r="DN176" s="132"/>
      <c r="DO176" s="132"/>
    </row>
    <row r="177" ht="26.25" customHeight="1" spans="1:119">
      <c r="A177" s="131">
        <v>43938</v>
      </c>
      <c r="B177" s="99" t="s">
        <v>13342</v>
      </c>
      <c r="C177" s="234">
        <v>4500029531</v>
      </c>
      <c r="D177" s="134" t="s">
        <v>13425</v>
      </c>
      <c r="E177" s="221" t="s">
        <v>13426</v>
      </c>
      <c r="F177" s="136" t="s">
        <v>13427</v>
      </c>
      <c r="G177" s="137" t="s">
        <v>13410</v>
      </c>
      <c r="H177" s="132">
        <v>1</v>
      </c>
      <c r="I177" s="132"/>
      <c r="J177" s="132"/>
      <c r="K177" s="132"/>
      <c r="L177" s="139"/>
      <c r="M177" s="140"/>
      <c r="N177" s="141"/>
      <c r="O177" s="141"/>
      <c r="P177" s="142"/>
      <c r="Q177" s="141"/>
      <c r="R177" s="141"/>
      <c r="S177" s="141"/>
      <c r="T177" s="141"/>
      <c r="U177" s="142"/>
      <c r="V177" s="227"/>
      <c r="W177" s="227"/>
      <c r="X177" s="228"/>
      <c r="Y177" s="199"/>
      <c r="Z177" s="199"/>
      <c r="AA177" s="199"/>
      <c r="AB177" s="199"/>
      <c r="AC177" s="63"/>
      <c r="AD177" s="229"/>
      <c r="AE177" s="229"/>
      <c r="AF177" s="229"/>
      <c r="AG177" s="229"/>
      <c r="AH177" s="229"/>
      <c r="AI177" s="229"/>
      <c r="AJ177" s="229"/>
      <c r="AK177" s="229"/>
      <c r="AL177" s="229"/>
      <c r="AM177" s="229"/>
      <c r="AN177" s="229"/>
      <c r="AO177" s="229"/>
      <c r="AP177" s="229"/>
      <c r="AQ177" s="229"/>
      <c r="AR177" s="229"/>
      <c r="AS177" s="229"/>
      <c r="AT177" s="229"/>
      <c r="AU177" s="229"/>
      <c r="AV177" s="229"/>
      <c r="AW177" s="229"/>
      <c r="AX177" s="229"/>
      <c r="AY177" s="229"/>
      <c r="AZ177" s="229"/>
      <c r="BA177" s="229"/>
      <c r="BB177" s="229"/>
      <c r="BC177" s="229"/>
      <c r="BD177" s="229"/>
      <c r="BE177" s="227"/>
      <c r="BF177" s="227"/>
      <c r="BG177" s="227"/>
      <c r="BH177" s="227"/>
      <c r="BI177" s="133"/>
      <c r="BJ177" s="202"/>
      <c r="BK177" s="202"/>
      <c r="BL177" s="202"/>
      <c r="BM177" s="202"/>
      <c r="BN177" s="202"/>
      <c r="BO177" s="202"/>
      <c r="BP177" s="202"/>
      <c r="BQ177" s="202"/>
      <c r="BR177" s="202"/>
      <c r="BS177" s="202"/>
      <c r="BT177" s="202"/>
      <c r="BU177" s="202"/>
      <c r="BV177" s="202"/>
      <c r="BW177" s="202"/>
      <c r="BX177" s="202"/>
      <c r="BY177" s="202"/>
      <c r="BZ177" s="202"/>
      <c r="CA177" s="202"/>
      <c r="CB177" s="202"/>
      <c r="CC177" s="202"/>
      <c r="CD177" s="202"/>
      <c r="CE177" s="202"/>
      <c r="CF177" s="202"/>
      <c r="CG177" s="202"/>
      <c r="CH177" s="202"/>
      <c r="CI177" s="121"/>
      <c r="CJ177" s="121"/>
      <c r="CK177" s="121"/>
      <c r="CL177" s="121"/>
      <c r="CM177" s="121"/>
      <c r="CN177" s="121"/>
      <c r="CO177" s="121"/>
      <c r="CP177" s="121"/>
      <c r="CQ177" s="121"/>
      <c r="CR177" s="121"/>
      <c r="CS177" s="121"/>
      <c r="CT177" s="121"/>
      <c r="CU177" s="199"/>
      <c r="CV177" s="199"/>
      <c r="CW177" s="205"/>
      <c r="CX177" s="132"/>
      <c r="CY177" s="132"/>
      <c r="CZ177" s="132"/>
      <c r="DA177" s="132">
        <v>1</v>
      </c>
      <c r="DB177" s="132"/>
      <c r="DC177" s="132"/>
      <c r="DD177" s="132"/>
      <c r="DE177" s="103"/>
      <c r="DF177" s="103"/>
      <c r="DG177" s="103"/>
      <c r="DH177" s="103"/>
      <c r="DI177" s="103"/>
      <c r="DJ177" s="103"/>
      <c r="DK177" s="130"/>
      <c r="DL177" s="130"/>
      <c r="DM177" s="130"/>
      <c r="DN177" s="132"/>
      <c r="DO177" s="132"/>
    </row>
    <row r="178" ht="26.25" customHeight="1" spans="1:119">
      <c r="A178" s="131">
        <v>43938</v>
      </c>
      <c r="B178" s="99" t="s">
        <v>11739</v>
      </c>
      <c r="C178" s="234">
        <v>4500029269</v>
      </c>
      <c r="D178" s="215" t="s">
        <v>13428</v>
      </c>
      <c r="E178" s="206" t="s">
        <v>13320</v>
      </c>
      <c r="F178" s="100" t="s">
        <v>13390</v>
      </c>
      <c r="G178" s="137" t="s">
        <v>13276</v>
      </c>
      <c r="H178" s="132">
        <v>12</v>
      </c>
      <c r="I178" s="132"/>
      <c r="J178" s="132"/>
      <c r="K178" s="132"/>
      <c r="L178" s="139"/>
      <c r="M178" s="140"/>
      <c r="N178" s="141"/>
      <c r="O178" s="141"/>
      <c r="P178" s="142"/>
      <c r="Q178" s="141"/>
      <c r="R178" s="141"/>
      <c r="S178" s="141"/>
      <c r="T178" s="141"/>
      <c r="U178" s="142"/>
      <c r="V178" s="227"/>
      <c r="W178" s="227"/>
      <c r="X178" s="228"/>
      <c r="Y178" s="199"/>
      <c r="Z178" s="199"/>
      <c r="AA178" s="199"/>
      <c r="AB178" s="199"/>
      <c r="AC178" s="63"/>
      <c r="AD178" s="229"/>
      <c r="AE178" s="229"/>
      <c r="AF178" s="229"/>
      <c r="AG178" s="229"/>
      <c r="AH178" s="229"/>
      <c r="AI178" s="229"/>
      <c r="AJ178" s="229"/>
      <c r="AK178" s="229"/>
      <c r="AL178" s="229"/>
      <c r="AM178" s="229"/>
      <c r="AN178" s="229"/>
      <c r="AO178" s="229"/>
      <c r="AP178" s="229"/>
      <c r="AQ178" s="229"/>
      <c r="AR178" s="229"/>
      <c r="AS178" s="229"/>
      <c r="AT178" s="229"/>
      <c r="AU178" s="229"/>
      <c r="AV178" s="229"/>
      <c r="AW178" s="229"/>
      <c r="AX178" s="229"/>
      <c r="AY178" s="229"/>
      <c r="AZ178" s="229"/>
      <c r="BA178" s="229"/>
      <c r="BB178" s="229"/>
      <c r="BC178" s="229"/>
      <c r="BD178" s="229"/>
      <c r="BE178" s="227"/>
      <c r="BF178" s="227"/>
      <c r="BG178" s="227"/>
      <c r="BH178" s="227"/>
      <c r="BI178" s="133"/>
      <c r="BJ178" s="202"/>
      <c r="BK178" s="202"/>
      <c r="BL178" s="202"/>
      <c r="BM178" s="202"/>
      <c r="BN178" s="202"/>
      <c r="BO178" s="202"/>
      <c r="BP178" s="202"/>
      <c r="BQ178" s="202"/>
      <c r="BR178" s="202"/>
      <c r="BS178" s="202"/>
      <c r="BT178" s="202"/>
      <c r="BU178" s="202"/>
      <c r="BV178" s="202"/>
      <c r="BW178" s="202"/>
      <c r="BX178" s="202"/>
      <c r="BY178" s="202"/>
      <c r="BZ178" s="202"/>
      <c r="CA178" s="202"/>
      <c r="CB178" s="202"/>
      <c r="CC178" s="202"/>
      <c r="CD178" s="202"/>
      <c r="CE178" s="202"/>
      <c r="CF178" s="202"/>
      <c r="CG178" s="202"/>
      <c r="CH178" s="202"/>
      <c r="CI178" s="121"/>
      <c r="CJ178" s="121"/>
      <c r="CK178" s="121"/>
      <c r="CL178" s="121"/>
      <c r="CM178" s="121"/>
      <c r="CN178" s="121"/>
      <c r="CO178" s="121">
        <v>2</v>
      </c>
      <c r="CP178" s="121">
        <v>2</v>
      </c>
      <c r="CQ178" s="121">
        <v>2</v>
      </c>
      <c r="CR178" s="121">
        <v>2</v>
      </c>
      <c r="CS178" s="121">
        <v>2</v>
      </c>
      <c r="CT178" s="121">
        <v>2</v>
      </c>
      <c r="CU178" s="199"/>
      <c r="CV178" s="199"/>
      <c r="CW178" s="205"/>
      <c r="CX178" s="132"/>
      <c r="CY178" s="132"/>
      <c r="CZ178" s="132"/>
      <c r="DA178" s="132"/>
      <c r="DB178" s="132"/>
      <c r="DC178" s="132"/>
      <c r="DD178" s="132"/>
      <c r="DE178" s="103"/>
      <c r="DF178" s="103"/>
      <c r="DG178" s="103"/>
      <c r="DH178" s="103"/>
      <c r="DI178" s="103"/>
      <c r="DJ178" s="103"/>
      <c r="DK178" s="130"/>
      <c r="DL178" s="130"/>
      <c r="DM178" s="130"/>
      <c r="DN178" s="132"/>
      <c r="DO178" s="132"/>
    </row>
    <row r="179" ht="26.25" customHeight="1" spans="1:119">
      <c r="A179" s="131">
        <v>43939</v>
      </c>
      <c r="B179" s="99" t="s">
        <v>13429</v>
      </c>
      <c r="C179" s="235" t="s">
        <v>13430</v>
      </c>
      <c r="D179" s="215" t="s">
        <v>13333</v>
      </c>
      <c r="E179" s="206" t="s">
        <v>13431</v>
      </c>
      <c r="F179" s="100">
        <v>9209</v>
      </c>
      <c r="G179" s="137" t="s">
        <v>13182</v>
      </c>
      <c r="H179" s="132">
        <v>1</v>
      </c>
      <c r="I179" s="132"/>
      <c r="J179" s="132"/>
      <c r="K179" s="132"/>
      <c r="L179" s="139"/>
      <c r="M179" s="140"/>
      <c r="N179" s="141"/>
      <c r="O179" s="141"/>
      <c r="P179" s="142"/>
      <c r="Q179" s="141"/>
      <c r="R179" s="141"/>
      <c r="S179" s="141"/>
      <c r="T179" s="141"/>
      <c r="U179" s="142"/>
      <c r="V179" s="227"/>
      <c r="W179" s="227"/>
      <c r="X179" s="228"/>
      <c r="Y179" s="199"/>
      <c r="Z179" s="199"/>
      <c r="AA179" s="199"/>
      <c r="AB179" s="199"/>
      <c r="AC179" s="63"/>
      <c r="AD179" s="229"/>
      <c r="AE179" s="229"/>
      <c r="AF179" s="229"/>
      <c r="AG179" s="229"/>
      <c r="AH179" s="229"/>
      <c r="AI179" s="229"/>
      <c r="AJ179" s="229"/>
      <c r="AK179" s="229"/>
      <c r="AL179" s="229"/>
      <c r="AM179" s="229"/>
      <c r="AN179" s="229"/>
      <c r="AO179" s="229"/>
      <c r="AP179" s="229"/>
      <c r="AQ179" s="229"/>
      <c r="AR179" s="229"/>
      <c r="AS179" s="229"/>
      <c r="AT179" s="229"/>
      <c r="AU179" s="229"/>
      <c r="AV179" s="229"/>
      <c r="AW179" s="229"/>
      <c r="AX179" s="229"/>
      <c r="AY179" s="229"/>
      <c r="AZ179" s="229"/>
      <c r="BA179" s="229"/>
      <c r="BB179" s="229"/>
      <c r="BC179" s="229"/>
      <c r="BD179" s="229"/>
      <c r="BE179" s="227"/>
      <c r="BF179" s="227"/>
      <c r="BG179" s="227"/>
      <c r="BH179" s="227"/>
      <c r="BI179" s="133"/>
      <c r="BJ179" s="202"/>
      <c r="BK179" s="202"/>
      <c r="BL179" s="202"/>
      <c r="BM179" s="202"/>
      <c r="BN179" s="202"/>
      <c r="BO179" s="202"/>
      <c r="BP179" s="202"/>
      <c r="BQ179" s="202"/>
      <c r="BR179" s="202"/>
      <c r="BS179" s="202"/>
      <c r="BT179" s="202"/>
      <c r="BU179" s="202"/>
      <c r="BV179" s="202"/>
      <c r="BW179" s="202"/>
      <c r="BX179" s="202"/>
      <c r="BY179" s="202"/>
      <c r="BZ179" s="202"/>
      <c r="CA179" s="202"/>
      <c r="CB179" s="202"/>
      <c r="CC179" s="202"/>
      <c r="CD179" s="202"/>
      <c r="CE179" s="202"/>
      <c r="CF179" s="202"/>
      <c r="CG179" s="202"/>
      <c r="CH179" s="202"/>
      <c r="CI179" s="121"/>
      <c r="CJ179" s="121"/>
      <c r="CK179" s="121"/>
      <c r="CL179" s="121"/>
      <c r="CM179" s="121"/>
      <c r="CN179" s="121"/>
      <c r="CO179" s="121"/>
      <c r="CP179" s="121"/>
      <c r="CQ179" s="121"/>
      <c r="CR179" s="121"/>
      <c r="CS179" s="121"/>
      <c r="CT179" s="121"/>
      <c r="CU179" s="199"/>
      <c r="CV179" s="199"/>
      <c r="CW179" s="205">
        <v>1</v>
      </c>
      <c r="CX179" s="132"/>
      <c r="CY179" s="132"/>
      <c r="CZ179" s="132"/>
      <c r="DA179" s="132"/>
      <c r="DB179" s="132"/>
      <c r="DC179" s="132"/>
      <c r="DD179" s="132"/>
      <c r="DE179" s="103"/>
      <c r="DF179" s="103"/>
      <c r="DG179" s="103"/>
      <c r="DH179" s="103"/>
      <c r="DI179" s="103"/>
      <c r="DJ179" s="103"/>
      <c r="DK179" s="130"/>
      <c r="DL179" s="130"/>
      <c r="DM179" s="130"/>
      <c r="DN179" s="132"/>
      <c r="DO179" s="132"/>
    </row>
    <row r="180" ht="26.25" customHeight="1" spans="1:119">
      <c r="A180" s="131">
        <v>43939</v>
      </c>
      <c r="B180" s="99" t="s">
        <v>13429</v>
      </c>
      <c r="C180" s="235" t="s">
        <v>13430</v>
      </c>
      <c r="D180" s="215" t="s">
        <v>13333</v>
      </c>
      <c r="E180" s="206" t="s">
        <v>13431</v>
      </c>
      <c r="F180" s="100">
        <v>9202</v>
      </c>
      <c r="G180" s="218" t="s">
        <v>13268</v>
      </c>
      <c r="H180" s="132">
        <v>1</v>
      </c>
      <c r="I180" s="132"/>
      <c r="J180" s="132"/>
      <c r="K180" s="132"/>
      <c r="L180" s="139"/>
      <c r="M180" s="140"/>
      <c r="N180" s="141"/>
      <c r="O180" s="141"/>
      <c r="P180" s="142"/>
      <c r="Q180" s="141"/>
      <c r="R180" s="141"/>
      <c r="S180" s="141"/>
      <c r="T180" s="141"/>
      <c r="U180" s="142"/>
      <c r="V180" s="227"/>
      <c r="W180" s="227"/>
      <c r="X180" s="228"/>
      <c r="Y180" s="199"/>
      <c r="Z180" s="199"/>
      <c r="AA180" s="199"/>
      <c r="AB180" s="199"/>
      <c r="AC180" s="63"/>
      <c r="AD180" s="229"/>
      <c r="AE180" s="229"/>
      <c r="AF180" s="229"/>
      <c r="AG180" s="229"/>
      <c r="AH180" s="229"/>
      <c r="AI180" s="229"/>
      <c r="AJ180" s="229"/>
      <c r="AK180" s="229"/>
      <c r="AL180" s="229"/>
      <c r="AM180" s="229"/>
      <c r="AN180" s="229"/>
      <c r="AO180" s="229"/>
      <c r="AP180" s="229"/>
      <c r="AQ180" s="229"/>
      <c r="AR180" s="229"/>
      <c r="AS180" s="229"/>
      <c r="AT180" s="229"/>
      <c r="AU180" s="229"/>
      <c r="AV180" s="229"/>
      <c r="AW180" s="229"/>
      <c r="AX180" s="229"/>
      <c r="AY180" s="229"/>
      <c r="AZ180" s="229"/>
      <c r="BA180" s="229"/>
      <c r="BB180" s="229"/>
      <c r="BC180" s="229"/>
      <c r="BD180" s="229"/>
      <c r="BE180" s="227"/>
      <c r="BF180" s="227"/>
      <c r="BG180" s="227"/>
      <c r="BH180" s="227"/>
      <c r="BI180" s="133"/>
      <c r="BJ180" s="202"/>
      <c r="BK180" s="202"/>
      <c r="BL180" s="202"/>
      <c r="BM180" s="202"/>
      <c r="BN180" s="202"/>
      <c r="BO180" s="202"/>
      <c r="BP180" s="202"/>
      <c r="BQ180" s="202"/>
      <c r="BR180" s="202"/>
      <c r="BS180" s="202"/>
      <c r="BT180" s="202"/>
      <c r="BU180" s="202"/>
      <c r="BV180" s="202"/>
      <c r="BW180" s="202"/>
      <c r="BX180" s="202"/>
      <c r="BY180" s="202"/>
      <c r="BZ180" s="202"/>
      <c r="CA180" s="202"/>
      <c r="CB180" s="202">
        <v>1</v>
      </c>
      <c r="CC180" s="202"/>
      <c r="CD180" s="202"/>
      <c r="CE180" s="202"/>
      <c r="CF180" s="202"/>
      <c r="CG180" s="202"/>
      <c r="CH180" s="202"/>
      <c r="CI180" s="121"/>
      <c r="CJ180" s="121"/>
      <c r="CK180" s="121"/>
      <c r="CL180" s="121"/>
      <c r="CM180" s="121"/>
      <c r="CN180" s="121"/>
      <c r="CO180" s="121"/>
      <c r="CP180" s="121"/>
      <c r="CQ180" s="121"/>
      <c r="CR180" s="121"/>
      <c r="CS180" s="121"/>
      <c r="CT180" s="121"/>
      <c r="CU180" s="199"/>
      <c r="CV180" s="199"/>
      <c r="CW180" s="205"/>
      <c r="CX180" s="132"/>
      <c r="CY180" s="132"/>
      <c r="CZ180" s="132"/>
      <c r="DA180" s="132"/>
      <c r="DB180" s="132"/>
      <c r="DC180" s="132"/>
      <c r="DD180" s="132"/>
      <c r="DE180" s="103"/>
      <c r="DF180" s="103"/>
      <c r="DG180" s="103"/>
      <c r="DH180" s="103"/>
      <c r="DI180" s="103"/>
      <c r="DJ180" s="103"/>
      <c r="DK180" s="130"/>
      <c r="DL180" s="130"/>
      <c r="DM180" s="130"/>
      <c r="DN180" s="132"/>
      <c r="DO180" s="132"/>
    </row>
    <row r="181" ht="26.25" customHeight="1" spans="1:119">
      <c r="A181" s="131">
        <v>43944</v>
      </c>
      <c r="B181" s="100" t="s">
        <v>13313</v>
      </c>
      <c r="C181" s="100">
        <v>4500029977</v>
      </c>
      <c r="D181" s="206" t="s">
        <v>13215</v>
      </c>
      <c r="E181" s="206" t="s">
        <v>13320</v>
      </c>
      <c r="F181" s="136" t="s">
        <v>13432</v>
      </c>
      <c r="G181" s="137" t="s">
        <v>13410</v>
      </c>
      <c r="H181" s="132">
        <v>18</v>
      </c>
      <c r="I181" s="132"/>
      <c r="J181" s="132"/>
      <c r="K181" s="132"/>
      <c r="L181" s="139"/>
      <c r="M181" s="140"/>
      <c r="N181" s="141"/>
      <c r="O181" s="141"/>
      <c r="P181" s="142"/>
      <c r="Q181" s="141"/>
      <c r="R181" s="141"/>
      <c r="S181" s="141"/>
      <c r="T181" s="141"/>
      <c r="U181" s="142"/>
      <c r="V181" s="227"/>
      <c r="W181" s="227"/>
      <c r="X181" s="228"/>
      <c r="Y181" s="199"/>
      <c r="Z181" s="199"/>
      <c r="AA181" s="199"/>
      <c r="AB181" s="199"/>
      <c r="AC181" s="63"/>
      <c r="AD181" s="229"/>
      <c r="AE181" s="229"/>
      <c r="AF181" s="229"/>
      <c r="AG181" s="229"/>
      <c r="AH181" s="229"/>
      <c r="AI181" s="229"/>
      <c r="AJ181" s="229"/>
      <c r="AK181" s="229"/>
      <c r="AL181" s="229"/>
      <c r="AM181" s="229"/>
      <c r="AN181" s="229"/>
      <c r="AO181" s="229"/>
      <c r="AP181" s="229"/>
      <c r="AQ181" s="229"/>
      <c r="AR181" s="229"/>
      <c r="AS181" s="229"/>
      <c r="AT181" s="229"/>
      <c r="AU181" s="229"/>
      <c r="AV181" s="229"/>
      <c r="AW181" s="229"/>
      <c r="AX181" s="229"/>
      <c r="AY181" s="229"/>
      <c r="AZ181" s="229"/>
      <c r="BA181" s="229"/>
      <c r="BB181" s="229"/>
      <c r="BC181" s="229"/>
      <c r="BD181" s="229"/>
      <c r="BE181" s="227"/>
      <c r="BF181" s="227"/>
      <c r="BG181" s="227"/>
      <c r="BH181" s="227"/>
      <c r="BI181" s="133"/>
      <c r="BJ181" s="202"/>
      <c r="BK181" s="202"/>
      <c r="BL181" s="202"/>
      <c r="BM181" s="202"/>
      <c r="BN181" s="202"/>
      <c r="BO181" s="202"/>
      <c r="BP181" s="202"/>
      <c r="BQ181" s="202"/>
      <c r="BR181" s="202"/>
      <c r="BS181" s="202"/>
      <c r="BT181" s="202"/>
      <c r="BU181" s="202"/>
      <c r="BV181" s="202"/>
      <c r="BW181" s="202"/>
      <c r="BX181" s="202"/>
      <c r="BY181" s="202"/>
      <c r="BZ181" s="202"/>
      <c r="CA181" s="202"/>
      <c r="CB181" s="202"/>
      <c r="CC181" s="202"/>
      <c r="CD181" s="202"/>
      <c r="CE181" s="202"/>
      <c r="CF181" s="202"/>
      <c r="CG181" s="202"/>
      <c r="CH181" s="202"/>
      <c r="CI181" s="121"/>
      <c r="CJ181" s="121"/>
      <c r="CK181" s="121"/>
      <c r="CL181" s="121"/>
      <c r="CM181" s="121"/>
      <c r="CN181" s="121"/>
      <c r="CO181" s="121"/>
      <c r="CP181" s="121"/>
      <c r="CQ181" s="121"/>
      <c r="CR181" s="121"/>
      <c r="CS181" s="121"/>
      <c r="CT181" s="121"/>
      <c r="CU181" s="199"/>
      <c r="CV181" s="199"/>
      <c r="CW181" s="205"/>
      <c r="CX181" s="132"/>
      <c r="CY181" s="132">
        <v>3</v>
      </c>
      <c r="CZ181" s="132">
        <v>3</v>
      </c>
      <c r="DA181" s="132">
        <v>3</v>
      </c>
      <c r="DB181" s="132">
        <v>3</v>
      </c>
      <c r="DC181" s="132">
        <v>3</v>
      </c>
      <c r="DD181" s="132">
        <v>3</v>
      </c>
      <c r="DE181" s="103"/>
      <c r="DF181" s="103"/>
      <c r="DG181" s="103"/>
      <c r="DH181" s="103"/>
      <c r="DI181" s="103"/>
      <c r="DJ181" s="103"/>
      <c r="DK181" s="130"/>
      <c r="DL181" s="130"/>
      <c r="DM181" s="130"/>
      <c r="DN181" s="132"/>
      <c r="DO181" s="132"/>
    </row>
    <row r="182" ht="26.25" customHeight="1" spans="1:119">
      <c r="A182" s="131">
        <v>43945</v>
      </c>
      <c r="B182" s="100" t="s">
        <v>13253</v>
      </c>
      <c r="C182" s="100">
        <v>4500029262</v>
      </c>
      <c r="D182" s="206" t="s">
        <v>13325</v>
      </c>
      <c r="E182" s="206" t="s">
        <v>13433</v>
      </c>
      <c r="F182" s="136" t="s">
        <v>13434</v>
      </c>
      <c r="G182" s="137" t="s">
        <v>13177</v>
      </c>
      <c r="H182" s="132">
        <v>2</v>
      </c>
      <c r="I182" s="132"/>
      <c r="J182" s="132"/>
      <c r="K182" s="132"/>
      <c r="L182" s="139"/>
      <c r="M182" s="140"/>
      <c r="N182" s="141"/>
      <c r="O182" s="141"/>
      <c r="P182" s="142"/>
      <c r="Q182" s="141"/>
      <c r="R182" s="141"/>
      <c r="S182" s="141"/>
      <c r="T182" s="141"/>
      <c r="U182" s="142"/>
      <c r="V182" s="227"/>
      <c r="W182" s="227"/>
      <c r="X182" s="228"/>
      <c r="Y182" s="199"/>
      <c r="Z182" s="199"/>
      <c r="AA182" s="199"/>
      <c r="AB182" s="199"/>
      <c r="AC182" s="63"/>
      <c r="AD182" s="229"/>
      <c r="AE182" s="229"/>
      <c r="AF182" s="229"/>
      <c r="AG182" s="229"/>
      <c r="AH182" s="229"/>
      <c r="AI182" s="229"/>
      <c r="AJ182" s="229"/>
      <c r="AK182" s="229"/>
      <c r="AL182" s="229"/>
      <c r="AM182" s="229"/>
      <c r="AN182" s="229"/>
      <c r="AO182" s="229"/>
      <c r="AP182" s="229"/>
      <c r="AQ182" s="229"/>
      <c r="AR182" s="229"/>
      <c r="AS182" s="229"/>
      <c r="AT182" s="229"/>
      <c r="AU182" s="229"/>
      <c r="AV182" s="229"/>
      <c r="AW182" s="229"/>
      <c r="AX182" s="229"/>
      <c r="AY182" s="229"/>
      <c r="AZ182" s="229"/>
      <c r="BA182" s="229"/>
      <c r="BB182" s="229"/>
      <c r="BC182" s="229"/>
      <c r="BD182" s="229"/>
      <c r="BE182" s="227"/>
      <c r="BF182" s="227"/>
      <c r="BG182" s="227"/>
      <c r="BH182" s="227"/>
      <c r="BI182" s="133"/>
      <c r="BJ182" s="202"/>
      <c r="BK182" s="202"/>
      <c r="BL182" s="202"/>
      <c r="BM182" s="202"/>
      <c r="BN182" s="202"/>
      <c r="BO182" s="202"/>
      <c r="BP182" s="202"/>
      <c r="BQ182" s="202"/>
      <c r="BR182" s="202"/>
      <c r="BS182" s="202"/>
      <c r="BT182" s="202"/>
      <c r="BU182" s="202"/>
      <c r="BV182" s="202"/>
      <c r="BW182" s="202"/>
      <c r="BX182" s="202"/>
      <c r="BY182" s="202"/>
      <c r="BZ182" s="202"/>
      <c r="CA182" s="202"/>
      <c r="CB182" s="202"/>
      <c r="CC182" s="202"/>
      <c r="CD182" s="202"/>
      <c r="CE182" s="202"/>
      <c r="CF182" s="202"/>
      <c r="CG182" s="202"/>
      <c r="CH182" s="202"/>
      <c r="CI182" s="121"/>
      <c r="CJ182" s="121"/>
      <c r="CK182" s="121"/>
      <c r="CL182" s="121"/>
      <c r="CM182" s="121"/>
      <c r="CN182" s="121"/>
      <c r="CO182" s="121"/>
      <c r="CP182" s="121"/>
      <c r="CQ182" s="121"/>
      <c r="CR182" s="121"/>
      <c r="CS182" s="121"/>
      <c r="CT182" s="121"/>
      <c r="CU182" s="199"/>
      <c r="CV182" s="199"/>
      <c r="CW182" s="205"/>
      <c r="CX182" s="132"/>
      <c r="CY182" s="132"/>
      <c r="CZ182" s="132"/>
      <c r="DA182" s="132"/>
      <c r="DB182" s="132"/>
      <c r="DC182" s="132"/>
      <c r="DD182" s="132"/>
      <c r="DE182" s="103"/>
      <c r="DF182" s="103"/>
      <c r="DG182" s="103"/>
      <c r="DH182" s="103"/>
      <c r="DI182" s="103"/>
      <c r="DJ182" s="103"/>
      <c r="DK182" s="130"/>
      <c r="DL182" s="130"/>
      <c r="DM182" s="130"/>
      <c r="DN182" s="132">
        <v>2</v>
      </c>
      <c r="DO182" s="132"/>
    </row>
    <row r="183" ht="26.25" customHeight="1" spans="1:119">
      <c r="A183" s="131">
        <v>43945</v>
      </c>
      <c r="B183" s="100" t="s">
        <v>13253</v>
      </c>
      <c r="C183" s="100">
        <v>4500029262</v>
      </c>
      <c r="D183" s="206" t="s">
        <v>13325</v>
      </c>
      <c r="E183" s="206" t="s">
        <v>13433</v>
      </c>
      <c r="F183" s="136" t="s">
        <v>13435</v>
      </c>
      <c r="G183" s="137" t="s">
        <v>13178</v>
      </c>
      <c r="H183" s="132">
        <v>2</v>
      </c>
      <c r="I183" s="132"/>
      <c r="J183" s="132"/>
      <c r="K183" s="132"/>
      <c r="L183" s="139"/>
      <c r="M183" s="140"/>
      <c r="N183" s="141"/>
      <c r="O183" s="141"/>
      <c r="P183" s="142"/>
      <c r="Q183" s="141"/>
      <c r="R183" s="141"/>
      <c r="S183" s="141"/>
      <c r="T183" s="141"/>
      <c r="U183" s="142"/>
      <c r="V183" s="227"/>
      <c r="W183" s="227"/>
      <c r="X183" s="228"/>
      <c r="Y183" s="199"/>
      <c r="Z183" s="199"/>
      <c r="AA183" s="199"/>
      <c r="AB183" s="199"/>
      <c r="AC183" s="63"/>
      <c r="AD183" s="229"/>
      <c r="AE183" s="229"/>
      <c r="AF183" s="229"/>
      <c r="AG183" s="229"/>
      <c r="AH183" s="229"/>
      <c r="AI183" s="229"/>
      <c r="AJ183" s="229"/>
      <c r="AK183" s="229"/>
      <c r="AL183" s="229"/>
      <c r="AM183" s="229"/>
      <c r="AN183" s="229"/>
      <c r="AO183" s="229"/>
      <c r="AP183" s="229"/>
      <c r="AQ183" s="229"/>
      <c r="AR183" s="229"/>
      <c r="AS183" s="229"/>
      <c r="AT183" s="229"/>
      <c r="AU183" s="229"/>
      <c r="AV183" s="229"/>
      <c r="AW183" s="229"/>
      <c r="AX183" s="229"/>
      <c r="AY183" s="229"/>
      <c r="AZ183" s="229"/>
      <c r="BA183" s="229"/>
      <c r="BB183" s="229"/>
      <c r="BC183" s="229"/>
      <c r="BD183" s="229"/>
      <c r="BE183" s="227"/>
      <c r="BF183" s="227"/>
      <c r="BG183" s="227"/>
      <c r="BH183" s="227"/>
      <c r="BI183" s="133"/>
      <c r="BJ183" s="202"/>
      <c r="BK183" s="202"/>
      <c r="BL183" s="202"/>
      <c r="BM183" s="202"/>
      <c r="BN183" s="202"/>
      <c r="BO183" s="202"/>
      <c r="BP183" s="202"/>
      <c r="BQ183" s="202"/>
      <c r="BR183" s="202"/>
      <c r="BS183" s="202"/>
      <c r="BT183" s="202"/>
      <c r="BU183" s="202"/>
      <c r="BV183" s="202"/>
      <c r="BW183" s="202"/>
      <c r="BX183" s="202"/>
      <c r="BY183" s="202"/>
      <c r="BZ183" s="202"/>
      <c r="CA183" s="202"/>
      <c r="CB183" s="202"/>
      <c r="CC183" s="202"/>
      <c r="CD183" s="202"/>
      <c r="CE183" s="202"/>
      <c r="CF183" s="202"/>
      <c r="CG183" s="202"/>
      <c r="CH183" s="202"/>
      <c r="CI183" s="121"/>
      <c r="CJ183" s="121"/>
      <c r="CK183" s="121"/>
      <c r="CL183" s="121"/>
      <c r="CM183" s="121"/>
      <c r="CN183" s="121"/>
      <c r="CO183" s="121"/>
      <c r="CP183" s="121"/>
      <c r="CQ183" s="121"/>
      <c r="CR183" s="121"/>
      <c r="CS183" s="121"/>
      <c r="CT183" s="121"/>
      <c r="CU183" s="199"/>
      <c r="CV183" s="199"/>
      <c r="CW183" s="205"/>
      <c r="CX183" s="132"/>
      <c r="CY183" s="132"/>
      <c r="CZ183" s="132"/>
      <c r="DA183" s="132"/>
      <c r="DB183" s="132"/>
      <c r="DC183" s="132"/>
      <c r="DD183" s="132"/>
      <c r="DE183" s="103"/>
      <c r="DF183" s="103"/>
      <c r="DG183" s="103"/>
      <c r="DH183" s="103"/>
      <c r="DI183" s="103"/>
      <c r="DJ183" s="103"/>
      <c r="DK183" s="130"/>
      <c r="DL183" s="130"/>
      <c r="DM183" s="130"/>
      <c r="DN183" s="132"/>
      <c r="DO183" s="132">
        <v>2</v>
      </c>
    </row>
    <row r="184" ht="26.25" customHeight="1" spans="1:119">
      <c r="A184" s="131">
        <v>43945</v>
      </c>
      <c r="B184" s="100" t="s">
        <v>13253</v>
      </c>
      <c r="C184" s="100">
        <v>4500029262</v>
      </c>
      <c r="D184" s="206" t="s">
        <v>13325</v>
      </c>
      <c r="E184" s="206" t="s">
        <v>13433</v>
      </c>
      <c r="F184" s="136">
        <v>9212</v>
      </c>
      <c r="G184" s="137" t="s">
        <v>13424</v>
      </c>
      <c r="H184" s="132">
        <v>2</v>
      </c>
      <c r="I184" s="132"/>
      <c r="J184" s="132"/>
      <c r="K184" s="132"/>
      <c r="L184" s="139"/>
      <c r="M184" s="140"/>
      <c r="N184" s="141"/>
      <c r="O184" s="141"/>
      <c r="P184" s="142"/>
      <c r="Q184" s="141"/>
      <c r="R184" s="141"/>
      <c r="S184" s="141"/>
      <c r="T184" s="141"/>
      <c r="U184" s="142"/>
      <c r="V184" s="227"/>
      <c r="W184" s="227"/>
      <c r="X184" s="228"/>
      <c r="Y184" s="199"/>
      <c r="Z184" s="199"/>
      <c r="AA184" s="199"/>
      <c r="AB184" s="199"/>
      <c r="AC184" s="63"/>
      <c r="AD184" s="229"/>
      <c r="AE184" s="229"/>
      <c r="AF184" s="229"/>
      <c r="AG184" s="229"/>
      <c r="AH184" s="229"/>
      <c r="AI184" s="229"/>
      <c r="AJ184" s="229"/>
      <c r="AK184" s="229"/>
      <c r="AL184" s="229"/>
      <c r="AM184" s="229"/>
      <c r="AN184" s="229"/>
      <c r="AO184" s="229"/>
      <c r="AP184" s="229"/>
      <c r="AQ184" s="229"/>
      <c r="AR184" s="229"/>
      <c r="AS184" s="229"/>
      <c r="AT184" s="229"/>
      <c r="AU184" s="229"/>
      <c r="AV184" s="229"/>
      <c r="AW184" s="229"/>
      <c r="AX184" s="229"/>
      <c r="AY184" s="229"/>
      <c r="AZ184" s="229"/>
      <c r="BA184" s="229"/>
      <c r="BB184" s="229"/>
      <c r="BC184" s="229"/>
      <c r="BD184" s="229"/>
      <c r="BE184" s="227"/>
      <c r="BF184" s="227"/>
      <c r="BG184" s="227"/>
      <c r="BH184" s="227"/>
      <c r="BI184" s="133"/>
      <c r="BJ184" s="202"/>
      <c r="BK184" s="202"/>
      <c r="BL184" s="202"/>
      <c r="BM184" s="202"/>
      <c r="BN184" s="202"/>
      <c r="BO184" s="202"/>
      <c r="BP184" s="202"/>
      <c r="BQ184" s="202"/>
      <c r="BR184" s="202"/>
      <c r="BS184" s="202"/>
      <c r="BT184" s="202"/>
      <c r="BU184" s="202"/>
      <c r="BV184" s="202"/>
      <c r="BW184" s="202"/>
      <c r="BX184" s="202"/>
      <c r="BY184" s="202"/>
      <c r="BZ184" s="202"/>
      <c r="CA184" s="202"/>
      <c r="CB184" s="202"/>
      <c r="CC184" s="202"/>
      <c r="CD184" s="202"/>
      <c r="CE184" s="202"/>
      <c r="CF184" s="202"/>
      <c r="CG184" s="202"/>
      <c r="CH184" s="202"/>
      <c r="CI184" s="121"/>
      <c r="CJ184" s="121"/>
      <c r="CK184" s="121"/>
      <c r="CL184" s="121"/>
      <c r="CM184" s="121"/>
      <c r="CN184" s="121"/>
      <c r="CO184" s="121"/>
      <c r="CP184" s="121"/>
      <c r="CQ184" s="121"/>
      <c r="CR184" s="121"/>
      <c r="CS184" s="121"/>
      <c r="CT184" s="121"/>
      <c r="CU184" s="199"/>
      <c r="CV184" s="199"/>
      <c r="CW184" s="205"/>
      <c r="CX184" s="132"/>
      <c r="CY184" s="132"/>
      <c r="CZ184" s="132"/>
      <c r="DA184" s="132"/>
      <c r="DB184" s="132"/>
      <c r="DC184" s="132"/>
      <c r="DD184" s="132"/>
      <c r="DE184" s="103"/>
      <c r="DF184" s="103"/>
      <c r="DG184" s="103"/>
      <c r="DH184" s="103"/>
      <c r="DI184" s="103"/>
      <c r="DJ184" s="103"/>
      <c r="DK184" s="130"/>
      <c r="DL184" s="130"/>
      <c r="DM184" s="130"/>
      <c r="DN184" s="132"/>
      <c r="DO184" s="132"/>
    </row>
    <row r="185" ht="26.25" customHeight="1" spans="1:119">
      <c r="A185" s="131">
        <v>43945</v>
      </c>
      <c r="B185" s="100" t="s">
        <v>13253</v>
      </c>
      <c r="C185" s="100">
        <v>4500029262</v>
      </c>
      <c r="D185" s="206" t="s">
        <v>13325</v>
      </c>
      <c r="E185" s="206" t="s">
        <v>13433</v>
      </c>
      <c r="F185" s="136">
        <v>9215</v>
      </c>
      <c r="G185" s="137" t="s">
        <v>13410</v>
      </c>
      <c r="H185" s="132">
        <v>2</v>
      </c>
      <c r="I185" s="132"/>
      <c r="J185" s="132"/>
      <c r="K185" s="132"/>
      <c r="L185" s="139"/>
      <c r="M185" s="140"/>
      <c r="N185" s="141"/>
      <c r="O185" s="141"/>
      <c r="P185" s="142"/>
      <c r="Q185" s="141"/>
      <c r="R185" s="141"/>
      <c r="S185" s="141"/>
      <c r="T185" s="141"/>
      <c r="U185" s="142"/>
      <c r="V185" s="227"/>
      <c r="W185" s="227"/>
      <c r="X185" s="228"/>
      <c r="Y185" s="199"/>
      <c r="Z185" s="199"/>
      <c r="AA185" s="199"/>
      <c r="AB185" s="199"/>
      <c r="AC185" s="63"/>
      <c r="AD185" s="229"/>
      <c r="AE185" s="229"/>
      <c r="AF185" s="229"/>
      <c r="AG185" s="229"/>
      <c r="AH185" s="229"/>
      <c r="AI185" s="229"/>
      <c r="AJ185" s="229"/>
      <c r="AK185" s="229"/>
      <c r="AL185" s="229"/>
      <c r="AM185" s="229"/>
      <c r="AN185" s="229"/>
      <c r="AO185" s="229"/>
      <c r="AP185" s="229"/>
      <c r="AQ185" s="229"/>
      <c r="AR185" s="229"/>
      <c r="AS185" s="229"/>
      <c r="AT185" s="229"/>
      <c r="AU185" s="229"/>
      <c r="AV185" s="229"/>
      <c r="AW185" s="229"/>
      <c r="AX185" s="229"/>
      <c r="AY185" s="229"/>
      <c r="AZ185" s="229"/>
      <c r="BA185" s="229"/>
      <c r="BB185" s="229"/>
      <c r="BC185" s="229"/>
      <c r="BD185" s="229"/>
      <c r="BE185" s="227"/>
      <c r="BF185" s="227"/>
      <c r="BG185" s="227"/>
      <c r="BH185" s="227"/>
      <c r="BI185" s="133"/>
      <c r="BJ185" s="202"/>
      <c r="BK185" s="202"/>
      <c r="BL185" s="202"/>
      <c r="BM185" s="202"/>
      <c r="BN185" s="202"/>
      <c r="BO185" s="202"/>
      <c r="BP185" s="202"/>
      <c r="BQ185" s="202"/>
      <c r="BR185" s="202"/>
      <c r="BS185" s="202"/>
      <c r="BT185" s="202"/>
      <c r="BU185" s="202"/>
      <c r="BV185" s="202"/>
      <c r="BW185" s="202"/>
      <c r="BX185" s="202"/>
      <c r="BY185" s="202"/>
      <c r="BZ185" s="202"/>
      <c r="CA185" s="202"/>
      <c r="CB185" s="202"/>
      <c r="CC185" s="202"/>
      <c r="CD185" s="202"/>
      <c r="CE185" s="202"/>
      <c r="CF185" s="202"/>
      <c r="CG185" s="202"/>
      <c r="CH185" s="202"/>
      <c r="CI185" s="121"/>
      <c r="CJ185" s="121"/>
      <c r="CK185" s="121"/>
      <c r="CL185" s="121"/>
      <c r="CM185" s="121"/>
      <c r="CN185" s="121"/>
      <c r="CO185" s="121"/>
      <c r="CP185" s="121"/>
      <c r="CQ185" s="121"/>
      <c r="CR185" s="121"/>
      <c r="CS185" s="121"/>
      <c r="CT185" s="121"/>
      <c r="CU185" s="199"/>
      <c r="CV185" s="199"/>
      <c r="CW185" s="205"/>
      <c r="CX185" s="132"/>
      <c r="CY185" s="132"/>
      <c r="CZ185" s="132"/>
      <c r="DA185" s="132"/>
      <c r="DB185" s="132"/>
      <c r="DC185" s="132"/>
      <c r="DD185" s="132"/>
      <c r="DE185" s="103"/>
      <c r="DF185" s="103"/>
      <c r="DG185" s="103"/>
      <c r="DH185" s="103"/>
      <c r="DI185" s="103"/>
      <c r="DJ185" s="103"/>
      <c r="DK185" s="130"/>
      <c r="DL185" s="130"/>
      <c r="DM185" s="130"/>
      <c r="DN185" s="132"/>
      <c r="DO185" s="132"/>
    </row>
    <row r="186" ht="26.25" customHeight="1" spans="1:119">
      <c r="A186" s="131">
        <v>43946</v>
      </c>
      <c r="B186" s="100" t="s">
        <v>1199</v>
      </c>
      <c r="C186" s="100">
        <v>4500027765</v>
      </c>
      <c r="D186" s="206" t="s">
        <v>13395</v>
      </c>
      <c r="E186" s="206" t="s">
        <v>13322</v>
      </c>
      <c r="F186" s="136">
        <v>9209</v>
      </c>
      <c r="G186" s="137" t="s">
        <v>13362</v>
      </c>
      <c r="H186" s="132">
        <v>2</v>
      </c>
      <c r="I186" s="132"/>
      <c r="J186" s="132"/>
      <c r="K186" s="132"/>
      <c r="L186" s="139"/>
      <c r="M186" s="140"/>
      <c r="N186" s="141"/>
      <c r="O186" s="141"/>
      <c r="P186" s="142"/>
      <c r="Q186" s="141"/>
      <c r="R186" s="141"/>
      <c r="S186" s="141"/>
      <c r="T186" s="141"/>
      <c r="U186" s="142"/>
      <c r="V186" s="227"/>
      <c r="W186" s="227"/>
      <c r="X186" s="228"/>
      <c r="Y186" s="199"/>
      <c r="Z186" s="199"/>
      <c r="AA186" s="199"/>
      <c r="AB186" s="199"/>
      <c r="AC186" s="63"/>
      <c r="AD186" s="229"/>
      <c r="AE186" s="229"/>
      <c r="AF186" s="229"/>
      <c r="AG186" s="229"/>
      <c r="AH186" s="229"/>
      <c r="AI186" s="229"/>
      <c r="AJ186" s="229"/>
      <c r="AK186" s="229"/>
      <c r="AL186" s="229"/>
      <c r="AM186" s="229"/>
      <c r="AN186" s="229"/>
      <c r="AO186" s="229"/>
      <c r="AP186" s="229"/>
      <c r="AQ186" s="229"/>
      <c r="AR186" s="229"/>
      <c r="AS186" s="229"/>
      <c r="AT186" s="229"/>
      <c r="AU186" s="229"/>
      <c r="AV186" s="229"/>
      <c r="AW186" s="229"/>
      <c r="AX186" s="229"/>
      <c r="AY186" s="229"/>
      <c r="AZ186" s="229"/>
      <c r="BA186" s="229"/>
      <c r="BB186" s="229"/>
      <c r="BC186" s="229"/>
      <c r="BD186" s="229"/>
      <c r="BE186" s="227"/>
      <c r="BF186" s="227"/>
      <c r="BG186" s="236">
        <v>2</v>
      </c>
      <c r="BH186" s="236">
        <v>2</v>
      </c>
      <c r="BI186" s="133"/>
      <c r="BJ186" s="202"/>
      <c r="BK186" s="202"/>
      <c r="BL186" s="202"/>
      <c r="BM186" s="202"/>
      <c r="BN186" s="202"/>
      <c r="BO186" s="202"/>
      <c r="BP186" s="202"/>
      <c r="BQ186" s="202"/>
      <c r="BR186" s="202"/>
      <c r="BS186" s="202"/>
      <c r="BT186" s="202"/>
      <c r="BU186" s="202"/>
      <c r="BV186" s="202"/>
      <c r="BW186" s="202"/>
      <c r="BX186" s="202"/>
      <c r="BY186" s="202"/>
      <c r="BZ186" s="202"/>
      <c r="CA186" s="202"/>
      <c r="CB186" s="202"/>
      <c r="CC186" s="202"/>
      <c r="CD186" s="202"/>
      <c r="CE186" s="202"/>
      <c r="CF186" s="202"/>
      <c r="CG186" s="202"/>
      <c r="CH186" s="202"/>
      <c r="CI186" s="121"/>
      <c r="CJ186" s="121"/>
      <c r="CK186" s="121"/>
      <c r="CL186" s="121"/>
      <c r="CM186" s="121"/>
      <c r="CN186" s="121"/>
      <c r="CO186" s="121"/>
      <c r="CP186" s="121"/>
      <c r="CQ186" s="121"/>
      <c r="CR186" s="121"/>
      <c r="CS186" s="121"/>
      <c r="CT186" s="121"/>
      <c r="CU186" s="199"/>
      <c r="CV186" s="199">
        <v>1</v>
      </c>
      <c r="CW186" s="205">
        <v>1</v>
      </c>
      <c r="CX186" s="132"/>
      <c r="CY186" s="132"/>
      <c r="CZ186" s="132"/>
      <c r="DA186" s="132"/>
      <c r="DB186" s="132"/>
      <c r="DC186" s="132"/>
      <c r="DD186" s="132"/>
      <c r="DE186" s="103"/>
      <c r="DF186" s="103"/>
      <c r="DG186" s="103"/>
      <c r="DH186" s="103"/>
      <c r="DI186" s="103"/>
      <c r="DJ186" s="103"/>
      <c r="DK186" s="130"/>
      <c r="DL186" s="130"/>
      <c r="DM186" s="130"/>
      <c r="DN186" s="132"/>
      <c r="DO186" s="132"/>
    </row>
    <row r="187" ht="26.25" customHeight="1" spans="1:119">
      <c r="A187" s="131">
        <v>43946</v>
      </c>
      <c r="B187" s="100" t="s">
        <v>1199</v>
      </c>
      <c r="C187" s="100">
        <v>4500027765</v>
      </c>
      <c r="D187" s="206" t="s">
        <v>13395</v>
      </c>
      <c r="E187" s="206" t="s">
        <v>13322</v>
      </c>
      <c r="F187" s="136">
        <v>9202</v>
      </c>
      <c r="G187" s="137" t="s">
        <v>13268</v>
      </c>
      <c r="H187" s="132">
        <v>1</v>
      </c>
      <c r="I187" s="132"/>
      <c r="J187" s="132"/>
      <c r="K187" s="132"/>
      <c r="L187" s="139"/>
      <c r="M187" s="140"/>
      <c r="N187" s="141"/>
      <c r="O187" s="141"/>
      <c r="P187" s="142"/>
      <c r="Q187" s="141"/>
      <c r="R187" s="141"/>
      <c r="S187" s="141"/>
      <c r="T187" s="141"/>
      <c r="U187" s="142"/>
      <c r="V187" s="227"/>
      <c r="W187" s="227"/>
      <c r="X187" s="228"/>
      <c r="Y187" s="199"/>
      <c r="Z187" s="199"/>
      <c r="AA187" s="199"/>
      <c r="AB187" s="199"/>
      <c r="AC187" s="63"/>
      <c r="AD187" s="229"/>
      <c r="AE187" s="229">
        <v>1</v>
      </c>
      <c r="AF187" s="229"/>
      <c r="AG187" s="229"/>
      <c r="AH187" s="229"/>
      <c r="AI187" s="229">
        <v>1</v>
      </c>
      <c r="AJ187" s="229"/>
      <c r="AK187" s="229"/>
      <c r="AL187" s="229"/>
      <c r="AM187" s="229"/>
      <c r="AN187" s="229"/>
      <c r="AO187" s="229"/>
      <c r="AP187" s="229"/>
      <c r="AQ187" s="229"/>
      <c r="AR187" s="229"/>
      <c r="AS187" s="229"/>
      <c r="AT187" s="229"/>
      <c r="AU187" s="229"/>
      <c r="AV187" s="229"/>
      <c r="AW187" s="229"/>
      <c r="AX187" s="229"/>
      <c r="AY187" s="229"/>
      <c r="AZ187" s="229"/>
      <c r="BA187" s="229"/>
      <c r="BB187" s="229"/>
      <c r="BC187" s="229"/>
      <c r="BD187" s="229"/>
      <c r="BE187" s="227"/>
      <c r="BF187" s="227"/>
      <c r="BG187" s="227"/>
      <c r="BH187" s="227"/>
      <c r="BI187" s="133"/>
      <c r="BJ187" s="202"/>
      <c r="BK187" s="202"/>
      <c r="BL187" s="202"/>
      <c r="BM187" s="202"/>
      <c r="BN187" s="202"/>
      <c r="BO187" s="202"/>
      <c r="BP187" s="202"/>
      <c r="BQ187" s="202"/>
      <c r="BR187" s="202"/>
      <c r="BS187" s="202"/>
      <c r="BT187" s="202"/>
      <c r="BU187" s="202"/>
      <c r="BV187" s="202"/>
      <c r="BW187" s="202"/>
      <c r="BX187" s="202"/>
      <c r="BY187" s="202"/>
      <c r="BZ187" s="202"/>
      <c r="CA187" s="202"/>
      <c r="CB187" s="202"/>
      <c r="CC187" s="202"/>
      <c r="CD187" s="202"/>
      <c r="CE187" s="202"/>
      <c r="CF187" s="202"/>
      <c r="CG187" s="202"/>
      <c r="CH187" s="202">
        <v>1</v>
      </c>
      <c r="CI187" s="121"/>
      <c r="CJ187" s="121"/>
      <c r="CK187" s="121"/>
      <c r="CL187" s="121"/>
      <c r="CM187" s="121"/>
      <c r="CN187" s="121"/>
      <c r="CO187" s="121"/>
      <c r="CP187" s="121"/>
      <c r="CQ187" s="121"/>
      <c r="CR187" s="121"/>
      <c r="CS187" s="121"/>
      <c r="CT187" s="121"/>
      <c r="CU187" s="199"/>
      <c r="CV187" s="199"/>
      <c r="CW187" s="205"/>
      <c r="CX187" s="132"/>
      <c r="CY187" s="132"/>
      <c r="CZ187" s="132"/>
      <c r="DA187" s="132"/>
      <c r="DB187" s="132"/>
      <c r="DC187" s="132"/>
      <c r="DD187" s="132"/>
      <c r="DE187" s="103"/>
      <c r="DF187" s="103"/>
      <c r="DG187" s="103"/>
      <c r="DH187" s="103"/>
      <c r="DI187" s="103"/>
      <c r="DJ187" s="103"/>
      <c r="DK187" s="130"/>
      <c r="DL187" s="130"/>
      <c r="DM187" s="130"/>
      <c r="DN187" s="132"/>
      <c r="DO187" s="132"/>
    </row>
    <row r="188" ht="26.25" customHeight="1" spans="1:119">
      <c r="A188" s="131">
        <v>43946</v>
      </c>
      <c r="B188" s="100" t="s">
        <v>1199</v>
      </c>
      <c r="C188" s="100">
        <v>4500027765</v>
      </c>
      <c r="D188" s="206" t="s">
        <v>13395</v>
      </c>
      <c r="E188" s="206" t="s">
        <v>13322</v>
      </c>
      <c r="F188" s="136">
        <v>9214</v>
      </c>
      <c r="G188" s="137" t="s">
        <v>13318</v>
      </c>
      <c r="H188" s="132">
        <v>4</v>
      </c>
      <c r="I188" s="132"/>
      <c r="J188" s="132"/>
      <c r="K188" s="132"/>
      <c r="L188" s="139"/>
      <c r="M188" s="140"/>
      <c r="N188" s="141"/>
      <c r="O188" s="141"/>
      <c r="P188" s="142"/>
      <c r="Q188" s="141"/>
      <c r="R188" s="141"/>
      <c r="S188" s="141"/>
      <c r="T188" s="141"/>
      <c r="U188" s="142"/>
      <c r="V188" s="227"/>
      <c r="W188" s="227"/>
      <c r="X188" s="228"/>
      <c r="Y188" s="199"/>
      <c r="Z188" s="199"/>
      <c r="AA188" s="199"/>
      <c r="AB188" s="199"/>
      <c r="AC188" s="63"/>
      <c r="AD188" s="229"/>
      <c r="AE188" s="229"/>
      <c r="AF188" s="229"/>
      <c r="AG188" s="229"/>
      <c r="AH188" s="229"/>
      <c r="AI188" s="229"/>
      <c r="AJ188" s="229"/>
      <c r="AK188" s="229"/>
      <c r="AL188" s="229"/>
      <c r="AM188" s="229"/>
      <c r="AN188" s="229"/>
      <c r="AO188" s="229"/>
      <c r="AP188" s="229"/>
      <c r="AQ188" s="229"/>
      <c r="AR188" s="229"/>
      <c r="AS188" s="229"/>
      <c r="AT188" s="229"/>
      <c r="AU188" s="229"/>
      <c r="AV188" s="229"/>
      <c r="AW188" s="229"/>
      <c r="AX188" s="229">
        <v>4</v>
      </c>
      <c r="AY188" s="229">
        <v>4</v>
      </c>
      <c r="AZ188" s="229"/>
      <c r="BA188" s="229"/>
      <c r="BB188" s="229"/>
      <c r="BC188" s="229">
        <v>3</v>
      </c>
      <c r="BD188" s="229"/>
      <c r="BE188" s="227"/>
      <c r="BF188" s="227"/>
      <c r="BG188" s="227"/>
      <c r="BH188" s="227"/>
      <c r="BI188" s="133"/>
      <c r="BJ188" s="202"/>
      <c r="BK188" s="202"/>
      <c r="BL188" s="202"/>
      <c r="BM188" s="202"/>
      <c r="BN188" s="202"/>
      <c r="BO188" s="202"/>
      <c r="BP188" s="202"/>
      <c r="BQ188" s="202"/>
      <c r="BR188" s="202"/>
      <c r="BS188" s="202"/>
      <c r="BT188" s="202"/>
      <c r="BU188" s="202"/>
      <c r="BV188" s="202"/>
      <c r="BW188" s="202"/>
      <c r="BX188" s="202"/>
      <c r="BY188" s="202"/>
      <c r="BZ188" s="202"/>
      <c r="CA188" s="202"/>
      <c r="CB188" s="202"/>
      <c r="CC188" s="202"/>
      <c r="CD188" s="202"/>
      <c r="CE188" s="202"/>
      <c r="CF188" s="202"/>
      <c r="CG188" s="202"/>
      <c r="CH188" s="202"/>
      <c r="CI188" s="121"/>
      <c r="CJ188" s="121"/>
      <c r="CK188" s="121"/>
      <c r="CL188" s="121"/>
      <c r="CM188" s="121"/>
      <c r="CN188" s="121"/>
      <c r="CO188" s="121">
        <v>1</v>
      </c>
      <c r="CP188" s="121">
        <v>1</v>
      </c>
      <c r="CQ188" s="121">
        <v>1</v>
      </c>
      <c r="CR188" s="121"/>
      <c r="CS188" s="121"/>
      <c r="CT188" s="121">
        <v>1</v>
      </c>
      <c r="CU188" s="199"/>
      <c r="CV188" s="199"/>
      <c r="CW188" s="205"/>
      <c r="CX188" s="132"/>
      <c r="CY188" s="132"/>
      <c r="CZ188" s="132"/>
      <c r="DA188" s="132"/>
      <c r="DB188" s="132"/>
      <c r="DC188" s="132"/>
      <c r="DD188" s="132"/>
      <c r="DE188" s="103"/>
      <c r="DF188" s="103"/>
      <c r="DG188" s="103"/>
      <c r="DH188" s="103"/>
      <c r="DI188" s="103"/>
      <c r="DJ188" s="103"/>
      <c r="DK188" s="130"/>
      <c r="DL188" s="130"/>
      <c r="DM188" s="130"/>
      <c r="DN188" s="132"/>
      <c r="DO188" s="132"/>
    </row>
    <row r="189" ht="26.25" customHeight="1" spans="1:119">
      <c r="A189" s="131">
        <v>43945</v>
      </c>
      <c r="B189" s="100" t="s">
        <v>13411</v>
      </c>
      <c r="C189" s="100">
        <v>4500029306</v>
      </c>
      <c r="D189" s="206" t="s">
        <v>13436</v>
      </c>
      <c r="E189" s="206" t="s">
        <v>13413</v>
      </c>
      <c r="F189" s="136" t="s">
        <v>13434</v>
      </c>
      <c r="G189" s="137" t="s">
        <v>13177</v>
      </c>
      <c r="H189" s="132">
        <v>3</v>
      </c>
      <c r="I189" s="132"/>
      <c r="J189" s="132"/>
      <c r="K189" s="132"/>
      <c r="L189" s="139"/>
      <c r="M189" s="140"/>
      <c r="N189" s="141"/>
      <c r="O189" s="141"/>
      <c r="P189" s="142"/>
      <c r="Q189" s="141"/>
      <c r="R189" s="141"/>
      <c r="S189" s="141"/>
      <c r="T189" s="141"/>
      <c r="U189" s="142"/>
      <c r="V189" s="227"/>
      <c r="W189" s="227"/>
      <c r="X189" s="228"/>
      <c r="Y189" s="199"/>
      <c r="Z189" s="199"/>
      <c r="AA189" s="199"/>
      <c r="AB189" s="199"/>
      <c r="AC189" s="63"/>
      <c r="AD189" s="229"/>
      <c r="AE189" s="229"/>
      <c r="AF189" s="229"/>
      <c r="AG189" s="229"/>
      <c r="AH189" s="229"/>
      <c r="AI189" s="229"/>
      <c r="AJ189" s="229"/>
      <c r="AK189" s="229"/>
      <c r="AL189" s="229"/>
      <c r="AM189" s="229"/>
      <c r="AN189" s="229"/>
      <c r="AO189" s="229"/>
      <c r="AP189" s="229"/>
      <c r="AQ189" s="229"/>
      <c r="AR189" s="229"/>
      <c r="AS189" s="229"/>
      <c r="AT189" s="229"/>
      <c r="AU189" s="229"/>
      <c r="AV189" s="229"/>
      <c r="AW189" s="229"/>
      <c r="AX189" s="229"/>
      <c r="AY189" s="229"/>
      <c r="AZ189" s="229"/>
      <c r="BA189" s="229"/>
      <c r="BB189" s="229"/>
      <c r="BC189" s="229"/>
      <c r="BD189" s="229"/>
      <c r="BE189" s="227"/>
      <c r="BF189" s="227"/>
      <c r="BG189" s="227"/>
      <c r="BH189" s="227"/>
      <c r="BI189" s="133"/>
      <c r="BJ189" s="202"/>
      <c r="BK189" s="202"/>
      <c r="BL189" s="202"/>
      <c r="BM189" s="202"/>
      <c r="BN189" s="202"/>
      <c r="BO189" s="202"/>
      <c r="BP189" s="202"/>
      <c r="BQ189" s="202"/>
      <c r="BR189" s="202"/>
      <c r="BS189" s="202"/>
      <c r="BT189" s="202"/>
      <c r="BU189" s="202"/>
      <c r="BV189" s="202"/>
      <c r="BW189" s="202"/>
      <c r="BX189" s="202"/>
      <c r="BY189" s="202"/>
      <c r="BZ189" s="202"/>
      <c r="CA189" s="202"/>
      <c r="CB189" s="202"/>
      <c r="CC189" s="202"/>
      <c r="CD189" s="202"/>
      <c r="CE189" s="202"/>
      <c r="CF189" s="202"/>
      <c r="CG189" s="202"/>
      <c r="CH189" s="202"/>
      <c r="CI189" s="121"/>
      <c r="CJ189" s="121"/>
      <c r="CK189" s="121"/>
      <c r="CL189" s="121"/>
      <c r="CM189" s="121"/>
      <c r="CN189" s="121"/>
      <c r="CO189" s="121"/>
      <c r="CP189" s="121"/>
      <c r="CQ189" s="121"/>
      <c r="CR189" s="121"/>
      <c r="CS189" s="121"/>
      <c r="CT189" s="121"/>
      <c r="CU189" s="199"/>
      <c r="CV189" s="199"/>
      <c r="CW189" s="205"/>
      <c r="CX189" s="132"/>
      <c r="CY189" s="132"/>
      <c r="CZ189" s="132"/>
      <c r="DA189" s="132"/>
      <c r="DB189" s="132"/>
      <c r="DC189" s="132"/>
      <c r="DD189" s="132"/>
      <c r="DE189" s="103"/>
      <c r="DF189" s="103"/>
      <c r="DG189" s="103"/>
      <c r="DH189" s="103"/>
      <c r="DI189" s="103"/>
      <c r="DJ189" s="103"/>
      <c r="DK189" s="130"/>
      <c r="DL189" s="130"/>
      <c r="DM189" s="130"/>
      <c r="DN189" s="132">
        <v>3</v>
      </c>
      <c r="DO189" s="132"/>
    </row>
    <row r="190" ht="26.25" customHeight="1" spans="1:119">
      <c r="A190" s="131">
        <v>43945</v>
      </c>
      <c r="B190" s="100" t="s">
        <v>13411</v>
      </c>
      <c r="C190" s="100">
        <v>4500029306</v>
      </c>
      <c r="D190" s="206" t="s">
        <v>13436</v>
      </c>
      <c r="E190" s="206" t="s">
        <v>13413</v>
      </c>
      <c r="F190" s="136" t="s">
        <v>13435</v>
      </c>
      <c r="G190" s="137" t="s">
        <v>13178</v>
      </c>
      <c r="H190" s="132">
        <v>3</v>
      </c>
      <c r="I190" s="132"/>
      <c r="J190" s="132"/>
      <c r="K190" s="132"/>
      <c r="L190" s="139"/>
      <c r="M190" s="140"/>
      <c r="N190" s="141"/>
      <c r="O190" s="141"/>
      <c r="P190" s="142"/>
      <c r="Q190" s="141"/>
      <c r="R190" s="141"/>
      <c r="S190" s="141"/>
      <c r="T190" s="141"/>
      <c r="U190" s="142"/>
      <c r="V190" s="227"/>
      <c r="W190" s="227"/>
      <c r="X190" s="228"/>
      <c r="Y190" s="199"/>
      <c r="Z190" s="199"/>
      <c r="AA190" s="199"/>
      <c r="AB190" s="199"/>
      <c r="AC190" s="63"/>
      <c r="AD190" s="229"/>
      <c r="AE190" s="229"/>
      <c r="AF190" s="229"/>
      <c r="AG190" s="229"/>
      <c r="AH190" s="229"/>
      <c r="AI190" s="229"/>
      <c r="AJ190" s="229"/>
      <c r="AK190" s="229"/>
      <c r="AL190" s="229"/>
      <c r="AM190" s="229"/>
      <c r="AN190" s="229"/>
      <c r="AO190" s="229"/>
      <c r="AP190" s="229"/>
      <c r="AQ190" s="229"/>
      <c r="AR190" s="229"/>
      <c r="AS190" s="229"/>
      <c r="AT190" s="229"/>
      <c r="AU190" s="229"/>
      <c r="AV190" s="229"/>
      <c r="AW190" s="229"/>
      <c r="AX190" s="229"/>
      <c r="AY190" s="229"/>
      <c r="AZ190" s="229"/>
      <c r="BA190" s="229"/>
      <c r="BB190" s="229"/>
      <c r="BC190" s="229"/>
      <c r="BD190" s="229"/>
      <c r="BE190" s="227"/>
      <c r="BF190" s="227"/>
      <c r="BG190" s="227"/>
      <c r="BH190" s="227"/>
      <c r="BI190" s="133"/>
      <c r="BJ190" s="202"/>
      <c r="BK190" s="202"/>
      <c r="BL190" s="202"/>
      <c r="BM190" s="202"/>
      <c r="BN190" s="202"/>
      <c r="BO190" s="202"/>
      <c r="BP190" s="202"/>
      <c r="BQ190" s="202"/>
      <c r="BR190" s="202"/>
      <c r="BS190" s="202"/>
      <c r="BT190" s="202"/>
      <c r="BU190" s="202"/>
      <c r="BV190" s="202"/>
      <c r="BW190" s="202"/>
      <c r="BX190" s="202"/>
      <c r="BY190" s="202"/>
      <c r="BZ190" s="202"/>
      <c r="CA190" s="202"/>
      <c r="CB190" s="202"/>
      <c r="CC190" s="202"/>
      <c r="CD190" s="202"/>
      <c r="CE190" s="202"/>
      <c r="CF190" s="202"/>
      <c r="CG190" s="202"/>
      <c r="CH190" s="202"/>
      <c r="CI190" s="121"/>
      <c r="CJ190" s="121"/>
      <c r="CK190" s="121"/>
      <c r="CL190" s="121"/>
      <c r="CM190" s="121"/>
      <c r="CN190" s="121"/>
      <c r="CO190" s="121"/>
      <c r="CP190" s="121"/>
      <c r="CQ190" s="121"/>
      <c r="CR190" s="121"/>
      <c r="CS190" s="121"/>
      <c r="CT190" s="121"/>
      <c r="CU190" s="199"/>
      <c r="CV190" s="199"/>
      <c r="CW190" s="205"/>
      <c r="CX190" s="132"/>
      <c r="CY190" s="132"/>
      <c r="CZ190" s="132"/>
      <c r="DA190" s="132"/>
      <c r="DB190" s="132"/>
      <c r="DC190" s="132"/>
      <c r="DD190" s="132"/>
      <c r="DE190" s="103"/>
      <c r="DF190" s="103"/>
      <c r="DG190" s="103"/>
      <c r="DH190" s="103"/>
      <c r="DI190" s="103"/>
      <c r="DJ190" s="103"/>
      <c r="DK190" s="130"/>
      <c r="DL190" s="130"/>
      <c r="DM190" s="130"/>
      <c r="DN190" s="132"/>
      <c r="DO190" s="132">
        <v>3</v>
      </c>
    </row>
    <row r="191" ht="26.25" customHeight="1" spans="1:119">
      <c r="A191" s="131">
        <v>43949</v>
      </c>
      <c r="B191" s="100" t="s">
        <v>13339</v>
      </c>
      <c r="C191" s="100">
        <v>4500029392</v>
      </c>
      <c r="D191" s="206" t="s">
        <v>13340</v>
      </c>
      <c r="E191" s="206" t="s">
        <v>13320</v>
      </c>
      <c r="F191" s="136">
        <v>9214</v>
      </c>
      <c r="G191" s="137" t="s">
        <v>13318</v>
      </c>
      <c r="H191" s="132">
        <v>24</v>
      </c>
      <c r="I191" s="132"/>
      <c r="J191" s="132"/>
      <c r="K191" s="132"/>
      <c r="L191" s="139"/>
      <c r="M191" s="140"/>
      <c r="N191" s="141"/>
      <c r="O191" s="141"/>
      <c r="P191" s="142"/>
      <c r="Q191" s="141"/>
      <c r="R191" s="141"/>
      <c r="S191" s="141"/>
      <c r="T191" s="141"/>
      <c r="U191" s="142"/>
      <c r="V191" s="227"/>
      <c r="W191" s="227"/>
      <c r="X191" s="228"/>
      <c r="Y191" s="199"/>
      <c r="Z191" s="199"/>
      <c r="AA191" s="199"/>
      <c r="AB191" s="199"/>
      <c r="AC191" s="63"/>
      <c r="AD191" s="229"/>
      <c r="AE191" s="229"/>
      <c r="AF191" s="229"/>
      <c r="AG191" s="229"/>
      <c r="AH191" s="229"/>
      <c r="AI191" s="229"/>
      <c r="AJ191" s="229"/>
      <c r="AK191" s="229"/>
      <c r="AL191" s="229"/>
      <c r="AM191" s="229"/>
      <c r="AN191" s="229"/>
      <c r="AO191" s="229"/>
      <c r="AP191" s="229"/>
      <c r="AQ191" s="229"/>
      <c r="AR191" s="229"/>
      <c r="AS191" s="229"/>
      <c r="AT191" s="229"/>
      <c r="AU191" s="229"/>
      <c r="AV191" s="229"/>
      <c r="AW191" s="229"/>
      <c r="AX191" s="229"/>
      <c r="AY191" s="229"/>
      <c r="AZ191" s="229"/>
      <c r="BA191" s="229"/>
      <c r="BB191" s="229"/>
      <c r="BC191" s="229"/>
      <c r="BD191" s="229"/>
      <c r="BE191" s="227"/>
      <c r="BF191" s="227"/>
      <c r="BG191" s="227"/>
      <c r="BH191" s="227"/>
      <c r="BI191" s="133"/>
      <c r="BJ191" s="202"/>
      <c r="BK191" s="202"/>
      <c r="BL191" s="202"/>
      <c r="BM191" s="202"/>
      <c r="BN191" s="202"/>
      <c r="BO191" s="202"/>
      <c r="BP191" s="202"/>
      <c r="BQ191" s="202"/>
      <c r="BR191" s="202"/>
      <c r="BS191" s="202"/>
      <c r="BT191" s="202"/>
      <c r="BU191" s="202"/>
      <c r="BV191" s="202"/>
      <c r="BW191" s="202"/>
      <c r="BX191" s="202"/>
      <c r="BY191" s="202"/>
      <c r="BZ191" s="202"/>
      <c r="CA191" s="202"/>
      <c r="CB191" s="202"/>
      <c r="CC191" s="202"/>
      <c r="CD191" s="202"/>
      <c r="CE191" s="202"/>
      <c r="CF191" s="202"/>
      <c r="CG191" s="202"/>
      <c r="CH191" s="202"/>
      <c r="CI191" s="121"/>
      <c r="CJ191" s="121"/>
      <c r="CK191" s="121"/>
      <c r="CL191" s="121"/>
      <c r="CM191" s="121"/>
      <c r="CN191" s="121"/>
      <c r="CO191" s="121">
        <v>4</v>
      </c>
      <c r="CP191" s="121">
        <v>4</v>
      </c>
      <c r="CQ191" s="121">
        <v>4</v>
      </c>
      <c r="CR191" s="121">
        <v>4</v>
      </c>
      <c r="CS191" s="121">
        <v>4</v>
      </c>
      <c r="CT191" s="121">
        <v>4</v>
      </c>
      <c r="CU191" s="199"/>
      <c r="CV191" s="199"/>
      <c r="CW191" s="205"/>
      <c r="CX191" s="132"/>
      <c r="CY191" s="132"/>
      <c r="CZ191" s="132"/>
      <c r="DA191" s="132"/>
      <c r="DB191" s="132"/>
      <c r="DC191" s="132"/>
      <c r="DD191" s="132"/>
      <c r="DE191" s="103"/>
      <c r="DF191" s="103"/>
      <c r="DG191" s="103"/>
      <c r="DH191" s="103"/>
      <c r="DI191" s="103"/>
      <c r="DJ191" s="103"/>
      <c r="DK191" s="130"/>
      <c r="DL191" s="130"/>
      <c r="DM191" s="130"/>
      <c r="DN191" s="132"/>
      <c r="DO191" s="132"/>
    </row>
    <row r="192" ht="26.25" customHeight="1" spans="1:119">
      <c r="A192" s="131">
        <v>43953</v>
      </c>
      <c r="B192" s="100" t="s">
        <v>13411</v>
      </c>
      <c r="C192" s="100"/>
      <c r="D192" s="206"/>
      <c r="E192" s="206" t="s">
        <v>13437</v>
      </c>
      <c r="F192" s="136">
        <v>9215</v>
      </c>
      <c r="G192" s="137" t="s">
        <v>13410</v>
      </c>
      <c r="H192" s="132">
        <v>14</v>
      </c>
      <c r="I192" s="132"/>
      <c r="J192" s="132"/>
      <c r="K192" s="132"/>
      <c r="L192" s="139"/>
      <c r="M192" s="140"/>
      <c r="N192" s="141"/>
      <c r="O192" s="141"/>
      <c r="P192" s="142"/>
      <c r="Q192" s="141"/>
      <c r="R192" s="141"/>
      <c r="S192" s="141"/>
      <c r="T192" s="141"/>
      <c r="U192" s="142"/>
      <c r="V192" s="227"/>
      <c r="W192" s="227"/>
      <c r="X192" s="228"/>
      <c r="Y192" s="199"/>
      <c r="Z192" s="199"/>
      <c r="AA192" s="199"/>
      <c r="AB192" s="199"/>
      <c r="AC192" s="63"/>
      <c r="AD192" s="229"/>
      <c r="AE192" s="229"/>
      <c r="AF192" s="229"/>
      <c r="AG192" s="229"/>
      <c r="AH192" s="229"/>
      <c r="AI192" s="229"/>
      <c r="AJ192" s="229"/>
      <c r="AK192" s="229"/>
      <c r="AL192" s="229"/>
      <c r="AM192" s="229"/>
      <c r="AN192" s="229"/>
      <c r="AO192" s="229"/>
      <c r="AP192" s="229"/>
      <c r="AQ192" s="229"/>
      <c r="AR192" s="229"/>
      <c r="AS192" s="229"/>
      <c r="AT192" s="229"/>
      <c r="AU192" s="229"/>
      <c r="AV192" s="229"/>
      <c r="AW192" s="229"/>
      <c r="AX192" s="229"/>
      <c r="AY192" s="229"/>
      <c r="AZ192" s="229"/>
      <c r="BA192" s="229"/>
      <c r="BB192" s="229"/>
      <c r="BC192" s="229"/>
      <c r="BD192" s="229"/>
      <c r="BE192" s="227"/>
      <c r="BF192" s="227"/>
      <c r="BG192" s="227"/>
      <c r="BH192" s="227"/>
      <c r="BI192" s="133"/>
      <c r="BJ192" s="202"/>
      <c r="BK192" s="202"/>
      <c r="BL192" s="202"/>
      <c r="BM192" s="202"/>
      <c r="BN192" s="202"/>
      <c r="BO192" s="202"/>
      <c r="BP192" s="202"/>
      <c r="BQ192" s="202"/>
      <c r="BR192" s="202"/>
      <c r="BS192" s="202"/>
      <c r="BT192" s="202"/>
      <c r="BU192" s="202"/>
      <c r="BV192" s="202"/>
      <c r="BW192" s="202"/>
      <c r="BX192" s="202"/>
      <c r="BY192" s="202"/>
      <c r="BZ192" s="202"/>
      <c r="CA192" s="202"/>
      <c r="CB192" s="202"/>
      <c r="CC192" s="202"/>
      <c r="CD192" s="202"/>
      <c r="CE192" s="202"/>
      <c r="CF192" s="202"/>
      <c r="CG192" s="202"/>
      <c r="CH192" s="202"/>
      <c r="CI192" s="121"/>
      <c r="CJ192" s="121"/>
      <c r="CK192" s="121"/>
      <c r="CL192" s="121"/>
      <c r="CM192" s="121"/>
      <c r="CN192" s="121"/>
      <c r="CO192" s="121"/>
      <c r="CP192" s="121"/>
      <c r="CQ192" s="121"/>
      <c r="CR192" s="121"/>
      <c r="CS192" s="121"/>
      <c r="CT192" s="121"/>
      <c r="CU192" s="199"/>
      <c r="CV192" s="199"/>
      <c r="CW192" s="205"/>
      <c r="CX192" s="132">
        <v>2</v>
      </c>
      <c r="CY192" s="132">
        <v>2</v>
      </c>
      <c r="CZ192" s="132">
        <v>2</v>
      </c>
      <c r="DA192" s="132">
        <v>2</v>
      </c>
      <c r="DB192" s="132">
        <v>2</v>
      </c>
      <c r="DC192" s="132">
        <v>2</v>
      </c>
      <c r="DD192" s="132">
        <v>2</v>
      </c>
      <c r="DE192" s="103"/>
      <c r="DF192" s="103"/>
      <c r="DG192" s="103"/>
      <c r="DH192" s="103"/>
      <c r="DI192" s="103"/>
      <c r="DJ192" s="103"/>
      <c r="DK192" s="130"/>
      <c r="DL192" s="130"/>
      <c r="DM192" s="130"/>
      <c r="DN192" s="132"/>
      <c r="DO192" s="132"/>
    </row>
    <row r="193" ht="26.25" customHeight="1" spans="1:119">
      <c r="A193" s="131">
        <v>43959</v>
      </c>
      <c r="B193" s="100" t="s">
        <v>13339</v>
      </c>
      <c r="C193" s="100"/>
      <c r="D193" s="206" t="s">
        <v>13340</v>
      </c>
      <c r="E193" s="206" t="s">
        <v>13315</v>
      </c>
      <c r="F193" s="136" t="s">
        <v>13438</v>
      </c>
      <c r="G193" s="137" t="s">
        <v>13276</v>
      </c>
      <c r="H193" s="132">
        <v>24</v>
      </c>
      <c r="I193" s="132"/>
      <c r="J193" s="132"/>
      <c r="K193" s="132"/>
      <c r="L193" s="139"/>
      <c r="M193" s="140"/>
      <c r="N193" s="141"/>
      <c r="O193" s="141"/>
      <c r="P193" s="142"/>
      <c r="Q193" s="141"/>
      <c r="R193" s="141"/>
      <c r="S193" s="141"/>
      <c r="T193" s="141"/>
      <c r="U193" s="142"/>
      <c r="V193" s="227"/>
      <c r="W193" s="236"/>
      <c r="X193" s="237"/>
      <c r="Y193" s="145"/>
      <c r="Z193" s="145"/>
      <c r="AA193" s="145"/>
      <c r="AB193" s="145"/>
      <c r="AC193" s="237"/>
      <c r="AD193" s="238"/>
      <c r="AE193" s="238"/>
      <c r="AF193" s="238"/>
      <c r="AG193" s="238"/>
      <c r="AH193" s="229"/>
      <c r="AI193" s="229"/>
      <c r="AJ193" s="229"/>
      <c r="AK193" s="229"/>
      <c r="AL193" s="229"/>
      <c r="AM193" s="229"/>
      <c r="AN193" s="229"/>
      <c r="AO193" s="229"/>
      <c r="AP193" s="229"/>
      <c r="AQ193" s="229"/>
      <c r="AR193" s="229"/>
      <c r="AS193" s="229"/>
      <c r="AT193" s="229"/>
      <c r="AU193" s="229"/>
      <c r="AV193" s="229"/>
      <c r="AW193" s="229"/>
      <c r="AX193" s="229"/>
      <c r="AY193" s="229"/>
      <c r="AZ193" s="229"/>
      <c r="BA193" s="229"/>
      <c r="BB193" s="229"/>
      <c r="BC193" s="229"/>
      <c r="BD193" s="229">
        <v>4</v>
      </c>
      <c r="BE193" s="227"/>
      <c r="BF193" s="227"/>
      <c r="BG193" s="227"/>
      <c r="BH193" s="227"/>
      <c r="BI193" s="133"/>
      <c r="BJ193" s="202"/>
      <c r="BK193" s="202"/>
      <c r="BL193" s="202"/>
      <c r="BM193" s="202"/>
      <c r="BN193" s="202"/>
      <c r="BO193" s="202"/>
      <c r="BP193" s="202"/>
      <c r="BQ193" s="202"/>
      <c r="BR193" s="202"/>
      <c r="BS193" s="202"/>
      <c r="BT193" s="202"/>
      <c r="BU193" s="202"/>
      <c r="BV193" s="202"/>
      <c r="BW193" s="202"/>
      <c r="BX193" s="202"/>
      <c r="BY193" s="202"/>
      <c r="BZ193" s="202"/>
      <c r="CA193" s="202"/>
      <c r="CB193" s="202"/>
      <c r="CC193" s="202"/>
      <c r="CD193" s="202"/>
      <c r="CE193" s="202"/>
      <c r="CF193" s="202"/>
      <c r="CG193" s="202"/>
      <c r="CH193" s="202"/>
      <c r="CI193" s="121"/>
      <c r="CJ193" s="121"/>
      <c r="CK193" s="121"/>
      <c r="CL193" s="121"/>
      <c r="CM193" s="121"/>
      <c r="CN193" s="121"/>
      <c r="CO193" s="121">
        <v>4</v>
      </c>
      <c r="CP193" s="121">
        <v>4</v>
      </c>
      <c r="CQ193" s="121">
        <v>4</v>
      </c>
      <c r="CR193" s="121">
        <v>4</v>
      </c>
      <c r="CS193" s="121">
        <v>4</v>
      </c>
      <c r="CT193" s="121">
        <v>4</v>
      </c>
      <c r="CU193" s="199"/>
      <c r="CV193" s="199"/>
      <c r="CW193" s="205"/>
      <c r="CX193" s="132"/>
      <c r="CY193" s="132"/>
      <c r="CZ193" s="132"/>
      <c r="DA193" s="132"/>
      <c r="DB193" s="132"/>
      <c r="DC193" s="132"/>
      <c r="DD193" s="132"/>
      <c r="DE193" s="103"/>
      <c r="DF193" s="103"/>
      <c r="DG193" s="103"/>
      <c r="DH193" s="103"/>
      <c r="DI193" s="103"/>
      <c r="DJ193" s="103"/>
      <c r="DK193" s="130"/>
      <c r="DL193" s="130"/>
      <c r="DM193" s="130"/>
      <c r="DN193" s="132"/>
      <c r="DO193" s="132"/>
    </row>
    <row r="194" ht="26.25" customHeight="1" spans="1:119">
      <c r="A194" s="131">
        <v>43959</v>
      </c>
      <c r="B194" s="100" t="s">
        <v>13339</v>
      </c>
      <c r="C194" s="100"/>
      <c r="D194" s="206" t="s">
        <v>13340</v>
      </c>
      <c r="E194" s="206" t="s">
        <v>13315</v>
      </c>
      <c r="F194" s="136">
        <v>9208</v>
      </c>
      <c r="G194" s="137" t="s">
        <v>13439</v>
      </c>
      <c r="H194" s="132">
        <v>4</v>
      </c>
      <c r="I194" s="132"/>
      <c r="J194" s="132"/>
      <c r="K194" s="132"/>
      <c r="L194" s="139"/>
      <c r="M194" s="140"/>
      <c r="N194" s="141"/>
      <c r="O194" s="141"/>
      <c r="P194" s="142"/>
      <c r="Q194" s="141"/>
      <c r="R194" s="141"/>
      <c r="S194" s="141"/>
      <c r="T194" s="141"/>
      <c r="U194" s="142"/>
      <c r="V194" s="227"/>
      <c r="W194" s="236"/>
      <c r="X194" s="237"/>
      <c r="Y194" s="145"/>
      <c r="Z194" s="145"/>
      <c r="AA194" s="145"/>
      <c r="AB194" s="145"/>
      <c r="AC194" s="237"/>
      <c r="AD194" s="238"/>
      <c r="AE194" s="238"/>
      <c r="AF194" s="238"/>
      <c r="AG194" s="238"/>
      <c r="AH194" s="229"/>
      <c r="AI194" s="229"/>
      <c r="AJ194" s="229"/>
      <c r="AK194" s="229"/>
      <c r="AL194" s="229"/>
      <c r="AM194" s="229"/>
      <c r="AN194" s="229"/>
      <c r="AO194" s="229"/>
      <c r="AP194" s="229"/>
      <c r="AQ194" s="229"/>
      <c r="AR194" s="229"/>
      <c r="AS194" s="229"/>
      <c r="AT194" s="229"/>
      <c r="AU194" s="229"/>
      <c r="AV194" s="229"/>
      <c r="AW194" s="229"/>
      <c r="AX194" s="229"/>
      <c r="AY194" s="229"/>
      <c r="AZ194" s="229"/>
      <c r="BA194" s="229"/>
      <c r="BB194" s="229"/>
      <c r="BC194" s="229"/>
      <c r="BD194" s="229"/>
      <c r="BE194" s="227"/>
      <c r="BF194" s="227"/>
      <c r="BG194" s="227"/>
      <c r="BH194" s="227"/>
      <c r="BI194" s="133"/>
      <c r="BJ194" s="202"/>
      <c r="BK194" s="202"/>
      <c r="BL194" s="202"/>
      <c r="BM194" s="202"/>
      <c r="BN194" s="202"/>
      <c r="BO194" s="202"/>
      <c r="BP194" s="202"/>
      <c r="BQ194" s="202"/>
      <c r="BR194" s="202"/>
      <c r="BS194" s="202"/>
      <c r="BT194" s="202"/>
      <c r="BU194" s="202"/>
      <c r="BV194" s="202"/>
      <c r="BW194" s="202"/>
      <c r="BX194" s="202"/>
      <c r="BY194" s="202"/>
      <c r="BZ194" s="202"/>
      <c r="CA194" s="202"/>
      <c r="CB194" s="202"/>
      <c r="CC194" s="202"/>
      <c r="CD194" s="202"/>
      <c r="CE194" s="202"/>
      <c r="CF194" s="202"/>
      <c r="CG194" s="202"/>
      <c r="CH194" s="202"/>
      <c r="CI194" s="121"/>
      <c r="CJ194" s="121"/>
      <c r="CK194" s="121"/>
      <c r="CL194" s="121"/>
      <c r="CM194" s="121"/>
      <c r="CN194" s="121"/>
      <c r="CO194" s="121"/>
      <c r="CP194" s="121"/>
      <c r="CQ194" s="121"/>
      <c r="CR194" s="121"/>
      <c r="CS194" s="121"/>
      <c r="CT194" s="121"/>
      <c r="CU194" s="199"/>
      <c r="CV194" s="199"/>
      <c r="CW194" s="205"/>
      <c r="CX194" s="132"/>
      <c r="CY194" s="132"/>
      <c r="CZ194" s="132"/>
      <c r="DA194" s="132"/>
      <c r="DB194" s="132"/>
      <c r="DC194" s="132"/>
      <c r="DD194" s="132"/>
      <c r="DE194" s="103"/>
      <c r="DF194" s="103"/>
      <c r="DG194" s="103"/>
      <c r="DH194" s="103"/>
      <c r="DI194" s="103"/>
      <c r="DJ194" s="103"/>
      <c r="DK194" s="130"/>
      <c r="DL194" s="130"/>
      <c r="DM194" s="130"/>
      <c r="DN194" s="132"/>
      <c r="DO194" s="132">
        <v>4</v>
      </c>
    </row>
    <row r="195" ht="26.25" customHeight="1" spans="1:119">
      <c r="A195" s="131">
        <v>43959</v>
      </c>
      <c r="B195" s="100" t="s">
        <v>6785</v>
      </c>
      <c r="C195" s="100">
        <v>4500029748</v>
      </c>
      <c r="D195" s="206" t="s">
        <v>5030</v>
      </c>
      <c r="E195" s="206" t="s">
        <v>13315</v>
      </c>
      <c r="F195" s="136">
        <v>9208</v>
      </c>
      <c r="G195" s="137" t="s">
        <v>13439</v>
      </c>
      <c r="H195" s="132">
        <v>3</v>
      </c>
      <c r="I195" s="132"/>
      <c r="J195" s="132"/>
      <c r="K195" s="132"/>
      <c r="L195" s="139"/>
      <c r="M195" s="140"/>
      <c r="N195" s="141"/>
      <c r="O195" s="141"/>
      <c r="P195" s="142"/>
      <c r="Q195" s="141"/>
      <c r="R195" s="141"/>
      <c r="S195" s="141"/>
      <c r="T195" s="141"/>
      <c r="U195" s="142"/>
      <c r="V195" s="227"/>
      <c r="W195" s="236"/>
      <c r="X195" s="237"/>
      <c r="Y195" s="145"/>
      <c r="Z195" s="145"/>
      <c r="AA195" s="145"/>
      <c r="AB195" s="145"/>
      <c r="AC195" s="237"/>
      <c r="AD195" s="238"/>
      <c r="AE195" s="238"/>
      <c r="AF195" s="238"/>
      <c r="AG195" s="238"/>
      <c r="AH195" s="229"/>
      <c r="AI195" s="229"/>
      <c r="AJ195" s="229"/>
      <c r="AK195" s="229"/>
      <c r="AL195" s="229"/>
      <c r="AM195" s="229"/>
      <c r="AN195" s="229"/>
      <c r="AO195" s="229"/>
      <c r="AP195" s="229"/>
      <c r="AQ195" s="229"/>
      <c r="AR195" s="229"/>
      <c r="AS195" s="229"/>
      <c r="AT195" s="229"/>
      <c r="AU195" s="229"/>
      <c r="AV195" s="229"/>
      <c r="AW195" s="229"/>
      <c r="AX195" s="229"/>
      <c r="AY195" s="229"/>
      <c r="AZ195" s="229"/>
      <c r="BA195" s="229"/>
      <c r="BB195" s="229"/>
      <c r="BC195" s="229"/>
      <c r="BD195" s="229"/>
      <c r="BE195" s="227"/>
      <c r="BF195" s="227"/>
      <c r="BG195" s="227"/>
      <c r="BH195" s="227"/>
      <c r="BI195" s="133"/>
      <c r="BJ195" s="202"/>
      <c r="BK195" s="202"/>
      <c r="BL195" s="202"/>
      <c r="BM195" s="202"/>
      <c r="BN195" s="202"/>
      <c r="BO195" s="202"/>
      <c r="BP195" s="202"/>
      <c r="BQ195" s="202"/>
      <c r="BR195" s="202"/>
      <c r="BS195" s="202"/>
      <c r="BT195" s="202"/>
      <c r="BU195" s="202"/>
      <c r="BV195" s="202"/>
      <c r="BW195" s="202"/>
      <c r="BX195" s="202"/>
      <c r="BY195" s="202"/>
      <c r="BZ195" s="202"/>
      <c r="CA195" s="202"/>
      <c r="CB195" s="202"/>
      <c r="CC195" s="202"/>
      <c r="CD195" s="202"/>
      <c r="CE195" s="202"/>
      <c r="CF195" s="202"/>
      <c r="CG195" s="202"/>
      <c r="CH195" s="202"/>
      <c r="CI195" s="121"/>
      <c r="CJ195" s="121"/>
      <c r="CK195" s="121"/>
      <c r="CL195" s="121"/>
      <c r="CM195" s="121"/>
      <c r="CN195" s="121"/>
      <c r="CO195" s="121"/>
      <c r="CP195" s="121"/>
      <c r="CQ195" s="121"/>
      <c r="CR195" s="121"/>
      <c r="CS195" s="121"/>
      <c r="CT195" s="121"/>
      <c r="CU195" s="199"/>
      <c r="CV195" s="199"/>
      <c r="CW195" s="205"/>
      <c r="CX195" s="132"/>
      <c r="CY195" s="132"/>
      <c r="CZ195" s="132"/>
      <c r="DA195" s="132"/>
      <c r="DB195" s="132"/>
      <c r="DC195" s="132"/>
      <c r="DD195" s="132"/>
      <c r="DE195" s="103"/>
      <c r="DF195" s="103"/>
      <c r="DG195" s="103"/>
      <c r="DH195" s="103"/>
      <c r="DI195" s="103"/>
      <c r="DJ195" s="103"/>
      <c r="DK195" s="130"/>
      <c r="DL195" s="130"/>
      <c r="DM195" s="130"/>
      <c r="DN195" s="132"/>
      <c r="DO195" s="132">
        <v>3</v>
      </c>
    </row>
    <row r="196" ht="26.25" customHeight="1" spans="1:119">
      <c r="A196" s="131">
        <v>43959</v>
      </c>
      <c r="B196" s="100" t="s">
        <v>11890</v>
      </c>
      <c r="C196" s="100">
        <v>4500028049</v>
      </c>
      <c r="D196" s="206" t="s">
        <v>13440</v>
      </c>
      <c r="E196" s="206" t="s">
        <v>13315</v>
      </c>
      <c r="F196" s="136">
        <v>9208</v>
      </c>
      <c r="G196" s="137" t="s">
        <v>13439</v>
      </c>
      <c r="H196" s="132">
        <v>2</v>
      </c>
      <c r="I196" s="132"/>
      <c r="J196" s="132"/>
      <c r="K196" s="132"/>
      <c r="L196" s="139"/>
      <c r="M196" s="140"/>
      <c r="N196" s="141"/>
      <c r="O196" s="141"/>
      <c r="P196" s="142"/>
      <c r="Q196" s="141"/>
      <c r="R196" s="141"/>
      <c r="S196" s="141"/>
      <c r="T196" s="141"/>
      <c r="U196" s="142"/>
      <c r="V196" s="227"/>
      <c r="W196" s="236"/>
      <c r="X196" s="237"/>
      <c r="Y196" s="145"/>
      <c r="Z196" s="145"/>
      <c r="AA196" s="145"/>
      <c r="AB196" s="145"/>
      <c r="AC196" s="237"/>
      <c r="AD196" s="238"/>
      <c r="AE196" s="238"/>
      <c r="AF196" s="238"/>
      <c r="AG196" s="238"/>
      <c r="AH196" s="229"/>
      <c r="AI196" s="229"/>
      <c r="AJ196" s="229"/>
      <c r="AK196" s="229"/>
      <c r="AL196" s="229"/>
      <c r="AM196" s="229"/>
      <c r="AN196" s="229"/>
      <c r="AO196" s="229"/>
      <c r="AP196" s="229"/>
      <c r="AQ196" s="229"/>
      <c r="AR196" s="229"/>
      <c r="AS196" s="229"/>
      <c r="AT196" s="229"/>
      <c r="AU196" s="229"/>
      <c r="AV196" s="229"/>
      <c r="AW196" s="229"/>
      <c r="AX196" s="229"/>
      <c r="AY196" s="229"/>
      <c r="AZ196" s="229"/>
      <c r="BA196" s="229"/>
      <c r="BB196" s="229"/>
      <c r="BC196" s="229"/>
      <c r="BD196" s="229"/>
      <c r="BE196" s="227"/>
      <c r="BF196" s="227"/>
      <c r="BG196" s="227"/>
      <c r="BH196" s="227"/>
      <c r="BI196" s="133"/>
      <c r="BJ196" s="202"/>
      <c r="BK196" s="202"/>
      <c r="BL196" s="202"/>
      <c r="BM196" s="202"/>
      <c r="BN196" s="202"/>
      <c r="BO196" s="202"/>
      <c r="BP196" s="202"/>
      <c r="BQ196" s="202"/>
      <c r="BR196" s="202"/>
      <c r="BS196" s="202"/>
      <c r="BT196" s="202"/>
      <c r="BU196" s="202"/>
      <c r="BV196" s="202"/>
      <c r="BW196" s="202"/>
      <c r="BX196" s="202"/>
      <c r="BY196" s="202"/>
      <c r="BZ196" s="202"/>
      <c r="CA196" s="202"/>
      <c r="CB196" s="202"/>
      <c r="CC196" s="202"/>
      <c r="CD196" s="202"/>
      <c r="CE196" s="202"/>
      <c r="CF196" s="202"/>
      <c r="CG196" s="202"/>
      <c r="CH196" s="202"/>
      <c r="CI196" s="121"/>
      <c r="CJ196" s="121"/>
      <c r="CK196" s="121"/>
      <c r="CL196" s="121"/>
      <c r="CM196" s="121"/>
      <c r="CN196" s="121"/>
      <c r="CO196" s="121"/>
      <c r="CP196" s="121"/>
      <c r="CQ196" s="121"/>
      <c r="CR196" s="121"/>
      <c r="CS196" s="121"/>
      <c r="CT196" s="121"/>
      <c r="CU196" s="199"/>
      <c r="CV196" s="199"/>
      <c r="CW196" s="205"/>
      <c r="CX196" s="132"/>
      <c r="CY196" s="132"/>
      <c r="CZ196" s="132"/>
      <c r="DA196" s="132"/>
      <c r="DB196" s="132"/>
      <c r="DC196" s="132"/>
      <c r="DD196" s="132"/>
      <c r="DE196" s="103"/>
      <c r="DF196" s="103"/>
      <c r="DG196" s="103"/>
      <c r="DH196" s="103"/>
      <c r="DI196" s="103"/>
      <c r="DJ196" s="103"/>
      <c r="DK196" s="130"/>
      <c r="DL196" s="130"/>
      <c r="DM196" s="130"/>
      <c r="DN196" s="132"/>
      <c r="DO196" s="132">
        <v>2</v>
      </c>
    </row>
    <row r="197" ht="26.25" customHeight="1" spans="1:119">
      <c r="A197" s="131">
        <v>43959</v>
      </c>
      <c r="B197" s="100" t="s">
        <v>11890</v>
      </c>
      <c r="C197" s="100">
        <v>4500028049</v>
      </c>
      <c r="D197" s="206" t="s">
        <v>13440</v>
      </c>
      <c r="E197" s="206" t="s">
        <v>13315</v>
      </c>
      <c r="F197" s="136">
        <v>9201</v>
      </c>
      <c r="G197" s="137" t="s">
        <v>13182</v>
      </c>
      <c r="H197" s="132">
        <v>2</v>
      </c>
      <c r="I197" s="132"/>
      <c r="J197" s="132"/>
      <c r="K197" s="132"/>
      <c r="L197" s="139"/>
      <c r="M197" s="140"/>
      <c r="N197" s="141"/>
      <c r="O197" s="141"/>
      <c r="P197" s="142"/>
      <c r="Q197" s="141"/>
      <c r="R197" s="141"/>
      <c r="S197" s="141"/>
      <c r="T197" s="141"/>
      <c r="U197" s="142"/>
      <c r="V197" s="227"/>
      <c r="W197" s="236">
        <v>2</v>
      </c>
      <c r="X197" s="236"/>
      <c r="Y197" s="236"/>
      <c r="Z197" s="236"/>
      <c r="AA197" s="236"/>
      <c r="AB197" s="236">
        <v>2</v>
      </c>
      <c r="AC197" s="236"/>
      <c r="AD197" s="236"/>
      <c r="AE197" s="236"/>
      <c r="AF197" s="236"/>
      <c r="AG197" s="238"/>
      <c r="AH197" s="229"/>
      <c r="AI197" s="229"/>
      <c r="AJ197" s="229"/>
      <c r="AK197" s="229"/>
      <c r="AL197" s="229"/>
      <c r="AM197" s="229"/>
      <c r="AN197" s="229"/>
      <c r="AO197" s="229"/>
      <c r="AP197" s="229"/>
      <c r="AQ197" s="229"/>
      <c r="AR197" s="229"/>
      <c r="AS197" s="229"/>
      <c r="AT197" s="229"/>
      <c r="AU197" s="229"/>
      <c r="AV197" s="229"/>
      <c r="AW197" s="229"/>
      <c r="AX197" s="229"/>
      <c r="AY197" s="229"/>
      <c r="AZ197" s="229"/>
      <c r="BA197" s="229"/>
      <c r="BB197" s="229"/>
      <c r="BC197" s="229"/>
      <c r="BD197" s="229"/>
      <c r="BE197" s="227"/>
      <c r="BF197" s="227"/>
      <c r="BG197" s="227"/>
      <c r="BH197" s="227"/>
      <c r="BI197" s="133"/>
      <c r="BJ197" s="202"/>
      <c r="BK197" s="202"/>
      <c r="BL197" s="202"/>
      <c r="BM197" s="202">
        <v>1</v>
      </c>
      <c r="BN197" s="202"/>
      <c r="BO197" s="202">
        <v>1</v>
      </c>
      <c r="BP197" s="202"/>
      <c r="BQ197" s="202"/>
      <c r="BR197" s="202"/>
      <c r="BS197" s="202"/>
      <c r="BT197" s="202"/>
      <c r="BU197" s="202"/>
      <c r="BV197" s="202"/>
      <c r="BW197" s="202"/>
      <c r="BX197" s="202"/>
      <c r="BY197" s="202"/>
      <c r="BZ197" s="202"/>
      <c r="CA197" s="202"/>
      <c r="CB197" s="202"/>
      <c r="CC197" s="202"/>
      <c r="CD197" s="202"/>
      <c r="CE197" s="202"/>
      <c r="CF197" s="202"/>
      <c r="CG197" s="202"/>
      <c r="CH197" s="202"/>
      <c r="CI197" s="121"/>
      <c r="CJ197" s="121"/>
      <c r="CK197" s="121"/>
      <c r="CL197" s="121"/>
      <c r="CM197" s="121"/>
      <c r="CN197" s="121"/>
      <c r="CO197" s="121"/>
      <c r="CP197" s="121"/>
      <c r="CQ197" s="121"/>
      <c r="CR197" s="121"/>
      <c r="CS197" s="121"/>
      <c r="CT197" s="121"/>
      <c r="CU197" s="199"/>
      <c r="CV197" s="199"/>
      <c r="CW197" s="205"/>
      <c r="CX197" s="132"/>
      <c r="CY197" s="132"/>
      <c r="CZ197" s="132"/>
      <c r="DA197" s="132"/>
      <c r="DB197" s="132"/>
      <c r="DC197" s="132"/>
      <c r="DD197" s="132"/>
      <c r="DE197" s="103"/>
      <c r="DF197" s="103"/>
      <c r="DG197" s="103"/>
      <c r="DH197" s="103"/>
      <c r="DI197" s="103"/>
      <c r="DJ197" s="103"/>
      <c r="DK197" s="130"/>
      <c r="DL197" s="130"/>
      <c r="DM197" s="130"/>
      <c r="DN197" s="132"/>
      <c r="DO197" s="132"/>
    </row>
    <row r="198" ht="26.25" customHeight="1" spans="1:119">
      <c r="A198" s="131">
        <v>43959</v>
      </c>
      <c r="B198" s="100" t="s">
        <v>13339</v>
      </c>
      <c r="C198" s="100"/>
      <c r="D198" s="206" t="s">
        <v>13340</v>
      </c>
      <c r="E198" s="206" t="s">
        <v>13441</v>
      </c>
      <c r="F198" s="136">
        <v>9214</v>
      </c>
      <c r="G198" s="137" t="s">
        <v>13276</v>
      </c>
      <c r="H198" s="132">
        <v>6</v>
      </c>
      <c r="I198" s="132"/>
      <c r="J198" s="132"/>
      <c r="K198" s="132"/>
      <c r="L198" s="139"/>
      <c r="M198" s="140"/>
      <c r="N198" s="141"/>
      <c r="O198" s="141"/>
      <c r="P198" s="142"/>
      <c r="Q198" s="141"/>
      <c r="R198" s="141"/>
      <c r="S198" s="141"/>
      <c r="T198" s="141"/>
      <c r="U198" s="142"/>
      <c r="V198" s="227"/>
      <c r="W198" s="236"/>
      <c r="X198" s="236"/>
      <c r="Y198" s="236"/>
      <c r="Z198" s="236"/>
      <c r="AA198" s="236"/>
      <c r="AB198" s="236"/>
      <c r="AC198" s="236"/>
      <c r="AD198" s="236"/>
      <c r="AE198" s="236"/>
      <c r="AF198" s="236"/>
      <c r="AG198" s="238"/>
      <c r="AH198" s="229"/>
      <c r="AI198" s="229"/>
      <c r="AJ198" s="229"/>
      <c r="AK198" s="229"/>
      <c r="AL198" s="229"/>
      <c r="AM198" s="229"/>
      <c r="AN198" s="229"/>
      <c r="AO198" s="229"/>
      <c r="AP198" s="229"/>
      <c r="AQ198" s="229"/>
      <c r="AR198" s="229"/>
      <c r="AS198" s="229"/>
      <c r="AT198" s="229"/>
      <c r="AU198" s="229"/>
      <c r="AV198" s="229"/>
      <c r="AW198" s="229"/>
      <c r="AX198" s="229"/>
      <c r="AY198" s="229"/>
      <c r="AZ198" s="229"/>
      <c r="BA198" s="229"/>
      <c r="BB198" s="229"/>
      <c r="BC198" s="229"/>
      <c r="BD198" s="229">
        <v>1</v>
      </c>
      <c r="BE198" s="227"/>
      <c r="BF198" s="227"/>
      <c r="BG198" s="227"/>
      <c r="BH198" s="227"/>
      <c r="BI198" s="133"/>
      <c r="BJ198" s="202"/>
      <c r="BK198" s="202"/>
      <c r="BL198" s="202"/>
      <c r="BM198" s="202"/>
      <c r="BN198" s="202"/>
      <c r="BO198" s="202"/>
      <c r="BP198" s="202"/>
      <c r="BQ198" s="202"/>
      <c r="BR198" s="202"/>
      <c r="BS198" s="202"/>
      <c r="BT198" s="202"/>
      <c r="BU198" s="202"/>
      <c r="BV198" s="202"/>
      <c r="BW198" s="202"/>
      <c r="BX198" s="202"/>
      <c r="BY198" s="202"/>
      <c r="BZ198" s="202"/>
      <c r="CA198" s="202"/>
      <c r="CB198" s="202"/>
      <c r="CC198" s="202"/>
      <c r="CD198" s="202"/>
      <c r="CE198" s="202"/>
      <c r="CF198" s="202"/>
      <c r="CG198" s="202"/>
      <c r="CH198" s="202"/>
      <c r="CI198" s="121"/>
      <c r="CJ198" s="121"/>
      <c r="CK198" s="121"/>
      <c r="CL198" s="121"/>
      <c r="CM198" s="121"/>
      <c r="CN198" s="121"/>
      <c r="CO198" s="121">
        <v>1</v>
      </c>
      <c r="CP198" s="121">
        <v>1</v>
      </c>
      <c r="CQ198" s="121">
        <v>1</v>
      </c>
      <c r="CR198" s="121">
        <v>1</v>
      </c>
      <c r="CS198" s="121">
        <v>1</v>
      </c>
      <c r="CT198" s="121">
        <v>1</v>
      </c>
      <c r="CU198" s="199"/>
      <c r="CV198" s="199"/>
      <c r="CW198" s="205"/>
      <c r="CX198" s="132"/>
      <c r="CY198" s="132"/>
      <c r="CZ198" s="132"/>
      <c r="DA198" s="132"/>
      <c r="DB198" s="132"/>
      <c r="DC198" s="132"/>
      <c r="DD198" s="132"/>
      <c r="DE198" s="103"/>
      <c r="DF198" s="103"/>
      <c r="DG198" s="103"/>
      <c r="DH198" s="103"/>
      <c r="DI198" s="103"/>
      <c r="DJ198" s="103"/>
      <c r="DK198" s="130"/>
      <c r="DL198" s="130"/>
      <c r="DM198" s="130"/>
      <c r="DN198" s="132"/>
      <c r="DO198" s="132"/>
    </row>
    <row r="199" ht="26.25" customHeight="1" spans="1:119">
      <c r="A199" s="131">
        <v>43959</v>
      </c>
      <c r="B199" s="100" t="s">
        <v>13339</v>
      </c>
      <c r="C199" s="100"/>
      <c r="D199" s="206" t="s">
        <v>13340</v>
      </c>
      <c r="E199" s="206" t="s">
        <v>13441</v>
      </c>
      <c r="F199" s="136">
        <v>9215</v>
      </c>
      <c r="G199" s="137" t="s">
        <v>13410</v>
      </c>
      <c r="H199" s="132">
        <v>1</v>
      </c>
      <c r="I199" s="132"/>
      <c r="J199" s="132"/>
      <c r="K199" s="132"/>
      <c r="L199" s="139"/>
      <c r="M199" s="140"/>
      <c r="N199" s="141"/>
      <c r="O199" s="141"/>
      <c r="P199" s="142"/>
      <c r="Q199" s="141"/>
      <c r="R199" s="141"/>
      <c r="S199" s="141"/>
      <c r="T199" s="141"/>
      <c r="U199" s="142"/>
      <c r="V199" s="227"/>
      <c r="W199" s="236"/>
      <c r="X199" s="236"/>
      <c r="Y199" s="236"/>
      <c r="Z199" s="236"/>
      <c r="AA199" s="236"/>
      <c r="AB199" s="236"/>
      <c r="AC199" s="236"/>
      <c r="AD199" s="236"/>
      <c r="AE199" s="236"/>
      <c r="AF199" s="236"/>
      <c r="AG199" s="238"/>
      <c r="AH199" s="229"/>
      <c r="AI199" s="229"/>
      <c r="AJ199" s="229"/>
      <c r="AK199" s="229"/>
      <c r="AL199" s="229"/>
      <c r="AM199" s="229"/>
      <c r="AN199" s="229"/>
      <c r="AO199" s="229"/>
      <c r="AP199" s="229"/>
      <c r="AQ199" s="229"/>
      <c r="AR199" s="229"/>
      <c r="AS199" s="229"/>
      <c r="AT199" s="229"/>
      <c r="AU199" s="229"/>
      <c r="AV199" s="229"/>
      <c r="AW199" s="229"/>
      <c r="AX199" s="229"/>
      <c r="AY199" s="229"/>
      <c r="AZ199" s="229"/>
      <c r="BA199" s="229"/>
      <c r="BB199" s="229"/>
      <c r="BC199" s="229"/>
      <c r="BD199" s="229"/>
      <c r="BE199" s="227"/>
      <c r="BF199" s="227"/>
      <c r="BG199" s="227"/>
      <c r="BH199" s="227"/>
      <c r="BI199" s="133"/>
      <c r="BJ199" s="202"/>
      <c r="BK199" s="202"/>
      <c r="BL199" s="202"/>
      <c r="BM199" s="202"/>
      <c r="BN199" s="202"/>
      <c r="BO199" s="202"/>
      <c r="BP199" s="202"/>
      <c r="BQ199" s="202"/>
      <c r="BR199" s="202"/>
      <c r="BS199" s="202"/>
      <c r="BT199" s="202"/>
      <c r="BU199" s="202"/>
      <c r="BV199" s="202"/>
      <c r="BW199" s="202"/>
      <c r="BX199" s="202"/>
      <c r="BY199" s="202"/>
      <c r="BZ199" s="202"/>
      <c r="CA199" s="202"/>
      <c r="CB199" s="202"/>
      <c r="CC199" s="202"/>
      <c r="CD199" s="202"/>
      <c r="CE199" s="202"/>
      <c r="CF199" s="202"/>
      <c r="CG199" s="202"/>
      <c r="CH199" s="202"/>
      <c r="CI199" s="121"/>
      <c r="CJ199" s="121"/>
      <c r="CK199" s="121"/>
      <c r="CL199" s="121"/>
      <c r="CM199" s="121"/>
      <c r="CN199" s="121"/>
      <c r="CO199" s="121"/>
      <c r="CP199" s="121"/>
      <c r="CQ199" s="121"/>
      <c r="CR199" s="121"/>
      <c r="CS199" s="121"/>
      <c r="CT199" s="121"/>
      <c r="CU199" s="199"/>
      <c r="CV199" s="199"/>
      <c r="CW199" s="205"/>
      <c r="CX199" s="132"/>
      <c r="CY199" s="132">
        <v>1</v>
      </c>
      <c r="CZ199" s="132"/>
      <c r="DA199" s="132"/>
      <c r="DB199" s="132"/>
      <c r="DC199" s="132"/>
      <c r="DD199" s="132"/>
      <c r="DE199" s="103"/>
      <c r="DF199" s="103"/>
      <c r="DG199" s="103"/>
      <c r="DH199" s="103"/>
      <c r="DI199" s="103"/>
      <c r="DJ199" s="103"/>
      <c r="DK199" s="130"/>
      <c r="DL199" s="130"/>
      <c r="DM199" s="130"/>
      <c r="DN199" s="132"/>
      <c r="DO199" s="132"/>
    </row>
    <row r="200" ht="26.25" customHeight="1" spans="1:119">
      <c r="A200" s="131">
        <v>43959</v>
      </c>
      <c r="B200" s="100" t="s">
        <v>13339</v>
      </c>
      <c r="C200" s="100"/>
      <c r="D200" s="206" t="s">
        <v>13340</v>
      </c>
      <c r="E200" s="206" t="s">
        <v>13441</v>
      </c>
      <c r="F200" s="136">
        <v>9208</v>
      </c>
      <c r="G200" s="137" t="s">
        <v>13439</v>
      </c>
      <c r="H200" s="132">
        <v>4</v>
      </c>
      <c r="I200" s="132"/>
      <c r="J200" s="132"/>
      <c r="K200" s="132"/>
      <c r="L200" s="139"/>
      <c r="M200" s="140"/>
      <c r="N200" s="141"/>
      <c r="O200" s="141"/>
      <c r="P200" s="142"/>
      <c r="Q200" s="141"/>
      <c r="R200" s="141"/>
      <c r="S200" s="141"/>
      <c r="T200" s="141"/>
      <c r="U200" s="142"/>
      <c r="V200" s="227"/>
      <c r="W200" s="236"/>
      <c r="X200" s="236"/>
      <c r="Y200" s="236"/>
      <c r="Z200" s="236"/>
      <c r="AA200" s="236"/>
      <c r="AB200" s="236"/>
      <c r="AC200" s="236"/>
      <c r="AD200" s="236"/>
      <c r="AE200" s="236"/>
      <c r="AF200" s="236"/>
      <c r="AG200" s="238"/>
      <c r="AH200" s="229"/>
      <c r="AI200" s="229"/>
      <c r="AJ200" s="229"/>
      <c r="AK200" s="229"/>
      <c r="AL200" s="229"/>
      <c r="AM200" s="229"/>
      <c r="AN200" s="229"/>
      <c r="AO200" s="229"/>
      <c r="AP200" s="229"/>
      <c r="AQ200" s="229"/>
      <c r="AR200" s="229"/>
      <c r="AS200" s="229"/>
      <c r="AT200" s="229"/>
      <c r="AU200" s="229"/>
      <c r="AV200" s="229"/>
      <c r="AW200" s="229"/>
      <c r="AX200" s="229"/>
      <c r="AY200" s="229"/>
      <c r="AZ200" s="229"/>
      <c r="BA200" s="229"/>
      <c r="BB200" s="229"/>
      <c r="BC200" s="229"/>
      <c r="BD200" s="229"/>
      <c r="BE200" s="227"/>
      <c r="BF200" s="227"/>
      <c r="BG200" s="227"/>
      <c r="BH200" s="227"/>
      <c r="BI200" s="133"/>
      <c r="BJ200" s="202"/>
      <c r="BK200" s="202"/>
      <c r="BL200" s="202"/>
      <c r="BM200" s="202"/>
      <c r="BN200" s="202"/>
      <c r="BO200" s="202"/>
      <c r="BP200" s="202"/>
      <c r="BQ200" s="202"/>
      <c r="BR200" s="202"/>
      <c r="BS200" s="202"/>
      <c r="BT200" s="202"/>
      <c r="BU200" s="202"/>
      <c r="BV200" s="202"/>
      <c r="BW200" s="202"/>
      <c r="BX200" s="202"/>
      <c r="BY200" s="202"/>
      <c r="BZ200" s="202"/>
      <c r="CA200" s="202"/>
      <c r="CB200" s="202"/>
      <c r="CC200" s="202"/>
      <c r="CD200" s="202"/>
      <c r="CE200" s="202"/>
      <c r="CF200" s="202"/>
      <c r="CG200" s="202"/>
      <c r="CH200" s="202"/>
      <c r="CI200" s="121"/>
      <c r="CJ200" s="121"/>
      <c r="CK200" s="121"/>
      <c r="CL200" s="121"/>
      <c r="CM200" s="121"/>
      <c r="CN200" s="121"/>
      <c r="CO200" s="121"/>
      <c r="CP200" s="121"/>
      <c r="CQ200" s="121"/>
      <c r="CR200" s="121"/>
      <c r="CS200" s="121"/>
      <c r="CT200" s="121"/>
      <c r="CU200" s="199"/>
      <c r="CV200" s="199"/>
      <c r="CW200" s="205"/>
      <c r="CX200" s="132"/>
      <c r="CY200" s="132"/>
      <c r="CZ200" s="132"/>
      <c r="DA200" s="132"/>
      <c r="DB200" s="132"/>
      <c r="DC200" s="132"/>
      <c r="DD200" s="132"/>
      <c r="DE200" s="103"/>
      <c r="DF200" s="103"/>
      <c r="DG200" s="103"/>
      <c r="DH200" s="103"/>
      <c r="DI200" s="103"/>
      <c r="DJ200" s="103"/>
      <c r="DK200" s="130"/>
      <c r="DL200" s="130"/>
      <c r="DM200" s="130"/>
      <c r="DN200" s="132"/>
      <c r="DO200" s="132">
        <v>4</v>
      </c>
    </row>
    <row r="201" ht="26.25" customHeight="1" spans="1:119">
      <c r="A201" s="131">
        <v>43962</v>
      </c>
      <c r="B201" s="100" t="s">
        <v>13442</v>
      </c>
      <c r="C201" s="100"/>
      <c r="D201" s="206"/>
      <c r="E201" s="206" t="s">
        <v>13361</v>
      </c>
      <c r="F201" s="136">
        <v>9214</v>
      </c>
      <c r="G201" s="137" t="s">
        <v>13276</v>
      </c>
      <c r="H201" s="132">
        <v>12</v>
      </c>
      <c r="I201" s="132"/>
      <c r="J201" s="132"/>
      <c r="K201" s="132"/>
      <c r="L201" s="139"/>
      <c r="M201" s="140"/>
      <c r="N201" s="141"/>
      <c r="O201" s="141"/>
      <c r="P201" s="142"/>
      <c r="Q201" s="141"/>
      <c r="R201" s="141"/>
      <c r="S201" s="141"/>
      <c r="T201" s="141"/>
      <c r="U201" s="142"/>
      <c r="V201" s="227"/>
      <c r="W201" s="236"/>
      <c r="X201" s="236"/>
      <c r="Y201" s="236"/>
      <c r="Z201" s="236"/>
      <c r="AA201" s="236"/>
      <c r="AB201" s="236"/>
      <c r="AC201" s="236"/>
      <c r="AD201" s="236"/>
      <c r="AE201" s="236"/>
      <c r="AF201" s="236"/>
      <c r="AG201" s="238"/>
      <c r="AH201" s="229"/>
      <c r="AI201" s="229"/>
      <c r="AJ201" s="229"/>
      <c r="AK201" s="229"/>
      <c r="AL201" s="229"/>
      <c r="AM201" s="229"/>
      <c r="AN201" s="229"/>
      <c r="AO201" s="229"/>
      <c r="AP201" s="229"/>
      <c r="AQ201" s="229"/>
      <c r="AR201" s="229"/>
      <c r="AS201" s="229"/>
      <c r="AT201" s="229"/>
      <c r="AU201" s="229"/>
      <c r="AV201" s="229"/>
      <c r="AW201" s="229"/>
      <c r="AX201" s="229">
        <v>12</v>
      </c>
      <c r="AY201" s="229">
        <v>12</v>
      </c>
      <c r="AZ201" s="229"/>
      <c r="BA201" s="229"/>
      <c r="BB201" s="229"/>
      <c r="BC201" s="229"/>
      <c r="BD201" s="229"/>
      <c r="BE201" s="227"/>
      <c r="BF201" s="227"/>
      <c r="BG201" s="227"/>
      <c r="BH201" s="227"/>
      <c r="BI201" s="133"/>
      <c r="BJ201" s="202"/>
      <c r="BK201" s="202"/>
      <c r="BL201" s="202"/>
      <c r="BM201" s="202"/>
      <c r="BN201" s="202"/>
      <c r="BO201" s="202"/>
      <c r="BP201" s="202"/>
      <c r="BQ201" s="202"/>
      <c r="BR201" s="202"/>
      <c r="BS201" s="202"/>
      <c r="BT201" s="202"/>
      <c r="BU201" s="202"/>
      <c r="BV201" s="202"/>
      <c r="BW201" s="202"/>
      <c r="BX201" s="202"/>
      <c r="BY201" s="202"/>
      <c r="BZ201" s="202"/>
      <c r="CA201" s="202"/>
      <c r="CB201" s="202"/>
      <c r="CC201" s="202"/>
      <c r="CD201" s="202"/>
      <c r="CE201" s="202"/>
      <c r="CF201" s="202"/>
      <c r="CG201" s="202"/>
      <c r="CH201" s="202"/>
      <c r="CI201" s="121"/>
      <c r="CJ201" s="121"/>
      <c r="CK201" s="121"/>
      <c r="CL201" s="121"/>
      <c r="CM201" s="121"/>
      <c r="CN201" s="121"/>
      <c r="CO201" s="121">
        <v>2</v>
      </c>
      <c r="CP201" s="121">
        <v>2</v>
      </c>
      <c r="CQ201" s="121">
        <v>2</v>
      </c>
      <c r="CR201" s="121">
        <v>2</v>
      </c>
      <c r="CS201" s="121">
        <v>2</v>
      </c>
      <c r="CT201" s="121">
        <v>2</v>
      </c>
      <c r="CU201" s="199"/>
      <c r="CV201" s="199"/>
      <c r="CW201" s="205"/>
      <c r="CX201" s="132"/>
      <c r="CY201" s="132"/>
      <c r="CZ201" s="132"/>
      <c r="DA201" s="132"/>
      <c r="DB201" s="132"/>
      <c r="DC201" s="132"/>
      <c r="DD201" s="132"/>
      <c r="DE201" s="103"/>
      <c r="DF201" s="103"/>
      <c r="DG201" s="103"/>
      <c r="DH201" s="103"/>
      <c r="DI201" s="103"/>
      <c r="DJ201" s="103"/>
      <c r="DK201" s="130"/>
      <c r="DL201" s="130"/>
      <c r="DM201" s="130"/>
      <c r="DN201" s="132"/>
      <c r="DO201" s="132"/>
    </row>
    <row r="202" ht="26.25" customHeight="1" spans="1:119">
      <c r="A202" s="131">
        <v>43963</v>
      </c>
      <c r="B202" s="100" t="s">
        <v>13366</v>
      </c>
      <c r="C202" s="100"/>
      <c r="D202" s="206" t="s">
        <v>13258</v>
      </c>
      <c r="E202" s="206" t="s">
        <v>13320</v>
      </c>
      <c r="F202" s="136" t="s">
        <v>13423</v>
      </c>
      <c r="G202" s="137" t="s">
        <v>13424</v>
      </c>
      <c r="H202" s="132">
        <v>10</v>
      </c>
      <c r="I202" s="132"/>
      <c r="J202" s="132"/>
      <c r="K202" s="132"/>
      <c r="L202" s="139"/>
      <c r="M202" s="140"/>
      <c r="N202" s="141"/>
      <c r="O202" s="141"/>
      <c r="P202" s="142"/>
      <c r="Q202" s="141"/>
      <c r="R202" s="141"/>
      <c r="S202" s="141"/>
      <c r="T202" s="141"/>
      <c r="U202" s="142"/>
      <c r="V202" s="227"/>
      <c r="W202" s="236"/>
      <c r="X202" s="236"/>
      <c r="Y202" s="236"/>
      <c r="Z202" s="236"/>
      <c r="AA202" s="236"/>
      <c r="AB202" s="236"/>
      <c r="AC202" s="236"/>
      <c r="AD202" s="236"/>
      <c r="AE202" s="236"/>
      <c r="AF202" s="236"/>
      <c r="AG202" s="238"/>
      <c r="AH202" s="229"/>
      <c r="AI202" s="229"/>
      <c r="AJ202" s="229"/>
      <c r="AK202" s="229"/>
      <c r="AL202" s="229"/>
      <c r="AM202" s="229"/>
      <c r="AN202" s="229"/>
      <c r="AO202" s="229"/>
      <c r="AP202" s="229"/>
      <c r="AQ202" s="229"/>
      <c r="AR202" s="229"/>
      <c r="AS202" s="229"/>
      <c r="AT202" s="229"/>
      <c r="AU202" s="229"/>
      <c r="AV202" s="229"/>
      <c r="AW202" s="229"/>
      <c r="AX202" s="229"/>
      <c r="AY202" s="229"/>
      <c r="AZ202" s="229"/>
      <c r="BA202" s="229"/>
      <c r="BB202" s="229"/>
      <c r="BC202" s="229"/>
      <c r="BD202" s="229"/>
      <c r="BE202" s="227"/>
      <c r="BF202" s="227"/>
      <c r="BG202" s="227"/>
      <c r="BH202" s="227"/>
      <c r="BI202" s="133"/>
      <c r="BJ202" s="202"/>
      <c r="BK202" s="202"/>
      <c r="BL202" s="202"/>
      <c r="BM202" s="202"/>
      <c r="BN202" s="202"/>
      <c r="BO202" s="202"/>
      <c r="BP202" s="202"/>
      <c r="BQ202" s="202"/>
      <c r="BR202" s="202"/>
      <c r="BS202" s="202"/>
      <c r="BT202" s="202"/>
      <c r="BU202" s="202"/>
      <c r="BV202" s="202"/>
      <c r="BW202" s="202"/>
      <c r="BX202" s="202"/>
      <c r="BY202" s="202"/>
      <c r="BZ202" s="202"/>
      <c r="CA202" s="202"/>
      <c r="CB202" s="202"/>
      <c r="CC202" s="202"/>
      <c r="CD202" s="202"/>
      <c r="CE202" s="202"/>
      <c r="CF202" s="202"/>
      <c r="CG202" s="202"/>
      <c r="CH202" s="202"/>
      <c r="CI202" s="121"/>
      <c r="CJ202" s="121"/>
      <c r="CK202" s="121"/>
      <c r="CL202" s="121"/>
      <c r="CM202" s="121"/>
      <c r="CN202" s="121"/>
      <c r="CO202" s="121"/>
      <c r="CP202" s="121"/>
      <c r="CQ202" s="121"/>
      <c r="CR202" s="121"/>
      <c r="CS202" s="121"/>
      <c r="CT202" s="121"/>
      <c r="CU202" s="199"/>
      <c r="CV202" s="199"/>
      <c r="CW202" s="205"/>
      <c r="CX202" s="132"/>
      <c r="CY202" s="132"/>
      <c r="CZ202" s="132"/>
      <c r="DA202" s="132"/>
      <c r="DB202" s="132"/>
      <c r="DC202" s="132"/>
      <c r="DD202" s="132"/>
      <c r="DE202" s="103"/>
      <c r="DF202" s="103">
        <v>2</v>
      </c>
      <c r="DG202" s="103">
        <v>2</v>
      </c>
      <c r="DH202" s="103">
        <v>2</v>
      </c>
      <c r="DI202" s="103">
        <v>2</v>
      </c>
      <c r="DJ202" s="103">
        <v>2</v>
      </c>
      <c r="DK202" s="130"/>
      <c r="DL202" s="130"/>
      <c r="DM202" s="130"/>
      <c r="DN202" s="132"/>
      <c r="DO202" s="132"/>
    </row>
    <row r="203" ht="26.25" customHeight="1" spans="1:119">
      <c r="A203" s="131">
        <v>43965</v>
      </c>
      <c r="B203" s="100" t="s">
        <v>13339</v>
      </c>
      <c r="C203" s="100">
        <v>4500030116</v>
      </c>
      <c r="D203" s="206" t="s">
        <v>13340</v>
      </c>
      <c r="E203" s="206" t="s">
        <v>13320</v>
      </c>
      <c r="F203" s="136">
        <v>9215</v>
      </c>
      <c r="G203" s="137" t="s">
        <v>13410</v>
      </c>
      <c r="H203" s="132">
        <v>28</v>
      </c>
      <c r="I203" s="132"/>
      <c r="J203" s="132"/>
      <c r="K203" s="132"/>
      <c r="L203" s="139"/>
      <c r="M203" s="140"/>
      <c r="N203" s="141"/>
      <c r="O203" s="141"/>
      <c r="P203" s="142"/>
      <c r="Q203" s="141"/>
      <c r="R203" s="141"/>
      <c r="S203" s="141"/>
      <c r="T203" s="141"/>
      <c r="U203" s="142"/>
      <c r="V203" s="227"/>
      <c r="W203" s="236"/>
      <c r="X203" s="236"/>
      <c r="Y203" s="236"/>
      <c r="Z203" s="236"/>
      <c r="AA203" s="236"/>
      <c r="AB203" s="236"/>
      <c r="AC203" s="236"/>
      <c r="AD203" s="236"/>
      <c r="AE203" s="236"/>
      <c r="AF203" s="236"/>
      <c r="AG203" s="238"/>
      <c r="AH203" s="229"/>
      <c r="AI203" s="229"/>
      <c r="AJ203" s="229"/>
      <c r="AK203" s="229"/>
      <c r="AL203" s="229"/>
      <c r="AM203" s="229"/>
      <c r="AN203" s="229"/>
      <c r="AO203" s="229"/>
      <c r="AP203" s="229"/>
      <c r="AQ203" s="229"/>
      <c r="AR203" s="229"/>
      <c r="AS203" s="229"/>
      <c r="AT203" s="229"/>
      <c r="AU203" s="229"/>
      <c r="AV203" s="229"/>
      <c r="AW203" s="229"/>
      <c r="AX203" s="229"/>
      <c r="AY203" s="229"/>
      <c r="AZ203" s="229"/>
      <c r="BA203" s="229"/>
      <c r="BB203" s="229"/>
      <c r="BC203" s="229"/>
      <c r="BD203" s="229"/>
      <c r="BE203" s="227"/>
      <c r="BF203" s="227"/>
      <c r="BG203" s="227"/>
      <c r="BH203" s="227"/>
      <c r="BI203" s="133"/>
      <c r="BJ203" s="202"/>
      <c r="BK203" s="202"/>
      <c r="BL203" s="202"/>
      <c r="BM203" s="202"/>
      <c r="BN203" s="202"/>
      <c r="BO203" s="202"/>
      <c r="BP203" s="202"/>
      <c r="BQ203" s="202"/>
      <c r="BR203" s="202"/>
      <c r="BS203" s="202"/>
      <c r="BT203" s="202"/>
      <c r="BU203" s="202"/>
      <c r="BV203" s="202"/>
      <c r="BW203" s="202"/>
      <c r="BX203" s="202"/>
      <c r="BY203" s="202"/>
      <c r="BZ203" s="202"/>
      <c r="CA203" s="202"/>
      <c r="CB203" s="202"/>
      <c r="CC203" s="202"/>
      <c r="CD203" s="202"/>
      <c r="CE203" s="202"/>
      <c r="CF203" s="202"/>
      <c r="CG203" s="202"/>
      <c r="CH203" s="202"/>
      <c r="CI203" s="121"/>
      <c r="CJ203" s="121"/>
      <c r="CK203" s="121"/>
      <c r="CL203" s="121"/>
      <c r="CM203" s="121"/>
      <c r="CN203" s="121"/>
      <c r="CO203" s="121"/>
      <c r="CP203" s="121"/>
      <c r="CQ203" s="121"/>
      <c r="CR203" s="121"/>
      <c r="CS203" s="121"/>
      <c r="CT203" s="121"/>
      <c r="CU203" s="199"/>
      <c r="CV203" s="199"/>
      <c r="CW203" s="205"/>
      <c r="CX203" s="132">
        <v>4</v>
      </c>
      <c r="CY203" s="132">
        <v>4</v>
      </c>
      <c r="CZ203" s="132">
        <v>4</v>
      </c>
      <c r="DA203" s="132">
        <v>4</v>
      </c>
      <c r="DB203" s="132">
        <v>4</v>
      </c>
      <c r="DC203" s="132">
        <v>4</v>
      </c>
      <c r="DD203" s="132">
        <v>4</v>
      </c>
      <c r="DE203" s="103"/>
      <c r="DF203" s="103"/>
      <c r="DG203" s="103"/>
      <c r="DH203" s="103"/>
      <c r="DI203" s="103"/>
      <c r="DJ203" s="103"/>
      <c r="DK203" s="130"/>
      <c r="DL203" s="130"/>
      <c r="DM203" s="130"/>
      <c r="DN203" s="132"/>
      <c r="DO203" s="132"/>
    </row>
    <row r="204" ht="26.25" customHeight="1" spans="1:119">
      <c r="A204" s="131">
        <v>43966</v>
      </c>
      <c r="B204" s="100" t="s">
        <v>13313</v>
      </c>
      <c r="C204" s="100">
        <v>4500029977</v>
      </c>
      <c r="D204" s="206" t="s">
        <v>13258</v>
      </c>
      <c r="E204" s="206" t="s">
        <v>13320</v>
      </c>
      <c r="F204" s="136">
        <v>9215</v>
      </c>
      <c r="G204" s="137" t="s">
        <v>13410</v>
      </c>
      <c r="H204" s="132">
        <v>6</v>
      </c>
      <c r="I204" s="132"/>
      <c r="J204" s="132"/>
      <c r="K204" s="132"/>
      <c r="L204" s="139"/>
      <c r="M204" s="140"/>
      <c r="N204" s="141"/>
      <c r="O204" s="141"/>
      <c r="P204" s="142"/>
      <c r="Q204" s="141"/>
      <c r="R204" s="141"/>
      <c r="S204" s="141"/>
      <c r="T204" s="141"/>
      <c r="U204" s="142"/>
      <c r="V204" s="227"/>
      <c r="W204" s="236"/>
      <c r="X204" s="236"/>
      <c r="Y204" s="236"/>
      <c r="Z204" s="236"/>
      <c r="AA204" s="236"/>
      <c r="AB204" s="236"/>
      <c r="AC204" s="236"/>
      <c r="AD204" s="236"/>
      <c r="AE204" s="236"/>
      <c r="AF204" s="236"/>
      <c r="AG204" s="238"/>
      <c r="AH204" s="229"/>
      <c r="AI204" s="229"/>
      <c r="AJ204" s="229"/>
      <c r="AK204" s="229"/>
      <c r="AL204" s="229"/>
      <c r="AM204" s="229"/>
      <c r="AN204" s="229"/>
      <c r="AO204" s="229"/>
      <c r="AP204" s="229"/>
      <c r="AQ204" s="229"/>
      <c r="AR204" s="229"/>
      <c r="AS204" s="229"/>
      <c r="AT204" s="229"/>
      <c r="AU204" s="229"/>
      <c r="AV204" s="229"/>
      <c r="AW204" s="229"/>
      <c r="AX204" s="229"/>
      <c r="AY204" s="229"/>
      <c r="AZ204" s="229"/>
      <c r="BA204" s="229"/>
      <c r="BB204" s="229"/>
      <c r="BC204" s="229"/>
      <c r="BD204" s="229"/>
      <c r="BE204" s="227"/>
      <c r="BF204" s="227"/>
      <c r="BG204" s="227"/>
      <c r="BH204" s="227"/>
      <c r="BI204" s="133"/>
      <c r="BJ204" s="202"/>
      <c r="BK204" s="202"/>
      <c r="BL204" s="202"/>
      <c r="BM204" s="202"/>
      <c r="BN204" s="202"/>
      <c r="BO204" s="202"/>
      <c r="BP204" s="202"/>
      <c r="BQ204" s="202"/>
      <c r="BR204" s="202"/>
      <c r="BS204" s="202"/>
      <c r="BT204" s="202"/>
      <c r="BU204" s="202"/>
      <c r="BV204" s="202"/>
      <c r="BW204" s="202"/>
      <c r="BX204" s="202"/>
      <c r="BY204" s="202"/>
      <c r="BZ204" s="202"/>
      <c r="CA204" s="202"/>
      <c r="CB204" s="202"/>
      <c r="CC204" s="202"/>
      <c r="CD204" s="202"/>
      <c r="CE204" s="202"/>
      <c r="CF204" s="202"/>
      <c r="CG204" s="202"/>
      <c r="CH204" s="202"/>
      <c r="CI204" s="121"/>
      <c r="CJ204" s="121"/>
      <c r="CK204" s="121"/>
      <c r="CL204" s="121"/>
      <c r="CM204" s="121"/>
      <c r="CN204" s="121"/>
      <c r="CO204" s="121"/>
      <c r="CP204" s="121"/>
      <c r="CQ204" s="121"/>
      <c r="CR204" s="121"/>
      <c r="CS204" s="121"/>
      <c r="CT204" s="121"/>
      <c r="CU204" s="199"/>
      <c r="CV204" s="199"/>
      <c r="CW204" s="205"/>
      <c r="CX204" s="132"/>
      <c r="CY204" s="132">
        <v>1</v>
      </c>
      <c r="CZ204" s="132">
        <v>1</v>
      </c>
      <c r="DA204" s="132">
        <v>1</v>
      </c>
      <c r="DB204" s="132">
        <v>1</v>
      </c>
      <c r="DC204" s="132">
        <v>1</v>
      </c>
      <c r="DD204" s="132">
        <v>1</v>
      </c>
      <c r="DE204" s="103"/>
      <c r="DF204" s="103"/>
      <c r="DG204" s="103"/>
      <c r="DH204" s="103"/>
      <c r="DI204" s="103"/>
      <c r="DJ204" s="103"/>
      <c r="DK204" s="130"/>
      <c r="DL204" s="130"/>
      <c r="DM204" s="130"/>
      <c r="DN204" s="132"/>
      <c r="DO204" s="132"/>
    </row>
    <row r="205" ht="26.25" customHeight="1" spans="1:119">
      <c r="A205" s="131">
        <v>43966</v>
      </c>
      <c r="B205" s="100" t="s">
        <v>13411</v>
      </c>
      <c r="C205" s="100">
        <v>4500029306</v>
      </c>
      <c r="D205" s="206" t="s">
        <v>13436</v>
      </c>
      <c r="E205" s="206" t="s">
        <v>13413</v>
      </c>
      <c r="F205" s="136">
        <v>9212</v>
      </c>
      <c r="G205" s="137" t="s">
        <v>13424</v>
      </c>
      <c r="H205" s="132">
        <v>3</v>
      </c>
      <c r="I205" s="132"/>
      <c r="J205" s="132"/>
      <c r="K205" s="132"/>
      <c r="L205" s="139"/>
      <c r="M205" s="140"/>
      <c r="N205" s="141"/>
      <c r="O205" s="141"/>
      <c r="P205" s="142"/>
      <c r="Q205" s="141"/>
      <c r="R205" s="141"/>
      <c r="S205" s="141"/>
      <c r="T205" s="141"/>
      <c r="U205" s="142"/>
      <c r="V205" s="227"/>
      <c r="W205" s="236"/>
      <c r="X205" s="236"/>
      <c r="Y205" s="236"/>
      <c r="Z205" s="236"/>
      <c r="AA205" s="236"/>
      <c r="AB205" s="236"/>
      <c r="AC205" s="236"/>
      <c r="AD205" s="236"/>
      <c r="AE205" s="236"/>
      <c r="AF205" s="236"/>
      <c r="AG205" s="238"/>
      <c r="AH205" s="229"/>
      <c r="AI205" s="229"/>
      <c r="AJ205" s="229"/>
      <c r="AK205" s="229"/>
      <c r="AL205" s="229"/>
      <c r="AM205" s="229"/>
      <c r="AN205" s="229"/>
      <c r="AO205" s="229"/>
      <c r="AP205" s="229"/>
      <c r="AQ205" s="229"/>
      <c r="AR205" s="229"/>
      <c r="AS205" s="229"/>
      <c r="AT205" s="229"/>
      <c r="AU205" s="229"/>
      <c r="AV205" s="229"/>
      <c r="AW205" s="229"/>
      <c r="AX205" s="229"/>
      <c r="AY205" s="229"/>
      <c r="AZ205" s="229"/>
      <c r="BA205" s="229"/>
      <c r="BB205" s="229"/>
      <c r="BC205" s="229"/>
      <c r="BD205" s="229"/>
      <c r="BE205" s="227"/>
      <c r="BF205" s="227"/>
      <c r="BG205" s="227"/>
      <c r="BH205" s="227"/>
      <c r="BI205" s="133"/>
      <c r="BJ205" s="202"/>
      <c r="BK205" s="202"/>
      <c r="BL205" s="202"/>
      <c r="BM205" s="202"/>
      <c r="BN205" s="202"/>
      <c r="BO205" s="202"/>
      <c r="BP205" s="202"/>
      <c r="BQ205" s="202"/>
      <c r="BR205" s="202"/>
      <c r="BS205" s="202"/>
      <c r="BT205" s="202"/>
      <c r="BU205" s="202"/>
      <c r="BV205" s="202"/>
      <c r="BW205" s="202"/>
      <c r="BX205" s="202"/>
      <c r="BY205" s="202"/>
      <c r="BZ205" s="202"/>
      <c r="CA205" s="202"/>
      <c r="CB205" s="202"/>
      <c r="CC205" s="202"/>
      <c r="CD205" s="202"/>
      <c r="CE205" s="202"/>
      <c r="CF205" s="202"/>
      <c r="CG205" s="202"/>
      <c r="CH205" s="202"/>
      <c r="CI205" s="121"/>
      <c r="CJ205" s="121"/>
      <c r="CK205" s="121"/>
      <c r="CL205" s="121"/>
      <c r="CM205" s="121"/>
      <c r="CN205" s="121"/>
      <c r="CO205" s="121"/>
      <c r="CP205" s="121"/>
      <c r="CQ205" s="121"/>
      <c r="CR205" s="121"/>
      <c r="CS205" s="121"/>
      <c r="CT205" s="121"/>
      <c r="CU205" s="199"/>
      <c r="CV205" s="199"/>
      <c r="CW205" s="205"/>
      <c r="CX205" s="132"/>
      <c r="CY205" s="132"/>
      <c r="CZ205" s="132"/>
      <c r="DA205" s="132"/>
      <c r="DB205" s="132"/>
      <c r="DC205" s="132"/>
      <c r="DD205" s="132"/>
      <c r="DE205" s="103">
        <v>1</v>
      </c>
      <c r="DF205" s="103"/>
      <c r="DG205" s="103"/>
      <c r="DH205" s="103">
        <v>1</v>
      </c>
      <c r="DI205" s="103">
        <v>1</v>
      </c>
      <c r="DJ205" s="103"/>
      <c r="DK205" s="130"/>
      <c r="DL205" s="130"/>
      <c r="DM205" s="130"/>
      <c r="DN205" s="132"/>
      <c r="DO205" s="132"/>
    </row>
    <row r="206" ht="26.25" customHeight="1" spans="1:119">
      <c r="A206" s="131">
        <v>43967</v>
      </c>
      <c r="B206" s="100" t="s">
        <v>13339</v>
      </c>
      <c r="C206" s="100">
        <v>4500029397</v>
      </c>
      <c r="D206" s="206" t="s">
        <v>13340</v>
      </c>
      <c r="E206" s="206" t="s">
        <v>13320</v>
      </c>
      <c r="F206" s="136">
        <v>9208</v>
      </c>
      <c r="G206" s="137" t="s">
        <v>13439</v>
      </c>
      <c r="H206" s="132">
        <v>4</v>
      </c>
      <c r="I206" s="132"/>
      <c r="J206" s="132"/>
      <c r="K206" s="132"/>
      <c r="L206" s="139"/>
      <c r="M206" s="140"/>
      <c r="N206" s="141"/>
      <c r="O206" s="141"/>
      <c r="P206" s="142"/>
      <c r="Q206" s="141"/>
      <c r="R206" s="141"/>
      <c r="S206" s="141"/>
      <c r="T206" s="141"/>
      <c r="U206" s="142"/>
      <c r="V206" s="227"/>
      <c r="W206" s="236"/>
      <c r="X206" s="236"/>
      <c r="Y206" s="236"/>
      <c r="Z206" s="236"/>
      <c r="AA206" s="236"/>
      <c r="AB206" s="236"/>
      <c r="AC206" s="236"/>
      <c r="AD206" s="236"/>
      <c r="AE206" s="236"/>
      <c r="AF206" s="236"/>
      <c r="AG206" s="238"/>
      <c r="AH206" s="229"/>
      <c r="AI206" s="229"/>
      <c r="AJ206" s="229"/>
      <c r="AK206" s="229"/>
      <c r="AL206" s="229"/>
      <c r="AM206" s="229"/>
      <c r="AN206" s="229"/>
      <c r="AO206" s="229"/>
      <c r="AP206" s="229"/>
      <c r="AQ206" s="229"/>
      <c r="AR206" s="229"/>
      <c r="AS206" s="229"/>
      <c r="AT206" s="229"/>
      <c r="AU206" s="229"/>
      <c r="AV206" s="229"/>
      <c r="AW206" s="229"/>
      <c r="AX206" s="229"/>
      <c r="AY206" s="229"/>
      <c r="AZ206" s="229"/>
      <c r="BA206" s="229"/>
      <c r="BB206" s="229"/>
      <c r="BC206" s="229"/>
      <c r="BD206" s="229"/>
      <c r="BE206" s="227"/>
      <c r="BF206" s="227"/>
      <c r="BG206" s="227"/>
      <c r="BH206" s="227"/>
      <c r="BI206" s="133"/>
      <c r="BJ206" s="202"/>
      <c r="BK206" s="202"/>
      <c r="BL206" s="202"/>
      <c r="BM206" s="202"/>
      <c r="BN206" s="202"/>
      <c r="BO206" s="202"/>
      <c r="BP206" s="202"/>
      <c r="BQ206" s="202"/>
      <c r="BR206" s="202"/>
      <c r="BS206" s="202"/>
      <c r="BT206" s="202"/>
      <c r="BU206" s="202"/>
      <c r="BV206" s="202"/>
      <c r="BW206" s="202"/>
      <c r="BX206" s="202"/>
      <c r="BY206" s="202"/>
      <c r="BZ206" s="202"/>
      <c r="CA206" s="202"/>
      <c r="CB206" s="202"/>
      <c r="CC206" s="202"/>
      <c r="CD206" s="202"/>
      <c r="CE206" s="202"/>
      <c r="CF206" s="202"/>
      <c r="CG206" s="202"/>
      <c r="CH206" s="202"/>
      <c r="CI206" s="121"/>
      <c r="CJ206" s="121"/>
      <c r="CK206" s="121"/>
      <c r="CL206" s="121"/>
      <c r="CM206" s="121"/>
      <c r="CN206" s="121"/>
      <c r="CO206" s="121"/>
      <c r="CP206" s="121"/>
      <c r="CQ206" s="121"/>
      <c r="CR206" s="121"/>
      <c r="CS206" s="121"/>
      <c r="CT206" s="121"/>
      <c r="CU206" s="199"/>
      <c r="CV206" s="199"/>
      <c r="CW206" s="205"/>
      <c r="CX206" s="132"/>
      <c r="CY206" s="132"/>
      <c r="CZ206" s="132"/>
      <c r="DA206" s="132"/>
      <c r="DB206" s="132"/>
      <c r="DC206" s="132"/>
      <c r="DD206" s="132"/>
      <c r="DE206" s="103"/>
      <c r="DF206" s="103"/>
      <c r="DG206" s="103"/>
      <c r="DH206" s="103"/>
      <c r="DI206" s="103"/>
      <c r="DJ206" s="103"/>
      <c r="DK206" s="130"/>
      <c r="DL206" s="130"/>
      <c r="DM206" s="130"/>
      <c r="DN206" s="132"/>
      <c r="DO206" s="132">
        <v>4</v>
      </c>
    </row>
    <row r="207" ht="26.25" customHeight="1" spans="1:119">
      <c r="A207" s="131">
        <v>43967</v>
      </c>
      <c r="B207" s="100" t="s">
        <v>13368</v>
      </c>
      <c r="C207" s="100"/>
      <c r="D207" s="206" t="s">
        <v>13443</v>
      </c>
      <c r="E207" s="206" t="s">
        <v>13315</v>
      </c>
      <c r="F207" s="136">
        <v>9214</v>
      </c>
      <c r="G207" s="137" t="s">
        <v>13276</v>
      </c>
      <c r="H207" s="132">
        <v>12</v>
      </c>
      <c r="I207" s="132"/>
      <c r="J207" s="132"/>
      <c r="K207" s="132"/>
      <c r="L207" s="139"/>
      <c r="M207" s="140"/>
      <c r="N207" s="141"/>
      <c r="O207" s="141"/>
      <c r="P207" s="142"/>
      <c r="Q207" s="141"/>
      <c r="R207" s="141"/>
      <c r="S207" s="141"/>
      <c r="T207" s="141"/>
      <c r="U207" s="142"/>
      <c r="V207" s="227"/>
      <c r="W207" s="236"/>
      <c r="X207" s="236"/>
      <c r="Y207" s="236"/>
      <c r="Z207" s="236"/>
      <c r="AA207" s="236"/>
      <c r="AB207" s="236"/>
      <c r="AC207" s="236"/>
      <c r="AD207" s="236"/>
      <c r="AE207" s="236"/>
      <c r="AF207" s="236"/>
      <c r="AG207" s="238"/>
      <c r="AH207" s="229"/>
      <c r="AI207" s="229"/>
      <c r="AJ207" s="229"/>
      <c r="AK207" s="229"/>
      <c r="AL207" s="229"/>
      <c r="AM207" s="229"/>
      <c r="AN207" s="229"/>
      <c r="AO207" s="229"/>
      <c r="AP207" s="229"/>
      <c r="AQ207" s="229"/>
      <c r="AR207" s="229"/>
      <c r="AS207" s="229"/>
      <c r="AT207" s="229"/>
      <c r="AU207" s="229"/>
      <c r="AV207" s="229"/>
      <c r="AW207" s="229"/>
      <c r="AX207" s="229"/>
      <c r="AY207" s="229"/>
      <c r="AZ207" s="229"/>
      <c r="BA207" s="229"/>
      <c r="BB207" s="229"/>
      <c r="BC207" s="229"/>
      <c r="BD207" s="229"/>
      <c r="BE207" s="227"/>
      <c r="BF207" s="227"/>
      <c r="BG207" s="227"/>
      <c r="BH207" s="227"/>
      <c r="BI207" s="133"/>
      <c r="BJ207" s="202"/>
      <c r="BK207" s="202"/>
      <c r="BL207" s="202"/>
      <c r="BM207" s="202"/>
      <c r="BN207" s="202"/>
      <c r="BO207" s="202"/>
      <c r="BP207" s="202"/>
      <c r="BQ207" s="202"/>
      <c r="BR207" s="202"/>
      <c r="BS207" s="202"/>
      <c r="BT207" s="202"/>
      <c r="BU207" s="202"/>
      <c r="BV207" s="202"/>
      <c r="BW207" s="202"/>
      <c r="BX207" s="202"/>
      <c r="BY207" s="202"/>
      <c r="BZ207" s="202"/>
      <c r="CA207" s="202"/>
      <c r="CB207" s="202"/>
      <c r="CC207" s="202"/>
      <c r="CD207" s="202"/>
      <c r="CE207" s="202"/>
      <c r="CF207" s="202"/>
      <c r="CG207" s="202"/>
      <c r="CH207" s="202"/>
      <c r="CI207" s="121"/>
      <c r="CJ207" s="121"/>
      <c r="CK207" s="121"/>
      <c r="CL207" s="121"/>
      <c r="CM207" s="121"/>
      <c r="CN207" s="121"/>
      <c r="CO207" s="121">
        <v>2</v>
      </c>
      <c r="CP207" s="121">
        <v>2</v>
      </c>
      <c r="CQ207" s="121">
        <v>2</v>
      </c>
      <c r="CR207" s="121">
        <v>2</v>
      </c>
      <c r="CS207" s="121">
        <v>2</v>
      </c>
      <c r="CT207" s="121">
        <v>2</v>
      </c>
      <c r="CU207" s="199"/>
      <c r="CV207" s="199"/>
      <c r="CW207" s="205"/>
      <c r="CX207" s="132"/>
      <c r="CY207" s="132"/>
      <c r="CZ207" s="132"/>
      <c r="DA207" s="132"/>
      <c r="DB207" s="132"/>
      <c r="DC207" s="132"/>
      <c r="DD207" s="132"/>
      <c r="DE207" s="103"/>
      <c r="DF207" s="103"/>
      <c r="DG207" s="103"/>
      <c r="DH207" s="103"/>
      <c r="DI207" s="103"/>
      <c r="DJ207" s="103"/>
      <c r="DK207" s="130"/>
      <c r="DL207" s="130"/>
      <c r="DM207" s="130"/>
      <c r="DN207" s="132"/>
      <c r="DO207" s="132"/>
    </row>
    <row r="208" ht="26.25" customHeight="1" spans="1:119">
      <c r="A208" s="131">
        <v>43967</v>
      </c>
      <c r="B208" s="100" t="s">
        <v>13368</v>
      </c>
      <c r="C208" s="100"/>
      <c r="D208" s="206" t="s">
        <v>13443</v>
      </c>
      <c r="E208" s="206" t="s">
        <v>13315</v>
      </c>
      <c r="F208" s="136">
        <v>9215</v>
      </c>
      <c r="G208" s="137" t="s">
        <v>13410</v>
      </c>
      <c r="H208" s="132">
        <v>14</v>
      </c>
      <c r="I208" s="132"/>
      <c r="J208" s="132"/>
      <c r="K208" s="132"/>
      <c r="L208" s="139"/>
      <c r="M208" s="140"/>
      <c r="N208" s="141"/>
      <c r="O208" s="141"/>
      <c r="P208" s="142"/>
      <c r="Q208" s="141"/>
      <c r="R208" s="141"/>
      <c r="S208" s="141"/>
      <c r="T208" s="141"/>
      <c r="U208" s="142"/>
      <c r="V208" s="227"/>
      <c r="W208" s="236"/>
      <c r="X208" s="236"/>
      <c r="Y208" s="236"/>
      <c r="Z208" s="236"/>
      <c r="AA208" s="236"/>
      <c r="AB208" s="236"/>
      <c r="AC208" s="236"/>
      <c r="AD208" s="236"/>
      <c r="AE208" s="236"/>
      <c r="AF208" s="236"/>
      <c r="AG208" s="238"/>
      <c r="AH208" s="229"/>
      <c r="AI208" s="229"/>
      <c r="AJ208" s="229"/>
      <c r="AK208" s="229"/>
      <c r="AL208" s="229"/>
      <c r="AM208" s="229"/>
      <c r="AN208" s="229"/>
      <c r="AO208" s="229"/>
      <c r="AP208" s="229"/>
      <c r="AQ208" s="229"/>
      <c r="AR208" s="229"/>
      <c r="AS208" s="229"/>
      <c r="AT208" s="229"/>
      <c r="AU208" s="229"/>
      <c r="AV208" s="229"/>
      <c r="AW208" s="229"/>
      <c r="AX208" s="229"/>
      <c r="AY208" s="229"/>
      <c r="AZ208" s="229"/>
      <c r="BA208" s="229"/>
      <c r="BB208" s="229"/>
      <c r="BC208" s="229"/>
      <c r="BD208" s="229"/>
      <c r="BE208" s="227"/>
      <c r="BF208" s="227"/>
      <c r="BG208" s="227"/>
      <c r="BH208" s="227"/>
      <c r="BI208" s="133"/>
      <c r="BJ208" s="202"/>
      <c r="BK208" s="202"/>
      <c r="BL208" s="202"/>
      <c r="BM208" s="202"/>
      <c r="BN208" s="202"/>
      <c r="BO208" s="202"/>
      <c r="BP208" s="202"/>
      <c r="BQ208" s="202"/>
      <c r="BR208" s="202"/>
      <c r="BS208" s="202"/>
      <c r="BT208" s="202"/>
      <c r="BU208" s="202"/>
      <c r="BV208" s="202"/>
      <c r="BW208" s="202"/>
      <c r="BX208" s="202"/>
      <c r="BY208" s="202"/>
      <c r="BZ208" s="202"/>
      <c r="CA208" s="202"/>
      <c r="CB208" s="202"/>
      <c r="CC208" s="202"/>
      <c r="CD208" s="202"/>
      <c r="CE208" s="202"/>
      <c r="CF208" s="202"/>
      <c r="CG208" s="202"/>
      <c r="CH208" s="202"/>
      <c r="CI208" s="121"/>
      <c r="CJ208" s="121"/>
      <c r="CK208" s="121"/>
      <c r="CL208" s="121"/>
      <c r="CM208" s="121"/>
      <c r="CN208" s="121"/>
      <c r="CO208" s="121"/>
      <c r="CP208" s="121"/>
      <c r="CQ208" s="121"/>
      <c r="CR208" s="121"/>
      <c r="CS208" s="121"/>
      <c r="CT208" s="121"/>
      <c r="CU208" s="199"/>
      <c r="CV208" s="199"/>
      <c r="CW208" s="205"/>
      <c r="CX208" s="132">
        <v>2</v>
      </c>
      <c r="CY208" s="132">
        <v>2</v>
      </c>
      <c r="CZ208" s="132">
        <v>2</v>
      </c>
      <c r="DA208" s="132">
        <v>2</v>
      </c>
      <c r="DB208" s="132">
        <v>2</v>
      </c>
      <c r="DC208" s="132">
        <v>2</v>
      </c>
      <c r="DD208" s="132">
        <v>2</v>
      </c>
      <c r="DE208" s="103"/>
      <c r="DF208" s="103"/>
      <c r="DG208" s="103"/>
      <c r="DH208" s="103"/>
      <c r="DI208" s="103"/>
      <c r="DJ208" s="103"/>
      <c r="DK208" s="130"/>
      <c r="DL208" s="130"/>
      <c r="DM208" s="130"/>
      <c r="DN208" s="132"/>
      <c r="DO208" s="132"/>
    </row>
    <row r="209" ht="26.25" customHeight="1" spans="1:119">
      <c r="A209" s="131">
        <v>43969</v>
      </c>
      <c r="B209" s="100" t="s">
        <v>13339</v>
      </c>
      <c r="C209" s="100">
        <v>4500029395</v>
      </c>
      <c r="D209" s="206" t="s">
        <v>13340</v>
      </c>
      <c r="E209" s="206" t="s">
        <v>13320</v>
      </c>
      <c r="F209" s="136">
        <v>9212</v>
      </c>
      <c r="G209" s="137" t="s">
        <v>13424</v>
      </c>
      <c r="H209" s="132">
        <v>18</v>
      </c>
      <c r="I209" s="132"/>
      <c r="J209" s="132"/>
      <c r="K209" s="132"/>
      <c r="L209" s="139"/>
      <c r="M209" s="140"/>
      <c r="N209" s="141"/>
      <c r="O209" s="141"/>
      <c r="P209" s="142"/>
      <c r="Q209" s="141"/>
      <c r="R209" s="141"/>
      <c r="S209" s="141"/>
      <c r="T209" s="141"/>
      <c r="U209" s="142"/>
      <c r="V209" s="227"/>
      <c r="W209" s="236"/>
      <c r="X209" s="236"/>
      <c r="Y209" s="236"/>
      <c r="Z209" s="236"/>
      <c r="AA209" s="236"/>
      <c r="AB209" s="236"/>
      <c r="AC209" s="236"/>
      <c r="AD209" s="236"/>
      <c r="AE209" s="236"/>
      <c r="AF209" s="236"/>
      <c r="AG209" s="238"/>
      <c r="AH209" s="229"/>
      <c r="AI209" s="229"/>
      <c r="AJ209" s="229"/>
      <c r="AK209" s="229"/>
      <c r="AL209" s="229"/>
      <c r="AM209" s="229"/>
      <c r="AN209" s="229"/>
      <c r="AO209" s="229"/>
      <c r="AP209" s="229"/>
      <c r="AQ209" s="229"/>
      <c r="AR209" s="229"/>
      <c r="AS209" s="229"/>
      <c r="AT209" s="229"/>
      <c r="AU209" s="229"/>
      <c r="AV209" s="229"/>
      <c r="AW209" s="229"/>
      <c r="AX209" s="229"/>
      <c r="AY209" s="229"/>
      <c r="AZ209" s="229"/>
      <c r="BA209" s="229"/>
      <c r="BB209" s="229"/>
      <c r="BC209" s="229"/>
      <c r="BD209" s="229"/>
      <c r="BE209" s="227"/>
      <c r="BF209" s="227"/>
      <c r="BG209" s="227"/>
      <c r="BH209" s="227"/>
      <c r="BI209" s="133"/>
      <c r="BJ209" s="202"/>
      <c r="BK209" s="202"/>
      <c r="BL209" s="202"/>
      <c r="BM209" s="202"/>
      <c r="BN209" s="202"/>
      <c r="BO209" s="202"/>
      <c r="BP209" s="202"/>
      <c r="BQ209" s="202"/>
      <c r="BR209" s="202"/>
      <c r="BS209" s="202"/>
      <c r="BT209" s="202"/>
      <c r="BU209" s="202"/>
      <c r="BV209" s="202"/>
      <c r="BW209" s="202"/>
      <c r="BX209" s="202"/>
      <c r="BY209" s="202"/>
      <c r="BZ209" s="202"/>
      <c r="CA209" s="202"/>
      <c r="CB209" s="202"/>
      <c r="CC209" s="202"/>
      <c r="CD209" s="202"/>
      <c r="CE209" s="202"/>
      <c r="CF209" s="202"/>
      <c r="CG209" s="202"/>
      <c r="CH209" s="202"/>
      <c r="CI209" s="121"/>
      <c r="CJ209" s="121"/>
      <c r="CK209" s="121"/>
      <c r="CL209" s="121"/>
      <c r="CM209" s="121"/>
      <c r="CN209" s="121"/>
      <c r="CO209" s="121"/>
      <c r="CP209" s="121"/>
      <c r="CQ209" s="121"/>
      <c r="CR209" s="121"/>
      <c r="CS209" s="121"/>
      <c r="CT209" s="121"/>
      <c r="CU209" s="199"/>
      <c r="CV209" s="199"/>
      <c r="CW209" s="205"/>
      <c r="CX209" s="132"/>
      <c r="CY209" s="132"/>
      <c r="CZ209" s="132"/>
      <c r="DA209" s="132"/>
      <c r="DB209" s="132"/>
      <c r="DC209" s="132"/>
      <c r="DD209" s="132"/>
      <c r="DE209" s="103">
        <v>3</v>
      </c>
      <c r="DF209" s="103">
        <v>3</v>
      </c>
      <c r="DG209" s="103">
        <v>3</v>
      </c>
      <c r="DH209" s="103">
        <v>3</v>
      </c>
      <c r="DI209" s="103">
        <v>3</v>
      </c>
      <c r="DJ209" s="103">
        <v>3</v>
      </c>
      <c r="DK209" s="130"/>
      <c r="DL209" s="130"/>
      <c r="DM209" s="130"/>
      <c r="DN209" s="132"/>
      <c r="DO209" s="132"/>
    </row>
    <row r="210" ht="26.25" customHeight="1" spans="1:119">
      <c r="A210" s="131">
        <v>43969</v>
      </c>
      <c r="B210" s="100" t="s">
        <v>6785</v>
      </c>
      <c r="C210" s="100">
        <v>4500029748</v>
      </c>
      <c r="D210" s="206" t="s">
        <v>5030</v>
      </c>
      <c r="E210" s="206" t="s">
        <v>13315</v>
      </c>
      <c r="F210" s="136">
        <v>9212</v>
      </c>
      <c r="G210" s="137" t="s">
        <v>13424</v>
      </c>
      <c r="H210" s="132">
        <v>18</v>
      </c>
      <c r="I210" s="132"/>
      <c r="J210" s="132"/>
      <c r="K210" s="132"/>
      <c r="L210" s="139"/>
      <c r="M210" s="140"/>
      <c r="N210" s="141"/>
      <c r="O210" s="141"/>
      <c r="P210" s="142"/>
      <c r="Q210" s="141"/>
      <c r="R210" s="141"/>
      <c r="S210" s="141"/>
      <c r="T210" s="141"/>
      <c r="U210" s="142"/>
      <c r="V210" s="227"/>
      <c r="W210" s="236"/>
      <c r="X210" s="236"/>
      <c r="Y210" s="236"/>
      <c r="Z210" s="236"/>
      <c r="AA210" s="236"/>
      <c r="AB210" s="236"/>
      <c r="AC210" s="236"/>
      <c r="AD210" s="236"/>
      <c r="AE210" s="236"/>
      <c r="AF210" s="236"/>
      <c r="AG210" s="238"/>
      <c r="AH210" s="229"/>
      <c r="AI210" s="229"/>
      <c r="AJ210" s="229"/>
      <c r="AK210" s="229"/>
      <c r="AL210" s="229"/>
      <c r="AM210" s="229"/>
      <c r="AN210" s="229"/>
      <c r="AO210" s="229"/>
      <c r="AP210" s="229"/>
      <c r="AQ210" s="229"/>
      <c r="AR210" s="229"/>
      <c r="AS210" s="229"/>
      <c r="AT210" s="229"/>
      <c r="AU210" s="229"/>
      <c r="AV210" s="229"/>
      <c r="AW210" s="229"/>
      <c r="AX210" s="229"/>
      <c r="AY210" s="229"/>
      <c r="AZ210" s="229"/>
      <c r="BA210" s="229"/>
      <c r="BB210" s="229"/>
      <c r="BC210" s="229"/>
      <c r="BD210" s="229"/>
      <c r="BE210" s="227"/>
      <c r="BF210" s="227"/>
      <c r="BG210" s="227"/>
      <c r="BH210" s="227"/>
      <c r="BI210" s="133"/>
      <c r="BJ210" s="202"/>
      <c r="BK210" s="202"/>
      <c r="BL210" s="202"/>
      <c r="BM210" s="202"/>
      <c r="BN210" s="202"/>
      <c r="BO210" s="202"/>
      <c r="BP210" s="202"/>
      <c r="BQ210" s="202"/>
      <c r="BR210" s="202"/>
      <c r="BS210" s="202"/>
      <c r="BT210" s="202"/>
      <c r="BU210" s="202"/>
      <c r="BV210" s="202"/>
      <c r="BW210" s="202"/>
      <c r="BX210" s="202"/>
      <c r="BY210" s="202"/>
      <c r="BZ210" s="202"/>
      <c r="CA210" s="202"/>
      <c r="CB210" s="202"/>
      <c r="CC210" s="202"/>
      <c r="CD210" s="202"/>
      <c r="CE210" s="202"/>
      <c r="CF210" s="202"/>
      <c r="CG210" s="202"/>
      <c r="CH210" s="202"/>
      <c r="CI210" s="121"/>
      <c r="CJ210" s="121"/>
      <c r="CK210" s="121"/>
      <c r="CL210" s="121"/>
      <c r="CM210" s="121"/>
      <c r="CN210" s="121"/>
      <c r="CO210" s="121"/>
      <c r="CP210" s="121"/>
      <c r="CQ210" s="121"/>
      <c r="CR210" s="121"/>
      <c r="CS210" s="121"/>
      <c r="CT210" s="121"/>
      <c r="CU210" s="199"/>
      <c r="CV210" s="199"/>
      <c r="CW210" s="205"/>
      <c r="CX210" s="132"/>
      <c r="CY210" s="132"/>
      <c r="CZ210" s="132"/>
      <c r="DA210" s="132"/>
      <c r="DB210" s="132"/>
      <c r="DC210" s="132"/>
      <c r="DD210" s="132"/>
      <c r="DE210" s="103">
        <v>3</v>
      </c>
      <c r="DF210" s="103">
        <v>3</v>
      </c>
      <c r="DG210" s="103">
        <v>3</v>
      </c>
      <c r="DH210" s="103">
        <v>3</v>
      </c>
      <c r="DI210" s="103">
        <v>3</v>
      </c>
      <c r="DJ210" s="103">
        <v>3</v>
      </c>
      <c r="DK210" s="130"/>
      <c r="DL210" s="130"/>
      <c r="DM210" s="130"/>
      <c r="DN210" s="132"/>
      <c r="DO210" s="132"/>
    </row>
    <row r="211" ht="26.25" customHeight="1" spans="1:119">
      <c r="A211" s="131">
        <v>43971</v>
      </c>
      <c r="B211" s="100" t="s">
        <v>13411</v>
      </c>
      <c r="C211" s="100"/>
      <c r="D211" s="206" t="s">
        <v>13443</v>
      </c>
      <c r="E211" s="206" t="s">
        <v>13315</v>
      </c>
      <c r="F211" s="136">
        <v>9212</v>
      </c>
      <c r="G211" s="137" t="s">
        <v>13424</v>
      </c>
      <c r="H211" s="132">
        <v>1</v>
      </c>
      <c r="I211" s="132"/>
      <c r="J211" s="132"/>
      <c r="K211" s="132"/>
      <c r="L211" s="139"/>
      <c r="M211" s="140"/>
      <c r="N211" s="141"/>
      <c r="O211" s="141"/>
      <c r="P211" s="142"/>
      <c r="Q211" s="141"/>
      <c r="R211" s="141"/>
      <c r="S211" s="141"/>
      <c r="T211" s="141"/>
      <c r="U211" s="142"/>
      <c r="V211" s="227"/>
      <c r="W211" s="236"/>
      <c r="X211" s="236"/>
      <c r="Y211" s="236"/>
      <c r="Z211" s="236"/>
      <c r="AA211" s="236"/>
      <c r="AB211" s="236"/>
      <c r="AC211" s="236"/>
      <c r="AD211" s="236"/>
      <c r="AE211" s="236"/>
      <c r="AF211" s="236"/>
      <c r="AG211" s="238"/>
      <c r="AH211" s="229"/>
      <c r="AI211" s="229"/>
      <c r="AJ211" s="229"/>
      <c r="AK211" s="229"/>
      <c r="AL211" s="229"/>
      <c r="AM211" s="229"/>
      <c r="AN211" s="229"/>
      <c r="AO211" s="229"/>
      <c r="AP211" s="229"/>
      <c r="AQ211" s="229"/>
      <c r="AR211" s="229"/>
      <c r="AS211" s="229"/>
      <c r="AT211" s="229"/>
      <c r="AU211" s="229"/>
      <c r="AV211" s="229"/>
      <c r="AW211" s="229"/>
      <c r="AX211" s="229"/>
      <c r="AY211" s="229"/>
      <c r="AZ211" s="229"/>
      <c r="BA211" s="229"/>
      <c r="BB211" s="229"/>
      <c r="BC211" s="229"/>
      <c r="BD211" s="229"/>
      <c r="BE211" s="227"/>
      <c r="BF211" s="227"/>
      <c r="BG211" s="227"/>
      <c r="BH211" s="227"/>
      <c r="BI211" s="133"/>
      <c r="BJ211" s="202"/>
      <c r="BK211" s="202"/>
      <c r="BL211" s="202"/>
      <c r="BM211" s="202"/>
      <c r="BN211" s="202"/>
      <c r="BO211" s="202"/>
      <c r="BP211" s="202"/>
      <c r="BQ211" s="202"/>
      <c r="BR211" s="202"/>
      <c r="BS211" s="202"/>
      <c r="BT211" s="202"/>
      <c r="BU211" s="202"/>
      <c r="BV211" s="202"/>
      <c r="BW211" s="202"/>
      <c r="BX211" s="202"/>
      <c r="BY211" s="202"/>
      <c r="BZ211" s="202"/>
      <c r="CA211" s="202"/>
      <c r="CB211" s="202"/>
      <c r="CC211" s="202"/>
      <c r="CD211" s="202"/>
      <c r="CE211" s="202"/>
      <c r="CF211" s="202"/>
      <c r="CG211" s="202"/>
      <c r="CH211" s="202"/>
      <c r="CI211" s="121"/>
      <c r="CJ211" s="121"/>
      <c r="CK211" s="121"/>
      <c r="CL211" s="121"/>
      <c r="CM211" s="121"/>
      <c r="CN211" s="121"/>
      <c r="CO211" s="121"/>
      <c r="CP211" s="121"/>
      <c r="CQ211" s="121"/>
      <c r="CR211" s="121"/>
      <c r="CS211" s="121"/>
      <c r="CT211" s="121"/>
      <c r="CU211" s="199"/>
      <c r="CV211" s="199"/>
      <c r="CW211" s="205"/>
      <c r="CX211" s="132"/>
      <c r="CY211" s="132"/>
      <c r="CZ211" s="132"/>
      <c r="DA211" s="132"/>
      <c r="DB211" s="132"/>
      <c r="DC211" s="132"/>
      <c r="DD211" s="132"/>
      <c r="DE211" s="103"/>
      <c r="DF211" s="103">
        <v>1</v>
      </c>
      <c r="DG211" s="103"/>
      <c r="DH211" s="103"/>
      <c r="DI211" s="103"/>
      <c r="DJ211" s="103"/>
      <c r="DK211" s="130"/>
      <c r="DL211" s="130"/>
      <c r="DM211" s="130"/>
      <c r="DN211" s="132"/>
      <c r="DO211" s="132"/>
    </row>
    <row r="212" ht="26.25" customHeight="1" spans="1:119">
      <c r="A212" s="131">
        <v>43974</v>
      </c>
      <c r="B212" s="99" t="s">
        <v>13444</v>
      </c>
      <c r="C212" s="215">
        <v>4500030754</v>
      </c>
      <c r="D212" s="206" t="s">
        <v>13359</v>
      </c>
      <c r="E212" s="206" t="s">
        <v>13322</v>
      </c>
      <c r="F212" s="136">
        <v>9214</v>
      </c>
      <c r="G212" s="137" t="s">
        <v>13276</v>
      </c>
      <c r="H212" s="132">
        <v>18</v>
      </c>
      <c r="I212" s="132"/>
      <c r="J212" s="132"/>
      <c r="K212" s="132"/>
      <c r="L212" s="139"/>
      <c r="M212" s="140"/>
      <c r="N212" s="141"/>
      <c r="O212" s="141"/>
      <c r="P212" s="142"/>
      <c r="Q212" s="141"/>
      <c r="R212" s="141"/>
      <c r="S212" s="141"/>
      <c r="T212" s="141"/>
      <c r="U212" s="142"/>
      <c r="V212" s="227"/>
      <c r="W212" s="236"/>
      <c r="X212" s="236"/>
      <c r="Y212" s="236"/>
      <c r="Z212" s="236"/>
      <c r="AA212" s="236"/>
      <c r="AB212" s="236"/>
      <c r="AC212" s="236"/>
      <c r="AD212" s="236"/>
      <c r="AE212" s="236"/>
      <c r="AF212" s="236"/>
      <c r="AG212" s="238"/>
      <c r="AH212" s="229"/>
      <c r="AI212" s="229"/>
      <c r="AJ212" s="229"/>
      <c r="AK212" s="229"/>
      <c r="AL212" s="229"/>
      <c r="AM212" s="229"/>
      <c r="AN212" s="229"/>
      <c r="AO212" s="229"/>
      <c r="AP212" s="229"/>
      <c r="AQ212" s="229"/>
      <c r="AR212" s="229"/>
      <c r="AS212" s="229"/>
      <c r="AT212" s="229"/>
      <c r="AU212" s="229"/>
      <c r="AV212" s="229"/>
      <c r="AW212" s="229"/>
      <c r="AX212" s="229"/>
      <c r="AY212" s="229"/>
      <c r="AZ212" s="229"/>
      <c r="BA212" s="229"/>
      <c r="BB212" s="229"/>
      <c r="BC212" s="229"/>
      <c r="BD212" s="229"/>
      <c r="BE212" s="227"/>
      <c r="BF212" s="227"/>
      <c r="BG212" s="227"/>
      <c r="BH212" s="227"/>
      <c r="BI212" s="133"/>
      <c r="BJ212" s="202"/>
      <c r="BK212" s="202"/>
      <c r="BL212" s="202"/>
      <c r="BM212" s="202"/>
      <c r="BN212" s="202"/>
      <c r="BO212" s="202"/>
      <c r="BP212" s="202"/>
      <c r="BQ212" s="202"/>
      <c r="BR212" s="202"/>
      <c r="BS212" s="202"/>
      <c r="BT212" s="202"/>
      <c r="BU212" s="202"/>
      <c r="BV212" s="202"/>
      <c r="BW212" s="202"/>
      <c r="BX212" s="202"/>
      <c r="BY212" s="202"/>
      <c r="BZ212" s="202"/>
      <c r="CA212" s="202"/>
      <c r="CB212" s="202"/>
      <c r="CC212" s="202"/>
      <c r="CD212" s="202"/>
      <c r="CE212" s="202"/>
      <c r="CF212" s="202"/>
      <c r="CG212" s="202"/>
      <c r="CH212" s="202"/>
      <c r="CI212" s="121"/>
      <c r="CJ212" s="121"/>
      <c r="CK212" s="121"/>
      <c r="CL212" s="121"/>
      <c r="CM212" s="121"/>
      <c r="CN212" s="121"/>
      <c r="CO212" s="121">
        <v>3</v>
      </c>
      <c r="CP212" s="121">
        <v>3</v>
      </c>
      <c r="CQ212" s="121">
        <v>3</v>
      </c>
      <c r="CR212" s="121">
        <v>3</v>
      </c>
      <c r="CS212" s="121">
        <v>3</v>
      </c>
      <c r="CT212" s="121">
        <v>3</v>
      </c>
      <c r="CU212" s="199"/>
      <c r="CV212" s="199"/>
      <c r="CW212" s="205"/>
      <c r="CX212" s="132"/>
      <c r="CY212" s="132"/>
      <c r="CZ212" s="132"/>
      <c r="DA212" s="132"/>
      <c r="DB212" s="132"/>
      <c r="DC212" s="132"/>
      <c r="DD212" s="132"/>
      <c r="DE212" s="103"/>
      <c r="DF212" s="103"/>
      <c r="DG212" s="103"/>
      <c r="DH212" s="103"/>
      <c r="DI212" s="103"/>
      <c r="DJ212" s="103"/>
      <c r="DK212" s="130"/>
      <c r="DL212" s="130"/>
      <c r="DM212" s="130"/>
      <c r="DN212" s="132"/>
      <c r="DO212" s="132"/>
    </row>
    <row r="213" ht="26.25" customHeight="1" spans="1:119">
      <c r="A213" s="131">
        <v>43976</v>
      </c>
      <c r="B213" s="100" t="s">
        <v>13346</v>
      </c>
      <c r="C213" s="100">
        <v>4500029531</v>
      </c>
      <c r="D213" s="206" t="s">
        <v>13343</v>
      </c>
      <c r="E213" s="206" t="s">
        <v>13320</v>
      </c>
      <c r="F213" s="136">
        <v>9214</v>
      </c>
      <c r="G213" s="137" t="s">
        <v>13276</v>
      </c>
      <c r="H213" s="132">
        <v>12</v>
      </c>
      <c r="I213" s="132"/>
      <c r="J213" s="132"/>
      <c r="K213" s="132"/>
      <c r="L213" s="139"/>
      <c r="M213" s="140"/>
      <c r="N213" s="141"/>
      <c r="O213" s="141"/>
      <c r="P213" s="142"/>
      <c r="Q213" s="141"/>
      <c r="R213" s="141"/>
      <c r="S213" s="141"/>
      <c r="T213" s="141"/>
      <c r="U213" s="142"/>
      <c r="V213" s="227"/>
      <c r="W213" s="236"/>
      <c r="X213" s="236"/>
      <c r="Y213" s="236"/>
      <c r="Z213" s="236"/>
      <c r="AA213" s="236"/>
      <c r="AB213" s="236"/>
      <c r="AC213" s="236"/>
      <c r="AD213" s="236"/>
      <c r="AE213" s="236"/>
      <c r="AF213" s="236"/>
      <c r="AG213" s="238"/>
      <c r="AH213" s="229"/>
      <c r="AI213" s="229"/>
      <c r="AJ213" s="229"/>
      <c r="AK213" s="229"/>
      <c r="AL213" s="229"/>
      <c r="AM213" s="229"/>
      <c r="AN213" s="229"/>
      <c r="AO213" s="229"/>
      <c r="AP213" s="229"/>
      <c r="AQ213" s="229"/>
      <c r="AR213" s="229"/>
      <c r="AS213" s="229"/>
      <c r="AT213" s="229"/>
      <c r="AU213" s="229"/>
      <c r="AV213" s="229"/>
      <c r="AW213" s="229"/>
      <c r="AX213" s="229"/>
      <c r="AY213" s="229"/>
      <c r="AZ213" s="229"/>
      <c r="BA213" s="229"/>
      <c r="BB213" s="229"/>
      <c r="BC213" s="229"/>
      <c r="BD213" s="229"/>
      <c r="BE213" s="227"/>
      <c r="BF213" s="227"/>
      <c r="BG213" s="227"/>
      <c r="BH213" s="227"/>
      <c r="BI213" s="133"/>
      <c r="BJ213" s="202"/>
      <c r="BK213" s="202"/>
      <c r="BL213" s="202"/>
      <c r="BM213" s="202"/>
      <c r="BN213" s="202"/>
      <c r="BO213" s="202"/>
      <c r="BP213" s="202"/>
      <c r="BQ213" s="202"/>
      <c r="BR213" s="202"/>
      <c r="BS213" s="202"/>
      <c r="BT213" s="202"/>
      <c r="BU213" s="202"/>
      <c r="BV213" s="202"/>
      <c r="BW213" s="202"/>
      <c r="BX213" s="202"/>
      <c r="BY213" s="202"/>
      <c r="BZ213" s="202"/>
      <c r="CA213" s="202"/>
      <c r="CB213" s="202"/>
      <c r="CC213" s="202"/>
      <c r="CD213" s="202"/>
      <c r="CE213" s="202"/>
      <c r="CF213" s="202"/>
      <c r="CG213" s="202"/>
      <c r="CH213" s="202"/>
      <c r="CI213" s="121"/>
      <c r="CJ213" s="121"/>
      <c r="CK213" s="121"/>
      <c r="CL213" s="121"/>
      <c r="CM213" s="121"/>
      <c r="CN213" s="121"/>
      <c r="CO213" s="121">
        <v>2</v>
      </c>
      <c r="CP213" s="121">
        <v>2</v>
      </c>
      <c r="CQ213" s="121">
        <v>2</v>
      </c>
      <c r="CR213" s="121">
        <v>2</v>
      </c>
      <c r="CS213" s="121">
        <v>2</v>
      </c>
      <c r="CT213" s="121">
        <v>2</v>
      </c>
      <c r="CU213" s="199"/>
      <c r="CV213" s="199"/>
      <c r="CW213" s="205"/>
      <c r="CX213" s="132"/>
      <c r="CY213" s="132"/>
      <c r="CZ213" s="132"/>
      <c r="DA213" s="132"/>
      <c r="DB213" s="132"/>
      <c r="DC213" s="132"/>
      <c r="DD213" s="132"/>
      <c r="DE213" s="103"/>
      <c r="DF213" s="103"/>
      <c r="DG213" s="103"/>
      <c r="DH213" s="103"/>
      <c r="DI213" s="103"/>
      <c r="DJ213" s="103"/>
      <c r="DK213" s="130"/>
      <c r="DL213" s="130"/>
      <c r="DM213" s="130"/>
      <c r="DN213" s="132"/>
      <c r="DO213" s="132"/>
    </row>
    <row r="214" ht="26.25" customHeight="1" spans="1:119">
      <c r="A214" s="131">
        <v>43976</v>
      </c>
      <c r="B214" s="100" t="s">
        <v>13346</v>
      </c>
      <c r="C214" s="100">
        <v>4500029531</v>
      </c>
      <c r="D214" s="206" t="s">
        <v>13343</v>
      </c>
      <c r="E214" s="206" t="s">
        <v>13320</v>
      </c>
      <c r="F214" s="136">
        <v>9215</v>
      </c>
      <c r="G214" s="137" t="s">
        <v>13410</v>
      </c>
      <c r="H214" s="132">
        <v>14</v>
      </c>
      <c r="I214" s="132"/>
      <c r="J214" s="132"/>
      <c r="K214" s="132"/>
      <c r="L214" s="139"/>
      <c r="M214" s="140"/>
      <c r="N214" s="141"/>
      <c r="O214" s="141"/>
      <c r="P214" s="142"/>
      <c r="Q214" s="141"/>
      <c r="R214" s="141"/>
      <c r="S214" s="141"/>
      <c r="T214" s="141"/>
      <c r="U214" s="142"/>
      <c r="V214" s="227"/>
      <c r="W214" s="236"/>
      <c r="X214" s="236"/>
      <c r="Y214" s="236"/>
      <c r="Z214" s="236"/>
      <c r="AA214" s="236"/>
      <c r="AB214" s="236"/>
      <c r="AC214" s="236"/>
      <c r="AD214" s="236"/>
      <c r="AE214" s="236"/>
      <c r="AF214" s="236"/>
      <c r="AG214" s="238"/>
      <c r="AH214" s="229"/>
      <c r="AI214" s="229"/>
      <c r="AJ214" s="229"/>
      <c r="AK214" s="229"/>
      <c r="AL214" s="229"/>
      <c r="AM214" s="229"/>
      <c r="AN214" s="229"/>
      <c r="AO214" s="229"/>
      <c r="AP214" s="229"/>
      <c r="AQ214" s="229"/>
      <c r="AR214" s="229"/>
      <c r="AS214" s="229"/>
      <c r="AT214" s="229"/>
      <c r="AU214" s="229"/>
      <c r="AV214" s="229"/>
      <c r="AW214" s="229"/>
      <c r="AX214" s="229"/>
      <c r="AY214" s="229"/>
      <c r="AZ214" s="229"/>
      <c r="BA214" s="229"/>
      <c r="BB214" s="229"/>
      <c r="BC214" s="229"/>
      <c r="BD214" s="229"/>
      <c r="BE214" s="227"/>
      <c r="BF214" s="227"/>
      <c r="BG214" s="227"/>
      <c r="BH214" s="227"/>
      <c r="BI214" s="133"/>
      <c r="BJ214" s="202"/>
      <c r="BK214" s="202"/>
      <c r="BL214" s="202"/>
      <c r="BM214" s="202"/>
      <c r="BN214" s="202"/>
      <c r="BO214" s="202"/>
      <c r="BP214" s="202"/>
      <c r="BQ214" s="202"/>
      <c r="BR214" s="202"/>
      <c r="BS214" s="202"/>
      <c r="BT214" s="202"/>
      <c r="BU214" s="202"/>
      <c r="BV214" s="202"/>
      <c r="BW214" s="202"/>
      <c r="BX214" s="202"/>
      <c r="BY214" s="202"/>
      <c r="BZ214" s="202"/>
      <c r="CA214" s="202"/>
      <c r="CB214" s="202"/>
      <c r="CC214" s="202"/>
      <c r="CD214" s="202"/>
      <c r="CE214" s="202"/>
      <c r="CF214" s="202"/>
      <c r="CG214" s="202"/>
      <c r="CH214" s="202"/>
      <c r="CI214" s="121"/>
      <c r="CJ214" s="121"/>
      <c r="CK214" s="121"/>
      <c r="CL214" s="121"/>
      <c r="CM214" s="121"/>
      <c r="CN214" s="121"/>
      <c r="CO214" s="121"/>
      <c r="CP214" s="121"/>
      <c r="CQ214" s="121"/>
      <c r="CR214" s="121"/>
      <c r="CS214" s="121"/>
      <c r="CT214" s="121"/>
      <c r="CU214" s="199"/>
      <c r="CV214" s="199"/>
      <c r="CW214" s="205"/>
      <c r="CX214" s="132">
        <v>2</v>
      </c>
      <c r="CY214" s="132">
        <v>2</v>
      </c>
      <c r="CZ214" s="132">
        <v>2</v>
      </c>
      <c r="DA214" s="132">
        <v>2</v>
      </c>
      <c r="DB214" s="132">
        <v>2</v>
      </c>
      <c r="DC214" s="132">
        <v>2</v>
      </c>
      <c r="DD214" s="132">
        <v>2</v>
      </c>
      <c r="DE214" s="103"/>
      <c r="DF214" s="103"/>
      <c r="DG214" s="103"/>
      <c r="DH214" s="103"/>
      <c r="DI214" s="103"/>
      <c r="DJ214" s="103"/>
      <c r="DK214" s="130"/>
      <c r="DL214" s="130"/>
      <c r="DM214" s="130"/>
      <c r="DN214" s="132"/>
      <c r="DO214" s="132"/>
    </row>
    <row r="215" ht="26.25" customHeight="1" spans="1:119">
      <c r="A215" s="131">
        <v>43977</v>
      </c>
      <c r="B215" s="100" t="s">
        <v>13373</v>
      </c>
      <c r="C215" s="100"/>
      <c r="D215" s="206" t="s">
        <v>13445</v>
      </c>
      <c r="E215" s="206" t="s">
        <v>13315</v>
      </c>
      <c r="F215" s="136">
        <v>9221</v>
      </c>
      <c r="G215" s="137" t="s">
        <v>13424</v>
      </c>
      <c r="H215" s="132">
        <v>4</v>
      </c>
      <c r="I215" s="132"/>
      <c r="J215" s="132"/>
      <c r="K215" s="132"/>
      <c r="L215" s="139"/>
      <c r="M215" s="140"/>
      <c r="N215" s="141"/>
      <c r="O215" s="141"/>
      <c r="P215" s="142"/>
      <c r="Q215" s="141"/>
      <c r="R215" s="141"/>
      <c r="S215" s="141"/>
      <c r="T215" s="141"/>
      <c r="U215" s="142"/>
      <c r="V215" s="227"/>
      <c r="W215" s="236"/>
      <c r="X215" s="236"/>
      <c r="Y215" s="236"/>
      <c r="Z215" s="236"/>
      <c r="AA215" s="236"/>
      <c r="AB215" s="236"/>
      <c r="AC215" s="236"/>
      <c r="AD215" s="236"/>
      <c r="AE215" s="236"/>
      <c r="AF215" s="236"/>
      <c r="AG215" s="238"/>
      <c r="AH215" s="229"/>
      <c r="AI215" s="229"/>
      <c r="AJ215" s="229"/>
      <c r="AK215" s="229"/>
      <c r="AL215" s="229"/>
      <c r="AM215" s="229"/>
      <c r="AN215" s="229"/>
      <c r="AO215" s="229"/>
      <c r="AP215" s="229"/>
      <c r="AQ215" s="229"/>
      <c r="AR215" s="229"/>
      <c r="AS215" s="229"/>
      <c r="AT215" s="229"/>
      <c r="AU215" s="229"/>
      <c r="AV215" s="229"/>
      <c r="AW215" s="229"/>
      <c r="AX215" s="229"/>
      <c r="AY215" s="229"/>
      <c r="AZ215" s="229"/>
      <c r="BA215" s="229"/>
      <c r="BB215" s="229"/>
      <c r="BC215" s="229"/>
      <c r="BD215" s="229"/>
      <c r="BE215" s="227"/>
      <c r="BF215" s="227"/>
      <c r="BG215" s="227"/>
      <c r="BH215" s="227"/>
      <c r="BI215" s="133"/>
      <c r="BJ215" s="202"/>
      <c r="BK215" s="202"/>
      <c r="BL215" s="202"/>
      <c r="BM215" s="202"/>
      <c r="BN215" s="202"/>
      <c r="BO215" s="202"/>
      <c r="BP215" s="202"/>
      <c r="BQ215" s="202"/>
      <c r="BR215" s="202"/>
      <c r="BS215" s="202"/>
      <c r="BT215" s="202"/>
      <c r="BU215" s="202"/>
      <c r="BV215" s="202"/>
      <c r="BW215" s="202"/>
      <c r="BX215" s="202"/>
      <c r="BY215" s="202"/>
      <c r="BZ215" s="202"/>
      <c r="CA215" s="202"/>
      <c r="CB215" s="202"/>
      <c r="CC215" s="202"/>
      <c r="CD215" s="202"/>
      <c r="CE215" s="202"/>
      <c r="CF215" s="202"/>
      <c r="CG215" s="202"/>
      <c r="CH215" s="202"/>
      <c r="CI215" s="121"/>
      <c r="CJ215" s="121"/>
      <c r="CK215" s="121"/>
      <c r="CL215" s="121"/>
      <c r="CM215" s="121"/>
      <c r="CN215" s="121"/>
      <c r="CO215" s="121"/>
      <c r="CP215" s="121"/>
      <c r="CQ215" s="121"/>
      <c r="CR215" s="121"/>
      <c r="CS215" s="121"/>
      <c r="CT215" s="121"/>
      <c r="CU215" s="199"/>
      <c r="CV215" s="199"/>
      <c r="CW215" s="205"/>
      <c r="CX215" s="132"/>
      <c r="CY215" s="132"/>
      <c r="CZ215" s="132"/>
      <c r="DA215" s="132"/>
      <c r="DB215" s="132"/>
      <c r="DC215" s="132"/>
      <c r="DD215" s="132"/>
      <c r="DE215" s="103"/>
      <c r="DF215" s="103">
        <v>1</v>
      </c>
      <c r="DG215" s="103">
        <v>1</v>
      </c>
      <c r="DH215" s="103">
        <v>1</v>
      </c>
      <c r="DI215" s="103">
        <v>1</v>
      </c>
      <c r="DJ215" s="103"/>
      <c r="DK215" s="130"/>
      <c r="DL215" s="130"/>
      <c r="DM215" s="130"/>
      <c r="DN215" s="132"/>
      <c r="DO215" s="132"/>
    </row>
    <row r="216" ht="26.25" customHeight="1" spans="1:119">
      <c r="A216" s="131">
        <v>43980</v>
      </c>
      <c r="B216" s="100" t="s">
        <v>13446</v>
      </c>
      <c r="C216" s="100">
        <v>4500031386</v>
      </c>
      <c r="D216" s="206" t="s">
        <v>13382</v>
      </c>
      <c r="E216" s="206" t="s">
        <v>13320</v>
      </c>
      <c r="F216" s="136">
        <v>9214</v>
      </c>
      <c r="G216" s="137" t="s">
        <v>13276</v>
      </c>
      <c r="H216" s="132">
        <v>12</v>
      </c>
      <c r="I216" s="132"/>
      <c r="J216" s="132"/>
      <c r="K216" s="132"/>
      <c r="L216" s="139"/>
      <c r="M216" s="140"/>
      <c r="N216" s="141"/>
      <c r="O216" s="141"/>
      <c r="P216" s="142"/>
      <c r="Q216" s="141"/>
      <c r="R216" s="141"/>
      <c r="S216" s="141"/>
      <c r="T216" s="141"/>
      <c r="U216" s="142"/>
      <c r="V216" s="227"/>
      <c r="W216" s="236"/>
      <c r="X216" s="236"/>
      <c r="Y216" s="236"/>
      <c r="Z216" s="236"/>
      <c r="AA216" s="236"/>
      <c r="AB216" s="236"/>
      <c r="AC216" s="236"/>
      <c r="AD216" s="236"/>
      <c r="AE216" s="236"/>
      <c r="AF216" s="236"/>
      <c r="AG216" s="238"/>
      <c r="AH216" s="229"/>
      <c r="AI216" s="229"/>
      <c r="AJ216" s="229"/>
      <c r="AK216" s="229"/>
      <c r="AL216" s="229"/>
      <c r="AM216" s="229"/>
      <c r="AN216" s="229"/>
      <c r="AO216" s="229"/>
      <c r="AP216" s="229"/>
      <c r="AQ216" s="229"/>
      <c r="AR216" s="229"/>
      <c r="AS216" s="229"/>
      <c r="AT216" s="229"/>
      <c r="AU216" s="229"/>
      <c r="AV216" s="229"/>
      <c r="AW216" s="229"/>
      <c r="AX216" s="229">
        <v>12</v>
      </c>
      <c r="AY216" s="229">
        <v>12</v>
      </c>
      <c r="AZ216" s="229"/>
      <c r="BA216" s="229"/>
      <c r="BB216" s="229"/>
      <c r="BC216" s="229"/>
      <c r="BD216" s="229"/>
      <c r="BE216" s="227"/>
      <c r="BF216" s="227"/>
      <c r="BG216" s="227"/>
      <c r="BH216" s="227"/>
      <c r="BI216" s="133"/>
      <c r="BJ216" s="202"/>
      <c r="BK216" s="202"/>
      <c r="BL216" s="202"/>
      <c r="BM216" s="202"/>
      <c r="BN216" s="202"/>
      <c r="BO216" s="202"/>
      <c r="BP216" s="202"/>
      <c r="BQ216" s="202"/>
      <c r="BR216" s="202"/>
      <c r="BS216" s="202"/>
      <c r="BT216" s="202"/>
      <c r="BU216" s="202"/>
      <c r="BV216" s="202"/>
      <c r="BW216" s="202"/>
      <c r="BX216" s="202"/>
      <c r="BY216" s="202"/>
      <c r="BZ216" s="202"/>
      <c r="CA216" s="202"/>
      <c r="CB216" s="202"/>
      <c r="CC216" s="202"/>
      <c r="CD216" s="202"/>
      <c r="CE216" s="202"/>
      <c r="CF216" s="202"/>
      <c r="CG216" s="202"/>
      <c r="CH216" s="202"/>
      <c r="CI216" s="121"/>
      <c r="CJ216" s="121"/>
      <c r="CK216" s="121"/>
      <c r="CL216" s="121"/>
      <c r="CM216" s="121"/>
      <c r="CN216" s="121"/>
      <c r="CO216" s="121">
        <v>2</v>
      </c>
      <c r="CP216" s="121">
        <v>2</v>
      </c>
      <c r="CQ216" s="121">
        <v>2</v>
      </c>
      <c r="CR216" s="121">
        <v>2</v>
      </c>
      <c r="CS216" s="121">
        <v>2</v>
      </c>
      <c r="CT216" s="121">
        <v>2</v>
      </c>
      <c r="CU216" s="199"/>
      <c r="CV216" s="199"/>
      <c r="CW216" s="205"/>
      <c r="CX216" s="132"/>
      <c r="CY216" s="132"/>
      <c r="CZ216" s="132"/>
      <c r="DA216" s="132"/>
      <c r="DB216" s="132"/>
      <c r="DC216" s="132"/>
      <c r="DD216" s="132"/>
      <c r="DE216" s="103"/>
      <c r="DF216" s="103"/>
      <c r="DG216" s="103"/>
      <c r="DH216" s="103"/>
      <c r="DI216" s="103"/>
      <c r="DJ216" s="103"/>
      <c r="DK216" s="130"/>
      <c r="DL216" s="130"/>
      <c r="DM216" s="130"/>
      <c r="DN216" s="132"/>
      <c r="DO216" s="132"/>
    </row>
    <row r="217" ht="26.25" customHeight="1" spans="1:119">
      <c r="A217" s="131">
        <v>43980</v>
      </c>
      <c r="B217" s="100" t="s">
        <v>13446</v>
      </c>
      <c r="C217" s="100">
        <v>4500031386</v>
      </c>
      <c r="D217" s="206" t="s">
        <v>13382</v>
      </c>
      <c r="E217" s="206" t="s">
        <v>13320</v>
      </c>
      <c r="F217" s="136">
        <v>9215</v>
      </c>
      <c r="G217" s="137" t="s">
        <v>13410</v>
      </c>
      <c r="H217" s="132">
        <v>2</v>
      </c>
      <c r="I217" s="132"/>
      <c r="J217" s="132"/>
      <c r="K217" s="132"/>
      <c r="L217" s="139"/>
      <c r="M217" s="140"/>
      <c r="N217" s="141"/>
      <c r="O217" s="141"/>
      <c r="P217" s="142"/>
      <c r="Q217" s="141"/>
      <c r="R217" s="141"/>
      <c r="S217" s="141"/>
      <c r="T217" s="141"/>
      <c r="U217" s="142"/>
      <c r="V217" s="227"/>
      <c r="W217" s="236"/>
      <c r="X217" s="236"/>
      <c r="Y217" s="236"/>
      <c r="Z217" s="236"/>
      <c r="AA217" s="236"/>
      <c r="AB217" s="236"/>
      <c r="AC217" s="236"/>
      <c r="AD217" s="236"/>
      <c r="AE217" s="236"/>
      <c r="AF217" s="236"/>
      <c r="AG217" s="238"/>
      <c r="AH217" s="229"/>
      <c r="AI217" s="229"/>
      <c r="AJ217" s="229"/>
      <c r="AK217" s="229"/>
      <c r="AL217" s="229"/>
      <c r="AM217" s="229"/>
      <c r="AN217" s="229"/>
      <c r="AO217" s="229"/>
      <c r="AP217" s="229"/>
      <c r="AQ217" s="229"/>
      <c r="AR217" s="229"/>
      <c r="AS217" s="229"/>
      <c r="AT217" s="229"/>
      <c r="AU217" s="229"/>
      <c r="AV217" s="229"/>
      <c r="AW217" s="229"/>
      <c r="AX217" s="229"/>
      <c r="AY217" s="229"/>
      <c r="AZ217" s="229"/>
      <c r="BA217" s="229"/>
      <c r="BB217" s="229"/>
      <c r="BC217" s="229"/>
      <c r="BD217" s="229"/>
      <c r="BE217" s="227"/>
      <c r="BF217" s="227"/>
      <c r="BG217" s="227"/>
      <c r="BH217" s="227"/>
      <c r="BI217" s="133"/>
      <c r="BJ217" s="202"/>
      <c r="BK217" s="202"/>
      <c r="BL217" s="202"/>
      <c r="BM217" s="202"/>
      <c r="BN217" s="202"/>
      <c r="BO217" s="202"/>
      <c r="BP217" s="202"/>
      <c r="BQ217" s="202"/>
      <c r="BR217" s="202"/>
      <c r="BS217" s="202"/>
      <c r="BT217" s="202"/>
      <c r="BU217" s="202"/>
      <c r="BV217" s="202"/>
      <c r="BW217" s="202"/>
      <c r="BX217" s="202"/>
      <c r="BY217" s="202"/>
      <c r="BZ217" s="202"/>
      <c r="CA217" s="202"/>
      <c r="CB217" s="202"/>
      <c r="CC217" s="202"/>
      <c r="CD217" s="202"/>
      <c r="CE217" s="202"/>
      <c r="CF217" s="202"/>
      <c r="CG217" s="202"/>
      <c r="CH217" s="202"/>
      <c r="CI217" s="121"/>
      <c r="CJ217" s="121"/>
      <c r="CK217" s="121"/>
      <c r="CL217" s="121"/>
      <c r="CM217" s="121"/>
      <c r="CN217" s="121"/>
      <c r="CO217" s="121"/>
      <c r="CP217" s="121"/>
      <c r="CQ217" s="121"/>
      <c r="CR217" s="121"/>
      <c r="CS217" s="121"/>
      <c r="CT217" s="121"/>
      <c r="CU217" s="199"/>
      <c r="CV217" s="199"/>
      <c r="CW217" s="205"/>
      <c r="CX217" s="132"/>
      <c r="CY217" s="132">
        <v>1</v>
      </c>
      <c r="CZ217" s="132"/>
      <c r="DA217" s="132"/>
      <c r="DB217" s="132"/>
      <c r="DC217" s="132">
        <v>1</v>
      </c>
      <c r="DD217" s="132"/>
      <c r="DE217" s="103"/>
      <c r="DF217" s="103"/>
      <c r="DG217" s="103"/>
      <c r="DH217" s="103"/>
      <c r="DI217" s="103"/>
      <c r="DJ217" s="103"/>
      <c r="DK217" s="130"/>
      <c r="DL217" s="130"/>
      <c r="DM217" s="130"/>
      <c r="DN217" s="132"/>
      <c r="DO217" s="132"/>
    </row>
    <row r="218" ht="26.25" customHeight="1" spans="1:119">
      <c r="A218" s="131">
        <v>43981</v>
      </c>
      <c r="B218" s="100" t="s">
        <v>13411</v>
      </c>
      <c r="C218" s="100"/>
      <c r="D218" s="206" t="s">
        <v>13443</v>
      </c>
      <c r="E218" s="206" t="s">
        <v>13315</v>
      </c>
      <c r="F218" s="136">
        <v>9212</v>
      </c>
      <c r="G218" s="137" t="s">
        <v>13424</v>
      </c>
      <c r="H218" s="132">
        <v>18</v>
      </c>
      <c r="I218" s="132"/>
      <c r="J218" s="132"/>
      <c r="K218" s="132"/>
      <c r="L218" s="139"/>
      <c r="M218" s="140"/>
      <c r="N218" s="141"/>
      <c r="O218" s="141"/>
      <c r="P218" s="142"/>
      <c r="Q218" s="141"/>
      <c r="R218" s="141"/>
      <c r="S218" s="141"/>
      <c r="T218" s="141"/>
      <c r="U218" s="142"/>
      <c r="V218" s="227"/>
      <c r="W218" s="236"/>
      <c r="X218" s="236"/>
      <c r="Y218" s="236"/>
      <c r="Z218" s="236"/>
      <c r="AA218" s="236"/>
      <c r="AB218" s="236"/>
      <c r="AC218" s="236"/>
      <c r="AD218" s="236"/>
      <c r="AE218" s="236"/>
      <c r="AF218" s="236"/>
      <c r="AG218" s="238"/>
      <c r="AH218" s="229"/>
      <c r="AI218" s="229"/>
      <c r="AJ218" s="229"/>
      <c r="AK218" s="229"/>
      <c r="AL218" s="229"/>
      <c r="AM218" s="229"/>
      <c r="AN218" s="229"/>
      <c r="AO218" s="229"/>
      <c r="AP218" s="229"/>
      <c r="AQ218" s="229"/>
      <c r="AR218" s="229"/>
      <c r="AS218" s="229"/>
      <c r="AT218" s="229"/>
      <c r="AU218" s="229"/>
      <c r="AV218" s="229"/>
      <c r="AW218" s="229"/>
      <c r="AX218" s="229"/>
      <c r="AY218" s="229"/>
      <c r="AZ218" s="229"/>
      <c r="BA218" s="229"/>
      <c r="BB218" s="229"/>
      <c r="BC218" s="229"/>
      <c r="BD218" s="229"/>
      <c r="BE218" s="227"/>
      <c r="BF218" s="227"/>
      <c r="BG218" s="227"/>
      <c r="BH218" s="227"/>
      <c r="BI218" s="133"/>
      <c r="BJ218" s="202"/>
      <c r="BK218" s="202"/>
      <c r="BL218" s="202"/>
      <c r="BM218" s="202"/>
      <c r="BN218" s="202"/>
      <c r="BO218" s="202"/>
      <c r="BP218" s="202"/>
      <c r="BQ218" s="202"/>
      <c r="BR218" s="202"/>
      <c r="BS218" s="202"/>
      <c r="BT218" s="202"/>
      <c r="BU218" s="202"/>
      <c r="BV218" s="202"/>
      <c r="BW218" s="202"/>
      <c r="BX218" s="202"/>
      <c r="BY218" s="202"/>
      <c r="BZ218" s="202"/>
      <c r="CA218" s="202"/>
      <c r="CB218" s="202"/>
      <c r="CC218" s="202"/>
      <c r="CD218" s="202"/>
      <c r="CE218" s="202"/>
      <c r="CF218" s="202"/>
      <c r="CG218" s="202"/>
      <c r="CH218" s="202"/>
      <c r="CI218" s="121"/>
      <c r="CJ218" s="121"/>
      <c r="CK218" s="121"/>
      <c r="CL218" s="121"/>
      <c r="CM218" s="121"/>
      <c r="CN218" s="121"/>
      <c r="CO218" s="121"/>
      <c r="CP218" s="121"/>
      <c r="CQ218" s="121"/>
      <c r="CR218" s="121"/>
      <c r="CS218" s="121"/>
      <c r="CT218" s="121"/>
      <c r="CU218" s="199"/>
      <c r="CV218" s="199"/>
      <c r="CW218" s="205"/>
      <c r="CX218" s="132"/>
      <c r="CY218" s="132"/>
      <c r="CZ218" s="132"/>
      <c r="DA218" s="132"/>
      <c r="DB218" s="132"/>
      <c r="DC218" s="132"/>
      <c r="DD218" s="132"/>
      <c r="DE218" s="103">
        <v>3</v>
      </c>
      <c r="DF218" s="103">
        <v>3</v>
      </c>
      <c r="DG218" s="103">
        <v>3</v>
      </c>
      <c r="DH218" s="103">
        <v>3</v>
      </c>
      <c r="DI218" s="103">
        <v>3</v>
      </c>
      <c r="DJ218" s="103">
        <v>3</v>
      </c>
      <c r="DK218" s="130"/>
      <c r="DL218" s="130"/>
      <c r="DM218" s="130"/>
      <c r="DN218" s="132"/>
      <c r="DO218" s="132"/>
    </row>
    <row r="219" ht="26.25" customHeight="1" spans="1:119">
      <c r="A219" s="131">
        <v>43983</v>
      </c>
      <c r="B219" s="100" t="s">
        <v>13253</v>
      </c>
      <c r="C219" s="100">
        <v>4500029262</v>
      </c>
      <c r="D219" s="206" t="s">
        <v>13325</v>
      </c>
      <c r="E219" s="206" t="s">
        <v>13322</v>
      </c>
      <c r="F219" s="136">
        <v>9212</v>
      </c>
      <c r="G219" s="137" t="s">
        <v>13424</v>
      </c>
      <c r="H219" s="132">
        <v>2</v>
      </c>
      <c r="I219" s="132"/>
      <c r="J219" s="132"/>
      <c r="K219" s="132"/>
      <c r="L219" s="139"/>
      <c r="M219" s="140"/>
      <c r="N219" s="141"/>
      <c r="O219" s="141"/>
      <c r="P219" s="142"/>
      <c r="Q219" s="141"/>
      <c r="R219" s="141"/>
      <c r="S219" s="141"/>
      <c r="T219" s="141"/>
      <c r="U219" s="142"/>
      <c r="V219" s="227"/>
      <c r="W219" s="236"/>
      <c r="X219" s="236"/>
      <c r="Y219" s="236"/>
      <c r="Z219" s="236"/>
      <c r="AA219" s="236"/>
      <c r="AB219" s="236"/>
      <c r="AC219" s="236"/>
      <c r="AD219" s="236"/>
      <c r="AE219" s="236"/>
      <c r="AF219" s="236"/>
      <c r="AG219" s="238"/>
      <c r="AH219" s="229"/>
      <c r="AI219" s="229"/>
      <c r="AJ219" s="229"/>
      <c r="AK219" s="229"/>
      <c r="AL219" s="229"/>
      <c r="AM219" s="229"/>
      <c r="AN219" s="229"/>
      <c r="AO219" s="229"/>
      <c r="AP219" s="229"/>
      <c r="AQ219" s="229"/>
      <c r="AR219" s="229"/>
      <c r="AS219" s="229"/>
      <c r="AT219" s="229"/>
      <c r="AU219" s="229"/>
      <c r="AV219" s="229"/>
      <c r="AW219" s="229"/>
      <c r="AX219" s="229"/>
      <c r="AY219" s="229"/>
      <c r="AZ219" s="229"/>
      <c r="BA219" s="229"/>
      <c r="BB219" s="229"/>
      <c r="BC219" s="229"/>
      <c r="BD219" s="229"/>
      <c r="BE219" s="227"/>
      <c r="BF219" s="227"/>
      <c r="BG219" s="227"/>
      <c r="BH219" s="227"/>
      <c r="BI219" s="133"/>
      <c r="BJ219" s="202"/>
      <c r="BK219" s="202"/>
      <c r="BL219" s="202"/>
      <c r="BM219" s="202"/>
      <c r="BN219" s="202"/>
      <c r="BO219" s="202"/>
      <c r="BP219" s="202"/>
      <c r="BQ219" s="202"/>
      <c r="BR219" s="202"/>
      <c r="BS219" s="202"/>
      <c r="BT219" s="202"/>
      <c r="BU219" s="202"/>
      <c r="BV219" s="202"/>
      <c r="BW219" s="202"/>
      <c r="BX219" s="202"/>
      <c r="BY219" s="202"/>
      <c r="BZ219" s="202"/>
      <c r="CA219" s="202"/>
      <c r="CB219" s="202"/>
      <c r="CC219" s="202"/>
      <c r="CD219" s="202"/>
      <c r="CE219" s="202"/>
      <c r="CF219" s="202"/>
      <c r="CG219" s="202"/>
      <c r="CH219" s="202"/>
      <c r="CI219" s="121"/>
      <c r="CJ219" s="121"/>
      <c r="CK219" s="121"/>
      <c r="CL219" s="121"/>
      <c r="CM219" s="121"/>
      <c r="CN219" s="121"/>
      <c r="CO219" s="121"/>
      <c r="CP219" s="121"/>
      <c r="CQ219" s="121"/>
      <c r="CR219" s="121"/>
      <c r="CS219" s="121"/>
      <c r="CT219" s="121"/>
      <c r="CU219" s="199"/>
      <c r="CV219" s="199"/>
      <c r="CW219" s="205"/>
      <c r="CX219" s="132"/>
      <c r="CY219" s="132"/>
      <c r="CZ219" s="132"/>
      <c r="DA219" s="132"/>
      <c r="DB219" s="132"/>
      <c r="DC219" s="132"/>
      <c r="DD219" s="132"/>
      <c r="DE219" s="103"/>
      <c r="DF219" s="103"/>
      <c r="DG219" s="103">
        <v>1</v>
      </c>
      <c r="DH219" s="103"/>
      <c r="DI219" s="103">
        <v>1</v>
      </c>
      <c r="DJ219" s="103"/>
      <c r="DK219" s="130"/>
      <c r="DL219" s="130"/>
      <c r="DM219" s="130"/>
      <c r="DN219" s="132"/>
      <c r="DO219" s="132"/>
    </row>
    <row r="220" ht="26.25" customHeight="1" spans="1:119">
      <c r="A220" s="131">
        <v>43983</v>
      </c>
      <c r="B220" s="100" t="s">
        <v>13253</v>
      </c>
      <c r="C220" s="100">
        <v>4500029262</v>
      </c>
      <c r="D220" s="206" t="s">
        <v>13325</v>
      </c>
      <c r="E220" s="206" t="s">
        <v>13322</v>
      </c>
      <c r="F220" s="136">
        <v>9215</v>
      </c>
      <c r="G220" s="137" t="s">
        <v>13410</v>
      </c>
      <c r="H220" s="132">
        <v>2</v>
      </c>
      <c r="I220" s="132"/>
      <c r="J220" s="132"/>
      <c r="K220" s="132"/>
      <c r="L220" s="139"/>
      <c r="M220" s="140"/>
      <c r="N220" s="141"/>
      <c r="O220" s="141"/>
      <c r="P220" s="142"/>
      <c r="Q220" s="141"/>
      <c r="R220" s="141"/>
      <c r="S220" s="141"/>
      <c r="T220" s="141"/>
      <c r="U220" s="142"/>
      <c r="V220" s="227"/>
      <c r="W220" s="236"/>
      <c r="X220" s="236"/>
      <c r="Y220" s="236"/>
      <c r="Z220" s="236"/>
      <c r="AA220" s="236"/>
      <c r="AB220" s="236"/>
      <c r="AC220" s="236"/>
      <c r="AD220" s="236"/>
      <c r="AE220" s="236"/>
      <c r="AF220" s="236"/>
      <c r="AG220" s="238"/>
      <c r="AH220" s="229"/>
      <c r="AI220" s="229"/>
      <c r="AJ220" s="229"/>
      <c r="AK220" s="229"/>
      <c r="AL220" s="229"/>
      <c r="AM220" s="229"/>
      <c r="AN220" s="229"/>
      <c r="AO220" s="229"/>
      <c r="AP220" s="229"/>
      <c r="AQ220" s="229"/>
      <c r="AR220" s="229"/>
      <c r="AS220" s="229"/>
      <c r="AT220" s="229"/>
      <c r="AU220" s="229"/>
      <c r="AV220" s="229"/>
      <c r="AW220" s="229"/>
      <c r="AX220" s="229"/>
      <c r="AY220" s="229"/>
      <c r="AZ220" s="229"/>
      <c r="BA220" s="229"/>
      <c r="BB220" s="229"/>
      <c r="BC220" s="229"/>
      <c r="BD220" s="229"/>
      <c r="BE220" s="227"/>
      <c r="BF220" s="227"/>
      <c r="BG220" s="227"/>
      <c r="BH220" s="227"/>
      <c r="BI220" s="133"/>
      <c r="BJ220" s="202"/>
      <c r="BK220" s="202"/>
      <c r="BL220" s="202"/>
      <c r="BM220" s="202"/>
      <c r="BN220" s="202"/>
      <c r="BO220" s="202"/>
      <c r="BP220" s="202"/>
      <c r="BQ220" s="202"/>
      <c r="BR220" s="202"/>
      <c r="BS220" s="202"/>
      <c r="BT220" s="202"/>
      <c r="BU220" s="202"/>
      <c r="BV220" s="202"/>
      <c r="BW220" s="202"/>
      <c r="BX220" s="202"/>
      <c r="BY220" s="202"/>
      <c r="BZ220" s="202"/>
      <c r="CA220" s="202"/>
      <c r="CB220" s="202"/>
      <c r="CC220" s="202"/>
      <c r="CD220" s="202"/>
      <c r="CE220" s="202"/>
      <c r="CF220" s="202"/>
      <c r="CG220" s="202"/>
      <c r="CH220" s="202"/>
      <c r="CI220" s="121"/>
      <c r="CJ220" s="121"/>
      <c r="CK220" s="121"/>
      <c r="CL220" s="121"/>
      <c r="CM220" s="121"/>
      <c r="CN220" s="121"/>
      <c r="CO220" s="121"/>
      <c r="CP220" s="121"/>
      <c r="CQ220" s="121"/>
      <c r="CR220" s="121"/>
      <c r="CS220" s="121"/>
      <c r="CT220" s="121"/>
      <c r="CU220" s="199"/>
      <c r="CV220" s="199"/>
      <c r="CW220" s="205"/>
      <c r="CX220" s="132"/>
      <c r="CY220" s="132"/>
      <c r="CZ220" s="132"/>
      <c r="DA220" s="132"/>
      <c r="DB220" s="132">
        <v>1</v>
      </c>
      <c r="DC220" s="132"/>
      <c r="DD220" s="132">
        <v>1</v>
      </c>
      <c r="DE220" s="103"/>
      <c r="DF220" s="103"/>
      <c r="DG220" s="103"/>
      <c r="DH220" s="103"/>
      <c r="DI220" s="103"/>
      <c r="DJ220" s="103"/>
      <c r="DK220" s="130"/>
      <c r="DL220" s="130"/>
      <c r="DM220" s="130"/>
      <c r="DN220" s="132"/>
      <c r="DO220" s="132"/>
    </row>
    <row r="221" ht="26.25" customHeight="1" spans="1:119">
      <c r="A221" s="131">
        <v>43988</v>
      </c>
      <c r="B221" s="100" t="s">
        <v>11685</v>
      </c>
      <c r="C221" s="100">
        <v>4500032213</v>
      </c>
      <c r="D221" s="206" t="s">
        <v>2616</v>
      </c>
      <c r="E221" s="206" t="s">
        <v>13322</v>
      </c>
      <c r="F221" s="136">
        <v>9207</v>
      </c>
      <c r="G221" s="137" t="s">
        <v>13447</v>
      </c>
      <c r="H221" s="132">
        <v>4</v>
      </c>
      <c r="I221" s="132"/>
      <c r="J221" s="132"/>
      <c r="K221" s="132"/>
      <c r="L221" s="139"/>
      <c r="M221" s="140"/>
      <c r="N221" s="141"/>
      <c r="O221" s="141"/>
      <c r="P221" s="142"/>
      <c r="Q221" s="141"/>
      <c r="R221" s="141"/>
      <c r="S221" s="141"/>
      <c r="T221" s="141"/>
      <c r="U221" s="142"/>
      <c r="V221" s="227"/>
      <c r="W221" s="236"/>
      <c r="X221" s="236"/>
      <c r="Y221" s="236"/>
      <c r="Z221" s="236"/>
      <c r="AA221" s="236"/>
      <c r="AB221" s="236"/>
      <c r="AC221" s="236"/>
      <c r="AD221" s="236"/>
      <c r="AE221" s="236"/>
      <c r="AF221" s="236"/>
      <c r="AG221" s="238"/>
      <c r="AH221" s="229"/>
      <c r="AI221" s="229"/>
      <c r="AJ221" s="229"/>
      <c r="AK221" s="229"/>
      <c r="AL221" s="229"/>
      <c r="AM221" s="229"/>
      <c r="AN221" s="229"/>
      <c r="AO221" s="229"/>
      <c r="AP221" s="229"/>
      <c r="AQ221" s="229"/>
      <c r="AR221" s="229"/>
      <c r="AS221" s="229"/>
      <c r="AT221" s="229"/>
      <c r="AU221" s="229"/>
      <c r="AV221" s="229"/>
      <c r="AW221" s="229"/>
      <c r="AX221" s="229"/>
      <c r="AY221" s="229"/>
      <c r="AZ221" s="229"/>
      <c r="BA221" s="229"/>
      <c r="BB221" s="229"/>
      <c r="BC221" s="229"/>
      <c r="BD221" s="229"/>
      <c r="BE221" s="227"/>
      <c r="BF221" s="227"/>
      <c r="BG221" s="227"/>
      <c r="BH221" s="227"/>
      <c r="BI221" s="133"/>
      <c r="BJ221" s="202"/>
      <c r="BK221" s="202"/>
      <c r="BL221" s="202"/>
      <c r="BM221" s="202"/>
      <c r="BN221" s="202"/>
      <c r="BO221" s="202"/>
      <c r="BP221" s="202"/>
      <c r="BQ221" s="202"/>
      <c r="BR221" s="202"/>
      <c r="BS221" s="202"/>
      <c r="BT221" s="202"/>
      <c r="BU221" s="202"/>
      <c r="BV221" s="202"/>
      <c r="BW221" s="202"/>
      <c r="BX221" s="202"/>
      <c r="BY221" s="202"/>
      <c r="BZ221" s="202"/>
      <c r="CA221" s="202"/>
      <c r="CB221" s="202"/>
      <c r="CC221" s="202"/>
      <c r="CD221" s="202"/>
      <c r="CE221" s="202"/>
      <c r="CF221" s="202"/>
      <c r="CG221" s="202"/>
      <c r="CH221" s="202"/>
      <c r="CI221" s="121"/>
      <c r="CJ221" s="121"/>
      <c r="CK221" s="121"/>
      <c r="CL221" s="121"/>
      <c r="CM221" s="121"/>
      <c r="CN221" s="121"/>
      <c r="CO221" s="121"/>
      <c r="CP221" s="121"/>
      <c r="CQ221" s="121"/>
      <c r="CR221" s="121"/>
      <c r="CS221" s="121"/>
      <c r="CT221" s="121"/>
      <c r="CU221" s="199"/>
      <c r="CV221" s="199"/>
      <c r="CW221" s="205"/>
      <c r="CX221" s="132"/>
      <c r="CY221" s="132"/>
      <c r="CZ221" s="132"/>
      <c r="DA221" s="132"/>
      <c r="DB221" s="132"/>
      <c r="DC221" s="132"/>
      <c r="DD221" s="132"/>
      <c r="DE221" s="103"/>
      <c r="DF221" s="103"/>
      <c r="DG221" s="103"/>
      <c r="DH221" s="103"/>
      <c r="DI221" s="103"/>
      <c r="DJ221" s="103"/>
      <c r="DK221" s="130"/>
      <c r="DL221" s="130"/>
      <c r="DM221" s="130"/>
      <c r="DN221" s="132">
        <v>4</v>
      </c>
      <c r="DO221" s="132"/>
    </row>
    <row r="222" ht="26.25" customHeight="1" spans="1:119">
      <c r="A222" s="131">
        <v>43988</v>
      </c>
      <c r="B222" s="100" t="s">
        <v>11685</v>
      </c>
      <c r="C222" s="100">
        <v>4500032213</v>
      </c>
      <c r="D222" s="206" t="s">
        <v>2616</v>
      </c>
      <c r="E222" s="206" t="s">
        <v>13322</v>
      </c>
      <c r="F222" s="136">
        <v>9214</v>
      </c>
      <c r="G222" s="137" t="s">
        <v>13276</v>
      </c>
      <c r="H222" s="132">
        <v>18</v>
      </c>
      <c r="I222" s="132"/>
      <c r="J222" s="132"/>
      <c r="K222" s="132"/>
      <c r="L222" s="139"/>
      <c r="M222" s="140"/>
      <c r="N222" s="141"/>
      <c r="O222" s="141"/>
      <c r="P222" s="142"/>
      <c r="Q222" s="141"/>
      <c r="R222" s="141"/>
      <c r="S222" s="141"/>
      <c r="T222" s="141"/>
      <c r="U222" s="142"/>
      <c r="V222" s="227"/>
      <c r="W222" s="236"/>
      <c r="X222" s="236"/>
      <c r="Y222" s="236"/>
      <c r="Z222" s="236"/>
      <c r="AA222" s="236"/>
      <c r="AB222" s="236"/>
      <c r="AC222" s="236"/>
      <c r="AD222" s="236"/>
      <c r="AE222" s="236"/>
      <c r="AF222" s="236"/>
      <c r="AG222" s="238"/>
      <c r="AH222" s="229"/>
      <c r="AI222" s="229"/>
      <c r="AJ222" s="229"/>
      <c r="AK222" s="229"/>
      <c r="AL222" s="229"/>
      <c r="AM222" s="229"/>
      <c r="AN222" s="229"/>
      <c r="AO222" s="229"/>
      <c r="AP222" s="229"/>
      <c r="AQ222" s="229"/>
      <c r="AR222" s="229"/>
      <c r="AS222" s="229"/>
      <c r="AT222" s="229"/>
      <c r="AU222" s="229"/>
      <c r="AV222" s="229"/>
      <c r="AW222" s="229"/>
      <c r="AX222" s="229">
        <v>18</v>
      </c>
      <c r="AY222" s="229">
        <v>18</v>
      </c>
      <c r="AZ222" s="229"/>
      <c r="BA222" s="229"/>
      <c r="BB222" s="229"/>
      <c r="BC222" s="229"/>
      <c r="BD222" s="229"/>
      <c r="BE222" s="227"/>
      <c r="BF222" s="227"/>
      <c r="BG222" s="227"/>
      <c r="BH222" s="227"/>
      <c r="BI222" s="133"/>
      <c r="BJ222" s="202"/>
      <c r="BK222" s="202"/>
      <c r="BL222" s="202"/>
      <c r="BM222" s="202"/>
      <c r="BN222" s="202"/>
      <c r="BO222" s="202"/>
      <c r="BP222" s="202"/>
      <c r="BQ222" s="202"/>
      <c r="BR222" s="202"/>
      <c r="BS222" s="202"/>
      <c r="BT222" s="202"/>
      <c r="BU222" s="202"/>
      <c r="BV222" s="202"/>
      <c r="BW222" s="202"/>
      <c r="BX222" s="202"/>
      <c r="BY222" s="202"/>
      <c r="BZ222" s="202"/>
      <c r="CA222" s="202"/>
      <c r="CB222" s="202"/>
      <c r="CC222" s="202"/>
      <c r="CD222" s="202"/>
      <c r="CE222" s="202"/>
      <c r="CF222" s="202"/>
      <c r="CG222" s="202"/>
      <c r="CH222" s="202"/>
      <c r="CI222" s="121"/>
      <c r="CJ222" s="121"/>
      <c r="CK222" s="121"/>
      <c r="CL222" s="121"/>
      <c r="CM222" s="121"/>
      <c r="CN222" s="121"/>
      <c r="CO222" s="121">
        <v>3</v>
      </c>
      <c r="CP222" s="121">
        <v>3</v>
      </c>
      <c r="CQ222" s="121">
        <v>3</v>
      </c>
      <c r="CR222" s="121">
        <v>3</v>
      </c>
      <c r="CS222" s="121">
        <v>3</v>
      </c>
      <c r="CT222" s="121">
        <v>3</v>
      </c>
      <c r="CU222" s="199"/>
      <c r="CV222" s="199"/>
      <c r="CW222" s="205"/>
      <c r="CX222" s="132"/>
      <c r="CY222" s="132"/>
      <c r="CZ222" s="132"/>
      <c r="DA222" s="132"/>
      <c r="DB222" s="132"/>
      <c r="DC222" s="132"/>
      <c r="DD222" s="132"/>
      <c r="DE222" s="103"/>
      <c r="DF222" s="103"/>
      <c r="DG222" s="103"/>
      <c r="DH222" s="103"/>
      <c r="DI222" s="103"/>
      <c r="DJ222" s="103"/>
      <c r="DK222" s="130"/>
      <c r="DL222" s="130"/>
      <c r="DM222" s="130"/>
      <c r="DN222" s="132"/>
      <c r="DO222" s="132"/>
    </row>
    <row r="223" ht="26.25" customHeight="1" spans="1:119">
      <c r="A223" s="131">
        <v>43988</v>
      </c>
      <c r="B223" s="99" t="s">
        <v>11739</v>
      </c>
      <c r="C223" s="100">
        <v>4500033293</v>
      </c>
      <c r="D223" s="215" t="s">
        <v>13448</v>
      </c>
      <c r="E223" s="206" t="s">
        <v>13449</v>
      </c>
      <c r="F223" s="136">
        <v>9215</v>
      </c>
      <c r="G223" s="137" t="s">
        <v>13410</v>
      </c>
      <c r="H223" s="132">
        <v>15</v>
      </c>
      <c r="I223" s="132"/>
      <c r="J223" s="132"/>
      <c r="K223" s="132"/>
      <c r="L223" s="139"/>
      <c r="M223" s="140"/>
      <c r="N223" s="141"/>
      <c r="O223" s="141"/>
      <c r="P223" s="142"/>
      <c r="Q223" s="141"/>
      <c r="R223" s="141"/>
      <c r="S223" s="141"/>
      <c r="T223" s="141"/>
      <c r="U223" s="142"/>
      <c r="V223" s="227"/>
      <c r="W223" s="236"/>
      <c r="X223" s="236"/>
      <c r="Y223" s="236"/>
      <c r="Z223" s="236"/>
      <c r="AA223" s="236"/>
      <c r="AB223" s="236"/>
      <c r="AC223" s="236"/>
      <c r="AD223" s="236"/>
      <c r="AE223" s="236"/>
      <c r="AF223" s="236"/>
      <c r="AG223" s="238"/>
      <c r="AH223" s="229"/>
      <c r="AI223" s="229"/>
      <c r="AJ223" s="229"/>
      <c r="AK223" s="229"/>
      <c r="AL223" s="229"/>
      <c r="AM223" s="229"/>
      <c r="AN223" s="229"/>
      <c r="AO223" s="229"/>
      <c r="AP223" s="229"/>
      <c r="AQ223" s="229"/>
      <c r="AR223" s="229"/>
      <c r="AS223" s="229"/>
      <c r="AT223" s="229"/>
      <c r="AU223" s="229"/>
      <c r="AV223" s="229"/>
      <c r="AW223" s="229"/>
      <c r="AX223" s="229"/>
      <c r="AY223" s="229"/>
      <c r="AZ223" s="229"/>
      <c r="BA223" s="229"/>
      <c r="BB223" s="229"/>
      <c r="BC223" s="229"/>
      <c r="BD223" s="229"/>
      <c r="BE223" s="227"/>
      <c r="BF223" s="227"/>
      <c r="BG223" s="227"/>
      <c r="BH223" s="227"/>
      <c r="BI223" s="133"/>
      <c r="BJ223" s="202"/>
      <c r="BK223" s="202"/>
      <c r="BL223" s="202"/>
      <c r="BM223" s="202"/>
      <c r="BN223" s="202"/>
      <c r="BO223" s="202"/>
      <c r="BP223" s="202"/>
      <c r="BQ223" s="202"/>
      <c r="BR223" s="202"/>
      <c r="BS223" s="202"/>
      <c r="BT223" s="202"/>
      <c r="BU223" s="202"/>
      <c r="BV223" s="202"/>
      <c r="BW223" s="202"/>
      <c r="BX223" s="202"/>
      <c r="BY223" s="202"/>
      <c r="BZ223" s="202"/>
      <c r="CA223" s="202"/>
      <c r="CB223" s="202"/>
      <c r="CC223" s="202"/>
      <c r="CD223" s="202"/>
      <c r="CE223" s="202"/>
      <c r="CF223" s="202"/>
      <c r="CG223" s="202"/>
      <c r="CH223" s="202"/>
      <c r="CI223" s="121"/>
      <c r="CJ223" s="121"/>
      <c r="CK223" s="121"/>
      <c r="CL223" s="121"/>
      <c r="CM223" s="121"/>
      <c r="CN223" s="121"/>
      <c r="CO223" s="121"/>
      <c r="CP223" s="121"/>
      <c r="CQ223" s="121"/>
      <c r="CR223" s="121"/>
      <c r="CS223" s="121"/>
      <c r="CT223" s="121"/>
      <c r="CU223" s="199"/>
      <c r="CV223" s="199"/>
      <c r="CW223" s="205"/>
      <c r="CX223" s="132"/>
      <c r="CY223" s="132">
        <v>3</v>
      </c>
      <c r="CZ223" s="132">
        <v>3</v>
      </c>
      <c r="DA223" s="132">
        <v>3</v>
      </c>
      <c r="DB223" s="132">
        <v>3</v>
      </c>
      <c r="DC223" s="132"/>
      <c r="DD223" s="132">
        <v>3</v>
      </c>
      <c r="DE223" s="103"/>
      <c r="DF223" s="103"/>
      <c r="DG223" s="103"/>
      <c r="DH223" s="103"/>
      <c r="DI223" s="103"/>
      <c r="DJ223" s="103"/>
      <c r="DK223" s="130"/>
      <c r="DL223" s="130"/>
      <c r="DM223" s="130"/>
      <c r="DN223" s="132"/>
      <c r="DO223" s="132"/>
    </row>
    <row r="224" ht="26.25" customHeight="1" spans="1:119">
      <c r="A224" s="131">
        <v>43990</v>
      </c>
      <c r="B224" s="99" t="s">
        <v>13366</v>
      </c>
      <c r="C224" s="215"/>
      <c r="D224" s="215" t="s">
        <v>13258</v>
      </c>
      <c r="E224" s="206" t="s">
        <v>13320</v>
      </c>
      <c r="F224" s="136">
        <v>9212</v>
      </c>
      <c r="G224" s="137" t="s">
        <v>13424</v>
      </c>
      <c r="H224" s="132">
        <v>10</v>
      </c>
      <c r="I224" s="132"/>
      <c r="J224" s="132"/>
      <c r="K224" s="132"/>
      <c r="L224" s="139"/>
      <c r="M224" s="140"/>
      <c r="N224" s="141"/>
      <c r="O224" s="141"/>
      <c r="P224" s="142"/>
      <c r="Q224" s="141"/>
      <c r="R224" s="141"/>
      <c r="S224" s="141"/>
      <c r="T224" s="141"/>
      <c r="U224" s="142"/>
      <c r="V224" s="227"/>
      <c r="W224" s="236"/>
      <c r="X224" s="236"/>
      <c r="Y224" s="236"/>
      <c r="Z224" s="236"/>
      <c r="AA224" s="236"/>
      <c r="AB224" s="236"/>
      <c r="AC224" s="236"/>
      <c r="AD224" s="236"/>
      <c r="AE224" s="236"/>
      <c r="AF224" s="236"/>
      <c r="AG224" s="238"/>
      <c r="AH224" s="229"/>
      <c r="AI224" s="229"/>
      <c r="AJ224" s="229"/>
      <c r="AK224" s="229"/>
      <c r="AL224" s="229"/>
      <c r="AM224" s="229"/>
      <c r="AN224" s="229"/>
      <c r="AO224" s="229"/>
      <c r="AP224" s="229"/>
      <c r="AQ224" s="229"/>
      <c r="AR224" s="229"/>
      <c r="AS224" s="229"/>
      <c r="AT224" s="229"/>
      <c r="AU224" s="229"/>
      <c r="AV224" s="229"/>
      <c r="AW224" s="229"/>
      <c r="AX224" s="229"/>
      <c r="AY224" s="229"/>
      <c r="AZ224" s="229"/>
      <c r="BA224" s="229"/>
      <c r="BB224" s="229"/>
      <c r="BC224" s="229"/>
      <c r="BD224" s="229"/>
      <c r="BE224" s="227"/>
      <c r="BF224" s="227"/>
      <c r="BG224" s="227"/>
      <c r="BH224" s="227"/>
      <c r="BI224" s="133"/>
      <c r="BJ224" s="202"/>
      <c r="BK224" s="202"/>
      <c r="BL224" s="202"/>
      <c r="BM224" s="202"/>
      <c r="BN224" s="202"/>
      <c r="BO224" s="202"/>
      <c r="BP224" s="202"/>
      <c r="BQ224" s="202"/>
      <c r="BR224" s="202"/>
      <c r="BS224" s="202"/>
      <c r="BT224" s="202"/>
      <c r="BU224" s="202"/>
      <c r="BV224" s="202"/>
      <c r="BW224" s="202"/>
      <c r="BX224" s="202"/>
      <c r="BY224" s="202"/>
      <c r="BZ224" s="202"/>
      <c r="CA224" s="202"/>
      <c r="CB224" s="202"/>
      <c r="CC224" s="202"/>
      <c r="CD224" s="202"/>
      <c r="CE224" s="202"/>
      <c r="CF224" s="202"/>
      <c r="CG224" s="202"/>
      <c r="CH224" s="202"/>
      <c r="CI224" s="121"/>
      <c r="CJ224" s="121"/>
      <c r="CK224" s="121"/>
      <c r="CL224" s="121"/>
      <c r="CM224" s="121"/>
      <c r="CN224" s="121"/>
      <c r="CO224" s="121"/>
      <c r="CP224" s="121"/>
      <c r="CQ224" s="121"/>
      <c r="CR224" s="121"/>
      <c r="CS224" s="121"/>
      <c r="CT224" s="121"/>
      <c r="CU224" s="199"/>
      <c r="CV224" s="199"/>
      <c r="CW224" s="205"/>
      <c r="CX224" s="132"/>
      <c r="CY224" s="132"/>
      <c r="CZ224" s="132"/>
      <c r="DA224" s="132"/>
      <c r="DB224" s="132"/>
      <c r="DC224" s="132"/>
      <c r="DD224" s="132"/>
      <c r="DE224" s="103"/>
      <c r="DF224" s="103">
        <v>2</v>
      </c>
      <c r="DG224" s="103">
        <v>2</v>
      </c>
      <c r="DH224" s="103">
        <v>2</v>
      </c>
      <c r="DI224" s="103">
        <v>2</v>
      </c>
      <c r="DJ224" s="103">
        <v>2</v>
      </c>
      <c r="DK224" s="130"/>
      <c r="DL224" s="130"/>
      <c r="DM224" s="130"/>
      <c r="DN224" s="132"/>
      <c r="DO224" s="132"/>
    </row>
    <row r="225" ht="26.25" customHeight="1" spans="1:119">
      <c r="A225" s="131">
        <v>43990</v>
      </c>
      <c r="B225" s="99" t="s">
        <v>11685</v>
      </c>
      <c r="C225" s="215">
        <v>4500031609</v>
      </c>
      <c r="D225" s="218" t="s">
        <v>13327</v>
      </c>
      <c r="E225" s="206" t="s">
        <v>13403</v>
      </c>
      <c r="F225" s="136">
        <v>9215</v>
      </c>
      <c r="G225" s="137" t="s">
        <v>13410</v>
      </c>
      <c r="H225" s="132">
        <v>1</v>
      </c>
      <c r="I225" s="132"/>
      <c r="J225" s="132"/>
      <c r="K225" s="132"/>
      <c r="L225" s="139"/>
      <c r="M225" s="140"/>
      <c r="N225" s="141"/>
      <c r="O225" s="141"/>
      <c r="P225" s="142"/>
      <c r="Q225" s="141"/>
      <c r="R225" s="141"/>
      <c r="S225" s="141"/>
      <c r="T225" s="141"/>
      <c r="U225" s="142"/>
      <c r="V225" s="227"/>
      <c r="W225" s="236"/>
      <c r="X225" s="236"/>
      <c r="Y225" s="236"/>
      <c r="Z225" s="236"/>
      <c r="AA225" s="236"/>
      <c r="AB225" s="236"/>
      <c r="AC225" s="236"/>
      <c r="AD225" s="236"/>
      <c r="AE225" s="236"/>
      <c r="AF225" s="236"/>
      <c r="AG225" s="238"/>
      <c r="AH225" s="229"/>
      <c r="AI225" s="229"/>
      <c r="AJ225" s="229"/>
      <c r="AK225" s="229"/>
      <c r="AL225" s="229"/>
      <c r="AM225" s="229"/>
      <c r="AN225" s="229"/>
      <c r="AO225" s="229"/>
      <c r="AP225" s="229"/>
      <c r="AQ225" s="229"/>
      <c r="AR225" s="229"/>
      <c r="AS225" s="229"/>
      <c r="AT225" s="229"/>
      <c r="AU225" s="229"/>
      <c r="AV225" s="229"/>
      <c r="AW225" s="229"/>
      <c r="AX225" s="229"/>
      <c r="AY225" s="229"/>
      <c r="AZ225" s="229"/>
      <c r="BA225" s="229"/>
      <c r="BB225" s="229"/>
      <c r="BC225" s="229"/>
      <c r="BD225" s="229"/>
      <c r="BE225" s="227"/>
      <c r="BF225" s="227"/>
      <c r="BG225" s="227"/>
      <c r="BH225" s="227"/>
      <c r="BI225" s="133"/>
      <c r="BJ225" s="202"/>
      <c r="BK225" s="202"/>
      <c r="BL225" s="202"/>
      <c r="BM225" s="202"/>
      <c r="BN225" s="202"/>
      <c r="BO225" s="202"/>
      <c r="BP225" s="202"/>
      <c r="BQ225" s="202"/>
      <c r="BR225" s="202"/>
      <c r="BS225" s="202"/>
      <c r="BT225" s="202"/>
      <c r="BU225" s="202"/>
      <c r="BV225" s="202"/>
      <c r="BW225" s="202"/>
      <c r="BX225" s="202"/>
      <c r="BY225" s="202"/>
      <c r="BZ225" s="202"/>
      <c r="CA225" s="202"/>
      <c r="CB225" s="202"/>
      <c r="CC225" s="202"/>
      <c r="CD225" s="202"/>
      <c r="CE225" s="202"/>
      <c r="CF225" s="202"/>
      <c r="CG225" s="202"/>
      <c r="CH225" s="202"/>
      <c r="CI225" s="121"/>
      <c r="CJ225" s="121"/>
      <c r="CK225" s="121"/>
      <c r="CL225" s="121"/>
      <c r="CM225" s="121"/>
      <c r="CN225" s="121"/>
      <c r="CO225" s="121"/>
      <c r="CP225" s="121"/>
      <c r="CQ225" s="121"/>
      <c r="CR225" s="121"/>
      <c r="CS225" s="121"/>
      <c r="CT225" s="121"/>
      <c r="CU225" s="199"/>
      <c r="CV225" s="199"/>
      <c r="CW225" s="205"/>
      <c r="CX225" s="132">
        <v>1</v>
      </c>
      <c r="CY225" s="132"/>
      <c r="CZ225" s="132"/>
      <c r="DA225" s="132"/>
      <c r="DB225" s="132"/>
      <c r="DC225" s="132"/>
      <c r="DD225" s="132"/>
      <c r="DE225" s="103"/>
      <c r="DF225" s="103"/>
      <c r="DG225" s="103"/>
      <c r="DH225" s="103"/>
      <c r="DI225" s="103"/>
      <c r="DJ225" s="103"/>
      <c r="DK225" s="130"/>
      <c r="DL225" s="130"/>
      <c r="DM225" s="130"/>
      <c r="DN225" s="132"/>
      <c r="DO225" s="132"/>
    </row>
    <row r="226" ht="26.25" customHeight="1" spans="1:119">
      <c r="A226" s="131">
        <v>43991</v>
      </c>
      <c r="B226" s="99" t="s">
        <v>6785</v>
      </c>
      <c r="C226" s="215">
        <v>4500029748</v>
      </c>
      <c r="D226" s="218" t="s">
        <v>5030</v>
      </c>
      <c r="E226" s="206" t="s">
        <v>13320</v>
      </c>
      <c r="F226" s="136">
        <v>9208</v>
      </c>
      <c r="G226" s="137" t="s">
        <v>13439</v>
      </c>
      <c r="H226" s="132">
        <v>3</v>
      </c>
      <c r="I226" s="132"/>
      <c r="J226" s="132"/>
      <c r="K226" s="132"/>
      <c r="L226" s="139"/>
      <c r="M226" s="140"/>
      <c r="N226" s="141"/>
      <c r="O226" s="141"/>
      <c r="P226" s="142"/>
      <c r="Q226" s="141"/>
      <c r="R226" s="141"/>
      <c r="S226" s="141"/>
      <c r="T226" s="141"/>
      <c r="U226" s="142"/>
      <c r="V226" s="227"/>
      <c r="W226" s="236"/>
      <c r="X226" s="236"/>
      <c r="Y226" s="236"/>
      <c r="Z226" s="236"/>
      <c r="AA226" s="236"/>
      <c r="AB226" s="236"/>
      <c r="AC226" s="236"/>
      <c r="AD226" s="236"/>
      <c r="AE226" s="236"/>
      <c r="AF226" s="236"/>
      <c r="AG226" s="238"/>
      <c r="AH226" s="229"/>
      <c r="AI226" s="229"/>
      <c r="AJ226" s="229"/>
      <c r="AK226" s="229"/>
      <c r="AL226" s="229"/>
      <c r="AM226" s="229"/>
      <c r="AN226" s="229"/>
      <c r="AO226" s="229"/>
      <c r="AP226" s="229"/>
      <c r="AQ226" s="229"/>
      <c r="AR226" s="229"/>
      <c r="AS226" s="229"/>
      <c r="AT226" s="229"/>
      <c r="AU226" s="229"/>
      <c r="AV226" s="229"/>
      <c r="AW226" s="229"/>
      <c r="AX226" s="229"/>
      <c r="AY226" s="229"/>
      <c r="AZ226" s="229"/>
      <c r="BA226" s="229"/>
      <c r="BB226" s="229"/>
      <c r="BC226" s="229"/>
      <c r="BD226" s="229"/>
      <c r="BE226" s="227"/>
      <c r="BF226" s="227"/>
      <c r="BG226" s="227"/>
      <c r="BH226" s="227"/>
      <c r="BI226" s="133"/>
      <c r="BJ226" s="202"/>
      <c r="BK226" s="202"/>
      <c r="BL226" s="202"/>
      <c r="BM226" s="202"/>
      <c r="BN226" s="202"/>
      <c r="BO226" s="202"/>
      <c r="BP226" s="202"/>
      <c r="BQ226" s="202"/>
      <c r="BR226" s="202"/>
      <c r="BS226" s="202"/>
      <c r="BT226" s="202"/>
      <c r="BU226" s="202"/>
      <c r="BV226" s="202"/>
      <c r="BW226" s="202"/>
      <c r="BX226" s="202"/>
      <c r="BY226" s="202"/>
      <c r="BZ226" s="202"/>
      <c r="CA226" s="202"/>
      <c r="CB226" s="202"/>
      <c r="CC226" s="202"/>
      <c r="CD226" s="202"/>
      <c r="CE226" s="202"/>
      <c r="CF226" s="202"/>
      <c r="CG226" s="202"/>
      <c r="CH226" s="202"/>
      <c r="CI226" s="121"/>
      <c r="CJ226" s="121"/>
      <c r="CK226" s="121"/>
      <c r="CL226" s="121"/>
      <c r="CM226" s="121"/>
      <c r="CN226" s="121"/>
      <c r="CO226" s="121"/>
      <c r="CP226" s="121"/>
      <c r="CQ226" s="121"/>
      <c r="CR226" s="121"/>
      <c r="CS226" s="121"/>
      <c r="CT226" s="121"/>
      <c r="CU226" s="199"/>
      <c r="CV226" s="199"/>
      <c r="CW226" s="205"/>
      <c r="CX226" s="132"/>
      <c r="CY226" s="132"/>
      <c r="CZ226" s="132"/>
      <c r="DA226" s="132"/>
      <c r="DB226" s="132"/>
      <c r="DC226" s="132"/>
      <c r="DD226" s="132"/>
      <c r="DE226" s="103"/>
      <c r="DF226" s="103"/>
      <c r="DG226" s="103"/>
      <c r="DH226" s="103"/>
      <c r="DI226" s="103"/>
      <c r="DJ226" s="103"/>
      <c r="DK226" s="130"/>
      <c r="DL226" s="130"/>
      <c r="DM226" s="130"/>
      <c r="DN226" s="132"/>
      <c r="DO226" s="132">
        <v>3</v>
      </c>
    </row>
    <row r="227" ht="26.25" customHeight="1" spans="1:119">
      <c r="A227" s="131">
        <v>43991</v>
      </c>
      <c r="B227" s="99" t="s">
        <v>6785</v>
      </c>
      <c r="C227" s="215">
        <v>4500029748</v>
      </c>
      <c r="D227" s="218" t="s">
        <v>5030</v>
      </c>
      <c r="E227" s="206" t="s">
        <v>13320</v>
      </c>
      <c r="F227" s="136">
        <v>9212</v>
      </c>
      <c r="G227" s="137" t="s">
        <v>13424</v>
      </c>
      <c r="H227" s="132">
        <v>18</v>
      </c>
      <c r="I227" s="132"/>
      <c r="J227" s="132"/>
      <c r="K227" s="132"/>
      <c r="L227" s="139"/>
      <c r="M227" s="140"/>
      <c r="N227" s="141"/>
      <c r="O227" s="141"/>
      <c r="P227" s="142"/>
      <c r="Q227" s="141"/>
      <c r="R227" s="141"/>
      <c r="S227" s="141"/>
      <c r="T227" s="141"/>
      <c r="U227" s="142"/>
      <c r="V227" s="227"/>
      <c r="W227" s="236"/>
      <c r="X227" s="236"/>
      <c r="Y227" s="236"/>
      <c r="Z227" s="236"/>
      <c r="AA227" s="236"/>
      <c r="AB227" s="236"/>
      <c r="AC227" s="236"/>
      <c r="AD227" s="236"/>
      <c r="AE227" s="236"/>
      <c r="AF227" s="236"/>
      <c r="AG227" s="238"/>
      <c r="AH227" s="229"/>
      <c r="AI227" s="229"/>
      <c r="AJ227" s="229"/>
      <c r="AK227" s="229"/>
      <c r="AL227" s="229"/>
      <c r="AM227" s="229"/>
      <c r="AN227" s="229"/>
      <c r="AO227" s="229"/>
      <c r="AP227" s="229"/>
      <c r="AQ227" s="229"/>
      <c r="AR227" s="229"/>
      <c r="AS227" s="229"/>
      <c r="AT227" s="229"/>
      <c r="AU227" s="229"/>
      <c r="AV227" s="229"/>
      <c r="AW227" s="229"/>
      <c r="AX227" s="229"/>
      <c r="AY227" s="229"/>
      <c r="AZ227" s="229"/>
      <c r="BA227" s="229"/>
      <c r="BB227" s="229"/>
      <c r="BC227" s="229"/>
      <c r="BD227" s="229"/>
      <c r="BE227" s="227"/>
      <c r="BF227" s="227"/>
      <c r="BG227" s="227"/>
      <c r="BH227" s="227"/>
      <c r="BI227" s="133"/>
      <c r="BJ227" s="202"/>
      <c r="BK227" s="202"/>
      <c r="BL227" s="202"/>
      <c r="BM227" s="202"/>
      <c r="BN227" s="202"/>
      <c r="BO227" s="202"/>
      <c r="BP227" s="202"/>
      <c r="BQ227" s="202"/>
      <c r="BR227" s="202"/>
      <c r="BS227" s="202"/>
      <c r="BT227" s="202"/>
      <c r="BU227" s="202"/>
      <c r="BV227" s="202"/>
      <c r="BW227" s="202"/>
      <c r="BX227" s="202"/>
      <c r="BY227" s="202"/>
      <c r="BZ227" s="202"/>
      <c r="CA227" s="202"/>
      <c r="CB227" s="202"/>
      <c r="CC227" s="202"/>
      <c r="CD227" s="202"/>
      <c r="CE227" s="202"/>
      <c r="CF227" s="202"/>
      <c r="CG227" s="202"/>
      <c r="CH227" s="202"/>
      <c r="CI227" s="121"/>
      <c r="CJ227" s="121"/>
      <c r="CK227" s="121"/>
      <c r="CL227" s="121"/>
      <c r="CM227" s="121"/>
      <c r="CN227" s="121"/>
      <c r="CO227" s="121"/>
      <c r="CP227" s="121"/>
      <c r="CQ227" s="121"/>
      <c r="CR227" s="121"/>
      <c r="CS227" s="121"/>
      <c r="CT227" s="121"/>
      <c r="CU227" s="199"/>
      <c r="CV227" s="199"/>
      <c r="CW227" s="205"/>
      <c r="CX227" s="132"/>
      <c r="CY227" s="132"/>
      <c r="CZ227" s="132"/>
      <c r="DA227" s="132"/>
      <c r="DB227" s="132"/>
      <c r="DC227" s="132"/>
      <c r="DD227" s="132"/>
      <c r="DE227" s="103">
        <v>3</v>
      </c>
      <c r="DF227" s="103">
        <v>3</v>
      </c>
      <c r="DG227" s="103">
        <v>3</v>
      </c>
      <c r="DH227" s="103">
        <v>3</v>
      </c>
      <c r="DI227" s="103">
        <v>3</v>
      </c>
      <c r="DJ227" s="103">
        <v>3</v>
      </c>
      <c r="DK227" s="130"/>
      <c r="DL227" s="130"/>
      <c r="DM227" s="130"/>
      <c r="DN227" s="132"/>
      <c r="DO227" s="132"/>
    </row>
    <row r="228" ht="26.25" customHeight="1" spans="1:119">
      <c r="A228" s="131">
        <v>43992</v>
      </c>
      <c r="B228" s="99" t="s">
        <v>13450</v>
      </c>
      <c r="C228" s="215">
        <v>4500030612</v>
      </c>
      <c r="D228" s="218" t="s">
        <v>13451</v>
      </c>
      <c r="E228" s="206" t="s">
        <v>13322</v>
      </c>
      <c r="F228" s="136">
        <v>9214</v>
      </c>
      <c r="G228" s="137" t="s">
        <v>13276</v>
      </c>
      <c r="H228" s="132">
        <v>6</v>
      </c>
      <c r="I228" s="132"/>
      <c r="J228" s="132"/>
      <c r="K228" s="132"/>
      <c r="L228" s="139"/>
      <c r="M228" s="140"/>
      <c r="N228" s="141"/>
      <c r="O228" s="141"/>
      <c r="P228" s="142"/>
      <c r="Q228" s="141"/>
      <c r="R228" s="141"/>
      <c r="S228" s="141"/>
      <c r="T228" s="141"/>
      <c r="U228" s="142"/>
      <c r="V228" s="227"/>
      <c r="W228" s="236"/>
      <c r="X228" s="236"/>
      <c r="Y228" s="236"/>
      <c r="Z228" s="236"/>
      <c r="AA228" s="236"/>
      <c r="AB228" s="236"/>
      <c r="AC228" s="236"/>
      <c r="AD228" s="236"/>
      <c r="AE228" s="236"/>
      <c r="AF228" s="236"/>
      <c r="AG228" s="238"/>
      <c r="AH228" s="229"/>
      <c r="AI228" s="229"/>
      <c r="AJ228" s="229"/>
      <c r="AK228" s="229"/>
      <c r="AL228" s="229"/>
      <c r="AM228" s="229"/>
      <c r="AN228" s="229"/>
      <c r="AO228" s="229"/>
      <c r="AP228" s="229"/>
      <c r="AQ228" s="229"/>
      <c r="AR228" s="229"/>
      <c r="AS228" s="229"/>
      <c r="AT228" s="229"/>
      <c r="AU228" s="229"/>
      <c r="AV228" s="229"/>
      <c r="AW228" s="229"/>
      <c r="AX228" s="229">
        <v>6</v>
      </c>
      <c r="AY228" s="229">
        <v>6</v>
      </c>
      <c r="AZ228" s="229"/>
      <c r="BA228" s="229"/>
      <c r="BB228" s="229"/>
      <c r="BC228" s="229"/>
      <c r="BD228" s="229"/>
      <c r="BE228" s="227"/>
      <c r="BF228" s="227"/>
      <c r="BG228" s="227"/>
      <c r="BH228" s="227"/>
      <c r="BI228" s="133"/>
      <c r="BJ228" s="202"/>
      <c r="BK228" s="202"/>
      <c r="BL228" s="202"/>
      <c r="BM228" s="202"/>
      <c r="BN228" s="202"/>
      <c r="BO228" s="202"/>
      <c r="BP228" s="202"/>
      <c r="BQ228" s="202"/>
      <c r="BR228" s="202"/>
      <c r="BS228" s="202"/>
      <c r="BT228" s="202"/>
      <c r="BU228" s="202"/>
      <c r="BV228" s="202"/>
      <c r="BW228" s="202"/>
      <c r="BX228" s="202"/>
      <c r="BY228" s="202"/>
      <c r="BZ228" s="202"/>
      <c r="CA228" s="202"/>
      <c r="CB228" s="202"/>
      <c r="CC228" s="202"/>
      <c r="CD228" s="202"/>
      <c r="CE228" s="202"/>
      <c r="CF228" s="202"/>
      <c r="CG228" s="202"/>
      <c r="CH228" s="202"/>
      <c r="CI228" s="121"/>
      <c r="CJ228" s="121"/>
      <c r="CK228" s="121"/>
      <c r="CL228" s="121"/>
      <c r="CM228" s="121"/>
      <c r="CN228" s="121"/>
      <c r="CO228" s="121">
        <v>1</v>
      </c>
      <c r="CP228" s="121">
        <v>1</v>
      </c>
      <c r="CQ228" s="121">
        <v>1</v>
      </c>
      <c r="CR228" s="121">
        <v>1</v>
      </c>
      <c r="CS228" s="121">
        <v>1</v>
      </c>
      <c r="CT228" s="121">
        <v>1</v>
      </c>
      <c r="CU228" s="199"/>
      <c r="CV228" s="199"/>
      <c r="CW228" s="205"/>
      <c r="CX228" s="132"/>
      <c r="CY228" s="132"/>
      <c r="CZ228" s="132"/>
      <c r="DA228" s="132"/>
      <c r="DB228" s="132"/>
      <c r="DC228" s="132"/>
      <c r="DD228" s="132"/>
      <c r="DE228" s="103"/>
      <c r="DF228" s="103"/>
      <c r="DG228" s="103"/>
      <c r="DH228" s="103"/>
      <c r="DI228" s="103"/>
      <c r="DJ228" s="103"/>
      <c r="DK228" s="130"/>
      <c r="DL228" s="130"/>
      <c r="DM228" s="130"/>
      <c r="DN228" s="132"/>
      <c r="DO228" s="132"/>
    </row>
    <row r="229" ht="26.25" customHeight="1" spans="1:119">
      <c r="A229" s="131">
        <v>43992</v>
      </c>
      <c r="B229" s="99" t="s">
        <v>13450</v>
      </c>
      <c r="C229" s="215">
        <v>4500030573</v>
      </c>
      <c r="D229" s="218" t="s">
        <v>13451</v>
      </c>
      <c r="E229" s="206" t="s">
        <v>13322</v>
      </c>
      <c r="F229" s="136">
        <v>9215</v>
      </c>
      <c r="G229" s="137" t="s">
        <v>13410</v>
      </c>
      <c r="H229" s="132">
        <v>7</v>
      </c>
      <c r="I229" s="132"/>
      <c r="J229" s="132"/>
      <c r="K229" s="132"/>
      <c r="L229" s="139"/>
      <c r="M229" s="140"/>
      <c r="N229" s="141"/>
      <c r="O229" s="141"/>
      <c r="P229" s="142"/>
      <c r="Q229" s="141"/>
      <c r="R229" s="141"/>
      <c r="S229" s="141"/>
      <c r="T229" s="141"/>
      <c r="U229" s="142"/>
      <c r="V229" s="227"/>
      <c r="W229" s="236"/>
      <c r="X229" s="236"/>
      <c r="Y229" s="236"/>
      <c r="Z229" s="236"/>
      <c r="AA229" s="236"/>
      <c r="AB229" s="236"/>
      <c r="AC229" s="236"/>
      <c r="AD229" s="236"/>
      <c r="AE229" s="236"/>
      <c r="AF229" s="236"/>
      <c r="AG229" s="238"/>
      <c r="AH229" s="229"/>
      <c r="AI229" s="229"/>
      <c r="AJ229" s="229"/>
      <c r="AK229" s="229"/>
      <c r="AL229" s="229"/>
      <c r="AM229" s="229"/>
      <c r="AN229" s="229"/>
      <c r="AO229" s="229"/>
      <c r="AP229" s="229"/>
      <c r="AQ229" s="229"/>
      <c r="AR229" s="229"/>
      <c r="AS229" s="229"/>
      <c r="AT229" s="229"/>
      <c r="AU229" s="229"/>
      <c r="AV229" s="229"/>
      <c r="AW229" s="229"/>
      <c r="AX229" s="229"/>
      <c r="AY229" s="229"/>
      <c r="AZ229" s="229"/>
      <c r="BA229" s="229"/>
      <c r="BB229" s="229"/>
      <c r="BC229" s="229"/>
      <c r="BD229" s="229"/>
      <c r="BE229" s="227"/>
      <c r="BF229" s="227"/>
      <c r="BG229" s="227"/>
      <c r="BH229" s="227"/>
      <c r="BI229" s="133"/>
      <c r="BJ229" s="202"/>
      <c r="BK229" s="202"/>
      <c r="BL229" s="202"/>
      <c r="BM229" s="202"/>
      <c r="BN229" s="202"/>
      <c r="BO229" s="202"/>
      <c r="BP229" s="202"/>
      <c r="BQ229" s="202"/>
      <c r="BR229" s="202"/>
      <c r="BS229" s="202"/>
      <c r="BT229" s="202"/>
      <c r="BU229" s="202"/>
      <c r="BV229" s="202"/>
      <c r="BW229" s="202"/>
      <c r="BX229" s="202"/>
      <c r="BY229" s="202"/>
      <c r="BZ229" s="202"/>
      <c r="CA229" s="202"/>
      <c r="CB229" s="202"/>
      <c r="CC229" s="202"/>
      <c r="CD229" s="202"/>
      <c r="CE229" s="202"/>
      <c r="CF229" s="202"/>
      <c r="CG229" s="202"/>
      <c r="CH229" s="202"/>
      <c r="CI229" s="121"/>
      <c r="CJ229" s="121"/>
      <c r="CK229" s="121"/>
      <c r="CL229" s="121"/>
      <c r="CM229" s="121"/>
      <c r="CN229" s="121"/>
      <c r="CO229" s="121"/>
      <c r="CP229" s="121"/>
      <c r="CQ229" s="121"/>
      <c r="CR229" s="121"/>
      <c r="CS229" s="121"/>
      <c r="CT229" s="121"/>
      <c r="CU229" s="199"/>
      <c r="CV229" s="199"/>
      <c r="CW229" s="205"/>
      <c r="CX229" s="132">
        <v>1</v>
      </c>
      <c r="CY229" s="132">
        <v>1</v>
      </c>
      <c r="CZ229" s="132">
        <v>1</v>
      </c>
      <c r="DA229" s="132">
        <v>1</v>
      </c>
      <c r="DB229" s="132">
        <v>1</v>
      </c>
      <c r="DC229" s="132">
        <v>1</v>
      </c>
      <c r="DD229" s="132">
        <v>1</v>
      </c>
      <c r="DE229" s="103"/>
      <c r="DF229" s="103"/>
      <c r="DG229" s="103"/>
      <c r="DH229" s="103"/>
      <c r="DI229" s="103"/>
      <c r="DJ229" s="103"/>
      <c r="DK229" s="130"/>
      <c r="DL229" s="130"/>
      <c r="DM229" s="130"/>
      <c r="DN229" s="132"/>
      <c r="DO229" s="132"/>
    </row>
    <row r="230" ht="26.25" customHeight="1" spans="1:119">
      <c r="A230" s="131">
        <v>43992</v>
      </c>
      <c r="B230" s="99" t="s">
        <v>13192</v>
      </c>
      <c r="C230" s="215">
        <v>4500033522</v>
      </c>
      <c r="D230" s="215" t="s">
        <v>13452</v>
      </c>
      <c r="E230" s="206" t="s">
        <v>13433</v>
      </c>
      <c r="F230" s="136">
        <v>9208</v>
      </c>
      <c r="G230" s="137" t="s">
        <v>13439</v>
      </c>
      <c r="H230" s="132">
        <v>3</v>
      </c>
      <c r="I230" s="132"/>
      <c r="J230" s="132"/>
      <c r="K230" s="132"/>
      <c r="L230" s="139"/>
      <c r="M230" s="140"/>
      <c r="N230" s="141"/>
      <c r="O230" s="141"/>
      <c r="P230" s="142"/>
      <c r="Q230" s="141"/>
      <c r="R230" s="141"/>
      <c r="S230" s="141"/>
      <c r="T230" s="141"/>
      <c r="U230" s="142"/>
      <c r="V230" s="227"/>
      <c r="W230" s="236"/>
      <c r="X230" s="236"/>
      <c r="Y230" s="236"/>
      <c r="Z230" s="236"/>
      <c r="AA230" s="236"/>
      <c r="AB230" s="236"/>
      <c r="AC230" s="236"/>
      <c r="AD230" s="236"/>
      <c r="AE230" s="236"/>
      <c r="AF230" s="236"/>
      <c r="AG230" s="238"/>
      <c r="AH230" s="229"/>
      <c r="AI230" s="229"/>
      <c r="AJ230" s="229"/>
      <c r="AK230" s="229"/>
      <c r="AL230" s="229"/>
      <c r="AM230" s="229"/>
      <c r="AN230" s="229"/>
      <c r="AO230" s="229"/>
      <c r="AP230" s="229"/>
      <c r="AQ230" s="229"/>
      <c r="AR230" s="229"/>
      <c r="AS230" s="229"/>
      <c r="AT230" s="229"/>
      <c r="AU230" s="229"/>
      <c r="AV230" s="229"/>
      <c r="AW230" s="229"/>
      <c r="AX230" s="229"/>
      <c r="AY230" s="229"/>
      <c r="AZ230" s="229"/>
      <c r="BA230" s="229"/>
      <c r="BB230" s="229"/>
      <c r="BC230" s="229"/>
      <c r="BD230" s="229"/>
      <c r="BE230" s="227"/>
      <c r="BF230" s="227"/>
      <c r="BG230" s="227"/>
      <c r="BH230" s="227"/>
      <c r="BI230" s="133"/>
      <c r="BJ230" s="202"/>
      <c r="BK230" s="202"/>
      <c r="BL230" s="202"/>
      <c r="BM230" s="202"/>
      <c r="BN230" s="202"/>
      <c r="BO230" s="202"/>
      <c r="BP230" s="202"/>
      <c r="BQ230" s="202"/>
      <c r="BR230" s="202"/>
      <c r="BS230" s="202"/>
      <c r="BT230" s="202"/>
      <c r="BU230" s="202"/>
      <c r="BV230" s="202"/>
      <c r="BW230" s="202"/>
      <c r="BX230" s="202"/>
      <c r="BY230" s="202"/>
      <c r="BZ230" s="202"/>
      <c r="CA230" s="202"/>
      <c r="CB230" s="202"/>
      <c r="CC230" s="202"/>
      <c r="CD230" s="202"/>
      <c r="CE230" s="202"/>
      <c r="CF230" s="202"/>
      <c r="CG230" s="202"/>
      <c r="CH230" s="202"/>
      <c r="CI230" s="121"/>
      <c r="CJ230" s="121"/>
      <c r="CK230" s="121"/>
      <c r="CL230" s="121"/>
      <c r="CM230" s="121"/>
      <c r="CN230" s="121"/>
      <c r="CO230" s="121"/>
      <c r="CP230" s="121"/>
      <c r="CQ230" s="121"/>
      <c r="CR230" s="121"/>
      <c r="CS230" s="121"/>
      <c r="CT230" s="121"/>
      <c r="CU230" s="199"/>
      <c r="CV230" s="199"/>
      <c r="CW230" s="205"/>
      <c r="CX230" s="132"/>
      <c r="CY230" s="132"/>
      <c r="CZ230" s="132"/>
      <c r="DA230" s="132"/>
      <c r="DB230" s="132"/>
      <c r="DC230" s="132"/>
      <c r="DD230" s="132"/>
      <c r="DE230" s="103"/>
      <c r="DF230" s="103"/>
      <c r="DG230" s="103"/>
      <c r="DH230" s="103"/>
      <c r="DI230" s="103"/>
      <c r="DJ230" s="103"/>
      <c r="DK230" s="130"/>
      <c r="DL230" s="130"/>
      <c r="DM230" s="130"/>
      <c r="DN230" s="132"/>
      <c r="DO230" s="132">
        <v>3</v>
      </c>
    </row>
    <row r="231" ht="26.25" customHeight="1" spans="1:119">
      <c r="A231" s="131">
        <v>43994</v>
      </c>
      <c r="B231" s="99" t="s">
        <v>13373</v>
      </c>
      <c r="C231" s="215">
        <v>4500033217</v>
      </c>
      <c r="D231" s="215" t="s">
        <v>13453</v>
      </c>
      <c r="E231" s="206" t="s">
        <v>13315</v>
      </c>
      <c r="F231" s="136">
        <v>9212</v>
      </c>
      <c r="G231" s="137" t="s">
        <v>13424</v>
      </c>
      <c r="H231" s="132">
        <v>1</v>
      </c>
      <c r="I231" s="132"/>
      <c r="J231" s="132"/>
      <c r="K231" s="132"/>
      <c r="L231" s="139"/>
      <c r="M231" s="140"/>
      <c r="N231" s="141"/>
      <c r="O231" s="141"/>
      <c r="P231" s="142"/>
      <c r="Q231" s="141"/>
      <c r="R231" s="141"/>
      <c r="S231" s="141"/>
      <c r="T231" s="141"/>
      <c r="U231" s="142"/>
      <c r="V231" s="227"/>
      <c r="W231" s="236"/>
      <c r="X231" s="236"/>
      <c r="Y231" s="236"/>
      <c r="Z231" s="236"/>
      <c r="AA231" s="236"/>
      <c r="AB231" s="236"/>
      <c r="AC231" s="236"/>
      <c r="AD231" s="236"/>
      <c r="AE231" s="236"/>
      <c r="AF231" s="236"/>
      <c r="AG231" s="238"/>
      <c r="AH231" s="229"/>
      <c r="AI231" s="229"/>
      <c r="AJ231" s="229"/>
      <c r="AK231" s="229"/>
      <c r="AL231" s="229"/>
      <c r="AM231" s="229"/>
      <c r="AN231" s="229"/>
      <c r="AO231" s="229"/>
      <c r="AP231" s="229"/>
      <c r="AQ231" s="229"/>
      <c r="AR231" s="229"/>
      <c r="AS231" s="229"/>
      <c r="AT231" s="229"/>
      <c r="AU231" s="229"/>
      <c r="AV231" s="229"/>
      <c r="AW231" s="229"/>
      <c r="AX231" s="229"/>
      <c r="AY231" s="229"/>
      <c r="AZ231" s="229"/>
      <c r="BA231" s="229"/>
      <c r="BB231" s="229"/>
      <c r="BC231" s="229"/>
      <c r="BD231" s="229"/>
      <c r="BE231" s="227"/>
      <c r="BF231" s="227"/>
      <c r="BG231" s="227"/>
      <c r="BH231" s="227"/>
      <c r="BI231" s="133"/>
      <c r="BJ231" s="202"/>
      <c r="BK231" s="202"/>
      <c r="BL231" s="202"/>
      <c r="BM231" s="202"/>
      <c r="BN231" s="202"/>
      <c r="BO231" s="202"/>
      <c r="BP231" s="202"/>
      <c r="BQ231" s="202"/>
      <c r="BR231" s="202"/>
      <c r="BS231" s="202"/>
      <c r="BT231" s="202"/>
      <c r="BU231" s="202"/>
      <c r="BV231" s="202"/>
      <c r="BW231" s="202"/>
      <c r="BX231" s="202"/>
      <c r="BY231" s="202"/>
      <c r="BZ231" s="202"/>
      <c r="CA231" s="202"/>
      <c r="CB231" s="202"/>
      <c r="CC231" s="202"/>
      <c r="CD231" s="202"/>
      <c r="CE231" s="202"/>
      <c r="CF231" s="202"/>
      <c r="CG231" s="202"/>
      <c r="CH231" s="202"/>
      <c r="CI231" s="121"/>
      <c r="CJ231" s="121"/>
      <c r="CK231" s="121"/>
      <c r="CL231" s="121"/>
      <c r="CM231" s="121"/>
      <c r="CN231" s="121"/>
      <c r="CO231" s="121"/>
      <c r="CP231" s="121"/>
      <c r="CQ231" s="121"/>
      <c r="CR231" s="121"/>
      <c r="CS231" s="121"/>
      <c r="CT231" s="121"/>
      <c r="CU231" s="199"/>
      <c r="CV231" s="199"/>
      <c r="CW231" s="205"/>
      <c r="CX231" s="132"/>
      <c r="CY231" s="132"/>
      <c r="CZ231" s="132"/>
      <c r="DA231" s="132"/>
      <c r="DB231" s="132"/>
      <c r="DC231" s="132"/>
      <c r="DD231" s="132"/>
      <c r="DE231" s="103">
        <v>1</v>
      </c>
      <c r="DF231" s="103"/>
      <c r="DG231" s="103"/>
      <c r="DH231" s="103"/>
      <c r="DI231" s="103"/>
      <c r="DJ231" s="103"/>
      <c r="DK231" s="130"/>
      <c r="DL231" s="130"/>
      <c r="DM231" s="130"/>
      <c r="DN231" s="132"/>
      <c r="DO231" s="132"/>
    </row>
    <row r="232" ht="26.25" customHeight="1" spans="1:119">
      <c r="A232" s="131">
        <v>43995</v>
      </c>
      <c r="B232" s="99" t="s">
        <v>13385</v>
      </c>
      <c r="C232" s="215">
        <v>4500029798</v>
      </c>
      <c r="D232" s="215" t="s">
        <v>13386</v>
      </c>
      <c r="E232" s="206" t="s">
        <v>13315</v>
      </c>
      <c r="F232" s="136">
        <v>9212</v>
      </c>
      <c r="G232" s="137" t="s">
        <v>13424</v>
      </c>
      <c r="H232" s="132">
        <v>1</v>
      </c>
      <c r="I232" s="132"/>
      <c r="J232" s="132"/>
      <c r="K232" s="132"/>
      <c r="L232" s="139"/>
      <c r="M232" s="140"/>
      <c r="N232" s="141"/>
      <c r="O232" s="141"/>
      <c r="P232" s="142"/>
      <c r="Q232" s="141"/>
      <c r="R232" s="141"/>
      <c r="S232" s="141"/>
      <c r="T232" s="141"/>
      <c r="U232" s="142"/>
      <c r="V232" s="227"/>
      <c r="W232" s="236"/>
      <c r="X232" s="236"/>
      <c r="Y232" s="236"/>
      <c r="Z232" s="236"/>
      <c r="AA232" s="236"/>
      <c r="AB232" s="236"/>
      <c r="AC232" s="236"/>
      <c r="AD232" s="236"/>
      <c r="AE232" s="236"/>
      <c r="AF232" s="236"/>
      <c r="AG232" s="238"/>
      <c r="AH232" s="229"/>
      <c r="AI232" s="229"/>
      <c r="AJ232" s="229"/>
      <c r="AK232" s="229"/>
      <c r="AL232" s="229"/>
      <c r="AM232" s="229"/>
      <c r="AN232" s="229"/>
      <c r="AO232" s="229"/>
      <c r="AP232" s="229"/>
      <c r="AQ232" s="229"/>
      <c r="AR232" s="229"/>
      <c r="AS232" s="229"/>
      <c r="AT232" s="229"/>
      <c r="AU232" s="229"/>
      <c r="AV232" s="229"/>
      <c r="AW232" s="229"/>
      <c r="AX232" s="229"/>
      <c r="AY232" s="229"/>
      <c r="AZ232" s="229"/>
      <c r="BA232" s="229"/>
      <c r="BB232" s="229"/>
      <c r="BC232" s="229"/>
      <c r="BD232" s="229"/>
      <c r="BE232" s="227"/>
      <c r="BF232" s="227"/>
      <c r="BG232" s="227"/>
      <c r="BH232" s="227"/>
      <c r="BI232" s="133"/>
      <c r="BJ232" s="202"/>
      <c r="BK232" s="202"/>
      <c r="BL232" s="202"/>
      <c r="BM232" s="202"/>
      <c r="BN232" s="202"/>
      <c r="BO232" s="202"/>
      <c r="BP232" s="202"/>
      <c r="BQ232" s="202"/>
      <c r="BR232" s="202"/>
      <c r="BS232" s="202"/>
      <c r="BT232" s="202"/>
      <c r="BU232" s="202"/>
      <c r="BV232" s="202"/>
      <c r="BW232" s="202"/>
      <c r="BX232" s="202"/>
      <c r="BY232" s="202"/>
      <c r="BZ232" s="202"/>
      <c r="CA232" s="202"/>
      <c r="CB232" s="202"/>
      <c r="CC232" s="202"/>
      <c r="CD232" s="202"/>
      <c r="CE232" s="202"/>
      <c r="CF232" s="202"/>
      <c r="CG232" s="202"/>
      <c r="CH232" s="202"/>
      <c r="CI232" s="121"/>
      <c r="CJ232" s="121"/>
      <c r="CK232" s="121"/>
      <c r="CL232" s="121"/>
      <c r="CM232" s="121"/>
      <c r="CN232" s="121"/>
      <c r="CO232" s="121"/>
      <c r="CP232" s="121"/>
      <c r="CQ232" s="121"/>
      <c r="CR232" s="121"/>
      <c r="CS232" s="121"/>
      <c r="CT232" s="121"/>
      <c r="CU232" s="199"/>
      <c r="CV232" s="199"/>
      <c r="CW232" s="205"/>
      <c r="CX232" s="132"/>
      <c r="CY232" s="132"/>
      <c r="CZ232" s="132"/>
      <c r="DA232" s="132"/>
      <c r="DB232" s="132"/>
      <c r="DC232" s="132"/>
      <c r="DD232" s="132"/>
      <c r="DE232" s="103"/>
      <c r="DF232" s="103"/>
      <c r="DG232" s="103"/>
      <c r="DH232" s="103"/>
      <c r="DI232" s="103">
        <v>1</v>
      </c>
      <c r="DJ232" s="103"/>
      <c r="DK232" s="130"/>
      <c r="DL232" s="130"/>
      <c r="DM232" s="130"/>
      <c r="DN232" s="132"/>
      <c r="DO232" s="132"/>
    </row>
    <row r="233" ht="26.25" customHeight="1" spans="1:119">
      <c r="A233" s="131">
        <v>43995</v>
      </c>
      <c r="B233" s="99" t="s">
        <v>13324</v>
      </c>
      <c r="C233" s="215"/>
      <c r="D233" s="215" t="s">
        <v>6341</v>
      </c>
      <c r="E233" s="206" t="s">
        <v>13433</v>
      </c>
      <c r="F233" s="136">
        <v>9212</v>
      </c>
      <c r="G233" s="137" t="s">
        <v>13424</v>
      </c>
      <c r="H233" s="132">
        <v>3</v>
      </c>
      <c r="I233" s="132"/>
      <c r="J233" s="132"/>
      <c r="K233" s="132"/>
      <c r="L233" s="139"/>
      <c r="M233" s="140"/>
      <c r="N233" s="141"/>
      <c r="O233" s="141"/>
      <c r="P233" s="142"/>
      <c r="Q233" s="141"/>
      <c r="R233" s="141"/>
      <c r="S233" s="141"/>
      <c r="T233" s="141"/>
      <c r="U233" s="142"/>
      <c r="V233" s="227"/>
      <c r="W233" s="236"/>
      <c r="X233" s="236"/>
      <c r="Y233" s="236"/>
      <c r="Z233" s="236"/>
      <c r="AA233" s="236"/>
      <c r="AB233" s="236"/>
      <c r="AC233" s="236"/>
      <c r="AD233" s="236"/>
      <c r="AE233" s="236"/>
      <c r="AF233" s="236"/>
      <c r="AG233" s="238"/>
      <c r="AH233" s="229"/>
      <c r="AI233" s="229"/>
      <c r="AJ233" s="229"/>
      <c r="AK233" s="229"/>
      <c r="AL233" s="229"/>
      <c r="AM233" s="229"/>
      <c r="AN233" s="229"/>
      <c r="AO233" s="229"/>
      <c r="AP233" s="229"/>
      <c r="AQ233" s="229"/>
      <c r="AR233" s="229"/>
      <c r="AS233" s="229"/>
      <c r="AT233" s="229"/>
      <c r="AU233" s="229"/>
      <c r="AV233" s="229"/>
      <c r="AW233" s="229"/>
      <c r="AX233" s="229"/>
      <c r="AY233" s="229"/>
      <c r="AZ233" s="229"/>
      <c r="BA233" s="229"/>
      <c r="BB233" s="229"/>
      <c r="BC233" s="229"/>
      <c r="BD233" s="229"/>
      <c r="BE233" s="227"/>
      <c r="BF233" s="227"/>
      <c r="BG233" s="227"/>
      <c r="BH233" s="227"/>
      <c r="BI233" s="133"/>
      <c r="BJ233" s="202"/>
      <c r="BK233" s="202"/>
      <c r="BL233" s="202"/>
      <c r="BM233" s="202"/>
      <c r="BN233" s="202"/>
      <c r="BO233" s="202"/>
      <c r="BP233" s="202"/>
      <c r="BQ233" s="202"/>
      <c r="BR233" s="202"/>
      <c r="BS233" s="202"/>
      <c r="BT233" s="202"/>
      <c r="BU233" s="202"/>
      <c r="BV233" s="202"/>
      <c r="BW233" s="202"/>
      <c r="BX233" s="202"/>
      <c r="BY233" s="202"/>
      <c r="BZ233" s="202"/>
      <c r="CA233" s="202"/>
      <c r="CB233" s="202"/>
      <c r="CC233" s="202"/>
      <c r="CD233" s="202"/>
      <c r="CE233" s="202"/>
      <c r="CF233" s="202"/>
      <c r="CG233" s="202"/>
      <c r="CH233" s="202"/>
      <c r="CI233" s="121"/>
      <c r="CJ233" s="121"/>
      <c r="CK233" s="121"/>
      <c r="CL233" s="121"/>
      <c r="CM233" s="121"/>
      <c r="CN233" s="121"/>
      <c r="CO233" s="121"/>
      <c r="CP233" s="121"/>
      <c r="CQ233" s="121"/>
      <c r="CR233" s="121"/>
      <c r="CS233" s="121"/>
      <c r="CT233" s="121"/>
      <c r="CU233" s="199"/>
      <c r="CV233" s="199"/>
      <c r="CW233" s="205"/>
      <c r="CX233" s="132"/>
      <c r="CY233" s="132"/>
      <c r="CZ233" s="132"/>
      <c r="DA233" s="132"/>
      <c r="DB233" s="132"/>
      <c r="DC233" s="132"/>
      <c r="DD233" s="132"/>
      <c r="DE233" s="103">
        <v>1</v>
      </c>
      <c r="DF233" s="103">
        <v>1</v>
      </c>
      <c r="DG233" s="103"/>
      <c r="DH233" s="103"/>
      <c r="DI233" s="103">
        <v>1</v>
      </c>
      <c r="DJ233" s="103"/>
      <c r="DK233" s="130"/>
      <c r="DL233" s="130"/>
      <c r="DM233" s="130"/>
      <c r="DN233" s="132"/>
      <c r="DO233" s="132"/>
    </row>
    <row r="234" ht="26.25" customHeight="1" spans="1:119">
      <c r="A234" s="131">
        <v>43995</v>
      </c>
      <c r="B234" s="99" t="s">
        <v>13324</v>
      </c>
      <c r="C234" s="215"/>
      <c r="D234" s="215" t="s">
        <v>6341</v>
      </c>
      <c r="E234" s="206" t="s">
        <v>13433</v>
      </c>
      <c r="F234" s="136">
        <v>9207</v>
      </c>
      <c r="G234" s="137" t="s">
        <v>13177</v>
      </c>
      <c r="H234" s="132">
        <v>4</v>
      </c>
      <c r="I234" s="132"/>
      <c r="J234" s="132"/>
      <c r="K234" s="132"/>
      <c r="L234" s="139"/>
      <c r="M234" s="140"/>
      <c r="N234" s="141"/>
      <c r="O234" s="141"/>
      <c r="P234" s="142"/>
      <c r="Q234" s="141"/>
      <c r="R234" s="141"/>
      <c r="S234" s="141"/>
      <c r="T234" s="141"/>
      <c r="U234" s="142"/>
      <c r="V234" s="227"/>
      <c r="W234" s="236"/>
      <c r="X234" s="236"/>
      <c r="Y234" s="236"/>
      <c r="Z234" s="236"/>
      <c r="AA234" s="236"/>
      <c r="AB234" s="236"/>
      <c r="AC234" s="236"/>
      <c r="AD234" s="236"/>
      <c r="AE234" s="236"/>
      <c r="AF234" s="236"/>
      <c r="AG234" s="238"/>
      <c r="AH234" s="229"/>
      <c r="AI234" s="229"/>
      <c r="AJ234" s="229"/>
      <c r="AK234" s="229"/>
      <c r="AL234" s="229"/>
      <c r="AM234" s="229"/>
      <c r="AN234" s="229"/>
      <c r="AO234" s="229"/>
      <c r="AP234" s="229"/>
      <c r="AQ234" s="229"/>
      <c r="AR234" s="229"/>
      <c r="AS234" s="229"/>
      <c r="AT234" s="229"/>
      <c r="AU234" s="229"/>
      <c r="AV234" s="229"/>
      <c r="AW234" s="229"/>
      <c r="AX234" s="229"/>
      <c r="AY234" s="229"/>
      <c r="AZ234" s="229"/>
      <c r="BA234" s="229"/>
      <c r="BB234" s="229"/>
      <c r="BC234" s="229"/>
      <c r="BD234" s="229"/>
      <c r="BE234" s="227"/>
      <c r="BF234" s="227"/>
      <c r="BG234" s="227"/>
      <c r="BH234" s="227"/>
      <c r="BI234" s="133"/>
      <c r="BJ234" s="202"/>
      <c r="BK234" s="202"/>
      <c r="BL234" s="202"/>
      <c r="BM234" s="202"/>
      <c r="BN234" s="202"/>
      <c r="BO234" s="202"/>
      <c r="BP234" s="202"/>
      <c r="BQ234" s="202"/>
      <c r="BR234" s="202"/>
      <c r="BS234" s="202"/>
      <c r="BT234" s="202"/>
      <c r="BU234" s="202"/>
      <c r="BV234" s="202"/>
      <c r="BW234" s="202"/>
      <c r="BX234" s="202"/>
      <c r="BY234" s="202"/>
      <c r="BZ234" s="202"/>
      <c r="CA234" s="202"/>
      <c r="CB234" s="202"/>
      <c r="CC234" s="202"/>
      <c r="CD234" s="202"/>
      <c r="CE234" s="202"/>
      <c r="CF234" s="202"/>
      <c r="CG234" s="202"/>
      <c r="CH234" s="202"/>
      <c r="CI234" s="121"/>
      <c r="CJ234" s="121"/>
      <c r="CK234" s="121"/>
      <c r="CL234" s="121"/>
      <c r="CM234" s="121"/>
      <c r="CN234" s="121"/>
      <c r="CO234" s="121"/>
      <c r="CP234" s="121"/>
      <c r="CQ234" s="121"/>
      <c r="CR234" s="121"/>
      <c r="CS234" s="121"/>
      <c r="CT234" s="121"/>
      <c r="CU234" s="199"/>
      <c r="CV234" s="199"/>
      <c r="CW234" s="205"/>
      <c r="CX234" s="132"/>
      <c r="CY234" s="132"/>
      <c r="CZ234" s="132"/>
      <c r="DA234" s="132"/>
      <c r="DB234" s="132"/>
      <c r="DC234" s="132"/>
      <c r="DD234" s="132"/>
      <c r="DE234" s="103"/>
      <c r="DF234" s="103"/>
      <c r="DG234" s="103"/>
      <c r="DH234" s="103"/>
      <c r="DI234" s="103"/>
      <c r="DJ234" s="103"/>
      <c r="DK234" s="130"/>
      <c r="DL234" s="130"/>
      <c r="DM234" s="130"/>
      <c r="DN234" s="132">
        <v>4</v>
      </c>
      <c r="DO234" s="132"/>
    </row>
    <row r="235" ht="26.25" customHeight="1" spans="1:119">
      <c r="A235" s="131">
        <v>43995</v>
      </c>
      <c r="B235" s="99" t="s">
        <v>13324</v>
      </c>
      <c r="C235" s="215"/>
      <c r="D235" s="215" t="s">
        <v>6341</v>
      </c>
      <c r="E235" s="206" t="s">
        <v>13433</v>
      </c>
      <c r="F235" s="136">
        <v>9208</v>
      </c>
      <c r="G235" s="137" t="s">
        <v>13178</v>
      </c>
      <c r="H235" s="132">
        <v>4</v>
      </c>
      <c r="I235" s="132"/>
      <c r="J235" s="132"/>
      <c r="K235" s="132"/>
      <c r="L235" s="139"/>
      <c r="M235" s="140"/>
      <c r="N235" s="141"/>
      <c r="O235" s="141"/>
      <c r="P235" s="142"/>
      <c r="Q235" s="141"/>
      <c r="R235" s="141"/>
      <c r="S235" s="141"/>
      <c r="T235" s="141"/>
      <c r="U235" s="142"/>
      <c r="V235" s="227"/>
      <c r="W235" s="236"/>
      <c r="X235" s="236"/>
      <c r="Y235" s="236"/>
      <c r="Z235" s="236"/>
      <c r="AA235" s="236"/>
      <c r="AB235" s="236"/>
      <c r="AC235" s="236"/>
      <c r="AD235" s="236"/>
      <c r="AE235" s="236"/>
      <c r="AF235" s="236"/>
      <c r="AG235" s="238"/>
      <c r="AH235" s="229"/>
      <c r="AI235" s="229"/>
      <c r="AJ235" s="229"/>
      <c r="AK235" s="229"/>
      <c r="AL235" s="229"/>
      <c r="AM235" s="229"/>
      <c r="AN235" s="229"/>
      <c r="AO235" s="229"/>
      <c r="AP235" s="229"/>
      <c r="AQ235" s="229"/>
      <c r="AR235" s="229"/>
      <c r="AS235" s="229"/>
      <c r="AT235" s="229"/>
      <c r="AU235" s="229"/>
      <c r="AV235" s="229"/>
      <c r="AW235" s="229"/>
      <c r="AX235" s="229"/>
      <c r="AY235" s="229"/>
      <c r="AZ235" s="229"/>
      <c r="BA235" s="229"/>
      <c r="BB235" s="229"/>
      <c r="BC235" s="229"/>
      <c r="BD235" s="229"/>
      <c r="BE235" s="227"/>
      <c r="BF235" s="227"/>
      <c r="BG235" s="227"/>
      <c r="BH235" s="227"/>
      <c r="BI235" s="133"/>
      <c r="BJ235" s="202"/>
      <c r="BK235" s="202"/>
      <c r="BL235" s="202"/>
      <c r="BM235" s="202"/>
      <c r="BN235" s="202"/>
      <c r="BO235" s="202"/>
      <c r="BP235" s="202"/>
      <c r="BQ235" s="202"/>
      <c r="BR235" s="202"/>
      <c r="BS235" s="202"/>
      <c r="BT235" s="202"/>
      <c r="BU235" s="202"/>
      <c r="BV235" s="202"/>
      <c r="BW235" s="202"/>
      <c r="BX235" s="202"/>
      <c r="BY235" s="202"/>
      <c r="BZ235" s="202"/>
      <c r="CA235" s="202"/>
      <c r="CB235" s="202"/>
      <c r="CC235" s="202"/>
      <c r="CD235" s="202"/>
      <c r="CE235" s="202"/>
      <c r="CF235" s="202"/>
      <c r="CG235" s="202"/>
      <c r="CH235" s="202"/>
      <c r="CI235" s="121"/>
      <c r="CJ235" s="121"/>
      <c r="CK235" s="121"/>
      <c r="CL235" s="121"/>
      <c r="CM235" s="121"/>
      <c r="CN235" s="121"/>
      <c r="CO235" s="121"/>
      <c r="CP235" s="121"/>
      <c r="CQ235" s="121"/>
      <c r="CR235" s="121"/>
      <c r="CS235" s="121"/>
      <c r="CT235" s="121"/>
      <c r="CU235" s="199"/>
      <c r="CV235" s="199"/>
      <c r="CW235" s="205"/>
      <c r="CX235" s="132"/>
      <c r="CY235" s="132"/>
      <c r="CZ235" s="132"/>
      <c r="DA235" s="132"/>
      <c r="DB235" s="132"/>
      <c r="DC235" s="132"/>
      <c r="DD235" s="132"/>
      <c r="DE235" s="103"/>
      <c r="DF235" s="103"/>
      <c r="DG235" s="103"/>
      <c r="DH235" s="103"/>
      <c r="DI235" s="103"/>
      <c r="DJ235" s="103"/>
      <c r="DK235" s="130"/>
      <c r="DL235" s="130"/>
      <c r="DM235" s="130"/>
      <c r="DN235" s="132"/>
      <c r="DO235" s="132">
        <v>4</v>
      </c>
    </row>
    <row r="236" ht="26.25" customHeight="1" spans="1:119">
      <c r="A236" s="131">
        <v>43998</v>
      </c>
      <c r="B236" s="99" t="s">
        <v>13324</v>
      </c>
      <c r="C236" s="215"/>
      <c r="D236" s="215" t="s">
        <v>6341</v>
      </c>
      <c r="E236" s="206" t="s">
        <v>13433</v>
      </c>
      <c r="F236" s="136">
        <v>9212</v>
      </c>
      <c r="G236" s="137" t="s">
        <v>13424</v>
      </c>
      <c r="H236" s="132">
        <v>3</v>
      </c>
      <c r="I236" s="132"/>
      <c r="J236" s="132"/>
      <c r="K236" s="132"/>
      <c r="L236" s="139"/>
      <c r="M236" s="140"/>
      <c r="N236" s="141"/>
      <c r="O236" s="141"/>
      <c r="P236" s="142"/>
      <c r="Q236" s="141"/>
      <c r="R236" s="141"/>
      <c r="S236" s="141"/>
      <c r="T236" s="141"/>
      <c r="U236" s="142"/>
      <c r="V236" s="227"/>
      <c r="W236" s="236"/>
      <c r="X236" s="236"/>
      <c r="Y236" s="236"/>
      <c r="Z236" s="236"/>
      <c r="AA236" s="236"/>
      <c r="AB236" s="236"/>
      <c r="AC236" s="236"/>
      <c r="AD236" s="236"/>
      <c r="AE236" s="236"/>
      <c r="AF236" s="236"/>
      <c r="AG236" s="238"/>
      <c r="AH236" s="229"/>
      <c r="AI236" s="229"/>
      <c r="AJ236" s="229"/>
      <c r="AK236" s="229"/>
      <c r="AL236" s="229"/>
      <c r="AM236" s="229"/>
      <c r="AN236" s="229"/>
      <c r="AO236" s="229"/>
      <c r="AP236" s="229"/>
      <c r="AQ236" s="229"/>
      <c r="AR236" s="229"/>
      <c r="AS236" s="229"/>
      <c r="AT236" s="229"/>
      <c r="AU236" s="229"/>
      <c r="AV236" s="229"/>
      <c r="AW236" s="229"/>
      <c r="AX236" s="229"/>
      <c r="AY236" s="229"/>
      <c r="AZ236" s="229"/>
      <c r="BA236" s="229"/>
      <c r="BB236" s="229"/>
      <c r="BC236" s="229"/>
      <c r="BD236" s="229"/>
      <c r="BE236" s="227"/>
      <c r="BF236" s="227"/>
      <c r="BG236" s="227"/>
      <c r="BH236" s="227"/>
      <c r="BI236" s="133"/>
      <c r="BJ236" s="202"/>
      <c r="BK236" s="202"/>
      <c r="BL236" s="202"/>
      <c r="BM236" s="202"/>
      <c r="BN236" s="202"/>
      <c r="BO236" s="202"/>
      <c r="BP236" s="202"/>
      <c r="BQ236" s="202"/>
      <c r="BR236" s="202"/>
      <c r="BS236" s="202"/>
      <c r="BT236" s="202"/>
      <c r="BU236" s="202"/>
      <c r="BV236" s="202"/>
      <c r="BW236" s="202"/>
      <c r="BX236" s="202"/>
      <c r="BY236" s="202"/>
      <c r="BZ236" s="202"/>
      <c r="CA236" s="202"/>
      <c r="CB236" s="202"/>
      <c r="CC236" s="202"/>
      <c r="CD236" s="202"/>
      <c r="CE236" s="202"/>
      <c r="CF236" s="202"/>
      <c r="CG236" s="202"/>
      <c r="CH236" s="202"/>
      <c r="CI236" s="121"/>
      <c r="CJ236" s="121"/>
      <c r="CK236" s="121"/>
      <c r="CL236" s="121"/>
      <c r="CM236" s="121"/>
      <c r="CN236" s="121"/>
      <c r="CO236" s="121"/>
      <c r="CP236" s="121"/>
      <c r="CQ236" s="121"/>
      <c r="CR236" s="121"/>
      <c r="CS236" s="121"/>
      <c r="CT236" s="121"/>
      <c r="CU236" s="199"/>
      <c r="CV236" s="199"/>
      <c r="CW236" s="205"/>
      <c r="CX236" s="132"/>
      <c r="CY236" s="132"/>
      <c r="CZ236" s="132"/>
      <c r="DA236" s="132"/>
      <c r="DB236" s="132"/>
      <c r="DC236" s="132"/>
      <c r="DD236" s="132"/>
      <c r="DE236" s="103"/>
      <c r="DF236" s="103"/>
      <c r="DG236" s="103">
        <v>1</v>
      </c>
      <c r="DH236" s="103">
        <v>1</v>
      </c>
      <c r="DI236" s="103"/>
      <c r="DJ236" s="103">
        <v>1</v>
      </c>
      <c r="DK236" s="130"/>
      <c r="DL236" s="130"/>
      <c r="DM236" s="130"/>
      <c r="DN236" s="132"/>
      <c r="DO236" s="132"/>
    </row>
    <row r="237" ht="26.25" customHeight="1" spans="1:119">
      <c r="A237" s="131">
        <v>43998</v>
      </c>
      <c r="B237" s="99" t="s">
        <v>13324</v>
      </c>
      <c r="C237" s="215"/>
      <c r="D237" s="215" t="s">
        <v>6341</v>
      </c>
      <c r="E237" s="206" t="s">
        <v>13433</v>
      </c>
      <c r="F237" s="136">
        <v>9213</v>
      </c>
      <c r="G237" s="137" t="s">
        <v>13454</v>
      </c>
      <c r="H237" s="132">
        <v>6</v>
      </c>
      <c r="I237" s="132"/>
      <c r="J237" s="132"/>
      <c r="K237" s="132"/>
      <c r="L237" s="139"/>
      <c r="M237" s="140"/>
      <c r="N237" s="141"/>
      <c r="O237" s="141"/>
      <c r="P237" s="142"/>
      <c r="Q237" s="141"/>
      <c r="R237" s="141"/>
      <c r="S237" s="141"/>
      <c r="T237" s="141"/>
      <c r="U237" s="142"/>
      <c r="V237" s="227"/>
      <c r="W237" s="236"/>
      <c r="X237" s="236"/>
      <c r="Y237" s="236"/>
      <c r="Z237" s="236"/>
      <c r="AA237" s="236"/>
      <c r="AB237" s="236"/>
      <c r="AC237" s="236"/>
      <c r="AD237" s="236"/>
      <c r="AE237" s="236"/>
      <c r="AF237" s="236"/>
      <c r="AG237" s="238"/>
      <c r="AH237" s="229"/>
      <c r="AI237" s="229"/>
      <c r="AJ237" s="229"/>
      <c r="AK237" s="229"/>
      <c r="AL237" s="229"/>
      <c r="AM237" s="229"/>
      <c r="AN237" s="229"/>
      <c r="AO237" s="229"/>
      <c r="AP237" s="229"/>
      <c r="AQ237" s="229"/>
      <c r="AR237" s="229"/>
      <c r="AS237" s="229"/>
      <c r="AT237" s="229"/>
      <c r="AU237" s="229"/>
      <c r="AV237" s="229"/>
      <c r="AW237" s="229"/>
      <c r="AX237" s="229"/>
      <c r="AY237" s="229"/>
      <c r="AZ237" s="229"/>
      <c r="BA237" s="229"/>
      <c r="BB237" s="229"/>
      <c r="BC237" s="229"/>
      <c r="BD237" s="229"/>
      <c r="BE237" s="227"/>
      <c r="BF237" s="227"/>
      <c r="BG237" s="227"/>
      <c r="BH237" s="227"/>
      <c r="BI237" s="133"/>
      <c r="BJ237" s="202"/>
      <c r="BK237" s="202"/>
      <c r="BL237" s="202"/>
      <c r="BM237" s="202"/>
      <c r="BN237" s="202"/>
      <c r="BO237" s="202"/>
      <c r="BP237" s="202"/>
      <c r="BQ237" s="202"/>
      <c r="BR237" s="202"/>
      <c r="BS237" s="202"/>
      <c r="BT237" s="202"/>
      <c r="BU237" s="202"/>
      <c r="BV237" s="202"/>
      <c r="BW237" s="202"/>
      <c r="BX237" s="202"/>
      <c r="BY237" s="202"/>
      <c r="BZ237" s="202"/>
      <c r="CA237" s="202"/>
      <c r="CB237" s="202"/>
      <c r="CC237" s="202"/>
      <c r="CD237" s="202"/>
      <c r="CE237" s="202"/>
      <c r="CF237" s="202"/>
      <c r="CG237" s="202"/>
      <c r="CH237" s="202"/>
      <c r="CI237" s="121"/>
      <c r="CJ237" s="121"/>
      <c r="CK237" s="121"/>
      <c r="CL237" s="121"/>
      <c r="CM237" s="121"/>
      <c r="CN237" s="121"/>
      <c r="CO237" s="121"/>
      <c r="CP237" s="121"/>
      <c r="CQ237" s="121"/>
      <c r="CR237" s="121"/>
      <c r="CS237" s="121"/>
      <c r="CT237" s="121"/>
      <c r="CU237" s="199"/>
      <c r="CV237" s="199"/>
      <c r="CW237" s="205"/>
      <c r="CX237" s="132"/>
      <c r="CY237" s="132"/>
      <c r="CZ237" s="132"/>
      <c r="DA237" s="132"/>
      <c r="DB237" s="132"/>
      <c r="DC237" s="132"/>
      <c r="DD237" s="132"/>
      <c r="DE237" s="103"/>
      <c r="DF237" s="103"/>
      <c r="DG237" s="103"/>
      <c r="DH237" s="103"/>
      <c r="DI237" s="103"/>
      <c r="DJ237" s="103"/>
      <c r="DK237" s="130">
        <v>2</v>
      </c>
      <c r="DL237" s="130">
        <v>2</v>
      </c>
      <c r="DM237" s="130">
        <v>2</v>
      </c>
      <c r="DN237" s="132"/>
      <c r="DO237" s="132"/>
    </row>
    <row r="238" ht="26.25" customHeight="1" spans="1:119">
      <c r="A238" s="131">
        <v>43998</v>
      </c>
      <c r="B238" s="99" t="s">
        <v>11685</v>
      </c>
      <c r="C238" s="215"/>
      <c r="D238" s="218" t="s">
        <v>13455</v>
      </c>
      <c r="E238" s="206" t="s">
        <v>13403</v>
      </c>
      <c r="F238" s="136">
        <v>9207</v>
      </c>
      <c r="G238" s="137" t="s">
        <v>13177</v>
      </c>
      <c r="H238" s="132">
        <v>2</v>
      </c>
      <c r="I238" s="132"/>
      <c r="J238" s="132"/>
      <c r="K238" s="132"/>
      <c r="L238" s="139"/>
      <c r="M238" s="140"/>
      <c r="N238" s="141"/>
      <c r="O238" s="141"/>
      <c r="P238" s="142"/>
      <c r="Q238" s="141"/>
      <c r="R238" s="141"/>
      <c r="S238" s="141"/>
      <c r="T238" s="141"/>
      <c r="U238" s="142"/>
      <c r="V238" s="227"/>
      <c r="W238" s="236"/>
      <c r="X238" s="236"/>
      <c r="Y238" s="236"/>
      <c r="Z238" s="236"/>
      <c r="AA238" s="236"/>
      <c r="AB238" s="236"/>
      <c r="AC238" s="236"/>
      <c r="AD238" s="236"/>
      <c r="AE238" s="236"/>
      <c r="AF238" s="236"/>
      <c r="AG238" s="238"/>
      <c r="AH238" s="229"/>
      <c r="AI238" s="229"/>
      <c r="AJ238" s="229"/>
      <c r="AK238" s="229"/>
      <c r="AL238" s="229"/>
      <c r="AM238" s="229"/>
      <c r="AN238" s="229"/>
      <c r="AO238" s="229"/>
      <c r="AP238" s="229"/>
      <c r="AQ238" s="229"/>
      <c r="AR238" s="229"/>
      <c r="AS238" s="229"/>
      <c r="AT238" s="229"/>
      <c r="AU238" s="229"/>
      <c r="AV238" s="229"/>
      <c r="AW238" s="229"/>
      <c r="AX238" s="229"/>
      <c r="AY238" s="229"/>
      <c r="AZ238" s="229"/>
      <c r="BA238" s="229"/>
      <c r="BB238" s="229"/>
      <c r="BC238" s="229"/>
      <c r="BD238" s="229"/>
      <c r="BE238" s="227"/>
      <c r="BF238" s="227"/>
      <c r="BG238" s="227"/>
      <c r="BH238" s="227"/>
      <c r="BI238" s="133"/>
      <c r="BJ238" s="202"/>
      <c r="BK238" s="202"/>
      <c r="BL238" s="202"/>
      <c r="BM238" s="202"/>
      <c r="BN238" s="202"/>
      <c r="BO238" s="202"/>
      <c r="BP238" s="202"/>
      <c r="BQ238" s="202"/>
      <c r="BR238" s="202"/>
      <c r="BS238" s="202"/>
      <c r="BT238" s="202"/>
      <c r="BU238" s="202"/>
      <c r="BV238" s="202"/>
      <c r="BW238" s="202"/>
      <c r="BX238" s="202"/>
      <c r="BY238" s="202"/>
      <c r="BZ238" s="202"/>
      <c r="CA238" s="202"/>
      <c r="CB238" s="202"/>
      <c r="CC238" s="202"/>
      <c r="CD238" s="202"/>
      <c r="CE238" s="202"/>
      <c r="CF238" s="202"/>
      <c r="CG238" s="202"/>
      <c r="CH238" s="202"/>
      <c r="CI238" s="121"/>
      <c r="CJ238" s="121"/>
      <c r="CK238" s="121"/>
      <c r="CL238" s="121"/>
      <c r="CM238" s="121"/>
      <c r="CN238" s="121"/>
      <c r="CO238" s="121"/>
      <c r="CP238" s="121"/>
      <c r="CQ238" s="121"/>
      <c r="CR238" s="121"/>
      <c r="CS238" s="121"/>
      <c r="CT238" s="121"/>
      <c r="CU238" s="199"/>
      <c r="CV238" s="199"/>
      <c r="CW238" s="205"/>
      <c r="CX238" s="132"/>
      <c r="CY238" s="132"/>
      <c r="CZ238" s="132"/>
      <c r="DA238" s="132"/>
      <c r="DB238" s="132"/>
      <c r="DC238" s="132"/>
      <c r="DD238" s="132"/>
      <c r="DE238" s="103"/>
      <c r="DF238" s="103"/>
      <c r="DG238" s="103"/>
      <c r="DH238" s="103"/>
      <c r="DI238" s="103"/>
      <c r="DJ238" s="103"/>
      <c r="DK238" s="130"/>
      <c r="DL238" s="130"/>
      <c r="DM238" s="130"/>
      <c r="DN238" s="132">
        <v>2</v>
      </c>
      <c r="DO238" s="132"/>
    </row>
    <row r="239" ht="26.25" customHeight="1" spans="1:119">
      <c r="A239" s="131">
        <v>43998</v>
      </c>
      <c r="B239" s="99" t="s">
        <v>11685</v>
      </c>
      <c r="C239" s="215"/>
      <c r="D239" s="218" t="s">
        <v>13455</v>
      </c>
      <c r="E239" s="206" t="s">
        <v>13403</v>
      </c>
      <c r="F239" s="136">
        <v>9208</v>
      </c>
      <c r="G239" s="137" t="s">
        <v>13178</v>
      </c>
      <c r="H239" s="132">
        <v>2</v>
      </c>
      <c r="I239" s="132"/>
      <c r="J239" s="132"/>
      <c r="K239" s="132"/>
      <c r="L239" s="139"/>
      <c r="M239" s="140"/>
      <c r="N239" s="141"/>
      <c r="O239" s="141"/>
      <c r="P239" s="142"/>
      <c r="Q239" s="141"/>
      <c r="R239" s="141"/>
      <c r="S239" s="141"/>
      <c r="T239" s="141"/>
      <c r="U239" s="142"/>
      <c r="V239" s="227"/>
      <c r="W239" s="236"/>
      <c r="X239" s="236"/>
      <c r="Y239" s="236"/>
      <c r="Z239" s="236"/>
      <c r="AA239" s="236"/>
      <c r="AB239" s="236"/>
      <c r="AC239" s="236"/>
      <c r="AD239" s="236"/>
      <c r="AE239" s="236"/>
      <c r="AF239" s="236"/>
      <c r="AG239" s="238"/>
      <c r="AH239" s="229"/>
      <c r="AI239" s="229"/>
      <c r="AJ239" s="229"/>
      <c r="AK239" s="229"/>
      <c r="AL239" s="229"/>
      <c r="AM239" s="229"/>
      <c r="AN239" s="229"/>
      <c r="AO239" s="229"/>
      <c r="AP239" s="229"/>
      <c r="AQ239" s="229"/>
      <c r="AR239" s="229"/>
      <c r="AS239" s="229"/>
      <c r="AT239" s="229"/>
      <c r="AU239" s="229"/>
      <c r="AV239" s="229"/>
      <c r="AW239" s="229"/>
      <c r="AX239" s="229"/>
      <c r="AY239" s="229"/>
      <c r="AZ239" s="229"/>
      <c r="BA239" s="229"/>
      <c r="BB239" s="229"/>
      <c r="BC239" s="229"/>
      <c r="BD239" s="229"/>
      <c r="BE239" s="227"/>
      <c r="BF239" s="227"/>
      <c r="BG239" s="227"/>
      <c r="BH239" s="227"/>
      <c r="BI239" s="133"/>
      <c r="BJ239" s="202"/>
      <c r="BK239" s="202"/>
      <c r="BL239" s="202"/>
      <c r="BM239" s="202"/>
      <c r="BN239" s="202"/>
      <c r="BO239" s="202"/>
      <c r="BP239" s="202"/>
      <c r="BQ239" s="202"/>
      <c r="BR239" s="202"/>
      <c r="BS239" s="202"/>
      <c r="BT239" s="202"/>
      <c r="BU239" s="202"/>
      <c r="BV239" s="202"/>
      <c r="BW239" s="202"/>
      <c r="BX239" s="202"/>
      <c r="BY239" s="202"/>
      <c r="BZ239" s="202"/>
      <c r="CA239" s="202"/>
      <c r="CB239" s="202"/>
      <c r="CC239" s="202"/>
      <c r="CD239" s="202"/>
      <c r="CE239" s="202"/>
      <c r="CF239" s="202"/>
      <c r="CG239" s="202"/>
      <c r="CH239" s="202"/>
      <c r="CI239" s="121"/>
      <c r="CJ239" s="121"/>
      <c r="CK239" s="121"/>
      <c r="CL239" s="121"/>
      <c r="CM239" s="121"/>
      <c r="CN239" s="121"/>
      <c r="CO239" s="121"/>
      <c r="CP239" s="121"/>
      <c r="CQ239" s="121"/>
      <c r="CR239" s="121"/>
      <c r="CS239" s="121"/>
      <c r="CT239" s="121"/>
      <c r="CU239" s="199"/>
      <c r="CV239" s="199"/>
      <c r="CW239" s="205"/>
      <c r="CX239" s="132"/>
      <c r="CY239" s="132"/>
      <c r="CZ239" s="132"/>
      <c r="DA239" s="132"/>
      <c r="DB239" s="132"/>
      <c r="DC239" s="132"/>
      <c r="DD239" s="132"/>
      <c r="DE239" s="103"/>
      <c r="DF239" s="103"/>
      <c r="DG239" s="103"/>
      <c r="DH239" s="103"/>
      <c r="DI239" s="103"/>
      <c r="DJ239" s="103"/>
      <c r="DK239" s="130"/>
      <c r="DL239" s="130"/>
      <c r="DM239" s="130"/>
      <c r="DN239" s="132"/>
      <c r="DO239" s="132">
        <v>2</v>
      </c>
    </row>
    <row r="240" ht="26.25" customHeight="1" spans="1:119">
      <c r="A240" s="131">
        <v>43999</v>
      </c>
      <c r="B240" s="99" t="s">
        <v>11739</v>
      </c>
      <c r="C240" s="215">
        <v>4500029338</v>
      </c>
      <c r="D240" s="215" t="s">
        <v>13456</v>
      </c>
      <c r="E240" s="206" t="s">
        <v>13315</v>
      </c>
      <c r="F240" s="136">
        <v>9212</v>
      </c>
      <c r="G240" s="137" t="s">
        <v>13424</v>
      </c>
      <c r="H240" s="132">
        <v>6</v>
      </c>
      <c r="I240" s="132"/>
      <c r="J240" s="132"/>
      <c r="K240" s="132"/>
      <c r="L240" s="139"/>
      <c r="M240" s="140"/>
      <c r="N240" s="141"/>
      <c r="O240" s="141"/>
      <c r="P240" s="142"/>
      <c r="Q240" s="141"/>
      <c r="R240" s="141"/>
      <c r="S240" s="141"/>
      <c r="T240" s="141"/>
      <c r="U240" s="142"/>
      <c r="V240" s="227"/>
      <c r="W240" s="236"/>
      <c r="X240" s="236"/>
      <c r="Y240" s="236"/>
      <c r="Z240" s="236"/>
      <c r="AA240" s="236"/>
      <c r="AB240" s="236"/>
      <c r="AC240" s="236"/>
      <c r="AD240" s="236"/>
      <c r="AE240" s="236"/>
      <c r="AF240" s="236"/>
      <c r="AG240" s="238"/>
      <c r="AH240" s="229"/>
      <c r="AI240" s="229"/>
      <c r="AJ240" s="229"/>
      <c r="AK240" s="229"/>
      <c r="AL240" s="229"/>
      <c r="AM240" s="229"/>
      <c r="AN240" s="229"/>
      <c r="AO240" s="229"/>
      <c r="AP240" s="229"/>
      <c r="AQ240" s="229"/>
      <c r="AR240" s="229"/>
      <c r="AS240" s="229"/>
      <c r="AT240" s="229"/>
      <c r="AU240" s="229"/>
      <c r="AV240" s="229"/>
      <c r="AW240" s="229"/>
      <c r="AX240" s="229"/>
      <c r="AY240" s="229"/>
      <c r="AZ240" s="229"/>
      <c r="BA240" s="229"/>
      <c r="BB240" s="229"/>
      <c r="BC240" s="229"/>
      <c r="BD240" s="229"/>
      <c r="BE240" s="227"/>
      <c r="BF240" s="227"/>
      <c r="BG240" s="227"/>
      <c r="BH240" s="227"/>
      <c r="BI240" s="133"/>
      <c r="BJ240" s="202"/>
      <c r="BK240" s="202"/>
      <c r="BL240" s="202"/>
      <c r="BM240" s="202"/>
      <c r="BN240" s="202"/>
      <c r="BO240" s="202"/>
      <c r="BP240" s="202"/>
      <c r="BQ240" s="202"/>
      <c r="BR240" s="202"/>
      <c r="BS240" s="202"/>
      <c r="BT240" s="202"/>
      <c r="BU240" s="202"/>
      <c r="BV240" s="202"/>
      <c r="BW240" s="202"/>
      <c r="BX240" s="202"/>
      <c r="BY240" s="202"/>
      <c r="BZ240" s="202"/>
      <c r="CA240" s="202"/>
      <c r="CB240" s="202"/>
      <c r="CC240" s="202"/>
      <c r="CD240" s="202"/>
      <c r="CE240" s="202"/>
      <c r="CF240" s="202"/>
      <c r="CG240" s="202"/>
      <c r="CH240" s="202"/>
      <c r="CI240" s="121"/>
      <c r="CJ240" s="121"/>
      <c r="CK240" s="121"/>
      <c r="CL240" s="121"/>
      <c r="CM240" s="121"/>
      <c r="CN240" s="121"/>
      <c r="CO240" s="121"/>
      <c r="CP240" s="121"/>
      <c r="CQ240" s="121"/>
      <c r="CR240" s="121"/>
      <c r="CS240" s="121"/>
      <c r="CT240" s="121"/>
      <c r="CU240" s="199"/>
      <c r="CV240" s="199"/>
      <c r="CW240" s="205"/>
      <c r="CX240" s="132"/>
      <c r="CY240" s="132"/>
      <c r="CZ240" s="132"/>
      <c r="DA240" s="132"/>
      <c r="DB240" s="132"/>
      <c r="DC240" s="132"/>
      <c r="DD240" s="132"/>
      <c r="DE240" s="103">
        <v>1</v>
      </c>
      <c r="DF240" s="103">
        <v>1</v>
      </c>
      <c r="DG240" s="103">
        <v>1</v>
      </c>
      <c r="DH240" s="103">
        <v>1</v>
      </c>
      <c r="DI240" s="103">
        <v>1</v>
      </c>
      <c r="DJ240" s="103">
        <v>1</v>
      </c>
      <c r="DK240" s="130"/>
      <c r="DL240" s="130"/>
      <c r="DM240" s="130"/>
      <c r="DN240" s="132"/>
      <c r="DO240" s="132"/>
    </row>
    <row r="241" ht="26.25" customHeight="1" spans="1:119">
      <c r="A241" s="131">
        <v>43999</v>
      </c>
      <c r="B241" s="99" t="s">
        <v>11739</v>
      </c>
      <c r="C241" s="215">
        <v>4500029338</v>
      </c>
      <c r="D241" s="215" t="s">
        <v>13456</v>
      </c>
      <c r="E241" s="206" t="s">
        <v>13315</v>
      </c>
      <c r="F241" s="136">
        <v>9215</v>
      </c>
      <c r="G241" s="137" t="s">
        <v>13410</v>
      </c>
      <c r="H241" s="132">
        <v>7</v>
      </c>
      <c r="I241" s="132"/>
      <c r="J241" s="132"/>
      <c r="K241" s="132"/>
      <c r="L241" s="139"/>
      <c r="M241" s="140"/>
      <c r="N241" s="141"/>
      <c r="O241" s="141"/>
      <c r="P241" s="142"/>
      <c r="Q241" s="141"/>
      <c r="R241" s="141"/>
      <c r="S241" s="141"/>
      <c r="T241" s="141"/>
      <c r="U241" s="142"/>
      <c r="V241" s="227"/>
      <c r="W241" s="236"/>
      <c r="X241" s="236"/>
      <c r="Y241" s="236"/>
      <c r="Z241" s="236"/>
      <c r="AA241" s="236"/>
      <c r="AB241" s="236"/>
      <c r="AC241" s="236"/>
      <c r="AD241" s="236"/>
      <c r="AE241" s="236"/>
      <c r="AF241" s="236"/>
      <c r="AG241" s="238"/>
      <c r="AH241" s="229"/>
      <c r="AI241" s="229"/>
      <c r="AJ241" s="229"/>
      <c r="AK241" s="229"/>
      <c r="AL241" s="229"/>
      <c r="AM241" s="229"/>
      <c r="AN241" s="229"/>
      <c r="AO241" s="229"/>
      <c r="AP241" s="229"/>
      <c r="AQ241" s="229"/>
      <c r="AR241" s="229"/>
      <c r="AS241" s="229"/>
      <c r="AT241" s="229"/>
      <c r="AU241" s="229"/>
      <c r="AV241" s="229"/>
      <c r="AW241" s="229"/>
      <c r="AX241" s="229"/>
      <c r="AY241" s="229"/>
      <c r="AZ241" s="229"/>
      <c r="BA241" s="229"/>
      <c r="BB241" s="229"/>
      <c r="BC241" s="229"/>
      <c r="BD241" s="229"/>
      <c r="BE241" s="227"/>
      <c r="BF241" s="227"/>
      <c r="BG241" s="227"/>
      <c r="BH241" s="227"/>
      <c r="BI241" s="133"/>
      <c r="BJ241" s="202"/>
      <c r="BK241" s="202"/>
      <c r="BL241" s="202"/>
      <c r="BM241" s="202"/>
      <c r="BN241" s="202"/>
      <c r="BO241" s="202"/>
      <c r="BP241" s="202"/>
      <c r="BQ241" s="202"/>
      <c r="BR241" s="202"/>
      <c r="BS241" s="202"/>
      <c r="BT241" s="202"/>
      <c r="BU241" s="202"/>
      <c r="BV241" s="202"/>
      <c r="BW241" s="202"/>
      <c r="BX241" s="202"/>
      <c r="BY241" s="202"/>
      <c r="BZ241" s="202"/>
      <c r="CA241" s="202"/>
      <c r="CB241" s="202"/>
      <c r="CC241" s="202"/>
      <c r="CD241" s="202"/>
      <c r="CE241" s="202"/>
      <c r="CF241" s="202"/>
      <c r="CG241" s="202"/>
      <c r="CH241" s="202"/>
      <c r="CI241" s="121"/>
      <c r="CJ241" s="121"/>
      <c r="CK241" s="121"/>
      <c r="CL241" s="121"/>
      <c r="CM241" s="121"/>
      <c r="CN241" s="121"/>
      <c r="CO241" s="121"/>
      <c r="CP241" s="121"/>
      <c r="CQ241" s="121"/>
      <c r="CR241" s="121"/>
      <c r="CS241" s="121"/>
      <c r="CT241" s="121"/>
      <c r="CU241" s="199"/>
      <c r="CV241" s="199"/>
      <c r="CW241" s="205"/>
      <c r="CX241" s="132">
        <v>1</v>
      </c>
      <c r="CY241" s="132">
        <v>1</v>
      </c>
      <c r="CZ241" s="132">
        <v>1</v>
      </c>
      <c r="DA241" s="132">
        <v>1</v>
      </c>
      <c r="DB241" s="132">
        <v>1</v>
      </c>
      <c r="DC241" s="132">
        <v>1</v>
      </c>
      <c r="DD241" s="132">
        <v>1</v>
      </c>
      <c r="DE241" s="103"/>
      <c r="DF241" s="103"/>
      <c r="DG241" s="103"/>
      <c r="DH241" s="103"/>
      <c r="DI241" s="103"/>
      <c r="DJ241" s="103"/>
      <c r="DK241" s="130"/>
      <c r="DL241" s="130"/>
      <c r="DM241" s="130"/>
      <c r="DN241" s="132"/>
      <c r="DO241" s="132"/>
    </row>
    <row r="242" ht="26.25" customHeight="1" spans="1:119">
      <c r="A242" s="131">
        <v>44000</v>
      </c>
      <c r="B242" s="99" t="s">
        <v>13339</v>
      </c>
      <c r="C242" s="215"/>
      <c r="D242" s="215" t="s">
        <v>13285</v>
      </c>
      <c r="E242" s="206" t="s">
        <v>13322</v>
      </c>
      <c r="F242" s="136">
        <v>9215</v>
      </c>
      <c r="G242" s="137" t="s">
        <v>13410</v>
      </c>
      <c r="H242" s="132">
        <v>4</v>
      </c>
      <c r="I242" s="132"/>
      <c r="J242" s="132"/>
      <c r="K242" s="132"/>
      <c r="L242" s="139"/>
      <c r="M242" s="140"/>
      <c r="N242" s="141"/>
      <c r="O242" s="141"/>
      <c r="P242" s="142"/>
      <c r="Q242" s="141"/>
      <c r="R242" s="141"/>
      <c r="S242" s="141"/>
      <c r="T242" s="141"/>
      <c r="U242" s="142"/>
      <c r="V242" s="227"/>
      <c r="W242" s="236"/>
      <c r="X242" s="236"/>
      <c r="Y242" s="236"/>
      <c r="Z242" s="236"/>
      <c r="AA242" s="236"/>
      <c r="AB242" s="236"/>
      <c r="AC242" s="236"/>
      <c r="AD242" s="236"/>
      <c r="AE242" s="236"/>
      <c r="AF242" s="236"/>
      <c r="AG242" s="238"/>
      <c r="AH242" s="229"/>
      <c r="AI242" s="229"/>
      <c r="AJ242" s="229"/>
      <c r="AK242" s="229"/>
      <c r="AL242" s="229"/>
      <c r="AM242" s="229"/>
      <c r="AN242" s="229"/>
      <c r="AO242" s="229"/>
      <c r="AP242" s="229"/>
      <c r="AQ242" s="229"/>
      <c r="AR242" s="229"/>
      <c r="AS242" s="229"/>
      <c r="AT242" s="229"/>
      <c r="AU242" s="229"/>
      <c r="AV242" s="229"/>
      <c r="AW242" s="229"/>
      <c r="AX242" s="229"/>
      <c r="AY242" s="229"/>
      <c r="AZ242" s="229"/>
      <c r="BA242" s="229"/>
      <c r="BB242" s="229"/>
      <c r="BC242" s="229"/>
      <c r="BD242" s="229"/>
      <c r="BE242" s="227"/>
      <c r="BF242" s="227"/>
      <c r="BG242" s="227"/>
      <c r="BH242" s="227"/>
      <c r="BI242" s="133"/>
      <c r="BJ242" s="202"/>
      <c r="BK242" s="202"/>
      <c r="BL242" s="202"/>
      <c r="BM242" s="202"/>
      <c r="BN242" s="202"/>
      <c r="BO242" s="202"/>
      <c r="BP242" s="202"/>
      <c r="BQ242" s="202"/>
      <c r="BR242" s="202"/>
      <c r="BS242" s="202"/>
      <c r="BT242" s="202"/>
      <c r="BU242" s="202"/>
      <c r="BV242" s="202"/>
      <c r="BW242" s="202"/>
      <c r="BX242" s="202"/>
      <c r="BY242" s="202"/>
      <c r="BZ242" s="202"/>
      <c r="CA242" s="202"/>
      <c r="CB242" s="202"/>
      <c r="CC242" s="202"/>
      <c r="CD242" s="202"/>
      <c r="CE242" s="202"/>
      <c r="CF242" s="202"/>
      <c r="CG242" s="202"/>
      <c r="CH242" s="202"/>
      <c r="CI242" s="121"/>
      <c r="CJ242" s="121"/>
      <c r="CK242" s="121"/>
      <c r="CL242" s="121"/>
      <c r="CM242" s="121"/>
      <c r="CN242" s="121"/>
      <c r="CO242" s="121"/>
      <c r="CP242" s="121"/>
      <c r="CQ242" s="121"/>
      <c r="CR242" s="121"/>
      <c r="CS242" s="121"/>
      <c r="CT242" s="121"/>
      <c r="CU242" s="199"/>
      <c r="CV242" s="199"/>
      <c r="CW242" s="205"/>
      <c r="CX242" s="132"/>
      <c r="CY242" s="132">
        <v>1</v>
      </c>
      <c r="CZ242" s="132"/>
      <c r="DA242" s="132">
        <v>1</v>
      </c>
      <c r="DB242" s="132">
        <v>1</v>
      </c>
      <c r="DC242" s="132">
        <v>1</v>
      </c>
      <c r="DD242" s="132"/>
      <c r="DE242" s="103"/>
      <c r="DF242" s="103"/>
      <c r="DG242" s="103"/>
      <c r="DH242" s="103"/>
      <c r="DI242" s="103"/>
      <c r="DJ242" s="103"/>
      <c r="DK242" s="130"/>
      <c r="DL242" s="130"/>
      <c r="DM242" s="130"/>
      <c r="DN242" s="132"/>
      <c r="DO242" s="132"/>
    </row>
    <row r="243" ht="26.25" customHeight="1" spans="1:119">
      <c r="A243" s="131">
        <v>44001</v>
      </c>
      <c r="B243" s="99" t="s">
        <v>13346</v>
      </c>
      <c r="C243" s="215">
        <v>4500029533</v>
      </c>
      <c r="D243" s="215" t="s">
        <v>13457</v>
      </c>
      <c r="E243" s="206" t="s">
        <v>13322</v>
      </c>
      <c r="F243" s="136">
        <v>9214</v>
      </c>
      <c r="G243" s="137" t="s">
        <v>13318</v>
      </c>
      <c r="H243" s="132">
        <v>2</v>
      </c>
      <c r="I243" s="132"/>
      <c r="J243" s="132"/>
      <c r="K243" s="132"/>
      <c r="L243" s="139"/>
      <c r="M243" s="140"/>
      <c r="N243" s="141"/>
      <c r="O243" s="141"/>
      <c r="P243" s="142"/>
      <c r="Q243" s="141"/>
      <c r="R243" s="141"/>
      <c r="S243" s="141"/>
      <c r="T243" s="141"/>
      <c r="U243" s="142"/>
      <c r="V243" s="227"/>
      <c r="W243" s="236"/>
      <c r="X243" s="236"/>
      <c r="Y243" s="236"/>
      <c r="Z243" s="236"/>
      <c r="AA243" s="236"/>
      <c r="AB243" s="236"/>
      <c r="AC243" s="236"/>
      <c r="AD243" s="236"/>
      <c r="AE243" s="236"/>
      <c r="AF243" s="236"/>
      <c r="AG243" s="238"/>
      <c r="AH243" s="229"/>
      <c r="AI243" s="229"/>
      <c r="AJ243" s="229"/>
      <c r="AK243" s="229"/>
      <c r="AL243" s="229"/>
      <c r="AM243" s="229"/>
      <c r="AN243" s="229"/>
      <c r="AO243" s="229"/>
      <c r="AP243" s="229"/>
      <c r="AQ243" s="229"/>
      <c r="AR243" s="229"/>
      <c r="AS243" s="229"/>
      <c r="AT243" s="229"/>
      <c r="AU243" s="229"/>
      <c r="AV243" s="229"/>
      <c r="AW243" s="229"/>
      <c r="AX243" s="229"/>
      <c r="AY243" s="229"/>
      <c r="AZ243" s="229"/>
      <c r="BA243" s="229"/>
      <c r="BB243" s="229"/>
      <c r="BC243" s="229"/>
      <c r="BD243" s="229"/>
      <c r="BE243" s="227"/>
      <c r="BF243" s="227"/>
      <c r="BG243" s="227"/>
      <c r="BH243" s="227"/>
      <c r="BI243" s="133"/>
      <c r="BJ243" s="202"/>
      <c r="BK243" s="202"/>
      <c r="BL243" s="202"/>
      <c r="BM243" s="202"/>
      <c r="BN243" s="202"/>
      <c r="BO243" s="202"/>
      <c r="BP243" s="202"/>
      <c r="BQ243" s="202"/>
      <c r="BR243" s="202"/>
      <c r="BS243" s="202"/>
      <c r="BT243" s="202"/>
      <c r="BU243" s="202"/>
      <c r="BV243" s="202"/>
      <c r="BW243" s="202"/>
      <c r="BX243" s="202"/>
      <c r="BY243" s="202"/>
      <c r="BZ243" s="202"/>
      <c r="CA243" s="202"/>
      <c r="CB243" s="202"/>
      <c r="CC243" s="202"/>
      <c r="CD243" s="202"/>
      <c r="CE243" s="202"/>
      <c r="CF243" s="202"/>
      <c r="CG243" s="202"/>
      <c r="CH243" s="202"/>
      <c r="CI243" s="121"/>
      <c r="CJ243" s="121"/>
      <c r="CK243" s="121"/>
      <c r="CL243" s="121"/>
      <c r="CM243" s="121"/>
      <c r="CN243" s="121"/>
      <c r="CO243" s="121"/>
      <c r="CP243" s="121"/>
      <c r="CQ243" s="121">
        <v>1</v>
      </c>
      <c r="CR243" s="121">
        <v>1</v>
      </c>
      <c r="CS243" s="121"/>
      <c r="CT243" s="121"/>
      <c r="CU243" s="199"/>
      <c r="CV243" s="199"/>
      <c r="CW243" s="205"/>
      <c r="CX243" s="132"/>
      <c r="CY243" s="132"/>
      <c r="CZ243" s="132"/>
      <c r="DA243" s="132"/>
      <c r="DB243" s="132"/>
      <c r="DC243" s="132"/>
      <c r="DD243" s="132"/>
      <c r="DE243" s="103"/>
      <c r="DF243" s="103"/>
      <c r="DG243" s="103"/>
      <c r="DH243" s="103"/>
      <c r="DI243" s="103"/>
      <c r="DJ243" s="103"/>
      <c r="DK243" s="130"/>
      <c r="DL243" s="130"/>
      <c r="DM243" s="130"/>
      <c r="DN243" s="132"/>
      <c r="DO243" s="132"/>
    </row>
    <row r="244" ht="26.25" customHeight="1" spans="1:119">
      <c r="A244" s="131">
        <v>44001</v>
      </c>
      <c r="B244" s="99" t="s">
        <v>13346</v>
      </c>
      <c r="C244" s="215">
        <v>4500029533</v>
      </c>
      <c r="D244" s="215" t="s">
        <v>13457</v>
      </c>
      <c r="E244" s="206" t="s">
        <v>13322</v>
      </c>
      <c r="F244" s="136">
        <v>9207</v>
      </c>
      <c r="G244" s="137" t="s">
        <v>13177</v>
      </c>
      <c r="H244" s="132">
        <v>2</v>
      </c>
      <c r="I244" s="132"/>
      <c r="J244" s="132"/>
      <c r="K244" s="132"/>
      <c r="L244" s="139"/>
      <c r="M244" s="140"/>
      <c r="N244" s="141"/>
      <c r="O244" s="141"/>
      <c r="P244" s="142"/>
      <c r="Q244" s="141"/>
      <c r="R244" s="141"/>
      <c r="S244" s="141"/>
      <c r="T244" s="141"/>
      <c r="U244" s="142"/>
      <c r="V244" s="227"/>
      <c r="W244" s="236"/>
      <c r="X244" s="236"/>
      <c r="Y244" s="236"/>
      <c r="Z244" s="236"/>
      <c r="AA244" s="236"/>
      <c r="AB244" s="236"/>
      <c r="AC244" s="236"/>
      <c r="AD244" s="236"/>
      <c r="AE244" s="236"/>
      <c r="AF244" s="236"/>
      <c r="AG244" s="238"/>
      <c r="AH244" s="229"/>
      <c r="AI244" s="229"/>
      <c r="AJ244" s="229"/>
      <c r="AK244" s="229"/>
      <c r="AL244" s="229"/>
      <c r="AM244" s="229"/>
      <c r="AN244" s="229"/>
      <c r="AO244" s="229"/>
      <c r="AP244" s="229"/>
      <c r="AQ244" s="229"/>
      <c r="AR244" s="229"/>
      <c r="AS244" s="229"/>
      <c r="AT244" s="229"/>
      <c r="AU244" s="229"/>
      <c r="AV244" s="229"/>
      <c r="AW244" s="229"/>
      <c r="AX244" s="229"/>
      <c r="AY244" s="229"/>
      <c r="AZ244" s="229"/>
      <c r="BA244" s="229"/>
      <c r="BB244" s="229"/>
      <c r="BC244" s="229"/>
      <c r="BD244" s="229"/>
      <c r="BE244" s="227"/>
      <c r="BF244" s="227"/>
      <c r="BG244" s="227"/>
      <c r="BH244" s="227"/>
      <c r="BI244" s="133"/>
      <c r="BJ244" s="202"/>
      <c r="BK244" s="202"/>
      <c r="BL244" s="202"/>
      <c r="BM244" s="202"/>
      <c r="BN244" s="202"/>
      <c r="BO244" s="202"/>
      <c r="BP244" s="202"/>
      <c r="BQ244" s="202"/>
      <c r="BR244" s="202"/>
      <c r="BS244" s="202"/>
      <c r="BT244" s="202"/>
      <c r="BU244" s="202"/>
      <c r="BV244" s="202"/>
      <c r="BW244" s="202"/>
      <c r="BX244" s="202"/>
      <c r="BY244" s="202"/>
      <c r="BZ244" s="202"/>
      <c r="CA244" s="202"/>
      <c r="CB244" s="202"/>
      <c r="CC244" s="202"/>
      <c r="CD244" s="202"/>
      <c r="CE244" s="202"/>
      <c r="CF244" s="202"/>
      <c r="CG244" s="202"/>
      <c r="CH244" s="202"/>
      <c r="CI244" s="121"/>
      <c r="CJ244" s="121"/>
      <c r="CK244" s="121"/>
      <c r="CL244" s="121"/>
      <c r="CM244" s="121"/>
      <c r="CN244" s="121"/>
      <c r="CO244" s="121"/>
      <c r="CP244" s="121"/>
      <c r="CQ244" s="121"/>
      <c r="CR244" s="121"/>
      <c r="CS244" s="121"/>
      <c r="CT244" s="121"/>
      <c r="CU244" s="199"/>
      <c r="CV244" s="199"/>
      <c r="CW244" s="205"/>
      <c r="CX244" s="132"/>
      <c r="CY244" s="132"/>
      <c r="CZ244" s="132"/>
      <c r="DA244" s="132"/>
      <c r="DB244" s="132"/>
      <c r="DC244" s="132"/>
      <c r="DD244" s="132"/>
      <c r="DE244" s="103"/>
      <c r="DF244" s="103"/>
      <c r="DG244" s="103"/>
      <c r="DH244" s="103"/>
      <c r="DI244" s="103"/>
      <c r="DJ244" s="103"/>
      <c r="DK244" s="130"/>
      <c r="DL244" s="130"/>
      <c r="DM244" s="130"/>
      <c r="DN244" s="132">
        <v>2</v>
      </c>
      <c r="DO244" s="132"/>
    </row>
    <row r="245" ht="26.25" customHeight="1" spans="1:119">
      <c r="A245" s="131">
        <v>44001</v>
      </c>
      <c r="B245" s="99" t="s">
        <v>13256</v>
      </c>
      <c r="C245" s="215"/>
      <c r="D245" s="215" t="s">
        <v>13286</v>
      </c>
      <c r="E245" s="206" t="s">
        <v>13426</v>
      </c>
      <c r="F245" s="136">
        <v>9207</v>
      </c>
      <c r="G245" s="137" t="s">
        <v>13447</v>
      </c>
      <c r="H245" s="132">
        <v>2</v>
      </c>
      <c r="I245" s="132"/>
      <c r="J245" s="132"/>
      <c r="K245" s="132"/>
      <c r="L245" s="139"/>
      <c r="M245" s="140"/>
      <c r="N245" s="141"/>
      <c r="O245" s="141"/>
      <c r="P245" s="142"/>
      <c r="Q245" s="141"/>
      <c r="R245" s="141"/>
      <c r="S245" s="141"/>
      <c r="T245" s="141"/>
      <c r="U245" s="142"/>
      <c r="V245" s="227"/>
      <c r="W245" s="236"/>
      <c r="X245" s="236"/>
      <c r="Y245" s="236"/>
      <c r="Z245" s="236"/>
      <c r="AA245" s="236"/>
      <c r="AB245" s="236"/>
      <c r="AC245" s="236"/>
      <c r="AD245" s="236"/>
      <c r="AE245" s="236"/>
      <c r="AF245" s="236"/>
      <c r="AG245" s="238"/>
      <c r="AH245" s="229"/>
      <c r="AI245" s="229"/>
      <c r="AJ245" s="229"/>
      <c r="AK245" s="229"/>
      <c r="AL245" s="229"/>
      <c r="AM245" s="229"/>
      <c r="AN245" s="229"/>
      <c r="AO245" s="229"/>
      <c r="AP245" s="229"/>
      <c r="AQ245" s="229"/>
      <c r="AR245" s="229"/>
      <c r="AS245" s="229"/>
      <c r="AT245" s="229"/>
      <c r="AU245" s="229"/>
      <c r="AV245" s="229"/>
      <c r="AW245" s="229"/>
      <c r="AX245" s="229"/>
      <c r="AY245" s="229"/>
      <c r="AZ245" s="229"/>
      <c r="BA245" s="229"/>
      <c r="BB245" s="229"/>
      <c r="BC245" s="229"/>
      <c r="BD245" s="229"/>
      <c r="BE245" s="227"/>
      <c r="BF245" s="227"/>
      <c r="BG245" s="227"/>
      <c r="BH245" s="227"/>
      <c r="BI245" s="133"/>
      <c r="BJ245" s="202"/>
      <c r="BK245" s="202"/>
      <c r="BL245" s="202"/>
      <c r="BM245" s="202"/>
      <c r="BN245" s="202"/>
      <c r="BO245" s="202"/>
      <c r="BP245" s="202"/>
      <c r="BQ245" s="202"/>
      <c r="BR245" s="202"/>
      <c r="BS245" s="202"/>
      <c r="BT245" s="202"/>
      <c r="BU245" s="202"/>
      <c r="BV245" s="202"/>
      <c r="BW245" s="202"/>
      <c r="BX245" s="202"/>
      <c r="BY245" s="202"/>
      <c r="BZ245" s="202"/>
      <c r="CA245" s="202"/>
      <c r="CB245" s="202"/>
      <c r="CC245" s="202"/>
      <c r="CD245" s="202"/>
      <c r="CE245" s="202"/>
      <c r="CF245" s="202"/>
      <c r="CG245" s="202"/>
      <c r="CH245" s="202"/>
      <c r="CI245" s="121"/>
      <c r="CJ245" s="121"/>
      <c r="CK245" s="121"/>
      <c r="CL245" s="121"/>
      <c r="CM245" s="121"/>
      <c r="CN245" s="121"/>
      <c r="CO245" s="121"/>
      <c r="CP245" s="121"/>
      <c r="CQ245" s="121"/>
      <c r="CR245" s="121"/>
      <c r="CS245" s="121"/>
      <c r="CT245" s="121"/>
      <c r="CU245" s="199"/>
      <c r="CV245" s="199"/>
      <c r="CW245" s="205"/>
      <c r="CX245" s="132"/>
      <c r="CY245" s="132"/>
      <c r="CZ245" s="132"/>
      <c r="DA245" s="132"/>
      <c r="DB245" s="132"/>
      <c r="DC245" s="132"/>
      <c r="DD245" s="132"/>
      <c r="DE245" s="103"/>
      <c r="DF245" s="103"/>
      <c r="DG245" s="103"/>
      <c r="DH245" s="103"/>
      <c r="DI245" s="103"/>
      <c r="DJ245" s="103"/>
      <c r="DK245" s="130"/>
      <c r="DL245" s="130"/>
      <c r="DM245" s="130"/>
      <c r="DN245" s="132">
        <v>2</v>
      </c>
      <c r="DO245" s="132"/>
    </row>
    <row r="246" ht="26.25" customHeight="1" spans="1:119">
      <c r="A246" s="131">
        <v>44004</v>
      </c>
      <c r="B246" s="99" t="s">
        <v>13366</v>
      </c>
      <c r="C246" s="215"/>
      <c r="D246" s="215"/>
      <c r="E246" s="206" t="s">
        <v>13458</v>
      </c>
      <c r="F246" s="136">
        <v>9207</v>
      </c>
      <c r="G246" s="137" t="s">
        <v>13447</v>
      </c>
      <c r="H246" s="132">
        <v>2</v>
      </c>
      <c r="I246" s="132"/>
      <c r="J246" s="132"/>
      <c r="K246" s="132"/>
      <c r="L246" s="139"/>
      <c r="M246" s="140"/>
      <c r="N246" s="141"/>
      <c r="O246" s="141"/>
      <c r="P246" s="142"/>
      <c r="Q246" s="141"/>
      <c r="R246" s="141"/>
      <c r="S246" s="141"/>
      <c r="T246" s="141"/>
      <c r="U246" s="142"/>
      <c r="V246" s="227"/>
      <c r="W246" s="236"/>
      <c r="X246" s="236"/>
      <c r="Y246" s="236"/>
      <c r="Z246" s="236"/>
      <c r="AA246" s="236"/>
      <c r="AB246" s="236"/>
      <c r="AC246" s="236"/>
      <c r="AD246" s="236"/>
      <c r="AE246" s="236"/>
      <c r="AF246" s="236"/>
      <c r="AG246" s="238"/>
      <c r="AH246" s="229"/>
      <c r="AI246" s="229"/>
      <c r="AJ246" s="229"/>
      <c r="AK246" s="229"/>
      <c r="AL246" s="229"/>
      <c r="AM246" s="229"/>
      <c r="AN246" s="229"/>
      <c r="AO246" s="229"/>
      <c r="AP246" s="229"/>
      <c r="AQ246" s="229"/>
      <c r="AR246" s="229"/>
      <c r="AS246" s="229"/>
      <c r="AT246" s="229"/>
      <c r="AU246" s="229"/>
      <c r="AV246" s="229"/>
      <c r="AW246" s="229"/>
      <c r="AX246" s="229"/>
      <c r="AY246" s="229"/>
      <c r="AZ246" s="229"/>
      <c r="BA246" s="229"/>
      <c r="BB246" s="229"/>
      <c r="BC246" s="229"/>
      <c r="BD246" s="229"/>
      <c r="BE246" s="227"/>
      <c r="BF246" s="227"/>
      <c r="BG246" s="227"/>
      <c r="BH246" s="227"/>
      <c r="BI246" s="133"/>
      <c r="BJ246" s="202"/>
      <c r="BK246" s="202"/>
      <c r="BL246" s="202"/>
      <c r="BM246" s="202"/>
      <c r="BN246" s="202"/>
      <c r="BO246" s="202"/>
      <c r="BP246" s="202"/>
      <c r="BQ246" s="202"/>
      <c r="BR246" s="202"/>
      <c r="BS246" s="202"/>
      <c r="BT246" s="202"/>
      <c r="BU246" s="202"/>
      <c r="BV246" s="202"/>
      <c r="BW246" s="202"/>
      <c r="BX246" s="202"/>
      <c r="BY246" s="202"/>
      <c r="BZ246" s="202"/>
      <c r="CA246" s="202"/>
      <c r="CB246" s="202"/>
      <c r="CC246" s="202"/>
      <c r="CD246" s="202"/>
      <c r="CE246" s="202"/>
      <c r="CF246" s="202"/>
      <c r="CG246" s="202"/>
      <c r="CH246" s="202"/>
      <c r="CI246" s="121"/>
      <c r="CJ246" s="121"/>
      <c r="CK246" s="121"/>
      <c r="CL246" s="121"/>
      <c r="CM246" s="121"/>
      <c r="CN246" s="121"/>
      <c r="CO246" s="121"/>
      <c r="CP246" s="121"/>
      <c r="CQ246" s="121"/>
      <c r="CR246" s="121"/>
      <c r="CS246" s="121"/>
      <c r="CT246" s="121"/>
      <c r="CU246" s="199"/>
      <c r="CV246" s="199"/>
      <c r="CW246" s="205"/>
      <c r="CX246" s="132"/>
      <c r="CY246" s="132"/>
      <c r="CZ246" s="132"/>
      <c r="DA246" s="132"/>
      <c r="DB246" s="132"/>
      <c r="DC246" s="132"/>
      <c r="DD246" s="132"/>
      <c r="DE246" s="103"/>
      <c r="DF246" s="103"/>
      <c r="DG246" s="103"/>
      <c r="DH246" s="103"/>
      <c r="DI246" s="103"/>
      <c r="DJ246" s="103"/>
      <c r="DK246" s="130"/>
      <c r="DL246" s="130"/>
      <c r="DM246" s="130"/>
      <c r="DN246" s="132">
        <v>2</v>
      </c>
      <c r="DO246" s="132"/>
    </row>
    <row r="247" ht="26.25" customHeight="1" spans="1:119">
      <c r="A247" s="131">
        <v>44004</v>
      </c>
      <c r="B247" s="99" t="s">
        <v>13366</v>
      </c>
      <c r="C247" s="215"/>
      <c r="D247" s="215"/>
      <c r="E247" s="206" t="s">
        <v>13458</v>
      </c>
      <c r="F247" s="136">
        <v>9208</v>
      </c>
      <c r="G247" s="137" t="s">
        <v>13178</v>
      </c>
      <c r="H247" s="132">
        <v>2</v>
      </c>
      <c r="I247" s="132"/>
      <c r="J247" s="132"/>
      <c r="K247" s="132"/>
      <c r="L247" s="139"/>
      <c r="M247" s="140"/>
      <c r="N247" s="141"/>
      <c r="O247" s="141"/>
      <c r="P247" s="142"/>
      <c r="Q247" s="141"/>
      <c r="R247" s="141"/>
      <c r="S247" s="141"/>
      <c r="T247" s="141"/>
      <c r="U247" s="142"/>
      <c r="V247" s="227"/>
      <c r="W247" s="236"/>
      <c r="X247" s="236"/>
      <c r="Y247" s="236"/>
      <c r="Z247" s="236"/>
      <c r="AA247" s="236"/>
      <c r="AB247" s="236"/>
      <c r="AC247" s="236"/>
      <c r="AD247" s="236"/>
      <c r="AE247" s="236"/>
      <c r="AF247" s="236"/>
      <c r="AG247" s="238"/>
      <c r="AH247" s="229"/>
      <c r="AI247" s="229"/>
      <c r="AJ247" s="229"/>
      <c r="AK247" s="229"/>
      <c r="AL247" s="229"/>
      <c r="AM247" s="229"/>
      <c r="AN247" s="229"/>
      <c r="AO247" s="229"/>
      <c r="AP247" s="229"/>
      <c r="AQ247" s="229"/>
      <c r="AR247" s="229"/>
      <c r="AS247" s="229"/>
      <c r="AT247" s="229"/>
      <c r="AU247" s="229"/>
      <c r="AV247" s="229"/>
      <c r="AW247" s="229"/>
      <c r="AX247" s="229"/>
      <c r="AY247" s="229"/>
      <c r="AZ247" s="229"/>
      <c r="BA247" s="229"/>
      <c r="BB247" s="229"/>
      <c r="BC247" s="229"/>
      <c r="BD247" s="229"/>
      <c r="BE247" s="227"/>
      <c r="BF247" s="227"/>
      <c r="BG247" s="227"/>
      <c r="BH247" s="227"/>
      <c r="BI247" s="133"/>
      <c r="BJ247" s="202"/>
      <c r="BK247" s="202"/>
      <c r="BL247" s="202"/>
      <c r="BM247" s="202"/>
      <c r="BN247" s="202"/>
      <c r="BO247" s="202"/>
      <c r="BP247" s="202"/>
      <c r="BQ247" s="202"/>
      <c r="BR247" s="202"/>
      <c r="BS247" s="202"/>
      <c r="BT247" s="202"/>
      <c r="BU247" s="202"/>
      <c r="BV247" s="202"/>
      <c r="BW247" s="202"/>
      <c r="BX247" s="202"/>
      <c r="BY247" s="202"/>
      <c r="BZ247" s="202"/>
      <c r="CA247" s="202"/>
      <c r="CB247" s="202"/>
      <c r="CC247" s="202"/>
      <c r="CD247" s="202"/>
      <c r="CE247" s="202"/>
      <c r="CF247" s="202"/>
      <c r="CG247" s="202"/>
      <c r="CH247" s="202"/>
      <c r="CI247" s="121"/>
      <c r="CJ247" s="121"/>
      <c r="CK247" s="121"/>
      <c r="CL247" s="121"/>
      <c r="CM247" s="121"/>
      <c r="CN247" s="121"/>
      <c r="CO247" s="121"/>
      <c r="CP247" s="121"/>
      <c r="CQ247" s="121"/>
      <c r="CR247" s="121"/>
      <c r="CS247" s="121"/>
      <c r="CT247" s="121"/>
      <c r="CU247" s="199"/>
      <c r="CV247" s="199"/>
      <c r="CW247" s="205"/>
      <c r="CX247" s="132"/>
      <c r="CY247" s="132"/>
      <c r="CZ247" s="132"/>
      <c r="DA247" s="132"/>
      <c r="DB247" s="132"/>
      <c r="DC247" s="132"/>
      <c r="DD247" s="132"/>
      <c r="DE247" s="103"/>
      <c r="DF247" s="103"/>
      <c r="DG247" s="103"/>
      <c r="DH247" s="103"/>
      <c r="DI247" s="103"/>
      <c r="DJ247" s="103"/>
      <c r="DK247" s="130"/>
      <c r="DL247" s="130"/>
      <c r="DM247" s="130"/>
      <c r="DN247" s="132"/>
      <c r="DO247" s="132">
        <v>2</v>
      </c>
    </row>
    <row r="248" ht="26.25" customHeight="1" spans="1:119">
      <c r="A248" s="131">
        <v>44004</v>
      </c>
      <c r="B248" s="99" t="s">
        <v>13321</v>
      </c>
      <c r="C248" s="234">
        <v>4500033596</v>
      </c>
      <c r="D248" s="215" t="s">
        <v>13459</v>
      </c>
      <c r="E248" s="206" t="s">
        <v>13426</v>
      </c>
      <c r="F248" s="136">
        <v>9214</v>
      </c>
      <c r="G248" s="137" t="s">
        <v>13276</v>
      </c>
      <c r="H248" s="132">
        <v>6</v>
      </c>
      <c r="I248" s="132"/>
      <c r="J248" s="132"/>
      <c r="K248" s="132"/>
      <c r="L248" s="139"/>
      <c r="M248" s="140"/>
      <c r="N248" s="141"/>
      <c r="O248" s="141"/>
      <c r="P248" s="142"/>
      <c r="Q248" s="141"/>
      <c r="R248" s="141"/>
      <c r="S248" s="141"/>
      <c r="T248" s="141"/>
      <c r="U248" s="142"/>
      <c r="V248" s="227"/>
      <c r="W248" s="236"/>
      <c r="X248" s="236"/>
      <c r="Y248" s="236"/>
      <c r="Z248" s="236"/>
      <c r="AA248" s="236"/>
      <c r="AB248" s="236"/>
      <c r="AC248" s="236"/>
      <c r="AD248" s="236"/>
      <c r="AE248" s="236"/>
      <c r="AF248" s="236"/>
      <c r="AG248" s="238"/>
      <c r="AH248" s="229"/>
      <c r="AI248" s="229"/>
      <c r="AJ248" s="229"/>
      <c r="AK248" s="229"/>
      <c r="AL248" s="229"/>
      <c r="AM248" s="229"/>
      <c r="AN248" s="229"/>
      <c r="AO248" s="229"/>
      <c r="AP248" s="229"/>
      <c r="AQ248" s="229"/>
      <c r="AR248" s="229"/>
      <c r="AS248" s="229"/>
      <c r="AT248" s="229"/>
      <c r="AU248" s="229"/>
      <c r="AV248" s="229"/>
      <c r="AW248" s="229"/>
      <c r="AX248" s="229">
        <v>6</v>
      </c>
      <c r="AY248" s="229">
        <v>6</v>
      </c>
      <c r="AZ248" s="229"/>
      <c r="BA248" s="229"/>
      <c r="BB248" s="229"/>
      <c r="BC248" s="229">
        <v>1</v>
      </c>
      <c r="BD248" s="229"/>
      <c r="BE248" s="227"/>
      <c r="BF248" s="227"/>
      <c r="BG248" s="227"/>
      <c r="BH248" s="227"/>
      <c r="BI248" s="133"/>
      <c r="BJ248" s="202"/>
      <c r="BK248" s="202"/>
      <c r="BL248" s="202"/>
      <c r="BM248" s="202"/>
      <c r="BN248" s="202"/>
      <c r="BO248" s="202"/>
      <c r="BP248" s="202"/>
      <c r="BQ248" s="202"/>
      <c r="BR248" s="202"/>
      <c r="BS248" s="202"/>
      <c r="BT248" s="202"/>
      <c r="BU248" s="202"/>
      <c r="BV248" s="202"/>
      <c r="BW248" s="202"/>
      <c r="BX248" s="202"/>
      <c r="BY248" s="202"/>
      <c r="BZ248" s="202"/>
      <c r="CA248" s="202"/>
      <c r="CB248" s="202"/>
      <c r="CC248" s="202"/>
      <c r="CD248" s="202"/>
      <c r="CE248" s="202"/>
      <c r="CF248" s="202"/>
      <c r="CG248" s="202"/>
      <c r="CH248" s="202"/>
      <c r="CI248" s="121"/>
      <c r="CJ248" s="121"/>
      <c r="CK248" s="121"/>
      <c r="CL248" s="121"/>
      <c r="CM248" s="121"/>
      <c r="CN248" s="121"/>
      <c r="CO248" s="121">
        <v>1</v>
      </c>
      <c r="CP248" s="121">
        <v>1</v>
      </c>
      <c r="CQ248" s="121">
        <v>1</v>
      </c>
      <c r="CR248" s="121">
        <v>1</v>
      </c>
      <c r="CS248" s="121">
        <v>1</v>
      </c>
      <c r="CT248" s="121">
        <v>1</v>
      </c>
      <c r="CU248" s="199"/>
      <c r="CV248" s="199"/>
      <c r="CW248" s="205"/>
      <c r="CX248" s="132"/>
      <c r="CY248" s="132"/>
      <c r="CZ248" s="132"/>
      <c r="DA248" s="132"/>
      <c r="DB248" s="132"/>
      <c r="DC248" s="132"/>
      <c r="DD248" s="132"/>
      <c r="DE248" s="103"/>
      <c r="DF248" s="103"/>
      <c r="DG248" s="103"/>
      <c r="DH248" s="103"/>
      <c r="DI248" s="103"/>
      <c r="DJ248" s="103"/>
      <c r="DK248" s="130"/>
      <c r="DL248" s="130"/>
      <c r="DM248" s="130"/>
      <c r="DN248" s="132"/>
      <c r="DO248" s="132"/>
    </row>
    <row r="249" ht="26.25" customHeight="1" spans="1:119">
      <c r="A249" s="131">
        <v>44004</v>
      </c>
      <c r="B249" s="99" t="s">
        <v>13346</v>
      </c>
      <c r="C249" s="234">
        <v>4500029533</v>
      </c>
      <c r="D249" s="215" t="s">
        <v>13457</v>
      </c>
      <c r="E249" s="206" t="s">
        <v>13322</v>
      </c>
      <c r="F249" s="136">
        <v>9212</v>
      </c>
      <c r="G249" s="137" t="s">
        <v>13424</v>
      </c>
      <c r="H249" s="132">
        <v>2</v>
      </c>
      <c r="I249" s="132"/>
      <c r="J249" s="132"/>
      <c r="K249" s="132"/>
      <c r="L249" s="139"/>
      <c r="M249" s="140"/>
      <c r="N249" s="141"/>
      <c r="O249" s="141"/>
      <c r="P249" s="142"/>
      <c r="Q249" s="141"/>
      <c r="R249" s="141"/>
      <c r="S249" s="141"/>
      <c r="T249" s="141"/>
      <c r="U249" s="142"/>
      <c r="V249" s="227"/>
      <c r="W249" s="236"/>
      <c r="X249" s="236"/>
      <c r="Y249" s="236"/>
      <c r="Z249" s="236"/>
      <c r="AA249" s="236"/>
      <c r="AB249" s="236"/>
      <c r="AC249" s="236"/>
      <c r="AD249" s="236"/>
      <c r="AE249" s="236"/>
      <c r="AF249" s="236"/>
      <c r="AG249" s="238"/>
      <c r="AH249" s="229"/>
      <c r="AI249" s="229"/>
      <c r="AJ249" s="229"/>
      <c r="AK249" s="229"/>
      <c r="AL249" s="229"/>
      <c r="AM249" s="229"/>
      <c r="AN249" s="229"/>
      <c r="AO249" s="229"/>
      <c r="AP249" s="229"/>
      <c r="AQ249" s="229"/>
      <c r="AR249" s="229"/>
      <c r="AS249" s="229"/>
      <c r="AT249" s="229"/>
      <c r="AU249" s="229"/>
      <c r="AV249" s="229"/>
      <c r="AW249" s="229"/>
      <c r="AX249" s="229"/>
      <c r="AY249" s="229"/>
      <c r="AZ249" s="229"/>
      <c r="BA249" s="229"/>
      <c r="BB249" s="229"/>
      <c r="BC249" s="229"/>
      <c r="BD249" s="229"/>
      <c r="BE249" s="227"/>
      <c r="BF249" s="227"/>
      <c r="BG249" s="227"/>
      <c r="BH249" s="227"/>
      <c r="BI249" s="133"/>
      <c r="BJ249" s="202"/>
      <c r="BK249" s="202"/>
      <c r="BL249" s="202"/>
      <c r="BM249" s="202"/>
      <c r="BN249" s="202"/>
      <c r="BO249" s="202"/>
      <c r="BP249" s="202"/>
      <c r="BQ249" s="202"/>
      <c r="BR249" s="202"/>
      <c r="BS249" s="202"/>
      <c r="BT249" s="202"/>
      <c r="BU249" s="202"/>
      <c r="BV249" s="202"/>
      <c r="BW249" s="202"/>
      <c r="BX249" s="202"/>
      <c r="BY249" s="202"/>
      <c r="BZ249" s="202"/>
      <c r="CA249" s="202"/>
      <c r="CB249" s="202"/>
      <c r="CC249" s="202"/>
      <c r="CD249" s="202"/>
      <c r="CE249" s="202"/>
      <c r="CF249" s="202"/>
      <c r="CG249" s="202"/>
      <c r="CH249" s="202"/>
      <c r="CI249" s="121"/>
      <c r="CJ249" s="121"/>
      <c r="CK249" s="121"/>
      <c r="CL249" s="121"/>
      <c r="CM249" s="121"/>
      <c r="CN249" s="121"/>
      <c r="CO249" s="121"/>
      <c r="CP249" s="121"/>
      <c r="CQ249" s="121"/>
      <c r="CR249" s="121"/>
      <c r="CS249" s="121"/>
      <c r="CT249" s="121"/>
      <c r="CU249" s="199"/>
      <c r="CV249" s="199"/>
      <c r="CW249" s="205"/>
      <c r="CX249" s="132"/>
      <c r="CY249" s="132"/>
      <c r="CZ249" s="132"/>
      <c r="DA249" s="132"/>
      <c r="DB249" s="132"/>
      <c r="DC249" s="132"/>
      <c r="DD249" s="132"/>
      <c r="DE249" s="103"/>
      <c r="DF249" s="103"/>
      <c r="DG249" s="103"/>
      <c r="DH249" s="103"/>
      <c r="DI249" s="103"/>
      <c r="DJ249" s="103"/>
      <c r="DK249" s="130"/>
      <c r="DL249" s="130"/>
      <c r="DM249" s="130"/>
      <c r="DN249" s="132"/>
      <c r="DO249" s="132"/>
    </row>
    <row r="250" ht="26.25" customHeight="1" spans="1:119">
      <c r="A250" s="131">
        <v>44004</v>
      </c>
      <c r="B250" s="99" t="s">
        <v>13346</v>
      </c>
      <c r="C250" s="234">
        <v>4500029533</v>
      </c>
      <c r="D250" s="215" t="s">
        <v>13457</v>
      </c>
      <c r="E250" s="206" t="s">
        <v>13322</v>
      </c>
      <c r="F250" s="136">
        <v>9214</v>
      </c>
      <c r="G250" s="137" t="s">
        <v>13276</v>
      </c>
      <c r="H250" s="132">
        <v>2</v>
      </c>
      <c r="I250" s="132"/>
      <c r="J250" s="132"/>
      <c r="K250" s="132"/>
      <c r="L250" s="139"/>
      <c r="M250" s="140"/>
      <c r="N250" s="141"/>
      <c r="O250" s="141"/>
      <c r="P250" s="142"/>
      <c r="Q250" s="141"/>
      <c r="R250" s="141"/>
      <c r="S250" s="141"/>
      <c r="T250" s="141"/>
      <c r="U250" s="142"/>
      <c r="V250" s="227"/>
      <c r="W250" s="236"/>
      <c r="X250" s="236"/>
      <c r="Y250" s="236"/>
      <c r="Z250" s="236"/>
      <c r="AA250" s="236"/>
      <c r="AB250" s="236"/>
      <c r="AC250" s="236"/>
      <c r="AD250" s="236"/>
      <c r="AE250" s="236"/>
      <c r="AF250" s="236"/>
      <c r="AG250" s="238"/>
      <c r="AH250" s="229"/>
      <c r="AI250" s="229"/>
      <c r="AJ250" s="229"/>
      <c r="AK250" s="229"/>
      <c r="AL250" s="229"/>
      <c r="AM250" s="229"/>
      <c r="AN250" s="229"/>
      <c r="AO250" s="229"/>
      <c r="AP250" s="229"/>
      <c r="AQ250" s="229"/>
      <c r="AR250" s="229"/>
      <c r="AS250" s="229"/>
      <c r="AT250" s="229"/>
      <c r="AU250" s="229"/>
      <c r="AV250" s="229"/>
      <c r="AW250" s="229"/>
      <c r="AX250" s="229"/>
      <c r="AY250" s="229"/>
      <c r="AZ250" s="229"/>
      <c r="BA250" s="229"/>
      <c r="BB250" s="229"/>
      <c r="BC250" s="229"/>
      <c r="BD250" s="229"/>
      <c r="BE250" s="227"/>
      <c r="BF250" s="227"/>
      <c r="BG250" s="227"/>
      <c r="BH250" s="227"/>
      <c r="BI250" s="133"/>
      <c r="BJ250" s="202"/>
      <c r="BK250" s="202"/>
      <c r="BL250" s="202"/>
      <c r="BM250" s="202"/>
      <c r="BN250" s="202"/>
      <c r="BO250" s="202"/>
      <c r="BP250" s="202"/>
      <c r="BQ250" s="202"/>
      <c r="BR250" s="202"/>
      <c r="BS250" s="202"/>
      <c r="BT250" s="202"/>
      <c r="BU250" s="202"/>
      <c r="BV250" s="202"/>
      <c r="BW250" s="202"/>
      <c r="BX250" s="202"/>
      <c r="BY250" s="202"/>
      <c r="BZ250" s="202"/>
      <c r="CA250" s="202"/>
      <c r="CB250" s="202"/>
      <c r="CC250" s="202"/>
      <c r="CD250" s="202"/>
      <c r="CE250" s="202"/>
      <c r="CF250" s="202"/>
      <c r="CG250" s="202"/>
      <c r="CH250" s="202"/>
      <c r="CI250" s="121"/>
      <c r="CJ250" s="121"/>
      <c r="CK250" s="121"/>
      <c r="CL250" s="121"/>
      <c r="CM250" s="121"/>
      <c r="CN250" s="121"/>
      <c r="CO250" s="121"/>
      <c r="CP250" s="121"/>
      <c r="CQ250" s="121"/>
      <c r="CR250" s="121"/>
      <c r="CS250" s="121"/>
      <c r="CT250" s="121"/>
      <c r="CU250" s="199"/>
      <c r="CV250" s="199"/>
      <c r="CW250" s="205"/>
      <c r="CX250" s="132"/>
      <c r="CY250" s="132"/>
      <c r="CZ250" s="132"/>
      <c r="DA250" s="132"/>
      <c r="DB250" s="132"/>
      <c r="DC250" s="132"/>
      <c r="DD250" s="132"/>
      <c r="DE250" s="103"/>
      <c r="DF250" s="103"/>
      <c r="DG250" s="103"/>
      <c r="DH250" s="103"/>
      <c r="DI250" s="103"/>
      <c r="DJ250" s="103"/>
      <c r="DK250" s="130"/>
      <c r="DL250" s="130"/>
      <c r="DM250" s="130"/>
      <c r="DN250" s="132"/>
      <c r="DO250" s="132"/>
    </row>
    <row r="251" ht="26.25" customHeight="1" spans="1:119">
      <c r="A251" s="131">
        <v>44004</v>
      </c>
      <c r="B251" s="99" t="s">
        <v>13346</v>
      </c>
      <c r="C251" s="234">
        <v>4500029533</v>
      </c>
      <c r="D251" s="215" t="s">
        <v>13457</v>
      </c>
      <c r="E251" s="206" t="s">
        <v>13322</v>
      </c>
      <c r="F251" s="136">
        <v>9207</v>
      </c>
      <c r="G251" s="137" t="s">
        <v>13177</v>
      </c>
      <c r="H251" s="132">
        <v>2</v>
      </c>
      <c r="I251" s="132"/>
      <c r="J251" s="132"/>
      <c r="K251" s="132"/>
      <c r="L251" s="139"/>
      <c r="M251" s="140"/>
      <c r="N251" s="141"/>
      <c r="O251" s="141"/>
      <c r="P251" s="142"/>
      <c r="Q251" s="141"/>
      <c r="R251" s="141"/>
      <c r="S251" s="141"/>
      <c r="T251" s="141"/>
      <c r="U251" s="142"/>
      <c r="V251" s="227"/>
      <c r="W251" s="236"/>
      <c r="X251" s="236"/>
      <c r="Y251" s="236"/>
      <c r="Z251" s="236"/>
      <c r="AA251" s="236"/>
      <c r="AB251" s="236"/>
      <c r="AC251" s="236"/>
      <c r="AD251" s="236"/>
      <c r="AE251" s="236"/>
      <c r="AF251" s="236"/>
      <c r="AG251" s="238"/>
      <c r="AH251" s="229"/>
      <c r="AI251" s="229"/>
      <c r="AJ251" s="229"/>
      <c r="AK251" s="229"/>
      <c r="AL251" s="229"/>
      <c r="AM251" s="229"/>
      <c r="AN251" s="229"/>
      <c r="AO251" s="229"/>
      <c r="AP251" s="229"/>
      <c r="AQ251" s="229"/>
      <c r="AR251" s="229"/>
      <c r="AS251" s="229"/>
      <c r="AT251" s="229"/>
      <c r="AU251" s="229"/>
      <c r="AV251" s="229"/>
      <c r="AW251" s="229"/>
      <c r="AX251" s="229"/>
      <c r="AY251" s="229"/>
      <c r="AZ251" s="229"/>
      <c r="BA251" s="229"/>
      <c r="BB251" s="229"/>
      <c r="BC251" s="229"/>
      <c r="BD251" s="229"/>
      <c r="BE251" s="227"/>
      <c r="BF251" s="227"/>
      <c r="BG251" s="227"/>
      <c r="BH251" s="227"/>
      <c r="BI251" s="133"/>
      <c r="BJ251" s="202"/>
      <c r="BK251" s="202"/>
      <c r="BL251" s="202"/>
      <c r="BM251" s="202"/>
      <c r="BN251" s="202"/>
      <c r="BO251" s="202"/>
      <c r="BP251" s="202"/>
      <c r="BQ251" s="202"/>
      <c r="BR251" s="202"/>
      <c r="BS251" s="202"/>
      <c r="BT251" s="202"/>
      <c r="BU251" s="202"/>
      <c r="BV251" s="202"/>
      <c r="BW251" s="202"/>
      <c r="BX251" s="202"/>
      <c r="BY251" s="202"/>
      <c r="BZ251" s="202"/>
      <c r="CA251" s="202"/>
      <c r="CB251" s="202"/>
      <c r="CC251" s="202"/>
      <c r="CD251" s="202"/>
      <c r="CE251" s="202"/>
      <c r="CF251" s="202"/>
      <c r="CG251" s="202"/>
      <c r="CH251" s="202"/>
      <c r="CI251" s="121"/>
      <c r="CJ251" s="121"/>
      <c r="CK251" s="121"/>
      <c r="CL251" s="121"/>
      <c r="CM251" s="121"/>
      <c r="CN251" s="121"/>
      <c r="CO251" s="121"/>
      <c r="CP251" s="121"/>
      <c r="CQ251" s="121"/>
      <c r="CR251" s="121"/>
      <c r="CS251" s="121"/>
      <c r="CT251" s="121"/>
      <c r="CU251" s="199"/>
      <c r="CV251" s="199"/>
      <c r="CW251" s="205"/>
      <c r="CX251" s="132"/>
      <c r="CY251" s="132"/>
      <c r="CZ251" s="132"/>
      <c r="DA251" s="132"/>
      <c r="DB251" s="132"/>
      <c r="DC251" s="132"/>
      <c r="DD251" s="132"/>
      <c r="DE251" s="103"/>
      <c r="DF251" s="103"/>
      <c r="DG251" s="103"/>
      <c r="DH251" s="103"/>
      <c r="DI251" s="103"/>
      <c r="DJ251" s="103"/>
      <c r="DK251" s="130"/>
      <c r="DL251" s="130"/>
      <c r="DM251" s="130"/>
      <c r="DN251" s="132">
        <v>2</v>
      </c>
      <c r="DO251" s="132"/>
    </row>
    <row r="252" ht="26.25" customHeight="1" spans="1:119">
      <c r="A252" s="131">
        <v>44006</v>
      </c>
      <c r="B252" s="99" t="s">
        <v>13460</v>
      </c>
      <c r="C252" s="234">
        <v>4500033222</v>
      </c>
      <c r="D252" s="215" t="s">
        <v>13461</v>
      </c>
      <c r="E252" s="134" t="s">
        <v>13462</v>
      </c>
      <c r="F252" s="136">
        <v>9202</v>
      </c>
      <c r="G252" s="137" t="s">
        <v>13410</v>
      </c>
      <c r="H252" s="132">
        <v>9</v>
      </c>
      <c r="I252" s="132"/>
      <c r="J252" s="132"/>
      <c r="K252" s="132"/>
      <c r="L252" s="139"/>
      <c r="M252" s="140"/>
      <c r="N252" s="141"/>
      <c r="O252" s="141"/>
      <c r="P252" s="142"/>
      <c r="Q252" s="141"/>
      <c r="R252" s="141"/>
      <c r="S252" s="141"/>
      <c r="T252" s="141"/>
      <c r="U252" s="142"/>
      <c r="V252" s="227"/>
      <c r="W252" s="236"/>
      <c r="X252" s="236"/>
      <c r="Y252" s="236"/>
      <c r="Z252" s="236"/>
      <c r="AA252" s="236"/>
      <c r="AB252" s="236"/>
      <c r="AC252" s="236"/>
      <c r="AD252" s="236"/>
      <c r="AE252" s="236">
        <v>9</v>
      </c>
      <c r="AF252" s="236"/>
      <c r="AG252" s="238"/>
      <c r="AH252" s="229"/>
      <c r="AI252" s="229">
        <v>9</v>
      </c>
      <c r="AJ252" s="229"/>
      <c r="AK252" s="229"/>
      <c r="AL252" s="229"/>
      <c r="AM252" s="229"/>
      <c r="AN252" s="229"/>
      <c r="AO252" s="229"/>
      <c r="AP252" s="229"/>
      <c r="AQ252" s="229"/>
      <c r="AR252" s="229"/>
      <c r="AS252" s="229"/>
      <c r="AT252" s="229"/>
      <c r="AU252" s="229"/>
      <c r="AV252" s="229"/>
      <c r="AW252" s="229"/>
      <c r="AX252" s="229"/>
      <c r="AY252" s="229"/>
      <c r="AZ252" s="229"/>
      <c r="BA252" s="229"/>
      <c r="BB252" s="229"/>
      <c r="BC252" s="229"/>
      <c r="BD252" s="229"/>
      <c r="BE252" s="227"/>
      <c r="BF252" s="227"/>
      <c r="BG252" s="227"/>
      <c r="BH252" s="227"/>
      <c r="BI252" s="133"/>
      <c r="BJ252" s="202"/>
      <c r="BK252" s="202"/>
      <c r="BL252" s="202"/>
      <c r="BM252" s="202"/>
      <c r="BN252" s="202"/>
      <c r="BO252" s="202"/>
      <c r="BP252" s="202"/>
      <c r="BQ252" s="202"/>
      <c r="BR252" s="202"/>
      <c r="BS252" s="202"/>
      <c r="BT252" s="202"/>
      <c r="BU252" s="202"/>
      <c r="BV252" s="202">
        <v>1</v>
      </c>
      <c r="BW252" s="202">
        <v>1</v>
      </c>
      <c r="BX252" s="202">
        <v>1</v>
      </c>
      <c r="BY252" s="202">
        <v>1</v>
      </c>
      <c r="BZ252" s="202">
        <v>1</v>
      </c>
      <c r="CA252" s="202"/>
      <c r="CB252" s="202"/>
      <c r="CC252" s="202"/>
      <c r="CD252" s="202"/>
      <c r="CE252" s="202">
        <v>1</v>
      </c>
      <c r="CF252" s="202">
        <v>1</v>
      </c>
      <c r="CG252" s="202">
        <v>1</v>
      </c>
      <c r="CH252" s="202">
        <v>1</v>
      </c>
      <c r="CI252" s="121"/>
      <c r="CJ252" s="121"/>
      <c r="CK252" s="121"/>
      <c r="CL252" s="121"/>
      <c r="CM252" s="121"/>
      <c r="CN252" s="121"/>
      <c r="CO252" s="121"/>
      <c r="CP252" s="121"/>
      <c r="CQ252" s="121"/>
      <c r="CR252" s="121"/>
      <c r="CS252" s="121"/>
      <c r="CT252" s="121"/>
      <c r="CU252" s="199"/>
      <c r="CV252" s="199"/>
      <c r="CW252" s="205"/>
      <c r="CX252" s="132"/>
      <c r="CY252" s="132"/>
      <c r="CZ252" s="132"/>
      <c r="DA252" s="132"/>
      <c r="DB252" s="132"/>
      <c r="DC252" s="132"/>
      <c r="DD252" s="132"/>
      <c r="DE252" s="103"/>
      <c r="DF252" s="103"/>
      <c r="DG252" s="103"/>
      <c r="DH252" s="103"/>
      <c r="DI252" s="103"/>
      <c r="DJ252" s="103"/>
      <c r="DK252" s="130"/>
      <c r="DL252" s="130"/>
      <c r="DM252" s="130"/>
      <c r="DN252" s="132"/>
      <c r="DO252" s="132"/>
    </row>
    <row r="253" ht="26.25" customHeight="1" spans="1:119">
      <c r="A253" s="131">
        <v>44006</v>
      </c>
      <c r="B253" s="99" t="s">
        <v>13460</v>
      </c>
      <c r="C253" s="234">
        <v>4500033222</v>
      </c>
      <c r="D253" s="215" t="s">
        <v>13461</v>
      </c>
      <c r="E253" s="134" t="s">
        <v>13462</v>
      </c>
      <c r="F253" s="136">
        <v>9215</v>
      </c>
      <c r="G253" s="137" t="s">
        <v>13410</v>
      </c>
      <c r="H253" s="132">
        <v>5</v>
      </c>
      <c r="I253" s="132"/>
      <c r="J253" s="132"/>
      <c r="K253" s="132"/>
      <c r="L253" s="139"/>
      <c r="M253" s="140"/>
      <c r="N253" s="141"/>
      <c r="O253" s="141"/>
      <c r="P253" s="142"/>
      <c r="Q253" s="141"/>
      <c r="R253" s="141"/>
      <c r="S253" s="141"/>
      <c r="T253" s="141"/>
      <c r="U253" s="142"/>
      <c r="V253" s="227"/>
      <c r="W253" s="236"/>
      <c r="X253" s="236"/>
      <c r="Y253" s="236"/>
      <c r="Z253" s="236"/>
      <c r="AA253" s="236"/>
      <c r="AB253" s="236"/>
      <c r="AC253" s="236"/>
      <c r="AD253" s="236"/>
      <c r="AE253" s="236"/>
      <c r="AF253" s="236"/>
      <c r="AG253" s="238"/>
      <c r="AH253" s="229"/>
      <c r="AI253" s="229"/>
      <c r="AJ253" s="229"/>
      <c r="AK253" s="229"/>
      <c r="AL253" s="229"/>
      <c r="AM253" s="229"/>
      <c r="AN253" s="229"/>
      <c r="AO253" s="229"/>
      <c r="AP253" s="229"/>
      <c r="AQ253" s="229"/>
      <c r="AR253" s="229"/>
      <c r="AS253" s="229"/>
      <c r="AT253" s="229"/>
      <c r="AU253" s="229"/>
      <c r="AV253" s="229"/>
      <c r="AW253" s="229"/>
      <c r="AX253" s="229"/>
      <c r="AY253" s="229"/>
      <c r="AZ253" s="229"/>
      <c r="BA253" s="229"/>
      <c r="BB253" s="229"/>
      <c r="BC253" s="229"/>
      <c r="BD253" s="229"/>
      <c r="BE253" s="227"/>
      <c r="BF253" s="227"/>
      <c r="BG253" s="227"/>
      <c r="BH253" s="227"/>
      <c r="BI253" s="133"/>
      <c r="BJ253" s="202"/>
      <c r="BK253" s="202"/>
      <c r="BL253" s="202"/>
      <c r="BM253" s="202"/>
      <c r="BN253" s="202"/>
      <c r="BO253" s="202"/>
      <c r="BP253" s="202"/>
      <c r="BQ253" s="202"/>
      <c r="BR253" s="202"/>
      <c r="BS253" s="202"/>
      <c r="BT253" s="202"/>
      <c r="BU253" s="202"/>
      <c r="BV253" s="202"/>
      <c r="BW253" s="202"/>
      <c r="BX253" s="202"/>
      <c r="BY253" s="202"/>
      <c r="BZ253" s="202"/>
      <c r="CA253" s="202"/>
      <c r="CB253" s="202"/>
      <c r="CC253" s="202"/>
      <c r="CD253" s="202"/>
      <c r="CE253" s="202"/>
      <c r="CF253" s="202"/>
      <c r="CG253" s="202"/>
      <c r="CH253" s="202"/>
      <c r="CI253" s="121"/>
      <c r="CJ253" s="121"/>
      <c r="CK253" s="121"/>
      <c r="CL253" s="121"/>
      <c r="CM253" s="121"/>
      <c r="CN253" s="121"/>
      <c r="CO253" s="121"/>
      <c r="CP253" s="121"/>
      <c r="CQ253" s="121"/>
      <c r="CR253" s="121"/>
      <c r="CS253" s="121"/>
      <c r="CT253" s="121"/>
      <c r="CU253" s="199"/>
      <c r="CV253" s="199"/>
      <c r="CW253" s="205"/>
      <c r="CX253" s="132"/>
      <c r="CY253" s="132">
        <v>1</v>
      </c>
      <c r="CZ253" s="132">
        <v>1</v>
      </c>
      <c r="DA253" s="132">
        <v>1</v>
      </c>
      <c r="DB253" s="132">
        <v>1</v>
      </c>
      <c r="DC253" s="132"/>
      <c r="DD253" s="132">
        <v>1</v>
      </c>
      <c r="DE253" s="103"/>
      <c r="DF253" s="103"/>
      <c r="DG253" s="103"/>
      <c r="DH253" s="103"/>
      <c r="DI253" s="103"/>
      <c r="DJ253" s="103"/>
      <c r="DK253" s="130"/>
      <c r="DL253" s="130"/>
      <c r="DM253" s="130"/>
      <c r="DN253" s="132"/>
      <c r="DO253" s="132"/>
    </row>
    <row r="254" ht="26.25" customHeight="1" spans="1:119">
      <c r="A254" s="131">
        <v>44013</v>
      </c>
      <c r="B254" s="99" t="s">
        <v>13373</v>
      </c>
      <c r="C254" s="234">
        <v>4500032688</v>
      </c>
      <c r="D254" s="215" t="s">
        <v>13353</v>
      </c>
      <c r="E254" s="161" t="s">
        <v>13322</v>
      </c>
      <c r="F254" s="136">
        <v>9221</v>
      </c>
      <c r="G254" s="137" t="s">
        <v>13424</v>
      </c>
      <c r="H254" s="132">
        <v>4</v>
      </c>
      <c r="I254" s="132"/>
      <c r="J254" s="132"/>
      <c r="K254" s="132"/>
      <c r="L254" s="139"/>
      <c r="M254" s="140"/>
      <c r="N254" s="141"/>
      <c r="O254" s="141"/>
      <c r="P254" s="142"/>
      <c r="Q254" s="141"/>
      <c r="R254" s="141"/>
      <c r="S254" s="141"/>
      <c r="T254" s="141"/>
      <c r="U254" s="142"/>
      <c r="V254" s="227"/>
      <c r="W254" s="236"/>
      <c r="X254" s="236"/>
      <c r="Y254" s="236"/>
      <c r="Z254" s="236"/>
      <c r="AA254" s="236"/>
      <c r="AB254" s="236"/>
      <c r="AC254" s="236"/>
      <c r="AD254" s="236"/>
      <c r="AE254" s="236"/>
      <c r="AF254" s="236"/>
      <c r="AG254" s="238"/>
      <c r="AH254" s="229"/>
      <c r="AI254" s="229"/>
      <c r="AJ254" s="229"/>
      <c r="AK254" s="229"/>
      <c r="AL254" s="229"/>
      <c r="AM254" s="229"/>
      <c r="AN254" s="229"/>
      <c r="AO254" s="229"/>
      <c r="AP254" s="229"/>
      <c r="AQ254" s="229"/>
      <c r="AR254" s="229"/>
      <c r="AS254" s="229"/>
      <c r="AT254" s="229"/>
      <c r="AU254" s="229"/>
      <c r="AV254" s="229"/>
      <c r="AW254" s="229"/>
      <c r="AX254" s="229"/>
      <c r="AY254" s="229"/>
      <c r="AZ254" s="229"/>
      <c r="BA254" s="229"/>
      <c r="BB254" s="229"/>
      <c r="BC254" s="229"/>
      <c r="BD254" s="229"/>
      <c r="BE254" s="227"/>
      <c r="BF254" s="227"/>
      <c r="BG254" s="227"/>
      <c r="BH254" s="227"/>
      <c r="BI254" s="133"/>
      <c r="BJ254" s="202"/>
      <c r="BK254" s="202"/>
      <c r="BL254" s="202"/>
      <c r="BM254" s="202"/>
      <c r="BN254" s="202"/>
      <c r="BO254" s="202"/>
      <c r="BP254" s="202"/>
      <c r="BQ254" s="202"/>
      <c r="BR254" s="202"/>
      <c r="BS254" s="202"/>
      <c r="BT254" s="202"/>
      <c r="BU254" s="202"/>
      <c r="BV254" s="202"/>
      <c r="BW254" s="202"/>
      <c r="BX254" s="202"/>
      <c r="BY254" s="202"/>
      <c r="BZ254" s="202"/>
      <c r="CA254" s="202"/>
      <c r="CB254" s="202"/>
      <c r="CC254" s="202"/>
      <c r="CD254" s="202"/>
      <c r="CE254" s="202"/>
      <c r="CF254" s="202"/>
      <c r="CG254" s="202"/>
      <c r="CH254" s="202"/>
      <c r="CI254" s="121"/>
      <c r="CJ254" s="121"/>
      <c r="CK254" s="121"/>
      <c r="CL254" s="121"/>
      <c r="CM254" s="121"/>
      <c r="CN254" s="121"/>
      <c r="CO254" s="121"/>
      <c r="CP254" s="121"/>
      <c r="CQ254" s="121"/>
      <c r="CR254" s="121"/>
      <c r="CS254" s="121"/>
      <c r="CT254" s="121"/>
      <c r="CU254" s="199"/>
      <c r="CV254" s="199"/>
      <c r="CW254" s="205"/>
      <c r="CX254" s="132"/>
      <c r="CY254" s="132"/>
      <c r="CZ254" s="132"/>
      <c r="DA254" s="132"/>
      <c r="DB254" s="132"/>
      <c r="DC254" s="132"/>
      <c r="DD254" s="132"/>
      <c r="DE254" s="103"/>
      <c r="DF254" s="103">
        <v>1</v>
      </c>
      <c r="DG254" s="103">
        <v>1</v>
      </c>
      <c r="DH254" s="103">
        <v>1</v>
      </c>
      <c r="DI254" s="103">
        <v>1</v>
      </c>
      <c r="DJ254" s="103"/>
      <c r="DK254" s="130"/>
      <c r="DL254" s="130"/>
      <c r="DM254" s="130"/>
      <c r="DN254" s="132"/>
      <c r="DO254" s="132"/>
    </row>
    <row r="255" ht="26.25" customHeight="1" spans="1:119">
      <c r="A255" s="131">
        <v>44014</v>
      </c>
      <c r="B255" s="99" t="s">
        <v>13463</v>
      </c>
      <c r="C255" s="234"/>
      <c r="D255" s="215"/>
      <c r="E255" s="161" t="s">
        <v>13464</v>
      </c>
      <c r="F255" s="136">
        <v>9215</v>
      </c>
      <c r="G255" s="137" t="s">
        <v>13410</v>
      </c>
      <c r="H255" s="132">
        <v>7</v>
      </c>
      <c r="I255" s="132"/>
      <c r="J255" s="132"/>
      <c r="K255" s="132"/>
      <c r="L255" s="139"/>
      <c r="M255" s="140"/>
      <c r="N255" s="141"/>
      <c r="O255" s="141"/>
      <c r="P255" s="142"/>
      <c r="Q255" s="141"/>
      <c r="R255" s="141"/>
      <c r="S255" s="141"/>
      <c r="T255" s="141"/>
      <c r="U255" s="142"/>
      <c r="V255" s="227"/>
      <c r="W255" s="236"/>
      <c r="X255" s="236"/>
      <c r="Y255" s="236"/>
      <c r="Z255" s="236"/>
      <c r="AA255" s="236"/>
      <c r="AB255" s="236"/>
      <c r="AC255" s="236"/>
      <c r="AD255" s="236"/>
      <c r="AE255" s="236"/>
      <c r="AF255" s="236"/>
      <c r="AG255" s="238"/>
      <c r="AH255" s="229"/>
      <c r="AI255" s="229"/>
      <c r="AJ255" s="229"/>
      <c r="AK255" s="229"/>
      <c r="AL255" s="229"/>
      <c r="AM255" s="229"/>
      <c r="AN255" s="229"/>
      <c r="AO255" s="229"/>
      <c r="AP255" s="229"/>
      <c r="AQ255" s="229"/>
      <c r="AR255" s="229"/>
      <c r="AS255" s="229"/>
      <c r="AT255" s="229"/>
      <c r="AU255" s="229"/>
      <c r="AV255" s="229"/>
      <c r="AW255" s="229"/>
      <c r="AX255" s="229"/>
      <c r="AY255" s="229"/>
      <c r="AZ255" s="229"/>
      <c r="BA255" s="229"/>
      <c r="BB255" s="229"/>
      <c r="BC255" s="229"/>
      <c r="BD255" s="229"/>
      <c r="BE255" s="227"/>
      <c r="BF255" s="227"/>
      <c r="BG255" s="227"/>
      <c r="BH255" s="227"/>
      <c r="BI255" s="133"/>
      <c r="BJ255" s="202"/>
      <c r="BK255" s="202"/>
      <c r="BL255" s="202"/>
      <c r="BM255" s="202"/>
      <c r="BN255" s="202"/>
      <c r="BO255" s="202"/>
      <c r="BP255" s="202"/>
      <c r="BQ255" s="202"/>
      <c r="BR255" s="202"/>
      <c r="BS255" s="202"/>
      <c r="BT255" s="202"/>
      <c r="BU255" s="202"/>
      <c r="BV255" s="202"/>
      <c r="BW255" s="202"/>
      <c r="BX255" s="202"/>
      <c r="BY255" s="202"/>
      <c r="BZ255" s="202"/>
      <c r="CA255" s="202"/>
      <c r="CB255" s="202"/>
      <c r="CC255" s="202"/>
      <c r="CD255" s="202"/>
      <c r="CE255" s="202"/>
      <c r="CF255" s="202"/>
      <c r="CG255" s="202"/>
      <c r="CH255" s="202"/>
      <c r="CI255" s="121"/>
      <c r="CJ255" s="121"/>
      <c r="CK255" s="121"/>
      <c r="CL255" s="121"/>
      <c r="CM255" s="121"/>
      <c r="CN255" s="121"/>
      <c r="CO255" s="121"/>
      <c r="CP255" s="121"/>
      <c r="CQ255" s="121"/>
      <c r="CR255" s="121"/>
      <c r="CS255" s="121"/>
      <c r="CT255" s="121"/>
      <c r="CU255" s="199"/>
      <c r="CV255" s="199"/>
      <c r="CW255" s="205"/>
      <c r="CX255" s="132">
        <v>1</v>
      </c>
      <c r="CY255" s="132">
        <v>1</v>
      </c>
      <c r="CZ255" s="132">
        <v>1</v>
      </c>
      <c r="DA255" s="132">
        <v>1</v>
      </c>
      <c r="DB255" s="132">
        <v>1</v>
      </c>
      <c r="DC255" s="132">
        <v>1</v>
      </c>
      <c r="DD255" s="132">
        <v>1</v>
      </c>
      <c r="DE255" s="103"/>
      <c r="DF255" s="103"/>
      <c r="DG255" s="103"/>
      <c r="DH255" s="103"/>
      <c r="DI255" s="103"/>
      <c r="DJ255" s="103"/>
      <c r="DK255" s="130"/>
      <c r="DL255" s="130"/>
      <c r="DM255" s="130"/>
      <c r="DN255" s="132"/>
      <c r="DO255" s="132"/>
    </row>
    <row r="256" ht="26.25" customHeight="1" spans="1:119">
      <c r="A256" s="131">
        <v>44015</v>
      </c>
      <c r="B256" s="99" t="s">
        <v>13465</v>
      </c>
      <c r="C256" s="234">
        <v>4500033111</v>
      </c>
      <c r="D256" s="215" t="s">
        <v>13466</v>
      </c>
      <c r="E256" s="206" t="s">
        <v>13320</v>
      </c>
      <c r="F256" s="100" t="s">
        <v>13467</v>
      </c>
      <c r="G256" s="137" t="s">
        <v>13276</v>
      </c>
      <c r="H256" s="132">
        <v>3</v>
      </c>
      <c r="I256" s="132"/>
      <c r="J256" s="132"/>
      <c r="K256" s="132"/>
      <c r="L256" s="139"/>
      <c r="M256" s="140"/>
      <c r="N256" s="141"/>
      <c r="O256" s="141"/>
      <c r="P256" s="142"/>
      <c r="Q256" s="141"/>
      <c r="R256" s="141"/>
      <c r="S256" s="141"/>
      <c r="T256" s="141"/>
      <c r="U256" s="142"/>
      <c r="V256" s="227"/>
      <c r="W256" s="236"/>
      <c r="X256" s="236"/>
      <c r="Y256" s="236"/>
      <c r="Z256" s="236"/>
      <c r="AA256" s="236"/>
      <c r="AB256" s="236"/>
      <c r="AC256" s="236"/>
      <c r="AD256" s="236"/>
      <c r="AE256" s="236"/>
      <c r="AF256" s="236"/>
      <c r="AG256" s="238"/>
      <c r="AH256" s="229"/>
      <c r="AI256" s="229"/>
      <c r="AJ256" s="229"/>
      <c r="AK256" s="229"/>
      <c r="AL256" s="229"/>
      <c r="AM256" s="229"/>
      <c r="AN256" s="229"/>
      <c r="AO256" s="229"/>
      <c r="AP256" s="229"/>
      <c r="AQ256" s="229"/>
      <c r="AR256" s="229"/>
      <c r="AS256" s="229"/>
      <c r="AT256" s="229"/>
      <c r="AU256" s="229"/>
      <c r="AV256" s="229"/>
      <c r="AW256" s="229"/>
      <c r="AX256" s="229"/>
      <c r="AY256" s="229"/>
      <c r="AZ256" s="229"/>
      <c r="BA256" s="229"/>
      <c r="BB256" s="229"/>
      <c r="BC256" s="229"/>
      <c r="BD256" s="229"/>
      <c r="BE256" s="227"/>
      <c r="BF256" s="227"/>
      <c r="BG256" s="227"/>
      <c r="BH256" s="227"/>
      <c r="BI256" s="133"/>
      <c r="BJ256" s="202"/>
      <c r="BK256" s="202"/>
      <c r="BL256" s="202"/>
      <c r="BM256" s="202"/>
      <c r="BN256" s="202"/>
      <c r="BO256" s="202"/>
      <c r="BP256" s="202"/>
      <c r="BQ256" s="202"/>
      <c r="BR256" s="202"/>
      <c r="BS256" s="202"/>
      <c r="BT256" s="202"/>
      <c r="BU256" s="202"/>
      <c r="BV256" s="202"/>
      <c r="BW256" s="202"/>
      <c r="BX256" s="202"/>
      <c r="BY256" s="202"/>
      <c r="BZ256" s="202"/>
      <c r="CA256" s="202"/>
      <c r="CB256" s="202"/>
      <c r="CC256" s="202"/>
      <c r="CD256" s="202"/>
      <c r="CE256" s="202"/>
      <c r="CF256" s="202"/>
      <c r="CG256" s="202"/>
      <c r="CH256" s="202"/>
      <c r="CI256" s="121"/>
      <c r="CJ256" s="121"/>
      <c r="CK256" s="121"/>
      <c r="CL256" s="121"/>
      <c r="CM256" s="121"/>
      <c r="CN256" s="121"/>
      <c r="CO256" s="121">
        <v>1</v>
      </c>
      <c r="CP256" s="121">
        <v>1</v>
      </c>
      <c r="CQ256" s="121">
        <v>1</v>
      </c>
      <c r="CR256" s="121"/>
      <c r="CS256" s="121"/>
      <c r="CT256" s="121"/>
      <c r="CU256" s="199"/>
      <c r="CV256" s="199"/>
      <c r="CW256" s="205"/>
      <c r="CX256" s="132"/>
      <c r="CY256" s="132"/>
      <c r="CZ256" s="132"/>
      <c r="DA256" s="132"/>
      <c r="DB256" s="132"/>
      <c r="DC256" s="132"/>
      <c r="DD256" s="132"/>
      <c r="DE256" s="103"/>
      <c r="DF256" s="103"/>
      <c r="DG256" s="103"/>
      <c r="DH256" s="103"/>
      <c r="DI256" s="103"/>
      <c r="DJ256" s="103"/>
      <c r="DK256" s="130"/>
      <c r="DL256" s="130"/>
      <c r="DM256" s="130"/>
      <c r="DN256" s="132"/>
      <c r="DO256" s="132"/>
    </row>
    <row r="257" ht="26.25" customHeight="1" spans="1:119">
      <c r="A257" s="131">
        <v>44015</v>
      </c>
      <c r="B257" s="99" t="s">
        <v>13465</v>
      </c>
      <c r="C257" s="234">
        <v>4500033111</v>
      </c>
      <c r="D257" s="215" t="s">
        <v>13466</v>
      </c>
      <c r="E257" s="206" t="s">
        <v>13320</v>
      </c>
      <c r="F257" s="100" t="s">
        <v>13468</v>
      </c>
      <c r="G257" s="137" t="s">
        <v>13410</v>
      </c>
      <c r="H257" s="132">
        <v>3</v>
      </c>
      <c r="I257" s="132"/>
      <c r="J257" s="132"/>
      <c r="K257" s="132"/>
      <c r="L257" s="139"/>
      <c r="M257" s="140"/>
      <c r="N257" s="141"/>
      <c r="O257" s="141"/>
      <c r="P257" s="142"/>
      <c r="Q257" s="141"/>
      <c r="R257" s="141"/>
      <c r="S257" s="141"/>
      <c r="T257" s="141"/>
      <c r="U257" s="142"/>
      <c r="V257" s="227"/>
      <c r="W257" s="236"/>
      <c r="X257" s="236"/>
      <c r="Y257" s="236"/>
      <c r="Z257" s="236"/>
      <c r="AA257" s="236"/>
      <c r="AB257" s="236"/>
      <c r="AC257" s="236"/>
      <c r="AD257" s="236"/>
      <c r="AE257" s="236"/>
      <c r="AF257" s="236"/>
      <c r="AG257" s="238"/>
      <c r="AH257" s="229"/>
      <c r="AI257" s="229"/>
      <c r="AJ257" s="229"/>
      <c r="AK257" s="229"/>
      <c r="AL257" s="229"/>
      <c r="AM257" s="229"/>
      <c r="AN257" s="229"/>
      <c r="AO257" s="229"/>
      <c r="AP257" s="229"/>
      <c r="AQ257" s="229"/>
      <c r="AR257" s="229"/>
      <c r="AS257" s="229"/>
      <c r="AT257" s="229"/>
      <c r="AU257" s="229"/>
      <c r="AV257" s="229"/>
      <c r="AW257" s="229"/>
      <c r="AX257" s="229"/>
      <c r="AY257" s="229"/>
      <c r="AZ257" s="229"/>
      <c r="BA257" s="229"/>
      <c r="BB257" s="229"/>
      <c r="BC257" s="229"/>
      <c r="BD257" s="229"/>
      <c r="BE257" s="227"/>
      <c r="BF257" s="227"/>
      <c r="BG257" s="227"/>
      <c r="BH257" s="227"/>
      <c r="BI257" s="133"/>
      <c r="BJ257" s="202"/>
      <c r="BK257" s="202"/>
      <c r="BL257" s="202"/>
      <c r="BM257" s="202"/>
      <c r="BN257" s="202"/>
      <c r="BO257" s="202"/>
      <c r="BP257" s="202"/>
      <c r="BQ257" s="202"/>
      <c r="BR257" s="202"/>
      <c r="BS257" s="202"/>
      <c r="BT257" s="202"/>
      <c r="BU257" s="202"/>
      <c r="BV257" s="202"/>
      <c r="BW257" s="202"/>
      <c r="BX257" s="202"/>
      <c r="BY257" s="202"/>
      <c r="BZ257" s="202"/>
      <c r="CA257" s="202"/>
      <c r="CB257" s="202"/>
      <c r="CC257" s="202"/>
      <c r="CD257" s="202"/>
      <c r="CE257" s="202"/>
      <c r="CF257" s="202"/>
      <c r="CG257" s="202"/>
      <c r="CH257" s="202"/>
      <c r="CI257" s="121"/>
      <c r="CJ257" s="121"/>
      <c r="CK257" s="121"/>
      <c r="CL257" s="121"/>
      <c r="CM257" s="121"/>
      <c r="CN257" s="121"/>
      <c r="CO257" s="121"/>
      <c r="CP257" s="121"/>
      <c r="CQ257" s="121"/>
      <c r="CR257" s="121"/>
      <c r="CS257" s="121"/>
      <c r="CT257" s="121"/>
      <c r="CU257" s="199"/>
      <c r="CV257" s="199"/>
      <c r="CW257" s="205"/>
      <c r="CX257" s="132"/>
      <c r="CY257" s="132"/>
      <c r="CZ257" s="132">
        <v>1</v>
      </c>
      <c r="DA257" s="132"/>
      <c r="DB257" s="132"/>
      <c r="DC257" s="132">
        <v>1</v>
      </c>
      <c r="DD257" s="132">
        <v>1</v>
      </c>
      <c r="DE257" s="103"/>
      <c r="DF257" s="103"/>
      <c r="DG257" s="103"/>
      <c r="DH257" s="103"/>
      <c r="DI257" s="103"/>
      <c r="DJ257" s="103"/>
      <c r="DK257" s="130"/>
      <c r="DL257" s="130"/>
      <c r="DM257" s="130"/>
      <c r="DN257" s="132"/>
      <c r="DO257" s="132"/>
    </row>
    <row r="258" ht="26.25" customHeight="1" spans="1:119">
      <c r="A258" s="131">
        <v>44018</v>
      </c>
      <c r="B258" s="234" t="s">
        <v>13335</v>
      </c>
      <c r="C258" s="134" t="s">
        <v>13469</v>
      </c>
      <c r="D258" s="215" t="s">
        <v>3657</v>
      </c>
      <c r="E258" s="221" t="s">
        <v>13322</v>
      </c>
      <c r="F258" s="136" t="s">
        <v>13470</v>
      </c>
      <c r="G258" s="137" t="s">
        <v>13424</v>
      </c>
      <c r="H258" s="132">
        <v>3</v>
      </c>
      <c r="I258" s="132"/>
      <c r="J258" s="132"/>
      <c r="K258" s="132"/>
      <c r="L258" s="139"/>
      <c r="M258" s="140"/>
      <c r="N258" s="141"/>
      <c r="O258" s="141"/>
      <c r="P258" s="142"/>
      <c r="Q258" s="141"/>
      <c r="R258" s="141"/>
      <c r="S258" s="141"/>
      <c r="T258" s="141"/>
      <c r="U258" s="142"/>
      <c r="V258" s="227"/>
      <c r="W258" s="236"/>
      <c r="X258" s="236"/>
      <c r="Y258" s="236"/>
      <c r="Z258" s="236"/>
      <c r="AA258" s="236"/>
      <c r="AB258" s="236"/>
      <c r="AC258" s="236"/>
      <c r="AD258" s="236"/>
      <c r="AE258" s="236"/>
      <c r="AF258" s="236"/>
      <c r="AG258" s="238"/>
      <c r="AH258" s="229"/>
      <c r="AI258" s="229"/>
      <c r="AJ258" s="229"/>
      <c r="AK258" s="229"/>
      <c r="AL258" s="229"/>
      <c r="AM258" s="229"/>
      <c r="AN258" s="229"/>
      <c r="AO258" s="229"/>
      <c r="AP258" s="229"/>
      <c r="AQ258" s="229"/>
      <c r="AR258" s="229"/>
      <c r="AS258" s="229"/>
      <c r="AT258" s="229"/>
      <c r="AU258" s="229"/>
      <c r="AV258" s="229"/>
      <c r="AW258" s="229"/>
      <c r="AX258" s="229"/>
      <c r="AY258" s="229"/>
      <c r="AZ258" s="229"/>
      <c r="BA258" s="229"/>
      <c r="BB258" s="229"/>
      <c r="BC258" s="229"/>
      <c r="BD258" s="229"/>
      <c r="BE258" s="227"/>
      <c r="BF258" s="227"/>
      <c r="BG258" s="227"/>
      <c r="BH258" s="227"/>
      <c r="BI258" s="133"/>
      <c r="BJ258" s="202"/>
      <c r="BK258" s="202"/>
      <c r="BL258" s="202"/>
      <c r="BM258" s="202"/>
      <c r="BN258" s="202"/>
      <c r="BO258" s="202"/>
      <c r="BP258" s="202"/>
      <c r="BQ258" s="202"/>
      <c r="BR258" s="202"/>
      <c r="BS258" s="202"/>
      <c r="BT258" s="202"/>
      <c r="BU258" s="202"/>
      <c r="BV258" s="202"/>
      <c r="BW258" s="202"/>
      <c r="BX258" s="202"/>
      <c r="BY258" s="202"/>
      <c r="BZ258" s="202"/>
      <c r="CA258" s="202"/>
      <c r="CB258" s="202"/>
      <c r="CC258" s="202"/>
      <c r="CD258" s="202"/>
      <c r="CE258" s="202"/>
      <c r="CF258" s="202"/>
      <c r="CG258" s="202"/>
      <c r="CH258" s="202"/>
      <c r="CI258" s="121"/>
      <c r="CJ258" s="121"/>
      <c r="CK258" s="121"/>
      <c r="CL258" s="121"/>
      <c r="CM258" s="121"/>
      <c r="CN258" s="121"/>
      <c r="CO258" s="121"/>
      <c r="CP258" s="121"/>
      <c r="CQ258" s="121"/>
      <c r="CR258" s="121"/>
      <c r="CS258" s="121"/>
      <c r="CT258" s="121"/>
      <c r="CU258" s="199"/>
      <c r="CV258" s="199"/>
      <c r="CW258" s="205"/>
      <c r="CX258" s="132"/>
      <c r="CY258" s="132"/>
      <c r="CZ258" s="132"/>
      <c r="DA258" s="132"/>
      <c r="DB258" s="132"/>
      <c r="DC258" s="132"/>
      <c r="DD258" s="132"/>
      <c r="DE258" s="103">
        <v>1</v>
      </c>
      <c r="DF258" s="103"/>
      <c r="DG258" s="103"/>
      <c r="DH258" s="103">
        <v>1</v>
      </c>
      <c r="DI258" s="103">
        <v>1</v>
      </c>
      <c r="DJ258" s="103"/>
      <c r="DK258" s="130"/>
      <c r="DL258" s="130"/>
      <c r="DM258" s="130"/>
      <c r="DN258" s="132"/>
      <c r="DO258" s="132"/>
    </row>
    <row r="259" ht="26.25" customHeight="1" spans="1:119">
      <c r="A259" s="131">
        <v>44019</v>
      </c>
      <c r="B259" s="234" t="s">
        <v>13385</v>
      </c>
      <c r="C259" s="134">
        <v>4500029807</v>
      </c>
      <c r="D259" s="215" t="s">
        <v>13471</v>
      </c>
      <c r="E259" s="221" t="s">
        <v>13315</v>
      </c>
      <c r="F259" s="136">
        <v>9204</v>
      </c>
      <c r="G259" s="137" t="s">
        <v>13472</v>
      </c>
      <c r="H259" s="132">
        <v>12</v>
      </c>
      <c r="I259" s="132"/>
      <c r="J259" s="132"/>
      <c r="K259" s="132"/>
      <c r="L259" s="139"/>
      <c r="M259" s="140"/>
      <c r="N259" s="141"/>
      <c r="O259" s="141"/>
      <c r="P259" s="142"/>
      <c r="Q259" s="141"/>
      <c r="R259" s="141"/>
      <c r="S259" s="141"/>
      <c r="T259" s="141"/>
      <c r="U259" s="142"/>
      <c r="V259" s="227"/>
      <c r="W259" s="236"/>
      <c r="X259" s="236"/>
      <c r="Y259" s="236"/>
      <c r="Z259" s="236"/>
      <c r="AA259" s="236"/>
      <c r="AB259" s="236"/>
      <c r="AC259" s="236"/>
      <c r="AD259" s="236"/>
      <c r="AE259" s="236"/>
      <c r="AF259" s="236"/>
      <c r="AG259" s="238"/>
      <c r="AH259" s="229"/>
      <c r="AI259" s="229"/>
      <c r="AJ259" s="229"/>
      <c r="AK259" s="229"/>
      <c r="AL259" s="229"/>
      <c r="AM259" s="229"/>
      <c r="AN259" s="229"/>
      <c r="AO259" s="229"/>
      <c r="AP259" s="229">
        <v>12</v>
      </c>
      <c r="AQ259" s="229">
        <v>12</v>
      </c>
      <c r="AR259" s="229"/>
      <c r="AS259" s="229"/>
      <c r="AT259" s="229"/>
      <c r="AU259" s="229"/>
      <c r="AV259" s="229"/>
      <c r="AW259" s="229"/>
      <c r="AX259" s="229"/>
      <c r="AY259" s="229"/>
      <c r="AZ259" s="229"/>
      <c r="BA259" s="229"/>
      <c r="BB259" s="229"/>
      <c r="BC259" s="229"/>
      <c r="BD259" s="229"/>
      <c r="BE259" s="227"/>
      <c r="BF259" s="227"/>
      <c r="BG259" s="227"/>
      <c r="BH259" s="227"/>
      <c r="BI259" s="133"/>
      <c r="BJ259" s="202"/>
      <c r="BK259" s="202"/>
      <c r="BL259" s="202"/>
      <c r="BM259" s="202"/>
      <c r="BN259" s="202"/>
      <c r="BO259" s="202"/>
      <c r="BP259" s="202"/>
      <c r="BQ259" s="202"/>
      <c r="BR259" s="202"/>
      <c r="BS259" s="202"/>
      <c r="BT259" s="202"/>
      <c r="BU259" s="202"/>
      <c r="BV259" s="202"/>
      <c r="BW259" s="202"/>
      <c r="BX259" s="202"/>
      <c r="BY259" s="202"/>
      <c r="BZ259" s="202"/>
      <c r="CA259" s="202"/>
      <c r="CB259" s="202"/>
      <c r="CC259" s="202"/>
      <c r="CD259" s="202"/>
      <c r="CE259" s="202"/>
      <c r="CF259" s="202"/>
      <c r="CG259" s="202"/>
      <c r="CH259" s="202"/>
      <c r="CI259" s="121">
        <v>2</v>
      </c>
      <c r="CJ259" s="121">
        <v>2</v>
      </c>
      <c r="CK259" s="121">
        <v>2</v>
      </c>
      <c r="CL259" s="121">
        <v>2</v>
      </c>
      <c r="CM259" s="121">
        <v>2</v>
      </c>
      <c r="CN259" s="121">
        <v>2</v>
      </c>
      <c r="CO259" s="121"/>
      <c r="CP259" s="121"/>
      <c r="CQ259" s="121"/>
      <c r="CR259" s="121"/>
      <c r="CS259" s="121"/>
      <c r="CT259" s="121"/>
      <c r="CU259" s="199"/>
      <c r="CV259" s="199"/>
      <c r="CW259" s="205"/>
      <c r="CX259" s="132"/>
      <c r="CY259" s="132"/>
      <c r="CZ259" s="132"/>
      <c r="DA259" s="132"/>
      <c r="DB259" s="132"/>
      <c r="DC259" s="132"/>
      <c r="DD259" s="132"/>
      <c r="DE259" s="103"/>
      <c r="DF259" s="103"/>
      <c r="DG259" s="103"/>
      <c r="DH259" s="103"/>
      <c r="DI259" s="103"/>
      <c r="DJ259" s="103"/>
      <c r="DK259" s="130"/>
      <c r="DL259" s="130"/>
      <c r="DM259" s="130"/>
      <c r="DN259" s="132"/>
      <c r="DO259" s="132"/>
    </row>
    <row r="260" ht="26.25" customHeight="1" spans="1:119">
      <c r="A260" s="131">
        <v>44019</v>
      </c>
      <c r="B260" s="234" t="s">
        <v>13385</v>
      </c>
      <c r="C260" s="134">
        <v>4500033726</v>
      </c>
      <c r="D260" s="215" t="s">
        <v>13471</v>
      </c>
      <c r="E260" s="221" t="s">
        <v>13315</v>
      </c>
      <c r="F260" s="136">
        <v>9201</v>
      </c>
      <c r="G260" s="137" t="s">
        <v>13182</v>
      </c>
      <c r="H260" s="132">
        <v>10</v>
      </c>
      <c r="I260" s="132"/>
      <c r="J260" s="132"/>
      <c r="K260" s="132"/>
      <c r="L260" s="139"/>
      <c r="M260" s="140"/>
      <c r="N260" s="141"/>
      <c r="O260" s="141"/>
      <c r="P260" s="142"/>
      <c r="Q260" s="141"/>
      <c r="R260" s="141"/>
      <c r="S260" s="141"/>
      <c r="T260" s="141"/>
      <c r="U260" s="142"/>
      <c r="V260" s="227"/>
      <c r="W260" s="236">
        <v>10</v>
      </c>
      <c r="X260" s="236"/>
      <c r="Y260" s="236"/>
      <c r="Z260" s="236"/>
      <c r="AA260" s="236"/>
      <c r="AB260" s="236">
        <v>10</v>
      </c>
      <c r="AC260" s="236"/>
      <c r="AD260" s="236"/>
      <c r="AE260" s="236"/>
      <c r="AF260" s="236"/>
      <c r="AG260" s="238"/>
      <c r="AH260" s="229"/>
      <c r="AI260" s="229"/>
      <c r="AJ260" s="229"/>
      <c r="AK260" s="229"/>
      <c r="AL260" s="229"/>
      <c r="AM260" s="229"/>
      <c r="AN260" s="229"/>
      <c r="AO260" s="229"/>
      <c r="AP260" s="229"/>
      <c r="AQ260" s="229"/>
      <c r="AR260" s="229"/>
      <c r="AS260" s="229"/>
      <c r="AT260" s="229"/>
      <c r="AU260" s="229"/>
      <c r="AV260" s="229"/>
      <c r="AW260" s="229"/>
      <c r="AX260" s="229"/>
      <c r="AY260" s="229"/>
      <c r="AZ260" s="229"/>
      <c r="BA260" s="229"/>
      <c r="BB260" s="229"/>
      <c r="BC260" s="229"/>
      <c r="BD260" s="229"/>
      <c r="BE260" s="227"/>
      <c r="BF260" s="227"/>
      <c r="BG260" s="227"/>
      <c r="BH260" s="227"/>
      <c r="BI260" s="133"/>
      <c r="BJ260" s="202"/>
      <c r="BK260" s="202">
        <v>2</v>
      </c>
      <c r="BL260" s="202">
        <v>2</v>
      </c>
      <c r="BM260" s="202">
        <v>2</v>
      </c>
      <c r="BN260" s="202"/>
      <c r="BO260" s="202"/>
      <c r="BP260" s="202"/>
      <c r="BQ260" s="202">
        <v>2</v>
      </c>
      <c r="BR260" s="202"/>
      <c r="BS260" s="202"/>
      <c r="BT260" s="202"/>
      <c r="BU260" s="202">
        <v>2</v>
      </c>
      <c r="BV260" s="202"/>
      <c r="BW260" s="202"/>
      <c r="BX260" s="202"/>
      <c r="BY260" s="202"/>
      <c r="BZ260" s="202"/>
      <c r="CA260" s="202"/>
      <c r="CB260" s="202"/>
      <c r="CC260" s="202"/>
      <c r="CD260" s="202"/>
      <c r="CE260" s="202"/>
      <c r="CF260" s="202"/>
      <c r="CG260" s="202"/>
      <c r="CH260" s="202"/>
      <c r="CI260" s="121"/>
      <c r="CJ260" s="121"/>
      <c r="CK260" s="121"/>
      <c r="CL260" s="121"/>
      <c r="CM260" s="121"/>
      <c r="CN260" s="121"/>
      <c r="CO260" s="121"/>
      <c r="CP260" s="121"/>
      <c r="CQ260" s="121"/>
      <c r="CR260" s="121"/>
      <c r="CS260" s="121"/>
      <c r="CT260" s="121"/>
      <c r="CU260" s="199"/>
      <c r="CV260" s="199"/>
      <c r="CW260" s="205"/>
      <c r="CX260" s="132"/>
      <c r="CY260" s="132"/>
      <c r="CZ260" s="132"/>
      <c r="DA260" s="132"/>
      <c r="DB260" s="132"/>
      <c r="DC260" s="132"/>
      <c r="DD260" s="132"/>
      <c r="DE260" s="103"/>
      <c r="DF260" s="103"/>
      <c r="DG260" s="103"/>
      <c r="DH260" s="103"/>
      <c r="DI260" s="103"/>
      <c r="DJ260" s="103"/>
      <c r="DK260" s="130"/>
      <c r="DL260" s="130"/>
      <c r="DM260" s="130"/>
      <c r="DN260" s="132"/>
      <c r="DO260" s="132"/>
    </row>
    <row r="261" ht="26.25" customHeight="1" spans="1:119">
      <c r="A261" s="131">
        <v>44019</v>
      </c>
      <c r="B261" s="234" t="s">
        <v>13385</v>
      </c>
      <c r="C261" s="134">
        <v>4500029807</v>
      </c>
      <c r="D261" s="215" t="s">
        <v>13471</v>
      </c>
      <c r="E261" s="221" t="s">
        <v>13315</v>
      </c>
      <c r="F261" s="136">
        <v>9209</v>
      </c>
      <c r="G261" s="137" t="s">
        <v>13473</v>
      </c>
      <c r="H261" s="132">
        <v>6</v>
      </c>
      <c r="I261" s="132"/>
      <c r="J261" s="132"/>
      <c r="K261" s="132"/>
      <c r="L261" s="139"/>
      <c r="M261" s="140"/>
      <c r="N261" s="141"/>
      <c r="O261" s="141"/>
      <c r="P261" s="142"/>
      <c r="Q261" s="141"/>
      <c r="R261" s="141"/>
      <c r="S261" s="141"/>
      <c r="T261" s="141"/>
      <c r="U261" s="142"/>
      <c r="V261" s="227"/>
      <c r="W261" s="236"/>
      <c r="X261" s="236"/>
      <c r="Y261" s="236"/>
      <c r="Z261" s="236"/>
      <c r="AA261" s="236"/>
      <c r="AB261" s="236"/>
      <c r="AC261" s="236"/>
      <c r="AD261" s="236"/>
      <c r="AE261" s="236"/>
      <c r="AF261" s="236"/>
      <c r="AG261" s="238"/>
      <c r="AH261" s="229"/>
      <c r="AI261" s="229"/>
      <c r="AJ261" s="229"/>
      <c r="AK261" s="229"/>
      <c r="AL261" s="229"/>
      <c r="AM261" s="229"/>
      <c r="AN261" s="229"/>
      <c r="AO261" s="229"/>
      <c r="AP261" s="229"/>
      <c r="AQ261" s="229"/>
      <c r="AR261" s="229"/>
      <c r="AS261" s="229"/>
      <c r="AT261" s="229"/>
      <c r="AU261" s="229"/>
      <c r="AV261" s="229"/>
      <c r="AW261" s="229"/>
      <c r="AX261" s="229"/>
      <c r="AY261" s="229"/>
      <c r="AZ261" s="229"/>
      <c r="BA261" s="229"/>
      <c r="BB261" s="229"/>
      <c r="BC261" s="229"/>
      <c r="BD261" s="229"/>
      <c r="BE261" s="227"/>
      <c r="BF261" s="227"/>
      <c r="BG261" s="230">
        <v>6</v>
      </c>
      <c r="BH261" s="230">
        <v>6</v>
      </c>
      <c r="BI261" s="133"/>
      <c r="BJ261" s="202"/>
      <c r="BK261" s="202"/>
      <c r="BL261" s="202"/>
      <c r="BM261" s="202"/>
      <c r="BN261" s="202"/>
      <c r="BO261" s="202"/>
      <c r="BP261" s="202"/>
      <c r="BQ261" s="202"/>
      <c r="BR261" s="202"/>
      <c r="BS261" s="202"/>
      <c r="BT261" s="202"/>
      <c r="BU261" s="202"/>
      <c r="BV261" s="202"/>
      <c r="BW261" s="202"/>
      <c r="BX261" s="202"/>
      <c r="BY261" s="202"/>
      <c r="BZ261" s="202"/>
      <c r="CA261" s="202"/>
      <c r="CB261" s="202"/>
      <c r="CC261" s="202"/>
      <c r="CD261" s="202"/>
      <c r="CE261" s="202"/>
      <c r="CF261" s="202"/>
      <c r="CG261" s="202"/>
      <c r="CH261" s="202"/>
      <c r="CI261" s="121"/>
      <c r="CJ261" s="121"/>
      <c r="CK261" s="121"/>
      <c r="CL261" s="121"/>
      <c r="CM261" s="121"/>
      <c r="CN261" s="121"/>
      <c r="CO261" s="121"/>
      <c r="CP261" s="121"/>
      <c r="CQ261" s="121"/>
      <c r="CR261" s="121"/>
      <c r="CS261" s="121"/>
      <c r="CT261" s="121"/>
      <c r="CU261" s="199">
        <v>2</v>
      </c>
      <c r="CV261" s="199">
        <v>2</v>
      </c>
      <c r="CW261" s="205">
        <v>2</v>
      </c>
      <c r="CX261" s="132"/>
      <c r="CY261" s="132"/>
      <c r="CZ261" s="132"/>
      <c r="DA261" s="132"/>
      <c r="DB261" s="132"/>
      <c r="DC261" s="132"/>
      <c r="DD261" s="132"/>
      <c r="DE261" s="103"/>
      <c r="DF261" s="103"/>
      <c r="DG261" s="103"/>
      <c r="DH261" s="103"/>
      <c r="DI261" s="103"/>
      <c r="DJ261" s="103"/>
      <c r="DK261" s="130"/>
      <c r="DL261" s="130"/>
      <c r="DM261" s="130"/>
      <c r="DN261" s="132"/>
      <c r="DO261" s="132"/>
    </row>
    <row r="262" ht="26.25" customHeight="1" spans="1:119">
      <c r="A262" s="131">
        <v>44020</v>
      </c>
      <c r="B262" s="99" t="s">
        <v>13474</v>
      </c>
      <c r="C262" s="134">
        <v>4500033424</v>
      </c>
      <c r="D262" s="215" t="s">
        <v>13475</v>
      </c>
      <c r="E262" s="221" t="s">
        <v>13322</v>
      </c>
      <c r="F262" s="136" t="s">
        <v>13414</v>
      </c>
      <c r="G262" s="137" t="s">
        <v>13410</v>
      </c>
      <c r="H262" s="132">
        <v>7</v>
      </c>
      <c r="I262" s="132"/>
      <c r="J262" s="132"/>
      <c r="K262" s="132"/>
      <c r="L262" s="139"/>
      <c r="M262" s="140"/>
      <c r="N262" s="141"/>
      <c r="O262" s="141"/>
      <c r="P262" s="142"/>
      <c r="Q262" s="141"/>
      <c r="R262" s="141"/>
      <c r="S262" s="141"/>
      <c r="T262" s="141"/>
      <c r="U262" s="142"/>
      <c r="V262" s="227"/>
      <c r="W262" s="236"/>
      <c r="X262" s="236"/>
      <c r="Y262" s="236"/>
      <c r="Z262" s="236"/>
      <c r="AA262" s="236"/>
      <c r="AB262" s="236"/>
      <c r="AC262" s="236"/>
      <c r="AD262" s="236"/>
      <c r="AE262" s="236"/>
      <c r="AF262" s="236"/>
      <c r="AG262" s="238"/>
      <c r="AH262" s="229"/>
      <c r="AI262" s="229"/>
      <c r="AJ262" s="229"/>
      <c r="AK262" s="229"/>
      <c r="AL262" s="229"/>
      <c r="AM262" s="229"/>
      <c r="AN262" s="229"/>
      <c r="AO262" s="229"/>
      <c r="AP262" s="229"/>
      <c r="AQ262" s="229"/>
      <c r="AR262" s="229"/>
      <c r="AS262" s="229"/>
      <c r="AT262" s="229"/>
      <c r="AU262" s="229"/>
      <c r="AV262" s="229"/>
      <c r="AW262" s="229"/>
      <c r="AX262" s="229"/>
      <c r="AY262" s="229"/>
      <c r="AZ262" s="229"/>
      <c r="BA262" s="229"/>
      <c r="BB262" s="229"/>
      <c r="BC262" s="229"/>
      <c r="BD262" s="229"/>
      <c r="BE262" s="227"/>
      <c r="BF262" s="227"/>
      <c r="BG262" s="227"/>
      <c r="BH262" s="227"/>
      <c r="BI262" s="133"/>
      <c r="BJ262" s="202"/>
      <c r="BK262" s="202"/>
      <c r="BL262" s="202"/>
      <c r="BM262" s="202"/>
      <c r="BN262" s="202"/>
      <c r="BO262" s="202"/>
      <c r="BP262" s="202"/>
      <c r="BQ262" s="202"/>
      <c r="BR262" s="202"/>
      <c r="BS262" s="202"/>
      <c r="BT262" s="202"/>
      <c r="BU262" s="202"/>
      <c r="BV262" s="202"/>
      <c r="BW262" s="202"/>
      <c r="BX262" s="202"/>
      <c r="BY262" s="202"/>
      <c r="BZ262" s="202"/>
      <c r="CA262" s="202"/>
      <c r="CB262" s="202"/>
      <c r="CC262" s="202"/>
      <c r="CD262" s="202"/>
      <c r="CE262" s="202"/>
      <c r="CF262" s="202"/>
      <c r="CG262" s="202"/>
      <c r="CH262" s="202"/>
      <c r="CI262" s="121"/>
      <c r="CJ262" s="121"/>
      <c r="CK262" s="121"/>
      <c r="CL262" s="121"/>
      <c r="CM262" s="121"/>
      <c r="CN262" s="121"/>
      <c r="CO262" s="121"/>
      <c r="CP262" s="121"/>
      <c r="CQ262" s="121"/>
      <c r="CR262" s="121"/>
      <c r="CS262" s="121"/>
      <c r="CT262" s="121"/>
      <c r="CU262" s="199"/>
      <c r="CV262" s="199"/>
      <c r="CW262" s="205"/>
      <c r="CX262" s="132">
        <v>1</v>
      </c>
      <c r="CY262" s="132">
        <v>1</v>
      </c>
      <c r="CZ262" s="132">
        <v>1</v>
      </c>
      <c r="DA262" s="132">
        <v>1</v>
      </c>
      <c r="DB262" s="132">
        <v>1</v>
      </c>
      <c r="DC262" s="132">
        <v>1</v>
      </c>
      <c r="DD262" s="132">
        <v>1</v>
      </c>
      <c r="DE262" s="103"/>
      <c r="DF262" s="103"/>
      <c r="DG262" s="103"/>
      <c r="DH262" s="103"/>
      <c r="DI262" s="103"/>
      <c r="DJ262" s="103"/>
      <c r="DK262" s="130"/>
      <c r="DL262" s="130"/>
      <c r="DM262" s="130"/>
      <c r="DN262" s="132"/>
      <c r="DO262" s="132"/>
    </row>
    <row r="263" ht="26.25" customHeight="1" spans="1:119">
      <c r="A263" s="131">
        <v>44020</v>
      </c>
      <c r="B263" s="99" t="s">
        <v>6785</v>
      </c>
      <c r="C263" s="134" t="s">
        <v>13476</v>
      </c>
      <c r="D263" s="215" t="s">
        <v>13477</v>
      </c>
      <c r="E263" s="221" t="s">
        <v>13322</v>
      </c>
      <c r="F263" s="136">
        <v>9215</v>
      </c>
      <c r="G263" s="137" t="s">
        <v>13410</v>
      </c>
      <c r="H263" s="132">
        <v>6</v>
      </c>
      <c r="I263" s="132"/>
      <c r="J263" s="132"/>
      <c r="K263" s="132"/>
      <c r="L263" s="139"/>
      <c r="M263" s="140"/>
      <c r="N263" s="141"/>
      <c r="O263" s="141"/>
      <c r="P263" s="142"/>
      <c r="Q263" s="141"/>
      <c r="R263" s="141"/>
      <c r="S263" s="141"/>
      <c r="T263" s="141"/>
      <c r="U263" s="142"/>
      <c r="V263" s="227"/>
      <c r="W263" s="236"/>
      <c r="X263" s="236"/>
      <c r="Y263" s="236"/>
      <c r="Z263" s="236"/>
      <c r="AA263" s="236"/>
      <c r="AB263" s="236"/>
      <c r="AC263" s="236"/>
      <c r="AD263" s="236"/>
      <c r="AE263" s="236"/>
      <c r="AF263" s="236"/>
      <c r="AG263" s="238"/>
      <c r="AH263" s="229"/>
      <c r="AI263" s="229"/>
      <c r="AJ263" s="229"/>
      <c r="AK263" s="229"/>
      <c r="AL263" s="229"/>
      <c r="AM263" s="229"/>
      <c r="AN263" s="229"/>
      <c r="AO263" s="229"/>
      <c r="AP263" s="229"/>
      <c r="AQ263" s="229"/>
      <c r="AR263" s="229"/>
      <c r="AS263" s="229"/>
      <c r="AT263" s="229"/>
      <c r="AU263" s="229"/>
      <c r="AV263" s="229"/>
      <c r="AW263" s="229"/>
      <c r="AX263" s="229"/>
      <c r="AY263" s="229"/>
      <c r="AZ263" s="229"/>
      <c r="BA263" s="229"/>
      <c r="BB263" s="229"/>
      <c r="BC263" s="229"/>
      <c r="BD263" s="229"/>
      <c r="BE263" s="227"/>
      <c r="BF263" s="227"/>
      <c r="BG263" s="227"/>
      <c r="BH263" s="227"/>
      <c r="BI263" s="133"/>
      <c r="BJ263" s="202"/>
      <c r="BK263" s="202"/>
      <c r="BL263" s="202"/>
      <c r="BM263" s="202"/>
      <c r="BN263" s="202"/>
      <c r="BO263" s="202"/>
      <c r="BP263" s="202"/>
      <c r="BQ263" s="202"/>
      <c r="BR263" s="202"/>
      <c r="BS263" s="202"/>
      <c r="BT263" s="202"/>
      <c r="BU263" s="202"/>
      <c r="BV263" s="202"/>
      <c r="BW263" s="202"/>
      <c r="BX263" s="202"/>
      <c r="BY263" s="202"/>
      <c r="BZ263" s="202"/>
      <c r="CA263" s="202"/>
      <c r="CB263" s="202"/>
      <c r="CC263" s="202"/>
      <c r="CD263" s="202"/>
      <c r="CE263" s="202"/>
      <c r="CF263" s="202"/>
      <c r="CG263" s="202"/>
      <c r="CH263" s="202"/>
      <c r="CI263" s="121"/>
      <c r="CJ263" s="121"/>
      <c r="CK263" s="121"/>
      <c r="CL263" s="121"/>
      <c r="CM263" s="121"/>
      <c r="CN263" s="121"/>
      <c r="CO263" s="121"/>
      <c r="CP263" s="121"/>
      <c r="CQ263" s="121"/>
      <c r="CR263" s="121"/>
      <c r="CS263" s="121"/>
      <c r="CT263" s="121"/>
      <c r="CU263" s="199"/>
      <c r="CV263" s="199"/>
      <c r="CW263" s="205"/>
      <c r="CX263" s="132"/>
      <c r="CY263" s="132">
        <v>1</v>
      </c>
      <c r="CZ263" s="132">
        <v>1</v>
      </c>
      <c r="DA263" s="132">
        <v>1</v>
      </c>
      <c r="DB263" s="132">
        <v>1</v>
      </c>
      <c r="DC263" s="132">
        <v>1</v>
      </c>
      <c r="DD263" s="132">
        <v>1</v>
      </c>
      <c r="DE263" s="103"/>
      <c r="DF263" s="103"/>
      <c r="DG263" s="103"/>
      <c r="DH263" s="103"/>
      <c r="DI263" s="103"/>
      <c r="DJ263" s="103"/>
      <c r="DK263" s="130"/>
      <c r="DL263" s="130"/>
      <c r="DM263" s="130"/>
      <c r="DN263" s="132"/>
      <c r="DO263" s="132"/>
    </row>
    <row r="264" ht="26.25" customHeight="1" spans="1:119">
      <c r="A264" s="131">
        <v>44020</v>
      </c>
      <c r="B264" s="99" t="s">
        <v>6785</v>
      </c>
      <c r="C264" s="134" t="s">
        <v>13476</v>
      </c>
      <c r="D264" s="215" t="s">
        <v>13477</v>
      </c>
      <c r="E264" s="221" t="s">
        <v>13322</v>
      </c>
      <c r="F264" s="136">
        <v>9235</v>
      </c>
      <c r="G264" s="137" t="s">
        <v>13177</v>
      </c>
      <c r="H264" s="132">
        <v>2</v>
      </c>
      <c r="I264" s="132"/>
      <c r="J264" s="132"/>
      <c r="K264" s="132"/>
      <c r="L264" s="139"/>
      <c r="M264" s="140"/>
      <c r="N264" s="141"/>
      <c r="O264" s="141"/>
      <c r="P264" s="142"/>
      <c r="Q264" s="141"/>
      <c r="R264" s="141"/>
      <c r="S264" s="141"/>
      <c r="T264" s="141"/>
      <c r="U264" s="142"/>
      <c r="V264" s="227"/>
      <c r="W264" s="236"/>
      <c r="X264" s="236"/>
      <c r="Y264" s="236"/>
      <c r="Z264" s="236"/>
      <c r="AA264" s="236"/>
      <c r="AB264" s="236"/>
      <c r="AC264" s="236"/>
      <c r="AD264" s="236"/>
      <c r="AE264" s="236"/>
      <c r="AF264" s="236"/>
      <c r="AG264" s="238"/>
      <c r="AH264" s="229"/>
      <c r="AI264" s="229"/>
      <c r="AJ264" s="229"/>
      <c r="AK264" s="229"/>
      <c r="AL264" s="229"/>
      <c r="AM264" s="229"/>
      <c r="AN264" s="229"/>
      <c r="AO264" s="229"/>
      <c r="AP264" s="229"/>
      <c r="AQ264" s="229"/>
      <c r="AR264" s="229"/>
      <c r="AS264" s="229"/>
      <c r="AT264" s="229"/>
      <c r="AU264" s="229"/>
      <c r="AV264" s="229"/>
      <c r="AW264" s="229"/>
      <c r="AX264" s="229"/>
      <c r="AY264" s="229"/>
      <c r="AZ264" s="229"/>
      <c r="BA264" s="229"/>
      <c r="BB264" s="229"/>
      <c r="BC264" s="229"/>
      <c r="BD264" s="229"/>
      <c r="BE264" s="227"/>
      <c r="BF264" s="227"/>
      <c r="BG264" s="227"/>
      <c r="BH264" s="227"/>
      <c r="BI264" s="133"/>
      <c r="BJ264" s="202"/>
      <c r="BK264" s="202"/>
      <c r="BL264" s="202"/>
      <c r="BM264" s="202"/>
      <c r="BN264" s="202"/>
      <c r="BO264" s="202"/>
      <c r="BP264" s="202"/>
      <c r="BQ264" s="202"/>
      <c r="BR264" s="202"/>
      <c r="BS264" s="202"/>
      <c r="BT264" s="202"/>
      <c r="BU264" s="202"/>
      <c r="BV264" s="202"/>
      <c r="BW264" s="202"/>
      <c r="BX264" s="202"/>
      <c r="BY264" s="202"/>
      <c r="BZ264" s="202"/>
      <c r="CA264" s="202"/>
      <c r="CB264" s="202"/>
      <c r="CC264" s="202"/>
      <c r="CD264" s="202"/>
      <c r="CE264" s="202"/>
      <c r="CF264" s="202"/>
      <c r="CG264" s="202"/>
      <c r="CH264" s="202"/>
      <c r="CI264" s="121"/>
      <c r="CJ264" s="121"/>
      <c r="CK264" s="121"/>
      <c r="CL264" s="121"/>
      <c r="CM264" s="121"/>
      <c r="CN264" s="121"/>
      <c r="CO264" s="121"/>
      <c r="CP264" s="121"/>
      <c r="CQ264" s="121"/>
      <c r="CR264" s="121"/>
      <c r="CS264" s="121"/>
      <c r="CT264" s="121"/>
      <c r="CU264" s="199"/>
      <c r="CV264" s="199"/>
      <c r="CW264" s="205"/>
      <c r="CX264" s="132"/>
      <c r="CY264" s="132"/>
      <c r="CZ264" s="132"/>
      <c r="DA264" s="132"/>
      <c r="DB264" s="132"/>
      <c r="DC264" s="132"/>
      <c r="DD264" s="132"/>
      <c r="DE264" s="103"/>
      <c r="DF264" s="103"/>
      <c r="DG264" s="103"/>
      <c r="DH264" s="103"/>
      <c r="DI264" s="103"/>
      <c r="DJ264" s="103"/>
      <c r="DK264" s="130"/>
      <c r="DL264" s="130"/>
      <c r="DM264" s="130"/>
      <c r="DN264" s="132">
        <v>2</v>
      </c>
      <c r="DO264" s="132"/>
    </row>
    <row r="265" ht="26.25" customHeight="1" spans="1:119">
      <c r="A265" s="131">
        <v>44021</v>
      </c>
      <c r="B265" s="99" t="s">
        <v>1199</v>
      </c>
      <c r="C265" s="215">
        <v>4500028049</v>
      </c>
      <c r="D265" s="215" t="s">
        <v>13440</v>
      </c>
      <c r="E265" s="206" t="s">
        <v>13315</v>
      </c>
      <c r="F265" s="136">
        <v>9201</v>
      </c>
      <c r="G265" s="137" t="s">
        <v>13182</v>
      </c>
      <c r="H265" s="132">
        <v>2</v>
      </c>
      <c r="I265" s="132"/>
      <c r="J265" s="132"/>
      <c r="K265" s="132"/>
      <c r="L265" s="139"/>
      <c r="M265" s="140"/>
      <c r="N265" s="141"/>
      <c r="O265" s="141"/>
      <c r="P265" s="142"/>
      <c r="Q265" s="141"/>
      <c r="R265" s="141"/>
      <c r="S265" s="141"/>
      <c r="T265" s="141"/>
      <c r="U265" s="142"/>
      <c r="V265" s="227"/>
      <c r="W265" s="236">
        <v>2</v>
      </c>
      <c r="X265" s="236"/>
      <c r="Y265" s="236"/>
      <c r="Z265" s="236"/>
      <c r="AA265" s="236"/>
      <c r="AB265" s="236">
        <v>2</v>
      </c>
      <c r="AC265" s="236"/>
      <c r="AD265" s="236"/>
      <c r="AE265" s="236"/>
      <c r="AF265" s="236"/>
      <c r="AG265" s="238"/>
      <c r="AH265" s="229"/>
      <c r="AI265" s="229"/>
      <c r="AJ265" s="229"/>
      <c r="AK265" s="229"/>
      <c r="AL265" s="229"/>
      <c r="AM265" s="229"/>
      <c r="AN265" s="229"/>
      <c r="AO265" s="229"/>
      <c r="AP265" s="229"/>
      <c r="AQ265" s="229"/>
      <c r="AR265" s="229"/>
      <c r="AS265" s="229"/>
      <c r="AT265" s="229"/>
      <c r="AU265" s="229"/>
      <c r="AV265" s="229"/>
      <c r="AW265" s="229"/>
      <c r="AX265" s="229"/>
      <c r="AY265" s="229"/>
      <c r="AZ265" s="229"/>
      <c r="BA265" s="229"/>
      <c r="BB265" s="229"/>
      <c r="BC265" s="229"/>
      <c r="BD265" s="229"/>
      <c r="BE265" s="227"/>
      <c r="BF265" s="227"/>
      <c r="BG265" s="227"/>
      <c r="BH265" s="227"/>
      <c r="BI265" s="133"/>
      <c r="BJ265" s="202"/>
      <c r="BK265" s="202"/>
      <c r="BL265" s="202"/>
      <c r="BM265" s="202"/>
      <c r="BN265" s="202"/>
      <c r="BO265" s="202"/>
      <c r="BP265" s="202"/>
      <c r="BQ265" s="202">
        <v>2</v>
      </c>
      <c r="BR265" s="202"/>
      <c r="BS265" s="202"/>
      <c r="BT265" s="202"/>
      <c r="BU265" s="202"/>
      <c r="BV265" s="202"/>
      <c r="BW265" s="202"/>
      <c r="BX265" s="202"/>
      <c r="BY265" s="202"/>
      <c r="BZ265" s="202"/>
      <c r="CA265" s="202"/>
      <c r="CB265" s="202"/>
      <c r="CC265" s="202"/>
      <c r="CD265" s="202"/>
      <c r="CE265" s="202"/>
      <c r="CF265" s="202"/>
      <c r="CG265" s="202"/>
      <c r="CH265" s="202"/>
      <c r="CI265" s="121"/>
      <c r="CJ265" s="121"/>
      <c r="CK265" s="121"/>
      <c r="CL265" s="121"/>
      <c r="CM265" s="121"/>
      <c r="CN265" s="121"/>
      <c r="CO265" s="121"/>
      <c r="CP265" s="121"/>
      <c r="CQ265" s="121"/>
      <c r="CR265" s="121"/>
      <c r="CS265" s="121"/>
      <c r="CT265" s="121"/>
      <c r="CU265" s="199"/>
      <c r="CV265" s="199"/>
      <c r="CW265" s="205"/>
      <c r="CX265" s="132"/>
      <c r="CY265" s="132"/>
      <c r="CZ265" s="132"/>
      <c r="DA265" s="132"/>
      <c r="DB265" s="132"/>
      <c r="DC265" s="132"/>
      <c r="DD265" s="132"/>
      <c r="DE265" s="103"/>
      <c r="DF265" s="103"/>
      <c r="DG265" s="103"/>
      <c r="DH265" s="103"/>
      <c r="DI265" s="103"/>
      <c r="DJ265" s="103"/>
      <c r="DK265" s="130"/>
      <c r="DL265" s="130"/>
      <c r="DM265" s="130"/>
      <c r="DN265" s="132"/>
      <c r="DO265" s="132"/>
    </row>
    <row r="266" ht="26.25" customHeight="1" spans="1:119">
      <c r="A266" s="131">
        <v>44021</v>
      </c>
      <c r="B266" s="99" t="s">
        <v>1199</v>
      </c>
      <c r="C266" s="215"/>
      <c r="D266" s="215"/>
      <c r="E266" s="206" t="s">
        <v>13315</v>
      </c>
      <c r="F266" s="136">
        <v>9208</v>
      </c>
      <c r="G266" s="137" t="s">
        <v>13439</v>
      </c>
      <c r="H266" s="132">
        <v>2</v>
      </c>
      <c r="I266" s="132"/>
      <c r="J266" s="132"/>
      <c r="K266" s="132"/>
      <c r="L266" s="139"/>
      <c r="M266" s="140"/>
      <c r="N266" s="141"/>
      <c r="O266" s="141"/>
      <c r="P266" s="142"/>
      <c r="Q266" s="141"/>
      <c r="R266" s="141"/>
      <c r="S266" s="141"/>
      <c r="T266" s="141"/>
      <c r="U266" s="142"/>
      <c r="V266" s="227"/>
      <c r="W266" s="236"/>
      <c r="X266" s="236"/>
      <c r="Y266" s="236"/>
      <c r="Z266" s="236"/>
      <c r="AA266" s="236"/>
      <c r="AB266" s="236"/>
      <c r="AC266" s="236"/>
      <c r="AD266" s="236"/>
      <c r="AE266" s="236"/>
      <c r="AF266" s="236"/>
      <c r="AG266" s="238"/>
      <c r="AH266" s="229"/>
      <c r="AI266" s="229"/>
      <c r="AJ266" s="229"/>
      <c r="AK266" s="229"/>
      <c r="AL266" s="229"/>
      <c r="AM266" s="229"/>
      <c r="AN266" s="229"/>
      <c r="AO266" s="229"/>
      <c r="AP266" s="229"/>
      <c r="AQ266" s="229"/>
      <c r="AR266" s="229"/>
      <c r="AS266" s="229"/>
      <c r="AT266" s="229"/>
      <c r="AU266" s="229"/>
      <c r="AV266" s="229"/>
      <c r="AW266" s="229"/>
      <c r="AX266" s="229"/>
      <c r="AY266" s="229"/>
      <c r="AZ266" s="229"/>
      <c r="BA266" s="229"/>
      <c r="BB266" s="229"/>
      <c r="BC266" s="229"/>
      <c r="BD266" s="229"/>
      <c r="BE266" s="227"/>
      <c r="BF266" s="227"/>
      <c r="BG266" s="227"/>
      <c r="BH266" s="227"/>
      <c r="BI266" s="133"/>
      <c r="BJ266" s="202"/>
      <c r="BK266" s="202"/>
      <c r="BL266" s="202"/>
      <c r="BM266" s="202"/>
      <c r="BN266" s="202"/>
      <c r="BO266" s="202"/>
      <c r="BP266" s="202"/>
      <c r="BQ266" s="202"/>
      <c r="BR266" s="202"/>
      <c r="BS266" s="202"/>
      <c r="BT266" s="202"/>
      <c r="BU266" s="202"/>
      <c r="BV266" s="202"/>
      <c r="BW266" s="202"/>
      <c r="BX266" s="202"/>
      <c r="BY266" s="202"/>
      <c r="BZ266" s="202"/>
      <c r="CA266" s="202"/>
      <c r="CB266" s="202"/>
      <c r="CC266" s="202"/>
      <c r="CD266" s="202"/>
      <c r="CE266" s="202"/>
      <c r="CF266" s="202"/>
      <c r="CG266" s="202"/>
      <c r="CH266" s="202"/>
      <c r="CI266" s="121"/>
      <c r="CJ266" s="121"/>
      <c r="CK266" s="121"/>
      <c r="CL266" s="121"/>
      <c r="CM266" s="121"/>
      <c r="CN266" s="121"/>
      <c r="CO266" s="121"/>
      <c r="CP266" s="121"/>
      <c r="CQ266" s="121"/>
      <c r="CR266" s="121"/>
      <c r="CS266" s="121"/>
      <c r="CT266" s="121"/>
      <c r="CU266" s="199"/>
      <c r="CV266" s="199"/>
      <c r="CW266" s="205"/>
      <c r="CX266" s="132"/>
      <c r="CY266" s="132"/>
      <c r="CZ266" s="132"/>
      <c r="DA266" s="132"/>
      <c r="DB266" s="132"/>
      <c r="DC266" s="132"/>
      <c r="DD266" s="132"/>
      <c r="DE266" s="103"/>
      <c r="DF266" s="103"/>
      <c r="DG266" s="103"/>
      <c r="DH266" s="103"/>
      <c r="DI266" s="103"/>
      <c r="DJ266" s="103"/>
      <c r="DK266" s="130"/>
      <c r="DL266" s="130"/>
      <c r="DM266" s="130"/>
      <c r="DN266" s="132"/>
      <c r="DO266" s="132">
        <v>2</v>
      </c>
    </row>
    <row r="267" ht="26.25" customHeight="1" spans="1:119">
      <c r="A267" s="131">
        <v>44022</v>
      </c>
      <c r="B267" s="99" t="s">
        <v>13346</v>
      </c>
      <c r="C267" s="134">
        <v>4500033934</v>
      </c>
      <c r="D267" s="215" t="s">
        <v>13478</v>
      </c>
      <c r="E267" s="206" t="s">
        <v>13322</v>
      </c>
      <c r="F267" s="136">
        <v>9207</v>
      </c>
      <c r="G267" s="137" t="s">
        <v>13447</v>
      </c>
      <c r="H267" s="132">
        <v>3</v>
      </c>
      <c r="I267" s="132"/>
      <c r="J267" s="132"/>
      <c r="K267" s="132"/>
      <c r="L267" s="139"/>
      <c r="M267" s="140"/>
      <c r="N267" s="141"/>
      <c r="O267" s="141"/>
      <c r="P267" s="142"/>
      <c r="Q267" s="141"/>
      <c r="R267" s="141"/>
      <c r="S267" s="141"/>
      <c r="T267" s="141"/>
      <c r="U267" s="142"/>
      <c r="V267" s="227"/>
      <c r="W267" s="236"/>
      <c r="X267" s="236"/>
      <c r="Y267" s="236"/>
      <c r="Z267" s="236"/>
      <c r="AA267" s="236"/>
      <c r="AB267" s="236"/>
      <c r="AC267" s="236"/>
      <c r="AD267" s="236"/>
      <c r="AE267" s="236"/>
      <c r="AF267" s="236"/>
      <c r="AG267" s="238"/>
      <c r="AH267" s="229"/>
      <c r="AI267" s="229"/>
      <c r="AJ267" s="229"/>
      <c r="AK267" s="229"/>
      <c r="AL267" s="229"/>
      <c r="AM267" s="229"/>
      <c r="AN267" s="229"/>
      <c r="AO267" s="229"/>
      <c r="AP267" s="229"/>
      <c r="AQ267" s="229"/>
      <c r="AR267" s="229"/>
      <c r="AS267" s="229"/>
      <c r="AT267" s="229"/>
      <c r="AU267" s="229"/>
      <c r="AV267" s="229"/>
      <c r="AW267" s="229"/>
      <c r="AX267" s="229"/>
      <c r="AY267" s="229"/>
      <c r="AZ267" s="229"/>
      <c r="BA267" s="229"/>
      <c r="BB267" s="229"/>
      <c r="BC267" s="229"/>
      <c r="BD267" s="229"/>
      <c r="BE267" s="227"/>
      <c r="BF267" s="227"/>
      <c r="BG267" s="227"/>
      <c r="BH267" s="227"/>
      <c r="BI267" s="133"/>
      <c r="BJ267" s="202"/>
      <c r="BK267" s="202"/>
      <c r="BL267" s="202"/>
      <c r="BM267" s="202"/>
      <c r="BN267" s="202"/>
      <c r="BO267" s="202"/>
      <c r="BP267" s="202"/>
      <c r="BQ267" s="202"/>
      <c r="BR267" s="202"/>
      <c r="BS267" s="202"/>
      <c r="BT267" s="202"/>
      <c r="BU267" s="202"/>
      <c r="BV267" s="202"/>
      <c r="BW267" s="202"/>
      <c r="BX267" s="202"/>
      <c r="BY267" s="202"/>
      <c r="BZ267" s="202"/>
      <c r="CA267" s="202"/>
      <c r="CB267" s="202"/>
      <c r="CC267" s="202"/>
      <c r="CD267" s="202"/>
      <c r="CE267" s="202"/>
      <c r="CF267" s="202"/>
      <c r="CG267" s="202"/>
      <c r="CH267" s="202"/>
      <c r="CI267" s="121"/>
      <c r="CJ267" s="121"/>
      <c r="CK267" s="121"/>
      <c r="CL267" s="121"/>
      <c r="CM267" s="121"/>
      <c r="CN267" s="121"/>
      <c r="CO267" s="121"/>
      <c r="CP267" s="121"/>
      <c r="CQ267" s="121"/>
      <c r="CR267" s="121"/>
      <c r="CS267" s="121"/>
      <c r="CT267" s="121"/>
      <c r="CU267" s="199"/>
      <c r="CV267" s="199"/>
      <c r="CW267" s="205"/>
      <c r="CX267" s="132"/>
      <c r="CY267" s="132"/>
      <c r="CZ267" s="132"/>
      <c r="DA267" s="132"/>
      <c r="DB267" s="132"/>
      <c r="DC267" s="132"/>
      <c r="DD267" s="132"/>
      <c r="DE267" s="103"/>
      <c r="DF267" s="103"/>
      <c r="DG267" s="103"/>
      <c r="DH267" s="103"/>
      <c r="DI267" s="103"/>
      <c r="DJ267" s="103"/>
      <c r="DK267" s="130"/>
      <c r="DL267" s="130"/>
      <c r="DM267" s="130"/>
      <c r="DN267" s="132">
        <v>3</v>
      </c>
      <c r="DO267" s="132"/>
    </row>
    <row r="268" ht="26.25" customHeight="1" spans="1:119">
      <c r="A268" s="131">
        <v>44022</v>
      </c>
      <c r="B268" s="99" t="s">
        <v>6785</v>
      </c>
      <c r="C268" s="134" t="s">
        <v>13479</v>
      </c>
      <c r="D268" s="215" t="s">
        <v>13480</v>
      </c>
      <c r="E268" s="206" t="s">
        <v>13322</v>
      </c>
      <c r="F268" s="136">
        <v>9215</v>
      </c>
      <c r="G268" s="137" t="s">
        <v>13410</v>
      </c>
      <c r="H268" s="132">
        <v>6</v>
      </c>
      <c r="I268" s="132"/>
      <c r="J268" s="132"/>
      <c r="K268" s="132"/>
      <c r="L268" s="139"/>
      <c r="M268" s="140"/>
      <c r="N268" s="141"/>
      <c r="O268" s="141"/>
      <c r="P268" s="142"/>
      <c r="Q268" s="141"/>
      <c r="R268" s="141"/>
      <c r="S268" s="141"/>
      <c r="T268" s="141"/>
      <c r="U268" s="142"/>
      <c r="V268" s="227"/>
      <c r="W268" s="236"/>
      <c r="X268" s="236"/>
      <c r="Y268" s="236"/>
      <c r="Z268" s="236"/>
      <c r="AA268" s="236"/>
      <c r="AB268" s="236"/>
      <c r="AC268" s="236"/>
      <c r="AD268" s="236"/>
      <c r="AE268" s="236"/>
      <c r="AF268" s="236"/>
      <c r="AG268" s="238"/>
      <c r="AH268" s="229"/>
      <c r="AI268" s="229"/>
      <c r="AJ268" s="229"/>
      <c r="AK268" s="229"/>
      <c r="AL268" s="229"/>
      <c r="AM268" s="229"/>
      <c r="AN268" s="229"/>
      <c r="AO268" s="229"/>
      <c r="AP268" s="229"/>
      <c r="AQ268" s="229"/>
      <c r="AR268" s="229"/>
      <c r="AS268" s="229"/>
      <c r="AT268" s="229"/>
      <c r="AU268" s="229"/>
      <c r="AV268" s="229"/>
      <c r="AW268" s="229"/>
      <c r="AX268" s="229"/>
      <c r="AY268" s="229"/>
      <c r="AZ268" s="229"/>
      <c r="BA268" s="229"/>
      <c r="BB268" s="229"/>
      <c r="BC268" s="229"/>
      <c r="BD268" s="229"/>
      <c r="BE268" s="227"/>
      <c r="BF268" s="227"/>
      <c r="BG268" s="227"/>
      <c r="BH268" s="227"/>
      <c r="BI268" s="133"/>
      <c r="BJ268" s="202"/>
      <c r="BK268" s="202"/>
      <c r="BL268" s="202"/>
      <c r="BM268" s="202"/>
      <c r="BN268" s="202"/>
      <c r="BO268" s="202"/>
      <c r="BP268" s="202"/>
      <c r="BQ268" s="202"/>
      <c r="BR268" s="202"/>
      <c r="BS268" s="202"/>
      <c r="BT268" s="202"/>
      <c r="BU268" s="202"/>
      <c r="BV268" s="202"/>
      <c r="BW268" s="202"/>
      <c r="BX268" s="202"/>
      <c r="BY268" s="202"/>
      <c r="BZ268" s="202"/>
      <c r="CA268" s="202"/>
      <c r="CB268" s="202"/>
      <c r="CC268" s="202"/>
      <c r="CD268" s="202"/>
      <c r="CE268" s="202"/>
      <c r="CF268" s="202"/>
      <c r="CG268" s="202"/>
      <c r="CH268" s="202"/>
      <c r="CI268" s="121"/>
      <c r="CJ268" s="121"/>
      <c r="CK268" s="121"/>
      <c r="CL268" s="121"/>
      <c r="CM268" s="121"/>
      <c r="CN268" s="121"/>
      <c r="CO268" s="121"/>
      <c r="CP268" s="121"/>
      <c r="CQ268" s="121"/>
      <c r="CR268" s="121"/>
      <c r="CS268" s="121"/>
      <c r="CT268" s="121"/>
      <c r="CU268" s="199"/>
      <c r="CV268" s="199"/>
      <c r="CW268" s="205"/>
      <c r="CX268" s="132"/>
      <c r="CY268" s="132">
        <v>1</v>
      </c>
      <c r="CZ268" s="132">
        <v>1</v>
      </c>
      <c r="DA268" s="132">
        <v>1</v>
      </c>
      <c r="DB268" s="132">
        <v>1</v>
      </c>
      <c r="DC268" s="132">
        <v>1</v>
      </c>
      <c r="DD268" s="132">
        <v>1</v>
      </c>
      <c r="DE268" s="103"/>
      <c r="DF268" s="103"/>
      <c r="DG268" s="103"/>
      <c r="DH268" s="103"/>
      <c r="DI268" s="103"/>
      <c r="DJ268" s="103"/>
      <c r="DK268" s="130"/>
      <c r="DL268" s="130"/>
      <c r="DM268" s="130"/>
      <c r="DN268" s="132"/>
      <c r="DO268" s="132"/>
    </row>
    <row r="269" ht="26.25" customHeight="1" spans="1:119">
      <c r="A269" s="131">
        <v>44023</v>
      </c>
      <c r="B269" s="99" t="s">
        <v>13321</v>
      </c>
      <c r="C269" s="134">
        <v>4500033224</v>
      </c>
      <c r="D269" s="215" t="s">
        <v>13481</v>
      </c>
      <c r="E269" s="206" t="s">
        <v>13315</v>
      </c>
      <c r="F269" s="136">
        <v>9214</v>
      </c>
      <c r="G269" s="137" t="s">
        <v>13276</v>
      </c>
      <c r="H269" s="132">
        <v>6</v>
      </c>
      <c r="I269" s="132"/>
      <c r="J269" s="132"/>
      <c r="K269" s="132"/>
      <c r="L269" s="139"/>
      <c r="M269" s="140"/>
      <c r="N269" s="141"/>
      <c r="O269" s="141"/>
      <c r="P269" s="142"/>
      <c r="Q269" s="141"/>
      <c r="R269" s="141"/>
      <c r="S269" s="141"/>
      <c r="T269" s="141"/>
      <c r="U269" s="142"/>
      <c r="V269" s="227"/>
      <c r="W269" s="236"/>
      <c r="X269" s="236"/>
      <c r="Y269" s="236"/>
      <c r="Z269" s="236"/>
      <c r="AA269" s="236"/>
      <c r="AB269" s="236"/>
      <c r="AC269" s="236"/>
      <c r="AD269" s="236"/>
      <c r="AE269" s="236"/>
      <c r="AF269" s="236"/>
      <c r="AG269" s="238"/>
      <c r="AH269" s="229"/>
      <c r="AI269" s="229"/>
      <c r="AJ269" s="229"/>
      <c r="AK269" s="229"/>
      <c r="AL269" s="229"/>
      <c r="AM269" s="229"/>
      <c r="AN269" s="229"/>
      <c r="AO269" s="229"/>
      <c r="AP269" s="229"/>
      <c r="AQ269" s="229"/>
      <c r="AR269" s="229"/>
      <c r="AS269" s="229"/>
      <c r="AT269" s="229"/>
      <c r="AU269" s="229"/>
      <c r="AV269" s="229"/>
      <c r="AW269" s="229"/>
      <c r="AX269" s="229"/>
      <c r="AY269" s="229"/>
      <c r="AZ269" s="229"/>
      <c r="BA269" s="229"/>
      <c r="BB269" s="229"/>
      <c r="BC269" s="229"/>
      <c r="BD269" s="229"/>
      <c r="BE269" s="227"/>
      <c r="BF269" s="227"/>
      <c r="BG269" s="227"/>
      <c r="BH269" s="227"/>
      <c r="BI269" s="133"/>
      <c r="BJ269" s="202"/>
      <c r="BK269" s="202"/>
      <c r="BL269" s="202"/>
      <c r="BM269" s="202"/>
      <c r="BN269" s="202"/>
      <c r="BO269" s="202"/>
      <c r="BP269" s="202"/>
      <c r="BQ269" s="202"/>
      <c r="BR269" s="202"/>
      <c r="BS269" s="202"/>
      <c r="BT269" s="202"/>
      <c r="BU269" s="202"/>
      <c r="BV269" s="202"/>
      <c r="BW269" s="202"/>
      <c r="BX269" s="202"/>
      <c r="BY269" s="202"/>
      <c r="BZ269" s="202"/>
      <c r="CA269" s="202"/>
      <c r="CB269" s="202"/>
      <c r="CC269" s="202"/>
      <c r="CD269" s="202"/>
      <c r="CE269" s="202"/>
      <c r="CF269" s="202"/>
      <c r="CG269" s="202"/>
      <c r="CH269" s="202"/>
      <c r="CI269" s="121"/>
      <c r="CJ269" s="121"/>
      <c r="CK269" s="121"/>
      <c r="CL269" s="121"/>
      <c r="CM269" s="121"/>
      <c r="CN269" s="121"/>
      <c r="CO269" s="121">
        <v>1</v>
      </c>
      <c r="CP269" s="121">
        <v>1</v>
      </c>
      <c r="CQ269" s="121">
        <v>1</v>
      </c>
      <c r="CR269" s="121">
        <v>1</v>
      </c>
      <c r="CS269" s="121">
        <v>1</v>
      </c>
      <c r="CT269" s="121">
        <v>1</v>
      </c>
      <c r="CU269" s="199"/>
      <c r="CV269" s="199"/>
      <c r="CW269" s="205"/>
      <c r="CX269" s="132"/>
      <c r="CY269" s="132"/>
      <c r="CZ269" s="132"/>
      <c r="DA269" s="132"/>
      <c r="DB269" s="132"/>
      <c r="DC269" s="132"/>
      <c r="DD269" s="132"/>
      <c r="DE269" s="103"/>
      <c r="DF269" s="103"/>
      <c r="DG269" s="103"/>
      <c r="DH269" s="103"/>
      <c r="DI269" s="103"/>
      <c r="DJ269" s="103"/>
      <c r="DK269" s="130"/>
      <c r="DL269" s="130"/>
      <c r="DM269" s="130"/>
      <c r="DN269" s="132"/>
      <c r="DO269" s="132"/>
    </row>
    <row r="270" ht="26.25" customHeight="1" spans="1:119">
      <c r="A270" s="131">
        <v>44023</v>
      </c>
      <c r="B270" s="99" t="s">
        <v>13321</v>
      </c>
      <c r="C270" s="134">
        <v>4500033224</v>
      </c>
      <c r="D270" s="215" t="s">
        <v>13481</v>
      </c>
      <c r="E270" s="206" t="s">
        <v>13315</v>
      </c>
      <c r="F270" s="136">
        <v>9215</v>
      </c>
      <c r="G270" s="137" t="s">
        <v>13410</v>
      </c>
      <c r="H270" s="132">
        <v>7</v>
      </c>
      <c r="I270" s="132"/>
      <c r="J270" s="132"/>
      <c r="K270" s="132"/>
      <c r="L270" s="139"/>
      <c r="M270" s="140"/>
      <c r="N270" s="141"/>
      <c r="O270" s="141"/>
      <c r="P270" s="142"/>
      <c r="Q270" s="141"/>
      <c r="R270" s="141"/>
      <c r="S270" s="141"/>
      <c r="T270" s="141"/>
      <c r="U270" s="142"/>
      <c r="V270" s="227"/>
      <c r="W270" s="236"/>
      <c r="X270" s="236"/>
      <c r="Y270" s="236"/>
      <c r="Z270" s="236"/>
      <c r="AA270" s="236"/>
      <c r="AB270" s="236"/>
      <c r="AC270" s="236"/>
      <c r="AD270" s="236"/>
      <c r="AE270" s="236"/>
      <c r="AF270" s="236"/>
      <c r="AG270" s="238"/>
      <c r="AH270" s="229"/>
      <c r="AI270" s="229"/>
      <c r="AJ270" s="229"/>
      <c r="AK270" s="229"/>
      <c r="AL270" s="229"/>
      <c r="AM270" s="229"/>
      <c r="AN270" s="229"/>
      <c r="AO270" s="229"/>
      <c r="AP270" s="229"/>
      <c r="AQ270" s="229"/>
      <c r="AR270" s="229"/>
      <c r="AS270" s="229"/>
      <c r="AT270" s="229"/>
      <c r="AU270" s="229"/>
      <c r="AV270" s="229"/>
      <c r="AW270" s="229"/>
      <c r="AX270" s="229"/>
      <c r="AY270" s="229"/>
      <c r="AZ270" s="229"/>
      <c r="BA270" s="229"/>
      <c r="BB270" s="229"/>
      <c r="BC270" s="229"/>
      <c r="BD270" s="229"/>
      <c r="BE270" s="227"/>
      <c r="BF270" s="227"/>
      <c r="BG270" s="227"/>
      <c r="BH270" s="227"/>
      <c r="BI270" s="133"/>
      <c r="BJ270" s="202"/>
      <c r="BK270" s="202"/>
      <c r="BL270" s="202"/>
      <c r="BM270" s="202"/>
      <c r="BN270" s="202"/>
      <c r="BO270" s="202"/>
      <c r="BP270" s="202"/>
      <c r="BQ270" s="202"/>
      <c r="BR270" s="202"/>
      <c r="BS270" s="202"/>
      <c r="BT270" s="202"/>
      <c r="BU270" s="202"/>
      <c r="BV270" s="202"/>
      <c r="BW270" s="202"/>
      <c r="BX270" s="202"/>
      <c r="BY270" s="202"/>
      <c r="BZ270" s="202"/>
      <c r="CA270" s="202"/>
      <c r="CB270" s="202"/>
      <c r="CC270" s="202"/>
      <c r="CD270" s="202"/>
      <c r="CE270" s="202"/>
      <c r="CF270" s="202"/>
      <c r="CG270" s="202"/>
      <c r="CH270" s="202"/>
      <c r="CI270" s="121"/>
      <c r="CJ270" s="121"/>
      <c r="CK270" s="121"/>
      <c r="CL270" s="121"/>
      <c r="CM270" s="121"/>
      <c r="CN270" s="121"/>
      <c r="CO270" s="121"/>
      <c r="CP270" s="121"/>
      <c r="CQ270" s="121"/>
      <c r="CR270" s="121"/>
      <c r="CS270" s="121"/>
      <c r="CT270" s="121"/>
      <c r="CU270" s="199"/>
      <c r="CV270" s="199"/>
      <c r="CW270" s="205"/>
      <c r="CX270" s="132">
        <v>1</v>
      </c>
      <c r="CY270" s="132">
        <v>1</v>
      </c>
      <c r="CZ270" s="132">
        <v>1</v>
      </c>
      <c r="DA270" s="132">
        <v>1</v>
      </c>
      <c r="DB270" s="132">
        <v>1</v>
      </c>
      <c r="DC270" s="132">
        <v>1</v>
      </c>
      <c r="DD270" s="132">
        <v>1</v>
      </c>
      <c r="DE270" s="103"/>
      <c r="DF270" s="103"/>
      <c r="DG270" s="103"/>
      <c r="DH270" s="103"/>
      <c r="DI270" s="103"/>
      <c r="DJ270" s="103"/>
      <c r="DK270" s="130"/>
      <c r="DL270" s="130"/>
      <c r="DM270" s="130"/>
      <c r="DN270" s="132"/>
      <c r="DO270" s="132"/>
    </row>
    <row r="271" ht="26.25" customHeight="1" spans="1:119">
      <c r="A271" s="131">
        <v>44023</v>
      </c>
      <c r="B271" s="99" t="s">
        <v>13321</v>
      </c>
      <c r="C271" s="134" t="s">
        <v>13482</v>
      </c>
      <c r="D271" s="215" t="s">
        <v>13459</v>
      </c>
      <c r="E271" s="206" t="s">
        <v>13322</v>
      </c>
      <c r="F271" s="136">
        <v>9214</v>
      </c>
      <c r="G271" s="137" t="s">
        <v>13276</v>
      </c>
      <c r="H271" s="132">
        <v>3</v>
      </c>
      <c r="I271" s="132"/>
      <c r="J271" s="132"/>
      <c r="K271" s="132"/>
      <c r="L271" s="139"/>
      <c r="M271" s="140"/>
      <c r="N271" s="141"/>
      <c r="O271" s="141"/>
      <c r="P271" s="142"/>
      <c r="Q271" s="141"/>
      <c r="R271" s="141"/>
      <c r="S271" s="141"/>
      <c r="T271" s="141"/>
      <c r="U271" s="142"/>
      <c r="V271" s="227"/>
      <c r="W271" s="236"/>
      <c r="X271" s="236"/>
      <c r="Y271" s="236"/>
      <c r="Z271" s="236"/>
      <c r="AA271" s="236"/>
      <c r="AB271" s="236"/>
      <c r="AC271" s="236"/>
      <c r="AD271" s="236"/>
      <c r="AE271" s="236"/>
      <c r="AF271" s="236"/>
      <c r="AG271" s="238"/>
      <c r="AH271" s="229"/>
      <c r="AI271" s="229"/>
      <c r="AJ271" s="229"/>
      <c r="AK271" s="229"/>
      <c r="AL271" s="229"/>
      <c r="AM271" s="229"/>
      <c r="AN271" s="229"/>
      <c r="AO271" s="229"/>
      <c r="AP271" s="229"/>
      <c r="AQ271" s="229"/>
      <c r="AR271" s="229"/>
      <c r="AS271" s="229"/>
      <c r="AT271" s="229"/>
      <c r="AU271" s="229"/>
      <c r="AV271" s="229"/>
      <c r="AW271" s="229"/>
      <c r="AX271" s="229"/>
      <c r="AY271" s="229"/>
      <c r="AZ271" s="229"/>
      <c r="BA271" s="229"/>
      <c r="BB271" s="229"/>
      <c r="BC271" s="229"/>
      <c r="BD271" s="229"/>
      <c r="BE271" s="227"/>
      <c r="BF271" s="227"/>
      <c r="BG271" s="227"/>
      <c r="BH271" s="227"/>
      <c r="BI271" s="133"/>
      <c r="BJ271" s="202"/>
      <c r="BK271" s="202"/>
      <c r="BL271" s="202"/>
      <c r="BM271" s="202"/>
      <c r="BN271" s="202"/>
      <c r="BO271" s="202"/>
      <c r="BP271" s="202"/>
      <c r="BQ271" s="202"/>
      <c r="BR271" s="202"/>
      <c r="BS271" s="202"/>
      <c r="BT271" s="202"/>
      <c r="BU271" s="202"/>
      <c r="BV271" s="202"/>
      <c r="BW271" s="202"/>
      <c r="BX271" s="202"/>
      <c r="BY271" s="202"/>
      <c r="BZ271" s="202"/>
      <c r="CA271" s="202"/>
      <c r="CB271" s="202"/>
      <c r="CC271" s="202"/>
      <c r="CD271" s="202"/>
      <c r="CE271" s="202"/>
      <c r="CF271" s="202"/>
      <c r="CG271" s="202"/>
      <c r="CH271" s="202"/>
      <c r="CI271" s="121"/>
      <c r="CJ271" s="121"/>
      <c r="CK271" s="121"/>
      <c r="CL271" s="121"/>
      <c r="CM271" s="121"/>
      <c r="CN271" s="121"/>
      <c r="CO271" s="121"/>
      <c r="CP271" s="121"/>
      <c r="CQ271" s="121"/>
      <c r="CR271" s="121"/>
      <c r="CS271" s="121"/>
      <c r="CT271" s="121"/>
      <c r="CU271" s="199"/>
      <c r="CV271" s="199"/>
      <c r="CW271" s="205"/>
      <c r="CX271" s="132"/>
      <c r="CY271" s="132"/>
      <c r="CZ271" s="132"/>
      <c r="DA271" s="132"/>
      <c r="DB271" s="132"/>
      <c r="DC271" s="132"/>
      <c r="DD271" s="132"/>
      <c r="DE271" s="103"/>
      <c r="DF271" s="103"/>
      <c r="DG271" s="103"/>
      <c r="DH271" s="103"/>
      <c r="DI271" s="103"/>
      <c r="DJ271" s="103"/>
      <c r="DK271" s="130"/>
      <c r="DL271" s="130"/>
      <c r="DM271" s="130"/>
      <c r="DN271" s="132"/>
      <c r="DO271" s="132"/>
    </row>
    <row r="272" ht="26.25" customHeight="1" spans="1:119">
      <c r="A272" s="131">
        <v>44023</v>
      </c>
      <c r="B272" s="99" t="s">
        <v>13321</v>
      </c>
      <c r="C272" s="134" t="s">
        <v>13483</v>
      </c>
      <c r="D272" s="215" t="s">
        <v>13459</v>
      </c>
      <c r="E272" s="206" t="s">
        <v>13322</v>
      </c>
      <c r="F272" s="136">
        <v>9214</v>
      </c>
      <c r="G272" s="137" t="s">
        <v>13276</v>
      </c>
      <c r="H272" s="132">
        <v>18</v>
      </c>
      <c r="I272" s="132"/>
      <c r="J272" s="132"/>
      <c r="K272" s="132"/>
      <c r="L272" s="139"/>
      <c r="M272" s="140"/>
      <c r="N272" s="141"/>
      <c r="O272" s="141"/>
      <c r="P272" s="142"/>
      <c r="Q272" s="141"/>
      <c r="R272" s="141"/>
      <c r="S272" s="141"/>
      <c r="T272" s="141"/>
      <c r="U272" s="142"/>
      <c r="V272" s="227"/>
      <c r="W272" s="236"/>
      <c r="X272" s="236"/>
      <c r="Y272" s="236"/>
      <c r="Z272" s="236"/>
      <c r="AA272" s="236"/>
      <c r="AB272" s="236"/>
      <c r="AC272" s="236"/>
      <c r="AD272" s="236"/>
      <c r="AE272" s="236"/>
      <c r="AF272" s="236"/>
      <c r="AG272" s="238"/>
      <c r="AH272" s="229"/>
      <c r="AI272" s="229"/>
      <c r="AJ272" s="229"/>
      <c r="AK272" s="229"/>
      <c r="AL272" s="229"/>
      <c r="AM272" s="229"/>
      <c r="AN272" s="229"/>
      <c r="AO272" s="229"/>
      <c r="AP272" s="229"/>
      <c r="AQ272" s="229"/>
      <c r="AR272" s="229"/>
      <c r="AS272" s="229"/>
      <c r="AT272" s="229"/>
      <c r="AU272" s="229"/>
      <c r="AV272" s="229"/>
      <c r="AW272" s="229"/>
      <c r="AX272" s="229">
        <v>18</v>
      </c>
      <c r="AY272" s="229">
        <v>18</v>
      </c>
      <c r="AZ272" s="229"/>
      <c r="BA272" s="229"/>
      <c r="BB272" s="229"/>
      <c r="BC272" s="229"/>
      <c r="BD272" s="229"/>
      <c r="BE272" s="227"/>
      <c r="BF272" s="227"/>
      <c r="BG272" s="227"/>
      <c r="BH272" s="227"/>
      <c r="BI272" s="133"/>
      <c r="BJ272" s="202"/>
      <c r="BK272" s="202"/>
      <c r="BL272" s="202"/>
      <c r="BM272" s="202"/>
      <c r="BN272" s="202"/>
      <c r="BO272" s="202"/>
      <c r="BP272" s="202"/>
      <c r="BQ272" s="202"/>
      <c r="BR272" s="202"/>
      <c r="BS272" s="202"/>
      <c r="BT272" s="202"/>
      <c r="BU272" s="202"/>
      <c r="BV272" s="202"/>
      <c r="BW272" s="202"/>
      <c r="BX272" s="202"/>
      <c r="BY272" s="202"/>
      <c r="BZ272" s="202"/>
      <c r="CA272" s="202"/>
      <c r="CB272" s="202"/>
      <c r="CC272" s="202"/>
      <c r="CD272" s="202"/>
      <c r="CE272" s="202"/>
      <c r="CF272" s="202"/>
      <c r="CG272" s="202"/>
      <c r="CH272" s="202"/>
      <c r="CI272" s="121"/>
      <c r="CJ272" s="121"/>
      <c r="CK272" s="121"/>
      <c r="CL272" s="121"/>
      <c r="CM272" s="121"/>
      <c r="CN272" s="121"/>
      <c r="CO272" s="121">
        <v>3</v>
      </c>
      <c r="CP272" s="121">
        <v>3</v>
      </c>
      <c r="CQ272" s="121">
        <v>3</v>
      </c>
      <c r="CR272" s="121">
        <v>3</v>
      </c>
      <c r="CS272" s="121">
        <v>3</v>
      </c>
      <c r="CT272" s="121">
        <v>3</v>
      </c>
      <c r="CU272" s="199"/>
      <c r="CV272" s="199"/>
      <c r="CW272" s="205"/>
      <c r="CX272" s="132"/>
      <c r="CY272" s="132"/>
      <c r="CZ272" s="132"/>
      <c r="DA272" s="132"/>
      <c r="DB272" s="132"/>
      <c r="DC272" s="132"/>
      <c r="DD272" s="132"/>
      <c r="DE272" s="103"/>
      <c r="DF272" s="103"/>
      <c r="DG272" s="103"/>
      <c r="DH272" s="103"/>
      <c r="DI272" s="103"/>
      <c r="DJ272" s="103"/>
      <c r="DK272" s="130"/>
      <c r="DL272" s="130"/>
      <c r="DM272" s="130"/>
      <c r="DN272" s="132"/>
      <c r="DO272" s="132"/>
    </row>
    <row r="273" ht="26.25" customHeight="1" spans="1:119">
      <c r="A273" s="131">
        <v>44023</v>
      </c>
      <c r="B273" s="99" t="s">
        <v>6785</v>
      </c>
      <c r="C273" s="134" t="s">
        <v>13484</v>
      </c>
      <c r="D273" s="215" t="s">
        <v>5030</v>
      </c>
      <c r="E273" s="206" t="s">
        <v>13320</v>
      </c>
      <c r="F273" s="136">
        <v>9214</v>
      </c>
      <c r="G273" s="137" t="s">
        <v>13276</v>
      </c>
      <c r="H273" s="132">
        <v>12</v>
      </c>
      <c r="I273" s="132"/>
      <c r="J273" s="132"/>
      <c r="K273" s="132"/>
      <c r="L273" s="139"/>
      <c r="M273" s="140"/>
      <c r="N273" s="141"/>
      <c r="O273" s="141"/>
      <c r="P273" s="142"/>
      <c r="Q273" s="141"/>
      <c r="R273" s="141"/>
      <c r="S273" s="141"/>
      <c r="T273" s="141"/>
      <c r="U273" s="142"/>
      <c r="V273" s="227"/>
      <c r="W273" s="236"/>
      <c r="X273" s="236"/>
      <c r="Y273" s="236"/>
      <c r="Z273" s="236"/>
      <c r="AA273" s="236"/>
      <c r="AB273" s="236"/>
      <c r="AC273" s="236"/>
      <c r="AD273" s="236"/>
      <c r="AE273" s="236"/>
      <c r="AF273" s="236"/>
      <c r="AG273" s="238"/>
      <c r="AH273" s="229"/>
      <c r="AI273" s="229"/>
      <c r="AJ273" s="229"/>
      <c r="AK273" s="229"/>
      <c r="AL273" s="229"/>
      <c r="AM273" s="229"/>
      <c r="AN273" s="229"/>
      <c r="AO273" s="229"/>
      <c r="AP273" s="229"/>
      <c r="AQ273" s="229"/>
      <c r="AR273" s="229"/>
      <c r="AS273" s="229"/>
      <c r="AT273" s="229"/>
      <c r="AU273" s="229"/>
      <c r="AV273" s="229"/>
      <c r="AW273" s="229"/>
      <c r="AX273" s="229">
        <v>12</v>
      </c>
      <c r="AY273" s="229">
        <v>12</v>
      </c>
      <c r="AZ273" s="229"/>
      <c r="BA273" s="229"/>
      <c r="BB273" s="229"/>
      <c r="BC273" s="229"/>
      <c r="BD273" s="229"/>
      <c r="BE273" s="227"/>
      <c r="BF273" s="227"/>
      <c r="BG273" s="227"/>
      <c r="BH273" s="227"/>
      <c r="BI273" s="133"/>
      <c r="BJ273" s="202"/>
      <c r="BK273" s="202"/>
      <c r="BL273" s="202"/>
      <c r="BM273" s="202"/>
      <c r="BN273" s="202"/>
      <c r="BO273" s="202"/>
      <c r="BP273" s="202"/>
      <c r="BQ273" s="202"/>
      <c r="BR273" s="202"/>
      <c r="BS273" s="202"/>
      <c r="BT273" s="202"/>
      <c r="BU273" s="202"/>
      <c r="BV273" s="202"/>
      <c r="BW273" s="202"/>
      <c r="BX273" s="202"/>
      <c r="BY273" s="202"/>
      <c r="BZ273" s="202"/>
      <c r="CA273" s="202"/>
      <c r="CB273" s="202"/>
      <c r="CC273" s="202"/>
      <c r="CD273" s="202"/>
      <c r="CE273" s="202"/>
      <c r="CF273" s="202"/>
      <c r="CG273" s="202"/>
      <c r="CH273" s="202"/>
      <c r="CI273" s="121"/>
      <c r="CJ273" s="121"/>
      <c r="CK273" s="121"/>
      <c r="CL273" s="121"/>
      <c r="CM273" s="121"/>
      <c r="CN273" s="121"/>
      <c r="CO273" s="121">
        <v>2</v>
      </c>
      <c r="CP273" s="121">
        <v>2</v>
      </c>
      <c r="CQ273" s="121">
        <v>2</v>
      </c>
      <c r="CR273" s="121">
        <v>2</v>
      </c>
      <c r="CS273" s="121">
        <v>2</v>
      </c>
      <c r="CT273" s="121">
        <v>2</v>
      </c>
      <c r="CU273" s="199"/>
      <c r="CV273" s="199"/>
      <c r="CW273" s="205"/>
      <c r="CX273" s="132"/>
      <c r="CY273" s="132"/>
      <c r="CZ273" s="132"/>
      <c r="DA273" s="132"/>
      <c r="DB273" s="132"/>
      <c r="DC273" s="132"/>
      <c r="DD273" s="132"/>
      <c r="DE273" s="103"/>
      <c r="DF273" s="103"/>
      <c r="DG273" s="103"/>
      <c r="DH273" s="103"/>
      <c r="DI273" s="103"/>
      <c r="DJ273" s="103"/>
      <c r="DK273" s="130"/>
      <c r="DL273" s="130"/>
      <c r="DM273" s="130"/>
      <c r="DN273" s="132"/>
      <c r="DO273" s="132"/>
    </row>
    <row r="274" ht="26.25" customHeight="1" spans="1:119">
      <c r="A274" s="131">
        <v>44026</v>
      </c>
      <c r="B274" s="99" t="s">
        <v>13342</v>
      </c>
      <c r="C274" s="134" t="s">
        <v>13485</v>
      </c>
      <c r="D274" s="215" t="s">
        <v>13475</v>
      </c>
      <c r="E274" s="206" t="s">
        <v>13322</v>
      </c>
      <c r="F274" s="136">
        <v>9215</v>
      </c>
      <c r="G274" s="137" t="s">
        <v>13410</v>
      </c>
      <c r="H274" s="132">
        <v>3</v>
      </c>
      <c r="I274" s="132"/>
      <c r="J274" s="132"/>
      <c r="K274" s="132"/>
      <c r="L274" s="139"/>
      <c r="M274" s="140"/>
      <c r="N274" s="141"/>
      <c r="O274" s="141"/>
      <c r="P274" s="142"/>
      <c r="Q274" s="141"/>
      <c r="R274" s="141"/>
      <c r="S274" s="141"/>
      <c r="T274" s="141"/>
      <c r="U274" s="142"/>
      <c r="V274" s="227"/>
      <c r="W274" s="236"/>
      <c r="X274" s="236"/>
      <c r="Y274" s="236"/>
      <c r="Z274" s="236"/>
      <c r="AA274" s="236"/>
      <c r="AB274" s="236"/>
      <c r="AC274" s="236"/>
      <c r="AD274" s="236"/>
      <c r="AE274" s="236"/>
      <c r="AF274" s="236"/>
      <c r="AG274" s="238"/>
      <c r="AH274" s="229"/>
      <c r="AI274" s="229"/>
      <c r="AJ274" s="229"/>
      <c r="AK274" s="229"/>
      <c r="AL274" s="229"/>
      <c r="AM274" s="229"/>
      <c r="AN274" s="229"/>
      <c r="AO274" s="229"/>
      <c r="AP274" s="229"/>
      <c r="AQ274" s="229"/>
      <c r="AR274" s="229"/>
      <c r="AS274" s="229"/>
      <c r="AT274" s="229"/>
      <c r="AU274" s="229"/>
      <c r="AV274" s="229"/>
      <c r="AW274" s="229"/>
      <c r="AX274" s="229"/>
      <c r="AY274" s="229"/>
      <c r="AZ274" s="229"/>
      <c r="BA274" s="229"/>
      <c r="BB274" s="229"/>
      <c r="BC274" s="229"/>
      <c r="BD274" s="229"/>
      <c r="BE274" s="227"/>
      <c r="BF274" s="227"/>
      <c r="BG274" s="227"/>
      <c r="BH274" s="227"/>
      <c r="BI274" s="133"/>
      <c r="BJ274" s="202"/>
      <c r="BK274" s="202"/>
      <c r="BL274" s="202"/>
      <c r="BM274" s="202"/>
      <c r="BN274" s="202"/>
      <c r="BO274" s="202"/>
      <c r="BP274" s="202"/>
      <c r="BQ274" s="202"/>
      <c r="BR274" s="202"/>
      <c r="BS274" s="202"/>
      <c r="BT274" s="202"/>
      <c r="BU274" s="202"/>
      <c r="BV274" s="202"/>
      <c r="BW274" s="202"/>
      <c r="BX274" s="202"/>
      <c r="BY274" s="202"/>
      <c r="BZ274" s="202"/>
      <c r="CA274" s="202"/>
      <c r="CB274" s="202"/>
      <c r="CC274" s="202"/>
      <c r="CD274" s="202"/>
      <c r="CE274" s="202"/>
      <c r="CF274" s="202"/>
      <c r="CG274" s="202"/>
      <c r="CH274" s="202"/>
      <c r="CI274" s="121"/>
      <c r="CJ274" s="121"/>
      <c r="CK274" s="121"/>
      <c r="CL274" s="121"/>
      <c r="CM274" s="121"/>
      <c r="CN274" s="121"/>
      <c r="CO274" s="121"/>
      <c r="CP274" s="121"/>
      <c r="CQ274" s="121"/>
      <c r="CR274" s="121"/>
      <c r="CS274" s="121"/>
      <c r="CT274" s="121"/>
      <c r="CU274" s="199"/>
      <c r="CV274" s="199"/>
      <c r="CW274" s="205"/>
      <c r="CX274" s="132"/>
      <c r="CY274" s="132">
        <v>1</v>
      </c>
      <c r="CZ274" s="132">
        <v>1</v>
      </c>
      <c r="DA274" s="132"/>
      <c r="DB274" s="132">
        <v>1</v>
      </c>
      <c r="DC274" s="132"/>
      <c r="DD274" s="132"/>
      <c r="DE274" s="103"/>
      <c r="DF274" s="103"/>
      <c r="DG274" s="103"/>
      <c r="DH274" s="103"/>
      <c r="DI274" s="103"/>
      <c r="DJ274" s="103"/>
      <c r="DK274" s="130"/>
      <c r="DL274" s="130"/>
      <c r="DM274" s="130"/>
      <c r="DN274" s="132"/>
      <c r="DO274" s="132"/>
    </row>
    <row r="275" ht="26.25" customHeight="1" spans="1:119">
      <c r="A275" s="131">
        <v>44026</v>
      </c>
      <c r="B275" s="99" t="s">
        <v>11685</v>
      </c>
      <c r="C275" s="134" t="s">
        <v>13486</v>
      </c>
      <c r="D275" s="215" t="s">
        <v>371</v>
      </c>
      <c r="E275" s="206" t="s">
        <v>13361</v>
      </c>
      <c r="F275" s="136" t="s">
        <v>13487</v>
      </c>
      <c r="G275" s="137" t="s">
        <v>13410</v>
      </c>
      <c r="H275" s="132">
        <v>2</v>
      </c>
      <c r="I275" s="132"/>
      <c r="J275" s="132"/>
      <c r="K275" s="132"/>
      <c r="L275" s="139"/>
      <c r="M275" s="140"/>
      <c r="N275" s="141"/>
      <c r="O275" s="141"/>
      <c r="P275" s="142"/>
      <c r="Q275" s="141"/>
      <c r="R275" s="141"/>
      <c r="S275" s="141"/>
      <c r="T275" s="141"/>
      <c r="U275" s="142"/>
      <c r="V275" s="227"/>
      <c r="W275" s="236"/>
      <c r="X275" s="236"/>
      <c r="Y275" s="236"/>
      <c r="Z275" s="236"/>
      <c r="AA275" s="236"/>
      <c r="AB275" s="236"/>
      <c r="AC275" s="236"/>
      <c r="AD275" s="236"/>
      <c r="AE275" s="236"/>
      <c r="AF275" s="236"/>
      <c r="AG275" s="238"/>
      <c r="AH275" s="229"/>
      <c r="AI275" s="229"/>
      <c r="AJ275" s="229"/>
      <c r="AK275" s="229"/>
      <c r="AL275" s="229"/>
      <c r="AM275" s="229"/>
      <c r="AN275" s="229"/>
      <c r="AO275" s="229"/>
      <c r="AP275" s="229"/>
      <c r="AQ275" s="229"/>
      <c r="AR275" s="229"/>
      <c r="AS275" s="229"/>
      <c r="AT275" s="229"/>
      <c r="AU275" s="229"/>
      <c r="AV275" s="229"/>
      <c r="AW275" s="229"/>
      <c r="AX275" s="229"/>
      <c r="AY275" s="229"/>
      <c r="AZ275" s="229"/>
      <c r="BA275" s="229"/>
      <c r="BB275" s="229"/>
      <c r="BC275" s="229"/>
      <c r="BD275" s="229"/>
      <c r="BE275" s="227"/>
      <c r="BF275" s="227"/>
      <c r="BG275" s="227"/>
      <c r="BH275" s="227"/>
      <c r="BI275" s="133"/>
      <c r="BJ275" s="202"/>
      <c r="BK275" s="202"/>
      <c r="BL275" s="202"/>
      <c r="BM275" s="202"/>
      <c r="BN275" s="202"/>
      <c r="BO275" s="202"/>
      <c r="BP275" s="202"/>
      <c r="BQ275" s="202"/>
      <c r="BR275" s="202"/>
      <c r="BS275" s="202"/>
      <c r="BT275" s="202"/>
      <c r="BU275" s="202"/>
      <c r="BV275" s="202"/>
      <c r="BW275" s="202"/>
      <c r="BX275" s="202"/>
      <c r="BY275" s="202"/>
      <c r="BZ275" s="202"/>
      <c r="CA275" s="202"/>
      <c r="CB275" s="202"/>
      <c r="CC275" s="202"/>
      <c r="CD275" s="202"/>
      <c r="CE275" s="202"/>
      <c r="CF275" s="202"/>
      <c r="CG275" s="202"/>
      <c r="CH275" s="202"/>
      <c r="CI275" s="121"/>
      <c r="CJ275" s="121"/>
      <c r="CK275" s="121"/>
      <c r="CL275" s="121"/>
      <c r="CM275" s="121"/>
      <c r="CN275" s="121"/>
      <c r="CO275" s="121"/>
      <c r="CP275" s="121"/>
      <c r="CQ275" s="121"/>
      <c r="CR275" s="121"/>
      <c r="CS275" s="121"/>
      <c r="CT275" s="121"/>
      <c r="CU275" s="199"/>
      <c r="CV275" s="199"/>
      <c r="CW275" s="205"/>
      <c r="CX275" s="132"/>
      <c r="CY275" s="132"/>
      <c r="CZ275" s="132"/>
      <c r="DA275" s="132"/>
      <c r="DB275" s="132"/>
      <c r="DC275" s="132"/>
      <c r="DD275" s="132">
        <v>2</v>
      </c>
      <c r="DE275" s="103"/>
      <c r="DF275" s="103"/>
      <c r="DG275" s="103"/>
      <c r="DH275" s="103"/>
      <c r="DI275" s="103"/>
      <c r="DJ275" s="103"/>
      <c r="DK275" s="130"/>
      <c r="DL275" s="130"/>
      <c r="DM275" s="130"/>
      <c r="DN275" s="132"/>
      <c r="DO275" s="132"/>
    </row>
    <row r="276" ht="26.25" customHeight="1" spans="1:119">
      <c r="A276" s="131">
        <v>44029</v>
      </c>
      <c r="B276" s="99" t="s">
        <v>13321</v>
      </c>
      <c r="C276" s="134" t="s">
        <v>13488</v>
      </c>
      <c r="D276" s="215" t="s">
        <v>13489</v>
      </c>
      <c r="E276" s="206" t="s">
        <v>13322</v>
      </c>
      <c r="F276" s="136">
        <v>9215</v>
      </c>
      <c r="G276" s="137" t="s">
        <v>13410</v>
      </c>
      <c r="H276" s="132">
        <v>2</v>
      </c>
      <c r="I276" s="132"/>
      <c r="J276" s="132"/>
      <c r="K276" s="132"/>
      <c r="L276" s="139"/>
      <c r="M276" s="140"/>
      <c r="N276" s="141"/>
      <c r="O276" s="141"/>
      <c r="P276" s="142"/>
      <c r="Q276" s="141"/>
      <c r="R276" s="141"/>
      <c r="S276" s="141"/>
      <c r="T276" s="141"/>
      <c r="U276" s="142"/>
      <c r="V276" s="227"/>
      <c r="W276" s="236"/>
      <c r="X276" s="236"/>
      <c r="Y276" s="236"/>
      <c r="Z276" s="236"/>
      <c r="AA276" s="236"/>
      <c r="AB276" s="236"/>
      <c r="AC276" s="236"/>
      <c r="AD276" s="236"/>
      <c r="AE276" s="236"/>
      <c r="AF276" s="236"/>
      <c r="AG276" s="238"/>
      <c r="AH276" s="229"/>
      <c r="AI276" s="229"/>
      <c r="AJ276" s="229"/>
      <c r="AK276" s="229"/>
      <c r="AL276" s="229"/>
      <c r="AM276" s="229"/>
      <c r="AN276" s="229"/>
      <c r="AO276" s="229"/>
      <c r="AP276" s="229"/>
      <c r="AQ276" s="229"/>
      <c r="AR276" s="229"/>
      <c r="AS276" s="229"/>
      <c r="AT276" s="229"/>
      <c r="AU276" s="229"/>
      <c r="AV276" s="229"/>
      <c r="AW276" s="229"/>
      <c r="AX276" s="229"/>
      <c r="AY276" s="229"/>
      <c r="AZ276" s="229"/>
      <c r="BA276" s="229"/>
      <c r="BB276" s="229"/>
      <c r="BC276" s="229"/>
      <c r="BD276" s="229"/>
      <c r="BE276" s="227"/>
      <c r="BF276" s="227"/>
      <c r="BG276" s="227"/>
      <c r="BH276" s="227"/>
      <c r="BI276" s="133"/>
      <c r="BJ276" s="202"/>
      <c r="BK276" s="202"/>
      <c r="BL276" s="202"/>
      <c r="BM276" s="202"/>
      <c r="BN276" s="202"/>
      <c r="BO276" s="202"/>
      <c r="BP276" s="202"/>
      <c r="BQ276" s="202"/>
      <c r="BR276" s="202"/>
      <c r="BS276" s="202"/>
      <c r="BT276" s="202"/>
      <c r="BU276" s="202"/>
      <c r="BV276" s="202"/>
      <c r="BW276" s="202"/>
      <c r="BX276" s="202"/>
      <c r="BY276" s="202"/>
      <c r="BZ276" s="202"/>
      <c r="CA276" s="202"/>
      <c r="CB276" s="202"/>
      <c r="CC276" s="202"/>
      <c r="CD276" s="202"/>
      <c r="CE276" s="202"/>
      <c r="CF276" s="202"/>
      <c r="CG276" s="202"/>
      <c r="CH276" s="202"/>
      <c r="CI276" s="121"/>
      <c r="CJ276" s="121"/>
      <c r="CK276" s="121"/>
      <c r="CL276" s="121"/>
      <c r="CM276" s="121"/>
      <c r="CN276" s="121"/>
      <c r="CO276" s="121"/>
      <c r="CP276" s="121"/>
      <c r="CQ276" s="121"/>
      <c r="CR276" s="121"/>
      <c r="CS276" s="121"/>
      <c r="CT276" s="121"/>
      <c r="CU276" s="199"/>
      <c r="CV276" s="199"/>
      <c r="CW276" s="205"/>
      <c r="CX276" s="132"/>
      <c r="CY276" s="132"/>
      <c r="CZ276" s="132"/>
      <c r="DA276" s="132"/>
      <c r="DB276" s="132"/>
      <c r="DC276" s="132">
        <v>1</v>
      </c>
      <c r="DD276" s="132">
        <v>1</v>
      </c>
      <c r="DE276" s="103"/>
      <c r="DF276" s="103"/>
      <c r="DG276" s="103"/>
      <c r="DH276" s="103"/>
      <c r="DI276" s="103"/>
      <c r="DJ276" s="103"/>
      <c r="DK276" s="130"/>
      <c r="DL276" s="130"/>
      <c r="DM276" s="130"/>
      <c r="DN276" s="132"/>
      <c r="DO276" s="132"/>
    </row>
    <row r="277" ht="26.25" customHeight="1" spans="1:119">
      <c r="A277" s="131">
        <v>44033</v>
      </c>
      <c r="B277" s="99" t="s">
        <v>13321</v>
      </c>
      <c r="C277" s="134" t="s">
        <v>13490</v>
      </c>
      <c r="D277" s="215" t="s">
        <v>13481</v>
      </c>
      <c r="E277" s="206" t="s">
        <v>13322</v>
      </c>
      <c r="F277" s="136">
        <v>9214</v>
      </c>
      <c r="G277" s="137" t="s">
        <v>13276</v>
      </c>
      <c r="H277" s="132">
        <v>7</v>
      </c>
      <c r="I277" s="132"/>
      <c r="J277" s="132"/>
      <c r="K277" s="132"/>
      <c r="L277" s="139"/>
      <c r="M277" s="140"/>
      <c r="N277" s="141"/>
      <c r="O277" s="141"/>
      <c r="P277" s="142"/>
      <c r="Q277" s="141"/>
      <c r="R277" s="141"/>
      <c r="S277" s="141"/>
      <c r="T277" s="141"/>
      <c r="U277" s="142"/>
      <c r="V277" s="227"/>
      <c r="W277" s="236"/>
      <c r="X277" s="236"/>
      <c r="Y277" s="236"/>
      <c r="Z277" s="236"/>
      <c r="AA277" s="236"/>
      <c r="AB277" s="236"/>
      <c r="AC277" s="236"/>
      <c r="AD277" s="236"/>
      <c r="AE277" s="236"/>
      <c r="AF277" s="236"/>
      <c r="AG277" s="238"/>
      <c r="AH277" s="229"/>
      <c r="AI277" s="229"/>
      <c r="AJ277" s="229"/>
      <c r="AK277" s="229"/>
      <c r="AL277" s="229"/>
      <c r="AM277" s="229"/>
      <c r="AN277" s="229"/>
      <c r="AO277" s="229"/>
      <c r="AP277" s="229"/>
      <c r="AQ277" s="229"/>
      <c r="AR277" s="229"/>
      <c r="AS277" s="229"/>
      <c r="AT277" s="229"/>
      <c r="AU277" s="229"/>
      <c r="AV277" s="229"/>
      <c r="AW277" s="229"/>
      <c r="AX277" s="229"/>
      <c r="AY277" s="229"/>
      <c r="AZ277" s="229"/>
      <c r="BA277" s="229"/>
      <c r="BB277" s="229"/>
      <c r="BC277" s="229"/>
      <c r="BD277" s="229"/>
      <c r="BE277" s="227"/>
      <c r="BF277" s="227"/>
      <c r="BG277" s="227"/>
      <c r="BH277" s="227"/>
      <c r="BI277" s="133"/>
      <c r="BJ277" s="202"/>
      <c r="BK277" s="202"/>
      <c r="BL277" s="202"/>
      <c r="BM277" s="202"/>
      <c r="BN277" s="202"/>
      <c r="BO277" s="202"/>
      <c r="BP277" s="202"/>
      <c r="BQ277" s="202"/>
      <c r="BR277" s="202"/>
      <c r="BS277" s="202"/>
      <c r="BT277" s="202"/>
      <c r="BU277" s="202"/>
      <c r="BV277" s="202"/>
      <c r="BW277" s="202"/>
      <c r="BX277" s="202"/>
      <c r="BY277" s="202"/>
      <c r="BZ277" s="202"/>
      <c r="CA277" s="202"/>
      <c r="CB277" s="202"/>
      <c r="CC277" s="202"/>
      <c r="CD277" s="202"/>
      <c r="CE277" s="202"/>
      <c r="CF277" s="202"/>
      <c r="CG277" s="202"/>
      <c r="CH277" s="202"/>
      <c r="CI277" s="121"/>
      <c r="CJ277" s="121"/>
      <c r="CK277" s="121"/>
      <c r="CL277" s="121"/>
      <c r="CM277" s="121"/>
      <c r="CN277" s="121"/>
      <c r="CO277" s="121">
        <v>1</v>
      </c>
      <c r="CP277" s="121">
        <v>1</v>
      </c>
      <c r="CQ277" s="121">
        <v>1</v>
      </c>
      <c r="CR277" s="121">
        <v>1</v>
      </c>
      <c r="CS277" s="121">
        <v>1</v>
      </c>
      <c r="CT277" s="121">
        <v>1</v>
      </c>
      <c r="CU277" s="199"/>
      <c r="CV277" s="199"/>
      <c r="CW277" s="205"/>
      <c r="CX277" s="132"/>
      <c r="CY277" s="132"/>
      <c r="CZ277" s="132"/>
      <c r="DA277" s="132"/>
      <c r="DB277" s="132"/>
      <c r="DC277" s="132"/>
      <c r="DD277" s="132"/>
      <c r="DE277" s="103"/>
      <c r="DF277" s="103"/>
      <c r="DG277" s="103"/>
      <c r="DH277" s="103"/>
      <c r="DI277" s="103"/>
      <c r="DJ277" s="103"/>
      <c r="DK277" s="130"/>
      <c r="DL277" s="130"/>
      <c r="DM277" s="130"/>
      <c r="DN277" s="132"/>
      <c r="DO277" s="132"/>
    </row>
    <row r="278" ht="26.25" customHeight="1" spans="1:119">
      <c r="A278" s="131">
        <v>44033</v>
      </c>
      <c r="B278" s="99" t="s">
        <v>13321</v>
      </c>
      <c r="C278" s="134" t="s">
        <v>13490</v>
      </c>
      <c r="D278" s="215" t="s">
        <v>13481</v>
      </c>
      <c r="E278" s="206" t="s">
        <v>13322</v>
      </c>
      <c r="F278" s="136">
        <v>9215</v>
      </c>
      <c r="G278" s="137" t="s">
        <v>13410</v>
      </c>
      <c r="H278" s="132">
        <v>8</v>
      </c>
      <c r="I278" s="132"/>
      <c r="J278" s="132"/>
      <c r="K278" s="132"/>
      <c r="L278" s="139"/>
      <c r="M278" s="140"/>
      <c r="N278" s="141"/>
      <c r="O278" s="141"/>
      <c r="P278" s="142"/>
      <c r="Q278" s="141"/>
      <c r="R278" s="141"/>
      <c r="S278" s="141"/>
      <c r="T278" s="141"/>
      <c r="U278" s="142"/>
      <c r="V278" s="227"/>
      <c r="W278" s="236"/>
      <c r="X278" s="236"/>
      <c r="Y278" s="236"/>
      <c r="Z278" s="236"/>
      <c r="AA278" s="236"/>
      <c r="AB278" s="236"/>
      <c r="AC278" s="236"/>
      <c r="AD278" s="236"/>
      <c r="AE278" s="236"/>
      <c r="AF278" s="236"/>
      <c r="AG278" s="238"/>
      <c r="AH278" s="229"/>
      <c r="AI278" s="229"/>
      <c r="AJ278" s="229"/>
      <c r="AK278" s="229"/>
      <c r="AL278" s="229"/>
      <c r="AM278" s="229"/>
      <c r="AN278" s="229"/>
      <c r="AO278" s="229"/>
      <c r="AP278" s="229"/>
      <c r="AQ278" s="229"/>
      <c r="AR278" s="229"/>
      <c r="AS278" s="229"/>
      <c r="AT278" s="229"/>
      <c r="AU278" s="229"/>
      <c r="AV278" s="229"/>
      <c r="AW278" s="229"/>
      <c r="AX278" s="229"/>
      <c r="AY278" s="229"/>
      <c r="AZ278" s="229"/>
      <c r="BA278" s="229"/>
      <c r="BB278" s="229"/>
      <c r="BC278" s="229"/>
      <c r="BD278" s="229"/>
      <c r="BE278" s="227"/>
      <c r="BF278" s="227"/>
      <c r="BG278" s="227"/>
      <c r="BH278" s="227"/>
      <c r="BI278" s="133"/>
      <c r="BJ278" s="202"/>
      <c r="BK278" s="202"/>
      <c r="BL278" s="202"/>
      <c r="BM278" s="202"/>
      <c r="BN278" s="202"/>
      <c r="BO278" s="202"/>
      <c r="BP278" s="202"/>
      <c r="BQ278" s="202"/>
      <c r="BR278" s="202"/>
      <c r="BS278" s="202"/>
      <c r="BT278" s="202"/>
      <c r="BU278" s="202"/>
      <c r="BV278" s="202"/>
      <c r="BW278" s="202"/>
      <c r="BX278" s="202"/>
      <c r="BY278" s="202"/>
      <c r="BZ278" s="202"/>
      <c r="CA278" s="202"/>
      <c r="CB278" s="202"/>
      <c r="CC278" s="202"/>
      <c r="CD278" s="202"/>
      <c r="CE278" s="202"/>
      <c r="CF278" s="202"/>
      <c r="CG278" s="202"/>
      <c r="CH278" s="202"/>
      <c r="CI278" s="121"/>
      <c r="CJ278" s="121"/>
      <c r="CK278" s="121"/>
      <c r="CL278" s="121"/>
      <c r="CM278" s="121"/>
      <c r="CN278" s="121"/>
      <c r="CO278" s="121"/>
      <c r="CP278" s="121"/>
      <c r="CQ278" s="121"/>
      <c r="CR278" s="121"/>
      <c r="CS278" s="121"/>
      <c r="CT278" s="121"/>
      <c r="CU278" s="199"/>
      <c r="CV278" s="199"/>
      <c r="CW278" s="205"/>
      <c r="CX278" s="132">
        <v>1</v>
      </c>
      <c r="CY278" s="132">
        <v>1</v>
      </c>
      <c r="CZ278" s="132">
        <v>1</v>
      </c>
      <c r="DA278" s="132">
        <v>1</v>
      </c>
      <c r="DB278" s="132">
        <v>1</v>
      </c>
      <c r="DC278" s="132">
        <v>1</v>
      </c>
      <c r="DD278" s="132">
        <v>1</v>
      </c>
      <c r="DE278" s="103"/>
      <c r="DF278" s="103"/>
      <c r="DG278" s="103"/>
      <c r="DH278" s="103"/>
      <c r="DI278" s="103"/>
      <c r="DJ278" s="103"/>
      <c r="DK278" s="130"/>
      <c r="DL278" s="130"/>
      <c r="DM278" s="130"/>
      <c r="DN278" s="132"/>
      <c r="DO278" s="132"/>
    </row>
    <row r="279" ht="26.25" customHeight="1" spans="1:119">
      <c r="A279" s="131">
        <v>44033</v>
      </c>
      <c r="B279" s="99" t="s">
        <v>13463</v>
      </c>
      <c r="C279" s="134" t="s">
        <v>13491</v>
      </c>
      <c r="D279" s="215" t="s">
        <v>2872</v>
      </c>
      <c r="E279" s="206" t="s">
        <v>13322</v>
      </c>
      <c r="F279" s="136">
        <v>9215</v>
      </c>
      <c r="G279" s="137" t="s">
        <v>13410</v>
      </c>
      <c r="H279" s="132">
        <v>7</v>
      </c>
      <c r="I279" s="132"/>
      <c r="J279" s="132"/>
      <c r="K279" s="132"/>
      <c r="L279" s="139"/>
      <c r="M279" s="140"/>
      <c r="N279" s="141"/>
      <c r="O279" s="141"/>
      <c r="P279" s="142"/>
      <c r="Q279" s="141"/>
      <c r="R279" s="141"/>
      <c r="S279" s="141"/>
      <c r="T279" s="141"/>
      <c r="U279" s="142"/>
      <c r="V279" s="227"/>
      <c r="W279" s="236"/>
      <c r="X279" s="236"/>
      <c r="Y279" s="236"/>
      <c r="Z279" s="236"/>
      <c r="AA279" s="236"/>
      <c r="AB279" s="236"/>
      <c r="AC279" s="236"/>
      <c r="AD279" s="236"/>
      <c r="AE279" s="236"/>
      <c r="AF279" s="236"/>
      <c r="AG279" s="238"/>
      <c r="AH279" s="229"/>
      <c r="AI279" s="229"/>
      <c r="AJ279" s="229"/>
      <c r="AK279" s="229"/>
      <c r="AL279" s="229"/>
      <c r="AM279" s="229"/>
      <c r="AN279" s="229"/>
      <c r="AO279" s="229"/>
      <c r="AP279" s="229"/>
      <c r="AQ279" s="229"/>
      <c r="AR279" s="229"/>
      <c r="AS279" s="229"/>
      <c r="AT279" s="229"/>
      <c r="AU279" s="229"/>
      <c r="AV279" s="229"/>
      <c r="AW279" s="229"/>
      <c r="AX279" s="229"/>
      <c r="AY279" s="229"/>
      <c r="AZ279" s="229"/>
      <c r="BA279" s="229"/>
      <c r="BB279" s="229"/>
      <c r="BC279" s="229"/>
      <c r="BD279" s="229"/>
      <c r="BE279" s="227"/>
      <c r="BF279" s="227"/>
      <c r="BG279" s="227"/>
      <c r="BH279" s="227"/>
      <c r="BI279" s="133"/>
      <c r="BJ279" s="202"/>
      <c r="BK279" s="202"/>
      <c r="BL279" s="202"/>
      <c r="BM279" s="202"/>
      <c r="BN279" s="202"/>
      <c r="BO279" s="202"/>
      <c r="BP279" s="202"/>
      <c r="BQ279" s="202"/>
      <c r="BR279" s="202"/>
      <c r="BS279" s="202"/>
      <c r="BT279" s="202"/>
      <c r="BU279" s="202"/>
      <c r="BV279" s="202"/>
      <c r="BW279" s="202"/>
      <c r="BX279" s="202"/>
      <c r="BY279" s="202"/>
      <c r="BZ279" s="202"/>
      <c r="CA279" s="202"/>
      <c r="CB279" s="202"/>
      <c r="CC279" s="202"/>
      <c r="CD279" s="202"/>
      <c r="CE279" s="202"/>
      <c r="CF279" s="202"/>
      <c r="CG279" s="202"/>
      <c r="CH279" s="202"/>
      <c r="CI279" s="121"/>
      <c r="CJ279" s="121"/>
      <c r="CK279" s="121"/>
      <c r="CL279" s="121"/>
      <c r="CM279" s="121"/>
      <c r="CN279" s="121"/>
      <c r="CO279" s="121"/>
      <c r="CP279" s="121"/>
      <c r="CQ279" s="121"/>
      <c r="CR279" s="121"/>
      <c r="CS279" s="121"/>
      <c r="CT279" s="121"/>
      <c r="CU279" s="199"/>
      <c r="CV279" s="199"/>
      <c r="CW279" s="205"/>
      <c r="CX279" s="132"/>
      <c r="CY279" s="132">
        <v>1</v>
      </c>
      <c r="CZ279" s="132">
        <v>1</v>
      </c>
      <c r="DA279" s="132">
        <v>1</v>
      </c>
      <c r="DB279" s="132">
        <v>1</v>
      </c>
      <c r="DC279" s="132">
        <v>1</v>
      </c>
      <c r="DD279" s="132">
        <v>1</v>
      </c>
      <c r="DE279" s="103"/>
      <c r="DF279" s="103"/>
      <c r="DG279" s="103"/>
      <c r="DH279" s="103"/>
      <c r="DI279" s="103"/>
      <c r="DJ279" s="103"/>
      <c r="DK279" s="130"/>
      <c r="DL279" s="130"/>
      <c r="DM279" s="130"/>
      <c r="DN279" s="132"/>
      <c r="DO279" s="132"/>
    </row>
    <row r="280" ht="26.25" customHeight="1" spans="1:119">
      <c r="A280" s="131">
        <v>44033</v>
      </c>
      <c r="B280" s="99" t="s">
        <v>13190</v>
      </c>
      <c r="C280" s="134"/>
      <c r="D280" s="215" t="s">
        <v>13278</v>
      </c>
      <c r="E280" s="206" t="s">
        <v>13322</v>
      </c>
      <c r="F280" s="136" t="s">
        <v>13492</v>
      </c>
      <c r="G280" s="137" t="s">
        <v>13410</v>
      </c>
      <c r="H280" s="132">
        <v>6</v>
      </c>
      <c r="I280" s="132"/>
      <c r="J280" s="132"/>
      <c r="K280" s="132"/>
      <c r="L280" s="139"/>
      <c r="M280" s="140"/>
      <c r="N280" s="141"/>
      <c r="O280" s="141"/>
      <c r="P280" s="142"/>
      <c r="Q280" s="141"/>
      <c r="R280" s="141"/>
      <c r="S280" s="141"/>
      <c r="T280" s="141"/>
      <c r="U280" s="142"/>
      <c r="V280" s="227"/>
      <c r="W280" s="236"/>
      <c r="X280" s="236"/>
      <c r="Y280" s="236"/>
      <c r="Z280" s="236"/>
      <c r="AA280" s="236"/>
      <c r="AB280" s="236"/>
      <c r="AC280" s="236"/>
      <c r="AD280" s="236"/>
      <c r="AE280" s="236"/>
      <c r="AF280" s="236"/>
      <c r="AG280" s="238"/>
      <c r="AH280" s="229"/>
      <c r="AI280" s="229"/>
      <c r="AJ280" s="229"/>
      <c r="AK280" s="229"/>
      <c r="AL280" s="229"/>
      <c r="AM280" s="229"/>
      <c r="AN280" s="229"/>
      <c r="AO280" s="229"/>
      <c r="AP280" s="229"/>
      <c r="AQ280" s="229"/>
      <c r="AR280" s="229"/>
      <c r="AS280" s="229"/>
      <c r="AT280" s="229"/>
      <c r="AU280" s="229"/>
      <c r="AV280" s="229"/>
      <c r="AW280" s="229"/>
      <c r="AX280" s="229"/>
      <c r="AY280" s="229"/>
      <c r="AZ280" s="229"/>
      <c r="BA280" s="229"/>
      <c r="BB280" s="229"/>
      <c r="BC280" s="229"/>
      <c r="BD280" s="229"/>
      <c r="BE280" s="227"/>
      <c r="BF280" s="227"/>
      <c r="BG280" s="227"/>
      <c r="BH280" s="227"/>
      <c r="BI280" s="133"/>
      <c r="BJ280" s="202"/>
      <c r="BK280" s="202"/>
      <c r="BL280" s="202"/>
      <c r="BM280" s="202"/>
      <c r="BN280" s="202"/>
      <c r="BO280" s="202"/>
      <c r="BP280" s="202"/>
      <c r="BQ280" s="202"/>
      <c r="BR280" s="202"/>
      <c r="BS280" s="202"/>
      <c r="BT280" s="202"/>
      <c r="BU280" s="202"/>
      <c r="BV280" s="202"/>
      <c r="BW280" s="202"/>
      <c r="BX280" s="202"/>
      <c r="BY280" s="202"/>
      <c r="BZ280" s="202"/>
      <c r="CA280" s="202"/>
      <c r="CB280" s="202"/>
      <c r="CC280" s="202"/>
      <c r="CD280" s="202"/>
      <c r="CE280" s="202"/>
      <c r="CF280" s="202"/>
      <c r="CG280" s="202"/>
      <c r="CH280" s="202"/>
      <c r="CI280" s="121"/>
      <c r="CJ280" s="121"/>
      <c r="CK280" s="121"/>
      <c r="CL280" s="121"/>
      <c r="CM280" s="121"/>
      <c r="CN280" s="121"/>
      <c r="CO280" s="121"/>
      <c r="CP280" s="121"/>
      <c r="CQ280" s="121"/>
      <c r="CR280" s="121"/>
      <c r="CS280" s="121"/>
      <c r="CT280" s="121"/>
      <c r="CU280" s="199"/>
      <c r="CV280" s="199"/>
      <c r="CW280" s="205"/>
      <c r="CX280" s="132">
        <v>1</v>
      </c>
      <c r="CY280" s="132">
        <v>1</v>
      </c>
      <c r="CZ280" s="132">
        <v>1</v>
      </c>
      <c r="DA280" s="132">
        <v>1</v>
      </c>
      <c r="DB280" s="132">
        <v>1</v>
      </c>
      <c r="DC280" s="132"/>
      <c r="DD280" s="132">
        <v>1</v>
      </c>
      <c r="DE280" s="103"/>
      <c r="DF280" s="103"/>
      <c r="DG280" s="103"/>
      <c r="DH280" s="103"/>
      <c r="DI280" s="103"/>
      <c r="DJ280" s="103"/>
      <c r="DK280" s="130"/>
      <c r="DL280" s="130"/>
      <c r="DM280" s="130"/>
      <c r="DN280" s="132"/>
      <c r="DO280" s="132"/>
    </row>
    <row r="281" ht="26.25" customHeight="1" spans="1:119">
      <c r="A281" s="131">
        <v>44033</v>
      </c>
      <c r="B281" s="99" t="s">
        <v>13190</v>
      </c>
      <c r="C281" s="134"/>
      <c r="D281" s="215" t="s">
        <v>13278</v>
      </c>
      <c r="E281" s="206" t="s">
        <v>13322</v>
      </c>
      <c r="F281" s="136" t="s">
        <v>13493</v>
      </c>
      <c r="G281" s="137" t="s">
        <v>13447</v>
      </c>
      <c r="H281" s="132">
        <v>12</v>
      </c>
      <c r="I281" s="132"/>
      <c r="J281" s="132"/>
      <c r="K281" s="132"/>
      <c r="L281" s="139"/>
      <c r="M281" s="140"/>
      <c r="N281" s="141"/>
      <c r="O281" s="141"/>
      <c r="P281" s="142"/>
      <c r="Q281" s="141"/>
      <c r="R281" s="141"/>
      <c r="S281" s="141"/>
      <c r="T281" s="141"/>
      <c r="U281" s="142"/>
      <c r="V281" s="227"/>
      <c r="W281" s="236"/>
      <c r="X281" s="236"/>
      <c r="Y281" s="236"/>
      <c r="Z281" s="236"/>
      <c r="AA281" s="236"/>
      <c r="AB281" s="236"/>
      <c r="AC281" s="236"/>
      <c r="AD281" s="236"/>
      <c r="AE281" s="236"/>
      <c r="AF281" s="236"/>
      <c r="AG281" s="238"/>
      <c r="AH281" s="229"/>
      <c r="AI281" s="229"/>
      <c r="AJ281" s="229"/>
      <c r="AK281" s="229"/>
      <c r="AL281" s="229"/>
      <c r="AM281" s="229"/>
      <c r="AN281" s="229"/>
      <c r="AO281" s="229"/>
      <c r="AP281" s="229"/>
      <c r="AQ281" s="229"/>
      <c r="AR281" s="229"/>
      <c r="AS281" s="229"/>
      <c r="AT281" s="229"/>
      <c r="AU281" s="229"/>
      <c r="AV281" s="229"/>
      <c r="AW281" s="229"/>
      <c r="AX281" s="229"/>
      <c r="AY281" s="229"/>
      <c r="AZ281" s="229"/>
      <c r="BA281" s="229"/>
      <c r="BB281" s="229"/>
      <c r="BC281" s="229"/>
      <c r="BD281" s="229"/>
      <c r="BE281" s="227"/>
      <c r="BF281" s="227"/>
      <c r="BG281" s="227"/>
      <c r="BH281" s="227"/>
      <c r="BI281" s="133"/>
      <c r="BJ281" s="202"/>
      <c r="BK281" s="202"/>
      <c r="BL281" s="202"/>
      <c r="BM281" s="202"/>
      <c r="BN281" s="202"/>
      <c r="BO281" s="202"/>
      <c r="BP281" s="202"/>
      <c r="BQ281" s="202"/>
      <c r="BR281" s="202"/>
      <c r="BS281" s="202"/>
      <c r="BT281" s="202"/>
      <c r="BU281" s="202"/>
      <c r="BV281" s="202"/>
      <c r="BW281" s="202"/>
      <c r="BX281" s="202"/>
      <c r="BY281" s="202"/>
      <c r="BZ281" s="202"/>
      <c r="CA281" s="202"/>
      <c r="CB281" s="202"/>
      <c r="CC281" s="202"/>
      <c r="CD281" s="202"/>
      <c r="CE281" s="202"/>
      <c r="CF281" s="202"/>
      <c r="CG281" s="202"/>
      <c r="CH281" s="202"/>
      <c r="CI281" s="121"/>
      <c r="CJ281" s="121"/>
      <c r="CK281" s="121"/>
      <c r="CL281" s="121"/>
      <c r="CM281" s="121"/>
      <c r="CN281" s="121"/>
      <c r="CO281" s="121"/>
      <c r="CP281" s="121"/>
      <c r="CQ281" s="121"/>
      <c r="CR281" s="121"/>
      <c r="CS281" s="121"/>
      <c r="CT281" s="121"/>
      <c r="CU281" s="199"/>
      <c r="CV281" s="199"/>
      <c r="CW281" s="205"/>
      <c r="CX281" s="132"/>
      <c r="CY281" s="132"/>
      <c r="CZ281" s="132"/>
      <c r="DA281" s="132"/>
      <c r="DB281" s="132"/>
      <c r="DC281" s="132"/>
      <c r="DD281" s="132"/>
      <c r="DE281" s="103"/>
      <c r="DF281" s="103"/>
      <c r="DG281" s="103"/>
      <c r="DH281" s="103"/>
      <c r="DI281" s="103"/>
      <c r="DJ281" s="103"/>
      <c r="DK281" s="130"/>
      <c r="DL281" s="130"/>
      <c r="DM281" s="130"/>
      <c r="DN281" s="132">
        <v>12</v>
      </c>
      <c r="DO281" s="132"/>
    </row>
    <row r="282" ht="26.25" customHeight="1" spans="1:119">
      <c r="A282" s="131">
        <v>44033</v>
      </c>
      <c r="B282" s="99" t="s">
        <v>13190</v>
      </c>
      <c r="C282" s="134"/>
      <c r="D282" s="215" t="s">
        <v>13278</v>
      </c>
      <c r="E282" s="206" t="s">
        <v>13322</v>
      </c>
      <c r="F282" s="136" t="s">
        <v>13494</v>
      </c>
      <c r="G282" s="137" t="s">
        <v>13439</v>
      </c>
      <c r="H282" s="132">
        <v>6</v>
      </c>
      <c r="I282" s="132"/>
      <c r="J282" s="132"/>
      <c r="K282" s="132"/>
      <c r="L282" s="139"/>
      <c r="M282" s="140"/>
      <c r="N282" s="141"/>
      <c r="O282" s="141"/>
      <c r="P282" s="142"/>
      <c r="Q282" s="141"/>
      <c r="R282" s="141"/>
      <c r="S282" s="141"/>
      <c r="T282" s="141"/>
      <c r="U282" s="142"/>
      <c r="V282" s="227"/>
      <c r="W282" s="236"/>
      <c r="X282" s="236"/>
      <c r="Y282" s="236"/>
      <c r="Z282" s="236"/>
      <c r="AA282" s="236"/>
      <c r="AB282" s="236"/>
      <c r="AC282" s="236"/>
      <c r="AD282" s="236"/>
      <c r="AE282" s="236"/>
      <c r="AF282" s="236"/>
      <c r="AG282" s="238"/>
      <c r="AH282" s="229"/>
      <c r="AI282" s="229"/>
      <c r="AJ282" s="229"/>
      <c r="AK282" s="229"/>
      <c r="AL282" s="229"/>
      <c r="AM282" s="229"/>
      <c r="AN282" s="229"/>
      <c r="AO282" s="229"/>
      <c r="AP282" s="229"/>
      <c r="AQ282" s="229"/>
      <c r="AR282" s="229"/>
      <c r="AS282" s="229"/>
      <c r="AT282" s="229"/>
      <c r="AU282" s="229"/>
      <c r="AV282" s="229"/>
      <c r="AW282" s="229"/>
      <c r="AX282" s="229"/>
      <c r="AY282" s="229"/>
      <c r="AZ282" s="229"/>
      <c r="BA282" s="229"/>
      <c r="BB282" s="229"/>
      <c r="BC282" s="229"/>
      <c r="BD282" s="229"/>
      <c r="BE282" s="227"/>
      <c r="BF282" s="227"/>
      <c r="BG282" s="227"/>
      <c r="BH282" s="227"/>
      <c r="BI282" s="133"/>
      <c r="BJ282" s="202"/>
      <c r="BK282" s="202"/>
      <c r="BL282" s="202"/>
      <c r="BM282" s="202"/>
      <c r="BN282" s="202"/>
      <c r="BO282" s="202"/>
      <c r="BP282" s="202"/>
      <c r="BQ282" s="202"/>
      <c r="BR282" s="202"/>
      <c r="BS282" s="202"/>
      <c r="BT282" s="202"/>
      <c r="BU282" s="202"/>
      <c r="BV282" s="202"/>
      <c r="BW282" s="202"/>
      <c r="BX282" s="202"/>
      <c r="BY282" s="202"/>
      <c r="BZ282" s="202"/>
      <c r="CA282" s="202"/>
      <c r="CB282" s="202"/>
      <c r="CC282" s="202"/>
      <c r="CD282" s="202"/>
      <c r="CE282" s="202"/>
      <c r="CF282" s="202"/>
      <c r="CG282" s="202"/>
      <c r="CH282" s="202"/>
      <c r="CI282" s="121"/>
      <c r="CJ282" s="121"/>
      <c r="CK282" s="121"/>
      <c r="CL282" s="121"/>
      <c r="CM282" s="121"/>
      <c r="CN282" s="121"/>
      <c r="CO282" s="121"/>
      <c r="CP282" s="121"/>
      <c r="CQ282" s="121"/>
      <c r="CR282" s="121"/>
      <c r="CS282" s="121"/>
      <c r="CT282" s="121"/>
      <c r="CU282" s="199"/>
      <c r="CV282" s="199"/>
      <c r="CW282" s="205"/>
      <c r="CX282" s="132"/>
      <c r="CY282" s="132"/>
      <c r="CZ282" s="132"/>
      <c r="DA282" s="132"/>
      <c r="DB282" s="132"/>
      <c r="DC282" s="132"/>
      <c r="DD282" s="132"/>
      <c r="DE282" s="103"/>
      <c r="DF282" s="103"/>
      <c r="DG282" s="103"/>
      <c r="DH282" s="103"/>
      <c r="DI282" s="103"/>
      <c r="DJ282" s="103"/>
      <c r="DK282" s="130"/>
      <c r="DL282" s="130"/>
      <c r="DM282" s="130"/>
      <c r="DN282" s="132"/>
      <c r="DO282" s="132">
        <v>6</v>
      </c>
    </row>
    <row r="283" ht="26.25" customHeight="1" spans="1:119">
      <c r="A283" s="131">
        <v>44033</v>
      </c>
      <c r="B283" s="99" t="s">
        <v>13190</v>
      </c>
      <c r="C283" s="134"/>
      <c r="D283" s="215" t="s">
        <v>13278</v>
      </c>
      <c r="E283" s="206" t="s">
        <v>13322</v>
      </c>
      <c r="F283" s="136" t="s">
        <v>13396</v>
      </c>
      <c r="G283" s="137" t="s">
        <v>13276</v>
      </c>
      <c r="H283" s="132">
        <v>6</v>
      </c>
      <c r="I283" s="132"/>
      <c r="J283" s="132"/>
      <c r="K283" s="132"/>
      <c r="L283" s="139"/>
      <c r="M283" s="140"/>
      <c r="N283" s="141"/>
      <c r="O283" s="141"/>
      <c r="P283" s="142"/>
      <c r="Q283" s="141"/>
      <c r="R283" s="141"/>
      <c r="S283" s="141"/>
      <c r="T283" s="141"/>
      <c r="U283" s="142"/>
      <c r="V283" s="227"/>
      <c r="W283" s="236"/>
      <c r="X283" s="236"/>
      <c r="Y283" s="236"/>
      <c r="Z283" s="236"/>
      <c r="AA283" s="236"/>
      <c r="AB283" s="236"/>
      <c r="AC283" s="236"/>
      <c r="AD283" s="236"/>
      <c r="AE283" s="236"/>
      <c r="AF283" s="236"/>
      <c r="AG283" s="238"/>
      <c r="AH283" s="229"/>
      <c r="AI283" s="229"/>
      <c r="AJ283" s="229"/>
      <c r="AK283" s="229"/>
      <c r="AL283" s="229"/>
      <c r="AM283" s="229"/>
      <c r="AN283" s="229"/>
      <c r="AO283" s="229"/>
      <c r="AP283" s="229"/>
      <c r="AQ283" s="229"/>
      <c r="AR283" s="229"/>
      <c r="AS283" s="229"/>
      <c r="AT283" s="229"/>
      <c r="AU283" s="229"/>
      <c r="AV283" s="229"/>
      <c r="AW283" s="229"/>
      <c r="AX283" s="229">
        <v>6</v>
      </c>
      <c r="AY283" s="229">
        <v>6</v>
      </c>
      <c r="AZ283" s="229"/>
      <c r="BA283" s="229"/>
      <c r="BB283" s="229"/>
      <c r="BC283" s="229"/>
      <c r="BD283" s="229"/>
      <c r="BE283" s="227"/>
      <c r="BF283" s="227"/>
      <c r="BG283" s="227"/>
      <c r="BH283" s="227"/>
      <c r="BI283" s="133"/>
      <c r="BJ283" s="202"/>
      <c r="BK283" s="202"/>
      <c r="BL283" s="202"/>
      <c r="BM283" s="202"/>
      <c r="BN283" s="202"/>
      <c r="BO283" s="202"/>
      <c r="BP283" s="202"/>
      <c r="BQ283" s="202"/>
      <c r="BR283" s="202"/>
      <c r="BS283" s="202"/>
      <c r="BT283" s="202"/>
      <c r="BU283" s="202"/>
      <c r="BV283" s="202"/>
      <c r="BW283" s="202"/>
      <c r="BX283" s="202"/>
      <c r="BY283" s="202"/>
      <c r="BZ283" s="202"/>
      <c r="CA283" s="202"/>
      <c r="CB283" s="202"/>
      <c r="CC283" s="202"/>
      <c r="CD283" s="202"/>
      <c r="CE283" s="202"/>
      <c r="CF283" s="202"/>
      <c r="CG283" s="202"/>
      <c r="CH283" s="202"/>
      <c r="CI283" s="121"/>
      <c r="CJ283" s="121"/>
      <c r="CK283" s="121"/>
      <c r="CL283" s="121"/>
      <c r="CM283" s="121"/>
      <c r="CN283" s="121"/>
      <c r="CO283" s="121">
        <v>1</v>
      </c>
      <c r="CP283" s="121">
        <v>1</v>
      </c>
      <c r="CQ283" s="121">
        <v>1</v>
      </c>
      <c r="CR283" s="121">
        <v>1</v>
      </c>
      <c r="CS283" s="121">
        <v>1</v>
      </c>
      <c r="CT283" s="121">
        <v>1</v>
      </c>
      <c r="CU283" s="199"/>
      <c r="CV283" s="199"/>
      <c r="CW283" s="205"/>
      <c r="CX283" s="132"/>
      <c r="CY283" s="132"/>
      <c r="CZ283" s="132"/>
      <c r="DA283" s="132"/>
      <c r="DB283" s="132"/>
      <c r="DC283" s="132"/>
      <c r="DD283" s="132"/>
      <c r="DE283" s="103"/>
      <c r="DF283" s="103"/>
      <c r="DG283" s="103"/>
      <c r="DH283" s="103"/>
      <c r="DI283" s="103"/>
      <c r="DJ283" s="103"/>
      <c r="DK283" s="130"/>
      <c r="DL283" s="130"/>
      <c r="DM283" s="130"/>
      <c r="DN283" s="132"/>
      <c r="DO283" s="132"/>
    </row>
    <row r="284" ht="26.25" customHeight="1" spans="1:119">
      <c r="A284" s="131">
        <v>44034</v>
      </c>
      <c r="B284" s="99" t="s">
        <v>13373</v>
      </c>
      <c r="C284" s="134" t="s">
        <v>13495</v>
      </c>
      <c r="D284" s="215" t="s">
        <v>13353</v>
      </c>
      <c r="E284" s="206" t="s">
        <v>13322</v>
      </c>
      <c r="F284" s="136">
        <v>9221</v>
      </c>
      <c r="G284" s="137" t="s">
        <v>13424</v>
      </c>
      <c r="H284" s="132">
        <v>12</v>
      </c>
      <c r="I284" s="132"/>
      <c r="J284" s="132"/>
      <c r="K284" s="132"/>
      <c r="L284" s="139"/>
      <c r="M284" s="140"/>
      <c r="N284" s="141"/>
      <c r="O284" s="141"/>
      <c r="P284" s="142"/>
      <c r="Q284" s="141"/>
      <c r="R284" s="141"/>
      <c r="S284" s="141"/>
      <c r="T284" s="141"/>
      <c r="U284" s="142"/>
      <c r="V284" s="227"/>
      <c r="W284" s="236"/>
      <c r="X284" s="236"/>
      <c r="Y284" s="236"/>
      <c r="Z284" s="236"/>
      <c r="AA284" s="236"/>
      <c r="AB284" s="236"/>
      <c r="AC284" s="236"/>
      <c r="AD284" s="236"/>
      <c r="AE284" s="236"/>
      <c r="AF284" s="236"/>
      <c r="AG284" s="238"/>
      <c r="AH284" s="229"/>
      <c r="AI284" s="229"/>
      <c r="AJ284" s="229"/>
      <c r="AK284" s="229"/>
      <c r="AL284" s="229"/>
      <c r="AM284" s="229"/>
      <c r="AN284" s="229"/>
      <c r="AO284" s="229"/>
      <c r="AP284" s="229"/>
      <c r="AQ284" s="229"/>
      <c r="AR284" s="229"/>
      <c r="AS284" s="229"/>
      <c r="AT284" s="229"/>
      <c r="AU284" s="229"/>
      <c r="AV284" s="229"/>
      <c r="AW284" s="229"/>
      <c r="AX284" s="229"/>
      <c r="AY284" s="229"/>
      <c r="AZ284" s="229"/>
      <c r="BA284" s="229"/>
      <c r="BB284" s="229"/>
      <c r="BC284" s="229"/>
      <c r="BD284" s="229"/>
      <c r="BE284" s="227"/>
      <c r="BF284" s="227"/>
      <c r="BG284" s="227"/>
      <c r="BH284" s="227"/>
      <c r="BI284" s="133"/>
      <c r="BJ284" s="202"/>
      <c r="BK284" s="202"/>
      <c r="BL284" s="202"/>
      <c r="BM284" s="202"/>
      <c r="BN284" s="202"/>
      <c r="BO284" s="202"/>
      <c r="BP284" s="202"/>
      <c r="BQ284" s="202"/>
      <c r="BR284" s="202"/>
      <c r="BS284" s="202"/>
      <c r="BT284" s="202"/>
      <c r="BU284" s="202"/>
      <c r="BV284" s="202"/>
      <c r="BW284" s="202"/>
      <c r="BX284" s="202"/>
      <c r="BY284" s="202"/>
      <c r="BZ284" s="202"/>
      <c r="CA284" s="202"/>
      <c r="CB284" s="202"/>
      <c r="CC284" s="202"/>
      <c r="CD284" s="202"/>
      <c r="CE284" s="202"/>
      <c r="CF284" s="202"/>
      <c r="CG284" s="202"/>
      <c r="CH284" s="202"/>
      <c r="CI284" s="121"/>
      <c r="CJ284" s="121"/>
      <c r="CK284" s="121"/>
      <c r="CL284" s="121"/>
      <c r="CM284" s="121"/>
      <c r="CN284" s="121"/>
      <c r="CO284" s="121"/>
      <c r="CP284" s="121"/>
      <c r="CQ284" s="121"/>
      <c r="CR284" s="121"/>
      <c r="CS284" s="121"/>
      <c r="CT284" s="121"/>
      <c r="CU284" s="199"/>
      <c r="CV284" s="199"/>
      <c r="CW284" s="205"/>
      <c r="CX284" s="132"/>
      <c r="CY284" s="132"/>
      <c r="CZ284" s="132"/>
      <c r="DA284" s="132"/>
      <c r="DB284" s="132"/>
      <c r="DC284" s="132"/>
      <c r="DD284" s="132"/>
      <c r="DE284" s="103"/>
      <c r="DF284" s="103">
        <v>3</v>
      </c>
      <c r="DG284" s="103">
        <v>3</v>
      </c>
      <c r="DH284" s="103">
        <v>3</v>
      </c>
      <c r="DI284" s="103">
        <v>3</v>
      </c>
      <c r="DJ284" s="103"/>
      <c r="DK284" s="130"/>
      <c r="DL284" s="130"/>
      <c r="DM284" s="130"/>
      <c r="DN284" s="132"/>
      <c r="DO284" s="132"/>
    </row>
    <row r="285" ht="26.25" customHeight="1" spans="1:119">
      <c r="A285" s="131">
        <v>44034</v>
      </c>
      <c r="B285" s="99" t="s">
        <v>13373</v>
      </c>
      <c r="C285" s="134" t="s">
        <v>13496</v>
      </c>
      <c r="D285" s="215" t="s">
        <v>13353</v>
      </c>
      <c r="E285" s="206" t="s">
        <v>13320</v>
      </c>
      <c r="F285" s="136">
        <v>9221</v>
      </c>
      <c r="G285" s="137" t="s">
        <v>13424</v>
      </c>
      <c r="H285" s="132">
        <v>3</v>
      </c>
      <c r="I285" s="132"/>
      <c r="J285" s="132"/>
      <c r="K285" s="132"/>
      <c r="L285" s="139"/>
      <c r="M285" s="140"/>
      <c r="N285" s="141"/>
      <c r="O285" s="141"/>
      <c r="P285" s="142"/>
      <c r="Q285" s="141"/>
      <c r="R285" s="141"/>
      <c r="S285" s="141"/>
      <c r="T285" s="141"/>
      <c r="U285" s="142"/>
      <c r="V285" s="227"/>
      <c r="W285" s="236"/>
      <c r="X285" s="236"/>
      <c r="Y285" s="236"/>
      <c r="Z285" s="236"/>
      <c r="AA285" s="236"/>
      <c r="AB285" s="236"/>
      <c r="AC285" s="236"/>
      <c r="AD285" s="236"/>
      <c r="AE285" s="236"/>
      <c r="AF285" s="236"/>
      <c r="AG285" s="238"/>
      <c r="AH285" s="229"/>
      <c r="AI285" s="229"/>
      <c r="AJ285" s="229"/>
      <c r="AK285" s="229"/>
      <c r="AL285" s="229"/>
      <c r="AM285" s="229"/>
      <c r="AN285" s="229"/>
      <c r="AO285" s="229"/>
      <c r="AP285" s="229"/>
      <c r="AQ285" s="229"/>
      <c r="AR285" s="229"/>
      <c r="AS285" s="229"/>
      <c r="AT285" s="229"/>
      <c r="AU285" s="229"/>
      <c r="AV285" s="229"/>
      <c r="AW285" s="229"/>
      <c r="AX285" s="229"/>
      <c r="AY285" s="229"/>
      <c r="AZ285" s="229"/>
      <c r="BA285" s="229"/>
      <c r="BB285" s="229"/>
      <c r="BC285" s="229"/>
      <c r="BD285" s="229"/>
      <c r="BE285" s="227"/>
      <c r="BF285" s="227"/>
      <c r="BG285" s="227"/>
      <c r="BH285" s="227"/>
      <c r="BI285" s="133"/>
      <c r="BJ285" s="202"/>
      <c r="BK285" s="202"/>
      <c r="BL285" s="202"/>
      <c r="BM285" s="202"/>
      <c r="BN285" s="202"/>
      <c r="BO285" s="202"/>
      <c r="BP285" s="202"/>
      <c r="BQ285" s="202"/>
      <c r="BR285" s="202"/>
      <c r="BS285" s="202"/>
      <c r="BT285" s="202"/>
      <c r="BU285" s="202"/>
      <c r="BV285" s="202"/>
      <c r="BW285" s="202"/>
      <c r="BX285" s="202"/>
      <c r="BY285" s="202"/>
      <c r="BZ285" s="202"/>
      <c r="CA285" s="202"/>
      <c r="CB285" s="202"/>
      <c r="CC285" s="202"/>
      <c r="CD285" s="202"/>
      <c r="CE285" s="202"/>
      <c r="CF285" s="202"/>
      <c r="CG285" s="202"/>
      <c r="CH285" s="202"/>
      <c r="CI285" s="121"/>
      <c r="CJ285" s="121"/>
      <c r="CK285" s="121"/>
      <c r="CL285" s="121"/>
      <c r="CM285" s="121"/>
      <c r="CN285" s="121"/>
      <c r="CO285" s="121"/>
      <c r="CP285" s="121"/>
      <c r="CQ285" s="121"/>
      <c r="CR285" s="121"/>
      <c r="CS285" s="121"/>
      <c r="CT285" s="121"/>
      <c r="CU285" s="199"/>
      <c r="CV285" s="199"/>
      <c r="CW285" s="205"/>
      <c r="CX285" s="132"/>
      <c r="CY285" s="132"/>
      <c r="CZ285" s="132"/>
      <c r="DA285" s="132"/>
      <c r="DB285" s="132"/>
      <c r="DC285" s="132"/>
      <c r="DD285" s="132"/>
      <c r="DE285" s="103">
        <v>1</v>
      </c>
      <c r="DF285" s="103"/>
      <c r="DG285" s="103">
        <v>1</v>
      </c>
      <c r="DH285" s="103"/>
      <c r="DI285" s="103">
        <v>1</v>
      </c>
      <c r="DJ285" s="103"/>
      <c r="DK285" s="130"/>
      <c r="DL285" s="130"/>
      <c r="DM285" s="130"/>
      <c r="DN285" s="132"/>
      <c r="DO285" s="132"/>
    </row>
    <row r="286" ht="26.25" customHeight="1" spans="1:119">
      <c r="A286" s="131">
        <v>44035</v>
      </c>
      <c r="B286" s="99" t="s">
        <v>1199</v>
      </c>
      <c r="C286" s="134"/>
      <c r="D286" s="218" t="s">
        <v>2580</v>
      </c>
      <c r="E286" s="206" t="s">
        <v>13315</v>
      </c>
      <c r="F286" s="136">
        <v>9214</v>
      </c>
      <c r="G286" s="137" t="s">
        <v>13276</v>
      </c>
      <c r="H286" s="132">
        <v>3</v>
      </c>
      <c r="I286" s="132"/>
      <c r="J286" s="132"/>
      <c r="K286" s="132"/>
      <c r="L286" s="139"/>
      <c r="M286" s="140"/>
      <c r="N286" s="141"/>
      <c r="O286" s="141"/>
      <c r="P286" s="142"/>
      <c r="Q286" s="141"/>
      <c r="R286" s="141"/>
      <c r="S286" s="141"/>
      <c r="T286" s="141"/>
      <c r="U286" s="142"/>
      <c r="V286" s="227"/>
      <c r="W286" s="236"/>
      <c r="X286" s="236"/>
      <c r="Y286" s="236"/>
      <c r="Z286" s="236"/>
      <c r="AA286" s="236"/>
      <c r="AB286" s="236"/>
      <c r="AC286" s="236"/>
      <c r="AD286" s="236"/>
      <c r="AE286" s="236"/>
      <c r="AF286" s="236"/>
      <c r="AG286" s="238"/>
      <c r="AH286" s="229"/>
      <c r="AI286" s="229"/>
      <c r="AJ286" s="229"/>
      <c r="AK286" s="229"/>
      <c r="AL286" s="229"/>
      <c r="AM286" s="229"/>
      <c r="AN286" s="229"/>
      <c r="AO286" s="229"/>
      <c r="AP286" s="229"/>
      <c r="AQ286" s="229"/>
      <c r="AR286" s="229"/>
      <c r="AS286" s="229"/>
      <c r="AT286" s="229"/>
      <c r="AU286" s="229"/>
      <c r="AV286" s="229"/>
      <c r="AW286" s="229"/>
      <c r="AX286" s="229">
        <v>3</v>
      </c>
      <c r="AY286" s="229">
        <v>3</v>
      </c>
      <c r="AZ286" s="229"/>
      <c r="BA286" s="229"/>
      <c r="BB286" s="229"/>
      <c r="BC286" s="229"/>
      <c r="BD286" s="229"/>
      <c r="BE286" s="227"/>
      <c r="BF286" s="227"/>
      <c r="BG286" s="227"/>
      <c r="BH286" s="227"/>
      <c r="BI286" s="133"/>
      <c r="BJ286" s="202"/>
      <c r="BK286" s="202"/>
      <c r="BL286" s="202"/>
      <c r="BM286" s="202"/>
      <c r="BN286" s="202"/>
      <c r="BO286" s="202"/>
      <c r="BP286" s="202"/>
      <c r="BQ286" s="202"/>
      <c r="BR286" s="202"/>
      <c r="BS286" s="202"/>
      <c r="BT286" s="202"/>
      <c r="BU286" s="202"/>
      <c r="BV286" s="202"/>
      <c r="BW286" s="202"/>
      <c r="BX286" s="202"/>
      <c r="BY286" s="202"/>
      <c r="BZ286" s="202"/>
      <c r="CA286" s="202"/>
      <c r="CB286" s="202"/>
      <c r="CC286" s="202"/>
      <c r="CD286" s="202"/>
      <c r="CE286" s="202"/>
      <c r="CF286" s="202"/>
      <c r="CG286" s="202"/>
      <c r="CH286" s="202"/>
      <c r="CI286" s="121"/>
      <c r="CJ286" s="121"/>
      <c r="CK286" s="121"/>
      <c r="CL286" s="121"/>
      <c r="CM286" s="121"/>
      <c r="CN286" s="121"/>
      <c r="CO286" s="121"/>
      <c r="CP286" s="121"/>
      <c r="CQ286" s="121"/>
      <c r="CR286" s="121"/>
      <c r="CS286" s="121"/>
      <c r="CT286" s="121"/>
      <c r="CU286" s="199"/>
      <c r="CV286" s="199"/>
      <c r="CW286" s="205"/>
      <c r="CX286" s="132"/>
      <c r="CY286" s="132"/>
      <c r="CZ286" s="132"/>
      <c r="DA286" s="132"/>
      <c r="DB286" s="132"/>
      <c r="DC286" s="132"/>
      <c r="DD286" s="132"/>
      <c r="DE286" s="103"/>
      <c r="DF286" s="103"/>
      <c r="DG286" s="103"/>
      <c r="DH286" s="103"/>
      <c r="DI286" s="103"/>
      <c r="DJ286" s="103"/>
      <c r="DK286" s="130"/>
      <c r="DL286" s="130"/>
      <c r="DM286" s="130"/>
      <c r="DN286" s="132"/>
      <c r="DO286" s="132"/>
    </row>
    <row r="287" ht="26.25" customHeight="1" spans="1:119">
      <c r="A287" s="131">
        <v>44035</v>
      </c>
      <c r="B287" s="99" t="s">
        <v>1199</v>
      </c>
      <c r="C287" s="134" t="s">
        <v>13497</v>
      </c>
      <c r="D287" s="218" t="s">
        <v>2580</v>
      </c>
      <c r="E287" s="206" t="s">
        <v>13315</v>
      </c>
      <c r="F287" s="136">
        <v>9212</v>
      </c>
      <c r="G287" s="137" t="s">
        <v>13424</v>
      </c>
      <c r="H287" s="132">
        <v>3</v>
      </c>
      <c r="I287" s="132"/>
      <c r="J287" s="132"/>
      <c r="K287" s="132"/>
      <c r="L287" s="139"/>
      <c r="M287" s="140"/>
      <c r="N287" s="141"/>
      <c r="O287" s="141"/>
      <c r="P287" s="142"/>
      <c r="Q287" s="141"/>
      <c r="R287" s="141"/>
      <c r="S287" s="141"/>
      <c r="T287" s="141"/>
      <c r="U287" s="142"/>
      <c r="V287" s="227"/>
      <c r="W287" s="236"/>
      <c r="X287" s="236"/>
      <c r="Y287" s="236"/>
      <c r="Z287" s="236"/>
      <c r="AA287" s="236"/>
      <c r="AB287" s="236"/>
      <c r="AC287" s="236"/>
      <c r="AD287" s="236"/>
      <c r="AE287" s="236"/>
      <c r="AF287" s="236"/>
      <c r="AG287" s="238"/>
      <c r="AH287" s="229"/>
      <c r="AI287" s="229"/>
      <c r="AJ287" s="229"/>
      <c r="AK287" s="229"/>
      <c r="AL287" s="229"/>
      <c r="AM287" s="229"/>
      <c r="AN287" s="229"/>
      <c r="AO287" s="229"/>
      <c r="AP287" s="229"/>
      <c r="AQ287" s="229"/>
      <c r="AR287" s="229"/>
      <c r="AS287" s="229"/>
      <c r="AT287" s="229"/>
      <c r="AU287" s="229"/>
      <c r="AV287" s="229"/>
      <c r="AW287" s="229"/>
      <c r="AX287" s="229"/>
      <c r="AY287" s="229"/>
      <c r="AZ287" s="229"/>
      <c r="BA287" s="229"/>
      <c r="BB287" s="229"/>
      <c r="BC287" s="229"/>
      <c r="BD287" s="229"/>
      <c r="BE287" s="227"/>
      <c r="BF287" s="227"/>
      <c r="BG287" s="227"/>
      <c r="BH287" s="227"/>
      <c r="BI287" s="133"/>
      <c r="BJ287" s="202"/>
      <c r="BK287" s="202"/>
      <c r="BL287" s="202"/>
      <c r="BM287" s="202"/>
      <c r="BN287" s="202"/>
      <c r="BO287" s="202"/>
      <c r="BP287" s="202"/>
      <c r="BQ287" s="202"/>
      <c r="BR287" s="202"/>
      <c r="BS287" s="202"/>
      <c r="BT287" s="202"/>
      <c r="BU287" s="202"/>
      <c r="BV287" s="202"/>
      <c r="BW287" s="202"/>
      <c r="BX287" s="202"/>
      <c r="BY287" s="202"/>
      <c r="BZ287" s="202"/>
      <c r="CA287" s="202"/>
      <c r="CB287" s="202"/>
      <c r="CC287" s="202"/>
      <c r="CD287" s="202"/>
      <c r="CE287" s="202"/>
      <c r="CF287" s="202"/>
      <c r="CG287" s="202"/>
      <c r="CH287" s="202"/>
      <c r="CI287" s="121"/>
      <c r="CJ287" s="121"/>
      <c r="CK287" s="121"/>
      <c r="CL287" s="121"/>
      <c r="CM287" s="121"/>
      <c r="CN287" s="121"/>
      <c r="CO287" s="121"/>
      <c r="CP287" s="121"/>
      <c r="CQ287" s="121"/>
      <c r="CR287" s="121"/>
      <c r="CS287" s="121"/>
      <c r="CT287" s="121"/>
      <c r="CU287" s="199"/>
      <c r="CV287" s="199"/>
      <c r="CW287" s="205"/>
      <c r="CX287" s="132"/>
      <c r="CY287" s="132"/>
      <c r="CZ287" s="132"/>
      <c r="DA287" s="132"/>
      <c r="DB287" s="132"/>
      <c r="DC287" s="132"/>
      <c r="DD287" s="132"/>
      <c r="DE287" s="103">
        <v>1</v>
      </c>
      <c r="DF287" s="103"/>
      <c r="DG287" s="103">
        <v>1</v>
      </c>
      <c r="DH287" s="103"/>
      <c r="DI287" s="103"/>
      <c r="DJ287" s="103">
        <v>1</v>
      </c>
      <c r="DK287" s="130"/>
      <c r="DL287" s="130"/>
      <c r="DM287" s="130"/>
      <c r="DN287" s="132"/>
      <c r="DO287" s="132"/>
    </row>
    <row r="288" ht="26.25" customHeight="1" spans="1:119">
      <c r="A288" s="131">
        <v>44036</v>
      </c>
      <c r="B288" s="99" t="s">
        <v>13498</v>
      </c>
      <c r="C288" s="134" t="s">
        <v>13499</v>
      </c>
      <c r="D288" s="218" t="s">
        <v>13500</v>
      </c>
      <c r="E288" s="206" t="s">
        <v>13322</v>
      </c>
      <c r="F288" s="136">
        <v>9215</v>
      </c>
      <c r="G288" s="137" t="s">
        <v>13410</v>
      </c>
      <c r="H288" s="132">
        <v>21</v>
      </c>
      <c r="I288" s="132"/>
      <c r="J288" s="132"/>
      <c r="K288" s="132"/>
      <c r="L288" s="139"/>
      <c r="M288" s="140"/>
      <c r="N288" s="141"/>
      <c r="O288" s="141"/>
      <c r="P288" s="142"/>
      <c r="Q288" s="141"/>
      <c r="R288" s="141"/>
      <c r="S288" s="141"/>
      <c r="T288" s="141"/>
      <c r="U288" s="142"/>
      <c r="V288" s="227"/>
      <c r="W288" s="236"/>
      <c r="X288" s="236"/>
      <c r="Y288" s="236"/>
      <c r="Z288" s="236"/>
      <c r="AA288" s="236"/>
      <c r="AB288" s="236"/>
      <c r="AC288" s="236"/>
      <c r="AD288" s="236"/>
      <c r="AE288" s="236"/>
      <c r="AF288" s="236"/>
      <c r="AG288" s="238"/>
      <c r="AH288" s="229"/>
      <c r="AI288" s="229"/>
      <c r="AJ288" s="229"/>
      <c r="AK288" s="229"/>
      <c r="AL288" s="229"/>
      <c r="AM288" s="229"/>
      <c r="AN288" s="229"/>
      <c r="AO288" s="229"/>
      <c r="AP288" s="229"/>
      <c r="AQ288" s="229"/>
      <c r="AR288" s="229"/>
      <c r="AS288" s="229"/>
      <c r="AT288" s="229"/>
      <c r="AU288" s="229"/>
      <c r="AV288" s="229"/>
      <c r="AW288" s="229"/>
      <c r="AX288" s="229"/>
      <c r="AY288" s="229"/>
      <c r="AZ288" s="229"/>
      <c r="BA288" s="229"/>
      <c r="BB288" s="229"/>
      <c r="BC288" s="229"/>
      <c r="BD288" s="229"/>
      <c r="BE288" s="227"/>
      <c r="BF288" s="227"/>
      <c r="BG288" s="227"/>
      <c r="BH288" s="227"/>
      <c r="BI288" s="133"/>
      <c r="BJ288" s="202"/>
      <c r="BK288" s="202"/>
      <c r="BL288" s="202"/>
      <c r="BM288" s="202"/>
      <c r="BN288" s="202"/>
      <c r="BO288" s="202"/>
      <c r="BP288" s="202"/>
      <c r="BQ288" s="202"/>
      <c r="BR288" s="202"/>
      <c r="BS288" s="202"/>
      <c r="BT288" s="202"/>
      <c r="BU288" s="202"/>
      <c r="BV288" s="202"/>
      <c r="BW288" s="202"/>
      <c r="BX288" s="202"/>
      <c r="BY288" s="202"/>
      <c r="BZ288" s="202"/>
      <c r="CA288" s="202"/>
      <c r="CB288" s="202"/>
      <c r="CC288" s="202"/>
      <c r="CD288" s="202"/>
      <c r="CE288" s="202"/>
      <c r="CF288" s="202"/>
      <c r="CG288" s="202"/>
      <c r="CH288" s="202"/>
      <c r="CI288" s="121"/>
      <c r="CJ288" s="121"/>
      <c r="CK288" s="121"/>
      <c r="CL288" s="121"/>
      <c r="CM288" s="121"/>
      <c r="CN288" s="121"/>
      <c r="CO288" s="121"/>
      <c r="CP288" s="121"/>
      <c r="CQ288" s="121"/>
      <c r="CR288" s="121"/>
      <c r="CS288" s="121"/>
      <c r="CT288" s="121"/>
      <c r="CU288" s="199"/>
      <c r="CV288" s="199"/>
      <c r="CW288" s="205"/>
      <c r="CX288" s="132">
        <v>3</v>
      </c>
      <c r="CY288" s="132">
        <v>3</v>
      </c>
      <c r="CZ288" s="132">
        <v>3</v>
      </c>
      <c r="DA288" s="132">
        <v>3</v>
      </c>
      <c r="DB288" s="132">
        <v>3</v>
      </c>
      <c r="DC288" s="132">
        <v>3</v>
      </c>
      <c r="DD288" s="132">
        <v>3</v>
      </c>
      <c r="DE288" s="103"/>
      <c r="DF288" s="103"/>
      <c r="DG288" s="103"/>
      <c r="DH288" s="103"/>
      <c r="DI288" s="103"/>
      <c r="DJ288" s="103"/>
      <c r="DK288" s="130"/>
      <c r="DL288" s="130"/>
      <c r="DM288" s="130"/>
      <c r="DN288" s="132"/>
      <c r="DO288" s="132"/>
    </row>
    <row r="289" ht="26.25" customHeight="1" spans="1:119">
      <c r="A289" s="131">
        <v>44039</v>
      </c>
      <c r="B289" s="99" t="s">
        <v>13366</v>
      </c>
      <c r="C289" s="134">
        <v>4500032426</v>
      </c>
      <c r="D289" s="215" t="s">
        <v>13258</v>
      </c>
      <c r="E289" s="206" t="s">
        <v>13320</v>
      </c>
      <c r="F289" s="136">
        <v>9213</v>
      </c>
      <c r="G289" s="137" t="s">
        <v>13473</v>
      </c>
      <c r="H289" s="132">
        <v>6</v>
      </c>
      <c r="I289" s="132"/>
      <c r="J289" s="132"/>
      <c r="K289" s="132"/>
      <c r="L289" s="139"/>
      <c r="M289" s="140"/>
      <c r="N289" s="141"/>
      <c r="O289" s="141"/>
      <c r="P289" s="142"/>
      <c r="Q289" s="141"/>
      <c r="R289" s="141"/>
      <c r="S289" s="141"/>
      <c r="T289" s="141"/>
      <c r="U289" s="142"/>
      <c r="V289" s="227"/>
      <c r="W289" s="236"/>
      <c r="X289" s="236"/>
      <c r="Y289" s="236"/>
      <c r="Z289" s="236"/>
      <c r="AA289" s="236"/>
      <c r="AB289" s="236"/>
      <c r="AC289" s="236"/>
      <c r="AD289" s="236"/>
      <c r="AE289" s="236"/>
      <c r="AF289" s="236"/>
      <c r="AG289" s="238"/>
      <c r="AH289" s="229"/>
      <c r="AI289" s="229"/>
      <c r="AJ289" s="229"/>
      <c r="AK289" s="229"/>
      <c r="AL289" s="229"/>
      <c r="AM289" s="229"/>
      <c r="AN289" s="229"/>
      <c r="AO289" s="229"/>
      <c r="AP289" s="229"/>
      <c r="AQ289" s="229"/>
      <c r="AR289" s="229"/>
      <c r="AS289" s="229"/>
      <c r="AT289" s="229"/>
      <c r="AU289" s="229"/>
      <c r="AV289" s="229"/>
      <c r="AW289" s="229"/>
      <c r="AX289" s="229"/>
      <c r="AY289" s="229"/>
      <c r="AZ289" s="229"/>
      <c r="BA289" s="229"/>
      <c r="BB289" s="229"/>
      <c r="BC289" s="229"/>
      <c r="BD289" s="229"/>
      <c r="BE289" s="227"/>
      <c r="BF289" s="227"/>
      <c r="BG289" s="227"/>
      <c r="BH289" s="227"/>
      <c r="BI289" s="133"/>
      <c r="BJ289" s="202"/>
      <c r="BK289" s="202"/>
      <c r="BL289" s="202"/>
      <c r="BM289" s="202"/>
      <c r="BN289" s="202"/>
      <c r="BO289" s="202"/>
      <c r="BP289" s="202"/>
      <c r="BQ289" s="202"/>
      <c r="BR289" s="202"/>
      <c r="BS289" s="202"/>
      <c r="BT289" s="202"/>
      <c r="BU289" s="202"/>
      <c r="BV289" s="202"/>
      <c r="BW289" s="202"/>
      <c r="BX289" s="202"/>
      <c r="BY289" s="202"/>
      <c r="BZ289" s="202"/>
      <c r="CA289" s="202"/>
      <c r="CB289" s="202"/>
      <c r="CC289" s="202"/>
      <c r="CD289" s="202"/>
      <c r="CE289" s="202"/>
      <c r="CF289" s="202"/>
      <c r="CG289" s="202"/>
      <c r="CH289" s="202"/>
      <c r="CI289" s="121"/>
      <c r="CJ289" s="121"/>
      <c r="CK289" s="121"/>
      <c r="CL289" s="121"/>
      <c r="CM289" s="121"/>
      <c r="CN289" s="121"/>
      <c r="CO289" s="121"/>
      <c r="CP289" s="121"/>
      <c r="CQ289" s="121"/>
      <c r="CR289" s="121"/>
      <c r="CS289" s="121"/>
      <c r="CT289" s="121"/>
      <c r="CU289" s="199"/>
      <c r="CV289" s="199"/>
      <c r="CW289" s="205"/>
      <c r="CX289" s="132"/>
      <c r="CY289" s="132"/>
      <c r="CZ289" s="132"/>
      <c r="DA289" s="132"/>
      <c r="DB289" s="132"/>
      <c r="DC289" s="132"/>
      <c r="DD289" s="132"/>
      <c r="DE289" s="103"/>
      <c r="DF289" s="103"/>
      <c r="DG289" s="103"/>
      <c r="DH289" s="103"/>
      <c r="DI289" s="103"/>
      <c r="DJ289" s="103"/>
      <c r="DK289" s="130">
        <v>2</v>
      </c>
      <c r="DL289" s="130">
        <v>2</v>
      </c>
      <c r="DM289" s="130">
        <v>2</v>
      </c>
      <c r="DN289" s="132"/>
      <c r="DO289" s="132"/>
    </row>
    <row r="290" ht="26.25" customHeight="1" spans="1:119">
      <c r="A290" s="131">
        <v>44039</v>
      </c>
      <c r="B290" s="99" t="s">
        <v>13373</v>
      </c>
      <c r="C290" s="134" t="s">
        <v>13496</v>
      </c>
      <c r="D290" s="215" t="s">
        <v>13353</v>
      </c>
      <c r="E290" s="206" t="s">
        <v>13322</v>
      </c>
      <c r="F290" s="136">
        <v>9221</v>
      </c>
      <c r="G290" s="137" t="s">
        <v>13424</v>
      </c>
      <c r="H290" s="132">
        <v>8</v>
      </c>
      <c r="I290" s="132"/>
      <c r="J290" s="132"/>
      <c r="K290" s="132"/>
      <c r="L290" s="139"/>
      <c r="M290" s="140"/>
      <c r="N290" s="141"/>
      <c r="O290" s="141"/>
      <c r="P290" s="142"/>
      <c r="Q290" s="141"/>
      <c r="R290" s="141"/>
      <c r="S290" s="141"/>
      <c r="T290" s="141"/>
      <c r="U290" s="142"/>
      <c r="V290" s="227"/>
      <c r="W290" s="236"/>
      <c r="X290" s="236"/>
      <c r="Y290" s="236"/>
      <c r="Z290" s="236"/>
      <c r="AA290" s="236"/>
      <c r="AB290" s="236"/>
      <c r="AC290" s="236"/>
      <c r="AD290" s="236"/>
      <c r="AE290" s="236"/>
      <c r="AF290" s="236"/>
      <c r="AG290" s="238"/>
      <c r="AH290" s="229"/>
      <c r="AI290" s="229"/>
      <c r="AJ290" s="229"/>
      <c r="AK290" s="229"/>
      <c r="AL290" s="229"/>
      <c r="AM290" s="229"/>
      <c r="AN290" s="229"/>
      <c r="AO290" s="229"/>
      <c r="AP290" s="229"/>
      <c r="AQ290" s="229"/>
      <c r="AR290" s="229"/>
      <c r="AS290" s="229"/>
      <c r="AT290" s="229"/>
      <c r="AU290" s="229"/>
      <c r="AV290" s="229"/>
      <c r="AW290" s="229"/>
      <c r="AX290" s="229"/>
      <c r="AY290" s="229"/>
      <c r="AZ290" s="229"/>
      <c r="BA290" s="229"/>
      <c r="BB290" s="229"/>
      <c r="BC290" s="229"/>
      <c r="BD290" s="229"/>
      <c r="BE290" s="227"/>
      <c r="BF290" s="227"/>
      <c r="BG290" s="227"/>
      <c r="BH290" s="227"/>
      <c r="BI290" s="133"/>
      <c r="BJ290" s="202"/>
      <c r="BK290" s="202"/>
      <c r="BL290" s="202"/>
      <c r="BM290" s="202"/>
      <c r="BN290" s="202"/>
      <c r="BO290" s="202"/>
      <c r="BP290" s="202"/>
      <c r="BQ290" s="202"/>
      <c r="BR290" s="202"/>
      <c r="BS290" s="202"/>
      <c r="BT290" s="202"/>
      <c r="BU290" s="202"/>
      <c r="BV290" s="202"/>
      <c r="BW290" s="202"/>
      <c r="BX290" s="202"/>
      <c r="BY290" s="202"/>
      <c r="BZ290" s="202"/>
      <c r="CA290" s="202"/>
      <c r="CB290" s="202"/>
      <c r="CC290" s="202"/>
      <c r="CD290" s="202"/>
      <c r="CE290" s="202"/>
      <c r="CF290" s="202"/>
      <c r="CG290" s="202"/>
      <c r="CH290" s="202"/>
      <c r="CI290" s="121"/>
      <c r="CJ290" s="121"/>
      <c r="CK290" s="121"/>
      <c r="CL290" s="121"/>
      <c r="CM290" s="121"/>
      <c r="CN290" s="121"/>
      <c r="CO290" s="121"/>
      <c r="CP290" s="121"/>
      <c r="CQ290" s="121"/>
      <c r="CR290" s="121"/>
      <c r="CS290" s="121"/>
      <c r="CT290" s="121"/>
      <c r="CU290" s="199"/>
      <c r="CV290" s="199"/>
      <c r="CW290" s="205"/>
      <c r="CX290" s="132"/>
      <c r="CY290" s="132"/>
      <c r="CZ290" s="132"/>
      <c r="DA290" s="132"/>
      <c r="DB290" s="132"/>
      <c r="DC290" s="132"/>
      <c r="DD290" s="132"/>
      <c r="DE290" s="103"/>
      <c r="DF290" s="103">
        <v>2</v>
      </c>
      <c r="DG290" s="103">
        <v>2</v>
      </c>
      <c r="DH290" s="103">
        <v>2</v>
      </c>
      <c r="DI290" s="103">
        <v>2</v>
      </c>
      <c r="DJ290" s="103"/>
      <c r="DK290" s="130"/>
      <c r="DL290" s="130"/>
      <c r="DM290" s="130"/>
      <c r="DN290" s="132"/>
      <c r="DO290" s="132"/>
    </row>
    <row r="291" ht="26.25" customHeight="1" spans="1:119">
      <c r="A291" s="131">
        <v>44040</v>
      </c>
      <c r="B291" s="99" t="s">
        <v>13324</v>
      </c>
      <c r="C291" s="134"/>
      <c r="D291" s="215" t="s">
        <v>13501</v>
      </c>
      <c r="E291" s="206" t="s">
        <v>13361</v>
      </c>
      <c r="F291" s="136">
        <v>9212</v>
      </c>
      <c r="G291" s="137" t="s">
        <v>13424</v>
      </c>
      <c r="H291" s="132">
        <v>12</v>
      </c>
      <c r="I291" s="132"/>
      <c r="J291" s="132"/>
      <c r="K291" s="132"/>
      <c r="L291" s="139"/>
      <c r="M291" s="140"/>
      <c r="N291" s="141"/>
      <c r="O291" s="141"/>
      <c r="P291" s="142"/>
      <c r="Q291" s="141"/>
      <c r="R291" s="141"/>
      <c r="S291" s="141"/>
      <c r="T291" s="141"/>
      <c r="U291" s="142"/>
      <c r="V291" s="227"/>
      <c r="W291" s="236"/>
      <c r="X291" s="236"/>
      <c r="Y291" s="236"/>
      <c r="Z291" s="236"/>
      <c r="AA291" s="236"/>
      <c r="AB291" s="236"/>
      <c r="AC291" s="236"/>
      <c r="AD291" s="236"/>
      <c r="AE291" s="236"/>
      <c r="AF291" s="236"/>
      <c r="AG291" s="238"/>
      <c r="AH291" s="229"/>
      <c r="AI291" s="229"/>
      <c r="AJ291" s="229"/>
      <c r="AK291" s="229"/>
      <c r="AL291" s="229"/>
      <c r="AM291" s="229"/>
      <c r="AN291" s="229"/>
      <c r="AO291" s="229"/>
      <c r="AP291" s="229"/>
      <c r="AQ291" s="229"/>
      <c r="AR291" s="229"/>
      <c r="AS291" s="229"/>
      <c r="AT291" s="229"/>
      <c r="AU291" s="229"/>
      <c r="AV291" s="229"/>
      <c r="AW291" s="229"/>
      <c r="AX291" s="229"/>
      <c r="AY291" s="229"/>
      <c r="AZ291" s="229"/>
      <c r="BA291" s="229"/>
      <c r="BB291" s="229"/>
      <c r="BC291" s="229"/>
      <c r="BD291" s="229"/>
      <c r="BE291" s="227"/>
      <c r="BF291" s="227"/>
      <c r="BG291" s="227"/>
      <c r="BH291" s="227"/>
      <c r="BI291" s="133"/>
      <c r="BJ291" s="202"/>
      <c r="BK291" s="202"/>
      <c r="BL291" s="202"/>
      <c r="BM291" s="202"/>
      <c r="BN291" s="202"/>
      <c r="BO291" s="202"/>
      <c r="BP291" s="202"/>
      <c r="BQ291" s="202"/>
      <c r="BR291" s="202"/>
      <c r="BS291" s="202"/>
      <c r="BT291" s="202"/>
      <c r="BU291" s="202"/>
      <c r="BV291" s="202"/>
      <c r="BW291" s="202"/>
      <c r="BX291" s="202"/>
      <c r="BY291" s="202"/>
      <c r="BZ291" s="202"/>
      <c r="CA291" s="202"/>
      <c r="CB291" s="202"/>
      <c r="CC291" s="202"/>
      <c r="CD291" s="202"/>
      <c r="CE291" s="202"/>
      <c r="CF291" s="202"/>
      <c r="CG291" s="202"/>
      <c r="CH291" s="202"/>
      <c r="CI291" s="121"/>
      <c r="CJ291" s="121"/>
      <c r="CK291" s="121"/>
      <c r="CL291" s="121"/>
      <c r="CM291" s="121"/>
      <c r="CN291" s="121"/>
      <c r="CO291" s="121"/>
      <c r="CP291" s="121"/>
      <c r="CQ291" s="121"/>
      <c r="CR291" s="121"/>
      <c r="CS291" s="121"/>
      <c r="CT291" s="121"/>
      <c r="CU291" s="199"/>
      <c r="CV291" s="199"/>
      <c r="CW291" s="205"/>
      <c r="CX291" s="132"/>
      <c r="CY291" s="132"/>
      <c r="CZ291" s="132"/>
      <c r="DA291" s="132"/>
      <c r="DB291" s="132"/>
      <c r="DC291" s="132"/>
      <c r="DD291" s="132"/>
      <c r="DE291" s="103">
        <v>2</v>
      </c>
      <c r="DF291" s="103">
        <v>2</v>
      </c>
      <c r="DG291" s="103">
        <v>2</v>
      </c>
      <c r="DH291" s="103">
        <v>2</v>
      </c>
      <c r="DI291" s="103">
        <v>2</v>
      </c>
      <c r="DJ291" s="103">
        <v>2</v>
      </c>
      <c r="DK291" s="130"/>
      <c r="DL291" s="130"/>
      <c r="DM291" s="130"/>
      <c r="DN291" s="132"/>
      <c r="DO291" s="132"/>
    </row>
    <row r="292" ht="26.25" customHeight="1" spans="1:119">
      <c r="A292" s="131">
        <v>44040</v>
      </c>
      <c r="B292" s="99" t="s">
        <v>13324</v>
      </c>
      <c r="C292" s="134"/>
      <c r="D292" s="215" t="s">
        <v>13501</v>
      </c>
      <c r="E292" s="206" t="s">
        <v>13361</v>
      </c>
      <c r="F292" s="136">
        <v>9213</v>
      </c>
      <c r="G292" s="137" t="s">
        <v>13502</v>
      </c>
      <c r="H292" s="132">
        <v>6</v>
      </c>
      <c r="I292" s="132"/>
      <c r="J292" s="132"/>
      <c r="K292" s="132"/>
      <c r="L292" s="139"/>
      <c r="M292" s="140"/>
      <c r="N292" s="141"/>
      <c r="O292" s="141"/>
      <c r="P292" s="142"/>
      <c r="Q292" s="141"/>
      <c r="R292" s="141"/>
      <c r="S292" s="141"/>
      <c r="T292" s="141"/>
      <c r="U292" s="142"/>
      <c r="V292" s="227"/>
      <c r="W292" s="236"/>
      <c r="X292" s="236"/>
      <c r="Y292" s="236"/>
      <c r="Z292" s="236"/>
      <c r="AA292" s="236"/>
      <c r="AB292" s="236"/>
      <c r="AC292" s="236"/>
      <c r="AD292" s="236"/>
      <c r="AE292" s="236"/>
      <c r="AF292" s="236"/>
      <c r="AG292" s="238"/>
      <c r="AH292" s="229"/>
      <c r="AI292" s="229"/>
      <c r="AJ292" s="229"/>
      <c r="AK292" s="229"/>
      <c r="AL292" s="229"/>
      <c r="AM292" s="229"/>
      <c r="AN292" s="229"/>
      <c r="AO292" s="229"/>
      <c r="AP292" s="229"/>
      <c r="AQ292" s="229"/>
      <c r="AR292" s="229"/>
      <c r="AS292" s="229"/>
      <c r="AT292" s="229"/>
      <c r="AU292" s="229"/>
      <c r="AV292" s="229"/>
      <c r="AW292" s="229"/>
      <c r="AX292" s="229"/>
      <c r="AY292" s="229"/>
      <c r="AZ292" s="229"/>
      <c r="BA292" s="229"/>
      <c r="BB292" s="229"/>
      <c r="BC292" s="229"/>
      <c r="BD292" s="229"/>
      <c r="BE292" s="227"/>
      <c r="BF292" s="227"/>
      <c r="BG292" s="227"/>
      <c r="BH292" s="227"/>
      <c r="BI292" s="133"/>
      <c r="BJ292" s="202"/>
      <c r="BK292" s="202"/>
      <c r="BL292" s="202"/>
      <c r="BM292" s="202"/>
      <c r="BN292" s="202"/>
      <c r="BO292" s="202"/>
      <c r="BP292" s="202"/>
      <c r="BQ292" s="202"/>
      <c r="BR292" s="202"/>
      <c r="BS292" s="202"/>
      <c r="BT292" s="202"/>
      <c r="BU292" s="202"/>
      <c r="BV292" s="202"/>
      <c r="BW292" s="202"/>
      <c r="BX292" s="202"/>
      <c r="BY292" s="202"/>
      <c r="BZ292" s="202"/>
      <c r="CA292" s="202"/>
      <c r="CB292" s="202"/>
      <c r="CC292" s="202"/>
      <c r="CD292" s="202"/>
      <c r="CE292" s="202"/>
      <c r="CF292" s="202"/>
      <c r="CG292" s="202"/>
      <c r="CH292" s="202"/>
      <c r="CI292" s="121"/>
      <c r="CJ292" s="121"/>
      <c r="CK292" s="121"/>
      <c r="CL292" s="121"/>
      <c r="CM292" s="121"/>
      <c r="CN292" s="121"/>
      <c r="CO292" s="121"/>
      <c r="CP292" s="121"/>
      <c r="CQ292" s="121"/>
      <c r="CR292" s="121"/>
      <c r="CS292" s="121"/>
      <c r="CT292" s="121"/>
      <c r="CU292" s="199"/>
      <c r="CV292" s="199"/>
      <c r="CW292" s="205"/>
      <c r="CX292" s="132"/>
      <c r="CY292" s="132"/>
      <c r="CZ292" s="132"/>
      <c r="DA292" s="132"/>
      <c r="DB292" s="132"/>
      <c r="DC292" s="132"/>
      <c r="DD292" s="132"/>
      <c r="DE292" s="103"/>
      <c r="DF292" s="103"/>
      <c r="DG292" s="103"/>
      <c r="DH292" s="103"/>
      <c r="DI292" s="103"/>
      <c r="DJ292" s="103"/>
      <c r="DK292" s="130">
        <v>2</v>
      </c>
      <c r="DL292" s="130">
        <v>2</v>
      </c>
      <c r="DM292" s="130">
        <v>2</v>
      </c>
      <c r="DN292" s="132"/>
      <c r="DO292" s="132"/>
    </row>
    <row r="293" ht="26.25" customHeight="1" spans="1:119">
      <c r="A293" s="131">
        <v>44040</v>
      </c>
      <c r="B293" s="99" t="s">
        <v>13460</v>
      </c>
      <c r="C293" s="134" t="s">
        <v>13503</v>
      </c>
      <c r="D293" s="215" t="s">
        <v>13461</v>
      </c>
      <c r="E293" s="206" t="s">
        <v>13315</v>
      </c>
      <c r="F293" s="136">
        <v>9202</v>
      </c>
      <c r="G293" s="137" t="s">
        <v>13410</v>
      </c>
      <c r="H293" s="132">
        <v>18</v>
      </c>
      <c r="I293" s="132"/>
      <c r="J293" s="132"/>
      <c r="K293" s="132"/>
      <c r="L293" s="139"/>
      <c r="M293" s="140"/>
      <c r="N293" s="141"/>
      <c r="O293" s="141"/>
      <c r="P293" s="142"/>
      <c r="Q293" s="141"/>
      <c r="R293" s="141"/>
      <c r="S293" s="141"/>
      <c r="T293" s="141"/>
      <c r="U293" s="142"/>
      <c r="V293" s="227"/>
      <c r="W293" s="236"/>
      <c r="X293" s="236"/>
      <c r="Y293" s="236"/>
      <c r="Z293" s="236"/>
      <c r="AA293" s="236"/>
      <c r="AB293" s="236"/>
      <c r="AC293" s="236"/>
      <c r="AD293" s="236"/>
      <c r="AE293" s="236"/>
      <c r="AF293" s="236"/>
      <c r="AG293" s="238"/>
      <c r="AH293" s="229"/>
      <c r="AI293" s="229"/>
      <c r="AJ293" s="229"/>
      <c r="AK293" s="229"/>
      <c r="AL293" s="229"/>
      <c r="AM293" s="229"/>
      <c r="AN293" s="229"/>
      <c r="AO293" s="229"/>
      <c r="AP293" s="229"/>
      <c r="AQ293" s="229"/>
      <c r="AR293" s="229"/>
      <c r="AS293" s="229"/>
      <c r="AT293" s="229"/>
      <c r="AU293" s="229"/>
      <c r="AV293" s="229"/>
      <c r="AW293" s="229"/>
      <c r="AX293" s="229"/>
      <c r="AY293" s="229"/>
      <c r="AZ293" s="229"/>
      <c r="BA293" s="229"/>
      <c r="BB293" s="229"/>
      <c r="BC293" s="229"/>
      <c r="BD293" s="229"/>
      <c r="BE293" s="227"/>
      <c r="BF293" s="227"/>
      <c r="BG293" s="227"/>
      <c r="BH293" s="227"/>
      <c r="BI293" s="133"/>
      <c r="BJ293" s="202"/>
      <c r="BK293" s="202"/>
      <c r="BL293" s="202"/>
      <c r="BM293" s="202"/>
      <c r="BN293" s="202"/>
      <c r="BO293" s="202"/>
      <c r="BP293" s="202"/>
      <c r="BQ293" s="202"/>
      <c r="BR293" s="202"/>
      <c r="BS293" s="202"/>
      <c r="BT293" s="202"/>
      <c r="BU293" s="202"/>
      <c r="BV293" s="202">
        <v>2</v>
      </c>
      <c r="BW293" s="202">
        <v>2</v>
      </c>
      <c r="BX293" s="202">
        <v>2</v>
      </c>
      <c r="BY293" s="202">
        <v>2</v>
      </c>
      <c r="BZ293" s="202">
        <v>2</v>
      </c>
      <c r="CA293" s="202"/>
      <c r="CB293" s="202"/>
      <c r="CC293" s="202"/>
      <c r="CD293" s="202"/>
      <c r="CE293" s="202">
        <v>2</v>
      </c>
      <c r="CF293" s="202">
        <v>2</v>
      </c>
      <c r="CG293" s="202">
        <v>2</v>
      </c>
      <c r="CH293" s="202">
        <v>2</v>
      </c>
      <c r="CI293" s="121"/>
      <c r="CJ293" s="121"/>
      <c r="CK293" s="121"/>
      <c r="CL293" s="121"/>
      <c r="CM293" s="121"/>
      <c r="CN293" s="121"/>
      <c r="CO293" s="121"/>
      <c r="CP293" s="121"/>
      <c r="CQ293" s="121"/>
      <c r="CR293" s="121"/>
      <c r="CS293" s="121"/>
      <c r="CT293" s="121"/>
      <c r="CU293" s="199"/>
      <c r="CV293" s="199"/>
      <c r="CW293" s="205"/>
      <c r="CX293" s="132"/>
      <c r="CY293" s="132"/>
      <c r="CZ293" s="132"/>
      <c r="DA293" s="132"/>
      <c r="DB293" s="132"/>
      <c r="DC293" s="132"/>
      <c r="DD293" s="132"/>
      <c r="DE293" s="103"/>
      <c r="DF293" s="103"/>
      <c r="DG293" s="103"/>
      <c r="DH293" s="103"/>
      <c r="DI293" s="103"/>
      <c r="DJ293" s="103"/>
      <c r="DK293" s="130"/>
      <c r="DL293" s="130"/>
      <c r="DM293" s="130"/>
      <c r="DN293" s="132"/>
      <c r="DO293" s="132"/>
    </row>
    <row r="294" ht="26.25" customHeight="1" spans="1:119">
      <c r="A294" s="131">
        <v>44040</v>
      </c>
      <c r="B294" s="99" t="s">
        <v>13460</v>
      </c>
      <c r="C294" s="134" t="s">
        <v>13503</v>
      </c>
      <c r="D294" s="215" t="s">
        <v>13461</v>
      </c>
      <c r="E294" s="206" t="s">
        <v>13315</v>
      </c>
      <c r="F294" s="136">
        <v>9215</v>
      </c>
      <c r="G294" s="137" t="s">
        <v>13410</v>
      </c>
      <c r="H294" s="132">
        <v>10</v>
      </c>
      <c r="I294" s="132"/>
      <c r="J294" s="132"/>
      <c r="K294" s="132"/>
      <c r="L294" s="139"/>
      <c r="M294" s="140"/>
      <c r="N294" s="141"/>
      <c r="O294" s="141"/>
      <c r="P294" s="142"/>
      <c r="Q294" s="141"/>
      <c r="R294" s="141"/>
      <c r="S294" s="141"/>
      <c r="T294" s="141"/>
      <c r="U294" s="142"/>
      <c r="V294" s="227"/>
      <c r="W294" s="236"/>
      <c r="X294" s="236"/>
      <c r="Y294" s="236"/>
      <c r="Z294" s="236"/>
      <c r="AA294" s="236"/>
      <c r="AB294" s="236"/>
      <c r="AC294" s="236"/>
      <c r="AD294" s="236"/>
      <c r="AE294" s="236"/>
      <c r="AF294" s="236"/>
      <c r="AG294" s="238"/>
      <c r="AH294" s="229"/>
      <c r="AI294" s="229"/>
      <c r="AJ294" s="229"/>
      <c r="AK294" s="229"/>
      <c r="AL294" s="229"/>
      <c r="AM294" s="229"/>
      <c r="AN294" s="229"/>
      <c r="AO294" s="229"/>
      <c r="AP294" s="229"/>
      <c r="AQ294" s="229"/>
      <c r="AR294" s="229"/>
      <c r="AS294" s="229"/>
      <c r="AT294" s="229"/>
      <c r="AU294" s="229"/>
      <c r="AV294" s="229"/>
      <c r="AW294" s="229"/>
      <c r="AX294" s="229"/>
      <c r="AY294" s="229"/>
      <c r="AZ294" s="229"/>
      <c r="BA294" s="229"/>
      <c r="BB294" s="229"/>
      <c r="BC294" s="229"/>
      <c r="BD294" s="229"/>
      <c r="BE294" s="227"/>
      <c r="BF294" s="227"/>
      <c r="BG294" s="227"/>
      <c r="BH294" s="227"/>
      <c r="BI294" s="133"/>
      <c r="BJ294" s="202"/>
      <c r="BK294" s="202"/>
      <c r="BL294" s="202"/>
      <c r="BM294" s="202"/>
      <c r="BN294" s="202"/>
      <c r="BO294" s="202"/>
      <c r="BP294" s="202"/>
      <c r="BQ294" s="202"/>
      <c r="BR294" s="202"/>
      <c r="BS294" s="202"/>
      <c r="BT294" s="202"/>
      <c r="BU294" s="202"/>
      <c r="BV294" s="202"/>
      <c r="BW294" s="202"/>
      <c r="BX294" s="202"/>
      <c r="BY294" s="202"/>
      <c r="BZ294" s="202"/>
      <c r="CA294" s="202"/>
      <c r="CB294" s="202"/>
      <c r="CC294" s="202"/>
      <c r="CD294" s="202"/>
      <c r="CE294" s="202"/>
      <c r="CF294" s="202"/>
      <c r="CG294" s="202"/>
      <c r="CH294" s="202"/>
      <c r="CI294" s="121"/>
      <c r="CJ294" s="121"/>
      <c r="CK294" s="121"/>
      <c r="CL294" s="121"/>
      <c r="CM294" s="121"/>
      <c r="CN294" s="121"/>
      <c r="CO294" s="121"/>
      <c r="CP294" s="121"/>
      <c r="CQ294" s="121"/>
      <c r="CR294" s="121"/>
      <c r="CS294" s="121"/>
      <c r="CT294" s="121"/>
      <c r="CU294" s="199"/>
      <c r="CV294" s="199"/>
      <c r="CW294" s="205"/>
      <c r="CX294" s="132"/>
      <c r="CY294" s="132">
        <v>2</v>
      </c>
      <c r="CZ294" s="132">
        <v>2</v>
      </c>
      <c r="DA294" s="132">
        <v>2</v>
      </c>
      <c r="DB294" s="132">
        <v>2</v>
      </c>
      <c r="DC294" s="132"/>
      <c r="DD294" s="132">
        <v>2</v>
      </c>
      <c r="DE294" s="103"/>
      <c r="DF294" s="103"/>
      <c r="DG294" s="103"/>
      <c r="DH294" s="103"/>
      <c r="DI294" s="103"/>
      <c r="DJ294" s="103"/>
      <c r="DK294" s="130"/>
      <c r="DL294" s="130"/>
      <c r="DM294" s="130"/>
      <c r="DN294" s="132"/>
      <c r="DO294" s="132"/>
    </row>
    <row r="295" ht="26.25" customHeight="1" spans="1:119">
      <c r="A295" s="131">
        <v>44040</v>
      </c>
      <c r="B295" s="99" t="s">
        <v>13188</v>
      </c>
      <c r="C295" s="134" t="s">
        <v>13504</v>
      </c>
      <c r="D295" s="215" t="s">
        <v>13505</v>
      </c>
      <c r="E295" s="206" t="s">
        <v>13322</v>
      </c>
      <c r="F295" s="136">
        <v>9214</v>
      </c>
      <c r="G295" s="137" t="s">
        <v>13276</v>
      </c>
      <c r="H295" s="132">
        <v>18</v>
      </c>
      <c r="I295" s="132"/>
      <c r="J295" s="132"/>
      <c r="K295" s="132"/>
      <c r="L295" s="139"/>
      <c r="M295" s="140"/>
      <c r="N295" s="141"/>
      <c r="O295" s="141"/>
      <c r="P295" s="142"/>
      <c r="Q295" s="141"/>
      <c r="R295" s="141"/>
      <c r="S295" s="141"/>
      <c r="T295" s="141"/>
      <c r="U295" s="142"/>
      <c r="V295" s="227"/>
      <c r="W295" s="236"/>
      <c r="X295" s="236"/>
      <c r="Y295" s="236"/>
      <c r="Z295" s="236"/>
      <c r="AA295" s="236"/>
      <c r="AB295" s="236"/>
      <c r="AC295" s="236"/>
      <c r="AD295" s="236"/>
      <c r="AE295" s="236"/>
      <c r="AF295" s="236"/>
      <c r="AG295" s="238"/>
      <c r="AH295" s="229"/>
      <c r="AI295" s="229"/>
      <c r="AJ295" s="229"/>
      <c r="AK295" s="229"/>
      <c r="AL295" s="229"/>
      <c r="AM295" s="229"/>
      <c r="AN295" s="229"/>
      <c r="AO295" s="229"/>
      <c r="AP295" s="229"/>
      <c r="AQ295" s="229"/>
      <c r="AR295" s="229"/>
      <c r="AS295" s="229"/>
      <c r="AT295" s="229"/>
      <c r="AU295" s="229"/>
      <c r="AV295" s="229"/>
      <c r="AW295" s="229"/>
      <c r="AX295" s="229">
        <v>18</v>
      </c>
      <c r="AY295" s="229">
        <v>18</v>
      </c>
      <c r="AZ295" s="229"/>
      <c r="BA295" s="229"/>
      <c r="BB295" s="229"/>
      <c r="BC295" s="229"/>
      <c r="BD295" s="229"/>
      <c r="BE295" s="227"/>
      <c r="BF295" s="227"/>
      <c r="BG295" s="227"/>
      <c r="BH295" s="227"/>
      <c r="BI295" s="133"/>
      <c r="BJ295" s="202"/>
      <c r="BK295" s="202"/>
      <c r="BL295" s="202"/>
      <c r="BM295" s="202"/>
      <c r="BN295" s="202"/>
      <c r="BO295" s="202"/>
      <c r="BP295" s="202"/>
      <c r="BQ295" s="202"/>
      <c r="BR295" s="202"/>
      <c r="BS295" s="202"/>
      <c r="BT295" s="202"/>
      <c r="BU295" s="202"/>
      <c r="BV295" s="202"/>
      <c r="BW295" s="202"/>
      <c r="BX295" s="202"/>
      <c r="BY295" s="202"/>
      <c r="BZ295" s="202"/>
      <c r="CA295" s="202"/>
      <c r="CB295" s="202"/>
      <c r="CC295" s="202"/>
      <c r="CD295" s="202"/>
      <c r="CE295" s="202"/>
      <c r="CF295" s="202"/>
      <c r="CG295" s="202"/>
      <c r="CH295" s="202"/>
      <c r="CI295" s="121"/>
      <c r="CJ295" s="121"/>
      <c r="CK295" s="121"/>
      <c r="CL295" s="121"/>
      <c r="CM295" s="121"/>
      <c r="CN295" s="121"/>
      <c r="CO295" s="121">
        <v>3</v>
      </c>
      <c r="CP295" s="121">
        <v>3</v>
      </c>
      <c r="CQ295" s="121">
        <v>3</v>
      </c>
      <c r="CR295" s="121">
        <v>3</v>
      </c>
      <c r="CS295" s="121">
        <v>3</v>
      </c>
      <c r="CT295" s="121">
        <v>3</v>
      </c>
      <c r="CU295" s="199"/>
      <c r="CV295" s="199"/>
      <c r="CW295" s="205"/>
      <c r="CX295" s="132"/>
      <c r="CY295" s="132"/>
      <c r="CZ295" s="132"/>
      <c r="DA295" s="132"/>
      <c r="DB295" s="132"/>
      <c r="DC295" s="132"/>
      <c r="DD295" s="132"/>
      <c r="DE295" s="103"/>
      <c r="DF295" s="103"/>
      <c r="DG295" s="103"/>
      <c r="DH295" s="103"/>
      <c r="DI295" s="103"/>
      <c r="DJ295" s="103"/>
      <c r="DK295" s="130"/>
      <c r="DL295" s="130"/>
      <c r="DM295" s="130"/>
      <c r="DN295" s="132"/>
      <c r="DO295" s="132"/>
    </row>
    <row r="296" ht="26.25" customHeight="1" spans="1:119">
      <c r="A296" s="131">
        <v>44040</v>
      </c>
      <c r="B296" s="99" t="s">
        <v>13188</v>
      </c>
      <c r="C296" s="134" t="s">
        <v>13504</v>
      </c>
      <c r="D296" s="215" t="s">
        <v>13505</v>
      </c>
      <c r="E296" s="206" t="s">
        <v>13322</v>
      </c>
      <c r="F296" s="136">
        <v>9215</v>
      </c>
      <c r="G296" s="137" t="s">
        <v>13410</v>
      </c>
      <c r="H296" s="132">
        <v>21</v>
      </c>
      <c r="I296" s="132"/>
      <c r="J296" s="132"/>
      <c r="K296" s="132"/>
      <c r="L296" s="139"/>
      <c r="M296" s="140"/>
      <c r="N296" s="141"/>
      <c r="O296" s="141"/>
      <c r="P296" s="142"/>
      <c r="Q296" s="141"/>
      <c r="R296" s="141"/>
      <c r="S296" s="141"/>
      <c r="T296" s="141"/>
      <c r="U296" s="142"/>
      <c r="V296" s="227"/>
      <c r="W296" s="236"/>
      <c r="X296" s="236"/>
      <c r="Y296" s="236"/>
      <c r="Z296" s="236"/>
      <c r="AA296" s="236"/>
      <c r="AB296" s="236"/>
      <c r="AC296" s="236"/>
      <c r="AD296" s="236"/>
      <c r="AE296" s="236"/>
      <c r="AF296" s="236"/>
      <c r="AG296" s="238"/>
      <c r="AH296" s="229"/>
      <c r="AI296" s="229"/>
      <c r="AJ296" s="229"/>
      <c r="AK296" s="229"/>
      <c r="AL296" s="229"/>
      <c r="AM296" s="229"/>
      <c r="AN296" s="229"/>
      <c r="AO296" s="229"/>
      <c r="AP296" s="229"/>
      <c r="AQ296" s="229"/>
      <c r="AR296" s="229"/>
      <c r="AS296" s="229"/>
      <c r="AT296" s="229"/>
      <c r="AU296" s="229"/>
      <c r="AV296" s="229"/>
      <c r="AW296" s="229"/>
      <c r="AX296" s="229"/>
      <c r="AY296" s="229"/>
      <c r="AZ296" s="229"/>
      <c r="BA296" s="229"/>
      <c r="BB296" s="229"/>
      <c r="BC296" s="229"/>
      <c r="BD296" s="229"/>
      <c r="BE296" s="227"/>
      <c r="BF296" s="227"/>
      <c r="BG296" s="227"/>
      <c r="BH296" s="227"/>
      <c r="BI296" s="133"/>
      <c r="BJ296" s="202"/>
      <c r="BK296" s="202"/>
      <c r="BL296" s="202"/>
      <c r="BM296" s="202"/>
      <c r="BN296" s="202"/>
      <c r="BO296" s="202"/>
      <c r="BP296" s="202"/>
      <c r="BQ296" s="202"/>
      <c r="BR296" s="202"/>
      <c r="BS296" s="202"/>
      <c r="BT296" s="202"/>
      <c r="BU296" s="202"/>
      <c r="BV296" s="202"/>
      <c r="BW296" s="202"/>
      <c r="BX296" s="202"/>
      <c r="BY296" s="202"/>
      <c r="BZ296" s="202"/>
      <c r="CA296" s="202"/>
      <c r="CB296" s="202"/>
      <c r="CC296" s="202"/>
      <c r="CD296" s="202"/>
      <c r="CE296" s="202"/>
      <c r="CF296" s="202"/>
      <c r="CG296" s="202"/>
      <c r="CH296" s="202"/>
      <c r="CI296" s="121"/>
      <c r="CJ296" s="121"/>
      <c r="CK296" s="121"/>
      <c r="CL296" s="121"/>
      <c r="CM296" s="121"/>
      <c r="CN296" s="121"/>
      <c r="CO296" s="121"/>
      <c r="CP296" s="121"/>
      <c r="CQ296" s="121"/>
      <c r="CR296" s="121"/>
      <c r="CS296" s="121"/>
      <c r="CT296" s="121"/>
      <c r="CU296" s="199"/>
      <c r="CV296" s="199"/>
      <c r="CW296" s="205"/>
      <c r="CX296" s="132">
        <v>3</v>
      </c>
      <c r="CY296" s="132">
        <v>3</v>
      </c>
      <c r="CZ296" s="132">
        <v>3</v>
      </c>
      <c r="DA296" s="132">
        <v>3</v>
      </c>
      <c r="DB296" s="132">
        <v>3</v>
      </c>
      <c r="DC296" s="132">
        <v>3</v>
      </c>
      <c r="DD296" s="132">
        <v>3</v>
      </c>
      <c r="DE296" s="103"/>
      <c r="DF296" s="103"/>
      <c r="DG296" s="103"/>
      <c r="DH296" s="103"/>
      <c r="DI296" s="103"/>
      <c r="DJ296" s="103"/>
      <c r="DK296" s="130"/>
      <c r="DL296" s="130"/>
      <c r="DM296" s="130"/>
      <c r="DN296" s="132"/>
      <c r="DO296" s="132"/>
    </row>
    <row r="297" ht="26.25" customHeight="1" spans="1:119">
      <c r="A297" s="131">
        <v>44041</v>
      </c>
      <c r="B297" s="99" t="s">
        <v>13385</v>
      </c>
      <c r="C297" s="134" t="s">
        <v>13506</v>
      </c>
      <c r="D297" s="215" t="s">
        <v>361</v>
      </c>
      <c r="E297" s="206" t="s">
        <v>13315</v>
      </c>
      <c r="F297" s="136">
        <v>9213</v>
      </c>
      <c r="G297" s="137" t="s">
        <v>13502</v>
      </c>
      <c r="H297" s="132">
        <v>1</v>
      </c>
      <c r="I297" s="132"/>
      <c r="J297" s="132"/>
      <c r="K297" s="132"/>
      <c r="L297" s="139"/>
      <c r="M297" s="140"/>
      <c r="N297" s="141"/>
      <c r="O297" s="141"/>
      <c r="P297" s="142"/>
      <c r="Q297" s="141"/>
      <c r="R297" s="141"/>
      <c r="S297" s="141"/>
      <c r="T297" s="141"/>
      <c r="U297" s="142"/>
      <c r="V297" s="227"/>
      <c r="W297" s="236"/>
      <c r="X297" s="236"/>
      <c r="Y297" s="236"/>
      <c r="Z297" s="236"/>
      <c r="AA297" s="236"/>
      <c r="AB297" s="236"/>
      <c r="AC297" s="236"/>
      <c r="AD297" s="236"/>
      <c r="AE297" s="236"/>
      <c r="AF297" s="236"/>
      <c r="AG297" s="238"/>
      <c r="AH297" s="229"/>
      <c r="AI297" s="229"/>
      <c r="AJ297" s="229"/>
      <c r="AK297" s="229"/>
      <c r="AL297" s="229"/>
      <c r="AM297" s="229"/>
      <c r="AN297" s="229"/>
      <c r="AO297" s="229"/>
      <c r="AP297" s="229"/>
      <c r="AQ297" s="229"/>
      <c r="AR297" s="229"/>
      <c r="AS297" s="229"/>
      <c r="AT297" s="229"/>
      <c r="AU297" s="229"/>
      <c r="AV297" s="229"/>
      <c r="AW297" s="229"/>
      <c r="AX297" s="229"/>
      <c r="AY297" s="229"/>
      <c r="AZ297" s="229"/>
      <c r="BA297" s="229"/>
      <c r="BB297" s="229"/>
      <c r="BC297" s="229"/>
      <c r="BD297" s="229"/>
      <c r="BE297" s="227"/>
      <c r="BF297" s="227"/>
      <c r="BG297" s="227"/>
      <c r="BH297" s="227"/>
      <c r="BI297" s="133"/>
      <c r="BJ297" s="202"/>
      <c r="BK297" s="202"/>
      <c r="BL297" s="202"/>
      <c r="BM297" s="202"/>
      <c r="BN297" s="202"/>
      <c r="BO297" s="202"/>
      <c r="BP297" s="202"/>
      <c r="BQ297" s="202"/>
      <c r="BR297" s="202"/>
      <c r="BS297" s="202"/>
      <c r="BT297" s="202"/>
      <c r="BU297" s="202"/>
      <c r="BV297" s="202"/>
      <c r="BW297" s="202"/>
      <c r="BX297" s="202"/>
      <c r="BY297" s="202"/>
      <c r="BZ297" s="202"/>
      <c r="CA297" s="202"/>
      <c r="CB297" s="202"/>
      <c r="CC297" s="202"/>
      <c r="CD297" s="202"/>
      <c r="CE297" s="202"/>
      <c r="CF297" s="202"/>
      <c r="CG297" s="202"/>
      <c r="CH297" s="202"/>
      <c r="CI297" s="121"/>
      <c r="CJ297" s="121"/>
      <c r="CK297" s="121"/>
      <c r="CL297" s="121"/>
      <c r="CM297" s="121"/>
      <c r="CN297" s="121"/>
      <c r="CO297" s="121"/>
      <c r="CP297" s="121"/>
      <c r="CQ297" s="121"/>
      <c r="CR297" s="121"/>
      <c r="CS297" s="121"/>
      <c r="CT297" s="121"/>
      <c r="CU297" s="199"/>
      <c r="CV297" s="199"/>
      <c r="CW297" s="205"/>
      <c r="CX297" s="132"/>
      <c r="CY297" s="132"/>
      <c r="CZ297" s="132"/>
      <c r="DA297" s="132"/>
      <c r="DB297" s="132"/>
      <c r="DC297" s="132"/>
      <c r="DD297" s="132"/>
      <c r="DE297" s="103"/>
      <c r="DF297" s="103"/>
      <c r="DG297" s="103"/>
      <c r="DH297" s="103"/>
      <c r="DI297" s="103"/>
      <c r="DJ297" s="103"/>
      <c r="DK297" s="130">
        <v>1</v>
      </c>
      <c r="DL297" s="130"/>
      <c r="DM297" s="130"/>
      <c r="DN297" s="132"/>
      <c r="DO297" s="132"/>
    </row>
    <row r="298" ht="26.25" customHeight="1" spans="1:119">
      <c r="A298" s="131">
        <v>44041</v>
      </c>
      <c r="B298" s="99" t="s">
        <v>11890</v>
      </c>
      <c r="C298" s="134"/>
      <c r="D298" s="215"/>
      <c r="E298" s="206" t="s">
        <v>13315</v>
      </c>
      <c r="F298" s="136">
        <v>9213</v>
      </c>
      <c r="G298" s="137" t="s">
        <v>13502</v>
      </c>
      <c r="H298" s="132">
        <v>2</v>
      </c>
      <c r="I298" s="132"/>
      <c r="J298" s="132"/>
      <c r="K298" s="132"/>
      <c r="L298" s="139"/>
      <c r="M298" s="140"/>
      <c r="N298" s="141"/>
      <c r="O298" s="141"/>
      <c r="P298" s="142"/>
      <c r="Q298" s="141"/>
      <c r="R298" s="141"/>
      <c r="S298" s="141"/>
      <c r="T298" s="141"/>
      <c r="U298" s="142"/>
      <c r="V298" s="227"/>
      <c r="W298" s="236"/>
      <c r="X298" s="236"/>
      <c r="Y298" s="236"/>
      <c r="Z298" s="236"/>
      <c r="AA298" s="236"/>
      <c r="AB298" s="236"/>
      <c r="AC298" s="236"/>
      <c r="AD298" s="236"/>
      <c r="AE298" s="236"/>
      <c r="AF298" s="236"/>
      <c r="AG298" s="238"/>
      <c r="AH298" s="229"/>
      <c r="AI298" s="229"/>
      <c r="AJ298" s="229"/>
      <c r="AK298" s="229"/>
      <c r="AL298" s="229"/>
      <c r="AM298" s="229"/>
      <c r="AN298" s="229"/>
      <c r="AO298" s="229"/>
      <c r="AP298" s="229"/>
      <c r="AQ298" s="229"/>
      <c r="AR298" s="229"/>
      <c r="AS298" s="229"/>
      <c r="AT298" s="229"/>
      <c r="AU298" s="229"/>
      <c r="AV298" s="229"/>
      <c r="AW298" s="229"/>
      <c r="AX298" s="229"/>
      <c r="AY298" s="229"/>
      <c r="AZ298" s="229"/>
      <c r="BA298" s="229"/>
      <c r="BB298" s="229"/>
      <c r="BC298" s="229"/>
      <c r="BD298" s="229"/>
      <c r="BE298" s="227"/>
      <c r="BF298" s="227"/>
      <c r="BG298" s="227"/>
      <c r="BH298" s="227"/>
      <c r="BI298" s="133"/>
      <c r="BJ298" s="202"/>
      <c r="BK298" s="202"/>
      <c r="BL298" s="202"/>
      <c r="BM298" s="202"/>
      <c r="BN298" s="202"/>
      <c r="BO298" s="202"/>
      <c r="BP298" s="202"/>
      <c r="BQ298" s="202"/>
      <c r="BR298" s="202"/>
      <c r="BS298" s="202"/>
      <c r="BT298" s="202"/>
      <c r="BU298" s="202"/>
      <c r="BV298" s="202"/>
      <c r="BW298" s="202"/>
      <c r="BX298" s="202"/>
      <c r="BY298" s="202"/>
      <c r="BZ298" s="202"/>
      <c r="CA298" s="202"/>
      <c r="CB298" s="202"/>
      <c r="CC298" s="202"/>
      <c r="CD298" s="202"/>
      <c r="CE298" s="202"/>
      <c r="CF298" s="202"/>
      <c r="CG298" s="202"/>
      <c r="CH298" s="202"/>
      <c r="CI298" s="121"/>
      <c r="CJ298" s="121"/>
      <c r="CK298" s="121"/>
      <c r="CL298" s="121"/>
      <c r="CM298" s="121"/>
      <c r="CN298" s="121"/>
      <c r="CO298" s="121"/>
      <c r="CP298" s="121"/>
      <c r="CQ298" s="121"/>
      <c r="CR298" s="121"/>
      <c r="CS298" s="121"/>
      <c r="CT298" s="121"/>
      <c r="CU298" s="199"/>
      <c r="CV298" s="199"/>
      <c r="CW298" s="205"/>
      <c r="CX298" s="132"/>
      <c r="CY298" s="132"/>
      <c r="CZ298" s="132"/>
      <c r="DA298" s="132"/>
      <c r="DB298" s="132"/>
      <c r="DC298" s="132"/>
      <c r="DD298" s="132"/>
      <c r="DE298" s="103"/>
      <c r="DF298" s="103"/>
      <c r="DG298" s="103"/>
      <c r="DH298" s="103"/>
      <c r="DI298" s="103"/>
      <c r="DJ298" s="103"/>
      <c r="DK298" s="130">
        <v>1</v>
      </c>
      <c r="DL298" s="130"/>
      <c r="DM298" s="130">
        <v>1</v>
      </c>
      <c r="DN298" s="132"/>
      <c r="DO298" s="132"/>
    </row>
    <row r="299" ht="26.25" customHeight="1" spans="1:119">
      <c r="A299" s="131">
        <v>44042</v>
      </c>
      <c r="B299" s="99" t="s">
        <v>13463</v>
      </c>
      <c r="C299" s="134" t="s">
        <v>13491</v>
      </c>
      <c r="D299" s="215" t="s">
        <v>2872</v>
      </c>
      <c r="E299" s="206" t="s">
        <v>13322</v>
      </c>
      <c r="F299" s="136">
        <v>9214</v>
      </c>
      <c r="G299" s="137" t="s">
        <v>13276</v>
      </c>
      <c r="H299" s="132">
        <v>6</v>
      </c>
      <c r="I299" s="132"/>
      <c r="J299" s="132"/>
      <c r="K299" s="132"/>
      <c r="L299" s="139"/>
      <c r="M299" s="140"/>
      <c r="N299" s="141"/>
      <c r="O299" s="141"/>
      <c r="P299" s="142"/>
      <c r="Q299" s="141"/>
      <c r="R299" s="141"/>
      <c r="S299" s="141"/>
      <c r="T299" s="141"/>
      <c r="U299" s="142"/>
      <c r="V299" s="227"/>
      <c r="W299" s="236"/>
      <c r="X299" s="236"/>
      <c r="Y299" s="236"/>
      <c r="Z299" s="236"/>
      <c r="AA299" s="236"/>
      <c r="AB299" s="236"/>
      <c r="AC299" s="236"/>
      <c r="AD299" s="236"/>
      <c r="AE299" s="236"/>
      <c r="AF299" s="236"/>
      <c r="AG299" s="238"/>
      <c r="AH299" s="229"/>
      <c r="AI299" s="229"/>
      <c r="AJ299" s="229"/>
      <c r="AK299" s="229"/>
      <c r="AL299" s="229"/>
      <c r="AM299" s="229"/>
      <c r="AN299" s="229"/>
      <c r="AO299" s="229"/>
      <c r="AP299" s="229"/>
      <c r="AQ299" s="229"/>
      <c r="AR299" s="229"/>
      <c r="AS299" s="229"/>
      <c r="AT299" s="229"/>
      <c r="AU299" s="229"/>
      <c r="AV299" s="229"/>
      <c r="AW299" s="229"/>
      <c r="AX299" s="229">
        <v>6</v>
      </c>
      <c r="AY299" s="229">
        <v>6</v>
      </c>
      <c r="AZ299" s="229"/>
      <c r="BA299" s="229"/>
      <c r="BB299" s="229"/>
      <c r="BC299" s="229"/>
      <c r="BD299" s="229"/>
      <c r="BE299" s="227"/>
      <c r="BF299" s="227"/>
      <c r="BG299" s="227"/>
      <c r="BH299" s="227"/>
      <c r="BI299" s="133"/>
      <c r="BJ299" s="202"/>
      <c r="BK299" s="202"/>
      <c r="BL299" s="202"/>
      <c r="BM299" s="202"/>
      <c r="BN299" s="202"/>
      <c r="BO299" s="202"/>
      <c r="BP299" s="202"/>
      <c r="BQ299" s="202"/>
      <c r="BR299" s="202"/>
      <c r="BS299" s="202"/>
      <c r="BT299" s="202"/>
      <c r="BU299" s="202"/>
      <c r="BV299" s="202"/>
      <c r="BW299" s="202"/>
      <c r="BX299" s="202"/>
      <c r="BY299" s="202"/>
      <c r="BZ299" s="202"/>
      <c r="CA299" s="202"/>
      <c r="CB299" s="202"/>
      <c r="CC299" s="202"/>
      <c r="CD299" s="202"/>
      <c r="CE299" s="202"/>
      <c r="CF299" s="202"/>
      <c r="CG299" s="202"/>
      <c r="CH299" s="202"/>
      <c r="CI299" s="121"/>
      <c r="CJ299" s="121"/>
      <c r="CK299" s="121"/>
      <c r="CL299" s="121"/>
      <c r="CM299" s="121"/>
      <c r="CN299" s="121"/>
      <c r="CO299" s="121">
        <v>1</v>
      </c>
      <c r="CP299" s="121">
        <v>1</v>
      </c>
      <c r="CQ299" s="121">
        <v>1</v>
      </c>
      <c r="CR299" s="121">
        <v>1</v>
      </c>
      <c r="CS299" s="121">
        <v>1</v>
      </c>
      <c r="CT299" s="121">
        <v>1</v>
      </c>
      <c r="CU299" s="199"/>
      <c r="CV299" s="199"/>
      <c r="CW299" s="205"/>
      <c r="CX299" s="132"/>
      <c r="CY299" s="132"/>
      <c r="CZ299" s="132"/>
      <c r="DA299" s="132"/>
      <c r="DB299" s="132"/>
      <c r="DC299" s="132"/>
      <c r="DD299" s="132"/>
      <c r="DE299" s="103"/>
      <c r="DF299" s="103"/>
      <c r="DG299" s="103"/>
      <c r="DH299" s="103"/>
      <c r="DI299" s="103"/>
      <c r="DJ299" s="103"/>
      <c r="DK299" s="130"/>
      <c r="DL299" s="130"/>
      <c r="DM299" s="130"/>
      <c r="DN299" s="132"/>
      <c r="DO299" s="132"/>
    </row>
    <row r="300" ht="26.25" customHeight="1" spans="1:119">
      <c r="A300" s="131">
        <v>44042</v>
      </c>
      <c r="B300" s="99" t="s">
        <v>13463</v>
      </c>
      <c r="C300" s="134" t="s">
        <v>13491</v>
      </c>
      <c r="D300" s="215" t="s">
        <v>2872</v>
      </c>
      <c r="E300" s="206" t="s">
        <v>13322</v>
      </c>
      <c r="F300" s="136">
        <v>9207</v>
      </c>
      <c r="G300" s="137" t="s">
        <v>13447</v>
      </c>
      <c r="H300" s="132">
        <v>1</v>
      </c>
      <c r="I300" s="132"/>
      <c r="J300" s="132"/>
      <c r="K300" s="132"/>
      <c r="L300" s="139"/>
      <c r="M300" s="140"/>
      <c r="N300" s="141"/>
      <c r="O300" s="141"/>
      <c r="P300" s="142"/>
      <c r="Q300" s="141"/>
      <c r="R300" s="141"/>
      <c r="S300" s="141"/>
      <c r="T300" s="141"/>
      <c r="U300" s="142"/>
      <c r="V300" s="227"/>
      <c r="W300" s="236"/>
      <c r="X300" s="236"/>
      <c r="Y300" s="236"/>
      <c r="Z300" s="236"/>
      <c r="AA300" s="236"/>
      <c r="AB300" s="236"/>
      <c r="AC300" s="236"/>
      <c r="AD300" s="236"/>
      <c r="AE300" s="236"/>
      <c r="AF300" s="236"/>
      <c r="AG300" s="238"/>
      <c r="AH300" s="229"/>
      <c r="AI300" s="229"/>
      <c r="AJ300" s="229"/>
      <c r="AK300" s="229"/>
      <c r="AL300" s="229"/>
      <c r="AM300" s="229"/>
      <c r="AN300" s="229"/>
      <c r="AO300" s="229"/>
      <c r="AP300" s="229"/>
      <c r="AQ300" s="229"/>
      <c r="AR300" s="229"/>
      <c r="AS300" s="229"/>
      <c r="AT300" s="229"/>
      <c r="AU300" s="229"/>
      <c r="AV300" s="229"/>
      <c r="AW300" s="229"/>
      <c r="AX300" s="229"/>
      <c r="AY300" s="229"/>
      <c r="AZ300" s="229"/>
      <c r="BA300" s="229"/>
      <c r="BB300" s="229"/>
      <c r="BC300" s="229"/>
      <c r="BD300" s="229"/>
      <c r="BE300" s="227"/>
      <c r="BF300" s="227"/>
      <c r="BG300" s="227"/>
      <c r="BH300" s="227"/>
      <c r="BI300" s="133"/>
      <c r="BJ300" s="202"/>
      <c r="BK300" s="202"/>
      <c r="BL300" s="202"/>
      <c r="BM300" s="202"/>
      <c r="BN300" s="202"/>
      <c r="BO300" s="202"/>
      <c r="BP300" s="202"/>
      <c r="BQ300" s="202"/>
      <c r="BR300" s="202"/>
      <c r="BS300" s="202"/>
      <c r="BT300" s="202"/>
      <c r="BU300" s="202"/>
      <c r="BV300" s="202"/>
      <c r="BW300" s="202"/>
      <c r="BX300" s="202"/>
      <c r="BY300" s="202"/>
      <c r="BZ300" s="202"/>
      <c r="CA300" s="202"/>
      <c r="CB300" s="202"/>
      <c r="CC300" s="202"/>
      <c r="CD300" s="202"/>
      <c r="CE300" s="202"/>
      <c r="CF300" s="202"/>
      <c r="CG300" s="202"/>
      <c r="CH300" s="202"/>
      <c r="CI300" s="121"/>
      <c r="CJ300" s="121"/>
      <c r="CK300" s="121"/>
      <c r="CL300" s="121"/>
      <c r="CM300" s="121"/>
      <c r="CN300" s="121"/>
      <c r="CO300" s="121"/>
      <c r="CP300" s="121"/>
      <c r="CQ300" s="121"/>
      <c r="CR300" s="121"/>
      <c r="CS300" s="121"/>
      <c r="CT300" s="121"/>
      <c r="CU300" s="199"/>
      <c r="CV300" s="199"/>
      <c r="CW300" s="205"/>
      <c r="CX300" s="132"/>
      <c r="CY300" s="132"/>
      <c r="CZ300" s="132"/>
      <c r="DA300" s="132"/>
      <c r="DB300" s="132"/>
      <c r="DC300" s="132"/>
      <c r="DD300" s="132"/>
      <c r="DE300" s="103"/>
      <c r="DF300" s="103"/>
      <c r="DG300" s="103"/>
      <c r="DH300" s="103"/>
      <c r="DI300" s="103"/>
      <c r="DJ300" s="103"/>
      <c r="DK300" s="130"/>
      <c r="DL300" s="130"/>
      <c r="DM300" s="130"/>
      <c r="DN300" s="132">
        <v>1</v>
      </c>
      <c r="DO300" s="132"/>
    </row>
    <row r="301" ht="26.25" customHeight="1" spans="1:119">
      <c r="A301" s="131">
        <v>44042</v>
      </c>
      <c r="B301" s="99" t="s">
        <v>13463</v>
      </c>
      <c r="C301" s="134" t="s">
        <v>13491</v>
      </c>
      <c r="D301" s="215" t="s">
        <v>2872</v>
      </c>
      <c r="E301" s="206" t="s">
        <v>13322</v>
      </c>
      <c r="F301" s="136">
        <v>9208</v>
      </c>
      <c r="G301" s="137" t="s">
        <v>13439</v>
      </c>
      <c r="H301" s="132">
        <v>1</v>
      </c>
      <c r="I301" s="132"/>
      <c r="J301" s="132"/>
      <c r="K301" s="132"/>
      <c r="L301" s="139"/>
      <c r="M301" s="140"/>
      <c r="N301" s="141"/>
      <c r="O301" s="141"/>
      <c r="P301" s="142"/>
      <c r="Q301" s="141"/>
      <c r="R301" s="141"/>
      <c r="S301" s="141"/>
      <c r="T301" s="141"/>
      <c r="U301" s="142"/>
      <c r="V301" s="227"/>
      <c r="W301" s="236"/>
      <c r="X301" s="236"/>
      <c r="Y301" s="236"/>
      <c r="Z301" s="236"/>
      <c r="AA301" s="236"/>
      <c r="AB301" s="236"/>
      <c r="AC301" s="236"/>
      <c r="AD301" s="236"/>
      <c r="AE301" s="236"/>
      <c r="AF301" s="236"/>
      <c r="AG301" s="238"/>
      <c r="AH301" s="229"/>
      <c r="AI301" s="229"/>
      <c r="AJ301" s="229"/>
      <c r="AK301" s="229"/>
      <c r="AL301" s="229"/>
      <c r="AM301" s="229"/>
      <c r="AN301" s="229"/>
      <c r="AO301" s="229"/>
      <c r="AP301" s="229"/>
      <c r="AQ301" s="229"/>
      <c r="AR301" s="229"/>
      <c r="AS301" s="229"/>
      <c r="AT301" s="229"/>
      <c r="AU301" s="229"/>
      <c r="AV301" s="229"/>
      <c r="AW301" s="229"/>
      <c r="AX301" s="229"/>
      <c r="AY301" s="229"/>
      <c r="AZ301" s="229"/>
      <c r="BA301" s="229"/>
      <c r="BB301" s="229"/>
      <c r="BC301" s="229"/>
      <c r="BD301" s="229"/>
      <c r="BE301" s="227"/>
      <c r="BF301" s="227"/>
      <c r="BG301" s="227"/>
      <c r="BH301" s="227"/>
      <c r="BI301" s="133"/>
      <c r="BJ301" s="202"/>
      <c r="BK301" s="202"/>
      <c r="BL301" s="202"/>
      <c r="BM301" s="202"/>
      <c r="BN301" s="202"/>
      <c r="BO301" s="202"/>
      <c r="BP301" s="202"/>
      <c r="BQ301" s="202"/>
      <c r="BR301" s="202"/>
      <c r="BS301" s="202"/>
      <c r="BT301" s="202"/>
      <c r="BU301" s="202"/>
      <c r="BV301" s="202"/>
      <c r="BW301" s="202"/>
      <c r="BX301" s="202"/>
      <c r="BY301" s="202"/>
      <c r="BZ301" s="202"/>
      <c r="CA301" s="202"/>
      <c r="CB301" s="202"/>
      <c r="CC301" s="202"/>
      <c r="CD301" s="202"/>
      <c r="CE301" s="202"/>
      <c r="CF301" s="202"/>
      <c r="CG301" s="202"/>
      <c r="CH301" s="202"/>
      <c r="CI301" s="121"/>
      <c r="CJ301" s="121"/>
      <c r="CK301" s="121"/>
      <c r="CL301" s="121"/>
      <c r="CM301" s="121"/>
      <c r="CN301" s="121"/>
      <c r="CO301" s="121"/>
      <c r="CP301" s="121"/>
      <c r="CQ301" s="121"/>
      <c r="CR301" s="121"/>
      <c r="CS301" s="121"/>
      <c r="CT301" s="121"/>
      <c r="CU301" s="199"/>
      <c r="CV301" s="199"/>
      <c r="CW301" s="205"/>
      <c r="CX301" s="132"/>
      <c r="CY301" s="132"/>
      <c r="CZ301" s="132"/>
      <c r="DA301" s="132"/>
      <c r="DB301" s="132"/>
      <c r="DC301" s="132"/>
      <c r="DD301" s="132"/>
      <c r="DE301" s="103"/>
      <c r="DF301" s="103"/>
      <c r="DG301" s="103"/>
      <c r="DH301" s="103"/>
      <c r="DI301" s="103"/>
      <c r="DJ301" s="103"/>
      <c r="DK301" s="130"/>
      <c r="DL301" s="130"/>
      <c r="DM301" s="130"/>
      <c r="DN301" s="132"/>
      <c r="DO301" s="132">
        <v>1</v>
      </c>
    </row>
    <row r="302" ht="26.25" customHeight="1" spans="1:119">
      <c r="A302" s="131">
        <v>44042</v>
      </c>
      <c r="B302" s="99" t="s">
        <v>13363</v>
      </c>
      <c r="C302" s="134" t="s">
        <v>13507</v>
      </c>
      <c r="D302" s="215" t="s">
        <v>13381</v>
      </c>
      <c r="E302" s="206" t="s">
        <v>13322</v>
      </c>
      <c r="F302" s="136">
        <v>9213</v>
      </c>
      <c r="G302" s="137" t="s">
        <v>13502</v>
      </c>
      <c r="H302" s="132">
        <v>3</v>
      </c>
      <c r="I302" s="132"/>
      <c r="J302" s="132"/>
      <c r="K302" s="132"/>
      <c r="L302" s="139"/>
      <c r="M302" s="140"/>
      <c r="N302" s="141"/>
      <c r="O302" s="141"/>
      <c r="P302" s="142"/>
      <c r="Q302" s="141"/>
      <c r="R302" s="141"/>
      <c r="S302" s="141"/>
      <c r="T302" s="141"/>
      <c r="U302" s="142"/>
      <c r="V302" s="227"/>
      <c r="W302" s="236"/>
      <c r="X302" s="236"/>
      <c r="Y302" s="236"/>
      <c r="Z302" s="236"/>
      <c r="AA302" s="236"/>
      <c r="AB302" s="236"/>
      <c r="AC302" s="236"/>
      <c r="AD302" s="236"/>
      <c r="AE302" s="236"/>
      <c r="AF302" s="236"/>
      <c r="AG302" s="238"/>
      <c r="AH302" s="229"/>
      <c r="AI302" s="229"/>
      <c r="AJ302" s="229"/>
      <c r="AK302" s="229"/>
      <c r="AL302" s="229"/>
      <c r="AM302" s="229"/>
      <c r="AN302" s="229"/>
      <c r="AO302" s="229"/>
      <c r="AP302" s="229"/>
      <c r="AQ302" s="229"/>
      <c r="AR302" s="229"/>
      <c r="AS302" s="229"/>
      <c r="AT302" s="229"/>
      <c r="AU302" s="229"/>
      <c r="AV302" s="229"/>
      <c r="AW302" s="229"/>
      <c r="AX302" s="229"/>
      <c r="AY302" s="229"/>
      <c r="AZ302" s="229"/>
      <c r="BA302" s="229"/>
      <c r="BB302" s="229"/>
      <c r="BC302" s="229"/>
      <c r="BD302" s="229"/>
      <c r="BE302" s="227"/>
      <c r="BF302" s="227"/>
      <c r="BG302" s="227"/>
      <c r="BH302" s="227"/>
      <c r="BI302" s="133"/>
      <c r="BJ302" s="202"/>
      <c r="BK302" s="202"/>
      <c r="BL302" s="202"/>
      <c r="BM302" s="202"/>
      <c r="BN302" s="202"/>
      <c r="BO302" s="202"/>
      <c r="BP302" s="202"/>
      <c r="BQ302" s="202"/>
      <c r="BR302" s="202"/>
      <c r="BS302" s="202"/>
      <c r="BT302" s="202"/>
      <c r="BU302" s="202"/>
      <c r="BV302" s="202"/>
      <c r="BW302" s="202"/>
      <c r="BX302" s="202"/>
      <c r="BY302" s="202"/>
      <c r="BZ302" s="202"/>
      <c r="CA302" s="202"/>
      <c r="CB302" s="202"/>
      <c r="CC302" s="202"/>
      <c r="CD302" s="202"/>
      <c r="CE302" s="202"/>
      <c r="CF302" s="202"/>
      <c r="CG302" s="202"/>
      <c r="CH302" s="202"/>
      <c r="CI302" s="121"/>
      <c r="CJ302" s="121"/>
      <c r="CK302" s="121"/>
      <c r="CL302" s="121"/>
      <c r="CM302" s="121"/>
      <c r="CN302" s="121"/>
      <c r="CO302" s="121"/>
      <c r="CP302" s="121"/>
      <c r="CQ302" s="121"/>
      <c r="CR302" s="121"/>
      <c r="CS302" s="121"/>
      <c r="CT302" s="121"/>
      <c r="CU302" s="199"/>
      <c r="CV302" s="199"/>
      <c r="CW302" s="205"/>
      <c r="CX302" s="132"/>
      <c r="CY302" s="132"/>
      <c r="CZ302" s="132"/>
      <c r="DA302" s="132"/>
      <c r="DB302" s="132"/>
      <c r="DC302" s="132"/>
      <c r="DD302" s="132"/>
      <c r="DE302" s="103"/>
      <c r="DF302" s="103"/>
      <c r="DG302" s="103"/>
      <c r="DH302" s="103"/>
      <c r="DI302" s="103"/>
      <c r="DJ302" s="103"/>
      <c r="DK302" s="130">
        <v>1</v>
      </c>
      <c r="DL302" s="130">
        <v>1</v>
      </c>
      <c r="DM302" s="130">
        <v>1</v>
      </c>
      <c r="DN302" s="132"/>
      <c r="DO302" s="132"/>
    </row>
    <row r="303" ht="26.25" customHeight="1" spans="1:119">
      <c r="A303" s="131">
        <v>44042</v>
      </c>
      <c r="B303" s="99" t="s">
        <v>13342</v>
      </c>
      <c r="C303" s="134" t="s">
        <v>13508</v>
      </c>
      <c r="D303" s="215" t="s">
        <v>13509</v>
      </c>
      <c r="E303" s="206" t="s">
        <v>13322</v>
      </c>
      <c r="F303" s="136">
        <v>9213</v>
      </c>
      <c r="G303" s="137" t="s">
        <v>13502</v>
      </c>
      <c r="H303" s="132">
        <v>6</v>
      </c>
      <c r="I303" s="132"/>
      <c r="J303" s="132"/>
      <c r="K303" s="132"/>
      <c r="L303" s="139"/>
      <c r="M303" s="140"/>
      <c r="N303" s="141"/>
      <c r="O303" s="141"/>
      <c r="P303" s="142"/>
      <c r="Q303" s="141"/>
      <c r="R303" s="141"/>
      <c r="S303" s="141"/>
      <c r="T303" s="141"/>
      <c r="U303" s="142"/>
      <c r="V303" s="227"/>
      <c r="W303" s="236"/>
      <c r="X303" s="236"/>
      <c r="Y303" s="236"/>
      <c r="Z303" s="236"/>
      <c r="AA303" s="236"/>
      <c r="AB303" s="236"/>
      <c r="AC303" s="236"/>
      <c r="AD303" s="236"/>
      <c r="AE303" s="236"/>
      <c r="AF303" s="236"/>
      <c r="AG303" s="238"/>
      <c r="AH303" s="229"/>
      <c r="AI303" s="229"/>
      <c r="AJ303" s="229"/>
      <c r="AK303" s="229"/>
      <c r="AL303" s="229"/>
      <c r="AM303" s="229"/>
      <c r="AN303" s="229"/>
      <c r="AO303" s="229"/>
      <c r="AP303" s="229"/>
      <c r="AQ303" s="229"/>
      <c r="AR303" s="229"/>
      <c r="AS303" s="229"/>
      <c r="AT303" s="229"/>
      <c r="AU303" s="229"/>
      <c r="AV303" s="229"/>
      <c r="AW303" s="229"/>
      <c r="AX303" s="229"/>
      <c r="AY303" s="229"/>
      <c r="AZ303" s="229"/>
      <c r="BA303" s="229"/>
      <c r="BB303" s="229"/>
      <c r="BC303" s="229"/>
      <c r="BD303" s="229"/>
      <c r="BE303" s="227"/>
      <c r="BF303" s="227"/>
      <c r="BG303" s="227"/>
      <c r="BH303" s="227"/>
      <c r="BI303" s="133"/>
      <c r="BJ303" s="202"/>
      <c r="BK303" s="202"/>
      <c r="BL303" s="202"/>
      <c r="BM303" s="202"/>
      <c r="BN303" s="202"/>
      <c r="BO303" s="202"/>
      <c r="BP303" s="202"/>
      <c r="BQ303" s="202"/>
      <c r="BR303" s="202"/>
      <c r="BS303" s="202"/>
      <c r="BT303" s="202"/>
      <c r="BU303" s="202"/>
      <c r="BV303" s="202"/>
      <c r="BW303" s="202"/>
      <c r="BX303" s="202"/>
      <c r="BY303" s="202"/>
      <c r="BZ303" s="202"/>
      <c r="CA303" s="202"/>
      <c r="CB303" s="202"/>
      <c r="CC303" s="202"/>
      <c r="CD303" s="202"/>
      <c r="CE303" s="202"/>
      <c r="CF303" s="202"/>
      <c r="CG303" s="202"/>
      <c r="CH303" s="202"/>
      <c r="CI303" s="121"/>
      <c r="CJ303" s="121"/>
      <c r="CK303" s="121"/>
      <c r="CL303" s="121"/>
      <c r="CM303" s="121"/>
      <c r="CN303" s="121"/>
      <c r="CO303" s="121"/>
      <c r="CP303" s="121"/>
      <c r="CQ303" s="121"/>
      <c r="CR303" s="121"/>
      <c r="CS303" s="121"/>
      <c r="CT303" s="121"/>
      <c r="CU303" s="199"/>
      <c r="CV303" s="199"/>
      <c r="CW303" s="205"/>
      <c r="CX303" s="132"/>
      <c r="CY303" s="132"/>
      <c r="CZ303" s="132"/>
      <c r="DA303" s="132"/>
      <c r="DB303" s="132"/>
      <c r="DC303" s="132"/>
      <c r="DD303" s="132"/>
      <c r="DE303" s="103"/>
      <c r="DF303" s="103"/>
      <c r="DG303" s="103"/>
      <c r="DH303" s="103"/>
      <c r="DI303" s="103"/>
      <c r="DJ303" s="103"/>
      <c r="DK303" s="130">
        <v>2</v>
      </c>
      <c r="DL303" s="130">
        <v>2</v>
      </c>
      <c r="DM303" s="130">
        <v>2</v>
      </c>
      <c r="DN303" s="132"/>
      <c r="DO303" s="132"/>
    </row>
    <row r="304" ht="26.25" customHeight="1" spans="1:119">
      <c r="A304" s="131">
        <v>44042</v>
      </c>
      <c r="B304" s="99" t="s">
        <v>13321</v>
      </c>
      <c r="C304" s="134" t="s">
        <v>13510</v>
      </c>
      <c r="D304" s="215" t="s">
        <v>13511</v>
      </c>
      <c r="E304" s="206" t="s">
        <v>13322</v>
      </c>
      <c r="F304" s="136">
        <v>9208</v>
      </c>
      <c r="G304" s="137" t="s">
        <v>13439</v>
      </c>
      <c r="H304" s="132">
        <v>1</v>
      </c>
      <c r="I304" s="132"/>
      <c r="J304" s="132"/>
      <c r="K304" s="132"/>
      <c r="L304" s="139"/>
      <c r="M304" s="140"/>
      <c r="N304" s="141"/>
      <c r="O304" s="141"/>
      <c r="P304" s="142"/>
      <c r="Q304" s="141"/>
      <c r="R304" s="141"/>
      <c r="S304" s="141"/>
      <c r="T304" s="141"/>
      <c r="U304" s="142"/>
      <c r="V304" s="227"/>
      <c r="W304" s="236"/>
      <c r="X304" s="236"/>
      <c r="Y304" s="236"/>
      <c r="Z304" s="236"/>
      <c r="AA304" s="236"/>
      <c r="AB304" s="236"/>
      <c r="AC304" s="236"/>
      <c r="AD304" s="236"/>
      <c r="AE304" s="236"/>
      <c r="AF304" s="236"/>
      <c r="AG304" s="238"/>
      <c r="AH304" s="229"/>
      <c r="AI304" s="229"/>
      <c r="AJ304" s="229"/>
      <c r="AK304" s="229"/>
      <c r="AL304" s="229"/>
      <c r="AM304" s="229"/>
      <c r="AN304" s="229"/>
      <c r="AO304" s="229"/>
      <c r="AP304" s="229"/>
      <c r="AQ304" s="229"/>
      <c r="AR304" s="229"/>
      <c r="AS304" s="229"/>
      <c r="AT304" s="229"/>
      <c r="AU304" s="229"/>
      <c r="AV304" s="229"/>
      <c r="AW304" s="229"/>
      <c r="AX304" s="229"/>
      <c r="AY304" s="229"/>
      <c r="AZ304" s="229"/>
      <c r="BA304" s="229"/>
      <c r="BB304" s="229"/>
      <c r="BC304" s="229"/>
      <c r="BD304" s="229"/>
      <c r="BE304" s="227"/>
      <c r="BF304" s="227"/>
      <c r="BG304" s="227"/>
      <c r="BH304" s="227"/>
      <c r="BI304" s="133"/>
      <c r="BJ304" s="202"/>
      <c r="BK304" s="202"/>
      <c r="BL304" s="202"/>
      <c r="BM304" s="202"/>
      <c r="BN304" s="202"/>
      <c r="BO304" s="202"/>
      <c r="BP304" s="202"/>
      <c r="BQ304" s="202"/>
      <c r="BR304" s="202"/>
      <c r="BS304" s="202"/>
      <c r="BT304" s="202"/>
      <c r="BU304" s="202"/>
      <c r="BV304" s="202"/>
      <c r="BW304" s="202"/>
      <c r="BX304" s="202"/>
      <c r="BY304" s="202"/>
      <c r="BZ304" s="202"/>
      <c r="CA304" s="202"/>
      <c r="CB304" s="202"/>
      <c r="CC304" s="202"/>
      <c r="CD304" s="202"/>
      <c r="CE304" s="202"/>
      <c r="CF304" s="202"/>
      <c r="CG304" s="202"/>
      <c r="CH304" s="202"/>
      <c r="CI304" s="121"/>
      <c r="CJ304" s="121"/>
      <c r="CK304" s="121"/>
      <c r="CL304" s="121"/>
      <c r="CM304" s="121"/>
      <c r="CN304" s="121"/>
      <c r="CO304" s="121"/>
      <c r="CP304" s="121"/>
      <c r="CQ304" s="121"/>
      <c r="CR304" s="121"/>
      <c r="CS304" s="121"/>
      <c r="CT304" s="121"/>
      <c r="CU304" s="199"/>
      <c r="CV304" s="199"/>
      <c r="CW304" s="205"/>
      <c r="CX304" s="132"/>
      <c r="CY304" s="132"/>
      <c r="CZ304" s="132"/>
      <c r="DA304" s="132"/>
      <c r="DB304" s="132"/>
      <c r="DC304" s="132"/>
      <c r="DD304" s="132"/>
      <c r="DE304" s="103"/>
      <c r="DF304" s="103"/>
      <c r="DG304" s="103"/>
      <c r="DH304" s="103"/>
      <c r="DI304" s="103"/>
      <c r="DJ304" s="103"/>
      <c r="DK304" s="130"/>
      <c r="DL304" s="130"/>
      <c r="DM304" s="130"/>
      <c r="DN304" s="132"/>
      <c r="DO304" s="132"/>
    </row>
    <row r="305" ht="26.25" customHeight="1" spans="1:119">
      <c r="A305" s="131">
        <v>44042</v>
      </c>
      <c r="B305" s="99" t="s">
        <v>13321</v>
      </c>
      <c r="C305" s="134" t="s">
        <v>13512</v>
      </c>
      <c r="D305" s="215" t="s">
        <v>13511</v>
      </c>
      <c r="E305" s="206" t="s">
        <v>13322</v>
      </c>
      <c r="F305" s="136">
        <v>9214</v>
      </c>
      <c r="G305" s="137" t="s">
        <v>13276</v>
      </c>
      <c r="H305" s="132">
        <v>6</v>
      </c>
      <c r="I305" s="132"/>
      <c r="J305" s="132"/>
      <c r="K305" s="132"/>
      <c r="L305" s="139"/>
      <c r="M305" s="140"/>
      <c r="N305" s="141"/>
      <c r="O305" s="141"/>
      <c r="P305" s="142"/>
      <c r="Q305" s="141"/>
      <c r="R305" s="141"/>
      <c r="S305" s="141"/>
      <c r="T305" s="141"/>
      <c r="U305" s="142"/>
      <c r="V305" s="227"/>
      <c r="W305" s="236"/>
      <c r="X305" s="236"/>
      <c r="Y305" s="236"/>
      <c r="Z305" s="236"/>
      <c r="AA305" s="236"/>
      <c r="AB305" s="236"/>
      <c r="AC305" s="236"/>
      <c r="AD305" s="236"/>
      <c r="AE305" s="236"/>
      <c r="AF305" s="236"/>
      <c r="AG305" s="238"/>
      <c r="AH305" s="229"/>
      <c r="AI305" s="229"/>
      <c r="AJ305" s="229"/>
      <c r="AK305" s="229"/>
      <c r="AL305" s="229"/>
      <c r="AM305" s="229"/>
      <c r="AN305" s="229"/>
      <c r="AO305" s="229"/>
      <c r="AP305" s="229"/>
      <c r="AQ305" s="229"/>
      <c r="AR305" s="229"/>
      <c r="AS305" s="229"/>
      <c r="AT305" s="229"/>
      <c r="AU305" s="229"/>
      <c r="AV305" s="229"/>
      <c r="AW305" s="229"/>
      <c r="AX305" s="229">
        <v>6</v>
      </c>
      <c r="AY305" s="229">
        <v>6</v>
      </c>
      <c r="AZ305" s="229"/>
      <c r="BA305" s="229"/>
      <c r="BB305" s="229"/>
      <c r="BC305" s="229"/>
      <c r="BD305" s="229"/>
      <c r="BE305" s="227"/>
      <c r="BF305" s="227"/>
      <c r="BG305" s="227"/>
      <c r="BH305" s="227"/>
      <c r="BI305" s="133"/>
      <c r="BJ305" s="202"/>
      <c r="BK305" s="202"/>
      <c r="BL305" s="202"/>
      <c r="BM305" s="202"/>
      <c r="BN305" s="202"/>
      <c r="BO305" s="202"/>
      <c r="BP305" s="202"/>
      <c r="BQ305" s="202"/>
      <c r="BR305" s="202"/>
      <c r="BS305" s="202"/>
      <c r="BT305" s="202"/>
      <c r="BU305" s="202"/>
      <c r="BV305" s="202"/>
      <c r="BW305" s="202"/>
      <c r="BX305" s="202"/>
      <c r="BY305" s="202"/>
      <c r="BZ305" s="202"/>
      <c r="CA305" s="202"/>
      <c r="CB305" s="202"/>
      <c r="CC305" s="202"/>
      <c r="CD305" s="202"/>
      <c r="CE305" s="202"/>
      <c r="CF305" s="202"/>
      <c r="CG305" s="202"/>
      <c r="CH305" s="202"/>
      <c r="CI305" s="121">
        <v>1</v>
      </c>
      <c r="CJ305" s="121">
        <v>1</v>
      </c>
      <c r="CK305" s="121">
        <v>1</v>
      </c>
      <c r="CL305" s="121">
        <v>1</v>
      </c>
      <c r="CM305" s="121">
        <v>1</v>
      </c>
      <c r="CN305" s="121">
        <v>1</v>
      </c>
      <c r="CO305" s="121"/>
      <c r="CP305" s="121"/>
      <c r="CQ305" s="121"/>
      <c r="CR305" s="121"/>
      <c r="CS305" s="121"/>
      <c r="CT305" s="121"/>
      <c r="CU305" s="199"/>
      <c r="CV305" s="199"/>
      <c r="CW305" s="205"/>
      <c r="CX305" s="132"/>
      <c r="CY305" s="132"/>
      <c r="CZ305" s="132"/>
      <c r="DA305" s="132"/>
      <c r="DB305" s="132"/>
      <c r="DC305" s="132"/>
      <c r="DD305" s="132"/>
      <c r="DE305" s="103"/>
      <c r="DF305" s="103"/>
      <c r="DG305" s="103"/>
      <c r="DH305" s="103"/>
      <c r="DI305" s="103"/>
      <c r="DJ305" s="103"/>
      <c r="DK305" s="130"/>
      <c r="DL305" s="130"/>
      <c r="DM305" s="130"/>
      <c r="DN305" s="132"/>
      <c r="DO305" s="132">
        <v>1</v>
      </c>
    </row>
    <row r="306" ht="26.25" customHeight="1" spans="1:119">
      <c r="A306" s="131">
        <v>44048</v>
      </c>
      <c r="B306" s="99" t="s">
        <v>13253</v>
      </c>
      <c r="C306" s="134" t="s">
        <v>13513</v>
      </c>
      <c r="D306" s="215" t="s">
        <v>6334</v>
      </c>
      <c r="E306" s="206" t="s">
        <v>13322</v>
      </c>
      <c r="F306" s="136">
        <v>9213</v>
      </c>
      <c r="G306" s="137" t="s">
        <v>13502</v>
      </c>
      <c r="H306" s="132">
        <v>3</v>
      </c>
      <c r="I306" s="132"/>
      <c r="J306" s="132"/>
      <c r="K306" s="132"/>
      <c r="L306" s="139"/>
      <c r="M306" s="140"/>
      <c r="N306" s="141"/>
      <c r="O306" s="141"/>
      <c r="P306" s="142"/>
      <c r="Q306" s="141"/>
      <c r="R306" s="141"/>
      <c r="S306" s="141"/>
      <c r="T306" s="141"/>
      <c r="U306" s="142"/>
      <c r="V306" s="227"/>
      <c r="W306" s="236"/>
      <c r="X306" s="236"/>
      <c r="Y306" s="236"/>
      <c r="Z306" s="236"/>
      <c r="AA306" s="236"/>
      <c r="AB306" s="236"/>
      <c r="AC306" s="236"/>
      <c r="AD306" s="236"/>
      <c r="AE306" s="236"/>
      <c r="AF306" s="236"/>
      <c r="AG306" s="238"/>
      <c r="AH306" s="229"/>
      <c r="AI306" s="229"/>
      <c r="AJ306" s="229"/>
      <c r="AK306" s="229"/>
      <c r="AL306" s="229"/>
      <c r="AM306" s="229"/>
      <c r="AN306" s="229"/>
      <c r="AO306" s="229"/>
      <c r="AP306" s="229"/>
      <c r="AQ306" s="229"/>
      <c r="AR306" s="229"/>
      <c r="AS306" s="229"/>
      <c r="AT306" s="229"/>
      <c r="AU306" s="229"/>
      <c r="AV306" s="229"/>
      <c r="AW306" s="229"/>
      <c r="AX306" s="229"/>
      <c r="AY306" s="229"/>
      <c r="AZ306" s="229"/>
      <c r="BA306" s="229"/>
      <c r="BB306" s="229"/>
      <c r="BC306" s="229"/>
      <c r="BD306" s="229"/>
      <c r="BE306" s="227"/>
      <c r="BF306" s="227"/>
      <c r="BG306" s="227"/>
      <c r="BH306" s="227"/>
      <c r="BI306" s="133"/>
      <c r="BJ306" s="202"/>
      <c r="BK306" s="202"/>
      <c r="BL306" s="202"/>
      <c r="BM306" s="202"/>
      <c r="BN306" s="202"/>
      <c r="BO306" s="202"/>
      <c r="BP306" s="202"/>
      <c r="BQ306" s="202"/>
      <c r="BR306" s="202"/>
      <c r="BS306" s="202"/>
      <c r="BT306" s="202"/>
      <c r="BU306" s="202"/>
      <c r="BV306" s="202"/>
      <c r="BW306" s="202"/>
      <c r="BX306" s="202"/>
      <c r="BY306" s="202"/>
      <c r="BZ306" s="202"/>
      <c r="CA306" s="202"/>
      <c r="CB306" s="202"/>
      <c r="CC306" s="202"/>
      <c r="CD306" s="202"/>
      <c r="CE306" s="202"/>
      <c r="CF306" s="202"/>
      <c r="CG306" s="202"/>
      <c r="CH306" s="202"/>
      <c r="CI306" s="121"/>
      <c r="CJ306" s="121"/>
      <c r="CK306" s="121"/>
      <c r="CL306" s="121"/>
      <c r="CM306" s="121"/>
      <c r="CN306" s="121"/>
      <c r="CO306" s="121"/>
      <c r="CP306" s="121"/>
      <c r="CQ306" s="121"/>
      <c r="CR306" s="121"/>
      <c r="CS306" s="121"/>
      <c r="CT306" s="121"/>
      <c r="CU306" s="199"/>
      <c r="CV306" s="199"/>
      <c r="CW306" s="205"/>
      <c r="CX306" s="132"/>
      <c r="CY306" s="132"/>
      <c r="CZ306" s="132"/>
      <c r="DA306" s="132"/>
      <c r="DB306" s="132"/>
      <c r="DC306" s="132"/>
      <c r="DD306" s="132"/>
      <c r="DE306" s="103"/>
      <c r="DF306" s="103"/>
      <c r="DG306" s="103"/>
      <c r="DH306" s="103"/>
      <c r="DI306" s="103"/>
      <c r="DJ306" s="103"/>
      <c r="DK306" s="130">
        <v>1</v>
      </c>
      <c r="DL306" s="130">
        <v>1</v>
      </c>
      <c r="DM306" s="130">
        <v>1</v>
      </c>
      <c r="DN306" s="132"/>
      <c r="DO306" s="132"/>
    </row>
    <row r="307" ht="26.25" customHeight="1" spans="1:119">
      <c r="A307" s="131">
        <v>44049</v>
      </c>
      <c r="B307" s="99" t="s">
        <v>11685</v>
      </c>
      <c r="C307" s="134" t="s">
        <v>13514</v>
      </c>
      <c r="D307" s="215" t="s">
        <v>371</v>
      </c>
      <c r="E307" s="206" t="s">
        <v>13322</v>
      </c>
      <c r="F307" s="136">
        <v>9212</v>
      </c>
      <c r="G307" s="137" t="s">
        <v>13424</v>
      </c>
      <c r="H307" s="132">
        <v>4</v>
      </c>
      <c r="I307" s="132"/>
      <c r="J307" s="132"/>
      <c r="K307" s="132"/>
      <c r="L307" s="139"/>
      <c r="M307" s="140"/>
      <c r="N307" s="141"/>
      <c r="O307" s="141"/>
      <c r="P307" s="142"/>
      <c r="Q307" s="141"/>
      <c r="R307" s="141"/>
      <c r="S307" s="141"/>
      <c r="T307" s="141"/>
      <c r="U307" s="142"/>
      <c r="V307" s="227"/>
      <c r="W307" s="236"/>
      <c r="X307" s="236"/>
      <c r="Y307" s="236"/>
      <c r="Z307" s="236"/>
      <c r="AA307" s="236"/>
      <c r="AB307" s="236"/>
      <c r="AC307" s="236"/>
      <c r="AD307" s="236"/>
      <c r="AE307" s="236"/>
      <c r="AF307" s="236"/>
      <c r="AG307" s="238"/>
      <c r="AH307" s="229"/>
      <c r="AI307" s="229"/>
      <c r="AJ307" s="229"/>
      <c r="AK307" s="229"/>
      <c r="AL307" s="229"/>
      <c r="AM307" s="229"/>
      <c r="AN307" s="229"/>
      <c r="AO307" s="229"/>
      <c r="AP307" s="229"/>
      <c r="AQ307" s="229"/>
      <c r="AR307" s="229"/>
      <c r="AS307" s="229"/>
      <c r="AT307" s="229"/>
      <c r="AU307" s="229"/>
      <c r="AV307" s="229"/>
      <c r="AW307" s="229"/>
      <c r="AX307" s="229"/>
      <c r="AY307" s="229"/>
      <c r="AZ307" s="229"/>
      <c r="BA307" s="229"/>
      <c r="BB307" s="229"/>
      <c r="BC307" s="229"/>
      <c r="BD307" s="229"/>
      <c r="BE307" s="227"/>
      <c r="BF307" s="227"/>
      <c r="BG307" s="227"/>
      <c r="BH307" s="227"/>
      <c r="BI307" s="133"/>
      <c r="BJ307" s="202"/>
      <c r="BK307" s="202"/>
      <c r="BL307" s="202"/>
      <c r="BM307" s="202"/>
      <c r="BN307" s="202"/>
      <c r="BO307" s="202"/>
      <c r="BP307" s="202"/>
      <c r="BQ307" s="202"/>
      <c r="BR307" s="202"/>
      <c r="BS307" s="202"/>
      <c r="BT307" s="202"/>
      <c r="BU307" s="202"/>
      <c r="BV307" s="202"/>
      <c r="BW307" s="202"/>
      <c r="BX307" s="202"/>
      <c r="BY307" s="202"/>
      <c r="BZ307" s="202"/>
      <c r="CA307" s="202"/>
      <c r="CB307" s="202"/>
      <c r="CC307" s="202"/>
      <c r="CD307" s="202"/>
      <c r="CE307" s="202"/>
      <c r="CF307" s="202"/>
      <c r="CG307" s="202"/>
      <c r="CH307" s="202"/>
      <c r="CI307" s="121"/>
      <c r="CJ307" s="121"/>
      <c r="CK307" s="121"/>
      <c r="CL307" s="121"/>
      <c r="CM307" s="121"/>
      <c r="CN307" s="121"/>
      <c r="CO307" s="121"/>
      <c r="CP307" s="121"/>
      <c r="CQ307" s="121"/>
      <c r="CR307" s="121"/>
      <c r="CS307" s="121"/>
      <c r="CT307" s="121"/>
      <c r="CU307" s="199"/>
      <c r="CV307" s="199"/>
      <c r="CW307" s="205"/>
      <c r="CX307" s="132"/>
      <c r="CY307" s="132"/>
      <c r="CZ307" s="132"/>
      <c r="DA307" s="132"/>
      <c r="DB307" s="132"/>
      <c r="DC307" s="132"/>
      <c r="DD307" s="132"/>
      <c r="DE307" s="103"/>
      <c r="DF307" s="103">
        <v>1</v>
      </c>
      <c r="DG307" s="103">
        <v>1</v>
      </c>
      <c r="DH307" s="103">
        <v>1</v>
      </c>
      <c r="DI307" s="103">
        <v>1</v>
      </c>
      <c r="DJ307" s="103"/>
      <c r="DK307" s="130"/>
      <c r="DL307" s="130"/>
      <c r="DM307" s="130"/>
      <c r="DN307" s="132"/>
      <c r="DO307" s="132"/>
    </row>
    <row r="308" ht="26.25" customHeight="1" spans="1:119">
      <c r="A308" s="131">
        <v>44054</v>
      </c>
      <c r="B308" s="99" t="s">
        <v>13446</v>
      </c>
      <c r="C308" s="134" t="s">
        <v>13515</v>
      </c>
      <c r="D308" s="215" t="s">
        <v>13516</v>
      </c>
      <c r="E308" s="206" t="s">
        <v>13322</v>
      </c>
      <c r="F308" s="136">
        <v>9213</v>
      </c>
      <c r="G308" s="137" t="s">
        <v>13502</v>
      </c>
      <c r="H308" s="132">
        <v>6</v>
      </c>
      <c r="I308" s="132"/>
      <c r="J308" s="132"/>
      <c r="K308" s="132"/>
      <c r="L308" s="139"/>
      <c r="M308" s="140"/>
      <c r="N308" s="141"/>
      <c r="O308" s="141"/>
      <c r="P308" s="142"/>
      <c r="Q308" s="141"/>
      <c r="R308" s="141"/>
      <c r="S308" s="141"/>
      <c r="T308" s="141"/>
      <c r="U308" s="142"/>
      <c r="V308" s="227"/>
      <c r="W308" s="236"/>
      <c r="X308" s="236"/>
      <c r="Y308" s="236"/>
      <c r="Z308" s="236"/>
      <c r="AA308" s="236"/>
      <c r="AB308" s="236"/>
      <c r="AC308" s="236"/>
      <c r="AD308" s="236"/>
      <c r="AE308" s="236"/>
      <c r="AF308" s="236"/>
      <c r="AG308" s="238"/>
      <c r="AH308" s="229"/>
      <c r="AI308" s="229"/>
      <c r="AJ308" s="229"/>
      <c r="AK308" s="229"/>
      <c r="AL308" s="229"/>
      <c r="AM308" s="229"/>
      <c r="AN308" s="229"/>
      <c r="AO308" s="229"/>
      <c r="AP308" s="229"/>
      <c r="AQ308" s="229"/>
      <c r="AR308" s="229"/>
      <c r="AS308" s="229"/>
      <c r="AT308" s="229"/>
      <c r="AU308" s="229"/>
      <c r="AV308" s="229"/>
      <c r="AW308" s="229"/>
      <c r="AX308" s="229"/>
      <c r="AY308" s="229"/>
      <c r="AZ308" s="229"/>
      <c r="BA308" s="229"/>
      <c r="BB308" s="229"/>
      <c r="BC308" s="229"/>
      <c r="BD308" s="229"/>
      <c r="BE308" s="227"/>
      <c r="BF308" s="227"/>
      <c r="BG308" s="227"/>
      <c r="BH308" s="227"/>
      <c r="BI308" s="133"/>
      <c r="BJ308" s="202"/>
      <c r="BK308" s="202"/>
      <c r="BL308" s="202"/>
      <c r="BM308" s="202"/>
      <c r="BN308" s="202"/>
      <c r="BO308" s="202"/>
      <c r="BP308" s="202"/>
      <c r="BQ308" s="202"/>
      <c r="BR308" s="202"/>
      <c r="BS308" s="202"/>
      <c r="BT308" s="202"/>
      <c r="BU308" s="202"/>
      <c r="BV308" s="202"/>
      <c r="BW308" s="202"/>
      <c r="BX308" s="202"/>
      <c r="BY308" s="202"/>
      <c r="BZ308" s="202"/>
      <c r="CA308" s="202"/>
      <c r="CB308" s="202"/>
      <c r="CC308" s="202"/>
      <c r="CD308" s="202"/>
      <c r="CE308" s="202"/>
      <c r="CF308" s="202"/>
      <c r="CG308" s="202"/>
      <c r="CH308" s="202"/>
      <c r="CI308" s="121"/>
      <c r="CJ308" s="121"/>
      <c r="CK308" s="121"/>
      <c r="CL308" s="121"/>
      <c r="CM308" s="121"/>
      <c r="CN308" s="121"/>
      <c r="CO308" s="121"/>
      <c r="CP308" s="121"/>
      <c r="CQ308" s="121"/>
      <c r="CR308" s="121"/>
      <c r="CS308" s="121"/>
      <c r="CT308" s="121"/>
      <c r="CU308" s="199"/>
      <c r="CV308" s="199"/>
      <c r="CW308" s="205"/>
      <c r="CX308" s="132"/>
      <c r="CY308" s="132"/>
      <c r="CZ308" s="132"/>
      <c r="DA308" s="132"/>
      <c r="DB308" s="132"/>
      <c r="DC308" s="132"/>
      <c r="DD308" s="132"/>
      <c r="DE308" s="103"/>
      <c r="DF308" s="103"/>
      <c r="DG308" s="103"/>
      <c r="DH308" s="103"/>
      <c r="DI308" s="103"/>
      <c r="DJ308" s="103"/>
      <c r="DK308" s="130">
        <v>2</v>
      </c>
      <c r="DL308" s="130">
        <v>2</v>
      </c>
      <c r="DM308" s="130">
        <v>2</v>
      </c>
      <c r="DN308" s="132"/>
      <c r="DO308" s="132"/>
    </row>
    <row r="309" ht="26.25" customHeight="1" spans="1:119">
      <c r="A309" s="131">
        <v>44055</v>
      </c>
      <c r="B309" s="99" t="s">
        <v>13517</v>
      </c>
      <c r="C309" s="134"/>
      <c r="D309" s="215" t="s">
        <v>13518</v>
      </c>
      <c r="E309" s="206" t="s">
        <v>13361</v>
      </c>
      <c r="F309" s="136">
        <v>9207</v>
      </c>
      <c r="G309" s="137" t="s">
        <v>13447</v>
      </c>
      <c r="H309" s="132">
        <v>3</v>
      </c>
      <c r="I309" s="132"/>
      <c r="J309" s="132"/>
      <c r="K309" s="132"/>
      <c r="L309" s="139"/>
      <c r="M309" s="140"/>
      <c r="N309" s="141"/>
      <c r="O309" s="141"/>
      <c r="P309" s="142"/>
      <c r="Q309" s="141"/>
      <c r="R309" s="141"/>
      <c r="S309" s="141"/>
      <c r="T309" s="141"/>
      <c r="U309" s="142"/>
      <c r="V309" s="227"/>
      <c r="W309" s="236"/>
      <c r="X309" s="236"/>
      <c r="Y309" s="236"/>
      <c r="Z309" s="236"/>
      <c r="AA309" s="236"/>
      <c r="AB309" s="236"/>
      <c r="AC309" s="236"/>
      <c r="AD309" s="236"/>
      <c r="AE309" s="236"/>
      <c r="AF309" s="236"/>
      <c r="AG309" s="238"/>
      <c r="AH309" s="229"/>
      <c r="AI309" s="229"/>
      <c r="AJ309" s="229"/>
      <c r="AK309" s="229"/>
      <c r="AL309" s="229"/>
      <c r="AM309" s="229"/>
      <c r="AN309" s="229"/>
      <c r="AO309" s="229"/>
      <c r="AP309" s="229"/>
      <c r="AQ309" s="229"/>
      <c r="AR309" s="229"/>
      <c r="AS309" s="229"/>
      <c r="AT309" s="229"/>
      <c r="AU309" s="229"/>
      <c r="AV309" s="229"/>
      <c r="AW309" s="229"/>
      <c r="AX309" s="229"/>
      <c r="AY309" s="229"/>
      <c r="AZ309" s="229"/>
      <c r="BA309" s="229"/>
      <c r="BB309" s="229"/>
      <c r="BC309" s="229"/>
      <c r="BD309" s="229"/>
      <c r="BE309" s="227"/>
      <c r="BF309" s="227"/>
      <c r="BG309" s="227"/>
      <c r="BH309" s="227"/>
      <c r="BI309" s="133"/>
      <c r="BJ309" s="202"/>
      <c r="BK309" s="202"/>
      <c r="BL309" s="202"/>
      <c r="BM309" s="202"/>
      <c r="BN309" s="202"/>
      <c r="BO309" s="202"/>
      <c r="BP309" s="202"/>
      <c r="BQ309" s="202"/>
      <c r="BR309" s="202"/>
      <c r="BS309" s="202"/>
      <c r="BT309" s="202"/>
      <c r="BU309" s="202"/>
      <c r="BV309" s="202"/>
      <c r="BW309" s="202"/>
      <c r="BX309" s="202"/>
      <c r="BY309" s="202"/>
      <c r="BZ309" s="202"/>
      <c r="CA309" s="202"/>
      <c r="CB309" s="202"/>
      <c r="CC309" s="202"/>
      <c r="CD309" s="202"/>
      <c r="CE309" s="202"/>
      <c r="CF309" s="202"/>
      <c r="CG309" s="202"/>
      <c r="CH309" s="202"/>
      <c r="CI309" s="121"/>
      <c r="CJ309" s="121"/>
      <c r="CK309" s="121"/>
      <c r="CL309" s="121"/>
      <c r="CM309" s="121"/>
      <c r="CN309" s="121"/>
      <c r="CO309" s="121"/>
      <c r="CP309" s="121"/>
      <c r="CQ309" s="121"/>
      <c r="CR309" s="121"/>
      <c r="CS309" s="121"/>
      <c r="CT309" s="121"/>
      <c r="CU309" s="199"/>
      <c r="CV309" s="199"/>
      <c r="CW309" s="205"/>
      <c r="CX309" s="132"/>
      <c r="CY309" s="132"/>
      <c r="CZ309" s="132"/>
      <c r="DA309" s="132"/>
      <c r="DB309" s="132"/>
      <c r="DC309" s="132"/>
      <c r="DD309" s="132"/>
      <c r="DE309" s="103"/>
      <c r="DF309" s="103"/>
      <c r="DG309" s="103"/>
      <c r="DH309" s="103"/>
      <c r="DI309" s="103"/>
      <c r="DJ309" s="103"/>
      <c r="DK309" s="130"/>
      <c r="DL309" s="130"/>
      <c r="DM309" s="130"/>
      <c r="DN309" s="132">
        <v>3</v>
      </c>
      <c r="DO309" s="132"/>
    </row>
    <row r="310" ht="26.25" customHeight="1" spans="1:119">
      <c r="A310" s="131">
        <v>44055</v>
      </c>
      <c r="B310" s="99" t="s">
        <v>13339</v>
      </c>
      <c r="C310" s="134"/>
      <c r="D310" s="215" t="s">
        <v>13285</v>
      </c>
      <c r="E310" s="206" t="s">
        <v>13361</v>
      </c>
      <c r="F310" s="136">
        <v>9208</v>
      </c>
      <c r="G310" s="137" t="s">
        <v>13439</v>
      </c>
      <c r="H310" s="132">
        <v>2</v>
      </c>
      <c r="I310" s="132"/>
      <c r="J310" s="132"/>
      <c r="K310" s="132"/>
      <c r="L310" s="139"/>
      <c r="M310" s="140"/>
      <c r="N310" s="141"/>
      <c r="O310" s="141"/>
      <c r="P310" s="142"/>
      <c r="Q310" s="141"/>
      <c r="R310" s="141"/>
      <c r="S310" s="141"/>
      <c r="T310" s="141"/>
      <c r="U310" s="142"/>
      <c r="V310" s="227"/>
      <c r="W310" s="236"/>
      <c r="X310" s="236"/>
      <c r="Y310" s="236"/>
      <c r="Z310" s="236"/>
      <c r="AA310" s="236"/>
      <c r="AB310" s="236"/>
      <c r="AC310" s="236"/>
      <c r="AD310" s="236"/>
      <c r="AE310" s="236"/>
      <c r="AF310" s="236"/>
      <c r="AG310" s="238"/>
      <c r="AH310" s="229"/>
      <c r="AI310" s="229"/>
      <c r="AJ310" s="229"/>
      <c r="AK310" s="229"/>
      <c r="AL310" s="229"/>
      <c r="AM310" s="229"/>
      <c r="AN310" s="229"/>
      <c r="AO310" s="229"/>
      <c r="AP310" s="229"/>
      <c r="AQ310" s="229"/>
      <c r="AR310" s="229"/>
      <c r="AS310" s="229"/>
      <c r="AT310" s="229"/>
      <c r="AU310" s="229"/>
      <c r="AV310" s="229"/>
      <c r="AW310" s="229"/>
      <c r="AX310" s="229"/>
      <c r="AY310" s="229"/>
      <c r="AZ310" s="229"/>
      <c r="BA310" s="229"/>
      <c r="BB310" s="229"/>
      <c r="BC310" s="229"/>
      <c r="BD310" s="229"/>
      <c r="BE310" s="227"/>
      <c r="BF310" s="227"/>
      <c r="BG310" s="227"/>
      <c r="BH310" s="227"/>
      <c r="BI310" s="133"/>
      <c r="BJ310" s="202"/>
      <c r="BK310" s="202"/>
      <c r="BL310" s="202"/>
      <c r="BM310" s="202"/>
      <c r="BN310" s="202"/>
      <c r="BO310" s="202"/>
      <c r="BP310" s="202"/>
      <c r="BQ310" s="202"/>
      <c r="BR310" s="202"/>
      <c r="BS310" s="202"/>
      <c r="BT310" s="202"/>
      <c r="BU310" s="202"/>
      <c r="BV310" s="202"/>
      <c r="BW310" s="202"/>
      <c r="BX310" s="202"/>
      <c r="BY310" s="202"/>
      <c r="BZ310" s="202"/>
      <c r="CA310" s="202"/>
      <c r="CB310" s="202"/>
      <c r="CC310" s="202"/>
      <c r="CD310" s="202"/>
      <c r="CE310" s="202"/>
      <c r="CF310" s="202"/>
      <c r="CG310" s="202"/>
      <c r="CH310" s="202"/>
      <c r="CI310" s="121"/>
      <c r="CJ310" s="121"/>
      <c r="CK310" s="121"/>
      <c r="CL310" s="121"/>
      <c r="CM310" s="121"/>
      <c r="CN310" s="121"/>
      <c r="CO310" s="121"/>
      <c r="CP310" s="121"/>
      <c r="CQ310" s="121"/>
      <c r="CR310" s="121"/>
      <c r="CS310" s="121"/>
      <c r="CT310" s="121"/>
      <c r="CU310" s="199"/>
      <c r="CV310" s="199"/>
      <c r="CW310" s="205"/>
      <c r="CX310" s="132"/>
      <c r="CY310" s="132"/>
      <c r="CZ310" s="132"/>
      <c r="DA310" s="132"/>
      <c r="DB310" s="132"/>
      <c r="DC310" s="132"/>
      <c r="DD310" s="132"/>
      <c r="DE310" s="103"/>
      <c r="DF310" s="103"/>
      <c r="DG310" s="103"/>
      <c r="DH310" s="103"/>
      <c r="DI310" s="103"/>
      <c r="DJ310" s="103"/>
      <c r="DK310" s="130"/>
      <c r="DL310" s="130"/>
      <c r="DM310" s="130"/>
      <c r="DN310" s="132"/>
      <c r="DO310" s="132">
        <v>2</v>
      </c>
    </row>
    <row r="311" ht="26.25" customHeight="1" spans="1:119">
      <c r="A311" s="131">
        <v>44055</v>
      </c>
      <c r="B311" s="99" t="s">
        <v>13339</v>
      </c>
      <c r="C311" s="134"/>
      <c r="D311" s="215" t="s">
        <v>13285</v>
      </c>
      <c r="E311" s="206" t="s">
        <v>13361</v>
      </c>
      <c r="F311" s="136">
        <v>9212</v>
      </c>
      <c r="G311" s="137" t="s">
        <v>13424</v>
      </c>
      <c r="H311" s="132">
        <v>6</v>
      </c>
      <c r="I311" s="132"/>
      <c r="J311" s="132"/>
      <c r="K311" s="132"/>
      <c r="L311" s="139"/>
      <c r="M311" s="140"/>
      <c r="N311" s="141"/>
      <c r="O311" s="141"/>
      <c r="P311" s="142"/>
      <c r="Q311" s="141"/>
      <c r="R311" s="141"/>
      <c r="S311" s="141"/>
      <c r="T311" s="141"/>
      <c r="U311" s="142"/>
      <c r="V311" s="227"/>
      <c r="W311" s="236"/>
      <c r="X311" s="236"/>
      <c r="Y311" s="236"/>
      <c r="Z311" s="236"/>
      <c r="AA311" s="236"/>
      <c r="AB311" s="236"/>
      <c r="AC311" s="236"/>
      <c r="AD311" s="236"/>
      <c r="AE311" s="236"/>
      <c r="AF311" s="236"/>
      <c r="AG311" s="238"/>
      <c r="AH311" s="229"/>
      <c r="AI311" s="229"/>
      <c r="AJ311" s="229"/>
      <c r="AK311" s="229"/>
      <c r="AL311" s="229"/>
      <c r="AM311" s="229"/>
      <c r="AN311" s="229"/>
      <c r="AO311" s="229"/>
      <c r="AP311" s="229"/>
      <c r="AQ311" s="229"/>
      <c r="AR311" s="229"/>
      <c r="AS311" s="229"/>
      <c r="AT311" s="229"/>
      <c r="AU311" s="229"/>
      <c r="AV311" s="229"/>
      <c r="AW311" s="229"/>
      <c r="AX311" s="229"/>
      <c r="AY311" s="229"/>
      <c r="AZ311" s="229"/>
      <c r="BA311" s="229"/>
      <c r="BB311" s="229"/>
      <c r="BC311" s="229"/>
      <c r="BD311" s="229"/>
      <c r="BE311" s="227"/>
      <c r="BF311" s="227"/>
      <c r="BG311" s="227"/>
      <c r="BH311" s="227"/>
      <c r="BI311" s="133"/>
      <c r="BJ311" s="202"/>
      <c r="BK311" s="202"/>
      <c r="BL311" s="202"/>
      <c r="BM311" s="202"/>
      <c r="BN311" s="202"/>
      <c r="BO311" s="202"/>
      <c r="BP311" s="202"/>
      <c r="BQ311" s="202"/>
      <c r="BR311" s="202"/>
      <c r="BS311" s="202"/>
      <c r="BT311" s="202"/>
      <c r="BU311" s="202"/>
      <c r="BV311" s="202"/>
      <c r="BW311" s="202"/>
      <c r="BX311" s="202"/>
      <c r="BY311" s="202"/>
      <c r="BZ311" s="202"/>
      <c r="CA311" s="202"/>
      <c r="CB311" s="202"/>
      <c r="CC311" s="202"/>
      <c r="CD311" s="202"/>
      <c r="CE311" s="202"/>
      <c r="CF311" s="202"/>
      <c r="CG311" s="202"/>
      <c r="CH311" s="202"/>
      <c r="CI311" s="121"/>
      <c r="CJ311" s="121"/>
      <c r="CK311" s="121"/>
      <c r="CL311" s="121"/>
      <c r="CM311" s="121"/>
      <c r="CN311" s="121"/>
      <c r="CO311" s="121"/>
      <c r="CP311" s="121"/>
      <c r="CQ311" s="121"/>
      <c r="CR311" s="121"/>
      <c r="CS311" s="121"/>
      <c r="CT311" s="121"/>
      <c r="CU311" s="199"/>
      <c r="CV311" s="199"/>
      <c r="CW311" s="205"/>
      <c r="CX311" s="132"/>
      <c r="CY311" s="132"/>
      <c r="CZ311" s="132"/>
      <c r="DA311" s="132"/>
      <c r="DB311" s="132"/>
      <c r="DC311" s="132"/>
      <c r="DD311" s="132"/>
      <c r="DE311" s="103">
        <v>1</v>
      </c>
      <c r="DF311" s="103">
        <v>1</v>
      </c>
      <c r="DG311" s="103">
        <v>1</v>
      </c>
      <c r="DH311" s="103">
        <v>1</v>
      </c>
      <c r="DI311" s="103">
        <v>1</v>
      </c>
      <c r="DJ311" s="103">
        <v>1</v>
      </c>
      <c r="DK311" s="130"/>
      <c r="DL311" s="130"/>
      <c r="DM311" s="130"/>
      <c r="DN311" s="132"/>
      <c r="DO311" s="132"/>
    </row>
    <row r="312" ht="26.25" customHeight="1" spans="1:119">
      <c r="A312" s="131">
        <v>44055</v>
      </c>
      <c r="B312" s="99" t="s">
        <v>11686</v>
      </c>
      <c r="C312" s="134" t="s">
        <v>13519</v>
      </c>
      <c r="D312" s="215" t="s">
        <v>13520</v>
      </c>
      <c r="E312" s="206" t="s">
        <v>13322</v>
      </c>
      <c r="F312" s="136">
        <v>9215</v>
      </c>
      <c r="G312" s="137" t="s">
        <v>13410</v>
      </c>
      <c r="H312" s="132">
        <v>14</v>
      </c>
      <c r="I312" s="132"/>
      <c r="J312" s="132"/>
      <c r="K312" s="132"/>
      <c r="L312" s="139"/>
      <c r="M312" s="140"/>
      <c r="N312" s="141"/>
      <c r="O312" s="141"/>
      <c r="P312" s="142"/>
      <c r="Q312" s="141"/>
      <c r="R312" s="141"/>
      <c r="S312" s="141"/>
      <c r="T312" s="141"/>
      <c r="U312" s="142"/>
      <c r="V312" s="227"/>
      <c r="W312" s="236"/>
      <c r="X312" s="236"/>
      <c r="Y312" s="236"/>
      <c r="Z312" s="236"/>
      <c r="AA312" s="236"/>
      <c r="AB312" s="236"/>
      <c r="AC312" s="236"/>
      <c r="AD312" s="236"/>
      <c r="AE312" s="236"/>
      <c r="AF312" s="236"/>
      <c r="AG312" s="238"/>
      <c r="AH312" s="229"/>
      <c r="AI312" s="229"/>
      <c r="AJ312" s="229"/>
      <c r="AK312" s="229"/>
      <c r="AL312" s="229"/>
      <c r="AM312" s="229"/>
      <c r="AN312" s="229"/>
      <c r="AO312" s="229"/>
      <c r="AP312" s="229"/>
      <c r="AQ312" s="229"/>
      <c r="AR312" s="229"/>
      <c r="AS312" s="229"/>
      <c r="AT312" s="229"/>
      <c r="AU312" s="229"/>
      <c r="AV312" s="229"/>
      <c r="AW312" s="229"/>
      <c r="AX312" s="229"/>
      <c r="AY312" s="229"/>
      <c r="AZ312" s="229"/>
      <c r="BA312" s="229"/>
      <c r="BB312" s="229"/>
      <c r="BC312" s="229"/>
      <c r="BD312" s="229"/>
      <c r="BE312" s="227"/>
      <c r="BF312" s="227"/>
      <c r="BG312" s="227"/>
      <c r="BH312" s="227"/>
      <c r="BI312" s="133"/>
      <c r="BJ312" s="202"/>
      <c r="BK312" s="202"/>
      <c r="BL312" s="202"/>
      <c r="BM312" s="202"/>
      <c r="BN312" s="202"/>
      <c r="BO312" s="202"/>
      <c r="BP312" s="202"/>
      <c r="BQ312" s="202"/>
      <c r="BR312" s="202"/>
      <c r="BS312" s="202"/>
      <c r="BT312" s="202"/>
      <c r="BU312" s="202"/>
      <c r="BV312" s="202"/>
      <c r="BW312" s="202"/>
      <c r="BX312" s="202"/>
      <c r="BY312" s="202"/>
      <c r="BZ312" s="202"/>
      <c r="CA312" s="202"/>
      <c r="CB312" s="202"/>
      <c r="CC312" s="202"/>
      <c r="CD312" s="202"/>
      <c r="CE312" s="202"/>
      <c r="CF312" s="202"/>
      <c r="CG312" s="202"/>
      <c r="CH312" s="202"/>
      <c r="CI312" s="121"/>
      <c r="CJ312" s="121"/>
      <c r="CK312" s="121"/>
      <c r="CL312" s="121"/>
      <c r="CM312" s="121"/>
      <c r="CN312" s="121"/>
      <c r="CO312" s="121"/>
      <c r="CP312" s="121"/>
      <c r="CQ312" s="121"/>
      <c r="CR312" s="121"/>
      <c r="CS312" s="121"/>
      <c r="CT312" s="121"/>
      <c r="CU312" s="199"/>
      <c r="CV312" s="199"/>
      <c r="CW312" s="205"/>
      <c r="CX312" s="132">
        <v>2</v>
      </c>
      <c r="CY312" s="132">
        <v>2</v>
      </c>
      <c r="CZ312" s="132">
        <v>2</v>
      </c>
      <c r="DA312" s="132">
        <v>2</v>
      </c>
      <c r="DB312" s="132">
        <v>2</v>
      </c>
      <c r="DC312" s="132">
        <v>2</v>
      </c>
      <c r="DD312" s="132">
        <v>2</v>
      </c>
      <c r="DE312" s="103"/>
      <c r="DF312" s="103"/>
      <c r="DG312" s="103"/>
      <c r="DH312" s="103"/>
      <c r="DI312" s="103"/>
      <c r="DJ312" s="103"/>
      <c r="DK312" s="130"/>
      <c r="DL312" s="130"/>
      <c r="DM312" s="130"/>
      <c r="DN312" s="132"/>
      <c r="DO312" s="132"/>
    </row>
    <row r="313" ht="26.25" customHeight="1" spans="1:119">
      <c r="A313" s="131">
        <v>44055</v>
      </c>
      <c r="B313" s="99" t="s">
        <v>11739</v>
      </c>
      <c r="C313" s="134"/>
      <c r="D313" s="215" t="s">
        <v>12170</v>
      </c>
      <c r="E313" s="206" t="s">
        <v>13320</v>
      </c>
      <c r="F313" s="136">
        <v>9215</v>
      </c>
      <c r="G313" s="137" t="s">
        <v>13410</v>
      </c>
      <c r="H313" s="132">
        <v>14</v>
      </c>
      <c r="I313" s="132"/>
      <c r="J313" s="132"/>
      <c r="K313" s="132"/>
      <c r="L313" s="139"/>
      <c r="M313" s="140"/>
      <c r="N313" s="141"/>
      <c r="O313" s="141"/>
      <c r="P313" s="142"/>
      <c r="Q313" s="141"/>
      <c r="R313" s="141"/>
      <c r="S313" s="141"/>
      <c r="T313" s="141"/>
      <c r="U313" s="142"/>
      <c r="V313" s="227"/>
      <c r="W313" s="236"/>
      <c r="X313" s="236"/>
      <c r="Y313" s="236"/>
      <c r="Z313" s="236"/>
      <c r="AA313" s="236"/>
      <c r="AB313" s="236"/>
      <c r="AC313" s="236"/>
      <c r="AD313" s="236"/>
      <c r="AE313" s="236"/>
      <c r="AF313" s="236"/>
      <c r="AG313" s="238"/>
      <c r="AH313" s="229"/>
      <c r="AI313" s="229"/>
      <c r="AJ313" s="229"/>
      <c r="AK313" s="229"/>
      <c r="AL313" s="229"/>
      <c r="AM313" s="229"/>
      <c r="AN313" s="229"/>
      <c r="AO313" s="229"/>
      <c r="AP313" s="229"/>
      <c r="AQ313" s="229"/>
      <c r="AR313" s="229"/>
      <c r="AS313" s="229"/>
      <c r="AT313" s="229"/>
      <c r="AU313" s="229"/>
      <c r="AV313" s="229"/>
      <c r="AW313" s="229"/>
      <c r="AX313" s="229"/>
      <c r="AY313" s="229"/>
      <c r="AZ313" s="229"/>
      <c r="BA313" s="229"/>
      <c r="BB313" s="229"/>
      <c r="BC313" s="229"/>
      <c r="BD313" s="229"/>
      <c r="BE313" s="227"/>
      <c r="BF313" s="227"/>
      <c r="BG313" s="227"/>
      <c r="BH313" s="227"/>
      <c r="BI313" s="133"/>
      <c r="BJ313" s="202"/>
      <c r="BK313" s="202"/>
      <c r="BL313" s="202"/>
      <c r="BM313" s="202"/>
      <c r="BN313" s="202"/>
      <c r="BO313" s="202"/>
      <c r="BP313" s="202"/>
      <c r="BQ313" s="202"/>
      <c r="BR313" s="202"/>
      <c r="BS313" s="202"/>
      <c r="BT313" s="202"/>
      <c r="BU313" s="202"/>
      <c r="BV313" s="202"/>
      <c r="BW313" s="202"/>
      <c r="BX313" s="202"/>
      <c r="BY313" s="202"/>
      <c r="BZ313" s="202"/>
      <c r="CA313" s="202"/>
      <c r="CB313" s="202"/>
      <c r="CC313" s="202"/>
      <c r="CD313" s="202"/>
      <c r="CE313" s="202"/>
      <c r="CF313" s="202"/>
      <c r="CG313" s="202"/>
      <c r="CH313" s="202"/>
      <c r="CI313" s="121"/>
      <c r="CJ313" s="121"/>
      <c r="CK313" s="121"/>
      <c r="CL313" s="121"/>
      <c r="CM313" s="121"/>
      <c r="CN313" s="121"/>
      <c r="CO313" s="121"/>
      <c r="CP313" s="121"/>
      <c r="CQ313" s="121"/>
      <c r="CR313" s="121"/>
      <c r="CS313" s="121"/>
      <c r="CT313" s="121"/>
      <c r="CU313" s="199"/>
      <c r="CV313" s="199"/>
      <c r="CW313" s="205"/>
      <c r="CX313" s="132">
        <v>2</v>
      </c>
      <c r="CY313" s="132">
        <v>2</v>
      </c>
      <c r="CZ313" s="132">
        <v>2</v>
      </c>
      <c r="DA313" s="132">
        <v>2</v>
      </c>
      <c r="DB313" s="132">
        <v>2</v>
      </c>
      <c r="DC313" s="132">
        <v>2</v>
      </c>
      <c r="DD313" s="132">
        <v>2</v>
      </c>
      <c r="DE313" s="103"/>
      <c r="DF313" s="103"/>
      <c r="DG313" s="103"/>
      <c r="DH313" s="103"/>
      <c r="DI313" s="103"/>
      <c r="DJ313" s="103"/>
      <c r="DK313" s="130"/>
      <c r="DL313" s="130"/>
      <c r="DM313" s="130"/>
      <c r="DN313" s="132"/>
      <c r="DO313" s="132"/>
    </row>
    <row r="314" ht="26.25" customHeight="1" spans="1:119">
      <c r="A314" s="131">
        <v>44061</v>
      </c>
      <c r="B314" s="99" t="s">
        <v>11739</v>
      </c>
      <c r="C314" s="134" t="s">
        <v>13503</v>
      </c>
      <c r="D314" s="215" t="s">
        <v>13461</v>
      </c>
      <c r="E314" s="206" t="s">
        <v>13315</v>
      </c>
      <c r="F314" s="136">
        <v>9215</v>
      </c>
      <c r="G314" s="137" t="s">
        <v>13410</v>
      </c>
      <c r="H314" s="132">
        <v>7</v>
      </c>
      <c r="I314" s="132"/>
      <c r="J314" s="132"/>
      <c r="K314" s="132"/>
      <c r="L314" s="139"/>
      <c r="M314" s="140"/>
      <c r="N314" s="141"/>
      <c r="O314" s="141"/>
      <c r="P314" s="142"/>
      <c r="Q314" s="141"/>
      <c r="R314" s="141"/>
      <c r="S314" s="141"/>
      <c r="T314" s="141"/>
      <c r="U314" s="142"/>
      <c r="V314" s="227"/>
      <c r="W314" s="236"/>
      <c r="X314" s="236"/>
      <c r="Y314" s="236"/>
      <c r="Z314" s="236"/>
      <c r="AA314" s="236"/>
      <c r="AB314" s="236"/>
      <c r="AC314" s="236"/>
      <c r="AD314" s="236"/>
      <c r="AE314" s="236"/>
      <c r="AF314" s="236"/>
      <c r="AG314" s="238"/>
      <c r="AH314" s="229"/>
      <c r="AI314" s="229"/>
      <c r="AJ314" s="229"/>
      <c r="AK314" s="229"/>
      <c r="AL314" s="229"/>
      <c r="AM314" s="229"/>
      <c r="AN314" s="229"/>
      <c r="AO314" s="229"/>
      <c r="AP314" s="229"/>
      <c r="AQ314" s="229"/>
      <c r="AR314" s="229"/>
      <c r="AS314" s="229"/>
      <c r="AT314" s="229"/>
      <c r="AU314" s="229"/>
      <c r="AV314" s="229"/>
      <c r="AW314" s="229"/>
      <c r="AX314" s="229"/>
      <c r="AY314" s="229"/>
      <c r="AZ314" s="229"/>
      <c r="BA314" s="229"/>
      <c r="BB314" s="229"/>
      <c r="BC314" s="229"/>
      <c r="BD314" s="229"/>
      <c r="BE314" s="227"/>
      <c r="BF314" s="227"/>
      <c r="BG314" s="227"/>
      <c r="BH314" s="227"/>
      <c r="BI314" s="133"/>
      <c r="BJ314" s="202"/>
      <c r="BK314" s="202"/>
      <c r="BL314" s="202"/>
      <c r="BM314" s="202"/>
      <c r="BN314" s="202"/>
      <c r="BO314" s="202"/>
      <c r="BP314" s="202"/>
      <c r="BQ314" s="202"/>
      <c r="BR314" s="202"/>
      <c r="BS314" s="202"/>
      <c r="BT314" s="202"/>
      <c r="BU314" s="202"/>
      <c r="BV314" s="202"/>
      <c r="BW314" s="202"/>
      <c r="BX314" s="202"/>
      <c r="BY314" s="202"/>
      <c r="BZ314" s="202"/>
      <c r="CA314" s="202"/>
      <c r="CB314" s="202"/>
      <c r="CC314" s="202"/>
      <c r="CD314" s="202"/>
      <c r="CE314" s="202"/>
      <c r="CF314" s="202"/>
      <c r="CG314" s="202"/>
      <c r="CH314" s="202"/>
      <c r="CI314" s="121"/>
      <c r="CJ314" s="121"/>
      <c r="CK314" s="121"/>
      <c r="CL314" s="121"/>
      <c r="CM314" s="121"/>
      <c r="CN314" s="121"/>
      <c r="CO314" s="121"/>
      <c r="CP314" s="121"/>
      <c r="CQ314" s="121"/>
      <c r="CR314" s="121"/>
      <c r="CS314" s="121"/>
      <c r="CT314" s="121"/>
      <c r="CU314" s="199"/>
      <c r="CV314" s="199"/>
      <c r="CW314" s="205"/>
      <c r="CX314" s="132">
        <v>1</v>
      </c>
      <c r="CY314" s="132">
        <v>1</v>
      </c>
      <c r="CZ314" s="132">
        <v>1</v>
      </c>
      <c r="DA314" s="132">
        <v>1</v>
      </c>
      <c r="DB314" s="132">
        <v>1</v>
      </c>
      <c r="DC314" s="132">
        <v>1</v>
      </c>
      <c r="DD314" s="132">
        <v>1</v>
      </c>
      <c r="DE314" s="103"/>
      <c r="DF314" s="103"/>
      <c r="DG314" s="103"/>
      <c r="DH314" s="103"/>
      <c r="DI314" s="103"/>
      <c r="DJ314" s="103"/>
      <c r="DK314" s="130"/>
      <c r="DL314" s="130"/>
      <c r="DM314" s="130"/>
      <c r="DN314" s="132"/>
      <c r="DO314" s="132"/>
    </row>
    <row r="315" ht="26.25" customHeight="1" spans="1:119">
      <c r="A315" s="131">
        <v>44062</v>
      </c>
      <c r="B315" s="99" t="s">
        <v>11685</v>
      </c>
      <c r="C315" s="134" t="s">
        <v>13521</v>
      </c>
      <c r="D315" s="218" t="s">
        <v>13522</v>
      </c>
      <c r="E315" s="206" t="s">
        <v>13322</v>
      </c>
      <c r="F315" s="136">
        <v>9212</v>
      </c>
      <c r="G315" s="137" t="s">
        <v>13424</v>
      </c>
      <c r="H315" s="132">
        <v>2</v>
      </c>
      <c r="I315" s="132"/>
      <c r="J315" s="132"/>
      <c r="K315" s="132"/>
      <c r="L315" s="139"/>
      <c r="M315" s="140"/>
      <c r="N315" s="141"/>
      <c r="O315" s="141"/>
      <c r="P315" s="142"/>
      <c r="Q315" s="141"/>
      <c r="R315" s="141"/>
      <c r="S315" s="141"/>
      <c r="T315" s="141"/>
      <c r="U315" s="142"/>
      <c r="V315" s="227"/>
      <c r="W315" s="236"/>
      <c r="X315" s="236"/>
      <c r="Y315" s="236"/>
      <c r="Z315" s="236"/>
      <c r="AA315" s="236"/>
      <c r="AB315" s="236"/>
      <c r="AC315" s="236"/>
      <c r="AD315" s="236"/>
      <c r="AE315" s="236"/>
      <c r="AF315" s="236"/>
      <c r="AG315" s="238"/>
      <c r="AH315" s="229"/>
      <c r="AI315" s="229"/>
      <c r="AJ315" s="229"/>
      <c r="AK315" s="229"/>
      <c r="AL315" s="229"/>
      <c r="AM315" s="229"/>
      <c r="AN315" s="229"/>
      <c r="AO315" s="229"/>
      <c r="AP315" s="229"/>
      <c r="AQ315" s="229"/>
      <c r="AR315" s="229"/>
      <c r="AS315" s="229"/>
      <c r="AT315" s="229"/>
      <c r="AU315" s="229"/>
      <c r="AV315" s="229"/>
      <c r="AW315" s="229"/>
      <c r="AX315" s="229"/>
      <c r="AY315" s="229"/>
      <c r="AZ315" s="229"/>
      <c r="BA315" s="229"/>
      <c r="BB315" s="229"/>
      <c r="BC315" s="229"/>
      <c r="BD315" s="229"/>
      <c r="BE315" s="227"/>
      <c r="BF315" s="227"/>
      <c r="BG315" s="227"/>
      <c r="BH315" s="227"/>
      <c r="BI315" s="133"/>
      <c r="BJ315" s="202"/>
      <c r="BK315" s="202"/>
      <c r="BL315" s="202"/>
      <c r="BM315" s="202"/>
      <c r="BN315" s="202"/>
      <c r="BO315" s="202"/>
      <c r="BP315" s="202"/>
      <c r="BQ315" s="202"/>
      <c r="BR315" s="202"/>
      <c r="BS315" s="202"/>
      <c r="BT315" s="202"/>
      <c r="BU315" s="202"/>
      <c r="BV315" s="202"/>
      <c r="BW315" s="202"/>
      <c r="BX315" s="202"/>
      <c r="BY315" s="202"/>
      <c r="BZ315" s="202"/>
      <c r="CA315" s="202"/>
      <c r="CB315" s="202"/>
      <c r="CC315" s="202"/>
      <c r="CD315" s="202"/>
      <c r="CE315" s="202"/>
      <c r="CF315" s="202"/>
      <c r="CG315" s="202"/>
      <c r="CH315" s="202"/>
      <c r="CI315" s="121"/>
      <c r="CJ315" s="121"/>
      <c r="CK315" s="121"/>
      <c r="CL315" s="121"/>
      <c r="CM315" s="121"/>
      <c r="CN315" s="121"/>
      <c r="CO315" s="121"/>
      <c r="CP315" s="121"/>
      <c r="CQ315" s="121"/>
      <c r="CR315" s="121"/>
      <c r="CS315" s="121"/>
      <c r="CT315" s="121"/>
      <c r="CU315" s="199"/>
      <c r="CV315" s="199"/>
      <c r="CW315" s="205"/>
      <c r="CX315" s="132"/>
      <c r="CY315" s="132"/>
      <c r="CZ315" s="132"/>
      <c r="DA315" s="132"/>
      <c r="DB315" s="132"/>
      <c r="DC315" s="132"/>
      <c r="DD315" s="132"/>
      <c r="DE315" s="103"/>
      <c r="DF315" s="103"/>
      <c r="DG315" s="103">
        <v>1</v>
      </c>
      <c r="DH315" s="103"/>
      <c r="DI315" s="103">
        <v>1</v>
      </c>
      <c r="DJ315" s="103"/>
      <c r="DK315" s="130"/>
      <c r="DL315" s="130"/>
      <c r="DM315" s="130"/>
      <c r="DN315" s="132"/>
      <c r="DO315" s="132"/>
    </row>
    <row r="316" ht="26.25" customHeight="1" spans="1:119">
      <c r="A316" s="131">
        <v>44064</v>
      </c>
      <c r="B316" s="99" t="s">
        <v>13463</v>
      </c>
      <c r="C316" s="134" t="s">
        <v>13523</v>
      </c>
      <c r="D316" s="218" t="s">
        <v>13524</v>
      </c>
      <c r="E316" s="206" t="s">
        <v>13322</v>
      </c>
      <c r="F316" s="136">
        <v>9215</v>
      </c>
      <c r="G316" s="137" t="s">
        <v>13410</v>
      </c>
      <c r="H316" s="132">
        <v>14</v>
      </c>
      <c r="I316" s="132"/>
      <c r="J316" s="132"/>
      <c r="K316" s="132"/>
      <c r="L316" s="139"/>
      <c r="M316" s="140"/>
      <c r="N316" s="141"/>
      <c r="O316" s="141"/>
      <c r="P316" s="142"/>
      <c r="Q316" s="141"/>
      <c r="R316" s="141"/>
      <c r="S316" s="141"/>
      <c r="T316" s="141"/>
      <c r="U316" s="142"/>
      <c r="V316" s="227"/>
      <c r="W316" s="236"/>
      <c r="X316" s="236"/>
      <c r="Y316" s="236"/>
      <c r="Z316" s="236"/>
      <c r="AA316" s="236"/>
      <c r="AB316" s="236"/>
      <c r="AC316" s="236"/>
      <c r="AD316" s="236"/>
      <c r="AE316" s="236"/>
      <c r="AF316" s="236"/>
      <c r="AG316" s="238"/>
      <c r="AH316" s="229"/>
      <c r="AI316" s="229"/>
      <c r="AJ316" s="229"/>
      <c r="AK316" s="229"/>
      <c r="AL316" s="229"/>
      <c r="AM316" s="229"/>
      <c r="AN316" s="229"/>
      <c r="AO316" s="229"/>
      <c r="AP316" s="229"/>
      <c r="AQ316" s="229"/>
      <c r="AR316" s="229"/>
      <c r="AS316" s="229"/>
      <c r="AT316" s="229"/>
      <c r="AU316" s="229"/>
      <c r="AV316" s="229"/>
      <c r="AW316" s="229"/>
      <c r="AX316" s="229"/>
      <c r="AY316" s="229"/>
      <c r="AZ316" s="229"/>
      <c r="BA316" s="229"/>
      <c r="BB316" s="229"/>
      <c r="BC316" s="229"/>
      <c r="BD316" s="229"/>
      <c r="BE316" s="227"/>
      <c r="BF316" s="227"/>
      <c r="BG316" s="227"/>
      <c r="BH316" s="227"/>
      <c r="BI316" s="133"/>
      <c r="BJ316" s="202"/>
      <c r="BK316" s="202"/>
      <c r="BL316" s="202"/>
      <c r="BM316" s="202"/>
      <c r="BN316" s="202"/>
      <c r="BO316" s="202"/>
      <c r="BP316" s="202"/>
      <c r="BQ316" s="202"/>
      <c r="BR316" s="202"/>
      <c r="BS316" s="202"/>
      <c r="BT316" s="202"/>
      <c r="BU316" s="202"/>
      <c r="BV316" s="202"/>
      <c r="BW316" s="202"/>
      <c r="BX316" s="202"/>
      <c r="BY316" s="202"/>
      <c r="BZ316" s="202"/>
      <c r="CA316" s="202"/>
      <c r="CB316" s="202"/>
      <c r="CC316" s="202"/>
      <c r="CD316" s="202"/>
      <c r="CE316" s="202"/>
      <c r="CF316" s="202"/>
      <c r="CG316" s="202"/>
      <c r="CH316" s="202"/>
      <c r="CI316" s="121"/>
      <c r="CJ316" s="121"/>
      <c r="CK316" s="121"/>
      <c r="CL316" s="121"/>
      <c r="CM316" s="121"/>
      <c r="CN316" s="121"/>
      <c r="CO316" s="121"/>
      <c r="CP316" s="121"/>
      <c r="CQ316" s="121"/>
      <c r="CR316" s="121"/>
      <c r="CS316" s="121"/>
      <c r="CT316" s="121"/>
      <c r="CU316" s="199"/>
      <c r="CV316" s="199"/>
      <c r="CW316" s="205"/>
      <c r="CX316" s="132">
        <v>2</v>
      </c>
      <c r="CY316" s="132">
        <v>2</v>
      </c>
      <c r="CZ316" s="132">
        <v>2</v>
      </c>
      <c r="DA316" s="132">
        <v>2</v>
      </c>
      <c r="DB316" s="132">
        <v>2</v>
      </c>
      <c r="DC316" s="132">
        <v>2</v>
      </c>
      <c r="DD316" s="132">
        <v>2</v>
      </c>
      <c r="DE316" s="103"/>
      <c r="DF316" s="103"/>
      <c r="DG316" s="103"/>
      <c r="DH316" s="103"/>
      <c r="DI316" s="103"/>
      <c r="DJ316" s="103"/>
      <c r="DK316" s="130"/>
      <c r="DL316" s="130"/>
      <c r="DM316" s="130"/>
      <c r="DN316" s="132"/>
      <c r="DO316" s="132"/>
    </row>
    <row r="317" ht="26.25" customHeight="1" spans="1:119">
      <c r="A317" s="131">
        <v>44065</v>
      </c>
      <c r="B317" s="99" t="s">
        <v>13363</v>
      </c>
      <c r="C317" s="134" t="s">
        <v>13525</v>
      </c>
      <c r="D317" s="218" t="s">
        <v>13526</v>
      </c>
      <c r="E317" s="206" t="s">
        <v>13322</v>
      </c>
      <c r="F317" s="136">
        <v>9212</v>
      </c>
      <c r="G317" s="137" t="s">
        <v>13424</v>
      </c>
      <c r="H317" s="132">
        <v>6</v>
      </c>
      <c r="I317" s="132"/>
      <c r="J317" s="132"/>
      <c r="K317" s="132"/>
      <c r="L317" s="139"/>
      <c r="M317" s="140"/>
      <c r="N317" s="141"/>
      <c r="O317" s="141"/>
      <c r="P317" s="142"/>
      <c r="Q317" s="141"/>
      <c r="R317" s="141"/>
      <c r="S317" s="141"/>
      <c r="T317" s="141"/>
      <c r="U317" s="142"/>
      <c r="V317" s="227"/>
      <c r="W317" s="236"/>
      <c r="X317" s="236"/>
      <c r="Y317" s="236"/>
      <c r="Z317" s="236"/>
      <c r="AA317" s="236"/>
      <c r="AB317" s="236"/>
      <c r="AC317" s="236"/>
      <c r="AD317" s="236"/>
      <c r="AE317" s="236"/>
      <c r="AF317" s="236"/>
      <c r="AG317" s="238"/>
      <c r="AH317" s="229"/>
      <c r="AI317" s="229"/>
      <c r="AJ317" s="229"/>
      <c r="AK317" s="229"/>
      <c r="AL317" s="229"/>
      <c r="AM317" s="229"/>
      <c r="AN317" s="229"/>
      <c r="AO317" s="229"/>
      <c r="AP317" s="229"/>
      <c r="AQ317" s="229"/>
      <c r="AR317" s="229"/>
      <c r="AS317" s="229"/>
      <c r="AT317" s="229"/>
      <c r="AU317" s="229"/>
      <c r="AV317" s="229"/>
      <c r="AW317" s="229"/>
      <c r="AX317" s="229"/>
      <c r="AY317" s="229"/>
      <c r="AZ317" s="229"/>
      <c r="BA317" s="229"/>
      <c r="BB317" s="229"/>
      <c r="BC317" s="229"/>
      <c r="BD317" s="229"/>
      <c r="BE317" s="227"/>
      <c r="BF317" s="227"/>
      <c r="BG317" s="227"/>
      <c r="BH317" s="227"/>
      <c r="BI317" s="133"/>
      <c r="BJ317" s="202"/>
      <c r="BK317" s="202"/>
      <c r="BL317" s="202"/>
      <c r="BM317" s="202"/>
      <c r="BN317" s="202"/>
      <c r="BO317" s="202"/>
      <c r="BP317" s="202"/>
      <c r="BQ317" s="202"/>
      <c r="BR317" s="202"/>
      <c r="BS317" s="202"/>
      <c r="BT317" s="202"/>
      <c r="BU317" s="202"/>
      <c r="BV317" s="202"/>
      <c r="BW317" s="202"/>
      <c r="BX317" s="202"/>
      <c r="BY317" s="202"/>
      <c r="BZ317" s="202"/>
      <c r="CA317" s="202"/>
      <c r="CB317" s="202"/>
      <c r="CC317" s="202"/>
      <c r="CD317" s="202"/>
      <c r="CE317" s="202"/>
      <c r="CF317" s="202"/>
      <c r="CG317" s="202"/>
      <c r="CH317" s="202"/>
      <c r="CI317" s="121"/>
      <c r="CJ317" s="121"/>
      <c r="CK317" s="121"/>
      <c r="CL317" s="121"/>
      <c r="CM317" s="121"/>
      <c r="CN317" s="121"/>
      <c r="CO317" s="121"/>
      <c r="CP317" s="121"/>
      <c r="CQ317" s="121"/>
      <c r="CR317" s="121"/>
      <c r="CS317" s="121"/>
      <c r="CT317" s="121"/>
      <c r="CU317" s="199"/>
      <c r="CV317" s="199"/>
      <c r="CW317" s="205"/>
      <c r="CX317" s="132"/>
      <c r="CY317" s="132"/>
      <c r="CZ317" s="132"/>
      <c r="DA317" s="132"/>
      <c r="DB317" s="132"/>
      <c r="DC317" s="132"/>
      <c r="DD317" s="132"/>
      <c r="DE317" s="103">
        <v>1</v>
      </c>
      <c r="DF317" s="103">
        <v>1</v>
      </c>
      <c r="DG317" s="103">
        <v>1</v>
      </c>
      <c r="DH317" s="103">
        <v>1</v>
      </c>
      <c r="DI317" s="103">
        <v>1</v>
      </c>
      <c r="DJ317" s="103">
        <v>1</v>
      </c>
      <c r="DK317" s="130"/>
      <c r="DL317" s="130"/>
      <c r="DM317" s="130"/>
      <c r="DN317" s="132"/>
      <c r="DO317" s="132"/>
    </row>
    <row r="318" ht="26.25" customHeight="1" spans="1:119">
      <c r="A318" s="131">
        <v>44065</v>
      </c>
      <c r="B318" s="99" t="s">
        <v>13321</v>
      </c>
      <c r="C318" s="134">
        <v>4500037002</v>
      </c>
      <c r="D318" s="215" t="s">
        <v>13527</v>
      </c>
      <c r="E318" s="206" t="s">
        <v>13322</v>
      </c>
      <c r="F318" s="136">
        <v>9208</v>
      </c>
      <c r="G318" s="137" t="s">
        <v>13439</v>
      </c>
      <c r="H318" s="132">
        <v>2</v>
      </c>
      <c r="I318" s="132"/>
      <c r="J318" s="132"/>
      <c r="K318" s="132"/>
      <c r="L318" s="139"/>
      <c r="M318" s="140"/>
      <c r="N318" s="141"/>
      <c r="O318" s="141"/>
      <c r="P318" s="142"/>
      <c r="Q318" s="141"/>
      <c r="R318" s="141"/>
      <c r="S318" s="141"/>
      <c r="T318" s="141"/>
      <c r="U318" s="142"/>
      <c r="V318" s="227"/>
      <c r="W318" s="236"/>
      <c r="X318" s="236"/>
      <c r="Y318" s="236"/>
      <c r="Z318" s="236"/>
      <c r="AA318" s="236"/>
      <c r="AB318" s="236"/>
      <c r="AC318" s="236"/>
      <c r="AD318" s="236"/>
      <c r="AE318" s="236"/>
      <c r="AF318" s="236"/>
      <c r="AG318" s="238"/>
      <c r="AH318" s="229"/>
      <c r="AI318" s="229"/>
      <c r="AJ318" s="229"/>
      <c r="AK318" s="229"/>
      <c r="AL318" s="229"/>
      <c r="AM318" s="229"/>
      <c r="AN318" s="229"/>
      <c r="AO318" s="229"/>
      <c r="AP318" s="229"/>
      <c r="AQ318" s="229"/>
      <c r="AR318" s="229"/>
      <c r="AS318" s="229"/>
      <c r="AT318" s="229"/>
      <c r="AU318" s="229"/>
      <c r="AV318" s="229"/>
      <c r="AW318" s="229"/>
      <c r="AX318" s="229"/>
      <c r="AY318" s="229"/>
      <c r="AZ318" s="229"/>
      <c r="BA318" s="229"/>
      <c r="BB318" s="229"/>
      <c r="BC318" s="229"/>
      <c r="BD318" s="229"/>
      <c r="BE318" s="227"/>
      <c r="BF318" s="227"/>
      <c r="BG318" s="227"/>
      <c r="BH318" s="227"/>
      <c r="BI318" s="133"/>
      <c r="BJ318" s="202"/>
      <c r="BK318" s="202"/>
      <c r="BL318" s="202"/>
      <c r="BM318" s="202"/>
      <c r="BN318" s="202"/>
      <c r="BO318" s="202"/>
      <c r="BP318" s="202"/>
      <c r="BQ318" s="202"/>
      <c r="BR318" s="202"/>
      <c r="BS318" s="202"/>
      <c r="BT318" s="202"/>
      <c r="BU318" s="202"/>
      <c r="BV318" s="202"/>
      <c r="BW318" s="202"/>
      <c r="BX318" s="202"/>
      <c r="BY318" s="202"/>
      <c r="BZ318" s="202"/>
      <c r="CA318" s="202"/>
      <c r="CB318" s="202"/>
      <c r="CC318" s="202"/>
      <c r="CD318" s="202"/>
      <c r="CE318" s="202"/>
      <c r="CF318" s="202"/>
      <c r="CG318" s="202"/>
      <c r="CH318" s="202"/>
      <c r="CI318" s="121"/>
      <c r="CJ318" s="121"/>
      <c r="CK318" s="121"/>
      <c r="CL318" s="121"/>
      <c r="CM318" s="121"/>
      <c r="CN318" s="121"/>
      <c r="CO318" s="121"/>
      <c r="CP318" s="121"/>
      <c r="CQ318" s="121"/>
      <c r="CR318" s="121"/>
      <c r="CS318" s="121"/>
      <c r="CT318" s="121"/>
      <c r="CU318" s="199"/>
      <c r="CV318" s="199"/>
      <c r="CW318" s="205"/>
      <c r="CX318" s="132"/>
      <c r="CY318" s="132"/>
      <c r="CZ318" s="132"/>
      <c r="DA318" s="132"/>
      <c r="DB318" s="132"/>
      <c r="DC318" s="132"/>
      <c r="DD318" s="132"/>
      <c r="DE318" s="103"/>
      <c r="DF318" s="103"/>
      <c r="DG318" s="103"/>
      <c r="DH318" s="103"/>
      <c r="DI318" s="103"/>
      <c r="DJ318" s="103"/>
      <c r="DK318" s="130"/>
      <c r="DL318" s="130"/>
      <c r="DM318" s="130"/>
      <c r="DN318" s="132"/>
      <c r="DO318" s="132">
        <v>2</v>
      </c>
    </row>
    <row r="319" ht="26.25" customHeight="1" spans="1:119">
      <c r="A319" s="131"/>
      <c r="B319" s="99"/>
      <c r="C319" s="134"/>
      <c r="D319" s="215"/>
      <c r="E319" s="206"/>
      <c r="F319" s="136"/>
      <c r="G319" s="137"/>
      <c r="H319" s="132"/>
      <c r="I319" s="132"/>
      <c r="J319" s="132"/>
      <c r="K319" s="132"/>
      <c r="L319" s="139"/>
      <c r="M319" s="140"/>
      <c r="N319" s="141"/>
      <c r="O319" s="141"/>
      <c r="P319" s="142"/>
      <c r="Q319" s="141"/>
      <c r="R319" s="141"/>
      <c r="S319" s="141"/>
      <c r="T319" s="141"/>
      <c r="U319" s="142"/>
      <c r="V319" s="227"/>
      <c r="W319" s="236"/>
      <c r="X319" s="236"/>
      <c r="Y319" s="236"/>
      <c r="Z319" s="236"/>
      <c r="AA319" s="236"/>
      <c r="AB319" s="236"/>
      <c r="AC319" s="236"/>
      <c r="AD319" s="236"/>
      <c r="AE319" s="236"/>
      <c r="AF319" s="236"/>
      <c r="AG319" s="238"/>
      <c r="AH319" s="229"/>
      <c r="AI319" s="229"/>
      <c r="AJ319" s="229"/>
      <c r="AK319" s="229"/>
      <c r="AL319" s="229"/>
      <c r="AM319" s="229"/>
      <c r="AN319" s="229"/>
      <c r="AO319" s="229"/>
      <c r="AP319" s="229"/>
      <c r="AQ319" s="229"/>
      <c r="AR319" s="229"/>
      <c r="AS319" s="229"/>
      <c r="AT319" s="229"/>
      <c r="AU319" s="229"/>
      <c r="AV319" s="229"/>
      <c r="AW319" s="229"/>
      <c r="AX319" s="229"/>
      <c r="AY319" s="229"/>
      <c r="AZ319" s="229"/>
      <c r="BA319" s="229"/>
      <c r="BB319" s="229"/>
      <c r="BC319" s="229"/>
      <c r="BD319" s="229"/>
      <c r="BE319" s="227"/>
      <c r="BF319" s="227"/>
      <c r="BG319" s="227"/>
      <c r="BH319" s="227"/>
      <c r="BI319" s="133"/>
      <c r="BJ319" s="202"/>
      <c r="BK319" s="202"/>
      <c r="BL319" s="202"/>
      <c r="BM319" s="202"/>
      <c r="BN319" s="202"/>
      <c r="BO319" s="202"/>
      <c r="BP319" s="202"/>
      <c r="BQ319" s="202"/>
      <c r="BR319" s="202"/>
      <c r="BS319" s="202"/>
      <c r="BT319" s="202"/>
      <c r="BU319" s="202"/>
      <c r="BV319" s="202"/>
      <c r="BW319" s="202"/>
      <c r="BX319" s="202"/>
      <c r="BY319" s="202"/>
      <c r="BZ319" s="202"/>
      <c r="CA319" s="202"/>
      <c r="CB319" s="202"/>
      <c r="CC319" s="202"/>
      <c r="CD319" s="202"/>
      <c r="CE319" s="202"/>
      <c r="CF319" s="202"/>
      <c r="CG319" s="202"/>
      <c r="CH319" s="202"/>
      <c r="CI319" s="121"/>
      <c r="CJ319" s="121"/>
      <c r="CK319" s="121"/>
      <c r="CL319" s="121"/>
      <c r="CM319" s="121"/>
      <c r="CN319" s="121"/>
      <c r="CO319" s="121"/>
      <c r="CP319" s="121"/>
      <c r="CQ319" s="121"/>
      <c r="CR319" s="121"/>
      <c r="CS319" s="121"/>
      <c r="CT319" s="121"/>
      <c r="CU319" s="199"/>
      <c r="CV319" s="199"/>
      <c r="CW319" s="205"/>
      <c r="CX319" s="132"/>
      <c r="CY319" s="132"/>
      <c r="CZ319" s="132"/>
      <c r="DA319" s="132"/>
      <c r="DB319" s="132"/>
      <c r="DC319" s="132"/>
      <c r="DD319" s="132"/>
      <c r="DE319" s="103"/>
      <c r="DF319" s="103"/>
      <c r="DG319" s="103"/>
      <c r="DH319" s="103"/>
      <c r="DI319" s="103"/>
      <c r="DJ319" s="103"/>
      <c r="DK319" s="130"/>
      <c r="DL319" s="130"/>
      <c r="DM319" s="130"/>
      <c r="DN319" s="132"/>
      <c r="DO319" s="132"/>
    </row>
    <row r="320" ht="26.25" customHeight="1" spans="1:119">
      <c r="A320" s="131"/>
      <c r="B320" s="100"/>
      <c r="C320" s="134"/>
      <c r="D320" s="206"/>
      <c r="E320" s="206"/>
      <c r="F320" s="100"/>
      <c r="G320" s="137"/>
      <c r="H320" s="132"/>
      <c r="I320" s="132"/>
      <c r="J320" s="132"/>
      <c r="K320" s="132"/>
      <c r="L320" s="139"/>
      <c r="M320" s="140"/>
      <c r="N320" s="141"/>
      <c r="O320" s="141"/>
      <c r="P320" s="142"/>
      <c r="Q320" s="141"/>
      <c r="R320" s="141"/>
      <c r="S320" s="141"/>
      <c r="T320" s="141"/>
      <c r="U320" s="142"/>
      <c r="V320" s="227"/>
      <c r="W320" s="236"/>
      <c r="X320" s="237"/>
      <c r="Y320" s="145"/>
      <c r="Z320" s="145"/>
      <c r="AA320" s="145"/>
      <c r="AB320" s="145"/>
      <c r="AC320" s="237"/>
      <c r="AD320" s="238"/>
      <c r="AE320" s="238"/>
      <c r="AF320" s="238"/>
      <c r="AG320" s="238"/>
      <c r="AH320" s="229"/>
      <c r="AI320" s="229"/>
      <c r="AJ320" s="229"/>
      <c r="AK320" s="229"/>
      <c r="AL320" s="229"/>
      <c r="AM320" s="229"/>
      <c r="AN320" s="229"/>
      <c r="AO320" s="229"/>
      <c r="AP320" s="229"/>
      <c r="AQ320" s="229"/>
      <c r="AR320" s="229"/>
      <c r="AS320" s="229"/>
      <c r="AT320" s="229"/>
      <c r="AU320" s="229"/>
      <c r="AV320" s="229"/>
      <c r="AW320" s="229"/>
      <c r="AX320" s="229"/>
      <c r="AY320" s="229"/>
      <c r="AZ320" s="229"/>
      <c r="BA320" s="229"/>
      <c r="BB320" s="229"/>
      <c r="BC320" s="229"/>
      <c r="BD320" s="229"/>
      <c r="BE320" s="227"/>
      <c r="BF320" s="227"/>
      <c r="BG320" s="227"/>
      <c r="BH320" s="227"/>
      <c r="BI320" s="133"/>
      <c r="BJ320" s="202"/>
      <c r="BK320" s="202"/>
      <c r="BL320" s="202"/>
      <c r="BM320" s="202"/>
      <c r="BN320" s="202"/>
      <c r="BO320" s="202"/>
      <c r="BP320" s="202"/>
      <c r="BQ320" s="202"/>
      <c r="BR320" s="202"/>
      <c r="BS320" s="202"/>
      <c r="BT320" s="202"/>
      <c r="BU320" s="202"/>
      <c r="BV320" s="202"/>
      <c r="BW320" s="202"/>
      <c r="BX320" s="202"/>
      <c r="BY320" s="202"/>
      <c r="BZ320" s="202"/>
      <c r="CA320" s="202"/>
      <c r="CB320" s="202"/>
      <c r="CC320" s="202"/>
      <c r="CD320" s="202"/>
      <c r="CE320" s="202"/>
      <c r="CF320" s="202"/>
      <c r="CG320" s="202"/>
      <c r="CH320" s="202"/>
      <c r="CI320" s="121"/>
      <c r="CJ320" s="121"/>
      <c r="CK320" s="121"/>
      <c r="CL320" s="121"/>
      <c r="CM320" s="121"/>
      <c r="CN320" s="121"/>
      <c r="CO320" s="121"/>
      <c r="CP320" s="121"/>
      <c r="CQ320" s="121"/>
      <c r="CR320" s="121"/>
      <c r="CS320" s="121"/>
      <c r="CT320" s="121"/>
      <c r="CU320" s="199"/>
      <c r="CV320" s="199"/>
      <c r="CW320" s="205"/>
      <c r="CX320" s="132"/>
      <c r="CY320" s="132"/>
      <c r="CZ320" s="132"/>
      <c r="DA320" s="132"/>
      <c r="DB320" s="132"/>
      <c r="DC320" s="132"/>
      <c r="DD320" s="132"/>
      <c r="DE320" s="103"/>
      <c r="DF320" s="103"/>
      <c r="DG320" s="103"/>
      <c r="DH320" s="103"/>
      <c r="DI320" s="103"/>
      <c r="DJ320" s="103"/>
      <c r="DK320" s="130"/>
      <c r="DL320" s="130"/>
      <c r="DM320" s="130"/>
      <c r="DN320" s="132"/>
      <c r="DO320" s="132"/>
    </row>
    <row r="321" ht="26.25" customHeight="1" spans="1:119">
      <c r="A321" s="131"/>
      <c r="B321" s="132"/>
      <c r="C321" s="134"/>
      <c r="D321" s="99"/>
      <c r="E321" s="99"/>
      <c r="F321" s="132"/>
      <c r="G321" s="132"/>
      <c r="H321" s="132"/>
      <c r="I321" s="132"/>
      <c r="J321" s="132"/>
      <c r="K321" s="132"/>
      <c r="L321" s="139"/>
      <c r="M321" s="140"/>
      <c r="N321" s="141"/>
      <c r="O321" s="141"/>
      <c r="P321" s="142"/>
      <c r="Q321" s="141"/>
      <c r="R321" s="141"/>
      <c r="S321" s="141"/>
      <c r="T321" s="141"/>
      <c r="U321" s="142"/>
      <c r="V321" s="227"/>
      <c r="W321" s="236"/>
      <c r="X321" s="237"/>
      <c r="Y321" s="145"/>
      <c r="Z321" s="145"/>
      <c r="AA321" s="145"/>
      <c r="AB321" s="145"/>
      <c r="AC321" s="237"/>
      <c r="AD321" s="238"/>
      <c r="AE321" s="238"/>
      <c r="AF321" s="238"/>
      <c r="AG321" s="238"/>
      <c r="AH321" s="229"/>
      <c r="AI321" s="229"/>
      <c r="AJ321" s="229"/>
      <c r="AK321" s="229"/>
      <c r="AL321" s="229"/>
      <c r="AM321" s="229"/>
      <c r="AN321" s="229"/>
      <c r="AO321" s="229"/>
      <c r="AP321" s="229"/>
      <c r="AQ321" s="229"/>
      <c r="AR321" s="229"/>
      <c r="AS321" s="229"/>
      <c r="AT321" s="229"/>
      <c r="AU321" s="229"/>
      <c r="AV321" s="229"/>
      <c r="AW321" s="229"/>
      <c r="AX321" s="229"/>
      <c r="AY321" s="229"/>
      <c r="AZ321" s="229"/>
      <c r="BA321" s="229"/>
      <c r="BB321" s="229"/>
      <c r="BC321" s="229"/>
      <c r="BD321" s="229"/>
      <c r="BE321" s="227"/>
      <c r="BF321" s="227"/>
      <c r="BG321" s="227"/>
      <c r="BH321" s="227"/>
      <c r="BI321" s="133"/>
      <c r="BJ321" s="202"/>
      <c r="BK321" s="202"/>
      <c r="BL321" s="202"/>
      <c r="BM321" s="202"/>
      <c r="BN321" s="202"/>
      <c r="BO321" s="202"/>
      <c r="BP321" s="202"/>
      <c r="BQ321" s="202"/>
      <c r="BR321" s="202"/>
      <c r="BS321" s="202"/>
      <c r="BT321" s="202"/>
      <c r="BU321" s="202"/>
      <c r="BV321" s="202"/>
      <c r="BW321" s="202"/>
      <c r="BX321" s="202"/>
      <c r="BY321" s="202"/>
      <c r="BZ321" s="202"/>
      <c r="CA321" s="202"/>
      <c r="CB321" s="202"/>
      <c r="CC321" s="202"/>
      <c r="CD321" s="202"/>
      <c r="CE321" s="202"/>
      <c r="CF321" s="202"/>
      <c r="CG321" s="202"/>
      <c r="CH321" s="202"/>
      <c r="CI321" s="121"/>
      <c r="CJ321" s="121"/>
      <c r="CK321" s="121"/>
      <c r="CL321" s="121"/>
      <c r="CM321" s="121"/>
      <c r="CN321" s="121"/>
      <c r="CO321" s="121"/>
      <c r="CP321" s="121"/>
      <c r="CQ321" s="121"/>
      <c r="CR321" s="121"/>
      <c r="CS321" s="121"/>
      <c r="CT321" s="121"/>
      <c r="CU321" s="199"/>
      <c r="CV321" s="199"/>
      <c r="CW321" s="205"/>
      <c r="CX321" s="132"/>
      <c r="CY321" s="132"/>
      <c r="CZ321" s="132"/>
      <c r="DA321" s="132"/>
      <c r="DB321" s="132"/>
      <c r="DC321" s="132"/>
      <c r="DD321" s="132"/>
      <c r="DE321" s="103"/>
      <c r="DF321" s="103"/>
      <c r="DG321" s="103"/>
      <c r="DH321" s="103"/>
      <c r="DI321" s="103"/>
      <c r="DJ321" s="103"/>
      <c r="DK321" s="130"/>
      <c r="DL321" s="130"/>
      <c r="DM321" s="130"/>
      <c r="DN321" s="132"/>
      <c r="DO321" s="132"/>
    </row>
    <row r="322" ht="26.25" customHeight="1" spans="1:119">
      <c r="E322" s="239"/>
      <c r="G322" s="56" t="s">
        <v>283</v>
      </c>
      <c r="H322" s="56">
        <f>SUM(H4:H321)</f>
        <v>5960</v>
      </c>
      <c r="L322" s="240"/>
      <c r="M322" s="241">
        <f>SUM(M4:M146)*7.75</f>
        <v>0</v>
      </c>
      <c r="N322" s="242"/>
      <c r="O322" s="242"/>
      <c r="Q322" s="242"/>
      <c r="R322" s="242"/>
      <c r="S322" s="242"/>
      <c r="T322" s="242"/>
      <c r="U322" s="23"/>
      <c r="V322" s="243">
        <f t="shared" ref="V322:AX322" si="2">SUM(V4:V321)</f>
        <v>3092</v>
      </c>
      <c r="W322" s="244">
        <f t="shared" si="2"/>
        <v>204</v>
      </c>
      <c r="X322" s="245">
        <f t="shared" si="2"/>
        <v>162</v>
      </c>
      <c r="Y322" s="243">
        <f t="shared" si="2"/>
        <v>2370</v>
      </c>
      <c r="Z322" s="243">
        <f t="shared" si="2"/>
        <v>807</v>
      </c>
      <c r="AA322" s="243">
        <f t="shared" si="2"/>
        <v>26</v>
      </c>
      <c r="AB322" s="243">
        <f t="shared" si="2"/>
        <v>124</v>
      </c>
      <c r="AC322" s="243">
        <f t="shared" si="2"/>
        <v>131</v>
      </c>
      <c r="AD322" s="243">
        <f t="shared" si="2"/>
        <v>0</v>
      </c>
      <c r="AE322" s="243">
        <f t="shared" si="2"/>
        <v>459</v>
      </c>
      <c r="AF322" s="243">
        <f t="shared" si="2"/>
        <v>13</v>
      </c>
      <c r="AG322" s="243">
        <f t="shared" si="2"/>
        <v>10</v>
      </c>
      <c r="AH322" s="243">
        <f t="shared" si="2"/>
        <v>316</v>
      </c>
      <c r="AI322" s="243">
        <f t="shared" si="2"/>
        <v>111</v>
      </c>
      <c r="AJ322" s="243">
        <f t="shared" si="2"/>
        <v>0</v>
      </c>
      <c r="AK322" s="243">
        <f t="shared" si="2"/>
        <v>13</v>
      </c>
      <c r="AL322" s="243">
        <f t="shared" si="2"/>
        <v>42</v>
      </c>
      <c r="AM322" s="243">
        <f t="shared" si="2"/>
        <v>0</v>
      </c>
      <c r="AN322" s="27">
        <f t="shared" si="2"/>
        <v>120</v>
      </c>
      <c r="AO322" s="27">
        <f t="shared" si="2"/>
        <v>126</v>
      </c>
      <c r="AP322" s="27">
        <f t="shared" si="2"/>
        <v>101</v>
      </c>
      <c r="AQ322" s="27">
        <f t="shared" si="2"/>
        <v>94</v>
      </c>
      <c r="AR322" s="27">
        <f t="shared" si="2"/>
        <v>25</v>
      </c>
      <c r="AS322" s="27">
        <f t="shared" si="2"/>
        <v>25</v>
      </c>
      <c r="AT322" s="27">
        <f t="shared" si="2"/>
        <v>48</v>
      </c>
      <c r="AU322" s="27">
        <f t="shared" si="2"/>
        <v>3</v>
      </c>
      <c r="AV322" s="27">
        <f t="shared" si="2"/>
        <v>28</v>
      </c>
      <c r="AW322" s="28">
        <f t="shared" si="2"/>
        <v>88</v>
      </c>
      <c r="AX322" s="28">
        <f t="shared" si="2"/>
        <v>199</v>
      </c>
      <c r="AY322" s="28">
        <f t="shared" ref="AY322:BH322" si="3">SUM(AY4:AY321)</f>
        <v>277</v>
      </c>
      <c r="AZ322" s="28">
        <f t="shared" si="3"/>
        <v>0</v>
      </c>
      <c r="BA322" s="28">
        <f t="shared" si="3"/>
        <v>0</v>
      </c>
      <c r="BB322" s="28">
        <f t="shared" si="3"/>
        <v>0</v>
      </c>
      <c r="BC322" s="28">
        <f t="shared" si="3"/>
        <v>9</v>
      </c>
      <c r="BD322" s="28">
        <f t="shared" si="3"/>
        <v>11</v>
      </c>
      <c r="BE322" s="27">
        <f t="shared" si="3"/>
        <v>127</v>
      </c>
      <c r="BF322" s="27">
        <f t="shared" si="3"/>
        <v>106</v>
      </c>
      <c r="BG322" s="27">
        <f t="shared" si="3"/>
        <v>31</v>
      </c>
      <c r="BH322" s="27">
        <f t="shared" si="3"/>
        <v>30</v>
      </c>
      <c r="BJ322" s="27">
        <f>SUM(BJ4:BJ321)</f>
        <v>307.5</v>
      </c>
      <c r="BK322" s="27">
        <f t="shared" ref="BK322:BU322" si="4">SUM(BK4:BK321)</f>
        <v>303.5</v>
      </c>
      <c r="BL322" s="27">
        <f t="shared" si="4"/>
        <v>323</v>
      </c>
      <c r="BM322" s="27">
        <f t="shared" si="4"/>
        <v>316</v>
      </c>
      <c r="BN322" s="27">
        <f t="shared" si="4"/>
        <v>328.5</v>
      </c>
      <c r="BO322" s="27">
        <f t="shared" si="4"/>
        <v>322.5</v>
      </c>
      <c r="BP322" s="27">
        <f t="shared" si="4"/>
        <v>331.5</v>
      </c>
      <c r="BQ322" s="27">
        <f t="shared" si="4"/>
        <v>332.5</v>
      </c>
      <c r="BR322" s="27">
        <f t="shared" si="4"/>
        <v>313</v>
      </c>
      <c r="BS322" s="27">
        <f t="shared" si="4"/>
        <v>313</v>
      </c>
      <c r="BT322" s="27">
        <f t="shared" si="4"/>
        <v>311.5</v>
      </c>
      <c r="BU322" s="27">
        <f t="shared" si="4"/>
        <v>299.5</v>
      </c>
      <c r="BV322" s="246">
        <f>SUM(BV60:BV321)</f>
        <v>52</v>
      </c>
      <c r="BW322" s="246">
        <f t="shared" ref="BW322:CN322" si="5">SUM(BW60:BW321)</f>
        <v>43</v>
      </c>
      <c r="BX322" s="246">
        <f t="shared" si="5"/>
        <v>46</v>
      </c>
      <c r="BY322" s="246">
        <f t="shared" si="5"/>
        <v>48</v>
      </c>
      <c r="BZ322" s="246">
        <f t="shared" si="5"/>
        <v>44</v>
      </c>
      <c r="CA322" s="246">
        <f t="shared" si="5"/>
        <v>35</v>
      </c>
      <c r="CB322" s="246">
        <f t="shared" si="5"/>
        <v>30</v>
      </c>
      <c r="CC322" s="246">
        <f t="shared" si="5"/>
        <v>29</v>
      </c>
      <c r="CD322" s="246">
        <f t="shared" si="5"/>
        <v>26</v>
      </c>
      <c r="CE322" s="246">
        <f t="shared" si="5"/>
        <v>51</v>
      </c>
      <c r="CF322" s="246">
        <f t="shared" si="5"/>
        <v>43</v>
      </c>
      <c r="CG322" s="246">
        <f t="shared" si="5"/>
        <v>43</v>
      </c>
      <c r="CH322" s="246">
        <f t="shared" si="5"/>
        <v>49</v>
      </c>
      <c r="CI322" s="27">
        <f t="shared" si="5"/>
        <v>44</v>
      </c>
      <c r="CJ322" s="27">
        <f t="shared" si="5"/>
        <v>43</v>
      </c>
      <c r="CK322" s="27">
        <f t="shared" si="5"/>
        <v>43</v>
      </c>
      <c r="CL322" s="27">
        <f t="shared" si="5"/>
        <v>44</v>
      </c>
      <c r="CM322" s="27">
        <f t="shared" si="5"/>
        <v>42</v>
      </c>
      <c r="CN322" s="27">
        <f t="shared" si="5"/>
        <v>44</v>
      </c>
      <c r="CO322" s="28">
        <f t="shared" ref="CO322:CT322" si="6">SUM(CO4:CO321)</f>
        <v>63</v>
      </c>
      <c r="CP322" s="28">
        <f t="shared" si="6"/>
        <v>63</v>
      </c>
      <c r="CQ322" s="28">
        <f t="shared" si="6"/>
        <v>64</v>
      </c>
      <c r="CR322" s="28">
        <f t="shared" si="6"/>
        <v>62</v>
      </c>
      <c r="CS322" s="28">
        <f t="shared" si="6"/>
        <v>61</v>
      </c>
      <c r="CT322" s="28">
        <f t="shared" si="6"/>
        <v>62</v>
      </c>
      <c r="CU322" s="27">
        <f>SUM(CU60:CU321)</f>
        <v>51</v>
      </c>
      <c r="CV322" s="27">
        <f>SUM(CV60:CV321)</f>
        <v>56</v>
      </c>
      <c r="CW322" s="27">
        <f>SUM(CW60:CW321)</f>
        <v>58</v>
      </c>
      <c r="CX322" s="28">
        <f>SUM(CX60:CX321)</f>
        <v>31</v>
      </c>
      <c r="CY322" s="28">
        <f t="shared" ref="CY322:DD322" si="7">SUM(CY60:CY321)</f>
        <v>56</v>
      </c>
      <c r="CZ322" s="28">
        <f t="shared" si="7"/>
        <v>54</v>
      </c>
      <c r="DA322" s="28">
        <f t="shared" si="7"/>
        <v>55</v>
      </c>
      <c r="DB322" s="28">
        <f t="shared" si="7"/>
        <v>58</v>
      </c>
      <c r="DC322" s="28">
        <f t="shared" si="7"/>
        <v>47</v>
      </c>
      <c r="DD322" s="28">
        <f t="shared" si="7"/>
        <v>58</v>
      </c>
      <c r="DE322" s="28">
        <f t="shared" ref="DE322:DO322" si="8">SUM(DE60:DE321)</f>
        <v>23</v>
      </c>
      <c r="DF322" s="28">
        <f t="shared" si="8"/>
        <v>37</v>
      </c>
      <c r="DG322" s="28">
        <f t="shared" si="8"/>
        <v>40</v>
      </c>
      <c r="DH322" s="28">
        <f t="shared" si="8"/>
        <v>38</v>
      </c>
      <c r="DI322" s="28">
        <f t="shared" si="8"/>
        <v>42</v>
      </c>
      <c r="DJ322" s="28">
        <f t="shared" si="8"/>
        <v>29</v>
      </c>
      <c r="DK322" s="28">
        <f t="shared" si="8"/>
        <v>14</v>
      </c>
      <c r="DL322" s="28">
        <f t="shared" si="8"/>
        <v>12</v>
      </c>
      <c r="DM322" s="28">
        <f t="shared" si="8"/>
        <v>13</v>
      </c>
      <c r="DN322" s="28">
        <f t="shared" si="8"/>
        <v>44</v>
      </c>
      <c r="DO322" s="28">
        <f t="shared" si="8"/>
        <v>50</v>
      </c>
    </row>
    <row r="323" ht="26.25" customHeight="1" spans="1:119">
      <c r="A323" s="242"/>
      <c r="L323" s="240"/>
      <c r="N323" s="242"/>
      <c r="O323" s="242"/>
      <c r="Q323" s="242"/>
      <c r="R323" s="242"/>
      <c r="S323" s="242"/>
      <c r="T323" s="242"/>
      <c r="U323" s="23"/>
      <c r="V323" s="247"/>
      <c r="W323" s="247"/>
      <c r="X323" s="248"/>
      <c r="BE323" s="247"/>
      <c r="BF323" s="247"/>
      <c r="BG323" s="247"/>
      <c r="BH323" s="247"/>
      <c r="CX323" s="20"/>
      <c r="CY323" s="20"/>
    </row>
    <row r="324" ht="26.25" customHeight="1" spans="1:119">
      <c r="A324" s="242"/>
      <c r="L324" s="240"/>
      <c r="N324" s="242"/>
      <c r="O324" s="242"/>
      <c r="Q324" s="242"/>
      <c r="R324" s="242"/>
      <c r="S324" s="242"/>
      <c r="T324" s="242"/>
      <c r="U324" s="23"/>
      <c r="V324" s="247"/>
      <c r="W324" s="247"/>
      <c r="X324" s="248"/>
      <c r="BE324" s="247"/>
      <c r="BF324" s="247"/>
      <c r="BG324" s="247"/>
      <c r="BH324" s="247"/>
      <c r="CX324" s="20"/>
      <c r="CY324" s="20"/>
    </row>
    <row r="325" ht="26.25" customHeight="1" spans="1:119">
      <c r="A325" s="242"/>
      <c r="L325" s="240"/>
      <c r="N325" s="242"/>
      <c r="O325" s="242"/>
      <c r="Q325" s="242"/>
      <c r="R325" s="242"/>
      <c r="S325" s="242"/>
      <c r="T325" s="242"/>
      <c r="U325" s="23"/>
      <c r="V325" s="247"/>
      <c r="W325" s="247"/>
      <c r="X325" s="248"/>
      <c r="BE325" s="247"/>
      <c r="BF325" s="247"/>
      <c r="BG325" s="247"/>
      <c r="BH325" s="247"/>
      <c r="CX325" s="20"/>
      <c r="CY325" s="20"/>
    </row>
    <row r="326" ht="26.25" customHeight="1" spans="1:119">
      <c r="A326" s="242"/>
      <c r="L326" s="240"/>
      <c r="N326" s="242"/>
      <c r="O326" s="242"/>
      <c r="Q326" s="242"/>
      <c r="R326" s="242"/>
      <c r="S326" s="242"/>
      <c r="T326" s="242"/>
      <c r="U326" s="23"/>
      <c r="V326" s="247"/>
      <c r="W326" s="247"/>
      <c r="X326" s="248"/>
      <c r="BE326" s="247"/>
      <c r="BF326" s="247"/>
      <c r="BG326" s="247"/>
      <c r="BH326" s="247"/>
      <c r="CX326" s="20"/>
      <c r="CY326" s="20"/>
    </row>
    <row r="327" ht="26.25" customHeight="1" spans="1:119">
      <c r="A327" s="242"/>
      <c r="L327" s="240"/>
      <c r="N327" s="242"/>
      <c r="O327" s="242"/>
      <c r="Q327" s="242"/>
      <c r="R327" s="242"/>
      <c r="S327" s="242"/>
      <c r="T327" s="242"/>
      <c r="U327" s="23"/>
      <c r="V327" s="247"/>
      <c r="W327" s="247"/>
      <c r="X327" s="248"/>
      <c r="BE327" s="247"/>
      <c r="BF327" s="247"/>
      <c r="BG327" s="247"/>
      <c r="BH327" s="247"/>
      <c r="CX327" s="20"/>
      <c r="CY327" s="20"/>
    </row>
    <row r="328" ht="26.25" customHeight="1" spans="1:119">
      <c r="A328" s="242"/>
      <c r="L328" s="240"/>
      <c r="N328" s="242"/>
      <c r="O328" s="242"/>
      <c r="Q328" s="242"/>
      <c r="R328" s="242"/>
      <c r="S328" s="242"/>
      <c r="T328" s="242"/>
      <c r="U328" s="23"/>
      <c r="V328" s="247"/>
      <c r="W328" s="247"/>
      <c r="X328" s="248"/>
      <c r="BE328" s="247"/>
      <c r="BF328" s="247"/>
      <c r="BG328" s="247"/>
      <c r="BH328" s="247"/>
      <c r="CX328" s="20"/>
      <c r="CY328" s="20"/>
    </row>
    <row r="329" ht="26.25" customHeight="1" spans="1:119">
      <c r="A329" s="242"/>
      <c r="L329" s="240"/>
      <c r="N329" s="242"/>
      <c r="O329" s="242"/>
      <c r="Q329" s="242"/>
      <c r="R329" s="242"/>
      <c r="S329" s="242"/>
      <c r="T329" s="242"/>
      <c r="U329" s="23"/>
      <c r="V329" s="247"/>
      <c r="W329" s="247"/>
      <c r="X329" s="248"/>
      <c r="BE329" s="247"/>
      <c r="BF329" s="247"/>
      <c r="BG329" s="247"/>
      <c r="BH329" s="247"/>
      <c r="CX329" s="20"/>
      <c r="CY329" s="20"/>
    </row>
    <row r="330" ht="26.25" customHeight="1" spans="1:119">
      <c r="A330" s="242"/>
      <c r="L330" s="240"/>
      <c r="N330" s="242"/>
      <c r="O330" s="242"/>
      <c r="Q330" s="242"/>
      <c r="R330" s="242"/>
      <c r="S330" s="242"/>
      <c r="T330" s="242"/>
      <c r="U330" s="23"/>
      <c r="V330" s="247"/>
      <c r="W330" s="247"/>
      <c r="X330" s="248"/>
      <c r="BE330" s="247"/>
      <c r="BF330" s="247"/>
      <c r="BG330" s="247"/>
      <c r="BH330" s="247"/>
      <c r="CX330" s="20"/>
      <c r="CY330" s="20"/>
    </row>
    <row r="331" ht="26.25" customHeight="1" spans="1:119">
      <c r="A331" s="242"/>
      <c r="L331" s="240"/>
      <c r="N331" s="242"/>
      <c r="O331" s="242"/>
      <c r="Q331" s="242"/>
      <c r="R331" s="242"/>
      <c r="S331" s="242"/>
      <c r="T331" s="242"/>
      <c r="U331" s="23"/>
      <c r="V331" s="247"/>
      <c r="W331" s="247"/>
      <c r="X331" s="248"/>
      <c r="BE331" s="247"/>
      <c r="BF331" s="247"/>
      <c r="BG331" s="247"/>
      <c r="BH331" s="247"/>
      <c r="CX331" s="20"/>
      <c r="CY331" s="20"/>
    </row>
    <row r="332" ht="26.25" customHeight="1" spans="1:119">
      <c r="A332" s="242"/>
      <c r="L332" s="240"/>
      <c r="N332" s="242"/>
      <c r="O332" s="242"/>
      <c r="Q332" s="242"/>
      <c r="R332" s="242"/>
      <c r="S332" s="242"/>
      <c r="T332" s="242"/>
      <c r="U332" s="23"/>
      <c r="V332" s="247"/>
      <c r="W332" s="247"/>
      <c r="X332" s="248"/>
      <c r="BE332" s="247"/>
      <c r="BF332" s="247"/>
      <c r="BG332" s="247"/>
      <c r="BH332" s="247"/>
      <c r="CX332" s="20"/>
      <c r="CY332" s="20"/>
    </row>
    <row r="333" ht="26.25" customHeight="1" spans="1:119">
      <c r="A333" s="242"/>
      <c r="L333" s="240"/>
      <c r="N333" s="242"/>
      <c r="O333" s="242"/>
      <c r="Q333" s="242"/>
      <c r="R333" s="242"/>
      <c r="S333" s="242"/>
      <c r="T333" s="242"/>
      <c r="U333" s="23"/>
      <c r="V333" s="247"/>
      <c r="W333" s="247"/>
      <c r="X333" s="248"/>
      <c r="BE333" s="247"/>
      <c r="BF333" s="247"/>
      <c r="BG333" s="247"/>
      <c r="BH333" s="247"/>
      <c r="CX333" s="20"/>
      <c r="CY333" s="20"/>
    </row>
    <row r="334" ht="26.25" customHeight="1" spans="1:119">
      <c r="A334" s="242"/>
      <c r="L334" s="240"/>
      <c r="N334" s="242"/>
      <c r="O334" s="242"/>
      <c r="Q334" s="242"/>
      <c r="R334" s="242"/>
      <c r="S334" s="242"/>
      <c r="T334" s="242"/>
      <c r="U334" s="23"/>
      <c r="V334" s="247"/>
      <c r="W334" s="247"/>
      <c r="X334" s="248"/>
      <c r="BE334" s="247"/>
      <c r="BF334" s="247"/>
      <c r="BG334" s="247"/>
      <c r="BH334" s="247"/>
      <c r="CX334" s="20"/>
      <c r="CY334" s="20"/>
    </row>
    <row r="335" ht="26.25" customHeight="1" spans="1:119">
      <c r="A335" s="242"/>
      <c r="L335" s="240"/>
      <c r="N335" s="242"/>
      <c r="O335" s="242"/>
      <c r="Q335" s="242"/>
      <c r="R335" s="242"/>
      <c r="S335" s="242"/>
      <c r="T335" s="242"/>
      <c r="U335" s="23"/>
      <c r="V335" s="247"/>
      <c r="W335" s="247"/>
      <c r="X335" s="248"/>
      <c r="BE335" s="247"/>
      <c r="BF335" s="247"/>
      <c r="BG335" s="247"/>
      <c r="BH335" s="247"/>
      <c r="CX335" s="20"/>
      <c r="CY335" s="20"/>
    </row>
    <row r="336" ht="26.25" customHeight="1" spans="1:119">
      <c r="A336" s="242"/>
      <c r="L336" s="240"/>
      <c r="N336" s="242"/>
      <c r="O336" s="242"/>
      <c r="Q336" s="242"/>
      <c r="R336" s="242"/>
      <c r="S336" s="242"/>
      <c r="T336" s="242"/>
      <c r="U336" s="23"/>
      <c r="V336" s="247"/>
      <c r="W336" s="247"/>
      <c r="X336" s="248"/>
      <c r="BE336" s="247"/>
      <c r="BF336" s="247"/>
      <c r="BG336" s="247"/>
      <c r="BH336" s="247"/>
      <c r="CX336" s="20"/>
      <c r="CY336" s="20"/>
    </row>
    <row r="337" ht="26.25" customHeight="1" spans="1:103">
      <c r="A337" s="242"/>
      <c r="L337" s="240"/>
      <c r="N337" s="242"/>
      <c r="O337" s="242"/>
      <c r="Q337" s="242"/>
      <c r="R337" s="242"/>
      <c r="S337" s="242"/>
      <c r="T337" s="242"/>
      <c r="U337" s="23"/>
      <c r="V337" s="247"/>
      <c r="W337" s="247"/>
      <c r="X337" s="248"/>
      <c r="BE337" s="247"/>
      <c r="BF337" s="247"/>
      <c r="BG337" s="247"/>
      <c r="BH337" s="247"/>
      <c r="CX337" s="20"/>
      <c r="CY337" s="20"/>
    </row>
    <row r="338" ht="26.25" customHeight="1" spans="1:103">
      <c r="A338" s="242"/>
      <c r="L338" s="240"/>
      <c r="N338" s="242"/>
      <c r="O338" s="242"/>
      <c r="Q338" s="242"/>
      <c r="R338" s="242"/>
      <c r="S338" s="242"/>
      <c r="T338" s="242"/>
      <c r="U338" s="23"/>
      <c r="V338" s="247"/>
      <c r="W338" s="247"/>
      <c r="X338" s="248"/>
      <c r="BE338" s="247"/>
      <c r="BF338" s="247"/>
      <c r="BG338" s="247"/>
      <c r="BH338" s="247"/>
      <c r="CX338" s="20"/>
      <c r="CY338" s="20"/>
    </row>
    <row r="339" ht="26.25" customHeight="1" spans="1:103">
      <c r="A339" s="242"/>
      <c r="L339" s="240"/>
      <c r="N339" s="242"/>
      <c r="O339" s="242"/>
      <c r="Q339" s="242"/>
      <c r="R339" s="242"/>
      <c r="S339" s="242"/>
      <c r="T339" s="242"/>
      <c r="U339" s="23"/>
      <c r="V339" s="247"/>
      <c r="W339" s="247"/>
      <c r="X339" s="248"/>
      <c r="BE339" s="247"/>
      <c r="BF339" s="247"/>
      <c r="BG339" s="247"/>
      <c r="BH339" s="247"/>
      <c r="CX339" s="20"/>
      <c r="CY339" s="20"/>
    </row>
    <row r="340" ht="26.25" customHeight="1" spans="1:103">
      <c r="A340" s="242"/>
      <c r="L340" s="240"/>
      <c r="N340" s="242"/>
      <c r="O340" s="242"/>
      <c r="Q340" s="242"/>
      <c r="R340" s="242"/>
      <c r="S340" s="242"/>
      <c r="T340" s="242"/>
      <c r="U340" s="23"/>
      <c r="V340" s="247"/>
      <c r="W340" s="247"/>
      <c r="X340" s="248"/>
      <c r="BE340" s="247"/>
      <c r="BF340" s="247"/>
      <c r="BG340" s="247"/>
      <c r="BH340" s="247"/>
      <c r="CX340" s="20"/>
      <c r="CY340" s="20"/>
    </row>
    <row r="341" ht="26.25" customHeight="1" spans="1:103">
      <c r="A341" s="242"/>
      <c r="L341" s="240"/>
      <c r="N341" s="242"/>
      <c r="O341" s="242"/>
      <c r="Q341" s="242"/>
      <c r="R341" s="242"/>
      <c r="S341" s="242"/>
      <c r="T341" s="242"/>
      <c r="U341" s="23"/>
      <c r="V341" s="247"/>
      <c r="W341" s="247"/>
      <c r="X341" s="248"/>
      <c r="BE341" s="247"/>
      <c r="BF341" s="247"/>
      <c r="BG341" s="247"/>
      <c r="BH341" s="247"/>
      <c r="CX341" s="20"/>
      <c r="CY341" s="20"/>
    </row>
    <row r="342" ht="26.25" customHeight="1" spans="1:103">
      <c r="A342" s="242"/>
      <c r="L342" s="240"/>
      <c r="N342" s="242"/>
      <c r="O342" s="242"/>
      <c r="Q342" s="242"/>
      <c r="R342" s="242"/>
      <c r="S342" s="242"/>
      <c r="T342" s="242"/>
      <c r="U342" s="23"/>
      <c r="V342" s="247"/>
      <c r="W342" s="247"/>
      <c r="X342" s="248"/>
      <c r="BE342" s="247"/>
      <c r="BF342" s="247"/>
      <c r="BG342" s="247"/>
      <c r="BH342" s="247"/>
      <c r="CX342" s="20"/>
      <c r="CY342" s="20"/>
    </row>
    <row r="343" ht="26.25" customHeight="1" spans="1:103">
      <c r="A343" s="242"/>
      <c r="L343" s="240"/>
      <c r="N343" s="242"/>
      <c r="O343" s="242"/>
      <c r="Q343" s="242"/>
      <c r="R343" s="242"/>
      <c r="S343" s="242"/>
      <c r="T343" s="242"/>
      <c r="U343" s="23"/>
      <c r="V343" s="247"/>
      <c r="W343" s="247"/>
      <c r="X343" s="248"/>
      <c r="BE343" s="247"/>
      <c r="BF343" s="247"/>
      <c r="BG343" s="247"/>
      <c r="BH343" s="247"/>
      <c r="CX343" s="20"/>
      <c r="CY343" s="20"/>
    </row>
    <row r="344" ht="26.25" customHeight="1" spans="1:103">
      <c r="A344" s="242"/>
      <c r="L344" s="240"/>
      <c r="N344" s="242"/>
      <c r="O344" s="242"/>
      <c r="Q344" s="242"/>
      <c r="R344" s="242"/>
      <c r="S344" s="242"/>
      <c r="T344" s="242"/>
      <c r="U344" s="23"/>
      <c r="V344" s="247"/>
      <c r="W344" s="247"/>
      <c r="X344" s="248"/>
      <c r="BE344" s="247"/>
      <c r="BF344" s="247"/>
      <c r="BG344" s="247"/>
      <c r="BH344" s="247"/>
      <c r="CX344" s="20"/>
      <c r="CY344" s="20"/>
    </row>
    <row r="345" ht="26.25" customHeight="1" spans="1:103">
      <c r="A345" s="242"/>
      <c r="L345" s="240"/>
      <c r="N345" s="242"/>
      <c r="O345" s="242"/>
      <c r="Q345" s="242"/>
      <c r="R345" s="242"/>
      <c r="S345" s="242"/>
      <c r="T345" s="242"/>
      <c r="U345" s="23"/>
      <c r="V345" s="247"/>
      <c r="W345" s="247"/>
      <c r="X345" s="248"/>
      <c r="BE345" s="247"/>
      <c r="BF345" s="247"/>
      <c r="BG345" s="247"/>
      <c r="BH345" s="247"/>
      <c r="CX345" s="20"/>
      <c r="CY345" s="20"/>
    </row>
    <row r="346" ht="26.25" customHeight="1" spans="1:103">
      <c r="A346" s="242"/>
      <c r="L346" s="240"/>
      <c r="N346" s="242"/>
      <c r="O346" s="242"/>
      <c r="Q346" s="242"/>
      <c r="R346" s="242"/>
      <c r="S346" s="242"/>
      <c r="T346" s="242"/>
      <c r="U346" s="23"/>
      <c r="V346" s="247"/>
      <c r="W346" s="247"/>
      <c r="X346" s="248"/>
      <c r="BE346" s="247"/>
      <c r="BF346" s="247"/>
      <c r="BG346" s="247"/>
      <c r="BH346" s="247"/>
      <c r="CX346" s="20"/>
      <c r="CY346" s="20"/>
    </row>
    <row r="347" ht="26.25" customHeight="1" spans="1:103">
      <c r="A347" s="242"/>
      <c r="L347" s="240"/>
      <c r="N347" s="242"/>
      <c r="O347" s="242"/>
      <c r="Q347" s="242"/>
      <c r="R347" s="242"/>
      <c r="S347" s="242"/>
      <c r="T347" s="242"/>
      <c r="U347" s="23"/>
      <c r="V347" s="247"/>
      <c r="W347" s="247"/>
      <c r="X347" s="248"/>
      <c r="BE347" s="247"/>
      <c r="BF347" s="247"/>
      <c r="BG347" s="247"/>
      <c r="BH347" s="247"/>
      <c r="CX347" s="20"/>
      <c r="CY347" s="20"/>
    </row>
    <row r="348" ht="26.25" customHeight="1" spans="1:103">
      <c r="A348" s="242"/>
      <c r="L348" s="240"/>
      <c r="N348" s="242"/>
      <c r="O348" s="242"/>
      <c r="Q348" s="242"/>
      <c r="R348" s="242"/>
      <c r="S348" s="242"/>
      <c r="T348" s="242"/>
      <c r="U348" s="23"/>
      <c r="V348" s="247"/>
      <c r="W348" s="247"/>
      <c r="X348" s="248"/>
      <c r="BE348" s="247"/>
      <c r="BF348" s="247"/>
      <c r="BG348" s="247"/>
      <c r="BH348" s="247"/>
      <c r="CX348" s="20"/>
      <c r="CY348" s="20"/>
    </row>
    <row r="349" ht="26.25" customHeight="1" spans="1:103">
      <c r="A349" s="242"/>
      <c r="L349" s="240"/>
      <c r="N349" s="242"/>
      <c r="O349" s="242"/>
      <c r="Q349" s="242"/>
      <c r="R349" s="242"/>
      <c r="S349" s="242"/>
      <c r="T349" s="242"/>
      <c r="U349" s="23"/>
      <c r="V349" s="247"/>
      <c r="W349" s="247"/>
      <c r="X349" s="248"/>
      <c r="BE349" s="247"/>
      <c r="BF349" s="247"/>
      <c r="BG349" s="247"/>
      <c r="BH349" s="247"/>
      <c r="CX349" s="20"/>
      <c r="CY349" s="20"/>
    </row>
    <row r="350" ht="26.25" customHeight="1" spans="1:103">
      <c r="A350" s="242"/>
      <c r="L350" s="240"/>
      <c r="N350" s="242"/>
      <c r="O350" s="242"/>
      <c r="Q350" s="242"/>
      <c r="R350" s="242"/>
      <c r="S350" s="242"/>
      <c r="T350" s="242"/>
      <c r="U350" s="23"/>
      <c r="V350" s="247"/>
      <c r="W350" s="247"/>
      <c r="X350" s="248"/>
      <c r="BE350" s="247"/>
      <c r="BF350" s="247"/>
      <c r="BG350" s="247"/>
      <c r="BH350" s="247"/>
      <c r="CX350" s="20"/>
      <c r="CY350" s="20"/>
    </row>
    <row r="351" ht="26.25" customHeight="1" spans="1:103">
      <c r="A351" s="242"/>
      <c r="L351" s="240"/>
      <c r="N351" s="242"/>
      <c r="O351" s="242"/>
      <c r="Q351" s="242"/>
      <c r="R351" s="242"/>
      <c r="S351" s="242"/>
      <c r="T351" s="242"/>
      <c r="U351" s="23"/>
      <c r="V351" s="247"/>
      <c r="W351" s="247"/>
      <c r="X351" s="248"/>
      <c r="BE351" s="247"/>
      <c r="BF351" s="247"/>
      <c r="BG351" s="247"/>
      <c r="BH351" s="247"/>
      <c r="CX351" s="20"/>
      <c r="CY351" s="20"/>
    </row>
    <row r="352" ht="26.25" customHeight="1" spans="1:103">
      <c r="A352" s="242"/>
      <c r="L352" s="240"/>
      <c r="N352" s="242"/>
      <c r="O352" s="242"/>
      <c r="Q352" s="242"/>
      <c r="R352" s="242"/>
      <c r="S352" s="242"/>
      <c r="T352" s="242"/>
      <c r="U352" s="23"/>
      <c r="V352" s="247"/>
      <c r="W352" s="247"/>
      <c r="X352" s="248"/>
      <c r="BE352" s="247"/>
      <c r="BF352" s="247"/>
      <c r="BG352" s="247"/>
      <c r="BH352" s="247"/>
      <c r="CX352" s="20"/>
      <c r="CY352" s="20"/>
    </row>
    <row r="353" ht="26.25" customHeight="1" spans="1:103">
      <c r="A353" s="242"/>
      <c r="L353" s="240"/>
      <c r="N353" s="242"/>
      <c r="O353" s="242"/>
      <c r="Q353" s="242"/>
      <c r="R353" s="242"/>
      <c r="S353" s="242"/>
      <c r="T353" s="242"/>
      <c r="U353" s="23"/>
      <c r="V353" s="247"/>
      <c r="W353" s="247"/>
      <c r="X353" s="248"/>
      <c r="BE353" s="247"/>
      <c r="BF353" s="247"/>
      <c r="BG353" s="247"/>
      <c r="BH353" s="247"/>
      <c r="CX353" s="20"/>
      <c r="CY353" s="20"/>
    </row>
    <row r="354" ht="26.25" customHeight="1" spans="1:103">
      <c r="A354" s="242"/>
      <c r="L354" s="240"/>
      <c r="N354" s="242"/>
      <c r="O354" s="242"/>
      <c r="Q354" s="242"/>
      <c r="R354" s="242"/>
      <c r="S354" s="242"/>
      <c r="T354" s="242"/>
      <c r="U354" s="23"/>
      <c r="V354" s="247"/>
      <c r="W354" s="247"/>
      <c r="X354" s="248"/>
      <c r="BE354" s="247"/>
      <c r="BF354" s="247"/>
      <c r="BG354" s="247"/>
      <c r="BH354" s="247"/>
      <c r="CX354" s="20"/>
      <c r="CY354" s="20"/>
    </row>
    <row r="355" ht="26.25" customHeight="1" spans="1:103">
      <c r="A355" s="242"/>
      <c r="L355" s="240"/>
      <c r="N355" s="242"/>
      <c r="O355" s="242"/>
      <c r="Q355" s="242"/>
      <c r="R355" s="242"/>
      <c r="S355" s="242"/>
      <c r="T355" s="242"/>
      <c r="U355" s="23"/>
      <c r="V355" s="247"/>
      <c r="W355" s="247"/>
      <c r="X355" s="248"/>
      <c r="BE355" s="247"/>
      <c r="BF355" s="247"/>
      <c r="BG355" s="247"/>
      <c r="BH355" s="247"/>
      <c r="CX355" s="20"/>
      <c r="CY355" s="20"/>
    </row>
    <row r="356" ht="26.25" customHeight="1" spans="1:103">
      <c r="A356" s="242"/>
      <c r="L356" s="240"/>
      <c r="N356" s="242"/>
      <c r="O356" s="242"/>
      <c r="Q356" s="242"/>
      <c r="R356" s="242"/>
      <c r="S356" s="242"/>
      <c r="T356" s="242"/>
      <c r="U356" s="23"/>
      <c r="V356" s="247"/>
      <c r="W356" s="247"/>
      <c r="X356" s="248"/>
      <c r="BE356" s="247"/>
      <c r="BF356" s="247"/>
      <c r="BG356" s="247"/>
      <c r="BH356" s="247"/>
      <c r="CX356" s="20"/>
      <c r="CY356" s="20"/>
    </row>
    <row r="357" ht="26.25" customHeight="1" spans="1:103">
      <c r="A357" s="242"/>
      <c r="L357" s="240"/>
      <c r="N357" s="242"/>
      <c r="O357" s="242"/>
      <c r="Q357" s="242"/>
      <c r="R357" s="242"/>
      <c r="S357" s="242"/>
      <c r="T357" s="242"/>
      <c r="U357" s="23"/>
      <c r="V357" s="247"/>
      <c r="W357" s="247"/>
      <c r="X357" s="248"/>
      <c r="BE357" s="247"/>
      <c r="BF357" s="247"/>
      <c r="BG357" s="247"/>
      <c r="BH357" s="247"/>
      <c r="CX357" s="20"/>
      <c r="CY357" s="20"/>
    </row>
    <row r="358" ht="26.25" customHeight="1" spans="1:103">
      <c r="A358" s="242"/>
      <c r="L358" s="240"/>
      <c r="N358" s="242"/>
      <c r="O358" s="242"/>
      <c r="Q358" s="242"/>
      <c r="R358" s="242"/>
      <c r="S358" s="242"/>
      <c r="T358" s="242"/>
      <c r="U358" s="23"/>
      <c r="V358" s="247"/>
      <c r="W358" s="247"/>
      <c r="X358" s="248"/>
      <c r="BE358" s="247"/>
      <c r="BF358" s="247"/>
      <c r="BG358" s="247"/>
      <c r="BH358" s="247"/>
      <c r="CX358" s="20"/>
      <c r="CY358" s="20"/>
    </row>
    <row r="359" ht="26.25" customHeight="1" spans="1:103">
      <c r="A359" s="242"/>
      <c r="L359" s="240"/>
      <c r="N359" s="242"/>
      <c r="O359" s="242"/>
      <c r="Q359" s="242"/>
      <c r="R359" s="242"/>
      <c r="S359" s="242"/>
      <c r="T359" s="242"/>
      <c r="U359" s="23"/>
      <c r="V359" s="247"/>
      <c r="W359" s="247"/>
      <c r="X359" s="248"/>
      <c r="BE359" s="247"/>
      <c r="BF359" s="247"/>
      <c r="BG359" s="247"/>
      <c r="BH359" s="247"/>
      <c r="CX359" s="20"/>
      <c r="CY359" s="20"/>
    </row>
    <row r="360" ht="26.25" customHeight="1" spans="1:103">
      <c r="A360" s="242"/>
      <c r="L360" s="240"/>
      <c r="N360" s="242"/>
      <c r="O360" s="242"/>
      <c r="Q360" s="242"/>
      <c r="R360" s="242"/>
      <c r="S360" s="242"/>
      <c r="T360" s="242"/>
      <c r="U360" s="23"/>
      <c r="V360" s="247"/>
      <c r="W360" s="247"/>
      <c r="X360" s="248"/>
      <c r="BE360" s="247"/>
      <c r="BF360" s="247"/>
      <c r="BG360" s="247"/>
      <c r="BH360" s="247"/>
      <c r="CX360" s="20"/>
      <c r="CY360" s="20"/>
    </row>
    <row r="361" ht="26.25" customHeight="1" spans="1:103">
      <c r="A361" s="242"/>
      <c r="L361" s="240"/>
      <c r="N361" s="242"/>
      <c r="O361" s="242"/>
      <c r="Q361" s="242"/>
      <c r="R361" s="242"/>
      <c r="S361" s="242"/>
      <c r="T361" s="242"/>
      <c r="U361" s="23"/>
      <c r="V361" s="247"/>
      <c r="W361" s="247"/>
      <c r="X361" s="248"/>
      <c r="BE361" s="247"/>
      <c r="BF361" s="247"/>
      <c r="BG361" s="247"/>
      <c r="BH361" s="247"/>
      <c r="CX361" s="20"/>
      <c r="CY361" s="20"/>
    </row>
    <row r="362" ht="26.25" customHeight="1" spans="1:103">
      <c r="A362" s="242"/>
      <c r="L362" s="240"/>
      <c r="N362" s="242"/>
      <c r="O362" s="242"/>
      <c r="Q362" s="242"/>
      <c r="R362" s="242"/>
      <c r="S362" s="242"/>
      <c r="T362" s="242"/>
      <c r="U362" s="23"/>
      <c r="V362" s="247"/>
      <c r="W362" s="247"/>
      <c r="X362" s="248"/>
      <c r="BE362" s="247"/>
      <c r="BF362" s="247"/>
      <c r="BG362" s="247"/>
      <c r="BH362" s="247"/>
      <c r="CX362" s="20"/>
      <c r="CY362" s="20"/>
    </row>
    <row r="363" ht="26.25" customHeight="1" spans="1:103">
      <c r="A363" s="242"/>
      <c r="L363" s="240"/>
      <c r="N363" s="242"/>
      <c r="O363" s="242"/>
      <c r="Q363" s="242"/>
      <c r="R363" s="242"/>
      <c r="S363" s="242"/>
      <c r="T363" s="242"/>
      <c r="U363" s="23"/>
      <c r="V363" s="247"/>
      <c r="W363" s="247"/>
      <c r="X363" s="248"/>
      <c r="BE363" s="247"/>
      <c r="BF363" s="247"/>
      <c r="BG363" s="247"/>
      <c r="BH363" s="247"/>
      <c r="CX363" s="20"/>
      <c r="CY363" s="20"/>
    </row>
    <row r="364" ht="26.25" customHeight="1" spans="1:103">
      <c r="A364" s="242"/>
      <c r="L364" s="240"/>
      <c r="N364" s="242"/>
      <c r="O364" s="242"/>
      <c r="Q364" s="242"/>
      <c r="R364" s="242"/>
      <c r="S364" s="242"/>
      <c r="T364" s="242"/>
      <c r="U364" s="23"/>
      <c r="V364" s="247"/>
      <c r="W364" s="247"/>
      <c r="X364" s="248"/>
      <c r="BE364" s="247"/>
      <c r="BF364" s="247"/>
      <c r="BG364" s="247"/>
      <c r="BH364" s="247"/>
      <c r="CX364" s="20"/>
      <c r="CY364" s="20"/>
    </row>
    <row r="365" ht="26.25" customHeight="1" spans="1:103">
      <c r="A365" s="242"/>
      <c r="L365" s="240"/>
      <c r="N365" s="242"/>
      <c r="O365" s="242"/>
      <c r="Q365" s="242"/>
      <c r="R365" s="242"/>
      <c r="S365" s="242"/>
      <c r="T365" s="242"/>
      <c r="U365" s="23"/>
      <c r="V365" s="247"/>
      <c r="W365" s="247"/>
      <c r="X365" s="248"/>
      <c r="BE365" s="247"/>
      <c r="BF365" s="247"/>
      <c r="BG365" s="247"/>
      <c r="BH365" s="247"/>
      <c r="CX365" s="20"/>
      <c r="CY365" s="20"/>
    </row>
    <row r="366" ht="26.25" customHeight="1" spans="1:103">
      <c r="A366" s="242"/>
      <c r="L366" s="240"/>
      <c r="N366" s="242"/>
      <c r="O366" s="242"/>
      <c r="Q366" s="242"/>
      <c r="R366" s="242"/>
      <c r="S366" s="242"/>
      <c r="T366" s="242"/>
      <c r="U366" s="23"/>
      <c r="V366" s="247"/>
      <c r="W366" s="247"/>
      <c r="X366" s="248"/>
      <c r="BE366" s="247"/>
      <c r="BF366" s="247"/>
      <c r="BG366" s="247"/>
      <c r="BH366" s="247"/>
      <c r="CX366" s="20"/>
      <c r="CY366" s="20"/>
    </row>
    <row r="367" ht="26.25" customHeight="1" spans="1:103">
      <c r="A367" s="242"/>
      <c r="L367" s="240"/>
      <c r="N367" s="242"/>
      <c r="O367" s="242"/>
      <c r="Q367" s="242"/>
      <c r="R367" s="242"/>
      <c r="S367" s="242"/>
      <c r="T367" s="242"/>
      <c r="U367" s="23"/>
      <c r="V367" s="247"/>
      <c r="W367" s="247"/>
      <c r="X367" s="248"/>
      <c r="BE367" s="247"/>
      <c r="BF367" s="247"/>
      <c r="BG367" s="247"/>
      <c r="BH367" s="247"/>
      <c r="CX367" s="20"/>
      <c r="CY367" s="20"/>
    </row>
    <row r="368" ht="26.25" customHeight="1" spans="1:103">
      <c r="A368" s="242"/>
      <c r="L368" s="240"/>
      <c r="N368" s="242"/>
      <c r="O368" s="242"/>
      <c r="Q368" s="242"/>
      <c r="R368" s="242"/>
      <c r="S368" s="242"/>
      <c r="T368" s="242"/>
      <c r="U368" s="23"/>
      <c r="V368" s="247"/>
      <c r="W368" s="247"/>
      <c r="X368" s="248"/>
      <c r="BE368" s="247"/>
      <c r="BF368" s="247"/>
      <c r="BG368" s="247"/>
      <c r="BH368" s="247"/>
      <c r="CX368" s="20"/>
      <c r="CY368" s="20"/>
    </row>
    <row r="369" ht="26.25" customHeight="1" spans="1:103">
      <c r="A369" s="242"/>
      <c r="L369" s="240"/>
      <c r="N369" s="242"/>
      <c r="O369" s="242"/>
      <c r="Q369" s="242"/>
      <c r="R369" s="242"/>
      <c r="S369" s="242"/>
      <c r="T369" s="242"/>
      <c r="U369" s="23"/>
      <c r="V369" s="247"/>
      <c r="W369" s="247"/>
      <c r="X369" s="248"/>
      <c r="BE369" s="247"/>
      <c r="BF369" s="247"/>
      <c r="BG369" s="247"/>
      <c r="BH369" s="247"/>
      <c r="CX369" s="20"/>
      <c r="CY369" s="20"/>
    </row>
    <row r="370" ht="26.25" customHeight="1" spans="1:103">
      <c r="A370" s="242"/>
      <c r="N370" s="242"/>
      <c r="O370" s="242"/>
      <c r="Q370" s="242"/>
      <c r="R370" s="242"/>
      <c r="S370" s="242"/>
      <c r="T370" s="242"/>
      <c r="U370" s="23"/>
      <c r="V370" s="247"/>
      <c r="W370" s="247"/>
      <c r="X370" s="248"/>
      <c r="BE370" s="247"/>
      <c r="BF370" s="247"/>
      <c r="BG370" s="247"/>
      <c r="BH370" s="247"/>
      <c r="CX370" s="20"/>
      <c r="CY370" s="20"/>
    </row>
    <row r="371" ht="26.25" customHeight="1" spans="1:103">
      <c r="A371" s="242"/>
      <c r="N371" s="242"/>
      <c r="O371" s="242"/>
      <c r="Q371" s="242"/>
      <c r="R371" s="242"/>
      <c r="S371" s="242"/>
      <c r="T371" s="242"/>
      <c r="U371" s="23"/>
      <c r="V371" s="247"/>
      <c r="W371" s="247"/>
      <c r="X371" s="248"/>
      <c r="BE371" s="247"/>
      <c r="BF371" s="247"/>
      <c r="BG371" s="247"/>
      <c r="BH371" s="247"/>
      <c r="CX371" s="20"/>
      <c r="CY371" s="20"/>
    </row>
    <row r="372" ht="26.25" customHeight="1" spans="1:103">
      <c r="A372" s="242"/>
      <c r="N372" s="242"/>
      <c r="O372" s="242"/>
      <c r="Q372" s="242"/>
      <c r="R372" s="242"/>
      <c r="S372" s="242"/>
      <c r="T372" s="242"/>
      <c r="U372" s="23"/>
      <c r="V372" s="247"/>
      <c r="W372" s="247"/>
      <c r="X372" s="248"/>
      <c r="BE372" s="247"/>
      <c r="BF372" s="247"/>
      <c r="BG372" s="247"/>
      <c r="BH372" s="247"/>
      <c r="CX372" s="20"/>
      <c r="CY372" s="20"/>
    </row>
    <row r="373" ht="26.25" customHeight="1" spans="1:103">
      <c r="A373" s="242"/>
      <c r="N373" s="242"/>
      <c r="O373" s="242"/>
      <c r="Q373" s="242"/>
      <c r="R373" s="242"/>
      <c r="BE373" s="247"/>
      <c r="BF373" s="247"/>
      <c r="BG373" s="247"/>
      <c r="BH373" s="247"/>
      <c r="CX373" s="20"/>
      <c r="CY373" s="20"/>
    </row>
    <row r="374" ht="26.25" customHeight="1" spans="1:103">
      <c r="A374" s="242"/>
      <c r="N374" s="242"/>
      <c r="O374" s="242"/>
      <c r="Q374" s="242"/>
      <c r="R374" s="242"/>
      <c r="BE374" s="247"/>
      <c r="BF374" s="247"/>
      <c r="BG374" s="247"/>
      <c r="BH374" s="247"/>
      <c r="CX374" s="20"/>
      <c r="CY374" s="20"/>
    </row>
    <row r="375" ht="26.25" customHeight="1" spans="1:103">
      <c r="A375" s="242"/>
      <c r="N375" s="242"/>
      <c r="O375" s="242"/>
      <c r="Q375" s="242"/>
      <c r="R375" s="242"/>
      <c r="BE375" s="247"/>
      <c r="BF375" s="247"/>
      <c r="BG375" s="247"/>
      <c r="BH375" s="247"/>
      <c r="CX375" s="20"/>
      <c r="CY375" s="20"/>
    </row>
    <row r="376" ht="26.25" customHeight="1" spans="1:103">
      <c r="A376" s="242"/>
      <c r="N376" s="242"/>
      <c r="O376" s="242"/>
      <c r="Q376" s="242"/>
      <c r="R376" s="242"/>
      <c r="BE376" s="247"/>
      <c r="BF376" s="247"/>
      <c r="BG376" s="247"/>
      <c r="BH376" s="247"/>
      <c r="CX376" s="20"/>
      <c r="CY376" s="20"/>
    </row>
    <row r="377" ht="26.25" customHeight="1" spans="1:103">
      <c r="A377" s="242"/>
      <c r="N377" s="242"/>
      <c r="O377" s="242"/>
      <c r="Q377" s="242"/>
      <c r="R377" s="242"/>
      <c r="BE377" s="247"/>
      <c r="BF377" s="247"/>
      <c r="BG377" s="247"/>
      <c r="BH377" s="247"/>
      <c r="CX377" s="20"/>
      <c r="CY377" s="20"/>
    </row>
    <row r="378" ht="26.25" customHeight="1" spans="1:103">
      <c r="A378" s="242"/>
      <c r="N378" s="242"/>
      <c r="O378" s="242"/>
      <c r="Q378" s="242"/>
      <c r="R378" s="242"/>
      <c r="BE378" s="247"/>
      <c r="BF378" s="247"/>
      <c r="BG378" s="247"/>
      <c r="BH378" s="247"/>
      <c r="CX378" s="20"/>
      <c r="CY378" s="20"/>
    </row>
    <row r="379" ht="26.25" customHeight="1" spans="1:103">
      <c r="A379" s="242"/>
      <c r="N379" s="242"/>
      <c r="O379" s="242"/>
      <c r="Q379" s="242"/>
      <c r="R379" s="242"/>
      <c r="BE379" s="247"/>
      <c r="BF379" s="247"/>
      <c r="BG379" s="247"/>
      <c r="BH379" s="247"/>
      <c r="CX379" s="20"/>
      <c r="CY379" s="20"/>
    </row>
    <row r="380" ht="26.25" customHeight="1" spans="1:103">
      <c r="A380" s="242"/>
      <c r="N380" s="242"/>
      <c r="O380" s="242"/>
      <c r="Q380" s="242"/>
      <c r="R380" s="242"/>
      <c r="BE380" s="247"/>
      <c r="BF380" s="247"/>
      <c r="BG380" s="247"/>
      <c r="BH380" s="247"/>
      <c r="CX380" s="20"/>
      <c r="CY380" s="20"/>
    </row>
    <row r="381" ht="26.25" customHeight="1" spans="1:103">
      <c r="A381" s="242"/>
      <c r="N381" s="242"/>
      <c r="O381" s="242"/>
      <c r="Q381" s="242"/>
      <c r="R381" s="242"/>
      <c r="BE381" s="247"/>
      <c r="BF381" s="247"/>
      <c r="BG381" s="247"/>
      <c r="BH381" s="247"/>
      <c r="CX381" s="20"/>
      <c r="CY381" s="20"/>
    </row>
    <row r="382" ht="26.25" customHeight="1" spans="1:103">
      <c r="A382" s="242"/>
      <c r="N382" s="242"/>
      <c r="O382" s="242"/>
      <c r="Q382" s="242"/>
      <c r="R382" s="242"/>
      <c r="BE382" s="247"/>
      <c r="BF382" s="247"/>
      <c r="BG382" s="247"/>
      <c r="BH382" s="247"/>
      <c r="CX382" s="20"/>
      <c r="CY382" s="20"/>
    </row>
    <row r="383" ht="26.25" customHeight="1" spans="1:103">
      <c r="A383" s="242"/>
      <c r="N383" s="242"/>
      <c r="O383" s="242"/>
      <c r="Q383" s="242"/>
      <c r="R383" s="242"/>
      <c r="BE383" s="247"/>
      <c r="BF383" s="247"/>
      <c r="BG383" s="247"/>
      <c r="BH383" s="247"/>
      <c r="CX383" s="20"/>
      <c r="CY383" s="20"/>
    </row>
    <row r="384" ht="26.25" customHeight="1" spans="1:103">
      <c r="A384" s="242"/>
      <c r="N384" s="242"/>
      <c r="O384" s="242"/>
      <c r="Q384" s="242"/>
      <c r="R384" s="242"/>
      <c r="BE384" s="247"/>
      <c r="BF384" s="247"/>
      <c r="BG384" s="247"/>
      <c r="BH384" s="247"/>
      <c r="CX384" s="20"/>
      <c r="CY384" s="20"/>
    </row>
    <row r="385" ht="26.25" customHeight="1" spans="1:103">
      <c r="A385" s="242"/>
      <c r="N385" s="242"/>
      <c r="O385" s="242"/>
      <c r="CX385" s="20"/>
      <c r="CY385" s="20"/>
    </row>
    <row r="386" ht="26.25" customHeight="1" spans="1:103">
      <c r="A386" s="242"/>
      <c r="N386" s="242"/>
      <c r="O386" s="242"/>
      <c r="CX386" s="20"/>
      <c r="CY386" s="20"/>
    </row>
    <row r="387" ht="26.25" customHeight="1" spans="1:103">
      <c r="A387" s="242"/>
      <c r="N387" s="242"/>
      <c r="O387" s="242"/>
      <c r="CX387" s="20"/>
      <c r="CY387" s="20"/>
    </row>
    <row r="388" ht="26.25" customHeight="1" spans="1:103">
      <c r="A388" s="242"/>
      <c r="N388" s="242"/>
      <c r="O388" s="242"/>
      <c r="CX388" s="20"/>
      <c r="CY388" s="20"/>
    </row>
    <row r="389" ht="26.25" customHeight="1" spans="1:103">
      <c r="A389" s="242"/>
      <c r="N389" s="242"/>
      <c r="O389" s="242"/>
      <c r="CX389" s="20"/>
      <c r="CY389" s="20"/>
    </row>
    <row r="390" ht="26.25" customHeight="1" spans="1:103">
      <c r="A390" s="242"/>
      <c r="N390" s="242"/>
      <c r="O390" s="242"/>
      <c r="CX390" s="20"/>
      <c r="CY390" s="20"/>
    </row>
    <row r="391" ht="26.25" customHeight="1" spans="1:103">
      <c r="A391" s="242"/>
      <c r="N391" s="242"/>
      <c r="O391" s="242"/>
      <c r="CX391" s="20"/>
      <c r="CY391" s="20"/>
    </row>
    <row r="392" ht="26.25" customHeight="1" spans="1:103">
      <c r="A392" s="242"/>
      <c r="N392" s="242"/>
      <c r="O392" s="242"/>
      <c r="CX392" s="20"/>
      <c r="CY392" s="20"/>
    </row>
    <row r="393" ht="26.25" customHeight="1" spans="1:103">
      <c r="A393" s="242"/>
      <c r="N393" s="242"/>
      <c r="O393" s="242"/>
      <c r="CX393" s="20"/>
      <c r="CY393" s="20"/>
    </row>
    <row r="394" ht="26.25" customHeight="1" spans="1:103">
      <c r="A394" s="242"/>
      <c r="N394" s="242"/>
      <c r="O394" s="242"/>
      <c r="CX394" s="20"/>
      <c r="CY394" s="20"/>
    </row>
    <row r="395" ht="26.25" customHeight="1" spans="1:103">
      <c r="A395" s="242"/>
      <c r="N395" s="242"/>
      <c r="O395" s="242"/>
      <c r="CX395" s="20"/>
      <c r="CY395" s="20"/>
    </row>
    <row r="396" ht="26.25" customHeight="1" spans="1:103">
      <c r="A396" s="242"/>
      <c r="N396" s="242"/>
      <c r="O396" s="242"/>
      <c r="CX396" s="20"/>
      <c r="CY396" s="20"/>
    </row>
    <row r="397" ht="26.25" customHeight="1" spans="1:103">
      <c r="A397" s="242"/>
      <c r="N397" s="242"/>
      <c r="O397" s="242"/>
      <c r="CX397" s="20"/>
      <c r="CY397" s="20"/>
    </row>
    <row r="398" ht="26.25" customHeight="1" spans="1:103">
      <c r="A398" s="242"/>
      <c r="N398" s="242"/>
      <c r="O398" s="242"/>
      <c r="CX398" s="20"/>
      <c r="CY398" s="20"/>
    </row>
    <row r="399" ht="26.25" customHeight="1" spans="1:103">
      <c r="A399" s="242"/>
      <c r="N399" s="242"/>
      <c r="O399" s="242"/>
      <c r="CX399" s="20"/>
      <c r="CY399" s="20"/>
    </row>
    <row r="400" ht="26.25" customHeight="1" spans="1:103">
      <c r="A400" s="242"/>
      <c r="N400" s="242"/>
      <c r="O400" s="242"/>
      <c r="CX400" s="20"/>
      <c r="CY400" s="20"/>
    </row>
    <row r="401" ht="26.25" customHeight="1" spans="1:103">
      <c r="A401" s="242"/>
      <c r="N401" s="242"/>
      <c r="O401" s="242"/>
      <c r="CX401" s="20"/>
      <c r="CY401" s="20"/>
    </row>
    <row r="402" ht="26.25" customHeight="1" spans="1:103">
      <c r="A402" s="242"/>
      <c r="N402" s="242"/>
      <c r="O402" s="242"/>
      <c r="CX402" s="20"/>
      <c r="CY402" s="20"/>
    </row>
    <row r="403" ht="26.25" customHeight="1" spans="1:103">
      <c r="A403" s="242"/>
      <c r="N403" s="242"/>
      <c r="O403" s="242"/>
      <c r="CX403" s="20"/>
      <c r="CY403" s="20"/>
    </row>
    <row r="404" ht="26.25" customHeight="1" spans="1:103">
      <c r="A404" s="242"/>
      <c r="N404" s="242"/>
      <c r="O404" s="242"/>
      <c r="CX404" s="20"/>
      <c r="CY404" s="20"/>
    </row>
    <row r="405" ht="26.25" customHeight="1" spans="1:103">
      <c r="A405" s="242"/>
      <c r="N405" s="242"/>
      <c r="O405" s="242"/>
      <c r="CX405" s="20"/>
      <c r="CY405" s="20"/>
    </row>
    <row r="406" ht="26.25" customHeight="1" spans="1:103">
      <c r="A406" s="242"/>
      <c r="N406" s="242"/>
      <c r="O406" s="242"/>
      <c r="CX406" s="20"/>
      <c r="CY406" s="20"/>
    </row>
    <row r="407" ht="26.25" customHeight="1" spans="1:103">
      <c r="A407" s="242"/>
      <c r="N407" s="242"/>
      <c r="O407" s="242"/>
      <c r="CX407" s="20"/>
      <c r="CY407" s="20"/>
    </row>
    <row r="408" ht="26.25" customHeight="1" spans="1:103">
      <c r="A408" s="242"/>
      <c r="N408" s="242"/>
      <c r="O408" s="242"/>
      <c r="CX408" s="20"/>
      <c r="CY408" s="20"/>
    </row>
    <row r="409" ht="26.25" customHeight="1" spans="1:103">
      <c r="A409" s="242"/>
      <c r="N409" s="242"/>
      <c r="O409" s="242"/>
      <c r="CX409" s="20"/>
      <c r="CY409" s="20"/>
    </row>
    <row r="410" ht="26.25" customHeight="1" spans="1:103">
      <c r="A410" s="242"/>
      <c r="N410" s="242"/>
      <c r="O410" s="242"/>
      <c r="CX410" s="20"/>
      <c r="CY410" s="20"/>
    </row>
    <row r="411" ht="26.25" customHeight="1" spans="1:103">
      <c r="A411" s="242"/>
      <c r="N411" s="242"/>
      <c r="O411" s="242"/>
      <c r="CX411" s="20"/>
      <c r="CY411" s="20"/>
    </row>
    <row r="412" ht="26.25" customHeight="1" spans="1:103">
      <c r="A412" s="242"/>
      <c r="N412" s="242"/>
      <c r="O412" s="242"/>
      <c r="CX412" s="20"/>
      <c r="CY412" s="20"/>
    </row>
    <row r="413" ht="26.25" customHeight="1" spans="1:103">
      <c r="A413" s="242"/>
      <c r="N413" s="242"/>
      <c r="O413" s="242"/>
      <c r="CX413" s="20"/>
      <c r="CY413" s="20"/>
    </row>
    <row r="414" ht="26.25" customHeight="1" spans="1:103">
      <c r="A414" s="242"/>
      <c r="N414" s="242"/>
      <c r="O414" s="242"/>
      <c r="CX414" s="20"/>
      <c r="CY414" s="20"/>
    </row>
    <row r="415" ht="26.25" customHeight="1" spans="1:103">
      <c r="A415" s="242"/>
      <c r="N415" s="242"/>
      <c r="O415" s="242"/>
      <c r="CX415" s="20"/>
      <c r="CY415" s="20"/>
    </row>
    <row r="416" ht="26.25" customHeight="1" spans="1:103">
      <c r="A416" s="242"/>
      <c r="N416" s="242"/>
      <c r="O416" s="242"/>
      <c r="CX416" s="20"/>
      <c r="CY416" s="20"/>
    </row>
    <row r="417" ht="26.25" customHeight="1" spans="1:103">
      <c r="A417" s="242"/>
      <c r="N417" s="242"/>
      <c r="O417" s="242"/>
      <c r="CX417" s="20"/>
      <c r="CY417" s="20"/>
    </row>
    <row r="418" ht="26.25" customHeight="1" spans="1:103">
      <c r="A418" s="242"/>
      <c r="N418" s="242"/>
      <c r="O418" s="242"/>
      <c r="CX418" s="20"/>
      <c r="CY418" s="20"/>
    </row>
    <row r="419" ht="26.25" customHeight="1" spans="1:103">
      <c r="A419" s="242"/>
      <c r="N419" s="242"/>
      <c r="O419" s="242"/>
      <c r="CX419" s="20"/>
      <c r="CY419" s="20"/>
    </row>
    <row r="420" ht="26.25" customHeight="1" spans="1:103">
      <c r="A420" s="242"/>
      <c r="N420" s="242"/>
      <c r="O420" s="242"/>
      <c r="CX420" s="20"/>
      <c r="CY420" s="20"/>
    </row>
    <row r="421" ht="26.25" customHeight="1" spans="1:103">
      <c r="A421" s="242"/>
      <c r="N421" s="242"/>
      <c r="O421" s="242"/>
      <c r="CX421" s="20"/>
      <c r="CY421" s="20"/>
    </row>
    <row r="422" ht="26.25" customHeight="1" spans="1:103">
      <c r="A422" s="242"/>
      <c r="N422" s="242"/>
      <c r="O422" s="242"/>
      <c r="CX422" s="20"/>
      <c r="CY422" s="20"/>
    </row>
    <row r="423" ht="26.25" customHeight="1" spans="1:103">
      <c r="A423" s="242"/>
      <c r="N423" s="242"/>
      <c r="O423" s="242"/>
      <c r="CX423" s="20"/>
      <c r="CY423" s="20"/>
    </row>
    <row r="424" ht="26.25" customHeight="1" spans="1:103">
      <c r="A424" s="242"/>
      <c r="N424" s="242"/>
      <c r="O424" s="242"/>
      <c r="CX424" s="20"/>
      <c r="CY424" s="20"/>
    </row>
    <row r="425" ht="26.25" customHeight="1" spans="1:103">
      <c r="A425" s="242"/>
      <c r="N425" s="242"/>
      <c r="O425" s="242"/>
      <c r="CX425" s="20"/>
      <c r="CY425" s="20"/>
    </row>
    <row r="426" ht="26.25" customHeight="1" spans="1:103">
      <c r="A426" s="242"/>
      <c r="N426" s="242"/>
      <c r="O426" s="242"/>
      <c r="CX426" s="20"/>
      <c r="CY426" s="20"/>
    </row>
    <row r="427" ht="26.25" customHeight="1" spans="1:103">
      <c r="A427" s="242"/>
      <c r="N427" s="242"/>
      <c r="O427" s="242"/>
      <c r="CX427" s="20"/>
      <c r="CY427" s="20"/>
    </row>
    <row r="428" ht="26.25" customHeight="1" spans="1:103">
      <c r="A428" s="242"/>
      <c r="N428" s="242"/>
      <c r="O428" s="242"/>
      <c r="CX428" s="20"/>
      <c r="CY428" s="20"/>
    </row>
    <row r="429" ht="26.25" customHeight="1" spans="1:103">
      <c r="A429" s="242"/>
      <c r="N429" s="242"/>
      <c r="O429" s="242"/>
      <c r="CX429" s="20"/>
      <c r="CY429" s="20"/>
    </row>
    <row r="430" ht="26.25" customHeight="1" spans="1:103">
      <c r="A430" s="242"/>
      <c r="N430" s="242"/>
      <c r="O430" s="242"/>
      <c r="CX430" s="20"/>
      <c r="CY430" s="20"/>
    </row>
    <row r="431" ht="26.25" customHeight="1" spans="1:103">
      <c r="A431" s="242"/>
      <c r="N431" s="242"/>
      <c r="O431" s="242"/>
      <c r="CX431" s="20"/>
      <c r="CY431" s="20"/>
    </row>
    <row r="432" ht="26.25" customHeight="1" spans="1:103">
      <c r="A432" s="242"/>
      <c r="N432" s="242"/>
      <c r="O432" s="242"/>
      <c r="CX432" s="20"/>
      <c r="CY432" s="20"/>
    </row>
    <row r="433" ht="26.25" customHeight="1" spans="1:103">
      <c r="A433" s="242"/>
      <c r="N433" s="242"/>
      <c r="O433" s="242"/>
      <c r="CX433" s="20"/>
      <c r="CY433" s="20"/>
    </row>
    <row r="434" ht="26.25" customHeight="1" spans="1:103">
      <c r="A434" s="242"/>
      <c r="N434" s="242"/>
      <c r="O434" s="242"/>
      <c r="CX434" s="20"/>
      <c r="CY434" s="20"/>
    </row>
    <row r="435" ht="26.25" customHeight="1" spans="1:103">
      <c r="A435" s="242"/>
      <c r="N435" s="242"/>
      <c r="O435" s="242"/>
      <c r="CX435" s="20"/>
      <c r="CY435" s="20"/>
    </row>
    <row r="436" ht="26.25" customHeight="1" spans="1:103">
      <c r="A436" s="242"/>
      <c r="N436" s="242"/>
      <c r="O436" s="242"/>
      <c r="CX436" s="20"/>
      <c r="CY436" s="20"/>
    </row>
    <row r="437" ht="26.25" customHeight="1" spans="1:103">
      <c r="A437" s="242"/>
      <c r="N437" s="242"/>
      <c r="O437" s="242"/>
      <c r="CX437" s="20"/>
      <c r="CY437" s="20"/>
    </row>
    <row r="438" ht="26.25" customHeight="1" spans="1:103">
      <c r="A438" s="242"/>
      <c r="N438" s="242"/>
      <c r="O438" s="242"/>
      <c r="CX438" s="20"/>
      <c r="CY438" s="20"/>
    </row>
    <row r="439" ht="26.25" customHeight="1" spans="1:103">
      <c r="A439" s="242"/>
      <c r="N439" s="242"/>
      <c r="O439" s="242"/>
      <c r="CX439" s="20"/>
      <c r="CY439" s="20"/>
    </row>
    <row r="440" ht="26.25" customHeight="1" spans="1:103">
      <c r="A440" s="242"/>
      <c r="N440" s="242"/>
      <c r="O440" s="242"/>
      <c r="CX440" s="20"/>
      <c r="CY440" s="20"/>
    </row>
    <row r="441" ht="26.25" customHeight="1" spans="1:103">
      <c r="A441" s="242"/>
      <c r="N441" s="242"/>
      <c r="O441" s="242"/>
      <c r="CX441" s="20"/>
      <c r="CY441" s="20"/>
    </row>
    <row r="442" ht="26.25" customHeight="1" spans="1:103">
      <c r="A442" s="242"/>
      <c r="N442" s="242"/>
      <c r="O442" s="242"/>
      <c r="CX442" s="20"/>
      <c r="CY442" s="20"/>
    </row>
    <row r="443" ht="26.25" customHeight="1" spans="1:103">
      <c r="A443" s="242"/>
      <c r="N443" s="242"/>
      <c r="O443" s="242"/>
      <c r="CX443" s="20"/>
      <c r="CY443" s="20"/>
    </row>
    <row r="444" ht="26.25" customHeight="1" spans="1:103">
      <c r="A444" s="242"/>
      <c r="N444" s="242"/>
      <c r="O444" s="242"/>
      <c r="CX444" s="20"/>
      <c r="CY444" s="20"/>
    </row>
    <row r="445" ht="26.25" customHeight="1" spans="1:103">
      <c r="A445" s="242"/>
      <c r="N445" s="242"/>
      <c r="O445" s="242"/>
      <c r="CX445" s="20"/>
      <c r="CY445" s="20"/>
    </row>
    <row r="446" ht="26.25" customHeight="1" spans="1:103">
      <c r="A446" s="242"/>
      <c r="N446" s="242"/>
      <c r="O446" s="242"/>
      <c r="CX446" s="20"/>
      <c r="CY446" s="20"/>
    </row>
    <row r="447" ht="26.25" customHeight="1" spans="1:103">
      <c r="A447" s="242"/>
      <c r="N447" s="242"/>
      <c r="O447" s="242"/>
      <c r="CX447" s="20"/>
      <c r="CY447" s="20"/>
    </row>
    <row r="448" ht="26.25" customHeight="1" spans="1:103">
      <c r="A448" s="242"/>
      <c r="N448" s="242"/>
      <c r="O448" s="242"/>
      <c r="CX448" s="20"/>
      <c r="CY448" s="20"/>
    </row>
    <row r="449" ht="26.25" customHeight="1" spans="1:103">
      <c r="A449" s="242"/>
      <c r="N449" s="242"/>
      <c r="O449" s="242"/>
      <c r="CX449" s="20"/>
      <c r="CY449" s="20"/>
    </row>
    <row r="450" ht="26.25" customHeight="1" spans="1:103">
      <c r="A450" s="242"/>
      <c r="N450" s="242"/>
      <c r="O450" s="242"/>
      <c r="CX450" s="20"/>
      <c r="CY450" s="20"/>
    </row>
    <row r="451" ht="26.25" customHeight="1" spans="1:103">
      <c r="A451" s="242"/>
      <c r="N451" s="242"/>
      <c r="O451" s="242"/>
      <c r="CX451" s="20"/>
      <c r="CY451" s="20"/>
    </row>
    <row r="452" ht="26.25" customHeight="1" spans="1:103">
      <c r="A452" s="242"/>
      <c r="N452" s="242"/>
      <c r="O452" s="242"/>
      <c r="CX452" s="20"/>
      <c r="CY452" s="20"/>
    </row>
    <row r="453" ht="26.25" customHeight="1" spans="1:103">
      <c r="A453" s="242"/>
      <c r="N453" s="242"/>
      <c r="O453" s="242"/>
      <c r="CX453" s="20"/>
      <c r="CY453" s="20"/>
    </row>
    <row r="454" ht="26.25" customHeight="1" spans="1:103">
      <c r="A454" s="242"/>
      <c r="N454" s="242"/>
      <c r="O454" s="242"/>
      <c r="CX454" s="20"/>
      <c r="CY454" s="20"/>
    </row>
    <row r="455" ht="26.25" customHeight="1" spans="1:103">
      <c r="A455" s="242"/>
      <c r="N455" s="242"/>
      <c r="O455" s="242"/>
      <c r="CX455" s="20"/>
      <c r="CY455" s="20"/>
    </row>
    <row r="456" ht="26.25" customHeight="1" spans="1:103">
      <c r="A456" s="242"/>
      <c r="N456" s="242"/>
      <c r="O456" s="242"/>
      <c r="CX456" s="20"/>
      <c r="CY456" s="20"/>
    </row>
    <row r="457" ht="26.25" customHeight="1" spans="1:103">
      <c r="A457" s="242"/>
      <c r="N457" s="242"/>
      <c r="O457" s="242"/>
      <c r="CX457" s="20"/>
      <c r="CY457" s="20"/>
    </row>
    <row r="458" ht="26.25" customHeight="1" spans="1:103">
      <c r="A458" s="242"/>
      <c r="N458" s="242"/>
      <c r="O458" s="242"/>
      <c r="CX458" s="20"/>
      <c r="CY458" s="20"/>
    </row>
    <row r="459" ht="26.25" customHeight="1" spans="1:103">
      <c r="A459" s="242"/>
      <c r="N459" s="242"/>
      <c r="O459" s="242"/>
      <c r="CX459" s="20"/>
      <c r="CY459" s="20"/>
    </row>
    <row r="460" ht="26.25" customHeight="1" spans="1:103">
      <c r="A460" s="242"/>
      <c r="N460" s="242"/>
      <c r="O460" s="242"/>
      <c r="CX460" s="20"/>
      <c r="CY460" s="20"/>
    </row>
    <row r="461" ht="26.25" customHeight="1" spans="1:103">
      <c r="A461" s="242"/>
      <c r="N461" s="242"/>
      <c r="O461" s="242"/>
      <c r="CX461" s="20"/>
      <c r="CY461" s="20"/>
    </row>
    <row r="462" ht="26.25" customHeight="1" spans="1:103">
      <c r="A462" s="242"/>
      <c r="N462" s="242"/>
      <c r="O462" s="242"/>
      <c r="CX462" s="20"/>
      <c r="CY462" s="20"/>
    </row>
    <row r="463" ht="26.25" customHeight="1" spans="1:103">
      <c r="A463" s="242"/>
      <c r="N463" s="242"/>
      <c r="O463" s="242"/>
      <c r="CX463" s="20"/>
      <c r="CY463" s="20"/>
    </row>
    <row r="464" ht="26.25" customHeight="1" spans="1:103">
      <c r="A464" s="242"/>
      <c r="N464" s="242"/>
      <c r="O464" s="242"/>
      <c r="CX464" s="20"/>
      <c r="CY464" s="20"/>
    </row>
    <row r="465" ht="26.25" customHeight="1" spans="1:103">
      <c r="A465" s="242"/>
      <c r="N465" s="242"/>
      <c r="O465" s="242"/>
      <c r="CX465" s="20"/>
      <c r="CY465" s="20"/>
    </row>
    <row r="466" ht="26.25" customHeight="1" spans="1:103">
      <c r="A466" s="242"/>
      <c r="N466" s="242"/>
      <c r="O466" s="242"/>
      <c r="CX466" s="20"/>
      <c r="CY466" s="20"/>
    </row>
    <row r="467" ht="26.25" customHeight="1" spans="1:103">
      <c r="A467" s="242"/>
      <c r="N467" s="242"/>
      <c r="O467" s="242"/>
      <c r="CX467" s="20"/>
      <c r="CY467" s="20"/>
    </row>
    <row r="468" ht="26.25" customHeight="1" spans="1:103">
      <c r="A468" s="242"/>
      <c r="N468" s="242"/>
      <c r="O468" s="242"/>
      <c r="CX468" s="20"/>
      <c r="CY468" s="20"/>
    </row>
    <row r="469" ht="26.25" customHeight="1" spans="1:103">
      <c r="A469" s="242"/>
      <c r="N469" s="242"/>
      <c r="O469" s="242"/>
      <c r="CX469" s="20"/>
      <c r="CY469" s="20"/>
    </row>
    <row r="470" ht="26.25" customHeight="1" spans="1:103">
      <c r="A470" s="242"/>
      <c r="N470" s="242"/>
      <c r="O470" s="242"/>
      <c r="CX470" s="20"/>
      <c r="CY470" s="20"/>
    </row>
    <row r="471" ht="26.25" customHeight="1" spans="1:103">
      <c r="A471" s="242"/>
      <c r="N471" s="242"/>
      <c r="O471" s="242"/>
      <c r="CX471" s="20"/>
      <c r="CY471" s="20"/>
    </row>
    <row r="472" ht="26.25" customHeight="1" spans="1:103">
      <c r="A472" s="242"/>
      <c r="N472" s="242"/>
      <c r="O472" s="242"/>
      <c r="CX472" s="20"/>
      <c r="CY472" s="20"/>
    </row>
    <row r="473" ht="26.25" customHeight="1" spans="1:103">
      <c r="A473" s="242"/>
      <c r="N473" s="242"/>
      <c r="O473" s="242"/>
      <c r="CX473" s="20"/>
      <c r="CY473" s="20"/>
    </row>
    <row r="474" ht="26.25" customHeight="1" spans="1:103">
      <c r="A474" s="242"/>
      <c r="N474" s="242"/>
      <c r="O474" s="242"/>
      <c r="CX474" s="20"/>
      <c r="CY474" s="20"/>
    </row>
    <row r="475" ht="26.25" customHeight="1" spans="1:103">
      <c r="A475" s="242"/>
      <c r="N475" s="242"/>
      <c r="O475" s="242"/>
      <c r="CX475" s="20"/>
      <c r="CY475" s="20"/>
    </row>
    <row r="476" ht="26.25" customHeight="1" spans="1:103">
      <c r="A476" s="242"/>
      <c r="N476" s="242"/>
      <c r="O476" s="242"/>
      <c r="CX476" s="20"/>
      <c r="CY476" s="20"/>
    </row>
    <row r="477" ht="26.25" customHeight="1" spans="1:103">
      <c r="A477" s="242"/>
      <c r="N477" s="242"/>
      <c r="O477" s="242"/>
      <c r="CX477" s="20"/>
      <c r="CY477" s="20"/>
    </row>
    <row r="478" ht="26.25" customHeight="1" spans="1:103">
      <c r="A478" s="242"/>
      <c r="N478" s="242"/>
      <c r="O478" s="242"/>
      <c r="CX478" s="20"/>
      <c r="CY478" s="20"/>
    </row>
    <row r="479" ht="26.25" customHeight="1" spans="1:103">
      <c r="A479" s="242"/>
      <c r="N479" s="242"/>
      <c r="O479" s="242"/>
      <c r="CX479" s="20"/>
      <c r="CY479" s="20"/>
    </row>
    <row r="480" ht="26.25" customHeight="1" spans="1:103">
      <c r="A480" s="242"/>
      <c r="N480" s="242"/>
      <c r="O480" s="242"/>
      <c r="CX480" s="20"/>
      <c r="CY480" s="20"/>
    </row>
    <row r="481" ht="26.25" customHeight="1" spans="1:103">
      <c r="A481" s="242"/>
      <c r="N481" s="242"/>
      <c r="O481" s="242"/>
      <c r="CX481" s="20"/>
      <c r="CY481" s="20"/>
    </row>
    <row r="482" ht="26.25" customHeight="1" spans="1:103">
      <c r="A482" s="242"/>
      <c r="N482" s="242"/>
      <c r="O482" s="242"/>
      <c r="CX482" s="20"/>
      <c r="CY482" s="20"/>
    </row>
    <row r="483" ht="26.25" customHeight="1" spans="1:103">
      <c r="A483" s="242"/>
      <c r="N483" s="242"/>
      <c r="O483" s="242"/>
      <c r="CX483" s="20"/>
      <c r="CY483" s="20"/>
    </row>
    <row r="484" ht="26.25" customHeight="1" spans="1:103">
      <c r="N484" s="242"/>
      <c r="O484" s="242"/>
      <c r="CX484" s="20"/>
      <c r="CY484" s="20"/>
    </row>
    <row r="485" ht="26.25" customHeight="1" spans="1:103">
      <c r="N485" s="242"/>
      <c r="O485" s="242"/>
      <c r="CX485" s="20"/>
      <c r="CY485" s="20"/>
    </row>
    <row r="486" ht="26.25" customHeight="1" spans="1:103">
      <c r="N486" s="242"/>
      <c r="O486" s="242"/>
      <c r="CX486" s="20"/>
      <c r="CY486" s="20"/>
    </row>
    <row r="487" ht="26.25" customHeight="1" spans="1:103">
      <c r="N487" s="242"/>
      <c r="O487" s="242"/>
      <c r="CX487" s="20"/>
      <c r="CY487" s="20"/>
    </row>
    <row r="488" ht="26.25" customHeight="1" spans="1:103">
      <c r="N488" s="242"/>
      <c r="O488" s="242"/>
      <c r="CX488" s="20"/>
      <c r="CY488" s="20"/>
    </row>
    <row r="489" ht="26.25" customHeight="1" spans="1:103">
      <c r="N489" s="242"/>
      <c r="O489" s="242"/>
      <c r="CX489" s="20"/>
      <c r="CY489" s="20"/>
    </row>
    <row r="490" ht="26.25" customHeight="1" spans="1:103">
      <c r="N490" s="242"/>
      <c r="O490" s="242"/>
      <c r="CX490" s="20"/>
      <c r="CY490" s="20"/>
    </row>
    <row r="491" ht="26.25" customHeight="1" spans="1:103">
      <c r="N491" s="242"/>
      <c r="O491" s="242"/>
      <c r="CX491" s="20"/>
      <c r="CY491" s="20"/>
    </row>
    <row r="492" ht="26.25" customHeight="1" spans="1:103">
      <c r="N492" s="242"/>
      <c r="O492" s="242"/>
      <c r="CX492" s="20"/>
      <c r="CY492" s="20"/>
    </row>
    <row r="493" ht="26.25" customHeight="1" spans="1:103">
      <c r="N493" s="242"/>
      <c r="O493" s="242"/>
      <c r="CX493" s="20"/>
      <c r="CY493" s="20"/>
    </row>
    <row r="494" ht="26.25" customHeight="1" spans="1:103">
      <c r="N494" s="242"/>
      <c r="O494" s="242"/>
      <c r="CX494" s="20"/>
      <c r="CY494" s="20"/>
    </row>
    <row r="495" ht="26.25" customHeight="1" spans="1:103">
      <c r="N495" s="242"/>
      <c r="O495" s="242"/>
      <c r="CX495" s="20"/>
      <c r="CY495" s="20"/>
    </row>
    <row r="496" ht="26.25" customHeight="1" spans="1:103">
      <c r="N496" s="242"/>
      <c r="O496" s="242"/>
      <c r="CX496" s="20"/>
      <c r="CY496" s="20"/>
    </row>
    <row r="497" ht="26.25" customHeight="1" spans="14:103">
      <c r="N497" s="242"/>
      <c r="O497" s="242"/>
      <c r="CX497" s="20"/>
      <c r="CY497" s="20"/>
    </row>
    <row r="498" ht="26.25" customHeight="1" spans="14:103">
      <c r="N498" s="242"/>
      <c r="O498" s="242"/>
      <c r="CX498" s="20"/>
      <c r="CY498" s="20"/>
    </row>
    <row r="499" ht="26.25" customHeight="1" spans="14:103">
      <c r="N499" s="242"/>
      <c r="O499" s="242"/>
      <c r="CX499" s="20"/>
      <c r="CY499" s="20"/>
    </row>
    <row r="500" ht="26.25" customHeight="1" spans="14:103">
      <c r="N500" s="242"/>
      <c r="O500" s="242"/>
      <c r="CX500" s="20"/>
      <c r="CY500" s="20"/>
    </row>
    <row r="501" ht="26.25" customHeight="1" spans="14:103">
      <c r="N501" s="242"/>
      <c r="O501" s="242"/>
      <c r="CX501" s="20"/>
      <c r="CY501" s="20"/>
    </row>
    <row r="502" ht="26.25" customHeight="1" spans="14:103">
      <c r="CX502" s="20"/>
      <c r="CY502" s="20"/>
    </row>
    <row r="503" ht="26.25" customHeight="1" spans="14:103">
      <c r="CX503" s="20"/>
      <c r="CY503" s="20"/>
    </row>
    <row r="504" ht="26.25" customHeight="1" spans="14:103">
      <c r="CX504" s="20"/>
      <c r="CY504" s="20"/>
    </row>
    <row r="505" ht="26.25" customHeight="1" spans="14:103">
      <c r="CX505" s="20"/>
      <c r="CY505" s="20"/>
    </row>
    <row r="506" ht="26.25" customHeight="1" spans="14:103">
      <c r="CX506" s="20"/>
      <c r="CY506" s="20"/>
    </row>
    <row r="507" ht="26.25" customHeight="1" spans="14:103">
      <c r="CX507" s="20"/>
      <c r="CY507" s="20"/>
    </row>
    <row r="508" ht="26.25" customHeight="1" spans="14:103">
      <c r="CX508" s="20"/>
      <c r="CY508" s="20"/>
    </row>
    <row r="509" ht="26.25" customHeight="1" spans="14:103">
      <c r="CX509" s="20"/>
      <c r="CY509" s="20"/>
    </row>
    <row r="510" ht="26.25" customHeight="1" spans="14:103">
      <c r="CX510" s="20"/>
      <c r="CY510" s="20"/>
    </row>
    <row r="511" ht="26.25" customHeight="1" spans="14:103">
      <c r="CX511" s="20"/>
      <c r="CY511" s="20"/>
    </row>
    <row r="512" ht="26.25" customHeight="1" spans="14:103">
      <c r="CX512" s="20"/>
      <c r="CY512" s="20"/>
    </row>
    <row r="513" ht="26.25" customHeight="1" spans="102:103">
      <c r="CX513" s="20"/>
      <c r="CY513" s="20"/>
    </row>
    <row r="514" ht="26.25" customHeight="1" spans="102:103">
      <c r="CX514" s="20"/>
      <c r="CY514" s="20"/>
    </row>
    <row r="515" ht="26.25" customHeight="1" spans="102:103">
      <c r="CX515" s="20"/>
      <c r="CY515" s="20"/>
    </row>
    <row r="516" ht="26.25" customHeight="1" spans="102:103">
      <c r="CX516" s="20"/>
      <c r="CY516" s="20"/>
    </row>
    <row r="517" ht="26.25" customHeight="1" spans="102:103">
      <c r="CX517" s="20"/>
      <c r="CY517" s="20"/>
    </row>
    <row r="518" ht="26.25" customHeight="1" spans="102:103">
      <c r="CX518" s="20"/>
      <c r="CY518" s="20"/>
    </row>
    <row r="519" ht="26.25" customHeight="1" spans="102:103">
      <c r="CX519" s="20"/>
      <c r="CY519" s="20"/>
    </row>
    <row r="520" ht="26.25" customHeight="1" spans="102:103">
      <c r="CX520" s="20"/>
      <c r="CY520" s="20"/>
    </row>
    <row r="521" ht="26.25" customHeight="1" spans="102:103">
      <c r="CX521" s="20"/>
      <c r="CY521" s="20"/>
    </row>
    <row r="522" ht="26.25" customHeight="1" spans="102:103">
      <c r="CX522" s="20"/>
      <c r="CY522" s="20"/>
    </row>
    <row r="523" ht="26.25" customHeight="1" spans="102:103">
      <c r="CX523" s="20"/>
      <c r="CY523" s="20"/>
    </row>
    <row r="524" ht="26.25" customHeight="1" spans="102:103">
      <c r="CX524" s="20"/>
      <c r="CY524" s="20"/>
    </row>
    <row r="525" ht="26.25" customHeight="1" spans="102:103">
      <c r="CX525" s="20"/>
      <c r="CY525" s="20"/>
    </row>
    <row r="526" ht="26.25" customHeight="1" spans="102:103">
      <c r="CX526" s="20"/>
      <c r="CY526" s="20"/>
    </row>
    <row r="527" ht="26.25" customHeight="1" spans="102:103">
      <c r="CX527" s="20"/>
      <c r="CY527" s="20"/>
    </row>
    <row r="528" ht="26.25" customHeight="1" spans="102:103">
      <c r="CX528" s="20"/>
      <c r="CY528" s="20"/>
    </row>
    <row r="529" ht="26.25" customHeight="1" spans="102:103">
      <c r="CX529" s="20"/>
      <c r="CY529" s="20"/>
    </row>
    <row r="530" ht="26.25" customHeight="1" spans="102:103">
      <c r="CX530" s="20"/>
      <c r="CY530" s="20"/>
    </row>
    <row r="531" ht="26.25" customHeight="1" spans="102:103">
      <c r="CX531" s="20"/>
      <c r="CY531" s="20"/>
    </row>
    <row r="532" ht="26.25" customHeight="1" spans="102:103">
      <c r="CX532" s="20"/>
      <c r="CY532" s="20"/>
    </row>
    <row r="533" ht="26.25" customHeight="1" spans="102:103">
      <c r="CX533" s="20"/>
      <c r="CY533" s="20"/>
    </row>
    <row r="534" ht="26.25" customHeight="1" spans="102:103">
      <c r="CX534" s="20"/>
      <c r="CY534" s="20"/>
    </row>
    <row r="535" ht="26.25" customHeight="1" spans="102:103">
      <c r="CX535" s="20"/>
      <c r="CY535" s="20"/>
    </row>
    <row r="536" ht="26.25" customHeight="1" spans="102:103">
      <c r="CX536" s="20"/>
      <c r="CY536" s="20"/>
    </row>
    <row r="537" ht="26.25" customHeight="1" spans="102:103">
      <c r="CX537" s="20"/>
      <c r="CY537" s="20"/>
    </row>
    <row r="538" ht="26.25" customHeight="1" spans="102:103">
      <c r="CX538" s="20"/>
      <c r="CY538" s="20"/>
    </row>
    <row r="539" ht="26.25" customHeight="1" spans="102:103">
      <c r="CX539" s="20"/>
      <c r="CY539" s="20"/>
    </row>
    <row r="540" ht="26.25" customHeight="1" spans="102:103">
      <c r="CX540" s="20"/>
      <c r="CY540" s="20"/>
    </row>
    <row r="541" ht="26.25" customHeight="1" spans="102:103">
      <c r="CX541" s="20"/>
      <c r="CY541" s="20"/>
    </row>
    <row r="542" ht="26.25" customHeight="1" spans="102:103">
      <c r="CX542" s="20"/>
      <c r="CY542" s="20"/>
    </row>
    <row r="543" ht="26.25" customHeight="1" spans="102:103">
      <c r="CX543" s="20"/>
      <c r="CY543" s="20"/>
    </row>
    <row r="544" ht="26.25" customHeight="1" spans="102:103">
      <c r="CX544" s="20"/>
      <c r="CY544" s="20"/>
    </row>
    <row r="545" ht="26.25" customHeight="1" spans="102:103">
      <c r="CX545" s="20"/>
      <c r="CY545" s="20"/>
    </row>
    <row r="546" ht="26.25" customHeight="1" spans="102:103">
      <c r="CX546" s="20"/>
      <c r="CY546" s="20"/>
    </row>
    <row r="547" ht="26.25" customHeight="1" spans="102:103">
      <c r="CX547" s="20"/>
      <c r="CY547" s="20"/>
    </row>
    <row r="548" ht="26.25" customHeight="1" spans="102:103">
      <c r="CX548" s="20"/>
      <c r="CY548" s="20"/>
    </row>
    <row r="549" ht="26.25" customHeight="1" spans="102:103">
      <c r="CX549" s="20"/>
      <c r="CY549" s="20"/>
    </row>
    <row r="550" ht="26.25" customHeight="1" spans="102:103">
      <c r="CX550" s="20"/>
      <c r="CY550" s="20"/>
    </row>
    <row r="551" ht="26.25" customHeight="1" spans="102:103">
      <c r="CX551" s="20"/>
      <c r="CY551" s="20"/>
    </row>
    <row r="552" ht="26.25" customHeight="1" spans="102:103">
      <c r="CX552" s="20"/>
      <c r="CY552" s="20"/>
    </row>
    <row r="553" ht="26.25" customHeight="1" spans="102:103">
      <c r="CX553" s="20"/>
      <c r="CY553" s="20"/>
    </row>
    <row r="554" ht="26.25" customHeight="1" spans="102:103">
      <c r="CX554" s="20"/>
      <c r="CY554" s="20"/>
    </row>
    <row r="555" ht="26.25" customHeight="1" spans="102:103">
      <c r="CX555" s="20"/>
      <c r="CY555" s="20"/>
    </row>
    <row r="556" ht="26.25" customHeight="1" spans="102:103">
      <c r="CX556" s="20"/>
      <c r="CY556" s="20"/>
    </row>
    <row r="557" ht="26.25" customHeight="1" spans="102:103">
      <c r="CX557" s="20"/>
      <c r="CY557" s="20"/>
    </row>
    <row r="558" ht="26.25" customHeight="1" spans="102:103">
      <c r="CX558" s="20"/>
      <c r="CY558" s="20"/>
    </row>
    <row r="559" ht="26.25" customHeight="1" spans="102:103">
      <c r="CX559" s="20"/>
      <c r="CY559" s="20"/>
    </row>
    <row r="560" ht="26.25" customHeight="1" spans="102:103">
      <c r="CX560" s="20"/>
      <c r="CY560" s="20"/>
    </row>
    <row r="561" ht="26.25" customHeight="1" spans="102:103">
      <c r="CX561" s="20"/>
      <c r="CY561" s="20"/>
    </row>
    <row r="562" ht="26.25" customHeight="1" spans="102:103">
      <c r="CX562" s="20"/>
      <c r="CY562" s="20"/>
    </row>
    <row r="563" ht="26.25" customHeight="1" spans="102:103">
      <c r="CX563" s="20"/>
      <c r="CY563" s="20"/>
    </row>
    <row r="564" ht="26.25" customHeight="1" spans="102:103">
      <c r="CX564" s="20"/>
      <c r="CY564" s="20"/>
    </row>
    <row r="565" ht="26.25" customHeight="1" spans="102:103">
      <c r="CX565" s="20"/>
      <c r="CY565" s="20"/>
    </row>
    <row r="566" ht="26.25" customHeight="1" spans="102:103">
      <c r="CX566" s="20"/>
      <c r="CY566" s="20"/>
    </row>
    <row r="567" ht="26.25" customHeight="1" spans="102:103">
      <c r="CX567" s="20"/>
      <c r="CY567" s="20"/>
    </row>
    <row r="568" ht="26.25" customHeight="1" spans="102:103">
      <c r="CX568" s="20"/>
      <c r="CY568" s="20"/>
    </row>
    <row r="569" ht="26.25" customHeight="1" spans="102:103">
      <c r="CX569" s="20"/>
      <c r="CY569" s="20"/>
    </row>
    <row r="570" ht="26.25" customHeight="1" spans="102:103">
      <c r="CX570" s="20"/>
      <c r="CY570" s="20"/>
    </row>
    <row r="571" ht="26.25" customHeight="1" spans="102:103">
      <c r="CX571" s="20"/>
      <c r="CY571" s="20"/>
    </row>
    <row r="572" ht="26.25" customHeight="1" spans="102:103">
      <c r="CX572" s="20"/>
      <c r="CY572" s="20"/>
    </row>
    <row r="573" ht="26.25" customHeight="1" spans="102:103">
      <c r="CX573" s="20"/>
      <c r="CY573" s="20"/>
    </row>
    <row r="574" ht="26.25" customHeight="1" spans="102:103">
      <c r="CX574" s="20"/>
      <c r="CY574" s="20"/>
    </row>
    <row r="575" ht="26.25" customHeight="1" spans="102:103">
      <c r="CX575" s="20"/>
      <c r="CY575" s="20"/>
    </row>
    <row r="576" ht="26.25" customHeight="1" spans="102:103">
      <c r="CX576" s="20"/>
      <c r="CY576" s="20"/>
    </row>
    <row r="577" ht="26.25" customHeight="1" spans="102:103">
      <c r="CX577" s="20"/>
      <c r="CY577" s="20"/>
    </row>
    <row r="578" ht="26.25" customHeight="1" spans="102:103">
      <c r="CX578" s="20"/>
      <c r="CY578" s="20"/>
    </row>
    <row r="579" ht="26.25" customHeight="1" spans="102:103">
      <c r="CX579" s="20"/>
      <c r="CY579" s="20"/>
    </row>
    <row r="580" ht="26.25" customHeight="1" spans="102:103">
      <c r="CX580" s="20"/>
      <c r="CY580" s="20"/>
    </row>
    <row r="581" ht="26.25" customHeight="1" spans="102:103">
      <c r="CX581" s="20"/>
      <c r="CY581" s="20"/>
    </row>
    <row r="582" ht="26.25" customHeight="1" spans="102:103">
      <c r="CX582" s="20"/>
      <c r="CY582" s="20"/>
    </row>
    <row r="583" ht="26.25" customHeight="1" spans="102:103">
      <c r="CX583" s="20"/>
      <c r="CY583" s="20"/>
    </row>
    <row r="584" ht="26.25" customHeight="1" spans="102:103">
      <c r="CX584" s="20"/>
      <c r="CY584" s="20"/>
    </row>
    <row r="585" ht="26.25" customHeight="1" spans="102:103">
      <c r="CX585" s="20"/>
      <c r="CY585" s="20"/>
    </row>
    <row r="586" ht="26.25" customHeight="1" spans="102:103">
      <c r="CX586" s="20"/>
      <c r="CY586" s="20"/>
    </row>
    <row r="587" ht="26.25" customHeight="1" spans="102:103">
      <c r="CX587" s="20"/>
      <c r="CY587" s="20"/>
    </row>
    <row r="588" ht="26.25" customHeight="1" spans="102:103">
      <c r="CX588" s="20"/>
      <c r="CY588" s="20"/>
    </row>
    <row r="589" ht="26.25" customHeight="1" spans="102:103">
      <c r="CX589" s="20"/>
      <c r="CY589" s="20"/>
    </row>
    <row r="590" ht="26.25" customHeight="1" spans="102:103">
      <c r="CX590" s="20"/>
      <c r="CY590" s="20"/>
    </row>
    <row r="591" ht="26.25" customHeight="1" spans="102:103">
      <c r="CX591" s="20"/>
      <c r="CY591" s="20"/>
    </row>
    <row r="592" ht="26.25" customHeight="1" spans="102:103">
      <c r="CX592" s="20"/>
      <c r="CY592" s="20"/>
    </row>
    <row r="593" ht="26.25" customHeight="1" spans="102:103">
      <c r="CX593" s="20"/>
      <c r="CY593" s="20"/>
    </row>
    <row r="594" ht="26.25" customHeight="1" spans="102:103">
      <c r="CX594" s="20"/>
      <c r="CY594" s="20"/>
    </row>
    <row r="595" ht="26.25" customHeight="1" spans="102:103">
      <c r="CX595" s="20"/>
      <c r="CY595" s="20"/>
    </row>
    <row r="596" ht="26.25" customHeight="1" spans="102:103">
      <c r="CX596" s="20"/>
      <c r="CY596" s="20"/>
    </row>
    <row r="597" ht="26.25" customHeight="1" spans="102:103">
      <c r="CX597" s="20"/>
      <c r="CY597" s="20"/>
    </row>
    <row r="598" ht="26.25" customHeight="1" spans="102:103">
      <c r="CX598" s="20"/>
      <c r="CY598" s="20"/>
    </row>
    <row r="599" ht="26.25" customHeight="1" spans="102:103">
      <c r="CX599" s="20"/>
      <c r="CY599" s="20"/>
    </row>
    <row r="600" ht="26.25" customHeight="1" spans="102:103">
      <c r="CX600" s="20"/>
      <c r="CY600" s="20"/>
    </row>
    <row r="601" ht="26.25" customHeight="1" spans="102:103">
      <c r="CX601" s="20"/>
      <c r="CY601" s="20"/>
    </row>
    <row r="602" ht="26.25" customHeight="1" spans="102:103">
      <c r="CX602" s="20"/>
      <c r="CY602" s="20"/>
    </row>
    <row r="603" ht="26.25" customHeight="1" spans="102:103">
      <c r="CX603" s="20"/>
      <c r="CY603" s="20"/>
    </row>
    <row r="604" ht="26.25" customHeight="1" spans="102:103">
      <c r="CX604" s="20"/>
      <c r="CY604" s="20"/>
    </row>
    <row r="605" ht="26.25" customHeight="1" spans="102:103">
      <c r="CX605" s="20"/>
      <c r="CY605" s="20"/>
    </row>
    <row r="606" ht="26.25" customHeight="1" spans="102:103">
      <c r="CX606" s="20"/>
      <c r="CY606" s="20"/>
    </row>
    <row r="607" ht="26.25" customHeight="1" spans="102:103">
      <c r="CX607" s="20"/>
      <c r="CY607" s="20"/>
    </row>
    <row r="608" ht="26.25" customHeight="1" spans="102:103">
      <c r="CX608" s="20"/>
      <c r="CY608" s="20"/>
    </row>
    <row r="609" ht="26.25" customHeight="1" spans="102:103">
      <c r="CX609" s="20"/>
      <c r="CY609" s="20"/>
    </row>
    <row r="610" ht="26.25" customHeight="1" spans="102:103">
      <c r="CX610" s="20"/>
      <c r="CY610" s="20"/>
    </row>
    <row r="611" ht="26.25" customHeight="1" spans="102:103">
      <c r="CX611" s="20"/>
      <c r="CY611" s="20"/>
    </row>
    <row r="612" ht="26.25" customHeight="1" spans="102:103">
      <c r="CX612" s="20"/>
      <c r="CY612" s="20"/>
    </row>
    <row r="613" ht="26.25" customHeight="1" spans="102:103">
      <c r="CX613" s="20"/>
      <c r="CY613" s="20"/>
    </row>
    <row r="614" ht="26.25" customHeight="1" spans="102:103">
      <c r="CX614" s="20"/>
      <c r="CY614" s="20"/>
    </row>
    <row r="615" ht="26.25" customHeight="1" spans="102:103">
      <c r="CX615" s="20"/>
      <c r="CY615" s="20"/>
    </row>
    <row r="616" ht="26.25" customHeight="1" spans="102:103">
      <c r="CX616" s="20"/>
      <c r="CY616" s="20"/>
    </row>
    <row r="617" ht="26.25" customHeight="1" spans="102:103">
      <c r="CX617" s="20"/>
      <c r="CY617" s="20"/>
    </row>
    <row r="618" ht="26.25" customHeight="1" spans="102:103">
      <c r="CX618" s="20"/>
      <c r="CY618" s="20"/>
    </row>
    <row r="619" ht="26.25" customHeight="1" spans="102:103">
      <c r="CX619" s="20"/>
      <c r="CY619" s="20"/>
    </row>
    <row r="620" ht="26.25" customHeight="1" spans="102:103">
      <c r="CX620" s="20"/>
      <c r="CY620" s="20"/>
    </row>
    <row r="621" ht="26.25" customHeight="1" spans="102:103">
      <c r="CX621" s="20"/>
      <c r="CY621" s="20"/>
    </row>
    <row r="622" ht="26.25" customHeight="1" spans="102:103">
      <c r="CX622" s="20"/>
      <c r="CY622" s="20"/>
    </row>
    <row r="623" ht="26.25" customHeight="1" spans="102:103">
      <c r="CX623" s="20"/>
      <c r="CY623" s="20"/>
    </row>
    <row r="624" ht="26.25" customHeight="1" spans="102:103">
      <c r="CX624" s="20"/>
      <c r="CY624" s="20"/>
    </row>
    <row r="625" ht="26.25" customHeight="1" spans="102:103">
      <c r="CX625" s="20"/>
      <c r="CY625" s="20"/>
    </row>
    <row r="626" ht="26.25" customHeight="1" spans="102:103">
      <c r="CX626" s="20"/>
      <c r="CY626" s="20"/>
    </row>
    <row r="627" ht="26.25" customHeight="1" spans="102:103">
      <c r="CX627" s="20"/>
      <c r="CY627" s="20"/>
    </row>
    <row r="628" ht="26.25" customHeight="1" spans="102:103">
      <c r="CX628" s="20"/>
      <c r="CY628" s="20"/>
    </row>
    <row r="629" ht="26.25" customHeight="1" spans="102:103">
      <c r="CX629" s="20"/>
      <c r="CY629" s="20"/>
    </row>
    <row r="630" ht="26.25" customHeight="1" spans="102:103">
      <c r="CX630" s="20"/>
      <c r="CY630" s="20"/>
    </row>
    <row r="631" ht="26.25" customHeight="1" spans="102:103">
      <c r="CX631" s="20"/>
      <c r="CY631" s="20"/>
    </row>
    <row r="632" ht="26.25" customHeight="1" spans="102:103">
      <c r="CX632" s="20"/>
      <c r="CY632" s="20"/>
    </row>
    <row r="633" ht="26.25" customHeight="1" spans="102:103">
      <c r="CX633" s="20"/>
      <c r="CY633" s="20"/>
    </row>
    <row r="634" ht="26.25" customHeight="1" spans="102:103">
      <c r="CX634" s="20"/>
      <c r="CY634" s="20"/>
    </row>
    <row r="635" ht="26.25" customHeight="1" spans="102:103">
      <c r="CX635" s="20"/>
      <c r="CY635" s="20"/>
    </row>
    <row r="636" ht="26.25" customHeight="1" spans="102:103">
      <c r="CX636" s="20"/>
      <c r="CY636" s="20"/>
    </row>
    <row r="637" ht="26.25" customHeight="1" spans="102:103">
      <c r="CX637" s="20"/>
      <c r="CY637" s="20"/>
    </row>
    <row r="638" ht="26.25" customHeight="1" spans="102:103">
      <c r="CX638" s="20"/>
      <c r="CY638" s="20"/>
    </row>
    <row r="639" ht="26.25" customHeight="1" spans="102:103">
      <c r="CX639" s="20"/>
      <c r="CY639" s="20"/>
    </row>
    <row r="640" ht="26.25" customHeight="1" spans="102:103">
      <c r="CX640" s="20"/>
      <c r="CY640" s="20"/>
    </row>
    <row r="641" ht="26.25" customHeight="1" spans="102:103">
      <c r="CX641" s="20"/>
      <c r="CY641" s="20"/>
    </row>
    <row r="642" ht="26.25" customHeight="1" spans="102:103">
      <c r="CX642" s="20"/>
      <c r="CY642" s="20"/>
    </row>
    <row r="643" ht="26.25" customHeight="1" spans="102:103">
      <c r="CX643" s="20"/>
      <c r="CY643" s="20"/>
    </row>
    <row r="644" ht="26.25" customHeight="1" spans="102:103">
      <c r="CX644" s="20"/>
      <c r="CY644" s="20"/>
    </row>
    <row r="645" ht="26.25" customHeight="1" spans="102:103">
      <c r="CX645" s="20"/>
      <c r="CY645" s="20"/>
    </row>
    <row r="646" ht="26.25" customHeight="1" spans="102:103">
      <c r="CX646" s="20"/>
      <c r="CY646" s="20"/>
    </row>
    <row r="647" ht="26.25" customHeight="1" spans="102:103">
      <c r="CX647" s="20"/>
      <c r="CY647" s="20"/>
    </row>
    <row r="648" ht="26.25" customHeight="1" spans="102:103">
      <c r="CX648" s="20"/>
      <c r="CY648" s="20"/>
    </row>
    <row r="649" ht="26.25" customHeight="1" spans="102:103">
      <c r="CX649" s="20"/>
      <c r="CY649" s="20"/>
    </row>
    <row r="650" ht="26.25" customHeight="1" spans="102:103">
      <c r="CX650" s="20"/>
      <c r="CY650" s="20"/>
    </row>
    <row r="651" ht="26.25" customHeight="1" spans="102:103">
      <c r="CX651" s="20"/>
      <c r="CY651" s="20"/>
    </row>
    <row r="652" ht="26.25" customHeight="1" spans="102:103">
      <c r="CX652" s="20"/>
      <c r="CY652" s="20"/>
    </row>
    <row r="653" ht="26.25" customHeight="1" spans="102:103">
      <c r="CX653" s="20"/>
      <c r="CY653" s="20"/>
    </row>
    <row r="654" ht="26.25" customHeight="1" spans="102:103">
      <c r="CX654" s="20"/>
      <c r="CY654" s="20"/>
    </row>
    <row r="655" ht="26.25" customHeight="1" spans="102:103">
      <c r="CX655" s="20"/>
      <c r="CY655" s="20"/>
    </row>
    <row r="656" ht="26.25" customHeight="1" spans="102:103">
      <c r="CX656" s="20"/>
      <c r="CY656" s="20"/>
    </row>
    <row r="657" ht="26.25" customHeight="1" spans="102:103">
      <c r="CX657" s="20"/>
      <c r="CY657" s="20"/>
    </row>
    <row r="658" ht="26.25" customHeight="1" spans="102:103">
      <c r="CX658" s="20"/>
      <c r="CY658" s="20"/>
    </row>
    <row r="659" ht="26.25" customHeight="1" spans="102:103">
      <c r="CX659" s="20"/>
      <c r="CY659" s="20"/>
    </row>
    <row r="660" ht="26.25" customHeight="1" spans="102:103">
      <c r="CX660" s="20"/>
      <c r="CY660" s="20"/>
    </row>
    <row r="661" ht="26.25" customHeight="1" spans="102:103">
      <c r="CX661" s="20"/>
      <c r="CY661" s="20"/>
    </row>
    <row r="662" ht="26.25" customHeight="1" spans="102:103">
      <c r="CX662" s="20"/>
      <c r="CY662" s="20"/>
    </row>
    <row r="663" ht="26.25" customHeight="1" spans="102:103">
      <c r="CX663" s="20"/>
      <c r="CY663" s="20"/>
    </row>
    <row r="664" ht="26.25" customHeight="1" spans="102:103">
      <c r="CX664" s="20"/>
      <c r="CY664" s="20"/>
    </row>
    <row r="665" ht="26.25" customHeight="1" spans="102:103">
      <c r="CX665" s="20"/>
      <c r="CY665" s="20"/>
    </row>
    <row r="666" ht="26.25" customHeight="1" spans="102:103">
      <c r="CX666" s="20"/>
      <c r="CY666" s="20"/>
    </row>
    <row r="667" ht="26.25" customHeight="1" spans="102:103">
      <c r="CX667" s="20"/>
      <c r="CY667" s="20"/>
    </row>
    <row r="668" ht="26.25" customHeight="1" spans="102:103">
      <c r="CX668" s="20"/>
      <c r="CY668" s="20"/>
    </row>
    <row r="669" ht="26.25" customHeight="1" spans="102:103">
      <c r="CX669" s="20"/>
      <c r="CY669" s="20"/>
    </row>
    <row r="670" ht="26.25" customHeight="1" spans="102:103">
      <c r="CX670" s="20"/>
      <c r="CY670" s="20"/>
    </row>
    <row r="671" ht="26.25" customHeight="1" spans="102:103">
      <c r="CX671" s="20"/>
      <c r="CY671" s="20"/>
    </row>
    <row r="672" ht="26.25" customHeight="1" spans="102:103">
      <c r="CX672" s="20"/>
      <c r="CY672" s="20"/>
    </row>
    <row r="673" ht="26.25" customHeight="1" spans="102:103">
      <c r="CX673" s="20"/>
      <c r="CY673" s="20"/>
    </row>
    <row r="674" ht="26.25" customHeight="1" spans="102:103">
      <c r="CX674" s="20"/>
      <c r="CY674" s="20"/>
    </row>
    <row r="675" ht="26.25" customHeight="1" spans="102:103">
      <c r="CX675" s="20"/>
      <c r="CY675" s="20"/>
    </row>
    <row r="676" ht="26.25" customHeight="1" spans="102:103">
      <c r="CX676" s="20"/>
      <c r="CY676" s="20"/>
    </row>
    <row r="677" ht="26.25" customHeight="1" spans="102:103">
      <c r="CX677" s="20"/>
      <c r="CY677" s="20"/>
    </row>
    <row r="678" ht="26.25" customHeight="1" spans="102:103">
      <c r="CX678" s="20"/>
      <c r="CY678" s="20"/>
    </row>
    <row r="679" ht="26.25" customHeight="1" spans="102:103">
      <c r="CX679" s="20"/>
      <c r="CY679" s="20"/>
    </row>
    <row r="680" ht="26.25" customHeight="1" spans="102:103">
      <c r="CX680" s="20"/>
      <c r="CY680" s="20"/>
    </row>
    <row r="681" ht="26.25" customHeight="1" spans="102:103">
      <c r="CX681" s="20"/>
      <c r="CY681" s="20"/>
    </row>
    <row r="682" ht="26.25" customHeight="1" spans="102:103">
      <c r="CX682" s="20"/>
      <c r="CY682" s="20"/>
    </row>
    <row r="683" ht="26.25" customHeight="1" spans="102:103">
      <c r="CX683" s="20"/>
      <c r="CY683" s="20"/>
    </row>
    <row r="684" ht="26.25" customHeight="1" spans="102:103">
      <c r="CX684" s="20"/>
      <c r="CY684" s="20"/>
    </row>
    <row r="685" ht="26.25" customHeight="1" spans="102:103">
      <c r="CX685" s="20"/>
      <c r="CY685" s="20"/>
    </row>
    <row r="686" ht="26.25" customHeight="1" spans="102:103">
      <c r="CX686" s="20"/>
      <c r="CY686" s="20"/>
    </row>
    <row r="687" ht="26.25" customHeight="1" spans="102:103">
      <c r="CX687" s="20"/>
      <c r="CY687" s="20"/>
    </row>
    <row r="688" ht="26.25" customHeight="1" spans="102:103">
      <c r="CX688" s="20"/>
      <c r="CY688" s="20"/>
    </row>
    <row r="689" ht="26.25" customHeight="1" spans="102:103">
      <c r="CX689" s="20"/>
      <c r="CY689" s="20"/>
    </row>
    <row r="690" ht="26.25" customHeight="1" spans="102:103">
      <c r="CX690" s="20"/>
      <c r="CY690" s="20"/>
    </row>
    <row r="691" ht="26.25" customHeight="1" spans="102:103">
      <c r="CX691" s="20"/>
      <c r="CY691" s="20"/>
    </row>
    <row r="692" ht="26.25" customHeight="1" spans="102:103">
      <c r="CX692" s="20"/>
      <c r="CY692" s="20"/>
    </row>
    <row r="693" ht="26.25" customHeight="1" spans="102:103">
      <c r="CX693" s="20"/>
      <c r="CY693" s="20"/>
    </row>
    <row r="694" ht="26.25" customHeight="1" spans="102:103">
      <c r="CX694" s="20"/>
      <c r="CY694" s="20"/>
    </row>
    <row r="695" ht="26.25" customHeight="1" spans="102:103">
      <c r="CX695" s="20"/>
      <c r="CY695" s="20"/>
    </row>
    <row r="696" ht="26.25" customHeight="1" spans="102:103">
      <c r="CX696" s="20"/>
      <c r="CY696" s="20"/>
    </row>
    <row r="697" ht="26.25" customHeight="1" spans="102:103">
      <c r="CX697" s="20"/>
      <c r="CY697" s="20"/>
    </row>
    <row r="698" ht="26.25" customHeight="1" spans="102:103">
      <c r="CX698" s="20"/>
      <c r="CY698" s="20"/>
    </row>
    <row r="699" ht="26.25" customHeight="1" spans="102:103">
      <c r="CX699" s="20"/>
      <c r="CY699" s="20"/>
    </row>
    <row r="700" ht="26.25" customHeight="1" spans="102:103">
      <c r="CX700" s="20"/>
      <c r="CY700" s="20"/>
    </row>
    <row r="701" ht="26.25" customHeight="1" spans="102:103">
      <c r="CX701" s="20"/>
      <c r="CY701" s="20"/>
    </row>
    <row r="702" ht="26.25" customHeight="1" spans="102:103">
      <c r="CX702" s="20"/>
      <c r="CY702" s="20"/>
    </row>
    <row r="703" ht="26.25" customHeight="1" spans="102:103">
      <c r="CX703" s="20"/>
      <c r="CY703" s="20"/>
    </row>
    <row r="704" ht="26.25" customHeight="1" spans="102:103">
      <c r="CX704" s="20"/>
      <c r="CY704" s="20"/>
    </row>
    <row r="705" ht="26.25" customHeight="1" spans="102:103">
      <c r="CX705" s="20"/>
      <c r="CY705" s="20"/>
    </row>
    <row r="706" ht="26.25" customHeight="1" spans="102:103">
      <c r="CX706" s="20"/>
      <c r="CY706" s="20"/>
    </row>
    <row r="707" ht="26.25" customHeight="1" spans="102:103">
      <c r="CX707" s="20"/>
      <c r="CY707" s="20"/>
    </row>
    <row r="708" ht="26.25" customHeight="1" spans="102:103">
      <c r="CX708" s="20"/>
      <c r="CY708" s="20"/>
    </row>
    <row r="709" ht="26.25" customHeight="1" spans="102:103">
      <c r="CX709" s="20"/>
      <c r="CY709" s="20"/>
    </row>
    <row r="710" ht="26.25" customHeight="1" spans="102:103">
      <c r="CX710" s="20"/>
      <c r="CY710" s="20"/>
    </row>
    <row r="711" ht="26.25" customHeight="1" spans="102:103">
      <c r="CX711" s="20"/>
      <c r="CY711" s="20"/>
    </row>
    <row r="712" ht="26.25" customHeight="1" spans="102:103">
      <c r="CX712" s="20"/>
      <c r="CY712" s="20"/>
    </row>
    <row r="713" ht="26.25" customHeight="1" spans="102:103">
      <c r="CX713" s="20"/>
      <c r="CY713" s="20"/>
    </row>
    <row r="714" ht="26.25" customHeight="1" spans="102:103">
      <c r="CX714" s="20"/>
      <c r="CY714" s="20"/>
    </row>
    <row r="715" ht="26.25" customHeight="1" spans="102:103">
      <c r="CX715" s="20"/>
      <c r="CY715" s="20"/>
    </row>
    <row r="716" ht="26.25" customHeight="1" spans="102:103">
      <c r="CX716" s="20"/>
      <c r="CY716" s="20"/>
    </row>
    <row r="717" ht="26.25" customHeight="1" spans="102:103">
      <c r="CX717" s="20"/>
      <c r="CY717" s="20"/>
    </row>
    <row r="718" ht="26.25" customHeight="1" spans="102:103">
      <c r="CX718" s="20"/>
      <c r="CY718" s="20"/>
    </row>
    <row r="719" ht="26.25" customHeight="1" spans="102:103">
      <c r="CX719" s="20"/>
      <c r="CY719" s="20"/>
    </row>
    <row r="720" ht="26.25" customHeight="1" spans="102:103">
      <c r="CX720" s="20"/>
      <c r="CY720" s="20"/>
    </row>
    <row r="721" ht="26.25" customHeight="1" spans="102:103">
      <c r="CX721" s="20"/>
      <c r="CY721" s="20"/>
    </row>
    <row r="722" ht="26.25" customHeight="1" spans="102:103">
      <c r="CX722" s="20"/>
      <c r="CY722" s="20"/>
    </row>
    <row r="723" ht="26.25" customHeight="1" spans="102:103">
      <c r="CX723" s="20"/>
      <c r="CY723" s="20"/>
    </row>
    <row r="724" ht="26.25" customHeight="1" spans="102:103">
      <c r="CX724" s="20"/>
      <c r="CY724" s="20"/>
    </row>
    <row r="725" ht="26.25" customHeight="1" spans="102:103">
      <c r="CX725" s="20"/>
      <c r="CY725" s="20"/>
    </row>
    <row r="726" ht="26.25" customHeight="1" spans="102:103">
      <c r="CX726" s="20"/>
      <c r="CY726" s="20"/>
    </row>
    <row r="727" ht="26.25" customHeight="1" spans="102:103">
      <c r="CX727" s="20"/>
      <c r="CY727" s="20"/>
    </row>
    <row r="728" ht="26.25" customHeight="1" spans="102:103">
      <c r="CX728" s="20"/>
      <c r="CY728" s="20"/>
    </row>
    <row r="729" ht="26.25" customHeight="1" spans="102:103">
      <c r="CX729" s="20"/>
      <c r="CY729" s="20"/>
    </row>
    <row r="730" ht="26.25" customHeight="1" spans="102:103">
      <c r="CX730" s="20"/>
      <c r="CY730" s="20"/>
    </row>
    <row r="731" ht="26.25" customHeight="1" spans="102:103">
      <c r="CX731" s="20"/>
      <c r="CY731" s="20"/>
    </row>
    <row r="732" ht="26.25" customHeight="1" spans="102:103">
      <c r="CX732" s="20"/>
      <c r="CY732" s="20"/>
    </row>
    <row r="733" ht="26.25" customHeight="1" spans="102:103">
      <c r="CX733" s="20"/>
      <c r="CY733" s="20"/>
    </row>
    <row r="734" ht="26.25" customHeight="1" spans="102:103">
      <c r="CX734" s="20"/>
      <c r="CY734" s="20"/>
    </row>
    <row r="735" ht="26.25" customHeight="1" spans="102:103">
      <c r="CX735" s="20"/>
      <c r="CY735" s="20"/>
    </row>
    <row r="736" ht="26.25" customHeight="1" spans="102:103">
      <c r="CX736" s="20"/>
      <c r="CY736" s="20"/>
    </row>
    <row r="737" ht="26.25" customHeight="1" spans="102:103">
      <c r="CX737" s="20"/>
      <c r="CY737" s="20"/>
    </row>
    <row r="738" ht="26.25" customHeight="1" spans="102:103">
      <c r="CX738" s="20"/>
      <c r="CY738" s="20"/>
    </row>
    <row r="739" ht="26.25" customHeight="1" spans="102:103">
      <c r="CX739" s="20"/>
      <c r="CY739" s="20"/>
    </row>
    <row r="740" ht="26.25" customHeight="1" spans="102:103">
      <c r="CX740" s="20"/>
      <c r="CY740" s="20"/>
    </row>
    <row r="741" ht="26.25" customHeight="1" spans="102:103">
      <c r="CX741" s="20"/>
      <c r="CY741" s="20"/>
    </row>
    <row r="742" ht="26.25" customHeight="1" spans="102:103">
      <c r="CX742" s="20"/>
      <c r="CY742" s="20"/>
    </row>
    <row r="743" ht="26.25" customHeight="1" spans="102:103">
      <c r="CX743" s="20"/>
      <c r="CY743" s="20"/>
    </row>
    <row r="744" ht="26.25" customHeight="1" spans="102:103">
      <c r="CX744" s="20"/>
      <c r="CY744" s="20"/>
    </row>
    <row r="745" ht="26.25" customHeight="1" spans="102:103">
      <c r="CX745" s="20"/>
      <c r="CY745" s="20"/>
    </row>
    <row r="746" ht="26.25" customHeight="1" spans="102:103">
      <c r="CX746" s="20"/>
      <c r="CY746" s="20"/>
    </row>
    <row r="747" ht="26.25" customHeight="1" spans="102:103">
      <c r="CX747" s="20"/>
      <c r="CY747" s="20"/>
    </row>
    <row r="748" ht="26.25" customHeight="1" spans="102:103">
      <c r="CX748" s="20"/>
      <c r="CY748" s="20"/>
    </row>
    <row r="749" ht="26.25" customHeight="1" spans="102:103">
      <c r="CX749" s="20"/>
      <c r="CY749" s="20"/>
    </row>
    <row r="750" ht="26.25" customHeight="1" spans="102:103">
      <c r="CX750" s="20"/>
      <c r="CY750" s="20"/>
    </row>
    <row r="751" ht="26.25" customHeight="1" spans="102:103">
      <c r="CX751" s="20"/>
      <c r="CY751" s="20"/>
    </row>
    <row r="752" ht="26.25" customHeight="1" spans="102:103">
      <c r="CX752" s="20"/>
      <c r="CY752" s="20"/>
    </row>
    <row r="753" ht="26.25" customHeight="1" spans="102:103">
      <c r="CX753" s="20"/>
      <c r="CY753" s="20"/>
    </row>
    <row r="754" ht="26.25" customHeight="1" spans="102:103">
      <c r="CX754" s="20"/>
      <c r="CY754" s="20"/>
    </row>
    <row r="755" ht="26.25" customHeight="1" spans="102:103">
      <c r="CX755" s="20"/>
      <c r="CY755" s="20"/>
    </row>
    <row r="756" ht="26.25" customHeight="1" spans="102:103">
      <c r="CX756" s="20"/>
      <c r="CY756" s="20"/>
    </row>
    <row r="757" ht="26.25" customHeight="1" spans="102:103">
      <c r="CX757" s="20"/>
      <c r="CY757" s="20"/>
    </row>
    <row r="758" ht="26.25" customHeight="1" spans="102:103">
      <c r="CX758" s="20"/>
      <c r="CY758" s="20"/>
    </row>
    <row r="759" ht="26.25" customHeight="1" spans="102:103">
      <c r="CX759" s="20"/>
      <c r="CY759" s="20"/>
    </row>
    <row r="760" ht="26.25" customHeight="1" spans="102:103">
      <c r="CX760" s="20"/>
      <c r="CY760" s="20"/>
    </row>
    <row r="761" ht="26.25" customHeight="1" spans="102:103">
      <c r="CX761" s="20"/>
      <c r="CY761" s="20"/>
    </row>
    <row r="762" ht="26.25" customHeight="1" spans="102:103">
      <c r="CX762" s="20"/>
      <c r="CY762" s="20"/>
    </row>
    <row r="763" ht="26.25" customHeight="1" spans="102:103">
      <c r="CX763" s="20"/>
      <c r="CY763" s="20"/>
    </row>
    <row r="764" ht="26.25" customHeight="1" spans="102:103">
      <c r="CX764" s="20"/>
      <c r="CY764" s="20"/>
    </row>
    <row r="765" ht="26.25" customHeight="1" spans="102:103">
      <c r="CX765" s="20"/>
      <c r="CY765" s="20"/>
    </row>
    <row r="766" ht="26.25" customHeight="1" spans="102:103">
      <c r="CX766" s="20"/>
      <c r="CY766" s="20"/>
    </row>
    <row r="767" ht="26.25" customHeight="1" spans="102:103">
      <c r="CX767" s="20"/>
      <c r="CY767" s="20"/>
    </row>
    <row r="768" ht="26.25" customHeight="1" spans="102:103">
      <c r="CX768" s="20"/>
      <c r="CY768" s="20"/>
    </row>
    <row r="769" ht="26.25" customHeight="1" spans="102:103">
      <c r="CX769" s="20"/>
      <c r="CY769" s="20"/>
    </row>
    <row r="770" ht="26.25" customHeight="1" spans="102:103">
      <c r="CX770" s="20"/>
      <c r="CY770" s="20"/>
    </row>
    <row r="771" ht="26.25" customHeight="1" spans="102:103">
      <c r="CX771" s="20"/>
      <c r="CY771" s="20"/>
    </row>
    <row r="772" ht="26.25" customHeight="1" spans="102:103">
      <c r="CX772" s="20"/>
      <c r="CY772" s="20"/>
    </row>
    <row r="773" ht="26.25" customHeight="1" spans="102:103">
      <c r="CX773" s="20"/>
      <c r="CY773" s="20"/>
    </row>
    <row r="774" ht="26.25" customHeight="1" spans="102:103">
      <c r="CX774" s="20"/>
      <c r="CY774" s="20"/>
    </row>
    <row r="775" ht="26.25" customHeight="1" spans="102:103">
      <c r="CX775" s="20"/>
      <c r="CY775" s="20"/>
    </row>
    <row r="776" ht="26.25" customHeight="1" spans="102:103">
      <c r="CX776" s="20"/>
      <c r="CY776" s="20"/>
    </row>
    <row r="777" ht="26.25" customHeight="1" spans="102:103">
      <c r="CX777" s="20"/>
      <c r="CY777" s="20"/>
    </row>
    <row r="778" ht="26.25" customHeight="1" spans="102:103">
      <c r="CX778" s="20"/>
      <c r="CY778" s="20"/>
    </row>
    <row r="779" ht="26.25" customHeight="1" spans="102:103">
      <c r="CX779" s="20"/>
      <c r="CY779" s="20"/>
    </row>
    <row r="780" ht="26.25" customHeight="1" spans="102:103">
      <c r="CX780" s="20"/>
      <c r="CY780" s="20"/>
    </row>
    <row r="781" ht="26.25" customHeight="1" spans="102:103">
      <c r="CX781" s="20"/>
      <c r="CY781" s="20"/>
    </row>
    <row r="782" ht="26.25" customHeight="1" spans="102:103">
      <c r="CX782" s="20"/>
      <c r="CY782" s="20"/>
    </row>
    <row r="783" ht="26.25" customHeight="1" spans="102:103">
      <c r="CX783" s="20"/>
      <c r="CY783" s="20"/>
    </row>
    <row r="784" ht="26.25" customHeight="1" spans="102:103">
      <c r="CX784" s="20"/>
      <c r="CY784" s="20"/>
    </row>
    <row r="785" ht="26.25" customHeight="1" spans="102:103">
      <c r="CX785" s="20"/>
      <c r="CY785" s="20"/>
    </row>
    <row r="786" ht="26.25" customHeight="1" spans="102:103">
      <c r="CX786" s="20"/>
      <c r="CY786" s="20"/>
    </row>
    <row r="787" ht="26.25" customHeight="1" spans="102:103">
      <c r="CX787" s="20"/>
      <c r="CY787" s="20"/>
    </row>
    <row r="788" ht="26.25" customHeight="1" spans="102:103">
      <c r="CX788" s="20"/>
      <c r="CY788" s="20"/>
    </row>
    <row r="789" ht="26.25" customHeight="1" spans="102:103">
      <c r="CX789" s="20"/>
      <c r="CY789" s="20"/>
    </row>
    <row r="790" ht="26.25" customHeight="1" spans="102:103">
      <c r="CX790" s="20"/>
      <c r="CY790" s="20"/>
    </row>
    <row r="791" ht="26.25" customHeight="1" spans="102:103">
      <c r="CX791" s="20"/>
      <c r="CY791" s="20"/>
    </row>
    <row r="792" ht="26.25" customHeight="1" spans="102:103">
      <c r="CX792" s="20"/>
      <c r="CY792" s="20"/>
    </row>
    <row r="793" ht="26.25" customHeight="1" spans="102:103">
      <c r="CX793" s="20"/>
      <c r="CY793" s="20"/>
    </row>
    <row r="794" ht="26.25" customHeight="1" spans="102:103">
      <c r="CX794" s="20"/>
      <c r="CY794" s="20"/>
    </row>
    <row r="795" ht="26.25" customHeight="1" spans="102:103">
      <c r="CX795" s="20"/>
      <c r="CY795" s="20"/>
    </row>
    <row r="796" ht="26.25" customHeight="1" spans="102:103">
      <c r="CX796" s="20"/>
      <c r="CY796" s="20"/>
    </row>
    <row r="797" ht="26.25" customHeight="1" spans="102:103">
      <c r="CX797" s="20"/>
      <c r="CY797" s="20"/>
    </row>
    <row r="798" ht="26.25" customHeight="1" spans="102:103">
      <c r="CX798" s="20"/>
      <c r="CY798" s="20"/>
    </row>
    <row r="799" ht="26.25" customHeight="1" spans="102:103">
      <c r="CX799" s="20"/>
      <c r="CY799" s="20"/>
    </row>
    <row r="800" ht="26.25" customHeight="1" spans="102:103">
      <c r="CX800" s="20"/>
      <c r="CY800" s="20"/>
    </row>
    <row r="801" ht="26.25" customHeight="1" spans="102:103">
      <c r="CX801" s="20"/>
      <c r="CY801" s="20"/>
    </row>
    <row r="802" ht="26.25" customHeight="1" spans="102:103">
      <c r="CX802" s="20"/>
      <c r="CY802" s="20"/>
    </row>
    <row r="803" ht="26.25" customHeight="1" spans="102:103">
      <c r="CX803" s="20"/>
      <c r="CY803" s="20"/>
    </row>
    <row r="804" ht="26.25" customHeight="1" spans="102:103">
      <c r="CX804" s="20"/>
      <c r="CY804" s="20"/>
    </row>
    <row r="805" ht="26.25" customHeight="1" spans="102:103">
      <c r="CX805" s="20"/>
      <c r="CY805" s="20"/>
    </row>
    <row r="806" ht="26.25" customHeight="1" spans="102:103">
      <c r="CX806" s="20"/>
      <c r="CY806" s="20"/>
    </row>
    <row r="807" ht="26.25" customHeight="1" spans="102:103">
      <c r="CX807" s="20"/>
      <c r="CY807" s="20"/>
    </row>
    <row r="808" ht="26.25" customHeight="1" spans="102:103">
      <c r="CX808" s="20"/>
      <c r="CY808" s="20"/>
    </row>
    <row r="809" ht="26.25" customHeight="1" spans="102:103">
      <c r="CX809" s="20"/>
      <c r="CY809" s="20"/>
    </row>
    <row r="810" ht="26.25" customHeight="1" spans="102:103">
      <c r="CX810" s="20"/>
      <c r="CY810" s="20"/>
    </row>
    <row r="811" ht="26.25" customHeight="1" spans="102:103">
      <c r="CX811" s="20"/>
      <c r="CY811" s="20"/>
    </row>
    <row r="812" ht="26.25" customHeight="1" spans="102:103">
      <c r="CX812" s="20"/>
      <c r="CY812" s="20"/>
    </row>
    <row r="813" ht="26.25" customHeight="1" spans="102:103">
      <c r="CX813" s="20"/>
      <c r="CY813" s="20"/>
    </row>
    <row r="814" ht="26.25" customHeight="1" spans="102:103">
      <c r="CX814" s="20"/>
      <c r="CY814" s="20"/>
    </row>
    <row r="815" ht="26.25" customHeight="1" spans="102:103">
      <c r="CX815" s="20"/>
      <c r="CY815" s="20"/>
    </row>
    <row r="816" ht="26.25" customHeight="1" spans="102:103">
      <c r="CX816" s="20"/>
      <c r="CY816" s="20"/>
    </row>
    <row r="817" ht="26.25" customHeight="1" spans="102:103">
      <c r="CX817" s="20"/>
      <c r="CY817" s="20"/>
    </row>
    <row r="818" ht="26.25" customHeight="1" spans="102:103">
      <c r="CX818" s="20"/>
      <c r="CY818" s="20"/>
    </row>
    <row r="819" ht="26.25" customHeight="1" spans="102:103">
      <c r="CX819" s="20"/>
      <c r="CY819" s="20"/>
    </row>
    <row r="820" ht="26.25" customHeight="1" spans="102:103">
      <c r="CX820" s="20"/>
      <c r="CY820" s="20"/>
    </row>
    <row r="821" ht="26.25" customHeight="1" spans="102:103">
      <c r="CX821" s="20"/>
      <c r="CY821" s="20"/>
    </row>
    <row r="822" ht="26.25" customHeight="1" spans="102:103">
      <c r="CX822" s="20"/>
      <c r="CY822" s="20"/>
    </row>
    <row r="823" ht="26.25" customHeight="1" spans="102:103">
      <c r="CX823" s="20"/>
      <c r="CY823" s="20"/>
    </row>
    <row r="824" ht="26.25" customHeight="1" spans="102:103">
      <c r="CX824" s="20"/>
      <c r="CY824" s="20"/>
    </row>
    <row r="825" ht="26.25" customHeight="1" spans="102:103">
      <c r="CX825" s="20"/>
      <c r="CY825" s="20"/>
    </row>
    <row r="826" ht="26.25" customHeight="1" spans="102:103">
      <c r="CX826" s="20"/>
      <c r="CY826" s="20"/>
    </row>
    <row r="827" ht="26.25" customHeight="1" spans="102:103">
      <c r="CX827" s="20"/>
      <c r="CY827" s="20"/>
    </row>
    <row r="828" ht="26.25" customHeight="1" spans="102:103">
      <c r="CX828" s="20"/>
      <c r="CY828" s="20"/>
    </row>
    <row r="829" ht="26.25" customHeight="1" spans="102:103">
      <c r="CX829" s="20"/>
      <c r="CY829" s="20"/>
    </row>
    <row r="830" ht="26.25" customHeight="1" spans="102:103">
      <c r="CX830" s="20"/>
      <c r="CY830" s="20"/>
    </row>
    <row r="831" ht="26.25" customHeight="1" spans="102:103">
      <c r="CX831" s="20"/>
      <c r="CY831" s="20"/>
    </row>
    <row r="832" ht="26.25" customHeight="1" spans="102:103">
      <c r="CX832" s="20"/>
      <c r="CY832" s="20"/>
    </row>
    <row r="833" ht="26.25" customHeight="1" spans="102:103">
      <c r="CX833" s="20"/>
      <c r="CY833" s="20"/>
    </row>
    <row r="834" ht="26.25" customHeight="1" spans="102:103">
      <c r="CX834" s="20"/>
      <c r="CY834" s="20"/>
    </row>
    <row r="835" ht="26.25" customHeight="1" spans="102:103">
      <c r="CX835" s="20"/>
      <c r="CY835" s="20"/>
    </row>
    <row r="836" ht="26.25" customHeight="1" spans="102:103">
      <c r="CX836" s="20"/>
      <c r="CY836" s="20"/>
    </row>
    <row r="837" ht="26.25" customHeight="1" spans="102:103">
      <c r="CX837" s="20"/>
      <c r="CY837" s="20"/>
    </row>
    <row r="838" ht="26.25" customHeight="1" spans="102:103">
      <c r="CX838" s="20"/>
      <c r="CY838" s="20"/>
    </row>
    <row r="839" ht="26.25" customHeight="1" spans="102:103">
      <c r="CX839" s="20"/>
      <c r="CY839" s="20"/>
    </row>
    <row r="840" ht="26.25" customHeight="1" spans="102:103">
      <c r="CX840" s="20"/>
      <c r="CY840" s="20"/>
    </row>
    <row r="841" ht="26.25" customHeight="1" spans="102:103">
      <c r="CX841" s="20"/>
      <c r="CY841" s="20"/>
    </row>
    <row r="842" ht="26.25" customHeight="1" spans="102:103">
      <c r="CX842" s="20"/>
      <c r="CY842" s="20"/>
    </row>
    <row r="843" ht="26.25" customHeight="1" spans="102:103">
      <c r="CX843" s="20"/>
      <c r="CY843" s="20"/>
    </row>
    <row r="844" ht="26.25" customHeight="1" spans="102:103">
      <c r="CX844" s="20"/>
      <c r="CY844" s="20"/>
    </row>
    <row r="845" ht="26.25" customHeight="1" spans="102:103">
      <c r="CX845" s="20"/>
      <c r="CY845" s="20"/>
    </row>
    <row r="846" ht="26.25" customHeight="1" spans="102:103">
      <c r="CX846" s="20"/>
      <c r="CY846" s="20"/>
    </row>
    <row r="847" ht="26.25" customHeight="1" spans="102:103">
      <c r="CX847" s="20"/>
      <c r="CY847" s="20"/>
    </row>
    <row r="848" ht="26.25" customHeight="1" spans="102:103">
      <c r="CX848" s="20"/>
      <c r="CY848" s="20"/>
    </row>
    <row r="849" ht="26.25" customHeight="1" spans="102:103">
      <c r="CX849" s="20"/>
      <c r="CY849" s="20"/>
    </row>
    <row r="850" ht="26.25" customHeight="1" spans="102:103">
      <c r="CX850" s="20"/>
      <c r="CY850" s="20"/>
    </row>
    <row r="851" ht="26.25" customHeight="1" spans="102:103">
      <c r="CX851" s="20"/>
      <c r="CY851" s="20"/>
    </row>
    <row r="852" ht="26.25" customHeight="1" spans="102:103">
      <c r="CX852" s="20"/>
      <c r="CY852" s="20"/>
    </row>
    <row r="853" ht="26.25" customHeight="1" spans="102:103">
      <c r="CX853" s="20"/>
      <c r="CY853" s="20"/>
    </row>
    <row r="854" ht="26.25" customHeight="1" spans="102:103">
      <c r="CX854" s="20"/>
      <c r="CY854" s="20"/>
    </row>
    <row r="855" ht="26.25" customHeight="1" spans="102:103">
      <c r="CX855" s="20"/>
      <c r="CY855" s="20"/>
    </row>
    <row r="856" ht="26.25" customHeight="1" spans="102:103">
      <c r="CX856" s="20"/>
      <c r="CY856" s="20"/>
    </row>
    <row r="857" ht="26.25" customHeight="1" spans="102:103">
      <c r="CX857" s="20"/>
      <c r="CY857" s="20"/>
    </row>
    <row r="858" ht="26.25" customHeight="1" spans="102:103">
      <c r="CX858" s="20"/>
      <c r="CY858" s="20"/>
    </row>
    <row r="859" ht="26.25" customHeight="1" spans="102:103">
      <c r="CX859" s="20"/>
      <c r="CY859" s="20"/>
    </row>
    <row r="860" ht="26.25" customHeight="1" spans="102:103">
      <c r="CX860" s="20"/>
      <c r="CY860" s="20"/>
    </row>
    <row r="861" ht="26.25" customHeight="1" spans="102:103">
      <c r="CX861" s="20"/>
      <c r="CY861" s="20"/>
    </row>
    <row r="862" ht="26.25" customHeight="1" spans="102:103">
      <c r="CX862" s="20"/>
      <c r="CY862" s="20"/>
    </row>
    <row r="863" ht="26.25" customHeight="1" spans="102:103">
      <c r="CX863" s="20"/>
      <c r="CY863" s="20"/>
    </row>
    <row r="864" ht="26.25" customHeight="1" spans="102:103">
      <c r="CX864" s="20"/>
      <c r="CY864" s="20"/>
    </row>
    <row r="865" ht="26.25" customHeight="1" spans="102:103">
      <c r="CX865" s="20"/>
      <c r="CY865" s="20"/>
    </row>
    <row r="866" ht="26.25" customHeight="1" spans="102:103">
      <c r="CX866" s="20"/>
      <c r="CY866" s="20"/>
    </row>
    <row r="867" ht="26.25" customHeight="1" spans="102:103">
      <c r="CX867" s="20"/>
      <c r="CY867" s="20"/>
    </row>
    <row r="868" ht="26.25" customHeight="1" spans="102:103">
      <c r="CX868" s="20"/>
      <c r="CY868" s="20"/>
    </row>
    <row r="869" ht="26.25" customHeight="1" spans="102:103">
      <c r="CX869" s="20"/>
      <c r="CY869" s="20"/>
    </row>
    <row r="870" ht="26.25" customHeight="1" spans="102:103">
      <c r="CX870" s="20"/>
      <c r="CY870" s="20"/>
    </row>
    <row r="871" ht="26.25" customHeight="1" spans="102:103">
      <c r="CX871" s="20"/>
      <c r="CY871" s="20"/>
    </row>
    <row r="872" ht="26.25" customHeight="1" spans="102:103">
      <c r="CX872" s="20"/>
      <c r="CY872" s="20"/>
    </row>
    <row r="873" ht="26.25" customHeight="1" spans="102:103">
      <c r="CX873" s="20"/>
      <c r="CY873" s="20"/>
    </row>
    <row r="874" ht="26.25" customHeight="1" spans="102:103">
      <c r="CX874" s="20"/>
      <c r="CY874" s="20"/>
    </row>
    <row r="875" ht="26.25" customHeight="1" spans="102:103">
      <c r="CX875" s="20"/>
      <c r="CY875" s="20"/>
    </row>
    <row r="876" ht="26.25" customHeight="1" spans="102:103">
      <c r="CX876" s="20"/>
      <c r="CY876" s="20"/>
    </row>
    <row r="877" ht="26.25" customHeight="1" spans="102:103">
      <c r="CX877" s="20"/>
      <c r="CY877" s="20"/>
    </row>
    <row r="878" ht="26.25" customHeight="1" spans="102:103">
      <c r="CX878" s="20"/>
      <c r="CY878" s="20"/>
    </row>
    <row r="879" ht="26.25" customHeight="1" spans="102:103">
      <c r="CX879" s="20"/>
      <c r="CY879" s="20"/>
    </row>
    <row r="880" ht="26.25" customHeight="1" spans="102:103">
      <c r="CX880" s="20"/>
      <c r="CY880" s="20"/>
    </row>
    <row r="881" ht="26.25" customHeight="1" spans="102:103">
      <c r="CX881" s="20"/>
      <c r="CY881" s="20"/>
    </row>
    <row r="882" ht="26.25" customHeight="1" spans="102:103">
      <c r="CX882" s="20"/>
      <c r="CY882" s="20"/>
    </row>
    <row r="883" ht="26.25" customHeight="1" spans="102:103">
      <c r="CX883" s="20"/>
      <c r="CY883" s="20"/>
    </row>
    <row r="884" ht="26.25" customHeight="1" spans="102:103">
      <c r="CX884" s="20"/>
      <c r="CY884" s="20"/>
    </row>
    <row r="885" ht="26.25" customHeight="1" spans="102:103">
      <c r="CX885" s="20"/>
      <c r="CY885" s="20"/>
    </row>
    <row r="886" ht="26.25" customHeight="1" spans="102:103">
      <c r="CX886" s="20"/>
      <c r="CY886" s="20"/>
    </row>
    <row r="887" ht="26.25" customHeight="1" spans="102:103">
      <c r="CX887" s="20"/>
      <c r="CY887" s="20"/>
    </row>
    <row r="888" ht="26.25" customHeight="1" spans="102:103">
      <c r="CX888" s="20"/>
      <c r="CY888" s="20"/>
    </row>
    <row r="889" ht="26.25" customHeight="1" spans="102:103">
      <c r="CX889" s="20"/>
      <c r="CY889" s="20"/>
    </row>
    <row r="890" ht="26.25" customHeight="1" spans="102:103">
      <c r="CX890" s="20"/>
      <c r="CY890" s="20"/>
    </row>
    <row r="891" ht="26.25" customHeight="1" spans="102:103">
      <c r="CX891" s="20"/>
      <c r="CY891" s="20"/>
    </row>
    <row r="892" ht="26.25" customHeight="1" spans="102:103">
      <c r="CX892" s="20"/>
      <c r="CY892" s="20"/>
    </row>
    <row r="893" ht="26.25" customHeight="1" spans="102:103">
      <c r="CX893" s="20"/>
      <c r="CY893" s="20"/>
    </row>
    <row r="894" ht="26.25" customHeight="1" spans="102:103">
      <c r="CX894" s="20"/>
      <c r="CY894" s="20"/>
    </row>
    <row r="895" ht="26.25" customHeight="1" spans="102:103">
      <c r="CX895" s="20"/>
      <c r="CY895" s="20"/>
    </row>
    <row r="896" ht="26.25" customHeight="1" spans="102:103">
      <c r="CX896" s="20"/>
      <c r="CY896" s="20"/>
    </row>
    <row r="897" ht="26.25" customHeight="1" spans="102:103">
      <c r="CX897" s="20"/>
      <c r="CY897" s="20"/>
    </row>
    <row r="898" ht="26.25" customHeight="1" spans="102:103">
      <c r="CX898" s="20"/>
      <c r="CY898" s="20"/>
    </row>
    <row r="899" ht="26.25" customHeight="1" spans="102:103">
      <c r="CX899" s="20"/>
      <c r="CY899" s="20"/>
    </row>
    <row r="900" ht="26.25" customHeight="1" spans="102:103">
      <c r="CX900" s="20"/>
      <c r="CY900" s="20"/>
    </row>
    <row r="901" ht="26.25" customHeight="1" spans="102:103">
      <c r="CX901" s="20"/>
      <c r="CY901" s="20"/>
    </row>
    <row r="902" ht="26.25" customHeight="1" spans="102:103">
      <c r="CX902" s="20"/>
      <c r="CY902" s="20"/>
    </row>
    <row r="903" ht="26.25" customHeight="1" spans="102:103">
      <c r="CX903" s="20"/>
      <c r="CY903" s="20"/>
    </row>
    <row r="904" ht="26.25" customHeight="1" spans="102:103">
      <c r="CX904" s="20"/>
      <c r="CY904" s="20"/>
    </row>
    <row r="905" ht="26.25" customHeight="1" spans="102:103">
      <c r="CX905" s="20"/>
      <c r="CY905" s="20"/>
    </row>
    <row r="906" ht="26.25" customHeight="1" spans="102:103">
      <c r="CX906" s="20"/>
      <c r="CY906" s="20"/>
    </row>
    <row r="907" ht="26.25" customHeight="1" spans="102:103">
      <c r="CX907" s="20"/>
      <c r="CY907" s="20"/>
    </row>
    <row r="908" ht="26.25" customHeight="1" spans="102:103">
      <c r="CX908" s="20"/>
      <c r="CY908" s="20"/>
    </row>
    <row r="909" ht="26.25" customHeight="1" spans="102:103">
      <c r="CX909" s="20"/>
      <c r="CY909" s="20"/>
    </row>
    <row r="910" ht="26.25" customHeight="1" spans="102:103">
      <c r="CX910" s="20"/>
      <c r="CY910" s="20"/>
    </row>
    <row r="911" ht="26.25" customHeight="1" spans="102:103">
      <c r="CX911" s="20"/>
      <c r="CY911" s="20"/>
    </row>
    <row r="912" ht="26.25" customHeight="1" spans="102:103">
      <c r="CX912" s="20"/>
      <c r="CY912" s="20"/>
    </row>
    <row r="913" ht="26.25" customHeight="1" spans="102:103">
      <c r="CX913" s="20"/>
      <c r="CY913" s="20"/>
    </row>
    <row r="914" ht="26.25" customHeight="1" spans="102:103">
      <c r="CX914" s="20"/>
      <c r="CY914" s="20"/>
    </row>
    <row r="915" ht="26.25" customHeight="1" spans="102:103">
      <c r="CX915" s="20"/>
      <c r="CY915" s="20"/>
    </row>
    <row r="916" ht="26.25" customHeight="1" spans="102:103">
      <c r="CX916" s="20"/>
      <c r="CY916" s="20"/>
    </row>
    <row r="917" ht="26.25" customHeight="1" spans="102:103">
      <c r="CX917" s="20"/>
      <c r="CY917" s="20"/>
    </row>
    <row r="918" ht="26.25" customHeight="1" spans="102:103">
      <c r="CX918" s="20"/>
      <c r="CY918" s="20"/>
    </row>
    <row r="919" ht="26.25" customHeight="1" spans="102:103">
      <c r="CX919" s="20"/>
      <c r="CY919" s="20"/>
    </row>
    <row r="920" ht="26.25" customHeight="1" spans="102:103">
      <c r="CX920" s="20"/>
      <c r="CY920" s="20"/>
    </row>
    <row r="921" ht="26.25" customHeight="1" spans="102:103">
      <c r="CX921" s="20"/>
      <c r="CY921" s="20"/>
    </row>
    <row r="922" ht="26.25" customHeight="1" spans="102:103">
      <c r="CX922" s="20"/>
      <c r="CY922" s="20"/>
    </row>
    <row r="923" ht="26.25" customHeight="1" spans="102:103">
      <c r="CX923" s="20"/>
      <c r="CY923" s="20"/>
    </row>
    <row r="924" ht="26.25" customHeight="1" spans="102:103">
      <c r="CX924" s="20"/>
      <c r="CY924" s="20"/>
    </row>
    <row r="925" ht="26.25" customHeight="1" spans="102:103">
      <c r="CX925" s="20"/>
      <c r="CY925" s="20"/>
    </row>
    <row r="926" ht="26.25" customHeight="1" spans="102:103">
      <c r="CX926" s="20"/>
      <c r="CY926" s="20"/>
    </row>
    <row r="927" ht="26.25" customHeight="1" spans="102:103">
      <c r="CX927" s="20"/>
      <c r="CY927" s="20"/>
    </row>
    <row r="928" ht="26.25" customHeight="1" spans="102:103">
      <c r="CX928" s="20"/>
      <c r="CY928" s="20"/>
    </row>
    <row r="929" ht="26.25" customHeight="1" spans="102:103">
      <c r="CX929" s="20"/>
      <c r="CY929" s="20"/>
    </row>
    <row r="930" ht="26.25" customHeight="1" spans="102:103">
      <c r="CX930" s="20"/>
      <c r="CY930" s="20"/>
    </row>
    <row r="931" ht="26.25" customHeight="1" spans="102:103">
      <c r="CX931" s="20"/>
      <c r="CY931" s="20"/>
    </row>
    <row r="932" ht="26.25" customHeight="1" spans="102:103">
      <c r="CX932" s="20"/>
      <c r="CY932" s="20"/>
    </row>
    <row r="933" ht="26.25" customHeight="1" spans="102:103">
      <c r="CX933" s="20"/>
      <c r="CY933" s="20"/>
    </row>
    <row r="934" ht="26.25" customHeight="1" spans="102:103">
      <c r="CX934" s="20"/>
      <c r="CY934" s="20"/>
    </row>
    <row r="935" ht="26.25" customHeight="1" spans="102:103">
      <c r="CX935" s="20"/>
      <c r="CY935" s="20"/>
    </row>
    <row r="936" ht="26.25" customHeight="1" spans="102:103">
      <c r="CX936" s="20"/>
      <c r="CY936" s="20"/>
    </row>
    <row r="937" ht="26.25" customHeight="1" spans="102:103">
      <c r="CX937" s="20"/>
      <c r="CY937" s="20"/>
    </row>
    <row r="938" ht="26.25" customHeight="1" spans="102:103">
      <c r="CX938" s="20"/>
      <c r="CY938" s="20"/>
    </row>
    <row r="939" ht="26.25" customHeight="1" spans="102:103">
      <c r="CX939" s="20"/>
      <c r="CY939" s="20"/>
    </row>
    <row r="940" ht="26.25" customHeight="1" spans="102:103">
      <c r="CX940" s="20"/>
      <c r="CY940" s="20"/>
    </row>
    <row r="941" ht="26.25" customHeight="1" spans="102:103">
      <c r="CX941" s="20"/>
      <c r="CY941" s="20"/>
    </row>
    <row r="942" ht="26.25" customHeight="1" spans="102:103">
      <c r="CX942" s="20"/>
      <c r="CY942" s="20"/>
    </row>
    <row r="943" ht="26.25" customHeight="1" spans="102:103">
      <c r="CX943" s="20"/>
      <c r="CY943" s="20"/>
    </row>
    <row r="944" ht="26.25" customHeight="1" spans="102:103">
      <c r="CX944" s="20"/>
      <c r="CY944" s="20"/>
    </row>
    <row r="945" ht="26.25" customHeight="1" spans="102:103">
      <c r="CX945" s="20"/>
      <c r="CY945" s="20"/>
    </row>
    <row r="946" ht="26.25" customHeight="1" spans="102:103">
      <c r="CX946" s="20"/>
      <c r="CY946" s="20"/>
    </row>
    <row r="947" ht="26.25" customHeight="1" spans="102:103">
      <c r="CX947" s="20"/>
      <c r="CY947" s="20"/>
    </row>
    <row r="948" ht="26.25" customHeight="1" spans="102:103">
      <c r="CX948" s="20"/>
      <c r="CY948" s="20"/>
    </row>
    <row r="949" ht="26.25" customHeight="1" spans="102:103">
      <c r="CX949" s="20"/>
      <c r="CY949" s="20"/>
    </row>
    <row r="950" ht="26.25" customHeight="1" spans="102:103">
      <c r="CX950" s="20"/>
      <c r="CY950" s="20"/>
    </row>
    <row r="951" ht="26.25" customHeight="1" spans="102:103">
      <c r="CX951" s="20"/>
      <c r="CY951" s="20"/>
    </row>
    <row r="952" ht="26.25" customHeight="1" spans="102:103">
      <c r="CX952" s="20"/>
      <c r="CY952" s="20"/>
    </row>
    <row r="953" ht="26.25" customHeight="1" spans="102:103">
      <c r="CX953" s="20"/>
      <c r="CY953" s="20"/>
    </row>
    <row r="954" ht="26.25" customHeight="1" spans="102:103">
      <c r="CX954" s="20"/>
      <c r="CY954" s="20"/>
    </row>
    <row r="955" ht="26.25" customHeight="1" spans="102:103">
      <c r="CX955" s="20"/>
      <c r="CY955" s="20"/>
    </row>
    <row r="956" ht="26.25" customHeight="1" spans="102:103">
      <c r="CX956" s="20"/>
      <c r="CY956" s="20"/>
    </row>
    <row r="957" ht="26.25" customHeight="1" spans="102:103">
      <c r="CX957" s="20"/>
      <c r="CY957" s="20"/>
    </row>
    <row r="958" ht="26.25" customHeight="1" spans="102:103">
      <c r="CX958" s="20"/>
      <c r="CY958" s="20"/>
    </row>
    <row r="959" ht="26.25" customHeight="1" spans="102:103">
      <c r="CX959" s="20"/>
      <c r="CY959" s="20"/>
    </row>
    <row r="960" ht="26.25" customHeight="1" spans="102:103">
      <c r="CX960" s="20"/>
      <c r="CY960" s="20"/>
    </row>
    <row r="961" ht="26.25" customHeight="1" spans="102:103">
      <c r="CX961" s="20"/>
      <c r="CY961" s="20"/>
    </row>
    <row r="962" ht="26.25" customHeight="1" spans="102:103">
      <c r="CX962" s="20"/>
      <c r="CY962" s="20"/>
    </row>
    <row r="963" ht="26.25" customHeight="1" spans="102:103">
      <c r="CX963" s="20"/>
      <c r="CY963" s="20"/>
    </row>
    <row r="964" ht="26.25" customHeight="1" spans="102:103">
      <c r="CX964" s="20"/>
      <c r="CY964" s="20"/>
    </row>
    <row r="965" ht="26.25" customHeight="1" spans="102:103">
      <c r="CX965" s="20"/>
      <c r="CY965" s="20"/>
    </row>
    <row r="966" ht="26.25" customHeight="1" spans="102:103">
      <c r="CX966" s="20"/>
      <c r="CY966" s="20"/>
    </row>
    <row r="967" ht="26.25" customHeight="1" spans="102:103">
      <c r="CX967" s="20"/>
      <c r="CY967" s="20"/>
    </row>
    <row r="968" ht="26.25" customHeight="1" spans="102:103">
      <c r="CX968" s="20"/>
      <c r="CY968" s="20"/>
    </row>
    <row r="969" ht="26.25" customHeight="1" spans="102:103">
      <c r="CX969" s="20"/>
      <c r="CY969" s="20"/>
    </row>
    <row r="970" ht="26.25" customHeight="1" spans="102:103">
      <c r="CX970" s="20"/>
      <c r="CY970" s="20"/>
    </row>
    <row r="971" ht="26.25" customHeight="1" spans="102:103">
      <c r="CX971" s="20"/>
      <c r="CY971" s="20"/>
    </row>
    <row r="972" ht="26.25" customHeight="1" spans="102:103">
      <c r="CX972" s="20"/>
      <c r="CY972" s="20"/>
    </row>
    <row r="973" ht="26.25" customHeight="1" spans="102:103">
      <c r="CX973" s="20"/>
      <c r="CY973" s="20"/>
    </row>
    <row r="974" ht="26.25" customHeight="1" spans="102:103">
      <c r="CX974" s="20"/>
      <c r="CY974" s="20"/>
    </row>
    <row r="975" ht="26.25" customHeight="1" spans="102:103">
      <c r="CX975" s="20"/>
      <c r="CY975" s="20"/>
    </row>
    <row r="976" ht="26.25" customHeight="1" spans="102:103">
      <c r="CX976" s="20"/>
      <c r="CY976" s="20"/>
    </row>
    <row r="977" ht="26.25" customHeight="1" spans="102:103">
      <c r="CX977" s="20"/>
      <c r="CY977" s="20"/>
    </row>
    <row r="978" ht="26.25" customHeight="1" spans="102:103">
      <c r="CX978" s="20"/>
      <c r="CY978" s="20"/>
    </row>
    <row r="979" ht="26.25" customHeight="1" spans="102:103">
      <c r="CX979" s="20"/>
      <c r="CY979" s="20"/>
    </row>
    <row r="980" ht="26.25" customHeight="1" spans="102:103">
      <c r="CX980" s="20"/>
      <c r="CY980" s="20"/>
    </row>
    <row r="981" ht="26.25" customHeight="1" spans="102:103">
      <c r="CX981" s="20"/>
      <c r="CY981" s="20"/>
    </row>
    <row r="982" ht="26.25" customHeight="1" spans="102:103">
      <c r="CX982" s="20"/>
      <c r="CY982" s="20"/>
    </row>
    <row r="983" ht="26.25" customHeight="1" spans="102:103">
      <c r="CX983" s="20"/>
      <c r="CY983" s="20"/>
    </row>
    <row r="984" ht="26.25" customHeight="1" spans="102:103">
      <c r="CX984" s="20"/>
      <c r="CY984" s="20"/>
    </row>
    <row r="985" ht="26.25" customHeight="1" spans="102:103">
      <c r="CX985" s="20"/>
      <c r="CY985" s="20"/>
    </row>
    <row r="986" ht="26.25" customHeight="1" spans="102:103">
      <c r="CX986" s="20"/>
      <c r="CY986" s="20"/>
    </row>
    <row r="987" ht="26.25" customHeight="1" spans="102:103">
      <c r="CX987" s="20"/>
      <c r="CY987" s="20"/>
    </row>
    <row r="988" ht="26.25" customHeight="1" spans="102:103">
      <c r="CX988" s="20"/>
      <c r="CY988" s="20"/>
    </row>
    <row r="989" ht="26.25" customHeight="1" spans="102:103">
      <c r="CX989" s="20"/>
      <c r="CY989" s="20"/>
    </row>
    <row r="990" ht="26.25" customHeight="1" spans="102:103">
      <c r="CX990" s="20"/>
      <c r="CY990" s="20"/>
    </row>
    <row r="991" ht="26.25" customHeight="1" spans="102:103">
      <c r="CX991" s="20"/>
      <c r="CY991" s="20"/>
    </row>
    <row r="992" ht="26.25" customHeight="1" spans="102:103">
      <c r="CX992" s="20"/>
      <c r="CY992" s="20"/>
    </row>
    <row r="993" ht="26.25" customHeight="1" spans="102:103">
      <c r="CX993" s="20"/>
      <c r="CY993" s="20"/>
    </row>
    <row r="994" ht="26.25" customHeight="1" spans="102:103">
      <c r="CX994" s="20"/>
      <c r="CY994" s="20"/>
    </row>
    <row r="995" ht="26.25" customHeight="1" spans="102:103">
      <c r="CX995" s="20"/>
      <c r="CY995" s="20"/>
    </row>
    <row r="996" ht="26.25" customHeight="1" spans="102:103">
      <c r="CX996" s="20"/>
      <c r="CY996" s="20"/>
    </row>
    <row r="997" ht="26.25" customHeight="1" spans="102:103">
      <c r="CX997" s="20"/>
      <c r="CY997" s="20"/>
    </row>
    <row r="998" ht="26.25" customHeight="1" spans="102:103">
      <c r="CX998" s="20"/>
      <c r="CY998" s="20"/>
    </row>
    <row r="999" ht="26.25" customHeight="1" spans="102:103">
      <c r="CX999" s="20"/>
      <c r="CY999" s="20"/>
    </row>
    <row r="1000" ht="26.25" customHeight="1" spans="102:103">
      <c r="CX1000" s="20"/>
      <c r="CY1000" s="20"/>
    </row>
    <row r="1001" ht="26.25" customHeight="1" spans="102:103">
      <c r="CX1001" s="20"/>
      <c r="CY1001" s="20"/>
    </row>
    <row r="1002" ht="26.25" customHeight="1" spans="102:103">
      <c r="CX1002" s="20"/>
      <c r="CY1002" s="20"/>
    </row>
    <row r="1003" ht="26.25" customHeight="1" spans="102:103">
      <c r="CX1003" s="20"/>
      <c r="CY1003" s="20"/>
    </row>
    <row r="1004" ht="26.25" customHeight="1" spans="102:103">
      <c r="CX1004" s="20"/>
      <c r="CY1004" s="20"/>
    </row>
    <row r="1005" ht="26.25" customHeight="1" spans="102:103">
      <c r="CX1005" s="20"/>
      <c r="CY1005" s="20"/>
    </row>
    <row r="1006" ht="26.25" customHeight="1" spans="102:103">
      <c r="CX1006" s="20"/>
      <c r="CY1006" s="20"/>
    </row>
    <row r="1007" ht="26.25" customHeight="1" spans="102:103">
      <c r="CX1007" s="20"/>
      <c r="CY1007" s="20"/>
    </row>
    <row r="1008" ht="26.25" customHeight="1" spans="102:103">
      <c r="CX1008" s="20"/>
      <c r="CY1008" s="20"/>
    </row>
    <row r="1009" ht="26.25" customHeight="1" spans="102:103">
      <c r="CX1009" s="20"/>
      <c r="CY1009" s="20"/>
    </row>
    <row r="1010" ht="26.25" customHeight="1" spans="102:103">
      <c r="CX1010" s="20"/>
      <c r="CY1010" s="20"/>
    </row>
    <row r="1011" ht="26.25" customHeight="1" spans="102:103">
      <c r="CX1011" s="20"/>
      <c r="CY1011" s="20"/>
    </row>
    <row r="1012" ht="26.25" customHeight="1" spans="102:103">
      <c r="CX1012" s="20"/>
      <c r="CY1012" s="20"/>
    </row>
    <row r="1013" ht="26.25" customHeight="1" spans="102:103">
      <c r="CX1013" s="20"/>
      <c r="CY1013" s="20"/>
    </row>
    <row r="1014" ht="26.25" customHeight="1" spans="102:103">
      <c r="CX1014" s="20"/>
      <c r="CY1014" s="20"/>
    </row>
    <row r="1015" ht="26.25" customHeight="1" spans="102:103">
      <c r="CX1015" s="20"/>
      <c r="CY1015" s="20"/>
    </row>
    <row r="1016" ht="26.25" customHeight="1" spans="102:103">
      <c r="CX1016" s="20"/>
      <c r="CY1016" s="20"/>
    </row>
    <row r="1017" ht="26.25" customHeight="1" spans="102:103">
      <c r="CX1017" s="20"/>
      <c r="CY1017" s="20"/>
    </row>
    <row r="1018" ht="26.25" customHeight="1" spans="102:103">
      <c r="CX1018" s="20"/>
      <c r="CY1018" s="20"/>
    </row>
    <row r="1019" ht="26.25" customHeight="1" spans="102:103">
      <c r="CX1019" s="20"/>
      <c r="CY1019" s="20"/>
    </row>
    <row r="1020" ht="26.25" customHeight="1" spans="102:103">
      <c r="CX1020" s="20"/>
      <c r="CY1020" s="20"/>
    </row>
    <row r="1021" ht="26.25" customHeight="1" spans="102:103">
      <c r="CX1021" s="20"/>
      <c r="CY1021" s="20"/>
    </row>
    <row r="1022" ht="26.25" customHeight="1" spans="102:103">
      <c r="CX1022" s="20"/>
      <c r="CY1022" s="20"/>
    </row>
    <row r="1023" ht="26.25" customHeight="1" spans="102:103">
      <c r="CX1023" s="20"/>
      <c r="CY1023" s="20"/>
    </row>
    <row r="1024" ht="26.25" customHeight="1" spans="102:103">
      <c r="CX1024" s="20"/>
      <c r="CY1024" s="20"/>
    </row>
    <row r="1025" ht="26.25" customHeight="1" spans="102:103">
      <c r="CX1025" s="20"/>
      <c r="CY1025" s="20"/>
    </row>
    <row r="1026" ht="26.25" customHeight="1" spans="102:103">
      <c r="CX1026" s="20"/>
      <c r="CY1026" s="20"/>
    </row>
    <row r="1027" ht="26.25" customHeight="1" spans="102:103">
      <c r="CX1027" s="20"/>
      <c r="CY1027" s="20"/>
    </row>
    <row r="1028" ht="26.25" customHeight="1" spans="102:103">
      <c r="CX1028" s="20"/>
      <c r="CY1028" s="20"/>
    </row>
    <row r="1029" ht="26.25" customHeight="1" spans="102:103">
      <c r="CX1029" s="20"/>
      <c r="CY1029" s="20"/>
    </row>
    <row r="1030" ht="26.25" customHeight="1" spans="102:103">
      <c r="CX1030" s="20"/>
      <c r="CY1030" s="20"/>
    </row>
    <row r="1031" ht="26.25" customHeight="1" spans="102:103">
      <c r="CX1031" s="20"/>
      <c r="CY1031" s="20"/>
    </row>
    <row r="1032" ht="26.25" customHeight="1" spans="102:103">
      <c r="CX1032" s="20"/>
      <c r="CY1032" s="20"/>
    </row>
    <row r="1033" ht="26.25" customHeight="1" spans="102:103">
      <c r="CX1033" s="20"/>
      <c r="CY1033" s="20"/>
    </row>
    <row r="1034" ht="26.25" customHeight="1" spans="102:103">
      <c r="CX1034" s="20"/>
      <c r="CY1034" s="20"/>
    </row>
    <row r="1035" ht="26.25" customHeight="1" spans="102:103">
      <c r="CX1035" s="20"/>
      <c r="CY1035" s="20"/>
    </row>
    <row r="1036" ht="26.25" customHeight="1" spans="102:103">
      <c r="CX1036" s="20"/>
      <c r="CY1036" s="20"/>
    </row>
    <row r="1037" ht="26.25" customHeight="1" spans="102:103">
      <c r="CX1037" s="20"/>
      <c r="CY1037" s="20"/>
    </row>
    <row r="1038" ht="26.25" customHeight="1" spans="102:103">
      <c r="CX1038" s="20"/>
      <c r="CY1038" s="20"/>
    </row>
    <row r="1039" ht="26.25" customHeight="1" spans="102:103">
      <c r="CX1039" s="20"/>
      <c r="CY1039" s="20"/>
    </row>
    <row r="1040" ht="26.25" customHeight="1" spans="102:103">
      <c r="CX1040" s="20"/>
      <c r="CY1040" s="20"/>
    </row>
    <row r="1041" ht="26.25" customHeight="1" spans="102:103">
      <c r="CX1041" s="20"/>
      <c r="CY1041" s="20"/>
    </row>
    <row r="1042" ht="26.25" customHeight="1" spans="102:103">
      <c r="CX1042" s="20"/>
      <c r="CY1042" s="20"/>
    </row>
    <row r="1043" ht="26.25" customHeight="1" spans="102:103">
      <c r="CX1043" s="20"/>
      <c r="CY1043" s="20"/>
    </row>
    <row r="1044" ht="26.25" customHeight="1" spans="102:103">
      <c r="CX1044" s="20"/>
      <c r="CY1044" s="20"/>
    </row>
    <row r="1045" ht="26.25" customHeight="1" spans="102:103">
      <c r="CX1045" s="20"/>
      <c r="CY1045" s="20"/>
    </row>
    <row r="1046" ht="26.25" customHeight="1" spans="102:103">
      <c r="CX1046" s="20"/>
      <c r="CY1046" s="20"/>
    </row>
    <row r="1047" ht="26.25" customHeight="1" spans="102:103">
      <c r="CX1047" s="20"/>
      <c r="CY1047" s="20"/>
    </row>
    <row r="1048" ht="26.25" customHeight="1" spans="102:103">
      <c r="CX1048" s="20"/>
      <c r="CY1048" s="20"/>
    </row>
    <row r="1049" ht="26.25" customHeight="1" spans="102:103">
      <c r="CX1049" s="20"/>
      <c r="CY1049" s="20"/>
    </row>
    <row r="1050" ht="26.25" customHeight="1" spans="102:103">
      <c r="CX1050" s="20"/>
      <c r="CY1050" s="20"/>
    </row>
    <row r="1051" ht="26.25" customHeight="1" spans="102:103">
      <c r="CX1051" s="20"/>
      <c r="CY1051" s="20"/>
    </row>
    <row r="1052" ht="26.25" customHeight="1" spans="102:103">
      <c r="CX1052" s="20"/>
      <c r="CY1052" s="20"/>
    </row>
    <row r="1053" ht="26.25" customHeight="1" spans="102:103">
      <c r="CX1053" s="20"/>
      <c r="CY1053" s="20"/>
    </row>
    <row r="1054" ht="26.25" customHeight="1" spans="102:103">
      <c r="CX1054" s="20"/>
      <c r="CY1054" s="20"/>
    </row>
    <row r="1055" ht="26.25" customHeight="1" spans="102:103">
      <c r="CX1055" s="20"/>
      <c r="CY1055" s="20"/>
    </row>
    <row r="1056" ht="26.25" customHeight="1" spans="102:103">
      <c r="CX1056" s="20"/>
      <c r="CY1056" s="20"/>
    </row>
    <row r="1057" ht="26.25" customHeight="1" spans="102:103">
      <c r="CX1057" s="20"/>
      <c r="CY1057" s="20"/>
    </row>
    <row r="1058" ht="26.25" customHeight="1" spans="102:103">
      <c r="CX1058" s="20"/>
      <c r="CY1058" s="20"/>
    </row>
    <row r="1059" ht="26.25" customHeight="1" spans="102:103">
      <c r="CX1059" s="20"/>
      <c r="CY1059" s="20"/>
    </row>
    <row r="1060" ht="26.25" customHeight="1" spans="102:103">
      <c r="CX1060" s="20"/>
      <c r="CY1060" s="20"/>
    </row>
    <row r="1061" ht="26.25" customHeight="1" spans="102:103">
      <c r="CX1061" s="20"/>
      <c r="CY1061" s="20"/>
    </row>
    <row r="1062" ht="26.25" customHeight="1" spans="102:103">
      <c r="CX1062" s="20"/>
      <c r="CY1062" s="20"/>
    </row>
    <row r="1063" ht="26.25" customHeight="1" spans="102:103">
      <c r="CX1063" s="20"/>
      <c r="CY1063" s="20"/>
    </row>
    <row r="1064" ht="26.25" customHeight="1" spans="102:103">
      <c r="CX1064" s="20"/>
      <c r="CY1064" s="20"/>
    </row>
    <row r="1065" ht="26.25" customHeight="1" spans="102:103">
      <c r="CX1065" s="20"/>
      <c r="CY1065" s="20"/>
    </row>
    <row r="1066" ht="26.25" customHeight="1" spans="102:103">
      <c r="CX1066" s="20"/>
      <c r="CY1066" s="20"/>
    </row>
    <row r="1067" ht="26.25" customHeight="1" spans="102:103">
      <c r="CX1067" s="20"/>
      <c r="CY1067" s="20"/>
    </row>
    <row r="1068" ht="26.25" customHeight="1" spans="102:103">
      <c r="CX1068" s="20"/>
      <c r="CY1068" s="20"/>
    </row>
    <row r="1069" ht="26.25" customHeight="1" spans="102:103">
      <c r="CX1069" s="20"/>
      <c r="CY1069" s="20"/>
    </row>
    <row r="1070" ht="26.25" customHeight="1" spans="102:103">
      <c r="CX1070" s="20"/>
      <c r="CY1070" s="20"/>
    </row>
    <row r="1071" ht="26.25" customHeight="1" spans="102:103">
      <c r="CX1071" s="20"/>
      <c r="CY1071" s="20"/>
    </row>
    <row r="1072" ht="26.25" customHeight="1" spans="102:103">
      <c r="CX1072" s="20"/>
      <c r="CY1072" s="20"/>
    </row>
    <row r="1073" ht="26.25" customHeight="1" spans="102:103">
      <c r="CX1073" s="20"/>
      <c r="CY1073" s="20"/>
    </row>
    <row r="1074" ht="26.25" customHeight="1" spans="102:103">
      <c r="CX1074" s="20"/>
      <c r="CY1074" s="20"/>
    </row>
    <row r="1075" ht="26.25" customHeight="1" spans="102:103">
      <c r="CX1075" s="20"/>
      <c r="CY1075" s="20"/>
    </row>
    <row r="1076" ht="26.25" customHeight="1" spans="102:103">
      <c r="CX1076" s="20"/>
      <c r="CY1076" s="20"/>
    </row>
    <row r="1077" ht="26.25" customHeight="1" spans="102:103">
      <c r="CX1077" s="20"/>
      <c r="CY1077" s="20"/>
    </row>
    <row r="1078" ht="26.25" customHeight="1" spans="102:103">
      <c r="CX1078" s="20"/>
      <c r="CY1078" s="20"/>
    </row>
    <row r="1079" ht="26.25" customHeight="1" spans="102:103">
      <c r="CX1079" s="20"/>
      <c r="CY1079" s="20"/>
    </row>
    <row r="1080" ht="26.25" customHeight="1" spans="102:103">
      <c r="CX1080" s="20"/>
      <c r="CY1080" s="20"/>
    </row>
    <row r="1081" ht="26.25" customHeight="1" spans="102:103">
      <c r="CX1081" s="20"/>
      <c r="CY1081" s="20"/>
    </row>
    <row r="1082" ht="26.25" customHeight="1" spans="102:103">
      <c r="CX1082" s="20"/>
      <c r="CY1082" s="20"/>
    </row>
    <row r="1083" ht="26.25" customHeight="1" spans="102:103">
      <c r="CX1083" s="20"/>
      <c r="CY1083" s="20"/>
    </row>
    <row r="1084" ht="26.25" customHeight="1" spans="102:103">
      <c r="CX1084" s="20"/>
      <c r="CY1084" s="20"/>
    </row>
    <row r="1085" ht="26.25" customHeight="1" spans="102:103">
      <c r="CX1085" s="20"/>
      <c r="CY1085" s="20"/>
    </row>
    <row r="1086" ht="26.25" customHeight="1" spans="102:103">
      <c r="CX1086" s="20"/>
      <c r="CY1086" s="20"/>
    </row>
    <row r="1087" ht="26.25" customHeight="1" spans="102:103">
      <c r="CX1087" s="20"/>
      <c r="CY1087" s="20"/>
    </row>
    <row r="1088" ht="26.25" customHeight="1" spans="102:103">
      <c r="CX1088" s="20"/>
      <c r="CY1088" s="20"/>
    </row>
    <row r="1089" ht="26.25" customHeight="1" spans="102:103">
      <c r="CX1089" s="20"/>
      <c r="CY1089" s="20"/>
    </row>
    <row r="1090" ht="26.25" customHeight="1" spans="102:103">
      <c r="CX1090" s="20"/>
      <c r="CY1090" s="20"/>
    </row>
    <row r="1091" ht="26.25" customHeight="1" spans="102:103">
      <c r="CX1091" s="20"/>
      <c r="CY1091" s="20"/>
    </row>
    <row r="1092" ht="26.25" customHeight="1" spans="102:103">
      <c r="CX1092" s="20"/>
      <c r="CY1092" s="20"/>
    </row>
    <row r="1093" ht="26.25" customHeight="1" spans="102:103">
      <c r="CX1093" s="20"/>
      <c r="CY1093" s="20"/>
    </row>
    <row r="1094" ht="26.25" customHeight="1" spans="102:103">
      <c r="CX1094" s="20"/>
      <c r="CY1094" s="20"/>
    </row>
    <row r="1095" ht="26.25" customHeight="1" spans="102:103">
      <c r="CX1095" s="20"/>
      <c r="CY1095" s="20"/>
    </row>
    <row r="1096" ht="26.25" customHeight="1" spans="102:103">
      <c r="CX1096" s="20"/>
      <c r="CY1096" s="20"/>
    </row>
    <row r="1097" ht="26.25" customHeight="1" spans="102:103">
      <c r="CX1097" s="20"/>
      <c r="CY1097" s="20"/>
    </row>
    <row r="1098" ht="26.25" customHeight="1" spans="102:103">
      <c r="CX1098" s="20"/>
      <c r="CY1098" s="20"/>
    </row>
    <row r="1099" ht="26.25" customHeight="1" spans="102:103">
      <c r="CX1099" s="20"/>
      <c r="CY1099" s="20"/>
    </row>
    <row r="1100" ht="26.25" customHeight="1" spans="102:103">
      <c r="CX1100" s="20"/>
      <c r="CY1100" s="20"/>
    </row>
    <row r="1101" ht="26.25" customHeight="1" spans="102:103">
      <c r="CX1101" s="20"/>
      <c r="CY1101" s="20"/>
    </row>
    <row r="1102" ht="26.25" customHeight="1" spans="102:103">
      <c r="CX1102" s="20"/>
      <c r="CY1102" s="20"/>
    </row>
    <row r="1103" ht="26.25" customHeight="1" spans="102:103">
      <c r="CX1103" s="20"/>
      <c r="CY1103" s="20"/>
    </row>
    <row r="1104" ht="26.25" customHeight="1" spans="102:103">
      <c r="CX1104" s="20"/>
      <c r="CY1104" s="20"/>
    </row>
    <row r="1105" ht="26.25" customHeight="1" spans="102:103">
      <c r="CX1105" s="20"/>
      <c r="CY1105" s="20"/>
    </row>
    <row r="1106" ht="26.25" customHeight="1" spans="102:103">
      <c r="CX1106" s="20"/>
      <c r="CY1106" s="20"/>
    </row>
    <row r="1107" ht="26.25" customHeight="1" spans="102:103">
      <c r="CX1107" s="20"/>
      <c r="CY1107" s="20"/>
    </row>
    <row r="1108" ht="26.25" customHeight="1" spans="102:103">
      <c r="CX1108" s="20"/>
      <c r="CY1108" s="20"/>
    </row>
    <row r="1109" ht="26.25" customHeight="1" spans="102:103">
      <c r="CX1109" s="20"/>
      <c r="CY1109" s="20"/>
    </row>
    <row r="1110" ht="26.25" customHeight="1" spans="102:103">
      <c r="CX1110" s="20"/>
      <c r="CY1110" s="20"/>
    </row>
    <row r="1111" ht="26.25" customHeight="1" spans="102:103">
      <c r="CX1111" s="20"/>
      <c r="CY1111" s="20"/>
    </row>
    <row r="1112" ht="26.25" customHeight="1" spans="102:103">
      <c r="CX1112" s="20"/>
      <c r="CY1112" s="20"/>
    </row>
    <row r="1113" ht="26.25" customHeight="1" spans="102:103">
      <c r="CX1113" s="20"/>
      <c r="CY1113" s="20"/>
    </row>
    <row r="1114" ht="26.25" customHeight="1" spans="102:103">
      <c r="CX1114" s="20"/>
      <c r="CY1114" s="20"/>
    </row>
    <row r="1115" ht="26.25" customHeight="1" spans="102:103">
      <c r="CX1115" s="20"/>
      <c r="CY1115" s="20"/>
    </row>
    <row r="1116" ht="26.25" customHeight="1" spans="102:103">
      <c r="CX1116" s="20"/>
      <c r="CY1116" s="20"/>
    </row>
    <row r="1117" ht="26.25" customHeight="1" spans="102:103">
      <c r="CX1117" s="20"/>
      <c r="CY1117" s="20"/>
    </row>
    <row r="1118" ht="26.25" customHeight="1" spans="102:103">
      <c r="CX1118" s="20"/>
      <c r="CY1118" s="20"/>
    </row>
    <row r="1119" ht="26.25" customHeight="1" spans="102:103">
      <c r="CX1119" s="20"/>
      <c r="CY1119" s="20"/>
    </row>
    <row r="1120" ht="26.25" customHeight="1" spans="102:103">
      <c r="CX1120" s="20"/>
      <c r="CY1120" s="20"/>
    </row>
    <row r="1121" ht="26.25" customHeight="1" spans="102:103">
      <c r="CX1121" s="20"/>
      <c r="CY1121" s="20"/>
    </row>
    <row r="1122" ht="26.25" customHeight="1" spans="102:103">
      <c r="CX1122" s="20"/>
      <c r="CY1122" s="20"/>
    </row>
    <row r="1123" ht="26.25" customHeight="1" spans="102:103">
      <c r="CX1123" s="20"/>
      <c r="CY1123" s="20"/>
    </row>
    <row r="1124" ht="26.25" customHeight="1" spans="102:103">
      <c r="CX1124" s="20"/>
      <c r="CY1124" s="20"/>
    </row>
    <row r="1125" ht="26.25" customHeight="1" spans="102:103">
      <c r="CX1125" s="20"/>
      <c r="CY1125" s="20"/>
    </row>
    <row r="1126" ht="26.25" customHeight="1" spans="102:103">
      <c r="CX1126" s="20"/>
      <c r="CY1126" s="20"/>
    </row>
    <row r="1127" ht="26.25" customHeight="1" spans="102:103">
      <c r="CX1127" s="20"/>
      <c r="CY1127" s="20"/>
    </row>
    <row r="1128" ht="26.25" customHeight="1" spans="102:103">
      <c r="CX1128" s="20"/>
      <c r="CY1128" s="20"/>
    </row>
    <row r="1129" ht="26.25" customHeight="1" spans="102:103">
      <c r="CX1129" s="20"/>
      <c r="CY1129" s="20"/>
    </row>
    <row r="1130" ht="26.25" customHeight="1" spans="102:103">
      <c r="CX1130" s="20"/>
      <c r="CY1130" s="20"/>
    </row>
    <row r="1131" ht="26.25" customHeight="1" spans="102:103">
      <c r="CX1131" s="20"/>
      <c r="CY1131" s="20"/>
    </row>
    <row r="1132" ht="26.25" customHeight="1" spans="102:103">
      <c r="CX1132" s="20"/>
      <c r="CY1132" s="20"/>
    </row>
    <row r="1133" ht="26.25" customHeight="1" spans="102:103">
      <c r="CX1133" s="20"/>
      <c r="CY1133" s="20"/>
    </row>
    <row r="1134" ht="26.25" customHeight="1" spans="102:103">
      <c r="CX1134" s="20"/>
      <c r="CY1134" s="20"/>
    </row>
    <row r="1135" ht="26.25" customHeight="1" spans="102:103">
      <c r="CX1135" s="20"/>
      <c r="CY1135" s="20"/>
    </row>
    <row r="1136" ht="26.25" customHeight="1" spans="102:103">
      <c r="CX1136" s="20"/>
      <c r="CY1136" s="20"/>
    </row>
    <row r="1137" ht="26.25" customHeight="1" spans="102:103">
      <c r="CX1137" s="20"/>
      <c r="CY1137" s="20"/>
    </row>
    <row r="1138" ht="26.25" customHeight="1" spans="102:103">
      <c r="CX1138" s="20"/>
      <c r="CY1138" s="20"/>
    </row>
    <row r="1139" ht="26.25" customHeight="1" spans="102:103">
      <c r="CX1139" s="20"/>
      <c r="CY1139" s="20"/>
    </row>
    <row r="1140" ht="26.25" customHeight="1" spans="102:103">
      <c r="CX1140" s="20"/>
      <c r="CY1140" s="20"/>
    </row>
    <row r="1141" ht="26.25" customHeight="1" spans="102:103">
      <c r="CX1141" s="20"/>
      <c r="CY1141" s="20"/>
    </row>
    <row r="1142" ht="26.25" customHeight="1" spans="102:103">
      <c r="CX1142" s="20"/>
      <c r="CY1142" s="20"/>
    </row>
    <row r="1143" ht="26.25" customHeight="1" spans="102:103">
      <c r="CX1143" s="20"/>
      <c r="CY1143" s="20"/>
    </row>
    <row r="1144" ht="26.25" customHeight="1" spans="102:103">
      <c r="CX1144" s="20"/>
      <c r="CY1144" s="20"/>
    </row>
    <row r="1145" ht="26.25" customHeight="1" spans="102:103">
      <c r="CX1145" s="20"/>
      <c r="CY1145" s="20"/>
    </row>
    <row r="1146" ht="26.25" customHeight="1" spans="102:103">
      <c r="CX1146" s="20"/>
      <c r="CY1146" s="20"/>
    </row>
    <row r="1147" ht="26.25" customHeight="1" spans="102:103">
      <c r="CX1147" s="20"/>
      <c r="CY1147" s="20"/>
    </row>
    <row r="1148" ht="26.25" customHeight="1" spans="102:103">
      <c r="CX1148" s="20"/>
      <c r="CY1148" s="20"/>
    </row>
    <row r="1149" ht="26.25" customHeight="1" spans="102:103">
      <c r="CX1149" s="20"/>
      <c r="CY1149" s="20"/>
    </row>
    <row r="1150" ht="26.25" customHeight="1" spans="102:103">
      <c r="CX1150" s="20"/>
      <c r="CY1150" s="20"/>
    </row>
    <row r="1151" ht="26.25" customHeight="1" spans="102:103">
      <c r="CX1151" s="20"/>
      <c r="CY1151" s="20"/>
    </row>
    <row r="1152" ht="26.25" customHeight="1" spans="102:103">
      <c r="CX1152" s="20"/>
      <c r="CY1152" s="20"/>
    </row>
    <row r="1153" ht="26.25" customHeight="1" spans="102:103">
      <c r="CX1153" s="20"/>
      <c r="CY1153" s="20"/>
    </row>
    <row r="1154" ht="26.25" customHeight="1" spans="102:103">
      <c r="CX1154" s="20"/>
      <c r="CY1154" s="20"/>
    </row>
    <row r="1155" ht="26.25" customHeight="1" spans="102:103">
      <c r="CX1155" s="20"/>
      <c r="CY1155" s="20"/>
    </row>
    <row r="1156" ht="26.25" customHeight="1" spans="102:103">
      <c r="CX1156" s="20"/>
      <c r="CY1156" s="20"/>
    </row>
    <row r="1157" ht="26.25" customHeight="1" spans="102:103">
      <c r="CX1157" s="20"/>
      <c r="CY1157" s="20"/>
    </row>
    <row r="1158" ht="26.25" customHeight="1" spans="102:103">
      <c r="CX1158" s="20"/>
      <c r="CY1158" s="20"/>
    </row>
    <row r="1159" ht="26.25" customHeight="1" spans="102:103">
      <c r="CX1159" s="20"/>
      <c r="CY1159" s="20"/>
    </row>
    <row r="1160" ht="26.25" customHeight="1" spans="102:103">
      <c r="CX1160" s="20"/>
      <c r="CY1160" s="20"/>
    </row>
    <row r="1161" ht="26.25" customHeight="1" spans="102:103">
      <c r="CX1161" s="20"/>
      <c r="CY1161" s="20"/>
    </row>
    <row r="1162" ht="26.25" customHeight="1" spans="102:103">
      <c r="CX1162" s="20"/>
      <c r="CY1162" s="20"/>
    </row>
    <row r="1163" ht="26.25" customHeight="1" spans="102:103">
      <c r="CX1163" s="20"/>
      <c r="CY1163" s="20"/>
    </row>
    <row r="1164" ht="26.25" customHeight="1" spans="102:103">
      <c r="CX1164" s="20"/>
      <c r="CY1164" s="20"/>
    </row>
    <row r="1165" ht="26.25" customHeight="1" spans="102:103">
      <c r="CX1165" s="20"/>
      <c r="CY1165" s="20"/>
    </row>
    <row r="1166" ht="26.25" customHeight="1" spans="102:103">
      <c r="CX1166" s="20"/>
      <c r="CY1166" s="20"/>
    </row>
    <row r="1167" ht="26.25" customHeight="1" spans="102:103">
      <c r="CX1167" s="20"/>
      <c r="CY1167" s="20"/>
    </row>
    <row r="1168" ht="26.25" customHeight="1" spans="102:103">
      <c r="CX1168" s="20"/>
      <c r="CY1168" s="20"/>
    </row>
    <row r="1169" ht="26.25" customHeight="1" spans="102:103">
      <c r="CX1169" s="20"/>
      <c r="CY1169" s="20"/>
    </row>
    <row r="1170" ht="26.25" customHeight="1" spans="102:103">
      <c r="CX1170" s="20"/>
      <c r="CY1170" s="20"/>
    </row>
    <row r="1171" ht="26.25" customHeight="1" spans="102:103">
      <c r="CX1171" s="20"/>
      <c r="CY1171" s="20"/>
    </row>
    <row r="1172" ht="26.25" customHeight="1" spans="102:103">
      <c r="CX1172" s="20"/>
      <c r="CY1172" s="20"/>
    </row>
    <row r="1173" ht="26.25" customHeight="1" spans="102:103">
      <c r="CX1173" s="20"/>
      <c r="CY1173" s="20"/>
    </row>
    <row r="1174" ht="26.25" customHeight="1" spans="102:103">
      <c r="CX1174" s="20"/>
      <c r="CY1174" s="20"/>
    </row>
    <row r="1175" ht="26.25" customHeight="1" spans="102:103">
      <c r="CX1175" s="20"/>
      <c r="CY1175" s="20"/>
    </row>
    <row r="1176" ht="26.25" customHeight="1" spans="102:103">
      <c r="CX1176" s="20"/>
      <c r="CY1176" s="20"/>
    </row>
    <row r="1177" ht="26.25" customHeight="1" spans="102:103">
      <c r="CX1177" s="20"/>
      <c r="CY1177" s="20"/>
    </row>
    <row r="1178" ht="26.25" customHeight="1" spans="102:103">
      <c r="CX1178" s="20"/>
      <c r="CY1178" s="20"/>
    </row>
    <row r="1179" ht="26.25" customHeight="1" spans="102:103">
      <c r="CX1179" s="20"/>
      <c r="CY1179" s="20"/>
    </row>
    <row r="1180" ht="26.25" customHeight="1" spans="102:103">
      <c r="CX1180" s="20"/>
      <c r="CY1180" s="20"/>
    </row>
    <row r="1181" ht="26.25" customHeight="1" spans="102:103">
      <c r="CX1181" s="20"/>
      <c r="CY1181" s="20"/>
    </row>
    <row r="1182" ht="26.25" customHeight="1" spans="102:103">
      <c r="CX1182" s="20"/>
      <c r="CY1182" s="20"/>
    </row>
    <row r="1183" ht="26.25" customHeight="1" spans="102:103">
      <c r="CX1183" s="20"/>
      <c r="CY1183" s="20"/>
    </row>
    <row r="1184" ht="26.25" customHeight="1" spans="102:103">
      <c r="CX1184" s="20"/>
      <c r="CY1184" s="20"/>
    </row>
    <row r="1185" ht="26.25" customHeight="1" spans="102:103">
      <c r="CX1185" s="20"/>
      <c r="CY1185" s="20"/>
    </row>
    <row r="1186" ht="26.25" customHeight="1" spans="102:103">
      <c r="CX1186" s="20"/>
      <c r="CY1186" s="20"/>
    </row>
    <row r="1187" ht="26.25" customHeight="1" spans="102:103">
      <c r="CX1187" s="20"/>
      <c r="CY1187" s="20"/>
    </row>
    <row r="1188" ht="26.25" customHeight="1" spans="102:103">
      <c r="CX1188" s="20"/>
      <c r="CY1188" s="20"/>
    </row>
    <row r="1189" ht="26.25" customHeight="1" spans="102:103">
      <c r="CX1189" s="20"/>
      <c r="CY1189" s="20"/>
    </row>
    <row r="1190" ht="26.25" customHeight="1" spans="102:103">
      <c r="CX1190" s="20"/>
      <c r="CY1190" s="20"/>
    </row>
    <row r="1191" ht="26.25" customHeight="1" spans="102:103">
      <c r="CX1191" s="20"/>
      <c r="CY1191" s="20"/>
    </row>
    <row r="1192" ht="26.25" customHeight="1" spans="102:103">
      <c r="CX1192" s="20"/>
      <c r="CY1192" s="20"/>
    </row>
    <row r="1193" ht="26.25" customHeight="1" spans="102:103">
      <c r="CX1193" s="20"/>
      <c r="CY1193" s="20"/>
    </row>
    <row r="1194" ht="26.25" customHeight="1" spans="102:103">
      <c r="CX1194" s="20"/>
      <c r="CY1194" s="20"/>
    </row>
    <row r="1195" ht="26.25" customHeight="1" spans="102:103">
      <c r="CX1195" s="20"/>
      <c r="CY1195" s="20"/>
    </row>
    <row r="1196" ht="26.25" customHeight="1" spans="102:103">
      <c r="CX1196" s="20"/>
      <c r="CY1196" s="20"/>
    </row>
    <row r="1197" ht="26.25" customHeight="1" spans="102:103">
      <c r="CX1197" s="20"/>
      <c r="CY1197" s="20"/>
    </row>
    <row r="1198" ht="26.25" customHeight="1" spans="102:103">
      <c r="CX1198" s="20"/>
      <c r="CY1198" s="20"/>
    </row>
    <row r="1199" ht="26.25" customHeight="1" spans="102:103">
      <c r="CX1199" s="20"/>
      <c r="CY1199" s="20"/>
    </row>
    <row r="1200" ht="26.25" customHeight="1" spans="102:103">
      <c r="CX1200" s="20"/>
      <c r="CY1200" s="20"/>
    </row>
    <row r="1201" ht="26.25" customHeight="1" spans="102:103">
      <c r="CX1201" s="20"/>
      <c r="CY1201" s="20"/>
    </row>
    <row r="1202" ht="26.25" customHeight="1" spans="102:103">
      <c r="CX1202" s="20"/>
      <c r="CY1202" s="20"/>
    </row>
    <row r="1203" ht="26.25" customHeight="1" spans="102:103">
      <c r="CX1203" s="20"/>
      <c r="CY1203" s="20"/>
    </row>
    <row r="1204" ht="26.25" customHeight="1" spans="102:103">
      <c r="CX1204" s="20"/>
      <c r="CY1204" s="20"/>
    </row>
    <row r="1205" ht="26.25" customHeight="1" spans="102:103">
      <c r="CX1205" s="20"/>
      <c r="CY1205" s="20"/>
    </row>
    <row r="1206" ht="26.25" customHeight="1" spans="102:103">
      <c r="CX1206" s="20"/>
      <c r="CY1206" s="20"/>
    </row>
    <row r="1207" ht="26.25" customHeight="1" spans="102:103">
      <c r="CX1207" s="20"/>
      <c r="CY1207" s="20"/>
    </row>
    <row r="1208" ht="26.25" customHeight="1" spans="102:103">
      <c r="CX1208" s="20"/>
      <c r="CY1208" s="20"/>
    </row>
    <row r="1209" ht="26.25" customHeight="1" spans="102:103">
      <c r="CX1209" s="20"/>
      <c r="CY1209" s="20"/>
    </row>
    <row r="1210" ht="26.25" customHeight="1" spans="102:103">
      <c r="CX1210" s="20"/>
      <c r="CY1210" s="20"/>
    </row>
    <row r="1211" ht="26.25" customHeight="1" spans="102:103">
      <c r="CX1211" s="20"/>
      <c r="CY1211" s="20"/>
    </row>
    <row r="1212" ht="26.25" customHeight="1" spans="102:103">
      <c r="CX1212" s="20"/>
      <c r="CY1212" s="20"/>
    </row>
    <row r="1213" ht="26.25" customHeight="1" spans="102:103">
      <c r="CX1213" s="20"/>
      <c r="CY1213" s="20"/>
    </row>
    <row r="1214" ht="26.25" customHeight="1" spans="102:103">
      <c r="CX1214" s="20"/>
      <c r="CY1214" s="20"/>
    </row>
    <row r="1215" ht="26.25" customHeight="1" spans="102:103">
      <c r="CX1215" s="20"/>
      <c r="CY1215" s="20"/>
    </row>
    <row r="1216" ht="26.25" customHeight="1" spans="102:103">
      <c r="CX1216" s="20"/>
      <c r="CY1216" s="20"/>
    </row>
    <row r="1217" ht="26.25" customHeight="1" spans="102:103">
      <c r="CX1217" s="20"/>
      <c r="CY1217" s="20"/>
    </row>
    <row r="1218" ht="26.25" customHeight="1" spans="102:103">
      <c r="CX1218" s="20"/>
      <c r="CY1218" s="20"/>
    </row>
    <row r="1219" ht="26.25" customHeight="1" spans="102:103">
      <c r="CX1219" s="20"/>
      <c r="CY1219" s="20"/>
    </row>
    <row r="1220" ht="26.25" customHeight="1" spans="102:103">
      <c r="CX1220" s="20"/>
      <c r="CY1220" s="20"/>
    </row>
    <row r="1221" ht="26.25" customHeight="1" spans="102:103">
      <c r="CX1221" s="20"/>
      <c r="CY1221" s="20"/>
    </row>
    <row r="1222" ht="26.25" customHeight="1" spans="102:103">
      <c r="CX1222" s="20"/>
      <c r="CY1222" s="20"/>
    </row>
    <row r="1223" ht="26.25" customHeight="1" spans="102:103">
      <c r="CX1223" s="20"/>
      <c r="CY1223" s="20"/>
    </row>
    <row r="1224" ht="26.25" customHeight="1" spans="102:103">
      <c r="CX1224" s="20"/>
      <c r="CY1224" s="20"/>
    </row>
    <row r="1225" ht="26.25" customHeight="1" spans="102:103">
      <c r="CX1225" s="20"/>
      <c r="CY1225" s="20"/>
    </row>
    <row r="1226" ht="26.25" customHeight="1" spans="102:103">
      <c r="CX1226" s="20"/>
      <c r="CY1226" s="20"/>
    </row>
    <row r="1227" ht="26.25" customHeight="1" spans="102:103">
      <c r="CX1227" s="20"/>
      <c r="CY1227" s="20"/>
    </row>
    <row r="1228" ht="26.25" customHeight="1" spans="102:103">
      <c r="CX1228" s="20"/>
      <c r="CY1228" s="20"/>
    </row>
    <row r="1229" ht="26.25" customHeight="1" spans="102:103">
      <c r="CX1229" s="20"/>
      <c r="CY1229" s="20"/>
    </row>
    <row r="1230" ht="26.25" customHeight="1" spans="102:103">
      <c r="CX1230" s="20"/>
      <c r="CY1230" s="20"/>
    </row>
    <row r="1231" ht="26.25" customHeight="1" spans="102:103">
      <c r="CX1231" s="20"/>
      <c r="CY1231" s="20"/>
    </row>
    <row r="1232" ht="26.25" customHeight="1" spans="102:103">
      <c r="CX1232" s="20"/>
      <c r="CY1232" s="20"/>
    </row>
    <row r="1233" ht="26.25" customHeight="1" spans="102:103">
      <c r="CX1233" s="20"/>
      <c r="CY1233" s="20"/>
    </row>
    <row r="1234" ht="26.25" customHeight="1" spans="102:103">
      <c r="CX1234" s="20"/>
      <c r="CY1234" s="20"/>
    </row>
    <row r="1235" ht="26.25" customHeight="1" spans="102:103">
      <c r="CX1235" s="20"/>
      <c r="CY1235" s="20"/>
    </row>
    <row r="1236" ht="26.25" customHeight="1" spans="102:103">
      <c r="CX1236" s="20"/>
      <c r="CY1236" s="20"/>
    </row>
    <row r="1237" ht="26.25" customHeight="1" spans="102:103">
      <c r="CX1237" s="20"/>
      <c r="CY1237" s="20"/>
    </row>
    <row r="1238" ht="26.25" customHeight="1" spans="102:103">
      <c r="CX1238" s="20"/>
      <c r="CY1238" s="20"/>
    </row>
    <row r="1239" ht="26.25" customHeight="1" spans="102:103">
      <c r="CX1239" s="20"/>
      <c r="CY1239" s="20"/>
    </row>
    <row r="1240" ht="26.25" customHeight="1" spans="102:103">
      <c r="CX1240" s="20"/>
      <c r="CY1240" s="20"/>
    </row>
    <row r="1241" ht="26.25" customHeight="1" spans="102:103">
      <c r="CX1241" s="20"/>
      <c r="CY1241" s="20"/>
    </row>
    <row r="1242" ht="26.25" customHeight="1" spans="102:103">
      <c r="CX1242" s="20"/>
      <c r="CY1242" s="20"/>
    </row>
    <row r="1243" ht="26.25" customHeight="1" spans="102:103">
      <c r="CX1243" s="20"/>
      <c r="CY1243" s="20"/>
    </row>
    <row r="1244" ht="26.25" customHeight="1" spans="102:103">
      <c r="CX1244" s="20"/>
      <c r="CY1244" s="20"/>
    </row>
    <row r="1245" ht="26.25" customHeight="1" spans="102:103">
      <c r="CX1245" s="20"/>
      <c r="CY1245" s="20"/>
    </row>
    <row r="1246" ht="26.25" customHeight="1" spans="102:103">
      <c r="CX1246" s="20"/>
      <c r="CY1246" s="20"/>
    </row>
    <row r="1247" ht="26.25" customHeight="1" spans="102:103">
      <c r="CX1247" s="20"/>
      <c r="CY1247" s="20"/>
    </row>
    <row r="1248" ht="26.25" customHeight="1" spans="102:103">
      <c r="CX1248" s="20"/>
      <c r="CY1248" s="20"/>
    </row>
    <row r="1249" ht="26.25" customHeight="1" spans="102:103">
      <c r="CX1249" s="20"/>
      <c r="CY1249" s="20"/>
    </row>
    <row r="1250" ht="26.25" customHeight="1" spans="102:103">
      <c r="CX1250" s="20"/>
      <c r="CY1250" s="20"/>
    </row>
    <row r="1251" ht="26.25" customHeight="1" spans="102:103">
      <c r="CX1251" s="20"/>
      <c r="CY1251" s="20"/>
    </row>
    <row r="1252" ht="26.25" customHeight="1" spans="102:103">
      <c r="CX1252" s="20"/>
      <c r="CY1252" s="20"/>
    </row>
    <row r="1253" ht="26.25" customHeight="1" spans="102:103">
      <c r="CX1253" s="20"/>
      <c r="CY1253" s="20"/>
    </row>
    <row r="1254" ht="26.25" customHeight="1" spans="102:103">
      <c r="CX1254" s="20"/>
      <c r="CY1254" s="20"/>
    </row>
    <row r="1255" ht="26.25" customHeight="1" spans="102:103">
      <c r="CX1255" s="20"/>
      <c r="CY1255" s="20"/>
    </row>
    <row r="1256" ht="26.25" customHeight="1" spans="102:103">
      <c r="CX1256" s="20"/>
      <c r="CY1256" s="20"/>
    </row>
    <row r="1257" ht="26.25" customHeight="1" spans="102:103">
      <c r="CX1257" s="20"/>
      <c r="CY1257" s="20"/>
    </row>
    <row r="1258" ht="26.25" customHeight="1" spans="102:103">
      <c r="CX1258" s="20"/>
      <c r="CY1258" s="20"/>
    </row>
    <row r="1259" ht="26.25" customHeight="1" spans="102:103">
      <c r="CX1259" s="20"/>
      <c r="CY1259" s="20"/>
    </row>
    <row r="1260" ht="26.25" customHeight="1" spans="102:103">
      <c r="CX1260" s="20"/>
      <c r="CY1260" s="20"/>
    </row>
    <row r="1261" ht="26.25" customHeight="1" spans="102:103">
      <c r="CX1261" s="20"/>
      <c r="CY1261" s="20"/>
    </row>
    <row r="1262" ht="26.25" customHeight="1" spans="102:103">
      <c r="CX1262" s="20"/>
      <c r="CY1262" s="20"/>
    </row>
    <row r="1263" ht="26.25" customHeight="1" spans="102:103">
      <c r="CX1263" s="20"/>
      <c r="CY1263" s="20"/>
    </row>
    <row r="1264" ht="26.25" customHeight="1" spans="102:103">
      <c r="CX1264" s="20"/>
      <c r="CY1264" s="20"/>
    </row>
    <row r="1265" ht="26.25" customHeight="1" spans="102:103">
      <c r="CX1265" s="20"/>
      <c r="CY1265" s="20"/>
    </row>
    <row r="1266" ht="26.25" customHeight="1" spans="102:103">
      <c r="CX1266" s="20"/>
      <c r="CY1266" s="20"/>
    </row>
    <row r="1267" ht="26.25" customHeight="1" spans="102:103">
      <c r="CX1267" s="20"/>
      <c r="CY1267" s="20"/>
    </row>
    <row r="1268" ht="26.25" customHeight="1" spans="102:103">
      <c r="CX1268" s="20"/>
      <c r="CY1268" s="20"/>
    </row>
    <row r="1269" ht="26.25" customHeight="1" spans="102:103">
      <c r="CX1269" s="20"/>
      <c r="CY1269" s="20"/>
    </row>
    <row r="1270" ht="26.25" customHeight="1" spans="102:103">
      <c r="CX1270" s="20"/>
      <c r="CY1270" s="20"/>
    </row>
    <row r="1271" ht="26.25" customHeight="1" spans="102:103">
      <c r="CX1271" s="20"/>
      <c r="CY1271" s="20"/>
    </row>
    <row r="1272" ht="26.25" customHeight="1" spans="102:103">
      <c r="CX1272" s="20"/>
      <c r="CY1272" s="20"/>
    </row>
    <row r="1273" ht="26.25" customHeight="1" spans="102:103">
      <c r="CX1273" s="20"/>
      <c r="CY1273" s="20"/>
    </row>
    <row r="1274" ht="26.25" customHeight="1" spans="102:103">
      <c r="CX1274" s="20"/>
      <c r="CY1274" s="20"/>
    </row>
    <row r="1275" ht="26.25" customHeight="1" spans="102:103">
      <c r="CX1275" s="20"/>
      <c r="CY1275" s="20"/>
    </row>
    <row r="1276" ht="26.25" customHeight="1" spans="102:103">
      <c r="CX1276" s="20"/>
      <c r="CY1276" s="20"/>
    </row>
    <row r="1277" ht="26.25" customHeight="1" spans="102:103">
      <c r="CX1277" s="20"/>
      <c r="CY1277" s="20"/>
    </row>
    <row r="1278" ht="26.25" customHeight="1" spans="102:103">
      <c r="CX1278" s="20"/>
      <c r="CY1278" s="20"/>
    </row>
    <row r="1279" ht="26.25" customHeight="1" spans="102:103">
      <c r="CX1279" s="20"/>
      <c r="CY1279" s="20"/>
    </row>
    <row r="1280" ht="26.25" customHeight="1" spans="102:103">
      <c r="CX1280" s="20"/>
      <c r="CY1280" s="20"/>
    </row>
    <row r="1281" ht="26.25" customHeight="1" spans="102:103">
      <c r="CX1281" s="20"/>
      <c r="CY1281" s="20"/>
    </row>
    <row r="1282" ht="26.25" customHeight="1" spans="102:103">
      <c r="CX1282" s="20"/>
      <c r="CY1282" s="20"/>
    </row>
    <row r="1283" ht="26.25" customHeight="1" spans="102:103">
      <c r="CX1283" s="20"/>
      <c r="CY1283" s="20"/>
    </row>
    <row r="1284" ht="26.25" customHeight="1" spans="102:103">
      <c r="CX1284" s="20"/>
      <c r="CY1284" s="20"/>
    </row>
    <row r="1285" ht="26.25" customHeight="1" spans="102:103">
      <c r="CX1285" s="20"/>
      <c r="CY1285" s="20"/>
    </row>
    <row r="1286" ht="26.25" customHeight="1" spans="102:103">
      <c r="CX1286" s="20"/>
      <c r="CY1286" s="20"/>
    </row>
    <row r="1287" ht="26.25" customHeight="1" spans="102:103">
      <c r="CX1287" s="20"/>
      <c r="CY1287" s="20"/>
    </row>
    <row r="1288" ht="26.25" customHeight="1" spans="102:103">
      <c r="CX1288" s="20"/>
      <c r="CY1288" s="20"/>
    </row>
    <row r="1289" ht="26.25" customHeight="1" spans="102:103">
      <c r="CX1289" s="20"/>
      <c r="CY1289" s="20"/>
    </row>
    <row r="1290" ht="26.25" customHeight="1" spans="102:103">
      <c r="CX1290" s="20"/>
      <c r="CY1290" s="20"/>
    </row>
    <row r="1291" ht="26.25" customHeight="1" spans="102:103">
      <c r="CX1291" s="20"/>
      <c r="CY1291" s="20"/>
    </row>
    <row r="1292" ht="26.25" customHeight="1" spans="102:103">
      <c r="CX1292" s="20"/>
      <c r="CY1292" s="20"/>
    </row>
    <row r="1293" ht="26.25" customHeight="1" spans="102:103">
      <c r="CX1293" s="20"/>
      <c r="CY1293" s="20"/>
    </row>
    <row r="1294" ht="26.25" customHeight="1" spans="102:103">
      <c r="CX1294" s="20"/>
      <c r="CY1294" s="20"/>
    </row>
    <row r="1295" ht="26.25" customHeight="1" spans="102:103">
      <c r="CX1295" s="20"/>
      <c r="CY1295" s="20"/>
    </row>
    <row r="1296" ht="26.25" customHeight="1" spans="102:103">
      <c r="CX1296" s="20"/>
      <c r="CY1296" s="20"/>
    </row>
    <row r="1297" ht="26.25" customHeight="1" spans="102:103">
      <c r="CX1297" s="20"/>
      <c r="CY1297" s="20"/>
    </row>
    <row r="1298" ht="26.25" customHeight="1" spans="102:103">
      <c r="CX1298" s="20"/>
      <c r="CY1298" s="20"/>
    </row>
    <row r="1299" ht="26.25" customHeight="1" spans="102:103">
      <c r="CX1299" s="20"/>
      <c r="CY1299" s="20"/>
    </row>
    <row r="1300" ht="26.25" customHeight="1" spans="102:103">
      <c r="CX1300" s="20"/>
      <c r="CY1300" s="20"/>
    </row>
    <row r="1301" ht="26.25" customHeight="1" spans="102:103">
      <c r="CX1301" s="20"/>
      <c r="CY1301" s="20"/>
    </row>
    <row r="1302" ht="26.25" customHeight="1" spans="102:103">
      <c r="CX1302" s="20"/>
      <c r="CY1302" s="20"/>
    </row>
    <row r="1303" ht="26.25" customHeight="1" spans="102:103">
      <c r="CX1303" s="20"/>
      <c r="CY1303" s="20"/>
    </row>
    <row r="1304" ht="26.25" customHeight="1" spans="102:103">
      <c r="CX1304" s="20"/>
      <c r="CY1304" s="20"/>
    </row>
    <row r="1305" ht="26.25" customHeight="1" spans="102:103">
      <c r="CX1305" s="20"/>
      <c r="CY1305" s="20"/>
    </row>
    <row r="1306" ht="26.25" customHeight="1" spans="102:103">
      <c r="CX1306" s="20"/>
      <c r="CY1306" s="20"/>
    </row>
    <row r="1307" ht="26.25" customHeight="1" spans="102:103">
      <c r="CX1307" s="20"/>
      <c r="CY1307" s="20"/>
    </row>
    <row r="1308" ht="26.25" customHeight="1" spans="102:103">
      <c r="CX1308" s="20"/>
      <c r="CY1308" s="20"/>
    </row>
    <row r="1309" ht="26.25" customHeight="1" spans="102:103">
      <c r="CX1309" s="20"/>
      <c r="CY1309" s="20"/>
    </row>
    <row r="1310" ht="26.25" customHeight="1" spans="102:103">
      <c r="CX1310" s="20"/>
      <c r="CY1310" s="20"/>
    </row>
    <row r="1311" ht="26.25" customHeight="1" spans="102:103">
      <c r="CX1311" s="20"/>
      <c r="CY1311" s="20"/>
    </row>
    <row r="1312" ht="26.25" customHeight="1" spans="102:103">
      <c r="CX1312" s="20"/>
      <c r="CY1312" s="20"/>
    </row>
    <row r="1313" ht="26.25" customHeight="1" spans="102:103">
      <c r="CX1313" s="20"/>
      <c r="CY1313" s="20"/>
    </row>
    <row r="1314" ht="26.25" customHeight="1" spans="102:103">
      <c r="CX1314" s="20"/>
      <c r="CY1314" s="20"/>
    </row>
    <row r="1315" ht="26.25" customHeight="1" spans="102:103">
      <c r="CX1315" s="20"/>
      <c r="CY1315" s="20"/>
    </row>
    <row r="1316" ht="26.25" customHeight="1" spans="102:103">
      <c r="CX1316" s="20"/>
      <c r="CY1316" s="20"/>
    </row>
    <row r="1317" ht="26.25" customHeight="1" spans="102:103">
      <c r="CX1317" s="20"/>
      <c r="CY1317" s="20"/>
    </row>
    <row r="1318" ht="26.25" customHeight="1" spans="102:103">
      <c r="CX1318" s="20"/>
      <c r="CY1318" s="20"/>
    </row>
    <row r="1319" ht="26.25" customHeight="1" spans="102:103">
      <c r="CX1319" s="20"/>
      <c r="CY1319" s="20"/>
    </row>
    <row r="1320" ht="26.25" customHeight="1" spans="102:103">
      <c r="CX1320" s="20"/>
      <c r="CY1320" s="20"/>
    </row>
    <row r="1321" ht="26.25" customHeight="1" spans="102:103">
      <c r="CX1321" s="20"/>
      <c r="CY1321" s="20"/>
    </row>
    <row r="1322" ht="26.25" customHeight="1" spans="102:103">
      <c r="CX1322" s="20"/>
      <c r="CY1322" s="20"/>
    </row>
    <row r="1323" ht="26.25" customHeight="1" spans="102:103">
      <c r="CX1323" s="20"/>
      <c r="CY1323" s="20"/>
    </row>
    <row r="1324" ht="26.25" customHeight="1" spans="102:103">
      <c r="CX1324" s="20"/>
      <c r="CY1324" s="20"/>
    </row>
    <row r="1325" ht="26.25" customHeight="1" spans="102:103">
      <c r="CX1325" s="20"/>
      <c r="CY1325" s="20"/>
    </row>
    <row r="1326" ht="26.25" customHeight="1" spans="102:103">
      <c r="CX1326" s="20"/>
      <c r="CY1326" s="20"/>
    </row>
    <row r="1327" ht="26.25" customHeight="1" spans="102:103">
      <c r="CX1327" s="20"/>
      <c r="CY1327" s="20"/>
    </row>
    <row r="1328" ht="26.25" customHeight="1" spans="102:103">
      <c r="CX1328" s="20"/>
      <c r="CY1328" s="20"/>
    </row>
    <row r="1329" ht="26.25" customHeight="1" spans="102:103">
      <c r="CX1329" s="20"/>
      <c r="CY1329" s="20"/>
    </row>
    <row r="1330" ht="26.25" customHeight="1" spans="102:103">
      <c r="CX1330" s="20"/>
      <c r="CY1330" s="20"/>
    </row>
    <row r="1331" ht="26.25" customHeight="1" spans="102:103">
      <c r="CX1331" s="20"/>
      <c r="CY1331" s="20"/>
    </row>
    <row r="1332" ht="26.25" customHeight="1" spans="102:103">
      <c r="CX1332" s="20"/>
      <c r="CY1332" s="20"/>
    </row>
    <row r="1333" ht="26.25" customHeight="1" spans="102:103">
      <c r="CX1333" s="20"/>
      <c r="CY1333" s="20"/>
    </row>
    <row r="1334" ht="26.25" customHeight="1" spans="102:103">
      <c r="CX1334" s="20"/>
      <c r="CY1334" s="20"/>
    </row>
    <row r="1335" ht="26.25" customHeight="1" spans="102:103">
      <c r="CX1335" s="20"/>
      <c r="CY1335" s="20"/>
    </row>
    <row r="1336" ht="26.25" customHeight="1" spans="102:103">
      <c r="CX1336" s="20"/>
      <c r="CY1336" s="20"/>
    </row>
    <row r="1337" ht="26.25" customHeight="1" spans="102:103">
      <c r="CX1337" s="20"/>
      <c r="CY1337" s="20"/>
    </row>
    <row r="1338" ht="26.25" customHeight="1" spans="102:103">
      <c r="CX1338" s="20"/>
      <c r="CY1338" s="20"/>
    </row>
    <row r="1339" ht="26.25" customHeight="1" spans="102:103">
      <c r="CX1339" s="20"/>
      <c r="CY1339" s="20"/>
    </row>
    <row r="1340" ht="26.25" customHeight="1" spans="102:103">
      <c r="CX1340" s="20"/>
      <c r="CY1340" s="20"/>
    </row>
    <row r="1341" ht="26.25" customHeight="1" spans="102:103">
      <c r="CX1341" s="20"/>
      <c r="CY1341" s="20"/>
    </row>
    <row r="1342" ht="26.25" customHeight="1" spans="102:103">
      <c r="CX1342" s="20"/>
      <c r="CY1342" s="20"/>
    </row>
    <row r="1343" ht="26.25" customHeight="1" spans="102:103">
      <c r="CX1343" s="20"/>
      <c r="CY1343" s="20"/>
    </row>
    <row r="1344" ht="26.25" customHeight="1" spans="102:103">
      <c r="CX1344" s="20"/>
      <c r="CY1344" s="20"/>
    </row>
    <row r="1345" ht="26.25" customHeight="1" spans="102:103">
      <c r="CX1345" s="20"/>
      <c r="CY1345" s="20"/>
    </row>
    <row r="1346" ht="26.25" customHeight="1" spans="102:103">
      <c r="CX1346" s="20"/>
      <c r="CY1346" s="20"/>
    </row>
    <row r="1347" ht="26.25" customHeight="1" spans="102:103">
      <c r="CX1347" s="20"/>
      <c r="CY1347" s="20"/>
    </row>
    <row r="1348" ht="26.25" customHeight="1" spans="102:103">
      <c r="CX1348" s="20"/>
      <c r="CY1348" s="20"/>
    </row>
    <row r="1349" ht="26.25" customHeight="1" spans="102:103">
      <c r="CX1349" s="20"/>
      <c r="CY1349" s="20"/>
    </row>
    <row r="1350" ht="26.25" customHeight="1" spans="102:103">
      <c r="CX1350" s="20"/>
      <c r="CY1350" s="20"/>
    </row>
    <row r="1351" ht="26.25" customHeight="1" spans="102:103">
      <c r="CX1351" s="20"/>
      <c r="CY1351" s="20"/>
    </row>
    <row r="1352" ht="26.25" customHeight="1" spans="102:103">
      <c r="CX1352" s="20"/>
      <c r="CY1352" s="20"/>
    </row>
    <row r="1353" ht="26.25" customHeight="1" spans="102:103">
      <c r="CX1353" s="20"/>
      <c r="CY1353" s="20"/>
    </row>
    <row r="1354" ht="26.25" customHeight="1" spans="102:103">
      <c r="CX1354" s="20"/>
      <c r="CY1354" s="20"/>
    </row>
    <row r="1355" ht="26.25" customHeight="1" spans="102:103">
      <c r="CX1355" s="20"/>
      <c r="CY1355" s="20"/>
    </row>
    <row r="1356" ht="26.25" customHeight="1" spans="102:103">
      <c r="CX1356" s="20"/>
      <c r="CY1356" s="20"/>
    </row>
    <row r="1357" ht="26.25" customHeight="1" spans="102:103">
      <c r="CX1357" s="20"/>
      <c r="CY1357" s="20"/>
    </row>
    <row r="1358" ht="26.25" customHeight="1" spans="102:103">
      <c r="CX1358" s="20"/>
      <c r="CY1358" s="20"/>
    </row>
    <row r="1359" ht="26.25" customHeight="1" spans="102:103">
      <c r="CX1359" s="20"/>
      <c r="CY1359" s="20"/>
    </row>
    <row r="1360" ht="26.25" customHeight="1" spans="102:103">
      <c r="CX1360" s="20"/>
      <c r="CY1360" s="20"/>
    </row>
    <row r="1361" ht="26.25" customHeight="1" spans="102:103">
      <c r="CX1361" s="20"/>
      <c r="CY1361" s="20"/>
    </row>
    <row r="1362" ht="26.25" customHeight="1" spans="102:103">
      <c r="CX1362" s="20"/>
      <c r="CY1362" s="20"/>
    </row>
    <row r="1363" ht="26.25" customHeight="1" spans="102:103">
      <c r="CX1363" s="20"/>
      <c r="CY1363" s="20"/>
    </row>
    <row r="1364" ht="26.25" customHeight="1" spans="102:103">
      <c r="CX1364" s="20"/>
      <c r="CY1364" s="20"/>
    </row>
    <row r="1365" ht="26.25" customHeight="1" spans="102:103">
      <c r="CX1365" s="20"/>
      <c r="CY1365" s="20"/>
    </row>
    <row r="1366" ht="26.25" customHeight="1" spans="102:103">
      <c r="CX1366" s="20"/>
      <c r="CY1366" s="20"/>
    </row>
    <row r="1367" ht="26.25" customHeight="1" spans="102:103">
      <c r="CX1367" s="20"/>
      <c r="CY1367" s="20"/>
    </row>
    <row r="1368" ht="26.25" customHeight="1" spans="102:103">
      <c r="CX1368" s="20"/>
      <c r="CY1368" s="20"/>
    </row>
    <row r="1369" ht="26.25" customHeight="1" spans="102:103">
      <c r="CX1369" s="20"/>
      <c r="CY1369" s="20"/>
    </row>
    <row r="1370" ht="26.25" customHeight="1" spans="102:103">
      <c r="CX1370" s="20"/>
      <c r="CY1370" s="20"/>
    </row>
    <row r="1371" ht="26.25" customHeight="1" spans="102:103">
      <c r="CX1371" s="20"/>
      <c r="CY1371" s="20"/>
    </row>
    <row r="1372" ht="26.25" customHeight="1" spans="102:103">
      <c r="CX1372" s="20"/>
      <c r="CY1372" s="20"/>
    </row>
    <row r="1373" ht="26.25" customHeight="1" spans="102:103">
      <c r="CX1373" s="20"/>
      <c r="CY1373" s="20"/>
    </row>
    <row r="1374" ht="26.25" customHeight="1" spans="102:103">
      <c r="CX1374" s="20"/>
      <c r="CY1374" s="20"/>
    </row>
    <row r="1375" ht="26.25" customHeight="1" spans="102:103">
      <c r="CX1375" s="20"/>
      <c r="CY1375" s="20"/>
    </row>
    <row r="1376" ht="26.25" customHeight="1" spans="102:103">
      <c r="CX1376" s="20"/>
      <c r="CY1376" s="20"/>
    </row>
    <row r="1377" ht="26.25" customHeight="1" spans="102:103">
      <c r="CX1377" s="20"/>
      <c r="CY1377" s="20"/>
    </row>
    <row r="1378" ht="26.25" customHeight="1" spans="102:103">
      <c r="CX1378" s="20"/>
      <c r="CY1378" s="20"/>
    </row>
    <row r="1379" ht="26.25" customHeight="1" spans="102:103">
      <c r="CX1379" s="20"/>
      <c r="CY1379" s="20"/>
    </row>
    <row r="1380" ht="26.25" customHeight="1" spans="102:103">
      <c r="CX1380" s="20"/>
      <c r="CY1380" s="20"/>
    </row>
    <row r="1381" ht="26.25" customHeight="1" spans="102:103">
      <c r="CX1381" s="20"/>
      <c r="CY1381" s="20"/>
    </row>
    <row r="1382" ht="26.25" customHeight="1" spans="102:103">
      <c r="CX1382" s="20"/>
      <c r="CY1382" s="20"/>
    </row>
    <row r="1383" ht="26.25" customHeight="1" spans="102:103">
      <c r="CX1383" s="20"/>
      <c r="CY1383" s="20"/>
    </row>
    <row r="1384" ht="26.25" customHeight="1" spans="102:103">
      <c r="CX1384" s="20"/>
      <c r="CY1384" s="20"/>
    </row>
    <row r="1385" ht="26.25" customHeight="1" spans="102:103">
      <c r="CX1385" s="20"/>
      <c r="CY1385" s="20"/>
    </row>
    <row r="1386" ht="26.25" customHeight="1" spans="102:103">
      <c r="CX1386" s="20"/>
      <c r="CY1386" s="20"/>
    </row>
    <row r="1387" ht="26.25" customHeight="1" spans="102:103">
      <c r="CX1387" s="20"/>
      <c r="CY1387" s="20"/>
    </row>
    <row r="1388" ht="26.25" customHeight="1" spans="102:103">
      <c r="CX1388" s="20"/>
      <c r="CY1388" s="20"/>
    </row>
    <row r="1389" ht="26.25" customHeight="1" spans="102:103">
      <c r="CX1389" s="20"/>
      <c r="CY1389" s="20"/>
    </row>
    <row r="1390" ht="26.25" customHeight="1" spans="102:103">
      <c r="CX1390" s="20"/>
      <c r="CY1390" s="20"/>
    </row>
    <row r="1391" ht="26.25" customHeight="1" spans="102:103">
      <c r="CX1391" s="20"/>
      <c r="CY1391" s="20"/>
    </row>
    <row r="1392" ht="26.25" customHeight="1" spans="102:103">
      <c r="CX1392" s="20"/>
      <c r="CY1392" s="20"/>
    </row>
    <row r="1393" ht="26.25" customHeight="1" spans="102:103">
      <c r="CX1393" s="20"/>
      <c r="CY1393" s="20"/>
    </row>
    <row r="1394" ht="26.25" customHeight="1" spans="102:103">
      <c r="CX1394" s="20"/>
      <c r="CY1394" s="20"/>
    </row>
    <row r="1395" ht="26.25" customHeight="1" spans="102:103">
      <c r="CX1395" s="20"/>
      <c r="CY1395" s="20"/>
    </row>
    <row r="1396" ht="26.25" customHeight="1" spans="102:103">
      <c r="CX1396" s="20"/>
      <c r="CY1396" s="20"/>
    </row>
    <row r="1397" ht="26.25" customHeight="1" spans="102:103">
      <c r="CX1397" s="20"/>
      <c r="CY1397" s="20"/>
    </row>
    <row r="1398" ht="26.25" customHeight="1" spans="102:103">
      <c r="CX1398" s="20"/>
      <c r="CY1398" s="20"/>
    </row>
    <row r="1399" ht="26.25" customHeight="1" spans="102:103">
      <c r="CX1399" s="20"/>
      <c r="CY1399" s="20"/>
    </row>
    <row r="1400" ht="26.25" customHeight="1" spans="102:103">
      <c r="CX1400" s="20"/>
      <c r="CY1400" s="20"/>
    </row>
    <row r="1401" ht="26.25" customHeight="1" spans="102:103">
      <c r="CX1401" s="20"/>
      <c r="CY1401" s="20"/>
    </row>
    <row r="1402" ht="26.25" customHeight="1" spans="102:103">
      <c r="CX1402" s="20"/>
      <c r="CY1402" s="20"/>
    </row>
    <row r="1403" ht="26.25" customHeight="1" spans="102:103">
      <c r="CX1403" s="20"/>
      <c r="CY1403" s="20"/>
    </row>
    <row r="1404" ht="26.25" customHeight="1" spans="102:103">
      <c r="CX1404" s="20"/>
      <c r="CY1404" s="20"/>
    </row>
    <row r="1405" ht="26.25" customHeight="1" spans="102:103">
      <c r="CX1405" s="20"/>
      <c r="CY1405" s="20"/>
    </row>
    <row r="1406" ht="26.25" customHeight="1" spans="102:103">
      <c r="CX1406" s="20"/>
      <c r="CY1406" s="20"/>
    </row>
    <row r="1407" ht="26.25" customHeight="1" spans="102:103">
      <c r="CX1407" s="20"/>
      <c r="CY1407" s="20"/>
    </row>
    <row r="1408" ht="26.25" customHeight="1" spans="102:103">
      <c r="CX1408" s="20"/>
      <c r="CY1408" s="20"/>
    </row>
    <row r="1409" ht="26.25" customHeight="1" spans="102:103">
      <c r="CX1409" s="20"/>
      <c r="CY1409" s="20"/>
    </row>
    <row r="1410" ht="26.25" customHeight="1" spans="102:103">
      <c r="CX1410" s="20"/>
      <c r="CY1410" s="20"/>
    </row>
    <row r="1411" ht="26.25" customHeight="1" spans="102:103">
      <c r="CX1411" s="20"/>
      <c r="CY1411" s="20"/>
    </row>
    <row r="1412" ht="26.25" customHeight="1" spans="102:103">
      <c r="CX1412" s="20"/>
      <c r="CY1412" s="20"/>
    </row>
    <row r="1413" ht="26.25" customHeight="1" spans="102:103">
      <c r="CX1413" s="20"/>
      <c r="CY1413" s="20"/>
    </row>
    <row r="1414" ht="26.25" customHeight="1" spans="102:103">
      <c r="CX1414" s="20"/>
      <c r="CY1414" s="20"/>
    </row>
    <row r="1415" ht="26.25" customHeight="1" spans="102:103">
      <c r="CX1415" s="20"/>
      <c r="CY1415" s="20"/>
    </row>
    <row r="1416" ht="26.25" customHeight="1" spans="102:103">
      <c r="CX1416" s="20"/>
      <c r="CY1416" s="20"/>
    </row>
    <row r="1417" ht="26.25" customHeight="1" spans="102:103">
      <c r="CX1417" s="20"/>
      <c r="CY1417" s="20"/>
    </row>
    <row r="1418" ht="26.25" customHeight="1" spans="102:103">
      <c r="CX1418" s="20"/>
      <c r="CY1418" s="20"/>
    </row>
    <row r="1419" ht="26.25" customHeight="1" spans="102:103">
      <c r="CX1419" s="20"/>
      <c r="CY1419" s="20"/>
    </row>
    <row r="1420" ht="26.25" customHeight="1" spans="102:103">
      <c r="CX1420" s="20"/>
      <c r="CY1420" s="20"/>
    </row>
    <row r="1421" ht="26.25" customHeight="1" spans="102:103">
      <c r="CX1421" s="20"/>
      <c r="CY1421" s="20"/>
    </row>
    <row r="1422" ht="26.25" customHeight="1" spans="102:103">
      <c r="CX1422" s="20"/>
      <c r="CY1422" s="20"/>
    </row>
    <row r="1423" ht="26.25" customHeight="1" spans="102:103">
      <c r="CX1423" s="20"/>
      <c r="CY1423" s="20"/>
    </row>
    <row r="1424" ht="26.25" customHeight="1" spans="102:103">
      <c r="CX1424" s="20"/>
      <c r="CY1424" s="20"/>
    </row>
    <row r="1425" ht="26.25" customHeight="1" spans="102:103">
      <c r="CX1425" s="20"/>
      <c r="CY1425" s="20"/>
    </row>
    <row r="1426" ht="26.25" customHeight="1" spans="102:103">
      <c r="CX1426" s="20"/>
      <c r="CY1426" s="20"/>
    </row>
    <row r="1427" ht="26.25" customHeight="1" spans="102:103">
      <c r="CX1427" s="20"/>
      <c r="CY1427" s="20"/>
    </row>
    <row r="1428" ht="26.25" customHeight="1" spans="102:103">
      <c r="CX1428" s="20"/>
      <c r="CY1428" s="20"/>
    </row>
    <row r="1429" ht="26.25" customHeight="1" spans="102:103">
      <c r="CX1429" s="20"/>
      <c r="CY1429" s="20"/>
    </row>
    <row r="1430" ht="26.25" customHeight="1" spans="102:103">
      <c r="CX1430" s="20"/>
      <c r="CY1430" s="20"/>
    </row>
    <row r="1431" ht="26.25" customHeight="1" spans="102:103">
      <c r="CX1431" s="20"/>
      <c r="CY1431" s="20"/>
    </row>
    <row r="1432" ht="26.25" customHeight="1" spans="102:103">
      <c r="CX1432" s="20"/>
      <c r="CY1432" s="20"/>
    </row>
    <row r="1433" ht="26.25" customHeight="1" spans="102:103">
      <c r="CX1433" s="20"/>
      <c r="CY1433" s="20"/>
    </row>
    <row r="1434" ht="26.25" customHeight="1" spans="102:103">
      <c r="CX1434" s="20"/>
      <c r="CY1434" s="20"/>
    </row>
    <row r="1435" ht="26.25" customHeight="1" spans="102:103">
      <c r="CX1435" s="20"/>
      <c r="CY1435" s="20"/>
    </row>
    <row r="1436" ht="26.25" customHeight="1" spans="102:103">
      <c r="CX1436" s="20"/>
      <c r="CY1436" s="20"/>
    </row>
    <row r="1437" ht="26.25" customHeight="1" spans="102:103">
      <c r="CX1437" s="20"/>
      <c r="CY1437" s="20"/>
    </row>
    <row r="1438" ht="26.25" customHeight="1" spans="102:103">
      <c r="CX1438" s="20"/>
      <c r="CY1438" s="20"/>
    </row>
    <row r="1439" ht="26.25" customHeight="1" spans="102:103">
      <c r="CX1439" s="20"/>
      <c r="CY1439" s="20"/>
    </row>
    <row r="1440" ht="26.25" customHeight="1" spans="102:103">
      <c r="CX1440" s="20"/>
      <c r="CY1440" s="20"/>
    </row>
    <row r="1441" ht="26.25" customHeight="1" spans="102:103">
      <c r="CX1441" s="20"/>
      <c r="CY1441" s="20"/>
    </row>
    <row r="1442" ht="26.25" customHeight="1" spans="102:103">
      <c r="CX1442" s="20"/>
      <c r="CY1442" s="20"/>
    </row>
    <row r="1443" ht="26.25" customHeight="1" spans="102:103">
      <c r="CX1443" s="20"/>
      <c r="CY1443" s="20"/>
    </row>
    <row r="1444" ht="26.25" customHeight="1" spans="102:103">
      <c r="CX1444" s="20"/>
      <c r="CY1444" s="20"/>
    </row>
    <row r="1445" ht="26.25" customHeight="1" spans="102:103">
      <c r="CX1445" s="20"/>
      <c r="CY1445" s="20"/>
    </row>
    <row r="1446" ht="26.25" customHeight="1" spans="102:103">
      <c r="CX1446" s="20"/>
      <c r="CY1446" s="20"/>
    </row>
    <row r="1447" ht="26.25" customHeight="1" spans="102:103">
      <c r="CX1447" s="20"/>
      <c r="CY1447" s="20"/>
    </row>
    <row r="1448" ht="26.25" customHeight="1" spans="102:103">
      <c r="CX1448" s="20"/>
      <c r="CY1448" s="20"/>
    </row>
    <row r="1449" ht="26.25" customHeight="1" spans="102:103">
      <c r="CX1449" s="20"/>
      <c r="CY1449" s="20"/>
    </row>
    <row r="1450" ht="26.25" customHeight="1" spans="102:103">
      <c r="CX1450" s="20"/>
      <c r="CY1450" s="20"/>
    </row>
    <row r="1451" ht="26.25" customHeight="1" spans="102:103">
      <c r="CX1451" s="20"/>
      <c r="CY1451" s="20"/>
    </row>
    <row r="1452" ht="26.25" customHeight="1" spans="102:103">
      <c r="CX1452" s="20"/>
      <c r="CY1452" s="20"/>
    </row>
    <row r="1453" ht="26.25" customHeight="1" spans="102:103">
      <c r="CX1453" s="20"/>
      <c r="CY1453" s="20"/>
    </row>
    <row r="1454" ht="26.25" customHeight="1" spans="102:103">
      <c r="CX1454" s="20"/>
      <c r="CY1454" s="20"/>
    </row>
    <row r="1455" ht="26.25" customHeight="1" spans="102:103">
      <c r="CX1455" s="20"/>
      <c r="CY1455" s="20"/>
    </row>
    <row r="1456" ht="26.25" customHeight="1" spans="102:103">
      <c r="CX1456" s="20"/>
      <c r="CY1456" s="20"/>
    </row>
    <row r="1457" ht="26.25" customHeight="1" spans="102:103">
      <c r="CX1457" s="20"/>
      <c r="CY1457" s="20"/>
    </row>
    <row r="1458" ht="26.25" customHeight="1" spans="102:103">
      <c r="CX1458" s="20"/>
      <c r="CY1458" s="20"/>
    </row>
    <row r="1459" ht="26.25" customHeight="1" spans="102:103">
      <c r="CX1459" s="20"/>
      <c r="CY1459" s="20"/>
    </row>
    <row r="1460" ht="26.25" customHeight="1" spans="102:103">
      <c r="CX1460" s="20"/>
      <c r="CY1460" s="20"/>
    </row>
    <row r="1461" ht="26.25" customHeight="1" spans="102:103">
      <c r="CX1461" s="20"/>
      <c r="CY1461" s="20"/>
    </row>
    <row r="1462" ht="26.25" customHeight="1" spans="102:103">
      <c r="CX1462" s="20"/>
      <c r="CY1462" s="20"/>
    </row>
    <row r="1463" ht="26.25" customHeight="1" spans="102:103">
      <c r="CX1463" s="20"/>
      <c r="CY1463" s="20"/>
    </row>
    <row r="1464" ht="26.25" customHeight="1" spans="102:103">
      <c r="CX1464" s="20"/>
      <c r="CY1464" s="20"/>
    </row>
    <row r="1465" ht="26.25" customHeight="1" spans="102:103">
      <c r="CX1465" s="20"/>
      <c r="CY1465" s="20"/>
    </row>
    <row r="1466" ht="26.25" customHeight="1" spans="102:103">
      <c r="CX1466" s="20"/>
      <c r="CY1466" s="20"/>
    </row>
    <row r="1467" ht="26.25" customHeight="1" spans="102:103">
      <c r="CX1467" s="20"/>
      <c r="CY1467" s="20"/>
    </row>
    <row r="1468" ht="26.25" customHeight="1" spans="102:103">
      <c r="CX1468" s="20"/>
      <c r="CY1468" s="20"/>
    </row>
    <row r="1469" ht="26.25" customHeight="1" spans="102:103">
      <c r="CX1469" s="20"/>
      <c r="CY1469" s="20"/>
    </row>
    <row r="1470" ht="26.25" customHeight="1" spans="102:103">
      <c r="CX1470" s="20"/>
      <c r="CY1470" s="20"/>
    </row>
    <row r="1471" ht="26.25" customHeight="1" spans="102:103">
      <c r="CX1471" s="20"/>
      <c r="CY1471" s="20"/>
    </row>
    <row r="1472" ht="26.25" customHeight="1" spans="102:103">
      <c r="CX1472" s="20"/>
      <c r="CY1472" s="20"/>
    </row>
    <row r="1473" ht="26.25" customHeight="1" spans="102:103">
      <c r="CX1473" s="20"/>
      <c r="CY1473" s="20"/>
    </row>
    <row r="1474" ht="26.25" customHeight="1" spans="102:103">
      <c r="CX1474" s="20"/>
      <c r="CY1474" s="20"/>
    </row>
    <row r="1475" ht="26.25" customHeight="1" spans="102:103">
      <c r="CX1475" s="20"/>
      <c r="CY1475" s="20"/>
    </row>
    <row r="1476" ht="26.25" customHeight="1" spans="102:103">
      <c r="CX1476" s="20"/>
      <c r="CY1476" s="20"/>
    </row>
    <row r="1477" ht="26.25" customHeight="1" spans="102:103">
      <c r="CX1477" s="20"/>
      <c r="CY1477" s="20"/>
    </row>
    <row r="1478" ht="26.25" customHeight="1" spans="102:103">
      <c r="CX1478" s="20"/>
      <c r="CY1478" s="20"/>
    </row>
    <row r="1479" ht="26.25" customHeight="1" spans="102:103">
      <c r="CX1479" s="20"/>
      <c r="CY1479" s="20"/>
    </row>
    <row r="1480" ht="26.25" customHeight="1" spans="102:103">
      <c r="CX1480" s="20"/>
      <c r="CY1480" s="20"/>
    </row>
    <row r="1481" ht="26.25" customHeight="1" spans="102:103">
      <c r="CX1481" s="20"/>
      <c r="CY1481" s="20"/>
    </row>
    <row r="1482" ht="26.25" customHeight="1" spans="102:103">
      <c r="CX1482" s="20"/>
      <c r="CY1482" s="20"/>
    </row>
    <row r="1483" ht="26.25" customHeight="1" spans="102:103">
      <c r="CX1483" s="20"/>
      <c r="CY1483" s="20"/>
    </row>
    <row r="1484" ht="26.25" customHeight="1" spans="102:103">
      <c r="CX1484" s="20"/>
      <c r="CY1484" s="20"/>
    </row>
    <row r="1485" ht="26.25" customHeight="1" spans="102:103">
      <c r="CX1485" s="20"/>
      <c r="CY1485" s="20"/>
    </row>
    <row r="1486" ht="26.25" customHeight="1" spans="102:103">
      <c r="CX1486" s="20"/>
      <c r="CY1486" s="20"/>
    </row>
    <row r="1487" ht="26.25" customHeight="1" spans="102:103">
      <c r="CX1487" s="20"/>
      <c r="CY1487" s="20"/>
    </row>
    <row r="1488" ht="26.25" customHeight="1" spans="102:103">
      <c r="CX1488" s="20"/>
      <c r="CY1488" s="20"/>
    </row>
    <row r="1489" ht="26.25" customHeight="1" spans="102:103">
      <c r="CX1489" s="20"/>
      <c r="CY1489" s="20"/>
    </row>
    <row r="1490" ht="26.25" customHeight="1" spans="102:103">
      <c r="CX1490" s="20"/>
      <c r="CY1490" s="20"/>
    </row>
    <row r="1491" ht="26.25" customHeight="1" spans="102:103">
      <c r="CX1491" s="20"/>
      <c r="CY1491" s="20"/>
    </row>
    <row r="1492" ht="26.25" customHeight="1" spans="102:103">
      <c r="CX1492" s="20"/>
      <c r="CY1492" s="20"/>
    </row>
    <row r="1493" ht="26.25" customHeight="1" spans="102:103">
      <c r="CX1493" s="20"/>
      <c r="CY1493" s="20"/>
    </row>
    <row r="1494" ht="26.25" customHeight="1" spans="102:103">
      <c r="CX1494" s="20"/>
      <c r="CY1494" s="20"/>
    </row>
    <row r="1495" ht="26.25" customHeight="1" spans="102:103">
      <c r="CX1495" s="20"/>
      <c r="CY1495" s="20"/>
    </row>
    <row r="1496" ht="26.25" customHeight="1" spans="102:103">
      <c r="CX1496" s="20"/>
      <c r="CY1496" s="20"/>
    </row>
    <row r="1497" ht="26.25" customHeight="1" spans="102:103">
      <c r="CX1497" s="20"/>
      <c r="CY1497" s="20"/>
    </row>
    <row r="1498" ht="26.25" customHeight="1" spans="102:103">
      <c r="CX1498" s="20"/>
      <c r="CY1498" s="20"/>
    </row>
    <row r="1499" ht="26.25" customHeight="1" spans="102:103">
      <c r="CX1499" s="20"/>
      <c r="CY1499" s="20"/>
    </row>
    <row r="1500" ht="26.25" customHeight="1" spans="102:103">
      <c r="CX1500" s="20"/>
      <c r="CY1500" s="20"/>
    </row>
    <row r="1501" ht="26.25" customHeight="1" spans="102:103">
      <c r="CX1501" s="20"/>
      <c r="CY1501" s="20"/>
    </row>
    <row r="1502" ht="26.25" customHeight="1" spans="102:103">
      <c r="CX1502" s="20"/>
      <c r="CY1502" s="20"/>
    </row>
    <row r="1503" ht="26.25" customHeight="1" spans="102:103">
      <c r="CX1503" s="20"/>
      <c r="CY1503" s="20"/>
    </row>
    <row r="1504" ht="26.25" customHeight="1" spans="102:103">
      <c r="CX1504" s="20"/>
      <c r="CY1504" s="20"/>
    </row>
    <row r="1505" ht="26.25" customHeight="1" spans="102:103">
      <c r="CX1505" s="20"/>
      <c r="CY1505" s="20"/>
    </row>
    <row r="1506" ht="26.25" customHeight="1" spans="102:103">
      <c r="CX1506" s="20"/>
      <c r="CY1506" s="20"/>
    </row>
    <row r="1507" ht="26.25" customHeight="1" spans="102:103">
      <c r="CX1507" s="20"/>
      <c r="CY1507" s="20"/>
    </row>
    <row r="1508" ht="26.25" customHeight="1" spans="102:103">
      <c r="CX1508" s="20"/>
      <c r="CY1508" s="20"/>
    </row>
    <row r="1509" ht="26.25" customHeight="1" spans="102:103">
      <c r="CX1509" s="20"/>
      <c r="CY1509" s="20"/>
    </row>
    <row r="1510" ht="26.25" customHeight="1" spans="102:103">
      <c r="CX1510" s="20"/>
      <c r="CY1510" s="20"/>
    </row>
    <row r="1511" ht="26.25" customHeight="1" spans="102:103">
      <c r="CX1511" s="20"/>
      <c r="CY1511" s="20"/>
    </row>
    <row r="1512" ht="26.25" customHeight="1" spans="102:103">
      <c r="CX1512" s="20"/>
      <c r="CY1512" s="20"/>
    </row>
    <row r="1513" ht="26.25" customHeight="1" spans="102:103">
      <c r="CX1513" s="20"/>
      <c r="CY1513" s="20"/>
    </row>
    <row r="1514" ht="26.25" customHeight="1" spans="102:103">
      <c r="CX1514" s="20"/>
      <c r="CY1514" s="20"/>
    </row>
    <row r="1515" ht="26.25" customHeight="1" spans="102:103">
      <c r="CX1515" s="20"/>
      <c r="CY1515" s="20"/>
    </row>
    <row r="1516" ht="26.25" customHeight="1" spans="102:103">
      <c r="CX1516" s="20"/>
      <c r="CY1516" s="20"/>
    </row>
    <row r="1517" ht="26.25" customHeight="1" spans="102:103">
      <c r="CX1517" s="20"/>
      <c r="CY1517" s="20"/>
    </row>
    <row r="1518" ht="26.25" customHeight="1" spans="102:103">
      <c r="CX1518" s="20"/>
      <c r="CY1518" s="20"/>
    </row>
    <row r="1519" ht="26.25" customHeight="1" spans="102:103">
      <c r="CX1519" s="20"/>
      <c r="CY1519" s="20"/>
    </row>
    <row r="1520" ht="26.25" customHeight="1" spans="102:103">
      <c r="CX1520" s="20"/>
      <c r="CY1520" s="20"/>
    </row>
    <row r="1521" ht="26.25" customHeight="1" spans="102:103">
      <c r="CX1521" s="20"/>
      <c r="CY1521" s="20"/>
    </row>
    <row r="1522" ht="26.25" customHeight="1" spans="102:103">
      <c r="CX1522" s="20"/>
      <c r="CY1522" s="20"/>
    </row>
    <row r="1523" ht="26.25" customHeight="1" spans="102:103">
      <c r="CX1523" s="20"/>
      <c r="CY1523" s="20"/>
    </row>
    <row r="1524" ht="26.25" customHeight="1" spans="102:103">
      <c r="CX1524" s="20"/>
      <c r="CY1524" s="20"/>
    </row>
    <row r="1525" ht="26.25" customHeight="1" spans="102:103">
      <c r="CX1525" s="20"/>
      <c r="CY1525" s="20"/>
    </row>
    <row r="1526" ht="26.25" customHeight="1" spans="102:103">
      <c r="CX1526" s="20"/>
      <c r="CY1526" s="20"/>
    </row>
    <row r="1527" ht="26.25" customHeight="1" spans="102:103">
      <c r="CX1527" s="20"/>
      <c r="CY1527" s="20"/>
    </row>
    <row r="1528" ht="26.25" customHeight="1" spans="102:103">
      <c r="CX1528" s="20"/>
      <c r="CY1528" s="20"/>
    </row>
    <row r="1529" ht="26.25" customHeight="1" spans="102:103">
      <c r="CX1529" s="20"/>
      <c r="CY1529" s="20"/>
    </row>
    <row r="1530" ht="26.25" customHeight="1" spans="102:103">
      <c r="CX1530" s="20"/>
      <c r="CY1530" s="20"/>
    </row>
    <row r="1531" ht="26.25" customHeight="1" spans="102:103">
      <c r="CX1531" s="20"/>
      <c r="CY1531" s="20"/>
    </row>
    <row r="1532" ht="26.25" customHeight="1" spans="102:103">
      <c r="CX1532" s="20"/>
      <c r="CY1532" s="20"/>
    </row>
    <row r="1533" ht="26.25" customHeight="1" spans="102:103">
      <c r="CX1533" s="20"/>
      <c r="CY1533" s="20"/>
    </row>
    <row r="1534" ht="26.25" customHeight="1" spans="102:103">
      <c r="CX1534" s="20"/>
      <c r="CY1534" s="20"/>
    </row>
    <row r="1535" ht="26.25" customHeight="1" spans="102:103">
      <c r="CX1535" s="20"/>
      <c r="CY1535" s="20"/>
    </row>
    <row r="1536" ht="26.25" customHeight="1" spans="102:103">
      <c r="CX1536" s="20"/>
      <c r="CY1536" s="20"/>
    </row>
    <row r="1537" ht="26.25" customHeight="1" spans="102:103">
      <c r="CX1537" s="20"/>
      <c r="CY1537" s="20"/>
    </row>
    <row r="1538" ht="26.25" customHeight="1" spans="102:103">
      <c r="CX1538" s="20"/>
      <c r="CY1538" s="20"/>
    </row>
    <row r="1539" ht="26.25" customHeight="1" spans="102:103">
      <c r="CX1539" s="20"/>
      <c r="CY1539" s="20"/>
    </row>
    <row r="1540" ht="26.25" customHeight="1" spans="102:103">
      <c r="CX1540" s="20"/>
      <c r="CY1540" s="20"/>
    </row>
    <row r="1541" ht="26.25" customHeight="1" spans="102:103">
      <c r="CX1541" s="20"/>
      <c r="CY1541" s="20"/>
    </row>
    <row r="1542" ht="26.25" customHeight="1" spans="102:103">
      <c r="CX1542" s="20"/>
      <c r="CY1542" s="20"/>
    </row>
    <row r="1543" ht="26.25" customHeight="1" spans="102:103">
      <c r="CX1543" s="20"/>
      <c r="CY1543" s="20"/>
    </row>
    <row r="1544" ht="26.25" customHeight="1" spans="102:103">
      <c r="CX1544" s="20"/>
      <c r="CY1544" s="20"/>
    </row>
    <row r="1545" ht="26.25" customHeight="1" spans="102:103">
      <c r="CX1545" s="20"/>
      <c r="CY1545" s="20"/>
    </row>
    <row r="1546" ht="26.25" customHeight="1" spans="102:103">
      <c r="CX1546" s="20"/>
      <c r="CY1546" s="20"/>
    </row>
    <row r="1547" ht="26.25" customHeight="1" spans="102:103">
      <c r="CX1547" s="20"/>
      <c r="CY1547" s="20"/>
    </row>
    <row r="1548" ht="26.25" customHeight="1" spans="102:103">
      <c r="CX1548" s="20"/>
      <c r="CY1548" s="20"/>
    </row>
    <row r="1549" ht="26.25" customHeight="1" spans="102:103">
      <c r="CX1549" s="20"/>
      <c r="CY1549" s="20"/>
    </row>
    <row r="1550" ht="26.25" customHeight="1" spans="102:103">
      <c r="CX1550" s="20"/>
      <c r="CY1550" s="20"/>
    </row>
    <row r="1551" ht="26.25" customHeight="1" spans="102:103">
      <c r="CX1551" s="20"/>
      <c r="CY1551" s="20"/>
    </row>
    <row r="1552" ht="26.25" customHeight="1" spans="102:103">
      <c r="CX1552" s="20"/>
      <c r="CY1552" s="20"/>
    </row>
    <row r="1553" ht="26.25" customHeight="1" spans="102:103">
      <c r="CX1553" s="20"/>
      <c r="CY1553" s="20"/>
    </row>
    <row r="1554" ht="26.25" customHeight="1" spans="102:103">
      <c r="CX1554" s="20"/>
      <c r="CY1554" s="20"/>
    </row>
    <row r="1555" ht="26.25" customHeight="1" spans="102:103">
      <c r="CX1555" s="20"/>
      <c r="CY1555" s="20"/>
    </row>
    <row r="1556" ht="26.25" customHeight="1" spans="102:103">
      <c r="CX1556" s="20"/>
      <c r="CY1556" s="20"/>
    </row>
    <row r="1557" ht="26.25" customHeight="1" spans="102:103">
      <c r="CX1557" s="20"/>
      <c r="CY1557" s="20"/>
    </row>
    <row r="1558" ht="26.25" customHeight="1" spans="102:103">
      <c r="CX1558" s="20"/>
      <c r="CY1558" s="20"/>
    </row>
    <row r="1559" ht="26.25" customHeight="1" spans="102:103">
      <c r="CX1559" s="20"/>
      <c r="CY1559" s="20"/>
    </row>
    <row r="1560" ht="26.25" customHeight="1" spans="102:103">
      <c r="CX1560" s="20"/>
      <c r="CY1560" s="20"/>
    </row>
    <row r="1561" ht="26.25" customHeight="1" spans="102:103">
      <c r="CX1561" s="20"/>
      <c r="CY1561" s="20"/>
    </row>
    <row r="1562" ht="26.25" customHeight="1" spans="102:103">
      <c r="CX1562" s="20"/>
      <c r="CY1562" s="20"/>
    </row>
    <row r="1563" ht="26.25" customHeight="1" spans="102:103">
      <c r="CX1563" s="20"/>
      <c r="CY1563" s="20"/>
    </row>
    <row r="1564" ht="26.25" customHeight="1" spans="102:103">
      <c r="CX1564" s="20"/>
      <c r="CY1564" s="20"/>
    </row>
    <row r="1565" ht="26.25" customHeight="1" spans="102:103">
      <c r="CX1565" s="20"/>
      <c r="CY1565" s="20"/>
    </row>
    <row r="1566" ht="26.25" customHeight="1" spans="102:103">
      <c r="CX1566" s="20"/>
      <c r="CY1566" s="20"/>
    </row>
    <row r="1567" ht="26.25" customHeight="1" spans="102:103">
      <c r="CX1567" s="20"/>
      <c r="CY1567" s="20"/>
    </row>
    <row r="1568" ht="26.25" customHeight="1" spans="102:103">
      <c r="CX1568" s="20"/>
      <c r="CY1568" s="20"/>
    </row>
    <row r="1569" ht="26.25" customHeight="1" spans="102:103">
      <c r="CX1569" s="20"/>
      <c r="CY1569" s="20"/>
    </row>
    <row r="1570" ht="26.25" customHeight="1" spans="102:103">
      <c r="CX1570" s="20"/>
      <c r="CY1570" s="20"/>
    </row>
    <row r="1571" ht="26.25" customHeight="1" spans="102:103">
      <c r="CX1571" s="20"/>
      <c r="CY1571" s="20"/>
    </row>
    <row r="1572" ht="26.25" customHeight="1" spans="102:103">
      <c r="CX1572" s="20"/>
      <c r="CY1572" s="20"/>
    </row>
    <row r="1573" ht="26.25" customHeight="1" spans="102:103">
      <c r="CX1573" s="20"/>
      <c r="CY1573" s="20"/>
    </row>
    <row r="1574" ht="26.25" customHeight="1" spans="102:103">
      <c r="CX1574" s="20"/>
      <c r="CY1574" s="20"/>
    </row>
    <row r="1575" ht="26.25" customHeight="1" spans="102:103">
      <c r="CX1575" s="20"/>
      <c r="CY1575" s="20"/>
    </row>
    <row r="1576" ht="26.25" customHeight="1" spans="102:103">
      <c r="CX1576" s="20"/>
      <c r="CY1576" s="20"/>
    </row>
    <row r="1577" ht="26.25" customHeight="1" spans="102:103">
      <c r="CX1577" s="20"/>
      <c r="CY1577" s="20"/>
    </row>
    <row r="1578" ht="26.25" customHeight="1" spans="102:103">
      <c r="CX1578" s="20"/>
      <c r="CY1578" s="20"/>
    </row>
    <row r="1579" ht="26.25" customHeight="1" spans="102:103">
      <c r="CX1579" s="20"/>
      <c r="CY1579" s="20"/>
    </row>
    <row r="1580" ht="26.25" customHeight="1" spans="102:103">
      <c r="CX1580" s="20"/>
      <c r="CY1580" s="20"/>
    </row>
    <row r="1581" ht="26.25" customHeight="1" spans="102:103">
      <c r="CX1581" s="20"/>
      <c r="CY1581" s="20"/>
    </row>
    <row r="1582" ht="26.25" customHeight="1" spans="102:103">
      <c r="CX1582" s="20"/>
      <c r="CY1582" s="20"/>
    </row>
    <row r="1583" ht="26.25" customHeight="1" spans="102:103">
      <c r="CX1583" s="20"/>
      <c r="CY1583" s="20"/>
    </row>
    <row r="1584" ht="26.25" customHeight="1" spans="102:103">
      <c r="CX1584" s="20"/>
      <c r="CY1584" s="20"/>
    </row>
    <row r="1585" ht="26.25" customHeight="1" spans="102:103">
      <c r="CX1585" s="20"/>
      <c r="CY1585" s="20"/>
    </row>
    <row r="1586" ht="26.25" customHeight="1" spans="102:103">
      <c r="CX1586" s="20"/>
      <c r="CY1586" s="20"/>
    </row>
    <row r="1587" ht="26.25" customHeight="1" spans="102:103">
      <c r="CX1587" s="20"/>
      <c r="CY1587" s="20"/>
    </row>
    <row r="1588" ht="26.25" customHeight="1" spans="102:103">
      <c r="CX1588" s="20"/>
      <c r="CY1588" s="20"/>
    </row>
    <row r="1589" ht="26.25" customHeight="1" spans="102:103">
      <c r="CX1589" s="20"/>
      <c r="CY1589" s="20"/>
    </row>
    <row r="1590" ht="26.25" customHeight="1" spans="102:103">
      <c r="CX1590" s="20"/>
      <c r="CY1590" s="20"/>
    </row>
    <row r="1591" ht="26.25" customHeight="1" spans="102:103">
      <c r="CX1591" s="20"/>
      <c r="CY1591" s="20"/>
    </row>
    <row r="1592" ht="26.25" customHeight="1" spans="102:103">
      <c r="CX1592" s="20"/>
      <c r="CY1592" s="20"/>
    </row>
    <row r="1593" ht="26.25" customHeight="1" spans="102:103">
      <c r="CX1593" s="20"/>
      <c r="CY1593" s="20"/>
    </row>
    <row r="1594" ht="26.25" customHeight="1" spans="102:103">
      <c r="CX1594" s="20"/>
      <c r="CY1594" s="20"/>
    </row>
    <row r="1595" ht="26.25" customHeight="1" spans="102:103">
      <c r="CX1595" s="20"/>
      <c r="CY1595" s="20"/>
    </row>
    <row r="1596" ht="26.25" customHeight="1" spans="102:103">
      <c r="CX1596" s="20"/>
      <c r="CY1596" s="20"/>
    </row>
    <row r="1597" ht="26.25" customHeight="1" spans="102:103">
      <c r="CX1597" s="20"/>
      <c r="CY1597" s="20"/>
    </row>
    <row r="1598" ht="26.25" customHeight="1" spans="102:103">
      <c r="CX1598" s="20"/>
      <c r="CY1598" s="20"/>
    </row>
    <row r="1599" ht="26.25" customHeight="1" spans="102:103">
      <c r="CX1599" s="20"/>
      <c r="CY1599" s="20"/>
    </row>
    <row r="1600" ht="26.25" customHeight="1" spans="102:103">
      <c r="CX1600" s="20"/>
      <c r="CY1600" s="20"/>
    </row>
    <row r="1601" ht="26.25" customHeight="1" spans="102:103">
      <c r="CX1601" s="20"/>
      <c r="CY1601" s="20"/>
    </row>
    <row r="1602" ht="26.25" customHeight="1" spans="102:103">
      <c r="CX1602" s="20"/>
      <c r="CY1602" s="20"/>
    </row>
    <row r="1603" ht="26.25" customHeight="1" spans="102:103">
      <c r="CX1603" s="20"/>
      <c r="CY1603" s="20"/>
    </row>
    <row r="1604" ht="26.25" customHeight="1" spans="102:103">
      <c r="CX1604" s="20"/>
      <c r="CY1604" s="20"/>
    </row>
    <row r="1605" ht="26.25" customHeight="1" spans="102:103">
      <c r="CX1605" s="20"/>
      <c r="CY1605" s="20"/>
    </row>
    <row r="1606" ht="26.25" customHeight="1" spans="102:103">
      <c r="CX1606" s="20"/>
      <c r="CY1606" s="20"/>
    </row>
    <row r="1607" ht="26.25" customHeight="1" spans="102:103">
      <c r="CX1607" s="20"/>
      <c r="CY1607" s="20"/>
    </row>
    <row r="1608" ht="26.25" customHeight="1" spans="102:103">
      <c r="CX1608" s="20"/>
      <c r="CY1608" s="20"/>
    </row>
    <row r="1609" ht="26.25" customHeight="1" spans="102:103">
      <c r="CX1609" s="20"/>
      <c r="CY1609" s="20"/>
    </row>
    <row r="1610" ht="26.25" customHeight="1" spans="102:103">
      <c r="CX1610" s="20"/>
      <c r="CY1610" s="20"/>
    </row>
    <row r="1611" ht="26.25" customHeight="1" spans="102:103">
      <c r="CX1611" s="20"/>
      <c r="CY1611" s="20"/>
    </row>
    <row r="1612" ht="26.25" customHeight="1" spans="102:103">
      <c r="CX1612" s="20"/>
      <c r="CY1612" s="20"/>
    </row>
    <row r="1613" ht="26.25" customHeight="1" spans="102:103">
      <c r="CX1613" s="20"/>
      <c r="CY1613" s="20"/>
    </row>
    <row r="1614" ht="26.25" customHeight="1" spans="102:103">
      <c r="CX1614" s="20"/>
      <c r="CY1614" s="20"/>
    </row>
    <row r="1615" ht="26.25" customHeight="1" spans="102:103">
      <c r="CX1615" s="20"/>
      <c r="CY1615" s="20"/>
    </row>
    <row r="1616" ht="26.25" customHeight="1" spans="102:103">
      <c r="CX1616" s="20"/>
      <c r="CY1616" s="20"/>
    </row>
    <row r="1617" ht="26.25" customHeight="1" spans="102:103">
      <c r="CX1617" s="20"/>
      <c r="CY1617" s="20"/>
    </row>
    <row r="1618" ht="26.25" customHeight="1" spans="102:103">
      <c r="CX1618" s="20"/>
      <c r="CY1618" s="20"/>
    </row>
    <row r="1619" ht="26.25" customHeight="1" spans="102:103">
      <c r="CX1619" s="20"/>
      <c r="CY1619" s="20"/>
    </row>
    <row r="1620" ht="26.25" customHeight="1" spans="102:103">
      <c r="CX1620" s="20"/>
      <c r="CY1620" s="20"/>
    </row>
    <row r="1621" ht="26.25" customHeight="1" spans="102:103">
      <c r="CX1621" s="20"/>
      <c r="CY1621" s="20"/>
    </row>
    <row r="1622" ht="26.25" customHeight="1" spans="102:103">
      <c r="CX1622" s="20"/>
      <c r="CY1622" s="20"/>
    </row>
    <row r="1623" ht="26.25" customHeight="1" spans="102:103">
      <c r="CX1623" s="20"/>
      <c r="CY1623" s="20"/>
    </row>
    <row r="1624" ht="26.25" customHeight="1" spans="102:103">
      <c r="CX1624" s="20"/>
      <c r="CY1624" s="20"/>
    </row>
    <row r="1625" ht="26.25" customHeight="1" spans="102:103">
      <c r="CX1625" s="20"/>
      <c r="CY1625" s="20"/>
    </row>
    <row r="1626" ht="26.25" customHeight="1" spans="102:103">
      <c r="CX1626" s="20"/>
      <c r="CY1626" s="20"/>
    </row>
    <row r="1627" ht="26.25" customHeight="1" spans="102:103">
      <c r="CX1627" s="20"/>
      <c r="CY1627" s="20"/>
    </row>
    <row r="1628" ht="26.25" customHeight="1" spans="102:103">
      <c r="CX1628" s="20"/>
      <c r="CY1628" s="20"/>
    </row>
    <row r="1629" ht="26.25" customHeight="1" spans="102:103">
      <c r="CX1629" s="20"/>
      <c r="CY1629" s="20"/>
    </row>
    <row r="1630" ht="26.25" customHeight="1" spans="102:103">
      <c r="CX1630" s="20"/>
      <c r="CY1630" s="20"/>
    </row>
    <row r="1631" ht="26.25" customHeight="1" spans="102:103">
      <c r="CX1631" s="20"/>
      <c r="CY1631" s="20"/>
    </row>
    <row r="1632" ht="26.25" customHeight="1" spans="102:103">
      <c r="CX1632" s="20"/>
      <c r="CY1632" s="20"/>
    </row>
    <row r="1633" ht="26.25" customHeight="1" spans="102:103">
      <c r="CX1633" s="20"/>
      <c r="CY1633" s="20"/>
    </row>
    <row r="1634" ht="26.25" customHeight="1" spans="102:103">
      <c r="CX1634" s="20"/>
      <c r="CY1634" s="20"/>
    </row>
    <row r="1635" ht="26.25" customHeight="1" spans="102:103">
      <c r="CX1635" s="20"/>
      <c r="CY1635" s="20"/>
    </row>
    <row r="1636" ht="26.25" customHeight="1" spans="102:103">
      <c r="CX1636" s="20"/>
      <c r="CY1636" s="20"/>
    </row>
    <row r="1637" ht="26.25" customHeight="1" spans="102:103">
      <c r="CX1637" s="20"/>
      <c r="CY1637" s="20"/>
    </row>
    <row r="1638" ht="26.25" customHeight="1" spans="102:103">
      <c r="CX1638" s="20"/>
      <c r="CY1638" s="20"/>
    </row>
    <row r="1639" ht="26.25" customHeight="1" spans="102:103">
      <c r="CX1639" s="20"/>
      <c r="CY1639" s="20"/>
    </row>
    <row r="1640" ht="26.25" customHeight="1" spans="102:103">
      <c r="CX1640" s="20"/>
      <c r="CY1640" s="20"/>
    </row>
    <row r="1641" ht="26.25" customHeight="1" spans="102:103">
      <c r="CX1641" s="20"/>
      <c r="CY1641" s="20"/>
    </row>
    <row r="1642" ht="26.25" customHeight="1" spans="102:103">
      <c r="CX1642" s="20"/>
      <c r="CY1642" s="20"/>
    </row>
    <row r="1643" ht="26.25" customHeight="1" spans="102:103">
      <c r="CX1643" s="20"/>
      <c r="CY1643" s="20"/>
    </row>
    <row r="1644" ht="26.25" customHeight="1" spans="102:103">
      <c r="CX1644" s="20"/>
      <c r="CY1644" s="20"/>
    </row>
    <row r="1645" ht="26.25" customHeight="1" spans="102:103">
      <c r="CX1645" s="20"/>
      <c r="CY1645" s="20"/>
    </row>
    <row r="1646" ht="26.25" customHeight="1" spans="102:103">
      <c r="CX1646" s="20"/>
      <c r="CY1646" s="20"/>
    </row>
    <row r="1647" ht="26.25" customHeight="1" spans="102:103">
      <c r="CX1647" s="20"/>
      <c r="CY1647" s="20"/>
    </row>
    <row r="1648" ht="26.25" customHeight="1" spans="102:103">
      <c r="CX1648" s="20"/>
      <c r="CY1648" s="20"/>
    </row>
    <row r="1649" ht="26.25" customHeight="1" spans="102:103">
      <c r="CX1649" s="20"/>
      <c r="CY1649" s="20"/>
    </row>
    <row r="1650" ht="26.25" customHeight="1" spans="102:103">
      <c r="CX1650" s="20"/>
      <c r="CY1650" s="20"/>
    </row>
    <row r="1651" ht="26.25" customHeight="1" spans="102:103">
      <c r="CX1651" s="20"/>
      <c r="CY1651" s="20"/>
    </row>
    <row r="1652" ht="26.25" customHeight="1" spans="102:103">
      <c r="CX1652" s="20"/>
      <c r="CY1652" s="20"/>
    </row>
    <row r="1653" ht="26.25" customHeight="1" spans="102:103">
      <c r="CX1653" s="20"/>
      <c r="CY1653" s="20"/>
    </row>
    <row r="1654" ht="26.25" customHeight="1" spans="102:103">
      <c r="CX1654" s="20"/>
      <c r="CY1654" s="20"/>
    </row>
    <row r="1655" ht="26.25" customHeight="1" spans="102:103">
      <c r="CX1655" s="20"/>
      <c r="CY1655" s="20"/>
    </row>
    <row r="1656" ht="26.25" customHeight="1" spans="102:103">
      <c r="CX1656" s="20"/>
      <c r="CY1656" s="20"/>
    </row>
    <row r="1657" ht="26.25" customHeight="1" spans="102:103">
      <c r="CX1657" s="20"/>
      <c r="CY1657" s="20"/>
    </row>
    <row r="1658" ht="26.25" customHeight="1" spans="102:103">
      <c r="CX1658" s="20"/>
      <c r="CY1658" s="20"/>
    </row>
    <row r="1659" ht="26.25" customHeight="1" spans="102:103">
      <c r="CX1659" s="20"/>
      <c r="CY1659" s="20"/>
    </row>
    <row r="1660" ht="26.25" customHeight="1" spans="102:103">
      <c r="CX1660" s="20"/>
      <c r="CY1660" s="20"/>
    </row>
    <row r="1661" ht="26.25" customHeight="1" spans="102:103">
      <c r="CX1661" s="20"/>
      <c r="CY1661" s="20"/>
    </row>
    <row r="1662" ht="26.25" customHeight="1" spans="102:103">
      <c r="CX1662" s="20"/>
      <c r="CY1662" s="20"/>
    </row>
    <row r="1663" ht="26.25" customHeight="1" spans="102:103">
      <c r="CX1663" s="20"/>
      <c r="CY1663" s="20"/>
    </row>
    <row r="1664" ht="26.25" customHeight="1" spans="102:103">
      <c r="CX1664" s="20"/>
      <c r="CY1664" s="20"/>
    </row>
    <row r="1665" ht="26.25" customHeight="1" spans="102:103">
      <c r="CX1665" s="20"/>
      <c r="CY1665" s="20"/>
    </row>
    <row r="1666" ht="26.25" customHeight="1" spans="102:103">
      <c r="CX1666" s="20"/>
      <c r="CY1666" s="20"/>
    </row>
    <row r="1667" ht="26.25" customHeight="1" spans="102:103">
      <c r="CX1667" s="20"/>
      <c r="CY1667" s="20"/>
    </row>
    <row r="1668" ht="26.25" customHeight="1" spans="102:103">
      <c r="CX1668" s="20"/>
      <c r="CY1668" s="20"/>
    </row>
    <row r="1669" ht="26.25" customHeight="1" spans="102:103">
      <c r="CX1669" s="20"/>
      <c r="CY1669" s="20"/>
    </row>
    <row r="1670" ht="26.25" customHeight="1" spans="102:103">
      <c r="CX1670" s="20"/>
      <c r="CY1670" s="20"/>
    </row>
    <row r="1671" ht="26.25" customHeight="1" spans="102:103">
      <c r="CX1671" s="20"/>
      <c r="CY1671" s="20"/>
    </row>
    <row r="1672" ht="26.25" customHeight="1" spans="102:103">
      <c r="CX1672" s="20"/>
      <c r="CY1672" s="20"/>
    </row>
    <row r="1673" ht="26.25" customHeight="1" spans="102:103">
      <c r="CX1673" s="20"/>
      <c r="CY1673" s="20"/>
    </row>
    <row r="1674" ht="26.25" customHeight="1" spans="102:103">
      <c r="CX1674" s="20"/>
      <c r="CY1674" s="20"/>
    </row>
    <row r="1675" ht="26.25" customHeight="1" spans="102:103">
      <c r="CX1675" s="20"/>
      <c r="CY1675" s="20"/>
    </row>
    <row r="1676" ht="26.25" customHeight="1" spans="102:103">
      <c r="CX1676" s="20"/>
      <c r="CY1676" s="20"/>
    </row>
    <row r="1677" ht="26.25" customHeight="1" spans="102:103">
      <c r="CX1677" s="20"/>
      <c r="CY1677" s="20"/>
    </row>
    <row r="1678" ht="26.25" customHeight="1" spans="102:103">
      <c r="CX1678" s="20"/>
      <c r="CY1678" s="20"/>
    </row>
    <row r="1679" ht="26.25" customHeight="1" spans="102:103">
      <c r="CX1679" s="20"/>
      <c r="CY1679" s="20"/>
    </row>
    <row r="1680" ht="26.25" customHeight="1" spans="102:103">
      <c r="CX1680" s="20"/>
      <c r="CY1680" s="20"/>
    </row>
    <row r="1681" ht="26.25" customHeight="1" spans="102:103">
      <c r="CX1681" s="20"/>
      <c r="CY1681" s="20"/>
    </row>
    <row r="1682" ht="26.25" customHeight="1" spans="102:103">
      <c r="CX1682" s="20"/>
      <c r="CY1682" s="20"/>
    </row>
    <row r="1683" ht="26.25" customHeight="1" spans="102:103">
      <c r="CX1683" s="20"/>
      <c r="CY1683" s="20"/>
    </row>
    <row r="1684" ht="26.25" customHeight="1" spans="102:103">
      <c r="CX1684" s="20"/>
      <c r="CY1684" s="20"/>
    </row>
    <row r="1685" ht="26.25" customHeight="1" spans="102:103">
      <c r="CX1685" s="20"/>
      <c r="CY1685" s="20"/>
    </row>
    <row r="1686" ht="26.25" customHeight="1" spans="102:103">
      <c r="CX1686" s="20"/>
      <c r="CY1686" s="20"/>
    </row>
    <row r="1687" ht="26.25" customHeight="1" spans="102:103">
      <c r="CX1687" s="20"/>
      <c r="CY1687" s="20"/>
    </row>
    <row r="1688" ht="26.25" customHeight="1" spans="102:103">
      <c r="CX1688" s="20"/>
      <c r="CY1688" s="20"/>
    </row>
    <row r="1689" ht="26.25" customHeight="1" spans="102:103">
      <c r="CX1689" s="20"/>
      <c r="CY1689" s="20"/>
    </row>
    <row r="1690" ht="26.25" customHeight="1" spans="102:103">
      <c r="CX1690" s="20"/>
      <c r="CY1690" s="20"/>
    </row>
    <row r="1691" ht="26.25" customHeight="1" spans="102:103">
      <c r="CX1691" s="20"/>
      <c r="CY1691" s="20"/>
    </row>
    <row r="1692" ht="26.25" customHeight="1" spans="102:103">
      <c r="CX1692" s="20"/>
      <c r="CY1692" s="20"/>
    </row>
    <row r="1693" ht="26.25" customHeight="1" spans="102:103">
      <c r="CX1693" s="20"/>
      <c r="CY1693" s="20"/>
    </row>
    <row r="1694" ht="26.25" customHeight="1" spans="102:103">
      <c r="CX1694" s="20"/>
      <c r="CY1694" s="20"/>
    </row>
    <row r="1695" ht="26.25" customHeight="1" spans="102:103">
      <c r="CX1695" s="20"/>
      <c r="CY1695" s="20"/>
    </row>
    <row r="1696" ht="26.25" customHeight="1" spans="102:103">
      <c r="CX1696" s="20"/>
      <c r="CY1696" s="20"/>
    </row>
    <row r="1697" ht="26.25" customHeight="1" spans="102:103">
      <c r="CX1697" s="20"/>
      <c r="CY1697" s="20"/>
    </row>
    <row r="1698" ht="26.25" customHeight="1" spans="102:103">
      <c r="CX1698" s="20"/>
      <c r="CY1698" s="20"/>
    </row>
    <row r="1699" ht="26.25" customHeight="1" spans="102:103">
      <c r="CX1699" s="20"/>
      <c r="CY1699" s="20"/>
    </row>
    <row r="1700" ht="26.25" customHeight="1" spans="102:103">
      <c r="CX1700" s="20"/>
      <c r="CY1700" s="20"/>
    </row>
    <row r="1701" ht="26.25" customHeight="1" spans="102:103">
      <c r="CX1701" s="20"/>
      <c r="CY1701" s="20"/>
    </row>
    <row r="1702" ht="26.25" customHeight="1" spans="102:103">
      <c r="CX1702" s="20"/>
      <c r="CY1702" s="20"/>
    </row>
    <row r="1703" ht="26.25" customHeight="1" spans="102:103">
      <c r="CX1703" s="20"/>
      <c r="CY1703" s="20"/>
    </row>
    <row r="1704" ht="26.25" customHeight="1" spans="102:103">
      <c r="CX1704" s="20"/>
      <c r="CY1704" s="20"/>
    </row>
    <row r="1705" ht="26.25" customHeight="1" spans="102:103">
      <c r="CX1705" s="20"/>
      <c r="CY1705" s="20"/>
    </row>
    <row r="1706" ht="26.25" customHeight="1" spans="102:103">
      <c r="CX1706" s="20"/>
      <c r="CY1706" s="20"/>
    </row>
    <row r="1707" ht="26.25" customHeight="1" spans="102:103">
      <c r="CX1707" s="20"/>
      <c r="CY1707" s="20"/>
    </row>
    <row r="1708" ht="26.25" customHeight="1" spans="102:103">
      <c r="CX1708" s="20"/>
      <c r="CY1708" s="20"/>
    </row>
    <row r="1709" ht="26.25" customHeight="1" spans="102:103">
      <c r="CX1709" s="20"/>
      <c r="CY1709" s="20"/>
    </row>
    <row r="1710" ht="26.25" customHeight="1" spans="102:103">
      <c r="CX1710" s="20"/>
      <c r="CY1710" s="20"/>
    </row>
    <row r="1711" ht="26.25" customHeight="1" spans="102:103">
      <c r="CX1711" s="20"/>
      <c r="CY1711" s="20"/>
    </row>
    <row r="1712" ht="26.25" customHeight="1" spans="102:103">
      <c r="CX1712" s="20"/>
      <c r="CY1712" s="20"/>
    </row>
    <row r="1713" ht="26.25" customHeight="1" spans="102:103">
      <c r="CX1713" s="20"/>
      <c r="CY1713" s="20"/>
    </row>
    <row r="1714" ht="26.25" customHeight="1" spans="102:103">
      <c r="CX1714" s="20"/>
      <c r="CY1714" s="20"/>
    </row>
    <row r="1715" ht="26.25" customHeight="1" spans="102:103">
      <c r="CX1715" s="20"/>
      <c r="CY1715" s="20"/>
    </row>
    <row r="1716" ht="26.25" customHeight="1" spans="102:103">
      <c r="CX1716" s="20"/>
      <c r="CY1716" s="20"/>
    </row>
    <row r="1717" ht="26.25" customHeight="1" spans="102:103">
      <c r="CX1717" s="20"/>
      <c r="CY1717" s="20"/>
    </row>
    <row r="1718" ht="26.25" customHeight="1" spans="102:103">
      <c r="CX1718" s="20"/>
      <c r="CY1718" s="20"/>
    </row>
    <row r="1719" ht="26.25" customHeight="1" spans="102:103">
      <c r="CX1719" s="20"/>
      <c r="CY1719" s="20"/>
    </row>
    <row r="1720" ht="26.25" customHeight="1" spans="102:103">
      <c r="CX1720" s="20"/>
      <c r="CY1720" s="20"/>
    </row>
    <row r="1721" ht="26.25" customHeight="1" spans="102:103">
      <c r="CX1721" s="20"/>
      <c r="CY1721" s="20"/>
    </row>
    <row r="1722" ht="26.25" customHeight="1" spans="102:103">
      <c r="CX1722" s="20"/>
      <c r="CY1722" s="20"/>
    </row>
    <row r="1723" ht="26.25" customHeight="1" spans="102:103">
      <c r="CX1723" s="20"/>
      <c r="CY1723" s="20"/>
    </row>
    <row r="1724" ht="26.25" customHeight="1" spans="102:103">
      <c r="CX1724" s="20"/>
      <c r="CY1724" s="20"/>
    </row>
    <row r="1725" ht="26.25" customHeight="1" spans="102:103">
      <c r="CX1725" s="20"/>
      <c r="CY1725" s="20"/>
    </row>
    <row r="1726" ht="26.25" customHeight="1" spans="102:103">
      <c r="CX1726" s="20"/>
      <c r="CY1726" s="20"/>
    </row>
    <row r="1727" ht="26.25" customHeight="1" spans="102:103">
      <c r="CX1727" s="20"/>
      <c r="CY1727" s="20"/>
    </row>
    <row r="1728" ht="26.25" customHeight="1" spans="102:103">
      <c r="CX1728" s="20"/>
      <c r="CY1728" s="20"/>
    </row>
    <row r="1729" ht="26.25" customHeight="1" spans="102:103">
      <c r="CX1729" s="20"/>
      <c r="CY1729" s="20"/>
    </row>
    <row r="1730" ht="26.25" customHeight="1" spans="102:103">
      <c r="CX1730" s="20"/>
      <c r="CY1730" s="20"/>
    </row>
    <row r="1731" ht="26.25" customHeight="1" spans="102:103">
      <c r="CX1731" s="20"/>
      <c r="CY1731" s="20"/>
    </row>
    <row r="1732" ht="26.25" customHeight="1" spans="102:103">
      <c r="CX1732" s="20"/>
      <c r="CY1732" s="20"/>
    </row>
    <row r="1733" ht="26.25" customHeight="1" spans="102:103">
      <c r="CX1733" s="20"/>
      <c r="CY1733" s="20"/>
    </row>
    <row r="1734" ht="26.25" customHeight="1" spans="102:103">
      <c r="CX1734" s="20"/>
      <c r="CY1734" s="20"/>
    </row>
    <row r="1735" ht="26.25" customHeight="1" spans="102:103">
      <c r="CX1735" s="20"/>
      <c r="CY1735" s="20"/>
    </row>
    <row r="1736" ht="26.25" customHeight="1" spans="102:103">
      <c r="CX1736" s="20"/>
      <c r="CY1736" s="20"/>
    </row>
    <row r="1737" ht="26.25" customHeight="1" spans="102:103">
      <c r="CX1737" s="20"/>
      <c r="CY1737" s="20"/>
    </row>
    <row r="1738" ht="26.25" customHeight="1" spans="102:103">
      <c r="CX1738" s="20"/>
      <c r="CY1738" s="20"/>
    </row>
    <row r="1739" ht="26.25" customHeight="1" spans="102:103">
      <c r="CX1739" s="20"/>
      <c r="CY1739" s="20"/>
    </row>
    <row r="1740" ht="26.25" customHeight="1" spans="102:103">
      <c r="CX1740" s="20"/>
      <c r="CY1740" s="20"/>
    </row>
    <row r="1741" ht="26.25" customHeight="1" spans="102:103">
      <c r="CX1741" s="20"/>
      <c r="CY1741" s="20"/>
    </row>
    <row r="1742" ht="26.25" customHeight="1" spans="102:103">
      <c r="CX1742" s="20"/>
      <c r="CY1742" s="20"/>
    </row>
    <row r="1743" ht="26.25" customHeight="1" spans="102:103">
      <c r="CX1743" s="20"/>
      <c r="CY1743" s="20"/>
    </row>
    <row r="1744" ht="26.25" customHeight="1" spans="102:103">
      <c r="CX1744" s="20"/>
      <c r="CY1744" s="20"/>
    </row>
    <row r="1745" ht="26.25" customHeight="1" spans="102:103">
      <c r="CX1745" s="20"/>
      <c r="CY1745" s="20"/>
    </row>
    <row r="1746" ht="26.25" customHeight="1" spans="102:103">
      <c r="CX1746" s="20"/>
      <c r="CY1746" s="20"/>
    </row>
    <row r="1747" ht="26.25" customHeight="1" spans="102:103">
      <c r="CX1747" s="20"/>
      <c r="CY1747" s="20"/>
    </row>
    <row r="1748" ht="26.25" customHeight="1" spans="102:103">
      <c r="CX1748" s="20"/>
      <c r="CY1748" s="20"/>
    </row>
    <row r="1749" ht="26.25" customHeight="1" spans="102:103">
      <c r="CX1749" s="20"/>
      <c r="CY1749" s="20"/>
    </row>
    <row r="1750" ht="26.25" customHeight="1" spans="102:103">
      <c r="CX1750" s="20"/>
      <c r="CY1750" s="20"/>
    </row>
    <row r="1751" ht="26.25" customHeight="1" spans="102:103">
      <c r="CX1751" s="20"/>
      <c r="CY1751" s="20"/>
    </row>
    <row r="1752" ht="26.25" customHeight="1" spans="102:103">
      <c r="CX1752" s="20"/>
      <c r="CY1752" s="20"/>
    </row>
    <row r="1753" ht="26.25" customHeight="1" spans="102:103">
      <c r="CX1753" s="20"/>
      <c r="CY1753" s="20"/>
    </row>
    <row r="1754" ht="26.25" customHeight="1" spans="102:103">
      <c r="CX1754" s="20"/>
      <c r="CY1754" s="20"/>
    </row>
    <row r="1755" ht="26.25" customHeight="1" spans="102:103">
      <c r="CX1755" s="20"/>
      <c r="CY1755" s="20"/>
    </row>
    <row r="1756" ht="26.25" customHeight="1" spans="102:103">
      <c r="CX1756" s="20"/>
      <c r="CY1756" s="20"/>
    </row>
    <row r="1757" ht="26.25" customHeight="1" spans="102:103">
      <c r="CX1757" s="20"/>
      <c r="CY1757" s="20"/>
    </row>
    <row r="1758" ht="26.25" customHeight="1" spans="102:103">
      <c r="CX1758" s="20"/>
      <c r="CY1758" s="20"/>
    </row>
    <row r="1759" ht="26.25" customHeight="1" spans="102:103">
      <c r="CX1759" s="20"/>
      <c r="CY1759" s="20"/>
    </row>
    <row r="1760" ht="26.25" customHeight="1" spans="102:103">
      <c r="CX1760" s="20"/>
      <c r="CY1760" s="20"/>
    </row>
    <row r="1761" ht="26.25" customHeight="1" spans="102:103">
      <c r="CX1761" s="20"/>
      <c r="CY1761" s="20"/>
    </row>
    <row r="1762" ht="26.25" customHeight="1" spans="102:103">
      <c r="CX1762" s="20"/>
      <c r="CY1762" s="20"/>
    </row>
    <row r="1763" ht="26.25" customHeight="1" spans="102:103">
      <c r="CX1763" s="20"/>
      <c r="CY1763" s="20"/>
    </row>
    <row r="1764" ht="26.25" customHeight="1" spans="102:103">
      <c r="CX1764" s="20"/>
      <c r="CY1764" s="20"/>
    </row>
    <row r="1765" ht="26.25" customHeight="1" spans="102:103">
      <c r="CX1765" s="20"/>
      <c r="CY1765" s="20"/>
    </row>
    <row r="1766" ht="26.25" customHeight="1" spans="102:103">
      <c r="CX1766" s="20"/>
      <c r="CY1766" s="20"/>
    </row>
    <row r="1767" ht="26.25" customHeight="1" spans="102:103">
      <c r="CX1767" s="20"/>
      <c r="CY1767" s="20"/>
    </row>
    <row r="1768" ht="26.25" customHeight="1" spans="102:103">
      <c r="CX1768" s="20"/>
      <c r="CY1768" s="20"/>
    </row>
    <row r="1769" ht="26.25" customHeight="1" spans="102:103">
      <c r="CX1769" s="20"/>
      <c r="CY1769" s="20"/>
    </row>
    <row r="1770" ht="26.25" customHeight="1" spans="102:103">
      <c r="CX1770" s="20"/>
      <c r="CY1770" s="20"/>
    </row>
    <row r="1771" ht="26.25" customHeight="1" spans="102:103">
      <c r="CX1771" s="20"/>
      <c r="CY1771" s="20"/>
    </row>
    <row r="1772" ht="26.25" customHeight="1" spans="102:103">
      <c r="CX1772" s="20"/>
      <c r="CY1772" s="20"/>
    </row>
    <row r="1773" ht="26.25" customHeight="1" spans="102:103">
      <c r="CX1773" s="20"/>
      <c r="CY1773" s="20"/>
    </row>
    <row r="1774" ht="26.25" customHeight="1" spans="102:103">
      <c r="CX1774" s="20"/>
      <c r="CY1774" s="20"/>
    </row>
    <row r="1775" ht="26.25" customHeight="1" spans="102:103">
      <c r="CX1775" s="20"/>
      <c r="CY1775" s="20"/>
    </row>
    <row r="1776" ht="26.25" customHeight="1" spans="102:103">
      <c r="CX1776" s="20"/>
      <c r="CY1776" s="20"/>
    </row>
    <row r="1777" ht="26.25" customHeight="1" spans="102:103">
      <c r="CX1777" s="20"/>
      <c r="CY1777" s="20"/>
    </row>
    <row r="1778" ht="26.25" customHeight="1" spans="102:103">
      <c r="CX1778" s="20"/>
      <c r="CY1778" s="20"/>
    </row>
    <row r="1779" ht="26.25" customHeight="1" spans="102:103">
      <c r="CX1779" s="20"/>
      <c r="CY1779" s="20"/>
    </row>
    <row r="1780" ht="26.25" customHeight="1" spans="102:103">
      <c r="CX1780" s="20"/>
      <c r="CY1780" s="20"/>
    </row>
    <row r="1781" ht="26.25" customHeight="1" spans="102:103">
      <c r="CX1781" s="20"/>
      <c r="CY1781" s="20"/>
    </row>
    <row r="1782" ht="26.25" customHeight="1" spans="102:103">
      <c r="CX1782" s="20"/>
      <c r="CY1782" s="20"/>
    </row>
    <row r="1783" ht="26.25" customHeight="1" spans="102:103">
      <c r="CX1783" s="20"/>
      <c r="CY1783" s="20"/>
    </row>
    <row r="1784" ht="26.25" customHeight="1" spans="102:103">
      <c r="CX1784" s="20"/>
      <c r="CY1784" s="20"/>
    </row>
    <row r="1785" ht="26.25" customHeight="1" spans="102:103">
      <c r="CX1785" s="20"/>
      <c r="CY1785" s="20"/>
    </row>
    <row r="1786" ht="26.25" customHeight="1" spans="102:103">
      <c r="CX1786" s="20"/>
      <c r="CY1786" s="20"/>
    </row>
    <row r="1787" ht="26.25" customHeight="1" spans="102:103">
      <c r="CX1787" s="20"/>
      <c r="CY1787" s="20"/>
    </row>
    <row r="1788" ht="26.25" customHeight="1" spans="102:103">
      <c r="CX1788" s="20"/>
      <c r="CY1788" s="20"/>
    </row>
    <row r="1789" ht="26.25" customHeight="1" spans="102:103">
      <c r="CX1789" s="20"/>
      <c r="CY1789" s="20"/>
    </row>
    <row r="1790" ht="26.25" customHeight="1" spans="102:103">
      <c r="CX1790" s="20"/>
      <c r="CY1790" s="20"/>
    </row>
    <row r="1791" ht="26.25" customHeight="1" spans="102:103">
      <c r="CX1791" s="20"/>
      <c r="CY1791" s="20"/>
    </row>
    <row r="1792" ht="26.25" customHeight="1" spans="102:103">
      <c r="CX1792" s="20"/>
      <c r="CY1792" s="20"/>
    </row>
    <row r="1793" ht="26.25" customHeight="1" spans="102:103">
      <c r="CX1793" s="20"/>
      <c r="CY1793" s="20"/>
    </row>
    <row r="1794" ht="26.25" customHeight="1" spans="102:103">
      <c r="CX1794" s="20"/>
      <c r="CY1794" s="20"/>
    </row>
    <row r="1795" ht="26.25" customHeight="1" spans="102:103">
      <c r="CX1795" s="20"/>
      <c r="CY1795" s="20"/>
    </row>
    <row r="1796" ht="26.25" customHeight="1" spans="102:103">
      <c r="CX1796" s="20"/>
      <c r="CY1796" s="20"/>
    </row>
    <row r="1797" ht="26.25" customHeight="1" spans="102:103">
      <c r="CX1797" s="20"/>
      <c r="CY1797" s="20"/>
    </row>
    <row r="1798" ht="26.25" customHeight="1" spans="102:103">
      <c r="CX1798" s="20"/>
      <c r="CY1798" s="20"/>
    </row>
    <row r="1799" ht="26.25" customHeight="1" spans="102:103">
      <c r="CX1799" s="20"/>
      <c r="CY1799" s="20"/>
    </row>
    <row r="1800" ht="26.25" customHeight="1" spans="102:103">
      <c r="CX1800" s="20"/>
      <c r="CY1800" s="20"/>
    </row>
    <row r="1801" ht="26.25" customHeight="1" spans="102:103">
      <c r="CX1801" s="20"/>
      <c r="CY1801" s="20"/>
    </row>
    <row r="1802" ht="26.25" customHeight="1" spans="102:103">
      <c r="CX1802" s="20"/>
      <c r="CY1802" s="20"/>
    </row>
    <row r="1803" ht="26.25" customHeight="1" spans="102:103">
      <c r="CX1803" s="20"/>
      <c r="CY1803" s="20"/>
    </row>
    <row r="1804" ht="26.25" customHeight="1" spans="102:103">
      <c r="CX1804" s="20"/>
      <c r="CY1804" s="20"/>
    </row>
    <row r="1805" ht="26.25" customHeight="1" spans="102:103">
      <c r="CX1805" s="20"/>
      <c r="CY1805" s="20"/>
    </row>
    <row r="1806" ht="26.25" customHeight="1" spans="102:103">
      <c r="CX1806" s="20"/>
      <c r="CY1806" s="20"/>
    </row>
    <row r="1807" ht="26.25" customHeight="1" spans="102:103">
      <c r="CX1807" s="20"/>
      <c r="CY1807" s="20"/>
    </row>
    <row r="1808" ht="26.25" customHeight="1" spans="102:103">
      <c r="CX1808" s="20"/>
      <c r="CY1808" s="20"/>
    </row>
    <row r="1809" ht="26.25" customHeight="1" spans="102:103">
      <c r="CX1809" s="20"/>
      <c r="CY1809" s="20"/>
    </row>
    <row r="1810" ht="26.25" customHeight="1" spans="102:103">
      <c r="CX1810" s="20"/>
      <c r="CY1810" s="20"/>
    </row>
    <row r="1811" ht="26.25" customHeight="1" spans="102:103">
      <c r="CX1811" s="20"/>
      <c r="CY1811" s="20"/>
    </row>
    <row r="1812" ht="26.25" customHeight="1" spans="102:103">
      <c r="CX1812" s="20"/>
      <c r="CY1812" s="20"/>
    </row>
    <row r="1813" ht="26.25" customHeight="1" spans="102:103">
      <c r="CX1813" s="20"/>
      <c r="CY1813" s="20"/>
    </row>
    <row r="1814" ht="26.25" customHeight="1" spans="102:103">
      <c r="CX1814" s="20"/>
      <c r="CY1814" s="20"/>
    </row>
    <row r="1815" ht="26.25" customHeight="1" spans="102:103">
      <c r="CX1815" s="20"/>
      <c r="CY1815" s="20"/>
    </row>
    <row r="1816" ht="26.25" customHeight="1" spans="102:103">
      <c r="CX1816" s="20"/>
      <c r="CY1816" s="20"/>
    </row>
    <row r="1817" ht="26.25" customHeight="1" spans="102:103">
      <c r="CX1817" s="20"/>
      <c r="CY1817" s="20"/>
    </row>
    <row r="1818" ht="26.25" customHeight="1" spans="102:103">
      <c r="CX1818" s="20"/>
      <c r="CY1818" s="20"/>
    </row>
    <row r="1819" ht="26.25" customHeight="1" spans="102:103">
      <c r="CX1819" s="20"/>
      <c r="CY1819" s="20"/>
    </row>
    <row r="1820" ht="26.25" customHeight="1" spans="102:103">
      <c r="CX1820" s="20"/>
      <c r="CY1820" s="20"/>
    </row>
    <row r="1821" ht="26.25" customHeight="1" spans="102:103">
      <c r="CX1821" s="20"/>
      <c r="CY1821" s="20"/>
    </row>
    <row r="1822" ht="26.25" customHeight="1" spans="102:103">
      <c r="CX1822" s="20"/>
      <c r="CY1822" s="20"/>
    </row>
    <row r="1823" ht="26.25" customHeight="1" spans="102:103">
      <c r="CX1823" s="20"/>
      <c r="CY1823" s="20"/>
    </row>
    <row r="1824" ht="26.25" customHeight="1" spans="102:103">
      <c r="CX1824" s="20"/>
      <c r="CY1824" s="20"/>
    </row>
    <row r="1825" ht="26.25" customHeight="1" spans="102:103">
      <c r="CX1825" s="20"/>
      <c r="CY1825" s="20"/>
    </row>
    <row r="1826" ht="26.25" customHeight="1" spans="102:103">
      <c r="CX1826" s="20"/>
      <c r="CY1826" s="20"/>
    </row>
    <row r="1827" ht="26.25" customHeight="1" spans="102:103">
      <c r="CX1827" s="20"/>
      <c r="CY1827" s="20"/>
    </row>
    <row r="1828" ht="26.25" customHeight="1" spans="102:103">
      <c r="CX1828" s="20"/>
      <c r="CY1828" s="20"/>
    </row>
    <row r="1829" ht="26.25" customHeight="1" spans="102:103">
      <c r="CX1829" s="20"/>
      <c r="CY1829" s="20"/>
    </row>
    <row r="1830" ht="26.25" customHeight="1" spans="102:103">
      <c r="CX1830" s="20"/>
      <c r="CY1830" s="20"/>
    </row>
    <row r="1831" ht="26.25" customHeight="1" spans="102:103">
      <c r="CX1831" s="20"/>
      <c r="CY1831" s="20"/>
    </row>
    <row r="1832" ht="26.25" customHeight="1" spans="102:103">
      <c r="CX1832" s="20"/>
      <c r="CY1832" s="20"/>
    </row>
    <row r="1833" ht="26.25" customHeight="1" spans="102:103">
      <c r="CX1833" s="20"/>
      <c r="CY1833" s="20"/>
    </row>
    <row r="1834" ht="26.25" customHeight="1" spans="102:103">
      <c r="CX1834" s="20"/>
      <c r="CY1834" s="20"/>
    </row>
    <row r="1835" ht="26.25" customHeight="1" spans="102:103">
      <c r="CX1835" s="20"/>
      <c r="CY1835" s="20"/>
    </row>
    <row r="1836" ht="26.25" customHeight="1" spans="102:103">
      <c r="CX1836" s="20"/>
      <c r="CY1836" s="20"/>
    </row>
    <row r="1837" ht="26.25" customHeight="1" spans="102:103">
      <c r="CX1837" s="20"/>
      <c r="CY1837" s="20"/>
    </row>
    <row r="1838" ht="26.25" customHeight="1" spans="102:103">
      <c r="CX1838" s="20"/>
      <c r="CY1838" s="20"/>
    </row>
    <row r="1839" ht="26.25" customHeight="1" spans="102:103">
      <c r="CX1839" s="20"/>
      <c r="CY1839" s="20"/>
    </row>
    <row r="1840" ht="26.25" customHeight="1" spans="102:103">
      <c r="CX1840" s="20"/>
      <c r="CY1840" s="20"/>
    </row>
    <row r="1841" ht="26.25" customHeight="1" spans="102:103">
      <c r="CX1841" s="20"/>
      <c r="CY1841" s="20"/>
    </row>
    <row r="1842" ht="26.25" customHeight="1" spans="102:103">
      <c r="CX1842" s="20"/>
      <c r="CY1842" s="20"/>
    </row>
    <row r="1843" ht="26.25" customHeight="1" spans="102:103">
      <c r="CX1843" s="20"/>
      <c r="CY1843" s="20"/>
    </row>
    <row r="1844" ht="26.25" customHeight="1" spans="102:103">
      <c r="CX1844" s="20"/>
      <c r="CY1844" s="20"/>
    </row>
    <row r="1845" ht="26.25" customHeight="1" spans="102:103">
      <c r="CX1845" s="20"/>
      <c r="CY1845" s="20"/>
    </row>
    <row r="1846" ht="26.25" customHeight="1" spans="102:103">
      <c r="CX1846" s="20"/>
      <c r="CY1846" s="20"/>
    </row>
    <row r="1847" ht="26.25" customHeight="1" spans="102:103">
      <c r="CX1847" s="20"/>
      <c r="CY1847" s="20"/>
    </row>
    <row r="1848" ht="26.25" customHeight="1" spans="102:103">
      <c r="CX1848" s="20"/>
      <c r="CY1848" s="20"/>
    </row>
    <row r="1849" ht="26.25" customHeight="1" spans="102:103">
      <c r="CX1849" s="20"/>
      <c r="CY1849" s="20"/>
    </row>
    <row r="1850" ht="26.25" customHeight="1" spans="102:103">
      <c r="CX1850" s="20"/>
      <c r="CY1850" s="20"/>
    </row>
    <row r="1851" ht="26.25" customHeight="1" spans="102:103">
      <c r="CX1851" s="20"/>
      <c r="CY1851" s="20"/>
    </row>
    <row r="1852" ht="26.25" customHeight="1" spans="102:103">
      <c r="CX1852" s="20"/>
      <c r="CY1852" s="20"/>
    </row>
    <row r="1853" ht="26.25" customHeight="1" spans="102:103">
      <c r="CX1853" s="20"/>
      <c r="CY1853" s="20"/>
    </row>
    <row r="1854" ht="26.25" customHeight="1" spans="102:103">
      <c r="CX1854" s="20"/>
      <c r="CY1854" s="20"/>
    </row>
    <row r="1855" ht="26.25" customHeight="1" spans="102:103">
      <c r="CX1855" s="20"/>
      <c r="CY1855" s="20"/>
    </row>
    <row r="1856" ht="26.25" customHeight="1" spans="102:103">
      <c r="CX1856" s="20"/>
      <c r="CY1856" s="20"/>
    </row>
    <row r="1857" ht="26.25" customHeight="1" spans="102:103">
      <c r="CX1857" s="20"/>
      <c r="CY1857" s="20"/>
    </row>
    <row r="1858" ht="26.25" customHeight="1" spans="102:103">
      <c r="CX1858" s="20"/>
      <c r="CY1858" s="20"/>
    </row>
    <row r="1859" ht="26.25" customHeight="1" spans="102:103">
      <c r="CX1859" s="20"/>
      <c r="CY1859" s="20"/>
    </row>
    <row r="1860" ht="26.25" customHeight="1" spans="102:103">
      <c r="CX1860" s="20"/>
      <c r="CY1860" s="20"/>
    </row>
    <row r="1861" ht="26.25" customHeight="1" spans="102:103">
      <c r="CX1861" s="20"/>
      <c r="CY1861" s="20"/>
    </row>
    <row r="1862" ht="26.25" customHeight="1" spans="102:103">
      <c r="CX1862" s="20"/>
      <c r="CY1862" s="20"/>
    </row>
    <row r="1863" ht="26.25" customHeight="1" spans="102:103">
      <c r="CX1863" s="20"/>
      <c r="CY1863" s="20"/>
    </row>
    <row r="1864" ht="26.25" customHeight="1" spans="102:103">
      <c r="CX1864" s="20"/>
      <c r="CY1864" s="20"/>
    </row>
    <row r="1865" ht="26.25" customHeight="1" spans="102:103">
      <c r="CX1865" s="20"/>
      <c r="CY1865" s="20"/>
    </row>
    <row r="1866" ht="26.25" customHeight="1" spans="102:103">
      <c r="CX1866" s="20"/>
      <c r="CY1866" s="20"/>
    </row>
    <row r="1867" ht="26.25" customHeight="1" spans="102:103">
      <c r="CX1867" s="20"/>
      <c r="CY1867" s="20"/>
    </row>
    <row r="1868" ht="26.25" customHeight="1" spans="102:103">
      <c r="CX1868" s="20"/>
      <c r="CY1868" s="20"/>
    </row>
    <row r="1869" ht="26.25" customHeight="1" spans="102:103">
      <c r="CX1869" s="20"/>
      <c r="CY1869" s="20"/>
    </row>
    <row r="1870" ht="26.25" customHeight="1" spans="102:103">
      <c r="CX1870" s="20"/>
      <c r="CY1870" s="20"/>
    </row>
    <row r="1871" ht="26.25" customHeight="1" spans="102:103">
      <c r="CX1871" s="20"/>
      <c r="CY1871" s="20"/>
    </row>
    <row r="1872" ht="26.25" customHeight="1" spans="102:103">
      <c r="CX1872" s="20"/>
      <c r="CY1872" s="20"/>
    </row>
    <row r="1873" ht="26.25" customHeight="1" spans="102:103">
      <c r="CX1873" s="20"/>
      <c r="CY1873" s="20"/>
    </row>
    <row r="1874" ht="26.25" customHeight="1" spans="102:103">
      <c r="CX1874" s="20"/>
      <c r="CY1874" s="20"/>
    </row>
    <row r="1875" ht="26.25" customHeight="1" spans="102:103">
      <c r="CX1875" s="20"/>
      <c r="CY1875" s="20"/>
    </row>
    <row r="1876" ht="26.25" customHeight="1" spans="102:103">
      <c r="CX1876" s="20"/>
      <c r="CY1876" s="20"/>
    </row>
    <row r="1877" ht="26.25" customHeight="1" spans="102:103">
      <c r="CX1877" s="20"/>
      <c r="CY1877" s="20"/>
    </row>
    <row r="1878" ht="26.25" customHeight="1" spans="102:103">
      <c r="CX1878" s="20"/>
      <c r="CY1878" s="20"/>
    </row>
    <row r="1879" ht="26.25" customHeight="1" spans="102:103">
      <c r="CX1879" s="20"/>
      <c r="CY1879" s="20"/>
    </row>
    <row r="1880" ht="26.25" customHeight="1" spans="102:103">
      <c r="CX1880" s="20"/>
      <c r="CY1880" s="20"/>
    </row>
    <row r="1881" ht="26.25" customHeight="1" spans="102:103">
      <c r="CX1881" s="20"/>
      <c r="CY1881" s="20"/>
    </row>
    <row r="1882" ht="26.25" customHeight="1" spans="102:103">
      <c r="CX1882" s="20"/>
      <c r="CY1882" s="20"/>
    </row>
    <row r="1883" ht="26.25" customHeight="1" spans="102:103">
      <c r="CX1883" s="20"/>
      <c r="CY1883" s="20"/>
    </row>
    <row r="1884" ht="26.25" customHeight="1" spans="102:103">
      <c r="CX1884" s="20"/>
      <c r="CY1884" s="20"/>
    </row>
    <row r="1885" ht="26.25" customHeight="1" spans="102:103">
      <c r="CX1885" s="20"/>
      <c r="CY1885" s="20"/>
    </row>
    <row r="1886" ht="26.25" customHeight="1" spans="102:103">
      <c r="CX1886" s="20"/>
      <c r="CY1886" s="20"/>
    </row>
    <row r="1887" ht="26.25" customHeight="1" spans="102:103">
      <c r="CX1887" s="20"/>
      <c r="CY1887" s="20"/>
    </row>
    <row r="1888" ht="26.25" customHeight="1" spans="102:103">
      <c r="CX1888" s="20"/>
      <c r="CY1888" s="20"/>
    </row>
    <row r="1889" ht="26.25" customHeight="1" spans="102:103">
      <c r="CX1889" s="20"/>
      <c r="CY1889" s="20"/>
    </row>
    <row r="1890" ht="26.25" customHeight="1" spans="102:103">
      <c r="CX1890" s="20"/>
      <c r="CY1890" s="20"/>
    </row>
    <row r="1891" ht="26.25" customHeight="1" spans="102:103">
      <c r="CX1891" s="20"/>
      <c r="CY1891" s="20"/>
    </row>
    <row r="1892" ht="26.25" customHeight="1" spans="102:103">
      <c r="CX1892" s="20"/>
      <c r="CY1892" s="20"/>
    </row>
    <row r="1893" ht="26.25" customHeight="1" spans="102:103">
      <c r="CX1893" s="20"/>
      <c r="CY1893" s="20"/>
    </row>
    <row r="1894" ht="26.25" customHeight="1" spans="102:103">
      <c r="CX1894" s="20"/>
      <c r="CY1894" s="20"/>
    </row>
    <row r="1895" ht="26.25" customHeight="1" spans="102:103">
      <c r="CX1895" s="20"/>
      <c r="CY1895" s="20"/>
    </row>
    <row r="1896" ht="26.25" customHeight="1" spans="102:103">
      <c r="CX1896" s="20"/>
      <c r="CY1896" s="20"/>
    </row>
    <row r="1897" ht="26.25" customHeight="1" spans="102:103">
      <c r="CX1897" s="20"/>
      <c r="CY1897" s="20"/>
    </row>
    <row r="1898" ht="26.25" customHeight="1" spans="102:103">
      <c r="CX1898" s="20"/>
      <c r="CY1898" s="20"/>
    </row>
    <row r="1899" ht="26.25" customHeight="1" spans="102:103">
      <c r="CX1899" s="20"/>
      <c r="CY1899" s="20"/>
    </row>
    <row r="1900" ht="26.25" customHeight="1" spans="102:103">
      <c r="CX1900" s="20"/>
      <c r="CY1900" s="20"/>
    </row>
    <row r="1901" ht="26.25" customHeight="1" spans="102:103">
      <c r="CX1901" s="20"/>
      <c r="CY1901" s="20"/>
    </row>
    <row r="1902" ht="26.25" customHeight="1" spans="102:103">
      <c r="CX1902" s="20"/>
      <c r="CY1902" s="20"/>
    </row>
    <row r="1903" ht="26.25" customHeight="1" spans="102:103">
      <c r="CX1903" s="20"/>
      <c r="CY1903" s="20"/>
    </row>
    <row r="1904" ht="26.25" customHeight="1" spans="102:103">
      <c r="CX1904" s="20"/>
      <c r="CY1904" s="20"/>
    </row>
    <row r="1905" ht="26.25" customHeight="1" spans="102:103">
      <c r="CX1905" s="20"/>
      <c r="CY1905" s="20"/>
    </row>
    <row r="1906" ht="26.25" customHeight="1" spans="102:103">
      <c r="CX1906" s="20"/>
      <c r="CY1906" s="20"/>
    </row>
    <row r="1907" ht="26.25" customHeight="1" spans="102:103">
      <c r="CX1907" s="20"/>
      <c r="CY1907" s="20"/>
    </row>
    <row r="1908" ht="26.25" customHeight="1" spans="102:103">
      <c r="CX1908" s="20"/>
      <c r="CY1908" s="20"/>
    </row>
    <row r="1909" ht="26.25" customHeight="1" spans="102:103">
      <c r="CX1909" s="20"/>
      <c r="CY1909" s="20"/>
    </row>
    <row r="1910" ht="26.25" customHeight="1" spans="102:103">
      <c r="CX1910" s="20"/>
      <c r="CY1910" s="20"/>
    </row>
    <row r="1911" ht="26.25" customHeight="1" spans="102:103">
      <c r="CX1911" s="20"/>
      <c r="CY1911" s="20"/>
    </row>
    <row r="1912" ht="26.25" customHeight="1" spans="102:103">
      <c r="CX1912" s="20"/>
      <c r="CY1912" s="20"/>
    </row>
    <row r="1913" ht="26.25" customHeight="1" spans="102:103">
      <c r="CX1913" s="20"/>
      <c r="CY1913" s="20"/>
    </row>
    <row r="1914" ht="26.25" customHeight="1" spans="102:103">
      <c r="CX1914" s="20"/>
      <c r="CY1914" s="20"/>
    </row>
    <row r="1915" ht="26.25" customHeight="1" spans="102:103">
      <c r="CX1915" s="20"/>
      <c r="CY1915" s="20"/>
    </row>
    <row r="1916" ht="26.25" customHeight="1" spans="102:103">
      <c r="CX1916" s="20"/>
      <c r="CY1916" s="20"/>
    </row>
    <row r="1917" ht="26.25" customHeight="1" spans="102:103">
      <c r="CX1917" s="20"/>
      <c r="CY1917" s="20"/>
    </row>
    <row r="1918" ht="26.25" customHeight="1" spans="102:103">
      <c r="CX1918" s="20"/>
      <c r="CY1918" s="20"/>
    </row>
    <row r="1919" ht="26.25" customHeight="1" spans="102:103">
      <c r="CX1919" s="20"/>
      <c r="CY1919" s="20"/>
    </row>
    <row r="1920" ht="26.25" customHeight="1" spans="102:103">
      <c r="CX1920" s="20"/>
      <c r="CY1920" s="20"/>
    </row>
    <row r="1921" ht="26.25" customHeight="1" spans="102:103">
      <c r="CX1921" s="20"/>
      <c r="CY1921" s="20"/>
    </row>
    <row r="1922" ht="26.25" customHeight="1" spans="102:103">
      <c r="CX1922" s="20"/>
      <c r="CY1922" s="20"/>
    </row>
    <row r="1923" ht="26.25" customHeight="1" spans="102:103">
      <c r="CX1923" s="20"/>
      <c r="CY1923" s="20"/>
    </row>
    <row r="1924" ht="26.25" customHeight="1" spans="102:103">
      <c r="CX1924" s="20"/>
      <c r="CY1924" s="20"/>
    </row>
    <row r="1925" ht="26.25" customHeight="1" spans="102:103">
      <c r="CX1925" s="20"/>
      <c r="CY1925" s="20"/>
    </row>
    <row r="1926" ht="26.25" customHeight="1" spans="102:103">
      <c r="CX1926" s="20"/>
      <c r="CY1926" s="20"/>
    </row>
    <row r="1927" ht="26.25" customHeight="1" spans="102:103">
      <c r="CX1927" s="20"/>
      <c r="CY1927" s="20"/>
    </row>
    <row r="1928" ht="26.25" customHeight="1" spans="102:103">
      <c r="CX1928" s="20"/>
      <c r="CY1928" s="20"/>
    </row>
    <row r="1929" ht="26.25" customHeight="1" spans="102:103">
      <c r="CX1929" s="20"/>
      <c r="CY1929" s="20"/>
    </row>
    <row r="1930" ht="26.25" customHeight="1" spans="102:103">
      <c r="CX1930" s="20"/>
      <c r="CY1930" s="20"/>
    </row>
    <row r="1931" ht="26.25" customHeight="1" spans="102:103">
      <c r="CX1931" s="20"/>
      <c r="CY1931" s="20"/>
    </row>
    <row r="1932" ht="26.25" customHeight="1" spans="102:103">
      <c r="CX1932" s="20"/>
      <c r="CY1932" s="20"/>
    </row>
    <row r="1933" ht="26.25" customHeight="1" spans="102:103">
      <c r="CX1933" s="20"/>
      <c r="CY1933" s="20"/>
    </row>
    <row r="1934" ht="26.25" customHeight="1" spans="102:103">
      <c r="CX1934" s="20"/>
      <c r="CY1934" s="20"/>
    </row>
    <row r="1935" ht="26.25" customHeight="1" spans="102:103">
      <c r="CX1935" s="20"/>
      <c r="CY1935" s="20"/>
    </row>
    <row r="1936" ht="26.25" customHeight="1" spans="102:103">
      <c r="CX1936" s="20"/>
      <c r="CY1936" s="20"/>
    </row>
    <row r="1937" ht="26.25" customHeight="1" spans="102:103">
      <c r="CX1937" s="20"/>
      <c r="CY1937" s="20"/>
    </row>
    <row r="1938" ht="26.25" customHeight="1" spans="102:103">
      <c r="CX1938" s="20"/>
      <c r="CY1938" s="20"/>
    </row>
    <row r="1939" ht="26.25" customHeight="1" spans="102:103">
      <c r="CX1939" s="20"/>
      <c r="CY1939" s="20"/>
    </row>
    <row r="1940" ht="26.25" customHeight="1" spans="102:103">
      <c r="CX1940" s="20"/>
      <c r="CY1940" s="20"/>
    </row>
    <row r="1941" ht="26.25" customHeight="1" spans="102:103">
      <c r="CX1941" s="20"/>
      <c r="CY1941" s="20"/>
    </row>
    <row r="1942" ht="26.25" customHeight="1" spans="102:103">
      <c r="CX1942" s="20"/>
      <c r="CY1942" s="20"/>
    </row>
    <row r="1943" ht="26.25" customHeight="1" spans="102:103">
      <c r="CX1943" s="20"/>
      <c r="CY1943" s="20"/>
    </row>
    <row r="1944" ht="26.25" customHeight="1" spans="102:103">
      <c r="CX1944" s="20"/>
      <c r="CY1944" s="20"/>
    </row>
    <row r="1945" ht="26.25" customHeight="1" spans="102:103">
      <c r="CX1945" s="20"/>
      <c r="CY1945" s="20"/>
    </row>
    <row r="1946" ht="26.25" customHeight="1" spans="102:103">
      <c r="CX1946" s="20"/>
      <c r="CY1946" s="20"/>
    </row>
    <row r="1947" ht="26.25" customHeight="1" spans="102:103">
      <c r="CX1947" s="20"/>
      <c r="CY1947" s="20"/>
    </row>
    <row r="1948" ht="26.25" customHeight="1" spans="102:103">
      <c r="CX1948" s="20"/>
      <c r="CY1948" s="20"/>
    </row>
    <row r="1949" ht="26.25" customHeight="1" spans="102:103">
      <c r="CX1949" s="20"/>
      <c r="CY1949" s="20"/>
    </row>
    <row r="1950" ht="26.25" customHeight="1" spans="102:103">
      <c r="CX1950" s="20"/>
      <c r="CY1950" s="20"/>
    </row>
    <row r="1951" ht="26.25" customHeight="1" spans="102:103">
      <c r="CX1951" s="20"/>
      <c r="CY1951" s="20"/>
    </row>
    <row r="1952" ht="26.25" customHeight="1" spans="102:103">
      <c r="CX1952" s="20"/>
      <c r="CY1952" s="20"/>
    </row>
    <row r="1953" ht="26.25" customHeight="1" spans="102:103">
      <c r="CX1953" s="20"/>
      <c r="CY1953" s="20"/>
    </row>
    <row r="1954" ht="26.25" customHeight="1" spans="102:103">
      <c r="CX1954" s="20"/>
      <c r="CY1954" s="20"/>
    </row>
    <row r="1955" ht="26.25" customHeight="1" spans="102:103">
      <c r="CX1955" s="20"/>
      <c r="CY1955" s="20"/>
    </row>
    <row r="1956" ht="26.25" customHeight="1" spans="102:103">
      <c r="CX1956" s="20"/>
      <c r="CY1956" s="20"/>
    </row>
    <row r="1957" ht="26.25" customHeight="1" spans="102:103">
      <c r="CX1957" s="20"/>
      <c r="CY1957" s="20"/>
    </row>
    <row r="1958" ht="26.25" customHeight="1" spans="102:103">
      <c r="CX1958" s="20"/>
      <c r="CY1958" s="20"/>
    </row>
    <row r="1959" ht="26.25" customHeight="1" spans="102:103">
      <c r="CX1959" s="20"/>
      <c r="CY1959" s="20"/>
    </row>
    <row r="1960" ht="26.25" customHeight="1" spans="102:103">
      <c r="CX1960" s="20"/>
      <c r="CY1960" s="20"/>
    </row>
    <row r="1961" ht="26.25" customHeight="1" spans="102:103">
      <c r="CX1961" s="20"/>
      <c r="CY1961" s="20"/>
    </row>
    <row r="1962" ht="26.25" customHeight="1" spans="102:103">
      <c r="CX1962" s="20"/>
      <c r="CY1962" s="20"/>
    </row>
    <row r="1963" ht="26.25" customHeight="1" spans="102:103">
      <c r="CX1963" s="20"/>
      <c r="CY1963" s="20"/>
    </row>
    <row r="1964" ht="26.25" customHeight="1" spans="102:103">
      <c r="CX1964" s="20"/>
      <c r="CY1964" s="20"/>
    </row>
    <row r="1965" ht="26.25" customHeight="1" spans="102:103">
      <c r="CX1965" s="20"/>
      <c r="CY1965" s="20"/>
    </row>
    <row r="1966" ht="26.25" customHeight="1" spans="102:103">
      <c r="CX1966" s="20"/>
      <c r="CY1966" s="20"/>
    </row>
    <row r="1967" ht="26.25" customHeight="1" spans="102:103">
      <c r="CX1967" s="20"/>
      <c r="CY1967" s="20"/>
    </row>
    <row r="1968" ht="26.25" customHeight="1" spans="102:103">
      <c r="CX1968" s="20"/>
      <c r="CY1968" s="20"/>
    </row>
    <row r="1969" ht="26.25" customHeight="1" spans="102:103">
      <c r="CX1969" s="20"/>
      <c r="CY1969" s="20"/>
    </row>
    <row r="1970" ht="26.25" customHeight="1" spans="102:103">
      <c r="CX1970" s="20"/>
      <c r="CY1970" s="20"/>
    </row>
    <row r="1971" ht="26.25" customHeight="1" spans="102:103">
      <c r="CX1971" s="20"/>
      <c r="CY1971" s="20"/>
    </row>
    <row r="1972" ht="26.25" customHeight="1" spans="102:103">
      <c r="CX1972" s="20"/>
      <c r="CY1972" s="20"/>
    </row>
    <row r="1973" ht="26.25" customHeight="1" spans="102:103">
      <c r="CX1973" s="20"/>
      <c r="CY1973" s="20"/>
    </row>
    <row r="1974" ht="26.25" customHeight="1" spans="102:103">
      <c r="CX1974" s="20"/>
      <c r="CY1974" s="20"/>
    </row>
    <row r="1975" ht="26.25" customHeight="1" spans="102:103">
      <c r="CX1975" s="20"/>
      <c r="CY1975" s="20"/>
    </row>
    <row r="1976" ht="26.25" customHeight="1" spans="102:103">
      <c r="CX1976" s="20"/>
      <c r="CY1976" s="20"/>
    </row>
    <row r="1977" ht="26.25" customHeight="1" spans="102:103">
      <c r="CX1977" s="20"/>
      <c r="CY1977" s="20"/>
    </row>
    <row r="1978" ht="26.25" customHeight="1" spans="102:103">
      <c r="CX1978" s="20"/>
      <c r="CY1978" s="20"/>
    </row>
    <row r="1979" ht="26.25" customHeight="1" spans="102:103">
      <c r="CX1979" s="20"/>
      <c r="CY1979" s="20"/>
    </row>
    <row r="1980" ht="26.25" customHeight="1" spans="102:103">
      <c r="CX1980" s="20"/>
      <c r="CY1980" s="20"/>
    </row>
    <row r="1981" ht="26.25" customHeight="1" spans="102:103">
      <c r="CX1981" s="20"/>
      <c r="CY1981" s="20"/>
    </row>
    <row r="1982" ht="26.25" customHeight="1" spans="102:103">
      <c r="CX1982" s="20"/>
      <c r="CY1982" s="20"/>
    </row>
    <row r="1983" ht="26.25" customHeight="1" spans="102:103">
      <c r="CX1983" s="20"/>
      <c r="CY1983" s="20"/>
    </row>
    <row r="1984" ht="26.25" customHeight="1" spans="102:103">
      <c r="CX1984" s="20"/>
      <c r="CY1984" s="20"/>
    </row>
    <row r="1985" ht="26.25" customHeight="1" spans="102:103">
      <c r="CX1985" s="20"/>
      <c r="CY1985" s="20"/>
    </row>
    <row r="1986" ht="26.25" customHeight="1" spans="102:103">
      <c r="CX1986" s="20"/>
      <c r="CY1986" s="20"/>
    </row>
    <row r="1987" ht="26.25" customHeight="1" spans="102:103">
      <c r="CX1987" s="20"/>
      <c r="CY1987" s="20"/>
    </row>
    <row r="1988" ht="26.25" customHeight="1" spans="102:103">
      <c r="CX1988" s="20"/>
      <c r="CY1988" s="20"/>
    </row>
    <row r="1989" ht="26.25" customHeight="1" spans="102:103">
      <c r="CX1989" s="20"/>
      <c r="CY1989" s="20"/>
    </row>
    <row r="1990" ht="26.25" customHeight="1" spans="102:103">
      <c r="CX1990" s="20"/>
      <c r="CY1990" s="20"/>
    </row>
    <row r="1991" ht="26.25" customHeight="1" spans="102:103">
      <c r="CX1991" s="20"/>
      <c r="CY1991" s="20"/>
    </row>
    <row r="1992" ht="26.25" customHeight="1" spans="102:103">
      <c r="CX1992" s="20"/>
      <c r="CY1992" s="20"/>
    </row>
    <row r="1993" ht="26.25" customHeight="1" spans="102:103">
      <c r="CX1993" s="20"/>
      <c r="CY1993" s="20"/>
    </row>
    <row r="1994" ht="26.25" customHeight="1" spans="102:103">
      <c r="CX1994" s="20"/>
      <c r="CY1994" s="20"/>
    </row>
    <row r="1995" ht="26.25" customHeight="1" spans="102:103">
      <c r="CX1995" s="20"/>
      <c r="CY1995" s="20"/>
    </row>
    <row r="1996" ht="26.25" customHeight="1" spans="102:103">
      <c r="CX1996" s="20"/>
      <c r="CY1996" s="20"/>
    </row>
    <row r="1997" ht="26.25" customHeight="1" spans="102:103">
      <c r="CX1997" s="20"/>
      <c r="CY1997" s="20"/>
    </row>
    <row r="1998" ht="26.25" customHeight="1" spans="102:103">
      <c r="CX1998" s="20"/>
      <c r="CY1998" s="20"/>
    </row>
    <row r="1999" ht="26.25" customHeight="1" spans="102:103">
      <c r="CX1999" s="20"/>
      <c r="CY1999" s="20"/>
    </row>
    <row r="2000" ht="26.25" customHeight="1" spans="102:103">
      <c r="CX2000" s="20"/>
      <c r="CY2000" s="20"/>
    </row>
    <row r="2001" ht="26.25" customHeight="1" spans="102:103">
      <c r="CX2001" s="20"/>
      <c r="CY2001" s="20"/>
    </row>
    <row r="2002" ht="26.25" customHeight="1" spans="102:103">
      <c r="CX2002" s="20"/>
      <c r="CY2002" s="20"/>
    </row>
    <row r="2003" ht="26.25" customHeight="1" spans="102:103">
      <c r="CX2003" s="20"/>
      <c r="CY2003" s="20"/>
    </row>
    <row r="2004" ht="26.25" customHeight="1" spans="102:103">
      <c r="CX2004" s="20"/>
      <c r="CY2004" s="20"/>
    </row>
    <row r="2005" ht="26.25" customHeight="1" spans="102:103">
      <c r="CX2005" s="20"/>
      <c r="CY2005" s="20"/>
    </row>
    <row r="2006" ht="26.25" customHeight="1" spans="102:103">
      <c r="CX2006" s="20"/>
      <c r="CY2006" s="20"/>
    </row>
    <row r="2007" ht="26.25" customHeight="1" spans="102:103">
      <c r="CX2007" s="20"/>
      <c r="CY2007" s="20"/>
    </row>
    <row r="2008" ht="26.25" customHeight="1" spans="102:103">
      <c r="CX2008" s="20"/>
      <c r="CY2008" s="20"/>
    </row>
    <row r="2009" ht="26.25" customHeight="1" spans="102:103">
      <c r="CX2009" s="20"/>
      <c r="CY2009" s="20"/>
    </row>
    <row r="2010" ht="26.25" customHeight="1" spans="102:103">
      <c r="CX2010" s="20"/>
      <c r="CY2010" s="20"/>
    </row>
    <row r="2011" ht="26.25" customHeight="1" spans="102:103">
      <c r="CX2011" s="20"/>
      <c r="CY2011" s="20"/>
    </row>
    <row r="2012" ht="26.25" customHeight="1" spans="102:103">
      <c r="CX2012" s="20"/>
      <c r="CY2012" s="20"/>
    </row>
    <row r="2013" ht="26.25" customHeight="1" spans="102:103">
      <c r="CX2013" s="20"/>
      <c r="CY2013" s="20"/>
    </row>
    <row r="2014" ht="26.25" customHeight="1" spans="102:103">
      <c r="CX2014" s="20"/>
      <c r="CY2014" s="20"/>
    </row>
    <row r="2015" ht="26.25" customHeight="1" spans="102:103">
      <c r="CX2015" s="20"/>
      <c r="CY2015" s="20"/>
    </row>
    <row r="2016" ht="26.25" customHeight="1" spans="102:103">
      <c r="CX2016" s="20"/>
      <c r="CY2016" s="20"/>
    </row>
    <row r="2017" ht="26.25" customHeight="1" spans="102:103">
      <c r="CX2017" s="20"/>
      <c r="CY2017" s="20"/>
    </row>
    <row r="2018" ht="26.25" customHeight="1" spans="102:103">
      <c r="CX2018" s="20"/>
      <c r="CY2018" s="20"/>
    </row>
    <row r="2019" ht="26.25" customHeight="1" spans="102:103">
      <c r="CX2019" s="20"/>
      <c r="CY2019" s="20"/>
    </row>
    <row r="2020" ht="26.25" customHeight="1" spans="102:103">
      <c r="CX2020" s="20"/>
      <c r="CY2020" s="20"/>
    </row>
    <row r="2021" ht="26.25" customHeight="1" spans="102:103">
      <c r="CX2021" s="20"/>
      <c r="CY2021" s="20"/>
    </row>
    <row r="2022" ht="26.25" customHeight="1" spans="102:103">
      <c r="CX2022" s="20"/>
      <c r="CY2022" s="20"/>
    </row>
    <row r="2023" ht="26.25" customHeight="1" spans="102:103">
      <c r="CX2023" s="20"/>
      <c r="CY2023" s="20"/>
    </row>
    <row r="2024" ht="26.25" customHeight="1" spans="102:103">
      <c r="CX2024" s="20"/>
      <c r="CY2024" s="20"/>
    </row>
    <row r="2025" ht="26.25" customHeight="1" spans="102:103">
      <c r="CX2025" s="20"/>
      <c r="CY2025" s="20"/>
    </row>
    <row r="2026" ht="26.25" customHeight="1" spans="102:103">
      <c r="CX2026" s="20"/>
      <c r="CY2026" s="20"/>
    </row>
    <row r="2027" ht="26.25" customHeight="1" spans="102:103">
      <c r="CX2027" s="20"/>
      <c r="CY2027" s="20"/>
    </row>
    <row r="2028" ht="26.25" customHeight="1" spans="102:103">
      <c r="CX2028" s="20"/>
      <c r="CY2028" s="20"/>
    </row>
    <row r="2029" ht="26.25" customHeight="1" spans="102:103">
      <c r="CX2029" s="20"/>
      <c r="CY2029" s="20"/>
    </row>
    <row r="2030" ht="26.25" customHeight="1" spans="102:103">
      <c r="CX2030" s="20"/>
      <c r="CY2030" s="20"/>
    </row>
    <row r="2031" ht="26.25" customHeight="1" spans="102:103">
      <c r="CX2031" s="20"/>
      <c r="CY2031" s="20"/>
    </row>
    <row r="2032" ht="26.25" customHeight="1" spans="102:103">
      <c r="CX2032" s="20"/>
      <c r="CY2032" s="20"/>
    </row>
    <row r="2033" ht="26.25" customHeight="1" spans="102:103">
      <c r="CX2033" s="20"/>
      <c r="CY2033" s="20"/>
    </row>
    <row r="2034" ht="26.25" customHeight="1" spans="102:103">
      <c r="CX2034" s="20"/>
      <c r="CY2034" s="20"/>
    </row>
    <row r="2035" ht="26.25" customHeight="1" spans="102:103">
      <c r="CX2035" s="20"/>
      <c r="CY2035" s="20"/>
    </row>
    <row r="2036" ht="26.25" customHeight="1" spans="102:103">
      <c r="CX2036" s="20"/>
      <c r="CY2036" s="20"/>
    </row>
    <row r="2037" ht="26.25" customHeight="1" spans="102:103">
      <c r="CX2037" s="20"/>
      <c r="CY2037" s="20"/>
    </row>
    <row r="2038" ht="26.25" customHeight="1" spans="102:103">
      <c r="CX2038" s="20"/>
      <c r="CY2038" s="20"/>
    </row>
    <row r="2039" ht="26.25" customHeight="1" spans="102:103">
      <c r="CX2039" s="20"/>
      <c r="CY2039" s="20"/>
    </row>
    <row r="2040" ht="26.25" customHeight="1" spans="102:103">
      <c r="CX2040" s="20"/>
      <c r="CY2040" s="20"/>
    </row>
    <row r="2041" ht="26.25" customHeight="1" spans="102:103">
      <c r="CX2041" s="20"/>
      <c r="CY2041" s="20"/>
    </row>
    <row r="2042" ht="26.25" customHeight="1" spans="102:103">
      <c r="CX2042" s="20"/>
      <c r="CY2042" s="20"/>
    </row>
    <row r="2043" ht="26.25" customHeight="1" spans="102:103">
      <c r="CX2043" s="20"/>
      <c r="CY2043" s="20"/>
    </row>
    <row r="2044" ht="26.25" customHeight="1" spans="102:103">
      <c r="CX2044" s="20"/>
      <c r="CY2044" s="20"/>
    </row>
    <row r="2045" ht="26.25" customHeight="1" spans="102:103">
      <c r="CX2045" s="20"/>
      <c r="CY2045" s="20"/>
    </row>
    <row r="2046" ht="26.25" customHeight="1" spans="102:103">
      <c r="CX2046" s="20"/>
      <c r="CY2046" s="20"/>
    </row>
    <row r="2047" ht="26.25" customHeight="1" spans="102:103">
      <c r="CX2047" s="20"/>
      <c r="CY2047" s="20"/>
    </row>
    <row r="2048" ht="26.25" customHeight="1" spans="102:103">
      <c r="CX2048" s="20"/>
      <c r="CY2048" s="20"/>
    </row>
    <row r="2049" ht="26.25" customHeight="1" spans="102:103">
      <c r="CX2049" s="20"/>
      <c r="CY2049" s="20"/>
    </row>
    <row r="2050" ht="26.25" customHeight="1" spans="102:103">
      <c r="CX2050" s="20"/>
      <c r="CY2050" s="20"/>
    </row>
    <row r="2051" ht="26.25" customHeight="1" spans="102:103">
      <c r="CX2051" s="20"/>
      <c r="CY2051" s="20"/>
    </row>
    <row r="2052" ht="26.25" customHeight="1" spans="102:103">
      <c r="CX2052" s="20"/>
      <c r="CY2052" s="20"/>
    </row>
    <row r="2053" ht="26.25" customHeight="1" spans="102:103">
      <c r="CX2053" s="20"/>
      <c r="CY2053" s="20"/>
    </row>
    <row r="2054" ht="26.25" customHeight="1" spans="102:103">
      <c r="CX2054" s="20"/>
      <c r="CY2054" s="20"/>
    </row>
    <row r="2055" ht="26.25" customHeight="1" spans="102:103">
      <c r="CX2055" s="20"/>
      <c r="CY2055" s="20"/>
    </row>
    <row r="2056" ht="26.25" customHeight="1" spans="102:103">
      <c r="CX2056" s="20"/>
      <c r="CY2056" s="20"/>
    </row>
    <row r="2057" ht="26.25" customHeight="1" spans="102:103">
      <c r="CX2057" s="20"/>
      <c r="CY2057" s="20"/>
    </row>
    <row r="2058" ht="26.25" customHeight="1" spans="102:103">
      <c r="CX2058" s="20"/>
      <c r="CY2058" s="20"/>
    </row>
    <row r="2059" ht="26.25" customHeight="1" spans="102:103">
      <c r="CX2059" s="20"/>
      <c r="CY2059" s="20"/>
    </row>
    <row r="2060" ht="26.25" customHeight="1" spans="102:103">
      <c r="CX2060" s="20"/>
      <c r="CY2060" s="20"/>
    </row>
    <row r="2061" ht="26.25" customHeight="1" spans="102:103">
      <c r="CX2061" s="20"/>
      <c r="CY2061" s="20"/>
    </row>
    <row r="2062" ht="26.25" customHeight="1" spans="102:103">
      <c r="CX2062" s="20"/>
      <c r="CY2062" s="20"/>
    </row>
    <row r="2063" ht="26.25" customHeight="1" spans="102:103">
      <c r="CX2063" s="20"/>
      <c r="CY2063" s="20"/>
    </row>
    <row r="2064" ht="26.25" customHeight="1" spans="102:103">
      <c r="CX2064" s="20"/>
      <c r="CY2064" s="20"/>
    </row>
    <row r="2065" ht="26.25" customHeight="1" spans="102:103">
      <c r="CX2065" s="20"/>
      <c r="CY2065" s="20"/>
    </row>
    <row r="2066" ht="26.25" customHeight="1" spans="102:103">
      <c r="CX2066" s="20"/>
      <c r="CY2066" s="20"/>
    </row>
    <row r="2067" ht="26.25" customHeight="1" spans="102:103">
      <c r="CX2067" s="20"/>
      <c r="CY2067" s="20"/>
    </row>
    <row r="2068" ht="26.25" customHeight="1" spans="102:103">
      <c r="CX2068" s="20"/>
      <c r="CY2068" s="20"/>
    </row>
    <row r="2069" ht="26.25" customHeight="1" spans="102:103">
      <c r="CX2069" s="20"/>
      <c r="CY2069" s="20"/>
    </row>
    <row r="2070" ht="26.25" customHeight="1" spans="102:103">
      <c r="CX2070" s="20"/>
      <c r="CY2070" s="20"/>
    </row>
    <row r="2071" ht="26.25" customHeight="1" spans="102:103">
      <c r="CX2071" s="20"/>
      <c r="CY2071" s="20"/>
    </row>
    <row r="2072" ht="26.25" customHeight="1" spans="102:103">
      <c r="CX2072" s="20"/>
      <c r="CY2072" s="20"/>
    </row>
    <row r="2073" ht="26.25" customHeight="1" spans="102:103">
      <c r="CX2073" s="20"/>
      <c r="CY2073" s="20"/>
    </row>
    <row r="2074" ht="26.25" customHeight="1" spans="102:103">
      <c r="CX2074" s="20"/>
      <c r="CY2074" s="20"/>
    </row>
    <row r="2075" ht="26.25" customHeight="1" spans="102:103">
      <c r="CX2075" s="20"/>
      <c r="CY2075" s="20"/>
    </row>
    <row r="2076" ht="26.25" customHeight="1" spans="102:103">
      <c r="CX2076" s="20"/>
      <c r="CY2076" s="20"/>
    </row>
    <row r="2077" ht="26.25" customHeight="1" spans="102:103">
      <c r="CX2077" s="20"/>
      <c r="CY2077" s="20"/>
    </row>
    <row r="2078" ht="26.25" customHeight="1" spans="102:103">
      <c r="CX2078" s="20"/>
      <c r="CY2078" s="20"/>
    </row>
    <row r="2079" ht="26.25" customHeight="1" spans="102:103">
      <c r="CX2079" s="20"/>
      <c r="CY2079" s="20"/>
    </row>
    <row r="2080" ht="26.25" customHeight="1" spans="102:103">
      <c r="CX2080" s="20"/>
      <c r="CY2080" s="20"/>
    </row>
    <row r="2081" ht="26.25" customHeight="1" spans="102:103">
      <c r="CX2081" s="20"/>
      <c r="CY2081" s="20"/>
    </row>
    <row r="2082" ht="26.25" customHeight="1" spans="102:103">
      <c r="CX2082" s="20"/>
      <c r="CY2082" s="20"/>
    </row>
    <row r="2083" ht="26.25" customHeight="1" spans="102:103">
      <c r="CX2083" s="20"/>
      <c r="CY2083" s="20"/>
    </row>
    <row r="2084" ht="26.25" customHeight="1" spans="102:103">
      <c r="CX2084" s="20"/>
      <c r="CY2084" s="20"/>
    </row>
    <row r="2085" ht="26.25" customHeight="1" spans="102:103">
      <c r="CX2085" s="20"/>
      <c r="CY2085" s="20"/>
    </row>
    <row r="2086" ht="26.25" customHeight="1" spans="102:103">
      <c r="CX2086" s="20"/>
      <c r="CY2086" s="20"/>
    </row>
    <row r="2087" ht="26.25" customHeight="1" spans="102:103">
      <c r="CX2087" s="20"/>
      <c r="CY2087" s="20"/>
    </row>
    <row r="2088" ht="26.25" customHeight="1" spans="102:103">
      <c r="CX2088" s="20"/>
      <c r="CY2088" s="20"/>
    </row>
    <row r="2089" ht="26.25" customHeight="1" spans="102:103">
      <c r="CX2089" s="20"/>
      <c r="CY2089" s="20"/>
    </row>
    <row r="2090" ht="26.25" customHeight="1" spans="102:103">
      <c r="CX2090" s="20"/>
      <c r="CY2090" s="20"/>
    </row>
    <row r="2091" ht="26.25" customHeight="1" spans="102:103">
      <c r="CX2091" s="20"/>
      <c r="CY2091" s="20"/>
    </row>
    <row r="2092" ht="26.25" customHeight="1" spans="102:103">
      <c r="CX2092" s="20"/>
      <c r="CY2092" s="20"/>
    </row>
    <row r="2093" ht="26.25" customHeight="1" spans="102:103">
      <c r="CX2093" s="20"/>
      <c r="CY2093" s="20"/>
    </row>
    <row r="2094" ht="26.25" customHeight="1" spans="102:103">
      <c r="CX2094" s="20"/>
      <c r="CY2094" s="20"/>
    </row>
    <row r="2095" ht="26.25" customHeight="1" spans="102:103">
      <c r="CX2095" s="20"/>
      <c r="CY2095" s="20"/>
    </row>
    <row r="2096" ht="26.25" customHeight="1" spans="102:103">
      <c r="CX2096" s="20"/>
      <c r="CY2096" s="20"/>
    </row>
    <row r="2097" ht="26.25" customHeight="1" spans="102:103">
      <c r="CX2097" s="20"/>
      <c r="CY2097" s="20"/>
    </row>
    <row r="2098" ht="26.25" customHeight="1" spans="102:103">
      <c r="CX2098" s="20"/>
      <c r="CY2098" s="20"/>
    </row>
    <row r="2099" ht="26.25" customHeight="1" spans="102:103">
      <c r="CX2099" s="20"/>
      <c r="CY2099" s="20"/>
    </row>
    <row r="2100" ht="26.25" customHeight="1" spans="102:103">
      <c r="CX2100" s="20"/>
      <c r="CY2100" s="20"/>
    </row>
    <row r="2101" ht="26.25" customHeight="1" spans="102:103">
      <c r="CX2101" s="20"/>
      <c r="CY2101" s="20"/>
    </row>
    <row r="2102" ht="26.25" customHeight="1" spans="102:103">
      <c r="CX2102" s="20"/>
      <c r="CY2102" s="20"/>
    </row>
    <row r="2103" ht="26.25" customHeight="1" spans="102:103">
      <c r="CX2103" s="20"/>
      <c r="CY2103" s="20"/>
    </row>
    <row r="2104" ht="26.25" customHeight="1" spans="102:103">
      <c r="CX2104" s="20"/>
      <c r="CY2104" s="20"/>
    </row>
    <row r="2105" ht="26.25" customHeight="1" spans="102:103">
      <c r="CX2105" s="20"/>
      <c r="CY2105" s="20"/>
    </row>
    <row r="2106" ht="26.25" customHeight="1" spans="102:103">
      <c r="CX2106" s="20"/>
      <c r="CY2106" s="20"/>
    </row>
    <row r="2107" ht="26.25" customHeight="1" spans="102:103">
      <c r="CX2107" s="20"/>
      <c r="CY2107" s="20"/>
    </row>
    <row r="2108" ht="26.25" customHeight="1" spans="102:103">
      <c r="CX2108" s="20"/>
      <c r="CY2108" s="20"/>
    </row>
    <row r="2109" ht="26.25" customHeight="1" spans="102:103">
      <c r="CX2109" s="20"/>
      <c r="CY2109" s="20"/>
    </row>
    <row r="2110" ht="26.25" customHeight="1" spans="102:103">
      <c r="CX2110" s="20"/>
      <c r="CY2110" s="20"/>
    </row>
    <row r="2111" ht="26.25" customHeight="1" spans="102:103">
      <c r="CX2111" s="20"/>
      <c r="CY2111" s="20"/>
    </row>
    <row r="2112" ht="26.25" customHeight="1" spans="102:103">
      <c r="CX2112" s="20"/>
      <c r="CY2112" s="20"/>
    </row>
    <row r="2113" ht="26.25" customHeight="1" spans="102:103">
      <c r="CX2113" s="20"/>
      <c r="CY2113" s="20"/>
    </row>
    <row r="2114" ht="26.25" customHeight="1" spans="102:103">
      <c r="CX2114" s="20"/>
      <c r="CY2114" s="20"/>
    </row>
    <row r="2115" ht="26.25" customHeight="1" spans="102:103">
      <c r="CX2115" s="20"/>
      <c r="CY2115" s="20"/>
    </row>
    <row r="2116" ht="26.25" customHeight="1" spans="102:103">
      <c r="CX2116" s="20"/>
      <c r="CY2116" s="20"/>
    </row>
    <row r="2117" ht="26.25" customHeight="1" spans="102:103">
      <c r="CX2117" s="20"/>
      <c r="CY2117" s="20"/>
    </row>
    <row r="2118" ht="26.25" customHeight="1" spans="102:103">
      <c r="CX2118" s="20"/>
      <c r="CY2118" s="20"/>
    </row>
    <row r="2119" ht="26.25" customHeight="1" spans="102:103">
      <c r="CX2119" s="20"/>
      <c r="CY2119" s="20"/>
    </row>
    <row r="2120" ht="26.25" customHeight="1" spans="102:103">
      <c r="CX2120" s="20"/>
      <c r="CY2120" s="20"/>
    </row>
    <row r="2121" ht="26.25" customHeight="1" spans="102:103">
      <c r="CX2121" s="20"/>
      <c r="CY2121" s="20"/>
    </row>
    <row r="2122" ht="26.25" customHeight="1" spans="102:103">
      <c r="CX2122" s="20"/>
      <c r="CY2122" s="20"/>
    </row>
    <row r="2123" ht="26.25" customHeight="1" spans="102:103">
      <c r="CX2123" s="20"/>
      <c r="CY2123" s="20"/>
    </row>
    <row r="2124" ht="26.25" customHeight="1" spans="102:103">
      <c r="CX2124" s="20"/>
      <c r="CY2124" s="20"/>
    </row>
    <row r="2125" ht="26.25" customHeight="1" spans="102:103">
      <c r="CX2125" s="20"/>
      <c r="CY2125" s="20"/>
    </row>
    <row r="2126" ht="26.25" customHeight="1" spans="102:103">
      <c r="CX2126" s="20"/>
      <c r="CY2126" s="20"/>
    </row>
    <row r="2127" ht="26.25" customHeight="1" spans="102:103">
      <c r="CX2127" s="20"/>
      <c r="CY2127" s="20"/>
    </row>
    <row r="2128" ht="26.25" customHeight="1" spans="102:103">
      <c r="CX2128" s="20"/>
      <c r="CY2128" s="20"/>
    </row>
    <row r="2129" ht="26.25" customHeight="1" spans="102:103">
      <c r="CX2129" s="20"/>
      <c r="CY2129" s="20"/>
    </row>
    <row r="2130" ht="26.25" customHeight="1" spans="102:103">
      <c r="CX2130" s="20"/>
      <c r="CY2130" s="20"/>
    </row>
    <row r="2131" ht="26.25" customHeight="1" spans="102:103">
      <c r="CX2131" s="20"/>
      <c r="CY2131" s="20"/>
    </row>
    <row r="2132" ht="26.25" customHeight="1" spans="102:103">
      <c r="CX2132" s="20"/>
      <c r="CY2132" s="20"/>
    </row>
    <row r="2133" ht="26.25" customHeight="1" spans="102:103">
      <c r="CX2133" s="20"/>
      <c r="CY2133" s="20"/>
    </row>
    <row r="2134" ht="26.25" customHeight="1" spans="102:103">
      <c r="CX2134" s="20"/>
      <c r="CY2134" s="20"/>
    </row>
    <row r="2135" ht="26.25" customHeight="1" spans="102:103">
      <c r="CX2135" s="20"/>
      <c r="CY2135" s="20"/>
    </row>
    <row r="2136" ht="26.25" customHeight="1" spans="102:103">
      <c r="CX2136" s="20"/>
      <c r="CY2136" s="20"/>
    </row>
    <row r="2137" ht="26.25" customHeight="1" spans="102:103">
      <c r="CX2137" s="20"/>
      <c r="CY2137" s="20"/>
    </row>
    <row r="2138" ht="26.25" customHeight="1" spans="102:103">
      <c r="CX2138" s="20"/>
      <c r="CY2138" s="20"/>
    </row>
    <row r="2139" ht="26.25" customHeight="1" spans="102:103">
      <c r="CX2139" s="20"/>
      <c r="CY2139" s="20"/>
    </row>
    <row r="2140" ht="26.25" customHeight="1" spans="102:103">
      <c r="CX2140" s="20"/>
      <c r="CY2140" s="20"/>
    </row>
    <row r="2141" ht="26.25" customHeight="1" spans="102:103">
      <c r="CX2141" s="20"/>
      <c r="CY2141" s="20"/>
    </row>
    <row r="2142" ht="26.25" customHeight="1" spans="102:103">
      <c r="CX2142" s="20"/>
      <c r="CY2142" s="20"/>
    </row>
    <row r="2143" ht="26.25" customHeight="1" spans="102:103">
      <c r="CX2143" s="20"/>
      <c r="CY2143" s="20"/>
    </row>
    <row r="2144" ht="26.25" customHeight="1" spans="102:103">
      <c r="CX2144" s="20"/>
      <c r="CY2144" s="20"/>
    </row>
    <row r="2145" ht="26.25" customHeight="1" spans="102:103">
      <c r="CX2145" s="20"/>
      <c r="CY2145" s="20"/>
    </row>
    <row r="2146" ht="26.25" customHeight="1" spans="102:103">
      <c r="CX2146" s="20"/>
      <c r="CY2146" s="20"/>
    </row>
    <row r="2147" ht="26.25" customHeight="1" spans="102:103">
      <c r="CX2147" s="20"/>
      <c r="CY2147" s="20"/>
    </row>
    <row r="2148" ht="26.25" customHeight="1" spans="102:103">
      <c r="CX2148" s="20"/>
      <c r="CY2148" s="20"/>
    </row>
    <row r="2149" ht="26.25" customHeight="1" spans="102:103">
      <c r="CX2149" s="20"/>
      <c r="CY2149" s="20"/>
    </row>
    <row r="2150" ht="26.25" customHeight="1" spans="102:103">
      <c r="CX2150" s="20"/>
      <c r="CY2150" s="20"/>
    </row>
    <row r="2151" ht="26.25" customHeight="1" spans="102:103">
      <c r="CX2151" s="20"/>
      <c r="CY2151" s="20"/>
    </row>
    <row r="2152" ht="26.25" customHeight="1" spans="102:103">
      <c r="CX2152" s="20"/>
      <c r="CY2152" s="20"/>
    </row>
    <row r="2153" ht="26.25" customHeight="1" spans="102:103">
      <c r="CX2153" s="20"/>
      <c r="CY2153" s="20"/>
    </row>
    <row r="2154" ht="26.25" customHeight="1" spans="102:103">
      <c r="CX2154" s="20"/>
      <c r="CY2154" s="20"/>
    </row>
    <row r="2155" ht="26.25" customHeight="1" spans="102:103">
      <c r="CX2155" s="20"/>
      <c r="CY2155" s="20"/>
    </row>
    <row r="2156" ht="26.25" customHeight="1" spans="102:103">
      <c r="CX2156" s="20"/>
      <c r="CY2156" s="20"/>
    </row>
    <row r="2157" ht="26.25" customHeight="1" spans="102:103">
      <c r="CX2157" s="20"/>
      <c r="CY2157" s="20"/>
    </row>
    <row r="2158" ht="26.25" customHeight="1" spans="102:103">
      <c r="CX2158" s="20"/>
      <c r="CY2158" s="20"/>
    </row>
    <row r="2159" ht="26.25" customHeight="1" spans="102:103">
      <c r="CX2159" s="20"/>
      <c r="CY2159" s="20"/>
    </row>
    <row r="2160" ht="26.25" customHeight="1" spans="102:103">
      <c r="CX2160" s="20"/>
      <c r="CY2160" s="20"/>
    </row>
    <row r="2161" ht="26.25" customHeight="1" spans="102:103">
      <c r="CX2161" s="20"/>
      <c r="CY2161" s="20"/>
    </row>
    <row r="2162" ht="26.25" customHeight="1" spans="102:103">
      <c r="CX2162" s="20"/>
      <c r="CY2162" s="20"/>
    </row>
    <row r="2163" ht="26.25" customHeight="1" spans="102:103">
      <c r="CX2163" s="20"/>
      <c r="CY2163" s="20"/>
    </row>
    <row r="2164" ht="26.25" customHeight="1" spans="102:103">
      <c r="CX2164" s="20"/>
      <c r="CY2164" s="20"/>
    </row>
    <row r="2165" ht="26.25" customHeight="1" spans="102:103">
      <c r="CX2165" s="20"/>
      <c r="CY2165" s="20"/>
    </row>
    <row r="2166" ht="26.25" customHeight="1" spans="102:103">
      <c r="CX2166" s="20"/>
      <c r="CY2166" s="20"/>
    </row>
    <row r="2167" ht="26.25" customHeight="1" spans="102:103">
      <c r="CX2167" s="20"/>
      <c r="CY2167" s="20"/>
    </row>
    <row r="2168" ht="26.25" customHeight="1" spans="102:103">
      <c r="CX2168" s="20"/>
      <c r="CY2168" s="20"/>
    </row>
    <row r="2169" ht="26.25" customHeight="1" spans="102:103">
      <c r="CX2169" s="20"/>
      <c r="CY2169" s="20"/>
    </row>
    <row r="2170" ht="26.25" customHeight="1" spans="102:103">
      <c r="CX2170" s="20"/>
      <c r="CY2170" s="20"/>
    </row>
    <row r="2171" ht="26.25" customHeight="1" spans="102:103">
      <c r="CX2171" s="20"/>
      <c r="CY2171" s="20"/>
    </row>
    <row r="2172" ht="26.25" customHeight="1" spans="102:103">
      <c r="CX2172" s="20"/>
      <c r="CY2172" s="20"/>
    </row>
    <row r="2173" ht="26.25" customHeight="1" spans="102:103">
      <c r="CX2173" s="20"/>
      <c r="CY2173" s="20"/>
    </row>
    <row r="2174" ht="26.25" customHeight="1" spans="102:103">
      <c r="CX2174" s="20"/>
      <c r="CY2174" s="20"/>
    </row>
    <row r="2175" ht="26.25" customHeight="1" spans="102:103">
      <c r="CX2175" s="20"/>
      <c r="CY2175" s="20"/>
    </row>
    <row r="2176" ht="26.25" customHeight="1" spans="102:103">
      <c r="CX2176" s="20"/>
      <c r="CY2176" s="20"/>
    </row>
    <row r="2177" ht="26.25" customHeight="1" spans="102:103">
      <c r="CX2177" s="20"/>
      <c r="CY2177" s="20"/>
    </row>
    <row r="2178" ht="26.25" customHeight="1" spans="102:103">
      <c r="CX2178" s="20"/>
      <c r="CY2178" s="20"/>
    </row>
    <row r="2179" ht="26.25" customHeight="1" spans="102:103">
      <c r="CX2179" s="20"/>
      <c r="CY2179" s="20"/>
    </row>
    <row r="2180" ht="26.25" customHeight="1" spans="102:103">
      <c r="CX2180" s="20"/>
      <c r="CY2180" s="20"/>
    </row>
    <row r="2181" ht="26.25" customHeight="1" spans="102:103">
      <c r="CX2181" s="20"/>
      <c r="CY2181" s="20"/>
    </row>
    <row r="2182" ht="26.25" customHeight="1" spans="102:103">
      <c r="CX2182" s="20"/>
      <c r="CY2182" s="20"/>
    </row>
    <row r="2183" ht="26.25" customHeight="1" spans="102:103">
      <c r="CX2183" s="20"/>
      <c r="CY2183" s="20"/>
    </row>
    <row r="2184" ht="26.25" customHeight="1" spans="102:103">
      <c r="CX2184" s="20"/>
      <c r="CY2184" s="20"/>
    </row>
    <row r="2185" ht="26.25" customHeight="1" spans="102:103">
      <c r="CX2185" s="20"/>
      <c r="CY2185" s="20"/>
    </row>
    <row r="2186" ht="26.25" customHeight="1" spans="102:103">
      <c r="CX2186" s="20"/>
      <c r="CY2186" s="20"/>
    </row>
    <row r="2187" ht="26.25" customHeight="1" spans="102:103">
      <c r="CX2187" s="20"/>
      <c r="CY2187" s="20"/>
    </row>
    <row r="2188" ht="26.25" customHeight="1" spans="102:103">
      <c r="CX2188" s="20"/>
      <c r="CY2188" s="20"/>
    </row>
    <row r="2189" ht="26.25" customHeight="1" spans="102:103">
      <c r="CX2189" s="20"/>
      <c r="CY2189" s="20"/>
    </row>
    <row r="2190" ht="26.25" customHeight="1" spans="102:103">
      <c r="CX2190" s="20"/>
      <c r="CY2190" s="20"/>
    </row>
    <row r="2191" ht="26.25" customHeight="1" spans="102:103">
      <c r="CX2191" s="20"/>
      <c r="CY2191" s="20"/>
    </row>
    <row r="2192" ht="26.25" customHeight="1" spans="102:103">
      <c r="CX2192" s="20"/>
      <c r="CY2192" s="20"/>
    </row>
    <row r="2193" ht="26.25" customHeight="1" spans="102:103">
      <c r="CX2193" s="20"/>
      <c r="CY2193" s="20"/>
    </row>
    <row r="2194" ht="26.25" customHeight="1" spans="102:103">
      <c r="CX2194" s="20"/>
      <c r="CY2194" s="20"/>
    </row>
    <row r="2195" ht="26.25" customHeight="1" spans="102:103">
      <c r="CX2195" s="20"/>
      <c r="CY2195" s="20"/>
    </row>
    <row r="2196" ht="26.25" customHeight="1" spans="102:103">
      <c r="CX2196" s="20"/>
      <c r="CY2196" s="20"/>
    </row>
    <row r="2197" ht="26.25" customHeight="1" spans="102:103">
      <c r="CX2197" s="20"/>
      <c r="CY2197" s="20"/>
    </row>
    <row r="2198" ht="26.25" customHeight="1" spans="102:103">
      <c r="CX2198" s="20"/>
      <c r="CY2198" s="20"/>
    </row>
    <row r="2199" ht="26.25" customHeight="1" spans="102:103">
      <c r="CX2199" s="20"/>
      <c r="CY2199" s="20"/>
    </row>
    <row r="2200" ht="26.25" customHeight="1" spans="102:103">
      <c r="CX2200" s="20"/>
      <c r="CY2200" s="20"/>
    </row>
    <row r="2201" ht="26.25" customHeight="1" spans="102:103">
      <c r="CX2201" s="20"/>
      <c r="CY2201" s="20"/>
    </row>
    <row r="2202" ht="26.25" customHeight="1" spans="102:103">
      <c r="CX2202" s="20"/>
      <c r="CY2202" s="20"/>
    </row>
    <row r="2203" ht="26.25" customHeight="1" spans="102:103">
      <c r="CX2203" s="20"/>
      <c r="CY2203" s="20"/>
    </row>
    <row r="2204" ht="26.25" customHeight="1" spans="102:103">
      <c r="CX2204" s="20"/>
      <c r="CY2204" s="20"/>
    </row>
    <row r="2205" ht="26.25" customHeight="1" spans="102:103">
      <c r="CX2205" s="20"/>
      <c r="CY2205" s="20"/>
    </row>
    <row r="2206" ht="26.25" customHeight="1" spans="102:103">
      <c r="CX2206" s="20"/>
      <c r="CY2206" s="20"/>
    </row>
    <row r="2207" ht="26.25" customHeight="1" spans="102:103">
      <c r="CX2207" s="20"/>
      <c r="CY2207" s="20"/>
    </row>
    <row r="2208" ht="26.25" customHeight="1" spans="102:103">
      <c r="CX2208" s="20"/>
      <c r="CY2208" s="20"/>
    </row>
    <row r="2209" ht="26.25" customHeight="1" spans="102:103">
      <c r="CX2209" s="20"/>
      <c r="CY2209" s="20"/>
    </row>
    <row r="2210" ht="26.25" customHeight="1" spans="102:103">
      <c r="CX2210" s="20"/>
      <c r="CY2210" s="20"/>
    </row>
    <row r="2211" ht="26.25" customHeight="1" spans="102:103">
      <c r="CX2211" s="20"/>
      <c r="CY2211" s="20"/>
    </row>
    <row r="2212" ht="26.25" customHeight="1" spans="102:103">
      <c r="CX2212" s="20"/>
      <c r="CY2212" s="20"/>
    </row>
    <row r="2213" ht="26.25" customHeight="1" spans="102:103">
      <c r="CX2213" s="20"/>
      <c r="CY2213" s="20"/>
    </row>
    <row r="2214" ht="26.25" customHeight="1" spans="102:103">
      <c r="CX2214" s="20"/>
      <c r="CY2214" s="20"/>
    </row>
    <row r="2215" ht="26.25" customHeight="1" spans="102:103">
      <c r="CX2215" s="20"/>
      <c r="CY2215" s="20"/>
    </row>
    <row r="2216" ht="26.25" customHeight="1" spans="102:103">
      <c r="CX2216" s="20"/>
      <c r="CY2216" s="20"/>
    </row>
    <row r="2217" ht="26.25" customHeight="1" spans="102:103">
      <c r="CX2217" s="20"/>
      <c r="CY2217" s="20"/>
    </row>
    <row r="2218" ht="26.25" customHeight="1" spans="102:103">
      <c r="CX2218" s="20"/>
      <c r="CY2218" s="20"/>
    </row>
    <row r="2219" ht="26.25" customHeight="1" spans="102:103">
      <c r="CX2219" s="20"/>
      <c r="CY2219" s="20"/>
    </row>
    <row r="2220" ht="26.25" customHeight="1" spans="102:103">
      <c r="CX2220" s="20"/>
      <c r="CY2220" s="20"/>
    </row>
    <row r="2221" ht="26.25" customHeight="1" spans="102:103">
      <c r="CX2221" s="20"/>
      <c r="CY2221" s="20"/>
    </row>
    <row r="2222" ht="26.25" customHeight="1" spans="102:103">
      <c r="CX2222" s="20"/>
      <c r="CY2222" s="20"/>
    </row>
    <row r="2223" ht="26.25" customHeight="1" spans="102:103">
      <c r="CX2223" s="20"/>
      <c r="CY2223" s="20"/>
    </row>
    <row r="2224" ht="26.25" customHeight="1" spans="102:103">
      <c r="CX2224" s="20"/>
      <c r="CY2224" s="20"/>
    </row>
    <row r="2225" ht="26.25" customHeight="1" spans="102:103">
      <c r="CX2225" s="20"/>
      <c r="CY2225" s="20"/>
    </row>
    <row r="2226" ht="26.25" customHeight="1" spans="102:103">
      <c r="CX2226" s="20"/>
      <c r="CY2226" s="20"/>
    </row>
    <row r="2227" ht="26.25" customHeight="1" spans="102:103">
      <c r="CX2227" s="20"/>
      <c r="CY2227" s="20"/>
    </row>
    <row r="2228" ht="26.25" customHeight="1" spans="102:103">
      <c r="CX2228" s="20"/>
      <c r="CY2228" s="20"/>
    </row>
    <row r="2229" ht="26.25" customHeight="1" spans="102:103">
      <c r="CX2229" s="20"/>
      <c r="CY2229" s="20"/>
    </row>
    <row r="2230" ht="26.25" customHeight="1" spans="102:103">
      <c r="CX2230" s="20"/>
      <c r="CY2230" s="20"/>
    </row>
    <row r="2231" ht="26.25" customHeight="1" spans="102:103">
      <c r="CX2231" s="20"/>
      <c r="CY2231" s="20"/>
    </row>
    <row r="2232" ht="26.25" customHeight="1" spans="102:103">
      <c r="CX2232" s="20"/>
      <c r="CY2232" s="20"/>
    </row>
    <row r="2233" ht="26.25" customHeight="1" spans="102:103">
      <c r="CX2233" s="20"/>
      <c r="CY2233" s="20"/>
    </row>
    <row r="2234" ht="26.25" customHeight="1" spans="102:103">
      <c r="CX2234" s="20"/>
      <c r="CY2234" s="20"/>
    </row>
    <row r="2235" ht="26.25" customHeight="1" spans="102:103">
      <c r="CX2235" s="20"/>
      <c r="CY2235" s="20"/>
    </row>
    <row r="2236" ht="26.25" customHeight="1" spans="102:103">
      <c r="CX2236" s="20"/>
      <c r="CY2236" s="20"/>
    </row>
    <row r="2237" ht="26.25" customHeight="1" spans="102:103">
      <c r="CX2237" s="20"/>
      <c r="CY2237" s="20"/>
    </row>
    <row r="2238" ht="26.25" customHeight="1" spans="102:103">
      <c r="CX2238" s="20"/>
      <c r="CY2238" s="20"/>
    </row>
    <row r="2239" ht="26.25" customHeight="1" spans="102:103">
      <c r="CX2239" s="20"/>
      <c r="CY2239" s="20"/>
    </row>
    <row r="2240" ht="26.25" customHeight="1" spans="102:103">
      <c r="CX2240" s="20"/>
      <c r="CY2240" s="20"/>
    </row>
    <row r="2241" ht="26.25" customHeight="1" spans="102:103">
      <c r="CX2241" s="20"/>
      <c r="CY2241" s="20"/>
    </row>
    <row r="2242" ht="26.25" customHeight="1" spans="102:103">
      <c r="CX2242" s="20"/>
      <c r="CY2242" s="20"/>
    </row>
    <row r="2243" ht="26.25" customHeight="1" spans="102:103">
      <c r="CX2243" s="20"/>
      <c r="CY2243" s="20"/>
    </row>
    <row r="2244" ht="26.25" customHeight="1" spans="102:103">
      <c r="CX2244" s="20"/>
      <c r="CY2244" s="20"/>
    </row>
    <row r="2245" ht="26.25" customHeight="1" spans="102:103">
      <c r="CX2245" s="20"/>
      <c r="CY2245" s="20"/>
    </row>
    <row r="2246" ht="26.25" customHeight="1" spans="102:103">
      <c r="CX2246" s="20"/>
      <c r="CY2246" s="20"/>
    </row>
    <row r="2247" ht="26.25" customHeight="1" spans="102:103">
      <c r="CX2247" s="20"/>
      <c r="CY2247" s="20"/>
    </row>
    <row r="2248" ht="26.25" customHeight="1" spans="102:103">
      <c r="CX2248" s="20"/>
      <c r="CY2248" s="20"/>
    </row>
    <row r="2249" ht="26.25" customHeight="1" spans="102:103">
      <c r="CX2249" s="20"/>
      <c r="CY2249" s="20"/>
    </row>
    <row r="2250" ht="26.25" customHeight="1" spans="102:103">
      <c r="CX2250" s="20"/>
      <c r="CY2250" s="20"/>
    </row>
    <row r="2251" ht="26.25" customHeight="1" spans="102:103">
      <c r="CX2251" s="20"/>
      <c r="CY2251" s="20"/>
    </row>
    <row r="2252" ht="26.25" customHeight="1" spans="102:103">
      <c r="CX2252" s="20"/>
      <c r="CY2252" s="20"/>
    </row>
    <row r="2253" ht="26.25" customHeight="1" spans="102:103">
      <c r="CX2253" s="20"/>
      <c r="CY2253" s="20"/>
    </row>
    <row r="2254" ht="26.25" customHeight="1" spans="102:103">
      <c r="CX2254" s="20"/>
      <c r="CY2254" s="20"/>
    </row>
    <row r="2255" ht="26.25" customHeight="1" spans="102:103">
      <c r="CX2255" s="20"/>
      <c r="CY2255" s="20"/>
    </row>
    <row r="2256" ht="26.25" customHeight="1" spans="102:103">
      <c r="CX2256" s="20"/>
      <c r="CY2256" s="20"/>
    </row>
    <row r="2257" ht="26.25" customHeight="1" spans="102:103">
      <c r="CX2257" s="20"/>
      <c r="CY2257" s="20"/>
    </row>
    <row r="2258" ht="26.25" customHeight="1" spans="102:103">
      <c r="CX2258" s="20"/>
      <c r="CY2258" s="20"/>
    </row>
    <row r="2259" ht="26.25" customHeight="1" spans="102:103">
      <c r="CX2259" s="20"/>
      <c r="CY2259" s="20"/>
    </row>
    <row r="2260" ht="26.25" customHeight="1" spans="102:103">
      <c r="CX2260" s="20"/>
      <c r="CY2260" s="20"/>
    </row>
    <row r="2261" ht="26.25" customHeight="1" spans="102:103">
      <c r="CX2261" s="20"/>
      <c r="CY2261" s="20"/>
    </row>
    <row r="2262" ht="26.25" customHeight="1" spans="102:103">
      <c r="CX2262" s="20"/>
      <c r="CY2262" s="20"/>
    </row>
    <row r="2263" ht="26.25" customHeight="1" spans="102:103">
      <c r="CX2263" s="20"/>
      <c r="CY2263" s="20"/>
    </row>
    <row r="2264" ht="26.25" customHeight="1" spans="102:103">
      <c r="CX2264" s="20"/>
      <c r="CY2264" s="20"/>
    </row>
    <row r="2265" ht="26.25" customHeight="1" spans="102:103">
      <c r="CX2265" s="20"/>
      <c r="CY2265" s="20"/>
    </row>
    <row r="2266" ht="26.25" customHeight="1" spans="102:103">
      <c r="CX2266" s="20"/>
      <c r="CY2266" s="20"/>
    </row>
    <row r="2267" ht="26.25" customHeight="1" spans="102:103">
      <c r="CX2267" s="20"/>
      <c r="CY2267" s="20"/>
    </row>
    <row r="2268" ht="26.25" customHeight="1" spans="102:103">
      <c r="CX2268" s="20"/>
      <c r="CY2268" s="20"/>
    </row>
    <row r="2269" ht="26.25" customHeight="1" spans="102:103">
      <c r="CX2269" s="20"/>
      <c r="CY2269" s="20"/>
    </row>
    <row r="2270" ht="26.25" customHeight="1" spans="102:103">
      <c r="CX2270" s="20"/>
      <c r="CY2270" s="20"/>
    </row>
    <row r="2271" ht="26.25" customHeight="1" spans="102:103">
      <c r="CX2271" s="20"/>
      <c r="CY2271" s="20"/>
    </row>
    <row r="2272" ht="26.25" customHeight="1" spans="102:103">
      <c r="CX2272" s="20"/>
      <c r="CY2272" s="20"/>
    </row>
    <row r="2273" ht="26.25" customHeight="1" spans="102:103">
      <c r="CX2273" s="20"/>
      <c r="CY2273" s="20"/>
    </row>
    <row r="2274" ht="26.25" customHeight="1" spans="102:103">
      <c r="CX2274" s="20"/>
      <c r="CY2274" s="20"/>
    </row>
    <row r="2275" ht="26.25" customHeight="1" spans="102:103">
      <c r="CX2275" s="20"/>
      <c r="CY2275" s="20"/>
    </row>
    <row r="2276" ht="26.25" customHeight="1" spans="102:103">
      <c r="CX2276" s="20"/>
      <c r="CY2276" s="20"/>
    </row>
    <row r="2277" ht="26.25" customHeight="1" spans="102:103">
      <c r="CX2277" s="20"/>
      <c r="CY2277" s="20"/>
    </row>
    <row r="2278" ht="26.25" customHeight="1" spans="102:103">
      <c r="CX2278" s="20"/>
      <c r="CY2278" s="20"/>
    </row>
    <row r="2279" ht="26.25" customHeight="1" spans="102:103">
      <c r="CX2279" s="20"/>
      <c r="CY2279" s="20"/>
    </row>
    <row r="2280" ht="26.25" customHeight="1" spans="102:103">
      <c r="CX2280" s="20"/>
      <c r="CY2280" s="20"/>
    </row>
    <row r="2281" ht="26.25" customHeight="1" spans="102:103">
      <c r="CX2281" s="20"/>
      <c r="CY2281" s="20"/>
    </row>
    <row r="2282" ht="26.25" customHeight="1" spans="102:103">
      <c r="CX2282" s="20"/>
      <c r="CY2282" s="20"/>
    </row>
    <row r="2283" ht="26.25" customHeight="1" spans="102:103">
      <c r="CX2283" s="20"/>
      <c r="CY2283" s="20"/>
    </row>
    <row r="2284" ht="26.25" customHeight="1" spans="102:103">
      <c r="CX2284" s="20"/>
      <c r="CY2284" s="20"/>
    </row>
    <row r="2285" ht="26.25" customHeight="1" spans="102:103">
      <c r="CX2285" s="20"/>
      <c r="CY2285" s="20"/>
    </row>
    <row r="2286" ht="26.25" customHeight="1" spans="102:103">
      <c r="CX2286" s="20"/>
      <c r="CY2286" s="20"/>
    </row>
    <row r="2287" ht="26.25" customHeight="1" spans="102:103">
      <c r="CX2287" s="20"/>
      <c r="CY2287" s="20"/>
    </row>
    <row r="2288" ht="26.25" customHeight="1" spans="102:103">
      <c r="CX2288" s="20"/>
      <c r="CY2288" s="20"/>
    </row>
    <row r="2289" ht="26.25" customHeight="1" spans="102:103">
      <c r="CX2289" s="20"/>
      <c r="CY2289" s="20"/>
    </row>
    <row r="2290" ht="26.25" customHeight="1" spans="102:103">
      <c r="CX2290" s="20"/>
      <c r="CY2290" s="20"/>
    </row>
    <row r="2291" ht="26.25" customHeight="1" spans="102:103">
      <c r="CX2291" s="20"/>
      <c r="CY2291" s="20"/>
    </row>
    <row r="2292" ht="26.25" customHeight="1" spans="102:103">
      <c r="CX2292" s="20"/>
      <c r="CY2292" s="20"/>
    </row>
    <row r="2293" ht="26.25" customHeight="1" spans="102:103">
      <c r="CX2293" s="20"/>
      <c r="CY2293" s="20"/>
    </row>
    <row r="2294" ht="26.25" customHeight="1" spans="102:103">
      <c r="CX2294" s="20"/>
      <c r="CY2294" s="20"/>
    </row>
    <row r="2295" ht="26.25" customHeight="1" spans="102:103">
      <c r="CX2295" s="20"/>
      <c r="CY2295" s="20"/>
    </row>
    <row r="2296" ht="26.25" customHeight="1" spans="102:103">
      <c r="CX2296" s="20"/>
      <c r="CY2296" s="20"/>
    </row>
    <row r="2297" ht="26.25" customHeight="1" spans="102:103">
      <c r="CX2297" s="20"/>
      <c r="CY2297" s="20"/>
    </row>
    <row r="2298" ht="26.25" customHeight="1" spans="102:103">
      <c r="CX2298" s="20"/>
      <c r="CY2298" s="20"/>
    </row>
    <row r="2299" ht="26.25" customHeight="1" spans="102:103">
      <c r="CX2299" s="20"/>
      <c r="CY2299" s="20"/>
    </row>
    <row r="2300" ht="26.25" customHeight="1" spans="102:103">
      <c r="CX2300" s="20"/>
      <c r="CY2300" s="20"/>
    </row>
    <row r="2301" ht="26.25" customHeight="1" spans="102:103">
      <c r="CX2301" s="20"/>
      <c r="CY2301" s="20"/>
    </row>
    <row r="2302" ht="26.25" customHeight="1" spans="102:103">
      <c r="CX2302" s="20"/>
      <c r="CY2302" s="20"/>
    </row>
    <row r="2303" ht="26.25" customHeight="1" spans="102:103">
      <c r="CX2303" s="20"/>
      <c r="CY2303" s="20"/>
    </row>
    <row r="2304" ht="26.25" customHeight="1" spans="102:103">
      <c r="CX2304" s="20"/>
      <c r="CY2304" s="20"/>
    </row>
    <row r="2305" ht="26.25" customHeight="1" spans="102:103">
      <c r="CX2305" s="20"/>
      <c r="CY2305" s="20"/>
    </row>
    <row r="2306" ht="26.25" customHeight="1" spans="102:103">
      <c r="CX2306" s="20"/>
      <c r="CY2306" s="20"/>
    </row>
    <row r="2307" ht="26.25" customHeight="1" spans="102:103">
      <c r="CX2307" s="20"/>
      <c r="CY2307" s="20"/>
    </row>
    <row r="2308" ht="26.25" customHeight="1" spans="102:103">
      <c r="CX2308" s="20"/>
      <c r="CY2308" s="20"/>
    </row>
    <row r="2309" ht="26.25" customHeight="1" spans="102:103">
      <c r="CX2309" s="20"/>
      <c r="CY2309" s="20"/>
    </row>
    <row r="2310" ht="26.25" customHeight="1" spans="102:103">
      <c r="CX2310" s="20"/>
      <c r="CY2310" s="20"/>
    </row>
    <row r="2311" ht="26.25" customHeight="1" spans="102:103">
      <c r="CX2311" s="20"/>
      <c r="CY2311" s="20"/>
    </row>
    <row r="2312" ht="26.25" customHeight="1" spans="102:103">
      <c r="CX2312" s="20"/>
      <c r="CY2312" s="20"/>
    </row>
    <row r="2313" ht="26.25" customHeight="1" spans="102:103">
      <c r="CX2313" s="20"/>
      <c r="CY2313" s="20"/>
    </row>
    <row r="2314" ht="26.25" customHeight="1" spans="102:103">
      <c r="CX2314" s="20"/>
      <c r="CY2314" s="20"/>
    </row>
    <row r="2315" ht="26.25" customHeight="1" spans="102:103">
      <c r="CX2315" s="20"/>
      <c r="CY2315" s="20"/>
    </row>
    <row r="2316" ht="26.25" customHeight="1" spans="102:103">
      <c r="CX2316" s="20"/>
      <c r="CY2316" s="20"/>
    </row>
    <row r="2317" ht="26.25" customHeight="1" spans="102:103">
      <c r="CX2317" s="20"/>
      <c r="CY2317" s="20"/>
    </row>
    <row r="2318" ht="26.25" customHeight="1" spans="102:103">
      <c r="CX2318" s="20"/>
      <c r="CY2318" s="20"/>
    </row>
    <row r="2319" ht="26.25" customHeight="1" spans="102:103">
      <c r="CX2319" s="20"/>
      <c r="CY2319" s="20"/>
    </row>
    <row r="2320" ht="26.25" customHeight="1" spans="102:103">
      <c r="CX2320" s="20"/>
      <c r="CY2320" s="20"/>
    </row>
    <row r="2321" ht="26.25" customHeight="1" spans="102:103">
      <c r="CX2321" s="20"/>
      <c r="CY2321" s="20"/>
    </row>
    <row r="2322" ht="26.25" customHeight="1" spans="102:103">
      <c r="CX2322" s="20"/>
      <c r="CY2322" s="20"/>
    </row>
    <row r="2323" ht="26.25" customHeight="1" spans="102:103">
      <c r="CX2323" s="20"/>
      <c r="CY2323" s="20"/>
    </row>
    <row r="2324" ht="26.25" customHeight="1" spans="102:103">
      <c r="CX2324" s="20"/>
      <c r="CY2324" s="20"/>
    </row>
    <row r="2325" ht="26.25" customHeight="1" spans="102:103">
      <c r="CX2325" s="20"/>
      <c r="CY2325" s="20"/>
    </row>
    <row r="2326" ht="26.25" customHeight="1" spans="102:103">
      <c r="CX2326" s="20"/>
      <c r="CY2326" s="20"/>
    </row>
    <row r="2327" ht="26.25" customHeight="1" spans="102:103">
      <c r="CX2327" s="20"/>
      <c r="CY2327" s="20"/>
    </row>
    <row r="2328" ht="26.25" customHeight="1" spans="102:103">
      <c r="CX2328" s="20"/>
      <c r="CY2328" s="20"/>
    </row>
    <row r="2329" ht="26.25" customHeight="1" spans="102:103">
      <c r="CX2329" s="20"/>
      <c r="CY2329" s="20"/>
    </row>
    <row r="2330" ht="26.25" customHeight="1" spans="102:103">
      <c r="CX2330" s="20"/>
      <c r="CY2330" s="20"/>
    </row>
    <row r="2331" ht="26.25" customHeight="1" spans="102:103">
      <c r="CX2331" s="20"/>
      <c r="CY2331" s="20"/>
    </row>
    <row r="2332" ht="26.25" customHeight="1" spans="102:103">
      <c r="CX2332" s="20"/>
      <c r="CY2332" s="20"/>
    </row>
    <row r="2333" ht="26.25" customHeight="1" spans="102:103">
      <c r="CX2333" s="20"/>
      <c r="CY2333" s="20"/>
    </row>
    <row r="2334" ht="26.25" customHeight="1" spans="102:103">
      <c r="CX2334" s="20"/>
      <c r="CY2334" s="20"/>
    </row>
    <row r="2335" ht="26.25" customHeight="1" spans="102:103">
      <c r="CX2335" s="20"/>
      <c r="CY2335" s="20"/>
    </row>
    <row r="2336" ht="26.25" customHeight="1" spans="102:103">
      <c r="CX2336" s="20"/>
      <c r="CY2336" s="20"/>
    </row>
    <row r="2337" ht="26.25" customHeight="1" spans="102:103">
      <c r="CX2337" s="20"/>
      <c r="CY2337" s="20"/>
    </row>
    <row r="2338" ht="26.25" customHeight="1" spans="102:103">
      <c r="CX2338" s="20"/>
      <c r="CY2338" s="20"/>
    </row>
    <row r="2339" ht="26.25" customHeight="1" spans="102:103">
      <c r="CX2339" s="20"/>
      <c r="CY2339" s="20"/>
    </row>
    <row r="2340" ht="26.25" customHeight="1" spans="102:103">
      <c r="CX2340" s="20"/>
      <c r="CY2340" s="20"/>
    </row>
    <row r="2341" ht="26.25" customHeight="1" spans="102:103">
      <c r="CX2341" s="20"/>
      <c r="CY2341" s="20"/>
    </row>
    <row r="2342" ht="26.25" customHeight="1" spans="102:103">
      <c r="CX2342" s="20"/>
      <c r="CY2342" s="20"/>
    </row>
    <row r="2343" ht="26.25" customHeight="1" spans="102:103">
      <c r="CX2343" s="20"/>
      <c r="CY2343" s="20"/>
    </row>
    <row r="2344" ht="26.25" customHeight="1" spans="102:103">
      <c r="CX2344" s="20"/>
      <c r="CY2344" s="20"/>
    </row>
    <row r="2345" ht="26.25" customHeight="1" spans="102:103">
      <c r="CX2345" s="20"/>
      <c r="CY2345" s="20"/>
    </row>
    <row r="2346" ht="26.25" customHeight="1" spans="102:103">
      <c r="CX2346" s="20"/>
      <c r="CY2346" s="20"/>
    </row>
    <row r="2347" ht="26.25" customHeight="1" spans="102:103">
      <c r="CX2347" s="20"/>
      <c r="CY2347" s="20"/>
    </row>
    <row r="2348" ht="26.25" customHeight="1" spans="102:103">
      <c r="CX2348" s="20"/>
      <c r="CY2348" s="20"/>
    </row>
    <row r="2349" ht="26.25" customHeight="1" spans="102:103">
      <c r="CX2349" s="20"/>
      <c r="CY2349" s="20"/>
    </row>
    <row r="2350" ht="26.25" customHeight="1" spans="102:103">
      <c r="CX2350" s="20"/>
      <c r="CY2350" s="20"/>
    </row>
    <row r="2351" ht="26.25" customHeight="1" spans="102:103">
      <c r="CX2351" s="20"/>
      <c r="CY2351" s="20"/>
    </row>
    <row r="2352" ht="26.25" customHeight="1" spans="102:103">
      <c r="CX2352" s="20"/>
      <c r="CY2352" s="20"/>
    </row>
    <row r="2353" ht="26.25" customHeight="1" spans="102:103">
      <c r="CX2353" s="20"/>
      <c r="CY2353" s="20"/>
    </row>
    <row r="2354" ht="26.25" customHeight="1" spans="102:103">
      <c r="CX2354" s="20"/>
      <c r="CY2354" s="20"/>
    </row>
    <row r="2355" ht="26.25" customHeight="1" spans="102:103">
      <c r="CX2355" s="20"/>
      <c r="CY2355" s="20"/>
    </row>
    <row r="2356" ht="26.25" customHeight="1" spans="102:103">
      <c r="CX2356" s="20"/>
      <c r="CY2356" s="20"/>
    </row>
    <row r="2357" ht="26.25" customHeight="1" spans="102:103">
      <c r="CX2357" s="20"/>
      <c r="CY2357" s="20"/>
    </row>
    <row r="2358" ht="26.25" customHeight="1" spans="102:103">
      <c r="CX2358" s="20"/>
      <c r="CY2358" s="20"/>
    </row>
    <row r="2359" ht="26.25" customHeight="1" spans="102:103">
      <c r="CX2359" s="20"/>
      <c r="CY2359" s="20"/>
    </row>
    <row r="2360" ht="26.25" customHeight="1" spans="102:103">
      <c r="CX2360" s="20"/>
      <c r="CY2360" s="20"/>
    </row>
    <row r="2361" ht="26.25" customHeight="1" spans="102:103">
      <c r="CX2361" s="20"/>
      <c r="CY2361" s="20"/>
    </row>
    <row r="2362" ht="26.25" customHeight="1" spans="102:103">
      <c r="CX2362" s="20"/>
      <c r="CY2362" s="20"/>
    </row>
    <row r="2363" ht="26.25" customHeight="1" spans="102:103">
      <c r="CX2363" s="20"/>
      <c r="CY2363" s="20"/>
    </row>
    <row r="2364" ht="26.25" customHeight="1" spans="102:103">
      <c r="CX2364" s="20"/>
      <c r="CY2364" s="20"/>
    </row>
    <row r="2365" ht="26.25" customHeight="1" spans="102:103">
      <c r="CX2365" s="20"/>
      <c r="CY2365" s="20"/>
    </row>
    <row r="2366" ht="26.25" customHeight="1" spans="102:103">
      <c r="CX2366" s="20"/>
      <c r="CY2366" s="20"/>
    </row>
    <row r="2367" ht="26.25" customHeight="1" spans="102:103">
      <c r="CX2367" s="20"/>
      <c r="CY2367" s="20"/>
    </row>
    <row r="2368" ht="26.25" customHeight="1" spans="102:103">
      <c r="CX2368" s="20"/>
      <c r="CY2368" s="20"/>
    </row>
    <row r="2369" ht="26.25" customHeight="1" spans="102:103">
      <c r="CX2369" s="20"/>
      <c r="CY2369" s="20"/>
    </row>
    <row r="2370" ht="26.25" customHeight="1" spans="102:103">
      <c r="CX2370" s="20"/>
      <c r="CY2370" s="20"/>
    </row>
    <row r="2371" ht="26.25" customHeight="1" spans="102:103">
      <c r="CX2371" s="20"/>
      <c r="CY2371" s="20"/>
    </row>
    <row r="2372" ht="26.25" customHeight="1" spans="102:103">
      <c r="CX2372" s="20"/>
      <c r="CY2372" s="20"/>
    </row>
    <row r="2373" ht="26.25" customHeight="1" spans="102:103">
      <c r="CX2373" s="20"/>
      <c r="CY2373" s="20"/>
    </row>
    <row r="2374" ht="26.25" customHeight="1" spans="102:103">
      <c r="CX2374" s="20"/>
      <c r="CY2374" s="20"/>
    </row>
    <row r="2375" ht="26.25" customHeight="1" spans="102:103">
      <c r="CX2375" s="20"/>
      <c r="CY2375" s="20"/>
    </row>
    <row r="2376" ht="26.25" customHeight="1" spans="102:103">
      <c r="CX2376" s="20"/>
      <c r="CY2376" s="20"/>
    </row>
    <row r="2377" ht="26.25" customHeight="1" spans="102:103">
      <c r="CX2377" s="20"/>
      <c r="CY2377" s="20"/>
    </row>
    <row r="2378" ht="26.25" customHeight="1" spans="102:103">
      <c r="CX2378" s="20"/>
      <c r="CY2378" s="20"/>
    </row>
    <row r="2379" ht="26.25" customHeight="1" spans="102:103">
      <c r="CX2379" s="20"/>
      <c r="CY2379" s="20"/>
    </row>
    <row r="2380" ht="26.25" customHeight="1" spans="102:103">
      <c r="CX2380" s="20"/>
      <c r="CY2380" s="20"/>
    </row>
    <row r="2381" ht="26.25" customHeight="1" spans="102:103">
      <c r="CX2381" s="20"/>
      <c r="CY2381" s="20"/>
    </row>
    <row r="2382" ht="26.25" customHeight="1" spans="102:103">
      <c r="CX2382" s="20"/>
      <c r="CY2382" s="20"/>
    </row>
    <row r="2383" ht="26.25" customHeight="1" spans="102:103">
      <c r="CX2383" s="20"/>
      <c r="CY2383" s="20"/>
    </row>
    <row r="2384" ht="26.25" customHeight="1" spans="102:103">
      <c r="CX2384" s="20"/>
      <c r="CY2384" s="20"/>
    </row>
    <row r="2385" ht="26.25" customHeight="1" spans="102:103">
      <c r="CX2385" s="20"/>
      <c r="CY2385" s="20"/>
    </row>
    <row r="2386" ht="26.25" customHeight="1" spans="102:103">
      <c r="CX2386" s="20"/>
      <c r="CY2386" s="20"/>
    </row>
    <row r="2387" ht="26.25" customHeight="1" spans="102:103">
      <c r="CX2387" s="20"/>
      <c r="CY2387" s="20"/>
    </row>
    <row r="2388" ht="26.25" customHeight="1" spans="102:103">
      <c r="CX2388" s="20"/>
      <c r="CY2388" s="20"/>
    </row>
    <row r="2389" ht="26.25" customHeight="1" spans="102:103">
      <c r="CX2389" s="20"/>
      <c r="CY2389" s="20"/>
    </row>
    <row r="2390" ht="26.25" customHeight="1" spans="102:103">
      <c r="CX2390" s="20"/>
      <c r="CY2390" s="20"/>
    </row>
    <row r="2391" ht="26.25" customHeight="1" spans="102:103">
      <c r="CX2391" s="20"/>
      <c r="CY2391" s="20"/>
    </row>
    <row r="2392" ht="26.25" customHeight="1" spans="102:103">
      <c r="CX2392" s="20"/>
      <c r="CY2392" s="20"/>
    </row>
    <row r="2393" ht="26.25" customHeight="1" spans="102:103">
      <c r="CX2393" s="20"/>
      <c r="CY2393" s="20"/>
    </row>
    <row r="2394" ht="26.25" customHeight="1" spans="102:103">
      <c r="CX2394" s="20"/>
      <c r="CY2394" s="20"/>
    </row>
    <row r="2395" ht="26.25" customHeight="1" spans="102:103">
      <c r="CX2395" s="20"/>
      <c r="CY2395" s="20"/>
    </row>
    <row r="2396" ht="26.25" customHeight="1" spans="102:103">
      <c r="CX2396" s="20"/>
      <c r="CY2396" s="20"/>
    </row>
    <row r="2397" ht="26.25" customHeight="1" spans="102:103">
      <c r="CX2397" s="20"/>
      <c r="CY2397" s="20"/>
    </row>
    <row r="2398" ht="26.25" customHeight="1" spans="102:103">
      <c r="CX2398" s="20"/>
      <c r="CY2398" s="20"/>
    </row>
    <row r="2399" ht="26.25" customHeight="1" spans="102:103">
      <c r="CX2399" s="20"/>
      <c r="CY2399" s="20"/>
    </row>
    <row r="2400" ht="26.25" customHeight="1" spans="102:103">
      <c r="CX2400" s="20"/>
      <c r="CY2400" s="20"/>
    </row>
    <row r="2401" ht="26.25" customHeight="1" spans="102:103">
      <c r="CX2401" s="20"/>
      <c r="CY2401" s="20"/>
    </row>
    <row r="2402" ht="26.25" customHeight="1" spans="102:103">
      <c r="CX2402" s="20"/>
      <c r="CY2402" s="20"/>
    </row>
    <row r="2403" ht="26.25" customHeight="1" spans="102:103">
      <c r="CX2403" s="20"/>
      <c r="CY2403" s="20"/>
    </row>
    <row r="2404" ht="26.25" customHeight="1" spans="102:103">
      <c r="CX2404" s="20"/>
      <c r="CY2404" s="20"/>
    </row>
    <row r="2405" ht="26.25" customHeight="1" spans="102:103">
      <c r="CX2405" s="20"/>
      <c r="CY2405" s="20"/>
    </row>
    <row r="2406" ht="26.25" customHeight="1" spans="102:103">
      <c r="CX2406" s="20"/>
      <c r="CY2406" s="20"/>
    </row>
    <row r="2407" ht="26.25" customHeight="1" spans="102:103">
      <c r="CX2407" s="20"/>
      <c r="CY2407" s="20"/>
    </row>
    <row r="2408" ht="26.25" customHeight="1" spans="102:103">
      <c r="CX2408" s="20"/>
      <c r="CY2408" s="20"/>
    </row>
    <row r="2409" ht="26.25" customHeight="1" spans="102:103">
      <c r="CX2409" s="20"/>
      <c r="CY2409" s="20"/>
    </row>
    <row r="2410" ht="26.25" customHeight="1" spans="102:103">
      <c r="CX2410" s="20"/>
      <c r="CY2410" s="20"/>
    </row>
    <row r="2411" ht="26.25" customHeight="1" spans="102:103">
      <c r="CX2411" s="20"/>
      <c r="CY2411" s="20"/>
    </row>
    <row r="2412" ht="26.25" customHeight="1" spans="102:103">
      <c r="CX2412" s="20"/>
      <c r="CY2412" s="20"/>
    </row>
    <row r="2413" ht="26.25" customHeight="1" spans="102:103">
      <c r="CX2413" s="20"/>
      <c r="CY2413" s="20"/>
    </row>
    <row r="2414" ht="26.25" customHeight="1" spans="102:103">
      <c r="CX2414" s="20"/>
      <c r="CY2414" s="20"/>
    </row>
    <row r="2415" ht="26.25" customHeight="1" spans="102:103">
      <c r="CX2415" s="20"/>
      <c r="CY2415" s="20"/>
    </row>
    <row r="2416" ht="26.25" customHeight="1" spans="102:103">
      <c r="CX2416" s="20"/>
      <c r="CY2416" s="20"/>
    </row>
    <row r="2417" ht="26.25" customHeight="1" spans="102:103">
      <c r="CX2417" s="20"/>
      <c r="CY2417" s="20"/>
    </row>
    <row r="2418" ht="26.25" customHeight="1" spans="102:103">
      <c r="CX2418" s="20"/>
      <c r="CY2418" s="20"/>
    </row>
    <row r="2419" ht="26.25" customHeight="1" spans="102:103">
      <c r="CX2419" s="20"/>
      <c r="CY2419" s="20"/>
    </row>
    <row r="2420" ht="26.25" customHeight="1" spans="102:103">
      <c r="CX2420" s="20"/>
      <c r="CY2420" s="20"/>
    </row>
    <row r="2421" ht="26.25" customHeight="1" spans="102:103">
      <c r="CX2421" s="20"/>
      <c r="CY2421" s="20"/>
    </row>
    <row r="2422" ht="26.25" customHeight="1" spans="102:103">
      <c r="CX2422" s="20"/>
      <c r="CY2422" s="20"/>
    </row>
    <row r="2423" ht="26.25" customHeight="1" spans="102:103">
      <c r="CX2423" s="20"/>
      <c r="CY2423" s="20"/>
    </row>
    <row r="2424" ht="26.25" customHeight="1" spans="102:103">
      <c r="CX2424" s="20"/>
      <c r="CY2424" s="20"/>
    </row>
    <row r="2425" ht="26.25" customHeight="1" spans="102:103">
      <c r="CX2425" s="20"/>
      <c r="CY2425" s="20"/>
    </row>
    <row r="2426" ht="26.25" customHeight="1" spans="102:103">
      <c r="CX2426" s="20"/>
      <c r="CY2426" s="20"/>
    </row>
    <row r="2427" ht="26.25" customHeight="1" spans="102:103">
      <c r="CX2427" s="20"/>
      <c r="CY2427" s="20"/>
    </row>
    <row r="2428" ht="26.25" customHeight="1" spans="102:103">
      <c r="CX2428" s="20"/>
      <c r="CY2428" s="20"/>
    </row>
    <row r="2429" ht="26.25" customHeight="1" spans="102:103">
      <c r="CX2429" s="20"/>
      <c r="CY2429" s="20"/>
    </row>
    <row r="2430" ht="26.25" customHeight="1" spans="102:103">
      <c r="CX2430" s="20"/>
      <c r="CY2430" s="20"/>
    </row>
    <row r="2431" ht="26.25" customHeight="1" spans="102:103">
      <c r="CX2431" s="20"/>
      <c r="CY2431" s="20"/>
    </row>
    <row r="2432" ht="26.25" customHeight="1" spans="102:103">
      <c r="CX2432" s="20"/>
      <c r="CY2432" s="20"/>
    </row>
    <row r="2433" ht="26.25" customHeight="1" spans="102:103">
      <c r="CX2433" s="20"/>
      <c r="CY2433" s="20"/>
    </row>
    <row r="2434" ht="26.25" customHeight="1" spans="102:103">
      <c r="CX2434" s="20"/>
      <c r="CY2434" s="20"/>
    </row>
    <row r="2435" ht="26.25" customHeight="1" spans="102:103">
      <c r="CX2435" s="20"/>
      <c r="CY2435" s="20"/>
    </row>
    <row r="2436" ht="26.25" customHeight="1" spans="102:103">
      <c r="CX2436" s="20"/>
      <c r="CY2436" s="20"/>
    </row>
    <row r="2437" ht="26.25" customHeight="1" spans="102:103">
      <c r="CX2437" s="20"/>
      <c r="CY2437" s="20"/>
    </row>
    <row r="2438" ht="26.25" customHeight="1" spans="102:103">
      <c r="CX2438" s="20"/>
      <c r="CY2438" s="20"/>
    </row>
    <row r="2439" ht="26.25" customHeight="1" spans="102:103">
      <c r="CX2439" s="20"/>
      <c r="CY2439" s="20"/>
    </row>
    <row r="2440" ht="26.25" customHeight="1" spans="102:103">
      <c r="CX2440" s="20"/>
      <c r="CY2440" s="20"/>
    </row>
    <row r="2441" ht="26.25" customHeight="1" spans="102:103">
      <c r="CX2441" s="20"/>
      <c r="CY2441" s="20"/>
    </row>
    <row r="2442" ht="26.25" customHeight="1" spans="102:103">
      <c r="CX2442" s="20"/>
      <c r="CY2442" s="20"/>
    </row>
    <row r="2443" ht="26.25" customHeight="1" spans="102:103">
      <c r="CX2443" s="20"/>
      <c r="CY2443" s="20"/>
    </row>
    <row r="2444" ht="26.25" customHeight="1" spans="102:103">
      <c r="CX2444" s="20"/>
      <c r="CY2444" s="20"/>
    </row>
    <row r="2445" ht="26.25" customHeight="1" spans="102:103">
      <c r="CX2445" s="20"/>
      <c r="CY2445" s="20"/>
    </row>
    <row r="2446" ht="26.25" customHeight="1" spans="102:103">
      <c r="CX2446" s="20"/>
      <c r="CY2446" s="20"/>
    </row>
    <row r="2447" ht="26.25" customHeight="1" spans="102:103">
      <c r="CX2447" s="20"/>
      <c r="CY2447" s="20"/>
    </row>
    <row r="2448" ht="26.25" customHeight="1" spans="102:103">
      <c r="CX2448" s="20"/>
      <c r="CY2448" s="20"/>
    </row>
    <row r="2449" ht="26.25" customHeight="1" spans="102:103">
      <c r="CX2449" s="20"/>
      <c r="CY2449" s="20"/>
    </row>
    <row r="2450" ht="26.25" customHeight="1" spans="102:103">
      <c r="CX2450" s="20"/>
      <c r="CY2450" s="20"/>
    </row>
    <row r="2451" ht="26.25" customHeight="1" spans="102:103">
      <c r="CX2451" s="20"/>
      <c r="CY2451" s="20"/>
    </row>
    <row r="2452" ht="26.25" customHeight="1" spans="102:103">
      <c r="CX2452" s="20"/>
      <c r="CY2452" s="20"/>
    </row>
    <row r="2453" ht="26.25" customHeight="1" spans="102:103">
      <c r="CX2453" s="20"/>
      <c r="CY2453" s="20"/>
    </row>
    <row r="2454" ht="26.25" customHeight="1" spans="102:103">
      <c r="CX2454" s="20"/>
      <c r="CY2454" s="20"/>
    </row>
    <row r="2455" ht="26.25" customHeight="1" spans="102:103">
      <c r="CX2455" s="20"/>
      <c r="CY2455" s="20"/>
    </row>
    <row r="2456" ht="26.25" customHeight="1" spans="102:103">
      <c r="CX2456" s="20"/>
      <c r="CY2456" s="20"/>
    </row>
    <row r="2457" ht="26.25" customHeight="1" spans="102:103">
      <c r="CX2457" s="20"/>
      <c r="CY2457" s="20"/>
    </row>
    <row r="2458" ht="26.25" customHeight="1" spans="102:103">
      <c r="CX2458" s="20"/>
      <c r="CY2458" s="20"/>
    </row>
    <row r="2459" ht="26.25" customHeight="1" spans="102:103">
      <c r="CX2459" s="20"/>
      <c r="CY2459" s="20"/>
    </row>
    <row r="2460" ht="26.25" customHeight="1" spans="102:103">
      <c r="CX2460" s="20"/>
      <c r="CY2460" s="20"/>
    </row>
    <row r="2461" ht="26.25" customHeight="1" spans="102:103">
      <c r="CX2461" s="20"/>
      <c r="CY2461" s="20"/>
    </row>
    <row r="2462" ht="26.25" customHeight="1" spans="102:103">
      <c r="CX2462" s="20"/>
      <c r="CY2462" s="20"/>
    </row>
    <row r="2463" ht="26.25" customHeight="1" spans="102:103">
      <c r="CX2463" s="20"/>
      <c r="CY2463" s="20"/>
    </row>
    <row r="2464" ht="26.25" customHeight="1" spans="102:103">
      <c r="CX2464" s="20"/>
      <c r="CY2464" s="20"/>
    </row>
    <row r="2465" ht="26.25" customHeight="1" spans="102:103">
      <c r="CX2465" s="20"/>
      <c r="CY2465" s="20"/>
    </row>
    <row r="2466" ht="26.25" customHeight="1" spans="102:103">
      <c r="CX2466" s="20"/>
      <c r="CY2466" s="20"/>
    </row>
    <row r="2467" ht="26.25" customHeight="1" spans="102:103">
      <c r="CX2467" s="20"/>
      <c r="CY2467" s="20"/>
    </row>
    <row r="2468" ht="26.25" customHeight="1" spans="102:103">
      <c r="CX2468" s="20"/>
      <c r="CY2468" s="20"/>
    </row>
    <row r="2469" ht="26.25" customHeight="1" spans="102:103">
      <c r="CX2469" s="20"/>
      <c r="CY2469" s="20"/>
    </row>
    <row r="2470" ht="26.25" customHeight="1" spans="102:103">
      <c r="CX2470" s="20"/>
      <c r="CY2470" s="20"/>
    </row>
    <row r="2471" ht="26.25" customHeight="1" spans="102:103">
      <c r="CX2471" s="20"/>
      <c r="CY2471" s="20"/>
    </row>
    <row r="2472" ht="26.25" customHeight="1" spans="102:103">
      <c r="CX2472" s="20"/>
      <c r="CY2472" s="20"/>
    </row>
    <row r="2473" ht="26.25" customHeight="1" spans="102:103">
      <c r="CX2473" s="20"/>
      <c r="CY2473" s="20"/>
    </row>
    <row r="2474" ht="26.25" customHeight="1" spans="102:103">
      <c r="CX2474" s="20"/>
      <c r="CY2474" s="20"/>
    </row>
    <row r="2475" ht="26.25" customHeight="1" spans="102:103">
      <c r="CX2475" s="20"/>
      <c r="CY2475" s="20"/>
    </row>
    <row r="2476" ht="26.25" customHeight="1" spans="102:103">
      <c r="CX2476" s="20"/>
      <c r="CY2476" s="20"/>
    </row>
    <row r="2477" ht="26.25" customHeight="1" spans="102:103">
      <c r="CX2477" s="20"/>
      <c r="CY2477" s="20"/>
    </row>
    <row r="2478" ht="26.25" customHeight="1" spans="102:103">
      <c r="CX2478" s="20"/>
      <c r="CY2478" s="20"/>
    </row>
    <row r="2479" ht="26.25" customHeight="1" spans="102:103">
      <c r="CX2479" s="20"/>
      <c r="CY2479" s="20"/>
    </row>
    <row r="2480" ht="26.25" customHeight="1" spans="102:103">
      <c r="CX2480" s="20"/>
      <c r="CY2480" s="20"/>
    </row>
    <row r="2481" ht="26.25" customHeight="1" spans="102:103">
      <c r="CX2481" s="20"/>
      <c r="CY2481" s="20"/>
    </row>
    <row r="2482" ht="26.25" customHeight="1" spans="102:103">
      <c r="CX2482" s="20"/>
      <c r="CY2482" s="20"/>
    </row>
    <row r="2483" ht="26.25" customHeight="1" spans="102:103">
      <c r="CX2483" s="20"/>
      <c r="CY2483" s="20"/>
    </row>
    <row r="2484" ht="26.25" customHeight="1" spans="102:103">
      <c r="CX2484" s="20"/>
      <c r="CY2484" s="20"/>
    </row>
    <row r="2485" ht="26.25" customHeight="1" spans="102:103">
      <c r="CX2485" s="20"/>
      <c r="CY2485" s="20"/>
    </row>
    <row r="2486" ht="26.25" customHeight="1" spans="102:103">
      <c r="CX2486" s="20"/>
      <c r="CY2486" s="20"/>
    </row>
    <row r="2487" ht="26.25" customHeight="1" spans="102:103">
      <c r="CX2487" s="20"/>
      <c r="CY2487" s="20"/>
    </row>
    <row r="2488" ht="26.25" customHeight="1" spans="102:103">
      <c r="CX2488" s="20"/>
      <c r="CY2488" s="20"/>
    </row>
    <row r="2489" ht="26.25" customHeight="1" spans="102:103">
      <c r="CX2489" s="20"/>
      <c r="CY2489" s="20"/>
    </row>
    <row r="2490" ht="26.25" customHeight="1" spans="102:103">
      <c r="CX2490" s="20"/>
      <c r="CY2490" s="20"/>
    </row>
    <row r="2491" ht="26.25" customHeight="1" spans="102:103">
      <c r="CX2491" s="20"/>
      <c r="CY2491" s="20"/>
    </row>
    <row r="2492" ht="26.25" customHeight="1" spans="102:103">
      <c r="CX2492" s="20"/>
      <c r="CY2492" s="20"/>
    </row>
    <row r="2493" ht="26.25" customHeight="1" spans="102:103">
      <c r="CX2493" s="20"/>
      <c r="CY2493" s="20"/>
    </row>
    <row r="2494" ht="26.25" customHeight="1" spans="102:103">
      <c r="CX2494" s="20"/>
      <c r="CY2494" s="20"/>
    </row>
    <row r="2495" ht="26.25" customHeight="1" spans="102:103">
      <c r="CX2495" s="20"/>
      <c r="CY2495" s="20"/>
    </row>
    <row r="2496" ht="26.25" customHeight="1" spans="102:103">
      <c r="CX2496" s="20"/>
      <c r="CY2496" s="20"/>
    </row>
    <row r="2497" ht="26.25" customHeight="1" spans="102:103">
      <c r="CX2497" s="20"/>
      <c r="CY2497" s="20"/>
    </row>
    <row r="2498" ht="26.25" customHeight="1" spans="102:103">
      <c r="CX2498" s="20"/>
      <c r="CY2498" s="20"/>
    </row>
    <row r="2499" ht="26.25" customHeight="1" spans="102:103">
      <c r="CX2499" s="20"/>
      <c r="CY2499" s="20"/>
    </row>
    <row r="2500" ht="26.25" customHeight="1" spans="102:103">
      <c r="CX2500" s="20"/>
      <c r="CY2500" s="20"/>
    </row>
    <row r="2501" ht="26.25" customHeight="1" spans="102:103">
      <c r="CX2501" s="20"/>
      <c r="CY2501" s="20"/>
    </row>
    <row r="2502" ht="26.25" customHeight="1" spans="102:103">
      <c r="CX2502" s="20"/>
      <c r="CY2502" s="20"/>
    </row>
    <row r="2503" ht="26.25" customHeight="1" spans="102:103">
      <c r="CX2503" s="20"/>
      <c r="CY2503" s="20"/>
    </row>
    <row r="2504" ht="26.25" customHeight="1" spans="102:103">
      <c r="CX2504" s="20"/>
      <c r="CY2504" s="20"/>
    </row>
    <row r="2505" ht="26.25" customHeight="1" spans="102:103">
      <c r="CX2505" s="20"/>
      <c r="CY2505" s="20"/>
    </row>
    <row r="2506" ht="26.25" customHeight="1" spans="102:103">
      <c r="CX2506" s="20"/>
      <c r="CY2506" s="20"/>
    </row>
    <row r="2507" ht="26.25" customHeight="1" spans="102:103">
      <c r="CX2507" s="20"/>
      <c r="CY2507" s="20"/>
    </row>
    <row r="2508" ht="26.25" customHeight="1" spans="102:103">
      <c r="CX2508" s="20"/>
      <c r="CY2508" s="20"/>
    </row>
    <row r="2509" ht="26.25" customHeight="1" spans="102:103">
      <c r="CX2509" s="20"/>
      <c r="CY2509" s="20"/>
    </row>
    <row r="2510" ht="26.25" customHeight="1" spans="102:103">
      <c r="CX2510" s="20"/>
      <c r="CY2510" s="20"/>
    </row>
    <row r="2511" ht="26.25" customHeight="1" spans="102:103">
      <c r="CX2511" s="20"/>
      <c r="CY2511" s="20"/>
    </row>
    <row r="2512" ht="26.25" customHeight="1" spans="102:103">
      <c r="CX2512" s="20"/>
      <c r="CY2512" s="20"/>
    </row>
    <row r="2513" ht="26.25" customHeight="1" spans="102:103">
      <c r="CX2513" s="20"/>
      <c r="CY2513" s="20"/>
    </row>
    <row r="2514" ht="26.25" customHeight="1" spans="102:103">
      <c r="CX2514" s="20"/>
      <c r="CY2514" s="20"/>
    </row>
    <row r="2515" ht="26.25" customHeight="1" spans="102:103">
      <c r="CX2515" s="20"/>
      <c r="CY2515" s="20"/>
    </row>
    <row r="2516" ht="26.25" customHeight="1" spans="102:103">
      <c r="CX2516" s="20"/>
      <c r="CY2516" s="20"/>
    </row>
    <row r="2517" ht="26.25" customHeight="1" spans="102:103">
      <c r="CX2517" s="20"/>
      <c r="CY2517" s="20"/>
    </row>
    <row r="2518" ht="26.25" customHeight="1" spans="102:103">
      <c r="CX2518" s="20"/>
      <c r="CY2518" s="20"/>
    </row>
    <row r="2519" ht="26.25" customHeight="1" spans="102:103">
      <c r="CX2519" s="20"/>
      <c r="CY2519" s="20"/>
    </row>
    <row r="2520" ht="26.25" customHeight="1" spans="102:103">
      <c r="CX2520" s="20"/>
      <c r="CY2520" s="20"/>
    </row>
    <row r="2521" ht="26.25" customHeight="1" spans="102:103">
      <c r="CX2521" s="20"/>
      <c r="CY2521" s="20"/>
    </row>
    <row r="2522" ht="26.25" customHeight="1" spans="102:103">
      <c r="CX2522" s="20"/>
      <c r="CY2522" s="20"/>
    </row>
    <row r="2523" ht="26.25" customHeight="1" spans="102:103">
      <c r="CX2523" s="20"/>
      <c r="CY2523" s="20"/>
    </row>
    <row r="2524" ht="26.25" customHeight="1" spans="102:103">
      <c r="CX2524" s="20"/>
      <c r="CY2524" s="20"/>
    </row>
    <row r="2525" ht="26.25" customHeight="1" spans="102:103">
      <c r="CX2525" s="20"/>
      <c r="CY2525" s="20"/>
    </row>
    <row r="2526" ht="26.25" customHeight="1" spans="102:103">
      <c r="CX2526" s="20"/>
      <c r="CY2526" s="20"/>
    </row>
    <row r="2527" ht="26.25" customHeight="1" spans="102:103">
      <c r="CX2527" s="20"/>
      <c r="CY2527" s="20"/>
    </row>
    <row r="2528" ht="26.25" customHeight="1" spans="102:103">
      <c r="CX2528" s="20"/>
      <c r="CY2528" s="20"/>
    </row>
    <row r="2529" ht="26.25" customHeight="1" spans="102:103">
      <c r="CX2529" s="20"/>
      <c r="CY2529" s="20"/>
    </row>
    <row r="2530" ht="26.25" customHeight="1" spans="102:103">
      <c r="CX2530" s="20"/>
      <c r="CY2530" s="20"/>
    </row>
    <row r="2531" ht="26.25" customHeight="1" spans="102:103">
      <c r="CX2531" s="20"/>
      <c r="CY2531" s="20"/>
    </row>
    <row r="2532" ht="26.25" customHeight="1" spans="102:103">
      <c r="CX2532" s="20"/>
      <c r="CY2532" s="20"/>
    </row>
    <row r="2533" ht="26.25" customHeight="1" spans="102:103">
      <c r="CX2533" s="20"/>
      <c r="CY2533" s="20"/>
    </row>
    <row r="2534" ht="26.25" customHeight="1" spans="102:103">
      <c r="CX2534" s="20"/>
      <c r="CY2534" s="20"/>
    </row>
    <row r="2535" ht="26.25" customHeight="1" spans="102:103">
      <c r="CX2535" s="20"/>
      <c r="CY2535" s="20"/>
    </row>
    <row r="2536" ht="26.25" customHeight="1" spans="102:103">
      <c r="CX2536" s="20"/>
      <c r="CY2536" s="20"/>
    </row>
    <row r="2537" ht="26.25" customHeight="1" spans="102:103">
      <c r="CX2537" s="20"/>
      <c r="CY2537" s="20"/>
    </row>
    <row r="2538" ht="26.25" customHeight="1" spans="102:103">
      <c r="CX2538" s="20"/>
      <c r="CY2538" s="20"/>
    </row>
    <row r="2539" ht="26.25" customHeight="1" spans="102:103">
      <c r="CX2539" s="20"/>
      <c r="CY2539" s="20"/>
    </row>
    <row r="2540" ht="26.25" customHeight="1" spans="102:103">
      <c r="CX2540" s="20"/>
      <c r="CY2540" s="20"/>
    </row>
    <row r="2541" ht="26.25" customHeight="1" spans="102:103">
      <c r="CX2541" s="20"/>
      <c r="CY2541" s="20"/>
    </row>
    <row r="2542" ht="26.25" customHeight="1" spans="102:103">
      <c r="CX2542" s="20"/>
      <c r="CY2542" s="20"/>
    </row>
    <row r="2543" ht="26.25" customHeight="1" spans="102:103">
      <c r="CX2543" s="20"/>
      <c r="CY2543" s="20"/>
    </row>
    <row r="2544" ht="26.25" customHeight="1" spans="102:103">
      <c r="CX2544" s="20"/>
      <c r="CY2544" s="20"/>
    </row>
    <row r="2545" ht="26.25" customHeight="1" spans="102:103">
      <c r="CX2545" s="20"/>
      <c r="CY2545" s="20"/>
    </row>
    <row r="2546" ht="26.25" customHeight="1" spans="102:103">
      <c r="CX2546" s="20"/>
      <c r="CY2546" s="20"/>
    </row>
    <row r="2547" ht="26.25" customHeight="1" spans="102:103">
      <c r="CX2547" s="20"/>
      <c r="CY2547" s="20"/>
    </row>
    <row r="2548" ht="26.25" customHeight="1" spans="102:103">
      <c r="CX2548" s="20"/>
      <c r="CY2548" s="20"/>
    </row>
    <row r="2549" ht="26.25" customHeight="1" spans="102:103">
      <c r="CX2549" s="20"/>
      <c r="CY2549" s="20"/>
    </row>
    <row r="2550" ht="26.25" customHeight="1" spans="102:103">
      <c r="CX2550" s="20"/>
      <c r="CY2550" s="20"/>
    </row>
    <row r="2551" ht="26.25" customHeight="1" spans="102:103">
      <c r="CX2551" s="20"/>
      <c r="CY2551" s="20"/>
    </row>
    <row r="2552" ht="26.25" customHeight="1" spans="102:103">
      <c r="CX2552" s="20"/>
      <c r="CY2552" s="20"/>
    </row>
    <row r="2553" ht="26.25" customHeight="1" spans="102:103">
      <c r="CX2553" s="20"/>
      <c r="CY2553" s="20"/>
    </row>
    <row r="2554" ht="26.25" customHeight="1" spans="102:103">
      <c r="CX2554" s="20"/>
      <c r="CY2554" s="20"/>
    </row>
    <row r="2555" ht="26.25" customHeight="1" spans="102:103">
      <c r="CX2555" s="20"/>
      <c r="CY2555" s="20"/>
    </row>
    <row r="2556" ht="26.25" customHeight="1" spans="102:103">
      <c r="CX2556" s="20"/>
      <c r="CY2556" s="20"/>
    </row>
    <row r="2557" ht="26.25" customHeight="1" spans="102:103">
      <c r="CX2557" s="20"/>
      <c r="CY2557" s="20"/>
    </row>
    <row r="2558" ht="26.25" customHeight="1" spans="102:103">
      <c r="CX2558" s="20"/>
      <c r="CY2558" s="20"/>
    </row>
    <row r="2559" ht="26.25" customHeight="1" spans="102:103">
      <c r="CX2559" s="20"/>
      <c r="CY2559" s="20"/>
    </row>
    <row r="2560" ht="26.25" customHeight="1" spans="102:103">
      <c r="CX2560" s="20"/>
      <c r="CY2560" s="20"/>
    </row>
    <row r="2561" ht="26.25" customHeight="1" spans="102:103">
      <c r="CX2561" s="20"/>
      <c r="CY2561" s="20"/>
    </row>
    <row r="2562" ht="26.25" customHeight="1" spans="102:103">
      <c r="CX2562" s="20"/>
      <c r="CY2562" s="20"/>
    </row>
    <row r="2563" ht="26.25" customHeight="1" spans="102:103">
      <c r="CX2563" s="20"/>
      <c r="CY2563" s="20"/>
    </row>
    <row r="2564" ht="26.25" customHeight="1" spans="102:103">
      <c r="CX2564" s="20"/>
      <c r="CY2564" s="20"/>
    </row>
    <row r="2565" ht="26.25" customHeight="1" spans="102:103">
      <c r="CX2565" s="20"/>
      <c r="CY2565" s="20"/>
    </row>
    <row r="2566" ht="26.25" customHeight="1" spans="102:103">
      <c r="CX2566" s="20"/>
      <c r="CY2566" s="20"/>
    </row>
    <row r="2567" ht="26.25" customHeight="1" spans="102:103">
      <c r="CX2567" s="20"/>
      <c r="CY2567" s="20"/>
    </row>
    <row r="2568" ht="26.25" customHeight="1" spans="102:103">
      <c r="CX2568" s="20"/>
      <c r="CY2568" s="20"/>
    </row>
    <row r="2569" ht="26.25" customHeight="1" spans="102:103">
      <c r="CX2569" s="20"/>
      <c r="CY2569" s="20"/>
    </row>
    <row r="2570" ht="26.25" customHeight="1" spans="102:103">
      <c r="CX2570" s="20"/>
      <c r="CY2570" s="20"/>
    </row>
    <row r="2571" ht="26.25" customHeight="1" spans="102:103">
      <c r="CX2571" s="20"/>
      <c r="CY2571" s="20"/>
    </row>
    <row r="2572" ht="26.25" customHeight="1" spans="102:103">
      <c r="CX2572" s="20"/>
      <c r="CY2572" s="20"/>
    </row>
    <row r="2573" ht="26.25" customHeight="1" spans="102:103">
      <c r="CX2573" s="20"/>
      <c r="CY2573" s="20"/>
    </row>
    <row r="2574" ht="26.25" customHeight="1" spans="102:103">
      <c r="CX2574" s="20"/>
      <c r="CY2574" s="20"/>
    </row>
    <row r="2575" ht="26.25" customHeight="1" spans="102:103">
      <c r="CX2575" s="20"/>
      <c r="CY2575" s="20"/>
    </row>
    <row r="2576" ht="26.25" customHeight="1" spans="102:103">
      <c r="CX2576" s="20"/>
      <c r="CY2576" s="20"/>
    </row>
    <row r="2577" ht="26.25" customHeight="1" spans="102:103">
      <c r="CX2577" s="20"/>
      <c r="CY2577" s="20"/>
    </row>
    <row r="2578" ht="26.25" customHeight="1" spans="102:103">
      <c r="CX2578" s="20"/>
      <c r="CY2578" s="20"/>
    </row>
    <row r="2579" ht="26.25" customHeight="1" spans="102:103">
      <c r="CX2579" s="20"/>
      <c r="CY2579" s="20"/>
    </row>
    <row r="2580" ht="26.25" customHeight="1" spans="102:103">
      <c r="CX2580" s="20"/>
      <c r="CY2580" s="20"/>
    </row>
    <row r="2581" ht="26.25" customHeight="1" spans="102:103">
      <c r="CX2581" s="20"/>
      <c r="CY2581" s="20"/>
    </row>
    <row r="2582" ht="26.25" customHeight="1" spans="102:103">
      <c r="CX2582" s="20"/>
      <c r="CY2582" s="20"/>
    </row>
    <row r="2583" ht="26.25" customHeight="1" spans="102:103">
      <c r="CX2583" s="20"/>
      <c r="CY2583" s="20"/>
    </row>
    <row r="2584" ht="26.25" customHeight="1" spans="102:103">
      <c r="CX2584" s="20"/>
      <c r="CY2584" s="20"/>
    </row>
    <row r="2585" ht="26.25" customHeight="1" spans="102:103">
      <c r="CX2585" s="20"/>
      <c r="CY2585" s="20"/>
    </row>
    <row r="2586" ht="26.25" customHeight="1" spans="102:103">
      <c r="CX2586" s="20"/>
      <c r="CY2586" s="20"/>
    </row>
    <row r="2587" ht="26.25" customHeight="1" spans="102:103">
      <c r="CX2587" s="20"/>
      <c r="CY2587" s="20"/>
    </row>
    <row r="2588" ht="26.25" customHeight="1" spans="102:103">
      <c r="CX2588" s="20"/>
      <c r="CY2588" s="20"/>
    </row>
    <row r="2589" ht="26.25" customHeight="1" spans="102:103">
      <c r="CX2589" s="20"/>
      <c r="CY2589" s="20"/>
    </row>
    <row r="2590" ht="26.25" customHeight="1" spans="102:103">
      <c r="CX2590" s="20"/>
      <c r="CY2590" s="20"/>
    </row>
    <row r="2591" ht="26.25" customHeight="1" spans="102:103">
      <c r="CX2591" s="20"/>
      <c r="CY2591" s="20"/>
    </row>
    <row r="2592" ht="26.25" customHeight="1" spans="102:103">
      <c r="CX2592" s="20"/>
      <c r="CY2592" s="20"/>
    </row>
    <row r="2593" ht="26.25" customHeight="1" spans="102:103">
      <c r="CX2593" s="20"/>
      <c r="CY2593" s="20"/>
    </row>
    <row r="2594" ht="26.25" customHeight="1" spans="102:103">
      <c r="CX2594" s="20"/>
      <c r="CY2594" s="20"/>
    </row>
    <row r="2595" ht="26.25" customHeight="1" spans="102:103">
      <c r="CX2595" s="20"/>
      <c r="CY2595" s="20"/>
    </row>
    <row r="2596" ht="26.25" customHeight="1" spans="102:103">
      <c r="CX2596" s="20"/>
      <c r="CY2596" s="20"/>
    </row>
    <row r="2597" ht="26.25" customHeight="1" spans="102:103">
      <c r="CX2597" s="20"/>
      <c r="CY2597" s="20"/>
    </row>
    <row r="2598" ht="26.25" customHeight="1" spans="102:103">
      <c r="CX2598" s="20"/>
      <c r="CY2598" s="20"/>
    </row>
    <row r="2599" ht="26.25" customHeight="1" spans="102:103">
      <c r="CX2599" s="20"/>
      <c r="CY2599" s="20"/>
    </row>
    <row r="2600" ht="26.25" customHeight="1" spans="102:103">
      <c r="CX2600" s="20"/>
      <c r="CY2600" s="20"/>
    </row>
    <row r="2601" ht="26.25" customHeight="1" spans="102:103">
      <c r="CX2601" s="20"/>
      <c r="CY2601" s="20"/>
    </row>
    <row r="2602" ht="26.25" customHeight="1" spans="102:103">
      <c r="CX2602" s="20"/>
      <c r="CY2602" s="20"/>
    </row>
    <row r="2603" ht="26.25" customHeight="1" spans="102:103">
      <c r="CX2603" s="20"/>
      <c r="CY2603" s="20"/>
    </row>
    <row r="2604" ht="26.25" customHeight="1" spans="102:103">
      <c r="CX2604" s="20"/>
      <c r="CY2604" s="20"/>
    </row>
    <row r="2605" ht="26.25" customHeight="1" spans="102:103">
      <c r="CX2605" s="20"/>
      <c r="CY2605" s="20"/>
    </row>
    <row r="2606" ht="26.25" customHeight="1" spans="102:103">
      <c r="CX2606" s="20"/>
      <c r="CY2606" s="20"/>
    </row>
    <row r="2607" ht="26.25" customHeight="1" spans="102:103">
      <c r="CX2607" s="20"/>
      <c r="CY2607" s="20"/>
    </row>
    <row r="2608" ht="26.25" customHeight="1" spans="102:103">
      <c r="CX2608" s="20"/>
      <c r="CY2608" s="20"/>
    </row>
    <row r="2609" ht="26.25" customHeight="1" spans="102:103">
      <c r="CX2609" s="20"/>
      <c r="CY2609" s="20"/>
    </row>
    <row r="2610" ht="26.25" customHeight="1" spans="102:103">
      <c r="CX2610" s="20"/>
      <c r="CY2610" s="20"/>
    </row>
    <row r="2611" ht="26.25" customHeight="1" spans="102:103">
      <c r="CX2611" s="20"/>
      <c r="CY2611" s="20"/>
    </row>
    <row r="2612" ht="26.25" customHeight="1" spans="102:103">
      <c r="CX2612" s="20"/>
      <c r="CY2612" s="20"/>
    </row>
    <row r="2613" ht="26.25" customHeight="1" spans="102:103">
      <c r="CX2613" s="20"/>
      <c r="CY2613" s="20"/>
    </row>
    <row r="2614" ht="26.25" customHeight="1" spans="102:103">
      <c r="CX2614" s="20"/>
      <c r="CY2614" s="20"/>
    </row>
    <row r="2615" ht="26.25" customHeight="1" spans="102:103">
      <c r="CX2615" s="20"/>
      <c r="CY2615" s="20"/>
    </row>
    <row r="2616" ht="26.25" customHeight="1" spans="102:103">
      <c r="CX2616" s="20"/>
      <c r="CY2616" s="20"/>
    </row>
    <row r="2617" ht="26.25" customHeight="1" spans="102:103">
      <c r="CX2617" s="20"/>
      <c r="CY2617" s="20"/>
    </row>
    <row r="2618" ht="26.25" customHeight="1" spans="102:103">
      <c r="CX2618" s="20"/>
      <c r="CY2618" s="20"/>
    </row>
    <row r="2619" ht="26.25" customHeight="1" spans="102:103">
      <c r="CX2619" s="20"/>
      <c r="CY2619" s="20"/>
    </row>
    <row r="2620" ht="26.25" customHeight="1" spans="102:103">
      <c r="CX2620" s="20"/>
      <c r="CY2620" s="20"/>
    </row>
    <row r="2621" ht="26.25" customHeight="1" spans="102:103">
      <c r="CX2621" s="20"/>
      <c r="CY2621" s="20"/>
    </row>
    <row r="2622" ht="26.25" customHeight="1" spans="102:103">
      <c r="CX2622" s="20"/>
      <c r="CY2622" s="20"/>
    </row>
    <row r="2623" ht="26.25" customHeight="1" spans="102:103">
      <c r="CX2623" s="20"/>
      <c r="CY2623" s="20"/>
    </row>
    <row r="2624" ht="26.25" customHeight="1" spans="102:103">
      <c r="CX2624" s="20"/>
      <c r="CY2624" s="20"/>
    </row>
    <row r="2625" ht="26.25" customHeight="1" spans="102:103">
      <c r="CX2625" s="20"/>
      <c r="CY2625" s="20"/>
    </row>
    <row r="2626" ht="26.25" customHeight="1" spans="102:103">
      <c r="CX2626" s="20"/>
      <c r="CY2626" s="20"/>
    </row>
    <row r="2627" ht="26.25" customHeight="1" spans="102:103">
      <c r="CX2627" s="20"/>
      <c r="CY2627" s="20"/>
    </row>
    <row r="2628" ht="26.25" customHeight="1" spans="102:103">
      <c r="CX2628" s="20"/>
      <c r="CY2628" s="20"/>
    </row>
    <row r="2629" ht="26.25" customHeight="1" spans="102:103">
      <c r="CX2629" s="20"/>
      <c r="CY2629" s="20"/>
    </row>
    <row r="2630" ht="26.25" customHeight="1" spans="102:103">
      <c r="CX2630" s="20"/>
      <c r="CY2630" s="20"/>
    </row>
    <row r="2631" ht="26.25" customHeight="1" spans="102:103">
      <c r="CX2631" s="20"/>
      <c r="CY2631" s="20"/>
    </row>
    <row r="2632" ht="26.25" customHeight="1" spans="102:103">
      <c r="CX2632" s="20"/>
      <c r="CY2632" s="20"/>
    </row>
    <row r="2633" ht="26.25" customHeight="1" spans="102:103">
      <c r="CX2633" s="20"/>
      <c r="CY2633" s="20"/>
    </row>
    <row r="2634" ht="26.25" customHeight="1" spans="102:103">
      <c r="CX2634" s="20"/>
      <c r="CY2634" s="20"/>
    </row>
    <row r="2635" ht="26.25" customHeight="1" spans="102:103">
      <c r="CX2635" s="20"/>
      <c r="CY2635" s="20"/>
    </row>
    <row r="2636" ht="26.25" customHeight="1" spans="102:103">
      <c r="CX2636" s="20"/>
      <c r="CY2636" s="20"/>
    </row>
    <row r="2637" ht="26.25" customHeight="1" spans="102:103">
      <c r="CX2637" s="20"/>
      <c r="CY2637" s="20"/>
    </row>
    <row r="2638" ht="26.25" customHeight="1" spans="102:103">
      <c r="CX2638" s="20"/>
      <c r="CY2638" s="20"/>
    </row>
    <row r="2639" ht="26.25" customHeight="1" spans="102:103">
      <c r="CX2639" s="20"/>
      <c r="CY2639" s="20"/>
    </row>
    <row r="2640" ht="26.25" customHeight="1" spans="102:103">
      <c r="CX2640" s="20"/>
      <c r="CY2640" s="20"/>
    </row>
    <row r="2641" ht="26.25" customHeight="1" spans="102:103">
      <c r="CX2641" s="20"/>
      <c r="CY2641" s="20"/>
    </row>
    <row r="2642" ht="26.25" customHeight="1" spans="102:103">
      <c r="CX2642" s="20"/>
      <c r="CY2642" s="20"/>
    </row>
    <row r="2643" ht="26.25" customHeight="1" spans="102:103">
      <c r="CX2643" s="20"/>
      <c r="CY2643" s="20"/>
    </row>
    <row r="2644" ht="26.25" customHeight="1" spans="102:103">
      <c r="CX2644" s="20"/>
      <c r="CY2644" s="20"/>
    </row>
    <row r="2645" ht="26.25" customHeight="1" spans="102:103">
      <c r="CX2645" s="20"/>
      <c r="CY2645" s="20"/>
    </row>
    <row r="2646" ht="26.25" customHeight="1" spans="102:103">
      <c r="CX2646" s="20"/>
      <c r="CY2646" s="20"/>
    </row>
    <row r="2647" ht="26.25" customHeight="1" spans="102:103">
      <c r="CX2647" s="20"/>
      <c r="CY2647" s="20"/>
    </row>
    <row r="2648" ht="26.25" customHeight="1" spans="102:103">
      <c r="CX2648" s="20"/>
      <c r="CY2648" s="20"/>
    </row>
    <row r="2649" ht="26.25" customHeight="1" spans="102:103">
      <c r="CX2649" s="20"/>
      <c r="CY2649" s="20"/>
    </row>
    <row r="2650" ht="26.25" customHeight="1" spans="102:103">
      <c r="CX2650" s="20"/>
      <c r="CY2650" s="20"/>
    </row>
    <row r="2651" ht="26.25" customHeight="1" spans="102:103">
      <c r="CX2651" s="20"/>
      <c r="CY2651" s="20"/>
    </row>
    <row r="2652" ht="26.25" customHeight="1" spans="102:103">
      <c r="CX2652" s="20"/>
      <c r="CY2652" s="20"/>
    </row>
    <row r="2653" ht="26.25" customHeight="1" spans="102:103">
      <c r="CX2653" s="20"/>
      <c r="CY2653" s="20"/>
    </row>
    <row r="2654" ht="26.25" customHeight="1" spans="102:103">
      <c r="CX2654" s="20"/>
      <c r="CY2654" s="20"/>
    </row>
    <row r="2655" ht="26.25" customHeight="1" spans="102:103">
      <c r="CX2655" s="20"/>
      <c r="CY2655" s="20"/>
    </row>
    <row r="2656" ht="26.25" customHeight="1" spans="102:103">
      <c r="CX2656" s="20"/>
      <c r="CY2656" s="20"/>
    </row>
    <row r="2657" ht="26.25" customHeight="1" spans="102:103">
      <c r="CX2657" s="20"/>
      <c r="CY2657" s="20"/>
    </row>
    <row r="2658" ht="26.25" customHeight="1" spans="102:103">
      <c r="CX2658" s="20"/>
      <c r="CY2658" s="20"/>
    </row>
    <row r="2659" ht="26.25" customHeight="1" spans="102:103">
      <c r="CX2659" s="20"/>
      <c r="CY2659" s="20"/>
    </row>
    <row r="2660" ht="26.25" customHeight="1" spans="102:103">
      <c r="CX2660" s="20"/>
      <c r="CY2660" s="20"/>
    </row>
    <row r="2661" ht="26.25" customHeight="1" spans="102:103">
      <c r="CX2661" s="20"/>
      <c r="CY2661" s="20"/>
    </row>
    <row r="2662" ht="26.25" customHeight="1" spans="102:103">
      <c r="CX2662" s="20"/>
      <c r="CY2662" s="20"/>
    </row>
    <row r="2663" ht="26.25" customHeight="1" spans="102:103">
      <c r="CX2663" s="20"/>
      <c r="CY2663" s="20"/>
    </row>
    <row r="2664" ht="26.25" customHeight="1" spans="102:103">
      <c r="CX2664" s="20"/>
      <c r="CY2664" s="20"/>
    </row>
    <row r="2665" ht="26.25" customHeight="1" spans="102:103">
      <c r="CX2665" s="20"/>
      <c r="CY2665" s="20"/>
    </row>
    <row r="2666" ht="26.25" customHeight="1" spans="102:103">
      <c r="CX2666" s="20"/>
      <c r="CY2666" s="20"/>
    </row>
    <row r="2667" ht="26.25" customHeight="1" spans="102:103">
      <c r="CX2667" s="20"/>
      <c r="CY2667" s="20"/>
    </row>
    <row r="2668" ht="26.25" customHeight="1" spans="102:103">
      <c r="CX2668" s="20"/>
      <c r="CY2668" s="20"/>
    </row>
    <row r="2669" ht="26.25" customHeight="1" spans="102:103">
      <c r="CX2669" s="20"/>
      <c r="CY2669" s="20"/>
    </row>
    <row r="2670" ht="26.25" customHeight="1" spans="102:103">
      <c r="CX2670" s="20"/>
      <c r="CY2670" s="20"/>
    </row>
    <row r="2671" ht="26.25" customHeight="1" spans="102:103">
      <c r="CX2671" s="20"/>
      <c r="CY2671" s="20"/>
    </row>
    <row r="2672" ht="26.25" customHeight="1" spans="102:103">
      <c r="CX2672" s="20"/>
      <c r="CY2672" s="20"/>
    </row>
    <row r="2673" ht="26.25" customHeight="1" spans="102:103">
      <c r="CX2673" s="20"/>
      <c r="CY2673" s="20"/>
    </row>
    <row r="2674" ht="26.25" customHeight="1" spans="102:103">
      <c r="CX2674" s="20"/>
      <c r="CY2674" s="20"/>
    </row>
    <row r="2675" ht="26.25" customHeight="1" spans="102:103">
      <c r="CX2675" s="20"/>
      <c r="CY2675" s="20"/>
    </row>
    <row r="2676" ht="26.25" customHeight="1" spans="102:103">
      <c r="CX2676" s="20"/>
      <c r="CY2676" s="20"/>
    </row>
    <row r="2677" ht="26.25" customHeight="1" spans="102:103">
      <c r="CX2677" s="20"/>
      <c r="CY2677" s="20"/>
    </row>
    <row r="2678" ht="26.25" customHeight="1" spans="102:103">
      <c r="CX2678" s="20"/>
      <c r="CY2678" s="20"/>
    </row>
    <row r="2679" ht="26.25" customHeight="1" spans="102:103">
      <c r="CX2679" s="20"/>
      <c r="CY2679" s="20"/>
    </row>
    <row r="2680" ht="26.25" customHeight="1" spans="102:103">
      <c r="CX2680" s="20"/>
      <c r="CY2680" s="20"/>
    </row>
    <row r="2681" ht="26.25" customHeight="1" spans="102:103">
      <c r="CX2681" s="20"/>
      <c r="CY2681" s="20"/>
    </row>
    <row r="2682" ht="26.25" customHeight="1" spans="102:103">
      <c r="CX2682" s="20"/>
      <c r="CY2682" s="20"/>
    </row>
    <row r="2683" ht="26.25" customHeight="1" spans="102:103">
      <c r="CX2683" s="20"/>
      <c r="CY2683" s="20"/>
    </row>
    <row r="2684" ht="26.25" customHeight="1" spans="102:103">
      <c r="CX2684" s="20"/>
      <c r="CY2684" s="20"/>
    </row>
    <row r="2685" ht="26.25" customHeight="1" spans="102:103">
      <c r="CX2685" s="20"/>
      <c r="CY2685" s="20"/>
    </row>
    <row r="2686" ht="26.25" customHeight="1" spans="102:103">
      <c r="CX2686" s="20"/>
      <c r="CY2686" s="20"/>
    </row>
    <row r="2687" ht="26.25" customHeight="1" spans="102:103">
      <c r="CX2687" s="20"/>
      <c r="CY2687" s="20"/>
    </row>
    <row r="2688" ht="26.25" customHeight="1" spans="102:103">
      <c r="CX2688" s="20"/>
      <c r="CY2688" s="20"/>
    </row>
    <row r="2689" ht="26.25" customHeight="1" spans="102:103">
      <c r="CX2689" s="20"/>
      <c r="CY2689" s="20"/>
    </row>
    <row r="2690" ht="26.25" customHeight="1" spans="102:103">
      <c r="CX2690" s="20"/>
      <c r="CY2690" s="20"/>
    </row>
    <row r="2691" ht="26.25" customHeight="1" spans="102:103">
      <c r="CX2691" s="20"/>
      <c r="CY2691" s="20"/>
    </row>
    <row r="2692" ht="26.25" customHeight="1" spans="102:103">
      <c r="CX2692" s="20"/>
      <c r="CY2692" s="20"/>
    </row>
    <row r="2693" ht="26.25" customHeight="1" spans="102:103">
      <c r="CX2693" s="20"/>
      <c r="CY2693" s="20"/>
    </row>
    <row r="2694" ht="26.25" customHeight="1" spans="102:103">
      <c r="CX2694" s="20"/>
      <c r="CY2694" s="20"/>
    </row>
    <row r="2695" ht="26.25" customHeight="1" spans="102:103">
      <c r="CX2695" s="20"/>
      <c r="CY2695" s="20"/>
    </row>
    <row r="2696" ht="26.25" customHeight="1" spans="102:103">
      <c r="CX2696" s="20"/>
      <c r="CY2696" s="20"/>
    </row>
    <row r="2697" ht="26.25" customHeight="1" spans="102:103">
      <c r="CX2697" s="20"/>
      <c r="CY2697" s="20"/>
    </row>
    <row r="2698" ht="26.25" customHeight="1" spans="102:103">
      <c r="CX2698" s="20"/>
      <c r="CY2698" s="20"/>
    </row>
    <row r="2699" ht="26.25" customHeight="1" spans="102:103">
      <c r="CX2699" s="20"/>
      <c r="CY2699" s="20"/>
    </row>
    <row r="2700" ht="26.25" customHeight="1" spans="102:103">
      <c r="CX2700" s="20"/>
      <c r="CY2700" s="20"/>
    </row>
    <row r="2701" ht="26.25" customHeight="1" spans="102:103">
      <c r="CX2701" s="20"/>
      <c r="CY2701" s="20"/>
    </row>
    <row r="2702" ht="26.25" customHeight="1" spans="102:103">
      <c r="CX2702" s="20"/>
      <c r="CY2702" s="20"/>
    </row>
    <row r="2703" ht="26.25" customHeight="1" spans="102:103">
      <c r="CX2703" s="20"/>
      <c r="CY2703" s="20"/>
    </row>
    <row r="2704" ht="26.25" customHeight="1" spans="102:103">
      <c r="CX2704" s="20"/>
      <c r="CY2704" s="20"/>
    </row>
    <row r="2705" ht="26.25" customHeight="1" spans="102:103">
      <c r="CX2705" s="20"/>
      <c r="CY2705" s="20"/>
    </row>
    <row r="2706" ht="26.25" customHeight="1" spans="102:103">
      <c r="CX2706" s="20"/>
      <c r="CY2706" s="20"/>
    </row>
    <row r="2707" ht="26.25" customHeight="1" spans="102:103">
      <c r="CX2707" s="20"/>
      <c r="CY2707" s="20"/>
    </row>
    <row r="2708" ht="26.25" customHeight="1" spans="102:103">
      <c r="CX2708" s="20"/>
      <c r="CY2708" s="20"/>
    </row>
    <row r="2709" ht="26.25" customHeight="1" spans="102:103">
      <c r="CX2709" s="20"/>
      <c r="CY2709" s="20"/>
    </row>
    <row r="2710" ht="26.25" customHeight="1" spans="102:103">
      <c r="CX2710" s="20"/>
      <c r="CY2710" s="20"/>
    </row>
    <row r="2711" ht="26.25" customHeight="1" spans="102:103">
      <c r="CX2711" s="20"/>
      <c r="CY2711" s="20"/>
    </row>
    <row r="2712" ht="26.25" customHeight="1" spans="102:103">
      <c r="CX2712" s="20"/>
      <c r="CY2712" s="20"/>
    </row>
    <row r="2713" ht="26.25" customHeight="1" spans="102:103">
      <c r="CX2713" s="20"/>
      <c r="CY2713" s="20"/>
    </row>
    <row r="2714" ht="26.25" customHeight="1" spans="102:103">
      <c r="CX2714" s="20"/>
      <c r="CY2714" s="20"/>
    </row>
    <row r="2715" ht="26.25" customHeight="1" spans="102:103">
      <c r="CX2715" s="20"/>
      <c r="CY2715" s="20"/>
    </row>
    <row r="2716" ht="26.25" customHeight="1" spans="102:103">
      <c r="CX2716" s="20"/>
      <c r="CY2716" s="20"/>
    </row>
    <row r="2717" ht="26.25" customHeight="1" spans="102:103">
      <c r="CX2717" s="20"/>
      <c r="CY2717" s="20"/>
    </row>
    <row r="2718" ht="26.25" customHeight="1" spans="102:103">
      <c r="CX2718" s="20"/>
      <c r="CY2718" s="20"/>
    </row>
    <row r="2719" ht="26.25" customHeight="1" spans="102:103">
      <c r="CX2719" s="20"/>
      <c r="CY2719" s="20"/>
    </row>
    <row r="2720" ht="26.25" customHeight="1" spans="102:103">
      <c r="CX2720" s="20"/>
      <c r="CY2720" s="20"/>
    </row>
    <row r="2721" ht="26.25" customHeight="1" spans="102:103">
      <c r="CX2721" s="20"/>
      <c r="CY2721" s="20"/>
    </row>
    <row r="2722" ht="26.25" customHeight="1" spans="102:103">
      <c r="CX2722" s="20"/>
      <c r="CY2722" s="20"/>
    </row>
    <row r="2723" ht="26.25" customHeight="1" spans="102:103">
      <c r="CX2723" s="20"/>
      <c r="CY2723" s="20"/>
    </row>
    <row r="2724" ht="26.25" customHeight="1" spans="102:103">
      <c r="CX2724" s="20"/>
      <c r="CY2724" s="20"/>
    </row>
    <row r="2725" ht="26.25" customHeight="1" spans="102:103">
      <c r="CX2725" s="20"/>
      <c r="CY2725" s="20"/>
    </row>
    <row r="2726" ht="26.25" customHeight="1" spans="102:103">
      <c r="CX2726" s="20"/>
      <c r="CY2726" s="20"/>
    </row>
    <row r="2727" ht="26.25" customHeight="1" spans="102:103">
      <c r="CX2727" s="20"/>
      <c r="CY2727" s="20"/>
    </row>
    <row r="2728" ht="26.25" customHeight="1" spans="102:103">
      <c r="CX2728" s="20"/>
      <c r="CY2728" s="20"/>
    </row>
    <row r="2729" ht="26.25" customHeight="1" spans="102:103">
      <c r="CX2729" s="20"/>
      <c r="CY2729" s="20"/>
    </row>
    <row r="2730" ht="26.25" customHeight="1" spans="102:103">
      <c r="CX2730" s="20"/>
      <c r="CY2730" s="20"/>
    </row>
    <row r="2731" ht="26.25" customHeight="1" spans="102:103">
      <c r="CX2731" s="20"/>
      <c r="CY2731" s="20"/>
    </row>
    <row r="2732" ht="26.25" customHeight="1" spans="102:103">
      <c r="CX2732" s="20"/>
      <c r="CY2732" s="20"/>
    </row>
    <row r="2733" ht="26.25" customHeight="1" spans="102:103">
      <c r="CX2733" s="20"/>
      <c r="CY2733" s="20"/>
    </row>
    <row r="2734" ht="26.25" customHeight="1" spans="102:103">
      <c r="CX2734" s="20"/>
      <c r="CY2734" s="20"/>
    </row>
    <row r="2735" ht="26.25" customHeight="1" spans="102:103">
      <c r="CX2735" s="20"/>
      <c r="CY2735" s="20"/>
    </row>
    <row r="2736" ht="26.25" customHeight="1" spans="102:103">
      <c r="CX2736" s="20"/>
      <c r="CY2736" s="20"/>
    </row>
    <row r="2737" ht="26.25" customHeight="1" spans="102:103">
      <c r="CX2737" s="20"/>
      <c r="CY2737" s="20"/>
    </row>
    <row r="2738" ht="26.25" customHeight="1" spans="102:103">
      <c r="CX2738" s="20"/>
      <c r="CY2738" s="20"/>
    </row>
    <row r="2739" ht="26.25" customHeight="1" spans="102:103">
      <c r="CX2739" s="20"/>
      <c r="CY2739" s="20"/>
    </row>
    <row r="2740" ht="26.25" customHeight="1" spans="102:103">
      <c r="CX2740" s="20"/>
      <c r="CY2740" s="20"/>
    </row>
    <row r="2741" ht="26.25" customHeight="1" spans="102:103">
      <c r="CX2741" s="20"/>
      <c r="CY2741" s="20"/>
    </row>
    <row r="2742" ht="26.25" customHeight="1" spans="102:103">
      <c r="CX2742" s="20"/>
      <c r="CY2742" s="20"/>
    </row>
    <row r="2743" ht="26.25" customHeight="1" spans="102:103">
      <c r="CX2743" s="20"/>
      <c r="CY2743" s="20"/>
    </row>
    <row r="2744" ht="26.25" customHeight="1" spans="102:103">
      <c r="CX2744" s="20"/>
      <c r="CY2744" s="20"/>
    </row>
    <row r="2745" ht="26.25" customHeight="1" spans="102:103">
      <c r="CX2745" s="20"/>
      <c r="CY2745" s="20"/>
    </row>
    <row r="2746" ht="26.25" customHeight="1" spans="102:103">
      <c r="CX2746" s="20"/>
      <c r="CY2746" s="20"/>
    </row>
    <row r="2747" ht="26.25" customHeight="1" spans="102:103">
      <c r="CX2747" s="20"/>
      <c r="CY2747" s="20"/>
    </row>
    <row r="2748" ht="26.25" customHeight="1" spans="102:103">
      <c r="CX2748" s="20"/>
      <c r="CY2748" s="20"/>
    </row>
    <row r="2749" ht="26.25" customHeight="1" spans="102:103">
      <c r="CX2749" s="20"/>
      <c r="CY2749" s="20"/>
    </row>
    <row r="2750" ht="26.25" customHeight="1" spans="102:103">
      <c r="CX2750" s="20"/>
      <c r="CY2750" s="20"/>
    </row>
    <row r="2751" ht="26.25" customHeight="1" spans="102:103">
      <c r="CX2751" s="20"/>
      <c r="CY2751" s="20"/>
    </row>
    <row r="2752" ht="26.25" customHeight="1" spans="102:103">
      <c r="CX2752" s="20"/>
      <c r="CY2752" s="20"/>
    </row>
    <row r="2753" ht="26.25" customHeight="1" spans="102:103">
      <c r="CX2753" s="20"/>
      <c r="CY2753" s="20"/>
    </row>
    <row r="2754" ht="26.25" customHeight="1" spans="102:103">
      <c r="CX2754" s="20"/>
      <c r="CY2754" s="20"/>
    </row>
    <row r="2755" ht="26.25" customHeight="1" spans="102:103">
      <c r="CX2755" s="20"/>
      <c r="CY2755" s="20"/>
    </row>
    <row r="2756" ht="26.25" customHeight="1" spans="102:103">
      <c r="CX2756" s="20"/>
      <c r="CY2756" s="20"/>
    </row>
    <row r="2757" ht="26.25" customHeight="1" spans="102:103">
      <c r="CX2757" s="20"/>
      <c r="CY2757" s="20"/>
    </row>
    <row r="2758" ht="26.25" customHeight="1" spans="102:103">
      <c r="CX2758" s="20"/>
      <c r="CY2758" s="20"/>
    </row>
    <row r="2759" ht="26.25" customHeight="1" spans="102:103">
      <c r="CX2759" s="20"/>
      <c r="CY2759" s="20"/>
    </row>
    <row r="2760" ht="26.25" customHeight="1" spans="102:103">
      <c r="CX2760" s="20"/>
      <c r="CY2760" s="20"/>
    </row>
    <row r="2761" ht="26.25" customHeight="1" spans="102:103">
      <c r="CX2761" s="20"/>
      <c r="CY2761" s="20"/>
    </row>
    <row r="2762" ht="26.25" customHeight="1" spans="102:103">
      <c r="CX2762" s="20"/>
      <c r="CY2762" s="20"/>
    </row>
    <row r="2763" ht="26.25" customHeight="1" spans="102:103">
      <c r="CX2763" s="20"/>
      <c r="CY2763" s="20"/>
    </row>
    <row r="2764" ht="26.25" customHeight="1" spans="102:103">
      <c r="CX2764" s="20"/>
      <c r="CY2764" s="20"/>
    </row>
    <row r="2765" ht="26.25" customHeight="1" spans="102:103">
      <c r="CX2765" s="20"/>
      <c r="CY2765" s="20"/>
    </row>
    <row r="2766" ht="26.25" customHeight="1" spans="102:103">
      <c r="CX2766" s="20"/>
      <c r="CY2766" s="20"/>
    </row>
    <row r="2767" ht="26.25" customHeight="1" spans="102:103">
      <c r="CX2767" s="20"/>
      <c r="CY2767" s="20"/>
    </row>
    <row r="2768" ht="26.25" customHeight="1" spans="102:103">
      <c r="CX2768" s="20"/>
      <c r="CY2768" s="20"/>
    </row>
    <row r="2769" ht="26.25" customHeight="1" spans="102:103">
      <c r="CX2769" s="20"/>
      <c r="CY2769" s="20"/>
    </row>
    <row r="2770" ht="26.25" customHeight="1" spans="102:103">
      <c r="CX2770" s="20"/>
      <c r="CY2770" s="20"/>
    </row>
    <row r="2771" ht="26.25" customHeight="1" spans="102:103">
      <c r="CX2771" s="20"/>
      <c r="CY2771" s="20"/>
    </row>
    <row r="2772" ht="26.25" customHeight="1" spans="102:103">
      <c r="CX2772" s="20"/>
      <c r="CY2772" s="20"/>
    </row>
    <row r="2773" ht="26.25" customHeight="1" spans="102:103">
      <c r="CX2773" s="20"/>
      <c r="CY2773" s="20"/>
    </row>
    <row r="2774" ht="26.25" customHeight="1" spans="102:103">
      <c r="CX2774" s="20"/>
      <c r="CY2774" s="20"/>
    </row>
    <row r="2775" ht="26.25" customHeight="1" spans="102:103">
      <c r="CX2775" s="20"/>
      <c r="CY2775" s="20"/>
    </row>
    <row r="2776" ht="26.25" customHeight="1" spans="102:103">
      <c r="CX2776" s="20"/>
      <c r="CY2776" s="20"/>
    </row>
    <row r="2777" ht="26.25" customHeight="1" spans="102:103">
      <c r="CX2777" s="20"/>
      <c r="CY2777" s="20"/>
    </row>
    <row r="2778" ht="26.25" customHeight="1" spans="102:103">
      <c r="CX2778" s="20"/>
      <c r="CY2778" s="20"/>
    </row>
    <row r="2779" ht="26.25" customHeight="1" spans="102:103">
      <c r="CX2779" s="20"/>
      <c r="CY2779" s="20"/>
    </row>
    <row r="2780" ht="26.25" customHeight="1" spans="102:103">
      <c r="CX2780" s="20"/>
      <c r="CY2780" s="20"/>
    </row>
    <row r="2781" ht="26.25" customHeight="1" spans="102:103">
      <c r="CX2781" s="20"/>
      <c r="CY2781" s="20"/>
    </row>
    <row r="2782" ht="26.25" customHeight="1" spans="102:103">
      <c r="CX2782" s="20"/>
      <c r="CY2782" s="20"/>
    </row>
    <row r="2783" ht="26.25" customHeight="1" spans="102:103">
      <c r="CX2783" s="20"/>
      <c r="CY2783" s="20"/>
    </row>
    <row r="2784" ht="26.25" customHeight="1" spans="102:103">
      <c r="CX2784" s="20"/>
      <c r="CY2784" s="20"/>
    </row>
    <row r="2785" ht="26.25" customHeight="1" spans="102:103">
      <c r="CX2785" s="20"/>
      <c r="CY2785" s="20"/>
    </row>
    <row r="2786" ht="26.25" customHeight="1" spans="102:103">
      <c r="CX2786" s="20"/>
      <c r="CY2786" s="20"/>
    </row>
    <row r="2787" ht="26.25" customHeight="1" spans="102:103">
      <c r="CX2787" s="20"/>
      <c r="CY2787" s="20"/>
    </row>
    <row r="2788" ht="26.25" customHeight="1" spans="102:103">
      <c r="CX2788" s="20"/>
      <c r="CY2788" s="20"/>
    </row>
    <row r="2789" ht="26.25" customHeight="1" spans="102:103">
      <c r="CX2789" s="20"/>
      <c r="CY2789" s="20"/>
    </row>
    <row r="2790" ht="26.25" customHeight="1" spans="102:103">
      <c r="CX2790" s="20"/>
      <c r="CY2790" s="20"/>
    </row>
    <row r="2791" ht="26.25" customHeight="1" spans="102:103">
      <c r="CX2791" s="20"/>
      <c r="CY2791" s="20"/>
    </row>
    <row r="2792" ht="26.25" customHeight="1" spans="102:103">
      <c r="CX2792" s="20"/>
      <c r="CY2792" s="20"/>
    </row>
    <row r="2793" ht="26.25" customHeight="1" spans="102:103">
      <c r="CX2793" s="20"/>
      <c r="CY2793" s="20"/>
    </row>
    <row r="2794" ht="26.25" customHeight="1" spans="102:103">
      <c r="CX2794" s="20"/>
      <c r="CY2794" s="20"/>
    </row>
    <row r="2795" ht="26.25" customHeight="1" spans="102:103">
      <c r="CX2795" s="20"/>
      <c r="CY2795" s="20"/>
    </row>
    <row r="2796" ht="26.25" customHeight="1" spans="102:103">
      <c r="CX2796" s="20"/>
      <c r="CY2796" s="20"/>
    </row>
    <row r="2797" ht="26.25" customHeight="1" spans="102:103">
      <c r="CX2797" s="20"/>
      <c r="CY2797" s="20"/>
    </row>
    <row r="2798" ht="26.25" customHeight="1" spans="102:103">
      <c r="CX2798" s="20"/>
      <c r="CY2798" s="20"/>
    </row>
    <row r="2799" ht="26.25" customHeight="1" spans="102:103">
      <c r="CX2799" s="20"/>
      <c r="CY2799" s="20"/>
    </row>
    <row r="2800" ht="26.25" customHeight="1" spans="102:103">
      <c r="CX2800" s="20"/>
      <c r="CY2800" s="20"/>
    </row>
    <row r="2801" ht="26.25" customHeight="1" spans="102:103">
      <c r="CX2801" s="20"/>
      <c r="CY2801" s="20"/>
    </row>
    <row r="2802" ht="26.25" customHeight="1" spans="102:103">
      <c r="CX2802" s="20"/>
      <c r="CY2802" s="20"/>
    </row>
    <row r="2803" ht="26.25" customHeight="1" spans="102:103">
      <c r="CX2803" s="20"/>
      <c r="CY2803" s="20"/>
    </row>
    <row r="2804" ht="26.25" customHeight="1" spans="102:103">
      <c r="CX2804" s="20"/>
      <c r="CY2804" s="20"/>
    </row>
    <row r="2805" ht="26.25" customHeight="1" spans="102:103">
      <c r="CX2805" s="20"/>
      <c r="CY2805" s="20"/>
    </row>
    <row r="2806" ht="26.25" customHeight="1" spans="102:103">
      <c r="CX2806" s="20"/>
      <c r="CY2806" s="20"/>
    </row>
    <row r="2807" ht="26.25" customHeight="1" spans="102:103">
      <c r="CX2807" s="20"/>
      <c r="CY2807" s="20"/>
    </row>
    <row r="2808" ht="26.25" customHeight="1" spans="102:103">
      <c r="CX2808" s="20"/>
      <c r="CY2808" s="20"/>
    </row>
    <row r="2809" ht="26.25" customHeight="1" spans="102:103">
      <c r="CX2809" s="20"/>
      <c r="CY2809" s="20"/>
    </row>
    <row r="2810" ht="26.25" customHeight="1" spans="102:103">
      <c r="CX2810" s="20"/>
      <c r="CY2810" s="20"/>
    </row>
    <row r="2811" ht="26.25" customHeight="1" spans="102:103">
      <c r="CX2811" s="20"/>
      <c r="CY2811" s="20"/>
    </row>
    <row r="2812" ht="26.25" customHeight="1" spans="102:103">
      <c r="CX2812" s="20"/>
      <c r="CY2812" s="20"/>
    </row>
    <row r="2813" ht="26.25" customHeight="1" spans="102:103">
      <c r="CX2813" s="20"/>
      <c r="CY2813" s="20"/>
    </row>
    <row r="2814" ht="26.25" customHeight="1" spans="102:103">
      <c r="CX2814" s="20"/>
      <c r="CY2814" s="20"/>
    </row>
    <row r="2815" ht="26.25" customHeight="1" spans="102:103">
      <c r="CX2815" s="20"/>
      <c r="CY2815" s="20"/>
    </row>
    <row r="2816" ht="26.25" customHeight="1" spans="102:103">
      <c r="CX2816" s="20"/>
      <c r="CY2816" s="20"/>
    </row>
    <row r="2817" ht="26.25" customHeight="1" spans="102:103">
      <c r="CX2817" s="20"/>
      <c r="CY2817" s="20"/>
    </row>
    <row r="2818" ht="26.25" customHeight="1" spans="102:103">
      <c r="CX2818" s="20"/>
      <c r="CY2818" s="20"/>
    </row>
    <row r="2819" ht="26.25" customHeight="1" spans="102:103">
      <c r="CX2819" s="20"/>
      <c r="CY2819" s="20"/>
    </row>
    <row r="2820" ht="26.25" customHeight="1" spans="102:103">
      <c r="CX2820" s="20"/>
      <c r="CY2820" s="20"/>
    </row>
    <row r="2821" ht="26.25" customHeight="1" spans="102:103">
      <c r="CX2821" s="20"/>
      <c r="CY2821" s="20"/>
    </row>
    <row r="2822" ht="26.25" customHeight="1" spans="102:103">
      <c r="CX2822" s="20"/>
      <c r="CY2822" s="20"/>
    </row>
    <row r="2823" ht="26.25" customHeight="1" spans="102:103">
      <c r="CX2823" s="20"/>
      <c r="CY2823" s="20"/>
    </row>
    <row r="2824" ht="26.25" customHeight="1" spans="102:103">
      <c r="CX2824" s="20"/>
      <c r="CY2824" s="20"/>
    </row>
    <row r="2825" ht="26.25" customHeight="1" spans="102:103">
      <c r="CX2825" s="20"/>
      <c r="CY2825" s="20"/>
    </row>
    <row r="2826" ht="26.25" customHeight="1" spans="102:103">
      <c r="CX2826" s="20"/>
      <c r="CY2826" s="20"/>
    </row>
    <row r="2827" ht="26.25" customHeight="1" spans="102:103">
      <c r="CX2827" s="20"/>
      <c r="CY2827" s="20"/>
    </row>
    <row r="2828" ht="26.25" customHeight="1" spans="102:103">
      <c r="CX2828" s="20"/>
      <c r="CY2828" s="20"/>
    </row>
    <row r="2829" ht="26.25" customHeight="1" spans="102:103">
      <c r="CX2829" s="20"/>
      <c r="CY2829" s="20"/>
    </row>
    <row r="2830" ht="26.25" customHeight="1" spans="102:103">
      <c r="CX2830" s="20"/>
      <c r="CY2830" s="20"/>
    </row>
    <row r="2831" ht="26.25" customHeight="1" spans="102:103">
      <c r="CX2831" s="20"/>
      <c r="CY2831" s="20"/>
    </row>
    <row r="2832" ht="26.25" customHeight="1" spans="102:103">
      <c r="CX2832" s="20"/>
      <c r="CY2832" s="20"/>
    </row>
    <row r="2833" ht="26.25" customHeight="1" spans="102:103">
      <c r="CX2833" s="20"/>
      <c r="CY2833" s="20"/>
    </row>
    <row r="2834" ht="26.25" customHeight="1" spans="102:103">
      <c r="CX2834" s="20"/>
      <c r="CY2834" s="20"/>
    </row>
    <row r="2835" ht="26.25" customHeight="1" spans="102:103">
      <c r="CX2835" s="20"/>
      <c r="CY2835" s="20"/>
    </row>
    <row r="2836" ht="26.25" customHeight="1" spans="102:103">
      <c r="CX2836" s="20"/>
      <c r="CY2836" s="20"/>
    </row>
    <row r="2837" ht="26.25" customHeight="1" spans="102:103">
      <c r="CX2837" s="20"/>
      <c r="CY2837" s="20"/>
    </row>
    <row r="2838" ht="26.25" customHeight="1" spans="102:103">
      <c r="CX2838" s="20"/>
      <c r="CY2838" s="20"/>
    </row>
    <row r="2839" ht="26.25" customHeight="1" spans="102:103">
      <c r="CX2839" s="20"/>
      <c r="CY2839" s="20"/>
    </row>
    <row r="2840" ht="26.25" customHeight="1" spans="102:103">
      <c r="CX2840" s="20"/>
      <c r="CY2840" s="20"/>
    </row>
    <row r="2841" ht="26.25" customHeight="1" spans="102:103">
      <c r="CX2841" s="20"/>
      <c r="CY2841" s="20"/>
    </row>
    <row r="2842" ht="26.25" customHeight="1" spans="102:103">
      <c r="CX2842" s="20"/>
      <c r="CY2842" s="20"/>
    </row>
    <row r="2843" ht="26.25" customHeight="1" spans="102:103">
      <c r="CX2843" s="20"/>
      <c r="CY2843" s="20"/>
    </row>
    <row r="2844" ht="26.25" customHeight="1" spans="102:103">
      <c r="CX2844" s="20"/>
      <c r="CY2844" s="20"/>
    </row>
    <row r="2845" ht="26.25" customHeight="1" spans="102:103">
      <c r="CX2845" s="20"/>
      <c r="CY2845" s="20"/>
    </row>
    <row r="2846" ht="26.25" customHeight="1" spans="102:103">
      <c r="CX2846" s="20"/>
      <c r="CY2846" s="20"/>
    </row>
    <row r="2847" ht="26.25" customHeight="1" spans="102:103">
      <c r="CX2847" s="20"/>
      <c r="CY2847" s="20"/>
    </row>
    <row r="2848" ht="26.25" customHeight="1" spans="102:103">
      <c r="CX2848" s="20"/>
      <c r="CY2848" s="20"/>
    </row>
    <row r="2849" ht="26.25" customHeight="1" spans="102:103">
      <c r="CX2849" s="20"/>
      <c r="CY2849" s="20"/>
    </row>
    <row r="2850" ht="26.25" customHeight="1" spans="102:103">
      <c r="CX2850" s="20"/>
      <c r="CY2850" s="20"/>
    </row>
    <row r="2851" ht="26.25" customHeight="1" spans="102:103">
      <c r="CX2851" s="20"/>
      <c r="CY2851" s="20"/>
    </row>
    <row r="2852" ht="26.25" customHeight="1" spans="102:103">
      <c r="CX2852" s="20"/>
      <c r="CY2852" s="20"/>
    </row>
    <row r="2853" ht="26.25" customHeight="1" spans="102:103">
      <c r="CX2853" s="20"/>
      <c r="CY2853" s="20"/>
    </row>
    <row r="2854" ht="26.25" customHeight="1" spans="102:103">
      <c r="CX2854" s="20"/>
      <c r="CY2854" s="20"/>
    </row>
    <row r="2855" ht="26.25" customHeight="1" spans="102:103">
      <c r="CX2855" s="20"/>
      <c r="CY2855" s="20"/>
    </row>
    <row r="2856" ht="26.25" customHeight="1" spans="102:103">
      <c r="CX2856" s="20"/>
      <c r="CY2856" s="20"/>
    </row>
    <row r="2857" ht="26.25" customHeight="1" spans="102:103">
      <c r="CX2857" s="20"/>
      <c r="CY2857" s="20"/>
    </row>
    <row r="2858" ht="26.25" customHeight="1" spans="102:103">
      <c r="CX2858" s="20"/>
      <c r="CY2858" s="20"/>
    </row>
    <row r="2859" ht="26.25" customHeight="1" spans="102:103">
      <c r="CX2859" s="20"/>
      <c r="CY2859" s="20"/>
    </row>
    <row r="2860" ht="26.25" customHeight="1" spans="102:103">
      <c r="CX2860" s="20"/>
      <c r="CY2860" s="20"/>
    </row>
    <row r="2861" ht="26.25" customHeight="1" spans="102:103">
      <c r="CX2861" s="20"/>
      <c r="CY2861" s="20"/>
    </row>
    <row r="2862" ht="26.25" customHeight="1" spans="102:103">
      <c r="CX2862" s="20"/>
      <c r="CY2862" s="20"/>
    </row>
    <row r="2863" ht="26.25" customHeight="1" spans="102:103">
      <c r="CX2863" s="20"/>
      <c r="CY2863" s="20"/>
    </row>
    <row r="2864" ht="26.25" customHeight="1" spans="102:103">
      <c r="CX2864" s="20"/>
      <c r="CY2864" s="20"/>
    </row>
    <row r="2865" ht="26.25" customHeight="1" spans="102:103">
      <c r="CX2865" s="20"/>
      <c r="CY2865" s="20"/>
    </row>
    <row r="2866" ht="26.25" customHeight="1" spans="102:103">
      <c r="CX2866" s="20"/>
      <c r="CY2866" s="20"/>
    </row>
    <row r="2867" ht="26.25" customHeight="1" spans="102:103">
      <c r="CX2867" s="20"/>
      <c r="CY2867" s="20"/>
    </row>
    <row r="2868" ht="26.25" customHeight="1" spans="102:103">
      <c r="CX2868" s="20"/>
      <c r="CY2868" s="20"/>
    </row>
    <row r="2869" ht="26.25" customHeight="1" spans="102:103">
      <c r="CX2869" s="20"/>
      <c r="CY2869" s="20"/>
    </row>
    <row r="2870" ht="26.25" customHeight="1" spans="102:103">
      <c r="CX2870" s="20"/>
      <c r="CY2870" s="20"/>
    </row>
    <row r="2871" ht="26.25" customHeight="1" spans="102:103">
      <c r="CX2871" s="20"/>
      <c r="CY2871" s="20"/>
    </row>
    <row r="2872" ht="26.25" customHeight="1" spans="102:103">
      <c r="CX2872" s="20"/>
      <c r="CY2872" s="20"/>
    </row>
    <row r="2873" ht="26.25" customHeight="1" spans="102:103">
      <c r="CX2873" s="20"/>
      <c r="CY2873" s="20"/>
    </row>
    <row r="2874" ht="26.25" customHeight="1" spans="102:103">
      <c r="CX2874" s="20"/>
      <c r="CY2874" s="20"/>
    </row>
    <row r="2875" ht="26.25" customHeight="1" spans="102:103">
      <c r="CX2875" s="20"/>
      <c r="CY2875" s="20"/>
    </row>
    <row r="2876" ht="26.25" customHeight="1" spans="102:103">
      <c r="CX2876" s="20"/>
      <c r="CY2876" s="20"/>
    </row>
    <row r="2877" ht="26.25" customHeight="1" spans="102:103">
      <c r="CX2877" s="20"/>
      <c r="CY2877" s="20"/>
    </row>
    <row r="2878" ht="26.25" customHeight="1" spans="102:103">
      <c r="CX2878" s="20"/>
      <c r="CY2878" s="20"/>
    </row>
    <row r="2879" ht="26.25" customHeight="1" spans="102:103">
      <c r="CX2879" s="20"/>
      <c r="CY2879" s="20"/>
    </row>
    <row r="2880" ht="26.25" customHeight="1" spans="102:103">
      <c r="CX2880" s="20"/>
      <c r="CY2880" s="20"/>
    </row>
    <row r="2881" ht="26.25" customHeight="1" spans="102:103">
      <c r="CX2881" s="20"/>
      <c r="CY2881" s="20"/>
    </row>
    <row r="2882" ht="26.25" customHeight="1" spans="102:103">
      <c r="CX2882" s="20"/>
      <c r="CY2882" s="20"/>
    </row>
    <row r="2883" ht="26.25" customHeight="1" spans="102:103">
      <c r="CX2883" s="20"/>
      <c r="CY2883" s="20"/>
    </row>
    <row r="2884" ht="26.25" customHeight="1" spans="102:103">
      <c r="CX2884" s="20"/>
      <c r="CY2884" s="20"/>
    </row>
    <row r="2885" ht="26.25" customHeight="1" spans="102:103">
      <c r="CX2885" s="20"/>
      <c r="CY2885" s="20"/>
    </row>
    <row r="2886" ht="26.25" customHeight="1" spans="102:103">
      <c r="CX2886" s="20"/>
      <c r="CY2886" s="20"/>
    </row>
    <row r="2887" ht="26.25" customHeight="1" spans="102:103">
      <c r="CX2887" s="20"/>
      <c r="CY2887" s="20"/>
    </row>
    <row r="2888" ht="26.25" customHeight="1" spans="102:103">
      <c r="CX2888" s="20"/>
      <c r="CY2888" s="20"/>
    </row>
    <row r="2889" ht="26.25" customHeight="1" spans="102:103">
      <c r="CX2889" s="20"/>
      <c r="CY2889" s="20"/>
    </row>
    <row r="2890" ht="26.25" customHeight="1" spans="102:103">
      <c r="CX2890" s="20"/>
      <c r="CY2890" s="20"/>
    </row>
    <row r="2891" ht="26.25" customHeight="1" spans="102:103">
      <c r="CX2891" s="20"/>
      <c r="CY2891" s="20"/>
    </row>
    <row r="2892" ht="26.25" customHeight="1" spans="102:103">
      <c r="CX2892" s="20"/>
      <c r="CY2892" s="20"/>
    </row>
    <row r="2893" ht="26.25" customHeight="1" spans="102:103">
      <c r="CX2893" s="20"/>
      <c r="CY2893" s="20"/>
    </row>
    <row r="2894" ht="26.25" customHeight="1" spans="102:103">
      <c r="CX2894" s="20"/>
      <c r="CY2894" s="20"/>
    </row>
    <row r="2895" ht="26.25" customHeight="1" spans="102:103">
      <c r="CX2895" s="20"/>
      <c r="CY2895" s="20"/>
    </row>
    <row r="2896" ht="26.25" customHeight="1" spans="102:103">
      <c r="CX2896" s="20"/>
      <c r="CY2896" s="20"/>
    </row>
    <row r="2897" ht="26.25" customHeight="1" spans="102:103">
      <c r="CX2897" s="20"/>
      <c r="CY2897" s="20"/>
    </row>
    <row r="2898" ht="26.25" customHeight="1" spans="102:103">
      <c r="CX2898" s="20"/>
      <c r="CY2898" s="20"/>
    </row>
    <row r="2899" ht="26.25" customHeight="1" spans="102:103">
      <c r="CX2899" s="20"/>
      <c r="CY2899" s="20"/>
    </row>
    <row r="2900" ht="26.25" customHeight="1" spans="102:103">
      <c r="CX2900" s="20"/>
      <c r="CY2900" s="20"/>
    </row>
    <row r="2901" ht="26.25" customHeight="1" spans="102:103">
      <c r="CX2901" s="20"/>
      <c r="CY2901" s="20"/>
    </row>
    <row r="2902" ht="26.25" customHeight="1" spans="102:103">
      <c r="CX2902" s="20"/>
      <c r="CY2902" s="20"/>
    </row>
    <row r="2903" ht="26.25" customHeight="1" spans="102:103">
      <c r="CX2903" s="20"/>
      <c r="CY2903" s="20"/>
    </row>
    <row r="2904" ht="26.25" customHeight="1" spans="102:103">
      <c r="CX2904" s="20"/>
      <c r="CY2904" s="20"/>
    </row>
    <row r="2905" ht="26.25" customHeight="1" spans="102:103">
      <c r="CX2905" s="20"/>
      <c r="CY2905" s="20"/>
    </row>
    <row r="2906" ht="26.25" customHeight="1" spans="102:103">
      <c r="CX2906" s="20"/>
      <c r="CY2906" s="20"/>
    </row>
    <row r="2907" ht="26.25" customHeight="1" spans="102:103">
      <c r="CX2907" s="20"/>
      <c r="CY2907" s="20"/>
    </row>
    <row r="2908" ht="26.25" customHeight="1" spans="102:103">
      <c r="CX2908" s="20"/>
      <c r="CY2908" s="20"/>
    </row>
    <row r="2909" ht="26.25" customHeight="1" spans="102:103">
      <c r="CX2909" s="20"/>
      <c r="CY2909" s="20"/>
    </row>
    <row r="2910" ht="26.25" customHeight="1" spans="102:103">
      <c r="CX2910" s="20"/>
      <c r="CY2910" s="20"/>
    </row>
    <row r="2911" ht="26.25" customHeight="1" spans="102:103">
      <c r="CX2911" s="20"/>
      <c r="CY2911" s="20"/>
    </row>
    <row r="2912" ht="26.25" customHeight="1" spans="102:103">
      <c r="CX2912" s="20"/>
      <c r="CY2912" s="20"/>
    </row>
    <row r="2913" ht="26.25" customHeight="1" spans="102:103">
      <c r="CX2913" s="20"/>
      <c r="CY2913" s="20"/>
    </row>
    <row r="2914" ht="26.25" customHeight="1" spans="102:103">
      <c r="CX2914" s="20"/>
      <c r="CY2914" s="20"/>
    </row>
    <row r="2915" ht="26.25" customHeight="1" spans="102:103">
      <c r="CX2915" s="20"/>
      <c r="CY2915" s="20"/>
    </row>
    <row r="2916" ht="26.25" customHeight="1" spans="102:103">
      <c r="CX2916" s="20"/>
      <c r="CY2916" s="20"/>
    </row>
    <row r="2917" ht="26.25" customHeight="1" spans="102:103">
      <c r="CX2917" s="20"/>
      <c r="CY2917" s="20"/>
    </row>
    <row r="2918" ht="26.25" customHeight="1" spans="102:103">
      <c r="CX2918" s="20"/>
      <c r="CY2918" s="20"/>
    </row>
    <row r="2919" ht="26.25" customHeight="1" spans="102:103">
      <c r="CX2919" s="20"/>
      <c r="CY2919" s="20"/>
    </row>
    <row r="2920" ht="26.25" customHeight="1" spans="102:103">
      <c r="CX2920" s="20"/>
      <c r="CY2920" s="20"/>
    </row>
    <row r="2921" ht="26.25" customHeight="1" spans="102:103">
      <c r="CX2921" s="20"/>
      <c r="CY2921" s="20"/>
    </row>
    <row r="2922" ht="26.25" customHeight="1" spans="102:103">
      <c r="CX2922" s="20"/>
      <c r="CY2922" s="20"/>
    </row>
    <row r="2923" ht="26.25" customHeight="1" spans="102:103">
      <c r="CX2923" s="20"/>
      <c r="CY2923" s="20"/>
    </row>
    <row r="2924" ht="26.25" customHeight="1" spans="102:103">
      <c r="CX2924" s="20"/>
      <c r="CY2924" s="20"/>
    </row>
    <row r="2925" ht="26.25" customHeight="1" spans="102:103">
      <c r="CX2925" s="20"/>
      <c r="CY2925" s="20"/>
    </row>
    <row r="2926" ht="26.25" customHeight="1" spans="102:103">
      <c r="CX2926" s="20"/>
      <c r="CY2926" s="20"/>
    </row>
    <row r="2927" ht="26.25" customHeight="1" spans="102:103">
      <c r="CX2927" s="20"/>
      <c r="CY2927" s="20"/>
    </row>
    <row r="2928" ht="26.25" customHeight="1" spans="102:103">
      <c r="CX2928" s="20"/>
      <c r="CY2928" s="20"/>
    </row>
    <row r="2929" ht="26.25" customHeight="1" spans="102:103">
      <c r="CX2929" s="20"/>
      <c r="CY2929" s="20"/>
    </row>
    <row r="2930" ht="26.25" customHeight="1" spans="102:103">
      <c r="CX2930" s="20"/>
      <c r="CY2930" s="20"/>
    </row>
    <row r="2931" ht="26.25" customHeight="1" spans="102:103">
      <c r="CX2931" s="20"/>
      <c r="CY2931" s="20"/>
    </row>
    <row r="2932" ht="26.25" customHeight="1" spans="102:103">
      <c r="CX2932" s="20"/>
      <c r="CY2932" s="20"/>
    </row>
    <row r="2933" ht="26.25" customHeight="1" spans="102:103">
      <c r="CX2933" s="20"/>
      <c r="CY2933" s="20"/>
    </row>
    <row r="2934" ht="26.25" customHeight="1" spans="102:103">
      <c r="CX2934" s="20"/>
      <c r="CY2934" s="20"/>
    </row>
    <row r="2935" ht="26.25" customHeight="1" spans="102:103">
      <c r="CX2935" s="20"/>
      <c r="CY2935" s="20"/>
    </row>
    <row r="2936" ht="26.25" customHeight="1" spans="102:103">
      <c r="CX2936" s="20"/>
      <c r="CY2936" s="20"/>
    </row>
    <row r="2937" ht="26.25" customHeight="1" spans="102:103">
      <c r="CX2937" s="20"/>
      <c r="CY2937" s="20"/>
    </row>
    <row r="2938" ht="26.25" customHeight="1" spans="102:103">
      <c r="CX2938" s="20"/>
      <c r="CY2938" s="20"/>
    </row>
    <row r="2939" ht="26.25" customHeight="1" spans="102:103">
      <c r="CX2939" s="20"/>
      <c r="CY2939" s="20"/>
    </row>
    <row r="2940" ht="26.25" customHeight="1" spans="102:103">
      <c r="CX2940" s="20"/>
      <c r="CY2940" s="20"/>
    </row>
    <row r="2941" ht="26.25" customHeight="1" spans="102:103">
      <c r="CX2941" s="20"/>
      <c r="CY2941" s="20"/>
    </row>
    <row r="2942" ht="26.25" customHeight="1" spans="102:103">
      <c r="CX2942" s="20"/>
      <c r="CY2942" s="20"/>
    </row>
    <row r="2943" ht="26.25" customHeight="1" spans="102:103">
      <c r="CX2943" s="20"/>
      <c r="CY2943" s="20"/>
    </row>
    <row r="2944" ht="26.25" customHeight="1" spans="102:103">
      <c r="CX2944" s="20"/>
      <c r="CY2944" s="20"/>
    </row>
    <row r="2945" ht="26.25" customHeight="1" spans="102:103">
      <c r="CX2945" s="20"/>
      <c r="CY2945" s="20"/>
    </row>
    <row r="2946" ht="26.25" customHeight="1" spans="102:103">
      <c r="CX2946" s="20"/>
      <c r="CY2946" s="20"/>
    </row>
    <row r="2947" ht="26.25" customHeight="1" spans="102:103">
      <c r="CX2947" s="20"/>
      <c r="CY2947" s="20"/>
    </row>
    <row r="2948" ht="26.25" customHeight="1" spans="102:103">
      <c r="CX2948" s="20"/>
      <c r="CY2948" s="20"/>
    </row>
    <row r="2949" ht="26.25" customHeight="1" spans="102:103">
      <c r="CX2949" s="20"/>
      <c r="CY2949" s="20"/>
    </row>
    <row r="2950" ht="26.25" customHeight="1" spans="102:103">
      <c r="CX2950" s="20"/>
      <c r="CY2950" s="20"/>
    </row>
    <row r="2951" ht="26.25" customHeight="1" spans="102:103">
      <c r="CX2951" s="20"/>
      <c r="CY2951" s="20"/>
    </row>
    <row r="2952" ht="26.25" customHeight="1" spans="102:103">
      <c r="CX2952" s="20"/>
      <c r="CY2952" s="20"/>
    </row>
    <row r="2953" ht="26.25" customHeight="1" spans="102:103">
      <c r="CX2953" s="20"/>
      <c r="CY2953" s="20"/>
    </row>
    <row r="2954" ht="26.25" customHeight="1" spans="102:103">
      <c r="CX2954" s="20"/>
      <c r="CY2954" s="20"/>
    </row>
    <row r="2955" ht="26.25" customHeight="1" spans="102:103">
      <c r="CX2955" s="20"/>
      <c r="CY2955" s="20"/>
    </row>
    <row r="2956" ht="26.25" customHeight="1" spans="102:103">
      <c r="CX2956" s="20"/>
      <c r="CY2956" s="20"/>
    </row>
    <row r="2957" ht="26.25" customHeight="1" spans="102:103">
      <c r="CX2957" s="20"/>
      <c r="CY2957" s="20"/>
    </row>
    <row r="2958" ht="26.25" customHeight="1" spans="102:103">
      <c r="CX2958" s="20"/>
      <c r="CY2958" s="20"/>
    </row>
    <row r="2959" ht="26.25" customHeight="1" spans="102:103">
      <c r="CX2959" s="20"/>
      <c r="CY2959" s="20"/>
    </row>
    <row r="2960" ht="26.25" customHeight="1" spans="102:103">
      <c r="CX2960" s="20"/>
      <c r="CY2960" s="20"/>
    </row>
    <row r="2961" ht="26.25" customHeight="1" spans="102:103">
      <c r="CX2961" s="20"/>
      <c r="CY2961" s="20"/>
    </row>
    <row r="2962" ht="26.25" customHeight="1" spans="102:103">
      <c r="CX2962" s="20"/>
      <c r="CY2962" s="20"/>
    </row>
    <row r="2963" ht="26.25" customHeight="1" spans="102:103">
      <c r="CX2963" s="20"/>
      <c r="CY2963" s="20"/>
    </row>
    <row r="2964" ht="26.25" customHeight="1" spans="102:103">
      <c r="CX2964" s="20"/>
      <c r="CY2964" s="20"/>
    </row>
    <row r="2965" ht="26.25" customHeight="1" spans="102:103">
      <c r="CX2965" s="20"/>
      <c r="CY2965" s="20"/>
    </row>
    <row r="2966" ht="26.25" customHeight="1" spans="102:103">
      <c r="CX2966" s="20"/>
      <c r="CY2966" s="20"/>
    </row>
    <row r="2967" ht="26.25" customHeight="1" spans="102:103">
      <c r="CX2967" s="20"/>
      <c r="CY2967" s="20"/>
    </row>
    <row r="2968" ht="26.25" customHeight="1" spans="102:103">
      <c r="CX2968" s="20"/>
      <c r="CY2968" s="20"/>
    </row>
    <row r="2969" ht="26.25" customHeight="1" spans="102:103">
      <c r="CX2969" s="20"/>
      <c r="CY2969" s="20"/>
    </row>
    <row r="2970" ht="26.25" customHeight="1" spans="102:103">
      <c r="CX2970" s="20"/>
      <c r="CY2970" s="20"/>
    </row>
    <row r="2971" ht="26.25" customHeight="1" spans="102:103">
      <c r="CX2971" s="20"/>
      <c r="CY2971" s="20"/>
    </row>
    <row r="2972" ht="26.25" customHeight="1" spans="102:103">
      <c r="CX2972" s="20"/>
      <c r="CY2972" s="20"/>
    </row>
    <row r="2973" ht="26.25" customHeight="1" spans="102:103">
      <c r="CX2973" s="20"/>
      <c r="CY2973" s="20"/>
    </row>
    <row r="2974" ht="26.25" customHeight="1" spans="102:103">
      <c r="CX2974" s="20"/>
      <c r="CY2974" s="20"/>
    </row>
    <row r="2975" ht="26.25" customHeight="1" spans="102:103">
      <c r="CX2975" s="20"/>
      <c r="CY2975" s="20"/>
    </row>
    <row r="2976" ht="26.25" customHeight="1" spans="102:103">
      <c r="CX2976" s="20"/>
      <c r="CY2976" s="20"/>
    </row>
    <row r="2977" ht="26.25" customHeight="1" spans="102:103">
      <c r="CX2977" s="20"/>
      <c r="CY2977" s="20"/>
    </row>
    <row r="2978" ht="26.25" customHeight="1" spans="102:103">
      <c r="CX2978" s="20"/>
      <c r="CY2978" s="20"/>
    </row>
    <row r="2979" ht="26.25" customHeight="1" spans="102:103">
      <c r="CX2979" s="20"/>
      <c r="CY2979" s="20"/>
    </row>
    <row r="2980" ht="26.25" customHeight="1" spans="102:103">
      <c r="CX2980" s="20"/>
      <c r="CY2980" s="20"/>
    </row>
    <row r="2981" ht="26.25" customHeight="1" spans="102:103">
      <c r="CX2981" s="20"/>
      <c r="CY2981" s="20"/>
    </row>
    <row r="2982" ht="26.25" customHeight="1" spans="102:103">
      <c r="CX2982" s="20"/>
      <c r="CY2982" s="20"/>
    </row>
    <row r="2983" ht="26.25" customHeight="1" spans="102:103">
      <c r="CX2983" s="20"/>
      <c r="CY2983" s="20"/>
    </row>
    <row r="2984" ht="26.25" customHeight="1" spans="102:103">
      <c r="CX2984" s="20"/>
      <c r="CY2984" s="20"/>
    </row>
    <row r="2985" ht="26.25" customHeight="1" spans="102:103">
      <c r="CX2985" s="20"/>
      <c r="CY2985" s="20"/>
    </row>
    <row r="2986" ht="26.25" customHeight="1" spans="102:103">
      <c r="CX2986" s="20"/>
      <c r="CY2986" s="20"/>
    </row>
    <row r="2987" ht="26.25" customHeight="1" spans="102:103">
      <c r="CX2987" s="20"/>
      <c r="CY2987" s="20"/>
    </row>
    <row r="2988" ht="26.25" customHeight="1" spans="102:103">
      <c r="CX2988" s="20"/>
      <c r="CY2988" s="20"/>
    </row>
    <row r="2989" ht="26.25" customHeight="1" spans="102:103">
      <c r="CX2989" s="20"/>
      <c r="CY2989" s="20"/>
    </row>
    <row r="2990" ht="26.25" customHeight="1" spans="102:103">
      <c r="CX2990" s="20"/>
      <c r="CY2990" s="20"/>
    </row>
    <row r="2991" ht="26.25" customHeight="1" spans="102:103">
      <c r="CX2991" s="20"/>
      <c r="CY2991" s="20"/>
    </row>
    <row r="2992" ht="26.25" customHeight="1" spans="102:103">
      <c r="CX2992" s="20"/>
      <c r="CY2992" s="20"/>
    </row>
    <row r="2993" ht="26.25" customHeight="1" spans="102:103">
      <c r="CX2993" s="20"/>
      <c r="CY2993" s="20"/>
    </row>
    <row r="2994" ht="26.25" customHeight="1" spans="102:103">
      <c r="CX2994" s="20"/>
      <c r="CY2994" s="20"/>
    </row>
    <row r="2995" ht="26.25" customHeight="1" spans="102:103">
      <c r="CX2995" s="20"/>
      <c r="CY2995" s="20"/>
    </row>
    <row r="2996" ht="26.25" customHeight="1" spans="102:103">
      <c r="CX2996" s="20"/>
      <c r="CY2996" s="20"/>
    </row>
    <row r="2997" ht="26.25" customHeight="1" spans="102:103">
      <c r="CX2997" s="20"/>
      <c r="CY2997" s="20"/>
    </row>
    <row r="2998" ht="26.25" customHeight="1" spans="102:103">
      <c r="CX2998" s="20"/>
      <c r="CY2998" s="20"/>
    </row>
    <row r="2999" ht="26.25" customHeight="1" spans="102:103">
      <c r="CX2999" s="20"/>
      <c r="CY2999" s="20"/>
    </row>
    <row r="3000" ht="26.25" customHeight="1" spans="102:103">
      <c r="CX3000" s="20"/>
      <c r="CY3000" s="20"/>
    </row>
    <row r="3001" ht="26.25" customHeight="1" spans="102:103">
      <c r="CX3001" s="20"/>
      <c r="CY3001" s="20"/>
    </row>
    <row r="3002" ht="26.25" customHeight="1" spans="102:103">
      <c r="CX3002" s="20"/>
      <c r="CY3002" s="20"/>
    </row>
    <row r="3003" ht="26.25" customHeight="1" spans="102:103">
      <c r="CX3003" s="20"/>
      <c r="CY3003" s="20"/>
    </row>
    <row r="3004" ht="26.25" customHeight="1" spans="102:103">
      <c r="CX3004" s="20"/>
      <c r="CY3004" s="20"/>
    </row>
    <row r="3005" ht="26.25" customHeight="1" spans="102:103">
      <c r="CX3005" s="20"/>
      <c r="CY3005" s="20"/>
    </row>
    <row r="3006" ht="26.25" customHeight="1" spans="102:103">
      <c r="CX3006" s="20"/>
      <c r="CY3006" s="20"/>
    </row>
    <row r="3007" ht="26.25" customHeight="1" spans="102:103">
      <c r="CX3007" s="20"/>
      <c r="CY3007" s="20"/>
    </row>
    <row r="3008" ht="26.25" customHeight="1" spans="102:103">
      <c r="CX3008" s="20"/>
      <c r="CY3008" s="20"/>
    </row>
    <row r="3009" ht="26.25" customHeight="1" spans="102:103">
      <c r="CX3009" s="20"/>
      <c r="CY3009" s="20"/>
    </row>
    <row r="3010" ht="26.25" customHeight="1" spans="102:103">
      <c r="CX3010" s="20"/>
      <c r="CY3010" s="20"/>
    </row>
    <row r="3011" ht="26.25" customHeight="1" spans="102:103">
      <c r="CX3011" s="20"/>
      <c r="CY3011" s="20"/>
    </row>
    <row r="3012" ht="26.25" customHeight="1" spans="102:103">
      <c r="CX3012" s="20"/>
      <c r="CY3012" s="20"/>
    </row>
    <row r="3013" ht="26.25" customHeight="1" spans="102:103">
      <c r="CX3013" s="20"/>
      <c r="CY3013" s="20"/>
    </row>
    <row r="3014" ht="26.25" customHeight="1" spans="102:103">
      <c r="CX3014" s="20"/>
      <c r="CY3014" s="20"/>
    </row>
    <row r="3015" ht="26.25" customHeight="1" spans="102:103">
      <c r="CX3015" s="20"/>
      <c r="CY3015" s="20"/>
    </row>
    <row r="3016" ht="26.25" customHeight="1" spans="102:103">
      <c r="CX3016" s="20"/>
      <c r="CY3016" s="20"/>
    </row>
    <row r="3017" ht="26.25" customHeight="1" spans="102:103">
      <c r="CX3017" s="20"/>
      <c r="CY3017" s="20"/>
    </row>
    <row r="3018" ht="26.25" customHeight="1" spans="102:103">
      <c r="CX3018" s="20"/>
      <c r="CY3018" s="20"/>
    </row>
    <row r="3019" ht="26.25" customHeight="1" spans="102:103">
      <c r="CX3019" s="20"/>
      <c r="CY3019" s="20"/>
    </row>
    <row r="3020" ht="26.25" customHeight="1" spans="102:103">
      <c r="CX3020" s="20"/>
      <c r="CY3020" s="20"/>
    </row>
    <row r="3021" ht="26.25" customHeight="1" spans="102:103">
      <c r="CX3021" s="20"/>
      <c r="CY3021" s="20"/>
    </row>
    <row r="3022" ht="26.25" customHeight="1" spans="102:103">
      <c r="CX3022" s="20"/>
      <c r="CY3022" s="20"/>
    </row>
    <row r="3023" ht="26.25" customHeight="1" spans="102:103">
      <c r="CX3023" s="20"/>
      <c r="CY3023" s="20"/>
    </row>
    <row r="3024" ht="26.25" customHeight="1" spans="102:103">
      <c r="CX3024" s="20"/>
      <c r="CY3024" s="20"/>
    </row>
    <row r="3025" ht="26.25" customHeight="1" spans="102:103">
      <c r="CX3025" s="20"/>
      <c r="CY3025" s="20"/>
    </row>
    <row r="3026" ht="26.25" customHeight="1" spans="102:103">
      <c r="CX3026" s="20"/>
      <c r="CY3026" s="20"/>
    </row>
    <row r="3027" ht="26.25" customHeight="1" spans="102:103">
      <c r="CX3027" s="20"/>
      <c r="CY3027" s="20"/>
    </row>
    <row r="3028" ht="26.25" customHeight="1" spans="102:103">
      <c r="CX3028" s="20"/>
      <c r="CY3028" s="20"/>
    </row>
    <row r="3029" ht="26.25" customHeight="1" spans="102:103">
      <c r="CX3029" s="20"/>
      <c r="CY3029" s="20"/>
    </row>
    <row r="3030" ht="26.25" customHeight="1" spans="102:103">
      <c r="CX3030" s="20"/>
      <c r="CY3030" s="20"/>
    </row>
    <row r="3031" ht="26.25" customHeight="1" spans="102:103">
      <c r="CX3031" s="20"/>
      <c r="CY3031" s="20"/>
    </row>
    <row r="3032" ht="26.25" customHeight="1" spans="102:103">
      <c r="CX3032" s="20"/>
      <c r="CY3032" s="20"/>
    </row>
    <row r="3033" ht="26.25" customHeight="1" spans="102:103">
      <c r="CX3033" s="20"/>
      <c r="CY3033" s="20"/>
    </row>
    <row r="3034" ht="26.25" customHeight="1" spans="102:103">
      <c r="CX3034" s="20"/>
      <c r="CY3034" s="20"/>
    </row>
    <row r="3035" ht="26.25" customHeight="1" spans="102:103">
      <c r="CX3035" s="20"/>
      <c r="CY3035" s="20"/>
    </row>
    <row r="3036" ht="26.25" customHeight="1" spans="102:103">
      <c r="CX3036" s="20"/>
      <c r="CY3036" s="20"/>
    </row>
    <row r="3037" ht="26.25" customHeight="1" spans="102:103">
      <c r="CX3037" s="20"/>
      <c r="CY3037" s="20"/>
    </row>
    <row r="3038" ht="26.25" customHeight="1" spans="102:103">
      <c r="CX3038" s="20"/>
      <c r="CY3038" s="20"/>
    </row>
    <row r="3039" ht="26.25" customHeight="1" spans="102:103">
      <c r="CX3039" s="20"/>
      <c r="CY3039" s="20"/>
    </row>
    <row r="3040" ht="26.25" customHeight="1" spans="102:103">
      <c r="CX3040" s="20"/>
      <c r="CY3040" s="20"/>
    </row>
    <row r="3041" ht="26.25" customHeight="1" spans="102:103">
      <c r="CX3041" s="20"/>
      <c r="CY3041" s="20"/>
    </row>
    <row r="3042" ht="26.25" customHeight="1" spans="102:103">
      <c r="CX3042" s="20"/>
      <c r="CY3042" s="20"/>
    </row>
    <row r="3043" ht="26.25" customHeight="1" spans="102:103">
      <c r="CX3043" s="20"/>
      <c r="CY3043" s="20"/>
    </row>
    <row r="3044" ht="26.25" customHeight="1" spans="102:103">
      <c r="CX3044" s="20"/>
      <c r="CY3044" s="20"/>
    </row>
    <row r="3045" ht="26.25" customHeight="1" spans="102:103">
      <c r="CX3045" s="20"/>
      <c r="CY3045" s="20"/>
    </row>
    <row r="3046" ht="26.25" customHeight="1" spans="102:103">
      <c r="CX3046" s="20"/>
      <c r="CY3046" s="20"/>
    </row>
    <row r="3047" ht="26.25" customHeight="1" spans="102:103">
      <c r="CX3047" s="20"/>
      <c r="CY3047" s="20"/>
    </row>
    <row r="3048" ht="26.25" customHeight="1" spans="102:103">
      <c r="CX3048" s="20"/>
      <c r="CY3048" s="20"/>
    </row>
    <row r="3049" ht="26.25" customHeight="1" spans="102:103">
      <c r="CX3049" s="20"/>
      <c r="CY3049" s="20"/>
    </row>
    <row r="3050" ht="26.25" customHeight="1" spans="102:103">
      <c r="CX3050" s="20"/>
      <c r="CY3050" s="20"/>
    </row>
    <row r="3051" ht="26.25" customHeight="1" spans="102:103">
      <c r="CX3051" s="20"/>
      <c r="CY3051" s="20"/>
    </row>
    <row r="3052" ht="26.25" customHeight="1" spans="102:103">
      <c r="CX3052" s="20"/>
      <c r="CY3052" s="20"/>
    </row>
    <row r="3053" ht="26.25" customHeight="1" spans="102:103">
      <c r="CX3053" s="20"/>
      <c r="CY3053" s="20"/>
    </row>
    <row r="3054" ht="26.25" customHeight="1" spans="102:103">
      <c r="CX3054" s="20"/>
      <c r="CY3054" s="20"/>
    </row>
    <row r="3055" ht="26.25" customHeight="1" spans="102:103">
      <c r="CX3055" s="20"/>
      <c r="CY3055" s="20"/>
    </row>
    <row r="3056" ht="26.25" customHeight="1" spans="102:103">
      <c r="CX3056" s="20"/>
      <c r="CY3056" s="20"/>
    </row>
    <row r="3057" ht="26.25" customHeight="1" spans="102:103">
      <c r="CX3057" s="20"/>
      <c r="CY3057" s="20"/>
    </row>
    <row r="3058" ht="26.25" customHeight="1" spans="102:103">
      <c r="CX3058" s="20"/>
      <c r="CY3058" s="20"/>
    </row>
    <row r="3059" ht="26.25" customHeight="1" spans="102:103">
      <c r="CX3059" s="20"/>
      <c r="CY3059" s="20"/>
    </row>
    <row r="3060" ht="26.25" customHeight="1" spans="102:103">
      <c r="CX3060" s="20"/>
      <c r="CY3060" s="20"/>
    </row>
    <row r="3061" ht="26.25" customHeight="1" spans="102:103">
      <c r="CX3061" s="20"/>
      <c r="CY3061" s="20"/>
    </row>
    <row r="3062" ht="26.25" customHeight="1" spans="102:103">
      <c r="CX3062" s="20"/>
      <c r="CY3062" s="20"/>
    </row>
    <row r="3063" ht="26.25" customHeight="1" spans="102:103">
      <c r="CX3063" s="20"/>
      <c r="CY3063" s="20"/>
    </row>
    <row r="3064" ht="26.25" customHeight="1" spans="102:103">
      <c r="CX3064" s="20"/>
      <c r="CY3064" s="20"/>
    </row>
    <row r="3065" ht="26.25" customHeight="1" spans="102:103">
      <c r="CX3065" s="20"/>
      <c r="CY3065" s="20"/>
    </row>
    <row r="3066" ht="26.25" customHeight="1" spans="102:103">
      <c r="CX3066" s="20"/>
      <c r="CY3066" s="20"/>
    </row>
    <row r="3067" ht="26.25" customHeight="1" spans="102:103">
      <c r="CX3067" s="20"/>
      <c r="CY3067" s="20"/>
    </row>
    <row r="3068" ht="26.25" customHeight="1" spans="102:103">
      <c r="CX3068" s="20"/>
      <c r="CY3068" s="20"/>
    </row>
    <row r="3069" ht="26.25" customHeight="1" spans="102:103">
      <c r="CX3069" s="20"/>
      <c r="CY3069" s="20"/>
    </row>
    <row r="3070" ht="26.25" customHeight="1" spans="102:103">
      <c r="CX3070" s="20"/>
      <c r="CY3070" s="20"/>
    </row>
    <row r="3071" ht="26.25" customHeight="1" spans="102:103">
      <c r="CX3071" s="20"/>
      <c r="CY3071" s="20"/>
    </row>
    <row r="3072" ht="26.25" customHeight="1" spans="102:103">
      <c r="CX3072" s="20"/>
      <c r="CY3072" s="20"/>
    </row>
    <row r="3073" ht="26.25" customHeight="1" spans="102:103">
      <c r="CX3073" s="20"/>
      <c r="CY3073" s="20"/>
    </row>
    <row r="3074" ht="26.25" customHeight="1" spans="102:103">
      <c r="CX3074" s="20"/>
      <c r="CY3074" s="20"/>
    </row>
    <row r="3075" ht="26.25" customHeight="1" spans="102:103">
      <c r="CX3075" s="20"/>
      <c r="CY3075" s="20"/>
    </row>
    <row r="3076" ht="26.25" customHeight="1" spans="102:103">
      <c r="CX3076" s="20"/>
      <c r="CY3076" s="20"/>
    </row>
    <row r="3077" ht="26.25" customHeight="1" spans="102:103">
      <c r="CX3077" s="20"/>
      <c r="CY3077" s="20"/>
    </row>
    <row r="3078" ht="26.25" customHeight="1" spans="102:103">
      <c r="CX3078" s="20"/>
      <c r="CY3078" s="20"/>
    </row>
    <row r="3079" ht="26.25" customHeight="1" spans="102:103">
      <c r="CX3079" s="20"/>
      <c r="CY3079" s="20"/>
    </row>
    <row r="3080" ht="26.25" customHeight="1" spans="102:103">
      <c r="CX3080" s="20"/>
      <c r="CY3080" s="20"/>
    </row>
    <row r="3081" ht="26.25" customHeight="1" spans="102:103">
      <c r="CX3081" s="20"/>
      <c r="CY3081" s="20"/>
    </row>
    <row r="3082" ht="26.25" customHeight="1" spans="102:103">
      <c r="CX3082" s="20"/>
      <c r="CY3082" s="20"/>
    </row>
    <row r="3083" ht="26.25" customHeight="1" spans="102:103">
      <c r="CX3083" s="20"/>
      <c r="CY3083" s="20"/>
    </row>
    <row r="3084" ht="26.25" customHeight="1" spans="102:103">
      <c r="CX3084" s="20"/>
      <c r="CY3084" s="20"/>
    </row>
    <row r="3085" ht="26.25" customHeight="1" spans="102:103">
      <c r="CX3085" s="20"/>
      <c r="CY3085" s="20"/>
    </row>
    <row r="3086" ht="26.25" customHeight="1" spans="102:103">
      <c r="CX3086" s="20"/>
      <c r="CY3086" s="20"/>
    </row>
    <row r="3087" ht="26.25" customHeight="1" spans="102:103">
      <c r="CX3087" s="20"/>
      <c r="CY3087" s="20"/>
    </row>
    <row r="3088" ht="26.25" customHeight="1" spans="102:103">
      <c r="CX3088" s="20"/>
      <c r="CY3088" s="20"/>
    </row>
    <row r="3089" ht="26.25" customHeight="1" spans="102:103">
      <c r="CX3089" s="20"/>
      <c r="CY3089" s="20"/>
    </row>
    <row r="3090" ht="26.25" customHeight="1" spans="102:103">
      <c r="CX3090" s="20"/>
      <c r="CY3090" s="20"/>
    </row>
    <row r="3091" ht="26.25" customHeight="1" spans="102:103">
      <c r="CX3091" s="20"/>
      <c r="CY3091" s="20"/>
    </row>
    <row r="3092" ht="26.25" customHeight="1" spans="102:103">
      <c r="CX3092" s="20"/>
      <c r="CY3092" s="20"/>
    </row>
    <row r="3093" ht="26.25" customHeight="1" spans="102:103">
      <c r="CX3093" s="20"/>
      <c r="CY3093" s="20"/>
    </row>
    <row r="3094" ht="26.25" customHeight="1" spans="102:103">
      <c r="CX3094" s="20"/>
      <c r="CY3094" s="20"/>
    </row>
    <row r="3095" ht="26.25" customHeight="1" spans="102:103">
      <c r="CX3095" s="20"/>
      <c r="CY3095" s="20"/>
    </row>
    <row r="3096" ht="26.25" customHeight="1" spans="102:103">
      <c r="CX3096" s="20"/>
      <c r="CY3096" s="20"/>
    </row>
    <row r="3097" ht="26.25" customHeight="1" spans="102:103">
      <c r="CX3097" s="20"/>
      <c r="CY3097" s="20"/>
    </row>
    <row r="3098" ht="26.25" customHeight="1" spans="102:103">
      <c r="CX3098" s="20"/>
      <c r="CY3098" s="20"/>
    </row>
    <row r="3099" ht="26.25" customHeight="1" spans="102:103">
      <c r="CX3099" s="20"/>
      <c r="CY3099" s="20"/>
    </row>
    <row r="3100" ht="26.25" customHeight="1" spans="102:103">
      <c r="CX3100" s="20"/>
      <c r="CY3100" s="20"/>
    </row>
    <row r="3101" ht="26.25" customHeight="1" spans="102:103">
      <c r="CX3101" s="20"/>
      <c r="CY3101" s="20"/>
    </row>
    <row r="3102" ht="26.25" customHeight="1" spans="102:103">
      <c r="CX3102" s="20"/>
      <c r="CY3102" s="20"/>
    </row>
    <row r="3103" ht="26.25" customHeight="1" spans="102:103">
      <c r="CX3103" s="20"/>
      <c r="CY3103" s="20"/>
    </row>
    <row r="3104" ht="26.25" customHeight="1" spans="102:103">
      <c r="CX3104" s="20"/>
      <c r="CY3104" s="20"/>
    </row>
    <row r="3105" ht="26.25" customHeight="1" spans="102:103">
      <c r="CX3105" s="20"/>
      <c r="CY3105" s="20"/>
    </row>
    <row r="3106" ht="26.25" customHeight="1" spans="102:103">
      <c r="CX3106" s="20"/>
      <c r="CY3106" s="20"/>
    </row>
    <row r="3107" ht="26.25" customHeight="1" spans="102:103">
      <c r="CX3107" s="20"/>
      <c r="CY3107" s="20"/>
    </row>
    <row r="3108" ht="26.25" customHeight="1" spans="102:103">
      <c r="CX3108" s="20"/>
      <c r="CY3108" s="20"/>
    </row>
    <row r="3109" ht="26.25" customHeight="1" spans="102:103">
      <c r="CX3109" s="20"/>
      <c r="CY3109" s="20"/>
    </row>
    <row r="3110" ht="26.25" customHeight="1" spans="102:103">
      <c r="CX3110" s="20"/>
      <c r="CY3110" s="20"/>
    </row>
    <row r="3111" ht="26.25" customHeight="1" spans="102:103">
      <c r="CX3111" s="20"/>
      <c r="CY3111" s="20"/>
    </row>
    <row r="3112" ht="26.25" customHeight="1" spans="102:103">
      <c r="CX3112" s="20"/>
      <c r="CY3112" s="20"/>
    </row>
    <row r="3113" ht="26.25" customHeight="1" spans="102:103">
      <c r="CX3113" s="20"/>
      <c r="CY3113" s="20"/>
    </row>
    <row r="3114" ht="26.25" customHeight="1" spans="102:103">
      <c r="CX3114" s="20"/>
      <c r="CY3114" s="20"/>
    </row>
    <row r="3115" ht="26.25" customHeight="1" spans="102:103">
      <c r="CX3115" s="20"/>
      <c r="CY3115" s="20"/>
    </row>
    <row r="3116" ht="26.25" customHeight="1" spans="102:103">
      <c r="CX3116" s="20"/>
      <c r="CY3116" s="20"/>
    </row>
    <row r="3117" ht="26.25" customHeight="1" spans="102:103">
      <c r="CX3117" s="20"/>
      <c r="CY3117" s="20"/>
    </row>
    <row r="3118" ht="26.25" customHeight="1" spans="102:103">
      <c r="CX3118" s="20"/>
      <c r="CY3118" s="20"/>
    </row>
    <row r="3119" ht="26.25" customHeight="1" spans="102:103">
      <c r="CX3119" s="20"/>
      <c r="CY3119" s="20"/>
    </row>
    <row r="3120" ht="26.25" customHeight="1" spans="102:103">
      <c r="CX3120" s="20"/>
      <c r="CY3120" s="20"/>
    </row>
    <row r="3121" ht="26.25" customHeight="1" spans="102:103">
      <c r="CX3121" s="20"/>
      <c r="CY3121" s="20"/>
    </row>
    <row r="3122" ht="26.25" customHeight="1" spans="102:103">
      <c r="CX3122" s="20"/>
      <c r="CY3122" s="20"/>
    </row>
    <row r="3123" ht="26.25" customHeight="1" spans="102:103">
      <c r="CX3123" s="20"/>
      <c r="CY3123" s="20"/>
    </row>
    <row r="3124" ht="26.25" customHeight="1" spans="102:103">
      <c r="CX3124" s="20"/>
      <c r="CY3124" s="20"/>
    </row>
    <row r="3125" ht="26.25" customHeight="1" spans="102:103">
      <c r="CX3125" s="20"/>
      <c r="CY3125" s="20"/>
    </row>
    <row r="3126" ht="26.25" customHeight="1" spans="102:103">
      <c r="CX3126" s="20"/>
      <c r="CY3126" s="20"/>
    </row>
    <row r="3127" ht="26.25" customHeight="1" spans="102:103">
      <c r="CX3127" s="20"/>
      <c r="CY3127" s="20"/>
    </row>
    <row r="3128" ht="26.25" customHeight="1" spans="102:103">
      <c r="CX3128" s="20"/>
      <c r="CY3128" s="20"/>
    </row>
    <row r="3129" ht="26.25" customHeight="1" spans="102:103">
      <c r="CX3129" s="20"/>
      <c r="CY3129" s="20"/>
    </row>
    <row r="3130" ht="26.25" customHeight="1" spans="102:103">
      <c r="CX3130" s="20"/>
      <c r="CY3130" s="20"/>
    </row>
    <row r="3131" ht="26.25" customHeight="1" spans="102:103">
      <c r="CX3131" s="20"/>
      <c r="CY3131" s="20"/>
    </row>
    <row r="3132" ht="26.25" customHeight="1" spans="102:103">
      <c r="CX3132" s="20"/>
      <c r="CY3132" s="20"/>
    </row>
    <row r="3133" ht="26.25" customHeight="1" spans="102:103">
      <c r="CX3133" s="20"/>
      <c r="CY3133" s="20"/>
    </row>
    <row r="3134" ht="26.25" customHeight="1" spans="102:103">
      <c r="CX3134" s="20"/>
      <c r="CY3134" s="20"/>
    </row>
    <row r="3135" ht="26.25" customHeight="1" spans="102:103">
      <c r="CX3135" s="20"/>
      <c r="CY3135" s="20"/>
    </row>
    <row r="3136" ht="26.25" customHeight="1" spans="102:103">
      <c r="CX3136" s="20"/>
      <c r="CY3136" s="20"/>
    </row>
    <row r="3137" ht="26.25" customHeight="1" spans="102:103">
      <c r="CX3137" s="20"/>
      <c r="CY3137" s="20"/>
    </row>
    <row r="3138" ht="26.25" customHeight="1" spans="102:103">
      <c r="CX3138" s="20"/>
      <c r="CY3138" s="20"/>
    </row>
    <row r="3139" ht="26.25" customHeight="1" spans="102:103">
      <c r="CX3139" s="20"/>
      <c r="CY3139" s="20"/>
    </row>
    <row r="3140" ht="26.25" customHeight="1" spans="102:103">
      <c r="CX3140" s="20"/>
      <c r="CY3140" s="20"/>
    </row>
    <row r="3141" ht="26.25" customHeight="1" spans="102:103">
      <c r="CX3141" s="20"/>
      <c r="CY3141" s="20"/>
    </row>
    <row r="3142" ht="26.25" customHeight="1" spans="102:103">
      <c r="CX3142" s="20"/>
      <c r="CY3142" s="20"/>
    </row>
    <row r="3143" ht="26.25" customHeight="1" spans="102:103">
      <c r="CX3143" s="20"/>
      <c r="CY3143" s="20"/>
    </row>
    <row r="3144" ht="26.25" customHeight="1" spans="102:103">
      <c r="CX3144" s="20"/>
      <c r="CY3144" s="20"/>
    </row>
    <row r="3145" ht="26.25" customHeight="1" spans="102:103">
      <c r="CX3145" s="20"/>
      <c r="CY3145" s="20"/>
    </row>
    <row r="3146" ht="26.25" customHeight="1" spans="102:103">
      <c r="CX3146" s="20"/>
      <c r="CY3146" s="20"/>
    </row>
    <row r="3147" ht="26.25" customHeight="1" spans="102:103">
      <c r="CX3147" s="20"/>
      <c r="CY3147" s="20"/>
    </row>
    <row r="3148" ht="26.25" customHeight="1" spans="102:103">
      <c r="CX3148" s="20"/>
      <c r="CY3148" s="20"/>
    </row>
    <row r="3149" ht="26.25" customHeight="1" spans="102:103">
      <c r="CX3149" s="20"/>
      <c r="CY3149" s="20"/>
    </row>
    <row r="3150" ht="26.25" customHeight="1" spans="102:103">
      <c r="CX3150" s="20"/>
      <c r="CY3150" s="20"/>
    </row>
    <row r="3151" ht="26.25" customHeight="1" spans="102:103">
      <c r="CX3151" s="20"/>
      <c r="CY3151" s="20"/>
    </row>
    <row r="3152" ht="26.25" customHeight="1" spans="102:103">
      <c r="CX3152" s="20"/>
      <c r="CY3152" s="20"/>
    </row>
    <row r="3153" ht="26.25" customHeight="1" spans="102:103">
      <c r="CX3153" s="20"/>
      <c r="CY3153" s="20"/>
    </row>
    <row r="3154" ht="26.25" customHeight="1" spans="102:103">
      <c r="CX3154" s="20"/>
      <c r="CY3154" s="20"/>
    </row>
    <row r="3155" ht="26.25" customHeight="1" spans="102:103">
      <c r="CX3155" s="20"/>
      <c r="CY3155" s="20"/>
    </row>
    <row r="3156" ht="26.25" customHeight="1" spans="102:103">
      <c r="CX3156" s="20"/>
      <c r="CY3156" s="20"/>
    </row>
    <row r="3157" ht="26.25" customHeight="1" spans="102:103">
      <c r="CX3157" s="20"/>
      <c r="CY3157" s="20"/>
    </row>
    <row r="3158" ht="26.25" customHeight="1" spans="102:103">
      <c r="CX3158" s="20"/>
      <c r="CY3158" s="20"/>
    </row>
    <row r="3159" ht="26.25" customHeight="1" spans="102:103">
      <c r="CX3159" s="20"/>
      <c r="CY3159" s="20"/>
    </row>
    <row r="3160" ht="26.25" customHeight="1" spans="102:103">
      <c r="CX3160" s="20"/>
      <c r="CY3160" s="20"/>
    </row>
    <row r="3161" ht="26.25" customHeight="1" spans="102:103">
      <c r="CX3161" s="20"/>
      <c r="CY3161" s="20"/>
    </row>
    <row r="3162" ht="26.25" customHeight="1" spans="102:103">
      <c r="CX3162" s="20"/>
      <c r="CY3162" s="20"/>
    </row>
    <row r="3163" ht="26.25" customHeight="1" spans="102:103">
      <c r="CX3163" s="20"/>
      <c r="CY3163" s="20"/>
    </row>
    <row r="3164" ht="26.25" customHeight="1" spans="102:103">
      <c r="CX3164" s="20"/>
      <c r="CY3164" s="20"/>
    </row>
    <row r="3165" ht="26.25" customHeight="1" spans="102:103">
      <c r="CX3165" s="20"/>
      <c r="CY3165" s="20"/>
    </row>
    <row r="3166" ht="26.25" customHeight="1" spans="102:103">
      <c r="CX3166" s="20"/>
      <c r="CY3166" s="20"/>
    </row>
    <row r="3167" ht="26.25" customHeight="1" spans="102:103">
      <c r="CX3167" s="20"/>
      <c r="CY3167" s="20"/>
    </row>
    <row r="3168" ht="26.25" customHeight="1" spans="102:103">
      <c r="CX3168" s="20"/>
      <c r="CY3168" s="20"/>
    </row>
    <row r="3169" ht="26.25" customHeight="1" spans="102:103">
      <c r="CX3169" s="20"/>
      <c r="CY3169" s="20"/>
    </row>
    <row r="3170" ht="26.25" customHeight="1" spans="102:103">
      <c r="CX3170" s="20"/>
      <c r="CY3170" s="20"/>
    </row>
    <row r="3171" ht="26.25" customHeight="1" spans="102:103">
      <c r="CX3171" s="20"/>
      <c r="CY3171" s="20"/>
    </row>
    <row r="3172" ht="26.25" customHeight="1" spans="102:103">
      <c r="CX3172" s="20"/>
      <c r="CY3172" s="20"/>
    </row>
    <row r="3173" ht="26.25" customHeight="1" spans="102:103">
      <c r="CX3173" s="20"/>
      <c r="CY3173" s="20"/>
    </row>
    <row r="3174" ht="26.25" customHeight="1" spans="102:103">
      <c r="CX3174" s="20"/>
      <c r="CY3174" s="20"/>
    </row>
    <row r="3175" ht="26.25" customHeight="1" spans="102:103">
      <c r="CX3175" s="20"/>
      <c r="CY3175" s="20"/>
    </row>
    <row r="3176" ht="26.25" customHeight="1" spans="102:103">
      <c r="CX3176" s="20"/>
      <c r="CY3176" s="20"/>
    </row>
    <row r="3177" ht="26.25" customHeight="1" spans="102:103">
      <c r="CX3177" s="20"/>
      <c r="CY3177" s="20"/>
    </row>
    <row r="3178" ht="26.25" customHeight="1" spans="102:103">
      <c r="CX3178" s="20"/>
      <c r="CY3178" s="20"/>
    </row>
    <row r="3179" ht="26.25" customHeight="1" spans="102:103">
      <c r="CX3179" s="20"/>
      <c r="CY3179" s="20"/>
    </row>
    <row r="3180" ht="26.25" customHeight="1" spans="102:103">
      <c r="CX3180" s="20"/>
      <c r="CY3180" s="20"/>
    </row>
    <row r="3181" ht="26.25" customHeight="1" spans="102:103">
      <c r="CX3181" s="20"/>
      <c r="CY3181" s="20"/>
    </row>
    <row r="3182" ht="26.25" customHeight="1" spans="102:103">
      <c r="CX3182" s="20"/>
      <c r="CY3182" s="20"/>
    </row>
    <row r="3183" ht="26.25" customHeight="1" spans="102:103">
      <c r="CX3183" s="20"/>
      <c r="CY3183" s="20"/>
    </row>
    <row r="3184" ht="26.25" customHeight="1" spans="102:103">
      <c r="CX3184" s="20"/>
      <c r="CY3184" s="20"/>
    </row>
    <row r="3185" ht="26.25" customHeight="1" spans="102:103">
      <c r="CX3185" s="20"/>
      <c r="CY3185" s="20"/>
    </row>
    <row r="3186" ht="26.25" customHeight="1" spans="102:103">
      <c r="CX3186" s="20"/>
      <c r="CY3186" s="20"/>
    </row>
    <row r="3187" ht="26.25" customHeight="1" spans="102:103">
      <c r="CX3187" s="20"/>
      <c r="CY3187" s="20"/>
    </row>
    <row r="3188" ht="26.25" customHeight="1" spans="102:103">
      <c r="CX3188" s="20"/>
      <c r="CY3188" s="20"/>
    </row>
    <row r="3189" ht="26.25" customHeight="1" spans="102:103">
      <c r="CX3189" s="20"/>
      <c r="CY3189" s="20"/>
    </row>
    <row r="3190" ht="26.25" customHeight="1" spans="102:103">
      <c r="CX3190" s="20"/>
      <c r="CY3190" s="20"/>
    </row>
    <row r="3191" ht="26.25" customHeight="1" spans="102:103">
      <c r="CX3191" s="20"/>
      <c r="CY3191" s="20"/>
    </row>
    <row r="3192" ht="26.25" customHeight="1" spans="102:103">
      <c r="CX3192" s="20"/>
      <c r="CY3192" s="20"/>
    </row>
    <row r="3193" ht="26.25" customHeight="1" spans="102:103">
      <c r="CX3193" s="20"/>
      <c r="CY3193" s="20"/>
    </row>
    <row r="3194" ht="26.25" customHeight="1" spans="102:103">
      <c r="CX3194" s="20"/>
      <c r="CY3194" s="20"/>
    </row>
    <row r="3195" ht="26.25" customHeight="1" spans="102:103">
      <c r="CX3195" s="20"/>
      <c r="CY3195" s="20"/>
    </row>
    <row r="3196" ht="26.25" customHeight="1" spans="102:103">
      <c r="CX3196" s="20"/>
      <c r="CY3196" s="20"/>
    </row>
    <row r="3197" ht="26.25" customHeight="1" spans="102:103">
      <c r="CX3197" s="20"/>
      <c r="CY3197" s="20"/>
    </row>
    <row r="3198" ht="26.25" customHeight="1" spans="102:103">
      <c r="CX3198" s="20"/>
      <c r="CY3198" s="20"/>
    </row>
    <row r="3199" ht="26.25" customHeight="1" spans="102:103">
      <c r="CX3199" s="20"/>
      <c r="CY3199" s="20"/>
    </row>
    <row r="3200" ht="26.25" customHeight="1" spans="102:103">
      <c r="CX3200" s="20"/>
      <c r="CY3200" s="20"/>
    </row>
    <row r="3201" ht="26.25" customHeight="1" spans="102:103">
      <c r="CX3201" s="20"/>
      <c r="CY3201" s="20"/>
    </row>
    <row r="3202" ht="26.25" customHeight="1" spans="102:103">
      <c r="CX3202" s="20"/>
      <c r="CY3202" s="20"/>
    </row>
    <row r="3203" ht="26.25" customHeight="1" spans="102:103">
      <c r="CX3203" s="20"/>
      <c r="CY3203" s="20"/>
    </row>
    <row r="3204" ht="26.25" customHeight="1" spans="102:103">
      <c r="CX3204" s="20"/>
      <c r="CY3204" s="20"/>
    </row>
    <row r="3205" ht="26.25" customHeight="1" spans="102:103">
      <c r="CX3205" s="20"/>
      <c r="CY3205" s="20"/>
    </row>
    <row r="3206" ht="26.25" customHeight="1" spans="102:103">
      <c r="CX3206" s="20"/>
      <c r="CY3206" s="20"/>
    </row>
    <row r="3207" ht="26.25" customHeight="1" spans="102:103">
      <c r="CX3207" s="20"/>
      <c r="CY3207" s="20"/>
    </row>
    <row r="3208" ht="26.25" customHeight="1" spans="102:103">
      <c r="CX3208" s="20"/>
      <c r="CY3208" s="20"/>
    </row>
    <row r="3209" ht="26.25" customHeight="1" spans="102:103">
      <c r="CX3209" s="20"/>
      <c r="CY3209" s="20"/>
    </row>
    <row r="3210" ht="26.25" customHeight="1" spans="102:103">
      <c r="CX3210" s="20"/>
      <c r="CY3210" s="20"/>
    </row>
    <row r="3211" ht="26.25" customHeight="1" spans="102:103">
      <c r="CX3211" s="20"/>
      <c r="CY3211" s="20"/>
    </row>
    <row r="3212" ht="26.25" customHeight="1" spans="102:103">
      <c r="CX3212" s="20"/>
      <c r="CY3212" s="20"/>
    </row>
    <row r="3213" ht="26.25" customHeight="1" spans="102:103">
      <c r="CX3213" s="20"/>
      <c r="CY3213" s="20"/>
    </row>
    <row r="3214" ht="26.25" customHeight="1" spans="102:103">
      <c r="CX3214" s="20"/>
      <c r="CY3214" s="20"/>
    </row>
    <row r="3215" ht="26.25" customHeight="1" spans="102:103">
      <c r="CX3215" s="20"/>
      <c r="CY3215" s="20"/>
    </row>
    <row r="3216" ht="26.25" customHeight="1" spans="102:103">
      <c r="CX3216" s="20"/>
      <c r="CY3216" s="20"/>
    </row>
    <row r="3217" ht="26.25" customHeight="1" spans="102:103">
      <c r="CX3217" s="20"/>
      <c r="CY3217" s="20"/>
    </row>
    <row r="3218" ht="26.25" customHeight="1" spans="102:103">
      <c r="CX3218" s="20"/>
      <c r="CY3218" s="20"/>
    </row>
    <row r="3219" ht="26.25" customHeight="1" spans="102:103">
      <c r="CX3219" s="20"/>
      <c r="CY3219" s="20"/>
    </row>
    <row r="3220" ht="26.25" customHeight="1" spans="102:103">
      <c r="CX3220" s="20"/>
      <c r="CY3220" s="20"/>
    </row>
    <row r="3221" ht="26.25" customHeight="1" spans="102:103">
      <c r="CX3221" s="20"/>
      <c r="CY3221" s="20"/>
    </row>
    <row r="3222" ht="26.25" customHeight="1" spans="102:103">
      <c r="CX3222" s="20"/>
      <c r="CY3222" s="20"/>
    </row>
    <row r="3223" ht="26.25" customHeight="1" spans="102:103">
      <c r="CX3223" s="20"/>
      <c r="CY3223" s="20"/>
    </row>
    <row r="3224" ht="26.25" customHeight="1" spans="102:103">
      <c r="CX3224" s="20"/>
      <c r="CY3224" s="20"/>
    </row>
    <row r="3225" ht="26.25" customHeight="1" spans="102:103">
      <c r="CX3225" s="20"/>
      <c r="CY3225" s="20"/>
    </row>
    <row r="3226" ht="26.25" customHeight="1" spans="102:103">
      <c r="CX3226" s="20"/>
      <c r="CY3226" s="20"/>
    </row>
    <row r="3227" ht="26.25" customHeight="1" spans="102:103">
      <c r="CX3227" s="20"/>
      <c r="CY3227" s="20"/>
    </row>
    <row r="3228" ht="26.25" customHeight="1" spans="102:103">
      <c r="CX3228" s="20"/>
      <c r="CY3228" s="20"/>
    </row>
    <row r="3229" ht="26.25" customHeight="1" spans="102:103">
      <c r="CX3229" s="20"/>
      <c r="CY3229" s="20"/>
    </row>
    <row r="3230" ht="26.25" customHeight="1" spans="102:103">
      <c r="CX3230" s="20"/>
      <c r="CY3230" s="20"/>
    </row>
    <row r="3231" ht="26.25" customHeight="1" spans="102:103">
      <c r="CX3231" s="20"/>
      <c r="CY3231" s="20"/>
    </row>
    <row r="3232" ht="26.25" customHeight="1" spans="102:103">
      <c r="CX3232" s="20"/>
      <c r="CY3232" s="20"/>
    </row>
    <row r="3233" ht="26.25" customHeight="1" spans="102:103">
      <c r="CX3233" s="20"/>
      <c r="CY3233" s="20"/>
    </row>
    <row r="3234" ht="26.25" customHeight="1" spans="102:103">
      <c r="CX3234" s="20"/>
      <c r="CY3234" s="20"/>
    </row>
    <row r="3235" ht="26.25" customHeight="1" spans="102:103">
      <c r="CX3235" s="20"/>
      <c r="CY3235" s="20"/>
    </row>
    <row r="3236" ht="26.25" customHeight="1" spans="102:103">
      <c r="CX3236" s="20"/>
      <c r="CY3236" s="20"/>
    </row>
    <row r="3237" ht="26.25" customHeight="1" spans="102:103">
      <c r="CX3237" s="20"/>
      <c r="CY3237" s="20"/>
    </row>
    <row r="3238" ht="26.25" customHeight="1" spans="102:103">
      <c r="CX3238" s="20"/>
      <c r="CY3238" s="20"/>
    </row>
    <row r="3239" ht="26.25" customHeight="1" spans="102:103">
      <c r="CX3239" s="20"/>
      <c r="CY3239" s="20"/>
    </row>
    <row r="3240" ht="26.25" customHeight="1" spans="102:103">
      <c r="CX3240" s="20"/>
      <c r="CY3240" s="20"/>
    </row>
    <row r="3241" ht="26.25" customHeight="1" spans="102:103">
      <c r="CX3241" s="20"/>
      <c r="CY3241" s="20"/>
    </row>
    <row r="3242" ht="26.25" customHeight="1" spans="102:103">
      <c r="CX3242" s="20"/>
      <c r="CY3242" s="20"/>
    </row>
    <row r="3243" ht="26.25" customHeight="1" spans="102:103">
      <c r="CX3243" s="20"/>
      <c r="CY3243" s="20"/>
    </row>
    <row r="3244" ht="26.25" customHeight="1" spans="102:103">
      <c r="CX3244" s="20"/>
      <c r="CY3244" s="20"/>
    </row>
    <row r="3245" ht="26.25" customHeight="1" spans="102:103">
      <c r="CX3245" s="20"/>
      <c r="CY3245" s="20"/>
    </row>
    <row r="3246" ht="26.25" customHeight="1" spans="102:103">
      <c r="CX3246" s="20"/>
      <c r="CY3246" s="20"/>
    </row>
    <row r="3247" ht="26.25" customHeight="1" spans="102:103">
      <c r="CX3247" s="20"/>
      <c r="CY3247" s="20"/>
    </row>
    <row r="3248" ht="26.25" customHeight="1" spans="102:103">
      <c r="CX3248" s="20"/>
      <c r="CY3248" s="20"/>
    </row>
    <row r="3249" ht="26.25" customHeight="1" spans="102:103">
      <c r="CX3249" s="20"/>
      <c r="CY3249" s="20"/>
    </row>
    <row r="3250" ht="26.25" customHeight="1" spans="102:103">
      <c r="CX3250" s="20"/>
      <c r="CY3250" s="20"/>
    </row>
    <row r="3251" ht="26.25" customHeight="1" spans="102:103">
      <c r="CX3251" s="20"/>
      <c r="CY3251" s="20"/>
    </row>
    <row r="3252" ht="26.25" customHeight="1" spans="102:103">
      <c r="CX3252" s="20"/>
      <c r="CY3252" s="20"/>
    </row>
    <row r="3253" ht="26.25" customHeight="1" spans="102:103">
      <c r="CX3253" s="20"/>
      <c r="CY3253" s="20"/>
    </row>
    <row r="3254" ht="26.25" customHeight="1" spans="102:103">
      <c r="CX3254" s="20"/>
      <c r="CY3254" s="20"/>
    </row>
    <row r="3255" ht="26.25" customHeight="1" spans="102:103">
      <c r="CX3255" s="20"/>
      <c r="CY3255" s="20"/>
    </row>
    <row r="3256" ht="26.25" customHeight="1" spans="102:103">
      <c r="CX3256" s="20"/>
      <c r="CY3256" s="20"/>
    </row>
    <row r="3257" ht="26.25" customHeight="1" spans="102:103">
      <c r="CX3257" s="20"/>
      <c r="CY3257" s="20"/>
    </row>
    <row r="3258" ht="26.25" customHeight="1" spans="102:103">
      <c r="CX3258" s="20"/>
      <c r="CY3258" s="20"/>
    </row>
    <row r="3259" ht="26.25" customHeight="1" spans="102:103">
      <c r="CX3259" s="20"/>
      <c r="CY3259" s="20"/>
    </row>
    <row r="3260" ht="26.25" customHeight="1" spans="102:103">
      <c r="CX3260" s="20"/>
      <c r="CY3260" s="20"/>
    </row>
    <row r="3261" ht="26.25" customHeight="1" spans="102:103">
      <c r="CX3261" s="20"/>
      <c r="CY3261" s="20"/>
    </row>
    <row r="3262" ht="26.25" customHeight="1" spans="102:103">
      <c r="CX3262" s="20"/>
      <c r="CY3262" s="20"/>
    </row>
    <row r="3263" ht="26.25" customHeight="1" spans="102:103">
      <c r="CX3263" s="20"/>
      <c r="CY3263" s="20"/>
    </row>
    <row r="3264" ht="26.25" customHeight="1" spans="102:103">
      <c r="CX3264" s="20"/>
      <c r="CY3264" s="20"/>
    </row>
    <row r="3265" ht="26.25" customHeight="1" spans="102:103">
      <c r="CX3265" s="20"/>
      <c r="CY3265" s="20"/>
    </row>
    <row r="3266" ht="26.25" customHeight="1" spans="102:103">
      <c r="CX3266" s="20"/>
      <c r="CY3266" s="20"/>
    </row>
    <row r="3267" ht="26.25" customHeight="1" spans="102:103">
      <c r="CX3267" s="20"/>
      <c r="CY3267" s="20"/>
    </row>
    <row r="3268" ht="26.25" customHeight="1" spans="102:103">
      <c r="CX3268" s="20"/>
      <c r="CY3268" s="20"/>
    </row>
    <row r="3269" ht="26.25" customHeight="1" spans="102:103">
      <c r="CX3269" s="20"/>
      <c r="CY3269" s="20"/>
    </row>
    <row r="3270" ht="26.25" customHeight="1" spans="102:103">
      <c r="CX3270" s="20"/>
      <c r="CY3270" s="20"/>
    </row>
    <row r="3271" ht="26.25" customHeight="1" spans="102:103">
      <c r="CX3271" s="20"/>
      <c r="CY3271" s="20"/>
    </row>
    <row r="3272" ht="26.25" customHeight="1" spans="102:103">
      <c r="CX3272" s="20"/>
      <c r="CY3272" s="20"/>
    </row>
    <row r="3273" ht="26.25" customHeight="1" spans="102:103">
      <c r="CX3273" s="20"/>
      <c r="CY3273" s="20"/>
    </row>
    <row r="3274" ht="26.25" customHeight="1" spans="102:103">
      <c r="CX3274" s="20"/>
      <c r="CY3274" s="20"/>
    </row>
    <row r="3275" ht="26.25" customHeight="1" spans="102:103">
      <c r="CX3275" s="20"/>
      <c r="CY3275" s="20"/>
    </row>
    <row r="3276" ht="26.25" customHeight="1" spans="102:103">
      <c r="CX3276" s="20"/>
      <c r="CY3276" s="20"/>
    </row>
    <row r="3277" ht="26.25" customHeight="1" spans="102:103">
      <c r="CX3277" s="20"/>
      <c r="CY3277" s="20"/>
    </row>
    <row r="3278" ht="26.25" customHeight="1" spans="102:103">
      <c r="CX3278" s="20"/>
      <c r="CY3278" s="20"/>
    </row>
    <row r="3279" ht="26.25" customHeight="1" spans="102:103">
      <c r="CX3279" s="20"/>
      <c r="CY3279" s="20"/>
    </row>
    <row r="3280" ht="26.25" customHeight="1" spans="102:103">
      <c r="CX3280" s="20"/>
      <c r="CY3280" s="20"/>
    </row>
    <row r="3281" ht="26.25" customHeight="1" spans="102:103">
      <c r="CX3281" s="20"/>
      <c r="CY3281" s="20"/>
    </row>
    <row r="3282" ht="26.25" customHeight="1" spans="102:103">
      <c r="CX3282" s="20"/>
      <c r="CY3282" s="20"/>
    </row>
    <row r="3283" ht="26.25" customHeight="1" spans="102:103">
      <c r="CX3283" s="20"/>
      <c r="CY3283" s="20"/>
    </row>
    <row r="3284" ht="26.25" customHeight="1" spans="102:103">
      <c r="CX3284" s="20"/>
      <c r="CY3284" s="20"/>
    </row>
    <row r="3285" ht="26.25" customHeight="1" spans="102:103">
      <c r="CX3285" s="20"/>
      <c r="CY3285" s="20"/>
    </row>
    <row r="3286" ht="26.25" customHeight="1" spans="102:103">
      <c r="CX3286" s="20"/>
      <c r="CY3286" s="20"/>
    </row>
    <row r="3287" ht="26.25" customHeight="1" spans="102:103">
      <c r="CX3287" s="20"/>
      <c r="CY3287" s="20"/>
    </row>
    <row r="3288" ht="26.25" customHeight="1" spans="102:103">
      <c r="CX3288" s="20"/>
      <c r="CY3288" s="20"/>
    </row>
    <row r="3289" ht="26.25" customHeight="1" spans="102:103">
      <c r="CX3289" s="20"/>
      <c r="CY3289" s="20"/>
    </row>
    <row r="3290" ht="26.25" customHeight="1" spans="102:103">
      <c r="CX3290" s="20"/>
      <c r="CY3290" s="20"/>
    </row>
    <row r="3291" ht="26.25" customHeight="1" spans="102:103">
      <c r="CX3291" s="20"/>
      <c r="CY3291" s="20"/>
    </row>
    <row r="3292" ht="26.25" customHeight="1" spans="102:103">
      <c r="CX3292" s="20"/>
      <c r="CY3292" s="20"/>
    </row>
    <row r="3293" ht="26.25" customHeight="1" spans="102:103">
      <c r="CX3293" s="20"/>
      <c r="CY3293" s="20"/>
    </row>
    <row r="3294" ht="26.25" customHeight="1" spans="102:103">
      <c r="CX3294" s="20"/>
      <c r="CY3294" s="20"/>
    </row>
    <row r="3295" ht="26.25" customHeight="1" spans="102:103">
      <c r="CX3295" s="20"/>
      <c r="CY3295" s="20"/>
    </row>
    <row r="3296" ht="26.25" customHeight="1" spans="102:103">
      <c r="CX3296" s="20"/>
      <c r="CY3296" s="20"/>
    </row>
    <row r="3297" ht="26.25" customHeight="1" spans="102:103">
      <c r="CX3297" s="20"/>
      <c r="CY3297" s="20"/>
    </row>
    <row r="3298" ht="26.25" customHeight="1" spans="102:103">
      <c r="CX3298" s="20"/>
      <c r="CY3298" s="20"/>
    </row>
    <row r="3299" ht="26.25" customHeight="1" spans="102:103">
      <c r="CX3299" s="20"/>
      <c r="CY3299" s="20"/>
    </row>
    <row r="3300" ht="26.25" customHeight="1" spans="102:103">
      <c r="CX3300" s="20"/>
      <c r="CY3300" s="20"/>
    </row>
    <row r="3301" ht="26.25" customHeight="1" spans="102:103">
      <c r="CX3301" s="20"/>
      <c r="CY3301" s="20"/>
    </row>
    <row r="3302" ht="26.25" customHeight="1" spans="102:103">
      <c r="CX3302" s="20"/>
      <c r="CY3302" s="20"/>
    </row>
    <row r="3303" ht="26.25" customHeight="1" spans="102:103">
      <c r="CX3303" s="20"/>
      <c r="CY3303" s="20"/>
    </row>
    <row r="3304" ht="26.25" customHeight="1" spans="102:103">
      <c r="CX3304" s="20"/>
      <c r="CY3304" s="20"/>
    </row>
    <row r="3305" ht="26.25" customHeight="1" spans="102:103">
      <c r="CX3305" s="20"/>
      <c r="CY3305" s="20"/>
    </row>
    <row r="3306" ht="26.25" customHeight="1" spans="102:103">
      <c r="CX3306" s="20"/>
      <c r="CY3306" s="20"/>
    </row>
    <row r="3307" ht="26.25" customHeight="1" spans="102:103">
      <c r="CX3307" s="20"/>
      <c r="CY3307" s="20"/>
    </row>
    <row r="3308" ht="26.25" customHeight="1" spans="102:103">
      <c r="CX3308" s="20"/>
      <c r="CY3308" s="20"/>
    </row>
    <row r="3309" ht="26.25" customHeight="1" spans="102:103">
      <c r="CX3309" s="20"/>
      <c r="CY3309" s="20"/>
    </row>
    <row r="3310" ht="26.25" customHeight="1" spans="102:103">
      <c r="CX3310" s="20"/>
      <c r="CY3310" s="20"/>
    </row>
    <row r="3311" ht="26.25" customHeight="1" spans="102:103">
      <c r="CX3311" s="20"/>
      <c r="CY3311" s="20"/>
    </row>
    <row r="3312" ht="26.25" customHeight="1" spans="102:103">
      <c r="CX3312" s="20"/>
      <c r="CY3312" s="20"/>
    </row>
    <row r="3313" ht="26.25" customHeight="1" spans="102:103">
      <c r="CX3313" s="20"/>
      <c r="CY3313" s="20"/>
    </row>
    <row r="3314" ht="26.25" customHeight="1" spans="102:103">
      <c r="CX3314" s="20"/>
      <c r="CY3314" s="20"/>
    </row>
    <row r="3315" ht="26.25" customHeight="1" spans="102:103">
      <c r="CX3315" s="20"/>
      <c r="CY3315" s="20"/>
    </row>
    <row r="3316" ht="26.25" customHeight="1" spans="102:103">
      <c r="CX3316" s="20"/>
      <c r="CY3316" s="20"/>
    </row>
    <row r="3317" ht="26.25" customHeight="1" spans="102:103">
      <c r="CX3317" s="20"/>
      <c r="CY3317" s="20"/>
    </row>
    <row r="3318" ht="26.25" customHeight="1" spans="102:103">
      <c r="CX3318" s="20"/>
      <c r="CY3318" s="20"/>
    </row>
    <row r="3319" ht="26.25" customHeight="1" spans="102:103">
      <c r="CX3319" s="20"/>
      <c r="CY3319" s="20"/>
    </row>
    <row r="3320" ht="26.25" customHeight="1" spans="102:103">
      <c r="CX3320" s="20"/>
      <c r="CY3320" s="20"/>
    </row>
    <row r="3321" ht="26.25" customHeight="1" spans="102:103">
      <c r="CX3321" s="20"/>
      <c r="CY3321" s="20"/>
    </row>
    <row r="3322" ht="26.25" customHeight="1" spans="102:103">
      <c r="CX3322" s="20"/>
      <c r="CY3322" s="20"/>
    </row>
    <row r="3323" ht="26.25" customHeight="1" spans="102:103">
      <c r="CX3323" s="20"/>
      <c r="CY3323" s="20"/>
    </row>
    <row r="3324" ht="26.25" customHeight="1" spans="102:103">
      <c r="CX3324" s="20"/>
      <c r="CY3324" s="20"/>
    </row>
    <row r="3325" ht="26.25" customHeight="1" spans="102:103">
      <c r="CX3325" s="20"/>
      <c r="CY3325" s="20"/>
    </row>
    <row r="3326" ht="26.25" customHeight="1" spans="102:103">
      <c r="CX3326" s="20"/>
      <c r="CY3326" s="20"/>
    </row>
    <row r="3327" ht="26.25" customHeight="1" spans="102:103">
      <c r="CX3327" s="20"/>
      <c r="CY3327" s="20"/>
    </row>
    <row r="3328" ht="26.25" customHeight="1" spans="102:103">
      <c r="CX3328" s="20"/>
      <c r="CY3328" s="20"/>
    </row>
    <row r="3329" ht="26.25" customHeight="1" spans="102:103">
      <c r="CX3329" s="20"/>
      <c r="CY3329" s="20"/>
    </row>
    <row r="3330" ht="26.25" customHeight="1" spans="102:103">
      <c r="CX3330" s="20"/>
      <c r="CY3330" s="20"/>
    </row>
    <row r="3331" ht="26.25" customHeight="1" spans="102:103">
      <c r="CX3331" s="20"/>
      <c r="CY3331" s="20"/>
    </row>
    <row r="3332" ht="26.25" customHeight="1" spans="102:103">
      <c r="CX3332" s="20"/>
      <c r="CY3332" s="20"/>
    </row>
    <row r="3333" ht="26.25" customHeight="1" spans="102:103">
      <c r="CX3333" s="20"/>
      <c r="CY3333" s="20"/>
    </row>
    <row r="3334" ht="26.25" customHeight="1" spans="102:103">
      <c r="CX3334" s="20"/>
      <c r="CY3334" s="20"/>
    </row>
    <row r="3335" ht="26.25" customHeight="1" spans="102:103">
      <c r="CX3335" s="20"/>
      <c r="CY3335" s="20"/>
    </row>
    <row r="3336" ht="26.25" customHeight="1" spans="102:103">
      <c r="CX3336" s="20"/>
      <c r="CY3336" s="20"/>
    </row>
    <row r="3337" ht="26.25" customHeight="1" spans="102:103">
      <c r="CX3337" s="20"/>
      <c r="CY3337" s="20"/>
    </row>
    <row r="3338" ht="26.25" customHeight="1" spans="102:103">
      <c r="CX3338" s="20"/>
      <c r="CY3338" s="20"/>
    </row>
    <row r="3339" ht="26.25" customHeight="1" spans="102:103">
      <c r="CX3339" s="20"/>
      <c r="CY3339" s="20"/>
    </row>
    <row r="3340" ht="26.25" customHeight="1" spans="102:103">
      <c r="CX3340" s="20"/>
      <c r="CY3340" s="20"/>
    </row>
    <row r="3341" ht="26.25" customHeight="1" spans="102:103">
      <c r="CX3341" s="20"/>
      <c r="CY3341" s="20"/>
    </row>
    <row r="3342" ht="26.25" customHeight="1" spans="102:103">
      <c r="CX3342" s="20"/>
      <c r="CY3342" s="20"/>
    </row>
    <row r="3343" ht="26.25" customHeight="1" spans="102:103">
      <c r="CX3343" s="20"/>
      <c r="CY3343" s="20"/>
    </row>
    <row r="3344" ht="26.25" customHeight="1" spans="102:103">
      <c r="CX3344" s="20"/>
      <c r="CY3344" s="20"/>
    </row>
    <row r="3345" ht="26.25" customHeight="1" spans="102:103">
      <c r="CX3345" s="20"/>
      <c r="CY3345" s="20"/>
    </row>
    <row r="3346" ht="26.25" customHeight="1" spans="102:103">
      <c r="CX3346" s="20"/>
      <c r="CY3346" s="20"/>
    </row>
    <row r="3347" ht="26.25" customHeight="1" spans="102:103">
      <c r="CX3347" s="20"/>
      <c r="CY3347" s="20"/>
    </row>
    <row r="3348" ht="26.25" customHeight="1" spans="102:103">
      <c r="CX3348" s="20"/>
      <c r="CY3348" s="20"/>
    </row>
    <row r="3349" ht="26.25" customHeight="1" spans="102:103">
      <c r="CX3349" s="20"/>
      <c r="CY3349" s="20"/>
    </row>
    <row r="3350" ht="26.25" customHeight="1" spans="102:103">
      <c r="CX3350" s="20"/>
      <c r="CY3350" s="20"/>
    </row>
    <row r="3351" ht="26.25" customHeight="1" spans="102:103">
      <c r="CX3351" s="20"/>
      <c r="CY3351" s="20"/>
    </row>
    <row r="3352" ht="26.25" customHeight="1" spans="102:103">
      <c r="CX3352" s="20"/>
      <c r="CY3352" s="20"/>
    </row>
    <row r="3353" ht="26.25" customHeight="1" spans="102:103">
      <c r="CX3353" s="20"/>
      <c r="CY3353" s="20"/>
    </row>
    <row r="3354" ht="26.25" customHeight="1" spans="102:103">
      <c r="CX3354" s="20"/>
      <c r="CY3354" s="20"/>
    </row>
    <row r="3355" ht="26.25" customHeight="1" spans="102:103">
      <c r="CX3355" s="20"/>
      <c r="CY3355" s="20"/>
    </row>
    <row r="3356" ht="26.25" customHeight="1" spans="102:103">
      <c r="CX3356" s="20"/>
      <c r="CY3356" s="20"/>
    </row>
    <row r="3357" ht="26.25" customHeight="1" spans="102:103">
      <c r="CX3357" s="20"/>
      <c r="CY3357" s="20"/>
    </row>
    <row r="3358" ht="26.25" customHeight="1" spans="102:103">
      <c r="CX3358" s="20"/>
      <c r="CY3358" s="20"/>
    </row>
    <row r="3359" ht="26.25" customHeight="1" spans="102:103">
      <c r="CX3359" s="20"/>
      <c r="CY3359" s="20"/>
    </row>
    <row r="3360" ht="26.25" customHeight="1" spans="102:103">
      <c r="CX3360" s="20"/>
      <c r="CY3360" s="20"/>
    </row>
    <row r="3361" ht="26.25" customHeight="1" spans="102:103">
      <c r="CX3361" s="20"/>
      <c r="CY3361" s="20"/>
    </row>
    <row r="3362" ht="26.25" customHeight="1" spans="102:103">
      <c r="CX3362" s="20"/>
      <c r="CY3362" s="20"/>
    </row>
    <row r="3363" ht="26.25" customHeight="1" spans="102:103">
      <c r="CX3363" s="20"/>
      <c r="CY3363" s="20"/>
    </row>
    <row r="3364" ht="26.25" customHeight="1" spans="102:103">
      <c r="CX3364" s="20"/>
      <c r="CY3364" s="20"/>
    </row>
    <row r="3365" ht="26.25" customHeight="1" spans="102:103">
      <c r="CX3365" s="20"/>
      <c r="CY3365" s="20"/>
    </row>
    <row r="3366" ht="26.25" customHeight="1" spans="102:103">
      <c r="CX3366" s="20"/>
      <c r="CY3366" s="20"/>
    </row>
    <row r="3367" ht="26.25" customHeight="1" spans="102:103">
      <c r="CX3367" s="20"/>
      <c r="CY3367" s="20"/>
    </row>
    <row r="3368" ht="26.25" customHeight="1" spans="102:103">
      <c r="CX3368" s="20"/>
      <c r="CY3368" s="20"/>
    </row>
    <row r="3369" ht="26.25" customHeight="1" spans="102:103">
      <c r="CX3369" s="20"/>
      <c r="CY3369" s="20"/>
    </row>
    <row r="3370" ht="26.25" customHeight="1" spans="102:103">
      <c r="CX3370" s="20"/>
      <c r="CY3370" s="20"/>
    </row>
    <row r="3371" ht="26.25" customHeight="1" spans="102:103">
      <c r="CX3371" s="20"/>
      <c r="CY3371" s="20"/>
    </row>
    <row r="3372" ht="26.25" customHeight="1" spans="102:103">
      <c r="CX3372" s="20"/>
      <c r="CY3372" s="20"/>
    </row>
    <row r="3373" ht="26.25" customHeight="1" spans="102:103">
      <c r="CX3373" s="20"/>
      <c r="CY3373" s="20"/>
    </row>
    <row r="3374" ht="26.25" customHeight="1" spans="102:103">
      <c r="CX3374" s="20"/>
      <c r="CY3374" s="20"/>
    </row>
    <row r="3375" ht="26.25" customHeight="1" spans="102:103">
      <c r="CX3375" s="20"/>
      <c r="CY3375" s="20"/>
    </row>
    <row r="3376" ht="26.25" customHeight="1" spans="102:103">
      <c r="CX3376" s="20"/>
      <c r="CY3376" s="20"/>
    </row>
    <row r="3377" ht="26.25" customHeight="1" spans="102:103">
      <c r="CX3377" s="20"/>
      <c r="CY3377" s="20"/>
    </row>
    <row r="3378" ht="26.25" customHeight="1" spans="102:103">
      <c r="CX3378" s="20"/>
      <c r="CY3378" s="20"/>
    </row>
    <row r="3379" ht="26.25" customHeight="1" spans="102:103">
      <c r="CX3379" s="20"/>
      <c r="CY3379" s="20"/>
    </row>
    <row r="3380" ht="26.25" customHeight="1" spans="102:103">
      <c r="CX3380" s="20"/>
      <c r="CY3380" s="20"/>
    </row>
    <row r="3381" ht="26.25" customHeight="1" spans="102:103">
      <c r="CX3381" s="20"/>
      <c r="CY3381" s="20"/>
    </row>
    <row r="3382" ht="26.25" customHeight="1" spans="102:103">
      <c r="CX3382" s="20"/>
      <c r="CY3382" s="20"/>
    </row>
    <row r="3383" ht="26.25" customHeight="1" spans="102:103">
      <c r="CX3383" s="20"/>
      <c r="CY3383" s="20"/>
    </row>
    <row r="3384" ht="26.25" customHeight="1" spans="102:103">
      <c r="CX3384" s="20"/>
      <c r="CY3384" s="20"/>
    </row>
    <row r="3385" ht="26.25" customHeight="1" spans="102:103">
      <c r="CX3385" s="20"/>
      <c r="CY3385" s="20"/>
    </row>
    <row r="3386" ht="26.25" customHeight="1" spans="102:103">
      <c r="CX3386" s="20"/>
      <c r="CY3386" s="20"/>
    </row>
    <row r="3387" ht="26.25" customHeight="1" spans="102:103">
      <c r="CX3387" s="20"/>
      <c r="CY3387" s="20"/>
    </row>
    <row r="3388" ht="26.25" customHeight="1" spans="102:103">
      <c r="CX3388" s="20"/>
      <c r="CY3388" s="20"/>
    </row>
    <row r="3389" ht="26.25" customHeight="1" spans="102:103">
      <c r="CX3389" s="20"/>
      <c r="CY3389" s="20"/>
    </row>
    <row r="3390" ht="26.25" customHeight="1" spans="102:103">
      <c r="CX3390" s="20"/>
      <c r="CY3390" s="20"/>
    </row>
    <row r="3391" ht="26.25" customHeight="1" spans="102:103">
      <c r="CX3391" s="20"/>
      <c r="CY3391" s="20"/>
    </row>
    <row r="3392" ht="26.25" customHeight="1" spans="102:103">
      <c r="CX3392" s="20"/>
      <c r="CY3392" s="20"/>
    </row>
    <row r="3393" ht="26.25" customHeight="1" spans="102:103">
      <c r="CX3393" s="20"/>
      <c r="CY3393" s="20"/>
    </row>
    <row r="3394" ht="26.25" customHeight="1" spans="102:103">
      <c r="CX3394" s="20"/>
      <c r="CY3394" s="20"/>
    </row>
    <row r="3395" ht="26.25" customHeight="1" spans="102:103">
      <c r="CX3395" s="20"/>
      <c r="CY3395" s="20"/>
    </row>
    <row r="3396" ht="26.25" customHeight="1" spans="102:103">
      <c r="CX3396" s="20"/>
      <c r="CY3396" s="20"/>
    </row>
    <row r="3397" ht="26.25" customHeight="1" spans="102:103">
      <c r="CX3397" s="20"/>
      <c r="CY3397" s="20"/>
    </row>
    <row r="3398" ht="26.25" customHeight="1" spans="102:103">
      <c r="CX3398" s="20"/>
      <c r="CY3398" s="20"/>
    </row>
    <row r="3399" ht="26.25" customHeight="1" spans="102:103">
      <c r="CX3399" s="20"/>
      <c r="CY3399" s="20"/>
    </row>
    <row r="3400" ht="26.25" customHeight="1" spans="102:103">
      <c r="CX3400" s="20"/>
      <c r="CY3400" s="20"/>
    </row>
    <row r="3401" ht="26.25" customHeight="1" spans="102:103">
      <c r="CX3401" s="20"/>
      <c r="CY3401" s="20"/>
    </row>
    <row r="3402" ht="26.25" customHeight="1" spans="102:103">
      <c r="CX3402" s="20"/>
      <c r="CY3402" s="20"/>
    </row>
    <row r="3403" ht="26.25" customHeight="1" spans="102:103">
      <c r="CX3403" s="20"/>
      <c r="CY3403" s="20"/>
    </row>
    <row r="3404" ht="26.25" customHeight="1" spans="102:103">
      <c r="CX3404" s="20"/>
      <c r="CY3404" s="20"/>
    </row>
    <row r="3405" ht="26.25" customHeight="1" spans="102:103">
      <c r="CX3405" s="20"/>
      <c r="CY3405" s="20"/>
    </row>
    <row r="3406" ht="26.25" customHeight="1" spans="102:103">
      <c r="CX3406" s="20"/>
      <c r="CY3406" s="20"/>
    </row>
    <row r="3407" ht="26.25" customHeight="1" spans="102:103">
      <c r="CX3407" s="20"/>
      <c r="CY3407" s="20"/>
    </row>
    <row r="3408" ht="26.25" customHeight="1" spans="102:103">
      <c r="CX3408" s="20"/>
      <c r="CY3408" s="20"/>
    </row>
    <row r="3409" ht="26.25" customHeight="1" spans="102:103">
      <c r="CX3409" s="20"/>
      <c r="CY3409" s="20"/>
    </row>
    <row r="3410" ht="26.25" customHeight="1" spans="102:103">
      <c r="CX3410" s="20"/>
      <c r="CY3410" s="20"/>
    </row>
    <row r="3411" ht="26.25" customHeight="1" spans="102:103">
      <c r="CX3411" s="20"/>
      <c r="CY3411" s="20"/>
    </row>
    <row r="3412" ht="26.25" customHeight="1" spans="102:103">
      <c r="CX3412" s="20"/>
      <c r="CY3412" s="20"/>
    </row>
    <row r="3413" ht="26.25" customHeight="1" spans="102:103">
      <c r="CX3413" s="20"/>
      <c r="CY3413" s="20"/>
    </row>
    <row r="3414" ht="26.25" customHeight="1" spans="102:103">
      <c r="CX3414" s="20"/>
      <c r="CY3414" s="20"/>
    </row>
    <row r="3415" ht="26.25" customHeight="1" spans="102:103">
      <c r="CX3415" s="20"/>
      <c r="CY3415" s="20"/>
    </row>
    <row r="3416" ht="26.25" customHeight="1" spans="102:103">
      <c r="CX3416" s="20"/>
      <c r="CY3416" s="20"/>
    </row>
    <row r="3417" ht="26.25" customHeight="1" spans="102:103">
      <c r="CX3417" s="20"/>
      <c r="CY3417" s="20"/>
    </row>
    <row r="3418" ht="26.25" customHeight="1" spans="102:103">
      <c r="CX3418" s="20"/>
      <c r="CY3418" s="20"/>
    </row>
    <row r="3419" ht="26.25" customHeight="1" spans="102:103">
      <c r="CX3419" s="20"/>
      <c r="CY3419" s="20"/>
    </row>
    <row r="3420" ht="26.25" customHeight="1" spans="102:103">
      <c r="CX3420" s="20"/>
      <c r="CY3420" s="20"/>
    </row>
    <row r="3421" ht="26.25" customHeight="1" spans="102:103">
      <c r="CX3421" s="20"/>
      <c r="CY3421" s="20"/>
    </row>
    <row r="3422" ht="26.25" customHeight="1" spans="102:103">
      <c r="CX3422" s="20"/>
      <c r="CY3422" s="20"/>
    </row>
    <row r="3423" ht="26.25" customHeight="1" spans="102:103">
      <c r="CX3423" s="20"/>
      <c r="CY3423" s="20"/>
    </row>
    <row r="3424" ht="26.25" customHeight="1" spans="102:103">
      <c r="CX3424" s="20"/>
      <c r="CY3424" s="20"/>
    </row>
    <row r="3425" ht="26.25" customHeight="1" spans="102:103">
      <c r="CX3425" s="20"/>
      <c r="CY3425" s="20"/>
    </row>
    <row r="3426" ht="26.25" customHeight="1" spans="102:103">
      <c r="CX3426" s="20"/>
      <c r="CY3426" s="20"/>
    </row>
    <row r="3427" ht="26.25" customHeight="1" spans="102:103">
      <c r="CX3427" s="20"/>
      <c r="CY3427" s="20"/>
    </row>
    <row r="3428" ht="26.25" customHeight="1" spans="102:103">
      <c r="CX3428" s="20"/>
      <c r="CY3428" s="20"/>
    </row>
    <row r="3429" ht="26.25" customHeight="1" spans="102:103">
      <c r="CX3429" s="20"/>
      <c r="CY3429" s="20"/>
    </row>
    <row r="3430" ht="26.25" customHeight="1" spans="102:103">
      <c r="CX3430" s="20"/>
      <c r="CY3430" s="20"/>
    </row>
    <row r="3431" ht="26.25" customHeight="1" spans="102:103">
      <c r="CX3431" s="20"/>
      <c r="CY3431" s="20"/>
    </row>
    <row r="3432" ht="26.25" customHeight="1" spans="102:103">
      <c r="CX3432" s="20"/>
      <c r="CY3432" s="20"/>
    </row>
    <row r="3433" ht="26.25" customHeight="1" spans="102:103">
      <c r="CX3433" s="20"/>
      <c r="CY3433" s="20"/>
    </row>
    <row r="3434" ht="26.25" customHeight="1" spans="102:103">
      <c r="CX3434" s="20"/>
      <c r="CY3434" s="20"/>
    </row>
    <row r="3435" ht="26.25" customHeight="1" spans="102:103">
      <c r="CX3435" s="20"/>
      <c r="CY3435" s="20"/>
    </row>
    <row r="3436" ht="26.25" customHeight="1" spans="102:103">
      <c r="CX3436" s="20"/>
      <c r="CY3436" s="20"/>
    </row>
    <row r="3437" ht="26.25" customHeight="1" spans="102:103">
      <c r="CX3437" s="20"/>
      <c r="CY3437" s="20"/>
    </row>
    <row r="3438" ht="26.25" customHeight="1" spans="102:103">
      <c r="CX3438" s="20"/>
      <c r="CY3438" s="20"/>
    </row>
    <row r="3439" ht="26.25" customHeight="1" spans="102:103">
      <c r="CX3439" s="20"/>
      <c r="CY3439" s="20"/>
    </row>
    <row r="3440" ht="26.25" customHeight="1" spans="102:103">
      <c r="CX3440" s="20"/>
      <c r="CY3440" s="20"/>
    </row>
    <row r="3441" ht="26.25" customHeight="1" spans="102:103">
      <c r="CX3441" s="20"/>
      <c r="CY3441" s="20"/>
    </row>
    <row r="3442" ht="26.25" customHeight="1" spans="102:103">
      <c r="CX3442" s="20"/>
      <c r="CY3442" s="20"/>
    </row>
    <row r="3443" ht="26.25" customHeight="1" spans="102:103">
      <c r="CX3443" s="20"/>
      <c r="CY3443" s="20"/>
    </row>
    <row r="3444" ht="26.25" customHeight="1" spans="102:103">
      <c r="CX3444" s="20"/>
      <c r="CY3444" s="20"/>
    </row>
    <row r="3445" ht="26.25" customHeight="1" spans="102:103">
      <c r="CX3445" s="20"/>
      <c r="CY3445" s="20"/>
    </row>
    <row r="3446" ht="26.25" customHeight="1" spans="102:103">
      <c r="CX3446" s="20"/>
      <c r="CY3446" s="20"/>
    </row>
    <row r="3447" ht="26.25" customHeight="1" spans="102:103">
      <c r="CX3447" s="20"/>
      <c r="CY3447" s="20"/>
    </row>
    <row r="3448" ht="26.25" customHeight="1" spans="102:103">
      <c r="CX3448" s="20"/>
      <c r="CY3448" s="20"/>
    </row>
    <row r="3449" ht="26.25" customHeight="1" spans="102:103">
      <c r="CX3449" s="20"/>
      <c r="CY3449" s="20"/>
    </row>
    <row r="3450" ht="26.25" customHeight="1" spans="102:103">
      <c r="CX3450" s="20"/>
      <c r="CY3450" s="20"/>
    </row>
    <row r="3451" ht="26.25" customHeight="1" spans="102:103">
      <c r="CX3451" s="20"/>
      <c r="CY3451" s="20"/>
    </row>
    <row r="3452" ht="26.25" customHeight="1" spans="102:103">
      <c r="CX3452" s="20"/>
      <c r="CY3452" s="20"/>
    </row>
    <row r="3453" ht="26.25" customHeight="1" spans="102:103">
      <c r="CX3453" s="20"/>
      <c r="CY3453" s="20"/>
    </row>
    <row r="3454" ht="26.25" customHeight="1" spans="102:103">
      <c r="CX3454" s="20"/>
      <c r="CY3454" s="20"/>
    </row>
    <row r="3455" ht="26.25" customHeight="1" spans="102:103">
      <c r="CX3455" s="20"/>
      <c r="CY3455" s="20"/>
    </row>
    <row r="3456" ht="26.25" customHeight="1" spans="102:103">
      <c r="CX3456" s="20"/>
      <c r="CY3456" s="20"/>
    </row>
    <row r="3457" ht="26.25" customHeight="1" spans="102:103">
      <c r="CX3457" s="20"/>
      <c r="CY3457" s="20"/>
    </row>
    <row r="3458" ht="26.25" customHeight="1" spans="102:103">
      <c r="CX3458" s="20"/>
      <c r="CY3458" s="20"/>
    </row>
    <row r="3459" ht="26.25" customHeight="1" spans="102:103">
      <c r="CX3459" s="20"/>
      <c r="CY3459" s="20"/>
    </row>
    <row r="3460" ht="26.25" customHeight="1" spans="102:103">
      <c r="CX3460" s="20"/>
      <c r="CY3460" s="20"/>
    </row>
    <row r="3461" ht="26.25" customHeight="1" spans="102:103">
      <c r="CX3461" s="20"/>
      <c r="CY3461" s="20"/>
    </row>
    <row r="3462" ht="26.25" customHeight="1" spans="102:103">
      <c r="CX3462" s="20"/>
      <c r="CY3462" s="20"/>
    </row>
    <row r="3463" ht="26.25" customHeight="1" spans="102:103">
      <c r="CX3463" s="20"/>
      <c r="CY3463" s="20"/>
    </row>
    <row r="3464" ht="26.25" customHeight="1" spans="102:103">
      <c r="CX3464" s="20"/>
      <c r="CY3464" s="20"/>
    </row>
    <row r="3465" ht="26.25" customHeight="1" spans="102:103">
      <c r="CX3465" s="20"/>
      <c r="CY3465" s="20"/>
    </row>
    <row r="3466" ht="26.25" customHeight="1" spans="102:103">
      <c r="CX3466" s="20"/>
      <c r="CY3466" s="20"/>
    </row>
    <row r="3467" ht="26.25" customHeight="1" spans="102:103">
      <c r="CX3467" s="20"/>
      <c r="CY3467" s="20"/>
    </row>
    <row r="3468" ht="26.25" customHeight="1" spans="102:103">
      <c r="CX3468" s="20"/>
      <c r="CY3468" s="20"/>
    </row>
    <row r="3469" ht="26.25" customHeight="1" spans="102:103">
      <c r="CX3469" s="20"/>
      <c r="CY3469" s="20"/>
    </row>
    <row r="3470" ht="26.25" customHeight="1" spans="102:103">
      <c r="CX3470" s="20"/>
      <c r="CY3470" s="20"/>
    </row>
    <row r="3471" ht="26.25" customHeight="1" spans="102:103">
      <c r="CX3471" s="20"/>
      <c r="CY3471" s="20"/>
    </row>
    <row r="3472" ht="26.25" customHeight="1" spans="102:103">
      <c r="CX3472" s="20"/>
      <c r="CY3472" s="20"/>
    </row>
    <row r="3473" ht="26.25" customHeight="1" spans="102:103">
      <c r="CX3473" s="20"/>
      <c r="CY3473" s="20"/>
    </row>
    <row r="3474" ht="26.25" customHeight="1" spans="102:103">
      <c r="CX3474" s="20"/>
      <c r="CY3474" s="20"/>
    </row>
    <row r="3475" ht="26.25" customHeight="1" spans="102:103">
      <c r="CX3475" s="20"/>
      <c r="CY3475" s="20"/>
    </row>
    <row r="3476" ht="26.25" customHeight="1" spans="102:103">
      <c r="CX3476" s="20"/>
      <c r="CY3476" s="20"/>
    </row>
    <row r="3477" ht="26.25" customHeight="1" spans="102:103">
      <c r="CX3477" s="20"/>
      <c r="CY3477" s="20"/>
    </row>
    <row r="3478" ht="26.25" customHeight="1" spans="102:103">
      <c r="CX3478" s="20"/>
      <c r="CY3478" s="20"/>
    </row>
    <row r="3479" ht="26.25" customHeight="1" spans="102:103">
      <c r="CX3479" s="20"/>
      <c r="CY3479" s="20"/>
    </row>
    <row r="3480" ht="26.25" customHeight="1" spans="102:103">
      <c r="CX3480" s="20"/>
      <c r="CY3480" s="20"/>
    </row>
    <row r="3481" ht="26.25" customHeight="1" spans="102:103">
      <c r="CX3481" s="20"/>
      <c r="CY3481" s="20"/>
    </row>
    <row r="3482" ht="26.25" customHeight="1" spans="102:103">
      <c r="CX3482" s="20"/>
      <c r="CY3482" s="20"/>
    </row>
    <row r="3483" ht="26.25" customHeight="1" spans="102:103">
      <c r="CX3483" s="20"/>
      <c r="CY3483" s="20"/>
    </row>
    <row r="3484" ht="26.25" customHeight="1" spans="102:103">
      <c r="CX3484" s="20"/>
      <c r="CY3484" s="20"/>
    </row>
    <row r="3485" ht="26.25" customHeight="1" spans="102:103">
      <c r="CX3485" s="20"/>
      <c r="CY3485" s="20"/>
    </row>
    <row r="3486" ht="26.25" customHeight="1" spans="102:103">
      <c r="CX3486" s="20"/>
      <c r="CY3486" s="20"/>
    </row>
    <row r="3487" ht="26.25" customHeight="1" spans="102:103">
      <c r="CX3487" s="20"/>
      <c r="CY3487" s="20"/>
    </row>
    <row r="3488" ht="26.25" customHeight="1" spans="102:103">
      <c r="CX3488" s="20"/>
      <c r="CY3488" s="20"/>
    </row>
    <row r="3489" ht="26.25" customHeight="1" spans="102:103">
      <c r="CX3489" s="20"/>
      <c r="CY3489" s="20"/>
    </row>
    <row r="3490" ht="26.25" customHeight="1" spans="102:103">
      <c r="CX3490" s="20"/>
      <c r="CY3490" s="20"/>
    </row>
    <row r="3491" ht="26.25" customHeight="1" spans="102:103">
      <c r="CX3491" s="20"/>
      <c r="CY3491" s="20"/>
    </row>
    <row r="3492" ht="26.25" customHeight="1" spans="102:103">
      <c r="CX3492" s="20"/>
      <c r="CY3492" s="20"/>
    </row>
    <row r="3493" ht="26.25" customHeight="1" spans="102:103">
      <c r="CX3493" s="20"/>
      <c r="CY3493" s="20"/>
    </row>
    <row r="3494" ht="26.25" customHeight="1" spans="102:103">
      <c r="CX3494" s="20"/>
      <c r="CY3494" s="20"/>
    </row>
    <row r="3495" ht="26.25" customHeight="1" spans="102:103">
      <c r="CX3495" s="20"/>
      <c r="CY3495" s="20"/>
    </row>
    <row r="3496" ht="26.25" customHeight="1" spans="102:103">
      <c r="CX3496" s="20"/>
      <c r="CY3496" s="20"/>
    </row>
    <row r="3497" ht="26.25" customHeight="1" spans="102:103">
      <c r="CX3497" s="20"/>
      <c r="CY3497" s="20"/>
    </row>
    <row r="3498" ht="26.25" customHeight="1" spans="102:103">
      <c r="CX3498" s="20"/>
      <c r="CY3498" s="20"/>
    </row>
    <row r="3499" ht="26.25" customHeight="1" spans="102:103">
      <c r="CX3499" s="20"/>
      <c r="CY3499" s="20"/>
    </row>
    <row r="3500" ht="26.25" customHeight="1" spans="102:103">
      <c r="CX3500" s="20"/>
      <c r="CY3500" s="20"/>
    </row>
    <row r="3501" ht="26.25" customHeight="1" spans="102:103">
      <c r="CX3501" s="20"/>
      <c r="CY3501" s="20"/>
    </row>
    <row r="3502" ht="26.25" customHeight="1" spans="102:103">
      <c r="CX3502" s="20"/>
      <c r="CY3502" s="20"/>
    </row>
    <row r="3503" ht="26.25" customHeight="1" spans="102:103">
      <c r="CX3503" s="20"/>
      <c r="CY3503" s="20"/>
    </row>
    <row r="3504" ht="26.25" customHeight="1" spans="102:103">
      <c r="CX3504" s="20"/>
      <c r="CY3504" s="20"/>
    </row>
    <row r="3505" ht="26.25" customHeight="1" spans="102:103">
      <c r="CX3505" s="20"/>
      <c r="CY3505" s="20"/>
    </row>
    <row r="3506" ht="26.25" customHeight="1" spans="102:103">
      <c r="CX3506" s="20"/>
      <c r="CY3506" s="20"/>
    </row>
    <row r="3507" ht="26.25" customHeight="1" spans="102:103">
      <c r="CX3507" s="20"/>
      <c r="CY3507" s="20"/>
    </row>
    <row r="3508" ht="26.25" customHeight="1" spans="102:103">
      <c r="CX3508" s="20"/>
      <c r="CY3508" s="20"/>
    </row>
    <row r="3509" ht="26.25" customHeight="1" spans="102:103">
      <c r="CX3509" s="20"/>
      <c r="CY3509" s="20"/>
    </row>
    <row r="3510" ht="26.25" customHeight="1" spans="102:103">
      <c r="CX3510" s="20"/>
      <c r="CY3510" s="20"/>
    </row>
    <row r="3511" ht="26.25" customHeight="1" spans="102:103">
      <c r="CX3511" s="20"/>
      <c r="CY3511" s="20"/>
    </row>
    <row r="3512" ht="26.25" customHeight="1" spans="102:103">
      <c r="CX3512" s="20"/>
      <c r="CY3512" s="20"/>
    </row>
    <row r="3513" ht="26.25" customHeight="1" spans="102:103">
      <c r="CX3513" s="20"/>
      <c r="CY3513" s="20"/>
    </row>
    <row r="3514" ht="26.25" customHeight="1" spans="102:103">
      <c r="CX3514" s="20"/>
      <c r="CY3514" s="20"/>
    </row>
    <row r="3515" ht="26.25" customHeight="1" spans="102:103">
      <c r="CX3515" s="20"/>
      <c r="CY3515" s="20"/>
    </row>
    <row r="3516" ht="26.25" customHeight="1" spans="102:103">
      <c r="CX3516" s="20"/>
      <c r="CY3516" s="20"/>
    </row>
    <row r="3517" ht="26.25" customHeight="1" spans="102:103">
      <c r="CX3517" s="20"/>
      <c r="CY3517" s="20"/>
    </row>
    <row r="3518" ht="26.25" customHeight="1" spans="102:103">
      <c r="CX3518" s="20"/>
      <c r="CY3518" s="20"/>
    </row>
    <row r="3519" ht="26.25" customHeight="1" spans="102:103">
      <c r="CX3519" s="20"/>
      <c r="CY3519" s="20"/>
    </row>
    <row r="3520" ht="26.25" customHeight="1" spans="102:103">
      <c r="CX3520" s="20"/>
      <c r="CY3520" s="20"/>
    </row>
    <row r="3521" ht="26.25" customHeight="1" spans="102:103">
      <c r="CX3521" s="20"/>
      <c r="CY3521" s="20"/>
    </row>
    <row r="3522" ht="26.25" customHeight="1" spans="102:103">
      <c r="CX3522" s="20"/>
      <c r="CY3522" s="20"/>
    </row>
    <row r="3523" ht="26.25" customHeight="1" spans="102:103">
      <c r="CX3523" s="20"/>
      <c r="CY3523" s="20"/>
    </row>
    <row r="3524" ht="26.25" customHeight="1" spans="102:103">
      <c r="CX3524" s="20"/>
      <c r="CY3524" s="20"/>
    </row>
    <row r="3525" ht="26.25" customHeight="1" spans="102:103">
      <c r="CX3525" s="20"/>
      <c r="CY3525" s="20"/>
    </row>
    <row r="3526" ht="26.25" customHeight="1" spans="102:103">
      <c r="CX3526" s="20"/>
      <c r="CY3526" s="20"/>
    </row>
    <row r="3527" ht="26.25" customHeight="1" spans="102:103">
      <c r="CX3527" s="20"/>
      <c r="CY3527" s="20"/>
    </row>
    <row r="3528" ht="26.25" customHeight="1" spans="102:103">
      <c r="CX3528" s="20"/>
      <c r="CY3528" s="20"/>
    </row>
    <row r="3529" ht="26.25" customHeight="1" spans="102:103">
      <c r="CX3529" s="20"/>
      <c r="CY3529" s="20"/>
    </row>
    <row r="3530" ht="26.25" customHeight="1" spans="102:103">
      <c r="CX3530" s="20"/>
      <c r="CY3530" s="20"/>
    </row>
    <row r="3531" ht="26.25" customHeight="1" spans="102:103">
      <c r="CX3531" s="20"/>
      <c r="CY3531" s="20"/>
    </row>
    <row r="3532" ht="26.25" customHeight="1" spans="102:103">
      <c r="CX3532" s="20"/>
      <c r="CY3532" s="20"/>
    </row>
    <row r="3533" ht="26.25" customHeight="1" spans="102:103">
      <c r="CX3533" s="20"/>
      <c r="CY3533" s="20"/>
    </row>
    <row r="3534" ht="26.25" customHeight="1" spans="102:103">
      <c r="CX3534" s="20"/>
      <c r="CY3534" s="20"/>
    </row>
    <row r="3535" ht="26.25" customHeight="1" spans="102:103">
      <c r="CX3535" s="20"/>
      <c r="CY3535" s="20"/>
    </row>
    <row r="3536" ht="26.25" customHeight="1" spans="102:103">
      <c r="CX3536" s="20"/>
      <c r="CY3536" s="20"/>
    </row>
    <row r="3537" ht="26.25" customHeight="1" spans="102:103">
      <c r="CX3537" s="20"/>
      <c r="CY3537" s="20"/>
    </row>
    <row r="3538" ht="26.25" customHeight="1" spans="102:103">
      <c r="CX3538" s="20"/>
      <c r="CY3538" s="20"/>
    </row>
    <row r="3539" ht="26.25" customHeight="1" spans="102:103">
      <c r="CX3539" s="20"/>
      <c r="CY3539" s="20"/>
    </row>
    <row r="3540" ht="26.25" customHeight="1" spans="102:103">
      <c r="CX3540" s="20"/>
      <c r="CY3540" s="20"/>
    </row>
    <row r="3541" ht="26.25" customHeight="1" spans="102:103">
      <c r="CX3541" s="20"/>
      <c r="CY3541" s="20"/>
    </row>
    <row r="3542" ht="26.25" customHeight="1" spans="102:103">
      <c r="CX3542" s="20"/>
      <c r="CY3542" s="20"/>
    </row>
    <row r="3543" ht="26.25" customHeight="1" spans="102:103">
      <c r="CX3543" s="20"/>
      <c r="CY3543" s="20"/>
    </row>
    <row r="3544" ht="26.25" customHeight="1" spans="102:103">
      <c r="CX3544" s="20"/>
      <c r="CY3544" s="20"/>
    </row>
    <row r="3545" ht="26.25" customHeight="1" spans="102:103">
      <c r="CX3545" s="20"/>
      <c r="CY3545" s="20"/>
    </row>
    <row r="3546" ht="26.25" customHeight="1" spans="102:103">
      <c r="CX3546" s="20"/>
      <c r="CY3546" s="20"/>
    </row>
    <row r="3547" ht="26.25" customHeight="1" spans="102:103">
      <c r="CX3547" s="20"/>
      <c r="CY3547" s="20"/>
    </row>
    <row r="3548" ht="26.25" customHeight="1" spans="102:103">
      <c r="CX3548" s="20"/>
      <c r="CY3548" s="20"/>
    </row>
    <row r="3549" ht="26.25" customHeight="1" spans="102:103">
      <c r="CX3549" s="20"/>
      <c r="CY3549" s="20"/>
    </row>
    <row r="3550" ht="26.25" customHeight="1" spans="102:103">
      <c r="CX3550" s="20"/>
      <c r="CY3550" s="20"/>
    </row>
    <row r="3551" ht="26.25" customHeight="1" spans="102:103">
      <c r="CX3551" s="20"/>
      <c r="CY3551" s="20"/>
    </row>
    <row r="3552" ht="26.25" customHeight="1" spans="102:103">
      <c r="CX3552" s="20"/>
      <c r="CY3552" s="20"/>
    </row>
    <row r="3553" ht="26.25" customHeight="1" spans="102:103">
      <c r="CX3553" s="20"/>
      <c r="CY3553" s="20"/>
    </row>
    <row r="3554" ht="26.25" customHeight="1" spans="102:103">
      <c r="CX3554" s="20"/>
      <c r="CY3554" s="20"/>
    </row>
    <row r="3555" ht="26.25" customHeight="1" spans="102:103">
      <c r="CX3555" s="20"/>
      <c r="CY3555" s="20"/>
    </row>
    <row r="3556" ht="26.25" customHeight="1" spans="102:103">
      <c r="CX3556" s="20"/>
      <c r="CY3556" s="20"/>
    </row>
    <row r="3557" ht="26.25" customHeight="1" spans="102:103">
      <c r="CX3557" s="20"/>
      <c r="CY3557" s="20"/>
    </row>
    <row r="3558" ht="26.25" customHeight="1" spans="102:103">
      <c r="CX3558" s="20"/>
      <c r="CY3558" s="20"/>
    </row>
    <row r="3559" ht="26.25" customHeight="1" spans="102:103">
      <c r="CX3559" s="20"/>
      <c r="CY3559" s="20"/>
    </row>
    <row r="3560" ht="26.25" customHeight="1" spans="102:103">
      <c r="CX3560" s="20"/>
      <c r="CY3560" s="20"/>
    </row>
    <row r="3561" ht="26.25" customHeight="1" spans="102:103">
      <c r="CX3561" s="20"/>
      <c r="CY3561" s="20"/>
    </row>
    <row r="3562" ht="26.25" customHeight="1" spans="102:103">
      <c r="CX3562" s="20"/>
      <c r="CY3562" s="20"/>
    </row>
    <row r="3563" ht="26.25" customHeight="1" spans="102:103">
      <c r="CX3563" s="20"/>
      <c r="CY3563" s="20"/>
    </row>
    <row r="3564" ht="26.25" customHeight="1" spans="102:103">
      <c r="CX3564" s="20"/>
      <c r="CY3564" s="20"/>
    </row>
    <row r="3565" ht="26.25" customHeight="1" spans="102:103">
      <c r="CX3565" s="20"/>
      <c r="CY3565" s="20"/>
    </row>
    <row r="3566" ht="26.25" customHeight="1" spans="102:103">
      <c r="CX3566" s="20"/>
      <c r="CY3566" s="20"/>
    </row>
    <row r="3567" ht="26.25" customHeight="1" spans="102:103">
      <c r="CX3567" s="20"/>
      <c r="CY3567" s="20"/>
    </row>
    <row r="3568" ht="26.25" customHeight="1" spans="102:103">
      <c r="CX3568" s="20"/>
      <c r="CY3568" s="20"/>
    </row>
    <row r="3569" ht="26.25" customHeight="1" spans="102:103">
      <c r="CX3569" s="20"/>
      <c r="CY3569" s="20"/>
    </row>
    <row r="3570" ht="26.25" customHeight="1" spans="102:103">
      <c r="CX3570" s="20"/>
      <c r="CY3570" s="20"/>
    </row>
    <row r="3571" ht="26.25" customHeight="1" spans="102:103">
      <c r="CX3571" s="20"/>
      <c r="CY3571" s="20"/>
    </row>
    <row r="3572" ht="26.25" customHeight="1" spans="102:103">
      <c r="CX3572" s="20"/>
      <c r="CY3572" s="20"/>
    </row>
    <row r="3573" ht="26.25" customHeight="1" spans="102:103">
      <c r="CX3573" s="20"/>
      <c r="CY3573" s="20"/>
    </row>
    <row r="3574" ht="26.25" customHeight="1" spans="102:103">
      <c r="CX3574" s="20"/>
      <c r="CY3574" s="20"/>
    </row>
    <row r="3575" ht="26.25" customHeight="1" spans="102:103">
      <c r="CX3575" s="20"/>
      <c r="CY3575" s="20"/>
    </row>
    <row r="3576" ht="26.25" customHeight="1" spans="102:103">
      <c r="CX3576" s="20"/>
      <c r="CY3576" s="20"/>
    </row>
    <row r="3577" ht="26.25" customHeight="1" spans="102:103">
      <c r="CX3577" s="20"/>
      <c r="CY3577" s="20"/>
    </row>
    <row r="3578" ht="26.25" customHeight="1" spans="102:103">
      <c r="CX3578" s="20"/>
      <c r="CY3578" s="20"/>
    </row>
    <row r="3579" ht="26.25" customHeight="1" spans="102:103">
      <c r="CX3579" s="20"/>
      <c r="CY3579" s="20"/>
    </row>
    <row r="3580" ht="26.25" customHeight="1" spans="102:103">
      <c r="CX3580" s="20"/>
      <c r="CY3580" s="20"/>
    </row>
    <row r="3581" ht="26.25" customHeight="1" spans="102:103">
      <c r="CX3581" s="20"/>
      <c r="CY3581" s="20"/>
    </row>
    <row r="3582" ht="26.25" customHeight="1" spans="102:103">
      <c r="CX3582" s="20"/>
      <c r="CY3582" s="20"/>
    </row>
    <row r="3583" ht="26.25" customHeight="1" spans="102:103">
      <c r="CX3583" s="20"/>
      <c r="CY3583" s="20"/>
    </row>
    <row r="3584" ht="26.25" customHeight="1" spans="102:103">
      <c r="CX3584" s="20"/>
      <c r="CY3584" s="20"/>
    </row>
    <row r="3585" ht="26.25" customHeight="1" spans="102:103">
      <c r="CX3585" s="20"/>
      <c r="CY3585" s="20"/>
    </row>
    <row r="3586" ht="26.25" customHeight="1" spans="102:103">
      <c r="CX3586" s="20"/>
      <c r="CY3586" s="20"/>
    </row>
    <row r="3587" ht="26.25" customHeight="1" spans="102:103">
      <c r="CX3587" s="20"/>
      <c r="CY3587" s="20"/>
    </row>
    <row r="3588" ht="26.25" customHeight="1" spans="102:103">
      <c r="CX3588" s="20"/>
      <c r="CY3588" s="20"/>
    </row>
    <row r="3589" ht="26.25" customHeight="1" spans="102:103">
      <c r="CX3589" s="20"/>
      <c r="CY3589" s="20"/>
    </row>
    <row r="3590" ht="26.25" customHeight="1" spans="102:103">
      <c r="CX3590" s="20"/>
      <c r="CY3590" s="20"/>
    </row>
    <row r="3591" ht="26.25" customHeight="1" spans="102:103">
      <c r="CX3591" s="20"/>
      <c r="CY3591" s="20"/>
    </row>
    <row r="3592" ht="26.25" customHeight="1" spans="102:103">
      <c r="CX3592" s="20"/>
      <c r="CY3592" s="20"/>
    </row>
    <row r="3593" ht="26.25" customHeight="1" spans="102:103">
      <c r="CX3593" s="20"/>
      <c r="CY3593" s="20"/>
    </row>
    <row r="3594" ht="26.25" customHeight="1" spans="102:103">
      <c r="CX3594" s="20"/>
      <c r="CY3594" s="20"/>
    </row>
    <row r="3595" ht="26.25" customHeight="1" spans="102:103">
      <c r="CX3595" s="20"/>
      <c r="CY3595" s="20"/>
    </row>
    <row r="3596" ht="26.25" customHeight="1" spans="102:103">
      <c r="CX3596" s="20"/>
      <c r="CY3596" s="20"/>
    </row>
    <row r="3597" ht="26.25" customHeight="1" spans="102:103">
      <c r="CX3597" s="20"/>
      <c r="CY3597" s="20"/>
    </row>
    <row r="3598" ht="26.25" customHeight="1" spans="102:103">
      <c r="CX3598" s="20"/>
      <c r="CY3598" s="20"/>
    </row>
    <row r="3599" ht="26.25" customHeight="1" spans="102:103">
      <c r="CX3599" s="20"/>
      <c r="CY3599" s="20"/>
    </row>
    <row r="3600" ht="26.25" customHeight="1" spans="102:103">
      <c r="CX3600" s="20"/>
      <c r="CY3600" s="20"/>
    </row>
    <row r="3601" ht="26.25" customHeight="1" spans="102:103">
      <c r="CX3601" s="20"/>
      <c r="CY3601" s="20"/>
    </row>
    <row r="3602" ht="26.25" customHeight="1" spans="102:103">
      <c r="CX3602" s="20"/>
      <c r="CY3602" s="20"/>
    </row>
    <row r="3603" ht="26.25" customHeight="1" spans="102:103">
      <c r="CX3603" s="20"/>
      <c r="CY3603" s="20"/>
    </row>
    <row r="3604" ht="26.25" customHeight="1" spans="102:103">
      <c r="CX3604" s="20"/>
      <c r="CY3604" s="20"/>
    </row>
    <row r="3605" ht="26.25" customHeight="1" spans="102:103">
      <c r="CX3605" s="20"/>
      <c r="CY3605" s="20"/>
    </row>
    <row r="3606" ht="26.25" customHeight="1" spans="102:103">
      <c r="CX3606" s="20"/>
      <c r="CY3606" s="20"/>
    </row>
    <row r="3607" ht="26.25" customHeight="1" spans="102:103">
      <c r="CX3607" s="20"/>
      <c r="CY3607" s="20"/>
    </row>
    <row r="3608" ht="26.25" customHeight="1" spans="102:103">
      <c r="CX3608" s="20"/>
      <c r="CY3608" s="20"/>
    </row>
    <row r="3609" ht="26.25" customHeight="1" spans="102:103">
      <c r="CX3609" s="20"/>
      <c r="CY3609" s="20"/>
    </row>
    <row r="3610" ht="26.25" customHeight="1" spans="102:103">
      <c r="CX3610" s="20"/>
      <c r="CY3610" s="20"/>
    </row>
    <row r="3611" ht="26.25" customHeight="1" spans="102:103">
      <c r="CX3611" s="20"/>
      <c r="CY3611" s="20"/>
    </row>
    <row r="3612" ht="26.25" customHeight="1" spans="102:103">
      <c r="CX3612" s="20"/>
      <c r="CY3612" s="20"/>
    </row>
    <row r="3613" ht="26.25" customHeight="1" spans="102:103">
      <c r="CX3613" s="20"/>
      <c r="CY3613" s="20"/>
    </row>
    <row r="3614" ht="26.25" customHeight="1" spans="102:103">
      <c r="CX3614" s="20"/>
      <c r="CY3614" s="20"/>
    </row>
    <row r="3615" ht="26.25" customHeight="1" spans="102:103">
      <c r="CX3615" s="20"/>
      <c r="CY3615" s="20"/>
    </row>
    <row r="3616" ht="26.25" customHeight="1" spans="102:103">
      <c r="CX3616" s="20"/>
      <c r="CY3616" s="20"/>
    </row>
    <row r="3617" ht="26.25" customHeight="1" spans="102:103">
      <c r="CX3617" s="20"/>
      <c r="CY3617" s="20"/>
    </row>
    <row r="3618" ht="26.25" customHeight="1" spans="102:103">
      <c r="CX3618" s="20"/>
      <c r="CY3618" s="20"/>
    </row>
    <row r="3619" ht="26.25" customHeight="1" spans="102:103">
      <c r="CX3619" s="20"/>
      <c r="CY3619" s="20"/>
    </row>
    <row r="3620" ht="26.25" customHeight="1" spans="102:103">
      <c r="CX3620" s="20"/>
      <c r="CY3620" s="20"/>
    </row>
    <row r="3621" ht="26.25" customHeight="1" spans="102:103">
      <c r="CX3621" s="20"/>
      <c r="CY3621" s="20"/>
    </row>
    <row r="3622" ht="26.25" customHeight="1" spans="102:103">
      <c r="CX3622" s="20"/>
      <c r="CY3622" s="20"/>
    </row>
    <row r="3623" ht="26.25" customHeight="1" spans="102:103">
      <c r="CX3623" s="20"/>
      <c r="CY3623" s="20"/>
    </row>
    <row r="3624" ht="26.25" customHeight="1" spans="102:103">
      <c r="CX3624" s="20"/>
      <c r="CY3624" s="20"/>
    </row>
    <row r="3625" ht="26.25" customHeight="1" spans="102:103">
      <c r="CX3625" s="20"/>
      <c r="CY3625" s="20"/>
    </row>
    <row r="3626" ht="26.25" customHeight="1" spans="102:103">
      <c r="CX3626" s="20"/>
      <c r="CY3626" s="20"/>
    </row>
    <row r="3627" ht="26.25" customHeight="1" spans="102:103">
      <c r="CX3627" s="20"/>
      <c r="CY3627" s="20"/>
    </row>
    <row r="3628" ht="26.25" customHeight="1" spans="102:103">
      <c r="CX3628" s="20"/>
      <c r="CY3628" s="20"/>
    </row>
    <row r="3629" ht="26.25" customHeight="1" spans="102:103">
      <c r="CX3629" s="20"/>
      <c r="CY3629" s="20"/>
    </row>
    <row r="3630" ht="26.25" customHeight="1" spans="102:103">
      <c r="CX3630" s="20"/>
      <c r="CY3630" s="20"/>
    </row>
    <row r="3631" ht="26.25" customHeight="1" spans="102:103">
      <c r="CX3631" s="20"/>
      <c r="CY3631" s="20"/>
    </row>
    <row r="3632" ht="26.25" customHeight="1" spans="102:103">
      <c r="CX3632" s="20"/>
      <c r="CY3632" s="20"/>
    </row>
    <row r="3633" ht="26.25" customHeight="1" spans="102:103">
      <c r="CX3633" s="20"/>
      <c r="CY3633" s="20"/>
    </row>
    <row r="3634" ht="26.25" customHeight="1" spans="102:103">
      <c r="CX3634" s="20"/>
      <c r="CY3634" s="20"/>
    </row>
    <row r="3635" ht="26.25" customHeight="1" spans="102:103">
      <c r="CX3635" s="20"/>
      <c r="CY3635" s="20"/>
    </row>
    <row r="3636" ht="26.25" customHeight="1" spans="102:103">
      <c r="CX3636" s="20"/>
      <c r="CY3636" s="20"/>
    </row>
    <row r="3637" ht="26.25" customHeight="1" spans="102:103">
      <c r="CX3637" s="20"/>
      <c r="CY3637" s="20"/>
    </row>
    <row r="3638" ht="26.25" customHeight="1" spans="102:103">
      <c r="CX3638" s="20"/>
      <c r="CY3638" s="20"/>
    </row>
    <row r="3639" ht="26.25" customHeight="1" spans="102:103">
      <c r="CX3639" s="20"/>
      <c r="CY3639" s="20"/>
    </row>
    <row r="3640" ht="26.25" customHeight="1" spans="102:103">
      <c r="CX3640" s="20"/>
      <c r="CY3640" s="20"/>
    </row>
    <row r="3641" ht="26.25" customHeight="1" spans="102:103">
      <c r="CX3641" s="20"/>
      <c r="CY3641" s="20"/>
    </row>
    <row r="3642" ht="26.25" customHeight="1" spans="102:103">
      <c r="CX3642" s="20"/>
      <c r="CY3642" s="20"/>
    </row>
    <row r="3643" ht="26.25" customHeight="1" spans="102:103">
      <c r="CX3643" s="20"/>
      <c r="CY3643" s="20"/>
    </row>
    <row r="3644" ht="26.25" customHeight="1" spans="102:103">
      <c r="CX3644" s="20"/>
      <c r="CY3644" s="20"/>
    </row>
    <row r="3645" ht="26.25" customHeight="1" spans="102:103">
      <c r="CX3645" s="20"/>
      <c r="CY3645" s="20"/>
    </row>
    <row r="3646" ht="26.25" customHeight="1" spans="102:103">
      <c r="CX3646" s="20"/>
      <c r="CY3646" s="20"/>
    </row>
    <row r="3647" ht="26.25" customHeight="1" spans="102:103">
      <c r="CX3647" s="20"/>
      <c r="CY3647" s="20"/>
    </row>
    <row r="3648" ht="26.25" customHeight="1" spans="102:103">
      <c r="CX3648" s="20"/>
      <c r="CY3648" s="20"/>
    </row>
    <row r="3649" ht="26.25" customHeight="1" spans="102:103">
      <c r="CX3649" s="20"/>
      <c r="CY3649" s="20"/>
    </row>
    <row r="3650" ht="26.25" customHeight="1" spans="102:103">
      <c r="CX3650" s="20"/>
      <c r="CY3650" s="20"/>
    </row>
    <row r="3651" ht="26.25" customHeight="1" spans="102:103">
      <c r="CX3651" s="20"/>
      <c r="CY3651" s="20"/>
    </row>
    <row r="3652" ht="26.25" customHeight="1" spans="102:103">
      <c r="CX3652" s="20"/>
      <c r="CY3652" s="20"/>
    </row>
    <row r="3653" ht="26.25" customHeight="1" spans="102:103">
      <c r="CX3653" s="20"/>
      <c r="CY3653" s="20"/>
    </row>
    <row r="3654" ht="26.25" customHeight="1" spans="102:103">
      <c r="CX3654" s="20"/>
      <c r="CY3654" s="20"/>
    </row>
    <row r="3655" ht="26.25" customHeight="1" spans="102:103">
      <c r="CX3655" s="20"/>
      <c r="CY3655" s="20"/>
    </row>
    <row r="3656" ht="26.25" customHeight="1" spans="102:103">
      <c r="CX3656" s="20"/>
      <c r="CY3656" s="20"/>
    </row>
    <row r="3657" ht="26.25" customHeight="1" spans="102:103">
      <c r="CX3657" s="20"/>
      <c r="CY3657" s="20"/>
    </row>
    <row r="3658" ht="26.25" customHeight="1" spans="102:103">
      <c r="CX3658" s="20"/>
      <c r="CY3658" s="20"/>
    </row>
    <row r="3659" ht="26.25" customHeight="1" spans="102:103">
      <c r="CX3659" s="20"/>
      <c r="CY3659" s="20"/>
    </row>
    <row r="3660" ht="26.25" customHeight="1" spans="102:103">
      <c r="CX3660" s="20"/>
      <c r="CY3660" s="20"/>
    </row>
    <row r="3661" ht="26.25" customHeight="1" spans="102:103">
      <c r="CX3661" s="20"/>
      <c r="CY3661" s="20"/>
    </row>
    <row r="3662" ht="26.25" customHeight="1" spans="102:103">
      <c r="CX3662" s="20"/>
      <c r="CY3662" s="20"/>
    </row>
    <row r="3663" ht="26.25" customHeight="1" spans="102:103">
      <c r="CX3663" s="20"/>
      <c r="CY3663" s="20"/>
    </row>
    <row r="3664" ht="26.25" customHeight="1" spans="102:103">
      <c r="CX3664" s="20"/>
      <c r="CY3664" s="20"/>
    </row>
    <row r="3665" ht="26.25" customHeight="1" spans="102:103">
      <c r="CX3665" s="20"/>
      <c r="CY3665" s="20"/>
    </row>
    <row r="3666" ht="26.25" customHeight="1" spans="102:103">
      <c r="CX3666" s="20"/>
      <c r="CY3666" s="20"/>
    </row>
    <row r="3667" ht="26.25" customHeight="1" spans="102:103">
      <c r="CX3667" s="20"/>
      <c r="CY3667" s="20"/>
    </row>
    <row r="3668" ht="26.25" customHeight="1" spans="102:103">
      <c r="CX3668" s="20"/>
      <c r="CY3668" s="20"/>
    </row>
    <row r="3669" ht="26.25" customHeight="1" spans="102:103">
      <c r="CX3669" s="20"/>
      <c r="CY3669" s="20"/>
    </row>
    <row r="3670" ht="26.25" customHeight="1" spans="102:103">
      <c r="CX3670" s="20"/>
      <c r="CY3670" s="20"/>
    </row>
    <row r="3671" ht="26.25" customHeight="1" spans="102:103">
      <c r="CX3671" s="20"/>
      <c r="CY3671" s="20"/>
    </row>
    <row r="3672" ht="26.25" customHeight="1" spans="102:103">
      <c r="CX3672" s="20"/>
      <c r="CY3672" s="20"/>
    </row>
    <row r="3673" ht="26.25" customHeight="1" spans="102:103">
      <c r="CX3673" s="20"/>
      <c r="CY3673" s="20"/>
    </row>
    <row r="3674" ht="26.25" customHeight="1" spans="102:103">
      <c r="CX3674" s="20"/>
      <c r="CY3674" s="20"/>
    </row>
    <row r="3675" ht="26.25" customHeight="1" spans="102:103">
      <c r="CX3675" s="20"/>
      <c r="CY3675" s="20"/>
    </row>
    <row r="3676" ht="26.25" customHeight="1" spans="102:103">
      <c r="CX3676" s="20"/>
      <c r="CY3676" s="20"/>
    </row>
    <row r="3677" ht="26.25" customHeight="1" spans="102:103">
      <c r="CX3677" s="20"/>
      <c r="CY3677" s="20"/>
    </row>
    <row r="3678" ht="26.25" customHeight="1" spans="102:103">
      <c r="CX3678" s="20"/>
      <c r="CY3678" s="20"/>
    </row>
    <row r="3679" ht="26.25" customHeight="1" spans="102:103">
      <c r="CX3679" s="20"/>
      <c r="CY3679" s="20"/>
    </row>
    <row r="3680" ht="26.25" customHeight="1" spans="102:103">
      <c r="CX3680" s="20"/>
      <c r="CY3680" s="20"/>
    </row>
    <row r="3681" ht="26.25" customHeight="1" spans="102:103">
      <c r="CX3681" s="20"/>
      <c r="CY3681" s="20"/>
    </row>
    <row r="3682" ht="26.25" customHeight="1" spans="102:103">
      <c r="CX3682" s="20"/>
      <c r="CY3682" s="20"/>
    </row>
    <row r="3683" ht="26.25" customHeight="1" spans="102:103">
      <c r="CX3683" s="20"/>
      <c r="CY3683" s="20"/>
    </row>
    <row r="3684" ht="26.25" customHeight="1" spans="102:103">
      <c r="CX3684" s="20"/>
      <c r="CY3684" s="20"/>
    </row>
    <row r="3685" ht="26.25" customHeight="1" spans="102:103">
      <c r="CX3685" s="20"/>
      <c r="CY3685" s="20"/>
    </row>
    <row r="3686" ht="26.25" customHeight="1" spans="102:103">
      <c r="CX3686" s="20"/>
      <c r="CY3686" s="20"/>
    </row>
    <row r="3687" ht="26.25" customHeight="1" spans="102:103">
      <c r="CX3687" s="20"/>
      <c r="CY3687" s="20"/>
    </row>
    <row r="3688" ht="26.25" customHeight="1" spans="102:103">
      <c r="CX3688" s="20"/>
      <c r="CY3688" s="20"/>
    </row>
    <row r="3689" ht="26.25" customHeight="1" spans="102:103">
      <c r="CX3689" s="20"/>
      <c r="CY3689" s="20"/>
    </row>
    <row r="3690" ht="26.25" customHeight="1" spans="102:103">
      <c r="CX3690" s="20"/>
      <c r="CY3690" s="20"/>
    </row>
    <row r="3691" ht="26.25" customHeight="1" spans="102:103">
      <c r="CX3691" s="20"/>
      <c r="CY3691" s="20"/>
    </row>
    <row r="3692" ht="26.25" customHeight="1" spans="102:103">
      <c r="CX3692" s="20"/>
      <c r="CY3692" s="20"/>
    </row>
    <row r="3693" ht="26.25" customHeight="1" spans="102:103">
      <c r="CX3693" s="20"/>
      <c r="CY3693" s="20"/>
    </row>
    <row r="3694" ht="26.25" customHeight="1" spans="102:103">
      <c r="CX3694" s="20"/>
      <c r="CY3694" s="20"/>
    </row>
    <row r="3695" ht="26.25" customHeight="1" spans="102:103">
      <c r="CX3695" s="20"/>
      <c r="CY3695" s="20"/>
    </row>
    <row r="3696" ht="26.25" customHeight="1" spans="102:103">
      <c r="CX3696" s="20"/>
      <c r="CY3696" s="20"/>
    </row>
    <row r="3697" ht="26.25" customHeight="1" spans="102:103">
      <c r="CX3697" s="20"/>
      <c r="CY3697" s="20"/>
    </row>
    <row r="3698" ht="26.25" customHeight="1" spans="102:103">
      <c r="CX3698" s="20"/>
      <c r="CY3698" s="20"/>
    </row>
    <row r="3699" ht="26.25" customHeight="1" spans="102:103">
      <c r="CX3699" s="20"/>
      <c r="CY3699" s="20"/>
    </row>
    <row r="3700" ht="26.25" customHeight="1" spans="102:103">
      <c r="CX3700" s="20"/>
      <c r="CY3700" s="20"/>
    </row>
    <row r="3701" ht="26.25" customHeight="1" spans="102:103">
      <c r="CX3701" s="20"/>
      <c r="CY3701" s="20"/>
    </row>
    <row r="3702" ht="26.25" customHeight="1" spans="102:103">
      <c r="CX3702" s="20"/>
      <c r="CY3702" s="20"/>
    </row>
    <row r="3703" ht="26.25" customHeight="1" spans="102:103">
      <c r="CX3703" s="20"/>
      <c r="CY3703" s="20"/>
    </row>
    <row r="3704" ht="26.25" customHeight="1" spans="102:103">
      <c r="CX3704" s="20"/>
      <c r="CY3704" s="20"/>
    </row>
    <row r="3705" ht="26.25" customHeight="1" spans="102:103">
      <c r="CX3705" s="20"/>
      <c r="CY3705" s="20"/>
    </row>
    <row r="3706" ht="26.25" customHeight="1" spans="102:103">
      <c r="CX3706" s="20"/>
      <c r="CY3706" s="20"/>
    </row>
    <row r="3707" ht="26.25" customHeight="1" spans="102:103">
      <c r="CX3707" s="20"/>
      <c r="CY3707" s="20"/>
    </row>
    <row r="3708" ht="26.25" customHeight="1" spans="102:103">
      <c r="CX3708" s="20"/>
      <c r="CY3708" s="20"/>
    </row>
    <row r="3709" ht="26.25" customHeight="1" spans="102:103">
      <c r="CX3709" s="20"/>
      <c r="CY3709" s="20"/>
    </row>
    <row r="3710" ht="26.25" customHeight="1" spans="102:103">
      <c r="CX3710" s="20"/>
      <c r="CY3710" s="20"/>
    </row>
    <row r="3711" ht="26.25" customHeight="1" spans="102:103">
      <c r="CX3711" s="20"/>
      <c r="CY3711" s="20"/>
    </row>
    <row r="3712" ht="26.25" customHeight="1"/>
    <row r="3713" ht="26.25" customHeight="1"/>
    <row r="3714" ht="26.25" customHeight="1"/>
    <row r="3715" ht="26.25" customHeight="1"/>
    <row r="3716" ht="26.25" customHeight="1"/>
    <row r="3717" ht="26.25" customHeight="1"/>
    <row r="3718" ht="26.25" customHeight="1"/>
    <row r="3719" ht="26.25" customHeight="1"/>
    <row r="3720" ht="26.25" customHeight="1"/>
    <row r="3721" ht="26.25" customHeight="1"/>
    <row r="3722" ht="26.25" customHeight="1"/>
    <row r="3723" ht="26.25" customHeight="1"/>
    <row r="3724" ht="26.25" customHeight="1"/>
    <row r="3725" ht="26.25" customHeight="1"/>
    <row r="3726" ht="26.25" customHeight="1"/>
    <row r="3727" ht="26.25" customHeight="1"/>
    <row r="3728" ht="26.25" customHeight="1"/>
    <row r="3729" ht="26.25" customHeight="1"/>
    <row r="3730" ht="26.25" customHeight="1"/>
    <row r="3731" ht="26.25" customHeight="1"/>
    <row r="3732" ht="26.25" customHeight="1"/>
    <row r="3733" ht="26.25" customHeight="1"/>
    <row r="3734" ht="26.25" customHeight="1"/>
    <row r="3735" ht="26.25" customHeight="1"/>
    <row r="3736" ht="26.25" customHeight="1"/>
    <row r="3737" ht="26.25" customHeight="1"/>
    <row r="3738" ht="26.25" customHeight="1"/>
    <row r="3739" ht="26.25" customHeight="1"/>
    <row r="3740" ht="26.25" customHeight="1"/>
    <row r="3741" ht="26.25" customHeight="1"/>
    <row r="3742" ht="26.25" customHeight="1"/>
    <row r="3743" ht="26.25" customHeight="1"/>
    <row r="3744" ht="26.25" customHeight="1"/>
    <row r="3745" ht="26.25" customHeight="1"/>
    <row r="3746" ht="26.25" customHeight="1"/>
    <row r="3747" ht="26.25" customHeight="1"/>
    <row r="3748" ht="26.25" customHeight="1"/>
    <row r="3749" ht="26.25" customHeight="1"/>
    <row r="3750" ht="26.25" customHeight="1"/>
    <row r="3751" ht="26.25" customHeight="1"/>
    <row r="3752" ht="26.25" customHeight="1"/>
    <row r="3753" ht="26.25" customHeight="1"/>
    <row r="3754" ht="26.25" customHeight="1"/>
    <row r="3755" ht="26.25" customHeight="1"/>
    <row r="3756" ht="26.25" customHeight="1"/>
    <row r="3757" ht="26.25" customHeight="1"/>
    <row r="3758" ht="26.25" customHeight="1"/>
    <row r="3759" ht="26.25" customHeight="1"/>
    <row r="3760" ht="26.25" customHeight="1"/>
    <row r="3761" ht="26.25" customHeight="1"/>
    <row r="3762" ht="26.25" customHeight="1"/>
    <row r="3763" ht="26.25" customHeight="1"/>
    <row r="3764" ht="26.25" customHeight="1"/>
    <row r="3765" ht="26.25" customHeight="1"/>
    <row r="3766" ht="26.25" customHeight="1"/>
    <row r="3767" ht="26.25" customHeight="1"/>
    <row r="3768" ht="26.25" customHeight="1"/>
    <row r="3769" ht="26.25" customHeight="1"/>
    <row r="3770" ht="26.25" customHeight="1"/>
    <row r="3771" ht="26.25" customHeight="1"/>
    <row r="3772" ht="26.25" customHeight="1"/>
    <row r="3773" ht="26.25" customHeight="1"/>
    <row r="3774" ht="26.25" customHeight="1"/>
    <row r="3775" ht="26.25" customHeight="1"/>
    <row r="3776" ht="26.25" customHeight="1"/>
    <row r="3777" ht="26.25" customHeight="1"/>
    <row r="3778" ht="26.25" customHeight="1"/>
    <row r="3779" ht="26.25" customHeight="1"/>
    <row r="3780" ht="26.25" customHeight="1"/>
    <row r="3781" ht="26.25" customHeight="1"/>
    <row r="3782" ht="26.25" customHeight="1"/>
    <row r="3783" ht="26.25" customHeight="1"/>
    <row r="3784" ht="26.25" customHeight="1"/>
    <row r="3785" ht="26.25" customHeight="1"/>
    <row r="3786" ht="26.25" customHeight="1"/>
    <row r="3787" ht="26.25" customHeight="1"/>
    <row r="3788" ht="26.25" customHeight="1"/>
    <row r="3789" ht="26.25" customHeight="1"/>
    <row r="3790" ht="26.25" customHeight="1"/>
    <row r="3791" ht="26.25" customHeight="1"/>
    <row r="3792" ht="26.25" customHeight="1"/>
    <row r="3793" ht="26.25" customHeight="1"/>
    <row r="3794" ht="26.25" customHeight="1"/>
    <row r="3795" ht="26.25" customHeight="1"/>
    <row r="3796" ht="26.25" customHeight="1"/>
    <row r="3797" ht="26.25" customHeight="1"/>
    <row r="3798" ht="26.25" customHeight="1"/>
    <row r="3799" ht="26.25" customHeight="1"/>
    <row r="3800" ht="26.25" customHeight="1"/>
    <row r="3801" ht="26.25" customHeight="1"/>
    <row r="3802" ht="26.25" customHeight="1"/>
    <row r="3803" ht="26.25" customHeight="1"/>
    <row r="3804" ht="26.25" customHeight="1"/>
    <row r="3805" ht="26.25" customHeight="1"/>
    <row r="3806" ht="26.25" customHeight="1"/>
    <row r="3807" ht="26.25" customHeight="1"/>
    <row r="3808" ht="26.25" customHeight="1"/>
    <row r="3809" ht="26.25" customHeight="1"/>
    <row r="3810" ht="26.25" customHeight="1"/>
    <row r="3811" ht="26.25" customHeight="1"/>
    <row r="3812" ht="26.25" customHeight="1"/>
    <row r="3813" ht="26.25" customHeight="1"/>
    <row r="3814" ht="26.25" customHeight="1"/>
    <row r="3815" ht="26.25" customHeight="1"/>
    <row r="3816" ht="26.25" customHeight="1"/>
    <row r="3817" ht="26.25" customHeight="1"/>
    <row r="3818" ht="26.25" customHeight="1"/>
    <row r="3819" ht="26.25" customHeight="1"/>
    <row r="3820" ht="26.25" customHeight="1"/>
    <row r="3821" ht="26.25" customHeight="1"/>
    <row r="3822" ht="26.25" customHeight="1"/>
    <row r="3823" ht="26.25" customHeight="1"/>
    <row r="3824" ht="26.25" customHeight="1"/>
    <row r="3825" ht="26.25" customHeight="1"/>
    <row r="3826" ht="26.25" customHeight="1"/>
    <row r="3827" ht="26.25" customHeight="1"/>
    <row r="3828" ht="26.25" customHeight="1"/>
    <row r="3829" ht="26.25" customHeight="1"/>
    <row r="3830" ht="26.25" customHeight="1"/>
    <row r="3831" ht="26.25" customHeight="1"/>
    <row r="3832" ht="26.25" customHeight="1"/>
    <row r="3833" ht="26.25" customHeight="1"/>
    <row r="3834" ht="26.25" customHeight="1"/>
    <row r="3835" ht="26.25" customHeight="1"/>
    <row r="3836" ht="26.25" customHeight="1"/>
    <row r="3837" ht="26.25" customHeight="1"/>
    <row r="3838" ht="26.25" customHeight="1"/>
    <row r="3839" ht="26.25" customHeight="1"/>
    <row r="3840" ht="26.25" customHeight="1"/>
    <row r="3841" ht="26.25" customHeight="1"/>
    <row r="3842" ht="26.25" customHeight="1"/>
    <row r="3843" ht="26.25" customHeight="1"/>
    <row r="3844" ht="26.25" customHeight="1"/>
    <row r="3845" ht="26.25" customHeight="1"/>
    <row r="3846" ht="26.25" customHeight="1"/>
    <row r="3847" ht="26.25" customHeight="1"/>
    <row r="3848" ht="26.25" customHeight="1"/>
    <row r="3849" ht="26.25" customHeight="1"/>
    <row r="3850" ht="26.25" customHeight="1"/>
    <row r="3851" ht="26.25" customHeight="1"/>
    <row r="3852" ht="26.25" customHeight="1"/>
    <row r="3853" ht="26.25" customHeight="1"/>
    <row r="3854" ht="26.25" customHeight="1"/>
    <row r="3855" ht="26.25" customHeight="1"/>
    <row r="3856" ht="26.25" customHeight="1"/>
    <row r="3857" ht="26.25" customHeight="1"/>
    <row r="3858" ht="26.25" customHeight="1"/>
    <row r="3859" ht="26.25" customHeight="1"/>
    <row r="3860" ht="26.25" customHeight="1"/>
    <row r="3861" ht="26.25" customHeight="1"/>
    <row r="3862" ht="26.25" customHeight="1"/>
    <row r="3863" ht="26.25" customHeight="1"/>
    <row r="3864" ht="26.25" customHeight="1"/>
    <row r="3865" ht="26.25" customHeight="1"/>
    <row r="3866" ht="26.25" customHeight="1"/>
    <row r="3867" ht="26.25" customHeight="1"/>
    <row r="3868" ht="26.25" customHeight="1"/>
    <row r="3869" ht="26.25" customHeight="1"/>
    <row r="3870" ht="26.25" customHeight="1"/>
    <row r="3871" ht="26.25" customHeight="1"/>
    <row r="3872" ht="26.25" customHeight="1"/>
    <row r="3873" ht="26.25" customHeight="1"/>
    <row r="3874" ht="26.25" customHeight="1"/>
    <row r="3875" ht="26.25" customHeight="1"/>
    <row r="3876" ht="26.25" customHeight="1"/>
    <row r="3877" ht="26.25" customHeight="1"/>
    <row r="3878" ht="26.25" customHeight="1"/>
    <row r="3879" ht="26.25" customHeight="1"/>
    <row r="3880" ht="26.25" customHeight="1"/>
    <row r="3881" ht="26.25" customHeight="1"/>
    <row r="3882" ht="26.25" customHeight="1"/>
    <row r="3883" ht="26.25" customHeight="1"/>
    <row r="3884" ht="26.25" customHeight="1"/>
    <row r="3885" ht="26.25" customHeight="1"/>
    <row r="3886" ht="26.25" customHeight="1"/>
    <row r="3887" ht="26.25" customHeight="1"/>
    <row r="3888" ht="26.25" customHeight="1"/>
    <row r="3889" ht="26.25" customHeight="1"/>
    <row r="3890" ht="26.25" customHeight="1"/>
    <row r="3891" ht="26.25" customHeight="1"/>
    <row r="3892" ht="26.25" customHeight="1"/>
    <row r="3893" ht="26.25" customHeight="1"/>
    <row r="3894" ht="26.25" customHeight="1"/>
    <row r="3895" ht="26.25" customHeight="1"/>
    <row r="3896" ht="26.25" customHeight="1"/>
    <row r="3897" ht="26.25" customHeight="1"/>
    <row r="3898" ht="26.25" customHeight="1"/>
    <row r="3899" ht="26.25" customHeight="1"/>
    <row r="3900" ht="26.25" customHeight="1"/>
    <row r="3901" ht="26.25" customHeight="1"/>
    <row r="3902" ht="26.25" customHeight="1"/>
    <row r="3903" ht="26.25" customHeight="1"/>
    <row r="3904" ht="26.25" customHeight="1"/>
    <row r="3905" ht="26.25" customHeight="1"/>
    <row r="3906" ht="26.25" customHeight="1"/>
    <row r="3907" ht="26.25" customHeight="1"/>
    <row r="3908" ht="26.25" customHeight="1"/>
    <row r="3909" ht="26.25" customHeight="1"/>
    <row r="3910" ht="26.25" customHeight="1"/>
    <row r="3911" ht="26.25" customHeight="1"/>
    <row r="3912" ht="26.25" customHeight="1"/>
    <row r="3913" ht="26.25" customHeight="1"/>
    <row r="3914" ht="26.25" customHeight="1"/>
    <row r="3915" ht="26.25" customHeight="1"/>
    <row r="3916" ht="26.25" customHeight="1"/>
    <row r="3917" ht="26.25" customHeight="1"/>
    <row r="3918" ht="26.25" customHeight="1"/>
    <row r="3919" ht="26.25" customHeight="1"/>
    <row r="3920" ht="26.25" customHeight="1"/>
    <row r="3921" ht="26.25" customHeight="1"/>
    <row r="3922" ht="26.25" customHeight="1"/>
    <row r="3923" ht="26.25" customHeight="1"/>
    <row r="3924" ht="26.25" customHeight="1"/>
    <row r="3925" ht="26.25" customHeight="1"/>
    <row r="3926" ht="26.25" customHeight="1"/>
    <row r="3927" ht="26.25" customHeight="1"/>
    <row r="3928" ht="26.25" customHeight="1"/>
    <row r="3929" ht="26.25" customHeight="1"/>
    <row r="3930" ht="26.25" customHeight="1"/>
    <row r="3931" ht="26.25" customHeight="1"/>
    <row r="3932" ht="26.25" customHeight="1"/>
    <row r="3933" ht="26.25" customHeight="1"/>
    <row r="3934" ht="26.25" customHeight="1"/>
    <row r="3935" ht="26.25" customHeight="1"/>
    <row r="3936" ht="26.25" customHeight="1"/>
    <row r="3937" ht="26.25" customHeight="1"/>
    <row r="3938" ht="26.25" customHeight="1"/>
    <row r="3939" ht="26.25" customHeight="1"/>
    <row r="3940" ht="26.25" customHeight="1"/>
    <row r="3941" ht="26.25" customHeight="1"/>
    <row r="3942" ht="26.25" customHeight="1"/>
    <row r="3943" ht="26.25" customHeight="1"/>
    <row r="3944" ht="26.25" customHeight="1"/>
    <row r="3945" ht="26.25" customHeight="1"/>
    <row r="3946" ht="26.25" customHeight="1"/>
    <row r="3947" ht="26.25" customHeight="1"/>
    <row r="3948" ht="26.25" customHeight="1"/>
    <row r="3949" ht="26.25" customHeight="1"/>
    <row r="3950" ht="26.25" customHeight="1"/>
    <row r="3951" ht="26.25" customHeight="1"/>
    <row r="3952" ht="26.25" customHeight="1"/>
    <row r="3953" ht="26.25" customHeight="1"/>
    <row r="3954" ht="26.25" customHeight="1"/>
    <row r="3955" ht="26.25" customHeight="1"/>
    <row r="3956" ht="26.25" customHeight="1"/>
    <row r="3957" ht="26.25" customHeight="1"/>
    <row r="3958" ht="26.25" customHeight="1"/>
    <row r="3959" ht="26.25" customHeight="1"/>
    <row r="3960" ht="26.25" customHeight="1"/>
    <row r="3961" ht="26.25" customHeight="1"/>
    <row r="3962" ht="26.25" customHeight="1"/>
    <row r="3963" ht="26.25" customHeight="1"/>
    <row r="3964" ht="26.25" customHeight="1"/>
    <row r="3965" ht="26.25" customHeight="1"/>
    <row r="3966" ht="26.25" customHeight="1"/>
    <row r="3967" ht="26.25" customHeight="1"/>
    <row r="3968" ht="26.25" customHeight="1"/>
    <row r="3969" ht="26.25" customHeight="1"/>
    <row r="3970" ht="26.25" customHeight="1"/>
    <row r="3971" ht="26.25" customHeight="1"/>
    <row r="3972" ht="26.25" customHeight="1"/>
    <row r="3973" ht="26.25" customHeight="1"/>
    <row r="3974" ht="26.25" customHeight="1"/>
    <row r="3975" ht="26.25" customHeight="1"/>
    <row r="3976" ht="26.25" customHeight="1"/>
    <row r="3977" ht="26.25" customHeight="1"/>
    <row r="3978" ht="26.25" customHeight="1"/>
    <row r="3979" ht="26.25" customHeight="1"/>
    <row r="3980" ht="26.25" customHeight="1"/>
    <row r="3981" ht="26.25" customHeight="1"/>
    <row r="3982" ht="26.25" customHeight="1"/>
    <row r="3983" ht="26.25" customHeight="1"/>
    <row r="3984" ht="26.25" customHeight="1"/>
    <row r="3985" ht="26.25" customHeight="1"/>
    <row r="3986" ht="26.25" customHeight="1"/>
    <row r="3987" ht="26.25" customHeight="1"/>
    <row r="3988" ht="26.25" customHeight="1"/>
    <row r="3989" ht="26.25" customHeight="1"/>
    <row r="3990" ht="26.25" customHeight="1"/>
    <row r="3991" ht="26.25" customHeight="1"/>
    <row r="3992" ht="26.25" customHeight="1"/>
    <row r="3993" ht="26.25" customHeight="1"/>
    <row r="3994" ht="26.25" customHeight="1"/>
    <row r="3995" ht="26.25" customHeight="1"/>
    <row r="3996" ht="26.25" customHeight="1"/>
    <row r="3997" ht="26.25" customHeight="1"/>
    <row r="3998" ht="26.25" customHeight="1"/>
    <row r="3999" ht="26.25" customHeight="1"/>
    <row r="4000" ht="26.25" customHeight="1"/>
    <row r="4001" ht="26.25" customHeight="1"/>
    <row r="4002" ht="26.25" customHeight="1"/>
    <row r="4003" ht="26.25" customHeight="1"/>
    <row r="4004" ht="26.25" customHeight="1"/>
    <row r="4005" ht="26.25" customHeight="1"/>
    <row r="4006" ht="26.25" customHeight="1"/>
    <row r="4007" ht="26.25" customHeight="1"/>
    <row r="4008" ht="26.25" customHeight="1"/>
    <row r="4009" ht="26.25" customHeight="1"/>
    <row r="4010" ht="26.25" customHeight="1"/>
    <row r="4011" ht="26.25" customHeight="1"/>
    <row r="4012" ht="26.25" customHeight="1"/>
    <row r="4013" ht="26.25" customHeight="1"/>
    <row r="4014" ht="26.25" customHeight="1"/>
    <row r="4015" ht="26.25" customHeight="1"/>
    <row r="4016" ht="26.25" customHeight="1"/>
    <row r="4017" ht="26.25" customHeight="1"/>
    <row r="4018" ht="26.25" customHeight="1"/>
    <row r="4019" ht="26.25" customHeight="1"/>
    <row r="4020" ht="26.25" customHeight="1"/>
    <row r="4021" ht="26.25" customHeight="1"/>
    <row r="4022" ht="26.25" customHeight="1"/>
    <row r="4023" ht="26.25" customHeight="1"/>
    <row r="4024" ht="26.25" customHeight="1"/>
    <row r="4025" ht="26.25" customHeight="1"/>
    <row r="4026" ht="26.25" customHeight="1"/>
    <row r="4027" ht="26.25" customHeight="1"/>
    <row r="4028" ht="26.25" customHeight="1"/>
    <row r="4029" ht="26.25" customHeight="1"/>
    <row r="4030" ht="26.25" customHeight="1"/>
    <row r="4031" ht="26.25" customHeight="1"/>
    <row r="4032" ht="26.25" customHeight="1"/>
    <row r="4033" ht="26.25" customHeight="1"/>
    <row r="4034" ht="26.25" customHeight="1"/>
    <row r="4035" ht="26.25" customHeight="1"/>
    <row r="4036" ht="26.25" customHeight="1"/>
    <row r="4037" ht="26.25" customHeight="1"/>
    <row r="4038" ht="26.25" customHeight="1"/>
    <row r="4039" ht="26.25" customHeight="1"/>
    <row r="4040" ht="26.25" customHeight="1"/>
    <row r="4041" ht="26.25" customHeight="1"/>
    <row r="4042" ht="26.25" customHeight="1"/>
    <row r="4043" ht="26.25" customHeight="1"/>
    <row r="4044" ht="26.25" customHeight="1"/>
    <row r="4045" ht="26.25" customHeight="1"/>
    <row r="4046" ht="26.25" customHeight="1"/>
    <row r="4047" ht="26.25" customHeight="1"/>
    <row r="4048" ht="26.25" customHeight="1"/>
    <row r="4049" ht="26.25" customHeight="1"/>
    <row r="4050" ht="26.25" customHeight="1"/>
    <row r="4051" ht="26.25" customHeight="1"/>
    <row r="4052" ht="26.25" customHeight="1"/>
    <row r="4053" ht="26.25" customHeight="1"/>
    <row r="4054" ht="26.25" customHeight="1"/>
    <row r="4055" ht="26.25" customHeight="1"/>
    <row r="4056" ht="26.25" customHeight="1"/>
    <row r="4057" ht="26.25" customHeight="1"/>
    <row r="4058" ht="26.25" customHeight="1"/>
    <row r="4059" ht="26.25" customHeight="1"/>
    <row r="4060" ht="26.25" customHeight="1"/>
    <row r="4061" ht="26.25" customHeight="1"/>
    <row r="4062" ht="26.25" customHeight="1"/>
    <row r="4063" ht="26.25" customHeight="1"/>
    <row r="4064" ht="26.25" customHeight="1"/>
    <row r="4065" ht="26.25" customHeight="1"/>
    <row r="4066" ht="26.25" customHeight="1"/>
    <row r="4067" ht="26.25" customHeight="1"/>
    <row r="4068" ht="26.25" customHeight="1"/>
    <row r="4069" ht="26.25" customHeight="1"/>
    <row r="4070" ht="26.25" customHeight="1"/>
    <row r="4071" ht="26.25" customHeight="1"/>
    <row r="4072" ht="26.25" customHeight="1"/>
    <row r="4073" ht="26.25" customHeight="1"/>
    <row r="4074" ht="26.25" customHeight="1"/>
    <row r="4075" ht="26.25" customHeight="1"/>
    <row r="4076" ht="26.25" customHeight="1"/>
    <row r="4077" ht="26.25" customHeight="1"/>
    <row r="4078" ht="26.25" customHeight="1"/>
    <row r="4079" ht="26.25" customHeight="1"/>
    <row r="4080" ht="26.25" customHeight="1"/>
    <row r="4081" ht="26.25" customHeight="1"/>
    <row r="4082" ht="26.25" customHeight="1"/>
    <row r="4083" ht="26.25" customHeight="1"/>
    <row r="4084" ht="26.25" customHeight="1"/>
    <row r="4085" ht="26.25" customHeight="1"/>
    <row r="4086" ht="26.25" customHeight="1"/>
    <row r="4087" ht="26.25" customHeight="1"/>
    <row r="4088" ht="26.25" customHeight="1"/>
    <row r="4089" ht="26.25" customHeight="1"/>
    <row r="4090" ht="26.25" customHeight="1"/>
    <row r="4091" ht="26.25" customHeight="1"/>
    <row r="4092" ht="26.25" customHeight="1"/>
    <row r="4093" ht="26.25" customHeight="1"/>
    <row r="4094" ht="26.25" customHeight="1"/>
    <row r="4095" ht="26.25" customHeight="1"/>
    <row r="4096" ht="26.25" customHeight="1"/>
    <row r="4097" ht="26.25" customHeight="1"/>
    <row r="4098" ht="26.25" customHeight="1"/>
    <row r="4099" ht="26.25" customHeight="1"/>
    <row r="4100" ht="26.25" customHeight="1"/>
    <row r="4101" ht="26.25" customHeight="1"/>
    <row r="4102" ht="26.25" customHeight="1"/>
    <row r="4103" ht="26.25" customHeight="1"/>
    <row r="4104" ht="26.25" customHeight="1"/>
    <row r="4105" ht="26.25" customHeight="1"/>
    <row r="4106" ht="26.25" customHeight="1"/>
    <row r="4107" ht="26.25" customHeight="1"/>
    <row r="4108" ht="26.25" customHeight="1"/>
    <row r="4109" ht="26.25" customHeight="1"/>
    <row r="4110" ht="26.25" customHeight="1"/>
    <row r="4111" ht="26.25" customHeight="1"/>
    <row r="4112" ht="26.25" customHeight="1"/>
    <row r="4113" ht="26.25" customHeight="1"/>
    <row r="4114" ht="26.25" customHeight="1"/>
    <row r="4115" ht="26.25" customHeight="1"/>
    <row r="4116" ht="26.25" customHeight="1"/>
    <row r="4117" ht="26.25" customHeight="1"/>
    <row r="4118" ht="26.25" customHeight="1"/>
    <row r="4119" ht="26.25" customHeight="1"/>
    <row r="4120" ht="26.25" customHeight="1"/>
    <row r="4121" ht="26.25" customHeight="1"/>
    <row r="4122" ht="26.25" customHeight="1"/>
    <row r="4123" ht="26.25" customHeight="1"/>
    <row r="4124" ht="26.25" customHeight="1"/>
    <row r="4125" ht="26.25" customHeight="1"/>
    <row r="4126" ht="26.25" customHeight="1"/>
    <row r="4127" ht="26.25" customHeight="1"/>
    <row r="4128" ht="26.25" customHeight="1"/>
    <row r="4129" ht="26.25" customHeight="1"/>
    <row r="4130" ht="26.25" customHeight="1"/>
    <row r="4131" ht="26.25" customHeight="1"/>
    <row r="4132" ht="26.25" customHeight="1"/>
    <row r="4133" ht="26.25" customHeight="1"/>
    <row r="4134" ht="26.25" customHeight="1"/>
    <row r="4135" ht="26.25" customHeight="1"/>
    <row r="4136" ht="26.25" customHeight="1"/>
    <row r="4137" ht="26.25" customHeight="1"/>
    <row r="4138" ht="26.25" customHeight="1"/>
    <row r="4139" ht="26.25" customHeight="1"/>
    <row r="4140" ht="26.25" customHeight="1"/>
    <row r="4141" ht="26.25" customHeight="1"/>
    <row r="4142" ht="26.25" customHeight="1"/>
    <row r="4143" ht="26.25" customHeight="1"/>
    <row r="4144" ht="26.25" customHeight="1"/>
    <row r="4145" ht="26.25" customHeight="1"/>
    <row r="4146" ht="26.25" customHeight="1"/>
    <row r="4147" ht="26.25" customHeight="1"/>
    <row r="4148" ht="26.25" customHeight="1"/>
    <row r="4149" ht="26.25" customHeight="1"/>
    <row r="4150" ht="26.25" customHeight="1"/>
    <row r="4151" ht="26.25" customHeight="1"/>
    <row r="4152" ht="26.25" customHeight="1"/>
    <row r="4153" ht="26.25" customHeight="1"/>
    <row r="4154" ht="26.25" customHeight="1"/>
    <row r="4155" ht="26.25" customHeight="1"/>
    <row r="4156" ht="26.25" customHeight="1"/>
    <row r="4157" ht="26.25" customHeight="1"/>
    <row r="4158" ht="26.25" customHeight="1"/>
    <row r="4159" ht="26.25" customHeight="1"/>
    <row r="4160" ht="26.25" customHeight="1"/>
    <row r="4161" ht="26.25" customHeight="1"/>
    <row r="4162" ht="26.25" customHeight="1"/>
    <row r="4163" ht="26.25" customHeight="1"/>
    <row r="4164" ht="26.25" customHeight="1"/>
    <row r="4165" ht="26.25" customHeight="1"/>
    <row r="4166" ht="26.25" customHeight="1"/>
    <row r="4167" ht="26.25" customHeight="1"/>
    <row r="4168" ht="26.25" customHeight="1"/>
    <row r="4169" ht="26.25" customHeight="1"/>
    <row r="4170" ht="26.25" customHeight="1"/>
    <row r="4171" ht="26.25" customHeight="1"/>
    <row r="4172" ht="26.25" customHeight="1"/>
    <row r="4173" ht="26.25" customHeight="1"/>
    <row r="4174" ht="26.25" customHeight="1"/>
    <row r="4175" ht="26.25" customHeight="1"/>
    <row r="4176" ht="26.25" customHeight="1"/>
    <row r="4177" ht="26.25" customHeight="1"/>
    <row r="4178" ht="26.25" customHeight="1"/>
    <row r="4179" ht="26.25" customHeight="1"/>
    <row r="4180" ht="26.25" customHeight="1"/>
    <row r="4181" ht="26.25" customHeight="1"/>
    <row r="4182" ht="26.25" customHeight="1"/>
    <row r="4183" ht="26.25" customHeight="1"/>
    <row r="4184" ht="26.25" customHeight="1"/>
    <row r="4185" ht="26.25" customHeight="1"/>
    <row r="4186" ht="26.25" customHeight="1"/>
    <row r="4187" ht="26.25" customHeight="1"/>
    <row r="4188" ht="26.25" customHeight="1"/>
    <row r="4189" ht="26.25" customHeight="1"/>
    <row r="4190" ht="26.25" customHeight="1"/>
    <row r="4191" ht="26.25" customHeight="1"/>
    <row r="4192" ht="26.25" customHeight="1"/>
    <row r="4193" ht="26.25" customHeight="1"/>
    <row r="4194" ht="26.25" customHeight="1"/>
    <row r="4195" ht="26.25" customHeight="1"/>
    <row r="4196" ht="26.25" customHeight="1"/>
    <row r="4197" ht="26.25" customHeight="1"/>
    <row r="4198" ht="26.25" customHeight="1"/>
    <row r="4199" ht="26.25" customHeight="1"/>
    <row r="4200" ht="26.25" customHeight="1"/>
    <row r="4201" ht="26.25" customHeight="1"/>
    <row r="4202" ht="26.25" customHeight="1"/>
    <row r="4203" ht="26.25" customHeight="1"/>
    <row r="4204" ht="26.25" customHeight="1"/>
    <row r="4205" ht="26.25" customHeight="1"/>
    <row r="4206" ht="26.25" customHeight="1"/>
    <row r="4207" ht="26.25" customHeight="1"/>
    <row r="4208" ht="26.25" customHeight="1"/>
    <row r="4209" ht="26.25" customHeight="1"/>
    <row r="4210" ht="26.25" customHeight="1"/>
    <row r="4211" ht="26.25" customHeight="1"/>
    <row r="4212" ht="26.25" customHeight="1"/>
    <row r="4213" ht="26.25" customHeight="1"/>
    <row r="4214" ht="26.25" customHeight="1"/>
    <row r="4215" ht="26.25" customHeight="1"/>
    <row r="4216" ht="26.25" customHeight="1"/>
    <row r="4217" ht="26.25" customHeight="1"/>
    <row r="4218" ht="26.25" customHeight="1"/>
    <row r="4219" ht="26.25" customHeight="1"/>
    <row r="4220" ht="26.25" customHeight="1"/>
    <row r="4221" ht="26.25" customHeight="1"/>
    <row r="4222" ht="26.25" customHeight="1"/>
    <row r="4223" ht="26.25" customHeight="1"/>
    <row r="4224" ht="26.25" customHeight="1"/>
    <row r="4225" ht="26.25" customHeight="1"/>
    <row r="4226" ht="26.25" customHeight="1"/>
    <row r="4227" ht="26.25" customHeight="1"/>
    <row r="4228" ht="26.25" customHeight="1"/>
    <row r="4229" ht="26.25" customHeight="1"/>
    <row r="4230" ht="26.25" customHeight="1"/>
    <row r="4231" ht="26.25" customHeight="1"/>
    <row r="4232" ht="26.25" customHeight="1"/>
    <row r="4233" ht="26.25" customHeight="1"/>
    <row r="4234" ht="26.25" customHeight="1"/>
    <row r="4235" ht="26.25" customHeight="1"/>
    <row r="4236" ht="26.25" customHeight="1"/>
    <row r="4237" ht="26.25" customHeight="1"/>
    <row r="4238" ht="26.25" customHeight="1"/>
    <row r="4239" ht="26.25" customHeight="1"/>
    <row r="4240" ht="26.25" customHeight="1"/>
    <row r="4241" ht="26.25" customHeight="1"/>
    <row r="4242" ht="26.25" customHeight="1"/>
    <row r="4243" ht="26.25" customHeight="1"/>
    <row r="4244" ht="26.25" customHeight="1"/>
    <row r="4245" ht="26.25" customHeight="1"/>
    <row r="4246" ht="26.25" customHeight="1"/>
    <row r="4247" ht="26.25" customHeight="1"/>
    <row r="4248" ht="26.25" customHeight="1"/>
    <row r="4249" ht="26.25" customHeight="1"/>
    <row r="4250" ht="26.25" customHeight="1"/>
    <row r="4251" ht="26.25" customHeight="1"/>
    <row r="4252" ht="26.25" customHeight="1"/>
    <row r="4253" ht="26.25" customHeight="1"/>
    <row r="4254" ht="26.25" customHeight="1"/>
    <row r="4255" ht="26.25" customHeight="1"/>
    <row r="4256" ht="26.25" customHeight="1"/>
    <row r="4257" ht="26.25" customHeight="1"/>
    <row r="4258" ht="26.25" customHeight="1"/>
    <row r="4259" ht="26.25" customHeight="1"/>
    <row r="4260" ht="26.25" customHeight="1"/>
    <row r="4261" ht="26.25" customHeight="1"/>
    <row r="4262" ht="26.25" customHeight="1"/>
    <row r="4263" ht="26.25" customHeight="1"/>
    <row r="4264" ht="26.25" customHeight="1"/>
    <row r="4265" ht="26.25" customHeight="1"/>
    <row r="4266" ht="26.25" customHeight="1"/>
    <row r="4267" ht="26.25" customHeight="1"/>
    <row r="4268" ht="26.25" customHeight="1"/>
    <row r="4269" ht="26.25" customHeight="1"/>
    <row r="4270" ht="26.25" customHeight="1"/>
    <row r="4271" ht="26.25" customHeight="1"/>
    <row r="4272" ht="26.25" customHeight="1"/>
    <row r="4273" ht="26.25" customHeight="1"/>
    <row r="4274" ht="26.25" customHeight="1"/>
    <row r="4275" ht="26.25" customHeight="1"/>
    <row r="4276" ht="26.25" customHeight="1"/>
    <row r="4277" ht="26.25" customHeight="1"/>
    <row r="4278" ht="26.25" customHeight="1"/>
    <row r="4279" ht="26.25" customHeight="1"/>
    <row r="4280" ht="26.25" customHeight="1"/>
    <row r="4281" ht="26.25" customHeight="1"/>
    <row r="4282" ht="26.25" customHeight="1"/>
    <row r="4283" ht="26.25" customHeight="1"/>
    <row r="4284" ht="26.25" customHeight="1"/>
    <row r="4285" ht="26.25" customHeight="1"/>
    <row r="4286" ht="26.25" customHeight="1"/>
    <row r="4287" ht="26.25" customHeight="1"/>
    <row r="4288" ht="26.25" customHeight="1"/>
    <row r="4289" ht="26.25" customHeight="1"/>
    <row r="4290" ht="26.25" customHeight="1"/>
    <row r="4291" ht="26.25" customHeight="1"/>
    <row r="4292" ht="26.25" customHeight="1"/>
    <row r="4293" ht="26.25" customHeight="1"/>
    <row r="4294" ht="26.25" customHeight="1"/>
    <row r="4295" ht="26.25" customHeight="1"/>
    <row r="4296" ht="26.25" customHeight="1"/>
    <row r="4297" ht="26.25" customHeight="1"/>
    <row r="4298" ht="26.25" customHeight="1"/>
    <row r="4299" ht="26.25" customHeight="1"/>
    <row r="4300" ht="26.25" customHeight="1"/>
    <row r="4301" ht="26.25" customHeight="1"/>
    <row r="4302" ht="26.25" customHeight="1"/>
    <row r="4303" ht="26.25" customHeight="1"/>
    <row r="4304" ht="26.25" customHeight="1"/>
    <row r="4305" ht="26.25" customHeight="1"/>
    <row r="4306" ht="26.25" customHeight="1"/>
    <row r="4307" ht="26.25" customHeight="1"/>
    <row r="4308" ht="26.25" customHeight="1"/>
    <row r="4309" ht="26.25" customHeight="1"/>
    <row r="4310" ht="26.25" customHeight="1"/>
    <row r="4311" ht="26.25" customHeight="1"/>
    <row r="4312" ht="26.25" customHeight="1"/>
    <row r="4313" ht="26.25" customHeight="1"/>
    <row r="4314" ht="26.25" customHeight="1"/>
    <row r="4315" ht="26.25" customHeight="1"/>
    <row r="4316" ht="26.25" customHeight="1"/>
    <row r="4317" ht="26.25" customHeight="1"/>
    <row r="4318" ht="26.25" customHeight="1"/>
    <row r="4319" ht="26.25" customHeight="1"/>
    <row r="4320" ht="26.25" customHeight="1"/>
    <row r="4321" ht="26.25" customHeight="1"/>
    <row r="4322" ht="26.25" customHeight="1"/>
    <row r="4323" ht="26.25" customHeight="1"/>
    <row r="4324" ht="26.25" customHeight="1"/>
    <row r="4325" ht="26.25" customHeight="1"/>
    <row r="4326" ht="26.25" customHeight="1"/>
    <row r="4327" ht="26.25" customHeight="1"/>
    <row r="4328" ht="26.25" customHeight="1"/>
    <row r="4329" ht="26.25" customHeight="1"/>
    <row r="4330" ht="26.25" customHeight="1"/>
    <row r="4331" ht="26.25" customHeight="1"/>
    <row r="4332" ht="26.25" customHeight="1"/>
    <row r="4333" ht="26.25" customHeight="1"/>
    <row r="4334" ht="26.25" customHeight="1"/>
    <row r="4335" ht="26.25" customHeight="1"/>
    <row r="4336" ht="26.25" customHeight="1"/>
    <row r="4337" ht="26.25" customHeight="1"/>
    <row r="4338" ht="26.25" customHeight="1"/>
    <row r="4339" ht="26.25" customHeight="1"/>
    <row r="4340" ht="26.25" customHeight="1"/>
    <row r="4341" ht="26.25" customHeight="1"/>
    <row r="4342" ht="26.25" customHeight="1"/>
    <row r="4343" ht="26.25" customHeight="1"/>
    <row r="4344" ht="26.25" customHeight="1"/>
    <row r="4345" ht="26.25" customHeight="1"/>
    <row r="4346" ht="26.25" customHeight="1"/>
    <row r="4347" ht="26.25" customHeight="1"/>
    <row r="4348" ht="26.25" customHeight="1"/>
    <row r="4349" ht="26.25" customHeight="1"/>
    <row r="4350" ht="26.25" customHeight="1"/>
    <row r="4351" ht="26.25" customHeight="1"/>
    <row r="4352" ht="26.25" customHeight="1"/>
    <row r="4353" ht="26.25" customHeight="1"/>
    <row r="4354" ht="26.25" customHeight="1"/>
    <row r="4355" ht="26.25" customHeight="1"/>
    <row r="4356" ht="26.25" customHeight="1"/>
    <row r="4357" ht="26.25" customHeight="1"/>
    <row r="4358" ht="26.25" customHeight="1"/>
    <row r="4359" ht="26.25" customHeight="1"/>
    <row r="4360" ht="26.25" customHeight="1"/>
    <row r="4361" ht="26.25" customHeight="1"/>
    <row r="4362" ht="26.25" customHeight="1"/>
    <row r="4363" ht="26.25" customHeight="1"/>
    <row r="4364" ht="26.25" customHeight="1"/>
    <row r="4365" ht="26.25" customHeight="1"/>
    <row r="4366" ht="26.25" customHeight="1"/>
    <row r="4367" ht="26.25" customHeight="1"/>
    <row r="4368" ht="26.25" customHeight="1"/>
    <row r="4369" ht="26.25" customHeight="1"/>
    <row r="4370" ht="26.25" customHeight="1"/>
    <row r="4371" ht="26.25" customHeight="1"/>
    <row r="4372" ht="26.25" customHeight="1"/>
    <row r="4373" ht="26.25" customHeight="1"/>
    <row r="4374" ht="26.25" customHeight="1"/>
    <row r="4375" ht="26.25" customHeight="1"/>
    <row r="4376" ht="26.25" customHeight="1"/>
    <row r="4377" ht="26.25" customHeight="1"/>
    <row r="4378" ht="26.25" customHeight="1"/>
    <row r="4379" ht="26.25" customHeight="1"/>
    <row r="4380" ht="26.25" customHeight="1"/>
    <row r="4381" ht="26.25" customHeight="1"/>
    <row r="4382" ht="26.25" customHeight="1"/>
    <row r="4383" ht="26.25" customHeight="1"/>
    <row r="4384" ht="26.25" customHeight="1"/>
    <row r="4385" ht="26.25" customHeight="1"/>
    <row r="4386" ht="26.25" customHeight="1"/>
    <row r="4387" ht="26.25" customHeight="1"/>
    <row r="4388" ht="26.25" customHeight="1"/>
    <row r="4389" ht="26.25" customHeight="1"/>
    <row r="4390" ht="26.25" customHeight="1"/>
    <row r="4391" ht="26.25" customHeight="1"/>
    <row r="4392" ht="26.25" customHeight="1"/>
    <row r="4393" ht="26.25" customHeight="1"/>
    <row r="4394" ht="26.25" customHeight="1"/>
    <row r="4395" ht="26.25" customHeight="1"/>
    <row r="4396" ht="26.25" customHeight="1"/>
    <row r="4397" ht="26.25" customHeight="1"/>
    <row r="4398" ht="26.25" customHeight="1"/>
    <row r="4399" ht="26.25" customHeight="1"/>
    <row r="4400" ht="26.25" customHeight="1"/>
    <row r="4401" ht="26.25" customHeight="1"/>
    <row r="4402" ht="26.25" customHeight="1"/>
    <row r="4403" ht="26.25" customHeight="1"/>
    <row r="4404" ht="26.25" customHeight="1"/>
    <row r="4405" ht="26.25" customHeight="1"/>
    <row r="4406" ht="26.25" customHeight="1"/>
    <row r="4407" ht="26.25" customHeight="1"/>
    <row r="4408" ht="26.25" customHeight="1"/>
    <row r="4409" ht="26.25" customHeight="1"/>
    <row r="4410" ht="26.25" customHeight="1"/>
    <row r="4411" ht="26.25" customHeight="1"/>
    <row r="4412" ht="26.25" customHeight="1"/>
    <row r="4413" ht="26.25" customHeight="1"/>
    <row r="4414" ht="26.25" customHeight="1"/>
    <row r="4415" ht="26.25" customHeight="1"/>
    <row r="4416" ht="26.25" customHeight="1"/>
    <row r="4417" ht="26.25" customHeight="1"/>
    <row r="4418" ht="26.25" customHeight="1"/>
    <row r="4419" ht="26.25" customHeight="1"/>
    <row r="4420" ht="26.25" customHeight="1"/>
    <row r="4421" ht="26.25" customHeight="1"/>
    <row r="4422" ht="26.25" customHeight="1"/>
    <row r="4423" ht="26.25" customHeight="1"/>
    <row r="4424" ht="26.25" customHeight="1"/>
    <row r="4425" ht="26.25" customHeight="1"/>
    <row r="4426" ht="26.25" customHeight="1"/>
    <row r="4427" ht="26.25" customHeight="1"/>
    <row r="4428" ht="26.25" customHeight="1"/>
    <row r="4429" ht="26.25" customHeight="1"/>
    <row r="4430" ht="26.25" customHeight="1"/>
    <row r="4431" ht="26.25" customHeight="1"/>
    <row r="4432" ht="26.25" customHeight="1"/>
    <row r="4433" ht="26.25" customHeight="1"/>
    <row r="4434" ht="26.25" customHeight="1"/>
    <row r="4435" ht="26.25" customHeight="1"/>
    <row r="4436" ht="26.25" customHeight="1"/>
    <row r="4437" ht="26.25" customHeight="1"/>
    <row r="4438" ht="26.25" customHeight="1"/>
    <row r="4439" ht="26.25" customHeight="1"/>
    <row r="4440" ht="26.25" customHeight="1"/>
    <row r="4441" ht="26.25" customHeight="1"/>
    <row r="4442" ht="26.25" customHeight="1"/>
    <row r="4443" ht="26.25" customHeight="1"/>
    <row r="4444" ht="26.25" customHeight="1"/>
    <row r="4445" ht="26.25" customHeight="1"/>
    <row r="4446" ht="26.25" customHeight="1"/>
    <row r="4447" ht="26.25" customHeight="1"/>
    <row r="4448" ht="26.25" customHeight="1"/>
    <row r="4449" ht="26.25" customHeight="1"/>
    <row r="4450" ht="26.25" customHeight="1"/>
    <row r="4451" ht="26.25" customHeight="1"/>
    <row r="4452" ht="26.25" customHeight="1"/>
    <row r="4453" ht="26.25" customHeight="1"/>
    <row r="4454" ht="26.25" customHeight="1"/>
    <row r="4455" ht="26.25" customHeight="1"/>
    <row r="4456" ht="26.25" customHeight="1"/>
    <row r="4457" ht="26.25" customHeight="1"/>
    <row r="4458" ht="26.25" customHeight="1"/>
    <row r="4459" ht="26.25" customHeight="1"/>
    <row r="4460" ht="26.25" customHeight="1"/>
    <row r="4461" ht="26.25" customHeight="1"/>
    <row r="4462" ht="26.25" customHeight="1"/>
    <row r="4463" ht="26.25" customHeight="1"/>
    <row r="4464" ht="26.25" customHeight="1"/>
    <row r="4465" ht="26.25" customHeight="1"/>
    <row r="4466" ht="26.25" customHeight="1"/>
    <row r="4467" ht="26.25" customHeight="1"/>
    <row r="4468" ht="26.25" customHeight="1"/>
    <row r="4469" ht="26.25" customHeight="1"/>
    <row r="4470" ht="26.25" customHeight="1"/>
    <row r="4471" ht="26.25" customHeight="1"/>
    <row r="4472" ht="26.25" customHeight="1"/>
    <row r="4473" ht="26.25" customHeight="1"/>
    <row r="4474" ht="26.25" customHeight="1"/>
    <row r="4475" ht="26.25" customHeight="1"/>
    <row r="4476" ht="26.25" customHeight="1"/>
    <row r="4477" ht="26.25" customHeight="1"/>
    <row r="4478" ht="26.25" customHeight="1"/>
    <row r="4479" ht="26.25" customHeight="1"/>
    <row r="4480" ht="26.25" customHeight="1"/>
    <row r="4481" ht="26.25" customHeight="1"/>
    <row r="4482" ht="26.25" customHeight="1"/>
    <row r="4483" ht="26.25" customHeight="1"/>
    <row r="4484" ht="26.25" customHeight="1"/>
    <row r="4485" ht="26.25" customHeight="1"/>
    <row r="4486" ht="26.25" customHeight="1"/>
    <row r="4487" ht="26.25" customHeight="1"/>
    <row r="4488" ht="26.25" customHeight="1"/>
    <row r="4489" ht="26.25" customHeight="1"/>
    <row r="4490" ht="26.25" customHeight="1"/>
    <row r="4491" ht="26.25" customHeight="1"/>
    <row r="4492" ht="26.25" customHeight="1"/>
    <row r="4493" ht="26.25" customHeight="1"/>
    <row r="4494" ht="26.25" customHeight="1"/>
    <row r="4495" ht="26.25" customHeight="1"/>
    <row r="4496" ht="26.25" customHeight="1"/>
    <row r="4497" ht="26.25" customHeight="1"/>
    <row r="4498" ht="26.25" customHeight="1"/>
    <row r="4499" ht="26.25" customHeight="1"/>
    <row r="4500" ht="26.25" customHeight="1"/>
    <row r="4501" ht="26.25" customHeight="1"/>
    <row r="4502" ht="26.25" customHeight="1"/>
    <row r="4503" ht="26.25" customHeight="1"/>
    <row r="4504" ht="26.25" customHeight="1"/>
    <row r="4505" ht="26.25" customHeight="1"/>
    <row r="4506" ht="26.25" customHeight="1"/>
    <row r="4507" ht="26.25" customHeight="1"/>
    <row r="4508" ht="26.25" customHeight="1"/>
    <row r="4509" ht="26.25" customHeight="1"/>
    <row r="4510" ht="26.25" customHeight="1"/>
    <row r="4511" ht="26.25" customHeight="1"/>
    <row r="4512" ht="26.25" customHeight="1"/>
    <row r="4513" ht="26.25" customHeight="1"/>
    <row r="4514" ht="26.25" customHeight="1"/>
    <row r="4515" ht="26.25" customHeight="1"/>
    <row r="4516" ht="26.25" customHeight="1"/>
    <row r="4517" ht="26.25" customHeight="1"/>
    <row r="4518" ht="26.25" customHeight="1"/>
    <row r="4519" ht="26.25" customHeight="1"/>
    <row r="4520" ht="26.25" customHeight="1"/>
    <row r="4521" ht="26.25" customHeight="1"/>
    <row r="4522" ht="26.25" customHeight="1"/>
    <row r="4523" ht="26.25" customHeight="1"/>
    <row r="4524" ht="26.25" customHeight="1"/>
    <row r="4525" ht="26.25" customHeight="1"/>
    <row r="4526" ht="26.25" customHeight="1"/>
    <row r="4527" ht="26.25" customHeight="1"/>
    <row r="4528" ht="26.25" customHeight="1"/>
    <row r="4529" ht="26.25" customHeight="1"/>
    <row r="4530" ht="26.25" customHeight="1"/>
    <row r="4531" ht="26.25" customHeight="1"/>
    <row r="4532" ht="26.25" customHeight="1"/>
    <row r="4533" ht="26.25" customHeight="1"/>
    <row r="4534" ht="26.25" customHeight="1"/>
    <row r="4535" ht="26.25" customHeight="1"/>
    <row r="4536" ht="26.25" customHeight="1"/>
    <row r="4537" ht="26.25" customHeight="1"/>
    <row r="4538" ht="26.25" customHeight="1"/>
    <row r="4539" ht="26.25" customHeight="1"/>
    <row r="4540" ht="26.25" customHeight="1"/>
    <row r="4541" ht="26.25" customHeight="1"/>
    <row r="4542" ht="26.25" customHeight="1"/>
    <row r="4543" ht="26.25" customHeight="1"/>
    <row r="4544" ht="26.25" customHeight="1"/>
    <row r="4545" ht="26.25" customHeight="1"/>
    <row r="4546" ht="26.25" customHeight="1"/>
    <row r="4547" ht="26.25" customHeight="1"/>
    <row r="4548" ht="26.25" customHeight="1"/>
    <row r="4549" ht="26.25" customHeight="1"/>
    <row r="4550" ht="26.25" customHeight="1"/>
    <row r="4551" ht="26.25" customHeight="1"/>
    <row r="4552" ht="26.25" customHeight="1"/>
    <row r="4553" ht="26.25" customHeight="1"/>
    <row r="4554" ht="26.25" customHeight="1"/>
    <row r="4555" ht="26.25" customHeight="1"/>
    <row r="4556" ht="26.25" customHeight="1"/>
    <row r="4557" ht="26.25" customHeight="1"/>
    <row r="4558" ht="26.25" customHeight="1"/>
    <row r="4559" ht="26.25" customHeight="1"/>
    <row r="4560" ht="26.25" customHeight="1"/>
    <row r="4561" ht="26.25" customHeight="1"/>
    <row r="4562" ht="26.25" customHeight="1"/>
    <row r="4563" ht="26.25" customHeight="1"/>
    <row r="4564" ht="26.25" customHeight="1"/>
    <row r="4565" ht="26.25" customHeight="1"/>
    <row r="4566" ht="26.25" customHeight="1"/>
    <row r="4567" ht="26.25" customHeight="1"/>
    <row r="4568" ht="26.25" customHeight="1"/>
    <row r="4569" ht="26.25" customHeight="1"/>
    <row r="4570" ht="26.25" customHeight="1"/>
    <row r="4571" ht="26.25" customHeight="1"/>
    <row r="4572" ht="26.25" customHeight="1"/>
    <row r="4573" ht="26.25" customHeight="1"/>
    <row r="4574" ht="26.25" customHeight="1"/>
    <row r="4575" ht="26.25" customHeight="1"/>
    <row r="4576" ht="26.25" customHeight="1"/>
    <row r="4577" ht="26.25" customHeight="1"/>
    <row r="4578" ht="26.25" customHeight="1"/>
    <row r="4579" ht="26.25" customHeight="1"/>
    <row r="4580" ht="26.25" customHeight="1"/>
    <row r="4581" ht="26.25" customHeight="1"/>
    <row r="4582" ht="26.25" customHeight="1"/>
    <row r="4583" ht="26.25" customHeight="1"/>
    <row r="4584" ht="26.25" customHeight="1"/>
    <row r="4585" ht="26.25" customHeight="1"/>
    <row r="4586" ht="26.25" customHeight="1"/>
    <row r="4587" ht="26.25" customHeight="1"/>
    <row r="4588" ht="26.25" customHeight="1"/>
    <row r="4589" ht="26.25" customHeight="1"/>
    <row r="4590" ht="26.25" customHeight="1"/>
    <row r="4591" ht="26.25" customHeight="1"/>
    <row r="4592" ht="26.25" customHeight="1"/>
    <row r="4593" ht="26.25" customHeight="1"/>
    <row r="4594" ht="26.25" customHeight="1"/>
    <row r="4595" ht="26.25" customHeight="1"/>
    <row r="4596" ht="26.25" customHeight="1"/>
    <row r="4597" ht="26.25" customHeight="1"/>
    <row r="4598" ht="26.25" customHeight="1"/>
    <row r="4599" ht="26.25" customHeight="1"/>
    <row r="4600" ht="26.25" customHeight="1"/>
    <row r="4601" ht="26.25" customHeight="1"/>
    <row r="4602" ht="26.25" customHeight="1"/>
    <row r="4603" ht="26.25" customHeight="1"/>
    <row r="4604" ht="26.25" customHeight="1"/>
    <row r="4605" ht="26.25" customHeight="1"/>
    <row r="4606" ht="26.25" customHeight="1"/>
    <row r="4607" ht="26.25" customHeight="1"/>
    <row r="4608" ht="26.25" customHeight="1"/>
    <row r="4609" ht="26.25" customHeight="1"/>
    <row r="4610" ht="26.25" customHeight="1"/>
    <row r="4611" ht="26.25" customHeight="1"/>
    <row r="4612" ht="26.25" customHeight="1"/>
    <row r="4613" ht="26.25" customHeight="1"/>
    <row r="4614" ht="26.25" customHeight="1"/>
    <row r="4615" ht="26.25" customHeight="1"/>
    <row r="4616" ht="26.25" customHeight="1"/>
    <row r="4617" ht="26.25" customHeight="1"/>
    <row r="4618" ht="26.25" customHeight="1"/>
    <row r="4619" ht="26.25" customHeight="1"/>
    <row r="4620" ht="26.25" customHeight="1"/>
    <row r="4621" ht="26.25" customHeight="1"/>
    <row r="4622" ht="26.25" customHeight="1"/>
    <row r="4623" ht="26.25" customHeight="1"/>
    <row r="4624" ht="26.25" customHeight="1"/>
    <row r="4625" ht="26.25" customHeight="1"/>
    <row r="4626" ht="26.25" customHeight="1"/>
    <row r="4627" ht="26.25" customHeight="1"/>
    <row r="4628" ht="26.25" customHeight="1"/>
    <row r="4629" ht="26.25" customHeight="1"/>
    <row r="4630" ht="26.25" customHeight="1"/>
    <row r="4631" ht="26.25" customHeight="1"/>
    <row r="4632" ht="26.25" customHeight="1"/>
    <row r="4633" ht="26.25" customHeight="1"/>
    <row r="4634" ht="26.25" customHeight="1"/>
    <row r="4635" ht="26.25" customHeight="1"/>
    <row r="4636" ht="26.25" customHeight="1"/>
    <row r="4637" ht="26.25" customHeight="1"/>
    <row r="4638" ht="26.25" customHeight="1"/>
    <row r="4639" ht="26.25" customHeight="1"/>
    <row r="4640" ht="26.25" customHeight="1"/>
    <row r="4641" ht="26.25" customHeight="1"/>
    <row r="4642" ht="26.25" customHeight="1"/>
    <row r="4643" ht="26.25" customHeight="1"/>
    <row r="4644" ht="26.25" customHeight="1"/>
    <row r="4645" ht="26.25" customHeight="1"/>
    <row r="4646" ht="26.25" customHeight="1"/>
    <row r="4647" ht="26.25" customHeight="1"/>
    <row r="4648" ht="26.25" customHeight="1"/>
    <row r="4649" ht="26.25" customHeight="1"/>
    <row r="4650" ht="26.25" customHeight="1"/>
    <row r="4651" ht="26.25" customHeight="1"/>
    <row r="4652" ht="26.25" customHeight="1"/>
    <row r="4653" ht="26.25" customHeight="1"/>
    <row r="4654" ht="26.25" customHeight="1"/>
    <row r="4655" ht="26.25" customHeight="1"/>
    <row r="4656" ht="26.25" customHeight="1"/>
    <row r="4657" ht="26.25" customHeight="1"/>
    <row r="4658" ht="26.25" customHeight="1"/>
    <row r="4659" ht="26.25" customHeight="1"/>
    <row r="4660" ht="26.25" customHeight="1"/>
    <row r="4661" ht="26.25" customHeight="1"/>
    <row r="4662" ht="26.25" customHeight="1"/>
    <row r="4663" ht="26.25" customHeight="1"/>
    <row r="4664" ht="26.25" customHeight="1"/>
    <row r="4665" ht="26.25" customHeight="1"/>
    <row r="4666" ht="26.25" customHeight="1"/>
    <row r="4667" ht="26.25" customHeight="1"/>
    <row r="4668" ht="26.25" customHeight="1"/>
    <row r="4669" ht="26.25" customHeight="1"/>
    <row r="4670" ht="26.25" customHeight="1"/>
    <row r="4671" ht="26.25" customHeight="1"/>
    <row r="4672" ht="26.25" customHeight="1"/>
    <row r="4673" ht="26.25" customHeight="1"/>
    <row r="4674" ht="26.25" customHeight="1"/>
    <row r="4675" ht="26.25" customHeight="1"/>
    <row r="4676" ht="26.25" customHeight="1"/>
    <row r="4677" ht="26.25" customHeight="1"/>
    <row r="4678" ht="26.25" customHeight="1"/>
    <row r="4679" ht="26.25" customHeight="1"/>
    <row r="4680" ht="26.25" customHeight="1"/>
    <row r="4681" ht="26.25" customHeight="1"/>
    <row r="4682" ht="26.25" customHeight="1"/>
    <row r="4683" ht="26.25" customHeight="1"/>
    <row r="4684" ht="26.25" customHeight="1"/>
    <row r="4685" ht="26.25" customHeight="1"/>
    <row r="4686" ht="26.25" customHeight="1"/>
    <row r="4687" ht="26.25" customHeight="1"/>
    <row r="4688" ht="26.25" customHeight="1"/>
    <row r="4689" ht="26.25" customHeight="1"/>
    <row r="4690" ht="26.25" customHeight="1"/>
    <row r="4691" ht="26.25" customHeight="1"/>
    <row r="4692" ht="26.25" customHeight="1"/>
    <row r="4693" ht="26.25" customHeight="1"/>
    <row r="4694" ht="26.25" customHeight="1"/>
    <row r="4695" ht="26.25" customHeight="1"/>
    <row r="4696" ht="26.25" customHeight="1"/>
    <row r="4697" ht="26.25" customHeight="1"/>
    <row r="4698" ht="26.25" customHeight="1"/>
    <row r="4699" ht="26.25" customHeight="1"/>
    <row r="4700" ht="26.25" customHeight="1"/>
    <row r="4701" ht="26.25" customHeight="1"/>
    <row r="4702" ht="26.25" customHeight="1"/>
    <row r="4703" ht="26.25" customHeight="1"/>
    <row r="4704" ht="26.25" customHeight="1"/>
    <row r="4705" ht="26.25" customHeight="1"/>
    <row r="4706" ht="26.25" customHeight="1"/>
    <row r="4707" ht="26.25" customHeight="1"/>
    <row r="4708" ht="26.25" customHeight="1"/>
    <row r="4709" ht="26.25" customHeight="1"/>
    <row r="4710" ht="26.25" customHeight="1"/>
    <row r="4711" ht="26.25" customHeight="1"/>
    <row r="4712" ht="26.25" customHeight="1"/>
    <row r="4713" ht="26.25" customHeight="1"/>
    <row r="4714" ht="26.25" customHeight="1"/>
    <row r="4715" ht="26.25" customHeight="1"/>
    <row r="4716" ht="26.25" customHeight="1"/>
    <row r="4717" ht="26.25" customHeight="1"/>
    <row r="4718" ht="26.25" customHeight="1"/>
    <row r="4719" ht="26.25" customHeight="1"/>
    <row r="4720" ht="26.25" customHeight="1"/>
    <row r="4721" ht="26.25" customHeight="1"/>
    <row r="4722" ht="26.25" customHeight="1"/>
    <row r="4723" ht="26.25" customHeight="1"/>
    <row r="4724" ht="26.25" customHeight="1"/>
    <row r="4725" ht="26.25" customHeight="1"/>
    <row r="4726" ht="26.25" customHeight="1"/>
    <row r="4727" ht="26.25" customHeight="1"/>
    <row r="4728" ht="26.25" customHeight="1"/>
    <row r="4729" ht="26.25" customHeight="1"/>
    <row r="4730" ht="26.25" customHeight="1"/>
    <row r="4731" ht="26.25" customHeight="1"/>
    <row r="4732" ht="26.25" customHeight="1"/>
    <row r="4733" ht="26.25" customHeight="1"/>
    <row r="4734" ht="26.25" customHeight="1"/>
    <row r="4735" ht="26.25" customHeight="1"/>
    <row r="4736" ht="26.25" customHeight="1"/>
    <row r="4737" ht="26.25" customHeight="1"/>
    <row r="4738" ht="26.25" customHeight="1"/>
    <row r="4739" ht="26.25" customHeight="1"/>
    <row r="4740" ht="26.25" customHeight="1"/>
    <row r="4741" ht="26.25" customHeight="1"/>
    <row r="4742" ht="26.25" customHeight="1"/>
    <row r="4743" ht="26.25" customHeight="1"/>
    <row r="4744" ht="26.25" customHeight="1"/>
    <row r="4745" ht="26.25" customHeight="1"/>
    <row r="4746" ht="26.25" customHeight="1"/>
    <row r="4747" ht="26.25" customHeight="1"/>
    <row r="4748" ht="26.25" customHeight="1"/>
    <row r="4749" ht="26.25" customHeight="1"/>
    <row r="4750" ht="26.25" customHeight="1"/>
    <row r="4751" ht="26.25" customHeight="1"/>
    <row r="4752" ht="26.25" customHeight="1"/>
    <row r="4753" ht="26.25" customHeight="1"/>
    <row r="4754" ht="26.25" customHeight="1"/>
    <row r="4755" ht="26.25" customHeight="1"/>
    <row r="4756" ht="26.25" customHeight="1"/>
    <row r="4757" ht="26.25" customHeight="1"/>
    <row r="4758" ht="26.25" customHeight="1"/>
    <row r="4759" ht="26.25" customHeight="1"/>
    <row r="4760" ht="26.25" customHeight="1"/>
    <row r="4761" ht="26.25" customHeight="1"/>
    <row r="4762" ht="26.25" customHeight="1"/>
    <row r="4763" ht="26.25" customHeight="1"/>
    <row r="4764" ht="26.25" customHeight="1"/>
    <row r="4765" ht="26.25" customHeight="1"/>
    <row r="4766" ht="26.25" customHeight="1"/>
    <row r="4767" ht="26.25" customHeight="1"/>
    <row r="4768" ht="26.25" customHeight="1"/>
    <row r="4769" ht="26.25" customHeight="1"/>
    <row r="4770" ht="26.25" customHeight="1"/>
    <row r="4771" ht="26.25" customHeight="1"/>
    <row r="4772" ht="26.25" customHeight="1"/>
    <row r="4773" ht="26.25" customHeight="1"/>
    <row r="4774" ht="26.25" customHeight="1"/>
    <row r="4775" ht="26.25" customHeight="1"/>
    <row r="4776" ht="26.25" customHeight="1"/>
    <row r="4777" ht="26.25" customHeight="1"/>
    <row r="4778" ht="26.25" customHeight="1"/>
    <row r="4779" ht="26.25" customHeight="1"/>
    <row r="4780" ht="26.25" customHeight="1"/>
    <row r="4781" ht="26.25" customHeight="1"/>
    <row r="4782" ht="26.25" customHeight="1"/>
    <row r="4783" ht="26.25" customHeight="1"/>
    <row r="4784" ht="26.25" customHeight="1"/>
    <row r="4785" ht="26.25" customHeight="1"/>
    <row r="4786" ht="26.25" customHeight="1"/>
    <row r="4787" ht="26.25" customHeight="1"/>
    <row r="4788" ht="26.25" customHeight="1"/>
    <row r="4789" ht="26.25" customHeight="1"/>
    <row r="4790" ht="26.25" customHeight="1"/>
    <row r="4791" ht="26.25" customHeight="1"/>
    <row r="4792" ht="26.25" customHeight="1"/>
    <row r="4793" ht="26.25" customHeight="1"/>
    <row r="4794" ht="26.25" customHeight="1"/>
    <row r="4795" ht="26.25" customHeight="1"/>
    <row r="4796" ht="26.25" customHeight="1"/>
    <row r="4797" ht="26.25" customHeight="1"/>
    <row r="4798" ht="26.25" customHeight="1"/>
    <row r="4799" ht="26.25" customHeight="1"/>
    <row r="4800" ht="26.25" customHeight="1"/>
    <row r="4801" ht="26.25" customHeight="1"/>
    <row r="4802" ht="26.25" customHeight="1"/>
    <row r="4803" ht="26.25" customHeight="1"/>
    <row r="4804" ht="26.25" customHeight="1"/>
    <row r="4805" ht="26.25" customHeight="1"/>
    <row r="4806" ht="26.25" customHeight="1"/>
    <row r="4807" ht="26.25" customHeight="1"/>
    <row r="4808" ht="26.25" customHeight="1"/>
    <row r="4809" ht="26.25" customHeight="1"/>
    <row r="4810" ht="26.25" customHeight="1"/>
    <row r="4811" ht="26.25" customHeight="1"/>
    <row r="4812" ht="26.25" customHeight="1"/>
    <row r="4813" ht="26.25" customHeight="1"/>
    <row r="4814" ht="26.25" customHeight="1"/>
    <row r="4815" ht="26.25" customHeight="1"/>
    <row r="4816" ht="26.25" customHeight="1"/>
    <row r="4817" ht="26.25" customHeight="1"/>
    <row r="4818" ht="26.25" customHeight="1"/>
    <row r="4819" ht="26.25" customHeight="1"/>
    <row r="4820" ht="26.25" customHeight="1"/>
    <row r="4821" ht="26.25" customHeight="1"/>
    <row r="4822" ht="26.25" customHeight="1"/>
    <row r="4823" ht="26.25" customHeight="1"/>
    <row r="4824" ht="26.25" customHeight="1"/>
    <row r="4825" ht="26.25" customHeight="1"/>
    <row r="4826" ht="26.25" customHeight="1"/>
    <row r="4827" ht="26.25" customHeight="1"/>
    <row r="4828" ht="26.25" customHeight="1"/>
    <row r="4829" ht="26.25" customHeight="1"/>
    <row r="4830" ht="26.25" customHeight="1"/>
    <row r="4831" ht="26.25" customHeight="1"/>
    <row r="4832" ht="26.25" customHeight="1"/>
    <row r="4833" ht="26.25" customHeight="1"/>
    <row r="4834" ht="26.25" customHeight="1"/>
    <row r="4835" ht="26.25" customHeight="1"/>
    <row r="4836" ht="26.25" customHeight="1"/>
    <row r="4837" ht="26.25" customHeight="1"/>
    <row r="4838" ht="26.25" customHeight="1"/>
    <row r="4839" ht="26.25" customHeight="1"/>
    <row r="4840" ht="26.25" customHeight="1"/>
    <row r="4841" ht="26.25" customHeight="1"/>
    <row r="4842" ht="26.25" customHeight="1"/>
    <row r="4843" ht="26.25" customHeight="1"/>
    <row r="4844" ht="26.25" customHeight="1"/>
    <row r="4845" ht="26.25" customHeight="1"/>
    <row r="4846" ht="26.25" customHeight="1"/>
    <row r="4847" ht="26.25" customHeight="1"/>
    <row r="4848" ht="26.25" customHeight="1"/>
    <row r="4849" ht="26.25" customHeight="1"/>
    <row r="4850" ht="26.25" customHeight="1"/>
    <row r="4851" ht="26.25" customHeight="1"/>
    <row r="4852" ht="26.25" customHeight="1"/>
    <row r="4853" ht="26.25" customHeight="1"/>
    <row r="4854" ht="26.25" customHeight="1"/>
    <row r="4855" ht="26.25" customHeight="1"/>
    <row r="4856" ht="26.25" customHeight="1"/>
    <row r="4857" ht="26.25" customHeight="1"/>
    <row r="4858" ht="26.25" customHeight="1"/>
    <row r="4859" ht="26.25" customHeight="1"/>
    <row r="4860" ht="26.25" customHeight="1"/>
    <row r="4861" ht="26.25" customHeight="1"/>
    <row r="4862" ht="26.25" customHeight="1"/>
    <row r="4863" ht="26.25" customHeight="1"/>
    <row r="4864" ht="26.25" customHeight="1"/>
    <row r="4865" ht="26.25" customHeight="1"/>
    <row r="4866" ht="26.25" customHeight="1"/>
    <row r="4867" ht="26.25" customHeight="1"/>
    <row r="4868" ht="26.25" customHeight="1"/>
    <row r="4869" ht="26.25" customHeight="1"/>
    <row r="4870" ht="26.25" customHeight="1"/>
    <row r="4871" ht="26.25" customHeight="1"/>
    <row r="4872" ht="26.25" customHeight="1"/>
    <row r="4873" ht="26.25" customHeight="1"/>
    <row r="4874" ht="26.25" customHeight="1"/>
    <row r="4875" ht="26.25" customHeight="1"/>
    <row r="4876" ht="26.25" customHeight="1"/>
    <row r="4877" ht="26.25" customHeight="1"/>
    <row r="4878" ht="26.25" customHeight="1"/>
    <row r="4879" ht="26.25" customHeight="1"/>
    <row r="4880" ht="26.25" customHeight="1"/>
    <row r="4881" ht="26.25" customHeight="1"/>
    <row r="4882" ht="26.25" customHeight="1"/>
    <row r="4883" ht="26.25" customHeight="1"/>
    <row r="4884" ht="26.25" customHeight="1"/>
    <row r="4885" ht="26.25" customHeight="1"/>
    <row r="4886" ht="26.25" customHeight="1"/>
    <row r="4887" ht="26.25" customHeight="1"/>
    <row r="4888" ht="26.25" customHeight="1"/>
    <row r="4889" ht="26.25" customHeight="1"/>
    <row r="4890" ht="26.25" customHeight="1"/>
    <row r="4891" ht="26.25" customHeight="1"/>
    <row r="4892" ht="26.25" customHeight="1"/>
    <row r="4893" ht="26.25" customHeight="1"/>
    <row r="4894" ht="26.25" customHeight="1"/>
    <row r="4895" ht="26.25" customHeight="1"/>
    <row r="4896" ht="26.25" customHeight="1"/>
    <row r="4897" ht="26.25" customHeight="1"/>
    <row r="4898" ht="26.25" customHeight="1"/>
    <row r="4899" ht="26.25" customHeight="1"/>
    <row r="4900" ht="26.25" customHeight="1"/>
    <row r="4901" ht="26.25" customHeight="1"/>
    <row r="4902" ht="26.25" customHeight="1"/>
    <row r="4903" ht="26.25" customHeight="1"/>
    <row r="4904" ht="26.25" customHeight="1"/>
    <row r="4905" ht="26.25" customHeight="1"/>
    <row r="4906" ht="26.25" customHeight="1"/>
    <row r="4907" ht="26.25" customHeight="1"/>
    <row r="4908" ht="26.25" customHeight="1"/>
    <row r="4909" ht="26.25" customHeight="1"/>
    <row r="4910" ht="26.25" customHeight="1"/>
    <row r="4911" ht="26.25" customHeight="1"/>
    <row r="4912" ht="26.25" customHeight="1"/>
    <row r="4913" ht="26.25" customHeight="1"/>
    <row r="4914" ht="26.25" customHeight="1"/>
    <row r="4915" ht="26.25" customHeight="1"/>
    <row r="4916" ht="26.25" customHeight="1"/>
    <row r="4917" ht="26.25" customHeight="1"/>
    <row r="4918" ht="26.25" customHeight="1"/>
    <row r="4919" ht="26.25" customHeight="1"/>
    <row r="4920" ht="26.25" customHeight="1"/>
    <row r="4921" ht="26.25" customHeight="1"/>
    <row r="4922" ht="26.25" customHeight="1"/>
    <row r="4923" ht="26.25" customHeight="1"/>
    <row r="4924" ht="26.25" customHeight="1"/>
    <row r="4925" ht="26.25" customHeight="1"/>
    <row r="4926" ht="26.25" customHeight="1"/>
    <row r="4927" ht="26.25" customHeight="1"/>
    <row r="4928" ht="26.25" customHeight="1"/>
    <row r="4929" ht="26.25" customHeight="1"/>
    <row r="4930" ht="26.25" customHeight="1"/>
    <row r="4931" ht="26.25" customHeight="1"/>
    <row r="4932" ht="26.25" customHeight="1"/>
    <row r="4933" ht="26.25" customHeight="1"/>
    <row r="4934" ht="26.25" customHeight="1"/>
    <row r="4935" ht="26.25" customHeight="1"/>
    <row r="4936" ht="26.25" customHeight="1"/>
    <row r="4937" ht="26.25" customHeight="1"/>
    <row r="4938" ht="26.25" customHeight="1"/>
    <row r="4939" ht="26.25" customHeight="1"/>
    <row r="4940" ht="26.25" customHeight="1"/>
    <row r="4941" ht="26.25" customHeight="1"/>
    <row r="4942" ht="26.25" customHeight="1"/>
    <row r="4943" ht="26.25" customHeight="1"/>
    <row r="4944" ht="26.25" customHeight="1"/>
    <row r="4945" ht="26.25" customHeight="1"/>
    <row r="4946" ht="26.25" customHeight="1"/>
    <row r="4947" ht="26.25" customHeight="1"/>
    <row r="4948" ht="26.25" customHeight="1"/>
    <row r="4949" ht="26.25" customHeight="1"/>
    <row r="4950" ht="26.25" customHeight="1"/>
    <row r="4951" ht="26.25" customHeight="1"/>
    <row r="4952" ht="26.25" customHeight="1"/>
    <row r="4953" ht="26.25" customHeight="1"/>
    <row r="4954" ht="26.25" customHeight="1"/>
    <row r="4955" ht="26.25" customHeight="1"/>
    <row r="4956" ht="26.25" customHeight="1"/>
    <row r="4957" ht="26.25" customHeight="1"/>
    <row r="4958" ht="26.25" customHeight="1"/>
    <row r="4959" ht="26.25" customHeight="1"/>
    <row r="4960" ht="26.25" customHeight="1"/>
    <row r="4961" ht="26.25" customHeight="1"/>
    <row r="4962" ht="26.25" customHeight="1"/>
    <row r="4963" ht="26.25" customHeight="1"/>
    <row r="4964" ht="26.25" customHeight="1"/>
    <row r="4965" ht="26.25" customHeight="1"/>
    <row r="4966" ht="26.25" customHeight="1"/>
    <row r="4967" ht="26.25" customHeight="1"/>
    <row r="4968" ht="26.25" customHeight="1"/>
    <row r="4969" ht="26.25" customHeight="1"/>
    <row r="4970" ht="26.25" customHeight="1"/>
    <row r="4971" ht="26.25" customHeight="1"/>
    <row r="4972" ht="26.25" customHeight="1"/>
    <row r="4973" ht="26.25" customHeight="1"/>
    <row r="4974" ht="26.25" customHeight="1"/>
    <row r="4975" ht="26.25" customHeight="1"/>
    <row r="4976" ht="26.25" customHeight="1"/>
    <row r="4977" ht="26.25" customHeight="1"/>
    <row r="4978" ht="26.25" customHeight="1"/>
    <row r="4979" ht="26.25" customHeight="1"/>
    <row r="4980" ht="26.25" customHeight="1"/>
    <row r="4981" ht="26.25" customHeight="1"/>
    <row r="4982" ht="26.25" customHeight="1"/>
    <row r="4983" ht="26.25" customHeight="1"/>
    <row r="4984" ht="26.25" customHeight="1"/>
    <row r="4985" ht="26.25" customHeight="1"/>
    <row r="4986" ht="26.25" customHeight="1"/>
    <row r="4987" ht="26.25" customHeight="1"/>
    <row r="4988" ht="26.25" customHeight="1"/>
    <row r="4989" ht="26.25" customHeight="1"/>
    <row r="4990" ht="26.25" customHeight="1"/>
    <row r="4991" ht="26.25" customHeight="1"/>
    <row r="4992" ht="26.25" customHeight="1"/>
    <row r="4993" ht="26.25" customHeight="1"/>
    <row r="4994" ht="26.25" customHeight="1"/>
    <row r="4995" ht="26.25" customHeight="1"/>
    <row r="4996" ht="26.25" customHeight="1"/>
    <row r="4997" ht="26.25" customHeight="1"/>
    <row r="4998" ht="26.25" customHeight="1"/>
    <row r="4999" ht="26.25" customHeight="1"/>
    <row r="5000" ht="26.25" customHeight="1"/>
    <row r="5001" ht="26.25" customHeight="1"/>
    <row r="5002" ht="26.25" customHeight="1"/>
    <row r="5003" ht="26.25" customHeight="1"/>
    <row r="5004" ht="26.25" customHeight="1"/>
    <row r="5005" ht="26.25" customHeight="1"/>
    <row r="5006" ht="26.25" customHeight="1"/>
    <row r="5007" ht="26.25" customHeight="1"/>
    <row r="5008" ht="26.25" customHeight="1"/>
    <row r="5009" ht="26.25" customHeight="1"/>
    <row r="5010" ht="26.25" customHeight="1"/>
    <row r="5011" ht="26.25" customHeight="1"/>
    <row r="5012" ht="26.25" customHeight="1"/>
    <row r="5013" ht="26.25" customHeight="1"/>
    <row r="5014" ht="26.25" customHeight="1"/>
    <row r="5015" ht="26.25" customHeight="1"/>
    <row r="5016" ht="26.25" customHeight="1"/>
    <row r="5017" ht="26.25" customHeight="1"/>
    <row r="5018" ht="26.25" customHeight="1"/>
    <row r="5019" ht="26.25" customHeight="1"/>
    <row r="5020" ht="26.25" customHeight="1"/>
    <row r="5021" ht="26.25" customHeight="1"/>
    <row r="5022" ht="26.25" customHeight="1"/>
    <row r="5023" ht="26.25" customHeight="1"/>
    <row r="5024" ht="26.25" customHeight="1"/>
    <row r="5025" ht="26.25" customHeight="1"/>
    <row r="5026" ht="26.25" customHeight="1"/>
    <row r="5027" ht="26.25" customHeight="1"/>
    <row r="5028" ht="26.25" customHeight="1"/>
    <row r="5029" ht="26.25" customHeight="1"/>
    <row r="5030" ht="26.25" customHeight="1"/>
    <row r="5031" ht="26.25" customHeight="1"/>
    <row r="5032" ht="26.25" customHeight="1"/>
    <row r="5033" ht="26.25" customHeight="1"/>
    <row r="5034" ht="26.25" customHeight="1"/>
    <row r="5035" ht="26.25" customHeight="1"/>
    <row r="5036" ht="26.25" customHeight="1"/>
    <row r="5037" ht="26.25" customHeight="1"/>
    <row r="5038" ht="26.25" customHeight="1"/>
    <row r="5039" ht="26.25" customHeight="1"/>
    <row r="5040" ht="26.25" customHeight="1"/>
    <row r="5041" ht="26.25" customHeight="1"/>
    <row r="5042" ht="26.25" customHeight="1"/>
    <row r="5043" ht="26.25" customHeight="1"/>
    <row r="5044" ht="26.25" customHeight="1"/>
    <row r="5045" ht="26.25" customHeight="1"/>
    <row r="5046" ht="26.25" customHeight="1"/>
    <row r="5047" ht="26.25" customHeight="1"/>
    <row r="5048" ht="26.25" customHeight="1"/>
    <row r="5049" ht="26.25" customHeight="1"/>
    <row r="5050" ht="26.25" customHeight="1"/>
    <row r="5051" ht="26.25" customHeight="1"/>
    <row r="5052" ht="26.25" customHeight="1"/>
    <row r="5053" ht="26.25" customHeight="1"/>
    <row r="5054" ht="26.25" customHeight="1"/>
    <row r="5055" ht="26.25" customHeight="1"/>
    <row r="5056" ht="26.25" customHeight="1"/>
    <row r="5057" ht="26.25" customHeight="1"/>
    <row r="5058" ht="26.25" customHeight="1"/>
    <row r="5059" ht="26.25" customHeight="1"/>
    <row r="5060" ht="26.25" customHeight="1"/>
    <row r="5061" ht="26.25" customHeight="1"/>
    <row r="5062" ht="26.25" customHeight="1"/>
    <row r="5063" ht="26.25" customHeight="1"/>
    <row r="5064" ht="26.25" customHeight="1"/>
    <row r="5065" ht="26.25" customHeight="1"/>
    <row r="5066" ht="26.25" customHeight="1"/>
    <row r="5067" ht="26.25" customHeight="1"/>
    <row r="5068" ht="26.25" customHeight="1"/>
    <row r="5069" ht="26.25" customHeight="1"/>
    <row r="5070" ht="26.25" customHeight="1"/>
    <row r="5071" ht="26.25" customHeight="1"/>
    <row r="5072" ht="26.25" customHeight="1"/>
    <row r="5073" ht="26.25" customHeight="1"/>
    <row r="5074" ht="26.25" customHeight="1"/>
    <row r="5075" ht="26.25" customHeight="1"/>
    <row r="5076" ht="26.25" customHeight="1"/>
    <row r="5077" ht="26.25" customHeight="1"/>
    <row r="5078" ht="26.25" customHeight="1"/>
    <row r="5079" ht="26.25" customHeight="1"/>
    <row r="5080" ht="26.25" customHeight="1"/>
    <row r="5081" ht="26.25" customHeight="1"/>
    <row r="5082" ht="26.25" customHeight="1"/>
    <row r="5083" ht="26.25" customHeight="1"/>
    <row r="5084" ht="26.25" customHeight="1"/>
    <row r="5085" ht="26.25" customHeight="1"/>
    <row r="5086" ht="26.25" customHeight="1"/>
    <row r="5087" ht="26.25" customHeight="1"/>
    <row r="5088" ht="26.25" customHeight="1"/>
    <row r="5089" ht="26.25" customHeight="1"/>
    <row r="5090" ht="26.25" customHeight="1"/>
    <row r="5091" ht="26.25" customHeight="1"/>
    <row r="5092" ht="26.25" customHeight="1"/>
    <row r="5093" ht="26.25" customHeight="1"/>
    <row r="5094" ht="26.25" customHeight="1"/>
    <row r="5095" ht="26.25" customHeight="1"/>
    <row r="5096" ht="26.25" customHeight="1"/>
    <row r="5097" ht="26.25" customHeight="1"/>
    <row r="5098" ht="26.25" customHeight="1"/>
    <row r="5099" ht="26.25" customHeight="1"/>
    <row r="5100" ht="26.25" customHeight="1"/>
    <row r="5101" ht="26.25" customHeight="1"/>
    <row r="5102" ht="26.25" customHeight="1"/>
    <row r="5103" ht="26.25" customHeight="1"/>
    <row r="5104" ht="26.25" customHeight="1"/>
    <row r="5105" ht="26.25" customHeight="1"/>
    <row r="5106" ht="26.25" customHeight="1"/>
    <row r="5107" ht="26.25" customHeight="1"/>
    <row r="5108" ht="26.25" customHeight="1"/>
    <row r="5109" ht="26.25" customHeight="1"/>
    <row r="5110" ht="26.25" customHeight="1"/>
    <row r="5111" ht="26.25" customHeight="1"/>
    <row r="5112" ht="26.25" customHeight="1"/>
    <row r="5113" ht="26.25" customHeight="1"/>
    <row r="5114" ht="26.25" customHeight="1"/>
    <row r="5115" ht="26.25" customHeight="1"/>
    <row r="5116" ht="26.25" customHeight="1"/>
    <row r="5117" ht="26.25" customHeight="1"/>
    <row r="5118" ht="26.25" customHeight="1"/>
    <row r="5119" ht="26.25" customHeight="1"/>
    <row r="5120" ht="26.25" customHeight="1"/>
    <row r="5121" ht="26.25" customHeight="1"/>
    <row r="5122" ht="26.25" customHeight="1"/>
    <row r="5123" ht="26.25" customHeight="1"/>
    <row r="5124" ht="26.25" customHeight="1"/>
    <row r="5125" ht="26.25" customHeight="1"/>
    <row r="5126" ht="26.25" customHeight="1"/>
    <row r="5127" ht="26.25" customHeight="1"/>
    <row r="5128" ht="26.25" customHeight="1"/>
    <row r="5129" ht="26.25" customHeight="1"/>
    <row r="5130" ht="26.25" customHeight="1"/>
    <row r="5131" ht="26.25" customHeight="1"/>
    <row r="5132" ht="26.25" customHeight="1"/>
    <row r="5133" ht="26.25" customHeight="1"/>
    <row r="5134" ht="26.25" customHeight="1"/>
    <row r="5135" ht="26.25" customHeight="1"/>
    <row r="5136" ht="26.25" customHeight="1"/>
    <row r="5137" ht="26.25" customHeight="1"/>
    <row r="5138" ht="26.25" customHeight="1"/>
    <row r="5139" ht="26.25" customHeight="1"/>
    <row r="5140" ht="26.25" customHeight="1"/>
    <row r="5141" ht="26.25" customHeight="1"/>
    <row r="5142" ht="26.25" customHeight="1"/>
    <row r="5143" ht="26.25" customHeight="1"/>
    <row r="5144" ht="26.25" customHeight="1"/>
    <row r="5145" ht="26.25" customHeight="1"/>
    <row r="5146" ht="26.25" customHeight="1"/>
    <row r="5147" ht="26.25" customHeight="1"/>
    <row r="5148" ht="26.25" customHeight="1"/>
    <row r="5149" ht="26.25" customHeight="1"/>
    <row r="5150" ht="26.25" customHeight="1"/>
    <row r="5151" ht="26.25" customHeight="1"/>
    <row r="5152" ht="26.25" customHeight="1"/>
    <row r="5153" ht="26.25" customHeight="1"/>
    <row r="5154" ht="26.25" customHeight="1"/>
    <row r="5155" ht="26.25" customHeight="1"/>
    <row r="5156" ht="26.25" customHeight="1"/>
    <row r="5157" ht="26.25" customHeight="1"/>
    <row r="5158" ht="26.25" customHeight="1"/>
    <row r="5159" ht="26.25" customHeight="1"/>
    <row r="5160" ht="26.25" customHeight="1"/>
    <row r="5161" ht="26.25" customHeight="1"/>
    <row r="5162" ht="26.25" customHeight="1"/>
    <row r="5163" ht="26.25" customHeight="1"/>
    <row r="5164" ht="26.25" customHeight="1"/>
    <row r="5165" ht="26.25" customHeight="1"/>
    <row r="5166" ht="26.25" customHeight="1"/>
    <row r="5167" ht="26.25" customHeight="1"/>
    <row r="5168" ht="26.25" customHeight="1"/>
    <row r="5169" ht="26.25" customHeight="1"/>
    <row r="5170" ht="26.25" customHeight="1"/>
    <row r="5171" ht="26.25" customHeight="1"/>
    <row r="5172" ht="26.25" customHeight="1"/>
    <row r="5173" ht="26.25" customHeight="1"/>
    <row r="5174" ht="26.25" customHeight="1"/>
    <row r="5175" ht="26.25" customHeight="1"/>
    <row r="5176" ht="26.25" customHeight="1"/>
    <row r="5177" ht="26.25" customHeight="1"/>
    <row r="5178" ht="26.25" customHeight="1"/>
    <row r="5179" ht="26.25" customHeight="1"/>
    <row r="5180" ht="26.25" customHeight="1"/>
    <row r="5181" ht="26.25" customHeight="1"/>
    <row r="5182" ht="26.25" customHeight="1"/>
    <row r="5183" ht="26.25" customHeight="1"/>
    <row r="5184" ht="26.25" customHeight="1"/>
    <row r="5185" ht="26.25" customHeight="1"/>
    <row r="5186" ht="26.25" customHeight="1"/>
    <row r="5187" ht="26.25" customHeight="1"/>
    <row r="5188" ht="26.25" customHeight="1"/>
    <row r="5189" ht="26.25" customHeight="1"/>
    <row r="5190" ht="26.25" customHeight="1"/>
    <row r="5191" ht="26.25" customHeight="1"/>
    <row r="5192" ht="26.25" customHeight="1"/>
    <row r="5193" ht="26.25" customHeight="1"/>
    <row r="5194" ht="26.25" customHeight="1"/>
    <row r="5195" ht="26.25" customHeight="1"/>
    <row r="5196" ht="26.25" customHeight="1"/>
    <row r="5197" ht="26.25" customHeight="1"/>
    <row r="5198" ht="26.25" customHeight="1"/>
    <row r="5199" ht="26.25" customHeight="1"/>
    <row r="5200" ht="26.25" customHeight="1"/>
    <row r="5201" ht="26.25" customHeight="1"/>
    <row r="5202" ht="26.25" customHeight="1"/>
    <row r="5203" ht="26.25" customHeight="1"/>
    <row r="5204" ht="26.25" customHeight="1"/>
    <row r="5205" ht="26.25" customHeight="1"/>
    <row r="5206" ht="26.25" customHeight="1"/>
    <row r="5207" ht="26.25" customHeight="1"/>
    <row r="5208" ht="26.25" customHeight="1"/>
    <row r="5209" ht="26.25" customHeight="1"/>
    <row r="5210" ht="26.25" customHeight="1"/>
    <row r="5211" ht="26.25" customHeight="1"/>
    <row r="5212" ht="26.25" customHeight="1"/>
    <row r="5213" ht="26.25" customHeight="1"/>
    <row r="5214" ht="26.25" customHeight="1"/>
    <row r="5215" ht="26.25" customHeight="1"/>
    <row r="5216" ht="26.25" customHeight="1"/>
    <row r="5217" ht="26.25" customHeight="1"/>
    <row r="5218" ht="26.25" customHeight="1"/>
    <row r="5219" ht="26.25" customHeight="1"/>
    <row r="5220" ht="26.25" customHeight="1"/>
    <row r="5221" ht="26.25" customHeight="1"/>
    <row r="5222" ht="26.25" customHeight="1"/>
    <row r="5223" ht="26.25" customHeight="1"/>
    <row r="5224" ht="26.25" customHeight="1"/>
    <row r="5225" ht="26.25" customHeight="1"/>
    <row r="5226" ht="26.25" customHeight="1"/>
    <row r="5227" ht="26.25" customHeight="1"/>
    <row r="5228" ht="26.25" customHeight="1"/>
    <row r="5229" ht="26.25" customHeight="1"/>
    <row r="5230" ht="26.25" customHeight="1"/>
    <row r="5231" ht="26.25" customHeight="1"/>
    <row r="5232" ht="26.25" customHeight="1"/>
    <row r="5233" ht="26.25" customHeight="1"/>
    <row r="5234" ht="26.25" customHeight="1"/>
    <row r="5235" ht="26.25" customHeight="1"/>
    <row r="5236" ht="26.25" customHeight="1"/>
    <row r="5237" ht="26.25" customHeight="1"/>
    <row r="5238" ht="26.25" customHeight="1"/>
    <row r="5239" ht="26.25" customHeight="1"/>
    <row r="5240" ht="26.25" customHeight="1"/>
    <row r="5241" ht="26.25" customHeight="1"/>
    <row r="5242" ht="26.25" customHeight="1"/>
    <row r="5243" ht="26.25" customHeight="1"/>
    <row r="5244" ht="26.25" customHeight="1"/>
    <row r="5245" ht="26.25" customHeight="1"/>
    <row r="5246" ht="26.25" customHeight="1"/>
    <row r="5247" ht="26.25" customHeight="1"/>
    <row r="5248" ht="26.25" customHeight="1"/>
    <row r="5249" ht="26.25" customHeight="1"/>
    <row r="5250" ht="26.25" customHeight="1"/>
    <row r="5251" ht="26.25" customHeight="1"/>
    <row r="5252" ht="26.25" customHeight="1"/>
    <row r="5253" ht="26.25" customHeight="1"/>
    <row r="5254" ht="26.25" customHeight="1"/>
    <row r="5255" ht="26.25" customHeight="1"/>
    <row r="5256" ht="26.25" customHeight="1"/>
    <row r="5257" ht="26.25" customHeight="1"/>
    <row r="5258" ht="26.25" customHeight="1"/>
    <row r="5259" ht="26.25" customHeight="1"/>
    <row r="5260" ht="26.25" customHeight="1"/>
    <row r="5261" ht="26.25" customHeight="1"/>
    <row r="5262" ht="26.25" customHeight="1"/>
    <row r="5263" ht="26.25" customHeight="1"/>
    <row r="5264" ht="26.25" customHeight="1"/>
    <row r="5265" ht="26.25" customHeight="1"/>
    <row r="5266" ht="26.25" customHeight="1"/>
    <row r="5267" ht="26.25" customHeight="1"/>
    <row r="5268" ht="26.25" customHeight="1"/>
    <row r="5269" ht="26.25" customHeight="1"/>
    <row r="5270" ht="26.25" customHeight="1"/>
    <row r="5271" ht="26.25" customHeight="1"/>
    <row r="5272" ht="26.25" customHeight="1"/>
    <row r="5273" ht="26.25" customHeight="1"/>
    <row r="5274" ht="26.25" customHeight="1"/>
    <row r="5275" ht="26.25" customHeight="1"/>
    <row r="5276" ht="26.25" customHeight="1"/>
    <row r="5277" ht="26.25" customHeight="1"/>
    <row r="5278" ht="26.25" customHeight="1"/>
    <row r="5279" ht="26.25" customHeight="1"/>
    <row r="5280" ht="26.25" customHeight="1"/>
    <row r="5281" ht="26.25" customHeight="1"/>
    <row r="5282" ht="26.25" customHeight="1"/>
    <row r="5283" ht="26.25" customHeight="1"/>
    <row r="5284" ht="26.25" customHeight="1"/>
    <row r="5285" ht="26.25" customHeight="1"/>
    <row r="5286" ht="26.25" customHeight="1"/>
    <row r="5287" ht="26.25" customHeight="1"/>
    <row r="5288" ht="26.25" customHeight="1"/>
    <row r="5289" ht="26.25" customHeight="1"/>
    <row r="5290" ht="26.25" customHeight="1"/>
    <row r="5291" ht="26.25" customHeight="1"/>
    <row r="5292" ht="26.25" customHeight="1"/>
    <row r="5293" ht="26.25" customHeight="1"/>
    <row r="5294" ht="26.25" customHeight="1"/>
    <row r="5295" ht="26.25" customHeight="1"/>
    <row r="5296" ht="26.25" customHeight="1"/>
    <row r="5297" ht="26.25" customHeight="1"/>
    <row r="5298" ht="26.25" customHeight="1"/>
    <row r="5299" ht="26.25" customHeight="1"/>
    <row r="5300" ht="26.25" customHeight="1"/>
    <row r="5301" ht="26.25" customHeight="1"/>
    <row r="5302" ht="26.25" customHeight="1"/>
    <row r="5303" ht="26.25" customHeight="1"/>
    <row r="5304" ht="26.25" customHeight="1"/>
    <row r="5305" ht="26.25" customHeight="1"/>
    <row r="5306" ht="26.25" customHeight="1"/>
    <row r="5307" ht="26.25" customHeight="1"/>
    <row r="5308" ht="26.25" customHeight="1"/>
    <row r="5309" ht="26.25" customHeight="1"/>
    <row r="5310" ht="26.25" customHeight="1"/>
    <row r="5311" ht="26.25" customHeight="1"/>
    <row r="5312" ht="26.25" customHeight="1"/>
    <row r="5313" ht="26.25" customHeight="1"/>
    <row r="5314" ht="26.25" customHeight="1"/>
    <row r="5315" ht="26.25" customHeight="1"/>
    <row r="5316" ht="26.25" customHeight="1"/>
    <row r="5317" ht="26.25" customHeight="1"/>
    <row r="5318" ht="26.25" customHeight="1"/>
    <row r="5319" ht="26.25" customHeight="1"/>
    <row r="5320" ht="26.25" customHeight="1"/>
    <row r="5321" ht="26.25" customHeight="1"/>
    <row r="5322" ht="26.25" customHeight="1"/>
    <row r="5323" ht="26.25" customHeight="1"/>
    <row r="5324" ht="26.25" customHeight="1"/>
    <row r="5325" ht="26.25" customHeight="1"/>
    <row r="5326" ht="26.25" customHeight="1"/>
    <row r="5327" ht="26.25" customHeight="1"/>
    <row r="5328" ht="26.25" customHeight="1"/>
    <row r="5329" ht="26.25" customHeight="1"/>
    <row r="5330" ht="26.25" customHeight="1"/>
    <row r="5331" ht="26.25" customHeight="1"/>
    <row r="5332" ht="26.25" customHeight="1"/>
    <row r="5333" ht="26.25" customHeight="1"/>
    <row r="5334" ht="26.25" customHeight="1"/>
    <row r="5335" ht="26.25" customHeight="1"/>
    <row r="5336" ht="26.25" customHeight="1"/>
    <row r="5337" ht="26.25" customHeight="1"/>
    <row r="5338" ht="26.25" customHeight="1"/>
    <row r="5339" ht="26.25" customHeight="1"/>
    <row r="5340" ht="26.25" customHeight="1"/>
    <row r="5341" ht="26.25" customHeight="1"/>
    <row r="5342" ht="26.25" customHeight="1"/>
    <row r="5343" ht="26.25" customHeight="1"/>
    <row r="5344" ht="26.25" customHeight="1"/>
    <row r="5345" ht="26.25" customHeight="1"/>
    <row r="5346" ht="26.25" customHeight="1"/>
    <row r="5347" ht="26.25" customHeight="1"/>
    <row r="5348" ht="26.25" customHeight="1"/>
    <row r="5349" ht="26.25" customHeight="1"/>
    <row r="5350" ht="26.25" customHeight="1"/>
    <row r="5351" ht="26.25" customHeight="1"/>
    <row r="5352" ht="26.25" customHeight="1"/>
    <row r="5353" ht="26.25" customHeight="1"/>
    <row r="5354" ht="26.25" customHeight="1"/>
    <row r="5355" ht="26.25" customHeight="1"/>
    <row r="5356" ht="26.25" customHeight="1"/>
    <row r="5357" ht="26.25" customHeight="1"/>
    <row r="5358" ht="26.25" customHeight="1"/>
    <row r="5359" ht="26.25" customHeight="1"/>
    <row r="5360" ht="26.25" customHeight="1"/>
    <row r="5361" ht="26.25" customHeight="1"/>
    <row r="5362" ht="26.25" customHeight="1"/>
    <row r="5363" ht="26.25" customHeight="1"/>
    <row r="5364" ht="26.25" customHeight="1"/>
    <row r="5365" ht="26.25" customHeight="1"/>
    <row r="5366" ht="26.25" customHeight="1"/>
    <row r="5367" ht="26.25" customHeight="1"/>
    <row r="5368" ht="26.25" customHeight="1"/>
    <row r="5369" ht="26.25" customHeight="1"/>
    <row r="5370" ht="26.25" customHeight="1"/>
    <row r="5371" ht="26.25" customHeight="1"/>
    <row r="5372" ht="26.25" customHeight="1"/>
    <row r="5373" ht="26.25" customHeight="1"/>
    <row r="5374" ht="26.25" customHeight="1"/>
    <row r="5375" ht="26.25" customHeight="1"/>
    <row r="5376" ht="26.25" customHeight="1"/>
    <row r="5377" ht="26.25" customHeight="1"/>
    <row r="5378" ht="26.25" customHeight="1"/>
    <row r="5379" ht="26.25" customHeight="1"/>
    <row r="5380" ht="26.25" customHeight="1"/>
    <row r="5381" ht="26.25" customHeight="1"/>
    <row r="5382" ht="26.25" customHeight="1"/>
    <row r="5383" ht="26.25" customHeight="1"/>
    <row r="5384" ht="26.25" customHeight="1"/>
    <row r="5385" ht="26.25" customHeight="1"/>
    <row r="5386" ht="26.25" customHeight="1"/>
    <row r="5387" ht="26.25" customHeight="1"/>
    <row r="5388" ht="26.25" customHeight="1"/>
    <row r="5389" ht="26.25" customHeight="1"/>
    <row r="5390" ht="26.25" customHeight="1"/>
    <row r="5391" ht="26.25" customHeight="1"/>
    <row r="5392" ht="26.25" customHeight="1"/>
    <row r="5393" ht="26.25" customHeight="1"/>
    <row r="5394" ht="26.25" customHeight="1"/>
    <row r="5395" ht="26.25" customHeight="1"/>
    <row r="5396" ht="26.25" customHeight="1"/>
    <row r="5397" ht="26.25" customHeight="1"/>
    <row r="5398" ht="26.25" customHeight="1"/>
    <row r="5399" ht="26.25" customHeight="1"/>
    <row r="5400" ht="26.25" customHeight="1"/>
    <row r="5401" ht="26.25" customHeight="1"/>
    <row r="5402" ht="26.25" customHeight="1"/>
    <row r="5403" ht="26.25" customHeight="1"/>
    <row r="5404" ht="26.25" customHeight="1"/>
    <row r="5405" ht="26.25" customHeight="1"/>
    <row r="5406" ht="26.25" customHeight="1"/>
    <row r="5407" ht="26.25" customHeight="1"/>
    <row r="5408" ht="26.25" customHeight="1"/>
    <row r="5409" ht="26.25" customHeight="1"/>
    <row r="5410" ht="26.25" customHeight="1"/>
    <row r="5411" ht="26.25" customHeight="1"/>
    <row r="5412" ht="26.25" customHeight="1"/>
    <row r="5413" ht="26.25" customHeight="1"/>
    <row r="5414" ht="26.25" customHeight="1"/>
    <row r="5415" ht="26.25" customHeight="1"/>
    <row r="5416" ht="26.25" customHeight="1"/>
    <row r="5417" ht="26.25" customHeight="1"/>
    <row r="5418" ht="26.25" customHeight="1"/>
    <row r="5419" ht="26.25" customHeight="1"/>
    <row r="5420" ht="26.25" customHeight="1"/>
    <row r="5421" ht="26.25" customHeight="1"/>
    <row r="5422" ht="26.25" customHeight="1"/>
    <row r="5423" ht="26.25" customHeight="1"/>
    <row r="5424" ht="26.25" customHeight="1"/>
    <row r="5425" ht="26.25" customHeight="1"/>
    <row r="5426" ht="26.25" customHeight="1"/>
    <row r="5427" ht="26.25" customHeight="1"/>
    <row r="5428" ht="26.25" customHeight="1"/>
    <row r="5429" ht="26.25" customHeight="1"/>
    <row r="5430" ht="26.25" customHeight="1"/>
    <row r="5431" ht="26.25" customHeight="1"/>
    <row r="5432" ht="26.25" customHeight="1"/>
    <row r="5433" ht="26.25" customHeight="1"/>
    <row r="5434" ht="26.25" customHeight="1"/>
    <row r="5435" ht="26.25" customHeight="1"/>
    <row r="5436" ht="26.25" customHeight="1"/>
    <row r="5437" ht="26.25" customHeight="1"/>
    <row r="5438" ht="26.25" customHeight="1"/>
    <row r="5439" ht="26.25" customHeight="1"/>
    <row r="5440" ht="26.25" customHeight="1"/>
    <row r="5441" ht="26.25" customHeight="1"/>
    <row r="5442" ht="26.25" customHeight="1"/>
    <row r="5443" ht="26.25" customHeight="1"/>
    <row r="5444" ht="26.25" customHeight="1"/>
    <row r="5445" ht="26.25" customHeight="1"/>
    <row r="5446" ht="26.25" customHeight="1"/>
    <row r="5447" ht="26.25" customHeight="1"/>
    <row r="5448" ht="26.25" customHeight="1"/>
    <row r="5449" ht="26.25" customHeight="1"/>
    <row r="5450" ht="26.25" customHeight="1"/>
    <row r="5451" ht="26.25" customHeight="1"/>
    <row r="5452" ht="26.25" customHeight="1"/>
    <row r="5453" ht="26.25" customHeight="1"/>
    <row r="5454" ht="26.25" customHeight="1"/>
    <row r="5455" ht="26.25" customHeight="1"/>
    <row r="5456" ht="26.25" customHeight="1"/>
    <row r="5457" ht="26.25" customHeight="1"/>
    <row r="5458" ht="26.25" customHeight="1"/>
    <row r="5459" ht="26.25" customHeight="1"/>
    <row r="5460" ht="26.25" customHeight="1"/>
    <row r="5461" ht="26.25" customHeight="1"/>
    <row r="5462" ht="26.25" customHeight="1"/>
    <row r="5463" ht="26.25" customHeight="1"/>
    <row r="5464" ht="26.25" customHeight="1"/>
    <row r="5465" ht="26.25" customHeight="1"/>
    <row r="5466" ht="26.25" customHeight="1"/>
    <row r="5467" ht="26.25" customHeight="1"/>
    <row r="5468" ht="26.25" customHeight="1"/>
    <row r="5469" ht="26.25" customHeight="1"/>
    <row r="5470" ht="26.25" customHeight="1"/>
    <row r="5471" ht="26.25" customHeight="1"/>
    <row r="5472" ht="26.25" customHeight="1"/>
    <row r="5473" ht="26.25" customHeight="1"/>
    <row r="5474" ht="26.25" customHeight="1"/>
    <row r="5475" ht="26.25" customHeight="1"/>
    <row r="5476" ht="26.25" customHeight="1"/>
    <row r="5477" ht="26.25" customHeight="1"/>
    <row r="5478" ht="26.25" customHeight="1"/>
    <row r="5479" ht="26.25" customHeight="1"/>
    <row r="5480" ht="26.25" customHeight="1"/>
    <row r="5481" ht="26.25" customHeight="1"/>
    <row r="5482" ht="26.25" customHeight="1"/>
    <row r="5483" ht="26.25" customHeight="1"/>
    <row r="5484" ht="26.25" customHeight="1"/>
    <row r="5485" ht="26.25" customHeight="1"/>
    <row r="5486" ht="26.25" customHeight="1"/>
    <row r="5487" ht="26.25" customHeight="1"/>
    <row r="5488" ht="26.25" customHeight="1"/>
    <row r="5489" ht="26.25" customHeight="1"/>
    <row r="5490" ht="26.25" customHeight="1"/>
    <row r="5491" ht="26.25" customHeight="1"/>
    <row r="5492" ht="26.25" customHeight="1"/>
    <row r="5493" ht="26.25" customHeight="1"/>
    <row r="5494" ht="26.25" customHeight="1"/>
    <row r="5495" ht="26.25" customHeight="1"/>
    <row r="5496" ht="26.25" customHeight="1"/>
    <row r="5497" ht="26.25" customHeight="1"/>
    <row r="5498" ht="26.25" customHeight="1"/>
    <row r="5499" ht="26.25" customHeight="1"/>
    <row r="5500" ht="26.25" customHeight="1"/>
    <row r="5501" ht="26.25" customHeight="1"/>
    <row r="5502" ht="26.25" customHeight="1"/>
    <row r="5503" ht="26.25" customHeight="1"/>
    <row r="5504" ht="26.25" customHeight="1"/>
    <row r="5505" ht="26.25" customHeight="1"/>
    <row r="5506" ht="26.25" customHeight="1"/>
    <row r="5507" ht="26.25" customHeight="1"/>
    <row r="5508" ht="26.25" customHeight="1"/>
    <row r="5509" ht="26.25" customHeight="1"/>
    <row r="5510" ht="26.25" customHeight="1"/>
    <row r="5511" ht="26.25" customHeight="1"/>
    <row r="5512" ht="26.25" customHeight="1"/>
    <row r="5513" ht="26.25" customHeight="1"/>
    <row r="5514" ht="26.25" customHeight="1"/>
    <row r="5515" ht="26.25" customHeight="1"/>
    <row r="5516" ht="26.25" customHeight="1"/>
    <row r="5517" ht="26.25" customHeight="1"/>
    <row r="5518" ht="26.25" customHeight="1"/>
    <row r="5519" ht="26.25" customHeight="1"/>
    <row r="5520" ht="26.25" customHeight="1"/>
    <row r="5521" ht="26.25" customHeight="1"/>
    <row r="5522" ht="26.25" customHeight="1"/>
    <row r="5523" ht="26.25" customHeight="1"/>
    <row r="5524" ht="26.25" customHeight="1"/>
    <row r="5525" ht="26.25" customHeight="1"/>
    <row r="5526" ht="26.25" customHeight="1"/>
    <row r="5527" ht="26.25" customHeight="1"/>
    <row r="5528" ht="26.25" customHeight="1"/>
    <row r="5529" ht="26.25" customHeight="1"/>
    <row r="5530" ht="26.25" customHeight="1"/>
    <row r="5531" ht="26.25" customHeight="1"/>
    <row r="5532" ht="26.25" customHeight="1"/>
    <row r="5533" ht="26.25" customHeight="1"/>
    <row r="5534" ht="26.25" customHeight="1"/>
    <row r="5535" ht="26.25" customHeight="1"/>
    <row r="5536" ht="26.25" customHeight="1"/>
    <row r="5537" ht="26.25" customHeight="1"/>
    <row r="5538" ht="26.25" customHeight="1"/>
    <row r="5539" ht="26.25" customHeight="1"/>
    <row r="5540" ht="26.25" customHeight="1"/>
    <row r="5541" ht="26.25" customHeight="1"/>
    <row r="5542" ht="26.25" customHeight="1"/>
    <row r="5543" ht="26.25" customHeight="1"/>
    <row r="5544" ht="26.25" customHeight="1"/>
    <row r="5545" ht="26.25" customHeight="1"/>
    <row r="5546" ht="26.25" customHeight="1"/>
    <row r="5547" ht="26.25" customHeight="1"/>
    <row r="5548" ht="26.25" customHeight="1"/>
    <row r="5549" ht="26.25" customHeight="1"/>
    <row r="5550" ht="26.25" customHeight="1"/>
    <row r="5551" ht="26.25" customHeight="1"/>
    <row r="5552" ht="26.25" customHeight="1"/>
    <row r="5553" ht="26.25" customHeight="1"/>
    <row r="5554" ht="26.25" customHeight="1"/>
    <row r="5555" ht="26.25" customHeight="1"/>
    <row r="5556" ht="26.25" customHeight="1"/>
    <row r="5557" ht="26.25" customHeight="1"/>
    <row r="5558" ht="26.25" customHeight="1"/>
    <row r="5559" ht="26.25" customHeight="1"/>
    <row r="5560" ht="26.25" customHeight="1"/>
    <row r="5561" ht="26.25" customHeight="1"/>
    <row r="5562" ht="26.25" customHeight="1"/>
    <row r="5563" ht="26.25" customHeight="1"/>
    <row r="5564" ht="26.25" customHeight="1"/>
    <row r="5565" ht="26.25" customHeight="1"/>
    <row r="5566" ht="26.25" customHeight="1"/>
    <row r="5567" ht="26.25" customHeight="1"/>
    <row r="5568" ht="26.25" customHeight="1"/>
    <row r="5569" ht="26.25" customHeight="1"/>
    <row r="5570" ht="26.25" customHeight="1"/>
    <row r="5571" ht="26.25" customHeight="1"/>
    <row r="5572" ht="26.25" customHeight="1"/>
    <row r="5573" ht="26.25" customHeight="1"/>
    <row r="5574" ht="26.25" customHeight="1"/>
    <row r="5575" ht="26.25" customHeight="1"/>
    <row r="5576" ht="26.25" customHeight="1"/>
    <row r="5577" ht="26.25" customHeight="1"/>
    <row r="5578" ht="26.25" customHeight="1"/>
    <row r="5579" ht="26.25" customHeight="1"/>
    <row r="5580" ht="26.25" customHeight="1"/>
    <row r="5581" ht="26.25" customHeight="1"/>
    <row r="5582" ht="26.25" customHeight="1"/>
    <row r="5583" ht="26.25" customHeight="1"/>
    <row r="5584" ht="26.25" customHeight="1"/>
    <row r="5585" ht="26.25" customHeight="1"/>
    <row r="5586" ht="26.25" customHeight="1"/>
    <row r="5587" ht="26.25" customHeight="1"/>
    <row r="5588" ht="26.25" customHeight="1"/>
    <row r="5589" ht="26.25" customHeight="1"/>
    <row r="5590" ht="26.25" customHeight="1"/>
    <row r="5591" ht="26.25" customHeight="1"/>
    <row r="5592" ht="26.25" customHeight="1"/>
    <row r="5593" ht="26.25" customHeight="1"/>
    <row r="5594" ht="26.25" customHeight="1"/>
    <row r="5595" ht="26.25" customHeight="1"/>
    <row r="5596" ht="26.25" customHeight="1"/>
    <row r="5597" ht="26.25" customHeight="1"/>
    <row r="5598" ht="26.25" customHeight="1"/>
    <row r="5599" ht="26.25" customHeight="1"/>
    <row r="5600" ht="26.25" customHeight="1"/>
    <row r="5601" ht="26.25" customHeight="1"/>
    <row r="5602" ht="26.25" customHeight="1"/>
    <row r="5603" ht="26.25" customHeight="1"/>
    <row r="5604" ht="26.25" customHeight="1"/>
    <row r="5605" ht="26.25" customHeight="1"/>
    <row r="5606" ht="26.25" customHeight="1"/>
    <row r="5607" ht="26.25" customHeight="1"/>
    <row r="5608" ht="26.25" customHeight="1"/>
    <row r="5609" ht="26.25" customHeight="1"/>
    <row r="5610" ht="26.25" customHeight="1"/>
    <row r="5611" ht="26.25" customHeight="1"/>
    <row r="5612" ht="26.25" customHeight="1"/>
    <row r="5613" ht="26.25" customHeight="1"/>
    <row r="5614" ht="26.25" customHeight="1"/>
    <row r="5615" ht="26.25" customHeight="1"/>
    <row r="5616" ht="26.25" customHeight="1"/>
    <row r="5617" ht="26.25" customHeight="1"/>
    <row r="5618" ht="26.25" customHeight="1"/>
    <row r="5619" ht="26.25" customHeight="1"/>
    <row r="5620" ht="26.25" customHeight="1"/>
    <row r="5621" ht="26.25" customHeight="1"/>
    <row r="5622" ht="26.25" customHeight="1"/>
    <row r="5623" ht="26.25" customHeight="1"/>
    <row r="5624" ht="26.25" customHeight="1"/>
    <row r="5625" ht="26.25" customHeight="1"/>
    <row r="5626" ht="26.25" customHeight="1"/>
    <row r="5627" ht="26.25" customHeight="1"/>
    <row r="5628" ht="26.25" customHeight="1"/>
    <row r="5629" ht="26.25" customHeight="1"/>
    <row r="5630" ht="26.25" customHeight="1"/>
    <row r="5631" ht="26.25" customHeight="1"/>
    <row r="5632" ht="26.25" customHeight="1"/>
    <row r="5633" ht="26.25" customHeight="1"/>
    <row r="5634" ht="26.25" customHeight="1"/>
    <row r="5635" ht="26.25" customHeight="1"/>
    <row r="5636" ht="26.25" customHeight="1"/>
    <row r="5637" ht="26.25" customHeight="1"/>
    <row r="5638" ht="26.25" customHeight="1"/>
    <row r="5639" ht="26.25" customHeight="1"/>
    <row r="5640" ht="26.25" customHeight="1"/>
    <row r="5641" ht="26.25" customHeight="1"/>
    <row r="5642" ht="26.25" customHeight="1"/>
    <row r="5643" ht="26.25" customHeight="1"/>
    <row r="5644" ht="26.25" customHeight="1"/>
    <row r="5645" ht="26.25" customHeight="1"/>
    <row r="5646" ht="26.25" customHeight="1"/>
    <row r="5647" ht="26.25" customHeight="1"/>
    <row r="5648" ht="26.25" customHeight="1"/>
    <row r="5649" ht="26.25" customHeight="1"/>
    <row r="5650" ht="26.25" customHeight="1"/>
    <row r="5651" ht="26.25" customHeight="1"/>
    <row r="5652" ht="26.25" customHeight="1"/>
    <row r="5653" ht="26.25" customHeight="1"/>
    <row r="5654" ht="26.25" customHeight="1"/>
    <row r="5655" ht="26.25" customHeight="1"/>
    <row r="5656" ht="26.25" customHeight="1"/>
    <row r="5657" ht="26.25" customHeight="1"/>
    <row r="5658" ht="26.25" customHeight="1"/>
    <row r="5659" ht="26.25" customHeight="1"/>
    <row r="5660" ht="26.25" customHeight="1"/>
    <row r="5661" ht="26.25" customHeight="1"/>
    <row r="5662" ht="26.25" customHeight="1"/>
    <row r="5663" ht="26.25" customHeight="1"/>
    <row r="5664" ht="26.25" customHeight="1"/>
    <row r="5665" ht="26.25" customHeight="1"/>
    <row r="5666" ht="26.25" customHeight="1"/>
    <row r="5667" ht="26.25" customHeight="1"/>
    <row r="5668" ht="26.25" customHeight="1"/>
    <row r="5669" ht="26.25" customHeight="1"/>
    <row r="5670" ht="26.25" customHeight="1"/>
    <row r="5671" ht="26.25" customHeight="1"/>
    <row r="5672" ht="26.25" customHeight="1"/>
    <row r="5673" ht="26.25" customHeight="1"/>
    <row r="5674" ht="26.25" customHeight="1"/>
    <row r="5675" ht="26.25" customHeight="1"/>
    <row r="5676" ht="26.25" customHeight="1"/>
    <row r="5677" ht="26.25" customHeight="1"/>
    <row r="5678" ht="26.25" customHeight="1"/>
    <row r="5679" ht="26.25" customHeight="1"/>
    <row r="5680" ht="26.25" customHeight="1"/>
    <row r="5681" ht="26.25" customHeight="1"/>
    <row r="5682" ht="26.25" customHeight="1"/>
    <row r="5683" ht="26.25" customHeight="1"/>
    <row r="5684" ht="26.25" customHeight="1"/>
    <row r="5685" ht="26.25" customHeight="1"/>
    <row r="5686" ht="26.25" customHeight="1"/>
    <row r="5687" ht="26.25" customHeight="1"/>
    <row r="5688" ht="26.25" customHeight="1"/>
    <row r="5689" ht="26.25" customHeight="1"/>
    <row r="5690" ht="26.25" customHeight="1"/>
    <row r="5691" ht="26.25" customHeight="1"/>
    <row r="5692" ht="26.25" customHeight="1"/>
    <row r="5693" ht="26.25" customHeight="1"/>
    <row r="5694" ht="26.25" customHeight="1"/>
    <row r="5695" ht="26.25" customHeight="1"/>
    <row r="5696" ht="26.25" customHeight="1"/>
    <row r="5697" ht="26.25" customHeight="1"/>
    <row r="5698" ht="26.25" customHeight="1"/>
    <row r="5699" ht="26.25" customHeight="1"/>
    <row r="5700" ht="26.25" customHeight="1"/>
    <row r="5701" ht="26.25" customHeight="1"/>
    <row r="5702" ht="26.25" customHeight="1"/>
    <row r="5703" ht="26.25" customHeight="1"/>
    <row r="5704" ht="26.25" customHeight="1"/>
    <row r="5705" ht="26.25" customHeight="1"/>
    <row r="5706" ht="26.25" customHeight="1"/>
    <row r="5707" ht="26.25" customHeight="1"/>
    <row r="5708" ht="26.25" customHeight="1"/>
    <row r="5709" ht="26.25" customHeight="1"/>
    <row r="5710" ht="26.25" customHeight="1"/>
    <row r="5711" ht="26.25" customHeight="1"/>
    <row r="5712" ht="26.25" customHeight="1"/>
    <row r="5713" ht="26.25" customHeight="1"/>
    <row r="5714" ht="26.25" customHeight="1"/>
    <row r="5715" ht="26.25" customHeight="1"/>
    <row r="5716" ht="26.25" customHeight="1"/>
    <row r="5717" ht="26.25" customHeight="1"/>
    <row r="5718" ht="26.25" customHeight="1"/>
    <row r="5719" ht="26.25" customHeight="1"/>
    <row r="5720" ht="26.25" customHeight="1"/>
    <row r="5721" ht="26.25" customHeight="1"/>
    <row r="5722" ht="26.25" customHeight="1"/>
    <row r="5723" ht="26.25" customHeight="1"/>
    <row r="5724" ht="26.25" customHeight="1"/>
    <row r="5725" ht="26.25" customHeight="1"/>
    <row r="5726" ht="26.25" customHeight="1"/>
    <row r="5727" ht="26.25" customHeight="1"/>
    <row r="5728" ht="26.25" customHeight="1"/>
    <row r="5729" ht="26.25" customHeight="1"/>
    <row r="5730" ht="26.25" customHeight="1"/>
    <row r="5731" ht="26.25" customHeight="1"/>
    <row r="5732" ht="26.25" customHeight="1"/>
    <row r="5733" ht="26.25" customHeight="1"/>
    <row r="5734" ht="26.25" customHeight="1"/>
    <row r="5735" ht="26.25" customHeight="1"/>
    <row r="5736" ht="26.25" customHeight="1"/>
    <row r="5737" ht="26.25" customHeight="1"/>
    <row r="5738" ht="26.25" customHeight="1"/>
    <row r="5739" ht="26.25" customHeight="1"/>
    <row r="5740" ht="26.25" customHeight="1"/>
    <row r="5741" ht="26.25" customHeight="1"/>
    <row r="5742" ht="26.25" customHeight="1"/>
    <row r="5743" ht="26.25" customHeight="1"/>
    <row r="5744" ht="26.25" customHeight="1"/>
    <row r="5745" ht="26.25" customHeight="1"/>
    <row r="5746" ht="26.25" customHeight="1"/>
    <row r="5747" ht="26.25" customHeight="1"/>
    <row r="5748" ht="26.25" customHeight="1"/>
    <row r="5749" ht="26.25" customHeight="1"/>
    <row r="5750" ht="26.25" customHeight="1"/>
    <row r="5751" ht="26.25" customHeight="1"/>
    <row r="5752" ht="26.25" customHeight="1"/>
    <row r="5753" ht="26.25" customHeight="1"/>
    <row r="5754" ht="26.25" customHeight="1"/>
    <row r="5755" ht="26.25" customHeight="1"/>
    <row r="5756" ht="26.25" customHeight="1"/>
    <row r="5757" ht="26.25" customHeight="1"/>
    <row r="5758" ht="26.25" customHeight="1"/>
    <row r="5759" ht="26.25" customHeight="1"/>
    <row r="5760" ht="26.25" customHeight="1"/>
    <row r="5761" ht="26.25" customHeight="1"/>
    <row r="5762" ht="26.25" customHeight="1"/>
    <row r="5763" ht="26.25" customHeight="1"/>
    <row r="5764" ht="26.25" customHeight="1"/>
    <row r="5765" ht="26.25" customHeight="1"/>
    <row r="5766" ht="26.25" customHeight="1"/>
    <row r="5767" ht="26.25" customHeight="1"/>
    <row r="5768" ht="26.25" customHeight="1"/>
    <row r="5769" ht="26.25" customHeight="1"/>
    <row r="5770" ht="26.25" customHeight="1"/>
    <row r="5771" ht="26.25" customHeight="1"/>
    <row r="5772" ht="26.25" customHeight="1"/>
    <row r="5773" ht="26.25" customHeight="1"/>
    <row r="5774" ht="26.25" customHeight="1"/>
    <row r="5775" ht="26.25" customHeight="1"/>
    <row r="5776" ht="26.25" customHeight="1"/>
    <row r="5777" ht="26.25" customHeight="1"/>
    <row r="5778" ht="26.25" customHeight="1"/>
    <row r="5779" ht="26.25" customHeight="1"/>
    <row r="5780" ht="26.25" customHeight="1"/>
    <row r="5781" ht="26.25" customHeight="1"/>
    <row r="5782" ht="26.25" customHeight="1"/>
    <row r="5783" ht="26.25" customHeight="1"/>
    <row r="5784" ht="26.25" customHeight="1"/>
    <row r="5785" ht="26.25" customHeight="1"/>
    <row r="5786" ht="26.25" customHeight="1"/>
    <row r="5787" ht="26.25" customHeight="1"/>
    <row r="5788" ht="26.25" customHeight="1"/>
    <row r="5789" ht="26.25" customHeight="1"/>
    <row r="5790" ht="26.25" customHeight="1"/>
    <row r="5791" ht="26.25" customHeight="1"/>
    <row r="5792" ht="26.25" customHeight="1"/>
    <row r="5793" ht="26.25" customHeight="1"/>
    <row r="5794" ht="26.25" customHeight="1"/>
    <row r="5795" ht="26.25" customHeight="1"/>
    <row r="5796" ht="26.25" customHeight="1"/>
    <row r="5797" ht="26.25" customHeight="1"/>
    <row r="5798" ht="26.25" customHeight="1"/>
    <row r="5799" ht="26.25" customHeight="1"/>
    <row r="5800" ht="26.25" customHeight="1"/>
    <row r="5801" ht="26.25" customHeight="1"/>
    <row r="5802" ht="26.25" customHeight="1"/>
    <row r="5803" ht="26.25" customHeight="1"/>
    <row r="5804" ht="26.25" customHeight="1"/>
    <row r="5805" ht="26.25" customHeight="1"/>
    <row r="5806" ht="26.25" customHeight="1"/>
    <row r="5807" ht="26.25" customHeight="1"/>
    <row r="5808" ht="26.25" customHeight="1"/>
    <row r="5809" ht="26.25" customHeight="1"/>
    <row r="5810" ht="26.25" customHeight="1"/>
    <row r="5811" ht="26.25" customHeight="1"/>
    <row r="5812" ht="26.25" customHeight="1"/>
    <row r="5813" ht="26.25" customHeight="1"/>
    <row r="5814" ht="26.25" customHeight="1"/>
    <row r="5815" ht="26.25" customHeight="1"/>
    <row r="5816" ht="26.25" customHeight="1"/>
    <row r="5817" ht="26.25" customHeight="1"/>
    <row r="5818" ht="26.25" customHeight="1"/>
    <row r="5819" ht="26.25" customHeight="1"/>
    <row r="5820" ht="26.25" customHeight="1"/>
    <row r="5821" ht="26.25" customHeight="1"/>
    <row r="5822" ht="26.25" customHeight="1"/>
    <row r="5823" ht="26.25" customHeight="1"/>
    <row r="5824" ht="26.25" customHeight="1"/>
    <row r="5825" ht="26.25" customHeight="1"/>
    <row r="5826" ht="26.25" customHeight="1"/>
    <row r="5827" ht="26.25" customHeight="1"/>
    <row r="5828" ht="26.25" customHeight="1"/>
    <row r="5829" ht="26.25" customHeight="1"/>
    <row r="5830" ht="26.25" customHeight="1"/>
    <row r="5831" ht="26.25" customHeight="1"/>
    <row r="5832" ht="26.25" customHeight="1"/>
    <row r="5833" ht="26.25" customHeight="1"/>
    <row r="5834" ht="26.25" customHeight="1"/>
    <row r="5835" ht="26.25" customHeight="1"/>
    <row r="5836" ht="26.25" customHeight="1"/>
    <row r="5837" ht="26.25" customHeight="1"/>
    <row r="5838" ht="26.25" customHeight="1"/>
    <row r="5839" ht="26.25" customHeight="1"/>
    <row r="5840" ht="26.25" customHeight="1"/>
    <row r="5841" ht="26.25" customHeight="1"/>
    <row r="5842" ht="26.25" customHeight="1"/>
    <row r="5843" ht="26.25" customHeight="1"/>
    <row r="5844" ht="26.25" customHeight="1"/>
    <row r="5845" ht="26.25" customHeight="1"/>
    <row r="5846" ht="26.25" customHeight="1"/>
    <row r="5847" ht="26.25" customHeight="1"/>
    <row r="5848" ht="26.25" customHeight="1"/>
    <row r="5849" ht="26.25" customHeight="1"/>
    <row r="5850" ht="26.25" customHeight="1"/>
    <row r="5851" ht="26.25" customHeight="1"/>
    <row r="5852" ht="26.25" customHeight="1"/>
    <row r="5853" ht="26.25" customHeight="1"/>
    <row r="5854" ht="26.25" customHeight="1"/>
    <row r="5855" ht="26.25" customHeight="1"/>
    <row r="5856" ht="26.25" customHeight="1"/>
    <row r="5857" ht="26.25" customHeight="1"/>
    <row r="5858" ht="26.25" customHeight="1"/>
    <row r="5859" ht="26.25" customHeight="1"/>
    <row r="5860" ht="26.25" customHeight="1"/>
    <row r="5861" ht="26.25" customHeight="1"/>
    <row r="5862" ht="26.25" customHeight="1"/>
    <row r="5863" ht="26.25" customHeight="1"/>
    <row r="5864" ht="26.25" customHeight="1"/>
    <row r="5865" ht="26.25" customHeight="1"/>
    <row r="5866" ht="26.25" customHeight="1"/>
    <row r="5867" ht="26.25" customHeight="1"/>
    <row r="5868" ht="26.25" customHeight="1"/>
    <row r="5869" ht="26.25" customHeight="1"/>
    <row r="5870" ht="26.25" customHeight="1"/>
    <row r="5871" ht="26.25" customHeight="1"/>
    <row r="5872" ht="26.25" customHeight="1"/>
    <row r="5873" ht="26.25" customHeight="1"/>
    <row r="5874" ht="26.25" customHeight="1"/>
    <row r="5875" ht="26.25" customHeight="1"/>
    <row r="5876" ht="26.25" customHeight="1"/>
    <row r="5877" ht="26.25" customHeight="1"/>
    <row r="5878" ht="26.25" customHeight="1"/>
    <row r="5879" ht="26.25" customHeight="1"/>
    <row r="5880" ht="26.25" customHeight="1"/>
    <row r="5881" ht="26.25" customHeight="1"/>
    <row r="5882" ht="26.25" customHeight="1"/>
    <row r="5883" ht="26.25" customHeight="1"/>
    <row r="5884" ht="26.25" customHeight="1"/>
    <row r="5885" ht="26.25" customHeight="1"/>
    <row r="5886" ht="26.25" customHeight="1"/>
    <row r="5887" ht="26.25" customHeight="1"/>
    <row r="5888" ht="26.25" customHeight="1"/>
    <row r="5889" ht="26.25" customHeight="1"/>
    <row r="5890" ht="26.25" customHeight="1"/>
    <row r="5891" ht="26.25" customHeight="1"/>
    <row r="5892" ht="26.25" customHeight="1"/>
    <row r="5893" ht="26.25" customHeight="1"/>
    <row r="5894" ht="26.25" customHeight="1"/>
    <row r="5895" ht="26.25" customHeight="1"/>
    <row r="5896" ht="26.25" customHeight="1"/>
    <row r="5897" ht="26.25" customHeight="1"/>
    <row r="5898" ht="26.25" customHeight="1"/>
    <row r="5899" ht="26.25" customHeight="1"/>
    <row r="5900" ht="26.25" customHeight="1"/>
    <row r="5901" ht="26.25" customHeight="1"/>
    <row r="5902" ht="26.25" customHeight="1"/>
    <row r="5903" ht="26.25" customHeight="1"/>
    <row r="5904" ht="26.25" customHeight="1"/>
    <row r="5905" ht="26.25" customHeight="1"/>
    <row r="5906" ht="26.25" customHeight="1"/>
    <row r="5907" ht="26.25" customHeight="1"/>
    <row r="5908" ht="26.25" customHeight="1"/>
    <row r="5909" ht="26.25" customHeight="1"/>
    <row r="5910" ht="26.25" customHeight="1"/>
    <row r="5911" ht="26.25" customHeight="1"/>
    <row r="5912" ht="26.25" customHeight="1"/>
    <row r="5913" ht="26.25" customHeight="1"/>
    <row r="5914" ht="26.25" customHeight="1"/>
    <row r="5915" ht="26.25" customHeight="1"/>
    <row r="5916" ht="26.25" customHeight="1"/>
    <row r="5917" ht="26.25" customHeight="1"/>
    <row r="5918" ht="26.25" customHeight="1"/>
    <row r="5919" ht="26.25" customHeight="1"/>
    <row r="5920" ht="26.25" customHeight="1"/>
    <row r="5921" ht="26.25" customHeight="1"/>
    <row r="5922" ht="26.25" customHeight="1"/>
    <row r="5923" ht="26.25" customHeight="1"/>
    <row r="5924" ht="26.25" customHeight="1"/>
    <row r="5925" ht="26.25" customHeight="1"/>
    <row r="5926" ht="26.25" customHeight="1"/>
    <row r="5927" ht="26.25" customHeight="1"/>
    <row r="5928" ht="26.25" customHeight="1"/>
    <row r="5929" ht="26.25" customHeight="1"/>
    <row r="5930" ht="26.25" customHeight="1"/>
    <row r="5931" ht="26.25" customHeight="1"/>
    <row r="5932" ht="26.25" customHeight="1"/>
    <row r="5933" ht="26.25" customHeight="1"/>
    <row r="5934" ht="26.25" customHeight="1"/>
    <row r="5935" ht="26.25" customHeight="1"/>
    <row r="5936" ht="26.25" customHeight="1"/>
    <row r="5937" ht="26.25" customHeight="1"/>
    <row r="5938" ht="26.25" customHeight="1"/>
    <row r="5939" ht="26.25" customHeight="1"/>
    <row r="5940" ht="26.25" customHeight="1"/>
    <row r="5941" ht="26.25" customHeight="1"/>
    <row r="5942" ht="26.25" customHeight="1"/>
    <row r="5943" ht="26.25" customHeight="1"/>
    <row r="5944" ht="26.25" customHeight="1"/>
    <row r="5945" ht="26.25" customHeight="1"/>
    <row r="5946" ht="26.25" customHeight="1"/>
    <row r="5947" ht="26.25" customHeight="1"/>
    <row r="5948" ht="26.25" customHeight="1"/>
    <row r="5949" ht="26.25" customHeight="1"/>
    <row r="5950" ht="26.25" customHeight="1"/>
    <row r="5951" ht="26.25" customHeight="1"/>
    <row r="5952" ht="26.25" customHeight="1"/>
    <row r="5953" ht="26.25" customHeight="1"/>
    <row r="5954" ht="26.25" customHeight="1"/>
    <row r="5955" ht="26.25" customHeight="1"/>
    <row r="5956" ht="26.25" customHeight="1"/>
    <row r="5957" ht="26.25" customHeight="1"/>
    <row r="5958" ht="26.25" customHeight="1"/>
    <row r="5959" ht="26.25" customHeight="1"/>
    <row r="5960" ht="26.25" customHeight="1"/>
    <row r="5961" ht="26.25" customHeight="1"/>
    <row r="5962" ht="26.25" customHeight="1"/>
    <row r="5963" ht="26.25" customHeight="1"/>
    <row r="5964" ht="26.25" customHeight="1"/>
    <row r="5965" ht="26.25" customHeight="1"/>
    <row r="5966" ht="26.25" customHeight="1"/>
    <row r="5967" ht="26.25" customHeight="1"/>
    <row r="5968" ht="26.25" customHeight="1"/>
    <row r="5969" ht="26.25" customHeight="1"/>
    <row r="5970" ht="26.25" customHeight="1"/>
    <row r="5971" ht="26.25" customHeight="1"/>
    <row r="5972" ht="26.25" customHeight="1"/>
    <row r="5973" ht="26.25" customHeight="1"/>
    <row r="5974" ht="26.25" customHeight="1"/>
    <row r="5975" ht="26.25" customHeight="1"/>
    <row r="5976" ht="26.25" customHeight="1"/>
    <row r="5977" ht="26.25" customHeight="1"/>
    <row r="5978" ht="26.25" customHeight="1"/>
    <row r="5979" ht="26.25" customHeight="1"/>
    <row r="5980" ht="26.25" customHeight="1"/>
    <row r="5981" ht="26.25" customHeight="1"/>
    <row r="5982" ht="26.25" customHeight="1"/>
    <row r="5983" ht="26.25" customHeight="1"/>
    <row r="5984" ht="26.25" customHeight="1"/>
    <row r="5985" ht="26.25" customHeight="1"/>
    <row r="5986" ht="26.25" customHeight="1"/>
    <row r="5987" ht="26.25" customHeight="1"/>
    <row r="5988" ht="26.25" customHeight="1"/>
    <row r="5989" ht="26.25" customHeight="1"/>
    <row r="5990" ht="26.25" customHeight="1"/>
    <row r="5991" ht="26.25" customHeight="1"/>
    <row r="5992" ht="26.25" customHeight="1"/>
    <row r="5993" ht="26.25" customHeight="1"/>
    <row r="5994" ht="26.25" customHeight="1"/>
    <row r="5995" ht="26.25" customHeight="1"/>
    <row r="5996" ht="26.25" customHeight="1"/>
    <row r="5997" ht="26.25" customHeight="1"/>
    <row r="5998" ht="26.25" customHeight="1"/>
    <row r="5999" ht="26.25" customHeight="1"/>
    <row r="6000" ht="26.25" customHeight="1"/>
    <row r="6001" ht="26.25" customHeight="1"/>
    <row r="6002" ht="26.25" customHeight="1"/>
    <row r="6003" ht="26.25" customHeight="1"/>
    <row r="6004" ht="26.25" customHeight="1"/>
    <row r="6005" ht="26.25" customHeight="1"/>
    <row r="6006" ht="26.25" customHeight="1"/>
    <row r="6007" ht="26.25" customHeight="1"/>
    <row r="6008" ht="26.25" customHeight="1"/>
    <row r="6009" ht="26.25" customHeight="1"/>
    <row r="6010" ht="26.25" customHeight="1"/>
    <row r="6011" ht="26.25" customHeight="1"/>
    <row r="6012" ht="26.25" customHeight="1"/>
    <row r="6013" ht="26.25" customHeight="1"/>
    <row r="6014" ht="26.25" customHeight="1"/>
    <row r="6015" ht="26.25" customHeight="1"/>
    <row r="6016" ht="26.25" customHeight="1"/>
    <row r="6017" ht="26.25" customHeight="1"/>
    <row r="6018" ht="26.25" customHeight="1"/>
    <row r="6019" ht="26.25" customHeight="1"/>
    <row r="6020" ht="26.25" customHeight="1"/>
    <row r="6021" ht="26.25" customHeight="1"/>
    <row r="6022" ht="26.25" customHeight="1"/>
    <row r="6023" ht="26.25" customHeight="1"/>
    <row r="6024" ht="26.25" customHeight="1"/>
    <row r="6025" ht="26.25" customHeight="1"/>
    <row r="6026" ht="26.25" customHeight="1"/>
    <row r="6027" ht="26.25" customHeight="1"/>
    <row r="6028" ht="26.25" customHeight="1"/>
    <row r="6029" ht="26.25" customHeight="1"/>
    <row r="6030" ht="26.25" customHeight="1"/>
    <row r="6031" ht="26.25" customHeight="1"/>
    <row r="6032" ht="26.25" customHeight="1"/>
    <row r="6033" ht="26.25" customHeight="1"/>
    <row r="6034" ht="26.25" customHeight="1"/>
    <row r="6035" ht="26.25" customHeight="1"/>
    <row r="6036" ht="26.25" customHeight="1"/>
    <row r="6037" ht="26.25" customHeight="1"/>
    <row r="6038" ht="26.25" customHeight="1"/>
    <row r="6039" ht="26.25" customHeight="1"/>
    <row r="6040" ht="26.25" customHeight="1"/>
    <row r="6041" ht="26.25" customHeight="1"/>
    <row r="6042" ht="26.25" customHeight="1"/>
    <row r="6043" ht="26.25" customHeight="1"/>
    <row r="6044" ht="26.25" customHeight="1"/>
    <row r="6045" ht="26.25" customHeight="1"/>
    <row r="6046" ht="26.25" customHeight="1"/>
    <row r="6047" ht="26.25" customHeight="1"/>
    <row r="6048" ht="26.25" customHeight="1"/>
    <row r="6049" ht="26.25" customHeight="1"/>
    <row r="6050" ht="26.25" customHeight="1"/>
    <row r="6051" ht="26.25" customHeight="1"/>
    <row r="6052" ht="26.25" customHeight="1"/>
    <row r="6053" ht="26.25" customHeight="1"/>
    <row r="6054" ht="26.25" customHeight="1"/>
    <row r="6055" ht="26.25" customHeight="1"/>
    <row r="6056" ht="26.25" customHeight="1"/>
    <row r="6057" ht="26.25" customHeight="1"/>
    <row r="6058" ht="26.25" customHeight="1"/>
    <row r="6059" ht="26.25" customHeight="1"/>
    <row r="6060" ht="26.25" customHeight="1"/>
    <row r="6061" ht="26.25" customHeight="1"/>
    <row r="6062" ht="26.25" customHeight="1"/>
    <row r="6063" ht="26.25" customHeight="1"/>
    <row r="6064" ht="26.25" customHeight="1"/>
    <row r="6065" ht="26.25" customHeight="1"/>
    <row r="6066" ht="26.25" customHeight="1"/>
    <row r="6067" ht="26.25" customHeight="1"/>
    <row r="6068" ht="26.25" customHeight="1"/>
    <row r="6069" ht="26.25" customHeight="1"/>
    <row r="6070" ht="26.25" customHeight="1"/>
    <row r="6071" ht="26.25" customHeight="1"/>
    <row r="6072" ht="26.25" customHeight="1"/>
    <row r="6073" ht="26.25" customHeight="1"/>
    <row r="6074" ht="26.25" customHeight="1"/>
    <row r="6075" ht="26.25" customHeight="1"/>
    <row r="6076" ht="26.25" customHeight="1"/>
    <row r="6077" ht="26.25" customHeight="1"/>
    <row r="6078" ht="26.25" customHeight="1"/>
    <row r="6079" ht="26.25" customHeight="1"/>
    <row r="6080" ht="26.25" customHeight="1"/>
    <row r="6081" ht="26.25" customHeight="1"/>
    <row r="6082" ht="26.25" customHeight="1"/>
    <row r="6083" ht="26.25" customHeight="1"/>
    <row r="6084" ht="26.25" customHeight="1"/>
    <row r="6085" ht="26.25" customHeight="1"/>
    <row r="6086" ht="26.25" customHeight="1"/>
    <row r="6087" ht="26.25" customHeight="1"/>
    <row r="6088" ht="26.25" customHeight="1"/>
    <row r="6089" ht="26.25" customHeight="1"/>
    <row r="6090" ht="26.25" customHeight="1"/>
    <row r="6091" ht="26.25" customHeight="1"/>
    <row r="6092" ht="26.25" customHeight="1"/>
    <row r="6093" ht="26.25" customHeight="1"/>
    <row r="6094" ht="26.25" customHeight="1"/>
    <row r="6095" ht="26.25" customHeight="1"/>
    <row r="6096" ht="26.25" customHeight="1"/>
    <row r="6097" ht="26.25" customHeight="1"/>
    <row r="6098" ht="26.25" customHeight="1"/>
    <row r="6099" ht="26.25" customHeight="1"/>
    <row r="6100" ht="26.25" customHeight="1"/>
    <row r="6101" ht="26.25" customHeight="1"/>
    <row r="6102" ht="26.25" customHeight="1"/>
    <row r="6103" ht="26.25" customHeight="1"/>
    <row r="6104" ht="26.25" customHeight="1"/>
    <row r="6105" ht="26.25" customHeight="1"/>
    <row r="6106" ht="26.25" customHeight="1"/>
    <row r="6107" ht="26.25" customHeight="1"/>
    <row r="6108" ht="26.25" customHeight="1"/>
    <row r="6109" ht="26.25" customHeight="1"/>
    <row r="6110" ht="26.25" customHeight="1"/>
    <row r="6111" ht="26.25" customHeight="1"/>
    <row r="6112" ht="26.25" customHeight="1"/>
    <row r="6113" ht="26.25" customHeight="1"/>
    <row r="6114" ht="26.25" customHeight="1"/>
    <row r="6115" ht="26.25" customHeight="1"/>
    <row r="6116" ht="26.25" customHeight="1"/>
    <row r="6117" ht="26.25" customHeight="1"/>
    <row r="6118" ht="26.25" customHeight="1"/>
    <row r="6119" ht="26.25" customHeight="1"/>
    <row r="6120" ht="26.25" customHeight="1"/>
    <row r="6121" ht="26.25" customHeight="1"/>
    <row r="6122" ht="26.25" customHeight="1"/>
    <row r="6123" ht="26.25" customHeight="1"/>
    <row r="6124" ht="26.25" customHeight="1"/>
    <row r="6125" ht="26.25" customHeight="1"/>
    <row r="6126" ht="26.25" customHeight="1"/>
    <row r="6127" ht="26.25" customHeight="1"/>
    <row r="6128" ht="26.25" customHeight="1"/>
    <row r="6129" ht="26.25" customHeight="1"/>
    <row r="6130" ht="26.25" customHeight="1"/>
    <row r="6131" ht="26.25" customHeight="1"/>
    <row r="6132" ht="26.25" customHeight="1"/>
    <row r="6133" ht="26.25" customHeight="1"/>
    <row r="6134" ht="26.25" customHeight="1"/>
    <row r="6135" ht="26.25" customHeight="1"/>
    <row r="6136" ht="26.25" customHeight="1"/>
    <row r="6137" ht="26.25" customHeight="1"/>
    <row r="6138" ht="26.25" customHeight="1"/>
    <row r="6139" ht="26.25" customHeight="1"/>
    <row r="6140" ht="26.25" customHeight="1"/>
    <row r="6141" ht="26.25" customHeight="1"/>
    <row r="6142" ht="26.25" customHeight="1"/>
    <row r="6143" ht="26.25" customHeight="1"/>
    <row r="6144" ht="26.25" customHeight="1"/>
    <row r="6145" ht="26.25" customHeight="1"/>
    <row r="6146" ht="26.25" customHeight="1"/>
    <row r="6147" ht="26.25" customHeight="1"/>
    <row r="6148" ht="26.25" customHeight="1"/>
    <row r="6149" ht="26.25" customHeight="1"/>
    <row r="6150" ht="26.25" customHeight="1"/>
    <row r="6151" ht="26.25" customHeight="1"/>
    <row r="6152" ht="26.25" customHeight="1"/>
    <row r="6153" ht="26.25" customHeight="1"/>
    <row r="6154" ht="26.25" customHeight="1"/>
    <row r="6155" ht="26.25" customHeight="1"/>
    <row r="6156" ht="26.25" customHeight="1"/>
    <row r="6157" ht="26.25" customHeight="1"/>
    <row r="6158" ht="26.25" customHeight="1"/>
    <row r="6159" ht="26.25" customHeight="1"/>
    <row r="6160" ht="26.25" customHeight="1"/>
    <row r="6161" ht="26.25" customHeight="1"/>
    <row r="6162" ht="26.25" customHeight="1"/>
    <row r="6163" ht="26.25" customHeight="1"/>
    <row r="6164" ht="26.25" customHeight="1"/>
    <row r="6165" ht="26.25" customHeight="1"/>
    <row r="6166" ht="26.25" customHeight="1"/>
    <row r="6167" ht="26.25" customHeight="1"/>
    <row r="6168" ht="26.25" customHeight="1"/>
    <row r="6169" ht="26.25" customHeight="1"/>
    <row r="6170" ht="26.25" customHeight="1"/>
    <row r="6171" ht="26.25" customHeight="1"/>
    <row r="6172" ht="26.25" customHeight="1"/>
    <row r="6173" ht="26.25" customHeight="1"/>
    <row r="6174" ht="26.25" customHeight="1"/>
    <row r="6175" ht="26.25" customHeight="1"/>
    <row r="6176" ht="26.25" customHeight="1"/>
    <row r="6177" ht="26.25" customHeight="1"/>
    <row r="6178" ht="26.25" customHeight="1"/>
    <row r="6179" ht="26.25" customHeight="1"/>
    <row r="6180" ht="26.25" customHeight="1"/>
    <row r="6181" ht="26.25" customHeight="1"/>
    <row r="6182" ht="26.25" customHeight="1"/>
    <row r="6183" ht="26.25" customHeight="1"/>
    <row r="6184" ht="26.25" customHeight="1"/>
    <row r="6185" ht="26.25" customHeight="1"/>
    <row r="6186" ht="26.25" customHeight="1"/>
    <row r="6187" ht="26.25" customHeight="1"/>
    <row r="6188" ht="26.25" customHeight="1"/>
    <row r="6189" ht="26.25" customHeight="1"/>
    <row r="6190" ht="26.25" customHeight="1"/>
    <row r="6191" ht="26.25" customHeight="1"/>
    <row r="6192" ht="26.25" customHeight="1"/>
    <row r="6193" ht="26.25" customHeight="1"/>
    <row r="6194" ht="26.25" customHeight="1"/>
    <row r="6195" ht="26.25" customHeight="1"/>
    <row r="6196" ht="26.25" customHeight="1"/>
    <row r="6197" ht="26.25" customHeight="1"/>
    <row r="6198" ht="26.25" customHeight="1"/>
    <row r="6199" ht="26.25" customHeight="1"/>
    <row r="6200" ht="26.25" customHeight="1"/>
    <row r="6201" ht="26.25" customHeight="1"/>
    <row r="6202" ht="26.25" customHeight="1"/>
    <row r="6203" ht="26.25" customHeight="1"/>
    <row r="6204" ht="26.25" customHeight="1"/>
    <row r="6205" ht="26.25" customHeight="1"/>
    <row r="6206" ht="26.25" customHeight="1"/>
    <row r="6207" ht="26.25" customHeight="1"/>
    <row r="6208" ht="26.25" customHeight="1"/>
    <row r="6209" ht="26.25" customHeight="1"/>
    <row r="6210" ht="26.25" customHeight="1"/>
    <row r="6211" ht="26.25" customHeight="1"/>
    <row r="6212" ht="26.25" customHeight="1"/>
    <row r="6213" ht="26.25" customHeight="1"/>
    <row r="6214" ht="26.25" customHeight="1"/>
    <row r="6215" ht="26.25" customHeight="1"/>
    <row r="6216" ht="26.25" customHeight="1"/>
    <row r="6217" ht="26.25" customHeight="1"/>
    <row r="6218" ht="26.25" customHeight="1"/>
    <row r="6219" ht="26.25" customHeight="1"/>
    <row r="6220" ht="26.25" customHeight="1"/>
    <row r="6221" ht="26.25" customHeight="1"/>
    <row r="6222" ht="26.25" customHeight="1"/>
    <row r="6223" ht="26.25" customHeight="1"/>
    <row r="6224" ht="26.25" customHeight="1"/>
    <row r="6225" ht="26.25" customHeight="1"/>
    <row r="6226" ht="26.25" customHeight="1"/>
    <row r="6227" ht="26.25" customHeight="1"/>
    <row r="6228" ht="26.25" customHeight="1"/>
    <row r="6229" ht="26.25" customHeight="1"/>
    <row r="6230" ht="26.25" customHeight="1"/>
    <row r="6231" ht="26.25" customHeight="1"/>
    <row r="6232" ht="26.25" customHeight="1"/>
    <row r="6233" ht="26.25" customHeight="1"/>
    <row r="6234" ht="26.25" customHeight="1"/>
    <row r="6235" ht="26.25" customHeight="1"/>
    <row r="6236" ht="26.25" customHeight="1"/>
    <row r="6237" ht="26.25" customHeight="1"/>
    <row r="6238" ht="26.25" customHeight="1"/>
    <row r="6239" ht="26.25" customHeight="1"/>
    <row r="6240" ht="26.25" customHeight="1"/>
    <row r="6241" ht="26.25" customHeight="1"/>
    <row r="6242" ht="26.25" customHeight="1"/>
    <row r="6243" ht="26.25" customHeight="1"/>
    <row r="6244" ht="26.25" customHeight="1"/>
    <row r="6245" ht="26.25" customHeight="1"/>
    <row r="6246" ht="26.25" customHeight="1"/>
    <row r="6247" ht="26.25" customHeight="1"/>
    <row r="6248" ht="26.25" customHeight="1"/>
    <row r="6249" ht="26.25" customHeight="1"/>
    <row r="6250" ht="26.25" customHeight="1"/>
    <row r="6251" ht="26.25" customHeight="1"/>
    <row r="6252" ht="26.25" customHeight="1"/>
    <row r="6253" ht="26.25" customHeight="1"/>
    <row r="6254" ht="26.25" customHeight="1"/>
    <row r="6255" ht="26.25" customHeight="1"/>
    <row r="6256" ht="26.25" customHeight="1"/>
    <row r="6257" ht="26.25" customHeight="1"/>
    <row r="6258" ht="26.25" customHeight="1"/>
    <row r="6259" ht="26.25" customHeight="1"/>
    <row r="6260" ht="26.25" customHeight="1"/>
    <row r="6261" ht="26.25" customHeight="1"/>
    <row r="6262" ht="26.25" customHeight="1"/>
    <row r="6263" ht="26.25" customHeight="1"/>
    <row r="6264" ht="26.25" customHeight="1"/>
    <row r="6265" ht="26.25" customHeight="1"/>
    <row r="6266" ht="26.25" customHeight="1"/>
    <row r="6267" ht="26.25" customHeight="1"/>
    <row r="6268" ht="26.25" customHeight="1"/>
    <row r="6269" ht="26.25" customHeight="1"/>
    <row r="6270" ht="26.25" customHeight="1"/>
    <row r="6271" ht="26.25" customHeight="1"/>
    <row r="6272" ht="26.25" customHeight="1"/>
    <row r="6273" ht="26.25" customHeight="1"/>
    <row r="6274" ht="26.25" customHeight="1"/>
    <row r="6275" ht="26.25" customHeight="1"/>
    <row r="6276" ht="26.25" customHeight="1"/>
    <row r="6277" ht="26.25" customHeight="1"/>
    <row r="6278" ht="26.25" customHeight="1"/>
    <row r="6279" ht="26.25" customHeight="1"/>
    <row r="6280" ht="26.25" customHeight="1"/>
    <row r="6281" ht="26.25" customHeight="1"/>
    <row r="6282" ht="26.25" customHeight="1"/>
    <row r="6283" ht="26.25" customHeight="1"/>
    <row r="6284" ht="26.25" customHeight="1"/>
    <row r="6285" ht="26.25" customHeight="1"/>
    <row r="6286" ht="26.25" customHeight="1"/>
    <row r="6287" ht="26.25" customHeight="1"/>
    <row r="6288" ht="26.25" customHeight="1"/>
    <row r="6289" ht="26.25" customHeight="1"/>
    <row r="6290" ht="26.25" customHeight="1"/>
    <row r="6291" ht="26.25" customHeight="1"/>
    <row r="6292" ht="26.25" customHeight="1"/>
    <row r="6293" ht="26.25" customHeight="1"/>
    <row r="6294" ht="26.25" customHeight="1"/>
    <row r="6295" ht="26.25" customHeight="1"/>
    <row r="6296" ht="26.25" customHeight="1"/>
    <row r="6297" ht="26.25" customHeight="1"/>
    <row r="6298" ht="26.25" customHeight="1"/>
    <row r="6299" ht="26.25" customHeight="1"/>
    <row r="6300" ht="26.25" customHeight="1"/>
    <row r="6301" ht="26.25" customHeight="1"/>
    <row r="6302" ht="26.25" customHeight="1"/>
    <row r="6303" ht="26.25" customHeight="1"/>
    <row r="6304" ht="26.25" customHeight="1"/>
    <row r="6305" ht="26.25" customHeight="1"/>
    <row r="6306" ht="26.25" customHeight="1"/>
    <row r="6307" ht="26.25" customHeight="1"/>
    <row r="6308" ht="26.25" customHeight="1"/>
    <row r="6309" ht="26.25" customHeight="1"/>
    <row r="6310" ht="26.25" customHeight="1"/>
    <row r="6311" ht="26.25" customHeight="1"/>
    <row r="6312" ht="26.25" customHeight="1"/>
    <row r="6313" ht="26.25" customHeight="1"/>
    <row r="6314" ht="26.25" customHeight="1"/>
    <row r="6315" ht="26.25" customHeight="1"/>
    <row r="6316" ht="26.25" customHeight="1"/>
    <row r="6317" ht="26.25" customHeight="1"/>
    <row r="6318" ht="26.25" customHeight="1"/>
    <row r="6319" ht="26.25" customHeight="1"/>
    <row r="6320" ht="26.25" customHeight="1"/>
    <row r="6321" ht="26.25" customHeight="1"/>
    <row r="6322" ht="26.25" customHeight="1"/>
    <row r="6323" ht="26.25" customHeight="1"/>
    <row r="6324" ht="26.25" customHeight="1"/>
    <row r="6325" ht="26.25" customHeight="1"/>
    <row r="6326" ht="26.25" customHeight="1"/>
    <row r="6327" ht="26.25" customHeight="1"/>
    <row r="6328" ht="26.25" customHeight="1"/>
    <row r="6329" ht="26.25" customHeight="1"/>
    <row r="6330" ht="26.25" customHeight="1"/>
    <row r="6331" ht="26.25" customHeight="1"/>
    <row r="6332" ht="26.25" customHeight="1"/>
    <row r="6333" ht="26.25" customHeight="1"/>
    <row r="6334" ht="26.25" customHeight="1"/>
    <row r="6335" ht="26.25" customHeight="1"/>
    <row r="6336" ht="26.25" customHeight="1"/>
    <row r="6337" ht="26.25" customHeight="1"/>
    <row r="6338" ht="26.25" customHeight="1"/>
    <row r="6339" ht="26.25" customHeight="1"/>
    <row r="6340" ht="26.25" customHeight="1"/>
    <row r="6341" ht="26.25" customHeight="1"/>
    <row r="6342" ht="26.25" customHeight="1"/>
    <row r="6343" ht="26.25" customHeight="1"/>
    <row r="6344" ht="26.25" customHeight="1"/>
    <row r="6345" ht="26.25" customHeight="1"/>
    <row r="6346" ht="26.25" customHeight="1"/>
    <row r="6347" ht="26.25" customHeight="1"/>
    <row r="6348" ht="26.25" customHeight="1"/>
    <row r="6349" ht="26.25" customHeight="1"/>
    <row r="6350" ht="26.25" customHeight="1"/>
    <row r="6351" ht="26.25" customHeight="1"/>
    <row r="6352" ht="26.25" customHeight="1"/>
    <row r="6353" ht="26.25" customHeight="1"/>
    <row r="6354" ht="26.25" customHeight="1"/>
    <row r="6355" ht="26.25" customHeight="1"/>
    <row r="6356" ht="26.25" customHeight="1"/>
    <row r="6357" ht="26.25" customHeight="1"/>
    <row r="6358" ht="26.25" customHeight="1"/>
    <row r="6359" ht="26.25" customHeight="1"/>
    <row r="6360" ht="26.25" customHeight="1"/>
    <row r="6361" ht="26.25" customHeight="1"/>
    <row r="6362" ht="26.25" customHeight="1"/>
    <row r="6363" ht="26.25" customHeight="1"/>
    <row r="6364" ht="26.25" customHeight="1"/>
    <row r="6365" ht="26.25" customHeight="1"/>
    <row r="6366" ht="26.25" customHeight="1"/>
    <row r="6367" ht="26.25" customHeight="1"/>
    <row r="6368" ht="26.25" customHeight="1"/>
    <row r="6369" ht="26.25" customHeight="1"/>
    <row r="6370" ht="26.25" customHeight="1"/>
    <row r="6371" ht="26.25" customHeight="1"/>
    <row r="6372" ht="26.25" customHeight="1"/>
    <row r="6373" ht="26.25" customHeight="1"/>
    <row r="6374" ht="26.25" customHeight="1"/>
    <row r="6375" ht="26.25" customHeight="1"/>
    <row r="6376" ht="26.25" customHeight="1"/>
    <row r="6377" ht="26.25" customHeight="1"/>
    <row r="6378" ht="26.25" customHeight="1"/>
    <row r="6379" ht="26.25" customHeight="1"/>
    <row r="6380" ht="26.25" customHeight="1"/>
    <row r="6381" ht="26.25" customHeight="1"/>
    <row r="6382" ht="26.25" customHeight="1"/>
    <row r="6383" ht="26.25" customHeight="1"/>
    <row r="6384" ht="26.25" customHeight="1"/>
    <row r="6385" ht="26.25" customHeight="1"/>
    <row r="6386" ht="26.25" customHeight="1"/>
    <row r="6387" ht="26.25" customHeight="1"/>
    <row r="6388" ht="26.25" customHeight="1"/>
    <row r="6389" ht="26.25" customHeight="1"/>
    <row r="6390" ht="26.25" customHeight="1"/>
    <row r="6391" ht="26.25" customHeight="1"/>
    <row r="6392" ht="26.25" customHeight="1"/>
    <row r="6393" ht="26.25" customHeight="1"/>
    <row r="6394" ht="26.25" customHeight="1"/>
    <row r="6395" ht="26.25" customHeight="1"/>
    <row r="6396" ht="26.25" customHeight="1"/>
    <row r="6397" ht="26.25" customHeight="1"/>
    <row r="6398" ht="26.25" customHeight="1"/>
    <row r="6399" ht="26.25" customHeight="1"/>
    <row r="6400" ht="26.25" customHeight="1"/>
    <row r="6401" ht="26.25" customHeight="1"/>
    <row r="6402" ht="26.25" customHeight="1"/>
    <row r="6403" ht="26.25" customHeight="1"/>
    <row r="6404" ht="26.25" customHeight="1"/>
    <row r="6405" ht="26.25" customHeight="1"/>
    <row r="6406" ht="26.25" customHeight="1"/>
    <row r="6407" ht="26.25" customHeight="1"/>
    <row r="6408" ht="26.25" customHeight="1"/>
    <row r="6409" ht="26.25" customHeight="1"/>
    <row r="6410" ht="26.25" customHeight="1"/>
    <row r="6411" ht="26.25" customHeight="1"/>
    <row r="6412" ht="26.25" customHeight="1"/>
    <row r="6413" ht="26.25" customHeight="1"/>
    <row r="6414" ht="26.25" customHeight="1"/>
    <row r="6415" ht="26.25" customHeight="1"/>
    <row r="6416" ht="26.25" customHeight="1"/>
    <row r="6417" ht="26.25" customHeight="1"/>
    <row r="6418" ht="26.25" customHeight="1"/>
    <row r="6419" ht="26.25" customHeight="1"/>
    <row r="6420" ht="26.25" customHeight="1"/>
    <row r="6421" ht="26.25" customHeight="1"/>
    <row r="6422" ht="26.25" customHeight="1"/>
    <row r="6423" ht="26.25" customHeight="1"/>
    <row r="6424" ht="26.25" customHeight="1"/>
    <row r="6425" ht="26.25" customHeight="1"/>
    <row r="6426" ht="26.25" customHeight="1"/>
    <row r="6427" ht="26.25" customHeight="1"/>
    <row r="6428" ht="26.25" customHeight="1"/>
    <row r="6429" ht="26.25" customHeight="1"/>
    <row r="6430" ht="26.25" customHeight="1"/>
    <row r="6431" ht="26.25" customHeight="1"/>
    <row r="6432" ht="26.25" customHeight="1"/>
    <row r="6433" ht="26.25" customHeight="1"/>
    <row r="6434" ht="26.25" customHeight="1"/>
    <row r="6435" ht="26.25" customHeight="1"/>
    <row r="6436" ht="26.25" customHeight="1"/>
    <row r="6437" ht="26.25" customHeight="1"/>
    <row r="6438" ht="26.25" customHeight="1"/>
    <row r="6439" ht="26.25" customHeight="1"/>
    <row r="6440" ht="26.25" customHeight="1"/>
    <row r="6441" ht="26.25" customHeight="1"/>
    <row r="6442" ht="26.25" customHeight="1"/>
    <row r="6443" ht="26.25" customHeight="1"/>
    <row r="6444" ht="26.25" customHeight="1"/>
    <row r="6445" ht="26.25" customHeight="1"/>
    <row r="6446" ht="26.25" customHeight="1"/>
    <row r="6447" ht="26.25" customHeight="1"/>
    <row r="6448" ht="26.25" customHeight="1"/>
    <row r="6449" ht="26.25" customHeight="1"/>
    <row r="6450" ht="26.25" customHeight="1"/>
    <row r="6451" ht="26.25" customHeight="1"/>
    <row r="6452" ht="26.25" customHeight="1"/>
    <row r="6453" ht="26.25" customHeight="1"/>
    <row r="6454" ht="26.25" customHeight="1"/>
    <row r="6455" ht="26.25" customHeight="1"/>
    <row r="6456" ht="26.25" customHeight="1"/>
    <row r="6457" ht="26.25" customHeight="1"/>
    <row r="6458" ht="26.25" customHeight="1"/>
    <row r="6459" ht="26.25" customHeight="1"/>
    <row r="6460" ht="26.25" customHeight="1"/>
    <row r="6461" ht="26.25" customHeight="1"/>
    <row r="6462" ht="26.25" customHeight="1"/>
    <row r="6463" ht="26.25" customHeight="1"/>
    <row r="6464" ht="26.25" customHeight="1"/>
    <row r="6465" ht="26.25" customHeight="1"/>
    <row r="6466" ht="26.25" customHeight="1"/>
    <row r="6467" ht="26.25" customHeight="1"/>
    <row r="6468" ht="26.25" customHeight="1"/>
    <row r="6469" ht="26.25" customHeight="1"/>
    <row r="6470" ht="26.25" customHeight="1"/>
    <row r="6471" ht="26.25" customHeight="1"/>
    <row r="6472" ht="26.25" customHeight="1"/>
    <row r="6473" ht="26.25" customHeight="1"/>
    <row r="6474" ht="26.25" customHeight="1"/>
    <row r="6475" ht="26.25" customHeight="1"/>
    <row r="6476" ht="26.25" customHeight="1"/>
    <row r="6477" ht="26.25" customHeight="1"/>
    <row r="6478" ht="26.25" customHeight="1"/>
    <row r="6479" ht="26.25" customHeight="1"/>
    <row r="6480" ht="26.25" customHeight="1"/>
    <row r="6481" ht="26.25" customHeight="1"/>
    <row r="6482" ht="26.25" customHeight="1"/>
    <row r="6483" ht="26.25" customHeight="1"/>
    <row r="6484" ht="26.25" customHeight="1"/>
    <row r="6485" ht="26.25" customHeight="1"/>
    <row r="6486" ht="26.25" customHeight="1"/>
    <row r="6487" ht="26.25" customHeight="1"/>
    <row r="6488" ht="26.25" customHeight="1"/>
    <row r="6489" ht="26.25" customHeight="1"/>
    <row r="6490" ht="26.25" customHeight="1"/>
    <row r="6491" ht="26.25" customHeight="1"/>
    <row r="6492" ht="26.25" customHeight="1"/>
    <row r="6493" ht="26.25" customHeight="1"/>
    <row r="6494" ht="26.25" customHeight="1"/>
    <row r="6495" ht="26.25" customHeight="1"/>
    <row r="6496" ht="26.25" customHeight="1"/>
    <row r="6497" ht="26.25" customHeight="1"/>
    <row r="6498" ht="26.25" customHeight="1"/>
    <row r="6499" ht="26.25" customHeight="1"/>
    <row r="6500" ht="26.25" customHeight="1"/>
    <row r="6501" ht="26.25" customHeight="1"/>
    <row r="6502" ht="26.25" customHeight="1"/>
    <row r="6503" ht="26.25" customHeight="1"/>
    <row r="6504" ht="26.25" customHeight="1"/>
    <row r="6505" ht="26.25" customHeight="1"/>
    <row r="6506" ht="26.25" customHeight="1"/>
    <row r="6507" ht="26.25" customHeight="1"/>
    <row r="6508" ht="26.25" customHeight="1"/>
    <row r="6509" ht="26.25" customHeight="1"/>
    <row r="6510" ht="26.25" customHeight="1"/>
    <row r="6511" ht="26.25" customHeight="1"/>
    <row r="6512" ht="26.25" customHeight="1"/>
    <row r="6513" ht="26.25" customHeight="1"/>
    <row r="6514" ht="26.25" customHeight="1"/>
    <row r="6515" ht="26.25" customHeight="1"/>
    <row r="6516" ht="26.25" customHeight="1"/>
    <row r="6517" ht="26.25" customHeight="1"/>
    <row r="6518" ht="26.25" customHeight="1"/>
    <row r="6519" ht="26.25" customHeight="1"/>
    <row r="6520" ht="26.25" customHeight="1"/>
    <row r="6521" ht="26.25" customHeight="1"/>
    <row r="6522" ht="26.25" customHeight="1"/>
    <row r="6523" ht="26.25" customHeight="1"/>
    <row r="6524" ht="26.25" customHeight="1"/>
    <row r="6525" ht="26.25" customHeight="1"/>
    <row r="6526" ht="26.25" customHeight="1"/>
    <row r="6527" ht="26.25" customHeight="1"/>
    <row r="6528" ht="26.25" customHeight="1"/>
    <row r="6529" ht="26.25" customHeight="1"/>
    <row r="6530" ht="26.25" customHeight="1"/>
    <row r="6531" ht="26.25" customHeight="1"/>
    <row r="6532" ht="26.25" customHeight="1"/>
    <row r="6533" ht="26.25" customHeight="1"/>
    <row r="6534" ht="26.25" customHeight="1"/>
    <row r="6535" ht="26.25" customHeight="1"/>
    <row r="6536" ht="26.25" customHeight="1"/>
    <row r="6537" ht="26.25" customHeight="1"/>
    <row r="6538" ht="26.25" customHeight="1"/>
    <row r="6539" ht="26.25" customHeight="1"/>
    <row r="6540" ht="26.25" customHeight="1"/>
    <row r="6541" ht="26.25" customHeight="1"/>
    <row r="6542" ht="26.25" customHeight="1"/>
    <row r="6543" ht="26.25" customHeight="1"/>
    <row r="6544" ht="26.25" customHeight="1"/>
    <row r="6545" ht="26.25" customHeight="1"/>
    <row r="6546" ht="26.25" customHeight="1"/>
    <row r="6547" ht="26.25" customHeight="1"/>
    <row r="6548" ht="26.25" customHeight="1"/>
    <row r="6549" ht="26.25" customHeight="1"/>
    <row r="6550" ht="26.25" customHeight="1"/>
    <row r="6551" ht="26.25" customHeight="1"/>
    <row r="6552" ht="26.25" customHeight="1"/>
    <row r="6553" ht="26.25" customHeight="1"/>
    <row r="6554" ht="26.25" customHeight="1"/>
    <row r="6555" ht="26.25" customHeight="1"/>
    <row r="6556" ht="26.25" customHeight="1"/>
    <row r="6557" ht="26.25" customHeight="1"/>
    <row r="6558" ht="26.25" customHeight="1"/>
    <row r="6559" ht="26.25" customHeight="1"/>
    <row r="6560" ht="26.25" customHeight="1"/>
    <row r="6561" ht="26.25" customHeight="1"/>
    <row r="6562" ht="26.25" customHeight="1"/>
    <row r="6563" ht="26.25" customHeight="1"/>
    <row r="6564" ht="26.25" customHeight="1"/>
    <row r="6565" ht="26.25" customHeight="1"/>
    <row r="6566" ht="26.25" customHeight="1"/>
    <row r="6567" ht="26.25" customHeight="1"/>
    <row r="6568" ht="26.25" customHeight="1"/>
    <row r="6569" ht="26.25" customHeight="1"/>
    <row r="6570" ht="26.25" customHeight="1"/>
    <row r="6571" ht="26.25" customHeight="1"/>
    <row r="6572" ht="26.25" customHeight="1"/>
    <row r="6573" ht="26.25" customHeight="1"/>
    <row r="6574" ht="26.25" customHeight="1"/>
    <row r="6575" ht="26.25" customHeight="1"/>
    <row r="6576" ht="26.25" customHeight="1"/>
    <row r="6577" ht="26.25" customHeight="1"/>
    <row r="6578" ht="26.25" customHeight="1"/>
    <row r="6579" ht="26.25" customHeight="1"/>
    <row r="6580" ht="26.25" customHeight="1"/>
    <row r="6581" ht="26.25" customHeight="1"/>
    <row r="6582" ht="26.25" customHeight="1"/>
    <row r="6583" ht="26.25" customHeight="1"/>
    <row r="6584" ht="26.25" customHeight="1"/>
    <row r="6585" ht="26.25" customHeight="1"/>
    <row r="6586" ht="26.25" customHeight="1"/>
    <row r="6587" ht="26.25" customHeight="1"/>
    <row r="6588" ht="26.25" customHeight="1"/>
    <row r="6589" ht="26.25" customHeight="1"/>
    <row r="6590" ht="26.25" customHeight="1"/>
    <row r="6591" ht="26.25" customHeight="1"/>
    <row r="6592" ht="26.25" customHeight="1"/>
    <row r="6593" ht="26.25" customHeight="1"/>
    <row r="6594" ht="26.25" customHeight="1"/>
    <row r="6595" ht="26.25" customHeight="1"/>
    <row r="6596" ht="26.25" customHeight="1"/>
    <row r="6597" ht="26.25" customHeight="1"/>
    <row r="6598" ht="26.25" customHeight="1"/>
    <row r="6599" ht="26.25" customHeight="1"/>
    <row r="6600" ht="26.25" customHeight="1"/>
    <row r="6601" ht="26.25" customHeight="1"/>
    <row r="6602" ht="26.25" customHeight="1"/>
    <row r="6603" ht="26.25" customHeight="1"/>
    <row r="6604" ht="26.25" customHeight="1"/>
    <row r="6605" ht="26.25" customHeight="1"/>
    <row r="6606" ht="26.25" customHeight="1"/>
    <row r="6607" ht="26.25" customHeight="1"/>
    <row r="6608" ht="26.25" customHeight="1"/>
    <row r="6609" ht="26.25" customHeight="1"/>
    <row r="6610" ht="26.25" customHeight="1"/>
    <row r="6611" ht="26.25" customHeight="1"/>
    <row r="6612" ht="26.25" customHeight="1"/>
    <row r="6613" ht="26.25" customHeight="1"/>
    <row r="6614" ht="26.25" customHeight="1"/>
    <row r="6615" ht="26.25" customHeight="1"/>
    <row r="6616" ht="26.25" customHeight="1"/>
    <row r="6617" ht="26.25" customHeight="1"/>
    <row r="6618" ht="26.25" customHeight="1"/>
    <row r="6619" ht="26.25" customHeight="1"/>
    <row r="6620" ht="26.25" customHeight="1"/>
    <row r="6621" ht="26.25" customHeight="1"/>
    <row r="6622" ht="26.25" customHeight="1"/>
    <row r="6623" ht="26.25" customHeight="1"/>
    <row r="6624" ht="26.25" customHeight="1"/>
    <row r="6625" ht="26.25" customHeight="1"/>
    <row r="6626" ht="26.25" customHeight="1"/>
    <row r="6627" ht="26.25" customHeight="1"/>
    <row r="6628" ht="26.25" customHeight="1"/>
    <row r="6629" ht="26.25" customHeight="1"/>
    <row r="6630" ht="26.25" customHeight="1"/>
    <row r="6631" ht="26.25" customHeight="1"/>
    <row r="6632" ht="26.25" customHeight="1"/>
    <row r="6633" ht="26.25" customHeight="1"/>
    <row r="6634" ht="26.25" customHeight="1"/>
    <row r="6635" ht="26.25" customHeight="1"/>
    <row r="6636" ht="26.25" customHeight="1"/>
    <row r="6637" ht="26.25" customHeight="1"/>
    <row r="6638" ht="26.25" customHeight="1"/>
    <row r="6639" ht="26.25" customHeight="1"/>
    <row r="6640" ht="26.25" customHeight="1"/>
    <row r="6641" ht="26.25" customHeight="1"/>
    <row r="6642" ht="26.25" customHeight="1"/>
    <row r="6643" ht="26.25" customHeight="1"/>
    <row r="6644" ht="26.25" customHeight="1"/>
    <row r="6645" ht="26.25" customHeight="1"/>
    <row r="6646" ht="26.25" customHeight="1"/>
    <row r="6647" ht="26.25" customHeight="1"/>
    <row r="6648" ht="26.25" customHeight="1"/>
    <row r="6649" ht="26.25" customHeight="1"/>
    <row r="6650" ht="26.25" customHeight="1"/>
    <row r="6651" ht="26.25" customHeight="1"/>
    <row r="6652" ht="26.25" customHeight="1"/>
    <row r="6653" ht="26.25" customHeight="1"/>
    <row r="6654" ht="26.25" customHeight="1"/>
    <row r="6655" ht="26.25" customHeight="1"/>
    <row r="6656" ht="26.25" customHeight="1"/>
    <row r="6657" ht="26.25" customHeight="1"/>
    <row r="6658" ht="26.25" customHeight="1"/>
    <row r="6659" ht="26.25" customHeight="1"/>
    <row r="6660" ht="26.25" customHeight="1"/>
    <row r="6661" ht="26.25" customHeight="1"/>
    <row r="6662" ht="26.25" customHeight="1"/>
    <row r="6663" ht="26.25" customHeight="1"/>
    <row r="6664" ht="26.25" customHeight="1"/>
    <row r="6665" ht="26.25" customHeight="1"/>
    <row r="6666" ht="26.25" customHeight="1"/>
    <row r="6667" ht="26.25" customHeight="1"/>
    <row r="6668" ht="26.25" customHeight="1"/>
    <row r="6669" ht="26.25" customHeight="1"/>
    <row r="6670" ht="26.25" customHeight="1"/>
    <row r="6671" ht="26.25" customHeight="1"/>
    <row r="6672" ht="26.25" customHeight="1"/>
    <row r="6673" ht="26.25" customHeight="1"/>
    <row r="6674" ht="26.25" customHeight="1"/>
    <row r="6675" ht="26.25" customHeight="1"/>
    <row r="6676" ht="26.25" customHeight="1"/>
    <row r="6677" ht="26.25" customHeight="1"/>
    <row r="6678" ht="26.25" customHeight="1"/>
    <row r="6679" ht="26.25" customHeight="1"/>
    <row r="6680" ht="26.25" customHeight="1"/>
    <row r="6681" ht="26.25" customHeight="1"/>
    <row r="6682" ht="26.25" customHeight="1"/>
    <row r="6683" ht="26.25" customHeight="1"/>
    <row r="6684" ht="26.25" customHeight="1"/>
    <row r="6685" ht="26.25" customHeight="1"/>
    <row r="6686" ht="26.25" customHeight="1"/>
    <row r="6687" ht="26.25" customHeight="1"/>
    <row r="6688" ht="26.25" customHeight="1"/>
    <row r="6689" ht="26.25" customHeight="1"/>
    <row r="6690" ht="26.25" customHeight="1"/>
    <row r="6691" ht="26.25" customHeight="1"/>
    <row r="6692" ht="26.25" customHeight="1"/>
    <row r="6693" ht="26.25" customHeight="1"/>
    <row r="6694" ht="26.25" customHeight="1"/>
    <row r="6695" ht="26.25" customHeight="1"/>
    <row r="6696" ht="26.25" customHeight="1"/>
    <row r="6697" ht="26.25" customHeight="1"/>
    <row r="6698" ht="26.25" customHeight="1"/>
    <row r="6699" ht="26.25" customHeight="1"/>
    <row r="6700" ht="26.25" customHeight="1"/>
    <row r="6701" ht="26.25" customHeight="1"/>
    <row r="6702" ht="26.25" customHeight="1"/>
    <row r="6703" ht="26.25" customHeight="1"/>
    <row r="6704" ht="26.25" customHeight="1"/>
    <row r="6705" ht="26.25" customHeight="1"/>
    <row r="6706" ht="26.25" customHeight="1"/>
    <row r="6707" ht="26.25" customHeight="1"/>
    <row r="6708" ht="26.25" customHeight="1"/>
    <row r="6709" ht="26.25" customHeight="1"/>
    <row r="6710" ht="26.25" customHeight="1"/>
    <row r="6711" ht="26.25" customHeight="1"/>
    <row r="6712" ht="26.25" customHeight="1"/>
    <row r="6713" ht="26.25" customHeight="1"/>
    <row r="6714" ht="26.25" customHeight="1"/>
    <row r="6715" ht="26.25" customHeight="1"/>
    <row r="6716" ht="26.25" customHeight="1"/>
    <row r="6717" ht="26.25" customHeight="1"/>
    <row r="6718" ht="26.25" customHeight="1"/>
    <row r="6719" ht="26.25" customHeight="1"/>
    <row r="6720" ht="26.25" customHeight="1"/>
    <row r="6721" ht="26.25" customHeight="1"/>
    <row r="6722" ht="26.25" customHeight="1"/>
    <row r="6723" ht="26.25" customHeight="1"/>
    <row r="6724" ht="26.25" customHeight="1"/>
    <row r="6725" ht="26.25" customHeight="1"/>
    <row r="6726" ht="26.25" customHeight="1"/>
    <row r="6727" ht="26.25" customHeight="1"/>
    <row r="6728" ht="26.25" customHeight="1"/>
    <row r="6729" ht="26.25" customHeight="1"/>
    <row r="6730" ht="26.25" customHeight="1"/>
    <row r="6731" ht="26.25" customHeight="1"/>
    <row r="6732" ht="26.25" customHeight="1"/>
    <row r="6733" ht="26.25" customHeight="1"/>
    <row r="6734" ht="26.25" customHeight="1"/>
    <row r="6735" ht="26.25" customHeight="1"/>
    <row r="6736" ht="26.25" customHeight="1"/>
    <row r="6737" ht="26.25" customHeight="1"/>
    <row r="6738" ht="26.25" customHeight="1"/>
    <row r="6739" ht="26.25" customHeight="1"/>
    <row r="6740" ht="26.25" customHeight="1"/>
    <row r="6741" ht="26.25" customHeight="1"/>
    <row r="6742" ht="26.25" customHeight="1"/>
    <row r="6743" ht="26.25" customHeight="1"/>
    <row r="6744" ht="26.25" customHeight="1"/>
    <row r="6745" ht="26.25" customHeight="1"/>
    <row r="6746" ht="26.25" customHeight="1"/>
    <row r="6747" ht="26.25" customHeight="1"/>
    <row r="6748" ht="26.25" customHeight="1"/>
    <row r="6749" ht="26.25" customHeight="1"/>
    <row r="6750" ht="26.25" customHeight="1"/>
    <row r="6751" ht="26.25" customHeight="1"/>
    <row r="6752" ht="26.25" customHeight="1"/>
    <row r="6753" ht="26.25" customHeight="1"/>
    <row r="6754" ht="26.25" customHeight="1"/>
    <row r="6755" ht="26.25" customHeight="1"/>
    <row r="6756" ht="26.25" customHeight="1"/>
    <row r="6757" ht="26.25" customHeight="1"/>
    <row r="6758" ht="26.25" customHeight="1"/>
    <row r="6759" ht="26.25" customHeight="1"/>
    <row r="6760" ht="26.25" customHeight="1"/>
    <row r="6761" ht="26.25" customHeight="1"/>
    <row r="6762" ht="26.25" customHeight="1"/>
    <row r="6763" ht="26.25" customHeight="1"/>
    <row r="6764" ht="26.25" customHeight="1"/>
    <row r="6765" ht="26.25" customHeight="1"/>
    <row r="6766" ht="26.25" customHeight="1"/>
    <row r="6767" ht="26.25" customHeight="1"/>
    <row r="6768" ht="26.25" customHeight="1"/>
    <row r="6769" ht="26.25" customHeight="1"/>
    <row r="6770" ht="26.25" customHeight="1"/>
    <row r="6771" ht="26.25" customHeight="1"/>
    <row r="6772" ht="26.25" customHeight="1"/>
    <row r="6773" ht="26.25" customHeight="1"/>
    <row r="6774" ht="26.25" customHeight="1"/>
    <row r="6775" ht="26.25" customHeight="1"/>
    <row r="6776" ht="26.25" customHeight="1"/>
    <row r="6777" ht="26.25" customHeight="1"/>
    <row r="6778" ht="26.25" customHeight="1"/>
    <row r="6779" ht="26.25" customHeight="1"/>
    <row r="6780" ht="26.25" customHeight="1"/>
    <row r="6781" ht="26.25" customHeight="1"/>
    <row r="6782" ht="26.25" customHeight="1"/>
    <row r="6783" ht="26.25" customHeight="1"/>
    <row r="6784" ht="26.25" customHeight="1"/>
    <row r="6785" ht="26.25" customHeight="1"/>
    <row r="6786" ht="26.25" customHeight="1"/>
    <row r="6787" ht="26.25" customHeight="1"/>
    <row r="6788" ht="26.25" customHeight="1"/>
    <row r="6789" ht="26.25" customHeight="1"/>
    <row r="6790" ht="26.25" customHeight="1"/>
    <row r="6791" ht="26.25" customHeight="1"/>
    <row r="6792" ht="26.25" customHeight="1"/>
    <row r="6793" ht="26.25" customHeight="1"/>
    <row r="6794" ht="26.25" customHeight="1"/>
    <row r="6795" ht="26.25" customHeight="1"/>
    <row r="6796" ht="26.25" customHeight="1"/>
    <row r="6797" ht="26.25" customHeight="1"/>
    <row r="6798" ht="26.25" customHeight="1"/>
    <row r="6799" ht="26.25" customHeight="1"/>
    <row r="6800" ht="26.25" customHeight="1"/>
    <row r="6801" ht="26.25" customHeight="1"/>
    <row r="6802" ht="26.25" customHeight="1"/>
    <row r="6803" ht="26.25" customHeight="1"/>
    <row r="6804" ht="26.25" customHeight="1"/>
    <row r="6805" ht="26.25" customHeight="1"/>
    <row r="6806" ht="26.25" customHeight="1"/>
    <row r="6807" ht="26.25" customHeight="1"/>
    <row r="6808" ht="26.25" customHeight="1"/>
    <row r="6809" ht="26.25" customHeight="1"/>
    <row r="6810" ht="26.25" customHeight="1"/>
    <row r="6811" ht="26.25" customHeight="1"/>
    <row r="6812" ht="26.25" customHeight="1"/>
    <row r="6813" ht="26.25" customHeight="1"/>
    <row r="6814" ht="26.25" customHeight="1"/>
    <row r="6815" ht="26.25" customHeight="1"/>
    <row r="6816" ht="26.25" customHeight="1"/>
    <row r="6817" ht="26.25" customHeight="1"/>
    <row r="6818" ht="26.25" customHeight="1"/>
    <row r="6819" ht="26.25" customHeight="1"/>
    <row r="6820" ht="26.25" customHeight="1"/>
    <row r="6821" ht="26.25" customHeight="1"/>
    <row r="6822" ht="26.25" customHeight="1"/>
    <row r="6823" ht="26.25" customHeight="1"/>
    <row r="6824" ht="26.25" customHeight="1"/>
    <row r="6825" ht="26.25" customHeight="1"/>
    <row r="6826" ht="26.25" customHeight="1"/>
    <row r="6827" ht="26.25" customHeight="1"/>
    <row r="6828" ht="26.25" customHeight="1"/>
    <row r="6829" ht="26.25" customHeight="1"/>
    <row r="6830" ht="26.25" customHeight="1"/>
    <row r="6831" ht="26.25" customHeight="1"/>
    <row r="6832" ht="26.25" customHeight="1"/>
    <row r="6833" ht="26.25" customHeight="1"/>
    <row r="6834" ht="26.25" customHeight="1"/>
    <row r="6835" ht="26.25" customHeight="1"/>
    <row r="6836" ht="26.25" customHeight="1"/>
    <row r="6837" ht="26.25" customHeight="1"/>
    <row r="6838" ht="26.25" customHeight="1"/>
    <row r="6839" ht="26.25" customHeight="1"/>
    <row r="6840" ht="26.25" customHeight="1"/>
    <row r="6841" ht="26.25" customHeight="1"/>
    <row r="6842" ht="26.25" customHeight="1"/>
    <row r="6843" ht="26.25" customHeight="1"/>
    <row r="6844" ht="26.25" customHeight="1"/>
    <row r="6845" ht="26.25" customHeight="1"/>
    <row r="6846" ht="26.25" customHeight="1"/>
    <row r="6847" ht="26.25" customHeight="1"/>
    <row r="6848" ht="26.25" customHeight="1"/>
    <row r="6849" ht="26.25" customHeight="1"/>
    <row r="6850" ht="26.25" customHeight="1"/>
    <row r="6851" ht="26.25" customHeight="1"/>
    <row r="6852" ht="26.25" customHeight="1"/>
    <row r="6853" ht="26.25" customHeight="1"/>
    <row r="6854" ht="26.25" customHeight="1"/>
    <row r="6855" ht="26.25" customHeight="1"/>
    <row r="6856" ht="26.25" customHeight="1"/>
    <row r="6857" ht="26.25" customHeight="1"/>
    <row r="6858" ht="26.25" customHeight="1"/>
    <row r="6859" ht="26.25" customHeight="1"/>
    <row r="6860" ht="26.25" customHeight="1"/>
    <row r="6861" ht="26.25" customHeight="1"/>
    <row r="6862" ht="26.25" customHeight="1"/>
    <row r="6863" ht="26.25" customHeight="1"/>
    <row r="6864" ht="26.25" customHeight="1"/>
    <row r="6865" ht="26.25" customHeight="1"/>
    <row r="6866" ht="26.25" customHeight="1"/>
    <row r="6867" ht="26.25" customHeight="1"/>
    <row r="6868" ht="26.25" customHeight="1"/>
    <row r="6869" ht="26.25" customHeight="1"/>
    <row r="6870" ht="26.25" customHeight="1"/>
    <row r="6871" ht="26.25" customHeight="1"/>
    <row r="6872" ht="26.25" customHeight="1"/>
    <row r="6873" ht="26.25" customHeight="1"/>
    <row r="6874" ht="26.25" customHeight="1"/>
    <row r="6875" ht="26.25" customHeight="1"/>
    <row r="6876" ht="26.25" customHeight="1"/>
    <row r="6877" ht="26.25" customHeight="1"/>
    <row r="6878" ht="26.25" customHeight="1"/>
    <row r="6879" ht="26.25" customHeight="1"/>
    <row r="6880" ht="26.25" customHeight="1"/>
    <row r="6881" ht="26.25" customHeight="1"/>
    <row r="6882" ht="26.25" customHeight="1"/>
    <row r="6883" ht="26.25" customHeight="1"/>
    <row r="6884" ht="26.25" customHeight="1"/>
    <row r="6885" ht="26.25" customHeight="1"/>
    <row r="6886" ht="26.25" customHeight="1"/>
    <row r="6887" ht="26.25" customHeight="1"/>
    <row r="6888" ht="26.25" customHeight="1"/>
    <row r="6889" ht="26.25" customHeight="1"/>
    <row r="6890" ht="26.25" customHeight="1"/>
    <row r="6891" ht="26.25" customHeight="1"/>
    <row r="6892" ht="26.25" customHeight="1"/>
    <row r="6893" ht="26.25" customHeight="1"/>
    <row r="6894" ht="26.25" customHeight="1"/>
    <row r="6895" ht="26.25" customHeight="1"/>
    <row r="6896" ht="26.25" customHeight="1"/>
    <row r="6897" ht="26.25" customHeight="1"/>
    <row r="6898" ht="26.25" customHeight="1"/>
    <row r="6899" ht="26.25" customHeight="1"/>
    <row r="6900" ht="26.25" customHeight="1"/>
    <row r="6901" ht="26.25" customHeight="1"/>
    <row r="6902" ht="26.25" customHeight="1"/>
    <row r="6903" ht="26.25" customHeight="1"/>
    <row r="6904" ht="26.25" customHeight="1"/>
    <row r="6905" ht="26.25" customHeight="1"/>
    <row r="6906" ht="26.25" customHeight="1"/>
    <row r="6907" ht="26.25" customHeight="1"/>
    <row r="6908" ht="26.25" customHeight="1"/>
    <row r="6909" ht="26.25" customHeight="1"/>
    <row r="6910" ht="26.25" customHeight="1"/>
    <row r="6911" ht="26.25" customHeight="1"/>
    <row r="6912" ht="26.25" customHeight="1"/>
    <row r="6913" ht="26.25" customHeight="1"/>
    <row r="6914" ht="26.25" customHeight="1"/>
    <row r="6915" ht="26.25" customHeight="1"/>
    <row r="6916" ht="26.25" customHeight="1"/>
    <row r="6917" ht="26.25" customHeight="1"/>
    <row r="6918" ht="26.25" customHeight="1"/>
    <row r="6919" ht="26.25" customHeight="1"/>
    <row r="6920" ht="26.25" customHeight="1"/>
    <row r="6921" ht="26.25" customHeight="1"/>
    <row r="6922" ht="26.25" customHeight="1"/>
    <row r="6923" ht="26.25" customHeight="1"/>
    <row r="6924" ht="26.25" customHeight="1"/>
    <row r="6925" ht="26.25" customHeight="1"/>
    <row r="6926" ht="26.25" customHeight="1"/>
    <row r="6927" ht="26.25" customHeight="1"/>
    <row r="6928" ht="26.25" customHeight="1"/>
    <row r="6929" ht="26.25" customHeight="1"/>
    <row r="6930" ht="26.25" customHeight="1"/>
    <row r="6931" ht="26.25" customHeight="1"/>
    <row r="6932" ht="26.25" customHeight="1"/>
    <row r="6933" ht="26.25" customHeight="1"/>
    <row r="6934" ht="26.25" customHeight="1"/>
    <row r="6935" ht="26.25" customHeight="1"/>
    <row r="6936" ht="26.25" customHeight="1"/>
    <row r="6937" ht="26.25" customHeight="1"/>
    <row r="6938" ht="26.25" customHeight="1"/>
    <row r="6939" ht="26.25" customHeight="1"/>
    <row r="6940" ht="26.25" customHeight="1"/>
    <row r="6941" ht="26.25" customHeight="1"/>
    <row r="6942" ht="26.25" customHeight="1"/>
    <row r="6943" ht="26.25" customHeight="1"/>
    <row r="6944" ht="26.25" customHeight="1"/>
    <row r="6945" ht="26.25" customHeight="1"/>
    <row r="6946" ht="26.25" customHeight="1"/>
    <row r="6947" ht="26.25" customHeight="1"/>
    <row r="6948" ht="26.25" customHeight="1"/>
    <row r="6949" ht="26.25" customHeight="1"/>
    <row r="6950" ht="26.25" customHeight="1"/>
    <row r="6951" ht="26.25" customHeight="1"/>
    <row r="6952" ht="26.25" customHeight="1"/>
    <row r="6953" ht="26.25" customHeight="1"/>
    <row r="6954" ht="26.25" customHeight="1"/>
    <row r="6955" ht="26.25" customHeight="1"/>
    <row r="6956" ht="26.25" customHeight="1"/>
    <row r="6957" ht="26.25" customHeight="1"/>
    <row r="6958" ht="26.25" customHeight="1"/>
    <row r="6959" ht="26.25" customHeight="1"/>
    <row r="6960" ht="26.25" customHeight="1"/>
    <row r="6961" ht="26.25" customHeight="1"/>
    <row r="6962" ht="26.25" customHeight="1"/>
    <row r="6963" ht="26.25" customHeight="1"/>
    <row r="6964" ht="26.25" customHeight="1"/>
    <row r="6965" ht="26.25" customHeight="1"/>
    <row r="6966" ht="26.25" customHeight="1"/>
    <row r="6967" ht="26.25" customHeight="1"/>
    <row r="6968" ht="26.25" customHeight="1"/>
    <row r="6969" ht="26.25" customHeight="1"/>
    <row r="6970" ht="26.25" customHeight="1"/>
    <row r="6971" ht="26.25" customHeight="1"/>
    <row r="6972" ht="26.25" customHeight="1"/>
    <row r="6973" ht="26.25" customHeight="1"/>
    <row r="6974" ht="26.25" customHeight="1"/>
    <row r="6975" ht="26.25" customHeight="1"/>
    <row r="6976" ht="26.25" customHeight="1"/>
    <row r="6977" ht="26.25" customHeight="1"/>
    <row r="6978" ht="26.25" customHeight="1"/>
    <row r="6979" ht="26.25" customHeight="1"/>
    <row r="6980" ht="26.25" customHeight="1"/>
    <row r="6981" ht="26.25" customHeight="1"/>
    <row r="6982" ht="26.25" customHeight="1"/>
    <row r="6983" ht="26.25" customHeight="1"/>
    <row r="6984" ht="26.25" customHeight="1"/>
    <row r="6985" ht="26.25" customHeight="1"/>
    <row r="6986" ht="26.25" customHeight="1"/>
    <row r="6987" ht="26.25" customHeight="1"/>
    <row r="6988" ht="26.25" customHeight="1"/>
    <row r="6989" ht="26.25" customHeight="1"/>
    <row r="6990" ht="26.25" customHeight="1"/>
    <row r="6991" ht="26.25" customHeight="1"/>
    <row r="6992" ht="26.25" customHeight="1"/>
    <row r="6993" ht="26.25" customHeight="1"/>
    <row r="6994" ht="26.25" customHeight="1"/>
    <row r="6995" ht="26.25" customHeight="1"/>
    <row r="6996" ht="26.25" customHeight="1"/>
    <row r="6997" ht="26.25" customHeight="1"/>
    <row r="6998" ht="26.25" customHeight="1"/>
    <row r="6999" ht="26.25" customHeight="1"/>
    <row r="7000" ht="26.25" customHeight="1"/>
    <row r="7001" ht="26.25" customHeight="1"/>
    <row r="7002" ht="26.25" customHeight="1"/>
    <row r="7003" ht="26.25" customHeight="1"/>
    <row r="7004" ht="26.25" customHeight="1"/>
    <row r="7005" ht="26.25" customHeight="1"/>
    <row r="7006" ht="26.25" customHeight="1"/>
    <row r="7007" ht="26.25" customHeight="1"/>
    <row r="7008" ht="26.25" customHeight="1"/>
    <row r="7009" ht="26.25" customHeight="1"/>
    <row r="7010" ht="26.25" customHeight="1"/>
    <row r="7011" ht="26.25" customHeight="1"/>
    <row r="7012" ht="26.25" customHeight="1"/>
    <row r="7013" ht="26.25" customHeight="1"/>
    <row r="7014" ht="26.25" customHeight="1"/>
    <row r="7015" ht="26.25" customHeight="1"/>
    <row r="7016" ht="26.25" customHeight="1"/>
    <row r="7017" ht="26.25" customHeight="1"/>
    <row r="7018" ht="26.25" customHeight="1"/>
    <row r="7019" ht="26.25" customHeight="1"/>
    <row r="7020" ht="26.25" customHeight="1"/>
    <row r="7021" ht="26.25" customHeight="1"/>
    <row r="7022" ht="26.25" customHeight="1"/>
    <row r="7023" ht="26.25" customHeight="1"/>
    <row r="7024" ht="26.25" customHeight="1"/>
    <row r="7025" ht="26.25" customHeight="1"/>
    <row r="7026" ht="26.25" customHeight="1"/>
    <row r="7027" ht="26.25" customHeight="1"/>
    <row r="7028" ht="26.25" customHeight="1"/>
    <row r="7029" ht="26.25" customHeight="1"/>
    <row r="7030" ht="26.25" customHeight="1"/>
    <row r="7031" ht="26.25" customHeight="1"/>
    <row r="7032" ht="26.25" customHeight="1"/>
    <row r="7033" ht="26.25" customHeight="1"/>
    <row r="7034" ht="26.25" customHeight="1"/>
    <row r="7035" ht="26.25" customHeight="1"/>
    <row r="7036" ht="26.25" customHeight="1"/>
    <row r="7037" ht="26.25" customHeight="1"/>
    <row r="7038" ht="26.25" customHeight="1"/>
    <row r="7039" ht="26.25" customHeight="1"/>
    <row r="7040" ht="26.25" customHeight="1"/>
    <row r="7041" ht="26.25" customHeight="1"/>
    <row r="7042" ht="26.25" customHeight="1"/>
    <row r="7043" ht="26.25" customHeight="1"/>
    <row r="7044" ht="26.25" customHeight="1"/>
    <row r="7045" ht="26.25" customHeight="1"/>
    <row r="7046" ht="26.25" customHeight="1"/>
    <row r="7047" ht="26.25" customHeight="1"/>
    <row r="7048" ht="26.25" customHeight="1"/>
    <row r="7049" ht="26.25" customHeight="1"/>
    <row r="7050" ht="26.25" customHeight="1"/>
    <row r="7051" ht="26.25" customHeight="1"/>
    <row r="7052" ht="26.25" customHeight="1"/>
    <row r="7053" ht="26.25" customHeight="1"/>
    <row r="7054" ht="26.25" customHeight="1"/>
    <row r="7055" ht="26.25" customHeight="1"/>
    <row r="7056" ht="26.25" customHeight="1"/>
    <row r="7057" ht="26.25" customHeight="1"/>
    <row r="7058" ht="26.25" customHeight="1"/>
    <row r="7059" ht="26.25" customHeight="1"/>
    <row r="7060" ht="26.25" customHeight="1"/>
    <row r="7061" ht="26.25" customHeight="1"/>
    <row r="7062" ht="26.25" customHeight="1"/>
    <row r="7063" ht="26.25" customHeight="1"/>
    <row r="7064" ht="26.25" customHeight="1"/>
    <row r="7065" ht="26.25" customHeight="1"/>
    <row r="7066" ht="26.25" customHeight="1"/>
    <row r="7067" ht="26.25" customHeight="1"/>
    <row r="7068" ht="26.25" customHeight="1"/>
    <row r="7069" ht="26.25" customHeight="1"/>
    <row r="7070" ht="26.25" customHeight="1"/>
    <row r="7071" ht="26.25" customHeight="1"/>
    <row r="7072" ht="26.25" customHeight="1"/>
    <row r="7073" ht="26.25" customHeight="1"/>
    <row r="7074" ht="26.25" customHeight="1"/>
    <row r="7075" ht="26.25" customHeight="1"/>
    <row r="7076" ht="26.25" customHeight="1"/>
    <row r="7077" ht="26.25" customHeight="1"/>
    <row r="7078" ht="26.25" customHeight="1"/>
    <row r="7079" ht="26.25" customHeight="1"/>
    <row r="7080" ht="26.25" customHeight="1"/>
    <row r="7081" ht="26.25" customHeight="1"/>
    <row r="7082" ht="26.25" customHeight="1"/>
    <row r="7083" ht="26.25" customHeight="1"/>
    <row r="7084" ht="26.25" customHeight="1"/>
    <row r="7085" ht="26.25" customHeight="1"/>
    <row r="7086" ht="26.25" customHeight="1"/>
    <row r="7087" ht="26.25" customHeight="1"/>
    <row r="7088" ht="26.25" customHeight="1"/>
    <row r="7089" ht="26.25" customHeight="1"/>
    <row r="7090" ht="26.25" customHeight="1"/>
    <row r="7091" ht="26.25" customHeight="1"/>
    <row r="7092" ht="26.25" customHeight="1"/>
    <row r="7093" ht="26.25" customHeight="1"/>
    <row r="7094" ht="26.25" customHeight="1"/>
    <row r="7095" ht="26.25" customHeight="1"/>
    <row r="7096" ht="26.25" customHeight="1"/>
    <row r="7097" ht="26.25" customHeight="1"/>
    <row r="7098" ht="26.25" customHeight="1"/>
    <row r="7099" ht="26.25" customHeight="1"/>
    <row r="7100" ht="26.25" customHeight="1"/>
    <row r="7101" ht="26.25" customHeight="1"/>
    <row r="7102" ht="26.25" customHeight="1"/>
    <row r="7103" ht="26.25" customHeight="1"/>
    <row r="7104" ht="26.25" customHeight="1"/>
    <row r="7105" ht="26.25" customHeight="1"/>
    <row r="7106" ht="26.25" customHeight="1"/>
    <row r="7107" ht="26.25" customHeight="1"/>
    <row r="7108" ht="26.25" customHeight="1"/>
    <row r="7109" ht="26.25" customHeight="1"/>
    <row r="7110" ht="26.25" customHeight="1"/>
    <row r="7111" ht="26.25" customHeight="1"/>
    <row r="7112" ht="26.25" customHeight="1"/>
    <row r="7113" ht="26.25" customHeight="1"/>
    <row r="7114" ht="26.25" customHeight="1"/>
    <row r="7115" ht="26.25" customHeight="1"/>
    <row r="7116" ht="26.25" customHeight="1"/>
    <row r="7117" ht="26.25" customHeight="1"/>
    <row r="7118" ht="26.25" customHeight="1"/>
    <row r="7119" ht="26.25" customHeight="1"/>
    <row r="7120" ht="26.25" customHeight="1"/>
    <row r="7121" ht="26.25" customHeight="1"/>
    <row r="7122" ht="26.25" customHeight="1"/>
    <row r="7123" ht="26.25" customHeight="1"/>
    <row r="7124" ht="26.25" customHeight="1"/>
    <row r="7125" ht="26.25" customHeight="1"/>
    <row r="7126" ht="26.25" customHeight="1"/>
    <row r="7127" ht="26.25" customHeight="1"/>
    <row r="7128" ht="26.25" customHeight="1"/>
    <row r="7129" ht="26.25" customHeight="1"/>
    <row r="7130" ht="26.25" customHeight="1"/>
    <row r="7131" ht="26.25" customHeight="1"/>
    <row r="7132" ht="26.25" customHeight="1"/>
    <row r="7133" ht="26.25" customHeight="1"/>
    <row r="7134" ht="26.25" customHeight="1"/>
    <row r="7135" ht="26.25" customHeight="1"/>
    <row r="7136" ht="26.25" customHeight="1"/>
    <row r="7137" ht="26.25" customHeight="1"/>
    <row r="7138" ht="26.25" customHeight="1"/>
    <row r="7139" ht="26.25" customHeight="1"/>
    <row r="7140" ht="26.25" customHeight="1"/>
    <row r="7141" ht="26.25" customHeight="1"/>
    <row r="7142" ht="26.25" customHeight="1"/>
    <row r="7143" ht="26.25" customHeight="1"/>
    <row r="7144" ht="26.25" customHeight="1"/>
    <row r="7145" ht="26.25" customHeight="1"/>
    <row r="7146" ht="26.25" customHeight="1"/>
    <row r="7147" ht="26.25" customHeight="1"/>
    <row r="7148" ht="26.25" customHeight="1"/>
    <row r="7149" ht="26.25" customHeight="1"/>
    <row r="7150" ht="26.25" customHeight="1"/>
    <row r="7151" ht="26.25" customHeight="1"/>
    <row r="7152" ht="26.25" customHeight="1"/>
    <row r="7153" ht="26.25" customHeight="1"/>
    <row r="7154" ht="26.25" customHeight="1"/>
    <row r="7155" ht="26.25" customHeight="1"/>
    <row r="7156" ht="26.25" customHeight="1"/>
    <row r="7157" ht="26.25" customHeight="1"/>
    <row r="7158" ht="26.25" customHeight="1"/>
    <row r="7159" ht="26.25" customHeight="1"/>
    <row r="7160" ht="26.25" customHeight="1"/>
    <row r="7161" ht="26.25" customHeight="1"/>
    <row r="7162" ht="26.25" customHeight="1"/>
    <row r="7163" ht="26.25" customHeight="1"/>
    <row r="7164" ht="26.25" customHeight="1"/>
    <row r="7165" ht="26.25" customHeight="1"/>
    <row r="7166" ht="26.25" customHeight="1"/>
    <row r="7167" ht="26.25" customHeight="1"/>
    <row r="7168" ht="26.25" customHeight="1"/>
    <row r="7169" ht="26.25" customHeight="1"/>
    <row r="7170" ht="26.25" customHeight="1"/>
    <row r="7171" ht="26.25" customHeight="1"/>
    <row r="7172" ht="26.25" customHeight="1"/>
    <row r="7173" ht="26.25" customHeight="1"/>
    <row r="7174" ht="26.25" customHeight="1"/>
    <row r="7175" ht="26.25" customHeight="1"/>
    <row r="7176" ht="26.25" customHeight="1"/>
    <row r="7177" ht="26.25" customHeight="1"/>
    <row r="7178" ht="26.25" customHeight="1"/>
    <row r="7179" ht="26.25" customHeight="1"/>
    <row r="7180" ht="26.25" customHeight="1"/>
    <row r="7181" ht="26.25" customHeight="1"/>
    <row r="7182" ht="26.25" customHeight="1"/>
    <row r="7183" ht="26.25" customHeight="1"/>
    <row r="7184" ht="26.25" customHeight="1"/>
    <row r="7185" ht="26.25" customHeight="1"/>
    <row r="7186" ht="26.25" customHeight="1"/>
    <row r="7187" ht="26.25" customHeight="1"/>
    <row r="7188" ht="26.25" customHeight="1"/>
    <row r="7189" ht="26.25" customHeight="1"/>
    <row r="7190" ht="26.25" customHeight="1"/>
    <row r="7191" ht="26.25" customHeight="1"/>
    <row r="7192" ht="26.25" customHeight="1"/>
    <row r="7193" ht="26.25" customHeight="1"/>
    <row r="7194" ht="26.25" customHeight="1"/>
    <row r="7195" ht="26.25" customHeight="1"/>
    <row r="7196" ht="26.25" customHeight="1"/>
    <row r="7197" ht="26.25" customHeight="1"/>
    <row r="7198" ht="26.25" customHeight="1"/>
    <row r="7199" ht="26.25" customHeight="1"/>
    <row r="7200" ht="26.25" customHeight="1"/>
    <row r="7201" ht="26.25" customHeight="1"/>
    <row r="7202" ht="26.25" customHeight="1"/>
    <row r="7203" ht="26.25" customHeight="1"/>
    <row r="7204" ht="26.25" customHeight="1"/>
    <row r="7205" ht="26.25" customHeight="1"/>
    <row r="7206" ht="26.25" customHeight="1"/>
    <row r="7207" ht="26.25" customHeight="1"/>
    <row r="7208" ht="26.25" customHeight="1"/>
    <row r="7209" ht="26.25" customHeight="1"/>
    <row r="7210" ht="26.25" customHeight="1"/>
    <row r="7211" ht="26.25" customHeight="1"/>
    <row r="7212" ht="26.25" customHeight="1"/>
    <row r="7213" ht="26.25" customHeight="1"/>
    <row r="7214" ht="26.25" customHeight="1"/>
    <row r="7215" ht="26.25" customHeight="1"/>
    <row r="7216" ht="26.25" customHeight="1"/>
    <row r="7217" ht="26.25" customHeight="1"/>
    <row r="7218" ht="26.25" customHeight="1"/>
    <row r="7219" ht="26.25" customHeight="1"/>
    <row r="7220" ht="26.25" customHeight="1"/>
    <row r="7221" ht="26.25" customHeight="1"/>
    <row r="7222" ht="26.25" customHeight="1"/>
    <row r="7223" ht="26.25" customHeight="1"/>
    <row r="7224" ht="26.25" customHeight="1"/>
    <row r="7225" ht="26.25" customHeight="1"/>
    <row r="7226" ht="26.25" customHeight="1"/>
    <row r="7227" ht="26.25" customHeight="1"/>
    <row r="7228" ht="26.25" customHeight="1"/>
    <row r="7229" ht="26.25" customHeight="1"/>
    <row r="7230" ht="26.25" customHeight="1"/>
    <row r="7231" ht="26.25" customHeight="1"/>
    <row r="7232" ht="26.25" customHeight="1"/>
    <row r="7233" ht="26.25" customHeight="1"/>
    <row r="7234" ht="26.25" customHeight="1"/>
    <row r="7235" ht="26.25" customHeight="1"/>
    <row r="7236" ht="26.25" customHeight="1"/>
    <row r="7237" ht="26.25" customHeight="1"/>
    <row r="7238" ht="26.25" customHeight="1"/>
    <row r="7239" ht="26.25" customHeight="1"/>
    <row r="7240" ht="26.25" customHeight="1"/>
    <row r="7241" ht="26.25" customHeight="1"/>
    <row r="7242" ht="26.25" customHeight="1"/>
    <row r="7243" ht="26.25" customHeight="1"/>
    <row r="7244" ht="26.25" customHeight="1"/>
    <row r="7245" ht="26.25" customHeight="1"/>
    <row r="7246" ht="26.25" customHeight="1"/>
    <row r="7247" ht="26.25" customHeight="1"/>
    <row r="7248" ht="26.25" customHeight="1"/>
    <row r="7249" ht="26.25" customHeight="1"/>
    <row r="7250" ht="26.25" customHeight="1"/>
    <row r="7251" ht="26.25" customHeight="1"/>
    <row r="7252" ht="26.25" customHeight="1"/>
    <row r="7253" ht="26.25" customHeight="1"/>
    <row r="7254" ht="26.25" customHeight="1"/>
    <row r="7255" ht="26.25" customHeight="1"/>
    <row r="7256" ht="26.25" customHeight="1"/>
    <row r="7257" ht="26.25" customHeight="1"/>
    <row r="7258" ht="26.25" customHeight="1"/>
    <row r="7259" ht="26.25" customHeight="1"/>
    <row r="7260" ht="26.25" customHeight="1"/>
    <row r="7261" ht="26.25" customHeight="1"/>
    <row r="7262" ht="26.25" customHeight="1"/>
    <row r="7263" ht="26.25" customHeight="1"/>
    <row r="7264" ht="26.25" customHeight="1"/>
    <row r="7265" ht="26.25" customHeight="1"/>
    <row r="7266" ht="26.25" customHeight="1"/>
    <row r="7267" ht="26.25" customHeight="1"/>
    <row r="7268" ht="26.25" customHeight="1"/>
    <row r="7269" ht="26.25" customHeight="1"/>
    <row r="7270" ht="26.25" customHeight="1"/>
    <row r="7271" ht="26.25" customHeight="1"/>
    <row r="7272" ht="26.25" customHeight="1"/>
    <row r="7273" ht="26.25" customHeight="1"/>
    <row r="7274" ht="26.25" customHeight="1"/>
    <row r="7275" ht="26.25" customHeight="1"/>
    <row r="7276" ht="26.25" customHeight="1"/>
    <row r="7277" ht="26.25" customHeight="1"/>
    <row r="7278" ht="26.25" customHeight="1"/>
    <row r="7279" ht="26.25" customHeight="1"/>
    <row r="7280" ht="26.25" customHeight="1"/>
    <row r="7281" ht="26.25" customHeight="1"/>
    <row r="7282" ht="26.25" customHeight="1"/>
    <row r="7283" ht="26.25" customHeight="1"/>
    <row r="7284" ht="26.25" customHeight="1"/>
    <row r="7285" ht="26.25" customHeight="1"/>
    <row r="7286" ht="26.25" customHeight="1"/>
    <row r="7287" ht="26.25" customHeight="1"/>
    <row r="7288" ht="26.25" customHeight="1"/>
    <row r="7289" ht="26.25" customHeight="1"/>
    <row r="7290" ht="26.25" customHeight="1"/>
    <row r="7291" ht="26.25" customHeight="1"/>
    <row r="7292" ht="26.25" customHeight="1"/>
    <row r="7293" ht="26.25" customHeight="1"/>
    <row r="7294" ht="26.25" customHeight="1"/>
    <row r="7295" ht="26.25" customHeight="1"/>
    <row r="7296" ht="26.25" customHeight="1"/>
    <row r="7297" ht="26.25" customHeight="1"/>
    <row r="7298" ht="26.25" customHeight="1"/>
    <row r="7299" ht="26.25" customHeight="1"/>
    <row r="7300" ht="26.25" customHeight="1"/>
    <row r="7301" ht="26.25" customHeight="1"/>
    <row r="7302" ht="26.25" customHeight="1"/>
    <row r="7303" ht="26.25" customHeight="1"/>
    <row r="7304" ht="26.25" customHeight="1"/>
    <row r="7305" ht="26.25" customHeight="1"/>
    <row r="7306" ht="26.25" customHeight="1"/>
    <row r="7307" ht="26.25" customHeight="1"/>
    <row r="7308" ht="26.25" customHeight="1"/>
    <row r="7309" ht="26.25" customHeight="1"/>
    <row r="7310" ht="26.25" customHeight="1"/>
    <row r="7311" ht="26.25" customHeight="1"/>
    <row r="7312" ht="26.25" customHeight="1"/>
    <row r="7313" ht="26.25" customHeight="1"/>
    <row r="7314" ht="26.25" customHeight="1"/>
    <row r="7315" ht="26.25" customHeight="1"/>
    <row r="7316" ht="26.25" customHeight="1"/>
    <row r="7317" ht="26.25" customHeight="1"/>
    <row r="7318" ht="26.25" customHeight="1"/>
    <row r="7319" ht="26.25" customHeight="1"/>
    <row r="7320" ht="26.25" customHeight="1"/>
    <row r="7321" ht="26.25" customHeight="1"/>
    <row r="7322" ht="26.25" customHeight="1"/>
    <row r="7323" ht="26.25" customHeight="1"/>
    <row r="7324" ht="26.25" customHeight="1"/>
    <row r="7325" ht="26.25" customHeight="1"/>
    <row r="7326" ht="26.25" customHeight="1"/>
    <row r="7327" ht="26.25" customHeight="1"/>
    <row r="7328" ht="26.25" customHeight="1"/>
    <row r="7329" ht="26.25" customHeight="1"/>
    <row r="7330" ht="26.25" customHeight="1"/>
    <row r="7331" ht="26.25" customHeight="1"/>
    <row r="7332" ht="26.25" customHeight="1"/>
    <row r="7333" ht="26.25" customHeight="1"/>
    <row r="7334" ht="26.25" customHeight="1"/>
    <row r="7335" ht="26.25" customHeight="1"/>
    <row r="7336" ht="26.25" customHeight="1"/>
    <row r="7337" ht="26.25" customHeight="1"/>
    <row r="7338" ht="26.25" customHeight="1"/>
    <row r="7339" ht="26.25" customHeight="1"/>
    <row r="7340" ht="26.25" customHeight="1"/>
    <row r="7341" ht="26.25" customHeight="1"/>
    <row r="7342" ht="26.25" customHeight="1"/>
    <row r="7343" ht="26.25" customHeight="1"/>
    <row r="7344" ht="26.25" customHeight="1"/>
    <row r="7345" ht="26.25" customHeight="1"/>
    <row r="7346" ht="26.25" customHeight="1"/>
    <row r="7347" ht="26.25" customHeight="1"/>
    <row r="7348" ht="26.25" customHeight="1"/>
    <row r="7349" ht="26.25" customHeight="1"/>
    <row r="7350" ht="26.25" customHeight="1"/>
    <row r="7351" ht="26.25" customHeight="1"/>
    <row r="7352" ht="26.25" customHeight="1"/>
    <row r="7353" ht="26.25" customHeight="1"/>
    <row r="7354" ht="26.25" customHeight="1"/>
    <row r="7355" ht="26.25" customHeight="1"/>
    <row r="7356" ht="26.25" customHeight="1"/>
    <row r="7357" ht="26.25" customHeight="1"/>
    <row r="7358" ht="26.25" customHeight="1"/>
    <row r="7359" ht="26.25" customHeight="1"/>
    <row r="7360" ht="26.25" customHeight="1"/>
    <row r="7361" ht="26.25" customHeight="1"/>
    <row r="7362" ht="26.25" customHeight="1"/>
    <row r="7363" ht="26.25" customHeight="1"/>
    <row r="7364" ht="26.25" customHeight="1"/>
    <row r="7365" ht="26.25" customHeight="1"/>
    <row r="7366" ht="26.25" customHeight="1"/>
    <row r="7367" ht="26.25" customHeight="1"/>
    <row r="7368" ht="26.25" customHeight="1"/>
    <row r="7369" ht="26.25" customHeight="1"/>
    <row r="7370" ht="26.25" customHeight="1"/>
    <row r="7371" ht="26.25" customHeight="1"/>
    <row r="7372" ht="26.25" customHeight="1"/>
    <row r="7373" ht="26.25" customHeight="1"/>
    <row r="7374" ht="26.25" customHeight="1"/>
    <row r="7375" ht="26.25" customHeight="1"/>
    <row r="7376" ht="26.25" customHeight="1"/>
    <row r="7377" ht="26.25" customHeight="1"/>
    <row r="7378" ht="26.25" customHeight="1"/>
    <row r="7379" ht="26.25" customHeight="1"/>
    <row r="7380" ht="26.25" customHeight="1"/>
    <row r="7381" ht="26.25" customHeight="1"/>
    <row r="7382" ht="26.25" customHeight="1"/>
    <row r="7383" ht="26.25" customHeight="1"/>
    <row r="7384" ht="26.25" customHeight="1"/>
    <row r="7385" ht="26.25" customHeight="1"/>
    <row r="7386" ht="26.25" customHeight="1"/>
    <row r="7387" ht="26.25" customHeight="1"/>
    <row r="7388" ht="26.25" customHeight="1"/>
    <row r="7389" ht="26.25" customHeight="1"/>
    <row r="7390" ht="26.25" customHeight="1"/>
    <row r="7391" ht="26.25" customHeight="1"/>
    <row r="7392" ht="26.25" customHeight="1"/>
    <row r="7393" ht="26.25" customHeight="1"/>
    <row r="7394" ht="26.25" customHeight="1"/>
    <row r="7395" ht="26.25" customHeight="1"/>
    <row r="7396" ht="26.25" customHeight="1"/>
    <row r="7397" ht="26.25" customHeight="1"/>
    <row r="7398" ht="26.25" customHeight="1"/>
    <row r="7399" ht="26.25" customHeight="1"/>
    <row r="7400" ht="26.25" customHeight="1"/>
    <row r="7401" ht="26.25" customHeight="1"/>
    <row r="7402" ht="26.25" customHeight="1"/>
    <row r="7403" ht="26.25" customHeight="1"/>
    <row r="7404" ht="26.25" customHeight="1"/>
    <row r="7405" ht="26.25" customHeight="1"/>
    <row r="7406" ht="26.25" customHeight="1"/>
    <row r="7407" ht="26.25" customHeight="1"/>
    <row r="7408" ht="26.25" customHeight="1"/>
    <row r="7409" ht="26.25" customHeight="1"/>
    <row r="7410" ht="26.25" customHeight="1"/>
    <row r="7411" ht="26.25" customHeight="1"/>
    <row r="7412" ht="26.25" customHeight="1"/>
    <row r="7413" ht="26.25" customHeight="1"/>
    <row r="7414" ht="26.25" customHeight="1"/>
    <row r="7415" ht="26.25" customHeight="1"/>
    <row r="7416" ht="26.25" customHeight="1"/>
    <row r="7417" ht="26.25" customHeight="1"/>
    <row r="7418" ht="26.25" customHeight="1"/>
    <row r="7419" ht="26.25" customHeight="1"/>
    <row r="7420" ht="26.25" customHeight="1"/>
    <row r="7421" ht="26.25" customHeight="1"/>
    <row r="7422" ht="26.25" customHeight="1"/>
    <row r="7423" ht="26.25" customHeight="1"/>
    <row r="7424" ht="26.25" customHeight="1"/>
    <row r="7425" ht="26.25" customHeight="1"/>
    <row r="7426" ht="26.25" customHeight="1"/>
    <row r="7427" ht="26.25" customHeight="1"/>
    <row r="7428" ht="26.25" customHeight="1"/>
    <row r="7429" ht="26.25" customHeight="1"/>
    <row r="7430" ht="26.25" customHeight="1"/>
    <row r="7431" ht="26.25" customHeight="1"/>
    <row r="7432" ht="26.25" customHeight="1"/>
    <row r="7433" ht="26.25" customHeight="1"/>
    <row r="7434" ht="26.25" customHeight="1"/>
    <row r="7435" ht="26.25" customHeight="1"/>
    <row r="7436" ht="26.25" customHeight="1"/>
    <row r="7437" ht="26.25" customHeight="1"/>
    <row r="7438" ht="26.25" customHeight="1"/>
    <row r="7439" ht="26.25" customHeight="1"/>
    <row r="7440" ht="26.25" customHeight="1"/>
    <row r="7441" ht="26.25" customHeight="1"/>
    <row r="7442" ht="26.25" customHeight="1"/>
    <row r="7443" ht="26.25" customHeight="1"/>
    <row r="7444" ht="26.25" customHeight="1"/>
    <row r="7445" ht="26.25" customHeight="1"/>
    <row r="7446" ht="26.25" customHeight="1"/>
    <row r="7447" ht="26.25" customHeight="1"/>
    <row r="7448" ht="26.25" customHeight="1"/>
    <row r="7449" ht="26.25" customHeight="1"/>
    <row r="7450" ht="26.25" customHeight="1"/>
    <row r="7451" ht="26.25" customHeight="1"/>
    <row r="7452" ht="26.25" customHeight="1"/>
    <row r="7453" ht="26.25" customHeight="1"/>
    <row r="7454" ht="26.25" customHeight="1"/>
    <row r="7455" ht="26.25" customHeight="1"/>
    <row r="7456" ht="26.25" customHeight="1"/>
    <row r="7457" ht="26.25" customHeight="1"/>
    <row r="7458" ht="26.25" customHeight="1"/>
    <row r="7459" ht="26.25" customHeight="1"/>
    <row r="7460" ht="26.25" customHeight="1"/>
    <row r="7461" ht="26.25" customHeight="1"/>
    <row r="7462" ht="26.25" customHeight="1"/>
    <row r="7463" ht="26.25" customHeight="1"/>
    <row r="7464" ht="26.25" customHeight="1"/>
    <row r="7465" ht="26.25" customHeight="1"/>
    <row r="7466" ht="26.25" customHeight="1"/>
    <row r="7467" ht="26.25" customHeight="1"/>
    <row r="7468" ht="26.25" customHeight="1"/>
    <row r="7469" ht="26.25" customHeight="1"/>
    <row r="7470" ht="26.25" customHeight="1"/>
    <row r="7471" ht="26.25" customHeight="1"/>
    <row r="7472" ht="26.25" customHeight="1"/>
    <row r="7473" ht="26.25" customHeight="1"/>
    <row r="7474" ht="26.25" customHeight="1"/>
    <row r="7475" ht="26.25" customHeight="1"/>
    <row r="7476" ht="26.25" customHeight="1"/>
    <row r="7477" ht="26.25" customHeight="1"/>
    <row r="7478" ht="26.25" customHeight="1"/>
    <row r="7479" ht="26.25" customHeight="1"/>
    <row r="7480" ht="26.25" customHeight="1"/>
    <row r="7481" ht="26.25" customHeight="1"/>
    <row r="7482" ht="26.25" customHeight="1"/>
    <row r="7483" ht="26.25" customHeight="1"/>
    <row r="7484" ht="26.25" customHeight="1"/>
    <row r="7485" ht="26.25" customHeight="1"/>
    <row r="7486" ht="26.25" customHeight="1"/>
    <row r="7487" ht="26.25" customHeight="1"/>
    <row r="7488" ht="26.25" customHeight="1"/>
    <row r="7489" ht="26.25" customHeight="1"/>
    <row r="7490" ht="26.25" customHeight="1"/>
    <row r="7491" ht="26.25" customHeight="1"/>
    <row r="7492" ht="26.25" customHeight="1"/>
    <row r="7493" ht="26.25" customHeight="1"/>
    <row r="7494" ht="26.25" customHeight="1"/>
    <row r="7495" ht="26.25" customHeight="1"/>
    <row r="7496" ht="26.25" customHeight="1"/>
    <row r="7497" ht="26.25" customHeight="1"/>
    <row r="7498" ht="26.25" customHeight="1"/>
    <row r="7499" ht="26.25" customHeight="1"/>
    <row r="7500" ht="26.25" customHeight="1"/>
    <row r="7501" ht="26.25" customHeight="1"/>
    <row r="7502" ht="26.25" customHeight="1"/>
    <row r="7503" ht="26.25" customHeight="1"/>
    <row r="7504" ht="26.25" customHeight="1"/>
    <row r="7505" ht="26.25" customHeight="1"/>
    <row r="7506" ht="26.25" customHeight="1"/>
    <row r="7507" ht="26.25" customHeight="1"/>
    <row r="7508" ht="26.25" customHeight="1"/>
    <row r="7509" ht="26.25" customHeight="1"/>
    <row r="7510" ht="26.25" customHeight="1"/>
    <row r="7511" ht="26.25" customHeight="1"/>
    <row r="7512" ht="26.25" customHeight="1"/>
    <row r="7513" ht="26.25" customHeight="1"/>
    <row r="7514" ht="26.25" customHeight="1"/>
    <row r="7515" ht="26.25" customHeight="1"/>
    <row r="7516" ht="26.25" customHeight="1"/>
    <row r="7517" ht="26.25" customHeight="1"/>
    <row r="7518" ht="26.25" customHeight="1"/>
    <row r="7519" ht="26.25" customHeight="1"/>
    <row r="7520" ht="26.25" customHeight="1"/>
    <row r="7521" ht="26.25" customHeight="1"/>
    <row r="7522" ht="26.25" customHeight="1"/>
    <row r="7523" ht="26.25" customHeight="1"/>
    <row r="7524" ht="26.25" customHeight="1"/>
    <row r="7525" ht="26.25" customHeight="1"/>
    <row r="7526" ht="26.25" customHeight="1"/>
    <row r="7527" ht="26.25" customHeight="1"/>
    <row r="7528" ht="26.25" customHeight="1"/>
    <row r="7529" ht="26.25" customHeight="1"/>
    <row r="7530" ht="26.25" customHeight="1"/>
    <row r="7531" ht="26.25" customHeight="1"/>
    <row r="7532" ht="26.25" customHeight="1"/>
    <row r="7533" ht="26.25" customHeight="1"/>
    <row r="7534" ht="26.25" customHeight="1"/>
    <row r="7535" ht="26.25" customHeight="1"/>
    <row r="7536" ht="26.25" customHeight="1"/>
    <row r="7537" ht="26.25" customHeight="1"/>
    <row r="7538" ht="26.25" customHeight="1"/>
    <row r="7539" ht="26.25" customHeight="1"/>
    <row r="7540" ht="26.25" customHeight="1"/>
    <row r="7541" ht="26.25" customHeight="1"/>
    <row r="7542" ht="26.25" customHeight="1"/>
    <row r="7543" ht="26.25" customHeight="1"/>
    <row r="7544" ht="26.25" customHeight="1"/>
    <row r="7545" ht="26.25" customHeight="1"/>
    <row r="7546" ht="26.25" customHeight="1"/>
    <row r="7547" ht="26.25" customHeight="1"/>
    <row r="7548" ht="26.25" customHeight="1"/>
    <row r="7549" ht="26.25" customHeight="1"/>
    <row r="7550" ht="26.25" customHeight="1"/>
    <row r="7551" ht="26.25" customHeight="1"/>
    <row r="7552" ht="26.25" customHeight="1"/>
    <row r="7553" ht="26.25" customHeight="1"/>
    <row r="7554" ht="26.25" customHeight="1"/>
    <row r="7555" ht="26.25" customHeight="1"/>
    <row r="7556" ht="26.25" customHeight="1"/>
    <row r="7557" ht="26.25" customHeight="1"/>
    <row r="7558" ht="26.25" customHeight="1"/>
    <row r="7559" ht="26.25" customHeight="1"/>
    <row r="7560" ht="26.25" customHeight="1"/>
    <row r="7561" ht="26.25" customHeight="1"/>
    <row r="7562" ht="26.25" customHeight="1"/>
    <row r="7563" ht="26.25" customHeight="1"/>
    <row r="7564" ht="26.25" customHeight="1"/>
    <row r="7565" ht="26.25" customHeight="1"/>
    <row r="7566" ht="26.25" customHeight="1"/>
    <row r="7567" ht="26.25" customHeight="1"/>
    <row r="7568" ht="26.25" customHeight="1"/>
    <row r="7569" ht="26.25" customHeight="1"/>
    <row r="7570" ht="26.25" customHeight="1"/>
    <row r="7571" ht="26.25" customHeight="1"/>
    <row r="7572" ht="26.25" customHeight="1"/>
    <row r="7573" ht="26.25" customHeight="1"/>
    <row r="7574" ht="26.25" customHeight="1"/>
    <row r="7575" ht="26.25" customHeight="1"/>
    <row r="7576" ht="26.25" customHeight="1"/>
    <row r="7577" ht="26.25" customHeight="1"/>
    <row r="7578" ht="26.25" customHeight="1"/>
    <row r="7579" ht="26.25" customHeight="1"/>
    <row r="7580" ht="26.25" customHeight="1"/>
    <row r="7581" ht="26.25" customHeight="1"/>
    <row r="7582" ht="26.25" customHeight="1"/>
    <row r="7583" ht="26.25" customHeight="1"/>
    <row r="7584" ht="26.25" customHeight="1"/>
    <row r="7585" ht="26.25" customHeight="1"/>
    <row r="7586" ht="26.25" customHeight="1"/>
    <row r="7587" ht="26.25" customHeight="1"/>
    <row r="7588" ht="26.25" customHeight="1"/>
    <row r="7589" ht="26.25" customHeight="1"/>
    <row r="7590" ht="26.25" customHeight="1"/>
    <row r="7591" ht="26.25" customHeight="1"/>
    <row r="7592" ht="26.25" customHeight="1"/>
    <row r="7593" ht="26.25" customHeight="1"/>
    <row r="7594" ht="26.25" customHeight="1"/>
    <row r="7595" ht="26.25" customHeight="1"/>
    <row r="7596" ht="26.25" customHeight="1"/>
    <row r="7597" ht="26.25" customHeight="1"/>
    <row r="7598" ht="26.25" customHeight="1"/>
    <row r="7599" ht="26.25" customHeight="1"/>
    <row r="7600" ht="26.25" customHeight="1"/>
    <row r="7601" ht="26.25" customHeight="1"/>
    <row r="7602" ht="26.25" customHeight="1"/>
    <row r="7603" ht="26.25" customHeight="1"/>
    <row r="7604" ht="26.25" customHeight="1"/>
    <row r="7605" ht="26.25" customHeight="1"/>
    <row r="7606" ht="26.25" customHeight="1"/>
    <row r="7607" ht="26.25" customHeight="1"/>
    <row r="7608" ht="26.25" customHeight="1"/>
    <row r="7609" ht="26.25" customHeight="1"/>
    <row r="7610" ht="26.25" customHeight="1"/>
    <row r="7611" ht="26.25" customHeight="1"/>
    <row r="7612" ht="26.25" customHeight="1"/>
    <row r="7613" ht="26.25" customHeight="1"/>
    <row r="7614" ht="26.25" customHeight="1"/>
    <row r="7615" ht="26.25" customHeight="1"/>
    <row r="7616" ht="26.25" customHeight="1"/>
    <row r="7617" ht="26.25" customHeight="1"/>
    <row r="7618" ht="26.25" customHeight="1"/>
    <row r="7619" ht="26.25" customHeight="1"/>
    <row r="7620" ht="26.25" customHeight="1"/>
    <row r="7621" ht="26.25" customHeight="1"/>
    <row r="7622" ht="26.25" customHeight="1"/>
    <row r="7623" ht="26.25" customHeight="1"/>
    <row r="7624" ht="26.25" customHeight="1"/>
    <row r="7625" ht="26.25" customHeight="1"/>
    <row r="7626" ht="26.25" customHeight="1"/>
    <row r="7627" ht="26.25" customHeight="1"/>
    <row r="7628" ht="26.25" customHeight="1"/>
    <row r="7629" ht="26.25" customHeight="1"/>
    <row r="7630" ht="26.25" customHeight="1"/>
    <row r="7631" ht="26.25" customHeight="1"/>
    <row r="7632" ht="26.25" customHeight="1"/>
    <row r="7633" ht="26.25" customHeight="1"/>
    <row r="7634" ht="26.25" customHeight="1"/>
    <row r="7635" ht="26.25" customHeight="1"/>
    <row r="7636" ht="26.25" customHeight="1"/>
    <row r="7637" ht="26.25" customHeight="1"/>
    <row r="7638" ht="26.25" customHeight="1"/>
    <row r="7639" ht="26.25" customHeight="1"/>
    <row r="7640" ht="26.25" customHeight="1"/>
    <row r="7641" ht="26.25" customHeight="1"/>
    <row r="7642" ht="26.25" customHeight="1"/>
    <row r="7643" ht="26.25" customHeight="1"/>
    <row r="7644" ht="26.25" customHeight="1"/>
    <row r="7645" ht="26.25" customHeight="1"/>
    <row r="7646" ht="26.25" customHeight="1"/>
    <row r="7647" ht="26.25" customHeight="1"/>
    <row r="7648" ht="26.25" customHeight="1"/>
    <row r="7649" ht="26.25" customHeight="1"/>
    <row r="7650" ht="26.25" customHeight="1"/>
    <row r="7651" ht="26.25" customHeight="1"/>
    <row r="7652" ht="26.25" customHeight="1"/>
    <row r="7653" ht="26.25" customHeight="1"/>
    <row r="7654" ht="26.25" customHeight="1"/>
    <row r="7655" ht="26.25" customHeight="1"/>
    <row r="7656" ht="26.25" customHeight="1"/>
    <row r="7657" ht="26.25" customHeight="1"/>
    <row r="7658" ht="26.25" customHeight="1"/>
    <row r="7659" ht="26.25" customHeight="1"/>
    <row r="7660" ht="26.25" customHeight="1"/>
    <row r="7661" ht="26.25" customHeight="1"/>
    <row r="7662" ht="26.25" customHeight="1"/>
    <row r="7663" ht="26.25" customHeight="1"/>
    <row r="7664" ht="26.25" customHeight="1"/>
    <row r="7665" ht="26.25" customHeight="1"/>
    <row r="7666" ht="26.25" customHeight="1"/>
    <row r="7667" ht="26.25" customHeight="1"/>
    <row r="7668" ht="26.25" customHeight="1"/>
    <row r="7669" ht="26.25" customHeight="1"/>
    <row r="7670" ht="26.25" customHeight="1"/>
    <row r="7671" ht="26.25" customHeight="1"/>
    <row r="7672" ht="26.25" customHeight="1"/>
    <row r="7673" ht="26.25" customHeight="1"/>
    <row r="7674" ht="26.25" customHeight="1"/>
    <row r="7675" ht="26.25" customHeight="1"/>
    <row r="7676" ht="26.25" customHeight="1"/>
    <row r="7677" ht="26.25" customHeight="1"/>
    <row r="7678" ht="26.25" customHeight="1"/>
    <row r="7679" ht="26.25" customHeight="1"/>
    <row r="7680" ht="26.25" customHeight="1"/>
    <row r="7681" ht="26.25" customHeight="1"/>
    <row r="7682" ht="26.25" customHeight="1"/>
    <row r="7683" ht="26.25" customHeight="1"/>
    <row r="7684" ht="26.25" customHeight="1"/>
    <row r="7685" ht="26.25" customHeight="1"/>
    <row r="7686" ht="26.25" customHeight="1"/>
    <row r="7687" ht="26.25" customHeight="1"/>
    <row r="7688" ht="26.25" customHeight="1"/>
    <row r="7689" ht="26.25" customHeight="1"/>
    <row r="7690" ht="26.25" customHeight="1"/>
    <row r="7691" ht="26.25" customHeight="1"/>
    <row r="7692" ht="26.25" customHeight="1"/>
    <row r="7693" ht="26.25" customHeight="1"/>
    <row r="7694" ht="26.25" customHeight="1"/>
    <row r="7695" ht="26.25" customHeight="1"/>
    <row r="7696" ht="26.25" customHeight="1"/>
    <row r="7697" ht="26.25" customHeight="1"/>
    <row r="7698" ht="26.25" customHeight="1"/>
    <row r="7699" ht="26.25" customHeight="1"/>
    <row r="7700" ht="26.25" customHeight="1"/>
    <row r="7701" ht="26.25" customHeight="1"/>
    <row r="7702" ht="26.25" customHeight="1"/>
    <row r="7703" ht="26.25" customHeight="1"/>
    <row r="7704" ht="26.25" customHeight="1"/>
    <row r="7705" ht="26.25" customHeight="1"/>
    <row r="7706" ht="26.25" customHeight="1"/>
    <row r="7707" ht="26.25" customHeight="1"/>
    <row r="7708" ht="26.25" customHeight="1"/>
    <row r="7709" ht="26.25" customHeight="1"/>
    <row r="7710" ht="26.25" customHeight="1"/>
    <row r="7711" ht="26.25" customHeight="1"/>
    <row r="7712" ht="26.25" customHeight="1"/>
    <row r="7713" ht="26.25" customHeight="1"/>
    <row r="7714" ht="26.25" customHeight="1"/>
    <row r="7715" ht="26.25" customHeight="1"/>
    <row r="7716" ht="26.25" customHeight="1"/>
    <row r="7717" ht="26.25" customHeight="1"/>
    <row r="7718" ht="26.25" customHeight="1"/>
    <row r="7719" ht="26.25" customHeight="1"/>
    <row r="7720" ht="26.25" customHeight="1"/>
    <row r="7721" ht="26.25" customHeight="1"/>
    <row r="7722" ht="26.25" customHeight="1"/>
    <row r="7723" ht="26.25" customHeight="1"/>
    <row r="7724" ht="26.25" customHeight="1"/>
    <row r="7725" ht="26.25" customHeight="1"/>
    <row r="7726" ht="26.25" customHeight="1"/>
    <row r="7727" ht="26.25" customHeight="1"/>
    <row r="7728" ht="26.25" customHeight="1"/>
    <row r="7729" ht="26.25" customHeight="1"/>
    <row r="7730" ht="26.25" customHeight="1"/>
    <row r="7731" ht="26.25" customHeight="1"/>
    <row r="7732" ht="26.25" customHeight="1"/>
    <row r="7733" ht="26.25" customHeight="1"/>
    <row r="7734" ht="26.25" customHeight="1"/>
    <row r="7735" ht="26.25" customHeight="1"/>
    <row r="7736" ht="26.25" customHeight="1"/>
    <row r="7737" ht="26.25" customHeight="1"/>
    <row r="7738" ht="26.25" customHeight="1"/>
    <row r="7739" ht="26.25" customHeight="1"/>
    <row r="7740" ht="26.25" customHeight="1"/>
    <row r="7741" ht="26.25" customHeight="1"/>
    <row r="7742" ht="26.25" customHeight="1"/>
    <row r="7743" ht="26.25" customHeight="1"/>
    <row r="7744" ht="26.25" customHeight="1"/>
    <row r="7745" ht="26.25" customHeight="1"/>
    <row r="7746" ht="26.25" customHeight="1"/>
    <row r="7747" ht="26.25" customHeight="1"/>
    <row r="7748" ht="26.25" customHeight="1"/>
    <row r="7749" ht="26.25" customHeight="1"/>
    <row r="7750" ht="26.25" customHeight="1"/>
    <row r="7751" ht="26.25" customHeight="1"/>
    <row r="7752" ht="26.25" customHeight="1"/>
    <row r="7753" ht="26.25" customHeight="1"/>
    <row r="7754" ht="26.25" customHeight="1"/>
    <row r="7755" ht="26.25" customHeight="1"/>
    <row r="7756" ht="26.25" customHeight="1"/>
    <row r="7757" ht="26.25" customHeight="1"/>
    <row r="7758" ht="26.25" customHeight="1"/>
    <row r="7759" ht="26.25" customHeight="1"/>
    <row r="7760" ht="26.25" customHeight="1"/>
    <row r="7761" ht="26.25" customHeight="1"/>
    <row r="7762" ht="26.25" customHeight="1"/>
    <row r="7763" ht="26.25" customHeight="1"/>
    <row r="7764" ht="26.25" customHeight="1"/>
    <row r="7765" ht="26.25" customHeight="1"/>
    <row r="7766" ht="26.25" customHeight="1"/>
    <row r="7767" ht="26.25" customHeight="1"/>
    <row r="7768" ht="26.25" customHeight="1"/>
    <row r="7769" ht="26.25" customHeight="1"/>
    <row r="7770" ht="26.25" customHeight="1"/>
    <row r="7771" ht="26.25" customHeight="1"/>
    <row r="7772" ht="26.25" customHeight="1"/>
    <row r="7773" ht="26.25" customHeight="1"/>
    <row r="7774" ht="26.25" customHeight="1"/>
    <row r="7775" ht="26.25" customHeight="1"/>
    <row r="7776" ht="26.25" customHeight="1"/>
    <row r="7777" ht="26.25" customHeight="1"/>
    <row r="7778" ht="26.25" customHeight="1"/>
    <row r="7779" ht="26.25" customHeight="1"/>
    <row r="7780" ht="26.25" customHeight="1"/>
    <row r="7781" ht="26.25" customHeight="1"/>
    <row r="7782" ht="26.25" customHeight="1"/>
    <row r="7783" ht="26.25" customHeight="1"/>
    <row r="7784" ht="26.25" customHeight="1"/>
    <row r="7785" ht="26.25" customHeight="1"/>
    <row r="7786" ht="26.25" customHeight="1"/>
    <row r="7787" ht="26.25" customHeight="1"/>
    <row r="7788" ht="26.25" customHeight="1"/>
    <row r="7789" ht="26.25" customHeight="1"/>
    <row r="7790" ht="26.25" customHeight="1"/>
    <row r="7791" ht="26.25" customHeight="1"/>
    <row r="7792" ht="26.25" customHeight="1"/>
    <row r="7793" ht="26.25" customHeight="1"/>
    <row r="7794" ht="26.25" customHeight="1"/>
    <row r="7795" ht="26.25" customHeight="1"/>
    <row r="7796" ht="26.25" customHeight="1"/>
    <row r="7797" ht="26.25" customHeight="1"/>
    <row r="7798" ht="26.25" customHeight="1"/>
    <row r="7799" ht="26.25" customHeight="1"/>
    <row r="7800" ht="26.25" customHeight="1"/>
    <row r="7801" ht="26.25" customHeight="1"/>
    <row r="7802" ht="26.25" customHeight="1"/>
    <row r="7803" ht="26.25" customHeight="1"/>
    <row r="7804" ht="26.25" customHeight="1"/>
    <row r="7805" ht="26.25" customHeight="1"/>
    <row r="7806" ht="26.25" customHeight="1"/>
    <row r="7807" ht="26.25" customHeight="1"/>
    <row r="7808" ht="26.25" customHeight="1"/>
    <row r="7809" ht="26.25" customHeight="1"/>
    <row r="7810" ht="26.25" customHeight="1"/>
    <row r="7811" ht="26.25" customHeight="1"/>
    <row r="7812" ht="26.25" customHeight="1"/>
    <row r="7813" ht="26.25" customHeight="1"/>
    <row r="7814" ht="26.25" customHeight="1"/>
    <row r="7815" ht="26.25" customHeight="1"/>
    <row r="7816" ht="26.25" customHeight="1"/>
    <row r="7817" ht="26.25" customHeight="1"/>
    <row r="7818" ht="26.25" customHeight="1"/>
    <row r="7819" ht="26.25" customHeight="1"/>
    <row r="7820" ht="26.25" customHeight="1"/>
    <row r="7821" ht="26.25" customHeight="1"/>
    <row r="7822" ht="26.25" customHeight="1"/>
    <row r="7823" ht="26.25" customHeight="1"/>
    <row r="7824" ht="26.25" customHeight="1"/>
    <row r="7825" ht="26.25" customHeight="1"/>
    <row r="7826" ht="26.25" customHeight="1"/>
    <row r="7827" ht="26.25" customHeight="1"/>
    <row r="7828" ht="26.25" customHeight="1"/>
    <row r="7829" ht="26.25" customHeight="1"/>
    <row r="7830" ht="26.25" customHeight="1"/>
    <row r="7831" ht="26.25" customHeight="1"/>
    <row r="7832" ht="26.25" customHeight="1"/>
    <row r="7833" ht="26.25" customHeight="1"/>
    <row r="7834" ht="26.25" customHeight="1"/>
    <row r="7835" ht="26.25" customHeight="1"/>
    <row r="7836" ht="26.25" customHeight="1"/>
    <row r="7837" ht="26.25" customHeight="1"/>
    <row r="7838" ht="26.25" customHeight="1"/>
    <row r="7839" ht="26.25" customHeight="1"/>
    <row r="7840" ht="26.25" customHeight="1"/>
    <row r="7841" ht="26.25" customHeight="1"/>
    <row r="7842" ht="26.25" customHeight="1"/>
    <row r="7843" ht="26.25" customHeight="1"/>
    <row r="7844" ht="26.25" customHeight="1"/>
    <row r="7845" ht="26.25" customHeight="1"/>
    <row r="7846" ht="26.25" customHeight="1"/>
    <row r="7847" ht="26.25" customHeight="1"/>
    <row r="7848" ht="26.25" customHeight="1"/>
    <row r="7849" ht="26.25" customHeight="1"/>
    <row r="7850" ht="26.25" customHeight="1"/>
    <row r="7851" ht="26.25" customHeight="1"/>
    <row r="7852" ht="26.25" customHeight="1"/>
    <row r="7853" ht="26.25" customHeight="1"/>
    <row r="7854" ht="26.25" customHeight="1"/>
    <row r="7855" ht="26.25" customHeight="1"/>
    <row r="7856" ht="26.25" customHeight="1"/>
    <row r="7857" ht="26.25" customHeight="1"/>
    <row r="7858" ht="26.25" customHeight="1"/>
    <row r="7859" ht="26.25" customHeight="1"/>
    <row r="7860" ht="26.25" customHeight="1"/>
    <row r="7861" ht="26.25" customHeight="1"/>
    <row r="7862" ht="26.25" customHeight="1"/>
    <row r="7863" ht="26.25" customHeight="1"/>
    <row r="7864" ht="26.25" customHeight="1"/>
    <row r="7865" ht="26.25" customHeight="1"/>
    <row r="7866" ht="26.25" customHeight="1"/>
    <row r="7867" ht="26.25" customHeight="1"/>
    <row r="7868" ht="26.25" customHeight="1"/>
    <row r="7869" ht="26.25" customHeight="1"/>
    <row r="7870" ht="26.25" customHeight="1"/>
    <row r="7871" ht="26.25" customHeight="1"/>
    <row r="7872" ht="26.25" customHeight="1"/>
    <row r="7873" ht="26.25" customHeight="1"/>
    <row r="7874" ht="26.25" customHeight="1"/>
    <row r="7875" ht="26.25" customHeight="1"/>
    <row r="7876" ht="26.25" customHeight="1"/>
    <row r="7877" ht="26.25" customHeight="1"/>
    <row r="7878" ht="26.25" customHeight="1"/>
    <row r="7879" ht="26.25" customHeight="1"/>
    <row r="7880" ht="26.25" customHeight="1"/>
    <row r="7881" ht="26.25" customHeight="1"/>
    <row r="7882" ht="26.25" customHeight="1"/>
    <row r="7883" ht="26.25" customHeight="1"/>
    <row r="7884" ht="26.25" customHeight="1"/>
    <row r="7885" ht="26.25" customHeight="1"/>
    <row r="7886" ht="26.25" customHeight="1"/>
    <row r="7887" ht="26.25" customHeight="1"/>
    <row r="7888" ht="26.25" customHeight="1"/>
    <row r="7889" ht="26.25" customHeight="1"/>
    <row r="7890" ht="26.25" customHeight="1"/>
    <row r="7891" ht="26.25" customHeight="1"/>
    <row r="7892" ht="26.25" customHeight="1"/>
    <row r="7893" ht="26.25" customHeight="1"/>
    <row r="7894" ht="26.25" customHeight="1"/>
    <row r="7895" ht="26.25" customHeight="1"/>
    <row r="7896" ht="26.25" customHeight="1"/>
    <row r="7897" ht="26.25" customHeight="1"/>
    <row r="7898" ht="26.25" customHeight="1"/>
    <row r="7899" ht="26.25" customHeight="1"/>
    <row r="7900" ht="26.25" customHeight="1"/>
    <row r="7901" ht="26.25" customHeight="1"/>
    <row r="7902" ht="26.25" customHeight="1"/>
    <row r="7903" ht="26.25" customHeight="1"/>
    <row r="7904" ht="26.25" customHeight="1"/>
    <row r="7905" ht="26.25" customHeight="1"/>
    <row r="7906" ht="26.25" customHeight="1"/>
    <row r="7907" ht="26.25" customHeight="1"/>
    <row r="7908" ht="26.25" customHeight="1"/>
    <row r="7909" ht="26.25" customHeight="1"/>
    <row r="7910" ht="26.25" customHeight="1"/>
    <row r="7911" ht="26.25" customHeight="1"/>
    <row r="7912" ht="26.25" customHeight="1"/>
    <row r="7913" ht="26.25" customHeight="1"/>
    <row r="7914" ht="26.25" customHeight="1"/>
    <row r="7915" ht="26.25" customHeight="1"/>
    <row r="7916" ht="26.25" customHeight="1"/>
    <row r="7917" ht="26.25" customHeight="1"/>
    <row r="7918" ht="26.25" customHeight="1"/>
    <row r="7919" ht="26.25" customHeight="1"/>
    <row r="7920" ht="26.25" customHeight="1"/>
    <row r="7921" ht="26.25" customHeight="1"/>
    <row r="7922" ht="26.25" customHeight="1"/>
    <row r="7923" ht="26.25" customHeight="1"/>
    <row r="7924" ht="26.25" customHeight="1"/>
    <row r="7925" ht="26.25" customHeight="1"/>
    <row r="7926" ht="26.25" customHeight="1"/>
    <row r="7927" ht="26.25" customHeight="1"/>
    <row r="7928" ht="26.25" customHeight="1"/>
    <row r="7929" ht="26.25" customHeight="1"/>
    <row r="7930" ht="26.25" customHeight="1"/>
    <row r="7931" ht="26.25" customHeight="1"/>
    <row r="7932" ht="26.25" customHeight="1"/>
    <row r="7933" ht="26.25" customHeight="1"/>
    <row r="7934" ht="26.25" customHeight="1"/>
    <row r="7935" ht="26.25" customHeight="1"/>
    <row r="7936" ht="26.25" customHeight="1"/>
    <row r="7937" ht="26.25" customHeight="1"/>
    <row r="7938" ht="26.25" customHeight="1"/>
    <row r="7939" ht="26.25" customHeight="1"/>
    <row r="7940" ht="26.25" customHeight="1"/>
    <row r="7941" ht="26.25" customHeight="1"/>
    <row r="7942" ht="26.25" customHeight="1"/>
    <row r="7943" ht="26.25" customHeight="1"/>
    <row r="7944" ht="26.25" customHeight="1"/>
    <row r="7945" ht="26.25" customHeight="1"/>
    <row r="7946" ht="26.25" customHeight="1"/>
    <row r="7947" ht="26.25" customHeight="1"/>
    <row r="7948" ht="26.25" customHeight="1"/>
    <row r="7949" ht="26.25" customHeight="1"/>
    <row r="7950" ht="26.25" customHeight="1"/>
    <row r="7951" ht="26.25" customHeight="1"/>
    <row r="7952" ht="26.25" customHeight="1"/>
    <row r="7953" ht="26.25" customHeight="1"/>
    <row r="7954" ht="26.25" customHeight="1"/>
    <row r="7955" ht="26.25" customHeight="1"/>
    <row r="7956" ht="26.25" customHeight="1"/>
    <row r="7957" ht="26.25" customHeight="1"/>
    <row r="7958" ht="26.25" customHeight="1"/>
    <row r="7959" ht="26.25" customHeight="1"/>
    <row r="7960" ht="26.25" customHeight="1"/>
    <row r="7961" ht="26.25" customHeight="1"/>
    <row r="7962" ht="26.25" customHeight="1"/>
    <row r="7963" ht="26.25" customHeight="1"/>
    <row r="7964" ht="26.25" customHeight="1"/>
    <row r="7965" ht="26.25" customHeight="1"/>
    <row r="7966" ht="26.25" customHeight="1"/>
    <row r="7967" ht="26.25" customHeight="1"/>
    <row r="7968" ht="26.25" customHeight="1"/>
    <row r="7969" ht="26.25" customHeight="1"/>
    <row r="7970" ht="26.25" customHeight="1"/>
    <row r="7971" ht="26.25" customHeight="1"/>
    <row r="7972" ht="26.25" customHeight="1"/>
    <row r="7973" ht="26.25" customHeight="1"/>
    <row r="7974" ht="26.25" customHeight="1"/>
    <row r="7975" ht="26.25" customHeight="1"/>
    <row r="7976" ht="26.25" customHeight="1"/>
    <row r="7977" ht="26.25" customHeight="1"/>
    <row r="7978" ht="26.25" customHeight="1"/>
    <row r="7979" ht="26.25" customHeight="1"/>
    <row r="7980" ht="26.25" customHeight="1"/>
    <row r="7981" ht="26.25" customHeight="1"/>
    <row r="7982" ht="26.25" customHeight="1"/>
    <row r="7983" ht="26.25" customHeight="1"/>
    <row r="7984" ht="26.25" customHeight="1"/>
    <row r="7985" ht="26.25" customHeight="1"/>
    <row r="7986" ht="26.25" customHeight="1"/>
    <row r="7987" ht="26.25" customHeight="1"/>
    <row r="7988" ht="26.25" customHeight="1"/>
    <row r="7989" ht="26.25" customHeight="1"/>
    <row r="7990" ht="26.25" customHeight="1"/>
    <row r="7991" ht="26.25" customHeight="1"/>
    <row r="7992" ht="26.25" customHeight="1"/>
    <row r="7993" ht="26.25" customHeight="1"/>
    <row r="7994" ht="26.25" customHeight="1"/>
    <row r="7995" ht="26.25" customHeight="1"/>
    <row r="7996" ht="26.25" customHeight="1"/>
    <row r="7997" ht="26.25" customHeight="1"/>
    <row r="7998" ht="26.25" customHeight="1"/>
    <row r="7999" ht="26.25" customHeight="1"/>
    <row r="8000" ht="26.25" customHeight="1"/>
    <row r="8001" ht="26.25" customHeight="1"/>
    <row r="8002" ht="26.25" customHeight="1"/>
    <row r="8003" ht="26.25" customHeight="1"/>
    <row r="8004" ht="26.25" customHeight="1"/>
    <row r="8005" ht="26.25" customHeight="1"/>
    <row r="8006" ht="26.25" customHeight="1"/>
    <row r="8007" ht="26.25" customHeight="1"/>
    <row r="8008" ht="26.25" customHeight="1"/>
    <row r="8009" ht="26.25" customHeight="1"/>
    <row r="8010" ht="26.25" customHeight="1"/>
    <row r="8011" ht="26.25" customHeight="1"/>
    <row r="8012" ht="26.25" customHeight="1"/>
    <row r="8013" ht="26.25" customHeight="1"/>
    <row r="8014" ht="26.25" customHeight="1"/>
    <row r="8015" ht="26.25" customHeight="1"/>
    <row r="8016" ht="26.25" customHeight="1"/>
    <row r="8017" ht="26.25" customHeight="1"/>
    <row r="8018" ht="26.25" customHeight="1"/>
    <row r="8019" ht="26.25" customHeight="1"/>
    <row r="8020" ht="26.25" customHeight="1"/>
    <row r="8021" ht="26.25" customHeight="1"/>
    <row r="8022" ht="26.25" customHeight="1"/>
    <row r="8023" ht="26.25" customHeight="1"/>
    <row r="8024" ht="26.25" customHeight="1"/>
    <row r="8025" ht="26.25" customHeight="1"/>
    <row r="8026" ht="26.25" customHeight="1"/>
    <row r="8027" ht="26.25" customHeight="1"/>
    <row r="8028" ht="26.25" customHeight="1"/>
    <row r="8029" ht="26.25" customHeight="1"/>
    <row r="8030" ht="26.25" customHeight="1"/>
    <row r="8031" ht="26.25" customHeight="1"/>
    <row r="8032" ht="26.25" customHeight="1"/>
    <row r="8033" ht="26.25" customHeight="1"/>
    <row r="8034" ht="26.25" customHeight="1"/>
    <row r="8035" ht="26.25" customHeight="1"/>
    <row r="8036" ht="26.25" customHeight="1"/>
    <row r="8037" ht="26.25" customHeight="1"/>
    <row r="8038" ht="26.25" customHeight="1"/>
    <row r="8039" ht="26.25" customHeight="1"/>
    <row r="8040" ht="26.25" customHeight="1"/>
    <row r="8041" ht="26.25" customHeight="1"/>
    <row r="8042" ht="26.25" customHeight="1"/>
    <row r="8043" ht="26.25" customHeight="1"/>
    <row r="8044" ht="26.25" customHeight="1"/>
    <row r="8045" ht="26.25" customHeight="1"/>
    <row r="8046" ht="26.25" customHeight="1"/>
    <row r="8047" ht="26.25" customHeight="1"/>
    <row r="8048" ht="26.25" customHeight="1"/>
    <row r="8049" ht="26.25" customHeight="1"/>
    <row r="8050" ht="26.25" customHeight="1"/>
    <row r="8051" ht="26.25" customHeight="1"/>
    <row r="8052" ht="26.25" customHeight="1"/>
    <row r="8053" ht="26.25" customHeight="1"/>
    <row r="8054" ht="26.25" customHeight="1"/>
    <row r="8055" ht="26.25" customHeight="1"/>
    <row r="8056" ht="26.25" customHeight="1"/>
    <row r="8057" ht="26.25" customHeight="1"/>
    <row r="8058" ht="26.25" customHeight="1"/>
    <row r="8059" ht="26.25" customHeight="1"/>
    <row r="8060" ht="26.25" customHeight="1"/>
    <row r="8061" ht="26.25" customHeight="1"/>
    <row r="8062" ht="26.25" customHeight="1"/>
    <row r="8063" ht="26.25" customHeight="1"/>
    <row r="8064" ht="26.25" customHeight="1"/>
    <row r="8065" ht="26.25" customHeight="1"/>
    <row r="8066" ht="26.25" customHeight="1"/>
    <row r="8067" ht="26.25" customHeight="1"/>
    <row r="8068" ht="26.25" customHeight="1"/>
    <row r="8069" ht="26.25" customHeight="1"/>
    <row r="8070" ht="26.25" customHeight="1"/>
    <row r="8071" ht="26.25" customHeight="1"/>
    <row r="8072" ht="26.25" customHeight="1"/>
    <row r="8073" ht="26.25" customHeight="1"/>
    <row r="8074" ht="26.25" customHeight="1"/>
    <row r="8075" ht="26.25" customHeight="1"/>
    <row r="8076" ht="26.25" customHeight="1"/>
    <row r="8077" ht="26.25" customHeight="1"/>
    <row r="8078" ht="26.25" customHeight="1"/>
    <row r="8079" ht="26.25" customHeight="1"/>
    <row r="8080" ht="26.25" customHeight="1"/>
    <row r="8081" ht="26.25" customHeight="1"/>
    <row r="8082" ht="26.25" customHeight="1"/>
    <row r="8083" ht="26.25" customHeight="1"/>
    <row r="8084" ht="26.25" customHeight="1"/>
    <row r="8085" ht="26.25" customHeight="1"/>
    <row r="8086" ht="26.25" customHeight="1"/>
    <row r="8087" ht="26.25" customHeight="1"/>
    <row r="8088" ht="26.25" customHeight="1"/>
    <row r="8089" ht="26.25" customHeight="1"/>
    <row r="8090" ht="26.25" customHeight="1"/>
    <row r="8091" ht="26.25" customHeight="1"/>
    <row r="8092" ht="26.25" customHeight="1"/>
    <row r="8093" ht="26.25" customHeight="1"/>
    <row r="8094" ht="26.25" customHeight="1"/>
    <row r="8095" ht="26.25" customHeight="1"/>
    <row r="8096" ht="26.25" customHeight="1"/>
    <row r="8097" ht="26.25" customHeight="1"/>
    <row r="8098" ht="26.25" customHeight="1"/>
    <row r="8099" ht="26.25" customHeight="1"/>
    <row r="8100" ht="26.25" customHeight="1"/>
    <row r="8101" ht="26.25" customHeight="1"/>
    <row r="8102" ht="26.25" customHeight="1"/>
    <row r="8103" ht="26.25" customHeight="1"/>
    <row r="8104" ht="26.25" customHeight="1"/>
    <row r="8105" ht="26.25" customHeight="1"/>
    <row r="8106" ht="26.25" customHeight="1"/>
    <row r="8107" ht="26.25" customHeight="1"/>
    <row r="8108" ht="26.25" customHeight="1"/>
    <row r="8109" ht="26.25" customHeight="1"/>
    <row r="8110" ht="26.25" customHeight="1"/>
    <row r="8111" ht="26.25" customHeight="1"/>
    <row r="8112" ht="26.25" customHeight="1"/>
    <row r="8113" ht="26.25" customHeight="1"/>
    <row r="8114" ht="26.25" customHeight="1"/>
    <row r="8115" ht="26.25" customHeight="1"/>
    <row r="8116" ht="26.25" customHeight="1"/>
    <row r="8117" ht="26.25" customHeight="1"/>
    <row r="8118" ht="26.25" customHeight="1"/>
    <row r="8119" ht="26.25" customHeight="1"/>
    <row r="8120" ht="26.25" customHeight="1"/>
    <row r="8121" ht="26.25" customHeight="1"/>
    <row r="8122" ht="26.25" customHeight="1"/>
    <row r="8123" ht="26.25" customHeight="1"/>
    <row r="8124" ht="26.25" customHeight="1"/>
    <row r="8125" ht="26.25" customHeight="1"/>
    <row r="8126" ht="26.25" customHeight="1"/>
    <row r="8127" ht="26.25" customHeight="1"/>
    <row r="8128" ht="26.25" customHeight="1"/>
    <row r="8129" ht="26.25" customHeight="1"/>
    <row r="8130" ht="26.25" customHeight="1"/>
    <row r="8131" ht="26.25" customHeight="1"/>
    <row r="8132" ht="26.25" customHeight="1"/>
    <row r="8133" ht="26.25" customHeight="1"/>
    <row r="8134" ht="26.25" customHeight="1"/>
    <row r="8135" ht="26.25" customHeight="1"/>
    <row r="8136" ht="26.25" customHeight="1"/>
    <row r="8137" ht="26.25" customHeight="1"/>
    <row r="8138" ht="26.25" customHeight="1"/>
    <row r="8139" ht="26.25" customHeight="1"/>
    <row r="8140" ht="26.25" customHeight="1"/>
    <row r="8141" ht="26.25" customHeight="1"/>
    <row r="8142" ht="26.25" customHeight="1"/>
    <row r="8143" ht="26.25" customHeight="1"/>
    <row r="8144" ht="26.25" customHeight="1"/>
    <row r="8145" ht="26.25" customHeight="1"/>
    <row r="8146" ht="26.25" customHeight="1"/>
    <row r="8147" ht="26.25" customHeight="1"/>
    <row r="8148" ht="26.25" customHeight="1"/>
    <row r="8149" ht="26.25" customHeight="1"/>
    <row r="8150" ht="26.25" customHeight="1"/>
    <row r="8151" ht="26.25" customHeight="1"/>
    <row r="8152" ht="26.25" customHeight="1"/>
    <row r="8153" ht="26.25" customHeight="1"/>
    <row r="8154" ht="26.25" customHeight="1"/>
    <row r="8155" ht="26.25" customHeight="1"/>
    <row r="8156" ht="26.25" customHeight="1"/>
    <row r="8157" ht="26.25" customHeight="1"/>
    <row r="8158" ht="26.25" customHeight="1"/>
    <row r="8159" ht="26.25" customHeight="1"/>
    <row r="8160" ht="26.25" customHeight="1"/>
    <row r="8161" ht="26.25" customHeight="1"/>
    <row r="8162" ht="26.25" customHeight="1"/>
    <row r="8163" ht="26.25" customHeight="1"/>
    <row r="8164" ht="26.25" customHeight="1"/>
    <row r="8165" ht="26.25" customHeight="1"/>
    <row r="8166" ht="26.25" customHeight="1"/>
    <row r="8167" ht="26.25" customHeight="1"/>
    <row r="8168" ht="26.25" customHeight="1"/>
    <row r="8169" ht="26.25" customHeight="1"/>
    <row r="8170" ht="26.25" customHeight="1"/>
    <row r="8171" ht="26.25" customHeight="1"/>
    <row r="8172" ht="26.25" customHeight="1"/>
    <row r="8173" ht="26.25" customHeight="1"/>
    <row r="8174" ht="26.25" customHeight="1"/>
    <row r="8175" ht="26.25" customHeight="1"/>
    <row r="8176" ht="26.25" customHeight="1"/>
    <row r="8177" ht="26.25" customHeight="1"/>
    <row r="8178" ht="26.25" customHeight="1"/>
    <row r="8179" ht="26.25" customHeight="1"/>
    <row r="8180" ht="26.25" customHeight="1"/>
    <row r="8181" ht="26.25" customHeight="1"/>
    <row r="8182" ht="26.25" customHeight="1"/>
    <row r="8183" ht="26.25" customHeight="1"/>
    <row r="8184" ht="26.25" customHeight="1"/>
    <row r="8185" ht="26.25" customHeight="1"/>
    <row r="8186" ht="26.25" customHeight="1"/>
    <row r="8187" ht="26.25" customHeight="1"/>
    <row r="8188" ht="26.25" customHeight="1"/>
    <row r="8189" ht="26.25" customHeight="1"/>
    <row r="8190" ht="26.25" customHeight="1"/>
    <row r="8191" ht="26.25" customHeight="1"/>
    <row r="8192" ht="26.25" customHeight="1"/>
    <row r="8193" ht="26.25" customHeight="1"/>
    <row r="8194" ht="26.25" customHeight="1"/>
    <row r="8195" ht="26.25" customHeight="1"/>
    <row r="8196" ht="26.25" customHeight="1"/>
    <row r="8197" ht="26.25" customHeight="1"/>
    <row r="8198" ht="26.25" customHeight="1"/>
    <row r="8199" ht="26.25" customHeight="1"/>
    <row r="8200" ht="26.25" customHeight="1"/>
    <row r="8201" ht="26.25" customHeight="1"/>
    <row r="8202" ht="26.25" customHeight="1"/>
    <row r="8203" ht="26.25" customHeight="1"/>
    <row r="8204" ht="26.25" customHeight="1"/>
    <row r="8205" ht="26.25" customHeight="1"/>
    <row r="8206" ht="26.25" customHeight="1"/>
    <row r="8207" ht="26.25" customHeight="1"/>
    <row r="8208" ht="26.25" customHeight="1"/>
    <row r="8209" ht="26.25" customHeight="1"/>
    <row r="8210" ht="26.25" customHeight="1"/>
    <row r="8211" ht="26.25" customHeight="1"/>
    <row r="8212" ht="26.25" customHeight="1"/>
    <row r="8213" ht="26.25" customHeight="1"/>
    <row r="8214" ht="26.25" customHeight="1"/>
    <row r="8215" ht="26.25" customHeight="1"/>
    <row r="8216" ht="26.25" customHeight="1"/>
    <row r="8217" ht="26.25" customHeight="1"/>
    <row r="8218" ht="26.25" customHeight="1"/>
    <row r="8219" ht="26.25" customHeight="1"/>
    <row r="8220" ht="26.25" customHeight="1"/>
    <row r="8221" ht="26.25" customHeight="1"/>
    <row r="8222" ht="26.25" customHeight="1"/>
    <row r="8223" ht="26.25" customHeight="1"/>
    <row r="8224" ht="26.25" customHeight="1"/>
    <row r="8225" ht="26.25" customHeight="1"/>
    <row r="8226" ht="26.25" customHeight="1"/>
    <row r="8227" ht="26.25" customHeight="1"/>
    <row r="8228" ht="26.25" customHeight="1"/>
    <row r="8229" ht="26.25" customHeight="1"/>
    <row r="8230" ht="26.25" customHeight="1"/>
    <row r="8231" ht="26.25" customHeight="1"/>
    <row r="8232" ht="26.25" customHeight="1"/>
    <row r="8233" ht="26.25" customHeight="1"/>
    <row r="8234" ht="26.25" customHeight="1"/>
    <row r="8235" ht="26.25" customHeight="1"/>
    <row r="8236" ht="26.25" customHeight="1"/>
    <row r="8237" ht="26.25" customHeight="1"/>
    <row r="8238" ht="26.25" customHeight="1"/>
    <row r="8239" ht="26.25" customHeight="1"/>
    <row r="8240" ht="26.25" customHeight="1"/>
    <row r="8241" ht="26.25" customHeight="1"/>
    <row r="8242" ht="26.25" customHeight="1"/>
    <row r="8243" ht="26.25" customHeight="1"/>
    <row r="8244" ht="26.25" customHeight="1"/>
    <row r="8245" ht="26.25" customHeight="1"/>
    <row r="8246" ht="26.25" customHeight="1"/>
    <row r="8247" ht="26.25" customHeight="1"/>
    <row r="8248" ht="26.25" customHeight="1"/>
    <row r="8249" ht="26.25" customHeight="1"/>
    <row r="8250" ht="26.25" customHeight="1"/>
    <row r="8251" ht="26.25" customHeight="1"/>
    <row r="8252" ht="26.25" customHeight="1"/>
    <row r="8253" ht="26.25" customHeight="1"/>
    <row r="8254" ht="26.25" customHeight="1"/>
    <row r="8255" ht="26.25" customHeight="1"/>
    <row r="8256" ht="26.25" customHeight="1"/>
    <row r="8257" ht="26.25" customHeight="1"/>
    <row r="8258" ht="26.25" customHeight="1"/>
    <row r="8259" ht="26.25" customHeight="1"/>
    <row r="8260" ht="26.25" customHeight="1"/>
    <row r="8261" ht="26.25" customHeight="1"/>
    <row r="8262" ht="26.25" customHeight="1"/>
    <row r="8263" ht="26.25" customHeight="1"/>
    <row r="8264" ht="26.25" customHeight="1"/>
    <row r="8265" ht="26.25" customHeight="1"/>
    <row r="8266" ht="26.25" customHeight="1"/>
    <row r="8267" ht="26.25" customHeight="1"/>
    <row r="8268" ht="26.25" customHeight="1"/>
    <row r="8269" ht="26.25" customHeight="1"/>
    <row r="8270" ht="26.25" customHeight="1"/>
    <row r="8271" ht="26.25" customHeight="1"/>
    <row r="8272" ht="26.25" customHeight="1"/>
    <row r="8273" ht="26.25" customHeight="1"/>
    <row r="8274" ht="26.25" customHeight="1"/>
    <row r="8275" ht="26.25" customHeight="1"/>
    <row r="8276" ht="26.25" customHeight="1"/>
    <row r="8277" ht="26.25" customHeight="1"/>
    <row r="8278" ht="26.25" customHeight="1"/>
    <row r="8279" ht="26.25" customHeight="1"/>
    <row r="8280" ht="26.25" customHeight="1"/>
    <row r="8281" ht="26.25" customHeight="1"/>
    <row r="8282" ht="26.25" customHeight="1"/>
    <row r="8283" ht="26.25" customHeight="1"/>
    <row r="8284" ht="26.25" customHeight="1"/>
    <row r="8285" ht="26.25" customHeight="1"/>
    <row r="8286" ht="26.25" customHeight="1"/>
    <row r="8287" ht="26.25" customHeight="1"/>
    <row r="8288" ht="26.25" customHeight="1"/>
    <row r="8289" ht="26.25" customHeight="1"/>
    <row r="8290" ht="26.25" customHeight="1"/>
    <row r="8291" ht="26.25" customHeight="1"/>
    <row r="8292" ht="26.25" customHeight="1"/>
    <row r="8293" ht="26.25" customHeight="1"/>
    <row r="8294" ht="26.25" customHeight="1"/>
    <row r="8295" ht="26.25" customHeight="1"/>
    <row r="8296" ht="26.25" customHeight="1"/>
    <row r="8297" ht="26.25" customHeight="1"/>
    <row r="8298" ht="26.25" customHeight="1"/>
    <row r="8299" ht="26.25" customHeight="1"/>
    <row r="8300" ht="26.25" customHeight="1"/>
    <row r="8301" ht="26.25" customHeight="1"/>
    <row r="8302" ht="26.25" customHeight="1"/>
    <row r="8303" ht="26.25" customHeight="1"/>
    <row r="8304" ht="26.25" customHeight="1"/>
    <row r="8305" ht="26.25" customHeight="1"/>
    <row r="8306" ht="26.25" customHeight="1"/>
    <row r="8307" ht="26.25" customHeight="1"/>
    <row r="8308" ht="26.25" customHeight="1"/>
    <row r="8309" ht="26.25" customHeight="1"/>
    <row r="8310" ht="26.25" customHeight="1"/>
    <row r="8311" ht="26.25" customHeight="1"/>
    <row r="8312" ht="26.25" customHeight="1"/>
    <row r="8313" ht="26.25" customHeight="1"/>
    <row r="8314" ht="26.25" customHeight="1"/>
    <row r="8315" ht="26.25" customHeight="1"/>
    <row r="8316" ht="26.25" customHeight="1"/>
    <row r="8317" ht="26.25" customHeight="1"/>
    <row r="8318" ht="26.25" customHeight="1"/>
    <row r="8319" ht="26.25" customHeight="1"/>
    <row r="8320" ht="26.25" customHeight="1"/>
    <row r="8321" ht="26.25" customHeight="1"/>
    <row r="8322" ht="26.25" customHeight="1"/>
    <row r="8323" ht="26.25" customHeight="1"/>
    <row r="8324" ht="26.25" customHeight="1"/>
    <row r="8325" ht="26.25" customHeight="1"/>
    <row r="8326" ht="26.25" customHeight="1"/>
    <row r="8327" ht="26.25" customHeight="1"/>
    <row r="8328" ht="26.25" customHeight="1"/>
    <row r="8329" ht="26.25" customHeight="1"/>
    <row r="8330" ht="26.25" customHeight="1"/>
    <row r="8331" ht="26.25" customHeight="1"/>
    <row r="8332" ht="26.25" customHeight="1"/>
    <row r="8333" ht="26.25" customHeight="1"/>
    <row r="8334" ht="26.25" customHeight="1"/>
    <row r="8335" ht="26.25" customHeight="1"/>
    <row r="8336" ht="26.25" customHeight="1"/>
    <row r="8337" ht="26.25" customHeight="1"/>
    <row r="8338" ht="26.25" customHeight="1"/>
    <row r="8339" ht="26.25" customHeight="1"/>
    <row r="8340" ht="26.25" customHeight="1"/>
    <row r="8341" ht="26.25" customHeight="1"/>
    <row r="8342" ht="26.25" customHeight="1"/>
    <row r="8343" ht="26.25" customHeight="1"/>
    <row r="8344" ht="26.25" customHeight="1"/>
    <row r="8345" ht="26.25" customHeight="1"/>
    <row r="8346" ht="26.25" customHeight="1"/>
    <row r="8347" ht="26.25" customHeight="1"/>
    <row r="8348" ht="26.25" customHeight="1"/>
    <row r="8349" ht="26.25" customHeight="1"/>
    <row r="8350" ht="26.25" customHeight="1"/>
    <row r="8351" ht="26.25" customHeight="1"/>
    <row r="8352" ht="26.25" customHeight="1"/>
    <row r="8353" ht="26.25" customHeight="1"/>
    <row r="8354" ht="26.25" customHeight="1"/>
    <row r="8355" ht="26.25" customHeight="1"/>
    <row r="8356" ht="26.25" customHeight="1"/>
    <row r="8357" ht="26.25" customHeight="1"/>
    <row r="8358" ht="26.25" customHeight="1"/>
    <row r="8359" ht="26.25" customHeight="1"/>
    <row r="8360" ht="26.25" customHeight="1"/>
    <row r="8361" ht="26.25" customHeight="1"/>
    <row r="8362" ht="26.25" customHeight="1"/>
    <row r="8363" ht="26.25" customHeight="1"/>
    <row r="8364" ht="26.25" customHeight="1"/>
    <row r="8365" ht="26.25" customHeight="1"/>
    <row r="8366" ht="26.25" customHeight="1"/>
    <row r="8367" ht="26.25" customHeight="1"/>
    <row r="8368" ht="26.25" customHeight="1"/>
    <row r="8369" ht="26.25" customHeight="1"/>
    <row r="8370" ht="26.25" customHeight="1"/>
    <row r="8371" ht="26.25" customHeight="1"/>
    <row r="8372" ht="26.25" customHeight="1"/>
    <row r="8373" ht="26.25" customHeight="1"/>
    <row r="8374" ht="26.25" customHeight="1"/>
    <row r="8375" ht="26.25" customHeight="1"/>
    <row r="8376" ht="26.25" customHeight="1"/>
    <row r="8377" ht="26.25" customHeight="1"/>
    <row r="8378" ht="26.25" customHeight="1"/>
    <row r="8379" ht="26.25" customHeight="1"/>
    <row r="8380" ht="26.25" customHeight="1"/>
    <row r="8381" ht="26.25" customHeight="1"/>
    <row r="8382" ht="26.25" customHeight="1"/>
    <row r="8383" ht="26.25" customHeight="1"/>
    <row r="8384" ht="26.25" customHeight="1"/>
    <row r="8385" ht="26.25" customHeight="1"/>
    <row r="8386" ht="26.25" customHeight="1"/>
    <row r="8387" ht="26.25" customHeight="1"/>
    <row r="8388" ht="26.25" customHeight="1"/>
    <row r="8389" ht="26.25" customHeight="1"/>
    <row r="8390" ht="26.25" customHeight="1"/>
    <row r="8391" ht="26.25" customHeight="1"/>
    <row r="8392" ht="26.25" customHeight="1"/>
    <row r="8393" ht="26.25" customHeight="1"/>
    <row r="8394" ht="26.25" customHeight="1"/>
    <row r="8395" ht="26.25" customHeight="1"/>
    <row r="8396" ht="26.25" customHeight="1"/>
    <row r="8397" ht="26.25" customHeight="1"/>
    <row r="8398" ht="26.25" customHeight="1"/>
    <row r="8399" ht="26.25" customHeight="1"/>
    <row r="8400" ht="26.25" customHeight="1"/>
    <row r="8401" ht="26.25" customHeight="1"/>
    <row r="8402" ht="26.25" customHeight="1"/>
    <row r="8403" ht="26.25" customHeight="1"/>
    <row r="8404" ht="26.25" customHeight="1"/>
    <row r="8405" ht="26.25" customHeight="1"/>
    <row r="8406" ht="26.25" customHeight="1"/>
    <row r="8407" ht="26.25" customHeight="1"/>
    <row r="8408" ht="26.25" customHeight="1"/>
    <row r="8409" ht="26.25" customHeight="1"/>
    <row r="8410" ht="26.25" customHeight="1"/>
    <row r="8411" ht="26.25" customHeight="1"/>
    <row r="8412" ht="26.25" customHeight="1"/>
    <row r="8413" ht="26.25" customHeight="1"/>
    <row r="8414" ht="26.25" customHeight="1"/>
    <row r="8415" ht="26.25" customHeight="1"/>
    <row r="8416" ht="26.25" customHeight="1"/>
    <row r="8417" ht="26.25" customHeight="1"/>
    <row r="8418" ht="26.25" customHeight="1"/>
    <row r="8419" ht="26.25" customHeight="1"/>
    <row r="8420" ht="26.25" customHeight="1"/>
    <row r="8421" ht="26.25" customHeight="1"/>
    <row r="8422" ht="26.25" customHeight="1"/>
    <row r="8423" ht="26.25" customHeight="1"/>
    <row r="8424" ht="26.25" customHeight="1"/>
    <row r="8425" ht="26.25" customHeight="1"/>
    <row r="8426" ht="26.25" customHeight="1"/>
    <row r="8427" ht="26.25" customHeight="1"/>
    <row r="8428" ht="26.25" customHeight="1"/>
    <row r="8429" ht="26.25" customHeight="1"/>
    <row r="8430" ht="26.25" customHeight="1"/>
    <row r="8431" ht="26.25" customHeight="1"/>
    <row r="8432" ht="26.25" customHeight="1"/>
    <row r="8433" ht="26.25" customHeight="1"/>
    <row r="8434" ht="26.25" customHeight="1"/>
    <row r="8435" ht="26.25" customHeight="1"/>
    <row r="8436" ht="26.25" customHeight="1"/>
    <row r="8437" ht="26.25" customHeight="1"/>
    <row r="8438" ht="26.25" customHeight="1"/>
    <row r="8439" ht="26.25" customHeight="1"/>
    <row r="8440" ht="26.25" customHeight="1"/>
    <row r="8441" ht="26.25" customHeight="1"/>
    <row r="8442" ht="26.25" customHeight="1"/>
    <row r="8443" ht="26.25" customHeight="1"/>
    <row r="8444" ht="26.25" customHeight="1"/>
    <row r="8445" ht="26.25" customHeight="1"/>
    <row r="8446" ht="26.25" customHeight="1"/>
    <row r="8447" ht="26.25" customHeight="1"/>
    <row r="8448" ht="26.25" customHeight="1"/>
    <row r="8449" ht="26.25" customHeight="1"/>
    <row r="8450" ht="26.25" customHeight="1"/>
    <row r="8451" ht="26.25" customHeight="1"/>
    <row r="8452" ht="26.25" customHeight="1"/>
    <row r="8453" ht="26.25" customHeight="1"/>
    <row r="8454" ht="26.25" customHeight="1"/>
    <row r="8455" ht="26.25" customHeight="1"/>
    <row r="8456" ht="26.25" customHeight="1"/>
    <row r="8457" ht="26.25" customHeight="1"/>
    <row r="8458" ht="26.25" customHeight="1"/>
    <row r="8459" ht="26.25" customHeight="1"/>
    <row r="8460" ht="26.25" customHeight="1"/>
    <row r="8461" ht="26.25" customHeight="1"/>
    <row r="8462" ht="26.25" customHeight="1"/>
    <row r="8463" ht="26.25" customHeight="1"/>
    <row r="8464" ht="26.25" customHeight="1"/>
    <row r="8465" ht="26.25" customHeight="1"/>
    <row r="8466" ht="26.25" customHeight="1"/>
    <row r="8467" ht="26.25" customHeight="1"/>
    <row r="8468" ht="26.25" customHeight="1"/>
    <row r="8469" ht="26.25" customHeight="1"/>
    <row r="8470" ht="26.25" customHeight="1"/>
    <row r="8471" ht="26.25" customHeight="1"/>
    <row r="8472" ht="26.25" customHeight="1"/>
    <row r="8473" ht="26.25" customHeight="1"/>
    <row r="8474" ht="26.25" customHeight="1"/>
    <row r="8475" ht="26.25" customHeight="1"/>
    <row r="8476" ht="26.25" customHeight="1"/>
    <row r="8477" ht="26.25" customHeight="1"/>
    <row r="8478" ht="26.25" customHeight="1"/>
    <row r="8479" ht="26.25" customHeight="1"/>
    <row r="8480" ht="26.25" customHeight="1"/>
    <row r="8481" ht="26.25" customHeight="1"/>
    <row r="8482" ht="26.25" customHeight="1"/>
    <row r="8483" ht="26.25" customHeight="1"/>
    <row r="8484" ht="26.25" customHeight="1"/>
    <row r="8485" ht="26.25" customHeight="1"/>
    <row r="8486" ht="26.25" customHeight="1"/>
    <row r="8487" ht="26.25" customHeight="1"/>
    <row r="8488" ht="26.25" customHeight="1"/>
    <row r="8489" ht="26.25" customHeight="1"/>
    <row r="8490" ht="26.25" customHeight="1"/>
    <row r="8491" ht="26.25" customHeight="1"/>
    <row r="8492" ht="26.25" customHeight="1"/>
    <row r="8493" ht="26.25" customHeight="1"/>
    <row r="8494" ht="26.25" customHeight="1"/>
    <row r="8495" ht="26.25" customHeight="1"/>
    <row r="8496" ht="26.25" customHeight="1"/>
    <row r="8497" ht="26.25" customHeight="1"/>
    <row r="8498" ht="26.25" customHeight="1"/>
    <row r="8499" ht="26.25" customHeight="1"/>
    <row r="8500" ht="26.25" customHeight="1"/>
    <row r="8501" ht="26.25" customHeight="1"/>
    <row r="8502" ht="26.25" customHeight="1"/>
    <row r="8503" ht="26.25" customHeight="1"/>
    <row r="8504" ht="26.25" customHeight="1"/>
    <row r="8505" ht="26.25" customHeight="1"/>
    <row r="8506" ht="26.25" customHeight="1"/>
    <row r="8507" ht="26.25" customHeight="1"/>
    <row r="8508" ht="26.25" customHeight="1"/>
    <row r="8509" ht="26.25" customHeight="1"/>
    <row r="8510" ht="26.25" customHeight="1"/>
    <row r="8511" ht="26.25" customHeight="1"/>
    <row r="8512" ht="26.25" customHeight="1"/>
    <row r="8513" ht="26.25" customHeight="1"/>
    <row r="8514" ht="26.25" customHeight="1"/>
    <row r="8515" ht="26.25" customHeight="1"/>
    <row r="8516" ht="26.25" customHeight="1"/>
    <row r="8517" ht="26.25" customHeight="1"/>
    <row r="8518" ht="26.25" customHeight="1"/>
    <row r="8519" ht="26.25" customHeight="1"/>
    <row r="8520" ht="26.25" customHeight="1"/>
    <row r="8521" ht="26.25" customHeight="1"/>
    <row r="8522" ht="26.25" customHeight="1"/>
    <row r="8523" ht="26.25" customHeight="1"/>
    <row r="8524" ht="26.25" customHeight="1"/>
    <row r="8525" ht="26.25" customHeight="1"/>
    <row r="8526" ht="26.25" customHeight="1"/>
    <row r="8527" ht="26.25" customHeight="1"/>
    <row r="8528" ht="26.25" customHeight="1"/>
    <row r="8529" ht="26.25" customHeight="1"/>
    <row r="8530" ht="26.25" customHeight="1"/>
    <row r="8531" ht="26.25" customHeight="1"/>
    <row r="8532" ht="26.25" customHeight="1"/>
    <row r="8533" ht="26.25" customHeight="1"/>
    <row r="8534" ht="26.25" customHeight="1"/>
    <row r="8535" ht="26.25" customHeight="1"/>
    <row r="8536" ht="26.25" customHeight="1"/>
    <row r="8537" ht="26.25" customHeight="1"/>
    <row r="8538" ht="26.25" customHeight="1"/>
    <row r="8539" ht="26.25" customHeight="1"/>
    <row r="8540" ht="26.25" customHeight="1"/>
    <row r="8541" ht="26.25" customHeight="1"/>
    <row r="8542" ht="26.25" customHeight="1"/>
    <row r="8543" ht="26.25" customHeight="1"/>
    <row r="8544" ht="26.25" customHeight="1"/>
    <row r="8545" ht="26.25" customHeight="1"/>
    <row r="8546" ht="26.25" customHeight="1"/>
    <row r="8547" ht="26.25" customHeight="1"/>
    <row r="8548" ht="26.25" customHeight="1"/>
    <row r="8549" ht="26.25" customHeight="1"/>
    <row r="8550" ht="26.25" customHeight="1"/>
    <row r="8551" ht="26.25" customHeight="1"/>
    <row r="8552" ht="26.25" customHeight="1"/>
    <row r="8553" ht="26.25" customHeight="1"/>
    <row r="8554" ht="26.25" customHeight="1"/>
    <row r="8555" ht="26.25" customHeight="1"/>
    <row r="8556" ht="26.25" customHeight="1"/>
    <row r="8557" ht="26.25" customHeight="1"/>
    <row r="8558" ht="26.25" customHeight="1"/>
    <row r="8559" ht="26.25" customHeight="1"/>
    <row r="8560" ht="26.25" customHeight="1"/>
    <row r="8561" ht="26.25" customHeight="1"/>
    <row r="8562" ht="26.25" customHeight="1"/>
    <row r="8563" ht="26.25" customHeight="1"/>
    <row r="8564" ht="26.25" customHeight="1"/>
    <row r="8565" ht="26.25" customHeight="1"/>
    <row r="8566" ht="26.25" customHeight="1"/>
    <row r="8567" ht="26.25" customHeight="1"/>
    <row r="8568" ht="26.25" customHeight="1"/>
    <row r="8569" ht="26.25" customHeight="1"/>
    <row r="8570" ht="26.25" customHeight="1"/>
    <row r="8571" ht="26.25" customHeight="1"/>
    <row r="8572" ht="26.25" customHeight="1"/>
    <row r="8573" ht="26.25" customHeight="1"/>
    <row r="8574" ht="26.25" customHeight="1"/>
    <row r="8575" ht="26.25" customHeight="1"/>
    <row r="8576" ht="26.25" customHeight="1"/>
    <row r="8577" ht="26.25" customHeight="1"/>
    <row r="8578" ht="26.25" customHeight="1"/>
    <row r="8579" ht="26.25" customHeight="1"/>
    <row r="8580" ht="26.25" customHeight="1"/>
    <row r="8581" ht="26.25" customHeight="1"/>
    <row r="8582" ht="26.25" customHeight="1"/>
    <row r="8583" ht="26.25" customHeight="1"/>
    <row r="8584" ht="26.25" customHeight="1"/>
    <row r="8585" ht="26.25" customHeight="1"/>
    <row r="8586" ht="26.25" customHeight="1"/>
    <row r="8587" ht="26.25" customHeight="1"/>
    <row r="8588" ht="26.25" customHeight="1"/>
    <row r="8589" ht="26.25" customHeight="1"/>
    <row r="8590" ht="26.25" customHeight="1"/>
    <row r="8591" ht="26.25" customHeight="1"/>
    <row r="8592" ht="26.25" customHeight="1"/>
    <row r="8593" ht="26.25" customHeight="1"/>
    <row r="8594" ht="26.25" customHeight="1"/>
    <row r="8595" ht="26.25" customHeight="1"/>
    <row r="8596" ht="26.25" customHeight="1"/>
    <row r="8597" ht="26.25" customHeight="1"/>
    <row r="8598" ht="26.25" customHeight="1"/>
    <row r="8599" ht="26.25" customHeight="1"/>
    <row r="8600" ht="26.25" customHeight="1"/>
    <row r="8601" ht="26.25" customHeight="1"/>
    <row r="8602" ht="26.25" customHeight="1"/>
    <row r="8603" ht="26.25" customHeight="1"/>
    <row r="8604" ht="26.25" customHeight="1"/>
    <row r="8605" ht="26.25" customHeight="1"/>
    <row r="8606" ht="26.25" customHeight="1"/>
    <row r="8607" ht="26.25" customHeight="1"/>
    <row r="8608" ht="26.25" customHeight="1"/>
    <row r="8609" ht="26.25" customHeight="1"/>
    <row r="8610" ht="26.25" customHeight="1"/>
    <row r="8611" ht="26.25" customHeight="1"/>
    <row r="8612" ht="26.25" customHeight="1"/>
    <row r="8613" ht="26.25" customHeight="1"/>
    <row r="8614" ht="26.25" customHeight="1"/>
    <row r="8615" ht="26.25" customHeight="1"/>
    <row r="8616" ht="26.25" customHeight="1"/>
    <row r="8617" ht="26.25" customHeight="1"/>
    <row r="8618" ht="26.25" customHeight="1"/>
    <row r="8619" ht="26.25" customHeight="1"/>
    <row r="8620" ht="26.25" customHeight="1"/>
    <row r="8621" ht="26.25" customHeight="1"/>
    <row r="8622" ht="26.25" customHeight="1"/>
    <row r="8623" ht="26.25" customHeight="1"/>
    <row r="8624" ht="26.25" customHeight="1"/>
    <row r="8625" ht="26.25" customHeight="1"/>
    <row r="8626" ht="26.25" customHeight="1"/>
    <row r="8627" ht="26.25" customHeight="1"/>
    <row r="8628" ht="26.25" customHeight="1"/>
    <row r="8629" ht="26.25" customHeight="1"/>
    <row r="8630" ht="26.25" customHeight="1"/>
    <row r="8631" ht="26.25" customHeight="1"/>
    <row r="8632" ht="26.25" customHeight="1"/>
    <row r="8633" ht="26.25" customHeight="1"/>
    <row r="8634" ht="26.25" customHeight="1"/>
    <row r="8635" ht="26.25" customHeight="1"/>
    <row r="8636" ht="26.25" customHeight="1"/>
    <row r="8637" ht="26.25" customHeight="1"/>
    <row r="8638" ht="26.25" customHeight="1"/>
    <row r="8639" ht="26.25" customHeight="1"/>
    <row r="8640" ht="26.25" customHeight="1"/>
    <row r="8641" ht="26.25" customHeight="1"/>
    <row r="8642" ht="26.25" customHeight="1"/>
    <row r="8643" ht="26.25" customHeight="1"/>
    <row r="8644" ht="26.25" customHeight="1"/>
    <row r="8645" ht="26.25" customHeight="1"/>
    <row r="8646" ht="26.25" customHeight="1"/>
    <row r="8647" ht="26.25" customHeight="1"/>
    <row r="8648" ht="26.25" customHeight="1"/>
    <row r="8649" ht="26.25" customHeight="1"/>
    <row r="8650" ht="26.25" customHeight="1"/>
    <row r="8651" ht="26.25" customHeight="1"/>
    <row r="8652" ht="26.25" customHeight="1"/>
    <row r="8653" ht="26.25" customHeight="1"/>
    <row r="8654" ht="26.25" customHeight="1"/>
    <row r="8655" ht="26.25" customHeight="1"/>
    <row r="8656" ht="26.25" customHeight="1"/>
    <row r="8657" ht="26.25" customHeight="1"/>
    <row r="8658" ht="26.25" customHeight="1"/>
    <row r="8659" ht="26.25" customHeight="1"/>
    <row r="8660" ht="26.25" customHeight="1"/>
    <row r="8661" ht="26.25" customHeight="1"/>
    <row r="8662" ht="26.25" customHeight="1"/>
    <row r="8663" ht="26.25" customHeight="1"/>
    <row r="8664" ht="26.25" customHeight="1"/>
    <row r="8665" ht="26.25" customHeight="1"/>
    <row r="8666" ht="26.25" customHeight="1"/>
    <row r="8667" ht="26.25" customHeight="1"/>
    <row r="8668" ht="26.25" customHeight="1"/>
    <row r="8669" ht="26.25" customHeight="1"/>
    <row r="8670" ht="26.25" customHeight="1"/>
    <row r="8671" ht="26.25" customHeight="1"/>
    <row r="8672" ht="26.25" customHeight="1"/>
    <row r="8673" ht="26.25" customHeight="1"/>
    <row r="8674" ht="26.25" customHeight="1"/>
    <row r="8675" ht="26.25" customHeight="1"/>
    <row r="8676" ht="26.25" customHeight="1"/>
    <row r="8677" ht="26.25" customHeight="1"/>
    <row r="8678" ht="26.25" customHeight="1"/>
    <row r="8679" ht="26.25" customHeight="1"/>
    <row r="8680" ht="26.25" customHeight="1"/>
    <row r="8681" ht="26.25" customHeight="1"/>
    <row r="8682" ht="26.25" customHeight="1"/>
    <row r="8683" ht="26.25" customHeight="1"/>
    <row r="8684" ht="26.25" customHeight="1"/>
    <row r="8685" ht="26.25" customHeight="1"/>
    <row r="8686" ht="26.25" customHeight="1"/>
    <row r="8687" ht="26.25" customHeight="1"/>
    <row r="8688" ht="26.25" customHeight="1"/>
    <row r="8689" ht="26.25" customHeight="1"/>
    <row r="8690" ht="26.25" customHeight="1"/>
    <row r="8691" ht="26.25" customHeight="1"/>
    <row r="8692" ht="26.25" customHeight="1"/>
    <row r="8693" ht="26.25" customHeight="1"/>
    <row r="8694" ht="26.25" customHeight="1"/>
    <row r="8695" ht="26.25" customHeight="1"/>
    <row r="8696" ht="26.25" customHeight="1"/>
    <row r="8697" ht="26.25" customHeight="1"/>
    <row r="8698" ht="26.25" customHeight="1"/>
    <row r="8699" ht="26.25" customHeight="1"/>
    <row r="8700" ht="26.25" customHeight="1"/>
    <row r="8701" ht="26.25" customHeight="1"/>
    <row r="8702" ht="26.25" customHeight="1"/>
    <row r="8703" ht="26.25" customHeight="1"/>
    <row r="8704" ht="26.25" customHeight="1"/>
    <row r="8705" ht="26.25" customHeight="1"/>
    <row r="8706" ht="26.25" customHeight="1"/>
    <row r="8707" ht="26.25" customHeight="1"/>
    <row r="8708" ht="26.25" customHeight="1"/>
    <row r="8709" ht="26.25" customHeight="1"/>
    <row r="8710" ht="26.25" customHeight="1"/>
    <row r="8711" ht="26.25" customHeight="1"/>
    <row r="8712" ht="26.25" customHeight="1"/>
    <row r="8713" ht="26.25" customHeight="1"/>
    <row r="8714" ht="26.25" customHeight="1"/>
    <row r="8715" ht="26.25" customHeight="1"/>
    <row r="8716" ht="26.25" customHeight="1"/>
    <row r="8717" ht="26.25" customHeight="1"/>
    <row r="8718" ht="26.25" customHeight="1"/>
    <row r="8719" ht="26.25" customHeight="1"/>
    <row r="8720" ht="26.25" customHeight="1"/>
    <row r="8721" ht="26.25" customHeight="1"/>
    <row r="8722" ht="26.25" customHeight="1"/>
    <row r="8723" ht="26.25" customHeight="1"/>
    <row r="8724" ht="26.25" customHeight="1"/>
    <row r="8725" ht="26.25" customHeight="1"/>
    <row r="8726" ht="26.25" customHeight="1"/>
    <row r="8727" ht="26.25" customHeight="1"/>
    <row r="8728" ht="26.25" customHeight="1"/>
    <row r="8729" ht="26.25" customHeight="1"/>
    <row r="8730" ht="26.25" customHeight="1"/>
    <row r="8731" ht="26.25" customHeight="1"/>
    <row r="8732" ht="26.25" customHeight="1"/>
    <row r="8733" ht="26.25" customHeight="1"/>
    <row r="8734" ht="26.25" customHeight="1"/>
    <row r="8735" ht="26.25" customHeight="1"/>
    <row r="8736" ht="26.25" customHeight="1"/>
    <row r="8737" ht="26.25" customHeight="1"/>
    <row r="8738" ht="26.25" customHeight="1"/>
    <row r="8739" ht="26.25" customHeight="1"/>
    <row r="8740" ht="26.25" customHeight="1"/>
    <row r="8741" ht="26.25" customHeight="1"/>
    <row r="8742" ht="26.25" customHeight="1"/>
    <row r="8743" ht="26.25" customHeight="1"/>
    <row r="8744" ht="26.25" customHeight="1"/>
    <row r="8745" ht="26.25" customHeight="1"/>
    <row r="8746" ht="26.25" customHeight="1"/>
    <row r="8747" ht="26.25" customHeight="1"/>
    <row r="8748" ht="26.25" customHeight="1"/>
    <row r="8749" ht="26.25" customHeight="1"/>
    <row r="8750" ht="26.25" customHeight="1"/>
    <row r="8751" ht="26.25" customHeight="1"/>
    <row r="8752" ht="26.25" customHeight="1"/>
    <row r="8753" ht="26.25" customHeight="1"/>
    <row r="8754" ht="26.25" customHeight="1"/>
    <row r="8755" ht="26.25" customHeight="1"/>
    <row r="8756" ht="26.25" customHeight="1"/>
    <row r="8757" ht="26.25" customHeight="1"/>
    <row r="8758" ht="26.25" customHeight="1"/>
    <row r="8759" ht="26.25" customHeight="1"/>
    <row r="8760" ht="26.25" customHeight="1"/>
    <row r="8761" ht="26.25" customHeight="1"/>
    <row r="8762" ht="26.25" customHeight="1"/>
    <row r="8763" ht="26.25" customHeight="1"/>
    <row r="8764" ht="26.25" customHeight="1"/>
    <row r="8765" ht="26.25" customHeight="1"/>
    <row r="8766" ht="26.25" customHeight="1"/>
    <row r="8767" ht="26.25" customHeight="1"/>
    <row r="8768" ht="26.25" customHeight="1"/>
    <row r="8769" ht="26.25" customHeight="1"/>
    <row r="8770" ht="26.25" customHeight="1"/>
    <row r="8771" ht="26.25" customHeight="1"/>
    <row r="8772" ht="26.25" customHeight="1"/>
    <row r="8773" ht="26.25" customHeight="1"/>
    <row r="8774" ht="26.25" customHeight="1"/>
    <row r="8775" ht="26.25" customHeight="1"/>
    <row r="8776" ht="26.25" customHeight="1"/>
    <row r="8777" ht="26.25" customHeight="1"/>
    <row r="8778" ht="26.25" customHeight="1"/>
    <row r="8779" ht="26.25" customHeight="1"/>
    <row r="8780" ht="26.25" customHeight="1"/>
    <row r="8781" ht="26.25" customHeight="1"/>
    <row r="8782" ht="26.25" customHeight="1"/>
    <row r="8783" ht="26.25" customHeight="1"/>
    <row r="8784" ht="26.25" customHeight="1"/>
    <row r="8785" ht="26.25" customHeight="1"/>
    <row r="8786" ht="26.25" customHeight="1"/>
    <row r="8787" ht="26.25" customHeight="1"/>
    <row r="8788" ht="26.25" customHeight="1"/>
    <row r="8789" ht="26.25" customHeight="1"/>
    <row r="8790" ht="26.25" customHeight="1"/>
    <row r="8791" ht="26.25" customHeight="1"/>
    <row r="8792" ht="26.25" customHeight="1"/>
    <row r="8793" ht="26.25" customHeight="1"/>
    <row r="8794" ht="26.25" customHeight="1"/>
    <row r="8795" ht="26.25" customHeight="1"/>
    <row r="8796" ht="26.25" customHeight="1"/>
    <row r="8797" ht="26.25" customHeight="1"/>
    <row r="8798" ht="26.25" customHeight="1"/>
    <row r="8799" ht="26.25" customHeight="1"/>
    <row r="8800" ht="26.25" customHeight="1"/>
    <row r="8801" ht="26.25" customHeight="1"/>
    <row r="8802" ht="26.25" customHeight="1"/>
    <row r="8803" ht="26.25" customHeight="1"/>
    <row r="8804" ht="26.25" customHeight="1"/>
    <row r="8805" ht="26.25" customHeight="1"/>
    <row r="8806" ht="26.25" customHeight="1"/>
    <row r="8807" ht="26.25" customHeight="1"/>
    <row r="8808" ht="26.25" customHeight="1"/>
    <row r="8809" ht="26.25" customHeight="1"/>
    <row r="8810" ht="26.25" customHeight="1"/>
    <row r="8811" ht="26.25" customHeight="1"/>
    <row r="8812" ht="26.25" customHeight="1"/>
    <row r="8813" ht="26.25" customHeight="1"/>
    <row r="8814" ht="26.25" customHeight="1"/>
    <row r="8815" ht="26.25" customHeight="1"/>
    <row r="8816" ht="26.25" customHeight="1"/>
    <row r="8817" ht="26.25" customHeight="1"/>
    <row r="8818" ht="26.25" customHeight="1"/>
    <row r="8819" ht="26.25" customHeight="1"/>
    <row r="8820" ht="26.25" customHeight="1"/>
    <row r="8821" ht="26.25" customHeight="1"/>
    <row r="8822" ht="26.25" customHeight="1"/>
    <row r="8823" ht="26.25" customHeight="1"/>
    <row r="8824" ht="26.25" customHeight="1"/>
    <row r="8825" ht="26.25" customHeight="1"/>
    <row r="8826" ht="26.25" customHeight="1"/>
    <row r="8827" ht="26.25" customHeight="1"/>
    <row r="8828" ht="26.25" customHeight="1"/>
    <row r="8829" ht="26.25" customHeight="1"/>
    <row r="8830" ht="26.25" customHeight="1"/>
    <row r="8831" ht="26.25" customHeight="1"/>
    <row r="8832" ht="26.25" customHeight="1"/>
    <row r="8833" ht="26.25" customHeight="1"/>
    <row r="8834" ht="26.25" customHeight="1"/>
    <row r="8835" ht="26.25" customHeight="1"/>
    <row r="8836" ht="26.25" customHeight="1"/>
    <row r="8837" ht="26.25" customHeight="1"/>
    <row r="8838" ht="26.25" customHeight="1"/>
    <row r="8839" ht="26.25" customHeight="1"/>
    <row r="8840" ht="26.25" customHeight="1"/>
    <row r="8841" ht="26.25" customHeight="1"/>
    <row r="8842" ht="26.25" customHeight="1"/>
    <row r="8843" ht="26.25" customHeight="1"/>
    <row r="8844" ht="26.25" customHeight="1"/>
    <row r="8845" ht="26.25" customHeight="1"/>
    <row r="8846" ht="26.25" customHeight="1"/>
    <row r="8847" ht="26.25" customHeight="1"/>
    <row r="8848" ht="26.25" customHeight="1"/>
    <row r="8849" ht="26.25" customHeight="1"/>
    <row r="8850" ht="26.25" customHeight="1"/>
    <row r="8851" ht="26.25" customHeight="1"/>
    <row r="8852" ht="26.25" customHeight="1"/>
    <row r="8853" ht="26.25" customHeight="1"/>
    <row r="8854" ht="26.25" customHeight="1"/>
    <row r="8855" ht="26.25" customHeight="1"/>
    <row r="8856" ht="26.25" customHeight="1"/>
    <row r="8857" ht="26.25" customHeight="1"/>
    <row r="8858" ht="26.25" customHeight="1"/>
    <row r="8859" ht="26.25" customHeight="1"/>
    <row r="8860" ht="26.25" customHeight="1"/>
    <row r="8861" ht="26.25" customHeight="1"/>
    <row r="8862" ht="26.25" customHeight="1"/>
    <row r="8863" ht="26.25" customHeight="1"/>
    <row r="8864" ht="26.25" customHeight="1"/>
    <row r="8865" ht="26.25" customHeight="1"/>
    <row r="8866" ht="26.25" customHeight="1"/>
    <row r="8867" ht="26.25" customHeight="1"/>
    <row r="8868" ht="26.25" customHeight="1"/>
    <row r="8869" ht="26.25" customHeight="1"/>
    <row r="8870" ht="26.25" customHeight="1"/>
    <row r="8871" ht="26.25" customHeight="1"/>
    <row r="8872" ht="26.25" customHeight="1"/>
    <row r="8873" ht="26.25" customHeight="1"/>
    <row r="8874" ht="26.25" customHeight="1"/>
    <row r="8875" ht="26.25" customHeight="1"/>
    <row r="8876" ht="26.25" customHeight="1"/>
    <row r="8877" ht="26.25" customHeight="1"/>
    <row r="8878" ht="26.25" customHeight="1"/>
    <row r="8879" ht="26.25" customHeight="1"/>
    <row r="8880" ht="26.25" customHeight="1"/>
    <row r="8881" ht="26.25" customHeight="1"/>
    <row r="8882" ht="26.25" customHeight="1"/>
    <row r="8883" ht="26.25" customHeight="1"/>
    <row r="8884" ht="26.25" customHeight="1"/>
    <row r="8885" ht="26.25" customHeight="1"/>
    <row r="8886" ht="26.25" customHeight="1"/>
    <row r="8887" ht="26.25" customHeight="1"/>
    <row r="8888" ht="26.25" customHeight="1"/>
    <row r="8889" ht="26.25" customHeight="1"/>
    <row r="8890" ht="26.25" customHeight="1"/>
    <row r="8891" ht="26.25" customHeight="1"/>
    <row r="8892" ht="26.25" customHeight="1"/>
    <row r="8893" ht="26.25" customHeight="1"/>
    <row r="8894" ht="26.25" customHeight="1"/>
    <row r="8895" ht="26.25" customHeight="1"/>
    <row r="8896" ht="26.25" customHeight="1"/>
    <row r="8897" ht="26.25" customHeight="1"/>
    <row r="8898" ht="26.25" customHeight="1"/>
    <row r="8899" ht="26.25" customHeight="1"/>
    <row r="8900" ht="26.25" customHeight="1"/>
    <row r="8901" ht="26.25" customHeight="1"/>
    <row r="8902" ht="26.25" customHeight="1"/>
    <row r="8903" ht="26.25" customHeight="1"/>
    <row r="8904" ht="26.25" customHeight="1"/>
    <row r="8905" ht="26.25" customHeight="1"/>
    <row r="8906" ht="26.25" customHeight="1"/>
    <row r="8907" ht="26.25" customHeight="1"/>
    <row r="8908" ht="26.25" customHeight="1"/>
    <row r="8909" ht="26.25" customHeight="1"/>
    <row r="8910" ht="26.25" customHeight="1"/>
    <row r="8911" ht="26.25" customHeight="1"/>
    <row r="8912" ht="26.25" customHeight="1"/>
    <row r="8913" ht="26.25" customHeight="1"/>
    <row r="8914" ht="26.25" customHeight="1"/>
    <row r="8915" ht="26.25" customHeight="1"/>
    <row r="8916" ht="26.25" customHeight="1"/>
    <row r="8917" ht="26.25" customHeight="1"/>
    <row r="8918" ht="26.25" customHeight="1"/>
    <row r="8919" ht="26.25" customHeight="1"/>
    <row r="8920" ht="26.25" customHeight="1"/>
    <row r="8921" ht="26.25" customHeight="1"/>
    <row r="8922" ht="26.25" customHeight="1"/>
    <row r="8923" ht="26.25" customHeight="1"/>
    <row r="8924" ht="26.25" customHeight="1"/>
    <row r="8925" ht="26.25" customHeight="1"/>
    <row r="8926" ht="26.25" customHeight="1"/>
    <row r="8927" ht="26.25" customHeight="1"/>
    <row r="8928" ht="26.25" customHeight="1"/>
    <row r="8929" ht="26.25" customHeight="1"/>
    <row r="8930" ht="26.25" customHeight="1"/>
    <row r="8931" ht="26.25" customHeight="1"/>
    <row r="8932" ht="26.25" customHeight="1"/>
    <row r="8933" ht="26.25" customHeight="1"/>
    <row r="8934" ht="26.25" customHeight="1"/>
    <row r="8935" ht="26.25" customHeight="1"/>
    <row r="8936" ht="26.25" customHeight="1"/>
    <row r="8937" ht="26.25" customHeight="1"/>
    <row r="8938" ht="26.25" customHeight="1"/>
    <row r="8939" ht="26.25" customHeight="1"/>
    <row r="8940" ht="26.25" customHeight="1"/>
    <row r="8941" ht="26.25" customHeight="1"/>
    <row r="8942" ht="26.25" customHeight="1"/>
    <row r="8943" ht="26.25" customHeight="1"/>
    <row r="8944" ht="26.25" customHeight="1"/>
    <row r="8945" ht="26.25" customHeight="1"/>
    <row r="8946" ht="26.25" customHeight="1"/>
    <row r="8947" ht="26.25" customHeight="1"/>
    <row r="8948" ht="26.25" customHeight="1"/>
    <row r="8949" ht="26.25" customHeight="1"/>
    <row r="8950" ht="26.25" customHeight="1"/>
    <row r="8951" ht="26.25" customHeight="1"/>
    <row r="8952" ht="26.25" customHeight="1"/>
    <row r="8953" ht="26.25" customHeight="1"/>
    <row r="8954" ht="26.25" customHeight="1"/>
    <row r="8955" ht="26.25" customHeight="1"/>
    <row r="8956" ht="26.25" customHeight="1"/>
    <row r="8957" ht="26.25" customHeight="1"/>
    <row r="8958" ht="26.25" customHeight="1"/>
    <row r="8959" ht="26.25" customHeight="1"/>
    <row r="8960" ht="26.25" customHeight="1"/>
    <row r="8961" ht="26.25" customHeight="1"/>
    <row r="8962" ht="26.25" customHeight="1"/>
    <row r="8963" ht="26.25" customHeight="1"/>
    <row r="8964" ht="26.25" customHeight="1"/>
    <row r="8965" ht="26.25" customHeight="1"/>
    <row r="8966" ht="26.25" customHeight="1"/>
    <row r="8967" ht="26.25" customHeight="1"/>
    <row r="8968" ht="26.25" customHeight="1"/>
    <row r="8969" ht="26.25" customHeight="1"/>
    <row r="8970" ht="26.25" customHeight="1"/>
    <row r="8971" ht="26.25" customHeight="1"/>
    <row r="8972" ht="26.25" customHeight="1"/>
    <row r="8973" ht="26.25" customHeight="1"/>
    <row r="8974" ht="26.25" customHeight="1"/>
    <row r="8975" ht="26.25" customHeight="1"/>
    <row r="8976" ht="26.25" customHeight="1"/>
    <row r="8977" ht="26.25" customHeight="1"/>
    <row r="8978" ht="26.25" customHeight="1"/>
    <row r="8979" ht="26.25" customHeight="1"/>
    <row r="8980" ht="26.25" customHeight="1"/>
    <row r="8981" ht="26.25" customHeight="1"/>
    <row r="8982" ht="26.25" customHeight="1"/>
    <row r="8983" ht="26.25" customHeight="1"/>
    <row r="8984" ht="26.25" customHeight="1"/>
    <row r="8985" ht="26.25" customHeight="1"/>
    <row r="8986" ht="26.25" customHeight="1"/>
    <row r="8987" ht="26.25" customHeight="1"/>
    <row r="8988" ht="26.25" customHeight="1"/>
    <row r="8989" ht="26.25" customHeight="1"/>
    <row r="8990" ht="26.25" customHeight="1"/>
    <row r="8991" ht="26.25" customHeight="1"/>
    <row r="8992" ht="26.25" customHeight="1"/>
    <row r="8993" ht="26.25" customHeight="1"/>
    <row r="8994" ht="26.25" customHeight="1"/>
    <row r="8995" ht="26.25" customHeight="1"/>
    <row r="8996" ht="26.25" customHeight="1"/>
    <row r="8997" ht="26.25" customHeight="1"/>
    <row r="8998" ht="26.25" customHeight="1"/>
    <row r="8999" ht="26.25" customHeight="1"/>
    <row r="9000" ht="26.25" customHeight="1"/>
    <row r="9001" ht="26.25" customHeight="1"/>
    <row r="9002" ht="26.25" customHeight="1"/>
    <row r="9003" ht="26.25" customHeight="1"/>
    <row r="9004" ht="26.25" customHeight="1"/>
    <row r="9005" ht="26.25" customHeight="1"/>
    <row r="9006" ht="26.25" customHeight="1"/>
    <row r="9007" ht="26.25" customHeight="1"/>
    <row r="9008" ht="26.25" customHeight="1"/>
    <row r="9009" ht="26.25" customHeight="1"/>
    <row r="9010" ht="26.25" customHeight="1"/>
    <row r="9011" ht="26.25" customHeight="1"/>
    <row r="9012" ht="26.25" customHeight="1"/>
    <row r="9013" ht="26.25" customHeight="1"/>
    <row r="9014" ht="26.25" customHeight="1"/>
    <row r="9015" ht="26.25" customHeight="1"/>
    <row r="9016" ht="26.25" customHeight="1"/>
    <row r="9017" ht="26.25" customHeight="1"/>
    <row r="9018" ht="26.25" customHeight="1"/>
    <row r="9019" ht="26.25" customHeight="1"/>
    <row r="9020" ht="26.25" customHeight="1"/>
    <row r="9021" ht="26.25" customHeight="1"/>
    <row r="9022" ht="26.25" customHeight="1"/>
    <row r="9023" ht="26.25" customHeight="1"/>
    <row r="9024" ht="26.25" customHeight="1"/>
    <row r="9025" ht="26.25" customHeight="1"/>
    <row r="9026" ht="26.25" customHeight="1"/>
    <row r="9027" ht="26.25" customHeight="1"/>
    <row r="9028" ht="26.25" customHeight="1"/>
    <row r="9029" ht="26.25" customHeight="1"/>
    <row r="9030" ht="26.25" customHeight="1"/>
    <row r="9031" ht="26.25" customHeight="1"/>
    <row r="9032" ht="26.25" customHeight="1"/>
    <row r="9033" ht="26.25" customHeight="1"/>
    <row r="9034" ht="26.25" customHeight="1"/>
    <row r="9035" ht="26.25" customHeight="1"/>
    <row r="9036" ht="26.25" customHeight="1"/>
    <row r="9037" ht="26.25" customHeight="1"/>
    <row r="9038" ht="26.25" customHeight="1"/>
    <row r="9039" ht="26.25" customHeight="1"/>
    <row r="9040" ht="26.25" customHeight="1"/>
    <row r="9041" ht="26.25" customHeight="1"/>
    <row r="9042" ht="26.25" customHeight="1"/>
    <row r="9043" ht="26.25" customHeight="1"/>
    <row r="9044" ht="26.25" customHeight="1"/>
    <row r="9045" ht="26.25" customHeight="1"/>
    <row r="9046" ht="26.25" customHeight="1"/>
    <row r="9047" ht="26.25" customHeight="1"/>
    <row r="9048" ht="26.25" customHeight="1"/>
    <row r="9049" ht="26.25" customHeight="1"/>
    <row r="9050" ht="26.25" customHeight="1"/>
    <row r="9051" ht="26.25" customHeight="1"/>
    <row r="9052" ht="26.25" customHeight="1"/>
    <row r="9053" ht="26.25" customHeight="1"/>
    <row r="9054" ht="26.25" customHeight="1"/>
    <row r="9055" ht="26.25" customHeight="1"/>
    <row r="9056" ht="26.25" customHeight="1"/>
    <row r="9057" ht="26.25" customHeight="1"/>
    <row r="9058" ht="26.25" customHeight="1"/>
    <row r="9059" ht="26.25" customHeight="1"/>
    <row r="9060" ht="26.25" customHeight="1"/>
    <row r="9061" ht="26.25" customHeight="1"/>
    <row r="9062" ht="26.25" customHeight="1"/>
    <row r="9063" ht="26.25" customHeight="1"/>
    <row r="9064" ht="26.25" customHeight="1"/>
    <row r="9065" ht="26.25" customHeight="1"/>
    <row r="9066" ht="26.25" customHeight="1"/>
    <row r="9067" ht="26.25" customHeight="1"/>
    <row r="9068" ht="26.25" customHeight="1"/>
    <row r="9069" ht="26.25" customHeight="1"/>
    <row r="9070" ht="26.25" customHeight="1"/>
    <row r="9071" ht="26.25" customHeight="1"/>
    <row r="9072" ht="26.25" customHeight="1"/>
    <row r="9073" ht="26.25" customHeight="1"/>
    <row r="9074" ht="26.25" customHeight="1"/>
    <row r="9075" ht="26.25" customHeight="1"/>
    <row r="9076" ht="26.25" customHeight="1"/>
    <row r="9077" ht="26.25" customHeight="1"/>
    <row r="9078" ht="26.25" customHeight="1"/>
    <row r="9079" ht="26.25" customHeight="1"/>
    <row r="9080" ht="26.25" customHeight="1"/>
    <row r="9081" ht="26.25" customHeight="1"/>
    <row r="9082" ht="26.25" customHeight="1"/>
    <row r="9083" ht="26.25" customHeight="1"/>
    <row r="9084" ht="26.25" customHeight="1"/>
    <row r="9085" ht="26.25" customHeight="1"/>
    <row r="9086" ht="26.25" customHeight="1"/>
    <row r="9087" ht="26.25" customHeight="1"/>
    <row r="9088" ht="26.25" customHeight="1"/>
    <row r="9089" ht="26.25" customHeight="1"/>
    <row r="9090" ht="26.25" customHeight="1"/>
    <row r="9091" ht="26.25" customHeight="1"/>
    <row r="9092" ht="26.25" customHeight="1"/>
    <row r="9093" ht="26.25" customHeight="1"/>
    <row r="9094" ht="26.25" customHeight="1"/>
    <row r="9095" ht="26.25" customHeight="1"/>
    <row r="9096" ht="26.25" customHeight="1"/>
    <row r="9097" ht="26.25" customHeight="1"/>
    <row r="9098" ht="26.25" customHeight="1"/>
    <row r="9099" ht="26.25" customHeight="1"/>
    <row r="9100" ht="26.25" customHeight="1"/>
    <row r="9101" ht="26.25" customHeight="1"/>
    <row r="9102" ht="26.25" customHeight="1"/>
    <row r="9103" ht="26.25" customHeight="1"/>
    <row r="9104" ht="26.25" customHeight="1"/>
    <row r="9105" ht="26.25" customHeight="1"/>
    <row r="9106" ht="26.25" customHeight="1"/>
    <row r="9107" ht="26.25" customHeight="1"/>
    <row r="9108" ht="26.25" customHeight="1"/>
    <row r="9109" ht="26.25" customHeight="1"/>
    <row r="9110" ht="26.25" customHeight="1"/>
    <row r="9111" ht="26.25" customHeight="1"/>
    <row r="9112" ht="26.25" customHeight="1"/>
    <row r="9113" ht="26.25" customHeight="1"/>
    <row r="9114" ht="26.25" customHeight="1"/>
    <row r="9115" ht="26.25" customHeight="1"/>
    <row r="9116" ht="26.25" customHeight="1"/>
    <row r="9117" ht="26.25" customHeight="1"/>
    <row r="9118" ht="26.25" customHeight="1"/>
    <row r="9119" ht="26.25" customHeight="1"/>
    <row r="9120" ht="26.25" customHeight="1"/>
    <row r="9121" ht="26.25" customHeight="1"/>
    <row r="9122" ht="26.25" customHeight="1"/>
    <row r="9123" ht="26.25" customHeight="1"/>
    <row r="9124" ht="26.25" customHeight="1"/>
    <row r="9125" ht="26.25" customHeight="1"/>
    <row r="9126" ht="26.25" customHeight="1"/>
    <row r="9127" ht="26.25" customHeight="1"/>
    <row r="9128" ht="26.25" customHeight="1"/>
    <row r="9129" ht="26.25" customHeight="1"/>
    <row r="9130" ht="26.25" customHeight="1"/>
    <row r="9131" ht="26.25" customHeight="1"/>
    <row r="9132" ht="26.25" customHeight="1"/>
    <row r="9133" ht="26.25" customHeight="1"/>
    <row r="9134" ht="26.25" customHeight="1"/>
    <row r="9135" ht="26.25" customHeight="1"/>
    <row r="9136" ht="26.25" customHeight="1"/>
    <row r="9137" ht="26.25" customHeight="1"/>
    <row r="9138" ht="26.25" customHeight="1"/>
    <row r="9139" ht="26.25" customHeight="1"/>
    <row r="9140" ht="26.25" customHeight="1"/>
    <row r="9141" ht="26.25" customHeight="1"/>
    <row r="9142" ht="26.25" customHeight="1"/>
    <row r="9143" ht="26.25" customHeight="1"/>
    <row r="9144" ht="26.25" customHeight="1"/>
    <row r="9145" ht="26.25" customHeight="1"/>
    <row r="9146" ht="26.25" customHeight="1"/>
    <row r="9147" ht="26.25" customHeight="1"/>
    <row r="9148" ht="26.25" customHeight="1"/>
    <row r="9149" ht="26.25" customHeight="1"/>
    <row r="9150" ht="26.25" customHeight="1"/>
    <row r="9151" ht="26.25" customHeight="1"/>
    <row r="9152" ht="26.25" customHeight="1"/>
    <row r="9153" ht="26.25" customHeight="1"/>
    <row r="9154" ht="26.25" customHeight="1"/>
    <row r="9155" ht="26.25" customHeight="1"/>
    <row r="9156" ht="26.25" customHeight="1"/>
    <row r="9157" ht="26.25" customHeight="1"/>
    <row r="9158" ht="26.25" customHeight="1"/>
    <row r="9159" ht="26.25" customHeight="1"/>
    <row r="9160" ht="26.25" customHeight="1"/>
    <row r="9161" ht="26.25" customHeight="1"/>
    <row r="9162" ht="26.25" customHeight="1"/>
    <row r="9163" ht="26.25" customHeight="1"/>
    <row r="9164" ht="26.25" customHeight="1"/>
    <row r="9165" ht="26.25" customHeight="1"/>
    <row r="9166" ht="26.25" customHeight="1"/>
    <row r="9167" ht="26.25" customHeight="1"/>
    <row r="9168" ht="26.25" customHeight="1"/>
    <row r="9169" ht="26.25" customHeight="1"/>
    <row r="9170" ht="26.25" customHeight="1"/>
    <row r="9171" ht="26.25" customHeight="1"/>
    <row r="9172" ht="26.25" customHeight="1"/>
    <row r="9173" ht="26.25" customHeight="1"/>
    <row r="9174" ht="26.25" customHeight="1"/>
    <row r="9175" ht="26.25" customHeight="1"/>
    <row r="9176" ht="26.25" customHeight="1"/>
    <row r="9177" ht="26.25" customHeight="1"/>
    <row r="9178" ht="26.25" customHeight="1"/>
    <row r="9179" ht="26.25" customHeight="1"/>
    <row r="9180" ht="26.25" customHeight="1"/>
    <row r="9181" ht="26.25" customHeight="1"/>
    <row r="9182" ht="26.25" customHeight="1"/>
    <row r="9183" ht="26.25" customHeight="1"/>
    <row r="9184" ht="26.25" customHeight="1"/>
    <row r="9185" ht="26.25" customHeight="1"/>
    <row r="9186" ht="26.25" customHeight="1"/>
    <row r="9187" ht="26.25" customHeight="1"/>
    <row r="9188" ht="26.25" customHeight="1"/>
    <row r="9189" ht="26.25" customHeight="1"/>
    <row r="9190" ht="26.25" customHeight="1"/>
    <row r="9191" ht="26.25" customHeight="1"/>
    <row r="9192" ht="26.25" customHeight="1"/>
    <row r="9193" ht="26.25" customHeight="1"/>
    <row r="9194" ht="26.25" customHeight="1"/>
    <row r="9195" ht="26.25" customHeight="1"/>
    <row r="9196" ht="26.25" customHeight="1"/>
    <row r="9197" ht="26.25" customHeight="1"/>
    <row r="9198" ht="26.25" customHeight="1"/>
    <row r="9199" ht="26.25" customHeight="1"/>
    <row r="9200" ht="26.25" customHeight="1"/>
    <row r="9201" ht="26.25" customHeight="1"/>
    <row r="9202" ht="26.25" customHeight="1"/>
    <row r="9203" ht="26.25" customHeight="1"/>
    <row r="9204" ht="26.25" customHeight="1"/>
    <row r="9205" ht="26.25" customHeight="1"/>
    <row r="9206" ht="26.25" customHeight="1"/>
    <row r="9207" ht="26.25" customHeight="1"/>
    <row r="9208" ht="26.25" customHeight="1"/>
    <row r="9209" ht="26.25" customHeight="1"/>
    <row r="9210" ht="26.25" customHeight="1"/>
    <row r="9211" ht="26.25" customHeight="1"/>
    <row r="9212" ht="26.25" customHeight="1"/>
    <row r="9213" ht="26.25" customHeight="1"/>
    <row r="9214" ht="26.25" customHeight="1"/>
    <row r="9215" ht="26.25" customHeight="1"/>
    <row r="9216" ht="26.25" customHeight="1"/>
    <row r="9217" ht="26.25" customHeight="1"/>
    <row r="9218" ht="26.25" customHeight="1"/>
    <row r="9219" ht="26.25" customHeight="1"/>
    <row r="9220" ht="26.25" customHeight="1"/>
    <row r="9221" ht="26.25" customHeight="1"/>
    <row r="9222" ht="26.25" customHeight="1"/>
    <row r="9223" ht="26.25" customHeight="1"/>
    <row r="9224" ht="26.25" customHeight="1"/>
    <row r="9225" ht="26.25" customHeight="1"/>
    <row r="9226" ht="26.25" customHeight="1"/>
    <row r="9227" ht="26.25" customHeight="1"/>
    <row r="9228" ht="26.25" customHeight="1"/>
    <row r="9229" ht="26.25" customHeight="1"/>
    <row r="9230" ht="26.25" customHeight="1"/>
    <row r="9231" ht="26.25" customHeight="1"/>
    <row r="9232" ht="26.25" customHeight="1"/>
    <row r="9233" ht="26.25" customHeight="1"/>
    <row r="9234" ht="26.25" customHeight="1"/>
    <row r="9235" ht="26.25" customHeight="1"/>
    <row r="9236" ht="26.25" customHeight="1"/>
    <row r="9237" ht="26.25" customHeight="1"/>
    <row r="9238" ht="26.25" customHeight="1"/>
    <row r="9239" ht="26.25" customHeight="1"/>
    <row r="9240" ht="26.25" customHeight="1"/>
    <row r="9241" ht="26.25" customHeight="1"/>
    <row r="9242" ht="26.25" customHeight="1"/>
    <row r="9243" ht="26.25" customHeight="1"/>
    <row r="9244" ht="26.25" customHeight="1"/>
    <row r="9245" ht="26.25" customHeight="1"/>
    <row r="9246" ht="26.25" customHeight="1"/>
    <row r="9247" ht="26.25" customHeight="1"/>
    <row r="9248" ht="26.25" customHeight="1"/>
    <row r="9249" ht="26.25" customHeight="1"/>
    <row r="9250" ht="26.25" customHeight="1"/>
    <row r="9251" ht="26.25" customHeight="1"/>
    <row r="9252" ht="26.25" customHeight="1"/>
    <row r="9253" ht="26.25" customHeight="1"/>
    <row r="9254" ht="26.25" customHeight="1"/>
    <row r="9255" ht="26.25" customHeight="1"/>
    <row r="9256" ht="26.25" customHeight="1"/>
    <row r="9257" ht="26.25" customHeight="1"/>
    <row r="9258" ht="26.25" customHeight="1"/>
    <row r="9259" ht="26.25" customHeight="1"/>
    <row r="9260" ht="26.25" customHeight="1"/>
    <row r="9261" ht="26.25" customHeight="1"/>
    <row r="9262" ht="26.25" customHeight="1"/>
    <row r="9263" ht="26.25" customHeight="1"/>
    <row r="9264" ht="26.25" customHeight="1"/>
    <row r="9265" ht="26.25" customHeight="1"/>
    <row r="9266" ht="26.25" customHeight="1"/>
    <row r="9267" ht="26.25" customHeight="1"/>
    <row r="9268" ht="26.25" customHeight="1"/>
    <row r="9269" ht="26.25" customHeight="1"/>
    <row r="9270" ht="26.25" customHeight="1"/>
    <row r="9271" ht="26.25" customHeight="1"/>
    <row r="9272" ht="26.25" customHeight="1"/>
    <row r="9273" ht="26.25" customHeight="1"/>
    <row r="9274" ht="26.25" customHeight="1"/>
    <row r="9275" ht="26.25" customHeight="1"/>
    <row r="9276" ht="26.25" customHeight="1"/>
    <row r="9277" ht="26.25" customHeight="1"/>
    <row r="9278" ht="26.25" customHeight="1"/>
    <row r="9279" ht="26.25" customHeight="1"/>
    <row r="9280" ht="26.25" customHeight="1"/>
    <row r="9281" ht="26.25" customHeight="1"/>
    <row r="9282" ht="26.25" customHeight="1"/>
    <row r="9283" ht="26.25" customHeight="1"/>
    <row r="9284" ht="26.25" customHeight="1"/>
    <row r="9285" ht="26.25" customHeight="1"/>
    <row r="9286" ht="26.25" customHeight="1"/>
    <row r="9287" ht="26.25" customHeight="1"/>
    <row r="9288" ht="26.25" customHeight="1"/>
    <row r="9289" ht="26.25" customHeight="1"/>
    <row r="9290" ht="26.25" customHeight="1"/>
    <row r="9291" ht="26.25" customHeight="1"/>
    <row r="9292" ht="26.25" customHeight="1"/>
    <row r="9293" ht="26.25" customHeight="1"/>
    <row r="9294" ht="26.25" customHeight="1"/>
    <row r="9295" ht="26.25" customHeight="1"/>
    <row r="9296" ht="26.25" customHeight="1"/>
    <row r="9297" ht="26.25" customHeight="1"/>
    <row r="9298" ht="26.25" customHeight="1"/>
    <row r="9299" ht="26.25" customHeight="1"/>
    <row r="9300" ht="26.25" customHeight="1"/>
    <row r="9301" ht="26.25" customHeight="1"/>
    <row r="9302" ht="26.25" customHeight="1"/>
    <row r="9303" ht="26.25" customHeight="1"/>
    <row r="9304" ht="26.25" customHeight="1"/>
    <row r="9305" ht="26.25" customHeight="1"/>
    <row r="9306" ht="26.25" customHeight="1"/>
    <row r="9307" ht="26.25" customHeight="1"/>
    <row r="9308" ht="26.25" customHeight="1"/>
    <row r="9309" ht="26.25" customHeight="1"/>
    <row r="9310" ht="26.25" customHeight="1"/>
    <row r="9311" ht="26.25" customHeight="1"/>
    <row r="9312" ht="26.25" customHeight="1"/>
    <row r="9313" ht="26.25" customHeight="1"/>
    <row r="9314" ht="26.25" customHeight="1"/>
    <row r="9315" ht="26.25" customHeight="1"/>
    <row r="9316" ht="26.25" customHeight="1"/>
    <row r="9317" ht="26.25" customHeight="1"/>
    <row r="9318" ht="26.25" customHeight="1"/>
    <row r="9319" ht="26.25" customHeight="1"/>
    <row r="9320" ht="26.25" customHeight="1"/>
    <row r="9321" ht="26.25" customHeight="1"/>
    <row r="9322" ht="26.25" customHeight="1"/>
    <row r="9323" ht="26.25" customHeight="1"/>
    <row r="9324" ht="26.25" customHeight="1"/>
    <row r="9325" ht="26.25" customHeight="1"/>
    <row r="9326" ht="26.25" customHeight="1"/>
    <row r="9327" ht="26.25" customHeight="1"/>
    <row r="9328" ht="26.25" customHeight="1"/>
    <row r="9329" ht="26.25" customHeight="1"/>
    <row r="9330" ht="26.25" customHeight="1"/>
    <row r="9331" ht="26.25" customHeight="1"/>
    <row r="9332" ht="26.25" customHeight="1"/>
    <row r="9333" ht="26.25" customHeight="1"/>
    <row r="9334" ht="26.25" customHeight="1"/>
    <row r="9335" ht="26.25" customHeight="1"/>
    <row r="9336" ht="26.25" customHeight="1"/>
    <row r="9337" ht="26.25" customHeight="1"/>
    <row r="9338" ht="26.25" customHeight="1"/>
    <row r="9339" ht="26.25" customHeight="1"/>
    <row r="9340" ht="26.25" customHeight="1"/>
    <row r="9341" ht="26.25" customHeight="1"/>
    <row r="9342" ht="26.25" customHeight="1"/>
    <row r="9343" ht="26.25" customHeight="1"/>
    <row r="9344" ht="26.25" customHeight="1"/>
    <row r="9345" ht="26.25" customHeight="1"/>
    <row r="9346" ht="26.25" customHeight="1"/>
    <row r="9347" ht="26.25" customHeight="1"/>
    <row r="9348" ht="26.25" customHeight="1"/>
    <row r="9349" ht="26.25" customHeight="1"/>
    <row r="9350" ht="26.25" customHeight="1"/>
    <row r="9351" ht="26.25" customHeight="1"/>
    <row r="9352" ht="26.25" customHeight="1"/>
    <row r="9353" ht="26.25" customHeight="1"/>
    <row r="9354" ht="26.25" customHeight="1"/>
    <row r="9355" ht="26.25" customHeight="1"/>
    <row r="9356" ht="26.25" customHeight="1"/>
    <row r="9357" ht="26.25" customHeight="1"/>
    <row r="9358" ht="26.25" customHeight="1"/>
    <row r="9359" ht="26.25" customHeight="1"/>
    <row r="9360" ht="26.25" customHeight="1"/>
    <row r="9361" ht="26.25" customHeight="1"/>
    <row r="9362" ht="26.25" customHeight="1"/>
    <row r="9363" ht="26.25" customHeight="1"/>
    <row r="9364" ht="26.25" customHeight="1"/>
    <row r="9365" ht="26.25" customHeight="1"/>
    <row r="9366" ht="26.25" customHeight="1"/>
    <row r="9367" ht="26.25" customHeight="1"/>
    <row r="9368" ht="26.25" customHeight="1"/>
    <row r="9369" ht="26.25" customHeight="1"/>
    <row r="9370" ht="26.25" customHeight="1"/>
    <row r="9371" ht="26.25" customHeight="1"/>
    <row r="9372" ht="26.25" customHeight="1"/>
    <row r="9373" ht="26.25" customHeight="1"/>
    <row r="9374" ht="26.25" customHeight="1"/>
    <row r="9375" ht="26.25" customHeight="1"/>
    <row r="9376" ht="26.25" customHeight="1"/>
    <row r="9377" ht="26.25" customHeight="1"/>
    <row r="9378" ht="26.25" customHeight="1"/>
    <row r="9379" ht="26.25" customHeight="1"/>
    <row r="9380" ht="26.25" customHeight="1"/>
    <row r="9381" ht="26.25" customHeight="1"/>
    <row r="9382" ht="26.25" customHeight="1"/>
    <row r="9383" ht="26.25" customHeight="1"/>
    <row r="9384" ht="26.25" customHeight="1"/>
    <row r="9385" ht="26.25" customHeight="1"/>
    <row r="9386" ht="26.25" customHeight="1"/>
    <row r="9387" ht="26.25" customHeight="1"/>
    <row r="9388" ht="26.25" customHeight="1"/>
    <row r="9389" ht="26.25" customHeight="1"/>
    <row r="9390" ht="26.25" customHeight="1"/>
    <row r="9391" ht="26.25" customHeight="1"/>
    <row r="9392" ht="26.25" customHeight="1"/>
    <row r="9393" ht="26.25" customHeight="1"/>
    <row r="9394" ht="26.25" customHeight="1"/>
    <row r="9395" ht="26.25" customHeight="1"/>
    <row r="9396" ht="26.25" customHeight="1"/>
    <row r="9397" ht="26.25" customHeight="1"/>
    <row r="9398" ht="26.25" customHeight="1"/>
    <row r="9399" ht="26.25" customHeight="1"/>
    <row r="9400" ht="26.25" customHeight="1"/>
    <row r="9401" ht="26.25" customHeight="1"/>
    <row r="9402" ht="26.25" customHeight="1"/>
    <row r="9403" ht="26.25" customHeight="1"/>
    <row r="9404" ht="26.25" customHeight="1"/>
    <row r="9405" ht="26.25" customHeight="1"/>
    <row r="9406" ht="26.25" customHeight="1"/>
    <row r="9407" ht="26.25" customHeight="1"/>
    <row r="9408" ht="26.25" customHeight="1"/>
    <row r="9409" ht="26.25" customHeight="1"/>
    <row r="9410" ht="26.25" customHeight="1"/>
    <row r="9411" ht="26.25" customHeight="1"/>
    <row r="9412" ht="26.25" customHeight="1"/>
    <row r="9413" ht="26.25" customHeight="1"/>
    <row r="9414" ht="26.25" customHeight="1"/>
    <row r="9415" ht="26.25" customHeight="1"/>
    <row r="9416" ht="26.25" customHeight="1"/>
    <row r="9417" ht="26.25" customHeight="1"/>
    <row r="9418" ht="26.25" customHeight="1"/>
    <row r="9419" ht="26.25" customHeight="1"/>
    <row r="9420" ht="26.25" customHeight="1"/>
    <row r="9421" ht="26.25" customHeight="1"/>
    <row r="9422" ht="26.25" customHeight="1"/>
    <row r="9423" ht="26.25" customHeight="1"/>
    <row r="9424" ht="26.25" customHeight="1"/>
    <row r="9425" ht="26.25" customHeight="1"/>
    <row r="9426" ht="26.25" customHeight="1"/>
    <row r="9427" ht="26.25" customHeight="1"/>
    <row r="9428" ht="26.25" customHeight="1"/>
    <row r="9429" ht="26.25" customHeight="1"/>
    <row r="9430" ht="26.25" customHeight="1"/>
    <row r="9431" ht="26.25" customHeight="1"/>
    <row r="9432" ht="26.25" customHeight="1"/>
    <row r="9433" ht="26.25" customHeight="1"/>
    <row r="9434" ht="26.25" customHeight="1"/>
    <row r="9435" ht="26.25" customHeight="1"/>
    <row r="9436" ht="26.25" customHeight="1"/>
    <row r="9437" ht="26.25" customHeight="1"/>
    <row r="9438" ht="26.25" customHeight="1"/>
    <row r="9439" ht="26.25" customHeight="1"/>
    <row r="9440" ht="26.25" customHeight="1"/>
    <row r="9441" ht="26.25" customHeight="1"/>
    <row r="9442" ht="26.25" customHeight="1"/>
    <row r="9443" ht="26.25" customHeight="1"/>
    <row r="9444" ht="26.25" customHeight="1"/>
    <row r="9445" ht="26.25" customHeight="1"/>
    <row r="9446" ht="26.25" customHeight="1"/>
    <row r="9447" ht="26.25" customHeight="1"/>
    <row r="9448" ht="26.25" customHeight="1"/>
    <row r="9449" ht="26.25" customHeight="1"/>
    <row r="9450" ht="26.25" customHeight="1"/>
    <row r="9451" ht="26.25" customHeight="1"/>
    <row r="9452" ht="26.25" customHeight="1"/>
    <row r="9453" ht="26.25" customHeight="1"/>
    <row r="9454" ht="26.25" customHeight="1"/>
    <row r="9455" ht="26.25" customHeight="1"/>
    <row r="9456" ht="26.25" customHeight="1"/>
    <row r="9457" ht="26.25" customHeight="1"/>
    <row r="9458" ht="26.25" customHeight="1"/>
    <row r="9459" ht="26.25" customHeight="1"/>
    <row r="9460" ht="26.25" customHeight="1"/>
    <row r="9461" ht="26.25" customHeight="1"/>
    <row r="9462" ht="26.25" customHeight="1"/>
    <row r="9463" ht="26.25" customHeight="1"/>
    <row r="9464" ht="26.25" customHeight="1"/>
    <row r="9465" ht="26.25" customHeight="1"/>
    <row r="9466" ht="26.25" customHeight="1"/>
    <row r="9467" ht="26.25" customHeight="1"/>
    <row r="9468" ht="26.25" customHeight="1"/>
    <row r="9469" ht="26.25" customHeight="1"/>
    <row r="9470" ht="26.25" customHeight="1"/>
    <row r="9471" ht="26.25" customHeight="1"/>
    <row r="9472" ht="26.25" customHeight="1"/>
    <row r="9473" ht="26.25" customHeight="1"/>
    <row r="9474" ht="26.25" customHeight="1"/>
    <row r="9475" ht="26.25" customHeight="1"/>
    <row r="9476" ht="26.25" customHeight="1"/>
    <row r="9477" ht="26.25" customHeight="1"/>
    <row r="9478" ht="26.25" customHeight="1"/>
    <row r="9479" ht="26.25" customHeight="1"/>
    <row r="9480" ht="26.25" customHeight="1"/>
    <row r="9481" ht="26.25" customHeight="1"/>
    <row r="9482" ht="26.25" customHeight="1"/>
    <row r="9483" ht="26.25" customHeight="1"/>
    <row r="9484" ht="26.25" customHeight="1"/>
    <row r="9485" ht="26.25" customHeight="1"/>
    <row r="9486" ht="26.25" customHeight="1"/>
    <row r="9487" ht="26.25" customHeight="1"/>
    <row r="9488" ht="26.25" customHeight="1"/>
    <row r="9489" ht="26.25" customHeight="1"/>
    <row r="9490" ht="26.25" customHeight="1"/>
    <row r="9491" ht="26.25" customHeight="1"/>
    <row r="9492" ht="26.25" customHeight="1"/>
    <row r="9493" ht="26.25" customHeight="1"/>
    <row r="9494" ht="26.25" customHeight="1"/>
    <row r="9495" ht="26.25" customHeight="1"/>
    <row r="9496" ht="26.25" customHeight="1"/>
    <row r="9497" ht="26.25" customHeight="1"/>
    <row r="9498" ht="26.25" customHeight="1"/>
    <row r="9499" ht="26.25" customHeight="1"/>
    <row r="9500" ht="26.25" customHeight="1"/>
    <row r="9501" ht="26.25" customHeight="1"/>
    <row r="9502" ht="26.25" customHeight="1"/>
    <row r="9503" ht="26.25" customHeight="1"/>
    <row r="9504" ht="26.25" customHeight="1"/>
    <row r="9505" ht="26.25" customHeight="1"/>
    <row r="9506" ht="26.25" customHeight="1"/>
    <row r="9507" ht="26.25" customHeight="1"/>
    <row r="9508" ht="26.25" customHeight="1"/>
    <row r="9509" ht="26.25" customHeight="1"/>
    <row r="9510" ht="26.25" customHeight="1"/>
    <row r="9511" ht="26.25" customHeight="1"/>
    <row r="9512" ht="26.25" customHeight="1"/>
    <row r="9513" ht="26.25" customHeight="1"/>
    <row r="9514" ht="26.25" customHeight="1"/>
    <row r="9515" ht="26.25" customHeight="1"/>
    <row r="9516" ht="26.25" customHeight="1"/>
    <row r="9517" ht="26.25" customHeight="1"/>
    <row r="9518" ht="26.25" customHeight="1"/>
    <row r="9519" ht="26.25" customHeight="1"/>
    <row r="9520" ht="26.25" customHeight="1"/>
    <row r="9521" ht="26.25" customHeight="1"/>
    <row r="9522" ht="26.25" customHeight="1"/>
    <row r="9523" ht="26.25" customHeight="1"/>
    <row r="9524" ht="26.25" customHeight="1"/>
    <row r="9525" ht="26.25" customHeight="1"/>
    <row r="9526" ht="26.25" customHeight="1"/>
    <row r="9527" ht="26.25" customHeight="1"/>
    <row r="9528" ht="26.25" customHeight="1"/>
    <row r="9529" ht="26.25" customHeight="1"/>
    <row r="9530" ht="26.25" customHeight="1"/>
    <row r="9531" ht="26.25" customHeight="1"/>
    <row r="9532" ht="26.25" customHeight="1"/>
    <row r="9533" ht="26.25" customHeight="1"/>
    <row r="9534" ht="26.25" customHeight="1"/>
    <row r="9535" ht="26.25" customHeight="1"/>
    <row r="9536" ht="26.25" customHeight="1"/>
    <row r="9537" ht="26.25" customHeight="1"/>
    <row r="9538" ht="26.25" customHeight="1"/>
    <row r="9539" ht="26.25" customHeight="1"/>
    <row r="9540" ht="26.25" customHeight="1"/>
    <row r="9541" ht="26.25" customHeight="1"/>
    <row r="9542" ht="26.25" customHeight="1"/>
    <row r="9543" ht="26.25" customHeight="1"/>
    <row r="9544" ht="26.25" customHeight="1"/>
    <row r="9545" ht="26.25" customHeight="1"/>
    <row r="9546" ht="26.25" customHeight="1"/>
    <row r="9547" ht="26.25" customHeight="1"/>
    <row r="9548" ht="26.25" customHeight="1"/>
    <row r="9549" ht="26.25" customHeight="1"/>
    <row r="9550" ht="26.25" customHeight="1"/>
    <row r="9551" ht="26.25" customHeight="1"/>
    <row r="9552" ht="26.25" customHeight="1"/>
    <row r="9553" ht="26.25" customHeight="1"/>
    <row r="9554" ht="26.25" customHeight="1"/>
    <row r="9555" ht="26.25" customHeight="1"/>
    <row r="9556" ht="26.25" customHeight="1"/>
    <row r="9557" ht="26.25" customHeight="1"/>
    <row r="9558" ht="26.25" customHeight="1"/>
    <row r="9559" ht="26.25" customHeight="1"/>
    <row r="9560" ht="26.25" customHeight="1"/>
    <row r="9561" ht="26.25" customHeight="1"/>
    <row r="9562" ht="26.25" customHeight="1"/>
    <row r="9563" ht="26.25" customHeight="1"/>
    <row r="9564" ht="26.25" customHeight="1"/>
    <row r="9565" ht="26.25" customHeight="1"/>
    <row r="9566" ht="26.25" customHeight="1"/>
    <row r="9567" ht="26.25" customHeight="1"/>
    <row r="9568" ht="26.25" customHeight="1"/>
    <row r="9569" ht="26.25" customHeight="1"/>
    <row r="9570" ht="26.25" customHeight="1"/>
    <row r="9571" ht="26.25" customHeight="1"/>
    <row r="9572" ht="26.25" customHeight="1"/>
    <row r="9573" ht="26.25" customHeight="1"/>
    <row r="9574" ht="26.25" customHeight="1"/>
    <row r="9575" ht="26.25" customHeight="1"/>
    <row r="9576" ht="26.25" customHeight="1"/>
    <row r="9577" ht="26.25" customHeight="1"/>
    <row r="9578" ht="26.25" customHeight="1"/>
    <row r="9579" ht="26.25" customHeight="1"/>
    <row r="9580" ht="26.25" customHeight="1"/>
    <row r="9581" ht="26.25" customHeight="1"/>
    <row r="9582" ht="26.25" customHeight="1"/>
    <row r="9583" ht="26.25" customHeight="1"/>
    <row r="9584" ht="26.25" customHeight="1"/>
    <row r="9585" ht="26.25" customHeight="1"/>
    <row r="9586" ht="26.25" customHeight="1"/>
    <row r="9587" ht="26.25" customHeight="1"/>
    <row r="9588" ht="26.25" customHeight="1"/>
    <row r="9589" ht="26.25" customHeight="1"/>
    <row r="9590" ht="26.25" customHeight="1"/>
    <row r="9591" ht="26.25" customHeight="1"/>
    <row r="9592" ht="26.25" customHeight="1"/>
    <row r="9593" ht="26.25" customHeight="1"/>
    <row r="9594" ht="26.25" customHeight="1"/>
    <row r="9595" ht="26.25" customHeight="1"/>
    <row r="9596" ht="26.25" customHeight="1"/>
    <row r="9597" ht="26.25" customHeight="1"/>
    <row r="9598" ht="26.25" customHeight="1"/>
    <row r="9599" ht="26.25" customHeight="1"/>
    <row r="9600" ht="26.25" customHeight="1"/>
    <row r="9601" ht="26.25" customHeight="1"/>
    <row r="9602" ht="26.25" customHeight="1"/>
    <row r="9603" ht="26.25" customHeight="1"/>
    <row r="9604" ht="26.25" customHeight="1"/>
    <row r="9605" ht="26.25" customHeight="1"/>
    <row r="9606" ht="26.25" customHeight="1"/>
    <row r="9607" ht="26.25" customHeight="1"/>
    <row r="9608" ht="26.25" customHeight="1"/>
    <row r="9609" ht="26.25" customHeight="1"/>
    <row r="9610" ht="26.25" customHeight="1"/>
    <row r="9611" ht="26.25" customHeight="1"/>
    <row r="9612" ht="26.25" customHeight="1"/>
    <row r="9613" ht="26.25" customHeight="1"/>
    <row r="9614" ht="26.25" customHeight="1"/>
    <row r="9615" ht="26.25" customHeight="1"/>
    <row r="9616" ht="26.25" customHeight="1"/>
    <row r="9617" ht="26.25" customHeight="1"/>
    <row r="9618" ht="26.25" customHeight="1"/>
    <row r="9619" ht="26.25" customHeight="1"/>
    <row r="9620" ht="26.25" customHeight="1"/>
    <row r="9621" ht="26.25" customHeight="1"/>
    <row r="9622" ht="26.25" customHeight="1"/>
    <row r="9623" ht="26.25" customHeight="1"/>
    <row r="9624" ht="26.25" customHeight="1"/>
    <row r="9625" ht="26.25" customHeight="1"/>
    <row r="9626" ht="26.25" customHeight="1"/>
    <row r="9627" ht="26.25" customHeight="1"/>
    <row r="9628" ht="26.25" customHeight="1"/>
    <row r="9629" ht="26.25" customHeight="1"/>
    <row r="9630" ht="26.25" customHeight="1"/>
    <row r="9631" ht="26.25" customHeight="1"/>
    <row r="9632" ht="26.25" customHeight="1"/>
    <row r="9633" ht="26.25" customHeight="1"/>
    <row r="9634" ht="26.25" customHeight="1"/>
    <row r="9635" ht="26.25" customHeight="1"/>
    <row r="9636" ht="26.25" customHeight="1"/>
    <row r="9637" ht="26.25" customHeight="1"/>
    <row r="9638" ht="26.25" customHeight="1"/>
    <row r="9639" ht="26.25" customHeight="1"/>
    <row r="9640" ht="26.25" customHeight="1"/>
    <row r="9641" ht="26.25" customHeight="1"/>
    <row r="9642" ht="26.25" customHeight="1"/>
    <row r="9643" ht="26.25" customHeight="1"/>
    <row r="9644" ht="26.25" customHeight="1"/>
    <row r="9645" ht="26.25" customHeight="1"/>
    <row r="9646" ht="26.25" customHeight="1"/>
    <row r="9647" ht="26.25" customHeight="1"/>
    <row r="9648" ht="26.25" customHeight="1"/>
    <row r="9649" ht="26.25" customHeight="1"/>
    <row r="9650" ht="26.25" customHeight="1"/>
    <row r="9651" ht="26.25" customHeight="1"/>
    <row r="9652" ht="26.25" customHeight="1"/>
    <row r="9653" ht="26.25" customHeight="1"/>
    <row r="9654" ht="26.25" customHeight="1"/>
    <row r="9655" ht="26.25" customHeight="1"/>
    <row r="9656" ht="26.25" customHeight="1"/>
    <row r="9657" ht="26.25" customHeight="1"/>
    <row r="9658" ht="26.25" customHeight="1"/>
    <row r="9659" ht="26.25" customHeight="1"/>
    <row r="9660" ht="26.25" customHeight="1"/>
    <row r="9661" ht="26.25" customHeight="1"/>
    <row r="9662" ht="26.25" customHeight="1"/>
    <row r="9663" ht="26.25" customHeight="1"/>
    <row r="9664" ht="26.25" customHeight="1"/>
    <row r="9665" ht="26.25" customHeight="1"/>
    <row r="9666" ht="26.25" customHeight="1"/>
    <row r="9667" ht="26.25" customHeight="1"/>
    <row r="9668" ht="26.25" customHeight="1"/>
    <row r="9669" ht="26.25" customHeight="1"/>
    <row r="9670" ht="26.25" customHeight="1"/>
    <row r="9671" ht="26.25" customHeight="1"/>
    <row r="9672" ht="26.25" customHeight="1"/>
    <row r="9673" ht="26.25" customHeight="1"/>
    <row r="9674" ht="26.25" customHeight="1"/>
    <row r="9675" ht="26.25" customHeight="1"/>
    <row r="9676" ht="26.25" customHeight="1"/>
    <row r="9677" ht="26.25" customHeight="1"/>
    <row r="9678" ht="26.25" customHeight="1"/>
    <row r="9679" ht="26.25" customHeight="1"/>
    <row r="9680" ht="26.25" customHeight="1"/>
    <row r="9681" ht="26.25" customHeight="1"/>
    <row r="9682" ht="26.25" customHeight="1"/>
    <row r="9683" ht="26.25" customHeight="1"/>
    <row r="9684" ht="26.25" customHeight="1"/>
    <row r="9685" ht="26.25" customHeight="1"/>
    <row r="9686" ht="26.25" customHeight="1"/>
    <row r="9687" ht="26.25" customHeight="1"/>
    <row r="9688" ht="26.25" customHeight="1"/>
    <row r="9689" ht="26.25" customHeight="1"/>
    <row r="9690" ht="26.25" customHeight="1"/>
    <row r="9691" ht="26.25" customHeight="1"/>
    <row r="9692" ht="26.25" customHeight="1"/>
    <row r="9693" ht="26.25" customHeight="1"/>
    <row r="9694" ht="26.25" customHeight="1"/>
    <row r="9695" ht="26.25" customHeight="1"/>
    <row r="9696" ht="26.25" customHeight="1"/>
    <row r="9697" ht="26.25" customHeight="1"/>
    <row r="9698" ht="26.25" customHeight="1"/>
    <row r="9699" ht="26.25" customHeight="1"/>
    <row r="9700" ht="26.25" customHeight="1"/>
    <row r="9701" ht="26.25" customHeight="1"/>
    <row r="9702" ht="26.25" customHeight="1"/>
    <row r="9703" ht="26.25" customHeight="1"/>
    <row r="9704" ht="26.25" customHeight="1"/>
    <row r="9705" ht="26.25" customHeight="1"/>
    <row r="9706" ht="26.25" customHeight="1"/>
    <row r="9707" ht="26.25" customHeight="1"/>
    <row r="9708" ht="26.25" customHeight="1"/>
    <row r="9709" ht="26.25" customHeight="1"/>
    <row r="9710" ht="26.25" customHeight="1"/>
    <row r="9711" ht="26.25" customHeight="1"/>
    <row r="9712" ht="26.25" customHeight="1"/>
    <row r="9713" ht="26.25" customHeight="1"/>
    <row r="9714" ht="26.25" customHeight="1"/>
    <row r="9715" ht="26.25" customHeight="1"/>
    <row r="9716" ht="26.25" customHeight="1"/>
    <row r="9717" ht="26.25" customHeight="1"/>
    <row r="9718" ht="26.25" customHeight="1"/>
    <row r="9719" ht="26.25" customHeight="1"/>
    <row r="9720" ht="26.25" customHeight="1"/>
    <row r="9721" ht="26.25" customHeight="1"/>
    <row r="9722" ht="26.25" customHeight="1"/>
    <row r="9723" ht="26.25" customHeight="1"/>
    <row r="9724" ht="26.25" customHeight="1"/>
    <row r="9725" ht="26.25" customHeight="1"/>
    <row r="9726" ht="26.25" customHeight="1"/>
    <row r="9727" ht="26.25" customHeight="1"/>
    <row r="9728" ht="26.25" customHeight="1"/>
    <row r="9729" ht="26.25" customHeight="1"/>
    <row r="9730" ht="26.25" customHeight="1"/>
    <row r="9731" ht="26.25" customHeight="1"/>
    <row r="9732" ht="26.25" customHeight="1"/>
    <row r="9733" ht="26.25" customHeight="1"/>
    <row r="9734" ht="26.25" customHeight="1"/>
    <row r="9735" ht="26.25" customHeight="1"/>
    <row r="9736" ht="26.25" customHeight="1"/>
    <row r="9737" ht="26.25" customHeight="1"/>
    <row r="9738" ht="26.25" customHeight="1"/>
    <row r="9739" ht="26.25" customHeight="1"/>
    <row r="9740" ht="26.25" customHeight="1"/>
    <row r="9741" ht="26.25" customHeight="1"/>
    <row r="9742" ht="26.25" customHeight="1"/>
    <row r="9743" ht="26.25" customHeight="1"/>
    <row r="9744" ht="26.25" customHeight="1"/>
    <row r="9745" ht="26.25" customHeight="1"/>
    <row r="9746" ht="26.25" customHeight="1"/>
    <row r="9747" ht="26.25" customHeight="1"/>
    <row r="9748" ht="26.25" customHeight="1"/>
    <row r="9749" ht="26.25" customHeight="1"/>
    <row r="9750" ht="26.25" customHeight="1"/>
    <row r="9751" ht="26.25" customHeight="1"/>
    <row r="9752" ht="26.25" customHeight="1"/>
    <row r="9753" ht="26.25" customHeight="1"/>
    <row r="9754" ht="26.25" customHeight="1"/>
    <row r="9755" ht="26.25" customHeight="1"/>
    <row r="9756" ht="26.25" customHeight="1"/>
    <row r="9757" ht="26.25" customHeight="1"/>
    <row r="9758" ht="26.25" customHeight="1"/>
    <row r="9759" ht="26.25" customHeight="1"/>
    <row r="9760" ht="26.25" customHeight="1"/>
    <row r="9761" ht="26.25" customHeight="1"/>
    <row r="9762" ht="26.25" customHeight="1"/>
    <row r="9763" ht="26.25" customHeight="1"/>
    <row r="9764" ht="26.25" customHeight="1"/>
    <row r="9765" ht="26.25" customHeight="1"/>
    <row r="9766" ht="26.25" customHeight="1"/>
    <row r="9767" ht="26.25" customHeight="1"/>
    <row r="9768" ht="26.25" customHeight="1"/>
    <row r="9769" ht="26.25" customHeight="1"/>
    <row r="9770" ht="26.25" customHeight="1"/>
    <row r="9771" ht="26.25" customHeight="1"/>
    <row r="9772" ht="26.25" customHeight="1"/>
    <row r="9773" ht="26.25" customHeight="1"/>
    <row r="9774" ht="26.25" customHeight="1"/>
    <row r="9775" ht="26.25" customHeight="1"/>
    <row r="9776" ht="26.25" customHeight="1"/>
    <row r="9777" ht="26.25" customHeight="1"/>
    <row r="9778" ht="26.25" customHeight="1"/>
    <row r="9779" ht="26.25" customHeight="1"/>
    <row r="9780" ht="26.25" customHeight="1"/>
    <row r="9781" ht="26.25" customHeight="1"/>
    <row r="9782" ht="26.25" customHeight="1"/>
    <row r="9783" ht="26.25" customHeight="1"/>
    <row r="9784" ht="26.25" customHeight="1"/>
    <row r="9785" ht="26.25" customHeight="1"/>
    <row r="9786" ht="26.25" customHeight="1"/>
    <row r="9787" ht="26.25" customHeight="1"/>
    <row r="9788" ht="26.25" customHeight="1"/>
    <row r="9789" ht="26.25" customHeight="1"/>
    <row r="9790" ht="26.25" customHeight="1"/>
    <row r="9791" ht="26.25" customHeight="1"/>
    <row r="9792" ht="26.25" customHeight="1"/>
    <row r="9793" ht="26.25" customHeight="1"/>
    <row r="9794" ht="26.25" customHeight="1"/>
    <row r="9795" ht="26.25" customHeight="1"/>
    <row r="9796" ht="26.25" customHeight="1"/>
    <row r="9797" ht="26.25" customHeight="1"/>
    <row r="9798" ht="26.25" customHeight="1"/>
    <row r="9799" ht="26.25" customHeight="1"/>
    <row r="9800" ht="26.25" customHeight="1"/>
    <row r="9801" ht="26.25" customHeight="1"/>
    <row r="9802" ht="26.25" customHeight="1"/>
    <row r="9803" ht="26.25" customHeight="1"/>
    <row r="9804" ht="26.25" customHeight="1"/>
    <row r="9805" ht="26.25" customHeight="1"/>
    <row r="9806" ht="26.25" customHeight="1"/>
    <row r="9807" ht="26.25" customHeight="1"/>
    <row r="9808" ht="26.25" customHeight="1"/>
    <row r="9809" ht="26.25" customHeight="1"/>
    <row r="9810" ht="26.25" customHeight="1"/>
    <row r="9811" ht="26.25" customHeight="1"/>
    <row r="9812" ht="26.25" customHeight="1"/>
    <row r="9813" ht="26.25" customHeight="1"/>
    <row r="9814" ht="26.25" customHeight="1"/>
    <row r="9815" ht="26.25" customHeight="1"/>
    <row r="9816" ht="26.25" customHeight="1"/>
    <row r="9817" ht="26.25" customHeight="1"/>
    <row r="9818" ht="26.25" customHeight="1"/>
    <row r="9819" ht="26.25" customHeight="1"/>
    <row r="9820" ht="26.25" customHeight="1"/>
    <row r="9821" ht="26.25" customHeight="1"/>
    <row r="9822" ht="26.25" customHeight="1"/>
    <row r="9823" ht="26.25" customHeight="1"/>
    <row r="9824" ht="26.25" customHeight="1"/>
    <row r="9825" ht="26.25" customHeight="1"/>
    <row r="9826" ht="26.25" customHeight="1"/>
    <row r="9827" ht="26.25" customHeight="1"/>
    <row r="9828" ht="26.25" customHeight="1"/>
    <row r="9829" ht="26.25" customHeight="1"/>
    <row r="9830" ht="26.25" customHeight="1"/>
    <row r="9831" ht="26.25" customHeight="1"/>
    <row r="9832" ht="26.25" customHeight="1"/>
    <row r="9833" ht="26.25" customHeight="1"/>
    <row r="9834" ht="26.25" customHeight="1"/>
    <row r="9835" ht="26.25" customHeight="1"/>
    <row r="9836" ht="26.25" customHeight="1"/>
    <row r="9837" ht="26.25" customHeight="1"/>
    <row r="9838" ht="26.25" customHeight="1"/>
    <row r="9839" ht="26.25" customHeight="1"/>
    <row r="9840" ht="26.25" customHeight="1"/>
    <row r="9841" ht="26.25" customHeight="1"/>
    <row r="9842" ht="26.25" customHeight="1"/>
    <row r="9843" ht="26.25" customHeight="1"/>
    <row r="9844" ht="26.25" customHeight="1"/>
    <row r="9845" ht="26.25" customHeight="1"/>
    <row r="9846" ht="26.25" customHeight="1"/>
    <row r="9847" ht="26.25" customHeight="1"/>
    <row r="9848" ht="26.25" customHeight="1"/>
    <row r="9849" ht="26.25" customHeight="1"/>
    <row r="9850" ht="26.25" customHeight="1"/>
    <row r="9851" ht="26.25" customHeight="1"/>
    <row r="9852" ht="26.25" customHeight="1"/>
    <row r="9853" ht="26.25" customHeight="1"/>
    <row r="9854" ht="26.25" customHeight="1"/>
    <row r="9855" ht="26.25" customHeight="1"/>
    <row r="9856" ht="26.25" customHeight="1"/>
    <row r="9857" ht="26.25" customHeight="1"/>
    <row r="9858" ht="26.25" customHeight="1"/>
    <row r="9859" ht="26.25" customHeight="1"/>
    <row r="9860" ht="26.25" customHeight="1"/>
    <row r="9861" ht="26.25" customHeight="1"/>
    <row r="9862" ht="26.25" customHeight="1"/>
    <row r="9863" ht="26.25" customHeight="1"/>
    <row r="9864" ht="26.25" customHeight="1"/>
    <row r="9865" ht="26.25" customHeight="1"/>
    <row r="9866" ht="26.25" customHeight="1"/>
    <row r="9867" ht="26.25" customHeight="1"/>
    <row r="9868" ht="26.25" customHeight="1"/>
    <row r="9869" ht="26.25" customHeight="1"/>
    <row r="9870" ht="26.25" customHeight="1"/>
    <row r="9871" ht="26.25" customHeight="1"/>
    <row r="9872" ht="26.25" customHeight="1"/>
    <row r="9873" ht="26.25" customHeight="1"/>
    <row r="9874" ht="26.25" customHeight="1"/>
    <row r="9875" ht="26.25" customHeight="1"/>
    <row r="9876" ht="26.25" customHeight="1"/>
    <row r="9877" ht="26.25" customHeight="1"/>
    <row r="9878" ht="26.25" customHeight="1"/>
    <row r="9879" ht="26.25" customHeight="1"/>
    <row r="9880" ht="26.25" customHeight="1"/>
    <row r="9881" ht="26.25" customHeight="1"/>
    <row r="9882" ht="26.25" customHeight="1"/>
    <row r="9883" ht="26.25" customHeight="1"/>
    <row r="9884" ht="26.25" customHeight="1"/>
    <row r="9885" ht="26.25" customHeight="1"/>
    <row r="9886" ht="26.25" customHeight="1"/>
    <row r="9887" ht="26.25" customHeight="1"/>
    <row r="9888" ht="26.25" customHeight="1"/>
    <row r="9889" ht="26.25" customHeight="1"/>
    <row r="9890" ht="26.25" customHeight="1"/>
    <row r="9891" ht="26.25" customHeight="1"/>
    <row r="9892" ht="26.25" customHeight="1"/>
    <row r="9893" ht="26.25" customHeight="1"/>
    <row r="9894" ht="26.25" customHeight="1"/>
    <row r="9895" ht="26.25" customHeight="1"/>
    <row r="9896" ht="26.25" customHeight="1"/>
    <row r="9897" ht="26.25" customHeight="1"/>
    <row r="9898" ht="26.25" customHeight="1"/>
    <row r="9899" ht="26.25" customHeight="1"/>
    <row r="9900" ht="26.25" customHeight="1"/>
    <row r="9901" ht="26.25" customHeight="1"/>
    <row r="9902" ht="26.25" customHeight="1"/>
    <row r="9903" ht="26.25" customHeight="1"/>
    <row r="9904" ht="26.25" customHeight="1"/>
    <row r="9905" ht="26.25" customHeight="1"/>
    <row r="9906" ht="26.25" customHeight="1"/>
    <row r="9907" ht="26.25" customHeight="1"/>
    <row r="9908" ht="26.25" customHeight="1"/>
    <row r="9909" ht="26.25" customHeight="1"/>
    <row r="9910" ht="26.25" customHeight="1"/>
    <row r="9911" ht="26.25" customHeight="1"/>
    <row r="9912" ht="26.25" customHeight="1"/>
    <row r="9913" ht="26.25" customHeight="1"/>
    <row r="9914" ht="26.25" customHeight="1"/>
    <row r="9915" ht="26.25" customHeight="1"/>
    <row r="9916" ht="26.25" customHeight="1"/>
    <row r="9917" ht="26.25" customHeight="1"/>
    <row r="9918" ht="26.25" customHeight="1"/>
    <row r="9919" ht="26.25" customHeight="1"/>
    <row r="9920" ht="26.25" customHeight="1"/>
    <row r="9921" ht="26.25" customHeight="1"/>
    <row r="9922" ht="26.25" customHeight="1"/>
    <row r="9923" ht="26.25" customHeight="1"/>
    <row r="9924" ht="26.25" customHeight="1"/>
    <row r="9925" ht="26.25" customHeight="1"/>
    <row r="9926" ht="26.25" customHeight="1"/>
    <row r="9927" ht="26.25" customHeight="1"/>
    <row r="9928" ht="26.25" customHeight="1"/>
    <row r="9929" ht="26.25" customHeight="1"/>
    <row r="9930" ht="26.25" customHeight="1"/>
    <row r="9931" ht="26.25" customHeight="1"/>
    <row r="9932" ht="26.25" customHeight="1"/>
    <row r="9933" ht="26.25" customHeight="1"/>
    <row r="9934" ht="26.25" customHeight="1"/>
    <row r="9935" ht="26.25" customHeight="1"/>
    <row r="9936" ht="26.25" customHeight="1"/>
    <row r="9937" ht="26.25" customHeight="1"/>
    <row r="9938" ht="26.25" customHeight="1"/>
    <row r="9939" ht="26.25" customHeight="1"/>
    <row r="9940" ht="26.25" customHeight="1"/>
    <row r="9941" ht="26.25" customHeight="1"/>
    <row r="9942" ht="26.25" customHeight="1"/>
    <row r="9943" ht="26.25" customHeight="1"/>
    <row r="9944" ht="26.25" customHeight="1"/>
    <row r="9945" ht="26.25" customHeight="1"/>
    <row r="9946" ht="26.25" customHeight="1"/>
    <row r="9947" ht="26.25" customHeight="1"/>
    <row r="9948" ht="26.25" customHeight="1"/>
    <row r="9949" ht="26.25" customHeight="1"/>
    <row r="9950" ht="26.25" customHeight="1"/>
    <row r="9951" ht="26.25" customHeight="1"/>
    <row r="9952" ht="26.25" customHeight="1"/>
    <row r="9953" ht="26.25" customHeight="1"/>
    <row r="9954" ht="26.25" customHeight="1"/>
    <row r="9955" ht="26.25" customHeight="1"/>
    <row r="9956" ht="26.25" customHeight="1"/>
    <row r="9957" ht="26.25" customHeight="1"/>
    <row r="9958" ht="26.25" customHeight="1"/>
    <row r="9959" ht="26.25" customHeight="1"/>
    <row r="9960" ht="26.25" customHeight="1"/>
    <row r="9961" ht="26.25" customHeight="1"/>
    <row r="9962" ht="26.25" customHeight="1"/>
    <row r="9963" ht="26.25" customHeight="1"/>
    <row r="9964" ht="26.25" customHeight="1"/>
    <row r="9965" ht="26.25" customHeight="1"/>
    <row r="9966" ht="26.25" customHeight="1"/>
    <row r="9967" ht="26.25" customHeight="1"/>
    <row r="9968" ht="26.25" customHeight="1"/>
    <row r="9969" ht="26.25" customHeight="1"/>
    <row r="9970" ht="26.25" customHeight="1"/>
    <row r="9971" ht="26.25" customHeight="1"/>
    <row r="9972" ht="26.25" customHeight="1"/>
    <row r="9973" ht="26.25" customHeight="1"/>
    <row r="9974" ht="26.25" customHeight="1"/>
    <row r="9975" ht="26.25" customHeight="1"/>
    <row r="9976" ht="26.25" customHeight="1"/>
    <row r="9977" ht="26.25" customHeight="1"/>
    <row r="9978" ht="26.25" customHeight="1"/>
    <row r="9979" ht="26.25" customHeight="1"/>
    <row r="9980" ht="26.25" customHeight="1"/>
    <row r="9981" ht="26.25" customHeight="1"/>
    <row r="9982" ht="26.25" customHeight="1"/>
    <row r="9983" ht="26.25" customHeight="1"/>
    <row r="9984" ht="26.25" customHeight="1"/>
    <row r="9985" ht="26.25" customHeight="1"/>
    <row r="9986" ht="26.25" customHeight="1"/>
    <row r="9987" ht="26.25" customHeight="1"/>
    <row r="9988" ht="26.25" customHeight="1"/>
    <row r="9989" ht="26.25" customHeight="1"/>
    <row r="9990" ht="26.25" customHeight="1"/>
    <row r="9991" ht="26.25" customHeight="1"/>
    <row r="9992" ht="26.25" customHeight="1"/>
    <row r="9993" ht="26.25" customHeight="1"/>
    <row r="9994" ht="26.25" customHeight="1"/>
    <row r="9995" ht="26.25" customHeight="1"/>
    <row r="9996" ht="26.25" customHeight="1"/>
    <row r="9997" ht="26.25" customHeight="1"/>
    <row r="9998" ht="26.25" customHeight="1"/>
    <row r="9999" ht="26.25" customHeight="1"/>
    <row r="10000" ht="26.25" customHeight="1"/>
    <row r="10001" ht="26.25" customHeight="1"/>
    <row r="10002" ht="26.25" customHeight="1"/>
    <row r="10003" ht="26.25" customHeight="1"/>
    <row r="10004" ht="26.25" customHeight="1"/>
    <row r="10005" ht="26.25" customHeight="1"/>
    <row r="10006" ht="26.25" customHeight="1"/>
    <row r="10007" ht="26.25" customHeight="1"/>
    <row r="10008" ht="26.25" customHeight="1"/>
    <row r="10009" ht="26.25" customHeight="1"/>
    <row r="10010" ht="26.25" customHeight="1"/>
    <row r="10011" ht="26.25" customHeight="1"/>
    <row r="10012" ht="26.25" customHeight="1"/>
    <row r="10013" ht="26.25" customHeight="1"/>
    <row r="10014" ht="26.25" customHeight="1"/>
    <row r="10015" ht="26.25" customHeight="1"/>
    <row r="10016" ht="26.25" customHeight="1"/>
    <row r="10017" ht="26.25" customHeight="1"/>
    <row r="10018" ht="26.25" customHeight="1"/>
    <row r="10019" ht="26.25" customHeight="1"/>
    <row r="10020" ht="26.25" customHeight="1"/>
    <row r="10021" ht="26.25" customHeight="1"/>
    <row r="10022" ht="26.25" customHeight="1"/>
    <row r="10023" ht="26.25" customHeight="1"/>
    <row r="10024" ht="26.25" customHeight="1"/>
    <row r="10025" ht="26.25" customHeight="1"/>
    <row r="10026" ht="26.25" customHeight="1"/>
    <row r="10027" ht="26.25" customHeight="1"/>
    <row r="10028" ht="26.25" customHeight="1"/>
    <row r="10029" ht="26.25" customHeight="1"/>
    <row r="10030" ht="26.25" customHeight="1"/>
    <row r="10031" ht="26.25" customHeight="1"/>
    <row r="10032" ht="26.25" customHeight="1"/>
    <row r="10033" ht="26.25" customHeight="1"/>
    <row r="10034" ht="26.25" customHeight="1"/>
    <row r="10035" ht="26.25" customHeight="1"/>
    <row r="10036" ht="26.25" customHeight="1"/>
    <row r="10037" ht="26.25" customHeight="1"/>
    <row r="10038" ht="26.25" customHeight="1"/>
    <row r="10039" ht="26.25" customHeight="1"/>
    <row r="10040" ht="26.25" customHeight="1"/>
    <row r="10041" ht="26.25" customHeight="1"/>
    <row r="10042" ht="26.25" customHeight="1"/>
    <row r="10043" ht="26.25" customHeight="1"/>
    <row r="10044" ht="26.25" customHeight="1"/>
    <row r="10045" ht="26.25" customHeight="1"/>
    <row r="10046" ht="26.25" customHeight="1"/>
    <row r="10047" ht="26.25" customHeight="1"/>
    <row r="10048" ht="26.25" customHeight="1"/>
    <row r="10049" ht="26.25" customHeight="1"/>
    <row r="10050" ht="26.25" customHeight="1"/>
    <row r="10051" ht="26.25" customHeight="1"/>
    <row r="10052" ht="26.25" customHeight="1"/>
    <row r="10053" ht="26.25" customHeight="1"/>
    <row r="10054" ht="26.25" customHeight="1"/>
    <row r="10055" ht="26.25" customHeight="1"/>
    <row r="10056" ht="26.25" customHeight="1"/>
    <row r="10057" ht="26.25" customHeight="1"/>
    <row r="10058" ht="26.25" customHeight="1"/>
    <row r="10059" ht="26.25" customHeight="1"/>
    <row r="10060" ht="26.25" customHeight="1"/>
    <row r="10061" ht="26.25" customHeight="1"/>
    <row r="10062" ht="26.25" customHeight="1"/>
    <row r="10063" ht="26.25" customHeight="1"/>
    <row r="10064" ht="26.25" customHeight="1"/>
    <row r="10065" ht="26.25" customHeight="1"/>
    <row r="10066" ht="26.25" customHeight="1"/>
    <row r="10067" ht="26.25" customHeight="1"/>
    <row r="10068" ht="26.25" customHeight="1"/>
    <row r="10069" ht="26.25" customHeight="1"/>
    <row r="10070" ht="26.25" customHeight="1"/>
    <row r="10071" ht="26.25" customHeight="1"/>
    <row r="10072" ht="26.25" customHeight="1"/>
    <row r="10073" ht="26.25" customHeight="1"/>
    <row r="10074" ht="26.25" customHeight="1"/>
    <row r="10075" ht="26.25" customHeight="1"/>
    <row r="10076" ht="26.25" customHeight="1"/>
    <row r="10077" ht="26.25" customHeight="1"/>
    <row r="10078" ht="26.25" customHeight="1"/>
    <row r="10079" ht="26.25" customHeight="1"/>
    <row r="10080" ht="26.25" customHeight="1"/>
    <row r="10081" ht="26.25" customHeight="1"/>
    <row r="10082" ht="26.25" customHeight="1"/>
    <row r="10083" ht="26.25" customHeight="1"/>
    <row r="10084" ht="26.25" customHeight="1"/>
    <row r="10085" ht="26.25" customHeight="1"/>
    <row r="10086" ht="26.25" customHeight="1"/>
    <row r="10087" ht="26.25" customHeight="1"/>
    <row r="10088" ht="26.25" customHeight="1"/>
    <row r="10089" ht="26.25" customHeight="1"/>
    <row r="10090" ht="26.25" customHeight="1"/>
    <row r="10091" ht="26.25" customHeight="1"/>
    <row r="10092" ht="26.25" customHeight="1"/>
    <row r="10093" ht="26.25" customHeight="1"/>
    <row r="10094" ht="26.25" customHeight="1"/>
    <row r="10095" ht="26.25" customHeight="1"/>
    <row r="10096" ht="26.25" customHeight="1"/>
    <row r="10097" ht="26.25" customHeight="1"/>
    <row r="10098" ht="26.25" customHeight="1"/>
    <row r="10099" ht="26.25" customHeight="1"/>
    <row r="10100" ht="26.25" customHeight="1"/>
    <row r="10101" ht="26.25" customHeight="1"/>
    <row r="10102" ht="26.25" customHeight="1"/>
    <row r="10103" ht="26.25" customHeight="1"/>
    <row r="10104" ht="26.25" customHeight="1"/>
    <row r="10105" ht="26.25" customHeight="1"/>
    <row r="10106" ht="26.25" customHeight="1"/>
    <row r="10107" ht="26.25" customHeight="1"/>
    <row r="10108" ht="26.25" customHeight="1"/>
    <row r="10109" ht="26.25" customHeight="1"/>
    <row r="10110" ht="26.25" customHeight="1"/>
    <row r="10111" ht="26.25" customHeight="1"/>
    <row r="10112" ht="26.25" customHeight="1"/>
    <row r="10113" ht="26.25" customHeight="1"/>
    <row r="10114" ht="26.25" customHeight="1"/>
    <row r="10115" ht="26.25" customHeight="1"/>
    <row r="10116" ht="26.25" customHeight="1"/>
    <row r="10117" ht="26.25" customHeight="1"/>
    <row r="10118" ht="26.25" customHeight="1"/>
    <row r="10119" ht="26.25" customHeight="1"/>
    <row r="10120" ht="26.25" customHeight="1"/>
    <row r="10121" ht="26.25" customHeight="1"/>
    <row r="10122" ht="26.25" customHeight="1"/>
    <row r="10123" ht="26.25" customHeight="1"/>
    <row r="10124" ht="26.25" customHeight="1"/>
    <row r="10125" ht="26.25" customHeight="1"/>
    <row r="10126" ht="26.25" customHeight="1"/>
    <row r="10127" ht="26.25" customHeight="1"/>
    <row r="10128" ht="26.25" customHeight="1"/>
    <row r="10129" ht="26.25" customHeight="1"/>
    <row r="10130" ht="26.25" customHeight="1"/>
    <row r="10131" ht="26.25" customHeight="1"/>
    <row r="10132" ht="26.25" customHeight="1"/>
    <row r="10133" ht="26.25" customHeight="1"/>
    <row r="10134" ht="26.25" customHeight="1"/>
    <row r="10135" ht="26.25" customHeight="1"/>
    <row r="10136" ht="26.25" customHeight="1"/>
    <row r="10137" ht="26.25" customHeight="1"/>
    <row r="10138" ht="26.25" customHeight="1"/>
    <row r="10139" ht="26.25" customHeight="1"/>
    <row r="10140" ht="26.25" customHeight="1"/>
    <row r="10141" ht="26.25" customHeight="1"/>
    <row r="10142" ht="26.25" customHeight="1"/>
    <row r="10143" ht="26.25" customHeight="1"/>
    <row r="10144" ht="26.25" customHeight="1"/>
    <row r="10145" ht="26.25" customHeight="1"/>
    <row r="10146" ht="26.25" customHeight="1"/>
    <row r="10147" ht="26.25" customHeight="1"/>
    <row r="10148" ht="26.25" customHeight="1"/>
    <row r="10149" ht="26.25" customHeight="1"/>
    <row r="10150" ht="26.25" customHeight="1"/>
    <row r="10151" ht="26.25" customHeight="1"/>
    <row r="10152" ht="26.25" customHeight="1"/>
    <row r="10153" ht="26.25" customHeight="1"/>
    <row r="10154" ht="26.25" customHeight="1"/>
    <row r="10155" ht="26.25" customHeight="1"/>
    <row r="10156" ht="26.25" customHeight="1"/>
    <row r="10157" ht="26.25" customHeight="1"/>
    <row r="10158" ht="26.25" customHeight="1"/>
    <row r="10159" ht="26.25" customHeight="1"/>
    <row r="10160" ht="26.25" customHeight="1"/>
    <row r="10161" ht="26.25" customHeight="1"/>
    <row r="10162" ht="26.25" customHeight="1"/>
    <row r="10163" ht="26.25" customHeight="1"/>
    <row r="10164" ht="26.25" customHeight="1"/>
    <row r="10165" ht="26.25" customHeight="1"/>
    <row r="10166" ht="26.25" customHeight="1"/>
    <row r="10167" ht="26.25" customHeight="1"/>
    <row r="10168" ht="26.25" customHeight="1"/>
    <row r="10169" ht="26.25" customHeight="1"/>
    <row r="10170" ht="26.25" customHeight="1"/>
    <row r="10171" ht="26.25" customHeight="1"/>
    <row r="10172" ht="26.25" customHeight="1"/>
    <row r="10173" ht="26.25" customHeight="1"/>
    <row r="10174" ht="26.25" customHeight="1"/>
    <row r="10175" ht="26.25" customHeight="1"/>
    <row r="10176" ht="26.25" customHeight="1"/>
    <row r="10177" ht="26.25" customHeight="1"/>
    <row r="10178" ht="26.25" customHeight="1"/>
    <row r="10179" ht="26.25" customHeight="1"/>
    <row r="10180" ht="26.25" customHeight="1"/>
    <row r="10181" ht="26.25" customHeight="1"/>
    <row r="10182" ht="26.25" customHeight="1"/>
    <row r="10183" ht="26.25" customHeight="1"/>
    <row r="10184" ht="26.25" customHeight="1"/>
    <row r="10185" ht="26.25" customHeight="1"/>
    <row r="10186" ht="26.25" customHeight="1"/>
    <row r="10187" ht="26.25" customHeight="1"/>
    <row r="10188" ht="26.25" customHeight="1"/>
    <row r="10189" ht="26.25" customHeight="1"/>
    <row r="10190" ht="26.25" customHeight="1"/>
    <row r="10191" ht="26.25" customHeight="1"/>
    <row r="10192" ht="26.25" customHeight="1"/>
    <row r="10193" ht="26.25" customHeight="1"/>
    <row r="10194" ht="26.25" customHeight="1"/>
    <row r="10195" ht="26.25" customHeight="1"/>
    <row r="10196" ht="26.25" customHeight="1"/>
    <row r="10197" ht="26.25" customHeight="1"/>
    <row r="10198" ht="26.25" customHeight="1"/>
    <row r="10199" ht="26.25" customHeight="1"/>
    <row r="10200" ht="26.25" customHeight="1"/>
    <row r="10201" ht="26.25" customHeight="1"/>
    <row r="10202" ht="26.25" customHeight="1"/>
    <row r="10203" ht="26.25" customHeight="1"/>
    <row r="10204" ht="26.25" customHeight="1"/>
    <row r="10205" ht="26.25" customHeight="1"/>
    <row r="10206" ht="26.25" customHeight="1"/>
    <row r="10207" ht="26.25" customHeight="1"/>
    <row r="10208" ht="26.25" customHeight="1"/>
    <row r="10209" ht="26.25" customHeight="1"/>
    <row r="10210" ht="26.25" customHeight="1"/>
    <row r="10211" ht="26.25" customHeight="1"/>
    <row r="10212" ht="26.25" customHeight="1"/>
    <row r="10213" ht="26.25" customHeight="1"/>
    <row r="10214" ht="26.25" customHeight="1"/>
    <row r="10215" ht="26.25" customHeight="1"/>
    <row r="10216" ht="26.25" customHeight="1"/>
    <row r="10217" ht="26.25" customHeight="1"/>
    <row r="10218" ht="26.25" customHeight="1"/>
    <row r="10219" ht="26.25" customHeight="1"/>
    <row r="10220" ht="26.25" customHeight="1"/>
    <row r="10221" ht="26.25" customHeight="1"/>
    <row r="10222" ht="26.25" customHeight="1"/>
    <row r="10223" ht="26.25" customHeight="1"/>
    <row r="10224" ht="26.25" customHeight="1"/>
    <row r="10225" ht="26.25" customHeight="1"/>
    <row r="10226" ht="26.25" customHeight="1"/>
    <row r="10227" ht="26.25" customHeight="1"/>
    <row r="10228" ht="26.25" customHeight="1"/>
    <row r="10229" ht="26.25" customHeight="1"/>
    <row r="10230" ht="26.25" customHeight="1"/>
    <row r="10231" ht="26.25" customHeight="1"/>
    <row r="10232" ht="26.25" customHeight="1"/>
    <row r="10233" ht="26.25" customHeight="1"/>
    <row r="10234" ht="26.25" customHeight="1"/>
    <row r="10235" ht="26.25" customHeight="1"/>
    <row r="10236" ht="26.25" customHeight="1"/>
    <row r="10237" ht="26.25" customHeight="1"/>
    <row r="10238" ht="26.25" customHeight="1"/>
    <row r="10239" ht="26.25" customHeight="1"/>
    <row r="10240" ht="26.25" customHeight="1"/>
    <row r="10241" ht="26.25" customHeight="1"/>
    <row r="10242" ht="26.25" customHeight="1"/>
    <row r="10243" ht="26.25" customHeight="1"/>
    <row r="10244" ht="26.25" customHeight="1"/>
    <row r="10245" ht="26.25" customHeight="1"/>
    <row r="10246" ht="26.25" customHeight="1"/>
    <row r="10247" ht="26.25" customHeight="1"/>
    <row r="10248" ht="26.25" customHeight="1"/>
    <row r="10249" ht="26.25" customHeight="1"/>
    <row r="10250" ht="26.25" customHeight="1"/>
    <row r="10251" ht="26.25" customHeight="1"/>
    <row r="10252" ht="26.25" customHeight="1"/>
    <row r="10253" ht="26.25" customHeight="1"/>
    <row r="10254" ht="26.25" customHeight="1"/>
    <row r="10255" ht="26.25" customHeight="1"/>
    <row r="10256" ht="26.25" customHeight="1"/>
    <row r="10257" ht="26.25" customHeight="1"/>
    <row r="10258" ht="26.25" customHeight="1"/>
    <row r="10259" ht="26.25" customHeight="1"/>
    <row r="10260" ht="26.25" customHeight="1"/>
    <row r="10261" ht="26.25" customHeight="1"/>
    <row r="10262" ht="26.25" customHeight="1"/>
    <row r="10263" ht="26.25" customHeight="1"/>
    <row r="10264" ht="26.25" customHeight="1"/>
    <row r="10265" ht="26.25" customHeight="1"/>
    <row r="10266" ht="26.25" customHeight="1"/>
    <row r="10267" ht="26.25" customHeight="1"/>
    <row r="10268" ht="26.25" customHeight="1"/>
    <row r="10269" ht="26.25" customHeight="1"/>
    <row r="10270" ht="26.25" customHeight="1"/>
    <row r="10271" ht="26.25" customHeight="1"/>
    <row r="10272" ht="26.25" customHeight="1"/>
    <row r="10273" ht="26.25" customHeight="1"/>
    <row r="10274" ht="26.25" customHeight="1"/>
    <row r="10275" ht="26.25" customHeight="1"/>
    <row r="10276" ht="26.25" customHeight="1"/>
    <row r="10277" ht="26.25" customHeight="1"/>
    <row r="10278" ht="26.25" customHeight="1"/>
    <row r="10279" ht="26.25" customHeight="1"/>
    <row r="10280" ht="26.25" customHeight="1"/>
    <row r="10281" ht="26.25" customHeight="1"/>
    <row r="10282" ht="26.25" customHeight="1"/>
    <row r="10283" ht="26.25" customHeight="1"/>
    <row r="10284" ht="26.25" customHeight="1"/>
    <row r="10285" ht="26.25" customHeight="1"/>
    <row r="10286" ht="26.25" customHeight="1"/>
    <row r="10287" ht="26.25" customHeight="1"/>
    <row r="10288" ht="26.25" customHeight="1"/>
    <row r="10289" ht="26.25" customHeight="1"/>
    <row r="10290" ht="26.25" customHeight="1"/>
    <row r="10291" ht="26.25" customHeight="1"/>
    <row r="10292" ht="26.25" customHeight="1"/>
    <row r="10293" ht="26.25" customHeight="1"/>
    <row r="10294" ht="26.25" customHeight="1"/>
    <row r="10295" ht="26.25" customHeight="1"/>
    <row r="10296" ht="26.25" customHeight="1"/>
    <row r="10297" ht="26.25" customHeight="1"/>
    <row r="10298" ht="26.25" customHeight="1"/>
    <row r="10299" ht="26.25" customHeight="1"/>
    <row r="10300" ht="26.25" customHeight="1"/>
    <row r="10301" ht="26.25" customHeight="1"/>
    <row r="10302" ht="26.25" customHeight="1"/>
    <row r="10303" ht="26.25" customHeight="1"/>
    <row r="10304" ht="26.25" customHeight="1"/>
    <row r="10305" ht="26.25" customHeight="1"/>
    <row r="10306" ht="26.25" customHeight="1"/>
    <row r="10307" ht="26.25" customHeight="1"/>
    <row r="10308" ht="26.25" customHeight="1"/>
    <row r="10309" ht="26.25" customHeight="1"/>
    <row r="10310" ht="26.25" customHeight="1"/>
    <row r="10311" ht="26.25" customHeight="1"/>
    <row r="10312" ht="26.25" customHeight="1"/>
    <row r="10313" ht="26.25" customHeight="1"/>
    <row r="10314" ht="26.25" customHeight="1"/>
    <row r="10315" ht="26.25" customHeight="1"/>
    <row r="10316" ht="26.25" customHeight="1"/>
    <row r="10317" ht="26.25" customHeight="1"/>
    <row r="10318" ht="26.25" customHeight="1"/>
    <row r="10319" ht="26.25" customHeight="1"/>
    <row r="10320" ht="26.25" customHeight="1"/>
    <row r="10321" ht="26.25" customHeight="1"/>
    <row r="10322" ht="26.25" customHeight="1"/>
    <row r="10323" ht="26.25" customHeight="1"/>
    <row r="10324" ht="26.25" customHeight="1"/>
    <row r="10325" ht="26.25" customHeight="1"/>
    <row r="10326" ht="26.25" customHeight="1"/>
    <row r="10327" ht="26.25" customHeight="1"/>
    <row r="10328" ht="26.25" customHeight="1"/>
    <row r="10329" ht="26.25" customHeight="1"/>
    <row r="10330" ht="26.25" customHeight="1"/>
    <row r="10331" ht="26.25" customHeight="1"/>
    <row r="10332" ht="26.25" customHeight="1"/>
    <row r="10333" ht="26.25" customHeight="1"/>
    <row r="10334" ht="26.25" customHeight="1"/>
    <row r="10335" ht="26.25" customHeight="1"/>
    <row r="10336" ht="26.25" customHeight="1"/>
    <row r="10337" ht="26.25" customHeight="1"/>
    <row r="10338" ht="26.25" customHeight="1"/>
    <row r="10339" ht="26.25" customHeight="1"/>
    <row r="10340" ht="26.25" customHeight="1"/>
    <row r="10341" ht="26.25" customHeight="1"/>
    <row r="10342" ht="26.25" customHeight="1"/>
    <row r="10343" ht="26.25" customHeight="1"/>
    <row r="10344" ht="26.25" customHeight="1"/>
    <row r="10345" ht="26.25" customHeight="1"/>
    <row r="10346" ht="26.25" customHeight="1"/>
    <row r="10347" ht="26.25" customHeight="1"/>
    <row r="10348" ht="26.25" customHeight="1"/>
    <row r="10349" ht="26.25" customHeight="1"/>
    <row r="10350" ht="26.25" customHeight="1"/>
    <row r="10351" ht="26.25" customHeight="1"/>
    <row r="10352" ht="26.25" customHeight="1"/>
    <row r="10353" ht="26.25" customHeight="1"/>
    <row r="10354" ht="26.25" customHeight="1"/>
    <row r="10355" ht="26.25" customHeight="1"/>
    <row r="10356" ht="26.25" customHeight="1"/>
    <row r="10357" ht="26.25" customHeight="1"/>
    <row r="10358" ht="26.25" customHeight="1"/>
    <row r="10359" ht="26.25" customHeight="1"/>
    <row r="10360" ht="26.25" customHeight="1"/>
    <row r="10361" ht="26.25" customHeight="1"/>
    <row r="10362" ht="26.25" customHeight="1"/>
    <row r="10363" ht="26.25" customHeight="1"/>
    <row r="10364" ht="26.25" customHeight="1"/>
    <row r="10365" ht="26.25" customHeight="1"/>
    <row r="10366" ht="26.25" customHeight="1"/>
    <row r="10367" ht="26.25" customHeight="1"/>
    <row r="10368" ht="26.25" customHeight="1"/>
    <row r="10369" ht="26.25" customHeight="1"/>
    <row r="10370" ht="26.25" customHeight="1"/>
    <row r="10371" ht="26.25" customHeight="1"/>
    <row r="10372" ht="26.25" customHeight="1"/>
    <row r="10373" ht="26.25" customHeight="1"/>
    <row r="10374" ht="26.25" customHeight="1"/>
    <row r="10375" ht="26.25" customHeight="1"/>
    <row r="10376" ht="26.25" customHeight="1"/>
    <row r="10377" ht="26.25" customHeight="1"/>
    <row r="10378" ht="26.25" customHeight="1"/>
    <row r="10379" ht="26.25" customHeight="1"/>
    <row r="10380" ht="26.25" customHeight="1"/>
    <row r="10381" ht="26.25" customHeight="1"/>
    <row r="10382" ht="26.25" customHeight="1"/>
    <row r="10383" ht="26.25" customHeight="1"/>
    <row r="10384" ht="26.25" customHeight="1"/>
    <row r="10385" ht="26.25" customHeight="1"/>
    <row r="10386" ht="26.25" customHeight="1"/>
    <row r="10387" ht="26.25" customHeight="1"/>
    <row r="10388" ht="26.25" customHeight="1"/>
    <row r="10389" ht="26.25" customHeight="1"/>
    <row r="10390" ht="26.25" customHeight="1"/>
    <row r="10391" ht="26.25" customHeight="1"/>
    <row r="10392" ht="26.25" customHeight="1"/>
    <row r="10393" ht="26.25" customHeight="1"/>
    <row r="10394" ht="26.25" customHeight="1"/>
    <row r="10395" ht="26.25" customHeight="1"/>
    <row r="10396" ht="26.25" customHeight="1"/>
    <row r="10397" ht="26.25" customHeight="1"/>
    <row r="10398" ht="26.25" customHeight="1"/>
    <row r="10399" ht="26.25" customHeight="1"/>
    <row r="10400" ht="26.25" customHeight="1"/>
    <row r="10401" ht="26.25" customHeight="1"/>
    <row r="10402" ht="26.25" customHeight="1"/>
    <row r="10403" ht="26.25" customHeight="1"/>
    <row r="10404" ht="26.25" customHeight="1"/>
    <row r="10405" ht="26.25" customHeight="1"/>
    <row r="10406" ht="26.25" customHeight="1"/>
    <row r="10407" ht="26.25" customHeight="1"/>
    <row r="10408" ht="26.25" customHeight="1"/>
    <row r="10409" ht="26.25" customHeight="1"/>
    <row r="10410" ht="26.25" customHeight="1"/>
    <row r="10411" ht="26.25" customHeight="1"/>
    <row r="10412" ht="26.25" customHeight="1"/>
    <row r="10413" ht="26.25" customHeight="1"/>
    <row r="10414" ht="26.25" customHeight="1"/>
    <row r="10415" ht="26.25" customHeight="1"/>
    <row r="10416" ht="26.25" customHeight="1"/>
    <row r="10417" ht="26.25" customHeight="1"/>
    <row r="10418" ht="26.25" customHeight="1"/>
    <row r="10419" ht="26.25" customHeight="1"/>
    <row r="10420" ht="26.25" customHeight="1"/>
    <row r="10421" ht="26.25" customHeight="1"/>
    <row r="10422" ht="26.25" customHeight="1"/>
    <row r="10423" ht="26.25" customHeight="1"/>
    <row r="10424" ht="26.25" customHeight="1"/>
    <row r="10425" ht="26.25" customHeight="1"/>
    <row r="10426" ht="26.25" customHeight="1"/>
    <row r="10427" ht="26.25" customHeight="1"/>
    <row r="10428" ht="26.25" customHeight="1"/>
    <row r="10429" ht="26.25" customHeight="1"/>
    <row r="10430" ht="26.25" customHeight="1"/>
    <row r="10431" ht="26.25" customHeight="1"/>
    <row r="10432" ht="26.25" customHeight="1"/>
    <row r="10433" ht="26.25" customHeight="1"/>
    <row r="10434" ht="26.25" customHeight="1"/>
    <row r="10435" ht="26.25" customHeight="1"/>
    <row r="10436" ht="26.25" customHeight="1"/>
    <row r="10437" ht="26.25" customHeight="1"/>
    <row r="10438" ht="26.25" customHeight="1"/>
    <row r="10439" ht="26.25" customHeight="1"/>
    <row r="10440" ht="26.25" customHeight="1"/>
    <row r="10441" ht="26.25" customHeight="1"/>
    <row r="10442" ht="26.25" customHeight="1"/>
    <row r="10443" ht="26.25" customHeight="1"/>
    <row r="10444" ht="26.25" customHeight="1"/>
    <row r="10445" ht="26.25" customHeight="1"/>
    <row r="10446" ht="26.25" customHeight="1"/>
    <row r="10447" ht="26.25" customHeight="1"/>
    <row r="10448" ht="26.25" customHeight="1"/>
    <row r="10449" ht="26.25" customHeight="1"/>
    <row r="10450" ht="26.25" customHeight="1"/>
    <row r="10451" ht="26.25" customHeight="1"/>
    <row r="10452" ht="26.25" customHeight="1"/>
    <row r="10453" ht="26.25" customHeight="1"/>
    <row r="10454" ht="26.25" customHeight="1"/>
    <row r="10455" ht="26.25" customHeight="1"/>
    <row r="10456" ht="26.25" customHeight="1"/>
    <row r="10457" ht="26.25" customHeight="1"/>
    <row r="10458" ht="26.25" customHeight="1"/>
    <row r="10459" ht="26.25" customHeight="1"/>
    <row r="10460" ht="26.25" customHeight="1"/>
    <row r="10461" ht="26.25" customHeight="1"/>
    <row r="10462" ht="26.25" customHeight="1"/>
    <row r="10463" ht="26.25" customHeight="1"/>
    <row r="10464" ht="26.25" customHeight="1"/>
    <row r="10465" ht="26.25" customHeight="1"/>
    <row r="10466" ht="26.25" customHeight="1"/>
    <row r="10467" ht="26.25" customHeight="1"/>
    <row r="10468" ht="26.25" customHeight="1"/>
    <row r="10469" ht="26.25" customHeight="1"/>
    <row r="10470" ht="26.25" customHeight="1"/>
    <row r="10471" ht="26.25" customHeight="1"/>
    <row r="10472" ht="26.25" customHeight="1"/>
    <row r="10473" ht="26.25" customHeight="1"/>
    <row r="10474" ht="26.25" customHeight="1"/>
    <row r="10475" ht="26.25" customHeight="1"/>
    <row r="10476" ht="26.25" customHeight="1"/>
    <row r="10477" ht="26.25" customHeight="1"/>
    <row r="10478" ht="26.25" customHeight="1"/>
    <row r="10479" ht="26.25" customHeight="1"/>
    <row r="10480" ht="26.25" customHeight="1"/>
    <row r="10481" ht="26.25" customHeight="1"/>
    <row r="10482" ht="26.25" customHeight="1"/>
    <row r="10483" ht="26.25" customHeight="1"/>
    <row r="10484" ht="26.25" customHeight="1"/>
    <row r="10485" ht="26.25" customHeight="1"/>
    <row r="10486" ht="26.25" customHeight="1"/>
    <row r="10487" ht="26.25" customHeight="1"/>
    <row r="10488" ht="26.25" customHeight="1"/>
    <row r="10489" ht="26.25" customHeight="1"/>
    <row r="10490" ht="26.25" customHeight="1"/>
    <row r="10491" ht="26.25" customHeight="1"/>
    <row r="10492" ht="26.25" customHeight="1"/>
    <row r="10493" ht="26.25" customHeight="1"/>
    <row r="10494" ht="26.25" customHeight="1"/>
    <row r="10495" ht="26.25" customHeight="1"/>
    <row r="10496" ht="26.25" customHeight="1"/>
    <row r="10497" ht="26.25" customHeight="1"/>
    <row r="10498" ht="26.25" customHeight="1"/>
    <row r="10499" ht="26.25" customHeight="1"/>
    <row r="10500" ht="26.25" customHeight="1"/>
    <row r="10501" ht="26.25" customHeight="1"/>
    <row r="10502" ht="26.25" customHeight="1"/>
    <row r="10503" ht="26.25" customHeight="1"/>
    <row r="10504" ht="26.25" customHeight="1"/>
    <row r="10505" ht="26.25" customHeight="1"/>
    <row r="10506" ht="26.25" customHeight="1"/>
    <row r="10507" ht="26.25" customHeight="1"/>
    <row r="10508" ht="26.25" customHeight="1"/>
    <row r="10509" ht="26.25" customHeight="1"/>
    <row r="10510" ht="26.25" customHeight="1"/>
    <row r="10511" ht="26.25" customHeight="1"/>
    <row r="10512" ht="26.25" customHeight="1"/>
    <row r="10513" ht="26.25" customHeight="1"/>
    <row r="10514" ht="26.25" customHeight="1"/>
    <row r="10515" ht="26.25" customHeight="1"/>
    <row r="10516" ht="26.25" customHeight="1"/>
    <row r="10517" ht="26.25" customHeight="1"/>
    <row r="10518" ht="26.25" customHeight="1"/>
    <row r="10519" ht="26.25" customHeight="1"/>
    <row r="10520" ht="26.25" customHeight="1"/>
    <row r="10521" ht="26.25" customHeight="1"/>
    <row r="10522" ht="26.25" customHeight="1"/>
    <row r="10523" ht="26.25" customHeight="1"/>
    <row r="10524" ht="26.25" customHeight="1"/>
    <row r="10525" ht="26.25" customHeight="1"/>
    <row r="10526" ht="26.25" customHeight="1"/>
    <row r="10527" ht="26.25" customHeight="1"/>
    <row r="10528" ht="26.25" customHeight="1"/>
    <row r="10529" ht="26.25" customHeight="1"/>
    <row r="10530" ht="26.25" customHeight="1"/>
    <row r="10531" ht="26.25" customHeight="1"/>
    <row r="10532" ht="26.25" customHeight="1"/>
    <row r="10533" ht="26.25" customHeight="1"/>
    <row r="10534" ht="26.25" customHeight="1"/>
    <row r="10535" ht="26.25" customHeight="1"/>
    <row r="10536" ht="26.25" customHeight="1"/>
    <row r="10537" ht="26.25" customHeight="1"/>
    <row r="10538" ht="26.25" customHeight="1"/>
    <row r="10539" ht="26.25" customHeight="1"/>
    <row r="10540" ht="26.25" customHeight="1"/>
    <row r="10541" ht="26.25" customHeight="1"/>
    <row r="10542" ht="26.25" customHeight="1"/>
    <row r="10543" ht="26.25" customHeight="1"/>
    <row r="10544" ht="26.25" customHeight="1"/>
    <row r="10545" ht="26.25" customHeight="1"/>
    <row r="10546" ht="26.25" customHeight="1"/>
    <row r="10547" ht="26.25" customHeight="1"/>
    <row r="10548" ht="26.25" customHeight="1"/>
    <row r="10549" ht="26.25" customHeight="1"/>
    <row r="10550" ht="26.25" customHeight="1"/>
    <row r="10551" ht="26.25" customHeight="1"/>
    <row r="10552" ht="26.25" customHeight="1"/>
    <row r="10553" ht="26.25" customHeight="1"/>
    <row r="10554" ht="26.25" customHeight="1"/>
    <row r="10555" ht="26.25" customHeight="1"/>
    <row r="10556" ht="26.25" customHeight="1"/>
    <row r="10557" ht="26.25" customHeight="1"/>
    <row r="10558" ht="26.25" customHeight="1"/>
    <row r="10559" ht="26.25" customHeight="1"/>
    <row r="10560" ht="26.25" customHeight="1"/>
    <row r="10561" ht="26.25" customHeight="1"/>
    <row r="10562" ht="26.25" customHeight="1"/>
    <row r="10563" ht="26.25" customHeight="1"/>
    <row r="10564" ht="26.25" customHeight="1"/>
    <row r="10565" ht="26.25" customHeight="1"/>
    <row r="10566" ht="26.25" customHeight="1"/>
    <row r="10567" ht="26.25" customHeight="1"/>
    <row r="10568" ht="26.25" customHeight="1"/>
    <row r="10569" ht="26.25" customHeight="1"/>
    <row r="10570" ht="26.25" customHeight="1"/>
    <row r="10571" ht="26.25" customHeight="1"/>
    <row r="10572" ht="26.25" customHeight="1"/>
    <row r="10573" ht="26.25" customHeight="1"/>
    <row r="10574" ht="26.25" customHeight="1"/>
    <row r="10575" ht="26.25" customHeight="1"/>
    <row r="10576" ht="26.25" customHeight="1"/>
    <row r="10577" ht="26.25" customHeight="1"/>
    <row r="10578" ht="26.25" customHeight="1"/>
    <row r="10579" ht="26.25" customHeight="1"/>
    <row r="10580" ht="26.25" customHeight="1"/>
    <row r="10581" ht="26.25" customHeight="1"/>
    <row r="10582" ht="26.25" customHeight="1"/>
    <row r="10583" ht="26.25" customHeight="1"/>
    <row r="10584" ht="26.25" customHeight="1"/>
    <row r="10585" ht="26.25" customHeight="1"/>
    <row r="10586" ht="26.25" customHeight="1"/>
    <row r="10587" ht="26.25" customHeight="1"/>
    <row r="10588" ht="26.25" customHeight="1"/>
    <row r="10589" ht="26.25" customHeight="1"/>
    <row r="10590" ht="26.25" customHeight="1"/>
    <row r="10591" ht="26.25" customHeight="1"/>
    <row r="10592" ht="26.25" customHeight="1"/>
    <row r="10593" ht="26.25" customHeight="1"/>
    <row r="10594" ht="26.25" customHeight="1"/>
    <row r="10595" ht="26.25" customHeight="1"/>
    <row r="10596" ht="26.25" customHeight="1"/>
    <row r="10597" ht="26.25" customHeight="1"/>
    <row r="10598" ht="26.25" customHeight="1"/>
    <row r="10599" ht="26.25" customHeight="1"/>
    <row r="10600" ht="26.25" customHeight="1"/>
    <row r="10601" ht="26.25" customHeight="1"/>
    <row r="10602" ht="26.25" customHeight="1"/>
    <row r="10603" ht="26.25" customHeight="1"/>
    <row r="10604" ht="26.25" customHeight="1"/>
    <row r="10605" ht="26.25" customHeight="1"/>
    <row r="10606" ht="26.25" customHeight="1"/>
    <row r="10607" ht="26.25" customHeight="1"/>
    <row r="10608" ht="26.25" customHeight="1"/>
    <row r="10609" ht="26.25" customHeight="1"/>
    <row r="10610" ht="26.25" customHeight="1"/>
    <row r="10611" ht="26.25" customHeight="1"/>
    <row r="10612" ht="26.25" customHeight="1"/>
    <row r="10613" ht="26.25" customHeight="1"/>
    <row r="10614" ht="26.25" customHeight="1"/>
    <row r="10615" ht="26.25" customHeight="1"/>
    <row r="10616" ht="26.25" customHeight="1"/>
    <row r="10617" ht="26.25" customHeight="1"/>
    <row r="10618" ht="26.25" customHeight="1"/>
    <row r="10619" ht="26.25" customHeight="1"/>
    <row r="10620" ht="26.25" customHeight="1"/>
    <row r="10621" ht="26.25" customHeight="1"/>
    <row r="10622" ht="26.25" customHeight="1"/>
    <row r="10623" ht="26.25" customHeight="1"/>
    <row r="10624" ht="26.25" customHeight="1"/>
    <row r="10625" ht="26.25" customHeight="1"/>
    <row r="10626" ht="26.25" customHeight="1"/>
    <row r="10627" ht="26.25" customHeight="1"/>
    <row r="10628" ht="26.25" customHeight="1"/>
    <row r="10629" ht="26.25" customHeight="1"/>
    <row r="10630" ht="26.25" customHeight="1"/>
    <row r="10631" ht="26.25" customHeight="1"/>
    <row r="10632" ht="26.25" customHeight="1"/>
    <row r="10633" ht="26.25" customHeight="1"/>
    <row r="10634" ht="26.25" customHeight="1"/>
    <row r="10635" ht="26.25" customHeight="1"/>
    <row r="10636" ht="26.25" customHeight="1"/>
    <row r="10637" ht="26.25" customHeight="1"/>
    <row r="10638" ht="26.25" customHeight="1"/>
    <row r="10639" ht="26.25" customHeight="1"/>
    <row r="10640" ht="26.25" customHeight="1"/>
    <row r="10641" ht="26.25" customHeight="1"/>
    <row r="10642" ht="26.25" customHeight="1"/>
    <row r="10643" ht="26.25" customHeight="1"/>
    <row r="10644" ht="26.25" customHeight="1"/>
    <row r="10645" ht="26.25" customHeight="1"/>
    <row r="10646" ht="26.25" customHeight="1"/>
    <row r="10647" ht="26.25" customHeight="1"/>
    <row r="10648" ht="26.25" customHeight="1"/>
    <row r="10649" ht="26.25" customHeight="1"/>
    <row r="10650" ht="26.25" customHeight="1"/>
    <row r="10651" ht="26.25" customHeight="1"/>
    <row r="10652" ht="26.25" customHeight="1"/>
    <row r="10653" ht="26.25" customHeight="1"/>
    <row r="10654" ht="26.25" customHeight="1"/>
    <row r="10655" ht="26.25" customHeight="1"/>
    <row r="10656" ht="26.25" customHeight="1"/>
    <row r="10657" ht="26.25" customHeight="1"/>
    <row r="10658" ht="26.25" customHeight="1"/>
    <row r="10659" ht="26.25" customHeight="1"/>
    <row r="10660" ht="26.25" customHeight="1"/>
    <row r="10661" ht="26.25" customHeight="1"/>
    <row r="10662" ht="26.25" customHeight="1"/>
    <row r="10663" ht="26.25" customHeight="1"/>
    <row r="10664" ht="26.25" customHeight="1"/>
    <row r="10665" ht="26.25" customHeight="1"/>
    <row r="10666" ht="26.25" customHeight="1"/>
    <row r="10667" ht="26.25" customHeight="1"/>
    <row r="10668" ht="26.25" customHeight="1"/>
    <row r="10669" ht="26.25" customHeight="1"/>
    <row r="10670" ht="26.25" customHeight="1"/>
    <row r="10671" ht="26.25" customHeight="1"/>
    <row r="10672" ht="26.25" customHeight="1"/>
    <row r="10673" ht="26.25" customHeight="1"/>
    <row r="10674" ht="26.25" customHeight="1"/>
    <row r="10675" ht="26.25" customHeight="1"/>
    <row r="10676" ht="26.25" customHeight="1"/>
    <row r="10677" ht="26.25" customHeight="1"/>
    <row r="10678" ht="26.25" customHeight="1"/>
    <row r="10679" ht="26.25" customHeight="1"/>
    <row r="10680" ht="26.25" customHeight="1"/>
    <row r="10681" ht="26.25" customHeight="1"/>
    <row r="10682" ht="26.25" customHeight="1"/>
    <row r="10683" ht="26.25" customHeight="1"/>
    <row r="10684" ht="26.25" customHeight="1"/>
    <row r="10685" ht="26.25" customHeight="1"/>
    <row r="10686" ht="26.25" customHeight="1"/>
    <row r="10687" ht="26.25" customHeight="1"/>
    <row r="10688" ht="26.25" customHeight="1"/>
    <row r="10689" ht="26.25" customHeight="1"/>
    <row r="10690" ht="26.25" customHeight="1"/>
    <row r="10691" ht="26.25" customHeight="1"/>
    <row r="10692" ht="26.25" customHeight="1"/>
    <row r="10693" ht="26.25" customHeight="1"/>
    <row r="10694" ht="26.25" customHeight="1"/>
    <row r="10695" ht="26.25" customHeight="1"/>
    <row r="10696" ht="26.25" customHeight="1"/>
    <row r="10697" ht="26.25" customHeight="1"/>
    <row r="10698" ht="26.25" customHeight="1"/>
    <row r="10699" ht="26.25" customHeight="1"/>
    <row r="10700" ht="26.25" customHeight="1"/>
    <row r="10701" ht="26.25" customHeight="1"/>
    <row r="10702" ht="26.25" customHeight="1"/>
    <row r="10703" ht="26.25" customHeight="1"/>
    <row r="10704" ht="26.25" customHeight="1"/>
    <row r="10705" ht="26.25" customHeight="1"/>
    <row r="10706" ht="26.25" customHeight="1"/>
    <row r="10707" ht="26.25" customHeight="1"/>
    <row r="10708" ht="26.25" customHeight="1"/>
    <row r="10709" ht="26.25" customHeight="1"/>
    <row r="10710" ht="26.25" customHeight="1"/>
    <row r="10711" ht="26.25" customHeight="1"/>
    <row r="10712" ht="26.25" customHeight="1"/>
    <row r="10713" ht="26.25" customHeight="1"/>
    <row r="10714" ht="26.25" customHeight="1"/>
    <row r="10715" ht="26.25" customHeight="1"/>
    <row r="10716" ht="26.25" customHeight="1"/>
    <row r="10717" ht="26.25" customHeight="1"/>
    <row r="10718" ht="26.25" customHeight="1"/>
    <row r="10719" ht="26.25" customHeight="1"/>
    <row r="10720" ht="26.25" customHeight="1"/>
    <row r="10721" ht="26.25" customHeight="1"/>
    <row r="10722" ht="26.25" customHeight="1"/>
    <row r="10723" ht="26.25" customHeight="1"/>
    <row r="10724" ht="26.25" customHeight="1"/>
    <row r="10725" ht="26.25" customHeight="1"/>
    <row r="10726" ht="26.25" customHeight="1"/>
    <row r="10727" ht="26.25" customHeight="1"/>
    <row r="10728" ht="26.25" customHeight="1"/>
    <row r="10729" ht="26.25" customHeight="1"/>
    <row r="10730" ht="26.25" customHeight="1"/>
    <row r="10731" ht="26.25" customHeight="1"/>
    <row r="10732" ht="26.25" customHeight="1"/>
    <row r="10733" ht="26.25" customHeight="1"/>
    <row r="10734" ht="26.25" customHeight="1"/>
    <row r="10735" ht="26.25" customHeight="1"/>
    <row r="10736" ht="26.25" customHeight="1"/>
    <row r="10737" ht="26.25" customHeight="1"/>
    <row r="10738" ht="26.25" customHeight="1"/>
    <row r="10739" ht="26.25" customHeight="1"/>
    <row r="10740" ht="26.25" customHeight="1"/>
    <row r="10741" ht="26.25" customHeight="1"/>
    <row r="10742" ht="26.25" customHeight="1"/>
    <row r="10743" ht="26.25" customHeight="1"/>
    <row r="10744" ht="26.25" customHeight="1"/>
    <row r="10745" ht="26.25" customHeight="1"/>
    <row r="10746" ht="26.25" customHeight="1"/>
    <row r="10747" ht="26.25" customHeight="1"/>
    <row r="10748" ht="26.25" customHeight="1"/>
    <row r="10749" ht="26.25" customHeight="1"/>
    <row r="10750" ht="26.25" customHeight="1"/>
    <row r="10751" ht="26.25" customHeight="1"/>
    <row r="10752" ht="26.25" customHeight="1"/>
    <row r="10753" ht="26.25" customHeight="1"/>
    <row r="10754" ht="26.25" customHeight="1"/>
    <row r="10755" ht="26.25" customHeight="1"/>
    <row r="10756" ht="26.25" customHeight="1"/>
    <row r="10757" ht="26.25" customHeight="1"/>
    <row r="10758" ht="26.25" customHeight="1"/>
    <row r="10759" ht="26.25" customHeight="1"/>
    <row r="10760" ht="26.25" customHeight="1"/>
    <row r="10761" ht="26.25" customHeight="1"/>
    <row r="10762" ht="26.25" customHeight="1"/>
    <row r="10763" ht="26.25" customHeight="1"/>
    <row r="10764" ht="26.25" customHeight="1"/>
    <row r="10765" ht="26.25" customHeight="1"/>
    <row r="10766" ht="26.25" customHeight="1"/>
    <row r="10767" ht="26.25" customHeight="1"/>
    <row r="10768" ht="26.25" customHeight="1"/>
    <row r="10769" ht="26.25" customHeight="1"/>
    <row r="10770" ht="26.25" customHeight="1"/>
    <row r="10771" ht="26.25" customHeight="1"/>
    <row r="10772" ht="26.25" customHeight="1"/>
    <row r="10773" ht="26.25" customHeight="1"/>
    <row r="10774" ht="26.25" customHeight="1"/>
    <row r="10775" ht="26.25" customHeight="1"/>
    <row r="10776" ht="26.25" customHeight="1"/>
    <row r="10777" ht="26.25" customHeight="1"/>
    <row r="10778" ht="26.25" customHeight="1"/>
    <row r="10779" ht="26.25" customHeight="1"/>
    <row r="10780" ht="26.25" customHeight="1"/>
    <row r="10781" ht="26.25" customHeight="1"/>
    <row r="10782" ht="26.25" customHeight="1"/>
    <row r="10783" ht="26.25" customHeight="1"/>
    <row r="10784" ht="26.25" customHeight="1"/>
    <row r="10785" ht="26.25" customHeight="1"/>
    <row r="10786" ht="26.25" customHeight="1"/>
    <row r="10787" ht="26.25" customHeight="1"/>
    <row r="10788" ht="26.25" customHeight="1"/>
    <row r="10789" ht="26.25" customHeight="1"/>
    <row r="10790" ht="26.25" customHeight="1"/>
    <row r="10791" ht="26.25" customHeight="1"/>
    <row r="10792" ht="26.25" customHeight="1"/>
    <row r="10793" ht="26.25" customHeight="1"/>
    <row r="10794" ht="26.25" customHeight="1"/>
    <row r="10795" ht="26.25" customHeight="1"/>
    <row r="10796" ht="26.25" customHeight="1"/>
    <row r="10797" ht="26.25" customHeight="1"/>
    <row r="10798" ht="26.25" customHeight="1"/>
    <row r="10799" ht="26.25" customHeight="1"/>
    <row r="10800" ht="26.25" customHeight="1"/>
    <row r="10801" ht="26.25" customHeight="1"/>
    <row r="10802" ht="26.25" customHeight="1"/>
    <row r="10803" ht="26.25" customHeight="1"/>
    <row r="10804" ht="26.25" customHeight="1"/>
    <row r="10805" ht="26.25" customHeight="1"/>
    <row r="10806" ht="26.25" customHeight="1"/>
    <row r="10807" ht="26.25" customHeight="1"/>
    <row r="10808" ht="26.25" customHeight="1"/>
    <row r="10809" ht="26.25" customHeight="1"/>
    <row r="10810" ht="26.25" customHeight="1"/>
    <row r="10811" ht="26.25" customHeight="1"/>
    <row r="10812" ht="26.25" customHeight="1"/>
    <row r="10813" ht="26.25" customHeight="1"/>
    <row r="10814" ht="26.25" customHeight="1"/>
    <row r="10815" ht="26.25" customHeight="1"/>
    <row r="10816" ht="26.25" customHeight="1"/>
    <row r="10817" ht="26.25" customHeight="1"/>
    <row r="10818" ht="26.25" customHeight="1"/>
    <row r="10819" ht="26.25" customHeight="1"/>
    <row r="10820" ht="26.25" customHeight="1"/>
    <row r="10821" ht="26.25" customHeight="1"/>
    <row r="10822" ht="26.25" customHeight="1"/>
    <row r="10823" ht="26.25" customHeight="1"/>
    <row r="10824" ht="26.25" customHeight="1"/>
    <row r="10825" ht="26.25" customHeight="1"/>
    <row r="10826" ht="26.25" customHeight="1"/>
    <row r="10827" ht="26.25" customHeight="1"/>
    <row r="10828" ht="26.25" customHeight="1"/>
    <row r="10829" ht="26.25" customHeight="1"/>
    <row r="10830" ht="26.25" customHeight="1"/>
    <row r="10831" ht="26.25" customHeight="1"/>
    <row r="10832" ht="26.25" customHeight="1"/>
    <row r="10833" ht="26.25" customHeight="1"/>
    <row r="10834" ht="26.25" customHeight="1"/>
    <row r="10835" ht="26.25" customHeight="1"/>
    <row r="10836" ht="26.25" customHeight="1"/>
    <row r="10837" ht="26.25" customHeight="1"/>
    <row r="10838" ht="26.25" customHeight="1"/>
    <row r="10839" ht="26.25" customHeight="1"/>
    <row r="10840" ht="26.25" customHeight="1"/>
    <row r="10841" ht="26.25" customHeight="1"/>
    <row r="10842" ht="26.25" customHeight="1"/>
    <row r="10843" ht="26.25" customHeight="1"/>
    <row r="10844" ht="26.25" customHeight="1"/>
    <row r="10845" ht="26.25" customHeight="1"/>
    <row r="10846" ht="26.25" customHeight="1"/>
    <row r="10847" ht="26.25" customHeight="1"/>
    <row r="10848" ht="26.25" customHeight="1"/>
    <row r="10849" ht="26.25" customHeight="1"/>
    <row r="10850" ht="26.25" customHeight="1"/>
    <row r="10851" ht="26.25" customHeight="1"/>
    <row r="10852" ht="26.25" customHeight="1"/>
    <row r="10853" ht="26.25" customHeight="1"/>
    <row r="10854" ht="26.25" customHeight="1"/>
    <row r="10855" ht="26.25" customHeight="1"/>
    <row r="10856" ht="26.25" customHeight="1"/>
    <row r="10857" ht="26.25" customHeight="1"/>
    <row r="10858" ht="26.25" customHeight="1"/>
    <row r="10859" ht="26.25" customHeight="1"/>
    <row r="10860" ht="26.25" customHeight="1"/>
    <row r="10861" ht="26.25" customHeight="1"/>
    <row r="10862" ht="26.25" customHeight="1"/>
    <row r="10863" ht="26.25" customHeight="1"/>
    <row r="10864" ht="26.25" customHeight="1"/>
    <row r="10865" ht="26.25" customHeight="1"/>
    <row r="10866" ht="26.25" customHeight="1"/>
    <row r="10867" ht="26.25" customHeight="1"/>
    <row r="10868" ht="26.25" customHeight="1"/>
    <row r="10869" ht="26.25" customHeight="1"/>
    <row r="10870" ht="26.25" customHeight="1"/>
    <row r="10871" ht="26.25" customHeight="1"/>
    <row r="10872" ht="26.25" customHeight="1"/>
    <row r="10873" ht="26.25" customHeight="1"/>
    <row r="10874" ht="26.25" customHeight="1"/>
    <row r="10875" ht="26.25" customHeight="1"/>
    <row r="10876" ht="26.25" customHeight="1"/>
    <row r="10877" ht="26.25" customHeight="1"/>
    <row r="10878" ht="26.25" customHeight="1"/>
    <row r="10879" ht="26.25" customHeight="1"/>
    <row r="10880" ht="26.25" customHeight="1"/>
    <row r="10881" ht="26.25" customHeight="1"/>
    <row r="10882" ht="26.25" customHeight="1"/>
    <row r="10883" ht="26.25" customHeight="1"/>
    <row r="10884" ht="26.25" customHeight="1"/>
    <row r="10885" ht="26.25" customHeight="1"/>
    <row r="10886" ht="26.25" customHeight="1"/>
    <row r="10887" ht="26.25" customHeight="1"/>
    <row r="10888" ht="26.25" customHeight="1"/>
    <row r="10889" ht="26.25" customHeight="1"/>
    <row r="10890" ht="26.25" customHeight="1"/>
    <row r="10891" ht="26.25" customHeight="1"/>
    <row r="10892" ht="26.25" customHeight="1"/>
    <row r="10893" ht="26.25" customHeight="1"/>
    <row r="10894" ht="26.25" customHeight="1"/>
    <row r="10895" ht="26.25" customHeight="1"/>
    <row r="10896" ht="26.25" customHeight="1"/>
    <row r="10897" ht="26.25" customHeight="1"/>
    <row r="10898" ht="26.25" customHeight="1"/>
    <row r="10899" ht="26.25" customHeight="1"/>
    <row r="10900" ht="26.25" customHeight="1"/>
    <row r="10901" ht="26.25" customHeight="1"/>
    <row r="10902" ht="26.25" customHeight="1"/>
    <row r="10903" ht="26.25" customHeight="1"/>
    <row r="10904" ht="26.25" customHeight="1"/>
    <row r="10905" ht="26.25" customHeight="1"/>
    <row r="10906" ht="26.25" customHeight="1"/>
    <row r="10907" ht="26.25" customHeight="1"/>
    <row r="10908" ht="26.25" customHeight="1"/>
    <row r="10909" ht="26.25" customHeight="1"/>
    <row r="10910" ht="26.25" customHeight="1"/>
    <row r="10911" ht="26.25" customHeight="1"/>
    <row r="10912" ht="26.25" customHeight="1"/>
    <row r="10913" ht="26.25" customHeight="1"/>
    <row r="10914" ht="26.25" customHeight="1"/>
    <row r="10915" ht="26.25" customHeight="1"/>
    <row r="10916" ht="26.25" customHeight="1"/>
    <row r="10917" ht="26.25" customHeight="1"/>
    <row r="10918" ht="26.25" customHeight="1"/>
    <row r="10919" ht="26.25" customHeight="1"/>
    <row r="10920" ht="26.25" customHeight="1"/>
    <row r="10921" ht="26.25" customHeight="1"/>
    <row r="10922" ht="26.25" customHeight="1"/>
    <row r="10923" ht="26.25" customHeight="1"/>
    <row r="10924" ht="26.25" customHeight="1"/>
    <row r="10925" ht="26.25" customHeight="1"/>
    <row r="10926" ht="26.25" customHeight="1"/>
    <row r="10927" ht="26.25" customHeight="1"/>
    <row r="10928" ht="26.25" customHeight="1"/>
    <row r="10929" ht="26.25" customHeight="1"/>
    <row r="10930" ht="26.25" customHeight="1"/>
    <row r="10931" ht="26.25" customHeight="1"/>
    <row r="10932" ht="26.25" customHeight="1"/>
    <row r="10933" ht="26.25" customHeight="1"/>
    <row r="10934" ht="26.25" customHeight="1"/>
    <row r="10935" ht="26.25" customHeight="1"/>
    <row r="10936" ht="26.25" customHeight="1"/>
    <row r="10937" ht="26.25" customHeight="1"/>
    <row r="10938" ht="26.25" customHeight="1"/>
    <row r="10939" ht="26.25" customHeight="1"/>
    <row r="10940" ht="26.25" customHeight="1"/>
    <row r="10941" ht="26.25" customHeight="1"/>
    <row r="10942" ht="26.25" customHeight="1"/>
    <row r="10943" ht="26.25" customHeight="1"/>
    <row r="10944" ht="26.25" customHeight="1"/>
    <row r="10945" ht="26.25" customHeight="1"/>
    <row r="10946" ht="26.25" customHeight="1"/>
    <row r="10947" ht="26.25" customHeight="1"/>
    <row r="10948" ht="26.25" customHeight="1"/>
    <row r="10949" ht="26.25" customHeight="1"/>
    <row r="10950" ht="26.25" customHeight="1"/>
    <row r="10951" ht="26.25" customHeight="1"/>
    <row r="10952" ht="26.25" customHeight="1"/>
    <row r="10953" ht="26.25" customHeight="1"/>
    <row r="10954" ht="26.25" customHeight="1"/>
    <row r="10955" ht="26.25" customHeight="1"/>
    <row r="10956" ht="26.25" customHeight="1"/>
    <row r="10957" ht="26.25" customHeight="1"/>
    <row r="10958" ht="26.25" customHeight="1"/>
    <row r="10959" ht="26.25" customHeight="1"/>
    <row r="10960" ht="26.25" customHeight="1"/>
    <row r="10961" ht="26.25" customHeight="1"/>
    <row r="10962" ht="26.25" customHeight="1"/>
    <row r="10963" ht="26.25" customHeight="1"/>
    <row r="10964" ht="26.25" customHeight="1"/>
    <row r="10965" ht="26.25" customHeight="1"/>
    <row r="10966" ht="26.25" customHeight="1"/>
    <row r="10967" ht="26.25" customHeight="1"/>
    <row r="10968" ht="26.25" customHeight="1"/>
    <row r="10969" ht="26.25" customHeight="1"/>
    <row r="10970" ht="26.25" customHeight="1"/>
    <row r="10971" ht="26.25" customHeight="1"/>
    <row r="10972" ht="26.25" customHeight="1"/>
    <row r="10973" ht="26.25" customHeight="1"/>
    <row r="10974" ht="26.25" customHeight="1"/>
    <row r="10975" ht="26.25" customHeight="1"/>
    <row r="10976" ht="26.25" customHeight="1"/>
    <row r="10977" ht="26.25" customHeight="1"/>
    <row r="10978" ht="26.25" customHeight="1"/>
    <row r="10979" ht="26.25" customHeight="1"/>
    <row r="10980" ht="26.25" customHeight="1"/>
    <row r="10981" ht="26.25" customHeight="1"/>
    <row r="10982" ht="26.25" customHeight="1"/>
    <row r="10983" ht="26.25" customHeight="1"/>
    <row r="10984" ht="26.25" customHeight="1"/>
    <row r="10985" ht="26.25" customHeight="1"/>
    <row r="10986" ht="26.25" customHeight="1"/>
    <row r="10987" ht="26.25" customHeight="1"/>
    <row r="10988" ht="26.25" customHeight="1"/>
    <row r="10989" ht="26.25" customHeight="1"/>
    <row r="10990" ht="26.25" customHeight="1"/>
    <row r="10991" ht="26.25" customHeight="1"/>
    <row r="10992" ht="26.25" customHeight="1"/>
    <row r="10993" ht="26.25" customHeight="1"/>
    <row r="10994" ht="26.25" customHeight="1"/>
    <row r="10995" ht="26.25" customHeight="1"/>
    <row r="10996" ht="26.25" customHeight="1"/>
    <row r="10997" ht="26.25" customHeight="1"/>
    <row r="10998" ht="26.25" customHeight="1"/>
    <row r="10999" ht="26.25" customHeight="1"/>
    <row r="11000" ht="26.25" customHeight="1"/>
    <row r="11001" ht="26.25" customHeight="1"/>
    <row r="11002" ht="26.25" customHeight="1"/>
    <row r="11003" ht="26.25" customHeight="1"/>
    <row r="11004" ht="26.25" customHeight="1"/>
    <row r="11005" ht="26.25" customHeight="1"/>
    <row r="11006" ht="26.25" customHeight="1"/>
    <row r="11007" ht="26.25" customHeight="1"/>
    <row r="11008" ht="26.25" customHeight="1"/>
    <row r="11009" ht="26.25" customHeight="1"/>
    <row r="11010" ht="26.25" customHeight="1"/>
    <row r="11011" ht="26.25" customHeight="1"/>
    <row r="11012" ht="26.25" customHeight="1"/>
    <row r="11013" ht="26.25" customHeight="1"/>
    <row r="11014" ht="26.25" customHeight="1"/>
    <row r="11015" ht="26.25" customHeight="1"/>
    <row r="11016" ht="26.25" customHeight="1"/>
    <row r="11017" ht="26.25" customHeight="1"/>
    <row r="11018" ht="26.25" customHeight="1"/>
    <row r="11019" ht="26.25" customHeight="1"/>
    <row r="11020" ht="26.25" customHeight="1"/>
    <row r="11021" ht="26.25" customHeight="1"/>
    <row r="11022" ht="26.25" customHeight="1"/>
    <row r="11023" ht="26.25" customHeight="1"/>
    <row r="11024" ht="26.25" customHeight="1"/>
    <row r="11025" ht="26.25" customHeight="1"/>
    <row r="11026" ht="26.25" customHeight="1"/>
    <row r="11027" ht="26.25" customHeight="1"/>
    <row r="11028" ht="26.25" customHeight="1"/>
    <row r="11029" ht="26.25" customHeight="1"/>
    <row r="11030" ht="26.25" customHeight="1"/>
    <row r="11031" ht="26.25" customHeight="1"/>
    <row r="11032" ht="26.25" customHeight="1"/>
    <row r="11033" ht="26.25" customHeight="1"/>
    <row r="11034" ht="26.25" customHeight="1"/>
    <row r="11035" ht="26.25" customHeight="1"/>
    <row r="11036" ht="26.25" customHeight="1"/>
    <row r="11037" ht="26.25" customHeight="1"/>
    <row r="11038" ht="26.25" customHeight="1"/>
    <row r="11039" ht="26.25" customHeight="1"/>
    <row r="11040" ht="26.25" customHeight="1"/>
    <row r="11041" ht="26.25" customHeight="1"/>
    <row r="11042" ht="26.25" customHeight="1"/>
    <row r="11043" ht="26.25" customHeight="1"/>
    <row r="11044" ht="26.25" customHeight="1"/>
    <row r="11045" ht="26.25" customHeight="1"/>
    <row r="11046" ht="26.25" customHeight="1"/>
    <row r="11047" ht="26.25" customHeight="1"/>
    <row r="11048" ht="26.25" customHeight="1"/>
    <row r="11049" ht="26.25" customHeight="1"/>
    <row r="11050" ht="26.25" customHeight="1"/>
    <row r="11051" ht="26.25" customHeight="1"/>
    <row r="11052" ht="26.25" customHeight="1"/>
    <row r="11053" ht="26.25" customHeight="1"/>
    <row r="11054" ht="26.25" customHeight="1"/>
    <row r="11055" ht="26.25" customHeight="1"/>
    <row r="11056" ht="26.25" customHeight="1"/>
    <row r="11057" ht="26.25" customHeight="1"/>
    <row r="11058" ht="26.25" customHeight="1"/>
    <row r="11059" ht="26.25" customHeight="1"/>
    <row r="11060" ht="26.25" customHeight="1"/>
    <row r="11061" ht="26.25" customHeight="1"/>
    <row r="11062" ht="26.25" customHeight="1"/>
    <row r="11063" ht="26.25" customHeight="1"/>
    <row r="11064" ht="26.25" customHeight="1"/>
    <row r="11065" ht="26.25" customHeight="1"/>
    <row r="11066" ht="26.25" customHeight="1"/>
    <row r="11067" ht="26.25" customHeight="1"/>
    <row r="11068" ht="26.25" customHeight="1"/>
    <row r="11069" ht="26.25" customHeight="1"/>
    <row r="11070" ht="26.25" customHeight="1"/>
    <row r="11071" ht="26.25" customHeight="1"/>
    <row r="11072" ht="26.25" customHeight="1"/>
    <row r="11073" ht="26.25" customHeight="1"/>
    <row r="11074" ht="26.25" customHeight="1"/>
    <row r="11075" ht="26.25" customHeight="1"/>
    <row r="11076" ht="26.25" customHeight="1"/>
    <row r="11077" ht="26.25" customHeight="1"/>
    <row r="11078" ht="26.25" customHeight="1"/>
    <row r="11079" ht="26.25" customHeight="1"/>
    <row r="11080" ht="26.25" customHeight="1"/>
    <row r="11081" ht="26.25" customHeight="1"/>
    <row r="11082" ht="26.25" customHeight="1"/>
    <row r="11083" ht="26.25" customHeight="1"/>
    <row r="11084" ht="26.25" customHeight="1"/>
    <row r="11085" ht="26.25" customHeight="1"/>
    <row r="11086" ht="26.25" customHeight="1"/>
    <row r="11087" ht="26.25" customHeight="1"/>
    <row r="11088" ht="26.25" customHeight="1"/>
    <row r="11089" ht="26.25" customHeight="1"/>
    <row r="11090" ht="26.25" customHeight="1"/>
    <row r="11091" ht="26.25" customHeight="1"/>
    <row r="11092" ht="26.25" customHeight="1"/>
    <row r="11093" ht="26.25" customHeight="1"/>
    <row r="11094" ht="26.25" customHeight="1"/>
    <row r="11095" ht="26.25" customHeight="1"/>
    <row r="11096" ht="26.25" customHeight="1"/>
    <row r="11097" ht="26.25" customHeight="1"/>
    <row r="11098" ht="26.25" customHeight="1"/>
    <row r="11099" ht="26.25" customHeight="1"/>
    <row r="11100" ht="26.25" customHeight="1"/>
    <row r="11101" ht="26.25" customHeight="1"/>
    <row r="11102" ht="26.25" customHeight="1"/>
    <row r="11103" ht="26.25" customHeight="1"/>
    <row r="11104" ht="26.25" customHeight="1"/>
    <row r="11105" ht="26.25" customHeight="1"/>
    <row r="11106" ht="26.25" customHeight="1"/>
    <row r="11107" ht="26.25" customHeight="1"/>
    <row r="11108" ht="26.25" customHeight="1"/>
    <row r="11109" ht="26.25" customHeight="1"/>
    <row r="11110" ht="26.25" customHeight="1"/>
    <row r="11111" ht="26.25" customHeight="1"/>
    <row r="11112" ht="26.25" customHeight="1"/>
    <row r="11113" ht="26.25" customHeight="1"/>
    <row r="11114" ht="26.25" customHeight="1"/>
    <row r="11115" ht="26.25" customHeight="1"/>
    <row r="11116" ht="26.25" customHeight="1"/>
    <row r="11117" ht="26.25" customHeight="1"/>
    <row r="11118" ht="26.25" customHeight="1"/>
    <row r="11119" ht="26.25" customHeight="1"/>
    <row r="11120" ht="26.25" customHeight="1"/>
    <row r="11121" ht="26.25" customHeight="1"/>
    <row r="11122" ht="26.25" customHeight="1"/>
    <row r="11123" ht="26.25" customHeight="1"/>
    <row r="11124" ht="26.25" customHeight="1"/>
    <row r="11125" ht="26.25" customHeight="1"/>
    <row r="11126" ht="26.25" customHeight="1"/>
    <row r="11127" ht="26.25" customHeight="1"/>
    <row r="11128" ht="26.25" customHeight="1"/>
    <row r="11129" ht="26.25" customHeight="1"/>
    <row r="11130" ht="26.25" customHeight="1"/>
    <row r="11131" ht="26.25" customHeight="1"/>
    <row r="11132" ht="26.25" customHeight="1"/>
    <row r="11133" ht="26.25" customHeight="1"/>
    <row r="11134" ht="26.25" customHeight="1"/>
    <row r="11135" ht="26.25" customHeight="1"/>
    <row r="11136" ht="26.25" customHeight="1"/>
    <row r="11137" ht="26.25" customHeight="1"/>
    <row r="11138" ht="26.25" customHeight="1"/>
    <row r="11139" ht="26.25" customHeight="1"/>
    <row r="11140" ht="26.25" customHeight="1"/>
    <row r="11141" ht="26.25" customHeight="1"/>
    <row r="11142" ht="26.25" customHeight="1"/>
    <row r="11143" ht="26.25" customHeight="1"/>
    <row r="11144" ht="26.25" customHeight="1"/>
    <row r="11145" ht="26.25" customHeight="1"/>
    <row r="11146" ht="26.25" customHeight="1"/>
    <row r="11147" ht="26.25" customHeight="1"/>
    <row r="11148" ht="26.25" customHeight="1"/>
    <row r="11149" ht="26.25" customHeight="1"/>
    <row r="11150" ht="26.25" customHeight="1"/>
    <row r="11151" ht="26.25" customHeight="1"/>
    <row r="11152" ht="26.25" customHeight="1"/>
    <row r="11153" ht="26.25" customHeight="1"/>
    <row r="11154" ht="26.25" customHeight="1"/>
    <row r="11155" ht="26.25" customHeight="1"/>
    <row r="11156" ht="26.25" customHeight="1"/>
    <row r="11157" ht="26.25" customHeight="1"/>
    <row r="11158" ht="26.25" customHeight="1"/>
    <row r="11159" ht="26.25" customHeight="1"/>
    <row r="11160" ht="26.25" customHeight="1"/>
    <row r="11161" ht="26.25" customHeight="1"/>
    <row r="11162" ht="26.25" customHeight="1"/>
    <row r="11163" ht="26.25" customHeight="1"/>
    <row r="11164" ht="26.25" customHeight="1"/>
    <row r="11165" ht="26.25" customHeight="1"/>
    <row r="11166" ht="26.25" customHeight="1"/>
    <row r="11167" ht="26.25" customHeight="1"/>
    <row r="11168" ht="26.25" customHeight="1"/>
    <row r="11169" ht="26.25" customHeight="1"/>
    <row r="11170" ht="26.25" customHeight="1"/>
    <row r="11171" ht="26.25" customHeight="1"/>
    <row r="11172" ht="26.25" customHeight="1"/>
    <row r="11173" ht="26.25" customHeight="1"/>
    <row r="11174" ht="26.25" customHeight="1"/>
    <row r="11175" ht="26.25" customHeight="1"/>
    <row r="11176" ht="26.25" customHeight="1"/>
    <row r="11177" ht="26.25" customHeight="1"/>
    <row r="11178" ht="26.25" customHeight="1"/>
    <row r="11179" ht="26.25" customHeight="1"/>
    <row r="11180" ht="26.25" customHeight="1"/>
    <row r="11181" ht="26.25" customHeight="1"/>
    <row r="11182" ht="26.25" customHeight="1"/>
    <row r="11183" ht="26.25" customHeight="1"/>
    <row r="11184" ht="26.25" customHeight="1"/>
    <row r="11185" ht="26.25" customHeight="1"/>
    <row r="11186" ht="26.25" customHeight="1"/>
    <row r="11187" ht="26.25" customHeight="1"/>
    <row r="11188" ht="26.25" customHeight="1"/>
    <row r="11189" ht="26.25" customHeight="1"/>
    <row r="11190" ht="26.25" customHeight="1"/>
    <row r="11191" ht="26.25" customHeight="1"/>
    <row r="11192" ht="26.25" customHeight="1"/>
    <row r="11193" ht="26.25" customHeight="1"/>
    <row r="11194" ht="26.25" customHeight="1"/>
    <row r="11195" ht="26.25" customHeight="1"/>
    <row r="11196" ht="26.25" customHeight="1"/>
    <row r="11197" ht="26.25" customHeight="1"/>
    <row r="11198" ht="26.25" customHeight="1"/>
    <row r="11199" ht="26.25" customHeight="1"/>
    <row r="11200" ht="26.25" customHeight="1"/>
    <row r="11201" ht="26.25" customHeight="1"/>
    <row r="11202" ht="26.25" customHeight="1"/>
    <row r="11203" ht="26.25" customHeight="1"/>
    <row r="11204" ht="26.25" customHeight="1"/>
    <row r="11205" ht="26.25" customHeight="1"/>
    <row r="11206" ht="26.25" customHeight="1"/>
    <row r="11207" ht="26.25" customHeight="1"/>
    <row r="11208" ht="26.25" customHeight="1"/>
    <row r="11209" ht="26.25" customHeight="1"/>
    <row r="11210" ht="26.25" customHeight="1"/>
    <row r="11211" ht="26.25" customHeight="1"/>
    <row r="11212" ht="26.25" customHeight="1"/>
    <row r="11213" ht="26.25" customHeight="1"/>
    <row r="11214" ht="26.25" customHeight="1"/>
    <row r="11215" ht="26.25" customHeight="1"/>
    <row r="11216" ht="26.25" customHeight="1"/>
    <row r="11217" ht="26.25" customHeight="1"/>
    <row r="11218" ht="26.25" customHeight="1"/>
    <row r="11219" ht="26.25" customHeight="1"/>
    <row r="11220" ht="26.25" customHeight="1"/>
    <row r="11221" ht="26.25" customHeight="1"/>
    <row r="11222" ht="26.25" customHeight="1"/>
    <row r="11223" ht="26.25" customHeight="1"/>
    <row r="11224" ht="26.25" customHeight="1"/>
    <row r="11225" ht="26.25" customHeight="1"/>
    <row r="11226" ht="26.25" customHeight="1"/>
    <row r="11227" ht="26.25" customHeight="1"/>
    <row r="11228" ht="26.25" customHeight="1"/>
    <row r="11229" ht="26.25" customHeight="1"/>
    <row r="11230" ht="26.25" customHeight="1"/>
    <row r="11231" ht="26.25" customHeight="1"/>
    <row r="11232" ht="26.25" customHeight="1"/>
    <row r="11233" ht="26.25" customHeight="1"/>
    <row r="11234" ht="26.25" customHeight="1"/>
    <row r="11235" ht="26.25" customHeight="1"/>
    <row r="11236" ht="26.25" customHeight="1"/>
    <row r="11237" ht="26.25" customHeight="1"/>
    <row r="11238" ht="26.25" customHeight="1"/>
    <row r="11239" ht="26.25" customHeight="1"/>
    <row r="11240" ht="26.25" customHeight="1"/>
    <row r="11241" ht="26.25" customHeight="1"/>
    <row r="11242" ht="26.25" customHeight="1"/>
    <row r="11243" ht="26.25" customHeight="1"/>
    <row r="11244" ht="26.25" customHeight="1"/>
    <row r="11245" ht="26.25" customHeight="1"/>
    <row r="11246" ht="26.25" customHeight="1"/>
    <row r="11247" ht="26.25" customHeight="1"/>
    <row r="11248" ht="26.25" customHeight="1"/>
    <row r="11249" ht="26.25" customHeight="1"/>
    <row r="11250" ht="26.25" customHeight="1"/>
    <row r="11251" ht="26.25" customHeight="1"/>
    <row r="11252" ht="26.25" customHeight="1"/>
    <row r="11253" ht="26.25" customHeight="1"/>
    <row r="11254" ht="26.25" customHeight="1"/>
    <row r="11255" ht="26.25" customHeight="1"/>
    <row r="11256" ht="26.25" customHeight="1"/>
    <row r="11257" ht="26.25" customHeight="1"/>
    <row r="11258" ht="26.25" customHeight="1"/>
    <row r="11259" ht="26.25" customHeight="1"/>
    <row r="11260" ht="26.25" customHeight="1"/>
    <row r="11261" ht="26.25" customHeight="1"/>
    <row r="11262" ht="26.25" customHeight="1"/>
    <row r="11263" ht="26.25" customHeight="1"/>
    <row r="11264" ht="26.25" customHeight="1"/>
    <row r="11265" ht="26.25" customHeight="1"/>
    <row r="11266" ht="26.25" customHeight="1"/>
    <row r="11267" ht="26.25" customHeight="1"/>
    <row r="11268" ht="26.25" customHeight="1"/>
    <row r="11269" ht="26.25" customHeight="1"/>
    <row r="11270" ht="26.25" customHeight="1"/>
    <row r="11271" ht="26.25" customHeight="1"/>
    <row r="11272" ht="26.25" customHeight="1"/>
    <row r="11273" ht="26.25" customHeight="1"/>
    <row r="11274" ht="26.25" customHeight="1"/>
    <row r="11275" ht="26.25" customHeight="1"/>
    <row r="11276" ht="26.25" customHeight="1"/>
    <row r="11277" ht="26.25" customHeight="1"/>
    <row r="11278" ht="26.25" customHeight="1"/>
    <row r="11279" ht="26.25" customHeight="1"/>
    <row r="11280" ht="26.25" customHeight="1"/>
    <row r="11281" ht="26.25" customHeight="1"/>
    <row r="11282" ht="26.25" customHeight="1"/>
    <row r="11283" ht="26.25" customHeight="1"/>
    <row r="11284" ht="26.25" customHeight="1"/>
    <row r="11285" ht="26.25" customHeight="1"/>
    <row r="11286" ht="26.25" customHeight="1"/>
    <row r="11287" ht="26.25" customHeight="1"/>
    <row r="11288" ht="26.25" customHeight="1"/>
    <row r="11289" ht="26.25" customHeight="1"/>
    <row r="11290" ht="26.25" customHeight="1"/>
    <row r="11291" ht="26.25" customHeight="1"/>
    <row r="11292" ht="26.25" customHeight="1"/>
    <row r="11293" ht="26.25" customHeight="1"/>
    <row r="11294" ht="26.25" customHeight="1"/>
    <row r="11295" ht="26.25" customHeight="1"/>
    <row r="11296" ht="26.25" customHeight="1"/>
    <row r="11297" ht="26.25" customHeight="1"/>
    <row r="11298" ht="26.25" customHeight="1"/>
    <row r="11299" ht="26.25" customHeight="1"/>
    <row r="11300" ht="26.25" customHeight="1"/>
    <row r="11301" ht="26.25" customHeight="1"/>
    <row r="11302" ht="26.25" customHeight="1"/>
    <row r="11303" ht="26.25" customHeight="1"/>
    <row r="11304" ht="26.25" customHeight="1"/>
    <row r="11305" ht="26.25" customHeight="1"/>
    <row r="11306" ht="26.25" customHeight="1"/>
    <row r="11307" ht="26.25" customHeight="1"/>
    <row r="11308" ht="26.25" customHeight="1"/>
    <row r="11309" ht="26.25" customHeight="1"/>
    <row r="11310" ht="26.25" customHeight="1"/>
    <row r="11311" ht="26.25" customHeight="1"/>
    <row r="11312" ht="26.25" customHeight="1"/>
    <row r="11313" ht="26.25" customHeight="1"/>
    <row r="11314" ht="26.25" customHeight="1"/>
    <row r="11315" ht="26.25" customHeight="1"/>
    <row r="11316" ht="26.25" customHeight="1"/>
    <row r="11317" ht="26.25" customHeight="1"/>
    <row r="11318" ht="26.25" customHeight="1"/>
    <row r="11319" ht="26.25" customHeight="1"/>
    <row r="11320" ht="26.25" customHeight="1"/>
    <row r="11321" ht="26.25" customHeight="1"/>
    <row r="11322" ht="26.25" customHeight="1"/>
    <row r="11323" ht="26.25" customHeight="1"/>
    <row r="11324" ht="26.25" customHeight="1"/>
    <row r="11325" ht="26.25" customHeight="1"/>
    <row r="11326" ht="26.25" customHeight="1"/>
    <row r="11327" ht="26.25" customHeight="1"/>
    <row r="11328" ht="26.25" customHeight="1"/>
    <row r="11329" ht="26.25" customHeight="1"/>
    <row r="11330" ht="26.25" customHeight="1"/>
    <row r="11331" ht="26.25" customHeight="1"/>
    <row r="11332" ht="26.25" customHeight="1"/>
    <row r="11333" ht="26.25" customHeight="1"/>
    <row r="11334" ht="26.25" customHeight="1"/>
    <row r="11335" ht="26.25" customHeight="1"/>
    <row r="11336" ht="26.25" customHeight="1"/>
    <row r="11337" ht="26.25" customHeight="1"/>
    <row r="11338" ht="26.25" customHeight="1"/>
    <row r="11339" ht="26.25" customHeight="1"/>
    <row r="11340" ht="26.25" customHeight="1"/>
    <row r="11341" ht="26.25" customHeight="1"/>
    <row r="11342" ht="26.25" customHeight="1"/>
    <row r="11343" ht="26.25" customHeight="1"/>
    <row r="11344" ht="26.25" customHeight="1"/>
    <row r="11345" ht="26.25" customHeight="1"/>
    <row r="11346" ht="26.25" customHeight="1"/>
    <row r="11347" ht="26.25" customHeight="1"/>
    <row r="11348" ht="26.25" customHeight="1"/>
    <row r="11349" ht="26.25" customHeight="1"/>
    <row r="11350" ht="26.25" customHeight="1"/>
    <row r="11351" ht="26.25" customHeight="1"/>
    <row r="11352" ht="26.25" customHeight="1"/>
    <row r="11353" ht="26.25" customHeight="1"/>
    <row r="11354" ht="26.25" customHeight="1"/>
    <row r="11355" ht="26.25" customHeight="1"/>
    <row r="11356" ht="26.25" customHeight="1"/>
    <row r="11357" ht="26.25" customHeight="1"/>
    <row r="11358" ht="26.25" customHeight="1"/>
    <row r="11359" ht="26.25" customHeight="1"/>
    <row r="11360" ht="26.25" customHeight="1"/>
    <row r="11361" ht="26.25" customHeight="1"/>
    <row r="11362" ht="26.25" customHeight="1"/>
    <row r="11363" ht="26.25" customHeight="1"/>
    <row r="11364" ht="26.25" customHeight="1"/>
    <row r="11365" ht="26.25" customHeight="1"/>
    <row r="11366" ht="26.25" customHeight="1"/>
    <row r="11367" ht="26.25" customHeight="1"/>
    <row r="11368" ht="26.25" customHeight="1"/>
    <row r="11369" ht="26.25" customHeight="1"/>
    <row r="11370" ht="26.25" customHeight="1"/>
    <row r="11371" ht="26.25" customHeight="1"/>
    <row r="11372" ht="26.25" customHeight="1"/>
    <row r="11373" ht="26.25" customHeight="1"/>
    <row r="11374" ht="26.25" customHeight="1"/>
    <row r="11375" ht="26.25" customHeight="1"/>
    <row r="11376" ht="26.25" customHeight="1"/>
    <row r="11377" ht="26.25" customHeight="1"/>
    <row r="11378" ht="26.25" customHeight="1"/>
    <row r="11379" ht="26.25" customHeight="1"/>
    <row r="11380" ht="26.25" customHeight="1"/>
    <row r="11381" ht="26.25" customHeight="1"/>
    <row r="11382" ht="26.25" customHeight="1"/>
    <row r="11383" ht="26.25" customHeight="1"/>
    <row r="11384" ht="26.25" customHeight="1"/>
    <row r="11385" ht="26.25" customHeight="1"/>
    <row r="11386" ht="26.25" customHeight="1"/>
    <row r="11387" ht="26.25" customHeight="1"/>
    <row r="11388" ht="26.25" customHeight="1"/>
    <row r="11389" ht="26.25" customHeight="1"/>
    <row r="11390" ht="26.25" customHeight="1"/>
    <row r="11391" ht="26.25" customHeight="1"/>
    <row r="11392" ht="26.25" customHeight="1"/>
    <row r="11393" ht="26.25" customHeight="1"/>
    <row r="11394" ht="26.25" customHeight="1"/>
    <row r="11395" ht="26.25" customHeight="1"/>
    <row r="11396" ht="26.25" customHeight="1"/>
    <row r="11397" ht="26.25" customHeight="1"/>
    <row r="11398" ht="26.25" customHeight="1"/>
    <row r="11399" ht="26.25" customHeight="1"/>
    <row r="11400" ht="26.25" customHeight="1"/>
    <row r="11401" ht="26.25" customHeight="1"/>
    <row r="11402" ht="26.25" customHeight="1"/>
    <row r="11403" ht="26.25" customHeight="1"/>
    <row r="11404" ht="26.25" customHeight="1"/>
    <row r="11405" ht="26.25" customHeight="1"/>
    <row r="11406" ht="26.25" customHeight="1"/>
    <row r="11407" ht="26.25" customHeight="1"/>
    <row r="11408" ht="26.25" customHeight="1"/>
    <row r="11409" ht="26.25" customHeight="1"/>
    <row r="11410" ht="26.25" customHeight="1"/>
    <row r="11411" ht="26.25" customHeight="1"/>
    <row r="11412" ht="26.25" customHeight="1"/>
    <row r="11413" ht="26.25" customHeight="1"/>
    <row r="11414" ht="26.25" customHeight="1"/>
    <row r="11415" ht="26.25" customHeight="1"/>
    <row r="11416" ht="26.25" customHeight="1"/>
    <row r="11417" ht="26.25" customHeight="1"/>
    <row r="11418" ht="26.25" customHeight="1"/>
    <row r="11419" ht="26.25" customHeight="1"/>
    <row r="11420" ht="26.25" customHeight="1"/>
    <row r="11421" ht="26.25" customHeight="1"/>
    <row r="11422" ht="26.25" customHeight="1"/>
    <row r="11423" ht="26.25" customHeight="1"/>
    <row r="11424" ht="26.25" customHeight="1"/>
    <row r="11425" ht="26.25" customHeight="1"/>
    <row r="11426" ht="26.25" customHeight="1"/>
    <row r="11427" ht="26.25" customHeight="1"/>
    <row r="11428" ht="26.25" customHeight="1"/>
    <row r="11429" ht="26.25" customHeight="1"/>
    <row r="11430" ht="26.25" customHeight="1"/>
    <row r="11431" ht="26.25" customHeight="1"/>
    <row r="11432" ht="26.25" customHeight="1"/>
    <row r="11433" ht="26.25" customHeight="1"/>
    <row r="11434" ht="26.25" customHeight="1"/>
    <row r="11435" ht="26.25" customHeight="1"/>
    <row r="11436" ht="26.25" customHeight="1"/>
    <row r="11437" ht="26.25" customHeight="1"/>
    <row r="11438" ht="26.25" customHeight="1"/>
    <row r="11439" ht="26.25" customHeight="1"/>
    <row r="11440" ht="26.25" customHeight="1"/>
    <row r="11441" ht="26.25" customHeight="1"/>
    <row r="11442" ht="26.25" customHeight="1"/>
    <row r="11443" ht="26.25" customHeight="1"/>
    <row r="11444" ht="26.25" customHeight="1"/>
    <row r="11445" ht="26.25" customHeight="1"/>
    <row r="11446" ht="26.25" customHeight="1"/>
    <row r="11447" ht="26.25" customHeight="1"/>
    <row r="11448" ht="26.25" customHeight="1"/>
    <row r="11449" ht="26.25" customHeight="1"/>
    <row r="11450" ht="26.25" customHeight="1"/>
    <row r="11451" ht="26.25" customHeight="1"/>
    <row r="11452" ht="26.25" customHeight="1"/>
    <row r="11453" ht="26.25" customHeight="1"/>
    <row r="11454" ht="26.25" customHeight="1"/>
    <row r="11455" ht="26.25" customHeight="1"/>
    <row r="11456" ht="26.25" customHeight="1"/>
    <row r="11457" ht="26.25" customHeight="1"/>
    <row r="11458" ht="26.25" customHeight="1"/>
    <row r="11459" ht="26.25" customHeight="1"/>
    <row r="11460" ht="26.25" customHeight="1"/>
    <row r="11461" ht="26.25" customHeight="1"/>
    <row r="11462" ht="26.25" customHeight="1"/>
    <row r="11463" ht="26.25" customHeight="1"/>
    <row r="11464" ht="26.25" customHeight="1"/>
    <row r="11465" ht="26.25" customHeight="1"/>
    <row r="11466" ht="26.25" customHeight="1"/>
    <row r="11467" ht="26.25" customHeight="1"/>
    <row r="11468" ht="26.25" customHeight="1"/>
    <row r="11469" ht="26.25" customHeight="1"/>
    <row r="11470" ht="26.25" customHeight="1"/>
    <row r="11471" ht="26.25" customHeight="1"/>
    <row r="11472" ht="26.25" customHeight="1"/>
    <row r="11473" ht="26.25" customHeight="1"/>
    <row r="11474" ht="26.25" customHeight="1"/>
    <row r="11475" ht="26.25" customHeight="1"/>
    <row r="11476" ht="26.25" customHeight="1"/>
    <row r="11477" ht="26.25" customHeight="1"/>
    <row r="11478" ht="26.25" customHeight="1"/>
    <row r="11479" ht="26.25" customHeight="1"/>
    <row r="11480" ht="26.25" customHeight="1"/>
    <row r="11481" ht="26.25" customHeight="1"/>
    <row r="11482" ht="26.25" customHeight="1"/>
    <row r="11483" ht="26.25" customHeight="1"/>
    <row r="11484" ht="26.25" customHeight="1"/>
    <row r="11485" ht="26.25" customHeight="1"/>
    <row r="11486" ht="26.25" customHeight="1"/>
    <row r="11487" ht="26.25" customHeight="1"/>
    <row r="11488" ht="26.25" customHeight="1"/>
    <row r="11489" ht="26.25" customHeight="1"/>
    <row r="11490" ht="26.25" customHeight="1"/>
    <row r="11491" ht="26.25" customHeight="1"/>
    <row r="11492" ht="26.25" customHeight="1"/>
    <row r="11493" ht="26.25" customHeight="1"/>
    <row r="11494" ht="26.25" customHeight="1"/>
    <row r="11495" ht="26.25" customHeight="1"/>
    <row r="11496" ht="26.25" customHeight="1"/>
    <row r="11497" ht="26.25" customHeight="1"/>
    <row r="11498" ht="26.25" customHeight="1"/>
    <row r="11499" ht="26.25" customHeight="1"/>
    <row r="11500" ht="26.25" customHeight="1"/>
    <row r="11501" ht="26.25" customHeight="1"/>
    <row r="11502" ht="26.25" customHeight="1"/>
    <row r="11503" ht="26.25" customHeight="1"/>
    <row r="11504" ht="26.25" customHeight="1"/>
    <row r="11505" ht="26.25" customHeight="1"/>
    <row r="11506" ht="26.25" customHeight="1"/>
    <row r="11507" ht="26.25" customHeight="1"/>
    <row r="11508" ht="26.25" customHeight="1"/>
    <row r="11509" ht="26.25" customHeight="1"/>
    <row r="11510" ht="26.25" customHeight="1"/>
    <row r="11511" ht="26.25" customHeight="1"/>
    <row r="11512" ht="26.25" customHeight="1"/>
    <row r="11513" ht="26.25" customHeight="1"/>
    <row r="11514" ht="26.25" customHeight="1"/>
    <row r="11515" ht="26.25" customHeight="1"/>
    <row r="11516" ht="26.25" customHeight="1"/>
    <row r="11517" ht="26.25" customHeight="1"/>
    <row r="11518" ht="26.25" customHeight="1"/>
    <row r="11519" ht="26.25" customHeight="1"/>
    <row r="11520" ht="26.25" customHeight="1"/>
    <row r="11521" ht="26.25" customHeight="1"/>
    <row r="11522" ht="26.25" customHeight="1"/>
    <row r="11523" ht="26.25" customHeight="1"/>
    <row r="11524" ht="26.25" customHeight="1"/>
    <row r="11525" ht="26.25" customHeight="1"/>
    <row r="11526" ht="26.25" customHeight="1"/>
    <row r="11527" ht="26.25" customHeight="1"/>
    <row r="11528" ht="26.25" customHeight="1"/>
    <row r="11529" ht="26.25" customHeight="1"/>
    <row r="11530" ht="26.25" customHeight="1"/>
    <row r="11531" ht="26.25" customHeight="1"/>
    <row r="11532" ht="26.25" customHeight="1"/>
    <row r="11533" ht="26.25" customHeight="1"/>
    <row r="11534" ht="26.25" customHeight="1"/>
    <row r="11535" ht="26.25" customHeight="1"/>
    <row r="11536" ht="26.25" customHeight="1"/>
    <row r="11537" ht="26.25" customHeight="1"/>
    <row r="11538" ht="26.25" customHeight="1"/>
    <row r="11539" ht="26.25" customHeight="1"/>
    <row r="11540" ht="26.25" customHeight="1"/>
    <row r="11541" ht="26.25" customHeight="1"/>
    <row r="11542" ht="26.25" customHeight="1"/>
    <row r="11543" ht="26.25" customHeight="1"/>
    <row r="11544" ht="26.25" customHeight="1"/>
    <row r="11545" ht="26.25" customHeight="1"/>
    <row r="11546" ht="26.25" customHeight="1"/>
    <row r="11547" ht="26.25" customHeight="1"/>
    <row r="11548" ht="26.25" customHeight="1"/>
    <row r="11549" ht="26.25" customHeight="1"/>
    <row r="11550" ht="26.25" customHeight="1"/>
    <row r="11551" ht="26.25" customHeight="1"/>
    <row r="11552" ht="26.25" customHeight="1"/>
    <row r="11553" ht="26.25" customHeight="1"/>
    <row r="11554" ht="26.25" customHeight="1"/>
    <row r="11555" ht="26.25" customHeight="1"/>
    <row r="11556" ht="26.25" customHeight="1"/>
    <row r="11557" ht="26.25" customHeight="1"/>
    <row r="11558" ht="26.25" customHeight="1"/>
    <row r="11559" ht="26.25" customHeight="1"/>
    <row r="11560" ht="26.25" customHeight="1"/>
    <row r="11561" ht="26.25" customHeight="1"/>
    <row r="11562" ht="26.25" customHeight="1"/>
    <row r="11563" ht="26.25" customHeight="1"/>
    <row r="11564" ht="26.25" customHeight="1"/>
    <row r="11565" ht="26.25" customHeight="1"/>
    <row r="11566" ht="26.25" customHeight="1"/>
    <row r="11567" ht="26.25" customHeight="1"/>
    <row r="11568" ht="26.25" customHeight="1"/>
    <row r="11569" ht="26.25" customHeight="1"/>
    <row r="11570" ht="26.25" customHeight="1"/>
    <row r="11571" ht="26.25" customHeight="1"/>
    <row r="11572" ht="26.25" customHeight="1"/>
    <row r="11573" ht="26.25" customHeight="1"/>
    <row r="11574" ht="26.25" customHeight="1"/>
    <row r="11575" ht="26.25" customHeight="1"/>
    <row r="11576" ht="26.25" customHeight="1"/>
    <row r="11577" ht="26.25" customHeight="1"/>
    <row r="11578" ht="26.25" customHeight="1"/>
    <row r="11579" ht="26.25" customHeight="1"/>
    <row r="11580" ht="26.25" customHeight="1"/>
    <row r="11581" ht="26.25" customHeight="1"/>
    <row r="11582" ht="26.25" customHeight="1"/>
    <row r="11583" ht="26.25" customHeight="1"/>
    <row r="11584" ht="26.25" customHeight="1"/>
    <row r="11585" ht="26.25" customHeight="1"/>
    <row r="11586" ht="26.25" customHeight="1"/>
    <row r="11587" ht="26.25" customHeight="1"/>
    <row r="11588" ht="26.25" customHeight="1"/>
    <row r="11589" ht="26.25" customHeight="1"/>
    <row r="11590" ht="26.25" customHeight="1"/>
    <row r="11591" ht="26.25" customHeight="1"/>
    <row r="11592" ht="26.25" customHeight="1"/>
    <row r="11593" ht="26.25" customHeight="1"/>
    <row r="11594" ht="26.25" customHeight="1"/>
    <row r="11595" ht="26.25" customHeight="1"/>
    <row r="11596" ht="26.25" customHeight="1"/>
    <row r="11597" ht="26.25" customHeight="1"/>
    <row r="11598" ht="26.25" customHeight="1"/>
    <row r="11599" ht="26.25" customHeight="1"/>
    <row r="11600" ht="26.25" customHeight="1"/>
    <row r="11601" ht="26.25" customHeight="1"/>
    <row r="11602" ht="26.25" customHeight="1"/>
    <row r="11603" ht="26.25" customHeight="1"/>
    <row r="11604" ht="26.25" customHeight="1"/>
    <row r="11605" ht="26.25" customHeight="1"/>
    <row r="11606" ht="26.25" customHeight="1"/>
    <row r="11607" ht="26.25" customHeight="1"/>
    <row r="11608" ht="26.25" customHeight="1"/>
    <row r="11609" ht="26.25" customHeight="1"/>
    <row r="11610" ht="26.25" customHeight="1"/>
    <row r="11611" ht="26.25" customHeight="1"/>
    <row r="11612" ht="26.25" customHeight="1"/>
    <row r="11613" ht="26.25" customHeight="1"/>
    <row r="11614" ht="26.25" customHeight="1"/>
    <row r="11615" ht="26.25" customHeight="1"/>
    <row r="11616" ht="26.25" customHeight="1"/>
    <row r="11617" ht="26.25" customHeight="1"/>
    <row r="11618" ht="26.25" customHeight="1"/>
    <row r="11619" ht="26.25" customHeight="1"/>
    <row r="11620" ht="26.25" customHeight="1"/>
    <row r="11621" ht="26.25" customHeight="1"/>
    <row r="11622" ht="26.25" customHeight="1"/>
    <row r="11623" ht="26.25" customHeight="1"/>
    <row r="11624" ht="26.25" customHeight="1"/>
    <row r="11625" ht="26.25" customHeight="1"/>
    <row r="11626" ht="26.25" customHeight="1"/>
    <row r="11627" ht="26.25" customHeight="1"/>
    <row r="11628" ht="26.25" customHeight="1"/>
    <row r="11629" ht="26.25" customHeight="1"/>
    <row r="11630" ht="26.25" customHeight="1"/>
    <row r="11631" ht="26.25" customHeight="1"/>
    <row r="11632" ht="26.25" customHeight="1"/>
    <row r="11633" ht="26.25" customHeight="1"/>
    <row r="11634" ht="26.25" customHeight="1"/>
    <row r="11635" ht="26.25" customHeight="1"/>
    <row r="11636" ht="26.25" customHeight="1"/>
    <row r="11637" ht="26.25" customHeight="1"/>
    <row r="11638" ht="26.25" customHeight="1"/>
    <row r="11639" ht="26.25" customHeight="1"/>
    <row r="11640" ht="26.25" customHeight="1"/>
    <row r="11641" ht="26.25" customHeight="1"/>
    <row r="11642" ht="26.25" customHeight="1"/>
    <row r="11643" ht="26.25" customHeight="1"/>
    <row r="11644" ht="26.25" customHeight="1"/>
    <row r="11645" ht="26.25" customHeight="1"/>
    <row r="11646" ht="26.25" customHeight="1"/>
    <row r="11647" ht="26.25" customHeight="1"/>
    <row r="11648" ht="26.25" customHeight="1"/>
    <row r="11649" ht="26.25" customHeight="1"/>
    <row r="11650" ht="26.25" customHeight="1"/>
    <row r="11651" ht="26.25" customHeight="1"/>
    <row r="11652" ht="26.25" customHeight="1"/>
    <row r="11653" ht="26.25" customHeight="1"/>
    <row r="11654" ht="26.25" customHeight="1"/>
    <row r="11655" ht="26.25" customHeight="1"/>
    <row r="11656" ht="26.25" customHeight="1"/>
    <row r="11657" ht="26.25" customHeight="1"/>
    <row r="11658" ht="26.25" customHeight="1"/>
    <row r="11659" ht="26.25" customHeight="1"/>
    <row r="11660" ht="26.25" customHeight="1"/>
    <row r="11661" ht="26.25" customHeight="1"/>
    <row r="11662" ht="26.25" customHeight="1"/>
    <row r="11663" ht="26.25" customHeight="1"/>
    <row r="11664" ht="26.25" customHeight="1"/>
    <row r="11665" ht="26.25" customHeight="1"/>
    <row r="11666" ht="26.25" customHeight="1"/>
    <row r="11667" ht="26.25" customHeight="1"/>
    <row r="11668" ht="26.25" customHeight="1"/>
    <row r="11669" ht="26.25" customHeight="1"/>
    <row r="11670" ht="26.25" customHeight="1"/>
    <row r="11671" ht="26.25" customHeight="1"/>
    <row r="11672" ht="26.25" customHeight="1"/>
    <row r="11673" ht="26.25" customHeight="1"/>
    <row r="11674" ht="26.25" customHeight="1"/>
    <row r="11675" ht="26.25" customHeight="1"/>
    <row r="11676" ht="26.25" customHeight="1"/>
    <row r="11677" ht="26.25" customHeight="1"/>
    <row r="11678" ht="26.25" customHeight="1"/>
    <row r="11679" ht="26.25" customHeight="1"/>
    <row r="11680" ht="26.25" customHeight="1"/>
    <row r="11681" ht="26.25" customHeight="1"/>
    <row r="11682" ht="26.25" customHeight="1"/>
    <row r="11683" ht="26.25" customHeight="1"/>
    <row r="11684" ht="26.25" customHeight="1"/>
    <row r="11685" ht="26.25" customHeight="1"/>
    <row r="11686" ht="26.25" customHeight="1"/>
    <row r="11687" ht="26.25" customHeight="1"/>
    <row r="11688" ht="26.25" customHeight="1"/>
    <row r="11689" ht="26.25" customHeight="1"/>
    <row r="11690" ht="26.25" customHeight="1"/>
    <row r="11691" ht="26.25" customHeight="1"/>
    <row r="11692" ht="26.25" customHeight="1"/>
    <row r="11693" ht="26.25" customHeight="1"/>
    <row r="11694" ht="26.25" customHeight="1"/>
    <row r="11695" ht="26.25" customHeight="1"/>
    <row r="11696" ht="26.25" customHeight="1"/>
    <row r="11697" ht="26.25" customHeight="1"/>
    <row r="11698" ht="26.25" customHeight="1"/>
    <row r="11699" ht="26.25" customHeight="1"/>
    <row r="11700" ht="26.25" customHeight="1"/>
    <row r="11701" ht="26.25" customHeight="1"/>
    <row r="11702" ht="26.25" customHeight="1"/>
    <row r="11703" ht="26.25" customHeight="1"/>
    <row r="11704" ht="26.25" customHeight="1"/>
    <row r="11705" ht="26.25" customHeight="1"/>
    <row r="11706" ht="26.25" customHeight="1"/>
    <row r="11707" ht="26.25" customHeight="1"/>
    <row r="11708" ht="26.25" customHeight="1"/>
    <row r="11709" ht="26.25" customHeight="1"/>
    <row r="11710" ht="26.25" customHeight="1"/>
    <row r="11711" ht="26.25" customHeight="1"/>
    <row r="11712" ht="26.25" customHeight="1"/>
    <row r="11713" ht="26.25" customHeight="1"/>
    <row r="11714" ht="26.25" customHeight="1"/>
    <row r="11715" ht="26.25" customHeight="1"/>
    <row r="11716" ht="26.25" customHeight="1"/>
    <row r="11717" ht="26.25" customHeight="1"/>
    <row r="11718" ht="26.25" customHeight="1"/>
    <row r="11719" ht="26.25" customHeight="1"/>
    <row r="11720" ht="26.25" customHeight="1"/>
    <row r="11721" ht="26.25" customHeight="1"/>
    <row r="11722" ht="26.25" customHeight="1"/>
    <row r="11723" ht="26.25" customHeight="1"/>
    <row r="11724" ht="26.25" customHeight="1"/>
    <row r="11725" ht="26.25" customHeight="1"/>
    <row r="11726" ht="26.25" customHeight="1"/>
    <row r="11727" ht="26.25" customHeight="1"/>
    <row r="11728" ht="26.25" customHeight="1"/>
    <row r="11729" ht="26.25" customHeight="1"/>
    <row r="11730" ht="26.25" customHeight="1"/>
    <row r="11731" ht="26.25" customHeight="1"/>
    <row r="11732" ht="26.25" customHeight="1"/>
    <row r="11733" ht="26.25" customHeight="1"/>
    <row r="11734" ht="26.25" customHeight="1"/>
    <row r="11735" ht="26.25" customHeight="1"/>
    <row r="11736" ht="26.25" customHeight="1"/>
    <row r="11737" ht="26.25" customHeight="1"/>
    <row r="11738" ht="26.25" customHeight="1"/>
    <row r="11739" ht="26.25" customHeight="1"/>
    <row r="11740" ht="26.25" customHeight="1"/>
    <row r="11741" ht="26.25" customHeight="1"/>
    <row r="11742" ht="26.25" customHeight="1"/>
    <row r="11743" ht="26.25" customHeight="1"/>
    <row r="11744" ht="26.25" customHeight="1"/>
    <row r="11745" ht="26.25" customHeight="1"/>
    <row r="11746" ht="26.25" customHeight="1"/>
    <row r="11747" ht="26.25" customHeight="1"/>
    <row r="11748" ht="26.25" customHeight="1"/>
    <row r="11749" ht="26.25" customHeight="1"/>
    <row r="11750" ht="26.25" customHeight="1"/>
    <row r="11751" ht="26.25" customHeight="1"/>
    <row r="11752" ht="26.25" customHeight="1"/>
    <row r="11753" ht="26.25" customHeight="1"/>
    <row r="11754" ht="26.25" customHeight="1"/>
    <row r="11755" ht="26.25" customHeight="1"/>
    <row r="11756" ht="26.25" customHeight="1"/>
    <row r="11757" ht="26.25" customHeight="1"/>
    <row r="11758" ht="26.25" customHeight="1"/>
    <row r="11759" ht="26.25" customHeight="1"/>
    <row r="11760" ht="26.25" customHeight="1"/>
    <row r="11761" ht="26.25" customHeight="1"/>
    <row r="11762" ht="26.25" customHeight="1"/>
    <row r="11763" ht="26.25" customHeight="1"/>
    <row r="11764" ht="26.25" customHeight="1"/>
    <row r="11765" ht="26.25" customHeight="1"/>
    <row r="11766" ht="26.25" customHeight="1"/>
    <row r="11767" ht="26.25" customHeight="1"/>
    <row r="11768" ht="26.25" customHeight="1"/>
    <row r="11769" ht="26.25" customHeight="1"/>
    <row r="11770" ht="26.25" customHeight="1"/>
    <row r="11771" ht="26.25" customHeight="1"/>
    <row r="11772" ht="26.25" customHeight="1"/>
    <row r="11773" ht="26.25" customHeight="1"/>
    <row r="11774" ht="26.25" customHeight="1"/>
    <row r="11775" ht="26.25" customHeight="1"/>
    <row r="11776" ht="26.25" customHeight="1"/>
    <row r="11777" ht="26.25" customHeight="1"/>
    <row r="11778" ht="26.25" customHeight="1"/>
    <row r="11779" ht="26.25" customHeight="1"/>
    <row r="11780" ht="26.25" customHeight="1"/>
    <row r="11781" ht="26.25" customHeight="1"/>
    <row r="11782" ht="26.25" customHeight="1"/>
    <row r="11783" ht="26.25" customHeight="1"/>
    <row r="11784" ht="26.25" customHeight="1"/>
    <row r="11785" ht="26.25" customHeight="1"/>
    <row r="11786" ht="26.25" customHeight="1"/>
    <row r="11787" ht="26.25" customHeight="1"/>
    <row r="11788" ht="26.25" customHeight="1"/>
    <row r="11789" ht="26.25" customHeight="1"/>
    <row r="11790" ht="26.25" customHeight="1"/>
    <row r="11791" ht="26.25" customHeight="1"/>
    <row r="11792" ht="26.25" customHeight="1"/>
    <row r="11793" ht="26.25" customHeight="1"/>
    <row r="11794" ht="26.25" customHeight="1"/>
    <row r="11795" ht="26.25" customHeight="1"/>
    <row r="11796" ht="26.25" customHeight="1"/>
    <row r="11797" ht="26.25" customHeight="1"/>
    <row r="11798" ht="26.25" customHeight="1"/>
    <row r="11799" ht="26.25" customHeight="1"/>
    <row r="11800" ht="26.25" customHeight="1"/>
    <row r="11801" ht="26.25" customHeight="1"/>
    <row r="11802" ht="26.25" customHeight="1"/>
    <row r="11803" ht="26.25" customHeight="1"/>
    <row r="11804" ht="26.25" customHeight="1"/>
    <row r="11805" ht="26.25" customHeight="1"/>
    <row r="11806" ht="26.25" customHeight="1"/>
    <row r="11807" ht="26.25" customHeight="1"/>
    <row r="11808" ht="26.25" customHeight="1"/>
    <row r="11809" ht="26.25" customHeight="1"/>
    <row r="11810" ht="26.25" customHeight="1"/>
    <row r="11811" ht="26.25" customHeight="1"/>
    <row r="11812" ht="26.25" customHeight="1"/>
    <row r="11813" ht="26.25" customHeight="1"/>
    <row r="11814" ht="26.25" customHeight="1"/>
    <row r="11815" ht="26.25" customHeight="1"/>
    <row r="11816" ht="26.25" customHeight="1"/>
    <row r="11817" ht="26.25" customHeight="1"/>
    <row r="11818" ht="26.25" customHeight="1"/>
    <row r="11819" ht="26.25" customHeight="1"/>
    <row r="11820" ht="26.25" customHeight="1"/>
    <row r="11821" ht="26.25" customHeight="1"/>
    <row r="11822" ht="26.25" customHeight="1"/>
    <row r="11823" ht="26.25" customHeight="1"/>
    <row r="11824" ht="26.25" customHeight="1"/>
    <row r="11825" ht="26.25" customHeight="1"/>
    <row r="11826" ht="26.25" customHeight="1"/>
    <row r="11827" ht="26.25" customHeight="1"/>
    <row r="11828" ht="26.25" customHeight="1"/>
    <row r="11829" ht="26.25" customHeight="1"/>
    <row r="11830" ht="26.25" customHeight="1"/>
    <row r="11831" ht="26.25" customHeight="1"/>
    <row r="11832" ht="26.25" customHeight="1"/>
    <row r="11833" ht="26.25" customHeight="1"/>
    <row r="11834" ht="26.25" customHeight="1"/>
    <row r="11835" ht="26.25" customHeight="1"/>
    <row r="11836" ht="26.25" customHeight="1"/>
    <row r="11837" ht="26.25" customHeight="1"/>
    <row r="11838" ht="26.25" customHeight="1"/>
    <row r="11839" ht="26.25" customHeight="1"/>
    <row r="11840" ht="26.25" customHeight="1"/>
    <row r="11841" ht="26.25" customHeight="1"/>
    <row r="11842" ht="26.25" customHeight="1"/>
    <row r="11843" ht="26.25" customHeight="1"/>
    <row r="11844" ht="26.25" customHeight="1"/>
    <row r="11845" ht="26.25" customHeight="1"/>
    <row r="11846" ht="26.25" customHeight="1"/>
    <row r="11847" ht="26.25" customHeight="1"/>
    <row r="11848" ht="26.25" customHeight="1"/>
    <row r="11849" ht="26.25" customHeight="1"/>
    <row r="11850" ht="26.25" customHeight="1"/>
    <row r="11851" ht="26.25" customHeight="1"/>
    <row r="11852" ht="26.25" customHeight="1"/>
    <row r="11853" ht="26.25" customHeight="1"/>
    <row r="11854" ht="26.25" customHeight="1"/>
    <row r="11855" ht="26.25" customHeight="1"/>
    <row r="11856" ht="26.25" customHeight="1"/>
    <row r="11857" ht="26.25" customHeight="1"/>
    <row r="11858" ht="26.25" customHeight="1"/>
    <row r="11859" ht="26.25" customHeight="1"/>
    <row r="11860" ht="26.25" customHeight="1"/>
    <row r="11861" ht="26.25" customHeight="1"/>
    <row r="11862" ht="26.25" customHeight="1"/>
    <row r="11863" ht="26.25" customHeight="1"/>
    <row r="11864" ht="26.25" customHeight="1"/>
    <row r="11865" ht="26.25" customHeight="1"/>
    <row r="11866" ht="26.25" customHeight="1"/>
    <row r="11867" ht="26.25" customHeight="1"/>
    <row r="11868" ht="26.25" customHeight="1"/>
    <row r="11869" ht="26.25" customHeight="1"/>
    <row r="11870" ht="26.25" customHeight="1"/>
    <row r="11871" ht="26.25" customHeight="1"/>
    <row r="11872" ht="26.25" customHeight="1"/>
    <row r="11873" ht="26.25" customHeight="1"/>
    <row r="11874" ht="26.25" customHeight="1"/>
    <row r="11875" ht="26.25" customHeight="1"/>
    <row r="11876" ht="26.25" customHeight="1"/>
    <row r="11877" ht="26.25" customHeight="1"/>
    <row r="11878" ht="26.25" customHeight="1"/>
    <row r="11879" ht="26.25" customHeight="1"/>
    <row r="11880" ht="26.25" customHeight="1"/>
    <row r="11881" ht="26.25" customHeight="1"/>
    <row r="11882" ht="26.25" customHeight="1"/>
    <row r="11883" ht="26.25" customHeight="1"/>
    <row r="11884" ht="26.25" customHeight="1"/>
    <row r="11885" ht="26.25" customHeight="1"/>
    <row r="11886" ht="26.25" customHeight="1"/>
    <row r="11887" ht="26.25" customHeight="1"/>
    <row r="11888" ht="26.25" customHeight="1"/>
    <row r="11889" ht="26.25" customHeight="1"/>
    <row r="11890" ht="26.25" customHeight="1"/>
    <row r="11891" ht="26.25" customHeight="1"/>
    <row r="11892" ht="26.25" customHeight="1"/>
    <row r="11893" ht="26.25" customHeight="1"/>
    <row r="11894" ht="26.25" customHeight="1"/>
    <row r="11895" ht="26.25" customHeight="1"/>
    <row r="11896" ht="26.25" customHeight="1"/>
    <row r="11897" ht="26.25" customHeight="1"/>
    <row r="11898" ht="26.25" customHeight="1"/>
    <row r="11899" ht="26.25" customHeight="1"/>
    <row r="11900" ht="26.25" customHeight="1"/>
    <row r="11901" ht="26.25" customHeight="1"/>
    <row r="11902" ht="26.25" customHeight="1"/>
    <row r="11903" ht="26.25" customHeight="1"/>
    <row r="11904" ht="26.25" customHeight="1"/>
    <row r="11905" ht="26.25" customHeight="1"/>
    <row r="11906" ht="26.25" customHeight="1"/>
    <row r="11907" ht="26.25" customHeight="1"/>
    <row r="11908" ht="26.25" customHeight="1"/>
    <row r="11909" ht="26.25" customHeight="1"/>
    <row r="11910" ht="26.25" customHeight="1"/>
    <row r="11911" ht="26.25" customHeight="1"/>
    <row r="11912" ht="26.25" customHeight="1"/>
    <row r="11913" ht="26.25" customHeight="1"/>
    <row r="11914" ht="26.25" customHeight="1"/>
    <row r="11915" ht="26.25" customHeight="1"/>
    <row r="11916" ht="26.25" customHeight="1"/>
    <row r="11917" ht="26.25" customHeight="1"/>
    <row r="11918" ht="26.25" customHeight="1"/>
    <row r="11919" ht="26.25" customHeight="1"/>
    <row r="11920" ht="26.25" customHeight="1"/>
    <row r="11921" ht="26.25" customHeight="1"/>
    <row r="11922" ht="26.25" customHeight="1"/>
    <row r="11923" ht="26.25" customHeight="1"/>
    <row r="11924" ht="26.25" customHeight="1"/>
    <row r="11925" ht="26.25" customHeight="1"/>
    <row r="11926" ht="26.25" customHeight="1"/>
    <row r="11927" ht="26.25" customHeight="1"/>
    <row r="11928" ht="26.25" customHeight="1"/>
    <row r="11929" ht="26.25" customHeight="1"/>
    <row r="11930" ht="26.25" customHeight="1"/>
    <row r="11931" ht="26.25" customHeight="1"/>
    <row r="11932" ht="26.25" customHeight="1"/>
    <row r="11933" ht="26.25" customHeight="1"/>
    <row r="11934" ht="26.25" customHeight="1"/>
    <row r="11935" ht="26.25" customHeight="1"/>
    <row r="11936" ht="26.25" customHeight="1"/>
    <row r="11937" ht="26.25" customHeight="1"/>
    <row r="11938" ht="26.25" customHeight="1"/>
    <row r="11939" ht="26.25" customHeight="1"/>
    <row r="11940" ht="26.25" customHeight="1"/>
    <row r="11941" ht="26.25" customHeight="1"/>
    <row r="11942" ht="26.25" customHeight="1"/>
    <row r="11943" ht="26.25" customHeight="1"/>
    <row r="11944" ht="26.25" customHeight="1"/>
    <row r="11945" ht="26.25" customHeight="1"/>
    <row r="11946" ht="26.25" customHeight="1"/>
    <row r="11947" ht="26.25" customHeight="1"/>
    <row r="11948" ht="26.25" customHeight="1"/>
    <row r="11949" ht="26.25" customHeight="1"/>
    <row r="11950" ht="26.25" customHeight="1"/>
    <row r="11951" ht="26.25" customHeight="1"/>
    <row r="11952" ht="26.25" customHeight="1"/>
    <row r="11953" ht="26.25" customHeight="1"/>
    <row r="11954" ht="26.25" customHeight="1"/>
    <row r="11955" ht="26.25" customHeight="1"/>
    <row r="11956" ht="26.25" customHeight="1"/>
    <row r="11957" ht="26.25" customHeight="1"/>
    <row r="11958" ht="26.25" customHeight="1"/>
    <row r="11959" ht="26.25" customHeight="1"/>
    <row r="11960" ht="26.25" customHeight="1"/>
    <row r="11961" ht="26.25" customHeight="1"/>
    <row r="11962" ht="26.25" customHeight="1"/>
    <row r="11963" ht="26.25" customHeight="1"/>
    <row r="11964" ht="26.25" customHeight="1"/>
    <row r="11965" ht="26.25" customHeight="1"/>
    <row r="11966" ht="26.25" customHeight="1"/>
    <row r="11967" ht="26.25" customHeight="1"/>
    <row r="11968" ht="26.25" customHeight="1"/>
    <row r="11969" ht="26.25" customHeight="1"/>
    <row r="11970" ht="26.25" customHeight="1"/>
    <row r="11971" ht="26.25" customHeight="1"/>
    <row r="11972" ht="26.25" customHeight="1"/>
    <row r="11973" ht="26.25" customHeight="1"/>
    <row r="11974" ht="26.25" customHeight="1"/>
    <row r="11975" ht="26.25" customHeight="1"/>
    <row r="11976" ht="26.25" customHeight="1"/>
    <row r="11977" ht="26.25" customHeight="1"/>
    <row r="11978" ht="26.25" customHeight="1"/>
    <row r="11979" ht="26.25" customHeight="1"/>
    <row r="11980" ht="26.25" customHeight="1"/>
    <row r="11981" ht="26.25" customHeight="1"/>
    <row r="11982" ht="26.25" customHeight="1"/>
    <row r="11983" ht="26.25" customHeight="1"/>
    <row r="11984" ht="26.25" customHeight="1"/>
    <row r="11985" ht="26.25" customHeight="1"/>
    <row r="11986" ht="26.25" customHeight="1"/>
    <row r="11987" ht="26.25" customHeight="1"/>
    <row r="11988" ht="26.25" customHeight="1"/>
    <row r="11989" ht="26.25" customHeight="1"/>
    <row r="11990" ht="26.25" customHeight="1"/>
    <row r="11991" ht="26.25" customHeight="1"/>
    <row r="11992" ht="26.25" customHeight="1"/>
    <row r="11993" ht="26.25" customHeight="1"/>
    <row r="11994" ht="26.25" customHeight="1"/>
    <row r="11995" ht="26.25" customHeight="1"/>
    <row r="11996" ht="26.25" customHeight="1"/>
    <row r="11997" ht="26.25" customHeight="1"/>
    <row r="11998" ht="26.25" customHeight="1"/>
    <row r="11999" ht="26.25" customHeight="1"/>
    <row r="12000" ht="26.25" customHeight="1"/>
    <row r="12001" ht="26.25" customHeight="1"/>
    <row r="12002" ht="26.25" customHeight="1"/>
    <row r="12003" ht="26.25" customHeight="1"/>
    <row r="12004" ht="26.25" customHeight="1"/>
    <row r="12005" ht="26.25" customHeight="1"/>
    <row r="12006" ht="26.25" customHeight="1"/>
    <row r="12007" ht="26.25" customHeight="1"/>
    <row r="12008" ht="26.25" customHeight="1"/>
    <row r="12009" ht="26.25" customHeight="1"/>
    <row r="12010" ht="26.25" customHeight="1"/>
    <row r="12011" ht="26.25" customHeight="1"/>
    <row r="12012" ht="26.25" customHeight="1"/>
    <row r="12013" ht="26.25" customHeight="1"/>
    <row r="12014" ht="26.25" customHeight="1"/>
    <row r="12015" ht="26.25" customHeight="1"/>
    <row r="12016" ht="26.25" customHeight="1"/>
    <row r="12017" ht="26.25" customHeight="1"/>
    <row r="12018" ht="26.25" customHeight="1"/>
    <row r="12019" ht="26.25" customHeight="1"/>
    <row r="12020" ht="26.25" customHeight="1"/>
    <row r="12021" ht="26.25" customHeight="1"/>
    <row r="12022" ht="26.25" customHeight="1"/>
    <row r="12023" ht="26.25" customHeight="1"/>
    <row r="12024" ht="26.25" customHeight="1"/>
    <row r="12025" ht="26.25" customHeight="1"/>
    <row r="12026" ht="26.25" customHeight="1"/>
    <row r="12027" ht="26.25" customHeight="1"/>
    <row r="12028" ht="26.25" customHeight="1"/>
    <row r="12029" ht="26.25" customHeight="1"/>
    <row r="12030" ht="26.25" customHeight="1"/>
    <row r="12031" ht="26.25" customHeight="1"/>
    <row r="12032" ht="26.25" customHeight="1"/>
    <row r="12033" ht="26.25" customHeight="1"/>
    <row r="12034" ht="26.25" customHeight="1"/>
    <row r="12035" ht="26.25" customHeight="1"/>
    <row r="12036" ht="26.25" customHeight="1"/>
    <row r="12037" ht="26.25" customHeight="1"/>
    <row r="12038" ht="26.25" customHeight="1"/>
    <row r="12039" ht="26.25" customHeight="1"/>
    <row r="12040" ht="26.25" customHeight="1"/>
    <row r="12041" ht="26.25" customHeight="1"/>
    <row r="12042" ht="26.25" customHeight="1"/>
    <row r="12043" ht="26.25" customHeight="1"/>
    <row r="12044" ht="26.25" customHeight="1"/>
    <row r="12045" ht="26.25" customHeight="1"/>
    <row r="12046" ht="26.25" customHeight="1"/>
    <row r="12047" ht="26.25" customHeight="1"/>
    <row r="12048" ht="26.25" customHeight="1"/>
    <row r="12049" ht="26.25" customHeight="1"/>
    <row r="12050" ht="26.25" customHeight="1"/>
    <row r="12051" ht="26.25" customHeight="1"/>
    <row r="12052" ht="26.25" customHeight="1"/>
    <row r="12053" ht="26.25" customHeight="1"/>
    <row r="12054" ht="26.25" customHeight="1"/>
    <row r="12055" ht="26.25" customHeight="1"/>
    <row r="12056" ht="26.25" customHeight="1"/>
    <row r="12057" ht="26.25" customHeight="1"/>
    <row r="12058" ht="26.25" customHeight="1"/>
    <row r="12059" ht="26.25" customHeight="1"/>
    <row r="12060" ht="26.25" customHeight="1"/>
    <row r="12061" ht="26.25" customHeight="1"/>
    <row r="12062" ht="26.25" customHeight="1"/>
    <row r="12063" ht="26.25" customHeight="1"/>
    <row r="12064" ht="26.25" customHeight="1"/>
    <row r="12065" ht="26.25" customHeight="1"/>
    <row r="12066" ht="26.25" customHeight="1"/>
    <row r="12067" ht="26.25" customHeight="1"/>
    <row r="12068" ht="26.25" customHeight="1"/>
    <row r="12069" ht="26.25" customHeight="1"/>
    <row r="12070" ht="26.25" customHeight="1"/>
    <row r="12071" ht="26.25" customHeight="1"/>
    <row r="12072" ht="26.25" customHeight="1"/>
    <row r="12073" ht="26.25" customHeight="1"/>
    <row r="12074" ht="26.25" customHeight="1"/>
    <row r="12075" ht="26.25" customHeight="1"/>
    <row r="12076" ht="26.25" customHeight="1"/>
    <row r="12077" ht="26.25" customHeight="1"/>
    <row r="12078" ht="26.25" customHeight="1"/>
    <row r="12079" ht="26.25" customHeight="1"/>
    <row r="12080" ht="26.25" customHeight="1"/>
    <row r="12081" ht="26.25" customHeight="1"/>
    <row r="12082" ht="26.25" customHeight="1"/>
    <row r="12083" ht="26.25" customHeight="1"/>
    <row r="12084" ht="26.25" customHeight="1"/>
    <row r="12085" ht="26.25" customHeight="1"/>
    <row r="12086" ht="26.25" customHeight="1"/>
    <row r="12087" ht="26.25" customHeight="1"/>
    <row r="12088" ht="26.25" customHeight="1"/>
    <row r="12089" ht="26.25" customHeight="1"/>
    <row r="12090" ht="26.25" customHeight="1"/>
    <row r="12091" ht="26.25" customHeight="1"/>
    <row r="12092" ht="26.25" customHeight="1"/>
    <row r="12093" ht="26.25" customHeight="1"/>
    <row r="12094" ht="26.25" customHeight="1"/>
    <row r="12095" ht="26.25" customHeight="1"/>
    <row r="12096" ht="26.25" customHeight="1"/>
    <row r="12097" ht="26.25" customHeight="1"/>
    <row r="12098" ht="26.25" customHeight="1"/>
    <row r="12099" ht="26.25" customHeight="1"/>
    <row r="12100" ht="26.25" customHeight="1"/>
    <row r="12101" ht="26.25" customHeight="1"/>
    <row r="12102" ht="26.25" customHeight="1"/>
    <row r="12103" ht="26.25" customHeight="1"/>
    <row r="12104" ht="26.25" customHeight="1"/>
    <row r="12105" ht="26.25" customHeight="1"/>
    <row r="12106" ht="26.25" customHeight="1"/>
    <row r="12107" ht="26.25" customHeight="1"/>
    <row r="12108" ht="26.25" customHeight="1"/>
    <row r="12109" ht="26.25" customHeight="1"/>
    <row r="12110" ht="26.25" customHeight="1"/>
    <row r="12111" ht="26.25" customHeight="1"/>
    <row r="12112" ht="26.25" customHeight="1"/>
    <row r="12113" ht="26.25" customHeight="1"/>
    <row r="12114" ht="26.25" customHeight="1"/>
    <row r="12115" ht="26.25" customHeight="1"/>
    <row r="12116" ht="26.25" customHeight="1"/>
    <row r="12117" ht="26.25" customHeight="1"/>
    <row r="12118" ht="26.25" customHeight="1"/>
    <row r="12119" ht="26.25" customHeight="1"/>
    <row r="12120" ht="26.25" customHeight="1"/>
    <row r="12121" ht="26.25" customHeight="1"/>
    <row r="12122" ht="26.25" customHeight="1"/>
    <row r="12123" ht="26.25" customHeight="1"/>
    <row r="12124" ht="26.25" customHeight="1"/>
    <row r="12125" ht="26.25" customHeight="1"/>
    <row r="12126" ht="26.25" customHeight="1"/>
    <row r="12127" ht="26.25" customHeight="1"/>
    <row r="12128" ht="26.25" customHeight="1"/>
    <row r="12129" ht="26.25" customHeight="1"/>
    <row r="12130" ht="26.25" customHeight="1"/>
    <row r="12131" ht="26.25" customHeight="1"/>
    <row r="12132" ht="26.25" customHeight="1"/>
    <row r="12133" ht="26.25" customHeight="1"/>
    <row r="12134" ht="26.25" customHeight="1"/>
    <row r="12135" ht="26.25" customHeight="1"/>
    <row r="12136" ht="26.25" customHeight="1"/>
    <row r="12137" ht="26.25" customHeight="1"/>
    <row r="12138" ht="26.25" customHeight="1"/>
    <row r="12139" ht="26.25" customHeight="1"/>
    <row r="12140" ht="26.25" customHeight="1"/>
    <row r="12141" ht="26.25" customHeight="1"/>
    <row r="12142" ht="26.25" customHeight="1"/>
    <row r="12143" ht="26.25" customHeight="1"/>
    <row r="12144" ht="26.25" customHeight="1"/>
    <row r="12145" ht="26.25" customHeight="1"/>
    <row r="12146" ht="26.25" customHeight="1"/>
    <row r="12147" ht="26.25" customHeight="1"/>
    <row r="12148" ht="26.25" customHeight="1"/>
    <row r="12149" ht="26.25" customHeight="1"/>
    <row r="12150" ht="26.25" customHeight="1"/>
    <row r="12151" ht="26.25" customHeight="1"/>
    <row r="12152" ht="26.25" customHeight="1"/>
    <row r="12153" ht="26.25" customHeight="1"/>
    <row r="12154" ht="26.25" customHeight="1"/>
    <row r="12155" ht="26.25" customHeight="1"/>
    <row r="12156" ht="26.25" customHeight="1"/>
    <row r="12157" ht="26.25" customHeight="1"/>
    <row r="12158" ht="26.25" customHeight="1"/>
    <row r="12159" ht="26.25" customHeight="1"/>
    <row r="12160" ht="26.25" customHeight="1"/>
    <row r="12161" ht="26.25" customHeight="1"/>
    <row r="12162" ht="26.25" customHeight="1"/>
    <row r="12163" ht="26.25" customHeight="1"/>
    <row r="12164" ht="26.25" customHeight="1"/>
    <row r="12165" ht="26.25" customHeight="1"/>
    <row r="12166" ht="26.25" customHeight="1"/>
    <row r="12167" ht="26.25" customHeight="1"/>
    <row r="12168" ht="26.25" customHeight="1"/>
    <row r="12169" ht="26.25" customHeight="1"/>
    <row r="12170" ht="26.25" customHeight="1"/>
    <row r="12171" ht="26.25" customHeight="1"/>
    <row r="12172" ht="26.25" customHeight="1"/>
    <row r="12173" ht="26.25" customHeight="1"/>
    <row r="12174" ht="26.25" customHeight="1"/>
    <row r="12175" ht="26.25" customHeight="1"/>
    <row r="12176" ht="26.25" customHeight="1"/>
    <row r="12177" ht="26.25" customHeight="1"/>
    <row r="12178" ht="26.25" customHeight="1"/>
    <row r="12179" ht="26.25" customHeight="1"/>
    <row r="12180" ht="26.25" customHeight="1"/>
    <row r="12181" ht="26.25" customHeight="1"/>
    <row r="12182" ht="26.25" customHeight="1"/>
    <row r="12183" ht="26.25" customHeight="1"/>
    <row r="12184" ht="26.25" customHeight="1"/>
    <row r="12185" ht="26.25" customHeight="1"/>
    <row r="12186" ht="26.25" customHeight="1"/>
    <row r="12187" ht="26.25" customHeight="1"/>
    <row r="12188" ht="26.25" customHeight="1"/>
    <row r="12189" ht="26.25" customHeight="1"/>
    <row r="12190" ht="26.25" customHeight="1"/>
    <row r="12191" ht="26.25" customHeight="1"/>
    <row r="12192" ht="26.25" customHeight="1"/>
    <row r="12193" ht="26.25" customHeight="1"/>
    <row r="12194" ht="26.25" customHeight="1"/>
    <row r="12195" ht="26.25" customHeight="1"/>
    <row r="12196" ht="26.25" customHeight="1"/>
    <row r="12197" ht="26.25" customHeight="1"/>
    <row r="12198" ht="26.25" customHeight="1"/>
    <row r="12199" ht="26.25" customHeight="1"/>
    <row r="12200" ht="26.25" customHeight="1"/>
    <row r="12201" ht="26.25" customHeight="1"/>
    <row r="12202" ht="26.25" customHeight="1"/>
    <row r="12203" ht="26.25" customHeight="1"/>
    <row r="12204" ht="26.25" customHeight="1"/>
    <row r="12205" ht="26.25" customHeight="1"/>
    <row r="12206" ht="26.25" customHeight="1"/>
    <row r="12207" ht="26.25" customHeight="1"/>
    <row r="12208" ht="26.25" customHeight="1"/>
    <row r="12209" ht="26.25" customHeight="1"/>
    <row r="12210" ht="26.25" customHeight="1"/>
    <row r="12211" ht="26.25" customHeight="1"/>
    <row r="12212" ht="26.25" customHeight="1"/>
    <row r="12213" ht="26.25" customHeight="1"/>
    <row r="12214" ht="26.25" customHeight="1"/>
    <row r="12215" ht="26.25" customHeight="1"/>
    <row r="12216" ht="26.25" customHeight="1"/>
    <row r="12217" ht="26.25" customHeight="1"/>
    <row r="12218" ht="26.25" customHeight="1"/>
    <row r="12219" ht="26.25" customHeight="1"/>
    <row r="12220" ht="26.25" customHeight="1"/>
    <row r="12221" ht="26.25" customHeight="1"/>
    <row r="12222" ht="26.25" customHeight="1"/>
    <row r="12223" ht="26.25" customHeight="1"/>
    <row r="12224" ht="26.25" customHeight="1"/>
    <row r="12225" ht="26.25" customHeight="1"/>
    <row r="12226" ht="26.25" customHeight="1"/>
    <row r="12227" ht="26.25" customHeight="1"/>
    <row r="12228" ht="26.25" customHeight="1"/>
    <row r="12229" ht="26.25" customHeight="1"/>
    <row r="12230" ht="26.25" customHeight="1"/>
    <row r="12231" ht="26.25" customHeight="1"/>
    <row r="12232" ht="26.25" customHeight="1"/>
    <row r="12233" ht="26.25" customHeight="1"/>
    <row r="12234" ht="26.25" customHeight="1"/>
    <row r="12235" ht="26.25" customHeight="1"/>
    <row r="12236" ht="26.25" customHeight="1"/>
    <row r="12237" ht="26.25" customHeight="1"/>
    <row r="12238" ht="26.25" customHeight="1"/>
    <row r="12239" ht="26.25" customHeight="1"/>
    <row r="12240" ht="26.25" customHeight="1"/>
    <row r="12241" ht="26.25" customHeight="1"/>
    <row r="12242" ht="26.25" customHeight="1"/>
    <row r="12243" ht="26.25" customHeight="1"/>
    <row r="12244" ht="26.25" customHeight="1"/>
    <row r="12245" ht="26.25" customHeight="1"/>
    <row r="12246" ht="26.25" customHeight="1"/>
    <row r="12247" ht="26.25" customHeight="1"/>
    <row r="12248" ht="26.25" customHeight="1"/>
    <row r="12249" ht="26.25" customHeight="1"/>
    <row r="12250" ht="26.25" customHeight="1"/>
    <row r="12251" ht="26.25" customHeight="1"/>
    <row r="12252" ht="26.25" customHeight="1"/>
    <row r="12253" ht="26.25" customHeight="1"/>
    <row r="12254" ht="26.25" customHeight="1"/>
    <row r="12255" ht="26.25" customHeight="1"/>
    <row r="12256" ht="26.25" customHeight="1"/>
    <row r="12257" ht="26.25" customHeight="1"/>
    <row r="12258" ht="26.25" customHeight="1"/>
    <row r="12259" ht="26.25" customHeight="1"/>
    <row r="12260" ht="26.25" customHeight="1"/>
    <row r="12261" ht="26.25" customHeight="1"/>
    <row r="12262" ht="26.25" customHeight="1"/>
    <row r="12263" ht="26.25" customHeight="1"/>
    <row r="12264" ht="26.25" customHeight="1"/>
    <row r="12265" ht="26.25" customHeight="1"/>
    <row r="12266" ht="26.25" customHeight="1"/>
    <row r="12267" ht="26.25" customHeight="1"/>
    <row r="12268" ht="26.25" customHeight="1"/>
    <row r="12269" ht="26.25" customHeight="1"/>
    <row r="12270" ht="26.25" customHeight="1"/>
    <row r="12271" ht="26.25" customHeight="1"/>
    <row r="12272" ht="26.25" customHeight="1"/>
    <row r="12273" ht="26.25" customHeight="1"/>
    <row r="12274" ht="26.25" customHeight="1"/>
    <row r="12275" ht="26.25" customHeight="1"/>
    <row r="12276" ht="26.25" customHeight="1"/>
    <row r="12277" ht="26.25" customHeight="1"/>
    <row r="12278" ht="26.25" customHeight="1"/>
    <row r="12279" ht="26.25" customHeight="1"/>
    <row r="12280" ht="26.25" customHeight="1"/>
    <row r="12281" ht="26.25" customHeight="1"/>
    <row r="12282" ht="26.25" customHeight="1"/>
    <row r="12283" ht="26.25" customHeight="1"/>
    <row r="12284" ht="26.25" customHeight="1"/>
    <row r="12285" ht="26.25" customHeight="1"/>
    <row r="12286" ht="26.25" customHeight="1"/>
    <row r="12287" ht="26.25" customHeight="1"/>
    <row r="12288" ht="26.25" customHeight="1"/>
    <row r="12289" ht="26.25" customHeight="1"/>
    <row r="12290" ht="26.25" customHeight="1"/>
    <row r="12291" ht="26.25" customHeight="1"/>
    <row r="12292" ht="26.25" customHeight="1"/>
    <row r="12293" ht="26.25" customHeight="1"/>
    <row r="12294" ht="26.25" customHeight="1"/>
    <row r="12295" ht="26.25" customHeight="1"/>
    <row r="12296" ht="26.25" customHeight="1"/>
    <row r="12297" ht="26.25" customHeight="1"/>
    <row r="12298" ht="26.25" customHeight="1"/>
    <row r="12299" ht="26.25" customHeight="1"/>
    <row r="12300" ht="26.25" customHeight="1"/>
    <row r="12301" ht="26.25" customHeight="1"/>
    <row r="12302" ht="26.25" customHeight="1"/>
    <row r="12303" ht="26.25" customHeight="1"/>
    <row r="12304" ht="26.25" customHeight="1"/>
    <row r="12305" ht="26.25" customHeight="1"/>
    <row r="12306" ht="26.25" customHeight="1"/>
    <row r="12307" ht="26.25" customHeight="1"/>
    <row r="12308" ht="26.25" customHeight="1"/>
    <row r="12309" ht="26.25" customHeight="1"/>
    <row r="12310" ht="26.25" customHeight="1"/>
    <row r="12311" ht="26.25" customHeight="1"/>
    <row r="12312" ht="26.25" customHeight="1"/>
    <row r="12313" ht="26.25" customHeight="1"/>
    <row r="12314" ht="26.25" customHeight="1"/>
    <row r="12315" ht="26.25" customHeight="1"/>
    <row r="12316" ht="26.25" customHeight="1"/>
    <row r="12317" ht="26.25" customHeight="1"/>
    <row r="12318" ht="26.25" customHeight="1"/>
    <row r="12319" ht="26.25" customHeight="1"/>
    <row r="12320" ht="26.25" customHeight="1"/>
    <row r="12321" ht="26.25" customHeight="1"/>
    <row r="12322" ht="26.25" customHeight="1"/>
    <row r="12323" ht="26.25" customHeight="1"/>
    <row r="12324" ht="26.25" customHeight="1"/>
    <row r="12325" ht="26.25" customHeight="1"/>
    <row r="12326" ht="26.25" customHeight="1"/>
    <row r="12327" ht="26.25" customHeight="1"/>
    <row r="12328" ht="26.25" customHeight="1"/>
    <row r="12329" ht="26.25" customHeight="1"/>
    <row r="12330" ht="26.25" customHeight="1"/>
    <row r="12331" ht="26.25" customHeight="1"/>
    <row r="12332" ht="26.25" customHeight="1"/>
    <row r="12333" ht="26.25" customHeight="1"/>
    <row r="12334" ht="26.25" customHeight="1"/>
    <row r="12335" ht="26.25" customHeight="1"/>
    <row r="12336" ht="26.25" customHeight="1"/>
    <row r="12337" ht="26.25" customHeight="1"/>
    <row r="12338" ht="26.25" customHeight="1"/>
    <row r="12339" ht="26.25" customHeight="1"/>
    <row r="12340" ht="26.25" customHeight="1"/>
    <row r="12341" ht="26.25" customHeight="1"/>
    <row r="12342" ht="26.25" customHeight="1"/>
    <row r="12343" ht="26.25" customHeight="1"/>
    <row r="12344" ht="26.25" customHeight="1"/>
    <row r="12345" ht="26.25" customHeight="1"/>
    <row r="12346" ht="26.25" customHeight="1"/>
    <row r="12347" ht="26.25" customHeight="1"/>
    <row r="12348" ht="26.25" customHeight="1"/>
    <row r="12349" ht="26.25" customHeight="1"/>
    <row r="12350" ht="26.25" customHeight="1"/>
    <row r="12351" ht="26.25" customHeight="1"/>
    <row r="12352" ht="26.25" customHeight="1"/>
    <row r="12353" ht="26.25" customHeight="1"/>
    <row r="12354" ht="26.25" customHeight="1"/>
    <row r="12355" ht="26.25" customHeight="1"/>
    <row r="12356" ht="26.25" customHeight="1"/>
    <row r="12357" ht="26.25" customHeight="1"/>
    <row r="12358" ht="26.25" customHeight="1"/>
    <row r="12359" ht="26.25" customHeight="1"/>
    <row r="12360" ht="26.25" customHeight="1"/>
    <row r="12361" ht="26.25" customHeight="1"/>
    <row r="12362" ht="26.25" customHeight="1"/>
    <row r="12363" ht="26.25" customHeight="1"/>
    <row r="12364" ht="26.25" customHeight="1"/>
    <row r="12365" ht="26.25" customHeight="1"/>
    <row r="12366" ht="26.25" customHeight="1"/>
    <row r="12367" ht="26.25" customHeight="1"/>
    <row r="12368" ht="26.25" customHeight="1"/>
    <row r="12369" ht="26.25" customHeight="1"/>
    <row r="12370" ht="26.25" customHeight="1"/>
    <row r="12371" ht="26.25" customHeight="1"/>
    <row r="12372" ht="26.25" customHeight="1"/>
    <row r="12373" ht="26.25" customHeight="1"/>
    <row r="12374" ht="26.25" customHeight="1"/>
    <row r="12375" ht="26.25" customHeight="1"/>
    <row r="12376" ht="26.25" customHeight="1"/>
    <row r="12377" ht="26.25" customHeight="1"/>
    <row r="12378" ht="26.25" customHeight="1"/>
    <row r="12379" ht="26.25" customHeight="1"/>
    <row r="12380" ht="26.25" customHeight="1"/>
    <row r="12381" ht="26.25" customHeight="1"/>
    <row r="12382" ht="26.25" customHeight="1"/>
    <row r="12383" ht="26.25" customHeight="1"/>
    <row r="12384" ht="26.25" customHeight="1"/>
    <row r="12385" ht="26.25" customHeight="1"/>
    <row r="12386" ht="26.25" customHeight="1"/>
    <row r="12387" ht="26.25" customHeight="1"/>
    <row r="12388" ht="26.25" customHeight="1"/>
    <row r="12389" ht="26.25" customHeight="1"/>
    <row r="12390" ht="26.25" customHeight="1"/>
    <row r="12391" ht="26.25" customHeight="1"/>
    <row r="12392" ht="26.25" customHeight="1"/>
    <row r="12393" ht="26.25" customHeight="1"/>
    <row r="12394" ht="26.25" customHeight="1"/>
    <row r="12395" ht="26.25" customHeight="1"/>
    <row r="12396" ht="26.25" customHeight="1"/>
    <row r="12397" ht="26.25" customHeight="1"/>
    <row r="12398" ht="26.25" customHeight="1"/>
    <row r="12399" ht="26.25" customHeight="1"/>
    <row r="12400" ht="26.25" customHeight="1"/>
    <row r="12401" ht="26.25" customHeight="1"/>
    <row r="12402" ht="26.25" customHeight="1"/>
    <row r="12403" ht="26.25" customHeight="1"/>
    <row r="12404" ht="26.25" customHeight="1"/>
    <row r="12405" ht="26.25" customHeight="1"/>
    <row r="12406" ht="26.25" customHeight="1"/>
    <row r="12407" ht="26.25" customHeight="1"/>
    <row r="12408" ht="26.25" customHeight="1"/>
    <row r="12409" ht="26.25" customHeight="1"/>
    <row r="12410" ht="26.25" customHeight="1"/>
    <row r="12411" ht="26.25" customHeight="1"/>
    <row r="12412" ht="26.25" customHeight="1"/>
    <row r="12413" ht="26.25" customHeight="1"/>
    <row r="12414" ht="26.25" customHeight="1"/>
    <row r="12415" ht="26.25" customHeight="1"/>
    <row r="12416" ht="26.25" customHeight="1"/>
    <row r="12417" ht="26.25" customHeight="1"/>
    <row r="12418" ht="26.25" customHeight="1"/>
    <row r="12419" ht="26.25" customHeight="1"/>
    <row r="12420" ht="26.25" customHeight="1"/>
    <row r="12421" ht="26.25" customHeight="1"/>
    <row r="12422" ht="26.25" customHeight="1"/>
    <row r="12423" ht="26.25" customHeight="1"/>
    <row r="12424" ht="26.25" customHeight="1"/>
    <row r="12425" ht="26.25" customHeight="1"/>
    <row r="12426" ht="26.25" customHeight="1"/>
    <row r="12427" ht="26.25" customHeight="1"/>
    <row r="12428" ht="26.25" customHeight="1"/>
    <row r="12429" ht="26.25" customHeight="1"/>
    <row r="12430" ht="26.25" customHeight="1"/>
    <row r="12431" ht="26.25" customHeight="1"/>
    <row r="12432" ht="26.25" customHeight="1"/>
    <row r="12433" ht="26.25" customHeight="1"/>
    <row r="12434" ht="26.25" customHeight="1"/>
    <row r="12435" ht="26.25" customHeight="1"/>
    <row r="12436" ht="26.25" customHeight="1"/>
    <row r="12437" ht="26.25" customHeight="1"/>
    <row r="12438" ht="26.25" customHeight="1"/>
    <row r="12439" ht="26.25" customHeight="1"/>
    <row r="12440" ht="26.25" customHeight="1"/>
    <row r="12441" ht="26.25" customHeight="1"/>
    <row r="12442" ht="26.25" customHeight="1"/>
    <row r="12443" ht="26.25" customHeight="1"/>
    <row r="12444" ht="26.25" customHeight="1"/>
    <row r="12445" ht="26.25" customHeight="1"/>
    <row r="12446" ht="26.25" customHeight="1"/>
    <row r="12447" ht="26.25" customHeight="1"/>
    <row r="12448" ht="26.25" customHeight="1"/>
    <row r="12449" ht="26.25" customHeight="1"/>
    <row r="12450" ht="26.25" customHeight="1"/>
    <row r="12451" ht="26.25" customHeight="1"/>
    <row r="12452" ht="26.25" customHeight="1"/>
    <row r="12453" ht="26.25" customHeight="1"/>
    <row r="12454" ht="26.25" customHeight="1"/>
    <row r="12455" ht="26.25" customHeight="1"/>
    <row r="12456" ht="26.25" customHeight="1"/>
    <row r="12457" ht="26.25" customHeight="1"/>
    <row r="12458" ht="26.25" customHeight="1"/>
    <row r="12459" ht="26.25" customHeight="1"/>
    <row r="12460" ht="26.25" customHeight="1"/>
    <row r="12461" ht="26.25" customHeight="1"/>
    <row r="12462" ht="26.25" customHeight="1"/>
    <row r="12463" ht="26.25" customHeight="1"/>
    <row r="12464" ht="26.25" customHeight="1"/>
    <row r="12465" ht="26.25" customHeight="1"/>
    <row r="12466" ht="26.25" customHeight="1"/>
    <row r="12467" ht="26.25" customHeight="1"/>
    <row r="12468" ht="26.25" customHeight="1"/>
    <row r="12469" ht="26.25" customHeight="1"/>
    <row r="12470" ht="26.25" customHeight="1"/>
    <row r="12471" ht="26.25" customHeight="1"/>
    <row r="12472" ht="26.25" customHeight="1"/>
    <row r="12473" ht="26.25" customHeight="1"/>
    <row r="12474" ht="26.25" customHeight="1"/>
    <row r="12475" ht="26.25" customHeight="1"/>
    <row r="12476" ht="26.25" customHeight="1"/>
    <row r="12477" ht="26.25" customHeight="1"/>
    <row r="12478" ht="26.25" customHeight="1"/>
    <row r="12479" ht="26.25" customHeight="1"/>
    <row r="12480" ht="26.25" customHeight="1"/>
    <row r="12481" ht="26.25" customHeight="1"/>
    <row r="12482" ht="26.25" customHeight="1"/>
    <row r="12483" ht="26.25" customHeight="1"/>
    <row r="12484" ht="26.25" customHeight="1"/>
    <row r="12485" ht="26.25" customHeight="1"/>
    <row r="12486" ht="26.25" customHeight="1"/>
    <row r="12487" ht="26.25" customHeight="1"/>
    <row r="12488" ht="26.25" customHeight="1"/>
    <row r="12489" ht="26.25" customHeight="1"/>
    <row r="12490" ht="26.25" customHeight="1"/>
    <row r="12491" ht="26.25" customHeight="1"/>
    <row r="12492" ht="26.25" customHeight="1"/>
    <row r="12493" ht="26.25" customHeight="1"/>
    <row r="12494" ht="26.25" customHeight="1"/>
    <row r="12495" ht="26.25" customHeight="1"/>
    <row r="12496" ht="26.25" customHeight="1"/>
    <row r="12497" ht="26.25" customHeight="1"/>
    <row r="12498" ht="26.25" customHeight="1"/>
    <row r="12499" ht="26.25" customHeight="1"/>
    <row r="12500" ht="26.25" customHeight="1"/>
    <row r="12501" ht="26.25" customHeight="1"/>
    <row r="12502" ht="26.25" customHeight="1"/>
    <row r="12503" ht="26.25" customHeight="1"/>
    <row r="12504" ht="26.25" customHeight="1"/>
    <row r="12505" ht="26.25" customHeight="1"/>
    <row r="12506" ht="26.25" customHeight="1"/>
    <row r="12507" ht="26.25" customHeight="1"/>
    <row r="12508" ht="26.25" customHeight="1"/>
    <row r="12509" ht="26.25" customHeight="1"/>
    <row r="12510" ht="26.25" customHeight="1"/>
    <row r="12511" ht="26.25" customHeight="1"/>
    <row r="12512" ht="26.25" customHeight="1"/>
    <row r="12513" ht="26.25" customHeight="1"/>
    <row r="12514" ht="26.25" customHeight="1"/>
    <row r="12515" ht="26.25" customHeight="1"/>
    <row r="12516" ht="26.25" customHeight="1"/>
    <row r="12517" ht="26.25" customHeight="1"/>
    <row r="12518" ht="26.25" customHeight="1"/>
    <row r="12519" ht="26.25" customHeight="1"/>
    <row r="12520" ht="26.25" customHeight="1"/>
    <row r="12521" ht="26.25" customHeight="1"/>
    <row r="12522" ht="26.25" customHeight="1"/>
    <row r="12523" ht="26.25" customHeight="1"/>
    <row r="12524" ht="26.25" customHeight="1"/>
    <row r="12525" ht="26.25" customHeight="1"/>
    <row r="12526" ht="26.25" customHeight="1"/>
    <row r="12527" ht="26.25" customHeight="1"/>
    <row r="12528" ht="26.25" customHeight="1"/>
    <row r="12529" ht="26.25" customHeight="1"/>
    <row r="12530" ht="26.25" customHeight="1"/>
    <row r="12531" ht="26.25" customHeight="1"/>
    <row r="12532" ht="26.25" customHeight="1"/>
    <row r="12533" ht="26.25" customHeight="1"/>
    <row r="12534" ht="26.25" customHeight="1"/>
    <row r="12535" ht="26.25" customHeight="1"/>
    <row r="12536" ht="26.25" customHeight="1"/>
    <row r="12537" ht="26.25" customHeight="1"/>
    <row r="12538" ht="26.25" customHeight="1"/>
    <row r="12539" ht="26.25" customHeight="1"/>
    <row r="12540" ht="26.25" customHeight="1"/>
    <row r="12541" ht="26.25" customHeight="1"/>
    <row r="12542" ht="26.25" customHeight="1"/>
    <row r="12543" ht="26.25" customHeight="1"/>
    <row r="12544" ht="26.25" customHeight="1"/>
    <row r="12545" ht="26.25" customHeight="1"/>
    <row r="12546" ht="26.25" customHeight="1"/>
    <row r="12547" ht="26.25" customHeight="1"/>
    <row r="12548" ht="26.25" customHeight="1"/>
    <row r="12549" ht="26.25" customHeight="1"/>
    <row r="12550" ht="26.25" customHeight="1"/>
    <row r="12551" ht="26.25" customHeight="1"/>
    <row r="12552" ht="26.25" customHeight="1"/>
    <row r="12553" ht="26.25" customHeight="1"/>
    <row r="12554" ht="26.25" customHeight="1"/>
    <row r="12555" ht="26.25" customHeight="1"/>
    <row r="12556" ht="26.25" customHeight="1"/>
    <row r="12557" ht="26.25" customHeight="1"/>
    <row r="12558" ht="26.25" customHeight="1"/>
    <row r="12559" ht="26.25" customHeight="1"/>
    <row r="12560" ht="26.25" customHeight="1"/>
    <row r="12561" ht="26.25" customHeight="1"/>
    <row r="12562" ht="26.25" customHeight="1"/>
    <row r="12563" ht="26.25" customHeight="1"/>
    <row r="12564" ht="26.25" customHeight="1"/>
    <row r="12565" ht="26.25" customHeight="1"/>
    <row r="12566" ht="26.25" customHeight="1"/>
    <row r="12567" ht="26.25" customHeight="1"/>
    <row r="12568" ht="26.25" customHeight="1"/>
    <row r="12569" ht="26.25" customHeight="1"/>
    <row r="12570" ht="26.25" customHeight="1"/>
    <row r="12571" ht="26.25" customHeight="1"/>
    <row r="12572" ht="26.25" customHeight="1"/>
    <row r="12573" ht="26.25" customHeight="1"/>
    <row r="12574" ht="26.25" customHeight="1"/>
    <row r="12575" ht="26.25" customHeight="1"/>
    <row r="12576" ht="26.25" customHeight="1"/>
    <row r="12577" ht="26.25" customHeight="1"/>
    <row r="12578" ht="26.25" customHeight="1"/>
    <row r="12579" ht="26.25" customHeight="1"/>
    <row r="12580" ht="26.25" customHeight="1"/>
    <row r="12581" ht="26.25" customHeight="1"/>
    <row r="12582" ht="26.25" customHeight="1"/>
    <row r="12583" ht="26.25" customHeight="1"/>
    <row r="12584" ht="26.25" customHeight="1"/>
    <row r="12585" ht="26.25" customHeight="1"/>
    <row r="12586" ht="26.25" customHeight="1"/>
    <row r="12587" ht="26.25" customHeight="1"/>
    <row r="12588" ht="26.25" customHeight="1"/>
    <row r="12589" ht="26.25" customHeight="1"/>
    <row r="12590" ht="26.25" customHeight="1"/>
    <row r="12591" ht="26.25" customHeight="1"/>
    <row r="12592" ht="26.25" customHeight="1"/>
    <row r="12593" ht="26.25" customHeight="1"/>
    <row r="12594" ht="26.25" customHeight="1"/>
    <row r="12595" ht="26.25" customHeight="1"/>
    <row r="12596" ht="26.25" customHeight="1"/>
    <row r="12597" ht="26.25" customHeight="1"/>
    <row r="12598" ht="26.25" customHeight="1"/>
    <row r="12599" ht="26.25" customHeight="1"/>
    <row r="12600" ht="26.25" customHeight="1"/>
    <row r="12601" ht="26.25" customHeight="1"/>
    <row r="12602" ht="26.25" customHeight="1"/>
    <row r="12603" ht="26.25" customHeight="1"/>
    <row r="12604" ht="26.25" customHeight="1"/>
    <row r="12605" ht="26.25" customHeight="1"/>
    <row r="12606" ht="26.25" customHeight="1"/>
    <row r="12607" ht="26.25" customHeight="1"/>
    <row r="12608" ht="26.25" customHeight="1"/>
    <row r="12609" ht="26.25" customHeight="1"/>
    <row r="12610" ht="26.25" customHeight="1"/>
    <row r="12611" ht="26.25" customHeight="1"/>
    <row r="12612" ht="26.25" customHeight="1"/>
    <row r="12613" ht="26.25" customHeight="1"/>
    <row r="12614" ht="26.25" customHeight="1"/>
    <row r="12615" ht="26.25" customHeight="1"/>
    <row r="12616" ht="26.25" customHeight="1"/>
    <row r="12617" ht="26.25" customHeight="1"/>
    <row r="12618" ht="26.25" customHeight="1"/>
    <row r="12619" ht="26.25" customHeight="1"/>
    <row r="12620" ht="26.25" customHeight="1"/>
    <row r="12621" ht="26.25" customHeight="1"/>
    <row r="12622" ht="26.25" customHeight="1"/>
    <row r="12623" ht="26.25" customHeight="1"/>
    <row r="12624" ht="26.25" customHeight="1"/>
    <row r="12625" ht="26.25" customHeight="1"/>
    <row r="12626" ht="26.25" customHeight="1"/>
    <row r="12627" ht="26.25" customHeight="1"/>
    <row r="12628" ht="26.25" customHeight="1"/>
    <row r="12629" ht="26.25" customHeight="1"/>
    <row r="12630" ht="26.25" customHeight="1"/>
    <row r="12631" ht="26.25" customHeight="1"/>
    <row r="12632" ht="26.25" customHeight="1"/>
    <row r="12633" ht="26.25" customHeight="1"/>
    <row r="12634" ht="26.25" customHeight="1"/>
    <row r="12635" ht="26.25" customHeight="1"/>
    <row r="12636" ht="26.25" customHeight="1"/>
    <row r="12637" ht="26.25" customHeight="1"/>
    <row r="12638" ht="26.25" customHeight="1"/>
    <row r="12639" ht="26.25" customHeight="1"/>
    <row r="12640" ht="26.25" customHeight="1"/>
    <row r="12641" ht="26.25" customHeight="1"/>
    <row r="12642" ht="26.25" customHeight="1"/>
    <row r="12643" ht="26.25" customHeight="1"/>
    <row r="12644" ht="26.25" customHeight="1"/>
    <row r="12645" ht="26.25" customHeight="1"/>
    <row r="12646" ht="26.25" customHeight="1"/>
    <row r="12647" ht="26.25" customHeight="1"/>
    <row r="12648" ht="26.25" customHeight="1"/>
    <row r="12649" ht="26.25" customHeight="1"/>
    <row r="12650" ht="26.25" customHeight="1"/>
    <row r="12651" ht="26.25" customHeight="1"/>
    <row r="12652" ht="26.25" customHeight="1"/>
    <row r="12653" ht="26.25" customHeight="1"/>
    <row r="12654" ht="26.25" customHeight="1"/>
    <row r="12655" ht="26.25" customHeight="1"/>
    <row r="12656" ht="26.25" customHeight="1"/>
    <row r="12657" ht="26.25" customHeight="1"/>
    <row r="12658" ht="26.25" customHeight="1"/>
    <row r="12659" ht="26.25" customHeight="1"/>
    <row r="12660" ht="26.25" customHeight="1"/>
    <row r="12661" ht="26.25" customHeight="1"/>
    <row r="12662" ht="26.25" customHeight="1"/>
    <row r="12663" ht="26.25" customHeight="1"/>
    <row r="12664" ht="26.25" customHeight="1"/>
    <row r="12665" ht="26.25" customHeight="1"/>
    <row r="12666" ht="26.25" customHeight="1"/>
    <row r="12667" ht="26.25" customHeight="1"/>
    <row r="12668" ht="26.25" customHeight="1"/>
    <row r="12669" ht="26.25" customHeight="1"/>
    <row r="12670" ht="26.25" customHeight="1"/>
    <row r="12671" ht="26.25" customHeight="1"/>
    <row r="12672" ht="26.25" customHeight="1"/>
    <row r="12673" ht="26.25" customHeight="1"/>
    <row r="12674" ht="26.25" customHeight="1"/>
    <row r="12675" ht="26.25" customHeight="1"/>
    <row r="12676" ht="26.25" customHeight="1"/>
    <row r="12677" ht="26.25" customHeight="1"/>
    <row r="12678" ht="26.25" customHeight="1"/>
    <row r="12679" ht="26.25" customHeight="1"/>
    <row r="12680" ht="26.25" customHeight="1"/>
    <row r="12681" ht="26.25" customHeight="1"/>
    <row r="12682" ht="26.25" customHeight="1"/>
    <row r="12683" ht="26.25" customHeight="1"/>
    <row r="12684" ht="26.25" customHeight="1"/>
    <row r="12685" ht="26.25" customHeight="1"/>
    <row r="12686" ht="26.25" customHeight="1"/>
    <row r="12687" ht="26.25" customHeight="1"/>
    <row r="12688" ht="26.25" customHeight="1"/>
    <row r="12689" ht="26.25" customHeight="1"/>
    <row r="12690" ht="26.25" customHeight="1"/>
    <row r="12691" ht="26.25" customHeight="1"/>
    <row r="12692" ht="26.25" customHeight="1"/>
    <row r="12693" ht="26.25" customHeight="1"/>
    <row r="12694" ht="26.25" customHeight="1"/>
    <row r="12695" ht="26.25" customHeight="1"/>
    <row r="12696" ht="26.25" customHeight="1"/>
    <row r="12697" ht="26.25" customHeight="1"/>
    <row r="12698" ht="26.25" customHeight="1"/>
    <row r="12699" ht="26.25" customHeight="1"/>
    <row r="12700" ht="26.25" customHeight="1"/>
    <row r="12701" ht="26.25" customHeight="1"/>
    <row r="12702" ht="26.25" customHeight="1"/>
    <row r="12703" ht="26.25" customHeight="1"/>
    <row r="12704" ht="26.25" customHeight="1"/>
    <row r="12705" ht="26.25" customHeight="1"/>
    <row r="12706" ht="26.25" customHeight="1"/>
    <row r="12707" ht="26.25" customHeight="1"/>
    <row r="12708" ht="26.25" customHeight="1"/>
    <row r="12709" ht="26.25" customHeight="1"/>
    <row r="12710" ht="26.25" customHeight="1"/>
    <row r="12711" ht="26.25" customHeight="1"/>
    <row r="12712" ht="26.25" customHeight="1"/>
    <row r="12713" ht="26.25" customHeight="1"/>
    <row r="12714" ht="26.25" customHeight="1"/>
    <row r="12715" ht="26.25" customHeight="1"/>
    <row r="12716" ht="26.25" customHeight="1"/>
    <row r="12717" ht="26.25" customHeight="1"/>
    <row r="12718" ht="26.25" customHeight="1"/>
    <row r="12719" ht="26.25" customHeight="1"/>
    <row r="12720" ht="26.25" customHeight="1"/>
    <row r="12721" ht="26.25" customHeight="1"/>
    <row r="12722" ht="26.25" customHeight="1"/>
    <row r="12723" ht="26.25" customHeight="1"/>
    <row r="12724" ht="26.25" customHeight="1"/>
    <row r="12725" ht="26.25" customHeight="1"/>
    <row r="12726" ht="26.25" customHeight="1"/>
    <row r="12727" ht="26.25" customHeight="1"/>
    <row r="12728" ht="26.25" customHeight="1"/>
    <row r="12729" ht="26.25" customHeight="1"/>
    <row r="12730" ht="26.25" customHeight="1"/>
    <row r="12731" ht="26.25" customHeight="1"/>
    <row r="12732" ht="26.25" customHeight="1"/>
    <row r="12733" ht="26.25" customHeight="1"/>
    <row r="12734" ht="26.25" customHeight="1"/>
    <row r="12735" ht="26.25" customHeight="1"/>
    <row r="12736" ht="26.25" customHeight="1"/>
    <row r="12737" ht="26.25" customHeight="1"/>
    <row r="12738" ht="26.25" customHeight="1"/>
    <row r="12739" ht="26.25" customHeight="1"/>
    <row r="12740" ht="26.25" customHeight="1"/>
    <row r="12741" ht="26.25" customHeight="1"/>
    <row r="12742" ht="26.25" customHeight="1"/>
    <row r="12743" ht="26.25" customHeight="1"/>
    <row r="12744" ht="26.25" customHeight="1"/>
    <row r="12745" ht="26.25" customHeight="1"/>
    <row r="12746" ht="26.25" customHeight="1"/>
    <row r="12747" ht="26.25" customHeight="1"/>
    <row r="12748" ht="26.25" customHeight="1"/>
    <row r="12749" ht="26.25" customHeight="1"/>
    <row r="12750" ht="26.25" customHeight="1"/>
    <row r="12751" ht="26.25" customHeight="1"/>
    <row r="12752" ht="26.25" customHeight="1"/>
    <row r="12753" ht="26.25" customHeight="1"/>
    <row r="12754" ht="26.25" customHeight="1"/>
    <row r="12755" ht="26.25" customHeight="1"/>
    <row r="12756" ht="26.25" customHeight="1"/>
    <row r="12757" ht="26.25" customHeight="1"/>
    <row r="12758" ht="26.25" customHeight="1"/>
    <row r="12759" ht="26.25" customHeight="1"/>
    <row r="12760" ht="26.25" customHeight="1"/>
    <row r="12761" ht="26.25" customHeight="1"/>
    <row r="12762" ht="26.25" customHeight="1"/>
    <row r="12763" ht="26.25" customHeight="1"/>
    <row r="12764" ht="26.25" customHeight="1"/>
    <row r="12765" ht="26.25" customHeight="1"/>
    <row r="12766" ht="26.25" customHeight="1"/>
    <row r="12767" ht="26.25" customHeight="1"/>
    <row r="12768" ht="26.25" customHeight="1"/>
    <row r="12769" ht="26.25" customHeight="1"/>
    <row r="12770" ht="26.25" customHeight="1"/>
    <row r="12771" ht="26.25" customHeight="1"/>
    <row r="12772" ht="26.25" customHeight="1"/>
    <row r="12773" ht="26.25" customHeight="1"/>
    <row r="12774" ht="26.25" customHeight="1"/>
    <row r="12775" ht="26.25" customHeight="1"/>
    <row r="12776" ht="26.25" customHeight="1"/>
    <row r="12777" ht="26.25" customHeight="1"/>
    <row r="12778" ht="26.25" customHeight="1"/>
    <row r="12779" ht="26.25" customHeight="1"/>
    <row r="12780" ht="26.25" customHeight="1"/>
    <row r="12781" ht="26.25" customHeight="1"/>
    <row r="12782" ht="26.25" customHeight="1"/>
    <row r="12783" ht="26.25" customHeight="1"/>
    <row r="12784" ht="26.25" customHeight="1"/>
    <row r="12785" ht="26.25" customHeight="1"/>
    <row r="12786" ht="26.25" customHeight="1"/>
    <row r="12787" ht="26.25" customHeight="1"/>
    <row r="12788" ht="26.25" customHeight="1"/>
    <row r="12789" ht="26.25" customHeight="1"/>
    <row r="12790" ht="26.25" customHeight="1"/>
    <row r="12791" ht="26.25" customHeight="1"/>
    <row r="12792" ht="26.25" customHeight="1"/>
    <row r="12793" ht="26.25" customHeight="1"/>
    <row r="12794" ht="26.25" customHeight="1"/>
    <row r="12795" ht="26.25" customHeight="1"/>
    <row r="12796" ht="26.25" customHeight="1"/>
    <row r="12797" ht="26.25" customHeight="1"/>
    <row r="12798" ht="26.25" customHeight="1"/>
    <row r="12799" ht="26.25" customHeight="1"/>
    <row r="12800" ht="26.25" customHeight="1"/>
    <row r="12801" ht="26.25" customHeight="1"/>
    <row r="12802" ht="26.25" customHeight="1"/>
    <row r="12803" ht="26.25" customHeight="1"/>
    <row r="12804" ht="26.25" customHeight="1"/>
    <row r="12805" ht="26.25" customHeight="1"/>
    <row r="12806" ht="26.25" customHeight="1"/>
    <row r="12807" ht="26.25" customHeight="1"/>
    <row r="12808" ht="26.25" customHeight="1"/>
    <row r="12809" ht="26.25" customHeight="1"/>
    <row r="12810" ht="26.25" customHeight="1"/>
    <row r="12811" ht="26.25" customHeight="1"/>
    <row r="12812" ht="26.25" customHeight="1"/>
    <row r="12813" ht="26.25" customHeight="1"/>
    <row r="12814" ht="26.25" customHeight="1"/>
    <row r="12815" ht="26.25" customHeight="1"/>
    <row r="12816" ht="26.25" customHeight="1"/>
    <row r="12817" ht="26.25" customHeight="1"/>
    <row r="12818" ht="26.25" customHeight="1"/>
    <row r="12819" ht="26.25" customHeight="1"/>
    <row r="12820" ht="26.25" customHeight="1"/>
    <row r="12821" ht="26.25" customHeight="1"/>
    <row r="12822" ht="26.25" customHeight="1"/>
    <row r="12823" ht="26.25" customHeight="1"/>
    <row r="12824" ht="26.25" customHeight="1"/>
    <row r="12825" ht="26.25" customHeight="1"/>
    <row r="12826" ht="26.25" customHeight="1"/>
    <row r="12827" ht="26.25" customHeight="1"/>
    <row r="12828" ht="26.25" customHeight="1"/>
    <row r="12829" ht="26.25" customHeight="1"/>
    <row r="12830" ht="26.25" customHeight="1"/>
    <row r="12831" ht="26.25" customHeight="1"/>
    <row r="12832" ht="26.25" customHeight="1"/>
    <row r="12833" ht="26.25" customHeight="1"/>
    <row r="12834" ht="26.25" customHeight="1"/>
    <row r="12835" ht="26.25" customHeight="1"/>
    <row r="12836" ht="26.25" customHeight="1"/>
    <row r="12837" ht="26.25" customHeight="1"/>
    <row r="12838" ht="26.25" customHeight="1"/>
    <row r="12839" ht="26.25" customHeight="1"/>
    <row r="12840" ht="26.25" customHeight="1"/>
    <row r="12841" ht="26.25" customHeight="1"/>
    <row r="12842" ht="26.25" customHeight="1"/>
    <row r="12843" ht="26.25" customHeight="1"/>
    <row r="12844" ht="26.25" customHeight="1"/>
    <row r="12845" ht="26.25" customHeight="1"/>
    <row r="12846" ht="26.25" customHeight="1"/>
    <row r="12847" ht="26.25" customHeight="1"/>
    <row r="12848" ht="26.25" customHeight="1"/>
    <row r="12849" ht="26.25" customHeight="1"/>
    <row r="12850" ht="26.25" customHeight="1"/>
    <row r="12851" ht="26.25" customHeight="1"/>
    <row r="12852" ht="26.25" customHeight="1"/>
    <row r="12853" ht="26.25" customHeight="1"/>
    <row r="12854" ht="26.25" customHeight="1"/>
    <row r="12855" ht="26.25" customHeight="1"/>
    <row r="12856" ht="26.25" customHeight="1"/>
    <row r="12857" ht="26.25" customHeight="1"/>
    <row r="12858" ht="26.25" customHeight="1"/>
    <row r="12859" ht="26.25" customHeight="1"/>
    <row r="12860" ht="26.25" customHeight="1"/>
    <row r="12861" ht="26.25" customHeight="1"/>
    <row r="12862" ht="26.25" customHeight="1"/>
    <row r="12863" ht="26.25" customHeight="1"/>
    <row r="12864" ht="26.25" customHeight="1"/>
    <row r="12865" ht="26.25" customHeight="1"/>
    <row r="12866" ht="26.25" customHeight="1"/>
    <row r="12867" ht="26.25" customHeight="1"/>
    <row r="12868" ht="26.25" customHeight="1"/>
    <row r="12869" ht="26.25" customHeight="1"/>
    <row r="12870" ht="26.25" customHeight="1"/>
    <row r="12871" ht="26.25" customHeight="1"/>
    <row r="12872" ht="26.25" customHeight="1"/>
    <row r="12873" ht="26.25" customHeight="1"/>
    <row r="12874" ht="26.25" customHeight="1"/>
    <row r="12875" ht="26.25" customHeight="1"/>
    <row r="12876" ht="26.25" customHeight="1"/>
    <row r="12877" ht="26.25" customHeight="1"/>
    <row r="12878" ht="26.25" customHeight="1"/>
    <row r="12879" ht="26.25" customHeight="1"/>
    <row r="12880" ht="26.25" customHeight="1"/>
    <row r="12881" ht="26.25" customHeight="1"/>
    <row r="12882" ht="26.25" customHeight="1"/>
    <row r="12883" ht="26.25" customHeight="1"/>
    <row r="12884" ht="26.25" customHeight="1"/>
    <row r="12885" ht="26.25" customHeight="1"/>
    <row r="12886" ht="26.25" customHeight="1"/>
    <row r="12887" ht="26.25" customHeight="1"/>
    <row r="12888" ht="26.25" customHeight="1"/>
    <row r="12889" ht="26.25" customHeight="1"/>
    <row r="12890" ht="26.25" customHeight="1"/>
    <row r="12891" ht="26.25" customHeight="1"/>
    <row r="12892" ht="26.25" customHeight="1"/>
    <row r="12893" ht="26.25" customHeight="1"/>
    <row r="12894" ht="26.25" customHeight="1"/>
    <row r="12895" ht="26.25" customHeight="1"/>
    <row r="12896" ht="26.25" customHeight="1"/>
    <row r="12897" ht="26.25" customHeight="1"/>
    <row r="12898" ht="26.25" customHeight="1"/>
    <row r="12899" ht="26.25" customHeight="1"/>
    <row r="12900" ht="26.25" customHeight="1"/>
    <row r="12901" ht="26.25" customHeight="1"/>
    <row r="12902" ht="26.25" customHeight="1"/>
    <row r="12903" ht="26.25" customHeight="1"/>
    <row r="12904" ht="26.25" customHeight="1"/>
    <row r="12905" ht="26.25" customHeight="1"/>
    <row r="12906" ht="26.25" customHeight="1"/>
    <row r="12907" ht="26.25" customHeight="1"/>
    <row r="12908" ht="26.25" customHeight="1"/>
    <row r="12909" ht="26.25" customHeight="1"/>
    <row r="12910" ht="26.25" customHeight="1"/>
    <row r="12911" ht="26.25" customHeight="1"/>
    <row r="12912" ht="26.25" customHeight="1"/>
    <row r="12913" ht="26.25" customHeight="1"/>
    <row r="12914" ht="26.25" customHeight="1"/>
    <row r="12915" ht="26.25" customHeight="1"/>
    <row r="12916" ht="26.25" customHeight="1"/>
    <row r="12917" ht="26.25" customHeight="1"/>
    <row r="12918" ht="26.25" customHeight="1"/>
    <row r="12919" ht="26.25" customHeight="1"/>
    <row r="12920" ht="26.25" customHeight="1"/>
    <row r="12921" ht="26.25" customHeight="1"/>
    <row r="12922" ht="26.25" customHeight="1"/>
    <row r="12923" ht="26.25" customHeight="1"/>
    <row r="12924" ht="26.25" customHeight="1"/>
    <row r="12925" ht="26.25" customHeight="1"/>
    <row r="12926" ht="26.25" customHeight="1"/>
    <row r="12927" ht="26.25" customHeight="1"/>
    <row r="12928" ht="26.25" customHeight="1"/>
    <row r="12929" ht="26.25" customHeight="1"/>
    <row r="12930" ht="26.25" customHeight="1"/>
    <row r="12931" ht="26.25" customHeight="1"/>
    <row r="12932" ht="26.25" customHeight="1"/>
    <row r="12933" ht="26.25" customHeight="1"/>
    <row r="12934" ht="26.25" customHeight="1"/>
    <row r="12935" ht="26.25" customHeight="1"/>
    <row r="12936" ht="26.25" customHeight="1"/>
    <row r="12937" ht="26.25" customHeight="1"/>
    <row r="12938" ht="26.25" customHeight="1"/>
    <row r="12939" ht="26.25" customHeight="1"/>
    <row r="12940" ht="26.25" customHeight="1"/>
    <row r="12941" ht="26.25" customHeight="1"/>
    <row r="12942" ht="26.25" customHeight="1"/>
    <row r="12943" ht="26.25" customHeight="1"/>
    <row r="12944" ht="26.25" customHeight="1"/>
    <row r="12945" ht="26.25" customHeight="1"/>
    <row r="12946" ht="26.25" customHeight="1"/>
    <row r="12947" ht="26.25" customHeight="1"/>
    <row r="12948" ht="26.25" customHeight="1"/>
    <row r="12949" ht="26.25" customHeight="1"/>
    <row r="12950" ht="26.25" customHeight="1"/>
    <row r="12951" ht="26.25" customHeight="1"/>
    <row r="12952" ht="26.25" customHeight="1"/>
    <row r="12953" ht="26.25" customHeight="1"/>
    <row r="12954" ht="26.25" customHeight="1"/>
    <row r="12955" ht="26.25" customHeight="1"/>
    <row r="12956" ht="26.25" customHeight="1"/>
    <row r="12957" ht="26.25" customHeight="1"/>
    <row r="12958" ht="26.25" customHeight="1"/>
    <row r="12959" ht="26.25" customHeight="1"/>
    <row r="12960" ht="26.25" customHeight="1"/>
    <row r="12961" ht="26.25" customHeight="1"/>
    <row r="12962" ht="26.25" customHeight="1"/>
    <row r="12963" ht="26.25" customHeight="1"/>
    <row r="12964" ht="26.25" customHeight="1"/>
    <row r="12965" ht="26.25" customHeight="1"/>
    <row r="12966" ht="26.25" customHeight="1"/>
    <row r="12967" ht="26.25" customHeight="1"/>
    <row r="12968" ht="26.25" customHeight="1"/>
    <row r="12969" ht="26.25" customHeight="1"/>
    <row r="12970" ht="26.25" customHeight="1"/>
    <row r="12971" ht="26.25" customHeight="1"/>
    <row r="12972" ht="26.25" customHeight="1"/>
    <row r="12973" ht="26.25" customHeight="1"/>
    <row r="12974" ht="26.25" customHeight="1"/>
    <row r="12975" ht="26.25" customHeight="1"/>
    <row r="12976" ht="26.25" customHeight="1"/>
    <row r="12977" ht="26.25" customHeight="1"/>
    <row r="12978" ht="26.25" customHeight="1"/>
    <row r="12979" ht="26.25" customHeight="1"/>
    <row r="12980" ht="26.25" customHeight="1"/>
    <row r="12981" ht="26.25" customHeight="1"/>
    <row r="12982" ht="26.25" customHeight="1"/>
    <row r="12983" ht="26.25" customHeight="1"/>
    <row r="12984" ht="26.25" customHeight="1"/>
    <row r="12985" ht="26.25" customHeight="1"/>
    <row r="12986" ht="26.25" customHeight="1"/>
    <row r="12987" ht="26.25" customHeight="1"/>
    <row r="12988" ht="26.25" customHeight="1"/>
    <row r="12989" ht="26.25" customHeight="1"/>
    <row r="12990" ht="26.25" customHeight="1"/>
    <row r="12991" ht="26.25" customHeight="1"/>
    <row r="12992" ht="26.25" customHeight="1"/>
    <row r="12993" ht="26.25" customHeight="1"/>
    <row r="12994" ht="26.25" customHeight="1"/>
    <row r="12995" ht="26.25" customHeight="1"/>
    <row r="12996" ht="26.25" customHeight="1"/>
    <row r="12997" ht="26.25" customHeight="1"/>
    <row r="12998" ht="26.25" customHeight="1"/>
    <row r="12999" ht="26.25" customHeight="1"/>
    <row r="13000" ht="26.25" customHeight="1"/>
    <row r="13001" ht="26.25" customHeight="1"/>
    <row r="13002" ht="26.25" customHeight="1"/>
    <row r="13003" ht="26.25" customHeight="1"/>
    <row r="13004" ht="26.25" customHeight="1"/>
    <row r="13005" ht="26.25" customHeight="1"/>
    <row r="13006" ht="26.25" customHeight="1"/>
    <row r="13007" ht="26.25" customHeight="1"/>
    <row r="13008" ht="26.25" customHeight="1"/>
    <row r="13009" ht="26.25" customHeight="1"/>
    <row r="13010" ht="26.25" customHeight="1"/>
    <row r="13011" ht="26.25" customHeight="1"/>
    <row r="13012" ht="26.25" customHeight="1"/>
    <row r="13013" ht="26.25" customHeight="1"/>
    <row r="13014" ht="26.25" customHeight="1"/>
    <row r="13015" ht="26.25" customHeight="1"/>
    <row r="13016" ht="26.25" customHeight="1"/>
    <row r="13017" ht="26.25" customHeight="1"/>
    <row r="13018" ht="26.25" customHeight="1"/>
    <row r="13019" ht="26.25" customHeight="1"/>
    <row r="13020" ht="26.25" customHeight="1"/>
    <row r="13021" ht="26.25" customHeight="1"/>
    <row r="13022" ht="26.25" customHeight="1"/>
    <row r="13023" ht="26.25" customHeight="1"/>
    <row r="13024" ht="26.25" customHeight="1"/>
    <row r="13025" ht="26.25" customHeight="1"/>
    <row r="13026" ht="26.25" customHeight="1"/>
    <row r="13027" ht="26.25" customHeight="1"/>
    <row r="13028" ht="26.25" customHeight="1"/>
    <row r="13029" ht="26.25" customHeight="1"/>
    <row r="13030" ht="26.25" customHeight="1"/>
    <row r="13031" ht="26.25" customHeight="1"/>
    <row r="13032" ht="26.25" customHeight="1"/>
    <row r="13033" ht="26.25" customHeight="1"/>
    <row r="13034" ht="26.25" customHeight="1"/>
    <row r="13035" ht="26.25" customHeight="1"/>
    <row r="13036" ht="26.25" customHeight="1"/>
    <row r="13037" ht="26.25" customHeight="1"/>
    <row r="13038" ht="26.25" customHeight="1"/>
    <row r="13039" ht="26.25" customHeight="1"/>
    <row r="13040" ht="26.25" customHeight="1"/>
    <row r="13041" ht="26.25" customHeight="1"/>
    <row r="13042" ht="26.25" customHeight="1"/>
    <row r="13043" ht="26.25" customHeight="1"/>
    <row r="13044" ht="26.25" customHeight="1"/>
    <row r="13045" ht="26.25" customHeight="1"/>
    <row r="13046" ht="26.25" customHeight="1"/>
    <row r="13047" ht="26.25" customHeight="1"/>
    <row r="13048" ht="26.25" customHeight="1"/>
    <row r="13049" ht="26.25" customHeight="1"/>
    <row r="13050" ht="26.25" customHeight="1"/>
    <row r="13051" ht="26.25" customHeight="1"/>
    <row r="13052" ht="26.25" customHeight="1"/>
    <row r="13053" ht="26.25" customHeight="1"/>
    <row r="13054" ht="26.25" customHeight="1"/>
    <row r="13055" ht="26.25" customHeight="1"/>
    <row r="13056" ht="26.25" customHeight="1"/>
    <row r="13057" ht="26.25" customHeight="1"/>
    <row r="13058" ht="26.25" customHeight="1"/>
    <row r="13059" ht="26.25" customHeight="1"/>
    <row r="13060" ht="26.25" customHeight="1"/>
    <row r="13061" ht="26.25" customHeight="1"/>
    <row r="13062" ht="26.25" customHeight="1"/>
    <row r="13063" ht="26.25" customHeight="1"/>
    <row r="13064" ht="26.25" customHeight="1"/>
    <row r="13065" ht="26.25" customHeight="1"/>
    <row r="13066" ht="26.25" customHeight="1"/>
    <row r="13067" ht="26.25" customHeight="1"/>
    <row r="13068" ht="26.25" customHeight="1"/>
    <row r="13069" ht="26.25" customHeight="1"/>
    <row r="13070" ht="26.25" customHeight="1"/>
    <row r="13071" ht="26.25" customHeight="1"/>
    <row r="13072" ht="26.25" customHeight="1"/>
    <row r="13073" ht="26.25" customHeight="1"/>
    <row r="13074" ht="26.25" customHeight="1"/>
    <row r="13075" ht="26.25" customHeight="1"/>
    <row r="13076" ht="26.25" customHeight="1"/>
    <row r="13077" ht="26.25" customHeight="1"/>
    <row r="13078" ht="26.25" customHeight="1"/>
    <row r="13079" ht="26.25" customHeight="1"/>
    <row r="13080" ht="26.25" customHeight="1"/>
    <row r="13081" ht="26.25" customHeight="1"/>
    <row r="13082" ht="26.25" customHeight="1"/>
    <row r="13083" ht="26.25" customHeight="1"/>
    <row r="13084" ht="26.25" customHeight="1"/>
    <row r="13085" ht="26.25" customHeight="1"/>
    <row r="13086" ht="26.25" customHeight="1"/>
    <row r="13087" ht="26.25" customHeight="1"/>
    <row r="13088" ht="26.25" customHeight="1"/>
    <row r="13089" ht="26.25" customHeight="1"/>
    <row r="13090" ht="26.25" customHeight="1"/>
    <row r="13091" ht="26.25" customHeight="1"/>
    <row r="13092" ht="26.25" customHeight="1"/>
    <row r="13093" ht="26.25" customHeight="1"/>
    <row r="13094" ht="26.25" customHeight="1"/>
    <row r="13095" ht="26.25" customHeight="1"/>
    <row r="13096" ht="26.25" customHeight="1"/>
    <row r="13097" ht="26.25" customHeight="1"/>
    <row r="13098" ht="26.25" customHeight="1"/>
    <row r="13099" ht="26.25" customHeight="1"/>
    <row r="13100" ht="26.25" customHeight="1"/>
    <row r="13101" ht="26.25" customHeight="1"/>
    <row r="13102" ht="26.25" customHeight="1"/>
    <row r="13103" ht="26.25" customHeight="1"/>
    <row r="13104" ht="26.25" customHeight="1"/>
    <row r="13105" ht="26.25" customHeight="1"/>
    <row r="13106" ht="26.25" customHeight="1"/>
    <row r="13107" ht="26.25" customHeight="1"/>
    <row r="13108" ht="26.25" customHeight="1"/>
    <row r="13109" ht="26.25" customHeight="1"/>
    <row r="13110" ht="26.25" customHeight="1"/>
    <row r="13111" ht="26.25" customHeight="1"/>
    <row r="13112" ht="26.25" customHeight="1"/>
    <row r="13113" ht="26.25" customHeight="1"/>
    <row r="13114" ht="26.25" customHeight="1"/>
    <row r="13115" ht="26.25" customHeight="1"/>
    <row r="13116" ht="26.25" customHeight="1"/>
    <row r="13117" ht="26.25" customHeight="1"/>
    <row r="13118" ht="26.25" customHeight="1"/>
    <row r="13119" ht="26.25" customHeight="1"/>
    <row r="13120" ht="26.25" customHeight="1"/>
    <row r="13121" ht="26.25" customHeight="1"/>
    <row r="13122" ht="26.25" customHeight="1"/>
    <row r="13123" ht="26.25" customHeight="1"/>
    <row r="13124" ht="26.25" customHeight="1"/>
    <row r="13125" ht="26.25" customHeight="1"/>
    <row r="13126" ht="26.25" customHeight="1"/>
    <row r="13127" ht="26.25" customHeight="1"/>
    <row r="13128" ht="26.25" customHeight="1"/>
    <row r="13129" ht="26.25" customHeight="1"/>
    <row r="13130" ht="26.25" customHeight="1"/>
    <row r="13131" ht="26.25" customHeight="1"/>
    <row r="13132" ht="26.25" customHeight="1"/>
    <row r="13133" ht="26.25" customHeight="1"/>
    <row r="13134" ht="26.25" customHeight="1"/>
    <row r="13135" ht="26.25" customHeight="1"/>
    <row r="13136" ht="26.25" customHeight="1"/>
    <row r="13137" ht="26.25" customHeight="1"/>
    <row r="13138" ht="26.25" customHeight="1"/>
    <row r="13139" ht="26.25" customHeight="1"/>
    <row r="13140" ht="26.25" customHeight="1"/>
    <row r="13141" ht="26.25" customHeight="1"/>
    <row r="13142" ht="26.25" customHeight="1"/>
    <row r="13143" ht="26.25" customHeight="1"/>
    <row r="13144" ht="26.25" customHeight="1"/>
    <row r="13145" ht="26.25" customHeight="1"/>
    <row r="13146" ht="26.25" customHeight="1"/>
    <row r="13147" ht="26.25" customHeight="1"/>
    <row r="13148" ht="26.25" customHeight="1"/>
    <row r="13149" ht="26.25" customHeight="1"/>
    <row r="13150" ht="26.25" customHeight="1"/>
    <row r="13151" ht="26.25" customHeight="1"/>
    <row r="13152" ht="26.25" customHeight="1"/>
    <row r="13153" ht="26.25" customHeight="1"/>
    <row r="13154" ht="26.25" customHeight="1"/>
    <row r="13155" ht="26.25" customHeight="1"/>
    <row r="13156" ht="26.25" customHeight="1"/>
    <row r="13157" ht="26.25" customHeight="1"/>
    <row r="13158" ht="26.25" customHeight="1"/>
    <row r="13159" ht="26.25" customHeight="1"/>
    <row r="13160" ht="26.25" customHeight="1"/>
    <row r="13161" ht="26.25" customHeight="1"/>
    <row r="13162" ht="26.25" customHeight="1"/>
    <row r="13163" ht="26.25" customHeight="1"/>
    <row r="13164" ht="26.25" customHeight="1"/>
    <row r="13165" ht="26.25" customHeight="1"/>
    <row r="13166" ht="26.25" customHeight="1"/>
    <row r="13167" ht="26.25" customHeight="1"/>
    <row r="13168" ht="26.25" customHeight="1"/>
    <row r="13169" ht="26.25" customHeight="1"/>
    <row r="13170" ht="26.25" customHeight="1"/>
    <row r="13171" ht="26.25" customHeight="1"/>
    <row r="13172" ht="26.25" customHeight="1"/>
    <row r="13173" ht="26.25" customHeight="1"/>
    <row r="13174" ht="26.25" customHeight="1"/>
    <row r="13175" ht="26.25" customHeight="1"/>
    <row r="13176" ht="26.25" customHeight="1"/>
    <row r="13177" ht="26.25" customHeight="1"/>
    <row r="13178" ht="26.25" customHeight="1"/>
    <row r="13179" ht="26.25" customHeight="1"/>
    <row r="13180" ht="26.25" customHeight="1"/>
    <row r="13181" ht="26.25" customHeight="1"/>
    <row r="13182" ht="26.25" customHeight="1"/>
    <row r="13183" ht="26.25" customHeight="1"/>
    <row r="13184" ht="26.25" customHeight="1"/>
    <row r="13185" ht="26.25" customHeight="1"/>
    <row r="13186" ht="26.25" customHeight="1"/>
    <row r="13187" ht="26.25" customHeight="1"/>
    <row r="13188" ht="26.25" customHeight="1"/>
    <row r="13189" ht="26.25" customHeight="1"/>
    <row r="13190" ht="26.25" customHeight="1"/>
    <row r="13191" ht="26.25" customHeight="1"/>
    <row r="13192" ht="26.25" customHeight="1"/>
    <row r="13193" ht="26.25" customHeight="1"/>
    <row r="13194" ht="26.25" customHeight="1"/>
    <row r="13195" ht="26.25" customHeight="1"/>
    <row r="13196" ht="26.25" customHeight="1"/>
    <row r="13197" ht="26.25" customHeight="1"/>
    <row r="13198" ht="26.25" customHeight="1"/>
    <row r="13199" ht="26.25" customHeight="1"/>
    <row r="13200" ht="26.25" customHeight="1"/>
    <row r="13201" ht="26.25" customHeight="1"/>
    <row r="13202" ht="26.25" customHeight="1"/>
    <row r="13203" ht="26.25" customHeight="1"/>
    <row r="13204" ht="26.25" customHeight="1"/>
    <row r="13205" ht="26.25" customHeight="1"/>
    <row r="13206" ht="26.25" customHeight="1"/>
    <row r="13207" ht="26.25" customHeight="1"/>
    <row r="13208" ht="26.25" customHeight="1"/>
    <row r="13209" ht="26.25" customHeight="1"/>
    <row r="13210" ht="26.25" customHeight="1"/>
    <row r="13211" ht="26.25" customHeight="1"/>
    <row r="13212" ht="26.25" customHeight="1"/>
    <row r="13213" ht="26.25" customHeight="1"/>
    <row r="13214" ht="26.25" customHeight="1"/>
    <row r="13215" ht="26.25" customHeight="1"/>
    <row r="13216" ht="26.25" customHeight="1"/>
    <row r="13217" ht="26.25" customHeight="1"/>
    <row r="13218" ht="26.25" customHeight="1"/>
    <row r="13219" ht="26.25" customHeight="1"/>
    <row r="13220" ht="26.25" customHeight="1"/>
    <row r="13221" ht="26.25" customHeight="1"/>
    <row r="13222" ht="26.25" customHeight="1"/>
    <row r="13223" ht="26.25" customHeight="1"/>
    <row r="13224" ht="26.25" customHeight="1"/>
    <row r="13225" ht="26.25" customHeight="1"/>
    <row r="13226" ht="26.25" customHeight="1"/>
    <row r="13227" ht="26.25" customHeight="1"/>
    <row r="13228" ht="26.25" customHeight="1"/>
    <row r="13229" ht="26.25" customHeight="1"/>
    <row r="13230" ht="26.25" customHeight="1"/>
    <row r="13231" ht="26.25" customHeight="1"/>
    <row r="13232" ht="26.25" customHeight="1"/>
    <row r="13233" ht="26.25" customHeight="1"/>
    <row r="13234" ht="26.25" customHeight="1"/>
    <row r="13235" ht="26.25" customHeight="1"/>
    <row r="13236" ht="26.25" customHeight="1"/>
    <row r="13237" ht="26.25" customHeight="1"/>
    <row r="13238" ht="26.25" customHeight="1"/>
    <row r="13239" ht="26.25" customHeight="1"/>
    <row r="13240" ht="26.25" customHeight="1"/>
    <row r="13241" ht="26.25" customHeight="1"/>
    <row r="13242" ht="26.25" customHeight="1"/>
    <row r="13243" ht="26.25" customHeight="1"/>
    <row r="13244" ht="26.25" customHeight="1"/>
    <row r="13245" ht="26.25" customHeight="1"/>
    <row r="13246" ht="26.25" customHeight="1"/>
    <row r="13247" ht="26.25" customHeight="1"/>
    <row r="13248" ht="26.25" customHeight="1"/>
    <row r="13249" ht="26.25" customHeight="1"/>
    <row r="13250" ht="26.25" customHeight="1"/>
    <row r="13251" ht="26.25" customHeight="1"/>
    <row r="13252" ht="26.25" customHeight="1"/>
    <row r="13253" ht="26.25" customHeight="1"/>
    <row r="13254" ht="26.25" customHeight="1"/>
    <row r="13255" ht="26.25" customHeight="1"/>
    <row r="13256" ht="26.25" customHeight="1"/>
    <row r="13257" ht="26.25" customHeight="1"/>
    <row r="13258" ht="26.25" customHeight="1"/>
    <row r="13259" ht="26.25" customHeight="1"/>
    <row r="13260" ht="26.25" customHeight="1"/>
    <row r="13261" ht="26.25" customHeight="1"/>
    <row r="13262" ht="26.25" customHeight="1"/>
    <row r="13263" ht="26.25" customHeight="1"/>
    <row r="13264" ht="26.25" customHeight="1"/>
    <row r="13265" ht="26.25" customHeight="1"/>
    <row r="13266" ht="26.25" customHeight="1"/>
    <row r="13267" ht="26.25" customHeight="1"/>
    <row r="13268" ht="26.25" customHeight="1"/>
    <row r="13269" ht="26.25" customHeight="1"/>
    <row r="13270" ht="26.25" customHeight="1"/>
    <row r="13271" ht="26.25" customHeight="1"/>
    <row r="13272" ht="26.25" customHeight="1"/>
    <row r="13273" ht="26.25" customHeight="1"/>
    <row r="13274" ht="26.25" customHeight="1"/>
    <row r="13275" ht="26.25" customHeight="1"/>
    <row r="13276" ht="26.25" customHeight="1"/>
    <row r="13277" ht="26.25" customHeight="1"/>
    <row r="13278" ht="26.25" customHeight="1"/>
    <row r="13279" ht="26.25" customHeight="1"/>
    <row r="13280" ht="26.25" customHeight="1"/>
    <row r="13281" ht="26.25" customHeight="1"/>
    <row r="13282" ht="26.25" customHeight="1"/>
    <row r="13283" ht="26.25" customHeight="1"/>
    <row r="13284" ht="26.25" customHeight="1"/>
    <row r="13285" ht="26.25" customHeight="1"/>
    <row r="13286" ht="26.25" customHeight="1"/>
    <row r="13287" ht="26.25" customHeight="1"/>
    <row r="13288" ht="26.25" customHeight="1"/>
    <row r="13289" ht="26.25" customHeight="1"/>
    <row r="13290" ht="26.25" customHeight="1"/>
    <row r="13291" ht="26.25" customHeight="1"/>
    <row r="13292" ht="26.25" customHeight="1"/>
    <row r="13293" ht="26.25" customHeight="1"/>
    <row r="13294" ht="26.25" customHeight="1"/>
    <row r="13295" ht="26.25" customHeight="1"/>
    <row r="13296" ht="26.25" customHeight="1"/>
    <row r="13297" ht="26.25" customHeight="1"/>
    <row r="13298" ht="26.25" customHeight="1"/>
    <row r="13299" ht="26.25" customHeight="1"/>
    <row r="13300" ht="26.25" customHeight="1"/>
    <row r="13301" ht="26.25" customHeight="1"/>
    <row r="13302" ht="26.25" customHeight="1"/>
    <row r="13303" ht="26.25" customHeight="1"/>
    <row r="13304" ht="26.25" customHeight="1"/>
    <row r="13305" ht="26.25" customHeight="1"/>
    <row r="13306" ht="26.25" customHeight="1"/>
    <row r="13307" ht="26.25" customHeight="1"/>
    <row r="13308" ht="26.25" customHeight="1"/>
    <row r="13309" ht="26.25" customHeight="1"/>
    <row r="13310" ht="26.25" customHeight="1"/>
    <row r="13311" ht="26.25" customHeight="1"/>
    <row r="13312" ht="26.25" customHeight="1"/>
    <row r="13313" ht="26.25" customHeight="1"/>
    <row r="13314" ht="26.25" customHeight="1"/>
    <row r="13315" ht="26.25" customHeight="1"/>
    <row r="13316" ht="26.25" customHeight="1"/>
    <row r="13317" ht="26.25" customHeight="1"/>
    <row r="13318" ht="26.25" customHeight="1"/>
    <row r="13319" ht="26.25" customHeight="1"/>
    <row r="13320" ht="26.25" customHeight="1"/>
    <row r="13321" ht="26.25" customHeight="1"/>
    <row r="13322" ht="26.25" customHeight="1"/>
    <row r="13323" ht="26.25" customHeight="1"/>
    <row r="13324" ht="26.25" customHeight="1"/>
    <row r="13325" ht="26.25" customHeight="1"/>
    <row r="13326" ht="26.25" customHeight="1"/>
    <row r="13327" ht="26.25" customHeight="1"/>
    <row r="13328" ht="26.25" customHeight="1"/>
    <row r="13329" ht="26.25" customHeight="1"/>
    <row r="13330" ht="26.25" customHeight="1"/>
    <row r="13331" ht="26.25" customHeight="1"/>
    <row r="13332" ht="26.25" customHeight="1"/>
    <row r="13333" ht="26.25" customHeight="1"/>
    <row r="13334" ht="26.25" customHeight="1"/>
    <row r="13335" ht="26.25" customHeight="1"/>
    <row r="13336" ht="26.25" customHeight="1"/>
    <row r="13337" ht="26.25" customHeight="1"/>
    <row r="13338" ht="26.25" customHeight="1"/>
    <row r="13339" ht="26.25" customHeight="1"/>
    <row r="13340" ht="26.25" customHeight="1"/>
    <row r="13341" ht="26.25" customHeight="1"/>
    <row r="13342" ht="26.25" customHeight="1"/>
    <row r="13343" ht="26.25" customHeight="1"/>
    <row r="13344" ht="26.25" customHeight="1"/>
    <row r="13345" ht="26.25" customHeight="1"/>
    <row r="13346" ht="26.25" customHeight="1"/>
    <row r="13347" ht="26.25" customHeight="1"/>
    <row r="13348" ht="26.25" customHeight="1"/>
    <row r="13349" ht="26.25" customHeight="1"/>
    <row r="13350" ht="26.25" customHeight="1"/>
    <row r="13351" ht="26.25" customHeight="1"/>
    <row r="13352" ht="26.25" customHeight="1"/>
    <row r="13353" ht="26.25" customHeight="1"/>
    <row r="13354" ht="26.25" customHeight="1"/>
    <row r="13355" ht="26.25" customHeight="1"/>
    <row r="13356" ht="26.25" customHeight="1"/>
    <row r="13357" ht="26.25" customHeight="1"/>
    <row r="13358" ht="26.25" customHeight="1"/>
    <row r="13359" ht="26.25" customHeight="1"/>
    <row r="13360" ht="26.25" customHeight="1"/>
    <row r="13361" ht="26.25" customHeight="1"/>
    <row r="13362" ht="26.25" customHeight="1"/>
    <row r="13363" ht="26.25" customHeight="1"/>
    <row r="13364" ht="26.25" customHeight="1"/>
    <row r="13365" ht="26.25" customHeight="1"/>
    <row r="13366" ht="26.25" customHeight="1"/>
    <row r="13367" ht="26.25" customHeight="1"/>
    <row r="13368" ht="26.25" customHeight="1"/>
    <row r="13369" ht="26.25" customHeight="1"/>
    <row r="13370" ht="26.25" customHeight="1"/>
    <row r="13371" ht="26.25" customHeight="1"/>
    <row r="13372" ht="26.25" customHeight="1"/>
    <row r="13373" ht="26.25" customHeight="1"/>
    <row r="13374" ht="26.25" customHeight="1"/>
    <row r="13375" ht="26.25" customHeight="1"/>
    <row r="13376" ht="26.25" customHeight="1"/>
    <row r="13377" ht="26.25" customHeight="1"/>
    <row r="13378" ht="26.25" customHeight="1"/>
    <row r="13379" ht="26.25" customHeight="1"/>
    <row r="13380" ht="26.25" customHeight="1"/>
    <row r="13381" ht="26.25" customHeight="1"/>
    <row r="13382" ht="26.25" customHeight="1"/>
    <row r="13383" ht="26.25" customHeight="1"/>
    <row r="13384" ht="26.25" customHeight="1"/>
    <row r="13385" ht="26.25" customHeight="1"/>
    <row r="13386" ht="26.25" customHeight="1"/>
    <row r="13387" ht="26.25" customHeight="1"/>
    <row r="13388" ht="26.25" customHeight="1"/>
    <row r="13389" ht="26.25" customHeight="1"/>
    <row r="13390" ht="26.25" customHeight="1"/>
    <row r="13391" ht="26.25" customHeight="1"/>
    <row r="13392" ht="26.25" customHeight="1"/>
    <row r="13393" ht="26.25" customHeight="1"/>
    <row r="13394" ht="26.25" customHeight="1"/>
    <row r="13395" ht="26.25" customHeight="1"/>
    <row r="13396" ht="26.25" customHeight="1"/>
    <row r="13397" ht="26.25" customHeight="1"/>
    <row r="13398" ht="26.25" customHeight="1"/>
    <row r="13399" ht="26.25" customHeight="1"/>
    <row r="13400" ht="26.25" customHeight="1"/>
    <row r="13401" ht="26.25" customHeight="1"/>
    <row r="13402" ht="26.25" customHeight="1"/>
    <row r="13403" ht="26.25" customHeight="1"/>
    <row r="13404" ht="26.25" customHeight="1"/>
    <row r="13405" ht="26.25" customHeight="1"/>
    <row r="13406" ht="26.25" customHeight="1"/>
    <row r="13407" ht="26.25" customHeight="1"/>
    <row r="13408" ht="26.25" customHeight="1"/>
    <row r="13409" ht="26.25" customHeight="1"/>
    <row r="13410" ht="26.25" customHeight="1"/>
    <row r="13411" ht="26.25" customHeight="1"/>
    <row r="13412" ht="26.25" customHeight="1"/>
    <row r="13413" ht="26.25" customHeight="1"/>
    <row r="13414" ht="26.25" customHeight="1"/>
    <row r="13415" ht="26.25" customHeight="1"/>
    <row r="13416" ht="26.25" customHeight="1"/>
    <row r="13417" ht="26.25" customHeight="1"/>
    <row r="13418" ht="26.25" customHeight="1"/>
    <row r="13419" ht="26.25" customHeight="1"/>
    <row r="13420" ht="26.25" customHeight="1"/>
    <row r="13421" ht="26.25" customHeight="1"/>
    <row r="13422" ht="26.25" customHeight="1"/>
    <row r="13423" ht="26.25" customHeight="1"/>
    <row r="13424" ht="26.25" customHeight="1"/>
    <row r="13425" ht="26.25" customHeight="1"/>
    <row r="13426" ht="26.25" customHeight="1"/>
    <row r="13427" ht="26.25" customHeight="1"/>
    <row r="13428" ht="26.25" customHeight="1"/>
    <row r="13429" ht="26.25" customHeight="1"/>
    <row r="13430" ht="26.25" customHeight="1"/>
    <row r="13431" ht="26.25" customHeight="1"/>
    <row r="13432" ht="26.25" customHeight="1"/>
    <row r="13433" ht="26.25" customHeight="1"/>
    <row r="13434" ht="26.25" customHeight="1"/>
    <row r="13435" ht="26.25" customHeight="1"/>
    <row r="13436" ht="26.25" customHeight="1"/>
    <row r="13437" ht="26.25" customHeight="1"/>
    <row r="13438" ht="26.25" customHeight="1"/>
    <row r="13439" ht="26.25" customHeight="1"/>
    <row r="13440" ht="26.25" customHeight="1"/>
    <row r="13441" ht="26.25" customHeight="1"/>
    <row r="13442" ht="26.25" customHeight="1"/>
    <row r="13443" ht="26.25" customHeight="1"/>
    <row r="13444" ht="26.25" customHeight="1"/>
    <row r="13445" ht="26.25" customHeight="1"/>
    <row r="13446" ht="26.25" customHeight="1"/>
    <row r="13447" ht="26.25" customHeight="1"/>
    <row r="13448" ht="26.25" customHeight="1"/>
    <row r="13449" ht="26.25" customHeight="1"/>
    <row r="13450" ht="26.25" customHeight="1"/>
    <row r="13451" ht="26.25" customHeight="1"/>
    <row r="13452" ht="26.25" customHeight="1"/>
    <row r="13453" ht="26.25" customHeight="1"/>
    <row r="13454" ht="26.25" customHeight="1"/>
    <row r="13455" ht="26.25" customHeight="1"/>
    <row r="13456" ht="26.25" customHeight="1"/>
    <row r="13457" ht="26.25" customHeight="1"/>
    <row r="13458" ht="26.25" customHeight="1"/>
    <row r="13459" ht="26.25" customHeight="1"/>
    <row r="13460" ht="26.25" customHeight="1"/>
    <row r="13461" ht="26.25" customHeight="1"/>
    <row r="13462" ht="26.25" customHeight="1"/>
    <row r="13463" ht="26.25" customHeight="1"/>
    <row r="13464" ht="26.25" customHeight="1"/>
    <row r="13465" ht="26.25" customHeight="1"/>
    <row r="13466" ht="26.25" customHeight="1"/>
    <row r="13467" ht="26.25" customHeight="1"/>
    <row r="13468" ht="26.25" customHeight="1"/>
    <row r="13469" ht="26.25" customHeight="1"/>
    <row r="13470" ht="26.25" customHeight="1"/>
    <row r="13471" ht="26.25" customHeight="1"/>
    <row r="13472" ht="26.25" customHeight="1"/>
    <row r="13473" ht="26.25" customHeight="1"/>
    <row r="13474" ht="26.25" customHeight="1"/>
    <row r="13475" ht="26.25" customHeight="1"/>
    <row r="13476" ht="26.25" customHeight="1"/>
    <row r="13477" ht="26.25" customHeight="1"/>
    <row r="13478" ht="26.25" customHeight="1"/>
    <row r="13479" ht="26.25" customHeight="1"/>
    <row r="13480" ht="26.25" customHeight="1"/>
    <row r="13481" ht="26.25" customHeight="1"/>
    <row r="13482" ht="26.25" customHeight="1"/>
    <row r="13483" ht="26.25" customHeight="1"/>
    <row r="13484" ht="26.25" customHeight="1"/>
    <row r="13485" ht="26.25" customHeight="1"/>
    <row r="13486" ht="26.25" customHeight="1"/>
    <row r="13487" ht="26.25" customHeight="1"/>
    <row r="13488" ht="26.25" customHeight="1"/>
    <row r="13489" ht="26.25" customHeight="1"/>
    <row r="13490" ht="26.25" customHeight="1"/>
    <row r="13491" ht="26.25" customHeight="1"/>
    <row r="13492" ht="26.25" customHeight="1"/>
    <row r="13493" ht="26.25" customHeight="1"/>
    <row r="13494" ht="26.25" customHeight="1"/>
    <row r="13495" ht="26.25" customHeight="1"/>
    <row r="13496" ht="26.25" customHeight="1"/>
    <row r="13497" ht="26.25" customHeight="1"/>
    <row r="13498" ht="26.25" customHeight="1"/>
    <row r="13499" ht="26.25" customHeight="1"/>
    <row r="13500" ht="26.25" customHeight="1"/>
    <row r="13501" ht="26.25" customHeight="1"/>
    <row r="13502" ht="26.25" customHeight="1"/>
    <row r="13503" ht="26.25" customHeight="1"/>
    <row r="13504" ht="26.25" customHeight="1"/>
    <row r="13505" ht="26.25" customHeight="1"/>
    <row r="13506" ht="26.25" customHeight="1"/>
    <row r="13507" ht="26.25" customHeight="1"/>
    <row r="13508" ht="26.25" customHeight="1"/>
    <row r="13509" ht="26.25" customHeight="1"/>
    <row r="13510" ht="26.25" customHeight="1"/>
    <row r="13511" ht="26.25" customHeight="1"/>
    <row r="13512" ht="26.25" customHeight="1"/>
    <row r="13513" ht="26.25" customHeight="1"/>
    <row r="13514" ht="26.25" customHeight="1"/>
    <row r="13515" ht="26.25" customHeight="1"/>
    <row r="13516" ht="26.25" customHeight="1"/>
    <row r="13517" ht="26.25" customHeight="1"/>
    <row r="13518" ht="26.25" customHeight="1"/>
    <row r="13519" ht="26.25" customHeight="1"/>
    <row r="13520" ht="26.25" customHeight="1"/>
    <row r="13521" ht="26.25" customHeight="1"/>
    <row r="13522" ht="26.25" customHeight="1"/>
    <row r="13523" ht="26.25" customHeight="1"/>
    <row r="13524" ht="26.25" customHeight="1"/>
    <row r="13525" ht="26.25" customHeight="1"/>
    <row r="13526" ht="26.25" customHeight="1"/>
    <row r="13527" ht="26.25" customHeight="1"/>
    <row r="13528" ht="26.25" customHeight="1"/>
    <row r="13529" ht="26.25" customHeight="1"/>
    <row r="13530" ht="26.25" customHeight="1"/>
    <row r="13531" ht="26.25" customHeight="1"/>
    <row r="13532" ht="26.25" customHeight="1"/>
    <row r="13533" ht="26.25" customHeight="1"/>
    <row r="13534" ht="26.25" customHeight="1"/>
    <row r="13535" ht="26.25" customHeight="1"/>
    <row r="13536" ht="26.25" customHeight="1"/>
    <row r="13537" ht="26.25" customHeight="1"/>
    <row r="13538" ht="26.25" customHeight="1"/>
    <row r="13539" ht="26.25" customHeight="1"/>
    <row r="13540" ht="26.25" customHeight="1"/>
    <row r="13541" ht="26.25" customHeight="1"/>
    <row r="13542" ht="26.25" customHeight="1"/>
    <row r="13543" ht="26.25" customHeight="1"/>
    <row r="13544" ht="26.25" customHeight="1"/>
    <row r="13545" ht="26.25" customHeight="1"/>
    <row r="13546" ht="26.25" customHeight="1"/>
    <row r="13547" ht="26.25" customHeight="1"/>
    <row r="13548" ht="26.25" customHeight="1"/>
    <row r="13549" ht="26.25" customHeight="1"/>
    <row r="13550" ht="26.25" customHeight="1"/>
    <row r="13551" ht="26.25" customHeight="1"/>
    <row r="13552" ht="26.25" customHeight="1"/>
    <row r="13553" ht="26.25" customHeight="1"/>
    <row r="13554" ht="26.25" customHeight="1"/>
    <row r="13555" ht="26.25" customHeight="1"/>
    <row r="13556" ht="26.25" customHeight="1"/>
    <row r="13557" ht="26.25" customHeight="1"/>
    <row r="13558" ht="26.25" customHeight="1"/>
    <row r="13559" ht="26.25" customHeight="1"/>
    <row r="13560" ht="26.25" customHeight="1"/>
    <row r="13561" ht="26.25" customHeight="1"/>
    <row r="13562" ht="26.25" customHeight="1"/>
    <row r="13563" ht="26.25" customHeight="1"/>
    <row r="13564" ht="26.25" customHeight="1"/>
    <row r="13565" ht="26.25" customHeight="1"/>
    <row r="13566" ht="26.25" customHeight="1"/>
    <row r="13567" ht="26.25" customHeight="1"/>
    <row r="13568" ht="26.25" customHeight="1"/>
    <row r="13569" ht="26.25" customHeight="1"/>
    <row r="13570" ht="26.25" customHeight="1"/>
    <row r="13571" ht="26.25" customHeight="1"/>
    <row r="13572" ht="26.25" customHeight="1"/>
    <row r="13573" ht="26.25" customHeight="1"/>
    <row r="13574" ht="26.25" customHeight="1"/>
    <row r="13575" ht="26.25" customHeight="1"/>
    <row r="13576" ht="26.25" customHeight="1"/>
    <row r="13577" ht="26.25" customHeight="1"/>
    <row r="13578" ht="26.25" customHeight="1"/>
    <row r="13579" ht="26.25" customHeight="1"/>
    <row r="13580" ht="26.25" customHeight="1"/>
    <row r="13581" ht="26.25" customHeight="1"/>
    <row r="13582" ht="26.25" customHeight="1"/>
    <row r="13583" ht="26.25" customHeight="1"/>
    <row r="13584" ht="26.25" customHeight="1"/>
    <row r="13585" ht="26.25" customHeight="1"/>
    <row r="13586" ht="26.25" customHeight="1"/>
    <row r="13587" ht="26.25" customHeight="1"/>
    <row r="13588" ht="26.25" customHeight="1"/>
    <row r="13589" ht="26.25" customHeight="1"/>
    <row r="13590" ht="26.25" customHeight="1"/>
    <row r="13591" ht="26.25" customHeight="1"/>
    <row r="13592" ht="26.25" customHeight="1"/>
    <row r="13593" ht="26.25" customHeight="1"/>
    <row r="13594" ht="26.25" customHeight="1"/>
    <row r="13595" ht="26.25" customHeight="1"/>
    <row r="13596" ht="26.25" customHeight="1"/>
    <row r="13597" ht="26.25" customHeight="1"/>
    <row r="13598" ht="26.25" customHeight="1"/>
    <row r="13599" ht="26.25" customHeight="1"/>
    <row r="13600" ht="26.25" customHeight="1"/>
    <row r="13601" ht="26.25" customHeight="1"/>
    <row r="13602" ht="26.25" customHeight="1"/>
    <row r="13603" ht="26.25" customHeight="1"/>
    <row r="13604" ht="26.25" customHeight="1"/>
    <row r="13605" ht="26.25" customHeight="1"/>
    <row r="13606" ht="26.25" customHeight="1"/>
    <row r="13607" ht="26.25" customHeight="1"/>
    <row r="13608" ht="26.25" customHeight="1"/>
    <row r="13609" ht="26.25" customHeight="1"/>
    <row r="13610" ht="26.25" customHeight="1"/>
    <row r="13611" ht="26.25" customHeight="1"/>
    <row r="13612" ht="26.25" customHeight="1"/>
    <row r="13613" ht="26.25" customHeight="1"/>
    <row r="13614" ht="26.25" customHeight="1"/>
    <row r="13615" ht="26.25" customHeight="1"/>
    <row r="13616" ht="26.25" customHeight="1"/>
    <row r="13617" ht="26.25" customHeight="1"/>
    <row r="13618" ht="26.25" customHeight="1"/>
    <row r="13619" ht="26.25" customHeight="1"/>
    <row r="13620" ht="26.25" customHeight="1"/>
    <row r="13621" ht="26.25" customHeight="1"/>
    <row r="13622" ht="26.25" customHeight="1"/>
    <row r="13623" ht="26.25" customHeight="1"/>
    <row r="13624" ht="26.25" customHeight="1"/>
    <row r="13625" ht="26.25" customHeight="1"/>
    <row r="13626" ht="26.25" customHeight="1"/>
    <row r="13627" ht="26.25" customHeight="1"/>
    <row r="13628" ht="26.25" customHeight="1"/>
    <row r="13629" ht="26.25" customHeight="1"/>
    <row r="13630" ht="26.25" customHeight="1"/>
    <row r="13631" ht="26.25" customHeight="1"/>
    <row r="13632" ht="26.25" customHeight="1"/>
    <row r="13633" ht="26.25" customHeight="1"/>
    <row r="13634" ht="26.25" customHeight="1"/>
    <row r="13635" ht="26.25" customHeight="1"/>
    <row r="13636" ht="26.25" customHeight="1"/>
    <row r="13637" ht="26.25" customHeight="1"/>
    <row r="13638" ht="26.25" customHeight="1"/>
    <row r="13639" ht="26.25" customHeight="1"/>
    <row r="13640" ht="26.25" customHeight="1"/>
    <row r="13641" ht="26.25" customHeight="1"/>
    <row r="13642" ht="26.25" customHeight="1"/>
    <row r="13643" ht="26.25" customHeight="1"/>
    <row r="13644" ht="26.25" customHeight="1"/>
    <row r="13645" ht="26.25" customHeight="1"/>
    <row r="13646" ht="26.25" customHeight="1"/>
    <row r="13647" ht="26.25" customHeight="1"/>
    <row r="13648" ht="26.25" customHeight="1"/>
    <row r="13649" ht="26.25" customHeight="1"/>
    <row r="13650" ht="26.25" customHeight="1"/>
    <row r="13651" ht="26.25" customHeight="1"/>
    <row r="13652" ht="26.25" customHeight="1"/>
    <row r="13653" ht="26.25" customHeight="1"/>
    <row r="13654" ht="26.25" customHeight="1"/>
    <row r="13655" ht="26.25" customHeight="1"/>
    <row r="13656" ht="26.25" customHeight="1"/>
    <row r="13657" ht="26.25" customHeight="1"/>
    <row r="13658" ht="26.25" customHeight="1"/>
    <row r="13659" ht="26.25" customHeight="1"/>
    <row r="13660" ht="26.25" customHeight="1"/>
    <row r="13661" ht="26.25" customHeight="1"/>
    <row r="13662" ht="26.25" customHeight="1"/>
    <row r="13663" ht="26.25" customHeight="1"/>
    <row r="13664" ht="26.25" customHeight="1"/>
    <row r="13665" ht="26.25" customHeight="1"/>
    <row r="13666" ht="26.25" customHeight="1"/>
    <row r="13667" ht="26.25" customHeight="1"/>
    <row r="13668" ht="26.25" customHeight="1"/>
    <row r="13669" ht="26.25" customHeight="1"/>
    <row r="13670" ht="26.25" customHeight="1"/>
    <row r="13671" ht="26.25" customHeight="1"/>
    <row r="13672" ht="26.25" customHeight="1"/>
    <row r="13673" ht="26.25" customHeight="1"/>
    <row r="13674" ht="26.25" customHeight="1"/>
    <row r="13675" ht="26.25" customHeight="1"/>
    <row r="13676" ht="26.25" customHeight="1"/>
    <row r="13677" ht="26.25" customHeight="1"/>
    <row r="13678" ht="26.25" customHeight="1"/>
    <row r="13679" ht="26.25" customHeight="1"/>
    <row r="13680" ht="26.25" customHeight="1"/>
    <row r="13681" ht="26.25" customHeight="1"/>
    <row r="13682" ht="26.25" customHeight="1"/>
    <row r="13683" ht="26.25" customHeight="1"/>
    <row r="13684" ht="26.25" customHeight="1"/>
    <row r="13685" ht="26.25" customHeight="1"/>
    <row r="13686" ht="26.25" customHeight="1"/>
    <row r="13687" ht="26.25" customHeight="1"/>
    <row r="13688" ht="26.25" customHeight="1"/>
    <row r="13689" ht="26.25" customHeight="1"/>
    <row r="13690" ht="26.25" customHeight="1"/>
    <row r="13691" ht="26.25" customHeight="1"/>
    <row r="13692" ht="26.25" customHeight="1"/>
    <row r="13693" ht="26.25" customHeight="1"/>
    <row r="13694" ht="26.25" customHeight="1"/>
    <row r="13695" ht="26.25" customHeight="1"/>
    <row r="13696" ht="26.25" customHeight="1"/>
    <row r="13697" ht="26.25" customHeight="1"/>
    <row r="13698" ht="26.25" customHeight="1"/>
    <row r="13699" ht="26.25" customHeight="1"/>
    <row r="13700" ht="26.25" customHeight="1"/>
    <row r="13701" ht="26.25" customHeight="1"/>
    <row r="13702" ht="26.25" customHeight="1"/>
    <row r="13703" ht="26.25" customHeight="1"/>
    <row r="13704" ht="26.25" customHeight="1"/>
    <row r="13705" ht="26.25" customHeight="1"/>
    <row r="13706" ht="26.25" customHeight="1"/>
    <row r="13707" ht="26.25" customHeight="1"/>
    <row r="13708" ht="26.25" customHeight="1"/>
    <row r="13709" ht="26.25" customHeight="1"/>
    <row r="13710" ht="26.25" customHeight="1"/>
    <row r="13711" ht="26.25" customHeight="1"/>
    <row r="13712" ht="26.25" customHeight="1"/>
    <row r="13713" ht="26.25" customHeight="1"/>
    <row r="13714" ht="26.25" customHeight="1"/>
    <row r="13715" ht="26.25" customHeight="1"/>
    <row r="13716" ht="26.25" customHeight="1"/>
    <row r="13717" ht="26.25" customHeight="1"/>
    <row r="13718" ht="26.25" customHeight="1"/>
    <row r="13719" ht="26.25" customHeight="1"/>
    <row r="13720" ht="26.25" customHeight="1"/>
    <row r="13721" ht="26.25" customHeight="1"/>
    <row r="13722" ht="26.25" customHeight="1"/>
    <row r="13723" ht="26.25" customHeight="1"/>
    <row r="13724" ht="26.25" customHeight="1"/>
    <row r="13725" ht="26.25" customHeight="1"/>
    <row r="13726" ht="26.25" customHeight="1"/>
    <row r="13727" ht="26.25" customHeight="1"/>
    <row r="13728" ht="26.25" customHeight="1"/>
    <row r="13729" ht="26.25" customHeight="1"/>
    <row r="13730" ht="26.25" customHeight="1"/>
    <row r="13731" ht="26.25" customHeight="1"/>
    <row r="13732" ht="26.25" customHeight="1"/>
    <row r="13733" ht="26.25" customHeight="1"/>
    <row r="13734" ht="26.25" customHeight="1"/>
    <row r="13735" ht="26.25" customHeight="1"/>
    <row r="13736" ht="26.25" customHeight="1"/>
    <row r="13737" ht="26.25" customHeight="1"/>
    <row r="13738" ht="26.25" customHeight="1"/>
    <row r="13739" ht="26.25" customHeight="1"/>
    <row r="13740" ht="26.25" customHeight="1"/>
    <row r="13741" ht="26.25" customHeight="1"/>
    <row r="13742" ht="26.25" customHeight="1"/>
    <row r="13743" ht="26.25" customHeight="1"/>
    <row r="13744" ht="26.25" customHeight="1"/>
    <row r="13745" ht="26.25" customHeight="1"/>
    <row r="13746" ht="26.25" customHeight="1"/>
    <row r="13747" ht="26.25" customHeight="1"/>
    <row r="13748" ht="26.25" customHeight="1"/>
    <row r="13749" ht="26.25" customHeight="1"/>
    <row r="13750" ht="26.25" customHeight="1"/>
    <row r="13751" ht="26.25" customHeight="1"/>
    <row r="13752" ht="26.25" customHeight="1"/>
    <row r="13753" ht="26.25" customHeight="1"/>
    <row r="13754" ht="26.25" customHeight="1"/>
    <row r="13755" ht="26.25" customHeight="1"/>
    <row r="13756" ht="26.25" customHeight="1"/>
    <row r="13757" ht="26.25" customHeight="1"/>
    <row r="13758" ht="26.25" customHeight="1"/>
    <row r="13759" ht="26.25" customHeight="1"/>
    <row r="13760" ht="26.25" customHeight="1"/>
    <row r="13761" ht="26.25" customHeight="1"/>
    <row r="13762" ht="26.25" customHeight="1"/>
    <row r="13763" ht="26.25" customHeight="1"/>
    <row r="13764" ht="26.25" customHeight="1"/>
    <row r="13765" ht="26.25" customHeight="1"/>
    <row r="13766" ht="26.25" customHeight="1"/>
    <row r="13767" ht="26.25" customHeight="1"/>
    <row r="13768" ht="26.25" customHeight="1"/>
    <row r="13769" ht="26.25" customHeight="1"/>
    <row r="13770" ht="26.25" customHeight="1"/>
    <row r="13771" ht="26.25" customHeight="1"/>
    <row r="13772" ht="26.25" customHeight="1"/>
    <row r="13773" ht="26.25" customHeight="1"/>
    <row r="13774" ht="26.25" customHeight="1"/>
    <row r="13775" ht="26.25" customHeight="1"/>
    <row r="13776" ht="26.25" customHeight="1"/>
    <row r="13777" ht="26.25" customHeight="1"/>
    <row r="13778" ht="26.25" customHeight="1"/>
    <row r="13779" ht="26.25" customHeight="1"/>
    <row r="13780" ht="26.25" customHeight="1"/>
    <row r="13781" ht="26.25" customHeight="1"/>
    <row r="13782" ht="26.25" customHeight="1"/>
    <row r="13783" ht="26.25" customHeight="1"/>
    <row r="13784" ht="26.25" customHeight="1"/>
    <row r="13785" ht="26.25" customHeight="1"/>
    <row r="13786" ht="26.25" customHeight="1"/>
    <row r="13787" ht="26.25" customHeight="1"/>
    <row r="13788" ht="26.25" customHeight="1"/>
    <row r="13789" ht="26.25" customHeight="1"/>
    <row r="13790" ht="26.25" customHeight="1"/>
    <row r="13791" ht="26.25" customHeight="1"/>
    <row r="13792" ht="26.25" customHeight="1"/>
    <row r="13793" ht="26.25" customHeight="1"/>
    <row r="13794" ht="26.25" customHeight="1"/>
    <row r="13795" ht="26.25" customHeight="1"/>
    <row r="13796" ht="26.25" customHeight="1"/>
    <row r="13797" ht="26.25" customHeight="1"/>
    <row r="13798" ht="26.25" customHeight="1"/>
    <row r="13799" ht="26.25" customHeight="1"/>
    <row r="13800" ht="26.25" customHeight="1"/>
    <row r="13801" ht="26.25" customHeight="1"/>
    <row r="13802" ht="26.25" customHeight="1"/>
    <row r="13803" ht="26.25" customHeight="1"/>
    <row r="13804" ht="26.25" customHeight="1"/>
    <row r="13805" ht="26.25" customHeight="1"/>
    <row r="13806" ht="26.25" customHeight="1"/>
    <row r="13807" ht="26.25" customHeight="1"/>
    <row r="13808" ht="26.25" customHeight="1"/>
    <row r="13809" ht="26.25" customHeight="1"/>
    <row r="13810" ht="26.25" customHeight="1"/>
    <row r="13811" ht="26.25" customHeight="1"/>
    <row r="13812" ht="26.25" customHeight="1"/>
    <row r="13813" ht="26.25" customHeight="1"/>
    <row r="13814" ht="26.25" customHeight="1"/>
    <row r="13815" ht="26.25" customHeight="1"/>
    <row r="13816" ht="26.25" customHeight="1"/>
    <row r="13817" ht="26.25" customHeight="1"/>
    <row r="13818" ht="26.25" customHeight="1"/>
    <row r="13819" ht="26.25" customHeight="1"/>
    <row r="13820" ht="26.25" customHeight="1"/>
    <row r="13821" ht="26.25" customHeight="1"/>
    <row r="13822" ht="26.25" customHeight="1"/>
    <row r="13823" ht="26.25" customHeight="1"/>
    <row r="13824" ht="26.25" customHeight="1"/>
    <row r="13825" ht="26.25" customHeight="1"/>
    <row r="13826" ht="26.25" customHeight="1"/>
    <row r="13827" ht="26.25" customHeight="1"/>
    <row r="13828" ht="26.25" customHeight="1"/>
    <row r="13829" ht="26.25" customHeight="1"/>
    <row r="13830" ht="26.25" customHeight="1"/>
    <row r="13831" ht="26.25" customHeight="1"/>
    <row r="13832" ht="26.25" customHeight="1"/>
    <row r="13833" ht="26.25" customHeight="1"/>
    <row r="13834" ht="26.25" customHeight="1"/>
    <row r="13835" ht="26.25" customHeight="1"/>
    <row r="13836" ht="26.25" customHeight="1"/>
    <row r="13837" ht="26.25" customHeight="1"/>
    <row r="13838" ht="26.25" customHeight="1"/>
    <row r="13839" ht="26.25" customHeight="1"/>
    <row r="13840" ht="26.25" customHeight="1"/>
    <row r="13841" ht="26.25" customHeight="1"/>
    <row r="13842" ht="26.25" customHeight="1"/>
    <row r="13843" ht="26.25" customHeight="1"/>
    <row r="13844" ht="26.25" customHeight="1"/>
    <row r="13845" ht="26.25" customHeight="1"/>
    <row r="13846" ht="26.25" customHeight="1"/>
    <row r="13847" ht="26.25" customHeight="1"/>
    <row r="13848" ht="26.25" customHeight="1"/>
    <row r="13849" ht="26.25" customHeight="1"/>
    <row r="13850" ht="26.25" customHeight="1"/>
    <row r="13851" ht="26.25" customHeight="1"/>
    <row r="13852" ht="26.25" customHeight="1"/>
    <row r="13853" ht="26.25" customHeight="1"/>
    <row r="13854" ht="26.25" customHeight="1"/>
    <row r="13855" ht="26.25" customHeight="1"/>
    <row r="13856" ht="26.25" customHeight="1"/>
    <row r="13857" ht="26.25" customHeight="1"/>
    <row r="13858" ht="26.25" customHeight="1"/>
    <row r="13859" ht="26.25" customHeight="1"/>
    <row r="13860" ht="26.25" customHeight="1"/>
    <row r="13861" ht="26.25" customHeight="1"/>
    <row r="13862" ht="26.25" customHeight="1"/>
    <row r="13863" ht="26.25" customHeight="1"/>
    <row r="13864" ht="26.25" customHeight="1"/>
    <row r="13865" ht="26.25" customHeight="1"/>
    <row r="13866" ht="26.25" customHeight="1"/>
    <row r="13867" ht="26.25" customHeight="1"/>
    <row r="13868" ht="26.25" customHeight="1"/>
    <row r="13869" ht="26.25" customHeight="1"/>
    <row r="13870" ht="26.25" customHeight="1"/>
    <row r="13871" ht="26.25" customHeight="1"/>
    <row r="13872" ht="26.25" customHeight="1"/>
    <row r="13873" ht="26.25" customHeight="1"/>
    <row r="13874" ht="26.25" customHeight="1"/>
    <row r="13875" ht="26.25" customHeight="1"/>
    <row r="13876" ht="26.25" customHeight="1"/>
    <row r="13877" ht="26.25" customHeight="1"/>
    <row r="13878" ht="26.25" customHeight="1"/>
    <row r="13879" ht="26.25" customHeight="1"/>
    <row r="13880" ht="26.25" customHeight="1"/>
    <row r="13881" ht="26.25" customHeight="1"/>
    <row r="13882" ht="26.25" customHeight="1"/>
    <row r="13883" ht="26.25" customHeight="1"/>
    <row r="13884" ht="26.25" customHeight="1"/>
    <row r="13885" ht="26.25" customHeight="1"/>
    <row r="13886" ht="26.25" customHeight="1"/>
    <row r="13887" ht="26.25" customHeight="1"/>
    <row r="13888" ht="26.25" customHeight="1"/>
    <row r="13889" ht="26.25" customHeight="1"/>
    <row r="13890" ht="26.25" customHeight="1"/>
    <row r="13891" ht="26.25" customHeight="1"/>
    <row r="13892" ht="26.25" customHeight="1"/>
    <row r="13893" ht="26.25" customHeight="1"/>
    <row r="13894" ht="26.25" customHeight="1"/>
    <row r="13895" ht="26.25" customHeight="1"/>
    <row r="13896" ht="26.25" customHeight="1"/>
    <row r="13897" ht="26.25" customHeight="1"/>
    <row r="13898" ht="26.25" customHeight="1"/>
    <row r="13899" ht="26.25" customHeight="1"/>
    <row r="13900" ht="26.25" customHeight="1"/>
    <row r="13901" ht="26.25" customHeight="1"/>
    <row r="13902" ht="26.25" customHeight="1"/>
    <row r="13903" ht="26.25" customHeight="1"/>
    <row r="13904" ht="26.25" customHeight="1"/>
    <row r="13905" ht="26.25" customHeight="1"/>
    <row r="13906" ht="26.25" customHeight="1"/>
    <row r="13907" ht="26.25" customHeight="1"/>
    <row r="13908" ht="26.25" customHeight="1"/>
    <row r="13909" ht="26.25" customHeight="1"/>
    <row r="13910" ht="26.25" customHeight="1"/>
    <row r="13911" ht="26.25" customHeight="1"/>
    <row r="13912" ht="26.25" customHeight="1"/>
    <row r="13913" ht="26.25" customHeight="1"/>
    <row r="13914" ht="26.25" customHeight="1"/>
    <row r="13915" ht="26.25" customHeight="1"/>
    <row r="13916" ht="26.25" customHeight="1"/>
    <row r="13917" ht="26.25" customHeight="1"/>
    <row r="13918" ht="26.25" customHeight="1"/>
    <row r="13919" ht="26.25" customHeight="1"/>
    <row r="13920" ht="26.25" customHeight="1"/>
    <row r="13921" ht="26.25" customHeight="1"/>
    <row r="13922" ht="26.25" customHeight="1"/>
    <row r="13923" ht="26.25" customHeight="1"/>
    <row r="13924" ht="26.25" customHeight="1"/>
    <row r="13925" ht="26.25" customHeight="1"/>
    <row r="13926" ht="26.25" customHeight="1"/>
    <row r="13927" ht="26.25" customHeight="1"/>
    <row r="13928" ht="26.25" customHeight="1"/>
    <row r="13929" ht="26.25" customHeight="1"/>
    <row r="13930" ht="26.25" customHeight="1"/>
    <row r="13931" ht="26.25" customHeight="1"/>
    <row r="13932" ht="26.25" customHeight="1"/>
    <row r="13933" ht="26.25" customHeight="1"/>
    <row r="13934" ht="26.25" customHeight="1"/>
    <row r="13935" ht="26.25" customHeight="1"/>
    <row r="13936" ht="26.25" customHeight="1"/>
    <row r="13937" ht="26.25" customHeight="1"/>
    <row r="13938" ht="26.25" customHeight="1"/>
    <row r="13939" ht="26.25" customHeight="1"/>
    <row r="13940" ht="26.25" customHeight="1"/>
    <row r="13941" ht="26.25" customHeight="1"/>
    <row r="13942" ht="26.25" customHeight="1"/>
    <row r="13943" ht="26.25" customHeight="1"/>
    <row r="13944" ht="26.25" customHeight="1"/>
    <row r="13945" ht="26.25" customHeight="1"/>
    <row r="13946" ht="26.25" customHeight="1"/>
    <row r="13947" ht="26.25" customHeight="1"/>
    <row r="13948" ht="26.25" customHeight="1"/>
    <row r="13949" ht="26.25" customHeight="1"/>
    <row r="13950" ht="26.25" customHeight="1"/>
    <row r="13951" ht="26.25" customHeight="1"/>
    <row r="13952" ht="26.25" customHeight="1"/>
    <row r="13953" ht="26.25" customHeight="1"/>
    <row r="13954" ht="26.25" customHeight="1"/>
    <row r="13955" ht="26.25" customHeight="1"/>
    <row r="13956" ht="26.25" customHeight="1"/>
    <row r="13957" ht="26.25" customHeight="1"/>
    <row r="13958" ht="26.25" customHeight="1"/>
    <row r="13959" ht="26.25" customHeight="1"/>
    <row r="13960" ht="26.25" customHeight="1"/>
    <row r="13961" ht="26.25" customHeight="1"/>
    <row r="13962" ht="26.25" customHeight="1"/>
    <row r="13963" ht="26.25" customHeight="1"/>
    <row r="13964" ht="26.25" customHeight="1"/>
    <row r="13965" ht="26.25" customHeight="1"/>
    <row r="13966" ht="26.25" customHeight="1"/>
    <row r="13967" ht="26.25" customHeight="1"/>
    <row r="13968" ht="26.25" customHeight="1"/>
    <row r="13969" ht="26.25" customHeight="1"/>
    <row r="13970" ht="26.25" customHeight="1"/>
    <row r="13971" ht="26.25" customHeight="1"/>
    <row r="13972" ht="26.25" customHeight="1"/>
    <row r="13973" ht="26.25" customHeight="1"/>
    <row r="13974" ht="26.25" customHeight="1"/>
    <row r="13975" ht="26.25" customHeight="1"/>
    <row r="13976" ht="26.25" customHeight="1"/>
    <row r="13977" ht="26.25" customHeight="1"/>
    <row r="13978" ht="26.25" customHeight="1"/>
    <row r="13979" ht="26.25" customHeight="1"/>
    <row r="13980" ht="26.25" customHeight="1"/>
    <row r="13981" ht="26.25" customHeight="1"/>
    <row r="13982" ht="26.25" customHeight="1"/>
    <row r="13983" ht="26.25" customHeight="1"/>
    <row r="13984" ht="26.25" customHeight="1"/>
    <row r="13985" ht="26.25" customHeight="1"/>
    <row r="13986" ht="26.25" customHeight="1"/>
    <row r="13987" ht="26.25" customHeight="1"/>
    <row r="13988" ht="26.25" customHeight="1"/>
    <row r="13989" ht="26.25" customHeight="1"/>
    <row r="13990" ht="26.25" customHeight="1"/>
    <row r="13991" ht="26.25" customHeight="1"/>
    <row r="13992" ht="26.25" customHeight="1"/>
    <row r="13993" ht="26.25" customHeight="1"/>
    <row r="13994" ht="26.25" customHeight="1"/>
    <row r="13995" ht="26.25" customHeight="1"/>
    <row r="13996" ht="26.25" customHeight="1"/>
    <row r="13997" ht="26.25" customHeight="1"/>
    <row r="13998" ht="26.25" customHeight="1"/>
    <row r="13999" ht="26.25" customHeight="1"/>
    <row r="14000" ht="26.25" customHeight="1"/>
    <row r="14001" ht="26.25" customHeight="1"/>
    <row r="14002" ht="26.25" customHeight="1"/>
    <row r="14003" ht="26.25" customHeight="1"/>
    <row r="14004" ht="26.25" customHeight="1"/>
    <row r="14005" ht="26.25" customHeight="1"/>
    <row r="14006" ht="26.25" customHeight="1"/>
    <row r="14007" ht="26.25" customHeight="1"/>
    <row r="14008" ht="26.25" customHeight="1"/>
    <row r="14009" ht="26.25" customHeight="1"/>
    <row r="14010" ht="26.25" customHeight="1"/>
    <row r="14011" ht="26.25" customHeight="1"/>
    <row r="14012" ht="26.25" customHeight="1"/>
    <row r="14013" ht="26.25" customHeight="1"/>
    <row r="14014" ht="26.25" customHeight="1"/>
    <row r="14015" ht="26.25" customHeight="1"/>
    <row r="14016" ht="26.25" customHeight="1"/>
    <row r="14017" ht="26.25" customHeight="1"/>
    <row r="14018" ht="26.25" customHeight="1"/>
    <row r="14019" ht="26.25" customHeight="1"/>
    <row r="14020" ht="26.25" customHeight="1"/>
    <row r="14021" ht="26.25" customHeight="1"/>
    <row r="14022" ht="26.25" customHeight="1"/>
    <row r="14023" ht="26.25" customHeight="1"/>
    <row r="14024" ht="26.25" customHeight="1"/>
    <row r="14025" ht="26.25" customHeight="1"/>
    <row r="14026" ht="26.25" customHeight="1"/>
    <row r="14027" ht="26.25" customHeight="1"/>
    <row r="14028" ht="26.25" customHeight="1"/>
    <row r="14029" ht="26.25" customHeight="1"/>
    <row r="14030" ht="26.25" customHeight="1"/>
    <row r="14031" ht="26.25" customHeight="1"/>
    <row r="14032" ht="26.25" customHeight="1"/>
    <row r="14033" ht="26.25" customHeight="1"/>
    <row r="14034" ht="26.25" customHeight="1"/>
    <row r="14035" ht="26.25" customHeight="1"/>
    <row r="14036" ht="26.25" customHeight="1"/>
    <row r="14037" ht="26.25" customHeight="1"/>
    <row r="14038" ht="26.25" customHeight="1"/>
    <row r="14039" ht="26.25" customHeight="1"/>
    <row r="14040" ht="26.25" customHeight="1"/>
    <row r="14041" ht="26.25" customHeight="1"/>
    <row r="14042" ht="26.25" customHeight="1"/>
    <row r="14043" ht="26.25" customHeight="1"/>
    <row r="14044" ht="26.25" customHeight="1"/>
    <row r="14045" ht="26.25" customHeight="1"/>
    <row r="14046" ht="26.25" customHeight="1"/>
    <row r="14047" ht="26.25" customHeight="1"/>
    <row r="14048" ht="26.25" customHeight="1"/>
    <row r="14049" ht="26.25" customHeight="1"/>
    <row r="14050" ht="26.25" customHeight="1"/>
    <row r="14051" ht="26.25" customHeight="1"/>
    <row r="14052" ht="26.25" customHeight="1"/>
    <row r="14053" ht="26.25" customHeight="1"/>
    <row r="14054" ht="26.25" customHeight="1"/>
    <row r="14055" ht="26.25" customHeight="1"/>
    <row r="14056" ht="26.25" customHeight="1"/>
    <row r="14057" ht="26.25" customHeight="1"/>
    <row r="14058" ht="26.25" customHeight="1"/>
    <row r="14059" ht="26.25" customHeight="1"/>
    <row r="14060" ht="26.25" customHeight="1"/>
    <row r="14061" ht="26.25" customHeight="1"/>
    <row r="14062" ht="26.25" customHeight="1"/>
    <row r="14063" ht="26.25" customHeight="1"/>
    <row r="14064" ht="26.25" customHeight="1"/>
    <row r="14065" ht="26.25" customHeight="1"/>
    <row r="14066" ht="26.25" customHeight="1"/>
    <row r="14067" ht="26.25" customHeight="1"/>
    <row r="14068" ht="26.25" customHeight="1"/>
    <row r="14069" ht="26.25" customHeight="1"/>
    <row r="14070" ht="26.25" customHeight="1"/>
    <row r="14071" ht="26.25" customHeight="1"/>
    <row r="14072" ht="26.25" customHeight="1"/>
    <row r="14073" ht="26.25" customHeight="1"/>
    <row r="14074" ht="26.25" customHeight="1"/>
    <row r="14075" ht="26.25" customHeight="1"/>
    <row r="14076" ht="26.25" customHeight="1"/>
    <row r="14077" ht="26.25" customHeight="1"/>
    <row r="14078" ht="26.25" customHeight="1"/>
    <row r="14079" ht="26.25" customHeight="1"/>
    <row r="14080" ht="26.25" customHeight="1"/>
    <row r="14081" ht="26.25" customHeight="1"/>
    <row r="14082" ht="26.25" customHeight="1"/>
    <row r="14083" ht="26.25" customHeight="1"/>
    <row r="14084" ht="26.25" customHeight="1"/>
    <row r="14085" ht="26.25" customHeight="1"/>
    <row r="14086" ht="26.25" customHeight="1"/>
    <row r="14087" ht="26.25" customHeight="1"/>
    <row r="14088" ht="26.25" customHeight="1"/>
    <row r="14089" ht="26.25" customHeight="1"/>
    <row r="14090" ht="26.25" customHeight="1"/>
    <row r="14091" ht="26.25" customHeight="1"/>
    <row r="14092" ht="26.25" customHeight="1"/>
    <row r="14093" ht="26.25" customHeight="1"/>
    <row r="14094" ht="26.25" customHeight="1"/>
    <row r="14095" ht="26.25" customHeight="1"/>
    <row r="14096" ht="26.25" customHeight="1"/>
    <row r="14097" ht="26.25" customHeight="1"/>
    <row r="14098" ht="26.25" customHeight="1"/>
    <row r="14099" ht="26.25" customHeight="1"/>
    <row r="14100" ht="26.25" customHeight="1"/>
    <row r="14101" ht="26.25" customHeight="1"/>
    <row r="14102" ht="26.25" customHeight="1"/>
    <row r="14103" ht="26.25" customHeight="1"/>
    <row r="14104" ht="26.25" customHeight="1"/>
    <row r="14105" ht="26.25" customHeight="1"/>
    <row r="14106" ht="26.25" customHeight="1"/>
    <row r="14107" ht="26.25" customHeight="1"/>
    <row r="14108" ht="26.25" customHeight="1"/>
    <row r="14109" ht="26.25" customHeight="1"/>
    <row r="14110" ht="26.25" customHeight="1"/>
    <row r="14111" ht="26.25" customHeight="1"/>
    <row r="14112" ht="26.25" customHeight="1"/>
    <row r="14113" ht="26.25" customHeight="1"/>
    <row r="14114" ht="26.25" customHeight="1"/>
    <row r="14115" ht="26.25" customHeight="1"/>
    <row r="14116" ht="26.25" customHeight="1"/>
    <row r="14117" ht="26.25" customHeight="1"/>
    <row r="14118" ht="26.25" customHeight="1"/>
    <row r="14119" ht="26.25" customHeight="1"/>
    <row r="14120" ht="26.25" customHeight="1"/>
    <row r="14121" ht="26.25" customHeight="1"/>
    <row r="14122" ht="26.25" customHeight="1"/>
    <row r="14123" ht="26.25" customHeight="1"/>
    <row r="14124" ht="26.25" customHeight="1"/>
    <row r="14125" ht="26.25" customHeight="1"/>
    <row r="14126" ht="26.25" customHeight="1"/>
    <row r="14127" ht="26.25" customHeight="1"/>
    <row r="14128" ht="26.25" customHeight="1"/>
    <row r="14129" ht="26.25" customHeight="1"/>
    <row r="14130" ht="26.25" customHeight="1"/>
    <row r="14131" ht="26.25" customHeight="1"/>
    <row r="14132" ht="26.25" customHeight="1"/>
    <row r="14133" ht="26.25" customHeight="1"/>
    <row r="14134" ht="26.25" customHeight="1"/>
    <row r="14135" ht="26.25" customHeight="1"/>
    <row r="14136" ht="26.25" customHeight="1"/>
    <row r="14137" ht="26.25" customHeight="1"/>
    <row r="14138" ht="26.25" customHeight="1"/>
    <row r="14139" ht="26.25" customHeight="1"/>
    <row r="14140" ht="26.25" customHeight="1"/>
    <row r="14141" ht="26.25" customHeight="1"/>
    <row r="14142" ht="26.25" customHeight="1"/>
    <row r="14143" ht="26.25" customHeight="1"/>
    <row r="14144" ht="26.25" customHeight="1"/>
    <row r="14145" ht="26.25" customHeight="1"/>
    <row r="14146" ht="26.25" customHeight="1"/>
    <row r="14147" ht="26.25" customHeight="1"/>
    <row r="14148" ht="26.25" customHeight="1"/>
    <row r="14149" ht="26.25" customHeight="1"/>
    <row r="14150" ht="26.25" customHeight="1"/>
    <row r="14151" ht="26.25" customHeight="1"/>
    <row r="14152" ht="26.25" customHeight="1"/>
    <row r="14153" ht="26.25" customHeight="1"/>
    <row r="14154" ht="26.25" customHeight="1"/>
    <row r="14155" ht="26.25" customHeight="1"/>
    <row r="14156" ht="26.25" customHeight="1"/>
    <row r="14157" ht="26.25" customHeight="1"/>
    <row r="14158" ht="26.25" customHeight="1"/>
    <row r="14159" ht="26.25" customHeight="1"/>
    <row r="14160" ht="26.25" customHeight="1"/>
    <row r="14161" ht="26.25" customHeight="1"/>
    <row r="14162" ht="26.25" customHeight="1"/>
    <row r="14163" ht="26.25" customHeight="1"/>
    <row r="14164" ht="26.25" customHeight="1"/>
    <row r="14165" ht="26.25" customHeight="1"/>
    <row r="14166" ht="26.25" customHeight="1"/>
    <row r="14167" ht="26.25" customHeight="1"/>
    <row r="14168" ht="26.25" customHeight="1"/>
    <row r="14169" ht="26.25" customHeight="1"/>
    <row r="14170" ht="26.25" customHeight="1"/>
    <row r="14171" ht="26.25" customHeight="1"/>
    <row r="14172" ht="26.25" customHeight="1"/>
    <row r="14173" ht="26.25" customHeight="1"/>
    <row r="14174" ht="26.25" customHeight="1"/>
    <row r="14175" ht="26.25" customHeight="1"/>
    <row r="14176" ht="26.25" customHeight="1"/>
    <row r="14177" ht="26.25" customHeight="1"/>
    <row r="14178" ht="26.25" customHeight="1"/>
    <row r="14179" ht="26.25" customHeight="1"/>
    <row r="14180" ht="26.25" customHeight="1"/>
    <row r="14181" ht="26.25" customHeight="1"/>
    <row r="14182" ht="26.25" customHeight="1"/>
    <row r="14183" ht="26.25" customHeight="1"/>
    <row r="14184" ht="26.25" customHeight="1"/>
    <row r="14185" ht="26.25" customHeight="1"/>
    <row r="14186" ht="26.25" customHeight="1"/>
    <row r="14187" ht="26.25" customHeight="1"/>
    <row r="14188" ht="26.25" customHeight="1"/>
    <row r="14189" ht="26.25" customHeight="1"/>
    <row r="14190" ht="26.25" customHeight="1"/>
    <row r="14191" ht="26.25" customHeight="1"/>
    <row r="14192" ht="26.25" customHeight="1"/>
    <row r="14193" ht="26.25" customHeight="1"/>
    <row r="14194" ht="26.25" customHeight="1"/>
    <row r="14195" ht="26.25" customHeight="1"/>
    <row r="14196" ht="26.25" customHeight="1"/>
    <row r="14197" ht="26.25" customHeight="1"/>
    <row r="14198" ht="26.25" customHeight="1"/>
    <row r="14199" ht="26.25" customHeight="1"/>
    <row r="14200" ht="26.25" customHeight="1"/>
    <row r="14201" ht="26.25" customHeight="1"/>
    <row r="14202" ht="26.25" customHeight="1"/>
    <row r="14203" ht="26.25" customHeight="1"/>
    <row r="14204" ht="26.25" customHeight="1"/>
    <row r="14205" ht="26.25" customHeight="1"/>
    <row r="14206" ht="26.25" customHeight="1"/>
    <row r="14207" ht="26.25" customHeight="1"/>
    <row r="14208" ht="26.25" customHeight="1"/>
    <row r="14209" ht="26.25" customHeight="1"/>
    <row r="14210" ht="26.25" customHeight="1"/>
    <row r="14211" ht="26.25" customHeight="1"/>
    <row r="14212" ht="26.25" customHeight="1"/>
    <row r="14213" ht="26.25" customHeight="1"/>
    <row r="14214" ht="26.25" customHeight="1"/>
    <row r="14215" ht="26.25" customHeight="1"/>
    <row r="14216" ht="26.25" customHeight="1"/>
    <row r="14217" ht="26.25" customHeight="1"/>
    <row r="14218" ht="26.25" customHeight="1"/>
    <row r="14219" ht="26.25" customHeight="1"/>
    <row r="14220" ht="26.25" customHeight="1"/>
    <row r="14221" ht="26.25" customHeight="1"/>
    <row r="14222" ht="26.25" customHeight="1"/>
    <row r="14223" ht="26.25" customHeight="1"/>
    <row r="14224" ht="26.25" customHeight="1"/>
    <row r="14225" ht="26.25" customHeight="1"/>
    <row r="14226" ht="26.25" customHeight="1"/>
    <row r="14227" ht="26.25" customHeight="1"/>
    <row r="14228" ht="26.25" customHeight="1"/>
    <row r="14229" ht="26.25" customHeight="1"/>
    <row r="14230" ht="26.25" customHeight="1"/>
    <row r="14231" ht="26.25" customHeight="1"/>
    <row r="14232" ht="26.25" customHeight="1"/>
    <row r="14233" ht="26.25" customHeight="1"/>
    <row r="14234" ht="26.25" customHeight="1"/>
    <row r="14235" ht="26.25" customHeight="1"/>
    <row r="14236" ht="26.25" customHeight="1"/>
    <row r="14237" ht="26.25" customHeight="1"/>
    <row r="14238" ht="26.25" customHeight="1"/>
    <row r="14239" ht="26.25" customHeight="1"/>
    <row r="14240" ht="26.25" customHeight="1"/>
    <row r="14241" ht="26.25" customHeight="1"/>
    <row r="14242" ht="26.25" customHeight="1"/>
    <row r="14243" ht="26.25" customHeight="1"/>
    <row r="14244" ht="26.25" customHeight="1"/>
    <row r="14245" ht="26.25" customHeight="1"/>
    <row r="14246" ht="26.25" customHeight="1"/>
    <row r="14247" ht="26.25" customHeight="1"/>
    <row r="14248" ht="26.25" customHeight="1"/>
    <row r="14249" ht="26.25" customHeight="1"/>
    <row r="14250" ht="26.25" customHeight="1"/>
    <row r="14251" ht="26.25" customHeight="1"/>
    <row r="14252" ht="26.25" customHeight="1"/>
    <row r="14253" ht="26.25" customHeight="1"/>
    <row r="14254" ht="26.25" customHeight="1"/>
    <row r="14255" ht="26.25" customHeight="1"/>
    <row r="14256" ht="26.25" customHeight="1"/>
    <row r="14257" ht="26.25" customHeight="1"/>
    <row r="14258" ht="26.25" customHeight="1"/>
    <row r="14259" ht="26.25" customHeight="1"/>
    <row r="14260" ht="26.25" customHeight="1"/>
    <row r="14261" ht="26.25" customHeight="1"/>
    <row r="14262" ht="26.25" customHeight="1"/>
    <row r="14263" ht="26.25" customHeight="1"/>
    <row r="14264" ht="26.25" customHeight="1"/>
    <row r="14265" ht="26.25" customHeight="1"/>
    <row r="14266" ht="26.25" customHeight="1"/>
    <row r="14267" ht="26.25" customHeight="1"/>
    <row r="14268" ht="26.25" customHeight="1"/>
    <row r="14269" ht="26.25" customHeight="1"/>
    <row r="14270" ht="26.25" customHeight="1"/>
    <row r="14271" ht="26.25" customHeight="1"/>
    <row r="14272" ht="26.25" customHeight="1"/>
    <row r="14273" ht="26.25" customHeight="1"/>
    <row r="14274" ht="26.25" customHeight="1"/>
    <row r="14275" ht="26.25" customHeight="1"/>
    <row r="14276" ht="26.25" customHeight="1"/>
    <row r="14277" ht="26.25" customHeight="1"/>
    <row r="14278" ht="26.25" customHeight="1"/>
    <row r="14279" ht="26.25" customHeight="1"/>
    <row r="14280" ht="26.25" customHeight="1"/>
    <row r="14281" ht="26.25" customHeight="1"/>
    <row r="14282" ht="26.25" customHeight="1"/>
    <row r="14283" ht="26.25" customHeight="1"/>
    <row r="14284" ht="26.25" customHeight="1"/>
    <row r="14285" ht="26.25" customHeight="1"/>
    <row r="14286" ht="26.25" customHeight="1"/>
    <row r="14287" ht="26.25" customHeight="1"/>
    <row r="14288" ht="26.25" customHeight="1"/>
    <row r="14289" ht="26.25" customHeight="1"/>
    <row r="14290" ht="26.25" customHeight="1"/>
    <row r="14291" ht="26.25" customHeight="1"/>
    <row r="14292" ht="26.25" customHeight="1"/>
    <row r="14293" ht="26.25" customHeight="1"/>
    <row r="14294" ht="26.25" customHeight="1"/>
    <row r="14295" ht="26.25" customHeight="1"/>
    <row r="14296" ht="26.25" customHeight="1"/>
    <row r="14297" ht="26.25" customHeight="1"/>
    <row r="14298" ht="26.25" customHeight="1"/>
    <row r="14299" ht="26.25" customHeight="1"/>
    <row r="14300" ht="26.25" customHeight="1"/>
    <row r="14301" ht="26.25" customHeight="1"/>
    <row r="14302" ht="26.25" customHeight="1"/>
    <row r="14303" ht="26.25" customHeight="1"/>
    <row r="14304" ht="26.25" customHeight="1"/>
    <row r="14305" ht="26.25" customHeight="1"/>
    <row r="14306" ht="26.25" customHeight="1"/>
    <row r="14307" ht="26.25" customHeight="1"/>
    <row r="14308" ht="26.25" customHeight="1"/>
    <row r="14309" ht="26.25" customHeight="1"/>
    <row r="14310" ht="26.25" customHeight="1"/>
    <row r="14311" ht="26.25" customHeight="1"/>
    <row r="14312" ht="26.25" customHeight="1"/>
    <row r="14313" ht="26.25" customHeight="1"/>
    <row r="14314" ht="26.25" customHeight="1"/>
    <row r="14315" ht="26.25" customHeight="1"/>
    <row r="14316" ht="26.25" customHeight="1"/>
    <row r="14317" ht="26.25" customHeight="1"/>
    <row r="14318" ht="26.25" customHeight="1"/>
    <row r="14319" ht="26.25" customHeight="1"/>
    <row r="14320" ht="26.25" customHeight="1"/>
    <row r="14321" ht="26.25" customHeight="1"/>
    <row r="14322" ht="26.25" customHeight="1"/>
    <row r="14323" ht="26.25" customHeight="1"/>
    <row r="14324" ht="26.25" customHeight="1"/>
    <row r="14325" ht="26.25" customHeight="1"/>
    <row r="14326" ht="26.25" customHeight="1"/>
    <row r="14327" ht="26.25" customHeight="1"/>
    <row r="14328" ht="26.25" customHeight="1"/>
    <row r="14329" ht="26.25" customHeight="1"/>
    <row r="14330" ht="26.25" customHeight="1"/>
    <row r="14331" ht="26.25" customHeight="1"/>
    <row r="14332" ht="26.25" customHeight="1"/>
    <row r="14333" ht="26.25" customHeight="1"/>
    <row r="14334" ht="26.25" customHeight="1"/>
    <row r="14335" ht="26.25" customHeight="1"/>
    <row r="14336" ht="26.25" customHeight="1"/>
    <row r="14337" ht="26.25" customHeight="1"/>
    <row r="14338" ht="26.25" customHeight="1"/>
    <row r="14339" ht="26.25" customHeight="1"/>
    <row r="14340" ht="26.25" customHeight="1"/>
    <row r="14341" ht="26.25" customHeight="1"/>
    <row r="14342" ht="26.25" customHeight="1"/>
    <row r="14343" ht="26.25" customHeight="1"/>
    <row r="14344" ht="26.25" customHeight="1"/>
    <row r="14345" ht="26.25" customHeight="1"/>
    <row r="14346" ht="26.25" customHeight="1"/>
    <row r="14347" ht="26.25" customHeight="1"/>
    <row r="14348" ht="26.25" customHeight="1"/>
    <row r="14349" ht="26.25" customHeight="1"/>
    <row r="14350" ht="26.25" customHeight="1"/>
    <row r="14351" ht="26.25" customHeight="1"/>
    <row r="14352" ht="26.25" customHeight="1"/>
    <row r="14353" ht="26.25" customHeight="1"/>
    <row r="14354" ht="26.25" customHeight="1"/>
    <row r="14355" ht="26.25" customHeight="1"/>
    <row r="14356" ht="26.25" customHeight="1"/>
    <row r="14357" ht="26.25" customHeight="1"/>
    <row r="14358" ht="26.25" customHeight="1"/>
    <row r="14359" ht="26.25" customHeight="1"/>
    <row r="14360" ht="26.25" customHeight="1"/>
    <row r="14361" ht="26.25" customHeight="1"/>
    <row r="14362" ht="26.25" customHeight="1"/>
    <row r="14363" ht="26.25" customHeight="1"/>
    <row r="14364" ht="26.25" customHeight="1"/>
    <row r="14365" ht="26.25" customHeight="1"/>
    <row r="14366" ht="26.25" customHeight="1"/>
    <row r="14367" ht="26.25" customHeight="1"/>
    <row r="14368" ht="26.25" customHeight="1"/>
    <row r="14369" ht="26.25" customHeight="1"/>
    <row r="14370" ht="26.25" customHeight="1"/>
    <row r="14371" ht="26.25" customHeight="1"/>
    <row r="14372" ht="26.25" customHeight="1"/>
    <row r="14373" ht="26.25" customHeight="1"/>
    <row r="14374" ht="26.25" customHeight="1"/>
    <row r="14375" ht="26.25" customHeight="1"/>
    <row r="14376" ht="26.25" customHeight="1"/>
    <row r="14377" ht="26.25" customHeight="1"/>
    <row r="14378" ht="26.25" customHeight="1"/>
    <row r="14379" ht="26.25" customHeight="1"/>
    <row r="14380" ht="26.25" customHeight="1"/>
    <row r="14381" ht="26.25" customHeight="1"/>
    <row r="14382" ht="26.25" customHeight="1"/>
    <row r="14383" ht="26.25" customHeight="1"/>
    <row r="14384" ht="26.25" customHeight="1"/>
    <row r="14385" ht="26.25" customHeight="1"/>
    <row r="14386" ht="26.25" customHeight="1"/>
    <row r="14387" ht="26.25" customHeight="1"/>
    <row r="14388" ht="26.25" customHeight="1"/>
    <row r="14389" ht="26.25" customHeight="1"/>
    <row r="14390" ht="26.25" customHeight="1"/>
    <row r="14391" ht="26.25" customHeight="1"/>
    <row r="14392" ht="26.25" customHeight="1"/>
    <row r="14393" ht="26.25" customHeight="1"/>
    <row r="14394" ht="26.25" customHeight="1"/>
    <row r="14395" ht="26.25" customHeight="1"/>
    <row r="14396" ht="26.25" customHeight="1"/>
    <row r="14397" ht="26.25" customHeight="1"/>
    <row r="14398" ht="26.25" customHeight="1"/>
    <row r="14399" ht="26.25" customHeight="1"/>
    <row r="14400" ht="26.25" customHeight="1"/>
    <row r="14401" ht="26.25" customHeight="1"/>
    <row r="14402" ht="26.25" customHeight="1"/>
    <row r="14403" ht="26.25" customHeight="1"/>
    <row r="14404" ht="26.25" customHeight="1"/>
    <row r="14405" ht="26.25" customHeight="1"/>
    <row r="14406" ht="26.25" customHeight="1"/>
    <row r="14407" ht="26.25" customHeight="1"/>
    <row r="14408" ht="26.25" customHeight="1"/>
    <row r="14409" ht="26.25" customHeight="1"/>
    <row r="14410" ht="26.25" customHeight="1"/>
    <row r="14411" ht="26.25" customHeight="1"/>
    <row r="14412" ht="26.25" customHeight="1"/>
    <row r="14413" ht="26.25" customHeight="1"/>
    <row r="14414" ht="26.25" customHeight="1"/>
    <row r="14415" ht="26.25" customHeight="1"/>
    <row r="14416" ht="26.25" customHeight="1"/>
    <row r="14417" ht="26.25" customHeight="1"/>
    <row r="14418" ht="26.25" customHeight="1"/>
    <row r="14419" ht="26.25" customHeight="1"/>
    <row r="14420" ht="26.25" customHeight="1"/>
    <row r="14421" ht="26.25" customHeight="1"/>
    <row r="14422" ht="26.25" customHeight="1"/>
    <row r="14423" ht="26.25" customHeight="1"/>
    <row r="14424" ht="26.25" customHeight="1"/>
    <row r="14425" ht="26.25" customHeight="1"/>
    <row r="14426" ht="26.25" customHeight="1"/>
    <row r="14427" ht="26.25" customHeight="1"/>
    <row r="14428" ht="26.25" customHeight="1"/>
    <row r="14429" ht="26.25" customHeight="1"/>
    <row r="14430" ht="26.25" customHeight="1"/>
    <row r="14431" ht="26.25" customHeight="1"/>
    <row r="14432" ht="26.25" customHeight="1"/>
    <row r="14433" ht="26.25" customHeight="1"/>
    <row r="14434" ht="26.25" customHeight="1"/>
    <row r="14435" ht="26.25" customHeight="1"/>
    <row r="14436" ht="26.25" customHeight="1"/>
    <row r="14437" ht="26.25" customHeight="1"/>
    <row r="14438" ht="26.25" customHeight="1"/>
    <row r="14439" ht="26.25" customHeight="1"/>
    <row r="14440" ht="26.25" customHeight="1"/>
    <row r="14441" ht="26.25" customHeight="1"/>
    <row r="14442" ht="26.25" customHeight="1"/>
    <row r="14443" ht="26.25" customHeight="1"/>
    <row r="14444" ht="26.25" customHeight="1"/>
    <row r="14445" ht="26.25" customHeight="1"/>
    <row r="14446" ht="26.25" customHeight="1"/>
    <row r="14447" ht="26.25" customHeight="1"/>
    <row r="14448" ht="26.25" customHeight="1"/>
    <row r="14449" ht="26.25" customHeight="1"/>
    <row r="14450" ht="26.25" customHeight="1"/>
    <row r="14451" ht="26.25" customHeight="1"/>
    <row r="14452" ht="26.25" customHeight="1"/>
    <row r="14453" ht="26.25" customHeight="1"/>
    <row r="14454" ht="26.25" customHeight="1"/>
    <row r="14455" ht="26.25" customHeight="1"/>
    <row r="14456" ht="26.25" customHeight="1"/>
    <row r="14457" ht="26.25" customHeight="1"/>
    <row r="14458" ht="26.25" customHeight="1"/>
    <row r="14459" ht="26.25" customHeight="1"/>
    <row r="14460" ht="26.25" customHeight="1"/>
    <row r="14461" ht="26.25" customHeight="1"/>
    <row r="14462" ht="26.25" customHeight="1"/>
    <row r="14463" ht="26.25" customHeight="1"/>
    <row r="14464" ht="26.25" customHeight="1"/>
    <row r="14465" ht="26.25" customHeight="1"/>
    <row r="14466" ht="26.25" customHeight="1"/>
    <row r="14467" ht="26.25" customHeight="1"/>
    <row r="14468" ht="26.25" customHeight="1"/>
    <row r="14469" ht="26.25" customHeight="1"/>
    <row r="14470" ht="26.25" customHeight="1"/>
    <row r="14471" ht="26.25" customHeight="1"/>
    <row r="14472" ht="26.25" customHeight="1"/>
    <row r="14473" ht="26.25" customHeight="1"/>
    <row r="14474" ht="26.25" customHeight="1"/>
    <row r="14475" ht="26.25" customHeight="1"/>
    <row r="14476" ht="26.25" customHeight="1"/>
    <row r="14477" ht="26.25" customHeight="1"/>
    <row r="14478" ht="26.25" customHeight="1"/>
    <row r="14479" ht="26.25" customHeight="1"/>
    <row r="14480" ht="26.25" customHeight="1"/>
    <row r="14481" ht="26.25" customHeight="1"/>
    <row r="14482" ht="26.25" customHeight="1"/>
    <row r="14483" ht="26.25" customHeight="1"/>
    <row r="14484" ht="26.25" customHeight="1"/>
    <row r="14485" ht="26.25" customHeight="1"/>
    <row r="14486" ht="26.25" customHeight="1"/>
    <row r="14487" ht="26.25" customHeight="1"/>
    <row r="14488" ht="26.25" customHeight="1"/>
    <row r="14489" ht="26.25" customHeight="1"/>
    <row r="14490" ht="26.25" customHeight="1"/>
    <row r="14491" ht="26.25" customHeight="1"/>
    <row r="14492" ht="26.25" customHeight="1"/>
    <row r="14493" ht="26.25" customHeight="1"/>
    <row r="14494" ht="26.25" customHeight="1"/>
    <row r="14495" ht="26.25" customHeight="1"/>
    <row r="14496" ht="26.25" customHeight="1"/>
    <row r="14497" ht="26.25" customHeight="1"/>
    <row r="14498" ht="26.25" customHeight="1"/>
    <row r="14499" ht="26.25" customHeight="1"/>
    <row r="14500" ht="26.25" customHeight="1"/>
    <row r="14501" ht="26.25" customHeight="1"/>
    <row r="14502" ht="26.25" customHeight="1"/>
    <row r="14503" ht="26.25" customHeight="1"/>
    <row r="14504" ht="26.25" customHeight="1"/>
    <row r="14505" ht="26.25" customHeight="1"/>
    <row r="14506" ht="26.25" customHeight="1"/>
    <row r="14507" ht="26.25" customHeight="1"/>
    <row r="14508" ht="26.25" customHeight="1"/>
    <row r="14509" ht="26.25" customHeight="1"/>
    <row r="14510" ht="26.25" customHeight="1"/>
    <row r="14511" ht="26.25" customHeight="1"/>
    <row r="14512" ht="26.25" customHeight="1"/>
    <row r="14513" ht="26.25" customHeight="1"/>
    <row r="14514" ht="26.25" customHeight="1"/>
    <row r="14515" ht="26.25" customHeight="1"/>
    <row r="14516" ht="26.25" customHeight="1"/>
    <row r="14517" ht="26.25" customHeight="1"/>
    <row r="14518" ht="26.25" customHeight="1"/>
    <row r="14519" ht="26.25" customHeight="1"/>
    <row r="14520" ht="26.25" customHeight="1"/>
    <row r="14521" ht="26.25" customHeight="1"/>
    <row r="14522" ht="26.25" customHeight="1"/>
    <row r="14523" ht="26.25" customHeight="1"/>
    <row r="14524" ht="26.25" customHeight="1"/>
    <row r="14525" ht="26.25" customHeight="1"/>
    <row r="14526" ht="26.25" customHeight="1"/>
    <row r="14527" ht="26.25" customHeight="1"/>
    <row r="14528" ht="26.25" customHeight="1"/>
    <row r="14529" ht="26.25" customHeight="1"/>
    <row r="14530" ht="26.25" customHeight="1"/>
    <row r="14531" ht="26.25" customHeight="1"/>
    <row r="14532" ht="26.25" customHeight="1"/>
    <row r="14533" ht="26.25" customHeight="1"/>
    <row r="14534" ht="26.25" customHeight="1"/>
    <row r="14535" ht="26.25" customHeight="1"/>
    <row r="14536" ht="26.25" customHeight="1"/>
    <row r="14537" ht="26.25" customHeight="1"/>
    <row r="14538" ht="26.25" customHeight="1"/>
    <row r="14539" ht="26.25" customHeight="1"/>
    <row r="14540" ht="26.25" customHeight="1"/>
    <row r="14541" ht="26.25" customHeight="1"/>
    <row r="14542" ht="26.25" customHeight="1"/>
    <row r="14543" ht="26.25" customHeight="1"/>
    <row r="14544" ht="26.25" customHeight="1"/>
    <row r="14545" ht="26.25" customHeight="1"/>
    <row r="14546" ht="26.25" customHeight="1"/>
    <row r="14547" ht="26.25" customHeight="1"/>
    <row r="14548" ht="26.25" customHeight="1"/>
    <row r="14549" ht="26.25" customHeight="1"/>
    <row r="14550" ht="26.25" customHeight="1"/>
    <row r="14551" ht="26.25" customHeight="1"/>
    <row r="14552" ht="26.25" customHeight="1"/>
    <row r="14553" ht="26.25" customHeight="1"/>
    <row r="14554" ht="26.25" customHeight="1"/>
    <row r="14555" ht="26.25" customHeight="1"/>
    <row r="14556" ht="26.25" customHeight="1"/>
    <row r="14557" ht="26.25" customHeight="1"/>
    <row r="14558" ht="26.25" customHeight="1"/>
    <row r="14559" ht="26.25" customHeight="1"/>
    <row r="14560" ht="26.25" customHeight="1"/>
    <row r="14561" ht="26.25" customHeight="1"/>
    <row r="14562" ht="26.25" customHeight="1"/>
    <row r="14563" ht="26.25" customHeight="1"/>
    <row r="14564" ht="26.25" customHeight="1"/>
    <row r="14565" ht="26.25" customHeight="1"/>
    <row r="14566" ht="26.25" customHeight="1"/>
    <row r="14567" ht="26.25" customHeight="1"/>
    <row r="14568" ht="26.25" customHeight="1"/>
    <row r="14569" ht="26.25" customHeight="1"/>
    <row r="14570" ht="26.25" customHeight="1"/>
    <row r="14571" ht="26.25" customHeight="1"/>
    <row r="14572" ht="26.25" customHeight="1"/>
    <row r="14573" ht="26.25" customHeight="1"/>
    <row r="14574" ht="26.25" customHeight="1"/>
    <row r="14575" ht="26.25" customHeight="1"/>
    <row r="14576" ht="26.25" customHeight="1"/>
    <row r="14577" ht="26.25" customHeight="1"/>
    <row r="14578" ht="26.25" customHeight="1"/>
    <row r="14579" ht="26.25" customHeight="1"/>
    <row r="14580" ht="26.25" customHeight="1"/>
    <row r="14581" ht="26.25" customHeight="1"/>
    <row r="14582" ht="26.25" customHeight="1"/>
    <row r="14583" ht="26.25" customHeight="1"/>
    <row r="14584" ht="26.25" customHeight="1"/>
    <row r="14585" ht="26.25" customHeight="1"/>
    <row r="14586" ht="26.25" customHeight="1"/>
    <row r="14587" ht="26.25" customHeight="1"/>
    <row r="14588" ht="26.25" customHeight="1"/>
    <row r="14589" ht="26.25" customHeight="1"/>
    <row r="14590" ht="26.25" customHeight="1"/>
    <row r="14591" ht="26.25" customHeight="1"/>
    <row r="14592" ht="26.25" customHeight="1"/>
    <row r="14593" ht="26.25" customHeight="1"/>
    <row r="14594" ht="26.25" customHeight="1"/>
    <row r="14595" ht="26.25" customHeight="1"/>
    <row r="14596" ht="26.25" customHeight="1"/>
    <row r="14597" ht="26.25" customHeight="1"/>
    <row r="14598" ht="26.25" customHeight="1"/>
    <row r="14599" ht="26.25" customHeight="1"/>
    <row r="14600" ht="26.25" customHeight="1"/>
    <row r="14601" ht="26.25" customHeight="1"/>
    <row r="14602" ht="26.25" customHeight="1"/>
    <row r="14603" ht="26.25" customHeight="1"/>
    <row r="14604" ht="26.25" customHeight="1"/>
    <row r="14605" ht="26.25" customHeight="1"/>
    <row r="14606" ht="26.25" customHeight="1"/>
    <row r="14607" ht="26.25" customHeight="1"/>
    <row r="14608" ht="26.25" customHeight="1"/>
    <row r="14609" ht="26.25" customHeight="1"/>
    <row r="14610" ht="26.25" customHeight="1"/>
    <row r="14611" ht="26.25" customHeight="1"/>
    <row r="14612" ht="26.25" customHeight="1"/>
    <row r="14613" ht="26.25" customHeight="1"/>
    <row r="14614" ht="26.25" customHeight="1"/>
    <row r="14615" ht="26.25" customHeight="1"/>
    <row r="14616" ht="26.25" customHeight="1"/>
    <row r="14617" ht="26.25" customHeight="1"/>
    <row r="14618" ht="26.25" customHeight="1"/>
    <row r="14619" ht="26.25" customHeight="1"/>
    <row r="14620" ht="26.25" customHeight="1"/>
    <row r="14621" ht="26.25" customHeight="1"/>
    <row r="14622" ht="26.25" customHeight="1"/>
    <row r="14623" ht="26.25" customHeight="1"/>
    <row r="14624" ht="26.25" customHeight="1"/>
    <row r="14625" ht="26.25" customHeight="1"/>
    <row r="14626" ht="26.25" customHeight="1"/>
    <row r="14627" ht="26.25" customHeight="1"/>
    <row r="14628" ht="26.25" customHeight="1"/>
    <row r="14629" ht="26.25" customHeight="1"/>
    <row r="14630" ht="26.25" customHeight="1"/>
    <row r="14631" ht="26.25" customHeight="1"/>
    <row r="14632" ht="26.25" customHeight="1"/>
    <row r="14633" ht="26.25" customHeight="1"/>
    <row r="14634" ht="26.25" customHeight="1"/>
    <row r="14635" ht="26.25" customHeight="1"/>
    <row r="14636" ht="26.25" customHeight="1"/>
    <row r="14637" ht="26.25" customHeight="1"/>
    <row r="14638" ht="26.25" customHeight="1"/>
    <row r="14639" ht="26.25" customHeight="1"/>
    <row r="14640" ht="26.25" customHeight="1"/>
    <row r="14641" ht="26.25" customHeight="1"/>
    <row r="14642" ht="26.25" customHeight="1"/>
    <row r="14643" ht="26.25" customHeight="1"/>
    <row r="14644" ht="26.25" customHeight="1"/>
    <row r="14645" ht="26.25" customHeight="1"/>
    <row r="14646" ht="26.25" customHeight="1"/>
    <row r="14647" ht="26.25" customHeight="1"/>
    <row r="14648" ht="26.25" customHeight="1"/>
    <row r="14649" ht="26.25" customHeight="1"/>
    <row r="14650" ht="26.25" customHeight="1"/>
    <row r="14651" ht="26.25" customHeight="1"/>
    <row r="14652" ht="26.25" customHeight="1"/>
    <row r="14653" ht="26.25" customHeight="1"/>
    <row r="14654" ht="26.25" customHeight="1"/>
    <row r="14655" ht="26.25" customHeight="1"/>
    <row r="14656" ht="26.25" customHeight="1"/>
    <row r="14657" ht="26.25" customHeight="1"/>
    <row r="14658" ht="26.25" customHeight="1"/>
    <row r="14659" ht="26.25" customHeight="1"/>
    <row r="14660" ht="26.25" customHeight="1"/>
    <row r="14661" ht="26.25" customHeight="1"/>
    <row r="14662" ht="26.25" customHeight="1"/>
    <row r="14663" ht="26.25" customHeight="1"/>
    <row r="14664" ht="26.25" customHeight="1"/>
    <row r="14665" ht="26.25" customHeight="1"/>
    <row r="14666" ht="26.25" customHeight="1"/>
    <row r="14667" ht="26.25" customHeight="1"/>
    <row r="14668" ht="26.25" customHeight="1"/>
    <row r="14669" ht="26.25" customHeight="1"/>
    <row r="14670" ht="26.25" customHeight="1"/>
    <row r="14671" ht="26.25" customHeight="1"/>
    <row r="14672" ht="26.25" customHeight="1"/>
    <row r="14673" ht="26.25" customHeight="1"/>
    <row r="14674" ht="26.25" customHeight="1"/>
    <row r="14675" ht="26.25" customHeight="1"/>
    <row r="14676" ht="26.25" customHeight="1"/>
    <row r="14677" ht="26.25" customHeight="1"/>
    <row r="14678" ht="26.25" customHeight="1"/>
    <row r="14679" ht="26.25" customHeight="1"/>
    <row r="14680" ht="26.25" customHeight="1"/>
    <row r="14681" ht="26.25" customHeight="1"/>
    <row r="14682" ht="26.25" customHeight="1"/>
    <row r="14683" ht="26.25" customHeight="1"/>
    <row r="14684" ht="26.25" customHeight="1"/>
    <row r="14685" ht="26.25" customHeight="1"/>
    <row r="14686" ht="26.25" customHeight="1"/>
    <row r="14687" ht="26.25" customHeight="1"/>
    <row r="14688" ht="26.25" customHeight="1"/>
    <row r="14689" ht="26.25" customHeight="1"/>
    <row r="14690" ht="26.25" customHeight="1"/>
    <row r="14691" ht="26.25" customHeight="1"/>
    <row r="14692" ht="26.25" customHeight="1"/>
    <row r="14693" ht="26.25" customHeight="1"/>
    <row r="14694" ht="26.25" customHeight="1"/>
    <row r="14695" ht="26.25" customHeight="1"/>
    <row r="14696" ht="26.25" customHeight="1"/>
    <row r="14697" ht="26.25" customHeight="1"/>
    <row r="14698" ht="26.25" customHeight="1"/>
    <row r="14699" ht="26.25" customHeight="1"/>
    <row r="14700" ht="26.25" customHeight="1"/>
    <row r="14701" ht="26.25" customHeight="1"/>
    <row r="14702" ht="26.25" customHeight="1"/>
    <row r="14703" ht="26.25" customHeight="1"/>
    <row r="14704" ht="26.25" customHeight="1"/>
    <row r="14705" ht="26.25" customHeight="1"/>
    <row r="14706" ht="26.25" customHeight="1"/>
    <row r="14707" ht="26.25" customHeight="1"/>
    <row r="14708" ht="26.25" customHeight="1"/>
    <row r="14709" ht="26.25" customHeight="1"/>
    <row r="14710" ht="26.25" customHeight="1"/>
    <row r="14711" ht="26.25" customHeight="1"/>
    <row r="14712" ht="26.25" customHeight="1"/>
    <row r="14713" ht="26.25" customHeight="1"/>
    <row r="14714" ht="26.25" customHeight="1"/>
    <row r="14715" ht="26.25" customHeight="1"/>
    <row r="14716" ht="26.25" customHeight="1"/>
    <row r="14717" ht="26.25" customHeight="1"/>
    <row r="14718" ht="26.25" customHeight="1"/>
    <row r="14719" ht="26.25" customHeight="1"/>
    <row r="14720" ht="26.25" customHeight="1"/>
    <row r="14721" ht="26.25" customHeight="1"/>
    <row r="14722" ht="26.25" customHeight="1"/>
    <row r="14723" ht="26.25" customHeight="1"/>
    <row r="14724" ht="26.25" customHeight="1"/>
    <row r="14725" ht="26.25" customHeight="1"/>
    <row r="14726" ht="26.25" customHeight="1"/>
    <row r="14727" ht="26.25" customHeight="1"/>
    <row r="14728" ht="26.25" customHeight="1"/>
    <row r="14729" ht="26.25" customHeight="1"/>
    <row r="14730" ht="26.25" customHeight="1"/>
    <row r="14731" ht="26.25" customHeight="1"/>
    <row r="14732" ht="26.25" customHeight="1"/>
    <row r="14733" ht="26.25" customHeight="1"/>
    <row r="14734" ht="26.25" customHeight="1"/>
    <row r="14735" ht="26.25" customHeight="1"/>
    <row r="14736" ht="26.25" customHeight="1"/>
    <row r="14737" ht="26.25" customHeight="1"/>
    <row r="14738" ht="26.25" customHeight="1"/>
    <row r="14739" ht="26.25" customHeight="1"/>
    <row r="14740" ht="26.25" customHeight="1"/>
    <row r="14741" ht="26.25" customHeight="1"/>
    <row r="14742" ht="26.25" customHeight="1"/>
    <row r="14743" ht="26.25" customHeight="1"/>
    <row r="14744" ht="26.25" customHeight="1"/>
    <row r="14745" ht="26.25" customHeight="1"/>
    <row r="14746" ht="26.25" customHeight="1"/>
    <row r="14747" ht="26.25" customHeight="1"/>
    <row r="14748" ht="26.25" customHeight="1"/>
    <row r="14749" ht="26.25" customHeight="1"/>
    <row r="14750" ht="26.25" customHeight="1"/>
    <row r="14751" ht="26.25" customHeight="1"/>
    <row r="14752" ht="26.25" customHeight="1"/>
    <row r="14753" ht="26.25" customHeight="1"/>
    <row r="14754" ht="26.25" customHeight="1"/>
    <row r="14755" ht="26.25" customHeight="1"/>
    <row r="14756" ht="26.25" customHeight="1"/>
    <row r="14757" ht="26.25" customHeight="1"/>
    <row r="14758" ht="26.25" customHeight="1"/>
    <row r="14759" ht="26.25" customHeight="1"/>
    <row r="14760" ht="26.25" customHeight="1"/>
    <row r="14761" ht="26.25" customHeight="1"/>
    <row r="14762" ht="26.25" customHeight="1"/>
    <row r="14763" ht="26.25" customHeight="1"/>
    <row r="14764" ht="26.25" customHeight="1"/>
    <row r="14765" ht="26.25" customHeight="1"/>
    <row r="14766" ht="26.25" customHeight="1"/>
    <row r="14767" ht="26.25" customHeight="1"/>
    <row r="14768" ht="26.25" customHeight="1"/>
    <row r="14769" ht="26.25" customHeight="1"/>
    <row r="14770" ht="26.25" customHeight="1"/>
    <row r="14771" ht="26.25" customHeight="1"/>
    <row r="14772" ht="26.25" customHeight="1"/>
    <row r="14773" ht="26.25" customHeight="1"/>
    <row r="14774" ht="26.25" customHeight="1"/>
    <row r="14775" ht="26.25" customHeight="1"/>
    <row r="14776" ht="26.25" customHeight="1"/>
    <row r="14777" ht="26.25" customHeight="1"/>
    <row r="14778" ht="26.25" customHeight="1"/>
    <row r="14779" ht="26.25" customHeight="1"/>
    <row r="14780" ht="26.25" customHeight="1"/>
    <row r="14781" ht="26.25" customHeight="1"/>
    <row r="14782" ht="26.25" customHeight="1"/>
    <row r="14783" ht="26.25" customHeight="1"/>
    <row r="14784" ht="26.25" customHeight="1"/>
    <row r="14785" ht="26.25" customHeight="1"/>
    <row r="14786" ht="26.25" customHeight="1"/>
    <row r="14787" ht="26.25" customHeight="1"/>
    <row r="14788" ht="26.25" customHeight="1"/>
    <row r="14789" ht="26.25" customHeight="1"/>
    <row r="14790" ht="26.25" customHeight="1"/>
    <row r="14791" ht="26.25" customHeight="1"/>
    <row r="14792" ht="26.25" customHeight="1"/>
    <row r="14793" ht="26.25" customHeight="1"/>
    <row r="14794" ht="26.25" customHeight="1"/>
    <row r="14795" ht="26.25" customHeight="1"/>
    <row r="14796" ht="26.25" customHeight="1"/>
    <row r="14797" ht="26.25" customHeight="1"/>
    <row r="14798" ht="26.25" customHeight="1"/>
    <row r="14799" ht="26.25" customHeight="1"/>
    <row r="14800" ht="26.25" customHeight="1"/>
    <row r="14801" ht="26.25" customHeight="1"/>
    <row r="14802" ht="26.25" customHeight="1"/>
    <row r="14803" ht="26.25" customHeight="1"/>
    <row r="14804" ht="26.25" customHeight="1"/>
    <row r="14805" ht="26.25" customHeight="1"/>
    <row r="14806" ht="26.25" customHeight="1"/>
    <row r="14807" ht="26.25" customHeight="1"/>
    <row r="14808" ht="26.25" customHeight="1"/>
    <row r="14809" ht="26.25" customHeight="1"/>
    <row r="14810" ht="26.25" customHeight="1"/>
    <row r="14811" ht="26.25" customHeight="1"/>
    <row r="14812" ht="26.25" customHeight="1"/>
    <row r="14813" ht="26.25" customHeight="1"/>
    <row r="14814" ht="26.25" customHeight="1"/>
    <row r="14815" ht="26.25" customHeight="1"/>
    <row r="14816" ht="26.25" customHeight="1"/>
    <row r="14817" ht="26.25" customHeight="1"/>
    <row r="14818" ht="26.25" customHeight="1"/>
    <row r="14819" ht="26.25" customHeight="1"/>
    <row r="14820" ht="26.25" customHeight="1"/>
    <row r="14821" ht="26.25" customHeight="1"/>
    <row r="14822" ht="26.25" customHeight="1"/>
    <row r="14823" ht="26.25" customHeight="1"/>
    <row r="14824" ht="26.25" customHeight="1"/>
    <row r="14825" ht="26.25" customHeight="1"/>
    <row r="14826" ht="26.25" customHeight="1"/>
    <row r="14827" ht="26.25" customHeight="1"/>
    <row r="14828" ht="26.25" customHeight="1"/>
    <row r="14829" ht="26.25" customHeight="1"/>
    <row r="14830" ht="26.25" customHeight="1"/>
    <row r="14831" ht="26.25" customHeight="1"/>
    <row r="14832" ht="26.25" customHeight="1"/>
    <row r="14833" ht="26.25" customHeight="1"/>
    <row r="14834" ht="26.25" customHeight="1"/>
    <row r="14835" ht="26.25" customHeight="1"/>
    <row r="14836" ht="26.25" customHeight="1"/>
    <row r="14837" ht="26.25" customHeight="1"/>
    <row r="14838" ht="26.25" customHeight="1"/>
    <row r="14839" ht="26.25" customHeight="1"/>
    <row r="14840" ht="26.25" customHeight="1"/>
    <row r="14841" ht="26.25" customHeight="1"/>
    <row r="14842" ht="26.25" customHeight="1"/>
    <row r="14843" ht="26.25" customHeight="1"/>
    <row r="14844" ht="26.25" customHeight="1"/>
    <row r="14845" ht="26.25" customHeight="1"/>
    <row r="14846" ht="26.25" customHeight="1"/>
    <row r="14847" ht="26.25" customHeight="1"/>
    <row r="14848" ht="26.25" customHeight="1"/>
    <row r="14849" ht="26.25" customHeight="1"/>
    <row r="14850" ht="26.25" customHeight="1"/>
    <row r="14851" ht="26.25" customHeight="1"/>
    <row r="14852" ht="26.25" customHeight="1"/>
    <row r="14853" ht="26.25" customHeight="1"/>
    <row r="14854" ht="26.25" customHeight="1"/>
    <row r="14855" ht="26.25" customHeight="1"/>
    <row r="14856" ht="26.25" customHeight="1"/>
    <row r="14857" ht="26.25" customHeight="1"/>
    <row r="14858" ht="26.25" customHeight="1"/>
    <row r="14859" ht="26.25" customHeight="1"/>
    <row r="14860" ht="26.25" customHeight="1"/>
    <row r="14861" ht="26.25" customHeight="1"/>
    <row r="14862" ht="26.25" customHeight="1"/>
    <row r="14863" ht="26.25" customHeight="1"/>
    <row r="14864" ht="26.25" customHeight="1"/>
    <row r="14865" ht="26.25" customHeight="1"/>
    <row r="14866" ht="26.25" customHeight="1"/>
    <row r="14867" ht="26.25" customHeight="1"/>
    <row r="14868" ht="26.25" customHeight="1"/>
    <row r="14869" ht="26.25" customHeight="1"/>
    <row r="14870" ht="26.25" customHeight="1"/>
    <row r="14871" ht="26.25" customHeight="1"/>
    <row r="14872" ht="26.25" customHeight="1"/>
    <row r="14873" ht="26.25" customHeight="1"/>
    <row r="14874" ht="26.25" customHeight="1"/>
    <row r="14875" ht="26.25" customHeight="1"/>
    <row r="14876" ht="26.25" customHeight="1"/>
    <row r="14877" ht="26.25" customHeight="1"/>
    <row r="14878" ht="26.25" customHeight="1"/>
    <row r="14879" ht="26.25" customHeight="1"/>
    <row r="14880" ht="26.25" customHeight="1"/>
    <row r="14881" ht="26.25" customHeight="1"/>
    <row r="14882" ht="26.25" customHeight="1"/>
    <row r="14883" ht="26.25" customHeight="1"/>
    <row r="14884" ht="26.25" customHeight="1"/>
    <row r="14885" ht="26.25" customHeight="1"/>
    <row r="14886" ht="26.25" customHeight="1"/>
    <row r="14887" ht="26.25" customHeight="1"/>
    <row r="14888" ht="26.25" customHeight="1"/>
    <row r="14889" ht="26.25" customHeight="1"/>
    <row r="14890" ht="26.25" customHeight="1"/>
    <row r="14891" ht="26.25" customHeight="1"/>
    <row r="14892" ht="26.25" customHeight="1"/>
    <row r="14893" ht="26.25" customHeight="1"/>
    <row r="14894" ht="26.25" customHeight="1"/>
    <row r="14895" ht="26.25" customHeight="1"/>
    <row r="14896" ht="26.25" customHeight="1"/>
    <row r="14897" ht="26.25" customHeight="1"/>
    <row r="14898" ht="26.25" customHeight="1"/>
    <row r="14899" ht="26.25" customHeight="1"/>
    <row r="14900" ht="26.25" customHeight="1"/>
    <row r="14901" ht="26.25" customHeight="1"/>
    <row r="14902" ht="26.25" customHeight="1"/>
    <row r="14903" ht="26.25" customHeight="1"/>
    <row r="14904" ht="26.25" customHeight="1"/>
    <row r="14905" ht="26.25" customHeight="1"/>
    <row r="14906" ht="26.25" customHeight="1"/>
    <row r="14907" ht="26.25" customHeight="1"/>
    <row r="14908" ht="26.25" customHeight="1"/>
    <row r="14909" ht="26.25" customHeight="1"/>
    <row r="14910" ht="26.25" customHeight="1"/>
    <row r="14911" ht="26.25" customHeight="1"/>
    <row r="14912" ht="26.25" customHeight="1"/>
    <row r="14913" ht="26.25" customHeight="1"/>
    <row r="14914" ht="26.25" customHeight="1"/>
    <row r="14915" ht="26.25" customHeight="1"/>
    <row r="14916" ht="26.25" customHeight="1"/>
    <row r="14917" ht="26.25" customHeight="1"/>
    <row r="14918" ht="26.25" customHeight="1"/>
    <row r="14919" ht="26.25" customHeight="1"/>
    <row r="14920" ht="26.25" customHeight="1"/>
    <row r="14921" ht="26.25" customHeight="1"/>
    <row r="14922" ht="26.25" customHeight="1"/>
    <row r="14923" ht="26.25" customHeight="1"/>
    <row r="14924" ht="26.25" customHeight="1"/>
    <row r="14925" ht="26.25" customHeight="1"/>
    <row r="14926" ht="26.25" customHeight="1"/>
    <row r="14927" ht="26.25" customHeight="1"/>
    <row r="14928" ht="26.25" customHeight="1"/>
    <row r="14929" ht="26.25" customHeight="1"/>
    <row r="14930" ht="26.25" customHeight="1"/>
    <row r="14931" ht="26.25" customHeight="1"/>
    <row r="14932" ht="26.25" customHeight="1"/>
    <row r="14933" ht="26.25" customHeight="1"/>
    <row r="14934" ht="26.25" customHeight="1"/>
    <row r="14935" ht="26.25" customHeight="1"/>
    <row r="14936" ht="26.25" customHeight="1"/>
    <row r="14937" ht="26.25" customHeight="1"/>
    <row r="14938" ht="26.25" customHeight="1"/>
    <row r="14939" ht="26.25" customHeight="1"/>
    <row r="14940" ht="26.25" customHeight="1"/>
    <row r="14941" ht="26.25" customHeight="1"/>
    <row r="14942" ht="26.25" customHeight="1"/>
    <row r="14943" ht="26.25" customHeight="1"/>
    <row r="14944" ht="26.25" customHeight="1"/>
    <row r="14945" ht="26.25" customHeight="1"/>
    <row r="14946" ht="26.25" customHeight="1"/>
    <row r="14947" ht="26.25" customHeight="1"/>
    <row r="14948" ht="26.25" customHeight="1"/>
    <row r="14949" ht="26.25" customHeight="1"/>
    <row r="14950" ht="26.25" customHeight="1"/>
    <row r="14951" ht="26.25" customHeight="1"/>
    <row r="14952" ht="26.25" customHeight="1"/>
    <row r="14953" ht="26.25" customHeight="1"/>
    <row r="14954" ht="26.25" customHeight="1"/>
    <row r="14955" ht="26.25" customHeight="1"/>
    <row r="14956" ht="26.25" customHeight="1"/>
    <row r="14957" ht="26.25" customHeight="1"/>
    <row r="14958" ht="26.25" customHeight="1"/>
    <row r="14959" ht="26.25" customHeight="1"/>
    <row r="14960" ht="26.25" customHeight="1"/>
    <row r="14961" ht="26.25" customHeight="1"/>
    <row r="14962" ht="26.25" customHeight="1"/>
    <row r="14963" ht="26.25" customHeight="1"/>
    <row r="14964" ht="26.25" customHeight="1"/>
    <row r="14965" ht="26.25" customHeight="1"/>
    <row r="14966" ht="26.25" customHeight="1"/>
    <row r="14967" ht="26.25" customHeight="1"/>
    <row r="14968" ht="26.25" customHeight="1"/>
    <row r="14969" ht="26.25" customHeight="1"/>
    <row r="14970" ht="26.25" customHeight="1"/>
    <row r="14971" ht="26.25" customHeight="1"/>
    <row r="14972" ht="26.25" customHeight="1"/>
    <row r="14973" ht="26.25" customHeight="1"/>
    <row r="14974" ht="26.25" customHeight="1"/>
    <row r="14975" ht="26.25" customHeight="1"/>
    <row r="14976" ht="26.25" customHeight="1"/>
    <row r="14977" ht="26.25" customHeight="1"/>
    <row r="14978" ht="26.25" customHeight="1"/>
    <row r="14979" ht="26.25" customHeight="1"/>
    <row r="14980" ht="26.25" customHeight="1"/>
    <row r="14981" ht="26.25" customHeight="1"/>
    <row r="14982" ht="26.25" customHeight="1"/>
    <row r="14983" ht="26.25" customHeight="1"/>
    <row r="14984" ht="26.25" customHeight="1"/>
    <row r="14985" ht="26.25" customHeight="1"/>
    <row r="14986" ht="26.25" customHeight="1"/>
    <row r="14987" ht="26.25" customHeight="1"/>
    <row r="14988" ht="26.25" customHeight="1"/>
    <row r="14989" ht="26.25" customHeight="1"/>
    <row r="14990" ht="26.25" customHeight="1"/>
    <row r="14991" ht="26.25" customHeight="1"/>
    <row r="14992" ht="26.25" customHeight="1"/>
    <row r="14993" ht="26.25" customHeight="1"/>
    <row r="14994" ht="26.25" customHeight="1"/>
    <row r="14995" ht="26.25" customHeight="1"/>
    <row r="14996" ht="26.25" customHeight="1"/>
    <row r="14997" ht="26.25" customHeight="1"/>
    <row r="14998" ht="26.25" customHeight="1"/>
    <row r="14999" ht="26.25" customHeight="1"/>
    <row r="15000" ht="26.25" customHeight="1"/>
    <row r="15001" ht="26.25" customHeight="1"/>
    <row r="15002" ht="26.25" customHeight="1"/>
    <row r="15003" ht="26.25" customHeight="1"/>
    <row r="15004" ht="26.25" customHeight="1"/>
    <row r="15005" ht="26.25" customHeight="1"/>
    <row r="15006" ht="26.25" customHeight="1"/>
    <row r="15007" ht="26.25" customHeight="1"/>
    <row r="15008" ht="26.25" customHeight="1"/>
    <row r="15009" ht="26.25" customHeight="1"/>
    <row r="15010" ht="26.25" customHeight="1"/>
    <row r="15011" ht="26.25" customHeight="1"/>
    <row r="15012" ht="26.25" customHeight="1"/>
    <row r="15013" ht="26.25" customHeight="1"/>
    <row r="15014" ht="26.25" customHeight="1"/>
    <row r="15015" ht="26.25" customHeight="1"/>
    <row r="15016" ht="26.25" customHeight="1"/>
    <row r="15017" ht="26.25" customHeight="1"/>
    <row r="15018" ht="26.25" customHeight="1"/>
    <row r="15019" ht="26.25" customHeight="1"/>
    <row r="15020" ht="26.25" customHeight="1"/>
    <row r="15021" ht="26.25" customHeight="1"/>
    <row r="15022" ht="26.25" customHeight="1"/>
    <row r="15023" ht="26.25" customHeight="1"/>
    <row r="15024" ht="26.25" customHeight="1"/>
    <row r="15025" ht="26.25" customHeight="1"/>
    <row r="15026" ht="26.25" customHeight="1"/>
    <row r="15027" ht="26.25" customHeight="1"/>
    <row r="15028" ht="26.25" customHeight="1"/>
    <row r="15029" ht="26.25" customHeight="1"/>
    <row r="15030" ht="26.25" customHeight="1"/>
    <row r="15031" ht="26.25" customHeight="1"/>
    <row r="15032" ht="26.25" customHeight="1"/>
    <row r="15033" ht="26.25" customHeight="1"/>
    <row r="15034" ht="26.25" customHeight="1"/>
    <row r="15035" ht="26.25" customHeight="1"/>
    <row r="15036" ht="26.25" customHeight="1"/>
    <row r="15037" ht="26.25" customHeight="1"/>
    <row r="15038" ht="26.25" customHeight="1"/>
    <row r="15039" ht="26.25" customHeight="1"/>
    <row r="15040" ht="26.25" customHeight="1"/>
    <row r="15041" ht="26.25" customHeight="1"/>
    <row r="15042" ht="26.25" customHeight="1"/>
    <row r="15043" ht="26.25" customHeight="1"/>
    <row r="15044" ht="26.25" customHeight="1"/>
    <row r="15045" ht="26.25" customHeight="1"/>
    <row r="15046" ht="26.25" customHeight="1"/>
    <row r="15047" ht="26.25" customHeight="1"/>
    <row r="15048" ht="26.25" customHeight="1"/>
    <row r="15049" ht="26.25" customHeight="1"/>
    <row r="15050" ht="26.25" customHeight="1"/>
    <row r="15051" ht="26.25" customHeight="1"/>
    <row r="15052" ht="26.25" customHeight="1"/>
    <row r="15053" ht="26.25" customHeight="1"/>
    <row r="15054" ht="26.25" customHeight="1"/>
    <row r="15055" ht="26.25" customHeight="1"/>
    <row r="15056" ht="26.25" customHeight="1"/>
    <row r="15057" ht="26.25" customHeight="1"/>
    <row r="15058" ht="26.25" customHeight="1"/>
    <row r="15059" ht="26.25" customHeight="1"/>
    <row r="15060" ht="26.25" customHeight="1"/>
    <row r="15061" ht="26.25" customHeight="1"/>
    <row r="15062" ht="26.25" customHeight="1"/>
    <row r="15063" ht="26.25" customHeight="1"/>
    <row r="15064" ht="26.25" customHeight="1"/>
    <row r="15065" ht="26.25" customHeight="1"/>
    <row r="15066" ht="26.25" customHeight="1"/>
    <row r="15067" ht="26.25" customHeight="1"/>
    <row r="15068" ht="26.25" customHeight="1"/>
    <row r="15069" ht="26.25" customHeight="1"/>
    <row r="15070" ht="26.25" customHeight="1"/>
    <row r="15071" ht="26.25" customHeight="1"/>
    <row r="15072" ht="26.25" customHeight="1"/>
    <row r="15073" ht="26.25" customHeight="1"/>
    <row r="15074" ht="26.25" customHeight="1"/>
    <row r="15075" ht="26.25" customHeight="1"/>
    <row r="15076" ht="26.25" customHeight="1"/>
    <row r="15077" ht="26.25" customHeight="1"/>
    <row r="15078" ht="26.25" customHeight="1"/>
    <row r="15079" ht="26.25" customHeight="1"/>
    <row r="15080" ht="26.25" customHeight="1"/>
    <row r="15081" ht="26.25" customHeight="1"/>
    <row r="15082" ht="26.25" customHeight="1"/>
    <row r="15083" ht="26.25" customHeight="1"/>
    <row r="15084" ht="26.25" customHeight="1"/>
    <row r="15085" ht="26.25" customHeight="1"/>
    <row r="15086" ht="26.25" customHeight="1"/>
    <row r="15087" ht="26.25" customHeight="1"/>
    <row r="15088" ht="26.25" customHeight="1"/>
    <row r="15089" ht="26.25" customHeight="1"/>
    <row r="15090" ht="26.25" customHeight="1"/>
    <row r="15091" ht="26.25" customHeight="1"/>
    <row r="15092" ht="26.25" customHeight="1"/>
    <row r="15093" ht="26.25" customHeight="1"/>
    <row r="15094" ht="26.25" customHeight="1"/>
    <row r="15095" ht="26.25" customHeight="1"/>
    <row r="15096" ht="26.25" customHeight="1"/>
    <row r="15097" ht="26.25" customHeight="1"/>
    <row r="15098" ht="26.25" customHeight="1"/>
    <row r="15099" ht="26.25" customHeight="1"/>
    <row r="15100" ht="26.25" customHeight="1"/>
    <row r="15101" ht="26.25" customHeight="1"/>
    <row r="15102" ht="26.25" customHeight="1"/>
    <row r="15103" ht="26.25" customHeight="1"/>
    <row r="15104" ht="26.25" customHeight="1"/>
    <row r="15105" ht="26.25" customHeight="1"/>
    <row r="15106" ht="26.25" customHeight="1"/>
    <row r="15107" ht="26.25" customHeight="1"/>
    <row r="15108" ht="26.25" customHeight="1"/>
    <row r="15109" ht="26.25" customHeight="1"/>
    <row r="15110" ht="26.25" customHeight="1"/>
    <row r="15111" ht="26.25" customHeight="1"/>
    <row r="15112" ht="26.25" customHeight="1"/>
    <row r="15113" ht="26.25" customHeight="1"/>
    <row r="15114" ht="26.25" customHeight="1"/>
    <row r="15115" ht="26.25" customHeight="1"/>
    <row r="15116" ht="26.25" customHeight="1"/>
    <row r="15117" ht="26.25" customHeight="1"/>
    <row r="15118" ht="26.25" customHeight="1"/>
    <row r="15119" ht="26.25" customHeight="1"/>
    <row r="15120" ht="26.25" customHeight="1"/>
    <row r="15121" ht="26.25" customHeight="1"/>
    <row r="15122" ht="26.25" customHeight="1"/>
    <row r="15123" ht="26.25" customHeight="1"/>
    <row r="15124" ht="26.25" customHeight="1"/>
    <row r="15125" ht="26.25" customHeight="1"/>
    <row r="15126" ht="26.25" customHeight="1"/>
    <row r="15127" ht="26.25" customHeight="1"/>
    <row r="15128" ht="26.25" customHeight="1"/>
    <row r="15129" ht="26.25" customHeight="1"/>
    <row r="15130" ht="26.25" customHeight="1"/>
    <row r="15131" ht="26.25" customHeight="1"/>
    <row r="15132" ht="26.25" customHeight="1"/>
    <row r="15133" ht="26.25" customHeight="1"/>
    <row r="15134" ht="26.25" customHeight="1"/>
    <row r="15135" ht="26.25" customHeight="1"/>
    <row r="15136" ht="26.25" customHeight="1"/>
    <row r="15137" ht="26.25" customHeight="1"/>
    <row r="15138" ht="26.25" customHeight="1"/>
    <row r="15139" ht="26.25" customHeight="1"/>
    <row r="15140" ht="26.25" customHeight="1"/>
    <row r="15141" ht="26.25" customHeight="1"/>
    <row r="15142" ht="26.25" customHeight="1"/>
    <row r="15143" ht="26.25" customHeight="1"/>
    <row r="15144" ht="26.25" customHeight="1"/>
    <row r="15145" ht="26.25" customHeight="1"/>
    <row r="15146" ht="26.25" customHeight="1"/>
    <row r="15147" ht="26.25" customHeight="1"/>
    <row r="15148" ht="26.25" customHeight="1"/>
    <row r="15149" ht="26.25" customHeight="1"/>
    <row r="15150" ht="26.25" customHeight="1"/>
    <row r="15151" ht="26.25" customHeight="1"/>
    <row r="15152" ht="26.25" customHeight="1"/>
    <row r="15153" ht="26.25" customHeight="1"/>
    <row r="15154" ht="26.25" customHeight="1"/>
    <row r="15155" ht="26.25" customHeight="1"/>
    <row r="15156" ht="26.25" customHeight="1"/>
    <row r="15157" ht="26.25" customHeight="1"/>
    <row r="15158" ht="26.25" customHeight="1"/>
    <row r="15159" ht="26.25" customHeight="1"/>
    <row r="15160" ht="26.25" customHeight="1"/>
    <row r="15161" ht="26.25" customHeight="1"/>
    <row r="15162" ht="26.25" customHeight="1"/>
    <row r="15163" ht="26.25" customHeight="1"/>
    <row r="15164" ht="26.25" customHeight="1"/>
    <row r="15165" ht="26.25" customHeight="1"/>
    <row r="15166" ht="26.25" customHeight="1"/>
    <row r="15167" ht="26.25" customHeight="1"/>
    <row r="15168" ht="26.25" customHeight="1"/>
    <row r="15169" ht="26.25" customHeight="1"/>
    <row r="15170" ht="26.25" customHeight="1"/>
    <row r="15171" ht="26.25" customHeight="1"/>
    <row r="15172" ht="26.25" customHeight="1"/>
    <row r="15173" ht="26.25" customHeight="1"/>
    <row r="15174" ht="26.25" customHeight="1"/>
    <row r="15175" ht="26.25" customHeight="1"/>
    <row r="15176" ht="26.25" customHeight="1"/>
    <row r="15177" ht="26.25" customHeight="1"/>
    <row r="15178" ht="26.25" customHeight="1"/>
    <row r="15179" ht="26.25" customHeight="1"/>
    <row r="15180" ht="26.25" customHeight="1"/>
    <row r="15181" ht="26.25" customHeight="1"/>
    <row r="15182" ht="26.25" customHeight="1"/>
    <row r="15183" ht="26.25" customHeight="1"/>
    <row r="15184" ht="26.25" customHeight="1"/>
    <row r="15185" ht="26.25" customHeight="1"/>
    <row r="15186" ht="26.25" customHeight="1"/>
    <row r="15187" ht="26.25" customHeight="1"/>
    <row r="15188" ht="26.25" customHeight="1"/>
    <row r="15189" ht="26.25" customHeight="1"/>
    <row r="15190" ht="26.25" customHeight="1"/>
    <row r="15191" ht="26.25" customHeight="1"/>
    <row r="15192" ht="26.25" customHeight="1"/>
    <row r="15193" ht="26.25" customHeight="1"/>
    <row r="15194" ht="26.25" customHeight="1"/>
    <row r="15195" ht="26.25" customHeight="1"/>
    <row r="15196" ht="26.25" customHeight="1"/>
    <row r="15197" ht="26.25" customHeight="1"/>
    <row r="15198" ht="26.25" customHeight="1"/>
    <row r="15199" ht="26.25" customHeight="1"/>
    <row r="15200" ht="26.25" customHeight="1"/>
    <row r="15201" ht="26.25" customHeight="1"/>
    <row r="15202" ht="26.25" customHeight="1"/>
    <row r="15203" ht="26.25" customHeight="1"/>
    <row r="15204" ht="26.25" customHeight="1"/>
    <row r="15205" ht="26.25" customHeight="1"/>
    <row r="15206" ht="26.25" customHeight="1"/>
    <row r="15207" ht="26.25" customHeight="1"/>
    <row r="15208" ht="26.25" customHeight="1"/>
    <row r="15209" ht="26.25" customHeight="1"/>
    <row r="15210" ht="26.25" customHeight="1"/>
    <row r="15211" ht="26.25" customHeight="1"/>
    <row r="15212" ht="26.25" customHeight="1"/>
    <row r="15213" ht="26.25" customHeight="1"/>
    <row r="15214" ht="26.25" customHeight="1"/>
    <row r="15215" ht="26.25" customHeight="1"/>
    <row r="15216" ht="26.25" customHeight="1"/>
    <row r="15217" ht="26.25" customHeight="1"/>
    <row r="15218" ht="26.25" customHeight="1"/>
    <row r="15219" ht="26.25" customHeight="1"/>
    <row r="15220" ht="26.25" customHeight="1"/>
    <row r="15221" ht="26.25" customHeight="1"/>
    <row r="15222" ht="26.25" customHeight="1"/>
    <row r="15223" ht="26.25" customHeight="1"/>
    <row r="15224" ht="26.25" customHeight="1"/>
    <row r="15225" ht="26.25" customHeight="1"/>
    <row r="15226" ht="26.25" customHeight="1"/>
    <row r="15227" ht="26.25" customHeight="1"/>
    <row r="15228" ht="26.25" customHeight="1"/>
    <row r="15229" ht="26.25" customHeight="1"/>
    <row r="15230" ht="26.25" customHeight="1"/>
    <row r="15231" ht="26.25" customHeight="1"/>
    <row r="15232" ht="26.25" customHeight="1"/>
    <row r="15233" ht="26.25" customHeight="1"/>
    <row r="15234" ht="26.25" customHeight="1"/>
    <row r="15235" ht="26.25" customHeight="1"/>
    <row r="15236" ht="26.25" customHeight="1"/>
    <row r="15237" ht="26.25" customHeight="1"/>
    <row r="15238" ht="26.25" customHeight="1"/>
    <row r="15239" ht="26.25" customHeight="1"/>
    <row r="15240" ht="26.25" customHeight="1"/>
    <row r="15241" ht="26.25" customHeight="1"/>
    <row r="15242" ht="26.25" customHeight="1"/>
    <row r="15243" ht="26.25" customHeight="1"/>
    <row r="15244" ht="26.25" customHeight="1"/>
    <row r="15245" ht="26.25" customHeight="1"/>
    <row r="15246" ht="26.25" customHeight="1"/>
    <row r="15247" ht="26.25" customHeight="1"/>
    <row r="15248" ht="26.25" customHeight="1"/>
    <row r="15249" ht="26.25" customHeight="1"/>
    <row r="15250" ht="26.25" customHeight="1"/>
    <row r="15251" ht="26.25" customHeight="1"/>
    <row r="15252" ht="26.25" customHeight="1"/>
    <row r="15253" ht="26.25" customHeight="1"/>
    <row r="15254" ht="26.25" customHeight="1"/>
    <row r="15255" ht="26.25" customHeight="1"/>
    <row r="15256" ht="26.25" customHeight="1"/>
    <row r="15257" ht="26.25" customHeight="1"/>
    <row r="15258" ht="26.25" customHeight="1"/>
    <row r="15259" ht="26.25" customHeight="1"/>
    <row r="15260" ht="26.25" customHeight="1"/>
    <row r="15261" ht="26.25" customHeight="1"/>
    <row r="15262" ht="26.25" customHeight="1"/>
    <row r="15263" ht="26.25" customHeight="1"/>
    <row r="15264" ht="26.25" customHeight="1"/>
    <row r="15265" ht="26.25" customHeight="1"/>
    <row r="15266" ht="26.25" customHeight="1"/>
    <row r="15267" ht="26.25" customHeight="1"/>
    <row r="15268" ht="26.25" customHeight="1"/>
    <row r="15269" ht="26.25" customHeight="1"/>
    <row r="15270" ht="26.25" customHeight="1"/>
    <row r="15271" ht="26.25" customHeight="1"/>
    <row r="15272" ht="26.25" customHeight="1"/>
    <row r="15273" ht="26.25" customHeight="1"/>
    <row r="15274" ht="26.25" customHeight="1"/>
    <row r="15275" ht="26.25" customHeight="1"/>
    <row r="15276" ht="26.25" customHeight="1"/>
    <row r="15277" ht="26.25" customHeight="1"/>
    <row r="15278" ht="26.25" customHeight="1"/>
    <row r="15279" ht="26.25" customHeight="1"/>
    <row r="15280" ht="26.25" customHeight="1"/>
    <row r="15281" ht="26.25" customHeight="1"/>
    <row r="15282" ht="26.25" customHeight="1"/>
    <row r="15283" ht="26.25" customHeight="1"/>
    <row r="15284" ht="26.25" customHeight="1"/>
    <row r="15285" ht="26.25" customHeight="1"/>
    <row r="15286" ht="26.25" customHeight="1"/>
    <row r="15287" ht="26.25" customHeight="1"/>
    <row r="15288" ht="26.25" customHeight="1"/>
    <row r="15289" ht="26.25" customHeight="1"/>
    <row r="15290" ht="26.25" customHeight="1"/>
    <row r="15291" ht="26.25" customHeight="1"/>
    <row r="15292" ht="26.25" customHeight="1"/>
    <row r="15293" ht="26.25" customHeight="1"/>
    <row r="15294" ht="26.25" customHeight="1"/>
    <row r="15295" ht="26.25" customHeight="1"/>
    <row r="15296" ht="26.25" customHeight="1"/>
    <row r="15297" ht="26.25" customHeight="1"/>
    <row r="15298" ht="26.25" customHeight="1"/>
    <row r="15299" ht="26.25" customHeight="1"/>
    <row r="15300" ht="26.25" customHeight="1"/>
    <row r="15301" ht="26.25" customHeight="1"/>
    <row r="15302" ht="26.25" customHeight="1"/>
    <row r="15303" ht="26.25" customHeight="1"/>
    <row r="15304" ht="26.25" customHeight="1"/>
    <row r="15305" ht="26.25" customHeight="1"/>
    <row r="15306" ht="26.25" customHeight="1"/>
    <row r="15307" ht="26.25" customHeight="1"/>
    <row r="15308" ht="26.25" customHeight="1"/>
    <row r="15309" ht="26.25" customHeight="1"/>
    <row r="15310" ht="26.25" customHeight="1"/>
    <row r="15311" ht="26.25" customHeight="1"/>
    <row r="15312" ht="26.25" customHeight="1"/>
    <row r="15313" ht="26.25" customHeight="1"/>
    <row r="15314" ht="26.25" customHeight="1"/>
    <row r="15315" ht="26.25" customHeight="1"/>
    <row r="15316" ht="26.25" customHeight="1"/>
    <row r="15317" ht="26.25" customHeight="1"/>
    <row r="15318" ht="26.25" customHeight="1"/>
    <row r="15319" ht="26.25" customHeight="1"/>
    <row r="15320" ht="26.25" customHeight="1"/>
    <row r="15321" ht="26.25" customHeight="1"/>
    <row r="15322" ht="26.25" customHeight="1"/>
    <row r="15323" ht="26.25" customHeight="1"/>
    <row r="15324" ht="26.25" customHeight="1"/>
    <row r="15325" ht="26.25" customHeight="1"/>
    <row r="15326" ht="26.25" customHeight="1"/>
    <row r="15327" ht="26.25" customHeight="1"/>
    <row r="15328" ht="26.25" customHeight="1"/>
    <row r="15329" ht="26.25" customHeight="1"/>
    <row r="15330" ht="26.25" customHeight="1"/>
    <row r="15331" ht="26.25" customHeight="1"/>
    <row r="15332" ht="26.25" customHeight="1"/>
    <row r="15333" ht="26.25" customHeight="1"/>
    <row r="15334" ht="26.25" customHeight="1"/>
    <row r="15335" ht="26.25" customHeight="1"/>
    <row r="15336" ht="26.25" customHeight="1"/>
    <row r="15337" ht="26.25" customHeight="1"/>
    <row r="15338" ht="26.25" customHeight="1"/>
    <row r="15339" ht="26.25" customHeight="1"/>
    <row r="15340" ht="26.25" customHeight="1"/>
    <row r="15341" ht="26.25" customHeight="1"/>
    <row r="15342" ht="26.25" customHeight="1"/>
    <row r="15343" ht="26.25" customHeight="1"/>
    <row r="15344" ht="26.25" customHeight="1"/>
    <row r="15345" ht="26.25" customHeight="1"/>
    <row r="15346" ht="26.25" customHeight="1"/>
    <row r="15347" ht="26.25" customHeight="1"/>
    <row r="15348" ht="26.25" customHeight="1"/>
    <row r="15349" ht="26.25" customHeight="1"/>
    <row r="15350" ht="26.25" customHeight="1"/>
    <row r="15351" ht="26.25" customHeight="1"/>
    <row r="15352" ht="26.25" customHeight="1"/>
    <row r="15353" ht="26.25" customHeight="1"/>
    <row r="15354" ht="26.25" customHeight="1"/>
    <row r="15355" ht="26.25" customHeight="1"/>
    <row r="15356" ht="26.25" customHeight="1"/>
    <row r="15357" ht="26.25" customHeight="1"/>
    <row r="15358" ht="26.25" customHeight="1"/>
    <row r="15359" ht="26.25" customHeight="1"/>
    <row r="15360" ht="26.25" customHeight="1"/>
    <row r="15361" ht="26.25" customHeight="1"/>
    <row r="15362" ht="26.25" customHeight="1"/>
    <row r="15363" ht="26.25" customHeight="1"/>
    <row r="15364" ht="26.25" customHeight="1"/>
    <row r="15365" ht="26.25" customHeight="1"/>
    <row r="15366" ht="26.25" customHeight="1"/>
    <row r="15367" ht="26.25" customHeight="1"/>
    <row r="15368" ht="26.25" customHeight="1"/>
    <row r="15369" ht="26.25" customHeight="1"/>
    <row r="15370" ht="26.25" customHeight="1"/>
    <row r="15371" ht="26.25" customHeight="1"/>
    <row r="15372" ht="26.25" customHeight="1"/>
    <row r="15373" ht="26.25" customHeight="1"/>
    <row r="15374" ht="26.25" customHeight="1"/>
    <row r="15375" ht="26.25" customHeight="1"/>
    <row r="15376" ht="26.25" customHeight="1"/>
    <row r="15377" ht="26.25" customHeight="1"/>
    <row r="15378" ht="26.25" customHeight="1"/>
    <row r="15379" ht="26.25" customHeight="1"/>
    <row r="15380" ht="26.25" customHeight="1"/>
    <row r="15381" ht="26.25" customHeight="1"/>
    <row r="15382" ht="26.25" customHeight="1"/>
    <row r="15383" ht="26.25" customHeight="1"/>
    <row r="15384" ht="26.25" customHeight="1"/>
    <row r="15385" ht="26.25" customHeight="1"/>
    <row r="15386" ht="26.25" customHeight="1"/>
    <row r="15387" ht="26.25" customHeight="1"/>
    <row r="15388" ht="26.25" customHeight="1"/>
    <row r="15389" ht="26.25" customHeight="1"/>
    <row r="15390" ht="26.25" customHeight="1"/>
    <row r="15391" ht="26.25" customHeight="1"/>
    <row r="15392" ht="26.25" customHeight="1"/>
    <row r="15393" ht="26.25" customHeight="1"/>
    <row r="15394" ht="26.25" customHeight="1"/>
    <row r="15395" ht="26.25" customHeight="1"/>
    <row r="15396" ht="26.25" customHeight="1"/>
    <row r="15397" ht="26.25" customHeight="1"/>
    <row r="15398" ht="26.25" customHeight="1"/>
    <row r="15399" ht="26.25" customHeight="1"/>
    <row r="15400" ht="26.25" customHeight="1"/>
    <row r="15401" ht="26.25" customHeight="1"/>
    <row r="15402" ht="26.25" customHeight="1"/>
    <row r="15403" ht="26.25" customHeight="1"/>
    <row r="15404" ht="26.25" customHeight="1"/>
    <row r="15405" ht="26.25" customHeight="1"/>
    <row r="15406" ht="26.25" customHeight="1"/>
    <row r="15407" ht="26.25" customHeight="1"/>
    <row r="15408" ht="26.25" customHeight="1"/>
    <row r="15409" ht="26.25" customHeight="1"/>
    <row r="15410" ht="26.25" customHeight="1"/>
    <row r="15411" ht="26.25" customHeight="1"/>
    <row r="15412" ht="26.25" customHeight="1"/>
    <row r="15413" ht="26.25" customHeight="1"/>
    <row r="15414" ht="26.25" customHeight="1"/>
    <row r="15415" ht="26.25" customHeight="1"/>
    <row r="15416" ht="26.25" customHeight="1"/>
    <row r="15417" ht="26.25" customHeight="1"/>
    <row r="15418" ht="26.25" customHeight="1"/>
    <row r="15419" ht="26.25" customHeight="1"/>
    <row r="15420" ht="26.25" customHeight="1"/>
    <row r="15421" ht="26.25" customHeight="1"/>
    <row r="15422" ht="26.25" customHeight="1"/>
    <row r="15423" ht="26.25" customHeight="1"/>
    <row r="15424" ht="26.25" customHeight="1"/>
    <row r="15425" ht="26.25" customHeight="1"/>
    <row r="15426" ht="26.25" customHeight="1"/>
    <row r="15427" ht="26.25" customHeight="1"/>
    <row r="15428" ht="26.25" customHeight="1"/>
    <row r="15429" ht="26.25" customHeight="1"/>
    <row r="15430" ht="26.25" customHeight="1"/>
    <row r="15431" ht="26.25" customHeight="1"/>
    <row r="15432" ht="26.25" customHeight="1"/>
    <row r="15433" ht="26.25" customHeight="1"/>
    <row r="15434" ht="26.25" customHeight="1"/>
    <row r="15435" ht="26.25" customHeight="1"/>
    <row r="15436" ht="26.25" customHeight="1"/>
    <row r="15437" ht="26.25" customHeight="1"/>
    <row r="15438" ht="26.25" customHeight="1"/>
    <row r="15439" ht="26.25" customHeight="1"/>
    <row r="15440" ht="26.25" customHeight="1"/>
    <row r="15441" ht="26.25" customHeight="1"/>
    <row r="15442" ht="26.25" customHeight="1"/>
    <row r="15443" ht="26.25" customHeight="1"/>
    <row r="15444" ht="26.25" customHeight="1"/>
    <row r="15445" ht="26.25" customHeight="1"/>
    <row r="15446" ht="26.25" customHeight="1"/>
    <row r="15447" ht="26.25" customHeight="1"/>
    <row r="15448" ht="26.25" customHeight="1"/>
    <row r="15449" ht="26.25" customHeight="1"/>
    <row r="15450" ht="26.25" customHeight="1"/>
    <row r="15451" ht="26.25" customHeight="1"/>
    <row r="15452" ht="26.25" customHeight="1"/>
    <row r="15453" ht="26.25" customHeight="1"/>
    <row r="15454" ht="26.25" customHeight="1"/>
    <row r="15455" ht="26.25" customHeight="1"/>
    <row r="15456" ht="26.25" customHeight="1"/>
    <row r="15457" ht="26.25" customHeight="1"/>
    <row r="15458" ht="26.25" customHeight="1"/>
    <row r="15459" ht="26.25" customHeight="1"/>
    <row r="15460" ht="26.25" customHeight="1"/>
    <row r="15461" ht="26.25" customHeight="1"/>
    <row r="15462" ht="26.25" customHeight="1"/>
    <row r="15463" ht="26.25" customHeight="1"/>
    <row r="15464" ht="26.25" customHeight="1"/>
    <row r="15465" ht="26.25" customHeight="1"/>
    <row r="15466" ht="26.25" customHeight="1"/>
    <row r="15467" ht="26.25" customHeight="1"/>
    <row r="15468" ht="26.25" customHeight="1"/>
    <row r="15469" ht="26.25" customHeight="1"/>
    <row r="15470" ht="26.25" customHeight="1"/>
    <row r="15471" ht="26.25" customHeight="1"/>
    <row r="15472" ht="26.25" customHeight="1"/>
    <row r="15473" ht="26.25" customHeight="1"/>
    <row r="15474" ht="26.25" customHeight="1"/>
    <row r="15475" ht="26.25" customHeight="1"/>
    <row r="15476" ht="26.25" customHeight="1"/>
    <row r="15477" ht="26.25" customHeight="1"/>
    <row r="15478" ht="26.25" customHeight="1"/>
    <row r="15479" ht="26.25" customHeight="1"/>
    <row r="15480" ht="26.25" customHeight="1"/>
    <row r="15481" ht="26.25" customHeight="1"/>
    <row r="15482" ht="26.25" customHeight="1"/>
    <row r="15483" ht="26.25" customHeight="1"/>
    <row r="15484" ht="26.25" customHeight="1"/>
    <row r="15485" ht="26.25" customHeight="1"/>
    <row r="15486" ht="26.25" customHeight="1"/>
    <row r="15487" ht="26.25" customHeight="1"/>
    <row r="15488" ht="26.25" customHeight="1"/>
    <row r="15489" ht="26.25" customHeight="1"/>
    <row r="15490" ht="26.25" customHeight="1"/>
    <row r="15491" ht="26.25" customHeight="1"/>
    <row r="15492" ht="26.25" customHeight="1"/>
    <row r="15493" ht="26.25" customHeight="1"/>
    <row r="15494" ht="26.25" customHeight="1"/>
    <row r="15495" ht="26.25" customHeight="1"/>
    <row r="15496" ht="26.25" customHeight="1"/>
    <row r="15497" ht="26.25" customHeight="1"/>
    <row r="15498" ht="26.25" customHeight="1"/>
    <row r="15499" ht="26.25" customHeight="1"/>
    <row r="15500" ht="26.25" customHeight="1"/>
    <row r="15501" ht="26.25" customHeight="1"/>
    <row r="15502" ht="26.25" customHeight="1"/>
    <row r="15503" ht="26.25" customHeight="1"/>
    <row r="15504" ht="26.25" customHeight="1"/>
    <row r="15505" ht="26.25" customHeight="1"/>
    <row r="15506" ht="26.25" customHeight="1"/>
    <row r="15507" ht="26.25" customHeight="1"/>
    <row r="15508" ht="26.25" customHeight="1"/>
    <row r="15509" ht="26.25" customHeight="1"/>
    <row r="15510" ht="26.25" customHeight="1"/>
    <row r="15511" ht="26.25" customHeight="1"/>
    <row r="15512" ht="26.25" customHeight="1"/>
    <row r="15513" ht="26.25" customHeight="1"/>
    <row r="15514" ht="26.25" customHeight="1"/>
    <row r="15515" ht="26.25" customHeight="1"/>
    <row r="15516" ht="26.25" customHeight="1"/>
    <row r="15517" ht="26.25" customHeight="1"/>
    <row r="15518" ht="26.25" customHeight="1"/>
    <row r="15519" ht="26.25" customHeight="1"/>
    <row r="15520" ht="26.25" customHeight="1"/>
    <row r="15521" ht="26.25" customHeight="1"/>
    <row r="15522" ht="26.25" customHeight="1"/>
    <row r="15523" ht="26.25" customHeight="1"/>
    <row r="15524" ht="26.25" customHeight="1"/>
    <row r="15525" ht="26.25" customHeight="1"/>
    <row r="15526" ht="26.25" customHeight="1"/>
    <row r="15527" ht="26.25" customHeight="1"/>
    <row r="15528" ht="26.25" customHeight="1"/>
    <row r="15529" ht="26.25" customHeight="1"/>
    <row r="15530" ht="26.25" customHeight="1"/>
    <row r="15531" ht="26.25" customHeight="1"/>
    <row r="15532" ht="26.25" customHeight="1"/>
    <row r="15533" ht="26.25" customHeight="1"/>
    <row r="15534" ht="26.25" customHeight="1"/>
    <row r="15535" ht="26.25" customHeight="1"/>
    <row r="15536" ht="26.25" customHeight="1"/>
    <row r="15537" ht="26.25" customHeight="1"/>
    <row r="15538" ht="26.25" customHeight="1"/>
    <row r="15539" ht="26.25" customHeight="1"/>
    <row r="15540" ht="26.25" customHeight="1"/>
    <row r="15541" ht="26.25" customHeight="1"/>
    <row r="15542" ht="26.25" customHeight="1"/>
    <row r="15543" ht="26.25" customHeight="1"/>
    <row r="15544" ht="26.25" customHeight="1"/>
    <row r="15545" ht="26.25" customHeight="1"/>
    <row r="15546" ht="26.25" customHeight="1"/>
    <row r="15547" ht="26.25" customHeight="1"/>
    <row r="15548" ht="26.25" customHeight="1"/>
    <row r="15549" ht="26.25" customHeight="1"/>
    <row r="15550" ht="26.25" customHeight="1"/>
    <row r="15551" ht="26.25" customHeight="1"/>
    <row r="15552" ht="26.25" customHeight="1"/>
    <row r="15553" ht="26.25" customHeight="1"/>
    <row r="15554" ht="26.25" customHeight="1"/>
    <row r="15555" ht="26.25" customHeight="1"/>
    <row r="15556" ht="26.25" customHeight="1"/>
    <row r="15557" ht="26.25" customHeight="1"/>
    <row r="15558" ht="26.25" customHeight="1"/>
    <row r="15559" ht="26.25" customHeight="1"/>
    <row r="15560" ht="26.25" customHeight="1"/>
    <row r="15561" ht="26.25" customHeight="1"/>
    <row r="15562" ht="26.25" customHeight="1"/>
    <row r="15563" ht="26.25" customHeight="1"/>
    <row r="15564" ht="26.25" customHeight="1"/>
    <row r="15565" ht="26.25" customHeight="1"/>
    <row r="15566" ht="26.25" customHeight="1"/>
    <row r="15567" ht="26.25" customHeight="1"/>
    <row r="15568" ht="26.25" customHeight="1"/>
    <row r="15569" ht="26.25" customHeight="1"/>
    <row r="15570" ht="26.25" customHeight="1"/>
    <row r="15571" ht="26.25" customHeight="1"/>
    <row r="15572" ht="26.25" customHeight="1"/>
    <row r="15573" ht="26.25" customHeight="1"/>
    <row r="15574" ht="26.25" customHeight="1"/>
    <row r="15575" ht="26.25" customHeight="1"/>
    <row r="15576" ht="26.25" customHeight="1"/>
    <row r="15577" ht="26.25" customHeight="1"/>
    <row r="15578" ht="26.25" customHeight="1"/>
    <row r="15579" ht="26.25" customHeight="1"/>
    <row r="15580" ht="26.25" customHeight="1"/>
    <row r="15581" ht="26.25" customHeight="1"/>
    <row r="15582" ht="26.25" customHeight="1"/>
    <row r="15583" ht="26.25" customHeight="1"/>
    <row r="15584" ht="26.25" customHeight="1"/>
    <row r="15585" ht="26.25" customHeight="1"/>
    <row r="15586" ht="26.25" customHeight="1"/>
    <row r="15587" ht="26.25" customHeight="1"/>
    <row r="15588" ht="26.25" customHeight="1"/>
    <row r="15589" ht="26.25" customHeight="1"/>
    <row r="15590" ht="26.25" customHeight="1"/>
    <row r="15591" ht="26.25" customHeight="1"/>
    <row r="15592" ht="26.25" customHeight="1"/>
    <row r="15593" ht="26.25" customHeight="1"/>
    <row r="15594" ht="26.25" customHeight="1"/>
    <row r="15595" ht="26.25" customHeight="1"/>
    <row r="15596" ht="26.25" customHeight="1"/>
    <row r="15597" ht="26.25" customHeight="1"/>
    <row r="15598" ht="26.25" customHeight="1"/>
    <row r="15599" ht="26.25" customHeight="1"/>
    <row r="15600" ht="26.25" customHeight="1"/>
    <row r="15601" ht="26.25" customHeight="1"/>
    <row r="15602" ht="26.25" customHeight="1"/>
    <row r="15603" ht="26.25" customHeight="1"/>
    <row r="15604" ht="26.25" customHeight="1"/>
    <row r="15605" ht="26.25" customHeight="1"/>
    <row r="15606" ht="26.25" customHeight="1"/>
    <row r="15607" ht="26.25" customHeight="1"/>
    <row r="15608" ht="26.25" customHeight="1"/>
    <row r="15609" ht="26.25" customHeight="1"/>
    <row r="15610" ht="26.25" customHeight="1"/>
    <row r="15611" ht="26.25" customHeight="1"/>
    <row r="15612" ht="26.25" customHeight="1"/>
    <row r="15613" ht="26.25" customHeight="1"/>
    <row r="15614" ht="26.25" customHeight="1"/>
    <row r="15615" ht="26.25" customHeight="1"/>
    <row r="15616" ht="26.25" customHeight="1"/>
    <row r="15617" ht="26.25" customHeight="1"/>
    <row r="15618" ht="26.25" customHeight="1"/>
    <row r="15619" ht="26.25" customHeight="1"/>
    <row r="15620" ht="26.25" customHeight="1"/>
    <row r="15621" ht="26.25" customHeight="1"/>
    <row r="15622" ht="26.25" customHeight="1"/>
    <row r="15623" ht="26.25" customHeight="1"/>
    <row r="15624" ht="26.25" customHeight="1"/>
    <row r="15625" ht="26.25" customHeight="1"/>
    <row r="15626" ht="26.25" customHeight="1"/>
    <row r="15627" ht="26.25" customHeight="1"/>
    <row r="15628" ht="26.25" customHeight="1"/>
    <row r="15629" ht="26.25" customHeight="1"/>
    <row r="15630" ht="26.25" customHeight="1"/>
    <row r="15631" ht="26.25" customHeight="1"/>
    <row r="15632" ht="26.25" customHeight="1"/>
    <row r="15633" ht="26.25" customHeight="1"/>
    <row r="15634" ht="26.25" customHeight="1"/>
    <row r="15635" ht="26.25" customHeight="1"/>
    <row r="15636" ht="26.25" customHeight="1"/>
    <row r="15637" ht="26.25" customHeight="1"/>
    <row r="15638" ht="26.25" customHeight="1"/>
    <row r="15639" ht="26.25" customHeight="1"/>
    <row r="15640" ht="26.25" customHeight="1"/>
    <row r="15641" ht="26.25" customHeight="1"/>
    <row r="15642" ht="26.25" customHeight="1"/>
    <row r="15643" ht="26.25" customHeight="1"/>
    <row r="15644" ht="26.25" customHeight="1"/>
    <row r="15645" ht="26.25" customHeight="1"/>
    <row r="15646" ht="26.25" customHeight="1"/>
    <row r="15647" ht="26.25" customHeight="1"/>
    <row r="15648" ht="26.25" customHeight="1"/>
    <row r="15649" ht="26.25" customHeight="1"/>
    <row r="15650" ht="26.25" customHeight="1"/>
    <row r="15651" ht="26.25" customHeight="1"/>
    <row r="15652" ht="26.25" customHeight="1"/>
    <row r="15653" ht="26.25" customHeight="1"/>
    <row r="15654" ht="26.25" customHeight="1"/>
    <row r="15655" ht="26.25" customHeight="1"/>
    <row r="15656" ht="26.25" customHeight="1"/>
    <row r="15657" ht="26.25" customHeight="1"/>
    <row r="15658" ht="26.25" customHeight="1"/>
    <row r="15659" ht="26.25" customHeight="1"/>
    <row r="15660" ht="26.25" customHeight="1"/>
    <row r="15661" ht="26.25" customHeight="1"/>
    <row r="15662" ht="26.25" customHeight="1"/>
    <row r="15663" ht="26.25" customHeight="1"/>
    <row r="15664" ht="26.25" customHeight="1"/>
    <row r="15665" ht="26.25" customHeight="1"/>
    <row r="15666" ht="26.25" customHeight="1"/>
    <row r="15667" ht="26.25" customHeight="1"/>
    <row r="15668" ht="26.25" customHeight="1"/>
    <row r="15669" ht="26.25" customHeight="1"/>
    <row r="15670" ht="26.25" customHeight="1"/>
    <row r="15671" ht="26.25" customHeight="1"/>
    <row r="15672" ht="26.25" customHeight="1"/>
    <row r="15673" ht="26.25" customHeight="1"/>
    <row r="15674" ht="26.25" customHeight="1"/>
    <row r="15675" ht="26.25" customHeight="1"/>
    <row r="15676" ht="26.25" customHeight="1"/>
    <row r="15677" ht="26.25" customHeight="1"/>
    <row r="15678" ht="26.25" customHeight="1"/>
    <row r="15679" ht="26.25" customHeight="1"/>
    <row r="15680" ht="26.25" customHeight="1"/>
    <row r="15681" ht="26.25" customHeight="1"/>
    <row r="15682" ht="26.25" customHeight="1"/>
    <row r="15683" ht="26.25" customHeight="1"/>
    <row r="15684" ht="26.25" customHeight="1"/>
    <row r="15685" ht="26.25" customHeight="1"/>
    <row r="15686" ht="26.25" customHeight="1"/>
    <row r="15687" ht="26.25" customHeight="1"/>
    <row r="15688" ht="26.25" customHeight="1"/>
    <row r="15689" ht="26.25" customHeight="1"/>
    <row r="15690" ht="26.25" customHeight="1"/>
    <row r="15691" ht="26.25" customHeight="1"/>
    <row r="15692" ht="26.25" customHeight="1"/>
    <row r="15693" ht="26.25" customHeight="1"/>
    <row r="15694" ht="26.25" customHeight="1"/>
    <row r="15695" ht="26.25" customHeight="1"/>
    <row r="15696" ht="26.25" customHeight="1"/>
    <row r="15697" ht="26.25" customHeight="1"/>
    <row r="15698" ht="26.25" customHeight="1"/>
    <row r="15699" ht="26.25" customHeight="1"/>
    <row r="15700" ht="26.25" customHeight="1"/>
    <row r="15701" ht="26.25" customHeight="1"/>
    <row r="15702" ht="26.25" customHeight="1"/>
    <row r="15703" ht="26.25" customHeight="1"/>
    <row r="15704" ht="26.25" customHeight="1"/>
    <row r="15705" ht="26.25" customHeight="1"/>
    <row r="15706" ht="26.25" customHeight="1"/>
    <row r="15707" ht="26.25" customHeight="1"/>
    <row r="15708" ht="26.25" customHeight="1"/>
    <row r="15709" ht="26.25" customHeight="1"/>
    <row r="15710" ht="26.25" customHeight="1"/>
    <row r="15711" ht="26.25" customHeight="1"/>
    <row r="15712" ht="26.25" customHeight="1"/>
    <row r="15713" ht="26.25" customHeight="1"/>
    <row r="15714" ht="26.25" customHeight="1"/>
    <row r="15715" ht="26.25" customHeight="1"/>
    <row r="15716" ht="26.25" customHeight="1"/>
    <row r="15717" ht="26.25" customHeight="1"/>
    <row r="15718" ht="26.25" customHeight="1"/>
    <row r="15719" ht="26.25" customHeight="1"/>
    <row r="15720" ht="26.25" customHeight="1"/>
    <row r="15721" ht="26.25" customHeight="1"/>
    <row r="15722" ht="26.25" customHeight="1"/>
    <row r="15723" ht="26.25" customHeight="1"/>
    <row r="15724" ht="26.25" customHeight="1"/>
    <row r="15725" ht="26.25" customHeight="1"/>
    <row r="15726" ht="26.25" customHeight="1"/>
    <row r="15727" ht="26.25" customHeight="1"/>
    <row r="15728" ht="26.25" customHeight="1"/>
    <row r="15729" ht="26.25" customHeight="1"/>
    <row r="15730" ht="26.25" customHeight="1"/>
    <row r="15731" ht="26.25" customHeight="1"/>
    <row r="15732" ht="26.25" customHeight="1"/>
    <row r="15733" ht="26.25" customHeight="1"/>
    <row r="15734" ht="26.25" customHeight="1"/>
    <row r="15735" ht="26.25" customHeight="1"/>
    <row r="15736" ht="26.25" customHeight="1"/>
    <row r="15737" ht="26.25" customHeight="1"/>
    <row r="15738" ht="26.25" customHeight="1"/>
    <row r="15739" ht="26.25" customHeight="1"/>
    <row r="15740" ht="26.25" customHeight="1"/>
    <row r="15741" ht="26.25" customHeight="1"/>
    <row r="15742" ht="26.25" customHeight="1"/>
    <row r="15743" ht="26.25" customHeight="1"/>
    <row r="15744" ht="26.25" customHeight="1"/>
    <row r="15745" ht="26.25" customHeight="1"/>
    <row r="15746" ht="26.25" customHeight="1"/>
    <row r="15747" ht="26.25" customHeight="1"/>
    <row r="15748" ht="26.25" customHeight="1"/>
    <row r="15749" ht="26.25" customHeight="1"/>
    <row r="15750" ht="26.25" customHeight="1"/>
    <row r="15751" ht="26.25" customHeight="1"/>
    <row r="15752" ht="26.25" customHeight="1"/>
    <row r="15753" ht="26.25" customHeight="1"/>
    <row r="15754" ht="26.25" customHeight="1"/>
    <row r="15755" ht="26.25" customHeight="1"/>
    <row r="15756" ht="26.25" customHeight="1"/>
    <row r="15757" ht="26.25" customHeight="1"/>
    <row r="15758" ht="26.25" customHeight="1"/>
    <row r="15759" ht="26.25" customHeight="1"/>
    <row r="15760" ht="26.25" customHeight="1"/>
    <row r="15761" ht="26.25" customHeight="1"/>
    <row r="15762" ht="26.25" customHeight="1"/>
    <row r="15763" ht="26.25" customHeight="1"/>
    <row r="15764" ht="26.25" customHeight="1"/>
    <row r="15765" ht="26.25" customHeight="1"/>
    <row r="15766" ht="26.25" customHeight="1"/>
    <row r="15767" ht="26.25" customHeight="1"/>
    <row r="15768" ht="26.25" customHeight="1"/>
    <row r="15769" ht="26.25" customHeight="1"/>
    <row r="15770" ht="26.25" customHeight="1"/>
    <row r="15771" ht="26.25" customHeight="1"/>
    <row r="15772" ht="26.25" customHeight="1"/>
    <row r="15773" ht="26.25" customHeight="1"/>
    <row r="15774" ht="26.25" customHeight="1"/>
    <row r="15775" ht="26.25" customHeight="1"/>
    <row r="15776" ht="26.25" customHeight="1"/>
    <row r="15777" ht="26.25" customHeight="1"/>
    <row r="15778" ht="26.25" customHeight="1"/>
    <row r="15779" ht="26.25" customHeight="1"/>
    <row r="15780" ht="26.25" customHeight="1"/>
    <row r="15781" ht="26.25" customHeight="1"/>
    <row r="15782" ht="26.25" customHeight="1"/>
    <row r="15783" ht="26.25" customHeight="1"/>
    <row r="15784" ht="26.25" customHeight="1"/>
    <row r="15785" ht="26.25" customHeight="1"/>
    <row r="15786" ht="26.25" customHeight="1"/>
    <row r="15787" ht="26.25" customHeight="1"/>
    <row r="15788" ht="26.25" customHeight="1"/>
    <row r="15789" ht="26.25" customHeight="1"/>
    <row r="15790" ht="26.25" customHeight="1"/>
    <row r="15791" ht="26.25" customHeight="1"/>
    <row r="15792" ht="26.25" customHeight="1"/>
    <row r="15793" ht="26.25" customHeight="1"/>
    <row r="15794" ht="26.25" customHeight="1"/>
    <row r="15795" ht="26.25" customHeight="1"/>
    <row r="15796" ht="26.25" customHeight="1"/>
    <row r="15797" ht="26.25" customHeight="1"/>
    <row r="15798" ht="26.25" customHeight="1"/>
    <row r="15799" ht="26.25" customHeight="1"/>
    <row r="15800" ht="26.25" customHeight="1"/>
    <row r="15801" ht="26.25" customHeight="1"/>
    <row r="15802" ht="26.25" customHeight="1"/>
    <row r="15803" ht="26.25" customHeight="1"/>
    <row r="15804" ht="26.25" customHeight="1"/>
    <row r="15805" ht="26.25" customHeight="1"/>
    <row r="15806" ht="26.25" customHeight="1"/>
    <row r="15807" ht="26.25" customHeight="1"/>
    <row r="15808" ht="26.25" customHeight="1"/>
    <row r="15809" ht="26.25" customHeight="1"/>
    <row r="15810" ht="26.25" customHeight="1"/>
    <row r="15811" ht="26.25" customHeight="1"/>
    <row r="15812" ht="26.25" customHeight="1"/>
    <row r="15813" ht="26.25" customHeight="1"/>
    <row r="15814" ht="26.25" customHeight="1"/>
    <row r="15815" ht="26.25" customHeight="1"/>
    <row r="15816" ht="26.25" customHeight="1"/>
    <row r="15817" ht="26.25" customHeight="1"/>
    <row r="15818" ht="26.25" customHeight="1"/>
    <row r="15819" ht="26.25" customHeight="1"/>
    <row r="15820" ht="26.25" customHeight="1"/>
    <row r="15821" ht="26.25" customHeight="1"/>
    <row r="15822" ht="26.25" customHeight="1"/>
    <row r="15823" ht="26.25" customHeight="1"/>
    <row r="15824" ht="26.25" customHeight="1"/>
    <row r="15825" ht="26.25" customHeight="1"/>
    <row r="15826" ht="26.25" customHeight="1"/>
    <row r="15827" ht="26.25" customHeight="1"/>
    <row r="15828" ht="26.25" customHeight="1"/>
    <row r="15829" ht="26.25" customHeight="1"/>
    <row r="15830" ht="26.25" customHeight="1"/>
    <row r="15831" ht="26.25" customHeight="1"/>
    <row r="15832" ht="26.25" customHeight="1"/>
    <row r="15833" ht="26.25" customHeight="1"/>
    <row r="15834" ht="26.25" customHeight="1"/>
    <row r="15835" ht="26.25" customHeight="1"/>
    <row r="15836" ht="26.25" customHeight="1"/>
    <row r="15837" ht="26.25" customHeight="1"/>
    <row r="15838" ht="26.25" customHeight="1"/>
    <row r="15839" ht="26.25" customHeight="1"/>
    <row r="15840" ht="26.25" customHeight="1"/>
    <row r="15841" ht="26.25" customHeight="1"/>
    <row r="15842" ht="26.25" customHeight="1"/>
    <row r="15843" ht="26.25" customHeight="1"/>
    <row r="15844" ht="26.25" customHeight="1"/>
    <row r="15845" ht="26.25" customHeight="1"/>
    <row r="15846" ht="26.25" customHeight="1"/>
    <row r="15847" ht="26.25" customHeight="1"/>
    <row r="15848" ht="26.25" customHeight="1"/>
    <row r="15849" ht="26.25" customHeight="1"/>
    <row r="15850" ht="26.25" customHeight="1"/>
    <row r="15851" ht="26.25" customHeight="1"/>
    <row r="15852" ht="26.25" customHeight="1"/>
    <row r="15853" ht="26.25" customHeight="1"/>
    <row r="15854" ht="26.25" customHeight="1"/>
    <row r="15855" ht="26.25" customHeight="1"/>
    <row r="15856" ht="26.25" customHeight="1"/>
    <row r="15857" ht="26.25" customHeight="1"/>
    <row r="15858" ht="26.25" customHeight="1"/>
    <row r="15859" ht="26.25" customHeight="1"/>
    <row r="15860" ht="26.25" customHeight="1"/>
    <row r="15861" ht="26.25" customHeight="1"/>
    <row r="15862" ht="26.25" customHeight="1"/>
    <row r="15863" ht="26.25" customHeight="1"/>
    <row r="15864" ht="26.25" customHeight="1"/>
    <row r="15865" ht="26.25" customHeight="1"/>
    <row r="15866" ht="26.25" customHeight="1"/>
    <row r="15867" ht="26.25" customHeight="1"/>
    <row r="15868" ht="26.25" customHeight="1"/>
    <row r="15869" ht="26.25" customHeight="1"/>
    <row r="15870" ht="26.25" customHeight="1"/>
    <row r="15871" ht="26.25" customHeight="1"/>
    <row r="15872" ht="26.25" customHeight="1"/>
    <row r="15873" ht="26.25" customHeight="1"/>
    <row r="15874" ht="26.25" customHeight="1"/>
    <row r="15875" ht="26.25" customHeight="1"/>
    <row r="15876" ht="26.25" customHeight="1"/>
    <row r="15877" ht="26.25" customHeight="1"/>
    <row r="15878" ht="26.25" customHeight="1"/>
    <row r="15879" ht="26.25" customHeight="1"/>
    <row r="15880" ht="26.25" customHeight="1"/>
    <row r="15881" ht="26.25" customHeight="1"/>
    <row r="15882" ht="26.25" customHeight="1"/>
    <row r="15883" ht="26.25" customHeight="1"/>
    <row r="15884" ht="26.25" customHeight="1"/>
    <row r="15885" ht="26.25" customHeight="1"/>
    <row r="15886" ht="26.25" customHeight="1"/>
    <row r="15887" ht="26.25" customHeight="1"/>
    <row r="15888" ht="26.25" customHeight="1"/>
    <row r="15889" ht="26.25" customHeight="1"/>
    <row r="15890" ht="26.25" customHeight="1"/>
    <row r="15891" ht="26.25" customHeight="1"/>
    <row r="15892" ht="26.25" customHeight="1"/>
    <row r="15893" ht="26.25" customHeight="1"/>
    <row r="15894" ht="26.25" customHeight="1"/>
    <row r="15895" ht="26.25" customHeight="1"/>
    <row r="15896" ht="26.25" customHeight="1"/>
    <row r="15897" ht="26.25" customHeight="1"/>
    <row r="15898" ht="26.25" customHeight="1"/>
    <row r="15899" ht="26.25" customHeight="1"/>
    <row r="15900" ht="26.25" customHeight="1"/>
    <row r="15901" ht="26.25" customHeight="1"/>
    <row r="15902" ht="26.25" customHeight="1"/>
    <row r="15903" ht="26.25" customHeight="1"/>
    <row r="15904" ht="26.25" customHeight="1"/>
    <row r="15905" ht="26.25" customHeight="1"/>
    <row r="15906" ht="26.25" customHeight="1"/>
    <row r="15907" ht="26.25" customHeight="1"/>
    <row r="15908" ht="26.25" customHeight="1"/>
    <row r="15909" ht="26.25" customHeight="1"/>
    <row r="15910" ht="26.25" customHeight="1"/>
    <row r="15911" ht="26.25" customHeight="1"/>
    <row r="15912" ht="26.25" customHeight="1"/>
    <row r="15913" ht="26.25" customHeight="1"/>
    <row r="15914" ht="26.25" customHeight="1"/>
    <row r="15915" ht="26.25" customHeight="1"/>
    <row r="15916" ht="26.25" customHeight="1"/>
    <row r="15917" ht="26.25" customHeight="1"/>
    <row r="15918" ht="26.25" customHeight="1"/>
    <row r="15919" ht="26.25" customHeight="1"/>
    <row r="15920" ht="26.25" customHeight="1"/>
    <row r="15921" ht="26.25" customHeight="1"/>
    <row r="15922" ht="26.25" customHeight="1"/>
    <row r="15923" ht="26.25" customHeight="1"/>
    <row r="15924" ht="26.25" customHeight="1"/>
    <row r="15925" ht="26.25" customHeight="1"/>
    <row r="15926" ht="26.25" customHeight="1"/>
    <row r="15927" ht="26.25" customHeight="1"/>
    <row r="15928" ht="26.25" customHeight="1"/>
    <row r="15929" ht="26.25" customHeight="1"/>
    <row r="15930" ht="26.25" customHeight="1"/>
    <row r="15931" ht="26.25" customHeight="1"/>
    <row r="15932" ht="26.25" customHeight="1"/>
    <row r="15933" ht="26.25" customHeight="1"/>
    <row r="15934" ht="26.25" customHeight="1"/>
    <row r="15935" ht="26.25" customHeight="1"/>
    <row r="15936" ht="26.25" customHeight="1"/>
    <row r="15937" ht="26.25" customHeight="1"/>
    <row r="15938" ht="26.25" customHeight="1"/>
    <row r="15939" ht="26.25" customHeight="1"/>
    <row r="15940" ht="26.25" customHeight="1"/>
    <row r="15941" ht="26.25" customHeight="1"/>
    <row r="15942" ht="26.25" customHeight="1"/>
    <row r="15943" ht="26.25" customHeight="1"/>
    <row r="15944" ht="26.25" customHeight="1"/>
    <row r="15945" ht="26.25" customHeight="1"/>
    <row r="15946" ht="26.25" customHeight="1"/>
    <row r="15947" ht="26.25" customHeight="1"/>
    <row r="15948" ht="26.25" customHeight="1"/>
    <row r="15949" ht="26.25" customHeight="1"/>
    <row r="15950" ht="26.25" customHeight="1"/>
    <row r="15951" ht="26.25" customHeight="1"/>
    <row r="15952" ht="26.25" customHeight="1"/>
    <row r="15953" ht="26.25" customHeight="1"/>
    <row r="15954" ht="26.25" customHeight="1"/>
    <row r="15955" ht="26.25" customHeight="1"/>
    <row r="15956" ht="26.25" customHeight="1"/>
    <row r="15957" ht="26.25" customHeight="1"/>
    <row r="15958" ht="26.25" customHeight="1"/>
    <row r="15959" ht="26.25" customHeight="1"/>
    <row r="15960" ht="26.25" customHeight="1"/>
    <row r="15961" ht="26.25" customHeight="1"/>
    <row r="15962" ht="26.25" customHeight="1"/>
    <row r="15963" ht="26.25" customHeight="1"/>
    <row r="15964" ht="26.25" customHeight="1"/>
    <row r="15965" ht="26.25" customHeight="1"/>
    <row r="15966" ht="26.25" customHeight="1"/>
    <row r="15967" ht="26.25" customHeight="1"/>
    <row r="15968" ht="26.25" customHeight="1"/>
    <row r="15969" ht="26.25" customHeight="1"/>
    <row r="15970" ht="26.25" customHeight="1"/>
    <row r="15971" ht="26.25" customHeight="1"/>
    <row r="15972" ht="26.25" customHeight="1"/>
    <row r="15973" ht="26.25" customHeight="1"/>
    <row r="15974" ht="26.25" customHeight="1"/>
    <row r="15975" ht="26.25" customHeight="1"/>
    <row r="15976" ht="26.25" customHeight="1"/>
    <row r="15977" ht="26.25" customHeight="1"/>
    <row r="15978" ht="26.25" customHeight="1"/>
    <row r="15979" ht="26.25" customHeight="1"/>
    <row r="15980" ht="26.25" customHeight="1"/>
    <row r="15981" ht="26.25" customHeight="1"/>
    <row r="15982" ht="26.25" customHeight="1"/>
    <row r="15983" ht="26.25" customHeight="1"/>
    <row r="15984" ht="26.25" customHeight="1"/>
    <row r="15985" ht="26.25" customHeight="1"/>
    <row r="15986" ht="26.25" customHeight="1"/>
    <row r="15987" ht="26.25" customHeight="1"/>
    <row r="15988" ht="26.25" customHeight="1"/>
    <row r="15989" ht="26.25" customHeight="1"/>
    <row r="15990" ht="26.25" customHeight="1"/>
    <row r="15991" ht="26.25" customHeight="1"/>
    <row r="15992" ht="26.25" customHeight="1"/>
    <row r="15993" ht="26.25" customHeight="1"/>
    <row r="15994" ht="26.25" customHeight="1"/>
    <row r="15995" ht="26.25" customHeight="1"/>
    <row r="15996" ht="26.25" customHeight="1"/>
    <row r="15997" ht="26.25" customHeight="1"/>
    <row r="15998" ht="26.25" customHeight="1"/>
    <row r="15999" ht="26.25" customHeight="1"/>
    <row r="16000" ht="26.25" customHeight="1"/>
    <row r="16001" ht="26.25" customHeight="1"/>
    <row r="16002" ht="26.25" customHeight="1"/>
    <row r="16003" ht="26.25" customHeight="1"/>
    <row r="16004" ht="26.25" customHeight="1"/>
    <row r="16005" ht="26.25" customHeight="1"/>
    <row r="16006" ht="26.25" customHeight="1"/>
    <row r="16007" ht="26.25" customHeight="1"/>
    <row r="16008" ht="26.25" customHeight="1"/>
    <row r="16009" ht="26.25" customHeight="1"/>
    <row r="16010" ht="26.25" customHeight="1"/>
    <row r="16011" ht="26.25" customHeight="1"/>
    <row r="16012" ht="26.25" customHeight="1"/>
    <row r="16013" ht="26.25" customHeight="1"/>
    <row r="16014" ht="26.25" customHeight="1"/>
    <row r="16015" ht="26.25" customHeight="1"/>
    <row r="16016" ht="26.25" customHeight="1"/>
    <row r="16017" ht="26.25" customHeight="1"/>
    <row r="16018" ht="26.25" customHeight="1"/>
    <row r="16019" ht="26.25" customHeight="1"/>
    <row r="16020" ht="26.25" customHeight="1"/>
    <row r="16021" ht="26.25" customHeight="1"/>
    <row r="16022" ht="26.25" customHeight="1"/>
    <row r="16023" ht="26.25" customHeight="1"/>
    <row r="16024" ht="26.25" customHeight="1"/>
    <row r="16025" ht="26.25" customHeight="1"/>
    <row r="16026" ht="26.25" customHeight="1"/>
    <row r="16027" ht="26.25" customHeight="1"/>
    <row r="16028" ht="26.25" customHeight="1"/>
    <row r="16029" ht="26.25" customHeight="1"/>
    <row r="16030" ht="26.25" customHeight="1"/>
    <row r="16031" ht="26.25" customHeight="1"/>
    <row r="16032" ht="26.25" customHeight="1"/>
    <row r="16033" ht="26.25" customHeight="1"/>
    <row r="16034" ht="26.25" customHeight="1"/>
    <row r="16035" ht="26.25" customHeight="1"/>
    <row r="16036" ht="26.25" customHeight="1"/>
    <row r="16037" ht="26.25" customHeight="1"/>
    <row r="16038" ht="26.25" customHeight="1"/>
    <row r="16039" ht="26.25" customHeight="1"/>
    <row r="16040" ht="26.25" customHeight="1"/>
    <row r="16041" ht="26.25" customHeight="1"/>
    <row r="16042" ht="26.25" customHeight="1"/>
    <row r="16043" ht="26.25" customHeight="1"/>
    <row r="16044" ht="26.25" customHeight="1"/>
    <row r="16045" ht="26.25" customHeight="1"/>
    <row r="16046" ht="26.25" customHeight="1"/>
    <row r="16047" ht="26.25" customHeight="1"/>
    <row r="16048" ht="26.25" customHeight="1"/>
    <row r="16049" ht="26.25" customHeight="1"/>
    <row r="16050" ht="26.25" customHeight="1"/>
    <row r="16051" ht="26.25" customHeight="1"/>
    <row r="16052" ht="26.25" customHeight="1"/>
    <row r="16053" ht="26.25" customHeight="1"/>
    <row r="16054" ht="26.25" customHeight="1"/>
    <row r="16055" ht="26.25" customHeight="1"/>
    <row r="16056" ht="26.25" customHeight="1"/>
    <row r="16057" ht="26.25" customHeight="1"/>
    <row r="16058" ht="26.25" customHeight="1"/>
    <row r="16059" ht="26.25" customHeight="1"/>
    <row r="16060" ht="26.25" customHeight="1"/>
    <row r="16061" ht="26.25" customHeight="1"/>
    <row r="16062" ht="26.25" customHeight="1"/>
    <row r="16063" ht="26.25" customHeight="1"/>
    <row r="16064" ht="26.25" customHeight="1"/>
    <row r="16065" ht="26.25" customHeight="1"/>
    <row r="16066" ht="26.25" customHeight="1"/>
    <row r="16067" ht="26.25" customHeight="1"/>
    <row r="16068" ht="26.25" customHeight="1"/>
    <row r="16069" ht="26.25" customHeight="1"/>
    <row r="16070" ht="26.25" customHeight="1"/>
    <row r="16071" ht="26.25" customHeight="1"/>
    <row r="16072" ht="26.25" customHeight="1"/>
    <row r="16073" ht="26.25" customHeight="1"/>
    <row r="16074" ht="26.25" customHeight="1"/>
    <row r="16075" ht="26.25" customHeight="1"/>
    <row r="16076" ht="26.25" customHeight="1"/>
    <row r="16077" ht="26.25" customHeight="1"/>
    <row r="16078" ht="26.25" customHeight="1"/>
    <row r="16079" ht="26.25" customHeight="1"/>
    <row r="16080" ht="26.25" customHeight="1"/>
    <row r="16081" ht="26.25" customHeight="1"/>
    <row r="16082" ht="26.25" customHeight="1"/>
    <row r="16083" ht="26.25" customHeight="1"/>
    <row r="16084" ht="26.25" customHeight="1"/>
    <row r="16085" ht="26.25" customHeight="1"/>
    <row r="16086" ht="26.25" customHeight="1"/>
    <row r="16087" ht="26.25" customHeight="1"/>
    <row r="16088" ht="26.25" customHeight="1"/>
    <row r="16089" ht="26.25" customHeight="1"/>
    <row r="16090" ht="26.25" customHeight="1"/>
    <row r="16091" ht="26.25" customHeight="1"/>
    <row r="16092" ht="26.25" customHeight="1"/>
    <row r="16093" ht="26.25" customHeight="1"/>
    <row r="16094" ht="26.25" customHeight="1"/>
    <row r="16095" ht="26.25" customHeight="1"/>
    <row r="16096" ht="26.25" customHeight="1"/>
    <row r="16097" ht="26.25" customHeight="1"/>
    <row r="16098" ht="26.25" customHeight="1"/>
    <row r="16099" ht="26.25" customHeight="1"/>
    <row r="16100" ht="26.25" customHeight="1"/>
    <row r="16101" ht="26.25" customHeight="1"/>
    <row r="16102" ht="26.25" customHeight="1"/>
    <row r="16103" ht="26.25" customHeight="1"/>
    <row r="16104" ht="26.25" customHeight="1"/>
    <row r="16105" ht="26.25" customHeight="1"/>
    <row r="16106" ht="26.25" customHeight="1"/>
    <row r="16107" ht="26.25" customHeight="1"/>
    <row r="16108" ht="26.25" customHeight="1"/>
    <row r="16109" ht="26.25" customHeight="1"/>
    <row r="16110" ht="26.25" customHeight="1"/>
    <row r="16111" ht="26.25" customHeight="1"/>
    <row r="16112" ht="26.25" customHeight="1"/>
    <row r="16113" ht="26.25" customHeight="1"/>
    <row r="16114" ht="26.25" customHeight="1"/>
    <row r="16115" ht="26.25" customHeight="1"/>
    <row r="16116" ht="26.25" customHeight="1"/>
    <row r="16117" ht="26.25" customHeight="1"/>
    <row r="16118" ht="26.25" customHeight="1"/>
    <row r="16119" ht="26.25" customHeight="1"/>
    <row r="16120" ht="26.25" customHeight="1"/>
    <row r="16121" ht="26.25" customHeight="1"/>
    <row r="16122" ht="26.25" customHeight="1"/>
    <row r="16123" ht="26.25" customHeight="1"/>
    <row r="16124" ht="26.25" customHeight="1"/>
    <row r="16125" ht="26.25" customHeight="1"/>
    <row r="16126" ht="26.25" customHeight="1"/>
    <row r="16127" ht="26.25" customHeight="1"/>
    <row r="16128" ht="26.25" customHeight="1"/>
    <row r="16129" ht="26.25" customHeight="1"/>
    <row r="16130" ht="26.25" customHeight="1"/>
    <row r="16131" ht="26.25" customHeight="1"/>
    <row r="16132" ht="26.25" customHeight="1"/>
    <row r="16133" ht="26.25" customHeight="1"/>
    <row r="16134" ht="26.25" customHeight="1"/>
    <row r="16135" ht="26.25" customHeight="1"/>
    <row r="16136" ht="26.25" customHeight="1"/>
    <row r="16137" ht="26.25" customHeight="1"/>
    <row r="16138" ht="26.25" customHeight="1"/>
    <row r="16139" ht="26.25" customHeight="1"/>
    <row r="16140" ht="26.25" customHeight="1"/>
    <row r="16141" ht="26.25" customHeight="1"/>
    <row r="16142" ht="26.25" customHeight="1"/>
    <row r="16143" ht="26.25" customHeight="1"/>
    <row r="16144" ht="26.25" customHeight="1"/>
    <row r="16145" ht="26.25" customHeight="1"/>
    <row r="16146" ht="26.25" customHeight="1"/>
    <row r="16147" ht="26.25" customHeight="1"/>
    <row r="16148" ht="26.25" customHeight="1"/>
    <row r="16149" ht="26.25" customHeight="1"/>
    <row r="16150" ht="26.25" customHeight="1"/>
    <row r="16151" ht="26.25" customHeight="1"/>
    <row r="16152" ht="26.25" customHeight="1"/>
    <row r="16153" ht="26.25" customHeight="1"/>
    <row r="16154" ht="26.25" customHeight="1"/>
    <row r="16155" ht="26.25" customHeight="1"/>
    <row r="16156" ht="26.25" customHeight="1"/>
    <row r="16157" ht="26.25" customHeight="1"/>
    <row r="16158" ht="26.25" customHeight="1"/>
    <row r="16159" ht="26.25" customHeight="1"/>
    <row r="16160" ht="26.25" customHeight="1"/>
    <row r="16161" ht="26.25" customHeight="1"/>
    <row r="16162" ht="26.25" customHeight="1"/>
    <row r="16163" ht="26.25" customHeight="1"/>
    <row r="16164" ht="26.25" customHeight="1"/>
    <row r="16165" ht="26.25" customHeight="1"/>
    <row r="16166" ht="26.25" customHeight="1"/>
    <row r="16167" ht="26.25" customHeight="1"/>
    <row r="16168" ht="26.25" customHeight="1"/>
    <row r="16169" ht="26.25" customHeight="1"/>
    <row r="16170" ht="26.25" customHeight="1"/>
    <row r="16171" ht="26.25" customHeight="1"/>
    <row r="16172" ht="26.25" customHeight="1"/>
    <row r="16173" ht="26.25" customHeight="1"/>
    <row r="16174" ht="26.25" customHeight="1"/>
    <row r="16175" ht="26.25" customHeight="1"/>
    <row r="16176" ht="26.25" customHeight="1"/>
    <row r="16177" ht="26.25" customHeight="1"/>
    <row r="16178" ht="26.25" customHeight="1"/>
    <row r="16179" ht="26.25" customHeight="1"/>
    <row r="16180" ht="26.25" customHeight="1"/>
    <row r="16181" ht="26.25" customHeight="1"/>
    <row r="16182" ht="26.25" customHeight="1"/>
    <row r="16183" ht="26.25" customHeight="1"/>
    <row r="16184" ht="26.25" customHeight="1"/>
    <row r="16185" ht="26.25" customHeight="1"/>
    <row r="16186" ht="26.25" customHeight="1"/>
    <row r="16187" ht="26.25" customHeight="1"/>
    <row r="16188" ht="26.25" customHeight="1"/>
    <row r="16189" ht="26.25" customHeight="1"/>
    <row r="16190" ht="26.25" customHeight="1"/>
    <row r="16191" ht="26.25" customHeight="1"/>
    <row r="16192" ht="26.25" customHeight="1"/>
    <row r="16193" ht="26.25" customHeight="1"/>
    <row r="16194" ht="26.25" customHeight="1"/>
    <row r="16195" ht="26.25" customHeight="1"/>
    <row r="16196" ht="26.25" customHeight="1"/>
    <row r="16197" ht="26.25" customHeight="1"/>
    <row r="16198" ht="26.25" customHeight="1"/>
    <row r="16199" ht="26.25" customHeight="1"/>
    <row r="16200" ht="26.25" customHeight="1"/>
    <row r="16201" ht="26.25" customHeight="1"/>
    <row r="16202" ht="26.25" customHeight="1"/>
    <row r="16203" ht="26.25" customHeight="1"/>
    <row r="16204" ht="26.25" customHeight="1"/>
    <row r="16205" ht="26.25" customHeight="1"/>
    <row r="16206" ht="26.25" customHeight="1"/>
    <row r="16207" ht="26.25" customHeight="1"/>
    <row r="16208" ht="26.25" customHeight="1"/>
    <row r="16209" ht="26.25" customHeight="1"/>
    <row r="16210" ht="26.25" customHeight="1"/>
    <row r="16211" ht="26.25" customHeight="1"/>
    <row r="16212" ht="26.25" customHeight="1"/>
    <row r="16213" ht="26.25" customHeight="1"/>
    <row r="16214" ht="26.25" customHeight="1"/>
    <row r="16215" ht="26.25" customHeight="1"/>
    <row r="16216" ht="26.25" customHeight="1"/>
    <row r="16217" ht="26.25" customHeight="1"/>
    <row r="16218" ht="26.25" customHeight="1"/>
    <row r="16219" ht="26.25" customHeight="1"/>
    <row r="16220" ht="26.25" customHeight="1"/>
    <row r="16221" ht="26.25" customHeight="1"/>
    <row r="16222" ht="26.25" customHeight="1"/>
    <row r="16223" ht="26.25" customHeight="1"/>
    <row r="16224" ht="26.25" customHeight="1"/>
    <row r="16225" ht="26.25" customHeight="1"/>
    <row r="16226" ht="26.25" customHeight="1"/>
    <row r="16227" ht="26.25" customHeight="1"/>
    <row r="16228" ht="26.25" customHeight="1"/>
    <row r="16229" ht="26.25" customHeight="1"/>
    <row r="16230" ht="26.25" customHeight="1"/>
    <row r="16231" ht="26.25" customHeight="1"/>
    <row r="16232" ht="26.25" customHeight="1"/>
    <row r="16233" ht="26.25" customHeight="1"/>
    <row r="16234" ht="26.25" customHeight="1"/>
    <row r="16235" ht="26.25" customHeight="1"/>
    <row r="16236" ht="26.25" customHeight="1"/>
    <row r="16237" ht="26.25" customHeight="1"/>
    <row r="16238" ht="26.25" customHeight="1"/>
    <row r="16239" ht="26.25" customHeight="1"/>
    <row r="16240" ht="26.25" customHeight="1"/>
    <row r="16241" ht="26.25" customHeight="1"/>
    <row r="16242" ht="26.25" customHeight="1"/>
    <row r="16243" ht="26.25" customHeight="1"/>
    <row r="16244" ht="26.25" customHeight="1"/>
    <row r="16245" ht="26.25" customHeight="1"/>
    <row r="16246" ht="26.25" customHeight="1"/>
    <row r="16247" ht="26.25" customHeight="1"/>
    <row r="16248" ht="26.25" customHeight="1"/>
    <row r="16249" ht="26.25" customHeight="1"/>
    <row r="16250" ht="26.25" customHeight="1"/>
    <row r="16251" ht="26.25" customHeight="1"/>
    <row r="16252" ht="26.25" customHeight="1"/>
    <row r="16253" ht="26.25" customHeight="1"/>
    <row r="16254" ht="26.25" customHeight="1"/>
    <row r="16255" ht="26.25" customHeight="1"/>
    <row r="16256" ht="26.25" customHeight="1"/>
    <row r="16257" ht="26.25" customHeight="1"/>
    <row r="16258" ht="26.25" customHeight="1"/>
    <row r="16259" ht="26.25" customHeight="1"/>
    <row r="16260" ht="26.25" customHeight="1"/>
    <row r="16261" ht="26.25" customHeight="1"/>
    <row r="16262" ht="26.25" customHeight="1"/>
    <row r="16263" ht="26.25" customHeight="1"/>
    <row r="16264" ht="26.25" customHeight="1"/>
    <row r="16265" ht="26.25" customHeight="1"/>
    <row r="16266" ht="26.25" customHeight="1"/>
    <row r="16267" ht="26.25" customHeight="1"/>
    <row r="16268" ht="26.25" customHeight="1"/>
    <row r="16269" ht="26.25" customHeight="1"/>
    <row r="16270" ht="26.25" customHeight="1"/>
    <row r="16271" ht="26.25" customHeight="1"/>
    <row r="16272" ht="26.25" customHeight="1"/>
    <row r="16273" ht="26.25" customHeight="1"/>
    <row r="16274" ht="26.25" customHeight="1"/>
    <row r="16275" ht="26.25" customHeight="1"/>
    <row r="16276" ht="26.25" customHeight="1"/>
    <row r="16277" ht="26.25" customHeight="1"/>
    <row r="16278" ht="26.25" customHeight="1"/>
    <row r="16279" ht="26.25" customHeight="1"/>
    <row r="16280" ht="26.25" customHeight="1"/>
    <row r="16281" ht="26.25" customHeight="1"/>
    <row r="16282" ht="26.25" customHeight="1"/>
    <row r="16283" ht="26.25" customHeight="1"/>
    <row r="16284" ht="26.25" customHeight="1"/>
    <row r="16285" ht="26.25" customHeight="1"/>
    <row r="16286" ht="26.25" customHeight="1"/>
    <row r="16287" ht="26.25" customHeight="1"/>
    <row r="16288" ht="26.25" customHeight="1"/>
    <row r="16289" ht="26.25" customHeight="1"/>
    <row r="16290" ht="26.25" customHeight="1"/>
    <row r="16291" ht="26.25" customHeight="1"/>
    <row r="16292" ht="26.25" customHeight="1"/>
    <row r="16293" ht="26.25" customHeight="1"/>
    <row r="16294" ht="26.25" customHeight="1"/>
    <row r="16295" ht="26.25" customHeight="1"/>
    <row r="16296" ht="26.25" customHeight="1"/>
    <row r="16297" ht="26.25" customHeight="1"/>
    <row r="16298" ht="26.25" customHeight="1"/>
    <row r="16299" ht="26.25" customHeight="1"/>
    <row r="16300" ht="26.25" customHeight="1"/>
    <row r="16301" ht="26.25" customHeight="1"/>
    <row r="16302" ht="26.25" customHeight="1"/>
    <row r="16303" ht="26.25" customHeight="1"/>
    <row r="16304" ht="26.25" customHeight="1"/>
    <row r="16305" ht="26.25" customHeight="1"/>
    <row r="16306" ht="26.25" customHeight="1"/>
    <row r="16307" ht="26.25" customHeight="1"/>
    <row r="16308" ht="26.25" customHeight="1"/>
    <row r="16309" ht="26.25" customHeight="1"/>
    <row r="16310" ht="26.25" customHeight="1"/>
    <row r="16311" ht="26.25" customHeight="1"/>
    <row r="16312" ht="26.25" customHeight="1"/>
    <row r="16313" ht="26.25" customHeight="1"/>
    <row r="16314" ht="26.25" customHeight="1"/>
    <row r="16315" ht="26.25" customHeight="1"/>
    <row r="16316" ht="26.25" customHeight="1"/>
    <row r="16317" ht="26.25" customHeight="1"/>
    <row r="16318" ht="26.25" customHeight="1"/>
    <row r="16319" ht="26.25" customHeight="1"/>
    <row r="16320" ht="26.25" customHeight="1"/>
    <row r="16321" ht="26.25" customHeight="1"/>
    <row r="16322" ht="26.25" customHeight="1"/>
    <row r="16323" ht="26.25" customHeight="1"/>
    <row r="16324" ht="26.25" customHeight="1"/>
    <row r="16325" ht="26.25" customHeight="1"/>
    <row r="16326" ht="26.25" customHeight="1"/>
    <row r="16327" ht="26.25" customHeight="1"/>
    <row r="16328" ht="26.25" customHeight="1"/>
    <row r="16329" ht="26.25" customHeight="1"/>
    <row r="16330" ht="26.25" customHeight="1"/>
    <row r="16331" ht="26.25" customHeight="1"/>
    <row r="16332" ht="26.25" customHeight="1"/>
    <row r="16333" ht="26.25" customHeight="1"/>
    <row r="16334" ht="26.25" customHeight="1"/>
    <row r="16335" ht="26.25" customHeight="1"/>
    <row r="16336" ht="26.25" customHeight="1"/>
    <row r="16337" ht="26.25" customHeight="1"/>
    <row r="16338" ht="26.25" customHeight="1"/>
    <row r="16339" ht="26.25" customHeight="1"/>
    <row r="16340" ht="26.25" customHeight="1"/>
    <row r="16341" ht="26.25" customHeight="1"/>
    <row r="16342" ht="26.25" customHeight="1"/>
    <row r="16343" ht="26.25" customHeight="1"/>
    <row r="16344" ht="26.25" customHeight="1"/>
    <row r="16345" ht="26.25" customHeight="1"/>
    <row r="16346" ht="26.25" customHeight="1"/>
    <row r="16347" ht="26.25" customHeight="1"/>
    <row r="16348" ht="26.25" customHeight="1"/>
    <row r="16349" ht="26.25" customHeight="1"/>
    <row r="16350" ht="26.25" customHeight="1"/>
    <row r="16351" ht="26.25" customHeight="1"/>
    <row r="16352" ht="26.25" customHeight="1"/>
    <row r="16353" ht="26.25" customHeight="1"/>
    <row r="16354" ht="26.25" customHeight="1"/>
    <row r="16355" ht="26.25" customHeight="1"/>
    <row r="16356" ht="26.25" customHeight="1"/>
    <row r="16357" ht="26.25" customHeight="1"/>
    <row r="16358" ht="26.25" customHeight="1"/>
    <row r="16359" ht="26.25" customHeight="1"/>
    <row r="16360" ht="26.25" customHeight="1"/>
    <row r="16361" ht="26.25" customHeight="1"/>
    <row r="16362" ht="26.25" customHeight="1"/>
    <row r="16363" ht="26.25" customHeight="1"/>
    <row r="16364" ht="26.25" customHeight="1"/>
    <row r="16365" ht="26.25" customHeight="1"/>
    <row r="16366" ht="26.25" customHeight="1"/>
    <row r="16367" ht="26.25" customHeight="1"/>
    <row r="16368" ht="26.25" customHeight="1"/>
    <row r="16369" ht="26.25" customHeight="1"/>
    <row r="16370" ht="26.25" customHeight="1"/>
    <row r="16371" ht="26.25" customHeight="1"/>
    <row r="16372" ht="26.25" customHeight="1"/>
    <row r="16373" ht="26.25" customHeight="1"/>
    <row r="16374" ht="26.25" customHeight="1"/>
    <row r="16375" ht="26.25" customHeight="1"/>
    <row r="16376" ht="26.25" customHeight="1"/>
    <row r="16377" ht="26.25" customHeight="1"/>
    <row r="16378" ht="26.25" customHeight="1"/>
    <row r="16379" ht="26.25" customHeight="1"/>
    <row r="16380" ht="26.25" customHeight="1"/>
    <row r="16381" ht="26.25" customHeight="1"/>
    <row r="16382" ht="26.25" customHeight="1"/>
    <row r="16383" ht="26.25" customHeight="1"/>
    <row r="16384" ht="26.25" customHeight="1"/>
    <row r="16385" ht="26.25" customHeight="1"/>
    <row r="16386" ht="26.25" customHeight="1"/>
    <row r="16387" ht="26.25" customHeight="1"/>
    <row r="16388" ht="26.25" customHeight="1"/>
    <row r="16389" ht="26.25" customHeight="1"/>
    <row r="16390" ht="26.25" customHeight="1"/>
    <row r="16391" ht="26.25" customHeight="1"/>
    <row r="16392" ht="26.25" customHeight="1"/>
    <row r="16393" ht="26.25" customHeight="1"/>
    <row r="16394" ht="26.25" customHeight="1"/>
    <row r="16395" ht="26.25" customHeight="1"/>
    <row r="16396" ht="26.25" customHeight="1"/>
    <row r="16397" ht="26.25" customHeight="1"/>
    <row r="16398" ht="26.25" customHeight="1"/>
    <row r="16399" ht="26.25" customHeight="1"/>
    <row r="16400" ht="26.25" customHeight="1"/>
    <row r="16401" ht="26.25" customHeight="1"/>
    <row r="16402" ht="26.25" customHeight="1"/>
    <row r="16403" ht="26.25" customHeight="1"/>
    <row r="16404" ht="26.25" customHeight="1"/>
    <row r="16405" ht="26.25" customHeight="1"/>
    <row r="16406" ht="26.25" customHeight="1"/>
    <row r="16407" ht="26.25" customHeight="1"/>
    <row r="16408" ht="26.25" customHeight="1"/>
    <row r="16409" ht="26.25" customHeight="1"/>
    <row r="16410" ht="26.25" customHeight="1"/>
    <row r="16411" ht="26.25" customHeight="1"/>
    <row r="16412" ht="26.25" customHeight="1"/>
    <row r="16413" ht="26.25" customHeight="1"/>
    <row r="16414" ht="26.25" customHeight="1"/>
    <row r="16415" ht="26.25" customHeight="1"/>
    <row r="16416" ht="26.25" customHeight="1"/>
    <row r="16417" ht="26.25" customHeight="1"/>
    <row r="16418" ht="26.25" customHeight="1"/>
    <row r="16419" ht="26.25" customHeight="1"/>
    <row r="16420" ht="26.25" customHeight="1"/>
    <row r="16421" ht="26.25" customHeight="1"/>
    <row r="16422" ht="26.25" customHeight="1"/>
    <row r="16423" ht="26.25" customHeight="1"/>
    <row r="16424" ht="26.25" customHeight="1"/>
    <row r="16425" ht="26.25" customHeight="1"/>
    <row r="16426" ht="26.25" customHeight="1"/>
    <row r="16427" ht="26.25" customHeight="1"/>
    <row r="16428" ht="26.25" customHeight="1"/>
    <row r="16429" ht="26.25" customHeight="1"/>
    <row r="16430" ht="26.25" customHeight="1"/>
    <row r="16431" ht="26.25" customHeight="1"/>
    <row r="16432" ht="26.25" customHeight="1"/>
    <row r="16433" ht="26.25" customHeight="1"/>
    <row r="16434" ht="26.25" customHeight="1"/>
    <row r="16435" ht="26.25" customHeight="1"/>
    <row r="16436" ht="26.25" customHeight="1"/>
    <row r="16437" ht="26.25" customHeight="1"/>
    <row r="16438" ht="26.25" customHeight="1"/>
    <row r="16439" ht="26.25" customHeight="1"/>
    <row r="16440" ht="26.25" customHeight="1"/>
    <row r="16441" ht="26.25" customHeight="1"/>
    <row r="16442" ht="26.25" customHeight="1"/>
    <row r="16443" ht="26.25" customHeight="1"/>
    <row r="16444" ht="26.25" customHeight="1"/>
    <row r="16445" ht="26.25" customHeight="1"/>
    <row r="16446" ht="26.25" customHeight="1"/>
    <row r="16447" ht="26.25" customHeight="1"/>
    <row r="16448" ht="26.25" customHeight="1"/>
    <row r="16449" ht="26.25" customHeight="1"/>
    <row r="16450" ht="26.25" customHeight="1"/>
    <row r="16451" ht="26.25" customHeight="1"/>
    <row r="16452" ht="26.25" customHeight="1"/>
    <row r="16453" ht="26.25" customHeight="1"/>
    <row r="16454" ht="26.25" customHeight="1"/>
    <row r="16455" ht="26.25" customHeight="1"/>
    <row r="16456" ht="26.25" customHeight="1"/>
    <row r="16457" ht="26.25" customHeight="1"/>
    <row r="16458" ht="26.25" customHeight="1"/>
    <row r="16459" ht="26.25" customHeight="1"/>
    <row r="16460" ht="26.25" customHeight="1"/>
    <row r="16461" ht="26.25" customHeight="1"/>
    <row r="16462" ht="26.25" customHeight="1"/>
    <row r="16463" ht="26.25" customHeight="1"/>
    <row r="16464" ht="26.25" customHeight="1"/>
    <row r="16465" ht="26.25" customHeight="1"/>
    <row r="16466" ht="26.25" customHeight="1"/>
    <row r="16467" ht="26.25" customHeight="1"/>
    <row r="16468" ht="26.25" customHeight="1"/>
    <row r="16469" ht="26.25" customHeight="1"/>
    <row r="16470" ht="26.25" customHeight="1"/>
    <row r="16471" ht="26.25" customHeight="1"/>
    <row r="16472" ht="26.25" customHeight="1"/>
    <row r="16473" ht="26.25" customHeight="1"/>
    <row r="16474" ht="26.25" customHeight="1"/>
    <row r="16475" ht="26.25" customHeight="1"/>
    <row r="16476" ht="26.25" customHeight="1"/>
    <row r="16477" ht="26.25" customHeight="1"/>
    <row r="16478" ht="26.25" customHeight="1"/>
    <row r="16479" ht="26.25" customHeight="1"/>
    <row r="16480" ht="26.25" customHeight="1"/>
    <row r="16481" ht="26.25" customHeight="1"/>
    <row r="16482" ht="26.25" customHeight="1"/>
    <row r="16483" ht="26.25" customHeight="1"/>
    <row r="16484" ht="26.25" customHeight="1"/>
    <row r="16485" ht="26.25" customHeight="1"/>
    <row r="16486" ht="26.25" customHeight="1"/>
    <row r="16487" ht="26.25" customHeight="1"/>
    <row r="16488" ht="26.25" customHeight="1"/>
    <row r="16489" ht="26.25" customHeight="1"/>
    <row r="16490" ht="26.25" customHeight="1"/>
    <row r="16491" ht="26.25" customHeight="1"/>
    <row r="16492" ht="26.25" customHeight="1"/>
    <row r="16493" ht="26.25" customHeight="1"/>
    <row r="16494" ht="26.25" customHeight="1"/>
    <row r="16495" ht="26.25" customHeight="1"/>
    <row r="16496" ht="26.25" customHeight="1"/>
    <row r="16497" ht="26.25" customHeight="1"/>
    <row r="16498" ht="26.25" customHeight="1"/>
    <row r="16499" ht="26.25" customHeight="1"/>
    <row r="16500" ht="26.25" customHeight="1"/>
    <row r="16501" ht="26.25" customHeight="1"/>
    <row r="16502" ht="26.25" customHeight="1"/>
    <row r="16503" ht="26.25" customHeight="1"/>
    <row r="16504" ht="26.25" customHeight="1"/>
    <row r="16505" ht="26.25" customHeight="1"/>
    <row r="16506" ht="26.25" customHeight="1"/>
    <row r="16507" ht="26.25" customHeight="1"/>
    <row r="16508" ht="26.25" customHeight="1"/>
    <row r="16509" ht="26.25" customHeight="1"/>
    <row r="16510" ht="26.25" customHeight="1"/>
    <row r="16511" ht="26.25" customHeight="1"/>
    <row r="16512" ht="26.25" customHeight="1"/>
    <row r="16513" ht="26.25" customHeight="1"/>
    <row r="16514" ht="26.25" customHeight="1"/>
    <row r="16515" ht="26.25" customHeight="1"/>
    <row r="16516" ht="26.25" customHeight="1"/>
    <row r="16517" ht="26.25" customHeight="1"/>
    <row r="16518" ht="26.25" customHeight="1"/>
    <row r="16519" ht="26.25" customHeight="1"/>
    <row r="16520" ht="26.25" customHeight="1"/>
    <row r="16521" ht="26.25" customHeight="1"/>
    <row r="16522" ht="26.25" customHeight="1"/>
    <row r="16523" ht="26.25" customHeight="1"/>
    <row r="16524" ht="26.25" customHeight="1"/>
    <row r="16525" ht="26.25" customHeight="1"/>
    <row r="16526" ht="26.25" customHeight="1"/>
    <row r="16527" ht="26.25" customHeight="1"/>
    <row r="16528" ht="26.25" customHeight="1"/>
    <row r="16529" ht="26.25" customHeight="1"/>
    <row r="16530" ht="26.25" customHeight="1"/>
    <row r="16531" ht="26.25" customHeight="1"/>
    <row r="16532" ht="26.25" customHeight="1"/>
    <row r="16533" ht="26.25" customHeight="1"/>
    <row r="16534" ht="26.25" customHeight="1"/>
    <row r="16535" ht="26.25" customHeight="1"/>
    <row r="16536" ht="26.25" customHeight="1"/>
    <row r="16537" ht="26.25" customHeight="1"/>
    <row r="16538" ht="26.25" customHeight="1"/>
    <row r="16539" ht="26.25" customHeight="1"/>
    <row r="16540" ht="26.25" customHeight="1"/>
    <row r="16541" ht="26.25" customHeight="1"/>
    <row r="16542" ht="26.25" customHeight="1"/>
    <row r="16543" ht="26.25" customHeight="1"/>
    <row r="16544" ht="26.25" customHeight="1"/>
    <row r="16545" ht="26.25" customHeight="1"/>
    <row r="16546" ht="26.25" customHeight="1"/>
    <row r="16547" ht="26.25" customHeight="1"/>
    <row r="16548" ht="26.25" customHeight="1"/>
    <row r="16549" ht="26.25" customHeight="1"/>
    <row r="16550" ht="26.25" customHeight="1"/>
    <row r="16551" ht="26.25" customHeight="1"/>
    <row r="16552" ht="26.25" customHeight="1"/>
    <row r="16553" ht="26.25" customHeight="1"/>
    <row r="16554" ht="26.25" customHeight="1"/>
    <row r="16555" ht="26.25" customHeight="1"/>
    <row r="16556" ht="26.25" customHeight="1"/>
    <row r="16557" ht="26.25" customHeight="1"/>
    <row r="16558" ht="26.25" customHeight="1"/>
    <row r="16559" ht="26.25" customHeight="1"/>
    <row r="16560" ht="26.25" customHeight="1"/>
    <row r="16561" ht="26.25" customHeight="1"/>
    <row r="16562" ht="26.25" customHeight="1"/>
    <row r="16563" ht="26.25" customHeight="1"/>
    <row r="16564" ht="26.25" customHeight="1"/>
    <row r="16565" ht="26.25" customHeight="1"/>
    <row r="16566" ht="26.25" customHeight="1"/>
    <row r="16567" ht="26.25" customHeight="1"/>
    <row r="16568" ht="26.25" customHeight="1"/>
    <row r="16569" ht="26.25" customHeight="1"/>
    <row r="16570" ht="26.25" customHeight="1"/>
    <row r="16571" ht="26.25" customHeight="1"/>
    <row r="16572" ht="26.25" customHeight="1"/>
    <row r="16573" ht="26.25" customHeight="1"/>
    <row r="16574" ht="26.25" customHeight="1"/>
    <row r="16575" ht="26.25" customHeight="1"/>
    <row r="16576" ht="26.25" customHeight="1"/>
    <row r="16577" ht="26.25" customHeight="1"/>
    <row r="16578" ht="26.25" customHeight="1"/>
    <row r="16579" ht="26.25" customHeight="1"/>
    <row r="16580" ht="26.25" customHeight="1"/>
    <row r="16581" ht="26.25" customHeight="1"/>
    <row r="16582" ht="26.25" customHeight="1"/>
    <row r="16583" ht="26.25" customHeight="1"/>
    <row r="16584" ht="26.25" customHeight="1"/>
    <row r="16585" ht="26.25" customHeight="1"/>
    <row r="16586" ht="26.25" customHeight="1"/>
    <row r="16587" ht="26.25" customHeight="1"/>
    <row r="16588" ht="26.25" customHeight="1"/>
    <row r="16589" ht="26.25" customHeight="1"/>
    <row r="16590" ht="26.25" customHeight="1"/>
    <row r="16591" ht="26.25" customHeight="1"/>
    <row r="16592" ht="26.25" customHeight="1"/>
    <row r="16593" ht="26.25" customHeight="1"/>
    <row r="16594" ht="26.25" customHeight="1"/>
    <row r="16595" ht="26.25" customHeight="1"/>
    <row r="16596" ht="26.25" customHeight="1"/>
    <row r="16597" ht="26.25" customHeight="1"/>
    <row r="16598" ht="26.25" customHeight="1"/>
    <row r="16599" ht="26.25" customHeight="1"/>
    <row r="16600" ht="26.25" customHeight="1"/>
    <row r="16601" ht="26.25" customHeight="1"/>
    <row r="16602" ht="26.25" customHeight="1"/>
    <row r="16603" ht="26.25" customHeight="1"/>
    <row r="16604" ht="26.25" customHeight="1"/>
    <row r="16605" ht="26.25" customHeight="1"/>
    <row r="16606" ht="26.25" customHeight="1"/>
    <row r="16607" ht="26.25" customHeight="1"/>
    <row r="16608" ht="26.25" customHeight="1"/>
    <row r="16609" ht="26.25" customHeight="1"/>
    <row r="16610" ht="26.25" customHeight="1"/>
    <row r="16611" ht="26.25" customHeight="1"/>
    <row r="16612" ht="26.25" customHeight="1"/>
    <row r="16613" ht="26.25" customHeight="1"/>
    <row r="16614" ht="26.25" customHeight="1"/>
    <row r="16615" ht="26.25" customHeight="1"/>
    <row r="16616" ht="26.25" customHeight="1"/>
    <row r="16617" ht="26.25" customHeight="1"/>
    <row r="16618" ht="26.25" customHeight="1"/>
    <row r="16619" ht="26.25" customHeight="1"/>
    <row r="16620" ht="26.25" customHeight="1"/>
    <row r="16621" ht="26.25" customHeight="1"/>
    <row r="16622" ht="26.25" customHeight="1"/>
    <row r="16623" ht="26.25" customHeight="1"/>
    <row r="16624" ht="26.25" customHeight="1"/>
    <row r="16625" ht="26.25" customHeight="1"/>
    <row r="16626" ht="26.25" customHeight="1"/>
    <row r="16627" ht="26.25" customHeight="1"/>
    <row r="16628" ht="26.25" customHeight="1"/>
    <row r="16629" ht="26.25" customHeight="1"/>
    <row r="16630" ht="26.25" customHeight="1"/>
    <row r="16631" ht="26.25" customHeight="1"/>
    <row r="16632" ht="26.25" customHeight="1"/>
    <row r="16633" ht="26.25" customHeight="1"/>
    <row r="16634" ht="26.25" customHeight="1"/>
    <row r="16635" ht="26.25" customHeight="1"/>
    <row r="16636" ht="26.25" customHeight="1"/>
    <row r="16637" ht="26.25" customHeight="1"/>
    <row r="16638" ht="26.25" customHeight="1"/>
    <row r="16639" ht="26.25" customHeight="1"/>
    <row r="16640" ht="26.25" customHeight="1"/>
    <row r="16641" ht="26.25" customHeight="1"/>
    <row r="16642" ht="26.25" customHeight="1"/>
    <row r="16643" ht="26.25" customHeight="1"/>
    <row r="16644" ht="26.25" customHeight="1"/>
    <row r="16645" ht="26.25" customHeight="1"/>
    <row r="16646" ht="26.25" customHeight="1"/>
    <row r="16647" ht="26.25" customHeight="1"/>
    <row r="16648" ht="26.25" customHeight="1"/>
    <row r="16649" ht="26.25" customHeight="1"/>
    <row r="16650" ht="26.25" customHeight="1"/>
    <row r="16651" ht="26.25" customHeight="1"/>
    <row r="16652" ht="26.25" customHeight="1"/>
    <row r="16653" ht="26.25" customHeight="1"/>
    <row r="16654" ht="26.25" customHeight="1"/>
    <row r="16655" ht="26.25" customHeight="1"/>
    <row r="16656" ht="26.25" customHeight="1"/>
    <row r="16657" ht="26.25" customHeight="1"/>
    <row r="16658" ht="26.25" customHeight="1"/>
    <row r="16659" ht="26.25" customHeight="1"/>
    <row r="16660" ht="26.25" customHeight="1"/>
    <row r="16661" ht="26.25" customHeight="1"/>
    <row r="16662" ht="26.25" customHeight="1"/>
    <row r="16663" ht="26.25" customHeight="1"/>
    <row r="16664" ht="26.25" customHeight="1"/>
    <row r="16665" ht="26.25" customHeight="1"/>
    <row r="16666" ht="26.25" customHeight="1"/>
    <row r="16667" ht="26.25" customHeight="1"/>
    <row r="16668" ht="26.25" customHeight="1"/>
    <row r="16669" ht="26.25" customHeight="1"/>
    <row r="16670" ht="26.25" customHeight="1"/>
    <row r="16671" ht="26.25" customHeight="1"/>
    <row r="16672" ht="26.25" customHeight="1"/>
    <row r="16673" ht="26.25" customHeight="1"/>
    <row r="16674" ht="26.25" customHeight="1"/>
    <row r="16675" ht="26.25" customHeight="1"/>
    <row r="16676" ht="26.25" customHeight="1"/>
    <row r="16677" ht="26.25" customHeight="1"/>
    <row r="16678" ht="26.25" customHeight="1"/>
    <row r="16679" ht="26.25" customHeight="1"/>
    <row r="16680" ht="26.25" customHeight="1"/>
    <row r="16681" ht="26.25" customHeight="1"/>
    <row r="16682" ht="26.25" customHeight="1"/>
    <row r="16683" ht="26.25" customHeight="1"/>
    <row r="16684" ht="26.25" customHeight="1"/>
    <row r="16685" ht="26.25" customHeight="1"/>
    <row r="16686" ht="26.25" customHeight="1"/>
    <row r="16687" ht="26.25" customHeight="1"/>
    <row r="16688" ht="26.25" customHeight="1"/>
    <row r="16689" ht="26.25" customHeight="1"/>
    <row r="16690" ht="26.25" customHeight="1"/>
    <row r="16691" ht="26.25" customHeight="1"/>
    <row r="16692" ht="26.25" customHeight="1"/>
    <row r="16693" ht="26.25" customHeight="1"/>
    <row r="16694" ht="26.25" customHeight="1"/>
    <row r="16695" ht="26.25" customHeight="1"/>
    <row r="16696" ht="26.25" customHeight="1"/>
    <row r="16697" ht="26.25" customHeight="1"/>
    <row r="16698" ht="26.25" customHeight="1"/>
    <row r="16699" ht="26.25" customHeight="1"/>
    <row r="16700" ht="26.25" customHeight="1"/>
    <row r="16701" ht="26.25" customHeight="1"/>
    <row r="16702" ht="26.25" customHeight="1"/>
    <row r="16703" ht="26.25" customHeight="1"/>
    <row r="16704" ht="26.25" customHeight="1"/>
    <row r="16705" ht="26.25" customHeight="1"/>
    <row r="16706" ht="26.25" customHeight="1"/>
    <row r="16707" ht="26.25" customHeight="1"/>
    <row r="16708" ht="26.25" customHeight="1"/>
    <row r="16709" ht="26.25" customHeight="1"/>
    <row r="16710" ht="26.25" customHeight="1"/>
    <row r="16711" ht="26.25" customHeight="1"/>
    <row r="16712" ht="26.25" customHeight="1"/>
    <row r="16713" ht="26.25" customHeight="1"/>
    <row r="16714" ht="26.25" customHeight="1"/>
    <row r="16715" ht="26.25" customHeight="1"/>
    <row r="16716" ht="26.25" customHeight="1"/>
    <row r="16717" ht="26.25" customHeight="1"/>
    <row r="16718" ht="26.25" customHeight="1"/>
    <row r="16719" ht="26.25" customHeight="1"/>
    <row r="16720" ht="26.25" customHeight="1"/>
    <row r="16721" ht="26.25" customHeight="1"/>
    <row r="16722" ht="26.25" customHeight="1"/>
    <row r="16723" ht="26.25" customHeight="1"/>
    <row r="16724" ht="26.25" customHeight="1"/>
    <row r="16725" ht="26.25" customHeight="1"/>
    <row r="16726" ht="26.25" customHeight="1"/>
    <row r="16727" ht="26.25" customHeight="1"/>
    <row r="16728" ht="26.25" customHeight="1"/>
    <row r="16729" ht="26.25" customHeight="1"/>
    <row r="16730" ht="26.25" customHeight="1"/>
    <row r="16731" ht="26.25" customHeight="1"/>
    <row r="16732" ht="26.25" customHeight="1"/>
    <row r="16733" ht="26.25" customHeight="1"/>
    <row r="16734" ht="26.25" customHeight="1"/>
    <row r="16735" ht="26.25" customHeight="1"/>
    <row r="16736" ht="26.25" customHeight="1"/>
    <row r="16737" ht="26.25" customHeight="1"/>
    <row r="16738" ht="26.25" customHeight="1"/>
    <row r="16739" ht="26.25" customHeight="1"/>
    <row r="16740" ht="26.25" customHeight="1"/>
    <row r="16741" ht="26.25" customHeight="1"/>
    <row r="16742" ht="26.25" customHeight="1"/>
    <row r="16743" ht="26.25" customHeight="1"/>
    <row r="16744" ht="26.25" customHeight="1"/>
    <row r="16745" ht="26.25" customHeight="1"/>
    <row r="16746" ht="26.25" customHeight="1"/>
    <row r="16747" ht="26.25" customHeight="1"/>
    <row r="16748" ht="26.25" customHeight="1"/>
    <row r="16749" ht="26.25" customHeight="1"/>
    <row r="16750" ht="26.25" customHeight="1"/>
    <row r="16751" ht="26.25" customHeight="1"/>
    <row r="16752" ht="26.25" customHeight="1"/>
    <row r="16753" ht="26.25" customHeight="1"/>
    <row r="16754" ht="26.25" customHeight="1"/>
    <row r="16755" ht="26.25" customHeight="1"/>
    <row r="16756" ht="26.25" customHeight="1"/>
    <row r="16757" ht="26.25" customHeight="1"/>
    <row r="16758" ht="26.25" customHeight="1"/>
    <row r="16759" ht="26.25" customHeight="1"/>
    <row r="16760" ht="26.25" customHeight="1"/>
    <row r="16761" ht="26.25" customHeight="1"/>
    <row r="16762" ht="26.25" customHeight="1"/>
    <row r="16763" ht="26.25" customHeight="1"/>
    <row r="16764" ht="26.25" customHeight="1"/>
    <row r="16765" ht="26.25" customHeight="1"/>
    <row r="16766" ht="26.25" customHeight="1"/>
    <row r="16767" ht="26.25" customHeight="1"/>
    <row r="16768" ht="26.25" customHeight="1"/>
    <row r="16769" ht="26.25" customHeight="1"/>
    <row r="16770" ht="26.25" customHeight="1"/>
    <row r="16771" ht="26.25" customHeight="1"/>
    <row r="16772" ht="26.25" customHeight="1"/>
    <row r="16773" ht="26.25" customHeight="1"/>
    <row r="16774" ht="26.25" customHeight="1"/>
    <row r="16775" ht="26.25" customHeight="1"/>
    <row r="16776" ht="26.25" customHeight="1"/>
    <row r="16777" ht="26.25" customHeight="1"/>
    <row r="16778" ht="26.25" customHeight="1"/>
    <row r="16779" ht="26.25" customHeight="1"/>
    <row r="16780" ht="26.25" customHeight="1"/>
    <row r="16781" ht="26.25" customHeight="1"/>
    <row r="16782" ht="26.25" customHeight="1"/>
    <row r="16783" ht="26.25" customHeight="1"/>
    <row r="16784" ht="26.25" customHeight="1"/>
    <row r="16785" ht="26.25" customHeight="1"/>
    <row r="16786" ht="26.25" customHeight="1"/>
    <row r="16787" ht="26.25" customHeight="1"/>
    <row r="16788" ht="26.25" customHeight="1"/>
    <row r="16789" ht="26.25" customHeight="1"/>
    <row r="16790" ht="26.25" customHeight="1"/>
    <row r="16791" ht="26.25" customHeight="1"/>
    <row r="16792" ht="26.25" customHeight="1"/>
    <row r="16793" ht="26.25" customHeight="1"/>
    <row r="16794" ht="26.25" customHeight="1"/>
    <row r="16795" ht="26.25" customHeight="1"/>
    <row r="16796" ht="26.25" customHeight="1"/>
    <row r="16797" ht="26.25" customHeight="1"/>
    <row r="16798" ht="26.25" customHeight="1"/>
    <row r="16799" ht="26.25" customHeight="1"/>
    <row r="16800" ht="26.25" customHeight="1"/>
    <row r="16801" ht="26.25" customHeight="1"/>
    <row r="16802" ht="26.25" customHeight="1"/>
    <row r="16803" ht="26.25" customHeight="1"/>
    <row r="16804" ht="26.25" customHeight="1"/>
    <row r="16805" ht="26.25" customHeight="1"/>
    <row r="16806" ht="26.25" customHeight="1"/>
    <row r="16807" ht="26.25" customHeight="1"/>
    <row r="16808" ht="26.25" customHeight="1"/>
    <row r="16809" ht="26.25" customHeight="1"/>
    <row r="16810" ht="26.25" customHeight="1"/>
    <row r="16811" ht="26.25" customHeight="1"/>
    <row r="16812" ht="26.25" customHeight="1"/>
    <row r="16813" ht="26.25" customHeight="1"/>
    <row r="16814" ht="26.25" customHeight="1"/>
    <row r="16815" ht="26.25" customHeight="1"/>
    <row r="16816" ht="26.25" customHeight="1"/>
    <row r="16817" ht="26.25" customHeight="1"/>
    <row r="16818" ht="26.25" customHeight="1"/>
    <row r="16819" ht="26.25" customHeight="1"/>
    <row r="16820" ht="26.25" customHeight="1"/>
    <row r="16821" ht="26.25" customHeight="1"/>
    <row r="16822" ht="26.25" customHeight="1"/>
    <row r="16823" ht="26.25" customHeight="1"/>
    <row r="16824" ht="26.25" customHeight="1"/>
    <row r="16825" ht="26.25" customHeight="1"/>
    <row r="16826" ht="26.25" customHeight="1"/>
    <row r="16827" ht="26.25" customHeight="1"/>
    <row r="16828" ht="26.25" customHeight="1"/>
    <row r="16829" ht="26.25" customHeight="1"/>
    <row r="16830" ht="26.25" customHeight="1"/>
    <row r="16831" ht="26.25" customHeight="1"/>
    <row r="16832" ht="26.25" customHeight="1"/>
    <row r="16833" ht="26.25" customHeight="1"/>
    <row r="16834" ht="26.25" customHeight="1"/>
    <row r="16835" ht="26.25" customHeight="1"/>
    <row r="16836" ht="26.25" customHeight="1"/>
    <row r="16837" ht="26.25" customHeight="1"/>
    <row r="16838" ht="26.25" customHeight="1"/>
    <row r="16839" ht="26.25" customHeight="1"/>
    <row r="16840" ht="26.25" customHeight="1"/>
    <row r="16841" ht="26.25" customHeight="1"/>
    <row r="16842" ht="26.25" customHeight="1"/>
    <row r="16843" ht="26.25" customHeight="1"/>
    <row r="16844" ht="26.25" customHeight="1"/>
    <row r="16845" ht="26.25" customHeight="1"/>
    <row r="16846" ht="26.25" customHeight="1"/>
    <row r="16847" ht="26.25" customHeight="1"/>
    <row r="16848" ht="26.25" customHeight="1"/>
    <row r="16849" ht="26.25" customHeight="1"/>
    <row r="16850" ht="26.25" customHeight="1"/>
    <row r="16851" ht="26.25" customHeight="1"/>
    <row r="16852" ht="26.25" customHeight="1"/>
    <row r="16853" ht="26.25" customHeight="1"/>
    <row r="16854" ht="26.25" customHeight="1"/>
    <row r="16855" ht="26.25" customHeight="1"/>
    <row r="16856" ht="26.25" customHeight="1"/>
    <row r="16857" ht="26.25" customHeight="1"/>
    <row r="16858" ht="26.25" customHeight="1"/>
    <row r="16859" ht="26.25" customHeight="1"/>
    <row r="16860" ht="26.25" customHeight="1"/>
    <row r="16861" ht="26.25" customHeight="1"/>
    <row r="16862" ht="26.25" customHeight="1"/>
    <row r="16863" ht="26.25" customHeight="1"/>
    <row r="16864" ht="26.25" customHeight="1"/>
    <row r="16865" ht="26.25" customHeight="1"/>
    <row r="16866" ht="26.25" customHeight="1"/>
    <row r="16867" ht="26.25" customHeight="1"/>
    <row r="16868" ht="26.25" customHeight="1"/>
    <row r="16869" ht="26.25" customHeight="1"/>
    <row r="16870" ht="26.25" customHeight="1"/>
    <row r="16871" ht="26.25" customHeight="1"/>
    <row r="16872" ht="26.25" customHeight="1"/>
    <row r="16873" ht="26.25" customHeight="1"/>
    <row r="16874" ht="26.25" customHeight="1"/>
    <row r="16875" ht="26.25" customHeight="1"/>
    <row r="16876" ht="26.25" customHeight="1"/>
    <row r="16877" ht="26.25" customHeight="1"/>
    <row r="16878" ht="26.25" customHeight="1"/>
    <row r="16879" ht="26.25" customHeight="1"/>
    <row r="16880" ht="26.25" customHeight="1"/>
    <row r="16881" ht="26.25" customHeight="1"/>
    <row r="16882" ht="26.25" customHeight="1"/>
    <row r="16883" ht="26.25" customHeight="1"/>
    <row r="16884" ht="26.25" customHeight="1"/>
    <row r="16885" ht="26.25" customHeight="1"/>
    <row r="16886" ht="26.25" customHeight="1"/>
    <row r="16887" ht="26.25" customHeight="1"/>
    <row r="16888" ht="26.25" customHeight="1"/>
    <row r="16889" ht="26.25" customHeight="1"/>
    <row r="16890" ht="26.25" customHeight="1"/>
    <row r="16891" ht="26.25" customHeight="1"/>
    <row r="16892" ht="26.25" customHeight="1"/>
    <row r="16893" ht="26.25" customHeight="1"/>
    <row r="16894" ht="26.25" customHeight="1"/>
    <row r="16895" ht="26.25" customHeight="1"/>
    <row r="16896" ht="26.25" customHeight="1"/>
    <row r="16897" ht="26.25" customHeight="1"/>
    <row r="16898" ht="26.25" customHeight="1"/>
    <row r="16899" ht="26.25" customHeight="1"/>
    <row r="16900" ht="26.25" customHeight="1"/>
    <row r="16901" ht="26.25" customHeight="1"/>
    <row r="16902" ht="26.25" customHeight="1"/>
    <row r="16903" ht="26.25" customHeight="1"/>
    <row r="16904" ht="26.25" customHeight="1"/>
    <row r="16905" ht="26.25" customHeight="1"/>
    <row r="16906" ht="26.25" customHeight="1"/>
    <row r="16907" ht="26.25" customHeight="1"/>
    <row r="16908" ht="26.25" customHeight="1"/>
    <row r="16909" ht="26.25" customHeight="1"/>
    <row r="16910" ht="26.25" customHeight="1"/>
    <row r="16911" ht="26.25" customHeight="1"/>
    <row r="16912" ht="26.25" customHeight="1"/>
    <row r="16913" ht="26.25" customHeight="1"/>
    <row r="16914" ht="26.25" customHeight="1"/>
    <row r="16915" ht="26.25" customHeight="1"/>
    <row r="16916" ht="26.25" customHeight="1"/>
    <row r="16917" ht="26.25" customHeight="1"/>
    <row r="16918" ht="26.25" customHeight="1"/>
    <row r="16919" ht="26.25" customHeight="1"/>
    <row r="16920" ht="26.25" customHeight="1"/>
    <row r="16921" ht="26.25" customHeight="1"/>
    <row r="16922" ht="26.25" customHeight="1"/>
    <row r="16923" ht="26.25" customHeight="1"/>
    <row r="16924" ht="26.25" customHeight="1"/>
    <row r="16925" ht="26.25" customHeight="1"/>
    <row r="16926" ht="26.25" customHeight="1"/>
    <row r="16927" ht="26.25" customHeight="1"/>
    <row r="16928" ht="26.25" customHeight="1"/>
    <row r="16929" ht="26.25" customHeight="1"/>
    <row r="16930" ht="26.25" customHeight="1"/>
    <row r="16931" ht="26.25" customHeight="1"/>
    <row r="16932" ht="26.25" customHeight="1"/>
    <row r="16933" ht="26.25" customHeight="1"/>
    <row r="16934" ht="26.25" customHeight="1"/>
    <row r="16935" ht="26.25" customHeight="1"/>
    <row r="16936" ht="26.25" customHeight="1"/>
    <row r="16937" ht="26.25" customHeight="1"/>
    <row r="16938" ht="26.25" customHeight="1"/>
    <row r="16939" ht="26.25" customHeight="1"/>
    <row r="16940" ht="26.25" customHeight="1"/>
    <row r="16941" ht="26.25" customHeight="1"/>
    <row r="16942" ht="26.25" customHeight="1"/>
    <row r="16943" ht="26.25" customHeight="1"/>
    <row r="16944" ht="26.25" customHeight="1"/>
    <row r="16945" ht="26.25" customHeight="1"/>
    <row r="16946" ht="26.25" customHeight="1"/>
    <row r="16947" ht="26.25" customHeight="1"/>
    <row r="16948" ht="26.25" customHeight="1"/>
    <row r="16949" ht="26.25" customHeight="1"/>
    <row r="16950" ht="26.25" customHeight="1"/>
    <row r="16951" ht="26.25" customHeight="1"/>
    <row r="16952" ht="26.25" customHeight="1"/>
    <row r="16953" ht="26.25" customHeight="1"/>
    <row r="16954" ht="26.25" customHeight="1"/>
    <row r="16955" ht="26.25" customHeight="1"/>
    <row r="16956" ht="26.25" customHeight="1"/>
    <row r="16957" ht="26.25" customHeight="1"/>
    <row r="16958" ht="26.25" customHeight="1"/>
    <row r="16959" ht="26.25" customHeight="1"/>
    <row r="16960" ht="26.25" customHeight="1"/>
    <row r="16961" ht="26.25" customHeight="1"/>
    <row r="16962" ht="26.25" customHeight="1"/>
    <row r="16963" ht="26.25" customHeight="1"/>
    <row r="16964" ht="26.25" customHeight="1"/>
    <row r="16965" ht="26.25" customHeight="1"/>
    <row r="16966" ht="26.25" customHeight="1"/>
    <row r="16967" ht="26.25" customHeight="1"/>
    <row r="16968" ht="26.25" customHeight="1"/>
    <row r="16969" ht="26.25" customHeight="1"/>
    <row r="16970" ht="26.25" customHeight="1"/>
    <row r="16971" ht="26.25" customHeight="1"/>
    <row r="16972" ht="26.25" customHeight="1"/>
    <row r="16973" ht="26.25" customHeight="1"/>
    <row r="16974" ht="26.25" customHeight="1"/>
    <row r="16975" ht="26.25" customHeight="1"/>
    <row r="16976" ht="26.25" customHeight="1"/>
    <row r="16977" ht="26.25" customHeight="1"/>
    <row r="16978" ht="26.25" customHeight="1"/>
    <row r="16979" ht="26.25" customHeight="1"/>
    <row r="16980" ht="26.25" customHeight="1"/>
    <row r="16981" ht="26.25" customHeight="1"/>
    <row r="16982" ht="26.25" customHeight="1"/>
    <row r="16983" ht="26.25" customHeight="1"/>
    <row r="16984" ht="26.25" customHeight="1"/>
    <row r="16985" ht="26.25" customHeight="1"/>
    <row r="16986" ht="26.25" customHeight="1"/>
    <row r="16987" ht="26.25" customHeight="1"/>
    <row r="16988" ht="26.25" customHeight="1"/>
    <row r="16989" ht="26.25" customHeight="1"/>
    <row r="16990" ht="26.25" customHeight="1"/>
    <row r="16991" ht="26.25" customHeight="1"/>
    <row r="16992" ht="26.25" customHeight="1"/>
    <row r="16993" ht="26.25" customHeight="1"/>
    <row r="16994" ht="26.25" customHeight="1"/>
    <row r="16995" ht="26.25" customHeight="1"/>
    <row r="16996" ht="26.25" customHeight="1"/>
    <row r="16997" ht="26.25" customHeight="1"/>
    <row r="16998" ht="26.25" customHeight="1"/>
    <row r="16999" ht="26.25" customHeight="1"/>
    <row r="17000" ht="26.25" customHeight="1"/>
    <row r="17001" ht="26.25" customHeight="1"/>
    <row r="17002" ht="26.25" customHeight="1"/>
    <row r="17003" ht="26.25" customHeight="1"/>
    <row r="17004" ht="26.25" customHeight="1"/>
    <row r="17005" ht="26.25" customHeight="1"/>
    <row r="17006" ht="26.25" customHeight="1"/>
    <row r="17007" ht="26.25" customHeight="1"/>
    <row r="17008" ht="26.25" customHeight="1"/>
    <row r="17009" ht="26.25" customHeight="1"/>
    <row r="17010" ht="26.25" customHeight="1"/>
    <row r="17011" ht="26.25" customHeight="1"/>
    <row r="17012" ht="26.25" customHeight="1"/>
    <row r="17013" ht="26.25" customHeight="1"/>
    <row r="17014" ht="26.25" customHeight="1"/>
    <row r="17015" ht="26.25" customHeight="1"/>
    <row r="17016" ht="26.25" customHeight="1"/>
    <row r="17017" ht="26.25" customHeight="1"/>
    <row r="17018" ht="26.25" customHeight="1"/>
    <row r="17019" ht="26.25" customHeight="1"/>
    <row r="17020" ht="26.25" customHeight="1"/>
    <row r="17021" ht="26.25" customHeight="1"/>
    <row r="17022" ht="26.25" customHeight="1"/>
    <row r="17023" ht="26.25" customHeight="1"/>
    <row r="17024" ht="26.25" customHeight="1"/>
    <row r="17025" ht="26.25" customHeight="1"/>
    <row r="17026" ht="26.25" customHeight="1"/>
    <row r="17027" ht="26.25" customHeight="1"/>
    <row r="17028" ht="26.25" customHeight="1"/>
    <row r="17029" ht="26.25" customHeight="1"/>
    <row r="17030" ht="26.25" customHeight="1"/>
    <row r="17031" ht="26.25" customHeight="1"/>
    <row r="17032" ht="26.25" customHeight="1"/>
    <row r="17033" ht="26.25" customHeight="1"/>
    <row r="17034" ht="26.25" customHeight="1"/>
    <row r="17035" ht="26.25" customHeight="1"/>
    <row r="17036" ht="26.25" customHeight="1"/>
    <row r="17037" ht="26.25" customHeight="1"/>
    <row r="17038" ht="26.25" customHeight="1"/>
    <row r="17039" ht="26.25" customHeight="1"/>
    <row r="17040" ht="26.25" customHeight="1"/>
    <row r="17041" ht="26.25" customHeight="1"/>
    <row r="17042" ht="26.25" customHeight="1"/>
    <row r="17043" ht="26.25" customHeight="1"/>
    <row r="17044" ht="26.25" customHeight="1"/>
    <row r="17045" ht="26.25" customHeight="1"/>
    <row r="17046" ht="26.25" customHeight="1"/>
    <row r="17047" ht="26.25" customHeight="1"/>
    <row r="17048" ht="26.25" customHeight="1"/>
    <row r="17049" ht="26.25" customHeight="1"/>
    <row r="17050" ht="26.25" customHeight="1"/>
    <row r="17051" ht="26.25" customHeight="1"/>
    <row r="17052" ht="26.25" customHeight="1"/>
    <row r="17053" ht="26.25" customHeight="1"/>
    <row r="17054" ht="26.25" customHeight="1"/>
    <row r="17055" ht="26.25" customHeight="1"/>
    <row r="17056" ht="26.25" customHeight="1"/>
    <row r="17057" ht="26.25" customHeight="1"/>
    <row r="17058" ht="26.25" customHeight="1"/>
    <row r="17059" ht="26.25" customHeight="1"/>
    <row r="17060" ht="26.25" customHeight="1"/>
    <row r="17061" ht="26.25" customHeight="1"/>
    <row r="17062" ht="26.25" customHeight="1"/>
    <row r="17063" ht="26.25" customHeight="1"/>
    <row r="17064" ht="26.25" customHeight="1"/>
    <row r="17065" ht="26.25" customHeight="1"/>
    <row r="17066" ht="26.25" customHeight="1"/>
    <row r="17067" ht="26.25" customHeight="1"/>
    <row r="17068" ht="26.25" customHeight="1"/>
    <row r="17069" ht="26.25" customHeight="1"/>
    <row r="17070" ht="26.25" customHeight="1"/>
    <row r="17071" ht="26.25" customHeight="1"/>
    <row r="17072" ht="26.25" customHeight="1"/>
    <row r="17073" ht="26.25" customHeight="1"/>
    <row r="17074" ht="26.25" customHeight="1"/>
    <row r="17075" ht="26.25" customHeight="1"/>
    <row r="17076" ht="26.25" customHeight="1"/>
    <row r="17077" ht="26.25" customHeight="1"/>
    <row r="17078" ht="26.25" customHeight="1"/>
    <row r="17079" ht="26.25" customHeight="1"/>
    <row r="17080" ht="26.25" customHeight="1"/>
    <row r="17081" ht="26.25" customHeight="1"/>
    <row r="17082" ht="26.25" customHeight="1"/>
    <row r="17083" ht="26.25" customHeight="1"/>
    <row r="17084" ht="26.25" customHeight="1"/>
    <row r="17085" ht="26.25" customHeight="1"/>
    <row r="17086" ht="26.25" customHeight="1"/>
    <row r="17087" ht="26.25" customHeight="1"/>
    <row r="17088" ht="26.25" customHeight="1"/>
    <row r="17089" ht="26.25" customHeight="1"/>
    <row r="17090" ht="26.25" customHeight="1"/>
    <row r="17091" ht="26.25" customHeight="1"/>
    <row r="17092" ht="26.25" customHeight="1"/>
    <row r="17093" ht="26.25" customHeight="1"/>
    <row r="17094" ht="26.25" customHeight="1"/>
    <row r="17095" ht="26.25" customHeight="1"/>
    <row r="17096" ht="26.25" customHeight="1"/>
    <row r="17097" ht="26.25" customHeight="1"/>
    <row r="17098" ht="26.25" customHeight="1"/>
    <row r="17099" ht="26.25" customHeight="1"/>
    <row r="17100" ht="26.25" customHeight="1"/>
    <row r="17101" ht="26.25" customHeight="1"/>
    <row r="17102" ht="26.25" customHeight="1"/>
    <row r="17103" ht="26.25" customHeight="1"/>
    <row r="17104" ht="26.25" customHeight="1"/>
    <row r="17105" ht="26.25" customHeight="1"/>
    <row r="17106" ht="26.25" customHeight="1"/>
    <row r="17107" ht="26.25" customHeight="1"/>
    <row r="17108" ht="26.25" customHeight="1"/>
    <row r="17109" ht="26.25" customHeight="1"/>
    <row r="17110" ht="26.25" customHeight="1"/>
    <row r="17111" ht="26.25" customHeight="1"/>
    <row r="17112" ht="26.25" customHeight="1"/>
    <row r="17113" ht="26.25" customHeight="1"/>
    <row r="17114" ht="26.25" customHeight="1"/>
    <row r="17115" ht="26.25" customHeight="1"/>
    <row r="17116" ht="26.25" customHeight="1"/>
    <row r="17117" ht="26.25" customHeight="1"/>
    <row r="17118" ht="26.25" customHeight="1"/>
    <row r="17119" ht="26.25" customHeight="1"/>
    <row r="17120" ht="26.25" customHeight="1"/>
    <row r="17121" ht="26.25" customHeight="1"/>
    <row r="17122" ht="26.25" customHeight="1"/>
    <row r="17123" ht="26.25" customHeight="1"/>
    <row r="17124" ht="26.25" customHeight="1"/>
    <row r="17125" ht="26.25" customHeight="1"/>
    <row r="17126" ht="26.25" customHeight="1"/>
    <row r="17127" ht="26.25" customHeight="1"/>
    <row r="17128" ht="26.25" customHeight="1"/>
    <row r="17129" ht="26.25" customHeight="1"/>
    <row r="17130" ht="26.25" customHeight="1"/>
    <row r="17131" ht="26.25" customHeight="1"/>
    <row r="17132" ht="26.25" customHeight="1"/>
    <row r="17133" ht="26.25" customHeight="1"/>
    <row r="17134" ht="26.25" customHeight="1"/>
    <row r="17135" ht="26.25" customHeight="1"/>
    <row r="17136" ht="26.25" customHeight="1"/>
    <row r="17137" ht="26.25" customHeight="1"/>
    <row r="17138" ht="26.25" customHeight="1"/>
    <row r="17139" ht="26.25" customHeight="1"/>
    <row r="17140" ht="26.25" customHeight="1"/>
    <row r="17141" ht="26.25" customHeight="1"/>
    <row r="17142" ht="26.25" customHeight="1"/>
    <row r="17143" ht="26.25" customHeight="1"/>
    <row r="17144" ht="26.25" customHeight="1"/>
    <row r="17145" ht="26.25" customHeight="1"/>
    <row r="17146" ht="26.25" customHeight="1"/>
    <row r="17147" ht="26.25" customHeight="1"/>
    <row r="17148" ht="26.25" customHeight="1"/>
    <row r="17149" ht="26.25" customHeight="1"/>
    <row r="17150" ht="26.25" customHeight="1"/>
    <row r="17151" ht="26.25" customHeight="1"/>
    <row r="17152" ht="26.25" customHeight="1"/>
    <row r="17153" ht="26.25" customHeight="1"/>
    <row r="17154" ht="26.25" customHeight="1"/>
    <row r="17155" ht="26.25" customHeight="1"/>
    <row r="17156" ht="26.25" customHeight="1"/>
    <row r="17157" ht="26.25" customHeight="1"/>
    <row r="17158" ht="26.25" customHeight="1"/>
    <row r="17159" ht="26.25" customHeight="1"/>
    <row r="17160" ht="26.25" customHeight="1"/>
    <row r="17161" ht="26.25" customHeight="1"/>
    <row r="17162" ht="26.25" customHeight="1"/>
    <row r="17163" ht="26.25" customHeight="1"/>
    <row r="17164" ht="26.25" customHeight="1"/>
    <row r="17165" ht="26.25" customHeight="1"/>
    <row r="17166" ht="26.25" customHeight="1"/>
    <row r="17167" ht="26.25" customHeight="1"/>
    <row r="17168" ht="26.25" customHeight="1"/>
    <row r="17169" ht="26.25" customHeight="1"/>
    <row r="17170" ht="26.25" customHeight="1"/>
    <row r="17171" ht="26.25" customHeight="1"/>
    <row r="17172" ht="26.25" customHeight="1"/>
    <row r="17173" ht="26.25" customHeight="1"/>
    <row r="17174" ht="26.25" customHeight="1"/>
    <row r="17175" ht="26.25" customHeight="1"/>
    <row r="17176" ht="26.25" customHeight="1"/>
    <row r="17177" ht="26.25" customHeight="1"/>
    <row r="17178" ht="26.25" customHeight="1"/>
    <row r="17179" ht="26.25" customHeight="1"/>
    <row r="17180" ht="26.25" customHeight="1"/>
    <row r="17181" ht="26.25" customHeight="1"/>
    <row r="17182" ht="26.25" customHeight="1"/>
    <row r="17183" ht="26.25" customHeight="1"/>
    <row r="17184" ht="26.25" customHeight="1"/>
    <row r="17185" ht="26.25" customHeight="1"/>
    <row r="17186" ht="26.25" customHeight="1"/>
    <row r="17187" ht="26.25" customHeight="1"/>
    <row r="17188" ht="26.25" customHeight="1"/>
    <row r="17189" ht="26.25" customHeight="1"/>
    <row r="17190" ht="26.25" customHeight="1"/>
    <row r="17191" ht="26.25" customHeight="1"/>
    <row r="17192" ht="26.25" customHeight="1"/>
    <row r="17193" ht="26.25" customHeight="1"/>
    <row r="17194" ht="26.25" customHeight="1"/>
    <row r="17195" ht="26.25" customHeight="1"/>
    <row r="17196" ht="26.25" customHeight="1"/>
    <row r="17197" ht="26.25" customHeight="1"/>
    <row r="17198" ht="26.25" customHeight="1"/>
    <row r="17199" ht="26.25" customHeight="1"/>
    <row r="17200" ht="26.25" customHeight="1"/>
    <row r="17201" ht="26.25" customHeight="1"/>
    <row r="17202" ht="26.25" customHeight="1"/>
    <row r="17203" ht="26.25" customHeight="1"/>
    <row r="17204" ht="26.25" customHeight="1"/>
    <row r="17205" ht="26.25" customHeight="1"/>
    <row r="17206" ht="26.25" customHeight="1"/>
    <row r="17207" ht="26.25" customHeight="1"/>
    <row r="17208" ht="26.25" customHeight="1"/>
    <row r="17209" ht="26.25" customHeight="1"/>
    <row r="17210" ht="26.25" customHeight="1"/>
    <row r="17211" ht="26.25" customHeight="1"/>
    <row r="17212" ht="26.25" customHeight="1"/>
    <row r="17213" ht="26.25" customHeight="1"/>
    <row r="17214" ht="26.25" customHeight="1"/>
    <row r="17215" ht="26.25" customHeight="1"/>
    <row r="17216" ht="26.25" customHeight="1"/>
    <row r="17217" ht="26.25" customHeight="1"/>
    <row r="17218" ht="26.25" customHeight="1"/>
    <row r="17219" ht="26.25" customHeight="1"/>
    <row r="17220" ht="26.25" customHeight="1"/>
    <row r="17221" ht="26.25" customHeight="1"/>
    <row r="17222" ht="26.25" customHeight="1"/>
    <row r="17223" ht="26.25" customHeight="1"/>
    <row r="17224" ht="26.25" customHeight="1"/>
    <row r="17225" ht="26.25" customHeight="1"/>
    <row r="17226" ht="26.25" customHeight="1"/>
    <row r="17227" ht="26.25" customHeight="1"/>
    <row r="17228" ht="26.25" customHeight="1"/>
    <row r="17229" ht="26.25" customHeight="1"/>
    <row r="17230" ht="26.25" customHeight="1"/>
    <row r="17231" ht="26.25" customHeight="1"/>
    <row r="17232" ht="26.25" customHeight="1"/>
    <row r="17233" ht="26.25" customHeight="1"/>
    <row r="17234" ht="26.25" customHeight="1"/>
    <row r="17235" ht="26.25" customHeight="1"/>
    <row r="17236" ht="26.25" customHeight="1"/>
    <row r="17237" ht="26.25" customHeight="1"/>
    <row r="17238" ht="26.25" customHeight="1"/>
    <row r="17239" ht="26.25" customHeight="1"/>
    <row r="17240" ht="26.25" customHeight="1"/>
    <row r="17241" ht="26.25" customHeight="1"/>
    <row r="17242" ht="26.25" customHeight="1"/>
    <row r="17243" ht="26.25" customHeight="1"/>
    <row r="17244" ht="26.25" customHeight="1"/>
    <row r="17245" ht="26.25" customHeight="1"/>
    <row r="17246" ht="26.25" customHeight="1"/>
    <row r="17247" ht="26.25" customHeight="1"/>
    <row r="17248" ht="26.25" customHeight="1"/>
    <row r="17249" ht="26.25" customHeight="1"/>
    <row r="17250" ht="26.25" customHeight="1"/>
    <row r="17251" ht="26.25" customHeight="1"/>
    <row r="17252" ht="26.25" customHeight="1"/>
    <row r="17253" ht="26.25" customHeight="1"/>
    <row r="17254" ht="26.25" customHeight="1"/>
    <row r="17255" ht="26.25" customHeight="1"/>
    <row r="17256" ht="26.25" customHeight="1"/>
    <row r="17257" ht="26.25" customHeight="1"/>
    <row r="17258" ht="26.25" customHeight="1"/>
    <row r="17259" ht="26.25" customHeight="1"/>
    <row r="17260" ht="26.25" customHeight="1"/>
    <row r="17261" ht="26.25" customHeight="1"/>
    <row r="17262" ht="26.25" customHeight="1"/>
    <row r="17263" ht="26.25" customHeight="1"/>
    <row r="17264" ht="26.25" customHeight="1"/>
    <row r="17265" ht="26.25" customHeight="1"/>
    <row r="17266" ht="26.25" customHeight="1"/>
    <row r="17267" ht="26.25" customHeight="1"/>
    <row r="17268" ht="26.25" customHeight="1"/>
    <row r="17269" ht="26.25" customHeight="1"/>
    <row r="17270" ht="26.25" customHeight="1"/>
    <row r="17271" ht="26.25" customHeight="1"/>
    <row r="17272" ht="26.25" customHeight="1"/>
    <row r="17273" ht="26.25" customHeight="1"/>
    <row r="17274" ht="26.25" customHeight="1"/>
    <row r="17275" ht="26.25" customHeight="1"/>
    <row r="17276" ht="26.25" customHeight="1"/>
    <row r="17277" ht="26.25" customHeight="1"/>
    <row r="17278" ht="26.25" customHeight="1"/>
    <row r="17279" ht="26.25" customHeight="1"/>
    <row r="17280" ht="26.25" customHeight="1"/>
    <row r="17281" ht="26.25" customHeight="1"/>
    <row r="17282" ht="26.25" customHeight="1"/>
    <row r="17283" ht="26.25" customHeight="1"/>
    <row r="17284" ht="26.25" customHeight="1"/>
    <row r="17285" ht="26.25" customHeight="1"/>
    <row r="17286" ht="26.25" customHeight="1"/>
    <row r="17287" ht="26.25" customHeight="1"/>
    <row r="17288" ht="26.25" customHeight="1"/>
    <row r="17289" ht="26.25" customHeight="1"/>
    <row r="17290" ht="26.25" customHeight="1"/>
    <row r="17291" ht="26.25" customHeight="1"/>
    <row r="17292" ht="26.25" customHeight="1"/>
    <row r="17293" ht="26.25" customHeight="1"/>
    <row r="17294" ht="26.25" customHeight="1"/>
    <row r="17295" ht="26.25" customHeight="1"/>
    <row r="17296" ht="26.25" customHeight="1"/>
    <row r="17297" ht="26.25" customHeight="1"/>
    <row r="17298" ht="26.25" customHeight="1"/>
    <row r="17299" ht="26.25" customHeight="1"/>
    <row r="17300" ht="26.25" customHeight="1"/>
    <row r="17301" ht="26.25" customHeight="1"/>
    <row r="17302" ht="26.25" customHeight="1"/>
    <row r="17303" ht="26.25" customHeight="1"/>
    <row r="17304" ht="26.25" customHeight="1"/>
    <row r="17305" ht="26.25" customHeight="1"/>
    <row r="17306" ht="26.25" customHeight="1"/>
    <row r="17307" ht="26.25" customHeight="1"/>
    <row r="17308" ht="26.25" customHeight="1"/>
    <row r="17309" ht="26.25" customHeight="1"/>
    <row r="17310" ht="26.25" customHeight="1"/>
    <row r="17311" ht="26.25" customHeight="1"/>
    <row r="17312" ht="26.25" customHeight="1"/>
    <row r="17313" ht="26.25" customHeight="1"/>
    <row r="17314" ht="26.25" customHeight="1"/>
    <row r="17315" ht="26.25" customHeight="1"/>
    <row r="17316" ht="26.25" customHeight="1"/>
    <row r="17317" ht="26.25" customHeight="1"/>
    <row r="17318" ht="26.25" customHeight="1"/>
    <row r="17319" ht="26.25" customHeight="1"/>
    <row r="17320" ht="26.25" customHeight="1"/>
    <row r="17321" ht="26.25" customHeight="1"/>
    <row r="17322" ht="26.25" customHeight="1"/>
    <row r="17323" ht="26.25" customHeight="1"/>
    <row r="17324" ht="26.25" customHeight="1"/>
    <row r="17325" ht="26.25" customHeight="1"/>
    <row r="17326" ht="26.25" customHeight="1"/>
    <row r="17327" ht="26.25" customHeight="1"/>
    <row r="17328" ht="26.25" customHeight="1"/>
    <row r="17329" ht="26.25" customHeight="1"/>
    <row r="17330" ht="26.25" customHeight="1"/>
    <row r="17331" ht="26.25" customHeight="1"/>
    <row r="17332" ht="26.25" customHeight="1"/>
    <row r="17333" ht="26.25" customHeight="1"/>
    <row r="17334" ht="26.25" customHeight="1"/>
    <row r="17335" ht="26.25" customHeight="1"/>
    <row r="17336" ht="26.25" customHeight="1"/>
    <row r="17337" ht="26.25" customHeight="1"/>
    <row r="17338" ht="26.25" customHeight="1"/>
    <row r="17339" ht="26.25" customHeight="1"/>
    <row r="17340" ht="26.25" customHeight="1"/>
    <row r="17341" ht="26.25" customHeight="1"/>
    <row r="17342" ht="26.25" customHeight="1"/>
    <row r="17343" ht="26.25" customHeight="1"/>
    <row r="17344" ht="26.25" customHeight="1"/>
    <row r="17345" ht="26.25" customHeight="1"/>
    <row r="17346" ht="26.25" customHeight="1"/>
    <row r="17347" ht="26.25" customHeight="1"/>
    <row r="17348" ht="26.25" customHeight="1"/>
    <row r="17349" ht="26.25" customHeight="1"/>
    <row r="17350" ht="26.25" customHeight="1"/>
    <row r="17351" ht="26.25" customHeight="1"/>
    <row r="17352" ht="26.25" customHeight="1"/>
    <row r="17353" ht="26.25" customHeight="1"/>
    <row r="17354" ht="26.25" customHeight="1"/>
    <row r="17355" ht="26.25" customHeight="1"/>
    <row r="17356" ht="26.25" customHeight="1"/>
    <row r="17357" ht="26.25" customHeight="1"/>
    <row r="17358" ht="26.25" customHeight="1"/>
    <row r="17359" ht="26.25" customHeight="1"/>
    <row r="17360" ht="26.25" customHeight="1"/>
    <row r="17361" ht="26.25" customHeight="1"/>
    <row r="17362" ht="26.25" customHeight="1"/>
    <row r="17363" ht="26.25" customHeight="1"/>
    <row r="17364" ht="26.25" customHeight="1"/>
    <row r="17365" ht="26.25" customHeight="1"/>
    <row r="17366" ht="26.25" customHeight="1"/>
    <row r="17367" ht="26.25" customHeight="1"/>
    <row r="17368" ht="26.25" customHeight="1"/>
    <row r="17369" ht="26.25" customHeight="1"/>
    <row r="17370" ht="26.25" customHeight="1"/>
    <row r="17371" ht="26.25" customHeight="1"/>
    <row r="17372" ht="26.25" customHeight="1"/>
    <row r="17373" ht="26.25" customHeight="1"/>
    <row r="17374" ht="26.25" customHeight="1"/>
    <row r="17375" ht="26.25" customHeight="1"/>
    <row r="17376" ht="26.25" customHeight="1"/>
    <row r="17377" ht="26.25" customHeight="1"/>
    <row r="17378" ht="26.25" customHeight="1"/>
    <row r="17379" ht="26.25" customHeight="1"/>
    <row r="17380" ht="26.25" customHeight="1"/>
    <row r="17381" ht="26.25" customHeight="1"/>
    <row r="17382" ht="26.25" customHeight="1"/>
    <row r="17383" ht="26.25" customHeight="1"/>
    <row r="17384" ht="26.25" customHeight="1"/>
    <row r="17385" ht="26.25" customHeight="1"/>
    <row r="17386" ht="26.25" customHeight="1"/>
    <row r="17387" ht="26.25" customHeight="1"/>
    <row r="17388" ht="26.25" customHeight="1"/>
    <row r="17389" ht="26.25" customHeight="1"/>
    <row r="17390" ht="26.25" customHeight="1"/>
    <row r="17391" ht="26.25" customHeight="1"/>
    <row r="17392" ht="26.25" customHeight="1"/>
    <row r="17393" ht="26.25" customHeight="1"/>
    <row r="17394" ht="26.25" customHeight="1"/>
    <row r="17395" ht="26.25" customHeight="1"/>
    <row r="17396" ht="26.25" customHeight="1"/>
    <row r="17397" ht="26.25" customHeight="1"/>
    <row r="17398" ht="26.25" customHeight="1"/>
    <row r="17399" ht="26.25" customHeight="1"/>
    <row r="17400" ht="26.25" customHeight="1"/>
    <row r="17401" ht="26.25" customHeight="1"/>
    <row r="17402" ht="26.25" customHeight="1"/>
    <row r="17403" ht="26.25" customHeight="1"/>
    <row r="17404" ht="26.25" customHeight="1"/>
    <row r="17405" ht="26.25" customHeight="1"/>
    <row r="17406" ht="26.25" customHeight="1"/>
    <row r="17407" ht="26.25" customHeight="1"/>
    <row r="17408" ht="26.25" customHeight="1"/>
    <row r="17409" ht="26.25" customHeight="1"/>
    <row r="17410" ht="26.25" customHeight="1"/>
    <row r="17411" ht="26.25" customHeight="1"/>
    <row r="17412" ht="26.25" customHeight="1"/>
    <row r="17413" ht="26.25" customHeight="1"/>
    <row r="17414" ht="26.25" customHeight="1"/>
    <row r="17415" ht="26.25" customHeight="1"/>
    <row r="17416" ht="26.25" customHeight="1"/>
    <row r="17417" ht="26.25" customHeight="1"/>
    <row r="17418" ht="26.25" customHeight="1"/>
    <row r="17419" ht="26.25" customHeight="1"/>
    <row r="17420" ht="26.25" customHeight="1"/>
    <row r="17421" ht="26.25" customHeight="1"/>
    <row r="17422" ht="26.25" customHeight="1"/>
    <row r="17423" ht="26.25" customHeight="1"/>
    <row r="17424" ht="26.25" customHeight="1"/>
    <row r="17425" ht="26.25" customHeight="1"/>
    <row r="17426" ht="26.25" customHeight="1"/>
    <row r="17427" ht="26.25" customHeight="1"/>
    <row r="17428" ht="26.25" customHeight="1"/>
    <row r="17429" ht="26.25" customHeight="1"/>
    <row r="17430" ht="26.25" customHeight="1"/>
    <row r="17431" ht="26.25" customHeight="1"/>
    <row r="17432" ht="26.25" customHeight="1"/>
    <row r="17433" ht="26.25" customHeight="1"/>
    <row r="17434" ht="26.25" customHeight="1"/>
    <row r="17435" ht="26.25" customHeight="1"/>
    <row r="17436" ht="26.25" customHeight="1"/>
    <row r="17437" ht="26.25" customHeight="1"/>
    <row r="17438" ht="26.25" customHeight="1"/>
    <row r="17439" ht="26.25" customHeight="1"/>
    <row r="17440" ht="26.25" customHeight="1"/>
    <row r="17441" ht="26.25" customHeight="1"/>
    <row r="17442" ht="26.25" customHeight="1"/>
    <row r="17443" ht="26.25" customHeight="1"/>
    <row r="17444" ht="26.25" customHeight="1"/>
    <row r="17445" ht="26.25" customHeight="1"/>
    <row r="17446" ht="26.25" customHeight="1"/>
    <row r="17447" ht="26.25" customHeight="1"/>
    <row r="17448" ht="26.25" customHeight="1"/>
    <row r="17449" ht="26.25" customHeight="1"/>
    <row r="17450" ht="26.25" customHeight="1"/>
    <row r="17451" ht="26.25" customHeight="1"/>
    <row r="17452" ht="26.25" customHeight="1"/>
    <row r="17453" ht="26.25" customHeight="1"/>
    <row r="17454" ht="26.25" customHeight="1"/>
    <row r="17455" ht="26.25" customHeight="1"/>
    <row r="17456" ht="26.25" customHeight="1"/>
    <row r="17457" ht="26.25" customHeight="1"/>
    <row r="17458" ht="26.25" customHeight="1"/>
    <row r="17459" ht="26.25" customHeight="1"/>
    <row r="17460" ht="26.25" customHeight="1"/>
    <row r="17461" ht="26.25" customHeight="1"/>
    <row r="17462" ht="26.25" customHeight="1"/>
    <row r="17463" ht="26.25" customHeight="1"/>
    <row r="17464" ht="26.25" customHeight="1"/>
    <row r="17465" ht="26.25" customHeight="1"/>
    <row r="17466" ht="26.25" customHeight="1"/>
    <row r="17467" ht="26.25" customHeight="1"/>
    <row r="17468" ht="26.25" customHeight="1"/>
    <row r="17469" ht="26.25" customHeight="1"/>
    <row r="17470" ht="26.25" customHeight="1"/>
    <row r="17471" ht="26.25" customHeight="1"/>
    <row r="17472" ht="26.25" customHeight="1"/>
    <row r="17473" ht="26.25" customHeight="1"/>
    <row r="17474" ht="26.25" customHeight="1"/>
    <row r="17475" ht="26.25" customHeight="1"/>
    <row r="17476" ht="26.25" customHeight="1"/>
    <row r="17477" ht="26.25" customHeight="1"/>
    <row r="17478" ht="26.25" customHeight="1"/>
    <row r="17479" ht="26.25" customHeight="1"/>
    <row r="17480" ht="26.25" customHeight="1"/>
    <row r="17481" ht="26.25" customHeight="1"/>
    <row r="17482" ht="26.25" customHeight="1"/>
    <row r="17483" ht="26.25" customHeight="1"/>
    <row r="17484" ht="26.25" customHeight="1"/>
    <row r="17485" ht="26.25" customHeight="1"/>
    <row r="17486" ht="26.25" customHeight="1"/>
    <row r="17487" ht="26.25" customHeight="1"/>
    <row r="17488" ht="26.25" customHeight="1"/>
    <row r="17489" ht="26.25" customHeight="1"/>
    <row r="17490" ht="26.25" customHeight="1"/>
    <row r="17491" ht="26.25" customHeight="1"/>
    <row r="17492" ht="26.25" customHeight="1"/>
    <row r="17493" ht="26.25" customHeight="1"/>
    <row r="17494" ht="26.25" customHeight="1"/>
    <row r="17495" ht="26.25" customHeight="1"/>
    <row r="17496" ht="26.25" customHeight="1"/>
    <row r="17497" ht="26.25" customHeight="1"/>
    <row r="17498" ht="26.25" customHeight="1"/>
    <row r="17499" ht="26.25" customHeight="1"/>
    <row r="17500" ht="26.25" customHeight="1"/>
    <row r="17501" ht="26.25" customHeight="1"/>
    <row r="17502" ht="26.25" customHeight="1"/>
    <row r="17503" ht="26.25" customHeight="1"/>
    <row r="17504" ht="26.25" customHeight="1"/>
    <row r="17505" ht="26.25" customHeight="1"/>
    <row r="17506" ht="26.25" customHeight="1"/>
    <row r="17507" ht="26.25" customHeight="1"/>
    <row r="17508" ht="26.25" customHeight="1"/>
    <row r="17509" ht="26.25" customHeight="1"/>
    <row r="17510" ht="26.25" customHeight="1"/>
    <row r="17511" ht="26.25" customHeight="1"/>
    <row r="17512" ht="26.25" customHeight="1"/>
    <row r="17513" ht="26.25" customHeight="1"/>
    <row r="17514" ht="26.25" customHeight="1"/>
    <row r="17515" ht="26.25" customHeight="1"/>
    <row r="17516" ht="26.25" customHeight="1"/>
    <row r="17517" ht="26.25" customHeight="1"/>
    <row r="17518" ht="26.25" customHeight="1"/>
    <row r="17519" ht="26.25" customHeight="1"/>
    <row r="17520" ht="26.25" customHeight="1"/>
    <row r="17521" ht="26.25" customHeight="1"/>
    <row r="17522" ht="26.25" customHeight="1"/>
    <row r="17523" ht="26.25" customHeight="1"/>
    <row r="17524" ht="26.25" customHeight="1"/>
    <row r="17525" ht="26.25" customHeight="1"/>
    <row r="17526" ht="26.25" customHeight="1"/>
    <row r="17527" ht="26.25" customHeight="1"/>
    <row r="17528" ht="26.25" customHeight="1"/>
    <row r="17529" ht="26.25" customHeight="1"/>
    <row r="17530" ht="26.25" customHeight="1"/>
    <row r="17531" ht="26.25" customHeight="1"/>
    <row r="17532" ht="26.25" customHeight="1"/>
    <row r="17533" ht="26.25" customHeight="1"/>
    <row r="17534" ht="26.25" customHeight="1"/>
    <row r="17535" ht="26.25" customHeight="1"/>
    <row r="17536" ht="26.25" customHeight="1"/>
    <row r="17537" ht="26.25" customHeight="1"/>
    <row r="17538" ht="26.25" customHeight="1"/>
    <row r="17539" ht="26.25" customHeight="1"/>
    <row r="17540" ht="26.25" customHeight="1"/>
    <row r="17541" ht="26.25" customHeight="1"/>
    <row r="17542" ht="26.25" customHeight="1"/>
    <row r="17543" ht="26.25" customHeight="1"/>
    <row r="17544" ht="26.25" customHeight="1"/>
    <row r="17545" ht="26.25" customHeight="1"/>
    <row r="17546" ht="26.25" customHeight="1"/>
    <row r="17547" ht="26.25" customHeight="1"/>
    <row r="17548" ht="26.25" customHeight="1"/>
    <row r="17549" ht="26.25" customHeight="1"/>
    <row r="17550" ht="26.25" customHeight="1"/>
    <row r="17551" ht="26.25" customHeight="1"/>
    <row r="17552" ht="26.25" customHeight="1"/>
    <row r="17553" ht="26.25" customHeight="1"/>
    <row r="17554" ht="26.25" customHeight="1"/>
    <row r="17555" ht="26.25" customHeight="1"/>
    <row r="17556" ht="26.25" customHeight="1"/>
    <row r="17557" ht="26.25" customHeight="1"/>
    <row r="17558" ht="26.25" customHeight="1"/>
    <row r="17559" ht="26.25" customHeight="1"/>
    <row r="17560" ht="26.25" customHeight="1"/>
    <row r="17561" ht="26.25" customHeight="1"/>
    <row r="17562" ht="26.25" customHeight="1"/>
    <row r="17563" ht="26.25" customHeight="1"/>
    <row r="17564" ht="26.25" customHeight="1"/>
    <row r="17565" ht="26.25" customHeight="1"/>
    <row r="17566" ht="26.25" customHeight="1"/>
    <row r="17567" ht="26.25" customHeight="1"/>
    <row r="17568" ht="26.25" customHeight="1"/>
    <row r="17569" ht="26.25" customHeight="1"/>
    <row r="17570" ht="26.25" customHeight="1"/>
    <row r="17571" ht="26.25" customHeight="1"/>
    <row r="17572" ht="26.25" customHeight="1"/>
    <row r="17573" ht="26.25" customHeight="1"/>
    <row r="17574" ht="26.25" customHeight="1"/>
    <row r="17575" ht="26.25" customHeight="1"/>
    <row r="17576" ht="26.25" customHeight="1"/>
    <row r="17577" ht="26.25" customHeight="1"/>
    <row r="17578" ht="26.25" customHeight="1"/>
    <row r="17579" ht="26.25" customHeight="1"/>
    <row r="17580" ht="26.25" customHeight="1"/>
    <row r="17581" ht="26.25" customHeight="1"/>
    <row r="17582" ht="26.25" customHeight="1"/>
    <row r="17583" ht="26.25" customHeight="1"/>
    <row r="17584" ht="26.25" customHeight="1"/>
    <row r="17585" ht="26.25" customHeight="1"/>
    <row r="17586" ht="26.25" customHeight="1"/>
    <row r="17587" ht="26.25" customHeight="1"/>
    <row r="17588" ht="26.25" customHeight="1"/>
    <row r="17589" ht="26.25" customHeight="1"/>
    <row r="17590" ht="26.25" customHeight="1"/>
    <row r="17591" ht="26.25" customHeight="1"/>
    <row r="17592" ht="26.25" customHeight="1"/>
    <row r="17593" ht="26.25" customHeight="1"/>
    <row r="17594" ht="26.25" customHeight="1"/>
    <row r="17595" ht="26.25" customHeight="1"/>
    <row r="17596" ht="26.25" customHeight="1"/>
    <row r="17597" ht="26.25" customHeight="1"/>
    <row r="17598" ht="26.25" customHeight="1"/>
    <row r="17599" ht="26.25" customHeight="1"/>
    <row r="17600" ht="26.25" customHeight="1"/>
    <row r="17601" ht="26.25" customHeight="1"/>
    <row r="17602" ht="26.25" customHeight="1"/>
    <row r="17603" ht="26.25" customHeight="1"/>
    <row r="17604" ht="26.25" customHeight="1"/>
    <row r="17605" ht="26.25" customHeight="1"/>
    <row r="17606" ht="26.25" customHeight="1"/>
    <row r="17607" ht="26.25" customHeight="1"/>
    <row r="17608" ht="26.25" customHeight="1"/>
    <row r="17609" ht="26.25" customHeight="1"/>
    <row r="17610" ht="26.25" customHeight="1"/>
    <row r="17611" ht="26.25" customHeight="1"/>
    <row r="17612" ht="26.25" customHeight="1"/>
    <row r="17613" ht="26.25" customHeight="1"/>
    <row r="17614" ht="26.25" customHeight="1"/>
    <row r="17615" ht="26.25" customHeight="1"/>
    <row r="17616" ht="26.25" customHeight="1"/>
    <row r="17617" ht="26.25" customHeight="1"/>
    <row r="17618" ht="26.25" customHeight="1"/>
    <row r="17619" ht="26.25" customHeight="1"/>
    <row r="17620" ht="26.25" customHeight="1"/>
    <row r="17621" ht="26.25" customHeight="1"/>
    <row r="17622" ht="26.25" customHeight="1"/>
    <row r="17623" ht="26.25" customHeight="1"/>
    <row r="17624" ht="26.25" customHeight="1"/>
    <row r="17625" ht="26.25" customHeight="1"/>
    <row r="17626" ht="26.25" customHeight="1"/>
    <row r="17627" ht="26.25" customHeight="1"/>
    <row r="17628" ht="26.25" customHeight="1"/>
    <row r="17629" ht="26.25" customHeight="1"/>
    <row r="17630" ht="26.25" customHeight="1"/>
    <row r="17631" ht="26.25" customHeight="1"/>
    <row r="17632" ht="26.25" customHeight="1"/>
    <row r="17633" ht="26.25" customHeight="1"/>
    <row r="17634" ht="26.25" customHeight="1"/>
    <row r="17635" ht="26.25" customHeight="1"/>
    <row r="17636" ht="26.25" customHeight="1"/>
    <row r="17637" ht="26.25" customHeight="1"/>
    <row r="17638" ht="26.25" customHeight="1"/>
    <row r="17639" ht="26.25" customHeight="1"/>
    <row r="17640" ht="26.25" customHeight="1"/>
    <row r="17641" ht="26.25" customHeight="1"/>
    <row r="17642" ht="26.25" customHeight="1"/>
    <row r="17643" ht="26.25" customHeight="1"/>
    <row r="17644" ht="26.25" customHeight="1"/>
    <row r="17645" ht="26.25" customHeight="1"/>
    <row r="17646" ht="26.25" customHeight="1"/>
    <row r="17647" ht="26.25" customHeight="1"/>
    <row r="17648" ht="26.25" customHeight="1"/>
    <row r="17649" ht="26.25" customHeight="1"/>
    <row r="17650" ht="26.25" customHeight="1"/>
    <row r="17651" ht="26.25" customHeight="1"/>
    <row r="17652" ht="26.25" customHeight="1"/>
    <row r="17653" ht="26.25" customHeight="1"/>
    <row r="17654" ht="26.25" customHeight="1"/>
    <row r="17655" ht="26.25" customHeight="1"/>
    <row r="17656" ht="26.25" customHeight="1"/>
    <row r="17657" ht="26.25" customHeight="1"/>
    <row r="17658" ht="26.25" customHeight="1"/>
    <row r="17659" ht="26.25" customHeight="1"/>
    <row r="17660" ht="26.25" customHeight="1"/>
    <row r="17661" ht="26.25" customHeight="1"/>
    <row r="17662" ht="26.25" customHeight="1"/>
    <row r="17663" ht="26.25" customHeight="1"/>
    <row r="17664" ht="26.25" customHeight="1"/>
    <row r="17665" ht="26.25" customHeight="1"/>
    <row r="17666" ht="26.25" customHeight="1"/>
    <row r="17667" ht="26.25" customHeight="1"/>
    <row r="17668" ht="26.25" customHeight="1"/>
    <row r="17669" ht="26.25" customHeight="1"/>
    <row r="17670" ht="26.25" customHeight="1"/>
    <row r="17671" ht="26.25" customHeight="1"/>
    <row r="17672" ht="26.25" customHeight="1"/>
    <row r="17673" ht="26.25" customHeight="1"/>
    <row r="17674" ht="26.25" customHeight="1"/>
    <row r="17675" ht="26.25" customHeight="1"/>
    <row r="17676" ht="26.25" customHeight="1"/>
    <row r="17677" ht="26.25" customHeight="1"/>
    <row r="17678" ht="26.25" customHeight="1"/>
    <row r="17679" ht="26.25" customHeight="1"/>
    <row r="17680" ht="26.25" customHeight="1"/>
    <row r="17681" ht="26.25" customHeight="1"/>
    <row r="17682" ht="26.25" customHeight="1"/>
    <row r="17683" ht="26.25" customHeight="1"/>
    <row r="17684" ht="26.25" customHeight="1"/>
    <row r="17685" ht="26.25" customHeight="1"/>
    <row r="17686" ht="26.25" customHeight="1"/>
    <row r="17687" ht="26.25" customHeight="1"/>
    <row r="17688" ht="26.25" customHeight="1"/>
    <row r="17689" ht="26.25" customHeight="1"/>
    <row r="17690" ht="26.25" customHeight="1"/>
    <row r="17691" ht="26.25" customHeight="1"/>
    <row r="17692" ht="26.25" customHeight="1"/>
    <row r="17693" ht="26.25" customHeight="1"/>
    <row r="17694" ht="26.25" customHeight="1"/>
    <row r="17695" ht="26.25" customHeight="1"/>
    <row r="17696" ht="26.25" customHeight="1"/>
    <row r="17697" ht="26.25" customHeight="1"/>
    <row r="17698" ht="26.25" customHeight="1"/>
    <row r="17699" ht="26.25" customHeight="1"/>
    <row r="17700" ht="26.25" customHeight="1"/>
    <row r="17701" ht="26.25" customHeight="1"/>
    <row r="17702" ht="26.25" customHeight="1"/>
    <row r="17703" ht="26.25" customHeight="1"/>
    <row r="17704" ht="26.25" customHeight="1"/>
    <row r="17705" ht="26.25" customHeight="1"/>
    <row r="17706" ht="26.25" customHeight="1"/>
    <row r="17707" ht="26.25" customHeight="1"/>
    <row r="17708" ht="26.25" customHeight="1"/>
    <row r="17709" ht="26.25" customHeight="1"/>
    <row r="17710" ht="26.25" customHeight="1"/>
    <row r="17711" ht="26.25" customHeight="1"/>
    <row r="17712" ht="26.25" customHeight="1"/>
    <row r="17713" ht="26.25" customHeight="1"/>
    <row r="17714" ht="26.25" customHeight="1"/>
    <row r="17715" ht="26.25" customHeight="1"/>
    <row r="17716" ht="26.25" customHeight="1"/>
    <row r="17717" ht="26.25" customHeight="1"/>
    <row r="17718" ht="26.25" customHeight="1"/>
    <row r="17719" ht="26.25" customHeight="1"/>
    <row r="17720" ht="26.25" customHeight="1"/>
    <row r="17721" ht="26.25" customHeight="1"/>
    <row r="17722" ht="26.25" customHeight="1"/>
    <row r="17723" ht="26.25" customHeight="1"/>
    <row r="17724" ht="26.25" customHeight="1"/>
    <row r="17725" ht="26.25" customHeight="1"/>
    <row r="17726" ht="26.25" customHeight="1"/>
    <row r="17727" ht="26.25" customHeight="1"/>
    <row r="17728" ht="26.25" customHeight="1"/>
    <row r="17729" ht="26.25" customHeight="1"/>
    <row r="17730" ht="26.25" customHeight="1"/>
    <row r="17731" ht="26.25" customHeight="1"/>
    <row r="17732" ht="26.25" customHeight="1"/>
    <row r="17733" ht="26.25" customHeight="1"/>
    <row r="17734" ht="26.25" customHeight="1"/>
    <row r="17735" ht="26.25" customHeight="1"/>
    <row r="17736" ht="26.25" customHeight="1"/>
    <row r="17737" ht="26.25" customHeight="1"/>
    <row r="17738" ht="26.25" customHeight="1"/>
    <row r="17739" ht="26.25" customHeight="1"/>
    <row r="17740" ht="26.25" customHeight="1"/>
    <row r="17741" ht="26.25" customHeight="1"/>
    <row r="17742" ht="26.25" customHeight="1"/>
    <row r="17743" ht="26.25" customHeight="1"/>
    <row r="17744" ht="26.25" customHeight="1"/>
    <row r="17745" ht="26.25" customHeight="1"/>
    <row r="17746" ht="26.25" customHeight="1"/>
    <row r="17747" ht="26.25" customHeight="1"/>
    <row r="17748" ht="26.25" customHeight="1"/>
    <row r="17749" ht="26.25" customHeight="1"/>
    <row r="17750" ht="26.25" customHeight="1"/>
    <row r="17751" ht="26.25" customHeight="1"/>
    <row r="17752" ht="26.25" customHeight="1"/>
    <row r="17753" ht="26.25" customHeight="1"/>
    <row r="17754" ht="26.25" customHeight="1"/>
    <row r="17755" ht="26.25" customHeight="1"/>
    <row r="17756" ht="26.25" customHeight="1"/>
    <row r="17757" ht="26.25" customHeight="1"/>
    <row r="17758" ht="26.25" customHeight="1"/>
    <row r="17759" ht="26.25" customHeight="1"/>
    <row r="17760" ht="26.25" customHeight="1"/>
    <row r="17761" ht="26.25" customHeight="1"/>
    <row r="17762" ht="26.25" customHeight="1"/>
    <row r="17763" ht="26.25" customHeight="1"/>
    <row r="17764" ht="26.25" customHeight="1"/>
    <row r="17765" ht="26.25" customHeight="1"/>
    <row r="17766" ht="26.25" customHeight="1"/>
    <row r="17767" ht="26.25" customHeight="1"/>
    <row r="17768" ht="26.25" customHeight="1"/>
    <row r="17769" ht="26.25" customHeight="1"/>
    <row r="17770" ht="26.25" customHeight="1"/>
    <row r="17771" ht="26.25" customHeight="1"/>
    <row r="17772" ht="26.25" customHeight="1"/>
    <row r="17773" ht="26.25" customHeight="1"/>
    <row r="17774" ht="26.25" customHeight="1"/>
    <row r="17775" ht="26.25" customHeight="1"/>
    <row r="17776" ht="26.25" customHeight="1"/>
    <row r="17777" ht="26.25" customHeight="1"/>
    <row r="17778" ht="26.25" customHeight="1"/>
    <row r="17779" ht="26.25" customHeight="1"/>
    <row r="17780" ht="26.25" customHeight="1"/>
    <row r="17781" ht="26.25" customHeight="1"/>
    <row r="17782" ht="26.25" customHeight="1"/>
    <row r="17783" ht="26.25" customHeight="1"/>
    <row r="17784" ht="26.25" customHeight="1"/>
    <row r="17785" ht="26.25" customHeight="1"/>
    <row r="17786" ht="26.25" customHeight="1"/>
    <row r="17787" ht="26.25" customHeight="1"/>
    <row r="17788" ht="26.25" customHeight="1"/>
    <row r="17789" ht="26.25" customHeight="1"/>
    <row r="17790" ht="26.25" customHeight="1"/>
    <row r="17791" ht="26.25" customHeight="1"/>
    <row r="17792" ht="26.25" customHeight="1"/>
    <row r="17793" ht="26.25" customHeight="1"/>
    <row r="17794" ht="26.25" customHeight="1"/>
    <row r="17795" ht="26.25" customHeight="1"/>
    <row r="17796" ht="26.25" customHeight="1"/>
    <row r="17797" ht="26.25" customHeight="1"/>
    <row r="17798" ht="26.25" customHeight="1"/>
    <row r="17799" ht="26.25" customHeight="1"/>
    <row r="17800" ht="26.25" customHeight="1"/>
    <row r="17801" ht="26.25" customHeight="1"/>
    <row r="17802" ht="26.25" customHeight="1"/>
    <row r="17803" ht="26.25" customHeight="1"/>
    <row r="17804" ht="26.25" customHeight="1"/>
    <row r="17805" ht="26.25" customHeight="1"/>
    <row r="17806" ht="26.25" customHeight="1"/>
    <row r="17807" ht="26.25" customHeight="1"/>
    <row r="17808" ht="26.25" customHeight="1"/>
    <row r="17809" ht="26.25" customHeight="1"/>
    <row r="17810" ht="26.25" customHeight="1"/>
    <row r="17811" ht="26.25" customHeight="1"/>
    <row r="17812" ht="26.25" customHeight="1"/>
    <row r="17813" ht="26.25" customHeight="1"/>
    <row r="17814" ht="26.25" customHeight="1"/>
    <row r="17815" ht="26.25" customHeight="1"/>
    <row r="17816" ht="26.25" customHeight="1"/>
    <row r="17817" ht="26.25" customHeight="1"/>
    <row r="17818" ht="26.25" customHeight="1"/>
    <row r="17819" ht="26.25" customHeight="1"/>
    <row r="17820" ht="26.25" customHeight="1"/>
    <row r="17821" ht="26.25" customHeight="1"/>
    <row r="17822" ht="26.25" customHeight="1"/>
    <row r="17823" ht="26.25" customHeight="1"/>
    <row r="17824" ht="26.25" customHeight="1"/>
    <row r="17825" ht="26.25" customHeight="1"/>
    <row r="17826" ht="26.25" customHeight="1"/>
    <row r="17827" ht="26.25" customHeight="1"/>
    <row r="17828" ht="26.25" customHeight="1"/>
    <row r="17829" ht="26.25" customHeight="1"/>
    <row r="17830" ht="26.25" customHeight="1"/>
    <row r="17831" ht="26.25" customHeight="1"/>
    <row r="17832" ht="26.25" customHeight="1"/>
    <row r="17833" ht="26.25" customHeight="1"/>
    <row r="17834" ht="26.25" customHeight="1"/>
    <row r="17835" ht="26.25" customHeight="1"/>
    <row r="17836" ht="26.25" customHeight="1"/>
    <row r="17837" ht="26.25" customHeight="1"/>
    <row r="17838" ht="26.25" customHeight="1"/>
    <row r="17839" ht="26.25" customHeight="1"/>
    <row r="17840" ht="26.25" customHeight="1"/>
    <row r="17841" ht="26.25" customHeight="1"/>
    <row r="17842" ht="26.25" customHeight="1"/>
    <row r="17843" ht="26.25" customHeight="1"/>
    <row r="17844" ht="26.25" customHeight="1"/>
    <row r="17845" ht="26.25" customHeight="1"/>
    <row r="17846" ht="26.25" customHeight="1"/>
    <row r="17847" ht="26.25" customHeight="1"/>
    <row r="17848" ht="26.25" customHeight="1"/>
    <row r="17849" ht="26.25" customHeight="1"/>
    <row r="17850" ht="26.25" customHeight="1"/>
    <row r="17851" ht="26.25" customHeight="1"/>
    <row r="17852" ht="26.25" customHeight="1"/>
    <row r="17853" ht="26.25" customHeight="1"/>
    <row r="17854" ht="26.25" customHeight="1"/>
    <row r="17855" ht="26.25" customHeight="1"/>
    <row r="17856" ht="26.25" customHeight="1"/>
    <row r="17857" ht="26.25" customHeight="1"/>
    <row r="17858" ht="26.25" customHeight="1"/>
    <row r="17859" ht="26.25" customHeight="1"/>
    <row r="17860" ht="26.25" customHeight="1"/>
    <row r="17861" ht="26.25" customHeight="1"/>
    <row r="17862" ht="26.25" customHeight="1"/>
    <row r="17863" ht="26.25" customHeight="1"/>
    <row r="17864" ht="26.25" customHeight="1"/>
    <row r="17865" ht="26.25" customHeight="1"/>
    <row r="17866" ht="26.25" customHeight="1"/>
    <row r="17867" ht="26.25" customHeight="1"/>
    <row r="17868" ht="26.25" customHeight="1"/>
    <row r="17869" ht="26.25" customHeight="1"/>
    <row r="17870" ht="26.25" customHeight="1"/>
    <row r="17871" ht="26.25" customHeight="1"/>
    <row r="17872" ht="26.25" customHeight="1"/>
    <row r="17873" ht="26.25" customHeight="1"/>
    <row r="17874" ht="26.25" customHeight="1"/>
    <row r="17875" ht="26.25" customHeight="1"/>
    <row r="17876" ht="26.25" customHeight="1"/>
    <row r="17877" ht="26.25" customHeight="1"/>
    <row r="17878" ht="26.25" customHeight="1"/>
    <row r="17879" ht="26.25" customHeight="1"/>
    <row r="17880" ht="26.25" customHeight="1"/>
    <row r="17881" ht="26.25" customHeight="1"/>
    <row r="17882" ht="26.25" customHeight="1"/>
    <row r="17883" ht="26.25" customHeight="1"/>
    <row r="17884" ht="26.25" customHeight="1"/>
    <row r="17885" ht="26.25" customHeight="1"/>
    <row r="17886" ht="26.25" customHeight="1"/>
    <row r="17887" ht="26.25" customHeight="1"/>
    <row r="17888" ht="26.25" customHeight="1"/>
    <row r="17889" ht="26.25" customHeight="1"/>
    <row r="17890" ht="26.25" customHeight="1"/>
    <row r="17891" ht="26.25" customHeight="1"/>
    <row r="17892" ht="26.25" customHeight="1"/>
    <row r="17893" ht="26.25" customHeight="1"/>
    <row r="17894" ht="26.25" customHeight="1"/>
    <row r="17895" ht="26.25" customHeight="1"/>
    <row r="17896" ht="26.25" customHeight="1"/>
    <row r="17897" ht="26.25" customHeight="1"/>
    <row r="17898" ht="26.25" customHeight="1"/>
    <row r="17899" ht="26.25" customHeight="1"/>
    <row r="17900" ht="26.25" customHeight="1"/>
    <row r="17901" ht="26.25" customHeight="1"/>
    <row r="17902" ht="26.25" customHeight="1"/>
    <row r="17903" ht="26.25" customHeight="1"/>
    <row r="17904" ht="26.25" customHeight="1"/>
    <row r="17905" ht="26.25" customHeight="1"/>
    <row r="17906" ht="26.25" customHeight="1"/>
    <row r="17907" ht="26.25" customHeight="1"/>
    <row r="17908" ht="26.25" customHeight="1"/>
    <row r="17909" ht="26.25" customHeight="1"/>
    <row r="17910" ht="26.25" customHeight="1"/>
    <row r="17911" ht="26.25" customHeight="1"/>
    <row r="17912" ht="26.25" customHeight="1"/>
    <row r="17913" ht="26.25" customHeight="1"/>
    <row r="17914" ht="26.25" customHeight="1"/>
    <row r="17915" ht="26.25" customHeight="1"/>
    <row r="17916" ht="26.25" customHeight="1"/>
    <row r="17917" ht="26.25" customHeight="1"/>
    <row r="17918" ht="26.25" customHeight="1"/>
    <row r="17919" ht="26.25" customHeight="1"/>
    <row r="17920" ht="26.25" customHeight="1"/>
    <row r="17921" ht="26.25" customHeight="1"/>
    <row r="17922" ht="26.25" customHeight="1"/>
    <row r="17923" ht="26.25" customHeight="1"/>
    <row r="17924" ht="26.25" customHeight="1"/>
    <row r="17925" ht="26.25" customHeight="1"/>
    <row r="17926" ht="26.25" customHeight="1"/>
    <row r="17927" ht="26.25" customHeight="1"/>
    <row r="17928" ht="26.25" customHeight="1"/>
    <row r="17929" ht="26.25" customHeight="1"/>
    <row r="17930" ht="26.25" customHeight="1"/>
    <row r="17931" ht="26.25" customHeight="1"/>
    <row r="17932" ht="26.25" customHeight="1"/>
    <row r="17933" ht="26.25" customHeight="1"/>
    <row r="17934" ht="26.25" customHeight="1"/>
    <row r="17935" ht="26.25" customHeight="1"/>
    <row r="17936" ht="26.25" customHeight="1"/>
    <row r="17937" ht="26.25" customHeight="1"/>
    <row r="17938" ht="26.25" customHeight="1"/>
    <row r="17939" ht="26.25" customHeight="1"/>
    <row r="17940" ht="26.25" customHeight="1"/>
    <row r="17941" ht="26.25" customHeight="1"/>
    <row r="17942" ht="26.25" customHeight="1"/>
    <row r="17943" ht="26.25" customHeight="1"/>
    <row r="17944" ht="26.25" customHeight="1"/>
    <row r="17945" ht="26.25" customHeight="1"/>
    <row r="17946" ht="26.25" customHeight="1"/>
    <row r="17947" ht="26.25" customHeight="1"/>
    <row r="17948" ht="26.25" customHeight="1"/>
    <row r="17949" ht="26.25" customHeight="1"/>
    <row r="17950" ht="26.25" customHeight="1"/>
    <row r="17951" ht="26.25" customHeight="1"/>
    <row r="17952" ht="26.25" customHeight="1"/>
    <row r="17953" ht="26.25" customHeight="1"/>
    <row r="17954" ht="26.25" customHeight="1"/>
    <row r="17955" ht="26.25" customHeight="1"/>
    <row r="17956" ht="26.25" customHeight="1"/>
    <row r="17957" ht="26.25" customHeight="1"/>
    <row r="17958" ht="26.25" customHeight="1"/>
    <row r="17959" ht="26.25" customHeight="1"/>
    <row r="17960" ht="26.25" customHeight="1"/>
    <row r="17961" ht="26.25" customHeight="1"/>
    <row r="17962" ht="26.25" customHeight="1"/>
    <row r="17963" ht="26.25" customHeight="1"/>
    <row r="17964" ht="26.25" customHeight="1"/>
    <row r="17965" ht="26.25" customHeight="1"/>
    <row r="17966" ht="26.25" customHeight="1"/>
    <row r="17967" ht="26.25" customHeight="1"/>
    <row r="17968" ht="26.25" customHeight="1"/>
    <row r="17969" ht="26.25" customHeight="1"/>
    <row r="17970" ht="26.25" customHeight="1"/>
    <row r="17971" ht="26.25" customHeight="1"/>
    <row r="17972" ht="26.25" customHeight="1"/>
    <row r="17973" ht="26.25" customHeight="1"/>
    <row r="17974" ht="26.25" customHeight="1"/>
    <row r="17975" ht="26.25" customHeight="1"/>
    <row r="17976" ht="26.25" customHeight="1"/>
    <row r="17977" ht="26.25" customHeight="1"/>
    <row r="17978" ht="26.25" customHeight="1"/>
    <row r="17979" ht="26.25" customHeight="1"/>
    <row r="17980" ht="26.25" customHeight="1"/>
    <row r="17981" ht="26.25" customHeight="1"/>
    <row r="17982" ht="26.25" customHeight="1"/>
    <row r="17983" ht="26.25" customHeight="1"/>
    <row r="17984" ht="26.25" customHeight="1"/>
    <row r="17985" ht="26.25" customHeight="1"/>
    <row r="17986" ht="26.25" customHeight="1"/>
    <row r="17987" ht="26.25" customHeight="1"/>
    <row r="17988" ht="26.25" customHeight="1"/>
    <row r="17989" ht="26.25" customHeight="1"/>
    <row r="17990" ht="26.25" customHeight="1"/>
    <row r="17991" ht="26.25" customHeight="1"/>
    <row r="17992" ht="26.25" customHeight="1"/>
    <row r="17993" ht="26.25" customHeight="1"/>
    <row r="17994" ht="26.25" customHeight="1"/>
    <row r="17995" ht="26.25" customHeight="1"/>
    <row r="17996" ht="26.25" customHeight="1"/>
    <row r="17997" ht="26.25" customHeight="1"/>
    <row r="17998" ht="26.25" customHeight="1"/>
    <row r="17999" ht="26.25" customHeight="1"/>
    <row r="18000" ht="26.25" customHeight="1"/>
    <row r="18001" ht="26.25" customHeight="1"/>
    <row r="18002" ht="26.25" customHeight="1"/>
    <row r="18003" ht="26.25" customHeight="1"/>
    <row r="18004" ht="26.25" customHeight="1"/>
    <row r="18005" ht="26.25" customHeight="1"/>
    <row r="18006" ht="26.25" customHeight="1"/>
    <row r="18007" ht="26.25" customHeight="1"/>
    <row r="18008" ht="26.25" customHeight="1"/>
    <row r="18009" ht="26.25" customHeight="1"/>
    <row r="18010" ht="26.25" customHeight="1"/>
    <row r="18011" ht="26.25" customHeight="1"/>
    <row r="18012" ht="26.25" customHeight="1"/>
    <row r="18013" ht="26.25" customHeight="1"/>
    <row r="18014" ht="26.25" customHeight="1"/>
    <row r="18015" ht="26.25" customHeight="1"/>
    <row r="18016" ht="26.25" customHeight="1"/>
    <row r="18017" ht="26.25" customHeight="1"/>
    <row r="18018" ht="26.25" customHeight="1"/>
    <row r="18019" ht="26.25" customHeight="1"/>
    <row r="18020" ht="26.25" customHeight="1"/>
    <row r="18021" ht="26.25" customHeight="1"/>
    <row r="18022" ht="26.25" customHeight="1"/>
    <row r="18023" ht="26.25" customHeight="1"/>
    <row r="18024" ht="26.25" customHeight="1"/>
    <row r="18025" ht="26.25" customHeight="1"/>
    <row r="18026" ht="26.25" customHeight="1"/>
    <row r="18027" ht="26.25" customHeight="1"/>
    <row r="18028" ht="26.25" customHeight="1"/>
    <row r="18029" ht="26.25" customHeight="1"/>
    <row r="18030" ht="26.25" customHeight="1"/>
    <row r="18031" ht="26.25" customHeight="1"/>
    <row r="18032" ht="26.25" customHeight="1"/>
    <row r="18033" ht="26.25" customHeight="1"/>
    <row r="18034" ht="26.25" customHeight="1"/>
    <row r="18035" ht="26.25" customHeight="1"/>
    <row r="18036" ht="26.25" customHeight="1"/>
    <row r="18037" ht="26.25" customHeight="1"/>
    <row r="18038" ht="26.25" customHeight="1"/>
    <row r="18039" ht="26.25" customHeight="1"/>
    <row r="18040" ht="26.25" customHeight="1"/>
    <row r="18041" ht="26.25" customHeight="1"/>
    <row r="18042" ht="26.25" customHeight="1"/>
    <row r="18043" ht="26.25" customHeight="1"/>
    <row r="18044" ht="26.25" customHeight="1"/>
    <row r="18045" ht="26.25" customHeight="1"/>
    <row r="18046" ht="26.25" customHeight="1"/>
    <row r="18047" ht="26.25" customHeight="1"/>
    <row r="18048" ht="26.25" customHeight="1"/>
    <row r="18049" ht="26.25" customHeight="1"/>
    <row r="18050" ht="26.25" customHeight="1"/>
    <row r="18051" ht="26.25" customHeight="1"/>
    <row r="18052" ht="26.25" customHeight="1"/>
    <row r="18053" ht="26.25" customHeight="1"/>
    <row r="18054" ht="26.25" customHeight="1"/>
    <row r="18055" ht="26.25" customHeight="1"/>
    <row r="18056" ht="26.25" customHeight="1"/>
    <row r="18057" ht="26.25" customHeight="1"/>
    <row r="18058" ht="26.25" customHeight="1"/>
    <row r="18059" ht="26.25" customHeight="1"/>
    <row r="18060" ht="26.25" customHeight="1"/>
    <row r="18061" ht="26.25" customHeight="1"/>
    <row r="18062" ht="26.25" customHeight="1"/>
    <row r="18063" ht="26.25" customHeight="1"/>
    <row r="18064" ht="26.25" customHeight="1"/>
    <row r="18065" ht="26.25" customHeight="1"/>
    <row r="18066" ht="26.25" customHeight="1"/>
    <row r="18067" ht="26.25" customHeight="1"/>
    <row r="18068" ht="26.25" customHeight="1"/>
    <row r="18069" ht="26.25" customHeight="1"/>
    <row r="18070" ht="26.25" customHeight="1"/>
    <row r="18071" ht="26.25" customHeight="1"/>
    <row r="18072" ht="26.25" customHeight="1"/>
    <row r="18073" ht="26.25" customHeight="1"/>
    <row r="18074" ht="26.25" customHeight="1"/>
    <row r="18075" ht="26.25" customHeight="1"/>
    <row r="18076" ht="26.25" customHeight="1"/>
    <row r="18077" ht="26.25" customHeight="1"/>
    <row r="18078" ht="26.25" customHeight="1"/>
    <row r="18079" ht="26.25" customHeight="1"/>
    <row r="18080" ht="26.25" customHeight="1"/>
    <row r="18081" ht="26.25" customHeight="1"/>
    <row r="18082" ht="26.25" customHeight="1"/>
    <row r="18083" ht="26.25" customHeight="1"/>
    <row r="18084" ht="26.25" customHeight="1"/>
    <row r="18085" ht="26.25" customHeight="1"/>
    <row r="18086" ht="26.25" customHeight="1"/>
    <row r="18087" ht="26.25" customHeight="1"/>
    <row r="18088" ht="26.25" customHeight="1"/>
    <row r="18089" ht="26.25" customHeight="1"/>
    <row r="18090" ht="26.25" customHeight="1"/>
    <row r="18091" ht="26.25" customHeight="1"/>
    <row r="18092" ht="26.25" customHeight="1"/>
    <row r="18093" ht="26.25" customHeight="1"/>
    <row r="18094" ht="26.25" customHeight="1"/>
    <row r="18095" ht="26.25" customHeight="1"/>
    <row r="18096" ht="26.25" customHeight="1"/>
    <row r="18097" ht="26.25" customHeight="1"/>
    <row r="18098" ht="26.25" customHeight="1"/>
    <row r="18099" ht="26.25" customHeight="1"/>
    <row r="18100" ht="26.25" customHeight="1"/>
    <row r="18101" ht="26.25" customHeight="1"/>
    <row r="18102" ht="26.25" customHeight="1"/>
    <row r="18103" ht="26.25" customHeight="1"/>
    <row r="18104" ht="26.25" customHeight="1"/>
    <row r="18105" ht="26.25" customHeight="1"/>
    <row r="18106" ht="26.25" customHeight="1"/>
    <row r="18107" ht="26.25" customHeight="1"/>
    <row r="18108" ht="26.25" customHeight="1"/>
    <row r="18109" ht="26.25" customHeight="1"/>
    <row r="18110" ht="26.25" customHeight="1"/>
    <row r="18111" ht="26.25" customHeight="1"/>
    <row r="18112" ht="26.25" customHeight="1"/>
    <row r="18113" ht="26.25" customHeight="1"/>
    <row r="18114" ht="26.25" customHeight="1"/>
    <row r="18115" ht="26.25" customHeight="1"/>
    <row r="18116" ht="26.25" customHeight="1"/>
    <row r="18117" ht="26.25" customHeight="1"/>
    <row r="18118" ht="26.25" customHeight="1"/>
    <row r="18119" ht="26.25" customHeight="1"/>
    <row r="18120" ht="26.25" customHeight="1"/>
    <row r="18121" ht="26.25" customHeight="1"/>
    <row r="18122" ht="26.25" customHeight="1"/>
    <row r="18123" ht="26.25" customHeight="1"/>
    <row r="18124" ht="26.25" customHeight="1"/>
    <row r="18125" ht="26.25" customHeight="1"/>
    <row r="18126" ht="26.25" customHeight="1"/>
    <row r="18127" ht="26.25" customHeight="1"/>
    <row r="18128" ht="26.25" customHeight="1"/>
    <row r="18129" ht="26.25" customHeight="1"/>
    <row r="18130" ht="26.25" customHeight="1"/>
    <row r="18131" ht="26.25" customHeight="1"/>
    <row r="18132" ht="26.25" customHeight="1"/>
    <row r="18133" ht="26.25" customHeight="1"/>
    <row r="18134" ht="26.25" customHeight="1"/>
    <row r="18135" ht="26.25" customHeight="1"/>
    <row r="18136" ht="26.25" customHeight="1"/>
    <row r="18137" ht="26.25" customHeight="1"/>
    <row r="18138" ht="26.25" customHeight="1"/>
    <row r="18139" ht="26.25" customHeight="1"/>
    <row r="18140" ht="26.25" customHeight="1"/>
    <row r="18141" ht="26.25" customHeight="1"/>
    <row r="18142" ht="26.25" customHeight="1"/>
    <row r="18143" ht="26.25" customHeight="1"/>
    <row r="18144" ht="26.25" customHeight="1"/>
    <row r="18145" ht="26.25" customHeight="1"/>
    <row r="18146" ht="26.25" customHeight="1"/>
    <row r="18147" ht="26.25" customHeight="1"/>
    <row r="18148" ht="26.25" customHeight="1"/>
    <row r="18149" ht="26.25" customHeight="1"/>
    <row r="18150" ht="26.25" customHeight="1"/>
    <row r="18151" ht="26.25" customHeight="1"/>
    <row r="18152" ht="26.25" customHeight="1"/>
    <row r="18153" ht="26.25" customHeight="1"/>
    <row r="18154" ht="26.25" customHeight="1"/>
    <row r="18155" ht="26.25" customHeight="1"/>
    <row r="18156" ht="26.25" customHeight="1"/>
    <row r="18157" ht="26.25" customHeight="1"/>
    <row r="18158" ht="26.25" customHeight="1"/>
    <row r="18159" ht="26.25" customHeight="1"/>
    <row r="18160" ht="26.25" customHeight="1"/>
    <row r="18161" ht="26.25" customHeight="1"/>
    <row r="18162" ht="26.25" customHeight="1"/>
    <row r="18163" ht="26.25" customHeight="1"/>
    <row r="18164" ht="26.25" customHeight="1"/>
    <row r="18165" ht="26.25" customHeight="1"/>
    <row r="18166" ht="26.25" customHeight="1"/>
    <row r="18167" ht="26.25" customHeight="1"/>
    <row r="18168" ht="26.25" customHeight="1"/>
    <row r="18169" ht="26.25" customHeight="1"/>
    <row r="18170" ht="26.25" customHeight="1"/>
    <row r="18171" ht="26.25" customHeight="1"/>
    <row r="18172" ht="26.25" customHeight="1"/>
    <row r="18173" ht="26.25" customHeight="1"/>
    <row r="18174" ht="26.25" customHeight="1"/>
    <row r="18175" ht="26.25" customHeight="1"/>
    <row r="18176" ht="26.25" customHeight="1"/>
    <row r="18177" ht="26.25" customHeight="1"/>
    <row r="18178" ht="26.25" customHeight="1"/>
    <row r="18179" ht="26.25" customHeight="1"/>
    <row r="18180" ht="26.25" customHeight="1"/>
    <row r="18181" ht="26.25" customHeight="1"/>
    <row r="18182" ht="26.25" customHeight="1"/>
    <row r="18183" ht="26.25" customHeight="1"/>
    <row r="18184" ht="26.25" customHeight="1"/>
    <row r="18185" ht="26.25" customHeight="1"/>
    <row r="18186" ht="26.25" customHeight="1"/>
    <row r="18187" ht="26.25" customHeight="1"/>
    <row r="18188" ht="26.25" customHeight="1"/>
    <row r="18189" ht="26.25" customHeight="1"/>
    <row r="18190" ht="26.25" customHeight="1"/>
    <row r="18191" ht="26.25" customHeight="1"/>
    <row r="18192" ht="26.25" customHeight="1"/>
    <row r="18193" ht="26.25" customHeight="1"/>
    <row r="18194" ht="26.25" customHeight="1"/>
    <row r="18195" ht="26.25" customHeight="1"/>
    <row r="18196" ht="26.25" customHeight="1"/>
    <row r="18197" ht="26.25" customHeight="1"/>
    <row r="18198" ht="26.25" customHeight="1"/>
    <row r="18199" ht="26.25" customHeight="1"/>
    <row r="18200" ht="26.25" customHeight="1"/>
    <row r="18201" ht="26.25" customHeight="1"/>
    <row r="18202" ht="26.25" customHeight="1"/>
    <row r="18203" ht="26.25" customHeight="1"/>
    <row r="18204" ht="26.25" customHeight="1"/>
    <row r="18205" ht="26.25" customHeight="1"/>
    <row r="18206" ht="26.25" customHeight="1"/>
    <row r="18207" ht="26.25" customHeight="1"/>
    <row r="18208" ht="26.25" customHeight="1"/>
    <row r="18209" ht="26.25" customHeight="1"/>
    <row r="18210" ht="26.25" customHeight="1"/>
    <row r="18211" ht="26.25" customHeight="1"/>
    <row r="18212" ht="26.25" customHeight="1"/>
    <row r="18213" ht="26.25" customHeight="1"/>
    <row r="18214" ht="26.25" customHeight="1"/>
    <row r="18215" ht="26.25" customHeight="1"/>
    <row r="18216" ht="26.25" customHeight="1"/>
    <row r="18217" ht="26.25" customHeight="1"/>
    <row r="18218" ht="26.25" customHeight="1"/>
    <row r="18219" ht="26.25" customHeight="1"/>
    <row r="18220" ht="26.25" customHeight="1"/>
    <row r="18221" ht="26.25" customHeight="1"/>
    <row r="18222" ht="26.25" customHeight="1"/>
    <row r="18223" ht="26.25" customHeight="1"/>
    <row r="18224" ht="26.25" customHeight="1"/>
    <row r="18225" ht="26.25" customHeight="1"/>
    <row r="18226" ht="26.25" customHeight="1"/>
    <row r="18227" ht="26.25" customHeight="1"/>
    <row r="18228" ht="26.25" customHeight="1"/>
    <row r="18229" ht="26.25" customHeight="1"/>
    <row r="18230" ht="26.25" customHeight="1"/>
    <row r="18231" ht="26.25" customHeight="1"/>
    <row r="18232" ht="26.25" customHeight="1"/>
    <row r="18233" ht="26.25" customHeight="1"/>
    <row r="18234" ht="26.25" customHeight="1"/>
    <row r="18235" ht="26.25" customHeight="1"/>
    <row r="18236" ht="26.25" customHeight="1"/>
    <row r="18237" ht="26.25" customHeight="1"/>
    <row r="18238" ht="26.25" customHeight="1"/>
    <row r="18239" ht="26.25" customHeight="1"/>
    <row r="18240" ht="26.25" customHeight="1"/>
    <row r="18241" ht="26.25" customHeight="1"/>
    <row r="18242" ht="26.25" customHeight="1"/>
    <row r="18243" ht="26.25" customHeight="1"/>
    <row r="18244" ht="26.25" customHeight="1"/>
    <row r="18245" ht="26.25" customHeight="1"/>
    <row r="18246" ht="26.25" customHeight="1"/>
    <row r="18247" ht="26.25" customHeight="1"/>
    <row r="18248" ht="26.25" customHeight="1"/>
    <row r="18249" ht="26.25" customHeight="1"/>
    <row r="18250" ht="26.25" customHeight="1"/>
    <row r="18251" ht="26.25" customHeight="1"/>
    <row r="18252" ht="26.25" customHeight="1"/>
    <row r="18253" ht="26.25" customHeight="1"/>
    <row r="18254" ht="26.25" customHeight="1"/>
    <row r="18255" ht="26.25" customHeight="1"/>
    <row r="18256" ht="26.25" customHeight="1"/>
    <row r="18257" ht="26.25" customHeight="1"/>
    <row r="18258" ht="26.25" customHeight="1"/>
    <row r="18259" ht="26.25" customHeight="1"/>
    <row r="18260" ht="26.25" customHeight="1"/>
    <row r="18261" ht="26.25" customHeight="1"/>
    <row r="18262" ht="26.25" customHeight="1"/>
    <row r="18263" ht="26.25" customHeight="1"/>
    <row r="18264" ht="26.25" customHeight="1"/>
    <row r="18265" ht="26.25" customHeight="1"/>
    <row r="18266" ht="26.25" customHeight="1"/>
    <row r="18267" ht="26.25" customHeight="1"/>
    <row r="18268" ht="26.25" customHeight="1"/>
    <row r="18269" ht="26.25" customHeight="1"/>
    <row r="18270" ht="26.25" customHeight="1"/>
    <row r="18271" ht="26.25" customHeight="1"/>
    <row r="18272" ht="26.25" customHeight="1"/>
    <row r="18273" ht="26.25" customHeight="1"/>
    <row r="18274" ht="26.25" customHeight="1"/>
    <row r="18275" ht="26.25" customHeight="1"/>
    <row r="18276" ht="26.25" customHeight="1"/>
    <row r="18277" ht="26.25" customHeight="1"/>
    <row r="18278" ht="26.25" customHeight="1"/>
    <row r="18279" ht="26.25" customHeight="1"/>
    <row r="18280" ht="26.25" customHeight="1"/>
    <row r="18281" ht="26.25" customHeight="1"/>
    <row r="18282" ht="26.25" customHeight="1"/>
    <row r="18283" ht="26.25" customHeight="1"/>
    <row r="18284" ht="26.25" customHeight="1"/>
    <row r="18285" ht="26.25" customHeight="1"/>
    <row r="18286" ht="26.25" customHeight="1"/>
    <row r="18287" ht="26.25" customHeight="1"/>
    <row r="18288" ht="26.25" customHeight="1"/>
    <row r="18289" ht="26.25" customHeight="1"/>
    <row r="18290" ht="26.25" customHeight="1"/>
    <row r="18291" ht="26.25" customHeight="1"/>
    <row r="18292" ht="26.25" customHeight="1"/>
    <row r="18293" ht="26.25" customHeight="1"/>
    <row r="18294" ht="26.25" customHeight="1"/>
    <row r="18295" ht="26.25" customHeight="1"/>
    <row r="18296" ht="26.25" customHeight="1"/>
    <row r="18297" ht="26.25" customHeight="1"/>
    <row r="18298" ht="26.25" customHeight="1"/>
    <row r="18299" ht="26.25" customHeight="1"/>
    <row r="18300" ht="26.25" customHeight="1"/>
    <row r="18301" ht="26.25" customHeight="1"/>
    <row r="18302" ht="26.25" customHeight="1"/>
    <row r="18303" ht="26.25" customHeight="1"/>
    <row r="18304" ht="26.25" customHeight="1"/>
    <row r="18305" ht="26.25" customHeight="1"/>
    <row r="18306" ht="26.25" customHeight="1"/>
    <row r="18307" ht="26.25" customHeight="1"/>
    <row r="18308" ht="26.25" customHeight="1"/>
    <row r="18309" ht="26.25" customHeight="1"/>
    <row r="18310" ht="26.25" customHeight="1"/>
    <row r="18311" ht="26.25" customHeight="1"/>
    <row r="18312" ht="26.25" customHeight="1"/>
    <row r="18313" ht="26.25" customHeight="1"/>
    <row r="18314" ht="26.25" customHeight="1"/>
    <row r="18315" ht="26.25" customHeight="1"/>
    <row r="18316" ht="26.25" customHeight="1"/>
    <row r="18317" ht="26.25" customHeight="1"/>
    <row r="18318" ht="26.25" customHeight="1"/>
    <row r="18319" ht="26.25" customHeight="1"/>
    <row r="18320" ht="26.25" customHeight="1"/>
    <row r="18321" ht="26.25" customHeight="1"/>
    <row r="18322" ht="26.25" customHeight="1"/>
    <row r="18323" ht="26.25" customHeight="1"/>
    <row r="18324" ht="26.25" customHeight="1"/>
    <row r="18325" ht="26.25" customHeight="1"/>
    <row r="18326" ht="26.25" customHeight="1"/>
    <row r="18327" ht="26.25" customHeight="1"/>
    <row r="18328" ht="26.25" customHeight="1"/>
    <row r="18329" ht="26.25" customHeight="1"/>
    <row r="18330" ht="26.25" customHeight="1"/>
    <row r="18331" ht="26.25" customHeight="1"/>
    <row r="18332" ht="26.25" customHeight="1"/>
    <row r="18333" ht="26.25" customHeight="1"/>
    <row r="18334" ht="26.25" customHeight="1"/>
    <row r="18335" ht="26.25" customHeight="1"/>
    <row r="18336" ht="26.25" customHeight="1"/>
    <row r="18337" ht="26.25" customHeight="1"/>
    <row r="18338" ht="26.25" customHeight="1"/>
    <row r="18339" ht="26.25" customHeight="1"/>
    <row r="18340" ht="26.25" customHeight="1"/>
    <row r="18341" ht="26.25" customHeight="1"/>
    <row r="18342" ht="26.25" customHeight="1"/>
    <row r="18343" ht="26.25" customHeight="1"/>
    <row r="18344" ht="26.25" customHeight="1"/>
    <row r="18345" ht="26.25" customHeight="1"/>
    <row r="18346" ht="26.25" customHeight="1"/>
    <row r="18347" ht="26.25" customHeight="1"/>
    <row r="18348" ht="26.25" customHeight="1"/>
    <row r="18349" ht="26.25" customHeight="1"/>
    <row r="18350" ht="26.25" customHeight="1"/>
    <row r="18351" ht="26.25" customHeight="1"/>
    <row r="18352" ht="26.25" customHeight="1"/>
    <row r="18353" ht="26.25" customHeight="1"/>
    <row r="18354" ht="26.25" customHeight="1"/>
    <row r="18355" ht="26.25" customHeight="1"/>
    <row r="18356" ht="26.25" customHeight="1"/>
    <row r="18357" ht="26.25" customHeight="1"/>
    <row r="18358" ht="26.25" customHeight="1"/>
    <row r="18359" ht="26.25" customHeight="1"/>
    <row r="18360" ht="26.25" customHeight="1"/>
    <row r="18361" ht="26.25" customHeight="1"/>
    <row r="18362" ht="26.25" customHeight="1"/>
    <row r="18363" ht="26.25" customHeight="1"/>
    <row r="18364" ht="26.25" customHeight="1"/>
    <row r="18365" ht="26.25" customHeight="1"/>
    <row r="18366" ht="26.25" customHeight="1"/>
    <row r="18367" ht="26.25" customHeight="1"/>
    <row r="18368" ht="26.25" customHeight="1"/>
    <row r="18369" ht="26.25" customHeight="1"/>
    <row r="18370" ht="26.25" customHeight="1"/>
    <row r="18371" ht="26.25" customHeight="1"/>
    <row r="18372" ht="26.25" customHeight="1"/>
    <row r="18373" ht="26.25" customHeight="1"/>
    <row r="18374" ht="26.25" customHeight="1"/>
    <row r="18375" ht="26.25" customHeight="1"/>
    <row r="18376" ht="26.25" customHeight="1"/>
    <row r="18377" ht="26.25" customHeight="1"/>
    <row r="18378" ht="26.25" customHeight="1"/>
    <row r="18379" ht="26.25" customHeight="1"/>
    <row r="18380" ht="26.25" customHeight="1"/>
    <row r="18381" ht="26.25" customHeight="1"/>
    <row r="18382" ht="26.25" customHeight="1"/>
    <row r="18383" ht="26.25" customHeight="1"/>
    <row r="18384" ht="26.25" customHeight="1"/>
    <row r="18385" ht="26.25" customHeight="1"/>
    <row r="18386" ht="26.25" customHeight="1"/>
    <row r="18387" ht="26.25" customHeight="1"/>
    <row r="18388" ht="26.25" customHeight="1"/>
    <row r="18389" ht="26.25" customHeight="1"/>
    <row r="18390" ht="26.25" customHeight="1"/>
    <row r="18391" ht="26.25" customHeight="1"/>
    <row r="18392" ht="26.25" customHeight="1"/>
    <row r="18393" ht="26.25" customHeight="1"/>
    <row r="18394" ht="26.25" customHeight="1"/>
    <row r="18395" ht="26.25" customHeight="1"/>
    <row r="18396" ht="26.25" customHeight="1"/>
    <row r="18397" ht="26.25" customHeight="1"/>
    <row r="18398" ht="26.25" customHeight="1"/>
    <row r="18399" ht="26.25" customHeight="1"/>
    <row r="18400" ht="26.25" customHeight="1"/>
    <row r="18401" ht="26.25" customHeight="1"/>
    <row r="18402" ht="26.25" customHeight="1"/>
    <row r="18403" ht="26.25" customHeight="1"/>
    <row r="18404" ht="26.25" customHeight="1"/>
    <row r="18405" ht="26.25" customHeight="1"/>
    <row r="18406" ht="26.25" customHeight="1"/>
    <row r="18407" ht="26.25" customHeight="1"/>
    <row r="18408" ht="26.25" customHeight="1"/>
    <row r="18409" ht="26.25" customHeight="1"/>
    <row r="18410" ht="26.25" customHeight="1"/>
    <row r="18411" ht="26.25" customHeight="1"/>
    <row r="18412" ht="26.25" customHeight="1"/>
    <row r="18413" ht="26.25" customHeight="1"/>
    <row r="18414" ht="26.25" customHeight="1"/>
    <row r="18415" ht="26.25" customHeight="1"/>
    <row r="18416" ht="26.25" customHeight="1"/>
    <row r="18417" ht="26.25" customHeight="1"/>
    <row r="18418" ht="26.25" customHeight="1"/>
    <row r="18419" ht="26.25" customHeight="1"/>
    <row r="18420" ht="26.25" customHeight="1"/>
    <row r="18421" ht="26.25" customHeight="1"/>
    <row r="18422" ht="26.25" customHeight="1"/>
    <row r="18423" ht="26.25" customHeight="1"/>
    <row r="18424" ht="26.25" customHeight="1"/>
    <row r="18425" ht="26.25" customHeight="1"/>
    <row r="18426" ht="26.25" customHeight="1"/>
    <row r="18427" ht="26.25" customHeight="1"/>
    <row r="18428" ht="26.25" customHeight="1"/>
    <row r="18429" ht="26.25" customHeight="1"/>
    <row r="18430" ht="26.25" customHeight="1"/>
    <row r="18431" ht="26.25" customHeight="1"/>
    <row r="18432" ht="26.25" customHeight="1"/>
    <row r="18433" ht="26.25" customHeight="1"/>
    <row r="18434" ht="26.25" customHeight="1"/>
    <row r="18435" ht="26.25" customHeight="1"/>
    <row r="18436" ht="26.25" customHeight="1"/>
    <row r="18437" ht="26.25" customHeight="1"/>
    <row r="18438" ht="26.25" customHeight="1"/>
    <row r="18439" ht="26.25" customHeight="1"/>
    <row r="18440" ht="26.25" customHeight="1"/>
    <row r="18441" ht="26.25" customHeight="1"/>
    <row r="18442" ht="26.25" customHeight="1"/>
    <row r="18443" ht="26.25" customHeight="1"/>
    <row r="18444" ht="26.25" customHeight="1"/>
    <row r="18445" ht="26.25" customHeight="1"/>
    <row r="18446" ht="26.25" customHeight="1"/>
    <row r="18447" ht="26.25" customHeight="1"/>
    <row r="18448" ht="26.25" customHeight="1"/>
    <row r="18449" ht="26.25" customHeight="1"/>
    <row r="18450" ht="26.25" customHeight="1"/>
    <row r="18451" ht="26.25" customHeight="1"/>
    <row r="18452" ht="26.25" customHeight="1"/>
    <row r="18453" ht="26.25" customHeight="1"/>
    <row r="18454" ht="26.25" customHeight="1"/>
    <row r="18455" ht="26.25" customHeight="1"/>
    <row r="18456" ht="26.25" customHeight="1"/>
    <row r="18457" ht="26.25" customHeight="1"/>
    <row r="18458" ht="26.25" customHeight="1"/>
    <row r="18459" ht="26.25" customHeight="1"/>
    <row r="18460" ht="26.25" customHeight="1"/>
    <row r="18461" ht="26.25" customHeight="1"/>
    <row r="18462" ht="26.25" customHeight="1"/>
    <row r="18463" ht="26.25" customHeight="1"/>
    <row r="18464" ht="26.25" customHeight="1"/>
    <row r="18465" ht="26.25" customHeight="1"/>
    <row r="18466" ht="26.25" customHeight="1"/>
    <row r="18467" ht="26.25" customHeight="1"/>
    <row r="18468" ht="26.25" customHeight="1"/>
    <row r="18469" ht="26.25" customHeight="1"/>
    <row r="18470" ht="26.25" customHeight="1"/>
    <row r="18471" ht="26.25" customHeight="1"/>
    <row r="18472" ht="26.25" customHeight="1"/>
    <row r="18473" ht="26.25" customHeight="1"/>
    <row r="18474" ht="26.25" customHeight="1"/>
    <row r="18475" ht="26.25" customHeight="1"/>
    <row r="18476" ht="26.25" customHeight="1"/>
    <row r="18477" ht="26.25" customHeight="1"/>
    <row r="18478" ht="26.25" customHeight="1"/>
    <row r="18479" ht="26.25" customHeight="1"/>
    <row r="18480" ht="26.25" customHeight="1"/>
    <row r="18481" ht="26.25" customHeight="1"/>
    <row r="18482" ht="26.25" customHeight="1"/>
    <row r="18483" ht="26.25" customHeight="1"/>
    <row r="18484" ht="26.25" customHeight="1"/>
    <row r="18485" ht="26.25" customHeight="1"/>
    <row r="18486" ht="26.25" customHeight="1"/>
    <row r="18487" ht="26.25" customHeight="1"/>
    <row r="18488" ht="26.25" customHeight="1"/>
    <row r="18489" ht="26.25" customHeight="1"/>
    <row r="18490" ht="26.25" customHeight="1"/>
    <row r="18491" ht="26.25" customHeight="1"/>
    <row r="18492" ht="26.25" customHeight="1"/>
    <row r="18493" ht="26.25" customHeight="1"/>
    <row r="18494" ht="26.25" customHeight="1"/>
    <row r="18495" ht="26.25" customHeight="1"/>
    <row r="18496" ht="26.25" customHeight="1"/>
    <row r="18497" ht="26.25" customHeight="1"/>
    <row r="18498" ht="26.25" customHeight="1"/>
    <row r="18499" ht="26.25" customHeight="1"/>
    <row r="18500" ht="26.25" customHeight="1"/>
    <row r="18501" ht="26.25" customHeight="1"/>
    <row r="18502" ht="26.25" customHeight="1"/>
    <row r="18503" ht="26.25" customHeight="1"/>
    <row r="18504" ht="26.25" customHeight="1"/>
    <row r="18505" ht="26.25" customHeight="1"/>
    <row r="18506" ht="26.25" customHeight="1"/>
    <row r="18507" ht="26.25" customHeight="1"/>
    <row r="18508" ht="26.25" customHeight="1"/>
    <row r="18509" ht="26.25" customHeight="1"/>
    <row r="18510" ht="26.25" customHeight="1"/>
    <row r="18511" ht="26.25" customHeight="1"/>
    <row r="18512" ht="26.25" customHeight="1"/>
    <row r="18513" ht="26.25" customHeight="1"/>
    <row r="18514" ht="26.25" customHeight="1"/>
    <row r="18515" ht="26.25" customHeight="1"/>
    <row r="18516" ht="26.25" customHeight="1"/>
    <row r="18517" ht="26.25" customHeight="1"/>
    <row r="18518" ht="26.25" customHeight="1"/>
    <row r="18519" ht="26.25" customHeight="1"/>
    <row r="18520" ht="26.25" customHeight="1"/>
    <row r="18521" ht="26.25" customHeight="1"/>
    <row r="18522" ht="26.25" customHeight="1"/>
    <row r="18523" ht="26.25" customHeight="1"/>
    <row r="18524" ht="26.25" customHeight="1"/>
    <row r="18525" ht="26.25" customHeight="1"/>
    <row r="18526" ht="26.25" customHeight="1"/>
    <row r="18527" ht="26.25" customHeight="1"/>
    <row r="18528" ht="26.25" customHeight="1"/>
    <row r="18529" ht="26.25" customHeight="1"/>
    <row r="18530" ht="26.25" customHeight="1"/>
    <row r="18531" ht="26.25" customHeight="1"/>
    <row r="18532" ht="26.25" customHeight="1"/>
    <row r="18533" ht="26.25" customHeight="1"/>
    <row r="18534" ht="26.25" customHeight="1"/>
    <row r="18535" ht="26.25" customHeight="1"/>
    <row r="18536" ht="26.25" customHeight="1"/>
    <row r="18537" ht="26.25" customHeight="1"/>
    <row r="18538" ht="26.25" customHeight="1"/>
    <row r="18539" ht="26.25" customHeight="1"/>
    <row r="18540" ht="26.25" customHeight="1"/>
    <row r="18541" ht="26.25" customHeight="1"/>
    <row r="18542" ht="26.25" customHeight="1"/>
    <row r="18543" ht="26.25" customHeight="1"/>
    <row r="18544" ht="26.25" customHeight="1"/>
    <row r="18545" ht="26.25" customHeight="1"/>
    <row r="18546" ht="26.25" customHeight="1"/>
    <row r="18547" ht="26.25" customHeight="1"/>
    <row r="18548" ht="26.25" customHeight="1"/>
    <row r="18549" ht="26.25" customHeight="1"/>
    <row r="18550" ht="26.25" customHeight="1"/>
    <row r="18551" ht="26.25" customHeight="1"/>
    <row r="18552" ht="26.25" customHeight="1"/>
    <row r="18553" ht="26.25" customHeight="1"/>
    <row r="18554" ht="26.25" customHeight="1"/>
    <row r="18555" ht="26.25" customHeight="1"/>
    <row r="18556" ht="26.25" customHeight="1"/>
    <row r="18557" ht="26.25" customHeight="1"/>
    <row r="18558" ht="26.25" customHeight="1"/>
    <row r="18559" ht="26.25" customHeight="1"/>
    <row r="18560" ht="26.25" customHeight="1"/>
    <row r="18561" ht="26.25" customHeight="1"/>
    <row r="18562" ht="26.25" customHeight="1"/>
    <row r="18563" ht="26.25" customHeight="1"/>
    <row r="18564" ht="26.25" customHeight="1"/>
    <row r="18565" ht="26.25" customHeight="1"/>
    <row r="18566" ht="26.25" customHeight="1"/>
    <row r="18567" ht="26.25" customHeight="1"/>
    <row r="18568" ht="26.25" customHeight="1"/>
    <row r="18569" ht="26.25" customHeight="1"/>
    <row r="18570" ht="26.25" customHeight="1"/>
    <row r="18571" ht="26.25" customHeight="1"/>
    <row r="18572" ht="26.25" customHeight="1"/>
    <row r="18573" ht="26.25" customHeight="1"/>
    <row r="18574" ht="26.25" customHeight="1"/>
    <row r="18575" ht="26.25" customHeight="1"/>
    <row r="18576" ht="26.25" customHeight="1"/>
    <row r="18577" ht="26.25" customHeight="1"/>
    <row r="18578" ht="26.25" customHeight="1"/>
    <row r="18579" ht="26.25" customHeight="1"/>
    <row r="18580" ht="26.25" customHeight="1"/>
    <row r="18581" ht="26.25" customHeight="1"/>
    <row r="18582" ht="26.25" customHeight="1"/>
    <row r="18583" ht="26.25" customHeight="1"/>
    <row r="18584" ht="26.25" customHeight="1"/>
    <row r="18585" ht="26.25" customHeight="1"/>
    <row r="18586" ht="26.25" customHeight="1"/>
    <row r="18587" ht="26.25" customHeight="1"/>
    <row r="18588" ht="26.25" customHeight="1"/>
    <row r="18589" ht="26.25" customHeight="1"/>
    <row r="18590" ht="26.25" customHeight="1"/>
    <row r="18591" ht="26.25" customHeight="1"/>
    <row r="18592" ht="26.25" customHeight="1"/>
    <row r="18593" ht="26.25" customHeight="1"/>
    <row r="18594" ht="26.25" customHeight="1"/>
    <row r="18595" ht="26.25" customHeight="1"/>
    <row r="18596" ht="26.25" customHeight="1"/>
    <row r="18597" ht="26.25" customHeight="1"/>
    <row r="18598" ht="26.25" customHeight="1"/>
    <row r="18599" ht="26.25" customHeight="1"/>
    <row r="18600" ht="26.25" customHeight="1"/>
    <row r="18601" ht="26.25" customHeight="1"/>
    <row r="18602" ht="26.25" customHeight="1"/>
    <row r="18603" ht="26.25" customHeight="1"/>
    <row r="18604" ht="26.25" customHeight="1"/>
    <row r="18605" ht="26.25" customHeight="1"/>
    <row r="18606" ht="26.25" customHeight="1"/>
    <row r="18607" ht="26.25" customHeight="1"/>
    <row r="18608" ht="26.25" customHeight="1"/>
    <row r="18609" ht="26.25" customHeight="1"/>
    <row r="18610" ht="26.25" customHeight="1"/>
    <row r="18611" ht="26.25" customHeight="1"/>
    <row r="18612" ht="26.25" customHeight="1"/>
    <row r="18613" ht="26.25" customHeight="1"/>
    <row r="18614" ht="26.25" customHeight="1"/>
    <row r="18615" ht="26.25" customHeight="1"/>
    <row r="18616" ht="26.25" customHeight="1"/>
    <row r="18617" ht="26.25" customHeight="1"/>
    <row r="18618" ht="26.25" customHeight="1"/>
    <row r="18619" ht="26.25" customHeight="1"/>
    <row r="18620" ht="26.25" customHeight="1"/>
    <row r="18621" ht="26.25" customHeight="1"/>
    <row r="18622" ht="26.25" customHeight="1"/>
    <row r="18623" ht="26.25" customHeight="1"/>
    <row r="18624" ht="26.25" customHeight="1"/>
    <row r="18625" ht="26.25" customHeight="1"/>
    <row r="18626" ht="26.25" customHeight="1"/>
    <row r="18627" ht="26.25" customHeight="1"/>
    <row r="18628" ht="26.25" customHeight="1"/>
    <row r="18629" ht="26.25" customHeight="1"/>
    <row r="18630" ht="26.25" customHeight="1"/>
    <row r="18631" ht="26.25" customHeight="1"/>
    <row r="18632" ht="26.25" customHeight="1"/>
    <row r="18633" ht="26.25" customHeight="1"/>
    <row r="18634" ht="26.25" customHeight="1"/>
    <row r="18635" ht="26.25" customHeight="1"/>
    <row r="18636" ht="26.25" customHeight="1"/>
    <row r="18637" ht="26.25" customHeight="1"/>
    <row r="18638" ht="26.25" customHeight="1"/>
    <row r="18639" ht="26.25" customHeight="1"/>
    <row r="18640" ht="26.25" customHeight="1"/>
    <row r="18641" ht="26.25" customHeight="1"/>
    <row r="18642" ht="26.25" customHeight="1"/>
    <row r="18643" ht="26.25" customHeight="1"/>
    <row r="18644" ht="26.25" customHeight="1"/>
    <row r="18645" ht="26.25" customHeight="1"/>
    <row r="18646" ht="26.25" customHeight="1"/>
    <row r="18647" ht="26.25" customHeight="1"/>
    <row r="18648" ht="26.25" customHeight="1"/>
    <row r="18649" ht="26.25" customHeight="1"/>
    <row r="18650" ht="26.25" customHeight="1"/>
    <row r="18651" ht="26.25" customHeight="1"/>
    <row r="18652" ht="26.25" customHeight="1"/>
    <row r="18653" ht="26.25" customHeight="1"/>
    <row r="18654" ht="26.25" customHeight="1"/>
    <row r="18655" ht="26.25" customHeight="1"/>
    <row r="18656" ht="26.25" customHeight="1"/>
    <row r="18657" ht="26.25" customHeight="1"/>
    <row r="18658" ht="26.25" customHeight="1"/>
    <row r="18659" ht="26.25" customHeight="1"/>
    <row r="18660" ht="26.25" customHeight="1"/>
    <row r="18661" ht="26.25" customHeight="1"/>
    <row r="18662" ht="26.25" customHeight="1"/>
    <row r="18663" ht="26.25" customHeight="1"/>
    <row r="18664" ht="26.25" customHeight="1"/>
    <row r="18665" ht="26.25" customHeight="1"/>
    <row r="18666" ht="26.25" customHeight="1"/>
    <row r="18667" ht="26.25" customHeight="1"/>
    <row r="18668" ht="26.25" customHeight="1"/>
    <row r="18669" ht="26.25" customHeight="1"/>
    <row r="18670" ht="26.25" customHeight="1"/>
    <row r="18671" ht="26.25" customHeight="1"/>
    <row r="18672" ht="26.25" customHeight="1"/>
    <row r="18673" ht="26.25" customHeight="1"/>
    <row r="18674" ht="26.25" customHeight="1"/>
    <row r="18675" ht="26.25" customHeight="1"/>
    <row r="18676" ht="26.25" customHeight="1"/>
    <row r="18677" ht="26.25" customHeight="1"/>
    <row r="18678" ht="26.25" customHeight="1"/>
    <row r="18679" ht="26.25" customHeight="1"/>
    <row r="18680" ht="26.25" customHeight="1"/>
    <row r="18681" ht="26.25" customHeight="1"/>
    <row r="18682" ht="26.25" customHeight="1"/>
    <row r="18683" ht="26.25" customHeight="1"/>
    <row r="18684" ht="26.25" customHeight="1"/>
    <row r="18685" ht="26.25" customHeight="1"/>
    <row r="18686" ht="26.25" customHeight="1"/>
    <row r="18687" ht="26.25" customHeight="1"/>
    <row r="18688" ht="26.25" customHeight="1"/>
    <row r="18689" ht="26.25" customHeight="1"/>
    <row r="18690" ht="26.25" customHeight="1"/>
    <row r="18691" ht="26.25" customHeight="1"/>
    <row r="18692" ht="26.25" customHeight="1"/>
    <row r="18693" ht="26.25" customHeight="1"/>
    <row r="18694" ht="26.25" customHeight="1"/>
    <row r="18695" ht="26.25" customHeight="1"/>
    <row r="18696" ht="26.25" customHeight="1"/>
    <row r="18697" ht="26.25" customHeight="1"/>
    <row r="18698" ht="26.25" customHeight="1"/>
    <row r="18699" ht="26.25" customHeight="1"/>
    <row r="18700" ht="26.25" customHeight="1"/>
    <row r="18701" ht="26.25" customHeight="1"/>
    <row r="18702" ht="26.25" customHeight="1"/>
    <row r="18703" ht="26.25" customHeight="1"/>
    <row r="18704" ht="26.25" customHeight="1"/>
    <row r="18705" ht="26.25" customHeight="1"/>
    <row r="18706" ht="26.25" customHeight="1"/>
    <row r="18707" ht="26.25" customHeight="1"/>
    <row r="18708" ht="26.25" customHeight="1"/>
    <row r="18709" ht="26.25" customHeight="1"/>
    <row r="18710" ht="26.25" customHeight="1"/>
    <row r="18711" ht="26.25" customHeight="1"/>
    <row r="18712" ht="26.25" customHeight="1"/>
    <row r="18713" ht="26.25" customHeight="1"/>
    <row r="18714" ht="26.25" customHeight="1"/>
    <row r="18715" ht="26.25" customHeight="1"/>
    <row r="18716" ht="26.25" customHeight="1"/>
    <row r="18717" ht="26.25" customHeight="1"/>
    <row r="18718" ht="26.25" customHeight="1"/>
    <row r="18719" ht="26.25" customHeight="1"/>
    <row r="18720" ht="26.25" customHeight="1"/>
    <row r="18721" ht="26.25" customHeight="1"/>
    <row r="18722" ht="26.25" customHeight="1"/>
    <row r="18723" ht="26.25" customHeight="1"/>
    <row r="18724" ht="26.25" customHeight="1"/>
    <row r="18725" ht="26.25" customHeight="1"/>
    <row r="18726" ht="26.25" customHeight="1"/>
    <row r="18727" ht="26.25" customHeight="1"/>
    <row r="18728" ht="26.25" customHeight="1"/>
    <row r="18729" ht="26.25" customHeight="1"/>
    <row r="18730" ht="26.25" customHeight="1"/>
    <row r="18731" ht="26.25" customHeight="1"/>
    <row r="18732" ht="26.25" customHeight="1"/>
    <row r="18733" ht="26.25" customHeight="1"/>
    <row r="18734" ht="26.25" customHeight="1"/>
    <row r="18735" ht="26.25" customHeight="1"/>
    <row r="18736" ht="26.25" customHeight="1"/>
    <row r="18737" ht="26.25" customHeight="1"/>
    <row r="18738" ht="26.25" customHeight="1"/>
    <row r="18739" ht="26.25" customHeight="1"/>
    <row r="18740" ht="26.25" customHeight="1"/>
    <row r="18741" ht="26.25" customHeight="1"/>
    <row r="18742" ht="26.25" customHeight="1"/>
    <row r="18743" ht="26.25" customHeight="1"/>
    <row r="18744" ht="26.25" customHeight="1"/>
    <row r="18745" ht="26.25" customHeight="1"/>
    <row r="18746" ht="26.25" customHeight="1"/>
    <row r="18747" ht="26.25" customHeight="1"/>
    <row r="18748" ht="26.25" customHeight="1"/>
    <row r="18749" ht="26.25" customHeight="1"/>
    <row r="18750" ht="26.25" customHeight="1"/>
    <row r="18751" ht="26.25" customHeight="1"/>
    <row r="18752" ht="26.25" customHeight="1"/>
    <row r="18753" ht="26.25" customHeight="1"/>
    <row r="18754" ht="26.25" customHeight="1"/>
    <row r="18755" ht="26.25" customHeight="1"/>
    <row r="18756" ht="26.25" customHeight="1"/>
    <row r="18757" ht="26.25" customHeight="1"/>
    <row r="18758" ht="26.25" customHeight="1"/>
    <row r="18759" ht="26.25" customHeight="1"/>
    <row r="18760" ht="26.25" customHeight="1"/>
    <row r="18761" ht="26.25" customHeight="1"/>
    <row r="18762" ht="26.25" customHeight="1"/>
    <row r="18763" ht="26.25" customHeight="1"/>
    <row r="18764" ht="26.25" customHeight="1"/>
    <row r="18765" ht="26.25" customHeight="1"/>
    <row r="18766" ht="26.25" customHeight="1"/>
    <row r="18767" ht="26.25" customHeight="1"/>
    <row r="18768" ht="26.25" customHeight="1"/>
    <row r="18769" ht="26.25" customHeight="1"/>
    <row r="18770" ht="26.25" customHeight="1"/>
    <row r="18771" ht="26.25" customHeight="1"/>
    <row r="18772" ht="26.25" customHeight="1"/>
    <row r="18773" ht="26.25" customHeight="1"/>
    <row r="18774" ht="26.25" customHeight="1"/>
    <row r="18775" ht="26.25" customHeight="1"/>
    <row r="18776" ht="26.25" customHeight="1"/>
    <row r="18777" ht="26.25" customHeight="1"/>
    <row r="18778" ht="26.25" customHeight="1"/>
    <row r="18779" ht="26.25" customHeight="1"/>
    <row r="18780" ht="26.25" customHeight="1"/>
    <row r="18781" ht="26.25" customHeight="1"/>
    <row r="18782" ht="26.25" customHeight="1"/>
    <row r="18783" ht="26.25" customHeight="1"/>
    <row r="18784" ht="26.25" customHeight="1"/>
    <row r="18785" ht="26.25" customHeight="1"/>
    <row r="18786" ht="26.25" customHeight="1"/>
    <row r="18787" ht="26.25" customHeight="1"/>
    <row r="18788" ht="26.25" customHeight="1"/>
    <row r="18789" ht="26.25" customHeight="1"/>
    <row r="18790" ht="26.25" customHeight="1"/>
    <row r="18791" ht="26.25" customHeight="1"/>
    <row r="18792" ht="26.25" customHeight="1"/>
    <row r="18793" ht="26.25" customHeight="1"/>
    <row r="18794" ht="26.25" customHeight="1"/>
    <row r="18795" ht="26.25" customHeight="1"/>
    <row r="18796" ht="26.25" customHeight="1"/>
    <row r="18797" ht="26.25" customHeight="1"/>
    <row r="18798" ht="26.25" customHeight="1"/>
    <row r="18799" ht="26.25" customHeight="1"/>
    <row r="18800" ht="26.25" customHeight="1"/>
    <row r="18801" ht="26.25" customHeight="1"/>
    <row r="18802" ht="26.25" customHeight="1"/>
    <row r="18803" ht="26.25" customHeight="1"/>
    <row r="18804" ht="26.25" customHeight="1"/>
    <row r="18805" ht="26.25" customHeight="1"/>
    <row r="18806" ht="26.25" customHeight="1"/>
    <row r="18807" ht="26.25" customHeight="1"/>
    <row r="18808" ht="26.25" customHeight="1"/>
    <row r="18809" ht="26.25" customHeight="1"/>
    <row r="18810" ht="26.25" customHeight="1"/>
    <row r="18811" ht="26.25" customHeight="1"/>
    <row r="18812" ht="26.25" customHeight="1"/>
    <row r="18813" ht="26.25" customHeight="1"/>
    <row r="18814" ht="26.25" customHeight="1"/>
    <row r="18815" ht="26.25" customHeight="1"/>
    <row r="18816" ht="26.25" customHeight="1"/>
    <row r="18817" ht="26.25" customHeight="1"/>
    <row r="18818" ht="26.25" customHeight="1"/>
    <row r="18819" ht="26.25" customHeight="1"/>
    <row r="18820" ht="26.25" customHeight="1"/>
    <row r="18821" ht="26.25" customHeight="1"/>
    <row r="18822" ht="26.25" customHeight="1"/>
    <row r="18823" ht="26.25" customHeight="1"/>
    <row r="18824" ht="26.25" customHeight="1"/>
    <row r="18825" ht="26.25" customHeight="1"/>
    <row r="18826" ht="26.25" customHeight="1"/>
    <row r="18827" ht="26.25" customHeight="1"/>
    <row r="18828" ht="26.25" customHeight="1"/>
    <row r="18829" ht="26.25" customHeight="1"/>
    <row r="18830" ht="26.25" customHeight="1"/>
    <row r="18831" ht="26.25" customHeight="1"/>
    <row r="18832" ht="26.25" customHeight="1"/>
    <row r="18833" ht="26.25" customHeight="1"/>
    <row r="18834" ht="26.25" customHeight="1"/>
    <row r="18835" ht="26.25" customHeight="1"/>
    <row r="18836" ht="26.25" customHeight="1"/>
    <row r="18837" ht="26.25" customHeight="1"/>
    <row r="18838" ht="26.25" customHeight="1"/>
    <row r="18839" ht="26.25" customHeight="1"/>
    <row r="18840" ht="26.25" customHeight="1"/>
    <row r="18841" ht="26.25" customHeight="1"/>
    <row r="18842" ht="26.25" customHeight="1"/>
    <row r="18843" ht="26.25" customHeight="1"/>
    <row r="18844" ht="26.25" customHeight="1"/>
    <row r="18845" ht="26.25" customHeight="1"/>
    <row r="18846" ht="26.25" customHeight="1"/>
    <row r="18847" ht="26.25" customHeight="1"/>
    <row r="18848" ht="26.25" customHeight="1"/>
    <row r="18849" ht="26.25" customHeight="1"/>
    <row r="18850" ht="26.25" customHeight="1"/>
    <row r="18851" ht="26.25" customHeight="1"/>
    <row r="18852" ht="26.25" customHeight="1"/>
    <row r="18853" ht="26.25" customHeight="1"/>
    <row r="18854" ht="26.25" customHeight="1"/>
    <row r="18855" ht="26.25" customHeight="1"/>
    <row r="18856" ht="26.25" customHeight="1"/>
    <row r="18857" ht="26.25" customHeight="1"/>
    <row r="18858" ht="26.25" customHeight="1"/>
    <row r="18859" ht="26.25" customHeight="1"/>
    <row r="18860" ht="26.25" customHeight="1"/>
    <row r="18861" ht="26.25" customHeight="1"/>
    <row r="18862" ht="26.25" customHeight="1"/>
    <row r="18863" ht="26.25" customHeight="1"/>
    <row r="18864" ht="26.25" customHeight="1"/>
    <row r="18865" ht="26.25" customHeight="1"/>
    <row r="18866" ht="26.25" customHeight="1"/>
    <row r="18867" ht="26.25" customHeight="1"/>
    <row r="18868" ht="26.25" customHeight="1"/>
    <row r="18869" ht="26.25" customHeight="1"/>
    <row r="18870" ht="26.25" customHeight="1"/>
    <row r="18871" ht="26.25" customHeight="1"/>
    <row r="18872" ht="26.25" customHeight="1"/>
    <row r="18873" ht="26.25" customHeight="1"/>
    <row r="18874" ht="26.25" customHeight="1"/>
    <row r="18875" ht="26.25" customHeight="1"/>
    <row r="18876" ht="26.25" customHeight="1"/>
    <row r="18877" ht="26.25" customHeight="1"/>
    <row r="18878" ht="26.25" customHeight="1"/>
    <row r="18879" ht="26.25" customHeight="1"/>
    <row r="18880" ht="26.25" customHeight="1"/>
    <row r="18881" ht="26.25" customHeight="1"/>
    <row r="18882" ht="26.25" customHeight="1"/>
    <row r="18883" ht="26.25" customHeight="1"/>
    <row r="18884" ht="26.25" customHeight="1"/>
    <row r="18885" ht="26.25" customHeight="1"/>
    <row r="18886" ht="26.25" customHeight="1"/>
    <row r="18887" ht="26.25" customHeight="1"/>
    <row r="18888" ht="26.25" customHeight="1"/>
    <row r="18889" ht="26.25" customHeight="1"/>
    <row r="18890" ht="26.25" customHeight="1"/>
    <row r="18891" ht="26.25" customHeight="1"/>
    <row r="18892" ht="26.25" customHeight="1"/>
    <row r="18893" ht="26.25" customHeight="1"/>
    <row r="18894" ht="26.25" customHeight="1"/>
    <row r="18895" ht="26.25" customHeight="1"/>
    <row r="18896" ht="26.25" customHeight="1"/>
    <row r="18897" ht="26.25" customHeight="1"/>
    <row r="18898" ht="26.25" customHeight="1"/>
    <row r="18899" ht="26.25" customHeight="1"/>
    <row r="18900" ht="26.25" customHeight="1"/>
    <row r="18901" ht="26.25" customHeight="1"/>
    <row r="18902" ht="26.25" customHeight="1"/>
    <row r="18903" ht="26.25" customHeight="1"/>
    <row r="18904" ht="26.25" customHeight="1"/>
    <row r="18905" ht="26.25" customHeight="1"/>
    <row r="18906" ht="26.25" customHeight="1"/>
    <row r="18907" ht="26.25" customHeight="1"/>
    <row r="18908" ht="26.25" customHeight="1"/>
    <row r="18909" ht="26.25" customHeight="1"/>
    <row r="18910" ht="26.25" customHeight="1"/>
    <row r="18911" ht="26.25" customHeight="1"/>
    <row r="18912" ht="26.25" customHeight="1"/>
    <row r="18913" ht="26.25" customHeight="1"/>
    <row r="18914" ht="26.25" customHeight="1"/>
    <row r="18915" ht="26.25" customHeight="1"/>
    <row r="18916" ht="26.25" customHeight="1"/>
    <row r="18917" ht="26.25" customHeight="1"/>
    <row r="18918" ht="26.25" customHeight="1"/>
    <row r="18919" ht="26.25" customHeight="1"/>
    <row r="18920" ht="26.25" customHeight="1"/>
    <row r="18921" ht="26.25" customHeight="1"/>
    <row r="18922" ht="26.25" customHeight="1"/>
    <row r="18923" ht="26.25" customHeight="1"/>
    <row r="18924" ht="26.25" customHeight="1"/>
    <row r="18925" ht="26.25" customHeight="1"/>
    <row r="18926" ht="26.25" customHeight="1"/>
    <row r="18927" ht="26.25" customHeight="1"/>
    <row r="18928" ht="26.25" customHeight="1"/>
    <row r="18929" ht="26.25" customHeight="1"/>
    <row r="18930" ht="26.25" customHeight="1"/>
    <row r="18931" ht="26.25" customHeight="1"/>
    <row r="18932" ht="26.25" customHeight="1"/>
    <row r="18933" ht="26.25" customHeight="1"/>
    <row r="18934" ht="26.25" customHeight="1"/>
    <row r="18935" ht="26.25" customHeight="1"/>
    <row r="18936" ht="26.25" customHeight="1"/>
    <row r="18937" ht="26.25" customHeight="1"/>
    <row r="18938" ht="26.25" customHeight="1"/>
    <row r="18939" ht="26.25" customHeight="1"/>
    <row r="18940" ht="26.25" customHeight="1"/>
    <row r="18941" ht="26.25" customHeight="1"/>
    <row r="18942" ht="26.25" customHeight="1"/>
    <row r="18943" ht="26.25" customHeight="1"/>
    <row r="18944" ht="26.25" customHeight="1"/>
    <row r="18945" ht="26.25" customHeight="1"/>
    <row r="18946" ht="26.25" customHeight="1"/>
    <row r="18947" ht="26.25" customHeight="1"/>
    <row r="18948" ht="26.25" customHeight="1"/>
    <row r="18949" ht="26.25" customHeight="1"/>
    <row r="18950" ht="26.25" customHeight="1"/>
    <row r="18951" ht="26.25" customHeight="1"/>
    <row r="18952" ht="26.25" customHeight="1"/>
    <row r="18953" ht="26.25" customHeight="1"/>
    <row r="18954" ht="26.25" customHeight="1"/>
    <row r="18955" ht="26.25" customHeight="1"/>
    <row r="18956" ht="26.25" customHeight="1"/>
    <row r="18957" ht="26.25" customHeight="1"/>
    <row r="18958" ht="26.25" customHeight="1"/>
    <row r="18959" ht="26.25" customHeight="1"/>
    <row r="18960" ht="26.25" customHeight="1"/>
    <row r="18961" ht="26.25" customHeight="1"/>
    <row r="18962" ht="26.25" customHeight="1"/>
    <row r="18963" ht="26.25" customHeight="1"/>
    <row r="18964" ht="26.25" customHeight="1"/>
    <row r="18965" ht="26.25" customHeight="1"/>
    <row r="18966" ht="26.25" customHeight="1"/>
    <row r="18967" ht="26.25" customHeight="1"/>
    <row r="18968" ht="26.25" customHeight="1"/>
    <row r="18969" ht="26.25" customHeight="1"/>
    <row r="18970" ht="26.25" customHeight="1"/>
    <row r="18971" ht="26.25" customHeight="1"/>
    <row r="18972" ht="26.25" customHeight="1"/>
    <row r="18973" ht="26.25" customHeight="1"/>
    <row r="18974" ht="26.25" customHeight="1"/>
    <row r="18975" ht="26.25" customHeight="1"/>
    <row r="18976" ht="26.25" customHeight="1"/>
    <row r="18977" ht="26.25" customHeight="1"/>
    <row r="18978" ht="26.25" customHeight="1"/>
    <row r="18979" ht="26.25" customHeight="1"/>
    <row r="18980" ht="26.25" customHeight="1"/>
    <row r="18981" ht="26.25" customHeight="1"/>
    <row r="18982" ht="26.25" customHeight="1"/>
    <row r="18983" ht="26.25" customHeight="1"/>
    <row r="18984" ht="26.25" customHeight="1"/>
    <row r="18985" ht="26.25" customHeight="1"/>
    <row r="18986" ht="26.25" customHeight="1"/>
    <row r="18987" ht="26.25" customHeight="1"/>
    <row r="18988" ht="26.25" customHeight="1"/>
    <row r="18989" ht="26.25" customHeight="1"/>
    <row r="18990" ht="26.25" customHeight="1"/>
    <row r="18991" ht="26.25" customHeight="1"/>
    <row r="18992" ht="26.25" customHeight="1"/>
    <row r="18993" ht="26.25" customHeight="1"/>
    <row r="18994" ht="26.25" customHeight="1"/>
    <row r="18995" ht="26.25" customHeight="1"/>
    <row r="18996" ht="26.25" customHeight="1"/>
    <row r="18997" ht="26.25" customHeight="1"/>
    <row r="18998" ht="26.25" customHeight="1"/>
    <row r="18999" ht="26.25" customHeight="1"/>
    <row r="19000" ht="26.25" customHeight="1"/>
    <row r="19001" ht="26.25" customHeight="1"/>
    <row r="19002" ht="26.25" customHeight="1"/>
    <row r="19003" ht="26.25" customHeight="1"/>
    <row r="19004" ht="26.25" customHeight="1"/>
    <row r="19005" ht="26.25" customHeight="1"/>
    <row r="19006" ht="26.25" customHeight="1"/>
    <row r="19007" ht="26.25" customHeight="1"/>
    <row r="19008" ht="26.25" customHeight="1"/>
    <row r="19009" ht="26.25" customHeight="1"/>
    <row r="19010" ht="26.25" customHeight="1"/>
    <row r="19011" ht="26.25" customHeight="1"/>
    <row r="19012" ht="26.25" customHeight="1"/>
    <row r="19013" ht="26.25" customHeight="1"/>
    <row r="19014" ht="26.25" customHeight="1"/>
    <row r="19015" ht="26.25" customHeight="1"/>
    <row r="19016" ht="26.25" customHeight="1"/>
    <row r="19017" ht="26.25" customHeight="1"/>
    <row r="19018" ht="26.25" customHeight="1"/>
    <row r="19019" ht="26.25" customHeight="1"/>
    <row r="19020" ht="26.25" customHeight="1"/>
    <row r="19021" ht="26.25" customHeight="1"/>
    <row r="19022" ht="26.25" customHeight="1"/>
    <row r="19023" ht="26.25" customHeight="1"/>
    <row r="19024" ht="26.25" customHeight="1"/>
    <row r="19025" ht="26.25" customHeight="1"/>
    <row r="19026" ht="26.25" customHeight="1"/>
    <row r="19027" ht="26.25" customHeight="1"/>
    <row r="19028" ht="26.25" customHeight="1"/>
    <row r="19029" ht="26.25" customHeight="1"/>
    <row r="19030" ht="26.25" customHeight="1"/>
    <row r="19031" ht="26.25" customHeight="1"/>
    <row r="19032" ht="26.25" customHeight="1"/>
    <row r="19033" ht="26.25" customHeight="1"/>
    <row r="19034" ht="26.25" customHeight="1"/>
    <row r="19035" ht="26.25" customHeight="1"/>
    <row r="19036" ht="26.25" customHeight="1"/>
    <row r="19037" ht="26.25" customHeight="1"/>
    <row r="19038" ht="26.25" customHeight="1"/>
    <row r="19039" ht="26.25" customHeight="1"/>
    <row r="19040" ht="26.25" customHeight="1"/>
    <row r="19041" ht="26.25" customHeight="1"/>
    <row r="19042" ht="26.25" customHeight="1"/>
    <row r="19043" ht="26.25" customHeight="1"/>
    <row r="19044" ht="26.25" customHeight="1"/>
    <row r="19045" ht="26.25" customHeight="1"/>
    <row r="19046" ht="26.25" customHeight="1"/>
    <row r="19047" ht="26.25" customHeight="1"/>
    <row r="19048" ht="26.25" customHeight="1"/>
    <row r="19049" ht="26.25" customHeight="1"/>
    <row r="19050" ht="26.25" customHeight="1"/>
    <row r="19051" ht="26.25" customHeight="1"/>
    <row r="19052" ht="26.25" customHeight="1"/>
    <row r="19053" ht="26.25" customHeight="1"/>
    <row r="19054" ht="26.25" customHeight="1"/>
    <row r="19055" ht="26.25" customHeight="1"/>
    <row r="19056" ht="26.25" customHeight="1"/>
    <row r="19057" ht="26.25" customHeight="1"/>
    <row r="19058" ht="26.25" customHeight="1"/>
    <row r="19059" ht="26.25" customHeight="1"/>
    <row r="19060" ht="26.25" customHeight="1"/>
    <row r="19061" ht="26.25" customHeight="1"/>
    <row r="19062" ht="26.25" customHeight="1"/>
    <row r="19063" ht="26.25" customHeight="1"/>
    <row r="19064" ht="26.25" customHeight="1"/>
    <row r="19065" ht="26.25" customHeight="1"/>
    <row r="19066" ht="26.25" customHeight="1"/>
    <row r="19067" ht="26.25" customHeight="1"/>
    <row r="19068" ht="26.25" customHeight="1"/>
    <row r="19069" ht="26.25" customHeight="1"/>
    <row r="19070" ht="26.25" customHeight="1"/>
    <row r="19071" ht="26.25" customHeight="1"/>
    <row r="19072" ht="26.25" customHeight="1"/>
    <row r="19073" ht="26.25" customHeight="1"/>
    <row r="19074" ht="26.25" customHeight="1"/>
    <row r="19075" ht="26.25" customHeight="1"/>
    <row r="19076" ht="26.25" customHeight="1"/>
    <row r="19077" ht="26.25" customHeight="1"/>
    <row r="19078" ht="26.25" customHeight="1"/>
    <row r="19079" ht="26.25" customHeight="1"/>
    <row r="19080" ht="26.25" customHeight="1"/>
    <row r="19081" ht="26.25" customHeight="1"/>
    <row r="19082" ht="26.25" customHeight="1"/>
    <row r="19083" ht="26.25" customHeight="1"/>
    <row r="19084" ht="26.25" customHeight="1"/>
    <row r="19085" ht="26.25" customHeight="1"/>
    <row r="19086" ht="26.25" customHeight="1"/>
    <row r="19087" ht="26.25" customHeight="1"/>
    <row r="19088" ht="26.25" customHeight="1"/>
    <row r="19089" ht="26.25" customHeight="1"/>
    <row r="19090" ht="26.25" customHeight="1"/>
    <row r="19091" ht="26.25" customHeight="1"/>
    <row r="19092" ht="26.25" customHeight="1"/>
    <row r="19093" ht="26.25" customHeight="1"/>
    <row r="19094" ht="26.25" customHeight="1"/>
    <row r="19095" ht="26.25" customHeight="1"/>
    <row r="19096" ht="26.25" customHeight="1"/>
    <row r="19097" ht="26.25" customHeight="1"/>
    <row r="19098" ht="26.25" customHeight="1"/>
    <row r="19099" ht="26.25" customHeight="1"/>
    <row r="19100" ht="26.25" customHeight="1"/>
    <row r="19101" ht="26.25" customHeight="1"/>
    <row r="19102" ht="26.25" customHeight="1"/>
    <row r="19103" ht="26.25" customHeight="1"/>
    <row r="19104" ht="26.25" customHeight="1"/>
    <row r="19105" ht="26.25" customHeight="1"/>
    <row r="19106" ht="26.25" customHeight="1"/>
    <row r="19107" ht="26.25" customHeight="1"/>
    <row r="19108" ht="26.25" customHeight="1"/>
    <row r="19109" ht="26.25" customHeight="1"/>
    <row r="19110" ht="26.25" customHeight="1"/>
    <row r="19111" ht="26.25" customHeight="1"/>
    <row r="19112" ht="26.25" customHeight="1"/>
    <row r="19113" ht="26.25" customHeight="1"/>
    <row r="19114" ht="26.25" customHeight="1"/>
    <row r="19115" ht="26.25" customHeight="1"/>
    <row r="19116" ht="26.25" customHeight="1"/>
    <row r="19117" ht="26.25" customHeight="1"/>
    <row r="19118" ht="26.25" customHeight="1"/>
    <row r="19119" ht="26.25" customHeight="1"/>
    <row r="19120" ht="26.25" customHeight="1"/>
    <row r="19121" ht="26.25" customHeight="1"/>
    <row r="19122" ht="26.25" customHeight="1"/>
    <row r="19123" ht="26.25" customHeight="1"/>
    <row r="19124" ht="26.25" customHeight="1"/>
    <row r="19125" ht="26.25" customHeight="1"/>
    <row r="19126" ht="26.25" customHeight="1"/>
    <row r="19127" ht="26.25" customHeight="1"/>
    <row r="19128" ht="26.25" customHeight="1"/>
    <row r="19129" ht="26.25" customHeight="1"/>
    <row r="19130" ht="26.25" customHeight="1"/>
    <row r="19131" ht="26.25" customHeight="1"/>
    <row r="19132" ht="26.25" customHeight="1"/>
    <row r="19133" ht="26.25" customHeight="1"/>
    <row r="19134" ht="26.25" customHeight="1"/>
    <row r="19135" ht="26.25" customHeight="1"/>
    <row r="19136" ht="26.25" customHeight="1"/>
    <row r="19137" ht="26.25" customHeight="1"/>
    <row r="19138" ht="26.25" customHeight="1"/>
    <row r="19139" ht="26.25" customHeight="1"/>
    <row r="19140" ht="26.25" customHeight="1"/>
    <row r="19141" ht="26.25" customHeight="1"/>
    <row r="19142" ht="26.25" customHeight="1"/>
    <row r="19143" ht="26.25" customHeight="1"/>
    <row r="19144" ht="26.25" customHeight="1"/>
    <row r="19145" ht="26.25" customHeight="1"/>
    <row r="19146" ht="26.25" customHeight="1"/>
    <row r="19147" ht="26.25" customHeight="1"/>
    <row r="19148" ht="26.25" customHeight="1"/>
    <row r="19149" ht="26.25" customHeight="1"/>
    <row r="19150" ht="26.25" customHeight="1"/>
    <row r="19151" ht="26.25" customHeight="1"/>
    <row r="19152" ht="26.25" customHeight="1"/>
    <row r="19153" ht="26.25" customHeight="1"/>
    <row r="19154" ht="26.25" customHeight="1"/>
    <row r="19155" ht="26.25" customHeight="1"/>
    <row r="19156" ht="26.25" customHeight="1"/>
    <row r="19157" ht="26.25" customHeight="1"/>
    <row r="19158" ht="26.25" customHeight="1"/>
    <row r="19159" ht="26.25" customHeight="1"/>
    <row r="19160" ht="26.25" customHeight="1"/>
    <row r="19161" ht="26.25" customHeight="1"/>
    <row r="19162" ht="26.25" customHeight="1"/>
    <row r="19163" ht="26.25" customHeight="1"/>
    <row r="19164" ht="26.25" customHeight="1"/>
    <row r="19165" ht="26.25" customHeight="1"/>
    <row r="19166" ht="26.25" customHeight="1"/>
    <row r="19167" ht="26.25" customHeight="1"/>
    <row r="19168" ht="26.25" customHeight="1"/>
    <row r="19169" ht="26.25" customHeight="1"/>
    <row r="19170" ht="26.25" customHeight="1"/>
    <row r="19171" ht="26.25" customHeight="1"/>
    <row r="19172" ht="26.25" customHeight="1"/>
    <row r="19173" ht="26.25" customHeight="1"/>
    <row r="19174" ht="26.25" customHeight="1"/>
    <row r="19175" ht="26.25" customHeight="1"/>
    <row r="19176" ht="26.25" customHeight="1"/>
    <row r="19177" ht="26.25" customHeight="1"/>
    <row r="19178" ht="26.25" customHeight="1"/>
    <row r="19179" ht="26.25" customHeight="1"/>
    <row r="19180" ht="26.25" customHeight="1"/>
    <row r="19181" ht="26.25" customHeight="1"/>
    <row r="19182" ht="26.25" customHeight="1"/>
    <row r="19183" ht="26.25" customHeight="1"/>
    <row r="19184" ht="26.25" customHeight="1"/>
    <row r="19185" ht="26.25" customHeight="1"/>
    <row r="19186" ht="26.25" customHeight="1"/>
    <row r="19187" ht="26.25" customHeight="1"/>
    <row r="19188" ht="26.25" customHeight="1"/>
    <row r="19189" ht="26.25" customHeight="1"/>
    <row r="19190" ht="26.25" customHeight="1"/>
    <row r="19191" ht="26.25" customHeight="1"/>
    <row r="19192" ht="26.25" customHeight="1"/>
    <row r="19193" ht="26.25" customHeight="1"/>
    <row r="19194" ht="26.25" customHeight="1"/>
    <row r="19195" ht="26.25" customHeight="1"/>
    <row r="19196" ht="26.25" customHeight="1"/>
    <row r="19197" ht="26.25" customHeight="1"/>
    <row r="19198" ht="26.25" customHeight="1"/>
    <row r="19199" ht="26.25" customHeight="1"/>
    <row r="19200" ht="26.25" customHeight="1"/>
    <row r="19201" ht="26.25" customHeight="1"/>
    <row r="19202" ht="26.25" customHeight="1"/>
    <row r="19203" ht="26.25" customHeight="1"/>
    <row r="19204" ht="26.25" customHeight="1"/>
    <row r="19205" ht="26.25" customHeight="1"/>
    <row r="19206" ht="26.25" customHeight="1"/>
    <row r="19207" ht="26.25" customHeight="1"/>
    <row r="19208" ht="26.25" customHeight="1"/>
    <row r="19209" ht="26.25" customHeight="1"/>
    <row r="19210" ht="26.25" customHeight="1"/>
    <row r="19211" ht="26.25" customHeight="1"/>
    <row r="19212" ht="26.25" customHeight="1"/>
    <row r="19213" ht="26.25" customHeight="1"/>
    <row r="19214" ht="26.25" customHeight="1"/>
    <row r="19215" ht="26.25" customHeight="1"/>
    <row r="19216" ht="26.25" customHeight="1"/>
    <row r="19217" ht="26.25" customHeight="1"/>
    <row r="19218" ht="26.25" customHeight="1"/>
    <row r="19219" ht="26.25" customHeight="1"/>
    <row r="19220" ht="26.25" customHeight="1"/>
    <row r="19221" ht="26.25" customHeight="1"/>
    <row r="19222" ht="26.25" customHeight="1"/>
    <row r="19223" ht="26.25" customHeight="1"/>
    <row r="19224" ht="26.25" customHeight="1"/>
    <row r="19225" ht="26.25" customHeight="1"/>
    <row r="19226" ht="26.25" customHeight="1"/>
    <row r="19227" ht="26.25" customHeight="1"/>
    <row r="19228" ht="26.25" customHeight="1"/>
    <row r="19229" ht="26.25" customHeight="1"/>
    <row r="19230" ht="26.25" customHeight="1"/>
    <row r="19231" ht="26.25" customHeight="1"/>
    <row r="19232" ht="26.25" customHeight="1"/>
    <row r="19233" ht="26.25" customHeight="1"/>
    <row r="19234" ht="26.25" customHeight="1"/>
    <row r="19235" ht="26.25" customHeight="1"/>
    <row r="19236" ht="26.25" customHeight="1"/>
    <row r="19237" ht="26.25" customHeight="1"/>
    <row r="19238" ht="26.25" customHeight="1"/>
    <row r="19239" ht="26.25" customHeight="1"/>
    <row r="19240" ht="26.25" customHeight="1"/>
    <row r="19241" ht="26.25" customHeight="1"/>
    <row r="19242" ht="26.25" customHeight="1"/>
    <row r="19243" ht="26.25" customHeight="1"/>
    <row r="19244" ht="26.25" customHeight="1"/>
    <row r="19245" ht="26.25" customHeight="1"/>
    <row r="19246" ht="26.25" customHeight="1"/>
    <row r="19247" ht="26.25" customHeight="1"/>
    <row r="19248" ht="26.25" customHeight="1"/>
    <row r="19249" ht="26.25" customHeight="1"/>
    <row r="19250" ht="26.25" customHeight="1"/>
    <row r="19251" ht="26.25" customHeight="1"/>
    <row r="19252" ht="26.25" customHeight="1"/>
    <row r="19253" ht="26.25" customHeight="1"/>
    <row r="19254" ht="26.25" customHeight="1"/>
    <row r="19255" ht="26.25" customHeight="1"/>
    <row r="19256" ht="26.25" customHeight="1"/>
    <row r="19257" ht="26.25" customHeight="1"/>
    <row r="19258" ht="26.25" customHeight="1"/>
    <row r="19259" ht="26.25" customHeight="1"/>
    <row r="19260" ht="26.25" customHeight="1"/>
    <row r="19261" ht="26.25" customHeight="1"/>
    <row r="19262" ht="26.25" customHeight="1"/>
    <row r="19263" ht="26.25" customHeight="1"/>
    <row r="19264" ht="26.25" customHeight="1"/>
    <row r="19265" ht="26.25" customHeight="1"/>
    <row r="19266" ht="26.25" customHeight="1"/>
    <row r="19267" ht="26.25" customHeight="1"/>
    <row r="19268" ht="26.25" customHeight="1"/>
    <row r="19269" ht="26.25" customHeight="1"/>
    <row r="19270" ht="26.25" customHeight="1"/>
    <row r="19271" ht="26.25" customHeight="1"/>
    <row r="19272" ht="26.25" customHeight="1"/>
    <row r="19273" ht="26.25" customHeight="1"/>
    <row r="19274" ht="26.25" customHeight="1"/>
    <row r="19275" ht="26.25" customHeight="1"/>
    <row r="19276" ht="26.25" customHeight="1"/>
    <row r="19277" ht="26.25" customHeight="1"/>
    <row r="19278" ht="26.25" customHeight="1"/>
    <row r="19279" ht="26.25" customHeight="1"/>
    <row r="19280" ht="26.25" customHeight="1"/>
    <row r="19281" ht="26.25" customHeight="1"/>
    <row r="19282" ht="26.25" customHeight="1"/>
    <row r="19283" ht="26.25" customHeight="1"/>
    <row r="19284" ht="26.25" customHeight="1"/>
    <row r="19285" ht="26.25" customHeight="1"/>
    <row r="19286" ht="26.25" customHeight="1"/>
    <row r="19287" ht="26.25" customHeight="1"/>
    <row r="19288" ht="26.25" customHeight="1"/>
    <row r="19289" ht="26.25" customHeight="1"/>
    <row r="19290" ht="26.25" customHeight="1"/>
    <row r="19291" ht="26.25" customHeight="1"/>
    <row r="19292" ht="26.25" customHeight="1"/>
    <row r="19293" ht="26.25" customHeight="1"/>
    <row r="19294" ht="26.25" customHeight="1"/>
    <row r="19295" ht="26.25" customHeight="1"/>
    <row r="19296" ht="26.25" customHeight="1"/>
    <row r="19297" ht="26.25" customHeight="1"/>
    <row r="19298" ht="26.25" customHeight="1"/>
    <row r="19299" ht="26.25" customHeight="1"/>
    <row r="19300" ht="26.25" customHeight="1"/>
    <row r="19301" ht="26.25" customHeight="1"/>
    <row r="19302" ht="26.25" customHeight="1"/>
    <row r="19303" ht="26.25" customHeight="1"/>
    <row r="19304" ht="26.25" customHeight="1"/>
    <row r="19305" ht="26.25" customHeight="1"/>
    <row r="19306" ht="26.25" customHeight="1"/>
    <row r="19307" ht="26.25" customHeight="1"/>
    <row r="19308" ht="26.25" customHeight="1"/>
    <row r="19309" ht="26.25" customHeight="1"/>
    <row r="19310" ht="26.25" customHeight="1"/>
    <row r="19311" ht="26.25" customHeight="1"/>
    <row r="19312" ht="26.25" customHeight="1"/>
    <row r="19313" ht="26.25" customHeight="1"/>
    <row r="19314" ht="26.25" customHeight="1"/>
    <row r="19315" ht="26.25" customHeight="1"/>
    <row r="19316" ht="26.25" customHeight="1"/>
    <row r="19317" ht="26.25" customHeight="1"/>
    <row r="19318" ht="26.25" customHeight="1"/>
    <row r="19319" ht="26.25" customHeight="1"/>
    <row r="19320" ht="26.25" customHeight="1"/>
    <row r="19321" ht="26.25" customHeight="1"/>
    <row r="19322" ht="26.25" customHeight="1"/>
    <row r="19323" ht="26.25" customHeight="1"/>
    <row r="19324" ht="26.25" customHeight="1"/>
    <row r="19325" ht="26.25" customHeight="1"/>
    <row r="19326" ht="26.25" customHeight="1"/>
    <row r="19327" ht="26.25" customHeight="1"/>
    <row r="19328" ht="26.25" customHeight="1"/>
    <row r="19329" ht="26.25" customHeight="1"/>
    <row r="19330" ht="26.25" customHeight="1"/>
    <row r="19331" ht="26.25" customHeight="1"/>
    <row r="19332" ht="26.25" customHeight="1"/>
    <row r="19333" ht="26.25" customHeight="1"/>
    <row r="19334" ht="26.25" customHeight="1"/>
    <row r="19335" ht="26.25" customHeight="1"/>
    <row r="19336" ht="26.25" customHeight="1"/>
    <row r="19337" ht="26.25" customHeight="1"/>
    <row r="19338" ht="26.25" customHeight="1"/>
    <row r="19339" ht="26.25" customHeight="1"/>
    <row r="19340" ht="26.25" customHeight="1"/>
    <row r="19341" ht="26.25" customHeight="1"/>
    <row r="19342" ht="26.25" customHeight="1"/>
    <row r="19343" ht="26.25" customHeight="1"/>
    <row r="19344" ht="26.25" customHeight="1"/>
    <row r="19345" ht="26.25" customHeight="1"/>
    <row r="19346" ht="26.25" customHeight="1"/>
    <row r="19347" ht="26.25" customHeight="1"/>
    <row r="19348" ht="26.25" customHeight="1"/>
    <row r="19349" ht="26.25" customHeight="1"/>
    <row r="19350" ht="26.25" customHeight="1"/>
    <row r="19351" ht="26.25" customHeight="1"/>
    <row r="19352" ht="26.25" customHeight="1"/>
    <row r="19353" ht="26.25" customHeight="1"/>
    <row r="19354" ht="26.25" customHeight="1"/>
    <row r="19355" ht="26.25" customHeight="1"/>
    <row r="19356" ht="26.25" customHeight="1"/>
    <row r="19357" ht="26.25" customHeight="1"/>
    <row r="19358" ht="26.25" customHeight="1"/>
    <row r="19359" ht="26.25" customHeight="1"/>
    <row r="19360" ht="26.25" customHeight="1"/>
    <row r="19361" ht="26.25" customHeight="1"/>
    <row r="19362" ht="26.25" customHeight="1"/>
    <row r="19363" ht="26.25" customHeight="1"/>
    <row r="19364" ht="26.25" customHeight="1"/>
    <row r="19365" ht="26.25" customHeight="1"/>
    <row r="19366" ht="26.25" customHeight="1"/>
    <row r="19367" ht="26.25" customHeight="1"/>
    <row r="19368" ht="26.25" customHeight="1"/>
    <row r="19369" ht="26.25" customHeight="1"/>
    <row r="19370" ht="26.25" customHeight="1"/>
    <row r="19371" ht="26.25" customHeight="1"/>
    <row r="19372" ht="26.25" customHeight="1"/>
    <row r="19373" ht="26.25" customHeight="1"/>
    <row r="19374" ht="26.25" customHeight="1"/>
    <row r="19375" ht="26.25" customHeight="1"/>
    <row r="19376" ht="26.25" customHeight="1"/>
    <row r="19377" ht="26.25" customHeight="1"/>
    <row r="19378" ht="26.25" customHeight="1"/>
    <row r="19379" ht="26.25" customHeight="1"/>
    <row r="19380" ht="26.25" customHeight="1"/>
    <row r="19381" ht="26.25" customHeight="1"/>
    <row r="19382" ht="26.25" customHeight="1"/>
    <row r="19383" ht="26.25" customHeight="1"/>
    <row r="19384" ht="26.25" customHeight="1"/>
    <row r="19385" ht="26.25" customHeight="1"/>
    <row r="19386" ht="26.25" customHeight="1"/>
    <row r="19387" ht="26.25" customHeight="1"/>
    <row r="19388" ht="26.25" customHeight="1"/>
    <row r="19389" ht="26.25" customHeight="1"/>
    <row r="19390" ht="26.25" customHeight="1"/>
    <row r="19391" ht="26.25" customHeight="1"/>
    <row r="19392" ht="26.25" customHeight="1"/>
    <row r="19393" ht="26.25" customHeight="1"/>
    <row r="19394" ht="26.25" customHeight="1"/>
    <row r="19395" ht="26.25" customHeight="1"/>
    <row r="19396" ht="26.25" customHeight="1"/>
    <row r="19397" ht="26.25" customHeight="1"/>
    <row r="19398" ht="26.25" customHeight="1"/>
    <row r="19399" ht="26.25" customHeight="1"/>
    <row r="19400" ht="26.25" customHeight="1"/>
    <row r="19401" ht="26.25" customHeight="1"/>
    <row r="19402" ht="26.25" customHeight="1"/>
    <row r="19403" ht="26.25" customHeight="1"/>
    <row r="19404" ht="26.25" customHeight="1"/>
    <row r="19405" ht="26.25" customHeight="1"/>
    <row r="19406" ht="26.25" customHeight="1"/>
    <row r="19407" ht="26.25" customHeight="1"/>
    <row r="19408" ht="26.25" customHeight="1"/>
    <row r="19409" ht="26.25" customHeight="1"/>
    <row r="19410" ht="26.25" customHeight="1"/>
    <row r="19411" ht="26.25" customHeight="1"/>
    <row r="19412" ht="26.25" customHeight="1"/>
    <row r="19413" ht="26.25" customHeight="1"/>
    <row r="19414" ht="26.25" customHeight="1"/>
    <row r="19415" ht="26.25" customHeight="1"/>
    <row r="19416" ht="26.25" customHeight="1"/>
    <row r="19417" ht="26.25" customHeight="1"/>
    <row r="19418" ht="26.25" customHeight="1"/>
    <row r="19419" ht="26.25" customHeight="1"/>
    <row r="19420" ht="26.25" customHeight="1"/>
    <row r="19421" ht="26.25" customHeight="1"/>
    <row r="19422" ht="26.25" customHeight="1"/>
    <row r="19423" ht="26.25" customHeight="1"/>
    <row r="19424" ht="26.25" customHeight="1"/>
    <row r="19425" ht="26.25" customHeight="1"/>
    <row r="19426" ht="26.25" customHeight="1"/>
    <row r="19427" ht="26.25" customHeight="1"/>
    <row r="19428" ht="26.25" customHeight="1"/>
    <row r="19429" ht="26.25" customHeight="1"/>
    <row r="19430" ht="26.25" customHeight="1"/>
    <row r="19431" ht="26.25" customHeight="1"/>
    <row r="19432" ht="26.25" customHeight="1"/>
    <row r="19433" ht="26.25" customHeight="1"/>
    <row r="19434" ht="26.25" customHeight="1"/>
    <row r="19435" ht="26.25" customHeight="1"/>
    <row r="19436" ht="26.25" customHeight="1"/>
    <row r="19437" ht="26.25" customHeight="1"/>
    <row r="19438" ht="26.25" customHeight="1"/>
    <row r="19439" ht="26.25" customHeight="1"/>
    <row r="19440" ht="26.25" customHeight="1"/>
    <row r="19441" ht="26.25" customHeight="1"/>
    <row r="19442" ht="26.25" customHeight="1"/>
    <row r="19443" ht="26.25" customHeight="1"/>
    <row r="19444" ht="26.25" customHeight="1"/>
    <row r="19445" ht="26.25" customHeight="1"/>
    <row r="19446" ht="26.25" customHeight="1"/>
    <row r="19447" ht="26.25" customHeight="1"/>
    <row r="19448" ht="26.25" customHeight="1"/>
    <row r="19449" ht="26.25" customHeight="1"/>
    <row r="19450" ht="26.25" customHeight="1"/>
    <row r="19451" ht="26.25" customHeight="1"/>
    <row r="19452" ht="26.25" customHeight="1"/>
    <row r="19453" ht="26.25" customHeight="1"/>
    <row r="19454" ht="26.25" customHeight="1"/>
    <row r="19455" ht="26.25" customHeight="1"/>
    <row r="19456" ht="26.25" customHeight="1"/>
    <row r="19457" ht="26.25" customHeight="1"/>
    <row r="19458" ht="26.25" customHeight="1"/>
    <row r="19459" ht="26.25" customHeight="1"/>
    <row r="19460" ht="26.25" customHeight="1"/>
    <row r="19461" ht="26.25" customHeight="1"/>
    <row r="19462" ht="26.25" customHeight="1"/>
    <row r="19463" ht="26.25" customHeight="1"/>
    <row r="19464" ht="26.25" customHeight="1"/>
    <row r="19465" ht="26.25" customHeight="1"/>
    <row r="19466" ht="26.25" customHeight="1"/>
    <row r="19467" ht="26.25" customHeight="1"/>
    <row r="19468" ht="26.25" customHeight="1"/>
    <row r="19469" ht="26.25" customHeight="1"/>
    <row r="19470" ht="26.25" customHeight="1"/>
    <row r="19471" ht="26.25" customHeight="1"/>
    <row r="19472" ht="26.25" customHeight="1"/>
    <row r="19473" ht="26.25" customHeight="1"/>
    <row r="19474" ht="26.25" customHeight="1"/>
    <row r="19475" ht="26.25" customHeight="1"/>
    <row r="19476" ht="26.25" customHeight="1"/>
    <row r="19477" ht="26.25" customHeight="1"/>
    <row r="19478" ht="26.25" customHeight="1"/>
    <row r="19479" ht="26.25" customHeight="1"/>
    <row r="19480" ht="26.25" customHeight="1"/>
    <row r="19481" ht="26.25" customHeight="1"/>
    <row r="19482" ht="26.25" customHeight="1"/>
    <row r="19483" ht="26.25" customHeight="1"/>
    <row r="19484" ht="26.25" customHeight="1"/>
    <row r="19485" ht="26.25" customHeight="1"/>
    <row r="19486" ht="26.25" customHeight="1"/>
    <row r="19487" ht="26.25" customHeight="1"/>
    <row r="19488" ht="26.25" customHeight="1"/>
    <row r="19489" ht="26.25" customHeight="1"/>
    <row r="19490" ht="26.25" customHeight="1"/>
    <row r="19491" ht="26.25" customHeight="1"/>
    <row r="19492" ht="26.25" customHeight="1"/>
    <row r="19493" ht="26.25" customHeight="1"/>
    <row r="19494" ht="26.25" customHeight="1"/>
    <row r="19495" ht="26.25" customHeight="1"/>
    <row r="19496" ht="26.25" customHeight="1"/>
    <row r="19497" ht="26.25" customHeight="1"/>
    <row r="19498" ht="26.25" customHeight="1"/>
    <row r="19499" ht="26.25" customHeight="1"/>
    <row r="19500" ht="26.25" customHeight="1"/>
    <row r="19501" ht="26.25" customHeight="1"/>
    <row r="19502" ht="26.25" customHeight="1"/>
    <row r="19503" ht="26.25" customHeight="1"/>
    <row r="19504" ht="26.25" customHeight="1"/>
    <row r="19505" ht="26.25" customHeight="1"/>
    <row r="19506" ht="26.25" customHeight="1"/>
    <row r="19507" ht="26.25" customHeight="1"/>
    <row r="19508" ht="26.25" customHeight="1"/>
    <row r="19509" ht="26.25" customHeight="1"/>
    <row r="19510" ht="26.25" customHeight="1"/>
    <row r="19511" ht="26.25" customHeight="1"/>
    <row r="19512" ht="26.25" customHeight="1"/>
    <row r="19513" ht="26.25" customHeight="1"/>
    <row r="19514" ht="26.25" customHeight="1"/>
    <row r="19515" ht="26.25" customHeight="1"/>
    <row r="19516" ht="26.25" customHeight="1"/>
    <row r="19517" ht="26.25" customHeight="1"/>
    <row r="19518" ht="26.25" customHeight="1"/>
    <row r="19519" ht="26.25" customHeight="1"/>
    <row r="19520" ht="26.25" customHeight="1"/>
    <row r="19521" ht="26.25" customHeight="1"/>
    <row r="19522" ht="26.25" customHeight="1"/>
    <row r="19523" ht="26.25" customHeight="1"/>
    <row r="19524" ht="26.25" customHeight="1"/>
    <row r="19525" ht="26.25" customHeight="1"/>
    <row r="19526" ht="26.25" customHeight="1"/>
    <row r="19527" ht="26.25" customHeight="1"/>
    <row r="19528" ht="26.25" customHeight="1"/>
    <row r="19529" ht="26.25" customHeight="1"/>
    <row r="19530" ht="26.25" customHeight="1"/>
    <row r="19531" ht="26.25" customHeight="1"/>
    <row r="19532" ht="26.25" customHeight="1"/>
    <row r="19533" ht="26.25" customHeight="1"/>
    <row r="19534" ht="26.25" customHeight="1"/>
    <row r="19535" ht="26.25" customHeight="1"/>
    <row r="19536" ht="26.25" customHeight="1"/>
    <row r="19537" ht="26.25" customHeight="1"/>
    <row r="19538" ht="26.25" customHeight="1"/>
    <row r="19539" ht="26.25" customHeight="1"/>
    <row r="19540" ht="26.25" customHeight="1"/>
    <row r="19541" ht="26.25" customHeight="1"/>
    <row r="19542" ht="26.25" customHeight="1"/>
    <row r="19543" ht="26.25" customHeight="1"/>
    <row r="19544" ht="26.25" customHeight="1"/>
    <row r="19545" ht="26.25" customHeight="1"/>
    <row r="19546" ht="26.25" customHeight="1"/>
    <row r="19547" ht="26.25" customHeight="1"/>
    <row r="19548" ht="26.25" customHeight="1"/>
    <row r="19549" ht="26.25" customHeight="1"/>
    <row r="19550" ht="26.25" customHeight="1"/>
    <row r="19551" ht="26.25" customHeight="1"/>
    <row r="19552" ht="26.25" customHeight="1"/>
    <row r="19553" ht="26.25" customHeight="1"/>
    <row r="19554" ht="26.25" customHeight="1"/>
    <row r="19555" ht="26.25" customHeight="1"/>
    <row r="19556" ht="26.25" customHeight="1"/>
    <row r="19557" ht="26.25" customHeight="1"/>
    <row r="19558" ht="26.25" customHeight="1"/>
    <row r="19559" ht="26.25" customHeight="1"/>
    <row r="19560" ht="26.25" customHeight="1"/>
    <row r="19561" ht="26.25" customHeight="1"/>
    <row r="19562" ht="26.25" customHeight="1"/>
    <row r="19563" ht="26.25" customHeight="1"/>
    <row r="19564" ht="26.25" customHeight="1"/>
    <row r="19565" ht="26.25" customHeight="1"/>
    <row r="19566" ht="26.25" customHeight="1"/>
    <row r="19567" ht="26.25" customHeight="1"/>
    <row r="19568" ht="26.25" customHeight="1"/>
    <row r="19569" ht="26.25" customHeight="1"/>
    <row r="19570" ht="26.25" customHeight="1"/>
    <row r="19571" ht="26.25" customHeight="1"/>
    <row r="19572" ht="26.25" customHeight="1"/>
    <row r="19573" ht="26.25" customHeight="1"/>
    <row r="19574" ht="26.25" customHeight="1"/>
    <row r="19575" ht="26.25" customHeight="1"/>
    <row r="19576" ht="26.25" customHeight="1"/>
    <row r="19577" ht="26.25" customHeight="1"/>
    <row r="19578" ht="26.25" customHeight="1"/>
    <row r="19579" ht="26.25" customHeight="1"/>
    <row r="19580" ht="26.25" customHeight="1"/>
    <row r="19581" ht="26.25" customHeight="1"/>
    <row r="19582" ht="26.25" customHeight="1"/>
    <row r="19583" ht="26.25" customHeight="1"/>
    <row r="19584" ht="26.25" customHeight="1"/>
    <row r="19585" ht="26.25" customHeight="1"/>
    <row r="19586" ht="26.25" customHeight="1"/>
    <row r="19587" ht="26.25" customHeight="1"/>
    <row r="19588" ht="26.25" customHeight="1"/>
    <row r="19589" ht="26.25" customHeight="1"/>
    <row r="19590" ht="26.25" customHeight="1"/>
    <row r="19591" ht="26.25" customHeight="1"/>
    <row r="19592" ht="26.25" customHeight="1"/>
    <row r="19593" ht="26.25" customHeight="1"/>
    <row r="19594" ht="26.25" customHeight="1"/>
    <row r="19595" ht="26.25" customHeight="1"/>
    <row r="19596" ht="26.25" customHeight="1"/>
    <row r="19597" ht="26.25" customHeight="1"/>
    <row r="19598" ht="26.25" customHeight="1"/>
    <row r="19599" ht="26.25" customHeight="1"/>
    <row r="19600" ht="26.25" customHeight="1"/>
    <row r="19601" ht="26.25" customHeight="1"/>
    <row r="19602" ht="26.25" customHeight="1"/>
    <row r="19603" ht="26.25" customHeight="1"/>
    <row r="19604" ht="26.25" customHeight="1"/>
    <row r="19605" ht="26.25" customHeight="1"/>
    <row r="19606" ht="26.25" customHeight="1"/>
    <row r="19607" ht="26.25" customHeight="1"/>
    <row r="19608" ht="26.25" customHeight="1"/>
    <row r="19609" ht="26.25" customHeight="1"/>
    <row r="19610" ht="26.25" customHeight="1"/>
    <row r="19611" ht="26.25" customHeight="1"/>
    <row r="19612" ht="26.25" customHeight="1"/>
    <row r="19613" ht="26.25" customHeight="1"/>
    <row r="19614" ht="26.25" customHeight="1"/>
    <row r="19615" ht="26.25" customHeight="1"/>
    <row r="19616" ht="26.25" customHeight="1"/>
    <row r="19617" ht="26.25" customHeight="1"/>
    <row r="19618" ht="26.25" customHeight="1"/>
    <row r="19619" ht="26.25" customHeight="1"/>
    <row r="19620" ht="26.25" customHeight="1"/>
    <row r="19621" ht="26.25" customHeight="1"/>
    <row r="19622" ht="26.25" customHeight="1"/>
    <row r="19623" ht="26.25" customHeight="1"/>
    <row r="19624" ht="26.25" customHeight="1"/>
    <row r="19625" ht="26.25" customHeight="1"/>
    <row r="19626" ht="26.25" customHeight="1"/>
    <row r="19627" ht="26.25" customHeight="1"/>
    <row r="19628" ht="26.25" customHeight="1"/>
    <row r="19629" ht="26.25" customHeight="1"/>
    <row r="19630" ht="26.25" customHeight="1"/>
    <row r="19631" ht="26.25" customHeight="1"/>
    <row r="19632" ht="26.25" customHeight="1"/>
    <row r="19633" ht="26.25" customHeight="1"/>
    <row r="19634" ht="26.25" customHeight="1"/>
    <row r="19635" ht="26.25" customHeight="1"/>
    <row r="19636" ht="26.25" customHeight="1"/>
    <row r="19637" ht="26.25" customHeight="1"/>
    <row r="19638" ht="26.25" customHeight="1"/>
    <row r="19639" ht="26.25" customHeight="1"/>
    <row r="19640" ht="26.25" customHeight="1"/>
    <row r="19641" ht="26.25" customHeight="1"/>
    <row r="19642" ht="26.25" customHeight="1"/>
    <row r="19643" ht="26.25" customHeight="1"/>
    <row r="19644" ht="26.25" customHeight="1"/>
    <row r="19645" ht="26.25" customHeight="1"/>
    <row r="19646" ht="26.25" customHeight="1"/>
    <row r="19647" ht="26.25" customHeight="1"/>
    <row r="19648" ht="26.25" customHeight="1"/>
    <row r="19649" ht="26.25" customHeight="1"/>
    <row r="19650" ht="26.25" customHeight="1"/>
    <row r="19651" ht="26.25" customHeight="1"/>
    <row r="19652" ht="26.25" customHeight="1"/>
    <row r="19653" ht="26.25" customHeight="1"/>
    <row r="19654" ht="26.25" customHeight="1"/>
    <row r="19655" ht="26.25" customHeight="1"/>
    <row r="19656" ht="26.25" customHeight="1"/>
    <row r="19657" ht="26.25" customHeight="1"/>
    <row r="19658" ht="26.25" customHeight="1"/>
    <row r="19659" ht="26.25" customHeight="1"/>
    <row r="19660" ht="26.25" customHeight="1"/>
    <row r="19661" ht="26.25" customHeight="1"/>
    <row r="19662" ht="26.25" customHeight="1"/>
    <row r="19663" ht="26.25" customHeight="1"/>
    <row r="19664" ht="26.25" customHeight="1"/>
    <row r="19665" ht="26.25" customHeight="1"/>
    <row r="19666" ht="26.25" customHeight="1"/>
    <row r="19667" ht="26.25" customHeight="1"/>
    <row r="19668" ht="26.25" customHeight="1"/>
    <row r="19669" ht="26.25" customHeight="1"/>
    <row r="19670" ht="26.25" customHeight="1"/>
    <row r="19671" ht="26.25" customHeight="1"/>
    <row r="19672" ht="26.25" customHeight="1"/>
    <row r="19673" ht="26.25" customHeight="1"/>
    <row r="19674" ht="26.25" customHeight="1"/>
    <row r="19675" ht="26.25" customHeight="1"/>
    <row r="19676" ht="26.25" customHeight="1"/>
    <row r="19677" ht="26.25" customHeight="1"/>
    <row r="19678" ht="26.25" customHeight="1"/>
    <row r="19679" ht="26.25" customHeight="1"/>
    <row r="19680" ht="26.25" customHeight="1"/>
    <row r="19681" ht="26.25" customHeight="1"/>
    <row r="19682" ht="26.25" customHeight="1"/>
    <row r="19683" ht="26.25" customHeight="1"/>
    <row r="19684" ht="26.25" customHeight="1"/>
    <row r="19685" ht="26.25" customHeight="1"/>
    <row r="19686" ht="26.25" customHeight="1"/>
    <row r="19687" ht="26.25" customHeight="1"/>
    <row r="19688" ht="26.25" customHeight="1"/>
    <row r="19689" ht="26.25" customHeight="1"/>
    <row r="19690" ht="26.25" customHeight="1"/>
    <row r="19691" ht="26.25" customHeight="1"/>
    <row r="19692" ht="26.25" customHeight="1"/>
    <row r="19693" ht="26.25" customHeight="1"/>
    <row r="19694" ht="26.25" customHeight="1"/>
    <row r="19695" ht="26.25" customHeight="1"/>
    <row r="19696" ht="26.25" customHeight="1"/>
    <row r="19697" ht="26.25" customHeight="1"/>
    <row r="19698" ht="26.25" customHeight="1"/>
    <row r="19699" ht="26.25" customHeight="1"/>
    <row r="19700" ht="26.25" customHeight="1"/>
    <row r="19701" ht="26.25" customHeight="1"/>
    <row r="19702" ht="26.25" customHeight="1"/>
    <row r="19703" ht="26.25" customHeight="1"/>
    <row r="19704" ht="26.25" customHeight="1"/>
    <row r="19705" ht="26.25" customHeight="1"/>
    <row r="19706" ht="26.25" customHeight="1"/>
    <row r="19707" ht="26.25" customHeight="1"/>
    <row r="19708" ht="26.25" customHeight="1"/>
    <row r="19709" ht="26.25" customHeight="1"/>
    <row r="19710" ht="26.25" customHeight="1"/>
    <row r="19711" ht="26.25" customHeight="1"/>
    <row r="19712" ht="26.25" customHeight="1"/>
    <row r="19713" ht="26.25" customHeight="1"/>
    <row r="19714" ht="26.25" customHeight="1"/>
    <row r="19715" ht="26.25" customHeight="1"/>
    <row r="19716" ht="26.25" customHeight="1"/>
    <row r="19717" ht="26.25" customHeight="1"/>
    <row r="19718" ht="26.25" customHeight="1"/>
    <row r="19719" ht="26.25" customHeight="1"/>
    <row r="19720" ht="26.25" customHeight="1"/>
    <row r="19721" ht="26.25" customHeight="1"/>
    <row r="19722" ht="26.25" customHeight="1"/>
    <row r="19723" ht="26.25" customHeight="1"/>
    <row r="19724" ht="26.25" customHeight="1"/>
    <row r="19725" ht="26.25" customHeight="1"/>
    <row r="19726" ht="26.25" customHeight="1"/>
    <row r="19727" ht="26.25" customHeight="1"/>
    <row r="19728" ht="26.25" customHeight="1"/>
    <row r="19729" ht="26.25" customHeight="1"/>
    <row r="19730" ht="26.25" customHeight="1"/>
    <row r="19731" ht="26.25" customHeight="1"/>
    <row r="19732" ht="26.25" customHeight="1"/>
    <row r="19733" ht="26.25" customHeight="1"/>
    <row r="19734" ht="26.25" customHeight="1"/>
    <row r="19735" ht="26.25" customHeight="1"/>
    <row r="19736" ht="26.25" customHeight="1"/>
    <row r="19737" ht="26.25" customHeight="1"/>
    <row r="19738" ht="26.25" customHeight="1"/>
    <row r="19739" ht="26.25" customHeight="1"/>
    <row r="19740" ht="26.25" customHeight="1"/>
    <row r="19741" ht="26.25" customHeight="1"/>
    <row r="19742" ht="26.25" customHeight="1"/>
    <row r="19743" ht="26.25" customHeight="1"/>
    <row r="19744" ht="26.25" customHeight="1"/>
    <row r="19745" ht="26.25" customHeight="1"/>
    <row r="19746" ht="26.25" customHeight="1"/>
    <row r="19747" ht="26.25" customHeight="1"/>
    <row r="19748" ht="26.25" customHeight="1"/>
    <row r="19749" ht="26.25" customHeight="1"/>
    <row r="19750" ht="26.25" customHeight="1"/>
    <row r="19751" ht="26.25" customHeight="1"/>
    <row r="19752" ht="26.25" customHeight="1"/>
    <row r="19753" ht="26.25" customHeight="1"/>
    <row r="19754" ht="26.25" customHeight="1"/>
    <row r="19755" ht="26.25" customHeight="1"/>
    <row r="19756" ht="26.25" customHeight="1"/>
    <row r="19757" ht="26.25" customHeight="1"/>
    <row r="19758" ht="26.25" customHeight="1"/>
    <row r="19759" ht="26.25" customHeight="1"/>
    <row r="19760" ht="26.25" customHeight="1"/>
    <row r="19761" ht="26.25" customHeight="1"/>
    <row r="19762" ht="26.25" customHeight="1"/>
    <row r="19763" ht="26.25" customHeight="1"/>
    <row r="19764" ht="26.25" customHeight="1"/>
    <row r="19765" ht="26.25" customHeight="1"/>
    <row r="19766" ht="26.25" customHeight="1"/>
    <row r="19767" ht="26.25" customHeight="1"/>
    <row r="19768" ht="26.25" customHeight="1"/>
    <row r="19769" ht="26.25" customHeight="1"/>
    <row r="19770" ht="26.25" customHeight="1"/>
    <row r="19771" ht="26.25" customHeight="1"/>
    <row r="19772" ht="26.25" customHeight="1"/>
    <row r="19773" ht="26.25" customHeight="1"/>
    <row r="19774" ht="26.25" customHeight="1"/>
    <row r="19775" ht="26.25" customHeight="1"/>
    <row r="19776" ht="26.25" customHeight="1"/>
    <row r="19777" ht="26.25" customHeight="1"/>
    <row r="19778" ht="26.25" customHeight="1"/>
    <row r="19779" ht="26.25" customHeight="1"/>
    <row r="19780" ht="26.25" customHeight="1"/>
    <row r="19781" ht="26.25" customHeight="1"/>
    <row r="19782" ht="26.25" customHeight="1"/>
    <row r="19783" ht="26.25" customHeight="1"/>
    <row r="19784" ht="26.25" customHeight="1"/>
    <row r="19785" ht="26.25" customHeight="1"/>
    <row r="19786" ht="26.25" customHeight="1"/>
    <row r="19787" ht="26.25" customHeight="1"/>
    <row r="19788" ht="26.25" customHeight="1"/>
    <row r="19789" ht="26.25" customHeight="1"/>
    <row r="19790" ht="26.25" customHeight="1"/>
    <row r="19791" ht="26.25" customHeight="1"/>
    <row r="19792" ht="26.25" customHeight="1"/>
    <row r="19793" ht="26.25" customHeight="1"/>
    <row r="19794" ht="26.25" customHeight="1"/>
    <row r="19795" ht="26.25" customHeight="1"/>
    <row r="19796" ht="26.25" customHeight="1"/>
    <row r="19797" ht="26.25" customHeight="1"/>
    <row r="19798" ht="26.25" customHeight="1"/>
    <row r="19799" ht="26.25" customHeight="1"/>
    <row r="19800" ht="26.25" customHeight="1"/>
    <row r="19801" ht="26.25" customHeight="1"/>
    <row r="19802" ht="26.25" customHeight="1"/>
    <row r="19803" ht="26.25" customHeight="1"/>
    <row r="19804" ht="26.25" customHeight="1"/>
    <row r="19805" ht="26.25" customHeight="1"/>
    <row r="19806" ht="26.25" customHeight="1"/>
    <row r="19807" ht="26.25" customHeight="1"/>
    <row r="19808" ht="26.25" customHeight="1"/>
    <row r="19809" ht="26.25" customHeight="1"/>
    <row r="19810" ht="26.25" customHeight="1"/>
    <row r="19811" ht="26.25" customHeight="1"/>
    <row r="19812" ht="26.25" customHeight="1"/>
    <row r="19813" ht="26.25" customHeight="1"/>
    <row r="19814" ht="26.25" customHeight="1"/>
    <row r="19815" ht="26.25" customHeight="1"/>
    <row r="19816" ht="26.25" customHeight="1"/>
    <row r="19817" ht="26.25" customHeight="1"/>
    <row r="19818" ht="26.25" customHeight="1"/>
    <row r="19819" ht="26.25" customHeight="1"/>
    <row r="19820" ht="26.25" customHeight="1"/>
    <row r="19821" ht="26.25" customHeight="1"/>
    <row r="19822" ht="26.25" customHeight="1"/>
    <row r="19823" ht="26.25" customHeight="1"/>
    <row r="19824" ht="26.25" customHeight="1"/>
    <row r="19825" ht="26.25" customHeight="1"/>
    <row r="19826" ht="26.25" customHeight="1"/>
    <row r="19827" ht="26.25" customHeight="1"/>
    <row r="19828" ht="26.25" customHeight="1"/>
    <row r="19829" ht="26.25" customHeight="1"/>
    <row r="19830" ht="26.25" customHeight="1"/>
    <row r="19831" ht="26.25" customHeight="1"/>
    <row r="19832" ht="26.25" customHeight="1"/>
    <row r="19833" ht="26.25" customHeight="1"/>
    <row r="19834" ht="26.25" customHeight="1"/>
    <row r="19835" ht="26.25" customHeight="1"/>
    <row r="19836" ht="26.25" customHeight="1"/>
    <row r="19837" ht="26.25" customHeight="1"/>
    <row r="19838" ht="26.25" customHeight="1"/>
    <row r="19839" ht="26.25" customHeight="1"/>
    <row r="19840" ht="26.25" customHeight="1"/>
    <row r="19841" ht="26.25" customHeight="1"/>
    <row r="19842" ht="26.25" customHeight="1"/>
    <row r="19843" ht="26.25" customHeight="1"/>
    <row r="19844" ht="26.25" customHeight="1"/>
    <row r="19845" ht="26.25" customHeight="1"/>
    <row r="19846" ht="26.25" customHeight="1"/>
    <row r="19847" ht="26.25" customHeight="1"/>
    <row r="19848" ht="26.25" customHeight="1"/>
    <row r="19849" ht="26.25" customHeight="1"/>
    <row r="19850" ht="26.25" customHeight="1"/>
    <row r="19851" ht="26.25" customHeight="1"/>
    <row r="19852" ht="26.25" customHeight="1"/>
    <row r="19853" ht="26.25" customHeight="1"/>
    <row r="19854" ht="26.25" customHeight="1"/>
    <row r="19855" ht="26.25" customHeight="1"/>
    <row r="19856" ht="26.25" customHeight="1"/>
    <row r="19857" ht="26.25" customHeight="1"/>
    <row r="19858" ht="26.25" customHeight="1"/>
    <row r="19859" ht="26.25" customHeight="1"/>
    <row r="19860" ht="26.25" customHeight="1"/>
    <row r="19861" ht="26.25" customHeight="1"/>
    <row r="19862" ht="26.25" customHeight="1"/>
    <row r="19863" ht="26.25" customHeight="1"/>
    <row r="19864" ht="26.25" customHeight="1"/>
    <row r="19865" ht="26.25" customHeight="1"/>
    <row r="19866" ht="26.25" customHeight="1"/>
    <row r="19867" ht="26.25" customHeight="1"/>
    <row r="19868" ht="26.25" customHeight="1"/>
    <row r="19869" ht="26.25" customHeight="1"/>
    <row r="19870" ht="26.25" customHeight="1"/>
    <row r="19871" ht="26.25" customHeight="1"/>
    <row r="19872" ht="26.25" customHeight="1"/>
    <row r="19873" ht="26.25" customHeight="1"/>
    <row r="19874" ht="26.25" customHeight="1"/>
    <row r="19875" ht="26.25" customHeight="1"/>
    <row r="19876" ht="26.25" customHeight="1"/>
    <row r="19877" ht="26.25" customHeight="1"/>
    <row r="19878" ht="26.25" customHeight="1"/>
    <row r="19879" ht="26.25" customHeight="1"/>
    <row r="19880" ht="26.25" customHeight="1"/>
    <row r="19881" ht="26.25" customHeight="1"/>
    <row r="19882" ht="26.25" customHeight="1"/>
    <row r="19883" ht="26.25" customHeight="1"/>
    <row r="19884" ht="26.25" customHeight="1"/>
    <row r="19885" ht="26.25" customHeight="1"/>
    <row r="19886" ht="26.25" customHeight="1"/>
    <row r="19887" ht="26.25" customHeight="1"/>
    <row r="19888" ht="26.25" customHeight="1"/>
    <row r="19889" ht="26.25" customHeight="1"/>
    <row r="19890" ht="26.25" customHeight="1"/>
    <row r="19891" ht="26.25" customHeight="1"/>
    <row r="19892" ht="26.25" customHeight="1"/>
    <row r="19893" ht="26.25" customHeight="1"/>
    <row r="19894" ht="26.25" customHeight="1"/>
    <row r="19895" ht="26.25" customHeight="1"/>
    <row r="19896" ht="26.25" customHeight="1"/>
    <row r="19897" ht="26.25" customHeight="1"/>
    <row r="19898" ht="26.25" customHeight="1"/>
    <row r="19899" ht="26.25" customHeight="1"/>
    <row r="19900" ht="26.25" customHeight="1"/>
    <row r="19901" ht="26.25" customHeight="1"/>
    <row r="19902" ht="26.25" customHeight="1"/>
    <row r="19903" ht="26.25" customHeight="1"/>
    <row r="19904" ht="26.25" customHeight="1"/>
    <row r="19905" ht="26.25" customHeight="1"/>
    <row r="19906" ht="26.25" customHeight="1"/>
    <row r="19907" ht="26.25" customHeight="1"/>
    <row r="19908" ht="26.25" customHeight="1"/>
    <row r="19909" ht="26.25" customHeight="1"/>
    <row r="19910" ht="26.25" customHeight="1"/>
    <row r="19911" ht="26.25" customHeight="1"/>
    <row r="19912" ht="26.25" customHeight="1"/>
    <row r="19913" ht="26.25" customHeight="1"/>
    <row r="19914" ht="26.25" customHeight="1"/>
    <row r="19915" ht="26.25" customHeight="1"/>
    <row r="19916" ht="26.25" customHeight="1"/>
    <row r="19917" ht="26.25" customHeight="1"/>
    <row r="19918" ht="26.25" customHeight="1"/>
    <row r="19919" ht="26.25" customHeight="1"/>
    <row r="19920" ht="26.25" customHeight="1"/>
    <row r="19921" ht="26.25" customHeight="1"/>
    <row r="19922" ht="26.25" customHeight="1"/>
    <row r="19923" ht="26.25" customHeight="1"/>
    <row r="19924" ht="26.25" customHeight="1"/>
    <row r="19925" ht="26.25" customHeight="1"/>
    <row r="19926" ht="26.25" customHeight="1"/>
    <row r="19927" ht="26.25" customHeight="1"/>
    <row r="19928" ht="26.25" customHeight="1"/>
    <row r="19929" ht="26.25" customHeight="1"/>
    <row r="19930" ht="26.25" customHeight="1"/>
    <row r="19931" ht="26.25" customHeight="1"/>
    <row r="19932" ht="26.25" customHeight="1"/>
    <row r="19933" ht="26.25" customHeight="1"/>
    <row r="19934" ht="26.25" customHeight="1"/>
    <row r="19935" ht="26.25" customHeight="1"/>
    <row r="19936" ht="26.25" customHeight="1"/>
    <row r="19937" ht="26.25" customHeight="1"/>
    <row r="19938" ht="26.25" customHeight="1"/>
    <row r="19939" ht="26.25" customHeight="1"/>
    <row r="19940" ht="26.25" customHeight="1"/>
    <row r="19941" ht="26.25" customHeight="1"/>
    <row r="19942" ht="26.25" customHeight="1"/>
    <row r="19943" ht="26.25" customHeight="1"/>
    <row r="19944" ht="26.25" customHeight="1"/>
    <row r="19945" ht="26.25" customHeight="1"/>
    <row r="19946" ht="26.25" customHeight="1"/>
    <row r="19947" ht="26.25" customHeight="1"/>
    <row r="19948" ht="26.25" customHeight="1"/>
    <row r="19949" ht="26.25" customHeight="1"/>
    <row r="19950" ht="26.25" customHeight="1"/>
    <row r="19951" ht="26.25" customHeight="1"/>
    <row r="19952" ht="26.25" customHeight="1"/>
    <row r="19953" ht="26.25" customHeight="1"/>
    <row r="19954" ht="26.25" customHeight="1"/>
    <row r="19955" ht="26.25" customHeight="1"/>
    <row r="19956" ht="26.25" customHeight="1"/>
    <row r="19957" ht="26.25" customHeight="1"/>
    <row r="19958" ht="26.25" customHeight="1"/>
    <row r="19959" ht="26.25" customHeight="1"/>
    <row r="19960" ht="26.25" customHeight="1"/>
    <row r="19961" ht="26.25" customHeight="1"/>
    <row r="19962" ht="26.25" customHeight="1"/>
    <row r="19963" ht="26.25" customHeight="1"/>
    <row r="19964" ht="26.25" customHeight="1"/>
    <row r="19965" ht="26.25" customHeight="1"/>
    <row r="19966" ht="26.25" customHeight="1"/>
    <row r="19967" ht="26.25" customHeight="1"/>
    <row r="19968" ht="26.25" customHeight="1"/>
    <row r="19969" ht="26.25" customHeight="1"/>
    <row r="19970" ht="26.25" customHeight="1"/>
    <row r="19971" ht="26.25" customHeight="1"/>
    <row r="19972" ht="26.25" customHeight="1"/>
    <row r="19973" ht="26.25" customHeight="1"/>
    <row r="19974" ht="26.25" customHeight="1"/>
    <row r="19975" ht="26.25" customHeight="1"/>
    <row r="19976" ht="26.25" customHeight="1"/>
    <row r="19977" ht="26.25" customHeight="1"/>
    <row r="19978" ht="26.25" customHeight="1"/>
    <row r="19979" ht="26.25" customHeight="1"/>
    <row r="19980" ht="26.25" customHeight="1"/>
    <row r="19981" ht="26.25" customHeight="1"/>
    <row r="19982" ht="26.25" customHeight="1"/>
    <row r="19983" ht="26.25" customHeight="1"/>
    <row r="19984" ht="26.25" customHeight="1"/>
    <row r="19985" ht="26.25" customHeight="1"/>
    <row r="19986" ht="26.25" customHeight="1"/>
    <row r="19987" ht="26.25" customHeight="1"/>
    <row r="19988" ht="26.25" customHeight="1"/>
    <row r="19989" ht="26.25" customHeight="1"/>
    <row r="19990" ht="26.25" customHeight="1"/>
    <row r="19991" ht="26.25" customHeight="1"/>
    <row r="19992" ht="26.25" customHeight="1"/>
    <row r="19993" ht="26.25" customHeight="1"/>
    <row r="19994" ht="26.25" customHeight="1"/>
    <row r="19995" ht="26.25" customHeight="1"/>
    <row r="19996" ht="26.25" customHeight="1"/>
    <row r="19997" ht="26.25" customHeight="1"/>
    <row r="19998" ht="26.25" customHeight="1"/>
    <row r="19999" ht="26.25" customHeight="1"/>
    <row r="20000" ht="26.25" customHeight="1"/>
    <row r="20001" ht="26.25" customHeight="1"/>
    <row r="20002" ht="26.25" customHeight="1"/>
    <row r="20003" ht="26.25" customHeight="1"/>
    <row r="20004" ht="26.25" customHeight="1"/>
    <row r="20005" ht="26.25" customHeight="1"/>
    <row r="20006" ht="26.25" customHeight="1"/>
    <row r="20007" ht="26.25" customHeight="1"/>
    <row r="20008" ht="26.25" customHeight="1"/>
    <row r="20009" ht="26.25" customHeight="1"/>
    <row r="20010" ht="26.25" customHeight="1"/>
    <row r="20011" ht="26.25" customHeight="1"/>
    <row r="20012" ht="26.25" customHeight="1"/>
    <row r="20013" ht="26.25" customHeight="1"/>
    <row r="20014" ht="26.25" customHeight="1"/>
    <row r="20015" ht="26.25" customHeight="1"/>
    <row r="20016" ht="26.25" customHeight="1"/>
    <row r="20017" ht="26.25" customHeight="1"/>
    <row r="20018" ht="26.25" customHeight="1"/>
    <row r="20019" ht="26.25" customHeight="1"/>
    <row r="20020" ht="26.25" customHeight="1"/>
    <row r="20021" ht="26.25" customHeight="1"/>
    <row r="20022" ht="26.25" customHeight="1"/>
    <row r="20023" ht="26.25" customHeight="1"/>
    <row r="20024" ht="26.25" customHeight="1"/>
    <row r="20025" ht="26.25" customHeight="1"/>
    <row r="20026" ht="26.25" customHeight="1"/>
    <row r="20027" ht="26.25" customHeight="1"/>
    <row r="20028" ht="26.25" customHeight="1"/>
    <row r="20029" ht="26.25" customHeight="1"/>
    <row r="20030" ht="26.25" customHeight="1"/>
    <row r="20031" ht="26.25" customHeight="1"/>
    <row r="20032" ht="26.25" customHeight="1"/>
    <row r="20033" ht="26.25" customHeight="1"/>
    <row r="20034" ht="26.25" customHeight="1"/>
    <row r="20035" ht="26.25" customHeight="1"/>
    <row r="20036" ht="26.25" customHeight="1"/>
    <row r="20037" ht="26.25" customHeight="1"/>
    <row r="20038" ht="26.25" customHeight="1"/>
    <row r="20039" ht="26.25" customHeight="1"/>
    <row r="20040" ht="26.25" customHeight="1"/>
    <row r="20041" ht="26.25" customHeight="1"/>
    <row r="20042" ht="26.25" customHeight="1"/>
    <row r="20043" ht="26.25" customHeight="1"/>
    <row r="20044" ht="26.25" customHeight="1"/>
    <row r="20045" ht="26.25" customHeight="1"/>
    <row r="20046" ht="26.25" customHeight="1"/>
    <row r="20047" ht="26.25" customHeight="1"/>
    <row r="20048" ht="26.25" customHeight="1"/>
    <row r="20049" ht="26.25" customHeight="1"/>
    <row r="20050" ht="26.25" customHeight="1"/>
    <row r="20051" ht="26.25" customHeight="1"/>
    <row r="20052" ht="26.25" customHeight="1"/>
    <row r="20053" ht="26.25" customHeight="1"/>
    <row r="20054" ht="26.25" customHeight="1"/>
    <row r="20055" ht="26.25" customHeight="1"/>
    <row r="20056" ht="26.25" customHeight="1"/>
    <row r="20057" ht="26.25" customHeight="1"/>
    <row r="20058" ht="26.25" customHeight="1"/>
    <row r="20059" ht="26.25" customHeight="1"/>
    <row r="20060" ht="26.25" customHeight="1"/>
    <row r="20061" ht="26.25" customHeight="1"/>
    <row r="20062" ht="26.25" customHeight="1"/>
    <row r="20063" ht="26.25" customHeight="1"/>
    <row r="20064" ht="26.25" customHeight="1"/>
    <row r="20065" ht="26.25" customHeight="1"/>
    <row r="20066" ht="26.25" customHeight="1"/>
    <row r="20067" ht="26.25" customHeight="1"/>
    <row r="20068" ht="26.25" customHeight="1"/>
    <row r="20069" ht="26.25" customHeight="1"/>
    <row r="20070" ht="26.25" customHeight="1"/>
    <row r="20071" ht="26.25" customHeight="1"/>
    <row r="20072" ht="26.25" customHeight="1"/>
    <row r="20073" ht="26.25" customHeight="1"/>
    <row r="20074" ht="26.25" customHeight="1"/>
    <row r="20075" ht="26.25" customHeight="1"/>
    <row r="20076" ht="26.25" customHeight="1"/>
    <row r="20077" ht="26.25" customHeight="1"/>
    <row r="20078" ht="26.25" customHeight="1"/>
    <row r="20079" ht="26.25" customHeight="1"/>
    <row r="20080" ht="26.25" customHeight="1"/>
    <row r="20081" ht="26.25" customHeight="1"/>
    <row r="20082" ht="26.25" customHeight="1"/>
    <row r="20083" ht="26.25" customHeight="1"/>
    <row r="20084" ht="26.25" customHeight="1"/>
    <row r="20085" ht="26.25" customHeight="1"/>
    <row r="20086" ht="26.25" customHeight="1"/>
    <row r="20087" ht="26.25" customHeight="1"/>
    <row r="20088" ht="26.25" customHeight="1"/>
    <row r="20089" ht="26.25" customHeight="1"/>
    <row r="20090" ht="26.25" customHeight="1"/>
    <row r="20091" ht="26.25" customHeight="1"/>
    <row r="20092" ht="26.25" customHeight="1"/>
    <row r="20093" ht="26.25" customHeight="1"/>
    <row r="20094" ht="26.25" customHeight="1"/>
    <row r="20095" ht="26.25" customHeight="1"/>
    <row r="20096" ht="26.25" customHeight="1"/>
    <row r="20097" ht="26.25" customHeight="1"/>
    <row r="20098" ht="26.25" customHeight="1"/>
    <row r="20099" ht="26.25" customHeight="1"/>
    <row r="20100" ht="26.25" customHeight="1"/>
    <row r="20101" ht="26.25" customHeight="1"/>
    <row r="20102" ht="26.25" customHeight="1"/>
    <row r="20103" ht="26.25" customHeight="1"/>
    <row r="20104" ht="26.25" customHeight="1"/>
    <row r="20105" ht="26.25" customHeight="1"/>
    <row r="20106" ht="26.25" customHeight="1"/>
    <row r="20107" ht="26.25" customHeight="1"/>
    <row r="20108" ht="26.25" customHeight="1"/>
    <row r="20109" ht="26.25" customHeight="1"/>
    <row r="20110" ht="26.25" customHeight="1"/>
    <row r="20111" ht="26.25" customHeight="1"/>
    <row r="20112" ht="26.25" customHeight="1"/>
    <row r="20113" ht="26.25" customHeight="1"/>
    <row r="20114" ht="26.25" customHeight="1"/>
    <row r="20115" ht="26.25" customHeight="1"/>
    <row r="20116" ht="26.25" customHeight="1"/>
    <row r="20117" ht="26.25" customHeight="1"/>
    <row r="20118" ht="26.25" customHeight="1"/>
    <row r="20119" ht="26.25" customHeight="1"/>
    <row r="20120" ht="26.25" customHeight="1"/>
    <row r="20121" ht="26.25" customHeight="1"/>
    <row r="20122" ht="26.25" customHeight="1"/>
    <row r="20123" ht="26.25" customHeight="1"/>
    <row r="20124" ht="26.25" customHeight="1"/>
    <row r="20125" ht="26.25" customHeight="1"/>
    <row r="20126" ht="26.25" customHeight="1"/>
    <row r="20127" ht="26.25" customHeight="1"/>
    <row r="20128" ht="26.25" customHeight="1"/>
    <row r="20129" ht="26.25" customHeight="1"/>
    <row r="20130" ht="26.25" customHeight="1"/>
    <row r="20131" ht="26.25" customHeight="1"/>
    <row r="20132" ht="26.25" customHeight="1"/>
    <row r="20133" ht="26.25" customHeight="1"/>
    <row r="20134" ht="26.25" customHeight="1"/>
    <row r="20135" ht="26.25" customHeight="1"/>
    <row r="20136" ht="26.25" customHeight="1"/>
    <row r="20137" ht="26.25" customHeight="1"/>
    <row r="20138" ht="26.25" customHeight="1"/>
    <row r="20139" ht="26.25" customHeight="1"/>
    <row r="20140" ht="26.25" customHeight="1"/>
    <row r="20141" ht="26.25" customHeight="1"/>
    <row r="20142" ht="26.25" customHeight="1"/>
    <row r="20143" ht="26.25" customHeight="1"/>
    <row r="20144" ht="26.25" customHeight="1"/>
    <row r="20145" ht="26.25" customHeight="1"/>
    <row r="20146" ht="26.25" customHeight="1"/>
    <row r="20147" ht="26.25" customHeight="1"/>
    <row r="20148" ht="26.25" customHeight="1"/>
    <row r="20149" ht="26.25" customHeight="1"/>
    <row r="20150" ht="26.25" customHeight="1"/>
    <row r="20151" ht="26.25" customHeight="1"/>
    <row r="20152" ht="26.25" customHeight="1"/>
    <row r="20153" ht="26.25" customHeight="1"/>
    <row r="20154" ht="26.25" customHeight="1"/>
    <row r="20155" ht="26.25" customHeight="1"/>
    <row r="20156" ht="26.25" customHeight="1"/>
    <row r="20157" ht="26.25" customHeight="1"/>
    <row r="20158" ht="26.25" customHeight="1"/>
    <row r="20159" ht="26.25" customHeight="1"/>
    <row r="20160" ht="26.25" customHeight="1"/>
    <row r="20161" ht="26.25" customHeight="1"/>
    <row r="20162" ht="26.25" customHeight="1"/>
    <row r="20163" ht="26.25" customHeight="1"/>
    <row r="20164" ht="26.25" customHeight="1"/>
    <row r="20165" ht="26.25" customHeight="1"/>
    <row r="20166" ht="26.25" customHeight="1"/>
    <row r="20167" ht="26.25" customHeight="1"/>
    <row r="20168" ht="26.25" customHeight="1"/>
    <row r="20169" ht="26.25" customHeight="1"/>
    <row r="20170" ht="26.25" customHeight="1"/>
    <row r="20171" ht="26.25" customHeight="1"/>
    <row r="20172" ht="26.25" customHeight="1"/>
    <row r="20173" ht="26.25" customHeight="1"/>
    <row r="20174" ht="26.25" customHeight="1"/>
    <row r="20175" ht="26.25" customHeight="1"/>
    <row r="20176" ht="26.25" customHeight="1"/>
    <row r="20177" ht="26.25" customHeight="1"/>
    <row r="20178" ht="26.25" customHeight="1"/>
    <row r="20179" ht="26.25" customHeight="1"/>
    <row r="20180" ht="26.25" customHeight="1"/>
    <row r="20181" ht="26.25" customHeight="1"/>
    <row r="20182" ht="26.25" customHeight="1"/>
    <row r="20183" ht="26.25" customHeight="1"/>
    <row r="20184" ht="26.25" customHeight="1"/>
    <row r="20185" ht="26.25" customHeight="1"/>
    <row r="20186" ht="26.25" customHeight="1"/>
    <row r="20187" ht="26.25" customHeight="1"/>
    <row r="20188" ht="26.25" customHeight="1"/>
    <row r="20189" ht="26.25" customHeight="1"/>
    <row r="20190" ht="26.25" customHeight="1"/>
    <row r="20191" ht="26.25" customHeight="1"/>
    <row r="20192" ht="26.25" customHeight="1"/>
    <row r="20193" ht="26.25" customHeight="1"/>
    <row r="20194" ht="26.25" customHeight="1"/>
    <row r="20195" ht="26.25" customHeight="1"/>
    <row r="20196" ht="26.25" customHeight="1"/>
    <row r="20197" ht="26.25" customHeight="1"/>
    <row r="20198" ht="26.25" customHeight="1"/>
    <row r="20199" ht="26.25" customHeight="1"/>
    <row r="20200" ht="26.25" customHeight="1"/>
    <row r="20201" ht="26.25" customHeight="1"/>
    <row r="20202" ht="26.25" customHeight="1"/>
    <row r="20203" ht="26.25" customHeight="1"/>
    <row r="20204" ht="26.25" customHeight="1"/>
    <row r="20205" ht="26.25" customHeight="1"/>
    <row r="20206" ht="26.25" customHeight="1"/>
    <row r="20207" ht="26.25" customHeight="1"/>
    <row r="20208" ht="26.25" customHeight="1"/>
    <row r="20209" ht="26.25" customHeight="1"/>
    <row r="20210" ht="26.25" customHeight="1"/>
    <row r="20211" ht="26.25" customHeight="1"/>
    <row r="20212" ht="26.25" customHeight="1"/>
    <row r="20213" ht="26.25" customHeight="1"/>
    <row r="20214" ht="26.25" customHeight="1"/>
    <row r="20215" ht="26.25" customHeight="1"/>
    <row r="20216" ht="26.25" customHeight="1"/>
    <row r="20217" ht="26.25" customHeight="1"/>
    <row r="20218" ht="26.25" customHeight="1"/>
    <row r="20219" ht="26.25" customHeight="1"/>
    <row r="20220" ht="26.25" customHeight="1"/>
    <row r="20221" ht="26.25" customHeight="1"/>
    <row r="20222" ht="26.25" customHeight="1"/>
    <row r="20223" ht="26.25" customHeight="1"/>
    <row r="20224" ht="26.25" customHeight="1"/>
    <row r="20225" ht="26.25" customHeight="1"/>
    <row r="20226" ht="26.25" customHeight="1"/>
    <row r="20227" ht="26.25" customHeight="1"/>
    <row r="20228" ht="26.25" customHeight="1"/>
    <row r="20229" ht="26.25" customHeight="1"/>
    <row r="20230" ht="26.25" customHeight="1"/>
    <row r="20231" ht="26.25" customHeight="1"/>
    <row r="20232" ht="26.25" customHeight="1"/>
    <row r="20233" ht="26.25" customHeight="1"/>
    <row r="20234" ht="26.25" customHeight="1"/>
    <row r="20235" ht="26.25" customHeight="1"/>
    <row r="20236" ht="26.25" customHeight="1"/>
    <row r="20237" ht="26.25" customHeight="1"/>
    <row r="20238" ht="26.25" customHeight="1"/>
    <row r="20239" ht="26.25" customHeight="1"/>
    <row r="20240" ht="26.25" customHeight="1"/>
    <row r="20241" ht="26.25" customHeight="1"/>
    <row r="20242" ht="26.25" customHeight="1"/>
    <row r="20243" ht="26.25" customHeight="1"/>
    <row r="20244" ht="26.25" customHeight="1"/>
    <row r="20245" ht="26.25" customHeight="1"/>
    <row r="20246" ht="26.25" customHeight="1"/>
    <row r="20247" ht="26.25" customHeight="1"/>
    <row r="20248" ht="26.25" customHeight="1"/>
    <row r="20249" ht="26.25" customHeight="1"/>
    <row r="20250" ht="26.25" customHeight="1"/>
    <row r="20251" ht="26.25" customHeight="1"/>
    <row r="20252" ht="26.25" customHeight="1"/>
    <row r="20253" ht="26.25" customHeight="1"/>
    <row r="20254" ht="26.25" customHeight="1"/>
    <row r="20255" ht="26.25" customHeight="1"/>
    <row r="20256" ht="26.25" customHeight="1"/>
    <row r="20257" ht="26.25" customHeight="1"/>
    <row r="20258" ht="26.25" customHeight="1"/>
    <row r="20259" ht="26.25" customHeight="1"/>
    <row r="20260" ht="26.25" customHeight="1"/>
    <row r="20261" ht="26.25" customHeight="1"/>
    <row r="20262" ht="26.25" customHeight="1"/>
    <row r="20263" ht="26.25" customHeight="1"/>
    <row r="20264" ht="26.25" customHeight="1"/>
    <row r="20265" ht="26.25" customHeight="1"/>
    <row r="20266" ht="26.25" customHeight="1"/>
    <row r="20267" ht="26.25" customHeight="1"/>
    <row r="20268" ht="26.25" customHeight="1"/>
    <row r="20269" ht="26.25" customHeight="1"/>
    <row r="20270" ht="26.25" customHeight="1"/>
    <row r="20271" ht="26.25" customHeight="1"/>
    <row r="20272" ht="26.25" customHeight="1"/>
    <row r="20273" ht="26.25" customHeight="1"/>
    <row r="20274" ht="26.25" customHeight="1"/>
    <row r="20275" ht="26.25" customHeight="1"/>
    <row r="20276" ht="26.25" customHeight="1"/>
    <row r="20277" ht="26.25" customHeight="1"/>
    <row r="20278" ht="26.25" customHeight="1"/>
    <row r="20279" ht="26.25" customHeight="1"/>
    <row r="20280" ht="26.25" customHeight="1"/>
    <row r="20281" ht="26.25" customHeight="1"/>
    <row r="20282" ht="26.25" customHeight="1"/>
    <row r="20283" ht="26.25" customHeight="1"/>
    <row r="20284" ht="26.25" customHeight="1"/>
    <row r="20285" ht="26.25" customHeight="1"/>
    <row r="20286" ht="26.25" customHeight="1"/>
    <row r="20287" ht="26.25" customHeight="1"/>
    <row r="20288" ht="26.25" customHeight="1"/>
    <row r="20289" ht="26.25" customHeight="1"/>
    <row r="20290" ht="26.25" customHeight="1"/>
    <row r="20291" ht="26.25" customHeight="1"/>
    <row r="20292" ht="26.25" customHeight="1"/>
    <row r="20293" ht="26.25" customHeight="1"/>
    <row r="20294" ht="26.25" customHeight="1"/>
    <row r="20295" ht="26.25" customHeight="1"/>
    <row r="20296" ht="26.25" customHeight="1"/>
    <row r="20297" ht="26.25" customHeight="1"/>
    <row r="20298" ht="26.25" customHeight="1"/>
    <row r="20299" ht="26.25" customHeight="1"/>
    <row r="20300" ht="26.25" customHeight="1"/>
    <row r="20301" ht="26.25" customHeight="1"/>
    <row r="20302" ht="26.25" customHeight="1"/>
    <row r="20303" ht="26.25" customHeight="1"/>
    <row r="20304" ht="26.25" customHeight="1"/>
    <row r="20305" ht="26.25" customHeight="1"/>
    <row r="20306" ht="26.25" customHeight="1"/>
    <row r="20307" ht="26.25" customHeight="1"/>
    <row r="20308" ht="26.25" customHeight="1"/>
    <row r="20309" ht="26.25" customHeight="1"/>
    <row r="20310" ht="26.25" customHeight="1"/>
    <row r="20311" ht="26.25" customHeight="1"/>
    <row r="20312" ht="26.25" customHeight="1"/>
    <row r="20313" ht="26.25" customHeight="1"/>
    <row r="20314" ht="26.25" customHeight="1"/>
    <row r="20315" ht="26.25" customHeight="1"/>
    <row r="20316" ht="26.25" customHeight="1"/>
    <row r="20317" ht="26.25" customHeight="1"/>
    <row r="20318" ht="26.25" customHeight="1"/>
    <row r="20319" ht="26.25" customHeight="1"/>
    <row r="20320" ht="26.25" customHeight="1"/>
    <row r="20321" ht="26.25" customHeight="1"/>
    <row r="20322" ht="26.25" customHeight="1"/>
    <row r="20323" ht="26.25" customHeight="1"/>
    <row r="20324" ht="26.25" customHeight="1"/>
    <row r="20325" ht="26.25" customHeight="1"/>
    <row r="20326" ht="26.25" customHeight="1"/>
    <row r="20327" ht="26.25" customHeight="1"/>
    <row r="20328" ht="26.25" customHeight="1"/>
    <row r="20329" ht="26.25" customHeight="1"/>
    <row r="20330" ht="26.25" customHeight="1"/>
    <row r="20331" ht="26.25" customHeight="1"/>
    <row r="20332" ht="26.25" customHeight="1"/>
    <row r="20333" ht="26.25" customHeight="1"/>
    <row r="20334" ht="26.25" customHeight="1"/>
    <row r="20335" ht="26.25" customHeight="1"/>
    <row r="20336" ht="26.25" customHeight="1"/>
    <row r="20337" ht="26.25" customHeight="1"/>
    <row r="20338" ht="26.25" customHeight="1"/>
    <row r="20339" ht="26.25" customHeight="1"/>
    <row r="20340" ht="26.25" customHeight="1"/>
    <row r="20341" ht="26.25" customHeight="1"/>
    <row r="20342" ht="26.25" customHeight="1"/>
    <row r="20343" ht="26.25" customHeight="1"/>
    <row r="20344" ht="26.25" customHeight="1"/>
    <row r="20345" ht="26.25" customHeight="1"/>
    <row r="20346" ht="26.25" customHeight="1"/>
    <row r="20347" ht="26.25" customHeight="1"/>
    <row r="20348" ht="26.25" customHeight="1"/>
    <row r="20349" ht="26.25" customHeight="1"/>
    <row r="20350" ht="26.25" customHeight="1"/>
    <row r="20351" ht="26.25" customHeight="1"/>
    <row r="20352" ht="26.25" customHeight="1"/>
    <row r="20353" ht="26.25" customHeight="1"/>
    <row r="20354" ht="26.25" customHeight="1"/>
    <row r="20355" ht="26.25" customHeight="1"/>
    <row r="20356" ht="26.25" customHeight="1"/>
    <row r="20357" ht="26.25" customHeight="1"/>
    <row r="20358" ht="26.25" customHeight="1"/>
    <row r="20359" ht="26.25" customHeight="1"/>
    <row r="20360" ht="26.25" customHeight="1"/>
    <row r="20361" ht="26.25" customHeight="1"/>
    <row r="20362" ht="26.25" customHeight="1"/>
    <row r="20363" ht="26.25" customHeight="1"/>
    <row r="20364" ht="26.25" customHeight="1"/>
    <row r="20365" ht="26.25" customHeight="1"/>
    <row r="20366" ht="26.25" customHeight="1"/>
    <row r="20367" ht="26.25" customHeight="1"/>
    <row r="20368" ht="26.25" customHeight="1"/>
    <row r="20369" ht="26.25" customHeight="1"/>
    <row r="20370" ht="26.25" customHeight="1"/>
    <row r="20371" ht="26.25" customHeight="1"/>
    <row r="20372" ht="26.25" customHeight="1"/>
    <row r="20373" ht="26.25" customHeight="1"/>
    <row r="20374" ht="26.25" customHeight="1"/>
    <row r="20375" ht="26.25" customHeight="1"/>
    <row r="20376" ht="26.25" customHeight="1"/>
    <row r="20377" ht="26.25" customHeight="1"/>
    <row r="20378" ht="26.25" customHeight="1"/>
    <row r="20379" ht="26.25" customHeight="1"/>
    <row r="20380" ht="26.25" customHeight="1"/>
    <row r="20381" ht="26.25" customHeight="1"/>
    <row r="20382" ht="26.25" customHeight="1"/>
    <row r="20383" ht="26.25" customHeight="1"/>
    <row r="20384" ht="26.25" customHeight="1"/>
    <row r="20385" ht="26.25" customHeight="1"/>
    <row r="20386" ht="26.25" customHeight="1"/>
    <row r="20387" ht="26.25" customHeight="1"/>
    <row r="20388" ht="26.25" customHeight="1"/>
    <row r="20389" ht="26.25" customHeight="1"/>
    <row r="20390" ht="26.25" customHeight="1"/>
    <row r="20391" ht="26.25" customHeight="1"/>
    <row r="20392" ht="26.25" customHeight="1"/>
    <row r="20393" ht="26.25" customHeight="1"/>
    <row r="20394" ht="26.25" customHeight="1"/>
    <row r="20395" ht="26.25" customHeight="1"/>
    <row r="20396" ht="26.25" customHeight="1"/>
    <row r="20397" ht="26.25" customHeight="1"/>
    <row r="20398" ht="26.25" customHeight="1"/>
    <row r="20399" ht="26.25" customHeight="1"/>
    <row r="20400" ht="26.25" customHeight="1"/>
    <row r="20401" ht="26.25" customHeight="1"/>
    <row r="20402" ht="26.25" customHeight="1"/>
    <row r="20403" ht="26.25" customHeight="1"/>
    <row r="20404" ht="26.25" customHeight="1"/>
    <row r="20405" ht="26.25" customHeight="1"/>
    <row r="20406" ht="26.25" customHeight="1"/>
    <row r="20407" ht="26.25" customHeight="1"/>
    <row r="20408" ht="26.25" customHeight="1"/>
    <row r="20409" ht="26.25" customHeight="1"/>
    <row r="20410" ht="26.25" customHeight="1"/>
    <row r="20411" ht="26.25" customHeight="1"/>
    <row r="20412" ht="26.25" customHeight="1"/>
    <row r="20413" ht="26.25" customHeight="1"/>
    <row r="20414" ht="26.25" customHeight="1"/>
    <row r="20415" ht="26.25" customHeight="1"/>
    <row r="20416" ht="26.25" customHeight="1"/>
    <row r="20417" ht="26.25" customHeight="1"/>
    <row r="20418" ht="26.25" customHeight="1"/>
    <row r="20419" ht="26.25" customHeight="1"/>
    <row r="20420" ht="26.25" customHeight="1"/>
    <row r="20421" ht="26.25" customHeight="1"/>
    <row r="20422" ht="26.25" customHeight="1"/>
    <row r="20423" ht="26.25" customHeight="1"/>
    <row r="20424" ht="26.25" customHeight="1"/>
    <row r="20425" ht="26.25" customHeight="1"/>
    <row r="20426" ht="26.25" customHeight="1"/>
    <row r="20427" ht="26.25" customHeight="1"/>
    <row r="20428" ht="26.25" customHeight="1"/>
    <row r="20429" ht="26.25" customHeight="1"/>
    <row r="20430" ht="26.25" customHeight="1"/>
    <row r="20431" ht="26.25" customHeight="1"/>
    <row r="20432" ht="26.25" customHeight="1"/>
    <row r="20433" ht="26.25" customHeight="1"/>
    <row r="20434" ht="26.25" customHeight="1"/>
    <row r="20435" ht="26.25" customHeight="1"/>
    <row r="20436" ht="26.25" customHeight="1"/>
    <row r="20437" ht="26.25" customHeight="1"/>
    <row r="20438" ht="26.25" customHeight="1"/>
    <row r="20439" ht="26.25" customHeight="1"/>
    <row r="20440" ht="26.25" customHeight="1"/>
    <row r="20441" ht="26.25" customHeight="1"/>
    <row r="20442" ht="26.25" customHeight="1"/>
    <row r="20443" ht="26.25" customHeight="1"/>
    <row r="20444" ht="26.25" customHeight="1"/>
    <row r="20445" ht="26.25" customHeight="1"/>
    <row r="20446" ht="26.25" customHeight="1"/>
    <row r="20447" ht="26.25" customHeight="1"/>
    <row r="20448" ht="26.25" customHeight="1"/>
    <row r="20449" ht="26.25" customHeight="1"/>
    <row r="20450" ht="26.25" customHeight="1"/>
    <row r="20451" ht="26.25" customHeight="1"/>
    <row r="20452" ht="26.25" customHeight="1"/>
    <row r="20453" ht="26.25" customHeight="1"/>
    <row r="20454" ht="26.25" customHeight="1"/>
    <row r="20455" ht="26.25" customHeight="1"/>
    <row r="20456" ht="26.25" customHeight="1"/>
    <row r="20457" ht="26.25" customHeight="1"/>
    <row r="20458" ht="26.25" customHeight="1"/>
    <row r="20459" ht="26.25" customHeight="1"/>
    <row r="20460" ht="26.25" customHeight="1"/>
    <row r="20461" ht="26.25" customHeight="1"/>
    <row r="20462" ht="26.25" customHeight="1"/>
    <row r="20463" ht="26.25" customHeight="1"/>
    <row r="20464" ht="26.25" customHeight="1"/>
    <row r="20465" ht="26.25" customHeight="1"/>
    <row r="20466" ht="26.25" customHeight="1"/>
    <row r="20467" ht="26.25" customHeight="1"/>
    <row r="20468" ht="26.25" customHeight="1"/>
    <row r="20469" ht="26.25" customHeight="1"/>
    <row r="20470" ht="26.25" customHeight="1"/>
    <row r="20471" ht="26.25" customHeight="1"/>
    <row r="20472" ht="26.25" customHeight="1"/>
    <row r="20473" ht="26.25" customHeight="1"/>
    <row r="20474" ht="26.25" customHeight="1"/>
    <row r="20475" ht="26.25" customHeight="1"/>
    <row r="20476" ht="26.25" customHeight="1"/>
    <row r="20477" ht="26.25" customHeight="1"/>
    <row r="20478" ht="26.25" customHeight="1"/>
    <row r="20479" ht="26.25" customHeight="1"/>
    <row r="20480" ht="26.25" customHeight="1"/>
    <row r="20481" ht="26.25" customHeight="1"/>
    <row r="20482" ht="26.25" customHeight="1"/>
    <row r="20483" ht="26.25" customHeight="1"/>
    <row r="20484" ht="26.25" customHeight="1"/>
    <row r="20485" ht="26.25" customHeight="1"/>
    <row r="20486" ht="26.25" customHeight="1"/>
    <row r="20487" ht="26.25" customHeight="1"/>
    <row r="20488" ht="26.25" customHeight="1"/>
    <row r="20489" ht="26.25" customHeight="1"/>
    <row r="20490" ht="26.25" customHeight="1"/>
    <row r="20491" ht="26.25" customHeight="1"/>
    <row r="20492" ht="26.25" customHeight="1"/>
    <row r="20493" ht="26.25" customHeight="1"/>
    <row r="20494" ht="26.25" customHeight="1"/>
    <row r="20495" ht="26.25" customHeight="1"/>
    <row r="20496" ht="26.25" customHeight="1"/>
    <row r="20497" ht="26.25" customHeight="1"/>
    <row r="20498" ht="26.25" customHeight="1"/>
    <row r="20499" ht="26.25" customHeight="1"/>
    <row r="20500" ht="26.25" customHeight="1"/>
    <row r="20501" ht="26.25" customHeight="1"/>
    <row r="20502" ht="26.25" customHeight="1"/>
    <row r="20503" ht="26.25" customHeight="1"/>
    <row r="20504" ht="26.25" customHeight="1"/>
    <row r="20505" ht="26.25" customHeight="1"/>
    <row r="20506" ht="26.25" customHeight="1"/>
    <row r="20507" ht="26.25" customHeight="1"/>
    <row r="20508" ht="26.25" customHeight="1"/>
    <row r="20509" ht="26.25" customHeight="1"/>
    <row r="20510" ht="26.25" customHeight="1"/>
    <row r="20511" ht="26.25" customHeight="1"/>
    <row r="20512" ht="26.25" customHeight="1"/>
    <row r="20513" ht="26.25" customHeight="1"/>
    <row r="20514" ht="26.25" customHeight="1"/>
    <row r="20515" ht="26.25" customHeight="1"/>
    <row r="20516" ht="26.25" customHeight="1"/>
    <row r="20517" ht="26.25" customHeight="1"/>
    <row r="20518" ht="26.25" customHeight="1"/>
    <row r="20519" ht="26.25" customHeight="1"/>
    <row r="20520" ht="26.25" customHeight="1"/>
    <row r="20521" ht="26.25" customHeight="1"/>
    <row r="20522" ht="26.25" customHeight="1"/>
    <row r="20523" ht="26.25" customHeight="1"/>
    <row r="20524" ht="26.25" customHeight="1"/>
    <row r="20525" ht="26.25" customHeight="1"/>
    <row r="20526" ht="26.25" customHeight="1"/>
    <row r="20527" ht="26.25" customHeight="1"/>
    <row r="20528" ht="26.25" customHeight="1"/>
    <row r="20529" ht="26.25" customHeight="1"/>
    <row r="20530" ht="26.25" customHeight="1"/>
    <row r="20531" ht="26.25" customHeight="1"/>
    <row r="20532" ht="26.25" customHeight="1"/>
    <row r="20533" ht="26.25" customHeight="1"/>
    <row r="20534" ht="26.25" customHeight="1"/>
    <row r="20535" ht="26.25" customHeight="1"/>
    <row r="20536" ht="26.25" customHeight="1"/>
    <row r="20537" ht="26.25" customHeight="1"/>
    <row r="20538" ht="26.25" customHeight="1"/>
    <row r="20539" ht="26.25" customHeight="1"/>
    <row r="20540" ht="26.25" customHeight="1"/>
    <row r="20541" ht="26.25" customHeight="1"/>
    <row r="20542" ht="26.25" customHeight="1"/>
    <row r="20543" ht="26.25" customHeight="1"/>
    <row r="20544" ht="26.25" customHeight="1"/>
    <row r="20545" ht="26.25" customHeight="1"/>
    <row r="20546" ht="26.25" customHeight="1"/>
    <row r="20547" ht="26.25" customHeight="1"/>
    <row r="20548" ht="26.25" customHeight="1"/>
    <row r="20549" ht="26.25" customHeight="1"/>
    <row r="20550" ht="26.25" customHeight="1"/>
    <row r="20551" ht="26.25" customHeight="1"/>
    <row r="20552" ht="26.25" customHeight="1"/>
    <row r="20553" ht="26.25" customHeight="1"/>
    <row r="20554" ht="26.25" customHeight="1"/>
    <row r="20555" ht="26.25" customHeight="1"/>
    <row r="20556" ht="26.25" customHeight="1"/>
    <row r="20557" ht="26.25" customHeight="1"/>
    <row r="20558" ht="26.25" customHeight="1"/>
    <row r="20559" ht="26.25" customHeight="1"/>
    <row r="20560" ht="26.25" customHeight="1"/>
    <row r="20561" ht="26.25" customHeight="1"/>
    <row r="20562" ht="26.25" customHeight="1"/>
    <row r="20563" ht="26.25" customHeight="1"/>
    <row r="20564" ht="26.25" customHeight="1"/>
    <row r="20565" ht="26.25" customHeight="1"/>
    <row r="20566" ht="26.25" customHeight="1"/>
    <row r="20567" ht="26.25" customHeight="1"/>
    <row r="20568" ht="26.25" customHeight="1"/>
    <row r="20569" ht="26.25" customHeight="1"/>
    <row r="20570" ht="26.25" customHeight="1"/>
    <row r="20571" ht="26.25" customHeight="1"/>
    <row r="20572" ht="26.25" customHeight="1"/>
    <row r="20573" ht="26.25" customHeight="1"/>
    <row r="20574" ht="26.25" customHeight="1"/>
    <row r="20575" ht="26.25" customHeight="1"/>
    <row r="20576" ht="26.25" customHeight="1"/>
    <row r="20577" ht="26.25" customHeight="1"/>
    <row r="20578" ht="26.25" customHeight="1"/>
    <row r="20579" ht="26.25" customHeight="1"/>
    <row r="20580" ht="26.25" customHeight="1"/>
    <row r="20581" ht="26.25" customHeight="1"/>
    <row r="20582" ht="26.25" customHeight="1"/>
    <row r="20583" ht="26.25" customHeight="1"/>
    <row r="20584" ht="26.25" customHeight="1"/>
    <row r="20585" ht="26.25" customHeight="1"/>
    <row r="20586" ht="26.25" customHeight="1"/>
    <row r="20587" ht="26.25" customHeight="1"/>
    <row r="20588" ht="26.25" customHeight="1"/>
    <row r="20589" ht="26.25" customHeight="1"/>
    <row r="20590" ht="26.25" customHeight="1"/>
    <row r="20591" ht="26.25" customHeight="1"/>
    <row r="20592" ht="26.25" customHeight="1"/>
    <row r="20593" ht="26.25" customHeight="1"/>
    <row r="20594" ht="26.25" customHeight="1"/>
    <row r="20595" ht="26.25" customHeight="1"/>
    <row r="20596" ht="26.25" customHeight="1"/>
    <row r="20597" ht="26.25" customHeight="1"/>
    <row r="20598" ht="26.25" customHeight="1"/>
    <row r="20599" ht="26.25" customHeight="1"/>
    <row r="20600" ht="26.25" customHeight="1"/>
    <row r="20601" ht="26.25" customHeight="1"/>
    <row r="20602" ht="26.25" customHeight="1"/>
    <row r="20603" ht="26.25" customHeight="1"/>
    <row r="20604" ht="26.25" customHeight="1"/>
    <row r="20605" ht="26.25" customHeight="1"/>
    <row r="20606" ht="26.25" customHeight="1"/>
    <row r="20607" ht="26.25" customHeight="1"/>
    <row r="20608" ht="26.25" customHeight="1"/>
    <row r="20609" ht="26.25" customHeight="1"/>
    <row r="20610" ht="26.25" customHeight="1"/>
    <row r="20611" ht="26.25" customHeight="1"/>
    <row r="20612" ht="26.25" customHeight="1"/>
    <row r="20613" ht="26.25" customHeight="1"/>
    <row r="20614" ht="26.25" customHeight="1"/>
    <row r="20615" ht="26.25" customHeight="1"/>
    <row r="20616" ht="26.25" customHeight="1"/>
    <row r="20617" ht="26.25" customHeight="1"/>
    <row r="20618" ht="26.25" customHeight="1"/>
    <row r="20619" ht="26.25" customHeight="1"/>
    <row r="20620" ht="26.25" customHeight="1"/>
    <row r="20621" ht="26.25" customHeight="1"/>
    <row r="20622" ht="26.25" customHeight="1"/>
    <row r="20623" ht="26.25" customHeight="1"/>
    <row r="20624" ht="26.25" customHeight="1"/>
    <row r="20625" ht="26.25" customHeight="1"/>
    <row r="20626" ht="26.25" customHeight="1"/>
    <row r="20627" ht="26.25" customHeight="1"/>
    <row r="20628" ht="26.25" customHeight="1"/>
    <row r="20629" ht="26.25" customHeight="1"/>
    <row r="20630" ht="26.25" customHeight="1"/>
    <row r="20631" ht="26.25" customHeight="1"/>
    <row r="20632" ht="26.25" customHeight="1"/>
    <row r="20633" ht="26.25" customHeight="1"/>
    <row r="20634" ht="26.25" customHeight="1"/>
    <row r="20635" ht="26.25" customHeight="1"/>
    <row r="20636" ht="26.25" customHeight="1"/>
    <row r="20637" ht="26.25" customHeight="1"/>
    <row r="20638" ht="26.25" customHeight="1"/>
    <row r="20639" ht="26.25" customHeight="1"/>
    <row r="20640" ht="26.25" customHeight="1"/>
    <row r="20641" ht="26.25" customHeight="1"/>
    <row r="20642" ht="26.25" customHeight="1"/>
    <row r="20643" ht="26.25" customHeight="1"/>
    <row r="20644" ht="26.25" customHeight="1"/>
    <row r="20645" ht="26.25" customHeight="1"/>
    <row r="20646" ht="26.25" customHeight="1"/>
    <row r="20647" ht="26.25" customHeight="1"/>
    <row r="20648" ht="26.25" customHeight="1"/>
    <row r="20649" ht="26.25" customHeight="1"/>
    <row r="20650" ht="26.25" customHeight="1"/>
    <row r="20651" ht="26.25" customHeight="1"/>
    <row r="20652" ht="26.25" customHeight="1"/>
    <row r="20653" ht="26.25" customHeight="1"/>
    <row r="20654" ht="26.25" customHeight="1"/>
    <row r="20655" ht="26.25" customHeight="1"/>
    <row r="20656" ht="26.25" customHeight="1"/>
    <row r="20657" ht="26.25" customHeight="1"/>
    <row r="20658" ht="26.25" customHeight="1"/>
    <row r="20659" ht="26.25" customHeight="1"/>
    <row r="20660" ht="26.25" customHeight="1"/>
    <row r="20661" ht="26.25" customHeight="1"/>
    <row r="20662" ht="26.25" customHeight="1"/>
    <row r="20663" ht="26.25" customHeight="1"/>
    <row r="20664" ht="26.25" customHeight="1"/>
    <row r="20665" ht="26.25" customHeight="1"/>
    <row r="20666" ht="26.25" customHeight="1"/>
    <row r="20667" ht="26.25" customHeight="1"/>
    <row r="20668" ht="26.25" customHeight="1"/>
    <row r="20669" ht="26.25" customHeight="1"/>
    <row r="20670" ht="26.25" customHeight="1"/>
    <row r="20671" ht="26.25" customHeight="1"/>
    <row r="20672" ht="26.25" customHeight="1"/>
    <row r="20673" ht="26.25" customHeight="1"/>
    <row r="20674" ht="26.25" customHeight="1"/>
    <row r="20675" ht="26.25" customHeight="1"/>
    <row r="20676" ht="26.25" customHeight="1"/>
    <row r="20677" ht="26.25" customHeight="1"/>
    <row r="20678" ht="26.25" customHeight="1"/>
    <row r="20679" ht="26.25" customHeight="1"/>
    <row r="20680" ht="26.25" customHeight="1"/>
    <row r="20681" ht="26.25" customHeight="1"/>
    <row r="20682" ht="26.25" customHeight="1"/>
    <row r="20683" ht="26.25" customHeight="1"/>
    <row r="20684" ht="26.25" customHeight="1"/>
    <row r="20685" ht="26.25" customHeight="1"/>
    <row r="20686" ht="26.25" customHeight="1"/>
    <row r="20687" ht="26.25" customHeight="1"/>
    <row r="20688" ht="26.25" customHeight="1"/>
    <row r="20689" ht="26.25" customHeight="1"/>
    <row r="20690" ht="26.25" customHeight="1"/>
    <row r="20691" ht="26.25" customHeight="1"/>
    <row r="20692" ht="26.25" customHeight="1"/>
    <row r="20693" ht="26.25" customHeight="1"/>
    <row r="20694" ht="26.25" customHeight="1"/>
    <row r="20695" ht="26.25" customHeight="1"/>
    <row r="20696" ht="26.25" customHeight="1"/>
    <row r="20697" ht="26.25" customHeight="1"/>
    <row r="20698" ht="26.25" customHeight="1"/>
    <row r="20699" ht="26.25" customHeight="1"/>
    <row r="20700" ht="26.25" customHeight="1"/>
    <row r="20701" ht="26.25" customHeight="1"/>
    <row r="20702" ht="26.25" customHeight="1"/>
    <row r="20703" ht="26.25" customHeight="1"/>
    <row r="20704" ht="26.25" customHeight="1"/>
    <row r="20705" ht="26.25" customHeight="1"/>
    <row r="20706" ht="26.25" customHeight="1"/>
    <row r="20707" ht="26.25" customHeight="1"/>
    <row r="20708" ht="26.25" customHeight="1"/>
    <row r="20709" ht="26.25" customHeight="1"/>
    <row r="20710" ht="26.25" customHeight="1"/>
    <row r="20711" ht="26.25" customHeight="1"/>
    <row r="20712" ht="26.25" customHeight="1"/>
    <row r="20713" ht="26.25" customHeight="1"/>
    <row r="20714" ht="26.25" customHeight="1"/>
    <row r="20715" ht="26.25" customHeight="1"/>
    <row r="20716" ht="26.25" customHeight="1"/>
    <row r="20717" ht="26.25" customHeight="1"/>
    <row r="20718" ht="26.25" customHeight="1"/>
    <row r="20719" ht="26.25" customHeight="1"/>
    <row r="20720" ht="26.25" customHeight="1"/>
    <row r="20721" ht="26.25" customHeight="1"/>
    <row r="20722" ht="26.25" customHeight="1"/>
    <row r="20723" ht="26.25" customHeight="1"/>
    <row r="20724" ht="26.25" customHeight="1"/>
    <row r="20725" ht="26.25" customHeight="1"/>
    <row r="20726" ht="26.25" customHeight="1"/>
    <row r="20727" ht="26.25" customHeight="1"/>
    <row r="20728" ht="26.25" customHeight="1"/>
    <row r="20729" ht="26.25" customHeight="1"/>
    <row r="20730" ht="26.25" customHeight="1"/>
    <row r="20731" ht="26.25" customHeight="1"/>
    <row r="20732" ht="26.25" customHeight="1"/>
    <row r="20733" ht="26.25" customHeight="1"/>
    <row r="20734" ht="26.25" customHeight="1"/>
    <row r="20735" ht="26.25" customHeight="1"/>
    <row r="20736" ht="26.25" customHeight="1"/>
    <row r="20737" ht="26.25" customHeight="1"/>
    <row r="20738" ht="26.25" customHeight="1"/>
    <row r="20739" ht="26.25" customHeight="1"/>
    <row r="20740" ht="26.25" customHeight="1"/>
    <row r="20741" ht="26.25" customHeight="1"/>
    <row r="20742" ht="26.25" customHeight="1"/>
    <row r="20743" ht="26.25" customHeight="1"/>
    <row r="20744" ht="26.25" customHeight="1"/>
    <row r="20745" ht="26.25" customHeight="1"/>
    <row r="20746" ht="26.25" customHeight="1"/>
    <row r="20747" ht="26.25" customHeight="1"/>
    <row r="20748" ht="26.25" customHeight="1"/>
    <row r="20749" ht="26.25" customHeight="1"/>
    <row r="20750" ht="26.25" customHeight="1"/>
    <row r="20751" ht="26.25" customHeight="1"/>
    <row r="20752" ht="26.25" customHeight="1"/>
    <row r="20753" ht="26.25" customHeight="1"/>
    <row r="20754" ht="26.25" customHeight="1"/>
    <row r="20755" ht="26.25" customHeight="1"/>
    <row r="20756" ht="26.25" customHeight="1"/>
    <row r="20757" ht="26.25" customHeight="1"/>
    <row r="20758" ht="26.25" customHeight="1"/>
    <row r="20759" ht="26.25" customHeight="1"/>
    <row r="20760" ht="26.25" customHeight="1"/>
    <row r="20761" ht="26.25" customHeight="1"/>
    <row r="20762" ht="26.25" customHeight="1"/>
    <row r="20763" ht="26.25" customHeight="1"/>
    <row r="20764" ht="26.25" customHeight="1"/>
    <row r="20765" ht="26.25" customHeight="1"/>
    <row r="20766" ht="26.25" customHeight="1"/>
    <row r="20767" ht="26.25" customHeight="1"/>
    <row r="20768" ht="26.25" customHeight="1"/>
    <row r="20769" ht="26.25" customHeight="1"/>
    <row r="20770" ht="26.25" customHeight="1"/>
    <row r="20771" ht="26.25" customHeight="1"/>
    <row r="20772" ht="26.25" customHeight="1"/>
    <row r="20773" ht="26.25" customHeight="1"/>
    <row r="20774" ht="26.25" customHeight="1"/>
    <row r="20775" ht="26.25" customHeight="1"/>
    <row r="20776" ht="26.25" customHeight="1"/>
    <row r="20777" ht="26.25" customHeight="1"/>
    <row r="20778" ht="26.25" customHeight="1"/>
    <row r="20779" ht="26.25" customHeight="1"/>
    <row r="20780" ht="26.25" customHeight="1"/>
    <row r="20781" ht="26.25" customHeight="1"/>
    <row r="20782" ht="26.25" customHeight="1"/>
    <row r="20783" ht="26.25" customHeight="1"/>
    <row r="20784" ht="26.25" customHeight="1"/>
    <row r="20785" ht="26.25" customHeight="1"/>
    <row r="20786" ht="26.25" customHeight="1"/>
    <row r="20787" ht="26.25" customHeight="1"/>
    <row r="20788" ht="26.25" customHeight="1"/>
    <row r="20789" ht="26.25" customHeight="1"/>
    <row r="20790" ht="26.25" customHeight="1"/>
    <row r="20791" ht="26.25" customHeight="1"/>
    <row r="20792" ht="26.25" customHeight="1"/>
    <row r="20793" ht="26.25" customHeight="1"/>
    <row r="20794" ht="26.25" customHeight="1"/>
    <row r="20795" ht="26.25" customHeight="1"/>
    <row r="20796" ht="26.25" customHeight="1"/>
    <row r="20797" ht="26.25" customHeight="1"/>
    <row r="20798" ht="26.25" customHeight="1"/>
    <row r="20799" ht="26.25" customHeight="1"/>
    <row r="20800" ht="26.25" customHeight="1"/>
    <row r="20801" ht="26.25" customHeight="1"/>
    <row r="20802" ht="26.25" customHeight="1"/>
    <row r="20803" ht="26.25" customHeight="1"/>
    <row r="20804" ht="26.25" customHeight="1"/>
    <row r="20805" ht="26.25" customHeight="1"/>
    <row r="20806" ht="26.25" customHeight="1"/>
    <row r="20807" ht="26.25" customHeight="1"/>
    <row r="20808" ht="26.25" customHeight="1"/>
    <row r="20809" ht="26.25" customHeight="1"/>
    <row r="20810" ht="26.25" customHeight="1"/>
    <row r="20811" ht="26.25" customHeight="1"/>
    <row r="20812" ht="26.25" customHeight="1"/>
    <row r="20813" ht="26.25" customHeight="1"/>
    <row r="20814" ht="26.25" customHeight="1"/>
    <row r="20815" ht="26.25" customHeight="1"/>
    <row r="20816" ht="26.25" customHeight="1"/>
    <row r="20817" ht="26.25" customHeight="1"/>
    <row r="20818" ht="26.25" customHeight="1"/>
    <row r="20819" ht="26.25" customHeight="1"/>
    <row r="20820" ht="26.25" customHeight="1"/>
    <row r="20821" ht="26.25" customHeight="1"/>
    <row r="20822" ht="26.25" customHeight="1"/>
    <row r="20823" ht="26.25" customHeight="1"/>
    <row r="20824" ht="26.25" customHeight="1"/>
    <row r="20825" ht="26.25" customHeight="1"/>
    <row r="20826" ht="26.25" customHeight="1"/>
    <row r="20827" ht="26.25" customHeight="1"/>
    <row r="20828" ht="26.25" customHeight="1"/>
    <row r="20829" ht="26.25" customHeight="1"/>
    <row r="20830" ht="26.25" customHeight="1"/>
    <row r="20831" ht="26.25" customHeight="1"/>
    <row r="20832" ht="26.25" customHeight="1"/>
    <row r="20833" ht="26.25" customHeight="1"/>
    <row r="20834" ht="26.25" customHeight="1"/>
    <row r="20835" ht="26.25" customHeight="1"/>
    <row r="20836" ht="26.25" customHeight="1"/>
    <row r="20837" ht="26.25" customHeight="1"/>
    <row r="20838" ht="26.25" customHeight="1"/>
    <row r="20839" ht="26.25" customHeight="1"/>
    <row r="20840" ht="26.25" customHeight="1"/>
    <row r="20841" ht="26.25" customHeight="1"/>
    <row r="20842" ht="26.25" customHeight="1"/>
    <row r="20843" ht="26.25" customHeight="1"/>
    <row r="20844" ht="26.25" customHeight="1"/>
    <row r="20845" ht="26.25" customHeight="1"/>
    <row r="20846" ht="26.25" customHeight="1"/>
    <row r="20847" ht="26.25" customHeight="1"/>
    <row r="20848" ht="26.25" customHeight="1"/>
    <row r="20849" ht="26.25" customHeight="1"/>
    <row r="20850" ht="26.25" customHeight="1"/>
    <row r="20851" ht="26.25" customHeight="1"/>
    <row r="20852" ht="26.25" customHeight="1"/>
    <row r="20853" ht="26.25" customHeight="1"/>
    <row r="20854" ht="26.25" customHeight="1"/>
    <row r="20855" ht="26.25" customHeight="1"/>
    <row r="20856" ht="26.25" customHeight="1"/>
    <row r="20857" ht="26.25" customHeight="1"/>
    <row r="20858" ht="26.25" customHeight="1"/>
    <row r="20859" ht="26.25" customHeight="1"/>
    <row r="20860" ht="26.25" customHeight="1"/>
    <row r="20861" ht="26.25" customHeight="1"/>
    <row r="20862" ht="26.25" customHeight="1"/>
    <row r="20863" ht="26.25" customHeight="1"/>
    <row r="20864" ht="26.25" customHeight="1"/>
    <row r="20865" ht="26.25" customHeight="1"/>
    <row r="20866" ht="26.25" customHeight="1"/>
    <row r="20867" ht="26.25" customHeight="1"/>
    <row r="20868" ht="26.25" customHeight="1"/>
    <row r="20869" ht="26.25" customHeight="1"/>
    <row r="20870" ht="26.25" customHeight="1"/>
    <row r="20871" ht="26.25" customHeight="1"/>
    <row r="20872" ht="26.25" customHeight="1"/>
    <row r="20873" ht="26.25" customHeight="1"/>
    <row r="20874" ht="26.25" customHeight="1"/>
    <row r="20875" ht="26.25" customHeight="1"/>
    <row r="20876" ht="26.25" customHeight="1"/>
    <row r="20877" ht="26.25" customHeight="1"/>
    <row r="20878" ht="26.25" customHeight="1"/>
    <row r="20879" ht="26.25" customHeight="1"/>
    <row r="20880" ht="26.25" customHeight="1"/>
    <row r="20881" ht="26.25" customHeight="1"/>
    <row r="20882" ht="26.25" customHeight="1"/>
    <row r="20883" ht="26.25" customHeight="1"/>
    <row r="20884" ht="26.25" customHeight="1"/>
    <row r="20885" ht="26.25" customHeight="1"/>
    <row r="20886" ht="26.25" customHeight="1"/>
    <row r="20887" ht="26.25" customHeight="1"/>
    <row r="20888" ht="26.25" customHeight="1"/>
    <row r="20889" ht="26.25" customHeight="1"/>
    <row r="20890" ht="26.25" customHeight="1"/>
    <row r="20891" ht="26.25" customHeight="1"/>
    <row r="20892" ht="26.25" customHeight="1"/>
    <row r="20893" ht="26.25" customHeight="1"/>
    <row r="20894" ht="26.25" customHeight="1"/>
    <row r="20895" ht="26.25" customHeight="1"/>
    <row r="20896" ht="26.25" customHeight="1"/>
    <row r="20897" ht="26.25" customHeight="1"/>
    <row r="20898" ht="26.25" customHeight="1"/>
    <row r="20899" ht="26.25" customHeight="1"/>
    <row r="20900" ht="26.25" customHeight="1"/>
    <row r="20901" ht="26.25" customHeight="1"/>
    <row r="20902" ht="26.25" customHeight="1"/>
    <row r="20903" ht="26.25" customHeight="1"/>
    <row r="20904" ht="26.25" customHeight="1"/>
    <row r="20905" ht="26.25" customHeight="1"/>
    <row r="20906" ht="26.25" customHeight="1"/>
    <row r="20907" ht="26.25" customHeight="1"/>
    <row r="20908" ht="26.25" customHeight="1"/>
    <row r="20909" ht="26.25" customHeight="1"/>
    <row r="20910" ht="26.25" customHeight="1"/>
    <row r="20911" ht="26.25" customHeight="1"/>
    <row r="20912" ht="26.25" customHeight="1"/>
    <row r="20913" ht="26.25" customHeight="1"/>
    <row r="20914" ht="26.25" customHeight="1"/>
    <row r="20915" ht="26.25" customHeight="1"/>
    <row r="20916" ht="26.25" customHeight="1"/>
    <row r="20917" ht="26.25" customHeight="1"/>
    <row r="20918" ht="26.25" customHeight="1"/>
    <row r="20919" ht="26.25" customHeight="1"/>
    <row r="20920" ht="26.25" customHeight="1"/>
    <row r="20921" ht="26.25" customHeight="1"/>
    <row r="20922" ht="26.25" customHeight="1"/>
    <row r="20923" ht="26.25" customHeight="1"/>
    <row r="20924" ht="26.25" customHeight="1"/>
    <row r="20925" ht="26.25" customHeight="1"/>
    <row r="20926" ht="26.25" customHeight="1"/>
    <row r="20927" ht="26.25" customHeight="1"/>
    <row r="20928" ht="26.25" customHeight="1"/>
    <row r="20929" ht="26.25" customHeight="1"/>
    <row r="20930" ht="26.25" customHeight="1"/>
    <row r="20931" ht="26.25" customHeight="1"/>
    <row r="20932" ht="26.25" customHeight="1"/>
    <row r="20933" ht="26.25" customHeight="1"/>
    <row r="20934" ht="26.25" customHeight="1"/>
    <row r="20935" ht="26.25" customHeight="1"/>
    <row r="20936" ht="26.25" customHeight="1"/>
    <row r="20937" ht="26.25" customHeight="1"/>
    <row r="20938" ht="26.25" customHeight="1"/>
    <row r="20939" ht="26.25" customHeight="1"/>
    <row r="20940" ht="26.25" customHeight="1"/>
    <row r="20941" ht="26.25" customHeight="1"/>
    <row r="20942" ht="26.25" customHeight="1"/>
    <row r="20943" ht="26.25" customHeight="1"/>
    <row r="20944" ht="26.25" customHeight="1"/>
    <row r="20945" ht="26.25" customHeight="1"/>
    <row r="20946" ht="26.25" customHeight="1"/>
    <row r="20947" ht="26.25" customHeight="1"/>
    <row r="20948" ht="26.25" customHeight="1"/>
    <row r="20949" ht="26.25" customHeight="1"/>
    <row r="20950" ht="26.25" customHeight="1"/>
    <row r="20951" ht="26.25" customHeight="1"/>
    <row r="20952" ht="26.25" customHeight="1"/>
    <row r="20953" ht="26.25" customHeight="1"/>
    <row r="20954" ht="26.25" customHeight="1"/>
    <row r="20955" ht="26.25" customHeight="1"/>
    <row r="20956" ht="26.25" customHeight="1"/>
    <row r="20957" ht="26.25" customHeight="1"/>
    <row r="20958" ht="26.25" customHeight="1"/>
    <row r="20959" ht="26.25" customHeight="1"/>
    <row r="20960" ht="26.25" customHeight="1"/>
    <row r="20961" ht="26.25" customHeight="1"/>
    <row r="20962" ht="26.25" customHeight="1"/>
    <row r="20963" ht="26.25" customHeight="1"/>
    <row r="20964" ht="26.25" customHeight="1"/>
    <row r="20965" ht="26.25" customHeight="1"/>
    <row r="20966" ht="26.25" customHeight="1"/>
    <row r="20967" ht="26.25" customHeight="1"/>
    <row r="20968" ht="26.25" customHeight="1"/>
    <row r="20969" ht="26.25" customHeight="1"/>
    <row r="20970" ht="26.25" customHeight="1"/>
    <row r="20971" ht="26.25" customHeight="1"/>
    <row r="20972" ht="26.25" customHeight="1"/>
    <row r="20973" ht="26.25" customHeight="1"/>
    <row r="20974" ht="26.25" customHeight="1"/>
    <row r="20975" ht="26.25" customHeight="1"/>
    <row r="20976" ht="26.25" customHeight="1"/>
    <row r="20977" ht="26.25" customHeight="1"/>
    <row r="20978" ht="26.25" customHeight="1"/>
    <row r="20979" ht="26.25" customHeight="1"/>
    <row r="20980" ht="26.25" customHeight="1"/>
    <row r="20981" ht="26.25" customHeight="1"/>
    <row r="20982" ht="26.25" customHeight="1"/>
    <row r="20983" ht="26.25" customHeight="1"/>
    <row r="20984" ht="26.25" customHeight="1"/>
    <row r="20985" ht="26.25" customHeight="1"/>
    <row r="20986" ht="26.25" customHeight="1"/>
    <row r="20987" ht="26.25" customHeight="1"/>
    <row r="20988" ht="26.25" customHeight="1"/>
    <row r="20989" ht="26.25" customHeight="1"/>
    <row r="20990" ht="26.25" customHeight="1"/>
    <row r="20991" ht="26.25" customHeight="1"/>
    <row r="20992" ht="26.25" customHeight="1"/>
    <row r="20993" ht="26.25" customHeight="1"/>
    <row r="20994" ht="26.25" customHeight="1"/>
    <row r="20995" ht="26.25" customHeight="1"/>
    <row r="20996" ht="26.25" customHeight="1"/>
    <row r="20997" ht="26.25" customHeight="1"/>
    <row r="20998" ht="26.25" customHeight="1"/>
    <row r="20999" ht="26.25" customHeight="1"/>
    <row r="21000" ht="26.25" customHeight="1"/>
    <row r="21001" ht="26.25" customHeight="1"/>
    <row r="21002" ht="26.25" customHeight="1"/>
    <row r="21003" ht="26.25" customHeight="1"/>
    <row r="21004" ht="26.25" customHeight="1"/>
    <row r="21005" ht="26.25" customHeight="1"/>
    <row r="21006" ht="26.25" customHeight="1"/>
    <row r="21007" ht="26.25" customHeight="1"/>
    <row r="21008" ht="26.25" customHeight="1"/>
    <row r="21009" ht="26.25" customHeight="1"/>
    <row r="21010" ht="26.25" customHeight="1"/>
    <row r="21011" ht="26.25" customHeight="1"/>
    <row r="21012" ht="26.25" customHeight="1"/>
    <row r="21013" ht="26.25" customHeight="1"/>
    <row r="21014" ht="26.25" customHeight="1"/>
    <row r="21015" ht="26.25" customHeight="1"/>
    <row r="21016" ht="26.25" customHeight="1"/>
    <row r="21017" ht="26.25" customHeight="1"/>
    <row r="21018" ht="26.25" customHeight="1"/>
    <row r="21019" ht="26.25" customHeight="1"/>
    <row r="21020" ht="26.25" customHeight="1"/>
    <row r="21021" ht="26.25" customHeight="1"/>
    <row r="21022" ht="26.25" customHeight="1"/>
    <row r="21023" ht="26.25" customHeight="1"/>
    <row r="21024" ht="26.25" customHeight="1"/>
    <row r="21025" ht="26.25" customHeight="1"/>
    <row r="21026" ht="26.25" customHeight="1"/>
    <row r="21027" ht="26.25" customHeight="1"/>
    <row r="21028" ht="26.25" customHeight="1"/>
    <row r="21029" ht="26.25" customHeight="1"/>
    <row r="21030" ht="26.25" customHeight="1"/>
    <row r="21031" ht="26.25" customHeight="1"/>
    <row r="21032" ht="26.25" customHeight="1"/>
    <row r="21033" ht="26.25" customHeight="1"/>
    <row r="21034" ht="26.25" customHeight="1"/>
    <row r="21035" ht="26.25" customHeight="1"/>
    <row r="21036" ht="26.25" customHeight="1"/>
    <row r="21037" ht="26.25" customHeight="1"/>
    <row r="21038" ht="26.25" customHeight="1"/>
    <row r="21039" ht="26.25" customHeight="1"/>
    <row r="21040" ht="26.25" customHeight="1"/>
    <row r="21041" ht="26.25" customHeight="1"/>
    <row r="21042" ht="26.25" customHeight="1"/>
    <row r="21043" ht="26.25" customHeight="1"/>
    <row r="21044" ht="26.25" customHeight="1"/>
    <row r="21045" ht="26.25" customHeight="1"/>
    <row r="21046" ht="26.25" customHeight="1"/>
    <row r="21047" ht="26.25" customHeight="1"/>
    <row r="21048" ht="26.25" customHeight="1"/>
    <row r="21049" ht="26.25" customHeight="1"/>
    <row r="21050" ht="26.25" customHeight="1"/>
    <row r="21051" ht="26.25" customHeight="1"/>
    <row r="21052" ht="26.25" customHeight="1"/>
    <row r="21053" ht="26.25" customHeight="1"/>
    <row r="21054" ht="26.25" customHeight="1"/>
    <row r="21055" ht="26.25" customHeight="1"/>
    <row r="21056" ht="26.25" customHeight="1"/>
    <row r="21057" ht="26.25" customHeight="1"/>
    <row r="21058" ht="26.25" customHeight="1"/>
    <row r="21059" ht="26.25" customHeight="1"/>
    <row r="21060" ht="26.25" customHeight="1"/>
    <row r="21061" ht="26.25" customHeight="1"/>
    <row r="21062" ht="26.25" customHeight="1"/>
    <row r="21063" ht="26.25" customHeight="1"/>
    <row r="21064" ht="26.25" customHeight="1"/>
    <row r="21065" ht="26.25" customHeight="1"/>
    <row r="21066" ht="26.25" customHeight="1"/>
    <row r="21067" ht="26.25" customHeight="1"/>
    <row r="21068" ht="26.25" customHeight="1"/>
    <row r="21069" ht="26.25" customHeight="1"/>
    <row r="21070" ht="26.25" customHeight="1"/>
    <row r="21071" ht="26.25" customHeight="1"/>
    <row r="21072" ht="26.25" customHeight="1"/>
    <row r="21073" ht="26.25" customHeight="1"/>
    <row r="21074" ht="26.25" customHeight="1"/>
    <row r="21075" ht="26.25" customHeight="1"/>
    <row r="21076" ht="26.25" customHeight="1"/>
    <row r="21077" ht="26.25" customHeight="1"/>
    <row r="21078" ht="26.25" customHeight="1"/>
    <row r="21079" ht="26.25" customHeight="1"/>
    <row r="21080" ht="26.25" customHeight="1"/>
    <row r="21081" ht="26.25" customHeight="1"/>
    <row r="21082" ht="26.25" customHeight="1"/>
    <row r="21083" ht="26.25" customHeight="1"/>
    <row r="21084" ht="26.25" customHeight="1"/>
    <row r="21085" ht="26.25" customHeight="1"/>
    <row r="21086" ht="26.25" customHeight="1"/>
    <row r="21087" ht="26.25" customHeight="1"/>
    <row r="21088" ht="26.25" customHeight="1"/>
    <row r="21089" ht="26.25" customHeight="1"/>
    <row r="21090" ht="26.25" customHeight="1"/>
    <row r="21091" ht="26.25" customHeight="1"/>
    <row r="21092" ht="26.25" customHeight="1"/>
    <row r="21093" ht="26.25" customHeight="1"/>
    <row r="21094" ht="26.25" customHeight="1"/>
    <row r="21095" ht="26.25" customHeight="1"/>
    <row r="21096" ht="26.25" customHeight="1"/>
    <row r="21097" ht="26.25" customHeight="1"/>
    <row r="21098" ht="26.25" customHeight="1"/>
    <row r="21099" ht="26.25" customHeight="1"/>
    <row r="21100" ht="26.25" customHeight="1"/>
    <row r="21101" ht="26.25" customHeight="1"/>
    <row r="21102" ht="26.25" customHeight="1"/>
    <row r="21103" ht="26.25" customHeight="1"/>
    <row r="21104" ht="26.25" customHeight="1"/>
    <row r="21105" ht="26.25" customHeight="1"/>
    <row r="21106" ht="26.25" customHeight="1"/>
    <row r="21107" ht="26.25" customHeight="1"/>
    <row r="21108" ht="26.25" customHeight="1"/>
    <row r="21109" ht="26.25" customHeight="1"/>
    <row r="21110" ht="26.25" customHeight="1"/>
    <row r="21111" ht="26.25" customHeight="1"/>
    <row r="21112" ht="26.25" customHeight="1"/>
    <row r="21113" ht="26.25" customHeight="1"/>
    <row r="21114" ht="26.25" customHeight="1"/>
    <row r="21115" ht="26.25" customHeight="1"/>
    <row r="21116" ht="26.25" customHeight="1"/>
    <row r="21117" ht="26.25" customHeight="1"/>
    <row r="21118" ht="26.25" customHeight="1"/>
    <row r="21119" ht="26.25" customHeight="1"/>
    <row r="21120" ht="26.25" customHeight="1"/>
    <row r="21121" ht="26.25" customHeight="1"/>
    <row r="21122" ht="26.25" customHeight="1"/>
    <row r="21123" ht="26.25" customHeight="1"/>
    <row r="21124" ht="26.25" customHeight="1"/>
    <row r="21125" ht="26.25" customHeight="1"/>
    <row r="21126" ht="26.25" customHeight="1"/>
    <row r="21127" ht="26.25" customHeight="1"/>
    <row r="21128" ht="26.25" customHeight="1"/>
    <row r="21129" ht="26.25" customHeight="1"/>
    <row r="21130" ht="26.25" customHeight="1"/>
    <row r="21131" ht="26.25" customHeight="1"/>
    <row r="21132" ht="26.25" customHeight="1"/>
    <row r="21133" ht="26.25" customHeight="1"/>
    <row r="21134" ht="26.25" customHeight="1"/>
    <row r="21135" ht="26.25" customHeight="1"/>
    <row r="21136" ht="26.25" customHeight="1"/>
    <row r="21137" ht="26.25" customHeight="1"/>
    <row r="21138" ht="26.25" customHeight="1"/>
    <row r="21139" ht="26.25" customHeight="1"/>
    <row r="21140" ht="26.25" customHeight="1"/>
    <row r="21141" ht="26.25" customHeight="1"/>
    <row r="21142" ht="26.25" customHeight="1"/>
    <row r="21143" ht="26.25" customHeight="1"/>
    <row r="21144" ht="26.25" customHeight="1"/>
    <row r="21145" ht="26.25" customHeight="1"/>
    <row r="21146" ht="26.25" customHeight="1"/>
    <row r="21147" ht="26.25" customHeight="1"/>
    <row r="21148" ht="26.25" customHeight="1"/>
    <row r="21149" ht="26.25" customHeight="1"/>
    <row r="21150" ht="26.25" customHeight="1"/>
    <row r="21151" ht="26.25" customHeight="1"/>
    <row r="21152" ht="26.25" customHeight="1"/>
    <row r="21153" ht="26.25" customHeight="1"/>
    <row r="21154" ht="26.25" customHeight="1"/>
    <row r="21155" ht="26.25" customHeight="1"/>
    <row r="21156" ht="26.25" customHeight="1"/>
    <row r="21157" ht="26.25" customHeight="1"/>
    <row r="21158" ht="26.25" customHeight="1"/>
    <row r="21159" ht="26.25" customHeight="1"/>
    <row r="21160" ht="26.25" customHeight="1"/>
    <row r="21161" ht="26.25" customHeight="1"/>
    <row r="21162" ht="26.25" customHeight="1"/>
    <row r="21163" ht="26.25" customHeight="1"/>
    <row r="21164" ht="26.25" customHeight="1"/>
    <row r="21165" ht="26.25" customHeight="1"/>
    <row r="21166" ht="26.25" customHeight="1"/>
    <row r="21167" ht="26.25" customHeight="1"/>
    <row r="21168" ht="26.25" customHeight="1"/>
    <row r="21169" ht="26.25" customHeight="1"/>
    <row r="21170" ht="26.25" customHeight="1"/>
    <row r="21171" ht="26.25" customHeight="1"/>
    <row r="21172" ht="26.25" customHeight="1"/>
    <row r="21173" ht="26.25" customHeight="1"/>
    <row r="21174" ht="26.25" customHeight="1"/>
    <row r="21175" ht="26.25" customHeight="1"/>
    <row r="21176" ht="26.25" customHeight="1"/>
    <row r="21177" ht="26.25" customHeight="1"/>
    <row r="21178" ht="26.25" customHeight="1"/>
    <row r="21179" ht="26.25" customHeight="1"/>
    <row r="21180" ht="26.25" customHeight="1"/>
    <row r="21181" ht="26.25" customHeight="1"/>
    <row r="21182" ht="26.25" customHeight="1"/>
    <row r="21183" ht="26.25" customHeight="1"/>
    <row r="21184" ht="26.25" customHeight="1"/>
    <row r="21185" ht="26.25" customHeight="1"/>
    <row r="21186" ht="26.25" customHeight="1"/>
    <row r="21187" ht="26.25" customHeight="1"/>
    <row r="21188" ht="26.25" customHeight="1"/>
    <row r="21189" ht="26.25" customHeight="1"/>
    <row r="21190" ht="26.25" customHeight="1"/>
    <row r="21191" ht="26.25" customHeight="1"/>
    <row r="21192" ht="26.25" customHeight="1"/>
    <row r="21193" ht="26.25" customHeight="1"/>
    <row r="21194" ht="26.25" customHeight="1"/>
    <row r="21195" ht="26.25" customHeight="1"/>
    <row r="21196" ht="26.25" customHeight="1"/>
    <row r="21197" ht="26.25" customHeight="1"/>
    <row r="21198" ht="26.25" customHeight="1"/>
    <row r="21199" ht="26.25" customHeight="1"/>
    <row r="21200" ht="26.25" customHeight="1"/>
    <row r="21201" ht="26.25" customHeight="1"/>
    <row r="21202" ht="26.25" customHeight="1"/>
    <row r="21203" ht="26.25" customHeight="1"/>
    <row r="21204" ht="26.25" customHeight="1"/>
    <row r="21205" ht="26.25" customHeight="1"/>
    <row r="21206" ht="26.25" customHeight="1"/>
    <row r="21207" ht="26.25" customHeight="1"/>
    <row r="21208" ht="26.25" customHeight="1"/>
    <row r="21209" ht="26.25" customHeight="1"/>
    <row r="21210" ht="26.25" customHeight="1"/>
    <row r="21211" ht="26.25" customHeight="1"/>
    <row r="21212" ht="26.25" customHeight="1"/>
    <row r="21213" ht="26.25" customHeight="1"/>
    <row r="21214" ht="26.25" customHeight="1"/>
    <row r="21215" ht="26.25" customHeight="1"/>
    <row r="21216" ht="26.25" customHeight="1"/>
    <row r="21217" ht="26.25" customHeight="1"/>
    <row r="21218" ht="26.25" customHeight="1"/>
    <row r="21219" ht="26.25" customHeight="1"/>
    <row r="21220" ht="26.25" customHeight="1"/>
    <row r="21221" ht="26.25" customHeight="1"/>
    <row r="21222" ht="26.25" customHeight="1"/>
    <row r="21223" ht="26.25" customHeight="1"/>
    <row r="21224" ht="26.25" customHeight="1"/>
    <row r="21225" ht="26.25" customHeight="1"/>
    <row r="21226" ht="26.25" customHeight="1"/>
    <row r="21227" ht="26.25" customHeight="1"/>
    <row r="21228" ht="26.25" customHeight="1"/>
    <row r="21229" ht="26.25" customHeight="1"/>
    <row r="21230" ht="26.25" customHeight="1"/>
    <row r="21231" ht="26.25" customHeight="1"/>
    <row r="21232" ht="26.25" customHeight="1"/>
    <row r="21233" ht="26.25" customHeight="1"/>
    <row r="21234" ht="26.25" customHeight="1"/>
    <row r="21235" ht="26.25" customHeight="1"/>
    <row r="21236" ht="26.25" customHeight="1"/>
    <row r="21237" ht="26.25" customHeight="1"/>
    <row r="21238" ht="26.25" customHeight="1"/>
    <row r="21239" ht="26.25" customHeight="1"/>
    <row r="21240" ht="26.25" customHeight="1"/>
    <row r="21241" ht="26.25" customHeight="1"/>
    <row r="21242" ht="26.25" customHeight="1"/>
    <row r="21243" ht="26.25" customHeight="1"/>
    <row r="21244" ht="26.25" customHeight="1"/>
    <row r="21245" ht="26.25" customHeight="1"/>
    <row r="21246" ht="26.25" customHeight="1"/>
    <row r="21247" ht="26.25" customHeight="1"/>
    <row r="21248" ht="26.25" customHeight="1"/>
    <row r="21249" ht="26.25" customHeight="1"/>
    <row r="21250" ht="26.25" customHeight="1"/>
    <row r="21251" ht="26.25" customHeight="1"/>
    <row r="21252" ht="26.25" customHeight="1"/>
    <row r="21253" ht="26.25" customHeight="1"/>
    <row r="21254" ht="26.25" customHeight="1"/>
    <row r="21255" ht="26.25" customHeight="1"/>
    <row r="21256" ht="26.25" customHeight="1"/>
    <row r="21257" ht="26.25" customHeight="1"/>
    <row r="21258" ht="26.25" customHeight="1"/>
    <row r="21259" ht="26.25" customHeight="1"/>
    <row r="21260" ht="26.25" customHeight="1"/>
    <row r="21261" ht="26.25" customHeight="1"/>
    <row r="21262" ht="26.25" customHeight="1"/>
    <row r="21263" ht="26.25" customHeight="1"/>
    <row r="21264" ht="26.25" customHeight="1"/>
    <row r="21265" ht="26.25" customHeight="1"/>
    <row r="21266" ht="26.25" customHeight="1"/>
    <row r="21267" ht="26.25" customHeight="1"/>
    <row r="21268" ht="26.25" customHeight="1"/>
    <row r="21269" ht="26.25" customHeight="1"/>
    <row r="21270" ht="26.25" customHeight="1"/>
    <row r="21271" ht="26.25" customHeight="1"/>
    <row r="21272" ht="26.25" customHeight="1"/>
    <row r="21273" ht="26.25" customHeight="1"/>
    <row r="21274" ht="26.25" customHeight="1"/>
    <row r="21275" ht="26.25" customHeight="1"/>
    <row r="21276" ht="26.25" customHeight="1"/>
    <row r="21277" ht="26.25" customHeight="1"/>
    <row r="21278" ht="26.25" customHeight="1"/>
    <row r="21279" ht="26.25" customHeight="1"/>
    <row r="21280" ht="26.25" customHeight="1"/>
    <row r="21281" ht="26.25" customHeight="1"/>
    <row r="21282" ht="26.25" customHeight="1"/>
    <row r="21283" ht="26.25" customHeight="1"/>
    <row r="21284" ht="26.25" customHeight="1"/>
    <row r="21285" ht="26.25" customHeight="1"/>
    <row r="21286" ht="26.25" customHeight="1"/>
    <row r="21287" ht="26.25" customHeight="1"/>
    <row r="21288" ht="26.25" customHeight="1"/>
    <row r="21289" ht="26.25" customHeight="1"/>
    <row r="21290" ht="26.25" customHeight="1"/>
    <row r="21291" ht="26.25" customHeight="1"/>
    <row r="21292" ht="26.25" customHeight="1"/>
    <row r="21293" ht="26.25" customHeight="1"/>
    <row r="21294" ht="26.25" customHeight="1"/>
    <row r="21295" ht="26.25" customHeight="1"/>
    <row r="21296" ht="26.25" customHeight="1"/>
    <row r="21297" ht="26.25" customHeight="1"/>
    <row r="21298" ht="26.25" customHeight="1"/>
    <row r="21299" ht="26.25" customHeight="1"/>
    <row r="21300" ht="26.25" customHeight="1"/>
    <row r="21301" ht="26.25" customHeight="1"/>
    <row r="21302" ht="26.25" customHeight="1"/>
    <row r="21303" ht="26.25" customHeight="1"/>
    <row r="21304" ht="26.25" customHeight="1"/>
    <row r="21305" ht="26.25" customHeight="1"/>
    <row r="21306" ht="26.25" customHeight="1"/>
    <row r="21307" ht="26.25" customHeight="1"/>
    <row r="21308" ht="26.25" customHeight="1"/>
    <row r="21309" ht="26.25" customHeight="1"/>
    <row r="21310" ht="26.25" customHeight="1"/>
    <row r="21311" ht="26.25" customHeight="1"/>
    <row r="21312" ht="26.25" customHeight="1"/>
    <row r="21313" ht="26.25" customHeight="1"/>
    <row r="21314" ht="26.25" customHeight="1"/>
    <row r="21315" ht="26.25" customHeight="1"/>
    <row r="21316" ht="26.25" customHeight="1"/>
    <row r="21317" ht="26.25" customHeight="1"/>
    <row r="21318" ht="26.25" customHeight="1"/>
    <row r="21319" ht="26.25" customHeight="1"/>
    <row r="21320" ht="26.25" customHeight="1"/>
    <row r="21321" ht="26.25" customHeight="1"/>
    <row r="21322" ht="26.25" customHeight="1"/>
    <row r="21323" ht="26.25" customHeight="1"/>
    <row r="21324" ht="26.25" customHeight="1"/>
    <row r="21325" ht="26.25" customHeight="1"/>
    <row r="21326" ht="26.25" customHeight="1"/>
    <row r="21327" ht="26.25" customHeight="1"/>
    <row r="21328" ht="26.25" customHeight="1"/>
    <row r="21329" ht="26.25" customHeight="1"/>
    <row r="21330" ht="26.25" customHeight="1"/>
    <row r="21331" ht="26.25" customHeight="1"/>
    <row r="21332" ht="26.25" customHeight="1"/>
    <row r="21333" ht="26.25" customHeight="1"/>
    <row r="21334" ht="26.25" customHeight="1"/>
    <row r="21335" ht="26.25" customHeight="1"/>
    <row r="21336" ht="26.25" customHeight="1"/>
    <row r="21337" ht="26.25" customHeight="1"/>
    <row r="21338" ht="26.25" customHeight="1"/>
    <row r="21339" ht="26.25" customHeight="1"/>
    <row r="21340" ht="26.25" customHeight="1"/>
    <row r="21341" ht="26.25" customHeight="1"/>
    <row r="21342" ht="26.25" customHeight="1"/>
    <row r="21343" ht="26.25" customHeight="1"/>
    <row r="21344" ht="26.25" customHeight="1"/>
    <row r="21345" ht="26.25" customHeight="1"/>
    <row r="21346" ht="26.25" customHeight="1"/>
    <row r="21347" ht="26.25" customHeight="1"/>
    <row r="21348" ht="26.25" customHeight="1"/>
    <row r="21349" ht="26.25" customHeight="1"/>
    <row r="21350" ht="26.25" customHeight="1"/>
    <row r="21351" ht="26.25" customHeight="1"/>
    <row r="21352" ht="26.25" customHeight="1"/>
    <row r="21353" ht="26.25" customHeight="1"/>
    <row r="21354" ht="26.25" customHeight="1"/>
    <row r="21355" ht="26.25" customHeight="1"/>
    <row r="21356" ht="26.25" customHeight="1"/>
    <row r="21357" ht="26.25" customHeight="1"/>
    <row r="21358" ht="26.25" customHeight="1"/>
    <row r="21359" ht="26.25" customHeight="1"/>
    <row r="21360" ht="26.25" customHeight="1"/>
    <row r="21361" ht="26.25" customHeight="1"/>
    <row r="21362" ht="26.25" customHeight="1"/>
    <row r="21363" ht="26.25" customHeight="1"/>
    <row r="21364" ht="26.25" customHeight="1"/>
    <row r="21365" ht="26.25" customHeight="1"/>
    <row r="21366" ht="26.25" customHeight="1"/>
    <row r="21367" ht="26.25" customHeight="1"/>
    <row r="21368" ht="26.25" customHeight="1"/>
    <row r="21369" ht="26.25" customHeight="1"/>
    <row r="21370" ht="26.25" customHeight="1"/>
    <row r="21371" ht="26.25" customHeight="1"/>
    <row r="21372" ht="26.25" customHeight="1"/>
    <row r="21373" ht="26.25" customHeight="1"/>
    <row r="21374" ht="26.25" customHeight="1"/>
    <row r="21375" ht="26.25" customHeight="1"/>
    <row r="21376" ht="26.25" customHeight="1"/>
    <row r="21377" ht="26.25" customHeight="1"/>
    <row r="21378" ht="26.25" customHeight="1"/>
    <row r="21379" ht="26.25" customHeight="1"/>
    <row r="21380" ht="26.25" customHeight="1"/>
    <row r="21381" ht="26.25" customHeight="1"/>
    <row r="21382" ht="26.25" customHeight="1"/>
    <row r="21383" ht="26.25" customHeight="1"/>
    <row r="21384" ht="26.25" customHeight="1"/>
    <row r="21385" ht="26.25" customHeight="1"/>
    <row r="21386" ht="26.25" customHeight="1"/>
    <row r="21387" ht="26.25" customHeight="1"/>
    <row r="21388" ht="26.25" customHeight="1"/>
    <row r="21389" ht="26.25" customHeight="1"/>
    <row r="21390" ht="26.25" customHeight="1"/>
    <row r="21391" ht="26.25" customHeight="1"/>
    <row r="21392" ht="26.25" customHeight="1"/>
    <row r="21393" ht="26.25" customHeight="1"/>
    <row r="21394" ht="26.25" customHeight="1"/>
    <row r="21395" ht="26.25" customHeight="1"/>
    <row r="21396" ht="26.25" customHeight="1"/>
    <row r="21397" ht="26.25" customHeight="1"/>
    <row r="21398" ht="26.25" customHeight="1"/>
    <row r="21399" ht="26.25" customHeight="1"/>
    <row r="21400" ht="26.25" customHeight="1"/>
    <row r="21401" ht="26.25" customHeight="1"/>
    <row r="21402" ht="26.25" customHeight="1"/>
    <row r="21403" ht="26.25" customHeight="1"/>
    <row r="21404" ht="26.25" customHeight="1"/>
    <row r="21405" ht="26.25" customHeight="1"/>
    <row r="21406" ht="26.25" customHeight="1"/>
    <row r="21407" ht="26.25" customHeight="1"/>
    <row r="21408" ht="26.25" customHeight="1"/>
    <row r="21409" ht="26.25" customHeight="1"/>
    <row r="21410" ht="26.25" customHeight="1"/>
    <row r="21411" ht="26.25" customHeight="1"/>
    <row r="21412" ht="26.25" customHeight="1"/>
    <row r="21413" ht="26.25" customHeight="1"/>
    <row r="21414" ht="26.25" customHeight="1"/>
    <row r="21415" ht="26.25" customHeight="1"/>
    <row r="21416" ht="26.25" customHeight="1"/>
    <row r="21417" ht="26.25" customHeight="1"/>
    <row r="21418" ht="26.25" customHeight="1"/>
    <row r="21419" ht="26.25" customHeight="1"/>
    <row r="21420" ht="26.25" customHeight="1"/>
    <row r="21421" ht="26.25" customHeight="1"/>
    <row r="21422" ht="26.25" customHeight="1"/>
    <row r="21423" ht="26.25" customHeight="1"/>
    <row r="21424" ht="26.25" customHeight="1"/>
    <row r="21425" ht="26.25" customHeight="1"/>
    <row r="21426" ht="26.25" customHeight="1"/>
    <row r="21427" ht="26.25" customHeight="1"/>
    <row r="21428" ht="26.25" customHeight="1"/>
    <row r="21429" ht="26.25" customHeight="1"/>
    <row r="21430" ht="26.25" customHeight="1"/>
    <row r="21431" ht="26.25" customHeight="1"/>
    <row r="21432" ht="26.25" customHeight="1"/>
    <row r="21433" ht="26.25" customHeight="1"/>
    <row r="21434" ht="26.25" customHeight="1"/>
    <row r="21435" ht="26.25" customHeight="1"/>
    <row r="21436" ht="26.25" customHeight="1"/>
    <row r="21437" ht="26.25" customHeight="1"/>
    <row r="21438" ht="26.25" customHeight="1"/>
    <row r="21439" ht="26.25" customHeight="1"/>
    <row r="21440" ht="26.25" customHeight="1"/>
    <row r="21441" ht="26.25" customHeight="1"/>
    <row r="21442" ht="26.25" customHeight="1"/>
    <row r="21443" ht="26.25" customHeight="1"/>
    <row r="21444" ht="26.25" customHeight="1"/>
    <row r="21445" ht="26.25" customHeight="1"/>
    <row r="21446" ht="26.25" customHeight="1"/>
    <row r="21447" ht="26.25" customHeight="1"/>
    <row r="21448" ht="26.25" customHeight="1"/>
    <row r="21449" ht="26.25" customHeight="1"/>
    <row r="21450" ht="26.25" customHeight="1"/>
    <row r="21451" ht="26.25" customHeight="1"/>
    <row r="21452" ht="26.25" customHeight="1"/>
    <row r="21453" ht="26.25" customHeight="1"/>
    <row r="21454" ht="26.25" customHeight="1"/>
    <row r="21455" ht="26.25" customHeight="1"/>
    <row r="21456" ht="26.25" customHeight="1"/>
    <row r="21457" ht="26.25" customHeight="1"/>
    <row r="21458" ht="26.25" customHeight="1"/>
    <row r="21459" ht="26.25" customHeight="1"/>
    <row r="21460" ht="26.25" customHeight="1"/>
    <row r="21461" ht="26.25" customHeight="1"/>
    <row r="21462" ht="26.25" customHeight="1"/>
    <row r="21463" ht="26.25" customHeight="1"/>
    <row r="21464" ht="26.25" customHeight="1"/>
    <row r="21465" ht="26.25" customHeight="1"/>
    <row r="21466" ht="26.25" customHeight="1"/>
    <row r="21467" ht="26.25" customHeight="1"/>
    <row r="21468" ht="26.25" customHeight="1"/>
    <row r="21469" ht="26.25" customHeight="1"/>
    <row r="21470" ht="26.25" customHeight="1"/>
    <row r="21471" ht="26.25" customHeight="1"/>
    <row r="21472" ht="26.25" customHeight="1"/>
    <row r="21473" ht="26.25" customHeight="1"/>
    <row r="21474" ht="26.25" customHeight="1"/>
    <row r="21475" ht="26.25" customHeight="1"/>
    <row r="21476" ht="26.25" customHeight="1"/>
    <row r="21477" ht="26.25" customHeight="1"/>
    <row r="21478" ht="26.25" customHeight="1"/>
    <row r="21479" ht="26.25" customHeight="1"/>
    <row r="21480" ht="26.25" customHeight="1"/>
    <row r="21481" ht="26.25" customHeight="1"/>
    <row r="21482" ht="26.25" customHeight="1"/>
    <row r="21483" ht="26.25" customHeight="1"/>
    <row r="21484" ht="26.25" customHeight="1"/>
    <row r="21485" ht="26.25" customHeight="1"/>
    <row r="21486" ht="26.25" customHeight="1"/>
    <row r="21487" ht="26.25" customHeight="1"/>
    <row r="21488" ht="26.25" customHeight="1"/>
    <row r="21489" ht="26.25" customHeight="1"/>
    <row r="21490" ht="26.25" customHeight="1"/>
    <row r="21491" ht="26.25" customHeight="1"/>
    <row r="21492" ht="26.25" customHeight="1"/>
    <row r="21493" ht="26.25" customHeight="1"/>
    <row r="21494" ht="26.25" customHeight="1"/>
    <row r="21495" ht="26.25" customHeight="1"/>
    <row r="21496" ht="26.25" customHeight="1"/>
    <row r="21497" ht="26.25" customHeight="1"/>
    <row r="21498" ht="26.25" customHeight="1"/>
    <row r="21499" ht="26.25" customHeight="1"/>
    <row r="21500" ht="26.25" customHeight="1"/>
    <row r="21501" ht="26.25" customHeight="1"/>
    <row r="21502" ht="26.25" customHeight="1"/>
    <row r="21503" ht="26.25" customHeight="1"/>
    <row r="21504" ht="26.25" customHeight="1"/>
    <row r="21505" ht="26.25" customHeight="1"/>
    <row r="21506" ht="26.25" customHeight="1"/>
    <row r="21507" ht="26.25" customHeight="1"/>
    <row r="21508" ht="26.25" customHeight="1"/>
    <row r="21509" ht="26.25" customHeight="1"/>
    <row r="21510" ht="26.25" customHeight="1"/>
    <row r="21511" ht="26.25" customHeight="1"/>
    <row r="21512" ht="26.25" customHeight="1"/>
    <row r="21513" ht="26.25" customHeight="1"/>
    <row r="21514" ht="26.25" customHeight="1"/>
    <row r="21515" ht="26.25" customHeight="1"/>
    <row r="21516" ht="26.25" customHeight="1"/>
    <row r="21517" ht="26.25" customHeight="1"/>
    <row r="21518" ht="26.25" customHeight="1"/>
    <row r="21519" ht="26.25" customHeight="1"/>
    <row r="21520" ht="26.25" customHeight="1"/>
    <row r="21521" ht="26.25" customHeight="1"/>
    <row r="21522" ht="26.25" customHeight="1"/>
    <row r="21523" ht="26.25" customHeight="1"/>
    <row r="21524" ht="26.25" customHeight="1"/>
    <row r="21525" ht="26.25" customHeight="1"/>
    <row r="21526" ht="26.25" customHeight="1"/>
    <row r="21527" ht="26.25" customHeight="1"/>
    <row r="21528" ht="26.25" customHeight="1"/>
    <row r="21529" ht="26.25" customHeight="1"/>
    <row r="21530" ht="26.25" customHeight="1"/>
    <row r="21531" ht="26.25" customHeight="1"/>
    <row r="21532" ht="26.25" customHeight="1"/>
    <row r="21533" ht="26.25" customHeight="1"/>
    <row r="21534" ht="26.25" customHeight="1"/>
    <row r="21535" ht="26.25" customHeight="1"/>
    <row r="21536" ht="26.25" customHeight="1"/>
    <row r="21537" ht="26.25" customHeight="1"/>
    <row r="21538" ht="26.25" customHeight="1"/>
    <row r="21539" ht="26.25" customHeight="1"/>
    <row r="21540" ht="26.25" customHeight="1"/>
    <row r="21541" ht="26.25" customHeight="1"/>
    <row r="21542" ht="26.25" customHeight="1"/>
    <row r="21543" ht="26.25" customHeight="1"/>
    <row r="21544" ht="26.25" customHeight="1"/>
    <row r="21545" ht="26.25" customHeight="1"/>
    <row r="21546" ht="26.25" customHeight="1"/>
    <row r="21547" ht="26.25" customHeight="1"/>
    <row r="21548" ht="26.25" customHeight="1"/>
    <row r="21549" ht="26.25" customHeight="1"/>
    <row r="21550" ht="26.25" customHeight="1"/>
    <row r="21551" ht="26.25" customHeight="1"/>
    <row r="21552" ht="26.25" customHeight="1"/>
    <row r="21553" ht="26.25" customHeight="1"/>
    <row r="21554" ht="26.25" customHeight="1"/>
    <row r="21555" ht="26.25" customHeight="1"/>
    <row r="21556" ht="26.25" customHeight="1"/>
    <row r="21557" ht="26.25" customHeight="1"/>
    <row r="21558" ht="26.25" customHeight="1"/>
    <row r="21559" ht="26.25" customHeight="1"/>
    <row r="21560" ht="26.25" customHeight="1"/>
    <row r="21561" ht="26.25" customHeight="1"/>
    <row r="21562" ht="26.25" customHeight="1"/>
    <row r="21563" ht="26.25" customHeight="1"/>
    <row r="21564" ht="26.25" customHeight="1"/>
    <row r="21565" ht="26.25" customHeight="1"/>
    <row r="21566" ht="26.25" customHeight="1"/>
    <row r="21567" ht="26.25" customHeight="1"/>
    <row r="21568" ht="26.25" customHeight="1"/>
    <row r="21569" ht="26.25" customHeight="1"/>
    <row r="21570" ht="26.25" customHeight="1"/>
    <row r="21571" ht="26.25" customHeight="1"/>
    <row r="21572" ht="26.25" customHeight="1"/>
    <row r="21573" ht="26.25" customHeight="1"/>
    <row r="21574" ht="26.25" customHeight="1"/>
    <row r="21575" ht="26.25" customHeight="1"/>
    <row r="21576" ht="26.25" customHeight="1"/>
    <row r="21577" ht="26.25" customHeight="1"/>
    <row r="21578" ht="26.25" customHeight="1"/>
    <row r="21579" ht="26.25" customHeight="1"/>
    <row r="21580" ht="26.25" customHeight="1"/>
    <row r="21581" ht="26.25" customHeight="1"/>
    <row r="21582" ht="26.25" customHeight="1"/>
    <row r="21583" ht="26.25" customHeight="1"/>
    <row r="21584" ht="26.25" customHeight="1"/>
    <row r="21585" ht="26.25" customHeight="1"/>
    <row r="21586" ht="26.25" customHeight="1"/>
    <row r="21587" ht="26.25" customHeight="1"/>
    <row r="21588" ht="26.25" customHeight="1"/>
    <row r="21589" ht="26.25" customHeight="1"/>
    <row r="21590" ht="26.25" customHeight="1"/>
    <row r="21591" ht="26.25" customHeight="1"/>
    <row r="21592" ht="26.25" customHeight="1"/>
    <row r="21593" ht="26.25" customHeight="1"/>
    <row r="21594" ht="26.25" customHeight="1"/>
    <row r="21595" ht="26.25" customHeight="1"/>
    <row r="21596" ht="26.25" customHeight="1"/>
    <row r="21597" ht="26.25" customHeight="1"/>
    <row r="21598" ht="26.25" customHeight="1"/>
    <row r="21599" ht="26.25" customHeight="1"/>
    <row r="21600" ht="26.25" customHeight="1"/>
    <row r="21601" ht="26.25" customHeight="1"/>
    <row r="21602" ht="26.25" customHeight="1"/>
    <row r="21603" ht="26.25" customHeight="1"/>
    <row r="21604" ht="26.25" customHeight="1"/>
    <row r="21605" ht="26.25" customHeight="1"/>
    <row r="21606" ht="26.25" customHeight="1"/>
    <row r="21607" ht="26.25" customHeight="1"/>
    <row r="21608" ht="26.25" customHeight="1"/>
    <row r="21609" ht="26.25" customHeight="1"/>
    <row r="21610" ht="26.25" customHeight="1"/>
    <row r="21611" ht="26.25" customHeight="1"/>
    <row r="21612" ht="26.25" customHeight="1"/>
    <row r="21613" ht="26.25" customHeight="1"/>
    <row r="21614" ht="26.25" customHeight="1"/>
    <row r="21615" ht="26.25" customHeight="1"/>
    <row r="21616" ht="26.25" customHeight="1"/>
    <row r="21617" ht="26.25" customHeight="1"/>
    <row r="21618" ht="26.25" customHeight="1"/>
    <row r="21619" ht="26.25" customHeight="1"/>
    <row r="21620" ht="26.25" customHeight="1"/>
    <row r="21621" ht="26.25" customHeight="1"/>
    <row r="21622" ht="26.25" customHeight="1"/>
    <row r="21623" ht="26.25" customHeight="1"/>
    <row r="21624" ht="26.25" customHeight="1"/>
    <row r="21625" ht="26.25" customHeight="1"/>
    <row r="21626" ht="26.25" customHeight="1"/>
    <row r="21627" ht="26.25" customHeight="1"/>
    <row r="21628" ht="26.25" customHeight="1"/>
    <row r="21629" ht="26.25" customHeight="1"/>
    <row r="21630" ht="26.25" customHeight="1"/>
    <row r="21631" ht="26.25" customHeight="1"/>
    <row r="21632" ht="26.25" customHeight="1"/>
    <row r="21633" ht="26.25" customHeight="1"/>
    <row r="21634" ht="26.25" customHeight="1"/>
    <row r="21635" ht="26.25" customHeight="1"/>
    <row r="21636" ht="26.25" customHeight="1"/>
    <row r="21637" ht="26.25" customHeight="1"/>
    <row r="21638" ht="26.25" customHeight="1"/>
    <row r="21639" ht="26.25" customHeight="1"/>
    <row r="21640" ht="26.25" customHeight="1"/>
    <row r="21641" ht="26.25" customHeight="1"/>
    <row r="21642" ht="26.25" customHeight="1"/>
    <row r="21643" ht="26.25" customHeight="1"/>
    <row r="21644" ht="26.25" customHeight="1"/>
    <row r="21645" ht="26.25" customHeight="1"/>
    <row r="21646" ht="26.25" customHeight="1"/>
    <row r="21647" ht="26.25" customHeight="1"/>
    <row r="21648" ht="26.25" customHeight="1"/>
    <row r="21649" ht="26.25" customHeight="1"/>
    <row r="21650" ht="26.25" customHeight="1"/>
    <row r="21651" ht="26.25" customHeight="1"/>
    <row r="21652" ht="26.25" customHeight="1"/>
    <row r="21653" ht="26.25" customHeight="1"/>
    <row r="21654" ht="26.25" customHeight="1"/>
    <row r="21655" ht="26.25" customHeight="1"/>
    <row r="21656" ht="26.25" customHeight="1"/>
    <row r="21657" ht="26.25" customHeight="1"/>
    <row r="21658" ht="26.25" customHeight="1"/>
    <row r="21659" ht="26.25" customHeight="1"/>
    <row r="21660" ht="26.25" customHeight="1"/>
    <row r="21661" ht="26.25" customHeight="1"/>
    <row r="21662" ht="26.25" customHeight="1"/>
    <row r="21663" ht="26.25" customHeight="1"/>
    <row r="21664" ht="26.25" customHeight="1"/>
    <row r="21665" ht="26.25" customHeight="1"/>
    <row r="21666" ht="26.25" customHeight="1"/>
    <row r="21667" ht="26.25" customHeight="1"/>
    <row r="21668" ht="26.25" customHeight="1"/>
    <row r="21669" ht="26.25" customHeight="1"/>
    <row r="21670" ht="26.25" customHeight="1"/>
    <row r="21671" ht="26.25" customHeight="1"/>
    <row r="21672" ht="26.25" customHeight="1"/>
    <row r="21673" ht="26.25" customHeight="1"/>
    <row r="21674" ht="26.25" customHeight="1"/>
    <row r="21675" ht="26.25" customHeight="1"/>
    <row r="21676" ht="26.25" customHeight="1"/>
    <row r="21677" ht="26.25" customHeight="1"/>
    <row r="21678" ht="26.25" customHeight="1"/>
    <row r="21679" ht="26.25" customHeight="1"/>
    <row r="21680" ht="26.25" customHeight="1"/>
    <row r="21681" ht="26.25" customHeight="1"/>
    <row r="21682" ht="26.25" customHeight="1"/>
    <row r="21683" ht="26.25" customHeight="1"/>
    <row r="21684" ht="26.25" customHeight="1"/>
    <row r="21685" ht="26.25" customHeight="1"/>
    <row r="21686" ht="26.25" customHeight="1"/>
    <row r="21687" ht="26.25" customHeight="1"/>
    <row r="21688" ht="26.25" customHeight="1"/>
    <row r="21689" ht="26.25" customHeight="1"/>
    <row r="21690" ht="26.25" customHeight="1"/>
    <row r="21691" ht="26.25" customHeight="1"/>
    <row r="21692" ht="26.25" customHeight="1"/>
    <row r="21693" ht="26.25" customHeight="1"/>
    <row r="21694" ht="26.25" customHeight="1"/>
    <row r="21695" ht="26.25" customHeight="1"/>
    <row r="21696" ht="26.25" customHeight="1"/>
    <row r="21697" ht="26.25" customHeight="1"/>
    <row r="21698" ht="26.25" customHeight="1"/>
    <row r="21699" ht="26.25" customHeight="1"/>
    <row r="21700" ht="26.25" customHeight="1"/>
    <row r="21701" ht="26.25" customHeight="1"/>
    <row r="21702" ht="26.25" customHeight="1"/>
    <row r="21703" ht="26.25" customHeight="1"/>
    <row r="21704" ht="26.25" customHeight="1"/>
    <row r="21705" ht="26.25" customHeight="1"/>
    <row r="21706" ht="26.25" customHeight="1"/>
    <row r="21707" ht="26.25" customHeight="1"/>
    <row r="21708" ht="26.25" customHeight="1"/>
    <row r="21709" ht="26.25" customHeight="1"/>
    <row r="21710" ht="26.25" customHeight="1"/>
    <row r="21711" ht="26.25" customHeight="1"/>
    <row r="21712" ht="26.25" customHeight="1"/>
    <row r="21713" ht="26.25" customHeight="1"/>
    <row r="21714" ht="26.25" customHeight="1"/>
    <row r="21715" ht="26.25" customHeight="1"/>
    <row r="21716" ht="26.25" customHeight="1"/>
    <row r="21717" ht="26.25" customHeight="1"/>
    <row r="21718" ht="26.25" customHeight="1"/>
    <row r="21719" ht="26.25" customHeight="1"/>
    <row r="21720" ht="26.25" customHeight="1"/>
    <row r="21721" ht="26.25" customHeight="1"/>
    <row r="21722" ht="26.25" customHeight="1"/>
    <row r="21723" ht="26.25" customHeight="1"/>
    <row r="21724" ht="26.25" customHeight="1"/>
    <row r="21725" ht="26.25" customHeight="1"/>
    <row r="21726" ht="26.25" customHeight="1"/>
    <row r="21727" ht="26.25" customHeight="1"/>
    <row r="21728" ht="26.25" customHeight="1"/>
    <row r="21729" ht="26.25" customHeight="1"/>
    <row r="21730" ht="26.25" customHeight="1"/>
    <row r="21731" ht="26.25" customHeight="1"/>
    <row r="21732" ht="26.25" customHeight="1"/>
    <row r="21733" ht="26.25" customHeight="1"/>
    <row r="21734" ht="26.25" customHeight="1"/>
    <row r="21735" ht="26.25" customHeight="1"/>
    <row r="21736" ht="26.25" customHeight="1"/>
    <row r="21737" ht="26.25" customHeight="1"/>
    <row r="21738" ht="26.25" customHeight="1"/>
    <row r="21739" ht="26.25" customHeight="1"/>
    <row r="21740" ht="26.25" customHeight="1"/>
    <row r="21741" ht="26.25" customHeight="1"/>
    <row r="21742" ht="26.25" customHeight="1"/>
    <row r="21743" ht="26.25" customHeight="1"/>
    <row r="21744" ht="26.25" customHeight="1"/>
    <row r="21745" ht="26.25" customHeight="1"/>
    <row r="21746" ht="26.25" customHeight="1"/>
    <row r="21747" ht="26.25" customHeight="1"/>
    <row r="21748" ht="26.25" customHeight="1"/>
    <row r="21749" ht="26.25" customHeight="1"/>
    <row r="21750" ht="26.25" customHeight="1"/>
    <row r="21751" ht="26.25" customHeight="1"/>
    <row r="21752" ht="26.25" customHeight="1"/>
    <row r="21753" ht="26.25" customHeight="1"/>
    <row r="21754" ht="26.25" customHeight="1"/>
    <row r="21755" ht="26.25" customHeight="1"/>
    <row r="21756" ht="26.25" customHeight="1"/>
    <row r="21757" ht="26.25" customHeight="1"/>
    <row r="21758" ht="26.25" customHeight="1"/>
    <row r="21759" ht="26.25" customHeight="1"/>
    <row r="21760" ht="26.25" customHeight="1"/>
    <row r="21761" ht="26.25" customHeight="1"/>
    <row r="21762" ht="26.25" customHeight="1"/>
    <row r="21763" ht="26.25" customHeight="1"/>
    <row r="21764" ht="26.25" customHeight="1"/>
    <row r="21765" ht="26.25" customHeight="1"/>
    <row r="21766" ht="26.25" customHeight="1"/>
    <row r="21767" ht="26.25" customHeight="1"/>
    <row r="21768" ht="26.25" customHeight="1"/>
    <row r="21769" ht="26.25" customHeight="1"/>
    <row r="21770" ht="26.25" customHeight="1"/>
    <row r="21771" ht="26.25" customHeight="1"/>
    <row r="21772" ht="26.25" customHeight="1"/>
    <row r="21773" ht="26.25" customHeight="1"/>
    <row r="21774" ht="26.25" customHeight="1"/>
    <row r="21775" ht="26.25" customHeight="1"/>
    <row r="21776" ht="26.25" customHeight="1"/>
    <row r="21777" ht="26.25" customHeight="1"/>
    <row r="21778" ht="26.25" customHeight="1"/>
    <row r="21779" ht="26.25" customHeight="1"/>
    <row r="21780" ht="26.25" customHeight="1"/>
    <row r="21781" ht="26.25" customHeight="1"/>
    <row r="21782" ht="26.25" customHeight="1"/>
    <row r="21783" ht="26.25" customHeight="1"/>
    <row r="21784" ht="26.25" customHeight="1"/>
    <row r="21785" ht="26.25" customHeight="1"/>
    <row r="21786" ht="26.25" customHeight="1"/>
    <row r="21787" ht="26.25" customHeight="1"/>
    <row r="21788" ht="26.25" customHeight="1"/>
    <row r="21789" ht="26.25" customHeight="1"/>
    <row r="21790" ht="26.25" customHeight="1"/>
    <row r="21791" ht="26.25" customHeight="1"/>
    <row r="21792" ht="26.25" customHeight="1"/>
    <row r="21793" ht="26.25" customHeight="1"/>
    <row r="21794" ht="26.25" customHeight="1"/>
    <row r="21795" ht="26.25" customHeight="1"/>
    <row r="21796" ht="26.25" customHeight="1"/>
    <row r="21797" ht="26.25" customHeight="1"/>
    <row r="21798" ht="26.25" customHeight="1"/>
    <row r="21799" ht="26.25" customHeight="1"/>
    <row r="21800" ht="26.25" customHeight="1"/>
    <row r="21801" ht="26.25" customHeight="1"/>
    <row r="21802" ht="26.25" customHeight="1"/>
    <row r="21803" ht="26.25" customHeight="1"/>
    <row r="21804" ht="26.25" customHeight="1"/>
    <row r="21805" ht="26.25" customHeight="1"/>
    <row r="21806" ht="26.25" customHeight="1"/>
    <row r="21807" ht="26.25" customHeight="1"/>
    <row r="21808" ht="26.25" customHeight="1"/>
    <row r="21809" ht="26.25" customHeight="1"/>
    <row r="21810" ht="26.25" customHeight="1"/>
    <row r="21811" ht="26.25" customHeight="1"/>
    <row r="21812" ht="26.25" customHeight="1"/>
    <row r="21813" ht="26.25" customHeight="1"/>
    <row r="21814" ht="26.25" customHeight="1"/>
    <row r="21815" ht="26.25" customHeight="1"/>
    <row r="21816" ht="26.25" customHeight="1"/>
    <row r="21817" ht="26.25" customHeight="1"/>
    <row r="21818" ht="26.25" customHeight="1"/>
    <row r="21819" ht="26.25" customHeight="1"/>
    <row r="21820" ht="26.25" customHeight="1"/>
    <row r="21821" ht="26.25" customHeight="1"/>
    <row r="21822" ht="26.25" customHeight="1"/>
    <row r="21823" ht="26.25" customHeight="1"/>
    <row r="21824" ht="26.25" customHeight="1"/>
    <row r="21825" ht="26.25" customHeight="1"/>
    <row r="21826" ht="26.25" customHeight="1"/>
    <row r="21827" ht="26.25" customHeight="1"/>
    <row r="21828" ht="26.25" customHeight="1"/>
    <row r="21829" ht="26.25" customHeight="1"/>
    <row r="21830" ht="26.25" customHeight="1"/>
    <row r="21831" ht="26.25" customHeight="1"/>
    <row r="21832" ht="26.25" customHeight="1"/>
    <row r="21833" ht="26.25" customHeight="1"/>
    <row r="21834" ht="26.25" customHeight="1"/>
    <row r="21835" ht="26.25" customHeight="1"/>
    <row r="21836" ht="26.25" customHeight="1"/>
    <row r="21837" ht="26.25" customHeight="1"/>
    <row r="21838" ht="26.25" customHeight="1"/>
    <row r="21839" ht="26.25" customHeight="1"/>
    <row r="21840" ht="26.25" customHeight="1"/>
    <row r="21841" ht="26.25" customHeight="1"/>
    <row r="21842" ht="26.25" customHeight="1"/>
    <row r="21843" ht="26.25" customHeight="1"/>
    <row r="21844" ht="26.25" customHeight="1"/>
    <row r="21845" ht="26.25" customHeight="1"/>
    <row r="21846" ht="26.25" customHeight="1"/>
    <row r="21847" ht="26.25" customHeight="1"/>
    <row r="21848" ht="26.25" customHeight="1"/>
    <row r="21849" ht="26.25" customHeight="1"/>
    <row r="21850" ht="26.25" customHeight="1"/>
    <row r="21851" ht="26.25" customHeight="1"/>
    <row r="21852" ht="26.25" customHeight="1"/>
    <row r="21853" ht="26.25" customHeight="1"/>
    <row r="21854" ht="26.25" customHeight="1"/>
    <row r="21855" ht="26.25" customHeight="1"/>
    <row r="21856" ht="26.25" customHeight="1"/>
    <row r="21857" ht="26.25" customHeight="1"/>
    <row r="21858" ht="26.25" customHeight="1"/>
    <row r="21859" ht="26.25" customHeight="1"/>
    <row r="21860" ht="26.25" customHeight="1"/>
    <row r="21861" ht="26.25" customHeight="1"/>
    <row r="21862" ht="26.25" customHeight="1"/>
    <row r="21863" ht="26.25" customHeight="1"/>
    <row r="21864" ht="26.25" customHeight="1"/>
    <row r="21865" ht="26.25" customHeight="1"/>
    <row r="21866" ht="26.25" customHeight="1"/>
    <row r="21867" ht="26.25" customHeight="1"/>
    <row r="21868" ht="26.25" customHeight="1"/>
    <row r="21869" ht="26.25" customHeight="1"/>
    <row r="21870" ht="26.25" customHeight="1"/>
    <row r="21871" ht="26.25" customHeight="1"/>
    <row r="21872" ht="26.25" customHeight="1"/>
    <row r="21873" ht="26.25" customHeight="1"/>
    <row r="21874" ht="26.25" customHeight="1"/>
    <row r="21875" ht="26.25" customHeight="1"/>
    <row r="21876" ht="26.25" customHeight="1"/>
    <row r="21877" ht="26.25" customHeight="1"/>
    <row r="21878" ht="26.25" customHeight="1"/>
    <row r="21879" ht="26.25" customHeight="1"/>
    <row r="21880" ht="26.25" customHeight="1"/>
    <row r="21881" ht="26.25" customHeight="1"/>
    <row r="21882" ht="26.25" customHeight="1"/>
    <row r="21883" ht="26.25" customHeight="1"/>
    <row r="21884" ht="26.25" customHeight="1"/>
    <row r="21885" ht="26.25" customHeight="1"/>
    <row r="21886" ht="26.25" customHeight="1"/>
    <row r="21887" ht="26.25" customHeight="1"/>
    <row r="21888" ht="26.25" customHeight="1"/>
    <row r="21889" ht="26.25" customHeight="1"/>
    <row r="21890" ht="26.25" customHeight="1"/>
    <row r="21891" ht="26.25" customHeight="1"/>
    <row r="21892" ht="26.25" customHeight="1"/>
    <row r="21893" ht="26.25" customHeight="1"/>
    <row r="21894" ht="26.25" customHeight="1"/>
    <row r="21895" ht="26.25" customHeight="1"/>
    <row r="21896" ht="26.25" customHeight="1"/>
    <row r="21897" ht="26.25" customHeight="1"/>
    <row r="21898" ht="26.25" customHeight="1"/>
    <row r="21899" ht="26.25" customHeight="1"/>
    <row r="21900" ht="26.25" customHeight="1"/>
    <row r="21901" ht="26.25" customHeight="1"/>
    <row r="21902" ht="26.25" customHeight="1"/>
    <row r="21903" ht="26.25" customHeight="1"/>
    <row r="21904" ht="26.25" customHeight="1"/>
    <row r="21905" ht="26.25" customHeight="1"/>
    <row r="21906" ht="26.25" customHeight="1"/>
    <row r="21907" ht="26.25" customHeight="1"/>
    <row r="21908" ht="26.25" customHeight="1"/>
    <row r="21909" ht="26.25" customHeight="1"/>
    <row r="21910" ht="26.25" customHeight="1"/>
    <row r="21911" ht="26.25" customHeight="1"/>
    <row r="21912" ht="26.25" customHeight="1"/>
    <row r="21913" ht="26.25" customHeight="1"/>
    <row r="21914" ht="26.25" customHeight="1"/>
    <row r="21915" ht="26.25" customHeight="1"/>
    <row r="21916" ht="26.25" customHeight="1"/>
    <row r="21917" ht="26.25" customHeight="1"/>
    <row r="21918" ht="26.25" customHeight="1"/>
    <row r="21919" ht="26.25" customHeight="1"/>
    <row r="21920" ht="26.25" customHeight="1"/>
    <row r="21921" ht="26.25" customHeight="1"/>
    <row r="21922" ht="26.25" customHeight="1"/>
    <row r="21923" ht="26.25" customHeight="1"/>
    <row r="21924" ht="26.25" customHeight="1"/>
    <row r="21925" ht="26.25" customHeight="1"/>
    <row r="21926" ht="26.25" customHeight="1"/>
    <row r="21927" ht="26.25" customHeight="1"/>
    <row r="21928" ht="26.25" customHeight="1"/>
    <row r="21929" ht="26.25" customHeight="1"/>
    <row r="21930" ht="26.25" customHeight="1"/>
    <row r="21931" ht="26.25" customHeight="1"/>
    <row r="21932" ht="26.25" customHeight="1"/>
    <row r="21933" ht="26.25" customHeight="1"/>
    <row r="21934" ht="26.25" customHeight="1"/>
    <row r="21935" ht="26.25" customHeight="1"/>
    <row r="21936" ht="26.25" customHeight="1"/>
    <row r="21937" ht="26.25" customHeight="1"/>
    <row r="21938" ht="26.25" customHeight="1"/>
    <row r="21939" ht="26.25" customHeight="1"/>
    <row r="21940" ht="26.25" customHeight="1"/>
    <row r="21941" ht="26.25" customHeight="1"/>
    <row r="21942" ht="26.25" customHeight="1"/>
    <row r="21943" ht="26.25" customHeight="1"/>
    <row r="21944" ht="26.25" customHeight="1"/>
    <row r="21945" ht="26.25" customHeight="1"/>
    <row r="21946" ht="26.25" customHeight="1"/>
    <row r="21947" ht="26.25" customHeight="1"/>
    <row r="21948" ht="26.25" customHeight="1"/>
    <row r="21949" ht="26.25" customHeight="1"/>
    <row r="21950" ht="26.25" customHeight="1"/>
    <row r="21951" ht="26.25" customHeight="1"/>
    <row r="21952" ht="26.25" customHeight="1"/>
    <row r="21953" ht="26.25" customHeight="1"/>
    <row r="21954" ht="26.25" customHeight="1"/>
    <row r="21955" ht="26.25" customHeight="1"/>
    <row r="21956" ht="26.25" customHeight="1"/>
    <row r="21957" ht="26.25" customHeight="1"/>
    <row r="21958" ht="26.25" customHeight="1"/>
    <row r="21959" ht="26.25" customHeight="1"/>
    <row r="21960" ht="26.25" customHeight="1"/>
    <row r="21961" ht="26.25" customHeight="1"/>
    <row r="21962" ht="26.25" customHeight="1"/>
    <row r="21963" ht="26.25" customHeight="1"/>
    <row r="21964" ht="26.25" customHeight="1"/>
    <row r="21965" ht="26.25" customHeight="1"/>
    <row r="21966" ht="26.25" customHeight="1"/>
    <row r="21967" ht="26.25" customHeight="1"/>
    <row r="21968" ht="26.25" customHeight="1"/>
    <row r="21969" ht="26.25" customHeight="1"/>
    <row r="21970" ht="26.25" customHeight="1"/>
    <row r="21971" ht="26.25" customHeight="1"/>
    <row r="21972" ht="26.25" customHeight="1"/>
    <row r="21973" ht="26.25" customHeight="1"/>
    <row r="21974" ht="26.25" customHeight="1"/>
    <row r="21975" ht="26.25" customHeight="1"/>
    <row r="21976" ht="26.25" customHeight="1"/>
    <row r="21977" ht="26.25" customHeight="1"/>
    <row r="21978" ht="26.25" customHeight="1"/>
    <row r="21979" ht="26.25" customHeight="1"/>
    <row r="21980" ht="26.25" customHeight="1"/>
    <row r="21981" ht="26.25" customHeight="1"/>
    <row r="21982" ht="26.25" customHeight="1"/>
    <row r="21983" ht="26.25" customHeight="1"/>
    <row r="21984" ht="26.25" customHeight="1"/>
    <row r="21985" ht="26.25" customHeight="1"/>
    <row r="21986" ht="26.25" customHeight="1"/>
    <row r="21987" ht="26.25" customHeight="1"/>
    <row r="21988" ht="26.25" customHeight="1"/>
    <row r="21989" ht="26.25" customHeight="1"/>
    <row r="21990" ht="26.25" customHeight="1"/>
    <row r="21991" ht="26.25" customHeight="1"/>
    <row r="21992" ht="26.25" customHeight="1"/>
    <row r="21993" ht="26.25" customHeight="1"/>
    <row r="21994" ht="26.25" customHeight="1"/>
    <row r="21995" ht="26.25" customHeight="1"/>
    <row r="21996" ht="26.25" customHeight="1"/>
    <row r="21997" ht="26.25" customHeight="1"/>
    <row r="21998" ht="26.25" customHeight="1"/>
    <row r="21999" ht="26.25" customHeight="1"/>
    <row r="22000" ht="26.25" customHeight="1"/>
    <row r="22001" ht="26.25" customHeight="1"/>
    <row r="22002" ht="26.25" customHeight="1"/>
    <row r="22003" ht="26.25" customHeight="1"/>
    <row r="22004" ht="26.25" customHeight="1"/>
    <row r="22005" ht="26.25" customHeight="1"/>
    <row r="22006" ht="26.25" customHeight="1"/>
    <row r="22007" ht="26.25" customHeight="1"/>
    <row r="22008" ht="26.25" customHeight="1"/>
    <row r="22009" ht="26.25" customHeight="1"/>
    <row r="22010" ht="26.25" customHeight="1"/>
    <row r="22011" ht="26.25" customHeight="1"/>
    <row r="22012" ht="26.25" customHeight="1"/>
    <row r="22013" ht="26.25" customHeight="1"/>
    <row r="22014" ht="26.25" customHeight="1"/>
    <row r="22015" ht="26.25" customHeight="1"/>
    <row r="22016" ht="26.25" customHeight="1"/>
    <row r="22017" ht="26.25" customHeight="1"/>
    <row r="22018" ht="26.25" customHeight="1"/>
    <row r="22019" ht="26.25" customHeight="1"/>
    <row r="22020" ht="26.25" customHeight="1"/>
    <row r="22021" ht="26.25" customHeight="1"/>
    <row r="22022" ht="26.25" customHeight="1"/>
    <row r="22023" ht="26.25" customHeight="1"/>
    <row r="22024" ht="26.25" customHeight="1"/>
    <row r="22025" ht="26.25" customHeight="1"/>
    <row r="22026" ht="26.25" customHeight="1"/>
    <row r="22027" ht="26.25" customHeight="1"/>
    <row r="22028" ht="26.25" customHeight="1"/>
    <row r="22029" ht="26.25" customHeight="1"/>
    <row r="22030" ht="26.25" customHeight="1"/>
    <row r="22031" ht="26.25" customHeight="1"/>
    <row r="22032" ht="26.25" customHeight="1"/>
    <row r="22033" ht="26.25" customHeight="1"/>
    <row r="22034" ht="26.25" customHeight="1"/>
    <row r="22035" ht="26.25" customHeight="1"/>
    <row r="22036" ht="26.25" customHeight="1"/>
    <row r="22037" ht="26.25" customHeight="1"/>
    <row r="22038" ht="26.25" customHeight="1"/>
    <row r="22039" ht="26.25" customHeight="1"/>
    <row r="22040" ht="26.25" customHeight="1"/>
    <row r="22041" ht="26.25" customHeight="1"/>
    <row r="22042" ht="26.25" customHeight="1"/>
    <row r="22043" ht="26.25" customHeight="1"/>
    <row r="22044" ht="26.25" customHeight="1"/>
    <row r="22045" ht="26.25" customHeight="1"/>
    <row r="22046" ht="26.25" customHeight="1"/>
    <row r="22047" ht="26.25" customHeight="1"/>
    <row r="22048" ht="26.25" customHeight="1"/>
    <row r="22049" ht="26.25" customHeight="1"/>
    <row r="22050" ht="26.25" customHeight="1"/>
    <row r="22051" ht="26.25" customHeight="1"/>
    <row r="22052" ht="26.25" customHeight="1"/>
    <row r="22053" ht="26.25" customHeight="1"/>
    <row r="22054" ht="26.25" customHeight="1"/>
    <row r="22055" ht="26.25" customHeight="1"/>
    <row r="22056" ht="26.25" customHeight="1"/>
    <row r="22057" ht="26.25" customHeight="1"/>
    <row r="22058" ht="26.25" customHeight="1"/>
    <row r="22059" ht="26.25" customHeight="1"/>
    <row r="22060" ht="26.25" customHeight="1"/>
    <row r="22061" ht="26.25" customHeight="1"/>
    <row r="22062" ht="26.25" customHeight="1"/>
    <row r="22063" ht="26.25" customHeight="1"/>
    <row r="22064" ht="26.25" customHeight="1"/>
    <row r="22065" ht="26.25" customHeight="1"/>
    <row r="22066" ht="26.25" customHeight="1"/>
    <row r="22067" ht="26.25" customHeight="1"/>
    <row r="22068" ht="26.25" customHeight="1"/>
    <row r="22069" ht="26.25" customHeight="1"/>
    <row r="22070" ht="26.25" customHeight="1"/>
    <row r="22071" ht="26.25" customHeight="1"/>
    <row r="22072" ht="26.25" customHeight="1"/>
    <row r="22073" ht="26.25" customHeight="1"/>
    <row r="22074" ht="26.25" customHeight="1"/>
    <row r="22075" ht="26.25" customHeight="1"/>
    <row r="22076" ht="26.25" customHeight="1"/>
    <row r="22077" ht="26.25" customHeight="1"/>
    <row r="22078" ht="26.25" customHeight="1"/>
    <row r="22079" ht="26.25" customHeight="1"/>
    <row r="22080" ht="26.25" customHeight="1"/>
    <row r="22081" ht="26.25" customHeight="1"/>
    <row r="22082" ht="26.25" customHeight="1"/>
    <row r="22083" ht="26.25" customHeight="1"/>
    <row r="22084" ht="26.25" customHeight="1"/>
    <row r="22085" ht="26.25" customHeight="1"/>
    <row r="22086" ht="26.25" customHeight="1"/>
    <row r="22087" ht="26.25" customHeight="1"/>
    <row r="22088" ht="26.25" customHeight="1"/>
    <row r="22089" ht="26.25" customHeight="1"/>
    <row r="22090" ht="26.25" customHeight="1"/>
    <row r="22091" ht="26.25" customHeight="1"/>
    <row r="22092" ht="26.25" customHeight="1"/>
    <row r="22093" ht="26.25" customHeight="1"/>
    <row r="22094" ht="26.25" customHeight="1"/>
    <row r="22095" ht="26.25" customHeight="1"/>
    <row r="22096" ht="26.25" customHeight="1"/>
    <row r="22097" ht="26.25" customHeight="1"/>
    <row r="22098" ht="26.25" customHeight="1"/>
    <row r="22099" ht="26.25" customHeight="1"/>
    <row r="22100" ht="26.25" customHeight="1"/>
    <row r="22101" ht="26.25" customHeight="1"/>
    <row r="22102" ht="26.25" customHeight="1"/>
    <row r="22103" ht="26.25" customHeight="1"/>
    <row r="22104" ht="26.25" customHeight="1"/>
    <row r="22105" ht="26.25" customHeight="1"/>
    <row r="22106" ht="26.25" customHeight="1"/>
    <row r="22107" ht="26.25" customHeight="1"/>
    <row r="22108" ht="26.25" customHeight="1"/>
    <row r="22109" ht="26.25" customHeight="1"/>
    <row r="22110" ht="26.25" customHeight="1"/>
    <row r="22111" ht="26.25" customHeight="1"/>
    <row r="22112" ht="26.25" customHeight="1"/>
    <row r="22113" ht="26.25" customHeight="1"/>
    <row r="22114" ht="26.25" customHeight="1"/>
    <row r="22115" ht="26.25" customHeight="1"/>
    <row r="22116" ht="26.25" customHeight="1"/>
    <row r="22117" ht="26.25" customHeight="1"/>
    <row r="22118" ht="26.25" customHeight="1"/>
    <row r="22119" ht="26.25" customHeight="1"/>
    <row r="22120" ht="26.25" customHeight="1"/>
    <row r="22121" ht="26.25" customHeight="1"/>
    <row r="22122" ht="26.25" customHeight="1"/>
    <row r="22123" ht="26.25" customHeight="1"/>
    <row r="22124" ht="26.25" customHeight="1"/>
    <row r="22125" ht="26.25" customHeight="1"/>
    <row r="22126" ht="26.25" customHeight="1"/>
    <row r="22127" ht="26.25" customHeight="1"/>
    <row r="22128" ht="26.25" customHeight="1"/>
    <row r="22129" ht="26.25" customHeight="1"/>
    <row r="22130" ht="26.25" customHeight="1"/>
    <row r="22131" ht="26.25" customHeight="1"/>
    <row r="22132" ht="26.25" customHeight="1"/>
    <row r="22133" ht="26.25" customHeight="1"/>
    <row r="22134" ht="26.25" customHeight="1"/>
    <row r="22135" ht="26.25" customHeight="1"/>
    <row r="22136" ht="26.25" customHeight="1"/>
    <row r="22137" ht="26.25" customHeight="1"/>
    <row r="22138" ht="26.25" customHeight="1"/>
    <row r="22139" ht="26.25" customHeight="1"/>
    <row r="22140" ht="26.25" customHeight="1"/>
    <row r="22141" ht="26.25" customHeight="1"/>
    <row r="22142" ht="26.25" customHeight="1"/>
    <row r="22143" ht="26.25" customHeight="1"/>
    <row r="22144" ht="26.25" customHeight="1"/>
    <row r="22145" ht="26.25" customHeight="1"/>
    <row r="22146" ht="26.25" customHeight="1"/>
    <row r="22147" ht="26.25" customHeight="1"/>
    <row r="22148" ht="26.25" customHeight="1"/>
    <row r="22149" ht="26.25" customHeight="1"/>
    <row r="22150" ht="26.25" customHeight="1"/>
    <row r="22151" ht="26.25" customHeight="1"/>
    <row r="22152" ht="26.25" customHeight="1"/>
    <row r="22153" ht="26.25" customHeight="1"/>
    <row r="22154" ht="26.25" customHeight="1"/>
    <row r="22155" ht="26.25" customHeight="1"/>
    <row r="22156" ht="26.25" customHeight="1"/>
    <row r="22157" ht="26.25" customHeight="1"/>
    <row r="22158" ht="26.25" customHeight="1"/>
    <row r="22159" ht="26.25" customHeight="1"/>
    <row r="22160" ht="26.25" customHeight="1"/>
    <row r="22161" ht="26.25" customHeight="1"/>
    <row r="22162" ht="26.25" customHeight="1"/>
    <row r="22163" ht="26.25" customHeight="1"/>
    <row r="22164" ht="26.25" customHeight="1"/>
    <row r="22165" ht="26.25" customHeight="1"/>
    <row r="22166" ht="26.25" customHeight="1"/>
    <row r="22167" ht="26.25" customHeight="1"/>
    <row r="22168" ht="26.25" customHeight="1"/>
    <row r="22169" ht="26.25" customHeight="1"/>
    <row r="22170" ht="26.25" customHeight="1"/>
    <row r="22171" ht="26.25" customHeight="1"/>
    <row r="22172" ht="26.25" customHeight="1"/>
    <row r="22173" ht="26.25" customHeight="1"/>
    <row r="22174" ht="26.25" customHeight="1"/>
    <row r="22175" ht="26.25" customHeight="1"/>
    <row r="22176" ht="26.25" customHeight="1"/>
    <row r="22177" ht="26.25" customHeight="1"/>
    <row r="22178" ht="26.25" customHeight="1"/>
    <row r="22179" ht="26.25" customHeight="1"/>
    <row r="22180" ht="26.25" customHeight="1"/>
    <row r="22181" ht="26.25" customHeight="1"/>
    <row r="22182" ht="26.25" customHeight="1"/>
    <row r="22183" ht="26.25" customHeight="1"/>
    <row r="22184" ht="26.25" customHeight="1"/>
    <row r="22185" ht="26.25" customHeight="1"/>
    <row r="22186" ht="26.25" customHeight="1"/>
    <row r="22187" ht="26.25" customHeight="1"/>
    <row r="22188" ht="26.25" customHeight="1"/>
    <row r="22189" ht="26.25" customHeight="1"/>
    <row r="22190" ht="26.25" customHeight="1"/>
    <row r="22191" ht="26.25" customHeight="1"/>
    <row r="22192" ht="26.25" customHeight="1"/>
    <row r="22193" ht="26.25" customHeight="1"/>
    <row r="22194" ht="26.25" customHeight="1"/>
    <row r="22195" ht="26.25" customHeight="1"/>
    <row r="22196" ht="26.25" customHeight="1"/>
    <row r="22197" ht="26.25" customHeight="1"/>
    <row r="22198" ht="26.25" customHeight="1"/>
    <row r="22199" ht="26.25" customHeight="1"/>
    <row r="22200" ht="26.25" customHeight="1"/>
    <row r="22201" ht="26.25" customHeight="1"/>
    <row r="22202" ht="26.25" customHeight="1"/>
    <row r="22203" ht="26.25" customHeight="1"/>
    <row r="22204" ht="26.25" customHeight="1"/>
    <row r="22205" ht="26.25" customHeight="1"/>
    <row r="22206" ht="26.25" customHeight="1"/>
    <row r="22207" ht="26.25" customHeight="1"/>
    <row r="22208" ht="26.25" customHeight="1"/>
    <row r="22209" ht="26.25" customHeight="1"/>
    <row r="22210" ht="26.25" customHeight="1"/>
    <row r="22211" ht="26.25" customHeight="1"/>
    <row r="22212" ht="26.25" customHeight="1"/>
    <row r="22213" ht="26.25" customHeight="1"/>
    <row r="22214" ht="26.25" customHeight="1"/>
    <row r="22215" ht="26.25" customHeight="1"/>
    <row r="22216" ht="26.25" customHeight="1"/>
    <row r="22217" ht="26.25" customHeight="1"/>
    <row r="22218" ht="26.25" customHeight="1"/>
    <row r="22219" ht="26.25" customHeight="1"/>
    <row r="22220" ht="26.25" customHeight="1"/>
    <row r="22221" ht="26.25" customHeight="1"/>
    <row r="22222" ht="26.25" customHeight="1"/>
    <row r="22223" ht="26.25" customHeight="1"/>
    <row r="22224" ht="26.25" customHeight="1"/>
    <row r="22225" ht="26.25" customHeight="1"/>
    <row r="22226" ht="26.25" customHeight="1"/>
    <row r="22227" ht="26.25" customHeight="1"/>
    <row r="22228" ht="26.25" customHeight="1"/>
    <row r="22229" ht="26.25" customHeight="1"/>
    <row r="22230" ht="26.25" customHeight="1"/>
    <row r="22231" ht="26.25" customHeight="1"/>
    <row r="22232" ht="26.25" customHeight="1"/>
    <row r="22233" ht="26.25" customHeight="1"/>
    <row r="22234" ht="26.25" customHeight="1"/>
    <row r="22235" ht="26.25" customHeight="1"/>
    <row r="22236" ht="26.25" customHeight="1"/>
    <row r="22237" ht="26.25" customHeight="1"/>
    <row r="22238" ht="26.25" customHeight="1"/>
    <row r="22239" ht="26.25" customHeight="1"/>
    <row r="22240" ht="26.25" customHeight="1"/>
    <row r="22241" ht="26.25" customHeight="1"/>
    <row r="22242" ht="26.25" customHeight="1"/>
    <row r="22243" ht="26.25" customHeight="1"/>
    <row r="22244" ht="26.25" customHeight="1"/>
    <row r="22245" ht="26.25" customHeight="1"/>
    <row r="22246" ht="26.25" customHeight="1"/>
    <row r="22247" ht="26.25" customHeight="1"/>
    <row r="22248" ht="26.25" customHeight="1"/>
    <row r="22249" ht="26.25" customHeight="1"/>
    <row r="22250" ht="26.25" customHeight="1"/>
    <row r="22251" ht="26.25" customHeight="1"/>
    <row r="22252" ht="26.25" customHeight="1"/>
    <row r="22253" ht="26.25" customHeight="1"/>
    <row r="22254" ht="26.25" customHeight="1"/>
    <row r="22255" ht="26.25" customHeight="1"/>
    <row r="22256" ht="26.25" customHeight="1"/>
    <row r="22257" ht="26.25" customHeight="1"/>
    <row r="22258" ht="26.25" customHeight="1"/>
    <row r="22259" ht="26.25" customHeight="1"/>
    <row r="22260" ht="26.25" customHeight="1"/>
    <row r="22261" ht="26.25" customHeight="1"/>
    <row r="22262" ht="26.25" customHeight="1"/>
    <row r="22263" ht="26.25" customHeight="1"/>
    <row r="22264" ht="26.25" customHeight="1"/>
    <row r="22265" ht="26.25" customHeight="1"/>
    <row r="22266" ht="26.25" customHeight="1"/>
    <row r="22267" ht="26.25" customHeight="1"/>
    <row r="22268" ht="26.25" customHeight="1"/>
    <row r="22269" ht="26.25" customHeight="1"/>
    <row r="22270" ht="26.25" customHeight="1"/>
    <row r="22271" ht="26.25" customHeight="1"/>
    <row r="22272" ht="26.25" customHeight="1"/>
    <row r="22273" ht="26.25" customHeight="1"/>
    <row r="22274" ht="26.25" customHeight="1"/>
    <row r="22275" ht="26.25" customHeight="1"/>
    <row r="22276" ht="26.25" customHeight="1"/>
    <row r="22277" ht="26.25" customHeight="1"/>
    <row r="22278" ht="26.25" customHeight="1"/>
    <row r="22279" ht="26.25" customHeight="1"/>
    <row r="22280" ht="26.25" customHeight="1"/>
    <row r="22281" ht="26.25" customHeight="1"/>
    <row r="22282" ht="26.25" customHeight="1"/>
    <row r="22283" ht="26.25" customHeight="1"/>
    <row r="22284" ht="26.25" customHeight="1"/>
    <row r="22285" ht="26.25" customHeight="1"/>
    <row r="22286" ht="26.25" customHeight="1"/>
    <row r="22287" ht="26.25" customHeight="1"/>
    <row r="22288" ht="26.25" customHeight="1"/>
    <row r="22289" ht="26.25" customHeight="1"/>
    <row r="22290" ht="26.25" customHeight="1"/>
    <row r="22291" ht="26.25" customHeight="1"/>
    <row r="22292" ht="26.25" customHeight="1"/>
    <row r="22293" ht="26.25" customHeight="1"/>
    <row r="22294" ht="26.25" customHeight="1"/>
    <row r="22295" ht="26.25" customHeight="1"/>
    <row r="22296" ht="26.25" customHeight="1"/>
    <row r="22297" ht="26.25" customHeight="1"/>
    <row r="22298" ht="26.25" customHeight="1"/>
    <row r="22299" ht="26.25" customHeight="1"/>
    <row r="22300" ht="26.25" customHeight="1"/>
    <row r="22301" ht="26.25" customHeight="1"/>
    <row r="22302" ht="26.25" customHeight="1"/>
    <row r="22303" ht="26.25" customHeight="1"/>
    <row r="22304" ht="26.25" customHeight="1"/>
    <row r="22305" ht="26.25" customHeight="1"/>
    <row r="22306" ht="26.25" customHeight="1"/>
    <row r="22307" ht="26.25" customHeight="1"/>
    <row r="22308" ht="26.25" customHeight="1"/>
    <row r="22309" ht="26.25" customHeight="1"/>
    <row r="22310" ht="26.25" customHeight="1"/>
    <row r="22311" ht="26.25" customHeight="1"/>
    <row r="22312" ht="26.25" customHeight="1"/>
    <row r="22313" ht="26.25" customHeight="1"/>
    <row r="22314" ht="26.25" customHeight="1"/>
    <row r="22315" ht="26.25" customHeight="1"/>
    <row r="22316" ht="26.25" customHeight="1"/>
    <row r="22317" ht="26.25" customHeight="1"/>
    <row r="22318" ht="26.25" customHeight="1"/>
    <row r="22319" ht="26.25" customHeight="1"/>
    <row r="22320" ht="26.25" customHeight="1"/>
    <row r="22321" ht="26.25" customHeight="1"/>
    <row r="22322" ht="26.25" customHeight="1"/>
    <row r="22323" ht="26.25" customHeight="1"/>
    <row r="22324" ht="26.25" customHeight="1"/>
    <row r="22325" ht="26.25" customHeight="1"/>
    <row r="22326" ht="26.25" customHeight="1"/>
    <row r="22327" ht="26.25" customHeight="1"/>
    <row r="22328" ht="26.25" customHeight="1"/>
    <row r="22329" ht="26.25" customHeight="1"/>
    <row r="22330" ht="26.25" customHeight="1"/>
    <row r="22331" ht="26.25" customHeight="1"/>
    <row r="22332" ht="26.25" customHeight="1"/>
    <row r="22333" ht="26.25" customHeight="1"/>
    <row r="22334" ht="26.25" customHeight="1"/>
    <row r="22335" ht="26.25" customHeight="1"/>
    <row r="22336" ht="26.25" customHeight="1"/>
    <row r="22337" ht="26.25" customHeight="1"/>
    <row r="22338" ht="26.25" customHeight="1"/>
    <row r="22339" ht="26.25" customHeight="1"/>
    <row r="22340" ht="26.25" customHeight="1"/>
    <row r="22341" ht="26.25" customHeight="1"/>
    <row r="22342" ht="26.25" customHeight="1"/>
    <row r="22343" ht="26.25" customHeight="1"/>
    <row r="22344" ht="26.25" customHeight="1"/>
    <row r="22345" ht="26.25" customHeight="1"/>
    <row r="22346" ht="26.25" customHeight="1"/>
    <row r="22347" ht="26.25" customHeight="1"/>
    <row r="22348" ht="26.25" customHeight="1"/>
    <row r="22349" ht="26.25" customHeight="1"/>
    <row r="22350" ht="26.25" customHeight="1"/>
    <row r="22351" ht="26.25" customHeight="1"/>
    <row r="22352" ht="26.25" customHeight="1"/>
    <row r="22353" ht="26.25" customHeight="1"/>
    <row r="22354" ht="26.25" customHeight="1"/>
    <row r="22355" ht="26.25" customHeight="1"/>
    <row r="22356" ht="26.25" customHeight="1"/>
    <row r="22357" ht="26.25" customHeight="1"/>
    <row r="22358" ht="26.25" customHeight="1"/>
    <row r="22359" ht="26.25" customHeight="1"/>
    <row r="22360" ht="26.25" customHeight="1"/>
    <row r="22361" ht="26.25" customHeight="1"/>
    <row r="22362" ht="26.25" customHeight="1"/>
    <row r="22363" ht="26.25" customHeight="1"/>
    <row r="22364" ht="26.25" customHeight="1"/>
    <row r="22365" ht="26.25" customHeight="1"/>
    <row r="22366" ht="26.25" customHeight="1"/>
    <row r="22367" ht="26.25" customHeight="1"/>
    <row r="22368" ht="26.25" customHeight="1"/>
    <row r="22369" ht="26.25" customHeight="1"/>
    <row r="22370" ht="26.25" customHeight="1"/>
    <row r="22371" ht="26.25" customHeight="1"/>
    <row r="22372" ht="26.25" customHeight="1"/>
    <row r="22373" ht="26.25" customHeight="1"/>
    <row r="22374" ht="26.25" customHeight="1"/>
    <row r="22375" ht="26.25" customHeight="1"/>
    <row r="22376" ht="26.25" customHeight="1"/>
    <row r="22377" ht="26.25" customHeight="1"/>
    <row r="22378" ht="26.25" customHeight="1"/>
    <row r="22379" ht="26.25" customHeight="1"/>
    <row r="22380" ht="26.25" customHeight="1"/>
    <row r="22381" ht="26.25" customHeight="1"/>
    <row r="22382" ht="26.25" customHeight="1"/>
    <row r="22383" ht="26.25" customHeight="1"/>
    <row r="22384" ht="26.25" customHeight="1"/>
    <row r="22385" ht="26.25" customHeight="1"/>
    <row r="22386" ht="26.25" customHeight="1"/>
    <row r="22387" ht="26.25" customHeight="1"/>
    <row r="22388" ht="26.25" customHeight="1"/>
    <row r="22389" ht="26.25" customHeight="1"/>
    <row r="22390" ht="26.25" customHeight="1"/>
    <row r="22391" ht="26.25" customHeight="1"/>
    <row r="22392" ht="26.25" customHeight="1"/>
    <row r="22393" ht="26.25" customHeight="1"/>
    <row r="22394" ht="26.25" customHeight="1"/>
    <row r="22395" ht="26.25" customHeight="1"/>
    <row r="22396" ht="26.25" customHeight="1"/>
    <row r="22397" ht="26.25" customHeight="1"/>
    <row r="22398" ht="26.25" customHeight="1"/>
    <row r="22399" ht="26.25" customHeight="1"/>
    <row r="22400" ht="26.25" customHeight="1"/>
    <row r="22401" ht="26.25" customHeight="1"/>
    <row r="22402" ht="26.25" customHeight="1"/>
    <row r="22403" ht="26.25" customHeight="1"/>
    <row r="22404" ht="26.25" customHeight="1"/>
    <row r="22405" ht="26.25" customHeight="1"/>
    <row r="22406" ht="26.25" customHeight="1"/>
    <row r="22407" ht="26.25" customHeight="1"/>
    <row r="22408" ht="26.25" customHeight="1"/>
    <row r="22409" ht="26.25" customHeight="1"/>
    <row r="22410" ht="26.25" customHeight="1"/>
    <row r="22411" ht="26.25" customHeight="1"/>
    <row r="22412" ht="26.25" customHeight="1"/>
    <row r="22413" ht="26.25" customHeight="1"/>
    <row r="22414" ht="26.25" customHeight="1"/>
    <row r="22415" ht="26.25" customHeight="1"/>
    <row r="22416" ht="26.25" customHeight="1"/>
    <row r="22417" ht="26.25" customHeight="1"/>
    <row r="22418" ht="26.25" customHeight="1"/>
    <row r="22419" ht="26.25" customHeight="1"/>
    <row r="22420" ht="26.25" customHeight="1"/>
    <row r="22421" ht="26.25" customHeight="1"/>
    <row r="22422" ht="26.25" customHeight="1"/>
    <row r="22423" ht="26.25" customHeight="1"/>
    <row r="22424" ht="26.25" customHeight="1"/>
    <row r="22425" ht="26.25" customHeight="1"/>
    <row r="22426" ht="26.25" customHeight="1"/>
    <row r="22427" ht="26.25" customHeight="1"/>
    <row r="22428" ht="26.25" customHeight="1"/>
    <row r="22429" ht="26.25" customHeight="1"/>
    <row r="22430" ht="26.25" customHeight="1"/>
    <row r="22431" ht="26.25" customHeight="1"/>
    <row r="22432" ht="26.25" customHeight="1"/>
    <row r="22433" ht="26.25" customHeight="1"/>
    <row r="22434" ht="26.25" customHeight="1"/>
    <row r="22435" ht="26.25" customHeight="1"/>
    <row r="22436" ht="26.25" customHeight="1"/>
    <row r="22437" ht="26.25" customHeight="1"/>
    <row r="22438" ht="26.25" customHeight="1"/>
    <row r="22439" ht="26.25" customHeight="1"/>
    <row r="22440" ht="26.25" customHeight="1"/>
    <row r="22441" ht="26.25" customHeight="1"/>
    <row r="22442" ht="26.25" customHeight="1"/>
    <row r="22443" ht="26.25" customHeight="1"/>
    <row r="22444" ht="26.25" customHeight="1"/>
    <row r="22445" ht="26.25" customHeight="1"/>
    <row r="22446" ht="26.25" customHeight="1"/>
    <row r="22447" ht="26.25" customHeight="1"/>
    <row r="22448" ht="26.25" customHeight="1"/>
    <row r="22449" ht="26.25" customHeight="1"/>
    <row r="22450" ht="26.25" customHeight="1"/>
    <row r="22451" ht="26.25" customHeight="1"/>
    <row r="22452" ht="26.25" customHeight="1"/>
    <row r="22453" ht="26.25" customHeight="1"/>
    <row r="22454" ht="26.25" customHeight="1"/>
    <row r="22455" ht="26.25" customHeight="1"/>
    <row r="22456" ht="26.25" customHeight="1"/>
    <row r="22457" ht="26.25" customHeight="1"/>
    <row r="22458" ht="26.25" customHeight="1"/>
    <row r="22459" ht="26.25" customHeight="1"/>
    <row r="22460" ht="26.25" customHeight="1"/>
    <row r="22461" ht="26.25" customHeight="1"/>
    <row r="22462" ht="26.25" customHeight="1"/>
    <row r="22463" ht="26.25" customHeight="1"/>
    <row r="22464" ht="26.25" customHeight="1"/>
    <row r="22465" ht="26.25" customHeight="1"/>
    <row r="22466" ht="26.25" customHeight="1"/>
    <row r="22467" ht="26.25" customHeight="1"/>
    <row r="22468" ht="26.25" customHeight="1"/>
    <row r="22469" ht="26.25" customHeight="1"/>
    <row r="22470" ht="26.25" customHeight="1"/>
    <row r="22471" ht="26.25" customHeight="1"/>
    <row r="22472" ht="26.25" customHeight="1"/>
    <row r="22473" ht="26.25" customHeight="1"/>
    <row r="22474" ht="26.25" customHeight="1"/>
    <row r="22475" ht="26.25" customHeight="1"/>
    <row r="22476" ht="26.25" customHeight="1"/>
    <row r="22477" ht="26.25" customHeight="1"/>
    <row r="22478" ht="26.25" customHeight="1"/>
    <row r="22479" ht="26.25" customHeight="1"/>
    <row r="22480" ht="26.25" customHeight="1"/>
    <row r="22481" ht="26.25" customHeight="1"/>
    <row r="22482" ht="26.25" customHeight="1"/>
    <row r="22483" ht="26.25" customHeight="1"/>
    <row r="22484" ht="26.25" customHeight="1"/>
    <row r="22485" ht="26.25" customHeight="1"/>
    <row r="22486" ht="26.25" customHeight="1"/>
    <row r="22487" ht="26.25" customHeight="1"/>
    <row r="22488" ht="26.25" customHeight="1"/>
    <row r="22489" ht="26.25" customHeight="1"/>
    <row r="22490" ht="26.25" customHeight="1"/>
    <row r="22491" ht="26.25" customHeight="1"/>
    <row r="22492" ht="26.25" customHeight="1"/>
    <row r="22493" ht="26.25" customHeight="1"/>
    <row r="22494" ht="26.25" customHeight="1"/>
    <row r="22495" ht="26.25" customHeight="1"/>
    <row r="22496" ht="26.25" customHeight="1"/>
    <row r="22497" ht="26.25" customHeight="1"/>
    <row r="22498" ht="26.25" customHeight="1"/>
    <row r="22499" ht="26.25" customHeight="1"/>
    <row r="22500" ht="26.25" customHeight="1"/>
    <row r="22501" ht="26.25" customHeight="1"/>
    <row r="22502" ht="26.25" customHeight="1"/>
    <row r="22503" ht="26.25" customHeight="1"/>
    <row r="22504" ht="26.25" customHeight="1"/>
    <row r="22505" ht="26.25" customHeight="1"/>
    <row r="22506" ht="26.25" customHeight="1"/>
    <row r="22507" ht="26.25" customHeight="1"/>
    <row r="22508" ht="26.25" customHeight="1"/>
    <row r="22509" ht="26.25" customHeight="1"/>
    <row r="22510" ht="26.25" customHeight="1"/>
    <row r="22511" ht="26.25" customHeight="1"/>
    <row r="22512" ht="26.25" customHeight="1"/>
    <row r="22513" ht="26.25" customHeight="1"/>
    <row r="22514" ht="26.25" customHeight="1"/>
    <row r="22515" ht="26.25" customHeight="1"/>
    <row r="22516" ht="26.25" customHeight="1"/>
    <row r="22517" ht="26.25" customHeight="1"/>
    <row r="22518" ht="26.25" customHeight="1"/>
    <row r="22519" ht="26.25" customHeight="1"/>
    <row r="22520" ht="26.25" customHeight="1"/>
    <row r="22521" ht="26.25" customHeight="1"/>
    <row r="22522" ht="26.25" customHeight="1"/>
    <row r="22523" ht="26.25" customHeight="1"/>
    <row r="22524" ht="26.25" customHeight="1"/>
    <row r="22525" ht="26.25" customHeight="1"/>
    <row r="22526" ht="26.25" customHeight="1"/>
    <row r="22527" ht="26.25" customHeight="1"/>
    <row r="22528" ht="26.25" customHeight="1"/>
    <row r="22529" ht="26.25" customHeight="1"/>
    <row r="22530" ht="26.25" customHeight="1"/>
    <row r="22531" ht="26.25" customHeight="1"/>
    <row r="22532" ht="26.25" customHeight="1"/>
    <row r="22533" ht="26.25" customHeight="1"/>
    <row r="22534" ht="26.25" customHeight="1"/>
    <row r="22535" ht="26.25" customHeight="1"/>
    <row r="22536" ht="26.25" customHeight="1"/>
    <row r="22537" ht="26.25" customHeight="1"/>
    <row r="22538" ht="26.25" customHeight="1"/>
    <row r="22539" ht="26.25" customHeight="1"/>
    <row r="22540" ht="26.25" customHeight="1"/>
    <row r="22541" ht="26.25" customHeight="1"/>
    <row r="22542" ht="26.25" customHeight="1"/>
    <row r="22543" ht="26.25" customHeight="1"/>
    <row r="22544" ht="26.25" customHeight="1"/>
    <row r="22545" ht="26.25" customHeight="1"/>
    <row r="22546" ht="26.25" customHeight="1"/>
    <row r="22547" ht="26.25" customHeight="1"/>
    <row r="22548" ht="26.25" customHeight="1"/>
    <row r="22549" ht="26.25" customHeight="1"/>
    <row r="22550" ht="26.25" customHeight="1"/>
    <row r="22551" ht="26.25" customHeight="1"/>
    <row r="22552" ht="26.25" customHeight="1"/>
    <row r="22553" ht="26.25" customHeight="1"/>
    <row r="22554" ht="26.25" customHeight="1"/>
    <row r="22555" ht="26.25" customHeight="1"/>
    <row r="22556" ht="26.25" customHeight="1"/>
    <row r="22557" ht="26.25" customHeight="1"/>
    <row r="22558" ht="26.25" customHeight="1"/>
    <row r="22559" ht="26.25" customHeight="1"/>
    <row r="22560" ht="26.25" customHeight="1"/>
    <row r="22561" ht="26.25" customHeight="1"/>
    <row r="22562" ht="26.25" customHeight="1"/>
    <row r="22563" ht="26.25" customHeight="1"/>
    <row r="22564" ht="26.25" customHeight="1"/>
    <row r="22565" ht="26.25" customHeight="1"/>
    <row r="22566" ht="26.25" customHeight="1"/>
    <row r="22567" ht="26.25" customHeight="1"/>
    <row r="22568" ht="26.25" customHeight="1"/>
    <row r="22569" ht="26.25" customHeight="1"/>
    <row r="22570" ht="26.25" customHeight="1"/>
    <row r="22571" ht="26.25" customHeight="1"/>
    <row r="22572" ht="26.25" customHeight="1"/>
    <row r="22573" ht="26.25" customHeight="1"/>
    <row r="22574" ht="26.25" customHeight="1"/>
    <row r="22575" ht="26.25" customHeight="1"/>
    <row r="22576" ht="26.25" customHeight="1"/>
    <row r="22577" ht="26.25" customHeight="1"/>
    <row r="22578" ht="26.25" customHeight="1"/>
    <row r="22579" ht="26.25" customHeight="1"/>
    <row r="22580" ht="26.25" customHeight="1"/>
    <row r="22581" ht="26.25" customHeight="1"/>
    <row r="22582" ht="26.25" customHeight="1"/>
    <row r="22583" ht="26.25" customHeight="1"/>
    <row r="22584" ht="26.25" customHeight="1"/>
    <row r="22585" ht="26.25" customHeight="1"/>
    <row r="22586" ht="26.25" customHeight="1"/>
    <row r="22587" ht="26.25" customHeight="1"/>
    <row r="22588" ht="26.25" customHeight="1"/>
    <row r="22589" ht="26.25" customHeight="1"/>
    <row r="22590" ht="26.25" customHeight="1"/>
    <row r="22591" ht="26.25" customHeight="1"/>
    <row r="22592" ht="26.25" customHeight="1"/>
    <row r="22593" ht="26.25" customHeight="1"/>
    <row r="22594" ht="26.25" customHeight="1"/>
    <row r="22595" ht="26.25" customHeight="1"/>
    <row r="22596" ht="26.25" customHeight="1"/>
    <row r="22597" ht="26.25" customHeight="1"/>
    <row r="22598" ht="26.25" customHeight="1"/>
    <row r="22599" ht="26.25" customHeight="1"/>
    <row r="22600" ht="26.25" customHeight="1"/>
    <row r="22601" ht="26.25" customHeight="1"/>
    <row r="22602" ht="26.25" customHeight="1"/>
    <row r="22603" ht="26.25" customHeight="1"/>
    <row r="22604" ht="26.25" customHeight="1"/>
    <row r="22605" ht="26.25" customHeight="1"/>
    <row r="22606" ht="26.25" customHeight="1"/>
    <row r="22607" ht="26.25" customHeight="1"/>
    <row r="22608" ht="26.25" customHeight="1"/>
    <row r="22609" ht="26.25" customHeight="1"/>
    <row r="22610" ht="26.25" customHeight="1"/>
    <row r="22611" ht="26.25" customHeight="1"/>
    <row r="22612" ht="26.25" customHeight="1"/>
    <row r="22613" ht="26.25" customHeight="1"/>
    <row r="22614" ht="26.25" customHeight="1"/>
    <row r="22615" ht="26.25" customHeight="1"/>
    <row r="22616" ht="26.25" customHeight="1"/>
    <row r="22617" ht="26.25" customHeight="1"/>
    <row r="22618" ht="26.25" customHeight="1"/>
    <row r="22619" ht="26.25" customHeight="1"/>
    <row r="22620" ht="26.25" customHeight="1"/>
    <row r="22621" ht="26.25" customHeight="1"/>
    <row r="22622" ht="26.25" customHeight="1"/>
    <row r="22623" ht="26.25" customHeight="1"/>
    <row r="22624" ht="26.25" customHeight="1"/>
    <row r="22625" ht="26.25" customHeight="1"/>
    <row r="22626" ht="26.25" customHeight="1"/>
    <row r="22627" ht="26.25" customHeight="1"/>
    <row r="22628" ht="26.25" customHeight="1"/>
    <row r="22629" ht="26.25" customHeight="1"/>
    <row r="22630" ht="26.25" customHeight="1"/>
    <row r="22631" ht="26.25" customHeight="1"/>
    <row r="22632" ht="26.25" customHeight="1"/>
    <row r="22633" ht="26.25" customHeight="1"/>
    <row r="22634" ht="26.25" customHeight="1"/>
    <row r="22635" ht="26.25" customHeight="1"/>
    <row r="22636" ht="26.25" customHeight="1"/>
    <row r="22637" ht="26.25" customHeight="1"/>
    <row r="22638" ht="26.25" customHeight="1"/>
    <row r="22639" ht="26.25" customHeight="1"/>
    <row r="22640" ht="26.25" customHeight="1"/>
    <row r="22641" ht="26.25" customHeight="1"/>
    <row r="22642" ht="26.25" customHeight="1"/>
    <row r="22643" ht="26.25" customHeight="1"/>
    <row r="22644" ht="26.25" customHeight="1"/>
    <row r="22645" ht="26.25" customHeight="1"/>
    <row r="22646" ht="26.25" customHeight="1"/>
    <row r="22647" ht="26.25" customHeight="1"/>
    <row r="22648" ht="26.25" customHeight="1"/>
    <row r="22649" ht="26.25" customHeight="1"/>
    <row r="22650" ht="26.25" customHeight="1"/>
    <row r="22651" ht="26.25" customHeight="1"/>
    <row r="22652" ht="26.25" customHeight="1"/>
    <row r="22653" ht="26.25" customHeight="1"/>
    <row r="22654" ht="26.25" customHeight="1"/>
    <row r="22655" ht="26.25" customHeight="1"/>
    <row r="22656" ht="26.25" customHeight="1"/>
    <row r="22657" ht="26.25" customHeight="1"/>
    <row r="22658" ht="26.25" customHeight="1"/>
    <row r="22659" ht="26.25" customHeight="1"/>
    <row r="22660" ht="26.25" customHeight="1"/>
    <row r="22661" ht="26.25" customHeight="1"/>
    <row r="22662" ht="26.25" customHeight="1"/>
    <row r="22663" ht="26.25" customHeight="1"/>
    <row r="22664" ht="26.25" customHeight="1"/>
    <row r="22665" ht="26.25" customHeight="1"/>
    <row r="22666" ht="26.25" customHeight="1"/>
    <row r="22667" ht="26.25" customHeight="1"/>
    <row r="22668" ht="26.25" customHeight="1"/>
    <row r="22669" ht="26.25" customHeight="1"/>
    <row r="22670" ht="26.25" customHeight="1"/>
    <row r="22671" ht="26.25" customHeight="1"/>
    <row r="22672" ht="26.25" customHeight="1"/>
    <row r="22673" ht="26.25" customHeight="1"/>
    <row r="22674" ht="26.25" customHeight="1"/>
    <row r="22675" ht="26.25" customHeight="1"/>
    <row r="22676" ht="26.25" customHeight="1"/>
    <row r="22677" ht="26.25" customHeight="1"/>
    <row r="22678" ht="26.25" customHeight="1"/>
    <row r="22679" ht="26.25" customHeight="1"/>
    <row r="22680" ht="26.25" customHeight="1"/>
    <row r="22681" ht="26.25" customHeight="1"/>
    <row r="22682" ht="26.25" customHeight="1"/>
    <row r="22683" ht="26.25" customHeight="1"/>
    <row r="22684" ht="26.25" customHeight="1"/>
    <row r="22685" ht="26.25" customHeight="1"/>
    <row r="22686" ht="26.25" customHeight="1"/>
    <row r="22687" ht="26.25" customHeight="1"/>
    <row r="22688" ht="26.25" customHeight="1"/>
    <row r="22689" ht="26.25" customHeight="1"/>
    <row r="22690" ht="26.25" customHeight="1"/>
    <row r="22691" ht="26.25" customHeight="1"/>
    <row r="22692" ht="26.25" customHeight="1"/>
    <row r="22693" ht="26.25" customHeight="1"/>
    <row r="22694" ht="26.25" customHeight="1"/>
    <row r="22695" ht="26.25" customHeight="1"/>
    <row r="22696" ht="26.25" customHeight="1"/>
    <row r="22697" ht="26.25" customHeight="1"/>
    <row r="22698" ht="26.25" customHeight="1"/>
    <row r="22699" ht="26.25" customHeight="1"/>
    <row r="22700" ht="26.25" customHeight="1"/>
    <row r="22701" ht="26.25" customHeight="1"/>
    <row r="22702" ht="26.25" customHeight="1"/>
    <row r="22703" ht="26.25" customHeight="1"/>
    <row r="22704" ht="26.25" customHeight="1"/>
    <row r="22705" ht="26.25" customHeight="1"/>
    <row r="22706" ht="26.25" customHeight="1"/>
    <row r="22707" ht="26.25" customHeight="1"/>
    <row r="22708" ht="26.25" customHeight="1"/>
    <row r="22709" ht="26.25" customHeight="1"/>
    <row r="22710" ht="26.25" customHeight="1"/>
    <row r="22711" ht="26.25" customHeight="1"/>
    <row r="22712" ht="26.25" customHeight="1"/>
    <row r="22713" ht="26.25" customHeight="1"/>
    <row r="22714" ht="26.25" customHeight="1"/>
    <row r="22715" ht="26.25" customHeight="1"/>
    <row r="22716" ht="26.25" customHeight="1"/>
    <row r="22717" ht="26.25" customHeight="1"/>
    <row r="22718" ht="26.25" customHeight="1"/>
    <row r="22719" ht="26.25" customHeight="1"/>
    <row r="22720" ht="26.25" customHeight="1"/>
    <row r="22721" ht="26.25" customHeight="1"/>
    <row r="22722" ht="26.25" customHeight="1"/>
    <row r="22723" ht="26.25" customHeight="1"/>
    <row r="22724" ht="26.25" customHeight="1"/>
    <row r="22725" ht="26.25" customHeight="1"/>
    <row r="22726" ht="26.25" customHeight="1"/>
    <row r="22727" ht="26.25" customHeight="1"/>
    <row r="22728" ht="26.25" customHeight="1"/>
    <row r="22729" ht="26.25" customHeight="1"/>
    <row r="22730" ht="26.25" customHeight="1"/>
    <row r="22731" ht="26.25" customHeight="1"/>
    <row r="22732" ht="26.25" customHeight="1"/>
    <row r="22733" ht="26.25" customHeight="1"/>
    <row r="22734" ht="26.25" customHeight="1"/>
    <row r="22735" ht="26.25" customHeight="1"/>
    <row r="22736" ht="26.25" customHeight="1"/>
    <row r="22737" ht="26.25" customHeight="1"/>
    <row r="22738" ht="26.25" customHeight="1"/>
    <row r="22739" ht="26.25" customHeight="1"/>
    <row r="22740" ht="26.25" customHeight="1"/>
    <row r="22741" ht="26.25" customHeight="1"/>
    <row r="22742" ht="26.25" customHeight="1"/>
    <row r="22743" ht="26.25" customHeight="1"/>
    <row r="22744" ht="26.25" customHeight="1"/>
    <row r="22745" ht="26.25" customHeight="1"/>
    <row r="22746" ht="26.25" customHeight="1"/>
    <row r="22747" ht="26.25" customHeight="1"/>
    <row r="22748" ht="26.25" customHeight="1"/>
    <row r="22749" ht="26.25" customHeight="1"/>
    <row r="22750" ht="26.25" customHeight="1"/>
    <row r="22751" ht="26.25" customHeight="1"/>
    <row r="22752" ht="26.25" customHeight="1"/>
    <row r="22753" ht="26.25" customHeight="1"/>
    <row r="22754" ht="26.25" customHeight="1"/>
    <row r="22755" ht="26.25" customHeight="1"/>
    <row r="22756" ht="26.25" customHeight="1"/>
    <row r="22757" ht="26.25" customHeight="1"/>
    <row r="22758" ht="26.25" customHeight="1"/>
    <row r="22759" ht="26.25" customHeight="1"/>
    <row r="22760" ht="26.25" customHeight="1"/>
    <row r="22761" ht="26.25" customHeight="1"/>
    <row r="22762" ht="26.25" customHeight="1"/>
    <row r="22763" ht="26.25" customHeight="1"/>
    <row r="22764" ht="26.25" customHeight="1"/>
    <row r="22765" ht="26.25" customHeight="1"/>
    <row r="22766" ht="26.25" customHeight="1"/>
    <row r="22767" ht="26.25" customHeight="1"/>
    <row r="22768" ht="26.25" customHeight="1"/>
    <row r="22769" ht="26.25" customHeight="1"/>
    <row r="22770" ht="26.25" customHeight="1"/>
    <row r="22771" ht="26.25" customHeight="1"/>
    <row r="22772" ht="26.25" customHeight="1"/>
    <row r="22773" ht="26.25" customHeight="1"/>
    <row r="22774" ht="26.25" customHeight="1"/>
    <row r="22775" ht="26.25" customHeight="1"/>
    <row r="22776" ht="26.25" customHeight="1"/>
    <row r="22777" ht="26.25" customHeight="1"/>
    <row r="22778" ht="26.25" customHeight="1"/>
    <row r="22779" ht="26.25" customHeight="1"/>
    <row r="22780" ht="26.25" customHeight="1"/>
    <row r="22781" ht="26.25" customHeight="1"/>
    <row r="22782" ht="26.25" customHeight="1"/>
    <row r="22783" ht="26.25" customHeight="1"/>
    <row r="22784" ht="26.25" customHeight="1"/>
    <row r="22785" ht="26.25" customHeight="1"/>
    <row r="22786" ht="26.25" customHeight="1"/>
    <row r="22787" ht="26.25" customHeight="1"/>
    <row r="22788" ht="26.25" customHeight="1"/>
    <row r="22789" ht="26.25" customHeight="1"/>
    <row r="22790" ht="26.25" customHeight="1"/>
    <row r="22791" ht="26.25" customHeight="1"/>
    <row r="22792" ht="26.25" customHeight="1"/>
    <row r="22793" ht="26.25" customHeight="1"/>
    <row r="22794" ht="26.25" customHeight="1"/>
    <row r="22795" ht="26.25" customHeight="1"/>
    <row r="22796" ht="26.25" customHeight="1"/>
    <row r="22797" ht="26.25" customHeight="1"/>
    <row r="22798" ht="26.25" customHeight="1"/>
    <row r="22799" ht="26.25" customHeight="1"/>
    <row r="22800" ht="26.25" customHeight="1"/>
    <row r="22801" ht="26.25" customHeight="1"/>
    <row r="22802" ht="26.25" customHeight="1"/>
    <row r="22803" ht="26.25" customHeight="1"/>
    <row r="22804" ht="26.25" customHeight="1"/>
    <row r="22805" ht="26.25" customHeight="1"/>
    <row r="22806" ht="26.25" customHeight="1"/>
    <row r="22807" ht="26.25" customHeight="1"/>
    <row r="22808" ht="26.25" customHeight="1"/>
    <row r="22809" ht="26.25" customHeight="1"/>
    <row r="22810" ht="26.25" customHeight="1"/>
    <row r="22811" ht="26.25" customHeight="1"/>
    <row r="22812" ht="26.25" customHeight="1"/>
    <row r="22813" ht="26.25" customHeight="1"/>
    <row r="22814" ht="26.25" customHeight="1"/>
    <row r="22815" ht="26.25" customHeight="1"/>
    <row r="22816" ht="26.25" customHeight="1"/>
    <row r="22817" ht="26.25" customHeight="1"/>
    <row r="22818" ht="26.25" customHeight="1"/>
    <row r="22819" ht="26.25" customHeight="1"/>
    <row r="22820" ht="26.25" customHeight="1"/>
    <row r="22821" ht="26.25" customHeight="1"/>
    <row r="22822" ht="26.25" customHeight="1"/>
    <row r="22823" ht="26.25" customHeight="1"/>
    <row r="22824" ht="26.25" customHeight="1"/>
    <row r="22825" ht="26.25" customHeight="1"/>
    <row r="22826" ht="26.25" customHeight="1"/>
    <row r="22827" ht="26.25" customHeight="1"/>
    <row r="22828" ht="26.25" customHeight="1"/>
    <row r="22829" ht="26.25" customHeight="1"/>
    <row r="22830" ht="26.25" customHeight="1"/>
    <row r="22831" ht="26.25" customHeight="1"/>
    <row r="22832" ht="26.25" customHeight="1"/>
    <row r="22833" ht="26.25" customHeight="1"/>
    <row r="22834" ht="26.25" customHeight="1"/>
    <row r="22835" ht="26.25" customHeight="1"/>
    <row r="22836" ht="26.25" customHeight="1"/>
    <row r="22837" ht="26.25" customHeight="1"/>
    <row r="22838" ht="26.25" customHeight="1"/>
    <row r="22839" ht="26.25" customHeight="1"/>
    <row r="22840" ht="26.25" customHeight="1"/>
    <row r="22841" ht="26.25" customHeight="1"/>
    <row r="22842" ht="26.25" customHeight="1"/>
    <row r="22843" ht="26.25" customHeight="1"/>
    <row r="22844" ht="26.25" customHeight="1"/>
    <row r="22845" ht="26.25" customHeight="1"/>
    <row r="22846" ht="26.25" customHeight="1"/>
    <row r="22847" ht="26.25" customHeight="1"/>
    <row r="22848" ht="26.25" customHeight="1"/>
    <row r="22849" ht="26.25" customHeight="1"/>
    <row r="22850" ht="26.25" customHeight="1"/>
    <row r="22851" ht="26.25" customHeight="1"/>
    <row r="22852" ht="26.25" customHeight="1"/>
    <row r="22853" ht="26.25" customHeight="1"/>
    <row r="22854" ht="26.25" customHeight="1"/>
    <row r="22855" ht="26.25" customHeight="1"/>
    <row r="22856" ht="26.25" customHeight="1"/>
    <row r="22857" ht="26.25" customHeight="1"/>
    <row r="22858" ht="26.25" customHeight="1"/>
    <row r="22859" ht="26.25" customHeight="1"/>
    <row r="22860" ht="26.25" customHeight="1"/>
    <row r="22861" ht="26.25" customHeight="1"/>
    <row r="22862" ht="26.25" customHeight="1"/>
    <row r="22863" ht="26.25" customHeight="1"/>
    <row r="22864" ht="26.25" customHeight="1"/>
    <row r="22865" ht="26.25" customHeight="1"/>
    <row r="22866" ht="26.25" customHeight="1"/>
    <row r="22867" ht="26.25" customHeight="1"/>
    <row r="22868" ht="26.25" customHeight="1"/>
    <row r="22869" ht="26.25" customHeight="1"/>
    <row r="22870" ht="26.25" customHeight="1"/>
    <row r="22871" ht="26.25" customHeight="1"/>
    <row r="22872" ht="26.25" customHeight="1"/>
    <row r="22873" ht="26.25" customHeight="1"/>
    <row r="22874" ht="26.25" customHeight="1"/>
    <row r="22875" ht="26.25" customHeight="1"/>
    <row r="22876" ht="26.25" customHeight="1"/>
    <row r="22877" ht="26.25" customHeight="1"/>
    <row r="22878" ht="26.25" customHeight="1"/>
    <row r="22879" ht="26.25" customHeight="1"/>
    <row r="22880" ht="26.25" customHeight="1"/>
    <row r="22881" ht="26.25" customHeight="1"/>
    <row r="22882" ht="26.25" customHeight="1"/>
    <row r="22883" ht="26.25" customHeight="1"/>
    <row r="22884" ht="26.25" customHeight="1"/>
    <row r="22885" ht="26.25" customHeight="1"/>
    <row r="22886" ht="26.25" customHeight="1"/>
    <row r="22887" ht="26.25" customHeight="1"/>
    <row r="22888" ht="26.25" customHeight="1"/>
    <row r="22889" ht="26.25" customHeight="1"/>
    <row r="22890" ht="26.25" customHeight="1"/>
    <row r="22891" ht="26.25" customHeight="1"/>
    <row r="22892" ht="26.25" customHeight="1"/>
    <row r="22893" ht="26.25" customHeight="1"/>
    <row r="22894" ht="26.25" customHeight="1"/>
    <row r="22895" ht="26.25" customHeight="1"/>
    <row r="22896" ht="26.25" customHeight="1"/>
    <row r="22897" ht="26.25" customHeight="1"/>
    <row r="22898" ht="26.25" customHeight="1"/>
    <row r="22899" ht="26.25" customHeight="1"/>
    <row r="22900" ht="26.25" customHeight="1"/>
    <row r="22901" ht="26.25" customHeight="1"/>
    <row r="22902" ht="26.25" customHeight="1"/>
    <row r="22903" ht="26.25" customHeight="1"/>
    <row r="22904" ht="26.25" customHeight="1"/>
    <row r="22905" ht="26.25" customHeight="1"/>
    <row r="22906" ht="26.25" customHeight="1"/>
    <row r="22907" ht="26.25" customHeight="1"/>
    <row r="22908" ht="26.25" customHeight="1"/>
    <row r="22909" ht="26.25" customHeight="1"/>
    <row r="22910" ht="26.25" customHeight="1"/>
    <row r="22911" ht="26.25" customHeight="1"/>
    <row r="22912" ht="26.25" customHeight="1"/>
    <row r="22913" ht="26.25" customHeight="1"/>
    <row r="22914" ht="26.25" customHeight="1"/>
    <row r="22915" ht="26.25" customHeight="1"/>
    <row r="22916" ht="26.25" customHeight="1"/>
    <row r="22917" ht="26.25" customHeight="1"/>
    <row r="22918" ht="26.25" customHeight="1"/>
    <row r="22919" ht="26.25" customHeight="1"/>
    <row r="22920" ht="26.25" customHeight="1"/>
    <row r="22921" ht="26.25" customHeight="1"/>
    <row r="22922" ht="26.25" customHeight="1"/>
    <row r="22923" ht="26.25" customHeight="1"/>
    <row r="22924" ht="26.25" customHeight="1"/>
    <row r="22925" ht="26.25" customHeight="1"/>
    <row r="22926" ht="26.25" customHeight="1"/>
    <row r="22927" ht="26.25" customHeight="1"/>
    <row r="22928" ht="26.25" customHeight="1"/>
    <row r="22929" ht="26.25" customHeight="1"/>
    <row r="22930" ht="26.25" customHeight="1"/>
    <row r="22931" ht="26.25" customHeight="1"/>
    <row r="22932" ht="26.25" customHeight="1"/>
    <row r="22933" ht="26.25" customHeight="1"/>
    <row r="22934" ht="26.25" customHeight="1"/>
    <row r="22935" ht="26.25" customHeight="1"/>
    <row r="22936" ht="26.25" customHeight="1"/>
    <row r="22937" ht="26.25" customHeight="1"/>
    <row r="22938" ht="26.25" customHeight="1"/>
    <row r="22939" ht="26.25" customHeight="1"/>
    <row r="22940" ht="26.25" customHeight="1"/>
    <row r="22941" ht="26.25" customHeight="1"/>
    <row r="22942" ht="26.25" customHeight="1"/>
    <row r="22943" ht="26.25" customHeight="1"/>
    <row r="22944" ht="26.25" customHeight="1"/>
    <row r="22945" ht="26.25" customHeight="1"/>
    <row r="22946" ht="26.25" customHeight="1"/>
    <row r="22947" ht="26.25" customHeight="1"/>
    <row r="22948" ht="26.25" customHeight="1"/>
    <row r="22949" ht="26.25" customHeight="1"/>
    <row r="22950" ht="26.25" customHeight="1"/>
    <row r="22951" ht="26.25" customHeight="1"/>
    <row r="22952" ht="26.25" customHeight="1"/>
    <row r="22953" ht="26.25" customHeight="1"/>
    <row r="22954" ht="26.25" customHeight="1"/>
    <row r="22955" ht="26.25" customHeight="1"/>
    <row r="22956" ht="26.25" customHeight="1"/>
    <row r="22957" ht="26.25" customHeight="1"/>
    <row r="22958" ht="26.25" customHeight="1"/>
    <row r="22959" ht="26.25" customHeight="1"/>
    <row r="22960" ht="26.25" customHeight="1"/>
    <row r="22961" ht="26.25" customHeight="1"/>
    <row r="22962" ht="26.25" customHeight="1"/>
    <row r="22963" ht="26.25" customHeight="1"/>
    <row r="22964" ht="26.25" customHeight="1"/>
    <row r="22965" ht="26.25" customHeight="1"/>
    <row r="22966" ht="26.25" customHeight="1"/>
    <row r="22967" ht="26.25" customHeight="1"/>
    <row r="22968" ht="26.25" customHeight="1"/>
    <row r="22969" ht="26.25" customHeight="1"/>
    <row r="22970" ht="26.25" customHeight="1"/>
    <row r="22971" ht="26.25" customHeight="1"/>
    <row r="22972" ht="26.25" customHeight="1"/>
    <row r="22973" ht="26.25" customHeight="1"/>
    <row r="22974" ht="26.25" customHeight="1"/>
    <row r="22975" ht="26.25" customHeight="1"/>
    <row r="22976" ht="26.25" customHeight="1"/>
    <row r="22977" ht="26.25" customHeight="1"/>
    <row r="22978" ht="26.25" customHeight="1"/>
    <row r="22979" ht="26.25" customHeight="1"/>
    <row r="22980" ht="26.25" customHeight="1"/>
    <row r="22981" ht="26.25" customHeight="1"/>
    <row r="22982" ht="26.25" customHeight="1"/>
    <row r="22983" ht="26.25" customHeight="1"/>
    <row r="22984" ht="26.25" customHeight="1"/>
    <row r="22985" ht="26.25" customHeight="1"/>
    <row r="22986" ht="26.25" customHeight="1"/>
    <row r="22987" ht="26.25" customHeight="1"/>
    <row r="22988" ht="26.25" customHeight="1"/>
    <row r="22989" ht="26.25" customHeight="1"/>
    <row r="22990" ht="26.25" customHeight="1"/>
    <row r="22991" ht="26.25" customHeight="1"/>
    <row r="22992" ht="26.25" customHeight="1"/>
    <row r="22993" ht="26.25" customHeight="1"/>
    <row r="22994" ht="26.25" customHeight="1"/>
    <row r="22995" ht="26.25" customHeight="1"/>
    <row r="22996" ht="26.25" customHeight="1"/>
    <row r="22997" ht="26.25" customHeight="1"/>
    <row r="22998" ht="26.25" customHeight="1"/>
    <row r="22999" ht="26.25" customHeight="1"/>
    <row r="23000" ht="26.25" customHeight="1"/>
    <row r="23001" ht="26.25" customHeight="1"/>
    <row r="23002" ht="26.25" customHeight="1"/>
    <row r="23003" ht="26.25" customHeight="1"/>
    <row r="23004" ht="26.25" customHeight="1"/>
    <row r="23005" ht="26.25" customHeight="1"/>
    <row r="23006" ht="26.25" customHeight="1"/>
    <row r="23007" ht="26.25" customHeight="1"/>
    <row r="23008" ht="26.25" customHeight="1"/>
    <row r="23009" ht="26.25" customHeight="1"/>
    <row r="23010" ht="26.25" customHeight="1"/>
    <row r="23011" ht="26.25" customHeight="1"/>
    <row r="23012" ht="26.25" customHeight="1"/>
    <row r="23013" ht="26.25" customHeight="1"/>
    <row r="23014" ht="26.25" customHeight="1"/>
    <row r="23015" ht="26.25" customHeight="1"/>
    <row r="23016" ht="26.25" customHeight="1"/>
    <row r="23017" ht="26.25" customHeight="1"/>
    <row r="23018" ht="26.25" customHeight="1"/>
    <row r="23019" ht="26.25" customHeight="1"/>
    <row r="23020" ht="26.25" customHeight="1"/>
    <row r="23021" ht="26.25" customHeight="1"/>
    <row r="23022" ht="26.25" customHeight="1"/>
    <row r="23023" ht="26.25" customHeight="1"/>
    <row r="23024" ht="26.25" customHeight="1"/>
    <row r="23025" ht="26.25" customHeight="1"/>
    <row r="23026" ht="26.25" customHeight="1"/>
    <row r="23027" ht="26.25" customHeight="1"/>
    <row r="23028" ht="26.25" customHeight="1"/>
    <row r="23029" ht="26.25" customHeight="1"/>
    <row r="23030" ht="26.25" customHeight="1"/>
    <row r="23031" ht="26.25" customHeight="1"/>
    <row r="23032" ht="26.25" customHeight="1"/>
    <row r="23033" ht="26.25" customHeight="1"/>
    <row r="23034" ht="26.25" customHeight="1"/>
    <row r="23035" ht="26.25" customHeight="1"/>
    <row r="23036" ht="26.25" customHeight="1"/>
    <row r="23037" ht="26.25" customHeight="1"/>
    <row r="23038" ht="26.25" customHeight="1"/>
    <row r="23039" ht="26.25" customHeight="1"/>
    <row r="23040" ht="26.25" customHeight="1"/>
    <row r="23041" ht="26.25" customHeight="1"/>
    <row r="23042" ht="26.25" customHeight="1"/>
    <row r="23043" ht="26.25" customHeight="1"/>
    <row r="23044" ht="26.25" customHeight="1"/>
    <row r="23045" ht="26.25" customHeight="1"/>
    <row r="23046" ht="26.25" customHeight="1"/>
    <row r="23047" ht="26.25" customHeight="1"/>
    <row r="23048" ht="26.25" customHeight="1"/>
    <row r="23049" ht="26.25" customHeight="1"/>
    <row r="23050" ht="26.25" customHeight="1"/>
    <row r="23051" ht="26.25" customHeight="1"/>
    <row r="23052" ht="26.25" customHeight="1"/>
    <row r="23053" ht="26.25" customHeight="1"/>
    <row r="23054" ht="26.25" customHeight="1"/>
    <row r="23055" ht="26.25" customHeight="1"/>
    <row r="23056" ht="26.25" customHeight="1"/>
    <row r="23057" ht="26.25" customHeight="1"/>
    <row r="23058" ht="26.25" customHeight="1"/>
    <row r="23059" ht="26.25" customHeight="1"/>
    <row r="23060" ht="26.25" customHeight="1"/>
    <row r="23061" ht="26.25" customHeight="1"/>
    <row r="23062" ht="26.25" customHeight="1"/>
    <row r="23063" ht="26.25" customHeight="1"/>
    <row r="23064" ht="26.25" customHeight="1"/>
    <row r="23065" ht="26.25" customHeight="1"/>
    <row r="23066" ht="26.25" customHeight="1"/>
    <row r="23067" ht="26.25" customHeight="1"/>
    <row r="23068" ht="26.25" customHeight="1"/>
    <row r="23069" ht="26.25" customHeight="1"/>
    <row r="23070" ht="26.25" customHeight="1"/>
    <row r="23071" ht="26.25" customHeight="1"/>
    <row r="23072" ht="26.25" customHeight="1"/>
    <row r="23073" ht="26.25" customHeight="1"/>
    <row r="23074" ht="26.25" customHeight="1"/>
    <row r="23075" ht="26.25" customHeight="1"/>
    <row r="23076" ht="26.25" customHeight="1"/>
    <row r="23077" ht="26.25" customHeight="1"/>
    <row r="23078" ht="26.25" customHeight="1"/>
    <row r="23079" ht="26.25" customHeight="1"/>
    <row r="23080" ht="26.25" customHeight="1"/>
    <row r="23081" ht="26.25" customHeight="1"/>
    <row r="23082" ht="26.25" customHeight="1"/>
    <row r="23083" ht="26.25" customHeight="1"/>
    <row r="23084" ht="26.25" customHeight="1"/>
    <row r="23085" ht="26.25" customHeight="1"/>
    <row r="23086" ht="26.25" customHeight="1"/>
    <row r="23087" ht="26.25" customHeight="1"/>
    <row r="23088" ht="26.25" customHeight="1"/>
    <row r="23089" ht="26.25" customHeight="1"/>
    <row r="23090" ht="26.25" customHeight="1"/>
    <row r="23091" ht="26.25" customHeight="1"/>
    <row r="23092" ht="26.25" customHeight="1"/>
    <row r="23093" ht="26.25" customHeight="1"/>
    <row r="23094" ht="26.25" customHeight="1"/>
    <row r="23095" ht="26.25" customHeight="1"/>
    <row r="23096" ht="26.25" customHeight="1"/>
    <row r="23097" ht="26.25" customHeight="1"/>
    <row r="23098" ht="26.25" customHeight="1"/>
    <row r="23099" ht="26.25" customHeight="1"/>
    <row r="23100" ht="26.25" customHeight="1"/>
    <row r="23101" ht="26.25" customHeight="1"/>
    <row r="23102" ht="26.25" customHeight="1"/>
    <row r="23103" ht="26.25" customHeight="1"/>
    <row r="23104" ht="26.25" customHeight="1"/>
    <row r="23105" ht="26.25" customHeight="1"/>
    <row r="23106" ht="26.25" customHeight="1"/>
    <row r="23107" ht="26.25" customHeight="1"/>
    <row r="23108" ht="26.25" customHeight="1"/>
    <row r="23109" ht="26.25" customHeight="1"/>
    <row r="23110" ht="26.25" customHeight="1"/>
    <row r="23111" ht="26.25" customHeight="1"/>
    <row r="23112" ht="26.25" customHeight="1"/>
    <row r="23113" ht="26.25" customHeight="1"/>
    <row r="23114" ht="26.25" customHeight="1"/>
    <row r="23115" ht="26.25" customHeight="1"/>
    <row r="23116" ht="26.25" customHeight="1"/>
    <row r="23117" ht="26.25" customHeight="1"/>
    <row r="23118" ht="26.25" customHeight="1"/>
    <row r="23119" ht="26.25" customHeight="1"/>
    <row r="23120" ht="26.25" customHeight="1"/>
    <row r="23121" ht="26.25" customHeight="1"/>
    <row r="23122" ht="26.25" customHeight="1"/>
    <row r="23123" ht="26.25" customHeight="1"/>
    <row r="23124" ht="26.25" customHeight="1"/>
    <row r="23125" ht="26.25" customHeight="1"/>
    <row r="23126" ht="26.25" customHeight="1"/>
    <row r="23127" ht="26.25" customHeight="1"/>
    <row r="23128" ht="26.25" customHeight="1"/>
    <row r="23129" ht="26.25" customHeight="1"/>
    <row r="23130" ht="26.25" customHeight="1"/>
    <row r="23131" ht="26.25" customHeight="1"/>
    <row r="23132" ht="26.25" customHeight="1"/>
    <row r="23133" ht="26.25" customHeight="1"/>
    <row r="23134" ht="26.25" customHeight="1"/>
    <row r="23135" ht="26.25" customHeight="1"/>
    <row r="23136" ht="26.25" customHeight="1"/>
    <row r="23137" ht="26.25" customHeight="1"/>
    <row r="23138" ht="26.25" customHeight="1"/>
    <row r="23139" ht="26.25" customHeight="1"/>
    <row r="23140" ht="26.25" customHeight="1"/>
    <row r="23141" ht="26.25" customHeight="1"/>
    <row r="23142" ht="26.25" customHeight="1"/>
    <row r="23143" ht="26.25" customHeight="1"/>
    <row r="23144" ht="26.25" customHeight="1"/>
    <row r="23145" ht="26.25" customHeight="1"/>
    <row r="23146" ht="26.25" customHeight="1"/>
    <row r="23147" ht="26.25" customHeight="1"/>
    <row r="23148" ht="26.25" customHeight="1"/>
    <row r="23149" ht="26.25" customHeight="1"/>
    <row r="23150" ht="26.25" customHeight="1"/>
    <row r="23151" ht="26.25" customHeight="1"/>
    <row r="23152" ht="26.25" customHeight="1"/>
    <row r="23153" ht="26.25" customHeight="1"/>
    <row r="23154" ht="26.25" customHeight="1"/>
    <row r="23155" ht="26.25" customHeight="1"/>
    <row r="23156" ht="26.25" customHeight="1"/>
    <row r="23157" ht="26.25" customHeight="1"/>
    <row r="23158" ht="26.25" customHeight="1"/>
    <row r="23159" ht="26.25" customHeight="1"/>
    <row r="23160" ht="26.25" customHeight="1"/>
    <row r="23161" ht="26.25" customHeight="1"/>
    <row r="23162" ht="26.25" customHeight="1"/>
    <row r="23163" ht="26.25" customHeight="1"/>
    <row r="23164" ht="26.25" customHeight="1"/>
    <row r="23165" ht="26.25" customHeight="1"/>
    <row r="23166" ht="26.25" customHeight="1"/>
    <row r="23167" ht="26.25" customHeight="1"/>
    <row r="23168" ht="26.25" customHeight="1"/>
    <row r="23169" ht="26.25" customHeight="1"/>
    <row r="23170" ht="26.25" customHeight="1"/>
    <row r="23171" ht="26.25" customHeight="1"/>
    <row r="23172" ht="26.25" customHeight="1"/>
    <row r="23173" ht="26.25" customHeight="1"/>
    <row r="23174" ht="26.25" customHeight="1"/>
    <row r="23175" ht="26.25" customHeight="1"/>
    <row r="23176" ht="26.25" customHeight="1"/>
    <row r="23177" ht="26.25" customHeight="1"/>
    <row r="23178" ht="26.25" customHeight="1"/>
    <row r="23179" ht="26.25" customHeight="1"/>
    <row r="23180" ht="26.25" customHeight="1"/>
    <row r="23181" ht="26.25" customHeight="1"/>
    <row r="23182" ht="26.25" customHeight="1"/>
    <row r="23183" ht="26.25" customHeight="1"/>
    <row r="23184" ht="26.25" customHeight="1"/>
    <row r="23185" ht="26.25" customHeight="1"/>
    <row r="23186" ht="26.25" customHeight="1"/>
    <row r="23187" ht="26.25" customHeight="1"/>
    <row r="23188" ht="26.25" customHeight="1"/>
    <row r="23189" ht="26.25" customHeight="1"/>
    <row r="23190" ht="26.25" customHeight="1"/>
    <row r="23191" ht="26.25" customHeight="1"/>
    <row r="23192" ht="26.25" customHeight="1"/>
    <row r="23193" ht="26.25" customHeight="1"/>
    <row r="23194" ht="26.25" customHeight="1"/>
    <row r="23195" ht="26.25" customHeight="1"/>
    <row r="23196" ht="26.25" customHeight="1"/>
    <row r="23197" ht="26.25" customHeight="1"/>
    <row r="23198" ht="26.25" customHeight="1"/>
    <row r="23199" ht="26.25" customHeight="1"/>
    <row r="23200" ht="26.25" customHeight="1"/>
    <row r="23201" ht="26.25" customHeight="1"/>
    <row r="23202" ht="26.25" customHeight="1"/>
    <row r="23203" ht="26.25" customHeight="1"/>
    <row r="23204" ht="26.25" customHeight="1"/>
    <row r="23205" ht="26.25" customHeight="1"/>
    <row r="23206" ht="26.25" customHeight="1"/>
    <row r="23207" ht="26.25" customHeight="1"/>
    <row r="23208" ht="26.25" customHeight="1"/>
    <row r="23209" ht="26.25" customHeight="1"/>
    <row r="23210" ht="26.25" customHeight="1"/>
    <row r="23211" ht="26.25" customHeight="1"/>
    <row r="23212" ht="26.25" customHeight="1"/>
    <row r="23213" ht="26.25" customHeight="1"/>
    <row r="23214" ht="26.25" customHeight="1"/>
    <row r="23215" ht="26.25" customHeight="1"/>
    <row r="23216" ht="26.25" customHeight="1"/>
    <row r="23217" ht="26.25" customHeight="1"/>
    <row r="23218" ht="26.25" customHeight="1"/>
    <row r="23219" ht="26.25" customHeight="1"/>
    <row r="23220" ht="26.25" customHeight="1"/>
    <row r="23221" ht="26.25" customHeight="1"/>
    <row r="23222" ht="26.25" customHeight="1"/>
    <row r="23223" ht="26.25" customHeight="1"/>
    <row r="23224" ht="26.25" customHeight="1"/>
    <row r="23225" ht="26.25" customHeight="1"/>
    <row r="23226" ht="26.25" customHeight="1"/>
    <row r="23227" ht="26.25" customHeight="1"/>
    <row r="23228" ht="26.25" customHeight="1"/>
    <row r="23229" ht="26.25" customHeight="1"/>
    <row r="23230" ht="26.25" customHeight="1"/>
    <row r="23231" ht="26.25" customHeight="1"/>
    <row r="23232" ht="26.25" customHeight="1"/>
    <row r="23233" ht="26.25" customHeight="1"/>
    <row r="23234" ht="26.25" customHeight="1"/>
    <row r="23235" ht="26.25" customHeight="1"/>
    <row r="23236" ht="26.25" customHeight="1"/>
    <row r="23237" ht="26.25" customHeight="1"/>
    <row r="23238" ht="26.25" customHeight="1"/>
    <row r="23239" ht="26.25" customHeight="1"/>
    <row r="23240" ht="26.25" customHeight="1"/>
    <row r="23241" ht="26.25" customHeight="1"/>
    <row r="23242" ht="26.25" customHeight="1"/>
    <row r="23243" ht="26.25" customHeight="1"/>
    <row r="23244" ht="26.25" customHeight="1"/>
    <row r="23245" ht="26.25" customHeight="1"/>
    <row r="23246" ht="26.25" customHeight="1"/>
    <row r="23247" ht="26.25" customHeight="1"/>
    <row r="23248" ht="26.25" customHeight="1"/>
    <row r="23249" ht="26.25" customHeight="1"/>
    <row r="23250" ht="26.25" customHeight="1"/>
    <row r="23251" ht="26.25" customHeight="1"/>
    <row r="23252" ht="26.25" customHeight="1"/>
    <row r="23253" ht="26.25" customHeight="1"/>
    <row r="23254" ht="26.25" customHeight="1"/>
    <row r="23255" ht="26.25" customHeight="1"/>
    <row r="23256" ht="26.25" customHeight="1"/>
    <row r="23257" ht="26.25" customHeight="1"/>
    <row r="23258" ht="26.25" customHeight="1"/>
    <row r="23259" ht="26.25" customHeight="1"/>
    <row r="23260" ht="26.25" customHeight="1"/>
    <row r="23261" ht="26.25" customHeight="1"/>
    <row r="23262" ht="26.25" customHeight="1"/>
    <row r="23263" ht="26.25" customHeight="1"/>
    <row r="23264" ht="26.25" customHeight="1"/>
    <row r="23265" ht="26.25" customHeight="1"/>
    <row r="23266" ht="26.25" customHeight="1"/>
    <row r="23267" ht="26.25" customHeight="1"/>
    <row r="23268" ht="26.25" customHeight="1"/>
    <row r="23269" ht="26.25" customHeight="1"/>
    <row r="23270" ht="26.25" customHeight="1"/>
    <row r="23271" ht="26.25" customHeight="1"/>
    <row r="23272" ht="26.25" customHeight="1"/>
    <row r="23273" ht="26.25" customHeight="1"/>
    <row r="23274" ht="26.25" customHeight="1"/>
    <row r="23275" ht="26.25" customHeight="1"/>
    <row r="23276" ht="26.25" customHeight="1"/>
    <row r="23277" ht="26.25" customHeight="1"/>
    <row r="23278" ht="26.25" customHeight="1"/>
    <row r="23279" ht="26.25" customHeight="1"/>
    <row r="23280" ht="26.25" customHeight="1"/>
    <row r="23281" ht="26.25" customHeight="1"/>
    <row r="23282" ht="26.25" customHeight="1"/>
    <row r="23283" ht="26.25" customHeight="1"/>
    <row r="23284" ht="26.25" customHeight="1"/>
    <row r="23285" ht="26.25" customHeight="1"/>
    <row r="23286" ht="26.25" customHeight="1"/>
    <row r="23287" ht="26.25" customHeight="1"/>
    <row r="23288" ht="26.25" customHeight="1"/>
    <row r="23289" ht="26.25" customHeight="1"/>
    <row r="23290" ht="26.25" customHeight="1"/>
    <row r="23291" ht="26.25" customHeight="1"/>
    <row r="23292" ht="26.25" customHeight="1"/>
    <row r="23293" ht="26.25" customHeight="1"/>
    <row r="23294" ht="26.25" customHeight="1"/>
    <row r="23295" ht="26.25" customHeight="1"/>
    <row r="23296" ht="26.25" customHeight="1"/>
    <row r="23297" ht="26.25" customHeight="1"/>
    <row r="23298" ht="26.25" customHeight="1"/>
    <row r="23299" ht="26.25" customHeight="1"/>
    <row r="23300" ht="26.25" customHeight="1"/>
    <row r="23301" ht="26.25" customHeight="1"/>
    <row r="23302" ht="26.25" customHeight="1"/>
    <row r="23303" ht="26.25" customHeight="1"/>
    <row r="23304" ht="26.25" customHeight="1"/>
    <row r="23305" ht="26.25" customHeight="1"/>
    <row r="23306" ht="26.25" customHeight="1"/>
    <row r="23307" ht="26.25" customHeight="1"/>
    <row r="23308" ht="26.25" customHeight="1"/>
    <row r="23309" ht="26.25" customHeight="1"/>
    <row r="23310" ht="26.25" customHeight="1"/>
    <row r="23311" ht="26.25" customHeight="1"/>
    <row r="23312" ht="26.25" customHeight="1"/>
    <row r="23313" ht="26.25" customHeight="1"/>
    <row r="23314" ht="26.25" customHeight="1"/>
    <row r="23315" ht="26.25" customHeight="1"/>
    <row r="23316" ht="26.25" customHeight="1"/>
    <row r="23317" ht="26.25" customHeight="1"/>
    <row r="23318" ht="26.25" customHeight="1"/>
    <row r="23319" ht="26.25" customHeight="1"/>
    <row r="23320" ht="26.25" customHeight="1"/>
    <row r="23321" ht="26.25" customHeight="1"/>
    <row r="23322" ht="26.25" customHeight="1"/>
    <row r="23323" ht="26.25" customHeight="1"/>
    <row r="23324" ht="26.25" customHeight="1"/>
    <row r="23325" ht="26.25" customHeight="1"/>
    <row r="23326" ht="26.25" customHeight="1"/>
    <row r="23327" ht="26.25" customHeight="1"/>
    <row r="23328" ht="26.25" customHeight="1"/>
    <row r="23329" ht="26.25" customHeight="1"/>
    <row r="23330" ht="26.25" customHeight="1"/>
    <row r="23331" ht="26.25" customHeight="1"/>
    <row r="23332" ht="26.25" customHeight="1"/>
    <row r="23333" ht="26.25" customHeight="1"/>
    <row r="23334" ht="26.25" customHeight="1"/>
    <row r="23335" ht="26.25" customHeight="1"/>
    <row r="23336" ht="26.25" customHeight="1"/>
    <row r="23337" ht="26.25" customHeight="1"/>
    <row r="23338" ht="26.25" customHeight="1"/>
    <row r="23339" ht="26.25" customHeight="1"/>
    <row r="23340" ht="26.25" customHeight="1"/>
    <row r="23341" ht="26.25" customHeight="1"/>
    <row r="23342" ht="26.25" customHeight="1"/>
    <row r="23343" ht="26.25" customHeight="1"/>
    <row r="23344" ht="26.25" customHeight="1"/>
    <row r="23345" ht="26.25" customHeight="1"/>
    <row r="23346" ht="26.25" customHeight="1"/>
    <row r="23347" ht="26.25" customHeight="1"/>
    <row r="23348" ht="26.25" customHeight="1"/>
    <row r="23349" ht="26.25" customHeight="1"/>
    <row r="23350" ht="26.25" customHeight="1"/>
    <row r="23351" ht="26.25" customHeight="1"/>
    <row r="23352" ht="26.25" customHeight="1"/>
    <row r="23353" ht="26.25" customHeight="1"/>
    <row r="23354" ht="26.25" customHeight="1"/>
    <row r="23355" ht="26.25" customHeight="1"/>
    <row r="23356" ht="26.25" customHeight="1"/>
    <row r="23357" ht="26.25" customHeight="1"/>
    <row r="23358" ht="26.25" customHeight="1"/>
    <row r="23359" ht="26.25" customHeight="1"/>
    <row r="23360" ht="26.25" customHeight="1"/>
    <row r="23361" ht="26.25" customHeight="1"/>
    <row r="23362" ht="26.25" customHeight="1"/>
    <row r="23363" ht="26.25" customHeight="1"/>
    <row r="23364" ht="26.25" customHeight="1"/>
    <row r="23365" ht="26.25" customHeight="1"/>
    <row r="23366" ht="26.25" customHeight="1"/>
    <row r="23367" ht="26.25" customHeight="1"/>
    <row r="23368" ht="26.25" customHeight="1"/>
    <row r="23369" ht="26.25" customHeight="1"/>
    <row r="23370" ht="26.25" customHeight="1"/>
    <row r="23371" ht="26.25" customHeight="1"/>
    <row r="23372" ht="26.25" customHeight="1"/>
    <row r="23373" ht="26.25" customHeight="1"/>
    <row r="23374" ht="26.25" customHeight="1"/>
    <row r="23375" ht="26.25" customHeight="1"/>
    <row r="23376" ht="26.25" customHeight="1"/>
    <row r="23377" ht="26.25" customHeight="1"/>
    <row r="23378" ht="26.25" customHeight="1"/>
    <row r="23379" ht="26.25" customHeight="1"/>
    <row r="23380" ht="26.25" customHeight="1"/>
    <row r="23381" ht="26.25" customHeight="1"/>
    <row r="23382" ht="26.25" customHeight="1"/>
    <row r="23383" ht="26.25" customHeight="1"/>
    <row r="23384" ht="26.25" customHeight="1"/>
    <row r="23385" ht="26.25" customHeight="1"/>
    <row r="23386" ht="26.25" customHeight="1"/>
    <row r="23387" ht="26.25" customHeight="1"/>
    <row r="23388" ht="26.25" customHeight="1"/>
    <row r="23389" ht="26.25" customHeight="1"/>
    <row r="23390" ht="26.25" customHeight="1"/>
    <row r="23391" ht="26.25" customHeight="1"/>
    <row r="23392" ht="26.25" customHeight="1"/>
    <row r="23393" ht="26.25" customHeight="1"/>
    <row r="23394" ht="26.25" customHeight="1"/>
    <row r="23395" ht="26.25" customHeight="1"/>
    <row r="23396" ht="26.25" customHeight="1"/>
    <row r="23397" ht="26.25" customHeight="1"/>
    <row r="23398" ht="26.25" customHeight="1"/>
    <row r="23399" ht="26.25" customHeight="1"/>
    <row r="23400" ht="26.25" customHeight="1"/>
    <row r="23401" ht="26.25" customHeight="1"/>
    <row r="23402" ht="26.25" customHeight="1"/>
    <row r="23403" ht="26.25" customHeight="1"/>
    <row r="23404" ht="26.25" customHeight="1"/>
    <row r="23405" ht="26.25" customHeight="1"/>
    <row r="23406" ht="26.25" customHeight="1"/>
    <row r="23407" ht="26.25" customHeight="1"/>
    <row r="23408" ht="26.25" customHeight="1"/>
    <row r="23409" ht="26.25" customHeight="1"/>
    <row r="23410" ht="26.25" customHeight="1"/>
    <row r="23411" ht="26.25" customHeight="1"/>
    <row r="23412" ht="26.25" customHeight="1"/>
    <row r="23413" ht="26.25" customHeight="1"/>
    <row r="23414" ht="26.25" customHeight="1"/>
    <row r="23415" ht="26.25" customHeight="1"/>
    <row r="23416" ht="26.25" customHeight="1"/>
    <row r="23417" ht="26.25" customHeight="1"/>
    <row r="23418" ht="26.25" customHeight="1"/>
    <row r="23419" ht="26.25" customHeight="1"/>
    <row r="23420" ht="26.25" customHeight="1"/>
    <row r="23421" ht="26.25" customHeight="1"/>
    <row r="23422" ht="26.25" customHeight="1"/>
    <row r="23423" ht="26.25" customHeight="1"/>
    <row r="23424" ht="26.25" customHeight="1"/>
    <row r="23425" ht="26.25" customHeight="1"/>
    <row r="23426" ht="26.25" customHeight="1"/>
    <row r="23427" ht="26.25" customHeight="1"/>
    <row r="23428" ht="26.25" customHeight="1"/>
    <row r="23429" ht="26.25" customHeight="1"/>
    <row r="23430" ht="26.25" customHeight="1"/>
    <row r="23431" ht="26.25" customHeight="1"/>
    <row r="23432" ht="26.25" customHeight="1"/>
    <row r="23433" ht="26.25" customHeight="1"/>
    <row r="23434" ht="26.25" customHeight="1"/>
    <row r="23435" ht="26.25" customHeight="1"/>
    <row r="23436" ht="26.25" customHeight="1"/>
    <row r="23437" ht="26.25" customHeight="1"/>
    <row r="23438" ht="26.25" customHeight="1"/>
    <row r="23439" ht="26.25" customHeight="1"/>
    <row r="23440" ht="26.25" customHeight="1"/>
    <row r="23441" ht="26.25" customHeight="1"/>
    <row r="23442" ht="26.25" customHeight="1"/>
    <row r="23443" ht="26.25" customHeight="1"/>
    <row r="23444" ht="26.25" customHeight="1"/>
    <row r="23445" ht="26.25" customHeight="1"/>
    <row r="23446" ht="26.25" customHeight="1"/>
    <row r="23447" ht="26.25" customHeight="1"/>
    <row r="23448" ht="26.25" customHeight="1"/>
    <row r="23449" ht="26.25" customHeight="1"/>
    <row r="23450" ht="26.25" customHeight="1"/>
    <row r="23451" ht="26.25" customHeight="1"/>
    <row r="23452" ht="26.25" customHeight="1"/>
    <row r="23453" ht="26.25" customHeight="1"/>
    <row r="23454" ht="26.25" customHeight="1"/>
    <row r="23455" ht="26.25" customHeight="1"/>
    <row r="23456" ht="26.25" customHeight="1"/>
    <row r="23457" ht="26.25" customHeight="1"/>
    <row r="23458" ht="26.25" customHeight="1"/>
    <row r="23459" ht="26.25" customHeight="1"/>
    <row r="23460" ht="26.25" customHeight="1"/>
    <row r="23461" ht="26.25" customHeight="1"/>
    <row r="23462" ht="26.25" customHeight="1"/>
    <row r="23463" ht="26.25" customHeight="1"/>
    <row r="23464" ht="26.25" customHeight="1"/>
    <row r="23465" ht="26.25" customHeight="1"/>
    <row r="23466" ht="26.25" customHeight="1"/>
    <row r="23467" ht="26.25" customHeight="1"/>
    <row r="23468" ht="26.25" customHeight="1"/>
    <row r="23469" ht="26.25" customHeight="1"/>
    <row r="23470" ht="26.25" customHeight="1"/>
    <row r="23471" ht="26.25" customHeight="1"/>
    <row r="23472" ht="26.25" customHeight="1"/>
    <row r="23473" ht="26.25" customHeight="1"/>
    <row r="23474" ht="26.25" customHeight="1"/>
    <row r="23475" ht="26.25" customHeight="1"/>
    <row r="23476" ht="26.25" customHeight="1"/>
    <row r="23477" ht="26.25" customHeight="1"/>
    <row r="23478" ht="26.25" customHeight="1"/>
    <row r="23479" ht="26.25" customHeight="1"/>
    <row r="23480" ht="26.25" customHeight="1"/>
    <row r="23481" ht="26.25" customHeight="1"/>
    <row r="23482" ht="26.25" customHeight="1"/>
    <row r="23483" ht="26.25" customHeight="1"/>
    <row r="23484" ht="26.25" customHeight="1"/>
    <row r="23485" ht="26.25" customHeight="1"/>
    <row r="23486" ht="26.25" customHeight="1"/>
    <row r="23487" ht="26.25" customHeight="1"/>
    <row r="23488" ht="26.25" customHeight="1"/>
    <row r="23489" ht="26.25" customHeight="1"/>
    <row r="23490" ht="26.25" customHeight="1"/>
    <row r="23491" ht="26.25" customHeight="1"/>
    <row r="23492" ht="26.25" customHeight="1"/>
    <row r="23493" ht="26.25" customHeight="1"/>
    <row r="23494" ht="26.25" customHeight="1"/>
    <row r="23495" ht="26.25" customHeight="1"/>
    <row r="23496" ht="26.25" customHeight="1"/>
    <row r="23497" ht="26.25" customHeight="1"/>
    <row r="23498" ht="26.25" customHeight="1"/>
    <row r="23499" ht="26.25" customHeight="1"/>
    <row r="23500" ht="26.25" customHeight="1"/>
    <row r="23501" ht="26.25" customHeight="1"/>
    <row r="23502" ht="26.25" customHeight="1"/>
    <row r="23503" ht="26.25" customHeight="1"/>
    <row r="23504" ht="26.25" customHeight="1"/>
    <row r="23505" ht="26.25" customHeight="1"/>
    <row r="23506" ht="26.25" customHeight="1"/>
    <row r="23507" ht="26.25" customHeight="1"/>
    <row r="23508" ht="26.25" customHeight="1"/>
    <row r="23509" ht="26.25" customHeight="1"/>
    <row r="23510" ht="26.25" customHeight="1"/>
    <row r="23511" ht="26.25" customHeight="1"/>
    <row r="23512" ht="26.25" customHeight="1"/>
    <row r="23513" ht="26.25" customHeight="1"/>
    <row r="23514" ht="26.25" customHeight="1"/>
    <row r="23515" ht="26.25" customHeight="1"/>
    <row r="23516" ht="26.25" customHeight="1"/>
    <row r="23517" ht="26.25" customHeight="1"/>
    <row r="23518" ht="26.25" customHeight="1"/>
    <row r="23519" ht="26.25" customHeight="1"/>
    <row r="23520" ht="26.25" customHeight="1"/>
    <row r="23521" ht="26.25" customHeight="1"/>
    <row r="23522" ht="26.25" customHeight="1"/>
    <row r="23523" ht="26.25" customHeight="1"/>
    <row r="23524" ht="26.25" customHeight="1"/>
    <row r="23525" ht="26.25" customHeight="1"/>
    <row r="23526" ht="26.25" customHeight="1"/>
    <row r="23527" ht="26.25" customHeight="1"/>
    <row r="23528" ht="26.25" customHeight="1"/>
    <row r="23529" ht="26.25" customHeight="1"/>
    <row r="23530" ht="26.25" customHeight="1"/>
    <row r="23531" ht="26.25" customHeight="1"/>
    <row r="23532" ht="26.25" customHeight="1"/>
    <row r="23533" ht="26.25" customHeight="1"/>
    <row r="23534" ht="26.25" customHeight="1"/>
    <row r="23535" ht="26.25" customHeight="1"/>
    <row r="23536" ht="26.25" customHeight="1"/>
    <row r="23537" ht="26.25" customHeight="1"/>
    <row r="23538" ht="26.25" customHeight="1"/>
    <row r="23539" ht="26.25" customHeight="1"/>
    <row r="23540" ht="26.25" customHeight="1"/>
    <row r="23541" ht="26.25" customHeight="1"/>
    <row r="23542" ht="26.25" customHeight="1"/>
    <row r="23543" ht="26.25" customHeight="1"/>
    <row r="23544" ht="26.25" customHeight="1"/>
    <row r="23545" ht="26.25" customHeight="1"/>
    <row r="23546" ht="26.25" customHeight="1"/>
    <row r="23547" ht="26.25" customHeight="1"/>
    <row r="23548" ht="26.25" customHeight="1"/>
    <row r="23549" ht="26.25" customHeight="1"/>
    <row r="23550" ht="26.25" customHeight="1"/>
    <row r="23551" ht="26.25" customHeight="1"/>
    <row r="23552" ht="26.25" customHeight="1"/>
    <row r="23553" ht="26.25" customHeight="1"/>
    <row r="23554" ht="26.25" customHeight="1"/>
    <row r="23555" ht="26.25" customHeight="1"/>
    <row r="23556" ht="26.25" customHeight="1"/>
    <row r="23557" ht="26.25" customHeight="1"/>
    <row r="23558" ht="26.25" customHeight="1"/>
    <row r="23559" ht="26.25" customHeight="1"/>
    <row r="23560" ht="26.25" customHeight="1"/>
    <row r="23561" ht="26.25" customHeight="1"/>
    <row r="23562" ht="26.25" customHeight="1"/>
    <row r="23563" ht="26.25" customHeight="1"/>
    <row r="23564" ht="26.25" customHeight="1"/>
    <row r="23565" ht="26.25" customHeight="1"/>
    <row r="23566" ht="26.25" customHeight="1"/>
    <row r="23567" ht="26.25" customHeight="1"/>
    <row r="23568" ht="26.25" customHeight="1"/>
    <row r="23569" ht="26.25" customHeight="1"/>
    <row r="23570" ht="26.25" customHeight="1"/>
    <row r="23571" ht="26.25" customHeight="1"/>
    <row r="23572" ht="26.25" customHeight="1"/>
    <row r="23573" ht="26.25" customHeight="1"/>
    <row r="23574" ht="26.25" customHeight="1"/>
    <row r="23575" ht="26.25" customHeight="1"/>
    <row r="23576" ht="26.25" customHeight="1"/>
    <row r="23577" ht="26.25" customHeight="1"/>
    <row r="23578" ht="26.25" customHeight="1"/>
    <row r="23579" ht="26.25" customHeight="1"/>
    <row r="23580" ht="26.25" customHeight="1"/>
    <row r="23581" ht="26.25" customHeight="1"/>
    <row r="23582" ht="26.25" customHeight="1"/>
    <row r="23583" ht="26.25" customHeight="1"/>
    <row r="23584" ht="26.25" customHeight="1"/>
    <row r="23585" ht="26.25" customHeight="1"/>
    <row r="23586" ht="26.25" customHeight="1"/>
    <row r="23587" ht="26.25" customHeight="1"/>
    <row r="23588" ht="26.25" customHeight="1"/>
    <row r="23589" ht="26.25" customHeight="1"/>
    <row r="23590" ht="26.25" customHeight="1"/>
    <row r="23591" ht="26.25" customHeight="1"/>
    <row r="23592" ht="26.25" customHeight="1"/>
    <row r="23593" ht="26.25" customHeight="1"/>
    <row r="23594" ht="26.25" customHeight="1"/>
    <row r="23595" ht="26.25" customHeight="1"/>
    <row r="23596" ht="26.25" customHeight="1"/>
    <row r="23597" ht="26.25" customHeight="1"/>
    <row r="23598" ht="26.25" customHeight="1"/>
    <row r="23599" ht="26.25" customHeight="1"/>
    <row r="23600" ht="26.25" customHeight="1"/>
    <row r="23601" ht="26.25" customHeight="1"/>
    <row r="23602" ht="26.25" customHeight="1"/>
    <row r="23603" ht="26.25" customHeight="1"/>
    <row r="23604" ht="26.25" customHeight="1"/>
    <row r="23605" ht="26.25" customHeight="1"/>
    <row r="23606" ht="26.25" customHeight="1"/>
    <row r="23607" ht="26.25" customHeight="1"/>
    <row r="23608" ht="26.25" customHeight="1"/>
    <row r="23609" ht="26.25" customHeight="1"/>
    <row r="23610" ht="26.25" customHeight="1"/>
    <row r="23611" ht="26.25" customHeight="1"/>
    <row r="23612" ht="26.25" customHeight="1"/>
    <row r="23613" ht="26.25" customHeight="1"/>
    <row r="23614" ht="26.25" customHeight="1"/>
    <row r="23615" ht="26.25" customHeight="1"/>
    <row r="23616" ht="26.25" customHeight="1"/>
    <row r="23617" ht="26.25" customHeight="1"/>
    <row r="23618" ht="26.25" customHeight="1"/>
    <row r="23619" ht="26.25" customHeight="1"/>
    <row r="23620" ht="26.25" customHeight="1"/>
    <row r="23621" ht="26.25" customHeight="1"/>
    <row r="23622" ht="26.25" customHeight="1"/>
    <row r="23623" ht="26.25" customHeight="1"/>
    <row r="23624" ht="26.25" customHeight="1"/>
    <row r="23625" ht="26.25" customHeight="1"/>
    <row r="23626" ht="26.25" customHeight="1"/>
    <row r="23627" ht="26.25" customHeight="1"/>
    <row r="23628" ht="26.25" customHeight="1"/>
    <row r="23629" ht="26.25" customHeight="1"/>
    <row r="23630" ht="26.25" customHeight="1"/>
    <row r="23631" ht="26.25" customHeight="1"/>
    <row r="23632" ht="26.25" customHeight="1"/>
    <row r="23633" ht="26.25" customHeight="1"/>
    <row r="23634" ht="26.25" customHeight="1"/>
    <row r="23635" ht="26.25" customHeight="1"/>
    <row r="23636" ht="26.25" customHeight="1"/>
    <row r="23637" ht="26.25" customHeight="1"/>
    <row r="23638" ht="26.25" customHeight="1"/>
    <row r="23639" ht="26.25" customHeight="1"/>
    <row r="23640" ht="26.25" customHeight="1"/>
    <row r="23641" ht="26.25" customHeight="1"/>
    <row r="23642" ht="26.25" customHeight="1"/>
    <row r="23643" ht="26.25" customHeight="1"/>
    <row r="23644" ht="26.25" customHeight="1"/>
    <row r="23645" ht="26.25" customHeight="1"/>
    <row r="23646" ht="26.25" customHeight="1"/>
    <row r="23647" ht="26.25" customHeight="1"/>
    <row r="23648" ht="26.25" customHeight="1"/>
    <row r="23649" ht="26.25" customHeight="1"/>
    <row r="23650" ht="26.25" customHeight="1"/>
    <row r="23651" ht="26.25" customHeight="1"/>
    <row r="23652" ht="26.25" customHeight="1"/>
    <row r="23653" ht="26.25" customHeight="1"/>
    <row r="23654" ht="26.25" customHeight="1"/>
    <row r="23655" ht="26.25" customHeight="1"/>
    <row r="23656" ht="26.25" customHeight="1"/>
    <row r="23657" ht="26.25" customHeight="1"/>
    <row r="23658" ht="26.25" customHeight="1"/>
    <row r="23659" ht="26.25" customHeight="1"/>
    <row r="23660" ht="26.25" customHeight="1"/>
    <row r="23661" ht="26.25" customHeight="1"/>
    <row r="23662" ht="26.25" customHeight="1"/>
    <row r="23663" ht="26.25" customHeight="1"/>
    <row r="23664" ht="26.25" customHeight="1"/>
    <row r="23665" ht="26.25" customHeight="1"/>
    <row r="23666" ht="26.25" customHeight="1"/>
    <row r="23667" ht="26.25" customHeight="1"/>
    <row r="23668" ht="26.25" customHeight="1"/>
    <row r="23669" ht="26.25" customHeight="1"/>
    <row r="23670" ht="26.25" customHeight="1"/>
    <row r="23671" ht="26.25" customHeight="1"/>
    <row r="23672" ht="26.25" customHeight="1"/>
    <row r="23673" ht="26.25" customHeight="1"/>
    <row r="23674" ht="26.25" customHeight="1"/>
    <row r="23675" ht="26.25" customHeight="1"/>
    <row r="23676" ht="26.25" customHeight="1"/>
    <row r="23677" ht="26.25" customHeight="1"/>
    <row r="23678" ht="26.25" customHeight="1"/>
    <row r="23679" ht="26.25" customHeight="1"/>
    <row r="23680" ht="26.25" customHeight="1"/>
    <row r="23681" ht="26.25" customHeight="1"/>
    <row r="23682" ht="26.25" customHeight="1"/>
    <row r="23683" ht="26.25" customHeight="1"/>
    <row r="23684" ht="26.25" customHeight="1"/>
    <row r="23685" ht="26.25" customHeight="1"/>
    <row r="23686" ht="26.25" customHeight="1"/>
    <row r="23687" ht="26.25" customHeight="1"/>
    <row r="23688" ht="26.25" customHeight="1"/>
    <row r="23689" ht="26.25" customHeight="1"/>
    <row r="23690" ht="26.25" customHeight="1"/>
    <row r="23691" ht="26.25" customHeight="1"/>
    <row r="23692" ht="26.25" customHeight="1"/>
    <row r="23693" ht="26.25" customHeight="1"/>
    <row r="23694" ht="26.25" customHeight="1"/>
    <row r="23695" ht="26.25" customHeight="1"/>
    <row r="23696" ht="26.25" customHeight="1"/>
    <row r="23697" ht="26.25" customHeight="1"/>
    <row r="23698" ht="26.25" customHeight="1"/>
    <row r="23699" ht="26.25" customHeight="1"/>
    <row r="23700" ht="26.25" customHeight="1"/>
    <row r="23701" ht="26.25" customHeight="1"/>
    <row r="23702" ht="26.25" customHeight="1"/>
    <row r="23703" ht="26.25" customHeight="1"/>
    <row r="23704" ht="26.25" customHeight="1"/>
    <row r="23705" ht="26.25" customHeight="1"/>
    <row r="23706" ht="26.25" customHeight="1"/>
    <row r="23707" ht="26.25" customHeight="1"/>
    <row r="23708" ht="26.25" customHeight="1"/>
    <row r="23709" ht="26.25" customHeight="1"/>
    <row r="23710" ht="26.25" customHeight="1"/>
    <row r="23711" ht="26.25" customHeight="1"/>
    <row r="23712" ht="26.25" customHeight="1"/>
    <row r="23713" ht="26.25" customHeight="1"/>
    <row r="23714" ht="26.25" customHeight="1"/>
    <row r="23715" ht="26.25" customHeight="1"/>
    <row r="23716" ht="26.25" customHeight="1"/>
    <row r="23717" ht="26.25" customHeight="1"/>
    <row r="23718" ht="26.25" customHeight="1"/>
    <row r="23719" ht="26.25" customHeight="1"/>
    <row r="23720" ht="26.25" customHeight="1"/>
    <row r="23721" ht="26.25" customHeight="1"/>
    <row r="23722" ht="26.25" customHeight="1"/>
    <row r="23723" ht="26.25" customHeight="1"/>
    <row r="23724" ht="26.25" customHeight="1"/>
    <row r="23725" ht="26.25" customHeight="1"/>
    <row r="23726" ht="26.25" customHeight="1"/>
    <row r="23727" ht="26.25" customHeight="1"/>
    <row r="23728" ht="26.25" customHeight="1"/>
    <row r="23729" ht="26.25" customHeight="1"/>
    <row r="23730" ht="26.25" customHeight="1"/>
    <row r="23731" ht="26.25" customHeight="1"/>
    <row r="23732" ht="26.25" customHeight="1"/>
    <row r="23733" ht="26.25" customHeight="1"/>
    <row r="23734" ht="26.25" customHeight="1"/>
    <row r="23735" ht="26.25" customHeight="1"/>
    <row r="23736" ht="26.25" customHeight="1"/>
    <row r="23737" ht="26.25" customHeight="1"/>
    <row r="23738" ht="26.25" customHeight="1"/>
    <row r="23739" ht="26.25" customHeight="1"/>
    <row r="23740" ht="26.25" customHeight="1"/>
    <row r="23741" ht="26.25" customHeight="1"/>
    <row r="23742" ht="26.25" customHeight="1"/>
    <row r="23743" ht="26.25" customHeight="1"/>
    <row r="23744" ht="26.25" customHeight="1"/>
    <row r="23745" ht="26.25" customHeight="1"/>
    <row r="23746" ht="26.25" customHeight="1"/>
    <row r="23747" ht="26.25" customHeight="1"/>
    <row r="23748" ht="26.25" customHeight="1"/>
    <row r="23749" ht="26.25" customHeight="1"/>
    <row r="23750" ht="26.25" customHeight="1"/>
    <row r="23751" ht="26.25" customHeight="1"/>
    <row r="23752" ht="26.25" customHeight="1"/>
    <row r="23753" ht="26.25" customHeight="1"/>
    <row r="23754" ht="26.25" customHeight="1"/>
    <row r="23755" ht="26.25" customHeight="1"/>
    <row r="23756" ht="26.25" customHeight="1"/>
    <row r="23757" ht="26.25" customHeight="1"/>
    <row r="23758" ht="26.25" customHeight="1"/>
    <row r="23759" ht="26.25" customHeight="1"/>
    <row r="23760" ht="26.25" customHeight="1"/>
    <row r="23761" ht="26.25" customHeight="1"/>
    <row r="23762" ht="26.25" customHeight="1"/>
    <row r="23763" ht="26.25" customHeight="1"/>
    <row r="23764" ht="26.25" customHeight="1"/>
    <row r="23765" ht="26.25" customHeight="1"/>
    <row r="23766" ht="26.25" customHeight="1"/>
    <row r="23767" ht="26.25" customHeight="1"/>
    <row r="23768" ht="26.25" customHeight="1"/>
    <row r="23769" ht="26.25" customHeight="1"/>
    <row r="23770" ht="26.25" customHeight="1"/>
    <row r="23771" ht="26.25" customHeight="1"/>
    <row r="23772" ht="26.25" customHeight="1"/>
    <row r="23773" ht="26.25" customHeight="1"/>
    <row r="23774" ht="26.25" customHeight="1"/>
    <row r="23775" ht="26.25" customHeight="1"/>
    <row r="23776" ht="26.25" customHeight="1"/>
    <row r="23777" ht="26.25" customHeight="1"/>
    <row r="23778" ht="26.25" customHeight="1"/>
    <row r="23779" ht="26.25" customHeight="1"/>
    <row r="23780" ht="26.25" customHeight="1"/>
    <row r="23781" ht="26.25" customHeight="1"/>
    <row r="23782" ht="26.25" customHeight="1"/>
    <row r="23783" ht="26.25" customHeight="1"/>
    <row r="23784" ht="26.25" customHeight="1"/>
    <row r="23785" ht="26.25" customHeight="1"/>
    <row r="23786" ht="26.25" customHeight="1"/>
    <row r="23787" ht="26.25" customHeight="1"/>
    <row r="23788" ht="26.25" customHeight="1"/>
    <row r="23789" ht="26.25" customHeight="1"/>
    <row r="23790" ht="26.25" customHeight="1"/>
    <row r="23791" ht="26.25" customHeight="1"/>
    <row r="23792" ht="26.25" customHeight="1"/>
    <row r="23793" ht="26.25" customHeight="1"/>
    <row r="23794" ht="26.25" customHeight="1"/>
    <row r="23795" ht="26.25" customHeight="1"/>
    <row r="23796" ht="26.25" customHeight="1"/>
    <row r="23797" ht="26.25" customHeight="1"/>
    <row r="23798" ht="26.25" customHeight="1"/>
    <row r="23799" ht="26.25" customHeight="1"/>
    <row r="23800" ht="26.25" customHeight="1"/>
    <row r="23801" ht="26.25" customHeight="1"/>
    <row r="23802" ht="26.25" customHeight="1"/>
    <row r="23803" ht="26.25" customHeight="1"/>
    <row r="23804" ht="26.25" customHeight="1"/>
    <row r="23805" ht="26.25" customHeight="1"/>
    <row r="23806" ht="26.25" customHeight="1"/>
    <row r="23807" ht="26.25" customHeight="1"/>
    <row r="23808" ht="26.25" customHeight="1"/>
    <row r="23809" ht="26.25" customHeight="1"/>
    <row r="23810" ht="26.25" customHeight="1"/>
    <row r="23811" ht="26.25" customHeight="1"/>
    <row r="23812" ht="26.25" customHeight="1"/>
    <row r="23813" ht="26.25" customHeight="1"/>
    <row r="23814" ht="26.25" customHeight="1"/>
    <row r="23815" ht="26.25" customHeight="1"/>
    <row r="23816" ht="26.25" customHeight="1"/>
    <row r="23817" ht="26.25" customHeight="1"/>
    <row r="23818" ht="26.25" customHeight="1"/>
    <row r="23819" ht="26.25" customHeight="1"/>
    <row r="23820" ht="26.25" customHeight="1"/>
    <row r="23821" ht="26.25" customHeight="1"/>
    <row r="23822" ht="26.25" customHeight="1"/>
    <row r="23823" ht="26.25" customHeight="1"/>
    <row r="23824" ht="26.25" customHeight="1"/>
    <row r="23825" ht="26.25" customHeight="1"/>
    <row r="23826" ht="26.25" customHeight="1"/>
    <row r="23827" ht="26.25" customHeight="1"/>
    <row r="23828" ht="26.25" customHeight="1"/>
    <row r="23829" ht="26.25" customHeight="1"/>
    <row r="23830" ht="26.25" customHeight="1"/>
    <row r="23831" ht="26.25" customHeight="1"/>
    <row r="23832" ht="26.25" customHeight="1"/>
    <row r="23833" ht="26.25" customHeight="1"/>
    <row r="23834" ht="26.25" customHeight="1"/>
    <row r="23835" ht="26.25" customHeight="1"/>
    <row r="23836" ht="26.25" customHeight="1"/>
    <row r="23837" ht="26.25" customHeight="1"/>
    <row r="23838" ht="26.25" customHeight="1"/>
    <row r="23839" ht="26.25" customHeight="1"/>
    <row r="23840" ht="26.25" customHeight="1"/>
    <row r="23841" ht="26.25" customHeight="1"/>
    <row r="23842" ht="26.25" customHeight="1"/>
    <row r="23843" ht="26.25" customHeight="1"/>
    <row r="23844" ht="26.25" customHeight="1"/>
    <row r="23845" ht="26.25" customHeight="1"/>
    <row r="23846" ht="26.25" customHeight="1"/>
    <row r="23847" ht="26.25" customHeight="1"/>
    <row r="23848" ht="26.25" customHeight="1"/>
    <row r="23849" ht="26.25" customHeight="1"/>
    <row r="23850" ht="26.25" customHeight="1"/>
    <row r="23851" ht="26.25" customHeight="1"/>
    <row r="23852" ht="26.25" customHeight="1"/>
    <row r="23853" ht="26.25" customHeight="1"/>
    <row r="23854" ht="26.25" customHeight="1"/>
    <row r="23855" ht="26.25" customHeight="1"/>
    <row r="23856" ht="26.25" customHeight="1"/>
    <row r="23857" ht="26.25" customHeight="1"/>
    <row r="23858" ht="26.25" customHeight="1"/>
    <row r="23859" ht="26.25" customHeight="1"/>
    <row r="23860" ht="26.25" customHeight="1"/>
    <row r="23861" ht="26.25" customHeight="1"/>
    <row r="23862" ht="26.25" customHeight="1"/>
    <row r="23863" ht="26.25" customHeight="1"/>
    <row r="23864" ht="26.25" customHeight="1"/>
    <row r="23865" ht="26.25" customHeight="1"/>
    <row r="23866" ht="26.25" customHeight="1"/>
    <row r="23867" ht="26.25" customHeight="1"/>
    <row r="23868" ht="26.25" customHeight="1"/>
    <row r="23869" ht="26.25" customHeight="1"/>
    <row r="23870" ht="26.25" customHeight="1"/>
    <row r="23871" ht="26.25" customHeight="1"/>
    <row r="23872" ht="26.25" customHeight="1"/>
    <row r="23873" ht="26.25" customHeight="1"/>
    <row r="23874" ht="26.25" customHeight="1"/>
    <row r="23875" ht="26.25" customHeight="1"/>
    <row r="23876" ht="26.25" customHeight="1"/>
    <row r="23877" ht="26.25" customHeight="1"/>
    <row r="23878" ht="26.25" customHeight="1"/>
    <row r="23879" ht="26.25" customHeight="1"/>
    <row r="23880" ht="26.25" customHeight="1"/>
    <row r="23881" ht="26.25" customHeight="1"/>
    <row r="23882" ht="26.25" customHeight="1"/>
    <row r="23883" ht="26.25" customHeight="1"/>
    <row r="23884" ht="26.25" customHeight="1"/>
    <row r="23885" ht="26.25" customHeight="1"/>
    <row r="23886" ht="26.25" customHeight="1"/>
    <row r="23887" ht="26.25" customHeight="1"/>
    <row r="23888" ht="26.25" customHeight="1"/>
    <row r="23889" ht="26.25" customHeight="1"/>
    <row r="23890" ht="26.25" customHeight="1"/>
    <row r="23891" ht="26.25" customHeight="1"/>
    <row r="23892" ht="26.25" customHeight="1"/>
    <row r="23893" ht="26.25" customHeight="1"/>
    <row r="23894" ht="26.25" customHeight="1"/>
    <row r="23895" ht="26.25" customHeight="1"/>
    <row r="23896" ht="26.25" customHeight="1"/>
    <row r="23897" ht="26.25" customHeight="1"/>
    <row r="23898" ht="26.25" customHeight="1"/>
    <row r="23899" ht="26.25" customHeight="1"/>
    <row r="23900" ht="26.25" customHeight="1"/>
    <row r="23901" ht="26.25" customHeight="1"/>
    <row r="23902" ht="26.25" customHeight="1"/>
    <row r="23903" ht="26.25" customHeight="1"/>
    <row r="23904" ht="26.25" customHeight="1"/>
    <row r="23905" ht="26.25" customHeight="1"/>
    <row r="23906" ht="26.25" customHeight="1"/>
    <row r="23907" ht="26.25" customHeight="1"/>
    <row r="23908" ht="26.25" customHeight="1"/>
    <row r="23909" ht="26.25" customHeight="1"/>
    <row r="23910" ht="26.25" customHeight="1"/>
    <row r="23911" ht="26.25" customHeight="1"/>
    <row r="23912" ht="26.25" customHeight="1"/>
    <row r="23913" ht="26.25" customHeight="1"/>
    <row r="23914" ht="26.25" customHeight="1"/>
    <row r="23915" ht="26.25" customHeight="1"/>
    <row r="23916" ht="26.25" customHeight="1"/>
    <row r="23917" ht="26.25" customHeight="1"/>
    <row r="23918" ht="26.25" customHeight="1"/>
    <row r="23919" ht="26.25" customHeight="1"/>
    <row r="23920" ht="26.25" customHeight="1"/>
    <row r="23921" ht="26.25" customHeight="1"/>
    <row r="23922" ht="26.25" customHeight="1"/>
    <row r="23923" ht="26.25" customHeight="1"/>
    <row r="23924" ht="26.25" customHeight="1"/>
    <row r="23925" ht="26.25" customHeight="1"/>
    <row r="23926" ht="26.25" customHeight="1"/>
    <row r="23927" ht="26.25" customHeight="1"/>
    <row r="23928" ht="26.25" customHeight="1"/>
    <row r="23929" ht="26.25" customHeight="1"/>
    <row r="23930" ht="26.25" customHeight="1"/>
    <row r="23931" ht="26.25" customHeight="1"/>
    <row r="23932" ht="26.25" customHeight="1"/>
    <row r="23933" ht="26.25" customHeight="1"/>
    <row r="23934" ht="26.25" customHeight="1"/>
    <row r="23935" ht="26.25" customHeight="1"/>
    <row r="23936" ht="26.25" customHeight="1"/>
    <row r="23937" ht="26.25" customHeight="1"/>
    <row r="23938" ht="26.25" customHeight="1"/>
    <row r="23939" ht="26.25" customHeight="1"/>
    <row r="23940" ht="26.25" customHeight="1"/>
    <row r="23941" ht="26.25" customHeight="1"/>
    <row r="23942" ht="26.25" customHeight="1"/>
    <row r="23943" ht="26.25" customHeight="1"/>
    <row r="23944" ht="26.25" customHeight="1"/>
    <row r="23945" ht="26.25" customHeight="1"/>
    <row r="23946" ht="26.25" customHeight="1"/>
    <row r="23947" ht="26.25" customHeight="1"/>
    <row r="23948" ht="26.25" customHeight="1"/>
    <row r="23949" ht="26.25" customHeight="1"/>
    <row r="23950" ht="26.25" customHeight="1"/>
    <row r="23951" ht="26.25" customHeight="1"/>
    <row r="23952" ht="26.25" customHeight="1"/>
    <row r="23953" ht="26.25" customHeight="1"/>
    <row r="23954" ht="26.25" customHeight="1"/>
    <row r="23955" ht="26.25" customHeight="1"/>
    <row r="23956" ht="26.25" customHeight="1"/>
    <row r="23957" ht="26.25" customHeight="1"/>
    <row r="23958" ht="26.25" customHeight="1"/>
    <row r="23959" ht="26.25" customHeight="1"/>
    <row r="23960" ht="26.25" customHeight="1"/>
    <row r="23961" ht="26.25" customHeight="1"/>
    <row r="23962" ht="26.25" customHeight="1"/>
    <row r="23963" ht="26.25" customHeight="1"/>
    <row r="23964" ht="26.25" customHeight="1"/>
    <row r="23965" ht="26.25" customHeight="1"/>
    <row r="23966" ht="26.25" customHeight="1"/>
    <row r="23967" ht="26.25" customHeight="1"/>
    <row r="23968" ht="26.25" customHeight="1"/>
    <row r="23969" ht="26.25" customHeight="1"/>
    <row r="23970" ht="26.25" customHeight="1"/>
    <row r="23971" ht="26.25" customHeight="1"/>
    <row r="23972" ht="26.25" customHeight="1"/>
    <row r="23973" ht="26.25" customHeight="1"/>
    <row r="23974" ht="26.25" customHeight="1"/>
    <row r="23975" ht="26.25" customHeight="1"/>
    <row r="23976" ht="26.25" customHeight="1"/>
    <row r="23977" ht="26.25" customHeight="1"/>
    <row r="23978" ht="26.25" customHeight="1"/>
    <row r="23979" ht="26.25" customHeight="1"/>
    <row r="23980" ht="26.25" customHeight="1"/>
    <row r="23981" ht="26.25" customHeight="1"/>
    <row r="23982" ht="26.25" customHeight="1"/>
    <row r="23983" ht="26.25" customHeight="1"/>
    <row r="23984" ht="26.25" customHeight="1"/>
    <row r="23985" ht="26.25" customHeight="1"/>
    <row r="23986" ht="26.25" customHeight="1"/>
    <row r="23987" ht="26.25" customHeight="1"/>
    <row r="23988" ht="26.25" customHeight="1"/>
    <row r="23989" ht="26.25" customHeight="1"/>
    <row r="23990" ht="26.25" customHeight="1"/>
    <row r="23991" ht="26.25" customHeight="1"/>
    <row r="23992" ht="26.25" customHeight="1"/>
    <row r="23993" ht="26.25" customHeight="1"/>
    <row r="23994" ht="26.25" customHeight="1"/>
    <row r="23995" ht="26.25" customHeight="1"/>
    <row r="23996" ht="26.25" customHeight="1"/>
    <row r="23997" ht="26.25" customHeight="1"/>
    <row r="23998" ht="26.25" customHeight="1"/>
    <row r="23999" ht="26.25" customHeight="1"/>
    <row r="24000" ht="26.25" customHeight="1"/>
    <row r="24001" ht="26.25" customHeight="1"/>
    <row r="24002" ht="26.25" customHeight="1"/>
    <row r="24003" ht="26.25" customHeight="1"/>
    <row r="24004" ht="26.25" customHeight="1"/>
    <row r="24005" ht="26.25" customHeight="1"/>
    <row r="24006" ht="26.25" customHeight="1"/>
    <row r="24007" ht="26.25" customHeight="1"/>
    <row r="24008" ht="26.25" customHeight="1"/>
    <row r="24009" ht="26.25" customHeight="1"/>
    <row r="24010" ht="26.25" customHeight="1"/>
    <row r="24011" ht="26.25" customHeight="1"/>
    <row r="24012" ht="26.25" customHeight="1"/>
    <row r="24013" ht="26.25" customHeight="1"/>
    <row r="24014" ht="26.25" customHeight="1"/>
    <row r="24015" ht="26.25" customHeight="1"/>
    <row r="24016" ht="26.25" customHeight="1"/>
    <row r="24017" ht="26.25" customHeight="1"/>
    <row r="24018" ht="26.25" customHeight="1"/>
    <row r="24019" ht="26.25" customHeight="1"/>
    <row r="24020" ht="26.25" customHeight="1"/>
    <row r="24021" ht="26.25" customHeight="1"/>
    <row r="24022" ht="26.25" customHeight="1"/>
    <row r="24023" ht="26.25" customHeight="1"/>
    <row r="24024" ht="26.25" customHeight="1"/>
    <row r="24025" ht="26.25" customHeight="1"/>
    <row r="24026" ht="26.25" customHeight="1"/>
    <row r="24027" ht="26.25" customHeight="1"/>
    <row r="24028" ht="26.25" customHeight="1"/>
    <row r="24029" ht="26.25" customHeight="1"/>
    <row r="24030" ht="26.25" customHeight="1"/>
    <row r="24031" ht="26.25" customHeight="1"/>
    <row r="24032" ht="26.25" customHeight="1"/>
    <row r="24033" ht="26.25" customHeight="1"/>
    <row r="24034" ht="26.25" customHeight="1"/>
    <row r="24035" ht="26.25" customHeight="1"/>
    <row r="24036" ht="26.25" customHeight="1"/>
    <row r="24037" ht="26.25" customHeight="1"/>
    <row r="24038" ht="26.25" customHeight="1"/>
    <row r="24039" ht="26.25" customHeight="1"/>
    <row r="24040" ht="26.25" customHeight="1"/>
    <row r="24041" ht="26.25" customHeight="1"/>
    <row r="24042" ht="26.25" customHeight="1"/>
    <row r="24043" ht="26.25" customHeight="1"/>
    <row r="24044" ht="26.25" customHeight="1"/>
    <row r="24045" ht="26.25" customHeight="1"/>
    <row r="24046" ht="26.25" customHeight="1"/>
    <row r="24047" ht="26.25" customHeight="1"/>
    <row r="24048" ht="26.25" customHeight="1"/>
    <row r="24049" ht="26.25" customHeight="1"/>
    <row r="24050" ht="26.25" customHeight="1"/>
    <row r="24051" ht="26.25" customHeight="1"/>
    <row r="24052" ht="26.25" customHeight="1"/>
    <row r="24053" ht="26.25" customHeight="1"/>
    <row r="24054" ht="26.25" customHeight="1"/>
    <row r="24055" ht="26.25" customHeight="1"/>
    <row r="24056" ht="26.25" customHeight="1"/>
    <row r="24057" ht="26.25" customHeight="1"/>
    <row r="24058" ht="26.25" customHeight="1"/>
    <row r="24059" ht="26.25" customHeight="1"/>
    <row r="24060" ht="26.25" customHeight="1"/>
    <row r="24061" ht="26.25" customHeight="1"/>
    <row r="24062" ht="26.25" customHeight="1"/>
    <row r="24063" ht="26.25" customHeight="1"/>
    <row r="24064" ht="26.25" customHeight="1"/>
    <row r="24065" ht="26.25" customHeight="1"/>
    <row r="24066" ht="26.25" customHeight="1"/>
    <row r="24067" ht="26.25" customHeight="1"/>
    <row r="24068" ht="26.25" customHeight="1"/>
    <row r="24069" ht="26.25" customHeight="1"/>
    <row r="24070" ht="26.25" customHeight="1"/>
    <row r="24071" ht="26.25" customHeight="1"/>
    <row r="24072" ht="26.25" customHeight="1"/>
    <row r="24073" ht="26.25" customHeight="1"/>
    <row r="24074" ht="26.25" customHeight="1"/>
    <row r="24075" ht="26.25" customHeight="1"/>
    <row r="24076" ht="26.25" customHeight="1"/>
    <row r="24077" ht="26.25" customHeight="1"/>
    <row r="24078" ht="26.25" customHeight="1"/>
    <row r="24079" ht="26.25" customHeight="1"/>
    <row r="24080" ht="26.25" customHeight="1"/>
    <row r="24081" ht="26.25" customHeight="1"/>
    <row r="24082" ht="26.25" customHeight="1"/>
    <row r="24083" ht="26.25" customHeight="1"/>
    <row r="24084" ht="26.25" customHeight="1"/>
    <row r="24085" ht="26.25" customHeight="1"/>
    <row r="24086" ht="26.25" customHeight="1"/>
    <row r="24087" ht="26.25" customHeight="1"/>
    <row r="24088" ht="26.25" customHeight="1"/>
    <row r="24089" ht="26.25" customHeight="1"/>
    <row r="24090" ht="26.25" customHeight="1"/>
    <row r="24091" ht="26.25" customHeight="1"/>
    <row r="24092" ht="26.25" customHeight="1"/>
    <row r="24093" ht="26.25" customHeight="1"/>
    <row r="24094" ht="26.25" customHeight="1"/>
    <row r="24095" ht="26.25" customHeight="1"/>
    <row r="24096" ht="26.25" customHeight="1"/>
    <row r="24097" ht="26.25" customHeight="1"/>
    <row r="24098" ht="26.25" customHeight="1"/>
    <row r="24099" ht="26.25" customHeight="1"/>
    <row r="24100" ht="26.25" customHeight="1"/>
    <row r="24101" ht="26.25" customHeight="1"/>
    <row r="24102" ht="26.25" customHeight="1"/>
    <row r="24103" ht="26.25" customHeight="1"/>
    <row r="24104" ht="26.25" customHeight="1"/>
    <row r="24105" ht="26.25" customHeight="1"/>
    <row r="24106" ht="26.25" customHeight="1"/>
    <row r="24107" ht="26.25" customHeight="1"/>
    <row r="24108" ht="26.25" customHeight="1"/>
    <row r="24109" ht="26.25" customHeight="1"/>
    <row r="24110" ht="26.25" customHeight="1"/>
    <row r="24111" ht="26.25" customHeight="1"/>
    <row r="24112" ht="26.25" customHeight="1"/>
    <row r="24113" ht="26.25" customHeight="1"/>
    <row r="24114" ht="26.25" customHeight="1"/>
    <row r="24115" ht="26.25" customHeight="1"/>
    <row r="24116" ht="26.25" customHeight="1"/>
    <row r="24117" ht="26.25" customHeight="1"/>
    <row r="24118" ht="26.25" customHeight="1"/>
    <row r="24119" ht="26.25" customHeight="1"/>
    <row r="24120" ht="26.25" customHeight="1"/>
    <row r="24121" ht="26.25" customHeight="1"/>
    <row r="24122" ht="26.25" customHeight="1"/>
    <row r="24123" ht="26.25" customHeight="1"/>
    <row r="24124" ht="26.25" customHeight="1"/>
    <row r="24125" ht="26.25" customHeight="1"/>
    <row r="24126" ht="26.25" customHeight="1"/>
    <row r="24127" ht="26.25" customHeight="1"/>
    <row r="24128" ht="26.25" customHeight="1"/>
    <row r="24129" ht="26.25" customHeight="1"/>
    <row r="24130" ht="26.25" customHeight="1"/>
    <row r="24131" ht="26.25" customHeight="1"/>
    <row r="24132" ht="26.25" customHeight="1"/>
    <row r="24133" ht="26.25" customHeight="1"/>
    <row r="24134" ht="26.25" customHeight="1"/>
    <row r="24135" ht="26.25" customHeight="1"/>
    <row r="24136" ht="26.25" customHeight="1"/>
    <row r="24137" ht="26.25" customHeight="1"/>
    <row r="24138" ht="26.25" customHeight="1"/>
    <row r="24139" ht="26.25" customHeight="1"/>
    <row r="24140" ht="26.25" customHeight="1"/>
    <row r="24141" ht="26.25" customHeight="1"/>
    <row r="24142" ht="26.25" customHeight="1"/>
    <row r="24143" ht="26.25" customHeight="1"/>
    <row r="24144" ht="26.25" customHeight="1"/>
    <row r="24145" ht="26.25" customHeight="1"/>
    <row r="24146" ht="26.25" customHeight="1"/>
    <row r="24147" ht="26.25" customHeight="1"/>
    <row r="24148" ht="26.25" customHeight="1"/>
    <row r="24149" ht="26.25" customHeight="1"/>
    <row r="24150" ht="26.25" customHeight="1"/>
    <row r="24151" ht="26.25" customHeight="1"/>
    <row r="24152" ht="26.25" customHeight="1"/>
    <row r="24153" ht="26.25" customHeight="1"/>
    <row r="24154" ht="26.25" customHeight="1"/>
    <row r="24155" ht="26.25" customHeight="1"/>
    <row r="24156" ht="26.25" customHeight="1"/>
    <row r="24157" ht="26.25" customHeight="1"/>
    <row r="24158" ht="26.25" customHeight="1"/>
    <row r="24159" ht="26.25" customHeight="1"/>
    <row r="24160" ht="26.25" customHeight="1"/>
    <row r="24161" ht="26.25" customHeight="1"/>
    <row r="24162" ht="26.25" customHeight="1"/>
    <row r="24163" ht="26.25" customHeight="1"/>
    <row r="24164" ht="26.25" customHeight="1"/>
    <row r="24165" ht="26.25" customHeight="1"/>
    <row r="24166" ht="26.25" customHeight="1"/>
    <row r="24167" ht="26.25" customHeight="1"/>
    <row r="24168" ht="26.25" customHeight="1"/>
    <row r="24169" ht="26.25" customHeight="1"/>
    <row r="24170" ht="26.25" customHeight="1"/>
    <row r="24171" ht="26.25" customHeight="1"/>
    <row r="24172" ht="26.25" customHeight="1"/>
    <row r="24173" ht="26.25" customHeight="1"/>
    <row r="24174" ht="26.25" customHeight="1"/>
    <row r="24175" ht="26.25" customHeight="1"/>
    <row r="24176" ht="26.25" customHeight="1"/>
    <row r="24177" ht="26.25" customHeight="1"/>
    <row r="24178" ht="26.25" customHeight="1"/>
    <row r="24179" ht="26.25" customHeight="1"/>
    <row r="24180" ht="26.25" customHeight="1"/>
    <row r="24181" ht="26.25" customHeight="1"/>
    <row r="24182" ht="26.25" customHeight="1"/>
    <row r="24183" ht="26.25" customHeight="1"/>
    <row r="24184" ht="26.25" customHeight="1"/>
    <row r="24185" ht="26.25" customHeight="1"/>
    <row r="24186" ht="26.25" customHeight="1"/>
    <row r="24187" ht="26.25" customHeight="1"/>
    <row r="24188" ht="26.25" customHeight="1"/>
    <row r="24189" ht="26.25" customHeight="1"/>
    <row r="24190" ht="26.25" customHeight="1"/>
    <row r="24191" ht="26.25" customHeight="1"/>
    <row r="24192" ht="26.25" customHeight="1"/>
    <row r="24193" ht="26.25" customHeight="1"/>
    <row r="24194" ht="26.25" customHeight="1"/>
    <row r="24195" ht="26.25" customHeight="1"/>
    <row r="24196" ht="26.25" customHeight="1"/>
    <row r="24197" ht="26.25" customHeight="1"/>
    <row r="24198" ht="26.25" customHeight="1"/>
    <row r="24199" ht="26.25" customHeight="1"/>
    <row r="24200" ht="26.25" customHeight="1"/>
    <row r="24201" ht="26.25" customHeight="1"/>
    <row r="24202" ht="26.25" customHeight="1"/>
    <row r="24203" ht="26.25" customHeight="1"/>
    <row r="24204" ht="26.25" customHeight="1"/>
    <row r="24205" ht="26.25" customHeight="1"/>
    <row r="24206" ht="26.25" customHeight="1"/>
    <row r="24207" ht="26.25" customHeight="1"/>
    <row r="24208" ht="26.25" customHeight="1"/>
    <row r="24209" ht="26.25" customHeight="1"/>
    <row r="24210" ht="26.25" customHeight="1"/>
    <row r="24211" ht="26.25" customHeight="1"/>
    <row r="24212" ht="26.25" customHeight="1"/>
    <row r="24213" ht="26.25" customHeight="1"/>
    <row r="24214" ht="26.25" customHeight="1"/>
    <row r="24215" ht="26.25" customHeight="1"/>
    <row r="24216" ht="26.25" customHeight="1"/>
    <row r="24217" ht="26.25" customHeight="1"/>
    <row r="24218" ht="26.25" customHeight="1"/>
    <row r="24219" ht="26.25" customHeight="1"/>
    <row r="24220" ht="26.25" customHeight="1"/>
    <row r="24221" ht="26.25" customHeight="1"/>
    <row r="24222" ht="26.25" customHeight="1"/>
    <row r="24223" ht="26.25" customHeight="1"/>
    <row r="24224" ht="26.25" customHeight="1"/>
    <row r="24225" ht="26.25" customHeight="1"/>
    <row r="24226" ht="26.25" customHeight="1"/>
    <row r="24227" ht="26.25" customHeight="1"/>
    <row r="24228" ht="26.25" customHeight="1"/>
    <row r="24229" ht="26.25" customHeight="1"/>
    <row r="24230" ht="26.25" customHeight="1"/>
    <row r="24231" ht="26.25" customHeight="1"/>
    <row r="24232" ht="26.25" customHeight="1"/>
    <row r="24233" ht="26.25" customHeight="1"/>
    <row r="24234" ht="26.25" customHeight="1"/>
    <row r="24235" ht="26.25" customHeight="1"/>
    <row r="24236" ht="26.25" customHeight="1"/>
    <row r="24237" ht="26.25" customHeight="1"/>
    <row r="24238" ht="26.25" customHeight="1"/>
    <row r="24239" ht="26.25" customHeight="1"/>
    <row r="24240" ht="26.25" customHeight="1"/>
    <row r="24241" ht="26.25" customHeight="1"/>
    <row r="24242" ht="26.25" customHeight="1"/>
    <row r="24243" ht="26.25" customHeight="1"/>
    <row r="24244" ht="26.25" customHeight="1"/>
    <row r="24245" ht="26.25" customHeight="1"/>
    <row r="24246" ht="26.25" customHeight="1"/>
    <row r="24247" ht="26.25" customHeight="1"/>
    <row r="24248" ht="26.25" customHeight="1"/>
    <row r="24249" ht="26.25" customHeight="1"/>
    <row r="24250" ht="26.25" customHeight="1"/>
    <row r="24251" ht="26.25" customHeight="1"/>
    <row r="24252" ht="26.25" customHeight="1"/>
    <row r="24253" ht="26.25" customHeight="1"/>
    <row r="24254" ht="26.25" customHeight="1"/>
    <row r="24255" ht="26.25" customHeight="1"/>
    <row r="24256" ht="26.25" customHeight="1"/>
    <row r="24257" ht="26.25" customHeight="1"/>
    <row r="24258" ht="26.25" customHeight="1"/>
    <row r="24259" ht="26.25" customHeight="1"/>
    <row r="24260" ht="26.25" customHeight="1"/>
    <row r="24261" ht="26.25" customHeight="1"/>
    <row r="24262" ht="26.25" customHeight="1"/>
    <row r="24263" ht="26.25" customHeight="1"/>
    <row r="24264" ht="26.25" customHeight="1"/>
    <row r="24265" ht="26.25" customHeight="1"/>
    <row r="24266" ht="26.25" customHeight="1"/>
    <row r="24267" ht="26.25" customHeight="1"/>
    <row r="24268" ht="26.25" customHeight="1"/>
    <row r="24269" ht="26.25" customHeight="1"/>
    <row r="24270" ht="26.25" customHeight="1"/>
    <row r="24271" ht="26.25" customHeight="1"/>
    <row r="24272" ht="26.25" customHeight="1"/>
    <row r="24273" ht="26.25" customHeight="1"/>
    <row r="24274" ht="26.25" customHeight="1"/>
    <row r="24275" ht="26.25" customHeight="1"/>
    <row r="24276" ht="26.25" customHeight="1"/>
    <row r="24277" ht="26.25" customHeight="1"/>
    <row r="24278" ht="26.25" customHeight="1"/>
    <row r="24279" ht="26.25" customHeight="1"/>
    <row r="24280" ht="26.25" customHeight="1"/>
    <row r="24281" ht="26.25" customHeight="1"/>
    <row r="24282" ht="26.25" customHeight="1"/>
    <row r="24283" ht="26.25" customHeight="1"/>
    <row r="24284" ht="26.25" customHeight="1"/>
    <row r="24285" ht="26.25" customHeight="1"/>
    <row r="24286" ht="26.25" customHeight="1"/>
    <row r="24287" ht="26.25" customHeight="1"/>
    <row r="24288" ht="26.25" customHeight="1"/>
    <row r="24289" ht="26.25" customHeight="1"/>
    <row r="24290" ht="26.25" customHeight="1"/>
    <row r="24291" ht="26.25" customHeight="1"/>
    <row r="24292" ht="26.25" customHeight="1"/>
    <row r="24293" ht="26.25" customHeight="1"/>
    <row r="24294" ht="26.25" customHeight="1"/>
    <row r="24295" ht="26.25" customHeight="1"/>
    <row r="24296" ht="26.25" customHeight="1"/>
    <row r="24297" ht="26.25" customHeight="1"/>
    <row r="24298" ht="26.25" customHeight="1"/>
    <row r="24299" ht="26.25" customHeight="1"/>
    <row r="24300" ht="26.25" customHeight="1"/>
    <row r="24301" ht="26.25" customHeight="1"/>
    <row r="24302" ht="26.25" customHeight="1"/>
    <row r="24303" ht="26.25" customHeight="1"/>
    <row r="24304" ht="26.25" customHeight="1"/>
    <row r="24305" ht="26.25" customHeight="1"/>
    <row r="24306" ht="26.25" customHeight="1"/>
    <row r="24307" ht="26.25" customHeight="1"/>
    <row r="24308" ht="26.25" customHeight="1"/>
    <row r="24309" ht="26.25" customHeight="1"/>
    <row r="24310" ht="26.25" customHeight="1"/>
    <row r="24311" ht="26.25" customHeight="1"/>
    <row r="24312" ht="26.25" customHeight="1"/>
    <row r="24313" ht="26.25" customHeight="1"/>
    <row r="24314" ht="26.25" customHeight="1"/>
    <row r="24315" ht="26.25" customHeight="1"/>
    <row r="24316" ht="26.25" customHeight="1"/>
    <row r="24317" ht="26.25" customHeight="1"/>
    <row r="24318" ht="26.25" customHeight="1"/>
    <row r="24319" ht="26.25" customHeight="1"/>
    <row r="24320" ht="26.25" customHeight="1"/>
    <row r="24321" ht="26.25" customHeight="1"/>
    <row r="24322" ht="26.25" customHeight="1"/>
    <row r="24323" ht="26.25" customHeight="1"/>
    <row r="24324" ht="26.25" customHeight="1"/>
    <row r="24325" ht="26.25" customHeight="1"/>
    <row r="24326" ht="26.25" customHeight="1"/>
    <row r="24327" ht="26.25" customHeight="1"/>
    <row r="24328" ht="26.25" customHeight="1"/>
    <row r="24329" ht="26.25" customHeight="1"/>
    <row r="24330" ht="26.25" customHeight="1"/>
    <row r="24331" ht="26.25" customHeight="1"/>
    <row r="24332" ht="26.25" customHeight="1"/>
    <row r="24333" ht="26.25" customHeight="1"/>
    <row r="24334" ht="26.25" customHeight="1"/>
    <row r="24335" ht="26.25" customHeight="1"/>
    <row r="24336" ht="26.25" customHeight="1"/>
    <row r="24337" ht="26.25" customHeight="1"/>
    <row r="24338" ht="26.25" customHeight="1"/>
    <row r="24339" ht="26.25" customHeight="1"/>
    <row r="24340" ht="26.25" customHeight="1"/>
    <row r="24341" ht="26.25" customHeight="1"/>
    <row r="24342" ht="26.25" customHeight="1"/>
    <row r="24343" ht="26.25" customHeight="1"/>
    <row r="24344" ht="26.25" customHeight="1"/>
    <row r="24345" ht="26.25" customHeight="1"/>
    <row r="24346" ht="26.25" customHeight="1"/>
    <row r="24347" ht="26.25" customHeight="1"/>
    <row r="24348" ht="26.25" customHeight="1"/>
    <row r="24349" ht="26.25" customHeight="1"/>
    <row r="24350" ht="26.25" customHeight="1"/>
    <row r="24351" ht="26.25" customHeight="1"/>
    <row r="24352" ht="26.25" customHeight="1"/>
    <row r="24353" ht="26.25" customHeight="1"/>
    <row r="24354" ht="26.25" customHeight="1"/>
    <row r="24355" ht="26.25" customHeight="1"/>
    <row r="24356" ht="26.25" customHeight="1"/>
    <row r="24357" ht="26.25" customHeight="1"/>
    <row r="24358" ht="26.25" customHeight="1"/>
    <row r="24359" ht="26.25" customHeight="1"/>
    <row r="24360" ht="26.25" customHeight="1"/>
    <row r="24361" ht="26.25" customHeight="1"/>
    <row r="24362" ht="26.25" customHeight="1"/>
    <row r="24363" ht="26.25" customHeight="1"/>
    <row r="24364" ht="26.25" customHeight="1"/>
    <row r="24365" ht="26.25" customHeight="1"/>
    <row r="24366" ht="26.25" customHeight="1"/>
    <row r="24367" ht="26.25" customHeight="1"/>
    <row r="24368" ht="26.25" customHeight="1"/>
    <row r="24369" ht="26.25" customHeight="1"/>
    <row r="24370" ht="26.25" customHeight="1"/>
    <row r="24371" ht="26.25" customHeight="1"/>
    <row r="24372" ht="26.25" customHeight="1"/>
    <row r="24373" ht="26.25" customHeight="1"/>
    <row r="24374" ht="26.25" customHeight="1"/>
    <row r="24375" ht="26.25" customHeight="1"/>
    <row r="24376" ht="26.25" customHeight="1"/>
    <row r="24377" ht="26.25" customHeight="1"/>
    <row r="24378" ht="26.25" customHeight="1"/>
    <row r="24379" ht="26.25" customHeight="1"/>
    <row r="24380" ht="26.25" customHeight="1"/>
    <row r="24381" ht="26.25" customHeight="1"/>
    <row r="24382" ht="26.25" customHeight="1"/>
    <row r="24383" ht="26.25" customHeight="1"/>
    <row r="24384" ht="26.25" customHeight="1"/>
    <row r="24385" ht="26.25" customHeight="1"/>
    <row r="24386" ht="26.25" customHeight="1"/>
    <row r="24387" ht="26.25" customHeight="1"/>
    <row r="24388" ht="26.25" customHeight="1"/>
    <row r="24389" ht="26.25" customHeight="1"/>
    <row r="24390" ht="26.25" customHeight="1"/>
    <row r="24391" ht="26.25" customHeight="1"/>
    <row r="24392" ht="26.25" customHeight="1"/>
    <row r="24393" ht="26.25" customHeight="1"/>
    <row r="24394" ht="26.25" customHeight="1"/>
    <row r="24395" ht="26.25" customHeight="1"/>
    <row r="24396" ht="26.25" customHeight="1"/>
    <row r="24397" ht="26.25" customHeight="1"/>
    <row r="24398" ht="26.25" customHeight="1"/>
    <row r="24399" ht="26.25" customHeight="1"/>
    <row r="24400" ht="26.25" customHeight="1"/>
    <row r="24401" ht="26.25" customHeight="1"/>
    <row r="24402" ht="26.25" customHeight="1"/>
    <row r="24403" ht="26.25" customHeight="1"/>
    <row r="24404" ht="26.25" customHeight="1"/>
    <row r="24405" ht="26.25" customHeight="1"/>
    <row r="24406" ht="26.25" customHeight="1"/>
    <row r="24407" ht="26.25" customHeight="1"/>
    <row r="24408" ht="26.25" customHeight="1"/>
    <row r="24409" ht="26.25" customHeight="1"/>
    <row r="24410" ht="26.25" customHeight="1"/>
    <row r="24411" ht="26.25" customHeight="1"/>
    <row r="24412" ht="26.25" customHeight="1"/>
    <row r="24413" ht="26.25" customHeight="1"/>
    <row r="24414" ht="26.25" customHeight="1"/>
    <row r="24415" ht="26.25" customHeight="1"/>
    <row r="24416" ht="26.25" customHeight="1"/>
    <row r="24417" ht="26.25" customHeight="1"/>
    <row r="24418" ht="26.25" customHeight="1"/>
    <row r="24419" ht="26.25" customHeight="1"/>
    <row r="24420" ht="26.25" customHeight="1"/>
    <row r="24421" ht="26.25" customHeight="1"/>
    <row r="24422" ht="26.25" customHeight="1"/>
    <row r="24423" ht="26.25" customHeight="1"/>
    <row r="24424" ht="26.25" customHeight="1"/>
    <row r="24425" ht="26.25" customHeight="1"/>
    <row r="24426" ht="26.25" customHeight="1"/>
    <row r="24427" ht="26.25" customHeight="1"/>
    <row r="24428" ht="26.25" customHeight="1"/>
    <row r="24429" ht="26.25" customHeight="1"/>
    <row r="24430" ht="26.25" customHeight="1"/>
    <row r="24431" ht="26.25" customHeight="1"/>
    <row r="24432" ht="26.25" customHeight="1"/>
    <row r="24433" ht="26.25" customHeight="1"/>
    <row r="24434" ht="26.25" customHeight="1"/>
    <row r="24435" ht="26.25" customHeight="1"/>
    <row r="24436" ht="26.25" customHeight="1"/>
    <row r="24437" ht="26.25" customHeight="1"/>
    <row r="24438" ht="26.25" customHeight="1"/>
    <row r="24439" ht="26.25" customHeight="1"/>
    <row r="24440" ht="26.25" customHeight="1"/>
    <row r="24441" ht="26.25" customHeight="1"/>
    <row r="24442" ht="26.25" customHeight="1"/>
    <row r="24443" ht="26.25" customHeight="1"/>
    <row r="24444" ht="26.25" customHeight="1"/>
    <row r="24445" ht="26.25" customHeight="1"/>
    <row r="24446" ht="26.25" customHeight="1"/>
    <row r="24447" ht="26.25" customHeight="1"/>
    <row r="24448" ht="26.25" customHeight="1"/>
    <row r="24449" ht="26.25" customHeight="1"/>
    <row r="24450" ht="26.25" customHeight="1"/>
    <row r="24451" ht="26.25" customHeight="1"/>
    <row r="24452" ht="26.25" customHeight="1"/>
    <row r="24453" ht="26.25" customHeight="1"/>
    <row r="24454" ht="26.25" customHeight="1"/>
    <row r="24455" ht="26.25" customHeight="1"/>
    <row r="24456" ht="26.25" customHeight="1"/>
    <row r="24457" ht="26.25" customHeight="1"/>
    <row r="24458" ht="26.25" customHeight="1"/>
    <row r="24459" ht="26.25" customHeight="1"/>
    <row r="24460" ht="26.25" customHeight="1"/>
    <row r="24461" ht="26.25" customHeight="1"/>
    <row r="24462" ht="26.25" customHeight="1"/>
    <row r="24463" ht="26.25" customHeight="1"/>
    <row r="24464" ht="26.25" customHeight="1"/>
    <row r="24465" ht="26.25" customHeight="1"/>
    <row r="24466" ht="26.25" customHeight="1"/>
    <row r="24467" ht="26.25" customHeight="1"/>
    <row r="24468" ht="26.25" customHeight="1"/>
    <row r="24469" ht="26.25" customHeight="1"/>
    <row r="24470" ht="26.25" customHeight="1"/>
    <row r="24471" ht="26.25" customHeight="1"/>
    <row r="24472" ht="26.25" customHeight="1"/>
    <row r="24473" ht="26.25" customHeight="1"/>
    <row r="24474" ht="26.25" customHeight="1"/>
    <row r="24475" ht="26.25" customHeight="1"/>
    <row r="24476" ht="26.25" customHeight="1"/>
    <row r="24477" ht="26.25" customHeight="1"/>
    <row r="24478" ht="26.25" customHeight="1"/>
    <row r="24479" ht="26.25" customHeight="1"/>
    <row r="24480" ht="26.25" customHeight="1"/>
    <row r="24481" ht="26.25" customHeight="1"/>
    <row r="24482" ht="26.25" customHeight="1"/>
    <row r="24483" ht="26.25" customHeight="1"/>
    <row r="24484" ht="26.25" customHeight="1"/>
    <row r="24485" ht="26.25" customHeight="1"/>
    <row r="24486" ht="26.25" customHeight="1"/>
    <row r="24487" ht="26.25" customHeight="1"/>
    <row r="24488" ht="26.25" customHeight="1"/>
    <row r="24489" ht="26.25" customHeight="1"/>
    <row r="24490" ht="26.25" customHeight="1"/>
    <row r="24491" ht="26.25" customHeight="1"/>
    <row r="24492" ht="26.25" customHeight="1"/>
    <row r="24493" ht="26.25" customHeight="1"/>
    <row r="24494" ht="26.25" customHeight="1"/>
    <row r="24495" ht="26.25" customHeight="1"/>
    <row r="24496" ht="26.25" customHeight="1"/>
    <row r="24497" ht="26.25" customHeight="1"/>
    <row r="24498" ht="26.25" customHeight="1"/>
    <row r="24499" ht="26.25" customHeight="1"/>
    <row r="24500" ht="26.25" customHeight="1"/>
    <row r="24501" ht="26.25" customHeight="1"/>
    <row r="24502" ht="26.25" customHeight="1"/>
    <row r="24503" ht="26.25" customHeight="1"/>
    <row r="24504" ht="26.25" customHeight="1"/>
    <row r="24505" ht="26.25" customHeight="1"/>
    <row r="24506" ht="26.25" customHeight="1"/>
    <row r="24507" ht="26.25" customHeight="1"/>
    <row r="24508" ht="26.25" customHeight="1"/>
    <row r="24509" ht="26.25" customHeight="1"/>
    <row r="24510" ht="26.25" customHeight="1"/>
    <row r="24511" ht="26.25" customHeight="1"/>
    <row r="24512" ht="26.25" customHeight="1"/>
    <row r="24513" ht="26.25" customHeight="1"/>
    <row r="24514" ht="26.25" customHeight="1"/>
    <row r="24515" ht="26.25" customHeight="1"/>
    <row r="24516" ht="26.25" customHeight="1"/>
    <row r="24517" ht="26.25" customHeight="1"/>
    <row r="24518" ht="26.25" customHeight="1"/>
    <row r="24519" ht="26.25" customHeight="1"/>
    <row r="24520" ht="26.25" customHeight="1"/>
    <row r="24521" ht="26.25" customHeight="1"/>
    <row r="24522" ht="26.25" customHeight="1"/>
    <row r="24523" ht="26.25" customHeight="1"/>
    <row r="24524" ht="26.25" customHeight="1"/>
    <row r="24525" ht="26.25" customHeight="1"/>
    <row r="24526" ht="26.25" customHeight="1"/>
    <row r="24527" ht="26.25" customHeight="1"/>
    <row r="24528" ht="26.25" customHeight="1"/>
    <row r="24529" ht="26.25" customHeight="1"/>
    <row r="24530" ht="26.25" customHeight="1"/>
    <row r="24531" ht="26.25" customHeight="1"/>
    <row r="24532" ht="26.25" customHeight="1"/>
    <row r="24533" ht="26.25" customHeight="1"/>
    <row r="24534" ht="26.25" customHeight="1"/>
    <row r="24535" ht="26.25" customHeight="1"/>
    <row r="24536" ht="26.25" customHeight="1"/>
    <row r="24537" ht="26.25" customHeight="1"/>
    <row r="24538" ht="26.25" customHeight="1"/>
    <row r="24539" ht="26.25" customHeight="1"/>
    <row r="24540" ht="26.25" customHeight="1"/>
    <row r="24541" ht="26.25" customHeight="1"/>
    <row r="24542" ht="26.25" customHeight="1"/>
    <row r="24543" ht="26.25" customHeight="1"/>
    <row r="24544" ht="26.25" customHeight="1"/>
    <row r="24545" ht="26.25" customHeight="1"/>
    <row r="24546" ht="26.25" customHeight="1"/>
    <row r="24547" ht="26.25" customHeight="1"/>
    <row r="24548" ht="26.25" customHeight="1"/>
    <row r="24549" ht="26.25" customHeight="1"/>
    <row r="24550" ht="26.25" customHeight="1"/>
    <row r="24551" ht="26.25" customHeight="1"/>
    <row r="24552" ht="26.25" customHeight="1"/>
    <row r="24553" ht="26.25" customHeight="1"/>
    <row r="24554" ht="26.25" customHeight="1"/>
    <row r="24555" ht="26.25" customHeight="1"/>
    <row r="24556" ht="26.25" customHeight="1"/>
    <row r="24557" ht="26.25" customHeight="1"/>
    <row r="24558" ht="26.25" customHeight="1"/>
    <row r="24559" ht="26.25" customHeight="1"/>
    <row r="24560" ht="26.25" customHeight="1"/>
    <row r="24561" ht="26.25" customHeight="1"/>
    <row r="24562" ht="26.25" customHeight="1"/>
    <row r="24563" ht="26.25" customHeight="1"/>
    <row r="24564" ht="26.25" customHeight="1"/>
    <row r="24565" ht="26.25" customHeight="1"/>
    <row r="24566" ht="26.25" customHeight="1"/>
    <row r="24567" ht="26.25" customHeight="1"/>
    <row r="24568" ht="26.25" customHeight="1"/>
    <row r="24569" ht="26.25" customHeight="1"/>
    <row r="24570" ht="26.25" customHeight="1"/>
    <row r="24571" ht="26.25" customHeight="1"/>
    <row r="24572" ht="26.25" customHeight="1"/>
    <row r="24573" ht="26.25" customHeight="1"/>
    <row r="24574" ht="26.25" customHeight="1"/>
    <row r="24575" ht="26.25" customHeight="1"/>
    <row r="24576" ht="26.25" customHeight="1"/>
    <row r="24577" ht="26.25" customHeight="1"/>
    <row r="24578" ht="26.25" customHeight="1"/>
    <row r="24579" ht="26.25" customHeight="1"/>
    <row r="24580" ht="26.25" customHeight="1"/>
    <row r="24581" ht="26.25" customHeight="1"/>
    <row r="24582" ht="26.25" customHeight="1"/>
    <row r="24583" ht="26.25" customHeight="1"/>
    <row r="24584" ht="26.25" customHeight="1"/>
    <row r="24585" ht="26.25" customHeight="1"/>
    <row r="24586" ht="26.25" customHeight="1"/>
    <row r="24587" ht="26.25" customHeight="1"/>
    <row r="24588" ht="26.25" customHeight="1"/>
    <row r="24589" ht="26.25" customHeight="1"/>
    <row r="24590" ht="26.25" customHeight="1"/>
    <row r="24591" ht="26.25" customHeight="1"/>
    <row r="24592" ht="26.25" customHeight="1"/>
    <row r="24593" ht="26.25" customHeight="1"/>
    <row r="24594" ht="26.25" customHeight="1"/>
    <row r="24595" ht="26.25" customHeight="1"/>
    <row r="24596" ht="26.25" customHeight="1"/>
    <row r="24597" ht="26.25" customHeight="1"/>
    <row r="24598" ht="26.25" customHeight="1"/>
    <row r="24599" ht="26.25" customHeight="1"/>
    <row r="24600" ht="26.25" customHeight="1"/>
    <row r="24601" ht="26.25" customHeight="1"/>
    <row r="24602" ht="26.25" customHeight="1"/>
    <row r="24603" ht="26.25" customHeight="1"/>
    <row r="24604" ht="26.25" customHeight="1"/>
    <row r="24605" ht="26.25" customHeight="1"/>
    <row r="24606" ht="26.25" customHeight="1"/>
    <row r="24607" ht="26.25" customHeight="1"/>
    <row r="24608" ht="26.25" customHeight="1"/>
    <row r="24609" ht="26.25" customHeight="1"/>
    <row r="24610" ht="26.25" customHeight="1"/>
    <row r="24611" ht="26.25" customHeight="1"/>
    <row r="24612" ht="26.25" customHeight="1"/>
    <row r="24613" ht="26.25" customHeight="1"/>
    <row r="24614" ht="26.25" customHeight="1"/>
    <row r="24615" ht="26.25" customHeight="1"/>
    <row r="24616" ht="26.25" customHeight="1"/>
    <row r="24617" ht="26.25" customHeight="1"/>
    <row r="24618" ht="26.25" customHeight="1"/>
    <row r="24619" ht="26.25" customHeight="1"/>
    <row r="24620" ht="26.25" customHeight="1"/>
    <row r="24621" ht="26.25" customHeight="1"/>
    <row r="24622" ht="26.25" customHeight="1"/>
    <row r="24623" ht="26.25" customHeight="1"/>
    <row r="24624" ht="26.25" customHeight="1"/>
    <row r="24625" ht="26.25" customHeight="1"/>
    <row r="24626" ht="26.25" customHeight="1"/>
    <row r="24627" ht="26.25" customHeight="1"/>
    <row r="24628" ht="26.25" customHeight="1"/>
    <row r="24629" ht="26.25" customHeight="1"/>
    <row r="24630" ht="26.25" customHeight="1"/>
    <row r="24631" ht="26.25" customHeight="1"/>
    <row r="24632" ht="26.25" customHeight="1"/>
    <row r="24633" ht="26.25" customHeight="1"/>
    <row r="24634" ht="26.25" customHeight="1"/>
    <row r="24635" ht="26.25" customHeight="1"/>
    <row r="24636" ht="26.25" customHeight="1"/>
    <row r="24637" ht="26.25" customHeight="1"/>
    <row r="24638" ht="26.25" customHeight="1"/>
    <row r="24639" ht="26.25" customHeight="1"/>
    <row r="24640" ht="26.25" customHeight="1"/>
    <row r="24641" ht="26.25" customHeight="1"/>
    <row r="24642" ht="26.25" customHeight="1"/>
    <row r="24643" ht="26.25" customHeight="1"/>
    <row r="24644" ht="26.25" customHeight="1"/>
    <row r="24645" ht="26.25" customHeight="1"/>
    <row r="24646" ht="26.25" customHeight="1"/>
    <row r="24647" ht="26.25" customHeight="1"/>
    <row r="24648" ht="26.25" customHeight="1"/>
    <row r="24649" ht="26.25" customHeight="1"/>
    <row r="24650" ht="26.25" customHeight="1"/>
    <row r="24651" ht="26.25" customHeight="1"/>
    <row r="24652" ht="26.25" customHeight="1"/>
    <row r="24653" ht="26.25" customHeight="1"/>
    <row r="24654" ht="26.25" customHeight="1"/>
    <row r="24655" ht="26.25" customHeight="1"/>
    <row r="24656" ht="26.25" customHeight="1"/>
    <row r="24657" ht="26.25" customHeight="1"/>
    <row r="24658" ht="26.25" customHeight="1"/>
    <row r="24659" ht="26.25" customHeight="1"/>
    <row r="24660" ht="26.25" customHeight="1"/>
    <row r="24661" ht="26.25" customHeight="1"/>
    <row r="24662" ht="26.25" customHeight="1"/>
    <row r="24663" ht="26.25" customHeight="1"/>
    <row r="24664" ht="26.25" customHeight="1"/>
    <row r="24665" ht="26.25" customHeight="1"/>
    <row r="24666" ht="26.25" customHeight="1"/>
    <row r="24667" ht="26.25" customHeight="1"/>
    <row r="24668" ht="26.25" customHeight="1"/>
    <row r="24669" ht="26.25" customHeight="1"/>
    <row r="24670" ht="26.25" customHeight="1"/>
    <row r="24671" ht="26.25" customHeight="1"/>
    <row r="24672" ht="26.25" customHeight="1"/>
    <row r="24673" ht="26.25" customHeight="1"/>
    <row r="24674" ht="26.25" customHeight="1"/>
    <row r="24675" ht="26.25" customHeight="1"/>
    <row r="24676" ht="26.25" customHeight="1"/>
    <row r="24677" ht="26.25" customHeight="1"/>
    <row r="24678" ht="26.25" customHeight="1"/>
    <row r="24679" ht="26.25" customHeight="1"/>
    <row r="24680" ht="26.25" customHeight="1"/>
    <row r="24681" ht="26.25" customHeight="1"/>
    <row r="24682" ht="26.25" customHeight="1"/>
    <row r="24683" ht="26.25" customHeight="1"/>
    <row r="24684" ht="26.25" customHeight="1"/>
    <row r="24685" ht="26.25" customHeight="1"/>
    <row r="24686" ht="26.25" customHeight="1"/>
    <row r="24687" ht="26.25" customHeight="1"/>
    <row r="24688" ht="26.25" customHeight="1"/>
    <row r="24689" ht="26.25" customHeight="1"/>
    <row r="24690" ht="26.25" customHeight="1"/>
    <row r="24691" ht="26.25" customHeight="1"/>
    <row r="24692" ht="26.25" customHeight="1"/>
    <row r="24693" ht="26.25" customHeight="1"/>
    <row r="24694" ht="26.25" customHeight="1"/>
    <row r="24695" ht="26.25" customHeight="1"/>
    <row r="24696" ht="26.25" customHeight="1"/>
    <row r="24697" ht="26.25" customHeight="1"/>
    <row r="24698" ht="26.25" customHeight="1"/>
    <row r="24699" ht="26.25" customHeight="1"/>
    <row r="24700" ht="26.25" customHeight="1"/>
    <row r="24701" ht="26.25" customHeight="1"/>
    <row r="24702" ht="26.25" customHeight="1"/>
    <row r="24703" ht="26.25" customHeight="1"/>
    <row r="24704" ht="26.25" customHeight="1"/>
    <row r="24705" ht="26.25" customHeight="1"/>
    <row r="24706" ht="26.25" customHeight="1"/>
    <row r="24707" ht="26.25" customHeight="1"/>
    <row r="24708" ht="26.25" customHeight="1"/>
    <row r="24709" ht="26.25" customHeight="1"/>
    <row r="24710" ht="26.25" customHeight="1"/>
    <row r="24711" ht="26.25" customHeight="1"/>
    <row r="24712" ht="26.25" customHeight="1"/>
    <row r="24713" ht="26.25" customHeight="1"/>
    <row r="24714" ht="26.25" customHeight="1"/>
    <row r="24715" ht="26.25" customHeight="1"/>
    <row r="24716" ht="26.25" customHeight="1"/>
    <row r="24717" ht="26.25" customHeight="1"/>
    <row r="24718" ht="26.25" customHeight="1"/>
    <row r="24719" ht="26.25" customHeight="1"/>
    <row r="24720" ht="26.25" customHeight="1"/>
    <row r="24721" ht="26.25" customHeight="1"/>
    <row r="24722" ht="26.25" customHeight="1"/>
    <row r="24723" ht="26.25" customHeight="1"/>
    <row r="24724" ht="26.25" customHeight="1"/>
    <row r="24725" ht="26.25" customHeight="1"/>
    <row r="24726" ht="26.25" customHeight="1"/>
    <row r="24727" ht="26.25" customHeight="1"/>
    <row r="24728" ht="26.25" customHeight="1"/>
    <row r="24729" ht="26.25" customHeight="1"/>
    <row r="24730" ht="26.25" customHeight="1"/>
    <row r="24731" ht="26.25" customHeight="1"/>
    <row r="24732" ht="26.25" customHeight="1"/>
    <row r="24733" ht="26.25" customHeight="1"/>
    <row r="24734" ht="26.25" customHeight="1"/>
    <row r="24735" ht="26.25" customHeight="1"/>
    <row r="24736" ht="26.25" customHeight="1"/>
    <row r="24737" ht="26.25" customHeight="1"/>
    <row r="24738" ht="26.25" customHeight="1"/>
    <row r="24739" ht="26.25" customHeight="1"/>
    <row r="24740" ht="26.25" customHeight="1"/>
    <row r="24741" ht="26.25" customHeight="1"/>
    <row r="24742" ht="26.25" customHeight="1"/>
    <row r="24743" ht="26.25" customHeight="1"/>
    <row r="24744" ht="26.25" customHeight="1"/>
    <row r="24745" ht="26.25" customHeight="1"/>
    <row r="24746" ht="26.25" customHeight="1"/>
    <row r="24747" ht="26.25" customHeight="1"/>
    <row r="24748" ht="26.25" customHeight="1"/>
    <row r="24749" ht="26.25" customHeight="1"/>
    <row r="24750" ht="26.25" customHeight="1"/>
    <row r="24751" ht="26.25" customHeight="1"/>
    <row r="24752" ht="26.25" customHeight="1"/>
    <row r="24753" ht="26.25" customHeight="1"/>
    <row r="24754" ht="26.25" customHeight="1"/>
    <row r="24755" ht="26.25" customHeight="1"/>
    <row r="24756" ht="26.25" customHeight="1"/>
    <row r="24757" ht="26.25" customHeight="1"/>
    <row r="24758" ht="26.25" customHeight="1"/>
    <row r="24759" ht="26.25" customHeight="1"/>
    <row r="24760" ht="26.25" customHeight="1"/>
    <row r="24761" ht="26.25" customHeight="1"/>
    <row r="24762" ht="26.25" customHeight="1"/>
    <row r="24763" ht="26.25" customHeight="1"/>
    <row r="24764" ht="26.25" customHeight="1"/>
    <row r="24765" ht="26.25" customHeight="1"/>
    <row r="24766" ht="26.25" customHeight="1"/>
    <row r="24767" ht="26.25" customHeight="1"/>
    <row r="24768" ht="26.25" customHeight="1"/>
    <row r="24769" ht="26.25" customHeight="1"/>
    <row r="24770" ht="26.25" customHeight="1"/>
    <row r="24771" ht="26.25" customHeight="1"/>
    <row r="24772" ht="26.25" customHeight="1"/>
    <row r="24773" ht="26.25" customHeight="1"/>
    <row r="24774" ht="26.25" customHeight="1"/>
    <row r="24775" ht="26.25" customHeight="1"/>
    <row r="24776" ht="26.25" customHeight="1"/>
    <row r="24777" ht="26.25" customHeight="1"/>
    <row r="24778" ht="26.25" customHeight="1"/>
    <row r="24779" ht="26.25" customHeight="1"/>
    <row r="24780" ht="26.25" customHeight="1"/>
    <row r="24781" ht="26.25" customHeight="1"/>
    <row r="24782" ht="26.25" customHeight="1"/>
    <row r="24783" ht="26.25" customHeight="1"/>
    <row r="24784" ht="26.25" customHeight="1"/>
    <row r="24785" ht="26.25" customHeight="1"/>
    <row r="24786" ht="26.25" customHeight="1"/>
    <row r="24787" ht="26.25" customHeight="1"/>
    <row r="24788" ht="26.25" customHeight="1"/>
    <row r="24789" ht="26.25" customHeight="1"/>
    <row r="24790" ht="26.25" customHeight="1"/>
    <row r="24791" ht="26.25" customHeight="1"/>
    <row r="24792" ht="26.25" customHeight="1"/>
    <row r="24793" ht="26.25" customHeight="1"/>
    <row r="24794" ht="26.25" customHeight="1"/>
    <row r="24795" ht="26.25" customHeight="1"/>
    <row r="24796" ht="26.25" customHeight="1"/>
    <row r="24797" ht="26.25" customHeight="1"/>
    <row r="24798" ht="26.25" customHeight="1"/>
    <row r="24799" ht="26.25" customHeight="1"/>
    <row r="24800" ht="26.25" customHeight="1"/>
    <row r="24801" ht="26.25" customHeight="1"/>
    <row r="24802" ht="26.25" customHeight="1"/>
    <row r="24803" ht="26.25" customHeight="1"/>
    <row r="24804" ht="26.25" customHeight="1"/>
    <row r="24805" ht="26.25" customHeight="1"/>
    <row r="24806" ht="26.25" customHeight="1"/>
    <row r="24807" ht="26.25" customHeight="1"/>
    <row r="24808" ht="26.25" customHeight="1"/>
    <row r="24809" ht="26.25" customHeight="1"/>
    <row r="24810" ht="26.25" customHeight="1"/>
    <row r="24811" ht="26.25" customHeight="1"/>
    <row r="24812" ht="26.25" customHeight="1"/>
    <row r="24813" ht="26.25" customHeight="1"/>
    <row r="24814" ht="26.25" customHeight="1"/>
    <row r="24815" ht="26.25" customHeight="1"/>
    <row r="24816" ht="26.25" customHeight="1"/>
    <row r="24817" ht="26.25" customHeight="1"/>
    <row r="24818" ht="26.25" customHeight="1"/>
    <row r="24819" ht="26.25" customHeight="1"/>
    <row r="24820" ht="26.25" customHeight="1"/>
    <row r="24821" ht="26.25" customHeight="1"/>
    <row r="24822" ht="26.25" customHeight="1"/>
    <row r="24823" ht="26.25" customHeight="1"/>
    <row r="24824" ht="26.25" customHeight="1"/>
    <row r="24825" ht="26.25" customHeight="1"/>
    <row r="24826" ht="26.25" customHeight="1"/>
    <row r="24827" ht="26.25" customHeight="1"/>
    <row r="24828" ht="26.25" customHeight="1"/>
    <row r="24829" ht="26.25" customHeight="1"/>
    <row r="24830" ht="26.25" customHeight="1"/>
    <row r="24831" ht="26.25" customHeight="1"/>
    <row r="24832" ht="26.25" customHeight="1"/>
    <row r="24833" ht="26.25" customHeight="1"/>
    <row r="24834" ht="26.25" customHeight="1"/>
    <row r="24835" ht="26.25" customHeight="1"/>
    <row r="24836" ht="26.25" customHeight="1"/>
    <row r="24837" ht="26.25" customHeight="1"/>
    <row r="24838" ht="26.25" customHeight="1"/>
    <row r="24839" ht="26.25" customHeight="1"/>
    <row r="24840" ht="26.25" customHeight="1"/>
    <row r="24841" ht="26.25" customHeight="1"/>
    <row r="24842" ht="26.25" customHeight="1"/>
    <row r="24843" ht="26.25" customHeight="1"/>
    <row r="24844" ht="26.25" customHeight="1"/>
    <row r="24845" ht="26.25" customHeight="1"/>
    <row r="24846" ht="26.25" customHeight="1"/>
    <row r="24847" ht="26.25" customHeight="1"/>
    <row r="24848" ht="26.25" customHeight="1"/>
    <row r="24849" ht="26.25" customHeight="1"/>
    <row r="24850" ht="26.25" customHeight="1"/>
    <row r="24851" ht="26.25" customHeight="1"/>
    <row r="24852" ht="26.25" customHeight="1"/>
    <row r="24853" ht="26.25" customHeight="1"/>
    <row r="24854" ht="26.25" customHeight="1"/>
    <row r="24855" ht="26.25" customHeight="1"/>
    <row r="24856" ht="26.25" customHeight="1"/>
    <row r="24857" ht="26.25" customHeight="1"/>
    <row r="24858" ht="26.25" customHeight="1"/>
    <row r="24859" ht="26.25" customHeight="1"/>
    <row r="24860" ht="26.25" customHeight="1"/>
    <row r="24861" ht="26.25" customHeight="1"/>
    <row r="24862" ht="26.25" customHeight="1"/>
    <row r="24863" ht="26.25" customHeight="1"/>
    <row r="24864" ht="26.25" customHeight="1"/>
    <row r="24865" ht="26.25" customHeight="1"/>
    <row r="24866" ht="26.25" customHeight="1"/>
    <row r="24867" ht="26.25" customHeight="1"/>
    <row r="24868" ht="26.25" customHeight="1"/>
    <row r="24869" ht="26.25" customHeight="1"/>
    <row r="24870" ht="26.25" customHeight="1"/>
    <row r="24871" ht="26.25" customHeight="1"/>
    <row r="24872" ht="26.25" customHeight="1"/>
    <row r="24873" ht="26.25" customHeight="1"/>
    <row r="24874" ht="26.25" customHeight="1"/>
    <row r="24875" ht="26.25" customHeight="1"/>
    <row r="24876" ht="26.25" customHeight="1"/>
    <row r="24877" ht="26.25" customHeight="1"/>
    <row r="24878" ht="26.25" customHeight="1"/>
    <row r="24879" ht="26.25" customHeight="1"/>
    <row r="24880" ht="26.25" customHeight="1"/>
    <row r="24881" ht="26.25" customHeight="1"/>
    <row r="24882" ht="26.25" customHeight="1"/>
    <row r="24883" ht="26.25" customHeight="1"/>
    <row r="24884" ht="26.25" customHeight="1"/>
    <row r="24885" ht="26.25" customHeight="1"/>
    <row r="24886" ht="26.25" customHeight="1"/>
    <row r="24887" ht="26.25" customHeight="1"/>
    <row r="24888" ht="26.25" customHeight="1"/>
    <row r="24889" ht="26.25" customHeight="1"/>
    <row r="24890" ht="26.25" customHeight="1"/>
    <row r="24891" ht="26.25" customHeight="1"/>
    <row r="24892" ht="26.25" customHeight="1"/>
    <row r="24893" ht="26.25" customHeight="1"/>
    <row r="24894" ht="26.25" customHeight="1"/>
    <row r="24895" ht="26.25" customHeight="1"/>
    <row r="24896" ht="26.25" customHeight="1"/>
    <row r="24897" ht="26.25" customHeight="1"/>
    <row r="24898" ht="26.25" customHeight="1"/>
    <row r="24899" ht="26.25" customHeight="1"/>
    <row r="24900" ht="26.25" customHeight="1"/>
    <row r="24901" ht="26.25" customHeight="1"/>
    <row r="24902" ht="26.25" customHeight="1"/>
    <row r="24903" ht="26.25" customHeight="1"/>
    <row r="24904" ht="26.25" customHeight="1"/>
    <row r="24905" ht="26.25" customHeight="1"/>
    <row r="24906" ht="26.25" customHeight="1"/>
    <row r="24907" ht="26.25" customHeight="1"/>
    <row r="24908" ht="26.25" customHeight="1"/>
    <row r="24909" ht="26.25" customHeight="1"/>
    <row r="24910" ht="26.25" customHeight="1"/>
    <row r="24911" ht="26.25" customHeight="1"/>
    <row r="24912" ht="26.25" customHeight="1"/>
    <row r="24913" ht="26.25" customHeight="1"/>
    <row r="24914" ht="26.25" customHeight="1"/>
    <row r="24915" ht="26.25" customHeight="1"/>
    <row r="24916" ht="26.25" customHeight="1"/>
    <row r="24917" ht="26.25" customHeight="1"/>
    <row r="24918" ht="26.25" customHeight="1"/>
    <row r="24919" ht="26.25" customHeight="1"/>
    <row r="24920" ht="26.25" customHeight="1"/>
    <row r="24921" ht="26.25" customHeight="1"/>
    <row r="24922" ht="26.25" customHeight="1"/>
    <row r="24923" ht="26.25" customHeight="1"/>
    <row r="24924" ht="26.25" customHeight="1"/>
    <row r="24925" ht="26.25" customHeight="1"/>
    <row r="24926" ht="26.25" customHeight="1"/>
    <row r="24927" ht="26.25" customHeight="1"/>
    <row r="24928" ht="26.25" customHeight="1"/>
    <row r="24929" ht="26.25" customHeight="1"/>
    <row r="24930" ht="26.25" customHeight="1"/>
    <row r="24931" ht="26.25" customHeight="1"/>
    <row r="24932" ht="26.25" customHeight="1"/>
    <row r="24933" ht="26.25" customHeight="1"/>
    <row r="24934" ht="26.25" customHeight="1"/>
    <row r="24935" ht="26.25" customHeight="1"/>
    <row r="24936" ht="26.25" customHeight="1"/>
    <row r="24937" ht="26.25" customHeight="1"/>
    <row r="24938" ht="26.25" customHeight="1"/>
    <row r="24939" ht="26.25" customHeight="1"/>
    <row r="24940" ht="26.25" customHeight="1"/>
    <row r="24941" ht="26.25" customHeight="1"/>
    <row r="24942" ht="26.25" customHeight="1"/>
    <row r="24943" ht="26.25" customHeight="1"/>
    <row r="24944" ht="26.25" customHeight="1"/>
    <row r="24945" ht="26.25" customHeight="1"/>
    <row r="24946" ht="26.25" customHeight="1"/>
    <row r="24947" ht="26.25" customHeight="1"/>
    <row r="24948" ht="26.25" customHeight="1"/>
    <row r="24949" ht="26.25" customHeight="1"/>
    <row r="24950" ht="26.25" customHeight="1"/>
    <row r="24951" ht="26.25" customHeight="1"/>
    <row r="24952" ht="26.25" customHeight="1"/>
    <row r="24953" ht="26.25" customHeight="1"/>
    <row r="24954" ht="26.25" customHeight="1"/>
    <row r="24955" ht="26.25" customHeight="1"/>
    <row r="24956" ht="26.25" customHeight="1"/>
    <row r="24957" ht="26.25" customHeight="1"/>
    <row r="24958" ht="26.25" customHeight="1"/>
    <row r="24959" ht="26.25" customHeight="1"/>
    <row r="24960" ht="26.25" customHeight="1"/>
    <row r="24961" ht="26.25" customHeight="1"/>
    <row r="24962" ht="26.25" customHeight="1"/>
    <row r="24963" ht="26.25" customHeight="1"/>
    <row r="24964" ht="26.25" customHeight="1"/>
    <row r="24965" ht="26.25" customHeight="1"/>
    <row r="24966" ht="26.25" customHeight="1"/>
    <row r="24967" ht="26.25" customHeight="1"/>
    <row r="24968" ht="26.25" customHeight="1"/>
    <row r="24969" ht="26.25" customHeight="1"/>
    <row r="24970" ht="26.25" customHeight="1"/>
    <row r="24971" ht="26.25" customHeight="1"/>
    <row r="24972" ht="26.25" customHeight="1"/>
    <row r="24973" ht="26.25" customHeight="1"/>
    <row r="24974" ht="26.25" customHeight="1"/>
    <row r="24975" ht="26.25" customHeight="1"/>
    <row r="24976" ht="26.25" customHeight="1"/>
    <row r="24977" ht="26.25" customHeight="1"/>
    <row r="24978" ht="26.25" customHeight="1"/>
    <row r="24979" ht="26.25" customHeight="1"/>
    <row r="24980" ht="26.25" customHeight="1"/>
    <row r="24981" ht="26.25" customHeight="1"/>
    <row r="24982" ht="26.25" customHeight="1"/>
    <row r="24983" ht="26.25" customHeight="1"/>
    <row r="24984" ht="26.25" customHeight="1"/>
    <row r="24985" ht="26.25" customHeight="1"/>
    <row r="24986" ht="26.25" customHeight="1"/>
    <row r="24987" ht="26.25" customHeight="1"/>
    <row r="24988" ht="26.25" customHeight="1"/>
    <row r="24989" ht="26.25" customHeight="1"/>
    <row r="24990" ht="26.25" customHeight="1"/>
    <row r="24991" ht="26.25" customHeight="1"/>
    <row r="24992" ht="26.25" customHeight="1"/>
    <row r="24993" ht="26.25" customHeight="1"/>
    <row r="24994" ht="26.25" customHeight="1"/>
    <row r="24995" ht="26.25" customHeight="1"/>
    <row r="24996" ht="26.25" customHeight="1"/>
    <row r="24997" ht="26.25" customHeight="1"/>
    <row r="24998" ht="26.25" customHeight="1"/>
    <row r="24999" ht="26.25" customHeight="1"/>
    <row r="25000" ht="26.25" customHeight="1"/>
    <row r="25001" ht="26.25" customHeight="1"/>
    <row r="25002" ht="26.25" customHeight="1"/>
    <row r="25003" ht="26.25" customHeight="1"/>
    <row r="25004" ht="26.25" customHeight="1"/>
    <row r="25005" ht="26.25" customHeight="1"/>
    <row r="25006" ht="26.25" customHeight="1"/>
    <row r="25007" ht="26.25" customHeight="1"/>
    <row r="25008" ht="26.25" customHeight="1"/>
    <row r="25009" ht="26.25" customHeight="1"/>
    <row r="25010" ht="26.25" customHeight="1"/>
    <row r="25011" ht="26.25" customHeight="1"/>
    <row r="25012" ht="26.25" customHeight="1"/>
    <row r="25013" ht="26.25" customHeight="1"/>
    <row r="25014" ht="26.25" customHeight="1"/>
    <row r="25015" ht="26.25" customHeight="1"/>
    <row r="25016" ht="26.25" customHeight="1"/>
    <row r="25017" ht="26.25" customHeight="1"/>
    <row r="25018" ht="26.25" customHeight="1"/>
    <row r="25019" ht="26.25" customHeight="1"/>
    <row r="25020" ht="26.25" customHeight="1"/>
    <row r="25021" ht="26.25" customHeight="1"/>
    <row r="25022" ht="26.25" customHeight="1"/>
    <row r="25023" ht="26.25" customHeight="1"/>
    <row r="25024" ht="26.25" customHeight="1"/>
    <row r="25025" ht="26.25" customHeight="1"/>
    <row r="25026" ht="26.25" customHeight="1"/>
    <row r="25027" ht="26.25" customHeight="1"/>
    <row r="25028" ht="26.25" customHeight="1"/>
    <row r="25029" ht="26.25" customHeight="1"/>
    <row r="25030" ht="26.25" customHeight="1"/>
    <row r="25031" ht="26.25" customHeight="1"/>
    <row r="25032" ht="26.25" customHeight="1"/>
    <row r="25033" ht="26.25" customHeight="1"/>
    <row r="25034" ht="26.25" customHeight="1"/>
    <row r="25035" ht="26.25" customHeight="1"/>
    <row r="25036" ht="26.25" customHeight="1"/>
    <row r="25037" ht="26.25" customHeight="1"/>
    <row r="25038" ht="26.25" customHeight="1"/>
    <row r="25039" ht="26.25" customHeight="1"/>
    <row r="25040" ht="26.25" customHeight="1"/>
    <row r="25041" ht="26.25" customHeight="1"/>
    <row r="25042" ht="26.25" customHeight="1"/>
    <row r="25043" ht="26.25" customHeight="1"/>
    <row r="25044" ht="26.25" customHeight="1"/>
    <row r="25045" ht="26.25" customHeight="1"/>
    <row r="25046" ht="26.25" customHeight="1"/>
    <row r="25047" ht="26.25" customHeight="1"/>
    <row r="25048" ht="26.25" customHeight="1"/>
    <row r="25049" ht="26.25" customHeight="1"/>
    <row r="25050" ht="26.25" customHeight="1"/>
    <row r="25051" ht="26.25" customHeight="1"/>
    <row r="25052" ht="26.25" customHeight="1"/>
    <row r="25053" ht="26.25" customHeight="1"/>
    <row r="25054" ht="26.25" customHeight="1"/>
    <row r="25055" ht="26.25" customHeight="1"/>
    <row r="25056" ht="26.25" customHeight="1"/>
    <row r="25057" ht="26.25" customHeight="1"/>
    <row r="25058" ht="26.25" customHeight="1"/>
    <row r="25059" ht="26.25" customHeight="1"/>
    <row r="25060" ht="26.25" customHeight="1"/>
    <row r="25061" ht="26.25" customHeight="1"/>
    <row r="25062" ht="26.25" customHeight="1"/>
    <row r="25063" ht="26.25" customHeight="1"/>
    <row r="25064" ht="26.25" customHeight="1"/>
    <row r="25065" ht="26.25" customHeight="1"/>
    <row r="25066" ht="26.25" customHeight="1"/>
    <row r="25067" ht="26.25" customHeight="1"/>
    <row r="25068" ht="26.25" customHeight="1"/>
    <row r="25069" ht="26.25" customHeight="1"/>
    <row r="25070" ht="26.25" customHeight="1"/>
    <row r="25071" ht="26.25" customHeight="1"/>
    <row r="25072" ht="26.25" customHeight="1"/>
    <row r="25073" ht="26.25" customHeight="1"/>
    <row r="25074" ht="26.25" customHeight="1"/>
    <row r="25075" ht="26.25" customHeight="1"/>
    <row r="25076" ht="26.25" customHeight="1"/>
    <row r="25077" ht="26.25" customHeight="1"/>
    <row r="25078" ht="26.25" customHeight="1"/>
    <row r="25079" ht="26.25" customHeight="1"/>
    <row r="25080" ht="26.25" customHeight="1"/>
    <row r="25081" ht="26.25" customHeight="1"/>
    <row r="25082" ht="26.25" customHeight="1"/>
    <row r="25083" ht="26.25" customHeight="1"/>
    <row r="25084" ht="26.25" customHeight="1"/>
    <row r="25085" ht="26.25" customHeight="1"/>
    <row r="25086" ht="26.25" customHeight="1"/>
    <row r="25087" ht="26.25" customHeight="1"/>
    <row r="25088" ht="26.25" customHeight="1"/>
    <row r="25089" ht="26.25" customHeight="1"/>
    <row r="25090" ht="26.25" customHeight="1"/>
    <row r="25091" ht="26.25" customHeight="1"/>
    <row r="25092" ht="26.25" customHeight="1"/>
    <row r="25093" ht="26.25" customHeight="1"/>
    <row r="25094" ht="26.25" customHeight="1"/>
    <row r="25095" ht="26.25" customHeight="1"/>
    <row r="25096" ht="26.25" customHeight="1"/>
    <row r="25097" ht="26.25" customHeight="1"/>
    <row r="25098" ht="26.25" customHeight="1"/>
    <row r="25099" ht="26.25" customHeight="1"/>
    <row r="25100" ht="26.25" customHeight="1"/>
    <row r="25101" ht="26.25" customHeight="1"/>
    <row r="25102" ht="26.25" customHeight="1"/>
    <row r="25103" ht="26.25" customHeight="1"/>
    <row r="25104" ht="26.25" customHeight="1"/>
    <row r="25105" ht="26.25" customHeight="1"/>
    <row r="25106" ht="26.25" customHeight="1"/>
    <row r="25107" ht="26.25" customHeight="1"/>
    <row r="25108" ht="26.25" customHeight="1"/>
    <row r="25109" ht="26.25" customHeight="1"/>
    <row r="25110" ht="26.25" customHeight="1"/>
    <row r="25111" ht="26.25" customHeight="1"/>
    <row r="25112" ht="26.25" customHeight="1"/>
    <row r="25113" ht="26.25" customHeight="1"/>
    <row r="25114" ht="26.25" customHeight="1"/>
    <row r="25115" ht="26.25" customHeight="1"/>
    <row r="25116" ht="26.25" customHeight="1"/>
    <row r="25117" ht="26.25" customHeight="1"/>
    <row r="25118" ht="26.25" customHeight="1"/>
    <row r="25119" ht="26.25" customHeight="1"/>
    <row r="25120" ht="26.25" customHeight="1"/>
    <row r="25121" ht="26.25" customHeight="1"/>
    <row r="25122" ht="26.25" customHeight="1"/>
    <row r="25123" ht="26.25" customHeight="1"/>
    <row r="25124" ht="26.25" customHeight="1"/>
    <row r="25125" ht="26.25" customHeight="1"/>
    <row r="25126" ht="26.25" customHeight="1"/>
    <row r="25127" ht="26.25" customHeight="1"/>
    <row r="25128" ht="26.25" customHeight="1"/>
    <row r="25129" ht="26.25" customHeight="1"/>
    <row r="25130" ht="26.25" customHeight="1"/>
    <row r="25131" ht="26.25" customHeight="1"/>
    <row r="25132" ht="26.25" customHeight="1"/>
    <row r="25133" ht="26.25" customHeight="1"/>
    <row r="25134" ht="26.25" customHeight="1"/>
    <row r="25135" ht="26.25" customHeight="1"/>
    <row r="25136" ht="26.25" customHeight="1"/>
    <row r="25137" ht="26.25" customHeight="1"/>
    <row r="25138" ht="26.25" customHeight="1"/>
    <row r="25139" ht="26.25" customHeight="1"/>
    <row r="25140" ht="26.25" customHeight="1"/>
    <row r="25141" ht="26.25" customHeight="1"/>
    <row r="25142" ht="26.25" customHeight="1"/>
    <row r="25143" ht="26.25" customHeight="1"/>
    <row r="25144" ht="26.25" customHeight="1"/>
    <row r="25145" ht="26.25" customHeight="1"/>
    <row r="25146" ht="26.25" customHeight="1"/>
    <row r="25147" ht="26.25" customHeight="1"/>
    <row r="25148" ht="26.25" customHeight="1"/>
    <row r="25149" ht="26.25" customHeight="1"/>
    <row r="25150" ht="26.25" customHeight="1"/>
    <row r="25151" ht="26.25" customHeight="1"/>
    <row r="25152" ht="26.25" customHeight="1"/>
    <row r="25153" ht="26.25" customHeight="1"/>
    <row r="25154" ht="26.25" customHeight="1"/>
    <row r="25155" ht="26.25" customHeight="1"/>
    <row r="25156" ht="26.25" customHeight="1"/>
    <row r="25157" ht="26.25" customHeight="1"/>
    <row r="25158" ht="26.25" customHeight="1"/>
    <row r="25159" ht="26.25" customHeight="1"/>
    <row r="25160" ht="26.25" customHeight="1"/>
    <row r="25161" ht="26.25" customHeight="1"/>
    <row r="25162" ht="26.25" customHeight="1"/>
    <row r="25163" ht="26.25" customHeight="1"/>
    <row r="25164" ht="26.25" customHeight="1"/>
    <row r="25165" ht="26.25" customHeight="1"/>
    <row r="25166" ht="26.25" customHeight="1"/>
    <row r="25167" ht="26.25" customHeight="1"/>
    <row r="25168" ht="26.25" customHeight="1"/>
    <row r="25169" ht="26.25" customHeight="1"/>
    <row r="25170" ht="26.25" customHeight="1"/>
    <row r="25171" ht="26.25" customHeight="1"/>
    <row r="25172" ht="26.25" customHeight="1"/>
    <row r="25173" ht="26.25" customHeight="1"/>
    <row r="25174" ht="26.25" customHeight="1"/>
    <row r="25175" ht="26.25" customHeight="1"/>
    <row r="25176" ht="26.25" customHeight="1"/>
    <row r="25177" ht="26.25" customHeight="1"/>
    <row r="25178" ht="26.25" customHeight="1"/>
    <row r="25179" ht="26.25" customHeight="1"/>
    <row r="25180" ht="26.25" customHeight="1"/>
    <row r="25181" ht="26.25" customHeight="1"/>
    <row r="25182" ht="26.25" customHeight="1"/>
    <row r="25183" ht="26.25" customHeight="1"/>
    <row r="25184" ht="26.25" customHeight="1"/>
    <row r="25185" ht="26.25" customHeight="1"/>
    <row r="25186" ht="26.25" customHeight="1"/>
    <row r="25187" ht="26.25" customHeight="1"/>
    <row r="25188" ht="26.25" customHeight="1"/>
    <row r="25189" ht="26.25" customHeight="1"/>
    <row r="25190" ht="26.25" customHeight="1"/>
    <row r="25191" ht="26.25" customHeight="1"/>
    <row r="25192" ht="26.25" customHeight="1"/>
    <row r="25193" ht="26.25" customHeight="1"/>
    <row r="25194" ht="26.25" customHeight="1"/>
    <row r="25195" ht="26.25" customHeight="1"/>
    <row r="25196" ht="26.25" customHeight="1"/>
    <row r="25197" ht="26.25" customHeight="1"/>
    <row r="25198" ht="26.25" customHeight="1"/>
    <row r="25199" ht="26.25" customHeight="1"/>
    <row r="25200" ht="26.25" customHeight="1"/>
    <row r="25201" ht="26.25" customHeight="1"/>
    <row r="25202" ht="26.25" customHeight="1"/>
    <row r="25203" ht="26.25" customHeight="1"/>
    <row r="25204" ht="26.25" customHeight="1"/>
    <row r="25205" ht="26.25" customHeight="1"/>
    <row r="25206" ht="26.25" customHeight="1"/>
    <row r="25207" ht="26.25" customHeight="1"/>
    <row r="25208" ht="26.25" customHeight="1"/>
    <row r="25209" ht="26.25" customHeight="1"/>
    <row r="25210" ht="26.25" customHeight="1"/>
    <row r="25211" ht="26.25" customHeight="1"/>
    <row r="25212" ht="26.25" customHeight="1"/>
    <row r="25213" ht="26.25" customHeight="1"/>
    <row r="25214" ht="26.25" customHeight="1"/>
    <row r="25215" ht="26.25" customHeight="1"/>
    <row r="25216" ht="26.25" customHeight="1"/>
    <row r="25217" ht="26.25" customHeight="1"/>
    <row r="25218" ht="26.25" customHeight="1"/>
    <row r="25219" ht="26.25" customHeight="1"/>
    <row r="25220" ht="26.25" customHeight="1"/>
    <row r="25221" ht="26.25" customHeight="1"/>
    <row r="25222" ht="26.25" customHeight="1"/>
    <row r="25223" ht="26.25" customHeight="1"/>
    <row r="25224" ht="26.25" customHeight="1"/>
    <row r="25225" ht="26.25" customHeight="1"/>
    <row r="25226" ht="26.25" customHeight="1"/>
    <row r="25227" ht="26.25" customHeight="1"/>
    <row r="25228" ht="26.25" customHeight="1"/>
    <row r="25229" ht="26.25" customHeight="1"/>
    <row r="25230" ht="26.25" customHeight="1"/>
    <row r="25231" ht="26.25" customHeight="1"/>
    <row r="25232" ht="26.25" customHeight="1"/>
    <row r="25233" ht="26.25" customHeight="1"/>
    <row r="25234" ht="26.25" customHeight="1"/>
    <row r="25235" ht="26.25" customHeight="1"/>
    <row r="25236" ht="26.25" customHeight="1"/>
    <row r="25237" ht="26.25" customHeight="1"/>
    <row r="25238" ht="26.25" customHeight="1"/>
    <row r="25239" ht="26.25" customHeight="1"/>
    <row r="25240" ht="26.25" customHeight="1"/>
    <row r="25241" ht="26.25" customHeight="1"/>
    <row r="25242" ht="26.25" customHeight="1"/>
    <row r="25243" ht="26.25" customHeight="1"/>
    <row r="25244" ht="26.25" customHeight="1"/>
    <row r="25245" ht="26.25" customHeight="1"/>
    <row r="25246" ht="26.25" customHeight="1"/>
    <row r="25247" ht="26.25" customHeight="1"/>
    <row r="25248" ht="26.25" customHeight="1"/>
    <row r="25249" ht="26.25" customHeight="1"/>
    <row r="25250" ht="26.25" customHeight="1"/>
    <row r="25251" ht="26.25" customHeight="1"/>
    <row r="25252" ht="26.25" customHeight="1"/>
    <row r="25253" ht="26.25" customHeight="1"/>
    <row r="25254" ht="26.25" customHeight="1"/>
    <row r="25255" ht="26.25" customHeight="1"/>
    <row r="25256" ht="26.25" customHeight="1"/>
    <row r="25257" ht="26.25" customHeight="1"/>
    <row r="25258" ht="26.25" customHeight="1"/>
    <row r="25259" ht="26.25" customHeight="1"/>
    <row r="25260" ht="26.25" customHeight="1"/>
    <row r="25261" ht="26.25" customHeight="1"/>
    <row r="25262" ht="26.25" customHeight="1"/>
    <row r="25263" ht="26.25" customHeight="1"/>
    <row r="25264" ht="26.25" customHeight="1"/>
    <row r="25265" ht="26.25" customHeight="1"/>
    <row r="25266" ht="26.25" customHeight="1"/>
    <row r="25267" ht="26.25" customHeight="1"/>
    <row r="25268" ht="26.25" customHeight="1"/>
    <row r="25269" ht="26.25" customHeight="1"/>
    <row r="25270" ht="26.25" customHeight="1"/>
    <row r="25271" ht="26.25" customHeight="1"/>
    <row r="25272" ht="26.25" customHeight="1"/>
    <row r="25273" ht="26.25" customHeight="1"/>
    <row r="25274" ht="26.25" customHeight="1"/>
    <row r="25275" ht="26.25" customHeight="1"/>
    <row r="25276" ht="26.25" customHeight="1"/>
    <row r="25277" ht="26.25" customHeight="1"/>
    <row r="25278" ht="26.25" customHeight="1"/>
    <row r="25279" ht="26.25" customHeight="1"/>
    <row r="25280" ht="26.25" customHeight="1"/>
    <row r="25281" ht="26.25" customHeight="1"/>
    <row r="25282" ht="26.25" customHeight="1"/>
    <row r="25283" ht="26.25" customHeight="1"/>
    <row r="25284" ht="26.25" customHeight="1"/>
    <row r="25285" ht="26.25" customHeight="1"/>
    <row r="25286" ht="26.25" customHeight="1"/>
    <row r="25287" ht="26.25" customHeight="1"/>
    <row r="25288" ht="26.25" customHeight="1"/>
    <row r="25289" ht="26.25" customHeight="1"/>
    <row r="25290" ht="26.25" customHeight="1"/>
    <row r="25291" ht="26.25" customHeight="1"/>
    <row r="25292" ht="26.25" customHeight="1"/>
    <row r="25293" ht="26.25" customHeight="1"/>
    <row r="25294" ht="26.25" customHeight="1"/>
    <row r="25295" ht="26.25" customHeight="1"/>
    <row r="25296" ht="26.25" customHeight="1"/>
    <row r="25297" ht="26.25" customHeight="1"/>
    <row r="25298" ht="26.25" customHeight="1"/>
    <row r="25299" ht="26.25" customHeight="1"/>
    <row r="25300" ht="26.25" customHeight="1"/>
    <row r="25301" ht="26.25" customHeight="1"/>
    <row r="25302" ht="26.25" customHeight="1"/>
    <row r="25303" ht="26.25" customHeight="1"/>
    <row r="25304" ht="26.25" customHeight="1"/>
    <row r="25305" ht="26.25" customHeight="1"/>
    <row r="25306" ht="26.25" customHeight="1"/>
    <row r="25307" ht="26.25" customHeight="1"/>
    <row r="25308" ht="26.25" customHeight="1"/>
    <row r="25309" ht="26.25" customHeight="1"/>
    <row r="25310" ht="26.25" customHeight="1"/>
    <row r="25311" ht="26.25" customHeight="1"/>
    <row r="25312" ht="26.25" customHeight="1"/>
    <row r="25313" ht="26.25" customHeight="1"/>
    <row r="25314" ht="26.25" customHeight="1"/>
    <row r="25315" ht="26.25" customHeight="1"/>
    <row r="25316" ht="26.25" customHeight="1"/>
    <row r="25317" ht="26.25" customHeight="1"/>
    <row r="25318" ht="26.25" customHeight="1"/>
    <row r="25319" ht="26.25" customHeight="1"/>
    <row r="25320" ht="26.25" customHeight="1"/>
    <row r="25321" ht="26.25" customHeight="1"/>
    <row r="25322" ht="26.25" customHeight="1"/>
    <row r="25323" ht="26.25" customHeight="1"/>
    <row r="25324" ht="26.25" customHeight="1"/>
    <row r="25325" ht="26.25" customHeight="1"/>
    <row r="25326" ht="26.25" customHeight="1"/>
    <row r="25327" ht="26.25" customHeight="1"/>
    <row r="25328" ht="26.25" customHeight="1"/>
    <row r="25329" ht="26.25" customHeight="1"/>
    <row r="25330" ht="26.25" customHeight="1"/>
    <row r="25331" ht="26.25" customHeight="1"/>
    <row r="25332" ht="26.25" customHeight="1"/>
    <row r="25333" ht="26.25" customHeight="1"/>
    <row r="25334" ht="26.25" customHeight="1"/>
    <row r="25335" ht="26.25" customHeight="1"/>
    <row r="25336" ht="26.25" customHeight="1"/>
    <row r="25337" ht="26.25" customHeight="1"/>
    <row r="25338" ht="26.25" customHeight="1"/>
    <row r="25339" ht="26.25" customHeight="1"/>
    <row r="25340" ht="26.25" customHeight="1"/>
    <row r="25341" ht="26.25" customHeight="1"/>
    <row r="25342" ht="26.25" customHeight="1"/>
    <row r="25343" ht="26.25" customHeight="1"/>
    <row r="25344" ht="26.25" customHeight="1"/>
    <row r="25345" ht="26.25" customHeight="1"/>
    <row r="25346" ht="26.25" customHeight="1"/>
    <row r="25347" ht="26.25" customHeight="1"/>
    <row r="25348" ht="26.25" customHeight="1"/>
    <row r="25349" ht="26.25" customHeight="1"/>
    <row r="25350" ht="26.25" customHeight="1"/>
    <row r="25351" ht="26.25" customHeight="1"/>
    <row r="25352" ht="26.25" customHeight="1"/>
    <row r="25353" ht="26.25" customHeight="1"/>
    <row r="25354" ht="26.25" customHeight="1"/>
    <row r="25355" ht="26.25" customHeight="1"/>
    <row r="25356" ht="26.25" customHeight="1"/>
    <row r="25357" ht="26.25" customHeight="1"/>
    <row r="25358" ht="26.25" customHeight="1"/>
    <row r="25359" ht="26.25" customHeight="1"/>
    <row r="25360" ht="26.25" customHeight="1"/>
    <row r="25361" ht="26.25" customHeight="1"/>
    <row r="25362" ht="26.25" customHeight="1"/>
    <row r="25363" ht="26.25" customHeight="1"/>
    <row r="25364" ht="26.25" customHeight="1"/>
    <row r="25365" ht="26.25" customHeight="1"/>
    <row r="25366" ht="26.25" customHeight="1"/>
    <row r="25367" ht="26.25" customHeight="1"/>
    <row r="25368" ht="26.25" customHeight="1"/>
    <row r="25369" ht="26.25" customHeight="1"/>
    <row r="25370" ht="26.25" customHeight="1"/>
    <row r="25371" ht="26.25" customHeight="1"/>
    <row r="25372" ht="26.25" customHeight="1"/>
    <row r="25373" ht="26.25" customHeight="1"/>
    <row r="25374" ht="26.25" customHeight="1"/>
    <row r="25375" ht="26.25" customHeight="1"/>
    <row r="25376" ht="26.25" customHeight="1"/>
    <row r="25377" ht="26.25" customHeight="1"/>
    <row r="25378" ht="26.25" customHeight="1"/>
    <row r="25379" ht="26.25" customHeight="1"/>
    <row r="25380" ht="26.25" customHeight="1"/>
    <row r="25381" ht="26.25" customHeight="1"/>
    <row r="25382" ht="26.25" customHeight="1"/>
    <row r="25383" ht="26.25" customHeight="1"/>
    <row r="25384" ht="26.25" customHeight="1"/>
    <row r="25385" ht="26.25" customHeight="1"/>
    <row r="25386" ht="26.25" customHeight="1"/>
    <row r="25387" ht="26.25" customHeight="1"/>
    <row r="25388" ht="26.25" customHeight="1"/>
    <row r="25389" ht="26.25" customHeight="1"/>
    <row r="25390" ht="26.25" customHeight="1"/>
    <row r="25391" ht="26.25" customHeight="1"/>
    <row r="25392" ht="26.25" customHeight="1"/>
    <row r="25393" ht="26.25" customHeight="1"/>
    <row r="25394" ht="26.25" customHeight="1"/>
    <row r="25395" ht="26.25" customHeight="1"/>
    <row r="25396" ht="26.25" customHeight="1"/>
    <row r="25397" ht="26.25" customHeight="1"/>
    <row r="25398" ht="26.25" customHeight="1"/>
    <row r="25399" ht="26.25" customHeight="1"/>
    <row r="25400" ht="26.25" customHeight="1"/>
    <row r="25401" ht="26.25" customHeight="1"/>
    <row r="25402" ht="26.25" customHeight="1"/>
    <row r="25403" ht="26.25" customHeight="1"/>
    <row r="25404" ht="26.25" customHeight="1"/>
    <row r="25405" ht="26.25" customHeight="1"/>
    <row r="25406" ht="26.25" customHeight="1"/>
    <row r="25407" ht="26.25" customHeight="1"/>
    <row r="25408" ht="26.25" customHeight="1"/>
    <row r="25409" ht="26.25" customHeight="1"/>
    <row r="25410" ht="26.25" customHeight="1"/>
    <row r="25411" ht="26.25" customHeight="1"/>
    <row r="25412" ht="26.25" customHeight="1"/>
    <row r="25413" ht="26.25" customHeight="1"/>
    <row r="25414" ht="26.25" customHeight="1"/>
    <row r="25415" ht="26.25" customHeight="1"/>
    <row r="25416" ht="26.25" customHeight="1"/>
    <row r="25417" ht="26.25" customHeight="1"/>
    <row r="25418" ht="26.25" customHeight="1"/>
    <row r="25419" ht="26.25" customHeight="1"/>
    <row r="25420" ht="26.25" customHeight="1"/>
    <row r="25421" ht="26.25" customHeight="1"/>
    <row r="25422" ht="26.25" customHeight="1"/>
    <row r="25423" ht="26.25" customHeight="1"/>
    <row r="25424" ht="26.25" customHeight="1"/>
    <row r="25425" ht="26.25" customHeight="1"/>
    <row r="25426" ht="26.25" customHeight="1"/>
    <row r="25427" ht="26.25" customHeight="1"/>
    <row r="25428" ht="26.25" customHeight="1"/>
    <row r="25429" ht="26.25" customHeight="1"/>
    <row r="25430" ht="26.25" customHeight="1"/>
    <row r="25431" ht="26.25" customHeight="1"/>
    <row r="25432" ht="26.25" customHeight="1"/>
    <row r="25433" ht="26.25" customHeight="1"/>
    <row r="25434" ht="26.25" customHeight="1"/>
    <row r="25435" ht="26.25" customHeight="1"/>
    <row r="25436" ht="26.25" customHeight="1"/>
    <row r="25437" ht="26.25" customHeight="1"/>
    <row r="25438" ht="26.25" customHeight="1"/>
    <row r="25439" ht="26.25" customHeight="1"/>
    <row r="25440" ht="26.25" customHeight="1"/>
    <row r="25441" ht="26.25" customHeight="1"/>
    <row r="25442" ht="26.25" customHeight="1"/>
    <row r="25443" ht="26.25" customHeight="1"/>
    <row r="25444" ht="26.25" customHeight="1"/>
    <row r="25445" ht="26.25" customHeight="1"/>
    <row r="25446" ht="26.25" customHeight="1"/>
    <row r="25447" ht="26.25" customHeight="1"/>
    <row r="25448" ht="26.25" customHeight="1"/>
    <row r="25449" ht="26.25" customHeight="1"/>
    <row r="25450" ht="26.25" customHeight="1"/>
    <row r="25451" ht="26.25" customHeight="1"/>
    <row r="25452" ht="26.25" customHeight="1"/>
    <row r="25453" ht="26.25" customHeight="1"/>
    <row r="25454" ht="26.25" customHeight="1"/>
    <row r="25455" ht="26.25" customHeight="1"/>
    <row r="25456" ht="26.25" customHeight="1"/>
    <row r="25457" ht="26.25" customHeight="1"/>
    <row r="25458" ht="26.25" customHeight="1"/>
    <row r="25459" ht="26.25" customHeight="1"/>
    <row r="25460" ht="26.25" customHeight="1"/>
    <row r="25461" ht="26.25" customHeight="1"/>
    <row r="25462" ht="26.25" customHeight="1"/>
    <row r="25463" ht="26.25" customHeight="1"/>
    <row r="25464" ht="26.25" customHeight="1"/>
    <row r="25465" ht="26.25" customHeight="1"/>
    <row r="25466" ht="26.25" customHeight="1"/>
    <row r="25467" ht="26.25" customHeight="1"/>
    <row r="25468" ht="26.25" customHeight="1"/>
    <row r="25469" ht="26.25" customHeight="1"/>
    <row r="25470" ht="26.25" customHeight="1"/>
    <row r="25471" ht="26.25" customHeight="1"/>
    <row r="25472" ht="26.25" customHeight="1"/>
    <row r="25473" ht="26.25" customHeight="1"/>
    <row r="25474" ht="26.25" customHeight="1"/>
    <row r="25475" ht="26.25" customHeight="1"/>
    <row r="25476" ht="26.25" customHeight="1"/>
    <row r="25477" ht="26.25" customHeight="1"/>
    <row r="25478" ht="26.25" customHeight="1"/>
    <row r="25479" ht="26.25" customHeight="1"/>
    <row r="25480" ht="26.25" customHeight="1"/>
    <row r="25481" ht="26.25" customHeight="1"/>
    <row r="25482" ht="26.25" customHeight="1"/>
    <row r="25483" ht="26.25" customHeight="1"/>
    <row r="25484" ht="26.25" customHeight="1"/>
    <row r="25485" ht="26.25" customHeight="1"/>
    <row r="25486" ht="26.25" customHeight="1"/>
    <row r="25487" ht="26.25" customHeight="1"/>
    <row r="25488" ht="26.25" customHeight="1"/>
    <row r="25489" ht="26.25" customHeight="1"/>
    <row r="25490" ht="26.25" customHeight="1"/>
    <row r="25491" ht="26.25" customHeight="1"/>
    <row r="25492" ht="26.25" customHeight="1"/>
    <row r="25493" ht="26.25" customHeight="1"/>
    <row r="25494" ht="26.25" customHeight="1"/>
    <row r="25495" ht="26.25" customHeight="1"/>
    <row r="25496" ht="26.25" customHeight="1"/>
    <row r="25497" ht="26.25" customHeight="1"/>
    <row r="25498" ht="26.25" customHeight="1"/>
    <row r="25499" ht="26.25" customHeight="1"/>
    <row r="25500" ht="26.25" customHeight="1"/>
    <row r="25501" ht="26.25" customHeight="1"/>
    <row r="25502" ht="26.25" customHeight="1"/>
    <row r="25503" ht="26.25" customHeight="1"/>
    <row r="25504" ht="26.25" customHeight="1"/>
    <row r="25505" ht="26.25" customHeight="1"/>
    <row r="25506" ht="26.25" customHeight="1"/>
    <row r="25507" ht="26.25" customHeight="1"/>
    <row r="25508" ht="26.25" customHeight="1"/>
    <row r="25509" ht="26.25" customHeight="1"/>
    <row r="25510" ht="26.25" customHeight="1"/>
    <row r="25511" ht="26.25" customHeight="1"/>
    <row r="25512" ht="26.25" customHeight="1"/>
    <row r="25513" ht="26.25" customHeight="1"/>
    <row r="25514" ht="26.25" customHeight="1"/>
    <row r="25515" ht="26.25" customHeight="1"/>
    <row r="25516" ht="26.25" customHeight="1"/>
    <row r="25517" ht="26.25" customHeight="1"/>
    <row r="25518" ht="26.25" customHeight="1"/>
    <row r="25519" ht="26.25" customHeight="1"/>
    <row r="25520" ht="26.25" customHeight="1"/>
    <row r="25521" ht="26.25" customHeight="1"/>
    <row r="25522" ht="26.25" customHeight="1"/>
    <row r="25523" ht="26.25" customHeight="1"/>
    <row r="25524" ht="26.25" customHeight="1"/>
    <row r="25525" ht="26.25" customHeight="1"/>
    <row r="25526" ht="26.25" customHeight="1"/>
    <row r="25527" ht="26.25" customHeight="1"/>
    <row r="25528" ht="26.25" customHeight="1"/>
    <row r="25529" ht="26.25" customHeight="1"/>
    <row r="25530" ht="26.25" customHeight="1"/>
    <row r="25531" ht="26.25" customHeight="1"/>
    <row r="25532" ht="26.25" customHeight="1"/>
    <row r="25533" ht="26.25" customHeight="1"/>
    <row r="25534" ht="26.25" customHeight="1"/>
    <row r="25535" ht="26.25" customHeight="1"/>
    <row r="25536" ht="26.25" customHeight="1"/>
    <row r="25537" ht="26.25" customHeight="1"/>
    <row r="25538" ht="26.25" customHeight="1"/>
    <row r="25539" ht="26.25" customHeight="1"/>
    <row r="25540" ht="26.25" customHeight="1"/>
    <row r="25541" ht="26.25" customHeight="1"/>
    <row r="25542" ht="26.25" customHeight="1"/>
    <row r="25543" ht="26.25" customHeight="1"/>
    <row r="25544" ht="26.25" customHeight="1"/>
    <row r="25545" ht="26.25" customHeight="1"/>
    <row r="25546" ht="26.25" customHeight="1"/>
    <row r="25547" ht="26.25" customHeight="1"/>
    <row r="25548" ht="26.25" customHeight="1"/>
    <row r="25549" ht="26.25" customHeight="1"/>
    <row r="25550" ht="26.25" customHeight="1"/>
    <row r="25551" ht="26.25" customHeight="1"/>
    <row r="25552" ht="26.25" customHeight="1"/>
    <row r="25553" ht="26.25" customHeight="1"/>
    <row r="25554" ht="26.25" customHeight="1"/>
    <row r="25555" ht="26.25" customHeight="1"/>
    <row r="25556" ht="26.25" customHeight="1"/>
    <row r="25557" ht="26.25" customHeight="1"/>
    <row r="25558" ht="26.25" customHeight="1"/>
    <row r="25559" ht="26.25" customHeight="1"/>
    <row r="25560" ht="26.25" customHeight="1"/>
    <row r="25561" ht="26.25" customHeight="1"/>
    <row r="25562" ht="26.25" customHeight="1"/>
    <row r="25563" ht="26.25" customHeight="1"/>
    <row r="25564" ht="26.25" customHeight="1"/>
    <row r="25565" ht="26.25" customHeight="1"/>
    <row r="25566" ht="26.25" customHeight="1"/>
    <row r="25567" ht="26.25" customHeight="1"/>
    <row r="25568" ht="26.25" customHeight="1"/>
    <row r="25569" ht="26.25" customHeight="1"/>
    <row r="25570" ht="26.25" customHeight="1"/>
    <row r="25571" ht="26.25" customHeight="1"/>
    <row r="25572" ht="26.25" customHeight="1"/>
    <row r="25573" ht="26.25" customHeight="1"/>
    <row r="25574" ht="26.25" customHeight="1"/>
    <row r="25575" ht="26.25" customHeight="1"/>
    <row r="25576" ht="26.25" customHeight="1"/>
    <row r="25577" ht="26.25" customHeight="1"/>
    <row r="25578" ht="26.25" customHeight="1"/>
    <row r="25579" ht="26.25" customHeight="1"/>
    <row r="25580" ht="26.25" customHeight="1"/>
    <row r="25581" ht="26.25" customHeight="1"/>
    <row r="25582" ht="26.25" customHeight="1"/>
    <row r="25583" ht="26.25" customHeight="1"/>
    <row r="25584" ht="26.25" customHeight="1"/>
    <row r="25585" ht="26.25" customHeight="1"/>
    <row r="25586" ht="26.25" customHeight="1"/>
    <row r="25587" ht="26.25" customHeight="1"/>
    <row r="25588" ht="26.25" customHeight="1"/>
    <row r="25589" ht="26.25" customHeight="1"/>
    <row r="25590" ht="26.25" customHeight="1"/>
    <row r="25591" ht="26.25" customHeight="1"/>
    <row r="25592" ht="26.25" customHeight="1"/>
    <row r="25593" ht="26.25" customHeight="1"/>
    <row r="25594" ht="26.25" customHeight="1"/>
    <row r="25595" ht="26.25" customHeight="1"/>
    <row r="25596" ht="26.25" customHeight="1"/>
    <row r="25597" ht="26.25" customHeight="1"/>
    <row r="25598" ht="26.25" customHeight="1"/>
    <row r="25599" ht="26.25" customHeight="1"/>
    <row r="25600" ht="26.25" customHeight="1"/>
    <row r="25601" ht="26.25" customHeight="1"/>
    <row r="25602" ht="26.25" customHeight="1"/>
    <row r="25603" ht="26.25" customHeight="1"/>
    <row r="25604" ht="26.25" customHeight="1"/>
    <row r="25605" ht="26.25" customHeight="1"/>
    <row r="25606" ht="26.25" customHeight="1"/>
    <row r="25607" ht="26.25" customHeight="1"/>
    <row r="25608" ht="26.25" customHeight="1"/>
    <row r="25609" ht="26.25" customHeight="1"/>
    <row r="25610" ht="26.25" customHeight="1"/>
    <row r="25611" ht="26.25" customHeight="1"/>
    <row r="25612" ht="26.25" customHeight="1"/>
    <row r="25613" ht="26.25" customHeight="1"/>
    <row r="25614" ht="26.25" customHeight="1"/>
    <row r="25615" ht="26.25" customHeight="1"/>
    <row r="25616" ht="26.25" customHeight="1"/>
    <row r="25617" ht="26.25" customHeight="1"/>
    <row r="25618" ht="26.25" customHeight="1"/>
    <row r="25619" ht="26.25" customHeight="1"/>
    <row r="25620" ht="26.25" customHeight="1"/>
    <row r="25621" ht="26.25" customHeight="1"/>
    <row r="25622" ht="26.25" customHeight="1"/>
    <row r="25623" ht="26.25" customHeight="1"/>
    <row r="25624" ht="26.25" customHeight="1"/>
    <row r="25625" ht="26.25" customHeight="1"/>
    <row r="25626" ht="26.25" customHeight="1"/>
    <row r="25627" ht="26.25" customHeight="1"/>
    <row r="25628" ht="26.25" customHeight="1"/>
    <row r="25629" ht="26.25" customHeight="1"/>
    <row r="25630" ht="26.25" customHeight="1"/>
    <row r="25631" ht="26.25" customHeight="1"/>
    <row r="25632" ht="26.25" customHeight="1"/>
    <row r="25633" ht="26.25" customHeight="1"/>
    <row r="25634" ht="26.25" customHeight="1"/>
    <row r="25635" ht="26.25" customHeight="1"/>
    <row r="25636" ht="26.25" customHeight="1"/>
    <row r="25637" ht="26.25" customHeight="1"/>
    <row r="25638" ht="26.25" customHeight="1"/>
    <row r="25639" ht="26.25" customHeight="1"/>
    <row r="25640" ht="26.25" customHeight="1"/>
    <row r="25641" ht="26.25" customHeight="1"/>
    <row r="25642" ht="26.25" customHeight="1"/>
    <row r="25643" ht="26.25" customHeight="1"/>
    <row r="25644" ht="26.25" customHeight="1"/>
    <row r="25645" ht="26.25" customHeight="1"/>
    <row r="25646" ht="26.25" customHeight="1"/>
    <row r="25647" ht="26.25" customHeight="1"/>
    <row r="25648" ht="26.25" customHeight="1"/>
    <row r="25649" ht="26.25" customHeight="1"/>
    <row r="25650" ht="26.25" customHeight="1"/>
    <row r="25651" ht="26.25" customHeight="1"/>
    <row r="25652" ht="26.25" customHeight="1"/>
    <row r="25653" ht="26.25" customHeight="1"/>
    <row r="25654" ht="26.25" customHeight="1"/>
    <row r="25655" ht="26.25" customHeight="1"/>
    <row r="25656" ht="26.25" customHeight="1"/>
    <row r="25657" ht="26.25" customHeight="1"/>
    <row r="25658" ht="26.25" customHeight="1"/>
    <row r="25659" ht="26.25" customHeight="1"/>
    <row r="25660" ht="26.25" customHeight="1"/>
    <row r="25661" ht="26.25" customHeight="1"/>
    <row r="25662" ht="26.25" customHeight="1"/>
    <row r="25663" ht="26.25" customHeight="1"/>
    <row r="25664" ht="26.25" customHeight="1"/>
    <row r="25665" ht="26.25" customHeight="1"/>
    <row r="25666" ht="26.25" customHeight="1"/>
    <row r="25667" ht="26.25" customHeight="1"/>
    <row r="25668" ht="26.25" customHeight="1"/>
    <row r="25669" ht="26.25" customHeight="1"/>
    <row r="25670" ht="26.25" customHeight="1"/>
    <row r="25671" ht="26.25" customHeight="1"/>
    <row r="25672" ht="26.25" customHeight="1"/>
    <row r="25673" ht="26.25" customHeight="1"/>
    <row r="25674" ht="26.25" customHeight="1"/>
    <row r="25675" ht="26.25" customHeight="1"/>
    <row r="25676" ht="26.25" customHeight="1"/>
    <row r="25677" ht="26.25" customHeight="1"/>
    <row r="25678" ht="26.25" customHeight="1"/>
    <row r="25679" ht="26.25" customHeight="1"/>
    <row r="25680" ht="26.25" customHeight="1"/>
    <row r="25681" ht="26.25" customHeight="1"/>
    <row r="25682" ht="26.25" customHeight="1"/>
    <row r="25683" ht="26.25" customHeight="1"/>
    <row r="25684" ht="26.25" customHeight="1"/>
    <row r="25685" ht="26.25" customHeight="1"/>
    <row r="25686" ht="26.25" customHeight="1"/>
    <row r="25687" ht="26.25" customHeight="1"/>
    <row r="25688" ht="26.25" customHeight="1"/>
    <row r="25689" ht="26.25" customHeight="1"/>
    <row r="25690" ht="26.25" customHeight="1"/>
    <row r="25691" ht="26.25" customHeight="1"/>
    <row r="25692" ht="26.25" customHeight="1"/>
    <row r="25693" ht="26.25" customHeight="1"/>
    <row r="25694" ht="26.25" customHeight="1"/>
    <row r="25695" ht="26.25" customHeight="1"/>
    <row r="25696" ht="26.25" customHeight="1"/>
    <row r="25697" ht="26.25" customHeight="1"/>
    <row r="25698" ht="26.25" customHeight="1"/>
    <row r="25699" ht="26.25" customHeight="1"/>
    <row r="25700" ht="26.25" customHeight="1"/>
    <row r="25701" ht="26.25" customHeight="1"/>
    <row r="25702" ht="26.25" customHeight="1"/>
    <row r="25703" ht="26.25" customHeight="1"/>
    <row r="25704" ht="26.25" customHeight="1"/>
    <row r="25705" ht="26.25" customHeight="1"/>
    <row r="25706" ht="26.25" customHeight="1"/>
    <row r="25707" ht="26.25" customHeight="1"/>
    <row r="25708" ht="26.25" customHeight="1"/>
    <row r="25709" ht="26.25" customHeight="1"/>
    <row r="25710" ht="26.25" customHeight="1"/>
    <row r="25711" ht="26.25" customHeight="1"/>
    <row r="25712" ht="26.25" customHeight="1"/>
    <row r="25713" ht="26.25" customHeight="1"/>
    <row r="25714" ht="26.25" customHeight="1"/>
    <row r="25715" ht="26.25" customHeight="1"/>
    <row r="25716" ht="26.25" customHeight="1"/>
    <row r="25717" ht="26.25" customHeight="1"/>
    <row r="25718" ht="26.25" customHeight="1"/>
    <row r="25719" ht="26.25" customHeight="1"/>
    <row r="25720" ht="26.25" customHeight="1"/>
    <row r="25721" ht="26.25" customHeight="1"/>
    <row r="25722" ht="26.25" customHeight="1"/>
    <row r="25723" ht="26.25" customHeight="1"/>
    <row r="25724" ht="26.25" customHeight="1"/>
    <row r="25725" ht="26.25" customHeight="1"/>
    <row r="25726" ht="26.25" customHeight="1"/>
    <row r="25727" ht="26.25" customHeight="1"/>
    <row r="25728" ht="26.25" customHeight="1"/>
    <row r="25729" ht="26.25" customHeight="1"/>
    <row r="25730" ht="26.25" customHeight="1"/>
    <row r="25731" ht="26.25" customHeight="1"/>
    <row r="25732" ht="26.25" customHeight="1"/>
    <row r="25733" ht="26.25" customHeight="1"/>
    <row r="25734" ht="26.25" customHeight="1"/>
    <row r="25735" ht="26.25" customHeight="1"/>
    <row r="25736" ht="26.25" customHeight="1"/>
    <row r="25737" ht="26.25" customHeight="1"/>
    <row r="25738" ht="26.25" customHeight="1"/>
    <row r="25739" ht="26.25" customHeight="1"/>
    <row r="25740" ht="26.25" customHeight="1"/>
    <row r="25741" ht="26.25" customHeight="1"/>
    <row r="25742" ht="26.25" customHeight="1"/>
    <row r="25743" ht="26.25" customHeight="1"/>
    <row r="25744" ht="26.25" customHeight="1"/>
    <row r="25745" ht="26.25" customHeight="1"/>
    <row r="25746" ht="26.25" customHeight="1"/>
    <row r="25747" ht="26.25" customHeight="1"/>
    <row r="25748" ht="26.25" customHeight="1"/>
    <row r="25749" ht="26.25" customHeight="1"/>
    <row r="25750" ht="26.25" customHeight="1"/>
    <row r="25751" ht="26.25" customHeight="1"/>
    <row r="25752" ht="26.25" customHeight="1"/>
    <row r="25753" ht="26.25" customHeight="1"/>
    <row r="25754" ht="26.25" customHeight="1"/>
    <row r="25755" ht="26.25" customHeight="1"/>
    <row r="25756" ht="26.25" customHeight="1"/>
    <row r="25757" ht="26.25" customHeight="1"/>
    <row r="25758" ht="26.25" customHeight="1"/>
    <row r="25759" ht="26.25" customHeight="1"/>
    <row r="25760" ht="26.25" customHeight="1"/>
    <row r="25761" ht="26.25" customHeight="1"/>
    <row r="25762" ht="26.25" customHeight="1"/>
    <row r="25763" ht="26.25" customHeight="1"/>
    <row r="25764" ht="26.25" customHeight="1"/>
    <row r="25765" ht="26.25" customHeight="1"/>
    <row r="25766" ht="26.25" customHeight="1"/>
    <row r="25767" ht="26.25" customHeight="1"/>
    <row r="25768" ht="26.25" customHeight="1"/>
    <row r="25769" ht="26.25" customHeight="1"/>
    <row r="25770" ht="26.25" customHeight="1"/>
    <row r="25771" ht="26.25" customHeight="1"/>
    <row r="25772" ht="26.25" customHeight="1"/>
    <row r="25773" ht="26.25" customHeight="1"/>
    <row r="25774" ht="26.25" customHeight="1"/>
    <row r="25775" ht="26.25" customHeight="1"/>
    <row r="25776" ht="26.25" customHeight="1"/>
    <row r="25777" ht="26.25" customHeight="1"/>
    <row r="25778" ht="26.25" customHeight="1"/>
    <row r="25779" ht="26.25" customHeight="1"/>
    <row r="25780" ht="26.25" customHeight="1"/>
    <row r="25781" ht="26.25" customHeight="1"/>
    <row r="25782" ht="26.25" customHeight="1"/>
    <row r="25783" ht="26.25" customHeight="1"/>
    <row r="25784" ht="26.25" customHeight="1"/>
    <row r="25785" ht="26.25" customHeight="1"/>
    <row r="25786" ht="26.25" customHeight="1"/>
    <row r="25787" ht="26.25" customHeight="1"/>
    <row r="25788" ht="26.25" customHeight="1"/>
    <row r="25789" ht="26.25" customHeight="1"/>
    <row r="25790" ht="26.25" customHeight="1"/>
    <row r="25791" ht="26.25" customHeight="1"/>
    <row r="25792" ht="26.25" customHeight="1"/>
    <row r="25793" ht="26.25" customHeight="1"/>
    <row r="25794" ht="26.25" customHeight="1"/>
    <row r="25795" ht="26.25" customHeight="1"/>
    <row r="25796" ht="26.25" customHeight="1"/>
    <row r="25797" ht="26.25" customHeight="1"/>
    <row r="25798" ht="26.25" customHeight="1"/>
    <row r="25799" ht="26.25" customHeight="1"/>
    <row r="25800" ht="26.25" customHeight="1"/>
    <row r="25801" ht="26.25" customHeight="1"/>
    <row r="25802" ht="26.25" customHeight="1"/>
    <row r="25803" ht="26.25" customHeight="1"/>
    <row r="25804" ht="26.25" customHeight="1"/>
    <row r="25805" ht="26.25" customHeight="1"/>
    <row r="25806" ht="26.25" customHeight="1"/>
    <row r="25807" ht="26.25" customHeight="1"/>
    <row r="25808" ht="26.25" customHeight="1"/>
    <row r="25809" ht="26.25" customHeight="1"/>
    <row r="25810" ht="26.25" customHeight="1"/>
    <row r="25811" ht="26.25" customHeight="1"/>
    <row r="25812" ht="26.25" customHeight="1"/>
    <row r="25813" ht="26.25" customHeight="1"/>
    <row r="25814" ht="26.25" customHeight="1"/>
    <row r="25815" ht="26.25" customHeight="1"/>
    <row r="25816" ht="26.25" customHeight="1"/>
    <row r="25817" ht="26.25" customHeight="1"/>
    <row r="25818" ht="26.25" customHeight="1"/>
    <row r="25819" ht="26.25" customHeight="1"/>
    <row r="25820" ht="26.25" customHeight="1"/>
    <row r="25821" ht="26.25" customHeight="1"/>
    <row r="25822" ht="26.25" customHeight="1"/>
    <row r="25823" ht="26.25" customHeight="1"/>
    <row r="25824" ht="26.25" customHeight="1"/>
    <row r="25825" ht="26.25" customHeight="1"/>
    <row r="25826" ht="26.25" customHeight="1"/>
    <row r="25827" ht="26.25" customHeight="1"/>
    <row r="25828" ht="26.25" customHeight="1"/>
    <row r="25829" ht="26.25" customHeight="1"/>
    <row r="25830" ht="26.25" customHeight="1"/>
    <row r="25831" ht="26.25" customHeight="1"/>
    <row r="25832" ht="26.25" customHeight="1"/>
    <row r="25833" ht="26.25" customHeight="1"/>
    <row r="25834" ht="26.25" customHeight="1"/>
    <row r="25835" ht="26.25" customHeight="1"/>
    <row r="25836" ht="26.25" customHeight="1"/>
    <row r="25837" ht="26.25" customHeight="1"/>
    <row r="25838" ht="26.25" customHeight="1"/>
    <row r="25839" ht="26.25" customHeight="1"/>
    <row r="25840" ht="26.25" customHeight="1"/>
    <row r="25841" ht="26.25" customHeight="1"/>
    <row r="25842" ht="26.25" customHeight="1"/>
    <row r="25843" ht="26.25" customHeight="1"/>
    <row r="25844" ht="26.25" customHeight="1"/>
    <row r="25845" ht="26.25" customHeight="1"/>
    <row r="25846" ht="26.25" customHeight="1"/>
    <row r="25847" ht="26.25" customHeight="1"/>
    <row r="25848" ht="26.25" customHeight="1"/>
    <row r="25849" ht="26.25" customHeight="1"/>
    <row r="25850" ht="26.25" customHeight="1"/>
    <row r="25851" ht="26.25" customHeight="1"/>
    <row r="25852" ht="26.25" customHeight="1"/>
    <row r="25853" ht="26.25" customHeight="1"/>
    <row r="25854" ht="26.25" customHeight="1"/>
    <row r="25855" ht="26.25" customHeight="1"/>
    <row r="25856" ht="26.25" customHeight="1"/>
    <row r="25857" ht="26.25" customHeight="1"/>
    <row r="25858" ht="26.25" customHeight="1"/>
    <row r="25859" ht="26.25" customHeight="1"/>
    <row r="25860" ht="26.25" customHeight="1"/>
    <row r="25861" ht="26.25" customHeight="1"/>
    <row r="25862" ht="26.25" customHeight="1"/>
    <row r="25863" ht="26.25" customHeight="1"/>
    <row r="25864" ht="26.25" customHeight="1"/>
    <row r="25865" ht="26.25" customHeight="1"/>
    <row r="25866" ht="26.25" customHeight="1"/>
    <row r="25867" ht="26.25" customHeight="1"/>
    <row r="25868" ht="26.25" customHeight="1"/>
    <row r="25869" ht="26.25" customHeight="1"/>
    <row r="25870" ht="26.25" customHeight="1"/>
    <row r="25871" ht="26.25" customHeight="1"/>
    <row r="25872" ht="26.25" customHeight="1"/>
    <row r="25873" ht="26.25" customHeight="1"/>
    <row r="25874" ht="26.25" customHeight="1"/>
    <row r="25875" ht="26.25" customHeight="1"/>
    <row r="25876" ht="26.25" customHeight="1"/>
    <row r="25877" ht="26.25" customHeight="1"/>
    <row r="25878" ht="26.25" customHeight="1"/>
    <row r="25879" ht="26.25" customHeight="1"/>
    <row r="25880" ht="26.25" customHeight="1"/>
    <row r="25881" ht="26.25" customHeight="1"/>
    <row r="25882" ht="26.25" customHeight="1"/>
    <row r="25883" ht="26.25" customHeight="1"/>
    <row r="25884" ht="26.25" customHeight="1"/>
    <row r="25885" ht="26.25" customHeight="1"/>
    <row r="25886" ht="26.25" customHeight="1"/>
    <row r="25887" ht="26.25" customHeight="1"/>
    <row r="25888" ht="26.25" customHeight="1"/>
    <row r="25889" ht="26.25" customHeight="1"/>
    <row r="25890" ht="26.25" customHeight="1"/>
    <row r="25891" ht="26.25" customHeight="1"/>
    <row r="25892" ht="26.25" customHeight="1"/>
    <row r="25893" ht="26.25" customHeight="1"/>
    <row r="25894" ht="26.25" customHeight="1"/>
    <row r="25895" ht="26.25" customHeight="1"/>
    <row r="25896" ht="26.25" customHeight="1"/>
    <row r="25897" ht="26.25" customHeight="1"/>
    <row r="25898" ht="26.25" customHeight="1"/>
    <row r="25899" ht="26.25" customHeight="1"/>
    <row r="25900" ht="26.25" customHeight="1"/>
    <row r="25901" ht="26.25" customHeight="1"/>
    <row r="25902" ht="26.25" customHeight="1"/>
    <row r="25903" ht="26.25" customHeight="1"/>
    <row r="25904" ht="26.25" customHeight="1"/>
    <row r="25905" ht="26.25" customHeight="1"/>
    <row r="25906" ht="26.25" customHeight="1"/>
    <row r="25907" ht="26.25" customHeight="1"/>
    <row r="25908" ht="26.25" customHeight="1"/>
    <row r="25909" ht="26.25" customHeight="1"/>
    <row r="25910" ht="26.25" customHeight="1"/>
    <row r="25911" ht="26.25" customHeight="1"/>
    <row r="25912" ht="26.25" customHeight="1"/>
    <row r="25913" ht="26.25" customHeight="1"/>
    <row r="25914" ht="26.25" customHeight="1"/>
    <row r="25915" ht="26.25" customHeight="1"/>
    <row r="25916" ht="26.25" customHeight="1"/>
    <row r="25917" ht="26.25" customHeight="1"/>
    <row r="25918" ht="26.25" customHeight="1"/>
    <row r="25919" ht="26.25" customHeight="1"/>
    <row r="25920" ht="26.25" customHeight="1"/>
    <row r="25921" ht="26.25" customHeight="1"/>
    <row r="25922" ht="26.25" customHeight="1"/>
    <row r="25923" ht="26.25" customHeight="1"/>
    <row r="25924" ht="26.25" customHeight="1"/>
    <row r="25925" ht="26.25" customHeight="1"/>
    <row r="25926" ht="26.25" customHeight="1"/>
    <row r="25927" ht="26.25" customHeight="1"/>
    <row r="25928" ht="26.25" customHeight="1"/>
    <row r="25929" ht="26.25" customHeight="1"/>
    <row r="25930" ht="26.25" customHeight="1"/>
    <row r="25931" ht="26.25" customHeight="1"/>
    <row r="25932" ht="26.25" customHeight="1"/>
    <row r="25933" ht="26.25" customHeight="1"/>
    <row r="25934" ht="26.25" customHeight="1"/>
    <row r="25935" ht="26.25" customHeight="1"/>
    <row r="25936" ht="26.25" customHeight="1"/>
    <row r="25937" ht="26.25" customHeight="1"/>
    <row r="25938" ht="26.25" customHeight="1"/>
    <row r="25939" ht="26.25" customHeight="1"/>
    <row r="25940" ht="26.25" customHeight="1"/>
    <row r="25941" ht="26.25" customHeight="1"/>
    <row r="25942" ht="26.25" customHeight="1"/>
    <row r="25943" ht="26.25" customHeight="1"/>
    <row r="25944" ht="26.25" customHeight="1"/>
    <row r="25945" ht="26.25" customHeight="1"/>
    <row r="25946" ht="26.25" customHeight="1"/>
    <row r="25947" ht="26.25" customHeight="1"/>
    <row r="25948" ht="26.25" customHeight="1"/>
    <row r="25949" ht="26.25" customHeight="1"/>
    <row r="25950" ht="26.25" customHeight="1"/>
    <row r="25951" ht="26.25" customHeight="1"/>
    <row r="25952" ht="26.25" customHeight="1"/>
    <row r="25953" ht="26.25" customHeight="1"/>
    <row r="25954" ht="26.25" customHeight="1"/>
    <row r="25955" ht="26.25" customHeight="1"/>
    <row r="25956" ht="26.25" customHeight="1"/>
    <row r="25957" ht="26.25" customHeight="1"/>
    <row r="25958" ht="26.25" customHeight="1"/>
    <row r="25959" ht="26.25" customHeight="1"/>
    <row r="25960" ht="26.25" customHeight="1"/>
    <row r="25961" ht="26.25" customHeight="1"/>
    <row r="25962" ht="26.25" customHeight="1"/>
    <row r="25963" ht="26.25" customHeight="1"/>
    <row r="25964" ht="26.25" customHeight="1"/>
    <row r="25965" ht="26.25" customHeight="1"/>
    <row r="25966" ht="26.25" customHeight="1"/>
    <row r="25967" ht="26.25" customHeight="1"/>
    <row r="25968" ht="26.25" customHeight="1"/>
    <row r="25969" ht="26.25" customHeight="1"/>
    <row r="25970" ht="26.25" customHeight="1"/>
    <row r="25971" ht="26.25" customHeight="1"/>
    <row r="25972" ht="26.25" customHeight="1"/>
    <row r="25973" ht="26.25" customHeight="1"/>
    <row r="25974" ht="26.25" customHeight="1"/>
    <row r="25975" ht="26.25" customHeight="1"/>
    <row r="25976" ht="26.25" customHeight="1"/>
    <row r="25977" ht="26.25" customHeight="1"/>
    <row r="25978" ht="26.25" customHeight="1"/>
    <row r="25979" ht="26.25" customHeight="1"/>
    <row r="25980" ht="26.25" customHeight="1"/>
    <row r="25981" ht="26.25" customHeight="1"/>
    <row r="25982" ht="26.25" customHeight="1"/>
    <row r="25983" ht="26.25" customHeight="1"/>
    <row r="25984" ht="26.25" customHeight="1"/>
    <row r="25985" ht="26.25" customHeight="1"/>
    <row r="25986" ht="26.25" customHeight="1"/>
    <row r="25987" ht="26.25" customHeight="1"/>
    <row r="25988" ht="26.25" customHeight="1"/>
    <row r="25989" ht="26.25" customHeight="1"/>
    <row r="25990" ht="26.25" customHeight="1"/>
    <row r="25991" ht="26.25" customHeight="1"/>
    <row r="25992" ht="26.25" customHeight="1"/>
    <row r="25993" ht="26.25" customHeight="1"/>
    <row r="25994" ht="26.25" customHeight="1"/>
    <row r="25995" ht="26.25" customHeight="1"/>
    <row r="25996" ht="26.25" customHeight="1"/>
    <row r="25997" ht="26.25" customHeight="1"/>
    <row r="25998" ht="26.25" customHeight="1"/>
    <row r="25999" ht="26.25" customHeight="1"/>
    <row r="26000" ht="26.25" customHeight="1"/>
    <row r="26001" ht="26.25" customHeight="1"/>
    <row r="26002" ht="26.25" customHeight="1"/>
    <row r="26003" ht="26.25" customHeight="1"/>
    <row r="26004" ht="26.25" customHeight="1"/>
    <row r="26005" ht="26.25" customHeight="1"/>
    <row r="26006" ht="26.25" customHeight="1"/>
    <row r="26007" ht="26.25" customHeight="1"/>
    <row r="26008" ht="26.25" customHeight="1"/>
    <row r="26009" ht="26.25" customHeight="1"/>
    <row r="26010" ht="26.25" customHeight="1"/>
    <row r="26011" ht="26.25" customHeight="1"/>
    <row r="26012" ht="26.25" customHeight="1"/>
    <row r="26013" ht="26.25" customHeight="1"/>
    <row r="26014" ht="26.25" customHeight="1"/>
    <row r="26015" ht="26.25" customHeight="1"/>
    <row r="26016" ht="26.25" customHeight="1"/>
    <row r="26017" ht="26.25" customHeight="1"/>
    <row r="26018" ht="26.25" customHeight="1"/>
    <row r="26019" ht="26.25" customHeight="1"/>
    <row r="26020" ht="26.25" customHeight="1"/>
    <row r="26021" ht="26.25" customHeight="1"/>
    <row r="26022" ht="26.25" customHeight="1"/>
    <row r="26023" ht="26.25" customHeight="1"/>
    <row r="26024" ht="26.25" customHeight="1"/>
    <row r="26025" ht="26.25" customHeight="1"/>
    <row r="26026" ht="26.25" customHeight="1"/>
    <row r="26027" ht="26.25" customHeight="1"/>
    <row r="26028" ht="26.25" customHeight="1"/>
    <row r="26029" ht="26.25" customHeight="1"/>
    <row r="26030" ht="26.25" customHeight="1"/>
    <row r="26031" ht="26.25" customHeight="1"/>
    <row r="26032" ht="26.25" customHeight="1"/>
    <row r="26033" ht="26.25" customHeight="1"/>
    <row r="26034" ht="26.25" customHeight="1"/>
    <row r="26035" ht="26.25" customHeight="1"/>
    <row r="26036" ht="26.25" customHeight="1"/>
    <row r="26037" ht="26.25" customHeight="1"/>
    <row r="26038" ht="26.25" customHeight="1"/>
    <row r="26039" ht="26.25" customHeight="1"/>
    <row r="26040" ht="26.25" customHeight="1"/>
    <row r="26041" ht="26.25" customHeight="1"/>
    <row r="26042" ht="26.25" customHeight="1"/>
    <row r="26043" ht="26.25" customHeight="1"/>
    <row r="26044" ht="26.25" customHeight="1"/>
    <row r="26045" ht="26.25" customHeight="1"/>
    <row r="26046" ht="26.25" customHeight="1"/>
    <row r="26047" ht="26.25" customHeight="1"/>
    <row r="26048" ht="26.25" customHeight="1"/>
    <row r="26049" ht="26.25" customHeight="1"/>
    <row r="26050" ht="26.25" customHeight="1"/>
    <row r="26051" ht="26.25" customHeight="1"/>
    <row r="26052" ht="26.25" customHeight="1"/>
    <row r="26053" ht="26.25" customHeight="1"/>
    <row r="26054" ht="26.25" customHeight="1"/>
    <row r="26055" ht="26.25" customHeight="1"/>
    <row r="26056" ht="26.25" customHeight="1"/>
    <row r="26057" ht="26.25" customHeight="1"/>
    <row r="26058" ht="26.25" customHeight="1"/>
    <row r="26059" ht="26.25" customHeight="1"/>
    <row r="26060" ht="26.25" customHeight="1"/>
    <row r="26061" ht="26.25" customHeight="1"/>
    <row r="26062" ht="26.25" customHeight="1"/>
    <row r="26063" ht="26.25" customHeight="1"/>
    <row r="26064" ht="26.25" customHeight="1"/>
    <row r="26065" ht="26.25" customHeight="1"/>
    <row r="26066" ht="26.25" customHeight="1"/>
    <row r="26067" ht="26.25" customHeight="1"/>
    <row r="26068" ht="26.25" customHeight="1"/>
    <row r="26069" ht="26.25" customHeight="1"/>
    <row r="26070" ht="26.25" customHeight="1"/>
    <row r="26071" ht="26.25" customHeight="1"/>
    <row r="26072" ht="26.25" customHeight="1"/>
    <row r="26073" ht="26.25" customHeight="1"/>
    <row r="26074" ht="26.25" customHeight="1"/>
    <row r="26075" ht="26.25" customHeight="1"/>
    <row r="26076" ht="26.25" customHeight="1"/>
    <row r="26077" ht="26.25" customHeight="1"/>
    <row r="26078" ht="26.25" customHeight="1"/>
    <row r="26079" ht="26.25" customHeight="1"/>
    <row r="26080" ht="26.25" customHeight="1"/>
    <row r="26081" ht="26.25" customHeight="1"/>
    <row r="26082" ht="26.25" customHeight="1"/>
    <row r="26083" ht="26.25" customHeight="1"/>
    <row r="26084" ht="26.25" customHeight="1"/>
    <row r="26085" ht="26.25" customHeight="1"/>
    <row r="26086" ht="26.25" customHeight="1"/>
    <row r="26087" ht="26.25" customHeight="1"/>
    <row r="26088" ht="26.25" customHeight="1"/>
    <row r="26089" ht="26.25" customHeight="1"/>
    <row r="26090" ht="26.25" customHeight="1"/>
    <row r="26091" ht="26.25" customHeight="1"/>
    <row r="26092" ht="26.25" customHeight="1"/>
    <row r="26093" ht="26.25" customHeight="1"/>
    <row r="26094" ht="26.25" customHeight="1"/>
    <row r="26095" ht="26.25" customHeight="1"/>
    <row r="26096" ht="26.25" customHeight="1"/>
    <row r="26097" ht="26.25" customHeight="1"/>
    <row r="26098" ht="26.25" customHeight="1"/>
    <row r="26099" ht="26.25" customHeight="1"/>
    <row r="26100" ht="26.25" customHeight="1"/>
    <row r="26101" ht="26.25" customHeight="1"/>
    <row r="26102" ht="26.25" customHeight="1"/>
    <row r="26103" ht="26.25" customHeight="1"/>
    <row r="26104" ht="26.25" customHeight="1"/>
    <row r="26105" ht="26.25" customHeight="1"/>
    <row r="26106" ht="26.25" customHeight="1"/>
    <row r="26107" ht="26.25" customHeight="1"/>
    <row r="26108" ht="26.25" customHeight="1"/>
    <row r="26109" ht="26.25" customHeight="1"/>
    <row r="26110" ht="26.25" customHeight="1"/>
    <row r="26111" ht="26.25" customHeight="1"/>
    <row r="26112" ht="26.25" customHeight="1"/>
    <row r="26113" ht="26.25" customHeight="1"/>
    <row r="26114" ht="26.25" customHeight="1"/>
    <row r="26115" ht="26.25" customHeight="1"/>
    <row r="26116" ht="26.25" customHeight="1"/>
    <row r="26117" ht="26.25" customHeight="1"/>
    <row r="26118" ht="26.25" customHeight="1"/>
    <row r="26119" ht="26.25" customHeight="1"/>
    <row r="26120" ht="26.25" customHeight="1"/>
    <row r="26121" ht="26.25" customHeight="1"/>
    <row r="26122" ht="26.25" customHeight="1"/>
    <row r="26123" ht="26.25" customHeight="1"/>
    <row r="26124" ht="26.25" customHeight="1"/>
    <row r="26125" ht="26.25" customHeight="1"/>
    <row r="26126" ht="26.25" customHeight="1"/>
    <row r="26127" ht="26.25" customHeight="1"/>
    <row r="26128" ht="26.25" customHeight="1"/>
    <row r="26129" ht="26.25" customHeight="1"/>
    <row r="26130" ht="26.25" customHeight="1"/>
    <row r="26131" ht="26.25" customHeight="1"/>
    <row r="26132" ht="26.25" customHeight="1"/>
    <row r="26133" ht="26.25" customHeight="1"/>
    <row r="26134" ht="26.25" customHeight="1"/>
    <row r="26135" ht="26.25" customHeight="1"/>
    <row r="26136" ht="26.25" customHeight="1"/>
    <row r="26137" ht="26.25" customHeight="1"/>
    <row r="26138" ht="26.25" customHeight="1"/>
    <row r="26139" ht="26.25" customHeight="1"/>
    <row r="26140" ht="26.25" customHeight="1"/>
    <row r="26141" ht="26.25" customHeight="1"/>
    <row r="26142" ht="26.25" customHeight="1"/>
    <row r="26143" ht="26.25" customHeight="1"/>
    <row r="26144" ht="26.25" customHeight="1"/>
    <row r="26145" ht="26.25" customHeight="1"/>
    <row r="26146" ht="26.25" customHeight="1"/>
    <row r="26147" ht="26.25" customHeight="1"/>
    <row r="26148" ht="26.25" customHeight="1"/>
    <row r="26149" ht="26.25" customHeight="1"/>
    <row r="26150" ht="26.25" customHeight="1"/>
    <row r="26151" ht="26.25" customHeight="1"/>
    <row r="26152" ht="26.25" customHeight="1"/>
    <row r="26153" ht="26.25" customHeight="1"/>
    <row r="26154" ht="26.25" customHeight="1"/>
    <row r="26155" ht="26.25" customHeight="1"/>
    <row r="26156" ht="26.25" customHeight="1"/>
    <row r="26157" ht="26.25" customHeight="1"/>
    <row r="26158" ht="26.25" customHeight="1"/>
    <row r="26159" ht="26.25" customHeight="1"/>
    <row r="26160" ht="26.25" customHeight="1"/>
    <row r="26161" ht="26.25" customHeight="1"/>
    <row r="26162" ht="26.25" customHeight="1"/>
    <row r="26163" ht="26.25" customHeight="1"/>
    <row r="26164" ht="26.25" customHeight="1"/>
    <row r="26165" ht="26.25" customHeight="1"/>
    <row r="26166" ht="26.25" customHeight="1"/>
    <row r="26167" ht="26.25" customHeight="1"/>
    <row r="26168" ht="26.25" customHeight="1"/>
    <row r="26169" ht="26.25" customHeight="1"/>
    <row r="26170" ht="26.25" customHeight="1"/>
    <row r="26171" ht="26.25" customHeight="1"/>
    <row r="26172" ht="26.25" customHeight="1"/>
    <row r="26173" ht="26.25" customHeight="1"/>
    <row r="26174" ht="26.25" customHeight="1"/>
    <row r="26175" ht="26.25" customHeight="1"/>
    <row r="26176" ht="26.25" customHeight="1"/>
    <row r="26177" ht="26.25" customHeight="1"/>
    <row r="26178" ht="26.25" customHeight="1"/>
    <row r="26179" ht="26.25" customHeight="1"/>
    <row r="26180" ht="26.25" customHeight="1"/>
    <row r="26181" ht="26.25" customHeight="1"/>
    <row r="26182" ht="26.25" customHeight="1"/>
    <row r="26183" ht="26.25" customHeight="1"/>
    <row r="26184" ht="26.25" customHeight="1"/>
    <row r="26185" ht="26.25" customHeight="1"/>
    <row r="26186" ht="26.25" customHeight="1"/>
    <row r="26187" ht="26.25" customHeight="1"/>
    <row r="26188" ht="26.25" customHeight="1"/>
    <row r="26189" ht="26.25" customHeight="1"/>
    <row r="26190" ht="26.25" customHeight="1"/>
    <row r="26191" ht="26.25" customHeight="1"/>
    <row r="26192" ht="26.25" customHeight="1"/>
    <row r="26193" ht="26.25" customHeight="1"/>
    <row r="26194" ht="26.25" customHeight="1"/>
    <row r="26195" ht="26.25" customHeight="1"/>
    <row r="26196" ht="26.25" customHeight="1"/>
    <row r="26197" ht="26.25" customHeight="1"/>
    <row r="26198" ht="26.25" customHeight="1"/>
    <row r="26199" ht="26.25" customHeight="1"/>
    <row r="26200" ht="26.25" customHeight="1"/>
    <row r="26201" ht="26.25" customHeight="1"/>
    <row r="26202" ht="26.25" customHeight="1"/>
    <row r="26203" ht="26.25" customHeight="1"/>
    <row r="26204" ht="26.25" customHeight="1"/>
    <row r="26205" ht="26.25" customHeight="1"/>
    <row r="26206" ht="26.25" customHeight="1"/>
    <row r="26207" ht="26.25" customHeight="1"/>
    <row r="26208" ht="26.25" customHeight="1"/>
    <row r="26209" ht="26.25" customHeight="1"/>
    <row r="26210" ht="26.25" customHeight="1"/>
    <row r="26211" ht="26.25" customHeight="1"/>
    <row r="26212" ht="26.25" customHeight="1"/>
    <row r="26213" ht="26.25" customHeight="1"/>
    <row r="26214" ht="26.25" customHeight="1"/>
    <row r="26215" ht="26.25" customHeight="1"/>
    <row r="26216" ht="26.25" customHeight="1"/>
    <row r="26217" ht="26.25" customHeight="1"/>
    <row r="26218" ht="26.25" customHeight="1"/>
    <row r="26219" ht="26.25" customHeight="1"/>
    <row r="26220" ht="26.25" customHeight="1"/>
    <row r="26221" ht="26.25" customHeight="1"/>
    <row r="26222" ht="26.25" customHeight="1"/>
    <row r="26223" ht="26.25" customHeight="1"/>
    <row r="26224" ht="26.25" customHeight="1"/>
    <row r="26225" ht="26.25" customHeight="1"/>
    <row r="26226" ht="26.25" customHeight="1"/>
    <row r="26227" ht="26.25" customHeight="1"/>
    <row r="26228" ht="26.25" customHeight="1"/>
    <row r="26229" ht="26.25" customHeight="1"/>
    <row r="26230" ht="26.25" customHeight="1"/>
    <row r="26231" ht="26.25" customHeight="1"/>
    <row r="26232" ht="26.25" customHeight="1"/>
    <row r="26233" ht="26.25" customHeight="1"/>
    <row r="26234" ht="26.25" customHeight="1"/>
    <row r="26235" ht="26.25" customHeight="1"/>
    <row r="26236" ht="26.25" customHeight="1"/>
    <row r="26237" ht="26.25" customHeight="1"/>
    <row r="26238" ht="26.25" customHeight="1"/>
    <row r="26239" ht="26.25" customHeight="1"/>
    <row r="26240" ht="26.25" customHeight="1"/>
    <row r="26241" ht="26.25" customHeight="1"/>
    <row r="26242" ht="26.25" customHeight="1"/>
    <row r="26243" ht="26.25" customHeight="1"/>
    <row r="26244" ht="26.25" customHeight="1"/>
    <row r="26245" ht="26.25" customHeight="1"/>
    <row r="26246" ht="26.25" customHeight="1"/>
    <row r="26247" ht="26.25" customHeight="1"/>
    <row r="26248" ht="26.25" customHeight="1"/>
    <row r="26249" ht="26.25" customHeight="1"/>
    <row r="26250" ht="26.25" customHeight="1"/>
    <row r="26251" ht="26.25" customHeight="1"/>
    <row r="26252" ht="26.25" customHeight="1"/>
    <row r="26253" ht="26.25" customHeight="1"/>
    <row r="26254" ht="26.25" customHeight="1"/>
    <row r="26255" ht="26.25" customHeight="1"/>
    <row r="26256" ht="26.25" customHeight="1"/>
    <row r="26257" ht="26.25" customHeight="1"/>
    <row r="26258" ht="26.25" customHeight="1"/>
    <row r="26259" ht="26.25" customHeight="1"/>
    <row r="26260" ht="26.25" customHeight="1"/>
    <row r="26261" ht="26.25" customHeight="1"/>
    <row r="26262" ht="26.25" customHeight="1"/>
    <row r="26263" ht="26.25" customHeight="1"/>
    <row r="26264" ht="26.25" customHeight="1"/>
    <row r="26265" ht="26.25" customHeight="1"/>
    <row r="26266" ht="26.25" customHeight="1"/>
    <row r="26267" ht="26.25" customHeight="1"/>
    <row r="26268" ht="26.25" customHeight="1"/>
    <row r="26269" ht="26.25" customHeight="1"/>
    <row r="26270" ht="26.25" customHeight="1"/>
    <row r="26271" ht="26.25" customHeight="1"/>
    <row r="26272" ht="26.25" customHeight="1"/>
    <row r="26273" ht="26.25" customHeight="1"/>
    <row r="26274" ht="26.25" customHeight="1"/>
    <row r="26275" ht="26.25" customHeight="1"/>
    <row r="26276" ht="26.25" customHeight="1"/>
    <row r="26277" ht="26.25" customHeight="1"/>
    <row r="26278" ht="26.25" customHeight="1"/>
    <row r="26279" ht="26.25" customHeight="1"/>
    <row r="26280" ht="26.25" customHeight="1"/>
    <row r="26281" ht="26.25" customHeight="1"/>
    <row r="26282" ht="26.25" customHeight="1"/>
    <row r="26283" ht="26.25" customHeight="1"/>
    <row r="26284" ht="26.25" customHeight="1"/>
    <row r="26285" ht="26.25" customHeight="1"/>
    <row r="26286" ht="26.25" customHeight="1"/>
    <row r="26287" ht="26.25" customHeight="1"/>
    <row r="26288" ht="26.25" customHeight="1"/>
    <row r="26289" ht="26.25" customHeight="1"/>
    <row r="26290" ht="26.25" customHeight="1"/>
    <row r="26291" ht="26.25" customHeight="1"/>
    <row r="26292" ht="26.25" customHeight="1"/>
    <row r="26293" ht="26.25" customHeight="1"/>
    <row r="26294" ht="26.25" customHeight="1"/>
    <row r="26295" ht="26.25" customHeight="1"/>
    <row r="26296" ht="26.25" customHeight="1"/>
    <row r="26297" ht="26.25" customHeight="1"/>
    <row r="26298" ht="26.25" customHeight="1"/>
    <row r="26299" ht="26.25" customHeight="1"/>
    <row r="26300" ht="26.25" customHeight="1"/>
    <row r="26301" ht="26.25" customHeight="1"/>
    <row r="26302" ht="26.25" customHeight="1"/>
    <row r="26303" ht="26.25" customHeight="1"/>
    <row r="26304" ht="26.25" customHeight="1"/>
    <row r="26305" ht="26.25" customHeight="1"/>
    <row r="26306" ht="26.25" customHeight="1"/>
    <row r="26307" ht="26.25" customHeight="1"/>
    <row r="26308" ht="26.25" customHeight="1"/>
    <row r="26309" ht="26.25" customHeight="1"/>
    <row r="26310" ht="26.25" customHeight="1"/>
    <row r="26311" ht="26.25" customHeight="1"/>
    <row r="26312" ht="26.25" customHeight="1"/>
    <row r="26313" ht="26.25" customHeight="1"/>
    <row r="26314" ht="26.25" customHeight="1"/>
    <row r="26315" ht="26.25" customHeight="1"/>
    <row r="26316" ht="26.25" customHeight="1"/>
    <row r="26317" ht="26.25" customHeight="1"/>
    <row r="26318" ht="26.25" customHeight="1"/>
    <row r="26319" ht="26.25" customHeight="1"/>
    <row r="26320" ht="26.25" customHeight="1"/>
    <row r="26321" ht="26.25" customHeight="1"/>
    <row r="26322" ht="26.25" customHeight="1"/>
    <row r="26323" ht="26.25" customHeight="1"/>
    <row r="26324" ht="26.25" customHeight="1"/>
    <row r="26325" ht="26.25" customHeight="1"/>
    <row r="26326" ht="26.25" customHeight="1"/>
    <row r="26327" ht="26.25" customHeight="1"/>
    <row r="26328" ht="26.25" customHeight="1"/>
    <row r="26329" ht="26.25" customHeight="1"/>
    <row r="26330" ht="26.25" customHeight="1"/>
    <row r="26331" ht="26.25" customHeight="1"/>
    <row r="26332" ht="26.25" customHeight="1"/>
    <row r="26333" ht="26.25" customHeight="1"/>
    <row r="26334" ht="26.25" customHeight="1"/>
    <row r="26335" ht="26.25" customHeight="1"/>
    <row r="26336" ht="26.25" customHeight="1"/>
    <row r="26337" ht="26.25" customHeight="1"/>
    <row r="26338" ht="26.25" customHeight="1"/>
    <row r="26339" ht="26.25" customHeight="1"/>
    <row r="26340" ht="26.25" customHeight="1"/>
    <row r="26341" ht="26.25" customHeight="1"/>
    <row r="26342" ht="26.25" customHeight="1"/>
    <row r="26343" ht="26.25" customHeight="1"/>
    <row r="26344" ht="26.25" customHeight="1"/>
    <row r="26345" ht="26.25" customHeight="1"/>
    <row r="26346" ht="26.25" customHeight="1"/>
    <row r="26347" ht="26.25" customHeight="1"/>
    <row r="26348" ht="26.25" customHeight="1"/>
    <row r="26349" ht="26.25" customHeight="1"/>
    <row r="26350" ht="26.25" customHeight="1"/>
    <row r="26351" ht="26.25" customHeight="1"/>
    <row r="26352" ht="26.25" customHeight="1"/>
    <row r="26353" ht="26.25" customHeight="1"/>
    <row r="26354" ht="26.25" customHeight="1"/>
    <row r="26355" ht="26.25" customHeight="1"/>
    <row r="26356" ht="26.25" customHeight="1"/>
    <row r="26357" ht="26.25" customHeight="1"/>
    <row r="26358" ht="26.25" customHeight="1"/>
    <row r="26359" ht="26.25" customHeight="1"/>
    <row r="26360" ht="26.25" customHeight="1"/>
    <row r="26361" ht="26.25" customHeight="1"/>
    <row r="26362" ht="26.25" customHeight="1"/>
    <row r="26363" ht="26.25" customHeight="1"/>
    <row r="26364" ht="26.25" customHeight="1"/>
    <row r="26365" ht="26.25" customHeight="1"/>
    <row r="26366" ht="26.25" customHeight="1"/>
    <row r="26367" ht="26.25" customHeight="1"/>
    <row r="26368" ht="26.25" customHeight="1"/>
    <row r="26369" ht="26.25" customHeight="1"/>
    <row r="26370" ht="26.25" customHeight="1"/>
    <row r="26371" ht="26.25" customHeight="1"/>
    <row r="26372" ht="26.25" customHeight="1"/>
    <row r="26373" ht="26.25" customHeight="1"/>
    <row r="26374" ht="26.25" customHeight="1"/>
    <row r="26375" ht="26.25" customHeight="1"/>
    <row r="26376" ht="26.25" customHeight="1"/>
    <row r="26377" ht="26.25" customHeight="1"/>
    <row r="26378" ht="26.25" customHeight="1"/>
    <row r="26379" ht="26.25" customHeight="1"/>
    <row r="26380" ht="26.25" customHeight="1"/>
    <row r="26381" ht="26.25" customHeight="1"/>
    <row r="26382" ht="26.25" customHeight="1"/>
    <row r="26383" ht="26.25" customHeight="1"/>
    <row r="26384" ht="26.25" customHeight="1"/>
    <row r="26385" ht="26.25" customHeight="1"/>
    <row r="26386" ht="26.25" customHeight="1"/>
    <row r="26387" ht="26.25" customHeight="1"/>
    <row r="26388" ht="26.25" customHeight="1"/>
    <row r="26389" ht="26.25" customHeight="1"/>
    <row r="26390" ht="26.25" customHeight="1"/>
    <row r="26391" ht="26.25" customHeight="1"/>
    <row r="26392" ht="26.25" customHeight="1"/>
    <row r="26393" ht="26.25" customHeight="1"/>
    <row r="26394" ht="26.25" customHeight="1"/>
    <row r="26395" ht="26.25" customHeight="1"/>
    <row r="26396" ht="26.25" customHeight="1"/>
    <row r="26397" ht="26.25" customHeight="1"/>
    <row r="26398" ht="26.25" customHeight="1"/>
    <row r="26399" ht="26.25" customHeight="1"/>
    <row r="26400" ht="26.25" customHeight="1"/>
    <row r="26401" ht="26.25" customHeight="1"/>
    <row r="26402" ht="26.25" customHeight="1"/>
    <row r="26403" ht="26.25" customHeight="1"/>
    <row r="26404" ht="26.25" customHeight="1"/>
    <row r="26405" ht="26.25" customHeight="1"/>
    <row r="26406" ht="26.25" customHeight="1"/>
    <row r="26407" ht="26.25" customHeight="1"/>
    <row r="26408" ht="26.25" customHeight="1"/>
    <row r="26409" ht="26.25" customHeight="1"/>
    <row r="26410" ht="26.25" customHeight="1"/>
    <row r="26411" ht="26.25" customHeight="1"/>
    <row r="26412" ht="26.25" customHeight="1"/>
    <row r="26413" ht="26.25" customHeight="1"/>
    <row r="26414" ht="26.25" customHeight="1"/>
    <row r="26415" ht="26.25" customHeight="1"/>
    <row r="26416" ht="26.25" customHeight="1"/>
    <row r="26417" ht="26.25" customHeight="1"/>
    <row r="26418" ht="26.25" customHeight="1"/>
    <row r="26419" ht="26.25" customHeight="1"/>
    <row r="26420" ht="26.25" customHeight="1"/>
    <row r="26421" ht="26.25" customHeight="1"/>
    <row r="26422" ht="26.25" customHeight="1"/>
    <row r="26423" ht="26.25" customHeight="1"/>
    <row r="26424" ht="26.25" customHeight="1"/>
    <row r="26425" ht="26.25" customHeight="1"/>
    <row r="26426" ht="26.25" customHeight="1"/>
    <row r="26427" ht="26.25" customHeight="1"/>
    <row r="26428" ht="26.25" customHeight="1"/>
    <row r="26429" ht="26.25" customHeight="1"/>
    <row r="26430" ht="26.25" customHeight="1"/>
    <row r="26431" ht="26.25" customHeight="1"/>
    <row r="26432" ht="26.25" customHeight="1"/>
    <row r="26433" ht="26.25" customHeight="1"/>
    <row r="26434" ht="26.25" customHeight="1"/>
    <row r="26435" ht="26.25" customHeight="1"/>
    <row r="26436" ht="26.25" customHeight="1"/>
    <row r="26437" ht="26.25" customHeight="1"/>
    <row r="26438" ht="26.25" customHeight="1"/>
    <row r="26439" ht="26.25" customHeight="1"/>
    <row r="26440" ht="26.25" customHeight="1"/>
    <row r="26441" ht="26.25" customHeight="1"/>
    <row r="26442" ht="26.25" customHeight="1"/>
    <row r="26443" ht="26.25" customHeight="1"/>
    <row r="26444" ht="26.25" customHeight="1"/>
    <row r="26445" ht="26.25" customHeight="1"/>
    <row r="26446" ht="26.25" customHeight="1"/>
    <row r="26447" ht="26.25" customHeight="1"/>
    <row r="26448" ht="26.25" customHeight="1"/>
    <row r="26449" ht="26.25" customHeight="1"/>
    <row r="26450" ht="26.25" customHeight="1"/>
    <row r="26451" ht="26.25" customHeight="1"/>
    <row r="26452" ht="26.25" customHeight="1"/>
    <row r="26453" ht="26.25" customHeight="1"/>
    <row r="26454" ht="26.25" customHeight="1"/>
    <row r="26455" ht="26.25" customHeight="1"/>
    <row r="26456" ht="26.25" customHeight="1"/>
    <row r="26457" ht="26.25" customHeight="1"/>
    <row r="26458" ht="26.25" customHeight="1"/>
    <row r="26459" ht="26.25" customHeight="1"/>
    <row r="26460" ht="26.25" customHeight="1"/>
    <row r="26461" ht="26.25" customHeight="1"/>
    <row r="26462" ht="26.25" customHeight="1"/>
    <row r="26463" ht="26.25" customHeight="1"/>
    <row r="26464" ht="26.25" customHeight="1"/>
    <row r="26465" ht="26.25" customHeight="1"/>
    <row r="26466" ht="26.25" customHeight="1"/>
    <row r="26467" ht="26.25" customHeight="1"/>
    <row r="26468" ht="26.25" customHeight="1"/>
    <row r="26469" ht="26.25" customHeight="1"/>
    <row r="26470" ht="26.25" customHeight="1"/>
    <row r="26471" ht="26.25" customHeight="1"/>
    <row r="26472" ht="26.25" customHeight="1"/>
    <row r="26473" ht="26.25" customHeight="1"/>
    <row r="26474" ht="26.25" customHeight="1"/>
    <row r="26475" ht="26.25" customHeight="1"/>
    <row r="26476" ht="26.25" customHeight="1"/>
    <row r="26477" ht="26.25" customHeight="1"/>
    <row r="26478" ht="26.25" customHeight="1"/>
    <row r="26479" ht="26.25" customHeight="1"/>
    <row r="26480" ht="26.25" customHeight="1"/>
    <row r="26481" ht="26.25" customHeight="1"/>
    <row r="26482" ht="26.25" customHeight="1"/>
    <row r="26483" ht="26.25" customHeight="1"/>
    <row r="26484" ht="26.25" customHeight="1"/>
    <row r="26485" ht="26.25" customHeight="1"/>
    <row r="26486" ht="26.25" customHeight="1"/>
    <row r="26487" ht="26.25" customHeight="1"/>
    <row r="26488" ht="26.25" customHeight="1"/>
    <row r="26489" ht="26.25" customHeight="1"/>
    <row r="26490" ht="26.25" customHeight="1"/>
    <row r="26491" ht="26.25" customHeight="1"/>
    <row r="26492" ht="26.25" customHeight="1"/>
    <row r="26493" ht="26.25" customHeight="1"/>
    <row r="26494" ht="26.25" customHeight="1"/>
    <row r="26495" ht="26.25" customHeight="1"/>
    <row r="26496" ht="26.25" customHeight="1"/>
    <row r="26497" ht="26.25" customHeight="1"/>
    <row r="26498" ht="26.25" customHeight="1"/>
    <row r="26499" ht="26.25" customHeight="1"/>
    <row r="26500" ht="26.25" customHeight="1"/>
    <row r="26501" ht="26.25" customHeight="1"/>
    <row r="26502" ht="26.25" customHeight="1"/>
    <row r="26503" ht="26.25" customHeight="1"/>
    <row r="26504" ht="26.25" customHeight="1"/>
    <row r="26505" ht="26.25" customHeight="1"/>
    <row r="26506" ht="26.25" customHeight="1"/>
    <row r="26507" ht="26.25" customHeight="1"/>
    <row r="26508" ht="26.25" customHeight="1"/>
    <row r="26509" ht="26.25" customHeight="1"/>
    <row r="26510" ht="26.25" customHeight="1"/>
    <row r="26511" ht="26.25" customHeight="1"/>
    <row r="26512" ht="26.25" customHeight="1"/>
    <row r="26513" ht="26.25" customHeight="1"/>
    <row r="26514" ht="26.25" customHeight="1"/>
    <row r="26515" ht="26.25" customHeight="1"/>
    <row r="26516" ht="26.25" customHeight="1"/>
    <row r="26517" ht="26.25" customHeight="1"/>
    <row r="26518" ht="26.25" customHeight="1"/>
    <row r="26519" ht="26.25" customHeight="1"/>
    <row r="26520" ht="26.25" customHeight="1"/>
    <row r="26521" ht="26.25" customHeight="1"/>
    <row r="26522" ht="26.25" customHeight="1"/>
    <row r="26523" ht="26.25" customHeight="1"/>
    <row r="26524" ht="26.25" customHeight="1"/>
    <row r="26525" ht="26.25" customHeight="1"/>
    <row r="26526" ht="26.25" customHeight="1"/>
    <row r="26527" ht="26.25" customHeight="1"/>
    <row r="26528" ht="26.25" customHeight="1"/>
    <row r="26529" ht="26.25" customHeight="1"/>
    <row r="26530" ht="26.25" customHeight="1"/>
    <row r="26531" ht="26.25" customHeight="1"/>
    <row r="26532" ht="26.25" customHeight="1"/>
    <row r="26533" ht="26.25" customHeight="1"/>
    <row r="26534" ht="26.25" customHeight="1"/>
    <row r="26535" ht="26.25" customHeight="1"/>
    <row r="26536" ht="26.25" customHeight="1"/>
    <row r="26537" ht="26.25" customHeight="1"/>
    <row r="26538" ht="26.25" customHeight="1"/>
    <row r="26539" ht="26.25" customHeight="1"/>
    <row r="26540" ht="26.25" customHeight="1"/>
    <row r="26541" ht="26.25" customHeight="1"/>
    <row r="26542" ht="26.25" customHeight="1"/>
    <row r="26543" ht="26.25" customHeight="1"/>
    <row r="26544" ht="26.25" customHeight="1"/>
    <row r="26545" ht="26.25" customHeight="1"/>
    <row r="26546" ht="26.25" customHeight="1"/>
    <row r="26547" ht="26.25" customHeight="1"/>
    <row r="26548" ht="26.25" customHeight="1"/>
    <row r="26549" ht="26.25" customHeight="1"/>
    <row r="26550" ht="26.25" customHeight="1"/>
    <row r="26551" ht="26.25" customHeight="1"/>
    <row r="26552" ht="26.25" customHeight="1"/>
    <row r="26553" ht="26.25" customHeight="1"/>
    <row r="26554" ht="26.25" customHeight="1"/>
    <row r="26555" ht="26.25" customHeight="1"/>
    <row r="26556" ht="26.25" customHeight="1"/>
    <row r="26557" ht="26.25" customHeight="1"/>
    <row r="26558" ht="26.25" customHeight="1"/>
    <row r="26559" ht="26.25" customHeight="1"/>
    <row r="26560" ht="26.25" customHeight="1"/>
    <row r="26561" ht="26.25" customHeight="1"/>
    <row r="26562" ht="26.25" customHeight="1"/>
    <row r="26563" ht="26.25" customHeight="1"/>
    <row r="26564" ht="26.25" customHeight="1"/>
    <row r="26565" ht="26.25" customHeight="1"/>
    <row r="26566" ht="26.25" customHeight="1"/>
    <row r="26567" ht="26.25" customHeight="1"/>
    <row r="26568" ht="26.25" customHeight="1"/>
    <row r="26569" ht="26.25" customHeight="1"/>
    <row r="26570" ht="26.25" customHeight="1"/>
    <row r="26571" ht="26.25" customHeight="1"/>
    <row r="26572" ht="26.25" customHeight="1"/>
    <row r="26573" ht="26.25" customHeight="1"/>
    <row r="26574" ht="26.25" customHeight="1"/>
    <row r="26575" ht="26.25" customHeight="1"/>
    <row r="26576" ht="26.25" customHeight="1"/>
    <row r="26577" ht="26.25" customHeight="1"/>
    <row r="26578" ht="26.25" customHeight="1"/>
    <row r="26579" ht="26.25" customHeight="1"/>
    <row r="26580" ht="26.25" customHeight="1"/>
    <row r="26581" ht="26.25" customHeight="1"/>
    <row r="26582" ht="26.25" customHeight="1"/>
    <row r="26583" ht="26.25" customHeight="1"/>
    <row r="26584" ht="26.25" customHeight="1"/>
    <row r="26585" ht="26.25" customHeight="1"/>
    <row r="26586" ht="26.25" customHeight="1"/>
    <row r="26587" ht="26.25" customHeight="1"/>
    <row r="26588" ht="26.25" customHeight="1"/>
    <row r="26589" ht="26.25" customHeight="1"/>
    <row r="26590" ht="26.25" customHeight="1"/>
    <row r="26591" ht="26.25" customHeight="1"/>
    <row r="26592" ht="26.25" customHeight="1"/>
    <row r="26593" ht="26.25" customHeight="1"/>
    <row r="26594" ht="26.25" customHeight="1"/>
    <row r="26595" ht="26.25" customHeight="1"/>
    <row r="26596" ht="26.25" customHeight="1"/>
    <row r="26597" ht="26.25" customHeight="1"/>
    <row r="26598" ht="26.25" customHeight="1"/>
    <row r="26599" ht="26.25" customHeight="1"/>
    <row r="26600" ht="26.25" customHeight="1"/>
    <row r="26601" ht="26.25" customHeight="1"/>
    <row r="26602" ht="26.25" customHeight="1"/>
    <row r="26603" ht="26.25" customHeight="1"/>
    <row r="26604" ht="26.25" customHeight="1"/>
    <row r="26605" ht="26.25" customHeight="1"/>
    <row r="26606" ht="26.25" customHeight="1"/>
    <row r="26607" ht="26.25" customHeight="1"/>
    <row r="26608" ht="26.25" customHeight="1"/>
    <row r="26609" ht="26.25" customHeight="1"/>
    <row r="26610" ht="26.25" customHeight="1"/>
    <row r="26611" ht="26.25" customHeight="1"/>
    <row r="26612" ht="26.25" customHeight="1"/>
    <row r="26613" ht="26.25" customHeight="1"/>
    <row r="26614" ht="26.25" customHeight="1"/>
    <row r="26615" ht="26.25" customHeight="1"/>
    <row r="26616" ht="26.25" customHeight="1"/>
    <row r="26617" ht="26.25" customHeight="1"/>
    <row r="26618" ht="26.25" customHeight="1"/>
    <row r="26619" ht="26.25" customHeight="1"/>
    <row r="26620" ht="26.25" customHeight="1"/>
    <row r="26621" ht="26.25" customHeight="1"/>
    <row r="26622" ht="26.25" customHeight="1"/>
    <row r="26623" ht="26.25" customHeight="1"/>
    <row r="26624" ht="26.25" customHeight="1"/>
    <row r="26625" ht="26.25" customHeight="1"/>
    <row r="26626" ht="26.25" customHeight="1"/>
    <row r="26627" ht="26.25" customHeight="1"/>
    <row r="26628" ht="26.25" customHeight="1"/>
    <row r="26629" ht="26.25" customHeight="1"/>
    <row r="26630" ht="26.25" customHeight="1"/>
    <row r="26631" ht="26.25" customHeight="1"/>
    <row r="26632" ht="26.25" customHeight="1"/>
    <row r="26633" ht="26.25" customHeight="1"/>
    <row r="26634" ht="26.25" customHeight="1"/>
    <row r="26635" ht="26.25" customHeight="1"/>
    <row r="26636" ht="26.25" customHeight="1"/>
    <row r="26637" ht="26.25" customHeight="1"/>
    <row r="26638" ht="26.25" customHeight="1"/>
    <row r="26639" ht="26.25" customHeight="1"/>
    <row r="26640" ht="26.25" customHeight="1"/>
    <row r="26641" ht="26.25" customHeight="1"/>
    <row r="26642" ht="26.25" customHeight="1"/>
    <row r="26643" ht="26.25" customHeight="1"/>
    <row r="26644" ht="26.25" customHeight="1"/>
    <row r="26645" ht="26.25" customHeight="1"/>
    <row r="26646" ht="26.25" customHeight="1"/>
    <row r="26647" ht="26.25" customHeight="1"/>
    <row r="26648" ht="26.25" customHeight="1"/>
    <row r="26649" ht="26.25" customHeight="1"/>
    <row r="26650" ht="26.25" customHeight="1"/>
    <row r="26651" ht="26.25" customHeight="1"/>
    <row r="26652" ht="26.25" customHeight="1"/>
    <row r="26653" ht="26.25" customHeight="1"/>
    <row r="26654" ht="26.25" customHeight="1"/>
    <row r="26655" ht="26.25" customHeight="1"/>
    <row r="26656" ht="26.25" customHeight="1"/>
    <row r="26657" ht="26.25" customHeight="1"/>
    <row r="26658" ht="26.25" customHeight="1"/>
    <row r="26659" ht="26.25" customHeight="1"/>
    <row r="26660" ht="26.25" customHeight="1"/>
    <row r="26661" ht="26.25" customHeight="1"/>
    <row r="26662" ht="26.25" customHeight="1"/>
    <row r="26663" ht="26.25" customHeight="1"/>
    <row r="26664" ht="26.25" customHeight="1"/>
    <row r="26665" ht="26.25" customHeight="1"/>
    <row r="26666" ht="26.25" customHeight="1"/>
    <row r="26667" ht="26.25" customHeight="1"/>
    <row r="26668" ht="26.25" customHeight="1"/>
    <row r="26669" ht="26.25" customHeight="1"/>
    <row r="26670" ht="26.25" customHeight="1"/>
    <row r="26671" ht="26.25" customHeight="1"/>
    <row r="26672" ht="26.25" customHeight="1"/>
    <row r="26673" ht="26.25" customHeight="1"/>
    <row r="26674" ht="26.25" customHeight="1"/>
    <row r="26675" ht="26.25" customHeight="1"/>
    <row r="26676" ht="26.25" customHeight="1"/>
    <row r="26677" ht="26.25" customHeight="1"/>
    <row r="26678" ht="26.25" customHeight="1"/>
    <row r="26679" ht="26.25" customHeight="1"/>
    <row r="26680" ht="26.25" customHeight="1"/>
    <row r="26681" ht="26.25" customHeight="1"/>
    <row r="26682" ht="26.25" customHeight="1"/>
    <row r="26683" ht="26.25" customHeight="1"/>
    <row r="26684" ht="26.25" customHeight="1"/>
    <row r="26685" ht="26.25" customHeight="1"/>
    <row r="26686" ht="26.25" customHeight="1"/>
    <row r="26687" ht="26.25" customHeight="1"/>
    <row r="26688" ht="26.25" customHeight="1"/>
    <row r="26689" ht="26.25" customHeight="1"/>
    <row r="26690" ht="26.25" customHeight="1"/>
    <row r="26691" ht="26.25" customHeight="1"/>
    <row r="26692" ht="26.25" customHeight="1"/>
    <row r="26693" ht="26.25" customHeight="1"/>
    <row r="26694" ht="26.25" customHeight="1"/>
    <row r="26695" ht="26.25" customHeight="1"/>
    <row r="26696" ht="26.25" customHeight="1"/>
    <row r="26697" ht="26.25" customHeight="1"/>
    <row r="26698" ht="26.25" customHeight="1"/>
    <row r="26699" ht="26.25" customHeight="1"/>
    <row r="26700" ht="26.25" customHeight="1"/>
    <row r="26701" ht="26.25" customHeight="1"/>
    <row r="26702" ht="26.25" customHeight="1"/>
    <row r="26703" ht="26.25" customHeight="1"/>
    <row r="26704" ht="26.25" customHeight="1"/>
    <row r="26705" ht="26.25" customHeight="1"/>
    <row r="26706" ht="26.25" customHeight="1"/>
    <row r="26707" ht="26.25" customHeight="1"/>
    <row r="26708" ht="26.25" customHeight="1"/>
    <row r="26709" ht="26.25" customHeight="1"/>
    <row r="26710" ht="26.25" customHeight="1"/>
    <row r="26711" ht="26.25" customHeight="1"/>
    <row r="26712" ht="26.25" customHeight="1"/>
    <row r="26713" ht="26.25" customHeight="1"/>
    <row r="26714" ht="26.25" customHeight="1"/>
    <row r="26715" ht="26.25" customHeight="1"/>
    <row r="26716" ht="26.25" customHeight="1"/>
    <row r="26717" ht="26.25" customHeight="1"/>
    <row r="26718" ht="26.25" customHeight="1"/>
    <row r="26719" ht="26.25" customHeight="1"/>
    <row r="26720" ht="26.25" customHeight="1"/>
    <row r="26721" ht="26.25" customHeight="1"/>
    <row r="26722" ht="26.25" customHeight="1"/>
    <row r="26723" ht="26.25" customHeight="1"/>
    <row r="26724" ht="26.25" customHeight="1"/>
    <row r="26725" ht="26.25" customHeight="1"/>
    <row r="26726" ht="26.25" customHeight="1"/>
    <row r="26727" ht="26.25" customHeight="1"/>
    <row r="26728" ht="26.25" customHeight="1"/>
    <row r="26729" ht="26.25" customHeight="1"/>
    <row r="26730" ht="26.25" customHeight="1"/>
    <row r="26731" ht="26.25" customHeight="1"/>
    <row r="26732" ht="26.25" customHeight="1"/>
    <row r="26733" ht="26.25" customHeight="1"/>
    <row r="26734" ht="26.25" customHeight="1"/>
    <row r="26735" ht="26.25" customHeight="1"/>
    <row r="26736" ht="26.25" customHeight="1"/>
    <row r="26737" ht="26.25" customHeight="1"/>
    <row r="26738" ht="26.25" customHeight="1"/>
    <row r="26739" ht="26.25" customHeight="1"/>
    <row r="26740" ht="26.25" customHeight="1"/>
    <row r="26741" ht="26.25" customHeight="1"/>
    <row r="26742" ht="26.25" customHeight="1"/>
    <row r="26743" ht="26.25" customHeight="1"/>
    <row r="26744" ht="26.25" customHeight="1"/>
    <row r="26745" ht="26.25" customHeight="1"/>
    <row r="26746" ht="26.25" customHeight="1"/>
    <row r="26747" ht="26.25" customHeight="1"/>
    <row r="26748" ht="26.25" customHeight="1"/>
    <row r="26749" ht="26.25" customHeight="1"/>
    <row r="26750" ht="26.25" customHeight="1"/>
    <row r="26751" ht="26.25" customHeight="1"/>
    <row r="26752" ht="26.25" customHeight="1"/>
    <row r="26753" ht="26.25" customHeight="1"/>
    <row r="26754" ht="26.25" customHeight="1"/>
    <row r="26755" ht="26.25" customHeight="1"/>
    <row r="26756" ht="26.25" customHeight="1"/>
    <row r="26757" ht="26.25" customHeight="1"/>
    <row r="26758" ht="26.25" customHeight="1"/>
    <row r="26759" ht="26.25" customHeight="1"/>
    <row r="26760" ht="26.25" customHeight="1"/>
    <row r="26761" ht="26.25" customHeight="1"/>
    <row r="26762" ht="26.25" customHeight="1"/>
    <row r="26763" ht="26.25" customHeight="1"/>
    <row r="26764" ht="26.25" customHeight="1"/>
    <row r="26765" ht="26.25" customHeight="1"/>
    <row r="26766" ht="26.25" customHeight="1"/>
    <row r="26767" ht="26.25" customHeight="1"/>
    <row r="26768" ht="26.25" customHeight="1"/>
    <row r="26769" ht="26.25" customHeight="1"/>
    <row r="26770" ht="26.25" customHeight="1"/>
    <row r="26771" ht="26.25" customHeight="1"/>
    <row r="26772" ht="26.25" customHeight="1"/>
    <row r="26773" ht="26.25" customHeight="1"/>
    <row r="26774" ht="26.25" customHeight="1"/>
    <row r="26775" ht="26.25" customHeight="1"/>
    <row r="26776" ht="26.25" customHeight="1"/>
    <row r="26777" ht="26.25" customHeight="1"/>
    <row r="26778" ht="26.25" customHeight="1"/>
    <row r="26779" ht="26.25" customHeight="1"/>
    <row r="26780" ht="26.25" customHeight="1"/>
    <row r="26781" ht="26.25" customHeight="1"/>
    <row r="26782" ht="26.25" customHeight="1"/>
    <row r="26783" ht="26.25" customHeight="1"/>
    <row r="26784" ht="26.25" customHeight="1"/>
    <row r="26785" ht="26.25" customHeight="1"/>
    <row r="26786" ht="26.25" customHeight="1"/>
    <row r="26787" ht="26.25" customHeight="1"/>
    <row r="26788" ht="26.25" customHeight="1"/>
    <row r="26789" ht="26.25" customHeight="1"/>
    <row r="26790" ht="26.25" customHeight="1"/>
    <row r="26791" ht="26.25" customHeight="1"/>
    <row r="26792" ht="26.25" customHeight="1"/>
    <row r="26793" ht="26.25" customHeight="1"/>
    <row r="26794" ht="26.25" customHeight="1"/>
    <row r="26795" ht="26.25" customHeight="1"/>
    <row r="26796" ht="26.25" customHeight="1"/>
    <row r="26797" ht="26.25" customHeight="1"/>
    <row r="26798" ht="26.25" customHeight="1"/>
    <row r="26799" ht="26.25" customHeight="1"/>
    <row r="26800" ht="26.25" customHeight="1"/>
    <row r="26801" ht="26.25" customHeight="1"/>
    <row r="26802" ht="26.25" customHeight="1"/>
    <row r="26803" ht="26.25" customHeight="1"/>
    <row r="26804" ht="26.25" customHeight="1"/>
    <row r="26805" ht="26.25" customHeight="1"/>
    <row r="26806" ht="26.25" customHeight="1"/>
    <row r="26807" ht="26.25" customHeight="1"/>
    <row r="26808" ht="26.25" customHeight="1"/>
    <row r="26809" ht="26.25" customHeight="1"/>
    <row r="26810" ht="26.25" customHeight="1"/>
    <row r="26811" ht="26.25" customHeight="1"/>
    <row r="26812" ht="26.25" customHeight="1"/>
    <row r="26813" ht="26.25" customHeight="1"/>
    <row r="26814" ht="26.25" customHeight="1"/>
    <row r="26815" ht="26.25" customHeight="1"/>
    <row r="26816" ht="26.25" customHeight="1"/>
    <row r="26817" ht="26.25" customHeight="1"/>
    <row r="26818" ht="26.25" customHeight="1"/>
    <row r="26819" ht="26.25" customHeight="1"/>
    <row r="26820" ht="26.25" customHeight="1"/>
    <row r="26821" ht="26.25" customHeight="1"/>
    <row r="26822" ht="26.25" customHeight="1"/>
    <row r="26823" ht="26.25" customHeight="1"/>
    <row r="26824" ht="26.25" customHeight="1"/>
    <row r="26825" ht="26.25" customHeight="1"/>
    <row r="26826" ht="26.25" customHeight="1"/>
    <row r="26827" ht="26.25" customHeight="1"/>
    <row r="26828" ht="26.25" customHeight="1"/>
    <row r="26829" ht="26.25" customHeight="1"/>
    <row r="26830" ht="26.25" customHeight="1"/>
    <row r="26831" ht="26.25" customHeight="1"/>
    <row r="26832" ht="26.25" customHeight="1"/>
    <row r="26833" ht="26.25" customHeight="1"/>
    <row r="26834" ht="26.25" customHeight="1"/>
    <row r="26835" ht="26.25" customHeight="1"/>
    <row r="26836" ht="26.25" customHeight="1"/>
    <row r="26837" ht="26.25" customHeight="1"/>
    <row r="26838" ht="26.25" customHeight="1"/>
    <row r="26839" ht="26.25" customHeight="1"/>
    <row r="26840" ht="26.25" customHeight="1"/>
    <row r="26841" ht="26.25" customHeight="1"/>
    <row r="26842" ht="26.25" customHeight="1"/>
    <row r="26843" ht="26.25" customHeight="1"/>
    <row r="26844" ht="26.25" customHeight="1"/>
    <row r="26845" ht="26.25" customHeight="1"/>
    <row r="26846" ht="26.25" customHeight="1"/>
    <row r="26847" ht="26.25" customHeight="1"/>
    <row r="26848" ht="26.25" customHeight="1"/>
    <row r="26849" ht="26.25" customHeight="1"/>
    <row r="26850" ht="26.25" customHeight="1"/>
    <row r="26851" ht="26.25" customHeight="1"/>
    <row r="26852" ht="26.25" customHeight="1"/>
    <row r="26853" ht="26.25" customHeight="1"/>
    <row r="26854" ht="26.25" customHeight="1"/>
    <row r="26855" ht="26.25" customHeight="1"/>
    <row r="26856" ht="26.25" customHeight="1"/>
    <row r="26857" ht="26.25" customHeight="1"/>
    <row r="26858" ht="26.25" customHeight="1"/>
    <row r="26859" ht="26.25" customHeight="1"/>
    <row r="26860" ht="26.25" customHeight="1"/>
    <row r="26861" ht="26.25" customHeight="1"/>
    <row r="26862" ht="26.25" customHeight="1"/>
    <row r="26863" ht="26.25" customHeight="1"/>
    <row r="26864" ht="26.25" customHeight="1"/>
    <row r="26865" ht="26.25" customHeight="1"/>
    <row r="26866" ht="26.25" customHeight="1"/>
    <row r="26867" ht="26.25" customHeight="1"/>
    <row r="26868" ht="26.25" customHeight="1"/>
    <row r="26869" ht="26.25" customHeight="1"/>
    <row r="26870" ht="26.25" customHeight="1"/>
    <row r="26871" ht="26.25" customHeight="1"/>
    <row r="26872" ht="26.25" customHeight="1"/>
    <row r="26873" ht="26.25" customHeight="1"/>
    <row r="26874" ht="26.25" customHeight="1"/>
    <row r="26875" ht="26.25" customHeight="1"/>
    <row r="26876" ht="26.25" customHeight="1"/>
    <row r="26877" ht="26.25" customHeight="1"/>
    <row r="26878" ht="26.25" customHeight="1"/>
    <row r="26879" ht="26.25" customHeight="1"/>
    <row r="26880" ht="26.25" customHeight="1"/>
    <row r="26881" ht="26.25" customHeight="1"/>
    <row r="26882" ht="26.25" customHeight="1"/>
    <row r="26883" ht="26.25" customHeight="1"/>
    <row r="26884" ht="26.25" customHeight="1"/>
    <row r="26885" ht="26.25" customHeight="1"/>
    <row r="26886" ht="26.25" customHeight="1"/>
    <row r="26887" ht="26.25" customHeight="1"/>
    <row r="26888" ht="26.25" customHeight="1"/>
    <row r="26889" ht="26.25" customHeight="1"/>
    <row r="26890" ht="26.25" customHeight="1"/>
    <row r="26891" ht="26.25" customHeight="1"/>
    <row r="26892" ht="26.25" customHeight="1"/>
    <row r="26893" ht="26.25" customHeight="1"/>
    <row r="26894" ht="26.25" customHeight="1"/>
    <row r="26895" ht="26.25" customHeight="1"/>
    <row r="26896" ht="26.25" customHeight="1"/>
    <row r="26897" ht="26.25" customHeight="1"/>
    <row r="26898" ht="26.25" customHeight="1"/>
    <row r="26899" ht="26.25" customHeight="1"/>
    <row r="26900" ht="26.25" customHeight="1"/>
    <row r="26901" ht="26.25" customHeight="1"/>
    <row r="26902" ht="26.25" customHeight="1"/>
    <row r="26903" ht="26.25" customHeight="1"/>
    <row r="26904" ht="26.25" customHeight="1"/>
    <row r="26905" ht="26.25" customHeight="1"/>
    <row r="26906" ht="26.25" customHeight="1"/>
    <row r="26907" ht="26.25" customHeight="1"/>
    <row r="26908" ht="26.25" customHeight="1"/>
    <row r="26909" ht="26.25" customHeight="1"/>
    <row r="26910" ht="26.25" customHeight="1"/>
    <row r="26911" ht="26.25" customHeight="1"/>
    <row r="26912" ht="26.25" customHeight="1"/>
    <row r="26913" ht="26.25" customHeight="1"/>
    <row r="26914" ht="26.25" customHeight="1"/>
    <row r="26915" ht="26.25" customHeight="1"/>
    <row r="26916" ht="26.25" customHeight="1"/>
    <row r="26917" ht="26.25" customHeight="1"/>
    <row r="26918" ht="26.25" customHeight="1"/>
    <row r="26919" ht="26.25" customHeight="1"/>
    <row r="26920" ht="26.25" customHeight="1"/>
    <row r="26921" ht="26.25" customHeight="1"/>
    <row r="26922" ht="26.25" customHeight="1"/>
    <row r="26923" ht="26.25" customHeight="1"/>
    <row r="26924" ht="26.25" customHeight="1"/>
    <row r="26925" ht="26.25" customHeight="1"/>
    <row r="26926" ht="26.25" customHeight="1"/>
    <row r="26927" ht="26.25" customHeight="1"/>
    <row r="26928" ht="26.25" customHeight="1"/>
    <row r="26929" ht="26.25" customHeight="1"/>
    <row r="26930" ht="26.25" customHeight="1"/>
    <row r="26931" ht="26.25" customHeight="1"/>
    <row r="26932" ht="26.25" customHeight="1"/>
    <row r="26933" ht="26.25" customHeight="1"/>
    <row r="26934" ht="26.25" customHeight="1"/>
    <row r="26935" ht="26.25" customHeight="1"/>
    <row r="26936" ht="26.25" customHeight="1"/>
    <row r="26937" ht="26.25" customHeight="1"/>
    <row r="26938" ht="26.25" customHeight="1"/>
    <row r="26939" ht="26.25" customHeight="1"/>
    <row r="26940" ht="26.25" customHeight="1"/>
    <row r="26941" ht="26.25" customHeight="1"/>
    <row r="26942" ht="26.25" customHeight="1"/>
    <row r="26943" ht="26.25" customHeight="1"/>
    <row r="26944" ht="26.25" customHeight="1"/>
    <row r="26945" ht="26.25" customHeight="1"/>
    <row r="26946" ht="26.25" customHeight="1"/>
    <row r="26947" ht="26.25" customHeight="1"/>
    <row r="26948" ht="26.25" customHeight="1"/>
    <row r="26949" ht="26.25" customHeight="1"/>
    <row r="26950" ht="26.25" customHeight="1"/>
    <row r="26951" ht="26.25" customHeight="1"/>
    <row r="26952" ht="26.25" customHeight="1"/>
    <row r="26953" ht="26.25" customHeight="1"/>
    <row r="26954" ht="26.25" customHeight="1"/>
    <row r="26955" ht="26.25" customHeight="1"/>
    <row r="26956" ht="26.25" customHeight="1"/>
    <row r="26957" ht="26.25" customHeight="1"/>
    <row r="26958" ht="26.25" customHeight="1"/>
    <row r="26959" ht="26.25" customHeight="1"/>
    <row r="26960" ht="26.25" customHeight="1"/>
    <row r="26961" ht="26.25" customHeight="1"/>
    <row r="26962" ht="26.25" customHeight="1"/>
    <row r="26963" ht="26.25" customHeight="1"/>
    <row r="26964" ht="26.25" customHeight="1"/>
    <row r="26965" ht="26.25" customHeight="1"/>
    <row r="26966" ht="26.25" customHeight="1"/>
    <row r="26967" ht="26.25" customHeight="1"/>
    <row r="26968" ht="26.25" customHeight="1"/>
    <row r="26969" ht="26.25" customHeight="1"/>
    <row r="26970" ht="26.25" customHeight="1"/>
    <row r="26971" ht="26.25" customHeight="1"/>
    <row r="26972" ht="26.25" customHeight="1"/>
    <row r="26973" ht="26.25" customHeight="1"/>
    <row r="26974" ht="26.25" customHeight="1"/>
    <row r="26975" ht="26.25" customHeight="1"/>
    <row r="26976" ht="26.25" customHeight="1"/>
    <row r="26977" ht="26.25" customHeight="1"/>
    <row r="26978" ht="26.25" customHeight="1"/>
    <row r="26979" ht="26.25" customHeight="1"/>
    <row r="26980" ht="26.25" customHeight="1"/>
    <row r="26981" ht="26.25" customHeight="1"/>
    <row r="26982" ht="26.25" customHeight="1"/>
    <row r="26983" ht="26.25" customHeight="1"/>
    <row r="26984" ht="26.25" customHeight="1"/>
    <row r="26985" ht="26.25" customHeight="1"/>
    <row r="26986" ht="26.25" customHeight="1"/>
    <row r="26987" ht="26.25" customHeight="1"/>
    <row r="26988" ht="26.25" customHeight="1"/>
    <row r="26989" ht="26.25" customHeight="1"/>
    <row r="26990" ht="26.25" customHeight="1"/>
    <row r="26991" ht="26.25" customHeight="1"/>
    <row r="26992" ht="26.25" customHeight="1"/>
    <row r="26993" ht="26.25" customHeight="1"/>
    <row r="26994" ht="26.25" customHeight="1"/>
    <row r="26995" ht="26.25" customHeight="1"/>
    <row r="26996" ht="26.25" customHeight="1"/>
    <row r="26997" ht="26.25" customHeight="1"/>
    <row r="26998" ht="26.25" customHeight="1"/>
    <row r="26999" ht="26.25" customHeight="1"/>
    <row r="27000" ht="26.25" customHeight="1"/>
    <row r="27001" ht="26.25" customHeight="1"/>
    <row r="27002" ht="26.25" customHeight="1"/>
    <row r="27003" ht="26.25" customHeight="1"/>
    <row r="27004" ht="26.25" customHeight="1"/>
    <row r="27005" ht="26.25" customHeight="1"/>
    <row r="27006" ht="26.25" customHeight="1"/>
    <row r="27007" ht="26.25" customHeight="1"/>
    <row r="27008" ht="26.25" customHeight="1"/>
    <row r="27009" ht="26.25" customHeight="1"/>
    <row r="27010" ht="26.25" customHeight="1"/>
    <row r="27011" ht="26.25" customHeight="1"/>
    <row r="27012" ht="26.25" customHeight="1"/>
    <row r="27013" ht="26.25" customHeight="1"/>
    <row r="27014" ht="26.25" customHeight="1"/>
    <row r="27015" ht="26.25" customHeight="1"/>
    <row r="27016" ht="26.25" customHeight="1"/>
    <row r="27017" ht="26.25" customHeight="1"/>
    <row r="27018" ht="26.25" customHeight="1"/>
    <row r="27019" ht="26.25" customHeight="1"/>
    <row r="27020" ht="26.25" customHeight="1"/>
    <row r="27021" ht="26.25" customHeight="1"/>
    <row r="27022" ht="26.25" customHeight="1"/>
    <row r="27023" ht="26.25" customHeight="1"/>
    <row r="27024" ht="26.25" customHeight="1"/>
    <row r="27025" ht="26.25" customHeight="1"/>
    <row r="27026" ht="26.25" customHeight="1"/>
    <row r="27027" ht="26.25" customHeight="1"/>
    <row r="27028" ht="26.25" customHeight="1"/>
    <row r="27029" ht="26.25" customHeight="1"/>
    <row r="27030" ht="26.25" customHeight="1"/>
    <row r="27031" ht="26.25" customHeight="1"/>
    <row r="27032" ht="26.25" customHeight="1"/>
    <row r="27033" ht="26.25" customHeight="1"/>
    <row r="27034" ht="26.25" customHeight="1"/>
    <row r="27035" ht="26.25" customHeight="1"/>
    <row r="27036" ht="26.25" customHeight="1"/>
    <row r="27037" ht="26.25" customHeight="1"/>
    <row r="27038" ht="26.25" customHeight="1"/>
    <row r="27039" ht="26.25" customHeight="1"/>
    <row r="27040" ht="26.25" customHeight="1"/>
    <row r="27041" ht="26.25" customHeight="1"/>
    <row r="27042" ht="26.25" customHeight="1"/>
    <row r="27043" ht="26.25" customHeight="1"/>
    <row r="27044" ht="26.25" customHeight="1"/>
    <row r="27045" ht="26.25" customHeight="1"/>
    <row r="27046" ht="26.25" customHeight="1"/>
    <row r="27047" ht="26.25" customHeight="1"/>
    <row r="27048" ht="26.25" customHeight="1"/>
    <row r="27049" ht="26.25" customHeight="1"/>
    <row r="27050" ht="26.25" customHeight="1"/>
    <row r="27051" ht="26.25" customHeight="1"/>
    <row r="27052" ht="26.25" customHeight="1"/>
    <row r="27053" ht="26.25" customHeight="1"/>
    <row r="27054" ht="26.25" customHeight="1"/>
    <row r="27055" ht="26.25" customHeight="1"/>
    <row r="27056" ht="26.25" customHeight="1"/>
    <row r="27057" ht="26.25" customHeight="1"/>
    <row r="27058" ht="26.25" customHeight="1"/>
    <row r="27059" ht="26.25" customHeight="1"/>
    <row r="27060" ht="26.25" customHeight="1"/>
    <row r="27061" ht="26.25" customHeight="1"/>
    <row r="27062" ht="26.25" customHeight="1"/>
    <row r="27063" ht="26.25" customHeight="1"/>
    <row r="27064" ht="26.25" customHeight="1"/>
    <row r="27065" ht="26.25" customHeight="1"/>
    <row r="27066" ht="26.25" customHeight="1"/>
    <row r="27067" ht="26.25" customHeight="1"/>
    <row r="27068" ht="26.25" customHeight="1"/>
    <row r="27069" ht="26.25" customHeight="1"/>
    <row r="27070" ht="26.25" customHeight="1"/>
    <row r="27071" ht="26.25" customHeight="1"/>
    <row r="27072" ht="26.25" customHeight="1"/>
    <row r="27073" ht="26.25" customHeight="1"/>
    <row r="27074" ht="26.25" customHeight="1"/>
    <row r="27075" ht="26.25" customHeight="1"/>
    <row r="27076" ht="26.25" customHeight="1"/>
    <row r="27077" ht="26.25" customHeight="1"/>
    <row r="27078" ht="26.25" customHeight="1"/>
    <row r="27079" ht="26.25" customHeight="1"/>
    <row r="27080" ht="26.25" customHeight="1"/>
    <row r="27081" ht="26.25" customHeight="1"/>
    <row r="27082" ht="26.25" customHeight="1"/>
    <row r="27083" ht="26.25" customHeight="1"/>
    <row r="27084" ht="26.25" customHeight="1"/>
    <row r="27085" ht="26.25" customHeight="1"/>
    <row r="27086" ht="26.25" customHeight="1"/>
    <row r="27087" ht="26.25" customHeight="1"/>
    <row r="27088" ht="26.25" customHeight="1"/>
    <row r="27089" ht="26.25" customHeight="1"/>
    <row r="27090" ht="26.25" customHeight="1"/>
    <row r="27091" ht="26.25" customHeight="1"/>
    <row r="27092" ht="26.25" customHeight="1"/>
    <row r="27093" ht="26.25" customHeight="1"/>
    <row r="27094" ht="26.25" customHeight="1"/>
    <row r="27095" ht="26.25" customHeight="1"/>
    <row r="27096" ht="26.25" customHeight="1"/>
    <row r="27097" ht="26.25" customHeight="1"/>
    <row r="27098" ht="26.25" customHeight="1"/>
    <row r="27099" ht="26.25" customHeight="1"/>
    <row r="27100" ht="26.25" customHeight="1"/>
    <row r="27101" ht="26.25" customHeight="1"/>
    <row r="27102" ht="26.25" customHeight="1"/>
    <row r="27103" ht="26.25" customHeight="1"/>
    <row r="27104" ht="26.25" customHeight="1"/>
    <row r="27105" ht="26.25" customHeight="1"/>
    <row r="27106" ht="26.25" customHeight="1"/>
    <row r="27107" ht="26.25" customHeight="1"/>
    <row r="27108" ht="26.25" customHeight="1"/>
    <row r="27109" ht="26.25" customHeight="1"/>
    <row r="27110" ht="26.25" customHeight="1"/>
    <row r="27111" ht="26.25" customHeight="1"/>
    <row r="27112" ht="26.25" customHeight="1"/>
    <row r="27113" ht="26.25" customHeight="1"/>
    <row r="27114" ht="26.25" customHeight="1"/>
    <row r="27115" ht="26.25" customHeight="1"/>
    <row r="27116" ht="26.25" customHeight="1"/>
    <row r="27117" ht="26.25" customHeight="1"/>
    <row r="27118" ht="26.25" customHeight="1"/>
    <row r="27119" ht="26.25" customHeight="1"/>
    <row r="27120" ht="26.25" customHeight="1"/>
    <row r="27121" ht="26.25" customHeight="1"/>
    <row r="27122" ht="26.25" customHeight="1"/>
    <row r="27123" ht="26.25" customHeight="1"/>
    <row r="27124" ht="26.25" customHeight="1"/>
    <row r="27125" ht="26.25" customHeight="1"/>
    <row r="27126" ht="26.25" customHeight="1"/>
    <row r="27127" ht="26.25" customHeight="1"/>
    <row r="27128" ht="26.25" customHeight="1"/>
    <row r="27129" ht="26.25" customHeight="1"/>
    <row r="27130" ht="26.25" customHeight="1"/>
    <row r="27131" ht="26.25" customHeight="1"/>
    <row r="27132" ht="26.25" customHeight="1"/>
    <row r="27133" ht="26.25" customHeight="1"/>
    <row r="27134" ht="26.25" customHeight="1"/>
    <row r="27135" ht="26.25" customHeight="1"/>
    <row r="27136" ht="26.25" customHeight="1"/>
    <row r="27137" ht="26.25" customHeight="1"/>
    <row r="27138" ht="26.25" customHeight="1"/>
    <row r="27139" ht="26.25" customHeight="1"/>
    <row r="27140" ht="26.25" customHeight="1"/>
    <row r="27141" ht="26.25" customHeight="1"/>
    <row r="27142" ht="26.25" customHeight="1"/>
    <row r="27143" ht="26.25" customHeight="1"/>
    <row r="27144" ht="26.25" customHeight="1"/>
    <row r="27145" ht="26.25" customHeight="1"/>
    <row r="27146" ht="26.25" customHeight="1"/>
    <row r="27147" ht="26.25" customHeight="1"/>
    <row r="27148" ht="26.25" customHeight="1"/>
    <row r="27149" ht="26.25" customHeight="1"/>
    <row r="27150" ht="26.25" customHeight="1"/>
    <row r="27151" ht="26.25" customHeight="1"/>
    <row r="27152" ht="26.25" customHeight="1"/>
    <row r="27153" ht="26.25" customHeight="1"/>
    <row r="27154" ht="26.25" customHeight="1"/>
    <row r="27155" ht="26.25" customHeight="1"/>
    <row r="27156" ht="26.25" customHeight="1"/>
    <row r="27157" ht="26.25" customHeight="1"/>
    <row r="27158" ht="26.25" customHeight="1"/>
    <row r="27159" ht="26.25" customHeight="1"/>
    <row r="27160" ht="26.25" customHeight="1"/>
    <row r="27161" ht="26.25" customHeight="1"/>
    <row r="27162" ht="26.25" customHeight="1"/>
    <row r="27163" ht="26.25" customHeight="1"/>
    <row r="27164" ht="26.25" customHeight="1"/>
    <row r="27165" ht="26.25" customHeight="1"/>
    <row r="27166" ht="26.25" customHeight="1"/>
    <row r="27167" ht="26.25" customHeight="1"/>
    <row r="27168" ht="26.25" customHeight="1"/>
    <row r="27169" ht="26.25" customHeight="1"/>
    <row r="27170" ht="26.25" customHeight="1"/>
    <row r="27171" ht="26.25" customHeight="1"/>
    <row r="27172" ht="26.25" customHeight="1"/>
    <row r="27173" ht="26.25" customHeight="1"/>
    <row r="27174" ht="26.25" customHeight="1"/>
    <row r="27175" ht="26.25" customHeight="1"/>
    <row r="27176" ht="26.25" customHeight="1"/>
    <row r="27177" ht="26.25" customHeight="1"/>
    <row r="27178" ht="26.25" customHeight="1"/>
    <row r="27179" ht="26.25" customHeight="1"/>
    <row r="27180" ht="26.25" customHeight="1"/>
    <row r="27181" ht="26.25" customHeight="1"/>
    <row r="27182" ht="26.25" customHeight="1"/>
    <row r="27183" ht="26.25" customHeight="1"/>
    <row r="27184" ht="26.25" customHeight="1"/>
    <row r="27185" ht="26.25" customHeight="1"/>
    <row r="27186" ht="26.25" customHeight="1"/>
    <row r="27187" ht="26.25" customHeight="1"/>
    <row r="27188" ht="26.25" customHeight="1"/>
    <row r="27189" ht="26.25" customHeight="1"/>
    <row r="27190" ht="26.25" customHeight="1"/>
    <row r="27191" ht="26.25" customHeight="1"/>
    <row r="27192" ht="26.25" customHeight="1"/>
    <row r="27193" ht="26.25" customHeight="1"/>
    <row r="27194" ht="26.25" customHeight="1"/>
    <row r="27195" ht="26.25" customHeight="1"/>
    <row r="27196" ht="26.25" customHeight="1"/>
    <row r="27197" ht="26.25" customHeight="1"/>
    <row r="27198" ht="26.25" customHeight="1"/>
    <row r="27199" ht="26.25" customHeight="1"/>
    <row r="27200" ht="26.25" customHeight="1"/>
    <row r="27201" ht="26.25" customHeight="1"/>
    <row r="27202" ht="26.25" customHeight="1"/>
    <row r="27203" ht="26.25" customHeight="1"/>
    <row r="27204" ht="26.25" customHeight="1"/>
    <row r="27205" ht="26.25" customHeight="1"/>
    <row r="27206" ht="26.25" customHeight="1"/>
    <row r="27207" ht="26.25" customHeight="1"/>
    <row r="27208" ht="26.25" customHeight="1"/>
    <row r="27209" ht="26.25" customHeight="1"/>
    <row r="27210" ht="26.25" customHeight="1"/>
    <row r="27211" ht="26.25" customHeight="1"/>
    <row r="27212" ht="26.25" customHeight="1"/>
    <row r="27213" ht="26.25" customHeight="1"/>
    <row r="27214" ht="26.25" customHeight="1"/>
    <row r="27215" ht="26.25" customHeight="1"/>
    <row r="27216" ht="26.25" customHeight="1"/>
    <row r="27217" ht="26.25" customHeight="1"/>
    <row r="27218" ht="26.25" customHeight="1"/>
    <row r="27219" ht="26.25" customHeight="1"/>
    <row r="27220" ht="26.25" customHeight="1"/>
    <row r="27221" ht="26.25" customHeight="1"/>
    <row r="27222" ht="26.25" customHeight="1"/>
    <row r="27223" ht="26.25" customHeight="1"/>
    <row r="27224" ht="26.25" customHeight="1"/>
    <row r="27225" ht="26.25" customHeight="1"/>
    <row r="27226" ht="26.25" customHeight="1"/>
    <row r="27227" ht="26.25" customHeight="1"/>
    <row r="27228" ht="26.25" customHeight="1"/>
    <row r="27229" ht="26.25" customHeight="1"/>
    <row r="27230" ht="26.25" customHeight="1"/>
    <row r="27231" ht="26.25" customHeight="1"/>
    <row r="27232" ht="26.25" customHeight="1"/>
    <row r="27233" ht="26.25" customHeight="1"/>
    <row r="27234" ht="26.25" customHeight="1"/>
    <row r="27235" ht="26.25" customHeight="1"/>
    <row r="27236" ht="26.25" customHeight="1"/>
    <row r="27237" ht="26.25" customHeight="1"/>
    <row r="27238" ht="26.25" customHeight="1"/>
    <row r="27239" ht="26.25" customHeight="1"/>
    <row r="27240" ht="26.25" customHeight="1"/>
    <row r="27241" ht="26.25" customHeight="1"/>
    <row r="27242" ht="26.25" customHeight="1"/>
    <row r="27243" ht="26.25" customHeight="1"/>
    <row r="27244" ht="26.25" customHeight="1"/>
    <row r="27245" ht="26.25" customHeight="1"/>
    <row r="27246" ht="26.25" customHeight="1"/>
    <row r="27247" ht="26.25" customHeight="1"/>
    <row r="27248" ht="26.25" customHeight="1"/>
    <row r="27249" ht="26.25" customHeight="1"/>
    <row r="27250" ht="26.25" customHeight="1"/>
    <row r="27251" ht="26.25" customHeight="1"/>
    <row r="27252" ht="26.25" customHeight="1"/>
    <row r="27253" ht="26.25" customHeight="1"/>
    <row r="27254" ht="26.25" customHeight="1"/>
    <row r="27255" ht="26.25" customHeight="1"/>
    <row r="27256" ht="26.25" customHeight="1"/>
    <row r="27257" ht="26.25" customHeight="1"/>
    <row r="27258" ht="26.25" customHeight="1"/>
    <row r="27259" ht="26.25" customHeight="1"/>
    <row r="27260" ht="26.25" customHeight="1"/>
    <row r="27261" ht="26.25" customHeight="1"/>
    <row r="27262" ht="26.25" customHeight="1"/>
    <row r="27263" ht="26.25" customHeight="1"/>
    <row r="27264" ht="26.25" customHeight="1"/>
    <row r="27265" ht="26.25" customHeight="1"/>
    <row r="27266" ht="26.25" customHeight="1"/>
    <row r="27267" ht="26.25" customHeight="1"/>
    <row r="27268" ht="26.25" customHeight="1"/>
    <row r="27269" ht="26.25" customHeight="1"/>
    <row r="27270" ht="26.25" customHeight="1"/>
    <row r="27271" ht="26.25" customHeight="1"/>
    <row r="27272" ht="26.25" customHeight="1"/>
    <row r="27273" ht="26.25" customHeight="1"/>
    <row r="27274" ht="26.25" customHeight="1"/>
    <row r="27275" ht="26.25" customHeight="1"/>
    <row r="27276" ht="26.25" customHeight="1"/>
    <row r="27277" ht="26.25" customHeight="1"/>
    <row r="27278" ht="26.25" customHeight="1"/>
    <row r="27279" ht="26.25" customHeight="1"/>
    <row r="27280" ht="26.25" customHeight="1"/>
    <row r="27281" ht="26.25" customHeight="1"/>
    <row r="27282" ht="26.25" customHeight="1"/>
    <row r="27283" ht="26.25" customHeight="1"/>
    <row r="27284" ht="26.25" customHeight="1"/>
    <row r="27285" ht="26.25" customHeight="1"/>
    <row r="27286" ht="26.25" customHeight="1"/>
    <row r="27287" ht="26.25" customHeight="1"/>
    <row r="27288" ht="26.25" customHeight="1"/>
    <row r="27289" ht="26.25" customHeight="1"/>
    <row r="27290" ht="26.25" customHeight="1"/>
    <row r="27291" ht="26.25" customHeight="1"/>
    <row r="27292" ht="26.25" customHeight="1"/>
    <row r="27293" ht="26.25" customHeight="1"/>
    <row r="27294" ht="26.25" customHeight="1"/>
    <row r="27295" ht="26.25" customHeight="1"/>
    <row r="27296" ht="26.25" customHeight="1"/>
    <row r="27297" ht="26.25" customHeight="1"/>
    <row r="27298" ht="26.25" customHeight="1"/>
    <row r="27299" ht="26.25" customHeight="1"/>
    <row r="27300" ht="26.25" customHeight="1"/>
    <row r="27301" ht="26.25" customHeight="1"/>
    <row r="27302" ht="26.25" customHeight="1"/>
    <row r="27303" ht="26.25" customHeight="1"/>
    <row r="27304" ht="26.25" customHeight="1"/>
    <row r="27305" ht="26.25" customHeight="1"/>
    <row r="27306" ht="26.25" customHeight="1"/>
    <row r="27307" ht="26.25" customHeight="1"/>
    <row r="27308" ht="26.25" customHeight="1"/>
    <row r="27309" ht="26.25" customHeight="1"/>
    <row r="27310" ht="26.25" customHeight="1"/>
    <row r="27311" ht="26.25" customHeight="1"/>
    <row r="27312" ht="26.25" customHeight="1"/>
    <row r="27313" ht="26.25" customHeight="1"/>
    <row r="27314" ht="26.25" customHeight="1"/>
    <row r="27315" ht="26.25" customHeight="1"/>
    <row r="27316" ht="26.25" customHeight="1"/>
    <row r="27317" ht="26.25" customHeight="1"/>
    <row r="27318" ht="26.25" customHeight="1"/>
    <row r="27319" ht="26.25" customHeight="1"/>
    <row r="27320" ht="26.25" customHeight="1"/>
    <row r="27321" ht="26.25" customHeight="1"/>
    <row r="27322" ht="26.25" customHeight="1"/>
    <row r="27323" ht="26.25" customHeight="1"/>
    <row r="27324" ht="26.25" customHeight="1"/>
    <row r="27325" ht="26.25" customHeight="1"/>
    <row r="27326" ht="26.25" customHeight="1"/>
    <row r="27327" ht="26.25" customHeight="1"/>
    <row r="27328" ht="26.25" customHeight="1"/>
    <row r="27329" ht="26.25" customHeight="1"/>
    <row r="27330" ht="26.25" customHeight="1"/>
    <row r="27331" ht="26.25" customHeight="1"/>
    <row r="27332" ht="26.25" customHeight="1"/>
    <row r="27333" ht="26.25" customHeight="1"/>
    <row r="27334" ht="26.25" customHeight="1"/>
    <row r="27335" ht="26.25" customHeight="1"/>
    <row r="27336" ht="26.25" customHeight="1"/>
    <row r="27337" ht="26.25" customHeight="1"/>
    <row r="27338" ht="26.25" customHeight="1"/>
    <row r="27339" ht="26.25" customHeight="1"/>
    <row r="27340" ht="26.25" customHeight="1"/>
    <row r="27341" ht="26.25" customHeight="1"/>
    <row r="27342" ht="26.25" customHeight="1"/>
    <row r="27343" ht="26.25" customHeight="1"/>
    <row r="27344" ht="26.25" customHeight="1"/>
    <row r="27345" ht="26.25" customHeight="1"/>
    <row r="27346" ht="26.25" customHeight="1"/>
    <row r="27347" ht="26.25" customHeight="1"/>
    <row r="27348" ht="26.25" customHeight="1"/>
    <row r="27349" ht="26.25" customHeight="1"/>
    <row r="27350" ht="26.25" customHeight="1"/>
    <row r="27351" ht="26.25" customHeight="1"/>
    <row r="27352" ht="26.25" customHeight="1"/>
    <row r="27353" ht="26.25" customHeight="1"/>
    <row r="27354" ht="26.25" customHeight="1"/>
    <row r="27355" ht="26.25" customHeight="1"/>
    <row r="27356" ht="26.25" customHeight="1"/>
    <row r="27357" ht="26.25" customHeight="1"/>
    <row r="27358" ht="26.25" customHeight="1"/>
    <row r="27359" ht="26.25" customHeight="1"/>
    <row r="27360" ht="26.25" customHeight="1"/>
    <row r="27361" ht="26.25" customHeight="1"/>
    <row r="27362" ht="26.25" customHeight="1"/>
    <row r="27363" ht="26.25" customHeight="1"/>
    <row r="27364" ht="26.25" customHeight="1"/>
    <row r="27365" ht="26.25" customHeight="1"/>
    <row r="27366" ht="26.25" customHeight="1"/>
    <row r="27367" ht="26.25" customHeight="1"/>
    <row r="27368" ht="26.25" customHeight="1"/>
    <row r="27369" ht="26.25" customHeight="1"/>
    <row r="27370" ht="26.25" customHeight="1"/>
    <row r="27371" ht="26.25" customHeight="1"/>
    <row r="27372" ht="26.25" customHeight="1"/>
    <row r="27373" ht="26.25" customHeight="1"/>
    <row r="27374" ht="26.25" customHeight="1"/>
    <row r="27375" ht="26.25" customHeight="1"/>
    <row r="27376" ht="26.25" customHeight="1"/>
    <row r="27377" ht="26.25" customHeight="1"/>
    <row r="27378" ht="26.25" customHeight="1"/>
    <row r="27379" ht="26.25" customHeight="1"/>
    <row r="27380" ht="26.25" customHeight="1"/>
    <row r="27381" ht="26.25" customHeight="1"/>
    <row r="27382" ht="26.25" customHeight="1"/>
    <row r="27383" ht="26.25" customHeight="1"/>
    <row r="27384" ht="26.25" customHeight="1"/>
    <row r="27385" ht="26.25" customHeight="1"/>
    <row r="27386" ht="26.25" customHeight="1"/>
    <row r="27387" ht="26.25" customHeight="1"/>
    <row r="27388" ht="26.25" customHeight="1"/>
    <row r="27389" ht="26.25" customHeight="1"/>
    <row r="27390" ht="26.25" customHeight="1"/>
    <row r="27391" ht="26.25" customHeight="1"/>
    <row r="27392" ht="26.25" customHeight="1"/>
    <row r="27393" ht="26.25" customHeight="1"/>
    <row r="27394" ht="26.25" customHeight="1"/>
    <row r="27395" ht="26.25" customHeight="1"/>
    <row r="27396" ht="26.25" customHeight="1"/>
    <row r="27397" ht="26.25" customHeight="1"/>
    <row r="27398" ht="26.25" customHeight="1"/>
    <row r="27399" ht="26.25" customHeight="1"/>
    <row r="27400" ht="26.25" customHeight="1"/>
    <row r="27401" ht="26.25" customHeight="1"/>
    <row r="27402" ht="26.25" customHeight="1"/>
    <row r="27403" ht="26.25" customHeight="1"/>
    <row r="27404" ht="26.25" customHeight="1"/>
    <row r="27405" ht="26.25" customHeight="1"/>
    <row r="27406" ht="26.25" customHeight="1"/>
    <row r="27407" ht="26.25" customHeight="1"/>
    <row r="27408" ht="26.25" customHeight="1"/>
    <row r="27409" ht="26.25" customHeight="1"/>
    <row r="27410" ht="26.25" customHeight="1"/>
    <row r="27411" ht="26.25" customHeight="1"/>
    <row r="27412" ht="26.25" customHeight="1"/>
    <row r="27413" ht="26.25" customHeight="1"/>
    <row r="27414" ht="26.25" customHeight="1"/>
    <row r="27415" ht="26.25" customHeight="1"/>
    <row r="27416" ht="26.25" customHeight="1"/>
    <row r="27417" ht="26.25" customHeight="1"/>
    <row r="27418" ht="26.25" customHeight="1"/>
    <row r="27419" ht="26.25" customHeight="1"/>
    <row r="27420" ht="26.25" customHeight="1"/>
    <row r="27421" ht="26.25" customHeight="1"/>
    <row r="27422" ht="26.25" customHeight="1"/>
    <row r="27423" ht="26.25" customHeight="1"/>
    <row r="27424" ht="26.25" customHeight="1"/>
    <row r="27425" ht="26.25" customHeight="1"/>
    <row r="27426" ht="26.25" customHeight="1"/>
    <row r="27427" ht="26.25" customHeight="1"/>
    <row r="27428" ht="26.25" customHeight="1"/>
    <row r="27429" ht="26.25" customHeight="1"/>
    <row r="27430" ht="26.25" customHeight="1"/>
    <row r="27431" ht="26.25" customHeight="1"/>
    <row r="27432" ht="26.25" customHeight="1"/>
    <row r="27433" ht="26.25" customHeight="1"/>
    <row r="27434" ht="26.25" customHeight="1"/>
    <row r="27435" ht="26.25" customHeight="1"/>
    <row r="27436" ht="26.25" customHeight="1"/>
    <row r="27437" ht="26.25" customHeight="1"/>
    <row r="27438" ht="26.25" customHeight="1"/>
    <row r="27439" ht="26.25" customHeight="1"/>
    <row r="27440" ht="26.25" customHeight="1"/>
    <row r="27441" ht="26.25" customHeight="1"/>
    <row r="27442" ht="26.25" customHeight="1"/>
    <row r="27443" ht="26.25" customHeight="1"/>
    <row r="27444" ht="26.25" customHeight="1"/>
    <row r="27445" ht="26.25" customHeight="1"/>
    <row r="27446" ht="26.25" customHeight="1"/>
    <row r="27447" ht="26.25" customHeight="1"/>
    <row r="27448" ht="26.25" customHeight="1"/>
    <row r="27449" ht="26.25" customHeight="1"/>
    <row r="27450" ht="26.25" customHeight="1"/>
    <row r="27451" ht="26.25" customHeight="1"/>
    <row r="27452" ht="26.25" customHeight="1"/>
    <row r="27453" ht="26.25" customHeight="1"/>
    <row r="27454" ht="26.25" customHeight="1"/>
    <row r="27455" ht="26.25" customHeight="1"/>
    <row r="27456" ht="26.25" customHeight="1"/>
    <row r="27457" ht="26.25" customHeight="1"/>
    <row r="27458" ht="26.25" customHeight="1"/>
    <row r="27459" ht="26.25" customHeight="1"/>
    <row r="27460" ht="26.25" customHeight="1"/>
    <row r="27461" ht="26.25" customHeight="1"/>
    <row r="27462" ht="26.25" customHeight="1"/>
    <row r="27463" ht="26.25" customHeight="1"/>
    <row r="27464" ht="26.25" customHeight="1"/>
    <row r="27465" ht="26.25" customHeight="1"/>
    <row r="27466" ht="26.25" customHeight="1"/>
    <row r="27467" ht="26.25" customHeight="1"/>
    <row r="27468" ht="26.25" customHeight="1"/>
    <row r="27469" ht="26.25" customHeight="1"/>
    <row r="27470" ht="26.25" customHeight="1"/>
    <row r="27471" ht="26.25" customHeight="1"/>
    <row r="27472" ht="26.25" customHeight="1"/>
    <row r="27473" ht="26.25" customHeight="1"/>
    <row r="27474" ht="26.25" customHeight="1"/>
    <row r="27475" ht="26.25" customHeight="1"/>
    <row r="27476" ht="26.25" customHeight="1"/>
    <row r="27477" ht="26.25" customHeight="1"/>
    <row r="27478" ht="26.25" customHeight="1"/>
    <row r="27479" ht="26.25" customHeight="1"/>
    <row r="27480" ht="26.25" customHeight="1"/>
    <row r="27481" ht="26.25" customHeight="1"/>
    <row r="27482" ht="26.25" customHeight="1"/>
    <row r="27483" ht="26.25" customHeight="1"/>
    <row r="27484" ht="26.25" customHeight="1"/>
    <row r="27485" ht="26.25" customHeight="1"/>
    <row r="27486" ht="26.25" customHeight="1"/>
    <row r="27487" ht="26.25" customHeight="1"/>
    <row r="27488" ht="26.25" customHeight="1"/>
    <row r="27489" ht="26.25" customHeight="1"/>
    <row r="27490" ht="26.25" customHeight="1"/>
    <row r="27491" ht="26.25" customHeight="1"/>
    <row r="27492" ht="26.25" customHeight="1"/>
    <row r="27493" ht="26.25" customHeight="1"/>
    <row r="27494" ht="26.25" customHeight="1"/>
    <row r="27495" ht="26.25" customHeight="1"/>
    <row r="27496" ht="26.25" customHeight="1"/>
    <row r="27497" ht="26.25" customHeight="1"/>
    <row r="27498" ht="26.25" customHeight="1"/>
    <row r="27499" ht="26.25" customHeight="1"/>
    <row r="27500" ht="26.25" customHeight="1"/>
    <row r="27501" ht="26.25" customHeight="1"/>
    <row r="27502" ht="26.25" customHeight="1"/>
    <row r="27503" ht="26.25" customHeight="1"/>
    <row r="27504" ht="26.25" customHeight="1"/>
    <row r="27505" ht="26.25" customHeight="1"/>
    <row r="27506" ht="26.25" customHeight="1"/>
    <row r="27507" ht="26.25" customHeight="1"/>
    <row r="27508" ht="26.25" customHeight="1"/>
    <row r="27509" ht="26.25" customHeight="1"/>
    <row r="27510" ht="26.25" customHeight="1"/>
    <row r="27511" ht="26.25" customHeight="1"/>
    <row r="27512" ht="26.25" customHeight="1"/>
    <row r="27513" ht="26.25" customHeight="1"/>
    <row r="27514" ht="26.25" customHeight="1"/>
    <row r="27515" ht="26.25" customHeight="1"/>
    <row r="27516" ht="26.25" customHeight="1"/>
    <row r="27517" ht="26.25" customHeight="1"/>
    <row r="27518" ht="26.25" customHeight="1"/>
    <row r="27519" ht="26.25" customHeight="1"/>
    <row r="27520" ht="26.25" customHeight="1"/>
    <row r="27521" ht="26.25" customHeight="1"/>
    <row r="27522" ht="26.25" customHeight="1"/>
    <row r="27523" ht="26.25" customHeight="1"/>
    <row r="27524" ht="26.25" customHeight="1"/>
    <row r="27525" ht="26.25" customHeight="1"/>
    <row r="27526" ht="26.25" customHeight="1"/>
    <row r="27527" ht="26.25" customHeight="1"/>
    <row r="27528" ht="26.25" customHeight="1"/>
    <row r="27529" ht="26.25" customHeight="1"/>
    <row r="27530" ht="26.25" customHeight="1"/>
    <row r="27531" ht="26.25" customHeight="1"/>
    <row r="27532" ht="26.25" customHeight="1"/>
    <row r="27533" ht="26.25" customHeight="1"/>
    <row r="27534" ht="26.25" customHeight="1"/>
    <row r="27535" ht="26.25" customHeight="1"/>
    <row r="27536" ht="26.25" customHeight="1"/>
    <row r="27537" ht="26.25" customHeight="1"/>
    <row r="27538" ht="26.25" customHeight="1"/>
    <row r="27539" ht="26.25" customHeight="1"/>
    <row r="27540" ht="26.25" customHeight="1"/>
    <row r="27541" ht="26.25" customHeight="1"/>
    <row r="27542" ht="26.25" customHeight="1"/>
    <row r="27543" ht="26.25" customHeight="1"/>
    <row r="27544" ht="26.25" customHeight="1"/>
    <row r="27545" ht="26.25" customHeight="1"/>
    <row r="27546" ht="26.25" customHeight="1"/>
    <row r="27547" ht="26.25" customHeight="1"/>
    <row r="27548" ht="26.25" customHeight="1"/>
    <row r="27549" ht="26.25" customHeight="1"/>
    <row r="27550" ht="26.25" customHeight="1"/>
    <row r="27551" ht="26.25" customHeight="1"/>
    <row r="27552" ht="26.25" customHeight="1"/>
    <row r="27553" ht="26.25" customHeight="1"/>
    <row r="27554" ht="26.25" customHeight="1"/>
    <row r="27555" ht="26.25" customHeight="1"/>
    <row r="27556" ht="26.25" customHeight="1"/>
    <row r="27557" ht="26.25" customHeight="1"/>
    <row r="27558" ht="26.25" customHeight="1"/>
    <row r="27559" ht="26.25" customHeight="1"/>
    <row r="27560" ht="26.25" customHeight="1"/>
    <row r="27561" ht="26.25" customHeight="1"/>
    <row r="27562" ht="26.25" customHeight="1"/>
    <row r="27563" ht="26.25" customHeight="1"/>
    <row r="27564" ht="26.25" customHeight="1"/>
    <row r="27565" ht="26.25" customHeight="1"/>
    <row r="27566" ht="26.25" customHeight="1"/>
    <row r="27567" ht="26.25" customHeight="1"/>
    <row r="27568" ht="26.25" customHeight="1"/>
    <row r="27569" ht="26.25" customHeight="1"/>
    <row r="27570" ht="26.25" customHeight="1"/>
    <row r="27571" ht="26.25" customHeight="1"/>
    <row r="27572" ht="26.25" customHeight="1"/>
    <row r="27573" ht="26.25" customHeight="1"/>
    <row r="27574" ht="26.25" customHeight="1"/>
    <row r="27575" ht="26.25" customHeight="1"/>
    <row r="27576" ht="26.25" customHeight="1"/>
    <row r="27577" ht="26.25" customHeight="1"/>
    <row r="27578" ht="26.25" customHeight="1"/>
    <row r="27579" ht="26.25" customHeight="1"/>
    <row r="27580" ht="26.25" customHeight="1"/>
    <row r="27581" ht="26.25" customHeight="1"/>
    <row r="27582" ht="26.25" customHeight="1"/>
    <row r="27583" ht="26.25" customHeight="1"/>
    <row r="27584" ht="26.25" customHeight="1"/>
    <row r="27585" ht="26.25" customHeight="1"/>
    <row r="27586" ht="26.25" customHeight="1"/>
    <row r="27587" ht="26.25" customHeight="1"/>
    <row r="27588" ht="26.25" customHeight="1"/>
    <row r="27589" ht="26.25" customHeight="1"/>
    <row r="27590" ht="26.25" customHeight="1"/>
    <row r="27591" ht="26.25" customHeight="1"/>
    <row r="27592" ht="26.25" customHeight="1"/>
    <row r="27593" ht="26.25" customHeight="1"/>
    <row r="27594" ht="26.25" customHeight="1"/>
    <row r="27595" ht="26.25" customHeight="1"/>
    <row r="27596" ht="26.25" customHeight="1"/>
    <row r="27597" ht="26.25" customHeight="1"/>
    <row r="27598" ht="26.25" customHeight="1"/>
    <row r="27599" ht="26.25" customHeight="1"/>
    <row r="27600" ht="26.25" customHeight="1"/>
    <row r="27601" ht="26.25" customHeight="1"/>
    <row r="27602" ht="26.25" customHeight="1"/>
    <row r="27603" ht="26.25" customHeight="1"/>
    <row r="27604" ht="26.25" customHeight="1"/>
    <row r="27605" ht="26.25" customHeight="1"/>
    <row r="27606" ht="26.25" customHeight="1"/>
    <row r="27607" ht="26.25" customHeight="1"/>
    <row r="27608" ht="26.25" customHeight="1"/>
    <row r="27609" ht="26.25" customHeight="1"/>
    <row r="27610" ht="26.25" customHeight="1"/>
    <row r="27611" ht="26.25" customHeight="1"/>
    <row r="27612" ht="26.25" customHeight="1"/>
    <row r="27613" ht="26.25" customHeight="1"/>
    <row r="27614" ht="26.25" customHeight="1"/>
    <row r="27615" ht="26.25" customHeight="1"/>
    <row r="27616" ht="26.25" customHeight="1"/>
    <row r="27617" ht="26.25" customHeight="1"/>
    <row r="27618" ht="26.25" customHeight="1"/>
    <row r="27619" ht="26.25" customHeight="1"/>
    <row r="27620" ht="26.25" customHeight="1"/>
    <row r="27621" ht="26.25" customHeight="1"/>
    <row r="27622" ht="26.25" customHeight="1"/>
    <row r="27623" ht="26.25" customHeight="1"/>
    <row r="27624" ht="26.25" customHeight="1"/>
    <row r="27625" ht="26.25" customHeight="1"/>
    <row r="27626" ht="26.25" customHeight="1"/>
    <row r="27627" ht="26.25" customHeight="1"/>
    <row r="27628" ht="26.25" customHeight="1"/>
    <row r="27629" ht="26.25" customHeight="1"/>
    <row r="27630" ht="26.25" customHeight="1"/>
    <row r="27631" ht="26.25" customHeight="1"/>
    <row r="27632" ht="26.25" customHeight="1"/>
    <row r="27633" ht="26.25" customHeight="1"/>
    <row r="27634" ht="26.25" customHeight="1"/>
    <row r="27635" ht="26.25" customHeight="1"/>
    <row r="27636" ht="26.25" customHeight="1"/>
    <row r="27637" ht="26.25" customHeight="1"/>
    <row r="27638" ht="26.25" customHeight="1"/>
    <row r="27639" ht="26.25" customHeight="1"/>
    <row r="27640" ht="26.25" customHeight="1"/>
    <row r="27641" ht="26.25" customHeight="1"/>
    <row r="27642" ht="26.25" customHeight="1"/>
    <row r="27643" ht="26.25" customHeight="1"/>
    <row r="27644" ht="26.25" customHeight="1"/>
    <row r="27645" ht="26.25" customHeight="1"/>
    <row r="27646" ht="26.25" customHeight="1"/>
    <row r="27647" ht="26.25" customHeight="1"/>
    <row r="27648" ht="26.25" customHeight="1"/>
    <row r="27649" ht="26.25" customHeight="1"/>
    <row r="27650" ht="26.25" customHeight="1"/>
    <row r="27651" ht="26.25" customHeight="1"/>
    <row r="27652" ht="26.25" customHeight="1"/>
    <row r="27653" ht="26.25" customHeight="1"/>
    <row r="27654" ht="26.25" customHeight="1"/>
    <row r="27655" ht="26.25" customHeight="1"/>
    <row r="27656" ht="26.25" customHeight="1"/>
    <row r="27657" ht="26.25" customHeight="1"/>
    <row r="27658" ht="26.25" customHeight="1"/>
    <row r="27659" ht="26.25" customHeight="1"/>
    <row r="27660" ht="26.25" customHeight="1"/>
    <row r="27661" ht="26.25" customHeight="1"/>
    <row r="27662" ht="26.25" customHeight="1"/>
    <row r="27663" ht="26.25" customHeight="1"/>
    <row r="27664" ht="26.25" customHeight="1"/>
    <row r="27665" ht="26.25" customHeight="1"/>
    <row r="27666" ht="26.25" customHeight="1"/>
    <row r="27667" ht="26.25" customHeight="1"/>
    <row r="27668" ht="26.25" customHeight="1"/>
    <row r="27669" ht="26.25" customHeight="1"/>
    <row r="27670" ht="26.25" customHeight="1"/>
    <row r="27671" ht="26.25" customHeight="1"/>
    <row r="27672" ht="26.25" customHeight="1"/>
    <row r="27673" ht="26.25" customHeight="1"/>
    <row r="27674" ht="26.25" customHeight="1"/>
    <row r="27675" ht="26.25" customHeight="1"/>
    <row r="27676" ht="26.25" customHeight="1"/>
    <row r="27677" ht="26.25" customHeight="1"/>
    <row r="27678" ht="26.25" customHeight="1"/>
    <row r="27679" ht="26.25" customHeight="1"/>
    <row r="27680" ht="26.25" customHeight="1"/>
    <row r="27681" ht="26.25" customHeight="1"/>
    <row r="27682" ht="26.25" customHeight="1"/>
    <row r="27683" ht="26.25" customHeight="1"/>
    <row r="27684" ht="26.25" customHeight="1"/>
    <row r="27685" ht="26.25" customHeight="1"/>
    <row r="27686" ht="26.25" customHeight="1"/>
    <row r="27687" ht="26.25" customHeight="1"/>
    <row r="27688" ht="26.25" customHeight="1"/>
    <row r="27689" ht="26.25" customHeight="1"/>
    <row r="27690" ht="26.25" customHeight="1"/>
    <row r="27691" ht="26.25" customHeight="1"/>
    <row r="27692" ht="26.25" customHeight="1"/>
    <row r="27693" ht="26.25" customHeight="1"/>
    <row r="27694" ht="26.25" customHeight="1"/>
    <row r="27695" ht="26.25" customHeight="1"/>
    <row r="27696" ht="26.25" customHeight="1"/>
    <row r="27697" ht="26.25" customHeight="1"/>
    <row r="27698" ht="26.25" customHeight="1"/>
    <row r="27699" ht="26.25" customHeight="1"/>
    <row r="27700" ht="26.25" customHeight="1"/>
    <row r="27701" ht="26.25" customHeight="1"/>
    <row r="27702" ht="26.25" customHeight="1"/>
    <row r="27703" ht="26.25" customHeight="1"/>
    <row r="27704" ht="26.25" customHeight="1"/>
    <row r="27705" ht="26.25" customHeight="1"/>
    <row r="27706" ht="26.25" customHeight="1"/>
    <row r="27707" ht="26.25" customHeight="1"/>
    <row r="27708" ht="26.25" customHeight="1"/>
    <row r="27709" ht="26.25" customHeight="1"/>
    <row r="27710" ht="26.25" customHeight="1"/>
    <row r="27711" ht="26.25" customHeight="1"/>
    <row r="27712" ht="26.25" customHeight="1"/>
    <row r="27713" ht="26.25" customHeight="1"/>
    <row r="27714" ht="26.25" customHeight="1"/>
    <row r="27715" ht="26.25" customHeight="1"/>
    <row r="27716" ht="26.25" customHeight="1"/>
    <row r="27717" ht="26.25" customHeight="1"/>
    <row r="27718" ht="26.25" customHeight="1"/>
    <row r="27719" ht="26.25" customHeight="1"/>
    <row r="27720" ht="26.25" customHeight="1"/>
    <row r="27721" ht="26.25" customHeight="1"/>
    <row r="27722" ht="26.25" customHeight="1"/>
    <row r="27723" ht="26.25" customHeight="1"/>
    <row r="27724" ht="26.25" customHeight="1"/>
    <row r="27725" ht="26.25" customHeight="1"/>
    <row r="27726" ht="26.25" customHeight="1"/>
    <row r="27727" ht="26.25" customHeight="1"/>
    <row r="27728" ht="26.25" customHeight="1"/>
    <row r="27729" ht="26.25" customHeight="1"/>
    <row r="27730" ht="26.25" customHeight="1"/>
    <row r="27731" ht="26.25" customHeight="1"/>
    <row r="27732" ht="26.25" customHeight="1"/>
    <row r="27733" ht="26.25" customHeight="1"/>
    <row r="27734" ht="26.25" customHeight="1"/>
    <row r="27735" ht="26.25" customHeight="1"/>
    <row r="27736" ht="26.25" customHeight="1"/>
    <row r="27737" ht="26.25" customHeight="1"/>
    <row r="27738" ht="26.25" customHeight="1"/>
    <row r="27739" ht="26.25" customHeight="1"/>
    <row r="27740" ht="26.25" customHeight="1"/>
    <row r="27741" ht="26.25" customHeight="1"/>
    <row r="27742" ht="26.25" customHeight="1"/>
    <row r="27743" ht="26.25" customHeight="1"/>
    <row r="27744" ht="26.25" customHeight="1"/>
    <row r="27745" ht="26.25" customHeight="1"/>
    <row r="27746" ht="26.25" customHeight="1"/>
    <row r="27747" ht="26.25" customHeight="1"/>
    <row r="27748" ht="26.25" customHeight="1"/>
    <row r="27749" ht="26.25" customHeight="1"/>
    <row r="27750" ht="26.25" customHeight="1"/>
    <row r="27751" ht="26.25" customHeight="1"/>
    <row r="27752" ht="26.25" customHeight="1"/>
    <row r="27753" ht="26.25" customHeight="1"/>
    <row r="27754" ht="26.25" customHeight="1"/>
    <row r="27755" ht="26.25" customHeight="1"/>
    <row r="27756" ht="26.25" customHeight="1"/>
    <row r="27757" ht="26.25" customHeight="1"/>
    <row r="27758" ht="26.25" customHeight="1"/>
    <row r="27759" ht="26.25" customHeight="1"/>
    <row r="27760" ht="26.25" customHeight="1"/>
    <row r="27761" ht="26.25" customHeight="1"/>
    <row r="27762" ht="26.25" customHeight="1"/>
    <row r="27763" ht="26.25" customHeight="1"/>
    <row r="27764" ht="26.25" customHeight="1"/>
    <row r="27765" ht="26.25" customHeight="1"/>
    <row r="27766" ht="26.25" customHeight="1"/>
    <row r="27767" ht="26.25" customHeight="1"/>
    <row r="27768" ht="26.25" customHeight="1"/>
    <row r="27769" ht="26.25" customHeight="1"/>
    <row r="27770" ht="26.25" customHeight="1"/>
    <row r="27771" ht="26.25" customHeight="1"/>
    <row r="27772" ht="26.25" customHeight="1"/>
    <row r="27773" ht="26.25" customHeight="1"/>
    <row r="27774" ht="26.25" customHeight="1"/>
    <row r="27775" ht="26.25" customHeight="1"/>
    <row r="27776" ht="26.25" customHeight="1"/>
    <row r="27777" ht="26.25" customHeight="1"/>
    <row r="27778" ht="26.25" customHeight="1"/>
    <row r="27779" ht="26.25" customHeight="1"/>
    <row r="27780" ht="26.25" customHeight="1"/>
    <row r="27781" ht="26.25" customHeight="1"/>
    <row r="27782" ht="26.25" customHeight="1"/>
    <row r="27783" ht="26.25" customHeight="1"/>
    <row r="27784" ht="26.25" customHeight="1"/>
    <row r="27785" ht="26.25" customHeight="1"/>
    <row r="27786" ht="26.25" customHeight="1"/>
    <row r="27787" ht="26.25" customHeight="1"/>
    <row r="27788" ht="26.25" customHeight="1"/>
    <row r="27789" ht="26.25" customHeight="1"/>
    <row r="27790" ht="26.25" customHeight="1"/>
    <row r="27791" ht="26.25" customHeight="1"/>
    <row r="27792" ht="26.25" customHeight="1"/>
    <row r="27793" ht="26.25" customHeight="1"/>
    <row r="27794" ht="26.25" customHeight="1"/>
    <row r="27795" ht="26.25" customHeight="1"/>
    <row r="27796" ht="26.25" customHeight="1"/>
    <row r="27797" ht="26.25" customHeight="1"/>
    <row r="27798" ht="26.25" customHeight="1"/>
    <row r="27799" ht="26.25" customHeight="1"/>
    <row r="27800" ht="26.25" customHeight="1"/>
    <row r="27801" ht="26.25" customHeight="1"/>
    <row r="27802" ht="26.25" customHeight="1"/>
    <row r="27803" ht="26.25" customHeight="1"/>
    <row r="27804" ht="26.25" customHeight="1"/>
    <row r="27805" ht="26.25" customHeight="1"/>
    <row r="27806" ht="26.25" customHeight="1"/>
    <row r="27807" ht="26.25" customHeight="1"/>
    <row r="27808" ht="26.25" customHeight="1"/>
    <row r="27809" ht="26.25" customHeight="1"/>
    <row r="27810" ht="26.25" customHeight="1"/>
    <row r="27811" ht="26.25" customHeight="1"/>
    <row r="27812" ht="26.25" customHeight="1"/>
    <row r="27813" ht="26.25" customHeight="1"/>
    <row r="27814" ht="26.25" customHeight="1"/>
    <row r="27815" ht="26.25" customHeight="1"/>
    <row r="27816" ht="26.25" customHeight="1"/>
    <row r="27817" ht="26.25" customHeight="1"/>
    <row r="27818" ht="26.25" customHeight="1"/>
    <row r="27819" ht="26.25" customHeight="1"/>
    <row r="27820" ht="26.25" customHeight="1"/>
    <row r="27821" ht="26.25" customHeight="1"/>
    <row r="27822" ht="26.25" customHeight="1"/>
    <row r="27823" ht="26.25" customHeight="1"/>
    <row r="27824" ht="26.25" customHeight="1"/>
    <row r="27825" ht="26.25" customHeight="1"/>
    <row r="27826" ht="26.25" customHeight="1"/>
    <row r="27827" ht="26.25" customHeight="1"/>
    <row r="27828" ht="26.25" customHeight="1"/>
    <row r="27829" ht="26.25" customHeight="1"/>
    <row r="27830" ht="26.25" customHeight="1"/>
    <row r="27831" ht="26.25" customHeight="1"/>
    <row r="27832" ht="26.25" customHeight="1"/>
    <row r="27833" ht="26.25" customHeight="1"/>
    <row r="27834" ht="26.25" customHeight="1"/>
    <row r="27835" ht="26.25" customHeight="1"/>
    <row r="27836" ht="26.25" customHeight="1"/>
    <row r="27837" ht="26.25" customHeight="1"/>
    <row r="27838" ht="26.25" customHeight="1"/>
    <row r="27839" ht="26.25" customHeight="1"/>
    <row r="27840" ht="26.25" customHeight="1"/>
    <row r="27841" ht="26.25" customHeight="1"/>
    <row r="27842" ht="26.25" customHeight="1"/>
    <row r="27843" ht="26.25" customHeight="1"/>
    <row r="27844" ht="26.25" customHeight="1"/>
    <row r="27845" ht="26.25" customHeight="1"/>
    <row r="27846" ht="26.25" customHeight="1"/>
    <row r="27847" ht="26.25" customHeight="1"/>
    <row r="27848" ht="26.25" customHeight="1"/>
    <row r="27849" ht="26.25" customHeight="1"/>
    <row r="27850" ht="26.25" customHeight="1"/>
    <row r="27851" ht="26.25" customHeight="1"/>
    <row r="27852" ht="26.25" customHeight="1"/>
    <row r="27853" ht="26.25" customHeight="1"/>
    <row r="27854" ht="26.25" customHeight="1"/>
    <row r="27855" ht="26.25" customHeight="1"/>
    <row r="27856" ht="26.25" customHeight="1"/>
    <row r="27857" ht="26.25" customHeight="1"/>
    <row r="27858" ht="26.25" customHeight="1"/>
    <row r="27859" ht="26.25" customHeight="1"/>
    <row r="27860" ht="26.25" customHeight="1"/>
    <row r="27861" ht="26.25" customHeight="1"/>
    <row r="27862" ht="26.25" customHeight="1"/>
    <row r="27863" ht="26.25" customHeight="1"/>
    <row r="27864" ht="26.25" customHeight="1"/>
    <row r="27865" ht="26.25" customHeight="1"/>
    <row r="27866" ht="26.25" customHeight="1"/>
    <row r="27867" ht="26.25" customHeight="1"/>
    <row r="27868" ht="26.25" customHeight="1"/>
    <row r="27869" ht="26.25" customHeight="1"/>
    <row r="27870" ht="26.25" customHeight="1"/>
    <row r="27871" ht="26.25" customHeight="1"/>
    <row r="27872" ht="26.25" customHeight="1"/>
    <row r="27873" ht="26.25" customHeight="1"/>
    <row r="27874" ht="26.25" customHeight="1"/>
    <row r="27875" ht="26.25" customHeight="1"/>
    <row r="27876" ht="26.25" customHeight="1"/>
    <row r="27877" ht="26.25" customHeight="1"/>
    <row r="27878" ht="26.25" customHeight="1"/>
    <row r="27879" ht="26.25" customHeight="1"/>
    <row r="27880" ht="26.25" customHeight="1"/>
    <row r="27881" ht="26.25" customHeight="1"/>
    <row r="27882" ht="26.25" customHeight="1"/>
    <row r="27883" ht="26.25" customHeight="1"/>
    <row r="27884" ht="26.25" customHeight="1"/>
    <row r="27885" ht="26.25" customHeight="1"/>
    <row r="27886" ht="26.25" customHeight="1"/>
    <row r="27887" ht="26.25" customHeight="1"/>
    <row r="27888" ht="26.25" customHeight="1"/>
    <row r="27889" ht="26.25" customHeight="1"/>
    <row r="27890" ht="26.25" customHeight="1"/>
    <row r="27891" ht="26.25" customHeight="1"/>
    <row r="27892" ht="26.25" customHeight="1"/>
    <row r="27893" ht="26.25" customHeight="1"/>
    <row r="27894" ht="26.25" customHeight="1"/>
    <row r="27895" ht="26.25" customHeight="1"/>
    <row r="27896" ht="26.25" customHeight="1"/>
    <row r="27897" ht="26.25" customHeight="1"/>
    <row r="27898" ht="26.25" customHeight="1"/>
    <row r="27899" ht="26.25" customHeight="1"/>
    <row r="27900" ht="26.25" customHeight="1"/>
    <row r="27901" ht="26.25" customHeight="1"/>
    <row r="27902" ht="26.25" customHeight="1"/>
    <row r="27903" ht="26.25" customHeight="1"/>
    <row r="27904" ht="26.25" customHeight="1"/>
    <row r="27905" ht="26.25" customHeight="1"/>
    <row r="27906" ht="26.25" customHeight="1"/>
    <row r="27907" ht="26.25" customHeight="1"/>
    <row r="27908" ht="26.25" customHeight="1"/>
    <row r="27909" ht="26.25" customHeight="1"/>
    <row r="27910" ht="26.25" customHeight="1"/>
    <row r="27911" ht="26.25" customHeight="1"/>
    <row r="27912" ht="26.25" customHeight="1"/>
    <row r="27913" ht="26.25" customHeight="1"/>
    <row r="27914" ht="26.25" customHeight="1"/>
    <row r="27915" ht="26.25" customHeight="1"/>
    <row r="27916" ht="26.25" customHeight="1"/>
    <row r="27917" ht="26.25" customHeight="1"/>
    <row r="27918" ht="26.25" customHeight="1"/>
    <row r="27919" ht="26.25" customHeight="1"/>
    <row r="27920" ht="26.25" customHeight="1"/>
    <row r="27921" ht="26.25" customHeight="1"/>
    <row r="27922" ht="26.25" customHeight="1"/>
    <row r="27923" ht="26.25" customHeight="1"/>
    <row r="27924" ht="26.25" customHeight="1"/>
    <row r="27925" ht="26.25" customHeight="1"/>
    <row r="27926" ht="26.25" customHeight="1"/>
    <row r="27927" ht="26.25" customHeight="1"/>
    <row r="27928" ht="26.25" customHeight="1"/>
    <row r="27929" ht="26.25" customHeight="1"/>
    <row r="27930" ht="26.25" customHeight="1"/>
    <row r="27931" ht="26.25" customHeight="1"/>
    <row r="27932" ht="26.25" customHeight="1"/>
    <row r="27933" ht="26.25" customHeight="1"/>
    <row r="27934" ht="26.25" customHeight="1"/>
    <row r="27935" ht="26.25" customHeight="1"/>
    <row r="27936" ht="26.25" customHeight="1"/>
    <row r="27937" ht="26.25" customHeight="1"/>
    <row r="27938" ht="26.25" customHeight="1"/>
    <row r="27939" ht="26.25" customHeight="1"/>
    <row r="27940" ht="26.25" customHeight="1"/>
    <row r="27941" ht="26.25" customHeight="1"/>
    <row r="27942" ht="26.25" customHeight="1"/>
    <row r="27943" ht="26.25" customHeight="1"/>
    <row r="27944" ht="26.25" customHeight="1"/>
    <row r="27945" ht="26.25" customHeight="1"/>
    <row r="27946" ht="26.25" customHeight="1"/>
    <row r="27947" ht="26.25" customHeight="1"/>
    <row r="27948" ht="26.25" customHeight="1"/>
    <row r="27949" ht="26.25" customHeight="1"/>
    <row r="27950" ht="26.25" customHeight="1"/>
    <row r="27951" ht="26.25" customHeight="1"/>
    <row r="27952" ht="26.25" customHeight="1"/>
    <row r="27953" ht="26.25" customHeight="1"/>
    <row r="27954" ht="26.25" customHeight="1"/>
    <row r="27955" ht="26.25" customHeight="1"/>
    <row r="27956" ht="26.25" customHeight="1"/>
    <row r="27957" ht="26.25" customHeight="1"/>
    <row r="27958" ht="26.25" customHeight="1"/>
    <row r="27959" ht="26.25" customHeight="1"/>
    <row r="27960" ht="26.25" customHeight="1"/>
    <row r="27961" ht="26.25" customHeight="1"/>
    <row r="27962" ht="26.25" customHeight="1"/>
    <row r="27963" ht="26.25" customHeight="1"/>
    <row r="27964" ht="26.25" customHeight="1"/>
    <row r="27965" ht="26.25" customHeight="1"/>
    <row r="27966" ht="26.25" customHeight="1"/>
    <row r="27967" ht="26.25" customHeight="1"/>
    <row r="27968" ht="26.25" customHeight="1"/>
    <row r="27969" ht="26.25" customHeight="1"/>
    <row r="27970" ht="26.25" customHeight="1"/>
    <row r="27971" ht="26.25" customHeight="1"/>
    <row r="27972" ht="26.25" customHeight="1"/>
    <row r="27973" ht="26.25" customHeight="1"/>
    <row r="27974" ht="26.25" customHeight="1"/>
    <row r="27975" ht="26.25" customHeight="1"/>
    <row r="27976" ht="26.25" customHeight="1"/>
    <row r="27977" ht="26.25" customHeight="1"/>
    <row r="27978" ht="26.25" customHeight="1"/>
    <row r="27979" ht="26.25" customHeight="1"/>
    <row r="27980" ht="26.25" customHeight="1"/>
    <row r="27981" ht="26.25" customHeight="1"/>
    <row r="27982" ht="26.25" customHeight="1"/>
    <row r="27983" ht="26.25" customHeight="1"/>
    <row r="27984" ht="26.25" customHeight="1"/>
    <row r="27985" ht="26.25" customHeight="1"/>
    <row r="27986" ht="26.25" customHeight="1"/>
    <row r="27987" ht="26.25" customHeight="1"/>
    <row r="27988" ht="26.25" customHeight="1"/>
    <row r="27989" ht="26.25" customHeight="1"/>
    <row r="27990" ht="26.25" customHeight="1"/>
    <row r="27991" ht="26.25" customHeight="1"/>
    <row r="27992" ht="26.25" customHeight="1"/>
    <row r="27993" ht="26.25" customHeight="1"/>
    <row r="27994" ht="26.25" customHeight="1"/>
    <row r="27995" ht="26.25" customHeight="1"/>
    <row r="27996" ht="26.25" customHeight="1"/>
    <row r="27997" ht="26.25" customHeight="1"/>
    <row r="27998" ht="26.25" customHeight="1"/>
    <row r="27999" ht="26.25" customHeight="1"/>
    <row r="28000" ht="26.25" customHeight="1"/>
    <row r="28001" ht="26.25" customHeight="1"/>
    <row r="28002" ht="26.25" customHeight="1"/>
    <row r="28003" ht="26.25" customHeight="1"/>
    <row r="28004" ht="26.25" customHeight="1"/>
    <row r="28005" ht="26.25" customHeight="1"/>
    <row r="28006" ht="26.25" customHeight="1"/>
    <row r="28007" ht="26.25" customHeight="1"/>
    <row r="28008" ht="26.25" customHeight="1"/>
    <row r="28009" ht="26.25" customHeight="1"/>
    <row r="28010" ht="26.25" customHeight="1"/>
    <row r="28011" ht="26.25" customHeight="1"/>
    <row r="28012" ht="26.25" customHeight="1"/>
    <row r="28013" ht="26.25" customHeight="1"/>
    <row r="28014" ht="26.25" customHeight="1"/>
    <row r="28015" ht="26.25" customHeight="1"/>
    <row r="28016" ht="26.25" customHeight="1"/>
    <row r="28017" ht="26.25" customHeight="1"/>
    <row r="28018" ht="26.25" customHeight="1"/>
    <row r="28019" ht="26.25" customHeight="1"/>
    <row r="28020" ht="26.25" customHeight="1"/>
    <row r="28021" ht="26.25" customHeight="1"/>
    <row r="28022" ht="26.25" customHeight="1"/>
    <row r="28023" ht="26.25" customHeight="1"/>
    <row r="28024" ht="26.25" customHeight="1"/>
    <row r="28025" ht="26.25" customHeight="1"/>
    <row r="28026" ht="26.25" customHeight="1"/>
    <row r="28027" ht="26.25" customHeight="1"/>
    <row r="28028" ht="26.25" customHeight="1"/>
    <row r="28029" ht="26.25" customHeight="1"/>
    <row r="28030" ht="26.25" customHeight="1"/>
    <row r="28031" ht="26.25" customHeight="1"/>
    <row r="28032" ht="26.25" customHeight="1"/>
    <row r="28033" ht="26.25" customHeight="1"/>
    <row r="28034" ht="26.25" customHeight="1"/>
    <row r="28035" ht="26.25" customHeight="1"/>
    <row r="28036" ht="26.25" customHeight="1"/>
    <row r="28037" ht="26.25" customHeight="1"/>
    <row r="28038" ht="26.25" customHeight="1"/>
    <row r="28039" ht="26.25" customHeight="1"/>
    <row r="28040" ht="26.25" customHeight="1"/>
    <row r="28041" ht="26.25" customHeight="1"/>
    <row r="28042" ht="26.25" customHeight="1"/>
    <row r="28043" ht="26.25" customHeight="1"/>
    <row r="28044" ht="26.25" customHeight="1"/>
    <row r="28045" ht="26.25" customHeight="1"/>
    <row r="28046" ht="26.25" customHeight="1"/>
    <row r="28047" ht="26.25" customHeight="1"/>
    <row r="28048" ht="26.25" customHeight="1"/>
    <row r="28049" ht="26.25" customHeight="1"/>
    <row r="28050" ht="26.25" customHeight="1"/>
    <row r="28051" ht="26.25" customHeight="1"/>
    <row r="28052" ht="26.25" customHeight="1"/>
    <row r="28053" ht="26.25" customHeight="1"/>
    <row r="28054" ht="26.25" customHeight="1"/>
    <row r="28055" ht="26.25" customHeight="1"/>
    <row r="28056" ht="26.25" customHeight="1"/>
    <row r="28057" ht="26.25" customHeight="1"/>
    <row r="28058" ht="26.25" customHeight="1"/>
    <row r="28059" ht="26.25" customHeight="1"/>
    <row r="28060" ht="26.25" customHeight="1"/>
    <row r="28061" ht="26.25" customHeight="1"/>
    <row r="28062" ht="26.25" customHeight="1"/>
    <row r="28063" ht="26.25" customHeight="1"/>
    <row r="28064" ht="26.25" customHeight="1"/>
    <row r="28065" ht="26.25" customHeight="1"/>
    <row r="28066" ht="26.25" customHeight="1"/>
    <row r="28067" ht="26.25" customHeight="1"/>
    <row r="28068" ht="26.25" customHeight="1"/>
    <row r="28069" ht="26.25" customHeight="1"/>
    <row r="28070" ht="26.25" customHeight="1"/>
    <row r="28071" ht="26.25" customHeight="1"/>
    <row r="28072" ht="26.25" customHeight="1"/>
    <row r="28073" ht="26.25" customHeight="1"/>
    <row r="28074" ht="26.25" customHeight="1"/>
    <row r="28075" ht="26.25" customHeight="1"/>
    <row r="28076" ht="26.25" customHeight="1"/>
    <row r="28077" ht="26.25" customHeight="1"/>
    <row r="28078" ht="26.25" customHeight="1"/>
    <row r="28079" ht="26.25" customHeight="1"/>
    <row r="28080" ht="26.25" customHeight="1"/>
    <row r="28081" ht="26.25" customHeight="1"/>
    <row r="28082" ht="26.25" customHeight="1"/>
    <row r="28083" ht="26.25" customHeight="1"/>
    <row r="28084" ht="26.25" customHeight="1"/>
    <row r="28085" ht="26.25" customHeight="1"/>
    <row r="28086" ht="26.25" customHeight="1"/>
    <row r="28087" ht="26.25" customHeight="1"/>
    <row r="28088" ht="26.25" customHeight="1"/>
    <row r="28089" ht="26.25" customHeight="1"/>
    <row r="28090" ht="26.25" customHeight="1"/>
    <row r="28091" ht="26.25" customHeight="1"/>
    <row r="28092" ht="26.25" customHeight="1"/>
    <row r="28093" ht="26.25" customHeight="1"/>
    <row r="28094" ht="26.25" customHeight="1"/>
    <row r="28095" ht="26.25" customHeight="1"/>
    <row r="28096" ht="26.25" customHeight="1"/>
    <row r="28097" ht="26.25" customHeight="1"/>
    <row r="28098" ht="26.25" customHeight="1"/>
    <row r="28099" ht="26.25" customHeight="1"/>
    <row r="28100" ht="26.25" customHeight="1"/>
    <row r="28101" ht="26.25" customHeight="1"/>
    <row r="28102" ht="26.25" customHeight="1"/>
    <row r="28103" ht="26.25" customHeight="1"/>
    <row r="28104" ht="26.25" customHeight="1"/>
    <row r="28105" ht="26.25" customHeight="1"/>
    <row r="28106" ht="26.25" customHeight="1"/>
    <row r="28107" ht="26.25" customHeight="1"/>
    <row r="28108" ht="26.25" customHeight="1"/>
    <row r="28109" ht="26.25" customHeight="1"/>
    <row r="28110" ht="26.25" customHeight="1"/>
    <row r="28111" ht="26.25" customHeight="1"/>
    <row r="28112" ht="26.25" customHeight="1"/>
    <row r="28113" ht="26.25" customHeight="1"/>
    <row r="28114" ht="26.25" customHeight="1"/>
    <row r="28115" ht="26.25" customHeight="1"/>
    <row r="28116" ht="26.25" customHeight="1"/>
    <row r="28117" ht="26.25" customHeight="1"/>
    <row r="28118" ht="26.25" customHeight="1"/>
    <row r="28119" ht="26.25" customHeight="1"/>
    <row r="28120" ht="26.25" customHeight="1"/>
    <row r="28121" ht="26.25" customHeight="1"/>
    <row r="28122" ht="26.25" customHeight="1"/>
    <row r="28123" ht="26.25" customHeight="1"/>
    <row r="28124" ht="26.25" customHeight="1"/>
    <row r="28125" ht="26.25" customHeight="1"/>
    <row r="28126" ht="26.25" customHeight="1"/>
    <row r="28127" ht="26.25" customHeight="1"/>
    <row r="28128" ht="26.25" customHeight="1"/>
    <row r="28129" ht="26.25" customHeight="1"/>
    <row r="28130" ht="26.25" customHeight="1"/>
    <row r="28131" ht="26.25" customHeight="1"/>
    <row r="28132" ht="26.25" customHeight="1"/>
    <row r="28133" ht="26.25" customHeight="1"/>
    <row r="28134" ht="26.25" customHeight="1"/>
    <row r="28135" ht="26.25" customHeight="1"/>
    <row r="28136" ht="26.25" customHeight="1"/>
    <row r="28137" ht="26.25" customHeight="1"/>
    <row r="28138" ht="26.25" customHeight="1"/>
    <row r="28139" ht="26.25" customHeight="1"/>
    <row r="28140" ht="26.25" customHeight="1"/>
    <row r="28141" ht="26.25" customHeight="1"/>
    <row r="28142" ht="26.25" customHeight="1"/>
    <row r="28143" ht="26.25" customHeight="1"/>
    <row r="28144" ht="26.25" customHeight="1"/>
    <row r="28145" ht="26.25" customHeight="1"/>
    <row r="28146" ht="26.25" customHeight="1"/>
    <row r="28147" ht="26.25" customHeight="1"/>
    <row r="28148" ht="26.25" customHeight="1"/>
    <row r="28149" ht="26.25" customHeight="1"/>
    <row r="28150" ht="26.25" customHeight="1"/>
    <row r="28151" ht="26.25" customHeight="1"/>
    <row r="28152" ht="26.25" customHeight="1"/>
    <row r="28153" ht="26.25" customHeight="1"/>
    <row r="28154" ht="26.25" customHeight="1"/>
    <row r="28155" ht="26.25" customHeight="1"/>
    <row r="28156" ht="26.25" customHeight="1"/>
    <row r="28157" ht="26.25" customHeight="1"/>
    <row r="28158" ht="26.25" customHeight="1"/>
    <row r="28159" ht="26.25" customHeight="1"/>
    <row r="28160" ht="26.25" customHeight="1"/>
    <row r="28161" ht="26.25" customHeight="1"/>
    <row r="28162" ht="26.25" customHeight="1"/>
    <row r="28163" ht="26.25" customHeight="1"/>
    <row r="28164" ht="26.25" customHeight="1"/>
    <row r="28165" ht="26.25" customHeight="1"/>
    <row r="28166" ht="26.25" customHeight="1"/>
    <row r="28167" ht="26.25" customHeight="1"/>
    <row r="28168" ht="26.25" customHeight="1"/>
    <row r="28169" ht="26.25" customHeight="1"/>
    <row r="28170" ht="26.25" customHeight="1"/>
    <row r="28171" ht="26.25" customHeight="1"/>
    <row r="28172" ht="26.25" customHeight="1"/>
    <row r="28173" ht="26.25" customHeight="1"/>
    <row r="28174" ht="26.25" customHeight="1"/>
    <row r="28175" ht="26.25" customHeight="1"/>
    <row r="28176" ht="26.25" customHeight="1"/>
    <row r="28177" ht="26.25" customHeight="1"/>
    <row r="28178" ht="26.25" customHeight="1"/>
    <row r="28179" ht="26.25" customHeight="1"/>
    <row r="28180" ht="26.25" customHeight="1"/>
    <row r="28181" ht="26.25" customHeight="1"/>
    <row r="28182" ht="26.25" customHeight="1"/>
    <row r="28183" ht="26.25" customHeight="1"/>
    <row r="28184" ht="26.25" customHeight="1"/>
    <row r="28185" ht="26.25" customHeight="1"/>
    <row r="28186" ht="26.25" customHeight="1"/>
    <row r="28187" ht="26.25" customHeight="1"/>
    <row r="28188" ht="26.25" customHeight="1"/>
    <row r="28189" ht="26.25" customHeight="1"/>
    <row r="28190" ht="26.25" customHeight="1"/>
    <row r="28191" ht="26.25" customHeight="1"/>
    <row r="28192" ht="26.25" customHeight="1"/>
    <row r="28193" ht="26.25" customHeight="1"/>
    <row r="28194" ht="26.25" customHeight="1"/>
    <row r="28195" ht="26.25" customHeight="1"/>
    <row r="28196" ht="26.25" customHeight="1"/>
    <row r="28197" ht="26.25" customHeight="1"/>
    <row r="28198" ht="26.25" customHeight="1"/>
    <row r="28199" ht="26.25" customHeight="1"/>
    <row r="28200" ht="26.25" customHeight="1"/>
    <row r="28201" ht="26.25" customHeight="1"/>
    <row r="28202" ht="26.25" customHeight="1"/>
    <row r="28203" ht="26.25" customHeight="1"/>
    <row r="28204" ht="26.25" customHeight="1"/>
    <row r="28205" ht="26.25" customHeight="1"/>
    <row r="28206" ht="26.25" customHeight="1"/>
    <row r="28207" ht="26.25" customHeight="1"/>
    <row r="28208" ht="26.25" customHeight="1"/>
    <row r="28209" ht="26.25" customHeight="1"/>
    <row r="28210" ht="26.25" customHeight="1"/>
    <row r="28211" ht="26.25" customHeight="1"/>
    <row r="28212" ht="26.25" customHeight="1"/>
    <row r="28213" ht="26.25" customHeight="1"/>
    <row r="28214" ht="26.25" customHeight="1"/>
    <row r="28215" ht="26.25" customHeight="1"/>
    <row r="28216" ht="26.25" customHeight="1"/>
    <row r="28217" ht="26.25" customHeight="1"/>
    <row r="28218" ht="26.25" customHeight="1"/>
    <row r="28219" ht="26.25" customHeight="1"/>
    <row r="28220" ht="26.25" customHeight="1"/>
    <row r="28221" ht="26.25" customHeight="1"/>
    <row r="28222" ht="26.25" customHeight="1"/>
    <row r="28223" ht="26.25" customHeight="1"/>
    <row r="28224" ht="26.25" customHeight="1"/>
    <row r="28225" ht="26.25" customHeight="1"/>
    <row r="28226" ht="26.25" customHeight="1"/>
    <row r="28227" ht="26.25" customHeight="1"/>
    <row r="28228" ht="26.25" customHeight="1"/>
    <row r="28229" ht="26.25" customHeight="1"/>
    <row r="28230" ht="26.25" customHeight="1"/>
    <row r="28231" ht="26.25" customHeight="1"/>
    <row r="28232" ht="26.25" customHeight="1"/>
    <row r="28233" ht="26.25" customHeight="1"/>
    <row r="28234" ht="26.25" customHeight="1"/>
    <row r="28235" ht="26.25" customHeight="1"/>
    <row r="28236" ht="26.25" customHeight="1"/>
    <row r="28237" ht="26.25" customHeight="1"/>
    <row r="28238" ht="26.25" customHeight="1"/>
    <row r="28239" ht="26.25" customHeight="1"/>
    <row r="28240" ht="26.25" customHeight="1"/>
    <row r="28241" ht="26.25" customHeight="1"/>
    <row r="28242" ht="26.25" customHeight="1"/>
    <row r="28243" ht="26.25" customHeight="1"/>
    <row r="28244" ht="26.25" customHeight="1"/>
    <row r="28245" ht="26.25" customHeight="1"/>
    <row r="28246" ht="26.25" customHeight="1"/>
    <row r="28247" ht="26.25" customHeight="1"/>
    <row r="28248" ht="26.25" customHeight="1"/>
    <row r="28249" ht="26.25" customHeight="1"/>
    <row r="28250" ht="26.25" customHeight="1"/>
    <row r="28251" ht="26.25" customHeight="1"/>
    <row r="28252" ht="26.25" customHeight="1"/>
    <row r="28253" ht="26.25" customHeight="1"/>
    <row r="28254" ht="26.25" customHeight="1"/>
    <row r="28255" ht="26.25" customHeight="1"/>
    <row r="28256" ht="26.25" customHeight="1"/>
    <row r="28257" ht="26.25" customHeight="1"/>
    <row r="28258" ht="26.25" customHeight="1"/>
    <row r="28259" ht="26.25" customHeight="1"/>
    <row r="28260" ht="26.25" customHeight="1"/>
    <row r="28261" ht="26.25" customHeight="1"/>
    <row r="28262" ht="26.25" customHeight="1"/>
    <row r="28263" ht="26.25" customHeight="1"/>
    <row r="28264" ht="26.25" customHeight="1"/>
    <row r="28265" ht="26.25" customHeight="1"/>
    <row r="28266" ht="26.25" customHeight="1"/>
    <row r="28267" ht="26.25" customHeight="1"/>
    <row r="28268" ht="26.25" customHeight="1"/>
    <row r="28269" ht="26.25" customHeight="1"/>
    <row r="28270" ht="26.25" customHeight="1"/>
    <row r="28271" ht="26.25" customHeight="1"/>
    <row r="28272" ht="26.25" customHeight="1"/>
    <row r="28273" ht="26.25" customHeight="1"/>
    <row r="28274" ht="26.25" customHeight="1"/>
    <row r="28275" ht="26.25" customHeight="1"/>
    <row r="28276" ht="26.25" customHeight="1"/>
    <row r="28277" ht="26.25" customHeight="1"/>
    <row r="28278" ht="26.25" customHeight="1"/>
    <row r="28279" ht="26.25" customHeight="1"/>
    <row r="28280" ht="26.25" customHeight="1"/>
    <row r="28281" ht="26.25" customHeight="1"/>
    <row r="28282" ht="26.25" customHeight="1"/>
    <row r="28283" ht="26.25" customHeight="1"/>
    <row r="28284" ht="26.25" customHeight="1"/>
    <row r="28285" ht="26.25" customHeight="1"/>
    <row r="28286" ht="26.25" customHeight="1"/>
    <row r="28287" ht="26.25" customHeight="1"/>
    <row r="28288" ht="26.25" customHeight="1"/>
    <row r="28289" ht="26.25" customHeight="1"/>
    <row r="28290" ht="26.25" customHeight="1"/>
    <row r="28291" ht="26.25" customHeight="1"/>
    <row r="28292" ht="26.25" customHeight="1"/>
    <row r="28293" ht="26.25" customHeight="1"/>
    <row r="28294" ht="26.25" customHeight="1"/>
    <row r="28295" ht="26.25" customHeight="1"/>
    <row r="28296" ht="26.25" customHeight="1"/>
    <row r="28297" ht="26.25" customHeight="1"/>
    <row r="28298" ht="26.25" customHeight="1"/>
    <row r="28299" ht="26.25" customHeight="1"/>
    <row r="28300" ht="26.25" customHeight="1"/>
    <row r="28301" ht="26.25" customHeight="1"/>
    <row r="28302" ht="26.25" customHeight="1"/>
    <row r="28303" ht="26.25" customHeight="1"/>
    <row r="28304" ht="26.25" customHeight="1"/>
    <row r="28305" ht="26.25" customHeight="1"/>
    <row r="28306" ht="26.25" customHeight="1"/>
    <row r="28307" ht="26.25" customHeight="1"/>
    <row r="28308" ht="26.25" customHeight="1"/>
    <row r="28309" ht="26.25" customHeight="1"/>
    <row r="28310" ht="26.25" customHeight="1"/>
    <row r="28311" ht="26.25" customHeight="1"/>
    <row r="28312" ht="26.25" customHeight="1"/>
    <row r="28313" ht="26.25" customHeight="1"/>
    <row r="28314" ht="26.25" customHeight="1"/>
    <row r="28315" ht="26.25" customHeight="1"/>
    <row r="28316" ht="26.25" customHeight="1"/>
    <row r="28317" ht="26.25" customHeight="1"/>
    <row r="28318" ht="26.25" customHeight="1"/>
    <row r="28319" ht="26.25" customHeight="1"/>
    <row r="28320" ht="26.25" customHeight="1"/>
    <row r="28321" ht="26.25" customHeight="1"/>
    <row r="28322" ht="26.25" customHeight="1"/>
    <row r="28323" ht="26.25" customHeight="1"/>
    <row r="28324" ht="26.25" customHeight="1"/>
    <row r="28325" ht="26.25" customHeight="1"/>
    <row r="28326" ht="26.25" customHeight="1"/>
    <row r="28327" ht="26.25" customHeight="1"/>
    <row r="28328" ht="26.25" customHeight="1"/>
    <row r="28329" ht="26.25" customHeight="1"/>
    <row r="28330" ht="26.25" customHeight="1"/>
    <row r="28331" ht="26.25" customHeight="1"/>
    <row r="28332" ht="26.25" customHeight="1"/>
    <row r="28333" ht="26.25" customHeight="1"/>
    <row r="28334" ht="26.25" customHeight="1"/>
    <row r="28335" ht="26.25" customHeight="1"/>
    <row r="28336" ht="26.25" customHeight="1"/>
    <row r="28337" ht="26.25" customHeight="1"/>
    <row r="28338" ht="26.25" customHeight="1"/>
    <row r="28339" ht="26.25" customHeight="1"/>
    <row r="28340" ht="26.25" customHeight="1"/>
    <row r="28341" ht="26.25" customHeight="1"/>
    <row r="28342" ht="26.25" customHeight="1"/>
    <row r="28343" ht="26.25" customHeight="1"/>
    <row r="28344" ht="26.25" customHeight="1"/>
    <row r="28345" ht="26.25" customHeight="1"/>
    <row r="28346" ht="26.25" customHeight="1"/>
    <row r="28347" ht="26.25" customHeight="1"/>
    <row r="28348" ht="26.25" customHeight="1"/>
    <row r="28349" ht="26.25" customHeight="1"/>
    <row r="28350" ht="26.25" customHeight="1"/>
    <row r="28351" ht="26.25" customHeight="1"/>
    <row r="28352" ht="26.25" customHeight="1"/>
    <row r="28353" ht="26.25" customHeight="1"/>
    <row r="28354" ht="26.25" customHeight="1"/>
    <row r="28355" ht="26.25" customHeight="1"/>
    <row r="28356" ht="26.25" customHeight="1"/>
    <row r="28357" ht="26.25" customHeight="1"/>
    <row r="28358" ht="26.25" customHeight="1"/>
    <row r="28359" ht="26.25" customHeight="1"/>
    <row r="28360" ht="26.25" customHeight="1"/>
    <row r="28361" ht="26.25" customHeight="1"/>
    <row r="28362" ht="26.25" customHeight="1"/>
    <row r="28363" ht="26.25" customHeight="1"/>
    <row r="28364" ht="26.25" customHeight="1"/>
    <row r="28365" ht="26.25" customHeight="1"/>
    <row r="28366" ht="26.25" customHeight="1"/>
    <row r="28367" ht="26.25" customHeight="1"/>
    <row r="28368" ht="26.25" customHeight="1"/>
    <row r="28369" ht="26.25" customHeight="1"/>
    <row r="28370" ht="26.25" customHeight="1"/>
    <row r="28371" ht="26.25" customHeight="1"/>
    <row r="28372" ht="26.25" customHeight="1"/>
    <row r="28373" ht="26.25" customHeight="1"/>
    <row r="28374" ht="26.25" customHeight="1"/>
    <row r="28375" ht="26.25" customHeight="1"/>
    <row r="28376" ht="26.25" customHeight="1"/>
    <row r="28377" ht="26.25" customHeight="1"/>
    <row r="28378" ht="26.25" customHeight="1"/>
    <row r="28379" ht="26.25" customHeight="1"/>
    <row r="28380" ht="26.25" customHeight="1"/>
    <row r="28381" ht="26.25" customHeight="1"/>
    <row r="28382" ht="26.25" customHeight="1"/>
    <row r="28383" ht="26.25" customHeight="1"/>
    <row r="28384" ht="26.25" customHeight="1"/>
    <row r="28385" ht="26.25" customHeight="1"/>
    <row r="28386" ht="26.25" customHeight="1"/>
    <row r="28387" ht="26.25" customHeight="1"/>
    <row r="28388" ht="26.25" customHeight="1"/>
    <row r="28389" ht="26.25" customHeight="1"/>
    <row r="28390" ht="26.25" customHeight="1"/>
    <row r="28391" ht="26.25" customHeight="1"/>
    <row r="28392" ht="26.25" customHeight="1"/>
    <row r="28393" ht="26.25" customHeight="1"/>
    <row r="28394" ht="26.25" customHeight="1"/>
    <row r="28395" ht="26.25" customHeight="1"/>
    <row r="28396" ht="26.25" customHeight="1"/>
    <row r="28397" ht="26.25" customHeight="1"/>
    <row r="28398" ht="26.25" customHeight="1"/>
    <row r="28399" ht="26.25" customHeight="1"/>
    <row r="28400" ht="26.25" customHeight="1"/>
    <row r="28401" ht="26.25" customHeight="1"/>
    <row r="28402" ht="26.25" customHeight="1"/>
    <row r="28403" ht="26.25" customHeight="1"/>
    <row r="28404" ht="26.25" customHeight="1"/>
    <row r="28405" ht="26.25" customHeight="1"/>
    <row r="28406" ht="26.25" customHeight="1"/>
    <row r="28407" ht="26.25" customHeight="1"/>
    <row r="28408" ht="26.25" customHeight="1"/>
    <row r="28409" ht="26.25" customHeight="1"/>
    <row r="28410" ht="26.25" customHeight="1"/>
    <row r="28411" ht="26.25" customHeight="1"/>
    <row r="28412" ht="26.25" customHeight="1"/>
    <row r="28413" ht="26.25" customHeight="1"/>
    <row r="28414" ht="26.25" customHeight="1"/>
    <row r="28415" ht="26.25" customHeight="1"/>
    <row r="28416" ht="26.25" customHeight="1"/>
    <row r="28417" ht="26.25" customHeight="1"/>
    <row r="28418" ht="26.25" customHeight="1"/>
    <row r="28419" ht="26.25" customHeight="1"/>
    <row r="28420" ht="26.25" customHeight="1"/>
    <row r="28421" ht="26.25" customHeight="1"/>
    <row r="28422" ht="26.25" customHeight="1"/>
    <row r="28423" ht="26.25" customHeight="1"/>
    <row r="28424" ht="26.25" customHeight="1"/>
    <row r="28425" ht="26.25" customHeight="1"/>
    <row r="28426" ht="26.25" customHeight="1"/>
    <row r="28427" ht="26.25" customHeight="1"/>
    <row r="28428" ht="26.25" customHeight="1"/>
    <row r="28429" ht="26.25" customHeight="1"/>
    <row r="28430" ht="26.25" customHeight="1"/>
    <row r="28431" ht="26.25" customHeight="1"/>
    <row r="28432" ht="26.25" customHeight="1"/>
    <row r="28433" ht="26.25" customHeight="1"/>
    <row r="28434" ht="26.25" customHeight="1"/>
    <row r="28435" ht="26.25" customHeight="1"/>
    <row r="28436" ht="26.25" customHeight="1"/>
    <row r="28437" ht="26.25" customHeight="1"/>
    <row r="28438" ht="26.25" customHeight="1"/>
    <row r="28439" ht="26.25" customHeight="1"/>
    <row r="28440" ht="26.25" customHeight="1"/>
    <row r="28441" ht="26.25" customHeight="1"/>
    <row r="28442" ht="26.25" customHeight="1"/>
    <row r="28443" ht="26.25" customHeight="1"/>
    <row r="28444" ht="26.25" customHeight="1"/>
    <row r="28445" ht="26.25" customHeight="1"/>
    <row r="28446" ht="26.25" customHeight="1"/>
    <row r="28447" ht="26.25" customHeight="1"/>
    <row r="28448" ht="26.25" customHeight="1"/>
    <row r="28449" ht="26.25" customHeight="1"/>
    <row r="28450" ht="26.25" customHeight="1"/>
    <row r="28451" ht="26.25" customHeight="1"/>
    <row r="28452" ht="26.25" customHeight="1"/>
    <row r="28453" ht="26.25" customHeight="1"/>
    <row r="28454" ht="26.25" customHeight="1"/>
    <row r="28455" ht="26.25" customHeight="1"/>
    <row r="28456" ht="26.25" customHeight="1"/>
    <row r="28457" ht="26.25" customHeight="1"/>
    <row r="28458" ht="26.25" customHeight="1"/>
    <row r="28459" ht="26.25" customHeight="1"/>
    <row r="28460" ht="26.25" customHeight="1"/>
    <row r="28461" ht="26.25" customHeight="1"/>
    <row r="28462" ht="26.25" customHeight="1"/>
    <row r="28463" ht="26.25" customHeight="1"/>
    <row r="28464" ht="26.25" customHeight="1"/>
    <row r="28465" ht="26.25" customHeight="1"/>
    <row r="28466" ht="26.25" customHeight="1"/>
    <row r="28467" ht="26.25" customHeight="1"/>
    <row r="28468" ht="26.25" customHeight="1"/>
    <row r="28469" ht="26.25" customHeight="1"/>
    <row r="28470" ht="26.25" customHeight="1"/>
    <row r="28471" ht="26.25" customHeight="1"/>
    <row r="28472" ht="26.25" customHeight="1"/>
    <row r="28473" ht="26.25" customHeight="1"/>
    <row r="28474" ht="26.25" customHeight="1"/>
    <row r="28475" ht="26.25" customHeight="1"/>
    <row r="28476" ht="26.25" customHeight="1"/>
    <row r="28477" ht="26.25" customHeight="1"/>
    <row r="28478" ht="26.25" customHeight="1"/>
    <row r="28479" ht="26.25" customHeight="1"/>
    <row r="28480" ht="26.25" customHeight="1"/>
    <row r="28481" ht="26.25" customHeight="1"/>
    <row r="28482" ht="26.25" customHeight="1"/>
    <row r="28483" ht="26.25" customHeight="1"/>
    <row r="28484" ht="26.25" customHeight="1"/>
    <row r="28485" ht="26.25" customHeight="1"/>
    <row r="28486" ht="26.25" customHeight="1"/>
    <row r="28487" ht="26.25" customHeight="1"/>
    <row r="28488" ht="26.25" customHeight="1"/>
    <row r="28489" ht="26.25" customHeight="1"/>
    <row r="28490" ht="26.25" customHeight="1"/>
    <row r="28491" ht="26.25" customHeight="1"/>
    <row r="28492" ht="26.25" customHeight="1"/>
    <row r="28493" ht="26.25" customHeight="1"/>
    <row r="28494" ht="26.25" customHeight="1"/>
    <row r="28495" ht="26.25" customHeight="1"/>
    <row r="28496" ht="26.25" customHeight="1"/>
    <row r="28497" ht="26.25" customHeight="1"/>
    <row r="28498" ht="26.25" customHeight="1"/>
    <row r="28499" ht="26.25" customHeight="1"/>
    <row r="28500" ht="26.25" customHeight="1"/>
    <row r="28501" ht="26.25" customHeight="1"/>
    <row r="28502" ht="26.25" customHeight="1"/>
    <row r="28503" ht="26.25" customHeight="1"/>
    <row r="28504" ht="26.25" customHeight="1"/>
    <row r="28505" ht="26.25" customHeight="1"/>
    <row r="28506" ht="26.25" customHeight="1"/>
    <row r="28507" ht="26.25" customHeight="1"/>
    <row r="28508" ht="26.25" customHeight="1"/>
    <row r="28509" ht="26.25" customHeight="1"/>
    <row r="28510" ht="26.25" customHeight="1"/>
    <row r="28511" ht="26.25" customHeight="1"/>
    <row r="28512" ht="26.25" customHeight="1"/>
    <row r="28513" ht="26.25" customHeight="1"/>
    <row r="28514" ht="26.25" customHeight="1"/>
    <row r="28515" ht="26.25" customHeight="1"/>
    <row r="28516" ht="26.25" customHeight="1"/>
    <row r="28517" ht="26.25" customHeight="1"/>
    <row r="28518" ht="26.25" customHeight="1"/>
    <row r="28519" ht="26.25" customHeight="1"/>
    <row r="28520" ht="26.25" customHeight="1"/>
    <row r="28521" ht="26.25" customHeight="1"/>
    <row r="28522" ht="26.25" customHeight="1"/>
    <row r="28523" ht="26.25" customHeight="1"/>
    <row r="28524" ht="26.25" customHeight="1"/>
    <row r="28525" ht="26.25" customHeight="1"/>
    <row r="28526" ht="26.25" customHeight="1"/>
    <row r="28527" ht="26.25" customHeight="1"/>
    <row r="28528" ht="26.25" customHeight="1"/>
    <row r="28529" ht="26.25" customHeight="1"/>
    <row r="28530" ht="26.25" customHeight="1"/>
    <row r="28531" ht="26.25" customHeight="1"/>
    <row r="28532" ht="26.25" customHeight="1"/>
    <row r="28533" ht="26.25" customHeight="1"/>
    <row r="28534" ht="26.25" customHeight="1"/>
    <row r="28535" ht="26.25" customHeight="1"/>
    <row r="28536" ht="26.25" customHeight="1"/>
    <row r="28537" ht="26.25" customHeight="1"/>
    <row r="28538" ht="26.25" customHeight="1"/>
    <row r="28539" ht="26.25" customHeight="1"/>
    <row r="28540" ht="26.25" customHeight="1"/>
    <row r="28541" ht="26.25" customHeight="1"/>
    <row r="28542" ht="26.25" customHeight="1"/>
    <row r="28543" ht="26.25" customHeight="1"/>
    <row r="28544" ht="26.25" customHeight="1"/>
    <row r="28545" ht="26.25" customHeight="1"/>
    <row r="28546" ht="26.25" customHeight="1"/>
    <row r="28547" ht="26.25" customHeight="1"/>
    <row r="28548" ht="26.25" customHeight="1"/>
    <row r="28549" ht="26.25" customHeight="1"/>
    <row r="28550" ht="26.25" customHeight="1"/>
    <row r="28551" ht="26.25" customHeight="1"/>
    <row r="28552" ht="26.25" customHeight="1"/>
    <row r="28553" ht="26.25" customHeight="1"/>
    <row r="28554" ht="26.25" customHeight="1"/>
    <row r="28555" ht="26.25" customHeight="1"/>
    <row r="28556" ht="26.25" customHeight="1"/>
    <row r="28557" ht="26.25" customHeight="1"/>
    <row r="28558" ht="26.25" customHeight="1"/>
    <row r="28559" ht="26.25" customHeight="1"/>
    <row r="28560" ht="26.25" customHeight="1"/>
    <row r="28561" ht="26.25" customHeight="1"/>
    <row r="28562" ht="26.25" customHeight="1"/>
    <row r="28563" ht="26.25" customHeight="1"/>
    <row r="28564" ht="26.25" customHeight="1"/>
    <row r="28565" ht="26.25" customHeight="1"/>
    <row r="28566" ht="26.25" customHeight="1"/>
    <row r="28567" ht="26.25" customHeight="1"/>
    <row r="28568" ht="26.25" customHeight="1"/>
    <row r="28569" ht="26.25" customHeight="1"/>
    <row r="28570" ht="26.25" customHeight="1"/>
    <row r="28571" ht="26.25" customHeight="1"/>
    <row r="28572" ht="26.25" customHeight="1"/>
    <row r="28573" ht="26.25" customHeight="1"/>
    <row r="28574" ht="26.25" customHeight="1"/>
    <row r="28575" ht="26.25" customHeight="1"/>
    <row r="28576" ht="26.25" customHeight="1"/>
    <row r="28577" ht="26.25" customHeight="1"/>
    <row r="28578" ht="26.25" customHeight="1"/>
    <row r="28579" ht="26.25" customHeight="1"/>
    <row r="28580" ht="26.25" customHeight="1"/>
    <row r="28581" ht="26.25" customHeight="1"/>
    <row r="28582" ht="26.25" customHeight="1"/>
    <row r="28583" ht="26.25" customHeight="1"/>
    <row r="28584" ht="26.25" customHeight="1"/>
    <row r="28585" ht="26.25" customHeight="1"/>
    <row r="28586" ht="26.25" customHeight="1"/>
    <row r="28587" ht="26.25" customHeight="1"/>
    <row r="28588" ht="26.25" customHeight="1"/>
    <row r="28589" ht="26.25" customHeight="1"/>
    <row r="28590" ht="26.25" customHeight="1"/>
    <row r="28591" ht="26.25" customHeight="1"/>
    <row r="28592" ht="26.25" customHeight="1"/>
    <row r="28593" ht="26.25" customHeight="1"/>
    <row r="28594" ht="26.25" customHeight="1"/>
    <row r="28595" ht="26.25" customHeight="1"/>
    <row r="28596" ht="26.25" customHeight="1"/>
    <row r="28597" ht="26.25" customHeight="1"/>
    <row r="28598" ht="26.25" customHeight="1"/>
    <row r="28599" ht="26.25" customHeight="1"/>
    <row r="28600" ht="26.25" customHeight="1"/>
    <row r="28601" ht="26.25" customHeight="1"/>
    <row r="28602" ht="26.25" customHeight="1"/>
    <row r="28603" ht="26.25" customHeight="1"/>
    <row r="28604" ht="26.25" customHeight="1"/>
    <row r="28605" ht="26.25" customHeight="1"/>
    <row r="28606" ht="26.25" customHeight="1"/>
    <row r="28607" ht="26.25" customHeight="1"/>
    <row r="28608" ht="26.25" customHeight="1"/>
    <row r="28609" ht="26.25" customHeight="1"/>
    <row r="28610" ht="26.25" customHeight="1"/>
    <row r="28611" ht="26.25" customHeight="1"/>
    <row r="28612" ht="26.25" customHeight="1"/>
    <row r="28613" ht="26.25" customHeight="1"/>
    <row r="28614" ht="26.25" customHeight="1"/>
    <row r="28615" ht="26.25" customHeight="1"/>
    <row r="28616" ht="26.25" customHeight="1"/>
    <row r="28617" ht="26.25" customHeight="1"/>
    <row r="28618" ht="26.25" customHeight="1"/>
    <row r="28619" ht="26.25" customHeight="1"/>
    <row r="28620" ht="26.25" customHeight="1"/>
    <row r="28621" ht="26.25" customHeight="1"/>
    <row r="28622" ht="26.25" customHeight="1"/>
    <row r="28623" ht="26.25" customHeight="1"/>
    <row r="28624" ht="26.25" customHeight="1"/>
    <row r="28625" ht="26.25" customHeight="1"/>
    <row r="28626" ht="26.25" customHeight="1"/>
    <row r="28627" ht="26.25" customHeight="1"/>
    <row r="28628" ht="26.25" customHeight="1"/>
    <row r="28629" ht="26.25" customHeight="1"/>
    <row r="28630" ht="26.25" customHeight="1"/>
    <row r="28631" ht="26.25" customHeight="1"/>
    <row r="28632" ht="26.25" customHeight="1"/>
    <row r="28633" ht="26.25" customHeight="1"/>
    <row r="28634" ht="26.25" customHeight="1"/>
    <row r="28635" ht="26.25" customHeight="1"/>
    <row r="28636" ht="26.25" customHeight="1"/>
    <row r="28637" ht="26.25" customHeight="1"/>
    <row r="28638" ht="26.25" customHeight="1"/>
    <row r="28639" ht="26.25" customHeight="1"/>
    <row r="28640" ht="26.25" customHeight="1"/>
    <row r="28641" ht="26.25" customHeight="1"/>
    <row r="28642" ht="26.25" customHeight="1"/>
    <row r="28643" ht="26.25" customHeight="1"/>
    <row r="28644" ht="26.25" customHeight="1"/>
    <row r="28645" ht="26.25" customHeight="1"/>
    <row r="28646" ht="26.25" customHeight="1"/>
    <row r="28647" ht="26.25" customHeight="1"/>
    <row r="28648" ht="26.25" customHeight="1"/>
    <row r="28649" ht="26.25" customHeight="1"/>
    <row r="28650" ht="26.25" customHeight="1"/>
    <row r="28651" ht="26.25" customHeight="1"/>
    <row r="28652" ht="26.25" customHeight="1"/>
    <row r="28653" ht="26.25" customHeight="1"/>
    <row r="28654" ht="26.25" customHeight="1"/>
    <row r="28655" ht="26.25" customHeight="1"/>
    <row r="28656" ht="26.25" customHeight="1"/>
    <row r="28657" ht="26.25" customHeight="1"/>
    <row r="28658" ht="26.25" customHeight="1"/>
    <row r="28659" ht="26.25" customHeight="1"/>
    <row r="28660" ht="26.25" customHeight="1"/>
    <row r="28661" ht="26.25" customHeight="1"/>
    <row r="28662" ht="26.25" customHeight="1"/>
    <row r="28663" ht="26.25" customHeight="1"/>
    <row r="28664" ht="26.25" customHeight="1"/>
    <row r="28665" ht="26.25" customHeight="1"/>
    <row r="28666" ht="26.25" customHeight="1"/>
    <row r="28667" ht="26.25" customHeight="1"/>
    <row r="28668" ht="26.25" customHeight="1"/>
    <row r="28669" ht="26.25" customHeight="1"/>
    <row r="28670" ht="26.25" customHeight="1"/>
    <row r="28671" ht="26.25" customHeight="1"/>
    <row r="28672" ht="26.25" customHeight="1"/>
    <row r="28673" ht="26.25" customHeight="1"/>
    <row r="28674" ht="26.25" customHeight="1"/>
    <row r="28675" ht="26.25" customHeight="1"/>
    <row r="28676" ht="26.25" customHeight="1"/>
    <row r="28677" ht="26.25" customHeight="1"/>
    <row r="28678" ht="26.25" customHeight="1"/>
    <row r="28679" ht="26.25" customHeight="1"/>
    <row r="28680" ht="26.25" customHeight="1"/>
    <row r="28681" ht="26.25" customHeight="1"/>
    <row r="28682" ht="26.25" customHeight="1"/>
    <row r="28683" ht="26.25" customHeight="1"/>
    <row r="28684" ht="26.25" customHeight="1"/>
    <row r="28685" ht="26.25" customHeight="1"/>
    <row r="28686" ht="26.25" customHeight="1"/>
    <row r="28687" ht="26.25" customHeight="1"/>
    <row r="28688" ht="26.25" customHeight="1"/>
    <row r="28689" ht="26.25" customHeight="1"/>
    <row r="28690" ht="26.25" customHeight="1"/>
    <row r="28691" ht="26.25" customHeight="1"/>
    <row r="28692" ht="26.25" customHeight="1"/>
    <row r="28693" ht="26.25" customHeight="1"/>
    <row r="28694" ht="26.25" customHeight="1"/>
    <row r="28695" ht="26.25" customHeight="1"/>
    <row r="28696" ht="26.25" customHeight="1"/>
    <row r="28697" ht="26.25" customHeight="1"/>
    <row r="28698" ht="26.25" customHeight="1"/>
    <row r="28699" ht="26.25" customHeight="1"/>
    <row r="28700" ht="26.25" customHeight="1"/>
    <row r="28701" ht="26.25" customHeight="1"/>
    <row r="28702" ht="26.25" customHeight="1"/>
    <row r="28703" ht="26.25" customHeight="1"/>
    <row r="28704" ht="26.25" customHeight="1"/>
    <row r="28705" ht="26.25" customHeight="1"/>
    <row r="28706" ht="26.25" customHeight="1"/>
    <row r="28707" ht="26.25" customHeight="1"/>
    <row r="28708" ht="26.25" customHeight="1"/>
    <row r="28709" ht="26.25" customHeight="1"/>
    <row r="28710" ht="26.25" customHeight="1"/>
    <row r="28711" ht="26.25" customHeight="1"/>
    <row r="28712" ht="26.25" customHeight="1"/>
    <row r="28713" ht="26.25" customHeight="1"/>
    <row r="28714" ht="26.25" customHeight="1"/>
    <row r="28715" ht="26.25" customHeight="1"/>
    <row r="28716" ht="26.25" customHeight="1"/>
    <row r="28717" ht="26.25" customHeight="1"/>
    <row r="28718" ht="26.25" customHeight="1"/>
    <row r="28719" ht="26.25" customHeight="1"/>
    <row r="28720" ht="26.25" customHeight="1"/>
    <row r="28721" ht="26.25" customHeight="1"/>
    <row r="28722" ht="26.25" customHeight="1"/>
    <row r="28723" ht="26.25" customHeight="1"/>
    <row r="28724" ht="26.25" customHeight="1"/>
    <row r="28725" ht="26.25" customHeight="1"/>
    <row r="28726" ht="26.25" customHeight="1"/>
    <row r="28727" ht="26.25" customHeight="1"/>
    <row r="28728" ht="26.25" customHeight="1"/>
    <row r="28729" ht="26.25" customHeight="1"/>
    <row r="28730" ht="26.25" customHeight="1"/>
    <row r="28731" ht="26.25" customHeight="1"/>
    <row r="28732" ht="26.25" customHeight="1"/>
    <row r="28733" ht="26.25" customHeight="1"/>
    <row r="28734" ht="26.25" customHeight="1"/>
    <row r="28735" ht="26.25" customHeight="1"/>
    <row r="28736" ht="26.25" customHeight="1"/>
    <row r="28737" ht="26.25" customHeight="1"/>
    <row r="28738" ht="26.25" customHeight="1"/>
    <row r="28739" ht="26.25" customHeight="1"/>
    <row r="28740" ht="26.25" customHeight="1"/>
    <row r="28741" ht="26.25" customHeight="1"/>
    <row r="28742" ht="26.25" customHeight="1"/>
    <row r="28743" ht="26.25" customHeight="1"/>
    <row r="28744" ht="26.25" customHeight="1"/>
    <row r="28745" ht="26.25" customHeight="1"/>
    <row r="28746" ht="26.25" customHeight="1"/>
    <row r="28747" ht="26.25" customHeight="1"/>
    <row r="28748" ht="26.25" customHeight="1"/>
    <row r="28749" ht="26.25" customHeight="1"/>
    <row r="28750" ht="26.25" customHeight="1"/>
    <row r="28751" ht="26.25" customHeight="1"/>
    <row r="28752" ht="26.25" customHeight="1"/>
    <row r="28753" ht="26.25" customHeight="1"/>
    <row r="28754" ht="26.25" customHeight="1"/>
    <row r="28755" ht="26.25" customHeight="1"/>
    <row r="28756" ht="26.25" customHeight="1"/>
    <row r="28757" ht="26.25" customHeight="1"/>
    <row r="28758" ht="26.25" customHeight="1"/>
    <row r="28759" ht="26.25" customHeight="1"/>
    <row r="28760" ht="26.25" customHeight="1"/>
    <row r="28761" ht="26.25" customHeight="1"/>
    <row r="28762" ht="26.25" customHeight="1"/>
    <row r="28763" ht="26.25" customHeight="1"/>
    <row r="28764" ht="26.25" customHeight="1"/>
    <row r="28765" ht="26.25" customHeight="1"/>
    <row r="28766" ht="26.25" customHeight="1"/>
    <row r="28767" ht="26.25" customHeight="1"/>
    <row r="28768" ht="26.25" customHeight="1"/>
    <row r="28769" ht="26.25" customHeight="1"/>
    <row r="28770" ht="26.25" customHeight="1"/>
    <row r="28771" ht="26.25" customHeight="1"/>
    <row r="28772" ht="26.25" customHeight="1"/>
    <row r="28773" ht="26.25" customHeight="1"/>
    <row r="28774" ht="26.25" customHeight="1"/>
    <row r="28775" ht="26.25" customHeight="1"/>
    <row r="28776" ht="26.25" customHeight="1"/>
    <row r="28777" ht="26.25" customHeight="1"/>
    <row r="28778" ht="26.25" customHeight="1"/>
    <row r="28779" ht="26.25" customHeight="1"/>
    <row r="28780" ht="26.25" customHeight="1"/>
    <row r="28781" ht="26.25" customHeight="1"/>
    <row r="28782" ht="26.25" customHeight="1"/>
    <row r="28783" ht="26.25" customHeight="1"/>
    <row r="28784" ht="26.25" customHeight="1"/>
    <row r="28785" ht="26.25" customHeight="1"/>
    <row r="28786" ht="26.25" customHeight="1"/>
    <row r="28787" ht="26.25" customHeight="1"/>
    <row r="28788" ht="26.25" customHeight="1"/>
    <row r="28789" ht="26.25" customHeight="1"/>
    <row r="28790" ht="26.25" customHeight="1"/>
    <row r="28791" ht="26.25" customHeight="1"/>
    <row r="28792" ht="26.25" customHeight="1"/>
    <row r="28793" ht="26.25" customHeight="1"/>
    <row r="28794" ht="26.25" customHeight="1"/>
    <row r="28795" ht="26.25" customHeight="1"/>
    <row r="28796" ht="26.25" customHeight="1"/>
    <row r="28797" ht="26.25" customHeight="1"/>
    <row r="28798" ht="26.25" customHeight="1"/>
    <row r="28799" ht="26.25" customHeight="1"/>
    <row r="28800" ht="26.25" customHeight="1"/>
    <row r="28801" ht="26.25" customHeight="1"/>
    <row r="28802" ht="26.25" customHeight="1"/>
    <row r="28803" ht="26.25" customHeight="1"/>
    <row r="28804" ht="26.25" customHeight="1"/>
    <row r="28805" ht="26.25" customHeight="1"/>
    <row r="28806" ht="26.25" customHeight="1"/>
    <row r="28807" ht="26.25" customHeight="1"/>
    <row r="28808" ht="26.25" customHeight="1"/>
    <row r="28809" ht="26.25" customHeight="1"/>
    <row r="28810" ht="26.25" customHeight="1"/>
    <row r="28811" ht="26.25" customHeight="1"/>
    <row r="28812" ht="26.25" customHeight="1"/>
    <row r="28813" ht="26.25" customHeight="1"/>
    <row r="28814" ht="26.25" customHeight="1"/>
    <row r="28815" ht="26.25" customHeight="1"/>
    <row r="28816" ht="26.25" customHeight="1"/>
    <row r="28817" ht="26.25" customHeight="1"/>
    <row r="28818" ht="26.25" customHeight="1"/>
    <row r="28819" ht="26.25" customHeight="1"/>
    <row r="28820" ht="26.25" customHeight="1"/>
    <row r="28821" ht="26.25" customHeight="1"/>
    <row r="28822" ht="26.25" customHeight="1"/>
    <row r="28823" ht="26.25" customHeight="1"/>
    <row r="28824" ht="26.25" customHeight="1"/>
    <row r="28825" ht="26.25" customHeight="1"/>
    <row r="28826" ht="26.25" customHeight="1"/>
    <row r="28827" ht="26.25" customHeight="1"/>
    <row r="28828" ht="26.25" customHeight="1"/>
    <row r="28829" ht="26.25" customHeight="1"/>
    <row r="28830" ht="26.25" customHeight="1"/>
    <row r="28831" ht="26.25" customHeight="1"/>
    <row r="28832" ht="26.25" customHeight="1"/>
    <row r="28833" ht="26.25" customHeight="1"/>
    <row r="28834" ht="26.25" customHeight="1"/>
    <row r="28835" ht="26.25" customHeight="1"/>
    <row r="28836" ht="26.25" customHeight="1"/>
    <row r="28837" ht="26.25" customHeight="1"/>
    <row r="28838" ht="26.25" customHeight="1"/>
    <row r="28839" ht="26.25" customHeight="1"/>
    <row r="28840" ht="26.25" customHeight="1"/>
    <row r="28841" ht="26.25" customHeight="1"/>
    <row r="28842" ht="26.25" customHeight="1"/>
    <row r="28843" ht="26.25" customHeight="1"/>
    <row r="28844" ht="26.25" customHeight="1"/>
    <row r="28845" ht="26.25" customHeight="1"/>
    <row r="28846" ht="26.25" customHeight="1"/>
    <row r="28847" ht="26.25" customHeight="1"/>
    <row r="28848" ht="26.25" customHeight="1"/>
    <row r="28849" ht="26.25" customHeight="1"/>
    <row r="28850" ht="26.25" customHeight="1"/>
    <row r="28851" ht="26.25" customHeight="1"/>
    <row r="28852" ht="26.25" customHeight="1"/>
    <row r="28853" ht="26.25" customHeight="1"/>
    <row r="28854" ht="26.25" customHeight="1"/>
    <row r="28855" ht="26.25" customHeight="1"/>
    <row r="28856" ht="26.25" customHeight="1"/>
    <row r="28857" ht="26.25" customHeight="1"/>
    <row r="28858" ht="26.25" customHeight="1"/>
    <row r="28859" ht="26.25" customHeight="1"/>
    <row r="28860" ht="26.25" customHeight="1"/>
    <row r="28861" ht="26.25" customHeight="1"/>
    <row r="28862" ht="26.25" customHeight="1"/>
    <row r="28863" ht="26.25" customHeight="1"/>
    <row r="28864" ht="26.25" customHeight="1"/>
    <row r="28865" ht="26.25" customHeight="1"/>
    <row r="28866" ht="26.25" customHeight="1"/>
    <row r="28867" ht="26.25" customHeight="1"/>
    <row r="28868" ht="26.25" customHeight="1"/>
    <row r="28869" ht="26.25" customHeight="1"/>
    <row r="28870" ht="26.25" customHeight="1"/>
    <row r="28871" ht="26.25" customHeight="1"/>
    <row r="28872" ht="26.25" customHeight="1"/>
    <row r="28873" ht="26.25" customHeight="1"/>
    <row r="28874" ht="26.25" customHeight="1"/>
    <row r="28875" ht="26.25" customHeight="1"/>
    <row r="28876" ht="26.25" customHeight="1"/>
    <row r="28877" ht="26.25" customHeight="1"/>
    <row r="28878" ht="26.25" customHeight="1"/>
    <row r="28879" ht="26.25" customHeight="1"/>
    <row r="28880" ht="26.25" customHeight="1"/>
    <row r="28881" ht="26.25" customHeight="1"/>
    <row r="28882" ht="26.25" customHeight="1"/>
    <row r="28883" ht="26.25" customHeight="1"/>
    <row r="28884" ht="26.25" customHeight="1"/>
    <row r="28885" ht="26.25" customHeight="1"/>
    <row r="28886" ht="26.25" customHeight="1"/>
    <row r="28887" ht="26.25" customHeight="1"/>
    <row r="28888" ht="26.25" customHeight="1"/>
    <row r="28889" ht="26.25" customHeight="1"/>
    <row r="28890" ht="26.25" customHeight="1"/>
    <row r="28891" ht="26.25" customHeight="1"/>
    <row r="28892" ht="26.25" customHeight="1"/>
    <row r="28893" ht="26.25" customHeight="1"/>
    <row r="28894" ht="26.25" customHeight="1"/>
    <row r="28895" ht="26.25" customHeight="1"/>
    <row r="28896" ht="26.25" customHeight="1"/>
    <row r="28897" ht="26.25" customHeight="1"/>
    <row r="28898" ht="26.25" customHeight="1"/>
    <row r="28899" ht="26.25" customHeight="1"/>
    <row r="28900" ht="26.25" customHeight="1"/>
    <row r="28901" ht="26.25" customHeight="1"/>
    <row r="28902" ht="26.25" customHeight="1"/>
    <row r="28903" ht="26.25" customHeight="1"/>
    <row r="28904" ht="26.25" customHeight="1"/>
    <row r="28905" ht="26.25" customHeight="1"/>
    <row r="28906" ht="26.25" customHeight="1"/>
    <row r="28907" ht="26.25" customHeight="1"/>
    <row r="28908" ht="26.25" customHeight="1"/>
    <row r="28909" ht="26.25" customHeight="1"/>
    <row r="28910" ht="26.25" customHeight="1"/>
    <row r="28911" ht="26.25" customHeight="1"/>
    <row r="28912" ht="26.25" customHeight="1"/>
    <row r="28913" ht="26.25" customHeight="1"/>
    <row r="28914" ht="26.25" customHeight="1"/>
    <row r="28915" ht="26.25" customHeight="1"/>
    <row r="28916" ht="26.25" customHeight="1"/>
    <row r="28917" ht="26.25" customHeight="1"/>
    <row r="28918" ht="26.25" customHeight="1"/>
    <row r="28919" ht="26.25" customHeight="1"/>
    <row r="28920" ht="26.25" customHeight="1"/>
    <row r="28921" ht="26.25" customHeight="1"/>
    <row r="28922" ht="26.25" customHeight="1"/>
    <row r="28923" ht="26.25" customHeight="1"/>
    <row r="28924" ht="26.25" customHeight="1"/>
    <row r="28925" ht="26.25" customHeight="1"/>
    <row r="28926" ht="26.25" customHeight="1"/>
    <row r="28927" ht="26.25" customHeight="1"/>
    <row r="28928" ht="26.25" customHeight="1"/>
    <row r="28929" ht="26.25" customHeight="1"/>
    <row r="28930" ht="26.25" customHeight="1"/>
    <row r="28931" ht="26.25" customHeight="1"/>
    <row r="28932" ht="26.25" customHeight="1"/>
    <row r="28933" ht="26.25" customHeight="1"/>
    <row r="28934" ht="26.25" customHeight="1"/>
    <row r="28935" ht="26.25" customHeight="1"/>
    <row r="28936" ht="26.25" customHeight="1"/>
    <row r="28937" ht="26.25" customHeight="1"/>
    <row r="28938" ht="26.25" customHeight="1"/>
    <row r="28939" ht="26.25" customHeight="1"/>
    <row r="28940" ht="26.25" customHeight="1"/>
    <row r="28941" ht="26.25" customHeight="1"/>
    <row r="28942" ht="26.25" customHeight="1"/>
    <row r="28943" ht="26.25" customHeight="1"/>
    <row r="28944" ht="26.25" customHeight="1"/>
    <row r="28945" ht="26.25" customHeight="1"/>
    <row r="28946" ht="26.25" customHeight="1"/>
    <row r="28947" ht="26.25" customHeight="1"/>
    <row r="28948" ht="26.25" customHeight="1"/>
    <row r="28949" ht="26.25" customHeight="1"/>
    <row r="28950" ht="26.25" customHeight="1"/>
    <row r="28951" ht="26.25" customHeight="1"/>
    <row r="28952" ht="26.25" customHeight="1"/>
    <row r="28953" ht="26.25" customHeight="1"/>
    <row r="28954" ht="26.25" customHeight="1"/>
    <row r="28955" ht="26.25" customHeight="1"/>
    <row r="28956" ht="26.25" customHeight="1"/>
    <row r="28957" ht="26.25" customHeight="1"/>
    <row r="28958" ht="26.25" customHeight="1"/>
    <row r="28959" ht="26.25" customHeight="1"/>
    <row r="28960" ht="26.25" customHeight="1"/>
    <row r="28961" ht="26.25" customHeight="1"/>
    <row r="28962" ht="26.25" customHeight="1"/>
    <row r="28963" ht="26.25" customHeight="1"/>
    <row r="28964" ht="26.25" customHeight="1"/>
    <row r="28965" ht="26.25" customHeight="1"/>
    <row r="28966" ht="26.25" customHeight="1"/>
    <row r="28967" ht="26.25" customHeight="1"/>
    <row r="28968" ht="26.25" customHeight="1"/>
    <row r="28969" ht="26.25" customHeight="1"/>
    <row r="28970" ht="26.25" customHeight="1"/>
    <row r="28971" ht="26.25" customHeight="1"/>
    <row r="28972" ht="26.25" customHeight="1"/>
    <row r="28973" ht="26.25" customHeight="1"/>
    <row r="28974" ht="26.25" customHeight="1"/>
    <row r="28975" ht="26.25" customHeight="1"/>
    <row r="28976" ht="26.25" customHeight="1"/>
    <row r="28977" ht="26.25" customHeight="1"/>
    <row r="28978" ht="26.25" customHeight="1"/>
    <row r="28979" ht="26.25" customHeight="1"/>
    <row r="28980" ht="26.25" customHeight="1"/>
    <row r="28981" ht="26.25" customHeight="1"/>
    <row r="28982" ht="26.25" customHeight="1"/>
    <row r="28983" ht="26.25" customHeight="1"/>
    <row r="28984" ht="26.25" customHeight="1"/>
    <row r="28985" ht="26.25" customHeight="1"/>
    <row r="28986" ht="26.25" customHeight="1"/>
    <row r="28987" ht="26.25" customHeight="1"/>
    <row r="28988" ht="26.25" customHeight="1"/>
    <row r="28989" ht="26.25" customHeight="1"/>
    <row r="28990" ht="26.25" customHeight="1"/>
    <row r="28991" ht="26.25" customHeight="1"/>
    <row r="28992" ht="26.25" customHeight="1"/>
    <row r="28993" ht="26.25" customHeight="1"/>
    <row r="28994" ht="26.25" customHeight="1"/>
    <row r="28995" ht="26.25" customHeight="1"/>
    <row r="28996" ht="26.25" customHeight="1"/>
    <row r="28997" ht="26.25" customHeight="1"/>
    <row r="28998" ht="26.25" customHeight="1"/>
    <row r="28999" ht="26.25" customHeight="1"/>
    <row r="29000" ht="26.25" customHeight="1"/>
    <row r="29001" ht="26.25" customHeight="1"/>
    <row r="29002" ht="26.25" customHeight="1"/>
    <row r="29003" ht="26.25" customHeight="1"/>
    <row r="29004" ht="26.25" customHeight="1"/>
    <row r="29005" ht="26.25" customHeight="1"/>
    <row r="29006" ht="26.25" customHeight="1"/>
    <row r="29007" ht="26.25" customHeight="1"/>
    <row r="29008" ht="26.25" customHeight="1"/>
    <row r="29009" ht="26.25" customHeight="1"/>
    <row r="29010" ht="26.25" customHeight="1"/>
    <row r="29011" ht="26.25" customHeight="1"/>
    <row r="29012" ht="26.25" customHeight="1"/>
    <row r="29013" ht="26.25" customHeight="1"/>
    <row r="29014" ht="26.25" customHeight="1"/>
    <row r="29015" ht="26.25" customHeight="1"/>
    <row r="29016" ht="26.25" customHeight="1"/>
    <row r="29017" ht="26.25" customHeight="1"/>
    <row r="29018" ht="26.25" customHeight="1"/>
    <row r="29019" ht="26.25" customHeight="1"/>
    <row r="29020" ht="26.25" customHeight="1"/>
    <row r="29021" ht="26.25" customHeight="1"/>
    <row r="29022" ht="26.25" customHeight="1"/>
    <row r="29023" ht="26.25" customHeight="1"/>
    <row r="29024" ht="26.25" customHeight="1"/>
    <row r="29025" ht="26.25" customHeight="1"/>
    <row r="29026" ht="26.25" customHeight="1"/>
    <row r="29027" ht="26.25" customHeight="1"/>
    <row r="29028" ht="26.25" customHeight="1"/>
    <row r="29029" ht="26.25" customHeight="1"/>
    <row r="29030" ht="26.25" customHeight="1"/>
    <row r="29031" ht="26.25" customHeight="1"/>
    <row r="29032" ht="26.25" customHeight="1"/>
    <row r="29033" ht="26.25" customHeight="1"/>
    <row r="29034" ht="26.25" customHeight="1"/>
    <row r="29035" ht="26.25" customHeight="1"/>
    <row r="29036" ht="26.25" customHeight="1"/>
    <row r="29037" ht="26.25" customHeight="1"/>
    <row r="29038" ht="26.25" customHeight="1"/>
    <row r="29039" ht="26.25" customHeight="1"/>
    <row r="29040" ht="26.25" customHeight="1"/>
    <row r="29041" ht="26.25" customHeight="1"/>
    <row r="29042" ht="26.25" customHeight="1"/>
    <row r="29043" ht="26.25" customHeight="1"/>
    <row r="29044" ht="26.25" customHeight="1"/>
    <row r="29045" ht="26.25" customHeight="1"/>
    <row r="29046" ht="26.25" customHeight="1"/>
    <row r="29047" ht="26.25" customHeight="1"/>
    <row r="29048" ht="26.25" customHeight="1"/>
    <row r="29049" ht="26.25" customHeight="1"/>
    <row r="29050" ht="26.25" customHeight="1"/>
    <row r="29051" ht="26.25" customHeight="1"/>
    <row r="29052" ht="26.25" customHeight="1"/>
    <row r="29053" ht="26.25" customHeight="1"/>
    <row r="29054" ht="26.25" customHeight="1"/>
    <row r="29055" ht="26.25" customHeight="1"/>
    <row r="29056" ht="26.25" customHeight="1"/>
    <row r="29057" ht="26.25" customHeight="1"/>
    <row r="29058" ht="26.25" customHeight="1"/>
    <row r="29059" ht="26.25" customHeight="1"/>
    <row r="29060" ht="26.25" customHeight="1"/>
    <row r="29061" ht="26.25" customHeight="1"/>
    <row r="29062" ht="26.25" customHeight="1"/>
    <row r="29063" ht="26.25" customHeight="1"/>
    <row r="29064" ht="26.25" customHeight="1"/>
    <row r="29065" ht="26.25" customHeight="1"/>
    <row r="29066" ht="26.25" customHeight="1"/>
    <row r="29067" ht="26.25" customHeight="1"/>
    <row r="29068" ht="26.25" customHeight="1"/>
    <row r="29069" ht="26.25" customHeight="1"/>
    <row r="29070" ht="26.25" customHeight="1"/>
    <row r="29071" ht="26.25" customHeight="1"/>
    <row r="29072" ht="26.25" customHeight="1"/>
    <row r="29073" ht="26.25" customHeight="1"/>
    <row r="29074" ht="26.25" customHeight="1"/>
    <row r="29075" ht="26.25" customHeight="1"/>
    <row r="29076" ht="26.25" customHeight="1"/>
    <row r="29077" ht="26.25" customHeight="1"/>
    <row r="29078" ht="26.25" customHeight="1"/>
    <row r="29079" ht="26.25" customHeight="1"/>
    <row r="29080" ht="26.25" customHeight="1"/>
    <row r="29081" ht="26.25" customHeight="1"/>
    <row r="29082" ht="26.25" customHeight="1"/>
    <row r="29083" ht="26.25" customHeight="1"/>
    <row r="29084" ht="26.25" customHeight="1"/>
    <row r="29085" ht="26.25" customHeight="1"/>
    <row r="29086" ht="26.25" customHeight="1"/>
    <row r="29087" ht="26.25" customHeight="1"/>
    <row r="29088" ht="26.25" customHeight="1"/>
    <row r="29089" ht="26.25" customHeight="1"/>
    <row r="29090" ht="26.25" customHeight="1"/>
    <row r="29091" ht="26.25" customHeight="1"/>
    <row r="29092" ht="26.25" customHeight="1"/>
    <row r="29093" ht="26.25" customHeight="1"/>
    <row r="29094" ht="26.25" customHeight="1"/>
    <row r="29095" ht="26.25" customHeight="1"/>
    <row r="29096" ht="26.25" customHeight="1"/>
    <row r="29097" ht="26.25" customHeight="1"/>
    <row r="29098" ht="26.25" customHeight="1"/>
    <row r="29099" ht="26.25" customHeight="1"/>
    <row r="29100" ht="26.25" customHeight="1"/>
    <row r="29101" ht="26.25" customHeight="1"/>
    <row r="29102" ht="26.25" customHeight="1"/>
    <row r="29103" ht="26.25" customHeight="1"/>
    <row r="29104" ht="26.25" customHeight="1"/>
    <row r="29105" ht="26.25" customHeight="1"/>
    <row r="29106" ht="26.25" customHeight="1"/>
    <row r="29107" ht="26.25" customHeight="1"/>
    <row r="29108" ht="26.25" customHeight="1"/>
    <row r="29109" ht="26.25" customHeight="1"/>
    <row r="29110" ht="26.25" customHeight="1"/>
    <row r="29111" ht="26.25" customHeight="1"/>
    <row r="29112" ht="26.25" customHeight="1"/>
    <row r="29113" ht="26.25" customHeight="1"/>
    <row r="29114" ht="26.25" customHeight="1"/>
    <row r="29115" ht="26.25" customHeight="1"/>
    <row r="29116" ht="26.25" customHeight="1"/>
    <row r="29117" ht="26.25" customHeight="1"/>
    <row r="29118" ht="26.25" customHeight="1"/>
    <row r="29119" ht="26.25" customHeight="1"/>
    <row r="29120" ht="26.25" customHeight="1"/>
    <row r="29121" ht="26.25" customHeight="1"/>
    <row r="29122" ht="26.25" customHeight="1"/>
    <row r="29123" ht="26.25" customHeight="1"/>
    <row r="29124" ht="26.25" customHeight="1"/>
    <row r="29125" ht="26.25" customHeight="1"/>
    <row r="29126" ht="26.25" customHeight="1"/>
    <row r="29127" ht="26.25" customHeight="1"/>
    <row r="29128" ht="26.25" customHeight="1"/>
    <row r="29129" ht="26.25" customHeight="1"/>
    <row r="29130" ht="26.25" customHeight="1"/>
    <row r="29131" ht="26.25" customHeight="1"/>
    <row r="29132" ht="26.25" customHeight="1"/>
    <row r="29133" ht="26.25" customHeight="1"/>
    <row r="29134" ht="26.25" customHeight="1"/>
    <row r="29135" ht="26.25" customHeight="1"/>
    <row r="29136" ht="26.25" customHeight="1"/>
    <row r="29137" ht="26.25" customHeight="1"/>
    <row r="29138" ht="26.25" customHeight="1"/>
    <row r="29139" ht="26.25" customHeight="1"/>
    <row r="29140" ht="26.25" customHeight="1"/>
    <row r="29141" ht="26.25" customHeight="1"/>
    <row r="29142" ht="26.25" customHeight="1"/>
    <row r="29143" ht="26.25" customHeight="1"/>
    <row r="29144" ht="26.25" customHeight="1"/>
    <row r="29145" ht="26.25" customHeight="1"/>
    <row r="29146" ht="26.25" customHeight="1"/>
    <row r="29147" ht="26.25" customHeight="1"/>
    <row r="29148" ht="26.25" customHeight="1"/>
    <row r="29149" ht="26.25" customHeight="1"/>
    <row r="29150" ht="26.25" customHeight="1"/>
    <row r="29151" ht="26.25" customHeight="1"/>
    <row r="29152" ht="26.25" customHeight="1"/>
    <row r="29153" ht="26.25" customHeight="1"/>
    <row r="29154" ht="26.25" customHeight="1"/>
    <row r="29155" ht="26.25" customHeight="1"/>
    <row r="29156" ht="26.25" customHeight="1"/>
    <row r="29157" ht="26.25" customHeight="1"/>
    <row r="29158" ht="26.25" customHeight="1"/>
    <row r="29159" ht="26.25" customHeight="1"/>
    <row r="29160" ht="26.25" customHeight="1"/>
    <row r="29161" ht="26.25" customHeight="1"/>
    <row r="29162" ht="26.25" customHeight="1"/>
    <row r="29163" ht="26.25" customHeight="1"/>
    <row r="29164" ht="26.25" customHeight="1"/>
    <row r="29165" ht="26.25" customHeight="1"/>
    <row r="29166" ht="26.25" customHeight="1"/>
    <row r="29167" ht="26.25" customHeight="1"/>
    <row r="29168" ht="26.25" customHeight="1"/>
    <row r="29169" ht="26.25" customHeight="1"/>
    <row r="29170" ht="26.25" customHeight="1"/>
    <row r="29171" ht="26.25" customHeight="1"/>
    <row r="29172" ht="26.25" customHeight="1"/>
    <row r="29173" ht="26.25" customHeight="1"/>
    <row r="29174" ht="26.25" customHeight="1"/>
    <row r="29175" ht="26.25" customHeight="1"/>
    <row r="29176" ht="26.25" customHeight="1"/>
    <row r="29177" ht="26.25" customHeight="1"/>
    <row r="29178" ht="26.25" customHeight="1"/>
    <row r="29179" ht="26.25" customHeight="1"/>
    <row r="29180" ht="26.25" customHeight="1"/>
    <row r="29181" ht="26.25" customHeight="1"/>
    <row r="29182" ht="26.25" customHeight="1"/>
    <row r="29183" ht="26.25" customHeight="1"/>
    <row r="29184" ht="26.25" customHeight="1"/>
    <row r="29185" ht="26.25" customHeight="1"/>
    <row r="29186" ht="26.25" customHeight="1"/>
    <row r="29187" ht="26.25" customHeight="1"/>
    <row r="29188" ht="26.25" customHeight="1"/>
    <row r="29189" ht="26.25" customHeight="1"/>
    <row r="29190" ht="26.25" customHeight="1"/>
    <row r="29191" ht="26.25" customHeight="1"/>
    <row r="29192" ht="26.25" customHeight="1"/>
    <row r="29193" ht="26.25" customHeight="1"/>
    <row r="29194" ht="26.25" customHeight="1"/>
    <row r="29195" ht="26.25" customHeight="1"/>
    <row r="29196" ht="26.25" customHeight="1"/>
    <row r="29197" ht="26.25" customHeight="1"/>
    <row r="29198" ht="26.25" customHeight="1"/>
    <row r="29199" ht="26.25" customHeight="1"/>
    <row r="29200" ht="26.25" customHeight="1"/>
    <row r="29201" ht="26.25" customHeight="1"/>
    <row r="29202" ht="26.25" customHeight="1"/>
    <row r="29203" ht="26.25" customHeight="1"/>
    <row r="29204" ht="26.25" customHeight="1"/>
    <row r="29205" ht="26.25" customHeight="1"/>
    <row r="29206" ht="26.25" customHeight="1"/>
    <row r="29207" ht="26.25" customHeight="1"/>
    <row r="29208" ht="26.25" customHeight="1"/>
    <row r="29209" ht="26.25" customHeight="1"/>
    <row r="29210" ht="26.25" customHeight="1"/>
    <row r="29211" ht="26.25" customHeight="1"/>
    <row r="29212" ht="26.25" customHeight="1"/>
    <row r="29213" ht="26.25" customHeight="1"/>
    <row r="29214" ht="26.25" customHeight="1"/>
    <row r="29215" ht="26.25" customHeight="1"/>
    <row r="29216" ht="26.25" customHeight="1"/>
    <row r="29217" ht="26.25" customHeight="1"/>
    <row r="29218" ht="26.25" customHeight="1"/>
    <row r="29219" ht="26.25" customHeight="1"/>
    <row r="29220" ht="26.25" customHeight="1"/>
    <row r="29221" ht="26.25" customHeight="1"/>
    <row r="29222" ht="26.25" customHeight="1"/>
    <row r="29223" ht="26.25" customHeight="1"/>
    <row r="29224" ht="26.25" customHeight="1"/>
    <row r="29225" ht="26.25" customHeight="1"/>
    <row r="29226" ht="26.25" customHeight="1"/>
    <row r="29227" ht="26.25" customHeight="1"/>
    <row r="29228" ht="26.25" customHeight="1"/>
    <row r="29229" ht="26.25" customHeight="1"/>
    <row r="29230" ht="26.25" customHeight="1"/>
    <row r="29231" ht="26.25" customHeight="1"/>
    <row r="29232" ht="26.25" customHeight="1"/>
    <row r="29233" ht="26.25" customHeight="1"/>
    <row r="29234" ht="26.25" customHeight="1"/>
    <row r="29235" ht="26.25" customHeight="1"/>
    <row r="29236" ht="26.25" customHeight="1"/>
    <row r="29237" ht="26.25" customHeight="1"/>
    <row r="29238" ht="26.25" customHeight="1"/>
    <row r="29239" ht="26.25" customHeight="1"/>
    <row r="29240" ht="26.25" customHeight="1"/>
    <row r="29241" ht="26.25" customHeight="1"/>
    <row r="29242" ht="26.25" customHeight="1"/>
    <row r="29243" ht="26.25" customHeight="1"/>
    <row r="29244" ht="26.25" customHeight="1"/>
    <row r="29245" ht="26.25" customHeight="1"/>
    <row r="29246" ht="26.25" customHeight="1"/>
    <row r="29247" ht="26.25" customHeight="1"/>
    <row r="29248" ht="26.25" customHeight="1"/>
    <row r="29249" ht="26.25" customHeight="1"/>
    <row r="29250" ht="26.25" customHeight="1"/>
    <row r="29251" ht="26.25" customHeight="1"/>
    <row r="29252" ht="26.25" customHeight="1"/>
    <row r="29253" ht="26.25" customHeight="1"/>
    <row r="29254" ht="26.25" customHeight="1"/>
    <row r="29255" ht="26.25" customHeight="1"/>
    <row r="29256" ht="26.25" customHeight="1"/>
    <row r="29257" ht="26.25" customHeight="1"/>
    <row r="29258" ht="26.25" customHeight="1"/>
    <row r="29259" ht="26.25" customHeight="1"/>
    <row r="29260" ht="26.25" customHeight="1"/>
    <row r="29261" ht="26.25" customHeight="1"/>
    <row r="29262" ht="26.25" customHeight="1"/>
    <row r="29263" ht="26.25" customHeight="1"/>
    <row r="29264" ht="26.25" customHeight="1"/>
    <row r="29265" ht="26.25" customHeight="1"/>
    <row r="29266" ht="26.25" customHeight="1"/>
    <row r="29267" ht="26.25" customHeight="1"/>
    <row r="29268" ht="26.25" customHeight="1"/>
    <row r="29269" ht="26.25" customHeight="1"/>
    <row r="29270" ht="26.25" customHeight="1"/>
    <row r="29271" ht="26.25" customHeight="1"/>
    <row r="29272" ht="26.25" customHeight="1"/>
    <row r="29273" ht="26.25" customHeight="1"/>
    <row r="29274" ht="26.25" customHeight="1"/>
    <row r="29275" ht="26.25" customHeight="1"/>
    <row r="29276" ht="26.25" customHeight="1"/>
    <row r="29277" ht="26.25" customHeight="1"/>
    <row r="29278" ht="26.25" customHeight="1"/>
    <row r="29279" ht="26.25" customHeight="1"/>
    <row r="29280" ht="26.25" customHeight="1"/>
    <row r="29281" ht="26.25" customHeight="1"/>
    <row r="29282" ht="26.25" customHeight="1"/>
    <row r="29283" ht="26.25" customHeight="1"/>
    <row r="29284" ht="26.25" customHeight="1"/>
    <row r="29285" ht="26.25" customHeight="1"/>
    <row r="29286" ht="26.25" customHeight="1"/>
    <row r="29287" ht="26.25" customHeight="1"/>
    <row r="29288" ht="26.25" customHeight="1"/>
    <row r="29289" ht="26.25" customHeight="1"/>
    <row r="29290" ht="26.25" customHeight="1"/>
    <row r="29291" ht="26.25" customHeight="1"/>
    <row r="29292" ht="26.25" customHeight="1"/>
    <row r="29293" ht="26.25" customHeight="1"/>
    <row r="29294" ht="26.25" customHeight="1"/>
    <row r="29295" ht="26.25" customHeight="1"/>
    <row r="29296" ht="26.25" customHeight="1"/>
    <row r="29297" ht="26.25" customHeight="1"/>
    <row r="29298" ht="26.25" customHeight="1"/>
    <row r="29299" ht="26.25" customHeight="1"/>
    <row r="29300" ht="26.25" customHeight="1"/>
    <row r="29301" ht="26.25" customHeight="1"/>
    <row r="29302" ht="26.25" customHeight="1"/>
    <row r="29303" ht="26.25" customHeight="1"/>
    <row r="29304" ht="26.25" customHeight="1"/>
    <row r="29305" ht="26.25" customHeight="1"/>
    <row r="29306" ht="26.25" customHeight="1"/>
    <row r="29307" ht="26.25" customHeight="1"/>
    <row r="29308" ht="26.25" customHeight="1"/>
    <row r="29309" ht="26.25" customHeight="1"/>
    <row r="29310" ht="26.25" customHeight="1"/>
    <row r="29311" ht="26.25" customHeight="1"/>
    <row r="29312" ht="26.25" customHeight="1"/>
    <row r="29313" ht="26.25" customHeight="1"/>
    <row r="29314" ht="26.25" customHeight="1"/>
    <row r="29315" ht="26.25" customHeight="1"/>
    <row r="29316" ht="26.25" customHeight="1"/>
    <row r="29317" ht="26.25" customHeight="1"/>
    <row r="29318" ht="26.25" customHeight="1"/>
    <row r="29319" ht="26.25" customHeight="1"/>
    <row r="29320" ht="26.25" customHeight="1"/>
    <row r="29321" ht="26.25" customHeight="1"/>
    <row r="29322" ht="26.25" customHeight="1"/>
    <row r="29323" ht="26.25" customHeight="1"/>
    <row r="29324" ht="26.25" customHeight="1"/>
    <row r="29325" ht="26.25" customHeight="1"/>
    <row r="29326" ht="26.25" customHeight="1"/>
    <row r="29327" ht="26.25" customHeight="1"/>
    <row r="29328" ht="26.25" customHeight="1"/>
    <row r="29329" ht="26.25" customHeight="1"/>
    <row r="29330" ht="26.25" customHeight="1"/>
    <row r="29331" ht="26.25" customHeight="1"/>
    <row r="29332" ht="26.25" customHeight="1"/>
    <row r="29333" ht="26.25" customHeight="1"/>
    <row r="29334" ht="26.25" customHeight="1"/>
    <row r="29335" ht="26.25" customHeight="1"/>
    <row r="29336" ht="26.25" customHeight="1"/>
    <row r="29337" ht="26.25" customHeight="1"/>
    <row r="29338" ht="26.25" customHeight="1"/>
    <row r="29339" ht="26.25" customHeight="1"/>
    <row r="29340" ht="26.25" customHeight="1"/>
    <row r="29341" ht="26.25" customHeight="1"/>
    <row r="29342" ht="26.25" customHeight="1"/>
    <row r="29343" ht="26.25" customHeight="1"/>
    <row r="29344" ht="26.25" customHeight="1"/>
    <row r="29345" ht="26.25" customHeight="1"/>
    <row r="29346" ht="26.25" customHeight="1"/>
    <row r="29347" ht="26.25" customHeight="1"/>
    <row r="29348" ht="26.25" customHeight="1"/>
    <row r="29349" ht="26.25" customHeight="1"/>
    <row r="29350" ht="26.25" customHeight="1"/>
    <row r="29351" ht="26.25" customHeight="1"/>
    <row r="29352" ht="26.25" customHeight="1"/>
    <row r="29353" ht="26.25" customHeight="1"/>
    <row r="29354" ht="26.25" customHeight="1"/>
    <row r="29355" ht="26.25" customHeight="1"/>
    <row r="29356" ht="26.25" customHeight="1"/>
    <row r="29357" ht="26.25" customHeight="1"/>
    <row r="29358" ht="26.25" customHeight="1"/>
    <row r="29359" ht="26.25" customHeight="1"/>
    <row r="29360" ht="26.25" customHeight="1"/>
    <row r="29361" ht="26.25" customHeight="1"/>
    <row r="29362" ht="26.25" customHeight="1"/>
    <row r="29363" ht="26.25" customHeight="1"/>
    <row r="29364" ht="26.25" customHeight="1"/>
    <row r="29365" ht="26.25" customHeight="1"/>
    <row r="29366" ht="26.25" customHeight="1"/>
    <row r="29367" ht="26.25" customHeight="1"/>
    <row r="29368" ht="26.25" customHeight="1"/>
    <row r="29369" ht="26.25" customHeight="1"/>
    <row r="29370" ht="26.25" customHeight="1"/>
    <row r="29371" ht="26.25" customHeight="1"/>
    <row r="29372" ht="26.25" customHeight="1"/>
    <row r="29373" ht="26.25" customHeight="1"/>
    <row r="29374" ht="26.25" customHeight="1"/>
    <row r="29375" ht="26.25" customHeight="1"/>
    <row r="29376" ht="26.25" customHeight="1"/>
    <row r="29377" ht="26.25" customHeight="1"/>
    <row r="29378" ht="26.25" customHeight="1"/>
    <row r="29379" ht="26.25" customHeight="1"/>
    <row r="29380" ht="26.25" customHeight="1"/>
    <row r="29381" ht="26.25" customHeight="1"/>
    <row r="29382" ht="26.25" customHeight="1"/>
    <row r="29383" ht="26.25" customHeight="1"/>
    <row r="29384" ht="26.25" customHeight="1"/>
    <row r="29385" ht="26.25" customHeight="1"/>
    <row r="29386" ht="26.25" customHeight="1"/>
    <row r="29387" ht="26.25" customHeight="1"/>
    <row r="29388" ht="26.25" customHeight="1"/>
    <row r="29389" ht="26.25" customHeight="1"/>
    <row r="29390" ht="26.25" customHeight="1"/>
    <row r="29391" ht="26.25" customHeight="1"/>
    <row r="29392" ht="26.25" customHeight="1"/>
    <row r="29393" ht="26.25" customHeight="1"/>
    <row r="29394" ht="26.25" customHeight="1"/>
    <row r="29395" ht="26.25" customHeight="1"/>
    <row r="29396" ht="26.25" customHeight="1"/>
    <row r="29397" ht="26.25" customHeight="1"/>
    <row r="29398" ht="26.25" customHeight="1"/>
    <row r="29399" ht="26.25" customHeight="1"/>
    <row r="29400" ht="26.25" customHeight="1"/>
    <row r="29401" ht="26.25" customHeight="1"/>
    <row r="29402" ht="26.25" customHeight="1"/>
    <row r="29403" ht="26.25" customHeight="1"/>
    <row r="29404" ht="26.25" customHeight="1"/>
    <row r="29405" ht="26.25" customHeight="1"/>
    <row r="29406" ht="26.25" customHeight="1"/>
    <row r="29407" ht="26.25" customHeight="1"/>
    <row r="29408" ht="26.25" customHeight="1"/>
    <row r="29409" ht="26.25" customHeight="1"/>
    <row r="29410" ht="26.25" customHeight="1"/>
    <row r="29411" ht="26.25" customHeight="1"/>
    <row r="29412" ht="26.25" customHeight="1"/>
    <row r="29413" ht="26.25" customHeight="1"/>
    <row r="29414" ht="26.25" customHeight="1"/>
    <row r="29415" ht="26.25" customHeight="1"/>
    <row r="29416" ht="26.25" customHeight="1"/>
    <row r="29417" ht="26.25" customHeight="1"/>
    <row r="29418" ht="26.25" customHeight="1"/>
    <row r="29419" ht="26.25" customHeight="1"/>
    <row r="29420" ht="26.25" customHeight="1"/>
    <row r="29421" ht="26.25" customHeight="1"/>
    <row r="29422" ht="26.25" customHeight="1"/>
    <row r="29423" ht="26.25" customHeight="1"/>
    <row r="29424" ht="26.25" customHeight="1"/>
    <row r="29425" ht="26.25" customHeight="1"/>
    <row r="29426" ht="26.25" customHeight="1"/>
    <row r="29427" ht="26.25" customHeight="1"/>
    <row r="29428" ht="26.25" customHeight="1"/>
    <row r="29429" ht="26.25" customHeight="1"/>
    <row r="29430" ht="26.25" customHeight="1"/>
    <row r="29431" ht="26.25" customHeight="1"/>
    <row r="29432" ht="26.25" customHeight="1"/>
    <row r="29433" ht="26.25" customHeight="1"/>
    <row r="29434" ht="26.25" customHeight="1"/>
    <row r="29435" ht="26.25" customHeight="1"/>
    <row r="29436" ht="26.25" customHeight="1"/>
    <row r="29437" ht="26.25" customHeight="1"/>
    <row r="29438" ht="26.25" customHeight="1"/>
    <row r="29439" ht="26.25" customHeight="1"/>
    <row r="29440" ht="26.25" customHeight="1"/>
    <row r="29441" ht="26.25" customHeight="1"/>
    <row r="29442" ht="26.25" customHeight="1"/>
    <row r="29443" ht="26.25" customHeight="1"/>
    <row r="29444" ht="26.25" customHeight="1"/>
    <row r="29445" ht="26.25" customHeight="1"/>
    <row r="29446" ht="26.25" customHeight="1"/>
    <row r="29447" ht="26.25" customHeight="1"/>
    <row r="29448" ht="26.25" customHeight="1"/>
    <row r="29449" ht="26.25" customHeight="1"/>
    <row r="29450" ht="26.25" customHeight="1"/>
    <row r="29451" ht="26.25" customHeight="1"/>
    <row r="29452" ht="26.25" customHeight="1"/>
    <row r="29453" ht="26.25" customHeight="1"/>
    <row r="29454" ht="26.25" customHeight="1"/>
    <row r="29455" ht="26.25" customHeight="1"/>
    <row r="29456" ht="26.25" customHeight="1"/>
    <row r="29457" ht="26.25" customHeight="1"/>
    <row r="29458" ht="26.25" customHeight="1"/>
    <row r="29459" ht="26.25" customHeight="1"/>
    <row r="29460" ht="26.25" customHeight="1"/>
    <row r="29461" ht="26.25" customHeight="1"/>
    <row r="29462" ht="26.25" customHeight="1"/>
    <row r="29463" ht="26.25" customHeight="1"/>
    <row r="29464" ht="26.25" customHeight="1"/>
    <row r="29465" ht="26.25" customHeight="1"/>
    <row r="29466" ht="26.25" customHeight="1"/>
    <row r="29467" ht="26.25" customHeight="1"/>
    <row r="29468" ht="26.25" customHeight="1"/>
    <row r="29469" ht="26.25" customHeight="1"/>
    <row r="29470" ht="26.25" customHeight="1"/>
    <row r="29471" ht="26.25" customHeight="1"/>
    <row r="29472" ht="26.25" customHeight="1"/>
    <row r="29473" ht="26.25" customHeight="1"/>
    <row r="29474" ht="26.25" customHeight="1"/>
    <row r="29475" ht="26.25" customHeight="1"/>
    <row r="29476" ht="26.25" customHeight="1"/>
    <row r="29477" ht="26.25" customHeight="1"/>
    <row r="29478" ht="26.25" customHeight="1"/>
    <row r="29479" ht="26.25" customHeight="1"/>
    <row r="29480" ht="26.25" customHeight="1"/>
    <row r="29481" ht="26.25" customHeight="1"/>
    <row r="29482" ht="26.25" customHeight="1"/>
    <row r="29483" ht="26.25" customHeight="1"/>
    <row r="29484" ht="26.25" customHeight="1"/>
    <row r="29485" ht="26.25" customHeight="1"/>
    <row r="29486" ht="26.25" customHeight="1"/>
    <row r="29487" ht="26.25" customHeight="1"/>
    <row r="29488" ht="26.25" customHeight="1"/>
    <row r="29489" ht="26.25" customHeight="1"/>
    <row r="29490" ht="26.25" customHeight="1"/>
    <row r="29491" ht="26.25" customHeight="1"/>
    <row r="29492" ht="26.25" customHeight="1"/>
    <row r="29493" ht="26.25" customHeight="1"/>
    <row r="29494" ht="26.25" customHeight="1"/>
    <row r="29495" ht="26.25" customHeight="1"/>
    <row r="29496" ht="26.25" customHeight="1"/>
    <row r="29497" ht="26.25" customHeight="1"/>
    <row r="29498" ht="26.25" customHeight="1"/>
    <row r="29499" ht="26.25" customHeight="1"/>
    <row r="29500" ht="26.25" customHeight="1"/>
    <row r="29501" ht="26.25" customHeight="1"/>
    <row r="29502" ht="26.25" customHeight="1"/>
    <row r="29503" ht="26.25" customHeight="1"/>
    <row r="29504" ht="26.25" customHeight="1"/>
    <row r="29505" ht="26.25" customHeight="1"/>
    <row r="29506" ht="26.25" customHeight="1"/>
    <row r="29507" ht="26.25" customHeight="1"/>
    <row r="29508" ht="26.25" customHeight="1"/>
    <row r="29509" ht="26.25" customHeight="1"/>
    <row r="29510" ht="26.25" customHeight="1"/>
    <row r="29511" ht="26.25" customHeight="1"/>
    <row r="29512" ht="26.25" customHeight="1"/>
    <row r="29513" ht="26.25" customHeight="1"/>
    <row r="29514" ht="26.25" customHeight="1"/>
    <row r="29515" ht="26.25" customHeight="1"/>
    <row r="29516" ht="26.25" customHeight="1"/>
    <row r="29517" ht="26.25" customHeight="1"/>
    <row r="29518" ht="26.25" customHeight="1"/>
    <row r="29519" ht="26.25" customHeight="1"/>
    <row r="29520" ht="26.25" customHeight="1"/>
    <row r="29521" ht="26.25" customHeight="1"/>
    <row r="29522" ht="26.25" customHeight="1"/>
    <row r="29523" ht="26.25" customHeight="1"/>
    <row r="29524" ht="26.25" customHeight="1"/>
    <row r="29525" ht="26.25" customHeight="1"/>
    <row r="29526" ht="26.25" customHeight="1"/>
    <row r="29527" ht="26.25" customHeight="1"/>
    <row r="29528" ht="26.25" customHeight="1"/>
    <row r="29529" ht="26.25" customHeight="1"/>
    <row r="29530" ht="26.25" customHeight="1"/>
    <row r="29531" ht="26.25" customHeight="1"/>
    <row r="29532" ht="26.25" customHeight="1"/>
    <row r="29533" ht="26.25" customHeight="1"/>
    <row r="29534" ht="26.25" customHeight="1"/>
    <row r="29535" ht="26.25" customHeight="1"/>
    <row r="29536" ht="26.25" customHeight="1"/>
    <row r="29537" ht="26.25" customHeight="1"/>
    <row r="29538" ht="26.25" customHeight="1"/>
    <row r="29539" ht="26.25" customHeight="1"/>
    <row r="29540" ht="26.25" customHeight="1"/>
    <row r="29541" ht="26.25" customHeight="1"/>
    <row r="29542" ht="26.25" customHeight="1"/>
    <row r="29543" ht="26.25" customHeight="1"/>
    <row r="29544" ht="26.25" customHeight="1"/>
    <row r="29545" ht="26.25" customHeight="1"/>
    <row r="29546" ht="26.25" customHeight="1"/>
    <row r="29547" ht="26.25" customHeight="1"/>
    <row r="29548" ht="26.25" customHeight="1"/>
    <row r="29549" ht="26.25" customHeight="1"/>
    <row r="29550" ht="26.25" customHeight="1"/>
    <row r="29551" ht="26.25" customHeight="1"/>
    <row r="29552" ht="26.25" customHeight="1"/>
    <row r="29553" ht="26.25" customHeight="1"/>
    <row r="29554" ht="26.25" customHeight="1"/>
    <row r="29555" ht="26.25" customHeight="1"/>
    <row r="29556" ht="26.25" customHeight="1"/>
    <row r="29557" ht="26.25" customHeight="1"/>
    <row r="29558" ht="26.25" customHeight="1"/>
    <row r="29559" ht="26.25" customHeight="1"/>
    <row r="29560" ht="26.25" customHeight="1"/>
    <row r="29561" ht="26.25" customHeight="1"/>
    <row r="29562" ht="26.25" customHeight="1"/>
    <row r="29563" ht="26.25" customHeight="1"/>
    <row r="29564" ht="26.25" customHeight="1"/>
    <row r="29565" ht="26.25" customHeight="1"/>
    <row r="29566" ht="26.25" customHeight="1"/>
    <row r="29567" ht="26.25" customHeight="1"/>
    <row r="29568" ht="26.25" customHeight="1"/>
    <row r="29569" ht="26.25" customHeight="1"/>
    <row r="29570" ht="26.25" customHeight="1"/>
    <row r="29571" ht="26.25" customHeight="1"/>
    <row r="29572" ht="26.25" customHeight="1"/>
    <row r="29573" ht="26.25" customHeight="1"/>
    <row r="29574" ht="26.25" customHeight="1"/>
    <row r="29575" ht="26.25" customHeight="1"/>
    <row r="29576" ht="26.25" customHeight="1"/>
    <row r="29577" ht="26.25" customHeight="1"/>
    <row r="29578" ht="26.25" customHeight="1"/>
    <row r="29579" ht="26.25" customHeight="1"/>
    <row r="29580" ht="26.25" customHeight="1"/>
    <row r="29581" ht="26.25" customHeight="1"/>
    <row r="29582" ht="26.25" customHeight="1"/>
    <row r="29583" ht="26.25" customHeight="1"/>
    <row r="29584" ht="26.25" customHeight="1"/>
    <row r="29585" ht="26.25" customHeight="1"/>
    <row r="29586" ht="26.25" customHeight="1"/>
    <row r="29587" ht="26.25" customHeight="1"/>
    <row r="29588" ht="26.25" customHeight="1"/>
    <row r="29589" ht="26.25" customHeight="1"/>
    <row r="29590" ht="26.25" customHeight="1"/>
    <row r="29591" ht="26.25" customHeight="1"/>
    <row r="29592" ht="26.25" customHeight="1"/>
    <row r="29593" ht="26.25" customHeight="1"/>
    <row r="29594" ht="26.25" customHeight="1"/>
    <row r="29595" ht="26.25" customHeight="1"/>
    <row r="29596" ht="26.25" customHeight="1"/>
    <row r="29597" ht="26.25" customHeight="1"/>
    <row r="29598" ht="26.25" customHeight="1"/>
    <row r="29599" ht="26.25" customHeight="1"/>
    <row r="29600" ht="26.25" customHeight="1"/>
    <row r="29601" ht="26.25" customHeight="1"/>
    <row r="29602" ht="26.25" customHeight="1"/>
    <row r="29603" ht="26.25" customHeight="1"/>
    <row r="29604" ht="26.25" customHeight="1"/>
    <row r="29605" ht="26.25" customHeight="1"/>
    <row r="29606" ht="26.25" customHeight="1"/>
    <row r="29607" ht="26.25" customHeight="1"/>
    <row r="29608" ht="26.25" customHeight="1"/>
    <row r="29609" ht="26.25" customHeight="1"/>
    <row r="29610" ht="26.25" customHeight="1"/>
    <row r="29611" ht="26.25" customHeight="1"/>
    <row r="29612" ht="26.25" customHeight="1"/>
    <row r="29613" ht="26.25" customHeight="1"/>
    <row r="29614" ht="26.25" customHeight="1"/>
    <row r="29615" ht="26.25" customHeight="1"/>
    <row r="29616" ht="26.25" customHeight="1"/>
    <row r="29617" ht="26.25" customHeight="1"/>
    <row r="29618" ht="26.25" customHeight="1"/>
    <row r="29619" ht="26.25" customHeight="1"/>
    <row r="29620" ht="26.25" customHeight="1"/>
    <row r="29621" ht="26.25" customHeight="1"/>
    <row r="29622" ht="26.25" customHeight="1"/>
    <row r="29623" ht="26.25" customHeight="1"/>
    <row r="29624" ht="26.25" customHeight="1"/>
    <row r="29625" ht="26.25" customHeight="1"/>
    <row r="29626" ht="26.25" customHeight="1"/>
    <row r="29627" ht="26.25" customHeight="1"/>
    <row r="29628" ht="26.25" customHeight="1"/>
    <row r="29629" ht="26.25" customHeight="1"/>
    <row r="29630" ht="26.25" customHeight="1"/>
    <row r="29631" ht="26.25" customHeight="1"/>
    <row r="29632" ht="26.25" customHeight="1"/>
    <row r="29633" ht="26.25" customHeight="1"/>
    <row r="29634" ht="26.25" customHeight="1"/>
    <row r="29635" ht="26.25" customHeight="1"/>
    <row r="29636" ht="26.25" customHeight="1"/>
    <row r="29637" ht="26.25" customHeight="1"/>
    <row r="29638" ht="26.25" customHeight="1"/>
    <row r="29639" ht="26.25" customHeight="1"/>
    <row r="29640" ht="26.25" customHeight="1"/>
    <row r="29641" ht="26.25" customHeight="1"/>
    <row r="29642" ht="26.25" customHeight="1"/>
    <row r="29643" ht="26.25" customHeight="1"/>
    <row r="29644" ht="26.25" customHeight="1"/>
    <row r="29645" ht="26.25" customHeight="1"/>
    <row r="29646" ht="26.25" customHeight="1"/>
    <row r="29647" ht="26.25" customHeight="1"/>
    <row r="29648" ht="26.25" customHeight="1"/>
    <row r="29649" ht="26.25" customHeight="1"/>
    <row r="29650" ht="26.25" customHeight="1"/>
    <row r="29651" ht="26.25" customHeight="1"/>
    <row r="29652" ht="26.25" customHeight="1"/>
    <row r="29653" ht="26.25" customHeight="1"/>
    <row r="29654" ht="26.25" customHeight="1"/>
    <row r="29655" ht="26.25" customHeight="1"/>
    <row r="29656" ht="26.25" customHeight="1"/>
    <row r="29657" ht="26.25" customHeight="1"/>
    <row r="29658" ht="26.25" customHeight="1"/>
    <row r="29659" ht="26.25" customHeight="1"/>
    <row r="29660" ht="26.25" customHeight="1"/>
    <row r="29661" ht="26.25" customHeight="1"/>
    <row r="29662" ht="26.25" customHeight="1"/>
    <row r="29663" ht="26.25" customHeight="1"/>
    <row r="29664" ht="26.25" customHeight="1"/>
    <row r="29665" ht="26.25" customHeight="1"/>
    <row r="29666" ht="26.25" customHeight="1"/>
    <row r="29667" ht="26.25" customHeight="1"/>
    <row r="29668" ht="26.25" customHeight="1"/>
    <row r="29669" ht="26.25" customHeight="1"/>
    <row r="29670" ht="26.25" customHeight="1"/>
    <row r="29671" ht="26.25" customHeight="1"/>
    <row r="29672" ht="26.25" customHeight="1"/>
    <row r="29673" ht="26.25" customHeight="1"/>
    <row r="29674" ht="26.25" customHeight="1"/>
    <row r="29675" ht="26.25" customHeight="1"/>
    <row r="29676" ht="26.25" customHeight="1"/>
    <row r="29677" ht="26.25" customHeight="1"/>
    <row r="29678" ht="26.25" customHeight="1"/>
    <row r="29679" ht="26.25" customHeight="1"/>
    <row r="29680" ht="26.25" customHeight="1"/>
    <row r="29681" ht="26.25" customHeight="1"/>
    <row r="29682" ht="26.25" customHeight="1"/>
    <row r="29683" ht="26.25" customHeight="1"/>
    <row r="29684" ht="26.25" customHeight="1"/>
    <row r="29685" ht="26.25" customHeight="1"/>
    <row r="29686" ht="26.25" customHeight="1"/>
    <row r="29687" ht="26.25" customHeight="1"/>
    <row r="29688" ht="26.25" customHeight="1"/>
    <row r="29689" ht="26.25" customHeight="1"/>
    <row r="29690" ht="26.25" customHeight="1"/>
    <row r="29691" ht="26.25" customHeight="1"/>
    <row r="29692" ht="26.25" customHeight="1"/>
    <row r="29693" ht="26.25" customHeight="1"/>
    <row r="29694" ht="26.25" customHeight="1"/>
    <row r="29695" ht="26.25" customHeight="1"/>
    <row r="29696" ht="26.25" customHeight="1"/>
    <row r="29697" ht="26.25" customHeight="1"/>
    <row r="29698" ht="26.25" customHeight="1"/>
    <row r="29699" ht="26.25" customHeight="1"/>
    <row r="29700" ht="26.25" customHeight="1"/>
    <row r="29701" ht="26.25" customHeight="1"/>
    <row r="29702" ht="26.25" customHeight="1"/>
    <row r="29703" ht="26.25" customHeight="1"/>
    <row r="29704" ht="26.25" customHeight="1"/>
    <row r="29705" ht="26.25" customHeight="1"/>
    <row r="29706" ht="26.25" customHeight="1"/>
    <row r="29707" ht="26.25" customHeight="1"/>
    <row r="29708" ht="26.25" customHeight="1"/>
    <row r="29709" ht="26.25" customHeight="1"/>
    <row r="29710" ht="26.25" customHeight="1"/>
    <row r="29711" ht="26.25" customHeight="1"/>
    <row r="29712" ht="26.25" customHeight="1"/>
    <row r="29713" ht="26.25" customHeight="1"/>
    <row r="29714" ht="26.25" customHeight="1"/>
    <row r="29715" ht="26.25" customHeight="1"/>
    <row r="29716" ht="26.25" customHeight="1"/>
    <row r="29717" ht="26.25" customHeight="1"/>
    <row r="29718" ht="26.25" customHeight="1"/>
    <row r="29719" ht="26.25" customHeight="1"/>
    <row r="29720" ht="26.25" customHeight="1"/>
    <row r="29721" ht="26.25" customHeight="1"/>
    <row r="29722" ht="26.25" customHeight="1"/>
    <row r="29723" ht="26.25" customHeight="1"/>
    <row r="29724" ht="26.25" customHeight="1"/>
    <row r="29725" ht="26.25" customHeight="1"/>
    <row r="29726" ht="26.25" customHeight="1"/>
    <row r="29727" ht="26.25" customHeight="1"/>
    <row r="29728" ht="26.25" customHeight="1"/>
    <row r="29729" ht="26.25" customHeight="1"/>
    <row r="29730" ht="26.25" customHeight="1"/>
    <row r="29731" ht="26.25" customHeight="1"/>
    <row r="29732" ht="26.25" customHeight="1"/>
    <row r="29733" ht="26.25" customHeight="1"/>
    <row r="29734" ht="26.25" customHeight="1"/>
    <row r="29735" ht="26.25" customHeight="1"/>
    <row r="29736" ht="26.25" customHeight="1"/>
    <row r="29737" ht="26.25" customHeight="1"/>
    <row r="29738" ht="26.25" customHeight="1"/>
    <row r="29739" ht="26.25" customHeight="1"/>
    <row r="29740" ht="26.25" customHeight="1"/>
    <row r="29741" ht="26.25" customHeight="1"/>
    <row r="29742" ht="26.25" customHeight="1"/>
    <row r="29743" ht="26.25" customHeight="1"/>
    <row r="29744" ht="26.25" customHeight="1"/>
    <row r="29745" ht="26.25" customHeight="1"/>
    <row r="29746" ht="26.25" customHeight="1"/>
    <row r="29747" ht="26.25" customHeight="1"/>
    <row r="29748" ht="26.25" customHeight="1"/>
    <row r="29749" ht="26.25" customHeight="1"/>
    <row r="29750" ht="26.25" customHeight="1"/>
    <row r="29751" ht="26.25" customHeight="1"/>
    <row r="29752" ht="26.25" customHeight="1"/>
    <row r="29753" ht="26.25" customHeight="1"/>
    <row r="29754" ht="26.25" customHeight="1"/>
    <row r="29755" ht="26.25" customHeight="1"/>
    <row r="29756" ht="26.25" customHeight="1"/>
    <row r="29757" ht="26.25" customHeight="1"/>
    <row r="29758" ht="26.25" customHeight="1"/>
    <row r="29759" ht="26.25" customHeight="1"/>
    <row r="29760" ht="26.25" customHeight="1"/>
    <row r="29761" ht="26.25" customHeight="1"/>
    <row r="29762" ht="26.25" customHeight="1"/>
    <row r="29763" ht="26.25" customHeight="1"/>
    <row r="29764" ht="26.25" customHeight="1"/>
    <row r="29765" ht="26.25" customHeight="1"/>
    <row r="29766" ht="26.25" customHeight="1"/>
    <row r="29767" ht="26.25" customHeight="1"/>
    <row r="29768" ht="26.25" customHeight="1"/>
    <row r="29769" ht="26.25" customHeight="1"/>
    <row r="29770" ht="26.25" customHeight="1"/>
    <row r="29771" ht="26.25" customHeight="1"/>
    <row r="29772" ht="26.25" customHeight="1"/>
    <row r="29773" ht="26.25" customHeight="1"/>
    <row r="29774" ht="26.25" customHeight="1"/>
    <row r="29775" ht="26.25" customHeight="1"/>
    <row r="29776" ht="26.25" customHeight="1"/>
    <row r="29777" ht="26.25" customHeight="1"/>
    <row r="29778" ht="26.25" customHeight="1"/>
    <row r="29779" ht="26.25" customHeight="1"/>
    <row r="29780" ht="26.25" customHeight="1"/>
    <row r="29781" ht="26.25" customHeight="1"/>
    <row r="29782" ht="26.25" customHeight="1"/>
    <row r="29783" ht="26.25" customHeight="1"/>
    <row r="29784" ht="26.25" customHeight="1"/>
    <row r="29785" ht="26.25" customHeight="1"/>
    <row r="29786" ht="26.25" customHeight="1"/>
    <row r="29787" ht="26.25" customHeight="1"/>
    <row r="29788" ht="26.25" customHeight="1"/>
    <row r="29789" ht="26.25" customHeight="1"/>
    <row r="29790" ht="26.25" customHeight="1"/>
    <row r="29791" ht="26.25" customHeight="1"/>
    <row r="29792" ht="26.25" customHeight="1"/>
    <row r="29793" ht="26.25" customHeight="1"/>
    <row r="29794" ht="26.25" customHeight="1"/>
    <row r="29795" ht="26.25" customHeight="1"/>
    <row r="29796" ht="26.25" customHeight="1"/>
    <row r="29797" ht="26.25" customHeight="1"/>
    <row r="29798" ht="26.25" customHeight="1"/>
    <row r="29799" ht="26.25" customHeight="1"/>
    <row r="29800" ht="26.25" customHeight="1"/>
    <row r="29801" ht="26.25" customHeight="1"/>
    <row r="29802" ht="26.25" customHeight="1"/>
    <row r="29803" ht="26.25" customHeight="1"/>
    <row r="29804" ht="26.25" customHeight="1"/>
    <row r="29805" ht="26.25" customHeight="1"/>
    <row r="29806" ht="26.25" customHeight="1"/>
    <row r="29807" ht="26.25" customHeight="1"/>
    <row r="29808" ht="26.25" customHeight="1"/>
    <row r="29809" ht="26.25" customHeight="1"/>
    <row r="29810" ht="26.25" customHeight="1"/>
    <row r="29811" ht="26.25" customHeight="1"/>
    <row r="29812" ht="26.25" customHeight="1"/>
    <row r="29813" ht="26.25" customHeight="1"/>
    <row r="29814" ht="26.25" customHeight="1"/>
    <row r="29815" ht="26.25" customHeight="1"/>
    <row r="29816" ht="26.25" customHeight="1"/>
    <row r="29817" ht="26.25" customHeight="1"/>
    <row r="29818" ht="26.25" customHeight="1"/>
    <row r="29819" ht="26.25" customHeight="1"/>
    <row r="29820" ht="26.25" customHeight="1"/>
    <row r="29821" ht="26.25" customHeight="1"/>
    <row r="29822" ht="26.25" customHeight="1"/>
    <row r="29823" ht="26.25" customHeight="1"/>
    <row r="29824" ht="26.25" customHeight="1"/>
    <row r="29825" ht="26.25" customHeight="1"/>
    <row r="29826" ht="26.25" customHeight="1"/>
    <row r="29827" ht="26.25" customHeight="1"/>
    <row r="29828" ht="26.25" customHeight="1"/>
    <row r="29829" ht="26.25" customHeight="1"/>
    <row r="29830" ht="26.25" customHeight="1"/>
    <row r="29831" ht="26.25" customHeight="1"/>
    <row r="29832" ht="26.25" customHeight="1"/>
    <row r="29833" ht="26.25" customHeight="1"/>
    <row r="29834" ht="26.25" customHeight="1"/>
    <row r="29835" ht="26.25" customHeight="1"/>
    <row r="29836" ht="26.25" customHeight="1"/>
    <row r="29837" ht="26.25" customHeight="1"/>
    <row r="29838" ht="26.25" customHeight="1"/>
    <row r="29839" ht="26.25" customHeight="1"/>
    <row r="29840" ht="26.25" customHeight="1"/>
    <row r="29841" ht="26.25" customHeight="1"/>
    <row r="29842" ht="26.25" customHeight="1"/>
    <row r="29843" ht="26.25" customHeight="1"/>
    <row r="29844" ht="26.25" customHeight="1"/>
    <row r="29845" ht="26.25" customHeight="1"/>
    <row r="29846" ht="26.25" customHeight="1"/>
    <row r="29847" ht="26.25" customHeight="1"/>
    <row r="29848" ht="26.25" customHeight="1"/>
    <row r="29849" ht="26.25" customHeight="1"/>
    <row r="29850" ht="26.25" customHeight="1"/>
    <row r="29851" ht="26.25" customHeight="1"/>
    <row r="29852" ht="26.25" customHeight="1"/>
    <row r="29853" ht="26.25" customHeight="1"/>
    <row r="29854" ht="26.25" customHeight="1"/>
    <row r="29855" ht="26.25" customHeight="1"/>
    <row r="29856" ht="26.25" customHeight="1"/>
    <row r="29857" ht="26.25" customHeight="1"/>
    <row r="29858" ht="26.25" customHeight="1"/>
    <row r="29859" ht="26.25" customHeight="1"/>
    <row r="29860" ht="26.25" customHeight="1"/>
    <row r="29861" ht="26.25" customHeight="1"/>
    <row r="29862" ht="26.25" customHeight="1"/>
    <row r="29863" ht="26.25" customHeight="1"/>
    <row r="29864" ht="26.25" customHeight="1"/>
    <row r="29865" ht="26.25" customHeight="1"/>
    <row r="29866" ht="26.25" customHeight="1"/>
    <row r="29867" ht="26.25" customHeight="1"/>
    <row r="29868" ht="26.25" customHeight="1"/>
    <row r="29869" ht="26.25" customHeight="1"/>
    <row r="29870" ht="26.25" customHeight="1"/>
    <row r="29871" ht="26.25" customHeight="1"/>
    <row r="29872" ht="26.25" customHeight="1"/>
    <row r="29873" ht="26.25" customHeight="1"/>
    <row r="29874" ht="26.25" customHeight="1"/>
    <row r="29875" ht="26.25" customHeight="1"/>
    <row r="29876" ht="26.25" customHeight="1"/>
    <row r="29877" ht="26.25" customHeight="1"/>
    <row r="29878" ht="26.25" customHeight="1"/>
    <row r="29879" ht="26.25" customHeight="1"/>
    <row r="29880" ht="26.25" customHeight="1"/>
    <row r="29881" ht="26.25" customHeight="1"/>
    <row r="29882" ht="26.25" customHeight="1"/>
    <row r="29883" ht="26.25" customHeight="1"/>
    <row r="29884" ht="26.25" customHeight="1"/>
    <row r="29885" ht="26.25" customHeight="1"/>
    <row r="29886" ht="26.25" customHeight="1"/>
    <row r="29887" ht="26.25" customHeight="1"/>
    <row r="29888" ht="26.25" customHeight="1"/>
    <row r="29889" ht="26.25" customHeight="1"/>
    <row r="29890" ht="26.25" customHeight="1"/>
    <row r="29891" ht="26.25" customHeight="1"/>
    <row r="29892" ht="26.25" customHeight="1"/>
    <row r="29893" ht="26.25" customHeight="1"/>
    <row r="29894" ht="26.25" customHeight="1"/>
    <row r="29895" ht="26.25" customHeight="1"/>
    <row r="29896" ht="26.25" customHeight="1"/>
    <row r="29897" ht="26.25" customHeight="1"/>
    <row r="29898" ht="26.25" customHeight="1"/>
    <row r="29899" ht="26.25" customHeight="1"/>
    <row r="29900" ht="26.25" customHeight="1"/>
    <row r="29901" ht="26.25" customHeight="1"/>
    <row r="29902" ht="26.25" customHeight="1"/>
    <row r="29903" ht="26.25" customHeight="1"/>
    <row r="29904" ht="26.25" customHeight="1"/>
    <row r="29905" ht="26.25" customHeight="1"/>
    <row r="29906" ht="26.25" customHeight="1"/>
    <row r="29907" ht="26.25" customHeight="1"/>
    <row r="29908" ht="26.25" customHeight="1"/>
    <row r="29909" ht="26.25" customHeight="1"/>
    <row r="29910" ht="26.25" customHeight="1"/>
    <row r="29911" ht="26.25" customHeight="1"/>
    <row r="29912" ht="26.25" customHeight="1"/>
    <row r="29913" ht="26.25" customHeight="1"/>
    <row r="29914" ht="26.25" customHeight="1"/>
    <row r="29915" ht="26.25" customHeight="1"/>
    <row r="29916" ht="26.25" customHeight="1"/>
    <row r="29917" ht="26.25" customHeight="1"/>
    <row r="29918" ht="26.25" customHeight="1"/>
    <row r="29919" ht="26.25" customHeight="1"/>
    <row r="29920" ht="26.25" customHeight="1"/>
    <row r="29921" ht="26.25" customHeight="1"/>
    <row r="29922" ht="26.25" customHeight="1"/>
    <row r="29923" ht="26.25" customHeight="1"/>
    <row r="29924" ht="26.25" customHeight="1"/>
    <row r="29925" ht="26.25" customHeight="1"/>
    <row r="29926" ht="26.25" customHeight="1"/>
    <row r="29927" ht="26.25" customHeight="1"/>
    <row r="29928" ht="26.25" customHeight="1"/>
    <row r="29929" ht="26.25" customHeight="1"/>
    <row r="29930" ht="26.25" customHeight="1"/>
    <row r="29931" ht="26.25" customHeight="1"/>
    <row r="29932" ht="26.25" customHeight="1"/>
    <row r="29933" ht="26.25" customHeight="1"/>
    <row r="29934" ht="26.25" customHeight="1"/>
    <row r="29935" ht="26.25" customHeight="1"/>
    <row r="29936" ht="26.25" customHeight="1"/>
    <row r="29937" ht="26.25" customHeight="1"/>
    <row r="29938" ht="26.25" customHeight="1"/>
    <row r="29939" ht="26.25" customHeight="1"/>
    <row r="29940" ht="26.25" customHeight="1"/>
    <row r="29941" ht="26.25" customHeight="1"/>
    <row r="29942" ht="26.25" customHeight="1"/>
    <row r="29943" ht="26.25" customHeight="1"/>
    <row r="29944" ht="26.25" customHeight="1"/>
    <row r="29945" ht="26.25" customHeight="1"/>
    <row r="29946" ht="26.25" customHeight="1"/>
    <row r="29947" ht="26.25" customHeight="1"/>
    <row r="29948" ht="26.25" customHeight="1"/>
    <row r="29949" ht="26.25" customHeight="1"/>
    <row r="29950" ht="26.25" customHeight="1"/>
    <row r="29951" ht="26.25" customHeight="1"/>
    <row r="29952" ht="26.25" customHeight="1"/>
    <row r="29953" ht="26.25" customHeight="1"/>
    <row r="29954" ht="26.25" customHeight="1"/>
    <row r="29955" ht="26.25" customHeight="1"/>
    <row r="29956" ht="26.25" customHeight="1"/>
    <row r="29957" ht="26.25" customHeight="1"/>
    <row r="29958" ht="26.25" customHeight="1"/>
    <row r="29959" ht="26.25" customHeight="1"/>
    <row r="29960" ht="26.25" customHeight="1"/>
    <row r="29961" ht="26.25" customHeight="1"/>
    <row r="29962" ht="26.25" customHeight="1"/>
    <row r="29963" ht="26.25" customHeight="1"/>
    <row r="29964" ht="26.25" customHeight="1"/>
    <row r="29965" ht="26.25" customHeight="1"/>
    <row r="29966" ht="26.25" customHeight="1"/>
    <row r="29967" ht="26.25" customHeight="1"/>
    <row r="29968" ht="26.25" customHeight="1"/>
    <row r="29969" ht="26.25" customHeight="1"/>
    <row r="29970" ht="26.25" customHeight="1"/>
    <row r="29971" ht="26.25" customHeight="1"/>
    <row r="29972" ht="26.25" customHeight="1"/>
    <row r="29973" ht="26.25" customHeight="1"/>
    <row r="29974" ht="26.25" customHeight="1"/>
    <row r="29975" ht="26.25" customHeight="1"/>
    <row r="29976" ht="26.25" customHeight="1"/>
    <row r="29977" ht="26.25" customHeight="1"/>
    <row r="29978" ht="26.25" customHeight="1"/>
    <row r="29979" ht="26.25" customHeight="1"/>
    <row r="29980" ht="26.25" customHeight="1"/>
    <row r="29981" ht="26.25" customHeight="1"/>
    <row r="29982" ht="26.25" customHeight="1"/>
    <row r="29983" ht="26.25" customHeight="1"/>
    <row r="29984" ht="26.25" customHeight="1"/>
    <row r="29985" ht="26.25" customHeight="1"/>
    <row r="29986" ht="26.25" customHeight="1"/>
    <row r="29987" ht="26.25" customHeight="1"/>
    <row r="29988" ht="26.25" customHeight="1"/>
    <row r="29989" ht="26.25" customHeight="1"/>
    <row r="29990" ht="26.25" customHeight="1"/>
    <row r="29991" ht="26.25" customHeight="1"/>
    <row r="29992" ht="26.25" customHeight="1"/>
    <row r="29993" ht="26.25" customHeight="1"/>
    <row r="29994" ht="26.25" customHeight="1"/>
    <row r="29995" ht="26.25" customHeight="1"/>
    <row r="29996" ht="26.25" customHeight="1"/>
    <row r="29997" ht="26.25" customHeight="1"/>
    <row r="29998" ht="26.25" customHeight="1"/>
    <row r="29999" ht="26.25" customHeight="1"/>
    <row r="30000" ht="26.25" customHeight="1"/>
    <row r="30001" ht="26.25" customHeight="1"/>
    <row r="30002" ht="26.25" customHeight="1"/>
    <row r="30003" ht="26.25" customHeight="1"/>
    <row r="30004" ht="26.25" customHeight="1"/>
    <row r="30005" ht="26.25" customHeight="1"/>
    <row r="30006" ht="26.25" customHeight="1"/>
    <row r="30007" ht="26.25" customHeight="1"/>
    <row r="30008" ht="26.25" customHeight="1"/>
    <row r="30009" ht="26.25" customHeight="1"/>
    <row r="30010" ht="26.25" customHeight="1"/>
    <row r="30011" ht="26.25" customHeight="1"/>
    <row r="30012" ht="26.25" customHeight="1"/>
    <row r="30013" ht="26.25" customHeight="1"/>
    <row r="30014" ht="26.25" customHeight="1"/>
    <row r="30015" ht="26.25" customHeight="1"/>
    <row r="30016" ht="26.25" customHeight="1"/>
    <row r="30017" ht="26.25" customHeight="1"/>
    <row r="30018" ht="26.25" customHeight="1"/>
    <row r="30019" ht="26.25" customHeight="1"/>
    <row r="30020" ht="26.25" customHeight="1"/>
    <row r="30021" ht="26.25" customHeight="1"/>
    <row r="30022" ht="26.25" customHeight="1"/>
    <row r="30023" ht="26.25" customHeight="1"/>
    <row r="30024" ht="26.25" customHeight="1"/>
    <row r="30025" ht="26.25" customHeight="1"/>
    <row r="30026" ht="26.25" customHeight="1"/>
    <row r="30027" ht="26.25" customHeight="1"/>
    <row r="30028" ht="26.25" customHeight="1"/>
    <row r="30029" ht="26.25" customHeight="1"/>
    <row r="30030" ht="26.25" customHeight="1"/>
    <row r="30031" ht="26.25" customHeight="1"/>
    <row r="30032" ht="26.25" customHeight="1"/>
    <row r="30033" ht="26.25" customHeight="1"/>
    <row r="30034" ht="26.25" customHeight="1"/>
    <row r="30035" ht="26.25" customHeight="1"/>
    <row r="30036" ht="26.25" customHeight="1"/>
    <row r="30037" ht="26.25" customHeight="1"/>
    <row r="30038" ht="26.25" customHeight="1"/>
    <row r="30039" ht="26.25" customHeight="1"/>
    <row r="30040" ht="26.25" customHeight="1"/>
    <row r="30041" ht="26.25" customHeight="1"/>
    <row r="30042" ht="26.25" customHeight="1"/>
    <row r="30043" ht="26.25" customHeight="1"/>
    <row r="30044" ht="26.25" customHeight="1"/>
    <row r="30045" ht="26.25" customHeight="1"/>
    <row r="30046" ht="26.25" customHeight="1"/>
    <row r="30047" ht="26.25" customHeight="1"/>
    <row r="30048" ht="26.25" customHeight="1"/>
    <row r="30049" ht="26.25" customHeight="1"/>
    <row r="30050" ht="26.25" customHeight="1"/>
    <row r="30051" ht="26.25" customHeight="1"/>
    <row r="30052" ht="26.25" customHeight="1"/>
    <row r="30053" ht="26.25" customHeight="1"/>
    <row r="30054" ht="26.25" customHeight="1"/>
    <row r="30055" ht="26.25" customHeight="1"/>
    <row r="30056" ht="26.25" customHeight="1"/>
    <row r="30057" ht="26.25" customHeight="1"/>
    <row r="30058" ht="26.25" customHeight="1"/>
    <row r="30059" ht="26.25" customHeight="1"/>
    <row r="30060" ht="26.25" customHeight="1"/>
    <row r="30061" ht="26.25" customHeight="1"/>
    <row r="30062" ht="26.25" customHeight="1"/>
    <row r="30063" ht="26.25" customHeight="1"/>
    <row r="30064" ht="26.25" customHeight="1"/>
    <row r="30065" ht="26.25" customHeight="1"/>
    <row r="30066" ht="26.25" customHeight="1"/>
    <row r="30067" ht="26.25" customHeight="1"/>
    <row r="30068" ht="26.25" customHeight="1"/>
    <row r="30069" ht="26.25" customHeight="1"/>
    <row r="30070" ht="26.25" customHeight="1"/>
    <row r="30071" ht="26.25" customHeight="1"/>
    <row r="30072" ht="26.25" customHeight="1"/>
    <row r="30073" ht="26.25" customHeight="1"/>
    <row r="30074" ht="26.25" customHeight="1"/>
    <row r="30075" ht="26.25" customHeight="1"/>
    <row r="30076" ht="26.25" customHeight="1"/>
    <row r="30077" ht="26.25" customHeight="1"/>
    <row r="30078" ht="26.25" customHeight="1"/>
    <row r="30079" ht="26.25" customHeight="1"/>
    <row r="30080" ht="26.25" customHeight="1"/>
    <row r="30081" ht="26.25" customHeight="1"/>
    <row r="30082" ht="26.25" customHeight="1"/>
    <row r="30083" ht="26.25" customHeight="1"/>
    <row r="30084" ht="26.25" customHeight="1"/>
    <row r="30085" ht="26.25" customHeight="1"/>
    <row r="30086" ht="26.25" customHeight="1"/>
    <row r="30087" ht="26.25" customHeight="1"/>
    <row r="30088" ht="26.25" customHeight="1"/>
    <row r="30089" ht="26.25" customHeight="1"/>
    <row r="30090" ht="26.25" customHeight="1"/>
    <row r="30091" ht="26.25" customHeight="1"/>
    <row r="30092" ht="26.25" customHeight="1"/>
    <row r="30093" ht="26.25" customHeight="1"/>
    <row r="30094" ht="26.25" customHeight="1"/>
    <row r="30095" ht="26.25" customHeight="1"/>
    <row r="30096" ht="26.25" customHeight="1"/>
    <row r="30097" ht="26.25" customHeight="1"/>
    <row r="30098" ht="26.25" customHeight="1"/>
    <row r="30099" ht="26.25" customHeight="1"/>
    <row r="30100" ht="26.25" customHeight="1"/>
    <row r="30101" ht="26.25" customHeight="1"/>
    <row r="30102" ht="26.25" customHeight="1"/>
    <row r="30103" ht="26.25" customHeight="1"/>
    <row r="30104" ht="26.25" customHeight="1"/>
    <row r="30105" ht="26.25" customHeight="1"/>
    <row r="30106" ht="26.25" customHeight="1"/>
    <row r="30107" ht="26.25" customHeight="1"/>
    <row r="30108" ht="26.25" customHeight="1"/>
    <row r="30109" ht="26.25" customHeight="1"/>
    <row r="30110" ht="26.25" customHeight="1"/>
    <row r="30111" ht="26.25" customHeight="1"/>
    <row r="30112" ht="26.25" customHeight="1"/>
    <row r="30113" ht="26.25" customHeight="1"/>
    <row r="30114" ht="26.25" customHeight="1"/>
    <row r="30115" ht="26.25" customHeight="1"/>
    <row r="30116" ht="26.25" customHeight="1"/>
    <row r="30117" ht="26.25" customHeight="1"/>
    <row r="30118" ht="26.25" customHeight="1"/>
    <row r="30119" ht="26.25" customHeight="1"/>
    <row r="30120" ht="26.25" customHeight="1"/>
    <row r="30121" ht="26.25" customHeight="1"/>
    <row r="30122" ht="26.25" customHeight="1"/>
    <row r="30123" ht="26.25" customHeight="1"/>
    <row r="30124" ht="26.25" customHeight="1"/>
    <row r="30125" ht="26.25" customHeight="1"/>
    <row r="30126" ht="26.25" customHeight="1"/>
    <row r="30127" ht="26.25" customHeight="1"/>
    <row r="30128" ht="26.25" customHeight="1"/>
    <row r="30129" ht="26.25" customHeight="1"/>
    <row r="30130" ht="26.25" customHeight="1"/>
    <row r="30131" ht="26.25" customHeight="1"/>
    <row r="30132" ht="26.25" customHeight="1"/>
    <row r="30133" ht="26.25" customHeight="1"/>
    <row r="30134" ht="26.25" customHeight="1"/>
    <row r="30135" ht="26.25" customHeight="1"/>
    <row r="30136" ht="26.25" customHeight="1"/>
    <row r="30137" ht="26.25" customHeight="1"/>
    <row r="30138" ht="26.25" customHeight="1"/>
    <row r="30139" ht="26.25" customHeight="1"/>
    <row r="30140" ht="26.25" customHeight="1"/>
    <row r="30141" ht="26.25" customHeight="1"/>
    <row r="30142" ht="26.25" customHeight="1"/>
    <row r="30143" ht="26.25" customHeight="1"/>
    <row r="30144" ht="26.25" customHeight="1"/>
    <row r="30145" ht="26.25" customHeight="1"/>
    <row r="30146" ht="26.25" customHeight="1"/>
    <row r="30147" ht="26.25" customHeight="1"/>
    <row r="30148" ht="26.25" customHeight="1"/>
    <row r="30149" ht="26.25" customHeight="1"/>
    <row r="30150" ht="26.25" customHeight="1"/>
    <row r="30151" ht="26.25" customHeight="1"/>
    <row r="30152" ht="26.25" customHeight="1"/>
    <row r="30153" ht="26.25" customHeight="1"/>
    <row r="30154" ht="26.25" customHeight="1"/>
    <row r="30155" ht="26.25" customHeight="1"/>
    <row r="30156" ht="26.25" customHeight="1"/>
    <row r="30157" ht="26.25" customHeight="1"/>
    <row r="30158" ht="26.25" customHeight="1"/>
    <row r="30159" ht="26.25" customHeight="1"/>
    <row r="30160" ht="26.25" customHeight="1"/>
    <row r="30161" ht="26.25" customHeight="1"/>
    <row r="30162" ht="26.25" customHeight="1"/>
    <row r="30163" ht="26.25" customHeight="1"/>
    <row r="30164" ht="26.25" customHeight="1"/>
    <row r="30165" ht="26.25" customHeight="1"/>
    <row r="30166" ht="26.25" customHeight="1"/>
    <row r="30167" ht="26.25" customHeight="1"/>
    <row r="30168" ht="26.25" customHeight="1"/>
    <row r="30169" ht="26.25" customHeight="1"/>
    <row r="30170" ht="26.25" customHeight="1"/>
    <row r="30171" ht="26.25" customHeight="1"/>
    <row r="30172" ht="26.25" customHeight="1"/>
    <row r="30173" ht="26.25" customHeight="1"/>
    <row r="30174" ht="26.25" customHeight="1"/>
    <row r="30175" ht="26.25" customHeight="1"/>
    <row r="30176" ht="26.25" customHeight="1"/>
    <row r="30177" ht="26.25" customHeight="1"/>
    <row r="30178" ht="26.25" customHeight="1"/>
    <row r="30179" ht="26.25" customHeight="1"/>
    <row r="30180" ht="26.25" customHeight="1"/>
    <row r="30181" ht="26.25" customHeight="1"/>
    <row r="30182" ht="26.25" customHeight="1"/>
    <row r="30183" ht="26.25" customHeight="1"/>
    <row r="30184" ht="26.25" customHeight="1"/>
    <row r="30185" ht="26.25" customHeight="1"/>
    <row r="30186" ht="26.25" customHeight="1"/>
    <row r="30187" ht="26.25" customHeight="1"/>
    <row r="30188" ht="26.25" customHeight="1"/>
    <row r="30189" ht="26.25" customHeight="1"/>
    <row r="30190" ht="26.25" customHeight="1"/>
    <row r="30191" ht="26.25" customHeight="1"/>
    <row r="30192" ht="26.25" customHeight="1"/>
    <row r="30193" ht="26.25" customHeight="1"/>
    <row r="30194" ht="26.25" customHeight="1"/>
    <row r="30195" ht="26.25" customHeight="1"/>
    <row r="30196" ht="26.25" customHeight="1"/>
    <row r="30197" ht="26.25" customHeight="1"/>
    <row r="30198" ht="26.25" customHeight="1"/>
    <row r="30199" ht="26.25" customHeight="1"/>
    <row r="30200" ht="26.25" customHeight="1"/>
    <row r="30201" ht="26.25" customHeight="1"/>
    <row r="30202" ht="26.25" customHeight="1"/>
    <row r="30203" ht="26.25" customHeight="1"/>
    <row r="30204" ht="26.25" customHeight="1"/>
    <row r="30205" ht="26.25" customHeight="1"/>
    <row r="30206" ht="26.25" customHeight="1"/>
    <row r="30207" ht="26.25" customHeight="1"/>
    <row r="30208" ht="26.25" customHeight="1"/>
    <row r="30209" ht="26.25" customHeight="1"/>
    <row r="30210" ht="26.25" customHeight="1"/>
    <row r="30211" ht="26.25" customHeight="1"/>
    <row r="30212" ht="26.25" customHeight="1"/>
    <row r="30213" ht="26.25" customHeight="1"/>
    <row r="30214" ht="26.25" customHeight="1"/>
    <row r="30215" ht="26.25" customHeight="1"/>
    <row r="30216" ht="26.25" customHeight="1"/>
    <row r="30217" ht="26.25" customHeight="1"/>
    <row r="30218" ht="26.25" customHeight="1"/>
    <row r="30219" ht="26.25" customHeight="1"/>
    <row r="30220" ht="26.25" customHeight="1"/>
    <row r="30221" ht="26.25" customHeight="1"/>
    <row r="30222" ht="26.25" customHeight="1"/>
    <row r="30223" ht="26.25" customHeight="1"/>
    <row r="30224" ht="26.25" customHeight="1"/>
    <row r="30225" ht="26.25" customHeight="1"/>
    <row r="30226" ht="26.25" customHeight="1"/>
    <row r="30227" ht="26.25" customHeight="1"/>
    <row r="30228" ht="26.25" customHeight="1"/>
    <row r="30229" ht="26.25" customHeight="1"/>
    <row r="30230" ht="26.25" customHeight="1"/>
    <row r="30231" ht="26.25" customHeight="1"/>
    <row r="30232" ht="26.25" customHeight="1"/>
    <row r="30233" ht="26.25" customHeight="1"/>
    <row r="30234" ht="26.25" customHeight="1"/>
    <row r="30235" ht="26.25" customHeight="1"/>
    <row r="30236" ht="26.25" customHeight="1"/>
    <row r="30237" ht="26.25" customHeight="1"/>
    <row r="30238" ht="26.25" customHeight="1"/>
    <row r="30239" ht="26.25" customHeight="1"/>
    <row r="30240" ht="26.25" customHeight="1"/>
    <row r="30241" ht="26.25" customHeight="1"/>
    <row r="30242" ht="26.25" customHeight="1"/>
    <row r="30243" ht="26.25" customHeight="1"/>
    <row r="30244" ht="26.25" customHeight="1"/>
    <row r="30245" ht="26.25" customHeight="1"/>
    <row r="30246" ht="26.25" customHeight="1"/>
    <row r="30247" ht="26.25" customHeight="1"/>
    <row r="30248" ht="26.25" customHeight="1"/>
    <row r="30249" ht="26.25" customHeight="1"/>
    <row r="30250" ht="26.25" customHeight="1"/>
    <row r="30251" ht="26.25" customHeight="1"/>
    <row r="30252" ht="26.25" customHeight="1"/>
    <row r="30253" ht="26.25" customHeight="1"/>
    <row r="30254" ht="26.25" customHeight="1"/>
    <row r="30255" ht="26.25" customHeight="1"/>
    <row r="30256" ht="26.25" customHeight="1"/>
    <row r="30257" ht="26.25" customHeight="1"/>
    <row r="30258" ht="26.25" customHeight="1"/>
    <row r="30259" ht="26.25" customHeight="1"/>
    <row r="30260" ht="26.25" customHeight="1"/>
    <row r="30261" ht="26.25" customHeight="1"/>
    <row r="30262" ht="26.25" customHeight="1"/>
    <row r="30263" ht="26.25" customHeight="1"/>
    <row r="30264" ht="26.25" customHeight="1"/>
    <row r="30265" ht="26.25" customHeight="1"/>
    <row r="30266" ht="26.25" customHeight="1"/>
    <row r="30267" ht="26.25" customHeight="1"/>
    <row r="30268" ht="26.25" customHeight="1"/>
    <row r="30269" ht="26.25" customHeight="1"/>
    <row r="30270" ht="26.25" customHeight="1"/>
    <row r="30271" ht="26.25" customHeight="1"/>
    <row r="30272" ht="26.25" customHeight="1"/>
    <row r="30273" ht="26.25" customHeight="1"/>
    <row r="30274" ht="26.25" customHeight="1"/>
    <row r="30275" ht="26.25" customHeight="1"/>
    <row r="30276" ht="26.25" customHeight="1"/>
    <row r="30277" ht="26.25" customHeight="1"/>
    <row r="30278" ht="26.25" customHeight="1"/>
    <row r="30279" ht="26.25" customHeight="1"/>
    <row r="30280" ht="26.25" customHeight="1"/>
    <row r="30281" ht="26.25" customHeight="1"/>
    <row r="30282" ht="26.25" customHeight="1"/>
    <row r="30283" ht="26.25" customHeight="1"/>
    <row r="30284" ht="26.25" customHeight="1"/>
    <row r="30285" ht="26.25" customHeight="1"/>
    <row r="30286" ht="26.25" customHeight="1"/>
    <row r="30287" ht="26.25" customHeight="1"/>
    <row r="30288" ht="26.25" customHeight="1"/>
    <row r="30289" ht="26.25" customHeight="1"/>
    <row r="30290" ht="26.25" customHeight="1"/>
    <row r="30291" ht="26.25" customHeight="1"/>
    <row r="30292" ht="26.25" customHeight="1"/>
    <row r="30293" ht="26.25" customHeight="1"/>
    <row r="30294" ht="26.25" customHeight="1"/>
    <row r="30295" ht="26.25" customHeight="1"/>
    <row r="30296" ht="26.25" customHeight="1"/>
    <row r="30297" ht="26.25" customHeight="1"/>
    <row r="30298" ht="26.25" customHeight="1"/>
    <row r="30299" ht="26.25" customHeight="1"/>
    <row r="30300" ht="26.25" customHeight="1"/>
    <row r="30301" ht="26.25" customHeight="1"/>
    <row r="30302" ht="26.25" customHeight="1"/>
    <row r="30303" ht="26.25" customHeight="1"/>
    <row r="30304" ht="26.25" customHeight="1"/>
    <row r="30305" ht="26.25" customHeight="1"/>
    <row r="30306" ht="26.25" customHeight="1"/>
    <row r="30307" ht="26.25" customHeight="1"/>
    <row r="30308" ht="26.25" customHeight="1"/>
    <row r="30309" ht="26.25" customHeight="1"/>
    <row r="30310" ht="26.25" customHeight="1"/>
    <row r="30311" ht="26.25" customHeight="1"/>
    <row r="30312" ht="26.25" customHeight="1"/>
    <row r="30313" ht="26.25" customHeight="1"/>
    <row r="30314" ht="26.25" customHeight="1"/>
    <row r="30315" ht="26.25" customHeight="1"/>
    <row r="30316" ht="26.25" customHeight="1"/>
    <row r="30317" ht="26.25" customHeight="1"/>
    <row r="30318" ht="26.25" customHeight="1"/>
    <row r="30319" ht="26.25" customHeight="1"/>
    <row r="30320" ht="26.25" customHeight="1"/>
    <row r="30321" ht="26.25" customHeight="1"/>
    <row r="30322" ht="26.25" customHeight="1"/>
    <row r="30323" ht="26.25" customHeight="1"/>
    <row r="30324" ht="26.25" customHeight="1"/>
    <row r="30325" ht="26.25" customHeight="1"/>
    <row r="30326" ht="26.25" customHeight="1"/>
    <row r="30327" ht="26.25" customHeight="1"/>
    <row r="30328" ht="26.25" customHeight="1"/>
    <row r="30329" ht="26.25" customHeight="1"/>
    <row r="30330" ht="26.25" customHeight="1"/>
    <row r="30331" ht="26.25" customHeight="1"/>
    <row r="30332" ht="26.25" customHeight="1"/>
    <row r="30333" ht="26.25" customHeight="1"/>
    <row r="30334" ht="26.25" customHeight="1"/>
    <row r="30335" ht="26.25" customHeight="1"/>
    <row r="30336" ht="26.25" customHeight="1"/>
    <row r="30337" ht="26.25" customHeight="1"/>
    <row r="30338" ht="26.25" customHeight="1"/>
    <row r="30339" ht="26.25" customHeight="1"/>
    <row r="30340" ht="26.25" customHeight="1"/>
    <row r="30341" ht="26.25" customHeight="1"/>
    <row r="30342" ht="26.25" customHeight="1"/>
    <row r="30343" ht="26.25" customHeight="1"/>
    <row r="30344" ht="26.25" customHeight="1"/>
    <row r="30345" ht="26.25" customHeight="1"/>
    <row r="30346" ht="26.25" customHeight="1"/>
    <row r="30347" ht="26.25" customHeight="1"/>
    <row r="30348" ht="26.25" customHeight="1"/>
    <row r="30349" ht="26.25" customHeight="1"/>
    <row r="30350" ht="26.25" customHeight="1"/>
    <row r="30351" ht="26.25" customHeight="1"/>
    <row r="30352" ht="26.25" customHeight="1"/>
    <row r="30353" ht="26.25" customHeight="1"/>
    <row r="30354" ht="26.25" customHeight="1"/>
    <row r="30355" ht="26.25" customHeight="1"/>
    <row r="30356" ht="26.25" customHeight="1"/>
    <row r="30357" ht="26.25" customHeight="1"/>
    <row r="30358" ht="26.25" customHeight="1"/>
    <row r="30359" ht="26.25" customHeight="1"/>
    <row r="30360" ht="26.25" customHeight="1"/>
    <row r="30361" ht="26.25" customHeight="1"/>
    <row r="30362" ht="26.25" customHeight="1"/>
    <row r="30363" ht="26.25" customHeight="1"/>
    <row r="30364" ht="26.25" customHeight="1"/>
    <row r="30365" ht="26.25" customHeight="1"/>
    <row r="30366" ht="26.25" customHeight="1"/>
    <row r="30367" ht="26.25" customHeight="1"/>
    <row r="30368" ht="26.25" customHeight="1"/>
    <row r="30369" ht="26.25" customHeight="1"/>
    <row r="30370" ht="26.25" customHeight="1"/>
    <row r="30371" ht="26.25" customHeight="1"/>
    <row r="30372" ht="26.25" customHeight="1"/>
    <row r="30373" ht="26.25" customHeight="1"/>
    <row r="30374" ht="26.25" customHeight="1"/>
    <row r="30375" ht="26.25" customHeight="1"/>
    <row r="30376" ht="26.25" customHeight="1"/>
    <row r="30377" ht="26.25" customHeight="1"/>
    <row r="30378" ht="26.25" customHeight="1"/>
    <row r="30379" ht="26.25" customHeight="1"/>
    <row r="30380" ht="26.25" customHeight="1"/>
    <row r="30381" ht="26.25" customHeight="1"/>
    <row r="30382" ht="26.25" customHeight="1"/>
    <row r="30383" ht="26.25" customHeight="1"/>
    <row r="30384" ht="26.25" customHeight="1"/>
    <row r="30385" ht="26.25" customHeight="1"/>
    <row r="30386" ht="26.25" customHeight="1"/>
    <row r="30387" ht="26.25" customHeight="1"/>
    <row r="30388" ht="26.25" customHeight="1"/>
    <row r="30389" ht="26.25" customHeight="1"/>
    <row r="30390" ht="26.25" customHeight="1"/>
    <row r="30391" ht="26.25" customHeight="1"/>
    <row r="30392" ht="26.25" customHeight="1"/>
    <row r="30393" ht="26.25" customHeight="1"/>
    <row r="30394" ht="26.25" customHeight="1"/>
    <row r="30395" ht="26.25" customHeight="1"/>
    <row r="30396" ht="26.25" customHeight="1"/>
    <row r="30397" ht="26.25" customHeight="1"/>
    <row r="30398" ht="26.25" customHeight="1"/>
    <row r="30399" ht="26.25" customHeight="1"/>
    <row r="30400" ht="26.25" customHeight="1"/>
    <row r="30401" ht="26.25" customHeight="1"/>
    <row r="30402" ht="26.25" customHeight="1"/>
    <row r="30403" ht="26.25" customHeight="1"/>
    <row r="30404" ht="26.25" customHeight="1"/>
    <row r="30405" ht="26.25" customHeight="1"/>
    <row r="30406" ht="26.25" customHeight="1"/>
    <row r="30407" ht="26.25" customHeight="1"/>
    <row r="30408" ht="26.25" customHeight="1"/>
    <row r="30409" ht="26.25" customHeight="1"/>
    <row r="30410" ht="26.25" customHeight="1"/>
    <row r="30411" ht="26.25" customHeight="1"/>
    <row r="30412" ht="26.25" customHeight="1"/>
    <row r="30413" ht="26.25" customHeight="1"/>
    <row r="30414" ht="26.25" customHeight="1"/>
    <row r="30415" ht="26.25" customHeight="1"/>
    <row r="30416" ht="26.25" customHeight="1"/>
    <row r="30417" ht="26.25" customHeight="1"/>
    <row r="30418" ht="26.25" customHeight="1"/>
    <row r="30419" ht="26.25" customHeight="1"/>
    <row r="30420" ht="26.25" customHeight="1"/>
    <row r="30421" ht="26.25" customHeight="1"/>
    <row r="30422" ht="26.25" customHeight="1"/>
    <row r="30423" ht="26.25" customHeight="1"/>
    <row r="30424" ht="26.25" customHeight="1"/>
    <row r="30425" ht="26.25" customHeight="1"/>
    <row r="30426" ht="26.25" customHeight="1"/>
    <row r="30427" ht="26.25" customHeight="1"/>
    <row r="30428" ht="26.25" customHeight="1"/>
    <row r="30429" ht="26.25" customHeight="1"/>
    <row r="30430" ht="26.25" customHeight="1"/>
    <row r="30431" ht="26.25" customHeight="1"/>
    <row r="30432" ht="26.25" customHeight="1"/>
    <row r="30433" ht="26.25" customHeight="1"/>
    <row r="30434" ht="26.25" customHeight="1"/>
    <row r="30435" ht="26.25" customHeight="1"/>
    <row r="30436" ht="26.25" customHeight="1"/>
    <row r="30437" ht="26.25" customHeight="1"/>
    <row r="30438" ht="26.25" customHeight="1"/>
    <row r="30439" ht="26.25" customHeight="1"/>
    <row r="30440" ht="26.25" customHeight="1"/>
    <row r="30441" ht="26.25" customHeight="1"/>
    <row r="30442" ht="26.25" customHeight="1"/>
    <row r="30443" ht="26.25" customHeight="1"/>
    <row r="30444" ht="26.25" customHeight="1"/>
    <row r="30445" ht="26.25" customHeight="1"/>
    <row r="30446" ht="26.25" customHeight="1"/>
    <row r="30447" ht="26.25" customHeight="1"/>
    <row r="30448" ht="26.25" customHeight="1"/>
    <row r="30449" ht="26.25" customHeight="1"/>
    <row r="30450" ht="26.25" customHeight="1"/>
    <row r="30451" ht="26.25" customHeight="1"/>
    <row r="30452" ht="26.25" customHeight="1"/>
    <row r="30453" ht="26.25" customHeight="1"/>
    <row r="30454" ht="26.25" customHeight="1"/>
    <row r="30455" ht="26.25" customHeight="1"/>
    <row r="30456" ht="26.25" customHeight="1"/>
    <row r="30457" ht="26.25" customHeight="1"/>
    <row r="30458" ht="26.25" customHeight="1"/>
    <row r="30459" ht="26.25" customHeight="1"/>
    <row r="30460" ht="26.25" customHeight="1"/>
    <row r="30461" ht="26.25" customHeight="1"/>
    <row r="30462" ht="26.25" customHeight="1"/>
    <row r="30463" ht="26.25" customHeight="1"/>
    <row r="30464" ht="26.25" customHeight="1"/>
    <row r="30465" ht="26.25" customHeight="1"/>
    <row r="30466" ht="26.25" customHeight="1"/>
    <row r="30467" ht="26.25" customHeight="1"/>
    <row r="30468" ht="26.25" customHeight="1"/>
    <row r="30469" ht="26.25" customHeight="1"/>
    <row r="30470" ht="26.25" customHeight="1"/>
    <row r="30471" ht="26.25" customHeight="1"/>
    <row r="30472" ht="26.25" customHeight="1"/>
    <row r="30473" ht="26.25" customHeight="1"/>
    <row r="30474" ht="26.25" customHeight="1"/>
    <row r="30475" ht="26.25" customHeight="1"/>
    <row r="30476" ht="26.25" customHeight="1"/>
    <row r="30477" ht="26.25" customHeight="1"/>
    <row r="30478" ht="26.25" customHeight="1"/>
    <row r="30479" ht="26.25" customHeight="1"/>
    <row r="30480" ht="26.25" customHeight="1"/>
    <row r="30481" ht="26.25" customHeight="1"/>
    <row r="30482" ht="26.25" customHeight="1"/>
    <row r="30483" ht="26.25" customHeight="1"/>
    <row r="30484" ht="26.25" customHeight="1"/>
    <row r="30485" ht="26.25" customHeight="1"/>
    <row r="30486" ht="26.25" customHeight="1"/>
    <row r="30487" ht="26.25" customHeight="1"/>
    <row r="30488" ht="26.25" customHeight="1"/>
    <row r="30489" ht="26.25" customHeight="1"/>
    <row r="30490" ht="26.25" customHeight="1"/>
    <row r="30491" ht="26.25" customHeight="1"/>
    <row r="30492" ht="26.25" customHeight="1"/>
    <row r="30493" ht="26.25" customHeight="1"/>
    <row r="30494" ht="26.25" customHeight="1"/>
    <row r="30495" ht="26.25" customHeight="1"/>
    <row r="30496" ht="26.25" customHeight="1"/>
    <row r="30497" ht="26.25" customHeight="1"/>
    <row r="30498" ht="26.25" customHeight="1"/>
    <row r="30499" ht="26.25" customHeight="1"/>
    <row r="30500" ht="26.25" customHeight="1"/>
    <row r="30501" ht="26.25" customHeight="1"/>
    <row r="30502" ht="26.25" customHeight="1"/>
    <row r="30503" ht="26.25" customHeight="1"/>
    <row r="30504" ht="26.25" customHeight="1"/>
    <row r="30505" ht="26.25" customHeight="1"/>
    <row r="30506" ht="26.25" customHeight="1"/>
    <row r="30507" ht="26.25" customHeight="1"/>
    <row r="30508" ht="26.25" customHeight="1"/>
    <row r="30509" ht="26.25" customHeight="1"/>
    <row r="30510" ht="26.25" customHeight="1"/>
    <row r="30511" ht="26.25" customHeight="1"/>
    <row r="30512" ht="26.25" customHeight="1"/>
    <row r="30513" ht="26.25" customHeight="1"/>
    <row r="30514" ht="26.25" customHeight="1"/>
    <row r="30515" ht="26.25" customHeight="1"/>
    <row r="30516" ht="26.25" customHeight="1"/>
    <row r="30517" ht="26.25" customHeight="1"/>
    <row r="30518" ht="26.25" customHeight="1"/>
    <row r="30519" ht="26.25" customHeight="1"/>
    <row r="30520" ht="26.25" customHeight="1"/>
    <row r="30521" ht="26.25" customHeight="1"/>
    <row r="30522" ht="26.25" customHeight="1"/>
    <row r="30523" ht="26.25" customHeight="1"/>
    <row r="30524" ht="26.25" customHeight="1"/>
    <row r="30525" ht="26.25" customHeight="1"/>
    <row r="30526" ht="26.25" customHeight="1"/>
    <row r="30527" ht="26.25" customHeight="1"/>
    <row r="30528" ht="26.25" customHeight="1"/>
    <row r="30529" ht="26.25" customHeight="1"/>
    <row r="30530" ht="26.25" customHeight="1"/>
    <row r="30531" ht="26.25" customHeight="1"/>
    <row r="30532" ht="26.25" customHeight="1"/>
    <row r="30533" ht="26.25" customHeight="1"/>
    <row r="30534" ht="26.25" customHeight="1"/>
    <row r="30535" ht="26.25" customHeight="1"/>
    <row r="30536" ht="26.25" customHeight="1"/>
    <row r="30537" ht="26.25" customHeight="1"/>
    <row r="30538" ht="26.25" customHeight="1"/>
    <row r="30539" ht="26.25" customHeight="1"/>
    <row r="30540" ht="26.25" customHeight="1"/>
    <row r="30541" ht="26.25" customHeight="1"/>
    <row r="30542" ht="26.25" customHeight="1"/>
    <row r="30543" ht="26.25" customHeight="1"/>
    <row r="30544" ht="26.25" customHeight="1"/>
    <row r="30545" ht="26.25" customHeight="1"/>
    <row r="30546" ht="26.25" customHeight="1"/>
    <row r="30547" ht="26.25" customHeight="1"/>
    <row r="30548" ht="26.25" customHeight="1"/>
    <row r="30549" ht="26.25" customHeight="1"/>
    <row r="30550" ht="26.25" customHeight="1"/>
    <row r="30551" ht="26.25" customHeight="1"/>
    <row r="30552" ht="26.25" customHeight="1"/>
    <row r="30553" ht="26.25" customHeight="1"/>
    <row r="30554" ht="26.25" customHeight="1"/>
    <row r="30555" ht="26.25" customHeight="1"/>
    <row r="30556" ht="26.25" customHeight="1"/>
    <row r="30557" ht="26.25" customHeight="1"/>
    <row r="30558" ht="26.25" customHeight="1"/>
    <row r="30559" ht="26.25" customHeight="1"/>
    <row r="30560" ht="26.25" customHeight="1"/>
    <row r="30561" ht="26.25" customHeight="1"/>
    <row r="30562" ht="26.25" customHeight="1"/>
    <row r="30563" ht="26.25" customHeight="1"/>
    <row r="30564" ht="26.25" customHeight="1"/>
    <row r="30565" ht="26.25" customHeight="1"/>
    <row r="30566" ht="26.25" customHeight="1"/>
    <row r="30567" ht="26.25" customHeight="1"/>
    <row r="30568" ht="26.25" customHeight="1"/>
    <row r="30569" ht="26.25" customHeight="1"/>
    <row r="30570" ht="26.25" customHeight="1"/>
    <row r="30571" ht="26.25" customHeight="1"/>
    <row r="30572" ht="26.25" customHeight="1"/>
    <row r="30573" ht="26.25" customHeight="1"/>
    <row r="30574" ht="26.25" customHeight="1"/>
    <row r="30575" ht="26.25" customHeight="1"/>
    <row r="30576" ht="26.25" customHeight="1"/>
    <row r="30577" ht="26.25" customHeight="1"/>
    <row r="30578" ht="26.25" customHeight="1"/>
    <row r="30579" ht="26.25" customHeight="1"/>
    <row r="30580" ht="26.25" customHeight="1"/>
    <row r="30581" ht="26.25" customHeight="1"/>
    <row r="30582" ht="26.25" customHeight="1"/>
    <row r="30583" ht="26.25" customHeight="1"/>
    <row r="30584" ht="26.25" customHeight="1"/>
    <row r="30585" ht="26.25" customHeight="1"/>
    <row r="30586" ht="26.25" customHeight="1"/>
    <row r="30587" ht="26.25" customHeight="1"/>
    <row r="30588" ht="26.25" customHeight="1"/>
    <row r="30589" ht="26.25" customHeight="1"/>
    <row r="30590" ht="26.25" customHeight="1"/>
    <row r="30591" ht="26.25" customHeight="1"/>
    <row r="30592" ht="26.25" customHeight="1"/>
    <row r="30593" ht="26.25" customHeight="1"/>
    <row r="30594" ht="26.25" customHeight="1"/>
    <row r="30595" ht="26.25" customHeight="1"/>
    <row r="30596" ht="26.25" customHeight="1"/>
    <row r="30597" ht="26.25" customHeight="1"/>
    <row r="30598" ht="26.25" customHeight="1"/>
    <row r="30599" ht="26.25" customHeight="1"/>
    <row r="30600" ht="26.25" customHeight="1"/>
    <row r="30601" ht="26.25" customHeight="1"/>
    <row r="30602" ht="26.25" customHeight="1"/>
    <row r="30603" ht="26.25" customHeight="1"/>
    <row r="30604" ht="26.25" customHeight="1"/>
    <row r="30605" ht="26.25" customHeight="1"/>
    <row r="30606" ht="26.25" customHeight="1"/>
    <row r="30607" ht="26.25" customHeight="1"/>
    <row r="30608" ht="26.25" customHeight="1"/>
    <row r="30609" ht="26.25" customHeight="1"/>
    <row r="30610" ht="26.25" customHeight="1"/>
    <row r="30611" ht="26.25" customHeight="1"/>
    <row r="30612" ht="26.25" customHeight="1"/>
    <row r="30613" ht="26.25" customHeight="1"/>
    <row r="30614" ht="26.25" customHeight="1"/>
    <row r="30615" ht="26.25" customHeight="1"/>
    <row r="30616" ht="26.25" customHeight="1"/>
    <row r="30617" ht="26.25" customHeight="1"/>
    <row r="30618" ht="26.25" customHeight="1"/>
    <row r="30619" ht="26.25" customHeight="1"/>
    <row r="30620" ht="26.25" customHeight="1"/>
    <row r="30621" ht="26.25" customHeight="1"/>
    <row r="30622" ht="26.25" customHeight="1"/>
    <row r="30623" ht="26.25" customHeight="1"/>
    <row r="30624" ht="26.25" customHeight="1"/>
    <row r="30625" ht="26.25" customHeight="1"/>
    <row r="30626" ht="26.25" customHeight="1"/>
    <row r="30627" ht="26.25" customHeight="1"/>
    <row r="30628" ht="26.25" customHeight="1"/>
    <row r="30629" ht="26.25" customHeight="1"/>
    <row r="30630" ht="26.25" customHeight="1"/>
    <row r="30631" ht="26.25" customHeight="1"/>
    <row r="30632" ht="26.25" customHeight="1"/>
    <row r="30633" ht="26.25" customHeight="1"/>
    <row r="30634" ht="26.25" customHeight="1"/>
    <row r="30635" ht="26.25" customHeight="1"/>
    <row r="30636" ht="26.25" customHeight="1"/>
    <row r="30637" ht="26.25" customHeight="1"/>
    <row r="30638" ht="26.25" customHeight="1"/>
    <row r="30639" ht="26.25" customHeight="1"/>
    <row r="30640" ht="26.25" customHeight="1"/>
    <row r="30641" ht="26.25" customHeight="1"/>
    <row r="30642" ht="26.25" customHeight="1"/>
    <row r="30643" ht="26.25" customHeight="1"/>
    <row r="30644" ht="26.25" customHeight="1"/>
    <row r="30645" ht="26.25" customHeight="1"/>
    <row r="30646" ht="26.25" customHeight="1"/>
    <row r="30647" ht="26.25" customHeight="1"/>
    <row r="30648" ht="26.25" customHeight="1"/>
    <row r="30649" ht="26.25" customHeight="1"/>
    <row r="30650" ht="26.25" customHeight="1"/>
    <row r="30651" ht="26.25" customHeight="1"/>
    <row r="30652" ht="26.25" customHeight="1"/>
    <row r="30653" ht="26.25" customHeight="1"/>
    <row r="30654" ht="26.25" customHeight="1"/>
    <row r="30655" ht="26.25" customHeight="1"/>
    <row r="30656" ht="26.25" customHeight="1"/>
    <row r="30657" ht="26.25" customHeight="1"/>
    <row r="30658" ht="26.25" customHeight="1"/>
    <row r="30659" ht="26.25" customHeight="1"/>
    <row r="30660" ht="26.25" customHeight="1"/>
    <row r="30661" ht="26.25" customHeight="1"/>
    <row r="30662" ht="26.25" customHeight="1"/>
    <row r="30663" ht="26.25" customHeight="1"/>
    <row r="30664" ht="26.25" customHeight="1"/>
    <row r="30665" ht="26.25" customHeight="1"/>
    <row r="30666" ht="26.25" customHeight="1"/>
    <row r="30667" ht="26.25" customHeight="1"/>
    <row r="30668" ht="26.25" customHeight="1"/>
    <row r="30669" ht="26.25" customHeight="1"/>
    <row r="30670" ht="26.25" customHeight="1"/>
    <row r="30671" ht="26.25" customHeight="1"/>
    <row r="30672" ht="26.25" customHeight="1"/>
    <row r="30673" ht="26.25" customHeight="1"/>
    <row r="30674" ht="26.25" customHeight="1"/>
    <row r="30675" ht="26.25" customHeight="1"/>
    <row r="30676" ht="26.25" customHeight="1"/>
    <row r="30677" ht="26.25" customHeight="1"/>
    <row r="30678" ht="26.25" customHeight="1"/>
    <row r="30679" ht="26.25" customHeight="1"/>
    <row r="30680" ht="26.25" customHeight="1"/>
    <row r="30681" ht="26.25" customHeight="1"/>
    <row r="30682" ht="26.25" customHeight="1"/>
    <row r="30683" ht="26.25" customHeight="1"/>
    <row r="30684" ht="26.25" customHeight="1"/>
    <row r="30685" ht="26.25" customHeight="1"/>
    <row r="30686" ht="26.25" customHeight="1"/>
    <row r="30687" ht="26.25" customHeight="1"/>
    <row r="30688" ht="26.25" customHeight="1"/>
    <row r="30689" ht="26.25" customHeight="1"/>
    <row r="30690" ht="26.25" customHeight="1"/>
    <row r="30691" ht="26.25" customHeight="1"/>
    <row r="30692" ht="26.25" customHeight="1"/>
    <row r="30693" ht="26.25" customHeight="1"/>
    <row r="30694" ht="26.25" customHeight="1"/>
    <row r="30695" ht="26.25" customHeight="1"/>
    <row r="30696" ht="26.25" customHeight="1"/>
    <row r="30697" ht="26.25" customHeight="1"/>
    <row r="30698" ht="26.25" customHeight="1"/>
    <row r="30699" ht="26.25" customHeight="1"/>
    <row r="30700" ht="26.25" customHeight="1"/>
    <row r="30701" ht="26.25" customHeight="1"/>
    <row r="30702" ht="26.25" customHeight="1"/>
    <row r="30703" ht="26.25" customHeight="1"/>
    <row r="30704" ht="26.25" customHeight="1"/>
    <row r="30705" ht="26.25" customHeight="1"/>
    <row r="30706" ht="26.25" customHeight="1"/>
    <row r="30707" ht="26.25" customHeight="1"/>
    <row r="30708" ht="26.25" customHeight="1"/>
    <row r="30709" ht="26.25" customHeight="1"/>
    <row r="30710" ht="26.25" customHeight="1"/>
    <row r="30711" ht="26.25" customHeight="1"/>
    <row r="30712" ht="26.25" customHeight="1"/>
    <row r="30713" ht="26.25" customHeight="1"/>
    <row r="30714" ht="26.25" customHeight="1"/>
    <row r="30715" ht="26.25" customHeight="1"/>
    <row r="30716" ht="26.25" customHeight="1"/>
    <row r="30717" ht="26.25" customHeight="1"/>
    <row r="30718" ht="26.25" customHeight="1"/>
    <row r="30719" ht="26.25" customHeight="1"/>
    <row r="30720" ht="26.25" customHeight="1"/>
    <row r="30721" ht="26.25" customHeight="1"/>
    <row r="30722" ht="26.25" customHeight="1"/>
    <row r="30723" ht="26.25" customHeight="1"/>
    <row r="30724" ht="26.25" customHeight="1"/>
    <row r="30725" ht="26.25" customHeight="1"/>
    <row r="30726" ht="26.25" customHeight="1"/>
    <row r="30727" ht="26.25" customHeight="1"/>
    <row r="30728" ht="26.25" customHeight="1"/>
    <row r="30729" ht="26.25" customHeight="1"/>
    <row r="30730" ht="26.25" customHeight="1"/>
    <row r="30731" ht="26.25" customHeight="1"/>
    <row r="30732" ht="26.25" customHeight="1"/>
    <row r="30733" ht="26.25" customHeight="1"/>
    <row r="30734" ht="26.25" customHeight="1"/>
    <row r="30735" ht="26.25" customHeight="1"/>
    <row r="30736" ht="26.25" customHeight="1"/>
    <row r="30737" ht="26.25" customHeight="1"/>
    <row r="30738" ht="26.25" customHeight="1"/>
    <row r="30739" ht="26.25" customHeight="1"/>
    <row r="30740" ht="26.25" customHeight="1"/>
    <row r="30741" ht="26.25" customHeight="1"/>
    <row r="30742" ht="26.25" customHeight="1"/>
    <row r="30743" ht="26.25" customHeight="1"/>
    <row r="30744" ht="26.25" customHeight="1"/>
    <row r="30745" ht="26.25" customHeight="1"/>
    <row r="30746" ht="26.25" customHeight="1"/>
    <row r="30747" ht="26.25" customHeight="1"/>
    <row r="30748" ht="26.25" customHeight="1"/>
    <row r="30749" ht="26.25" customHeight="1"/>
    <row r="30750" ht="26.25" customHeight="1"/>
    <row r="30751" ht="26.25" customHeight="1"/>
    <row r="30752" ht="26.25" customHeight="1"/>
    <row r="30753" ht="26.25" customHeight="1"/>
    <row r="30754" ht="26.25" customHeight="1"/>
    <row r="30755" ht="26.25" customHeight="1"/>
    <row r="30756" ht="26.25" customHeight="1"/>
    <row r="30757" ht="26.25" customHeight="1"/>
    <row r="30758" ht="26.25" customHeight="1"/>
    <row r="30759" ht="26.25" customHeight="1"/>
    <row r="30760" ht="26.25" customHeight="1"/>
    <row r="30761" ht="26.25" customHeight="1"/>
    <row r="30762" ht="26.25" customHeight="1"/>
    <row r="30763" ht="26.25" customHeight="1"/>
    <row r="30764" ht="26.25" customHeight="1"/>
    <row r="30765" ht="26.25" customHeight="1"/>
    <row r="30766" ht="26.25" customHeight="1"/>
    <row r="30767" ht="26.25" customHeight="1"/>
    <row r="30768" ht="26.25" customHeight="1"/>
    <row r="30769" ht="26.25" customHeight="1"/>
    <row r="30770" ht="26.25" customHeight="1"/>
    <row r="30771" ht="26.25" customHeight="1"/>
    <row r="30772" ht="26.25" customHeight="1"/>
    <row r="30773" ht="26.25" customHeight="1"/>
    <row r="30774" ht="26.25" customHeight="1"/>
    <row r="30775" ht="26.25" customHeight="1"/>
    <row r="30776" ht="26.25" customHeight="1"/>
    <row r="30777" ht="26.25" customHeight="1"/>
    <row r="30778" ht="26.25" customHeight="1"/>
    <row r="30779" ht="26.25" customHeight="1"/>
    <row r="30780" ht="26.25" customHeight="1"/>
    <row r="30781" ht="26.25" customHeight="1"/>
    <row r="30782" ht="26.25" customHeight="1"/>
    <row r="30783" ht="26.25" customHeight="1"/>
    <row r="30784" ht="26.25" customHeight="1"/>
    <row r="30785" ht="26.25" customHeight="1"/>
    <row r="30786" ht="26.25" customHeight="1"/>
    <row r="30787" ht="26.25" customHeight="1"/>
    <row r="30788" ht="26.25" customHeight="1"/>
    <row r="30789" ht="26.25" customHeight="1"/>
    <row r="30790" ht="26.25" customHeight="1"/>
    <row r="30791" ht="26.25" customHeight="1"/>
    <row r="30792" ht="26.25" customHeight="1"/>
    <row r="30793" ht="26.25" customHeight="1"/>
    <row r="30794" ht="26.25" customHeight="1"/>
    <row r="30795" ht="26.25" customHeight="1"/>
    <row r="30796" ht="26.25" customHeight="1"/>
    <row r="30797" ht="26.25" customHeight="1"/>
    <row r="30798" ht="26.25" customHeight="1"/>
    <row r="30799" ht="26.25" customHeight="1"/>
    <row r="30800" ht="26.25" customHeight="1"/>
    <row r="30801" ht="26.25" customHeight="1"/>
    <row r="30802" ht="26.25" customHeight="1"/>
    <row r="30803" ht="26.25" customHeight="1"/>
    <row r="30804" ht="26.25" customHeight="1"/>
    <row r="30805" ht="26.25" customHeight="1"/>
    <row r="30806" ht="26.25" customHeight="1"/>
    <row r="30807" ht="26.25" customHeight="1"/>
    <row r="30808" ht="26.25" customHeight="1"/>
    <row r="30809" ht="26.25" customHeight="1"/>
    <row r="30810" ht="26.25" customHeight="1"/>
    <row r="30811" ht="26.25" customHeight="1"/>
    <row r="30812" ht="26.25" customHeight="1"/>
    <row r="30813" ht="26.25" customHeight="1"/>
    <row r="30814" ht="26.25" customHeight="1"/>
    <row r="30815" ht="26.25" customHeight="1"/>
    <row r="30816" ht="26.25" customHeight="1"/>
    <row r="30817" ht="26.25" customHeight="1"/>
    <row r="30818" ht="26.25" customHeight="1"/>
    <row r="30819" ht="26.25" customHeight="1"/>
    <row r="30820" ht="26.25" customHeight="1"/>
    <row r="30821" ht="26.25" customHeight="1"/>
    <row r="30822" ht="26.25" customHeight="1"/>
    <row r="30823" ht="26.25" customHeight="1"/>
    <row r="30824" ht="26.25" customHeight="1"/>
    <row r="30825" ht="26.25" customHeight="1"/>
    <row r="30826" ht="26.25" customHeight="1"/>
    <row r="30827" ht="26.25" customHeight="1"/>
    <row r="30828" ht="26.25" customHeight="1"/>
    <row r="30829" ht="26.25" customHeight="1"/>
    <row r="30830" ht="26.25" customHeight="1"/>
    <row r="30831" ht="26.25" customHeight="1"/>
    <row r="30832" ht="26.25" customHeight="1"/>
    <row r="30833" ht="26.25" customHeight="1"/>
    <row r="30834" ht="26.25" customHeight="1"/>
    <row r="30835" ht="26.25" customHeight="1"/>
    <row r="30836" ht="26.25" customHeight="1"/>
    <row r="30837" ht="26.25" customHeight="1"/>
    <row r="30838" ht="26.25" customHeight="1"/>
    <row r="30839" ht="26.25" customHeight="1"/>
    <row r="30840" ht="26.25" customHeight="1"/>
    <row r="30841" ht="26.25" customHeight="1"/>
    <row r="30842" ht="26.25" customHeight="1"/>
    <row r="30843" ht="26.25" customHeight="1"/>
    <row r="30844" ht="26.25" customHeight="1"/>
    <row r="30845" ht="26.25" customHeight="1"/>
    <row r="30846" ht="26.25" customHeight="1"/>
    <row r="30847" ht="26.25" customHeight="1"/>
    <row r="30848" ht="26.25" customHeight="1"/>
    <row r="30849" ht="26.25" customHeight="1"/>
    <row r="30850" ht="26.25" customHeight="1"/>
    <row r="30851" ht="26.25" customHeight="1"/>
    <row r="30852" ht="26.25" customHeight="1"/>
    <row r="30853" ht="26.25" customHeight="1"/>
    <row r="30854" ht="26.25" customHeight="1"/>
    <row r="30855" ht="26.25" customHeight="1"/>
    <row r="30856" ht="26.25" customHeight="1"/>
    <row r="30857" ht="26.25" customHeight="1"/>
    <row r="30858" ht="26.25" customHeight="1"/>
    <row r="30859" ht="26.25" customHeight="1"/>
    <row r="30860" ht="26.25" customHeight="1"/>
    <row r="30861" ht="26.25" customHeight="1"/>
    <row r="30862" ht="26.25" customHeight="1"/>
    <row r="30863" ht="26.25" customHeight="1"/>
    <row r="30864" ht="26.25" customHeight="1"/>
    <row r="30865" ht="26.25" customHeight="1"/>
    <row r="30866" ht="26.25" customHeight="1"/>
    <row r="30867" ht="26.25" customHeight="1"/>
    <row r="30868" ht="26.25" customHeight="1"/>
    <row r="30869" ht="26.25" customHeight="1"/>
    <row r="30870" ht="26.25" customHeight="1"/>
    <row r="30871" ht="26.25" customHeight="1"/>
    <row r="30872" ht="26.25" customHeight="1"/>
    <row r="30873" ht="26.25" customHeight="1"/>
    <row r="30874" ht="26.25" customHeight="1"/>
    <row r="30875" ht="26.25" customHeight="1"/>
    <row r="30876" ht="26.25" customHeight="1"/>
    <row r="30877" ht="26.25" customHeight="1"/>
    <row r="30878" ht="26.25" customHeight="1"/>
    <row r="30879" ht="26.25" customHeight="1"/>
    <row r="30880" ht="26.25" customHeight="1"/>
    <row r="30881" ht="26.25" customHeight="1"/>
    <row r="30882" ht="26.25" customHeight="1"/>
    <row r="30883" ht="26.25" customHeight="1"/>
    <row r="30884" ht="26.25" customHeight="1"/>
    <row r="30885" ht="26.25" customHeight="1"/>
    <row r="30886" ht="26.25" customHeight="1"/>
    <row r="30887" ht="26.25" customHeight="1"/>
    <row r="30888" ht="26.25" customHeight="1"/>
    <row r="30889" ht="26.25" customHeight="1"/>
    <row r="30890" ht="26.25" customHeight="1"/>
    <row r="30891" ht="26.25" customHeight="1"/>
    <row r="30892" ht="26.25" customHeight="1"/>
    <row r="30893" ht="26.25" customHeight="1"/>
    <row r="30894" ht="26.25" customHeight="1"/>
    <row r="30895" ht="26.25" customHeight="1"/>
    <row r="30896" ht="26.25" customHeight="1"/>
    <row r="30897" ht="26.25" customHeight="1"/>
    <row r="30898" ht="26.25" customHeight="1"/>
    <row r="30899" ht="26.25" customHeight="1"/>
    <row r="30900" ht="26.25" customHeight="1"/>
    <row r="30901" ht="26.25" customHeight="1"/>
    <row r="30902" ht="26.25" customHeight="1"/>
    <row r="30903" ht="26.25" customHeight="1"/>
    <row r="30904" ht="26.25" customHeight="1"/>
    <row r="30905" ht="26.25" customHeight="1"/>
    <row r="30906" ht="26.25" customHeight="1"/>
    <row r="30907" ht="26.25" customHeight="1"/>
    <row r="30908" ht="26.25" customHeight="1"/>
    <row r="30909" ht="26.25" customHeight="1"/>
    <row r="30910" ht="26.25" customHeight="1"/>
    <row r="30911" ht="26.25" customHeight="1"/>
    <row r="30912" ht="26.25" customHeight="1"/>
    <row r="30913" ht="26.25" customHeight="1"/>
    <row r="30914" ht="26.25" customHeight="1"/>
    <row r="30915" ht="26.25" customHeight="1"/>
    <row r="30916" ht="26.25" customHeight="1"/>
    <row r="30917" ht="26.25" customHeight="1"/>
    <row r="30918" ht="26.25" customHeight="1"/>
    <row r="30919" ht="26.25" customHeight="1"/>
    <row r="30920" ht="26.25" customHeight="1"/>
    <row r="30921" ht="26.25" customHeight="1"/>
    <row r="30922" ht="26.25" customHeight="1"/>
    <row r="30923" ht="26.25" customHeight="1"/>
    <row r="30924" ht="26.25" customHeight="1"/>
    <row r="30925" ht="26.25" customHeight="1"/>
    <row r="30926" ht="26.25" customHeight="1"/>
    <row r="30927" ht="26.25" customHeight="1"/>
    <row r="30928" ht="26.25" customHeight="1"/>
    <row r="30929" ht="26.25" customHeight="1"/>
    <row r="30930" ht="26.25" customHeight="1"/>
    <row r="30931" ht="26.25" customHeight="1"/>
    <row r="30932" ht="26.25" customHeight="1"/>
    <row r="30933" ht="26.25" customHeight="1"/>
    <row r="30934" ht="26.25" customHeight="1"/>
    <row r="30935" ht="26.25" customHeight="1"/>
    <row r="30936" ht="26.25" customHeight="1"/>
    <row r="30937" ht="26.25" customHeight="1"/>
    <row r="30938" ht="26.25" customHeight="1"/>
    <row r="30939" ht="26.25" customHeight="1"/>
    <row r="30940" ht="26.25" customHeight="1"/>
    <row r="30941" ht="26.25" customHeight="1"/>
    <row r="30942" ht="26.25" customHeight="1"/>
    <row r="30943" ht="26.25" customHeight="1"/>
    <row r="30944" ht="26.25" customHeight="1"/>
    <row r="30945" ht="26.25" customHeight="1"/>
    <row r="30946" ht="26.25" customHeight="1"/>
    <row r="30947" ht="26.25" customHeight="1"/>
    <row r="30948" ht="26.25" customHeight="1"/>
    <row r="30949" ht="26.25" customHeight="1"/>
    <row r="30950" ht="26.25" customHeight="1"/>
    <row r="30951" ht="26.25" customHeight="1"/>
    <row r="30952" ht="26.25" customHeight="1"/>
    <row r="30953" ht="26.25" customHeight="1"/>
    <row r="30954" ht="26.25" customHeight="1"/>
    <row r="30955" ht="26.25" customHeight="1"/>
    <row r="30956" ht="26.25" customHeight="1"/>
    <row r="30957" ht="26.25" customHeight="1"/>
    <row r="30958" ht="26.25" customHeight="1"/>
    <row r="30959" ht="26.25" customHeight="1"/>
    <row r="30960" ht="26.25" customHeight="1"/>
    <row r="30961" ht="26.25" customHeight="1"/>
    <row r="30962" ht="26.25" customHeight="1"/>
    <row r="30963" ht="26.25" customHeight="1"/>
    <row r="30964" ht="26.25" customHeight="1"/>
    <row r="30965" ht="26.25" customHeight="1"/>
    <row r="30966" ht="26.25" customHeight="1"/>
    <row r="30967" ht="26.25" customHeight="1"/>
    <row r="30968" ht="26.25" customHeight="1"/>
    <row r="30969" ht="26.25" customHeight="1"/>
    <row r="30970" ht="26.25" customHeight="1"/>
    <row r="30971" ht="26.25" customHeight="1"/>
    <row r="30972" ht="26.25" customHeight="1"/>
    <row r="30973" ht="26.25" customHeight="1"/>
    <row r="30974" ht="26.25" customHeight="1"/>
    <row r="30975" ht="26.25" customHeight="1"/>
    <row r="30976" ht="26.25" customHeight="1"/>
    <row r="30977" ht="26.25" customHeight="1"/>
    <row r="30978" ht="26.25" customHeight="1"/>
    <row r="30979" ht="26.25" customHeight="1"/>
    <row r="30980" ht="26.25" customHeight="1"/>
    <row r="30981" ht="26.25" customHeight="1"/>
    <row r="30982" ht="26.25" customHeight="1"/>
    <row r="30983" ht="26.25" customHeight="1"/>
    <row r="30984" ht="26.25" customHeight="1"/>
    <row r="30985" ht="26.25" customHeight="1"/>
    <row r="30986" ht="26.25" customHeight="1"/>
    <row r="30987" ht="26.25" customHeight="1"/>
    <row r="30988" ht="26.25" customHeight="1"/>
    <row r="30989" ht="26.25" customHeight="1"/>
    <row r="30990" ht="26.25" customHeight="1"/>
    <row r="30991" ht="26.25" customHeight="1"/>
    <row r="30992" ht="26.25" customHeight="1"/>
    <row r="30993" ht="26.25" customHeight="1"/>
    <row r="30994" ht="26.25" customHeight="1"/>
    <row r="30995" ht="26.25" customHeight="1"/>
    <row r="30996" ht="26.25" customHeight="1"/>
    <row r="30997" ht="26.25" customHeight="1"/>
    <row r="30998" ht="26.25" customHeight="1"/>
    <row r="30999" ht="26.25" customHeight="1"/>
    <row r="31000" ht="26.25" customHeight="1"/>
    <row r="31001" ht="26.25" customHeight="1"/>
    <row r="31002" ht="26.25" customHeight="1"/>
    <row r="31003" ht="26.25" customHeight="1"/>
    <row r="31004" ht="26.25" customHeight="1"/>
    <row r="31005" ht="26.25" customHeight="1"/>
    <row r="31006" ht="26.25" customHeight="1"/>
    <row r="31007" ht="26.25" customHeight="1"/>
    <row r="31008" ht="26.25" customHeight="1"/>
    <row r="31009" ht="26.25" customHeight="1"/>
    <row r="31010" ht="26.25" customHeight="1"/>
    <row r="31011" ht="26.25" customHeight="1"/>
    <row r="31012" ht="26.25" customHeight="1"/>
    <row r="31013" ht="26.25" customHeight="1"/>
    <row r="31014" ht="26.25" customHeight="1"/>
    <row r="31015" ht="26.25" customHeight="1"/>
    <row r="31016" ht="26.25" customHeight="1"/>
    <row r="31017" ht="26.25" customHeight="1"/>
    <row r="31018" ht="26.25" customHeight="1"/>
    <row r="31019" ht="26.25" customHeight="1"/>
    <row r="31020" ht="26.25" customHeight="1"/>
    <row r="31021" ht="26.25" customHeight="1"/>
    <row r="31022" ht="26.25" customHeight="1"/>
    <row r="31023" ht="26.25" customHeight="1"/>
    <row r="31024" ht="26.25" customHeight="1"/>
    <row r="31025" ht="26.25" customHeight="1"/>
    <row r="31026" ht="26.25" customHeight="1"/>
    <row r="31027" ht="26.25" customHeight="1"/>
    <row r="31028" ht="26.25" customHeight="1"/>
    <row r="31029" ht="26.25" customHeight="1"/>
    <row r="31030" ht="26.25" customHeight="1"/>
    <row r="31031" ht="26.25" customHeight="1"/>
    <row r="31032" ht="26.25" customHeight="1"/>
    <row r="31033" ht="26.25" customHeight="1"/>
    <row r="31034" ht="26.25" customHeight="1"/>
    <row r="31035" ht="26.25" customHeight="1"/>
    <row r="31036" ht="26.25" customHeight="1"/>
    <row r="31037" ht="26.25" customHeight="1"/>
    <row r="31038" ht="26.25" customHeight="1"/>
    <row r="31039" ht="26.25" customHeight="1"/>
    <row r="31040" ht="26.25" customHeight="1"/>
    <row r="31041" ht="26.25" customHeight="1"/>
    <row r="31042" ht="26.25" customHeight="1"/>
    <row r="31043" ht="26.25" customHeight="1"/>
    <row r="31044" ht="26.25" customHeight="1"/>
    <row r="31045" ht="26.25" customHeight="1"/>
    <row r="31046" ht="26.25" customHeight="1"/>
    <row r="31047" ht="26.25" customHeight="1"/>
    <row r="31048" ht="26.25" customHeight="1"/>
    <row r="31049" ht="26.25" customHeight="1"/>
    <row r="31050" ht="26.25" customHeight="1"/>
    <row r="31051" ht="26.25" customHeight="1"/>
    <row r="31052" ht="26.25" customHeight="1"/>
    <row r="31053" ht="26.25" customHeight="1"/>
    <row r="31054" ht="26.25" customHeight="1"/>
    <row r="31055" ht="26.25" customHeight="1"/>
    <row r="31056" ht="26.25" customHeight="1"/>
    <row r="31057" ht="26.25" customHeight="1"/>
    <row r="31058" ht="26.25" customHeight="1"/>
    <row r="31059" ht="26.25" customHeight="1"/>
    <row r="31060" ht="26.25" customHeight="1"/>
    <row r="31061" ht="26.25" customHeight="1"/>
    <row r="31062" ht="26.25" customHeight="1"/>
    <row r="31063" ht="26.25" customHeight="1"/>
    <row r="31064" ht="26.25" customHeight="1"/>
    <row r="31065" ht="26.25" customHeight="1"/>
    <row r="31066" ht="26.25" customHeight="1"/>
    <row r="31067" ht="26.25" customHeight="1"/>
    <row r="31068" ht="26.25" customHeight="1"/>
    <row r="31069" ht="26.25" customHeight="1"/>
    <row r="31070" ht="26.25" customHeight="1"/>
    <row r="31071" ht="26.25" customHeight="1"/>
    <row r="31072" ht="26.25" customHeight="1"/>
    <row r="31073" ht="26.25" customHeight="1"/>
    <row r="31074" ht="26.25" customHeight="1"/>
    <row r="31075" ht="26.25" customHeight="1"/>
    <row r="31076" ht="26.25" customHeight="1"/>
    <row r="31077" ht="26.25" customHeight="1"/>
    <row r="31078" ht="26.25" customHeight="1"/>
    <row r="31079" ht="26.25" customHeight="1"/>
    <row r="31080" ht="26.25" customHeight="1"/>
    <row r="31081" ht="26.25" customHeight="1"/>
    <row r="31082" ht="26.25" customHeight="1"/>
    <row r="31083" ht="26.25" customHeight="1"/>
    <row r="31084" ht="26.25" customHeight="1"/>
    <row r="31085" ht="26.25" customHeight="1"/>
    <row r="31086" ht="26.25" customHeight="1"/>
    <row r="31087" ht="26.25" customHeight="1"/>
    <row r="31088" ht="26.25" customHeight="1"/>
    <row r="31089" ht="26.25" customHeight="1"/>
    <row r="31090" ht="26.25" customHeight="1"/>
    <row r="31091" ht="26.25" customHeight="1"/>
    <row r="31092" ht="26.25" customHeight="1"/>
    <row r="31093" ht="26.25" customHeight="1"/>
    <row r="31094" ht="26.25" customHeight="1"/>
    <row r="31095" ht="26.25" customHeight="1"/>
    <row r="31096" ht="26.25" customHeight="1"/>
    <row r="31097" ht="26.25" customHeight="1"/>
    <row r="31098" ht="26.25" customHeight="1"/>
    <row r="31099" ht="26.25" customHeight="1"/>
    <row r="31100" ht="26.25" customHeight="1"/>
    <row r="31101" ht="26.25" customHeight="1"/>
    <row r="31102" ht="26.25" customHeight="1"/>
    <row r="31103" ht="26.25" customHeight="1"/>
    <row r="31104" ht="26.25" customHeight="1"/>
    <row r="31105" ht="26.25" customHeight="1"/>
    <row r="31106" ht="26.25" customHeight="1"/>
    <row r="31107" ht="26.25" customHeight="1"/>
    <row r="31108" ht="26.25" customHeight="1"/>
    <row r="31109" ht="26.25" customHeight="1"/>
    <row r="31110" ht="26.25" customHeight="1"/>
    <row r="31111" ht="26.25" customHeight="1"/>
    <row r="31112" ht="26.25" customHeight="1"/>
    <row r="31113" ht="26.25" customHeight="1"/>
    <row r="31114" ht="26.25" customHeight="1"/>
    <row r="31115" ht="26.25" customHeight="1"/>
    <row r="31116" ht="26.25" customHeight="1"/>
    <row r="31117" ht="26.25" customHeight="1"/>
    <row r="31118" ht="26.25" customHeight="1"/>
    <row r="31119" ht="26.25" customHeight="1"/>
    <row r="31120" ht="26.25" customHeight="1"/>
    <row r="31121" ht="26.25" customHeight="1"/>
    <row r="31122" ht="26.25" customHeight="1"/>
    <row r="31123" ht="26.25" customHeight="1"/>
    <row r="31124" ht="26.25" customHeight="1"/>
    <row r="31125" ht="26.25" customHeight="1"/>
    <row r="31126" ht="26.25" customHeight="1"/>
    <row r="31127" ht="26.25" customHeight="1"/>
    <row r="31128" ht="26.25" customHeight="1"/>
    <row r="31129" ht="26.25" customHeight="1"/>
    <row r="31130" ht="26.25" customHeight="1"/>
    <row r="31131" ht="26.25" customHeight="1"/>
    <row r="31132" ht="26.25" customHeight="1"/>
    <row r="31133" ht="26.25" customHeight="1"/>
    <row r="31134" ht="26.25" customHeight="1"/>
    <row r="31135" ht="26.25" customHeight="1"/>
    <row r="31136" ht="26.25" customHeight="1"/>
    <row r="31137" ht="26.25" customHeight="1"/>
    <row r="31138" ht="26.25" customHeight="1"/>
    <row r="31139" ht="26.25" customHeight="1"/>
    <row r="31140" ht="26.25" customHeight="1"/>
    <row r="31141" ht="26.25" customHeight="1"/>
    <row r="31142" ht="26.25" customHeight="1"/>
    <row r="31143" ht="26.25" customHeight="1"/>
    <row r="31144" ht="26.25" customHeight="1"/>
    <row r="31145" ht="26.25" customHeight="1"/>
    <row r="31146" ht="26.25" customHeight="1"/>
    <row r="31147" ht="26.25" customHeight="1"/>
    <row r="31148" ht="26.25" customHeight="1"/>
    <row r="31149" ht="26.25" customHeight="1"/>
    <row r="31150" ht="26.25" customHeight="1"/>
    <row r="31151" ht="26.25" customHeight="1"/>
    <row r="31152" ht="26.25" customHeight="1"/>
    <row r="31153" ht="26.25" customHeight="1"/>
    <row r="31154" ht="26.25" customHeight="1"/>
    <row r="31155" ht="26.25" customHeight="1"/>
    <row r="31156" ht="26.25" customHeight="1"/>
    <row r="31157" ht="26.25" customHeight="1"/>
    <row r="31158" ht="26.25" customHeight="1"/>
    <row r="31159" ht="26.25" customHeight="1"/>
    <row r="31160" ht="26.25" customHeight="1"/>
    <row r="31161" ht="26.25" customHeight="1"/>
    <row r="31162" ht="26.25" customHeight="1"/>
    <row r="31163" ht="26.25" customHeight="1"/>
    <row r="31164" ht="26.25" customHeight="1"/>
    <row r="31165" ht="26.25" customHeight="1"/>
    <row r="31166" ht="26.25" customHeight="1"/>
    <row r="31167" ht="26.25" customHeight="1"/>
    <row r="31168" ht="26.25" customHeight="1"/>
    <row r="31169" ht="26.25" customHeight="1"/>
    <row r="31170" ht="26.25" customHeight="1"/>
    <row r="31171" ht="26.25" customHeight="1"/>
    <row r="31172" ht="26.25" customHeight="1"/>
    <row r="31173" ht="26.25" customHeight="1"/>
    <row r="31174" ht="26.25" customHeight="1"/>
    <row r="31175" ht="26.25" customHeight="1"/>
    <row r="31176" ht="26.25" customHeight="1"/>
    <row r="31177" ht="26.25" customHeight="1"/>
    <row r="31178" ht="26.25" customHeight="1"/>
    <row r="31179" ht="26.25" customHeight="1"/>
    <row r="31180" ht="26.25" customHeight="1"/>
    <row r="31181" ht="26.25" customHeight="1"/>
    <row r="31182" ht="26.25" customHeight="1"/>
    <row r="31183" ht="26.25" customHeight="1"/>
    <row r="31184" ht="26.25" customHeight="1"/>
    <row r="31185" ht="26.25" customHeight="1"/>
    <row r="31186" ht="26.25" customHeight="1"/>
    <row r="31187" ht="26.25" customHeight="1"/>
    <row r="31188" ht="26.25" customHeight="1"/>
    <row r="31189" ht="26.25" customHeight="1"/>
    <row r="31190" ht="26.25" customHeight="1"/>
    <row r="31191" ht="26.25" customHeight="1"/>
    <row r="31192" ht="26.25" customHeight="1"/>
    <row r="31193" ht="26.25" customHeight="1"/>
    <row r="31194" ht="26.25" customHeight="1"/>
    <row r="31195" ht="26.25" customHeight="1"/>
    <row r="31196" ht="26.25" customHeight="1"/>
    <row r="31197" ht="26.25" customHeight="1"/>
    <row r="31198" ht="26.25" customHeight="1"/>
    <row r="31199" ht="26.25" customHeight="1"/>
    <row r="31200" ht="26.25" customHeight="1"/>
    <row r="31201" ht="26.25" customHeight="1"/>
    <row r="31202" ht="26.25" customHeight="1"/>
    <row r="31203" ht="26.25" customHeight="1"/>
    <row r="31204" ht="26.25" customHeight="1"/>
    <row r="31205" ht="26.25" customHeight="1"/>
    <row r="31206" ht="26.25" customHeight="1"/>
    <row r="31207" ht="26.25" customHeight="1"/>
    <row r="31208" ht="26.25" customHeight="1"/>
    <row r="31209" ht="26.25" customHeight="1"/>
    <row r="31210" ht="26.25" customHeight="1"/>
    <row r="31211" ht="26.25" customHeight="1"/>
    <row r="31212" ht="26.25" customHeight="1"/>
    <row r="31213" ht="26.25" customHeight="1"/>
    <row r="31214" ht="26.25" customHeight="1"/>
    <row r="31215" ht="26.25" customHeight="1"/>
    <row r="31216" ht="26.25" customHeight="1"/>
    <row r="31217" ht="26.25" customHeight="1"/>
    <row r="31218" ht="26.25" customHeight="1"/>
    <row r="31219" ht="26.25" customHeight="1"/>
    <row r="31220" ht="26.25" customHeight="1"/>
    <row r="31221" ht="26.25" customHeight="1"/>
    <row r="31222" ht="26.25" customHeight="1"/>
    <row r="31223" ht="26.25" customHeight="1"/>
    <row r="31224" ht="26.25" customHeight="1"/>
    <row r="31225" ht="26.25" customHeight="1"/>
    <row r="31226" ht="26.25" customHeight="1"/>
    <row r="31227" ht="26.25" customHeight="1"/>
    <row r="31228" ht="26.25" customHeight="1"/>
    <row r="31229" ht="26.25" customHeight="1"/>
    <row r="31230" ht="26.25" customHeight="1"/>
    <row r="31231" ht="26.25" customHeight="1"/>
    <row r="31232" ht="26.25" customHeight="1"/>
    <row r="31233" ht="26.25" customHeight="1"/>
    <row r="31234" ht="26.25" customHeight="1"/>
    <row r="31235" ht="26.25" customHeight="1"/>
    <row r="31236" ht="26.25" customHeight="1"/>
    <row r="31237" ht="26.25" customHeight="1"/>
    <row r="31238" ht="26.25" customHeight="1"/>
    <row r="31239" ht="26.25" customHeight="1"/>
    <row r="31240" ht="26.25" customHeight="1"/>
    <row r="31241" ht="26.25" customHeight="1"/>
    <row r="31242" ht="26.25" customHeight="1"/>
    <row r="31243" ht="26.25" customHeight="1"/>
    <row r="31244" ht="26.25" customHeight="1"/>
    <row r="31245" ht="26.25" customHeight="1"/>
    <row r="31246" ht="26.25" customHeight="1"/>
    <row r="31247" ht="26.25" customHeight="1"/>
    <row r="31248" ht="26.25" customHeight="1"/>
    <row r="31249" ht="26.25" customHeight="1"/>
    <row r="31250" ht="26.25" customHeight="1"/>
    <row r="31251" ht="26.25" customHeight="1"/>
    <row r="31252" ht="26.25" customHeight="1"/>
    <row r="31253" ht="26.25" customHeight="1"/>
    <row r="31254" ht="26.25" customHeight="1"/>
    <row r="31255" ht="26.25" customHeight="1"/>
    <row r="31256" ht="26.25" customHeight="1"/>
    <row r="31257" ht="26.25" customHeight="1"/>
    <row r="31258" ht="26.25" customHeight="1"/>
    <row r="31259" ht="26.25" customHeight="1"/>
    <row r="31260" ht="26.25" customHeight="1"/>
    <row r="31261" ht="26.25" customHeight="1"/>
    <row r="31262" ht="26.25" customHeight="1"/>
    <row r="31263" ht="26.25" customHeight="1"/>
    <row r="31264" ht="26.25" customHeight="1"/>
    <row r="31265" ht="26.25" customHeight="1"/>
    <row r="31266" ht="26.25" customHeight="1"/>
    <row r="31267" ht="26.25" customHeight="1"/>
    <row r="31268" ht="26.25" customHeight="1"/>
    <row r="31269" ht="26.25" customHeight="1"/>
    <row r="31270" ht="26.25" customHeight="1"/>
    <row r="31271" ht="26.25" customHeight="1"/>
    <row r="31272" ht="26.25" customHeight="1"/>
    <row r="31273" ht="26.25" customHeight="1"/>
    <row r="31274" ht="26.25" customHeight="1"/>
    <row r="31275" ht="26.25" customHeight="1"/>
    <row r="31276" ht="26.25" customHeight="1"/>
    <row r="31277" ht="26.25" customHeight="1"/>
    <row r="31278" ht="26.25" customHeight="1"/>
    <row r="31279" ht="26.25" customHeight="1"/>
    <row r="31280" ht="26.25" customHeight="1"/>
    <row r="31281" ht="26.25" customHeight="1"/>
    <row r="31282" ht="26.25" customHeight="1"/>
    <row r="31283" ht="26.25" customHeight="1"/>
    <row r="31284" ht="26.25" customHeight="1"/>
    <row r="31285" ht="26.25" customHeight="1"/>
    <row r="31286" ht="26.25" customHeight="1"/>
    <row r="31287" ht="26.25" customHeight="1"/>
    <row r="31288" ht="26.25" customHeight="1"/>
    <row r="31289" ht="26.25" customHeight="1"/>
    <row r="31290" ht="26.25" customHeight="1"/>
    <row r="31291" ht="26.25" customHeight="1"/>
    <row r="31292" ht="26.25" customHeight="1"/>
    <row r="31293" ht="26.25" customHeight="1"/>
    <row r="31294" ht="26.25" customHeight="1"/>
    <row r="31295" ht="26.25" customHeight="1"/>
    <row r="31296" ht="26.25" customHeight="1"/>
    <row r="31297" ht="26.25" customHeight="1"/>
    <row r="31298" ht="26.25" customHeight="1"/>
    <row r="31299" ht="26.25" customHeight="1"/>
    <row r="31300" ht="26.25" customHeight="1"/>
    <row r="31301" ht="26.25" customHeight="1"/>
    <row r="31302" ht="26.25" customHeight="1"/>
    <row r="31303" ht="26.25" customHeight="1"/>
    <row r="31304" ht="26.25" customHeight="1"/>
    <row r="31305" ht="26.25" customHeight="1"/>
    <row r="31306" ht="26.25" customHeight="1"/>
    <row r="31307" ht="26.25" customHeight="1"/>
    <row r="31308" ht="26.25" customHeight="1"/>
    <row r="31309" ht="26.25" customHeight="1"/>
    <row r="31310" ht="26.25" customHeight="1"/>
    <row r="31311" ht="26.25" customHeight="1"/>
    <row r="31312" ht="26.25" customHeight="1"/>
    <row r="31313" ht="26.25" customHeight="1"/>
    <row r="31314" ht="26.25" customHeight="1"/>
    <row r="31315" ht="26.25" customHeight="1"/>
    <row r="31316" ht="26.25" customHeight="1"/>
    <row r="31317" ht="26.25" customHeight="1"/>
    <row r="31318" ht="26.25" customHeight="1"/>
    <row r="31319" ht="26.25" customHeight="1"/>
    <row r="31320" ht="26.25" customHeight="1"/>
    <row r="31321" ht="26.25" customHeight="1"/>
    <row r="31322" ht="26.25" customHeight="1"/>
    <row r="31323" ht="26.25" customHeight="1"/>
    <row r="31324" ht="26.25" customHeight="1"/>
    <row r="31325" ht="26.25" customHeight="1"/>
    <row r="31326" ht="26.25" customHeight="1"/>
    <row r="31327" ht="26.25" customHeight="1"/>
    <row r="31328" ht="26.25" customHeight="1"/>
    <row r="31329" ht="26.25" customHeight="1"/>
    <row r="31330" ht="26.25" customHeight="1"/>
    <row r="31331" ht="26.25" customHeight="1"/>
    <row r="31332" ht="26.25" customHeight="1"/>
    <row r="31333" ht="26.25" customHeight="1"/>
    <row r="31334" ht="26.25" customHeight="1"/>
    <row r="31335" ht="26.25" customHeight="1"/>
    <row r="31336" ht="26.25" customHeight="1"/>
    <row r="31337" ht="26.25" customHeight="1"/>
    <row r="31338" ht="26.25" customHeight="1"/>
    <row r="31339" ht="26.25" customHeight="1"/>
    <row r="31340" ht="26.25" customHeight="1"/>
    <row r="31341" ht="26.25" customHeight="1"/>
    <row r="31342" ht="26.25" customHeight="1"/>
    <row r="31343" ht="26.25" customHeight="1"/>
    <row r="31344" ht="26.25" customHeight="1"/>
    <row r="31345" ht="26.25" customHeight="1"/>
    <row r="31346" ht="26.25" customHeight="1"/>
    <row r="31347" ht="26.25" customHeight="1"/>
    <row r="31348" ht="26.25" customHeight="1"/>
    <row r="31349" ht="26.25" customHeight="1"/>
    <row r="31350" ht="26.25" customHeight="1"/>
    <row r="31351" ht="26.25" customHeight="1"/>
    <row r="31352" ht="26.25" customHeight="1"/>
    <row r="31353" ht="26.25" customHeight="1"/>
    <row r="31354" ht="26.25" customHeight="1"/>
    <row r="31355" ht="26.25" customHeight="1"/>
    <row r="31356" ht="26.25" customHeight="1"/>
    <row r="31357" ht="26.25" customHeight="1"/>
    <row r="31358" ht="26.25" customHeight="1"/>
    <row r="31359" ht="26.25" customHeight="1"/>
    <row r="31360" ht="26.25" customHeight="1"/>
    <row r="31361" ht="26.25" customHeight="1"/>
    <row r="31362" ht="26.25" customHeight="1"/>
    <row r="31363" ht="26.25" customHeight="1"/>
    <row r="31364" ht="26.25" customHeight="1"/>
    <row r="31365" ht="26.25" customHeight="1"/>
    <row r="31366" ht="26.25" customHeight="1"/>
    <row r="31367" ht="26.25" customHeight="1"/>
    <row r="31368" ht="26.25" customHeight="1"/>
    <row r="31369" ht="26.25" customHeight="1"/>
    <row r="31370" ht="26.25" customHeight="1"/>
    <row r="31371" ht="26.25" customHeight="1"/>
    <row r="31372" ht="26.25" customHeight="1"/>
    <row r="31373" ht="26.25" customHeight="1"/>
    <row r="31374" ht="26.25" customHeight="1"/>
    <row r="31375" ht="26.25" customHeight="1"/>
    <row r="31376" ht="26.25" customHeight="1"/>
    <row r="31377" ht="26.25" customHeight="1"/>
    <row r="31378" ht="26.25" customHeight="1"/>
    <row r="31379" ht="26.25" customHeight="1"/>
    <row r="31380" ht="26.25" customHeight="1"/>
    <row r="31381" ht="26.25" customHeight="1"/>
    <row r="31382" ht="26.25" customHeight="1"/>
    <row r="31383" ht="26.25" customHeight="1"/>
    <row r="31384" ht="26.25" customHeight="1"/>
    <row r="31385" ht="26.25" customHeight="1"/>
    <row r="31386" ht="26.25" customHeight="1"/>
    <row r="31387" ht="26.25" customHeight="1"/>
    <row r="31388" ht="26.25" customHeight="1"/>
    <row r="31389" ht="26.25" customHeight="1"/>
    <row r="31390" ht="26.25" customHeight="1"/>
    <row r="31391" ht="26.25" customHeight="1"/>
    <row r="31392" ht="26.25" customHeight="1"/>
    <row r="31393" ht="26.25" customHeight="1"/>
    <row r="31394" ht="26.25" customHeight="1"/>
    <row r="31395" ht="26.25" customHeight="1"/>
    <row r="31396" ht="26.25" customHeight="1"/>
    <row r="31397" ht="26.25" customHeight="1"/>
    <row r="31398" ht="26.25" customHeight="1"/>
    <row r="31399" ht="26.25" customHeight="1"/>
    <row r="31400" ht="26.25" customHeight="1"/>
    <row r="31401" ht="26.25" customHeight="1"/>
    <row r="31402" ht="26.25" customHeight="1"/>
    <row r="31403" ht="26.25" customHeight="1"/>
    <row r="31404" ht="26.25" customHeight="1"/>
    <row r="31405" ht="26.25" customHeight="1"/>
    <row r="31406" ht="26.25" customHeight="1"/>
    <row r="31407" ht="26.25" customHeight="1"/>
    <row r="31408" ht="26.25" customHeight="1"/>
    <row r="31409" ht="26.25" customHeight="1"/>
    <row r="31410" ht="26.25" customHeight="1"/>
    <row r="31411" ht="26.25" customHeight="1"/>
    <row r="31412" ht="26.25" customHeight="1"/>
    <row r="31413" ht="26.25" customHeight="1"/>
    <row r="31414" ht="26.25" customHeight="1"/>
    <row r="31415" ht="26.25" customHeight="1"/>
    <row r="31416" ht="26.25" customHeight="1"/>
    <row r="31417" ht="26.25" customHeight="1"/>
    <row r="31418" ht="26.25" customHeight="1"/>
    <row r="31419" ht="26.25" customHeight="1"/>
    <row r="31420" ht="26.25" customHeight="1"/>
    <row r="31421" ht="26.25" customHeight="1"/>
    <row r="31422" ht="26.25" customHeight="1"/>
    <row r="31423" ht="26.25" customHeight="1"/>
    <row r="31424" ht="26.25" customHeight="1"/>
    <row r="31425" ht="26.25" customHeight="1"/>
    <row r="31426" ht="26.25" customHeight="1"/>
    <row r="31427" ht="26.25" customHeight="1"/>
    <row r="31428" ht="26.25" customHeight="1"/>
    <row r="31429" ht="26.25" customHeight="1"/>
    <row r="31430" ht="26.25" customHeight="1"/>
    <row r="31431" ht="26.25" customHeight="1"/>
    <row r="31432" ht="26.25" customHeight="1"/>
    <row r="31433" ht="26.25" customHeight="1"/>
    <row r="31434" ht="26.25" customHeight="1"/>
    <row r="31435" ht="26.25" customHeight="1"/>
    <row r="31436" ht="26.25" customHeight="1"/>
    <row r="31437" ht="26.25" customHeight="1"/>
    <row r="31438" ht="26.25" customHeight="1"/>
    <row r="31439" ht="26.25" customHeight="1"/>
    <row r="31440" ht="26.25" customHeight="1"/>
    <row r="31441" ht="26.25" customHeight="1"/>
    <row r="31442" ht="26.25" customHeight="1"/>
    <row r="31443" ht="26.25" customHeight="1"/>
    <row r="31444" ht="26.25" customHeight="1"/>
    <row r="31445" ht="26.25" customHeight="1"/>
    <row r="31446" ht="26.25" customHeight="1"/>
    <row r="31447" ht="26.25" customHeight="1"/>
    <row r="31448" ht="26.25" customHeight="1"/>
    <row r="31449" ht="26.25" customHeight="1"/>
    <row r="31450" ht="26.25" customHeight="1"/>
    <row r="31451" ht="26.25" customHeight="1"/>
    <row r="31452" ht="26.25" customHeight="1"/>
    <row r="31453" ht="26.25" customHeight="1"/>
    <row r="31454" ht="26.25" customHeight="1"/>
    <row r="31455" ht="26.25" customHeight="1"/>
    <row r="31456" ht="26.25" customHeight="1"/>
    <row r="31457" ht="26.25" customHeight="1"/>
    <row r="31458" ht="26.25" customHeight="1"/>
    <row r="31459" ht="26.25" customHeight="1"/>
    <row r="31460" ht="26.25" customHeight="1"/>
    <row r="31461" ht="26.25" customHeight="1"/>
    <row r="31462" ht="26.25" customHeight="1"/>
    <row r="31463" ht="26.25" customHeight="1"/>
    <row r="31464" ht="26.25" customHeight="1"/>
    <row r="31465" ht="26.25" customHeight="1"/>
    <row r="31466" ht="26.25" customHeight="1"/>
    <row r="31467" ht="26.25" customHeight="1"/>
    <row r="31468" ht="26.25" customHeight="1"/>
    <row r="31469" ht="26.25" customHeight="1"/>
    <row r="31470" ht="26.25" customHeight="1"/>
    <row r="31471" ht="26.25" customHeight="1"/>
    <row r="31472" ht="26.25" customHeight="1"/>
    <row r="31473" ht="26.25" customHeight="1"/>
    <row r="31474" ht="26.25" customHeight="1"/>
    <row r="31475" ht="26.25" customHeight="1"/>
    <row r="31476" ht="26.25" customHeight="1"/>
    <row r="31477" ht="26.25" customHeight="1"/>
    <row r="31478" ht="26.25" customHeight="1"/>
    <row r="31479" ht="26.25" customHeight="1"/>
    <row r="31480" ht="26.25" customHeight="1"/>
    <row r="31481" ht="26.25" customHeight="1"/>
    <row r="31482" ht="26.25" customHeight="1"/>
    <row r="31483" ht="26.25" customHeight="1"/>
    <row r="31484" ht="26.25" customHeight="1"/>
    <row r="31485" ht="26.25" customHeight="1"/>
    <row r="31486" ht="26.25" customHeight="1"/>
    <row r="31487" ht="26.25" customHeight="1"/>
    <row r="31488" ht="26.25" customHeight="1"/>
    <row r="31489" ht="26.25" customHeight="1"/>
    <row r="31490" ht="26.25" customHeight="1"/>
    <row r="31491" ht="26.25" customHeight="1"/>
    <row r="31492" ht="26.25" customHeight="1"/>
    <row r="31493" ht="26.25" customHeight="1"/>
    <row r="31494" ht="26.25" customHeight="1"/>
    <row r="31495" ht="26.25" customHeight="1"/>
    <row r="31496" ht="26.25" customHeight="1"/>
    <row r="31497" ht="26.25" customHeight="1"/>
    <row r="31498" ht="26.25" customHeight="1"/>
    <row r="31499" ht="26.25" customHeight="1"/>
    <row r="31500" ht="26.25" customHeight="1"/>
    <row r="31501" ht="26.25" customHeight="1"/>
    <row r="31502" ht="26.25" customHeight="1"/>
    <row r="31503" ht="26.25" customHeight="1"/>
    <row r="31504" ht="26.25" customHeight="1"/>
    <row r="31505" ht="26.25" customHeight="1"/>
    <row r="31506" ht="26.25" customHeight="1"/>
    <row r="31507" ht="26.25" customHeight="1"/>
    <row r="31508" ht="26.25" customHeight="1"/>
    <row r="31509" ht="26.25" customHeight="1"/>
    <row r="31510" ht="26.25" customHeight="1"/>
    <row r="31511" ht="26.25" customHeight="1"/>
    <row r="31512" ht="26.25" customHeight="1"/>
    <row r="31513" ht="26.25" customHeight="1"/>
    <row r="31514" ht="26.25" customHeight="1"/>
    <row r="31515" ht="26.25" customHeight="1"/>
    <row r="31516" ht="26.25" customHeight="1"/>
    <row r="31517" ht="26.25" customHeight="1"/>
    <row r="31518" ht="26.25" customHeight="1"/>
    <row r="31519" ht="26.25" customHeight="1"/>
    <row r="31520" ht="26.25" customHeight="1"/>
    <row r="31521" ht="26.25" customHeight="1"/>
    <row r="31522" ht="26.25" customHeight="1"/>
    <row r="31523" ht="26.25" customHeight="1"/>
    <row r="31524" ht="26.25" customHeight="1"/>
    <row r="31525" ht="26.25" customHeight="1"/>
    <row r="31526" ht="26.25" customHeight="1"/>
    <row r="31527" ht="26.25" customHeight="1"/>
    <row r="31528" ht="26.25" customHeight="1"/>
    <row r="31529" ht="26.25" customHeight="1"/>
    <row r="31530" ht="26.25" customHeight="1"/>
    <row r="31531" ht="26.25" customHeight="1"/>
    <row r="31532" ht="26.25" customHeight="1"/>
    <row r="31533" ht="26.25" customHeight="1"/>
    <row r="31534" ht="26.25" customHeight="1"/>
    <row r="31535" ht="26.25" customHeight="1"/>
    <row r="31536" ht="26.25" customHeight="1"/>
    <row r="31537" ht="26.25" customHeight="1"/>
    <row r="31538" ht="26.25" customHeight="1"/>
    <row r="31539" ht="26.25" customHeight="1"/>
    <row r="31540" ht="26.25" customHeight="1"/>
    <row r="31541" ht="26.25" customHeight="1"/>
    <row r="31542" ht="26.25" customHeight="1"/>
    <row r="31543" ht="26.25" customHeight="1"/>
    <row r="31544" ht="26.25" customHeight="1"/>
    <row r="31545" ht="26.25" customHeight="1"/>
    <row r="31546" ht="26.25" customHeight="1"/>
    <row r="31547" ht="26.25" customHeight="1"/>
    <row r="31548" ht="26.25" customHeight="1"/>
    <row r="31549" ht="26.25" customHeight="1"/>
    <row r="31550" ht="26.25" customHeight="1"/>
    <row r="31551" ht="26.25" customHeight="1"/>
    <row r="31552" ht="26.25" customHeight="1"/>
    <row r="31553" ht="26.25" customHeight="1"/>
    <row r="31554" ht="26.25" customHeight="1"/>
    <row r="31555" ht="26.25" customHeight="1"/>
    <row r="31556" ht="26.25" customHeight="1"/>
    <row r="31557" ht="26.25" customHeight="1"/>
    <row r="31558" ht="26.25" customHeight="1"/>
    <row r="31559" ht="26.25" customHeight="1"/>
    <row r="31560" ht="26.25" customHeight="1"/>
    <row r="31561" ht="26.25" customHeight="1"/>
    <row r="31562" ht="26.25" customHeight="1"/>
    <row r="31563" ht="26.25" customHeight="1"/>
    <row r="31564" ht="26.25" customHeight="1"/>
    <row r="31565" ht="26.25" customHeight="1"/>
    <row r="31566" ht="26.25" customHeight="1"/>
    <row r="31567" ht="26.25" customHeight="1"/>
    <row r="31568" ht="26.25" customHeight="1"/>
    <row r="31569" ht="26.25" customHeight="1"/>
    <row r="31570" ht="26.25" customHeight="1"/>
    <row r="31571" ht="26.25" customHeight="1"/>
    <row r="31572" ht="26.25" customHeight="1"/>
    <row r="31573" ht="26.25" customHeight="1"/>
    <row r="31574" ht="26.25" customHeight="1"/>
    <row r="31575" ht="26.25" customHeight="1"/>
    <row r="31576" ht="26.25" customHeight="1"/>
    <row r="31577" ht="26.25" customHeight="1"/>
    <row r="31578" ht="26.25" customHeight="1"/>
    <row r="31579" ht="26.25" customHeight="1"/>
    <row r="31580" ht="26.25" customHeight="1"/>
    <row r="31581" ht="26.25" customHeight="1"/>
    <row r="31582" ht="26.25" customHeight="1"/>
    <row r="31583" ht="26.25" customHeight="1"/>
    <row r="31584" ht="26.25" customHeight="1"/>
    <row r="31585" ht="26.25" customHeight="1"/>
    <row r="31586" ht="26.25" customHeight="1"/>
    <row r="31587" ht="26.25" customHeight="1"/>
    <row r="31588" ht="26.25" customHeight="1"/>
    <row r="31589" ht="26.25" customHeight="1"/>
    <row r="31590" ht="26.25" customHeight="1"/>
    <row r="31591" ht="26.25" customHeight="1"/>
    <row r="31592" ht="26.25" customHeight="1"/>
    <row r="31593" ht="26.25" customHeight="1"/>
    <row r="31594" ht="26.25" customHeight="1"/>
    <row r="31595" ht="26.25" customHeight="1"/>
    <row r="31596" ht="26.25" customHeight="1"/>
    <row r="31597" ht="26.25" customHeight="1"/>
    <row r="31598" ht="26.25" customHeight="1"/>
    <row r="31599" ht="26.25" customHeight="1"/>
    <row r="31600" ht="26.25" customHeight="1"/>
    <row r="31601" ht="26.25" customHeight="1"/>
    <row r="31602" ht="26.25" customHeight="1"/>
    <row r="31603" ht="26.25" customHeight="1"/>
    <row r="31604" ht="26.25" customHeight="1"/>
    <row r="31605" ht="26.25" customHeight="1"/>
    <row r="31606" ht="26.25" customHeight="1"/>
    <row r="31607" ht="26.25" customHeight="1"/>
    <row r="31608" ht="26.25" customHeight="1"/>
    <row r="31609" ht="26.25" customHeight="1"/>
    <row r="31610" ht="26.25" customHeight="1"/>
    <row r="31611" ht="26.25" customHeight="1"/>
    <row r="31612" ht="26.25" customHeight="1"/>
    <row r="31613" ht="26.25" customHeight="1"/>
    <row r="31614" ht="26.25" customHeight="1"/>
    <row r="31615" ht="26.25" customHeight="1"/>
    <row r="31616" ht="26.25" customHeight="1"/>
    <row r="31617" ht="26.25" customHeight="1"/>
    <row r="31618" ht="26.25" customHeight="1"/>
    <row r="31619" ht="26.25" customHeight="1"/>
    <row r="31620" ht="26.25" customHeight="1"/>
    <row r="31621" ht="26.25" customHeight="1"/>
    <row r="31622" ht="26.25" customHeight="1"/>
    <row r="31623" ht="26.25" customHeight="1"/>
    <row r="31624" ht="26.25" customHeight="1"/>
    <row r="31625" ht="26.25" customHeight="1"/>
    <row r="31626" ht="26.25" customHeight="1"/>
    <row r="31627" ht="26.25" customHeight="1"/>
    <row r="31628" ht="26.25" customHeight="1"/>
    <row r="31629" ht="26.25" customHeight="1"/>
    <row r="31630" ht="26.25" customHeight="1"/>
    <row r="31631" ht="26.25" customHeight="1"/>
    <row r="31632" ht="26.25" customHeight="1"/>
    <row r="31633" ht="26.25" customHeight="1"/>
    <row r="31634" ht="26.25" customHeight="1"/>
    <row r="31635" ht="26.25" customHeight="1"/>
    <row r="31636" ht="26.25" customHeight="1"/>
    <row r="31637" ht="26.25" customHeight="1"/>
    <row r="31638" ht="26.25" customHeight="1"/>
    <row r="31639" ht="26.25" customHeight="1"/>
    <row r="31640" ht="26.25" customHeight="1"/>
    <row r="31641" ht="26.25" customHeight="1"/>
    <row r="31642" ht="26.25" customHeight="1"/>
    <row r="31643" ht="26.25" customHeight="1"/>
    <row r="31644" ht="26.25" customHeight="1"/>
    <row r="31645" ht="26.25" customHeight="1"/>
    <row r="31646" ht="26.25" customHeight="1"/>
    <row r="31647" ht="26.25" customHeight="1"/>
    <row r="31648" ht="26.25" customHeight="1"/>
    <row r="31649" ht="26.25" customHeight="1"/>
    <row r="31650" ht="26.25" customHeight="1"/>
    <row r="31651" ht="26.25" customHeight="1"/>
    <row r="31652" ht="26.25" customHeight="1"/>
    <row r="31653" ht="26.25" customHeight="1"/>
    <row r="31654" ht="26.25" customHeight="1"/>
    <row r="31655" ht="26.25" customHeight="1"/>
    <row r="31656" ht="26.25" customHeight="1"/>
    <row r="31657" ht="26.25" customHeight="1"/>
    <row r="31658" ht="26.25" customHeight="1"/>
    <row r="31659" ht="26.25" customHeight="1"/>
    <row r="31660" ht="26.25" customHeight="1"/>
    <row r="31661" ht="26.25" customHeight="1"/>
    <row r="31662" ht="26.25" customHeight="1"/>
    <row r="31663" ht="26.25" customHeight="1"/>
    <row r="31664" ht="26.25" customHeight="1"/>
    <row r="31665" ht="26.25" customHeight="1"/>
    <row r="31666" ht="26.25" customHeight="1"/>
    <row r="31667" ht="26.25" customHeight="1"/>
    <row r="31668" ht="26.25" customHeight="1"/>
    <row r="31669" ht="26.25" customHeight="1"/>
    <row r="31670" ht="26.25" customHeight="1"/>
    <row r="31671" ht="26.25" customHeight="1"/>
    <row r="31672" ht="26.25" customHeight="1"/>
    <row r="31673" ht="26.25" customHeight="1"/>
    <row r="31674" ht="26.25" customHeight="1"/>
    <row r="31675" ht="26.25" customHeight="1"/>
    <row r="31676" ht="26.25" customHeight="1"/>
    <row r="31677" ht="26.25" customHeight="1"/>
    <row r="31678" ht="26.25" customHeight="1"/>
    <row r="31679" ht="26.25" customHeight="1"/>
    <row r="31680" ht="26.25" customHeight="1"/>
    <row r="31681" ht="26.25" customHeight="1"/>
    <row r="31682" ht="26.25" customHeight="1"/>
    <row r="31683" ht="26.25" customHeight="1"/>
    <row r="31684" ht="26.25" customHeight="1"/>
    <row r="31685" ht="26.25" customHeight="1"/>
    <row r="31686" ht="26.25" customHeight="1"/>
    <row r="31687" ht="26.25" customHeight="1"/>
    <row r="31688" ht="26.25" customHeight="1"/>
    <row r="31689" ht="26.25" customHeight="1"/>
    <row r="31690" ht="26.25" customHeight="1"/>
    <row r="31691" ht="26.25" customHeight="1"/>
    <row r="31692" ht="26.25" customHeight="1"/>
    <row r="31693" ht="26.25" customHeight="1"/>
    <row r="31694" ht="26.25" customHeight="1"/>
    <row r="31695" ht="26.25" customHeight="1"/>
    <row r="31696" ht="26.25" customHeight="1"/>
    <row r="31697" ht="26.25" customHeight="1"/>
    <row r="31698" ht="26.25" customHeight="1"/>
    <row r="31699" ht="26.25" customHeight="1"/>
    <row r="31700" ht="26.25" customHeight="1"/>
    <row r="31701" ht="26.25" customHeight="1"/>
    <row r="31702" ht="26.25" customHeight="1"/>
    <row r="31703" ht="26.25" customHeight="1"/>
    <row r="31704" ht="26.25" customHeight="1"/>
    <row r="31705" ht="26.25" customHeight="1"/>
    <row r="31706" ht="26.25" customHeight="1"/>
    <row r="31707" ht="26.25" customHeight="1"/>
    <row r="31708" ht="26.25" customHeight="1"/>
    <row r="31709" ht="26.25" customHeight="1"/>
    <row r="31710" ht="26.25" customHeight="1"/>
    <row r="31711" ht="26.25" customHeight="1"/>
    <row r="31712" ht="26.25" customHeight="1"/>
    <row r="31713" ht="26.25" customHeight="1"/>
    <row r="31714" ht="26.25" customHeight="1"/>
    <row r="31715" ht="26.25" customHeight="1"/>
    <row r="31716" ht="26.25" customHeight="1"/>
    <row r="31717" ht="26.25" customHeight="1"/>
    <row r="31718" ht="26.25" customHeight="1"/>
    <row r="31719" ht="26.25" customHeight="1"/>
    <row r="31720" ht="26.25" customHeight="1"/>
    <row r="31721" ht="26.25" customHeight="1"/>
    <row r="31722" ht="26.25" customHeight="1"/>
    <row r="31723" ht="26.25" customHeight="1"/>
    <row r="31724" ht="26.25" customHeight="1"/>
    <row r="31725" ht="26.25" customHeight="1"/>
    <row r="31726" ht="26.25" customHeight="1"/>
    <row r="31727" ht="26.25" customHeight="1"/>
    <row r="31728" ht="26.25" customHeight="1"/>
    <row r="31729" ht="26.25" customHeight="1"/>
    <row r="31730" ht="26.25" customHeight="1"/>
    <row r="31731" ht="26.25" customHeight="1"/>
    <row r="31732" ht="26.25" customHeight="1"/>
    <row r="31733" ht="26.25" customHeight="1"/>
    <row r="31734" ht="26.25" customHeight="1"/>
    <row r="31735" ht="26.25" customHeight="1"/>
    <row r="31736" ht="26.25" customHeight="1"/>
    <row r="31737" ht="26.25" customHeight="1"/>
    <row r="31738" ht="26.25" customHeight="1"/>
    <row r="31739" ht="26.25" customHeight="1"/>
    <row r="31740" ht="26.25" customHeight="1"/>
    <row r="31741" ht="26.25" customHeight="1"/>
    <row r="31742" ht="26.25" customHeight="1"/>
    <row r="31743" ht="26.25" customHeight="1"/>
    <row r="31744" ht="26.25" customHeight="1"/>
    <row r="31745" ht="26.25" customHeight="1"/>
    <row r="31746" ht="26.25" customHeight="1"/>
    <row r="31747" ht="26.25" customHeight="1"/>
    <row r="31748" ht="26.25" customHeight="1"/>
    <row r="31749" ht="26.25" customHeight="1"/>
    <row r="31750" ht="26.25" customHeight="1"/>
    <row r="31751" ht="26.25" customHeight="1"/>
    <row r="31752" ht="26.25" customHeight="1"/>
    <row r="31753" ht="26.25" customHeight="1"/>
    <row r="31754" ht="26.25" customHeight="1"/>
    <row r="31755" ht="26.25" customHeight="1"/>
    <row r="31756" ht="26.25" customHeight="1"/>
    <row r="31757" ht="26.25" customHeight="1"/>
    <row r="31758" ht="26.25" customHeight="1"/>
    <row r="31759" ht="26.25" customHeight="1"/>
    <row r="31760" ht="26.25" customHeight="1"/>
    <row r="31761" ht="26.25" customHeight="1"/>
    <row r="31762" ht="26.25" customHeight="1"/>
    <row r="31763" ht="26.25" customHeight="1"/>
    <row r="31764" ht="26.25" customHeight="1"/>
    <row r="31765" ht="26.25" customHeight="1"/>
    <row r="31766" ht="26.25" customHeight="1"/>
    <row r="31767" ht="26.25" customHeight="1"/>
    <row r="31768" ht="26.25" customHeight="1"/>
    <row r="31769" ht="26.25" customHeight="1"/>
    <row r="31770" ht="26.25" customHeight="1"/>
    <row r="31771" ht="26.25" customHeight="1"/>
    <row r="31772" ht="26.25" customHeight="1"/>
    <row r="31773" ht="26.25" customHeight="1"/>
    <row r="31774" ht="26.25" customHeight="1"/>
    <row r="31775" ht="26.25" customHeight="1"/>
    <row r="31776" ht="26.25" customHeight="1"/>
    <row r="31777" ht="26.25" customHeight="1"/>
    <row r="31778" ht="26.25" customHeight="1"/>
    <row r="31779" ht="26.25" customHeight="1"/>
    <row r="31780" ht="26.25" customHeight="1"/>
    <row r="31781" ht="26.25" customHeight="1"/>
    <row r="31782" ht="26.25" customHeight="1"/>
    <row r="31783" ht="26.25" customHeight="1"/>
    <row r="31784" ht="26.25" customHeight="1"/>
    <row r="31785" ht="26.25" customHeight="1"/>
    <row r="31786" ht="26.25" customHeight="1"/>
    <row r="31787" ht="26.25" customHeight="1"/>
    <row r="31788" ht="26.25" customHeight="1"/>
    <row r="31789" ht="26.25" customHeight="1"/>
    <row r="31790" ht="26.25" customHeight="1"/>
    <row r="31791" ht="26.25" customHeight="1"/>
    <row r="31792" ht="26.25" customHeight="1"/>
    <row r="31793" ht="26.25" customHeight="1"/>
    <row r="31794" ht="26.25" customHeight="1"/>
    <row r="31795" ht="26.25" customHeight="1"/>
    <row r="31796" ht="26.25" customHeight="1"/>
    <row r="31797" ht="26.25" customHeight="1"/>
    <row r="31798" ht="26.25" customHeight="1"/>
    <row r="31799" ht="26.25" customHeight="1"/>
    <row r="31800" ht="26.25" customHeight="1"/>
    <row r="31801" ht="26.25" customHeight="1"/>
    <row r="31802" ht="26.25" customHeight="1"/>
    <row r="31803" ht="26.25" customHeight="1"/>
    <row r="31804" ht="26.25" customHeight="1"/>
    <row r="31805" ht="26.25" customHeight="1"/>
    <row r="31806" ht="26.25" customHeight="1"/>
    <row r="31807" ht="26.25" customHeight="1"/>
    <row r="31808" ht="26.25" customHeight="1"/>
    <row r="31809" ht="26.25" customHeight="1"/>
    <row r="31810" ht="26.25" customHeight="1"/>
    <row r="31811" ht="26.25" customHeight="1"/>
    <row r="31812" ht="26.25" customHeight="1"/>
    <row r="31813" ht="26.25" customHeight="1"/>
    <row r="31814" ht="26.25" customHeight="1"/>
    <row r="31815" ht="26.25" customHeight="1"/>
    <row r="31816" ht="26.25" customHeight="1"/>
    <row r="31817" ht="26.25" customHeight="1"/>
    <row r="31818" ht="26.25" customHeight="1"/>
    <row r="31819" ht="26.25" customHeight="1"/>
    <row r="31820" ht="26.25" customHeight="1"/>
    <row r="31821" ht="26.25" customHeight="1"/>
    <row r="31822" ht="26.25" customHeight="1"/>
    <row r="31823" ht="26.25" customHeight="1"/>
    <row r="31824" ht="26.25" customHeight="1"/>
    <row r="31825" ht="26.25" customHeight="1"/>
    <row r="31826" ht="26.25" customHeight="1"/>
    <row r="31827" ht="26.25" customHeight="1"/>
    <row r="31828" ht="26.25" customHeight="1"/>
    <row r="31829" ht="26.25" customHeight="1"/>
    <row r="31830" ht="26.25" customHeight="1"/>
    <row r="31831" ht="26.25" customHeight="1"/>
    <row r="31832" ht="26.25" customHeight="1"/>
    <row r="31833" ht="26.25" customHeight="1"/>
    <row r="31834" ht="26.25" customHeight="1"/>
    <row r="31835" ht="26.25" customHeight="1"/>
    <row r="31836" ht="26.25" customHeight="1"/>
    <row r="31837" ht="26.25" customHeight="1"/>
    <row r="31838" ht="26.25" customHeight="1"/>
    <row r="31839" ht="26.25" customHeight="1"/>
    <row r="31840" ht="26.25" customHeight="1"/>
    <row r="31841" ht="26.25" customHeight="1"/>
    <row r="31842" ht="26.25" customHeight="1"/>
    <row r="31843" ht="26.25" customHeight="1"/>
    <row r="31844" ht="26.25" customHeight="1"/>
    <row r="31845" ht="26.25" customHeight="1"/>
    <row r="31846" ht="26.25" customHeight="1"/>
    <row r="31847" ht="26.25" customHeight="1"/>
    <row r="31848" ht="26.25" customHeight="1"/>
    <row r="31849" ht="26.25" customHeight="1"/>
    <row r="31850" ht="26.25" customHeight="1"/>
    <row r="31851" ht="26.25" customHeight="1"/>
    <row r="31852" ht="26.25" customHeight="1"/>
    <row r="31853" ht="26.25" customHeight="1"/>
    <row r="31854" ht="26.25" customHeight="1"/>
    <row r="31855" ht="26.25" customHeight="1"/>
    <row r="31856" ht="26.25" customHeight="1"/>
    <row r="31857" ht="26.25" customHeight="1"/>
    <row r="31858" ht="26.25" customHeight="1"/>
    <row r="31859" ht="26.25" customHeight="1"/>
    <row r="31860" ht="26.25" customHeight="1"/>
    <row r="31861" ht="26.25" customHeight="1"/>
    <row r="31862" ht="26.25" customHeight="1"/>
    <row r="31863" ht="26.25" customHeight="1"/>
    <row r="31864" ht="26.25" customHeight="1"/>
    <row r="31865" ht="26.25" customHeight="1"/>
    <row r="31866" ht="26.25" customHeight="1"/>
    <row r="31867" ht="26.25" customHeight="1"/>
    <row r="31868" ht="26.25" customHeight="1"/>
    <row r="31869" ht="26.25" customHeight="1"/>
    <row r="31870" ht="26.25" customHeight="1"/>
    <row r="31871" ht="26.25" customHeight="1"/>
    <row r="31872" ht="26.25" customHeight="1"/>
    <row r="31873" ht="26.25" customHeight="1"/>
    <row r="31874" ht="26.25" customHeight="1"/>
    <row r="31875" ht="26.25" customHeight="1"/>
    <row r="31876" ht="26.25" customHeight="1"/>
    <row r="31877" ht="26.25" customHeight="1"/>
    <row r="31878" ht="26.25" customHeight="1"/>
    <row r="31879" ht="26.25" customHeight="1"/>
    <row r="31880" ht="26.25" customHeight="1"/>
    <row r="31881" ht="26.25" customHeight="1"/>
    <row r="31882" ht="26.25" customHeight="1"/>
    <row r="31883" ht="26.25" customHeight="1"/>
    <row r="31884" ht="26.25" customHeight="1"/>
    <row r="31885" ht="26.25" customHeight="1"/>
    <row r="31886" ht="26.25" customHeight="1"/>
    <row r="31887" ht="26.25" customHeight="1"/>
    <row r="31888" ht="26.25" customHeight="1"/>
    <row r="31889" ht="26.25" customHeight="1"/>
    <row r="31890" ht="26.25" customHeight="1"/>
    <row r="31891" ht="26.25" customHeight="1"/>
    <row r="31892" ht="26.25" customHeight="1"/>
    <row r="31893" ht="26.25" customHeight="1"/>
    <row r="31894" ht="26.25" customHeight="1"/>
    <row r="31895" ht="26.25" customHeight="1"/>
    <row r="31896" ht="26.25" customHeight="1"/>
    <row r="31897" ht="26.25" customHeight="1"/>
    <row r="31898" ht="26.25" customHeight="1"/>
    <row r="31899" ht="26.25" customHeight="1"/>
    <row r="31900" ht="26.25" customHeight="1"/>
    <row r="31901" ht="26.25" customHeight="1"/>
    <row r="31902" ht="26.25" customHeight="1"/>
    <row r="31903" ht="26.25" customHeight="1"/>
    <row r="31904" ht="26.25" customHeight="1"/>
    <row r="31905" ht="26.25" customHeight="1"/>
    <row r="31906" ht="26.25" customHeight="1"/>
    <row r="31907" ht="26.25" customHeight="1"/>
    <row r="31908" ht="26.25" customHeight="1"/>
    <row r="31909" ht="26.25" customHeight="1"/>
    <row r="31910" ht="26.25" customHeight="1"/>
    <row r="31911" ht="26.25" customHeight="1"/>
    <row r="31912" ht="26.25" customHeight="1"/>
    <row r="31913" ht="26.25" customHeight="1"/>
    <row r="31914" ht="26.25" customHeight="1"/>
    <row r="31915" ht="26.25" customHeight="1"/>
    <row r="31916" ht="26.25" customHeight="1"/>
    <row r="31917" ht="26.25" customHeight="1"/>
    <row r="31918" ht="26.25" customHeight="1"/>
    <row r="31919" ht="26.25" customHeight="1"/>
    <row r="31920" ht="26.25" customHeight="1"/>
    <row r="31921" ht="26.25" customHeight="1"/>
    <row r="31922" ht="26.25" customHeight="1"/>
    <row r="31923" ht="26.25" customHeight="1"/>
    <row r="31924" ht="26.25" customHeight="1"/>
    <row r="31925" ht="26.25" customHeight="1"/>
    <row r="31926" ht="26.25" customHeight="1"/>
    <row r="31927" ht="26.25" customHeight="1"/>
    <row r="31928" ht="26.25" customHeight="1"/>
    <row r="31929" ht="26.25" customHeight="1"/>
    <row r="31930" ht="26.25" customHeight="1"/>
    <row r="31931" ht="26.25" customHeight="1"/>
    <row r="31932" ht="26.25" customHeight="1"/>
    <row r="31933" ht="26.25" customHeight="1"/>
    <row r="31934" ht="26.25" customHeight="1"/>
    <row r="31935" ht="26.25" customHeight="1"/>
    <row r="31936" ht="26.25" customHeight="1"/>
    <row r="31937" ht="26.25" customHeight="1"/>
    <row r="31938" ht="26.25" customHeight="1"/>
    <row r="31939" ht="26.25" customHeight="1"/>
    <row r="31940" ht="26.25" customHeight="1"/>
    <row r="31941" ht="26.25" customHeight="1"/>
    <row r="31942" ht="26.25" customHeight="1"/>
    <row r="31943" ht="26.25" customHeight="1"/>
    <row r="31944" ht="26.25" customHeight="1"/>
    <row r="31945" ht="26.25" customHeight="1"/>
    <row r="31946" ht="26.25" customHeight="1"/>
    <row r="31947" ht="26.25" customHeight="1"/>
    <row r="31948" ht="26.25" customHeight="1"/>
    <row r="31949" ht="26.25" customHeight="1"/>
    <row r="31950" ht="26.25" customHeight="1"/>
    <row r="31951" ht="26.25" customHeight="1"/>
    <row r="31952" ht="26.25" customHeight="1"/>
    <row r="31953" ht="26.25" customHeight="1"/>
    <row r="31954" ht="26.25" customHeight="1"/>
    <row r="31955" ht="26.25" customHeight="1"/>
    <row r="31956" ht="26.25" customHeight="1"/>
    <row r="31957" ht="26.25" customHeight="1"/>
    <row r="31958" ht="26.25" customHeight="1"/>
    <row r="31959" ht="26.25" customHeight="1"/>
    <row r="31960" ht="26.25" customHeight="1"/>
    <row r="31961" ht="26.25" customHeight="1"/>
    <row r="31962" ht="26.25" customHeight="1"/>
    <row r="31963" ht="26.25" customHeight="1"/>
    <row r="31964" ht="26.25" customHeight="1"/>
    <row r="31965" ht="26.25" customHeight="1"/>
    <row r="31966" ht="26.25" customHeight="1"/>
    <row r="31967" ht="26.25" customHeight="1"/>
    <row r="31968" ht="26.25" customHeight="1"/>
    <row r="31969" ht="26.25" customHeight="1"/>
    <row r="31970" ht="26.25" customHeight="1"/>
    <row r="31971" ht="26.25" customHeight="1"/>
    <row r="31972" ht="26.25" customHeight="1"/>
    <row r="31973" ht="26.25" customHeight="1"/>
    <row r="31974" ht="26.25" customHeight="1"/>
    <row r="31975" ht="26.25" customHeight="1"/>
    <row r="31976" ht="26.25" customHeight="1"/>
    <row r="31977" ht="26.25" customHeight="1"/>
    <row r="31978" ht="26.25" customHeight="1"/>
    <row r="31979" ht="26.25" customHeight="1"/>
    <row r="31980" ht="26.25" customHeight="1"/>
    <row r="31981" ht="26.25" customHeight="1"/>
    <row r="31982" ht="26.25" customHeight="1"/>
    <row r="31983" ht="26.25" customHeight="1"/>
    <row r="31984" ht="26.25" customHeight="1"/>
    <row r="31985" ht="26.25" customHeight="1"/>
    <row r="31986" ht="26.25" customHeight="1"/>
    <row r="31987" ht="26.25" customHeight="1"/>
    <row r="31988" ht="26.25" customHeight="1"/>
    <row r="31989" ht="26.25" customHeight="1"/>
    <row r="31990" ht="26.25" customHeight="1"/>
    <row r="31991" ht="26.25" customHeight="1"/>
    <row r="31992" ht="26.25" customHeight="1"/>
    <row r="31993" ht="26.25" customHeight="1"/>
    <row r="31994" ht="26.25" customHeight="1"/>
    <row r="31995" ht="26.25" customHeight="1"/>
    <row r="31996" ht="26.25" customHeight="1"/>
    <row r="31997" ht="26.25" customHeight="1"/>
    <row r="31998" ht="26.25" customHeight="1"/>
    <row r="31999" ht="26.25" customHeight="1"/>
    <row r="32000" ht="26.25" customHeight="1"/>
    <row r="32001" ht="26.25" customHeight="1"/>
    <row r="32002" ht="26.25" customHeight="1"/>
    <row r="32003" ht="26.25" customHeight="1"/>
    <row r="32004" ht="26.25" customHeight="1"/>
    <row r="32005" ht="26.25" customHeight="1"/>
    <row r="32006" ht="26.25" customHeight="1"/>
    <row r="32007" ht="26.25" customHeight="1"/>
    <row r="32008" ht="26.25" customHeight="1"/>
    <row r="32009" ht="26.25" customHeight="1"/>
    <row r="32010" ht="26.25" customHeight="1"/>
    <row r="32011" ht="26.25" customHeight="1"/>
    <row r="32012" ht="26.25" customHeight="1"/>
    <row r="32013" ht="26.25" customHeight="1"/>
    <row r="32014" ht="26.25" customHeight="1"/>
    <row r="32015" ht="26.25" customHeight="1"/>
    <row r="32016" ht="26.25" customHeight="1"/>
    <row r="32017" ht="26.25" customHeight="1"/>
    <row r="32018" ht="26.25" customHeight="1"/>
    <row r="32019" ht="26.25" customHeight="1"/>
    <row r="32020" ht="26.25" customHeight="1"/>
    <row r="32021" ht="26.25" customHeight="1"/>
    <row r="32022" ht="26.25" customHeight="1"/>
    <row r="32023" ht="26.25" customHeight="1"/>
    <row r="32024" ht="26.25" customHeight="1"/>
    <row r="32025" ht="26.25" customHeight="1"/>
    <row r="32026" ht="26.25" customHeight="1"/>
    <row r="32027" ht="26.25" customHeight="1"/>
    <row r="32028" ht="26.25" customHeight="1"/>
    <row r="32029" ht="26.25" customHeight="1"/>
    <row r="32030" ht="26.25" customHeight="1"/>
    <row r="32031" ht="26.25" customHeight="1"/>
    <row r="32032" ht="26.25" customHeight="1"/>
    <row r="32033" ht="26.25" customHeight="1"/>
    <row r="32034" ht="26.25" customHeight="1"/>
    <row r="32035" ht="26.25" customHeight="1"/>
    <row r="32036" ht="26.25" customHeight="1"/>
    <row r="32037" ht="26.25" customHeight="1"/>
    <row r="32038" ht="26.25" customHeight="1"/>
    <row r="32039" ht="26.25" customHeight="1"/>
    <row r="32040" ht="26.25" customHeight="1"/>
    <row r="32041" ht="26.25" customHeight="1"/>
    <row r="32042" ht="26.25" customHeight="1"/>
    <row r="32043" ht="26.25" customHeight="1"/>
    <row r="32044" ht="26.25" customHeight="1"/>
    <row r="32045" ht="26.25" customHeight="1"/>
    <row r="32046" ht="26.25" customHeight="1"/>
    <row r="32047" ht="26.25" customHeight="1"/>
    <row r="32048" ht="26.25" customHeight="1"/>
    <row r="32049" ht="26.25" customHeight="1"/>
    <row r="32050" ht="26.25" customHeight="1"/>
    <row r="32051" ht="26.25" customHeight="1"/>
    <row r="32052" ht="26.25" customHeight="1"/>
    <row r="32053" ht="26.25" customHeight="1"/>
    <row r="32054" ht="26.25" customHeight="1"/>
    <row r="32055" ht="26.25" customHeight="1"/>
    <row r="32056" ht="26.25" customHeight="1"/>
    <row r="32057" ht="26.25" customHeight="1"/>
    <row r="32058" ht="26.25" customHeight="1"/>
    <row r="32059" ht="26.25" customHeight="1"/>
    <row r="32060" ht="26.25" customHeight="1"/>
    <row r="32061" ht="26.25" customHeight="1"/>
    <row r="32062" ht="26.25" customHeight="1"/>
    <row r="32063" ht="26.25" customHeight="1"/>
    <row r="32064" ht="26.25" customHeight="1"/>
    <row r="32065" ht="26.25" customHeight="1"/>
    <row r="32066" ht="26.25" customHeight="1"/>
    <row r="32067" ht="26.25" customHeight="1"/>
    <row r="32068" ht="26.25" customHeight="1"/>
    <row r="32069" ht="26.25" customHeight="1"/>
    <row r="32070" ht="26.25" customHeight="1"/>
    <row r="32071" ht="26.25" customHeight="1"/>
    <row r="32072" ht="26.25" customHeight="1"/>
    <row r="32073" ht="26.25" customHeight="1"/>
    <row r="32074" ht="26.25" customHeight="1"/>
    <row r="32075" ht="26.25" customHeight="1"/>
    <row r="32076" ht="26.25" customHeight="1"/>
    <row r="32077" ht="26.25" customHeight="1"/>
    <row r="32078" ht="26.25" customHeight="1"/>
    <row r="32079" ht="26.25" customHeight="1"/>
    <row r="32080" ht="26.25" customHeight="1"/>
    <row r="32081" ht="26.25" customHeight="1"/>
    <row r="32082" ht="26.25" customHeight="1"/>
    <row r="32083" ht="26.25" customHeight="1"/>
    <row r="32084" ht="26.25" customHeight="1"/>
    <row r="32085" ht="26.25" customHeight="1"/>
    <row r="32086" ht="26.25" customHeight="1"/>
    <row r="32087" ht="26.25" customHeight="1"/>
    <row r="32088" ht="26.25" customHeight="1"/>
    <row r="32089" ht="26.25" customHeight="1"/>
    <row r="32090" ht="26.25" customHeight="1"/>
    <row r="32091" ht="26.25" customHeight="1"/>
    <row r="32092" ht="26.25" customHeight="1"/>
    <row r="32093" ht="26.25" customHeight="1"/>
    <row r="32094" ht="26.25" customHeight="1"/>
    <row r="32095" ht="26.25" customHeight="1"/>
    <row r="32096" ht="26.25" customHeight="1"/>
    <row r="32097" ht="26.25" customHeight="1"/>
    <row r="32098" ht="26.25" customHeight="1"/>
    <row r="32099" ht="26.25" customHeight="1"/>
    <row r="32100" ht="26.25" customHeight="1"/>
    <row r="32101" ht="26.25" customHeight="1"/>
    <row r="32102" ht="26.25" customHeight="1"/>
    <row r="32103" ht="26.25" customHeight="1"/>
    <row r="32104" ht="26.25" customHeight="1"/>
    <row r="32105" ht="26.25" customHeight="1"/>
    <row r="32106" ht="26.25" customHeight="1"/>
    <row r="32107" ht="26.25" customHeight="1"/>
    <row r="32108" ht="26.25" customHeight="1"/>
    <row r="32109" ht="26.25" customHeight="1"/>
    <row r="32110" ht="26.25" customHeight="1"/>
    <row r="32111" ht="26.25" customHeight="1"/>
    <row r="32112" ht="26.25" customHeight="1"/>
    <row r="32113" ht="26.25" customHeight="1"/>
    <row r="32114" ht="26.25" customHeight="1"/>
    <row r="32115" ht="26.25" customHeight="1"/>
    <row r="32116" ht="26.25" customHeight="1"/>
    <row r="32117" ht="26.25" customHeight="1"/>
    <row r="32118" ht="26.25" customHeight="1"/>
    <row r="32119" ht="26.25" customHeight="1"/>
    <row r="32120" ht="26.25" customHeight="1"/>
    <row r="32121" ht="26.25" customHeight="1"/>
    <row r="32122" ht="26.25" customHeight="1"/>
    <row r="32123" ht="26.25" customHeight="1"/>
    <row r="32124" ht="26.25" customHeight="1"/>
    <row r="32125" ht="26.25" customHeight="1"/>
    <row r="32126" ht="26.25" customHeight="1"/>
    <row r="32127" ht="26.25" customHeight="1"/>
    <row r="32128" ht="26.25" customHeight="1"/>
    <row r="32129" ht="26.25" customHeight="1"/>
    <row r="32130" ht="26.25" customHeight="1"/>
    <row r="32131" ht="26.25" customHeight="1"/>
    <row r="32132" ht="26.25" customHeight="1"/>
    <row r="32133" ht="26.25" customHeight="1"/>
    <row r="32134" ht="26.25" customHeight="1"/>
    <row r="32135" ht="26.25" customHeight="1"/>
    <row r="32136" ht="26.25" customHeight="1"/>
    <row r="32137" ht="26.25" customHeight="1"/>
    <row r="32138" ht="26.25" customHeight="1"/>
    <row r="32139" ht="26.25" customHeight="1"/>
    <row r="32140" ht="26.25" customHeight="1"/>
    <row r="32141" ht="26.25" customHeight="1"/>
    <row r="32142" ht="26.25" customHeight="1"/>
    <row r="32143" ht="26.25" customHeight="1"/>
    <row r="32144" ht="26.25" customHeight="1"/>
    <row r="32145" ht="26.25" customHeight="1"/>
    <row r="32146" ht="26.25" customHeight="1"/>
    <row r="32147" ht="26.25" customHeight="1"/>
    <row r="32148" ht="26.25" customHeight="1"/>
    <row r="32149" ht="26.25" customHeight="1"/>
    <row r="32150" ht="26.25" customHeight="1"/>
    <row r="32151" ht="26.25" customHeight="1"/>
    <row r="32152" ht="26.25" customHeight="1"/>
    <row r="32153" ht="26.25" customHeight="1"/>
    <row r="32154" ht="26.25" customHeight="1"/>
    <row r="32155" ht="26.25" customHeight="1"/>
    <row r="32156" ht="26.25" customHeight="1"/>
    <row r="32157" ht="26.25" customHeight="1"/>
    <row r="32158" ht="26.25" customHeight="1"/>
    <row r="32159" ht="26.25" customHeight="1"/>
    <row r="32160" ht="26.25" customHeight="1"/>
    <row r="32161" ht="26.25" customHeight="1"/>
    <row r="32162" ht="26.25" customHeight="1"/>
    <row r="32163" ht="26.25" customHeight="1"/>
    <row r="32164" ht="26.25" customHeight="1"/>
    <row r="32165" ht="26.25" customHeight="1"/>
    <row r="32166" ht="26.25" customHeight="1"/>
    <row r="32167" ht="26.25" customHeight="1"/>
    <row r="32168" ht="26.25" customHeight="1"/>
    <row r="32169" ht="26.25" customHeight="1"/>
    <row r="32170" ht="26.25" customHeight="1"/>
    <row r="32171" ht="26.25" customHeight="1"/>
    <row r="32172" ht="26.25" customHeight="1"/>
    <row r="32173" ht="26.25" customHeight="1"/>
    <row r="32174" ht="26.25" customHeight="1"/>
    <row r="32175" ht="26.25" customHeight="1"/>
    <row r="32176" ht="26.25" customHeight="1"/>
    <row r="32177" ht="26.25" customHeight="1"/>
    <row r="32178" ht="26.25" customHeight="1"/>
    <row r="32179" ht="26.25" customHeight="1"/>
    <row r="32180" ht="26.25" customHeight="1"/>
    <row r="32181" ht="26.25" customHeight="1"/>
    <row r="32182" ht="26.25" customHeight="1"/>
    <row r="32183" ht="26.25" customHeight="1"/>
    <row r="32184" ht="26.25" customHeight="1"/>
    <row r="32185" ht="26.25" customHeight="1"/>
    <row r="32186" ht="26.25" customHeight="1"/>
    <row r="32187" ht="26.25" customHeight="1"/>
    <row r="32188" ht="26.25" customHeight="1"/>
    <row r="32189" ht="26.25" customHeight="1"/>
    <row r="32190" ht="26.25" customHeight="1"/>
    <row r="32191" ht="26.25" customHeight="1"/>
    <row r="32192" ht="26.25" customHeight="1"/>
    <row r="32193" ht="26.25" customHeight="1"/>
    <row r="32194" ht="26.25" customHeight="1"/>
    <row r="32195" ht="26.25" customHeight="1"/>
    <row r="32196" ht="26.25" customHeight="1"/>
    <row r="32197" ht="26.25" customHeight="1"/>
    <row r="32198" ht="26.25" customHeight="1"/>
    <row r="32199" ht="26.25" customHeight="1"/>
    <row r="32200" ht="26.25" customHeight="1"/>
    <row r="32201" ht="26.25" customHeight="1"/>
    <row r="32202" ht="26.25" customHeight="1"/>
    <row r="32203" ht="26.25" customHeight="1"/>
    <row r="32204" ht="26.25" customHeight="1"/>
    <row r="32205" ht="26.25" customHeight="1"/>
    <row r="32206" ht="26.25" customHeight="1"/>
    <row r="32207" ht="26.25" customHeight="1"/>
    <row r="32208" ht="26.25" customHeight="1"/>
    <row r="32209" ht="26.25" customHeight="1"/>
    <row r="32210" ht="26.25" customHeight="1"/>
    <row r="32211" ht="26.25" customHeight="1"/>
    <row r="32212" ht="26.25" customHeight="1"/>
    <row r="32213" ht="26.25" customHeight="1"/>
    <row r="32214" ht="26.25" customHeight="1"/>
    <row r="32215" ht="26.25" customHeight="1"/>
    <row r="32216" ht="26.25" customHeight="1"/>
    <row r="32217" ht="26.25" customHeight="1"/>
    <row r="32218" ht="26.25" customHeight="1"/>
    <row r="32219" ht="26.25" customHeight="1"/>
    <row r="32220" ht="26.25" customHeight="1"/>
    <row r="32221" ht="26.25" customHeight="1"/>
    <row r="32222" ht="26.25" customHeight="1"/>
    <row r="32223" ht="26.25" customHeight="1"/>
    <row r="32224" ht="26.25" customHeight="1"/>
    <row r="32225" ht="26.25" customHeight="1"/>
    <row r="32226" ht="26.25" customHeight="1"/>
    <row r="32227" ht="26.25" customHeight="1"/>
    <row r="32228" ht="26.25" customHeight="1"/>
    <row r="32229" ht="26.25" customHeight="1"/>
    <row r="32230" ht="26.25" customHeight="1"/>
    <row r="32231" ht="26.25" customHeight="1"/>
    <row r="32232" ht="26.25" customHeight="1"/>
    <row r="32233" ht="26.25" customHeight="1"/>
    <row r="32234" ht="26.25" customHeight="1"/>
    <row r="32235" ht="26.25" customHeight="1"/>
    <row r="32236" ht="26.25" customHeight="1"/>
    <row r="32237" ht="26.25" customHeight="1"/>
    <row r="32238" ht="26.25" customHeight="1"/>
    <row r="32239" ht="26.25" customHeight="1"/>
    <row r="32240" ht="26.25" customHeight="1"/>
    <row r="32241" ht="26.25" customHeight="1"/>
    <row r="32242" ht="26.25" customHeight="1"/>
    <row r="32243" ht="26.25" customHeight="1"/>
    <row r="32244" ht="26.25" customHeight="1"/>
    <row r="32245" ht="26.25" customHeight="1"/>
    <row r="32246" ht="26.25" customHeight="1"/>
    <row r="32247" ht="26.25" customHeight="1"/>
    <row r="32248" ht="26.25" customHeight="1"/>
    <row r="32249" ht="26.25" customHeight="1"/>
    <row r="32250" ht="26.25" customHeight="1"/>
    <row r="32251" ht="26.25" customHeight="1"/>
    <row r="32252" ht="26.25" customHeight="1"/>
    <row r="32253" ht="26.25" customHeight="1"/>
    <row r="32254" ht="26.25" customHeight="1"/>
    <row r="32255" ht="26.25" customHeight="1"/>
    <row r="32256" ht="26.25" customHeight="1"/>
    <row r="32257" ht="26.25" customHeight="1"/>
    <row r="32258" ht="26.25" customHeight="1"/>
    <row r="32259" ht="26.25" customHeight="1"/>
    <row r="32260" ht="26.25" customHeight="1"/>
    <row r="32261" ht="26.25" customHeight="1"/>
    <row r="32262" ht="26.25" customHeight="1"/>
    <row r="32263" ht="26.25" customHeight="1"/>
    <row r="32264" ht="26.25" customHeight="1"/>
    <row r="32265" ht="26.25" customHeight="1"/>
    <row r="32266" ht="26.25" customHeight="1"/>
    <row r="32267" ht="26.25" customHeight="1"/>
    <row r="32268" ht="26.25" customHeight="1"/>
    <row r="32269" ht="26.25" customHeight="1"/>
    <row r="32270" ht="26.25" customHeight="1"/>
    <row r="32271" ht="26.25" customHeight="1"/>
    <row r="32272" ht="26.25" customHeight="1"/>
    <row r="32273" ht="26.25" customHeight="1"/>
    <row r="32274" ht="26.25" customHeight="1"/>
    <row r="32275" ht="26.25" customHeight="1"/>
    <row r="32276" ht="26.25" customHeight="1"/>
    <row r="32277" ht="26.25" customHeight="1"/>
    <row r="32278" ht="26.25" customHeight="1"/>
    <row r="32279" ht="26.25" customHeight="1"/>
    <row r="32280" ht="26.25" customHeight="1"/>
    <row r="32281" ht="26.25" customHeight="1"/>
    <row r="32282" ht="26.25" customHeight="1"/>
    <row r="32283" ht="26.25" customHeight="1"/>
    <row r="32284" ht="26.25" customHeight="1"/>
    <row r="32285" ht="26.25" customHeight="1"/>
    <row r="32286" ht="26.25" customHeight="1"/>
    <row r="32287" ht="26.25" customHeight="1"/>
    <row r="32288" ht="26.25" customHeight="1"/>
    <row r="32289" ht="26.25" customHeight="1"/>
    <row r="32290" ht="26.25" customHeight="1"/>
    <row r="32291" ht="26.25" customHeight="1"/>
    <row r="32292" ht="26.25" customHeight="1"/>
    <row r="32293" ht="26.25" customHeight="1"/>
    <row r="32294" ht="26.25" customHeight="1"/>
    <row r="32295" ht="26.25" customHeight="1"/>
    <row r="32296" ht="26.25" customHeight="1"/>
    <row r="32297" ht="26.25" customHeight="1"/>
    <row r="32298" ht="26.25" customHeight="1"/>
    <row r="32299" ht="26.25" customHeight="1"/>
    <row r="32300" ht="26.25" customHeight="1"/>
    <row r="32301" ht="26.25" customHeight="1"/>
    <row r="32302" ht="26.25" customHeight="1"/>
    <row r="32303" ht="26.25" customHeight="1"/>
    <row r="32304" ht="26.25" customHeight="1"/>
    <row r="32305" ht="26.25" customHeight="1"/>
    <row r="32306" ht="26.25" customHeight="1"/>
    <row r="32307" ht="26.25" customHeight="1"/>
    <row r="32308" ht="26.25" customHeight="1"/>
    <row r="32309" ht="26.25" customHeight="1"/>
    <row r="32310" ht="26.25" customHeight="1"/>
    <row r="32311" ht="26.25" customHeight="1"/>
    <row r="32312" ht="26.25" customHeight="1"/>
    <row r="32313" ht="26.25" customHeight="1"/>
    <row r="32314" ht="26.25" customHeight="1"/>
    <row r="32315" ht="26.25" customHeight="1"/>
    <row r="32316" ht="26.25" customHeight="1"/>
    <row r="32317" ht="26.25" customHeight="1"/>
    <row r="32318" ht="26.25" customHeight="1"/>
    <row r="32319" ht="26.25" customHeight="1"/>
    <row r="32320" ht="26.25" customHeight="1"/>
    <row r="32321" ht="26.25" customHeight="1"/>
    <row r="32322" ht="26.25" customHeight="1"/>
    <row r="32323" ht="26.25" customHeight="1"/>
    <row r="32324" ht="26.25" customHeight="1"/>
    <row r="32325" ht="26.25" customHeight="1"/>
    <row r="32326" ht="26.25" customHeight="1"/>
    <row r="32327" ht="26.25" customHeight="1"/>
    <row r="32328" ht="26.25" customHeight="1"/>
    <row r="32329" ht="26.25" customHeight="1"/>
    <row r="32330" ht="26.25" customHeight="1"/>
    <row r="32331" ht="26.25" customHeight="1"/>
    <row r="32332" ht="26.25" customHeight="1"/>
    <row r="32333" ht="26.25" customHeight="1"/>
    <row r="32334" ht="26.25" customHeight="1"/>
    <row r="32335" ht="26.25" customHeight="1"/>
    <row r="32336" ht="26.25" customHeight="1"/>
    <row r="32337" ht="26.25" customHeight="1"/>
    <row r="32338" ht="26.25" customHeight="1"/>
    <row r="32339" ht="26.25" customHeight="1"/>
    <row r="32340" ht="26.25" customHeight="1"/>
    <row r="32341" ht="26.25" customHeight="1"/>
    <row r="32342" ht="26.25" customHeight="1"/>
    <row r="32343" ht="26.25" customHeight="1"/>
    <row r="32344" ht="26.25" customHeight="1"/>
    <row r="32345" ht="26.25" customHeight="1"/>
    <row r="32346" ht="26.25" customHeight="1"/>
    <row r="32347" ht="26.25" customHeight="1"/>
    <row r="32348" ht="26.25" customHeight="1"/>
    <row r="32349" ht="26.25" customHeight="1"/>
    <row r="32350" ht="26.25" customHeight="1"/>
    <row r="32351" ht="26.25" customHeight="1"/>
    <row r="32352" ht="26.25" customHeight="1"/>
    <row r="32353" ht="26.25" customHeight="1"/>
    <row r="32354" ht="26.25" customHeight="1"/>
    <row r="32355" ht="26.25" customHeight="1"/>
    <row r="32356" ht="26.25" customHeight="1"/>
    <row r="32357" ht="26.25" customHeight="1"/>
    <row r="32358" ht="26.25" customHeight="1"/>
    <row r="32359" ht="26.25" customHeight="1"/>
    <row r="32360" ht="26.25" customHeight="1"/>
    <row r="32361" ht="26.25" customHeight="1"/>
    <row r="32362" ht="26.25" customHeight="1"/>
    <row r="32363" ht="26.25" customHeight="1"/>
    <row r="32364" ht="26.25" customHeight="1"/>
    <row r="32365" ht="26.25" customHeight="1"/>
    <row r="32366" ht="26.25" customHeight="1"/>
    <row r="32367" ht="26.25" customHeight="1"/>
    <row r="32368" ht="26.25" customHeight="1"/>
    <row r="32369" ht="26.25" customHeight="1"/>
    <row r="32370" ht="26.25" customHeight="1"/>
    <row r="32371" ht="26.25" customHeight="1"/>
    <row r="32372" ht="26.25" customHeight="1"/>
    <row r="32373" ht="26.25" customHeight="1"/>
    <row r="32374" ht="26.25" customHeight="1"/>
    <row r="32375" ht="26.25" customHeight="1"/>
    <row r="32376" ht="26.25" customHeight="1"/>
    <row r="32377" ht="26.25" customHeight="1"/>
    <row r="32378" ht="26.25" customHeight="1"/>
    <row r="32379" ht="26.25" customHeight="1"/>
    <row r="32380" ht="26.25" customHeight="1"/>
    <row r="32381" ht="26.25" customHeight="1"/>
    <row r="32382" ht="26.25" customHeight="1"/>
    <row r="32383" ht="26.25" customHeight="1"/>
    <row r="32384" ht="26.25" customHeight="1"/>
    <row r="32385" ht="26.25" customHeight="1"/>
    <row r="32386" ht="26.25" customHeight="1"/>
    <row r="32387" ht="26.25" customHeight="1"/>
    <row r="32388" ht="26.25" customHeight="1"/>
    <row r="32389" ht="26.25" customHeight="1"/>
    <row r="32390" ht="26.25" customHeight="1"/>
    <row r="32391" ht="26.25" customHeight="1"/>
    <row r="32392" ht="26.25" customHeight="1"/>
    <row r="32393" ht="26.25" customHeight="1"/>
    <row r="32394" ht="26.25" customHeight="1"/>
    <row r="32395" ht="26.25" customHeight="1"/>
    <row r="32396" ht="26.25" customHeight="1"/>
    <row r="32397" ht="26.25" customHeight="1"/>
    <row r="32398" ht="26.25" customHeight="1"/>
    <row r="32399" ht="26.25" customHeight="1"/>
    <row r="32400" ht="26.25" customHeight="1"/>
    <row r="32401" ht="26.25" customHeight="1"/>
    <row r="32402" ht="26.25" customHeight="1"/>
    <row r="32403" ht="26.25" customHeight="1"/>
    <row r="32404" ht="26.25" customHeight="1"/>
    <row r="32405" ht="26.25" customHeight="1"/>
    <row r="32406" ht="26.25" customHeight="1"/>
    <row r="32407" ht="26.25" customHeight="1"/>
    <row r="32408" ht="26.25" customHeight="1"/>
    <row r="32409" ht="26.25" customHeight="1"/>
    <row r="32410" ht="26.25" customHeight="1"/>
    <row r="32411" ht="26.25" customHeight="1"/>
    <row r="32412" ht="26.25" customHeight="1"/>
    <row r="32413" ht="26.25" customHeight="1"/>
    <row r="32414" ht="26.25" customHeight="1"/>
    <row r="32415" ht="26.25" customHeight="1"/>
    <row r="32416" ht="26.25" customHeight="1"/>
    <row r="32417" ht="26.25" customHeight="1"/>
    <row r="32418" ht="26.25" customHeight="1"/>
    <row r="32419" ht="26.25" customHeight="1"/>
    <row r="32420" ht="26.25" customHeight="1"/>
    <row r="32421" ht="26.25" customHeight="1"/>
    <row r="32422" ht="26.25" customHeight="1"/>
    <row r="32423" ht="26.25" customHeight="1"/>
    <row r="32424" ht="26.25" customHeight="1"/>
    <row r="32425" ht="26.25" customHeight="1"/>
    <row r="32426" ht="26.25" customHeight="1"/>
    <row r="32427" ht="26.25" customHeight="1"/>
    <row r="32428" ht="26.25" customHeight="1"/>
    <row r="32429" ht="26.25" customHeight="1"/>
    <row r="32430" ht="26.25" customHeight="1"/>
    <row r="32431" ht="26.25" customHeight="1"/>
    <row r="32432" ht="26.25" customHeight="1"/>
    <row r="32433" ht="26.25" customHeight="1"/>
    <row r="32434" ht="26.25" customHeight="1"/>
    <row r="32435" ht="26.25" customHeight="1"/>
    <row r="32436" ht="26.25" customHeight="1"/>
    <row r="32437" ht="26.25" customHeight="1"/>
    <row r="32438" ht="26.25" customHeight="1"/>
    <row r="32439" ht="26.25" customHeight="1"/>
    <row r="32440" ht="26.25" customHeight="1"/>
    <row r="32441" ht="26.25" customHeight="1"/>
    <row r="32442" ht="26.25" customHeight="1"/>
    <row r="32443" ht="26.25" customHeight="1"/>
    <row r="32444" ht="26.25" customHeight="1"/>
    <row r="32445" ht="26.25" customHeight="1"/>
    <row r="32446" ht="26.25" customHeight="1"/>
    <row r="32447" ht="26.25" customHeight="1"/>
    <row r="32448" ht="26.25" customHeight="1"/>
    <row r="32449" ht="26.25" customHeight="1"/>
    <row r="32450" ht="26.25" customHeight="1"/>
    <row r="32451" ht="26.25" customHeight="1"/>
    <row r="32452" ht="26.25" customHeight="1"/>
    <row r="32453" ht="26.25" customHeight="1"/>
    <row r="32454" ht="26.25" customHeight="1"/>
    <row r="32455" ht="26.25" customHeight="1"/>
    <row r="32456" ht="26.25" customHeight="1"/>
    <row r="32457" ht="26.25" customHeight="1"/>
    <row r="32458" ht="26.25" customHeight="1"/>
    <row r="32459" ht="26.25" customHeight="1"/>
    <row r="32460" ht="26.25" customHeight="1"/>
    <row r="32461" ht="26.25" customHeight="1"/>
    <row r="32462" ht="26.25" customHeight="1"/>
    <row r="32463" ht="26.25" customHeight="1"/>
    <row r="32464" ht="26.25" customHeight="1"/>
    <row r="32465" ht="26.25" customHeight="1"/>
    <row r="32466" ht="26.25" customHeight="1"/>
    <row r="32467" ht="26.25" customHeight="1"/>
    <row r="32468" ht="26.25" customHeight="1"/>
    <row r="32469" ht="26.25" customHeight="1"/>
    <row r="32470" ht="26.25" customHeight="1"/>
    <row r="32471" ht="26.25" customHeight="1"/>
    <row r="32472" ht="26.25" customHeight="1"/>
    <row r="32473" ht="26.25" customHeight="1"/>
    <row r="32474" ht="26.25" customHeight="1"/>
    <row r="32475" ht="26.25" customHeight="1"/>
    <row r="32476" ht="26.25" customHeight="1"/>
    <row r="32477" ht="26.25" customHeight="1"/>
    <row r="32478" ht="26.25" customHeight="1"/>
    <row r="32479" ht="26.25" customHeight="1"/>
    <row r="32480" ht="26.25" customHeight="1"/>
    <row r="32481" ht="26.25" customHeight="1"/>
    <row r="32482" ht="26.25" customHeight="1"/>
    <row r="32483" ht="26.25" customHeight="1"/>
    <row r="32484" ht="26.25" customHeight="1"/>
    <row r="32485" ht="26.25" customHeight="1"/>
    <row r="32486" ht="26.25" customHeight="1"/>
    <row r="32487" ht="26.25" customHeight="1"/>
    <row r="32488" ht="26.25" customHeight="1"/>
    <row r="32489" ht="26.25" customHeight="1"/>
    <row r="32490" ht="26.25" customHeight="1"/>
    <row r="32491" ht="26.25" customHeight="1"/>
    <row r="32492" ht="26.25" customHeight="1"/>
    <row r="32493" ht="26.25" customHeight="1"/>
    <row r="32494" ht="26.25" customHeight="1"/>
    <row r="32495" ht="26.25" customHeight="1"/>
    <row r="32496" ht="26.25" customHeight="1"/>
    <row r="32497" ht="26.25" customHeight="1"/>
    <row r="32498" ht="26.25" customHeight="1"/>
    <row r="32499" ht="26.25" customHeight="1"/>
    <row r="32500" ht="26.25" customHeight="1"/>
    <row r="32501" ht="26.25" customHeight="1"/>
    <row r="32502" ht="26.25" customHeight="1"/>
    <row r="32503" ht="26.25" customHeight="1"/>
    <row r="32504" ht="26.25" customHeight="1"/>
    <row r="32505" ht="26.25" customHeight="1"/>
    <row r="32506" ht="26.25" customHeight="1"/>
    <row r="32507" ht="26.25" customHeight="1"/>
    <row r="32508" ht="26.25" customHeight="1"/>
    <row r="32509" ht="26.25" customHeight="1"/>
    <row r="32510" ht="26.25" customHeight="1"/>
    <row r="32511" ht="26.25" customHeight="1"/>
    <row r="32512" ht="26.25" customHeight="1"/>
    <row r="32513" ht="26.25" customHeight="1"/>
    <row r="32514" ht="26.25" customHeight="1"/>
    <row r="32515" ht="26.25" customHeight="1"/>
    <row r="32516" ht="26.25" customHeight="1"/>
    <row r="32517" ht="26.25" customHeight="1"/>
    <row r="32518" ht="26.25" customHeight="1"/>
    <row r="32519" ht="26.25" customHeight="1"/>
    <row r="32520" ht="26.25" customHeight="1"/>
    <row r="32521" ht="26.25" customHeight="1"/>
    <row r="32522" ht="26.25" customHeight="1"/>
    <row r="32523" ht="26.25" customHeight="1"/>
    <row r="32524" ht="26.25" customHeight="1"/>
    <row r="32525" ht="26.25" customHeight="1"/>
    <row r="32526" ht="26.25" customHeight="1"/>
    <row r="32527" ht="26.25" customHeight="1"/>
    <row r="32528" ht="26.25" customHeight="1"/>
    <row r="32529" ht="26.25" customHeight="1"/>
    <row r="32530" ht="26.25" customHeight="1"/>
    <row r="32531" ht="26.25" customHeight="1"/>
    <row r="32532" ht="26.25" customHeight="1"/>
    <row r="32533" ht="26.25" customHeight="1"/>
    <row r="32534" ht="26.25" customHeight="1"/>
    <row r="32535" ht="26.25" customHeight="1"/>
    <row r="32536" ht="26.25" customHeight="1"/>
    <row r="32537" ht="26.25" customHeight="1"/>
    <row r="32538" ht="26.25" customHeight="1"/>
    <row r="32539" ht="26.25" customHeight="1"/>
    <row r="32540" ht="26.25" customHeight="1"/>
    <row r="32541" ht="26.25" customHeight="1"/>
    <row r="32542" ht="26.25" customHeight="1"/>
    <row r="32543" ht="26.25" customHeight="1"/>
    <row r="32544" ht="26.25" customHeight="1"/>
    <row r="32545" ht="26.25" customHeight="1"/>
    <row r="32546" ht="26.25" customHeight="1"/>
    <row r="32547" ht="26.25" customHeight="1"/>
    <row r="32548" ht="26.25" customHeight="1"/>
    <row r="32549" ht="26.25" customHeight="1"/>
    <row r="32550" ht="26.25" customHeight="1"/>
    <row r="32551" ht="26.25" customHeight="1"/>
    <row r="32552" ht="26.25" customHeight="1"/>
    <row r="32553" ht="26.25" customHeight="1"/>
    <row r="32554" ht="26.25" customHeight="1"/>
    <row r="32555" ht="26.25" customHeight="1"/>
    <row r="32556" ht="26.25" customHeight="1"/>
    <row r="32557" ht="26.25" customHeight="1"/>
    <row r="32558" ht="26.25" customHeight="1"/>
    <row r="32559" ht="26.25" customHeight="1"/>
    <row r="32560" ht="26.25" customHeight="1"/>
    <row r="32561" ht="26.25" customHeight="1"/>
    <row r="32562" ht="26.25" customHeight="1"/>
    <row r="32563" ht="26.25" customHeight="1"/>
    <row r="32564" ht="26.25" customHeight="1"/>
    <row r="32565" ht="26.25" customHeight="1"/>
    <row r="32566" ht="26.25" customHeight="1"/>
    <row r="32567" ht="26.25" customHeight="1"/>
    <row r="32568" ht="26.25" customHeight="1"/>
    <row r="32569" ht="26.25" customHeight="1"/>
    <row r="32570" ht="26.25" customHeight="1"/>
    <row r="32571" ht="26.25" customHeight="1"/>
    <row r="32572" ht="26.25" customHeight="1"/>
    <row r="32573" ht="26.25" customHeight="1"/>
    <row r="32574" ht="26.25" customHeight="1"/>
    <row r="32575" ht="26.25" customHeight="1"/>
    <row r="32576" ht="26.25" customHeight="1"/>
    <row r="32577" ht="26.25" customHeight="1"/>
    <row r="32578" ht="26.25" customHeight="1"/>
    <row r="32579" ht="26.25" customHeight="1"/>
    <row r="32580" ht="26.25" customHeight="1"/>
    <row r="32581" ht="26.25" customHeight="1"/>
    <row r="32582" ht="26.25" customHeight="1"/>
    <row r="32583" ht="26.25" customHeight="1"/>
    <row r="32584" ht="26.25" customHeight="1"/>
    <row r="32585" ht="26.25" customHeight="1"/>
    <row r="32586" ht="26.25" customHeight="1"/>
    <row r="32587" ht="26.25" customHeight="1"/>
    <row r="32588" ht="26.25" customHeight="1"/>
    <row r="32589" ht="26.25" customHeight="1"/>
    <row r="32590" ht="26.25" customHeight="1"/>
    <row r="32591" ht="26.25" customHeight="1"/>
    <row r="32592" ht="26.25" customHeight="1"/>
    <row r="32593" ht="26.25" customHeight="1"/>
    <row r="32594" ht="26.25" customHeight="1"/>
    <row r="32595" ht="26.25" customHeight="1"/>
    <row r="32596" ht="26.25" customHeight="1"/>
    <row r="32597" ht="26.25" customHeight="1"/>
    <row r="32598" ht="26.25" customHeight="1"/>
    <row r="32599" ht="26.25" customHeight="1"/>
    <row r="32600" ht="26.25" customHeight="1"/>
    <row r="32601" ht="26.25" customHeight="1"/>
    <row r="32602" ht="26.25" customHeight="1"/>
    <row r="32603" ht="26.25" customHeight="1"/>
    <row r="32604" ht="26.25" customHeight="1"/>
    <row r="32605" ht="26.25" customHeight="1"/>
    <row r="32606" ht="26.25" customHeight="1"/>
    <row r="32607" ht="26.25" customHeight="1"/>
    <row r="32608" ht="26.25" customHeight="1"/>
    <row r="32609" ht="26.25" customHeight="1"/>
    <row r="32610" ht="26.25" customHeight="1"/>
    <row r="32611" ht="26.25" customHeight="1"/>
    <row r="32612" ht="26.25" customHeight="1"/>
    <row r="32613" ht="26.25" customHeight="1"/>
    <row r="32614" ht="26.25" customHeight="1"/>
    <row r="32615" ht="26.25" customHeight="1"/>
    <row r="32616" ht="26.25" customHeight="1"/>
    <row r="32617" ht="26.25" customHeight="1"/>
    <row r="32618" ht="26.25" customHeight="1"/>
    <row r="32619" ht="26.25" customHeight="1"/>
    <row r="32620" ht="26.25" customHeight="1"/>
    <row r="32621" ht="26.25" customHeight="1"/>
    <row r="32622" ht="26.25" customHeight="1"/>
    <row r="32623" ht="26.25" customHeight="1"/>
    <row r="32624" ht="26.25" customHeight="1"/>
    <row r="32625" ht="26.25" customHeight="1"/>
    <row r="32626" ht="26.25" customHeight="1"/>
    <row r="32627" ht="26.25" customHeight="1"/>
    <row r="32628" ht="26.25" customHeight="1"/>
    <row r="32629" ht="26.25" customHeight="1"/>
    <row r="32630" ht="26.25" customHeight="1"/>
    <row r="32631" ht="26.25" customHeight="1"/>
    <row r="32632" ht="26.25" customHeight="1"/>
    <row r="32633" ht="26.25" customHeight="1"/>
    <row r="32634" ht="26.25" customHeight="1"/>
    <row r="32635" ht="26.25" customHeight="1"/>
    <row r="32636" ht="26.25" customHeight="1"/>
    <row r="32637" ht="26.25" customHeight="1"/>
    <row r="32638" ht="26.25" customHeight="1"/>
    <row r="32639" ht="26.25" customHeight="1"/>
    <row r="32640" ht="26.25" customHeight="1"/>
    <row r="32641" ht="26.25" customHeight="1"/>
    <row r="32642" ht="26.25" customHeight="1"/>
    <row r="32643" ht="26.25" customHeight="1"/>
    <row r="32644" ht="26.25" customHeight="1"/>
    <row r="32645" ht="26.25" customHeight="1"/>
    <row r="32646" ht="26.25" customHeight="1"/>
    <row r="32647" ht="26.25" customHeight="1"/>
    <row r="32648" ht="26.25" customHeight="1"/>
    <row r="32649" ht="26.25" customHeight="1"/>
    <row r="32650" ht="26.25" customHeight="1"/>
    <row r="32651" ht="26.25" customHeight="1"/>
    <row r="32652" ht="26.25" customHeight="1"/>
    <row r="32653" ht="26.25" customHeight="1"/>
    <row r="32654" ht="26.25" customHeight="1"/>
    <row r="32655" ht="26.25" customHeight="1"/>
    <row r="32656" ht="26.25" customHeight="1"/>
    <row r="32657" ht="26.25" customHeight="1"/>
    <row r="32658" ht="26.25" customHeight="1"/>
    <row r="32659" ht="26.25" customHeight="1"/>
    <row r="32660" ht="26.25" customHeight="1"/>
    <row r="32661" ht="26.25" customHeight="1"/>
    <row r="32662" ht="26.25" customHeight="1"/>
    <row r="32663" ht="26.25" customHeight="1"/>
    <row r="32664" ht="26.25" customHeight="1"/>
    <row r="32665" ht="26.25" customHeight="1"/>
    <row r="32666" ht="26.25" customHeight="1"/>
    <row r="32667" ht="26.25" customHeight="1"/>
    <row r="32668" ht="26.25" customHeight="1"/>
    <row r="32669" ht="26.25" customHeight="1"/>
    <row r="32670" ht="26.25" customHeight="1"/>
    <row r="32671" ht="26.25" customHeight="1"/>
    <row r="32672" ht="26.25" customHeight="1"/>
    <row r="32673" ht="26.25" customHeight="1"/>
    <row r="32674" ht="26.25" customHeight="1"/>
    <row r="32675" ht="26.25" customHeight="1"/>
    <row r="32676" ht="26.25" customHeight="1"/>
    <row r="32677" ht="26.25" customHeight="1"/>
    <row r="32678" ht="26.25" customHeight="1"/>
    <row r="32679" ht="26.25" customHeight="1"/>
    <row r="32680" ht="26.25" customHeight="1"/>
    <row r="32681" ht="26.25" customHeight="1"/>
    <row r="32682" ht="26.25" customHeight="1"/>
    <row r="32683" ht="26.25" customHeight="1"/>
    <row r="32684" ht="26.25" customHeight="1"/>
    <row r="32685" ht="26.25" customHeight="1"/>
    <row r="32686" ht="26.25" customHeight="1"/>
    <row r="32687" ht="26.25" customHeight="1"/>
    <row r="32688" ht="26.25" customHeight="1"/>
    <row r="32689" ht="26.25" customHeight="1"/>
    <row r="32690" ht="26.25" customHeight="1"/>
    <row r="32691" ht="26.25" customHeight="1"/>
    <row r="32692" ht="26.25" customHeight="1"/>
    <row r="32693" ht="26.25" customHeight="1"/>
    <row r="32694" ht="26.25" customHeight="1"/>
    <row r="32695" ht="26.25" customHeight="1"/>
    <row r="32696" ht="26.25" customHeight="1"/>
    <row r="32697" ht="26.25" customHeight="1"/>
    <row r="32698" ht="26.25" customHeight="1"/>
    <row r="32699" ht="26.25" customHeight="1"/>
    <row r="32700" ht="26.25" customHeight="1"/>
    <row r="32701" ht="26.25" customHeight="1"/>
    <row r="32702" ht="26.25" customHeight="1"/>
    <row r="32703" ht="26.25" customHeight="1"/>
    <row r="32704" ht="26.25" customHeight="1"/>
    <row r="32705" ht="26.25" customHeight="1"/>
    <row r="32706" ht="26.25" customHeight="1"/>
    <row r="32707" ht="26.25" customHeight="1"/>
    <row r="32708" ht="26.25" customHeight="1"/>
    <row r="32709" ht="26.25" customHeight="1"/>
    <row r="32710" ht="26.25" customHeight="1"/>
    <row r="32711" ht="26.25" customHeight="1"/>
    <row r="32712" ht="26.25" customHeight="1"/>
    <row r="32713" ht="26.25" customHeight="1"/>
    <row r="32714" ht="26.25" customHeight="1"/>
    <row r="32715" ht="26.25" customHeight="1"/>
    <row r="32716" ht="26.25" customHeight="1"/>
    <row r="32717" ht="26.25" customHeight="1"/>
    <row r="32718" ht="26.25" customHeight="1"/>
    <row r="32719" ht="26.25" customHeight="1"/>
    <row r="32720" ht="26.25" customHeight="1"/>
    <row r="32721" ht="26.25" customHeight="1"/>
    <row r="32722" ht="26.25" customHeight="1"/>
    <row r="32723" ht="26.25" customHeight="1"/>
    <row r="32724" ht="26.25" customHeight="1"/>
    <row r="32725" ht="26.25" customHeight="1"/>
    <row r="32726" ht="26.25" customHeight="1"/>
    <row r="32727" ht="26.25" customHeight="1"/>
    <row r="32728" ht="26.25" customHeight="1"/>
    <row r="32729" ht="26.25" customHeight="1"/>
    <row r="32730" ht="26.25" customHeight="1"/>
    <row r="32731" ht="26.25" customHeight="1"/>
    <row r="32732" ht="26.25" customHeight="1"/>
    <row r="32733" ht="26.25" customHeight="1"/>
    <row r="32734" ht="26.25" customHeight="1"/>
    <row r="32735" ht="26.25" customHeight="1"/>
    <row r="32736" ht="26.25" customHeight="1"/>
    <row r="32737" ht="26.25" customHeight="1"/>
    <row r="32738" ht="26.25" customHeight="1"/>
    <row r="32739" ht="26.25" customHeight="1"/>
    <row r="32740" ht="26.25" customHeight="1"/>
    <row r="32741" ht="26.25" customHeight="1"/>
    <row r="32742" ht="26.25" customHeight="1"/>
    <row r="32743" ht="26.25" customHeight="1"/>
    <row r="32744" ht="26.25" customHeight="1"/>
    <row r="32745" ht="26.25" customHeight="1"/>
    <row r="32746" ht="26.25" customHeight="1"/>
    <row r="32747" ht="26.25" customHeight="1"/>
    <row r="32748" ht="26.25" customHeight="1"/>
    <row r="32749" ht="26.25" customHeight="1"/>
    <row r="32750" ht="26.25" customHeight="1"/>
    <row r="32751" ht="26.25" customHeight="1"/>
    <row r="32752" ht="26.25" customHeight="1"/>
    <row r="32753" ht="26.25" customHeight="1"/>
    <row r="32754" ht="26.25" customHeight="1"/>
    <row r="32755" ht="26.25" customHeight="1"/>
    <row r="32756" ht="26.25" customHeight="1"/>
    <row r="32757" ht="26.25" customHeight="1"/>
    <row r="32758" ht="26.25" customHeight="1"/>
    <row r="32759" ht="26.25" customHeight="1"/>
    <row r="32760" ht="26.25" customHeight="1"/>
    <row r="32761" ht="26.25" customHeight="1"/>
    <row r="32762" ht="26.25" customHeight="1"/>
    <row r="32763" ht="26.25" customHeight="1"/>
    <row r="32764" ht="26.25" customHeight="1"/>
    <row r="32765" ht="26.25" customHeight="1"/>
    <row r="32766" ht="26.25" customHeight="1"/>
    <row r="32767" ht="26.25" customHeight="1"/>
    <row r="32768" ht="26.25" customHeight="1"/>
    <row r="32769" ht="26.25" customHeight="1"/>
    <row r="32770" ht="26.25" customHeight="1"/>
    <row r="32771" ht="26.25" customHeight="1"/>
    <row r="32772" ht="26.25" customHeight="1"/>
    <row r="32773" ht="26.25" customHeight="1"/>
    <row r="32774" ht="26.25" customHeight="1"/>
    <row r="32775" ht="26.25" customHeight="1"/>
    <row r="32776" ht="26.25" customHeight="1"/>
    <row r="32777" ht="26.25" customHeight="1"/>
    <row r="32778" ht="26.25" customHeight="1"/>
    <row r="32779" ht="26.25" customHeight="1"/>
    <row r="32780" ht="26.25" customHeight="1"/>
    <row r="32781" ht="26.25" customHeight="1"/>
    <row r="32782" ht="26.25" customHeight="1"/>
    <row r="32783" ht="26.25" customHeight="1"/>
    <row r="32784" ht="26.25" customHeight="1"/>
    <row r="32785" ht="26.25" customHeight="1"/>
    <row r="32786" ht="26.25" customHeight="1"/>
    <row r="32787" ht="26.25" customHeight="1"/>
    <row r="32788" ht="26.25" customHeight="1"/>
    <row r="32789" ht="26.25" customHeight="1"/>
    <row r="32790" ht="26.25" customHeight="1"/>
    <row r="32791" ht="26.25" customHeight="1"/>
    <row r="32792" ht="26.25" customHeight="1"/>
    <row r="32793" ht="26.25" customHeight="1"/>
    <row r="32794" ht="26.25" customHeight="1"/>
    <row r="32795" ht="26.25" customHeight="1"/>
    <row r="32796" ht="26.25" customHeight="1"/>
    <row r="32797" ht="26.25" customHeight="1"/>
    <row r="32798" ht="26.25" customHeight="1"/>
    <row r="32799" ht="26.25" customHeight="1"/>
    <row r="32800" ht="26.25" customHeight="1"/>
    <row r="32801" ht="26.25" customHeight="1"/>
    <row r="32802" ht="26.25" customHeight="1"/>
    <row r="32803" ht="26.25" customHeight="1"/>
    <row r="32804" ht="26.25" customHeight="1"/>
    <row r="32805" ht="26.25" customHeight="1"/>
    <row r="32806" ht="26.25" customHeight="1"/>
    <row r="32807" ht="26.25" customHeight="1"/>
    <row r="32808" ht="26.25" customHeight="1"/>
    <row r="32809" ht="26.25" customHeight="1"/>
    <row r="32810" ht="26.25" customHeight="1"/>
    <row r="32811" ht="26.25" customHeight="1"/>
    <row r="32812" ht="26.25" customHeight="1"/>
    <row r="32813" ht="26.25" customHeight="1"/>
    <row r="32814" ht="26.25" customHeight="1"/>
    <row r="32815" ht="26.25" customHeight="1"/>
    <row r="32816" ht="26.25" customHeight="1"/>
    <row r="32817" ht="26.25" customHeight="1"/>
    <row r="32818" ht="26.25" customHeight="1"/>
    <row r="32819" ht="26.25" customHeight="1"/>
    <row r="32820" ht="26.25" customHeight="1"/>
    <row r="32821" ht="26.25" customHeight="1"/>
    <row r="32822" ht="26.25" customHeight="1"/>
    <row r="32823" ht="26.25" customHeight="1"/>
    <row r="32824" ht="26.25" customHeight="1"/>
    <row r="32825" ht="26.25" customHeight="1"/>
    <row r="32826" ht="26.25" customHeight="1"/>
    <row r="32827" ht="26.25" customHeight="1"/>
    <row r="32828" ht="26.25" customHeight="1"/>
    <row r="32829" ht="26.25" customHeight="1"/>
    <row r="32830" ht="26.25" customHeight="1"/>
    <row r="32831" ht="26.25" customHeight="1"/>
    <row r="32832" ht="26.25" customHeight="1"/>
    <row r="32833" ht="26.25" customHeight="1"/>
    <row r="32834" ht="26.25" customHeight="1"/>
    <row r="32835" ht="26.25" customHeight="1"/>
    <row r="32836" ht="26.25" customHeight="1"/>
    <row r="32837" ht="26.25" customHeight="1"/>
    <row r="32838" ht="26.25" customHeight="1"/>
    <row r="32839" ht="26.25" customHeight="1"/>
    <row r="32840" ht="26.25" customHeight="1"/>
    <row r="32841" ht="26.25" customHeight="1"/>
    <row r="32842" ht="26.25" customHeight="1"/>
    <row r="32843" ht="26.25" customHeight="1"/>
    <row r="32844" ht="26.25" customHeight="1"/>
    <row r="32845" ht="26.25" customHeight="1"/>
    <row r="32846" ht="26.25" customHeight="1"/>
    <row r="32847" ht="26.25" customHeight="1"/>
    <row r="32848" ht="26.25" customHeight="1"/>
    <row r="32849" ht="26.25" customHeight="1"/>
    <row r="32850" ht="26.25" customHeight="1"/>
    <row r="32851" ht="26.25" customHeight="1"/>
    <row r="32852" ht="26.25" customHeight="1"/>
    <row r="32853" ht="26.25" customHeight="1"/>
    <row r="32854" ht="26.25" customHeight="1"/>
    <row r="32855" ht="26.25" customHeight="1"/>
    <row r="32856" ht="26.25" customHeight="1"/>
    <row r="32857" ht="26.25" customHeight="1"/>
    <row r="32858" ht="26.25" customHeight="1"/>
    <row r="32859" ht="26.25" customHeight="1"/>
    <row r="32860" ht="26.25" customHeight="1"/>
    <row r="32861" ht="26.25" customHeight="1"/>
    <row r="32862" ht="26.25" customHeight="1"/>
    <row r="32863" ht="26.25" customHeight="1"/>
    <row r="32864" ht="26.25" customHeight="1"/>
    <row r="32865" ht="26.25" customHeight="1"/>
    <row r="32866" ht="26.25" customHeight="1"/>
    <row r="32867" ht="26.25" customHeight="1"/>
    <row r="32868" ht="26.25" customHeight="1"/>
    <row r="32869" ht="26.25" customHeight="1"/>
    <row r="32870" ht="26.25" customHeight="1"/>
    <row r="32871" ht="26.25" customHeight="1"/>
    <row r="32872" ht="26.25" customHeight="1"/>
    <row r="32873" ht="26.25" customHeight="1"/>
    <row r="32874" ht="26.25" customHeight="1"/>
    <row r="32875" ht="26.25" customHeight="1"/>
    <row r="32876" ht="26.25" customHeight="1"/>
    <row r="32877" ht="26.25" customHeight="1"/>
    <row r="32878" ht="26.25" customHeight="1"/>
    <row r="32879" ht="26.25" customHeight="1"/>
    <row r="32880" ht="26.25" customHeight="1"/>
    <row r="32881" ht="26.25" customHeight="1"/>
    <row r="32882" ht="26.25" customHeight="1"/>
    <row r="32883" ht="26.25" customHeight="1"/>
    <row r="32884" ht="26.25" customHeight="1"/>
    <row r="32885" ht="26.25" customHeight="1"/>
    <row r="32886" ht="26.25" customHeight="1"/>
    <row r="32887" ht="26.25" customHeight="1"/>
    <row r="32888" ht="26.25" customHeight="1"/>
    <row r="32889" ht="26.25" customHeight="1"/>
    <row r="32890" ht="26.25" customHeight="1"/>
    <row r="32891" ht="26.25" customHeight="1"/>
    <row r="32892" ht="26.25" customHeight="1"/>
    <row r="32893" ht="26.25" customHeight="1"/>
    <row r="32894" ht="26.25" customHeight="1"/>
    <row r="32895" ht="26.25" customHeight="1"/>
    <row r="32896" ht="26.25" customHeight="1"/>
    <row r="32897" ht="26.25" customHeight="1"/>
    <row r="32898" ht="26.25" customHeight="1"/>
    <row r="32899" ht="26.25" customHeight="1"/>
    <row r="32900" ht="26.25" customHeight="1"/>
    <row r="32901" ht="26.25" customHeight="1"/>
    <row r="32902" ht="26.25" customHeight="1"/>
    <row r="32903" ht="26.25" customHeight="1"/>
    <row r="32904" ht="26.25" customHeight="1"/>
    <row r="32905" ht="26.25" customHeight="1"/>
    <row r="32906" ht="26.25" customHeight="1"/>
    <row r="32907" ht="26.25" customHeight="1"/>
    <row r="32908" ht="26.25" customHeight="1"/>
    <row r="32909" ht="26.25" customHeight="1"/>
    <row r="32910" ht="26.25" customHeight="1"/>
    <row r="32911" ht="26.25" customHeight="1"/>
    <row r="32912" ht="26.25" customHeight="1"/>
    <row r="32913" ht="26.25" customHeight="1"/>
    <row r="32914" ht="26.25" customHeight="1"/>
    <row r="32915" ht="26.25" customHeight="1"/>
    <row r="32916" ht="26.25" customHeight="1"/>
    <row r="32917" ht="26.25" customHeight="1"/>
    <row r="32918" ht="26.25" customHeight="1"/>
    <row r="32919" ht="26.25" customHeight="1"/>
    <row r="32920" ht="26.25" customHeight="1"/>
    <row r="32921" ht="26.25" customHeight="1"/>
    <row r="32922" ht="26.25" customHeight="1"/>
    <row r="32923" ht="26.25" customHeight="1"/>
    <row r="32924" ht="26.25" customHeight="1"/>
    <row r="32925" ht="26.25" customHeight="1"/>
    <row r="32926" ht="26.25" customHeight="1"/>
    <row r="32927" ht="26.25" customHeight="1"/>
    <row r="32928" ht="26.25" customHeight="1"/>
    <row r="32929" ht="26.25" customHeight="1"/>
    <row r="32930" ht="26.25" customHeight="1"/>
    <row r="32931" ht="26.25" customHeight="1"/>
    <row r="32932" ht="26.25" customHeight="1"/>
    <row r="32933" ht="26.25" customHeight="1"/>
    <row r="32934" ht="26.25" customHeight="1"/>
    <row r="32935" ht="26.25" customHeight="1"/>
    <row r="32936" ht="26.25" customHeight="1"/>
    <row r="32937" ht="26.25" customHeight="1"/>
    <row r="32938" ht="26.25" customHeight="1"/>
    <row r="32939" ht="26.25" customHeight="1"/>
    <row r="32940" ht="26.25" customHeight="1"/>
    <row r="32941" ht="26.25" customHeight="1"/>
    <row r="32942" ht="26.25" customHeight="1"/>
    <row r="32943" ht="26.25" customHeight="1"/>
    <row r="32944" ht="26.25" customHeight="1"/>
    <row r="32945" ht="26.25" customHeight="1"/>
    <row r="32946" ht="26.25" customHeight="1"/>
    <row r="32947" ht="26.25" customHeight="1"/>
    <row r="32948" ht="26.25" customHeight="1"/>
    <row r="32949" ht="26.25" customHeight="1"/>
    <row r="32950" ht="26.25" customHeight="1"/>
    <row r="32951" ht="26.25" customHeight="1"/>
    <row r="32952" ht="26.25" customHeight="1"/>
    <row r="32953" ht="26.25" customHeight="1"/>
    <row r="32954" ht="26.25" customHeight="1"/>
    <row r="32955" ht="26.25" customHeight="1"/>
    <row r="32956" ht="26.25" customHeight="1"/>
    <row r="32957" ht="26.25" customHeight="1"/>
    <row r="32958" ht="26.25" customHeight="1"/>
    <row r="32959" ht="26.25" customHeight="1"/>
    <row r="32960" ht="26.25" customHeight="1"/>
    <row r="32961" ht="26.25" customHeight="1"/>
    <row r="32962" ht="26.25" customHeight="1"/>
    <row r="32963" ht="26.25" customHeight="1"/>
    <row r="32964" ht="26.25" customHeight="1"/>
    <row r="32965" ht="26.25" customHeight="1"/>
    <row r="32966" ht="26.25" customHeight="1"/>
    <row r="32967" ht="26.25" customHeight="1"/>
    <row r="32968" ht="26.25" customHeight="1"/>
    <row r="32969" ht="26.25" customHeight="1"/>
    <row r="32970" ht="26.25" customHeight="1"/>
    <row r="32971" ht="26.25" customHeight="1"/>
    <row r="32972" ht="26.25" customHeight="1"/>
    <row r="32973" ht="26.25" customHeight="1"/>
    <row r="32974" ht="26.25" customHeight="1"/>
    <row r="32975" ht="26.25" customHeight="1"/>
    <row r="32976" ht="26.25" customHeight="1"/>
    <row r="32977" ht="26.25" customHeight="1"/>
    <row r="32978" ht="26.25" customHeight="1"/>
    <row r="32979" ht="26.25" customHeight="1"/>
    <row r="32980" ht="26.25" customHeight="1"/>
    <row r="32981" ht="26.25" customHeight="1"/>
    <row r="32982" ht="26.25" customHeight="1"/>
    <row r="32983" ht="26.25" customHeight="1"/>
    <row r="32984" ht="26.25" customHeight="1"/>
    <row r="32985" ht="26.25" customHeight="1"/>
    <row r="32986" ht="26.25" customHeight="1"/>
    <row r="32987" ht="26.25" customHeight="1"/>
    <row r="32988" ht="26.25" customHeight="1"/>
    <row r="32989" ht="26.25" customHeight="1"/>
    <row r="32990" ht="26.25" customHeight="1"/>
    <row r="32991" ht="26.25" customHeight="1"/>
    <row r="32992" ht="26.25" customHeight="1"/>
    <row r="32993" ht="26.25" customHeight="1"/>
    <row r="32994" ht="26.25" customHeight="1"/>
    <row r="32995" ht="26.25" customHeight="1"/>
    <row r="32996" ht="26.25" customHeight="1"/>
    <row r="32997" ht="26.25" customHeight="1"/>
    <row r="32998" ht="26.25" customHeight="1"/>
    <row r="32999" ht="26.25" customHeight="1"/>
    <row r="33000" ht="26.25" customHeight="1"/>
    <row r="33001" ht="26.25" customHeight="1"/>
    <row r="33002" ht="26.25" customHeight="1"/>
    <row r="33003" ht="26.25" customHeight="1"/>
    <row r="33004" ht="26.25" customHeight="1"/>
    <row r="33005" ht="26.25" customHeight="1"/>
    <row r="33006" ht="26.25" customHeight="1"/>
    <row r="33007" ht="26.25" customHeight="1"/>
    <row r="33008" ht="26.25" customHeight="1"/>
    <row r="33009" ht="26.25" customHeight="1"/>
    <row r="33010" ht="26.25" customHeight="1"/>
    <row r="33011" ht="26.25" customHeight="1"/>
    <row r="33012" ht="26.25" customHeight="1"/>
    <row r="33013" ht="26.25" customHeight="1"/>
    <row r="33014" ht="26.25" customHeight="1"/>
    <row r="33015" ht="26.25" customHeight="1"/>
    <row r="33016" ht="26.25" customHeight="1"/>
    <row r="33017" ht="26.25" customHeight="1"/>
    <row r="33018" ht="26.25" customHeight="1"/>
    <row r="33019" ht="26.25" customHeight="1"/>
    <row r="33020" ht="26.25" customHeight="1"/>
    <row r="33021" ht="26.25" customHeight="1"/>
    <row r="33022" ht="26.25" customHeight="1"/>
    <row r="33023" ht="26.25" customHeight="1"/>
    <row r="33024" ht="26.25" customHeight="1"/>
    <row r="33025" ht="26.25" customHeight="1"/>
    <row r="33026" ht="26.25" customHeight="1"/>
    <row r="33027" ht="26.25" customHeight="1"/>
    <row r="33028" ht="26.25" customHeight="1"/>
    <row r="33029" ht="26.25" customHeight="1"/>
    <row r="33030" ht="26.25" customHeight="1"/>
    <row r="33031" ht="26.25" customHeight="1"/>
    <row r="33032" ht="26.25" customHeight="1"/>
    <row r="33033" ht="26.25" customHeight="1"/>
    <row r="33034" ht="26.25" customHeight="1"/>
    <row r="33035" ht="26.25" customHeight="1"/>
    <row r="33036" ht="26.25" customHeight="1"/>
    <row r="33037" ht="26.25" customHeight="1"/>
    <row r="33038" ht="26.25" customHeight="1"/>
    <row r="33039" ht="26.25" customHeight="1"/>
    <row r="33040" ht="26.25" customHeight="1"/>
    <row r="33041" ht="26.25" customHeight="1"/>
    <row r="33042" ht="26.25" customHeight="1"/>
    <row r="33043" ht="26.25" customHeight="1"/>
    <row r="33044" ht="26.25" customHeight="1"/>
    <row r="33045" ht="26.25" customHeight="1"/>
    <row r="33046" ht="26.25" customHeight="1"/>
    <row r="33047" ht="26.25" customHeight="1"/>
    <row r="33048" ht="26.25" customHeight="1"/>
    <row r="33049" ht="26.25" customHeight="1"/>
    <row r="33050" ht="26.25" customHeight="1"/>
    <row r="33051" ht="26.25" customHeight="1"/>
    <row r="33052" ht="26.25" customHeight="1"/>
    <row r="33053" ht="26.25" customHeight="1"/>
    <row r="33054" ht="26.25" customHeight="1"/>
    <row r="33055" ht="26.25" customHeight="1"/>
    <row r="33056" ht="26.25" customHeight="1"/>
    <row r="33057" ht="26.25" customHeight="1"/>
    <row r="33058" ht="26.25" customHeight="1"/>
    <row r="33059" ht="26.25" customHeight="1"/>
    <row r="33060" ht="26.25" customHeight="1"/>
    <row r="33061" ht="26.25" customHeight="1"/>
    <row r="33062" ht="26.25" customHeight="1"/>
    <row r="33063" ht="26.25" customHeight="1"/>
    <row r="33064" ht="26.25" customHeight="1"/>
    <row r="33065" ht="26.25" customHeight="1"/>
    <row r="33066" ht="26.25" customHeight="1"/>
    <row r="33067" ht="26.25" customHeight="1"/>
    <row r="33068" ht="26.25" customHeight="1"/>
    <row r="33069" ht="26.25" customHeight="1"/>
    <row r="33070" ht="26.25" customHeight="1"/>
    <row r="33071" ht="26.25" customHeight="1"/>
    <row r="33072" ht="26.25" customHeight="1"/>
    <row r="33073" ht="26.25" customHeight="1"/>
    <row r="33074" ht="26.25" customHeight="1"/>
    <row r="33075" ht="26.25" customHeight="1"/>
    <row r="33076" ht="26.25" customHeight="1"/>
    <row r="33077" ht="26.25" customHeight="1"/>
    <row r="33078" ht="26.25" customHeight="1"/>
    <row r="33079" ht="26.25" customHeight="1"/>
    <row r="33080" ht="26.25" customHeight="1"/>
    <row r="33081" ht="26.25" customHeight="1"/>
    <row r="33082" ht="26.25" customHeight="1"/>
    <row r="33083" ht="26.25" customHeight="1"/>
    <row r="33084" ht="26.25" customHeight="1"/>
    <row r="33085" ht="26.25" customHeight="1"/>
    <row r="33086" ht="26.25" customHeight="1"/>
    <row r="33087" ht="26.25" customHeight="1"/>
    <row r="33088" ht="26.25" customHeight="1"/>
    <row r="33089" ht="26.25" customHeight="1"/>
    <row r="33090" ht="26.25" customHeight="1"/>
    <row r="33091" ht="26.25" customHeight="1"/>
    <row r="33092" ht="26.25" customHeight="1"/>
    <row r="33093" ht="26.25" customHeight="1"/>
    <row r="33094" ht="26.25" customHeight="1"/>
    <row r="33095" ht="26.25" customHeight="1"/>
    <row r="33096" ht="26.25" customHeight="1"/>
    <row r="33097" ht="26.25" customHeight="1"/>
    <row r="33098" ht="26.25" customHeight="1"/>
    <row r="33099" ht="26.25" customHeight="1"/>
    <row r="33100" ht="26.25" customHeight="1"/>
    <row r="33101" ht="26.25" customHeight="1"/>
    <row r="33102" ht="26.25" customHeight="1"/>
    <row r="33103" ht="26.25" customHeight="1"/>
    <row r="33104" ht="26.25" customHeight="1"/>
    <row r="33105" ht="26.25" customHeight="1"/>
    <row r="33106" ht="26.25" customHeight="1"/>
    <row r="33107" ht="26.25" customHeight="1"/>
    <row r="33108" ht="26.25" customHeight="1"/>
    <row r="33109" ht="26.25" customHeight="1"/>
    <row r="33110" ht="26.25" customHeight="1"/>
    <row r="33111" ht="26.25" customHeight="1"/>
    <row r="33112" ht="26.25" customHeight="1"/>
    <row r="33113" ht="26.25" customHeight="1"/>
    <row r="33114" ht="26.25" customHeight="1"/>
    <row r="33115" ht="26.25" customHeight="1"/>
    <row r="33116" ht="26.25" customHeight="1"/>
    <row r="33117" ht="26.25" customHeight="1"/>
    <row r="33118" ht="26.25" customHeight="1"/>
    <row r="33119" ht="26.25" customHeight="1"/>
    <row r="33120" ht="26.25" customHeight="1"/>
    <row r="33121" ht="26.25" customHeight="1"/>
    <row r="33122" ht="26.25" customHeight="1"/>
    <row r="33123" ht="26.25" customHeight="1"/>
    <row r="33124" ht="26.25" customHeight="1"/>
    <row r="33125" ht="26.25" customHeight="1"/>
    <row r="33126" ht="26.25" customHeight="1"/>
    <row r="33127" ht="26.25" customHeight="1"/>
    <row r="33128" ht="26.25" customHeight="1"/>
    <row r="33129" ht="26.25" customHeight="1"/>
    <row r="33130" ht="26.25" customHeight="1"/>
    <row r="33131" ht="26.25" customHeight="1"/>
    <row r="33132" ht="26.25" customHeight="1"/>
    <row r="33133" ht="26.25" customHeight="1"/>
    <row r="33134" ht="26.25" customHeight="1"/>
    <row r="33135" ht="26.25" customHeight="1"/>
    <row r="33136" ht="26.25" customHeight="1"/>
    <row r="33137" ht="26.25" customHeight="1"/>
    <row r="33138" ht="26.25" customHeight="1"/>
    <row r="33139" ht="26.25" customHeight="1"/>
    <row r="33140" ht="26.25" customHeight="1"/>
    <row r="33141" ht="26.25" customHeight="1"/>
    <row r="33142" ht="26.25" customHeight="1"/>
    <row r="33143" ht="26.25" customHeight="1"/>
    <row r="33144" ht="26.25" customHeight="1"/>
    <row r="33145" ht="26.25" customHeight="1"/>
    <row r="33146" ht="26.25" customHeight="1"/>
    <row r="33147" ht="26.25" customHeight="1"/>
    <row r="33148" ht="26.25" customHeight="1"/>
    <row r="33149" ht="26.25" customHeight="1"/>
    <row r="33150" ht="26.25" customHeight="1"/>
    <row r="33151" ht="26.25" customHeight="1"/>
    <row r="33152" ht="26.25" customHeight="1"/>
    <row r="33153" ht="26.25" customHeight="1"/>
    <row r="33154" ht="26.25" customHeight="1"/>
    <row r="33155" ht="26.25" customHeight="1"/>
    <row r="33156" ht="26.25" customHeight="1"/>
    <row r="33157" ht="26.25" customHeight="1"/>
    <row r="33158" ht="26.25" customHeight="1"/>
    <row r="33159" ht="26.25" customHeight="1"/>
    <row r="33160" ht="26.25" customHeight="1"/>
    <row r="33161" ht="26.25" customHeight="1"/>
    <row r="33162" ht="26.25" customHeight="1"/>
    <row r="33163" ht="26.25" customHeight="1"/>
    <row r="33164" ht="26.25" customHeight="1"/>
    <row r="33165" ht="26.25" customHeight="1"/>
    <row r="33166" ht="26.25" customHeight="1"/>
    <row r="33167" ht="26.25" customHeight="1"/>
    <row r="33168" ht="26.25" customHeight="1"/>
    <row r="33169" ht="26.25" customHeight="1"/>
    <row r="33170" ht="26.25" customHeight="1"/>
    <row r="33171" ht="26.25" customHeight="1"/>
    <row r="33172" ht="26.25" customHeight="1"/>
    <row r="33173" ht="26.25" customHeight="1"/>
    <row r="33174" ht="26.25" customHeight="1"/>
    <row r="33175" ht="26.25" customHeight="1"/>
    <row r="33176" ht="26.25" customHeight="1"/>
    <row r="33177" ht="26.25" customHeight="1"/>
    <row r="33178" ht="26.25" customHeight="1"/>
    <row r="33179" ht="26.25" customHeight="1"/>
    <row r="33180" ht="26.25" customHeight="1"/>
    <row r="33181" ht="26.25" customHeight="1"/>
    <row r="33182" ht="26.25" customHeight="1"/>
    <row r="33183" ht="26.25" customHeight="1"/>
    <row r="33184" ht="26.25" customHeight="1"/>
    <row r="33185" ht="26.25" customHeight="1"/>
    <row r="33186" ht="26.25" customHeight="1"/>
    <row r="33187" ht="26.25" customHeight="1"/>
    <row r="33188" ht="26.25" customHeight="1"/>
    <row r="33189" ht="26.25" customHeight="1"/>
    <row r="33190" ht="26.25" customHeight="1"/>
    <row r="33191" ht="26.25" customHeight="1"/>
    <row r="33192" ht="26.25" customHeight="1"/>
    <row r="33193" ht="26.25" customHeight="1"/>
    <row r="33194" ht="26.25" customHeight="1"/>
    <row r="33195" ht="26.25" customHeight="1"/>
    <row r="33196" ht="26.25" customHeight="1"/>
    <row r="33197" ht="26.25" customHeight="1"/>
    <row r="33198" ht="26.25" customHeight="1"/>
    <row r="33199" ht="26.25" customHeight="1"/>
    <row r="33200" ht="26.25" customHeight="1"/>
    <row r="33201" ht="26.25" customHeight="1"/>
    <row r="33202" ht="26.25" customHeight="1"/>
    <row r="33203" ht="26.25" customHeight="1"/>
    <row r="33204" ht="26.25" customHeight="1"/>
    <row r="33205" ht="26.25" customHeight="1"/>
    <row r="33206" ht="26.25" customHeight="1"/>
    <row r="33207" ht="26.25" customHeight="1"/>
    <row r="33208" ht="26.25" customHeight="1"/>
    <row r="33209" ht="26.25" customHeight="1"/>
    <row r="33210" ht="26.25" customHeight="1"/>
    <row r="33211" ht="26.25" customHeight="1"/>
    <row r="33212" ht="26.25" customHeight="1"/>
    <row r="33213" ht="26.25" customHeight="1"/>
    <row r="33214" ht="26.25" customHeight="1"/>
    <row r="33215" ht="26.25" customHeight="1"/>
    <row r="33216" ht="26.25" customHeight="1"/>
    <row r="33217" ht="26.25" customHeight="1"/>
    <row r="33218" ht="26.25" customHeight="1"/>
    <row r="33219" ht="26.25" customHeight="1"/>
    <row r="33220" ht="26.25" customHeight="1"/>
    <row r="33221" ht="26.25" customHeight="1"/>
    <row r="33222" ht="26.25" customHeight="1"/>
    <row r="33223" ht="26.25" customHeight="1"/>
    <row r="33224" ht="26.25" customHeight="1"/>
    <row r="33225" ht="26.25" customHeight="1"/>
    <row r="33226" ht="26.25" customHeight="1"/>
    <row r="33227" ht="26.25" customHeight="1"/>
    <row r="33228" ht="26.25" customHeight="1"/>
    <row r="33229" ht="26.25" customHeight="1"/>
    <row r="33230" ht="26.25" customHeight="1"/>
    <row r="33231" ht="26.25" customHeight="1"/>
    <row r="33232" ht="26.25" customHeight="1"/>
    <row r="33233" ht="26.25" customHeight="1"/>
    <row r="33234" ht="26.25" customHeight="1"/>
    <row r="33235" ht="26.25" customHeight="1"/>
    <row r="33236" ht="26.25" customHeight="1"/>
    <row r="33237" ht="26.25" customHeight="1"/>
    <row r="33238" ht="26.25" customHeight="1"/>
    <row r="33239" ht="26.25" customHeight="1"/>
    <row r="33240" ht="26.25" customHeight="1"/>
    <row r="33241" ht="26.25" customHeight="1"/>
    <row r="33242" ht="26.25" customHeight="1"/>
    <row r="33243" ht="26.25" customHeight="1"/>
    <row r="33244" ht="26.25" customHeight="1"/>
    <row r="33245" ht="26.25" customHeight="1"/>
    <row r="33246" ht="26.25" customHeight="1"/>
    <row r="33247" ht="26.25" customHeight="1"/>
    <row r="33248" ht="26.25" customHeight="1"/>
    <row r="33249" ht="26.25" customHeight="1"/>
    <row r="33250" ht="26.25" customHeight="1"/>
    <row r="33251" ht="26.25" customHeight="1"/>
    <row r="33252" ht="26.25" customHeight="1"/>
    <row r="33253" ht="26.25" customHeight="1"/>
    <row r="33254" ht="26.25" customHeight="1"/>
    <row r="33255" ht="26.25" customHeight="1"/>
    <row r="33256" ht="26.25" customHeight="1"/>
    <row r="33257" ht="26.25" customHeight="1"/>
    <row r="33258" ht="26.25" customHeight="1"/>
    <row r="33259" ht="26.25" customHeight="1"/>
    <row r="33260" ht="26.25" customHeight="1"/>
    <row r="33261" ht="26.25" customHeight="1"/>
    <row r="33262" ht="26.25" customHeight="1"/>
    <row r="33263" ht="26.25" customHeight="1"/>
    <row r="33264" ht="26.25" customHeight="1"/>
    <row r="33265" ht="26.25" customHeight="1"/>
    <row r="33266" ht="26.25" customHeight="1"/>
    <row r="33267" ht="26.25" customHeight="1"/>
    <row r="33268" ht="26.25" customHeight="1"/>
    <row r="33269" ht="26.25" customHeight="1"/>
    <row r="33270" ht="26.25" customHeight="1"/>
    <row r="33271" ht="26.25" customHeight="1"/>
    <row r="33272" ht="26.25" customHeight="1"/>
    <row r="33273" ht="26.25" customHeight="1"/>
    <row r="33274" ht="26.25" customHeight="1"/>
    <row r="33275" ht="26.25" customHeight="1"/>
    <row r="33276" ht="26.25" customHeight="1"/>
    <row r="33277" ht="26.25" customHeight="1"/>
    <row r="33278" ht="26.25" customHeight="1"/>
    <row r="33279" ht="26.25" customHeight="1"/>
    <row r="33280" ht="26.25" customHeight="1"/>
    <row r="33281" ht="26.25" customHeight="1"/>
    <row r="33282" ht="26.25" customHeight="1"/>
    <row r="33283" ht="26.25" customHeight="1"/>
    <row r="33284" ht="26.25" customHeight="1"/>
    <row r="33285" ht="26.25" customHeight="1"/>
    <row r="33286" ht="26.25" customHeight="1"/>
    <row r="33287" ht="26.25" customHeight="1"/>
    <row r="33288" ht="26.25" customHeight="1"/>
    <row r="33289" ht="26.25" customHeight="1"/>
    <row r="33290" ht="26.25" customHeight="1"/>
    <row r="33291" ht="26.25" customHeight="1"/>
    <row r="33292" ht="26.25" customHeight="1"/>
    <row r="33293" ht="26.25" customHeight="1"/>
    <row r="33294" ht="26.25" customHeight="1"/>
    <row r="33295" ht="26.25" customHeight="1"/>
    <row r="33296" ht="26.25" customHeight="1"/>
    <row r="33297" ht="26.25" customHeight="1"/>
    <row r="33298" ht="26.25" customHeight="1"/>
    <row r="33299" ht="26.25" customHeight="1"/>
    <row r="33300" ht="26.25" customHeight="1"/>
    <row r="33301" ht="26.25" customHeight="1"/>
    <row r="33302" ht="26.25" customHeight="1"/>
    <row r="33303" ht="26.25" customHeight="1"/>
    <row r="33304" ht="26.25" customHeight="1"/>
    <row r="33305" ht="26.25" customHeight="1"/>
    <row r="33306" ht="26.25" customHeight="1"/>
    <row r="33307" ht="26.25" customHeight="1"/>
    <row r="33308" ht="26.25" customHeight="1"/>
    <row r="33309" ht="26.25" customHeight="1"/>
    <row r="33310" ht="26.25" customHeight="1"/>
    <row r="33311" ht="26.25" customHeight="1"/>
    <row r="33312" ht="26.25" customHeight="1"/>
    <row r="33313" ht="26.25" customHeight="1"/>
    <row r="33314" ht="26.25" customHeight="1"/>
    <row r="33315" ht="26.25" customHeight="1"/>
    <row r="33316" ht="26.25" customHeight="1"/>
    <row r="33317" ht="26.25" customHeight="1"/>
    <row r="33318" ht="26.25" customHeight="1"/>
    <row r="33319" ht="26.25" customHeight="1"/>
    <row r="33320" ht="26.25" customHeight="1"/>
    <row r="33321" ht="26.25" customHeight="1"/>
    <row r="33322" ht="26.25" customHeight="1"/>
    <row r="33323" ht="26.25" customHeight="1"/>
    <row r="33324" ht="26.25" customHeight="1"/>
    <row r="33325" ht="26.25" customHeight="1"/>
    <row r="33326" ht="26.25" customHeight="1"/>
    <row r="33327" ht="26.25" customHeight="1"/>
    <row r="33328" ht="26.25" customHeight="1"/>
    <row r="33329" ht="26.25" customHeight="1"/>
    <row r="33330" ht="26.25" customHeight="1"/>
    <row r="33331" ht="26.25" customHeight="1"/>
    <row r="33332" ht="26.25" customHeight="1"/>
    <row r="33333" ht="26.25" customHeight="1"/>
    <row r="33334" ht="26.25" customHeight="1"/>
    <row r="33335" ht="26.25" customHeight="1"/>
    <row r="33336" ht="26.25" customHeight="1"/>
    <row r="33337" ht="26.25" customHeight="1"/>
    <row r="33338" ht="26.25" customHeight="1"/>
    <row r="33339" ht="26.25" customHeight="1"/>
    <row r="33340" ht="26.25" customHeight="1"/>
    <row r="33341" ht="26.25" customHeight="1"/>
    <row r="33342" ht="26.25" customHeight="1"/>
    <row r="33343" ht="26.25" customHeight="1"/>
    <row r="33344" ht="26.25" customHeight="1"/>
    <row r="33345" ht="26.25" customHeight="1"/>
    <row r="33346" ht="26.25" customHeight="1"/>
    <row r="33347" ht="26.25" customHeight="1"/>
    <row r="33348" ht="26.25" customHeight="1"/>
    <row r="33349" ht="26.25" customHeight="1"/>
    <row r="33350" ht="26.25" customHeight="1"/>
    <row r="33351" ht="26.25" customHeight="1"/>
    <row r="33352" ht="26.25" customHeight="1"/>
    <row r="33353" ht="26.25" customHeight="1"/>
    <row r="33354" ht="26.25" customHeight="1"/>
    <row r="33355" ht="26.25" customHeight="1"/>
    <row r="33356" ht="26.25" customHeight="1"/>
    <row r="33357" ht="26.25" customHeight="1"/>
    <row r="33358" ht="26.25" customHeight="1"/>
    <row r="33359" ht="26.25" customHeight="1"/>
    <row r="33360" ht="26.25" customHeight="1"/>
    <row r="33361" ht="26.25" customHeight="1"/>
    <row r="33362" ht="26.25" customHeight="1"/>
    <row r="33363" ht="26.25" customHeight="1"/>
    <row r="33364" ht="26.25" customHeight="1"/>
    <row r="33365" ht="26.25" customHeight="1"/>
    <row r="33366" ht="26.25" customHeight="1"/>
    <row r="33367" ht="26.25" customHeight="1"/>
    <row r="33368" ht="26.25" customHeight="1"/>
    <row r="33369" ht="26.25" customHeight="1"/>
    <row r="33370" ht="26.25" customHeight="1"/>
    <row r="33371" ht="26.25" customHeight="1"/>
    <row r="33372" ht="26.25" customHeight="1"/>
    <row r="33373" ht="26.25" customHeight="1"/>
    <row r="33374" ht="26.25" customHeight="1"/>
    <row r="33375" ht="26.25" customHeight="1"/>
    <row r="33376" ht="26.25" customHeight="1"/>
    <row r="33377" ht="26.25" customHeight="1"/>
    <row r="33378" ht="26.25" customHeight="1"/>
    <row r="33379" ht="26.25" customHeight="1"/>
    <row r="33380" ht="26.25" customHeight="1"/>
    <row r="33381" ht="26.25" customHeight="1"/>
    <row r="33382" ht="26.25" customHeight="1"/>
    <row r="33383" ht="26.25" customHeight="1"/>
    <row r="33384" ht="26.25" customHeight="1"/>
    <row r="33385" ht="26.25" customHeight="1"/>
    <row r="33386" ht="26.25" customHeight="1"/>
    <row r="33387" ht="26.25" customHeight="1"/>
    <row r="33388" ht="26.25" customHeight="1"/>
    <row r="33389" ht="26.25" customHeight="1"/>
    <row r="33390" ht="26.25" customHeight="1"/>
    <row r="33391" ht="26.25" customHeight="1"/>
    <row r="33392" ht="26.25" customHeight="1"/>
    <row r="33393" ht="26.25" customHeight="1"/>
    <row r="33394" ht="26.25" customHeight="1"/>
    <row r="33395" ht="26.25" customHeight="1"/>
    <row r="33396" ht="26.25" customHeight="1"/>
    <row r="33397" ht="26.25" customHeight="1"/>
    <row r="33398" ht="26.25" customHeight="1"/>
    <row r="33399" ht="26.25" customHeight="1"/>
    <row r="33400" ht="26.25" customHeight="1"/>
    <row r="33401" ht="26.25" customHeight="1"/>
    <row r="33402" ht="26.25" customHeight="1"/>
    <row r="33403" ht="26.25" customHeight="1"/>
    <row r="33404" ht="26.25" customHeight="1"/>
    <row r="33405" ht="26.25" customHeight="1"/>
    <row r="33406" ht="26.25" customHeight="1"/>
    <row r="33407" ht="26.25" customHeight="1"/>
    <row r="33408" ht="26.25" customHeight="1"/>
    <row r="33409" ht="26.25" customHeight="1"/>
    <row r="33410" ht="26.25" customHeight="1"/>
    <row r="33411" ht="26.25" customHeight="1"/>
    <row r="33412" ht="26.25" customHeight="1"/>
    <row r="33413" ht="26.25" customHeight="1"/>
    <row r="33414" ht="26.25" customHeight="1"/>
    <row r="33415" ht="26.25" customHeight="1"/>
    <row r="33416" ht="26.25" customHeight="1"/>
    <row r="33417" ht="26.25" customHeight="1"/>
    <row r="33418" ht="26.25" customHeight="1"/>
    <row r="33419" ht="26.25" customHeight="1"/>
    <row r="33420" ht="26.25" customHeight="1"/>
    <row r="33421" ht="26.25" customHeight="1"/>
    <row r="33422" ht="26.25" customHeight="1"/>
    <row r="33423" ht="26.25" customHeight="1"/>
    <row r="33424" ht="26.25" customHeight="1"/>
    <row r="33425" ht="26.25" customHeight="1"/>
    <row r="33426" ht="26.25" customHeight="1"/>
    <row r="33427" ht="26.25" customHeight="1"/>
    <row r="33428" ht="26.25" customHeight="1"/>
    <row r="33429" ht="26.25" customHeight="1"/>
    <row r="33430" ht="26.25" customHeight="1"/>
    <row r="33431" ht="26.25" customHeight="1"/>
    <row r="33432" ht="26.25" customHeight="1"/>
    <row r="33433" ht="26.25" customHeight="1"/>
    <row r="33434" ht="26.25" customHeight="1"/>
    <row r="33435" ht="26.25" customHeight="1"/>
    <row r="33436" ht="26.25" customHeight="1"/>
    <row r="33437" ht="26.25" customHeight="1"/>
    <row r="33438" ht="26.25" customHeight="1"/>
    <row r="33439" ht="26.25" customHeight="1"/>
    <row r="33440" ht="26.25" customHeight="1"/>
    <row r="33441" ht="26.25" customHeight="1"/>
    <row r="33442" ht="26.25" customHeight="1"/>
    <row r="33443" ht="26.25" customHeight="1"/>
    <row r="33444" ht="26.25" customHeight="1"/>
    <row r="33445" ht="26.25" customHeight="1"/>
    <row r="33446" ht="26.25" customHeight="1"/>
    <row r="33447" ht="26.25" customHeight="1"/>
    <row r="33448" ht="26.25" customHeight="1"/>
    <row r="33449" ht="26.25" customHeight="1"/>
    <row r="33450" ht="26.25" customHeight="1"/>
    <row r="33451" ht="26.25" customHeight="1"/>
    <row r="33452" ht="26.25" customHeight="1"/>
    <row r="33453" ht="26.25" customHeight="1"/>
    <row r="33454" ht="26.25" customHeight="1"/>
    <row r="33455" ht="26.25" customHeight="1"/>
    <row r="33456" ht="26.25" customHeight="1"/>
    <row r="33457" ht="26.25" customHeight="1"/>
    <row r="33458" ht="26.25" customHeight="1"/>
    <row r="33459" ht="26.25" customHeight="1"/>
    <row r="33460" ht="26.25" customHeight="1"/>
    <row r="33461" ht="26.25" customHeight="1"/>
    <row r="33462" ht="26.25" customHeight="1"/>
    <row r="33463" ht="26.25" customHeight="1"/>
    <row r="33464" ht="26.25" customHeight="1"/>
    <row r="33465" ht="26.25" customHeight="1"/>
    <row r="33466" ht="26.25" customHeight="1"/>
    <row r="33467" ht="26.25" customHeight="1"/>
    <row r="33468" ht="26.25" customHeight="1"/>
    <row r="33469" ht="26.25" customHeight="1"/>
    <row r="33470" ht="26.25" customHeight="1"/>
    <row r="33471" ht="26.25" customHeight="1"/>
    <row r="33472" ht="26.25" customHeight="1"/>
    <row r="33473" ht="26.25" customHeight="1"/>
    <row r="33474" ht="26.25" customHeight="1"/>
    <row r="33475" ht="26.25" customHeight="1"/>
    <row r="33476" ht="26.25" customHeight="1"/>
    <row r="33477" ht="26.25" customHeight="1"/>
    <row r="33478" ht="26.25" customHeight="1"/>
    <row r="33479" ht="26.25" customHeight="1"/>
    <row r="33480" ht="26.25" customHeight="1"/>
    <row r="33481" ht="26.25" customHeight="1"/>
    <row r="33482" ht="26.25" customHeight="1"/>
    <row r="33483" ht="26.25" customHeight="1"/>
    <row r="33484" ht="26.25" customHeight="1"/>
    <row r="33485" ht="26.25" customHeight="1"/>
    <row r="33486" ht="26.25" customHeight="1"/>
    <row r="33487" ht="26.25" customHeight="1"/>
    <row r="33488" ht="26.25" customHeight="1"/>
    <row r="33489" ht="26.25" customHeight="1"/>
    <row r="33490" ht="26.25" customHeight="1"/>
    <row r="33491" ht="26.25" customHeight="1"/>
    <row r="33492" ht="26.25" customHeight="1"/>
    <row r="33493" ht="26.25" customHeight="1"/>
    <row r="33494" ht="26.25" customHeight="1"/>
    <row r="33495" ht="26.25" customHeight="1"/>
    <row r="33496" ht="26.25" customHeight="1"/>
    <row r="33497" ht="26.25" customHeight="1"/>
    <row r="33498" ht="26.25" customHeight="1"/>
    <row r="33499" ht="26.25" customHeight="1"/>
    <row r="33500" ht="26.25" customHeight="1"/>
    <row r="33501" ht="26.25" customHeight="1"/>
    <row r="33502" ht="26.25" customHeight="1"/>
    <row r="33503" ht="26.25" customHeight="1"/>
    <row r="33504" ht="26.25" customHeight="1"/>
    <row r="33505" ht="26.25" customHeight="1"/>
    <row r="33506" ht="26.25" customHeight="1"/>
    <row r="33507" ht="26.25" customHeight="1"/>
    <row r="33508" ht="26.25" customHeight="1"/>
    <row r="33509" ht="26.25" customHeight="1"/>
    <row r="33510" ht="26.25" customHeight="1"/>
    <row r="33511" ht="26.25" customHeight="1"/>
    <row r="33512" ht="26.25" customHeight="1"/>
    <row r="33513" ht="26.25" customHeight="1"/>
    <row r="33514" ht="26.25" customHeight="1"/>
    <row r="33515" ht="26.25" customHeight="1"/>
    <row r="33516" ht="26.25" customHeight="1"/>
    <row r="33517" ht="26.25" customHeight="1"/>
    <row r="33518" ht="26.25" customHeight="1"/>
    <row r="33519" ht="26.25" customHeight="1"/>
    <row r="33520" ht="26.25" customHeight="1"/>
    <row r="33521" ht="26.25" customHeight="1"/>
    <row r="33522" ht="26.25" customHeight="1"/>
    <row r="33523" ht="26.25" customHeight="1"/>
    <row r="33524" ht="26.25" customHeight="1"/>
    <row r="33525" ht="26.25" customHeight="1"/>
    <row r="33526" ht="26.25" customHeight="1"/>
    <row r="33527" ht="26.25" customHeight="1"/>
    <row r="33528" ht="26.25" customHeight="1"/>
    <row r="33529" ht="26.25" customHeight="1"/>
    <row r="33530" ht="26.25" customHeight="1"/>
    <row r="33531" ht="26.25" customHeight="1"/>
    <row r="33532" ht="26.25" customHeight="1"/>
    <row r="33533" ht="26.25" customHeight="1"/>
    <row r="33534" ht="26.25" customHeight="1"/>
    <row r="33535" ht="26.25" customHeight="1"/>
    <row r="33536" ht="26.25" customHeight="1"/>
    <row r="33537" ht="26.25" customHeight="1"/>
    <row r="33538" ht="26.25" customHeight="1"/>
    <row r="33539" ht="26.25" customHeight="1"/>
    <row r="33540" ht="26.25" customHeight="1"/>
    <row r="33541" ht="26.25" customHeight="1"/>
    <row r="33542" ht="26.25" customHeight="1"/>
    <row r="33543" ht="26.25" customHeight="1"/>
    <row r="33544" ht="26.25" customHeight="1"/>
    <row r="33545" ht="26.25" customHeight="1"/>
    <row r="33546" ht="26.25" customHeight="1"/>
    <row r="33547" ht="26.25" customHeight="1"/>
    <row r="33548" ht="26.25" customHeight="1"/>
    <row r="33549" ht="26.25" customHeight="1"/>
    <row r="33550" ht="26.25" customHeight="1"/>
    <row r="33551" ht="26.25" customHeight="1"/>
    <row r="33552" ht="26.25" customHeight="1"/>
    <row r="33553" ht="26.25" customHeight="1"/>
    <row r="33554" ht="26.25" customHeight="1"/>
    <row r="33555" ht="26.25" customHeight="1"/>
    <row r="33556" ht="26.25" customHeight="1"/>
    <row r="33557" ht="26.25" customHeight="1"/>
    <row r="33558" ht="26.25" customHeight="1"/>
    <row r="33559" ht="26.25" customHeight="1"/>
    <row r="33560" ht="26.25" customHeight="1"/>
    <row r="33561" ht="26.25" customHeight="1"/>
    <row r="33562" ht="26.25" customHeight="1"/>
    <row r="33563" ht="26.25" customHeight="1"/>
    <row r="33564" ht="26.25" customHeight="1"/>
    <row r="33565" ht="26.25" customHeight="1"/>
    <row r="33566" ht="26.25" customHeight="1"/>
    <row r="33567" ht="26.25" customHeight="1"/>
    <row r="33568" ht="26.25" customHeight="1"/>
    <row r="33569" ht="26.25" customHeight="1"/>
    <row r="33570" ht="26.25" customHeight="1"/>
    <row r="33571" ht="26.25" customHeight="1"/>
    <row r="33572" ht="26.25" customHeight="1"/>
    <row r="33573" ht="26.25" customHeight="1"/>
    <row r="33574" ht="26.25" customHeight="1"/>
    <row r="33575" ht="26.25" customHeight="1"/>
    <row r="33576" ht="26.25" customHeight="1"/>
    <row r="33577" ht="26.25" customHeight="1"/>
    <row r="33578" ht="26.25" customHeight="1"/>
    <row r="33579" ht="26.25" customHeight="1"/>
    <row r="33580" ht="26.25" customHeight="1"/>
    <row r="33581" ht="26.25" customHeight="1"/>
    <row r="33582" ht="26.25" customHeight="1"/>
    <row r="33583" ht="26.25" customHeight="1"/>
    <row r="33584" ht="26.25" customHeight="1"/>
    <row r="33585" ht="26.25" customHeight="1"/>
    <row r="33586" ht="26.25" customHeight="1"/>
    <row r="33587" ht="26.25" customHeight="1"/>
    <row r="33588" ht="26.25" customHeight="1"/>
    <row r="33589" ht="26.25" customHeight="1"/>
    <row r="33590" ht="26.25" customHeight="1"/>
    <row r="33591" ht="26.25" customHeight="1"/>
    <row r="33592" ht="26.25" customHeight="1"/>
    <row r="33593" ht="26.25" customHeight="1"/>
    <row r="33594" ht="26.25" customHeight="1"/>
    <row r="33595" ht="26.25" customHeight="1"/>
    <row r="33596" ht="26.25" customHeight="1"/>
    <row r="33597" ht="26.25" customHeight="1"/>
    <row r="33598" ht="26.25" customHeight="1"/>
    <row r="33599" ht="26.25" customHeight="1"/>
    <row r="33600" ht="26.25" customHeight="1"/>
    <row r="33601" ht="26.25" customHeight="1"/>
    <row r="33602" ht="26.25" customHeight="1"/>
    <row r="33603" ht="26.25" customHeight="1"/>
    <row r="33604" ht="26.25" customHeight="1"/>
    <row r="33605" ht="26.25" customHeight="1"/>
    <row r="33606" ht="26.25" customHeight="1"/>
    <row r="33607" ht="26.25" customHeight="1"/>
    <row r="33608" ht="26.25" customHeight="1"/>
    <row r="33609" ht="26.25" customHeight="1"/>
    <row r="33610" ht="26.25" customHeight="1"/>
    <row r="33611" ht="26.25" customHeight="1"/>
    <row r="33612" ht="26.25" customHeight="1"/>
    <row r="33613" ht="26.25" customHeight="1"/>
    <row r="33614" ht="26.25" customHeight="1"/>
    <row r="33615" ht="26.25" customHeight="1"/>
    <row r="33616" ht="26.25" customHeight="1"/>
    <row r="33617" ht="26.25" customHeight="1"/>
    <row r="33618" ht="26.25" customHeight="1"/>
    <row r="33619" ht="26.25" customHeight="1"/>
    <row r="33620" ht="26.25" customHeight="1"/>
    <row r="33621" ht="26.25" customHeight="1"/>
    <row r="33622" ht="26.25" customHeight="1"/>
    <row r="33623" ht="26.25" customHeight="1"/>
    <row r="33624" ht="26.25" customHeight="1"/>
    <row r="33625" ht="26.25" customHeight="1"/>
    <row r="33626" ht="26.25" customHeight="1"/>
    <row r="33627" ht="26.25" customHeight="1"/>
    <row r="33628" ht="26.25" customHeight="1"/>
    <row r="33629" ht="26.25" customHeight="1"/>
    <row r="33630" ht="26.25" customHeight="1"/>
    <row r="33631" ht="26.25" customHeight="1"/>
    <row r="33632" ht="26.25" customHeight="1"/>
    <row r="33633" ht="26.25" customHeight="1"/>
    <row r="33634" ht="26.25" customHeight="1"/>
    <row r="33635" ht="26.25" customHeight="1"/>
    <row r="33636" ht="26.25" customHeight="1"/>
    <row r="33637" ht="26.25" customHeight="1"/>
    <row r="33638" ht="26.25" customHeight="1"/>
    <row r="33639" ht="26.25" customHeight="1"/>
    <row r="33640" ht="26.25" customHeight="1"/>
    <row r="33641" ht="26.25" customHeight="1"/>
    <row r="33642" ht="26.25" customHeight="1"/>
    <row r="33643" ht="26.25" customHeight="1"/>
    <row r="33644" ht="26.25" customHeight="1"/>
    <row r="33645" ht="26.25" customHeight="1"/>
    <row r="33646" ht="26.25" customHeight="1"/>
    <row r="33647" ht="26.25" customHeight="1"/>
    <row r="33648" ht="26.25" customHeight="1"/>
    <row r="33649" ht="26.25" customHeight="1"/>
    <row r="33650" ht="26.25" customHeight="1"/>
    <row r="33651" ht="26.25" customHeight="1"/>
    <row r="33652" ht="26.25" customHeight="1"/>
    <row r="33653" ht="26.25" customHeight="1"/>
    <row r="33654" ht="26.25" customHeight="1"/>
    <row r="33655" ht="26.25" customHeight="1"/>
    <row r="33656" ht="26.25" customHeight="1"/>
    <row r="33657" ht="26.25" customHeight="1"/>
    <row r="33658" ht="26.25" customHeight="1"/>
    <row r="33659" ht="26.25" customHeight="1"/>
    <row r="33660" ht="26.25" customHeight="1"/>
    <row r="33661" ht="26.25" customHeight="1"/>
    <row r="33662" ht="26.25" customHeight="1"/>
    <row r="33663" ht="26.25" customHeight="1"/>
    <row r="33664" ht="26.25" customHeight="1"/>
    <row r="33665" ht="26.25" customHeight="1"/>
    <row r="33666" ht="26.25" customHeight="1"/>
    <row r="33667" ht="26.25" customHeight="1"/>
    <row r="33668" ht="26.25" customHeight="1"/>
    <row r="33669" ht="26.25" customHeight="1"/>
    <row r="33670" ht="26.25" customHeight="1"/>
    <row r="33671" ht="26.25" customHeight="1"/>
    <row r="33672" ht="26.25" customHeight="1"/>
    <row r="33673" ht="26.25" customHeight="1"/>
    <row r="33674" ht="26.25" customHeight="1"/>
    <row r="33675" ht="26.25" customHeight="1"/>
    <row r="33676" ht="26.25" customHeight="1"/>
    <row r="33677" ht="26.25" customHeight="1"/>
    <row r="33678" ht="26.25" customHeight="1"/>
    <row r="33679" ht="26.25" customHeight="1"/>
    <row r="33680" ht="26.25" customHeight="1"/>
    <row r="33681" ht="26.25" customHeight="1"/>
    <row r="33682" ht="26.25" customHeight="1"/>
    <row r="33683" ht="26.25" customHeight="1"/>
    <row r="33684" ht="26.25" customHeight="1"/>
    <row r="33685" ht="26.25" customHeight="1"/>
    <row r="33686" ht="26.25" customHeight="1"/>
    <row r="33687" ht="26.25" customHeight="1"/>
    <row r="33688" ht="26.25" customHeight="1"/>
    <row r="33689" ht="26.25" customHeight="1"/>
    <row r="33690" ht="26.25" customHeight="1"/>
    <row r="33691" ht="26.25" customHeight="1"/>
    <row r="33692" ht="26.25" customHeight="1"/>
    <row r="33693" ht="26.25" customHeight="1"/>
    <row r="33694" ht="26.25" customHeight="1"/>
    <row r="33695" ht="26.25" customHeight="1"/>
    <row r="33696" ht="26.25" customHeight="1"/>
    <row r="33697" ht="26.25" customHeight="1"/>
    <row r="33698" ht="26.25" customHeight="1"/>
    <row r="33699" ht="26.25" customHeight="1"/>
    <row r="33700" ht="26.25" customHeight="1"/>
    <row r="33701" ht="26.25" customHeight="1"/>
    <row r="33702" ht="26.25" customHeight="1"/>
    <row r="33703" ht="26.25" customHeight="1"/>
    <row r="33704" ht="26.25" customHeight="1"/>
    <row r="33705" ht="26.25" customHeight="1"/>
    <row r="33706" ht="26.25" customHeight="1"/>
    <row r="33707" ht="26.25" customHeight="1"/>
    <row r="33708" ht="26.25" customHeight="1"/>
    <row r="33709" ht="26.25" customHeight="1"/>
    <row r="33710" ht="26.25" customHeight="1"/>
    <row r="33711" ht="26.25" customHeight="1"/>
    <row r="33712" ht="26.25" customHeight="1"/>
    <row r="33713" ht="26.25" customHeight="1"/>
    <row r="33714" ht="26.25" customHeight="1"/>
    <row r="33715" ht="26.25" customHeight="1"/>
    <row r="33716" ht="26.25" customHeight="1"/>
    <row r="33717" ht="26.25" customHeight="1"/>
    <row r="33718" ht="26.25" customHeight="1"/>
    <row r="33719" ht="26.25" customHeight="1"/>
    <row r="33720" ht="26.25" customHeight="1"/>
    <row r="33721" ht="26.25" customHeight="1"/>
    <row r="33722" ht="26.25" customHeight="1"/>
    <row r="33723" ht="26.25" customHeight="1"/>
    <row r="33724" ht="26.25" customHeight="1"/>
    <row r="33725" ht="26.25" customHeight="1"/>
    <row r="33726" ht="26.25" customHeight="1"/>
    <row r="33727" ht="26.25" customHeight="1"/>
    <row r="33728" ht="26.25" customHeight="1"/>
    <row r="33729" ht="26.25" customHeight="1"/>
    <row r="33730" ht="26.25" customHeight="1"/>
    <row r="33731" ht="26.25" customHeight="1"/>
    <row r="33732" ht="26.25" customHeight="1"/>
    <row r="33733" ht="26.25" customHeight="1"/>
    <row r="33734" ht="26.25" customHeight="1"/>
    <row r="33735" ht="26.25" customHeight="1"/>
    <row r="33736" ht="26.25" customHeight="1"/>
    <row r="33737" ht="26.25" customHeight="1"/>
    <row r="33738" ht="26.25" customHeight="1"/>
    <row r="33739" ht="26.25" customHeight="1"/>
    <row r="33740" ht="26.25" customHeight="1"/>
    <row r="33741" ht="26.25" customHeight="1"/>
    <row r="33742" ht="26.25" customHeight="1"/>
    <row r="33743" ht="26.25" customHeight="1"/>
    <row r="33744" ht="26.25" customHeight="1"/>
    <row r="33745" ht="26.25" customHeight="1"/>
    <row r="33746" ht="26.25" customHeight="1"/>
    <row r="33747" ht="26.25" customHeight="1"/>
    <row r="33748" ht="26.25" customHeight="1"/>
    <row r="33749" ht="26.25" customHeight="1"/>
    <row r="33750" ht="26.25" customHeight="1"/>
    <row r="33751" ht="26.25" customHeight="1"/>
    <row r="33752" ht="26.25" customHeight="1"/>
    <row r="33753" ht="26.25" customHeight="1"/>
    <row r="33754" ht="26.25" customHeight="1"/>
    <row r="33755" ht="26.25" customHeight="1"/>
    <row r="33756" ht="26.25" customHeight="1"/>
    <row r="33757" ht="26.25" customHeight="1"/>
    <row r="33758" ht="26.25" customHeight="1"/>
    <row r="33759" ht="26.25" customHeight="1"/>
    <row r="33760" ht="26.25" customHeight="1"/>
    <row r="33761" ht="26.25" customHeight="1"/>
    <row r="33762" ht="26.25" customHeight="1"/>
    <row r="33763" ht="26.25" customHeight="1"/>
    <row r="33764" ht="26.25" customHeight="1"/>
    <row r="33765" ht="26.25" customHeight="1"/>
    <row r="33766" ht="26.25" customHeight="1"/>
    <row r="33767" ht="26.25" customHeight="1"/>
    <row r="33768" ht="26.25" customHeight="1"/>
    <row r="33769" ht="26.25" customHeight="1"/>
    <row r="33770" ht="26.25" customHeight="1"/>
    <row r="33771" ht="26.25" customHeight="1"/>
    <row r="33772" ht="26.25" customHeight="1"/>
    <row r="33773" ht="26.25" customHeight="1"/>
    <row r="33774" ht="26.25" customHeight="1"/>
    <row r="33775" ht="26.25" customHeight="1"/>
    <row r="33776" ht="26.25" customHeight="1"/>
    <row r="33777" ht="26.25" customHeight="1"/>
    <row r="33778" ht="26.25" customHeight="1"/>
    <row r="33779" ht="26.25" customHeight="1"/>
    <row r="33780" ht="26.25" customHeight="1"/>
    <row r="33781" ht="26.25" customHeight="1"/>
    <row r="33782" ht="26.25" customHeight="1"/>
    <row r="33783" ht="26.25" customHeight="1"/>
    <row r="33784" ht="26.25" customHeight="1"/>
    <row r="33785" ht="26.25" customHeight="1"/>
    <row r="33786" ht="26.25" customHeight="1"/>
    <row r="33787" ht="26.25" customHeight="1"/>
    <row r="33788" ht="26.25" customHeight="1"/>
    <row r="33789" ht="26.25" customHeight="1"/>
    <row r="33790" ht="26.25" customHeight="1"/>
    <row r="33791" ht="26.25" customHeight="1"/>
    <row r="33792" ht="26.25" customHeight="1"/>
    <row r="33793" ht="26.25" customHeight="1"/>
    <row r="33794" ht="26.25" customHeight="1"/>
    <row r="33795" ht="26.25" customHeight="1"/>
    <row r="33796" ht="26.25" customHeight="1"/>
    <row r="33797" ht="26.25" customHeight="1"/>
    <row r="33798" ht="26.25" customHeight="1"/>
    <row r="33799" ht="26.25" customHeight="1"/>
    <row r="33800" ht="26.25" customHeight="1"/>
    <row r="33801" ht="26.25" customHeight="1"/>
    <row r="33802" ht="26.25" customHeight="1"/>
    <row r="33803" ht="26.25" customHeight="1"/>
    <row r="33804" ht="26.25" customHeight="1"/>
    <row r="33805" ht="26.25" customHeight="1"/>
    <row r="33806" ht="26.25" customHeight="1"/>
    <row r="33807" ht="26.25" customHeight="1"/>
    <row r="33808" ht="26.25" customHeight="1"/>
    <row r="33809" ht="26.25" customHeight="1"/>
    <row r="33810" ht="26.25" customHeight="1"/>
    <row r="33811" ht="26.25" customHeight="1"/>
    <row r="33812" ht="26.25" customHeight="1"/>
    <row r="33813" ht="26.25" customHeight="1"/>
    <row r="33814" ht="26.25" customHeight="1"/>
    <row r="33815" ht="26.25" customHeight="1"/>
    <row r="33816" ht="26.25" customHeight="1"/>
    <row r="33817" ht="26.25" customHeight="1"/>
    <row r="33818" ht="26.25" customHeight="1"/>
    <row r="33819" ht="26.25" customHeight="1"/>
    <row r="33820" ht="26.25" customHeight="1"/>
    <row r="33821" ht="26.25" customHeight="1"/>
    <row r="33822" ht="26.25" customHeight="1"/>
    <row r="33823" ht="26.25" customHeight="1"/>
    <row r="33824" ht="26.25" customHeight="1"/>
    <row r="33825" ht="26.25" customHeight="1"/>
    <row r="33826" ht="26.25" customHeight="1"/>
    <row r="33827" ht="26.25" customHeight="1"/>
    <row r="33828" ht="26.25" customHeight="1"/>
    <row r="33829" ht="26.25" customHeight="1"/>
    <row r="33830" ht="26.25" customHeight="1"/>
    <row r="33831" ht="26.25" customHeight="1"/>
    <row r="33832" ht="26.25" customHeight="1"/>
    <row r="33833" ht="26.25" customHeight="1"/>
    <row r="33834" ht="26.25" customHeight="1"/>
    <row r="33835" ht="26.25" customHeight="1"/>
    <row r="33836" ht="26.25" customHeight="1"/>
    <row r="33837" ht="26.25" customHeight="1"/>
    <row r="33838" ht="26.25" customHeight="1"/>
    <row r="33839" ht="26.25" customHeight="1"/>
    <row r="33840" ht="26.25" customHeight="1"/>
    <row r="33841" ht="26.25" customHeight="1"/>
    <row r="33842" ht="26.25" customHeight="1"/>
    <row r="33843" ht="26.25" customHeight="1"/>
    <row r="33844" ht="26.25" customHeight="1"/>
    <row r="33845" ht="26.25" customHeight="1"/>
    <row r="33846" ht="26.25" customHeight="1"/>
    <row r="33847" ht="26.25" customHeight="1"/>
    <row r="33848" ht="26.25" customHeight="1"/>
    <row r="33849" ht="26.25" customHeight="1"/>
    <row r="33850" ht="26.25" customHeight="1"/>
    <row r="33851" ht="26.25" customHeight="1"/>
    <row r="33852" ht="26.25" customHeight="1"/>
    <row r="33853" ht="26.25" customHeight="1"/>
    <row r="33854" ht="26.25" customHeight="1"/>
    <row r="33855" ht="26.25" customHeight="1"/>
    <row r="33856" ht="26.25" customHeight="1"/>
    <row r="33857" ht="26.25" customHeight="1"/>
    <row r="33858" ht="26.25" customHeight="1"/>
    <row r="33859" ht="26.25" customHeight="1"/>
    <row r="33860" ht="26.25" customHeight="1"/>
    <row r="33861" ht="26.25" customHeight="1"/>
    <row r="33862" ht="26.25" customHeight="1"/>
    <row r="33863" ht="26.25" customHeight="1"/>
    <row r="33864" ht="26.25" customHeight="1"/>
    <row r="33865" ht="26.25" customHeight="1"/>
    <row r="33866" ht="26.25" customHeight="1"/>
    <row r="33867" ht="26.25" customHeight="1"/>
    <row r="33868" ht="26.25" customHeight="1"/>
    <row r="33869" ht="26.25" customHeight="1"/>
    <row r="33870" ht="26.25" customHeight="1"/>
    <row r="33871" ht="26.25" customHeight="1"/>
    <row r="33872" ht="26.25" customHeight="1"/>
    <row r="33873" ht="26.25" customHeight="1"/>
    <row r="33874" ht="26.25" customHeight="1"/>
    <row r="33875" ht="26.25" customHeight="1"/>
    <row r="33876" ht="26.25" customHeight="1"/>
    <row r="33877" ht="26.25" customHeight="1"/>
    <row r="33878" ht="26.25" customHeight="1"/>
    <row r="33879" ht="26.25" customHeight="1"/>
    <row r="33880" ht="26.25" customHeight="1"/>
    <row r="33881" ht="26.25" customHeight="1"/>
    <row r="33882" ht="26.25" customHeight="1"/>
    <row r="33883" ht="26.25" customHeight="1"/>
    <row r="33884" ht="26.25" customHeight="1"/>
    <row r="33885" ht="26.25" customHeight="1"/>
    <row r="33886" ht="26.25" customHeight="1"/>
    <row r="33887" ht="26.25" customHeight="1"/>
    <row r="33888" ht="26.25" customHeight="1"/>
    <row r="33889" ht="26.25" customHeight="1"/>
    <row r="33890" ht="26.25" customHeight="1"/>
    <row r="33891" ht="26.25" customHeight="1"/>
    <row r="33892" ht="26.25" customHeight="1"/>
    <row r="33893" ht="26.25" customHeight="1"/>
    <row r="33894" ht="26.25" customHeight="1"/>
    <row r="33895" ht="26.25" customHeight="1"/>
    <row r="33896" ht="26.25" customHeight="1"/>
    <row r="33897" ht="26.25" customHeight="1"/>
    <row r="33898" ht="26.25" customHeight="1"/>
    <row r="33899" ht="26.25" customHeight="1"/>
    <row r="33900" ht="26.25" customHeight="1"/>
    <row r="33901" ht="26.25" customHeight="1"/>
    <row r="33902" ht="26.25" customHeight="1"/>
    <row r="33903" ht="26.25" customHeight="1"/>
    <row r="33904" ht="26.25" customHeight="1"/>
    <row r="33905" ht="26.25" customHeight="1"/>
    <row r="33906" ht="26.25" customHeight="1"/>
    <row r="33907" ht="26.25" customHeight="1"/>
    <row r="33908" ht="26.25" customHeight="1"/>
    <row r="33909" ht="26.25" customHeight="1"/>
    <row r="33910" ht="26.25" customHeight="1"/>
    <row r="33911" ht="26.25" customHeight="1"/>
    <row r="33912" ht="26.25" customHeight="1"/>
    <row r="33913" ht="26.25" customHeight="1"/>
    <row r="33914" ht="26.25" customHeight="1"/>
    <row r="33915" ht="26.25" customHeight="1"/>
    <row r="33916" ht="26.25" customHeight="1"/>
    <row r="33917" ht="26.25" customHeight="1"/>
    <row r="33918" ht="26.25" customHeight="1"/>
    <row r="33919" ht="26.25" customHeight="1"/>
    <row r="33920" ht="26.25" customHeight="1"/>
    <row r="33921" ht="26.25" customHeight="1"/>
    <row r="33922" ht="26.25" customHeight="1"/>
    <row r="33923" ht="26.25" customHeight="1"/>
    <row r="33924" ht="26.25" customHeight="1"/>
    <row r="33925" ht="26.25" customHeight="1"/>
    <row r="33926" ht="26.25" customHeight="1"/>
    <row r="33927" ht="26.25" customHeight="1"/>
    <row r="33928" ht="26.25" customHeight="1"/>
    <row r="33929" ht="26.25" customHeight="1"/>
    <row r="33930" ht="26.25" customHeight="1"/>
    <row r="33931" ht="26.25" customHeight="1"/>
    <row r="33932" ht="26.25" customHeight="1"/>
    <row r="33933" ht="26.25" customHeight="1"/>
    <row r="33934" ht="26.25" customHeight="1"/>
    <row r="33935" ht="26.25" customHeight="1"/>
    <row r="33936" ht="26.25" customHeight="1"/>
    <row r="33937" ht="26.25" customHeight="1"/>
    <row r="33938" ht="26.25" customHeight="1"/>
    <row r="33939" ht="26.25" customHeight="1"/>
    <row r="33940" ht="26.25" customHeight="1"/>
    <row r="33941" ht="26.25" customHeight="1"/>
    <row r="33942" ht="26.25" customHeight="1"/>
    <row r="33943" ht="26.25" customHeight="1"/>
    <row r="33944" ht="26.25" customHeight="1"/>
    <row r="33945" ht="26.25" customHeight="1"/>
    <row r="33946" ht="26.25" customHeight="1"/>
    <row r="33947" ht="26.25" customHeight="1"/>
    <row r="33948" ht="26.25" customHeight="1"/>
    <row r="33949" ht="26.25" customHeight="1"/>
    <row r="33950" ht="26.25" customHeight="1"/>
    <row r="33951" ht="26.25" customHeight="1"/>
    <row r="33952" ht="26.25" customHeight="1"/>
    <row r="33953" ht="26.25" customHeight="1"/>
    <row r="33954" ht="26.25" customHeight="1"/>
    <row r="33955" ht="26.25" customHeight="1"/>
    <row r="33956" ht="26.25" customHeight="1"/>
    <row r="33957" ht="26.25" customHeight="1"/>
    <row r="33958" ht="26.25" customHeight="1"/>
    <row r="33959" ht="26.25" customHeight="1"/>
    <row r="33960" ht="26.25" customHeight="1"/>
    <row r="33961" ht="26.25" customHeight="1"/>
    <row r="33962" ht="26.25" customHeight="1"/>
    <row r="33963" ht="26.25" customHeight="1"/>
    <row r="33964" ht="26.25" customHeight="1"/>
    <row r="33965" ht="26.25" customHeight="1"/>
    <row r="33966" ht="26.25" customHeight="1"/>
    <row r="33967" ht="26.25" customHeight="1"/>
    <row r="33968" ht="26.25" customHeight="1"/>
    <row r="33969" ht="26.25" customHeight="1"/>
    <row r="33970" ht="26.25" customHeight="1"/>
    <row r="33971" ht="26.25" customHeight="1"/>
    <row r="33972" ht="26.25" customHeight="1"/>
    <row r="33973" ht="26.25" customHeight="1"/>
    <row r="33974" ht="26.25" customHeight="1"/>
    <row r="33975" ht="26.25" customHeight="1"/>
    <row r="33976" ht="26.25" customHeight="1"/>
    <row r="33977" ht="26.25" customHeight="1"/>
    <row r="33978" ht="26.25" customHeight="1"/>
    <row r="33979" ht="26.25" customHeight="1"/>
    <row r="33980" ht="26.25" customHeight="1"/>
    <row r="33981" ht="26.25" customHeight="1"/>
    <row r="33982" ht="26.25" customHeight="1"/>
    <row r="33983" ht="26.25" customHeight="1"/>
    <row r="33984" ht="26.25" customHeight="1"/>
    <row r="33985" ht="26.25" customHeight="1"/>
    <row r="33986" ht="26.25" customHeight="1"/>
    <row r="33987" ht="26.25" customHeight="1"/>
    <row r="33988" ht="26.25" customHeight="1"/>
    <row r="33989" ht="26.25" customHeight="1"/>
    <row r="33990" ht="26.25" customHeight="1"/>
    <row r="33991" ht="26.25" customHeight="1"/>
    <row r="33992" ht="26.25" customHeight="1"/>
    <row r="33993" ht="26.25" customHeight="1"/>
    <row r="33994" ht="26.25" customHeight="1"/>
    <row r="33995" ht="26.25" customHeight="1"/>
    <row r="33996" ht="26.25" customHeight="1"/>
    <row r="33997" ht="26.25" customHeight="1"/>
    <row r="33998" ht="26.25" customHeight="1"/>
    <row r="33999" ht="26.25" customHeight="1"/>
    <row r="34000" ht="26.25" customHeight="1"/>
    <row r="34001" ht="26.25" customHeight="1"/>
    <row r="34002" ht="26.25" customHeight="1"/>
    <row r="34003" ht="26.25" customHeight="1"/>
    <row r="34004" ht="26.25" customHeight="1"/>
    <row r="34005" ht="26.25" customHeight="1"/>
    <row r="34006" ht="26.25" customHeight="1"/>
    <row r="34007" ht="26.25" customHeight="1"/>
    <row r="34008" ht="26.25" customHeight="1"/>
    <row r="34009" ht="26.25" customHeight="1"/>
    <row r="34010" ht="26.25" customHeight="1"/>
    <row r="34011" ht="26.25" customHeight="1"/>
    <row r="34012" ht="26.25" customHeight="1"/>
    <row r="34013" ht="26.25" customHeight="1"/>
    <row r="34014" ht="26.25" customHeight="1"/>
    <row r="34015" ht="26.25" customHeight="1"/>
    <row r="34016" ht="26.25" customHeight="1"/>
    <row r="34017" ht="26.25" customHeight="1"/>
    <row r="34018" ht="26.25" customHeight="1"/>
    <row r="34019" ht="26.25" customHeight="1"/>
    <row r="34020" ht="26.25" customHeight="1"/>
    <row r="34021" ht="26.25" customHeight="1"/>
    <row r="34022" ht="26.25" customHeight="1"/>
    <row r="34023" ht="26.25" customHeight="1"/>
    <row r="34024" ht="26.25" customHeight="1"/>
    <row r="34025" ht="26.25" customHeight="1"/>
    <row r="34026" ht="26.25" customHeight="1"/>
    <row r="34027" ht="26.25" customHeight="1"/>
    <row r="34028" ht="26.25" customHeight="1"/>
    <row r="34029" ht="26.25" customHeight="1"/>
    <row r="34030" ht="26.25" customHeight="1"/>
    <row r="34031" ht="26.25" customHeight="1"/>
    <row r="34032" ht="26.25" customHeight="1"/>
    <row r="34033" ht="26.25" customHeight="1"/>
    <row r="34034" ht="26.25" customHeight="1"/>
    <row r="34035" ht="26.25" customHeight="1"/>
    <row r="34036" ht="26.25" customHeight="1"/>
    <row r="34037" ht="26.25" customHeight="1"/>
    <row r="34038" ht="26.25" customHeight="1"/>
    <row r="34039" ht="26.25" customHeight="1"/>
    <row r="34040" ht="26.25" customHeight="1"/>
    <row r="34041" ht="26.25" customHeight="1"/>
    <row r="34042" ht="26.25" customHeight="1"/>
    <row r="34043" ht="26.25" customHeight="1"/>
    <row r="34044" ht="26.25" customHeight="1"/>
    <row r="34045" ht="26.25" customHeight="1"/>
    <row r="34046" ht="26.25" customHeight="1"/>
    <row r="34047" ht="26.25" customHeight="1"/>
    <row r="34048" ht="26.25" customHeight="1"/>
    <row r="34049" ht="26.25" customHeight="1"/>
    <row r="34050" ht="26.25" customHeight="1"/>
    <row r="34051" ht="26.25" customHeight="1"/>
    <row r="34052" ht="26.25" customHeight="1"/>
    <row r="34053" ht="26.25" customHeight="1"/>
    <row r="34054" ht="26.25" customHeight="1"/>
    <row r="34055" ht="26.25" customHeight="1"/>
    <row r="34056" ht="26.25" customHeight="1"/>
    <row r="34057" ht="26.25" customHeight="1"/>
    <row r="34058" ht="26.25" customHeight="1"/>
    <row r="34059" ht="26.25" customHeight="1"/>
    <row r="34060" ht="26.25" customHeight="1"/>
    <row r="34061" ht="26.25" customHeight="1"/>
    <row r="34062" ht="26.25" customHeight="1"/>
    <row r="34063" ht="26.25" customHeight="1"/>
    <row r="34064" ht="26.25" customHeight="1"/>
    <row r="34065" ht="26.25" customHeight="1"/>
    <row r="34066" ht="26.25" customHeight="1"/>
    <row r="34067" ht="26.25" customHeight="1"/>
    <row r="34068" ht="26.25" customHeight="1"/>
    <row r="34069" ht="26.25" customHeight="1"/>
    <row r="34070" ht="26.25" customHeight="1"/>
    <row r="34071" ht="26.25" customHeight="1"/>
    <row r="34072" ht="26.25" customHeight="1"/>
    <row r="34073" ht="26.25" customHeight="1"/>
    <row r="34074" ht="26.25" customHeight="1"/>
    <row r="34075" ht="26.25" customHeight="1"/>
    <row r="34076" ht="26.25" customHeight="1"/>
    <row r="34077" ht="26.25" customHeight="1"/>
    <row r="34078" ht="26.25" customHeight="1"/>
    <row r="34079" ht="26.25" customHeight="1"/>
    <row r="34080" ht="26.25" customHeight="1"/>
    <row r="34081" ht="26.25" customHeight="1"/>
    <row r="34082" ht="26.25" customHeight="1"/>
    <row r="34083" ht="26.25" customHeight="1"/>
    <row r="34084" ht="26.25" customHeight="1"/>
    <row r="34085" ht="26.25" customHeight="1"/>
    <row r="34086" ht="26.25" customHeight="1"/>
    <row r="34087" ht="26.25" customHeight="1"/>
    <row r="34088" ht="26.25" customHeight="1"/>
    <row r="34089" ht="26.25" customHeight="1"/>
    <row r="34090" ht="26.25" customHeight="1"/>
    <row r="34091" ht="26.25" customHeight="1"/>
    <row r="34092" ht="26.25" customHeight="1"/>
    <row r="34093" ht="26.25" customHeight="1"/>
    <row r="34094" ht="26.25" customHeight="1"/>
    <row r="34095" ht="26.25" customHeight="1"/>
    <row r="34096" ht="26.25" customHeight="1"/>
    <row r="34097" ht="26.25" customHeight="1"/>
    <row r="34098" ht="26.25" customHeight="1"/>
    <row r="34099" ht="26.25" customHeight="1"/>
    <row r="34100" ht="26.25" customHeight="1"/>
    <row r="34101" ht="26.25" customHeight="1"/>
    <row r="34102" ht="26.25" customHeight="1"/>
    <row r="34103" ht="26.25" customHeight="1"/>
    <row r="34104" ht="26.25" customHeight="1"/>
    <row r="34105" ht="26.25" customHeight="1"/>
    <row r="34106" ht="26.25" customHeight="1"/>
    <row r="34107" ht="26.25" customHeight="1"/>
    <row r="34108" ht="26.25" customHeight="1"/>
    <row r="34109" ht="26.25" customHeight="1"/>
    <row r="34110" ht="26.25" customHeight="1"/>
    <row r="34111" ht="26.25" customHeight="1"/>
    <row r="34112" ht="26.25" customHeight="1"/>
    <row r="34113" ht="26.25" customHeight="1"/>
    <row r="34114" ht="26.25" customHeight="1"/>
    <row r="34115" ht="26.25" customHeight="1"/>
    <row r="34116" ht="26.25" customHeight="1"/>
    <row r="34117" ht="26.25" customHeight="1"/>
    <row r="34118" ht="26.25" customHeight="1"/>
    <row r="34119" ht="26.25" customHeight="1"/>
    <row r="34120" ht="26.25" customHeight="1"/>
    <row r="34121" ht="26.25" customHeight="1"/>
    <row r="34122" ht="26.25" customHeight="1"/>
    <row r="34123" ht="26.25" customHeight="1"/>
    <row r="34124" ht="26.25" customHeight="1"/>
    <row r="34125" ht="26.25" customHeight="1"/>
    <row r="34126" ht="26.25" customHeight="1"/>
    <row r="34127" ht="26.25" customHeight="1"/>
    <row r="34128" ht="26.25" customHeight="1"/>
    <row r="34129" ht="26.25" customHeight="1"/>
    <row r="34130" ht="26.25" customHeight="1"/>
    <row r="34131" ht="26.25" customHeight="1"/>
    <row r="34132" ht="26.25" customHeight="1"/>
    <row r="34133" ht="26.25" customHeight="1"/>
    <row r="34134" ht="26.25" customHeight="1"/>
    <row r="34135" ht="26.25" customHeight="1"/>
    <row r="34136" ht="26.25" customHeight="1"/>
    <row r="34137" ht="26.25" customHeight="1"/>
    <row r="34138" ht="26.25" customHeight="1"/>
    <row r="34139" ht="26.25" customHeight="1"/>
    <row r="34140" ht="26.25" customHeight="1"/>
    <row r="34141" ht="26.25" customHeight="1"/>
    <row r="34142" ht="26.25" customHeight="1"/>
    <row r="34143" ht="26.25" customHeight="1"/>
    <row r="34144" ht="26.25" customHeight="1"/>
    <row r="34145" ht="26.25" customHeight="1"/>
    <row r="34146" ht="26.25" customHeight="1"/>
    <row r="34147" ht="26.25" customHeight="1"/>
    <row r="34148" ht="26.25" customHeight="1"/>
    <row r="34149" ht="26.25" customHeight="1"/>
    <row r="34150" ht="26.25" customHeight="1"/>
    <row r="34151" ht="26.25" customHeight="1"/>
    <row r="34152" ht="26.25" customHeight="1"/>
    <row r="34153" ht="26.25" customHeight="1"/>
    <row r="34154" ht="26.25" customHeight="1"/>
    <row r="34155" ht="26.25" customHeight="1"/>
    <row r="34156" ht="26.25" customHeight="1"/>
    <row r="34157" ht="26.25" customHeight="1"/>
    <row r="34158" ht="26.25" customHeight="1"/>
    <row r="34159" ht="26.25" customHeight="1"/>
    <row r="34160" ht="26.25" customHeight="1"/>
    <row r="34161" ht="26.25" customHeight="1"/>
    <row r="34162" ht="26.25" customHeight="1"/>
    <row r="34163" ht="26.25" customHeight="1"/>
    <row r="34164" ht="26.25" customHeight="1"/>
    <row r="34165" ht="26.25" customHeight="1"/>
    <row r="34166" ht="26.25" customHeight="1"/>
    <row r="34167" ht="26.25" customHeight="1"/>
    <row r="34168" ht="26.25" customHeight="1"/>
    <row r="34169" ht="26.25" customHeight="1"/>
    <row r="34170" ht="26.25" customHeight="1"/>
    <row r="34171" ht="26.25" customHeight="1"/>
    <row r="34172" ht="26.25" customHeight="1"/>
    <row r="34173" ht="26.25" customHeight="1"/>
    <row r="34174" ht="26.25" customHeight="1"/>
    <row r="34175" ht="26.25" customHeight="1"/>
    <row r="34176" ht="26.25" customHeight="1"/>
    <row r="34177" ht="26.25" customHeight="1"/>
    <row r="34178" ht="26.25" customHeight="1"/>
    <row r="34179" ht="26.25" customHeight="1"/>
    <row r="34180" ht="26.25" customHeight="1"/>
    <row r="34181" ht="26.25" customHeight="1"/>
    <row r="34182" ht="26.25" customHeight="1"/>
    <row r="34183" ht="26.25" customHeight="1"/>
    <row r="34184" ht="26.25" customHeight="1"/>
    <row r="34185" ht="26.25" customHeight="1"/>
    <row r="34186" ht="26.25" customHeight="1"/>
    <row r="34187" ht="26.25" customHeight="1"/>
    <row r="34188" ht="26.25" customHeight="1"/>
    <row r="34189" ht="26.25" customHeight="1"/>
    <row r="34190" ht="26.25" customHeight="1"/>
    <row r="34191" ht="26.25" customHeight="1"/>
    <row r="34192" ht="26.25" customHeight="1"/>
    <row r="34193" ht="26.25" customHeight="1"/>
    <row r="34194" ht="26.25" customHeight="1"/>
    <row r="34195" ht="26.25" customHeight="1"/>
    <row r="34196" ht="26.25" customHeight="1"/>
    <row r="34197" ht="26.25" customHeight="1"/>
    <row r="34198" ht="26.25" customHeight="1"/>
    <row r="34199" ht="26.25" customHeight="1"/>
    <row r="34200" ht="26.25" customHeight="1"/>
    <row r="34201" ht="26.25" customHeight="1"/>
    <row r="34202" ht="26.25" customHeight="1"/>
    <row r="34203" ht="26.25" customHeight="1"/>
    <row r="34204" ht="26.25" customHeight="1"/>
    <row r="34205" ht="26.25" customHeight="1"/>
    <row r="34206" ht="26.25" customHeight="1"/>
    <row r="34207" ht="26.25" customHeight="1"/>
    <row r="34208" ht="26.25" customHeight="1"/>
    <row r="34209" ht="26.25" customHeight="1"/>
    <row r="34210" ht="26.25" customHeight="1"/>
    <row r="34211" ht="26.25" customHeight="1"/>
    <row r="34212" ht="26.25" customHeight="1"/>
    <row r="34213" ht="26.25" customHeight="1"/>
    <row r="34214" ht="26.25" customHeight="1"/>
    <row r="34215" ht="26.25" customHeight="1"/>
    <row r="34216" ht="26.25" customHeight="1"/>
    <row r="34217" ht="26.25" customHeight="1"/>
    <row r="34218" ht="26.25" customHeight="1"/>
    <row r="34219" ht="26.25" customHeight="1"/>
    <row r="34220" ht="26.25" customHeight="1"/>
    <row r="34221" ht="26.25" customHeight="1"/>
    <row r="34222" ht="26.25" customHeight="1"/>
    <row r="34223" ht="26.25" customHeight="1"/>
    <row r="34224" ht="26.25" customHeight="1"/>
    <row r="34225" ht="26.25" customHeight="1"/>
    <row r="34226" ht="26.25" customHeight="1"/>
    <row r="34227" ht="26.25" customHeight="1"/>
    <row r="34228" ht="26.25" customHeight="1"/>
    <row r="34229" ht="26.25" customHeight="1"/>
    <row r="34230" ht="26.25" customHeight="1"/>
    <row r="34231" ht="26.25" customHeight="1"/>
    <row r="34232" ht="26.25" customHeight="1"/>
    <row r="34233" ht="26.25" customHeight="1"/>
    <row r="34234" ht="26.25" customHeight="1"/>
    <row r="34235" ht="26.25" customHeight="1"/>
    <row r="34236" ht="26.25" customHeight="1"/>
    <row r="34237" ht="26.25" customHeight="1"/>
    <row r="34238" ht="26.25" customHeight="1"/>
    <row r="34239" ht="26.25" customHeight="1"/>
    <row r="34240" ht="26.25" customHeight="1"/>
    <row r="34241" ht="26.25" customHeight="1"/>
    <row r="34242" ht="26.25" customHeight="1"/>
    <row r="34243" ht="26.25" customHeight="1"/>
    <row r="34244" ht="26.25" customHeight="1"/>
    <row r="34245" ht="26.25" customHeight="1"/>
    <row r="34246" ht="26.25" customHeight="1"/>
    <row r="34247" ht="26.25" customHeight="1"/>
    <row r="34248" ht="26.25" customHeight="1"/>
    <row r="34249" ht="26.25" customHeight="1"/>
    <row r="34250" ht="26.25" customHeight="1"/>
    <row r="34251" ht="26.25" customHeight="1"/>
    <row r="34252" ht="26.25" customHeight="1"/>
    <row r="34253" ht="26.25" customHeight="1"/>
    <row r="34254" ht="26.25" customHeight="1"/>
    <row r="34255" ht="26.25" customHeight="1"/>
    <row r="34256" ht="26.25" customHeight="1"/>
    <row r="34257" ht="26.25" customHeight="1"/>
    <row r="34258" ht="26.25" customHeight="1"/>
    <row r="34259" ht="26.25" customHeight="1"/>
    <row r="34260" ht="26.25" customHeight="1"/>
    <row r="34261" ht="26.25" customHeight="1"/>
    <row r="34262" ht="26.25" customHeight="1"/>
    <row r="34263" ht="26.25" customHeight="1"/>
    <row r="34264" ht="26.25" customHeight="1"/>
    <row r="34265" ht="26.25" customHeight="1"/>
    <row r="34266" ht="26.25" customHeight="1"/>
    <row r="34267" ht="26.25" customHeight="1"/>
    <row r="34268" ht="26.25" customHeight="1"/>
    <row r="34269" ht="26.25" customHeight="1"/>
    <row r="34270" ht="26.25" customHeight="1"/>
    <row r="34271" ht="26.25" customHeight="1"/>
    <row r="34272" ht="26.25" customHeight="1"/>
    <row r="34273" ht="26.25" customHeight="1"/>
    <row r="34274" ht="26.25" customHeight="1"/>
    <row r="34275" ht="26.25" customHeight="1"/>
    <row r="34276" ht="26.25" customHeight="1"/>
    <row r="34277" ht="26.25" customHeight="1"/>
    <row r="34278" ht="26.25" customHeight="1"/>
    <row r="34279" ht="26.25" customHeight="1"/>
    <row r="34280" ht="26.25" customHeight="1"/>
    <row r="34281" ht="26.25" customHeight="1"/>
    <row r="34282" ht="26.25" customHeight="1"/>
    <row r="34283" ht="26.25" customHeight="1"/>
    <row r="34284" ht="26.25" customHeight="1"/>
    <row r="34285" ht="26.25" customHeight="1"/>
    <row r="34286" ht="26.25" customHeight="1"/>
    <row r="34287" ht="26.25" customHeight="1"/>
    <row r="34288" ht="26.25" customHeight="1"/>
    <row r="34289" ht="26.25" customHeight="1"/>
    <row r="34290" ht="26.25" customHeight="1"/>
    <row r="34291" ht="26.25" customHeight="1"/>
    <row r="34292" ht="26.25" customHeight="1"/>
    <row r="34293" ht="26.25" customHeight="1"/>
    <row r="34294" ht="26.25" customHeight="1"/>
    <row r="34295" ht="26.25" customHeight="1"/>
    <row r="34296" ht="26.25" customHeight="1"/>
    <row r="34297" ht="26.25" customHeight="1"/>
    <row r="34298" ht="26.25" customHeight="1"/>
    <row r="34299" ht="26.25" customHeight="1"/>
    <row r="34300" ht="26.25" customHeight="1"/>
    <row r="34301" ht="26.25" customHeight="1"/>
    <row r="34302" ht="26.25" customHeight="1"/>
    <row r="34303" ht="26.25" customHeight="1"/>
    <row r="34304" ht="26.25" customHeight="1"/>
    <row r="34305" ht="26.25" customHeight="1"/>
    <row r="34306" ht="26.25" customHeight="1"/>
    <row r="34307" ht="26.25" customHeight="1"/>
    <row r="34308" ht="26.25" customHeight="1"/>
    <row r="34309" ht="26.25" customHeight="1"/>
    <row r="34310" ht="26.25" customHeight="1"/>
    <row r="34311" ht="26.25" customHeight="1"/>
    <row r="34312" ht="26.25" customHeight="1"/>
    <row r="34313" ht="26.25" customHeight="1"/>
    <row r="34314" ht="26.25" customHeight="1"/>
    <row r="34315" ht="26.25" customHeight="1"/>
    <row r="34316" ht="26.25" customHeight="1"/>
    <row r="34317" ht="26.25" customHeight="1"/>
    <row r="34318" ht="26.25" customHeight="1"/>
    <row r="34319" ht="26.25" customHeight="1"/>
    <row r="34320" ht="26.25" customHeight="1"/>
    <row r="34321" ht="26.25" customHeight="1"/>
    <row r="34322" ht="26.25" customHeight="1"/>
    <row r="34323" ht="26.25" customHeight="1"/>
    <row r="34324" ht="26.25" customHeight="1"/>
    <row r="34325" ht="26.25" customHeight="1"/>
    <row r="34326" ht="26.25" customHeight="1"/>
    <row r="34327" ht="26.25" customHeight="1"/>
    <row r="34328" ht="26.25" customHeight="1"/>
    <row r="34329" ht="26.25" customHeight="1"/>
    <row r="34330" ht="26.25" customHeight="1"/>
    <row r="34331" ht="26.25" customHeight="1"/>
    <row r="34332" ht="26.25" customHeight="1"/>
    <row r="34333" ht="26.25" customHeight="1"/>
    <row r="34334" ht="26.25" customHeight="1"/>
    <row r="34335" ht="26.25" customHeight="1"/>
    <row r="34336" ht="26.25" customHeight="1"/>
    <row r="34337" ht="26.25" customHeight="1"/>
    <row r="34338" ht="26.25" customHeight="1"/>
    <row r="34339" ht="26.25" customHeight="1"/>
    <row r="34340" ht="26.25" customHeight="1"/>
    <row r="34341" ht="26.25" customHeight="1"/>
    <row r="34342" ht="26.25" customHeight="1"/>
    <row r="34343" ht="26.25" customHeight="1"/>
    <row r="34344" ht="26.25" customHeight="1"/>
    <row r="34345" ht="26.25" customHeight="1"/>
    <row r="34346" ht="26.25" customHeight="1"/>
    <row r="34347" ht="26.25" customHeight="1"/>
    <row r="34348" ht="26.25" customHeight="1"/>
    <row r="34349" ht="26.25" customHeight="1"/>
    <row r="34350" ht="26.25" customHeight="1"/>
    <row r="34351" ht="26.25" customHeight="1"/>
    <row r="34352" ht="26.25" customHeight="1"/>
    <row r="34353" ht="26.25" customHeight="1"/>
    <row r="34354" ht="26.25" customHeight="1"/>
    <row r="34355" ht="26.25" customHeight="1"/>
    <row r="34356" ht="26.25" customHeight="1"/>
    <row r="34357" ht="26.25" customHeight="1"/>
    <row r="34358" ht="26.25" customHeight="1"/>
    <row r="34359" ht="26.25" customHeight="1"/>
    <row r="34360" ht="26.25" customHeight="1"/>
    <row r="34361" ht="26.25" customHeight="1"/>
    <row r="34362" ht="26.25" customHeight="1"/>
    <row r="34363" ht="26.25" customHeight="1"/>
    <row r="34364" ht="26.25" customHeight="1"/>
    <row r="34365" ht="26.25" customHeight="1"/>
    <row r="34366" ht="26.25" customHeight="1"/>
    <row r="34367" ht="26.25" customHeight="1"/>
    <row r="34368" ht="26.25" customHeight="1"/>
    <row r="34369" ht="26.25" customHeight="1"/>
    <row r="34370" ht="26.25" customHeight="1"/>
    <row r="34371" ht="26.25" customHeight="1"/>
    <row r="34372" ht="26.25" customHeight="1"/>
    <row r="34373" ht="26.25" customHeight="1"/>
    <row r="34374" ht="26.25" customHeight="1"/>
    <row r="34375" ht="26.25" customHeight="1"/>
    <row r="34376" ht="26.25" customHeight="1"/>
    <row r="34377" ht="26.25" customHeight="1"/>
    <row r="34378" ht="26.25" customHeight="1"/>
    <row r="34379" ht="26.25" customHeight="1"/>
    <row r="34380" ht="26.25" customHeight="1"/>
    <row r="34381" ht="26.25" customHeight="1"/>
    <row r="34382" ht="26.25" customHeight="1"/>
    <row r="34383" ht="26.25" customHeight="1"/>
    <row r="34384" ht="26.25" customHeight="1"/>
    <row r="34385" ht="26.25" customHeight="1"/>
    <row r="34386" ht="26.25" customHeight="1"/>
    <row r="34387" ht="26.25" customHeight="1"/>
    <row r="34388" ht="26.25" customHeight="1"/>
    <row r="34389" ht="26.25" customHeight="1"/>
    <row r="34390" ht="26.25" customHeight="1"/>
    <row r="34391" ht="26.25" customHeight="1"/>
    <row r="34392" ht="26.25" customHeight="1"/>
    <row r="34393" ht="26.25" customHeight="1"/>
    <row r="34394" ht="26.25" customHeight="1"/>
    <row r="34395" ht="26.25" customHeight="1"/>
    <row r="34396" ht="26.25" customHeight="1"/>
    <row r="34397" ht="26.25" customHeight="1"/>
    <row r="34398" ht="26.25" customHeight="1"/>
    <row r="34399" ht="26.25" customHeight="1"/>
    <row r="34400" ht="26.25" customHeight="1"/>
    <row r="34401" ht="26.25" customHeight="1"/>
    <row r="34402" ht="26.25" customHeight="1"/>
    <row r="34403" ht="26.25" customHeight="1"/>
    <row r="34404" ht="26.25" customHeight="1"/>
    <row r="34405" ht="26.25" customHeight="1"/>
    <row r="34406" ht="26.25" customHeight="1"/>
    <row r="34407" ht="26.25" customHeight="1"/>
    <row r="34408" ht="26.25" customHeight="1"/>
    <row r="34409" ht="26.25" customHeight="1"/>
    <row r="34410" ht="26.25" customHeight="1"/>
    <row r="34411" ht="26.25" customHeight="1"/>
    <row r="34412" ht="26.25" customHeight="1"/>
    <row r="34413" ht="26.25" customHeight="1"/>
    <row r="34414" ht="26.25" customHeight="1"/>
    <row r="34415" ht="26.25" customHeight="1"/>
    <row r="34416" ht="26.25" customHeight="1"/>
    <row r="34417" ht="26.25" customHeight="1"/>
    <row r="34418" ht="26.25" customHeight="1"/>
    <row r="34419" ht="26.25" customHeight="1"/>
    <row r="34420" ht="26.25" customHeight="1"/>
    <row r="34421" ht="26.25" customHeight="1"/>
    <row r="34422" ht="26.25" customHeight="1"/>
    <row r="34423" ht="26.25" customHeight="1"/>
    <row r="34424" ht="26.25" customHeight="1"/>
    <row r="34425" ht="26.25" customHeight="1"/>
    <row r="34426" ht="26.25" customHeight="1"/>
    <row r="34427" ht="26.25" customHeight="1"/>
    <row r="34428" ht="26.25" customHeight="1"/>
    <row r="34429" ht="26.25" customHeight="1"/>
    <row r="34430" ht="26.25" customHeight="1"/>
    <row r="34431" ht="26.25" customHeight="1"/>
    <row r="34432" ht="26.25" customHeight="1"/>
    <row r="34433" ht="26.25" customHeight="1"/>
    <row r="34434" ht="26.25" customHeight="1"/>
    <row r="34435" ht="26.25" customHeight="1"/>
    <row r="34436" ht="26.25" customHeight="1"/>
    <row r="34437" ht="26.25" customHeight="1"/>
    <row r="34438" ht="26.25" customHeight="1"/>
    <row r="34439" ht="26.25" customHeight="1"/>
    <row r="34440" ht="26.25" customHeight="1"/>
    <row r="34441" ht="26.25" customHeight="1"/>
    <row r="34442" ht="26.25" customHeight="1"/>
    <row r="34443" ht="26.25" customHeight="1"/>
    <row r="34444" ht="26.25" customHeight="1"/>
    <row r="34445" ht="26.25" customHeight="1"/>
    <row r="34446" ht="26.25" customHeight="1"/>
    <row r="34447" ht="26.25" customHeight="1"/>
    <row r="34448" ht="26.25" customHeight="1"/>
    <row r="34449" ht="26.25" customHeight="1"/>
    <row r="34450" ht="26.25" customHeight="1"/>
    <row r="34451" ht="26.25" customHeight="1"/>
    <row r="34452" ht="26.25" customHeight="1"/>
    <row r="34453" ht="26.25" customHeight="1"/>
    <row r="34454" ht="26.25" customHeight="1"/>
    <row r="34455" ht="26.25" customHeight="1"/>
    <row r="34456" ht="26.25" customHeight="1"/>
    <row r="34457" ht="26.25" customHeight="1"/>
    <row r="34458" ht="26.25" customHeight="1"/>
    <row r="34459" ht="26.25" customHeight="1"/>
    <row r="34460" ht="26.25" customHeight="1"/>
    <row r="34461" ht="26.25" customHeight="1"/>
    <row r="34462" ht="26.25" customHeight="1"/>
    <row r="34463" ht="26.25" customHeight="1"/>
    <row r="34464" ht="26.25" customHeight="1"/>
    <row r="34465" ht="26.25" customHeight="1"/>
    <row r="34466" ht="26.25" customHeight="1"/>
    <row r="34467" ht="26.25" customHeight="1"/>
    <row r="34468" ht="26.25" customHeight="1"/>
    <row r="34469" ht="26.25" customHeight="1"/>
    <row r="34470" ht="26.25" customHeight="1"/>
    <row r="34471" ht="26.25" customHeight="1"/>
    <row r="34472" ht="26.25" customHeight="1"/>
    <row r="34473" ht="26.25" customHeight="1"/>
    <row r="34474" ht="26.25" customHeight="1"/>
    <row r="34475" ht="26.25" customHeight="1"/>
    <row r="34476" ht="26.25" customHeight="1"/>
    <row r="34477" ht="26.25" customHeight="1"/>
    <row r="34478" ht="26.25" customHeight="1"/>
    <row r="34479" ht="26.25" customHeight="1"/>
    <row r="34480" ht="26.25" customHeight="1"/>
    <row r="34481" ht="26.25" customHeight="1"/>
    <row r="34482" ht="26.25" customHeight="1"/>
    <row r="34483" ht="26.25" customHeight="1"/>
    <row r="34484" ht="26.25" customHeight="1"/>
    <row r="34485" ht="26.25" customHeight="1"/>
    <row r="34486" ht="26.25" customHeight="1"/>
    <row r="34487" ht="26.25" customHeight="1"/>
    <row r="34488" ht="26.25" customHeight="1"/>
    <row r="34489" ht="26.25" customHeight="1"/>
    <row r="34490" ht="26.25" customHeight="1"/>
    <row r="34491" ht="26.25" customHeight="1"/>
    <row r="34492" ht="26.25" customHeight="1"/>
    <row r="34493" ht="26.25" customHeight="1"/>
    <row r="34494" ht="26.25" customHeight="1"/>
    <row r="34495" ht="26.25" customHeight="1"/>
    <row r="34496" ht="26.25" customHeight="1"/>
    <row r="34497" ht="26.25" customHeight="1"/>
    <row r="34498" ht="26.25" customHeight="1"/>
    <row r="34499" ht="26.25" customHeight="1"/>
    <row r="34500" ht="26.25" customHeight="1"/>
    <row r="34501" ht="26.25" customHeight="1"/>
    <row r="34502" ht="26.25" customHeight="1"/>
    <row r="34503" ht="26.25" customHeight="1"/>
    <row r="34504" ht="26.25" customHeight="1"/>
    <row r="34505" ht="26.25" customHeight="1"/>
    <row r="34506" ht="26.25" customHeight="1"/>
    <row r="34507" ht="26.25" customHeight="1"/>
    <row r="34508" ht="26.25" customHeight="1"/>
    <row r="34509" ht="26.25" customHeight="1"/>
    <row r="34510" ht="26.25" customHeight="1"/>
    <row r="34511" ht="26.25" customHeight="1"/>
    <row r="34512" ht="26.25" customHeight="1"/>
    <row r="34513" ht="26.25" customHeight="1"/>
    <row r="34514" ht="26.25" customHeight="1"/>
    <row r="34515" ht="26.25" customHeight="1"/>
    <row r="34516" ht="26.25" customHeight="1"/>
    <row r="34517" ht="26.25" customHeight="1"/>
    <row r="34518" ht="26.25" customHeight="1"/>
    <row r="34519" ht="26.25" customHeight="1"/>
    <row r="34520" ht="26.25" customHeight="1"/>
    <row r="34521" ht="26.25" customHeight="1"/>
    <row r="34522" ht="26.25" customHeight="1"/>
    <row r="34523" ht="26.25" customHeight="1"/>
    <row r="34524" ht="26.25" customHeight="1"/>
    <row r="34525" ht="26.25" customHeight="1"/>
    <row r="34526" ht="26.25" customHeight="1"/>
    <row r="34527" ht="26.25" customHeight="1"/>
    <row r="34528" ht="26.25" customHeight="1"/>
    <row r="34529" ht="26.25" customHeight="1"/>
    <row r="34530" ht="26.25" customHeight="1"/>
    <row r="34531" ht="26.25" customHeight="1"/>
    <row r="34532" ht="26.25" customHeight="1"/>
    <row r="34533" ht="26.25" customHeight="1"/>
    <row r="34534" ht="26.25" customHeight="1"/>
    <row r="34535" ht="26.25" customHeight="1"/>
    <row r="34536" ht="26.25" customHeight="1"/>
    <row r="34537" ht="26.25" customHeight="1"/>
    <row r="34538" ht="26.25" customHeight="1"/>
    <row r="34539" ht="26.25" customHeight="1"/>
    <row r="34540" ht="26.25" customHeight="1"/>
    <row r="34541" ht="26.25" customHeight="1"/>
    <row r="34542" ht="26.25" customHeight="1"/>
    <row r="34543" ht="26.25" customHeight="1"/>
    <row r="34544" ht="26.25" customHeight="1"/>
    <row r="34545" ht="26.25" customHeight="1"/>
    <row r="34546" ht="26.25" customHeight="1"/>
    <row r="34547" ht="26.25" customHeight="1"/>
    <row r="34548" ht="26.25" customHeight="1"/>
    <row r="34549" ht="26.25" customHeight="1"/>
    <row r="34550" ht="26.25" customHeight="1"/>
    <row r="34551" ht="26.25" customHeight="1"/>
    <row r="34552" ht="26.25" customHeight="1"/>
    <row r="34553" ht="26.25" customHeight="1"/>
    <row r="34554" ht="26.25" customHeight="1"/>
    <row r="34555" ht="26.25" customHeight="1"/>
    <row r="34556" ht="26.25" customHeight="1"/>
    <row r="34557" ht="26.25" customHeight="1"/>
    <row r="34558" ht="26.25" customHeight="1"/>
    <row r="34559" ht="26.25" customHeight="1"/>
    <row r="34560" ht="26.25" customHeight="1"/>
    <row r="34561" ht="26.25" customHeight="1"/>
    <row r="34562" ht="26.25" customHeight="1"/>
    <row r="34563" ht="26.25" customHeight="1"/>
    <row r="34564" ht="26.25" customHeight="1"/>
    <row r="34565" ht="26.25" customHeight="1"/>
    <row r="34566" ht="26.25" customHeight="1"/>
    <row r="34567" ht="26.25" customHeight="1"/>
    <row r="34568" ht="26.25" customHeight="1"/>
    <row r="34569" ht="26.25" customHeight="1"/>
    <row r="34570" ht="26.25" customHeight="1"/>
    <row r="34571" ht="26.25" customHeight="1"/>
    <row r="34572" ht="26.25" customHeight="1"/>
    <row r="34573" ht="26.25" customHeight="1"/>
    <row r="34574" ht="26.25" customHeight="1"/>
    <row r="34575" ht="26.25" customHeight="1"/>
    <row r="34576" ht="26.25" customHeight="1"/>
    <row r="34577" ht="26.25" customHeight="1"/>
    <row r="34578" ht="26.25" customHeight="1"/>
    <row r="34579" ht="26.25" customHeight="1"/>
    <row r="34580" ht="26.25" customHeight="1"/>
    <row r="34581" ht="26.25" customHeight="1"/>
    <row r="34582" ht="26.25" customHeight="1"/>
    <row r="34583" ht="26.25" customHeight="1"/>
    <row r="34584" ht="26.25" customHeight="1"/>
    <row r="34585" ht="26.25" customHeight="1"/>
    <row r="34586" ht="26.25" customHeight="1"/>
    <row r="34587" ht="26.25" customHeight="1"/>
    <row r="34588" ht="26.25" customHeight="1"/>
    <row r="34589" ht="26.25" customHeight="1"/>
    <row r="34590" ht="26.25" customHeight="1"/>
    <row r="34591" ht="26.25" customHeight="1"/>
    <row r="34592" ht="26.25" customHeight="1"/>
    <row r="34593" ht="26.25" customHeight="1"/>
    <row r="34594" ht="26.25" customHeight="1"/>
    <row r="34595" ht="26.25" customHeight="1"/>
    <row r="34596" ht="26.25" customHeight="1"/>
    <row r="34597" ht="26.25" customHeight="1"/>
    <row r="34598" ht="26.25" customHeight="1"/>
    <row r="34599" ht="26.25" customHeight="1"/>
    <row r="34600" ht="26.25" customHeight="1"/>
    <row r="34601" ht="26.25" customHeight="1"/>
    <row r="34602" ht="26.25" customHeight="1"/>
    <row r="34603" ht="26.25" customHeight="1"/>
    <row r="34604" ht="26.25" customHeight="1"/>
    <row r="34605" ht="26.25" customHeight="1"/>
    <row r="34606" ht="26.25" customHeight="1"/>
    <row r="34607" ht="26.25" customHeight="1"/>
    <row r="34608" ht="26.25" customHeight="1"/>
    <row r="34609" ht="26.25" customHeight="1"/>
    <row r="34610" ht="26.25" customHeight="1"/>
    <row r="34611" ht="26.25" customHeight="1"/>
    <row r="34612" ht="26.25" customHeight="1"/>
    <row r="34613" ht="26.25" customHeight="1"/>
    <row r="34614" ht="26.25" customHeight="1"/>
    <row r="34615" ht="26.25" customHeight="1"/>
    <row r="34616" ht="26.25" customHeight="1"/>
    <row r="34617" ht="26.25" customHeight="1"/>
    <row r="34618" ht="26.25" customHeight="1"/>
    <row r="34619" ht="26.25" customHeight="1"/>
    <row r="34620" ht="26.25" customHeight="1"/>
    <row r="34621" ht="26.25" customHeight="1"/>
    <row r="34622" ht="26.25" customHeight="1"/>
    <row r="34623" ht="26.25" customHeight="1"/>
    <row r="34624" ht="26.25" customHeight="1"/>
    <row r="34625" ht="26.25" customHeight="1"/>
    <row r="34626" ht="26.25" customHeight="1"/>
    <row r="34627" ht="26.25" customHeight="1"/>
    <row r="34628" ht="26.25" customHeight="1"/>
    <row r="34629" ht="26.25" customHeight="1"/>
    <row r="34630" ht="26.25" customHeight="1"/>
    <row r="34631" ht="26.25" customHeight="1"/>
    <row r="34632" ht="26.25" customHeight="1"/>
    <row r="34633" ht="26.25" customHeight="1"/>
    <row r="34634" ht="26.25" customHeight="1"/>
    <row r="34635" ht="26.25" customHeight="1"/>
    <row r="34636" ht="26.25" customHeight="1"/>
    <row r="34637" ht="26.25" customHeight="1"/>
    <row r="34638" ht="26.25" customHeight="1"/>
    <row r="34639" ht="26.25" customHeight="1"/>
    <row r="34640" ht="26.25" customHeight="1"/>
    <row r="34641" ht="26.25" customHeight="1"/>
    <row r="34642" ht="26.25" customHeight="1"/>
    <row r="34643" ht="26.25" customHeight="1"/>
    <row r="34644" ht="26.25" customHeight="1"/>
    <row r="34645" ht="26.25" customHeight="1"/>
    <row r="34646" ht="26.25" customHeight="1"/>
    <row r="34647" ht="26.25" customHeight="1"/>
    <row r="34648" ht="26.25" customHeight="1"/>
    <row r="34649" ht="26.25" customHeight="1"/>
    <row r="34650" ht="26.25" customHeight="1"/>
    <row r="34651" ht="26.25" customHeight="1"/>
    <row r="34652" ht="26.25" customHeight="1"/>
    <row r="34653" ht="26.25" customHeight="1"/>
    <row r="34654" ht="26.25" customHeight="1"/>
    <row r="34655" ht="26.25" customHeight="1"/>
    <row r="34656" ht="26.25" customHeight="1"/>
    <row r="34657" ht="26.25" customHeight="1"/>
    <row r="34658" ht="26.25" customHeight="1"/>
    <row r="34659" ht="26.25" customHeight="1"/>
    <row r="34660" ht="26.25" customHeight="1"/>
    <row r="34661" ht="26.25" customHeight="1"/>
    <row r="34662" ht="26.25" customHeight="1"/>
    <row r="34663" ht="26.25" customHeight="1"/>
    <row r="34664" ht="26.25" customHeight="1"/>
    <row r="34665" ht="26.25" customHeight="1"/>
    <row r="34666" ht="26.25" customHeight="1"/>
    <row r="34667" ht="26.25" customHeight="1"/>
    <row r="34668" ht="26.25" customHeight="1"/>
    <row r="34669" ht="26.25" customHeight="1"/>
    <row r="34670" ht="26.25" customHeight="1"/>
    <row r="34671" ht="26.25" customHeight="1"/>
    <row r="34672" ht="26.25" customHeight="1"/>
    <row r="34673" ht="26.25" customHeight="1"/>
    <row r="34674" ht="26.25" customHeight="1"/>
    <row r="34675" ht="26.25" customHeight="1"/>
    <row r="34676" ht="26.25" customHeight="1"/>
    <row r="34677" ht="26.25" customHeight="1"/>
    <row r="34678" ht="26.25" customHeight="1"/>
    <row r="34679" ht="26.25" customHeight="1"/>
    <row r="34680" ht="26.25" customHeight="1"/>
    <row r="34681" ht="26.25" customHeight="1"/>
    <row r="34682" ht="26.25" customHeight="1"/>
    <row r="34683" ht="26.25" customHeight="1"/>
    <row r="34684" ht="26.25" customHeight="1"/>
    <row r="34685" ht="26.25" customHeight="1"/>
    <row r="34686" ht="26.25" customHeight="1"/>
    <row r="34687" ht="26.25" customHeight="1"/>
    <row r="34688" ht="26.25" customHeight="1"/>
    <row r="34689" ht="26.25" customHeight="1"/>
    <row r="34690" ht="26.25" customHeight="1"/>
    <row r="34691" ht="26.25" customHeight="1"/>
    <row r="34692" ht="26.25" customHeight="1"/>
    <row r="34693" ht="26.25" customHeight="1"/>
    <row r="34694" ht="26.25" customHeight="1"/>
    <row r="34695" ht="26.25" customHeight="1"/>
    <row r="34696" ht="26.25" customHeight="1"/>
    <row r="34697" ht="26.25" customHeight="1"/>
    <row r="34698" ht="26.25" customHeight="1"/>
    <row r="34699" ht="26.25" customHeight="1"/>
    <row r="34700" ht="26.25" customHeight="1"/>
    <row r="34701" ht="26.25" customHeight="1"/>
    <row r="34702" ht="26.25" customHeight="1"/>
    <row r="34703" ht="26.25" customHeight="1"/>
    <row r="34704" ht="26.25" customHeight="1"/>
    <row r="34705" ht="26.25" customHeight="1"/>
    <row r="34706" ht="26.25" customHeight="1"/>
    <row r="34707" ht="26.25" customHeight="1"/>
    <row r="34708" ht="26.25" customHeight="1"/>
    <row r="34709" ht="26.25" customHeight="1"/>
    <row r="34710" ht="26.25" customHeight="1"/>
    <row r="34711" ht="26.25" customHeight="1"/>
    <row r="34712" ht="26.25" customHeight="1"/>
    <row r="34713" ht="26.25" customHeight="1"/>
    <row r="34714" ht="26.25" customHeight="1"/>
    <row r="34715" ht="26.25" customHeight="1"/>
    <row r="34716" ht="26.25" customHeight="1"/>
    <row r="34717" ht="26.25" customHeight="1"/>
    <row r="34718" ht="26.25" customHeight="1"/>
    <row r="34719" ht="26.25" customHeight="1"/>
    <row r="34720" ht="26.25" customHeight="1"/>
    <row r="34721" ht="26.25" customHeight="1"/>
    <row r="34722" ht="26.25" customHeight="1"/>
    <row r="34723" ht="26.25" customHeight="1"/>
    <row r="34724" ht="26.25" customHeight="1"/>
    <row r="34725" ht="26.25" customHeight="1"/>
    <row r="34726" ht="26.25" customHeight="1"/>
    <row r="34727" ht="26.25" customHeight="1"/>
    <row r="34728" ht="26.25" customHeight="1"/>
    <row r="34729" ht="26.25" customHeight="1"/>
    <row r="34730" ht="26.25" customHeight="1"/>
    <row r="34731" ht="26.25" customHeight="1"/>
    <row r="34732" ht="26.25" customHeight="1"/>
    <row r="34733" ht="26.25" customHeight="1"/>
    <row r="34734" ht="26.25" customHeight="1"/>
    <row r="34735" ht="26.25" customHeight="1"/>
    <row r="34736" ht="26.25" customHeight="1"/>
    <row r="34737" ht="26.25" customHeight="1"/>
    <row r="34738" ht="26.25" customHeight="1"/>
    <row r="34739" ht="26.25" customHeight="1"/>
    <row r="34740" ht="26.25" customHeight="1"/>
    <row r="34741" ht="26.25" customHeight="1"/>
    <row r="34742" ht="26.25" customHeight="1"/>
    <row r="34743" ht="26.25" customHeight="1"/>
    <row r="34744" ht="26.25" customHeight="1"/>
    <row r="34745" ht="26.25" customHeight="1"/>
    <row r="34746" ht="26.25" customHeight="1"/>
    <row r="34747" ht="26.25" customHeight="1"/>
    <row r="34748" ht="26.25" customHeight="1"/>
    <row r="34749" ht="26.25" customHeight="1"/>
    <row r="34750" ht="26.25" customHeight="1"/>
    <row r="34751" ht="26.25" customHeight="1"/>
    <row r="34752" ht="26.25" customHeight="1"/>
    <row r="34753" ht="26.25" customHeight="1"/>
    <row r="34754" ht="26.25" customHeight="1"/>
    <row r="34755" ht="26.25" customHeight="1"/>
    <row r="34756" ht="26.25" customHeight="1"/>
    <row r="34757" ht="26.25" customHeight="1"/>
    <row r="34758" ht="26.25" customHeight="1"/>
    <row r="34759" ht="26.25" customHeight="1"/>
    <row r="34760" ht="26.25" customHeight="1"/>
    <row r="34761" ht="26.25" customHeight="1"/>
    <row r="34762" ht="26.25" customHeight="1"/>
    <row r="34763" ht="26.25" customHeight="1"/>
    <row r="34764" ht="26.25" customHeight="1"/>
    <row r="34765" ht="26.25" customHeight="1"/>
    <row r="34766" ht="26.25" customHeight="1"/>
    <row r="34767" ht="26.25" customHeight="1"/>
    <row r="34768" ht="26.25" customHeight="1"/>
    <row r="34769" ht="26.25" customHeight="1"/>
    <row r="34770" ht="26.25" customHeight="1"/>
    <row r="34771" ht="26.25" customHeight="1"/>
    <row r="34772" ht="26.25" customHeight="1"/>
    <row r="34773" ht="26.25" customHeight="1"/>
    <row r="34774" ht="26.25" customHeight="1"/>
    <row r="34775" ht="26.25" customHeight="1"/>
    <row r="34776" ht="26.25" customHeight="1"/>
    <row r="34777" ht="26.25" customHeight="1"/>
    <row r="34778" ht="26.25" customHeight="1"/>
    <row r="34779" ht="26.25" customHeight="1"/>
    <row r="34780" ht="26.25" customHeight="1"/>
    <row r="34781" ht="26.25" customHeight="1"/>
    <row r="34782" ht="26.25" customHeight="1"/>
    <row r="34783" ht="26.25" customHeight="1"/>
    <row r="34784" ht="26.25" customHeight="1"/>
    <row r="34785" ht="26.25" customHeight="1"/>
    <row r="34786" ht="26.25" customHeight="1"/>
    <row r="34787" ht="26.25" customHeight="1"/>
    <row r="34788" ht="26.25" customHeight="1"/>
    <row r="34789" ht="26.25" customHeight="1"/>
    <row r="34790" ht="26.25" customHeight="1"/>
    <row r="34791" ht="26.25" customHeight="1"/>
    <row r="34792" ht="26.25" customHeight="1"/>
    <row r="34793" ht="26.25" customHeight="1"/>
    <row r="34794" ht="26.25" customHeight="1"/>
    <row r="34795" ht="26.25" customHeight="1"/>
    <row r="34796" ht="26.25" customHeight="1"/>
    <row r="34797" ht="26.25" customHeight="1"/>
    <row r="34798" ht="26.25" customHeight="1"/>
    <row r="34799" ht="26.25" customHeight="1"/>
    <row r="34800" ht="26.25" customHeight="1"/>
    <row r="34801" ht="26.25" customHeight="1"/>
    <row r="34802" ht="26.25" customHeight="1"/>
    <row r="34803" ht="26.25" customHeight="1"/>
    <row r="34804" ht="26.25" customHeight="1"/>
    <row r="34805" ht="26.25" customHeight="1"/>
    <row r="34806" ht="26.25" customHeight="1"/>
    <row r="34807" ht="26.25" customHeight="1"/>
    <row r="34808" ht="26.25" customHeight="1"/>
    <row r="34809" ht="26.25" customHeight="1"/>
    <row r="34810" ht="26.25" customHeight="1"/>
    <row r="34811" ht="26.25" customHeight="1"/>
    <row r="34812" ht="26.25" customHeight="1"/>
    <row r="34813" ht="26.25" customHeight="1"/>
    <row r="34814" ht="26.25" customHeight="1"/>
    <row r="34815" ht="26.25" customHeight="1"/>
    <row r="34816" ht="26.25" customHeight="1"/>
    <row r="34817" ht="26.25" customHeight="1"/>
    <row r="34818" ht="26.25" customHeight="1"/>
    <row r="34819" ht="26.25" customHeight="1"/>
    <row r="34820" ht="26.25" customHeight="1"/>
    <row r="34821" ht="26.25" customHeight="1"/>
    <row r="34822" ht="26.25" customHeight="1"/>
    <row r="34823" ht="26.25" customHeight="1"/>
    <row r="34824" ht="26.25" customHeight="1"/>
    <row r="34825" ht="26.25" customHeight="1"/>
    <row r="34826" ht="26.25" customHeight="1"/>
    <row r="34827" ht="26.25" customHeight="1"/>
    <row r="34828" ht="26.25" customHeight="1"/>
    <row r="34829" ht="26.25" customHeight="1"/>
    <row r="34830" ht="26.25" customHeight="1"/>
    <row r="34831" ht="26.25" customHeight="1"/>
    <row r="34832" ht="26.25" customHeight="1"/>
    <row r="34833" ht="26.25" customHeight="1"/>
    <row r="34834" ht="26.25" customHeight="1"/>
    <row r="34835" ht="26.25" customHeight="1"/>
    <row r="34836" ht="26.25" customHeight="1"/>
    <row r="34837" ht="26.25" customHeight="1"/>
    <row r="34838" ht="26.25" customHeight="1"/>
    <row r="34839" ht="26.25" customHeight="1"/>
    <row r="34840" ht="26.25" customHeight="1"/>
    <row r="34841" ht="26.25" customHeight="1"/>
    <row r="34842" ht="26.25" customHeight="1"/>
    <row r="34843" ht="26.25" customHeight="1"/>
    <row r="34844" ht="26.25" customHeight="1"/>
    <row r="34845" ht="26.25" customHeight="1"/>
    <row r="34846" ht="26.25" customHeight="1"/>
    <row r="34847" ht="26.25" customHeight="1"/>
    <row r="34848" ht="26.25" customHeight="1"/>
    <row r="34849" ht="26.25" customHeight="1"/>
    <row r="34850" ht="26.25" customHeight="1"/>
    <row r="34851" ht="26.25" customHeight="1"/>
    <row r="34852" ht="26.25" customHeight="1"/>
    <row r="34853" ht="26.25" customHeight="1"/>
    <row r="34854" ht="26.25" customHeight="1"/>
    <row r="34855" ht="26.25" customHeight="1"/>
    <row r="34856" ht="26.25" customHeight="1"/>
    <row r="34857" ht="26.25" customHeight="1"/>
    <row r="34858" ht="26.25" customHeight="1"/>
    <row r="34859" ht="26.25" customHeight="1"/>
    <row r="34860" ht="26.25" customHeight="1"/>
    <row r="34861" ht="26.25" customHeight="1"/>
    <row r="34862" ht="26.25" customHeight="1"/>
    <row r="34863" ht="26.25" customHeight="1"/>
    <row r="34864" ht="26.25" customHeight="1"/>
    <row r="34865" ht="26.25" customHeight="1"/>
    <row r="34866" ht="26.25" customHeight="1"/>
    <row r="34867" ht="26.25" customHeight="1"/>
    <row r="34868" ht="26.25" customHeight="1"/>
    <row r="34869" ht="26.25" customHeight="1"/>
    <row r="34870" ht="26.25" customHeight="1"/>
    <row r="34871" ht="26.25" customHeight="1"/>
    <row r="34872" ht="26.25" customHeight="1"/>
    <row r="34873" ht="26.25" customHeight="1"/>
    <row r="34874" ht="26.25" customHeight="1"/>
    <row r="34875" ht="26.25" customHeight="1"/>
    <row r="34876" ht="26.25" customHeight="1"/>
    <row r="34877" ht="26.25" customHeight="1"/>
    <row r="34878" ht="26.25" customHeight="1"/>
    <row r="34879" ht="26.25" customHeight="1"/>
    <row r="34880" ht="26.25" customHeight="1"/>
    <row r="34881" ht="26.25" customHeight="1"/>
    <row r="34882" ht="26.25" customHeight="1"/>
    <row r="34883" ht="26.25" customHeight="1"/>
    <row r="34884" ht="26.25" customHeight="1"/>
    <row r="34885" ht="26.25" customHeight="1"/>
    <row r="34886" ht="26.25" customHeight="1"/>
    <row r="34887" ht="26.25" customHeight="1"/>
    <row r="34888" ht="26.25" customHeight="1"/>
    <row r="34889" ht="26.25" customHeight="1"/>
    <row r="34890" ht="26.25" customHeight="1"/>
    <row r="34891" ht="26.25" customHeight="1"/>
    <row r="34892" ht="26.25" customHeight="1"/>
    <row r="34893" ht="26.25" customHeight="1"/>
    <row r="34894" ht="26.25" customHeight="1"/>
    <row r="34895" ht="26.25" customHeight="1"/>
    <row r="34896" ht="26.25" customHeight="1"/>
    <row r="34897" ht="26.25" customHeight="1"/>
    <row r="34898" ht="26.25" customHeight="1"/>
    <row r="34899" ht="26.25" customHeight="1"/>
    <row r="34900" ht="26.25" customHeight="1"/>
    <row r="34901" ht="26.25" customHeight="1"/>
    <row r="34902" ht="26.25" customHeight="1"/>
    <row r="34903" ht="26.25" customHeight="1"/>
    <row r="34904" ht="26.25" customHeight="1"/>
    <row r="34905" ht="26.25" customHeight="1"/>
    <row r="34906" ht="26.25" customHeight="1"/>
    <row r="34907" ht="26.25" customHeight="1"/>
    <row r="34908" ht="26.25" customHeight="1"/>
    <row r="34909" ht="26.25" customHeight="1"/>
    <row r="34910" ht="26.25" customHeight="1"/>
    <row r="34911" ht="26.25" customHeight="1"/>
    <row r="34912" ht="26.25" customHeight="1"/>
    <row r="34913" ht="26.25" customHeight="1"/>
    <row r="34914" ht="26.25" customHeight="1"/>
    <row r="34915" ht="26.25" customHeight="1"/>
    <row r="34916" ht="26.25" customHeight="1"/>
    <row r="34917" ht="26.25" customHeight="1"/>
    <row r="34918" ht="26.25" customHeight="1"/>
    <row r="34919" ht="26.25" customHeight="1"/>
    <row r="34920" ht="26.25" customHeight="1"/>
    <row r="34921" ht="26.25" customHeight="1"/>
    <row r="34922" ht="26.25" customHeight="1"/>
    <row r="34923" ht="26.25" customHeight="1"/>
    <row r="34924" ht="26.25" customHeight="1"/>
    <row r="34925" ht="26.25" customHeight="1"/>
    <row r="34926" ht="26.25" customHeight="1"/>
    <row r="34927" ht="26.25" customHeight="1"/>
    <row r="34928" ht="26.25" customHeight="1"/>
    <row r="34929" ht="26.25" customHeight="1"/>
    <row r="34930" ht="26.25" customHeight="1"/>
    <row r="34931" ht="26.25" customHeight="1"/>
    <row r="34932" ht="26.25" customHeight="1"/>
    <row r="34933" ht="26.25" customHeight="1"/>
    <row r="34934" ht="26.25" customHeight="1"/>
    <row r="34935" ht="26.25" customHeight="1"/>
    <row r="34936" ht="26.25" customHeight="1"/>
    <row r="34937" ht="26.25" customHeight="1"/>
    <row r="34938" ht="26.25" customHeight="1"/>
    <row r="34939" ht="26.25" customHeight="1"/>
    <row r="34940" ht="26.25" customHeight="1"/>
    <row r="34941" ht="26.25" customHeight="1"/>
    <row r="34942" ht="26.25" customHeight="1"/>
    <row r="34943" ht="26.25" customHeight="1"/>
    <row r="34944" ht="26.25" customHeight="1"/>
    <row r="34945" ht="26.25" customHeight="1"/>
    <row r="34946" ht="26.25" customHeight="1"/>
    <row r="34947" ht="26.25" customHeight="1"/>
    <row r="34948" ht="26.25" customHeight="1"/>
    <row r="34949" ht="26.25" customHeight="1"/>
    <row r="34950" ht="26.25" customHeight="1"/>
    <row r="34951" ht="26.25" customHeight="1"/>
    <row r="34952" ht="26.25" customHeight="1"/>
    <row r="34953" ht="26.25" customHeight="1"/>
    <row r="34954" ht="26.25" customHeight="1"/>
    <row r="34955" ht="26.25" customHeight="1"/>
    <row r="34956" ht="26.25" customHeight="1"/>
    <row r="34957" ht="26.25" customHeight="1"/>
    <row r="34958" ht="26.25" customHeight="1"/>
    <row r="34959" ht="26.25" customHeight="1"/>
    <row r="34960" ht="26.25" customHeight="1"/>
    <row r="34961" ht="26.25" customHeight="1"/>
    <row r="34962" ht="26.25" customHeight="1"/>
    <row r="34963" ht="26.25" customHeight="1"/>
    <row r="34964" ht="26.25" customHeight="1"/>
    <row r="34965" ht="26.25" customHeight="1"/>
    <row r="34966" ht="26.25" customHeight="1"/>
    <row r="34967" ht="26.25" customHeight="1"/>
    <row r="34968" ht="26.25" customHeight="1"/>
    <row r="34969" ht="26.25" customHeight="1"/>
    <row r="34970" ht="26.25" customHeight="1"/>
    <row r="34971" ht="26.25" customHeight="1"/>
    <row r="34972" ht="26.25" customHeight="1"/>
    <row r="34973" ht="26.25" customHeight="1"/>
    <row r="34974" ht="26.25" customHeight="1"/>
    <row r="34975" ht="26.25" customHeight="1"/>
    <row r="34976" ht="26.25" customHeight="1"/>
    <row r="34977" ht="26.25" customHeight="1"/>
    <row r="34978" ht="26.25" customHeight="1"/>
    <row r="34979" ht="26.25" customHeight="1"/>
    <row r="34980" ht="26.25" customHeight="1"/>
    <row r="34981" ht="26.25" customHeight="1"/>
    <row r="34982" ht="26.25" customHeight="1"/>
    <row r="34983" ht="26.25" customHeight="1"/>
    <row r="34984" ht="26.25" customHeight="1"/>
    <row r="34985" ht="26.25" customHeight="1"/>
    <row r="34986" ht="26.25" customHeight="1"/>
    <row r="34987" ht="26.25" customHeight="1"/>
    <row r="34988" ht="26.25" customHeight="1"/>
    <row r="34989" ht="26.25" customHeight="1"/>
    <row r="34990" ht="26.25" customHeight="1"/>
    <row r="34991" ht="26.25" customHeight="1"/>
    <row r="34992" ht="26.25" customHeight="1"/>
    <row r="34993" ht="26.25" customHeight="1"/>
    <row r="34994" ht="26.25" customHeight="1"/>
    <row r="34995" ht="26.25" customHeight="1"/>
    <row r="34996" ht="26.25" customHeight="1"/>
    <row r="34997" ht="26.25" customHeight="1"/>
    <row r="34998" ht="26.25" customHeight="1"/>
    <row r="34999" ht="26.25" customHeight="1"/>
    <row r="35000" ht="26.25" customHeight="1"/>
    <row r="35001" ht="26.25" customHeight="1"/>
    <row r="35002" ht="26.25" customHeight="1"/>
    <row r="35003" ht="26.25" customHeight="1"/>
    <row r="35004" ht="26.25" customHeight="1"/>
    <row r="35005" ht="26.25" customHeight="1"/>
    <row r="35006" ht="26.25" customHeight="1"/>
    <row r="35007" ht="26.25" customHeight="1"/>
    <row r="35008" ht="26.25" customHeight="1"/>
    <row r="35009" ht="26.25" customHeight="1"/>
    <row r="35010" ht="26.25" customHeight="1"/>
    <row r="35011" ht="26.25" customHeight="1"/>
    <row r="35012" ht="26.25" customHeight="1"/>
    <row r="35013" ht="26.25" customHeight="1"/>
    <row r="35014" ht="26.25" customHeight="1"/>
    <row r="35015" ht="26.25" customHeight="1"/>
    <row r="35016" ht="26.25" customHeight="1"/>
    <row r="35017" ht="26.25" customHeight="1"/>
    <row r="35018" ht="26.25" customHeight="1"/>
    <row r="35019" ht="26.25" customHeight="1"/>
    <row r="35020" ht="26.25" customHeight="1"/>
    <row r="35021" ht="26.25" customHeight="1"/>
    <row r="35022" ht="26.25" customHeight="1"/>
    <row r="35023" ht="26.25" customHeight="1"/>
    <row r="35024" ht="26.25" customHeight="1"/>
    <row r="35025" ht="26.25" customHeight="1"/>
    <row r="35026" ht="26.25" customHeight="1"/>
    <row r="35027" ht="26.25" customHeight="1"/>
    <row r="35028" ht="26.25" customHeight="1"/>
    <row r="35029" ht="26.25" customHeight="1"/>
    <row r="35030" ht="26.25" customHeight="1"/>
    <row r="35031" ht="26.25" customHeight="1"/>
    <row r="35032" ht="26.25" customHeight="1"/>
    <row r="35033" ht="26.25" customHeight="1"/>
    <row r="35034" ht="26.25" customHeight="1"/>
    <row r="35035" ht="26.25" customHeight="1"/>
    <row r="35036" ht="26.25" customHeight="1"/>
    <row r="35037" ht="26.25" customHeight="1"/>
    <row r="35038" ht="26.25" customHeight="1"/>
    <row r="35039" ht="26.25" customHeight="1"/>
    <row r="35040" ht="26.25" customHeight="1"/>
    <row r="35041" ht="26.25" customHeight="1"/>
    <row r="35042" ht="26.25" customHeight="1"/>
    <row r="35043" ht="26.25" customHeight="1"/>
    <row r="35044" ht="26.25" customHeight="1"/>
    <row r="35045" ht="26.25" customHeight="1"/>
    <row r="35046" ht="26.25" customHeight="1"/>
    <row r="35047" ht="26.25" customHeight="1"/>
    <row r="35048" ht="26.25" customHeight="1"/>
    <row r="35049" ht="26.25" customHeight="1"/>
    <row r="35050" ht="26.25" customHeight="1"/>
    <row r="35051" ht="26.25" customHeight="1"/>
    <row r="35052" ht="26.25" customHeight="1"/>
    <row r="35053" ht="26.25" customHeight="1"/>
    <row r="35054" ht="26.25" customHeight="1"/>
    <row r="35055" ht="26.25" customHeight="1"/>
    <row r="35056" ht="26.25" customHeight="1"/>
    <row r="35057" ht="26.25" customHeight="1"/>
    <row r="35058" ht="26.25" customHeight="1"/>
    <row r="35059" ht="26.25" customHeight="1"/>
    <row r="35060" ht="26.25" customHeight="1"/>
    <row r="35061" ht="26.25" customHeight="1"/>
    <row r="35062" ht="26.25" customHeight="1"/>
    <row r="35063" ht="26.25" customHeight="1"/>
    <row r="35064" ht="26.25" customHeight="1"/>
    <row r="35065" ht="26.25" customHeight="1"/>
    <row r="35066" ht="26.25" customHeight="1"/>
    <row r="35067" ht="26.25" customHeight="1"/>
    <row r="35068" ht="26.25" customHeight="1"/>
    <row r="35069" ht="26.25" customHeight="1"/>
    <row r="35070" ht="26.25" customHeight="1"/>
    <row r="35071" ht="26.25" customHeight="1"/>
    <row r="35072" ht="26.25" customHeight="1"/>
    <row r="35073" ht="26.25" customHeight="1"/>
    <row r="35074" ht="26.25" customHeight="1"/>
    <row r="35075" ht="26.25" customHeight="1"/>
    <row r="35076" ht="26.25" customHeight="1"/>
    <row r="35077" ht="26.25" customHeight="1"/>
    <row r="35078" ht="26.25" customHeight="1"/>
    <row r="35079" ht="26.25" customHeight="1"/>
    <row r="35080" ht="26.25" customHeight="1"/>
    <row r="35081" ht="26.25" customHeight="1"/>
    <row r="35082" ht="26.25" customHeight="1"/>
    <row r="35083" ht="26.25" customHeight="1"/>
    <row r="35084" ht="26.25" customHeight="1"/>
    <row r="35085" ht="26.25" customHeight="1"/>
    <row r="35086" ht="26.25" customHeight="1"/>
    <row r="35087" ht="26.25" customHeight="1"/>
    <row r="35088" ht="26.25" customHeight="1"/>
    <row r="35089" ht="26.25" customHeight="1"/>
    <row r="35090" ht="26.25" customHeight="1"/>
    <row r="35091" ht="26.25" customHeight="1"/>
    <row r="35092" ht="26.25" customHeight="1"/>
    <row r="35093" ht="26.25" customHeight="1"/>
    <row r="35094" ht="26.25" customHeight="1"/>
    <row r="35095" ht="26.25" customHeight="1"/>
    <row r="35096" ht="26.25" customHeight="1"/>
    <row r="35097" ht="26.25" customHeight="1"/>
    <row r="35098" ht="26.25" customHeight="1"/>
    <row r="35099" ht="26.25" customHeight="1"/>
    <row r="35100" ht="26.25" customHeight="1"/>
    <row r="35101" ht="26.25" customHeight="1"/>
    <row r="35102" ht="26.25" customHeight="1"/>
    <row r="35103" ht="26.25" customHeight="1"/>
    <row r="35104" ht="26.25" customHeight="1"/>
    <row r="35105" ht="26.25" customHeight="1"/>
    <row r="35106" ht="26.25" customHeight="1"/>
    <row r="35107" ht="26.25" customHeight="1"/>
    <row r="35108" ht="26.25" customHeight="1"/>
    <row r="35109" ht="26.25" customHeight="1"/>
    <row r="35110" ht="26.25" customHeight="1"/>
    <row r="35111" ht="26.25" customHeight="1"/>
    <row r="35112" ht="26.25" customHeight="1"/>
    <row r="35113" ht="26.25" customHeight="1"/>
    <row r="35114" ht="26.25" customHeight="1"/>
    <row r="35115" ht="26.25" customHeight="1"/>
    <row r="35116" ht="26.25" customHeight="1"/>
    <row r="35117" ht="26.25" customHeight="1"/>
    <row r="35118" ht="26.25" customHeight="1"/>
    <row r="35119" ht="26.25" customHeight="1"/>
    <row r="35120" ht="26.25" customHeight="1"/>
    <row r="35121" ht="26.25" customHeight="1"/>
    <row r="35122" ht="26.25" customHeight="1"/>
    <row r="35123" ht="26.25" customHeight="1"/>
    <row r="35124" ht="26.25" customHeight="1"/>
    <row r="35125" ht="26.25" customHeight="1"/>
    <row r="35126" ht="26.25" customHeight="1"/>
    <row r="35127" ht="26.25" customHeight="1"/>
    <row r="35128" ht="26.25" customHeight="1"/>
    <row r="35129" ht="26.25" customHeight="1"/>
    <row r="35130" ht="26.25" customHeight="1"/>
    <row r="35131" ht="26.25" customHeight="1"/>
    <row r="35132" ht="26.25" customHeight="1"/>
    <row r="35133" ht="26.25" customHeight="1"/>
    <row r="35134" ht="26.25" customHeight="1"/>
    <row r="35135" ht="26.25" customHeight="1"/>
    <row r="35136" ht="26.25" customHeight="1"/>
    <row r="35137" ht="26.25" customHeight="1"/>
    <row r="35138" ht="26.25" customHeight="1"/>
    <row r="35139" ht="26.25" customHeight="1"/>
    <row r="35140" ht="26.25" customHeight="1"/>
    <row r="35141" ht="26.25" customHeight="1"/>
    <row r="35142" ht="26.25" customHeight="1"/>
    <row r="35143" ht="26.25" customHeight="1"/>
    <row r="35144" ht="26.25" customHeight="1"/>
    <row r="35145" ht="26.25" customHeight="1"/>
    <row r="35146" ht="26.25" customHeight="1"/>
    <row r="35147" ht="26.25" customHeight="1"/>
    <row r="35148" ht="26.25" customHeight="1"/>
    <row r="35149" ht="26.25" customHeight="1"/>
    <row r="35150" ht="26.25" customHeight="1"/>
    <row r="35151" ht="26.25" customHeight="1"/>
    <row r="35152" ht="26.25" customHeight="1"/>
    <row r="35153" ht="26.25" customHeight="1"/>
    <row r="35154" ht="26.25" customHeight="1"/>
    <row r="35155" ht="26.25" customHeight="1"/>
    <row r="35156" ht="26.25" customHeight="1"/>
    <row r="35157" ht="26.25" customHeight="1"/>
    <row r="35158" ht="26.25" customHeight="1"/>
    <row r="35159" ht="26.25" customHeight="1"/>
    <row r="35160" ht="26.25" customHeight="1"/>
    <row r="35161" ht="26.25" customHeight="1"/>
    <row r="35162" ht="26.25" customHeight="1"/>
    <row r="35163" ht="26.25" customHeight="1"/>
    <row r="35164" ht="26.25" customHeight="1"/>
    <row r="35165" ht="26.25" customHeight="1"/>
    <row r="35166" ht="26.25" customHeight="1"/>
    <row r="35167" ht="26.25" customHeight="1"/>
    <row r="35168" ht="26.25" customHeight="1"/>
    <row r="35169" ht="26.25" customHeight="1"/>
    <row r="35170" ht="26.25" customHeight="1"/>
    <row r="35171" ht="26.25" customHeight="1"/>
    <row r="35172" ht="26.25" customHeight="1"/>
    <row r="35173" ht="26.25" customHeight="1"/>
    <row r="35174" ht="26.25" customHeight="1"/>
    <row r="35175" ht="26.25" customHeight="1"/>
    <row r="35176" ht="26.25" customHeight="1"/>
    <row r="35177" ht="26.25" customHeight="1"/>
    <row r="35178" ht="26.25" customHeight="1"/>
    <row r="35179" ht="26.25" customHeight="1"/>
    <row r="35180" ht="26.25" customHeight="1"/>
    <row r="35181" ht="26.25" customHeight="1"/>
    <row r="35182" ht="26.25" customHeight="1"/>
    <row r="35183" ht="26.25" customHeight="1"/>
    <row r="35184" ht="26.25" customHeight="1"/>
    <row r="35185" ht="26.25" customHeight="1"/>
    <row r="35186" ht="26.25" customHeight="1"/>
    <row r="35187" ht="26.25" customHeight="1"/>
    <row r="35188" ht="26.25" customHeight="1"/>
    <row r="35189" ht="26.25" customHeight="1"/>
    <row r="35190" ht="26.25" customHeight="1"/>
    <row r="35191" ht="26.25" customHeight="1"/>
    <row r="35192" ht="26.25" customHeight="1"/>
    <row r="35193" ht="26.25" customHeight="1"/>
    <row r="35194" ht="26.25" customHeight="1"/>
    <row r="35195" ht="26.25" customHeight="1"/>
    <row r="35196" ht="26.25" customHeight="1"/>
    <row r="35197" ht="26.25" customHeight="1"/>
    <row r="35198" ht="26.25" customHeight="1"/>
    <row r="35199" ht="26.25" customHeight="1"/>
    <row r="35200" ht="26.25" customHeight="1"/>
    <row r="35201" ht="26.25" customHeight="1"/>
    <row r="35202" ht="26.25" customHeight="1"/>
    <row r="35203" ht="26.25" customHeight="1"/>
    <row r="35204" ht="26.25" customHeight="1"/>
    <row r="35205" ht="26.25" customHeight="1"/>
    <row r="35206" ht="26.25" customHeight="1"/>
    <row r="35207" ht="26.25" customHeight="1"/>
    <row r="35208" ht="26.25" customHeight="1"/>
    <row r="35209" ht="26.25" customHeight="1"/>
    <row r="35210" ht="26.25" customHeight="1"/>
    <row r="35211" ht="26.25" customHeight="1"/>
    <row r="35212" ht="26.25" customHeight="1"/>
    <row r="35213" ht="26.25" customHeight="1"/>
    <row r="35214" ht="26.25" customHeight="1"/>
    <row r="35215" ht="26.25" customHeight="1"/>
    <row r="35216" ht="26.25" customHeight="1"/>
    <row r="35217" ht="26.25" customHeight="1"/>
    <row r="35218" ht="26.25" customHeight="1"/>
    <row r="35219" ht="26.25" customHeight="1"/>
    <row r="35220" ht="26.25" customHeight="1"/>
    <row r="35221" ht="26.25" customHeight="1"/>
    <row r="35222" ht="26.25" customHeight="1"/>
    <row r="35223" ht="26.25" customHeight="1"/>
    <row r="35224" ht="26.25" customHeight="1"/>
    <row r="35225" ht="26.25" customHeight="1"/>
    <row r="35226" ht="26.25" customHeight="1"/>
    <row r="35227" ht="26.25" customHeight="1"/>
    <row r="35228" ht="26.25" customHeight="1"/>
    <row r="35229" ht="26.25" customHeight="1"/>
    <row r="35230" ht="26.25" customHeight="1"/>
    <row r="35231" ht="26.25" customHeight="1"/>
    <row r="35232" ht="26.25" customHeight="1"/>
    <row r="35233" ht="26.25" customHeight="1"/>
    <row r="35234" ht="26.25" customHeight="1"/>
    <row r="35235" ht="26.25" customHeight="1"/>
    <row r="35236" ht="26.25" customHeight="1"/>
    <row r="35237" ht="26.25" customHeight="1"/>
    <row r="35238" ht="26.25" customHeight="1"/>
    <row r="35239" ht="26.25" customHeight="1"/>
    <row r="35240" ht="26.25" customHeight="1"/>
    <row r="35241" ht="26.25" customHeight="1"/>
    <row r="35242" ht="26.25" customHeight="1"/>
    <row r="35243" ht="26.25" customHeight="1"/>
    <row r="35244" ht="26.25" customHeight="1"/>
    <row r="35245" ht="26.25" customHeight="1"/>
    <row r="35246" ht="26.25" customHeight="1"/>
    <row r="35247" ht="26.25" customHeight="1"/>
    <row r="35248" ht="26.25" customHeight="1"/>
    <row r="35249" ht="26.25" customHeight="1"/>
    <row r="35250" ht="26.25" customHeight="1"/>
    <row r="35251" ht="26.25" customHeight="1"/>
    <row r="35252" ht="26.25" customHeight="1"/>
    <row r="35253" ht="26.25" customHeight="1"/>
    <row r="35254" ht="26.25" customHeight="1"/>
    <row r="35255" ht="26.25" customHeight="1"/>
    <row r="35256" ht="26.25" customHeight="1"/>
    <row r="35257" ht="26.25" customHeight="1"/>
    <row r="35258" ht="26.25" customHeight="1"/>
    <row r="35259" ht="26.25" customHeight="1"/>
    <row r="35260" ht="26.25" customHeight="1"/>
    <row r="35261" ht="26.25" customHeight="1"/>
    <row r="35262" ht="26.25" customHeight="1"/>
    <row r="35263" ht="26.25" customHeight="1"/>
    <row r="35264" ht="26.25" customHeight="1"/>
    <row r="35265" ht="26.25" customHeight="1"/>
    <row r="35266" ht="26.25" customHeight="1"/>
    <row r="35267" ht="26.25" customHeight="1"/>
    <row r="35268" ht="26.25" customHeight="1"/>
    <row r="35269" ht="26.25" customHeight="1"/>
    <row r="35270" ht="26.25" customHeight="1"/>
    <row r="35271" ht="26.25" customHeight="1"/>
    <row r="35272" ht="26.25" customHeight="1"/>
    <row r="35273" ht="26.25" customHeight="1"/>
    <row r="35274" ht="26.25" customHeight="1"/>
    <row r="35275" ht="26.25" customHeight="1"/>
    <row r="35276" ht="26.25" customHeight="1"/>
    <row r="35277" ht="26.25" customHeight="1"/>
    <row r="35278" ht="26.25" customHeight="1"/>
    <row r="35279" ht="26.25" customHeight="1"/>
    <row r="35280" ht="26.25" customHeight="1"/>
    <row r="35281" ht="26.25" customHeight="1"/>
    <row r="35282" ht="26.25" customHeight="1"/>
    <row r="35283" ht="26.25" customHeight="1"/>
    <row r="35284" ht="26.25" customHeight="1"/>
    <row r="35285" ht="26.25" customHeight="1"/>
    <row r="35286" ht="26.25" customHeight="1"/>
    <row r="35287" ht="26.25" customHeight="1"/>
    <row r="35288" ht="26.25" customHeight="1"/>
    <row r="35289" ht="26.25" customHeight="1"/>
    <row r="35290" ht="26.25" customHeight="1"/>
    <row r="35291" ht="26.25" customHeight="1"/>
    <row r="35292" ht="26.25" customHeight="1"/>
    <row r="35293" ht="26.25" customHeight="1"/>
    <row r="35294" ht="26.25" customHeight="1"/>
    <row r="35295" ht="26.25" customHeight="1"/>
    <row r="35296" ht="26.25" customHeight="1"/>
    <row r="35297" ht="26.25" customHeight="1"/>
    <row r="35298" ht="26.25" customHeight="1"/>
    <row r="35299" ht="26.25" customHeight="1"/>
    <row r="35300" ht="26.25" customHeight="1"/>
    <row r="35301" ht="26.25" customHeight="1"/>
    <row r="35302" ht="26.25" customHeight="1"/>
    <row r="35303" ht="26.25" customHeight="1"/>
    <row r="35304" ht="26.25" customHeight="1"/>
    <row r="35305" ht="26.25" customHeight="1"/>
    <row r="35306" ht="26.25" customHeight="1"/>
    <row r="35307" ht="26.25" customHeight="1"/>
    <row r="35308" ht="26.25" customHeight="1"/>
    <row r="35309" ht="26.25" customHeight="1"/>
    <row r="35310" ht="26.25" customHeight="1"/>
    <row r="35311" ht="26.25" customHeight="1"/>
    <row r="35312" ht="26.25" customHeight="1"/>
    <row r="35313" ht="26.25" customHeight="1"/>
    <row r="35314" ht="26.25" customHeight="1"/>
    <row r="35315" ht="26.25" customHeight="1"/>
    <row r="35316" ht="26.25" customHeight="1"/>
    <row r="35317" ht="26.25" customHeight="1"/>
    <row r="35318" ht="26.25" customHeight="1"/>
    <row r="35319" ht="26.25" customHeight="1"/>
    <row r="35320" ht="26.25" customHeight="1"/>
    <row r="35321" ht="26.25" customHeight="1"/>
    <row r="35322" ht="26.25" customHeight="1"/>
    <row r="35323" ht="26.25" customHeight="1"/>
    <row r="35324" ht="26.25" customHeight="1"/>
    <row r="35325" ht="26.25" customHeight="1"/>
    <row r="35326" ht="26.25" customHeight="1"/>
    <row r="35327" ht="26.25" customHeight="1"/>
    <row r="35328" ht="26.25" customHeight="1"/>
    <row r="35329" ht="26.25" customHeight="1"/>
    <row r="35330" ht="26.25" customHeight="1"/>
    <row r="35331" ht="26.25" customHeight="1"/>
    <row r="35332" ht="26.25" customHeight="1"/>
    <row r="35333" ht="26.25" customHeight="1"/>
    <row r="35334" ht="26.25" customHeight="1"/>
    <row r="35335" ht="26.25" customHeight="1"/>
    <row r="35336" ht="26.25" customHeight="1"/>
    <row r="35337" ht="26.25" customHeight="1"/>
    <row r="35338" ht="26.25" customHeight="1"/>
    <row r="35339" ht="26.25" customHeight="1"/>
    <row r="35340" ht="26.25" customHeight="1"/>
    <row r="35341" ht="26.25" customHeight="1"/>
    <row r="35342" ht="26.25" customHeight="1"/>
    <row r="35343" ht="26.25" customHeight="1"/>
    <row r="35344" ht="26.25" customHeight="1"/>
    <row r="35345" ht="26.25" customHeight="1"/>
    <row r="35346" ht="26.25" customHeight="1"/>
    <row r="35347" ht="26.25" customHeight="1"/>
    <row r="35348" ht="26.25" customHeight="1"/>
    <row r="35349" ht="26.25" customHeight="1"/>
    <row r="35350" ht="26.25" customHeight="1"/>
    <row r="35351" ht="26.25" customHeight="1"/>
    <row r="35352" ht="26.25" customHeight="1"/>
    <row r="35353" ht="26.25" customHeight="1"/>
    <row r="35354" ht="26.25" customHeight="1"/>
    <row r="35355" ht="26.25" customHeight="1"/>
    <row r="35356" ht="26.25" customHeight="1"/>
    <row r="35357" ht="26.25" customHeight="1"/>
    <row r="35358" ht="26.25" customHeight="1"/>
    <row r="35359" ht="26.25" customHeight="1"/>
    <row r="35360" ht="26.25" customHeight="1"/>
    <row r="35361" ht="26.25" customHeight="1"/>
    <row r="35362" ht="26.25" customHeight="1"/>
    <row r="35363" ht="26.25" customHeight="1"/>
    <row r="35364" ht="26.25" customHeight="1"/>
    <row r="35365" ht="26.25" customHeight="1"/>
    <row r="35366" ht="26.25" customHeight="1"/>
    <row r="35367" ht="26.25" customHeight="1"/>
    <row r="35368" ht="26.25" customHeight="1"/>
    <row r="35369" ht="26.25" customHeight="1"/>
    <row r="35370" ht="26.25" customHeight="1"/>
    <row r="35371" ht="26.25" customHeight="1"/>
    <row r="35372" ht="26.25" customHeight="1"/>
    <row r="35373" ht="26.25" customHeight="1"/>
    <row r="35374" ht="26.25" customHeight="1"/>
    <row r="35375" ht="26.25" customHeight="1"/>
    <row r="35376" ht="26.25" customHeight="1"/>
    <row r="35377" ht="26.25" customHeight="1"/>
    <row r="35378" ht="26.25" customHeight="1"/>
    <row r="35379" ht="26.25" customHeight="1"/>
    <row r="35380" ht="26.25" customHeight="1"/>
    <row r="35381" ht="26.25" customHeight="1"/>
    <row r="35382" ht="26.25" customHeight="1"/>
    <row r="35383" ht="26.25" customHeight="1"/>
    <row r="35384" ht="26.25" customHeight="1"/>
    <row r="35385" ht="26.25" customHeight="1"/>
    <row r="35386" ht="26.25" customHeight="1"/>
    <row r="35387" ht="26.25" customHeight="1"/>
    <row r="35388" ht="26.25" customHeight="1"/>
    <row r="35389" ht="26.25" customHeight="1"/>
    <row r="35390" ht="26.25" customHeight="1"/>
    <row r="35391" ht="26.25" customHeight="1"/>
    <row r="35392" ht="26.25" customHeight="1"/>
    <row r="35393" ht="26.25" customHeight="1"/>
    <row r="35394" ht="26.25" customHeight="1"/>
    <row r="35395" ht="26.25" customHeight="1"/>
    <row r="35396" ht="26.25" customHeight="1"/>
    <row r="35397" ht="26.25" customHeight="1"/>
    <row r="35398" ht="26.25" customHeight="1"/>
    <row r="35399" ht="26.25" customHeight="1"/>
    <row r="35400" ht="26.25" customHeight="1"/>
    <row r="35401" ht="26.25" customHeight="1"/>
    <row r="35402" ht="26.25" customHeight="1"/>
    <row r="35403" ht="26.25" customHeight="1"/>
    <row r="35404" ht="26.25" customHeight="1"/>
    <row r="35405" ht="26.25" customHeight="1"/>
    <row r="35406" ht="26.25" customHeight="1"/>
    <row r="35407" ht="26.25" customHeight="1"/>
    <row r="35408" ht="26.25" customHeight="1"/>
    <row r="35409" ht="26.25" customHeight="1"/>
    <row r="35410" ht="26.25" customHeight="1"/>
    <row r="35411" ht="26.25" customHeight="1"/>
    <row r="35412" ht="26.25" customHeight="1"/>
    <row r="35413" ht="26.25" customHeight="1"/>
    <row r="35414" ht="26.25" customHeight="1"/>
    <row r="35415" ht="26.25" customHeight="1"/>
    <row r="35416" ht="26.25" customHeight="1"/>
    <row r="35417" ht="26.25" customHeight="1"/>
    <row r="35418" ht="26.25" customHeight="1"/>
    <row r="35419" ht="26.25" customHeight="1"/>
    <row r="35420" ht="26.25" customHeight="1"/>
    <row r="35421" ht="26.25" customHeight="1"/>
    <row r="35422" ht="26.25" customHeight="1"/>
    <row r="35423" ht="26.25" customHeight="1"/>
    <row r="35424" ht="26.25" customHeight="1"/>
    <row r="35425" ht="26.25" customHeight="1"/>
    <row r="35426" ht="26.25" customHeight="1"/>
    <row r="35427" ht="26.25" customHeight="1"/>
    <row r="35428" ht="26.25" customHeight="1"/>
    <row r="35429" ht="26.25" customHeight="1"/>
    <row r="35430" ht="26.25" customHeight="1"/>
    <row r="35431" ht="26.25" customHeight="1"/>
    <row r="35432" ht="26.25" customHeight="1"/>
    <row r="35433" ht="26.25" customHeight="1"/>
    <row r="35434" ht="26.25" customHeight="1"/>
    <row r="35435" ht="26.25" customHeight="1"/>
    <row r="35436" ht="26.25" customHeight="1"/>
    <row r="35437" ht="26.25" customHeight="1"/>
    <row r="35438" ht="26.25" customHeight="1"/>
    <row r="35439" ht="26.25" customHeight="1"/>
    <row r="35440" ht="26.25" customHeight="1"/>
    <row r="35441" ht="26.25" customHeight="1"/>
    <row r="35442" ht="26.25" customHeight="1"/>
    <row r="35443" ht="26.25" customHeight="1"/>
    <row r="35444" ht="26.25" customHeight="1"/>
    <row r="35445" ht="26.25" customHeight="1"/>
    <row r="35446" ht="26.25" customHeight="1"/>
    <row r="35447" ht="26.25" customHeight="1"/>
    <row r="35448" ht="26.25" customHeight="1"/>
    <row r="35449" ht="26.25" customHeight="1"/>
    <row r="35450" ht="26.25" customHeight="1"/>
    <row r="35451" ht="26.25" customHeight="1"/>
    <row r="35452" ht="26.25" customHeight="1"/>
    <row r="35453" ht="26.25" customHeight="1"/>
    <row r="35454" ht="26.25" customHeight="1"/>
    <row r="35455" ht="26.25" customHeight="1"/>
    <row r="35456" ht="26.25" customHeight="1"/>
    <row r="35457" ht="26.25" customHeight="1"/>
    <row r="35458" ht="26.25" customHeight="1"/>
    <row r="35459" ht="26.25" customHeight="1"/>
    <row r="35460" ht="26.25" customHeight="1"/>
    <row r="35461" ht="26.25" customHeight="1"/>
    <row r="35462" ht="26.25" customHeight="1"/>
    <row r="35463" ht="26.25" customHeight="1"/>
    <row r="35464" ht="26.25" customHeight="1"/>
    <row r="35465" ht="26.25" customHeight="1"/>
    <row r="35466" ht="26.25" customHeight="1"/>
    <row r="35467" ht="26.25" customHeight="1"/>
    <row r="35468" ht="26.25" customHeight="1"/>
    <row r="35469" ht="26.25" customHeight="1"/>
    <row r="35470" ht="26.25" customHeight="1"/>
    <row r="35471" ht="26.25" customHeight="1"/>
    <row r="35472" ht="26.25" customHeight="1"/>
    <row r="35473" ht="26.25" customHeight="1"/>
    <row r="35474" ht="26.25" customHeight="1"/>
    <row r="35475" ht="26.25" customHeight="1"/>
    <row r="35476" ht="26.25" customHeight="1"/>
    <row r="35477" ht="26.25" customHeight="1"/>
    <row r="35478" ht="26.25" customHeight="1"/>
    <row r="35479" ht="26.25" customHeight="1"/>
    <row r="35480" ht="26.25" customHeight="1"/>
    <row r="35481" ht="26.25" customHeight="1"/>
    <row r="35482" ht="26.25" customHeight="1"/>
    <row r="35483" ht="26.25" customHeight="1"/>
    <row r="35484" ht="26.25" customHeight="1"/>
    <row r="35485" ht="26.25" customHeight="1"/>
    <row r="35486" ht="26.25" customHeight="1"/>
    <row r="35487" ht="26.25" customHeight="1"/>
    <row r="35488" ht="26.25" customHeight="1"/>
    <row r="35489" ht="26.25" customHeight="1"/>
    <row r="35490" ht="26.25" customHeight="1"/>
    <row r="35491" ht="26.25" customHeight="1"/>
    <row r="35492" ht="26.25" customHeight="1"/>
    <row r="35493" ht="26.25" customHeight="1"/>
    <row r="35494" ht="26.25" customHeight="1"/>
    <row r="35495" ht="26.25" customHeight="1"/>
    <row r="35496" ht="26.25" customHeight="1"/>
    <row r="35497" ht="26.25" customHeight="1"/>
    <row r="35498" ht="26.25" customHeight="1"/>
    <row r="35499" ht="26.25" customHeight="1"/>
    <row r="35500" ht="26.25" customHeight="1"/>
    <row r="35501" ht="26.25" customHeight="1"/>
    <row r="35502" ht="26.25" customHeight="1"/>
    <row r="35503" ht="26.25" customHeight="1"/>
    <row r="35504" ht="26.25" customHeight="1"/>
    <row r="35505" ht="26.25" customHeight="1"/>
    <row r="35506" ht="26.25" customHeight="1"/>
    <row r="35507" ht="26.25" customHeight="1"/>
    <row r="35508" ht="26.25" customHeight="1"/>
    <row r="35509" ht="26.25" customHeight="1"/>
    <row r="35510" ht="26.25" customHeight="1"/>
    <row r="35511" ht="26.25" customHeight="1"/>
    <row r="35512" ht="26.25" customHeight="1"/>
    <row r="35513" ht="26.25" customHeight="1"/>
    <row r="35514" ht="26.25" customHeight="1"/>
    <row r="35515" ht="26.25" customHeight="1"/>
    <row r="35516" ht="26.25" customHeight="1"/>
    <row r="35517" ht="26.25" customHeight="1"/>
    <row r="35518" ht="26.25" customHeight="1"/>
    <row r="35519" ht="26.25" customHeight="1"/>
    <row r="35520" ht="26.25" customHeight="1"/>
    <row r="35521" ht="26.25" customHeight="1"/>
    <row r="35522" ht="26.25" customHeight="1"/>
    <row r="35523" ht="26.25" customHeight="1"/>
    <row r="35524" ht="26.25" customHeight="1"/>
    <row r="35525" ht="26.25" customHeight="1"/>
    <row r="35526" ht="26.25" customHeight="1"/>
    <row r="35527" ht="26.25" customHeight="1"/>
    <row r="35528" ht="26.25" customHeight="1"/>
    <row r="35529" ht="26.25" customHeight="1"/>
    <row r="35530" ht="26.25" customHeight="1"/>
    <row r="35531" ht="26.25" customHeight="1"/>
    <row r="35532" ht="26.25" customHeight="1"/>
    <row r="35533" ht="26.25" customHeight="1"/>
    <row r="35534" ht="26.25" customHeight="1"/>
    <row r="35535" ht="26.25" customHeight="1"/>
    <row r="35536" ht="26.25" customHeight="1"/>
    <row r="35537" ht="26.25" customHeight="1"/>
    <row r="35538" ht="26.25" customHeight="1"/>
    <row r="35539" ht="26.25" customHeight="1"/>
    <row r="35540" ht="26.25" customHeight="1"/>
    <row r="35541" ht="26.25" customHeight="1"/>
    <row r="35542" ht="26.25" customHeight="1"/>
    <row r="35543" ht="26.25" customHeight="1"/>
    <row r="35544" ht="26.25" customHeight="1"/>
    <row r="35545" ht="26.25" customHeight="1"/>
    <row r="35546" ht="26.25" customHeight="1"/>
    <row r="35547" ht="26.25" customHeight="1"/>
    <row r="35548" ht="26.25" customHeight="1"/>
    <row r="35549" ht="26.25" customHeight="1"/>
    <row r="35550" ht="26.25" customHeight="1"/>
    <row r="35551" ht="26.25" customHeight="1"/>
    <row r="35552" ht="26.25" customHeight="1"/>
    <row r="35553" ht="26.25" customHeight="1"/>
    <row r="35554" ht="26.25" customHeight="1"/>
    <row r="35555" ht="26.25" customHeight="1"/>
    <row r="35556" ht="26.25" customHeight="1"/>
    <row r="35557" ht="26.25" customHeight="1"/>
    <row r="35558" ht="26.25" customHeight="1"/>
    <row r="35559" ht="26.25" customHeight="1"/>
    <row r="35560" ht="26.25" customHeight="1"/>
    <row r="35561" ht="26.25" customHeight="1"/>
    <row r="35562" ht="26.25" customHeight="1"/>
    <row r="35563" ht="26.25" customHeight="1"/>
    <row r="35564" ht="26.25" customHeight="1"/>
    <row r="35565" ht="26.25" customHeight="1"/>
    <row r="35566" ht="26.25" customHeight="1"/>
    <row r="35567" ht="26.25" customHeight="1"/>
    <row r="35568" ht="26.25" customHeight="1"/>
    <row r="35569" ht="26.25" customHeight="1"/>
    <row r="35570" ht="26.25" customHeight="1"/>
    <row r="35571" ht="26.25" customHeight="1"/>
    <row r="35572" ht="26.25" customHeight="1"/>
    <row r="35573" ht="26.25" customHeight="1"/>
    <row r="35574" ht="26.25" customHeight="1"/>
    <row r="35575" ht="26.25" customHeight="1"/>
    <row r="35576" ht="26.25" customHeight="1"/>
    <row r="35577" ht="26.25" customHeight="1"/>
    <row r="35578" ht="26.25" customHeight="1"/>
    <row r="35579" ht="26.25" customHeight="1"/>
    <row r="35580" ht="26.25" customHeight="1"/>
    <row r="35581" ht="26.25" customHeight="1"/>
    <row r="35582" ht="26.25" customHeight="1"/>
    <row r="35583" ht="26.25" customHeight="1"/>
    <row r="35584" ht="26.25" customHeight="1"/>
    <row r="35585" ht="26.25" customHeight="1"/>
    <row r="35586" ht="26.25" customHeight="1"/>
    <row r="35587" ht="26.25" customHeight="1"/>
    <row r="35588" ht="26.25" customHeight="1"/>
    <row r="35589" ht="26.25" customHeight="1"/>
    <row r="35590" ht="26.25" customHeight="1"/>
    <row r="35591" ht="26.25" customHeight="1"/>
    <row r="35592" ht="26.25" customHeight="1"/>
    <row r="35593" ht="26.25" customHeight="1"/>
    <row r="35594" ht="26.25" customHeight="1"/>
    <row r="35595" ht="26.25" customHeight="1"/>
    <row r="35596" ht="26.25" customHeight="1"/>
    <row r="35597" ht="26.25" customHeight="1"/>
    <row r="35598" ht="26.25" customHeight="1"/>
    <row r="35599" ht="26.25" customHeight="1"/>
    <row r="35600" ht="26.25" customHeight="1"/>
    <row r="35601" ht="26.25" customHeight="1"/>
    <row r="35602" ht="26.25" customHeight="1"/>
    <row r="35603" ht="26.25" customHeight="1"/>
    <row r="35604" ht="26.25" customHeight="1"/>
    <row r="35605" ht="26.25" customHeight="1"/>
    <row r="35606" ht="26.25" customHeight="1"/>
    <row r="35607" ht="26.25" customHeight="1"/>
    <row r="35608" ht="26.25" customHeight="1"/>
    <row r="35609" ht="26.25" customHeight="1"/>
    <row r="35610" ht="26.25" customHeight="1"/>
    <row r="35611" ht="26.25" customHeight="1"/>
    <row r="35612" ht="26.25" customHeight="1"/>
    <row r="35613" ht="26.25" customHeight="1"/>
    <row r="35614" ht="26.25" customHeight="1"/>
    <row r="35615" ht="26.25" customHeight="1"/>
    <row r="35616" ht="26.25" customHeight="1"/>
    <row r="35617" ht="26.25" customHeight="1"/>
    <row r="35618" ht="26.25" customHeight="1"/>
    <row r="35619" ht="26.25" customHeight="1"/>
    <row r="35620" ht="26.25" customHeight="1"/>
    <row r="35621" ht="26.25" customHeight="1"/>
    <row r="35622" ht="26.25" customHeight="1"/>
    <row r="35623" ht="26.25" customHeight="1"/>
    <row r="35624" ht="26.25" customHeight="1"/>
    <row r="35625" ht="26.25" customHeight="1"/>
    <row r="35626" ht="26.25" customHeight="1"/>
    <row r="35627" ht="26.25" customHeight="1"/>
    <row r="35628" ht="26.25" customHeight="1"/>
    <row r="35629" ht="26.25" customHeight="1"/>
    <row r="35630" ht="26.25" customHeight="1"/>
    <row r="35631" ht="26.25" customHeight="1"/>
    <row r="35632" ht="26.25" customHeight="1"/>
    <row r="35633" ht="26.25" customHeight="1"/>
    <row r="35634" ht="26.25" customHeight="1"/>
    <row r="35635" ht="26.25" customHeight="1"/>
    <row r="35636" ht="26.25" customHeight="1"/>
    <row r="35637" ht="26.25" customHeight="1"/>
    <row r="35638" ht="26.25" customHeight="1"/>
    <row r="35639" ht="26.25" customHeight="1"/>
    <row r="35640" ht="26.25" customHeight="1"/>
    <row r="35641" ht="26.25" customHeight="1"/>
    <row r="35642" ht="26.25" customHeight="1"/>
    <row r="35643" ht="26.25" customHeight="1"/>
    <row r="35644" ht="26.25" customHeight="1"/>
    <row r="35645" ht="26.25" customHeight="1"/>
    <row r="35646" ht="26.25" customHeight="1"/>
    <row r="35647" ht="26.25" customHeight="1"/>
    <row r="35648" ht="26.25" customHeight="1"/>
    <row r="35649" ht="26.25" customHeight="1"/>
    <row r="35650" ht="26.25" customHeight="1"/>
    <row r="35651" ht="26.25" customHeight="1"/>
    <row r="35652" ht="26.25" customHeight="1"/>
    <row r="35653" ht="26.25" customHeight="1"/>
    <row r="35654" ht="26.25" customHeight="1"/>
    <row r="35655" ht="26.25" customHeight="1"/>
    <row r="35656" ht="26.25" customHeight="1"/>
    <row r="35657" ht="26.25" customHeight="1"/>
    <row r="35658" ht="26.25" customHeight="1"/>
    <row r="35659" ht="26.25" customHeight="1"/>
    <row r="35660" ht="26.25" customHeight="1"/>
    <row r="35661" ht="26.25" customHeight="1"/>
    <row r="35662" ht="26.25" customHeight="1"/>
    <row r="35663" ht="26.25" customHeight="1"/>
    <row r="35664" ht="26.25" customHeight="1"/>
    <row r="35665" ht="26.25" customHeight="1"/>
    <row r="35666" ht="26.25" customHeight="1"/>
    <row r="35667" ht="26.25" customHeight="1"/>
    <row r="35668" ht="26.25" customHeight="1"/>
    <row r="35669" ht="26.25" customHeight="1"/>
    <row r="35670" ht="26.25" customHeight="1"/>
    <row r="35671" ht="26.25" customHeight="1"/>
    <row r="35672" ht="26.25" customHeight="1"/>
    <row r="35673" ht="26.25" customHeight="1"/>
    <row r="35674" ht="26.25" customHeight="1"/>
    <row r="35675" ht="26.25" customHeight="1"/>
    <row r="35676" ht="26.25" customHeight="1"/>
    <row r="35677" ht="26.25" customHeight="1"/>
    <row r="35678" ht="26.25" customHeight="1"/>
    <row r="35679" ht="26.25" customHeight="1"/>
    <row r="35680" ht="26.25" customHeight="1"/>
    <row r="35681" ht="26.25" customHeight="1"/>
    <row r="35682" ht="26.25" customHeight="1"/>
    <row r="35683" ht="26.25" customHeight="1"/>
    <row r="35684" ht="26.25" customHeight="1"/>
    <row r="35685" ht="26.25" customHeight="1"/>
    <row r="35686" ht="26.25" customHeight="1"/>
    <row r="35687" ht="26.25" customHeight="1"/>
    <row r="35688" ht="26.25" customHeight="1"/>
    <row r="35689" ht="26.25" customHeight="1"/>
    <row r="35690" ht="26.25" customHeight="1"/>
    <row r="35691" ht="26.25" customHeight="1"/>
    <row r="35692" ht="26.25" customHeight="1"/>
    <row r="35693" ht="26.25" customHeight="1"/>
    <row r="35694" ht="26.25" customHeight="1"/>
    <row r="35695" ht="26.25" customHeight="1"/>
    <row r="35696" ht="26.25" customHeight="1"/>
    <row r="35697" ht="26.25" customHeight="1"/>
    <row r="35698" ht="26.25" customHeight="1"/>
    <row r="35699" ht="26.25" customHeight="1"/>
    <row r="35700" ht="26.25" customHeight="1"/>
    <row r="35701" ht="26.25" customHeight="1"/>
    <row r="35702" ht="26.25" customHeight="1"/>
    <row r="35703" ht="26.25" customHeight="1"/>
    <row r="35704" ht="26.25" customHeight="1"/>
    <row r="35705" ht="26.25" customHeight="1"/>
    <row r="35706" ht="26.25" customHeight="1"/>
    <row r="35707" ht="26.25" customHeight="1"/>
    <row r="35708" ht="26.25" customHeight="1"/>
    <row r="35709" ht="26.25" customHeight="1"/>
    <row r="35710" ht="26.25" customHeight="1"/>
    <row r="35711" ht="26.25" customHeight="1"/>
    <row r="35712" ht="26.25" customHeight="1"/>
    <row r="35713" ht="26.25" customHeight="1"/>
    <row r="35714" ht="26.25" customHeight="1"/>
    <row r="35715" ht="26.25" customHeight="1"/>
    <row r="35716" ht="26.25" customHeight="1"/>
    <row r="35717" ht="26.25" customHeight="1"/>
    <row r="35718" ht="26.25" customHeight="1"/>
    <row r="35719" ht="26.25" customHeight="1"/>
    <row r="35720" ht="26.25" customHeight="1"/>
    <row r="35721" ht="26.25" customHeight="1"/>
    <row r="35722" ht="26.25" customHeight="1"/>
    <row r="35723" ht="26.25" customHeight="1"/>
    <row r="35724" ht="26.25" customHeight="1"/>
    <row r="35725" ht="26.25" customHeight="1"/>
    <row r="35726" ht="26.25" customHeight="1"/>
    <row r="35727" ht="26.25" customHeight="1"/>
    <row r="35728" ht="26.25" customHeight="1"/>
    <row r="35729" ht="26.25" customHeight="1"/>
    <row r="35730" ht="26.25" customHeight="1"/>
    <row r="35731" ht="26.25" customHeight="1"/>
    <row r="35732" ht="26.25" customHeight="1"/>
    <row r="35733" ht="26.25" customHeight="1"/>
    <row r="35734" ht="26.25" customHeight="1"/>
    <row r="35735" ht="26.25" customHeight="1"/>
    <row r="35736" ht="26.25" customHeight="1"/>
    <row r="35737" ht="26.25" customHeight="1"/>
    <row r="35738" ht="26.25" customHeight="1"/>
    <row r="35739" ht="26.25" customHeight="1"/>
    <row r="35740" ht="26.25" customHeight="1"/>
    <row r="35741" ht="26.25" customHeight="1"/>
    <row r="35742" ht="26.25" customHeight="1"/>
    <row r="35743" ht="26.25" customHeight="1"/>
    <row r="35744" ht="26.25" customHeight="1"/>
    <row r="35745" ht="26.25" customHeight="1"/>
    <row r="35746" ht="26.25" customHeight="1"/>
    <row r="35747" ht="26.25" customHeight="1"/>
    <row r="35748" ht="26.25" customHeight="1"/>
    <row r="35749" ht="26.25" customHeight="1"/>
    <row r="35750" ht="26.25" customHeight="1"/>
    <row r="35751" ht="26.25" customHeight="1"/>
    <row r="35752" ht="26.25" customHeight="1"/>
    <row r="35753" ht="26.25" customHeight="1"/>
    <row r="35754" ht="26.25" customHeight="1"/>
    <row r="35755" ht="26.25" customHeight="1"/>
    <row r="35756" ht="26.25" customHeight="1"/>
    <row r="35757" ht="26.25" customHeight="1"/>
    <row r="35758" ht="26.25" customHeight="1"/>
    <row r="35759" ht="26.25" customHeight="1"/>
    <row r="35760" ht="26.25" customHeight="1"/>
    <row r="35761" ht="26.25" customHeight="1"/>
    <row r="35762" ht="26.25" customHeight="1"/>
    <row r="35763" ht="26.25" customHeight="1"/>
    <row r="35764" ht="26.25" customHeight="1"/>
    <row r="35765" ht="26.25" customHeight="1"/>
    <row r="35766" ht="26.25" customHeight="1"/>
    <row r="35767" ht="26.25" customHeight="1"/>
    <row r="35768" ht="26.25" customHeight="1"/>
    <row r="35769" ht="26.25" customHeight="1"/>
    <row r="35770" ht="26.25" customHeight="1"/>
    <row r="35771" ht="26.25" customHeight="1"/>
    <row r="35772" ht="26.25" customHeight="1"/>
    <row r="35773" ht="26.25" customHeight="1"/>
    <row r="35774" ht="26.25" customHeight="1"/>
    <row r="35775" ht="26.25" customHeight="1"/>
    <row r="35776" ht="26.25" customHeight="1"/>
    <row r="35777" ht="26.25" customHeight="1"/>
    <row r="35778" ht="26.25" customHeight="1"/>
    <row r="35779" ht="26.25" customHeight="1"/>
    <row r="35780" ht="26.25" customHeight="1"/>
    <row r="35781" ht="26.25" customHeight="1"/>
    <row r="35782" ht="26.25" customHeight="1"/>
    <row r="35783" ht="26.25" customHeight="1"/>
    <row r="35784" ht="26.25" customHeight="1"/>
    <row r="35785" ht="26.25" customHeight="1"/>
    <row r="35786" ht="26.25" customHeight="1"/>
    <row r="35787" ht="26.25" customHeight="1"/>
    <row r="35788" ht="26.25" customHeight="1"/>
    <row r="35789" ht="26.25" customHeight="1"/>
    <row r="35790" ht="26.25" customHeight="1"/>
    <row r="35791" ht="26.25" customHeight="1"/>
    <row r="35792" ht="26.25" customHeight="1"/>
    <row r="35793" ht="26.25" customHeight="1"/>
    <row r="35794" ht="26.25" customHeight="1"/>
    <row r="35795" ht="26.25" customHeight="1"/>
    <row r="35796" ht="26.25" customHeight="1"/>
    <row r="35797" ht="26.25" customHeight="1"/>
    <row r="35798" ht="26.25" customHeight="1"/>
    <row r="35799" ht="26.25" customHeight="1"/>
    <row r="35800" ht="26.25" customHeight="1"/>
    <row r="35801" ht="26.25" customHeight="1"/>
    <row r="35802" ht="26.25" customHeight="1"/>
    <row r="35803" ht="26.25" customHeight="1"/>
    <row r="35804" ht="26.25" customHeight="1"/>
    <row r="35805" ht="26.25" customHeight="1"/>
    <row r="35806" ht="26.25" customHeight="1"/>
    <row r="35807" ht="26.25" customHeight="1"/>
    <row r="35808" ht="26.25" customHeight="1"/>
    <row r="35809" ht="26.25" customHeight="1"/>
    <row r="35810" ht="26.25" customHeight="1"/>
    <row r="35811" ht="26.25" customHeight="1"/>
    <row r="35812" ht="26.25" customHeight="1"/>
    <row r="35813" ht="26.25" customHeight="1"/>
    <row r="35814" ht="26.25" customHeight="1"/>
    <row r="35815" ht="26.25" customHeight="1"/>
    <row r="35816" ht="26.25" customHeight="1"/>
    <row r="35817" ht="26.25" customHeight="1"/>
    <row r="35818" ht="26.25" customHeight="1"/>
    <row r="35819" ht="26.25" customHeight="1"/>
    <row r="35820" ht="26.25" customHeight="1"/>
    <row r="35821" ht="26.25" customHeight="1"/>
    <row r="35822" ht="26.25" customHeight="1"/>
    <row r="35823" ht="26.25" customHeight="1"/>
    <row r="35824" ht="26.25" customHeight="1"/>
    <row r="35825" ht="26.25" customHeight="1"/>
    <row r="35826" ht="26.25" customHeight="1"/>
    <row r="35827" ht="26.25" customHeight="1"/>
    <row r="35828" ht="26.25" customHeight="1"/>
    <row r="35829" ht="26.25" customHeight="1"/>
    <row r="35830" ht="26.25" customHeight="1"/>
    <row r="35831" ht="26.25" customHeight="1"/>
    <row r="35832" ht="26.25" customHeight="1"/>
    <row r="35833" ht="26.25" customHeight="1"/>
    <row r="35834" ht="26.25" customHeight="1"/>
    <row r="35835" ht="26.25" customHeight="1"/>
    <row r="35836" ht="26.25" customHeight="1"/>
    <row r="35837" ht="26.25" customHeight="1"/>
    <row r="35838" ht="26.25" customHeight="1"/>
    <row r="35839" ht="26.25" customHeight="1"/>
    <row r="35840" ht="26.25" customHeight="1"/>
    <row r="35841" ht="26.25" customHeight="1"/>
    <row r="35842" ht="26.25" customHeight="1"/>
    <row r="35843" ht="26.25" customHeight="1"/>
    <row r="35844" ht="26.25" customHeight="1"/>
    <row r="35845" ht="26.25" customHeight="1"/>
    <row r="35846" ht="26.25" customHeight="1"/>
    <row r="35847" ht="26.25" customHeight="1"/>
    <row r="35848" ht="26.25" customHeight="1"/>
    <row r="35849" ht="26.25" customHeight="1"/>
    <row r="35850" ht="26.25" customHeight="1"/>
    <row r="35851" ht="26.25" customHeight="1"/>
    <row r="35852" ht="26.25" customHeight="1"/>
    <row r="35853" ht="26.25" customHeight="1"/>
    <row r="35854" ht="26.25" customHeight="1"/>
    <row r="35855" ht="26.25" customHeight="1"/>
    <row r="35856" ht="26.25" customHeight="1"/>
    <row r="35857" ht="26.25" customHeight="1"/>
    <row r="35858" ht="26.25" customHeight="1"/>
    <row r="35859" ht="26.25" customHeight="1"/>
    <row r="35860" ht="26.25" customHeight="1"/>
    <row r="35861" ht="26.25" customHeight="1"/>
    <row r="35862" ht="26.25" customHeight="1"/>
    <row r="35863" ht="26.25" customHeight="1"/>
    <row r="35864" ht="26.25" customHeight="1"/>
    <row r="35865" ht="26.25" customHeight="1"/>
    <row r="35866" ht="26.25" customHeight="1"/>
    <row r="35867" ht="26.25" customHeight="1"/>
    <row r="35868" ht="26.25" customHeight="1"/>
    <row r="35869" ht="26.25" customHeight="1"/>
    <row r="35870" ht="26.25" customHeight="1"/>
    <row r="35871" ht="26.25" customHeight="1"/>
    <row r="35872" ht="26.25" customHeight="1"/>
    <row r="35873" ht="26.25" customHeight="1"/>
    <row r="35874" ht="26.25" customHeight="1"/>
    <row r="35875" ht="26.25" customHeight="1"/>
    <row r="35876" ht="26.25" customHeight="1"/>
    <row r="35877" ht="26.25" customHeight="1"/>
    <row r="35878" ht="26.25" customHeight="1"/>
    <row r="35879" ht="26.25" customHeight="1"/>
    <row r="35880" ht="26.25" customHeight="1"/>
    <row r="35881" ht="26.25" customHeight="1"/>
    <row r="35882" ht="26.25" customHeight="1"/>
    <row r="35883" ht="26.25" customHeight="1"/>
    <row r="35884" ht="26.25" customHeight="1"/>
    <row r="35885" ht="26.25" customHeight="1"/>
    <row r="35886" ht="26.25" customHeight="1"/>
    <row r="35887" ht="26.25" customHeight="1"/>
    <row r="35888" ht="26.25" customHeight="1"/>
    <row r="35889" ht="26.25" customHeight="1"/>
    <row r="35890" ht="26.25" customHeight="1"/>
    <row r="35891" ht="26.25" customHeight="1"/>
    <row r="35892" ht="26.25" customHeight="1"/>
    <row r="35893" ht="26.25" customHeight="1"/>
    <row r="35894" ht="26.25" customHeight="1"/>
    <row r="35895" ht="26.25" customHeight="1"/>
    <row r="35896" ht="26.25" customHeight="1"/>
    <row r="35897" ht="26.25" customHeight="1"/>
    <row r="35898" ht="26.25" customHeight="1"/>
    <row r="35899" ht="26.25" customHeight="1"/>
    <row r="35900" ht="26.25" customHeight="1"/>
    <row r="35901" ht="26.25" customHeight="1"/>
    <row r="35902" ht="26.25" customHeight="1"/>
    <row r="35903" ht="26.25" customHeight="1"/>
    <row r="35904" ht="26.25" customHeight="1"/>
    <row r="35905" ht="26.25" customHeight="1"/>
    <row r="35906" ht="26.25" customHeight="1"/>
    <row r="35907" ht="26.25" customHeight="1"/>
    <row r="35908" ht="26.25" customHeight="1"/>
    <row r="35909" ht="26.25" customHeight="1"/>
    <row r="35910" ht="26.25" customHeight="1"/>
    <row r="35911" ht="26.25" customHeight="1"/>
    <row r="35912" ht="26.25" customHeight="1"/>
    <row r="35913" ht="26.25" customHeight="1"/>
    <row r="35914" ht="26.25" customHeight="1"/>
    <row r="35915" ht="26.25" customHeight="1"/>
    <row r="35916" ht="26.25" customHeight="1"/>
    <row r="35917" ht="26.25" customHeight="1"/>
    <row r="35918" ht="26.25" customHeight="1"/>
    <row r="35919" ht="26.25" customHeight="1"/>
    <row r="35920" ht="26.25" customHeight="1"/>
    <row r="35921" ht="26.25" customHeight="1"/>
    <row r="35922" ht="26.25" customHeight="1"/>
    <row r="35923" ht="26.25" customHeight="1"/>
    <row r="35924" ht="26.25" customHeight="1"/>
    <row r="35925" ht="26.25" customHeight="1"/>
    <row r="35926" ht="26.25" customHeight="1"/>
    <row r="35927" ht="26.25" customHeight="1"/>
    <row r="35928" ht="26.25" customHeight="1"/>
    <row r="35929" ht="26.25" customHeight="1"/>
    <row r="35930" ht="26.25" customHeight="1"/>
    <row r="35931" ht="26.25" customHeight="1"/>
    <row r="35932" ht="26.25" customHeight="1"/>
    <row r="35933" ht="26.25" customHeight="1"/>
    <row r="35934" ht="26.25" customHeight="1"/>
    <row r="35935" ht="26.25" customHeight="1"/>
    <row r="35936" ht="26.25" customHeight="1"/>
    <row r="35937" ht="26.25" customHeight="1"/>
    <row r="35938" ht="26.25" customHeight="1"/>
    <row r="35939" ht="26.25" customHeight="1"/>
    <row r="35940" ht="26.25" customHeight="1"/>
    <row r="35941" ht="26.25" customHeight="1"/>
    <row r="35942" ht="26.25" customHeight="1"/>
    <row r="35943" ht="26.25" customHeight="1"/>
    <row r="35944" ht="26.25" customHeight="1"/>
    <row r="35945" ht="26.25" customHeight="1"/>
    <row r="35946" ht="26.25" customHeight="1"/>
    <row r="35947" ht="26.25" customHeight="1"/>
    <row r="35948" ht="26.25" customHeight="1"/>
    <row r="35949" ht="26.25" customHeight="1"/>
    <row r="35950" ht="26.25" customHeight="1"/>
    <row r="35951" ht="26.25" customHeight="1"/>
    <row r="35952" ht="26.25" customHeight="1"/>
    <row r="35953" ht="26.25" customHeight="1"/>
    <row r="35954" ht="26.25" customHeight="1"/>
    <row r="35955" ht="26.25" customHeight="1"/>
    <row r="35956" ht="26.25" customHeight="1"/>
    <row r="35957" ht="26.25" customHeight="1"/>
    <row r="35958" ht="26.25" customHeight="1"/>
    <row r="35959" ht="26.25" customHeight="1"/>
    <row r="35960" ht="26.25" customHeight="1"/>
    <row r="35961" ht="26.25" customHeight="1"/>
    <row r="35962" ht="26.25" customHeight="1"/>
    <row r="35963" ht="26.25" customHeight="1"/>
    <row r="35964" ht="26.25" customHeight="1"/>
    <row r="35965" ht="26.25" customHeight="1"/>
    <row r="35966" ht="26.25" customHeight="1"/>
    <row r="35967" ht="26.25" customHeight="1"/>
    <row r="35968" ht="26.25" customHeight="1"/>
    <row r="35969" ht="26.25" customHeight="1"/>
    <row r="35970" ht="26.25" customHeight="1"/>
    <row r="35971" ht="26.25" customHeight="1"/>
    <row r="35972" ht="26.25" customHeight="1"/>
    <row r="35973" ht="26.25" customHeight="1"/>
    <row r="35974" ht="26.25" customHeight="1"/>
    <row r="35975" ht="26.25" customHeight="1"/>
    <row r="35976" ht="26.25" customHeight="1"/>
    <row r="35977" ht="26.25" customHeight="1"/>
    <row r="35978" ht="26.25" customHeight="1"/>
    <row r="35979" ht="26.25" customHeight="1"/>
    <row r="35980" ht="26.25" customHeight="1"/>
    <row r="35981" ht="26.25" customHeight="1"/>
    <row r="35982" ht="26.25" customHeight="1"/>
    <row r="35983" ht="26.25" customHeight="1"/>
    <row r="35984" ht="26.25" customHeight="1"/>
    <row r="35985" ht="26.25" customHeight="1"/>
    <row r="35986" ht="26.25" customHeight="1"/>
    <row r="35987" ht="26.25" customHeight="1"/>
    <row r="35988" ht="26.25" customHeight="1"/>
    <row r="35989" ht="26.25" customHeight="1"/>
    <row r="35990" ht="26.25" customHeight="1"/>
    <row r="35991" ht="26.25" customHeight="1"/>
    <row r="35992" ht="26.25" customHeight="1"/>
    <row r="35993" ht="26.25" customHeight="1"/>
    <row r="35994" ht="26.25" customHeight="1"/>
    <row r="35995" ht="26.25" customHeight="1"/>
    <row r="35996" ht="26.25" customHeight="1"/>
    <row r="35997" ht="26.25" customHeight="1"/>
    <row r="35998" ht="26.25" customHeight="1"/>
    <row r="35999" ht="26.25" customHeight="1"/>
    <row r="36000" ht="26.25" customHeight="1"/>
    <row r="36001" ht="26.25" customHeight="1"/>
    <row r="36002" ht="26.25" customHeight="1"/>
    <row r="36003" ht="26.25" customHeight="1"/>
    <row r="36004" ht="26.25" customHeight="1"/>
    <row r="36005" ht="26.25" customHeight="1"/>
    <row r="36006" ht="26.25" customHeight="1"/>
    <row r="36007" ht="26.25" customHeight="1"/>
    <row r="36008" ht="26.25" customHeight="1"/>
    <row r="36009" ht="26.25" customHeight="1"/>
    <row r="36010" ht="26.25" customHeight="1"/>
    <row r="36011" ht="26.25" customHeight="1"/>
    <row r="36012" ht="26.25" customHeight="1"/>
    <row r="36013" ht="26.25" customHeight="1"/>
    <row r="36014" ht="26.25" customHeight="1"/>
    <row r="36015" ht="26.25" customHeight="1"/>
    <row r="36016" ht="26.25" customHeight="1"/>
    <row r="36017" ht="26.25" customHeight="1"/>
    <row r="36018" ht="26.25" customHeight="1"/>
    <row r="36019" ht="26.25" customHeight="1"/>
    <row r="36020" ht="26.25" customHeight="1"/>
    <row r="36021" ht="26.25" customHeight="1"/>
    <row r="36022" ht="26.25" customHeight="1"/>
    <row r="36023" ht="26.25" customHeight="1"/>
    <row r="36024" ht="26.25" customHeight="1"/>
    <row r="36025" ht="26.25" customHeight="1"/>
    <row r="36026" ht="26.25" customHeight="1"/>
    <row r="36027" ht="26.25" customHeight="1"/>
    <row r="36028" ht="26.25" customHeight="1"/>
    <row r="36029" ht="26.25" customHeight="1"/>
    <row r="36030" ht="26.25" customHeight="1"/>
    <row r="36031" ht="26.25" customHeight="1"/>
    <row r="36032" ht="26.25" customHeight="1"/>
    <row r="36033" ht="26.25" customHeight="1"/>
    <row r="36034" ht="26.25" customHeight="1"/>
    <row r="36035" ht="26.25" customHeight="1"/>
    <row r="36036" ht="26.25" customHeight="1"/>
    <row r="36037" ht="26.25" customHeight="1"/>
    <row r="36038" ht="26.25" customHeight="1"/>
    <row r="36039" ht="26.25" customHeight="1"/>
    <row r="36040" ht="26.25" customHeight="1"/>
    <row r="36041" ht="26.25" customHeight="1"/>
    <row r="36042" ht="26.25" customHeight="1"/>
    <row r="36043" ht="26.25" customHeight="1"/>
    <row r="36044" ht="26.25" customHeight="1"/>
    <row r="36045" ht="26.25" customHeight="1"/>
    <row r="36046" ht="26.25" customHeight="1"/>
    <row r="36047" ht="26.25" customHeight="1"/>
    <row r="36048" ht="26.25" customHeight="1"/>
    <row r="36049" ht="26.25" customHeight="1"/>
    <row r="36050" ht="26.25" customHeight="1"/>
    <row r="36051" ht="26.25" customHeight="1"/>
    <row r="36052" ht="26.25" customHeight="1"/>
    <row r="36053" ht="26.25" customHeight="1"/>
    <row r="36054" ht="26.25" customHeight="1"/>
    <row r="36055" ht="26.25" customHeight="1"/>
    <row r="36056" ht="26.25" customHeight="1"/>
    <row r="36057" ht="26.25" customHeight="1"/>
    <row r="36058" ht="26.25" customHeight="1"/>
    <row r="36059" ht="26.25" customHeight="1"/>
    <row r="36060" ht="26.25" customHeight="1"/>
    <row r="36061" ht="26.25" customHeight="1"/>
    <row r="36062" ht="26.25" customHeight="1"/>
    <row r="36063" ht="26.25" customHeight="1"/>
    <row r="36064" ht="26.25" customHeight="1"/>
    <row r="36065" ht="26.25" customHeight="1"/>
    <row r="36066" ht="26.25" customHeight="1"/>
    <row r="36067" ht="26.25" customHeight="1"/>
    <row r="36068" ht="26.25" customHeight="1"/>
    <row r="36069" ht="26.25" customHeight="1"/>
    <row r="36070" ht="26.25" customHeight="1"/>
    <row r="36071" ht="26.25" customHeight="1"/>
    <row r="36072" ht="26.25" customHeight="1"/>
    <row r="36073" ht="26.25" customHeight="1"/>
    <row r="36074" ht="26.25" customHeight="1"/>
    <row r="36075" ht="26.25" customHeight="1"/>
    <row r="36076" ht="26.25" customHeight="1"/>
    <row r="36077" ht="26.25" customHeight="1"/>
    <row r="36078" ht="26.25" customHeight="1"/>
    <row r="36079" ht="26.25" customHeight="1"/>
    <row r="36080" ht="26.25" customHeight="1"/>
    <row r="36081" ht="26.25" customHeight="1"/>
    <row r="36082" ht="26.25" customHeight="1"/>
    <row r="36083" ht="26.25" customHeight="1"/>
    <row r="36084" ht="26.25" customHeight="1"/>
    <row r="36085" ht="26.25" customHeight="1"/>
    <row r="36086" ht="26.25" customHeight="1"/>
    <row r="36087" ht="26.25" customHeight="1"/>
    <row r="36088" ht="26.25" customHeight="1"/>
    <row r="36089" ht="26.25" customHeight="1"/>
    <row r="36090" ht="26.25" customHeight="1"/>
    <row r="36091" ht="26.25" customHeight="1"/>
    <row r="36092" ht="26.25" customHeight="1"/>
    <row r="36093" ht="26.25" customHeight="1"/>
    <row r="36094" ht="26.25" customHeight="1"/>
    <row r="36095" ht="26.25" customHeight="1"/>
    <row r="36096" ht="26.25" customHeight="1"/>
    <row r="36097" ht="26.25" customHeight="1"/>
    <row r="36098" ht="26.25" customHeight="1"/>
    <row r="36099" ht="26.25" customHeight="1"/>
    <row r="36100" ht="26.25" customHeight="1"/>
    <row r="36101" ht="26.25" customHeight="1"/>
    <row r="36102" ht="26.25" customHeight="1"/>
    <row r="36103" ht="26.25" customHeight="1"/>
    <row r="36104" ht="26.25" customHeight="1"/>
    <row r="36105" ht="26.25" customHeight="1"/>
    <row r="36106" ht="26.25" customHeight="1"/>
    <row r="36107" ht="26.25" customHeight="1"/>
    <row r="36108" ht="26.25" customHeight="1"/>
    <row r="36109" ht="26.25" customHeight="1"/>
    <row r="36110" ht="26.25" customHeight="1"/>
    <row r="36111" ht="26.25" customHeight="1"/>
    <row r="36112" ht="26.25" customHeight="1"/>
    <row r="36113" ht="26.25" customHeight="1"/>
    <row r="36114" ht="26.25" customHeight="1"/>
    <row r="36115" ht="26.25" customHeight="1"/>
    <row r="36116" ht="26.25" customHeight="1"/>
    <row r="36117" ht="26.25" customHeight="1"/>
    <row r="36118" ht="26.25" customHeight="1"/>
    <row r="36119" ht="26.25" customHeight="1"/>
    <row r="36120" ht="26.25" customHeight="1"/>
    <row r="36121" ht="26.25" customHeight="1"/>
    <row r="36122" ht="26.25" customHeight="1"/>
    <row r="36123" ht="26.25" customHeight="1"/>
    <row r="36124" ht="26.25" customHeight="1"/>
    <row r="36125" ht="26.25" customHeight="1"/>
    <row r="36126" ht="26.25" customHeight="1"/>
    <row r="36127" ht="26.25" customHeight="1"/>
    <row r="36128" ht="26.25" customHeight="1"/>
    <row r="36129" ht="26.25" customHeight="1"/>
    <row r="36130" ht="26.25" customHeight="1"/>
    <row r="36131" ht="26.25" customHeight="1"/>
    <row r="36132" ht="26.25" customHeight="1"/>
    <row r="36133" ht="26.25" customHeight="1"/>
    <row r="36134" ht="26.25" customHeight="1"/>
    <row r="36135" ht="26.25" customHeight="1"/>
    <row r="36136" ht="26.25" customHeight="1"/>
    <row r="36137" ht="26.25" customHeight="1"/>
    <row r="36138" ht="26.25" customHeight="1"/>
    <row r="36139" ht="26.25" customHeight="1"/>
    <row r="36140" ht="26.25" customHeight="1"/>
    <row r="36141" ht="26.25" customHeight="1"/>
    <row r="36142" ht="26.25" customHeight="1"/>
    <row r="36143" ht="26.25" customHeight="1"/>
    <row r="36144" ht="26.25" customHeight="1"/>
    <row r="36145" ht="26.25" customHeight="1"/>
    <row r="36146" ht="26.25" customHeight="1"/>
    <row r="36147" ht="26.25" customHeight="1"/>
    <row r="36148" ht="26.25" customHeight="1"/>
    <row r="36149" ht="26.25" customHeight="1"/>
    <row r="36150" ht="26.25" customHeight="1"/>
    <row r="36151" ht="26.25" customHeight="1"/>
    <row r="36152" ht="26.25" customHeight="1"/>
    <row r="36153" ht="26.25" customHeight="1"/>
    <row r="36154" ht="26.25" customHeight="1"/>
    <row r="36155" ht="26.25" customHeight="1"/>
    <row r="36156" ht="26.25" customHeight="1"/>
    <row r="36157" ht="26.25" customHeight="1"/>
    <row r="36158" ht="26.25" customHeight="1"/>
    <row r="36159" ht="26.25" customHeight="1"/>
    <row r="36160" ht="26.25" customHeight="1"/>
    <row r="36161" ht="26.25" customHeight="1"/>
    <row r="36162" ht="26.25" customHeight="1"/>
    <row r="36163" ht="26.25" customHeight="1"/>
    <row r="36164" ht="26.25" customHeight="1"/>
    <row r="36165" ht="26.25" customHeight="1"/>
    <row r="36166" ht="26.25" customHeight="1"/>
    <row r="36167" ht="26.25" customHeight="1"/>
    <row r="36168" ht="26.25" customHeight="1"/>
    <row r="36169" ht="26.25" customHeight="1"/>
    <row r="36170" ht="26.25" customHeight="1"/>
    <row r="36171" ht="26.25" customHeight="1"/>
    <row r="36172" ht="26.25" customHeight="1"/>
    <row r="36173" ht="26.25" customHeight="1"/>
    <row r="36174" ht="26.25" customHeight="1"/>
    <row r="36175" ht="26.25" customHeight="1"/>
    <row r="36176" ht="26.25" customHeight="1"/>
    <row r="36177" ht="26.25" customHeight="1"/>
    <row r="36178" ht="26.25" customHeight="1"/>
    <row r="36179" ht="26.25" customHeight="1"/>
    <row r="36180" ht="26.25" customHeight="1"/>
    <row r="36181" ht="26.25" customHeight="1"/>
    <row r="36182" ht="26.25" customHeight="1"/>
    <row r="36183" ht="26.25" customHeight="1"/>
    <row r="36184" ht="26.25" customHeight="1"/>
    <row r="36185" ht="26.25" customHeight="1"/>
    <row r="36186" ht="26.25" customHeight="1"/>
    <row r="36187" ht="26.25" customHeight="1"/>
    <row r="36188" ht="26.25" customHeight="1"/>
    <row r="36189" ht="26.25" customHeight="1"/>
    <row r="36190" ht="26.25" customHeight="1"/>
    <row r="36191" ht="26.25" customHeight="1"/>
    <row r="36192" ht="26.25" customHeight="1"/>
    <row r="36193" ht="26.25" customHeight="1"/>
    <row r="36194" ht="26.25" customHeight="1"/>
    <row r="36195" ht="26.25" customHeight="1"/>
    <row r="36196" ht="26.25" customHeight="1"/>
    <row r="36197" ht="26.25" customHeight="1"/>
    <row r="36198" ht="26.25" customHeight="1"/>
    <row r="36199" ht="26.25" customHeight="1"/>
    <row r="36200" ht="26.25" customHeight="1"/>
    <row r="36201" ht="26.25" customHeight="1"/>
    <row r="36202" ht="26.25" customHeight="1"/>
    <row r="36203" ht="26.25" customHeight="1"/>
    <row r="36204" ht="26.25" customHeight="1"/>
    <row r="36205" ht="26.25" customHeight="1"/>
    <row r="36206" ht="26.25" customHeight="1"/>
    <row r="36207" ht="26.25" customHeight="1"/>
    <row r="36208" ht="26.25" customHeight="1"/>
    <row r="36209" ht="26.25" customHeight="1"/>
    <row r="36210" ht="26.25" customHeight="1"/>
    <row r="36211" ht="26.25" customHeight="1"/>
    <row r="36212" ht="26.25" customHeight="1"/>
    <row r="36213" ht="26.25" customHeight="1"/>
    <row r="36214" ht="26.25" customHeight="1"/>
    <row r="36215" ht="26.25" customHeight="1"/>
    <row r="36216" ht="26.25" customHeight="1"/>
    <row r="36217" ht="26.25" customHeight="1"/>
    <row r="36218" ht="26.25" customHeight="1"/>
    <row r="36219" ht="26.25" customHeight="1"/>
    <row r="36220" ht="26.25" customHeight="1"/>
    <row r="36221" ht="26.25" customHeight="1"/>
    <row r="36222" ht="26.25" customHeight="1"/>
    <row r="36223" ht="26.25" customHeight="1"/>
    <row r="36224" ht="26.25" customHeight="1"/>
    <row r="36225" ht="26.25" customHeight="1"/>
    <row r="36226" ht="26.25" customHeight="1"/>
    <row r="36227" ht="26.25" customHeight="1"/>
    <row r="36228" ht="26.25" customHeight="1"/>
    <row r="36229" ht="26.25" customHeight="1"/>
    <row r="36230" ht="26.25" customHeight="1"/>
    <row r="36231" ht="26.25" customHeight="1"/>
    <row r="36232" ht="26.25" customHeight="1"/>
    <row r="36233" ht="26.25" customHeight="1"/>
    <row r="36234" ht="26.25" customHeight="1"/>
    <row r="36235" ht="26.25" customHeight="1"/>
    <row r="36236" ht="26.25" customHeight="1"/>
    <row r="36237" ht="26.25" customHeight="1"/>
    <row r="36238" ht="26.25" customHeight="1"/>
    <row r="36239" ht="26.25" customHeight="1"/>
    <row r="36240" ht="26.25" customHeight="1"/>
    <row r="36241" ht="26.25" customHeight="1"/>
    <row r="36242" ht="26.25" customHeight="1"/>
    <row r="36243" ht="26.25" customHeight="1"/>
    <row r="36244" ht="26.25" customHeight="1"/>
    <row r="36245" ht="26.25" customHeight="1"/>
    <row r="36246" ht="26.25" customHeight="1"/>
    <row r="36247" ht="26.25" customHeight="1"/>
    <row r="36248" ht="26.25" customHeight="1"/>
    <row r="36249" ht="26.25" customHeight="1"/>
    <row r="36250" ht="26.25" customHeight="1"/>
    <row r="36251" ht="26.25" customHeight="1"/>
    <row r="36252" ht="26.25" customHeight="1"/>
    <row r="36253" ht="26.25" customHeight="1"/>
    <row r="36254" ht="26.25" customHeight="1"/>
    <row r="36255" ht="26.25" customHeight="1"/>
    <row r="36256" ht="26.25" customHeight="1"/>
    <row r="36257" ht="26.25" customHeight="1"/>
    <row r="36258" ht="26.25" customHeight="1"/>
    <row r="36259" ht="26.25" customHeight="1"/>
    <row r="36260" ht="26.25" customHeight="1"/>
    <row r="36261" ht="26.25" customHeight="1"/>
    <row r="36262" ht="26.25" customHeight="1"/>
    <row r="36263" ht="26.25" customHeight="1"/>
    <row r="36264" ht="26.25" customHeight="1"/>
    <row r="36265" ht="26.25" customHeight="1"/>
    <row r="36266" ht="26.25" customHeight="1"/>
    <row r="36267" ht="26.25" customHeight="1"/>
    <row r="36268" ht="26.25" customHeight="1"/>
    <row r="36269" ht="26.25" customHeight="1"/>
    <row r="36270" ht="26.25" customHeight="1"/>
    <row r="36271" ht="26.25" customHeight="1"/>
    <row r="36272" ht="26.25" customHeight="1"/>
    <row r="36273" ht="26.25" customHeight="1"/>
    <row r="36274" ht="26.25" customHeight="1"/>
    <row r="36275" ht="26.25" customHeight="1"/>
    <row r="36276" ht="26.25" customHeight="1"/>
    <row r="36277" ht="26.25" customHeight="1"/>
    <row r="36278" ht="26.25" customHeight="1"/>
    <row r="36279" ht="26.25" customHeight="1"/>
    <row r="36280" ht="26.25" customHeight="1"/>
    <row r="36281" ht="26.25" customHeight="1"/>
    <row r="36282" ht="26.25" customHeight="1"/>
    <row r="36283" ht="26.25" customHeight="1"/>
    <row r="36284" ht="26.25" customHeight="1"/>
    <row r="36285" ht="26.25" customHeight="1"/>
    <row r="36286" ht="26.25" customHeight="1"/>
    <row r="36287" ht="26.25" customHeight="1"/>
    <row r="36288" ht="26.25" customHeight="1"/>
    <row r="36289" ht="26.25" customHeight="1"/>
    <row r="36290" ht="26.25" customHeight="1"/>
    <row r="36291" ht="26.25" customHeight="1"/>
    <row r="36292" ht="26.25" customHeight="1"/>
    <row r="36293" ht="26.25" customHeight="1"/>
    <row r="36294" ht="26.25" customHeight="1"/>
    <row r="36295" ht="26.25" customHeight="1"/>
    <row r="36296" ht="26.25" customHeight="1"/>
    <row r="36297" ht="26.25" customHeight="1"/>
    <row r="36298" ht="26.25" customHeight="1"/>
    <row r="36299" ht="26.25" customHeight="1"/>
    <row r="36300" ht="26.25" customHeight="1"/>
    <row r="36301" ht="26.25" customHeight="1"/>
    <row r="36302" ht="26.25" customHeight="1"/>
    <row r="36303" ht="26.25" customHeight="1"/>
    <row r="36304" ht="26.25" customHeight="1"/>
    <row r="36305" ht="26.25" customHeight="1"/>
    <row r="36306" ht="26.25" customHeight="1"/>
    <row r="36307" ht="26.25" customHeight="1"/>
    <row r="36308" ht="26.25" customHeight="1"/>
    <row r="36309" ht="26.25" customHeight="1"/>
    <row r="36310" ht="26.25" customHeight="1"/>
    <row r="36311" ht="26.25" customHeight="1"/>
    <row r="36312" ht="26.25" customHeight="1"/>
    <row r="36313" ht="26.25" customHeight="1"/>
    <row r="36314" ht="26.25" customHeight="1"/>
    <row r="36315" ht="26.25" customHeight="1"/>
    <row r="36316" ht="26.25" customHeight="1"/>
    <row r="36317" ht="26.25" customHeight="1"/>
    <row r="36318" ht="26.25" customHeight="1"/>
    <row r="36319" ht="26.25" customHeight="1"/>
    <row r="36320" ht="26.25" customHeight="1"/>
    <row r="36321" ht="26.25" customHeight="1"/>
    <row r="36322" ht="26.25" customHeight="1"/>
    <row r="36323" ht="26.25" customHeight="1"/>
    <row r="36324" ht="26.25" customHeight="1"/>
    <row r="36325" ht="26.25" customHeight="1"/>
    <row r="36326" ht="26.25" customHeight="1"/>
    <row r="36327" ht="26.25" customHeight="1"/>
    <row r="36328" ht="26.25" customHeight="1"/>
    <row r="36329" ht="26.25" customHeight="1"/>
    <row r="36330" ht="26.25" customHeight="1"/>
    <row r="36331" ht="26.25" customHeight="1"/>
    <row r="36332" ht="26.25" customHeight="1"/>
    <row r="36333" ht="26.25" customHeight="1"/>
    <row r="36334" ht="26.25" customHeight="1"/>
    <row r="36335" ht="26.25" customHeight="1"/>
    <row r="36336" ht="26.25" customHeight="1"/>
    <row r="36337" ht="26.25" customHeight="1"/>
    <row r="36338" ht="26.25" customHeight="1"/>
    <row r="36339" ht="26.25" customHeight="1"/>
    <row r="36340" ht="26.25" customHeight="1"/>
    <row r="36341" ht="26.25" customHeight="1"/>
    <row r="36342" ht="26.25" customHeight="1"/>
    <row r="36343" ht="26.25" customHeight="1"/>
    <row r="36344" ht="26.25" customHeight="1"/>
    <row r="36345" ht="26.25" customHeight="1"/>
    <row r="36346" ht="26.25" customHeight="1"/>
    <row r="36347" ht="26.25" customHeight="1"/>
    <row r="36348" ht="26.25" customHeight="1"/>
    <row r="36349" ht="26.25" customHeight="1"/>
    <row r="36350" ht="26.25" customHeight="1"/>
    <row r="36351" ht="26.25" customHeight="1"/>
    <row r="36352" ht="26.25" customHeight="1"/>
    <row r="36353" ht="26.25" customHeight="1"/>
    <row r="36354" ht="26.25" customHeight="1"/>
    <row r="36355" ht="26.25" customHeight="1"/>
    <row r="36356" ht="26.25" customHeight="1"/>
    <row r="36357" ht="26.25" customHeight="1"/>
    <row r="36358" ht="26.25" customHeight="1"/>
    <row r="36359" ht="26.25" customHeight="1"/>
    <row r="36360" ht="26.25" customHeight="1"/>
    <row r="36361" ht="26.25" customHeight="1"/>
    <row r="36362" ht="26.25" customHeight="1"/>
    <row r="36363" ht="26.25" customHeight="1"/>
    <row r="36364" ht="26.25" customHeight="1"/>
    <row r="36365" ht="26.25" customHeight="1"/>
    <row r="36366" ht="26.25" customHeight="1"/>
    <row r="36367" ht="26.25" customHeight="1"/>
    <row r="36368" ht="26.25" customHeight="1"/>
    <row r="36369" ht="26.25" customHeight="1"/>
    <row r="36370" ht="26.25" customHeight="1"/>
    <row r="36371" ht="26.25" customHeight="1"/>
    <row r="36372" ht="26.25" customHeight="1"/>
    <row r="36373" ht="26.25" customHeight="1"/>
    <row r="36374" ht="26.25" customHeight="1"/>
    <row r="36375" ht="26.25" customHeight="1"/>
    <row r="36376" ht="26.25" customHeight="1"/>
    <row r="36377" ht="26.25" customHeight="1"/>
    <row r="36378" ht="26.25" customHeight="1"/>
    <row r="36379" ht="26.25" customHeight="1"/>
    <row r="36380" ht="26.25" customHeight="1"/>
    <row r="36381" ht="26.25" customHeight="1"/>
    <row r="36382" ht="26.25" customHeight="1"/>
    <row r="36383" ht="26.25" customHeight="1"/>
    <row r="36384" ht="26.25" customHeight="1"/>
    <row r="36385" ht="26.25" customHeight="1"/>
    <row r="36386" ht="26.25" customHeight="1"/>
    <row r="36387" ht="26.25" customHeight="1"/>
    <row r="36388" ht="26.25" customHeight="1"/>
    <row r="36389" ht="26.25" customHeight="1"/>
    <row r="36390" ht="26.25" customHeight="1"/>
    <row r="36391" ht="26.25" customHeight="1"/>
    <row r="36392" ht="26.25" customHeight="1"/>
    <row r="36393" ht="26.25" customHeight="1"/>
    <row r="36394" ht="26.25" customHeight="1"/>
    <row r="36395" ht="26.25" customHeight="1"/>
    <row r="36396" ht="26.25" customHeight="1"/>
    <row r="36397" ht="26.25" customHeight="1"/>
    <row r="36398" ht="26.25" customHeight="1"/>
    <row r="36399" ht="26.25" customHeight="1"/>
    <row r="36400" ht="26.25" customHeight="1"/>
    <row r="36401" ht="26.25" customHeight="1"/>
    <row r="36402" ht="26.25" customHeight="1"/>
    <row r="36403" ht="26.25" customHeight="1"/>
    <row r="36404" ht="26.25" customHeight="1"/>
    <row r="36405" ht="26.25" customHeight="1"/>
    <row r="36406" ht="26.25" customHeight="1"/>
    <row r="36407" ht="26.25" customHeight="1"/>
    <row r="36408" ht="26.25" customHeight="1"/>
    <row r="36409" ht="26.25" customHeight="1"/>
    <row r="36410" ht="26.25" customHeight="1"/>
    <row r="36411" ht="26.25" customHeight="1"/>
    <row r="36412" ht="26.25" customHeight="1"/>
    <row r="36413" ht="26.25" customHeight="1"/>
    <row r="36414" ht="26.25" customHeight="1"/>
    <row r="36415" ht="26.25" customHeight="1"/>
    <row r="36416" ht="26.25" customHeight="1"/>
    <row r="36417" ht="26.25" customHeight="1"/>
    <row r="36418" ht="26.25" customHeight="1"/>
    <row r="36419" ht="26.25" customHeight="1"/>
    <row r="36420" ht="26.25" customHeight="1"/>
    <row r="36421" ht="26.25" customHeight="1"/>
    <row r="36422" ht="26.25" customHeight="1"/>
    <row r="36423" ht="26.25" customHeight="1"/>
    <row r="36424" ht="26.25" customHeight="1"/>
    <row r="36425" ht="26.25" customHeight="1"/>
    <row r="36426" ht="26.25" customHeight="1"/>
    <row r="36427" ht="26.25" customHeight="1"/>
    <row r="36428" ht="26.25" customHeight="1"/>
    <row r="36429" ht="26.25" customHeight="1"/>
    <row r="36430" ht="26.25" customHeight="1"/>
    <row r="36431" ht="26.25" customHeight="1"/>
    <row r="36432" ht="26.25" customHeight="1"/>
    <row r="36433" ht="26.25" customHeight="1"/>
    <row r="36434" ht="26.25" customHeight="1"/>
    <row r="36435" ht="26.25" customHeight="1"/>
    <row r="36436" ht="26.25" customHeight="1"/>
    <row r="36437" ht="26.25" customHeight="1"/>
    <row r="36438" ht="26.25" customHeight="1"/>
    <row r="36439" ht="26.25" customHeight="1"/>
    <row r="36440" ht="26.25" customHeight="1"/>
    <row r="36441" ht="26.25" customHeight="1"/>
    <row r="36442" ht="26.25" customHeight="1"/>
    <row r="36443" ht="26.25" customHeight="1"/>
    <row r="36444" ht="26.25" customHeight="1"/>
    <row r="36445" ht="26.25" customHeight="1"/>
    <row r="36446" ht="26.25" customHeight="1"/>
    <row r="36447" ht="26.25" customHeight="1"/>
    <row r="36448" ht="26.25" customHeight="1"/>
    <row r="36449" ht="26.25" customHeight="1"/>
    <row r="36450" ht="26.25" customHeight="1"/>
    <row r="36451" ht="26.25" customHeight="1"/>
    <row r="36452" ht="26.25" customHeight="1"/>
    <row r="36453" ht="26.25" customHeight="1"/>
    <row r="36454" ht="26.25" customHeight="1"/>
    <row r="36455" ht="26.25" customHeight="1"/>
    <row r="36456" ht="26.25" customHeight="1"/>
    <row r="36457" ht="26.25" customHeight="1"/>
    <row r="36458" ht="26.25" customHeight="1"/>
    <row r="36459" ht="26.25" customHeight="1"/>
    <row r="36460" ht="26.25" customHeight="1"/>
    <row r="36461" ht="26.25" customHeight="1"/>
    <row r="36462" ht="26.25" customHeight="1"/>
    <row r="36463" ht="26.25" customHeight="1"/>
    <row r="36464" ht="26.25" customHeight="1"/>
    <row r="36465" ht="26.25" customHeight="1"/>
    <row r="36466" ht="26.25" customHeight="1"/>
    <row r="36467" ht="26.25" customHeight="1"/>
    <row r="36468" ht="26.25" customHeight="1"/>
    <row r="36469" ht="26.25" customHeight="1"/>
    <row r="36470" ht="26.25" customHeight="1"/>
    <row r="36471" ht="26.25" customHeight="1"/>
    <row r="36472" ht="26.25" customHeight="1"/>
    <row r="36473" ht="26.25" customHeight="1"/>
    <row r="36474" ht="26.25" customHeight="1"/>
    <row r="36475" ht="26.25" customHeight="1"/>
    <row r="36476" ht="26.25" customHeight="1"/>
    <row r="36477" ht="26.25" customHeight="1"/>
    <row r="36478" ht="26.25" customHeight="1"/>
    <row r="36479" ht="26.25" customHeight="1"/>
    <row r="36480" ht="26.25" customHeight="1"/>
    <row r="36481" ht="26.25" customHeight="1"/>
    <row r="36482" ht="26.25" customHeight="1"/>
    <row r="36483" ht="26.25" customHeight="1"/>
    <row r="36484" ht="26.25" customHeight="1"/>
    <row r="36485" ht="26.25" customHeight="1"/>
    <row r="36486" ht="26.25" customHeight="1"/>
    <row r="36487" ht="26.25" customHeight="1"/>
    <row r="36488" ht="26.25" customHeight="1"/>
    <row r="36489" ht="26.25" customHeight="1"/>
    <row r="36490" ht="26.25" customHeight="1"/>
    <row r="36491" ht="26.25" customHeight="1"/>
    <row r="36492" ht="26.25" customHeight="1"/>
    <row r="36493" ht="26.25" customHeight="1"/>
    <row r="36494" ht="26.25" customHeight="1"/>
    <row r="36495" ht="26.25" customHeight="1"/>
    <row r="36496" ht="26.25" customHeight="1"/>
    <row r="36497" ht="26.25" customHeight="1"/>
    <row r="36498" ht="26.25" customHeight="1"/>
    <row r="36499" ht="26.25" customHeight="1"/>
    <row r="36500" ht="26.25" customHeight="1"/>
    <row r="36501" ht="26.25" customHeight="1"/>
    <row r="36502" ht="26.25" customHeight="1"/>
    <row r="36503" ht="26.25" customHeight="1"/>
    <row r="36504" ht="26.25" customHeight="1"/>
    <row r="36505" ht="26.25" customHeight="1"/>
    <row r="36506" ht="26.25" customHeight="1"/>
    <row r="36507" ht="26.25" customHeight="1"/>
    <row r="36508" ht="26.25" customHeight="1"/>
    <row r="36509" ht="26.25" customHeight="1"/>
    <row r="36510" ht="26.25" customHeight="1"/>
    <row r="36511" ht="26.25" customHeight="1"/>
    <row r="36512" ht="26.25" customHeight="1"/>
    <row r="36513" ht="26.25" customHeight="1"/>
    <row r="36514" ht="26.25" customHeight="1"/>
    <row r="36515" ht="26.25" customHeight="1"/>
    <row r="36516" ht="26.25" customHeight="1"/>
    <row r="36517" ht="26.25" customHeight="1"/>
    <row r="36518" ht="26.25" customHeight="1"/>
    <row r="36519" ht="26.25" customHeight="1"/>
    <row r="36520" ht="26.25" customHeight="1"/>
    <row r="36521" ht="26.25" customHeight="1"/>
    <row r="36522" ht="26.25" customHeight="1"/>
    <row r="36523" ht="26.25" customHeight="1"/>
    <row r="36524" ht="26.25" customHeight="1"/>
    <row r="36525" ht="26.25" customHeight="1"/>
    <row r="36526" ht="26.25" customHeight="1"/>
    <row r="36527" ht="26.25" customHeight="1"/>
    <row r="36528" ht="26.25" customHeight="1"/>
    <row r="36529" ht="26.25" customHeight="1"/>
    <row r="36530" ht="26.25" customHeight="1"/>
    <row r="36531" ht="26.25" customHeight="1"/>
    <row r="36532" ht="26.25" customHeight="1"/>
    <row r="36533" ht="26.25" customHeight="1"/>
    <row r="36534" ht="26.25" customHeight="1"/>
    <row r="36535" ht="26.25" customHeight="1"/>
    <row r="36536" ht="26.25" customHeight="1"/>
    <row r="36537" ht="26.25" customHeight="1"/>
    <row r="36538" ht="26.25" customHeight="1"/>
    <row r="36539" ht="26.25" customHeight="1"/>
    <row r="36540" ht="26.25" customHeight="1"/>
    <row r="36541" ht="26.25" customHeight="1"/>
    <row r="36542" ht="26.25" customHeight="1"/>
    <row r="36543" ht="26.25" customHeight="1"/>
    <row r="36544" ht="26.25" customHeight="1"/>
    <row r="36545" ht="26.25" customHeight="1"/>
    <row r="36546" ht="26.25" customHeight="1"/>
    <row r="36547" ht="26.25" customHeight="1"/>
    <row r="36548" ht="26.25" customHeight="1"/>
    <row r="36549" ht="26.25" customHeight="1"/>
    <row r="36550" ht="26.25" customHeight="1"/>
    <row r="36551" ht="26.25" customHeight="1"/>
    <row r="36552" ht="26.25" customHeight="1"/>
    <row r="36553" ht="26.25" customHeight="1"/>
    <row r="36554" ht="26.25" customHeight="1"/>
    <row r="36555" ht="26.25" customHeight="1"/>
    <row r="36556" ht="26.25" customHeight="1"/>
    <row r="36557" ht="26.25" customHeight="1"/>
    <row r="36558" ht="26.25" customHeight="1"/>
    <row r="36559" ht="26.25" customHeight="1"/>
    <row r="36560" ht="26.25" customHeight="1"/>
    <row r="36561" ht="26.25" customHeight="1"/>
    <row r="36562" ht="26.25" customHeight="1"/>
    <row r="36563" ht="26.25" customHeight="1"/>
    <row r="36564" ht="26.25" customHeight="1"/>
    <row r="36565" ht="26.25" customHeight="1"/>
    <row r="36566" ht="26.25" customHeight="1"/>
    <row r="36567" ht="26.25" customHeight="1"/>
    <row r="36568" ht="26.25" customHeight="1"/>
    <row r="36569" ht="26.25" customHeight="1"/>
    <row r="36570" ht="26.25" customHeight="1"/>
    <row r="36571" ht="26.25" customHeight="1"/>
    <row r="36572" ht="26.25" customHeight="1"/>
    <row r="36573" ht="26.25" customHeight="1"/>
    <row r="36574" ht="26.25" customHeight="1"/>
    <row r="36575" ht="26.25" customHeight="1"/>
    <row r="36576" ht="26.25" customHeight="1"/>
    <row r="36577" ht="26.25" customHeight="1"/>
    <row r="36578" ht="26.25" customHeight="1"/>
    <row r="36579" ht="26.25" customHeight="1"/>
    <row r="36580" ht="26.25" customHeight="1"/>
    <row r="36581" ht="26.25" customHeight="1"/>
    <row r="36582" ht="26.25" customHeight="1"/>
    <row r="36583" ht="26.25" customHeight="1"/>
    <row r="36584" ht="26.25" customHeight="1"/>
    <row r="36585" ht="26.25" customHeight="1"/>
    <row r="36586" ht="26.25" customHeight="1"/>
    <row r="36587" ht="26.25" customHeight="1"/>
    <row r="36588" ht="26.25" customHeight="1"/>
    <row r="36589" ht="26.25" customHeight="1"/>
    <row r="36590" ht="26.25" customHeight="1"/>
    <row r="36591" ht="26.25" customHeight="1"/>
    <row r="36592" ht="26.25" customHeight="1"/>
    <row r="36593" ht="26.25" customHeight="1"/>
    <row r="36594" ht="26.25" customHeight="1"/>
    <row r="36595" ht="26.25" customHeight="1"/>
    <row r="36596" ht="26.25" customHeight="1"/>
    <row r="36597" ht="26.25" customHeight="1"/>
    <row r="36598" ht="26.25" customHeight="1"/>
    <row r="36599" ht="26.25" customHeight="1"/>
    <row r="36600" ht="26.25" customHeight="1"/>
    <row r="36601" ht="26.25" customHeight="1"/>
    <row r="36602" ht="26.25" customHeight="1"/>
    <row r="36603" ht="26.25" customHeight="1"/>
    <row r="36604" ht="26.25" customHeight="1"/>
    <row r="36605" ht="26.25" customHeight="1"/>
    <row r="36606" ht="26.25" customHeight="1"/>
    <row r="36607" ht="26.25" customHeight="1"/>
    <row r="36608" ht="26.25" customHeight="1"/>
    <row r="36609" ht="26.25" customHeight="1"/>
    <row r="36610" ht="26.25" customHeight="1"/>
    <row r="36611" ht="26.25" customHeight="1"/>
    <row r="36612" ht="26.25" customHeight="1"/>
    <row r="36613" ht="26.25" customHeight="1"/>
    <row r="36614" ht="26.25" customHeight="1"/>
    <row r="36615" ht="26.25" customHeight="1"/>
    <row r="36616" ht="26.25" customHeight="1"/>
    <row r="36617" ht="26.25" customHeight="1"/>
    <row r="36618" ht="26.25" customHeight="1"/>
    <row r="36619" ht="26.25" customHeight="1"/>
    <row r="36620" ht="26.25" customHeight="1"/>
    <row r="36621" ht="26.25" customHeight="1"/>
    <row r="36622" ht="26.25" customHeight="1"/>
    <row r="36623" ht="26.25" customHeight="1"/>
    <row r="36624" ht="26.25" customHeight="1"/>
    <row r="36625" ht="26.25" customHeight="1"/>
    <row r="36626" ht="26.25" customHeight="1"/>
    <row r="36627" ht="26.25" customHeight="1"/>
    <row r="36628" ht="26.25" customHeight="1"/>
    <row r="36629" ht="26.25" customHeight="1"/>
    <row r="36630" ht="26.25" customHeight="1"/>
    <row r="36631" ht="26.25" customHeight="1"/>
    <row r="36632" ht="26.25" customHeight="1"/>
    <row r="36633" ht="26.25" customHeight="1"/>
    <row r="36634" ht="26.25" customHeight="1"/>
    <row r="36635" ht="26.25" customHeight="1"/>
    <row r="36636" ht="26.25" customHeight="1"/>
    <row r="36637" ht="26.25" customHeight="1"/>
    <row r="36638" ht="26.25" customHeight="1"/>
    <row r="36639" ht="26.25" customHeight="1"/>
    <row r="36640" ht="26.25" customHeight="1"/>
    <row r="36641" ht="26.25" customHeight="1"/>
    <row r="36642" ht="26.25" customHeight="1"/>
    <row r="36643" ht="26.25" customHeight="1"/>
    <row r="36644" ht="26.25" customHeight="1"/>
    <row r="36645" ht="26.25" customHeight="1"/>
    <row r="36646" ht="26.25" customHeight="1"/>
    <row r="36647" ht="26.25" customHeight="1"/>
    <row r="36648" ht="26.25" customHeight="1"/>
    <row r="36649" ht="26.25" customHeight="1"/>
    <row r="36650" ht="26.25" customHeight="1"/>
    <row r="36651" ht="26.25" customHeight="1"/>
    <row r="36652" ht="26.25" customHeight="1"/>
    <row r="36653" ht="26.25" customHeight="1"/>
    <row r="36654" ht="26.25" customHeight="1"/>
    <row r="36655" ht="26.25" customHeight="1"/>
    <row r="36656" ht="26.25" customHeight="1"/>
    <row r="36657" ht="26.25" customHeight="1"/>
    <row r="36658" ht="26.25" customHeight="1"/>
    <row r="36659" ht="26.25" customHeight="1"/>
    <row r="36660" ht="26.25" customHeight="1"/>
    <row r="36661" ht="26.25" customHeight="1"/>
    <row r="36662" ht="26.25" customHeight="1"/>
    <row r="36663" ht="26.25" customHeight="1"/>
    <row r="36664" ht="26.25" customHeight="1"/>
    <row r="36665" ht="26.25" customHeight="1"/>
    <row r="36666" ht="26.25" customHeight="1"/>
    <row r="36667" ht="26.25" customHeight="1"/>
    <row r="36668" ht="26.25" customHeight="1"/>
    <row r="36669" ht="26.25" customHeight="1"/>
    <row r="36670" ht="26.25" customHeight="1"/>
    <row r="36671" ht="26.25" customHeight="1"/>
    <row r="36672" ht="26.25" customHeight="1"/>
    <row r="36673" ht="26.25" customHeight="1"/>
    <row r="36674" ht="26.25" customHeight="1"/>
    <row r="36675" ht="26.25" customHeight="1"/>
    <row r="36676" ht="26.25" customHeight="1"/>
    <row r="36677" ht="26.25" customHeight="1"/>
    <row r="36678" ht="26.25" customHeight="1"/>
    <row r="36679" ht="26.25" customHeight="1"/>
    <row r="36680" ht="26.25" customHeight="1"/>
    <row r="36681" ht="26.25" customHeight="1"/>
    <row r="36682" ht="26.25" customHeight="1"/>
    <row r="36683" ht="26.25" customHeight="1"/>
    <row r="36684" ht="26.25" customHeight="1"/>
    <row r="36685" ht="26.25" customHeight="1"/>
    <row r="36686" ht="26.25" customHeight="1"/>
    <row r="36687" ht="26.25" customHeight="1"/>
    <row r="36688" ht="26.25" customHeight="1"/>
    <row r="36689" ht="26.25" customHeight="1"/>
    <row r="36690" ht="26.25" customHeight="1"/>
    <row r="36691" ht="26.25" customHeight="1"/>
    <row r="36692" ht="26.25" customHeight="1"/>
    <row r="36693" ht="26.25" customHeight="1"/>
    <row r="36694" ht="26.25" customHeight="1"/>
    <row r="36695" ht="26.25" customHeight="1"/>
    <row r="36696" ht="26.25" customHeight="1"/>
    <row r="36697" ht="26.25" customHeight="1"/>
    <row r="36698" ht="26.25" customHeight="1"/>
    <row r="36699" ht="26.25" customHeight="1"/>
    <row r="36700" ht="26.25" customHeight="1"/>
    <row r="36701" ht="26.25" customHeight="1"/>
    <row r="36702" ht="26.25" customHeight="1"/>
    <row r="36703" ht="26.25" customHeight="1"/>
    <row r="36704" ht="26.25" customHeight="1"/>
    <row r="36705" ht="26.25" customHeight="1"/>
    <row r="36706" ht="26.25" customHeight="1"/>
    <row r="36707" ht="26.25" customHeight="1"/>
    <row r="36708" ht="26.25" customHeight="1"/>
    <row r="36709" ht="26.25" customHeight="1"/>
    <row r="36710" ht="26.25" customHeight="1"/>
    <row r="36711" ht="26.25" customHeight="1"/>
    <row r="36712" ht="26.25" customHeight="1"/>
    <row r="36713" ht="26.25" customHeight="1"/>
    <row r="36714" ht="26.25" customHeight="1"/>
    <row r="36715" ht="26.25" customHeight="1"/>
    <row r="36716" ht="26.25" customHeight="1"/>
    <row r="36717" ht="26.25" customHeight="1"/>
    <row r="36718" ht="26.25" customHeight="1"/>
    <row r="36719" ht="26.25" customHeight="1"/>
    <row r="36720" ht="26.25" customHeight="1"/>
    <row r="36721" ht="26.25" customHeight="1"/>
    <row r="36722" ht="26.25" customHeight="1"/>
    <row r="36723" ht="26.25" customHeight="1"/>
    <row r="36724" ht="26.25" customHeight="1"/>
    <row r="36725" ht="26.25" customHeight="1"/>
    <row r="36726" ht="26.25" customHeight="1"/>
    <row r="36727" ht="26.25" customHeight="1"/>
    <row r="36728" ht="26.25" customHeight="1"/>
    <row r="36729" ht="26.25" customHeight="1"/>
    <row r="36730" ht="26.25" customHeight="1"/>
    <row r="36731" ht="26.25" customHeight="1"/>
    <row r="36732" ht="26.25" customHeight="1"/>
    <row r="36733" ht="26.25" customHeight="1"/>
    <row r="36734" ht="26.25" customHeight="1"/>
    <row r="36735" ht="26.25" customHeight="1"/>
    <row r="36736" ht="26.25" customHeight="1"/>
    <row r="36737" ht="26.25" customHeight="1"/>
    <row r="36738" ht="26.25" customHeight="1"/>
    <row r="36739" ht="26.25" customHeight="1"/>
    <row r="36740" ht="26.25" customHeight="1"/>
    <row r="36741" ht="26.25" customHeight="1"/>
    <row r="36742" ht="26.25" customHeight="1"/>
    <row r="36743" ht="26.25" customHeight="1"/>
    <row r="36744" ht="26.25" customHeight="1"/>
    <row r="36745" ht="26.25" customHeight="1"/>
    <row r="36746" ht="26.25" customHeight="1"/>
    <row r="36747" ht="26.25" customHeight="1"/>
    <row r="36748" ht="26.25" customHeight="1"/>
    <row r="36749" ht="26.25" customHeight="1"/>
    <row r="36750" ht="26.25" customHeight="1"/>
    <row r="36751" ht="26.25" customHeight="1"/>
    <row r="36752" ht="26.25" customHeight="1"/>
    <row r="36753" ht="26.25" customHeight="1"/>
    <row r="36754" ht="26.25" customHeight="1"/>
    <row r="36755" ht="26.25" customHeight="1"/>
    <row r="36756" ht="26.25" customHeight="1"/>
    <row r="36757" ht="26.25" customHeight="1"/>
    <row r="36758" ht="26.25" customHeight="1"/>
    <row r="36759" ht="26.25" customHeight="1"/>
    <row r="36760" ht="26.25" customHeight="1"/>
    <row r="36761" ht="26.25" customHeight="1"/>
    <row r="36762" ht="26.25" customHeight="1"/>
    <row r="36763" ht="26.25" customHeight="1"/>
    <row r="36764" ht="26.25" customHeight="1"/>
    <row r="36765" ht="26.25" customHeight="1"/>
    <row r="36766" ht="26.25" customHeight="1"/>
    <row r="36767" ht="26.25" customHeight="1"/>
    <row r="36768" ht="26.25" customHeight="1"/>
    <row r="36769" ht="26.25" customHeight="1"/>
    <row r="36770" ht="26.25" customHeight="1"/>
    <row r="36771" ht="26.25" customHeight="1"/>
    <row r="36772" ht="26.25" customHeight="1"/>
    <row r="36773" ht="26.25" customHeight="1"/>
    <row r="36774" ht="26.25" customHeight="1"/>
    <row r="36775" ht="26.25" customHeight="1"/>
    <row r="36776" ht="26.25" customHeight="1"/>
    <row r="36777" ht="26.25" customHeight="1"/>
    <row r="36778" ht="26.25" customHeight="1"/>
    <row r="36779" ht="26.25" customHeight="1"/>
    <row r="36780" ht="26.25" customHeight="1"/>
    <row r="36781" ht="26.25" customHeight="1"/>
    <row r="36782" ht="26.25" customHeight="1"/>
    <row r="36783" ht="26.25" customHeight="1"/>
    <row r="36784" ht="26.25" customHeight="1"/>
    <row r="36785" ht="26.25" customHeight="1"/>
    <row r="36786" ht="26.25" customHeight="1"/>
    <row r="36787" ht="26.25" customHeight="1"/>
    <row r="36788" ht="26.25" customHeight="1"/>
    <row r="36789" ht="26.25" customHeight="1"/>
    <row r="36790" ht="26.25" customHeight="1"/>
    <row r="36791" ht="26.25" customHeight="1"/>
    <row r="36792" ht="26.25" customHeight="1"/>
    <row r="36793" ht="26.25" customHeight="1"/>
    <row r="36794" ht="26.25" customHeight="1"/>
    <row r="36795" ht="26.25" customHeight="1"/>
    <row r="36796" ht="26.25" customHeight="1"/>
    <row r="36797" ht="26.25" customHeight="1"/>
    <row r="36798" ht="26.25" customHeight="1"/>
    <row r="36799" ht="26.25" customHeight="1"/>
    <row r="36800" ht="26.25" customHeight="1"/>
    <row r="36801" ht="26.25" customHeight="1"/>
    <row r="36802" ht="26.25" customHeight="1"/>
    <row r="36803" ht="26.25" customHeight="1"/>
    <row r="36804" ht="26.25" customHeight="1"/>
    <row r="36805" ht="26.25" customHeight="1"/>
    <row r="36806" ht="26.25" customHeight="1"/>
    <row r="36807" ht="26.25" customHeight="1"/>
    <row r="36808" ht="26.25" customHeight="1"/>
    <row r="36809" ht="26.25" customHeight="1"/>
    <row r="36810" ht="26.25" customHeight="1"/>
    <row r="36811" ht="26.25" customHeight="1"/>
    <row r="36812" ht="26.25" customHeight="1"/>
    <row r="36813" ht="26.25" customHeight="1"/>
    <row r="36814" ht="26.25" customHeight="1"/>
    <row r="36815" ht="26.25" customHeight="1"/>
    <row r="36816" ht="26.25" customHeight="1"/>
    <row r="36817" ht="26.25" customHeight="1"/>
    <row r="36818" ht="26.25" customHeight="1"/>
    <row r="36819" ht="26.25" customHeight="1"/>
    <row r="36820" ht="26.25" customHeight="1"/>
    <row r="36821" ht="26.25" customHeight="1"/>
    <row r="36822" ht="26.25" customHeight="1"/>
    <row r="36823" ht="26.25" customHeight="1"/>
    <row r="36824" ht="26.25" customHeight="1"/>
    <row r="36825" ht="26.25" customHeight="1"/>
    <row r="36826" ht="26.25" customHeight="1"/>
    <row r="36827" ht="26.25" customHeight="1"/>
    <row r="36828" ht="26.25" customHeight="1"/>
    <row r="36829" ht="26.25" customHeight="1"/>
    <row r="36830" ht="26.25" customHeight="1"/>
    <row r="36831" ht="26.25" customHeight="1"/>
    <row r="36832" ht="26.25" customHeight="1"/>
    <row r="36833" ht="26.25" customHeight="1"/>
    <row r="36834" ht="26.25" customHeight="1"/>
    <row r="36835" ht="26.25" customHeight="1"/>
    <row r="36836" ht="26.25" customHeight="1"/>
    <row r="36837" ht="26.25" customHeight="1"/>
    <row r="36838" ht="26.25" customHeight="1"/>
    <row r="36839" ht="26.25" customHeight="1"/>
    <row r="36840" ht="26.25" customHeight="1"/>
    <row r="36841" ht="26.25" customHeight="1"/>
    <row r="36842" ht="26.25" customHeight="1"/>
    <row r="36843" ht="26.25" customHeight="1"/>
    <row r="36844" ht="26.25" customHeight="1"/>
    <row r="36845" ht="26.25" customHeight="1"/>
    <row r="36846" ht="26.25" customHeight="1"/>
    <row r="36847" ht="26.25" customHeight="1"/>
    <row r="36848" ht="26.25" customHeight="1"/>
    <row r="36849" ht="26.25" customHeight="1"/>
    <row r="36850" ht="26.25" customHeight="1"/>
    <row r="36851" ht="26.25" customHeight="1"/>
    <row r="36852" ht="26.25" customHeight="1"/>
    <row r="36853" ht="26.25" customHeight="1"/>
    <row r="36854" ht="26.25" customHeight="1"/>
    <row r="36855" ht="26.25" customHeight="1"/>
    <row r="36856" ht="26.25" customHeight="1"/>
    <row r="36857" ht="26.25" customHeight="1"/>
    <row r="36858" ht="26.25" customHeight="1"/>
    <row r="36859" ht="26.25" customHeight="1"/>
    <row r="36860" ht="26.25" customHeight="1"/>
    <row r="36861" ht="26.25" customHeight="1"/>
    <row r="36862" ht="26.25" customHeight="1"/>
    <row r="36863" ht="26.25" customHeight="1"/>
    <row r="36864" ht="26.25" customHeight="1"/>
    <row r="36865" ht="26.25" customHeight="1"/>
    <row r="36866" ht="26.25" customHeight="1"/>
    <row r="36867" ht="26.25" customHeight="1"/>
    <row r="36868" ht="26.25" customHeight="1"/>
    <row r="36869" ht="26.25" customHeight="1"/>
    <row r="36870" ht="26.25" customHeight="1"/>
    <row r="36871" ht="26.25" customHeight="1"/>
    <row r="36872" ht="26.25" customHeight="1"/>
    <row r="36873" ht="26.25" customHeight="1"/>
    <row r="36874" ht="26.25" customHeight="1"/>
    <row r="36875" ht="26.25" customHeight="1"/>
    <row r="36876" ht="26.25" customHeight="1"/>
    <row r="36877" ht="26.25" customHeight="1"/>
    <row r="36878" ht="26.25" customHeight="1"/>
    <row r="36879" ht="26.25" customHeight="1"/>
    <row r="36880" ht="26.25" customHeight="1"/>
    <row r="36881" ht="26.25" customHeight="1"/>
    <row r="36882" ht="26.25" customHeight="1"/>
    <row r="36883" ht="26.25" customHeight="1"/>
    <row r="36884" ht="26.25" customHeight="1"/>
    <row r="36885" ht="26.25" customHeight="1"/>
    <row r="36886" ht="26.25" customHeight="1"/>
    <row r="36887" ht="26.25" customHeight="1"/>
    <row r="36888" ht="26.25" customHeight="1"/>
    <row r="36889" ht="26.25" customHeight="1"/>
    <row r="36890" ht="26.25" customHeight="1"/>
    <row r="36891" ht="26.25" customHeight="1"/>
    <row r="36892" ht="26.25" customHeight="1"/>
    <row r="36893" ht="26.25" customHeight="1"/>
    <row r="36894" ht="26.25" customHeight="1"/>
    <row r="36895" ht="26.25" customHeight="1"/>
    <row r="36896" ht="26.25" customHeight="1"/>
    <row r="36897" ht="26.25" customHeight="1"/>
    <row r="36898" ht="26.25" customHeight="1"/>
    <row r="36899" ht="26.25" customHeight="1"/>
    <row r="36900" ht="26.25" customHeight="1"/>
    <row r="36901" ht="26.25" customHeight="1"/>
    <row r="36902" ht="26.25" customHeight="1"/>
    <row r="36903" ht="26.25" customHeight="1"/>
    <row r="36904" ht="26.25" customHeight="1"/>
    <row r="36905" ht="26.25" customHeight="1"/>
    <row r="36906" ht="26.25" customHeight="1"/>
    <row r="36907" ht="26.25" customHeight="1"/>
    <row r="36908" ht="26.25" customHeight="1"/>
    <row r="36909" ht="26.25" customHeight="1"/>
    <row r="36910" ht="26.25" customHeight="1"/>
    <row r="36911" ht="26.25" customHeight="1"/>
    <row r="36912" ht="26.25" customHeight="1"/>
    <row r="36913" ht="26.25" customHeight="1"/>
    <row r="36914" ht="26.25" customHeight="1"/>
    <row r="36915" ht="26.25" customHeight="1"/>
    <row r="36916" ht="26.25" customHeight="1"/>
    <row r="36917" ht="26.25" customHeight="1"/>
    <row r="36918" ht="26.25" customHeight="1"/>
    <row r="36919" ht="26.25" customHeight="1"/>
    <row r="36920" ht="26.25" customHeight="1"/>
    <row r="36921" ht="26.25" customHeight="1"/>
    <row r="36922" ht="26.25" customHeight="1"/>
    <row r="36923" ht="26.25" customHeight="1"/>
    <row r="36924" ht="26.25" customHeight="1"/>
    <row r="36925" ht="26.25" customHeight="1"/>
    <row r="36926" ht="26.25" customHeight="1"/>
    <row r="36927" ht="26.25" customHeight="1"/>
    <row r="36928" ht="26.25" customHeight="1"/>
    <row r="36929" ht="26.25" customHeight="1"/>
    <row r="36930" ht="26.25" customHeight="1"/>
    <row r="36931" ht="26.25" customHeight="1"/>
    <row r="36932" ht="26.25" customHeight="1"/>
    <row r="36933" ht="26.25" customHeight="1"/>
    <row r="36934" ht="26.25" customHeight="1"/>
    <row r="36935" ht="26.25" customHeight="1"/>
    <row r="36936" ht="26.25" customHeight="1"/>
    <row r="36937" ht="26.25" customHeight="1"/>
    <row r="36938" ht="26.25" customHeight="1"/>
    <row r="36939" ht="26.25" customHeight="1"/>
    <row r="36940" ht="26.25" customHeight="1"/>
    <row r="36941" ht="26.25" customHeight="1"/>
    <row r="36942" ht="26.25" customHeight="1"/>
    <row r="36943" ht="26.25" customHeight="1"/>
    <row r="36944" ht="26.25" customHeight="1"/>
    <row r="36945" ht="26.25" customHeight="1"/>
    <row r="36946" ht="26.25" customHeight="1"/>
    <row r="36947" ht="26.25" customHeight="1"/>
    <row r="36948" ht="26.25" customHeight="1"/>
    <row r="36949" ht="26.25" customHeight="1"/>
    <row r="36950" ht="26.25" customHeight="1"/>
    <row r="36951" ht="26.25" customHeight="1"/>
    <row r="36952" ht="26.25" customHeight="1"/>
    <row r="36953" ht="26.25" customHeight="1"/>
    <row r="36954" ht="26.25" customHeight="1"/>
    <row r="36955" ht="26.25" customHeight="1"/>
    <row r="36956" ht="26.25" customHeight="1"/>
    <row r="36957" ht="26.25" customHeight="1"/>
    <row r="36958" ht="26.25" customHeight="1"/>
    <row r="36959" ht="26.25" customHeight="1"/>
    <row r="36960" ht="26.25" customHeight="1"/>
    <row r="36961" ht="26.25" customHeight="1"/>
    <row r="36962" ht="26.25" customHeight="1"/>
    <row r="36963" ht="26.25" customHeight="1"/>
    <row r="36964" ht="26.25" customHeight="1"/>
    <row r="36965" ht="26.25" customHeight="1"/>
    <row r="36966" ht="26.25" customHeight="1"/>
    <row r="36967" ht="26.25" customHeight="1"/>
    <row r="36968" ht="26.25" customHeight="1"/>
    <row r="36969" ht="26.25" customHeight="1"/>
    <row r="36970" ht="26.25" customHeight="1"/>
    <row r="36971" ht="26.25" customHeight="1"/>
    <row r="36972" ht="26.25" customHeight="1"/>
    <row r="36973" ht="26.25" customHeight="1"/>
    <row r="36974" ht="26.25" customHeight="1"/>
    <row r="36975" ht="26.25" customHeight="1"/>
    <row r="36976" ht="26.25" customHeight="1"/>
    <row r="36977" ht="26.25" customHeight="1"/>
    <row r="36978" ht="26.25" customHeight="1"/>
    <row r="36979" ht="26.25" customHeight="1"/>
    <row r="36980" ht="26.25" customHeight="1"/>
    <row r="36981" ht="26.25" customHeight="1"/>
    <row r="36982" ht="26.25" customHeight="1"/>
    <row r="36983" ht="26.25" customHeight="1"/>
    <row r="36984" ht="26.25" customHeight="1"/>
    <row r="36985" ht="26.25" customHeight="1"/>
    <row r="36986" ht="26.25" customHeight="1"/>
    <row r="36987" ht="26.25" customHeight="1"/>
    <row r="36988" ht="26.25" customHeight="1"/>
    <row r="36989" ht="26.25" customHeight="1"/>
    <row r="36990" ht="26.25" customHeight="1"/>
    <row r="36991" ht="26.25" customHeight="1"/>
    <row r="36992" ht="26.25" customHeight="1"/>
    <row r="36993" ht="26.25" customHeight="1"/>
    <row r="36994" ht="26.25" customHeight="1"/>
    <row r="36995" ht="26.25" customHeight="1"/>
    <row r="36996" ht="26.25" customHeight="1"/>
    <row r="36997" ht="26.25" customHeight="1"/>
    <row r="36998" ht="26.25" customHeight="1"/>
    <row r="36999" ht="26.25" customHeight="1"/>
    <row r="37000" ht="26.25" customHeight="1"/>
    <row r="37001" ht="26.25" customHeight="1"/>
    <row r="37002" ht="26.25" customHeight="1"/>
    <row r="37003" ht="26.25" customHeight="1"/>
    <row r="37004" ht="26.25" customHeight="1"/>
    <row r="37005" ht="26.25" customHeight="1"/>
    <row r="37006" ht="26.25" customHeight="1"/>
    <row r="37007" ht="26.25" customHeight="1"/>
    <row r="37008" ht="26.25" customHeight="1"/>
    <row r="37009" ht="26.25" customHeight="1"/>
    <row r="37010" ht="26.25" customHeight="1"/>
    <row r="37011" ht="26.25" customHeight="1"/>
    <row r="37012" ht="26.25" customHeight="1"/>
    <row r="37013" ht="26.25" customHeight="1"/>
    <row r="37014" ht="26.25" customHeight="1"/>
    <row r="37015" ht="26.25" customHeight="1"/>
    <row r="37016" ht="26.25" customHeight="1"/>
    <row r="37017" ht="26.25" customHeight="1"/>
    <row r="37018" ht="26.25" customHeight="1"/>
    <row r="37019" ht="26.25" customHeight="1"/>
    <row r="37020" ht="26.25" customHeight="1"/>
    <row r="37021" ht="26.25" customHeight="1"/>
    <row r="37022" ht="26.25" customHeight="1"/>
    <row r="37023" ht="26.25" customHeight="1"/>
    <row r="37024" ht="26.25" customHeight="1"/>
    <row r="37025" ht="26.25" customHeight="1"/>
    <row r="37026" ht="26.25" customHeight="1"/>
    <row r="37027" ht="26.25" customHeight="1"/>
    <row r="37028" ht="26.25" customHeight="1"/>
    <row r="37029" ht="26.25" customHeight="1"/>
    <row r="37030" ht="26.25" customHeight="1"/>
    <row r="37031" ht="26.25" customHeight="1"/>
    <row r="37032" ht="26.25" customHeight="1"/>
    <row r="37033" ht="26.25" customHeight="1"/>
    <row r="37034" ht="26.25" customHeight="1"/>
    <row r="37035" ht="26.25" customHeight="1"/>
    <row r="37036" ht="26.25" customHeight="1"/>
    <row r="37037" ht="26.25" customHeight="1"/>
    <row r="37038" ht="26.25" customHeight="1"/>
    <row r="37039" ht="26.25" customHeight="1"/>
    <row r="37040" ht="26.25" customHeight="1"/>
    <row r="37041" ht="26.25" customHeight="1"/>
    <row r="37042" ht="26.25" customHeight="1"/>
    <row r="37043" ht="26.25" customHeight="1"/>
    <row r="37044" ht="26.25" customHeight="1"/>
    <row r="37045" ht="26.25" customHeight="1"/>
    <row r="37046" ht="26.25" customHeight="1"/>
    <row r="37047" ht="26.25" customHeight="1"/>
    <row r="37048" ht="26.25" customHeight="1"/>
    <row r="37049" ht="26.25" customHeight="1"/>
    <row r="37050" ht="26.25" customHeight="1"/>
    <row r="37051" ht="26.25" customHeight="1"/>
    <row r="37052" ht="26.25" customHeight="1"/>
    <row r="37053" ht="26.25" customHeight="1"/>
    <row r="37054" ht="26.25" customHeight="1"/>
    <row r="37055" ht="26.25" customHeight="1"/>
    <row r="37056" ht="26.25" customHeight="1"/>
    <row r="37057" ht="26.25" customHeight="1"/>
    <row r="37058" ht="26.25" customHeight="1"/>
    <row r="37059" ht="26.25" customHeight="1"/>
    <row r="37060" ht="26.25" customHeight="1"/>
    <row r="37061" ht="26.25" customHeight="1"/>
    <row r="37062" ht="26.25" customHeight="1"/>
    <row r="37063" ht="26.25" customHeight="1"/>
    <row r="37064" ht="26.25" customHeight="1"/>
    <row r="37065" ht="26.25" customHeight="1"/>
    <row r="37066" ht="26.25" customHeight="1"/>
    <row r="37067" ht="26.25" customHeight="1"/>
    <row r="37068" ht="26.25" customHeight="1"/>
    <row r="37069" ht="26.25" customHeight="1"/>
    <row r="37070" ht="26.25" customHeight="1"/>
    <row r="37071" ht="26.25" customHeight="1"/>
    <row r="37072" ht="26.25" customHeight="1"/>
    <row r="37073" ht="26.25" customHeight="1"/>
    <row r="37074" ht="26.25" customHeight="1"/>
    <row r="37075" ht="26.25" customHeight="1"/>
    <row r="37076" ht="26.25" customHeight="1"/>
    <row r="37077" ht="26.25" customHeight="1"/>
    <row r="37078" ht="26.25" customHeight="1"/>
    <row r="37079" ht="26.25" customHeight="1"/>
    <row r="37080" ht="26.25" customHeight="1"/>
    <row r="37081" ht="26.25" customHeight="1"/>
    <row r="37082" ht="26.25" customHeight="1"/>
    <row r="37083" ht="26.25" customHeight="1"/>
    <row r="37084" ht="26.25" customHeight="1"/>
    <row r="37085" ht="26.25" customHeight="1"/>
    <row r="37086" ht="26.25" customHeight="1"/>
    <row r="37087" ht="26.25" customHeight="1"/>
    <row r="37088" ht="26.25" customHeight="1"/>
    <row r="37089" ht="26.25" customHeight="1"/>
    <row r="37090" ht="26.25" customHeight="1"/>
    <row r="37091" ht="26.25" customHeight="1"/>
    <row r="37092" ht="26.25" customHeight="1"/>
    <row r="37093" ht="26.25" customHeight="1"/>
    <row r="37094" ht="26.25" customHeight="1"/>
    <row r="37095" ht="26.25" customHeight="1"/>
    <row r="37096" ht="26.25" customHeight="1"/>
    <row r="37097" ht="26.25" customHeight="1"/>
    <row r="37098" ht="26.25" customHeight="1"/>
    <row r="37099" ht="26.25" customHeight="1"/>
    <row r="37100" ht="26.25" customHeight="1"/>
    <row r="37101" ht="26.25" customHeight="1"/>
    <row r="37102" ht="26.25" customHeight="1"/>
    <row r="37103" ht="26.25" customHeight="1"/>
    <row r="37104" ht="26.25" customHeight="1"/>
    <row r="37105" ht="26.25" customHeight="1"/>
    <row r="37106" ht="26.25" customHeight="1"/>
    <row r="37107" ht="26.25" customHeight="1"/>
    <row r="37108" ht="26.25" customHeight="1"/>
    <row r="37109" ht="26.25" customHeight="1"/>
    <row r="37110" ht="26.25" customHeight="1"/>
    <row r="37111" ht="26.25" customHeight="1"/>
    <row r="37112" ht="26.25" customHeight="1"/>
    <row r="37113" ht="26.25" customHeight="1"/>
    <row r="37114" ht="26.25" customHeight="1"/>
    <row r="37115" ht="26.25" customHeight="1"/>
    <row r="37116" ht="26.25" customHeight="1"/>
    <row r="37117" ht="26.25" customHeight="1"/>
    <row r="37118" ht="26.25" customHeight="1"/>
    <row r="37119" ht="26.25" customHeight="1"/>
    <row r="37120" ht="26.25" customHeight="1"/>
    <row r="37121" ht="26.25" customHeight="1"/>
    <row r="37122" ht="26.25" customHeight="1"/>
    <row r="37123" ht="26.25" customHeight="1"/>
    <row r="37124" ht="26.25" customHeight="1"/>
    <row r="37125" ht="26.25" customHeight="1"/>
    <row r="37126" ht="26.25" customHeight="1"/>
    <row r="37127" ht="26.25" customHeight="1"/>
    <row r="37128" ht="26.25" customHeight="1"/>
    <row r="37129" ht="26.25" customHeight="1"/>
    <row r="37130" ht="26.25" customHeight="1"/>
    <row r="37131" ht="26.25" customHeight="1"/>
    <row r="37132" ht="26.25" customHeight="1"/>
    <row r="37133" ht="26.25" customHeight="1"/>
    <row r="37134" ht="26.25" customHeight="1"/>
    <row r="37135" ht="26.25" customHeight="1"/>
    <row r="37136" ht="26.25" customHeight="1"/>
    <row r="37137" ht="26.25" customHeight="1"/>
    <row r="37138" ht="26.25" customHeight="1"/>
    <row r="37139" ht="26.25" customHeight="1"/>
    <row r="37140" ht="26.25" customHeight="1"/>
    <row r="37141" ht="26.25" customHeight="1"/>
    <row r="37142" ht="26.25" customHeight="1"/>
    <row r="37143" ht="26.25" customHeight="1"/>
    <row r="37144" ht="26.25" customHeight="1"/>
    <row r="37145" ht="26.25" customHeight="1"/>
    <row r="37146" ht="26.25" customHeight="1"/>
    <row r="37147" ht="26.25" customHeight="1"/>
    <row r="37148" ht="26.25" customHeight="1"/>
    <row r="37149" ht="26.25" customHeight="1"/>
    <row r="37150" ht="26.25" customHeight="1"/>
    <row r="37151" ht="26.25" customHeight="1"/>
    <row r="37152" ht="26.25" customHeight="1"/>
    <row r="37153" ht="26.25" customHeight="1"/>
    <row r="37154" ht="26.25" customHeight="1"/>
    <row r="37155" ht="26.25" customHeight="1"/>
    <row r="37156" ht="26.25" customHeight="1"/>
    <row r="37157" ht="26.25" customHeight="1"/>
    <row r="37158" ht="26.25" customHeight="1"/>
    <row r="37159" ht="26.25" customHeight="1"/>
    <row r="37160" ht="26.25" customHeight="1"/>
    <row r="37161" ht="26.25" customHeight="1"/>
    <row r="37162" ht="26.25" customHeight="1"/>
    <row r="37163" ht="26.25" customHeight="1"/>
    <row r="37164" ht="26.25" customHeight="1"/>
    <row r="37165" ht="26.25" customHeight="1"/>
    <row r="37166" ht="26.25" customHeight="1"/>
    <row r="37167" ht="26.25" customHeight="1"/>
    <row r="37168" ht="26.25" customHeight="1"/>
    <row r="37169" ht="26.25" customHeight="1"/>
    <row r="37170" ht="26.25" customHeight="1"/>
    <row r="37171" ht="26.25" customHeight="1"/>
    <row r="37172" ht="26.25" customHeight="1"/>
    <row r="37173" ht="26.25" customHeight="1"/>
    <row r="37174" ht="26.25" customHeight="1"/>
    <row r="37175" ht="26.25" customHeight="1"/>
    <row r="37176" ht="26.25" customHeight="1"/>
    <row r="37177" ht="26.25" customHeight="1"/>
    <row r="37178" ht="26.25" customHeight="1"/>
    <row r="37179" ht="26.25" customHeight="1"/>
    <row r="37180" ht="26.25" customHeight="1"/>
    <row r="37181" ht="26.25" customHeight="1"/>
    <row r="37182" ht="26.25" customHeight="1"/>
    <row r="37183" ht="26.25" customHeight="1"/>
    <row r="37184" ht="26.25" customHeight="1"/>
    <row r="37185" ht="26.25" customHeight="1"/>
    <row r="37186" ht="26.25" customHeight="1"/>
    <row r="37187" ht="26.25" customHeight="1"/>
    <row r="37188" ht="26.25" customHeight="1"/>
    <row r="37189" ht="26.25" customHeight="1"/>
    <row r="37190" ht="26.25" customHeight="1"/>
    <row r="37191" ht="26.25" customHeight="1"/>
    <row r="37192" ht="26.25" customHeight="1"/>
    <row r="37193" ht="26.25" customHeight="1"/>
    <row r="37194" ht="26.25" customHeight="1"/>
    <row r="37195" ht="26.25" customHeight="1"/>
    <row r="37196" ht="26.25" customHeight="1"/>
    <row r="37197" ht="26.25" customHeight="1"/>
    <row r="37198" ht="26.25" customHeight="1"/>
    <row r="37199" ht="26.25" customHeight="1"/>
    <row r="37200" ht="26.25" customHeight="1"/>
    <row r="37201" ht="26.25" customHeight="1"/>
    <row r="37202" ht="26.25" customHeight="1"/>
    <row r="37203" ht="26.25" customHeight="1"/>
    <row r="37204" ht="26.25" customHeight="1"/>
    <row r="37205" ht="26.25" customHeight="1"/>
    <row r="37206" ht="26.25" customHeight="1"/>
    <row r="37207" ht="26.25" customHeight="1"/>
    <row r="37208" ht="26.25" customHeight="1"/>
    <row r="37209" ht="26.25" customHeight="1"/>
    <row r="37210" ht="26.25" customHeight="1"/>
    <row r="37211" ht="26.25" customHeight="1"/>
    <row r="37212" ht="26.25" customHeight="1"/>
    <row r="37213" ht="26.25" customHeight="1"/>
    <row r="37214" ht="26.25" customHeight="1"/>
    <row r="37215" ht="26.25" customHeight="1"/>
    <row r="37216" ht="26.25" customHeight="1"/>
    <row r="37217" ht="26.25" customHeight="1"/>
    <row r="37218" ht="26.25" customHeight="1"/>
    <row r="37219" ht="26.25" customHeight="1"/>
    <row r="37220" ht="26.25" customHeight="1"/>
    <row r="37221" ht="26.25" customHeight="1"/>
    <row r="37222" ht="26.25" customHeight="1"/>
    <row r="37223" ht="26.25" customHeight="1"/>
    <row r="37224" ht="26.25" customHeight="1"/>
    <row r="37225" ht="26.25" customHeight="1"/>
    <row r="37226" ht="26.25" customHeight="1"/>
    <row r="37227" ht="26.25" customHeight="1"/>
    <row r="37228" ht="26.25" customHeight="1"/>
    <row r="37229" ht="26.25" customHeight="1"/>
    <row r="37230" ht="26.25" customHeight="1"/>
    <row r="37231" ht="26.25" customHeight="1"/>
    <row r="37232" ht="26.25" customHeight="1"/>
    <row r="37233" ht="26.25" customHeight="1"/>
    <row r="37234" ht="26.25" customHeight="1"/>
    <row r="37235" ht="26.25" customHeight="1"/>
    <row r="37236" ht="26.25" customHeight="1"/>
    <row r="37237" ht="26.25" customHeight="1"/>
    <row r="37238" ht="26.25" customHeight="1"/>
    <row r="37239" ht="26.25" customHeight="1"/>
    <row r="37240" ht="26.25" customHeight="1"/>
    <row r="37241" ht="26.25" customHeight="1"/>
    <row r="37242" ht="26.25" customHeight="1"/>
    <row r="37243" ht="26.25" customHeight="1"/>
    <row r="37244" ht="26.25" customHeight="1"/>
    <row r="37245" ht="26.25" customHeight="1"/>
    <row r="37246" ht="26.25" customHeight="1"/>
    <row r="37247" ht="26.25" customHeight="1"/>
    <row r="37248" ht="26.25" customHeight="1"/>
    <row r="37249" ht="26.25" customHeight="1"/>
    <row r="37250" ht="26.25" customHeight="1"/>
    <row r="37251" ht="26.25" customHeight="1"/>
    <row r="37252" ht="26.25" customHeight="1"/>
    <row r="37253" ht="26.25" customHeight="1"/>
    <row r="37254" ht="26.25" customHeight="1"/>
    <row r="37255" ht="26.25" customHeight="1"/>
    <row r="37256" ht="26.25" customHeight="1"/>
    <row r="37257" ht="26.25" customHeight="1"/>
    <row r="37258" ht="26.25" customHeight="1"/>
    <row r="37259" ht="26.25" customHeight="1"/>
    <row r="37260" ht="26.25" customHeight="1"/>
    <row r="37261" ht="26.25" customHeight="1"/>
    <row r="37262" ht="26.25" customHeight="1"/>
    <row r="37263" ht="26.25" customHeight="1"/>
    <row r="37264" ht="26.25" customHeight="1"/>
    <row r="37265" ht="26.25" customHeight="1"/>
    <row r="37266" ht="26.25" customHeight="1"/>
    <row r="37267" ht="26.25" customHeight="1"/>
    <row r="37268" ht="26.25" customHeight="1"/>
    <row r="37269" ht="26.25" customHeight="1"/>
    <row r="37270" ht="26.25" customHeight="1"/>
    <row r="37271" ht="26.25" customHeight="1"/>
    <row r="37272" ht="26.25" customHeight="1"/>
    <row r="37273" ht="26.25" customHeight="1"/>
    <row r="37274" ht="26.25" customHeight="1"/>
    <row r="37275" ht="26.25" customHeight="1"/>
    <row r="37276" ht="26.25" customHeight="1"/>
    <row r="37277" ht="26.25" customHeight="1"/>
    <row r="37278" ht="26.25" customHeight="1"/>
    <row r="37279" ht="26.25" customHeight="1"/>
    <row r="37280" ht="26.25" customHeight="1"/>
    <row r="37281" ht="26.25" customHeight="1"/>
    <row r="37282" ht="26.25" customHeight="1"/>
    <row r="37283" ht="26.25" customHeight="1"/>
    <row r="37284" ht="26.25" customHeight="1"/>
    <row r="37285" ht="26.25" customHeight="1"/>
    <row r="37286" ht="26.25" customHeight="1"/>
    <row r="37287" ht="26.25" customHeight="1"/>
    <row r="37288" ht="26.25" customHeight="1"/>
    <row r="37289" ht="26.25" customHeight="1"/>
    <row r="37290" ht="26.25" customHeight="1"/>
    <row r="37291" ht="26.25" customHeight="1"/>
    <row r="37292" ht="26.25" customHeight="1"/>
    <row r="37293" ht="26.25" customHeight="1"/>
    <row r="37294" ht="26.25" customHeight="1"/>
    <row r="37295" ht="26.25" customHeight="1"/>
    <row r="37296" ht="26.25" customHeight="1"/>
    <row r="37297" ht="26.25" customHeight="1"/>
    <row r="37298" ht="26.25" customHeight="1"/>
    <row r="37299" ht="26.25" customHeight="1"/>
    <row r="37300" ht="26.25" customHeight="1"/>
    <row r="37301" ht="26.25" customHeight="1"/>
    <row r="37302" ht="26.25" customHeight="1"/>
    <row r="37303" ht="26.25" customHeight="1"/>
    <row r="37304" ht="26.25" customHeight="1"/>
    <row r="37305" ht="26.25" customHeight="1"/>
    <row r="37306" ht="26.25" customHeight="1"/>
    <row r="37307" ht="26.25" customHeight="1"/>
    <row r="37308" ht="26.25" customHeight="1"/>
    <row r="37309" ht="26.25" customHeight="1"/>
    <row r="37310" ht="26.25" customHeight="1"/>
    <row r="37311" ht="26.25" customHeight="1"/>
    <row r="37312" ht="26.25" customHeight="1"/>
    <row r="37313" ht="26.25" customHeight="1"/>
    <row r="37314" ht="26.25" customHeight="1"/>
    <row r="37315" ht="26.25" customHeight="1"/>
    <row r="37316" ht="26.25" customHeight="1"/>
    <row r="37317" ht="26.25" customHeight="1"/>
    <row r="37318" ht="26.25" customHeight="1"/>
    <row r="37319" ht="26.25" customHeight="1"/>
    <row r="37320" ht="26.25" customHeight="1"/>
    <row r="37321" ht="26.25" customHeight="1"/>
    <row r="37322" ht="26.25" customHeight="1"/>
    <row r="37323" ht="26.25" customHeight="1"/>
    <row r="37324" ht="26.25" customHeight="1"/>
    <row r="37325" ht="26.25" customHeight="1"/>
    <row r="37326" ht="26.25" customHeight="1"/>
    <row r="37327" ht="26.25" customHeight="1"/>
    <row r="37328" ht="26.25" customHeight="1"/>
    <row r="37329" ht="26.25" customHeight="1"/>
    <row r="37330" ht="26.25" customHeight="1"/>
    <row r="37331" ht="26.25" customHeight="1"/>
    <row r="37332" ht="26.25" customHeight="1"/>
    <row r="37333" ht="26.25" customHeight="1"/>
    <row r="37334" ht="26.25" customHeight="1"/>
    <row r="37335" ht="26.25" customHeight="1"/>
    <row r="37336" ht="26.25" customHeight="1"/>
    <row r="37337" ht="26.25" customHeight="1"/>
    <row r="37338" ht="26.25" customHeight="1"/>
    <row r="37339" ht="26.25" customHeight="1"/>
    <row r="37340" ht="26.25" customHeight="1"/>
    <row r="37341" ht="26.25" customHeight="1"/>
    <row r="37342" ht="26.25" customHeight="1"/>
    <row r="37343" ht="26.25" customHeight="1"/>
    <row r="37344" ht="26.25" customHeight="1"/>
    <row r="37345" ht="26.25" customHeight="1"/>
    <row r="37346" ht="26.25" customHeight="1"/>
    <row r="37347" ht="26.25" customHeight="1"/>
    <row r="37348" ht="26.25" customHeight="1"/>
    <row r="37349" ht="26.25" customHeight="1"/>
    <row r="37350" ht="26.25" customHeight="1"/>
    <row r="37351" ht="26.25" customHeight="1"/>
    <row r="37352" ht="26.25" customHeight="1"/>
    <row r="37353" ht="26.25" customHeight="1"/>
    <row r="37354" ht="26.25" customHeight="1"/>
    <row r="37355" ht="26.25" customHeight="1"/>
    <row r="37356" ht="26.25" customHeight="1"/>
    <row r="37357" ht="26.25" customHeight="1"/>
    <row r="37358" ht="26.25" customHeight="1"/>
    <row r="37359" ht="26.25" customHeight="1"/>
    <row r="37360" ht="26.25" customHeight="1"/>
    <row r="37361" ht="26.25" customHeight="1"/>
    <row r="37362" ht="26.25" customHeight="1"/>
    <row r="37363" ht="26.25" customHeight="1"/>
    <row r="37364" ht="26.25" customHeight="1"/>
    <row r="37365" ht="26.25" customHeight="1"/>
    <row r="37366" ht="26.25" customHeight="1"/>
    <row r="37367" ht="26.25" customHeight="1"/>
    <row r="37368" ht="26.25" customHeight="1"/>
    <row r="37369" ht="26.25" customHeight="1"/>
    <row r="37370" ht="26.25" customHeight="1"/>
    <row r="37371" ht="26.25" customHeight="1"/>
    <row r="37372" ht="26.25" customHeight="1"/>
    <row r="37373" ht="26.25" customHeight="1"/>
    <row r="37374" ht="26.25" customHeight="1"/>
    <row r="37375" ht="26.25" customHeight="1"/>
    <row r="37376" ht="26.25" customHeight="1"/>
    <row r="37377" ht="26.25" customHeight="1"/>
    <row r="37378" ht="26.25" customHeight="1"/>
    <row r="37379" ht="26.25" customHeight="1"/>
    <row r="37380" ht="26.25" customHeight="1"/>
    <row r="37381" ht="26.25" customHeight="1"/>
    <row r="37382" ht="26.25" customHeight="1"/>
    <row r="37383" ht="26.25" customHeight="1"/>
    <row r="37384" ht="26.25" customHeight="1"/>
    <row r="37385" ht="26.25" customHeight="1"/>
    <row r="37386" ht="26.25" customHeight="1"/>
    <row r="37387" ht="26.25" customHeight="1"/>
    <row r="37388" ht="26.25" customHeight="1"/>
    <row r="37389" ht="26.25" customHeight="1"/>
    <row r="37390" ht="26.25" customHeight="1"/>
    <row r="37391" ht="26.25" customHeight="1"/>
    <row r="37392" ht="26.25" customHeight="1"/>
    <row r="37393" ht="26.25" customHeight="1"/>
    <row r="37394" ht="26.25" customHeight="1"/>
    <row r="37395" ht="26.25" customHeight="1"/>
    <row r="37396" ht="26.25" customHeight="1"/>
    <row r="37397" ht="26.25" customHeight="1"/>
    <row r="37398" ht="26.25" customHeight="1"/>
    <row r="37399" ht="26.25" customHeight="1"/>
    <row r="37400" ht="26.25" customHeight="1"/>
    <row r="37401" ht="26.25" customHeight="1"/>
    <row r="37402" ht="26.25" customHeight="1"/>
    <row r="37403" ht="26.25" customHeight="1"/>
    <row r="37404" ht="26.25" customHeight="1"/>
    <row r="37405" ht="26.25" customHeight="1"/>
    <row r="37406" ht="26.25" customHeight="1"/>
    <row r="37407" ht="26.25" customHeight="1"/>
    <row r="37408" ht="26.25" customHeight="1"/>
    <row r="37409" ht="26.25" customHeight="1"/>
    <row r="37410" ht="26.25" customHeight="1"/>
    <row r="37411" ht="26.25" customHeight="1"/>
    <row r="37412" ht="26.25" customHeight="1"/>
    <row r="37413" ht="26.25" customHeight="1"/>
    <row r="37414" ht="26.25" customHeight="1"/>
    <row r="37415" ht="26.25" customHeight="1"/>
    <row r="37416" ht="26.25" customHeight="1"/>
    <row r="37417" ht="26.25" customHeight="1"/>
    <row r="37418" ht="26.25" customHeight="1"/>
    <row r="37419" ht="26.25" customHeight="1"/>
    <row r="37420" ht="26.25" customHeight="1"/>
    <row r="37421" ht="26.25" customHeight="1"/>
    <row r="37422" ht="26.25" customHeight="1"/>
    <row r="37423" ht="26.25" customHeight="1"/>
    <row r="37424" ht="26.25" customHeight="1"/>
    <row r="37425" ht="26.25" customHeight="1"/>
    <row r="37426" ht="26.25" customHeight="1"/>
    <row r="37427" ht="26.25" customHeight="1"/>
    <row r="37428" ht="26.25" customHeight="1"/>
    <row r="37429" ht="26.25" customHeight="1"/>
    <row r="37430" ht="26.25" customHeight="1"/>
    <row r="37431" ht="26.25" customHeight="1"/>
    <row r="37432" ht="26.25" customHeight="1"/>
    <row r="37433" ht="26.25" customHeight="1"/>
    <row r="37434" ht="26.25" customHeight="1"/>
    <row r="37435" ht="26.25" customHeight="1"/>
    <row r="37436" ht="26.25" customHeight="1"/>
    <row r="37437" ht="26.25" customHeight="1"/>
    <row r="37438" ht="26.25" customHeight="1"/>
    <row r="37439" ht="26.25" customHeight="1"/>
    <row r="37440" ht="26.25" customHeight="1"/>
    <row r="37441" ht="26.25" customHeight="1"/>
    <row r="37442" ht="26.25" customHeight="1"/>
    <row r="37443" ht="26.25" customHeight="1"/>
    <row r="37444" ht="26.25" customHeight="1"/>
    <row r="37445" ht="26.25" customHeight="1"/>
    <row r="37446" ht="26.25" customHeight="1"/>
    <row r="37447" ht="26.25" customHeight="1"/>
    <row r="37448" ht="26.25" customHeight="1"/>
    <row r="37449" ht="26.25" customHeight="1"/>
    <row r="37450" ht="26.25" customHeight="1"/>
    <row r="37451" ht="26.25" customHeight="1"/>
    <row r="37452" ht="26.25" customHeight="1"/>
    <row r="37453" ht="26.25" customHeight="1"/>
    <row r="37454" ht="26.25" customHeight="1"/>
    <row r="37455" ht="26.25" customHeight="1"/>
    <row r="37456" ht="26.25" customHeight="1"/>
    <row r="37457" ht="26.25" customHeight="1"/>
    <row r="37458" ht="26.25" customHeight="1"/>
    <row r="37459" ht="26.25" customHeight="1"/>
    <row r="37460" ht="26.25" customHeight="1"/>
    <row r="37461" ht="26.25" customHeight="1"/>
    <row r="37462" ht="26.25" customHeight="1"/>
    <row r="37463" ht="26.25" customHeight="1"/>
    <row r="37464" ht="26.25" customHeight="1"/>
    <row r="37465" ht="26.25" customHeight="1"/>
    <row r="37466" ht="26.25" customHeight="1"/>
    <row r="37467" ht="26.25" customHeight="1"/>
    <row r="37468" ht="26.25" customHeight="1"/>
    <row r="37469" ht="26.25" customHeight="1"/>
    <row r="37470" ht="26.25" customHeight="1"/>
    <row r="37471" ht="26.25" customHeight="1"/>
    <row r="37472" ht="26.25" customHeight="1"/>
    <row r="37473" ht="26.25" customHeight="1"/>
    <row r="37474" ht="26.25" customHeight="1"/>
    <row r="37475" ht="26.25" customHeight="1"/>
    <row r="37476" ht="26.25" customHeight="1"/>
    <row r="37477" ht="26.25" customHeight="1"/>
    <row r="37478" ht="26.25" customHeight="1"/>
    <row r="37479" ht="26.25" customHeight="1"/>
    <row r="37480" ht="26.25" customHeight="1"/>
    <row r="37481" ht="26.25" customHeight="1"/>
    <row r="37482" ht="26.25" customHeight="1"/>
    <row r="37483" ht="26.25" customHeight="1"/>
    <row r="37484" ht="26.25" customHeight="1"/>
    <row r="37485" ht="26.25" customHeight="1"/>
    <row r="37486" ht="26.25" customHeight="1"/>
    <row r="37487" ht="26.25" customHeight="1"/>
    <row r="37488" ht="26.25" customHeight="1"/>
    <row r="37489" ht="26.25" customHeight="1"/>
    <row r="37490" ht="26.25" customHeight="1"/>
    <row r="37491" ht="26.25" customHeight="1"/>
    <row r="37492" ht="26.25" customHeight="1"/>
    <row r="37493" ht="26.25" customHeight="1"/>
    <row r="37494" ht="26.25" customHeight="1"/>
    <row r="37495" ht="26.25" customHeight="1"/>
    <row r="37496" ht="26.25" customHeight="1"/>
    <row r="37497" ht="26.25" customHeight="1"/>
    <row r="37498" ht="26.25" customHeight="1"/>
    <row r="37499" ht="26.25" customHeight="1"/>
    <row r="37500" ht="26.25" customHeight="1"/>
    <row r="37501" ht="26.25" customHeight="1"/>
    <row r="37502" ht="26.25" customHeight="1"/>
    <row r="37503" ht="26.25" customHeight="1"/>
    <row r="37504" ht="26.25" customHeight="1"/>
    <row r="37505" ht="26.25" customHeight="1"/>
    <row r="37506" ht="26.25" customHeight="1"/>
    <row r="37507" ht="26.25" customHeight="1"/>
    <row r="37508" ht="26.25" customHeight="1"/>
    <row r="37509" ht="26.25" customHeight="1"/>
    <row r="37510" ht="26.25" customHeight="1"/>
    <row r="37511" ht="26.25" customHeight="1"/>
    <row r="37512" ht="26.25" customHeight="1"/>
    <row r="37513" ht="26.25" customHeight="1"/>
    <row r="37514" ht="26.25" customHeight="1"/>
    <row r="37515" ht="26.25" customHeight="1"/>
    <row r="37516" ht="26.25" customHeight="1"/>
    <row r="37517" ht="26.25" customHeight="1"/>
    <row r="37518" ht="26.25" customHeight="1"/>
    <row r="37519" ht="26.25" customHeight="1"/>
    <row r="37520" ht="26.25" customHeight="1"/>
    <row r="37521" ht="26.25" customHeight="1"/>
    <row r="37522" ht="26.25" customHeight="1"/>
    <row r="37523" ht="26.25" customHeight="1"/>
    <row r="37524" ht="26.25" customHeight="1"/>
    <row r="37525" ht="26.25" customHeight="1"/>
    <row r="37526" ht="26.25" customHeight="1"/>
    <row r="37527" ht="26.25" customHeight="1"/>
    <row r="37528" ht="26.25" customHeight="1"/>
    <row r="37529" ht="26.25" customHeight="1"/>
    <row r="37530" ht="26.25" customHeight="1"/>
    <row r="37531" ht="26.25" customHeight="1"/>
    <row r="37532" ht="26.25" customHeight="1"/>
    <row r="37533" ht="26.25" customHeight="1"/>
    <row r="37534" ht="26.25" customHeight="1"/>
    <row r="37535" ht="26.25" customHeight="1"/>
    <row r="37536" ht="26.25" customHeight="1"/>
    <row r="37537" ht="26.25" customHeight="1"/>
    <row r="37538" ht="26.25" customHeight="1"/>
    <row r="37539" ht="26.25" customHeight="1"/>
    <row r="37540" ht="26.25" customHeight="1"/>
    <row r="37541" ht="26.25" customHeight="1"/>
    <row r="37542" ht="26.25" customHeight="1"/>
    <row r="37543" ht="26.25" customHeight="1"/>
    <row r="37544" ht="26.25" customHeight="1"/>
    <row r="37545" ht="26.25" customHeight="1"/>
    <row r="37546" ht="26.25" customHeight="1"/>
    <row r="37547" ht="26.25" customHeight="1"/>
    <row r="37548" ht="26.25" customHeight="1"/>
    <row r="37549" ht="26.25" customHeight="1"/>
    <row r="37550" ht="26.25" customHeight="1"/>
    <row r="37551" ht="26.25" customHeight="1"/>
    <row r="37552" ht="26.25" customHeight="1"/>
    <row r="37553" ht="26.25" customHeight="1"/>
    <row r="37554" ht="26.25" customHeight="1"/>
    <row r="37555" ht="26.25" customHeight="1"/>
    <row r="37556" ht="26.25" customHeight="1"/>
    <row r="37557" ht="26.25" customHeight="1"/>
    <row r="37558" ht="26.25" customHeight="1"/>
    <row r="37559" ht="26.25" customHeight="1"/>
    <row r="37560" ht="26.25" customHeight="1"/>
    <row r="37561" ht="26.25" customHeight="1"/>
    <row r="37562" ht="26.25" customHeight="1"/>
    <row r="37563" ht="26.25" customHeight="1"/>
    <row r="37564" ht="26.25" customHeight="1"/>
    <row r="37565" ht="26.25" customHeight="1"/>
    <row r="37566" ht="26.25" customHeight="1"/>
    <row r="37567" ht="26.25" customHeight="1"/>
    <row r="37568" ht="26.25" customHeight="1"/>
    <row r="37569" ht="26.25" customHeight="1"/>
    <row r="37570" ht="26.25" customHeight="1"/>
    <row r="37571" ht="26.25" customHeight="1"/>
    <row r="37572" ht="26.25" customHeight="1"/>
    <row r="37573" ht="26.25" customHeight="1"/>
    <row r="37574" ht="26.25" customHeight="1"/>
    <row r="37575" ht="26.25" customHeight="1"/>
    <row r="37576" ht="26.25" customHeight="1"/>
    <row r="37577" ht="26.25" customHeight="1"/>
    <row r="37578" ht="26.25" customHeight="1"/>
    <row r="37579" ht="26.25" customHeight="1"/>
    <row r="37580" ht="26.25" customHeight="1"/>
    <row r="37581" ht="26.25" customHeight="1"/>
    <row r="37582" ht="26.25" customHeight="1"/>
    <row r="37583" ht="26.25" customHeight="1"/>
    <row r="37584" ht="26.25" customHeight="1"/>
    <row r="37585" ht="26.25" customHeight="1"/>
    <row r="37586" ht="26.25" customHeight="1"/>
    <row r="37587" ht="26.25" customHeight="1"/>
    <row r="37588" ht="26.25" customHeight="1"/>
    <row r="37589" ht="26.25" customHeight="1"/>
    <row r="37590" ht="26.25" customHeight="1"/>
    <row r="37591" ht="26.25" customHeight="1"/>
    <row r="37592" ht="26.25" customHeight="1"/>
    <row r="37593" ht="26.25" customHeight="1"/>
    <row r="37594" ht="26.25" customHeight="1"/>
    <row r="37595" ht="26.25" customHeight="1"/>
    <row r="37596" ht="26.25" customHeight="1"/>
    <row r="37597" ht="26.25" customHeight="1"/>
    <row r="37598" ht="26.25" customHeight="1"/>
    <row r="37599" ht="26.25" customHeight="1"/>
    <row r="37600" ht="26.25" customHeight="1"/>
    <row r="37601" ht="26.25" customHeight="1"/>
    <row r="37602" ht="26.25" customHeight="1"/>
    <row r="37603" ht="26.25" customHeight="1"/>
    <row r="37604" ht="26.25" customHeight="1"/>
    <row r="37605" ht="26.25" customHeight="1"/>
    <row r="37606" ht="26.25" customHeight="1"/>
    <row r="37607" ht="26.25" customHeight="1"/>
    <row r="37608" ht="26.25" customHeight="1"/>
    <row r="37609" ht="26.25" customHeight="1"/>
    <row r="37610" ht="26.25" customHeight="1"/>
    <row r="37611" ht="26.25" customHeight="1"/>
    <row r="37612" ht="26.25" customHeight="1"/>
    <row r="37613" ht="26.25" customHeight="1"/>
    <row r="37614" ht="26.25" customHeight="1"/>
    <row r="37615" ht="26.25" customHeight="1"/>
    <row r="37616" ht="26.25" customHeight="1"/>
    <row r="37617" ht="26.25" customHeight="1"/>
    <row r="37618" ht="26.25" customHeight="1"/>
    <row r="37619" ht="26.25" customHeight="1"/>
    <row r="37620" ht="26.25" customHeight="1"/>
    <row r="37621" ht="26.25" customHeight="1"/>
    <row r="37622" ht="26.25" customHeight="1"/>
    <row r="37623" ht="26.25" customHeight="1"/>
    <row r="37624" ht="26.25" customHeight="1"/>
    <row r="37625" ht="26.25" customHeight="1"/>
    <row r="37626" ht="26.25" customHeight="1"/>
    <row r="37627" ht="26.25" customHeight="1"/>
    <row r="37628" ht="26.25" customHeight="1"/>
    <row r="37629" ht="26.25" customHeight="1"/>
    <row r="37630" ht="26.25" customHeight="1"/>
    <row r="37631" ht="26.25" customHeight="1"/>
    <row r="37632" ht="26.25" customHeight="1"/>
    <row r="37633" ht="26.25" customHeight="1"/>
    <row r="37634" ht="26.25" customHeight="1"/>
    <row r="37635" ht="26.25" customHeight="1"/>
    <row r="37636" ht="26.25" customHeight="1"/>
    <row r="37637" ht="26.25" customHeight="1"/>
    <row r="37638" ht="26.25" customHeight="1"/>
    <row r="37639" ht="26.25" customHeight="1"/>
    <row r="37640" ht="26.25" customHeight="1"/>
    <row r="37641" ht="26.25" customHeight="1"/>
    <row r="37642" ht="26.25" customHeight="1"/>
    <row r="37643" ht="26.25" customHeight="1"/>
    <row r="37644" ht="26.25" customHeight="1"/>
    <row r="37645" ht="26.25" customHeight="1"/>
    <row r="37646" ht="26.25" customHeight="1"/>
    <row r="37647" ht="26.25" customHeight="1"/>
    <row r="37648" ht="26.25" customHeight="1"/>
    <row r="37649" ht="26.25" customHeight="1"/>
    <row r="37650" ht="26.25" customHeight="1"/>
    <row r="37651" ht="26.25" customHeight="1"/>
    <row r="37652" ht="26.25" customHeight="1"/>
    <row r="37653" ht="26.25" customHeight="1"/>
    <row r="37654" ht="26.25" customHeight="1"/>
    <row r="37655" ht="26.25" customHeight="1"/>
    <row r="37656" ht="26.25" customHeight="1"/>
    <row r="37657" ht="26.25" customHeight="1"/>
    <row r="37658" ht="26.25" customHeight="1"/>
    <row r="37659" ht="26.25" customHeight="1"/>
    <row r="37660" ht="26.25" customHeight="1"/>
    <row r="37661" ht="26.25" customHeight="1"/>
    <row r="37662" ht="26.25" customHeight="1"/>
    <row r="37663" ht="26.25" customHeight="1"/>
    <row r="37664" ht="26.25" customHeight="1"/>
    <row r="37665" ht="26.25" customHeight="1"/>
    <row r="37666" ht="26.25" customHeight="1"/>
    <row r="37667" ht="26.25" customHeight="1"/>
    <row r="37668" ht="26.25" customHeight="1"/>
    <row r="37669" ht="26.25" customHeight="1"/>
    <row r="37670" ht="26.25" customHeight="1"/>
    <row r="37671" ht="26.25" customHeight="1"/>
    <row r="37672" ht="26.25" customHeight="1"/>
    <row r="37673" ht="26.25" customHeight="1"/>
    <row r="37674" ht="26.25" customHeight="1"/>
    <row r="37675" ht="26.25" customHeight="1"/>
    <row r="37676" ht="26.25" customHeight="1"/>
    <row r="37677" ht="26.25" customHeight="1"/>
    <row r="37678" ht="26.25" customHeight="1"/>
    <row r="37679" ht="26.25" customHeight="1"/>
    <row r="37680" ht="26.25" customHeight="1"/>
    <row r="37681" ht="26.25" customHeight="1"/>
    <row r="37682" ht="26.25" customHeight="1"/>
    <row r="37683" ht="26.25" customHeight="1"/>
    <row r="37684" ht="26.25" customHeight="1"/>
    <row r="37685" ht="26.25" customHeight="1"/>
    <row r="37686" ht="26.25" customHeight="1"/>
    <row r="37687" ht="26.25" customHeight="1"/>
    <row r="37688" ht="26.25" customHeight="1"/>
    <row r="37689" ht="26.25" customHeight="1"/>
    <row r="37690" ht="26.25" customHeight="1"/>
    <row r="37691" ht="26.25" customHeight="1"/>
    <row r="37692" ht="26.25" customHeight="1"/>
    <row r="37693" ht="26.25" customHeight="1"/>
    <row r="37694" ht="26.25" customHeight="1"/>
    <row r="37695" ht="26.25" customHeight="1"/>
    <row r="37696" ht="26.25" customHeight="1"/>
    <row r="37697" ht="26.25" customHeight="1"/>
    <row r="37698" ht="26.25" customHeight="1"/>
    <row r="37699" ht="26.25" customHeight="1"/>
    <row r="37700" ht="26.25" customHeight="1"/>
    <row r="37701" ht="26.25" customHeight="1"/>
    <row r="37702" ht="26.25" customHeight="1"/>
    <row r="37703" ht="26.25" customHeight="1"/>
    <row r="37704" ht="26.25" customHeight="1"/>
    <row r="37705" ht="26.25" customHeight="1"/>
    <row r="37706" ht="26.25" customHeight="1"/>
    <row r="37707" ht="26.25" customHeight="1"/>
    <row r="37708" ht="26.25" customHeight="1"/>
    <row r="37709" ht="26.25" customHeight="1"/>
    <row r="37710" ht="26.25" customHeight="1"/>
    <row r="37711" ht="26.25" customHeight="1"/>
    <row r="37712" ht="26.25" customHeight="1"/>
    <row r="37713" ht="26.25" customHeight="1"/>
    <row r="37714" ht="26.25" customHeight="1"/>
    <row r="37715" ht="26.25" customHeight="1"/>
    <row r="37716" ht="26.25" customHeight="1"/>
    <row r="37717" ht="26.25" customHeight="1"/>
    <row r="37718" ht="26.25" customHeight="1"/>
    <row r="37719" ht="26.25" customHeight="1"/>
    <row r="37720" ht="26.25" customHeight="1"/>
    <row r="37721" ht="26.25" customHeight="1"/>
    <row r="37722" ht="26.25" customHeight="1"/>
    <row r="37723" ht="26.25" customHeight="1"/>
    <row r="37724" ht="26.25" customHeight="1"/>
    <row r="37725" ht="26.25" customHeight="1"/>
    <row r="37726" ht="26.25" customHeight="1"/>
    <row r="37727" ht="26.25" customHeight="1"/>
    <row r="37728" ht="26.25" customHeight="1"/>
    <row r="37729" ht="26.25" customHeight="1"/>
    <row r="37730" ht="26.25" customHeight="1"/>
    <row r="37731" ht="26.25" customHeight="1"/>
    <row r="37732" ht="26.25" customHeight="1"/>
    <row r="37733" ht="26.25" customHeight="1"/>
    <row r="37734" ht="26.25" customHeight="1"/>
    <row r="37735" ht="26.25" customHeight="1"/>
    <row r="37736" ht="26.25" customHeight="1"/>
    <row r="37737" ht="26.25" customHeight="1"/>
    <row r="37738" ht="26.25" customHeight="1"/>
    <row r="37739" ht="26.25" customHeight="1"/>
    <row r="37740" ht="26.25" customHeight="1"/>
    <row r="37741" ht="26.25" customHeight="1"/>
    <row r="37742" ht="26.25" customHeight="1"/>
    <row r="37743" ht="26.25" customHeight="1"/>
    <row r="37744" ht="26.25" customHeight="1"/>
    <row r="37745" ht="26.25" customHeight="1"/>
    <row r="37746" ht="26.25" customHeight="1"/>
    <row r="37747" ht="26.25" customHeight="1"/>
    <row r="37748" ht="26.25" customHeight="1"/>
    <row r="37749" ht="26.25" customHeight="1"/>
    <row r="37750" ht="26.25" customHeight="1"/>
    <row r="37751" ht="26.25" customHeight="1"/>
    <row r="37752" ht="26.25" customHeight="1"/>
    <row r="37753" ht="26.25" customHeight="1"/>
    <row r="37754" ht="26.25" customHeight="1"/>
    <row r="37755" ht="26.25" customHeight="1"/>
    <row r="37756" ht="26.25" customHeight="1"/>
    <row r="37757" ht="26.25" customHeight="1"/>
    <row r="37758" ht="26.25" customHeight="1"/>
    <row r="37759" ht="26.25" customHeight="1"/>
    <row r="37760" ht="26.25" customHeight="1"/>
    <row r="37761" ht="26.25" customHeight="1"/>
    <row r="37762" ht="26.25" customHeight="1"/>
    <row r="37763" ht="26.25" customHeight="1"/>
    <row r="37764" ht="26.25" customHeight="1"/>
    <row r="37765" ht="26.25" customHeight="1"/>
    <row r="37766" ht="26.25" customHeight="1"/>
    <row r="37767" ht="26.25" customHeight="1"/>
    <row r="37768" ht="26.25" customHeight="1"/>
    <row r="37769" ht="26.25" customHeight="1"/>
    <row r="37770" ht="26.25" customHeight="1"/>
    <row r="37771" ht="26.25" customHeight="1"/>
    <row r="37772" ht="26.25" customHeight="1"/>
    <row r="37773" ht="26.25" customHeight="1"/>
    <row r="37774" ht="26.25" customHeight="1"/>
    <row r="37775" ht="26.25" customHeight="1"/>
    <row r="37776" ht="26.25" customHeight="1"/>
    <row r="37777" ht="26.25" customHeight="1"/>
    <row r="37778" ht="26.25" customHeight="1"/>
    <row r="37779" ht="26.25" customHeight="1"/>
    <row r="37780" ht="26.25" customHeight="1"/>
    <row r="37781" ht="26.25" customHeight="1"/>
    <row r="37782" ht="26.25" customHeight="1"/>
    <row r="37783" ht="26.25" customHeight="1"/>
    <row r="37784" ht="26.25" customHeight="1"/>
    <row r="37785" ht="26.25" customHeight="1"/>
    <row r="37786" ht="26.25" customHeight="1"/>
    <row r="37787" ht="26.25" customHeight="1"/>
    <row r="37788" ht="26.25" customHeight="1"/>
    <row r="37789" ht="26.25" customHeight="1"/>
    <row r="37790" ht="26.25" customHeight="1"/>
    <row r="37791" ht="26.25" customHeight="1"/>
    <row r="37792" ht="26.25" customHeight="1"/>
    <row r="37793" ht="26.25" customHeight="1"/>
    <row r="37794" ht="26.25" customHeight="1"/>
    <row r="37795" ht="26.25" customHeight="1"/>
    <row r="37796" ht="26.25" customHeight="1"/>
    <row r="37797" ht="26.25" customHeight="1"/>
    <row r="37798" ht="26.25" customHeight="1"/>
    <row r="37799" ht="26.25" customHeight="1"/>
    <row r="37800" ht="26.25" customHeight="1"/>
    <row r="37801" ht="26.25" customHeight="1"/>
    <row r="37802" ht="26.25" customHeight="1"/>
    <row r="37803" ht="26.25" customHeight="1"/>
    <row r="37804" ht="26.25" customHeight="1"/>
    <row r="37805" ht="26.25" customHeight="1"/>
    <row r="37806" ht="26.25" customHeight="1"/>
    <row r="37807" ht="26.25" customHeight="1"/>
    <row r="37808" ht="26.25" customHeight="1"/>
    <row r="37809" ht="26.25" customHeight="1"/>
    <row r="37810" ht="26.25" customHeight="1"/>
    <row r="37811" ht="26.25" customHeight="1"/>
    <row r="37812" ht="26.25" customHeight="1"/>
    <row r="37813" ht="26.25" customHeight="1"/>
    <row r="37814" ht="26.25" customHeight="1"/>
    <row r="37815" ht="26.25" customHeight="1"/>
    <row r="37816" ht="26.25" customHeight="1"/>
    <row r="37817" ht="26.25" customHeight="1"/>
    <row r="37818" ht="26.25" customHeight="1"/>
    <row r="37819" ht="26.25" customHeight="1"/>
    <row r="37820" ht="26.25" customHeight="1"/>
    <row r="37821" ht="26.25" customHeight="1"/>
    <row r="37822" ht="26.25" customHeight="1"/>
    <row r="37823" ht="26.25" customHeight="1"/>
    <row r="37824" ht="26.25" customHeight="1"/>
    <row r="37825" ht="26.25" customHeight="1"/>
    <row r="37826" ht="26.25" customHeight="1"/>
    <row r="37827" ht="26.25" customHeight="1"/>
    <row r="37828" ht="26.25" customHeight="1"/>
    <row r="37829" ht="26.25" customHeight="1"/>
    <row r="37830" ht="26.25" customHeight="1"/>
    <row r="37831" ht="26.25" customHeight="1"/>
    <row r="37832" ht="26.25" customHeight="1"/>
    <row r="37833" ht="26.25" customHeight="1"/>
    <row r="37834" ht="26.25" customHeight="1"/>
    <row r="37835" ht="26.25" customHeight="1"/>
    <row r="37836" ht="26.25" customHeight="1"/>
    <row r="37837" ht="26.25" customHeight="1"/>
    <row r="37838" ht="26.25" customHeight="1"/>
    <row r="37839" ht="26.25" customHeight="1"/>
    <row r="37840" ht="26.25" customHeight="1"/>
    <row r="37841" ht="26.25" customHeight="1"/>
    <row r="37842" ht="26.25" customHeight="1"/>
    <row r="37843" ht="26.25" customHeight="1"/>
    <row r="37844" ht="26.25" customHeight="1"/>
    <row r="37845" ht="26.25" customHeight="1"/>
    <row r="37846" ht="26.25" customHeight="1"/>
    <row r="37847" ht="26.25" customHeight="1"/>
    <row r="37848" ht="26.25" customHeight="1"/>
    <row r="37849" ht="26.25" customHeight="1"/>
    <row r="37850" ht="26.25" customHeight="1"/>
    <row r="37851" ht="26.25" customHeight="1"/>
    <row r="37852" ht="26.25" customHeight="1"/>
    <row r="37853" ht="26.25" customHeight="1"/>
    <row r="37854" ht="26.25" customHeight="1"/>
    <row r="37855" ht="26.25" customHeight="1"/>
    <row r="37856" ht="26.25" customHeight="1"/>
    <row r="37857" ht="26.25" customHeight="1"/>
    <row r="37858" ht="26.25" customHeight="1"/>
    <row r="37859" ht="26.25" customHeight="1"/>
    <row r="37860" ht="26.25" customHeight="1"/>
    <row r="37861" ht="26.25" customHeight="1"/>
    <row r="37862" ht="26.25" customHeight="1"/>
    <row r="37863" ht="26.25" customHeight="1"/>
    <row r="37864" ht="26.25" customHeight="1"/>
    <row r="37865" ht="26.25" customHeight="1"/>
    <row r="37866" ht="26.25" customHeight="1"/>
    <row r="37867" ht="26.25" customHeight="1"/>
    <row r="37868" ht="26.25" customHeight="1"/>
    <row r="37869" ht="26.25" customHeight="1"/>
    <row r="37870" ht="26.25" customHeight="1"/>
    <row r="37871" ht="26.25" customHeight="1"/>
    <row r="37872" ht="26.25" customHeight="1"/>
    <row r="37873" ht="26.25" customHeight="1"/>
    <row r="37874" ht="26.25" customHeight="1"/>
    <row r="37875" ht="26.25" customHeight="1"/>
    <row r="37876" ht="26.25" customHeight="1"/>
    <row r="37877" ht="26.25" customHeight="1"/>
    <row r="37878" ht="26.25" customHeight="1"/>
    <row r="37879" ht="26.25" customHeight="1"/>
    <row r="37880" ht="26.25" customHeight="1"/>
    <row r="37881" ht="26.25" customHeight="1"/>
    <row r="37882" ht="26.25" customHeight="1"/>
    <row r="37883" ht="26.25" customHeight="1"/>
    <row r="37884" ht="26.25" customHeight="1"/>
    <row r="37885" ht="26.25" customHeight="1"/>
    <row r="37886" ht="26.25" customHeight="1"/>
    <row r="37887" ht="26.25" customHeight="1"/>
    <row r="37888" ht="26.25" customHeight="1"/>
    <row r="37889" ht="26.25" customHeight="1"/>
    <row r="37890" ht="26.25" customHeight="1"/>
    <row r="37891" ht="26.25" customHeight="1"/>
    <row r="37892" ht="26.25" customHeight="1"/>
    <row r="37893" ht="26.25" customHeight="1"/>
    <row r="37894" ht="26.25" customHeight="1"/>
    <row r="37895" ht="26.25" customHeight="1"/>
    <row r="37896" ht="26.25" customHeight="1"/>
    <row r="37897" ht="26.25" customHeight="1"/>
    <row r="37898" ht="26.25" customHeight="1"/>
    <row r="37899" ht="26.25" customHeight="1"/>
    <row r="37900" ht="26.25" customHeight="1"/>
    <row r="37901" ht="26.25" customHeight="1"/>
    <row r="37902" ht="26.25" customHeight="1"/>
    <row r="37903" ht="26.25" customHeight="1"/>
    <row r="37904" ht="26.25" customHeight="1"/>
    <row r="37905" ht="26.25" customHeight="1"/>
    <row r="37906" ht="26.25" customHeight="1"/>
    <row r="37907" ht="26.25" customHeight="1"/>
    <row r="37908" ht="26.25" customHeight="1"/>
    <row r="37909" ht="26.25" customHeight="1"/>
    <row r="37910" ht="26.25" customHeight="1"/>
    <row r="37911" ht="26.25" customHeight="1"/>
    <row r="37912" ht="26.25" customHeight="1"/>
    <row r="37913" ht="26.25" customHeight="1"/>
    <row r="37914" ht="26.25" customHeight="1"/>
    <row r="37915" ht="26.25" customHeight="1"/>
    <row r="37916" ht="26.25" customHeight="1"/>
    <row r="37917" ht="26.25" customHeight="1"/>
    <row r="37918" ht="26.25" customHeight="1"/>
    <row r="37919" ht="26.25" customHeight="1"/>
    <row r="37920" ht="26.25" customHeight="1"/>
    <row r="37921" ht="26.25" customHeight="1"/>
    <row r="37922" ht="26.25" customHeight="1"/>
    <row r="37923" ht="26.25" customHeight="1"/>
    <row r="37924" ht="26.25" customHeight="1"/>
    <row r="37925" ht="26.25" customHeight="1"/>
    <row r="37926" ht="26.25" customHeight="1"/>
    <row r="37927" ht="26.25" customHeight="1"/>
    <row r="37928" ht="26.25" customHeight="1"/>
    <row r="37929" ht="26.25" customHeight="1"/>
    <row r="37930" ht="26.25" customHeight="1"/>
    <row r="37931" ht="26.25" customHeight="1"/>
    <row r="37932" ht="26.25" customHeight="1"/>
    <row r="37933" ht="26.25" customHeight="1"/>
    <row r="37934" ht="26.25" customHeight="1"/>
    <row r="37935" ht="26.25" customHeight="1"/>
    <row r="37936" ht="26.25" customHeight="1"/>
    <row r="37937" ht="26.25" customHeight="1"/>
    <row r="37938" ht="26.25" customHeight="1"/>
    <row r="37939" ht="26.25" customHeight="1"/>
    <row r="37940" ht="26.25" customHeight="1"/>
    <row r="37941" ht="26.25" customHeight="1"/>
    <row r="37942" ht="26.25" customHeight="1"/>
    <row r="37943" ht="26.25" customHeight="1"/>
    <row r="37944" ht="26.25" customHeight="1"/>
    <row r="37945" ht="26.25" customHeight="1"/>
    <row r="37946" ht="26.25" customHeight="1"/>
    <row r="37947" ht="26.25" customHeight="1"/>
    <row r="37948" ht="26.25" customHeight="1"/>
    <row r="37949" ht="26.25" customHeight="1"/>
    <row r="37950" ht="26.25" customHeight="1"/>
    <row r="37951" ht="26.25" customHeight="1"/>
    <row r="37952" ht="26.25" customHeight="1"/>
    <row r="37953" ht="26.25" customHeight="1"/>
    <row r="37954" ht="26.25" customHeight="1"/>
    <row r="37955" ht="26.25" customHeight="1"/>
    <row r="37956" ht="26.25" customHeight="1"/>
    <row r="37957" ht="26.25" customHeight="1"/>
    <row r="37958" ht="26.25" customHeight="1"/>
    <row r="37959" ht="26.25" customHeight="1"/>
    <row r="37960" ht="26.25" customHeight="1"/>
    <row r="37961" ht="26.25" customHeight="1"/>
    <row r="37962" ht="26.25" customHeight="1"/>
    <row r="37963" ht="26.25" customHeight="1"/>
    <row r="37964" ht="26.25" customHeight="1"/>
    <row r="37965" ht="26.25" customHeight="1"/>
    <row r="37966" ht="26.25" customHeight="1"/>
    <row r="37967" ht="26.25" customHeight="1"/>
    <row r="37968" ht="26.25" customHeight="1"/>
    <row r="37969" ht="26.25" customHeight="1"/>
    <row r="37970" ht="26.25" customHeight="1"/>
    <row r="37971" ht="26.25" customHeight="1"/>
    <row r="37972" ht="26.25" customHeight="1"/>
    <row r="37973" ht="26.25" customHeight="1"/>
    <row r="37974" ht="26.25" customHeight="1"/>
    <row r="37975" ht="26.25" customHeight="1"/>
    <row r="37976" ht="26.25" customHeight="1"/>
    <row r="37977" ht="26.25" customHeight="1"/>
    <row r="37978" ht="26.25" customHeight="1"/>
    <row r="37979" ht="26.25" customHeight="1"/>
    <row r="37980" ht="26.25" customHeight="1"/>
    <row r="37981" ht="26.25" customHeight="1"/>
    <row r="37982" ht="26.25" customHeight="1"/>
    <row r="37983" ht="26.25" customHeight="1"/>
    <row r="37984" ht="26.25" customHeight="1"/>
    <row r="37985" ht="26.25" customHeight="1"/>
    <row r="37986" ht="26.25" customHeight="1"/>
    <row r="37987" ht="26.25" customHeight="1"/>
    <row r="37988" ht="26.25" customHeight="1"/>
    <row r="37989" ht="26.25" customHeight="1"/>
    <row r="37990" ht="26.25" customHeight="1"/>
    <row r="37991" ht="26.25" customHeight="1"/>
    <row r="37992" ht="26.25" customHeight="1"/>
    <row r="37993" ht="26.25" customHeight="1"/>
    <row r="37994" ht="26.25" customHeight="1"/>
    <row r="37995" ht="26.25" customHeight="1"/>
    <row r="37996" ht="26.25" customHeight="1"/>
    <row r="37997" ht="26.25" customHeight="1"/>
    <row r="37998" ht="26.25" customHeight="1"/>
    <row r="37999" ht="26.25" customHeight="1"/>
    <row r="38000" ht="26.25" customHeight="1"/>
    <row r="38001" ht="26.25" customHeight="1"/>
    <row r="38002" ht="26.25" customHeight="1"/>
    <row r="38003" ht="26.25" customHeight="1"/>
    <row r="38004" ht="26.25" customHeight="1"/>
    <row r="38005" ht="26.25" customHeight="1"/>
    <row r="38006" ht="26.25" customHeight="1"/>
    <row r="38007" ht="26.25" customHeight="1"/>
    <row r="38008" ht="26.25" customHeight="1"/>
    <row r="38009" ht="26.25" customHeight="1"/>
    <row r="38010" ht="26.25" customHeight="1"/>
    <row r="38011" ht="26.25" customHeight="1"/>
    <row r="38012" ht="26.25" customHeight="1"/>
    <row r="38013" ht="26.25" customHeight="1"/>
    <row r="38014" ht="26.25" customHeight="1"/>
    <row r="38015" ht="26.25" customHeight="1"/>
    <row r="38016" ht="26.25" customHeight="1"/>
    <row r="38017" ht="26.25" customHeight="1"/>
    <row r="38018" ht="26.25" customHeight="1"/>
    <row r="38019" ht="26.25" customHeight="1"/>
    <row r="38020" ht="26.25" customHeight="1"/>
    <row r="38021" ht="26.25" customHeight="1"/>
    <row r="38022" ht="26.25" customHeight="1"/>
    <row r="38023" ht="26.25" customHeight="1"/>
    <row r="38024" ht="26.25" customHeight="1"/>
    <row r="38025" ht="26.25" customHeight="1"/>
    <row r="38026" ht="26.25" customHeight="1"/>
    <row r="38027" ht="26.25" customHeight="1"/>
    <row r="38028" ht="26.25" customHeight="1"/>
    <row r="38029" ht="26.25" customHeight="1"/>
    <row r="38030" ht="26.25" customHeight="1"/>
    <row r="38031" ht="26.25" customHeight="1"/>
    <row r="38032" ht="26.25" customHeight="1"/>
    <row r="38033" ht="26.25" customHeight="1"/>
    <row r="38034" ht="26.25" customHeight="1"/>
    <row r="38035" ht="26.25" customHeight="1"/>
    <row r="38036" ht="26.25" customHeight="1"/>
    <row r="38037" ht="26.25" customHeight="1"/>
    <row r="38038" ht="26.25" customHeight="1"/>
    <row r="38039" ht="26.25" customHeight="1"/>
    <row r="38040" ht="26.25" customHeight="1"/>
    <row r="38041" ht="26.25" customHeight="1"/>
    <row r="38042" ht="26.25" customHeight="1"/>
    <row r="38043" ht="26.25" customHeight="1"/>
    <row r="38044" ht="26.25" customHeight="1"/>
    <row r="38045" ht="26.25" customHeight="1"/>
    <row r="38046" ht="26.25" customHeight="1"/>
    <row r="38047" ht="26.25" customHeight="1"/>
    <row r="38048" ht="26.25" customHeight="1"/>
    <row r="38049" ht="26.25" customHeight="1"/>
    <row r="38050" ht="26.25" customHeight="1"/>
    <row r="38051" ht="26.25" customHeight="1"/>
    <row r="38052" ht="26.25" customHeight="1"/>
    <row r="38053" ht="26.25" customHeight="1"/>
    <row r="38054" ht="26.25" customHeight="1"/>
    <row r="38055" ht="26.25" customHeight="1"/>
    <row r="38056" ht="26.25" customHeight="1"/>
    <row r="38057" ht="26.25" customHeight="1"/>
    <row r="38058" ht="26.25" customHeight="1"/>
    <row r="38059" ht="26.25" customHeight="1"/>
    <row r="38060" ht="26.25" customHeight="1"/>
    <row r="38061" ht="26.25" customHeight="1"/>
    <row r="38062" ht="26.25" customHeight="1"/>
    <row r="38063" ht="26.25" customHeight="1"/>
    <row r="38064" ht="26.25" customHeight="1"/>
    <row r="38065" ht="26.25" customHeight="1"/>
    <row r="38066" ht="26.25" customHeight="1"/>
    <row r="38067" ht="26.25" customHeight="1"/>
    <row r="38068" ht="26.25" customHeight="1"/>
    <row r="38069" ht="26.25" customHeight="1"/>
    <row r="38070" ht="26.25" customHeight="1"/>
    <row r="38071" ht="26.25" customHeight="1"/>
    <row r="38072" ht="26.25" customHeight="1"/>
    <row r="38073" ht="26.25" customHeight="1"/>
    <row r="38074" ht="26.25" customHeight="1"/>
    <row r="38075" ht="26.25" customHeight="1"/>
    <row r="38076" ht="26.25" customHeight="1"/>
    <row r="38077" ht="26.25" customHeight="1"/>
    <row r="38078" ht="26.25" customHeight="1"/>
    <row r="38079" ht="26.25" customHeight="1"/>
    <row r="38080" ht="26.25" customHeight="1"/>
    <row r="38081" ht="26.25" customHeight="1"/>
    <row r="38082" ht="26.25" customHeight="1"/>
    <row r="38083" ht="26.25" customHeight="1"/>
    <row r="38084" ht="26.25" customHeight="1"/>
    <row r="38085" ht="26.25" customHeight="1"/>
    <row r="38086" ht="26.25" customHeight="1"/>
    <row r="38087" ht="26.25" customHeight="1"/>
    <row r="38088" ht="26.25" customHeight="1"/>
    <row r="38089" ht="26.25" customHeight="1"/>
    <row r="38090" ht="26.25" customHeight="1"/>
    <row r="38091" ht="26.25" customHeight="1"/>
    <row r="38092" ht="26.25" customHeight="1"/>
    <row r="38093" ht="26.25" customHeight="1"/>
    <row r="38094" ht="26.25" customHeight="1"/>
    <row r="38095" ht="26.25" customHeight="1"/>
    <row r="38096" ht="26.25" customHeight="1"/>
    <row r="38097" ht="26.25" customHeight="1"/>
    <row r="38098" ht="26.25" customHeight="1"/>
    <row r="38099" ht="26.25" customHeight="1"/>
    <row r="38100" ht="26.25" customHeight="1"/>
    <row r="38101" ht="26.25" customHeight="1"/>
    <row r="38102" ht="26.25" customHeight="1"/>
    <row r="38103" ht="26.25" customHeight="1"/>
    <row r="38104" ht="26.25" customHeight="1"/>
    <row r="38105" ht="26.25" customHeight="1"/>
    <row r="38106" ht="26.25" customHeight="1"/>
    <row r="38107" ht="26.25" customHeight="1"/>
    <row r="38108" ht="26.25" customHeight="1"/>
    <row r="38109" ht="26.25" customHeight="1"/>
    <row r="38110" ht="26.25" customHeight="1"/>
    <row r="38111" ht="26.25" customHeight="1"/>
    <row r="38112" ht="26.25" customHeight="1"/>
    <row r="38113" ht="26.25" customHeight="1"/>
    <row r="38114" ht="26.25" customHeight="1"/>
    <row r="38115" ht="26.25" customHeight="1"/>
    <row r="38116" ht="26.25" customHeight="1"/>
    <row r="38117" ht="26.25" customHeight="1"/>
    <row r="38118" ht="26.25" customHeight="1"/>
    <row r="38119" ht="26.25" customHeight="1"/>
    <row r="38120" ht="26.25" customHeight="1"/>
    <row r="38121" ht="26.25" customHeight="1"/>
    <row r="38122" ht="26.25" customHeight="1"/>
    <row r="38123" ht="26.25" customHeight="1"/>
    <row r="38124" ht="26.25" customHeight="1"/>
    <row r="38125" ht="26.25" customHeight="1"/>
    <row r="38126" ht="26.25" customHeight="1"/>
    <row r="38127" ht="26.25" customHeight="1"/>
    <row r="38128" ht="26.25" customHeight="1"/>
    <row r="38129" ht="26.25" customHeight="1"/>
    <row r="38130" ht="26.25" customHeight="1"/>
    <row r="38131" ht="26.25" customHeight="1"/>
    <row r="38132" ht="26.25" customHeight="1"/>
    <row r="38133" ht="26.25" customHeight="1"/>
    <row r="38134" ht="26.25" customHeight="1"/>
    <row r="38135" ht="26.25" customHeight="1"/>
    <row r="38136" ht="26.25" customHeight="1"/>
    <row r="38137" ht="26.25" customHeight="1"/>
    <row r="38138" ht="26.25" customHeight="1"/>
    <row r="38139" ht="26.25" customHeight="1"/>
    <row r="38140" ht="26.25" customHeight="1"/>
    <row r="38141" ht="26.25" customHeight="1"/>
    <row r="38142" ht="26.25" customHeight="1"/>
    <row r="38143" ht="26.25" customHeight="1"/>
    <row r="38144" ht="26.25" customHeight="1"/>
    <row r="38145" ht="26.25" customHeight="1"/>
    <row r="38146" ht="26.25" customHeight="1"/>
    <row r="38147" ht="26.25" customHeight="1"/>
    <row r="38148" ht="26.25" customHeight="1"/>
    <row r="38149" ht="26.25" customHeight="1"/>
    <row r="38150" ht="26.25" customHeight="1"/>
    <row r="38151" ht="26.25" customHeight="1"/>
    <row r="38152" ht="26.25" customHeight="1"/>
    <row r="38153" ht="26.25" customHeight="1"/>
    <row r="38154" ht="26.25" customHeight="1"/>
    <row r="38155" ht="26.25" customHeight="1"/>
    <row r="38156" ht="26.25" customHeight="1"/>
    <row r="38157" ht="26.25" customHeight="1"/>
    <row r="38158" ht="26.25" customHeight="1"/>
    <row r="38159" ht="26.25" customHeight="1"/>
    <row r="38160" ht="26.25" customHeight="1"/>
    <row r="38161" ht="26.25" customHeight="1"/>
    <row r="38162" ht="26.25" customHeight="1"/>
    <row r="38163" ht="26.25" customHeight="1"/>
    <row r="38164" ht="26.25" customHeight="1"/>
    <row r="38165" ht="26.25" customHeight="1"/>
    <row r="38166" ht="26.25" customHeight="1"/>
    <row r="38167" ht="26.25" customHeight="1"/>
    <row r="38168" ht="26.25" customHeight="1"/>
    <row r="38169" ht="26.25" customHeight="1"/>
    <row r="38170" ht="26.25" customHeight="1"/>
    <row r="38171" ht="26.25" customHeight="1"/>
    <row r="38172" ht="26.25" customHeight="1"/>
    <row r="38173" ht="26.25" customHeight="1"/>
    <row r="38174" ht="26.25" customHeight="1"/>
    <row r="38175" ht="26.25" customHeight="1"/>
    <row r="38176" ht="26.25" customHeight="1"/>
    <row r="38177" ht="26.25" customHeight="1"/>
    <row r="38178" ht="26.25" customHeight="1"/>
    <row r="38179" ht="26.25" customHeight="1"/>
    <row r="38180" ht="26.25" customHeight="1"/>
    <row r="38181" ht="26.25" customHeight="1"/>
    <row r="38182" ht="26.25" customHeight="1"/>
    <row r="38183" ht="26.25" customHeight="1"/>
    <row r="38184" ht="26.25" customHeight="1"/>
    <row r="38185" ht="26.25" customHeight="1"/>
    <row r="38186" ht="26.25" customHeight="1"/>
    <row r="38187" ht="26.25" customHeight="1"/>
    <row r="38188" ht="26.25" customHeight="1"/>
    <row r="38189" ht="26.25" customHeight="1"/>
    <row r="38190" ht="26.25" customHeight="1"/>
    <row r="38191" ht="26.25" customHeight="1"/>
    <row r="38192" ht="26.25" customHeight="1"/>
    <row r="38193" ht="26.25" customHeight="1"/>
    <row r="38194" ht="26.25" customHeight="1"/>
    <row r="38195" ht="26.25" customHeight="1"/>
    <row r="38196" ht="26.25" customHeight="1"/>
    <row r="38197" ht="26.25" customHeight="1"/>
    <row r="38198" ht="26.25" customHeight="1"/>
    <row r="38199" ht="26.25" customHeight="1"/>
    <row r="38200" ht="26.25" customHeight="1"/>
    <row r="38201" ht="26.25" customHeight="1"/>
    <row r="38202" ht="26.25" customHeight="1"/>
    <row r="38203" ht="26.25" customHeight="1"/>
    <row r="38204" ht="26.25" customHeight="1"/>
    <row r="38205" ht="26.25" customHeight="1"/>
    <row r="38206" ht="26.25" customHeight="1"/>
    <row r="38207" ht="26.25" customHeight="1"/>
    <row r="38208" ht="26.25" customHeight="1"/>
    <row r="38209" ht="26.25" customHeight="1"/>
    <row r="38210" ht="26.25" customHeight="1"/>
    <row r="38211" ht="26.25" customHeight="1"/>
    <row r="38212" ht="26.25" customHeight="1"/>
    <row r="38213" ht="26.25" customHeight="1"/>
    <row r="38214" ht="26.25" customHeight="1"/>
    <row r="38215" ht="26.25" customHeight="1"/>
    <row r="38216" ht="26.25" customHeight="1"/>
    <row r="38217" ht="26.25" customHeight="1"/>
    <row r="38218" ht="26.25" customHeight="1"/>
    <row r="38219" ht="26.25" customHeight="1"/>
    <row r="38220" ht="26.25" customHeight="1"/>
    <row r="38221" ht="26.25" customHeight="1"/>
    <row r="38222" ht="26.25" customHeight="1"/>
    <row r="38223" ht="26.25" customHeight="1"/>
    <row r="38224" ht="26.25" customHeight="1"/>
    <row r="38225" ht="26.25" customHeight="1"/>
    <row r="38226" ht="26.25" customHeight="1"/>
    <row r="38227" ht="26.25" customHeight="1"/>
    <row r="38228" ht="26.25" customHeight="1"/>
    <row r="38229" ht="26.25" customHeight="1"/>
    <row r="38230" ht="26.25" customHeight="1"/>
    <row r="38231" ht="26.25" customHeight="1"/>
    <row r="38232" ht="26.25" customHeight="1"/>
    <row r="38233" ht="26.25" customHeight="1"/>
    <row r="38234" ht="26.25" customHeight="1"/>
    <row r="38235" ht="26.25" customHeight="1"/>
    <row r="38236" ht="26.25" customHeight="1"/>
    <row r="38237" ht="26.25" customHeight="1"/>
    <row r="38238" ht="26.25" customHeight="1"/>
    <row r="38239" ht="26.25" customHeight="1"/>
    <row r="38240" ht="26.25" customHeight="1"/>
    <row r="38241" ht="26.25" customHeight="1"/>
    <row r="38242" ht="26.25" customHeight="1"/>
    <row r="38243" ht="26.25" customHeight="1"/>
    <row r="38244" ht="26.25" customHeight="1"/>
    <row r="38245" ht="26.25" customHeight="1"/>
    <row r="38246" ht="26.25" customHeight="1"/>
    <row r="38247" ht="26.25" customHeight="1"/>
    <row r="38248" ht="26.25" customHeight="1"/>
    <row r="38249" ht="26.25" customHeight="1"/>
    <row r="38250" ht="26.25" customHeight="1"/>
    <row r="38251" ht="26.25" customHeight="1"/>
    <row r="38252" ht="26.25" customHeight="1"/>
    <row r="38253" ht="26.25" customHeight="1"/>
    <row r="38254" ht="26.25" customHeight="1"/>
    <row r="38255" ht="26.25" customHeight="1"/>
    <row r="38256" ht="26.25" customHeight="1"/>
    <row r="38257" ht="26.25" customHeight="1"/>
    <row r="38258" ht="26.25" customHeight="1"/>
    <row r="38259" ht="26.25" customHeight="1"/>
    <row r="38260" ht="26.25" customHeight="1"/>
    <row r="38261" ht="26.25" customHeight="1"/>
    <row r="38262" ht="26.25" customHeight="1"/>
    <row r="38263" ht="26.25" customHeight="1"/>
    <row r="38264" ht="26.25" customHeight="1"/>
    <row r="38265" ht="26.25" customHeight="1"/>
    <row r="38266" ht="26.25" customHeight="1"/>
    <row r="38267" ht="26.25" customHeight="1"/>
    <row r="38268" ht="26.25" customHeight="1"/>
    <row r="38269" ht="26.25" customHeight="1"/>
    <row r="38270" ht="26.25" customHeight="1"/>
    <row r="38271" ht="26.25" customHeight="1"/>
    <row r="38272" ht="26.25" customHeight="1"/>
    <row r="38273" ht="26.25" customHeight="1"/>
    <row r="38274" ht="26.25" customHeight="1"/>
    <row r="38275" ht="26.25" customHeight="1"/>
    <row r="38276" ht="26.25" customHeight="1"/>
    <row r="38277" ht="26.25" customHeight="1"/>
    <row r="38278" ht="26.25" customHeight="1"/>
    <row r="38279" ht="26.25" customHeight="1"/>
    <row r="38280" ht="26.25" customHeight="1"/>
    <row r="38281" ht="26.25" customHeight="1"/>
    <row r="38282" ht="26.25" customHeight="1"/>
    <row r="38283" ht="26.25" customHeight="1"/>
    <row r="38284" ht="26.25" customHeight="1"/>
    <row r="38285" ht="26.25" customHeight="1"/>
    <row r="38286" ht="26.25" customHeight="1"/>
    <row r="38287" ht="26.25" customHeight="1"/>
    <row r="38288" ht="26.25" customHeight="1"/>
    <row r="38289" ht="26.25" customHeight="1"/>
    <row r="38290" ht="26.25" customHeight="1"/>
    <row r="38291" ht="26.25" customHeight="1"/>
    <row r="38292" ht="26.25" customHeight="1"/>
    <row r="38293" ht="26.25" customHeight="1"/>
    <row r="38294" ht="26.25" customHeight="1"/>
    <row r="38295" ht="26.25" customHeight="1"/>
    <row r="38296" ht="26.25" customHeight="1"/>
    <row r="38297" ht="26.25" customHeight="1"/>
    <row r="38298" ht="26.25" customHeight="1"/>
    <row r="38299" ht="26.25" customHeight="1"/>
    <row r="38300" ht="26.25" customHeight="1"/>
    <row r="38301" ht="26.25" customHeight="1"/>
    <row r="38302" ht="26.25" customHeight="1"/>
    <row r="38303" ht="26.25" customHeight="1"/>
    <row r="38304" ht="26.25" customHeight="1"/>
    <row r="38305" ht="26.25" customHeight="1"/>
    <row r="38306" ht="26.25" customHeight="1"/>
    <row r="38307" ht="26.25" customHeight="1"/>
    <row r="38308" ht="26.25" customHeight="1"/>
    <row r="38309" ht="26.25" customHeight="1"/>
    <row r="38310" ht="26.25" customHeight="1"/>
    <row r="38311" ht="26.25" customHeight="1"/>
    <row r="38312" ht="26.25" customHeight="1"/>
    <row r="38313" ht="26.25" customHeight="1"/>
    <row r="38314" ht="26.25" customHeight="1"/>
    <row r="38315" ht="26.25" customHeight="1"/>
    <row r="38316" ht="26.25" customHeight="1"/>
    <row r="38317" ht="26.25" customHeight="1"/>
    <row r="38318" ht="26.25" customHeight="1"/>
    <row r="38319" ht="26.25" customHeight="1"/>
    <row r="38320" ht="26.25" customHeight="1"/>
    <row r="38321" ht="26.25" customHeight="1"/>
    <row r="38322" ht="26.25" customHeight="1"/>
    <row r="38323" ht="26.25" customHeight="1"/>
    <row r="38324" ht="26.25" customHeight="1"/>
    <row r="38325" ht="26.25" customHeight="1"/>
    <row r="38326" ht="26.25" customHeight="1"/>
    <row r="38327" ht="26.25" customHeight="1"/>
    <row r="38328" ht="26.25" customHeight="1"/>
    <row r="38329" ht="26.25" customHeight="1"/>
    <row r="38330" ht="26.25" customHeight="1"/>
    <row r="38331" ht="26.25" customHeight="1"/>
    <row r="38332" ht="26.25" customHeight="1"/>
    <row r="38333" ht="26.25" customHeight="1"/>
    <row r="38334" ht="26.25" customHeight="1"/>
    <row r="38335" ht="26.25" customHeight="1"/>
    <row r="38336" ht="26.25" customHeight="1"/>
    <row r="38337" ht="26.25" customHeight="1"/>
    <row r="38338" ht="26.25" customHeight="1"/>
    <row r="38339" ht="26.25" customHeight="1"/>
    <row r="38340" ht="26.25" customHeight="1"/>
    <row r="38341" ht="26.25" customHeight="1"/>
    <row r="38342" ht="26.25" customHeight="1"/>
    <row r="38343" ht="26.25" customHeight="1"/>
    <row r="38344" ht="26.25" customHeight="1"/>
    <row r="38345" ht="26.25" customHeight="1"/>
    <row r="38346" ht="26.25" customHeight="1"/>
    <row r="38347" ht="26.25" customHeight="1"/>
    <row r="38348" ht="26.25" customHeight="1"/>
    <row r="38349" ht="26.25" customHeight="1"/>
    <row r="38350" ht="26.25" customHeight="1"/>
    <row r="38351" ht="26.25" customHeight="1"/>
    <row r="38352" ht="26.25" customHeight="1"/>
    <row r="38353" ht="26.25" customHeight="1"/>
    <row r="38354" ht="26.25" customHeight="1"/>
    <row r="38355" ht="26.25" customHeight="1"/>
    <row r="38356" ht="26.25" customHeight="1"/>
    <row r="38357" ht="26.25" customHeight="1"/>
    <row r="38358" ht="26.25" customHeight="1"/>
    <row r="38359" ht="26.25" customHeight="1"/>
    <row r="38360" ht="26.25" customHeight="1"/>
    <row r="38361" ht="26.25" customHeight="1"/>
    <row r="38362" ht="26.25" customHeight="1"/>
    <row r="38363" ht="26.25" customHeight="1"/>
    <row r="38364" ht="26.25" customHeight="1"/>
    <row r="38365" ht="26.25" customHeight="1"/>
    <row r="38366" ht="26.25" customHeight="1"/>
    <row r="38367" ht="26.25" customHeight="1"/>
    <row r="38368" ht="26.25" customHeight="1"/>
    <row r="38369" ht="26.25" customHeight="1"/>
    <row r="38370" ht="26.25" customHeight="1"/>
    <row r="38371" ht="26.25" customHeight="1"/>
    <row r="38372" ht="26.25" customHeight="1"/>
    <row r="38373" ht="26.25" customHeight="1"/>
    <row r="38374" ht="26.25" customHeight="1"/>
    <row r="38375" ht="26.25" customHeight="1"/>
    <row r="38376" ht="26.25" customHeight="1"/>
    <row r="38377" ht="26.25" customHeight="1"/>
    <row r="38378" ht="26.25" customHeight="1"/>
    <row r="38379" ht="26.25" customHeight="1"/>
    <row r="38380" ht="26.25" customHeight="1"/>
    <row r="38381" ht="26.25" customHeight="1"/>
    <row r="38382" ht="26.25" customHeight="1"/>
    <row r="38383" ht="26.25" customHeight="1"/>
    <row r="38384" ht="26.25" customHeight="1"/>
    <row r="38385" ht="26.25" customHeight="1"/>
    <row r="38386" ht="26.25" customHeight="1"/>
    <row r="38387" ht="26.25" customHeight="1"/>
    <row r="38388" ht="26.25" customHeight="1"/>
    <row r="38389" ht="26.25" customHeight="1"/>
    <row r="38390" ht="26.25" customHeight="1"/>
    <row r="38391" ht="26.25" customHeight="1"/>
    <row r="38392" ht="26.25" customHeight="1"/>
    <row r="38393" ht="26.25" customHeight="1"/>
    <row r="38394" ht="26.25" customHeight="1"/>
    <row r="38395" ht="26.25" customHeight="1"/>
    <row r="38396" ht="26.25" customHeight="1"/>
    <row r="38397" ht="26.25" customHeight="1"/>
    <row r="38398" ht="26.25" customHeight="1"/>
    <row r="38399" ht="26.25" customHeight="1"/>
    <row r="38400" ht="26.25" customHeight="1"/>
    <row r="38401" ht="26.25" customHeight="1"/>
    <row r="38402" ht="26.25" customHeight="1"/>
    <row r="38403" ht="26.25" customHeight="1"/>
    <row r="38404" ht="26.25" customHeight="1"/>
    <row r="38405" ht="26.25" customHeight="1"/>
    <row r="38406" ht="26.25" customHeight="1"/>
    <row r="38407" ht="26.25" customHeight="1"/>
    <row r="38408" ht="26.25" customHeight="1"/>
    <row r="38409" ht="26.25" customHeight="1"/>
    <row r="38410" ht="26.25" customHeight="1"/>
    <row r="38411" ht="26.25" customHeight="1"/>
    <row r="38412" ht="26.25" customHeight="1"/>
    <row r="38413" ht="26.25" customHeight="1"/>
    <row r="38414" ht="26.25" customHeight="1"/>
    <row r="38415" ht="26.25" customHeight="1"/>
    <row r="38416" ht="26.25" customHeight="1"/>
    <row r="38417" ht="26.25" customHeight="1"/>
    <row r="38418" ht="26.25" customHeight="1"/>
    <row r="38419" ht="26.25" customHeight="1"/>
    <row r="38420" ht="26.25" customHeight="1"/>
    <row r="38421" ht="26.25" customHeight="1"/>
    <row r="38422" ht="26.25" customHeight="1"/>
    <row r="38423" ht="26.25" customHeight="1"/>
    <row r="38424" ht="26.25" customHeight="1"/>
    <row r="38425" ht="26.25" customHeight="1"/>
    <row r="38426" ht="26.25" customHeight="1"/>
    <row r="38427" ht="26.25" customHeight="1"/>
    <row r="38428" ht="26.25" customHeight="1"/>
    <row r="38429" ht="26.25" customHeight="1"/>
    <row r="38430" ht="26.25" customHeight="1"/>
    <row r="38431" ht="26.25" customHeight="1"/>
    <row r="38432" ht="26.25" customHeight="1"/>
    <row r="38433" ht="26.25" customHeight="1"/>
    <row r="38434" ht="26.25" customHeight="1"/>
    <row r="38435" ht="26.25" customHeight="1"/>
    <row r="38436" ht="26.25" customHeight="1"/>
    <row r="38437" ht="26.25" customHeight="1"/>
    <row r="38438" ht="26.25" customHeight="1"/>
    <row r="38439" ht="26.25" customHeight="1"/>
    <row r="38440" ht="26.25" customHeight="1"/>
    <row r="38441" ht="26.25" customHeight="1"/>
    <row r="38442" ht="26.25" customHeight="1"/>
    <row r="38443" ht="26.25" customHeight="1"/>
    <row r="38444" ht="26.25" customHeight="1"/>
    <row r="38445" ht="26.25" customHeight="1"/>
    <row r="38446" ht="26.25" customHeight="1"/>
    <row r="38447" ht="26.25" customHeight="1"/>
    <row r="38448" ht="26.25" customHeight="1"/>
    <row r="38449" ht="26.25" customHeight="1"/>
    <row r="38450" ht="26.25" customHeight="1"/>
    <row r="38451" ht="26.25" customHeight="1"/>
    <row r="38452" ht="26.25" customHeight="1"/>
    <row r="38453" ht="26.25" customHeight="1"/>
    <row r="38454" ht="26.25" customHeight="1"/>
    <row r="38455" ht="26.25" customHeight="1"/>
    <row r="38456" ht="26.25" customHeight="1"/>
    <row r="38457" ht="26.25" customHeight="1"/>
    <row r="38458" ht="26.25" customHeight="1"/>
    <row r="38459" ht="26.25" customHeight="1"/>
    <row r="38460" ht="26.25" customHeight="1"/>
    <row r="38461" ht="26.25" customHeight="1"/>
    <row r="38462" ht="26.25" customHeight="1"/>
    <row r="38463" ht="26.25" customHeight="1"/>
    <row r="38464" ht="26.25" customHeight="1"/>
    <row r="38465" ht="26.25" customHeight="1"/>
    <row r="38466" ht="26.25" customHeight="1"/>
    <row r="38467" ht="26.25" customHeight="1"/>
    <row r="38468" ht="26.25" customHeight="1"/>
    <row r="38469" ht="26.25" customHeight="1"/>
    <row r="38470" ht="26.25" customHeight="1"/>
    <row r="38471" ht="26.25" customHeight="1"/>
    <row r="38472" ht="26.25" customHeight="1"/>
    <row r="38473" ht="26.25" customHeight="1"/>
    <row r="38474" ht="26.25" customHeight="1"/>
    <row r="38475" ht="26.25" customHeight="1"/>
    <row r="38476" ht="26.25" customHeight="1"/>
    <row r="38477" ht="26.25" customHeight="1"/>
    <row r="38478" ht="26.25" customHeight="1"/>
    <row r="38479" ht="26.25" customHeight="1"/>
    <row r="38480" ht="26.25" customHeight="1"/>
    <row r="38481" ht="26.25" customHeight="1"/>
    <row r="38482" ht="26.25" customHeight="1"/>
    <row r="38483" ht="26.25" customHeight="1"/>
    <row r="38484" ht="26.25" customHeight="1"/>
    <row r="38485" ht="26.25" customHeight="1"/>
    <row r="38486" ht="26.25" customHeight="1"/>
    <row r="38487" ht="26.25" customHeight="1"/>
    <row r="38488" ht="26.25" customHeight="1"/>
    <row r="38489" ht="26.25" customHeight="1"/>
    <row r="38490" ht="26.25" customHeight="1"/>
    <row r="38491" ht="26.25" customHeight="1"/>
    <row r="38492" ht="26.25" customHeight="1"/>
    <row r="38493" ht="26.25" customHeight="1"/>
    <row r="38494" ht="26.25" customHeight="1"/>
    <row r="38495" ht="26.25" customHeight="1"/>
    <row r="38496" ht="26.25" customHeight="1"/>
    <row r="38497" ht="26.25" customHeight="1"/>
    <row r="38498" ht="26.25" customHeight="1"/>
    <row r="38499" ht="26.25" customHeight="1"/>
    <row r="38500" ht="26.25" customHeight="1"/>
    <row r="38501" ht="26.25" customHeight="1"/>
    <row r="38502" ht="26.25" customHeight="1"/>
    <row r="38503" ht="26.25" customHeight="1"/>
    <row r="38504" ht="26.25" customHeight="1"/>
    <row r="38505" ht="26.25" customHeight="1"/>
    <row r="38506" ht="26.25" customHeight="1"/>
    <row r="38507" ht="26.25" customHeight="1"/>
    <row r="38508" ht="26.25" customHeight="1"/>
    <row r="38509" ht="26.25" customHeight="1"/>
    <row r="38510" ht="26.25" customHeight="1"/>
    <row r="38511" ht="26.25" customHeight="1"/>
    <row r="38512" ht="26.25" customHeight="1"/>
    <row r="38513" ht="26.25" customHeight="1"/>
    <row r="38514" ht="26.25" customHeight="1"/>
    <row r="38515" ht="26.25" customHeight="1"/>
    <row r="38516" ht="26.25" customHeight="1"/>
    <row r="38517" ht="26.25" customHeight="1"/>
    <row r="38518" ht="26.25" customHeight="1"/>
    <row r="38519" ht="26.25" customHeight="1"/>
    <row r="38520" ht="26.25" customHeight="1"/>
    <row r="38521" ht="26.25" customHeight="1"/>
    <row r="38522" ht="26.25" customHeight="1"/>
    <row r="38523" ht="26.25" customHeight="1"/>
    <row r="38524" ht="26.25" customHeight="1"/>
    <row r="38525" ht="26.25" customHeight="1"/>
    <row r="38526" ht="26.25" customHeight="1"/>
    <row r="38527" ht="26.25" customHeight="1"/>
    <row r="38528" ht="26.25" customHeight="1"/>
    <row r="38529" ht="26.25" customHeight="1"/>
    <row r="38530" ht="26.25" customHeight="1"/>
    <row r="38531" ht="26.25" customHeight="1"/>
    <row r="38532" ht="26.25" customHeight="1"/>
    <row r="38533" ht="26.25" customHeight="1"/>
    <row r="38534" ht="26.25" customHeight="1"/>
    <row r="38535" ht="26.25" customHeight="1"/>
    <row r="38536" ht="26.25" customHeight="1"/>
    <row r="38537" ht="26.25" customHeight="1"/>
    <row r="38538" ht="26.25" customHeight="1"/>
    <row r="38539" ht="26.25" customHeight="1"/>
    <row r="38540" ht="26.25" customHeight="1"/>
    <row r="38541" ht="26.25" customHeight="1"/>
    <row r="38542" ht="26.25" customHeight="1"/>
    <row r="38543" ht="26.25" customHeight="1"/>
    <row r="38544" ht="26.25" customHeight="1"/>
    <row r="38545" ht="26.25" customHeight="1"/>
    <row r="38546" ht="26.25" customHeight="1"/>
    <row r="38547" ht="26.25" customHeight="1"/>
    <row r="38548" ht="26.25" customHeight="1"/>
    <row r="38549" ht="26.25" customHeight="1"/>
    <row r="38550" ht="26.25" customHeight="1"/>
    <row r="38551" ht="26.25" customHeight="1"/>
    <row r="38552" ht="26.25" customHeight="1"/>
    <row r="38553" ht="26.25" customHeight="1"/>
    <row r="38554" ht="26.25" customHeight="1"/>
    <row r="38555" ht="26.25" customHeight="1"/>
    <row r="38556" ht="26.25" customHeight="1"/>
    <row r="38557" ht="26.25" customHeight="1"/>
    <row r="38558" ht="26.25" customHeight="1"/>
    <row r="38559" ht="26.25" customHeight="1"/>
    <row r="38560" ht="26.25" customHeight="1"/>
    <row r="38561" ht="26.25" customHeight="1"/>
    <row r="38562" ht="26.25" customHeight="1"/>
    <row r="38563" ht="26.25" customHeight="1"/>
    <row r="38564" ht="26.25" customHeight="1"/>
    <row r="38565" ht="26.25" customHeight="1"/>
    <row r="38566" ht="26.25" customHeight="1"/>
    <row r="38567" ht="26.25" customHeight="1"/>
    <row r="38568" ht="26.25" customHeight="1"/>
    <row r="38569" ht="26.25" customHeight="1"/>
    <row r="38570" ht="26.25" customHeight="1"/>
    <row r="38571" ht="26.25" customHeight="1"/>
    <row r="38572" ht="26.25" customHeight="1"/>
    <row r="38573" ht="26.25" customHeight="1"/>
    <row r="38574" ht="26.25" customHeight="1"/>
    <row r="38575" ht="26.25" customHeight="1"/>
    <row r="38576" ht="26.25" customHeight="1"/>
    <row r="38577" ht="26.25" customHeight="1"/>
    <row r="38578" ht="26.25" customHeight="1"/>
    <row r="38579" ht="26.25" customHeight="1"/>
    <row r="38580" ht="26.25" customHeight="1"/>
    <row r="38581" ht="26.25" customHeight="1"/>
    <row r="38582" ht="26.25" customHeight="1"/>
    <row r="38583" ht="26.25" customHeight="1"/>
    <row r="38584" ht="26.25" customHeight="1"/>
    <row r="38585" ht="26.25" customHeight="1"/>
    <row r="38586" ht="26.25" customHeight="1"/>
    <row r="38587" ht="26.25" customHeight="1"/>
    <row r="38588" ht="26.25" customHeight="1"/>
    <row r="38589" ht="26.25" customHeight="1"/>
    <row r="38590" ht="26.25" customHeight="1"/>
    <row r="38591" ht="26.25" customHeight="1"/>
    <row r="38592" ht="26.25" customHeight="1"/>
    <row r="38593" ht="26.25" customHeight="1"/>
    <row r="38594" ht="26.25" customHeight="1"/>
    <row r="38595" ht="26.25" customHeight="1"/>
    <row r="38596" ht="26.25" customHeight="1"/>
    <row r="38597" ht="26.25" customHeight="1"/>
    <row r="38598" ht="26.25" customHeight="1"/>
    <row r="38599" ht="26.25" customHeight="1"/>
    <row r="38600" ht="26.25" customHeight="1"/>
    <row r="38601" ht="26.25" customHeight="1"/>
    <row r="38602" ht="26.25" customHeight="1"/>
    <row r="38603" ht="26.25" customHeight="1"/>
    <row r="38604" ht="26.25" customHeight="1"/>
    <row r="38605" ht="26.25" customHeight="1"/>
    <row r="38606" ht="26.25" customHeight="1"/>
    <row r="38607" ht="26.25" customHeight="1"/>
    <row r="38608" ht="26.25" customHeight="1"/>
    <row r="38609" ht="26.25" customHeight="1"/>
    <row r="38610" ht="26.25" customHeight="1"/>
    <row r="38611" ht="26.25" customHeight="1"/>
    <row r="38612" ht="26.25" customHeight="1"/>
    <row r="38613" ht="26.25" customHeight="1"/>
    <row r="38614" ht="26.25" customHeight="1"/>
    <row r="38615" ht="26.25" customHeight="1"/>
    <row r="38616" ht="26.25" customHeight="1"/>
    <row r="38617" ht="26.25" customHeight="1"/>
    <row r="38618" ht="26.25" customHeight="1"/>
    <row r="38619" ht="26.25" customHeight="1"/>
    <row r="38620" ht="26.25" customHeight="1"/>
    <row r="38621" ht="26.25" customHeight="1"/>
    <row r="38622" ht="26.25" customHeight="1"/>
    <row r="38623" ht="26.25" customHeight="1"/>
    <row r="38624" ht="26.25" customHeight="1"/>
    <row r="38625" ht="26.25" customHeight="1"/>
    <row r="38626" ht="26.25" customHeight="1"/>
    <row r="38627" ht="26.25" customHeight="1"/>
    <row r="38628" ht="26.25" customHeight="1"/>
    <row r="38629" ht="26.25" customHeight="1"/>
    <row r="38630" ht="26.25" customHeight="1"/>
    <row r="38631" ht="26.25" customHeight="1"/>
    <row r="38632" ht="26.25" customHeight="1"/>
    <row r="38633" ht="26.25" customHeight="1"/>
    <row r="38634" ht="26.25" customHeight="1"/>
    <row r="38635" ht="26.25" customHeight="1"/>
    <row r="38636" ht="26.25" customHeight="1"/>
    <row r="38637" ht="26.25" customHeight="1"/>
    <row r="38638" ht="26.25" customHeight="1"/>
    <row r="38639" ht="26.25" customHeight="1"/>
    <row r="38640" ht="26.25" customHeight="1"/>
    <row r="38641" ht="26.25" customHeight="1"/>
    <row r="38642" ht="26.25" customHeight="1"/>
    <row r="38643" ht="26.25" customHeight="1"/>
    <row r="38644" ht="26.25" customHeight="1"/>
    <row r="38645" ht="26.25" customHeight="1"/>
    <row r="38646" ht="26.25" customHeight="1"/>
    <row r="38647" ht="26.25" customHeight="1"/>
    <row r="38648" ht="26.25" customHeight="1"/>
    <row r="38649" ht="26.25" customHeight="1"/>
    <row r="38650" ht="26.25" customHeight="1"/>
    <row r="38651" ht="26.25" customHeight="1"/>
    <row r="38652" ht="26.25" customHeight="1"/>
    <row r="38653" ht="26.25" customHeight="1"/>
    <row r="38654" ht="26.25" customHeight="1"/>
    <row r="38655" ht="26.25" customHeight="1"/>
    <row r="38656" ht="26.25" customHeight="1"/>
    <row r="38657" ht="26.25" customHeight="1"/>
    <row r="38658" ht="26.25" customHeight="1"/>
    <row r="38659" ht="26.25" customHeight="1"/>
    <row r="38660" ht="26.25" customHeight="1"/>
    <row r="38661" ht="26.25" customHeight="1"/>
    <row r="38662" ht="26.25" customHeight="1"/>
    <row r="38663" ht="26.25" customHeight="1"/>
    <row r="38664" ht="26.25" customHeight="1"/>
    <row r="38665" ht="26.25" customHeight="1"/>
    <row r="38666" ht="26.25" customHeight="1"/>
    <row r="38667" ht="26.25" customHeight="1"/>
    <row r="38668" ht="26.25" customHeight="1"/>
    <row r="38669" ht="26.25" customHeight="1"/>
    <row r="38670" ht="26.25" customHeight="1"/>
    <row r="38671" ht="26.25" customHeight="1"/>
    <row r="38672" ht="26.25" customHeight="1"/>
    <row r="38673" ht="26.25" customHeight="1"/>
    <row r="38674" ht="26.25" customHeight="1"/>
    <row r="38675" ht="26.25" customHeight="1"/>
    <row r="38676" ht="26.25" customHeight="1"/>
    <row r="38677" ht="26.25" customHeight="1"/>
    <row r="38678" ht="26.25" customHeight="1"/>
    <row r="38679" ht="26.25" customHeight="1"/>
    <row r="38680" ht="26.25" customHeight="1"/>
    <row r="38681" ht="26.25" customHeight="1"/>
    <row r="38682" ht="26.25" customHeight="1"/>
    <row r="38683" ht="26.25" customHeight="1"/>
    <row r="38684" ht="26.25" customHeight="1"/>
    <row r="38685" ht="26.25" customHeight="1"/>
    <row r="38686" ht="26.25" customHeight="1"/>
    <row r="38687" ht="26.25" customHeight="1"/>
    <row r="38688" ht="26.25" customHeight="1"/>
    <row r="38689" ht="26.25" customHeight="1"/>
    <row r="38690" ht="26.25" customHeight="1"/>
    <row r="38691" ht="26.25" customHeight="1"/>
    <row r="38692" ht="26.25" customHeight="1"/>
    <row r="38693" ht="26.25" customHeight="1"/>
    <row r="38694" ht="26.25" customHeight="1"/>
    <row r="38695" ht="26.25" customHeight="1"/>
    <row r="38696" ht="26.25" customHeight="1"/>
    <row r="38697" ht="26.25" customHeight="1"/>
    <row r="38698" ht="26.25" customHeight="1"/>
    <row r="38699" ht="26.25" customHeight="1"/>
    <row r="38700" ht="26.25" customHeight="1"/>
    <row r="38701" ht="26.25" customHeight="1"/>
    <row r="38702" ht="26.25" customHeight="1"/>
    <row r="38703" ht="26.25" customHeight="1"/>
    <row r="38704" ht="26.25" customHeight="1"/>
    <row r="38705" ht="26.25" customHeight="1"/>
    <row r="38706" ht="26.25" customHeight="1"/>
    <row r="38707" ht="26.25" customHeight="1"/>
    <row r="38708" ht="26.25" customHeight="1"/>
    <row r="38709" ht="26.25" customHeight="1"/>
    <row r="38710" ht="26.25" customHeight="1"/>
    <row r="38711" ht="26.25" customHeight="1"/>
    <row r="38712" ht="26.25" customHeight="1"/>
    <row r="38713" ht="26.25" customHeight="1"/>
    <row r="38714" ht="26.25" customHeight="1"/>
    <row r="38715" ht="26.25" customHeight="1"/>
    <row r="38716" ht="26.25" customHeight="1"/>
    <row r="38717" ht="26.25" customHeight="1"/>
    <row r="38718" ht="26.25" customHeight="1"/>
    <row r="38719" ht="26.25" customHeight="1"/>
    <row r="38720" ht="26.25" customHeight="1"/>
    <row r="38721" ht="26.25" customHeight="1"/>
    <row r="38722" ht="26.25" customHeight="1"/>
    <row r="38723" ht="26.25" customHeight="1"/>
    <row r="38724" ht="26.25" customHeight="1"/>
    <row r="38725" ht="26.25" customHeight="1"/>
    <row r="38726" ht="26.25" customHeight="1"/>
    <row r="38727" ht="26.25" customHeight="1"/>
    <row r="38728" ht="26.25" customHeight="1"/>
    <row r="38729" ht="26.25" customHeight="1"/>
    <row r="38730" ht="26.25" customHeight="1"/>
    <row r="38731" ht="26.25" customHeight="1"/>
    <row r="38732" ht="26.25" customHeight="1"/>
    <row r="38733" ht="26.25" customHeight="1"/>
    <row r="38734" ht="26.25" customHeight="1"/>
    <row r="38735" ht="26.25" customHeight="1"/>
    <row r="38736" ht="26.25" customHeight="1"/>
    <row r="38737" ht="26.25" customHeight="1"/>
    <row r="38738" ht="26.25" customHeight="1"/>
    <row r="38739" ht="26.25" customHeight="1"/>
    <row r="38740" ht="26.25" customHeight="1"/>
    <row r="38741" ht="26.25" customHeight="1"/>
    <row r="38742" ht="26.25" customHeight="1"/>
    <row r="38743" ht="26.25" customHeight="1"/>
    <row r="38744" ht="26.25" customHeight="1"/>
    <row r="38745" ht="26.25" customHeight="1"/>
    <row r="38746" ht="26.25" customHeight="1"/>
    <row r="38747" ht="26.25" customHeight="1"/>
    <row r="38748" ht="26.25" customHeight="1"/>
    <row r="38749" ht="26.25" customHeight="1"/>
    <row r="38750" ht="26.25" customHeight="1"/>
    <row r="38751" ht="26.25" customHeight="1"/>
    <row r="38752" ht="26.25" customHeight="1"/>
    <row r="38753" ht="26.25" customHeight="1"/>
    <row r="38754" ht="26.25" customHeight="1"/>
    <row r="38755" ht="26.25" customHeight="1"/>
    <row r="38756" ht="26.25" customHeight="1"/>
    <row r="38757" ht="26.25" customHeight="1"/>
    <row r="38758" ht="26.25" customHeight="1"/>
    <row r="38759" ht="26.25" customHeight="1"/>
    <row r="38760" ht="26.25" customHeight="1"/>
    <row r="38761" ht="26.25" customHeight="1"/>
    <row r="38762" ht="26.25" customHeight="1"/>
    <row r="38763" ht="26.25" customHeight="1"/>
    <row r="38764" ht="26.25" customHeight="1"/>
    <row r="38765" ht="26.25" customHeight="1"/>
    <row r="38766" ht="26.25" customHeight="1"/>
    <row r="38767" ht="26.25" customHeight="1"/>
    <row r="38768" ht="26.25" customHeight="1"/>
    <row r="38769" ht="26.25" customHeight="1"/>
    <row r="38770" ht="26.25" customHeight="1"/>
    <row r="38771" ht="26.25" customHeight="1"/>
    <row r="38772" ht="26.25" customHeight="1"/>
    <row r="38773" ht="26.25" customHeight="1"/>
    <row r="38774" ht="26.25" customHeight="1"/>
    <row r="38775" ht="26.25" customHeight="1"/>
    <row r="38776" ht="26.25" customHeight="1"/>
    <row r="38777" ht="26.25" customHeight="1"/>
    <row r="38778" ht="26.25" customHeight="1"/>
    <row r="38779" ht="26.25" customHeight="1"/>
    <row r="38780" ht="26.25" customHeight="1"/>
    <row r="38781" ht="26.25" customHeight="1"/>
    <row r="38782" ht="26.25" customHeight="1"/>
    <row r="38783" ht="26.25" customHeight="1"/>
    <row r="38784" ht="26.25" customHeight="1"/>
    <row r="38785" ht="26.25" customHeight="1"/>
    <row r="38786" ht="26.25" customHeight="1"/>
    <row r="38787" ht="26.25" customHeight="1"/>
    <row r="38788" ht="26.25" customHeight="1"/>
    <row r="38789" ht="26.25" customHeight="1"/>
    <row r="38790" ht="26.25" customHeight="1"/>
    <row r="38791" ht="26.25" customHeight="1"/>
    <row r="38792" ht="26.25" customHeight="1"/>
    <row r="38793" ht="26.25" customHeight="1"/>
    <row r="38794" ht="26.25" customHeight="1"/>
    <row r="38795" ht="26.25" customHeight="1"/>
    <row r="38796" ht="26.25" customHeight="1"/>
    <row r="38797" ht="26.25" customHeight="1"/>
    <row r="38798" ht="26.25" customHeight="1"/>
    <row r="38799" ht="26.25" customHeight="1"/>
    <row r="38800" ht="26.25" customHeight="1"/>
    <row r="38801" ht="26.25" customHeight="1"/>
    <row r="38802" ht="26.25" customHeight="1"/>
    <row r="38803" ht="26.25" customHeight="1"/>
    <row r="38804" ht="26.25" customHeight="1"/>
    <row r="38805" ht="26.25" customHeight="1"/>
    <row r="38806" ht="26.25" customHeight="1"/>
    <row r="38807" ht="26.25" customHeight="1"/>
    <row r="38808" ht="26.25" customHeight="1"/>
    <row r="38809" ht="26.25" customHeight="1"/>
    <row r="38810" ht="26.25" customHeight="1"/>
    <row r="38811" ht="26.25" customHeight="1"/>
    <row r="38812" ht="26.25" customHeight="1"/>
    <row r="38813" ht="26.25" customHeight="1"/>
    <row r="38814" ht="26.25" customHeight="1"/>
    <row r="38815" ht="26.25" customHeight="1"/>
    <row r="38816" ht="26.25" customHeight="1"/>
    <row r="38817" ht="26.25" customHeight="1"/>
    <row r="38818" ht="26.25" customHeight="1"/>
    <row r="38819" ht="26.25" customHeight="1"/>
    <row r="38820" ht="26.25" customHeight="1"/>
    <row r="38821" ht="26.25" customHeight="1"/>
    <row r="38822" ht="26.25" customHeight="1"/>
    <row r="38823" ht="26.25" customHeight="1"/>
    <row r="38824" ht="26.25" customHeight="1"/>
    <row r="38825" ht="26.25" customHeight="1"/>
    <row r="38826" ht="26.25" customHeight="1"/>
    <row r="38827" ht="26.25" customHeight="1"/>
    <row r="38828" ht="26.25" customHeight="1"/>
    <row r="38829" ht="26.25" customHeight="1"/>
    <row r="38830" ht="26.25" customHeight="1"/>
    <row r="38831" ht="26.25" customHeight="1"/>
    <row r="38832" ht="26.25" customHeight="1"/>
    <row r="38833" ht="26.25" customHeight="1"/>
    <row r="38834" ht="26.25" customHeight="1"/>
    <row r="38835" ht="26.25" customHeight="1"/>
    <row r="38836" ht="26.25" customHeight="1"/>
    <row r="38837" ht="26.25" customHeight="1"/>
    <row r="38838" ht="26.25" customHeight="1"/>
    <row r="38839" ht="26.25" customHeight="1"/>
    <row r="38840" ht="26.25" customHeight="1"/>
    <row r="38841" ht="26.25" customHeight="1"/>
    <row r="38842" ht="26.25" customHeight="1"/>
    <row r="38843" ht="26.25" customHeight="1"/>
    <row r="38844" ht="26.25" customHeight="1"/>
    <row r="38845" ht="26.25" customHeight="1"/>
    <row r="38846" ht="26.25" customHeight="1"/>
    <row r="38847" ht="26.25" customHeight="1"/>
    <row r="38848" ht="26.25" customHeight="1"/>
    <row r="38849" ht="26.25" customHeight="1"/>
    <row r="38850" ht="26.25" customHeight="1"/>
    <row r="38851" ht="26.25" customHeight="1"/>
    <row r="38852" ht="26.25" customHeight="1"/>
    <row r="38853" ht="26.25" customHeight="1"/>
    <row r="38854" ht="26.25" customHeight="1"/>
    <row r="38855" ht="26.25" customHeight="1"/>
    <row r="38856" ht="26.25" customHeight="1"/>
    <row r="38857" ht="26.25" customHeight="1"/>
    <row r="38858" ht="26.25" customHeight="1"/>
    <row r="38859" ht="26.25" customHeight="1"/>
    <row r="38860" ht="26.25" customHeight="1"/>
    <row r="38861" ht="26.25" customHeight="1"/>
    <row r="38862" ht="26.25" customHeight="1"/>
    <row r="38863" ht="26.25" customHeight="1"/>
    <row r="38864" ht="26.25" customHeight="1"/>
    <row r="38865" ht="26.25" customHeight="1"/>
    <row r="38866" ht="26.25" customHeight="1"/>
    <row r="38867" ht="26.25" customHeight="1"/>
    <row r="38868" ht="26.25" customHeight="1"/>
    <row r="38869" ht="26.25" customHeight="1"/>
    <row r="38870" ht="26.25" customHeight="1"/>
    <row r="38871" ht="26.25" customHeight="1"/>
    <row r="38872" ht="26.25" customHeight="1"/>
    <row r="38873" ht="26.25" customHeight="1"/>
    <row r="38874" ht="26.25" customHeight="1"/>
    <row r="38875" ht="26.25" customHeight="1"/>
    <row r="38876" ht="26.25" customHeight="1"/>
    <row r="38877" ht="26.25" customHeight="1"/>
    <row r="38878" ht="26.25" customHeight="1"/>
    <row r="38879" ht="26.25" customHeight="1"/>
    <row r="38880" ht="26.25" customHeight="1"/>
    <row r="38881" ht="26.25" customHeight="1"/>
    <row r="38882" ht="26.25" customHeight="1"/>
    <row r="38883" ht="26.25" customHeight="1"/>
    <row r="38884" ht="26.25" customHeight="1"/>
    <row r="38885" ht="26.25" customHeight="1"/>
    <row r="38886" ht="26.25" customHeight="1"/>
    <row r="38887" ht="26.25" customHeight="1"/>
    <row r="38888" ht="26.25" customHeight="1"/>
    <row r="38889" ht="26.25" customHeight="1"/>
    <row r="38890" ht="26.25" customHeight="1"/>
    <row r="38891" ht="26.25" customHeight="1"/>
    <row r="38892" ht="26.25" customHeight="1"/>
    <row r="38893" ht="26.25" customHeight="1"/>
    <row r="38894" ht="26.25" customHeight="1"/>
    <row r="38895" ht="26.25" customHeight="1"/>
    <row r="38896" ht="26.25" customHeight="1"/>
    <row r="38897" ht="26.25" customHeight="1"/>
    <row r="38898" ht="26.25" customHeight="1"/>
    <row r="38899" ht="26.25" customHeight="1"/>
    <row r="38900" ht="26.25" customHeight="1"/>
    <row r="38901" ht="26.25" customHeight="1"/>
    <row r="38902" ht="26.25" customHeight="1"/>
    <row r="38903" ht="26.25" customHeight="1"/>
    <row r="38904" ht="26.25" customHeight="1"/>
    <row r="38905" ht="26.25" customHeight="1"/>
    <row r="38906" ht="26.25" customHeight="1"/>
    <row r="38907" ht="26.25" customHeight="1"/>
    <row r="38908" ht="26.25" customHeight="1"/>
    <row r="38909" ht="26.25" customHeight="1"/>
    <row r="38910" ht="26.25" customHeight="1"/>
    <row r="38911" ht="26.25" customHeight="1"/>
    <row r="38912" ht="26.25" customHeight="1"/>
    <row r="38913" ht="26.25" customHeight="1"/>
    <row r="38914" ht="26.25" customHeight="1"/>
    <row r="38915" ht="26.25" customHeight="1"/>
    <row r="38916" ht="26.25" customHeight="1"/>
    <row r="38917" ht="26.25" customHeight="1"/>
    <row r="38918" ht="26.25" customHeight="1"/>
    <row r="38919" ht="26.25" customHeight="1"/>
    <row r="38920" ht="26.25" customHeight="1"/>
    <row r="38921" ht="26.25" customHeight="1"/>
    <row r="38922" ht="26.25" customHeight="1"/>
    <row r="38923" ht="26.25" customHeight="1"/>
    <row r="38924" ht="26.25" customHeight="1"/>
    <row r="38925" ht="26.25" customHeight="1"/>
    <row r="38926" ht="26.25" customHeight="1"/>
    <row r="38927" ht="26.25" customHeight="1"/>
    <row r="38928" ht="26.25" customHeight="1"/>
    <row r="38929" ht="26.25" customHeight="1"/>
    <row r="38930" ht="26.25" customHeight="1"/>
    <row r="38931" ht="26.25" customHeight="1"/>
    <row r="38932" ht="26.25" customHeight="1"/>
    <row r="38933" ht="26.25" customHeight="1"/>
    <row r="38934" ht="26.25" customHeight="1"/>
    <row r="38935" ht="26.25" customHeight="1"/>
    <row r="38936" ht="26.25" customHeight="1"/>
    <row r="38937" ht="26.25" customHeight="1"/>
    <row r="38938" ht="26.25" customHeight="1"/>
    <row r="38939" ht="26.25" customHeight="1"/>
    <row r="38940" ht="26.25" customHeight="1"/>
    <row r="38941" ht="26.25" customHeight="1"/>
    <row r="38942" ht="26.25" customHeight="1"/>
    <row r="38943" ht="26.25" customHeight="1"/>
    <row r="38944" ht="26.25" customHeight="1"/>
    <row r="38945" ht="26.25" customHeight="1"/>
    <row r="38946" ht="26.25" customHeight="1"/>
    <row r="38947" ht="26.25" customHeight="1"/>
    <row r="38948" ht="26.25" customHeight="1"/>
    <row r="38949" ht="26.25" customHeight="1"/>
    <row r="38950" ht="26.25" customHeight="1"/>
    <row r="38951" ht="26.25" customHeight="1"/>
    <row r="38952" ht="26.25" customHeight="1"/>
    <row r="38953" ht="26.25" customHeight="1"/>
    <row r="38954" ht="26.25" customHeight="1"/>
    <row r="38955" ht="26.25" customHeight="1"/>
    <row r="38956" ht="26.25" customHeight="1"/>
    <row r="38957" ht="26.25" customHeight="1"/>
    <row r="38958" ht="26.25" customHeight="1"/>
    <row r="38959" ht="26.25" customHeight="1"/>
    <row r="38960" ht="26.25" customHeight="1"/>
    <row r="38961" ht="26.25" customHeight="1"/>
    <row r="38962" ht="26.25" customHeight="1"/>
    <row r="38963" ht="26.25" customHeight="1"/>
    <row r="38964" ht="26.25" customHeight="1"/>
    <row r="38965" ht="26.25" customHeight="1"/>
    <row r="38966" ht="26.25" customHeight="1"/>
    <row r="38967" ht="26.25" customHeight="1"/>
    <row r="38968" ht="26.25" customHeight="1"/>
    <row r="38969" ht="26.25" customHeight="1"/>
    <row r="38970" ht="26.25" customHeight="1"/>
    <row r="38971" ht="26.25" customHeight="1"/>
    <row r="38972" ht="26.25" customHeight="1"/>
    <row r="38973" ht="26.25" customHeight="1"/>
    <row r="38974" ht="26.25" customHeight="1"/>
    <row r="38975" ht="26.25" customHeight="1"/>
    <row r="38976" ht="26.25" customHeight="1"/>
    <row r="38977" ht="26.25" customHeight="1"/>
    <row r="38978" ht="26.25" customHeight="1"/>
    <row r="38979" ht="26.25" customHeight="1"/>
    <row r="38980" ht="26.25" customHeight="1"/>
    <row r="38981" ht="26.25" customHeight="1"/>
    <row r="38982" ht="26.25" customHeight="1"/>
    <row r="38983" ht="26.25" customHeight="1"/>
    <row r="38984" ht="26.25" customHeight="1"/>
    <row r="38985" ht="26.25" customHeight="1"/>
    <row r="38986" ht="26.25" customHeight="1"/>
    <row r="38987" ht="26.25" customHeight="1"/>
    <row r="38988" ht="26.25" customHeight="1"/>
    <row r="38989" ht="26.25" customHeight="1"/>
    <row r="38990" ht="26.25" customHeight="1"/>
    <row r="38991" ht="26.25" customHeight="1"/>
    <row r="38992" ht="26.25" customHeight="1"/>
    <row r="38993" ht="26.25" customHeight="1"/>
    <row r="38994" ht="26.25" customHeight="1"/>
    <row r="38995" ht="26.25" customHeight="1"/>
    <row r="38996" ht="26.25" customHeight="1"/>
    <row r="38997" ht="26.25" customHeight="1"/>
    <row r="38998" ht="26.25" customHeight="1"/>
    <row r="38999" ht="26.25" customHeight="1"/>
    <row r="39000" ht="26.25" customHeight="1"/>
    <row r="39001" ht="26.25" customHeight="1"/>
    <row r="39002" ht="26.25" customHeight="1"/>
    <row r="39003" ht="26.25" customHeight="1"/>
    <row r="39004" ht="26.25" customHeight="1"/>
    <row r="39005" ht="26.25" customHeight="1"/>
    <row r="39006" ht="26.25" customHeight="1"/>
    <row r="39007" ht="26.25" customHeight="1"/>
    <row r="39008" ht="26.25" customHeight="1"/>
    <row r="39009" ht="26.25" customHeight="1"/>
    <row r="39010" ht="26.25" customHeight="1"/>
    <row r="39011" ht="26.25" customHeight="1"/>
    <row r="39012" ht="26.25" customHeight="1"/>
    <row r="39013" ht="26.25" customHeight="1"/>
    <row r="39014" ht="26.25" customHeight="1"/>
    <row r="39015" ht="26.25" customHeight="1"/>
    <row r="39016" ht="26.25" customHeight="1"/>
    <row r="39017" ht="26.25" customHeight="1"/>
    <row r="39018" ht="26.25" customHeight="1"/>
    <row r="39019" ht="26.25" customHeight="1"/>
    <row r="39020" ht="26.25" customHeight="1"/>
    <row r="39021" ht="26.25" customHeight="1"/>
    <row r="39022" ht="26.25" customHeight="1"/>
    <row r="39023" ht="26.25" customHeight="1"/>
    <row r="39024" ht="26.25" customHeight="1"/>
    <row r="39025" ht="26.25" customHeight="1"/>
    <row r="39026" ht="26.25" customHeight="1"/>
    <row r="39027" ht="26.25" customHeight="1"/>
    <row r="39028" ht="26.25" customHeight="1"/>
    <row r="39029" ht="26.25" customHeight="1"/>
    <row r="39030" ht="26.25" customHeight="1"/>
    <row r="39031" ht="26.25" customHeight="1"/>
    <row r="39032" ht="26.25" customHeight="1"/>
    <row r="39033" ht="26.25" customHeight="1"/>
    <row r="39034" ht="26.25" customHeight="1"/>
    <row r="39035" ht="26.25" customHeight="1"/>
    <row r="39036" ht="26.25" customHeight="1"/>
    <row r="39037" ht="26.25" customHeight="1"/>
    <row r="39038" ht="26.25" customHeight="1"/>
    <row r="39039" ht="26.25" customHeight="1"/>
    <row r="39040" ht="26.25" customHeight="1"/>
    <row r="39041" ht="26.25" customHeight="1"/>
    <row r="39042" ht="26.25" customHeight="1"/>
    <row r="39043" ht="26.25" customHeight="1"/>
    <row r="39044" ht="26.25" customHeight="1"/>
    <row r="39045" ht="26.25" customHeight="1"/>
    <row r="39046" ht="26.25" customHeight="1"/>
    <row r="39047" ht="26.25" customHeight="1"/>
    <row r="39048" ht="26.25" customHeight="1"/>
    <row r="39049" ht="26.25" customHeight="1"/>
    <row r="39050" ht="26.25" customHeight="1"/>
    <row r="39051" ht="26.25" customHeight="1"/>
    <row r="39052" ht="26.25" customHeight="1"/>
    <row r="39053" ht="26.25" customHeight="1"/>
    <row r="39054" ht="26.25" customHeight="1"/>
    <row r="39055" ht="26.25" customHeight="1"/>
    <row r="39056" ht="26.25" customHeight="1"/>
    <row r="39057" ht="26.25" customHeight="1"/>
    <row r="39058" ht="26.25" customHeight="1"/>
    <row r="39059" ht="26.25" customHeight="1"/>
    <row r="39060" ht="26.25" customHeight="1"/>
    <row r="39061" ht="26.25" customHeight="1"/>
    <row r="39062" ht="26.25" customHeight="1"/>
    <row r="39063" ht="26.25" customHeight="1"/>
    <row r="39064" ht="26.25" customHeight="1"/>
    <row r="39065" ht="26.25" customHeight="1"/>
    <row r="39066" ht="26.25" customHeight="1"/>
    <row r="39067" ht="26.25" customHeight="1"/>
    <row r="39068" ht="26.25" customHeight="1"/>
    <row r="39069" ht="26.25" customHeight="1"/>
    <row r="39070" ht="26.25" customHeight="1"/>
    <row r="39071" ht="26.25" customHeight="1"/>
    <row r="39072" ht="26.25" customHeight="1"/>
    <row r="39073" ht="26.25" customHeight="1"/>
    <row r="39074" ht="26.25" customHeight="1"/>
    <row r="39075" ht="26.25" customHeight="1"/>
    <row r="39076" ht="26.25" customHeight="1"/>
    <row r="39077" ht="26.25" customHeight="1"/>
    <row r="39078" ht="26.25" customHeight="1"/>
    <row r="39079" ht="26.25" customHeight="1"/>
    <row r="39080" ht="26.25" customHeight="1"/>
    <row r="39081" ht="26.25" customHeight="1"/>
    <row r="39082" ht="26.25" customHeight="1"/>
    <row r="39083" ht="26.25" customHeight="1"/>
    <row r="39084" ht="26.25" customHeight="1"/>
    <row r="39085" ht="26.25" customHeight="1"/>
    <row r="39086" ht="26.25" customHeight="1"/>
    <row r="39087" ht="26.25" customHeight="1"/>
    <row r="39088" ht="26.25" customHeight="1"/>
    <row r="39089" ht="26.25" customHeight="1"/>
    <row r="39090" ht="26.25" customHeight="1"/>
    <row r="39091" ht="26.25" customHeight="1"/>
    <row r="39092" ht="26.25" customHeight="1"/>
    <row r="39093" ht="26.25" customHeight="1"/>
    <row r="39094" ht="26.25" customHeight="1"/>
    <row r="39095" ht="26.25" customHeight="1"/>
    <row r="39096" ht="26.25" customHeight="1"/>
    <row r="39097" ht="26.25" customHeight="1"/>
    <row r="39098" ht="26.25" customHeight="1"/>
    <row r="39099" ht="26.25" customHeight="1"/>
    <row r="39100" ht="26.25" customHeight="1"/>
    <row r="39101" ht="26.25" customHeight="1"/>
    <row r="39102" ht="26.25" customHeight="1"/>
    <row r="39103" ht="26.25" customHeight="1"/>
    <row r="39104" ht="26.25" customHeight="1"/>
    <row r="39105" ht="26.25" customHeight="1"/>
    <row r="39106" ht="26.25" customHeight="1"/>
    <row r="39107" ht="26.25" customHeight="1"/>
    <row r="39108" ht="26.25" customHeight="1"/>
    <row r="39109" ht="26.25" customHeight="1"/>
    <row r="39110" ht="26.25" customHeight="1"/>
    <row r="39111" ht="26.25" customHeight="1"/>
    <row r="39112" ht="26.25" customHeight="1"/>
    <row r="39113" ht="26.25" customHeight="1"/>
    <row r="39114" ht="26.25" customHeight="1"/>
    <row r="39115" ht="26.25" customHeight="1"/>
    <row r="39116" ht="26.25" customHeight="1"/>
    <row r="39117" ht="26.25" customHeight="1"/>
    <row r="39118" ht="26.25" customHeight="1"/>
    <row r="39119" ht="26.25" customHeight="1"/>
    <row r="39120" ht="26.25" customHeight="1"/>
    <row r="39121" ht="26.25" customHeight="1"/>
    <row r="39122" ht="26.25" customHeight="1"/>
    <row r="39123" ht="26.25" customHeight="1"/>
    <row r="39124" ht="26.25" customHeight="1"/>
    <row r="39125" ht="26.25" customHeight="1"/>
    <row r="39126" ht="26.25" customHeight="1"/>
    <row r="39127" ht="26.25" customHeight="1"/>
    <row r="39128" ht="26.25" customHeight="1"/>
    <row r="39129" ht="26.25" customHeight="1"/>
    <row r="39130" ht="26.25" customHeight="1"/>
    <row r="39131" ht="26.25" customHeight="1"/>
    <row r="39132" ht="26.25" customHeight="1"/>
    <row r="39133" ht="26.25" customHeight="1"/>
    <row r="39134" ht="26.25" customHeight="1"/>
    <row r="39135" ht="26.25" customHeight="1"/>
    <row r="39136" ht="26.25" customHeight="1"/>
    <row r="39137" ht="26.25" customHeight="1"/>
    <row r="39138" ht="26.25" customHeight="1"/>
    <row r="39139" ht="26.25" customHeight="1"/>
    <row r="39140" ht="26.25" customHeight="1"/>
    <row r="39141" ht="26.25" customHeight="1"/>
    <row r="39142" ht="26.25" customHeight="1"/>
    <row r="39143" ht="26.25" customHeight="1"/>
    <row r="39144" ht="26.25" customHeight="1"/>
    <row r="39145" ht="26.25" customHeight="1"/>
    <row r="39146" ht="26.25" customHeight="1"/>
    <row r="39147" ht="26.25" customHeight="1"/>
    <row r="39148" ht="26.25" customHeight="1"/>
    <row r="39149" ht="26.25" customHeight="1"/>
    <row r="39150" ht="26.25" customHeight="1"/>
    <row r="39151" ht="26.25" customHeight="1"/>
    <row r="39152" ht="26.25" customHeight="1"/>
    <row r="39153" ht="26.25" customHeight="1"/>
    <row r="39154" ht="26.25" customHeight="1"/>
    <row r="39155" ht="26.25" customHeight="1"/>
    <row r="39156" ht="26.25" customHeight="1"/>
    <row r="39157" ht="26.25" customHeight="1"/>
    <row r="39158" ht="26.25" customHeight="1"/>
    <row r="39159" ht="26.25" customHeight="1"/>
    <row r="39160" ht="26.25" customHeight="1"/>
    <row r="39161" ht="26.25" customHeight="1"/>
    <row r="39162" ht="26.25" customHeight="1"/>
    <row r="39163" ht="26.25" customHeight="1"/>
    <row r="39164" ht="26.25" customHeight="1"/>
    <row r="39165" ht="26.25" customHeight="1"/>
    <row r="39166" ht="26.25" customHeight="1"/>
    <row r="39167" ht="26.25" customHeight="1"/>
    <row r="39168" ht="26.25" customHeight="1"/>
    <row r="39169" ht="26.25" customHeight="1"/>
    <row r="39170" ht="26.25" customHeight="1"/>
    <row r="39171" ht="26.25" customHeight="1"/>
    <row r="39172" ht="26.25" customHeight="1"/>
    <row r="39173" ht="26.25" customHeight="1"/>
    <row r="39174" ht="26.25" customHeight="1"/>
    <row r="39175" ht="26.25" customHeight="1"/>
    <row r="39176" ht="26.25" customHeight="1"/>
    <row r="39177" ht="26.25" customHeight="1"/>
    <row r="39178" ht="26.25" customHeight="1"/>
    <row r="39179" ht="26.25" customHeight="1"/>
    <row r="39180" ht="26.25" customHeight="1"/>
    <row r="39181" ht="26.25" customHeight="1"/>
    <row r="39182" ht="26.25" customHeight="1"/>
    <row r="39183" ht="26.25" customHeight="1"/>
    <row r="39184" ht="26.25" customHeight="1"/>
    <row r="39185" ht="26.25" customHeight="1"/>
    <row r="39186" ht="26.25" customHeight="1"/>
    <row r="39187" ht="26.25" customHeight="1"/>
    <row r="39188" ht="26.25" customHeight="1"/>
    <row r="39189" ht="26.25" customHeight="1"/>
    <row r="39190" ht="26.25" customHeight="1"/>
    <row r="39191" ht="26.25" customHeight="1"/>
    <row r="39192" ht="26.25" customHeight="1"/>
    <row r="39193" ht="26.25" customHeight="1"/>
    <row r="39194" ht="26.25" customHeight="1"/>
    <row r="39195" ht="26.25" customHeight="1"/>
    <row r="39196" ht="26.25" customHeight="1"/>
    <row r="39197" ht="26.25" customHeight="1"/>
    <row r="39198" ht="26.25" customHeight="1"/>
    <row r="39199" ht="26.25" customHeight="1"/>
    <row r="39200" ht="26.25" customHeight="1"/>
    <row r="39201" ht="26.25" customHeight="1"/>
    <row r="39202" ht="26.25" customHeight="1"/>
    <row r="39203" ht="26.25" customHeight="1"/>
    <row r="39204" ht="26.25" customHeight="1"/>
    <row r="39205" ht="26.25" customHeight="1"/>
    <row r="39206" ht="26.25" customHeight="1"/>
    <row r="39207" ht="26.25" customHeight="1"/>
    <row r="39208" ht="26.25" customHeight="1"/>
    <row r="39209" ht="26.25" customHeight="1"/>
    <row r="39210" ht="26.25" customHeight="1"/>
    <row r="39211" ht="26.25" customHeight="1"/>
    <row r="39212" ht="26.25" customHeight="1"/>
    <row r="39213" ht="26.25" customHeight="1"/>
    <row r="39214" ht="26.25" customHeight="1"/>
    <row r="39215" ht="26.25" customHeight="1"/>
    <row r="39216" ht="26.25" customHeight="1"/>
    <row r="39217" ht="26.25" customHeight="1"/>
    <row r="39218" ht="26.25" customHeight="1"/>
    <row r="39219" ht="26.25" customHeight="1"/>
    <row r="39220" ht="26.25" customHeight="1"/>
    <row r="39221" ht="26.25" customHeight="1"/>
    <row r="39222" ht="26.25" customHeight="1"/>
    <row r="39223" ht="26.25" customHeight="1"/>
    <row r="39224" ht="26.25" customHeight="1"/>
    <row r="39225" ht="26.25" customHeight="1"/>
    <row r="39226" ht="26.25" customHeight="1"/>
    <row r="39227" ht="26.25" customHeight="1"/>
    <row r="39228" ht="26.25" customHeight="1"/>
    <row r="39229" ht="26.25" customHeight="1"/>
    <row r="39230" ht="26.25" customHeight="1"/>
    <row r="39231" ht="26.25" customHeight="1"/>
    <row r="39232" ht="26.25" customHeight="1"/>
    <row r="39233" ht="26.25" customHeight="1"/>
    <row r="39234" ht="26.25" customHeight="1"/>
    <row r="39235" ht="26.25" customHeight="1"/>
    <row r="39236" ht="26.25" customHeight="1"/>
    <row r="39237" ht="26.25" customHeight="1"/>
    <row r="39238" ht="26.25" customHeight="1"/>
    <row r="39239" ht="26.25" customHeight="1"/>
    <row r="39240" ht="26.25" customHeight="1"/>
    <row r="39241" ht="26.25" customHeight="1"/>
    <row r="39242" ht="26.25" customHeight="1"/>
    <row r="39243" ht="26.25" customHeight="1"/>
    <row r="39244" ht="26.25" customHeight="1"/>
    <row r="39245" ht="26.25" customHeight="1"/>
    <row r="39246" ht="26.25" customHeight="1"/>
    <row r="39247" ht="26.25" customHeight="1"/>
    <row r="39248" ht="26.25" customHeight="1"/>
    <row r="39249" ht="26.25" customHeight="1"/>
    <row r="39250" ht="26.25" customHeight="1"/>
    <row r="39251" ht="26.25" customHeight="1"/>
    <row r="39252" ht="26.25" customHeight="1"/>
    <row r="39253" ht="26.25" customHeight="1"/>
    <row r="39254" ht="26.25" customHeight="1"/>
    <row r="39255" ht="26.25" customHeight="1"/>
    <row r="39256" ht="26.25" customHeight="1"/>
    <row r="39257" ht="26.25" customHeight="1"/>
    <row r="39258" ht="26.25" customHeight="1"/>
    <row r="39259" ht="26.25" customHeight="1"/>
    <row r="39260" ht="26.25" customHeight="1"/>
    <row r="39261" ht="26.25" customHeight="1"/>
    <row r="39262" ht="26.25" customHeight="1"/>
    <row r="39263" ht="26.25" customHeight="1"/>
    <row r="39264" ht="26.25" customHeight="1"/>
    <row r="39265" ht="26.25" customHeight="1"/>
    <row r="39266" ht="26.25" customHeight="1"/>
    <row r="39267" ht="26.25" customHeight="1"/>
    <row r="39268" ht="26.25" customHeight="1"/>
    <row r="39269" ht="26.25" customHeight="1"/>
    <row r="39270" ht="26.25" customHeight="1"/>
    <row r="39271" ht="26.25" customHeight="1"/>
    <row r="39272" ht="26.25" customHeight="1"/>
    <row r="39273" ht="26.25" customHeight="1"/>
    <row r="39274" ht="26.25" customHeight="1"/>
    <row r="39275" ht="26.25" customHeight="1"/>
    <row r="39276" ht="26.25" customHeight="1"/>
    <row r="39277" ht="26.25" customHeight="1"/>
    <row r="39278" ht="26.25" customHeight="1"/>
    <row r="39279" ht="26.25" customHeight="1"/>
    <row r="39280" ht="26.25" customHeight="1"/>
    <row r="39281" ht="26.25" customHeight="1"/>
    <row r="39282" ht="26.25" customHeight="1"/>
    <row r="39283" ht="26.25" customHeight="1"/>
    <row r="39284" ht="26.25" customHeight="1"/>
    <row r="39285" ht="26.25" customHeight="1"/>
    <row r="39286" ht="26.25" customHeight="1"/>
    <row r="39287" ht="26.25" customHeight="1"/>
    <row r="39288" ht="26.25" customHeight="1"/>
    <row r="39289" ht="26.25" customHeight="1"/>
    <row r="39290" ht="26.25" customHeight="1"/>
    <row r="39291" ht="26.25" customHeight="1"/>
    <row r="39292" ht="26.25" customHeight="1"/>
    <row r="39293" ht="26.25" customHeight="1"/>
    <row r="39294" ht="26.25" customHeight="1"/>
    <row r="39295" ht="26.25" customHeight="1"/>
    <row r="39296" ht="26.25" customHeight="1"/>
    <row r="39297" ht="26.25" customHeight="1"/>
    <row r="39298" ht="26.25" customHeight="1"/>
    <row r="39299" ht="26.25" customHeight="1"/>
    <row r="39300" ht="26.25" customHeight="1"/>
    <row r="39301" ht="26.25" customHeight="1"/>
    <row r="39302" ht="26.25" customHeight="1"/>
    <row r="39303" ht="26.25" customHeight="1"/>
    <row r="39304" ht="26.25" customHeight="1"/>
    <row r="39305" ht="26.25" customHeight="1"/>
    <row r="39306" ht="26.25" customHeight="1"/>
    <row r="39307" ht="26.25" customHeight="1"/>
    <row r="39308" ht="26.25" customHeight="1"/>
    <row r="39309" ht="26.25" customHeight="1"/>
    <row r="39310" ht="26.25" customHeight="1"/>
    <row r="39311" ht="26.25" customHeight="1"/>
    <row r="39312" ht="26.25" customHeight="1"/>
    <row r="39313" ht="26.25" customHeight="1"/>
    <row r="39314" ht="26.25" customHeight="1"/>
    <row r="39315" ht="26.25" customHeight="1"/>
    <row r="39316" ht="26.25" customHeight="1"/>
    <row r="39317" ht="26.25" customHeight="1"/>
    <row r="39318" ht="26.25" customHeight="1"/>
    <row r="39319" ht="26.25" customHeight="1"/>
    <row r="39320" ht="26.25" customHeight="1"/>
    <row r="39321" ht="26.25" customHeight="1"/>
    <row r="39322" ht="26.25" customHeight="1"/>
    <row r="39323" ht="26.25" customHeight="1"/>
    <row r="39324" ht="26.25" customHeight="1"/>
    <row r="39325" ht="26.25" customHeight="1"/>
    <row r="39326" ht="26.25" customHeight="1"/>
    <row r="39327" ht="26.25" customHeight="1"/>
    <row r="39328" ht="26.25" customHeight="1"/>
    <row r="39329" ht="26.25" customHeight="1"/>
    <row r="39330" ht="26.25" customHeight="1"/>
    <row r="39331" ht="26.25" customHeight="1"/>
    <row r="39332" ht="26.25" customHeight="1"/>
    <row r="39333" ht="26.25" customHeight="1"/>
    <row r="39334" ht="26.25" customHeight="1"/>
    <row r="39335" ht="26.25" customHeight="1"/>
    <row r="39336" ht="26.25" customHeight="1"/>
    <row r="39337" ht="26.25" customHeight="1"/>
    <row r="39338" ht="26.25" customHeight="1"/>
    <row r="39339" ht="26.25" customHeight="1"/>
    <row r="39340" ht="26.25" customHeight="1"/>
    <row r="39341" ht="26.25" customHeight="1"/>
    <row r="39342" ht="26.25" customHeight="1"/>
    <row r="39343" ht="26.25" customHeight="1"/>
    <row r="39344" ht="26.25" customHeight="1"/>
    <row r="39345" ht="26.25" customHeight="1"/>
    <row r="39346" ht="26.25" customHeight="1"/>
    <row r="39347" ht="26.25" customHeight="1"/>
    <row r="39348" ht="26.25" customHeight="1"/>
    <row r="39349" ht="26.25" customHeight="1"/>
    <row r="39350" ht="26.25" customHeight="1"/>
    <row r="39351" ht="26.25" customHeight="1"/>
    <row r="39352" ht="26.25" customHeight="1"/>
    <row r="39353" ht="26.25" customHeight="1"/>
    <row r="39354" ht="26.25" customHeight="1"/>
    <row r="39355" ht="26.25" customHeight="1"/>
    <row r="39356" ht="26.25" customHeight="1"/>
    <row r="39357" ht="26.25" customHeight="1"/>
    <row r="39358" ht="26.25" customHeight="1"/>
    <row r="39359" ht="26.25" customHeight="1"/>
    <row r="39360" ht="26.25" customHeight="1"/>
    <row r="39361" ht="26.25" customHeight="1"/>
    <row r="39362" ht="26.25" customHeight="1"/>
    <row r="39363" ht="26.25" customHeight="1"/>
    <row r="39364" ht="26.25" customHeight="1"/>
    <row r="39365" ht="26.25" customHeight="1"/>
    <row r="39366" ht="26.25" customHeight="1"/>
    <row r="39367" ht="26.25" customHeight="1"/>
    <row r="39368" ht="26.25" customHeight="1"/>
    <row r="39369" ht="26.25" customHeight="1"/>
    <row r="39370" ht="26.25" customHeight="1"/>
    <row r="39371" ht="26.25" customHeight="1"/>
    <row r="39372" ht="26.25" customHeight="1"/>
    <row r="39373" ht="26.25" customHeight="1"/>
    <row r="39374" ht="26.25" customHeight="1"/>
    <row r="39375" ht="26.25" customHeight="1"/>
    <row r="39376" ht="26.25" customHeight="1"/>
    <row r="39377" ht="26.25" customHeight="1"/>
    <row r="39378" ht="26.25" customHeight="1"/>
    <row r="39379" ht="26.25" customHeight="1"/>
    <row r="39380" ht="26.25" customHeight="1"/>
    <row r="39381" ht="26.25" customHeight="1"/>
    <row r="39382" ht="26.25" customHeight="1"/>
    <row r="39383" ht="26.25" customHeight="1"/>
    <row r="39384" ht="26.25" customHeight="1"/>
    <row r="39385" ht="26.25" customHeight="1"/>
    <row r="39386" ht="26.25" customHeight="1"/>
    <row r="39387" ht="26.25" customHeight="1"/>
    <row r="39388" ht="26.25" customHeight="1"/>
    <row r="39389" ht="26.25" customHeight="1"/>
    <row r="39390" ht="26.25" customHeight="1"/>
    <row r="39391" ht="26.25" customHeight="1"/>
    <row r="39392" ht="26.25" customHeight="1"/>
    <row r="39393" ht="26.25" customHeight="1"/>
    <row r="39394" ht="26.25" customHeight="1"/>
    <row r="39395" ht="26.25" customHeight="1"/>
    <row r="39396" ht="26.25" customHeight="1"/>
    <row r="39397" ht="26.25" customHeight="1"/>
    <row r="39398" ht="26.25" customHeight="1"/>
    <row r="39399" ht="26.25" customHeight="1"/>
    <row r="39400" ht="26.25" customHeight="1"/>
    <row r="39401" ht="26.25" customHeight="1"/>
    <row r="39402" ht="26.25" customHeight="1"/>
    <row r="39403" ht="26.25" customHeight="1"/>
    <row r="39404" ht="26.25" customHeight="1"/>
    <row r="39405" ht="26.25" customHeight="1"/>
    <row r="39406" ht="26.25" customHeight="1"/>
    <row r="39407" ht="26.25" customHeight="1"/>
    <row r="39408" ht="26.25" customHeight="1"/>
    <row r="39409" ht="26.25" customHeight="1"/>
    <row r="39410" ht="26.25" customHeight="1"/>
    <row r="39411" ht="26.25" customHeight="1"/>
    <row r="39412" ht="26.25" customHeight="1"/>
    <row r="39413" ht="26.25" customHeight="1"/>
    <row r="39414" ht="26.25" customHeight="1"/>
    <row r="39415" ht="26.25" customHeight="1"/>
    <row r="39416" ht="26.25" customHeight="1"/>
    <row r="39417" ht="26.25" customHeight="1"/>
    <row r="39418" ht="26.25" customHeight="1"/>
    <row r="39419" ht="26.25" customHeight="1"/>
    <row r="39420" ht="26.25" customHeight="1"/>
    <row r="39421" ht="26.25" customHeight="1"/>
    <row r="39422" ht="26.25" customHeight="1"/>
    <row r="39423" ht="26.25" customHeight="1"/>
    <row r="39424" ht="26.25" customHeight="1"/>
    <row r="39425" ht="26.25" customHeight="1"/>
    <row r="39426" ht="26.25" customHeight="1"/>
    <row r="39427" ht="26.25" customHeight="1"/>
    <row r="39428" ht="26.25" customHeight="1"/>
    <row r="39429" ht="26.25" customHeight="1"/>
    <row r="39430" ht="26.25" customHeight="1"/>
    <row r="39431" ht="26.25" customHeight="1"/>
    <row r="39432" ht="26.25" customHeight="1"/>
    <row r="39433" ht="26.25" customHeight="1"/>
    <row r="39434" ht="26.25" customHeight="1"/>
    <row r="39435" ht="26.25" customHeight="1"/>
    <row r="39436" ht="26.25" customHeight="1"/>
    <row r="39437" ht="26.25" customHeight="1"/>
    <row r="39438" ht="26.25" customHeight="1"/>
    <row r="39439" ht="26.25" customHeight="1"/>
    <row r="39440" ht="26.25" customHeight="1"/>
    <row r="39441" ht="26.25" customHeight="1"/>
    <row r="39442" ht="26.25" customHeight="1"/>
    <row r="39443" ht="26.25" customHeight="1"/>
    <row r="39444" ht="26.25" customHeight="1"/>
    <row r="39445" ht="26.25" customHeight="1"/>
    <row r="39446" ht="26.25" customHeight="1"/>
    <row r="39447" ht="26.25" customHeight="1"/>
    <row r="39448" ht="26.25" customHeight="1"/>
    <row r="39449" ht="26.25" customHeight="1"/>
    <row r="39450" ht="26.25" customHeight="1"/>
    <row r="39451" ht="26.25" customHeight="1"/>
    <row r="39452" ht="26.25" customHeight="1"/>
    <row r="39453" ht="26.25" customHeight="1"/>
    <row r="39454" ht="26.25" customHeight="1"/>
    <row r="39455" ht="26.25" customHeight="1"/>
    <row r="39456" ht="26.25" customHeight="1"/>
    <row r="39457" ht="26.25" customHeight="1"/>
    <row r="39458" ht="26.25" customHeight="1"/>
    <row r="39459" ht="26.25" customHeight="1"/>
    <row r="39460" ht="26.25" customHeight="1"/>
    <row r="39461" ht="26.25" customHeight="1"/>
    <row r="39462" ht="26.25" customHeight="1"/>
    <row r="39463" ht="26.25" customHeight="1"/>
    <row r="39464" ht="26.25" customHeight="1"/>
    <row r="39465" ht="26.25" customHeight="1"/>
    <row r="39466" ht="26.25" customHeight="1"/>
    <row r="39467" ht="26.25" customHeight="1"/>
    <row r="39468" ht="26.25" customHeight="1"/>
    <row r="39469" ht="26.25" customHeight="1"/>
    <row r="39470" ht="26.25" customHeight="1"/>
    <row r="39471" ht="26.25" customHeight="1"/>
    <row r="39472" ht="26.25" customHeight="1"/>
    <row r="39473" ht="26.25" customHeight="1"/>
    <row r="39474" ht="26.25" customHeight="1"/>
    <row r="39475" ht="26.25" customHeight="1"/>
    <row r="39476" ht="26.25" customHeight="1"/>
    <row r="39477" ht="26.25" customHeight="1"/>
    <row r="39478" ht="26.25" customHeight="1"/>
    <row r="39479" ht="26.25" customHeight="1"/>
    <row r="39480" ht="26.25" customHeight="1"/>
    <row r="39481" ht="26.25" customHeight="1"/>
    <row r="39482" ht="26.25" customHeight="1"/>
    <row r="39483" ht="26.25" customHeight="1"/>
    <row r="39484" ht="26.25" customHeight="1"/>
    <row r="39485" ht="26.25" customHeight="1"/>
    <row r="39486" ht="26.25" customHeight="1"/>
    <row r="39487" ht="26.25" customHeight="1"/>
    <row r="39488" ht="26.25" customHeight="1"/>
    <row r="39489" ht="26.25" customHeight="1"/>
    <row r="39490" ht="26.25" customHeight="1"/>
    <row r="39491" ht="26.25" customHeight="1"/>
    <row r="39492" ht="26.25" customHeight="1"/>
    <row r="39493" ht="26.25" customHeight="1"/>
    <row r="39494" ht="26.25" customHeight="1"/>
    <row r="39495" ht="26.25" customHeight="1"/>
    <row r="39496" ht="26.25" customHeight="1"/>
    <row r="39497" ht="26.25" customHeight="1"/>
    <row r="39498" ht="26.25" customHeight="1"/>
    <row r="39499" ht="26.25" customHeight="1"/>
    <row r="39500" ht="26.25" customHeight="1"/>
    <row r="39501" ht="26.25" customHeight="1"/>
    <row r="39502" ht="26.25" customHeight="1"/>
    <row r="39503" ht="26.25" customHeight="1"/>
    <row r="39504" ht="26.25" customHeight="1"/>
    <row r="39505" ht="26.25" customHeight="1"/>
    <row r="39506" ht="26.25" customHeight="1"/>
    <row r="39507" ht="26.25" customHeight="1"/>
    <row r="39508" ht="26.25" customHeight="1"/>
    <row r="39509" ht="26.25" customHeight="1"/>
    <row r="39510" ht="26.25" customHeight="1"/>
    <row r="39511" ht="26.25" customHeight="1"/>
    <row r="39512" ht="26.25" customHeight="1"/>
    <row r="39513" ht="26.25" customHeight="1"/>
    <row r="39514" ht="26.25" customHeight="1"/>
    <row r="39515" ht="26.25" customHeight="1"/>
    <row r="39516" ht="26.25" customHeight="1"/>
    <row r="39517" ht="26.25" customHeight="1"/>
    <row r="39518" ht="26.25" customHeight="1"/>
    <row r="39519" ht="26.25" customHeight="1"/>
    <row r="39520" ht="26.25" customHeight="1"/>
    <row r="39521" ht="26.25" customHeight="1"/>
    <row r="39522" ht="26.25" customHeight="1"/>
    <row r="39523" ht="26.25" customHeight="1"/>
    <row r="39524" ht="26.25" customHeight="1"/>
    <row r="39525" ht="26.25" customHeight="1"/>
    <row r="39526" ht="26.25" customHeight="1"/>
    <row r="39527" ht="26.25" customHeight="1"/>
    <row r="39528" ht="26.25" customHeight="1"/>
    <row r="39529" ht="26.25" customHeight="1"/>
    <row r="39530" ht="26.25" customHeight="1"/>
    <row r="39531" ht="26.25" customHeight="1"/>
    <row r="39532" ht="26.25" customHeight="1"/>
    <row r="39533" ht="26.25" customHeight="1"/>
    <row r="39534" ht="26.25" customHeight="1"/>
    <row r="39535" ht="26.25" customHeight="1"/>
    <row r="39536" ht="26.25" customHeight="1"/>
    <row r="39537" ht="26.25" customHeight="1"/>
    <row r="39538" ht="26.25" customHeight="1"/>
    <row r="39539" ht="26.25" customHeight="1"/>
    <row r="39540" ht="26.25" customHeight="1"/>
    <row r="39541" ht="26.25" customHeight="1"/>
    <row r="39542" ht="26.25" customHeight="1"/>
    <row r="39543" ht="26.25" customHeight="1"/>
    <row r="39544" ht="26.25" customHeight="1"/>
    <row r="39545" ht="26.25" customHeight="1"/>
    <row r="39546" ht="26.25" customHeight="1"/>
    <row r="39547" ht="26.25" customHeight="1"/>
    <row r="39548" ht="26.25" customHeight="1"/>
    <row r="39549" ht="26.25" customHeight="1"/>
    <row r="39550" ht="26.25" customHeight="1"/>
    <row r="39551" ht="26.25" customHeight="1"/>
    <row r="39552" ht="26.25" customHeight="1"/>
    <row r="39553" ht="26.25" customHeight="1"/>
    <row r="39554" ht="26.25" customHeight="1"/>
    <row r="39555" ht="26.25" customHeight="1"/>
    <row r="39556" ht="26.25" customHeight="1"/>
    <row r="39557" ht="26.25" customHeight="1"/>
    <row r="39558" ht="26.25" customHeight="1"/>
    <row r="39559" ht="26.25" customHeight="1"/>
    <row r="39560" ht="26.25" customHeight="1"/>
    <row r="39561" ht="26.25" customHeight="1"/>
    <row r="39562" ht="26.25" customHeight="1"/>
    <row r="39563" ht="26.25" customHeight="1"/>
    <row r="39564" ht="26.25" customHeight="1"/>
    <row r="39565" ht="26.25" customHeight="1"/>
    <row r="39566" ht="26.25" customHeight="1"/>
    <row r="39567" ht="26.25" customHeight="1"/>
    <row r="39568" ht="26.25" customHeight="1"/>
    <row r="39569" ht="26.25" customHeight="1"/>
    <row r="39570" ht="26.25" customHeight="1"/>
    <row r="39571" ht="26.25" customHeight="1"/>
    <row r="39572" ht="26.25" customHeight="1"/>
    <row r="39573" ht="26.25" customHeight="1"/>
    <row r="39574" ht="26.25" customHeight="1"/>
    <row r="39575" ht="26.25" customHeight="1"/>
    <row r="39576" ht="26.25" customHeight="1"/>
    <row r="39577" ht="26.25" customHeight="1"/>
    <row r="39578" ht="26.25" customHeight="1"/>
    <row r="39579" ht="26.25" customHeight="1"/>
    <row r="39580" ht="26.25" customHeight="1"/>
    <row r="39581" ht="26.25" customHeight="1"/>
    <row r="39582" ht="26.25" customHeight="1"/>
    <row r="39583" ht="26.25" customHeight="1"/>
    <row r="39584" ht="26.25" customHeight="1"/>
    <row r="39585" ht="26.25" customHeight="1"/>
    <row r="39586" ht="26.25" customHeight="1"/>
    <row r="39587" ht="26.25" customHeight="1"/>
    <row r="39588" ht="26.25" customHeight="1"/>
    <row r="39589" ht="26.25" customHeight="1"/>
    <row r="39590" ht="26.25" customHeight="1"/>
    <row r="39591" ht="26.25" customHeight="1"/>
    <row r="39592" ht="26.25" customHeight="1"/>
    <row r="39593" ht="26.25" customHeight="1"/>
    <row r="39594" ht="26.25" customHeight="1"/>
    <row r="39595" ht="26.25" customHeight="1"/>
    <row r="39596" ht="26.25" customHeight="1"/>
    <row r="39597" ht="26.25" customHeight="1"/>
    <row r="39598" ht="26.25" customHeight="1"/>
    <row r="39599" ht="26.25" customHeight="1"/>
    <row r="39600" ht="26.25" customHeight="1"/>
    <row r="39601" ht="26.25" customHeight="1"/>
    <row r="39602" ht="26.25" customHeight="1"/>
    <row r="39603" ht="26.25" customHeight="1"/>
    <row r="39604" ht="26.25" customHeight="1"/>
    <row r="39605" ht="26.25" customHeight="1"/>
    <row r="39606" ht="26.25" customHeight="1"/>
    <row r="39607" ht="26.25" customHeight="1"/>
    <row r="39608" ht="26.25" customHeight="1"/>
    <row r="39609" ht="26.25" customHeight="1"/>
    <row r="39610" ht="26.25" customHeight="1"/>
    <row r="39611" ht="26.25" customHeight="1"/>
    <row r="39612" ht="26.25" customHeight="1"/>
    <row r="39613" ht="26.25" customHeight="1"/>
    <row r="39614" ht="26.25" customHeight="1"/>
    <row r="39615" ht="26.25" customHeight="1"/>
    <row r="39616" ht="26.25" customHeight="1"/>
    <row r="39617" ht="26.25" customHeight="1"/>
    <row r="39618" ht="26.25" customHeight="1"/>
    <row r="39619" ht="26.25" customHeight="1"/>
    <row r="39620" ht="26.25" customHeight="1"/>
    <row r="39621" ht="26.25" customHeight="1"/>
    <row r="39622" ht="26.25" customHeight="1"/>
    <row r="39623" ht="26.25" customHeight="1"/>
    <row r="39624" ht="26.25" customHeight="1"/>
    <row r="39625" ht="26.25" customHeight="1"/>
    <row r="39626" ht="26.25" customHeight="1"/>
    <row r="39627" ht="26.25" customHeight="1"/>
    <row r="39628" ht="26.25" customHeight="1"/>
    <row r="39629" ht="26.25" customHeight="1"/>
    <row r="39630" ht="26.25" customHeight="1"/>
    <row r="39631" ht="26.25" customHeight="1"/>
    <row r="39632" ht="26.25" customHeight="1"/>
    <row r="39633" ht="26.25" customHeight="1"/>
    <row r="39634" ht="26.25" customHeight="1"/>
    <row r="39635" ht="26.25" customHeight="1"/>
    <row r="39636" ht="26.25" customHeight="1"/>
    <row r="39637" ht="26.25" customHeight="1"/>
    <row r="39638" ht="26.25" customHeight="1"/>
    <row r="39639" ht="26.25" customHeight="1"/>
    <row r="39640" ht="26.25" customHeight="1"/>
    <row r="39641" ht="26.25" customHeight="1"/>
    <row r="39642" ht="26.25" customHeight="1"/>
    <row r="39643" ht="26.25" customHeight="1"/>
    <row r="39644" ht="26.25" customHeight="1"/>
    <row r="39645" ht="26.25" customHeight="1"/>
    <row r="39646" ht="26.25" customHeight="1"/>
    <row r="39647" ht="26.25" customHeight="1"/>
    <row r="39648" ht="26.25" customHeight="1"/>
    <row r="39649" ht="26.25" customHeight="1"/>
    <row r="39650" ht="26.25" customHeight="1"/>
    <row r="39651" ht="26.25" customHeight="1"/>
    <row r="39652" ht="26.25" customHeight="1"/>
    <row r="39653" ht="26.25" customHeight="1"/>
    <row r="39654" ht="26.25" customHeight="1"/>
    <row r="39655" ht="26.25" customHeight="1"/>
    <row r="39656" ht="26.25" customHeight="1"/>
    <row r="39657" ht="26.25" customHeight="1"/>
    <row r="39658" ht="26.25" customHeight="1"/>
    <row r="39659" ht="26.25" customHeight="1"/>
    <row r="39660" ht="26.25" customHeight="1"/>
    <row r="39661" ht="26.25" customHeight="1"/>
    <row r="39662" ht="26.25" customHeight="1"/>
    <row r="39663" ht="26.25" customHeight="1"/>
    <row r="39664" ht="26.25" customHeight="1"/>
    <row r="39665" ht="26.25" customHeight="1"/>
    <row r="39666" ht="26.25" customHeight="1"/>
    <row r="39667" ht="26.25" customHeight="1"/>
    <row r="39668" ht="26.25" customHeight="1"/>
    <row r="39669" ht="26.25" customHeight="1"/>
    <row r="39670" ht="26.25" customHeight="1"/>
    <row r="39671" ht="26.25" customHeight="1"/>
    <row r="39672" ht="26.25" customHeight="1"/>
    <row r="39673" ht="26.25" customHeight="1"/>
    <row r="39674" ht="26.25" customHeight="1"/>
    <row r="39675" ht="26.25" customHeight="1"/>
    <row r="39676" ht="26.25" customHeight="1"/>
    <row r="39677" ht="26.25" customHeight="1"/>
    <row r="39678" ht="26.25" customHeight="1"/>
    <row r="39679" ht="26.25" customHeight="1"/>
    <row r="39680" ht="26.25" customHeight="1"/>
    <row r="39681" ht="26.25" customHeight="1"/>
    <row r="39682" ht="26.25" customHeight="1"/>
    <row r="39683" ht="26.25" customHeight="1"/>
    <row r="39684" ht="26.25" customHeight="1"/>
    <row r="39685" ht="26.25" customHeight="1"/>
    <row r="39686" ht="26.25" customHeight="1"/>
    <row r="39687" ht="26.25" customHeight="1"/>
    <row r="39688" ht="26.25" customHeight="1"/>
    <row r="39689" ht="26.25" customHeight="1"/>
    <row r="39690" ht="26.25" customHeight="1"/>
    <row r="39691" ht="26.25" customHeight="1"/>
    <row r="39692" ht="26.25" customHeight="1"/>
    <row r="39693" ht="26.25" customHeight="1"/>
    <row r="39694" ht="26.25" customHeight="1"/>
    <row r="39695" ht="26.25" customHeight="1"/>
    <row r="39696" ht="26.25" customHeight="1"/>
    <row r="39697" ht="26.25" customHeight="1"/>
    <row r="39698" ht="26.25" customHeight="1"/>
    <row r="39699" ht="26.25" customHeight="1"/>
    <row r="39700" ht="26.25" customHeight="1"/>
    <row r="39701" ht="26.25" customHeight="1"/>
    <row r="39702" ht="26.25" customHeight="1"/>
    <row r="39703" ht="26.25" customHeight="1"/>
    <row r="39704" ht="26.25" customHeight="1"/>
    <row r="39705" ht="26.25" customHeight="1"/>
    <row r="39706" ht="26.25" customHeight="1"/>
    <row r="39707" ht="26.25" customHeight="1"/>
    <row r="39708" ht="26.25" customHeight="1"/>
    <row r="39709" ht="26.25" customHeight="1"/>
    <row r="39710" ht="26.25" customHeight="1"/>
    <row r="39711" ht="26.25" customHeight="1"/>
    <row r="39712" ht="26.25" customHeight="1"/>
    <row r="39713" ht="26.25" customHeight="1"/>
    <row r="39714" ht="26.25" customHeight="1"/>
    <row r="39715" ht="26.25" customHeight="1"/>
    <row r="39716" ht="26.25" customHeight="1"/>
    <row r="39717" ht="26.25" customHeight="1"/>
    <row r="39718" ht="26.25" customHeight="1"/>
    <row r="39719" ht="26.25" customHeight="1"/>
    <row r="39720" ht="26.25" customHeight="1"/>
    <row r="39721" ht="26.25" customHeight="1"/>
    <row r="39722" ht="26.25" customHeight="1"/>
    <row r="39723" ht="26.25" customHeight="1"/>
    <row r="39724" ht="26.25" customHeight="1"/>
    <row r="39725" ht="26.25" customHeight="1"/>
    <row r="39726" ht="26.25" customHeight="1"/>
    <row r="39727" ht="26.25" customHeight="1"/>
    <row r="39728" ht="26.25" customHeight="1"/>
    <row r="39729" ht="26.25" customHeight="1"/>
    <row r="39730" ht="26.25" customHeight="1"/>
    <row r="39731" ht="26.25" customHeight="1"/>
    <row r="39732" ht="26.25" customHeight="1"/>
    <row r="39733" ht="26.25" customHeight="1"/>
    <row r="39734" ht="26.25" customHeight="1"/>
    <row r="39735" ht="26.25" customHeight="1"/>
    <row r="39736" ht="26.25" customHeight="1"/>
    <row r="39737" ht="26.25" customHeight="1"/>
    <row r="39738" ht="26.25" customHeight="1"/>
    <row r="39739" ht="26.25" customHeight="1"/>
    <row r="39740" ht="26.25" customHeight="1"/>
    <row r="39741" ht="26.25" customHeight="1"/>
    <row r="39742" ht="26.25" customHeight="1"/>
    <row r="39743" ht="26.25" customHeight="1"/>
    <row r="39744" ht="26.25" customHeight="1"/>
    <row r="39745" ht="26.25" customHeight="1"/>
    <row r="39746" ht="26.25" customHeight="1"/>
    <row r="39747" ht="26.25" customHeight="1"/>
    <row r="39748" ht="26.25" customHeight="1"/>
    <row r="39749" ht="26.25" customHeight="1"/>
    <row r="39750" ht="26.25" customHeight="1"/>
    <row r="39751" ht="26.25" customHeight="1"/>
    <row r="39752" ht="26.25" customHeight="1"/>
    <row r="39753" ht="26.25" customHeight="1"/>
    <row r="39754" ht="26.25" customHeight="1"/>
    <row r="39755" ht="26.25" customHeight="1"/>
    <row r="39756" ht="26.25" customHeight="1"/>
    <row r="39757" ht="26.25" customHeight="1"/>
    <row r="39758" ht="26.25" customHeight="1"/>
    <row r="39759" ht="26.25" customHeight="1"/>
    <row r="39760" ht="26.25" customHeight="1"/>
    <row r="39761" ht="26.25" customHeight="1"/>
    <row r="39762" ht="26.25" customHeight="1"/>
    <row r="39763" ht="26.25" customHeight="1"/>
    <row r="39764" ht="26.25" customHeight="1"/>
    <row r="39765" ht="26.25" customHeight="1"/>
    <row r="39766" ht="26.25" customHeight="1"/>
    <row r="39767" ht="26.25" customHeight="1"/>
    <row r="39768" ht="26.25" customHeight="1"/>
    <row r="39769" ht="26.25" customHeight="1"/>
    <row r="39770" ht="26.25" customHeight="1"/>
    <row r="39771" ht="26.25" customHeight="1"/>
    <row r="39772" ht="26.25" customHeight="1"/>
    <row r="39773" ht="26.25" customHeight="1"/>
    <row r="39774" ht="26.25" customHeight="1"/>
    <row r="39775" ht="26.25" customHeight="1"/>
    <row r="39776" ht="26.25" customHeight="1"/>
    <row r="39777" ht="26.25" customHeight="1"/>
    <row r="39778" ht="26.25" customHeight="1"/>
    <row r="39779" ht="26.25" customHeight="1"/>
    <row r="39780" ht="26.25" customHeight="1"/>
    <row r="39781" ht="26.25" customHeight="1"/>
    <row r="39782" ht="26.25" customHeight="1"/>
    <row r="39783" ht="26.25" customHeight="1"/>
    <row r="39784" ht="26.25" customHeight="1"/>
    <row r="39785" ht="26.25" customHeight="1"/>
    <row r="39786" ht="26.25" customHeight="1"/>
    <row r="39787" ht="26.25" customHeight="1"/>
    <row r="39788" ht="26.25" customHeight="1"/>
    <row r="39789" ht="26.25" customHeight="1"/>
    <row r="39790" ht="26.25" customHeight="1"/>
    <row r="39791" ht="26.25" customHeight="1"/>
    <row r="39792" ht="26.25" customHeight="1"/>
    <row r="39793" ht="26.25" customHeight="1"/>
    <row r="39794" ht="26.25" customHeight="1"/>
    <row r="39795" ht="26.25" customHeight="1"/>
    <row r="39796" ht="26.25" customHeight="1"/>
    <row r="39797" ht="26.25" customHeight="1"/>
    <row r="39798" ht="26.25" customHeight="1"/>
    <row r="39799" ht="26.25" customHeight="1"/>
    <row r="39800" ht="26.25" customHeight="1"/>
    <row r="39801" ht="26.25" customHeight="1"/>
    <row r="39802" ht="26.25" customHeight="1"/>
    <row r="39803" ht="26.25" customHeight="1"/>
    <row r="39804" ht="26.25" customHeight="1"/>
    <row r="39805" ht="26.25" customHeight="1"/>
    <row r="39806" ht="26.25" customHeight="1"/>
    <row r="39807" ht="26.25" customHeight="1"/>
    <row r="39808" ht="26.25" customHeight="1"/>
    <row r="39809" ht="26.25" customHeight="1"/>
    <row r="39810" ht="26.25" customHeight="1"/>
    <row r="39811" ht="26.25" customHeight="1"/>
    <row r="39812" ht="26.25" customHeight="1"/>
    <row r="39813" ht="26.25" customHeight="1"/>
    <row r="39814" ht="26.25" customHeight="1"/>
    <row r="39815" ht="26.25" customHeight="1"/>
    <row r="39816" ht="26.25" customHeight="1"/>
    <row r="39817" ht="26.25" customHeight="1"/>
    <row r="39818" ht="26.25" customHeight="1"/>
    <row r="39819" ht="26.25" customHeight="1"/>
    <row r="39820" ht="26.25" customHeight="1"/>
    <row r="39821" ht="26.25" customHeight="1"/>
    <row r="39822" ht="26.25" customHeight="1"/>
    <row r="39823" ht="26.25" customHeight="1"/>
    <row r="39824" ht="26.25" customHeight="1"/>
    <row r="39825" ht="26.25" customHeight="1"/>
    <row r="39826" ht="26.25" customHeight="1"/>
    <row r="39827" ht="26.25" customHeight="1"/>
    <row r="39828" ht="26.25" customHeight="1"/>
    <row r="39829" ht="26.25" customHeight="1"/>
    <row r="39830" ht="26.25" customHeight="1"/>
    <row r="39831" ht="26.25" customHeight="1"/>
    <row r="39832" ht="26.25" customHeight="1"/>
    <row r="39833" ht="26.25" customHeight="1"/>
    <row r="39834" ht="26.25" customHeight="1"/>
    <row r="39835" ht="26.25" customHeight="1"/>
    <row r="39836" ht="26.25" customHeight="1"/>
    <row r="39837" ht="26.25" customHeight="1"/>
    <row r="39838" ht="26.25" customHeight="1"/>
    <row r="39839" ht="26.25" customHeight="1"/>
    <row r="39840" ht="26.25" customHeight="1"/>
    <row r="39841" ht="26.25" customHeight="1"/>
    <row r="39842" ht="26.25" customHeight="1"/>
    <row r="39843" ht="26.25" customHeight="1"/>
    <row r="39844" ht="26.25" customHeight="1"/>
    <row r="39845" ht="26.25" customHeight="1"/>
    <row r="39846" ht="26.25" customHeight="1"/>
    <row r="39847" ht="26.25" customHeight="1"/>
    <row r="39848" ht="26.25" customHeight="1"/>
    <row r="39849" ht="26.25" customHeight="1"/>
    <row r="39850" ht="26.25" customHeight="1"/>
    <row r="39851" ht="26.25" customHeight="1"/>
    <row r="39852" ht="26.25" customHeight="1"/>
    <row r="39853" ht="26.25" customHeight="1"/>
    <row r="39854" ht="26.25" customHeight="1"/>
    <row r="39855" ht="26.25" customHeight="1"/>
    <row r="39856" ht="26.25" customHeight="1"/>
    <row r="39857" ht="26.25" customHeight="1"/>
    <row r="39858" ht="26.25" customHeight="1"/>
    <row r="39859" ht="26.25" customHeight="1"/>
    <row r="39860" ht="26.25" customHeight="1"/>
    <row r="39861" ht="26.25" customHeight="1"/>
    <row r="39862" ht="26.25" customHeight="1"/>
    <row r="39863" ht="26.25" customHeight="1"/>
    <row r="39864" ht="26.25" customHeight="1"/>
    <row r="39865" ht="26.25" customHeight="1"/>
    <row r="39866" ht="26.25" customHeight="1"/>
    <row r="39867" ht="26.25" customHeight="1"/>
    <row r="39868" ht="26.25" customHeight="1"/>
    <row r="39869" ht="26.25" customHeight="1"/>
    <row r="39870" ht="26.25" customHeight="1"/>
    <row r="39871" ht="26.25" customHeight="1"/>
    <row r="39872" ht="26.25" customHeight="1"/>
    <row r="39873" ht="26.25" customHeight="1"/>
    <row r="39874" ht="26.25" customHeight="1"/>
    <row r="39875" ht="26.25" customHeight="1"/>
    <row r="39876" ht="26.25" customHeight="1"/>
    <row r="39877" ht="26.25" customHeight="1"/>
    <row r="39878" ht="26.25" customHeight="1"/>
    <row r="39879" ht="26.25" customHeight="1"/>
    <row r="39880" ht="26.25" customHeight="1"/>
    <row r="39881" ht="26.25" customHeight="1"/>
    <row r="39882" ht="26.25" customHeight="1"/>
    <row r="39883" ht="26.25" customHeight="1"/>
    <row r="39884" ht="26.25" customHeight="1"/>
    <row r="39885" ht="26.25" customHeight="1"/>
    <row r="39886" ht="26.25" customHeight="1"/>
    <row r="39887" ht="26.25" customHeight="1"/>
    <row r="39888" ht="26.25" customHeight="1"/>
    <row r="39889" ht="26.25" customHeight="1"/>
    <row r="39890" ht="26.25" customHeight="1"/>
    <row r="39891" ht="26.25" customHeight="1"/>
    <row r="39892" ht="26.25" customHeight="1"/>
    <row r="39893" ht="26.25" customHeight="1"/>
    <row r="39894" ht="26.25" customHeight="1"/>
    <row r="39895" ht="26.25" customHeight="1"/>
    <row r="39896" ht="26.25" customHeight="1"/>
    <row r="39897" ht="26.25" customHeight="1"/>
    <row r="39898" ht="26.25" customHeight="1"/>
    <row r="39899" ht="26.25" customHeight="1"/>
    <row r="39900" ht="26.25" customHeight="1"/>
    <row r="39901" ht="26.25" customHeight="1"/>
    <row r="39902" ht="26.25" customHeight="1"/>
    <row r="39903" ht="26.25" customHeight="1"/>
    <row r="39904" ht="26.25" customHeight="1"/>
    <row r="39905" ht="26.25" customHeight="1"/>
    <row r="39906" ht="26.25" customHeight="1"/>
    <row r="39907" ht="26.25" customHeight="1"/>
    <row r="39908" ht="26.25" customHeight="1"/>
    <row r="39909" ht="26.25" customHeight="1"/>
    <row r="39910" ht="26.25" customHeight="1"/>
    <row r="39911" ht="26.25" customHeight="1"/>
    <row r="39912" ht="26.25" customHeight="1"/>
    <row r="39913" ht="26.25" customHeight="1"/>
    <row r="39914" ht="26.25" customHeight="1"/>
    <row r="39915" ht="26.25" customHeight="1"/>
    <row r="39916" ht="26.25" customHeight="1"/>
    <row r="39917" ht="26.25" customHeight="1"/>
    <row r="39918" ht="26.25" customHeight="1"/>
    <row r="39919" ht="26.25" customHeight="1"/>
    <row r="39920" ht="26.25" customHeight="1"/>
    <row r="39921" ht="26.25" customHeight="1"/>
    <row r="39922" ht="26.25" customHeight="1"/>
    <row r="39923" ht="26.25" customHeight="1"/>
    <row r="39924" ht="26.25" customHeight="1"/>
    <row r="39925" ht="26.25" customHeight="1"/>
    <row r="39926" ht="26.25" customHeight="1"/>
    <row r="39927" ht="26.25" customHeight="1"/>
    <row r="39928" ht="26.25" customHeight="1"/>
    <row r="39929" ht="26.25" customHeight="1"/>
    <row r="39930" ht="26.25" customHeight="1"/>
    <row r="39931" ht="26.25" customHeight="1"/>
    <row r="39932" ht="26.25" customHeight="1"/>
    <row r="39933" ht="26.25" customHeight="1"/>
    <row r="39934" ht="26.25" customHeight="1"/>
    <row r="39935" ht="26.25" customHeight="1"/>
    <row r="39936" ht="26.25" customHeight="1"/>
    <row r="39937" ht="26.25" customHeight="1"/>
    <row r="39938" ht="26.25" customHeight="1"/>
    <row r="39939" ht="26.25" customHeight="1"/>
    <row r="39940" ht="26.25" customHeight="1"/>
    <row r="39941" ht="26.25" customHeight="1"/>
    <row r="39942" ht="26.25" customHeight="1"/>
    <row r="39943" ht="26.25" customHeight="1"/>
    <row r="39944" ht="26.25" customHeight="1"/>
    <row r="39945" ht="26.25" customHeight="1"/>
    <row r="39946" ht="26.25" customHeight="1"/>
    <row r="39947" ht="26.25" customHeight="1"/>
    <row r="39948" ht="26.25" customHeight="1"/>
    <row r="39949" ht="26.25" customHeight="1"/>
    <row r="39950" ht="26.25" customHeight="1"/>
    <row r="39951" ht="26.25" customHeight="1"/>
    <row r="39952" ht="26.25" customHeight="1"/>
    <row r="39953" ht="26.25" customHeight="1"/>
    <row r="39954" ht="26.25" customHeight="1"/>
    <row r="39955" ht="26.25" customHeight="1"/>
    <row r="39956" ht="26.25" customHeight="1"/>
    <row r="39957" ht="26.25" customHeight="1"/>
    <row r="39958" ht="26.25" customHeight="1"/>
    <row r="39959" ht="26.25" customHeight="1"/>
    <row r="39960" ht="26.25" customHeight="1"/>
    <row r="39961" ht="26.25" customHeight="1"/>
    <row r="39962" ht="26.25" customHeight="1"/>
    <row r="39963" ht="26.25" customHeight="1"/>
    <row r="39964" ht="26.25" customHeight="1"/>
    <row r="39965" ht="26.25" customHeight="1"/>
    <row r="39966" ht="26.25" customHeight="1"/>
    <row r="39967" ht="26.25" customHeight="1"/>
    <row r="39968" ht="26.25" customHeight="1"/>
    <row r="39969" ht="26.25" customHeight="1"/>
    <row r="39970" ht="26.25" customHeight="1"/>
    <row r="39971" ht="26.25" customHeight="1"/>
    <row r="39972" ht="26.25" customHeight="1"/>
    <row r="39973" ht="26.25" customHeight="1"/>
    <row r="39974" ht="26.25" customHeight="1"/>
    <row r="39975" ht="26.25" customHeight="1"/>
    <row r="39976" ht="26.25" customHeight="1"/>
    <row r="39977" ht="26.25" customHeight="1"/>
    <row r="39978" ht="26.25" customHeight="1"/>
    <row r="39979" ht="26.25" customHeight="1"/>
    <row r="39980" ht="26.25" customHeight="1"/>
    <row r="39981" ht="26.25" customHeight="1"/>
    <row r="39982" ht="26.25" customHeight="1"/>
    <row r="39983" ht="26.25" customHeight="1"/>
    <row r="39984" ht="26.25" customHeight="1"/>
    <row r="39985" ht="26.25" customHeight="1"/>
    <row r="39986" ht="26.25" customHeight="1"/>
    <row r="39987" ht="26.25" customHeight="1"/>
    <row r="39988" ht="26.25" customHeight="1"/>
    <row r="39989" ht="26.25" customHeight="1"/>
    <row r="39990" ht="26.25" customHeight="1"/>
    <row r="39991" ht="26.25" customHeight="1"/>
    <row r="39992" ht="26.25" customHeight="1"/>
    <row r="39993" ht="26.25" customHeight="1"/>
    <row r="39994" ht="26.25" customHeight="1"/>
    <row r="39995" ht="26.25" customHeight="1"/>
    <row r="39996" ht="26.25" customHeight="1"/>
    <row r="39997" ht="26.25" customHeight="1"/>
    <row r="39998" ht="26.25" customHeight="1"/>
    <row r="39999" ht="26.25" customHeight="1"/>
    <row r="40000" ht="26.25" customHeight="1"/>
    <row r="40001" ht="26.25" customHeight="1"/>
    <row r="40002" ht="26.25" customHeight="1"/>
    <row r="40003" ht="26.25" customHeight="1"/>
    <row r="40004" ht="26.25" customHeight="1"/>
    <row r="40005" ht="26.25" customHeight="1"/>
    <row r="40006" ht="26.25" customHeight="1"/>
    <row r="40007" ht="26.25" customHeight="1"/>
    <row r="40008" ht="26.25" customHeight="1"/>
    <row r="40009" ht="26.25" customHeight="1"/>
    <row r="40010" ht="26.25" customHeight="1"/>
    <row r="40011" ht="26.25" customHeight="1"/>
    <row r="40012" ht="26.25" customHeight="1"/>
    <row r="40013" ht="26.25" customHeight="1"/>
    <row r="40014" ht="26.25" customHeight="1"/>
    <row r="40015" ht="26.25" customHeight="1"/>
    <row r="40016" ht="26.25" customHeight="1"/>
    <row r="40017" ht="26.25" customHeight="1"/>
    <row r="40018" ht="26.25" customHeight="1"/>
    <row r="40019" ht="26.25" customHeight="1"/>
    <row r="40020" ht="26.25" customHeight="1"/>
    <row r="40021" ht="26.25" customHeight="1"/>
    <row r="40022" ht="26.25" customHeight="1"/>
    <row r="40023" ht="26.25" customHeight="1"/>
    <row r="40024" ht="26.25" customHeight="1"/>
    <row r="40025" ht="26.25" customHeight="1"/>
    <row r="40026" ht="26.25" customHeight="1"/>
    <row r="40027" ht="26.25" customHeight="1"/>
    <row r="40028" ht="26.25" customHeight="1"/>
    <row r="40029" ht="26.25" customHeight="1"/>
    <row r="40030" ht="26.25" customHeight="1"/>
    <row r="40031" ht="26.25" customHeight="1"/>
    <row r="40032" ht="26.25" customHeight="1"/>
    <row r="40033" ht="26.25" customHeight="1"/>
    <row r="40034" ht="26.25" customHeight="1"/>
    <row r="40035" ht="26.25" customHeight="1"/>
    <row r="40036" ht="26.25" customHeight="1"/>
    <row r="40037" ht="26.25" customHeight="1"/>
    <row r="40038" ht="26.25" customHeight="1"/>
    <row r="40039" ht="26.25" customHeight="1"/>
    <row r="40040" ht="26.25" customHeight="1"/>
    <row r="40041" ht="26.25" customHeight="1"/>
    <row r="40042" ht="26.25" customHeight="1"/>
    <row r="40043" ht="26.25" customHeight="1"/>
    <row r="40044" ht="26.25" customHeight="1"/>
    <row r="40045" ht="26.25" customHeight="1"/>
    <row r="40046" ht="26.25" customHeight="1"/>
    <row r="40047" ht="26.25" customHeight="1"/>
    <row r="40048" ht="26.25" customHeight="1"/>
    <row r="40049" ht="26.25" customHeight="1"/>
    <row r="40050" ht="26.25" customHeight="1"/>
    <row r="40051" ht="26.25" customHeight="1"/>
    <row r="40052" ht="26.25" customHeight="1"/>
    <row r="40053" ht="26.25" customHeight="1"/>
    <row r="40054" ht="26.25" customHeight="1"/>
    <row r="40055" ht="26.25" customHeight="1"/>
    <row r="40056" ht="26.25" customHeight="1"/>
    <row r="40057" ht="26.25" customHeight="1"/>
    <row r="40058" ht="26.25" customHeight="1"/>
    <row r="40059" ht="26.25" customHeight="1"/>
    <row r="40060" ht="26.25" customHeight="1"/>
    <row r="40061" ht="26.25" customHeight="1"/>
    <row r="40062" ht="26.25" customHeight="1"/>
    <row r="40063" ht="26.25" customHeight="1"/>
    <row r="40064" ht="26.25" customHeight="1"/>
    <row r="40065" ht="26.25" customHeight="1"/>
    <row r="40066" ht="26.25" customHeight="1"/>
    <row r="40067" ht="26.25" customHeight="1"/>
    <row r="40068" ht="26.25" customHeight="1"/>
    <row r="40069" ht="26.25" customHeight="1"/>
    <row r="40070" ht="26.25" customHeight="1"/>
    <row r="40071" ht="26.25" customHeight="1"/>
    <row r="40072" ht="26.25" customHeight="1"/>
    <row r="40073" ht="26.25" customHeight="1"/>
    <row r="40074" ht="26.25" customHeight="1"/>
    <row r="40075" ht="26.25" customHeight="1"/>
    <row r="40076" ht="26.25" customHeight="1"/>
    <row r="40077" ht="26.25" customHeight="1"/>
    <row r="40078" ht="26.25" customHeight="1"/>
    <row r="40079" ht="26.25" customHeight="1"/>
    <row r="40080" ht="26.25" customHeight="1"/>
    <row r="40081" ht="26.25" customHeight="1"/>
    <row r="40082" ht="26.25" customHeight="1"/>
    <row r="40083" ht="26.25" customHeight="1"/>
    <row r="40084" ht="26.25" customHeight="1"/>
    <row r="40085" ht="26.25" customHeight="1"/>
    <row r="40086" ht="26.25" customHeight="1"/>
    <row r="40087" ht="26.25" customHeight="1"/>
    <row r="40088" ht="26.25" customHeight="1"/>
    <row r="40089" ht="26.25" customHeight="1"/>
    <row r="40090" ht="26.25" customHeight="1"/>
    <row r="40091" ht="26.25" customHeight="1"/>
    <row r="40092" ht="26.25" customHeight="1"/>
    <row r="40093" ht="26.25" customHeight="1"/>
    <row r="40094" ht="26.25" customHeight="1"/>
    <row r="40095" ht="26.25" customHeight="1"/>
    <row r="40096" ht="26.25" customHeight="1"/>
    <row r="40097" ht="26.25" customHeight="1"/>
    <row r="40098" ht="26.25" customHeight="1"/>
    <row r="40099" ht="26.25" customHeight="1"/>
    <row r="40100" ht="26.25" customHeight="1"/>
    <row r="40101" ht="26.25" customHeight="1"/>
    <row r="40102" ht="26.25" customHeight="1"/>
    <row r="40103" ht="26.25" customHeight="1"/>
    <row r="40104" ht="26.25" customHeight="1"/>
    <row r="40105" ht="26.25" customHeight="1"/>
    <row r="40106" ht="26.25" customHeight="1"/>
    <row r="40107" ht="26.25" customHeight="1"/>
    <row r="40108" ht="26.25" customHeight="1"/>
    <row r="40109" ht="26.25" customHeight="1"/>
    <row r="40110" ht="26.25" customHeight="1"/>
    <row r="40111" ht="26.25" customHeight="1"/>
    <row r="40112" ht="26.25" customHeight="1"/>
    <row r="40113" ht="26.25" customHeight="1"/>
    <row r="40114" ht="26.25" customHeight="1"/>
    <row r="40115" ht="26.25" customHeight="1"/>
    <row r="40116" ht="26.25" customHeight="1"/>
    <row r="40117" ht="26.25" customHeight="1"/>
    <row r="40118" ht="26.25" customHeight="1"/>
    <row r="40119" ht="26.25" customHeight="1"/>
    <row r="40120" ht="26.25" customHeight="1"/>
    <row r="40121" ht="26.25" customHeight="1"/>
    <row r="40122" ht="26.25" customHeight="1"/>
    <row r="40123" ht="26.25" customHeight="1"/>
    <row r="40124" ht="26.25" customHeight="1"/>
    <row r="40125" ht="26.25" customHeight="1"/>
    <row r="40126" ht="26.25" customHeight="1"/>
    <row r="40127" ht="26.25" customHeight="1"/>
    <row r="40128" ht="26.25" customHeight="1"/>
    <row r="40129" ht="26.25" customHeight="1"/>
    <row r="40130" ht="26.25" customHeight="1"/>
    <row r="40131" ht="26.25" customHeight="1"/>
    <row r="40132" ht="26.25" customHeight="1"/>
    <row r="40133" ht="26.25" customHeight="1"/>
    <row r="40134" ht="26.25" customHeight="1"/>
    <row r="40135" ht="26.25" customHeight="1"/>
    <row r="40136" ht="26.25" customHeight="1"/>
    <row r="40137" ht="26.25" customHeight="1"/>
    <row r="40138" ht="26.25" customHeight="1"/>
    <row r="40139" ht="26.25" customHeight="1"/>
    <row r="40140" ht="26.25" customHeight="1"/>
    <row r="40141" ht="26.25" customHeight="1"/>
    <row r="40142" ht="26.25" customHeight="1"/>
    <row r="40143" ht="26.25" customHeight="1"/>
    <row r="40144" ht="26.25" customHeight="1"/>
    <row r="40145" ht="26.25" customHeight="1"/>
    <row r="40146" ht="26.25" customHeight="1"/>
    <row r="40147" ht="26.25" customHeight="1"/>
    <row r="40148" ht="26.25" customHeight="1"/>
    <row r="40149" ht="26.25" customHeight="1"/>
    <row r="40150" ht="26.25" customHeight="1"/>
    <row r="40151" ht="26.25" customHeight="1"/>
    <row r="40152" ht="26.25" customHeight="1"/>
    <row r="40153" ht="26.25" customHeight="1"/>
    <row r="40154" ht="26.25" customHeight="1"/>
    <row r="40155" ht="26.25" customHeight="1"/>
    <row r="40156" ht="26.25" customHeight="1"/>
    <row r="40157" ht="26.25" customHeight="1"/>
    <row r="40158" ht="26.25" customHeight="1"/>
    <row r="40159" ht="26.25" customHeight="1"/>
    <row r="40160" ht="26.25" customHeight="1"/>
    <row r="40161" ht="26.25" customHeight="1"/>
    <row r="40162" ht="26.25" customHeight="1"/>
    <row r="40163" ht="26.25" customHeight="1"/>
    <row r="40164" ht="26.25" customHeight="1"/>
    <row r="40165" ht="26.25" customHeight="1"/>
    <row r="40166" ht="26.25" customHeight="1"/>
    <row r="40167" ht="26.25" customHeight="1"/>
    <row r="40168" ht="26.25" customHeight="1"/>
    <row r="40169" ht="26.25" customHeight="1"/>
    <row r="40170" ht="26.25" customHeight="1"/>
    <row r="40171" ht="26.25" customHeight="1"/>
    <row r="40172" ht="26.25" customHeight="1"/>
    <row r="40173" ht="26.25" customHeight="1"/>
    <row r="40174" ht="26.25" customHeight="1"/>
    <row r="40175" ht="26.25" customHeight="1"/>
    <row r="40176" ht="26.25" customHeight="1"/>
    <row r="40177" ht="26.25" customHeight="1"/>
    <row r="40178" ht="26.25" customHeight="1"/>
    <row r="40179" ht="26.25" customHeight="1"/>
    <row r="40180" ht="26.25" customHeight="1"/>
    <row r="40181" ht="26.25" customHeight="1"/>
    <row r="40182" ht="26.25" customHeight="1"/>
    <row r="40183" ht="26.25" customHeight="1"/>
    <row r="40184" ht="26.25" customHeight="1"/>
    <row r="40185" ht="26.25" customHeight="1"/>
    <row r="40186" ht="26.25" customHeight="1"/>
    <row r="40187" ht="26.25" customHeight="1"/>
    <row r="40188" ht="26.25" customHeight="1"/>
    <row r="40189" ht="26.25" customHeight="1"/>
    <row r="40190" ht="26.25" customHeight="1"/>
    <row r="40191" ht="26.25" customHeight="1"/>
    <row r="40192" ht="26.25" customHeight="1"/>
    <row r="40193" ht="26.25" customHeight="1"/>
    <row r="40194" ht="26.25" customHeight="1"/>
    <row r="40195" ht="26.25" customHeight="1"/>
    <row r="40196" ht="26.25" customHeight="1"/>
    <row r="40197" ht="26.25" customHeight="1"/>
    <row r="40198" ht="26.25" customHeight="1"/>
    <row r="40199" ht="26.25" customHeight="1"/>
    <row r="40200" ht="26.25" customHeight="1"/>
    <row r="40201" ht="26.25" customHeight="1"/>
    <row r="40202" ht="26.25" customHeight="1"/>
    <row r="40203" ht="26.25" customHeight="1"/>
    <row r="40204" ht="26.25" customHeight="1"/>
    <row r="40205" ht="26.25" customHeight="1"/>
    <row r="40206" ht="26.25" customHeight="1"/>
    <row r="40207" ht="26.25" customHeight="1"/>
    <row r="40208" ht="26.25" customHeight="1"/>
    <row r="40209" ht="26.25" customHeight="1"/>
    <row r="40210" ht="26.25" customHeight="1"/>
    <row r="40211" ht="26.25" customHeight="1"/>
    <row r="40212" ht="26.25" customHeight="1"/>
    <row r="40213" ht="26.25" customHeight="1"/>
    <row r="40214" ht="26.25" customHeight="1"/>
    <row r="40215" ht="26.25" customHeight="1"/>
    <row r="40216" ht="26.25" customHeight="1"/>
    <row r="40217" ht="26.25" customHeight="1"/>
    <row r="40218" ht="26.25" customHeight="1"/>
    <row r="40219" ht="26.25" customHeight="1"/>
    <row r="40220" ht="26.25" customHeight="1"/>
    <row r="40221" ht="26.25" customHeight="1"/>
    <row r="40222" ht="26.25" customHeight="1"/>
    <row r="40223" ht="26.25" customHeight="1"/>
    <row r="40224" ht="26.25" customHeight="1"/>
    <row r="40225" ht="26.25" customHeight="1"/>
    <row r="40226" ht="26.25" customHeight="1"/>
    <row r="40227" ht="26.25" customHeight="1"/>
    <row r="40228" ht="26.25" customHeight="1"/>
    <row r="40229" ht="26.25" customHeight="1"/>
    <row r="40230" ht="26.25" customHeight="1"/>
    <row r="40231" ht="26.25" customHeight="1"/>
    <row r="40232" ht="26.25" customHeight="1"/>
    <row r="40233" ht="26.25" customHeight="1"/>
    <row r="40234" ht="26.25" customHeight="1"/>
    <row r="40235" ht="26.25" customHeight="1"/>
    <row r="40236" ht="26.25" customHeight="1"/>
    <row r="40237" ht="26.25" customHeight="1"/>
    <row r="40238" ht="26.25" customHeight="1"/>
    <row r="40239" ht="26.25" customHeight="1"/>
    <row r="40240" ht="26.25" customHeight="1"/>
    <row r="40241" ht="26.25" customHeight="1"/>
    <row r="40242" ht="26.25" customHeight="1"/>
    <row r="40243" ht="26.25" customHeight="1"/>
    <row r="40244" ht="26.25" customHeight="1"/>
    <row r="40245" ht="26.25" customHeight="1"/>
    <row r="40246" ht="26.25" customHeight="1"/>
    <row r="40247" ht="26.25" customHeight="1"/>
    <row r="40248" ht="26.25" customHeight="1"/>
    <row r="40249" ht="26.25" customHeight="1"/>
    <row r="40250" ht="26.25" customHeight="1"/>
    <row r="40251" ht="26.25" customHeight="1"/>
    <row r="40252" ht="26.25" customHeight="1"/>
    <row r="40253" ht="26.25" customHeight="1"/>
    <row r="40254" ht="26.25" customHeight="1"/>
    <row r="40255" ht="26.25" customHeight="1"/>
    <row r="40256" ht="26.25" customHeight="1"/>
    <row r="40257" ht="26.25" customHeight="1"/>
    <row r="40258" ht="26.25" customHeight="1"/>
    <row r="40259" ht="26.25" customHeight="1"/>
    <row r="40260" ht="26.25" customHeight="1"/>
    <row r="40261" ht="26.25" customHeight="1"/>
    <row r="40262" ht="26.25" customHeight="1"/>
    <row r="40263" ht="26.25" customHeight="1"/>
    <row r="40264" ht="26.25" customHeight="1"/>
    <row r="40265" ht="26.25" customHeight="1"/>
    <row r="40266" ht="26.25" customHeight="1"/>
    <row r="40267" ht="26.25" customHeight="1"/>
    <row r="40268" ht="26.25" customHeight="1"/>
    <row r="40269" ht="26.25" customHeight="1"/>
    <row r="40270" ht="26.25" customHeight="1"/>
    <row r="40271" ht="26.25" customHeight="1"/>
    <row r="40272" ht="26.25" customHeight="1"/>
    <row r="40273" ht="26.25" customHeight="1"/>
    <row r="40274" ht="26.25" customHeight="1"/>
    <row r="40275" ht="26.25" customHeight="1"/>
    <row r="40276" ht="26.25" customHeight="1"/>
    <row r="40277" ht="26.25" customHeight="1"/>
    <row r="40278" ht="26.25" customHeight="1"/>
    <row r="40279" ht="26.25" customHeight="1"/>
    <row r="40280" ht="26.25" customHeight="1"/>
    <row r="40281" ht="26.25" customHeight="1"/>
    <row r="40282" ht="26.25" customHeight="1"/>
    <row r="40283" ht="26.25" customHeight="1"/>
    <row r="40284" ht="26.25" customHeight="1"/>
    <row r="40285" ht="26.25" customHeight="1"/>
    <row r="40286" ht="26.25" customHeight="1"/>
    <row r="40287" ht="26.25" customHeight="1"/>
    <row r="40288" ht="26.25" customHeight="1"/>
    <row r="40289" ht="26.25" customHeight="1"/>
    <row r="40290" ht="26.25" customHeight="1"/>
    <row r="40291" ht="26.25" customHeight="1"/>
    <row r="40292" ht="26.25" customHeight="1"/>
    <row r="40293" ht="26.25" customHeight="1"/>
    <row r="40294" ht="26.25" customHeight="1"/>
    <row r="40295" ht="26.25" customHeight="1"/>
    <row r="40296" ht="26.25" customHeight="1"/>
    <row r="40297" ht="26.25" customHeight="1"/>
    <row r="40298" ht="26.25" customHeight="1"/>
    <row r="40299" ht="26.25" customHeight="1"/>
    <row r="40300" ht="26.25" customHeight="1"/>
    <row r="40301" ht="26.25" customHeight="1"/>
    <row r="40302" ht="26.25" customHeight="1"/>
    <row r="40303" ht="26.25" customHeight="1"/>
    <row r="40304" ht="26.25" customHeight="1"/>
    <row r="40305" ht="26.25" customHeight="1"/>
    <row r="40306" ht="26.25" customHeight="1"/>
    <row r="40307" ht="26.25" customHeight="1"/>
    <row r="40308" ht="26.25" customHeight="1"/>
    <row r="40309" ht="26.25" customHeight="1"/>
    <row r="40310" ht="26.25" customHeight="1"/>
    <row r="40311" ht="26.25" customHeight="1"/>
    <row r="40312" ht="26.25" customHeight="1"/>
    <row r="40313" ht="26.25" customHeight="1"/>
    <row r="40314" ht="26.25" customHeight="1"/>
    <row r="40315" ht="26.25" customHeight="1"/>
    <row r="40316" ht="26.25" customHeight="1"/>
    <row r="40317" ht="26.25" customHeight="1"/>
    <row r="40318" ht="26.25" customHeight="1"/>
    <row r="40319" ht="26.25" customHeight="1"/>
    <row r="40320" ht="26.25" customHeight="1"/>
    <row r="40321" ht="26.25" customHeight="1"/>
    <row r="40322" ht="26.25" customHeight="1"/>
    <row r="40323" ht="26.25" customHeight="1"/>
    <row r="40324" ht="26.25" customHeight="1"/>
    <row r="40325" ht="26.25" customHeight="1"/>
    <row r="40326" ht="26.25" customHeight="1"/>
    <row r="40327" ht="26.25" customHeight="1"/>
    <row r="40328" ht="26.25" customHeight="1"/>
    <row r="40329" ht="26.25" customHeight="1"/>
    <row r="40330" ht="26.25" customHeight="1"/>
    <row r="40331" ht="26.25" customHeight="1"/>
    <row r="40332" ht="26.25" customHeight="1"/>
    <row r="40333" ht="26.25" customHeight="1"/>
    <row r="40334" ht="26.25" customHeight="1"/>
    <row r="40335" ht="26.25" customHeight="1"/>
    <row r="40336" ht="26.25" customHeight="1"/>
    <row r="40337" ht="26.25" customHeight="1"/>
    <row r="40338" ht="26.25" customHeight="1"/>
    <row r="40339" ht="26.25" customHeight="1"/>
    <row r="40340" ht="26.25" customHeight="1"/>
    <row r="40341" ht="26.25" customHeight="1"/>
    <row r="40342" ht="26.25" customHeight="1"/>
    <row r="40343" ht="26.25" customHeight="1"/>
    <row r="40344" ht="26.25" customHeight="1"/>
    <row r="40345" ht="26.25" customHeight="1"/>
    <row r="40346" ht="26.25" customHeight="1"/>
    <row r="40347" ht="26.25" customHeight="1"/>
    <row r="40348" ht="26.25" customHeight="1"/>
    <row r="40349" ht="26.25" customHeight="1"/>
    <row r="40350" ht="26.25" customHeight="1"/>
    <row r="40351" ht="26.25" customHeight="1"/>
    <row r="40352" ht="26.25" customHeight="1"/>
    <row r="40353" ht="26.25" customHeight="1"/>
    <row r="40354" ht="26.25" customHeight="1"/>
    <row r="40355" ht="26.25" customHeight="1"/>
    <row r="40356" ht="26.25" customHeight="1"/>
    <row r="40357" ht="26.25" customHeight="1"/>
    <row r="40358" ht="26.25" customHeight="1"/>
    <row r="40359" ht="26.25" customHeight="1"/>
    <row r="40360" ht="26.25" customHeight="1"/>
    <row r="40361" ht="26.25" customHeight="1"/>
    <row r="40362" ht="26.25" customHeight="1"/>
    <row r="40363" ht="26.25" customHeight="1"/>
    <row r="40364" ht="26.25" customHeight="1"/>
    <row r="40365" ht="26.25" customHeight="1"/>
    <row r="40366" ht="26.25" customHeight="1"/>
    <row r="40367" ht="26.25" customHeight="1"/>
    <row r="40368" ht="26.25" customHeight="1"/>
    <row r="40369" ht="26.25" customHeight="1"/>
    <row r="40370" ht="26.25" customHeight="1"/>
    <row r="40371" ht="26.25" customHeight="1"/>
    <row r="40372" ht="26.25" customHeight="1"/>
    <row r="40373" ht="26.25" customHeight="1"/>
    <row r="40374" ht="26.25" customHeight="1"/>
    <row r="40375" ht="26.25" customHeight="1"/>
    <row r="40376" ht="26.25" customHeight="1"/>
    <row r="40377" ht="26.25" customHeight="1"/>
    <row r="40378" ht="26.25" customHeight="1"/>
    <row r="40379" ht="26.25" customHeight="1"/>
    <row r="40380" ht="26.25" customHeight="1"/>
    <row r="40381" ht="26.25" customHeight="1"/>
    <row r="40382" ht="26.25" customHeight="1"/>
    <row r="40383" ht="26.25" customHeight="1"/>
    <row r="40384" ht="26.25" customHeight="1"/>
    <row r="40385" ht="26.25" customHeight="1"/>
    <row r="40386" ht="26.25" customHeight="1"/>
    <row r="40387" ht="26.25" customHeight="1"/>
    <row r="40388" ht="26.25" customHeight="1"/>
    <row r="40389" ht="26.25" customHeight="1"/>
    <row r="40390" ht="26.25" customHeight="1"/>
    <row r="40391" ht="26.25" customHeight="1"/>
    <row r="40392" ht="26.25" customHeight="1"/>
    <row r="40393" ht="26.25" customHeight="1"/>
    <row r="40394" ht="26.25" customHeight="1"/>
    <row r="40395" ht="26.25" customHeight="1"/>
    <row r="40396" ht="26.25" customHeight="1"/>
    <row r="40397" ht="26.25" customHeight="1"/>
    <row r="40398" ht="26.25" customHeight="1"/>
    <row r="40399" ht="26.25" customHeight="1"/>
    <row r="40400" ht="26.25" customHeight="1"/>
    <row r="40401" ht="26.25" customHeight="1"/>
    <row r="40402" ht="26.25" customHeight="1"/>
    <row r="40403" ht="26.25" customHeight="1"/>
    <row r="40404" ht="26.25" customHeight="1"/>
    <row r="40405" ht="26.25" customHeight="1"/>
    <row r="40406" ht="26.25" customHeight="1"/>
    <row r="40407" ht="26.25" customHeight="1"/>
    <row r="40408" ht="26.25" customHeight="1"/>
    <row r="40409" ht="26.25" customHeight="1"/>
    <row r="40410" ht="26.25" customHeight="1"/>
    <row r="40411" ht="26.25" customHeight="1"/>
    <row r="40412" ht="26.25" customHeight="1"/>
    <row r="40413" ht="26.25" customHeight="1"/>
    <row r="40414" ht="26.25" customHeight="1"/>
    <row r="40415" ht="26.25" customHeight="1"/>
    <row r="40416" ht="26.25" customHeight="1"/>
    <row r="40417" ht="26.25" customHeight="1"/>
    <row r="40418" ht="26.25" customHeight="1"/>
    <row r="40419" ht="26.25" customHeight="1"/>
    <row r="40420" ht="26.25" customHeight="1"/>
    <row r="40421" ht="26.25" customHeight="1"/>
    <row r="40422" ht="26.25" customHeight="1"/>
    <row r="40423" ht="26.25" customHeight="1"/>
    <row r="40424" ht="26.25" customHeight="1"/>
    <row r="40425" ht="26.25" customHeight="1"/>
    <row r="40426" ht="26.25" customHeight="1"/>
    <row r="40427" ht="26.25" customHeight="1"/>
    <row r="40428" ht="26.25" customHeight="1"/>
    <row r="40429" ht="26.25" customHeight="1"/>
    <row r="40430" ht="26.25" customHeight="1"/>
    <row r="40431" ht="26.25" customHeight="1"/>
    <row r="40432" ht="26.25" customHeight="1"/>
    <row r="40433" ht="26.25" customHeight="1"/>
    <row r="40434" ht="26.25" customHeight="1"/>
    <row r="40435" ht="26.25" customHeight="1"/>
    <row r="40436" ht="26.25" customHeight="1"/>
    <row r="40437" ht="26.25" customHeight="1"/>
    <row r="40438" ht="26.25" customHeight="1"/>
    <row r="40439" ht="26.25" customHeight="1"/>
    <row r="40440" ht="26.25" customHeight="1"/>
    <row r="40441" ht="26.25" customHeight="1"/>
    <row r="40442" ht="26.25" customHeight="1"/>
    <row r="40443" ht="26.25" customHeight="1"/>
    <row r="40444" ht="26.25" customHeight="1"/>
    <row r="40445" ht="26.25" customHeight="1"/>
    <row r="40446" ht="26.25" customHeight="1"/>
    <row r="40447" ht="26.25" customHeight="1"/>
    <row r="40448" ht="26.25" customHeight="1"/>
    <row r="40449" ht="26.25" customHeight="1"/>
    <row r="40450" ht="26.25" customHeight="1"/>
    <row r="40451" ht="26.25" customHeight="1"/>
    <row r="40452" ht="26.25" customHeight="1"/>
    <row r="40453" ht="26.25" customHeight="1"/>
    <row r="40454" ht="26.25" customHeight="1"/>
    <row r="40455" ht="26.25" customHeight="1"/>
    <row r="40456" ht="26.25" customHeight="1"/>
    <row r="40457" ht="26.25" customHeight="1"/>
    <row r="40458" ht="26.25" customHeight="1"/>
    <row r="40459" ht="26.25" customHeight="1"/>
    <row r="40460" ht="26.25" customHeight="1"/>
    <row r="40461" ht="26.25" customHeight="1"/>
    <row r="40462" ht="26.25" customHeight="1"/>
    <row r="40463" ht="26.25" customHeight="1"/>
    <row r="40464" ht="26.25" customHeight="1"/>
    <row r="40465" ht="26.25" customHeight="1"/>
    <row r="40466" ht="26.25" customHeight="1"/>
    <row r="40467" ht="26.25" customHeight="1"/>
    <row r="40468" ht="26.25" customHeight="1"/>
    <row r="40469" ht="26.25" customHeight="1"/>
    <row r="40470" ht="26.25" customHeight="1"/>
    <row r="40471" ht="26.25" customHeight="1"/>
    <row r="40472" ht="26.25" customHeight="1"/>
    <row r="40473" ht="26.25" customHeight="1"/>
    <row r="40474" ht="26.25" customHeight="1"/>
    <row r="40475" ht="26.25" customHeight="1"/>
    <row r="40476" ht="26.25" customHeight="1"/>
    <row r="40477" ht="26.25" customHeight="1"/>
    <row r="40478" ht="26.25" customHeight="1"/>
    <row r="40479" ht="26.25" customHeight="1"/>
    <row r="40480" ht="26.25" customHeight="1"/>
    <row r="40481" ht="26.25" customHeight="1"/>
    <row r="40482" ht="26.25" customHeight="1"/>
    <row r="40483" ht="26.25" customHeight="1"/>
    <row r="40484" ht="26.25" customHeight="1"/>
    <row r="40485" ht="26.25" customHeight="1"/>
    <row r="40486" ht="26.25" customHeight="1"/>
    <row r="40487" ht="26.25" customHeight="1"/>
    <row r="40488" ht="26.25" customHeight="1"/>
    <row r="40489" ht="26.25" customHeight="1"/>
    <row r="40490" ht="26.25" customHeight="1"/>
    <row r="40491" ht="26.25" customHeight="1"/>
    <row r="40492" ht="26.25" customHeight="1"/>
    <row r="40493" ht="26.25" customHeight="1"/>
    <row r="40494" ht="26.25" customHeight="1"/>
    <row r="40495" ht="26.25" customHeight="1"/>
    <row r="40496" ht="26.25" customHeight="1"/>
    <row r="40497" ht="26.25" customHeight="1"/>
    <row r="40498" ht="26.25" customHeight="1"/>
    <row r="40499" ht="26.25" customHeight="1"/>
    <row r="40500" ht="26.25" customHeight="1"/>
    <row r="40501" ht="26.25" customHeight="1"/>
    <row r="40502" ht="26.25" customHeight="1"/>
    <row r="40503" ht="26.25" customHeight="1"/>
    <row r="40504" ht="26.25" customHeight="1"/>
    <row r="40505" ht="26.25" customHeight="1"/>
    <row r="40506" ht="26.25" customHeight="1"/>
    <row r="40507" ht="26.25" customHeight="1"/>
    <row r="40508" ht="26.25" customHeight="1"/>
    <row r="40509" ht="26.25" customHeight="1"/>
    <row r="40510" ht="26.25" customHeight="1"/>
    <row r="40511" ht="26.25" customHeight="1"/>
    <row r="40512" ht="26.25" customHeight="1"/>
    <row r="40513" ht="26.25" customHeight="1"/>
    <row r="40514" ht="26.25" customHeight="1"/>
    <row r="40515" ht="26.25" customHeight="1"/>
    <row r="40516" ht="26.25" customHeight="1"/>
    <row r="40517" ht="26.25" customHeight="1"/>
    <row r="40518" ht="26.25" customHeight="1"/>
    <row r="40519" ht="26.25" customHeight="1"/>
    <row r="40520" ht="26.25" customHeight="1"/>
    <row r="40521" ht="26.25" customHeight="1"/>
    <row r="40522" ht="26.25" customHeight="1"/>
    <row r="40523" ht="26.25" customHeight="1"/>
    <row r="40524" ht="26.25" customHeight="1"/>
    <row r="40525" ht="26.25" customHeight="1"/>
    <row r="40526" ht="26.25" customHeight="1"/>
    <row r="40527" ht="26.25" customHeight="1"/>
    <row r="40528" ht="26.25" customHeight="1"/>
    <row r="40529" ht="26.25" customHeight="1"/>
    <row r="40530" ht="26.25" customHeight="1"/>
    <row r="40531" ht="26.25" customHeight="1"/>
    <row r="40532" ht="26.25" customHeight="1"/>
    <row r="40533" ht="26.25" customHeight="1"/>
    <row r="40534" ht="26.25" customHeight="1"/>
    <row r="40535" ht="26.25" customHeight="1"/>
    <row r="40536" ht="26.25" customHeight="1"/>
    <row r="40537" ht="26.25" customHeight="1"/>
    <row r="40538" ht="26.25" customHeight="1"/>
    <row r="40539" ht="26.25" customHeight="1"/>
    <row r="40540" ht="26.25" customHeight="1"/>
    <row r="40541" ht="26.25" customHeight="1"/>
    <row r="40542" ht="26.25" customHeight="1"/>
    <row r="40543" ht="26.25" customHeight="1"/>
    <row r="40544" ht="26.25" customHeight="1"/>
    <row r="40545" ht="26.25" customHeight="1"/>
    <row r="40546" ht="26.25" customHeight="1"/>
    <row r="40547" ht="26.25" customHeight="1"/>
    <row r="40548" ht="26.25" customHeight="1"/>
    <row r="40549" ht="26.25" customHeight="1"/>
    <row r="40550" ht="26.25" customHeight="1"/>
    <row r="40551" ht="26.25" customHeight="1"/>
    <row r="40552" ht="26.25" customHeight="1"/>
    <row r="40553" ht="26.25" customHeight="1"/>
    <row r="40554" ht="26.25" customHeight="1"/>
    <row r="40555" ht="26.25" customHeight="1"/>
    <row r="40556" ht="26.25" customHeight="1"/>
    <row r="40557" ht="26.25" customHeight="1"/>
    <row r="40558" ht="26.25" customHeight="1"/>
    <row r="40559" ht="26.25" customHeight="1"/>
    <row r="40560" ht="26.25" customHeight="1"/>
    <row r="40561" ht="26.25" customHeight="1"/>
    <row r="40562" ht="26.25" customHeight="1"/>
    <row r="40563" ht="26.25" customHeight="1"/>
    <row r="40564" ht="26.25" customHeight="1"/>
    <row r="40565" ht="26.25" customHeight="1"/>
    <row r="40566" ht="26.25" customHeight="1"/>
    <row r="40567" ht="26.25" customHeight="1"/>
    <row r="40568" ht="26.25" customHeight="1"/>
    <row r="40569" ht="26.25" customHeight="1"/>
    <row r="40570" ht="26.25" customHeight="1"/>
    <row r="40571" ht="26.25" customHeight="1"/>
    <row r="40572" ht="26.25" customHeight="1"/>
    <row r="40573" ht="26.25" customHeight="1"/>
    <row r="40574" ht="26.25" customHeight="1"/>
    <row r="40575" ht="26.25" customHeight="1"/>
    <row r="40576" ht="26.25" customHeight="1"/>
    <row r="40577" ht="26.25" customHeight="1"/>
    <row r="40578" ht="26.25" customHeight="1"/>
    <row r="40579" ht="26.25" customHeight="1"/>
    <row r="40580" ht="26.25" customHeight="1"/>
    <row r="40581" ht="26.25" customHeight="1"/>
    <row r="40582" ht="26.25" customHeight="1"/>
    <row r="40583" ht="26.25" customHeight="1"/>
    <row r="40584" ht="26.25" customHeight="1"/>
    <row r="40585" ht="26.25" customHeight="1"/>
    <row r="40586" ht="26.25" customHeight="1"/>
    <row r="40587" ht="26.25" customHeight="1"/>
    <row r="40588" ht="26.25" customHeight="1"/>
    <row r="40589" ht="26.25" customHeight="1"/>
    <row r="40590" ht="26.25" customHeight="1"/>
    <row r="40591" ht="26.25" customHeight="1"/>
    <row r="40592" ht="26.25" customHeight="1"/>
    <row r="40593" ht="26.25" customHeight="1"/>
    <row r="40594" ht="26.25" customHeight="1"/>
    <row r="40595" ht="26.25" customHeight="1"/>
    <row r="40596" ht="26.25" customHeight="1"/>
    <row r="40597" ht="26.25" customHeight="1"/>
    <row r="40598" ht="26.25" customHeight="1"/>
    <row r="40599" ht="26.25" customHeight="1"/>
    <row r="40600" ht="26.25" customHeight="1"/>
    <row r="40601" ht="26.25" customHeight="1"/>
    <row r="40602" ht="26.25" customHeight="1"/>
    <row r="40603" ht="26.25" customHeight="1"/>
    <row r="40604" ht="26.25" customHeight="1"/>
    <row r="40605" ht="26.25" customHeight="1"/>
    <row r="40606" ht="26.25" customHeight="1"/>
    <row r="40607" ht="26.25" customHeight="1"/>
    <row r="40608" ht="26.25" customHeight="1"/>
    <row r="40609" ht="26.25" customHeight="1"/>
    <row r="40610" ht="26.25" customHeight="1"/>
    <row r="40611" ht="26.25" customHeight="1"/>
    <row r="40612" ht="26.25" customHeight="1"/>
    <row r="40613" ht="26.25" customHeight="1"/>
    <row r="40614" ht="26.25" customHeight="1"/>
    <row r="40615" ht="26.25" customHeight="1"/>
    <row r="40616" ht="26.25" customHeight="1"/>
    <row r="40617" ht="26.25" customHeight="1"/>
    <row r="40618" ht="26.25" customHeight="1"/>
    <row r="40619" ht="26.25" customHeight="1"/>
    <row r="40620" ht="26.25" customHeight="1"/>
    <row r="40621" ht="26.25" customHeight="1"/>
    <row r="40622" ht="26.25" customHeight="1"/>
    <row r="40623" ht="26.25" customHeight="1"/>
    <row r="40624" ht="26.25" customHeight="1"/>
    <row r="40625" ht="26.25" customHeight="1"/>
    <row r="40626" ht="26.25" customHeight="1"/>
    <row r="40627" ht="26.25" customHeight="1"/>
    <row r="40628" ht="26.25" customHeight="1"/>
    <row r="40629" ht="26.25" customHeight="1"/>
    <row r="40630" ht="26.25" customHeight="1"/>
    <row r="40631" ht="26.25" customHeight="1"/>
    <row r="40632" ht="26.25" customHeight="1"/>
    <row r="40633" ht="26.25" customHeight="1"/>
    <row r="40634" ht="26.25" customHeight="1"/>
    <row r="40635" ht="26.25" customHeight="1"/>
    <row r="40636" ht="26.25" customHeight="1"/>
    <row r="40637" ht="26.25" customHeight="1"/>
    <row r="40638" ht="26.25" customHeight="1"/>
    <row r="40639" ht="26.25" customHeight="1"/>
    <row r="40640" ht="26.25" customHeight="1"/>
    <row r="40641" ht="26.25" customHeight="1"/>
    <row r="40642" ht="26.25" customHeight="1"/>
    <row r="40643" ht="26.25" customHeight="1"/>
    <row r="40644" ht="26.25" customHeight="1"/>
    <row r="40645" ht="26.25" customHeight="1"/>
    <row r="40646" ht="26.25" customHeight="1"/>
    <row r="40647" ht="26.25" customHeight="1"/>
    <row r="40648" ht="26.25" customHeight="1"/>
    <row r="40649" ht="26.25" customHeight="1"/>
    <row r="40650" ht="26.25" customHeight="1"/>
    <row r="40651" ht="26.25" customHeight="1"/>
    <row r="40652" ht="26.25" customHeight="1"/>
    <row r="40653" ht="26.25" customHeight="1"/>
    <row r="40654" ht="26.25" customHeight="1"/>
    <row r="40655" ht="26.25" customHeight="1"/>
    <row r="40656" ht="26.25" customHeight="1"/>
    <row r="40657" ht="26.25" customHeight="1"/>
    <row r="40658" ht="26.25" customHeight="1"/>
    <row r="40659" ht="26.25" customHeight="1"/>
    <row r="40660" ht="26.25" customHeight="1"/>
    <row r="40661" ht="26.25" customHeight="1"/>
    <row r="40662" ht="26.25" customHeight="1"/>
    <row r="40663" ht="26.25" customHeight="1"/>
    <row r="40664" ht="26.25" customHeight="1"/>
    <row r="40665" ht="26.25" customHeight="1"/>
    <row r="40666" ht="26.25" customHeight="1"/>
    <row r="40667" ht="26.25" customHeight="1"/>
    <row r="40668" ht="26.25" customHeight="1"/>
    <row r="40669" ht="26.25" customHeight="1"/>
    <row r="40670" ht="26.25" customHeight="1"/>
    <row r="40671" ht="26.25" customHeight="1"/>
    <row r="40672" ht="26.25" customHeight="1"/>
    <row r="40673" ht="26.25" customHeight="1"/>
    <row r="40674" ht="26.25" customHeight="1"/>
    <row r="40675" ht="26.25" customHeight="1"/>
    <row r="40676" ht="26.25" customHeight="1"/>
    <row r="40677" ht="26.25" customHeight="1"/>
    <row r="40678" ht="26.25" customHeight="1"/>
    <row r="40679" ht="26.25" customHeight="1"/>
    <row r="40680" ht="26.25" customHeight="1"/>
    <row r="40681" ht="26.25" customHeight="1"/>
    <row r="40682" ht="26.25" customHeight="1"/>
    <row r="40683" ht="26.25" customHeight="1"/>
    <row r="40684" ht="26.25" customHeight="1"/>
    <row r="40685" ht="26.25" customHeight="1"/>
    <row r="40686" ht="26.25" customHeight="1"/>
    <row r="40687" ht="26.25" customHeight="1"/>
    <row r="40688" ht="26.25" customHeight="1"/>
    <row r="40689" ht="26.25" customHeight="1"/>
    <row r="40690" ht="26.25" customHeight="1"/>
    <row r="40691" ht="26.25" customHeight="1"/>
    <row r="40692" ht="26.25" customHeight="1"/>
    <row r="40693" ht="26.25" customHeight="1"/>
    <row r="40694" ht="26.25" customHeight="1"/>
    <row r="40695" ht="26.25" customHeight="1"/>
    <row r="40696" ht="26.25" customHeight="1"/>
    <row r="40697" ht="26.25" customHeight="1"/>
    <row r="40698" ht="26.25" customHeight="1"/>
    <row r="40699" ht="26.25" customHeight="1"/>
    <row r="40700" ht="26.25" customHeight="1"/>
    <row r="40701" ht="26.25" customHeight="1"/>
    <row r="40702" ht="26.25" customHeight="1"/>
    <row r="40703" ht="26.25" customHeight="1"/>
    <row r="40704" ht="26.25" customHeight="1"/>
    <row r="40705" ht="26.25" customHeight="1"/>
    <row r="40706" ht="26.25" customHeight="1"/>
    <row r="40707" ht="26.25" customHeight="1"/>
    <row r="40708" ht="26.25" customHeight="1"/>
    <row r="40709" ht="26.25" customHeight="1"/>
    <row r="40710" ht="26.25" customHeight="1"/>
    <row r="40711" ht="26.25" customHeight="1"/>
    <row r="40712" ht="26.25" customHeight="1"/>
    <row r="40713" ht="26.25" customHeight="1"/>
    <row r="40714" ht="26.25" customHeight="1"/>
    <row r="40715" ht="26.25" customHeight="1"/>
    <row r="40716" ht="26.25" customHeight="1"/>
    <row r="40717" ht="26.25" customHeight="1"/>
    <row r="40718" ht="26.25" customHeight="1"/>
    <row r="40719" ht="26.25" customHeight="1"/>
    <row r="40720" ht="26.25" customHeight="1"/>
    <row r="40721" ht="26.25" customHeight="1"/>
    <row r="40722" ht="26.25" customHeight="1"/>
    <row r="40723" ht="26.25" customHeight="1"/>
    <row r="40724" ht="26.25" customHeight="1"/>
    <row r="40725" ht="26.25" customHeight="1"/>
    <row r="40726" ht="26.25" customHeight="1"/>
    <row r="40727" ht="26.25" customHeight="1"/>
    <row r="40728" ht="26.25" customHeight="1"/>
    <row r="40729" ht="26.25" customHeight="1"/>
    <row r="40730" ht="26.25" customHeight="1"/>
    <row r="40731" ht="26.25" customHeight="1"/>
    <row r="40732" ht="26.25" customHeight="1"/>
    <row r="40733" ht="26.25" customHeight="1"/>
    <row r="40734" ht="26.25" customHeight="1"/>
    <row r="40735" ht="26.25" customHeight="1"/>
    <row r="40736" ht="26.25" customHeight="1"/>
    <row r="40737" ht="26.25" customHeight="1"/>
    <row r="40738" ht="26.25" customHeight="1"/>
    <row r="40739" ht="26.25" customHeight="1"/>
    <row r="40740" ht="26.25" customHeight="1"/>
    <row r="40741" ht="26.25" customHeight="1"/>
    <row r="40742" ht="26.25" customHeight="1"/>
    <row r="40743" ht="26.25" customHeight="1"/>
    <row r="40744" ht="26.25" customHeight="1"/>
    <row r="40745" ht="26.25" customHeight="1"/>
    <row r="40746" ht="26.25" customHeight="1"/>
    <row r="40747" ht="26.25" customHeight="1"/>
    <row r="40748" ht="26.25" customHeight="1"/>
    <row r="40749" ht="26.25" customHeight="1"/>
    <row r="40750" ht="26.25" customHeight="1"/>
    <row r="40751" ht="26.25" customHeight="1"/>
    <row r="40752" ht="26.25" customHeight="1"/>
    <row r="40753" ht="26.25" customHeight="1"/>
    <row r="40754" ht="26.25" customHeight="1"/>
    <row r="40755" ht="26.25" customHeight="1"/>
    <row r="40756" ht="26.25" customHeight="1"/>
    <row r="40757" ht="26.25" customHeight="1"/>
    <row r="40758" ht="26.25" customHeight="1"/>
    <row r="40759" ht="26.25" customHeight="1"/>
    <row r="40760" ht="26.25" customHeight="1"/>
    <row r="40761" ht="26.25" customHeight="1"/>
    <row r="40762" ht="26.25" customHeight="1"/>
    <row r="40763" ht="26.25" customHeight="1"/>
    <row r="40764" ht="26.25" customHeight="1"/>
    <row r="40765" ht="26.25" customHeight="1"/>
    <row r="40766" ht="26.25" customHeight="1"/>
    <row r="40767" ht="26.25" customHeight="1"/>
    <row r="40768" ht="26.25" customHeight="1"/>
    <row r="40769" ht="26.25" customHeight="1"/>
    <row r="40770" ht="26.25" customHeight="1"/>
    <row r="40771" ht="26.25" customHeight="1"/>
    <row r="40772" ht="26.25" customHeight="1"/>
    <row r="40773" ht="26.25" customHeight="1"/>
    <row r="40774" ht="26.25" customHeight="1"/>
    <row r="40775" ht="26.25" customHeight="1"/>
    <row r="40776" ht="26.25" customHeight="1"/>
    <row r="40777" ht="26.25" customHeight="1"/>
    <row r="40778" ht="26.25" customHeight="1"/>
    <row r="40779" ht="26.25" customHeight="1"/>
    <row r="40780" ht="26.25" customHeight="1"/>
    <row r="40781" ht="26.25" customHeight="1"/>
    <row r="40782" ht="26.25" customHeight="1"/>
    <row r="40783" ht="26.25" customHeight="1"/>
    <row r="40784" ht="26.25" customHeight="1"/>
    <row r="40785" ht="26.25" customHeight="1"/>
    <row r="40786" ht="26.25" customHeight="1"/>
    <row r="40787" ht="26.25" customHeight="1"/>
    <row r="40788" ht="26.25" customHeight="1"/>
    <row r="40789" ht="26.25" customHeight="1"/>
    <row r="40790" ht="26.25" customHeight="1"/>
    <row r="40791" ht="26.25" customHeight="1"/>
    <row r="40792" ht="26.25" customHeight="1"/>
    <row r="40793" ht="26.25" customHeight="1"/>
    <row r="40794" ht="26.25" customHeight="1"/>
    <row r="40795" ht="26.25" customHeight="1"/>
    <row r="40796" ht="26.25" customHeight="1"/>
    <row r="40797" ht="26.25" customHeight="1"/>
    <row r="40798" ht="26.25" customHeight="1"/>
    <row r="40799" ht="26.25" customHeight="1"/>
    <row r="40800" ht="26.25" customHeight="1"/>
    <row r="40801" ht="26.25" customHeight="1"/>
    <row r="40802" ht="26.25" customHeight="1"/>
    <row r="40803" ht="26.25" customHeight="1"/>
    <row r="40804" ht="26.25" customHeight="1"/>
    <row r="40805" ht="26.25" customHeight="1"/>
    <row r="40806" ht="26.25" customHeight="1"/>
    <row r="40807" ht="26.25" customHeight="1"/>
    <row r="40808" ht="26.25" customHeight="1"/>
    <row r="40809" ht="26.25" customHeight="1"/>
    <row r="40810" ht="26.25" customHeight="1"/>
    <row r="40811" ht="26.25" customHeight="1"/>
    <row r="40812" ht="26.25" customHeight="1"/>
    <row r="40813" ht="26.25" customHeight="1"/>
    <row r="40814" ht="26.25" customHeight="1"/>
    <row r="40815" ht="26.25" customHeight="1"/>
    <row r="40816" ht="26.25" customHeight="1"/>
    <row r="40817" ht="26.25" customHeight="1"/>
    <row r="40818" ht="26.25" customHeight="1"/>
    <row r="40819" ht="26.25" customHeight="1"/>
    <row r="40820" ht="26.25" customHeight="1"/>
    <row r="40821" ht="26.25" customHeight="1"/>
    <row r="40822" ht="26.25" customHeight="1"/>
    <row r="40823" ht="26.25" customHeight="1"/>
    <row r="40824" ht="26.25" customHeight="1"/>
    <row r="40825" ht="26.25" customHeight="1"/>
    <row r="40826" ht="26.25" customHeight="1"/>
    <row r="40827" ht="26.25" customHeight="1"/>
    <row r="40828" ht="26.25" customHeight="1"/>
    <row r="40829" ht="26.25" customHeight="1"/>
    <row r="40830" ht="26.25" customHeight="1"/>
    <row r="40831" ht="26.25" customHeight="1"/>
    <row r="40832" ht="26.25" customHeight="1"/>
    <row r="40833" ht="26.25" customHeight="1"/>
    <row r="40834" ht="26.25" customHeight="1"/>
    <row r="40835" ht="26.25" customHeight="1"/>
    <row r="40836" ht="26.25" customHeight="1"/>
    <row r="40837" ht="26.25" customHeight="1"/>
    <row r="40838" ht="26.25" customHeight="1"/>
    <row r="40839" ht="26.25" customHeight="1"/>
    <row r="40840" ht="26.25" customHeight="1"/>
    <row r="40841" ht="26.25" customHeight="1"/>
    <row r="40842" ht="26.25" customHeight="1"/>
    <row r="40843" ht="26.25" customHeight="1"/>
    <row r="40844" ht="26.25" customHeight="1"/>
    <row r="40845" ht="26.25" customHeight="1"/>
    <row r="40846" ht="26.25" customHeight="1"/>
    <row r="40847" ht="26.25" customHeight="1"/>
    <row r="40848" ht="26.25" customHeight="1"/>
    <row r="40849" ht="26.25" customHeight="1"/>
    <row r="40850" ht="26.25" customHeight="1"/>
    <row r="40851" ht="26.25" customHeight="1"/>
    <row r="40852" ht="26.25" customHeight="1"/>
    <row r="40853" ht="26.25" customHeight="1"/>
    <row r="40854" ht="26.25" customHeight="1"/>
    <row r="40855" ht="26.25" customHeight="1"/>
    <row r="40856" ht="26.25" customHeight="1"/>
    <row r="40857" ht="26.25" customHeight="1"/>
    <row r="40858" ht="26.25" customHeight="1"/>
    <row r="40859" ht="26.25" customHeight="1"/>
    <row r="40860" ht="26.25" customHeight="1"/>
    <row r="40861" ht="26.25" customHeight="1"/>
    <row r="40862" ht="26.25" customHeight="1"/>
    <row r="40863" ht="26.25" customHeight="1"/>
    <row r="40864" ht="26.25" customHeight="1"/>
    <row r="40865" ht="26.25" customHeight="1"/>
    <row r="40866" ht="26.25" customHeight="1"/>
    <row r="40867" ht="26.25" customHeight="1"/>
    <row r="40868" ht="26.25" customHeight="1"/>
    <row r="40869" ht="26.25" customHeight="1"/>
    <row r="40870" ht="26.25" customHeight="1"/>
    <row r="40871" ht="26.25" customHeight="1"/>
    <row r="40872" ht="26.25" customHeight="1"/>
    <row r="40873" ht="26.25" customHeight="1"/>
    <row r="40874" ht="26.25" customHeight="1"/>
    <row r="40875" ht="26.25" customHeight="1"/>
    <row r="40876" ht="26.25" customHeight="1"/>
    <row r="40877" ht="26.25" customHeight="1"/>
    <row r="40878" ht="26.25" customHeight="1"/>
    <row r="40879" ht="26.25" customHeight="1"/>
    <row r="40880" ht="26.25" customHeight="1"/>
    <row r="40881" ht="26.25" customHeight="1"/>
    <row r="40882" ht="26.25" customHeight="1"/>
    <row r="40883" ht="26.25" customHeight="1"/>
    <row r="40884" ht="26.25" customHeight="1"/>
    <row r="40885" ht="26.25" customHeight="1"/>
    <row r="40886" ht="26.25" customHeight="1"/>
    <row r="40887" ht="26.25" customHeight="1"/>
    <row r="40888" ht="26.25" customHeight="1"/>
    <row r="40889" ht="26.25" customHeight="1"/>
    <row r="40890" ht="26.25" customHeight="1"/>
    <row r="40891" ht="26.25" customHeight="1"/>
    <row r="40892" ht="26.25" customHeight="1"/>
    <row r="40893" ht="26.25" customHeight="1"/>
    <row r="40894" ht="26.25" customHeight="1"/>
    <row r="40895" ht="26.25" customHeight="1"/>
    <row r="40896" ht="26.25" customHeight="1"/>
    <row r="40897" ht="26.25" customHeight="1"/>
    <row r="40898" ht="26.25" customHeight="1"/>
    <row r="40899" ht="26.25" customHeight="1"/>
    <row r="40900" ht="26.25" customHeight="1"/>
    <row r="40901" ht="26.25" customHeight="1"/>
    <row r="40902" ht="26.25" customHeight="1"/>
    <row r="40903" ht="26.25" customHeight="1"/>
    <row r="40904" ht="26.25" customHeight="1"/>
    <row r="40905" ht="26.25" customHeight="1"/>
    <row r="40906" ht="26.25" customHeight="1"/>
    <row r="40907" ht="26.25" customHeight="1"/>
    <row r="40908" ht="26.25" customHeight="1"/>
    <row r="40909" ht="26.25" customHeight="1"/>
    <row r="40910" ht="26.25" customHeight="1"/>
    <row r="40911" ht="26.25" customHeight="1"/>
    <row r="40912" ht="26.25" customHeight="1"/>
    <row r="40913" ht="26.25" customHeight="1"/>
    <row r="40914" ht="26.25" customHeight="1"/>
    <row r="40915" ht="26.25" customHeight="1"/>
    <row r="40916" ht="26.25" customHeight="1"/>
    <row r="40917" ht="26.25" customHeight="1"/>
    <row r="40918" ht="26.25" customHeight="1"/>
    <row r="40919" ht="26.25" customHeight="1"/>
    <row r="40920" ht="26.25" customHeight="1"/>
    <row r="40921" ht="26.25" customHeight="1"/>
    <row r="40922" ht="26.25" customHeight="1"/>
    <row r="40923" ht="26.25" customHeight="1"/>
    <row r="40924" ht="26.25" customHeight="1"/>
    <row r="40925" ht="26.25" customHeight="1"/>
    <row r="40926" ht="26.25" customHeight="1"/>
    <row r="40927" ht="26.25" customHeight="1"/>
    <row r="40928" ht="26.25" customHeight="1"/>
    <row r="40929" ht="26.25" customHeight="1"/>
    <row r="40930" ht="26.25" customHeight="1"/>
    <row r="40931" ht="26.25" customHeight="1"/>
    <row r="40932" ht="26.25" customHeight="1"/>
    <row r="40933" ht="26.25" customHeight="1"/>
    <row r="40934" ht="26.25" customHeight="1"/>
    <row r="40935" ht="26.25" customHeight="1"/>
    <row r="40936" ht="26.25" customHeight="1"/>
    <row r="40937" ht="26.25" customHeight="1"/>
    <row r="40938" ht="26.25" customHeight="1"/>
    <row r="40939" ht="26.25" customHeight="1"/>
    <row r="40940" ht="26.25" customHeight="1"/>
    <row r="40941" ht="26.25" customHeight="1"/>
    <row r="40942" ht="26.25" customHeight="1"/>
    <row r="40943" ht="26.25" customHeight="1"/>
    <row r="40944" ht="26.25" customHeight="1"/>
    <row r="40945" ht="26.25" customHeight="1"/>
    <row r="40946" ht="26.25" customHeight="1"/>
    <row r="40947" ht="26.25" customHeight="1"/>
    <row r="40948" ht="26.25" customHeight="1"/>
    <row r="40949" ht="26.25" customHeight="1"/>
    <row r="40950" ht="26.25" customHeight="1"/>
    <row r="40951" ht="26.25" customHeight="1"/>
    <row r="40952" ht="26.25" customHeight="1"/>
    <row r="40953" ht="26.25" customHeight="1"/>
    <row r="40954" ht="26.25" customHeight="1"/>
    <row r="40955" ht="26.25" customHeight="1"/>
    <row r="40956" ht="26.25" customHeight="1"/>
    <row r="40957" ht="26.25" customHeight="1"/>
    <row r="40958" ht="26.25" customHeight="1"/>
    <row r="40959" ht="26.25" customHeight="1"/>
    <row r="40960" ht="26.25" customHeight="1"/>
    <row r="40961" ht="26.25" customHeight="1"/>
    <row r="40962" ht="26.25" customHeight="1"/>
    <row r="40963" ht="26.25" customHeight="1"/>
    <row r="40964" ht="26.25" customHeight="1"/>
    <row r="40965" ht="26.25" customHeight="1"/>
    <row r="40966" ht="26.25" customHeight="1"/>
    <row r="40967" ht="26.25" customHeight="1"/>
    <row r="40968" ht="26.25" customHeight="1"/>
    <row r="40969" ht="26.25" customHeight="1"/>
    <row r="40970" ht="26.25" customHeight="1"/>
    <row r="40971" ht="26.25" customHeight="1"/>
    <row r="40972" ht="26.25" customHeight="1"/>
    <row r="40973" ht="26.25" customHeight="1"/>
    <row r="40974" ht="26.25" customHeight="1"/>
    <row r="40975" ht="26.25" customHeight="1"/>
    <row r="40976" ht="26.25" customHeight="1"/>
    <row r="40977" ht="26.25" customHeight="1"/>
    <row r="40978" ht="26.25" customHeight="1"/>
    <row r="40979" ht="26.25" customHeight="1"/>
    <row r="40980" ht="26.25" customHeight="1"/>
    <row r="40981" ht="26.25" customHeight="1"/>
    <row r="40982" ht="26.25" customHeight="1"/>
    <row r="40983" ht="26.25" customHeight="1"/>
    <row r="40984" ht="26.25" customHeight="1"/>
    <row r="40985" ht="26.25" customHeight="1"/>
    <row r="40986" ht="26.25" customHeight="1"/>
    <row r="40987" ht="26.25" customHeight="1"/>
    <row r="40988" ht="26.25" customHeight="1"/>
    <row r="40989" ht="26.25" customHeight="1"/>
    <row r="40990" ht="26.25" customHeight="1"/>
    <row r="40991" ht="26.25" customHeight="1"/>
    <row r="40992" ht="26.25" customHeight="1"/>
    <row r="40993" ht="26.25" customHeight="1"/>
    <row r="40994" ht="26.25" customHeight="1"/>
    <row r="40995" ht="26.25" customHeight="1"/>
    <row r="40996" ht="26.25" customHeight="1"/>
    <row r="40997" ht="26.25" customHeight="1"/>
    <row r="40998" ht="26.25" customHeight="1"/>
    <row r="40999" ht="26.25" customHeight="1"/>
    <row r="41000" ht="26.25" customHeight="1"/>
    <row r="41001" ht="26.25" customHeight="1"/>
    <row r="41002" ht="26.25" customHeight="1"/>
    <row r="41003" ht="26.25" customHeight="1"/>
    <row r="41004" ht="26.25" customHeight="1"/>
    <row r="41005" ht="26.25" customHeight="1"/>
    <row r="41006" ht="26.25" customHeight="1"/>
    <row r="41007" ht="26.25" customHeight="1"/>
    <row r="41008" ht="26.25" customHeight="1"/>
    <row r="41009" ht="26.25" customHeight="1"/>
    <row r="41010" ht="26.25" customHeight="1"/>
    <row r="41011" ht="26.25" customHeight="1"/>
    <row r="41012" ht="26.25" customHeight="1"/>
    <row r="41013" ht="26.25" customHeight="1"/>
    <row r="41014" ht="26.25" customHeight="1"/>
    <row r="41015" ht="26.25" customHeight="1"/>
    <row r="41016" ht="26.25" customHeight="1"/>
    <row r="41017" ht="26.25" customHeight="1"/>
    <row r="41018" ht="26.25" customHeight="1"/>
    <row r="41019" ht="26.25" customHeight="1"/>
    <row r="41020" ht="26.25" customHeight="1"/>
    <row r="41021" ht="26.25" customHeight="1"/>
    <row r="41022" ht="26.25" customHeight="1"/>
    <row r="41023" ht="26.25" customHeight="1"/>
    <row r="41024" ht="26.25" customHeight="1"/>
    <row r="41025" ht="26.25" customHeight="1"/>
    <row r="41026" ht="26.25" customHeight="1"/>
    <row r="41027" ht="26.25" customHeight="1"/>
    <row r="41028" ht="26.25" customHeight="1"/>
    <row r="41029" ht="26.25" customHeight="1"/>
    <row r="41030" ht="26.25" customHeight="1"/>
    <row r="41031" ht="26.25" customHeight="1"/>
    <row r="41032" ht="26.25" customHeight="1"/>
    <row r="41033" ht="26.25" customHeight="1"/>
    <row r="41034" ht="26.25" customHeight="1"/>
    <row r="41035" ht="26.25" customHeight="1"/>
    <row r="41036" ht="26.25" customHeight="1"/>
    <row r="41037" ht="26.25" customHeight="1"/>
    <row r="41038" ht="26.25" customHeight="1"/>
    <row r="41039" ht="26.25" customHeight="1"/>
    <row r="41040" ht="26.25" customHeight="1"/>
    <row r="41041" ht="26.25" customHeight="1"/>
    <row r="41042" ht="26.25" customHeight="1"/>
    <row r="41043" ht="26.25" customHeight="1"/>
    <row r="41044" ht="26.25" customHeight="1"/>
    <row r="41045" ht="26.25" customHeight="1"/>
    <row r="41046" ht="26.25" customHeight="1"/>
    <row r="41047" ht="26.25" customHeight="1"/>
    <row r="41048" ht="26.25" customHeight="1"/>
    <row r="41049" ht="26.25" customHeight="1"/>
    <row r="41050" ht="26.25" customHeight="1"/>
    <row r="41051" ht="26.25" customHeight="1"/>
    <row r="41052" ht="26.25" customHeight="1"/>
    <row r="41053" ht="26.25" customHeight="1"/>
    <row r="41054" ht="26.25" customHeight="1"/>
    <row r="41055" ht="26.25" customHeight="1"/>
    <row r="41056" ht="26.25" customHeight="1"/>
    <row r="41057" ht="26.25" customHeight="1"/>
    <row r="41058" ht="26.25" customHeight="1"/>
    <row r="41059" ht="26.25" customHeight="1"/>
    <row r="41060" ht="26.25" customHeight="1"/>
    <row r="41061" ht="26.25" customHeight="1"/>
    <row r="41062" ht="26.25" customHeight="1"/>
    <row r="41063" ht="26.25" customHeight="1"/>
    <row r="41064" ht="26.25" customHeight="1"/>
    <row r="41065" ht="26.25" customHeight="1"/>
    <row r="41066" ht="26.25" customHeight="1"/>
    <row r="41067" ht="26.25" customHeight="1"/>
    <row r="41068" ht="26.25" customHeight="1"/>
    <row r="41069" ht="26.25" customHeight="1"/>
    <row r="41070" ht="26.25" customHeight="1"/>
    <row r="41071" ht="26.25" customHeight="1"/>
    <row r="41072" ht="26.25" customHeight="1"/>
    <row r="41073" ht="26.25" customHeight="1"/>
    <row r="41074" ht="26.25" customHeight="1"/>
    <row r="41075" ht="26.25" customHeight="1"/>
    <row r="41076" ht="26.25" customHeight="1"/>
    <row r="41077" ht="26.25" customHeight="1"/>
    <row r="41078" ht="26.25" customHeight="1"/>
    <row r="41079" ht="26.25" customHeight="1"/>
    <row r="41080" ht="26.25" customHeight="1"/>
    <row r="41081" ht="26.25" customHeight="1"/>
    <row r="41082" ht="26.25" customHeight="1"/>
    <row r="41083" ht="26.25" customHeight="1"/>
    <row r="41084" ht="26.25" customHeight="1"/>
    <row r="41085" ht="26.25" customHeight="1"/>
    <row r="41086" ht="26.25" customHeight="1"/>
    <row r="41087" ht="26.25" customHeight="1"/>
    <row r="41088" ht="26.25" customHeight="1"/>
    <row r="41089" ht="26.25" customHeight="1"/>
    <row r="41090" ht="26.25" customHeight="1"/>
    <row r="41091" ht="26.25" customHeight="1"/>
    <row r="41092" ht="26.25" customHeight="1"/>
    <row r="41093" ht="26.25" customHeight="1"/>
    <row r="41094" ht="26.25" customHeight="1"/>
    <row r="41095" ht="26.25" customHeight="1"/>
    <row r="41096" ht="26.25" customHeight="1"/>
    <row r="41097" ht="26.25" customHeight="1"/>
    <row r="41098" ht="26.25" customHeight="1"/>
    <row r="41099" ht="26.25" customHeight="1"/>
    <row r="41100" ht="26.25" customHeight="1"/>
    <row r="41101" ht="26.25" customHeight="1"/>
    <row r="41102" ht="26.25" customHeight="1"/>
    <row r="41103" ht="26.25" customHeight="1"/>
    <row r="41104" ht="26.25" customHeight="1"/>
    <row r="41105" ht="26.25" customHeight="1"/>
    <row r="41106" ht="26.25" customHeight="1"/>
    <row r="41107" ht="26.25" customHeight="1"/>
    <row r="41108" ht="26.25" customHeight="1"/>
    <row r="41109" ht="26.25" customHeight="1"/>
    <row r="41110" ht="26.25" customHeight="1"/>
    <row r="41111" ht="26.25" customHeight="1"/>
    <row r="41112" ht="26.25" customHeight="1"/>
    <row r="41113" ht="26.25" customHeight="1"/>
    <row r="41114" ht="26.25" customHeight="1"/>
    <row r="41115" ht="26.25" customHeight="1"/>
    <row r="41116" ht="26.25" customHeight="1"/>
    <row r="41117" ht="26.25" customHeight="1"/>
    <row r="41118" ht="26.25" customHeight="1"/>
    <row r="41119" ht="26.25" customHeight="1"/>
    <row r="41120" ht="26.25" customHeight="1"/>
    <row r="41121" ht="26.25" customHeight="1"/>
    <row r="41122" ht="26.25" customHeight="1"/>
    <row r="41123" ht="26.25" customHeight="1"/>
    <row r="41124" ht="26.25" customHeight="1"/>
    <row r="41125" ht="26.25" customHeight="1"/>
    <row r="41126" ht="26.25" customHeight="1"/>
    <row r="41127" ht="26.25" customHeight="1"/>
    <row r="41128" ht="26.25" customHeight="1"/>
    <row r="41129" ht="26.25" customHeight="1"/>
    <row r="41130" ht="26.25" customHeight="1"/>
    <row r="41131" ht="26.25" customHeight="1"/>
    <row r="41132" ht="26.25" customHeight="1"/>
    <row r="41133" ht="26.25" customHeight="1"/>
    <row r="41134" ht="26.25" customHeight="1"/>
    <row r="41135" ht="26.25" customHeight="1"/>
    <row r="41136" ht="26.25" customHeight="1"/>
    <row r="41137" ht="26.25" customHeight="1"/>
    <row r="41138" ht="26.25" customHeight="1"/>
    <row r="41139" ht="26.25" customHeight="1"/>
    <row r="41140" ht="26.25" customHeight="1"/>
    <row r="41141" ht="26.25" customHeight="1"/>
    <row r="41142" ht="26.25" customHeight="1"/>
    <row r="41143" ht="26.25" customHeight="1"/>
    <row r="41144" ht="26.25" customHeight="1"/>
    <row r="41145" ht="26.25" customHeight="1"/>
    <row r="41146" ht="26.25" customHeight="1"/>
    <row r="41147" ht="26.25" customHeight="1"/>
    <row r="41148" ht="26.25" customHeight="1"/>
    <row r="41149" ht="26.25" customHeight="1"/>
    <row r="41150" ht="26.25" customHeight="1"/>
    <row r="41151" ht="26.25" customHeight="1"/>
    <row r="41152" ht="26.25" customHeight="1"/>
    <row r="41153" ht="26.25" customHeight="1"/>
    <row r="41154" ht="26.25" customHeight="1"/>
    <row r="41155" ht="26.25" customHeight="1"/>
    <row r="41156" ht="26.25" customHeight="1"/>
    <row r="41157" ht="26.25" customHeight="1"/>
    <row r="41158" ht="26.25" customHeight="1"/>
    <row r="41159" ht="26.25" customHeight="1"/>
    <row r="41160" ht="26.25" customHeight="1"/>
    <row r="41161" ht="26.25" customHeight="1"/>
    <row r="41162" ht="26.25" customHeight="1"/>
    <row r="41163" ht="26.25" customHeight="1"/>
    <row r="41164" ht="26.25" customHeight="1"/>
    <row r="41165" ht="26.25" customHeight="1"/>
    <row r="41166" ht="26.25" customHeight="1"/>
    <row r="41167" ht="26.25" customHeight="1"/>
    <row r="41168" ht="26.25" customHeight="1"/>
    <row r="41169" ht="26.25" customHeight="1"/>
    <row r="41170" ht="26.25" customHeight="1"/>
    <row r="41171" ht="26.25" customHeight="1"/>
    <row r="41172" ht="26.25" customHeight="1"/>
    <row r="41173" ht="26.25" customHeight="1"/>
    <row r="41174" ht="26.25" customHeight="1"/>
    <row r="41175" ht="26.25" customHeight="1"/>
    <row r="41176" ht="26.25" customHeight="1"/>
    <row r="41177" ht="26.25" customHeight="1"/>
    <row r="41178" ht="26.25" customHeight="1"/>
    <row r="41179" ht="26.25" customHeight="1"/>
    <row r="41180" ht="26.25" customHeight="1"/>
    <row r="41181" ht="26.25" customHeight="1"/>
    <row r="41182" ht="26.25" customHeight="1"/>
    <row r="41183" ht="26.25" customHeight="1"/>
    <row r="41184" ht="26.25" customHeight="1"/>
    <row r="41185" ht="26.25" customHeight="1"/>
    <row r="41186" ht="26.25" customHeight="1"/>
    <row r="41187" ht="26.25" customHeight="1"/>
    <row r="41188" ht="26.25" customHeight="1"/>
    <row r="41189" ht="26.25" customHeight="1"/>
    <row r="41190" ht="26.25" customHeight="1"/>
    <row r="41191" ht="26.25" customHeight="1"/>
    <row r="41192" ht="26.25" customHeight="1"/>
    <row r="41193" ht="26.25" customHeight="1"/>
    <row r="41194" ht="26.25" customHeight="1"/>
    <row r="41195" ht="26.25" customHeight="1"/>
    <row r="41196" ht="26.25" customHeight="1"/>
    <row r="41197" ht="26.25" customHeight="1"/>
    <row r="41198" ht="26.25" customHeight="1"/>
    <row r="41199" ht="26.25" customHeight="1"/>
    <row r="41200" ht="26.25" customHeight="1"/>
    <row r="41201" ht="26.25" customHeight="1"/>
    <row r="41202" ht="26.25" customHeight="1"/>
    <row r="41203" ht="26.25" customHeight="1"/>
    <row r="41204" ht="26.25" customHeight="1"/>
    <row r="41205" ht="26.25" customHeight="1"/>
    <row r="41206" ht="26.25" customHeight="1"/>
    <row r="41207" ht="26.25" customHeight="1"/>
    <row r="41208" ht="26.25" customHeight="1"/>
    <row r="41209" ht="26.25" customHeight="1"/>
    <row r="41210" ht="26.25" customHeight="1"/>
    <row r="41211" ht="26.25" customHeight="1"/>
    <row r="41212" ht="26.25" customHeight="1"/>
    <row r="41213" ht="26.25" customHeight="1"/>
    <row r="41214" ht="26.25" customHeight="1"/>
    <row r="41215" ht="26.25" customHeight="1"/>
    <row r="41216" ht="26.25" customHeight="1"/>
    <row r="41217" ht="26.25" customHeight="1"/>
    <row r="41218" ht="26.25" customHeight="1"/>
    <row r="41219" ht="26.25" customHeight="1"/>
    <row r="41220" ht="26.25" customHeight="1"/>
    <row r="41221" ht="26.25" customHeight="1"/>
    <row r="41222" ht="26.25" customHeight="1"/>
    <row r="41223" ht="26.25" customHeight="1"/>
    <row r="41224" ht="26.25" customHeight="1"/>
    <row r="41225" ht="26.25" customHeight="1"/>
    <row r="41226" ht="26.25" customHeight="1"/>
    <row r="41227" ht="26.25" customHeight="1"/>
    <row r="41228" ht="26.25" customHeight="1"/>
    <row r="41229" ht="26.25" customHeight="1"/>
    <row r="41230" ht="26.25" customHeight="1"/>
    <row r="41231" ht="26.25" customHeight="1"/>
    <row r="41232" ht="26.25" customHeight="1"/>
    <row r="41233" ht="26.25" customHeight="1"/>
    <row r="41234" ht="26.25" customHeight="1"/>
    <row r="41235" ht="26.25" customHeight="1"/>
    <row r="41236" ht="26.25" customHeight="1"/>
    <row r="41237" ht="26.25" customHeight="1"/>
    <row r="41238" ht="26.25" customHeight="1"/>
    <row r="41239" ht="26.25" customHeight="1"/>
    <row r="41240" ht="26.25" customHeight="1"/>
    <row r="41241" ht="26.25" customHeight="1"/>
    <row r="41242" ht="26.25" customHeight="1"/>
    <row r="41243" ht="26.25" customHeight="1"/>
    <row r="41244" ht="26.25" customHeight="1"/>
    <row r="41245" ht="26.25" customHeight="1"/>
    <row r="41246" ht="26.25" customHeight="1"/>
    <row r="41247" ht="26.25" customHeight="1"/>
    <row r="41248" ht="26.25" customHeight="1"/>
    <row r="41249" ht="26.25" customHeight="1"/>
    <row r="41250" ht="26.25" customHeight="1"/>
    <row r="41251" ht="26.25" customHeight="1"/>
    <row r="41252" ht="26.25" customHeight="1"/>
    <row r="41253" ht="26.25" customHeight="1"/>
    <row r="41254" ht="26.25" customHeight="1"/>
    <row r="41255" ht="26.25" customHeight="1"/>
    <row r="41256" ht="26.25" customHeight="1"/>
    <row r="41257" ht="26.25" customHeight="1"/>
    <row r="41258" ht="26.25" customHeight="1"/>
    <row r="41259" ht="26.25" customHeight="1"/>
    <row r="41260" ht="26.25" customHeight="1"/>
    <row r="41261" ht="26.25" customHeight="1"/>
    <row r="41262" ht="26.25" customHeight="1"/>
    <row r="41263" ht="26.25" customHeight="1"/>
    <row r="41264" ht="26.25" customHeight="1"/>
    <row r="41265" ht="26.25" customHeight="1"/>
    <row r="41266" ht="26.25" customHeight="1"/>
    <row r="41267" ht="26.25" customHeight="1"/>
    <row r="41268" ht="26.25" customHeight="1"/>
    <row r="41269" ht="26.25" customHeight="1"/>
    <row r="41270" ht="26.25" customHeight="1"/>
    <row r="41271" ht="26.25" customHeight="1"/>
    <row r="41272" ht="26.25" customHeight="1"/>
    <row r="41273" ht="26.25" customHeight="1"/>
    <row r="41274" ht="26.25" customHeight="1"/>
    <row r="41275" ht="26.25" customHeight="1"/>
    <row r="41276" ht="26.25" customHeight="1"/>
    <row r="41277" ht="26.25" customHeight="1"/>
    <row r="41278" ht="26.25" customHeight="1"/>
    <row r="41279" ht="26.25" customHeight="1"/>
    <row r="41280" ht="26.25" customHeight="1"/>
    <row r="41281" ht="26.25" customHeight="1"/>
    <row r="41282" ht="26.25" customHeight="1"/>
    <row r="41283" ht="26.25" customHeight="1"/>
    <row r="41284" ht="26.25" customHeight="1"/>
    <row r="41285" ht="26.25" customHeight="1"/>
    <row r="41286" ht="26.25" customHeight="1"/>
    <row r="41287" ht="26.25" customHeight="1"/>
    <row r="41288" ht="26.25" customHeight="1"/>
    <row r="41289" ht="26.25" customHeight="1"/>
    <row r="41290" ht="26.25" customHeight="1"/>
    <row r="41291" ht="26.25" customHeight="1"/>
    <row r="41292" ht="26.25" customHeight="1"/>
    <row r="41293" ht="26.25" customHeight="1"/>
    <row r="41294" ht="26.25" customHeight="1"/>
    <row r="41295" ht="26.25" customHeight="1"/>
    <row r="41296" ht="26.25" customHeight="1"/>
    <row r="41297" ht="26.25" customHeight="1"/>
    <row r="41298" ht="26.25" customHeight="1"/>
    <row r="41299" ht="26.25" customHeight="1"/>
    <row r="41300" ht="26.25" customHeight="1"/>
    <row r="41301" ht="26.25" customHeight="1"/>
    <row r="41302" ht="26.25" customHeight="1"/>
    <row r="41303" ht="26.25" customHeight="1"/>
    <row r="41304" ht="26.25" customHeight="1"/>
    <row r="41305" ht="26.25" customHeight="1"/>
    <row r="41306" ht="26.25" customHeight="1"/>
    <row r="41307" ht="26.25" customHeight="1"/>
    <row r="41308" ht="26.25" customHeight="1"/>
    <row r="41309" ht="26.25" customHeight="1"/>
    <row r="41310" ht="26.25" customHeight="1"/>
    <row r="41311" ht="26.25" customHeight="1"/>
    <row r="41312" ht="26.25" customHeight="1"/>
    <row r="41313" ht="26.25" customHeight="1"/>
    <row r="41314" ht="26.25" customHeight="1"/>
    <row r="41315" ht="26.25" customHeight="1"/>
    <row r="41316" ht="26.25" customHeight="1"/>
    <row r="41317" ht="26.25" customHeight="1"/>
    <row r="41318" ht="26.25" customHeight="1"/>
    <row r="41319" ht="26.25" customHeight="1"/>
    <row r="41320" ht="26.25" customHeight="1"/>
    <row r="41321" ht="26.25" customHeight="1"/>
    <row r="41322" ht="26.25" customHeight="1"/>
    <row r="41323" ht="26.25" customHeight="1"/>
    <row r="41324" ht="26.25" customHeight="1"/>
    <row r="41325" ht="26.25" customHeight="1"/>
    <row r="41326" ht="26.25" customHeight="1"/>
    <row r="41327" ht="26.25" customHeight="1"/>
    <row r="41328" ht="26.25" customHeight="1"/>
    <row r="41329" ht="26.25" customHeight="1"/>
    <row r="41330" ht="26.25" customHeight="1"/>
    <row r="41331" ht="26.25" customHeight="1"/>
    <row r="41332" ht="26.25" customHeight="1"/>
    <row r="41333" ht="26.25" customHeight="1"/>
    <row r="41334" ht="26.25" customHeight="1"/>
    <row r="41335" ht="26.25" customHeight="1"/>
    <row r="41336" ht="26.25" customHeight="1"/>
    <row r="41337" ht="26.25" customHeight="1"/>
    <row r="41338" ht="26.25" customHeight="1"/>
    <row r="41339" ht="26.25" customHeight="1"/>
    <row r="41340" ht="26.25" customHeight="1"/>
    <row r="41341" ht="26.25" customHeight="1"/>
    <row r="41342" ht="26.25" customHeight="1"/>
    <row r="41343" ht="26.25" customHeight="1"/>
    <row r="41344" ht="26.25" customHeight="1"/>
    <row r="41345" ht="26.25" customHeight="1"/>
    <row r="41346" ht="26.25" customHeight="1"/>
    <row r="41347" ht="26.25" customHeight="1"/>
    <row r="41348" ht="26.25" customHeight="1"/>
    <row r="41349" ht="26.25" customHeight="1"/>
    <row r="41350" ht="26.25" customHeight="1"/>
    <row r="41351" ht="26.25" customHeight="1"/>
    <row r="41352" ht="26.25" customHeight="1"/>
    <row r="41353" ht="26.25" customHeight="1"/>
    <row r="41354" ht="26.25" customHeight="1"/>
    <row r="41355" ht="26.25" customHeight="1"/>
    <row r="41356" ht="26.25" customHeight="1"/>
    <row r="41357" ht="26.25" customHeight="1"/>
    <row r="41358" ht="26.25" customHeight="1"/>
    <row r="41359" ht="26.25" customHeight="1"/>
    <row r="41360" ht="26.25" customHeight="1"/>
    <row r="41361" ht="26.25" customHeight="1"/>
    <row r="41362" ht="26.25" customHeight="1"/>
    <row r="41363" ht="26.25" customHeight="1"/>
    <row r="41364" ht="26.25" customHeight="1"/>
    <row r="41365" ht="26.25" customHeight="1"/>
    <row r="41366" ht="26.25" customHeight="1"/>
    <row r="41367" ht="26.25" customHeight="1"/>
    <row r="41368" ht="26.25" customHeight="1"/>
    <row r="41369" ht="26.25" customHeight="1"/>
    <row r="41370" ht="26.25" customHeight="1"/>
    <row r="41371" ht="26.25" customHeight="1"/>
    <row r="41372" ht="26.25" customHeight="1"/>
    <row r="41373" ht="26.25" customHeight="1"/>
    <row r="41374" ht="26.25" customHeight="1"/>
    <row r="41375" ht="26.25" customHeight="1"/>
    <row r="41376" ht="26.25" customHeight="1"/>
    <row r="41377" ht="26.25" customHeight="1"/>
    <row r="41378" ht="26.25" customHeight="1"/>
    <row r="41379" ht="26.25" customHeight="1"/>
    <row r="41380" ht="26.25" customHeight="1"/>
    <row r="41381" ht="26.25" customHeight="1"/>
    <row r="41382" ht="26.25" customHeight="1"/>
    <row r="41383" ht="26.25" customHeight="1"/>
    <row r="41384" ht="26.25" customHeight="1"/>
    <row r="41385" ht="26.25" customHeight="1"/>
    <row r="41386" ht="26.25" customHeight="1"/>
    <row r="41387" ht="26.25" customHeight="1"/>
    <row r="41388" ht="26.25" customHeight="1"/>
    <row r="41389" ht="26.25" customHeight="1"/>
    <row r="41390" ht="26.25" customHeight="1"/>
    <row r="41391" ht="26.25" customHeight="1"/>
    <row r="41392" ht="26.25" customHeight="1"/>
    <row r="41393" ht="26.25" customHeight="1"/>
    <row r="41394" ht="26.25" customHeight="1"/>
    <row r="41395" ht="26.25" customHeight="1"/>
    <row r="41396" ht="26.25" customHeight="1"/>
    <row r="41397" ht="26.25" customHeight="1"/>
    <row r="41398" ht="26.25" customHeight="1"/>
    <row r="41399" ht="26.25" customHeight="1"/>
    <row r="41400" ht="26.25" customHeight="1"/>
    <row r="41401" ht="26.25" customHeight="1"/>
    <row r="41402" ht="26.25" customHeight="1"/>
    <row r="41403" ht="26.25" customHeight="1"/>
    <row r="41404" ht="26.25" customHeight="1"/>
    <row r="41405" ht="26.25" customHeight="1"/>
    <row r="41406" ht="26.25" customHeight="1"/>
    <row r="41407" ht="26.25" customHeight="1"/>
    <row r="41408" ht="26.25" customHeight="1"/>
    <row r="41409" ht="26.25" customHeight="1"/>
    <row r="41410" ht="26.25" customHeight="1"/>
    <row r="41411" ht="26.25" customHeight="1"/>
    <row r="41412" ht="26.25" customHeight="1"/>
    <row r="41413" ht="26.25" customHeight="1"/>
    <row r="41414" ht="26.25" customHeight="1"/>
    <row r="41415" ht="26.25" customHeight="1"/>
    <row r="41416" ht="26.25" customHeight="1"/>
    <row r="41417" ht="26.25" customHeight="1"/>
    <row r="41418" ht="26.25" customHeight="1"/>
    <row r="41419" ht="26.25" customHeight="1"/>
    <row r="41420" ht="26.25" customHeight="1"/>
    <row r="41421" ht="26.25" customHeight="1"/>
    <row r="41422" ht="26.25" customHeight="1"/>
    <row r="41423" ht="26.25" customHeight="1"/>
    <row r="41424" ht="26.25" customHeight="1"/>
    <row r="41425" ht="26.25" customHeight="1"/>
    <row r="41426" ht="26.25" customHeight="1"/>
    <row r="41427" ht="26.25" customHeight="1"/>
    <row r="41428" ht="26.25" customHeight="1"/>
    <row r="41429" ht="26.25" customHeight="1"/>
    <row r="41430" ht="26.25" customHeight="1"/>
    <row r="41431" ht="26.25" customHeight="1"/>
    <row r="41432" ht="26.25" customHeight="1"/>
    <row r="41433" ht="26.25" customHeight="1"/>
    <row r="41434" ht="26.25" customHeight="1"/>
    <row r="41435" ht="26.25" customHeight="1"/>
    <row r="41436" ht="26.25" customHeight="1"/>
    <row r="41437" ht="26.25" customHeight="1"/>
    <row r="41438" ht="26.25" customHeight="1"/>
    <row r="41439" ht="26.25" customHeight="1"/>
    <row r="41440" ht="26.25" customHeight="1"/>
    <row r="41441" ht="26.25" customHeight="1"/>
    <row r="41442" ht="26.25" customHeight="1"/>
    <row r="41443" ht="26.25" customHeight="1"/>
    <row r="41444" ht="26.25" customHeight="1"/>
    <row r="41445" ht="26.25" customHeight="1"/>
    <row r="41446" ht="26.25" customHeight="1"/>
    <row r="41447" ht="26.25" customHeight="1"/>
    <row r="41448" ht="26.25" customHeight="1"/>
    <row r="41449" ht="26.25" customHeight="1"/>
    <row r="41450" ht="26.25" customHeight="1"/>
    <row r="41451" ht="26.25" customHeight="1"/>
    <row r="41452" ht="26.25" customHeight="1"/>
    <row r="41453" ht="26.25" customHeight="1"/>
    <row r="41454" ht="26.25" customHeight="1"/>
    <row r="41455" ht="26.25" customHeight="1"/>
    <row r="41456" ht="26.25" customHeight="1"/>
    <row r="41457" ht="26.25" customHeight="1"/>
    <row r="41458" ht="26.25" customHeight="1"/>
    <row r="41459" ht="26.25" customHeight="1"/>
    <row r="41460" ht="26.25" customHeight="1"/>
    <row r="41461" ht="26.25" customHeight="1"/>
    <row r="41462" ht="26.25" customHeight="1"/>
    <row r="41463" ht="26.25" customHeight="1"/>
    <row r="41464" ht="26.25" customHeight="1"/>
    <row r="41465" ht="26.25" customHeight="1"/>
    <row r="41466" ht="26.25" customHeight="1"/>
    <row r="41467" ht="26.25" customHeight="1"/>
    <row r="41468" ht="26.25" customHeight="1"/>
    <row r="41469" ht="26.25" customHeight="1"/>
    <row r="41470" ht="26.25" customHeight="1"/>
    <row r="41471" ht="26.25" customHeight="1"/>
    <row r="41472" ht="26.25" customHeight="1"/>
    <row r="41473" ht="26.25" customHeight="1"/>
    <row r="41474" ht="26.25" customHeight="1"/>
    <row r="41475" ht="26.25" customHeight="1"/>
    <row r="41476" ht="26.25" customHeight="1"/>
    <row r="41477" ht="26.25" customHeight="1"/>
    <row r="41478" ht="26.25" customHeight="1"/>
    <row r="41479" ht="26.25" customHeight="1"/>
    <row r="41480" ht="26.25" customHeight="1"/>
    <row r="41481" ht="26.25" customHeight="1"/>
    <row r="41482" ht="26.25" customHeight="1"/>
    <row r="41483" ht="26.25" customHeight="1"/>
    <row r="41484" ht="26.25" customHeight="1"/>
    <row r="41485" ht="26.25" customHeight="1"/>
    <row r="41486" ht="26.25" customHeight="1"/>
    <row r="41487" ht="26.25" customHeight="1"/>
    <row r="41488" ht="26.25" customHeight="1"/>
    <row r="41489" ht="26.25" customHeight="1"/>
    <row r="41490" ht="26.25" customHeight="1"/>
    <row r="41491" ht="26.25" customHeight="1"/>
    <row r="41492" ht="26.25" customHeight="1"/>
    <row r="41493" ht="26.25" customHeight="1"/>
    <row r="41494" ht="26.25" customHeight="1"/>
    <row r="41495" ht="26.25" customHeight="1"/>
    <row r="41496" ht="26.25" customHeight="1"/>
    <row r="41497" ht="26.25" customHeight="1"/>
    <row r="41498" ht="26.25" customHeight="1"/>
    <row r="41499" ht="26.25" customHeight="1"/>
    <row r="41500" ht="26.25" customHeight="1"/>
    <row r="41501" ht="26.25" customHeight="1"/>
    <row r="41502" ht="26.25" customHeight="1"/>
    <row r="41503" ht="26.25" customHeight="1"/>
    <row r="41504" ht="26.25" customHeight="1"/>
    <row r="41505" ht="26.25" customHeight="1"/>
    <row r="41506" ht="26.25" customHeight="1"/>
    <row r="41507" ht="26.25" customHeight="1"/>
    <row r="41508" ht="26.25" customHeight="1"/>
    <row r="41509" ht="26.25" customHeight="1"/>
    <row r="41510" ht="26.25" customHeight="1"/>
    <row r="41511" ht="26.25" customHeight="1"/>
    <row r="41512" ht="26.25" customHeight="1"/>
    <row r="41513" ht="26.25" customHeight="1"/>
    <row r="41514" ht="26.25" customHeight="1"/>
    <row r="41515" ht="26.25" customHeight="1"/>
    <row r="41516" ht="26.25" customHeight="1"/>
    <row r="41517" ht="26.25" customHeight="1"/>
    <row r="41518" ht="26.25" customHeight="1"/>
    <row r="41519" ht="26.25" customHeight="1"/>
    <row r="41520" ht="26.25" customHeight="1"/>
    <row r="41521" ht="26.25" customHeight="1"/>
    <row r="41522" ht="26.25" customHeight="1"/>
    <row r="41523" ht="26.25" customHeight="1"/>
    <row r="41524" ht="26.25" customHeight="1"/>
    <row r="41525" ht="26.25" customHeight="1"/>
    <row r="41526" ht="26.25" customHeight="1"/>
    <row r="41527" ht="26.25" customHeight="1"/>
    <row r="41528" ht="26.25" customHeight="1"/>
    <row r="41529" ht="26.25" customHeight="1"/>
    <row r="41530" ht="26.25" customHeight="1"/>
    <row r="41531" ht="26.25" customHeight="1"/>
    <row r="41532" ht="26.25" customHeight="1"/>
    <row r="41533" ht="26.25" customHeight="1"/>
    <row r="41534" ht="26.25" customHeight="1"/>
    <row r="41535" ht="26.25" customHeight="1"/>
    <row r="41536" ht="26.25" customHeight="1"/>
    <row r="41537" ht="26.25" customHeight="1"/>
    <row r="41538" ht="26.25" customHeight="1"/>
    <row r="41539" ht="26.25" customHeight="1"/>
    <row r="41540" ht="26.25" customHeight="1"/>
    <row r="41541" ht="26.25" customHeight="1"/>
    <row r="41542" ht="26.25" customHeight="1"/>
    <row r="41543" ht="26.25" customHeight="1"/>
    <row r="41544" ht="26.25" customHeight="1"/>
    <row r="41545" ht="26.25" customHeight="1"/>
    <row r="41546" ht="26.25" customHeight="1"/>
    <row r="41547" ht="26.25" customHeight="1"/>
    <row r="41548" ht="26.25" customHeight="1"/>
    <row r="41549" ht="26.25" customHeight="1"/>
    <row r="41550" ht="26.25" customHeight="1"/>
    <row r="41551" ht="26.25" customHeight="1"/>
    <row r="41552" ht="26.25" customHeight="1"/>
    <row r="41553" ht="26.25" customHeight="1"/>
    <row r="41554" ht="26.25" customHeight="1"/>
    <row r="41555" ht="26.25" customHeight="1"/>
    <row r="41556" ht="26.25" customHeight="1"/>
    <row r="41557" ht="26.25" customHeight="1"/>
    <row r="41558" ht="26.25" customHeight="1"/>
    <row r="41559" ht="26.25" customHeight="1"/>
    <row r="41560" ht="26.25" customHeight="1"/>
    <row r="41561" ht="26.25" customHeight="1"/>
    <row r="41562" ht="26.25" customHeight="1"/>
    <row r="41563" ht="26.25" customHeight="1"/>
    <row r="41564" ht="26.25" customHeight="1"/>
    <row r="41565" ht="26.25" customHeight="1"/>
    <row r="41566" ht="26.25" customHeight="1"/>
    <row r="41567" ht="26.25" customHeight="1"/>
    <row r="41568" ht="26.25" customHeight="1"/>
    <row r="41569" ht="26.25" customHeight="1"/>
    <row r="41570" ht="26.25" customHeight="1"/>
    <row r="41571" ht="26.25" customHeight="1"/>
    <row r="41572" ht="26.25" customHeight="1"/>
    <row r="41573" ht="26.25" customHeight="1"/>
    <row r="41574" ht="26.25" customHeight="1"/>
    <row r="41575" ht="26.25" customHeight="1"/>
    <row r="41576" ht="26.25" customHeight="1"/>
    <row r="41577" ht="26.25" customHeight="1"/>
    <row r="41578" ht="26.25" customHeight="1"/>
    <row r="41579" ht="26.25" customHeight="1"/>
    <row r="41580" ht="26.25" customHeight="1"/>
    <row r="41581" ht="26.25" customHeight="1"/>
    <row r="41582" ht="26.25" customHeight="1"/>
    <row r="41583" ht="26.25" customHeight="1"/>
    <row r="41584" ht="26.25" customHeight="1"/>
    <row r="41585" ht="26.25" customHeight="1"/>
    <row r="41586" ht="26.25" customHeight="1"/>
    <row r="41587" ht="26.25" customHeight="1"/>
    <row r="41588" ht="26.25" customHeight="1"/>
    <row r="41589" ht="26.25" customHeight="1"/>
    <row r="41590" ht="26.25" customHeight="1"/>
    <row r="41591" ht="26.25" customHeight="1"/>
    <row r="41592" ht="26.25" customHeight="1"/>
    <row r="41593" ht="26.25" customHeight="1"/>
    <row r="41594" ht="26.25" customHeight="1"/>
    <row r="41595" ht="26.25" customHeight="1"/>
    <row r="41596" ht="26.25" customHeight="1"/>
    <row r="41597" ht="26.25" customHeight="1"/>
    <row r="41598" ht="26.25" customHeight="1"/>
    <row r="41599" ht="26.25" customHeight="1"/>
    <row r="41600" ht="26.25" customHeight="1"/>
    <row r="41601" ht="26.25" customHeight="1"/>
    <row r="41602" ht="26.25" customHeight="1"/>
    <row r="41603" ht="26.25" customHeight="1"/>
    <row r="41604" ht="26.25" customHeight="1"/>
    <row r="41605" ht="26.25" customHeight="1"/>
    <row r="41606" ht="26.25" customHeight="1"/>
    <row r="41607" ht="26.25" customHeight="1"/>
    <row r="41608" ht="26.25" customHeight="1"/>
    <row r="41609" ht="26.25" customHeight="1"/>
    <row r="41610" ht="26.25" customHeight="1"/>
    <row r="41611" ht="26.25" customHeight="1"/>
    <row r="41612" ht="26.25" customHeight="1"/>
    <row r="41613" ht="26.25" customHeight="1"/>
    <row r="41614" ht="26.25" customHeight="1"/>
    <row r="41615" ht="26.25" customHeight="1"/>
    <row r="41616" ht="26.25" customHeight="1"/>
    <row r="41617" ht="26.25" customHeight="1"/>
    <row r="41618" ht="26.25" customHeight="1"/>
    <row r="41619" ht="26.25" customHeight="1"/>
    <row r="41620" ht="26.25" customHeight="1"/>
    <row r="41621" ht="26.25" customHeight="1"/>
    <row r="41622" ht="26.25" customHeight="1"/>
    <row r="41623" ht="26.25" customHeight="1"/>
    <row r="41624" ht="26.25" customHeight="1"/>
    <row r="41625" ht="26.25" customHeight="1"/>
    <row r="41626" ht="26.25" customHeight="1"/>
    <row r="41627" ht="26.25" customHeight="1"/>
    <row r="41628" ht="26.25" customHeight="1"/>
    <row r="41629" ht="26.25" customHeight="1"/>
    <row r="41630" ht="26.25" customHeight="1"/>
    <row r="41631" ht="26.25" customHeight="1"/>
    <row r="41632" ht="26.25" customHeight="1"/>
    <row r="41633" ht="26.25" customHeight="1"/>
    <row r="41634" ht="26.25" customHeight="1"/>
    <row r="41635" ht="26.25" customHeight="1"/>
    <row r="41636" ht="26.25" customHeight="1"/>
    <row r="41637" ht="26.25" customHeight="1"/>
    <row r="41638" ht="26.25" customHeight="1"/>
    <row r="41639" ht="26.25" customHeight="1"/>
    <row r="41640" ht="26.25" customHeight="1"/>
    <row r="41641" ht="26.25" customHeight="1"/>
    <row r="41642" ht="26.25" customHeight="1"/>
    <row r="41643" ht="26.25" customHeight="1"/>
    <row r="41644" ht="26.25" customHeight="1"/>
    <row r="41645" ht="26.25" customHeight="1"/>
    <row r="41646" ht="26.25" customHeight="1"/>
    <row r="41647" ht="26.25" customHeight="1"/>
    <row r="41648" ht="26.25" customHeight="1"/>
    <row r="41649" ht="26.25" customHeight="1"/>
    <row r="41650" ht="26.25" customHeight="1"/>
    <row r="41651" ht="26.25" customHeight="1"/>
    <row r="41652" ht="26.25" customHeight="1"/>
    <row r="41653" ht="26.25" customHeight="1"/>
    <row r="41654" ht="26.25" customHeight="1"/>
    <row r="41655" ht="26.25" customHeight="1"/>
    <row r="41656" ht="26.25" customHeight="1"/>
    <row r="41657" ht="26.25" customHeight="1"/>
    <row r="41658" ht="26.25" customHeight="1"/>
    <row r="41659" ht="26.25" customHeight="1"/>
    <row r="41660" ht="26.25" customHeight="1"/>
    <row r="41661" ht="26.25" customHeight="1"/>
    <row r="41662" ht="26.25" customHeight="1"/>
    <row r="41663" ht="26.25" customHeight="1"/>
    <row r="41664" ht="26.25" customHeight="1"/>
    <row r="41665" ht="26.25" customHeight="1"/>
    <row r="41666" ht="26.25" customHeight="1"/>
    <row r="41667" ht="26.25" customHeight="1"/>
    <row r="41668" ht="26.25" customHeight="1"/>
    <row r="41669" ht="26.25" customHeight="1"/>
    <row r="41670" ht="26.25" customHeight="1"/>
    <row r="41671" ht="26.25" customHeight="1"/>
    <row r="41672" ht="26.25" customHeight="1"/>
    <row r="41673" ht="26.25" customHeight="1"/>
    <row r="41674" ht="26.25" customHeight="1"/>
    <row r="41675" ht="26.25" customHeight="1"/>
    <row r="41676" ht="26.25" customHeight="1"/>
    <row r="41677" ht="26.25" customHeight="1"/>
    <row r="41678" ht="26.25" customHeight="1"/>
    <row r="41679" ht="26.25" customHeight="1"/>
    <row r="41680" ht="26.25" customHeight="1"/>
    <row r="41681" ht="26.25" customHeight="1"/>
    <row r="41682" ht="26.25" customHeight="1"/>
    <row r="41683" ht="26.25" customHeight="1"/>
    <row r="41684" ht="26.25" customHeight="1"/>
    <row r="41685" ht="26.25" customHeight="1"/>
    <row r="41686" ht="26.25" customHeight="1"/>
    <row r="41687" ht="26.25" customHeight="1"/>
    <row r="41688" ht="26.25" customHeight="1"/>
    <row r="41689" ht="26.25" customHeight="1"/>
    <row r="41690" ht="26.25" customHeight="1"/>
    <row r="41691" ht="26.25" customHeight="1"/>
    <row r="41692" ht="26.25" customHeight="1"/>
    <row r="41693" ht="26.25" customHeight="1"/>
    <row r="41694" ht="26.25" customHeight="1"/>
    <row r="41695" ht="26.25" customHeight="1"/>
    <row r="41696" ht="26.25" customHeight="1"/>
    <row r="41697" ht="26.25" customHeight="1"/>
    <row r="41698" ht="26.25" customHeight="1"/>
    <row r="41699" ht="26.25" customHeight="1"/>
    <row r="41700" ht="26.25" customHeight="1"/>
    <row r="41701" ht="26.25" customHeight="1"/>
    <row r="41702" ht="26.25" customHeight="1"/>
    <row r="41703" ht="26.25" customHeight="1"/>
    <row r="41704" ht="26.25" customHeight="1"/>
    <row r="41705" ht="26.25" customHeight="1"/>
    <row r="41706" ht="26.25" customHeight="1"/>
    <row r="41707" ht="26.25" customHeight="1"/>
    <row r="41708" ht="26.25" customHeight="1"/>
    <row r="41709" ht="26.25" customHeight="1"/>
    <row r="41710" ht="26.25" customHeight="1"/>
    <row r="41711" ht="26.25" customHeight="1"/>
    <row r="41712" ht="26.25" customHeight="1"/>
    <row r="41713" ht="26.25" customHeight="1"/>
    <row r="41714" ht="26.25" customHeight="1"/>
    <row r="41715" ht="26.25" customHeight="1"/>
    <row r="41716" ht="26.25" customHeight="1"/>
    <row r="41717" ht="26.25" customHeight="1"/>
    <row r="41718" ht="26.25" customHeight="1"/>
    <row r="41719" ht="26.25" customHeight="1"/>
    <row r="41720" ht="26.25" customHeight="1"/>
    <row r="41721" ht="26.25" customHeight="1"/>
    <row r="41722" ht="26.25" customHeight="1"/>
    <row r="41723" ht="26.25" customHeight="1"/>
    <row r="41724" ht="26.25" customHeight="1"/>
    <row r="41725" ht="26.25" customHeight="1"/>
    <row r="41726" ht="26.25" customHeight="1"/>
    <row r="41727" ht="26.25" customHeight="1"/>
    <row r="41728" ht="26.25" customHeight="1"/>
    <row r="41729" ht="26.25" customHeight="1"/>
    <row r="41730" ht="26.25" customHeight="1"/>
    <row r="41731" ht="26.25" customHeight="1"/>
    <row r="41732" ht="26.25" customHeight="1"/>
    <row r="41733" ht="26.25" customHeight="1"/>
    <row r="41734" ht="26.25" customHeight="1"/>
    <row r="41735" ht="26.25" customHeight="1"/>
    <row r="41736" ht="26.25" customHeight="1"/>
    <row r="41737" ht="26.25" customHeight="1"/>
    <row r="41738" ht="26.25" customHeight="1"/>
    <row r="41739" ht="26.25" customHeight="1"/>
    <row r="41740" ht="26.25" customHeight="1"/>
    <row r="41741" ht="26.25" customHeight="1"/>
    <row r="41742" ht="26.25" customHeight="1"/>
    <row r="41743" ht="26.25" customHeight="1"/>
    <row r="41744" ht="26.25" customHeight="1"/>
    <row r="41745" ht="26.25" customHeight="1"/>
    <row r="41746" ht="26.25" customHeight="1"/>
    <row r="41747" ht="26.25" customHeight="1"/>
    <row r="41748" ht="26.25" customHeight="1"/>
    <row r="41749" ht="26.25" customHeight="1"/>
    <row r="41750" ht="26.25" customHeight="1"/>
    <row r="41751" ht="26.25" customHeight="1"/>
    <row r="41752" ht="26.25" customHeight="1"/>
    <row r="41753" ht="26.25" customHeight="1"/>
    <row r="41754" ht="26.25" customHeight="1"/>
    <row r="41755" ht="26.25" customHeight="1"/>
    <row r="41756" ht="26.25" customHeight="1"/>
    <row r="41757" ht="26.25" customHeight="1"/>
    <row r="41758" ht="26.25" customHeight="1"/>
    <row r="41759" ht="26.25" customHeight="1"/>
    <row r="41760" ht="26.25" customHeight="1"/>
    <row r="41761" ht="26.25" customHeight="1"/>
    <row r="41762" ht="26.25" customHeight="1"/>
    <row r="41763" ht="26.25" customHeight="1"/>
    <row r="41764" ht="26.25" customHeight="1"/>
    <row r="41765" ht="26.25" customHeight="1"/>
    <row r="41766" ht="26.25" customHeight="1"/>
    <row r="41767" ht="26.25" customHeight="1"/>
    <row r="41768" ht="26.25" customHeight="1"/>
    <row r="41769" ht="26.25" customHeight="1"/>
    <row r="41770" ht="26.25" customHeight="1"/>
    <row r="41771" ht="26.25" customHeight="1"/>
    <row r="41772" ht="26.25" customHeight="1"/>
    <row r="41773" ht="26.25" customHeight="1"/>
    <row r="41774" ht="26.25" customHeight="1"/>
    <row r="41775" ht="26.25" customHeight="1"/>
    <row r="41776" ht="26.25" customHeight="1"/>
    <row r="41777" ht="26.25" customHeight="1"/>
    <row r="41778" ht="26.25" customHeight="1"/>
    <row r="41779" ht="26.25" customHeight="1"/>
    <row r="41780" ht="26.25" customHeight="1"/>
    <row r="41781" ht="26.25" customHeight="1"/>
    <row r="41782" ht="26.25" customHeight="1"/>
    <row r="41783" ht="26.25" customHeight="1"/>
    <row r="41784" ht="26.25" customHeight="1"/>
    <row r="41785" ht="26.25" customHeight="1"/>
    <row r="41786" ht="26.25" customHeight="1"/>
    <row r="41787" ht="26.25" customHeight="1"/>
    <row r="41788" ht="26.25" customHeight="1"/>
    <row r="41789" ht="26.25" customHeight="1"/>
    <row r="41790" ht="26.25" customHeight="1"/>
    <row r="41791" ht="26.25" customHeight="1"/>
    <row r="41792" ht="26.25" customHeight="1"/>
    <row r="41793" ht="26.25" customHeight="1"/>
    <row r="41794" ht="26.25" customHeight="1"/>
    <row r="41795" ht="26.25" customHeight="1"/>
    <row r="41796" ht="26.25" customHeight="1"/>
    <row r="41797" ht="26.25" customHeight="1"/>
    <row r="41798" ht="26.25" customHeight="1"/>
    <row r="41799" ht="26.25" customHeight="1"/>
    <row r="41800" ht="26.25" customHeight="1"/>
    <row r="41801" ht="26.25" customHeight="1"/>
    <row r="41802" ht="26.25" customHeight="1"/>
    <row r="41803" ht="26.25" customHeight="1"/>
    <row r="41804" ht="26.25" customHeight="1"/>
    <row r="41805" ht="26.25" customHeight="1"/>
    <row r="41806" ht="26.25" customHeight="1"/>
    <row r="41807" ht="26.25" customHeight="1"/>
    <row r="41808" ht="26.25" customHeight="1"/>
    <row r="41809" ht="26.25" customHeight="1"/>
    <row r="41810" ht="26.25" customHeight="1"/>
    <row r="41811" ht="26.25" customHeight="1"/>
    <row r="41812" ht="26.25" customHeight="1"/>
    <row r="41813" ht="26.25" customHeight="1"/>
    <row r="41814" ht="26.25" customHeight="1"/>
    <row r="41815" ht="26.25" customHeight="1"/>
    <row r="41816" ht="26.25" customHeight="1"/>
    <row r="41817" ht="26.25" customHeight="1"/>
    <row r="41818" ht="26.25" customHeight="1"/>
    <row r="41819" ht="26.25" customHeight="1"/>
    <row r="41820" ht="26.25" customHeight="1"/>
    <row r="41821" ht="26.25" customHeight="1"/>
    <row r="41822" ht="26.25" customHeight="1"/>
    <row r="41823" ht="26.25" customHeight="1"/>
    <row r="41824" ht="26.25" customHeight="1"/>
    <row r="41825" ht="26.25" customHeight="1"/>
    <row r="41826" ht="26.25" customHeight="1"/>
    <row r="41827" ht="26.25" customHeight="1"/>
    <row r="41828" ht="26.25" customHeight="1"/>
    <row r="41829" ht="26.25" customHeight="1"/>
    <row r="41830" ht="26.25" customHeight="1"/>
    <row r="41831" ht="26.25" customHeight="1"/>
    <row r="41832" ht="26.25" customHeight="1"/>
    <row r="41833" ht="26.25" customHeight="1"/>
    <row r="41834" ht="26.25" customHeight="1"/>
    <row r="41835" ht="26.25" customHeight="1"/>
    <row r="41836" ht="26.25" customHeight="1"/>
    <row r="41837" ht="26.25" customHeight="1"/>
    <row r="41838" ht="26.25" customHeight="1"/>
    <row r="41839" ht="26.25" customHeight="1"/>
    <row r="41840" ht="26.25" customHeight="1"/>
    <row r="41841" ht="26.25" customHeight="1"/>
    <row r="41842" ht="26.25" customHeight="1"/>
    <row r="41843" ht="26.25" customHeight="1"/>
    <row r="41844" ht="26.25" customHeight="1"/>
    <row r="41845" ht="26.25" customHeight="1"/>
    <row r="41846" ht="26.25" customHeight="1"/>
    <row r="41847" ht="26.25" customHeight="1"/>
    <row r="41848" ht="26.25" customHeight="1"/>
    <row r="41849" ht="26.25" customHeight="1"/>
    <row r="41850" ht="26.25" customHeight="1"/>
    <row r="41851" ht="26.25" customHeight="1"/>
    <row r="41852" ht="26.25" customHeight="1"/>
    <row r="41853" ht="26.25" customHeight="1"/>
    <row r="41854" ht="26.25" customHeight="1"/>
    <row r="41855" ht="26.25" customHeight="1"/>
    <row r="41856" ht="26.25" customHeight="1"/>
    <row r="41857" ht="26.25" customHeight="1"/>
    <row r="41858" ht="26.25" customHeight="1"/>
    <row r="41859" ht="26.25" customHeight="1"/>
    <row r="41860" ht="26.25" customHeight="1"/>
    <row r="41861" ht="26.25" customHeight="1"/>
    <row r="41862" ht="26.25" customHeight="1"/>
    <row r="41863" ht="26.25" customHeight="1"/>
    <row r="41864" ht="26.25" customHeight="1"/>
    <row r="41865" ht="26.25" customHeight="1"/>
    <row r="41866" ht="26.25" customHeight="1"/>
    <row r="41867" ht="26.25" customHeight="1"/>
    <row r="41868" ht="26.25" customHeight="1"/>
    <row r="41869" ht="26.25" customHeight="1"/>
    <row r="41870" ht="26.25" customHeight="1"/>
    <row r="41871" ht="26.25" customHeight="1"/>
    <row r="41872" ht="26.25" customHeight="1"/>
    <row r="41873" ht="26.25" customHeight="1"/>
    <row r="41874" ht="26.25" customHeight="1"/>
    <row r="41875" ht="26.25" customHeight="1"/>
    <row r="41876" ht="26.25" customHeight="1"/>
    <row r="41877" ht="26.25" customHeight="1"/>
    <row r="41878" ht="26.25" customHeight="1"/>
    <row r="41879" ht="26.25" customHeight="1"/>
    <row r="41880" ht="26.25" customHeight="1"/>
    <row r="41881" ht="26.25" customHeight="1"/>
    <row r="41882" ht="26.25" customHeight="1"/>
    <row r="41883" ht="26.25" customHeight="1"/>
    <row r="41884" ht="26.25" customHeight="1"/>
    <row r="41885" ht="26.25" customHeight="1"/>
    <row r="41886" ht="26.25" customHeight="1"/>
    <row r="41887" ht="26.25" customHeight="1"/>
    <row r="41888" ht="26.25" customHeight="1"/>
    <row r="41889" ht="26.25" customHeight="1"/>
    <row r="41890" ht="26.25" customHeight="1"/>
    <row r="41891" ht="26.25" customHeight="1"/>
    <row r="41892" ht="26.25" customHeight="1"/>
    <row r="41893" ht="26.25" customHeight="1"/>
    <row r="41894" ht="26.25" customHeight="1"/>
    <row r="41895" ht="26.25" customHeight="1"/>
    <row r="41896" ht="26.25" customHeight="1"/>
    <row r="41897" ht="26.25" customHeight="1"/>
    <row r="41898" ht="26.25" customHeight="1"/>
    <row r="41899" ht="26.25" customHeight="1"/>
    <row r="41900" ht="26.25" customHeight="1"/>
    <row r="41901" ht="26.25" customHeight="1"/>
    <row r="41902" ht="26.25" customHeight="1"/>
    <row r="41903" ht="26.25" customHeight="1"/>
    <row r="41904" ht="26.25" customHeight="1"/>
    <row r="41905" ht="26.25" customHeight="1"/>
    <row r="41906" ht="26.25" customHeight="1"/>
    <row r="41907" ht="26.25" customHeight="1"/>
    <row r="41908" ht="26.25" customHeight="1"/>
    <row r="41909" ht="26.25" customHeight="1"/>
    <row r="41910" ht="26.25" customHeight="1"/>
    <row r="41911" ht="26.25" customHeight="1"/>
    <row r="41912" ht="26.25" customHeight="1"/>
    <row r="41913" ht="26.25" customHeight="1"/>
    <row r="41914" ht="26.25" customHeight="1"/>
    <row r="41915" ht="26.25" customHeight="1"/>
    <row r="41916" ht="26.25" customHeight="1"/>
    <row r="41917" ht="26.25" customHeight="1"/>
    <row r="41918" ht="26.25" customHeight="1"/>
    <row r="41919" ht="26.25" customHeight="1"/>
    <row r="41920" ht="26.25" customHeight="1"/>
    <row r="41921" ht="26.25" customHeight="1"/>
    <row r="41922" ht="26.25" customHeight="1"/>
    <row r="41923" ht="26.25" customHeight="1"/>
    <row r="41924" ht="26.25" customHeight="1"/>
    <row r="41925" ht="26.25" customHeight="1"/>
    <row r="41926" ht="26.25" customHeight="1"/>
    <row r="41927" ht="26.25" customHeight="1"/>
    <row r="41928" ht="26.25" customHeight="1"/>
    <row r="41929" ht="26.25" customHeight="1"/>
    <row r="41930" ht="26.25" customHeight="1"/>
    <row r="41931" ht="26.25" customHeight="1"/>
    <row r="41932" ht="26.25" customHeight="1"/>
    <row r="41933" ht="26.25" customHeight="1"/>
    <row r="41934" ht="26.25" customHeight="1"/>
    <row r="41935" ht="26.25" customHeight="1"/>
    <row r="41936" ht="26.25" customHeight="1"/>
    <row r="41937" ht="26.25" customHeight="1"/>
    <row r="41938" ht="26.25" customHeight="1"/>
    <row r="41939" ht="26.25" customHeight="1"/>
    <row r="41940" ht="26.25" customHeight="1"/>
    <row r="41941" ht="26.25" customHeight="1"/>
    <row r="41942" ht="26.25" customHeight="1"/>
    <row r="41943" ht="26.25" customHeight="1"/>
    <row r="41944" ht="26.25" customHeight="1"/>
    <row r="41945" ht="26.25" customHeight="1"/>
    <row r="41946" ht="26.25" customHeight="1"/>
    <row r="41947" ht="26.25" customHeight="1"/>
    <row r="41948" ht="26.25" customHeight="1"/>
    <row r="41949" ht="26.25" customHeight="1"/>
    <row r="41950" ht="26.25" customHeight="1"/>
    <row r="41951" ht="26.25" customHeight="1"/>
    <row r="41952" ht="26.25" customHeight="1"/>
    <row r="41953" ht="26.25" customHeight="1"/>
    <row r="41954" ht="26.25" customHeight="1"/>
    <row r="41955" ht="26.25" customHeight="1"/>
    <row r="41956" ht="26.25" customHeight="1"/>
    <row r="41957" ht="26.25" customHeight="1"/>
    <row r="41958" ht="26.25" customHeight="1"/>
    <row r="41959" ht="26.25" customHeight="1"/>
    <row r="41960" ht="26.25" customHeight="1"/>
    <row r="41961" ht="26.25" customHeight="1"/>
    <row r="41962" ht="26.25" customHeight="1"/>
    <row r="41963" ht="26.25" customHeight="1"/>
    <row r="41964" ht="26.25" customHeight="1"/>
    <row r="41965" ht="26.25" customHeight="1"/>
    <row r="41966" ht="26.25" customHeight="1"/>
    <row r="41967" ht="26.25" customHeight="1"/>
    <row r="41968" ht="26.25" customHeight="1"/>
    <row r="41969" ht="26.25" customHeight="1"/>
    <row r="41970" ht="26.25" customHeight="1"/>
    <row r="41971" ht="26.25" customHeight="1"/>
    <row r="41972" ht="26.25" customHeight="1"/>
    <row r="41973" ht="26.25" customHeight="1"/>
    <row r="41974" ht="26.25" customHeight="1"/>
    <row r="41975" ht="26.25" customHeight="1"/>
    <row r="41976" ht="26.25" customHeight="1"/>
    <row r="41977" ht="26.25" customHeight="1"/>
    <row r="41978" ht="26.25" customHeight="1"/>
    <row r="41979" ht="26.25" customHeight="1"/>
    <row r="41980" ht="26.25" customHeight="1"/>
    <row r="41981" ht="26.25" customHeight="1"/>
    <row r="41982" ht="26.25" customHeight="1"/>
    <row r="41983" ht="26.25" customHeight="1"/>
    <row r="41984" ht="26.25" customHeight="1"/>
    <row r="41985" ht="26.25" customHeight="1"/>
    <row r="41986" ht="26.25" customHeight="1"/>
    <row r="41987" ht="26.25" customHeight="1"/>
    <row r="41988" ht="26.25" customHeight="1"/>
    <row r="41989" ht="26.25" customHeight="1"/>
    <row r="41990" ht="26.25" customHeight="1"/>
    <row r="41991" ht="26.25" customHeight="1"/>
    <row r="41992" ht="26.25" customHeight="1"/>
    <row r="41993" ht="26.25" customHeight="1"/>
    <row r="41994" ht="26.25" customHeight="1"/>
    <row r="41995" ht="26.25" customHeight="1"/>
    <row r="41996" ht="26.25" customHeight="1"/>
    <row r="41997" ht="26.25" customHeight="1"/>
    <row r="41998" ht="26.25" customHeight="1"/>
    <row r="41999" ht="26.25" customHeight="1"/>
    <row r="42000" ht="26.25" customHeight="1"/>
    <row r="42001" ht="26.25" customHeight="1"/>
    <row r="42002" ht="26.25" customHeight="1"/>
    <row r="42003" ht="26.25" customHeight="1"/>
    <row r="42004" ht="26.25" customHeight="1"/>
    <row r="42005" ht="26.25" customHeight="1"/>
    <row r="42006" ht="26.25" customHeight="1"/>
    <row r="42007" ht="26.25" customHeight="1"/>
    <row r="42008" ht="26.25" customHeight="1"/>
    <row r="42009" ht="26.25" customHeight="1"/>
    <row r="42010" ht="26.25" customHeight="1"/>
    <row r="42011" ht="26.25" customHeight="1"/>
    <row r="42012" ht="26.25" customHeight="1"/>
    <row r="42013" ht="26.25" customHeight="1"/>
    <row r="42014" ht="26.25" customHeight="1"/>
    <row r="42015" ht="26.25" customHeight="1"/>
    <row r="42016" ht="26.25" customHeight="1"/>
    <row r="42017" ht="26.25" customHeight="1"/>
    <row r="42018" ht="26.25" customHeight="1"/>
    <row r="42019" ht="26.25" customHeight="1"/>
    <row r="42020" ht="26.25" customHeight="1"/>
    <row r="42021" ht="26.25" customHeight="1"/>
    <row r="42022" ht="26.25" customHeight="1"/>
    <row r="42023" ht="26.25" customHeight="1"/>
    <row r="42024" ht="26.25" customHeight="1"/>
    <row r="42025" ht="26.25" customHeight="1"/>
    <row r="42026" ht="26.25" customHeight="1"/>
    <row r="42027" ht="26.25" customHeight="1"/>
    <row r="42028" ht="26.25" customHeight="1"/>
    <row r="42029" ht="26.25" customHeight="1"/>
    <row r="42030" ht="26.25" customHeight="1"/>
    <row r="42031" ht="26.25" customHeight="1"/>
    <row r="42032" ht="26.25" customHeight="1"/>
    <row r="42033" ht="26.25" customHeight="1"/>
    <row r="42034" ht="26.25" customHeight="1"/>
    <row r="42035" ht="26.25" customHeight="1"/>
    <row r="42036" ht="26.25" customHeight="1"/>
    <row r="42037" ht="26.25" customHeight="1"/>
    <row r="42038" ht="26.25" customHeight="1"/>
    <row r="42039" ht="26.25" customHeight="1"/>
    <row r="42040" ht="26.25" customHeight="1"/>
    <row r="42041" ht="26.25" customHeight="1"/>
    <row r="42042" ht="26.25" customHeight="1"/>
    <row r="42043" ht="26.25" customHeight="1"/>
    <row r="42044" ht="26.25" customHeight="1"/>
    <row r="42045" ht="26.25" customHeight="1"/>
    <row r="42046" ht="26.25" customHeight="1"/>
    <row r="42047" ht="26.25" customHeight="1"/>
    <row r="42048" ht="26.25" customHeight="1"/>
    <row r="42049" ht="26.25" customHeight="1"/>
    <row r="42050" ht="26.25" customHeight="1"/>
    <row r="42051" ht="26.25" customHeight="1"/>
    <row r="42052" ht="26.25" customHeight="1"/>
    <row r="42053" ht="26.25" customHeight="1"/>
    <row r="42054" ht="26.25" customHeight="1"/>
    <row r="42055" ht="26.25" customHeight="1"/>
    <row r="42056" ht="26.25" customHeight="1"/>
    <row r="42057" ht="26.25" customHeight="1"/>
    <row r="42058" ht="26.25" customHeight="1"/>
    <row r="42059" ht="26.25" customHeight="1"/>
    <row r="42060" ht="26.25" customHeight="1"/>
    <row r="42061" ht="26.25" customHeight="1"/>
    <row r="42062" ht="26.25" customHeight="1"/>
    <row r="42063" ht="26.25" customHeight="1"/>
    <row r="42064" ht="26.25" customHeight="1"/>
    <row r="42065" ht="26.25" customHeight="1"/>
    <row r="42066" ht="26.25" customHeight="1"/>
    <row r="42067" ht="26.25" customHeight="1"/>
    <row r="42068" ht="26.25" customHeight="1"/>
    <row r="42069" ht="26.25" customHeight="1"/>
    <row r="42070" ht="26.25" customHeight="1"/>
    <row r="42071" ht="26.25" customHeight="1"/>
    <row r="42072" ht="26.25" customHeight="1"/>
    <row r="42073" ht="26.25" customHeight="1"/>
    <row r="42074" ht="26.25" customHeight="1"/>
    <row r="42075" ht="26.25" customHeight="1"/>
    <row r="42076" ht="26.25" customHeight="1"/>
    <row r="42077" ht="26.25" customHeight="1"/>
    <row r="42078" ht="26.25" customHeight="1"/>
    <row r="42079" ht="26.25" customHeight="1"/>
    <row r="42080" ht="26.25" customHeight="1"/>
    <row r="42081" ht="26.25" customHeight="1"/>
    <row r="42082" ht="26.25" customHeight="1"/>
    <row r="42083" ht="26.25" customHeight="1"/>
    <row r="42084" ht="26.25" customHeight="1"/>
    <row r="42085" ht="26.25" customHeight="1"/>
    <row r="42086" ht="26.25" customHeight="1"/>
    <row r="42087" ht="26.25" customHeight="1"/>
    <row r="42088" ht="26.25" customHeight="1"/>
    <row r="42089" ht="26.25" customHeight="1"/>
    <row r="42090" ht="26.25" customHeight="1"/>
    <row r="42091" ht="26.25" customHeight="1"/>
    <row r="42092" ht="26.25" customHeight="1"/>
    <row r="42093" ht="26.25" customHeight="1"/>
    <row r="42094" ht="26.25" customHeight="1"/>
    <row r="42095" ht="26.25" customHeight="1"/>
    <row r="42096" ht="26.25" customHeight="1"/>
    <row r="42097" ht="26.25" customHeight="1"/>
    <row r="42098" ht="26.25" customHeight="1"/>
    <row r="42099" ht="26.25" customHeight="1"/>
    <row r="42100" ht="26.25" customHeight="1"/>
    <row r="42101" ht="26.25" customHeight="1"/>
    <row r="42102" ht="26.25" customHeight="1"/>
    <row r="42103" ht="26.25" customHeight="1"/>
    <row r="42104" ht="26.25" customHeight="1"/>
    <row r="42105" ht="26.25" customHeight="1"/>
    <row r="42106" ht="26.25" customHeight="1"/>
    <row r="42107" ht="26.25" customHeight="1"/>
    <row r="42108" ht="26.25" customHeight="1"/>
    <row r="42109" ht="26.25" customHeight="1"/>
    <row r="42110" ht="26.25" customHeight="1"/>
    <row r="42111" ht="26.25" customHeight="1"/>
    <row r="42112" ht="26.25" customHeight="1"/>
    <row r="42113" ht="26.25" customHeight="1"/>
    <row r="42114" ht="26.25" customHeight="1"/>
    <row r="42115" ht="26.25" customHeight="1"/>
    <row r="42116" ht="26.25" customHeight="1"/>
    <row r="42117" ht="26.25" customHeight="1"/>
    <row r="42118" ht="26.25" customHeight="1"/>
    <row r="42119" ht="26.25" customHeight="1"/>
    <row r="42120" ht="26.25" customHeight="1"/>
    <row r="42121" ht="26.25" customHeight="1"/>
    <row r="42122" ht="26.25" customHeight="1"/>
    <row r="42123" ht="26.25" customHeight="1"/>
    <row r="42124" ht="26.25" customHeight="1"/>
    <row r="42125" ht="26.25" customHeight="1"/>
    <row r="42126" ht="26.25" customHeight="1"/>
    <row r="42127" ht="26.25" customHeight="1"/>
    <row r="42128" ht="26.25" customHeight="1"/>
    <row r="42129" ht="26.25" customHeight="1"/>
    <row r="42130" ht="26.25" customHeight="1"/>
    <row r="42131" ht="26.25" customHeight="1"/>
    <row r="42132" ht="26.25" customHeight="1"/>
    <row r="42133" ht="26.25" customHeight="1"/>
    <row r="42134" ht="26.25" customHeight="1"/>
    <row r="42135" ht="26.25" customHeight="1"/>
    <row r="42136" ht="26.25" customHeight="1"/>
    <row r="42137" ht="26.25" customHeight="1"/>
    <row r="42138" ht="26.25" customHeight="1"/>
    <row r="42139" ht="26.25" customHeight="1"/>
    <row r="42140" ht="26.25" customHeight="1"/>
    <row r="42141" ht="26.25" customHeight="1"/>
    <row r="42142" ht="26.25" customHeight="1"/>
    <row r="42143" ht="26.25" customHeight="1"/>
    <row r="42144" ht="26.25" customHeight="1"/>
    <row r="42145" ht="26.25" customHeight="1"/>
    <row r="42146" ht="26.25" customHeight="1"/>
    <row r="42147" ht="26.25" customHeight="1"/>
    <row r="42148" ht="26.25" customHeight="1"/>
    <row r="42149" ht="26.25" customHeight="1"/>
    <row r="42150" ht="26.25" customHeight="1"/>
    <row r="42151" ht="26.25" customHeight="1"/>
    <row r="42152" ht="26.25" customHeight="1"/>
    <row r="42153" ht="26.25" customHeight="1"/>
    <row r="42154" ht="26.25" customHeight="1"/>
    <row r="42155" ht="26.25" customHeight="1"/>
    <row r="42156" ht="26.25" customHeight="1"/>
    <row r="42157" ht="26.25" customHeight="1"/>
    <row r="42158" ht="26.25" customHeight="1"/>
    <row r="42159" ht="26.25" customHeight="1"/>
    <row r="42160" ht="26.25" customHeight="1"/>
    <row r="42161" ht="26.25" customHeight="1"/>
    <row r="42162" ht="26.25" customHeight="1"/>
    <row r="42163" ht="26.25" customHeight="1"/>
    <row r="42164" ht="26.25" customHeight="1"/>
    <row r="42165" ht="26.25" customHeight="1"/>
    <row r="42166" ht="26.25" customHeight="1"/>
    <row r="42167" ht="26.25" customHeight="1"/>
    <row r="42168" ht="26.25" customHeight="1"/>
    <row r="42169" ht="26.25" customHeight="1"/>
    <row r="42170" ht="26.25" customHeight="1"/>
    <row r="42171" ht="26.25" customHeight="1"/>
    <row r="42172" ht="26.25" customHeight="1"/>
    <row r="42173" ht="26.25" customHeight="1"/>
    <row r="42174" ht="26.25" customHeight="1"/>
    <row r="42175" ht="26.25" customHeight="1"/>
    <row r="42176" ht="26.25" customHeight="1"/>
    <row r="42177" ht="26.25" customHeight="1"/>
    <row r="42178" ht="26.25" customHeight="1"/>
    <row r="42179" ht="26.25" customHeight="1"/>
    <row r="42180" ht="26.25" customHeight="1"/>
    <row r="42181" ht="26.25" customHeight="1"/>
    <row r="42182" ht="26.25" customHeight="1"/>
    <row r="42183" ht="26.25" customHeight="1"/>
    <row r="42184" ht="26.25" customHeight="1"/>
    <row r="42185" ht="26.25" customHeight="1"/>
    <row r="42186" ht="26.25" customHeight="1"/>
    <row r="42187" ht="26.25" customHeight="1"/>
    <row r="42188" ht="26.25" customHeight="1"/>
    <row r="42189" ht="26.25" customHeight="1"/>
    <row r="42190" ht="26.25" customHeight="1"/>
    <row r="42191" ht="26.25" customHeight="1"/>
    <row r="42192" ht="26.25" customHeight="1"/>
    <row r="42193" ht="26.25" customHeight="1"/>
    <row r="42194" ht="26.25" customHeight="1"/>
    <row r="42195" ht="26.25" customHeight="1"/>
    <row r="42196" ht="26.25" customHeight="1"/>
    <row r="42197" ht="26.25" customHeight="1"/>
    <row r="42198" ht="26.25" customHeight="1"/>
    <row r="42199" ht="26.25" customHeight="1"/>
    <row r="42200" ht="26.25" customHeight="1"/>
    <row r="42201" ht="26.25" customHeight="1"/>
    <row r="42202" ht="26.25" customHeight="1"/>
    <row r="42203" ht="26.25" customHeight="1"/>
    <row r="42204" ht="26.25" customHeight="1"/>
    <row r="42205" ht="26.25" customHeight="1"/>
    <row r="42206" ht="26.25" customHeight="1"/>
    <row r="42207" ht="26.25" customHeight="1"/>
    <row r="42208" ht="26.25" customHeight="1"/>
    <row r="42209" ht="26.25" customHeight="1"/>
    <row r="42210" ht="26.25" customHeight="1"/>
    <row r="42211" ht="26.25" customHeight="1"/>
    <row r="42212" ht="26.25" customHeight="1"/>
    <row r="42213" ht="26.25" customHeight="1"/>
    <row r="42214" ht="26.25" customHeight="1"/>
    <row r="42215" ht="26.25" customHeight="1"/>
    <row r="42216" ht="26.25" customHeight="1"/>
    <row r="42217" ht="26.25" customHeight="1"/>
    <row r="42218" ht="26.25" customHeight="1"/>
    <row r="42219" ht="26.25" customHeight="1"/>
    <row r="42220" ht="26.25" customHeight="1"/>
    <row r="42221" ht="26.25" customHeight="1"/>
    <row r="42222" ht="26.25" customHeight="1"/>
    <row r="42223" ht="26.25" customHeight="1"/>
    <row r="42224" ht="26.25" customHeight="1"/>
    <row r="42225" ht="26.25" customHeight="1"/>
    <row r="42226" ht="26.25" customHeight="1"/>
    <row r="42227" ht="26.25" customHeight="1"/>
    <row r="42228" ht="26.25" customHeight="1"/>
    <row r="42229" ht="26.25" customHeight="1"/>
    <row r="42230" ht="26.25" customHeight="1"/>
    <row r="42231" ht="26.25" customHeight="1"/>
    <row r="42232" ht="26.25" customHeight="1"/>
    <row r="42233" ht="26.25" customHeight="1"/>
    <row r="42234" ht="26.25" customHeight="1"/>
    <row r="42235" ht="26.25" customHeight="1"/>
    <row r="42236" ht="26.25" customHeight="1"/>
    <row r="42237" ht="26.25" customHeight="1"/>
    <row r="42238" ht="26.25" customHeight="1"/>
    <row r="42239" ht="26.25" customHeight="1"/>
    <row r="42240" ht="26.25" customHeight="1"/>
    <row r="42241" ht="26.25" customHeight="1"/>
    <row r="42242" ht="26.25" customHeight="1"/>
    <row r="42243" ht="26.25" customHeight="1"/>
    <row r="42244" ht="26.25" customHeight="1"/>
    <row r="42245" ht="26.25" customHeight="1"/>
    <row r="42246" ht="26.25" customHeight="1"/>
    <row r="42247" ht="26.25" customHeight="1"/>
    <row r="42248" ht="26.25" customHeight="1"/>
    <row r="42249" ht="26.25" customHeight="1"/>
    <row r="42250" ht="26.25" customHeight="1"/>
    <row r="42251" ht="26.25" customHeight="1"/>
    <row r="42252" ht="26.25" customHeight="1"/>
    <row r="42253" ht="26.25" customHeight="1"/>
    <row r="42254" ht="26.25" customHeight="1"/>
    <row r="42255" ht="26.25" customHeight="1"/>
    <row r="42256" ht="26.25" customHeight="1"/>
    <row r="42257" ht="26.25" customHeight="1"/>
    <row r="42258" ht="26.25" customHeight="1"/>
    <row r="42259" ht="26.25" customHeight="1"/>
    <row r="42260" ht="26.25" customHeight="1"/>
    <row r="42261" ht="26.25" customHeight="1"/>
    <row r="42262" ht="26.25" customHeight="1"/>
    <row r="42263" ht="26.25" customHeight="1"/>
    <row r="42264" ht="26.25" customHeight="1"/>
    <row r="42265" ht="26.25" customHeight="1"/>
    <row r="42266" ht="26.25" customHeight="1"/>
    <row r="42267" ht="26.25" customHeight="1"/>
    <row r="42268" ht="26.25" customHeight="1"/>
    <row r="42269" ht="26.25" customHeight="1"/>
    <row r="42270" ht="26.25" customHeight="1"/>
    <row r="42271" ht="26.25" customHeight="1"/>
    <row r="42272" ht="26.25" customHeight="1"/>
    <row r="42273" ht="26.25" customHeight="1"/>
    <row r="42274" ht="26.25" customHeight="1"/>
    <row r="42275" ht="26.25" customHeight="1"/>
    <row r="42276" ht="26.25" customHeight="1"/>
    <row r="42277" ht="26.25" customHeight="1"/>
    <row r="42278" ht="26.25" customHeight="1"/>
    <row r="42279" ht="26.25" customHeight="1"/>
    <row r="42280" ht="26.25" customHeight="1"/>
    <row r="42281" ht="26.25" customHeight="1"/>
    <row r="42282" ht="26.25" customHeight="1"/>
    <row r="42283" ht="26.25" customHeight="1"/>
    <row r="42284" ht="26.25" customHeight="1"/>
    <row r="42285" ht="26.25" customHeight="1"/>
    <row r="42286" ht="26.25" customHeight="1"/>
    <row r="42287" ht="26.25" customHeight="1"/>
    <row r="42288" ht="26.25" customHeight="1"/>
    <row r="42289" ht="26.25" customHeight="1"/>
    <row r="42290" ht="26.25" customHeight="1"/>
    <row r="42291" ht="26.25" customHeight="1"/>
    <row r="42292" ht="26.25" customHeight="1"/>
    <row r="42293" ht="26.25" customHeight="1"/>
    <row r="42294" ht="26.25" customHeight="1"/>
    <row r="42295" ht="26.25" customHeight="1"/>
    <row r="42296" ht="26.25" customHeight="1"/>
    <row r="42297" ht="26.25" customHeight="1"/>
    <row r="42298" ht="26.25" customHeight="1"/>
    <row r="42299" ht="26.25" customHeight="1"/>
    <row r="42300" ht="26.25" customHeight="1"/>
    <row r="42301" ht="26.25" customHeight="1"/>
    <row r="42302" ht="26.25" customHeight="1"/>
    <row r="42303" ht="26.25" customHeight="1"/>
    <row r="42304" ht="26.25" customHeight="1"/>
    <row r="42305" ht="26.25" customHeight="1"/>
    <row r="42306" ht="26.25" customHeight="1"/>
    <row r="42307" ht="26.25" customHeight="1"/>
    <row r="42308" ht="26.25" customHeight="1"/>
    <row r="42309" ht="26.25" customHeight="1"/>
    <row r="42310" ht="26.25" customHeight="1"/>
    <row r="42311" ht="26.25" customHeight="1"/>
    <row r="42312" ht="26.25" customHeight="1"/>
    <row r="42313" ht="26.25" customHeight="1"/>
    <row r="42314" ht="26.25" customHeight="1"/>
    <row r="42315" ht="26.25" customHeight="1"/>
    <row r="42316" ht="26.25" customHeight="1"/>
    <row r="42317" ht="26.25" customHeight="1"/>
    <row r="42318" ht="26.25" customHeight="1"/>
    <row r="42319" ht="26.25" customHeight="1"/>
    <row r="42320" ht="26.25" customHeight="1"/>
    <row r="42321" ht="26.25" customHeight="1"/>
    <row r="42322" ht="26.25" customHeight="1"/>
    <row r="42323" ht="26.25" customHeight="1"/>
    <row r="42324" ht="26.25" customHeight="1"/>
    <row r="42325" ht="26.25" customHeight="1"/>
    <row r="42326" ht="26.25" customHeight="1"/>
    <row r="42327" ht="26.25" customHeight="1"/>
    <row r="42328" ht="26.25" customHeight="1"/>
    <row r="42329" ht="26.25" customHeight="1"/>
    <row r="42330" ht="26.25" customHeight="1"/>
    <row r="42331" ht="26.25" customHeight="1"/>
    <row r="42332" ht="26.25" customHeight="1"/>
    <row r="42333" ht="26.25" customHeight="1"/>
    <row r="42334" ht="26.25" customHeight="1"/>
    <row r="42335" ht="26.25" customHeight="1"/>
    <row r="42336" ht="26.25" customHeight="1"/>
    <row r="42337" ht="26.25" customHeight="1"/>
    <row r="42338" ht="26.25" customHeight="1"/>
    <row r="42339" ht="26.25" customHeight="1"/>
    <row r="42340" ht="26.25" customHeight="1"/>
    <row r="42341" ht="26.25" customHeight="1"/>
    <row r="42342" ht="26.25" customHeight="1"/>
    <row r="42343" ht="26.25" customHeight="1"/>
    <row r="42344" ht="26.25" customHeight="1"/>
    <row r="42345" ht="26.25" customHeight="1"/>
    <row r="42346" ht="26.25" customHeight="1"/>
    <row r="42347" ht="26.25" customHeight="1"/>
    <row r="42348" ht="26.25" customHeight="1"/>
    <row r="42349" ht="26.25" customHeight="1"/>
    <row r="42350" ht="26.25" customHeight="1"/>
    <row r="42351" ht="26.25" customHeight="1"/>
    <row r="42352" ht="26.25" customHeight="1"/>
    <row r="42353" ht="26.25" customHeight="1"/>
    <row r="42354" ht="26.25" customHeight="1"/>
    <row r="42355" ht="26.25" customHeight="1"/>
    <row r="42356" ht="26.25" customHeight="1"/>
    <row r="42357" ht="26.25" customHeight="1"/>
    <row r="42358" ht="26.25" customHeight="1"/>
    <row r="42359" ht="26.25" customHeight="1"/>
    <row r="42360" ht="26.25" customHeight="1"/>
    <row r="42361" ht="26.25" customHeight="1"/>
    <row r="42362" ht="26.25" customHeight="1"/>
    <row r="42363" ht="26.25" customHeight="1"/>
    <row r="42364" ht="26.25" customHeight="1"/>
    <row r="42365" ht="26.25" customHeight="1"/>
    <row r="42366" ht="26.25" customHeight="1"/>
    <row r="42367" ht="26.25" customHeight="1"/>
    <row r="42368" ht="26.25" customHeight="1"/>
    <row r="42369" ht="26.25" customHeight="1"/>
    <row r="42370" ht="26.25" customHeight="1"/>
    <row r="42371" ht="26.25" customHeight="1"/>
    <row r="42372" ht="26.25" customHeight="1"/>
    <row r="42373" ht="26.25" customHeight="1"/>
    <row r="42374" ht="26.25" customHeight="1"/>
    <row r="42375" ht="26.25" customHeight="1"/>
    <row r="42376" ht="26.25" customHeight="1"/>
    <row r="42377" ht="26.25" customHeight="1"/>
    <row r="42378" ht="26.25" customHeight="1"/>
    <row r="42379" ht="26.25" customHeight="1"/>
    <row r="42380" ht="26.25" customHeight="1"/>
    <row r="42381" ht="26.25" customHeight="1"/>
    <row r="42382" ht="26.25" customHeight="1"/>
    <row r="42383" ht="26.25" customHeight="1"/>
    <row r="42384" ht="26.25" customHeight="1"/>
    <row r="42385" ht="26.25" customHeight="1"/>
    <row r="42386" ht="26.25" customHeight="1"/>
    <row r="42387" ht="26.25" customHeight="1"/>
    <row r="42388" ht="26.25" customHeight="1"/>
    <row r="42389" ht="26.25" customHeight="1"/>
    <row r="42390" ht="26.25" customHeight="1"/>
    <row r="42391" ht="26.25" customHeight="1"/>
    <row r="42392" ht="26.25" customHeight="1"/>
    <row r="42393" ht="26.25" customHeight="1"/>
    <row r="42394" ht="26.25" customHeight="1"/>
    <row r="42395" ht="26.25" customHeight="1"/>
    <row r="42396" ht="26.25" customHeight="1"/>
    <row r="42397" ht="26.25" customHeight="1"/>
    <row r="42398" ht="26.25" customHeight="1"/>
    <row r="42399" ht="26.25" customHeight="1"/>
    <row r="42400" ht="26.25" customHeight="1"/>
    <row r="42401" ht="26.25" customHeight="1"/>
    <row r="42402" ht="26.25" customHeight="1"/>
    <row r="42403" ht="26.25" customHeight="1"/>
    <row r="42404" ht="26.25" customHeight="1"/>
    <row r="42405" ht="26.25" customHeight="1"/>
    <row r="42406" ht="26.25" customHeight="1"/>
    <row r="42407" ht="26.25" customHeight="1"/>
    <row r="42408" ht="26.25" customHeight="1"/>
    <row r="42409" ht="26.25" customHeight="1"/>
    <row r="42410" ht="26.25" customHeight="1"/>
    <row r="42411" ht="26.25" customHeight="1"/>
    <row r="42412" ht="26.25" customHeight="1"/>
    <row r="42413" ht="26.25" customHeight="1"/>
    <row r="42414" ht="26.25" customHeight="1"/>
    <row r="42415" ht="26.25" customHeight="1"/>
    <row r="42416" ht="26.25" customHeight="1"/>
    <row r="42417" ht="26.25" customHeight="1"/>
    <row r="42418" ht="26.25" customHeight="1"/>
    <row r="42419" ht="26.25" customHeight="1"/>
    <row r="42420" ht="26.25" customHeight="1"/>
    <row r="42421" ht="26.25" customHeight="1"/>
    <row r="42422" ht="26.25" customHeight="1"/>
    <row r="42423" ht="26.25" customHeight="1"/>
    <row r="42424" ht="26.25" customHeight="1"/>
    <row r="42425" ht="26.25" customHeight="1"/>
    <row r="42426" ht="26.25" customHeight="1"/>
    <row r="42427" ht="26.25" customHeight="1"/>
    <row r="42428" ht="26.25" customHeight="1"/>
    <row r="42429" ht="26.25" customHeight="1"/>
    <row r="42430" ht="26.25" customHeight="1"/>
    <row r="42431" ht="26.25" customHeight="1"/>
    <row r="42432" ht="26.25" customHeight="1"/>
    <row r="42433" ht="26.25" customHeight="1"/>
    <row r="42434" ht="26.25" customHeight="1"/>
    <row r="42435" ht="26.25" customHeight="1"/>
    <row r="42436" ht="26.25" customHeight="1"/>
    <row r="42437" ht="26.25" customHeight="1"/>
    <row r="42438" ht="26.25" customHeight="1"/>
    <row r="42439" ht="26.25" customHeight="1"/>
    <row r="42440" ht="26.25" customHeight="1"/>
    <row r="42441" ht="26.25" customHeight="1"/>
    <row r="42442" ht="26.25" customHeight="1"/>
    <row r="42443" ht="26.25" customHeight="1"/>
    <row r="42444" ht="26.25" customHeight="1"/>
    <row r="42445" ht="26.25" customHeight="1"/>
    <row r="42446" ht="26.25" customHeight="1"/>
    <row r="42447" ht="26.25" customHeight="1"/>
    <row r="42448" ht="26.25" customHeight="1"/>
    <row r="42449" ht="26.25" customHeight="1"/>
    <row r="42450" ht="26.25" customHeight="1"/>
    <row r="42451" ht="26.25" customHeight="1"/>
    <row r="42452" ht="26.25" customHeight="1"/>
    <row r="42453" ht="26.25" customHeight="1"/>
    <row r="42454" ht="26.25" customHeight="1"/>
    <row r="42455" ht="26.25" customHeight="1"/>
    <row r="42456" ht="26.25" customHeight="1"/>
    <row r="42457" ht="26.25" customHeight="1"/>
    <row r="42458" ht="26.25" customHeight="1"/>
    <row r="42459" ht="26.25" customHeight="1"/>
    <row r="42460" ht="26.25" customHeight="1"/>
    <row r="42461" ht="26.25" customHeight="1"/>
    <row r="42462" ht="26.25" customHeight="1"/>
    <row r="42463" ht="26.25" customHeight="1"/>
    <row r="42464" ht="26.25" customHeight="1"/>
    <row r="42465" ht="26.25" customHeight="1"/>
    <row r="42466" ht="26.25" customHeight="1"/>
    <row r="42467" ht="26.25" customHeight="1"/>
    <row r="42468" ht="26.25" customHeight="1"/>
    <row r="42469" ht="26.25" customHeight="1"/>
    <row r="42470" ht="26.25" customHeight="1"/>
    <row r="42471" ht="26.25" customHeight="1"/>
    <row r="42472" ht="26.25" customHeight="1"/>
    <row r="42473" ht="26.25" customHeight="1"/>
    <row r="42474" ht="26.25" customHeight="1"/>
    <row r="42475" ht="26.25" customHeight="1"/>
    <row r="42476" ht="26.25" customHeight="1"/>
    <row r="42477" ht="26.25" customHeight="1"/>
    <row r="42478" ht="26.25" customHeight="1"/>
    <row r="42479" ht="26.25" customHeight="1"/>
    <row r="42480" ht="26.25" customHeight="1"/>
    <row r="42481" ht="26.25" customHeight="1"/>
    <row r="42482" ht="26.25" customHeight="1"/>
    <row r="42483" ht="26.25" customHeight="1"/>
    <row r="42484" ht="26.25" customHeight="1"/>
    <row r="42485" ht="26.25" customHeight="1"/>
    <row r="42486" ht="26.25" customHeight="1"/>
    <row r="42487" ht="26.25" customHeight="1"/>
    <row r="42488" ht="26.25" customHeight="1"/>
    <row r="42489" ht="26.25" customHeight="1"/>
    <row r="42490" ht="26.25" customHeight="1"/>
    <row r="42491" ht="26.25" customHeight="1"/>
    <row r="42492" ht="26.25" customHeight="1"/>
    <row r="42493" ht="26.25" customHeight="1"/>
    <row r="42494" ht="26.25" customHeight="1"/>
    <row r="42495" ht="26.25" customHeight="1"/>
    <row r="42496" ht="26.25" customHeight="1"/>
    <row r="42497" ht="26.25" customHeight="1"/>
    <row r="42498" ht="26.25" customHeight="1"/>
    <row r="42499" ht="26.25" customHeight="1"/>
    <row r="42500" ht="26.25" customHeight="1"/>
    <row r="42501" ht="26.25" customHeight="1"/>
    <row r="42502" ht="26.25" customHeight="1"/>
    <row r="42503" ht="26.25" customHeight="1"/>
    <row r="42504" ht="26.25" customHeight="1"/>
    <row r="42505" ht="26.25" customHeight="1"/>
    <row r="42506" ht="26.25" customHeight="1"/>
    <row r="42507" ht="26.25" customHeight="1"/>
    <row r="42508" ht="26.25" customHeight="1"/>
    <row r="42509" ht="26.25" customHeight="1"/>
    <row r="42510" ht="26.25" customHeight="1"/>
    <row r="42511" ht="26.25" customHeight="1"/>
    <row r="42512" ht="26.25" customHeight="1"/>
    <row r="42513" ht="26.25" customHeight="1"/>
    <row r="42514" ht="26.25" customHeight="1"/>
    <row r="42515" ht="26.25" customHeight="1"/>
    <row r="42516" ht="26.25" customHeight="1"/>
    <row r="42517" ht="26.25" customHeight="1"/>
    <row r="42518" ht="26.25" customHeight="1"/>
    <row r="42519" ht="26.25" customHeight="1"/>
    <row r="42520" ht="26.25" customHeight="1"/>
    <row r="42521" ht="26.25" customHeight="1"/>
    <row r="42522" ht="26.25" customHeight="1"/>
    <row r="42523" ht="26.25" customHeight="1"/>
    <row r="42524" ht="26.25" customHeight="1"/>
    <row r="42525" ht="26.25" customHeight="1"/>
    <row r="42526" ht="26.25" customHeight="1"/>
    <row r="42527" ht="26.25" customHeight="1"/>
    <row r="42528" ht="26.25" customHeight="1"/>
    <row r="42529" ht="26.25" customHeight="1"/>
    <row r="42530" ht="26.25" customHeight="1"/>
    <row r="42531" ht="26.25" customHeight="1"/>
    <row r="42532" ht="26.25" customHeight="1"/>
    <row r="42533" ht="26.25" customHeight="1"/>
    <row r="42534" ht="26.25" customHeight="1"/>
    <row r="42535" ht="26.25" customHeight="1"/>
    <row r="42536" ht="26.25" customHeight="1"/>
    <row r="42537" ht="26.25" customHeight="1"/>
    <row r="42538" ht="26.25" customHeight="1"/>
    <row r="42539" ht="26.25" customHeight="1"/>
    <row r="42540" ht="26.25" customHeight="1"/>
    <row r="42541" ht="26.25" customHeight="1"/>
    <row r="42542" ht="26.25" customHeight="1"/>
    <row r="42543" ht="26.25" customHeight="1"/>
    <row r="42544" ht="26.25" customHeight="1"/>
    <row r="42545" ht="26.25" customHeight="1"/>
    <row r="42546" ht="26.25" customHeight="1"/>
    <row r="42547" ht="26.25" customHeight="1"/>
    <row r="42548" ht="26.25" customHeight="1"/>
    <row r="42549" ht="26.25" customHeight="1"/>
    <row r="42550" ht="26.25" customHeight="1"/>
    <row r="42551" ht="26.25" customHeight="1"/>
    <row r="42552" ht="26.25" customHeight="1"/>
    <row r="42553" ht="26.25" customHeight="1"/>
    <row r="42554" ht="26.25" customHeight="1"/>
    <row r="42555" ht="26.25" customHeight="1"/>
    <row r="42556" ht="26.25" customHeight="1"/>
    <row r="42557" ht="26.25" customHeight="1"/>
    <row r="42558" ht="26.25" customHeight="1"/>
    <row r="42559" ht="26.25" customHeight="1"/>
    <row r="42560" ht="26.25" customHeight="1"/>
    <row r="42561" ht="26.25" customHeight="1"/>
    <row r="42562" ht="26.25" customHeight="1"/>
    <row r="42563" ht="26.25" customHeight="1"/>
    <row r="42564" ht="26.25" customHeight="1"/>
    <row r="42565" ht="26.25" customHeight="1"/>
    <row r="42566" ht="26.25" customHeight="1"/>
    <row r="42567" ht="26.25" customHeight="1"/>
    <row r="42568" ht="26.25" customHeight="1"/>
    <row r="42569" ht="26.25" customHeight="1"/>
    <row r="42570" ht="26.25" customHeight="1"/>
    <row r="42571" ht="26.25" customHeight="1"/>
    <row r="42572" ht="26.25" customHeight="1"/>
    <row r="42573" ht="26.25" customHeight="1"/>
    <row r="42574" ht="26.25" customHeight="1"/>
    <row r="42575" ht="26.25" customHeight="1"/>
    <row r="42576" ht="26.25" customHeight="1"/>
    <row r="42577" ht="26.25" customHeight="1"/>
    <row r="42578" ht="26.25" customHeight="1"/>
    <row r="42579" ht="26.25" customHeight="1"/>
    <row r="42580" ht="26.25" customHeight="1"/>
    <row r="42581" ht="26.25" customHeight="1"/>
    <row r="42582" ht="26.25" customHeight="1"/>
    <row r="42583" ht="26.25" customHeight="1"/>
    <row r="42584" ht="26.25" customHeight="1"/>
    <row r="42585" ht="26.25" customHeight="1"/>
    <row r="42586" ht="26.25" customHeight="1"/>
    <row r="42587" ht="26.25" customHeight="1"/>
    <row r="42588" ht="26.25" customHeight="1"/>
    <row r="42589" ht="26.25" customHeight="1"/>
    <row r="42590" ht="26.25" customHeight="1"/>
    <row r="42591" ht="26.25" customHeight="1"/>
    <row r="42592" ht="26.25" customHeight="1"/>
    <row r="42593" ht="26.25" customHeight="1"/>
    <row r="42594" ht="26.25" customHeight="1"/>
    <row r="42595" ht="26.25" customHeight="1"/>
    <row r="42596" ht="26.25" customHeight="1"/>
    <row r="42597" ht="26.25" customHeight="1"/>
    <row r="42598" ht="26.25" customHeight="1"/>
    <row r="42599" ht="26.25" customHeight="1"/>
    <row r="42600" ht="26.25" customHeight="1"/>
    <row r="42601" ht="26.25" customHeight="1"/>
    <row r="42602" ht="26.25" customHeight="1"/>
    <row r="42603" ht="26.25" customHeight="1"/>
    <row r="42604" ht="26.25" customHeight="1"/>
    <row r="42605" ht="26.25" customHeight="1"/>
    <row r="42606" ht="26.25" customHeight="1"/>
    <row r="42607" ht="26.25" customHeight="1"/>
    <row r="42608" ht="26.25" customHeight="1"/>
    <row r="42609" ht="26.25" customHeight="1"/>
    <row r="42610" ht="26.25" customHeight="1"/>
    <row r="42611" ht="26.25" customHeight="1"/>
    <row r="42612" ht="26.25" customHeight="1"/>
    <row r="42613" ht="26.25" customHeight="1"/>
    <row r="42614" ht="26.25" customHeight="1"/>
    <row r="42615" ht="26.25" customHeight="1"/>
    <row r="42616" ht="26.25" customHeight="1"/>
    <row r="42617" ht="26.25" customHeight="1"/>
    <row r="42618" ht="26.25" customHeight="1"/>
    <row r="42619" ht="26.25" customHeight="1"/>
    <row r="42620" ht="26.25" customHeight="1"/>
    <row r="42621" ht="26.25" customHeight="1"/>
    <row r="42622" ht="26.25" customHeight="1"/>
    <row r="42623" ht="26.25" customHeight="1"/>
    <row r="42624" ht="26.25" customHeight="1"/>
    <row r="42625" ht="26.25" customHeight="1"/>
    <row r="42626" ht="26.25" customHeight="1"/>
    <row r="42627" ht="26.25" customHeight="1"/>
    <row r="42628" ht="26.25" customHeight="1"/>
    <row r="42629" ht="26.25" customHeight="1"/>
    <row r="42630" ht="26.25" customHeight="1"/>
    <row r="42631" ht="26.25" customHeight="1"/>
    <row r="42632" ht="26.25" customHeight="1"/>
    <row r="42633" ht="26.25" customHeight="1"/>
    <row r="42634" ht="26.25" customHeight="1"/>
    <row r="42635" ht="26.25" customHeight="1"/>
    <row r="42636" ht="26.25" customHeight="1"/>
    <row r="42637" ht="26.25" customHeight="1"/>
    <row r="42638" ht="26.25" customHeight="1"/>
    <row r="42639" ht="26.25" customHeight="1"/>
    <row r="42640" ht="26.25" customHeight="1"/>
    <row r="42641" ht="26.25" customHeight="1"/>
    <row r="42642" ht="26.25" customHeight="1"/>
    <row r="42643" ht="26.25" customHeight="1"/>
    <row r="42644" ht="26.25" customHeight="1"/>
    <row r="42645" ht="26.25" customHeight="1"/>
    <row r="42646" ht="26.25" customHeight="1"/>
    <row r="42647" ht="26.25" customHeight="1"/>
    <row r="42648" ht="26.25" customHeight="1"/>
    <row r="42649" ht="26.25" customHeight="1"/>
    <row r="42650" ht="26.25" customHeight="1"/>
    <row r="42651" ht="26.25" customHeight="1"/>
    <row r="42652" ht="26.25" customHeight="1"/>
    <row r="42653" ht="26.25" customHeight="1"/>
    <row r="42654" ht="26.25" customHeight="1"/>
    <row r="42655" ht="26.25" customHeight="1"/>
    <row r="42656" ht="26.25" customHeight="1"/>
    <row r="42657" ht="26.25" customHeight="1"/>
    <row r="42658" ht="26.25" customHeight="1"/>
    <row r="42659" ht="26.25" customHeight="1"/>
    <row r="42660" ht="26.25" customHeight="1"/>
    <row r="42661" ht="26.25" customHeight="1"/>
    <row r="42662" ht="26.25" customHeight="1"/>
    <row r="42663" ht="26.25" customHeight="1"/>
    <row r="42664" ht="26.25" customHeight="1"/>
    <row r="42665" ht="26.25" customHeight="1"/>
    <row r="42666" ht="26.25" customHeight="1"/>
    <row r="42667" ht="26.25" customHeight="1"/>
    <row r="42668" ht="26.25" customHeight="1"/>
    <row r="42669" ht="26.25" customHeight="1"/>
    <row r="42670" ht="26.25" customHeight="1"/>
    <row r="42671" ht="26.25" customHeight="1"/>
    <row r="42672" ht="26.25" customHeight="1"/>
    <row r="42673" ht="26.25" customHeight="1"/>
    <row r="42674" ht="26.25" customHeight="1"/>
    <row r="42675" ht="26.25" customHeight="1"/>
    <row r="42676" ht="26.25" customHeight="1"/>
    <row r="42677" ht="26.25" customHeight="1"/>
    <row r="42678" ht="26.25" customHeight="1"/>
    <row r="42679" ht="26.25" customHeight="1"/>
    <row r="42680" ht="26.25" customHeight="1"/>
    <row r="42681" ht="26.25" customHeight="1"/>
    <row r="42682" ht="26.25" customHeight="1"/>
    <row r="42683" ht="26.25" customHeight="1"/>
    <row r="42684" ht="26.25" customHeight="1"/>
    <row r="42685" ht="26.25" customHeight="1"/>
    <row r="42686" ht="26.25" customHeight="1"/>
    <row r="42687" ht="26.25" customHeight="1"/>
    <row r="42688" ht="26.25" customHeight="1"/>
    <row r="42689" ht="26.25" customHeight="1"/>
    <row r="42690" ht="26.25" customHeight="1"/>
    <row r="42691" ht="26.25" customHeight="1"/>
    <row r="42692" ht="26.25" customHeight="1"/>
    <row r="42693" ht="26.25" customHeight="1"/>
    <row r="42694" ht="26.25" customHeight="1"/>
    <row r="42695" ht="26.25" customHeight="1"/>
    <row r="42696" ht="26.25" customHeight="1"/>
    <row r="42697" ht="26.25" customHeight="1"/>
    <row r="42698" ht="26.25" customHeight="1"/>
    <row r="42699" ht="26.25" customHeight="1"/>
    <row r="42700" ht="26.25" customHeight="1"/>
    <row r="42701" ht="26.25" customHeight="1"/>
    <row r="42702" ht="26.25" customHeight="1"/>
    <row r="42703" ht="26.25" customHeight="1"/>
    <row r="42704" ht="26.25" customHeight="1"/>
    <row r="42705" ht="26.25" customHeight="1"/>
    <row r="42706" ht="26.25" customHeight="1"/>
    <row r="42707" ht="26.25" customHeight="1"/>
    <row r="42708" ht="26.25" customHeight="1"/>
    <row r="42709" ht="26.25" customHeight="1"/>
    <row r="42710" ht="26.25" customHeight="1"/>
    <row r="42711" ht="26.25" customHeight="1"/>
    <row r="42712" ht="26.25" customHeight="1"/>
    <row r="42713" ht="26.25" customHeight="1"/>
    <row r="42714" ht="26.25" customHeight="1"/>
    <row r="42715" ht="26.25" customHeight="1"/>
    <row r="42716" ht="26.25" customHeight="1"/>
    <row r="42717" ht="26.25" customHeight="1"/>
    <row r="42718" ht="26.25" customHeight="1"/>
    <row r="42719" ht="26.25" customHeight="1"/>
    <row r="42720" ht="26.25" customHeight="1"/>
    <row r="42721" ht="26.25" customHeight="1"/>
    <row r="42722" ht="26.25" customHeight="1"/>
    <row r="42723" ht="26.25" customHeight="1"/>
    <row r="42724" ht="26.25" customHeight="1"/>
    <row r="42725" ht="26.25" customHeight="1"/>
    <row r="42726" ht="26.25" customHeight="1"/>
    <row r="42727" ht="26.25" customHeight="1"/>
    <row r="42728" ht="26.25" customHeight="1"/>
    <row r="42729" ht="26.25" customHeight="1"/>
    <row r="42730" ht="26.25" customHeight="1"/>
    <row r="42731" ht="26.25" customHeight="1"/>
    <row r="42732" ht="26.25" customHeight="1"/>
    <row r="42733" ht="26.25" customHeight="1"/>
    <row r="42734" ht="26.25" customHeight="1"/>
    <row r="42735" ht="26.25" customHeight="1"/>
    <row r="42736" ht="26.25" customHeight="1"/>
    <row r="42737" ht="26.25" customHeight="1"/>
    <row r="42738" ht="26.25" customHeight="1"/>
    <row r="42739" ht="26.25" customHeight="1"/>
    <row r="42740" ht="26.25" customHeight="1"/>
    <row r="42741" ht="26.25" customHeight="1"/>
    <row r="42742" ht="26.25" customHeight="1"/>
    <row r="42743" ht="26.25" customHeight="1"/>
    <row r="42744" ht="26.25" customHeight="1"/>
    <row r="42745" ht="26.25" customHeight="1"/>
    <row r="42746" ht="26.25" customHeight="1"/>
    <row r="42747" ht="26.25" customHeight="1"/>
    <row r="42748" ht="26.25" customHeight="1"/>
    <row r="42749" ht="26.25" customHeight="1"/>
    <row r="42750" ht="26.25" customHeight="1"/>
    <row r="42751" ht="26.25" customHeight="1"/>
    <row r="42752" ht="26.25" customHeight="1"/>
    <row r="42753" ht="26.25" customHeight="1"/>
    <row r="42754" ht="26.25" customHeight="1"/>
    <row r="42755" ht="26.25" customHeight="1"/>
    <row r="42756" ht="26.25" customHeight="1"/>
    <row r="42757" ht="26.25" customHeight="1"/>
    <row r="42758" ht="26.25" customHeight="1"/>
    <row r="42759" ht="26.25" customHeight="1"/>
    <row r="42760" ht="26.25" customHeight="1"/>
    <row r="42761" ht="26.25" customHeight="1"/>
    <row r="42762" ht="26.25" customHeight="1"/>
    <row r="42763" ht="26.25" customHeight="1"/>
    <row r="42764" ht="26.25" customHeight="1"/>
    <row r="42765" ht="26.25" customHeight="1"/>
    <row r="42766" ht="26.25" customHeight="1"/>
    <row r="42767" ht="26.25" customHeight="1"/>
    <row r="42768" ht="26.25" customHeight="1"/>
    <row r="42769" ht="26.25" customHeight="1"/>
    <row r="42770" ht="26.25" customHeight="1"/>
    <row r="42771" ht="26.25" customHeight="1"/>
    <row r="42772" ht="26.25" customHeight="1"/>
    <row r="42773" ht="26.25" customHeight="1"/>
    <row r="42774" ht="26.25" customHeight="1"/>
    <row r="42775" ht="26.25" customHeight="1"/>
    <row r="42776" ht="26.25" customHeight="1"/>
    <row r="42777" ht="26.25" customHeight="1"/>
    <row r="42778" ht="26.25" customHeight="1"/>
    <row r="42779" ht="26.25" customHeight="1"/>
    <row r="42780" ht="26.25" customHeight="1"/>
    <row r="42781" ht="26.25" customHeight="1"/>
    <row r="42782" ht="26.25" customHeight="1"/>
    <row r="42783" ht="26.25" customHeight="1"/>
    <row r="42784" ht="26.25" customHeight="1"/>
    <row r="42785" ht="26.25" customHeight="1"/>
    <row r="42786" ht="26.25" customHeight="1"/>
    <row r="42787" ht="26.25" customHeight="1"/>
    <row r="42788" ht="26.25" customHeight="1"/>
    <row r="42789" ht="26.25" customHeight="1"/>
    <row r="42790" ht="26.25" customHeight="1"/>
    <row r="42791" ht="26.25" customHeight="1"/>
    <row r="42792" ht="26.25" customHeight="1"/>
    <row r="42793" ht="26.25" customHeight="1"/>
    <row r="42794" ht="26.25" customHeight="1"/>
    <row r="42795" ht="26.25" customHeight="1"/>
    <row r="42796" ht="26.25" customHeight="1"/>
    <row r="42797" ht="26.25" customHeight="1"/>
    <row r="42798" ht="26.25" customHeight="1"/>
    <row r="42799" ht="26.25" customHeight="1"/>
    <row r="42800" ht="26.25" customHeight="1"/>
    <row r="42801" ht="26.25" customHeight="1"/>
    <row r="42802" ht="26.25" customHeight="1"/>
    <row r="42803" ht="26.25" customHeight="1"/>
    <row r="42804" ht="26.25" customHeight="1"/>
    <row r="42805" ht="26.25" customHeight="1"/>
    <row r="42806" ht="26.25" customHeight="1"/>
    <row r="42807" ht="26.25" customHeight="1"/>
    <row r="42808" ht="26.25" customHeight="1"/>
    <row r="42809" ht="26.25" customHeight="1"/>
    <row r="42810" ht="26.25" customHeight="1"/>
    <row r="42811" ht="26.25" customHeight="1"/>
    <row r="42812" ht="26.25" customHeight="1"/>
    <row r="42813" ht="26.25" customHeight="1"/>
    <row r="42814" ht="26.25" customHeight="1"/>
    <row r="42815" ht="26.25" customHeight="1"/>
    <row r="42816" ht="26.25" customHeight="1"/>
    <row r="42817" ht="26.25" customHeight="1"/>
    <row r="42818" ht="26.25" customHeight="1"/>
    <row r="42819" ht="26.25" customHeight="1"/>
    <row r="42820" ht="26.25" customHeight="1"/>
    <row r="42821" ht="26.25" customHeight="1"/>
    <row r="42822" ht="26.25" customHeight="1"/>
    <row r="42823" ht="26.25" customHeight="1"/>
    <row r="42824" ht="26.25" customHeight="1"/>
    <row r="42825" ht="26.25" customHeight="1"/>
    <row r="42826" ht="26.25" customHeight="1"/>
    <row r="42827" ht="26.25" customHeight="1"/>
    <row r="42828" ht="26.25" customHeight="1"/>
    <row r="42829" ht="26.25" customHeight="1"/>
    <row r="42830" ht="26.25" customHeight="1"/>
    <row r="42831" ht="26.25" customHeight="1"/>
    <row r="42832" ht="26.25" customHeight="1"/>
    <row r="42833" ht="26.25" customHeight="1"/>
    <row r="42834" ht="26.25" customHeight="1"/>
    <row r="42835" ht="26.25" customHeight="1"/>
    <row r="42836" ht="26.25" customHeight="1"/>
    <row r="42837" ht="26.25" customHeight="1"/>
    <row r="42838" ht="26.25" customHeight="1"/>
    <row r="42839" ht="26.25" customHeight="1"/>
    <row r="42840" ht="26.25" customHeight="1"/>
    <row r="42841" ht="26.25" customHeight="1"/>
    <row r="42842" ht="26.25" customHeight="1"/>
    <row r="42843" ht="26.25" customHeight="1"/>
    <row r="42844" ht="26.25" customHeight="1"/>
    <row r="42845" ht="26.25" customHeight="1"/>
    <row r="42846" ht="26.25" customHeight="1"/>
    <row r="42847" ht="26.25" customHeight="1"/>
    <row r="42848" ht="26.25" customHeight="1"/>
    <row r="42849" ht="26.25" customHeight="1"/>
    <row r="42850" ht="26.25" customHeight="1"/>
    <row r="42851" ht="26.25" customHeight="1"/>
    <row r="42852" ht="26.25" customHeight="1"/>
    <row r="42853" ht="26.25" customHeight="1"/>
    <row r="42854" ht="26.25" customHeight="1"/>
    <row r="42855" ht="26.25" customHeight="1"/>
    <row r="42856" ht="26.25" customHeight="1"/>
    <row r="42857" ht="26.25" customHeight="1"/>
    <row r="42858" ht="26.25" customHeight="1"/>
    <row r="42859" ht="26.25" customHeight="1"/>
    <row r="42860" ht="26.25" customHeight="1"/>
    <row r="42861" ht="26.25" customHeight="1"/>
    <row r="42862" ht="26.25" customHeight="1"/>
    <row r="42863" ht="26.25" customHeight="1"/>
    <row r="42864" ht="26.25" customHeight="1"/>
    <row r="42865" ht="26.25" customHeight="1"/>
    <row r="42866" ht="26.25" customHeight="1"/>
    <row r="42867" ht="26.25" customHeight="1"/>
    <row r="42868" ht="26.25" customHeight="1"/>
    <row r="42869" ht="26.25" customHeight="1"/>
    <row r="42870" ht="26.25" customHeight="1"/>
    <row r="42871" ht="26.25" customHeight="1"/>
    <row r="42872" ht="26.25" customHeight="1"/>
    <row r="42873" ht="26.25" customHeight="1"/>
    <row r="42874" ht="26.25" customHeight="1"/>
    <row r="42875" ht="26.25" customHeight="1"/>
    <row r="42876" ht="26.25" customHeight="1"/>
    <row r="42877" ht="26.25" customHeight="1"/>
    <row r="42878" ht="26.25" customHeight="1"/>
    <row r="42879" ht="26.25" customHeight="1"/>
    <row r="42880" ht="26.25" customHeight="1"/>
    <row r="42881" ht="26.25" customHeight="1"/>
    <row r="42882" ht="26.25" customHeight="1"/>
    <row r="42883" ht="26.25" customHeight="1"/>
    <row r="42884" ht="26.25" customHeight="1"/>
    <row r="42885" ht="26.25" customHeight="1"/>
    <row r="42886" ht="26.25" customHeight="1"/>
    <row r="42887" ht="26.25" customHeight="1"/>
    <row r="42888" ht="26.25" customHeight="1"/>
    <row r="42889" ht="26.25" customHeight="1"/>
    <row r="42890" ht="26.25" customHeight="1"/>
    <row r="42891" ht="26.25" customHeight="1"/>
    <row r="42892" ht="26.25" customHeight="1"/>
    <row r="42893" ht="26.25" customHeight="1"/>
    <row r="42894" ht="26.25" customHeight="1"/>
    <row r="42895" ht="26.25" customHeight="1"/>
    <row r="42896" ht="26.25" customHeight="1"/>
    <row r="42897" ht="26.25" customHeight="1"/>
    <row r="42898" ht="26.25" customHeight="1"/>
    <row r="42899" ht="26.25" customHeight="1"/>
    <row r="42900" ht="26.25" customHeight="1"/>
    <row r="42901" ht="26.25" customHeight="1"/>
    <row r="42902" ht="26.25" customHeight="1"/>
    <row r="42903" ht="26.25" customHeight="1"/>
    <row r="42904" ht="26.25" customHeight="1"/>
    <row r="42905" ht="26.25" customHeight="1"/>
    <row r="42906" ht="26.25" customHeight="1"/>
    <row r="42907" ht="26.25" customHeight="1"/>
    <row r="42908" ht="26.25" customHeight="1"/>
    <row r="42909" ht="26.25" customHeight="1"/>
    <row r="42910" ht="26.25" customHeight="1"/>
    <row r="42911" ht="26.25" customHeight="1"/>
    <row r="42912" ht="26.25" customHeight="1"/>
    <row r="42913" ht="26.25" customHeight="1"/>
    <row r="42914" ht="26.25" customHeight="1"/>
    <row r="42915" ht="26.25" customHeight="1"/>
    <row r="42916" ht="26.25" customHeight="1"/>
    <row r="42917" ht="26.25" customHeight="1"/>
    <row r="42918" ht="26.25" customHeight="1"/>
    <row r="42919" ht="26.25" customHeight="1"/>
    <row r="42920" ht="26.25" customHeight="1"/>
    <row r="42921" ht="26.25" customHeight="1"/>
    <row r="42922" ht="26.25" customHeight="1"/>
    <row r="42923" ht="26.25" customHeight="1"/>
    <row r="42924" ht="26.25" customHeight="1"/>
    <row r="42925" ht="26.25" customHeight="1"/>
    <row r="42926" ht="26.25" customHeight="1"/>
    <row r="42927" ht="26.25" customHeight="1"/>
    <row r="42928" ht="26.25" customHeight="1"/>
    <row r="42929" ht="26.25" customHeight="1"/>
    <row r="42930" ht="26.25" customHeight="1"/>
    <row r="42931" ht="26.25" customHeight="1"/>
    <row r="42932" ht="26.25" customHeight="1"/>
    <row r="42933" ht="26.25" customHeight="1"/>
    <row r="42934" ht="26.25" customHeight="1"/>
    <row r="42935" ht="26.25" customHeight="1"/>
    <row r="42936" ht="26.25" customHeight="1"/>
    <row r="42937" ht="26.25" customHeight="1"/>
    <row r="42938" ht="26.25" customHeight="1"/>
    <row r="42939" ht="26.25" customHeight="1"/>
    <row r="42940" ht="26.25" customHeight="1"/>
    <row r="42941" ht="26.25" customHeight="1"/>
    <row r="42942" ht="26.25" customHeight="1"/>
    <row r="42943" ht="26.25" customHeight="1"/>
    <row r="42944" ht="26.25" customHeight="1"/>
    <row r="42945" ht="26.25" customHeight="1"/>
    <row r="42946" ht="26.25" customHeight="1"/>
    <row r="42947" ht="26.25" customHeight="1"/>
    <row r="42948" ht="26.25" customHeight="1"/>
    <row r="42949" ht="26.25" customHeight="1"/>
    <row r="42950" ht="26.25" customHeight="1"/>
    <row r="42951" ht="26.25" customHeight="1"/>
    <row r="42952" ht="26.25" customHeight="1"/>
    <row r="42953" ht="26.25" customHeight="1"/>
    <row r="42954" ht="26.25" customHeight="1"/>
    <row r="42955" ht="26.25" customHeight="1"/>
    <row r="42956" ht="26.25" customHeight="1"/>
    <row r="42957" ht="26.25" customHeight="1"/>
    <row r="42958" ht="26.25" customHeight="1"/>
    <row r="42959" ht="26.25" customHeight="1"/>
    <row r="42960" ht="26.25" customHeight="1"/>
    <row r="42961" ht="26.25" customHeight="1"/>
    <row r="42962" ht="26.25" customHeight="1"/>
    <row r="42963" ht="26.25" customHeight="1"/>
    <row r="42964" ht="26.25" customHeight="1"/>
    <row r="42965" ht="26.25" customHeight="1"/>
    <row r="42966" ht="26.25" customHeight="1"/>
    <row r="42967" ht="26.25" customHeight="1"/>
    <row r="42968" ht="26.25" customHeight="1"/>
    <row r="42969" ht="26.25" customHeight="1"/>
    <row r="42970" ht="26.25" customHeight="1"/>
    <row r="42971" ht="26.25" customHeight="1"/>
    <row r="42972" ht="26.25" customHeight="1"/>
    <row r="42973" ht="26.25" customHeight="1"/>
    <row r="42974" ht="26.25" customHeight="1"/>
    <row r="42975" ht="26.25" customHeight="1"/>
    <row r="42976" ht="26.25" customHeight="1"/>
    <row r="42977" ht="26.25" customHeight="1"/>
    <row r="42978" ht="26.25" customHeight="1"/>
    <row r="42979" ht="26.25" customHeight="1"/>
    <row r="42980" ht="26.25" customHeight="1"/>
    <row r="42981" ht="26.25" customHeight="1"/>
    <row r="42982" ht="26.25" customHeight="1"/>
    <row r="42983" ht="26.25" customHeight="1"/>
    <row r="42984" ht="26.25" customHeight="1"/>
    <row r="42985" ht="26.25" customHeight="1"/>
    <row r="42986" ht="26.25" customHeight="1"/>
    <row r="42987" ht="26.25" customHeight="1"/>
    <row r="42988" ht="26.25" customHeight="1"/>
    <row r="42989" ht="26.25" customHeight="1"/>
    <row r="42990" ht="26.25" customHeight="1"/>
    <row r="42991" ht="26.25" customHeight="1"/>
    <row r="42992" ht="26.25" customHeight="1"/>
    <row r="42993" ht="26.25" customHeight="1"/>
    <row r="42994" ht="26.25" customHeight="1"/>
    <row r="42995" ht="26.25" customHeight="1"/>
    <row r="42996" ht="26.25" customHeight="1"/>
    <row r="42997" ht="26.25" customHeight="1"/>
    <row r="42998" ht="26.25" customHeight="1"/>
    <row r="42999" ht="26.25" customHeight="1"/>
    <row r="43000" ht="26.25" customHeight="1"/>
    <row r="43001" ht="26.25" customHeight="1"/>
    <row r="43002" ht="26.25" customHeight="1"/>
    <row r="43003" ht="26.25" customHeight="1"/>
    <row r="43004" ht="26.25" customHeight="1"/>
    <row r="43005" ht="26.25" customHeight="1"/>
    <row r="43006" ht="26.25" customHeight="1"/>
    <row r="43007" ht="26.25" customHeight="1"/>
    <row r="43008" ht="26.25" customHeight="1"/>
    <row r="43009" ht="26.25" customHeight="1"/>
    <row r="43010" ht="26.25" customHeight="1"/>
    <row r="43011" ht="26.25" customHeight="1"/>
    <row r="43012" ht="26.25" customHeight="1"/>
    <row r="43013" ht="26.25" customHeight="1"/>
    <row r="43014" ht="26.25" customHeight="1"/>
    <row r="43015" ht="26.25" customHeight="1"/>
    <row r="43016" ht="26.25" customHeight="1"/>
    <row r="43017" ht="26.25" customHeight="1"/>
    <row r="43018" ht="26.25" customHeight="1"/>
    <row r="43019" ht="26.25" customHeight="1"/>
    <row r="43020" ht="26.25" customHeight="1"/>
    <row r="43021" ht="26.25" customHeight="1"/>
    <row r="43022" ht="26.25" customHeight="1"/>
    <row r="43023" ht="26.25" customHeight="1"/>
    <row r="43024" ht="26.25" customHeight="1"/>
    <row r="43025" ht="26.25" customHeight="1"/>
    <row r="43026" ht="26.25" customHeight="1"/>
    <row r="43027" ht="26.25" customHeight="1"/>
    <row r="43028" ht="26.25" customHeight="1"/>
    <row r="43029" ht="26.25" customHeight="1"/>
    <row r="43030" ht="26.25" customHeight="1"/>
    <row r="43031" ht="26.25" customHeight="1"/>
    <row r="43032" ht="26.25" customHeight="1"/>
    <row r="43033" ht="26.25" customHeight="1"/>
    <row r="43034" ht="26.25" customHeight="1"/>
    <row r="43035" ht="26.25" customHeight="1"/>
    <row r="43036" ht="26.25" customHeight="1"/>
    <row r="43037" ht="26.25" customHeight="1"/>
    <row r="43038" ht="26.25" customHeight="1"/>
    <row r="43039" ht="26.25" customHeight="1"/>
    <row r="43040" ht="26.25" customHeight="1"/>
    <row r="43041" ht="26.25" customHeight="1"/>
    <row r="43042" ht="26.25" customHeight="1"/>
    <row r="43043" ht="26.25" customHeight="1"/>
    <row r="43044" ht="26.25" customHeight="1"/>
    <row r="43045" ht="26.25" customHeight="1"/>
    <row r="43046" ht="26.25" customHeight="1"/>
    <row r="43047" ht="26.25" customHeight="1"/>
    <row r="43048" ht="26.25" customHeight="1"/>
    <row r="43049" ht="26.25" customHeight="1"/>
    <row r="43050" ht="26.25" customHeight="1"/>
    <row r="43051" ht="26.25" customHeight="1"/>
    <row r="43052" ht="26.25" customHeight="1"/>
    <row r="43053" ht="26.25" customHeight="1"/>
    <row r="43054" ht="26.25" customHeight="1"/>
    <row r="43055" ht="26.25" customHeight="1"/>
    <row r="43056" ht="26.25" customHeight="1"/>
    <row r="43057" ht="26.25" customHeight="1"/>
    <row r="43058" ht="26.25" customHeight="1"/>
    <row r="43059" ht="26.25" customHeight="1"/>
    <row r="43060" ht="26.25" customHeight="1"/>
    <row r="43061" ht="26.25" customHeight="1"/>
    <row r="43062" ht="26.25" customHeight="1"/>
    <row r="43063" ht="26.25" customHeight="1"/>
    <row r="43064" ht="26.25" customHeight="1"/>
    <row r="43065" ht="26.25" customHeight="1"/>
    <row r="43066" ht="26.25" customHeight="1"/>
    <row r="43067" ht="26.25" customHeight="1"/>
    <row r="43068" ht="26.25" customHeight="1"/>
    <row r="43069" ht="26.25" customHeight="1"/>
    <row r="43070" ht="26.25" customHeight="1"/>
    <row r="43071" ht="26.25" customHeight="1"/>
    <row r="43072" ht="26.25" customHeight="1"/>
    <row r="43073" ht="26.25" customHeight="1"/>
    <row r="43074" ht="26.25" customHeight="1"/>
    <row r="43075" ht="26.25" customHeight="1"/>
    <row r="43076" ht="26.25" customHeight="1"/>
    <row r="43077" ht="26.25" customHeight="1"/>
    <row r="43078" ht="26.25" customHeight="1"/>
    <row r="43079" ht="26.25" customHeight="1"/>
    <row r="43080" ht="26.25" customHeight="1"/>
    <row r="43081" ht="26.25" customHeight="1"/>
    <row r="43082" ht="26.25" customHeight="1"/>
    <row r="43083" ht="26.25" customHeight="1"/>
    <row r="43084" ht="26.25" customHeight="1"/>
    <row r="43085" ht="26.25" customHeight="1"/>
    <row r="43086" ht="26.25" customHeight="1"/>
    <row r="43087" ht="26.25" customHeight="1"/>
    <row r="43088" ht="26.25" customHeight="1"/>
    <row r="43089" ht="26.25" customHeight="1"/>
    <row r="43090" ht="26.25" customHeight="1"/>
    <row r="43091" ht="26.25" customHeight="1"/>
    <row r="43092" ht="26.25" customHeight="1"/>
    <row r="43093" ht="26.25" customHeight="1"/>
    <row r="43094" ht="26.25" customHeight="1"/>
    <row r="43095" ht="26.25" customHeight="1"/>
    <row r="43096" ht="26.25" customHeight="1"/>
    <row r="43097" ht="26.25" customHeight="1"/>
    <row r="43098" ht="26.25" customHeight="1"/>
    <row r="43099" ht="26.25" customHeight="1"/>
    <row r="43100" ht="26.25" customHeight="1"/>
    <row r="43101" ht="26.25" customHeight="1"/>
    <row r="43102" ht="26.25" customHeight="1"/>
    <row r="43103" ht="26.25" customHeight="1"/>
    <row r="43104" ht="26.25" customHeight="1"/>
    <row r="43105" ht="26.25" customHeight="1"/>
    <row r="43106" ht="26.25" customHeight="1"/>
    <row r="43107" ht="26.25" customHeight="1"/>
    <row r="43108" ht="26.25" customHeight="1"/>
    <row r="43109" ht="26.25" customHeight="1"/>
    <row r="43110" ht="26.25" customHeight="1"/>
    <row r="43111" ht="26.25" customHeight="1"/>
    <row r="43112" ht="26.25" customHeight="1"/>
    <row r="43113" ht="26.25" customHeight="1"/>
    <row r="43114" ht="26.25" customHeight="1"/>
    <row r="43115" ht="26.25" customHeight="1"/>
    <row r="43116" ht="26.25" customHeight="1"/>
    <row r="43117" ht="26.25" customHeight="1"/>
    <row r="43118" ht="26.25" customHeight="1"/>
    <row r="43119" ht="26.25" customHeight="1"/>
    <row r="43120" ht="26.25" customHeight="1"/>
    <row r="43121" ht="26.25" customHeight="1"/>
    <row r="43122" ht="26.25" customHeight="1"/>
    <row r="43123" ht="26.25" customHeight="1"/>
    <row r="43124" ht="26.25" customHeight="1"/>
    <row r="43125" ht="26.25" customHeight="1"/>
    <row r="43126" ht="26.25" customHeight="1"/>
    <row r="43127" ht="26.25" customHeight="1"/>
    <row r="43128" ht="26.25" customHeight="1"/>
    <row r="43129" ht="26.25" customHeight="1"/>
    <row r="43130" ht="26.25" customHeight="1"/>
    <row r="43131" ht="26.25" customHeight="1"/>
    <row r="43132" ht="26.25" customHeight="1"/>
    <row r="43133" ht="26.25" customHeight="1"/>
    <row r="43134" ht="26.25" customHeight="1"/>
    <row r="43135" ht="26.25" customHeight="1"/>
    <row r="43136" ht="26.25" customHeight="1"/>
    <row r="43137" ht="26.25" customHeight="1"/>
    <row r="43138" ht="26.25" customHeight="1"/>
    <row r="43139" ht="26.25" customHeight="1"/>
    <row r="43140" ht="26.25" customHeight="1"/>
    <row r="43141" ht="26.25" customHeight="1"/>
    <row r="43142" ht="26.25" customHeight="1"/>
    <row r="43143" ht="26.25" customHeight="1"/>
    <row r="43144" ht="26.25" customHeight="1"/>
    <row r="43145" ht="26.25" customHeight="1"/>
    <row r="43146" ht="26.25" customHeight="1"/>
    <row r="43147" ht="26.25" customHeight="1"/>
    <row r="43148" ht="26.25" customHeight="1"/>
    <row r="43149" ht="26.25" customHeight="1"/>
    <row r="43150" ht="26.25" customHeight="1"/>
    <row r="43151" ht="26.25" customHeight="1"/>
    <row r="43152" ht="26.25" customHeight="1"/>
    <row r="43153" ht="26.25" customHeight="1"/>
    <row r="43154" ht="26.25" customHeight="1"/>
    <row r="43155" ht="26.25" customHeight="1"/>
    <row r="43156" ht="26.25" customHeight="1"/>
    <row r="43157" ht="26.25" customHeight="1"/>
    <row r="43158" ht="26.25" customHeight="1"/>
    <row r="43159" ht="26.25" customHeight="1"/>
    <row r="43160" ht="26.25" customHeight="1"/>
    <row r="43161" ht="26.25" customHeight="1"/>
    <row r="43162" ht="26.25" customHeight="1"/>
    <row r="43163" ht="26.25" customHeight="1"/>
    <row r="43164" ht="26.25" customHeight="1"/>
    <row r="43165" ht="26.25" customHeight="1"/>
    <row r="43166" ht="26.25" customHeight="1"/>
    <row r="43167" ht="26.25" customHeight="1"/>
    <row r="43168" ht="26.25" customHeight="1"/>
    <row r="43169" ht="26.25" customHeight="1"/>
    <row r="43170" ht="26.25" customHeight="1"/>
    <row r="43171" ht="26.25" customHeight="1"/>
    <row r="43172" ht="26.25" customHeight="1"/>
    <row r="43173" ht="26.25" customHeight="1"/>
    <row r="43174" ht="26.25" customHeight="1"/>
    <row r="43175" ht="26.25" customHeight="1"/>
    <row r="43176" ht="26.25" customHeight="1"/>
    <row r="43177" ht="26.25" customHeight="1"/>
    <row r="43178" ht="26.25" customHeight="1"/>
    <row r="43179" ht="26.25" customHeight="1"/>
    <row r="43180" ht="26.25" customHeight="1"/>
    <row r="43181" ht="26.25" customHeight="1"/>
    <row r="43182" ht="26.25" customHeight="1"/>
    <row r="43183" ht="26.25" customHeight="1"/>
    <row r="43184" ht="26.25" customHeight="1"/>
    <row r="43185" ht="26.25" customHeight="1"/>
    <row r="43186" ht="26.25" customHeight="1"/>
    <row r="43187" ht="26.25" customHeight="1"/>
    <row r="43188" ht="26.25" customHeight="1"/>
    <row r="43189" ht="26.25" customHeight="1"/>
    <row r="43190" ht="26.25" customHeight="1"/>
    <row r="43191" ht="26.25" customHeight="1"/>
    <row r="43192" ht="26.25" customHeight="1"/>
    <row r="43193" ht="26.25" customHeight="1"/>
    <row r="43194" ht="26.25" customHeight="1"/>
    <row r="43195" ht="26.25" customHeight="1"/>
    <row r="43196" ht="26.25" customHeight="1"/>
    <row r="43197" ht="26.25" customHeight="1"/>
    <row r="43198" ht="26.25" customHeight="1"/>
    <row r="43199" ht="26.25" customHeight="1"/>
    <row r="43200" ht="26.25" customHeight="1"/>
    <row r="43201" ht="26.25" customHeight="1"/>
    <row r="43202" ht="26.25" customHeight="1"/>
    <row r="43203" ht="26.25" customHeight="1"/>
    <row r="43204" ht="26.25" customHeight="1"/>
    <row r="43205" ht="26.25" customHeight="1"/>
    <row r="43206" ht="26.25" customHeight="1"/>
    <row r="43207" ht="26.25" customHeight="1"/>
    <row r="43208" ht="26.25" customHeight="1"/>
    <row r="43209" ht="26.25" customHeight="1"/>
    <row r="43210" ht="26.25" customHeight="1"/>
    <row r="43211" ht="26.25" customHeight="1"/>
    <row r="43212" ht="26.25" customHeight="1"/>
    <row r="43213" ht="26.25" customHeight="1"/>
    <row r="43214" ht="26.25" customHeight="1"/>
    <row r="43215" ht="26.25" customHeight="1"/>
    <row r="43216" ht="26.25" customHeight="1"/>
    <row r="43217" ht="26.25" customHeight="1"/>
    <row r="43218" ht="26.25" customHeight="1"/>
    <row r="43219" ht="26.25" customHeight="1"/>
    <row r="43220" ht="26.25" customHeight="1"/>
    <row r="43221" ht="26.25" customHeight="1"/>
    <row r="43222" ht="26.25" customHeight="1"/>
    <row r="43223" ht="26.25" customHeight="1"/>
    <row r="43224" ht="26.25" customHeight="1"/>
    <row r="43225" ht="26.25" customHeight="1"/>
    <row r="43226" ht="26.25" customHeight="1"/>
    <row r="43227" ht="26.25" customHeight="1"/>
    <row r="43228" ht="26.25" customHeight="1"/>
    <row r="43229" ht="26.25" customHeight="1"/>
    <row r="43230" ht="26.25" customHeight="1"/>
    <row r="43231" ht="26.25" customHeight="1"/>
    <row r="43232" ht="26.25" customHeight="1"/>
    <row r="43233" ht="26.25" customHeight="1"/>
    <row r="43234" ht="26.25" customHeight="1"/>
    <row r="43235" ht="26.25" customHeight="1"/>
    <row r="43236" ht="26.25" customHeight="1"/>
    <row r="43237" ht="26.25" customHeight="1"/>
    <row r="43238" ht="26.25" customHeight="1"/>
    <row r="43239" ht="26.25" customHeight="1"/>
    <row r="43240" ht="26.25" customHeight="1"/>
    <row r="43241" ht="26.25" customHeight="1"/>
    <row r="43242" ht="26.25" customHeight="1"/>
    <row r="43243" ht="26.25" customHeight="1"/>
    <row r="43244" ht="26.25" customHeight="1"/>
    <row r="43245" ht="26.25" customHeight="1"/>
    <row r="43246" ht="26.25" customHeight="1"/>
    <row r="43247" ht="26.25" customHeight="1"/>
    <row r="43248" ht="26.25" customHeight="1"/>
    <row r="43249" ht="26.25" customHeight="1"/>
    <row r="43250" ht="26.25" customHeight="1"/>
    <row r="43251" ht="26.25" customHeight="1"/>
    <row r="43252" ht="26.25" customHeight="1"/>
    <row r="43253" ht="26.25" customHeight="1"/>
    <row r="43254" ht="26.25" customHeight="1"/>
    <row r="43255" ht="26.25" customHeight="1"/>
    <row r="43256" ht="26.25" customHeight="1"/>
    <row r="43257" ht="26.25" customHeight="1"/>
    <row r="43258" ht="26.25" customHeight="1"/>
    <row r="43259" ht="26.25" customHeight="1"/>
    <row r="43260" ht="26.25" customHeight="1"/>
    <row r="43261" ht="26.25" customHeight="1"/>
    <row r="43262" ht="26.25" customHeight="1"/>
    <row r="43263" ht="26.25" customHeight="1"/>
    <row r="43264" ht="26.25" customHeight="1"/>
    <row r="43265" ht="26.25" customHeight="1"/>
    <row r="43266" ht="26.25" customHeight="1"/>
    <row r="43267" ht="26.25" customHeight="1"/>
    <row r="43268" ht="26.25" customHeight="1"/>
    <row r="43269" ht="26.25" customHeight="1"/>
    <row r="43270" ht="26.25" customHeight="1"/>
    <row r="43271" ht="26.25" customHeight="1"/>
    <row r="43272" ht="26.25" customHeight="1"/>
    <row r="43273" ht="26.25" customHeight="1"/>
    <row r="43274" ht="26.25" customHeight="1"/>
    <row r="43275" ht="26.25" customHeight="1"/>
    <row r="43276" ht="26.25" customHeight="1"/>
    <row r="43277" ht="26.25" customHeight="1"/>
    <row r="43278" ht="26.25" customHeight="1"/>
    <row r="43279" ht="26.25" customHeight="1"/>
    <row r="43280" ht="26.25" customHeight="1"/>
    <row r="43281" ht="26.25" customHeight="1"/>
    <row r="43282" ht="26.25" customHeight="1"/>
    <row r="43283" ht="26.25" customHeight="1"/>
    <row r="43284" ht="26.25" customHeight="1"/>
    <row r="43285" ht="26.25" customHeight="1"/>
    <row r="43286" ht="26.25" customHeight="1"/>
    <row r="43287" ht="26.25" customHeight="1"/>
    <row r="43288" ht="26.25" customHeight="1"/>
    <row r="43289" ht="26.25" customHeight="1"/>
    <row r="43290" ht="26.25" customHeight="1"/>
    <row r="43291" ht="26.25" customHeight="1"/>
    <row r="43292" ht="26.25" customHeight="1"/>
    <row r="43293" ht="26.25" customHeight="1"/>
    <row r="43294" ht="26.25" customHeight="1"/>
    <row r="43295" ht="26.25" customHeight="1"/>
    <row r="43296" ht="26.25" customHeight="1"/>
    <row r="43297" ht="26.25" customHeight="1"/>
    <row r="43298" ht="26.25" customHeight="1"/>
    <row r="43299" ht="26.25" customHeight="1"/>
    <row r="43300" ht="26.25" customHeight="1"/>
    <row r="43301" ht="26.25" customHeight="1"/>
    <row r="43302" ht="26.25" customHeight="1"/>
    <row r="43303" ht="26.25" customHeight="1"/>
    <row r="43304" ht="26.25" customHeight="1"/>
    <row r="43305" ht="26.25" customHeight="1"/>
    <row r="43306" ht="26.25" customHeight="1"/>
    <row r="43307" ht="26.25" customHeight="1"/>
    <row r="43308" ht="26.25" customHeight="1"/>
    <row r="43309" ht="26.25" customHeight="1"/>
    <row r="43310" ht="26.25" customHeight="1"/>
    <row r="43311" ht="26.25" customHeight="1"/>
    <row r="43312" ht="26.25" customHeight="1"/>
    <row r="43313" ht="26.25" customHeight="1"/>
    <row r="43314" ht="26.25" customHeight="1"/>
    <row r="43315" ht="26.25" customHeight="1"/>
    <row r="43316" ht="26.25" customHeight="1"/>
    <row r="43317" ht="26.25" customHeight="1"/>
    <row r="43318" ht="26.25" customHeight="1"/>
    <row r="43319" ht="26.25" customHeight="1"/>
    <row r="43320" ht="26.25" customHeight="1"/>
    <row r="43321" ht="26.25" customHeight="1"/>
    <row r="43322" ht="26.25" customHeight="1"/>
    <row r="43323" ht="26.25" customHeight="1"/>
    <row r="43324" ht="26.25" customHeight="1"/>
    <row r="43325" ht="26.25" customHeight="1"/>
    <row r="43326" ht="26.25" customHeight="1"/>
    <row r="43327" ht="26.25" customHeight="1"/>
    <row r="43328" ht="26.25" customHeight="1"/>
    <row r="43329" ht="26.25" customHeight="1"/>
    <row r="43330" ht="26.25" customHeight="1"/>
    <row r="43331" ht="26.25" customHeight="1"/>
    <row r="43332" ht="26.25" customHeight="1"/>
    <row r="43333" ht="26.25" customHeight="1"/>
    <row r="43334" ht="26.25" customHeight="1"/>
    <row r="43335" ht="26.25" customHeight="1"/>
    <row r="43336" ht="26.25" customHeight="1"/>
    <row r="43337" ht="26.25" customHeight="1"/>
    <row r="43338" ht="26.25" customHeight="1"/>
    <row r="43339" ht="26.25" customHeight="1"/>
    <row r="43340" ht="26.25" customHeight="1"/>
    <row r="43341" ht="26.25" customHeight="1"/>
    <row r="43342" ht="26.25" customHeight="1"/>
    <row r="43343" ht="26.25" customHeight="1"/>
    <row r="43344" ht="26.25" customHeight="1"/>
    <row r="43345" ht="26.25" customHeight="1"/>
    <row r="43346" ht="26.25" customHeight="1"/>
    <row r="43347" ht="26.25" customHeight="1"/>
    <row r="43348" ht="26.25" customHeight="1"/>
    <row r="43349" ht="26.25" customHeight="1"/>
    <row r="43350" ht="26.25" customHeight="1"/>
    <row r="43351" ht="26.25" customHeight="1"/>
    <row r="43352" ht="26.25" customHeight="1"/>
    <row r="43353" ht="26.25" customHeight="1"/>
    <row r="43354" ht="26.25" customHeight="1"/>
    <row r="43355" ht="26.25" customHeight="1"/>
    <row r="43356" ht="26.25" customHeight="1"/>
    <row r="43357" ht="26.25" customHeight="1"/>
    <row r="43358" ht="26.25" customHeight="1"/>
    <row r="43359" ht="26.25" customHeight="1"/>
    <row r="43360" ht="26.25" customHeight="1"/>
    <row r="43361" ht="26.25" customHeight="1"/>
    <row r="43362" ht="26.25" customHeight="1"/>
    <row r="43363" ht="26.25" customHeight="1"/>
    <row r="43364" ht="26.25" customHeight="1"/>
    <row r="43365" ht="26.25" customHeight="1"/>
    <row r="43366" ht="26.25" customHeight="1"/>
    <row r="43367" ht="26.25" customHeight="1"/>
    <row r="43368" ht="26.25" customHeight="1"/>
    <row r="43369" ht="26.25" customHeight="1"/>
    <row r="43370" ht="26.25" customHeight="1"/>
    <row r="43371" ht="26.25" customHeight="1"/>
    <row r="43372" ht="26.25" customHeight="1"/>
    <row r="43373" ht="26.25" customHeight="1"/>
    <row r="43374" ht="26.25" customHeight="1"/>
    <row r="43375" ht="26.25" customHeight="1"/>
    <row r="43376" ht="26.25" customHeight="1"/>
    <row r="43377" ht="26.25" customHeight="1"/>
    <row r="43378" ht="26.25" customHeight="1"/>
    <row r="43379" ht="26.25" customHeight="1"/>
    <row r="43380" ht="26.25" customHeight="1"/>
    <row r="43381" ht="26.25" customHeight="1"/>
    <row r="43382" ht="26.25" customHeight="1"/>
    <row r="43383" ht="26.25" customHeight="1"/>
    <row r="43384" ht="26.25" customHeight="1"/>
    <row r="43385" ht="26.25" customHeight="1"/>
    <row r="43386" ht="26.25" customHeight="1"/>
    <row r="43387" ht="26.25" customHeight="1"/>
    <row r="43388" ht="26.25" customHeight="1"/>
    <row r="43389" ht="26.25" customHeight="1"/>
    <row r="43390" ht="26.25" customHeight="1"/>
    <row r="43391" ht="26.25" customHeight="1"/>
    <row r="43392" ht="26.25" customHeight="1"/>
    <row r="43393" ht="26.25" customHeight="1"/>
    <row r="43394" ht="26.25" customHeight="1"/>
    <row r="43395" ht="26.25" customHeight="1"/>
    <row r="43396" ht="26.25" customHeight="1"/>
    <row r="43397" ht="26.25" customHeight="1"/>
    <row r="43398" ht="26.25" customHeight="1"/>
    <row r="43399" ht="26.25" customHeight="1"/>
    <row r="43400" ht="26.25" customHeight="1"/>
    <row r="43401" ht="26.25" customHeight="1"/>
    <row r="43402" ht="26.25" customHeight="1"/>
    <row r="43403" ht="26.25" customHeight="1"/>
    <row r="43404" ht="26.25" customHeight="1"/>
    <row r="43405" ht="26.25" customHeight="1"/>
    <row r="43406" ht="26.25" customHeight="1"/>
    <row r="43407" ht="26.25" customHeight="1"/>
    <row r="43408" ht="26.25" customHeight="1"/>
    <row r="43409" ht="26.25" customHeight="1"/>
    <row r="43410" ht="26.25" customHeight="1"/>
    <row r="43411" ht="26.25" customHeight="1"/>
    <row r="43412" ht="26.25" customHeight="1"/>
    <row r="43413" ht="26.25" customHeight="1"/>
    <row r="43414" ht="26.25" customHeight="1"/>
    <row r="43415" ht="26.25" customHeight="1"/>
    <row r="43416" ht="26.25" customHeight="1"/>
    <row r="43417" ht="26.25" customHeight="1"/>
    <row r="43418" ht="26.25" customHeight="1"/>
    <row r="43419" ht="26.25" customHeight="1"/>
    <row r="43420" ht="26.25" customHeight="1"/>
    <row r="43421" ht="26.25" customHeight="1"/>
    <row r="43422" ht="26.25" customHeight="1"/>
    <row r="43423" ht="26.25" customHeight="1"/>
    <row r="43424" ht="26.25" customHeight="1"/>
    <row r="43425" ht="26.25" customHeight="1"/>
    <row r="43426" ht="26.25" customHeight="1"/>
    <row r="43427" ht="26.25" customHeight="1"/>
    <row r="43428" ht="26.25" customHeight="1"/>
    <row r="43429" ht="26.25" customHeight="1"/>
    <row r="43430" ht="26.25" customHeight="1"/>
    <row r="43431" ht="26.25" customHeight="1"/>
    <row r="43432" ht="26.25" customHeight="1"/>
    <row r="43433" ht="26.25" customHeight="1"/>
    <row r="43434" ht="26.25" customHeight="1"/>
    <row r="43435" ht="26.25" customHeight="1"/>
    <row r="43436" ht="26.25" customHeight="1"/>
    <row r="43437" ht="26.25" customHeight="1"/>
    <row r="43438" ht="26.25" customHeight="1"/>
    <row r="43439" ht="26.25" customHeight="1"/>
    <row r="43440" ht="26.25" customHeight="1"/>
    <row r="43441" ht="26.25" customHeight="1"/>
    <row r="43442" ht="26.25" customHeight="1"/>
    <row r="43443" ht="26.25" customHeight="1"/>
    <row r="43444" ht="26.25" customHeight="1"/>
    <row r="43445" ht="26.25" customHeight="1"/>
    <row r="43446" ht="26.25" customHeight="1"/>
    <row r="43447" ht="26.25" customHeight="1"/>
    <row r="43448" ht="26.25" customHeight="1"/>
    <row r="43449" ht="26.25" customHeight="1"/>
    <row r="43450" ht="26.25" customHeight="1"/>
    <row r="43451" ht="26.25" customHeight="1"/>
    <row r="43452" ht="26.25" customHeight="1"/>
    <row r="43453" ht="26.25" customHeight="1"/>
    <row r="43454" ht="26.25" customHeight="1"/>
    <row r="43455" ht="26.25" customHeight="1"/>
    <row r="43456" ht="26.25" customHeight="1"/>
    <row r="43457" ht="26.25" customHeight="1"/>
    <row r="43458" ht="26.25" customHeight="1"/>
    <row r="43459" ht="26.25" customHeight="1"/>
    <row r="43460" ht="26.25" customHeight="1"/>
    <row r="43461" ht="26.25" customHeight="1"/>
    <row r="43462" ht="26.25" customHeight="1"/>
    <row r="43463" ht="26.25" customHeight="1"/>
    <row r="43464" ht="26.25" customHeight="1"/>
    <row r="43465" ht="26.25" customHeight="1"/>
    <row r="43466" ht="26.25" customHeight="1"/>
    <row r="43467" ht="26.25" customHeight="1"/>
    <row r="43468" ht="26.25" customHeight="1"/>
    <row r="43469" ht="26.25" customHeight="1"/>
    <row r="43470" ht="26.25" customHeight="1"/>
    <row r="43471" ht="26.25" customHeight="1"/>
    <row r="43472" ht="26.25" customHeight="1"/>
    <row r="43473" ht="26.25" customHeight="1"/>
    <row r="43474" ht="26.25" customHeight="1"/>
    <row r="43475" ht="26.25" customHeight="1"/>
    <row r="43476" ht="26.25" customHeight="1"/>
    <row r="43477" ht="26.25" customHeight="1"/>
    <row r="43478" ht="26.25" customHeight="1"/>
    <row r="43479" ht="26.25" customHeight="1"/>
    <row r="43480" ht="26.25" customHeight="1"/>
    <row r="43481" ht="26.25" customHeight="1"/>
    <row r="43482" ht="26.25" customHeight="1"/>
    <row r="43483" ht="26.25" customHeight="1"/>
    <row r="43484" ht="26.25" customHeight="1"/>
    <row r="43485" ht="26.25" customHeight="1"/>
    <row r="43486" ht="26.25" customHeight="1"/>
    <row r="43487" ht="26.25" customHeight="1"/>
    <row r="43488" ht="26.25" customHeight="1"/>
    <row r="43489" ht="26.25" customHeight="1"/>
    <row r="43490" ht="26.25" customHeight="1"/>
    <row r="43491" ht="26.25" customHeight="1"/>
    <row r="43492" ht="26.25" customHeight="1"/>
    <row r="43493" ht="26.25" customHeight="1"/>
    <row r="43494" ht="26.25" customHeight="1"/>
    <row r="43495" ht="26.25" customHeight="1"/>
    <row r="43496" ht="26.25" customHeight="1"/>
    <row r="43497" ht="26.25" customHeight="1"/>
    <row r="43498" ht="26.25" customHeight="1"/>
    <row r="43499" ht="26.25" customHeight="1"/>
    <row r="43500" ht="26.25" customHeight="1"/>
    <row r="43501" ht="26.25" customHeight="1"/>
    <row r="43502" ht="26.25" customHeight="1"/>
    <row r="43503" ht="26.25" customHeight="1"/>
    <row r="43504" ht="26.25" customHeight="1"/>
    <row r="43505" ht="26.25" customHeight="1"/>
    <row r="43506" ht="26.25" customHeight="1"/>
    <row r="43507" ht="26.25" customHeight="1"/>
    <row r="43508" ht="26.25" customHeight="1"/>
    <row r="43509" ht="26.25" customHeight="1"/>
    <row r="43510" ht="26.25" customHeight="1"/>
    <row r="43511" ht="26.25" customHeight="1"/>
    <row r="43512" ht="26.25" customHeight="1"/>
    <row r="43513" ht="26.25" customHeight="1"/>
    <row r="43514" ht="26.25" customHeight="1"/>
    <row r="43515" ht="26.25" customHeight="1"/>
    <row r="43516" ht="26.25" customHeight="1"/>
    <row r="43517" ht="26.25" customHeight="1"/>
    <row r="43518" ht="26.25" customHeight="1"/>
    <row r="43519" ht="26.25" customHeight="1"/>
    <row r="43520" ht="26.25" customHeight="1"/>
    <row r="43521" ht="26.25" customHeight="1"/>
    <row r="43522" ht="26.25" customHeight="1"/>
    <row r="43523" ht="26.25" customHeight="1"/>
    <row r="43524" ht="26.25" customHeight="1"/>
    <row r="43525" ht="26.25" customHeight="1"/>
    <row r="43526" ht="26.25" customHeight="1"/>
    <row r="43527" ht="26.25" customHeight="1"/>
    <row r="43528" ht="26.25" customHeight="1"/>
    <row r="43529" ht="26.25" customHeight="1"/>
    <row r="43530" ht="26.25" customHeight="1"/>
    <row r="43531" ht="26.25" customHeight="1"/>
    <row r="43532" ht="26.25" customHeight="1"/>
    <row r="43533" ht="26.25" customHeight="1"/>
    <row r="43534" ht="26.25" customHeight="1"/>
    <row r="43535" ht="26.25" customHeight="1"/>
    <row r="43536" ht="26.25" customHeight="1"/>
    <row r="43537" ht="26.25" customHeight="1"/>
    <row r="43538" ht="26.25" customHeight="1"/>
    <row r="43539" ht="26.25" customHeight="1"/>
    <row r="43540" ht="26.25" customHeight="1"/>
    <row r="43541" ht="26.25" customHeight="1"/>
    <row r="43542" ht="26.25" customHeight="1"/>
    <row r="43543" ht="26.25" customHeight="1"/>
    <row r="43544" ht="26.25" customHeight="1"/>
    <row r="43545" ht="26.25" customHeight="1"/>
    <row r="43546" ht="26.25" customHeight="1"/>
    <row r="43547" ht="26.25" customHeight="1"/>
    <row r="43548" ht="26.25" customHeight="1"/>
    <row r="43549" ht="26.25" customHeight="1"/>
    <row r="43550" ht="26.25" customHeight="1"/>
    <row r="43551" ht="26.25" customHeight="1"/>
    <row r="43552" ht="26.25" customHeight="1"/>
    <row r="43553" ht="26.25" customHeight="1"/>
    <row r="43554" ht="26.25" customHeight="1"/>
    <row r="43555" ht="26.25" customHeight="1"/>
    <row r="43556" ht="26.25" customHeight="1"/>
    <row r="43557" ht="26.25" customHeight="1"/>
    <row r="43558" ht="26.25" customHeight="1"/>
    <row r="43559" ht="26.25" customHeight="1"/>
    <row r="43560" ht="26.25" customHeight="1"/>
    <row r="43561" ht="26.25" customHeight="1"/>
    <row r="43562" ht="26.25" customHeight="1"/>
    <row r="43563" ht="26.25" customHeight="1"/>
    <row r="43564" ht="26.25" customHeight="1"/>
    <row r="43565" ht="26.25" customHeight="1"/>
    <row r="43566" ht="26.25" customHeight="1"/>
    <row r="43567" ht="26.25" customHeight="1"/>
    <row r="43568" ht="26.25" customHeight="1"/>
    <row r="43569" ht="26.25" customHeight="1"/>
    <row r="43570" ht="26.25" customHeight="1"/>
    <row r="43571" ht="26.25" customHeight="1"/>
    <row r="43572" ht="26.25" customHeight="1"/>
    <row r="43573" ht="26.25" customHeight="1"/>
    <row r="43574" ht="26.25" customHeight="1"/>
    <row r="43575" ht="26.25" customHeight="1"/>
    <row r="43576" ht="26.25" customHeight="1"/>
    <row r="43577" ht="26.25" customHeight="1"/>
    <row r="43578" ht="26.25" customHeight="1"/>
    <row r="43579" ht="26.25" customHeight="1"/>
    <row r="43580" ht="26.25" customHeight="1"/>
    <row r="43581" ht="26.25" customHeight="1"/>
    <row r="43582" ht="26.25" customHeight="1"/>
    <row r="43583" ht="26.25" customHeight="1"/>
    <row r="43584" ht="26.25" customHeight="1"/>
    <row r="43585" ht="26.25" customHeight="1"/>
    <row r="43586" ht="26.25" customHeight="1"/>
    <row r="43587" ht="26.25" customHeight="1"/>
    <row r="43588" ht="26.25" customHeight="1"/>
    <row r="43589" ht="26.25" customHeight="1"/>
    <row r="43590" ht="26.25" customHeight="1"/>
    <row r="43591" ht="26.25" customHeight="1"/>
    <row r="43592" ht="26.25" customHeight="1"/>
    <row r="43593" ht="26.25" customHeight="1"/>
    <row r="43594" ht="26.25" customHeight="1"/>
    <row r="43595" ht="26.25" customHeight="1"/>
    <row r="43596" ht="26.25" customHeight="1"/>
    <row r="43597" ht="26.25" customHeight="1"/>
    <row r="43598" ht="26.25" customHeight="1"/>
    <row r="43599" ht="26.25" customHeight="1"/>
    <row r="43600" ht="26.25" customHeight="1"/>
    <row r="43601" ht="26.25" customHeight="1"/>
    <row r="43602" ht="26.25" customHeight="1"/>
    <row r="43603" ht="26.25" customHeight="1"/>
    <row r="43604" ht="26.25" customHeight="1"/>
    <row r="43605" ht="26.25" customHeight="1"/>
    <row r="43606" ht="26.25" customHeight="1"/>
    <row r="43607" ht="26.25" customHeight="1"/>
    <row r="43608" ht="26.25" customHeight="1"/>
    <row r="43609" ht="26.25" customHeight="1"/>
    <row r="43610" ht="26.25" customHeight="1"/>
    <row r="43611" ht="26.25" customHeight="1"/>
    <row r="43612" ht="26.25" customHeight="1"/>
    <row r="43613" ht="26.25" customHeight="1"/>
    <row r="43614" ht="26.25" customHeight="1"/>
    <row r="43615" ht="26.25" customHeight="1"/>
    <row r="43616" ht="26.25" customHeight="1"/>
    <row r="43617" ht="26.25" customHeight="1"/>
    <row r="43618" ht="26.25" customHeight="1"/>
    <row r="43619" ht="26.25" customHeight="1"/>
    <row r="43620" ht="26.25" customHeight="1"/>
    <row r="43621" ht="26.25" customHeight="1"/>
    <row r="43622" ht="26.25" customHeight="1"/>
    <row r="43623" ht="26.25" customHeight="1"/>
    <row r="43624" ht="26.25" customHeight="1"/>
    <row r="43625" ht="26.25" customHeight="1"/>
    <row r="43626" ht="26.25" customHeight="1"/>
    <row r="43627" ht="26.25" customHeight="1"/>
    <row r="43628" ht="26.25" customHeight="1"/>
    <row r="43629" ht="26.25" customHeight="1"/>
    <row r="43630" ht="26.25" customHeight="1"/>
    <row r="43631" ht="26.25" customHeight="1"/>
    <row r="43632" ht="26.25" customHeight="1"/>
    <row r="43633" ht="26.25" customHeight="1"/>
    <row r="43634" ht="26.25" customHeight="1"/>
    <row r="43635" ht="26.25" customHeight="1"/>
    <row r="43636" ht="26.25" customHeight="1"/>
    <row r="43637" ht="26.25" customHeight="1"/>
    <row r="43638" ht="26.25" customHeight="1"/>
    <row r="43639" ht="26.25" customHeight="1"/>
    <row r="43640" ht="26.25" customHeight="1"/>
    <row r="43641" ht="26.25" customHeight="1"/>
    <row r="43642" ht="26.25" customHeight="1"/>
    <row r="43643" ht="26.25" customHeight="1"/>
    <row r="43644" ht="26.25" customHeight="1"/>
    <row r="43645" ht="26.25" customHeight="1"/>
    <row r="43646" ht="26.25" customHeight="1"/>
    <row r="43647" ht="26.25" customHeight="1"/>
    <row r="43648" ht="26.25" customHeight="1"/>
    <row r="43649" ht="26.25" customHeight="1"/>
    <row r="43650" ht="26.25" customHeight="1"/>
    <row r="43651" ht="26.25" customHeight="1"/>
    <row r="43652" ht="26.25" customHeight="1"/>
    <row r="43653" ht="26.25" customHeight="1"/>
    <row r="43654" ht="26.25" customHeight="1"/>
    <row r="43655" ht="26.25" customHeight="1"/>
    <row r="43656" ht="26.25" customHeight="1"/>
    <row r="43657" ht="26.25" customHeight="1"/>
    <row r="43658" ht="26.25" customHeight="1"/>
    <row r="43659" ht="26.25" customHeight="1"/>
    <row r="43660" ht="26.25" customHeight="1"/>
    <row r="43661" ht="26.25" customHeight="1"/>
    <row r="43662" ht="26.25" customHeight="1"/>
    <row r="43663" ht="26.25" customHeight="1"/>
    <row r="43664" ht="26.25" customHeight="1"/>
    <row r="43665" ht="26.25" customHeight="1"/>
    <row r="43666" ht="26.25" customHeight="1"/>
    <row r="43667" ht="26.25" customHeight="1"/>
    <row r="43668" ht="26.25" customHeight="1"/>
    <row r="43669" ht="26.25" customHeight="1"/>
    <row r="43670" ht="26.25" customHeight="1"/>
    <row r="43671" ht="26.25" customHeight="1"/>
    <row r="43672" ht="26.25" customHeight="1"/>
    <row r="43673" ht="26.25" customHeight="1"/>
    <row r="43674" ht="26.25" customHeight="1"/>
    <row r="43675" ht="26.25" customHeight="1"/>
    <row r="43676" ht="26.25" customHeight="1"/>
    <row r="43677" ht="26.25" customHeight="1"/>
    <row r="43678" ht="26.25" customHeight="1"/>
    <row r="43679" ht="26.25" customHeight="1"/>
    <row r="43680" ht="26.25" customHeight="1"/>
    <row r="43681" ht="26.25" customHeight="1"/>
    <row r="43682" ht="26.25" customHeight="1"/>
    <row r="43683" ht="26.25" customHeight="1"/>
    <row r="43684" ht="26.25" customHeight="1"/>
    <row r="43685" ht="26.25" customHeight="1"/>
    <row r="43686" ht="26.25" customHeight="1"/>
    <row r="43687" ht="26.25" customHeight="1"/>
    <row r="43688" ht="26.25" customHeight="1"/>
    <row r="43689" ht="26.25" customHeight="1"/>
    <row r="43690" ht="26.25" customHeight="1"/>
    <row r="43691" ht="26.25" customHeight="1"/>
    <row r="43692" ht="26.25" customHeight="1"/>
    <row r="43693" ht="26.25" customHeight="1"/>
    <row r="43694" ht="26.25" customHeight="1"/>
    <row r="43695" ht="26.25" customHeight="1"/>
    <row r="43696" ht="26.25" customHeight="1"/>
    <row r="43697" ht="26.25" customHeight="1"/>
    <row r="43698" ht="26.25" customHeight="1"/>
    <row r="43699" ht="26.25" customHeight="1"/>
    <row r="43700" ht="26.25" customHeight="1"/>
    <row r="43701" ht="26.25" customHeight="1"/>
    <row r="43702" ht="26.25" customHeight="1"/>
    <row r="43703" ht="26.25" customHeight="1"/>
    <row r="43704" ht="26.25" customHeight="1"/>
    <row r="43705" ht="26.25" customHeight="1"/>
    <row r="43706" ht="26.25" customHeight="1"/>
    <row r="43707" ht="26.25" customHeight="1"/>
    <row r="43708" ht="26.25" customHeight="1"/>
    <row r="43709" ht="26.25" customHeight="1"/>
    <row r="43710" ht="26.25" customHeight="1"/>
    <row r="43711" ht="26.25" customHeight="1"/>
    <row r="43712" ht="26.25" customHeight="1"/>
    <row r="43713" ht="26.25" customHeight="1"/>
    <row r="43714" ht="26.25" customHeight="1"/>
    <row r="43715" ht="26.25" customHeight="1"/>
    <row r="43716" ht="26.25" customHeight="1"/>
    <row r="43717" ht="26.25" customHeight="1"/>
    <row r="43718" ht="26.25" customHeight="1"/>
    <row r="43719" ht="26.25" customHeight="1"/>
    <row r="43720" ht="26.25" customHeight="1"/>
    <row r="43721" ht="26.25" customHeight="1"/>
    <row r="43722" ht="26.25" customHeight="1"/>
    <row r="43723" ht="26.25" customHeight="1"/>
    <row r="43724" ht="26.25" customHeight="1"/>
    <row r="43725" ht="26.25" customHeight="1"/>
    <row r="43726" ht="26.25" customHeight="1"/>
    <row r="43727" ht="26.25" customHeight="1"/>
    <row r="43728" ht="26.25" customHeight="1"/>
    <row r="43729" ht="26.25" customHeight="1"/>
    <row r="43730" ht="26.25" customHeight="1"/>
    <row r="43731" ht="26.25" customHeight="1"/>
    <row r="43732" ht="26.25" customHeight="1"/>
    <row r="43733" ht="26.25" customHeight="1"/>
    <row r="43734" ht="26.25" customHeight="1"/>
    <row r="43735" ht="26.25" customHeight="1"/>
    <row r="43736" ht="26.25" customHeight="1"/>
    <row r="43737" ht="26.25" customHeight="1"/>
    <row r="43738" ht="26.25" customHeight="1"/>
    <row r="43739" ht="26.25" customHeight="1"/>
    <row r="43740" ht="26.25" customHeight="1"/>
    <row r="43741" ht="26.25" customHeight="1"/>
    <row r="43742" ht="26.25" customHeight="1"/>
    <row r="43743" ht="26.25" customHeight="1"/>
    <row r="43744" ht="26.25" customHeight="1"/>
    <row r="43745" ht="26.25" customHeight="1"/>
    <row r="43746" ht="26.25" customHeight="1"/>
    <row r="43747" ht="26.25" customHeight="1"/>
    <row r="43748" ht="26.25" customHeight="1"/>
    <row r="43749" ht="26.25" customHeight="1"/>
    <row r="43750" ht="26.25" customHeight="1"/>
    <row r="43751" ht="26.25" customHeight="1"/>
    <row r="43752" ht="26.25" customHeight="1"/>
    <row r="43753" ht="26.25" customHeight="1"/>
    <row r="43754" ht="26.25" customHeight="1"/>
    <row r="43755" ht="26.25" customHeight="1"/>
    <row r="43756" ht="26.25" customHeight="1"/>
    <row r="43757" ht="26.25" customHeight="1"/>
    <row r="43758" ht="26.25" customHeight="1"/>
    <row r="43759" ht="26.25" customHeight="1"/>
    <row r="43760" ht="26.25" customHeight="1"/>
    <row r="43761" ht="26.25" customHeight="1"/>
    <row r="43762" ht="26.25" customHeight="1"/>
    <row r="43763" ht="26.25" customHeight="1"/>
    <row r="43764" ht="26.25" customHeight="1"/>
    <row r="43765" ht="26.25" customHeight="1"/>
    <row r="43766" ht="26.25" customHeight="1"/>
    <row r="43767" ht="26.25" customHeight="1"/>
    <row r="43768" ht="26.25" customHeight="1"/>
    <row r="43769" ht="26.25" customHeight="1"/>
    <row r="43770" ht="26.25" customHeight="1"/>
    <row r="43771" ht="26.25" customHeight="1"/>
    <row r="43772" ht="26.25" customHeight="1"/>
    <row r="43773" ht="26.25" customHeight="1"/>
    <row r="43774" ht="26.25" customHeight="1"/>
    <row r="43775" ht="26.25" customHeight="1"/>
    <row r="43776" ht="26.25" customHeight="1"/>
    <row r="43777" ht="26.25" customHeight="1"/>
    <row r="43778" ht="26.25" customHeight="1"/>
    <row r="43779" ht="26.25" customHeight="1"/>
    <row r="43780" ht="26.25" customHeight="1"/>
    <row r="43781" ht="26.25" customHeight="1"/>
    <row r="43782" ht="26.25" customHeight="1"/>
    <row r="43783" ht="26.25" customHeight="1"/>
    <row r="43784" ht="26.25" customHeight="1"/>
    <row r="43785" ht="26.25" customHeight="1"/>
    <row r="43786" ht="26.25" customHeight="1"/>
    <row r="43787" ht="26.25" customHeight="1"/>
    <row r="43788" ht="26.25" customHeight="1"/>
    <row r="43789" ht="26.25" customHeight="1"/>
    <row r="43790" ht="26.25" customHeight="1"/>
    <row r="43791" ht="26.25" customHeight="1"/>
    <row r="43792" ht="26.25" customHeight="1"/>
    <row r="43793" ht="26.25" customHeight="1"/>
    <row r="43794" ht="26.25" customHeight="1"/>
    <row r="43795" ht="26.25" customHeight="1"/>
    <row r="43796" ht="26.25" customHeight="1"/>
    <row r="43797" ht="26.25" customHeight="1"/>
    <row r="43798" ht="26.25" customHeight="1"/>
    <row r="43799" ht="26.25" customHeight="1"/>
    <row r="43800" ht="26.25" customHeight="1"/>
    <row r="43801" ht="26.25" customHeight="1"/>
    <row r="43802" ht="26.25" customHeight="1"/>
    <row r="43803" ht="26.25" customHeight="1"/>
    <row r="43804" ht="26.25" customHeight="1"/>
    <row r="43805" ht="26.25" customHeight="1"/>
    <row r="43806" ht="26.25" customHeight="1"/>
    <row r="43807" ht="26.25" customHeight="1"/>
    <row r="43808" ht="26.25" customHeight="1"/>
    <row r="43809" ht="26.25" customHeight="1"/>
    <row r="43810" ht="26.25" customHeight="1"/>
    <row r="43811" ht="26.25" customHeight="1"/>
    <row r="43812" ht="26.25" customHeight="1"/>
    <row r="43813" ht="26.25" customHeight="1"/>
    <row r="43814" ht="26.25" customHeight="1"/>
    <row r="43815" ht="26.25" customHeight="1"/>
    <row r="43816" ht="26.25" customHeight="1"/>
    <row r="43817" ht="26.25" customHeight="1"/>
    <row r="43818" ht="26.25" customHeight="1"/>
    <row r="43819" ht="26.25" customHeight="1"/>
    <row r="43820" ht="26.25" customHeight="1"/>
    <row r="43821" ht="26.25" customHeight="1"/>
    <row r="43822" ht="26.25" customHeight="1"/>
    <row r="43823" ht="26.25" customHeight="1"/>
    <row r="43824" ht="26.25" customHeight="1"/>
    <row r="43825" ht="26.25" customHeight="1"/>
    <row r="43826" ht="26.25" customHeight="1"/>
    <row r="43827" ht="26.25" customHeight="1"/>
    <row r="43828" ht="26.25" customHeight="1"/>
    <row r="43829" ht="26.25" customHeight="1"/>
    <row r="43830" ht="26.25" customHeight="1"/>
    <row r="43831" ht="26.25" customHeight="1"/>
    <row r="43832" ht="26.25" customHeight="1"/>
    <row r="43833" ht="26.25" customHeight="1"/>
    <row r="43834" ht="26.25" customHeight="1"/>
    <row r="43835" ht="26.25" customHeight="1"/>
    <row r="43836" ht="26.25" customHeight="1"/>
    <row r="43837" ht="26.25" customHeight="1"/>
    <row r="43838" ht="26.25" customHeight="1"/>
    <row r="43839" ht="26.25" customHeight="1"/>
    <row r="43840" ht="26.25" customHeight="1"/>
    <row r="43841" ht="26.25" customHeight="1"/>
    <row r="43842" ht="26.25" customHeight="1"/>
    <row r="43843" ht="26.25" customHeight="1"/>
    <row r="43844" ht="26.25" customHeight="1"/>
    <row r="43845" ht="26.25" customHeight="1"/>
    <row r="43846" ht="26.25" customHeight="1"/>
    <row r="43847" ht="26.25" customHeight="1"/>
    <row r="43848" ht="26.25" customHeight="1"/>
    <row r="43849" ht="26.25" customHeight="1"/>
    <row r="43850" ht="26.25" customHeight="1"/>
    <row r="43851" ht="26.25" customHeight="1"/>
    <row r="43852" ht="26.25" customHeight="1"/>
    <row r="43853" ht="26.25" customHeight="1"/>
    <row r="43854" ht="26.25" customHeight="1"/>
    <row r="43855" ht="26.25" customHeight="1"/>
    <row r="43856" ht="26.25" customHeight="1"/>
    <row r="43857" ht="26.25" customHeight="1"/>
    <row r="43858" ht="26.25" customHeight="1"/>
    <row r="43859" ht="26.25" customHeight="1"/>
    <row r="43860" ht="26.25" customHeight="1"/>
    <row r="43861" ht="26.25" customHeight="1"/>
    <row r="43862" ht="26.25" customHeight="1"/>
    <row r="43863" ht="26.25" customHeight="1"/>
    <row r="43864" ht="26.25" customHeight="1"/>
    <row r="43865" ht="26.25" customHeight="1"/>
    <row r="43866" ht="26.25" customHeight="1"/>
    <row r="43867" ht="26.25" customHeight="1"/>
    <row r="43868" ht="26.25" customHeight="1"/>
    <row r="43869" ht="26.25" customHeight="1"/>
    <row r="43870" ht="26.25" customHeight="1"/>
    <row r="43871" ht="26.25" customHeight="1"/>
    <row r="43872" ht="26.25" customHeight="1"/>
    <row r="43873" ht="26.25" customHeight="1"/>
    <row r="43874" ht="26.25" customHeight="1"/>
    <row r="43875" ht="26.25" customHeight="1"/>
    <row r="43876" ht="26.25" customHeight="1"/>
    <row r="43877" ht="26.25" customHeight="1"/>
    <row r="43878" ht="26.25" customHeight="1"/>
    <row r="43879" ht="26.25" customHeight="1"/>
    <row r="43880" ht="26.25" customHeight="1"/>
    <row r="43881" ht="26.25" customHeight="1"/>
    <row r="43882" ht="26.25" customHeight="1"/>
    <row r="43883" ht="26.25" customHeight="1"/>
    <row r="43884" ht="26.25" customHeight="1"/>
    <row r="43885" ht="26.25" customHeight="1"/>
    <row r="43886" ht="26.25" customHeight="1"/>
    <row r="43887" ht="26.25" customHeight="1"/>
    <row r="43888" ht="26.25" customHeight="1"/>
    <row r="43889" ht="26.25" customHeight="1"/>
    <row r="43890" ht="26.25" customHeight="1"/>
    <row r="43891" ht="26.25" customHeight="1"/>
    <row r="43892" ht="26.25" customHeight="1"/>
    <row r="43893" ht="26.25" customHeight="1"/>
    <row r="43894" ht="26.25" customHeight="1"/>
    <row r="43895" ht="26.25" customHeight="1"/>
    <row r="43896" ht="26.25" customHeight="1"/>
    <row r="43897" ht="26.25" customHeight="1"/>
    <row r="43898" ht="26.25" customHeight="1"/>
    <row r="43899" ht="26.25" customHeight="1"/>
    <row r="43900" ht="26.25" customHeight="1"/>
    <row r="43901" ht="26.25" customHeight="1"/>
    <row r="43902" ht="26.25" customHeight="1"/>
    <row r="43903" ht="26.25" customHeight="1"/>
    <row r="43904" ht="26.25" customHeight="1"/>
    <row r="43905" ht="26.25" customHeight="1"/>
    <row r="43906" ht="26.25" customHeight="1"/>
    <row r="43907" ht="26.25" customHeight="1"/>
    <row r="43908" ht="26.25" customHeight="1"/>
    <row r="43909" ht="26.25" customHeight="1"/>
    <row r="43910" ht="26.25" customHeight="1"/>
    <row r="43911" ht="26.25" customHeight="1"/>
    <row r="43912" ht="26.25" customHeight="1"/>
    <row r="43913" ht="26.25" customHeight="1"/>
    <row r="43914" ht="26.25" customHeight="1"/>
    <row r="43915" ht="26.25" customHeight="1"/>
    <row r="43916" ht="26.25" customHeight="1"/>
    <row r="43917" ht="26.25" customHeight="1"/>
    <row r="43918" ht="26.25" customHeight="1"/>
    <row r="43919" ht="26.25" customHeight="1"/>
    <row r="43920" ht="26.25" customHeight="1"/>
    <row r="43921" ht="26.25" customHeight="1"/>
    <row r="43922" ht="26.25" customHeight="1"/>
    <row r="43923" ht="26.25" customHeight="1"/>
    <row r="43924" ht="26.25" customHeight="1"/>
    <row r="43925" ht="26.25" customHeight="1"/>
    <row r="43926" ht="26.25" customHeight="1"/>
    <row r="43927" ht="26.25" customHeight="1"/>
    <row r="43928" ht="26.25" customHeight="1"/>
    <row r="43929" ht="26.25" customHeight="1"/>
    <row r="43930" ht="26.25" customHeight="1"/>
    <row r="43931" ht="26.25" customHeight="1"/>
    <row r="43932" ht="26.25" customHeight="1"/>
    <row r="43933" ht="26.25" customHeight="1"/>
    <row r="43934" ht="26.25" customHeight="1"/>
    <row r="43935" ht="26.25" customHeight="1"/>
    <row r="43936" ht="26.25" customHeight="1"/>
    <row r="43937" ht="26.25" customHeight="1"/>
    <row r="43938" ht="26.25" customHeight="1"/>
    <row r="43939" ht="26.25" customHeight="1"/>
    <row r="43940" ht="26.25" customHeight="1"/>
    <row r="43941" ht="26.25" customHeight="1"/>
    <row r="43942" ht="26.25" customHeight="1"/>
    <row r="43943" ht="26.25" customHeight="1"/>
    <row r="43944" ht="26.25" customHeight="1"/>
    <row r="43945" ht="26.25" customHeight="1"/>
    <row r="43946" ht="26.25" customHeight="1"/>
    <row r="43947" ht="26.25" customHeight="1"/>
    <row r="43948" ht="26.25" customHeight="1"/>
    <row r="43949" ht="26.25" customHeight="1"/>
    <row r="43950" ht="26.25" customHeight="1"/>
    <row r="43951" ht="26.25" customHeight="1"/>
    <row r="43952" ht="26.25" customHeight="1"/>
    <row r="43953" ht="26.25" customHeight="1"/>
    <row r="43954" ht="26.25" customHeight="1"/>
    <row r="43955" ht="26.25" customHeight="1"/>
    <row r="43956" ht="26.25" customHeight="1"/>
    <row r="43957" ht="26.25" customHeight="1"/>
    <row r="43958" ht="26.25" customHeight="1"/>
    <row r="43959" ht="26.25" customHeight="1"/>
    <row r="43960" ht="26.25" customHeight="1"/>
    <row r="43961" ht="26.25" customHeight="1"/>
    <row r="43962" ht="26.25" customHeight="1"/>
    <row r="43963" ht="26.25" customHeight="1"/>
    <row r="43964" ht="26.25" customHeight="1"/>
    <row r="43965" ht="26.25" customHeight="1"/>
    <row r="43966" ht="26.25" customHeight="1"/>
    <row r="43967" ht="26.25" customHeight="1"/>
    <row r="43968" ht="26.25" customHeight="1"/>
    <row r="43969" ht="26.25" customHeight="1"/>
    <row r="43970" ht="26.25" customHeight="1"/>
    <row r="43971" ht="26.25" customHeight="1"/>
    <row r="43972" ht="26.25" customHeight="1"/>
    <row r="43973" ht="26.25" customHeight="1"/>
    <row r="43974" ht="26.25" customHeight="1"/>
    <row r="43975" ht="26.25" customHeight="1"/>
    <row r="43976" ht="26.25" customHeight="1"/>
    <row r="43977" ht="26.25" customHeight="1"/>
    <row r="43978" ht="26.25" customHeight="1"/>
    <row r="43979" ht="26.25" customHeight="1"/>
    <row r="43980" ht="26.25" customHeight="1"/>
    <row r="43981" ht="26.25" customHeight="1"/>
    <row r="43982" ht="26.25" customHeight="1"/>
    <row r="43983" ht="26.25" customHeight="1"/>
    <row r="43984" ht="26.25" customHeight="1"/>
    <row r="43985" ht="26.25" customHeight="1"/>
    <row r="43986" ht="26.25" customHeight="1"/>
    <row r="43987" ht="26.25" customHeight="1"/>
    <row r="43988" ht="26.25" customHeight="1"/>
    <row r="43989" ht="26.25" customHeight="1"/>
    <row r="43990" ht="26.25" customHeight="1"/>
    <row r="43991" ht="26.25" customHeight="1"/>
    <row r="43992" ht="26.25" customHeight="1"/>
    <row r="43993" ht="26.25" customHeight="1"/>
    <row r="43994" ht="26.25" customHeight="1"/>
    <row r="43995" ht="26.25" customHeight="1"/>
    <row r="43996" ht="26.25" customHeight="1"/>
    <row r="43997" ht="26.25" customHeight="1"/>
    <row r="43998" ht="26.25" customHeight="1"/>
    <row r="43999" ht="26.25" customHeight="1"/>
    <row r="44000" ht="26.25" customHeight="1"/>
    <row r="44001" ht="26.25" customHeight="1"/>
    <row r="44002" ht="26.25" customHeight="1"/>
    <row r="44003" ht="26.25" customHeight="1"/>
    <row r="44004" ht="26.25" customHeight="1"/>
    <row r="44005" ht="26.25" customHeight="1"/>
    <row r="44006" ht="26.25" customHeight="1"/>
    <row r="44007" ht="26.25" customHeight="1"/>
    <row r="44008" ht="26.25" customHeight="1"/>
    <row r="44009" ht="26.25" customHeight="1"/>
    <row r="44010" ht="26.25" customHeight="1"/>
    <row r="44011" ht="26.25" customHeight="1"/>
    <row r="44012" ht="26.25" customHeight="1"/>
    <row r="44013" ht="26.25" customHeight="1"/>
    <row r="44014" ht="26.25" customHeight="1"/>
    <row r="44015" ht="26.25" customHeight="1"/>
    <row r="44016" ht="26.25" customHeight="1"/>
    <row r="44017" ht="26.25" customHeight="1"/>
    <row r="44018" ht="26.25" customHeight="1"/>
    <row r="44019" ht="26.25" customHeight="1"/>
    <row r="44020" ht="26.25" customHeight="1"/>
    <row r="44021" ht="26.25" customHeight="1"/>
    <row r="44022" ht="26.25" customHeight="1"/>
    <row r="44023" ht="26.25" customHeight="1"/>
    <row r="44024" ht="26.25" customHeight="1"/>
    <row r="44025" ht="26.25" customHeight="1"/>
    <row r="44026" ht="26.25" customHeight="1"/>
    <row r="44027" ht="26.25" customHeight="1"/>
    <row r="44028" ht="26.25" customHeight="1"/>
    <row r="44029" ht="26.25" customHeight="1"/>
    <row r="44030" ht="26.25" customHeight="1"/>
    <row r="44031" ht="26.25" customHeight="1"/>
    <row r="44032" ht="26.25" customHeight="1"/>
    <row r="44033" ht="26.25" customHeight="1"/>
    <row r="44034" ht="26.25" customHeight="1"/>
    <row r="44035" ht="26.25" customHeight="1"/>
    <row r="44036" ht="26.25" customHeight="1"/>
    <row r="44037" ht="26.25" customHeight="1"/>
    <row r="44038" ht="26.25" customHeight="1"/>
    <row r="44039" ht="26.25" customHeight="1"/>
    <row r="44040" ht="26.25" customHeight="1"/>
    <row r="44041" ht="26.25" customHeight="1"/>
    <row r="44042" ht="26.25" customHeight="1"/>
    <row r="44043" ht="26.25" customHeight="1"/>
    <row r="44044" ht="26.25" customHeight="1"/>
    <row r="44045" ht="26.25" customHeight="1"/>
    <row r="44046" ht="26.25" customHeight="1"/>
    <row r="44047" ht="26.25" customHeight="1"/>
    <row r="44048" ht="26.25" customHeight="1"/>
    <row r="44049" ht="26.25" customHeight="1"/>
    <row r="44050" ht="26.25" customHeight="1"/>
    <row r="44051" ht="26.25" customHeight="1"/>
    <row r="44052" ht="26.25" customHeight="1"/>
    <row r="44053" ht="26.25" customHeight="1"/>
    <row r="44054" ht="26.25" customHeight="1"/>
    <row r="44055" ht="26.25" customHeight="1"/>
    <row r="44056" ht="26.25" customHeight="1"/>
    <row r="44057" ht="26.25" customHeight="1"/>
    <row r="44058" ht="26.25" customHeight="1"/>
    <row r="44059" ht="26.25" customHeight="1"/>
    <row r="44060" ht="26.25" customHeight="1"/>
    <row r="44061" ht="26.25" customHeight="1"/>
    <row r="44062" ht="26.25" customHeight="1"/>
    <row r="44063" ht="26.25" customHeight="1"/>
    <row r="44064" ht="26.25" customHeight="1"/>
    <row r="44065" ht="26.25" customHeight="1"/>
    <row r="44066" ht="26.25" customHeight="1"/>
    <row r="44067" ht="26.25" customHeight="1"/>
    <row r="44068" ht="26.25" customHeight="1"/>
    <row r="44069" ht="26.25" customHeight="1"/>
    <row r="44070" ht="26.25" customHeight="1"/>
    <row r="44071" ht="26.25" customHeight="1"/>
    <row r="44072" ht="26.25" customHeight="1"/>
    <row r="44073" ht="26.25" customHeight="1"/>
    <row r="44074" ht="26.25" customHeight="1"/>
    <row r="44075" ht="26.25" customHeight="1"/>
    <row r="44076" ht="26.25" customHeight="1"/>
    <row r="44077" ht="26.25" customHeight="1"/>
    <row r="44078" ht="26.25" customHeight="1"/>
    <row r="44079" ht="26.25" customHeight="1"/>
    <row r="44080" ht="26.25" customHeight="1"/>
    <row r="44081" ht="26.25" customHeight="1"/>
    <row r="44082" ht="26.25" customHeight="1"/>
    <row r="44083" ht="26.25" customHeight="1"/>
    <row r="44084" ht="26.25" customHeight="1"/>
    <row r="44085" ht="26.25" customHeight="1"/>
    <row r="44086" ht="26.25" customHeight="1"/>
    <row r="44087" ht="26.25" customHeight="1"/>
    <row r="44088" ht="26.25" customHeight="1"/>
    <row r="44089" ht="26.25" customHeight="1"/>
    <row r="44090" ht="26.25" customHeight="1"/>
    <row r="44091" ht="26.25" customHeight="1"/>
    <row r="44092" ht="26.25" customHeight="1"/>
    <row r="44093" ht="26.25" customHeight="1"/>
    <row r="44094" ht="26.25" customHeight="1"/>
    <row r="44095" ht="26.25" customHeight="1"/>
    <row r="44096" ht="26.25" customHeight="1"/>
    <row r="44097" ht="26.25" customHeight="1"/>
    <row r="44098" ht="26.25" customHeight="1"/>
    <row r="44099" ht="26.25" customHeight="1"/>
    <row r="44100" ht="26.25" customHeight="1"/>
    <row r="44101" ht="26.25" customHeight="1"/>
    <row r="44102" ht="26.25" customHeight="1"/>
    <row r="44103" ht="26.25" customHeight="1"/>
    <row r="44104" ht="26.25" customHeight="1"/>
    <row r="44105" ht="26.25" customHeight="1"/>
    <row r="44106" ht="26.25" customHeight="1"/>
    <row r="44107" ht="26.25" customHeight="1"/>
    <row r="44108" ht="26.25" customHeight="1"/>
    <row r="44109" ht="26.25" customHeight="1"/>
    <row r="44110" ht="26.25" customHeight="1"/>
    <row r="44111" ht="26.25" customHeight="1"/>
    <row r="44112" ht="26.25" customHeight="1"/>
    <row r="44113" ht="26.25" customHeight="1"/>
    <row r="44114" ht="26.25" customHeight="1"/>
    <row r="44115" ht="26.25" customHeight="1"/>
    <row r="44116" ht="26.25" customHeight="1"/>
    <row r="44117" ht="26.25" customHeight="1"/>
    <row r="44118" ht="26.25" customHeight="1"/>
    <row r="44119" ht="26.25" customHeight="1"/>
    <row r="44120" ht="26.25" customHeight="1"/>
    <row r="44121" ht="26.25" customHeight="1"/>
    <row r="44122" ht="26.25" customHeight="1"/>
    <row r="44123" ht="26.25" customHeight="1"/>
    <row r="44124" ht="26.25" customHeight="1"/>
    <row r="44125" ht="26.25" customHeight="1"/>
    <row r="44126" ht="26.25" customHeight="1"/>
    <row r="44127" ht="26.25" customHeight="1"/>
    <row r="44128" ht="26.25" customHeight="1"/>
    <row r="44129" ht="26.25" customHeight="1"/>
    <row r="44130" ht="26.25" customHeight="1"/>
    <row r="44131" ht="26.25" customHeight="1"/>
    <row r="44132" ht="26.25" customHeight="1"/>
    <row r="44133" ht="26.25" customHeight="1"/>
    <row r="44134" ht="26.25" customHeight="1"/>
    <row r="44135" ht="26.25" customHeight="1"/>
    <row r="44136" ht="26.25" customHeight="1"/>
    <row r="44137" ht="26.25" customHeight="1"/>
    <row r="44138" ht="26.25" customHeight="1"/>
    <row r="44139" ht="26.25" customHeight="1"/>
    <row r="44140" ht="26.25" customHeight="1"/>
    <row r="44141" ht="26.25" customHeight="1"/>
    <row r="44142" ht="26.25" customHeight="1"/>
    <row r="44143" ht="26.25" customHeight="1"/>
    <row r="44144" ht="26.25" customHeight="1"/>
    <row r="44145" ht="26.25" customHeight="1"/>
    <row r="44146" ht="26.25" customHeight="1"/>
    <row r="44147" ht="26.25" customHeight="1"/>
    <row r="44148" ht="26.25" customHeight="1"/>
    <row r="44149" ht="26.25" customHeight="1"/>
    <row r="44150" ht="26.25" customHeight="1"/>
    <row r="44151" ht="26.25" customHeight="1"/>
    <row r="44152" ht="26.25" customHeight="1"/>
    <row r="44153" ht="26.25" customHeight="1"/>
    <row r="44154" ht="26.25" customHeight="1"/>
    <row r="44155" ht="26.25" customHeight="1"/>
    <row r="44156" ht="26.25" customHeight="1"/>
    <row r="44157" ht="26.25" customHeight="1"/>
    <row r="44158" ht="26.25" customHeight="1"/>
    <row r="44159" ht="26.25" customHeight="1"/>
    <row r="44160" ht="26.25" customHeight="1"/>
    <row r="44161" ht="26.25" customHeight="1"/>
    <row r="44162" ht="26.25" customHeight="1"/>
    <row r="44163" ht="26.25" customHeight="1"/>
    <row r="44164" ht="26.25" customHeight="1"/>
    <row r="44165" ht="26.25" customHeight="1"/>
    <row r="44166" ht="26.25" customHeight="1"/>
    <row r="44167" ht="26.25" customHeight="1"/>
    <row r="44168" ht="26.25" customHeight="1"/>
    <row r="44169" ht="26.25" customHeight="1"/>
    <row r="44170" ht="26.25" customHeight="1"/>
    <row r="44171" ht="26.25" customHeight="1"/>
    <row r="44172" ht="26.25" customHeight="1"/>
    <row r="44173" ht="26.25" customHeight="1"/>
    <row r="44174" ht="26.25" customHeight="1"/>
    <row r="44175" ht="26.25" customHeight="1"/>
    <row r="44176" ht="26.25" customHeight="1"/>
    <row r="44177" ht="26.25" customHeight="1"/>
    <row r="44178" ht="26.25" customHeight="1"/>
    <row r="44179" ht="26.25" customHeight="1"/>
    <row r="44180" ht="26.25" customHeight="1"/>
    <row r="44181" ht="26.25" customHeight="1"/>
    <row r="44182" ht="26.25" customHeight="1"/>
    <row r="44183" ht="26.25" customHeight="1"/>
    <row r="44184" ht="26.25" customHeight="1"/>
    <row r="44185" ht="26.25" customHeight="1"/>
    <row r="44186" ht="26.25" customHeight="1"/>
    <row r="44187" ht="26.25" customHeight="1"/>
    <row r="44188" ht="26.25" customHeight="1"/>
    <row r="44189" ht="26.25" customHeight="1"/>
    <row r="44190" ht="26.25" customHeight="1"/>
    <row r="44191" ht="26.25" customHeight="1"/>
    <row r="44192" ht="26.25" customHeight="1"/>
    <row r="44193" ht="26.25" customHeight="1"/>
    <row r="44194" ht="26.25" customHeight="1"/>
    <row r="44195" ht="26.25" customHeight="1"/>
    <row r="44196" ht="26.25" customHeight="1"/>
    <row r="44197" ht="26.25" customHeight="1"/>
    <row r="44198" ht="26.25" customHeight="1"/>
    <row r="44199" ht="26.25" customHeight="1"/>
    <row r="44200" ht="26.25" customHeight="1"/>
    <row r="44201" ht="26.25" customHeight="1"/>
    <row r="44202" ht="26.25" customHeight="1"/>
    <row r="44203" ht="26.25" customHeight="1"/>
    <row r="44204" ht="26.25" customHeight="1"/>
    <row r="44205" ht="26.25" customHeight="1"/>
    <row r="44206" ht="26.25" customHeight="1"/>
    <row r="44207" ht="26.25" customHeight="1"/>
    <row r="44208" ht="26.25" customHeight="1"/>
    <row r="44209" ht="26.25" customHeight="1"/>
    <row r="44210" ht="26.25" customHeight="1"/>
    <row r="44211" ht="26.25" customHeight="1"/>
    <row r="44212" ht="26.25" customHeight="1"/>
    <row r="44213" ht="26.25" customHeight="1"/>
    <row r="44214" ht="26.25" customHeight="1"/>
    <row r="44215" ht="26.25" customHeight="1"/>
    <row r="44216" ht="26.25" customHeight="1"/>
    <row r="44217" ht="26.25" customHeight="1"/>
    <row r="44218" ht="26.25" customHeight="1"/>
    <row r="44219" ht="26.25" customHeight="1"/>
    <row r="44220" ht="26.25" customHeight="1"/>
    <row r="44221" ht="26.25" customHeight="1"/>
    <row r="44222" ht="26.25" customHeight="1"/>
    <row r="44223" ht="26.25" customHeight="1"/>
    <row r="44224" ht="26.25" customHeight="1"/>
    <row r="44225" ht="26.25" customHeight="1"/>
    <row r="44226" ht="26.25" customHeight="1"/>
    <row r="44227" ht="26.25" customHeight="1"/>
    <row r="44228" ht="26.25" customHeight="1"/>
    <row r="44229" ht="26.25" customHeight="1"/>
    <row r="44230" ht="26.25" customHeight="1"/>
    <row r="44231" ht="26.25" customHeight="1"/>
    <row r="44232" ht="26.25" customHeight="1"/>
    <row r="44233" ht="26.25" customHeight="1"/>
    <row r="44234" ht="26.25" customHeight="1"/>
    <row r="44235" ht="26.25" customHeight="1"/>
    <row r="44236" ht="26.25" customHeight="1"/>
    <row r="44237" ht="26.25" customHeight="1"/>
    <row r="44238" ht="26.25" customHeight="1"/>
    <row r="44239" ht="26.25" customHeight="1"/>
    <row r="44240" ht="26.25" customHeight="1"/>
    <row r="44241" ht="26.25" customHeight="1"/>
    <row r="44242" ht="26.25" customHeight="1"/>
    <row r="44243" ht="26.25" customHeight="1"/>
    <row r="44244" ht="26.25" customHeight="1"/>
    <row r="44245" ht="26.25" customHeight="1"/>
    <row r="44246" ht="26.25" customHeight="1"/>
    <row r="44247" ht="26.25" customHeight="1"/>
    <row r="44248" ht="26.25" customHeight="1"/>
    <row r="44249" ht="26.25" customHeight="1"/>
    <row r="44250" ht="26.25" customHeight="1"/>
    <row r="44251" ht="26.25" customHeight="1"/>
    <row r="44252" ht="26.25" customHeight="1"/>
    <row r="44253" ht="26.25" customHeight="1"/>
    <row r="44254" ht="26.25" customHeight="1"/>
    <row r="44255" ht="26.25" customHeight="1"/>
    <row r="44256" ht="26.25" customHeight="1"/>
    <row r="44257" ht="26.25" customHeight="1"/>
    <row r="44258" ht="26.25" customHeight="1"/>
    <row r="44259" ht="26.25" customHeight="1"/>
    <row r="44260" ht="26.25" customHeight="1"/>
    <row r="44261" ht="26.25" customHeight="1"/>
    <row r="44262" ht="26.25" customHeight="1"/>
    <row r="44263" ht="26.25" customHeight="1"/>
    <row r="44264" ht="26.25" customHeight="1"/>
    <row r="44265" ht="26.25" customHeight="1"/>
    <row r="44266" ht="26.25" customHeight="1"/>
    <row r="44267" ht="26.25" customHeight="1"/>
    <row r="44268" ht="26.25" customHeight="1"/>
    <row r="44269" ht="26.25" customHeight="1"/>
    <row r="44270" ht="26.25" customHeight="1"/>
    <row r="44271" ht="26.25" customHeight="1"/>
    <row r="44272" ht="26.25" customHeight="1"/>
    <row r="44273" ht="26.25" customHeight="1"/>
    <row r="44274" ht="26.25" customHeight="1"/>
    <row r="44275" ht="26.25" customHeight="1"/>
    <row r="44276" ht="26.25" customHeight="1"/>
    <row r="44277" ht="26.25" customHeight="1"/>
    <row r="44278" ht="26.25" customHeight="1"/>
    <row r="44279" ht="26.25" customHeight="1"/>
    <row r="44280" ht="26.25" customHeight="1"/>
    <row r="44281" ht="26.25" customHeight="1"/>
    <row r="44282" ht="26.25" customHeight="1"/>
    <row r="44283" ht="26.25" customHeight="1"/>
    <row r="44284" ht="26.25" customHeight="1"/>
    <row r="44285" ht="26.25" customHeight="1"/>
    <row r="44286" ht="26.25" customHeight="1"/>
    <row r="44287" ht="26.25" customHeight="1"/>
    <row r="44288" ht="26.25" customHeight="1"/>
    <row r="44289" ht="26.25" customHeight="1"/>
    <row r="44290" ht="26.25" customHeight="1"/>
    <row r="44291" ht="26.25" customHeight="1"/>
    <row r="44292" ht="26.25" customHeight="1"/>
    <row r="44293" ht="26.25" customHeight="1"/>
    <row r="44294" ht="26.25" customHeight="1"/>
    <row r="44295" ht="26.25" customHeight="1"/>
    <row r="44296" ht="26.25" customHeight="1"/>
    <row r="44297" ht="26.25" customHeight="1"/>
    <row r="44298" ht="26.25" customHeight="1"/>
    <row r="44299" ht="26.25" customHeight="1"/>
    <row r="44300" ht="26.25" customHeight="1"/>
    <row r="44301" ht="26.25" customHeight="1"/>
    <row r="44302" ht="26.25" customHeight="1"/>
    <row r="44303" ht="26.25" customHeight="1"/>
    <row r="44304" ht="26.25" customHeight="1"/>
    <row r="44305" ht="26.25" customHeight="1"/>
    <row r="44306" ht="26.25" customHeight="1"/>
    <row r="44307" ht="26.25" customHeight="1"/>
    <row r="44308" ht="26.25" customHeight="1"/>
    <row r="44309" ht="26.25" customHeight="1"/>
    <row r="44310" ht="26.25" customHeight="1"/>
    <row r="44311" ht="26.25" customHeight="1"/>
    <row r="44312" ht="26.25" customHeight="1"/>
    <row r="44313" ht="26.25" customHeight="1"/>
    <row r="44314" ht="26.25" customHeight="1"/>
    <row r="44315" ht="26.25" customHeight="1"/>
    <row r="44316" ht="26.25" customHeight="1"/>
    <row r="44317" ht="26.25" customHeight="1"/>
    <row r="44318" ht="26.25" customHeight="1"/>
    <row r="44319" ht="26.25" customHeight="1"/>
    <row r="44320" ht="26.25" customHeight="1"/>
    <row r="44321" ht="26.25" customHeight="1"/>
    <row r="44322" ht="26.25" customHeight="1"/>
    <row r="44323" ht="26.25" customHeight="1"/>
    <row r="44324" ht="26.25" customHeight="1"/>
    <row r="44325" ht="26.25" customHeight="1"/>
    <row r="44326" ht="26.25" customHeight="1"/>
    <row r="44327" ht="26.25" customHeight="1"/>
    <row r="44328" ht="26.25" customHeight="1"/>
    <row r="44329" ht="26.25" customHeight="1"/>
    <row r="44330" ht="26.25" customHeight="1"/>
    <row r="44331" ht="26.25" customHeight="1"/>
    <row r="44332" ht="26.25" customHeight="1"/>
    <row r="44333" ht="26.25" customHeight="1"/>
    <row r="44334" ht="26.25" customHeight="1"/>
    <row r="44335" ht="26.25" customHeight="1"/>
    <row r="44336" ht="26.25" customHeight="1"/>
    <row r="44337" ht="26.25" customHeight="1"/>
    <row r="44338" ht="26.25" customHeight="1"/>
    <row r="44339" ht="26.25" customHeight="1"/>
    <row r="44340" ht="26.25" customHeight="1"/>
    <row r="44341" ht="26.25" customHeight="1"/>
    <row r="44342" ht="26.25" customHeight="1"/>
    <row r="44343" ht="26.25" customHeight="1"/>
    <row r="44344" ht="26.25" customHeight="1"/>
    <row r="44345" ht="26.25" customHeight="1"/>
    <row r="44346" ht="26.25" customHeight="1"/>
    <row r="44347" ht="26.25" customHeight="1"/>
    <row r="44348" ht="26.25" customHeight="1"/>
    <row r="44349" ht="26.25" customHeight="1"/>
    <row r="44350" ht="26.25" customHeight="1"/>
    <row r="44351" ht="26.25" customHeight="1"/>
    <row r="44352" ht="26.25" customHeight="1"/>
    <row r="44353" ht="26.25" customHeight="1"/>
    <row r="44354" ht="26.25" customHeight="1"/>
    <row r="44355" ht="26.25" customHeight="1"/>
    <row r="44356" ht="26.25" customHeight="1"/>
    <row r="44357" ht="26.25" customHeight="1"/>
    <row r="44358" ht="26.25" customHeight="1"/>
    <row r="44359" ht="26.25" customHeight="1"/>
    <row r="44360" ht="26.25" customHeight="1"/>
    <row r="44361" ht="26.25" customHeight="1"/>
    <row r="44362" ht="26.25" customHeight="1"/>
    <row r="44363" ht="26.25" customHeight="1"/>
    <row r="44364" ht="26.25" customHeight="1"/>
    <row r="44365" ht="26.25" customHeight="1"/>
    <row r="44366" ht="26.25" customHeight="1"/>
    <row r="44367" ht="26.25" customHeight="1"/>
    <row r="44368" ht="26.25" customHeight="1"/>
    <row r="44369" ht="26.25" customHeight="1"/>
    <row r="44370" ht="26.25" customHeight="1"/>
    <row r="44371" ht="26.25" customHeight="1"/>
    <row r="44372" ht="26.25" customHeight="1"/>
    <row r="44373" ht="26.25" customHeight="1"/>
    <row r="44374" ht="26.25" customHeight="1"/>
    <row r="44375" ht="26.25" customHeight="1"/>
    <row r="44376" ht="26.25" customHeight="1"/>
    <row r="44377" ht="26.25" customHeight="1"/>
    <row r="44378" ht="26.25" customHeight="1"/>
    <row r="44379" ht="26.25" customHeight="1"/>
    <row r="44380" ht="26.25" customHeight="1"/>
    <row r="44381" ht="26.25" customHeight="1"/>
    <row r="44382" ht="26.25" customHeight="1"/>
    <row r="44383" ht="26.25" customHeight="1"/>
    <row r="44384" ht="26.25" customHeight="1"/>
    <row r="44385" ht="26.25" customHeight="1"/>
    <row r="44386" ht="26.25" customHeight="1"/>
    <row r="44387" ht="26.25" customHeight="1"/>
    <row r="44388" ht="26.25" customHeight="1"/>
    <row r="44389" ht="26.25" customHeight="1"/>
    <row r="44390" ht="26.25" customHeight="1"/>
    <row r="44391" ht="26.25" customHeight="1"/>
    <row r="44392" ht="26.25" customHeight="1"/>
    <row r="44393" ht="26.25" customHeight="1"/>
    <row r="44394" ht="26.25" customHeight="1"/>
    <row r="44395" ht="26.25" customHeight="1"/>
    <row r="44396" ht="26.25" customHeight="1"/>
    <row r="44397" ht="26.25" customHeight="1"/>
    <row r="44398" ht="26.25" customHeight="1"/>
    <row r="44399" ht="26.25" customHeight="1"/>
    <row r="44400" ht="26.25" customHeight="1"/>
    <row r="44401" ht="26.25" customHeight="1"/>
    <row r="44402" ht="26.25" customHeight="1"/>
    <row r="44403" ht="26.25" customHeight="1"/>
    <row r="44404" ht="26.25" customHeight="1"/>
    <row r="44405" ht="26.25" customHeight="1"/>
    <row r="44406" ht="26.25" customHeight="1"/>
    <row r="44407" ht="26.25" customHeight="1"/>
    <row r="44408" ht="26.25" customHeight="1"/>
    <row r="44409" ht="26.25" customHeight="1"/>
    <row r="44410" ht="26.25" customHeight="1"/>
    <row r="44411" ht="26.25" customHeight="1"/>
    <row r="44412" ht="26.25" customHeight="1"/>
    <row r="44413" ht="26.25" customHeight="1"/>
    <row r="44414" ht="26.25" customHeight="1"/>
    <row r="44415" ht="26.25" customHeight="1"/>
    <row r="44416" ht="26.25" customHeight="1"/>
    <row r="44417" ht="26.25" customHeight="1"/>
    <row r="44418" ht="26.25" customHeight="1"/>
    <row r="44419" ht="26.25" customHeight="1"/>
    <row r="44420" ht="26.25" customHeight="1"/>
    <row r="44421" ht="26.25" customHeight="1"/>
    <row r="44422" ht="26.25" customHeight="1"/>
    <row r="44423" ht="26.25" customHeight="1"/>
    <row r="44424" ht="26.25" customHeight="1"/>
    <row r="44425" ht="26.25" customHeight="1"/>
    <row r="44426" ht="26.25" customHeight="1"/>
    <row r="44427" ht="26.25" customHeight="1"/>
    <row r="44428" ht="26.25" customHeight="1"/>
    <row r="44429" ht="26.25" customHeight="1"/>
    <row r="44430" ht="26.25" customHeight="1"/>
    <row r="44431" ht="26.25" customHeight="1"/>
    <row r="44432" ht="26.25" customHeight="1"/>
    <row r="44433" ht="26.25" customHeight="1"/>
    <row r="44434" ht="26.25" customHeight="1"/>
    <row r="44435" ht="26.25" customHeight="1"/>
    <row r="44436" ht="26.25" customHeight="1"/>
    <row r="44437" ht="26.25" customHeight="1"/>
    <row r="44438" ht="26.25" customHeight="1"/>
    <row r="44439" ht="26.25" customHeight="1"/>
    <row r="44440" ht="26.25" customHeight="1"/>
    <row r="44441" ht="26.25" customHeight="1"/>
    <row r="44442" ht="26.25" customHeight="1"/>
    <row r="44443" ht="26.25" customHeight="1"/>
    <row r="44444" ht="26.25" customHeight="1"/>
    <row r="44445" ht="26.25" customHeight="1"/>
    <row r="44446" ht="26.25" customHeight="1"/>
    <row r="44447" ht="26.25" customHeight="1"/>
    <row r="44448" ht="26.25" customHeight="1"/>
    <row r="44449" ht="26.25" customHeight="1"/>
    <row r="44450" ht="26.25" customHeight="1"/>
    <row r="44451" ht="26.25" customHeight="1"/>
    <row r="44452" ht="26.25" customHeight="1"/>
    <row r="44453" ht="26.25" customHeight="1"/>
    <row r="44454" ht="26.25" customHeight="1"/>
    <row r="44455" ht="26.25" customHeight="1"/>
    <row r="44456" ht="26.25" customHeight="1"/>
    <row r="44457" ht="26.25" customHeight="1"/>
    <row r="44458" ht="26.25" customHeight="1"/>
    <row r="44459" ht="26.25" customHeight="1"/>
    <row r="44460" ht="26.25" customHeight="1"/>
    <row r="44461" ht="26.25" customHeight="1"/>
    <row r="44462" ht="26.25" customHeight="1"/>
    <row r="44463" ht="26.25" customHeight="1"/>
    <row r="44464" ht="26.25" customHeight="1"/>
    <row r="44465" ht="26.25" customHeight="1"/>
    <row r="44466" ht="26.25" customHeight="1"/>
    <row r="44467" ht="26.25" customHeight="1"/>
    <row r="44468" ht="26.25" customHeight="1"/>
    <row r="44469" ht="26.25" customHeight="1"/>
    <row r="44470" ht="26.25" customHeight="1"/>
    <row r="44471" ht="26.25" customHeight="1"/>
    <row r="44472" ht="26.25" customHeight="1"/>
    <row r="44473" ht="26.25" customHeight="1"/>
    <row r="44474" ht="26.25" customHeight="1"/>
    <row r="44475" ht="26.25" customHeight="1"/>
    <row r="44476" ht="26.25" customHeight="1"/>
    <row r="44477" ht="26.25" customHeight="1"/>
    <row r="44478" ht="26.25" customHeight="1"/>
    <row r="44479" ht="26.25" customHeight="1"/>
    <row r="44480" ht="26.25" customHeight="1"/>
    <row r="44481" ht="26.25" customHeight="1"/>
    <row r="44482" ht="26.25" customHeight="1"/>
    <row r="44483" ht="26.25" customHeight="1"/>
    <row r="44484" ht="26.25" customHeight="1"/>
    <row r="44485" ht="26.25" customHeight="1"/>
    <row r="44486" ht="26.25" customHeight="1"/>
    <row r="44487" ht="26.25" customHeight="1"/>
    <row r="44488" ht="26.25" customHeight="1"/>
    <row r="44489" ht="26.25" customHeight="1"/>
    <row r="44490" ht="26.25" customHeight="1"/>
    <row r="44491" ht="26.25" customHeight="1"/>
    <row r="44492" ht="26.25" customHeight="1"/>
    <row r="44493" ht="26.25" customHeight="1"/>
    <row r="44494" ht="26.25" customHeight="1"/>
    <row r="44495" ht="26.25" customHeight="1"/>
    <row r="44496" ht="26.25" customHeight="1"/>
    <row r="44497" ht="26.25" customHeight="1"/>
    <row r="44498" ht="26.25" customHeight="1"/>
    <row r="44499" ht="26.25" customHeight="1"/>
    <row r="44500" ht="26.25" customHeight="1"/>
    <row r="44501" ht="26.25" customHeight="1"/>
    <row r="44502" ht="26.25" customHeight="1"/>
    <row r="44503" ht="26.25" customHeight="1"/>
    <row r="44504" ht="26.25" customHeight="1"/>
    <row r="44505" ht="26.25" customHeight="1"/>
    <row r="44506" ht="26.25" customHeight="1"/>
    <row r="44507" ht="26.25" customHeight="1"/>
    <row r="44508" ht="26.25" customHeight="1"/>
    <row r="44509" ht="26.25" customHeight="1"/>
    <row r="44510" ht="26.25" customHeight="1"/>
    <row r="44511" ht="26.25" customHeight="1"/>
    <row r="44512" ht="26.25" customHeight="1"/>
    <row r="44513" ht="26.25" customHeight="1"/>
    <row r="44514" ht="26.25" customHeight="1"/>
    <row r="44515" ht="26.25" customHeight="1"/>
    <row r="44516" ht="26.25" customHeight="1"/>
    <row r="44517" ht="26.25" customHeight="1"/>
    <row r="44518" ht="26.25" customHeight="1"/>
    <row r="44519" ht="26.25" customHeight="1"/>
    <row r="44520" ht="26.25" customHeight="1"/>
    <row r="44521" ht="26.25" customHeight="1"/>
    <row r="44522" ht="26.25" customHeight="1"/>
    <row r="44523" ht="26.25" customHeight="1"/>
    <row r="44524" ht="26.25" customHeight="1"/>
    <row r="44525" ht="26.25" customHeight="1"/>
    <row r="44526" ht="26.25" customHeight="1"/>
    <row r="44527" ht="26.25" customHeight="1"/>
    <row r="44528" ht="26.25" customHeight="1"/>
    <row r="44529" ht="26.25" customHeight="1"/>
    <row r="44530" ht="26.25" customHeight="1"/>
    <row r="44531" ht="26.25" customHeight="1"/>
    <row r="44532" ht="26.25" customHeight="1"/>
    <row r="44533" ht="26.25" customHeight="1"/>
    <row r="44534" ht="26.25" customHeight="1"/>
    <row r="44535" ht="26.25" customHeight="1"/>
    <row r="44536" ht="26.25" customHeight="1"/>
    <row r="44537" ht="26.25" customHeight="1"/>
    <row r="44538" ht="26.25" customHeight="1"/>
    <row r="44539" ht="26.25" customHeight="1"/>
    <row r="44540" ht="26.25" customHeight="1"/>
    <row r="44541" ht="26.25" customHeight="1"/>
    <row r="44542" ht="26.25" customHeight="1"/>
    <row r="44543" ht="26.25" customHeight="1"/>
    <row r="44544" ht="26.25" customHeight="1"/>
    <row r="44545" ht="26.25" customHeight="1"/>
    <row r="44546" ht="26.25" customHeight="1"/>
    <row r="44547" ht="26.25" customHeight="1"/>
    <row r="44548" ht="26.25" customHeight="1"/>
    <row r="44549" ht="26.25" customHeight="1"/>
    <row r="44550" ht="26.25" customHeight="1"/>
    <row r="44551" ht="26.25" customHeight="1"/>
    <row r="44552" ht="26.25" customHeight="1"/>
    <row r="44553" ht="26.25" customHeight="1"/>
    <row r="44554" ht="26.25" customHeight="1"/>
    <row r="44555" ht="26.25" customHeight="1"/>
    <row r="44556" ht="26.25" customHeight="1"/>
    <row r="44557" ht="26.25" customHeight="1"/>
    <row r="44558" ht="26.25" customHeight="1"/>
    <row r="44559" ht="26.25" customHeight="1"/>
    <row r="44560" ht="26.25" customHeight="1"/>
    <row r="44561" ht="26.25" customHeight="1"/>
    <row r="44562" ht="26.25" customHeight="1"/>
    <row r="44563" ht="26.25" customHeight="1"/>
    <row r="44564" ht="26.25" customHeight="1"/>
    <row r="44565" ht="26.25" customHeight="1"/>
    <row r="44566" ht="26.25" customHeight="1"/>
    <row r="44567" ht="26.25" customHeight="1"/>
    <row r="44568" ht="26.25" customHeight="1"/>
    <row r="44569" ht="26.25" customHeight="1"/>
    <row r="44570" ht="26.25" customHeight="1"/>
    <row r="44571" ht="26.25" customHeight="1"/>
    <row r="44572" ht="26.25" customHeight="1"/>
    <row r="44573" ht="26.25" customHeight="1"/>
    <row r="44574" ht="26.25" customHeight="1"/>
    <row r="44575" ht="26.25" customHeight="1"/>
    <row r="44576" ht="26.25" customHeight="1"/>
    <row r="44577" ht="26.25" customHeight="1"/>
    <row r="44578" ht="26.25" customHeight="1"/>
    <row r="44579" ht="26.25" customHeight="1"/>
    <row r="44580" ht="26.25" customHeight="1"/>
    <row r="44581" ht="26.25" customHeight="1"/>
    <row r="44582" ht="26.25" customHeight="1"/>
    <row r="44583" ht="26.25" customHeight="1"/>
    <row r="44584" ht="26.25" customHeight="1"/>
    <row r="44585" ht="26.25" customHeight="1"/>
    <row r="44586" ht="26.25" customHeight="1"/>
    <row r="44587" ht="26.25" customHeight="1"/>
    <row r="44588" ht="26.25" customHeight="1"/>
    <row r="44589" ht="26.25" customHeight="1"/>
    <row r="44590" ht="26.25" customHeight="1"/>
    <row r="44591" ht="26.25" customHeight="1"/>
    <row r="44592" ht="26.25" customHeight="1"/>
    <row r="44593" ht="26.25" customHeight="1"/>
    <row r="44594" ht="26.25" customHeight="1"/>
    <row r="44595" ht="26.25" customHeight="1"/>
    <row r="44596" ht="26.25" customHeight="1"/>
    <row r="44597" ht="26.25" customHeight="1"/>
    <row r="44598" ht="26.25" customHeight="1"/>
    <row r="44599" ht="26.25" customHeight="1"/>
    <row r="44600" ht="26.25" customHeight="1"/>
    <row r="44601" ht="26.25" customHeight="1"/>
    <row r="44602" ht="26.25" customHeight="1"/>
    <row r="44603" ht="26.25" customHeight="1"/>
    <row r="44604" ht="26.25" customHeight="1"/>
    <row r="44605" ht="26.25" customHeight="1"/>
    <row r="44606" ht="26.25" customHeight="1"/>
    <row r="44607" ht="26.25" customHeight="1"/>
    <row r="44608" ht="26.25" customHeight="1"/>
    <row r="44609" ht="26.25" customHeight="1"/>
    <row r="44610" ht="26.25" customHeight="1"/>
    <row r="44611" ht="26.25" customHeight="1"/>
    <row r="44612" ht="26.25" customHeight="1"/>
    <row r="44613" ht="26.25" customHeight="1"/>
    <row r="44614" ht="26.25" customHeight="1"/>
    <row r="44615" ht="26.25" customHeight="1"/>
    <row r="44616" ht="26.25" customHeight="1"/>
    <row r="44617" ht="26.25" customHeight="1"/>
    <row r="44618" ht="26.25" customHeight="1"/>
    <row r="44619" ht="26.25" customHeight="1"/>
    <row r="44620" ht="26.25" customHeight="1"/>
    <row r="44621" ht="26.25" customHeight="1"/>
    <row r="44622" ht="26.25" customHeight="1"/>
    <row r="44623" ht="26.25" customHeight="1"/>
    <row r="44624" ht="26.25" customHeight="1"/>
    <row r="44625" ht="26.25" customHeight="1"/>
    <row r="44626" ht="26.25" customHeight="1"/>
    <row r="44627" ht="26.25" customHeight="1"/>
    <row r="44628" ht="26.25" customHeight="1"/>
    <row r="44629" ht="26.25" customHeight="1"/>
    <row r="44630" ht="26.25" customHeight="1"/>
    <row r="44631" ht="26.25" customHeight="1"/>
    <row r="44632" ht="26.25" customHeight="1"/>
    <row r="44633" ht="26.25" customHeight="1"/>
    <row r="44634" ht="26.25" customHeight="1"/>
    <row r="44635" ht="26.25" customHeight="1"/>
    <row r="44636" ht="26.25" customHeight="1"/>
    <row r="44637" ht="26.25" customHeight="1"/>
    <row r="44638" ht="26.25" customHeight="1"/>
    <row r="44639" ht="26.25" customHeight="1"/>
    <row r="44640" ht="26.25" customHeight="1"/>
    <row r="44641" ht="26.25" customHeight="1"/>
    <row r="44642" ht="26.25" customHeight="1"/>
    <row r="44643" ht="26.25" customHeight="1"/>
    <row r="44644" ht="26.25" customHeight="1"/>
    <row r="44645" ht="26.25" customHeight="1"/>
    <row r="44646" ht="26.25" customHeight="1"/>
    <row r="44647" ht="26.25" customHeight="1"/>
    <row r="44648" ht="26.25" customHeight="1"/>
    <row r="44649" ht="26.25" customHeight="1"/>
    <row r="44650" ht="26.25" customHeight="1"/>
    <row r="44651" ht="26.25" customHeight="1"/>
    <row r="44652" ht="26.25" customHeight="1"/>
    <row r="44653" ht="26.25" customHeight="1"/>
    <row r="44654" ht="26.25" customHeight="1"/>
    <row r="44655" ht="26.25" customHeight="1"/>
    <row r="44656" ht="26.25" customHeight="1"/>
    <row r="44657" ht="26.25" customHeight="1"/>
    <row r="44658" ht="26.25" customHeight="1"/>
    <row r="44659" ht="26.25" customHeight="1"/>
    <row r="44660" ht="26.25" customHeight="1"/>
    <row r="44661" ht="26.25" customHeight="1"/>
    <row r="44662" ht="26.25" customHeight="1"/>
    <row r="44663" ht="26.25" customHeight="1"/>
    <row r="44664" ht="26.25" customHeight="1"/>
    <row r="44665" ht="26.25" customHeight="1"/>
    <row r="44666" ht="26.25" customHeight="1"/>
    <row r="44667" ht="26.25" customHeight="1"/>
    <row r="44668" ht="26.25" customHeight="1"/>
    <row r="44669" ht="26.25" customHeight="1"/>
    <row r="44670" ht="26.25" customHeight="1"/>
    <row r="44671" ht="26.25" customHeight="1"/>
    <row r="44672" ht="26.25" customHeight="1"/>
    <row r="44673" ht="26.25" customHeight="1"/>
    <row r="44674" ht="26.25" customHeight="1"/>
    <row r="44675" ht="26.25" customHeight="1"/>
    <row r="44676" ht="26.25" customHeight="1"/>
    <row r="44677" ht="26.25" customHeight="1"/>
    <row r="44678" ht="26.25" customHeight="1"/>
    <row r="44679" ht="26.25" customHeight="1"/>
    <row r="44680" ht="26.25" customHeight="1"/>
    <row r="44681" ht="26.25" customHeight="1"/>
    <row r="44682" ht="26.25" customHeight="1"/>
    <row r="44683" ht="26.25" customHeight="1"/>
    <row r="44684" ht="26.25" customHeight="1"/>
    <row r="44685" ht="26.25" customHeight="1"/>
    <row r="44686" ht="26.25" customHeight="1"/>
    <row r="44687" ht="26.25" customHeight="1"/>
    <row r="44688" ht="26.25" customHeight="1"/>
    <row r="44689" ht="26.25" customHeight="1"/>
    <row r="44690" ht="26.25" customHeight="1"/>
    <row r="44691" ht="26.25" customHeight="1"/>
    <row r="44692" ht="26.25" customHeight="1"/>
    <row r="44693" ht="26.25" customHeight="1"/>
    <row r="44694" ht="26.25" customHeight="1"/>
    <row r="44695" ht="26.25" customHeight="1"/>
    <row r="44696" ht="26.25" customHeight="1"/>
    <row r="44697" ht="26.25" customHeight="1"/>
    <row r="44698" ht="26.25" customHeight="1"/>
    <row r="44699" ht="26.25" customHeight="1"/>
    <row r="44700" ht="26.25" customHeight="1"/>
    <row r="44701" ht="26.25" customHeight="1"/>
    <row r="44702" ht="26.25" customHeight="1"/>
    <row r="44703" ht="26.25" customHeight="1"/>
    <row r="44704" ht="26.25" customHeight="1"/>
    <row r="44705" ht="26.25" customHeight="1"/>
    <row r="44706" ht="26.25" customHeight="1"/>
    <row r="44707" ht="26.25" customHeight="1"/>
    <row r="44708" ht="26.25" customHeight="1"/>
    <row r="44709" ht="26.25" customHeight="1"/>
    <row r="44710" ht="26.25" customHeight="1"/>
    <row r="44711" ht="26.25" customHeight="1"/>
    <row r="44712" ht="26.25" customHeight="1"/>
    <row r="44713" ht="26.25" customHeight="1"/>
    <row r="44714" ht="26.25" customHeight="1"/>
    <row r="44715" ht="26.25" customHeight="1"/>
    <row r="44716" ht="26.25" customHeight="1"/>
    <row r="44717" ht="26.25" customHeight="1"/>
    <row r="44718" ht="26.25" customHeight="1"/>
    <row r="44719" ht="26.25" customHeight="1"/>
    <row r="44720" ht="26.25" customHeight="1"/>
    <row r="44721" ht="26.25" customHeight="1"/>
    <row r="44722" ht="26.25" customHeight="1"/>
    <row r="44723" ht="26.25" customHeight="1"/>
    <row r="44724" ht="26.25" customHeight="1"/>
    <row r="44725" ht="26.25" customHeight="1"/>
    <row r="44726" ht="26.25" customHeight="1"/>
    <row r="44727" ht="26.25" customHeight="1"/>
    <row r="44728" ht="26.25" customHeight="1"/>
    <row r="44729" ht="26.25" customHeight="1"/>
    <row r="44730" ht="26.25" customHeight="1"/>
    <row r="44731" ht="26.25" customHeight="1"/>
    <row r="44732" ht="26.25" customHeight="1"/>
    <row r="44733" ht="26.25" customHeight="1"/>
    <row r="44734" ht="26.25" customHeight="1"/>
    <row r="44735" ht="26.25" customHeight="1"/>
    <row r="44736" ht="26.25" customHeight="1"/>
    <row r="44737" ht="26.25" customHeight="1"/>
    <row r="44738" ht="26.25" customHeight="1"/>
    <row r="44739" ht="26.25" customHeight="1"/>
    <row r="44740" ht="26.25" customHeight="1"/>
    <row r="44741" ht="26.25" customHeight="1"/>
    <row r="44742" ht="26.25" customHeight="1"/>
    <row r="44743" ht="26.25" customHeight="1"/>
    <row r="44744" ht="26.25" customHeight="1"/>
    <row r="44745" ht="26.25" customHeight="1"/>
    <row r="44746" ht="26.25" customHeight="1"/>
    <row r="44747" ht="26.25" customHeight="1"/>
    <row r="44748" ht="26.25" customHeight="1"/>
    <row r="44749" ht="26.25" customHeight="1"/>
    <row r="44750" ht="26.25" customHeight="1"/>
    <row r="44751" ht="26.25" customHeight="1"/>
    <row r="44752" ht="26.25" customHeight="1"/>
    <row r="44753" ht="26.25" customHeight="1"/>
    <row r="44754" ht="26.25" customHeight="1"/>
    <row r="44755" ht="26.25" customHeight="1"/>
    <row r="44756" ht="26.25" customHeight="1"/>
    <row r="44757" ht="26.25" customHeight="1"/>
    <row r="44758" ht="26.25" customHeight="1"/>
    <row r="44759" ht="26.25" customHeight="1"/>
    <row r="44760" ht="26.25" customHeight="1"/>
    <row r="44761" ht="26.25" customHeight="1"/>
    <row r="44762" ht="26.25" customHeight="1"/>
    <row r="44763" ht="26.25" customHeight="1"/>
    <row r="44764" ht="26.25" customHeight="1"/>
    <row r="44765" ht="26.25" customHeight="1"/>
    <row r="44766" ht="26.25" customHeight="1"/>
    <row r="44767" ht="26.25" customHeight="1"/>
    <row r="44768" ht="26.25" customHeight="1"/>
    <row r="44769" ht="26.25" customHeight="1"/>
    <row r="44770" ht="26.25" customHeight="1"/>
    <row r="44771" ht="26.25" customHeight="1"/>
    <row r="44772" ht="26.25" customHeight="1"/>
    <row r="44773" ht="26.25" customHeight="1"/>
    <row r="44774" ht="26.25" customHeight="1"/>
    <row r="44775" ht="26.25" customHeight="1"/>
    <row r="44776" ht="26.25" customHeight="1"/>
    <row r="44777" ht="26.25" customHeight="1"/>
    <row r="44778" ht="26.25" customHeight="1"/>
    <row r="44779" ht="26.25" customHeight="1"/>
    <row r="44780" ht="26.25" customHeight="1"/>
    <row r="44781" ht="26.25" customHeight="1"/>
    <row r="44782" ht="26.25" customHeight="1"/>
    <row r="44783" ht="26.25" customHeight="1"/>
    <row r="44784" ht="26.25" customHeight="1"/>
    <row r="44785" ht="26.25" customHeight="1"/>
    <row r="44786" ht="26.25" customHeight="1"/>
    <row r="44787" ht="26.25" customHeight="1"/>
    <row r="44788" ht="26.25" customHeight="1"/>
    <row r="44789" ht="26.25" customHeight="1"/>
    <row r="44790" ht="26.25" customHeight="1"/>
    <row r="44791" ht="26.25" customHeight="1"/>
    <row r="44792" ht="26.25" customHeight="1"/>
    <row r="44793" ht="26.25" customHeight="1"/>
    <row r="44794" ht="26.25" customHeight="1"/>
    <row r="44795" ht="26.25" customHeight="1"/>
    <row r="44796" ht="26.25" customHeight="1"/>
    <row r="44797" ht="26.25" customHeight="1"/>
    <row r="44798" ht="26.25" customHeight="1"/>
    <row r="44799" ht="26.25" customHeight="1"/>
    <row r="44800" ht="26.25" customHeight="1"/>
    <row r="44801" ht="26.25" customHeight="1"/>
    <row r="44802" ht="26.25" customHeight="1"/>
    <row r="44803" ht="26.25" customHeight="1"/>
    <row r="44804" ht="26.25" customHeight="1"/>
    <row r="44805" ht="26.25" customHeight="1"/>
    <row r="44806" ht="26.25" customHeight="1"/>
    <row r="44807" ht="26.25" customHeight="1"/>
    <row r="44808" ht="26.25" customHeight="1"/>
    <row r="44809" ht="26.25" customHeight="1"/>
    <row r="44810" ht="26.25" customHeight="1"/>
    <row r="44811" ht="26.25" customHeight="1"/>
    <row r="44812" ht="26.25" customHeight="1"/>
    <row r="44813" ht="26.25" customHeight="1"/>
    <row r="44814" ht="26.25" customHeight="1"/>
    <row r="44815" ht="26.25" customHeight="1"/>
    <row r="44816" ht="26.25" customHeight="1"/>
    <row r="44817" ht="26.25" customHeight="1"/>
    <row r="44818" ht="26.25" customHeight="1"/>
    <row r="44819" ht="26.25" customHeight="1"/>
    <row r="44820" ht="26.25" customHeight="1"/>
    <row r="44821" ht="26.25" customHeight="1"/>
    <row r="44822" ht="26.25" customHeight="1"/>
    <row r="44823" ht="26.25" customHeight="1"/>
    <row r="44824" ht="26.25" customHeight="1"/>
    <row r="44825" ht="26.25" customHeight="1"/>
    <row r="44826" ht="26.25" customHeight="1"/>
    <row r="44827" ht="26.25" customHeight="1"/>
    <row r="44828" ht="26.25" customHeight="1"/>
    <row r="44829" ht="26.25" customHeight="1"/>
    <row r="44830" ht="26.25" customHeight="1"/>
    <row r="44831" ht="26.25" customHeight="1"/>
    <row r="44832" ht="26.25" customHeight="1"/>
    <row r="44833" ht="26.25" customHeight="1"/>
    <row r="44834" ht="26.25" customHeight="1"/>
    <row r="44835" ht="26.25" customHeight="1"/>
    <row r="44836" ht="26.25" customHeight="1"/>
    <row r="44837" ht="26.25" customHeight="1"/>
    <row r="44838" ht="26.25" customHeight="1"/>
    <row r="44839" ht="26.25" customHeight="1"/>
    <row r="44840" ht="26.25" customHeight="1"/>
    <row r="44841" ht="26.25" customHeight="1"/>
    <row r="44842" ht="26.25" customHeight="1"/>
    <row r="44843" ht="26.25" customHeight="1"/>
    <row r="44844" ht="26.25" customHeight="1"/>
    <row r="44845" ht="26.25" customHeight="1"/>
    <row r="44846" ht="26.25" customHeight="1"/>
    <row r="44847" ht="26.25" customHeight="1"/>
    <row r="44848" ht="26.25" customHeight="1"/>
    <row r="44849" ht="26.25" customHeight="1"/>
    <row r="44850" ht="26.25" customHeight="1"/>
    <row r="44851" ht="26.25" customHeight="1"/>
    <row r="44852" ht="26.25" customHeight="1"/>
    <row r="44853" ht="26.25" customHeight="1"/>
    <row r="44854" ht="26.25" customHeight="1"/>
    <row r="44855" ht="26.25" customHeight="1"/>
    <row r="44856" ht="26.25" customHeight="1"/>
    <row r="44857" ht="26.25" customHeight="1"/>
    <row r="44858" ht="26.25" customHeight="1"/>
    <row r="44859" ht="26.25" customHeight="1"/>
    <row r="44860" ht="26.25" customHeight="1"/>
    <row r="44861" ht="26.25" customHeight="1"/>
    <row r="44862" ht="26.25" customHeight="1"/>
    <row r="44863" ht="26.25" customHeight="1"/>
    <row r="44864" ht="26.25" customHeight="1"/>
    <row r="44865" ht="26.25" customHeight="1"/>
    <row r="44866" ht="26.25" customHeight="1"/>
    <row r="44867" ht="26.25" customHeight="1"/>
    <row r="44868" ht="26.25" customHeight="1"/>
    <row r="44869" ht="26.25" customHeight="1"/>
    <row r="44870" ht="26.25" customHeight="1"/>
    <row r="44871" ht="26.25" customHeight="1"/>
    <row r="44872" ht="26.25" customHeight="1"/>
    <row r="44873" ht="26.25" customHeight="1"/>
    <row r="44874" ht="26.25" customHeight="1"/>
    <row r="44875" ht="26.25" customHeight="1"/>
    <row r="44876" ht="26.25" customHeight="1"/>
    <row r="44877" ht="26.25" customHeight="1"/>
    <row r="44878" ht="26.25" customHeight="1"/>
    <row r="44879" ht="26.25" customHeight="1"/>
    <row r="44880" ht="26.25" customHeight="1"/>
    <row r="44881" ht="26.25" customHeight="1"/>
    <row r="44882" ht="26.25" customHeight="1"/>
    <row r="44883" ht="26.25" customHeight="1"/>
    <row r="44884" ht="26.25" customHeight="1"/>
    <row r="44885" ht="26.25" customHeight="1"/>
    <row r="44886" ht="26.25" customHeight="1"/>
    <row r="44887" ht="26.25" customHeight="1"/>
    <row r="44888" ht="26.25" customHeight="1"/>
    <row r="44889" ht="26.25" customHeight="1"/>
    <row r="44890" ht="26.25" customHeight="1"/>
    <row r="44891" ht="26.25" customHeight="1"/>
    <row r="44892" ht="26.25" customHeight="1"/>
    <row r="44893" ht="26.25" customHeight="1"/>
    <row r="44894" ht="26.25" customHeight="1"/>
    <row r="44895" ht="26.25" customHeight="1"/>
    <row r="44896" ht="26.25" customHeight="1"/>
    <row r="44897" ht="26.25" customHeight="1"/>
    <row r="44898" ht="26.25" customHeight="1"/>
    <row r="44899" ht="26.25" customHeight="1"/>
    <row r="44900" ht="26.25" customHeight="1"/>
    <row r="44901" ht="26.25" customHeight="1"/>
    <row r="44902" ht="26.25" customHeight="1"/>
    <row r="44903" ht="26.25" customHeight="1"/>
    <row r="44904" ht="26.25" customHeight="1"/>
    <row r="44905" ht="26.25" customHeight="1"/>
    <row r="44906" ht="26.25" customHeight="1"/>
    <row r="44907" ht="26.25" customHeight="1"/>
    <row r="44908" ht="26.25" customHeight="1"/>
    <row r="44909" ht="26.25" customHeight="1"/>
    <row r="44910" ht="26.25" customHeight="1"/>
    <row r="44911" ht="26.25" customHeight="1"/>
    <row r="44912" ht="26.25" customHeight="1"/>
    <row r="44913" ht="26.25" customHeight="1"/>
    <row r="44914" ht="26.25" customHeight="1"/>
    <row r="44915" ht="26.25" customHeight="1"/>
    <row r="44916" ht="26.25" customHeight="1"/>
    <row r="44917" ht="26.25" customHeight="1"/>
    <row r="44918" ht="26.25" customHeight="1"/>
    <row r="44919" ht="26.25" customHeight="1"/>
    <row r="44920" ht="26.25" customHeight="1"/>
    <row r="44921" ht="26.25" customHeight="1"/>
    <row r="44922" ht="26.25" customHeight="1"/>
    <row r="44923" ht="26.25" customHeight="1"/>
    <row r="44924" ht="26.25" customHeight="1"/>
    <row r="44925" ht="26.25" customHeight="1"/>
    <row r="44926" ht="26.25" customHeight="1"/>
    <row r="44927" ht="26.25" customHeight="1"/>
    <row r="44928" ht="26.25" customHeight="1"/>
    <row r="44929" ht="26.25" customHeight="1"/>
    <row r="44930" ht="26.25" customHeight="1"/>
    <row r="44931" ht="26.25" customHeight="1"/>
    <row r="44932" ht="26.25" customHeight="1"/>
    <row r="44933" ht="26.25" customHeight="1"/>
    <row r="44934" ht="26.25" customHeight="1"/>
    <row r="44935" ht="26.25" customHeight="1"/>
    <row r="44936" ht="26.25" customHeight="1"/>
    <row r="44937" ht="26.25" customHeight="1"/>
    <row r="44938" ht="26.25" customHeight="1"/>
    <row r="44939" ht="26.25" customHeight="1"/>
    <row r="44940" ht="26.25" customHeight="1"/>
    <row r="44941" ht="26.25" customHeight="1"/>
    <row r="44942" ht="26.25" customHeight="1"/>
    <row r="44943" ht="26.25" customHeight="1"/>
    <row r="44944" ht="26.25" customHeight="1"/>
    <row r="44945" ht="26.25" customHeight="1"/>
    <row r="44946" ht="26.25" customHeight="1"/>
    <row r="44947" ht="26.25" customHeight="1"/>
    <row r="44948" ht="26.25" customHeight="1"/>
    <row r="44949" ht="26.25" customHeight="1"/>
    <row r="44950" ht="26.25" customHeight="1"/>
    <row r="44951" ht="26.25" customHeight="1"/>
    <row r="44952" ht="26.25" customHeight="1"/>
    <row r="44953" ht="26.25" customHeight="1"/>
    <row r="44954" ht="26.25" customHeight="1"/>
    <row r="44955" ht="26.25" customHeight="1"/>
    <row r="44956" ht="26.25" customHeight="1"/>
    <row r="44957" ht="26.25" customHeight="1"/>
    <row r="44958" ht="26.25" customHeight="1"/>
    <row r="44959" ht="26.25" customHeight="1"/>
    <row r="44960" ht="26.25" customHeight="1"/>
    <row r="44961" ht="26.25" customHeight="1"/>
    <row r="44962" ht="26.25" customHeight="1"/>
    <row r="44963" ht="26.25" customHeight="1"/>
    <row r="44964" ht="26.25" customHeight="1"/>
    <row r="44965" ht="26.25" customHeight="1"/>
    <row r="44966" ht="26.25" customHeight="1"/>
    <row r="44967" ht="26.25" customHeight="1"/>
    <row r="44968" ht="26.25" customHeight="1"/>
    <row r="44969" ht="26.25" customHeight="1"/>
    <row r="44970" ht="26.25" customHeight="1"/>
    <row r="44971" ht="26.25" customHeight="1"/>
    <row r="44972" ht="26.25" customHeight="1"/>
    <row r="44973" ht="26.25" customHeight="1"/>
    <row r="44974" ht="26.25" customHeight="1"/>
    <row r="44975" ht="26.25" customHeight="1"/>
    <row r="44976" ht="26.25" customHeight="1"/>
    <row r="44977" ht="26.25" customHeight="1"/>
    <row r="44978" ht="26.25" customHeight="1"/>
    <row r="44979" ht="26.25" customHeight="1"/>
    <row r="44980" ht="26.25" customHeight="1"/>
    <row r="44981" ht="26.25" customHeight="1"/>
    <row r="44982" ht="26.25" customHeight="1"/>
    <row r="44983" ht="26.25" customHeight="1"/>
    <row r="44984" ht="26.25" customHeight="1"/>
    <row r="44985" ht="26.25" customHeight="1"/>
    <row r="44986" ht="26.25" customHeight="1"/>
    <row r="44987" ht="26.25" customHeight="1"/>
    <row r="44988" ht="26.25" customHeight="1"/>
    <row r="44989" ht="26.25" customHeight="1"/>
    <row r="44990" ht="26.25" customHeight="1"/>
    <row r="44991" ht="26.25" customHeight="1"/>
    <row r="44992" ht="26.25" customHeight="1"/>
    <row r="44993" ht="26.25" customHeight="1"/>
    <row r="44994" ht="26.25" customHeight="1"/>
    <row r="44995" ht="26.25" customHeight="1"/>
    <row r="44996" ht="26.25" customHeight="1"/>
    <row r="44997" ht="26.25" customHeight="1"/>
    <row r="44998" ht="26.25" customHeight="1"/>
    <row r="44999" ht="26.25" customHeight="1"/>
    <row r="45000" ht="26.25" customHeight="1"/>
    <row r="45001" ht="26.25" customHeight="1"/>
    <row r="45002" ht="26.25" customHeight="1"/>
    <row r="45003" ht="26.25" customHeight="1"/>
    <row r="45004" ht="26.25" customHeight="1"/>
    <row r="45005" ht="26.25" customHeight="1"/>
    <row r="45006" ht="26.25" customHeight="1"/>
    <row r="45007" ht="26.25" customHeight="1"/>
    <row r="45008" ht="26.25" customHeight="1"/>
    <row r="45009" ht="26.25" customHeight="1"/>
    <row r="45010" ht="26.25" customHeight="1"/>
    <row r="45011" ht="26.25" customHeight="1"/>
    <row r="45012" ht="26.25" customHeight="1"/>
    <row r="45013" ht="26.25" customHeight="1"/>
    <row r="45014" ht="26.25" customHeight="1"/>
    <row r="45015" ht="26.25" customHeight="1"/>
    <row r="45016" ht="26.25" customHeight="1"/>
    <row r="45017" ht="26.25" customHeight="1"/>
    <row r="45018" ht="26.25" customHeight="1"/>
    <row r="45019" ht="26.25" customHeight="1"/>
    <row r="45020" ht="26.25" customHeight="1"/>
    <row r="45021" ht="26.25" customHeight="1"/>
    <row r="45022" ht="26.25" customHeight="1"/>
    <row r="45023" ht="26.25" customHeight="1"/>
    <row r="45024" ht="26.25" customHeight="1"/>
    <row r="45025" ht="26.25" customHeight="1"/>
    <row r="45026" ht="26.25" customHeight="1"/>
    <row r="45027" ht="26.25" customHeight="1"/>
    <row r="45028" ht="26.25" customHeight="1"/>
    <row r="45029" ht="26.25" customHeight="1"/>
    <row r="45030" ht="26.25" customHeight="1"/>
    <row r="45031" ht="26.25" customHeight="1"/>
    <row r="45032" ht="26.25" customHeight="1"/>
    <row r="45033" ht="26.25" customHeight="1"/>
    <row r="45034" ht="26.25" customHeight="1"/>
    <row r="45035" ht="26.25" customHeight="1"/>
    <row r="45036" ht="26.25" customHeight="1"/>
    <row r="45037" ht="26.25" customHeight="1"/>
    <row r="45038" ht="26.25" customHeight="1"/>
    <row r="45039" ht="26.25" customHeight="1"/>
    <row r="45040" ht="26.25" customHeight="1"/>
    <row r="45041" ht="26.25" customHeight="1"/>
    <row r="45042" ht="26.25" customHeight="1"/>
    <row r="45043" ht="26.25" customHeight="1"/>
    <row r="45044" ht="26.25" customHeight="1"/>
    <row r="45045" ht="26.25" customHeight="1"/>
    <row r="45046" ht="26.25" customHeight="1"/>
    <row r="45047" ht="26.25" customHeight="1"/>
    <row r="45048" ht="26.25" customHeight="1"/>
    <row r="45049" ht="26.25" customHeight="1"/>
    <row r="45050" ht="26.25" customHeight="1"/>
    <row r="45051" ht="26.25" customHeight="1"/>
    <row r="45052" ht="26.25" customHeight="1"/>
    <row r="45053" ht="26.25" customHeight="1"/>
    <row r="45054" ht="26.25" customHeight="1"/>
    <row r="45055" ht="26.25" customHeight="1"/>
    <row r="45056" ht="26.25" customHeight="1"/>
    <row r="45057" ht="26.25" customHeight="1"/>
    <row r="45058" ht="26.25" customHeight="1"/>
    <row r="45059" ht="26.25" customHeight="1"/>
    <row r="45060" ht="26.25" customHeight="1"/>
    <row r="45061" ht="26.25" customHeight="1"/>
    <row r="45062" ht="26.25" customHeight="1"/>
    <row r="45063" ht="26.25" customHeight="1"/>
    <row r="45064" ht="26.25" customHeight="1"/>
    <row r="45065" ht="26.25" customHeight="1"/>
    <row r="45066" ht="26.25" customHeight="1"/>
    <row r="45067" ht="26.25" customHeight="1"/>
    <row r="45068" ht="26.25" customHeight="1"/>
    <row r="45069" ht="26.25" customHeight="1"/>
    <row r="45070" ht="26.25" customHeight="1"/>
    <row r="45071" ht="26.25" customHeight="1"/>
    <row r="45072" ht="26.25" customHeight="1"/>
    <row r="45073" ht="26.25" customHeight="1"/>
    <row r="45074" ht="26.25" customHeight="1"/>
    <row r="45075" ht="26.25" customHeight="1"/>
    <row r="45076" ht="26.25" customHeight="1"/>
    <row r="45077" ht="26.25" customHeight="1"/>
    <row r="45078" ht="26.25" customHeight="1"/>
    <row r="45079" ht="26.25" customHeight="1"/>
    <row r="45080" ht="26.25" customHeight="1"/>
    <row r="45081" ht="26.25" customHeight="1"/>
    <row r="45082" ht="26.25" customHeight="1"/>
    <row r="45083" ht="26.25" customHeight="1"/>
    <row r="45084" ht="26.25" customHeight="1"/>
    <row r="45085" ht="26.25" customHeight="1"/>
    <row r="45086" ht="26.25" customHeight="1"/>
    <row r="45087" ht="26.25" customHeight="1"/>
    <row r="45088" ht="26.25" customHeight="1"/>
    <row r="45089" ht="26.25" customHeight="1"/>
    <row r="45090" ht="26.25" customHeight="1"/>
    <row r="45091" ht="26.25" customHeight="1"/>
    <row r="45092" ht="26.25" customHeight="1"/>
    <row r="45093" ht="26.25" customHeight="1"/>
    <row r="45094" ht="26.25" customHeight="1"/>
    <row r="45095" ht="26.25" customHeight="1"/>
    <row r="45096" ht="26.25" customHeight="1"/>
    <row r="45097" ht="26.25" customHeight="1"/>
    <row r="45098" ht="26.25" customHeight="1"/>
    <row r="45099" ht="26.25" customHeight="1"/>
    <row r="45100" ht="26.25" customHeight="1"/>
    <row r="45101" ht="26.25" customHeight="1"/>
    <row r="45102" ht="26.25" customHeight="1"/>
    <row r="45103" ht="26.25" customHeight="1"/>
    <row r="45104" ht="26.25" customHeight="1"/>
    <row r="45105" ht="26.25" customHeight="1"/>
    <row r="45106" ht="26.25" customHeight="1"/>
    <row r="45107" ht="26.25" customHeight="1"/>
    <row r="45108" ht="26.25" customHeight="1"/>
    <row r="45109" ht="26.25" customHeight="1"/>
    <row r="45110" ht="26.25" customHeight="1"/>
    <row r="45111" ht="26.25" customHeight="1"/>
    <row r="45112" ht="26.25" customHeight="1"/>
    <row r="45113" ht="26.25" customHeight="1"/>
    <row r="45114" ht="26.25" customHeight="1"/>
    <row r="45115" ht="26.25" customHeight="1"/>
    <row r="45116" ht="26.25" customHeight="1"/>
    <row r="45117" ht="26.25" customHeight="1"/>
    <row r="45118" ht="26.25" customHeight="1"/>
    <row r="45119" ht="26.25" customHeight="1"/>
    <row r="45120" ht="26.25" customHeight="1"/>
    <row r="45121" ht="26.25" customHeight="1"/>
    <row r="45122" ht="26.25" customHeight="1"/>
    <row r="45123" ht="26.25" customHeight="1"/>
    <row r="45124" ht="26.25" customHeight="1"/>
    <row r="45125" ht="26.25" customHeight="1"/>
    <row r="45126" ht="26.25" customHeight="1"/>
    <row r="45127" ht="26.25" customHeight="1"/>
    <row r="45128" ht="26.25" customHeight="1"/>
    <row r="45129" ht="26.25" customHeight="1"/>
    <row r="45130" ht="26.25" customHeight="1"/>
    <row r="45131" ht="26.25" customHeight="1"/>
    <row r="45132" ht="26.25" customHeight="1"/>
    <row r="45133" ht="26.25" customHeight="1"/>
    <row r="45134" ht="26.25" customHeight="1"/>
    <row r="45135" ht="26.25" customHeight="1"/>
    <row r="45136" ht="26.25" customHeight="1"/>
    <row r="45137" ht="26.25" customHeight="1"/>
    <row r="45138" ht="26.25" customHeight="1"/>
    <row r="45139" ht="26.25" customHeight="1"/>
    <row r="45140" ht="26.25" customHeight="1"/>
    <row r="45141" ht="26.25" customHeight="1"/>
    <row r="45142" ht="26.25" customHeight="1"/>
    <row r="45143" ht="26.25" customHeight="1"/>
    <row r="45144" ht="26.25" customHeight="1"/>
    <row r="45145" ht="26.25" customHeight="1"/>
    <row r="45146" ht="26.25" customHeight="1"/>
    <row r="45147" ht="26.25" customHeight="1"/>
    <row r="45148" ht="26.25" customHeight="1"/>
    <row r="45149" ht="26.25" customHeight="1"/>
    <row r="45150" ht="26.25" customHeight="1"/>
    <row r="45151" ht="26.25" customHeight="1"/>
    <row r="45152" ht="26.25" customHeight="1"/>
    <row r="45153" ht="26.25" customHeight="1"/>
    <row r="45154" ht="26.25" customHeight="1"/>
    <row r="45155" ht="26.25" customHeight="1"/>
    <row r="45156" ht="26.25" customHeight="1"/>
    <row r="45157" ht="26.25" customHeight="1"/>
    <row r="45158" ht="26.25" customHeight="1"/>
    <row r="45159" ht="26.25" customHeight="1"/>
    <row r="45160" ht="26.25" customHeight="1"/>
    <row r="45161" ht="26.25" customHeight="1"/>
    <row r="45162" ht="26.25" customHeight="1"/>
    <row r="45163" ht="26.25" customHeight="1"/>
    <row r="45164" ht="26.25" customHeight="1"/>
    <row r="45165" ht="26.25" customHeight="1"/>
    <row r="45166" ht="26.25" customHeight="1"/>
    <row r="45167" ht="26.25" customHeight="1"/>
    <row r="45168" ht="26.25" customHeight="1"/>
    <row r="45169" ht="26.25" customHeight="1"/>
    <row r="45170" ht="26.25" customHeight="1"/>
    <row r="45171" ht="26.25" customHeight="1"/>
    <row r="45172" ht="26.25" customHeight="1"/>
    <row r="45173" ht="26.25" customHeight="1"/>
    <row r="45174" ht="26.25" customHeight="1"/>
    <row r="45175" ht="26.25" customHeight="1"/>
    <row r="45176" ht="26.25" customHeight="1"/>
    <row r="45177" ht="26.25" customHeight="1"/>
    <row r="45178" ht="26.25" customHeight="1"/>
    <row r="45179" ht="26.25" customHeight="1"/>
    <row r="45180" ht="26.25" customHeight="1"/>
    <row r="45181" ht="26.25" customHeight="1"/>
    <row r="45182" ht="26.25" customHeight="1"/>
    <row r="45183" ht="26.25" customHeight="1"/>
    <row r="45184" ht="26.25" customHeight="1"/>
    <row r="45185" ht="26.25" customHeight="1"/>
    <row r="45186" ht="26.25" customHeight="1"/>
    <row r="45187" ht="26.25" customHeight="1"/>
    <row r="45188" ht="26.25" customHeight="1"/>
    <row r="45189" ht="26.25" customHeight="1"/>
    <row r="45190" ht="26.25" customHeight="1"/>
    <row r="45191" ht="26.25" customHeight="1"/>
    <row r="45192" ht="26.25" customHeight="1"/>
    <row r="45193" ht="26.25" customHeight="1"/>
    <row r="45194" ht="26.25" customHeight="1"/>
    <row r="45195" ht="26.25" customHeight="1"/>
    <row r="45196" ht="26.25" customHeight="1"/>
    <row r="45197" ht="26.25" customHeight="1"/>
    <row r="45198" ht="26.25" customHeight="1"/>
    <row r="45199" ht="26.25" customHeight="1"/>
    <row r="45200" ht="26.25" customHeight="1"/>
    <row r="45201" ht="26.25" customHeight="1"/>
    <row r="45202" ht="26.25" customHeight="1"/>
    <row r="45203" ht="26.25" customHeight="1"/>
    <row r="45204" ht="26.25" customHeight="1"/>
    <row r="45205" ht="26.25" customHeight="1"/>
    <row r="45206" ht="26.25" customHeight="1"/>
    <row r="45207" ht="26.25" customHeight="1"/>
    <row r="45208" ht="26.25" customHeight="1"/>
    <row r="45209" ht="26.25" customHeight="1"/>
    <row r="45210" ht="26.25" customHeight="1"/>
    <row r="45211" ht="26.25" customHeight="1"/>
    <row r="45212" ht="26.25" customHeight="1"/>
    <row r="45213" ht="26.25" customHeight="1"/>
    <row r="45214" ht="26.25" customHeight="1"/>
    <row r="45215" ht="26.25" customHeight="1"/>
    <row r="45216" ht="26.25" customHeight="1"/>
    <row r="45217" ht="26.25" customHeight="1"/>
    <row r="45218" ht="26.25" customHeight="1"/>
    <row r="45219" ht="26.25" customHeight="1"/>
    <row r="45220" ht="26.25" customHeight="1"/>
    <row r="45221" ht="26.25" customHeight="1"/>
    <row r="45222" ht="26.25" customHeight="1"/>
    <row r="45223" ht="26.25" customHeight="1"/>
    <row r="45224" ht="26.25" customHeight="1"/>
    <row r="45225" ht="26.25" customHeight="1"/>
    <row r="45226" ht="26.25" customHeight="1"/>
    <row r="45227" ht="26.25" customHeight="1"/>
    <row r="45228" ht="26.25" customHeight="1"/>
    <row r="45229" ht="26.25" customHeight="1"/>
    <row r="45230" ht="26.25" customHeight="1"/>
    <row r="45231" ht="26.25" customHeight="1"/>
    <row r="45232" ht="26.25" customHeight="1"/>
    <row r="45233" ht="26.25" customHeight="1"/>
    <row r="45234" ht="26.25" customHeight="1"/>
    <row r="45235" ht="26.25" customHeight="1"/>
    <row r="45236" ht="26.25" customHeight="1"/>
    <row r="45237" ht="26.25" customHeight="1"/>
    <row r="45238" ht="26.25" customHeight="1"/>
    <row r="45239" ht="26.25" customHeight="1"/>
    <row r="45240" ht="26.25" customHeight="1"/>
    <row r="45241" ht="26.25" customHeight="1"/>
    <row r="45242" ht="26.25" customHeight="1"/>
    <row r="45243" ht="26.25" customHeight="1"/>
    <row r="45244" ht="26.25" customHeight="1"/>
    <row r="45245" ht="26.25" customHeight="1"/>
    <row r="45246" ht="26.25" customHeight="1"/>
    <row r="45247" ht="26.25" customHeight="1"/>
    <row r="45248" ht="26.25" customHeight="1"/>
    <row r="45249" ht="26.25" customHeight="1"/>
    <row r="45250" ht="26.25" customHeight="1"/>
    <row r="45251" ht="26.25" customHeight="1"/>
    <row r="45252" ht="26.25" customHeight="1"/>
    <row r="45253" ht="26.25" customHeight="1"/>
    <row r="45254" ht="26.25" customHeight="1"/>
    <row r="45255" ht="26.25" customHeight="1"/>
    <row r="45256" ht="26.25" customHeight="1"/>
    <row r="45257" ht="26.25" customHeight="1"/>
    <row r="45258" ht="26.25" customHeight="1"/>
    <row r="45259" ht="26.25" customHeight="1"/>
    <row r="45260" ht="26.25" customHeight="1"/>
    <row r="45261" ht="26.25" customHeight="1"/>
    <row r="45262" ht="26.25" customHeight="1"/>
    <row r="45263" ht="26.25" customHeight="1"/>
    <row r="45264" ht="26.25" customHeight="1"/>
    <row r="45265" ht="26.25" customHeight="1"/>
    <row r="45266" ht="26.25" customHeight="1"/>
    <row r="45267" ht="26.25" customHeight="1"/>
    <row r="45268" ht="26.25" customHeight="1"/>
    <row r="45269" ht="26.25" customHeight="1"/>
    <row r="45270" ht="26.25" customHeight="1"/>
    <row r="45271" ht="26.25" customHeight="1"/>
    <row r="45272" ht="26.25" customHeight="1"/>
    <row r="45273" ht="26.25" customHeight="1"/>
    <row r="45274" ht="26.25" customHeight="1"/>
    <row r="45275" ht="26.25" customHeight="1"/>
    <row r="45276" ht="26.25" customHeight="1"/>
    <row r="45277" ht="26.25" customHeight="1"/>
    <row r="45278" ht="26.25" customHeight="1"/>
    <row r="45279" ht="26.25" customHeight="1"/>
    <row r="45280" ht="26.25" customHeight="1"/>
    <row r="45281" ht="26.25" customHeight="1"/>
    <row r="45282" ht="26.25" customHeight="1"/>
    <row r="45283" ht="26.25" customHeight="1"/>
    <row r="45284" ht="26.25" customHeight="1"/>
    <row r="45285" ht="26.25" customHeight="1"/>
    <row r="45286" ht="26.25" customHeight="1"/>
    <row r="45287" ht="26.25" customHeight="1"/>
    <row r="45288" ht="26.25" customHeight="1"/>
    <row r="45289" ht="26.25" customHeight="1"/>
    <row r="45290" ht="26.25" customHeight="1"/>
    <row r="45291" ht="26.25" customHeight="1"/>
    <row r="45292" ht="26.25" customHeight="1"/>
    <row r="45293" ht="26.25" customHeight="1"/>
    <row r="45294" ht="26.25" customHeight="1"/>
    <row r="45295" ht="26.25" customHeight="1"/>
    <row r="45296" ht="26.25" customHeight="1"/>
    <row r="45297" ht="26.25" customHeight="1"/>
    <row r="45298" ht="26.25" customHeight="1"/>
    <row r="45299" ht="26.25" customHeight="1"/>
    <row r="45300" ht="26.25" customHeight="1"/>
    <row r="45301" ht="26.25" customHeight="1"/>
    <row r="45302" ht="26.25" customHeight="1"/>
    <row r="45303" ht="26.25" customHeight="1"/>
    <row r="45304" ht="26.25" customHeight="1"/>
    <row r="45305" ht="26.25" customHeight="1"/>
    <row r="45306" ht="26.25" customHeight="1"/>
    <row r="45307" ht="26.25" customHeight="1"/>
    <row r="45308" ht="26.25" customHeight="1"/>
    <row r="45309" ht="26.25" customHeight="1"/>
    <row r="45310" ht="26.25" customHeight="1"/>
    <row r="45311" ht="26.25" customHeight="1"/>
    <row r="45312" ht="26.25" customHeight="1"/>
    <row r="45313" ht="26.25" customHeight="1"/>
    <row r="45314" ht="26.25" customHeight="1"/>
    <row r="45315" ht="26.25" customHeight="1"/>
    <row r="45316" ht="26.25" customHeight="1"/>
    <row r="45317" ht="26.25" customHeight="1"/>
    <row r="45318" ht="26.25" customHeight="1"/>
    <row r="45319" ht="26.25" customHeight="1"/>
    <row r="45320" ht="26.25" customHeight="1"/>
    <row r="45321" ht="26.25" customHeight="1"/>
    <row r="45322" ht="26.25" customHeight="1"/>
    <row r="45323" ht="26.25" customHeight="1"/>
    <row r="45324" ht="26.25" customHeight="1"/>
    <row r="45325" ht="26.25" customHeight="1"/>
    <row r="45326" ht="26.25" customHeight="1"/>
    <row r="45327" ht="26.25" customHeight="1"/>
    <row r="45328" ht="26.25" customHeight="1"/>
    <row r="45329" ht="26.25" customHeight="1"/>
    <row r="45330" ht="26.25" customHeight="1"/>
    <row r="45331" ht="26.25" customHeight="1"/>
    <row r="45332" ht="26.25" customHeight="1"/>
    <row r="45333" ht="26.25" customHeight="1"/>
    <row r="45334" ht="26.25" customHeight="1"/>
    <row r="45335" ht="26.25" customHeight="1"/>
    <row r="45336" ht="26.25" customHeight="1"/>
    <row r="45337" ht="26.25" customHeight="1"/>
    <row r="45338" ht="26.25" customHeight="1"/>
    <row r="45339" ht="26.25" customHeight="1"/>
    <row r="45340" ht="26.25" customHeight="1"/>
    <row r="45341" ht="26.25" customHeight="1"/>
    <row r="45342" ht="26.25" customHeight="1"/>
    <row r="45343" ht="26.25" customHeight="1"/>
    <row r="45344" ht="26.25" customHeight="1"/>
    <row r="45345" ht="26.25" customHeight="1"/>
    <row r="45346" ht="26.25" customHeight="1"/>
    <row r="45347" ht="26.25" customHeight="1"/>
    <row r="45348" ht="26.25" customHeight="1"/>
    <row r="45349" ht="26.25" customHeight="1"/>
    <row r="45350" ht="26.25" customHeight="1"/>
    <row r="45351" ht="26.25" customHeight="1"/>
    <row r="45352" ht="26.25" customHeight="1"/>
    <row r="45353" ht="26.25" customHeight="1"/>
    <row r="45354" ht="26.25" customHeight="1"/>
    <row r="45355" ht="26.25" customHeight="1"/>
    <row r="45356" ht="26.25" customHeight="1"/>
    <row r="45357" ht="26.25" customHeight="1"/>
    <row r="45358" ht="26.25" customHeight="1"/>
    <row r="45359" ht="26.25" customHeight="1"/>
    <row r="45360" ht="26.25" customHeight="1"/>
    <row r="45361" ht="26.25" customHeight="1"/>
    <row r="45362" ht="26.25" customHeight="1"/>
    <row r="45363" ht="26.25" customHeight="1"/>
    <row r="45364" ht="26.25" customHeight="1"/>
    <row r="45365" ht="26.25" customHeight="1"/>
    <row r="45366" ht="26.25" customHeight="1"/>
    <row r="45367" ht="26.25" customHeight="1"/>
    <row r="45368" ht="26.25" customHeight="1"/>
    <row r="45369" ht="26.25" customHeight="1"/>
    <row r="45370" ht="26.25" customHeight="1"/>
    <row r="45371" ht="26.25" customHeight="1"/>
    <row r="45372" ht="26.25" customHeight="1"/>
    <row r="45373" ht="26.25" customHeight="1"/>
    <row r="45374" ht="26.25" customHeight="1"/>
    <row r="45375" ht="26.25" customHeight="1"/>
    <row r="45376" ht="26.25" customHeight="1"/>
    <row r="45377" ht="26.25" customHeight="1"/>
    <row r="45378" ht="26.25" customHeight="1"/>
    <row r="45379" ht="26.25" customHeight="1"/>
    <row r="45380" ht="26.25" customHeight="1"/>
    <row r="45381" ht="26.25" customHeight="1"/>
    <row r="45382" ht="26.25" customHeight="1"/>
    <row r="45383" ht="26.25" customHeight="1"/>
    <row r="45384" ht="26.25" customHeight="1"/>
    <row r="45385" ht="26.25" customHeight="1"/>
    <row r="45386" ht="26.25" customHeight="1"/>
    <row r="45387" ht="26.25" customHeight="1"/>
    <row r="45388" ht="26.25" customHeight="1"/>
    <row r="45389" ht="26.25" customHeight="1"/>
    <row r="45390" ht="26.25" customHeight="1"/>
    <row r="45391" ht="26.25" customHeight="1"/>
    <row r="45392" ht="26.25" customHeight="1"/>
    <row r="45393" ht="26.25" customHeight="1"/>
    <row r="45394" ht="26.25" customHeight="1"/>
    <row r="45395" ht="26.25" customHeight="1"/>
    <row r="45396" ht="26.25" customHeight="1"/>
    <row r="45397" ht="26.25" customHeight="1"/>
    <row r="45398" ht="26.25" customHeight="1"/>
    <row r="45399" ht="26.25" customHeight="1"/>
    <row r="45400" ht="26.25" customHeight="1"/>
    <row r="45401" ht="26.25" customHeight="1"/>
    <row r="45402" ht="26.25" customHeight="1"/>
    <row r="45403" ht="26.25" customHeight="1"/>
    <row r="45404" ht="26.25" customHeight="1"/>
    <row r="45405" ht="26.25" customHeight="1"/>
    <row r="45406" ht="26.25" customHeight="1"/>
    <row r="45407" ht="26.25" customHeight="1"/>
    <row r="45408" ht="26.25" customHeight="1"/>
    <row r="45409" ht="26.25" customHeight="1"/>
    <row r="45410" ht="26.25" customHeight="1"/>
    <row r="45411" ht="26.25" customHeight="1"/>
    <row r="45412" ht="26.25" customHeight="1"/>
    <row r="45413" ht="26.25" customHeight="1"/>
    <row r="45414" ht="26.25" customHeight="1"/>
    <row r="45415" ht="26.25" customHeight="1"/>
    <row r="45416" ht="26.25" customHeight="1"/>
    <row r="45417" ht="26.25" customHeight="1"/>
    <row r="45418" ht="26.25" customHeight="1"/>
    <row r="45419" ht="26.25" customHeight="1"/>
    <row r="45420" ht="26.25" customHeight="1"/>
    <row r="45421" ht="26.25" customHeight="1"/>
    <row r="45422" ht="26.25" customHeight="1"/>
    <row r="45423" ht="26.25" customHeight="1"/>
    <row r="45424" ht="26.25" customHeight="1"/>
    <row r="45425" ht="26.25" customHeight="1"/>
    <row r="45426" ht="26.25" customHeight="1"/>
    <row r="45427" ht="26.25" customHeight="1"/>
    <row r="45428" ht="26.25" customHeight="1"/>
    <row r="45429" ht="26.25" customHeight="1"/>
    <row r="45430" ht="26.25" customHeight="1"/>
    <row r="45431" ht="26.25" customHeight="1"/>
    <row r="45432" ht="26.25" customHeight="1"/>
    <row r="45433" ht="26.25" customHeight="1"/>
    <row r="45434" ht="26.25" customHeight="1"/>
    <row r="45435" ht="26.25" customHeight="1"/>
    <row r="45436" ht="26.25" customHeight="1"/>
    <row r="45437" ht="26.25" customHeight="1"/>
    <row r="45438" ht="26.25" customHeight="1"/>
    <row r="45439" ht="26.25" customHeight="1"/>
    <row r="45440" ht="26.25" customHeight="1"/>
    <row r="45441" ht="26.25" customHeight="1"/>
    <row r="45442" ht="26.25" customHeight="1"/>
    <row r="45443" ht="26.25" customHeight="1"/>
    <row r="45444" ht="26.25" customHeight="1"/>
    <row r="45445" ht="26.25" customHeight="1"/>
    <row r="45446" ht="26.25" customHeight="1"/>
    <row r="45447" ht="26.25" customHeight="1"/>
    <row r="45448" ht="26.25" customHeight="1"/>
    <row r="45449" ht="26.25" customHeight="1"/>
    <row r="45450" ht="26.25" customHeight="1"/>
    <row r="45451" ht="26.25" customHeight="1"/>
    <row r="45452" ht="26.25" customHeight="1"/>
    <row r="45453" ht="26.25" customHeight="1"/>
    <row r="45454" ht="26.25" customHeight="1"/>
    <row r="45455" ht="26.25" customHeight="1"/>
    <row r="45456" ht="26.25" customHeight="1"/>
    <row r="45457" ht="26.25" customHeight="1"/>
    <row r="45458" ht="26.25" customHeight="1"/>
    <row r="45459" ht="26.25" customHeight="1"/>
    <row r="45460" ht="26.25" customHeight="1"/>
    <row r="45461" ht="26.25" customHeight="1"/>
    <row r="45462" ht="26.25" customHeight="1"/>
    <row r="45463" ht="26.25" customHeight="1"/>
    <row r="45464" ht="26.25" customHeight="1"/>
    <row r="45465" ht="26.25" customHeight="1"/>
    <row r="45466" ht="26.25" customHeight="1"/>
    <row r="45467" ht="26.25" customHeight="1"/>
    <row r="45468" ht="26.25" customHeight="1"/>
    <row r="45469" ht="26.25" customHeight="1"/>
    <row r="45470" ht="26.25" customHeight="1"/>
    <row r="45471" ht="26.25" customHeight="1"/>
    <row r="45472" ht="26.25" customHeight="1"/>
    <row r="45473" ht="26.25" customHeight="1"/>
    <row r="45474" ht="26.25" customHeight="1"/>
    <row r="45475" ht="26.25" customHeight="1"/>
    <row r="45476" ht="26.25" customHeight="1"/>
    <row r="45477" ht="26.25" customHeight="1"/>
    <row r="45478" ht="26.25" customHeight="1"/>
    <row r="45479" ht="26.25" customHeight="1"/>
    <row r="45480" ht="26.25" customHeight="1"/>
    <row r="45481" ht="26.25" customHeight="1"/>
    <row r="45482" ht="26.25" customHeight="1"/>
    <row r="45483" ht="26.25" customHeight="1"/>
    <row r="45484" ht="26.25" customHeight="1"/>
    <row r="45485" ht="26.25" customHeight="1"/>
    <row r="45486" ht="26.25" customHeight="1"/>
    <row r="45487" ht="26.25" customHeight="1"/>
    <row r="45488" ht="26.25" customHeight="1"/>
    <row r="45489" ht="26.25" customHeight="1"/>
    <row r="45490" ht="26.25" customHeight="1"/>
    <row r="45491" ht="26.25" customHeight="1"/>
    <row r="45492" ht="26.25" customHeight="1"/>
    <row r="45493" ht="26.25" customHeight="1"/>
    <row r="45494" ht="26.25" customHeight="1"/>
    <row r="45495" ht="26.25" customHeight="1"/>
    <row r="45496" ht="26.25" customHeight="1"/>
    <row r="45497" ht="26.25" customHeight="1"/>
    <row r="45498" ht="26.25" customHeight="1"/>
    <row r="45499" ht="26.25" customHeight="1"/>
    <row r="45500" ht="26.25" customHeight="1"/>
    <row r="45501" ht="26.25" customHeight="1"/>
    <row r="45502" ht="26.25" customHeight="1"/>
    <row r="45503" ht="26.25" customHeight="1"/>
    <row r="45504" ht="26.25" customHeight="1"/>
    <row r="45505" ht="26.25" customHeight="1"/>
    <row r="45506" ht="26.25" customHeight="1"/>
    <row r="45507" ht="26.25" customHeight="1"/>
    <row r="45508" ht="26.25" customHeight="1"/>
    <row r="45509" ht="26.25" customHeight="1"/>
    <row r="45510" ht="26.25" customHeight="1"/>
    <row r="45511" ht="26.25" customHeight="1"/>
    <row r="45512" ht="26.25" customHeight="1"/>
    <row r="45513" ht="26.25" customHeight="1"/>
    <row r="45514" ht="26.25" customHeight="1"/>
    <row r="45515" ht="26.25" customHeight="1"/>
    <row r="45516" ht="26.25" customHeight="1"/>
    <row r="45517" ht="26.25" customHeight="1"/>
    <row r="45518" ht="26.25" customHeight="1"/>
    <row r="45519" ht="26.25" customHeight="1"/>
    <row r="45520" ht="26.25" customHeight="1"/>
    <row r="45521" ht="26.25" customHeight="1"/>
    <row r="45522" ht="26.25" customHeight="1"/>
    <row r="45523" ht="26.25" customHeight="1"/>
    <row r="45524" ht="26.25" customHeight="1"/>
    <row r="45525" ht="26.25" customHeight="1"/>
    <row r="45526" ht="26.25" customHeight="1"/>
    <row r="45527" ht="26.25" customHeight="1"/>
    <row r="45528" ht="26.25" customHeight="1"/>
    <row r="45529" ht="26.25" customHeight="1"/>
    <row r="45530" ht="26.25" customHeight="1"/>
    <row r="45531" ht="26.25" customHeight="1"/>
    <row r="45532" ht="26.25" customHeight="1"/>
    <row r="45533" ht="26.25" customHeight="1"/>
    <row r="45534" ht="26.25" customHeight="1"/>
    <row r="45535" ht="26.25" customHeight="1"/>
    <row r="45536" ht="26.25" customHeight="1"/>
    <row r="45537" ht="26.25" customHeight="1"/>
    <row r="45538" ht="26.25" customHeight="1"/>
    <row r="45539" ht="26.25" customHeight="1"/>
    <row r="45540" ht="26.25" customHeight="1"/>
    <row r="45541" ht="26.25" customHeight="1"/>
    <row r="45542" ht="26.25" customHeight="1"/>
    <row r="45543" ht="26.25" customHeight="1"/>
    <row r="45544" ht="26.25" customHeight="1"/>
    <row r="45545" ht="26.25" customHeight="1"/>
    <row r="45546" ht="26.25" customHeight="1"/>
    <row r="45547" ht="26.25" customHeight="1"/>
    <row r="45548" ht="26.25" customHeight="1"/>
    <row r="45549" ht="26.25" customHeight="1"/>
    <row r="45550" ht="26.25" customHeight="1"/>
    <row r="45551" ht="26.25" customHeight="1"/>
    <row r="45552" ht="26.25" customHeight="1"/>
    <row r="45553" ht="26.25" customHeight="1"/>
    <row r="45554" ht="26.25" customHeight="1"/>
    <row r="45555" ht="26.25" customHeight="1"/>
    <row r="45556" ht="26.25" customHeight="1"/>
    <row r="45557" ht="26.25" customHeight="1"/>
    <row r="45558" ht="26.25" customHeight="1"/>
    <row r="45559" ht="26.25" customHeight="1"/>
    <row r="45560" ht="26.25" customHeight="1"/>
    <row r="45561" ht="26.25" customHeight="1"/>
    <row r="45562" ht="26.25" customHeight="1"/>
    <row r="45563" ht="26.25" customHeight="1"/>
    <row r="45564" ht="26.25" customHeight="1"/>
    <row r="45565" ht="26.25" customHeight="1"/>
    <row r="45566" ht="26.25" customHeight="1"/>
    <row r="45567" ht="26.25" customHeight="1"/>
    <row r="45568" ht="26.25" customHeight="1"/>
    <row r="45569" ht="26.25" customHeight="1"/>
    <row r="45570" ht="26.25" customHeight="1"/>
    <row r="45571" ht="26.25" customHeight="1"/>
    <row r="45572" ht="26.25" customHeight="1"/>
    <row r="45573" ht="26.25" customHeight="1"/>
    <row r="45574" ht="26.25" customHeight="1"/>
    <row r="45575" ht="26.25" customHeight="1"/>
    <row r="45576" ht="26.25" customHeight="1"/>
    <row r="45577" ht="26.25" customHeight="1"/>
    <row r="45578" ht="26.25" customHeight="1"/>
    <row r="45579" ht="26.25" customHeight="1"/>
    <row r="45580" ht="26.25" customHeight="1"/>
    <row r="45581" ht="26.25" customHeight="1"/>
    <row r="45582" ht="26.25" customHeight="1"/>
    <row r="45583" ht="26.25" customHeight="1"/>
    <row r="45584" ht="26.25" customHeight="1"/>
    <row r="45585" ht="26.25" customHeight="1"/>
    <row r="45586" ht="26.25" customHeight="1"/>
    <row r="45587" ht="26.25" customHeight="1"/>
    <row r="45588" ht="26.25" customHeight="1"/>
    <row r="45589" ht="26.25" customHeight="1"/>
    <row r="45590" ht="26.25" customHeight="1"/>
    <row r="45591" ht="26.25" customHeight="1"/>
    <row r="45592" ht="26.25" customHeight="1"/>
    <row r="45593" ht="26.25" customHeight="1"/>
    <row r="45594" ht="26.25" customHeight="1"/>
    <row r="45595" ht="26.25" customHeight="1"/>
    <row r="45596" ht="26.25" customHeight="1"/>
    <row r="45597" ht="26.25" customHeight="1"/>
    <row r="45598" ht="26.25" customHeight="1"/>
    <row r="45599" ht="26.25" customHeight="1"/>
    <row r="45600" ht="26.25" customHeight="1"/>
    <row r="45601" ht="26.25" customHeight="1"/>
    <row r="45602" ht="26.25" customHeight="1"/>
    <row r="45603" ht="26.25" customHeight="1"/>
    <row r="45604" ht="26.25" customHeight="1"/>
    <row r="45605" ht="26.25" customHeight="1"/>
    <row r="45606" ht="26.25" customHeight="1"/>
    <row r="45607" ht="26.25" customHeight="1"/>
    <row r="45608" ht="26.25" customHeight="1"/>
    <row r="45609" ht="26.25" customHeight="1"/>
    <row r="45610" ht="26.25" customHeight="1"/>
    <row r="45611" ht="26.25" customHeight="1"/>
    <row r="45612" ht="26.25" customHeight="1"/>
    <row r="45613" ht="26.25" customHeight="1"/>
    <row r="45614" ht="26.25" customHeight="1"/>
    <row r="45615" ht="26.25" customHeight="1"/>
    <row r="45616" ht="26.25" customHeight="1"/>
    <row r="45617" ht="26.25" customHeight="1"/>
    <row r="45618" ht="26.25" customHeight="1"/>
    <row r="45619" ht="26.25" customHeight="1"/>
    <row r="45620" ht="26.25" customHeight="1"/>
    <row r="45621" ht="26.25" customHeight="1"/>
    <row r="45622" ht="26.25" customHeight="1"/>
    <row r="45623" ht="26.25" customHeight="1"/>
    <row r="45624" ht="26.25" customHeight="1"/>
    <row r="45625" ht="26.25" customHeight="1"/>
    <row r="45626" ht="26.25" customHeight="1"/>
    <row r="45627" ht="26.25" customHeight="1"/>
    <row r="45628" ht="26.25" customHeight="1"/>
    <row r="45629" ht="26.25" customHeight="1"/>
    <row r="45630" ht="26.25" customHeight="1"/>
    <row r="45631" ht="26.25" customHeight="1"/>
    <row r="45632" ht="26.25" customHeight="1"/>
    <row r="45633" ht="26.25" customHeight="1"/>
    <row r="45634" ht="26.25" customHeight="1"/>
    <row r="45635" ht="26.25" customHeight="1"/>
    <row r="45636" ht="26.25" customHeight="1"/>
    <row r="45637" ht="26.25" customHeight="1"/>
    <row r="45638" ht="26.25" customHeight="1"/>
    <row r="45639" ht="26.25" customHeight="1"/>
    <row r="45640" ht="26.25" customHeight="1"/>
    <row r="45641" ht="26.25" customHeight="1"/>
    <row r="45642" ht="26.25" customHeight="1"/>
    <row r="45643" ht="26.25" customHeight="1"/>
    <row r="45644" ht="26.25" customHeight="1"/>
    <row r="45645" ht="26.25" customHeight="1"/>
    <row r="45646" ht="26.25" customHeight="1"/>
    <row r="45647" ht="26.25" customHeight="1"/>
    <row r="45648" ht="26.25" customHeight="1"/>
    <row r="45649" ht="26.25" customHeight="1"/>
    <row r="45650" ht="26.25" customHeight="1"/>
    <row r="45651" ht="26.25" customHeight="1"/>
    <row r="45652" ht="26.25" customHeight="1"/>
    <row r="45653" ht="26.25" customHeight="1"/>
    <row r="45654" ht="26.25" customHeight="1"/>
    <row r="45655" ht="26.25" customHeight="1"/>
    <row r="45656" ht="26.25" customHeight="1"/>
    <row r="45657" ht="26.25" customHeight="1"/>
    <row r="45658" ht="26.25" customHeight="1"/>
    <row r="45659" ht="26.25" customHeight="1"/>
    <row r="45660" ht="26.25" customHeight="1"/>
    <row r="45661" ht="26.25" customHeight="1"/>
    <row r="45662" ht="26.25" customHeight="1"/>
    <row r="45663" ht="26.25" customHeight="1"/>
    <row r="45664" ht="26.25" customHeight="1"/>
    <row r="45665" ht="26.25" customHeight="1"/>
    <row r="45666" ht="26.25" customHeight="1"/>
    <row r="45667" ht="26.25" customHeight="1"/>
    <row r="45668" ht="26.25" customHeight="1"/>
    <row r="45669" ht="26.25" customHeight="1"/>
    <row r="45670" ht="26.25" customHeight="1"/>
    <row r="45671" ht="26.25" customHeight="1"/>
    <row r="45672" ht="26.25" customHeight="1"/>
    <row r="45673" ht="26.25" customHeight="1"/>
    <row r="45674" ht="26.25" customHeight="1"/>
    <row r="45675" ht="26.25" customHeight="1"/>
    <row r="45676" ht="26.25" customHeight="1"/>
    <row r="45677" ht="26.25" customHeight="1"/>
    <row r="45678" ht="26.25" customHeight="1"/>
    <row r="45679" ht="26.25" customHeight="1"/>
    <row r="45680" ht="26.25" customHeight="1"/>
    <row r="45681" ht="26.25" customHeight="1"/>
    <row r="45682" ht="26.25" customHeight="1"/>
    <row r="45683" ht="26.25" customHeight="1"/>
    <row r="45684" ht="26.25" customHeight="1"/>
    <row r="45685" ht="26.25" customHeight="1"/>
    <row r="45686" ht="26.25" customHeight="1"/>
    <row r="45687" ht="26.25" customHeight="1"/>
    <row r="45688" ht="26.25" customHeight="1"/>
    <row r="45689" ht="26.25" customHeight="1"/>
    <row r="45690" ht="26.25" customHeight="1"/>
    <row r="45691" ht="26.25" customHeight="1"/>
    <row r="45692" ht="26.25" customHeight="1"/>
    <row r="45693" ht="26.25" customHeight="1"/>
    <row r="45694" ht="26.25" customHeight="1"/>
    <row r="45695" ht="26.25" customHeight="1"/>
    <row r="45696" ht="26.25" customHeight="1"/>
    <row r="45697" ht="26.25" customHeight="1"/>
    <row r="45698" ht="26.25" customHeight="1"/>
    <row r="45699" ht="26.25" customHeight="1"/>
    <row r="45700" ht="26.25" customHeight="1"/>
    <row r="45701" ht="26.25" customHeight="1"/>
    <row r="45702" ht="26.25" customHeight="1"/>
    <row r="45703" ht="26.25" customHeight="1"/>
    <row r="45704" ht="26.25" customHeight="1"/>
    <row r="45705" ht="26.25" customHeight="1"/>
    <row r="45706" ht="26.25" customHeight="1"/>
    <row r="45707" ht="26.25" customHeight="1"/>
    <row r="45708" ht="26.25" customHeight="1"/>
    <row r="45709" ht="26.25" customHeight="1"/>
    <row r="45710" ht="26.25" customHeight="1"/>
    <row r="45711" ht="26.25" customHeight="1"/>
    <row r="45712" ht="26.25" customHeight="1"/>
    <row r="45713" ht="26.25" customHeight="1"/>
    <row r="45714" ht="26.25" customHeight="1"/>
    <row r="45715" ht="26.25" customHeight="1"/>
    <row r="45716" ht="26.25" customHeight="1"/>
    <row r="45717" ht="26.25" customHeight="1"/>
    <row r="45718" ht="26.25" customHeight="1"/>
    <row r="45719" ht="26.25" customHeight="1"/>
    <row r="45720" ht="26.25" customHeight="1"/>
    <row r="45721" ht="26.25" customHeight="1"/>
    <row r="45722" ht="26.25" customHeight="1"/>
    <row r="45723" ht="26.25" customHeight="1"/>
    <row r="45724" ht="26.25" customHeight="1"/>
    <row r="45725" ht="26.25" customHeight="1"/>
    <row r="45726" ht="26.25" customHeight="1"/>
    <row r="45727" ht="26.25" customHeight="1"/>
    <row r="45728" ht="26.25" customHeight="1"/>
    <row r="45729" ht="26.25" customHeight="1"/>
    <row r="45730" ht="26.25" customHeight="1"/>
    <row r="45731" ht="26.25" customHeight="1"/>
    <row r="45732" ht="26.25" customHeight="1"/>
    <row r="45733" ht="26.25" customHeight="1"/>
    <row r="45734" ht="26.25" customHeight="1"/>
    <row r="45735" ht="26.25" customHeight="1"/>
    <row r="45736" ht="26.25" customHeight="1"/>
    <row r="45737" ht="26.25" customHeight="1"/>
    <row r="45738" ht="26.25" customHeight="1"/>
    <row r="45739" ht="26.25" customHeight="1"/>
    <row r="45740" ht="26.25" customHeight="1"/>
    <row r="45741" ht="26.25" customHeight="1"/>
    <row r="45742" ht="26.25" customHeight="1"/>
    <row r="45743" ht="26.25" customHeight="1"/>
    <row r="45744" ht="26.25" customHeight="1"/>
    <row r="45745" ht="26.25" customHeight="1"/>
    <row r="45746" ht="26.25" customHeight="1"/>
    <row r="45747" ht="26.25" customHeight="1"/>
    <row r="45748" ht="26.25" customHeight="1"/>
    <row r="45749" ht="26.25" customHeight="1"/>
    <row r="45750" ht="26.25" customHeight="1"/>
    <row r="45751" ht="26.25" customHeight="1"/>
    <row r="45752" ht="26.25" customHeight="1"/>
    <row r="45753" ht="26.25" customHeight="1"/>
    <row r="45754" ht="26.25" customHeight="1"/>
    <row r="45755" ht="26.25" customHeight="1"/>
    <row r="45756" ht="26.25" customHeight="1"/>
    <row r="45757" ht="26.25" customHeight="1"/>
    <row r="45758" ht="26.25" customHeight="1"/>
    <row r="45759" ht="26.25" customHeight="1"/>
    <row r="45760" ht="26.25" customHeight="1"/>
    <row r="45761" ht="26.25" customHeight="1"/>
    <row r="45762" ht="26.25" customHeight="1"/>
    <row r="45763" ht="26.25" customHeight="1"/>
    <row r="45764" ht="26.25" customHeight="1"/>
    <row r="45765" ht="26.25" customHeight="1"/>
    <row r="45766" ht="26.25" customHeight="1"/>
    <row r="45767" ht="26.25" customHeight="1"/>
    <row r="45768" ht="26.25" customHeight="1"/>
    <row r="45769" ht="26.25" customHeight="1"/>
    <row r="45770" ht="26.25" customHeight="1"/>
    <row r="45771" ht="26.25" customHeight="1"/>
    <row r="45772" ht="26.25" customHeight="1"/>
    <row r="45773" ht="26.25" customHeight="1"/>
    <row r="45774" ht="26.25" customHeight="1"/>
    <row r="45775" ht="26.25" customHeight="1"/>
    <row r="45776" ht="26.25" customHeight="1"/>
    <row r="45777" ht="26.25" customHeight="1"/>
    <row r="45778" ht="26.25" customHeight="1"/>
    <row r="45779" ht="26.25" customHeight="1"/>
    <row r="45780" ht="26.25" customHeight="1"/>
    <row r="45781" ht="26.25" customHeight="1"/>
    <row r="45782" ht="26.25" customHeight="1"/>
    <row r="45783" ht="26.25" customHeight="1"/>
    <row r="45784" ht="26.25" customHeight="1"/>
    <row r="45785" ht="26.25" customHeight="1"/>
    <row r="45786" ht="26.25" customHeight="1"/>
    <row r="45787" ht="26.25" customHeight="1"/>
    <row r="45788" ht="26.25" customHeight="1"/>
    <row r="45789" ht="26.25" customHeight="1"/>
    <row r="45790" ht="26.25" customHeight="1"/>
    <row r="45791" ht="26.25" customHeight="1"/>
    <row r="45792" ht="26.25" customHeight="1"/>
    <row r="45793" ht="26.25" customHeight="1"/>
    <row r="45794" ht="26.25" customHeight="1"/>
    <row r="45795" ht="26.25" customHeight="1"/>
    <row r="45796" ht="26.25" customHeight="1"/>
    <row r="45797" ht="26.25" customHeight="1"/>
    <row r="45798" ht="26.25" customHeight="1"/>
    <row r="45799" ht="26.25" customHeight="1"/>
    <row r="45800" ht="26.25" customHeight="1"/>
    <row r="45801" ht="26.25" customHeight="1"/>
    <row r="45802" ht="26.25" customHeight="1"/>
    <row r="45803" ht="26.25" customHeight="1"/>
    <row r="45804" ht="26.25" customHeight="1"/>
    <row r="45805" ht="26.25" customHeight="1"/>
    <row r="45806" ht="26.25" customHeight="1"/>
    <row r="45807" ht="26.25" customHeight="1"/>
    <row r="45808" ht="26.25" customHeight="1"/>
    <row r="45809" ht="26.25" customHeight="1"/>
    <row r="45810" ht="26.25" customHeight="1"/>
    <row r="45811" ht="26.25" customHeight="1"/>
    <row r="45812" ht="26.25" customHeight="1"/>
    <row r="45813" ht="26.25" customHeight="1"/>
    <row r="45814" ht="26.25" customHeight="1"/>
    <row r="45815" ht="26.25" customHeight="1"/>
    <row r="45816" ht="26.25" customHeight="1"/>
    <row r="45817" ht="26.25" customHeight="1"/>
    <row r="45818" ht="26.25" customHeight="1"/>
    <row r="45819" ht="26.25" customHeight="1"/>
    <row r="45820" ht="26.25" customHeight="1"/>
    <row r="45821" ht="26.25" customHeight="1"/>
    <row r="45822" ht="26.25" customHeight="1"/>
    <row r="45823" ht="26.25" customHeight="1"/>
    <row r="45824" ht="26.25" customHeight="1"/>
    <row r="45825" ht="26.25" customHeight="1"/>
    <row r="45826" ht="26.25" customHeight="1"/>
    <row r="45827" ht="26.25" customHeight="1"/>
    <row r="45828" ht="26.25" customHeight="1"/>
    <row r="45829" ht="26.25" customHeight="1"/>
    <row r="45830" ht="26.25" customHeight="1"/>
    <row r="45831" ht="26.25" customHeight="1"/>
    <row r="45832" ht="26.25" customHeight="1"/>
    <row r="45833" ht="26.25" customHeight="1"/>
    <row r="45834" ht="26.25" customHeight="1"/>
    <row r="45835" ht="26.25" customHeight="1"/>
    <row r="45836" ht="26.25" customHeight="1"/>
    <row r="45837" ht="26.25" customHeight="1"/>
    <row r="45838" ht="26.25" customHeight="1"/>
    <row r="45839" ht="26.25" customHeight="1"/>
    <row r="45840" ht="26.25" customHeight="1"/>
    <row r="45841" ht="26.25" customHeight="1"/>
    <row r="45842" ht="26.25" customHeight="1"/>
    <row r="45843" ht="26.25" customHeight="1"/>
    <row r="45844" ht="26.25" customHeight="1"/>
    <row r="45845" ht="26.25" customHeight="1"/>
    <row r="45846" ht="26.25" customHeight="1"/>
    <row r="45847" ht="26.25" customHeight="1"/>
    <row r="45848" ht="26.25" customHeight="1"/>
    <row r="45849" ht="26.25" customHeight="1"/>
    <row r="45850" ht="26.25" customHeight="1"/>
    <row r="45851" ht="26.25" customHeight="1"/>
    <row r="45852" ht="26.25" customHeight="1"/>
    <row r="45853" ht="26.25" customHeight="1"/>
    <row r="45854" ht="26.25" customHeight="1"/>
    <row r="45855" ht="26.25" customHeight="1"/>
    <row r="45856" ht="26.25" customHeight="1"/>
    <row r="45857" ht="26.25" customHeight="1"/>
    <row r="45858" ht="26.25" customHeight="1"/>
    <row r="45859" ht="26.25" customHeight="1"/>
    <row r="45860" ht="26.25" customHeight="1"/>
    <row r="45861" ht="26.25" customHeight="1"/>
    <row r="45862" ht="26.25" customHeight="1"/>
    <row r="45863" ht="26.25" customHeight="1"/>
    <row r="45864" ht="26.25" customHeight="1"/>
    <row r="45865" ht="26.25" customHeight="1"/>
    <row r="45866" ht="26.25" customHeight="1"/>
    <row r="45867" ht="26.25" customHeight="1"/>
    <row r="45868" ht="26.25" customHeight="1"/>
    <row r="45869" ht="26.25" customHeight="1"/>
    <row r="45870" ht="26.25" customHeight="1"/>
    <row r="45871" ht="26.25" customHeight="1"/>
    <row r="45872" ht="26.25" customHeight="1"/>
    <row r="45873" ht="26.25" customHeight="1"/>
    <row r="45874" ht="26.25" customHeight="1"/>
    <row r="45875" ht="26.25" customHeight="1"/>
    <row r="45876" ht="26.25" customHeight="1"/>
    <row r="45877" ht="26.25" customHeight="1"/>
    <row r="45878" ht="26.25" customHeight="1"/>
    <row r="45879" ht="26.25" customHeight="1"/>
    <row r="45880" ht="26.25" customHeight="1"/>
    <row r="45881" ht="26.25" customHeight="1"/>
    <row r="45882" ht="26.25" customHeight="1"/>
    <row r="45883" ht="26.25" customHeight="1"/>
    <row r="45884" ht="26.25" customHeight="1"/>
    <row r="45885" ht="26.25" customHeight="1"/>
    <row r="45886" ht="26.25" customHeight="1"/>
    <row r="45887" ht="26.25" customHeight="1"/>
    <row r="45888" ht="26.25" customHeight="1"/>
    <row r="45889" ht="26.25" customHeight="1"/>
    <row r="45890" ht="26.25" customHeight="1"/>
    <row r="45891" ht="26.25" customHeight="1"/>
    <row r="45892" ht="26.25" customHeight="1"/>
    <row r="45893" ht="26.25" customHeight="1"/>
    <row r="45894" ht="26.25" customHeight="1"/>
    <row r="45895" ht="26.25" customHeight="1"/>
    <row r="45896" ht="26.25" customHeight="1"/>
    <row r="45897" ht="26.25" customHeight="1"/>
    <row r="45898" ht="26.25" customHeight="1"/>
    <row r="45899" ht="26.25" customHeight="1"/>
    <row r="45900" ht="26.25" customHeight="1"/>
    <row r="45901" ht="26.25" customHeight="1"/>
    <row r="45902" ht="26.25" customHeight="1"/>
    <row r="45903" ht="26.25" customHeight="1"/>
    <row r="45904" ht="26.25" customHeight="1"/>
    <row r="45905" ht="26.25" customHeight="1"/>
    <row r="45906" ht="26.25" customHeight="1"/>
    <row r="45907" ht="26.25" customHeight="1"/>
    <row r="45908" ht="26.25" customHeight="1"/>
    <row r="45909" ht="26.25" customHeight="1"/>
    <row r="45910" ht="26.25" customHeight="1"/>
    <row r="45911" ht="26.25" customHeight="1"/>
    <row r="45912" ht="26.25" customHeight="1"/>
    <row r="45913" ht="26.25" customHeight="1"/>
    <row r="45914" ht="26.25" customHeight="1"/>
    <row r="45915" ht="26.25" customHeight="1"/>
    <row r="45916" ht="26.25" customHeight="1"/>
    <row r="45917" ht="26.25" customHeight="1"/>
    <row r="45918" ht="26.25" customHeight="1"/>
    <row r="45919" ht="26.25" customHeight="1"/>
    <row r="45920" ht="26.25" customHeight="1"/>
    <row r="45921" ht="26.25" customHeight="1"/>
    <row r="45922" ht="26.25" customHeight="1"/>
    <row r="45923" ht="26.25" customHeight="1"/>
    <row r="45924" ht="26.25" customHeight="1"/>
    <row r="45925" ht="26.25" customHeight="1"/>
    <row r="45926" ht="26.25" customHeight="1"/>
    <row r="45927" ht="26.25" customHeight="1"/>
    <row r="45928" ht="26.25" customHeight="1"/>
    <row r="45929" ht="26.25" customHeight="1"/>
    <row r="45930" ht="26.25" customHeight="1"/>
    <row r="45931" ht="26.25" customHeight="1"/>
    <row r="45932" ht="26.25" customHeight="1"/>
    <row r="45933" ht="26.25" customHeight="1"/>
    <row r="45934" ht="26.25" customHeight="1"/>
    <row r="45935" ht="26.25" customHeight="1"/>
    <row r="45936" ht="26.25" customHeight="1"/>
    <row r="45937" ht="26.25" customHeight="1"/>
    <row r="45938" ht="26.25" customHeight="1"/>
    <row r="45939" ht="26.25" customHeight="1"/>
    <row r="45940" ht="26.25" customHeight="1"/>
    <row r="45941" ht="26.25" customHeight="1"/>
    <row r="45942" ht="26.25" customHeight="1"/>
    <row r="45943" ht="26.25" customHeight="1"/>
    <row r="45944" ht="26.25" customHeight="1"/>
    <row r="45945" ht="26.25" customHeight="1"/>
    <row r="45946" ht="26.25" customHeight="1"/>
    <row r="45947" ht="26.25" customHeight="1"/>
    <row r="45948" ht="26.25" customHeight="1"/>
    <row r="45949" ht="26.25" customHeight="1"/>
    <row r="45950" ht="26.25" customHeight="1"/>
    <row r="45951" ht="26.25" customHeight="1"/>
    <row r="45952" ht="26.25" customHeight="1"/>
    <row r="45953" ht="26.25" customHeight="1"/>
    <row r="45954" ht="26.25" customHeight="1"/>
    <row r="45955" ht="26.25" customHeight="1"/>
    <row r="45956" ht="26.25" customHeight="1"/>
    <row r="45957" ht="26.25" customHeight="1"/>
    <row r="45958" ht="26.25" customHeight="1"/>
    <row r="45959" ht="26.25" customHeight="1"/>
    <row r="45960" ht="26.25" customHeight="1"/>
    <row r="45961" ht="26.25" customHeight="1"/>
    <row r="45962" ht="26.25" customHeight="1"/>
    <row r="45963" ht="26.25" customHeight="1"/>
    <row r="45964" ht="26.25" customHeight="1"/>
    <row r="45965" ht="26.25" customHeight="1"/>
    <row r="45966" ht="26.25" customHeight="1"/>
    <row r="45967" ht="26.25" customHeight="1"/>
    <row r="45968" ht="26.25" customHeight="1"/>
    <row r="45969" ht="26.25" customHeight="1"/>
    <row r="45970" ht="26.25" customHeight="1"/>
    <row r="45971" ht="26.25" customHeight="1"/>
    <row r="45972" ht="26.25" customHeight="1"/>
    <row r="45973" ht="26.25" customHeight="1"/>
    <row r="45974" ht="26.25" customHeight="1"/>
    <row r="45975" ht="26.25" customHeight="1"/>
    <row r="45976" ht="26.25" customHeight="1"/>
    <row r="45977" ht="26.25" customHeight="1"/>
    <row r="45978" ht="26.25" customHeight="1"/>
    <row r="45979" ht="26.25" customHeight="1"/>
    <row r="45980" ht="26.25" customHeight="1"/>
    <row r="45981" ht="26.25" customHeight="1"/>
    <row r="45982" ht="26.25" customHeight="1"/>
    <row r="45983" ht="26.25" customHeight="1"/>
    <row r="45984" ht="26.25" customHeight="1"/>
    <row r="45985" ht="26.25" customHeight="1"/>
    <row r="45986" ht="26.25" customHeight="1"/>
    <row r="45987" ht="26.25" customHeight="1"/>
    <row r="45988" ht="26.25" customHeight="1"/>
    <row r="45989" ht="26.25" customHeight="1"/>
    <row r="45990" ht="26.25" customHeight="1"/>
    <row r="45991" ht="26.25" customHeight="1"/>
    <row r="45992" ht="26.25" customHeight="1"/>
    <row r="45993" ht="26.25" customHeight="1"/>
    <row r="45994" ht="26.25" customHeight="1"/>
    <row r="45995" ht="26.25" customHeight="1"/>
    <row r="45996" ht="26.25" customHeight="1"/>
    <row r="45997" ht="26.25" customHeight="1"/>
    <row r="45998" ht="26.25" customHeight="1"/>
    <row r="45999" ht="26.25" customHeight="1"/>
    <row r="46000" ht="26.25" customHeight="1"/>
    <row r="46001" ht="26.25" customHeight="1"/>
    <row r="46002" ht="26.25" customHeight="1"/>
    <row r="46003" ht="26.25" customHeight="1"/>
    <row r="46004" ht="26.25" customHeight="1"/>
    <row r="46005" ht="26.25" customHeight="1"/>
    <row r="46006" ht="26.25" customHeight="1"/>
    <row r="46007" ht="26.25" customHeight="1"/>
    <row r="46008" ht="26.25" customHeight="1"/>
    <row r="46009" ht="26.25" customHeight="1"/>
    <row r="46010" ht="26.25" customHeight="1"/>
    <row r="46011" ht="26.25" customHeight="1"/>
    <row r="46012" ht="26.25" customHeight="1"/>
    <row r="46013" ht="26.25" customHeight="1"/>
    <row r="46014" ht="26.25" customHeight="1"/>
    <row r="46015" ht="26.25" customHeight="1"/>
    <row r="46016" ht="26.25" customHeight="1"/>
    <row r="46017" ht="26.25" customHeight="1"/>
    <row r="46018" ht="26.25" customHeight="1"/>
    <row r="46019" ht="26.25" customHeight="1"/>
    <row r="46020" ht="26.25" customHeight="1"/>
    <row r="46021" ht="26.25" customHeight="1"/>
    <row r="46022" ht="26.25" customHeight="1"/>
    <row r="46023" ht="26.25" customHeight="1"/>
    <row r="46024" ht="26.25" customHeight="1"/>
    <row r="46025" ht="26.25" customHeight="1"/>
    <row r="46026" ht="26.25" customHeight="1"/>
    <row r="46027" ht="26.25" customHeight="1"/>
    <row r="46028" ht="26.25" customHeight="1"/>
    <row r="46029" ht="26.25" customHeight="1"/>
    <row r="46030" ht="26.25" customHeight="1"/>
    <row r="46031" ht="26.25" customHeight="1"/>
    <row r="46032" ht="26.25" customHeight="1"/>
    <row r="46033" ht="26.25" customHeight="1"/>
    <row r="46034" ht="26.25" customHeight="1"/>
    <row r="46035" ht="26.25" customHeight="1"/>
    <row r="46036" ht="26.25" customHeight="1"/>
    <row r="46037" ht="26.25" customHeight="1"/>
    <row r="46038" ht="26.25" customHeight="1"/>
    <row r="46039" ht="26.25" customHeight="1"/>
    <row r="46040" ht="26.25" customHeight="1"/>
    <row r="46041" ht="26.25" customHeight="1"/>
    <row r="46042" ht="26.25" customHeight="1"/>
    <row r="46043" ht="26.25" customHeight="1"/>
    <row r="46044" ht="26.25" customHeight="1"/>
    <row r="46045" ht="26.25" customHeight="1"/>
    <row r="46046" ht="26.25" customHeight="1"/>
    <row r="46047" ht="26.25" customHeight="1"/>
    <row r="46048" ht="26.25" customHeight="1"/>
    <row r="46049" ht="26.25" customHeight="1"/>
    <row r="46050" ht="26.25" customHeight="1"/>
    <row r="46051" ht="26.25" customHeight="1"/>
    <row r="46052" ht="26.25" customHeight="1"/>
    <row r="46053" ht="26.25" customHeight="1"/>
    <row r="46054" ht="26.25" customHeight="1"/>
    <row r="46055" ht="26.25" customHeight="1"/>
    <row r="46056" ht="26.25" customHeight="1"/>
    <row r="46057" ht="26.25" customHeight="1"/>
    <row r="46058" ht="26.25" customHeight="1"/>
    <row r="46059" ht="26.25" customHeight="1"/>
    <row r="46060" ht="26.25" customHeight="1"/>
    <row r="46061" ht="26.25" customHeight="1"/>
    <row r="46062" ht="26.25" customHeight="1"/>
    <row r="46063" ht="26.25" customHeight="1"/>
    <row r="46064" ht="26.25" customHeight="1"/>
    <row r="46065" ht="26.25" customHeight="1"/>
    <row r="46066" ht="26.25" customHeight="1"/>
    <row r="46067" ht="26.25" customHeight="1"/>
    <row r="46068" ht="26.25" customHeight="1"/>
    <row r="46069" ht="26.25" customHeight="1"/>
    <row r="46070" ht="26.25" customHeight="1"/>
    <row r="46071" ht="26.25" customHeight="1"/>
    <row r="46072" ht="26.25" customHeight="1"/>
    <row r="46073" ht="26.25" customHeight="1"/>
    <row r="46074" ht="26.25" customHeight="1"/>
    <row r="46075" ht="26.25" customHeight="1"/>
    <row r="46076" ht="26.25" customHeight="1"/>
    <row r="46077" ht="26.25" customHeight="1"/>
    <row r="46078" ht="26.25" customHeight="1"/>
    <row r="46079" ht="26.25" customHeight="1"/>
    <row r="46080" ht="26.25" customHeight="1"/>
    <row r="46081" ht="26.25" customHeight="1"/>
    <row r="46082" ht="26.25" customHeight="1"/>
    <row r="46083" ht="26.25" customHeight="1"/>
    <row r="46084" ht="26.25" customHeight="1"/>
    <row r="46085" ht="26.25" customHeight="1"/>
    <row r="46086" ht="26.25" customHeight="1"/>
    <row r="46087" ht="26.25" customHeight="1"/>
    <row r="46088" ht="26.25" customHeight="1"/>
    <row r="46089" ht="26.25" customHeight="1"/>
    <row r="46090" ht="26.25" customHeight="1"/>
    <row r="46091" ht="26.25" customHeight="1"/>
    <row r="46092" ht="26.25" customHeight="1"/>
    <row r="46093" ht="26.25" customHeight="1"/>
    <row r="46094" ht="26.25" customHeight="1"/>
    <row r="46095" ht="26.25" customHeight="1"/>
    <row r="46096" ht="26.25" customHeight="1"/>
    <row r="46097" ht="26.25" customHeight="1"/>
    <row r="46098" ht="26.25" customHeight="1"/>
    <row r="46099" ht="26.25" customHeight="1"/>
    <row r="46100" ht="26.25" customHeight="1"/>
    <row r="46101" ht="26.25" customHeight="1"/>
    <row r="46102" ht="26.25" customHeight="1"/>
    <row r="46103" ht="26.25" customHeight="1"/>
    <row r="46104" ht="26.25" customHeight="1"/>
    <row r="46105" ht="26.25" customHeight="1"/>
    <row r="46106" ht="26.25" customHeight="1"/>
    <row r="46107" ht="26.25" customHeight="1"/>
    <row r="46108" ht="26.25" customHeight="1"/>
    <row r="46109" ht="26.25" customHeight="1"/>
    <row r="46110" ht="26.25" customHeight="1"/>
    <row r="46111" ht="26.25" customHeight="1"/>
    <row r="46112" ht="26.25" customHeight="1"/>
    <row r="46113" ht="26.25" customHeight="1"/>
    <row r="46114" ht="26.25" customHeight="1"/>
    <row r="46115" ht="26.25" customHeight="1"/>
    <row r="46116" ht="26.25" customHeight="1"/>
    <row r="46117" ht="26.25" customHeight="1"/>
    <row r="46118" ht="26.25" customHeight="1"/>
    <row r="46119" ht="26.25" customHeight="1"/>
    <row r="46120" ht="26.25" customHeight="1"/>
    <row r="46121" ht="26.25" customHeight="1"/>
    <row r="46122" ht="26.25" customHeight="1"/>
    <row r="46123" ht="26.25" customHeight="1"/>
    <row r="46124" ht="26.25" customHeight="1"/>
    <row r="46125" ht="26.25" customHeight="1"/>
    <row r="46126" ht="26.25" customHeight="1"/>
    <row r="46127" ht="26.25" customHeight="1"/>
    <row r="46128" ht="26.25" customHeight="1"/>
    <row r="46129" ht="26.25" customHeight="1"/>
    <row r="46130" ht="26.25" customHeight="1"/>
    <row r="46131" ht="26.25" customHeight="1"/>
    <row r="46132" ht="26.25" customHeight="1"/>
    <row r="46133" ht="26.25" customHeight="1"/>
    <row r="46134" ht="26.25" customHeight="1"/>
    <row r="46135" ht="26.25" customHeight="1"/>
    <row r="46136" ht="26.25" customHeight="1"/>
    <row r="46137" ht="26.25" customHeight="1"/>
    <row r="46138" ht="26.25" customHeight="1"/>
    <row r="46139" ht="26.25" customHeight="1"/>
    <row r="46140" ht="26.25" customHeight="1"/>
    <row r="46141" ht="26.25" customHeight="1"/>
    <row r="46142" ht="26.25" customHeight="1"/>
    <row r="46143" ht="26.25" customHeight="1"/>
    <row r="46144" ht="26.25" customHeight="1"/>
    <row r="46145" ht="26.25" customHeight="1"/>
    <row r="46146" ht="26.25" customHeight="1"/>
    <row r="46147" ht="26.25" customHeight="1"/>
    <row r="46148" ht="26.25" customHeight="1"/>
    <row r="46149" ht="26.25" customHeight="1"/>
    <row r="46150" ht="26.25" customHeight="1"/>
    <row r="46151" ht="26.25" customHeight="1"/>
    <row r="46152" ht="26.25" customHeight="1"/>
    <row r="46153" ht="26.25" customHeight="1"/>
    <row r="46154" ht="26.25" customHeight="1"/>
    <row r="46155" ht="26.25" customHeight="1"/>
    <row r="46156" ht="26.25" customHeight="1"/>
    <row r="46157" ht="26.25" customHeight="1"/>
    <row r="46158" ht="26.25" customHeight="1"/>
    <row r="46159" ht="26.25" customHeight="1"/>
    <row r="46160" ht="26.25" customHeight="1"/>
    <row r="46161" ht="26.25" customHeight="1"/>
    <row r="46162" ht="26.25" customHeight="1"/>
    <row r="46163" ht="26.25" customHeight="1"/>
    <row r="46164" ht="26.25" customHeight="1"/>
    <row r="46165" ht="26.25" customHeight="1"/>
    <row r="46166" ht="26.25" customHeight="1"/>
    <row r="46167" ht="26.25" customHeight="1"/>
    <row r="46168" ht="26.25" customHeight="1"/>
    <row r="46169" ht="26.25" customHeight="1"/>
    <row r="46170" ht="26.25" customHeight="1"/>
    <row r="46171" ht="26.25" customHeight="1"/>
    <row r="46172" ht="26.25" customHeight="1"/>
    <row r="46173" ht="26.25" customHeight="1"/>
    <row r="46174" ht="26.25" customHeight="1"/>
    <row r="46175" ht="26.25" customHeight="1"/>
    <row r="46176" ht="26.25" customHeight="1"/>
    <row r="46177" ht="26.25" customHeight="1"/>
    <row r="46178" ht="26.25" customHeight="1"/>
    <row r="46179" ht="26.25" customHeight="1"/>
    <row r="46180" ht="26.25" customHeight="1"/>
    <row r="46181" ht="26.25" customHeight="1"/>
    <row r="46182" ht="26.25" customHeight="1"/>
    <row r="46183" ht="26.25" customHeight="1"/>
    <row r="46184" ht="26.25" customHeight="1"/>
    <row r="46185" ht="26.25" customHeight="1"/>
    <row r="46186" ht="26.25" customHeight="1"/>
    <row r="46187" ht="26.25" customHeight="1"/>
    <row r="46188" ht="26.25" customHeight="1"/>
    <row r="46189" ht="26.25" customHeight="1"/>
    <row r="46190" ht="26.25" customHeight="1"/>
    <row r="46191" ht="26.25" customHeight="1"/>
    <row r="46192" ht="26.25" customHeight="1"/>
    <row r="46193" ht="26.25" customHeight="1"/>
    <row r="46194" ht="26.25" customHeight="1"/>
    <row r="46195" ht="26.25" customHeight="1"/>
    <row r="46196" ht="26.25" customHeight="1"/>
    <row r="46197" ht="26.25" customHeight="1"/>
    <row r="46198" ht="26.25" customHeight="1"/>
    <row r="46199" ht="26.25" customHeight="1"/>
    <row r="46200" ht="26.25" customHeight="1"/>
    <row r="46201" ht="26.25" customHeight="1"/>
    <row r="46202" ht="26.25" customHeight="1"/>
    <row r="46203" ht="26.25" customHeight="1"/>
    <row r="46204" ht="26.25" customHeight="1"/>
    <row r="46205" ht="26.25" customHeight="1"/>
    <row r="46206" ht="26.25" customHeight="1"/>
    <row r="46207" ht="26.25" customHeight="1"/>
    <row r="46208" ht="26.25" customHeight="1"/>
    <row r="46209" ht="26.25" customHeight="1"/>
    <row r="46210" ht="26.25" customHeight="1"/>
    <row r="46211" ht="26.25" customHeight="1"/>
    <row r="46212" ht="26.25" customHeight="1"/>
    <row r="46213" ht="26.25" customHeight="1"/>
    <row r="46214" ht="26.25" customHeight="1"/>
    <row r="46215" ht="26.25" customHeight="1"/>
    <row r="46216" ht="26.25" customHeight="1"/>
    <row r="46217" ht="26.25" customHeight="1"/>
    <row r="46218" ht="26.25" customHeight="1"/>
    <row r="46219" ht="26.25" customHeight="1"/>
    <row r="46220" ht="26.25" customHeight="1"/>
    <row r="46221" ht="26.25" customHeight="1"/>
    <row r="46222" ht="26.25" customHeight="1"/>
    <row r="46223" ht="26.25" customHeight="1"/>
    <row r="46224" ht="26.25" customHeight="1"/>
    <row r="46225" ht="26.25" customHeight="1"/>
    <row r="46226" ht="26.25" customHeight="1"/>
    <row r="46227" ht="26.25" customHeight="1"/>
    <row r="46228" ht="26.25" customHeight="1"/>
    <row r="46229" ht="26.25" customHeight="1"/>
    <row r="46230" ht="26.25" customHeight="1"/>
    <row r="46231" ht="26.25" customHeight="1"/>
    <row r="46232" ht="26.25" customHeight="1"/>
    <row r="46233" ht="26.25" customHeight="1"/>
    <row r="46234" ht="26.25" customHeight="1"/>
    <row r="46235" ht="26.25" customHeight="1"/>
    <row r="46236" ht="26.25" customHeight="1"/>
    <row r="46237" ht="26.25" customHeight="1"/>
    <row r="46238" ht="26.25" customHeight="1"/>
    <row r="46239" ht="26.25" customHeight="1"/>
    <row r="46240" ht="26.25" customHeight="1"/>
    <row r="46241" ht="26.25" customHeight="1"/>
    <row r="46242" ht="26.25" customHeight="1"/>
    <row r="46243" ht="26.25" customHeight="1"/>
    <row r="46244" ht="26.25" customHeight="1"/>
    <row r="46245" ht="26.25" customHeight="1"/>
    <row r="46246" ht="26.25" customHeight="1"/>
    <row r="46247" ht="26.25" customHeight="1"/>
    <row r="46248" ht="26.25" customHeight="1"/>
    <row r="46249" ht="26.25" customHeight="1"/>
    <row r="46250" ht="26.25" customHeight="1"/>
    <row r="46251" ht="26.25" customHeight="1"/>
    <row r="46252" ht="26.25" customHeight="1"/>
    <row r="46253" ht="26.25" customHeight="1"/>
    <row r="46254" ht="26.25" customHeight="1"/>
    <row r="46255" ht="26.25" customHeight="1"/>
    <row r="46256" ht="26.25" customHeight="1"/>
    <row r="46257" ht="26.25" customHeight="1"/>
    <row r="46258" ht="26.25" customHeight="1"/>
    <row r="46259" ht="26.25" customHeight="1"/>
    <row r="46260" ht="26.25" customHeight="1"/>
    <row r="46261" ht="26.25" customHeight="1"/>
    <row r="46262" ht="26.25" customHeight="1"/>
    <row r="46263" ht="26.25" customHeight="1"/>
    <row r="46264" ht="26.25" customHeight="1"/>
    <row r="46265" ht="26.25" customHeight="1"/>
    <row r="46266" ht="26.25" customHeight="1"/>
    <row r="46267" ht="26.25" customHeight="1"/>
    <row r="46268" ht="26.25" customHeight="1"/>
    <row r="46269" ht="26.25" customHeight="1"/>
    <row r="46270" ht="26.25" customHeight="1"/>
    <row r="46271" ht="26.25" customHeight="1"/>
    <row r="46272" ht="26.25" customHeight="1"/>
    <row r="46273" ht="26.25" customHeight="1"/>
    <row r="46274" ht="26.25" customHeight="1"/>
    <row r="46275" ht="26.25" customHeight="1"/>
    <row r="46276" ht="26.25" customHeight="1"/>
    <row r="46277" ht="26.25" customHeight="1"/>
    <row r="46278" ht="26.25" customHeight="1"/>
    <row r="46279" ht="26.25" customHeight="1"/>
    <row r="46280" ht="26.25" customHeight="1"/>
    <row r="46281" ht="26.25" customHeight="1"/>
    <row r="46282" ht="26.25" customHeight="1"/>
    <row r="46283" ht="26.25" customHeight="1"/>
    <row r="46284" ht="26.25" customHeight="1"/>
    <row r="46285" ht="26.25" customHeight="1"/>
    <row r="46286" ht="26.25" customHeight="1"/>
    <row r="46287" ht="26.25" customHeight="1"/>
    <row r="46288" ht="26.25" customHeight="1"/>
    <row r="46289" ht="26.25" customHeight="1"/>
    <row r="46290" ht="26.25" customHeight="1"/>
    <row r="46291" ht="26.25" customHeight="1"/>
    <row r="46292" ht="26.25" customHeight="1"/>
    <row r="46293" ht="26.25" customHeight="1"/>
    <row r="46294" ht="26.25" customHeight="1"/>
    <row r="46295" ht="26.25" customHeight="1"/>
    <row r="46296" ht="26.25" customHeight="1"/>
    <row r="46297" ht="26.25" customHeight="1"/>
    <row r="46298" ht="26.25" customHeight="1"/>
    <row r="46299" ht="26.25" customHeight="1"/>
    <row r="46300" ht="26.25" customHeight="1"/>
    <row r="46301" ht="26.25" customHeight="1"/>
    <row r="46302" ht="26.25" customHeight="1"/>
    <row r="46303" ht="26.25" customHeight="1"/>
    <row r="46304" ht="26.25" customHeight="1"/>
    <row r="46305" ht="26.25" customHeight="1"/>
    <row r="46306" ht="26.25" customHeight="1"/>
    <row r="46307" ht="26.25" customHeight="1"/>
    <row r="46308" ht="26.25" customHeight="1"/>
    <row r="46309" ht="26.25" customHeight="1"/>
    <row r="46310" ht="26.25" customHeight="1"/>
    <row r="46311" ht="26.25" customHeight="1"/>
    <row r="46312" ht="26.25" customHeight="1"/>
    <row r="46313" ht="26.25" customHeight="1"/>
    <row r="46314" ht="26.25" customHeight="1"/>
    <row r="46315" ht="26.25" customHeight="1"/>
    <row r="46316" ht="26.25" customHeight="1"/>
    <row r="46317" ht="26.25" customHeight="1"/>
    <row r="46318" ht="26.25" customHeight="1"/>
    <row r="46319" ht="26.25" customHeight="1"/>
    <row r="46320" ht="26.25" customHeight="1"/>
    <row r="46321" ht="26.25" customHeight="1"/>
    <row r="46322" ht="26.25" customHeight="1"/>
    <row r="46323" ht="26.25" customHeight="1"/>
    <row r="46324" ht="26.25" customHeight="1"/>
    <row r="46325" ht="26.25" customHeight="1"/>
    <row r="46326" ht="26.25" customHeight="1"/>
    <row r="46327" ht="26.25" customHeight="1"/>
    <row r="46328" ht="26.25" customHeight="1"/>
    <row r="46329" ht="26.25" customHeight="1"/>
    <row r="46330" ht="26.25" customHeight="1"/>
    <row r="46331" ht="26.25" customHeight="1"/>
    <row r="46332" ht="26.25" customHeight="1"/>
    <row r="46333" ht="26.25" customHeight="1"/>
    <row r="46334" ht="26.25" customHeight="1"/>
    <row r="46335" ht="26.25" customHeight="1"/>
    <row r="46336" ht="26.25" customHeight="1"/>
    <row r="46337" ht="26.25" customHeight="1"/>
    <row r="46338" ht="26.25" customHeight="1"/>
    <row r="46339" ht="26.25" customHeight="1"/>
    <row r="46340" ht="26.25" customHeight="1"/>
    <row r="46341" ht="26.25" customHeight="1"/>
    <row r="46342" ht="26.25" customHeight="1"/>
    <row r="46343" ht="26.25" customHeight="1"/>
    <row r="46344" ht="26.25" customHeight="1"/>
    <row r="46345" ht="26.25" customHeight="1"/>
    <row r="46346" ht="26.25" customHeight="1"/>
    <row r="46347" ht="26.25" customHeight="1"/>
    <row r="46348" ht="26.25" customHeight="1"/>
    <row r="46349" ht="26.25" customHeight="1"/>
    <row r="46350" ht="26.25" customHeight="1"/>
    <row r="46351" ht="26.25" customHeight="1"/>
    <row r="46352" ht="26.25" customHeight="1"/>
    <row r="46353" ht="26.25" customHeight="1"/>
    <row r="46354" ht="26.25" customHeight="1"/>
    <row r="46355" ht="26.25" customHeight="1"/>
    <row r="46356" ht="26.25" customHeight="1"/>
    <row r="46357" ht="26.25" customHeight="1"/>
    <row r="46358" ht="26.25" customHeight="1"/>
    <row r="46359" ht="26.25" customHeight="1"/>
    <row r="46360" ht="26.25" customHeight="1"/>
    <row r="46361" ht="26.25" customHeight="1"/>
    <row r="46362" ht="26.25" customHeight="1"/>
    <row r="46363" ht="26.25" customHeight="1"/>
    <row r="46364" ht="26.25" customHeight="1"/>
    <row r="46365" ht="26.25" customHeight="1"/>
    <row r="46366" ht="26.25" customHeight="1"/>
    <row r="46367" ht="26.25" customHeight="1"/>
    <row r="46368" ht="26.25" customHeight="1"/>
    <row r="46369" ht="26.25" customHeight="1"/>
    <row r="46370" ht="26.25" customHeight="1"/>
    <row r="46371" ht="26.25" customHeight="1"/>
    <row r="46372" ht="26.25" customHeight="1"/>
    <row r="46373" ht="26.25" customHeight="1"/>
    <row r="46374" ht="26.25" customHeight="1"/>
    <row r="46375" ht="26.25" customHeight="1"/>
    <row r="46376" ht="26.25" customHeight="1"/>
    <row r="46377" ht="26.25" customHeight="1"/>
    <row r="46378" ht="26.25" customHeight="1"/>
    <row r="46379" ht="26.25" customHeight="1"/>
    <row r="46380" ht="26.25" customHeight="1"/>
    <row r="46381" ht="26.25" customHeight="1"/>
    <row r="46382" ht="26.25" customHeight="1"/>
    <row r="46383" ht="26.25" customHeight="1"/>
    <row r="46384" ht="26.25" customHeight="1"/>
    <row r="46385" ht="26.25" customHeight="1"/>
    <row r="46386" ht="26.25" customHeight="1"/>
    <row r="46387" ht="26.25" customHeight="1"/>
    <row r="46388" ht="26.25" customHeight="1"/>
    <row r="46389" ht="26.25" customHeight="1"/>
    <row r="46390" ht="26.25" customHeight="1"/>
    <row r="46391" ht="26.25" customHeight="1"/>
    <row r="46392" ht="26.25" customHeight="1"/>
    <row r="46393" ht="26.25" customHeight="1"/>
    <row r="46394" ht="26.25" customHeight="1"/>
    <row r="46395" ht="26.25" customHeight="1"/>
    <row r="46396" ht="26.25" customHeight="1"/>
    <row r="46397" ht="26.25" customHeight="1"/>
    <row r="46398" ht="26.25" customHeight="1"/>
    <row r="46399" ht="26.25" customHeight="1"/>
    <row r="46400" ht="26.25" customHeight="1"/>
    <row r="46401" ht="26.25" customHeight="1"/>
    <row r="46402" ht="26.25" customHeight="1"/>
    <row r="46403" ht="26.25" customHeight="1"/>
    <row r="46404" ht="26.25" customHeight="1"/>
    <row r="46405" ht="26.25" customHeight="1"/>
    <row r="46406" ht="26.25" customHeight="1"/>
    <row r="46407" ht="26.25" customHeight="1"/>
    <row r="46408" ht="26.25" customHeight="1"/>
    <row r="46409" ht="26.25" customHeight="1"/>
    <row r="46410" ht="26.25" customHeight="1"/>
    <row r="46411" ht="26.25" customHeight="1"/>
    <row r="46412" ht="26.25" customHeight="1"/>
    <row r="46413" ht="26.25" customHeight="1"/>
    <row r="46414" ht="26.25" customHeight="1"/>
    <row r="46415" ht="26.25" customHeight="1"/>
    <row r="46416" ht="26.25" customHeight="1"/>
    <row r="46417" ht="26.25" customHeight="1"/>
    <row r="46418" ht="26.25" customHeight="1"/>
    <row r="46419" ht="26.25" customHeight="1"/>
    <row r="46420" ht="26.25" customHeight="1"/>
    <row r="46421" ht="26.25" customHeight="1"/>
    <row r="46422" ht="26.25" customHeight="1"/>
    <row r="46423" ht="26.25" customHeight="1"/>
    <row r="46424" ht="26.25" customHeight="1"/>
    <row r="46425" ht="26.25" customHeight="1"/>
    <row r="46426" ht="26.25" customHeight="1"/>
    <row r="46427" ht="26.25" customHeight="1"/>
    <row r="46428" ht="26.25" customHeight="1"/>
    <row r="46429" ht="26.25" customHeight="1"/>
    <row r="46430" ht="26.25" customHeight="1"/>
    <row r="46431" ht="26.25" customHeight="1"/>
    <row r="46432" ht="26.25" customHeight="1"/>
    <row r="46433" ht="26.25" customHeight="1"/>
    <row r="46434" ht="26.25" customHeight="1"/>
    <row r="46435" ht="26.25" customHeight="1"/>
    <row r="46436" ht="26.25" customHeight="1"/>
    <row r="46437" ht="26.25" customHeight="1"/>
    <row r="46438" ht="26.25" customHeight="1"/>
    <row r="46439" ht="26.25" customHeight="1"/>
    <row r="46440" ht="26.25" customHeight="1"/>
    <row r="46441" ht="26.25" customHeight="1"/>
    <row r="46442" ht="26.25" customHeight="1"/>
    <row r="46443" ht="26.25" customHeight="1"/>
    <row r="46444" ht="26.25" customHeight="1"/>
    <row r="46445" ht="26.25" customHeight="1"/>
    <row r="46446" ht="26.25" customHeight="1"/>
    <row r="46447" ht="26.25" customHeight="1"/>
    <row r="46448" ht="26.25" customHeight="1"/>
    <row r="46449" ht="26.25" customHeight="1"/>
    <row r="46450" ht="26.25" customHeight="1"/>
    <row r="46451" ht="26.25" customHeight="1"/>
    <row r="46452" ht="26.25" customHeight="1"/>
    <row r="46453" ht="26.25" customHeight="1"/>
    <row r="46454" ht="26.25" customHeight="1"/>
    <row r="46455" ht="26.25" customHeight="1"/>
    <row r="46456" ht="26.25" customHeight="1"/>
    <row r="46457" ht="26.25" customHeight="1"/>
    <row r="46458" ht="26.25" customHeight="1"/>
    <row r="46459" ht="26.25" customHeight="1"/>
    <row r="46460" ht="26.25" customHeight="1"/>
    <row r="46461" ht="26.25" customHeight="1"/>
    <row r="46462" ht="26.25" customHeight="1"/>
    <row r="46463" ht="26.25" customHeight="1"/>
    <row r="46464" ht="26.25" customHeight="1"/>
    <row r="46465" ht="26.25" customHeight="1"/>
    <row r="46466" ht="26.25" customHeight="1"/>
    <row r="46467" ht="26.25" customHeight="1"/>
    <row r="46468" ht="26.25" customHeight="1"/>
    <row r="46469" ht="26.25" customHeight="1"/>
    <row r="46470" ht="26.25" customHeight="1"/>
    <row r="46471" ht="26.25" customHeight="1"/>
    <row r="46472" ht="26.25" customHeight="1"/>
    <row r="46473" ht="26.25" customHeight="1"/>
    <row r="46474" ht="26.25" customHeight="1"/>
    <row r="46475" ht="26.25" customHeight="1"/>
    <row r="46476" ht="26.25" customHeight="1"/>
    <row r="46477" ht="26.25" customHeight="1"/>
    <row r="46478" ht="26.25" customHeight="1"/>
    <row r="46479" ht="26.25" customHeight="1"/>
    <row r="46480" ht="26.25" customHeight="1"/>
    <row r="46481" ht="26.25" customHeight="1"/>
    <row r="46482" ht="26.25" customHeight="1"/>
    <row r="46483" ht="26.25" customHeight="1"/>
    <row r="46484" ht="26.25" customHeight="1"/>
    <row r="46485" ht="26.25" customHeight="1"/>
    <row r="46486" ht="26.25" customHeight="1"/>
    <row r="46487" ht="26.25" customHeight="1"/>
    <row r="46488" ht="26.25" customHeight="1"/>
    <row r="46489" ht="26.25" customHeight="1"/>
    <row r="46490" ht="26.25" customHeight="1"/>
    <row r="46491" ht="26.25" customHeight="1"/>
    <row r="46492" ht="26.25" customHeight="1"/>
    <row r="46493" ht="26.25" customHeight="1"/>
    <row r="46494" ht="26.25" customHeight="1"/>
    <row r="46495" ht="26.25" customHeight="1"/>
    <row r="46496" ht="26.25" customHeight="1"/>
    <row r="46497" ht="26.25" customHeight="1"/>
    <row r="46498" ht="26.25" customHeight="1"/>
    <row r="46499" ht="26.25" customHeight="1"/>
    <row r="46500" ht="26.25" customHeight="1"/>
    <row r="46501" ht="26.25" customHeight="1"/>
    <row r="46502" ht="26.25" customHeight="1"/>
    <row r="46503" ht="26.25" customHeight="1"/>
    <row r="46504" ht="26.25" customHeight="1"/>
    <row r="46505" ht="26.25" customHeight="1"/>
    <row r="46506" ht="26.25" customHeight="1"/>
    <row r="46507" ht="26.25" customHeight="1"/>
    <row r="46508" ht="26.25" customHeight="1"/>
    <row r="46509" ht="26.25" customHeight="1"/>
    <row r="46510" ht="26.25" customHeight="1"/>
    <row r="46511" ht="26.25" customHeight="1"/>
    <row r="46512" ht="26.25" customHeight="1"/>
    <row r="46513" ht="26.25" customHeight="1"/>
    <row r="46514" ht="26.25" customHeight="1"/>
    <row r="46515" ht="26.25" customHeight="1"/>
    <row r="46516" ht="26.25" customHeight="1"/>
    <row r="46517" ht="26.25" customHeight="1"/>
    <row r="46518" ht="26.25" customHeight="1"/>
    <row r="46519" ht="26.25" customHeight="1"/>
    <row r="46520" ht="26.25" customHeight="1"/>
    <row r="46521" ht="26.25" customHeight="1"/>
    <row r="46522" ht="26.25" customHeight="1"/>
    <row r="46523" ht="26.25" customHeight="1"/>
    <row r="46524" ht="26.25" customHeight="1"/>
    <row r="46525" ht="26.25" customHeight="1"/>
    <row r="46526" ht="26.25" customHeight="1"/>
    <row r="46527" ht="26.25" customHeight="1"/>
    <row r="46528" ht="26.25" customHeight="1"/>
    <row r="46529" ht="26.25" customHeight="1"/>
    <row r="46530" ht="26.25" customHeight="1"/>
    <row r="46531" ht="26.25" customHeight="1"/>
    <row r="46532" ht="26.25" customHeight="1"/>
    <row r="46533" ht="26.25" customHeight="1"/>
    <row r="46534" ht="26.25" customHeight="1"/>
    <row r="46535" ht="26.25" customHeight="1"/>
    <row r="46536" ht="26.25" customHeight="1"/>
    <row r="46537" ht="26.25" customHeight="1"/>
    <row r="46538" ht="26.25" customHeight="1"/>
    <row r="46539" ht="26.25" customHeight="1"/>
    <row r="46540" ht="26.25" customHeight="1"/>
    <row r="46541" ht="26.25" customHeight="1"/>
    <row r="46542" ht="26.25" customHeight="1"/>
    <row r="46543" ht="26.25" customHeight="1"/>
    <row r="46544" ht="26.25" customHeight="1"/>
    <row r="46545" ht="26.25" customHeight="1"/>
    <row r="46546" ht="26.25" customHeight="1"/>
    <row r="46547" ht="26.25" customHeight="1"/>
    <row r="46548" ht="26.25" customHeight="1"/>
    <row r="46549" ht="26.25" customHeight="1"/>
    <row r="46550" ht="26.25" customHeight="1"/>
    <row r="46551" ht="26.25" customHeight="1"/>
    <row r="46552" ht="26.25" customHeight="1"/>
    <row r="46553" ht="26.25" customHeight="1"/>
    <row r="46554" ht="26.25" customHeight="1"/>
    <row r="46555" ht="26.25" customHeight="1"/>
    <row r="46556" ht="26.25" customHeight="1"/>
    <row r="46557" ht="26.25" customHeight="1"/>
    <row r="46558" ht="26.25" customHeight="1"/>
    <row r="46559" ht="26.25" customHeight="1"/>
    <row r="46560" ht="26.25" customHeight="1"/>
    <row r="46561" ht="26.25" customHeight="1"/>
    <row r="46562" ht="26.25" customHeight="1"/>
    <row r="46563" ht="26.25" customHeight="1"/>
    <row r="46564" ht="26.25" customHeight="1"/>
    <row r="46565" ht="26.25" customHeight="1"/>
    <row r="46566" ht="26.25" customHeight="1"/>
    <row r="46567" ht="26.25" customHeight="1"/>
    <row r="46568" ht="26.25" customHeight="1"/>
    <row r="46569" ht="26.25" customHeight="1"/>
    <row r="46570" ht="26.25" customHeight="1"/>
    <row r="46571" ht="26.25" customHeight="1"/>
    <row r="46572" ht="26.25" customHeight="1"/>
    <row r="46573" ht="26.25" customHeight="1"/>
    <row r="46574" ht="26.25" customHeight="1"/>
    <row r="46575" ht="26.25" customHeight="1"/>
    <row r="46576" ht="26.25" customHeight="1"/>
    <row r="46577" ht="26.25" customHeight="1"/>
    <row r="46578" ht="26.25" customHeight="1"/>
    <row r="46579" ht="26.25" customHeight="1"/>
    <row r="46580" ht="26.25" customHeight="1"/>
    <row r="46581" ht="26.25" customHeight="1"/>
    <row r="46582" ht="26.25" customHeight="1"/>
    <row r="46583" ht="26.25" customHeight="1"/>
    <row r="46584" ht="26.25" customHeight="1"/>
    <row r="46585" ht="26.25" customHeight="1"/>
    <row r="46586" ht="26.25" customHeight="1"/>
    <row r="46587" ht="26.25" customHeight="1"/>
    <row r="46588" ht="26.25" customHeight="1"/>
    <row r="46589" ht="26.25" customHeight="1"/>
    <row r="46590" ht="26.25" customHeight="1"/>
    <row r="46591" ht="26.25" customHeight="1"/>
    <row r="46592" ht="26.25" customHeight="1"/>
    <row r="46593" ht="26.25" customHeight="1"/>
    <row r="46594" ht="26.25" customHeight="1"/>
    <row r="46595" ht="26.25" customHeight="1"/>
    <row r="46596" ht="26.25" customHeight="1"/>
    <row r="46597" ht="26.25" customHeight="1"/>
    <row r="46598" ht="26.25" customHeight="1"/>
    <row r="46599" ht="26.25" customHeight="1"/>
    <row r="46600" ht="26.25" customHeight="1"/>
    <row r="46601" ht="26.25" customHeight="1"/>
    <row r="46602" ht="26.25" customHeight="1"/>
    <row r="46603" ht="26.25" customHeight="1"/>
    <row r="46604" ht="26.25" customHeight="1"/>
    <row r="46605" ht="26.25" customHeight="1"/>
    <row r="46606" ht="26.25" customHeight="1"/>
    <row r="46607" ht="26.25" customHeight="1"/>
    <row r="46608" ht="26.25" customHeight="1"/>
    <row r="46609" ht="26.25" customHeight="1"/>
    <row r="46610" ht="26.25" customHeight="1"/>
    <row r="46611" ht="26.25" customHeight="1"/>
    <row r="46612" ht="26.25" customHeight="1"/>
    <row r="46613" ht="26.25" customHeight="1"/>
    <row r="46614" ht="26.25" customHeight="1"/>
    <row r="46615" ht="26.25" customHeight="1"/>
    <row r="46616" ht="26.25" customHeight="1"/>
    <row r="46617" ht="26.25" customHeight="1"/>
    <row r="46618" ht="26.25" customHeight="1"/>
    <row r="46619" ht="26.25" customHeight="1"/>
    <row r="46620" ht="26.25" customHeight="1"/>
    <row r="46621" ht="26.25" customHeight="1"/>
    <row r="46622" ht="26.25" customHeight="1"/>
    <row r="46623" ht="26.25" customHeight="1"/>
    <row r="46624" ht="26.25" customHeight="1"/>
    <row r="46625" ht="26.25" customHeight="1"/>
    <row r="46626" ht="26.25" customHeight="1"/>
    <row r="46627" ht="26.25" customHeight="1"/>
    <row r="46628" ht="26.25" customHeight="1"/>
    <row r="46629" ht="26.25" customHeight="1"/>
    <row r="46630" ht="26.25" customHeight="1"/>
    <row r="46631" ht="26.25" customHeight="1"/>
    <row r="46632" ht="26.25" customHeight="1"/>
    <row r="46633" ht="26.25" customHeight="1"/>
    <row r="46634" ht="26.25" customHeight="1"/>
    <row r="46635" ht="26.25" customHeight="1"/>
    <row r="46636" ht="26.25" customHeight="1"/>
    <row r="46637" ht="26.25" customHeight="1"/>
    <row r="46638" ht="26.25" customHeight="1"/>
    <row r="46639" ht="26.25" customHeight="1"/>
    <row r="46640" ht="26.25" customHeight="1"/>
    <row r="46641" ht="26.25" customHeight="1"/>
    <row r="46642" ht="26.25" customHeight="1"/>
    <row r="46643" ht="26.25" customHeight="1"/>
    <row r="46644" ht="26.25" customHeight="1"/>
    <row r="46645" ht="26.25" customHeight="1"/>
    <row r="46646" ht="26.25" customHeight="1"/>
    <row r="46647" ht="26.25" customHeight="1"/>
    <row r="46648" ht="26.25" customHeight="1"/>
    <row r="46649" ht="26.25" customHeight="1"/>
    <row r="46650" ht="26.25" customHeight="1"/>
    <row r="46651" ht="26.25" customHeight="1"/>
    <row r="46652" ht="26.25" customHeight="1"/>
    <row r="46653" ht="26.25" customHeight="1"/>
    <row r="46654" ht="26.25" customHeight="1"/>
    <row r="46655" ht="26.25" customHeight="1"/>
    <row r="46656" ht="26.25" customHeight="1"/>
    <row r="46657" ht="26.25" customHeight="1"/>
    <row r="46658" ht="26.25" customHeight="1"/>
    <row r="46659" ht="26.25" customHeight="1"/>
    <row r="46660" ht="26.25" customHeight="1"/>
    <row r="46661" ht="26.25" customHeight="1"/>
    <row r="46662" ht="26.25" customHeight="1"/>
    <row r="46663" ht="26.25" customHeight="1"/>
    <row r="46664" ht="26.25" customHeight="1"/>
    <row r="46665" ht="26.25" customHeight="1"/>
    <row r="46666" ht="26.25" customHeight="1"/>
    <row r="46667" ht="26.25" customHeight="1"/>
    <row r="46668" ht="26.25" customHeight="1"/>
    <row r="46669" ht="26.25" customHeight="1"/>
    <row r="46670" ht="26.25" customHeight="1"/>
    <row r="46671" ht="26.25" customHeight="1"/>
    <row r="46672" ht="26.25" customHeight="1"/>
    <row r="46673" ht="26.25" customHeight="1"/>
    <row r="46674" ht="26.25" customHeight="1"/>
    <row r="46675" ht="26.25" customHeight="1"/>
    <row r="46676" ht="26.25" customHeight="1"/>
    <row r="46677" ht="26.25" customHeight="1"/>
    <row r="46678" ht="26.25" customHeight="1"/>
    <row r="46679" ht="26.25" customHeight="1"/>
    <row r="46680" ht="26.25" customHeight="1"/>
    <row r="46681" ht="26.25" customHeight="1"/>
    <row r="46682" ht="26.25" customHeight="1"/>
    <row r="46683" ht="26.25" customHeight="1"/>
    <row r="46684" ht="26.25" customHeight="1"/>
    <row r="46685" ht="26.25" customHeight="1"/>
    <row r="46686" ht="26.25" customHeight="1"/>
    <row r="46687" ht="26.25" customHeight="1"/>
    <row r="46688" ht="26.25" customHeight="1"/>
    <row r="46689" ht="26.25" customHeight="1"/>
    <row r="46690" ht="26.25" customHeight="1"/>
    <row r="46691" ht="26.25" customHeight="1"/>
    <row r="46692" ht="26.25" customHeight="1"/>
    <row r="46693" ht="26.25" customHeight="1"/>
    <row r="46694" ht="26.25" customHeight="1"/>
    <row r="46695" ht="26.25" customHeight="1"/>
    <row r="46696" ht="26.25" customHeight="1"/>
    <row r="46697" ht="26.25" customHeight="1"/>
    <row r="46698" ht="26.25" customHeight="1"/>
    <row r="46699" ht="26.25" customHeight="1"/>
    <row r="46700" ht="26.25" customHeight="1"/>
    <row r="46701" ht="26.25" customHeight="1"/>
    <row r="46702" ht="26.25" customHeight="1"/>
    <row r="46703" ht="26.25" customHeight="1"/>
    <row r="46704" ht="26.25" customHeight="1"/>
    <row r="46705" ht="26.25" customHeight="1"/>
    <row r="46706" ht="26.25" customHeight="1"/>
    <row r="46707" ht="26.25" customHeight="1"/>
    <row r="46708" ht="26.25" customHeight="1"/>
    <row r="46709" ht="26.25" customHeight="1"/>
    <row r="46710" ht="26.25" customHeight="1"/>
    <row r="46711" ht="26.25" customHeight="1"/>
    <row r="46712" ht="26.25" customHeight="1"/>
    <row r="46713" ht="26.25" customHeight="1"/>
    <row r="46714" ht="26.25" customHeight="1"/>
    <row r="46715" ht="26.25" customHeight="1"/>
    <row r="46716" ht="26.25" customHeight="1"/>
    <row r="46717" ht="26.25" customHeight="1"/>
    <row r="46718" ht="26.25" customHeight="1"/>
    <row r="46719" ht="26.25" customHeight="1"/>
    <row r="46720" ht="26.25" customHeight="1"/>
    <row r="46721" ht="26.25" customHeight="1"/>
    <row r="46722" ht="26.25" customHeight="1"/>
    <row r="46723" ht="26.25" customHeight="1"/>
    <row r="46724" ht="26.25" customHeight="1"/>
    <row r="46725" ht="26.25" customHeight="1"/>
    <row r="46726" ht="26.25" customHeight="1"/>
    <row r="46727" ht="26.25" customHeight="1"/>
    <row r="46728" ht="26.25" customHeight="1"/>
    <row r="46729" ht="26.25" customHeight="1"/>
    <row r="46730" ht="26.25" customHeight="1"/>
    <row r="46731" ht="26.25" customHeight="1"/>
    <row r="46732" ht="26.25" customHeight="1"/>
    <row r="46733" ht="26.25" customHeight="1"/>
    <row r="46734" ht="26.25" customHeight="1"/>
    <row r="46735" ht="26.25" customHeight="1"/>
    <row r="46736" ht="26.25" customHeight="1"/>
    <row r="46737" ht="26.25" customHeight="1"/>
    <row r="46738" ht="26.25" customHeight="1"/>
    <row r="46739" ht="26.25" customHeight="1"/>
    <row r="46740" ht="26.25" customHeight="1"/>
    <row r="46741" ht="26.25" customHeight="1"/>
    <row r="46742" ht="26.25" customHeight="1"/>
    <row r="46743" ht="26.25" customHeight="1"/>
    <row r="46744" ht="26.25" customHeight="1"/>
    <row r="46745" ht="26.25" customHeight="1"/>
    <row r="46746" ht="26.25" customHeight="1"/>
    <row r="46747" ht="26.25" customHeight="1"/>
    <row r="46748" ht="26.25" customHeight="1"/>
    <row r="46749" ht="26.25" customHeight="1"/>
    <row r="46750" ht="26.25" customHeight="1"/>
    <row r="46751" ht="26.25" customHeight="1"/>
    <row r="46752" ht="26.25" customHeight="1"/>
    <row r="46753" ht="26.25" customHeight="1"/>
    <row r="46754" ht="26.25" customHeight="1"/>
    <row r="46755" ht="26.25" customHeight="1"/>
    <row r="46756" ht="26.25" customHeight="1"/>
    <row r="46757" ht="26.25" customHeight="1"/>
    <row r="46758" ht="26.25" customHeight="1"/>
    <row r="46759" ht="26.25" customHeight="1"/>
    <row r="46760" ht="26.25" customHeight="1"/>
    <row r="46761" ht="26.25" customHeight="1"/>
    <row r="46762" ht="26.25" customHeight="1"/>
    <row r="46763" ht="26.25" customHeight="1"/>
    <row r="46764" ht="26.25" customHeight="1"/>
    <row r="46765" ht="26.25" customHeight="1"/>
    <row r="46766" ht="26.25" customHeight="1"/>
    <row r="46767" ht="26.25" customHeight="1"/>
    <row r="46768" ht="26.25" customHeight="1"/>
    <row r="46769" ht="26.25" customHeight="1"/>
    <row r="46770" ht="26.25" customHeight="1"/>
    <row r="46771" ht="26.25" customHeight="1"/>
    <row r="46772" ht="26.25" customHeight="1"/>
    <row r="46773" ht="26.25" customHeight="1"/>
    <row r="46774" ht="26.25" customHeight="1"/>
    <row r="46775" ht="26.25" customHeight="1"/>
    <row r="46776" ht="26.25" customHeight="1"/>
    <row r="46777" ht="26.25" customHeight="1"/>
    <row r="46778" ht="26.25" customHeight="1"/>
    <row r="46779" ht="26.25" customHeight="1"/>
    <row r="46780" ht="26.25" customHeight="1"/>
    <row r="46781" ht="26.25" customHeight="1"/>
    <row r="46782" ht="26.25" customHeight="1"/>
    <row r="46783" ht="26.25" customHeight="1"/>
    <row r="46784" ht="26.25" customHeight="1"/>
    <row r="46785" ht="26.25" customHeight="1"/>
    <row r="46786" ht="26.25" customHeight="1"/>
    <row r="46787" ht="26.25" customHeight="1"/>
    <row r="46788" ht="26.25" customHeight="1"/>
    <row r="46789" ht="26.25" customHeight="1"/>
    <row r="46790" ht="26.25" customHeight="1"/>
    <row r="46791" ht="26.25" customHeight="1"/>
    <row r="46792" ht="26.25" customHeight="1"/>
    <row r="46793" ht="26.25" customHeight="1"/>
    <row r="46794" ht="26.25" customHeight="1"/>
    <row r="46795" ht="26.25" customHeight="1"/>
    <row r="46796" ht="26.25" customHeight="1"/>
    <row r="46797" ht="26.25" customHeight="1"/>
    <row r="46798" ht="26.25" customHeight="1"/>
    <row r="46799" ht="26.25" customHeight="1"/>
    <row r="46800" ht="26.25" customHeight="1"/>
    <row r="46801" ht="26.25" customHeight="1"/>
    <row r="46802" ht="26.25" customHeight="1"/>
    <row r="46803" ht="26.25" customHeight="1"/>
    <row r="46804" ht="26.25" customHeight="1"/>
    <row r="46805" ht="26.25" customHeight="1"/>
    <row r="46806" ht="26.25" customHeight="1"/>
    <row r="46807" ht="26.25" customHeight="1"/>
    <row r="46808" ht="26.25" customHeight="1"/>
    <row r="46809" ht="26.25" customHeight="1"/>
    <row r="46810" ht="26.25" customHeight="1"/>
    <row r="46811" ht="26.25" customHeight="1"/>
    <row r="46812" ht="26.25" customHeight="1"/>
    <row r="46813" ht="26.25" customHeight="1"/>
    <row r="46814" ht="26.25" customHeight="1"/>
    <row r="46815" ht="26.25" customHeight="1"/>
    <row r="46816" ht="26.25" customHeight="1"/>
    <row r="46817" ht="26.25" customHeight="1"/>
    <row r="46818" ht="26.25" customHeight="1"/>
    <row r="46819" ht="26.25" customHeight="1"/>
    <row r="46820" ht="26.25" customHeight="1"/>
    <row r="46821" ht="26.25" customHeight="1"/>
    <row r="46822" ht="26.25" customHeight="1"/>
    <row r="46823" ht="26.25" customHeight="1"/>
    <row r="46824" ht="26.25" customHeight="1"/>
    <row r="46825" ht="26.25" customHeight="1"/>
    <row r="46826" ht="26.25" customHeight="1"/>
    <row r="46827" ht="26.25" customHeight="1"/>
    <row r="46828" ht="26.25" customHeight="1"/>
    <row r="46829" ht="26.25" customHeight="1"/>
    <row r="46830" ht="26.25" customHeight="1"/>
    <row r="46831" ht="26.25" customHeight="1"/>
    <row r="46832" ht="26.25" customHeight="1"/>
    <row r="46833" ht="26.25" customHeight="1"/>
    <row r="46834" ht="26.25" customHeight="1"/>
    <row r="46835" ht="26.25" customHeight="1"/>
    <row r="46836" ht="26.25" customHeight="1"/>
    <row r="46837" ht="26.25" customHeight="1"/>
    <row r="46838" ht="26.25" customHeight="1"/>
    <row r="46839" ht="26.25" customHeight="1"/>
    <row r="46840" ht="26.25" customHeight="1"/>
    <row r="46841" ht="26.25" customHeight="1"/>
    <row r="46842" ht="26.25" customHeight="1"/>
    <row r="46843" ht="26.25" customHeight="1"/>
    <row r="46844" ht="26.25" customHeight="1"/>
    <row r="46845" ht="26.25" customHeight="1"/>
    <row r="46846" ht="26.25" customHeight="1"/>
    <row r="46847" ht="26.25" customHeight="1"/>
    <row r="46848" ht="26.25" customHeight="1"/>
    <row r="46849" ht="26.25" customHeight="1"/>
    <row r="46850" ht="26.25" customHeight="1"/>
    <row r="46851" ht="26.25" customHeight="1"/>
    <row r="46852" ht="26.25" customHeight="1"/>
    <row r="46853" ht="26.25" customHeight="1"/>
    <row r="46854" ht="26.25" customHeight="1"/>
    <row r="46855" ht="26.25" customHeight="1"/>
    <row r="46856" ht="26.25" customHeight="1"/>
    <row r="46857" ht="26.25" customHeight="1"/>
    <row r="46858" ht="26.25" customHeight="1"/>
    <row r="46859" ht="26.25" customHeight="1"/>
    <row r="46860" ht="26.25" customHeight="1"/>
    <row r="46861" ht="26.25" customHeight="1"/>
    <row r="46862" ht="26.25" customHeight="1"/>
    <row r="46863" ht="26.25" customHeight="1"/>
    <row r="46864" ht="26.25" customHeight="1"/>
    <row r="46865" ht="26.25" customHeight="1"/>
    <row r="46866" ht="26.25" customHeight="1"/>
    <row r="46867" ht="26.25" customHeight="1"/>
    <row r="46868" ht="26.25" customHeight="1"/>
    <row r="46869" ht="26.25" customHeight="1"/>
    <row r="46870" ht="26.25" customHeight="1"/>
    <row r="46871" ht="26.25" customHeight="1"/>
    <row r="46872" ht="26.25" customHeight="1"/>
    <row r="46873" ht="26.25" customHeight="1"/>
    <row r="46874" ht="26.25" customHeight="1"/>
    <row r="46875" ht="26.25" customHeight="1"/>
    <row r="46876" ht="26.25" customHeight="1"/>
    <row r="46877" ht="26.25" customHeight="1"/>
    <row r="46878" ht="26.25" customHeight="1"/>
    <row r="46879" ht="26.25" customHeight="1"/>
    <row r="46880" ht="26.25" customHeight="1"/>
    <row r="46881" ht="26.25" customHeight="1"/>
    <row r="46882" ht="26.25" customHeight="1"/>
    <row r="46883" ht="26.25" customHeight="1"/>
    <row r="46884" ht="26.25" customHeight="1"/>
    <row r="46885" ht="26.25" customHeight="1"/>
    <row r="46886" ht="26.25" customHeight="1"/>
    <row r="46887" ht="26.25" customHeight="1"/>
    <row r="46888" ht="26.25" customHeight="1"/>
    <row r="46889" ht="26.25" customHeight="1"/>
    <row r="46890" ht="26.25" customHeight="1"/>
    <row r="46891" ht="26.25" customHeight="1"/>
    <row r="46892" ht="26.25" customHeight="1"/>
    <row r="46893" ht="26.25" customHeight="1"/>
    <row r="46894" ht="26.25" customHeight="1"/>
    <row r="46895" ht="26.25" customHeight="1"/>
    <row r="46896" ht="26.25" customHeight="1"/>
    <row r="46897" ht="26.25" customHeight="1"/>
    <row r="46898" ht="26.25" customHeight="1"/>
    <row r="46899" ht="26.25" customHeight="1"/>
    <row r="46900" ht="26.25" customHeight="1"/>
    <row r="46901" ht="26.25" customHeight="1"/>
    <row r="46902" ht="26.25" customHeight="1"/>
    <row r="46903" ht="26.25" customHeight="1"/>
    <row r="46904" ht="26.25" customHeight="1"/>
    <row r="46905" ht="26.25" customHeight="1"/>
    <row r="46906" ht="26.25" customHeight="1"/>
    <row r="46907" ht="26.25" customHeight="1"/>
    <row r="46908" ht="26.25" customHeight="1"/>
    <row r="46909" ht="26.25" customHeight="1"/>
    <row r="46910" ht="26.25" customHeight="1"/>
    <row r="46911" ht="26.25" customHeight="1"/>
    <row r="46912" ht="26.25" customHeight="1"/>
    <row r="46913" ht="26.25" customHeight="1"/>
    <row r="46914" ht="26.25" customHeight="1"/>
    <row r="46915" ht="26.25" customHeight="1"/>
    <row r="46916" ht="26.25" customHeight="1"/>
    <row r="46917" ht="26.25" customHeight="1"/>
    <row r="46918" ht="26.25" customHeight="1"/>
    <row r="46919" ht="26.25" customHeight="1"/>
    <row r="46920" ht="26.25" customHeight="1"/>
    <row r="46921" ht="26.25" customHeight="1"/>
    <row r="46922" ht="26.25" customHeight="1"/>
    <row r="46923" ht="26.25" customHeight="1"/>
    <row r="46924" ht="26.25" customHeight="1"/>
    <row r="46925" ht="26.25" customHeight="1"/>
    <row r="46926" ht="26.25" customHeight="1"/>
    <row r="46927" ht="26.25" customHeight="1"/>
    <row r="46928" ht="26.25" customHeight="1"/>
    <row r="46929" ht="26.25" customHeight="1"/>
    <row r="46930" ht="26.25" customHeight="1"/>
    <row r="46931" ht="26.25" customHeight="1"/>
    <row r="46932" ht="26.25" customHeight="1"/>
    <row r="46933" ht="26.25" customHeight="1"/>
    <row r="46934" ht="26.25" customHeight="1"/>
    <row r="46935" ht="26.25" customHeight="1"/>
    <row r="46936" ht="26.25" customHeight="1"/>
    <row r="46937" ht="26.25" customHeight="1"/>
    <row r="46938" ht="26.25" customHeight="1"/>
    <row r="46939" ht="26.25" customHeight="1"/>
    <row r="46940" ht="26.25" customHeight="1"/>
    <row r="46941" ht="26.25" customHeight="1"/>
    <row r="46942" ht="26.25" customHeight="1"/>
    <row r="46943" ht="26.25" customHeight="1"/>
    <row r="46944" ht="26.25" customHeight="1"/>
    <row r="46945" ht="26.25" customHeight="1"/>
    <row r="46946" ht="26.25" customHeight="1"/>
    <row r="46947" ht="26.25" customHeight="1"/>
    <row r="46948" ht="26.25" customHeight="1"/>
    <row r="46949" ht="26.25" customHeight="1"/>
    <row r="46950" ht="26.25" customHeight="1"/>
    <row r="46951" ht="26.25" customHeight="1"/>
    <row r="46952" ht="26.25" customHeight="1"/>
    <row r="46953" ht="26.25" customHeight="1"/>
    <row r="46954" ht="26.25" customHeight="1"/>
    <row r="46955" ht="26.25" customHeight="1"/>
    <row r="46956" ht="26.25" customHeight="1"/>
    <row r="46957" ht="26.25" customHeight="1"/>
    <row r="46958" ht="26.25" customHeight="1"/>
    <row r="46959" ht="26.25" customHeight="1"/>
    <row r="46960" ht="26.25" customHeight="1"/>
    <row r="46961" ht="26.25" customHeight="1"/>
    <row r="46962" ht="26.25" customHeight="1"/>
    <row r="46963" ht="26.25" customHeight="1"/>
    <row r="46964" ht="26.25" customHeight="1"/>
    <row r="46965" ht="26.25" customHeight="1"/>
    <row r="46966" ht="26.25" customHeight="1"/>
    <row r="46967" ht="26.25" customHeight="1"/>
    <row r="46968" ht="26.25" customHeight="1"/>
    <row r="46969" ht="26.25" customHeight="1"/>
    <row r="46970" ht="26.25" customHeight="1"/>
    <row r="46971" ht="26.25" customHeight="1"/>
    <row r="46972" ht="26.25" customHeight="1"/>
    <row r="46973" ht="26.25" customHeight="1"/>
    <row r="46974" ht="26.25" customHeight="1"/>
    <row r="46975" ht="26.25" customHeight="1"/>
    <row r="46976" ht="26.25" customHeight="1"/>
    <row r="46977" ht="26.25" customHeight="1"/>
    <row r="46978" ht="26.25" customHeight="1"/>
    <row r="46979" ht="26.25" customHeight="1"/>
    <row r="46980" ht="26.25" customHeight="1"/>
    <row r="46981" ht="26.25" customHeight="1"/>
    <row r="46982" ht="26.25" customHeight="1"/>
    <row r="46983" ht="26.25" customHeight="1"/>
    <row r="46984" ht="26.25" customHeight="1"/>
    <row r="46985" ht="26.25" customHeight="1"/>
    <row r="46986" ht="26.25" customHeight="1"/>
    <row r="46987" ht="26.25" customHeight="1"/>
    <row r="46988" ht="26.25" customHeight="1"/>
    <row r="46989" ht="26.25" customHeight="1"/>
    <row r="46990" ht="26.25" customHeight="1"/>
    <row r="46991" ht="26.25" customHeight="1"/>
    <row r="46992" ht="26.25" customHeight="1"/>
    <row r="46993" ht="26.25" customHeight="1"/>
    <row r="46994" ht="26.25" customHeight="1"/>
    <row r="46995" ht="26.25" customHeight="1"/>
    <row r="46996" ht="26.25" customHeight="1"/>
    <row r="46997" ht="26.25" customHeight="1"/>
    <row r="46998" ht="26.25" customHeight="1"/>
    <row r="46999" ht="26.25" customHeight="1"/>
    <row r="47000" ht="26.25" customHeight="1"/>
    <row r="47001" ht="26.25" customHeight="1"/>
    <row r="47002" ht="26.25" customHeight="1"/>
    <row r="47003" ht="26.25" customHeight="1"/>
    <row r="47004" ht="26.25" customHeight="1"/>
    <row r="47005" ht="26.25" customHeight="1"/>
    <row r="47006" ht="26.25" customHeight="1"/>
    <row r="47007" ht="26.25" customHeight="1"/>
    <row r="47008" ht="26.25" customHeight="1"/>
    <row r="47009" ht="26.25" customHeight="1"/>
    <row r="47010" ht="26.25" customHeight="1"/>
    <row r="47011" ht="26.25" customHeight="1"/>
    <row r="47012" ht="26.25" customHeight="1"/>
    <row r="47013" ht="26.25" customHeight="1"/>
    <row r="47014" ht="26.25" customHeight="1"/>
    <row r="47015" ht="26.25" customHeight="1"/>
    <row r="47016" ht="26.25" customHeight="1"/>
    <row r="47017" ht="26.25" customHeight="1"/>
    <row r="47018" ht="26.25" customHeight="1"/>
    <row r="47019" ht="26.25" customHeight="1"/>
    <row r="47020" ht="26.25" customHeight="1"/>
    <row r="47021" ht="26.25" customHeight="1"/>
    <row r="47022" ht="26.25" customHeight="1"/>
    <row r="47023" ht="26.25" customHeight="1"/>
    <row r="47024" ht="26.25" customHeight="1"/>
    <row r="47025" ht="26.25" customHeight="1"/>
    <row r="47026" ht="26.25" customHeight="1"/>
    <row r="47027" ht="26.25" customHeight="1"/>
    <row r="47028" ht="26.25" customHeight="1"/>
    <row r="47029" ht="26.25" customHeight="1"/>
    <row r="47030" ht="26.25" customHeight="1"/>
    <row r="47031" ht="26.25" customHeight="1"/>
    <row r="47032" ht="26.25" customHeight="1"/>
    <row r="47033" ht="26.25" customHeight="1"/>
    <row r="47034" ht="26.25" customHeight="1"/>
    <row r="47035" ht="26.25" customHeight="1"/>
    <row r="47036" ht="26.25" customHeight="1"/>
    <row r="47037" ht="26.25" customHeight="1"/>
    <row r="47038" ht="26.25" customHeight="1"/>
    <row r="47039" ht="26.25" customHeight="1"/>
    <row r="47040" ht="26.25" customHeight="1"/>
    <row r="47041" ht="26.25" customHeight="1"/>
    <row r="47042" ht="26.25" customHeight="1"/>
    <row r="47043" ht="26.25" customHeight="1"/>
    <row r="47044" ht="26.25" customHeight="1"/>
    <row r="47045" ht="26.25" customHeight="1"/>
    <row r="47046" ht="26.25" customHeight="1"/>
    <row r="47047" ht="26.25" customHeight="1"/>
    <row r="47048" ht="26.25" customHeight="1"/>
    <row r="47049" ht="26.25" customHeight="1"/>
    <row r="47050" ht="26.25" customHeight="1"/>
    <row r="47051" ht="26.25" customHeight="1"/>
    <row r="47052" ht="26.25" customHeight="1"/>
    <row r="47053" ht="26.25" customHeight="1"/>
    <row r="47054" ht="26.25" customHeight="1"/>
    <row r="47055" ht="26.25" customHeight="1"/>
    <row r="47056" ht="26.25" customHeight="1"/>
    <row r="47057" ht="26.25" customHeight="1"/>
    <row r="47058" ht="26.25" customHeight="1"/>
    <row r="47059" ht="26.25" customHeight="1"/>
    <row r="47060" ht="26.25" customHeight="1"/>
    <row r="47061" ht="26.25" customHeight="1"/>
    <row r="47062" ht="26.25" customHeight="1"/>
    <row r="47063" ht="26.25" customHeight="1"/>
    <row r="47064" ht="26.25" customHeight="1"/>
    <row r="47065" ht="26.25" customHeight="1"/>
    <row r="47066" ht="26.25" customHeight="1"/>
    <row r="47067" ht="26.25" customHeight="1"/>
    <row r="47068" ht="26.25" customHeight="1"/>
    <row r="47069" ht="26.25" customHeight="1"/>
    <row r="47070" ht="26.25" customHeight="1"/>
    <row r="47071" ht="26.25" customHeight="1"/>
    <row r="47072" ht="26.25" customHeight="1"/>
    <row r="47073" ht="26.25" customHeight="1"/>
    <row r="47074" ht="26.25" customHeight="1"/>
    <row r="47075" ht="26.25" customHeight="1"/>
    <row r="47076" ht="26.25" customHeight="1"/>
    <row r="47077" ht="26.25" customHeight="1"/>
    <row r="47078" ht="26.25" customHeight="1"/>
    <row r="47079" ht="26.25" customHeight="1"/>
    <row r="47080" ht="26.25" customHeight="1"/>
    <row r="47081" ht="26.25" customHeight="1"/>
    <row r="47082" ht="26.25" customHeight="1"/>
    <row r="47083" ht="26.25" customHeight="1"/>
    <row r="47084" ht="26.25" customHeight="1"/>
    <row r="47085" ht="26.25" customHeight="1"/>
    <row r="47086" ht="26.25" customHeight="1"/>
    <row r="47087" ht="26.25" customHeight="1"/>
    <row r="47088" ht="26.25" customHeight="1"/>
    <row r="47089" ht="26.25" customHeight="1"/>
    <row r="47090" ht="26.25" customHeight="1"/>
    <row r="47091" ht="26.25" customHeight="1"/>
    <row r="47092" ht="26.25" customHeight="1"/>
    <row r="47093" ht="26.25" customHeight="1"/>
    <row r="47094" ht="26.25" customHeight="1"/>
    <row r="47095" ht="26.25" customHeight="1"/>
    <row r="47096" ht="26.25" customHeight="1"/>
    <row r="47097" ht="26.25" customHeight="1"/>
    <row r="47098" ht="26.25" customHeight="1"/>
    <row r="47099" ht="26.25" customHeight="1"/>
    <row r="47100" ht="26.25" customHeight="1"/>
    <row r="47101" ht="26.25" customHeight="1"/>
    <row r="47102" ht="26.25" customHeight="1"/>
    <row r="47103" ht="26.25" customHeight="1"/>
    <row r="47104" ht="26.25" customHeight="1"/>
    <row r="47105" ht="26.25" customHeight="1"/>
    <row r="47106" ht="26.25" customHeight="1"/>
    <row r="47107" ht="26.25" customHeight="1"/>
    <row r="47108" ht="26.25" customHeight="1"/>
    <row r="47109" ht="26.25" customHeight="1"/>
    <row r="47110" ht="26.25" customHeight="1"/>
    <row r="47111" ht="26.25" customHeight="1"/>
    <row r="47112" ht="26.25" customHeight="1"/>
    <row r="47113" ht="26.25" customHeight="1"/>
    <row r="47114" ht="26.25" customHeight="1"/>
    <row r="47115" ht="26.25" customHeight="1"/>
    <row r="47116" ht="26.25" customHeight="1"/>
    <row r="47117" ht="26.25" customHeight="1"/>
    <row r="47118" ht="26.25" customHeight="1"/>
    <row r="47119" ht="26.25" customHeight="1"/>
    <row r="47120" ht="26.25" customHeight="1"/>
    <row r="47121" ht="26.25" customHeight="1"/>
    <row r="47122" ht="26.25" customHeight="1"/>
    <row r="47123" ht="26.25" customHeight="1"/>
    <row r="47124" ht="26.25" customHeight="1"/>
    <row r="47125" ht="26.25" customHeight="1"/>
    <row r="47126" ht="26.25" customHeight="1"/>
    <row r="47127" ht="26.25" customHeight="1"/>
    <row r="47128" ht="26.25" customHeight="1"/>
    <row r="47129" ht="26.25" customHeight="1"/>
    <row r="47130" ht="26.25" customHeight="1"/>
    <row r="47131" ht="26.25" customHeight="1"/>
    <row r="47132" ht="26.25" customHeight="1"/>
    <row r="47133" ht="26.25" customHeight="1"/>
    <row r="47134" ht="26.25" customHeight="1"/>
    <row r="47135" ht="26.25" customHeight="1"/>
    <row r="47136" ht="26.25" customHeight="1"/>
    <row r="47137" ht="26.25" customHeight="1"/>
    <row r="47138" ht="26.25" customHeight="1"/>
    <row r="47139" ht="26.25" customHeight="1"/>
    <row r="47140" ht="26.25" customHeight="1"/>
    <row r="47141" ht="26.25" customHeight="1"/>
    <row r="47142" ht="26.25" customHeight="1"/>
    <row r="47143" ht="26.25" customHeight="1"/>
    <row r="47144" ht="26.25" customHeight="1"/>
    <row r="47145" ht="26.25" customHeight="1"/>
    <row r="47146" ht="26.25" customHeight="1"/>
    <row r="47147" ht="26.25" customHeight="1"/>
    <row r="47148" ht="26.25" customHeight="1"/>
    <row r="47149" ht="26.25" customHeight="1"/>
    <row r="47150" ht="26.25" customHeight="1"/>
    <row r="47151" ht="26.25" customHeight="1"/>
    <row r="47152" ht="26.25" customHeight="1"/>
    <row r="47153" ht="26.25" customHeight="1"/>
    <row r="47154" ht="26.25" customHeight="1"/>
    <row r="47155" ht="26.25" customHeight="1"/>
    <row r="47156" ht="26.25" customHeight="1"/>
    <row r="47157" ht="26.25" customHeight="1"/>
    <row r="47158" ht="26.25" customHeight="1"/>
    <row r="47159" ht="26.25" customHeight="1"/>
    <row r="47160" ht="26.25" customHeight="1"/>
    <row r="47161" ht="26.25" customHeight="1"/>
    <row r="47162" ht="26.25" customHeight="1"/>
    <row r="47163" ht="26.25" customHeight="1"/>
    <row r="47164" ht="26.25" customHeight="1"/>
    <row r="47165" ht="26.25" customHeight="1"/>
    <row r="47166" ht="26.25" customHeight="1"/>
    <row r="47167" ht="26.25" customHeight="1"/>
    <row r="47168" ht="26.25" customHeight="1"/>
    <row r="47169" ht="26.25" customHeight="1"/>
    <row r="47170" ht="26.25" customHeight="1"/>
    <row r="47171" ht="26.25" customHeight="1"/>
    <row r="47172" ht="26.25" customHeight="1"/>
    <row r="47173" ht="26.25" customHeight="1"/>
    <row r="47174" ht="26.25" customHeight="1"/>
    <row r="47175" ht="26.25" customHeight="1"/>
    <row r="47176" ht="26.25" customHeight="1"/>
    <row r="47177" ht="26.25" customHeight="1"/>
    <row r="47178" ht="26.25" customHeight="1"/>
    <row r="47179" ht="26.25" customHeight="1"/>
    <row r="47180" ht="26.25" customHeight="1"/>
    <row r="47181" ht="26.25" customHeight="1"/>
    <row r="47182" ht="26.25" customHeight="1"/>
    <row r="47183" ht="26.25" customHeight="1"/>
    <row r="47184" ht="26.25" customHeight="1"/>
    <row r="47185" ht="26.25" customHeight="1"/>
    <row r="47186" ht="26.25" customHeight="1"/>
    <row r="47187" ht="26.25" customHeight="1"/>
    <row r="47188" ht="26.25" customHeight="1"/>
    <row r="47189" ht="26.25" customHeight="1"/>
    <row r="47190" ht="26.25" customHeight="1"/>
    <row r="47191" ht="26.25" customHeight="1"/>
    <row r="47192" ht="26.25" customHeight="1"/>
    <row r="47193" ht="26.25" customHeight="1"/>
    <row r="47194" ht="26.25" customHeight="1"/>
    <row r="47195" ht="26.25" customHeight="1"/>
    <row r="47196" ht="26.25" customHeight="1"/>
    <row r="47197" ht="26.25" customHeight="1"/>
    <row r="47198" ht="26.25" customHeight="1"/>
    <row r="47199" ht="26.25" customHeight="1"/>
    <row r="47200" ht="26.25" customHeight="1"/>
    <row r="47201" ht="26.25" customHeight="1"/>
    <row r="47202" ht="26.25" customHeight="1"/>
    <row r="47203" ht="26.25" customHeight="1"/>
    <row r="47204" ht="26.25" customHeight="1"/>
    <row r="47205" ht="26.25" customHeight="1"/>
    <row r="47206" ht="26.25" customHeight="1"/>
    <row r="47207" ht="26.25" customHeight="1"/>
    <row r="47208" ht="26.25" customHeight="1"/>
    <row r="47209" ht="26.25" customHeight="1"/>
    <row r="47210" ht="26.25" customHeight="1"/>
    <row r="47211" ht="26.25" customHeight="1"/>
    <row r="47212" ht="26.25" customHeight="1"/>
    <row r="47213" ht="26.25" customHeight="1"/>
    <row r="47214" ht="26.25" customHeight="1"/>
    <row r="47215" ht="26.25" customHeight="1"/>
    <row r="47216" ht="26.25" customHeight="1"/>
    <row r="47217" ht="26.25" customHeight="1"/>
    <row r="47218" ht="26.25" customHeight="1"/>
    <row r="47219" ht="26.25" customHeight="1"/>
    <row r="47220" ht="26.25" customHeight="1"/>
    <row r="47221" ht="26.25" customHeight="1"/>
    <row r="47222" ht="26.25" customHeight="1"/>
    <row r="47223" ht="26.25" customHeight="1"/>
    <row r="47224" ht="26.25" customHeight="1"/>
    <row r="47225" ht="26.25" customHeight="1"/>
    <row r="47226" ht="26.25" customHeight="1"/>
    <row r="47227" ht="26.25" customHeight="1"/>
    <row r="47228" ht="26.25" customHeight="1"/>
    <row r="47229" ht="26.25" customHeight="1"/>
    <row r="47230" ht="26.25" customHeight="1"/>
    <row r="47231" ht="26.25" customHeight="1"/>
    <row r="47232" ht="26.25" customHeight="1"/>
    <row r="47233" ht="26.25" customHeight="1"/>
    <row r="47234" ht="26.25" customHeight="1"/>
    <row r="47235" ht="26.25" customHeight="1"/>
    <row r="47236" ht="26.25" customHeight="1"/>
    <row r="47237" ht="26.25" customHeight="1"/>
    <row r="47238" ht="26.25" customHeight="1"/>
    <row r="47239" ht="26.25" customHeight="1"/>
    <row r="47240" ht="26.25" customHeight="1"/>
    <row r="47241" ht="26.25" customHeight="1"/>
    <row r="47242" ht="26.25" customHeight="1"/>
    <row r="47243" ht="26.25" customHeight="1"/>
    <row r="47244" ht="26.25" customHeight="1"/>
    <row r="47245" ht="26.25" customHeight="1"/>
    <row r="47246" ht="26.25" customHeight="1"/>
    <row r="47247" ht="26.25" customHeight="1"/>
    <row r="47248" ht="26.25" customHeight="1"/>
    <row r="47249" ht="26.25" customHeight="1"/>
    <row r="47250" ht="26.25" customHeight="1"/>
    <row r="47251" ht="26.25" customHeight="1"/>
    <row r="47252" ht="26.25" customHeight="1"/>
    <row r="47253" ht="26.25" customHeight="1"/>
    <row r="47254" ht="26.25" customHeight="1"/>
    <row r="47255" ht="26.25" customHeight="1"/>
    <row r="47256" ht="26.25" customHeight="1"/>
    <row r="47257" ht="26.25" customHeight="1"/>
    <row r="47258" ht="26.25" customHeight="1"/>
    <row r="47259" ht="26.25" customHeight="1"/>
    <row r="47260" ht="26.25" customHeight="1"/>
    <row r="47261" ht="26.25" customHeight="1"/>
    <row r="47262" ht="26.25" customHeight="1"/>
    <row r="47263" ht="26.25" customHeight="1"/>
    <row r="47264" ht="26.25" customHeight="1"/>
    <row r="47265" ht="26.25" customHeight="1"/>
    <row r="47266" ht="26.25" customHeight="1"/>
    <row r="47267" ht="26.25" customHeight="1"/>
    <row r="47268" ht="26.25" customHeight="1"/>
    <row r="47269" ht="26.25" customHeight="1"/>
    <row r="47270" ht="26.25" customHeight="1"/>
    <row r="47271" ht="26.25" customHeight="1"/>
    <row r="47272" ht="26.25" customHeight="1"/>
    <row r="47273" ht="26.25" customHeight="1"/>
    <row r="47274" ht="26.25" customHeight="1"/>
    <row r="47275" ht="26.25" customHeight="1"/>
    <row r="47276" ht="26.25" customHeight="1"/>
    <row r="47277" ht="26.25" customHeight="1"/>
    <row r="47278" ht="26.25" customHeight="1"/>
    <row r="47279" ht="26.25" customHeight="1"/>
    <row r="47280" ht="26.25" customHeight="1"/>
    <row r="47281" ht="26.25" customHeight="1"/>
    <row r="47282" ht="26.25" customHeight="1"/>
    <row r="47283" ht="26.25" customHeight="1"/>
    <row r="47284" ht="26.25" customHeight="1"/>
    <row r="47285" ht="26.25" customHeight="1"/>
    <row r="47286" ht="26.25" customHeight="1"/>
    <row r="47287" ht="26.25" customHeight="1"/>
    <row r="47288" ht="26.25" customHeight="1"/>
    <row r="47289" ht="26.25" customHeight="1"/>
    <row r="47290" ht="26.25" customHeight="1"/>
    <row r="47291" ht="26.25" customHeight="1"/>
    <row r="47292" ht="26.25" customHeight="1"/>
    <row r="47293" ht="26.25" customHeight="1"/>
    <row r="47294" ht="26.25" customHeight="1"/>
    <row r="47295" ht="26.25" customHeight="1"/>
    <row r="47296" ht="26.25" customHeight="1"/>
    <row r="47297" ht="26.25" customHeight="1"/>
    <row r="47298" ht="26.25" customHeight="1"/>
    <row r="47299" ht="26.25" customHeight="1"/>
    <row r="47300" ht="26.25" customHeight="1"/>
    <row r="47301" ht="26.25" customHeight="1"/>
    <row r="47302" ht="26.25" customHeight="1"/>
    <row r="47303" ht="26.25" customHeight="1"/>
    <row r="47304" ht="26.25" customHeight="1"/>
    <row r="47305" ht="26.25" customHeight="1"/>
    <row r="47306" ht="26.25" customHeight="1"/>
    <row r="47307" ht="26.25" customHeight="1"/>
    <row r="47308" ht="26.25" customHeight="1"/>
    <row r="47309" ht="26.25" customHeight="1"/>
    <row r="47310" ht="26.25" customHeight="1"/>
    <row r="47311" ht="26.25" customHeight="1"/>
    <row r="47312" ht="26.25" customHeight="1"/>
    <row r="47313" ht="26.25" customHeight="1"/>
    <row r="47314" ht="26.25" customHeight="1"/>
    <row r="47315" ht="26.25" customHeight="1"/>
    <row r="47316" ht="26.25" customHeight="1"/>
    <row r="47317" ht="26.25" customHeight="1"/>
    <row r="47318" ht="26.25" customHeight="1"/>
    <row r="47319" ht="26.25" customHeight="1"/>
    <row r="47320" ht="26.25" customHeight="1"/>
    <row r="47321" ht="26.25" customHeight="1"/>
    <row r="47322" ht="26.25" customHeight="1"/>
    <row r="47323" ht="26.25" customHeight="1"/>
    <row r="47324" ht="26.25" customHeight="1"/>
    <row r="47325" ht="26.25" customHeight="1"/>
    <row r="47326" ht="26.25" customHeight="1"/>
    <row r="47327" ht="26.25" customHeight="1"/>
    <row r="47328" ht="26.25" customHeight="1"/>
    <row r="47329" ht="26.25" customHeight="1"/>
    <row r="47330" ht="26.25" customHeight="1"/>
    <row r="47331" ht="26.25" customHeight="1"/>
    <row r="47332" ht="26.25" customHeight="1"/>
    <row r="47333" ht="26.25" customHeight="1"/>
    <row r="47334" ht="26.25" customHeight="1"/>
    <row r="47335" ht="26.25" customHeight="1"/>
    <row r="47336" ht="26.25" customHeight="1"/>
    <row r="47337" ht="26.25" customHeight="1"/>
    <row r="47338" ht="26.25" customHeight="1"/>
    <row r="47339" ht="26.25" customHeight="1"/>
    <row r="47340" ht="26.25" customHeight="1"/>
    <row r="47341" ht="26.25" customHeight="1"/>
    <row r="47342" ht="26.25" customHeight="1"/>
    <row r="47343" ht="26.25" customHeight="1"/>
    <row r="47344" ht="26.25" customHeight="1"/>
    <row r="47345" ht="26.25" customHeight="1"/>
    <row r="47346" ht="26.25" customHeight="1"/>
    <row r="47347" ht="26.25" customHeight="1"/>
    <row r="47348" ht="26.25" customHeight="1"/>
    <row r="47349" ht="26.25" customHeight="1"/>
    <row r="47350" ht="26.25" customHeight="1"/>
    <row r="47351" ht="26.25" customHeight="1"/>
    <row r="47352" ht="26.25" customHeight="1"/>
    <row r="47353" ht="26.25" customHeight="1"/>
    <row r="47354" ht="26.25" customHeight="1"/>
    <row r="47355" ht="26.25" customHeight="1"/>
    <row r="47356" ht="26.25" customHeight="1"/>
    <row r="47357" ht="26.25" customHeight="1"/>
    <row r="47358" ht="26.25" customHeight="1"/>
    <row r="47359" ht="26.25" customHeight="1"/>
    <row r="47360" ht="26.25" customHeight="1"/>
    <row r="47361" ht="26.25" customHeight="1"/>
    <row r="47362" ht="26.25" customHeight="1"/>
    <row r="47363" ht="26.25" customHeight="1"/>
    <row r="47364" ht="26.25" customHeight="1"/>
    <row r="47365" ht="26.25" customHeight="1"/>
    <row r="47366" ht="26.25" customHeight="1"/>
    <row r="47367" ht="26.25" customHeight="1"/>
    <row r="47368" ht="26.25" customHeight="1"/>
    <row r="47369" ht="26.25" customHeight="1"/>
    <row r="47370" ht="26.25" customHeight="1"/>
    <row r="47371" ht="26.25" customHeight="1"/>
    <row r="47372" ht="26.25" customHeight="1"/>
    <row r="47373" ht="26.25" customHeight="1"/>
    <row r="47374" ht="26.25" customHeight="1"/>
    <row r="47375" ht="26.25" customHeight="1"/>
    <row r="47376" ht="26.25" customHeight="1"/>
    <row r="47377" ht="26.25" customHeight="1"/>
    <row r="47378" ht="26.25" customHeight="1"/>
    <row r="47379" ht="26.25" customHeight="1"/>
    <row r="47380" ht="26.25" customHeight="1"/>
    <row r="47381" ht="26.25" customHeight="1"/>
    <row r="47382" ht="26.25" customHeight="1"/>
    <row r="47383" ht="26.25" customHeight="1"/>
    <row r="47384" ht="26.25" customHeight="1"/>
    <row r="47385" ht="26.25" customHeight="1"/>
    <row r="47386" ht="26.25" customHeight="1"/>
    <row r="47387" ht="26.25" customHeight="1"/>
    <row r="47388" ht="26.25" customHeight="1"/>
    <row r="47389" ht="26.25" customHeight="1"/>
    <row r="47390" ht="26.25" customHeight="1"/>
    <row r="47391" ht="26.25" customHeight="1"/>
    <row r="47392" ht="26.25" customHeight="1"/>
    <row r="47393" ht="26.25" customHeight="1"/>
    <row r="47394" ht="26.25" customHeight="1"/>
    <row r="47395" ht="26.25" customHeight="1"/>
    <row r="47396" ht="26.25" customHeight="1"/>
    <row r="47397" ht="26.25" customHeight="1"/>
    <row r="47398" ht="26.25" customHeight="1"/>
    <row r="47399" ht="26.25" customHeight="1"/>
    <row r="47400" ht="26.25" customHeight="1"/>
    <row r="47401" ht="26.25" customHeight="1"/>
    <row r="47402" ht="26.25" customHeight="1"/>
    <row r="47403" ht="26.25" customHeight="1"/>
    <row r="47404" ht="26.25" customHeight="1"/>
    <row r="47405" ht="26.25" customHeight="1"/>
    <row r="47406" ht="26.25" customHeight="1"/>
    <row r="47407" ht="26.25" customHeight="1"/>
    <row r="47408" ht="26.25" customHeight="1"/>
    <row r="47409" ht="26.25" customHeight="1"/>
    <row r="47410" ht="26.25" customHeight="1"/>
    <row r="47411" ht="26.25" customHeight="1"/>
    <row r="47412" ht="26.25" customHeight="1"/>
    <row r="47413" ht="26.25" customHeight="1"/>
    <row r="47414" ht="26.25" customHeight="1"/>
    <row r="47415" ht="26.25" customHeight="1"/>
    <row r="47416" ht="26.25" customHeight="1"/>
    <row r="47417" ht="26.25" customHeight="1"/>
    <row r="47418" ht="26.25" customHeight="1"/>
    <row r="47419" ht="26.25" customHeight="1"/>
    <row r="47420" ht="26.25" customHeight="1"/>
    <row r="47421" ht="26.25" customHeight="1"/>
    <row r="47422" ht="26.25" customHeight="1"/>
    <row r="47423" ht="26.25" customHeight="1"/>
    <row r="47424" ht="26.25" customHeight="1"/>
    <row r="47425" ht="26.25" customHeight="1"/>
    <row r="47426" ht="26.25" customHeight="1"/>
    <row r="47427" ht="26.25" customHeight="1"/>
    <row r="47428" ht="26.25" customHeight="1"/>
    <row r="47429" ht="26.25" customHeight="1"/>
    <row r="47430" ht="26.25" customHeight="1"/>
    <row r="47431" ht="26.25" customHeight="1"/>
    <row r="47432" ht="26.25" customHeight="1"/>
    <row r="47433" ht="26.25" customHeight="1"/>
    <row r="47434" ht="26.25" customHeight="1"/>
    <row r="47435" ht="26.25" customHeight="1"/>
    <row r="47436" ht="26.25" customHeight="1"/>
    <row r="47437" ht="26.25" customHeight="1"/>
    <row r="47438" ht="26.25" customHeight="1"/>
    <row r="47439" ht="26.25" customHeight="1"/>
    <row r="47440" ht="26.25" customHeight="1"/>
    <row r="47441" ht="26.25" customHeight="1"/>
    <row r="47442" ht="26.25" customHeight="1"/>
    <row r="47443" ht="26.25" customHeight="1"/>
    <row r="47444" ht="26.25" customHeight="1"/>
    <row r="47445" ht="26.25" customHeight="1"/>
    <row r="47446" ht="26.25" customHeight="1"/>
    <row r="47447" ht="26.25" customHeight="1"/>
    <row r="47448" ht="26.25" customHeight="1"/>
    <row r="47449" ht="26.25" customHeight="1"/>
    <row r="47450" ht="26.25" customHeight="1"/>
    <row r="47451" ht="26.25" customHeight="1"/>
    <row r="47452" ht="26.25" customHeight="1"/>
    <row r="47453" ht="26.25" customHeight="1"/>
    <row r="47454" ht="26.25" customHeight="1"/>
    <row r="47455" ht="26.25" customHeight="1"/>
    <row r="47456" ht="26.25" customHeight="1"/>
    <row r="47457" ht="26.25" customHeight="1"/>
    <row r="47458" ht="26.25" customHeight="1"/>
    <row r="47459" ht="26.25" customHeight="1"/>
    <row r="47460" ht="26.25" customHeight="1"/>
    <row r="47461" ht="26.25" customHeight="1"/>
    <row r="47462" ht="26.25" customHeight="1"/>
    <row r="47463" ht="26.25" customHeight="1"/>
    <row r="47464" ht="26.25" customHeight="1"/>
    <row r="47465" ht="26.25" customHeight="1"/>
    <row r="47466" ht="26.25" customHeight="1"/>
    <row r="47467" ht="26.25" customHeight="1"/>
    <row r="47468" ht="26.25" customHeight="1"/>
    <row r="47469" ht="26.25" customHeight="1"/>
    <row r="47470" ht="26.25" customHeight="1"/>
    <row r="47471" ht="26.25" customHeight="1"/>
    <row r="47472" ht="26.25" customHeight="1"/>
    <row r="47473" ht="26.25" customHeight="1"/>
    <row r="47474" ht="26.25" customHeight="1"/>
    <row r="47475" ht="26.25" customHeight="1"/>
    <row r="47476" ht="26.25" customHeight="1"/>
    <row r="47477" ht="26.25" customHeight="1"/>
    <row r="47478" ht="26.25" customHeight="1"/>
    <row r="47479" ht="26.25" customHeight="1"/>
    <row r="47480" ht="26.25" customHeight="1"/>
    <row r="47481" ht="26.25" customHeight="1"/>
    <row r="47482" ht="26.25" customHeight="1"/>
    <row r="47483" ht="26.25" customHeight="1"/>
    <row r="47484" ht="26.25" customHeight="1"/>
    <row r="47485" ht="26.25" customHeight="1"/>
    <row r="47486" ht="26.25" customHeight="1"/>
    <row r="47487" ht="26.25" customHeight="1"/>
    <row r="47488" ht="26.25" customHeight="1"/>
    <row r="47489" ht="26.25" customHeight="1"/>
    <row r="47490" ht="26.25" customHeight="1"/>
    <row r="47491" ht="26.25" customHeight="1"/>
    <row r="47492" ht="26.25" customHeight="1"/>
    <row r="47493" ht="26.25" customHeight="1"/>
    <row r="47494" ht="26.25" customHeight="1"/>
    <row r="47495" ht="26.25" customHeight="1"/>
    <row r="47496" ht="26.25" customHeight="1"/>
    <row r="47497" ht="26.25" customHeight="1"/>
    <row r="47498" ht="26.25" customHeight="1"/>
    <row r="47499" ht="26.25" customHeight="1"/>
    <row r="47500" ht="26.25" customHeight="1"/>
    <row r="47501" ht="26.25" customHeight="1"/>
    <row r="47502" ht="26.25" customHeight="1"/>
    <row r="47503" ht="26.25" customHeight="1"/>
    <row r="47504" ht="26.25" customHeight="1"/>
    <row r="47505" ht="26.25" customHeight="1"/>
    <row r="47506" ht="26.25" customHeight="1"/>
    <row r="47507" ht="26.25" customHeight="1"/>
    <row r="47508" ht="26.25" customHeight="1"/>
    <row r="47509" ht="26.25" customHeight="1"/>
    <row r="47510" ht="26.25" customHeight="1"/>
    <row r="47511" ht="26.25" customHeight="1"/>
    <row r="47512" ht="26.25" customHeight="1"/>
    <row r="47513" ht="26.25" customHeight="1"/>
    <row r="47514" ht="26.25" customHeight="1"/>
    <row r="47515" ht="26.25" customHeight="1"/>
    <row r="47516" ht="26.25" customHeight="1"/>
    <row r="47517" ht="26.25" customHeight="1"/>
    <row r="47518" ht="26.25" customHeight="1"/>
    <row r="47519" ht="26.25" customHeight="1"/>
    <row r="47520" ht="26.25" customHeight="1"/>
    <row r="47521" ht="26.25" customHeight="1"/>
    <row r="47522" ht="26.25" customHeight="1"/>
    <row r="47523" ht="26.25" customHeight="1"/>
    <row r="47524" ht="26.25" customHeight="1"/>
    <row r="47525" ht="26.25" customHeight="1"/>
    <row r="47526" ht="26.25" customHeight="1"/>
    <row r="47527" ht="26.25" customHeight="1"/>
    <row r="47528" ht="26.25" customHeight="1"/>
    <row r="47529" ht="26.25" customHeight="1"/>
    <row r="47530" ht="26.25" customHeight="1"/>
    <row r="47531" ht="26.25" customHeight="1"/>
    <row r="47532" ht="26.25" customHeight="1"/>
    <row r="47533" ht="26.25" customHeight="1"/>
    <row r="47534" ht="26.25" customHeight="1"/>
    <row r="47535" ht="26.25" customHeight="1"/>
    <row r="47536" ht="26.25" customHeight="1"/>
    <row r="47537" ht="26.25" customHeight="1"/>
    <row r="47538" ht="26.25" customHeight="1"/>
    <row r="47539" ht="26.25" customHeight="1"/>
    <row r="47540" ht="26.25" customHeight="1"/>
    <row r="47541" ht="26.25" customHeight="1"/>
    <row r="47542" ht="26.25" customHeight="1"/>
    <row r="47543" ht="26.25" customHeight="1"/>
    <row r="47544" ht="26.25" customHeight="1"/>
    <row r="47545" ht="26.25" customHeight="1"/>
    <row r="47546" ht="26.25" customHeight="1"/>
    <row r="47547" ht="26.25" customHeight="1"/>
    <row r="47548" ht="26.25" customHeight="1"/>
    <row r="47549" ht="26.25" customHeight="1"/>
    <row r="47550" ht="26.25" customHeight="1"/>
    <row r="47551" ht="26.25" customHeight="1"/>
    <row r="47552" ht="26.25" customHeight="1"/>
    <row r="47553" ht="26.25" customHeight="1"/>
    <row r="47554" ht="26.25" customHeight="1"/>
    <row r="47555" ht="26.25" customHeight="1"/>
    <row r="47556" ht="26.25" customHeight="1"/>
    <row r="47557" ht="26.25" customHeight="1"/>
    <row r="47558" ht="26.25" customHeight="1"/>
    <row r="47559" ht="26.25" customHeight="1"/>
    <row r="47560" ht="26.25" customHeight="1"/>
    <row r="47561" ht="26.25" customHeight="1"/>
    <row r="47562" ht="26.25" customHeight="1"/>
    <row r="47563" ht="26.25" customHeight="1"/>
    <row r="47564" ht="26.25" customHeight="1"/>
    <row r="47565" ht="26.25" customHeight="1"/>
    <row r="47566" ht="26.25" customHeight="1"/>
    <row r="47567" ht="26.25" customHeight="1"/>
    <row r="47568" ht="26.25" customHeight="1"/>
    <row r="47569" ht="26.25" customHeight="1"/>
    <row r="47570" ht="26.25" customHeight="1"/>
    <row r="47571" ht="26.25" customHeight="1"/>
    <row r="47572" ht="26.25" customHeight="1"/>
    <row r="47573" ht="26.25" customHeight="1"/>
    <row r="47574" ht="26.25" customHeight="1"/>
    <row r="47575" ht="26.25" customHeight="1"/>
    <row r="47576" ht="26.25" customHeight="1"/>
    <row r="47577" ht="26.25" customHeight="1"/>
    <row r="47578" ht="26.25" customHeight="1"/>
    <row r="47579" ht="26.25" customHeight="1"/>
    <row r="47580" ht="26.25" customHeight="1"/>
    <row r="47581" ht="26.25" customHeight="1"/>
    <row r="47582" ht="26.25" customHeight="1"/>
    <row r="47583" ht="26.25" customHeight="1"/>
    <row r="47584" ht="26.25" customHeight="1"/>
    <row r="47585" ht="26.25" customHeight="1"/>
    <row r="47586" ht="26.25" customHeight="1"/>
    <row r="47587" ht="26.25" customHeight="1"/>
    <row r="47588" ht="26.25" customHeight="1"/>
    <row r="47589" ht="26.25" customHeight="1"/>
    <row r="47590" ht="26.25" customHeight="1"/>
    <row r="47591" ht="26.25" customHeight="1"/>
    <row r="47592" ht="26.25" customHeight="1"/>
    <row r="47593" ht="26.25" customHeight="1"/>
    <row r="47594" ht="26.25" customHeight="1"/>
    <row r="47595" ht="26.25" customHeight="1"/>
    <row r="47596" ht="26.25" customHeight="1"/>
    <row r="47597" ht="26.25" customHeight="1"/>
    <row r="47598" ht="26.25" customHeight="1"/>
    <row r="47599" ht="26.25" customHeight="1"/>
    <row r="47600" ht="26.25" customHeight="1"/>
    <row r="47601" ht="26.25" customHeight="1"/>
    <row r="47602" ht="26.25" customHeight="1"/>
    <row r="47603" ht="26.25" customHeight="1"/>
    <row r="47604" ht="26.25" customHeight="1"/>
    <row r="47605" ht="26.25" customHeight="1"/>
    <row r="47606" ht="26.25" customHeight="1"/>
    <row r="47607" ht="26.25" customHeight="1"/>
    <row r="47608" ht="26.25" customHeight="1"/>
    <row r="47609" ht="26.25" customHeight="1"/>
    <row r="47610" ht="26.25" customHeight="1"/>
    <row r="47611" ht="26.25" customHeight="1"/>
    <row r="47612" ht="26.25" customHeight="1"/>
    <row r="47613" ht="26.25" customHeight="1"/>
    <row r="47614" ht="26.25" customHeight="1"/>
    <row r="47615" ht="26.25" customHeight="1"/>
    <row r="47616" ht="26.25" customHeight="1"/>
    <row r="47617" ht="26.25" customHeight="1"/>
    <row r="47618" ht="26.25" customHeight="1"/>
    <row r="47619" ht="26.25" customHeight="1"/>
    <row r="47620" ht="26.25" customHeight="1"/>
    <row r="47621" ht="26.25" customHeight="1"/>
    <row r="47622" ht="26.25" customHeight="1"/>
    <row r="47623" ht="26.25" customHeight="1"/>
    <row r="47624" ht="26.25" customHeight="1"/>
    <row r="47625" ht="26.25" customHeight="1"/>
    <row r="47626" ht="26.25" customHeight="1"/>
    <row r="47627" ht="26.25" customHeight="1"/>
    <row r="47628" ht="26.25" customHeight="1"/>
    <row r="47629" ht="26.25" customHeight="1"/>
    <row r="47630" ht="26.25" customHeight="1"/>
    <row r="47631" ht="26.25" customHeight="1"/>
    <row r="47632" ht="26.25" customHeight="1"/>
    <row r="47633" ht="26.25" customHeight="1"/>
    <row r="47634" ht="26.25" customHeight="1"/>
    <row r="47635" ht="26.25" customHeight="1"/>
    <row r="47636" ht="26.25" customHeight="1"/>
    <row r="47637" ht="26.25" customHeight="1"/>
    <row r="47638" ht="26.25" customHeight="1"/>
    <row r="47639" ht="26.25" customHeight="1"/>
    <row r="47640" ht="26.25" customHeight="1"/>
    <row r="47641" ht="26.25" customHeight="1"/>
    <row r="47642" ht="26.25" customHeight="1"/>
    <row r="47643" ht="26.25" customHeight="1"/>
    <row r="47644" ht="26.25" customHeight="1"/>
    <row r="47645" ht="26.25" customHeight="1"/>
    <row r="47646" ht="26.25" customHeight="1"/>
    <row r="47647" ht="26.25" customHeight="1"/>
    <row r="47648" ht="26.25" customHeight="1"/>
    <row r="47649" ht="26.25" customHeight="1"/>
    <row r="47650" ht="26.25" customHeight="1"/>
    <row r="47651" ht="26.25" customHeight="1"/>
    <row r="47652" ht="26.25" customHeight="1"/>
    <row r="47653" ht="26.25" customHeight="1"/>
    <row r="47654" ht="26.25" customHeight="1"/>
    <row r="47655" ht="26.25" customHeight="1"/>
    <row r="47656" ht="26.25" customHeight="1"/>
    <row r="47657" ht="26.25" customHeight="1"/>
    <row r="47658" ht="26.25" customHeight="1"/>
    <row r="47659" ht="26.25" customHeight="1"/>
    <row r="47660" ht="26.25" customHeight="1"/>
    <row r="47661" ht="26.25" customHeight="1"/>
    <row r="47662" ht="26.25" customHeight="1"/>
    <row r="47663" ht="26.25" customHeight="1"/>
    <row r="47664" ht="26.25" customHeight="1"/>
    <row r="47665" ht="26.25" customHeight="1"/>
    <row r="47666" ht="26.25" customHeight="1"/>
    <row r="47667" ht="26.25" customHeight="1"/>
    <row r="47668" ht="26.25" customHeight="1"/>
    <row r="47669" ht="26.25" customHeight="1"/>
    <row r="47670" ht="26.25" customHeight="1"/>
    <row r="47671" ht="26.25" customHeight="1"/>
    <row r="47672" ht="26.25" customHeight="1"/>
    <row r="47673" ht="26.25" customHeight="1"/>
    <row r="47674" ht="26.25" customHeight="1"/>
    <row r="47675" ht="26.25" customHeight="1"/>
    <row r="47676" ht="26.25" customHeight="1"/>
    <row r="47677" ht="26.25" customHeight="1"/>
    <row r="47678" ht="26.25" customHeight="1"/>
    <row r="47679" ht="26.25" customHeight="1"/>
    <row r="47680" ht="26.25" customHeight="1"/>
    <row r="47681" ht="26.25" customHeight="1"/>
    <row r="47682" ht="26.25" customHeight="1"/>
    <row r="47683" ht="26.25" customHeight="1"/>
    <row r="47684" ht="26.25" customHeight="1"/>
    <row r="47685" ht="26.25" customHeight="1"/>
    <row r="47686" ht="26.25" customHeight="1"/>
    <row r="47687" ht="26.25" customHeight="1"/>
    <row r="47688" ht="26.25" customHeight="1"/>
    <row r="47689" ht="26.25" customHeight="1"/>
    <row r="47690" ht="26.25" customHeight="1"/>
    <row r="47691" ht="26.25" customHeight="1"/>
    <row r="47692" ht="26.25" customHeight="1"/>
    <row r="47693" ht="26.25" customHeight="1"/>
    <row r="47694" ht="26.25" customHeight="1"/>
    <row r="47695" ht="26.25" customHeight="1"/>
    <row r="47696" ht="26.25" customHeight="1"/>
    <row r="47697" ht="26.25" customHeight="1"/>
    <row r="47698" ht="26.25" customHeight="1"/>
    <row r="47699" ht="26.25" customHeight="1"/>
    <row r="47700" ht="26.25" customHeight="1"/>
    <row r="47701" ht="26.25" customHeight="1"/>
    <row r="47702" ht="26.25" customHeight="1"/>
    <row r="47703" ht="26.25" customHeight="1"/>
    <row r="47704" ht="26.25" customHeight="1"/>
    <row r="47705" ht="26.25" customHeight="1"/>
    <row r="47706" ht="26.25" customHeight="1"/>
    <row r="47707" ht="26.25" customHeight="1"/>
    <row r="47708" ht="26.25" customHeight="1"/>
    <row r="47709" ht="26.25" customHeight="1"/>
    <row r="47710" ht="26.25" customHeight="1"/>
    <row r="47711" ht="26.25" customHeight="1"/>
    <row r="47712" ht="26.25" customHeight="1"/>
    <row r="47713" ht="26.25" customHeight="1"/>
    <row r="47714" ht="26.25" customHeight="1"/>
    <row r="47715" ht="26.25" customHeight="1"/>
    <row r="47716" ht="26.25" customHeight="1"/>
    <row r="47717" ht="26.25" customHeight="1"/>
    <row r="47718" ht="26.25" customHeight="1"/>
    <row r="47719" ht="26.25" customHeight="1"/>
    <row r="47720" ht="26.25" customHeight="1"/>
    <row r="47721" ht="26.25" customHeight="1"/>
    <row r="47722" ht="26.25" customHeight="1"/>
    <row r="47723" ht="26.25" customHeight="1"/>
    <row r="47724" ht="26.25" customHeight="1"/>
    <row r="47725" ht="26.25" customHeight="1"/>
    <row r="47726" ht="26.25" customHeight="1"/>
    <row r="47727" ht="26.25" customHeight="1"/>
    <row r="47728" ht="26.25" customHeight="1"/>
    <row r="47729" ht="26.25" customHeight="1"/>
    <row r="47730" ht="26.25" customHeight="1"/>
    <row r="47731" ht="26.25" customHeight="1"/>
    <row r="47732" ht="26.25" customHeight="1"/>
    <row r="47733" ht="26.25" customHeight="1"/>
    <row r="47734" ht="26.25" customHeight="1"/>
    <row r="47735" ht="26.25" customHeight="1"/>
    <row r="47736" ht="26.25" customHeight="1"/>
    <row r="47737" ht="26.25" customHeight="1"/>
    <row r="47738" ht="26.25" customHeight="1"/>
    <row r="47739" ht="26.25" customHeight="1"/>
    <row r="47740" ht="26.25" customHeight="1"/>
    <row r="47741" ht="26.25" customHeight="1"/>
    <row r="47742" ht="26.25" customHeight="1"/>
    <row r="47743" ht="26.25" customHeight="1"/>
    <row r="47744" ht="26.25" customHeight="1"/>
    <row r="47745" ht="26.25" customHeight="1"/>
    <row r="47746" ht="26.25" customHeight="1"/>
    <row r="47747" ht="26.25" customHeight="1"/>
    <row r="47748" ht="26.25" customHeight="1"/>
    <row r="47749" ht="26.25" customHeight="1"/>
    <row r="47750" ht="26.25" customHeight="1"/>
    <row r="47751" ht="26.25" customHeight="1"/>
    <row r="47752" ht="26.25" customHeight="1"/>
    <row r="47753" ht="26.25" customHeight="1"/>
    <row r="47754" ht="26.25" customHeight="1"/>
    <row r="47755" ht="26.25" customHeight="1"/>
    <row r="47756" ht="26.25" customHeight="1"/>
    <row r="47757" ht="26.25" customHeight="1"/>
    <row r="47758" ht="26.25" customHeight="1"/>
    <row r="47759" ht="26.25" customHeight="1"/>
    <row r="47760" ht="26.25" customHeight="1"/>
    <row r="47761" ht="26.25" customHeight="1"/>
    <row r="47762" ht="26.25" customHeight="1"/>
    <row r="47763" ht="26.25" customHeight="1"/>
    <row r="47764" ht="26.25" customHeight="1"/>
    <row r="47765" ht="26.25" customHeight="1"/>
    <row r="47766" ht="26.25" customHeight="1"/>
    <row r="47767" ht="26.25" customHeight="1"/>
    <row r="47768" ht="26.25" customHeight="1"/>
    <row r="47769" ht="26.25" customHeight="1"/>
    <row r="47770" ht="26.25" customHeight="1"/>
    <row r="47771" ht="26.25" customHeight="1"/>
    <row r="47772" ht="26.25" customHeight="1"/>
    <row r="47773" ht="26.25" customHeight="1"/>
    <row r="47774" ht="26.25" customHeight="1"/>
    <row r="47775" ht="26.25" customHeight="1"/>
    <row r="47776" ht="26.25" customHeight="1"/>
    <row r="47777" ht="26.25" customHeight="1"/>
    <row r="47778" ht="26.25" customHeight="1"/>
    <row r="47779" ht="26.25" customHeight="1"/>
    <row r="47780" ht="26.25" customHeight="1"/>
    <row r="47781" ht="26.25" customHeight="1"/>
    <row r="47782" ht="26.25" customHeight="1"/>
    <row r="47783" ht="26.25" customHeight="1"/>
    <row r="47784" ht="26.25" customHeight="1"/>
    <row r="47785" ht="26.25" customHeight="1"/>
    <row r="47786" ht="26.25" customHeight="1"/>
    <row r="47787" ht="26.25" customHeight="1"/>
    <row r="47788" ht="26.25" customHeight="1"/>
    <row r="47789" ht="26.25" customHeight="1"/>
    <row r="47790" ht="26.25" customHeight="1"/>
    <row r="47791" ht="26.25" customHeight="1"/>
    <row r="47792" ht="26.25" customHeight="1"/>
    <row r="47793" ht="26.25" customHeight="1"/>
    <row r="47794" ht="26.25" customHeight="1"/>
    <row r="47795" ht="26.25" customHeight="1"/>
    <row r="47796" ht="26.25" customHeight="1"/>
    <row r="47797" ht="26.25" customHeight="1"/>
    <row r="47798" ht="26.25" customHeight="1"/>
    <row r="47799" ht="26.25" customHeight="1"/>
    <row r="47800" ht="26.25" customHeight="1"/>
    <row r="47801" ht="26.25" customHeight="1"/>
    <row r="47802" ht="26.25" customHeight="1"/>
    <row r="47803" ht="26.25" customHeight="1"/>
    <row r="47804" ht="26.25" customHeight="1"/>
    <row r="47805" ht="26.25" customHeight="1"/>
    <row r="47806" ht="26.25" customHeight="1"/>
    <row r="47807" ht="26.25" customHeight="1"/>
    <row r="47808" ht="26.25" customHeight="1"/>
    <row r="47809" ht="26.25" customHeight="1"/>
    <row r="47810" ht="26.25" customHeight="1"/>
    <row r="47811" ht="26.25" customHeight="1"/>
    <row r="47812" ht="26.25" customHeight="1"/>
    <row r="47813" ht="26.25" customHeight="1"/>
    <row r="47814" ht="26.25" customHeight="1"/>
    <row r="47815" ht="26.25" customHeight="1"/>
    <row r="47816" ht="26.25" customHeight="1"/>
    <row r="47817" ht="26.25" customHeight="1"/>
    <row r="47818" ht="26.25" customHeight="1"/>
    <row r="47819" ht="26.25" customHeight="1"/>
    <row r="47820" ht="26.25" customHeight="1"/>
    <row r="47821" ht="26.25" customHeight="1"/>
    <row r="47822" ht="26.25" customHeight="1"/>
    <row r="47823" ht="26.25" customHeight="1"/>
    <row r="47824" ht="26.25" customHeight="1"/>
    <row r="47825" ht="26.25" customHeight="1"/>
    <row r="47826" ht="26.25" customHeight="1"/>
    <row r="47827" ht="26.25" customHeight="1"/>
    <row r="47828" ht="26.25" customHeight="1"/>
    <row r="47829" ht="26.25" customHeight="1"/>
    <row r="47830" ht="26.25" customHeight="1"/>
    <row r="47831" ht="26.25" customHeight="1"/>
    <row r="47832" ht="26.25" customHeight="1"/>
    <row r="47833" ht="26.25" customHeight="1"/>
    <row r="47834" ht="26.25" customHeight="1"/>
    <row r="47835" ht="26.25" customHeight="1"/>
    <row r="47836" ht="26.25" customHeight="1"/>
    <row r="47837" ht="26.25" customHeight="1"/>
    <row r="47838" ht="26.25" customHeight="1"/>
    <row r="47839" ht="26.25" customHeight="1"/>
    <row r="47840" ht="26.25" customHeight="1"/>
    <row r="47841" ht="26.25" customHeight="1"/>
    <row r="47842" ht="26.25" customHeight="1"/>
    <row r="47843" ht="26.25" customHeight="1"/>
    <row r="47844" ht="26.25" customHeight="1"/>
    <row r="47845" ht="26.25" customHeight="1"/>
    <row r="47846" ht="26.25" customHeight="1"/>
    <row r="47847" ht="26.25" customHeight="1"/>
    <row r="47848" ht="26.25" customHeight="1"/>
    <row r="47849" ht="26.25" customHeight="1"/>
    <row r="47850" ht="26.25" customHeight="1"/>
    <row r="47851" ht="26.25" customHeight="1"/>
    <row r="47852" ht="26.25" customHeight="1"/>
    <row r="47853" ht="26.25" customHeight="1"/>
    <row r="47854" ht="26.25" customHeight="1"/>
    <row r="47855" ht="26.25" customHeight="1"/>
    <row r="47856" ht="26.25" customHeight="1"/>
    <row r="47857" ht="26.25" customHeight="1"/>
    <row r="47858" ht="26.25" customHeight="1"/>
    <row r="47859" ht="26.25" customHeight="1"/>
    <row r="47860" ht="26.25" customHeight="1"/>
    <row r="47861" ht="26.25" customHeight="1"/>
    <row r="47862" ht="26.25" customHeight="1"/>
    <row r="47863" ht="26.25" customHeight="1"/>
    <row r="47864" ht="26.25" customHeight="1"/>
    <row r="47865" ht="26.25" customHeight="1"/>
    <row r="47866" ht="26.25" customHeight="1"/>
    <row r="47867" ht="26.25" customHeight="1"/>
    <row r="47868" ht="26.25" customHeight="1"/>
    <row r="47869" ht="26.25" customHeight="1"/>
    <row r="47870" ht="26.25" customHeight="1"/>
    <row r="47871" ht="26.25" customHeight="1"/>
    <row r="47872" ht="26.25" customHeight="1"/>
    <row r="47873" ht="26.25" customHeight="1"/>
    <row r="47874" ht="26.25" customHeight="1"/>
    <row r="47875" ht="26.25" customHeight="1"/>
    <row r="47876" ht="26.25" customHeight="1"/>
    <row r="47877" ht="26.25" customHeight="1"/>
    <row r="47878" ht="26.25" customHeight="1"/>
    <row r="47879" ht="26.25" customHeight="1"/>
    <row r="47880" ht="26.25" customHeight="1"/>
    <row r="47881" ht="26.25" customHeight="1"/>
    <row r="47882" ht="26.25" customHeight="1"/>
    <row r="47883" ht="26.25" customHeight="1"/>
    <row r="47884" ht="26.25" customHeight="1"/>
    <row r="47885" ht="26.25" customHeight="1"/>
    <row r="47886" ht="26.25" customHeight="1"/>
    <row r="47887" ht="26.25" customHeight="1"/>
    <row r="47888" ht="26.25" customHeight="1"/>
    <row r="47889" ht="26.25" customHeight="1"/>
    <row r="47890" ht="26.25" customHeight="1"/>
    <row r="47891" ht="26.25" customHeight="1"/>
    <row r="47892" ht="26.25" customHeight="1"/>
    <row r="47893" ht="26.25" customHeight="1"/>
    <row r="47894" ht="26.25" customHeight="1"/>
    <row r="47895" ht="26.25" customHeight="1"/>
    <row r="47896" ht="26.25" customHeight="1"/>
    <row r="47897" ht="26.25" customHeight="1"/>
    <row r="47898" ht="26.25" customHeight="1"/>
    <row r="47899" ht="26.25" customHeight="1"/>
    <row r="47900" ht="26.25" customHeight="1"/>
    <row r="47901" ht="26.25" customHeight="1"/>
    <row r="47902" ht="26.25" customHeight="1"/>
    <row r="47903" ht="26.25" customHeight="1"/>
    <row r="47904" ht="26.25" customHeight="1"/>
    <row r="47905" ht="26.25" customHeight="1"/>
    <row r="47906" ht="26.25" customHeight="1"/>
    <row r="47907" ht="26.25" customHeight="1"/>
    <row r="47908" ht="26.25" customHeight="1"/>
    <row r="47909" ht="26.25" customHeight="1"/>
    <row r="47910" ht="26.25" customHeight="1"/>
    <row r="47911" ht="26.25" customHeight="1"/>
    <row r="47912" ht="26.25" customHeight="1"/>
    <row r="47913" ht="26.25" customHeight="1"/>
    <row r="47914" ht="26.25" customHeight="1"/>
    <row r="47915" ht="26.25" customHeight="1"/>
    <row r="47916" ht="26.25" customHeight="1"/>
    <row r="47917" ht="26.25" customHeight="1"/>
    <row r="47918" ht="26.25" customHeight="1"/>
    <row r="47919" ht="26.25" customHeight="1"/>
    <row r="47920" ht="26.25" customHeight="1"/>
    <row r="47921" ht="26.25" customHeight="1"/>
    <row r="47922" ht="26.25" customHeight="1"/>
    <row r="47923" ht="26.25" customHeight="1"/>
    <row r="47924" ht="26.25" customHeight="1"/>
    <row r="47925" ht="26.25" customHeight="1"/>
    <row r="47926" ht="26.25" customHeight="1"/>
    <row r="47927" ht="26.25" customHeight="1"/>
    <row r="47928" ht="26.25" customHeight="1"/>
    <row r="47929" ht="26.25" customHeight="1"/>
    <row r="47930" ht="26.25" customHeight="1"/>
    <row r="47931" ht="26.25" customHeight="1"/>
    <row r="47932" ht="26.25" customHeight="1"/>
    <row r="47933" ht="26.25" customHeight="1"/>
    <row r="47934" ht="26.25" customHeight="1"/>
    <row r="47935" ht="26.25" customHeight="1"/>
    <row r="47936" ht="26.25" customHeight="1"/>
    <row r="47937" ht="26.25" customHeight="1"/>
    <row r="47938" ht="26.25" customHeight="1"/>
    <row r="47939" ht="26.25" customHeight="1"/>
    <row r="47940" ht="26.25" customHeight="1"/>
    <row r="47941" ht="26.25" customHeight="1"/>
    <row r="47942" ht="26.25" customHeight="1"/>
    <row r="47943" ht="26.25" customHeight="1"/>
    <row r="47944" ht="26.25" customHeight="1"/>
    <row r="47945" ht="26.25" customHeight="1"/>
    <row r="47946" ht="26.25" customHeight="1"/>
    <row r="47947" ht="26.25" customHeight="1"/>
    <row r="47948" ht="26.25" customHeight="1"/>
    <row r="47949" ht="26.25" customHeight="1"/>
    <row r="47950" ht="26.25" customHeight="1"/>
    <row r="47951" ht="26.25" customHeight="1"/>
    <row r="47952" ht="26.25" customHeight="1"/>
    <row r="47953" ht="26.25" customHeight="1"/>
    <row r="47954" ht="26.25" customHeight="1"/>
    <row r="47955" ht="26.25" customHeight="1"/>
    <row r="47956" ht="26.25" customHeight="1"/>
    <row r="47957" ht="26.25" customHeight="1"/>
    <row r="47958" ht="26.25" customHeight="1"/>
    <row r="47959" ht="26.25" customHeight="1"/>
    <row r="47960" ht="26.25" customHeight="1"/>
    <row r="47961" ht="26.25" customHeight="1"/>
    <row r="47962" ht="26.25" customHeight="1"/>
    <row r="47963" ht="26.25" customHeight="1"/>
    <row r="47964" ht="26.25" customHeight="1"/>
    <row r="47965" ht="26.25" customHeight="1"/>
    <row r="47966" ht="26.25" customHeight="1"/>
    <row r="47967" ht="26.25" customHeight="1"/>
    <row r="47968" ht="26.25" customHeight="1"/>
    <row r="47969" ht="26.25" customHeight="1"/>
    <row r="47970" ht="26.25" customHeight="1"/>
    <row r="47971" ht="26.25" customHeight="1"/>
    <row r="47972" ht="26.25" customHeight="1"/>
    <row r="47973" ht="26.25" customHeight="1"/>
    <row r="47974" ht="26.25" customHeight="1"/>
    <row r="47975" ht="26.25" customHeight="1"/>
    <row r="47976" ht="26.25" customHeight="1"/>
    <row r="47977" ht="26.25" customHeight="1"/>
    <row r="47978" ht="26.25" customHeight="1"/>
    <row r="47979" ht="26.25" customHeight="1"/>
    <row r="47980" ht="26.25" customHeight="1"/>
    <row r="47981" ht="26.25" customHeight="1"/>
    <row r="47982" ht="26.25" customHeight="1"/>
    <row r="47983" ht="26.25" customHeight="1"/>
    <row r="47984" ht="26.25" customHeight="1"/>
    <row r="47985" ht="26.25" customHeight="1"/>
    <row r="47986" ht="26.25" customHeight="1"/>
    <row r="47987" ht="26.25" customHeight="1"/>
    <row r="47988" ht="26.25" customHeight="1"/>
    <row r="47989" ht="26.25" customHeight="1"/>
    <row r="47990" ht="26.25" customHeight="1"/>
    <row r="47991" ht="26.25" customHeight="1"/>
    <row r="47992" ht="26.25" customHeight="1"/>
    <row r="47993" ht="26.25" customHeight="1"/>
    <row r="47994" ht="26.25" customHeight="1"/>
    <row r="47995" ht="26.25" customHeight="1"/>
    <row r="47996" ht="26.25" customHeight="1"/>
    <row r="47997" ht="26.25" customHeight="1"/>
    <row r="47998" ht="26.25" customHeight="1"/>
    <row r="47999" ht="26.25" customHeight="1"/>
    <row r="48000" ht="26.25" customHeight="1"/>
    <row r="48001" ht="26.25" customHeight="1"/>
    <row r="48002" ht="26.25" customHeight="1"/>
    <row r="48003" ht="26.25" customHeight="1"/>
    <row r="48004" ht="26.25" customHeight="1"/>
    <row r="48005" ht="26.25" customHeight="1"/>
    <row r="48006" ht="26.25" customHeight="1"/>
    <row r="48007" ht="26.25" customHeight="1"/>
    <row r="48008" ht="26.25" customHeight="1"/>
    <row r="48009" ht="26.25" customHeight="1"/>
    <row r="48010" ht="26.25" customHeight="1"/>
    <row r="48011" ht="26.25" customHeight="1"/>
    <row r="48012" ht="26.25" customHeight="1"/>
    <row r="48013" ht="26.25" customHeight="1"/>
    <row r="48014" ht="26.25" customHeight="1"/>
    <row r="48015" ht="26.25" customHeight="1"/>
    <row r="48016" ht="26.25" customHeight="1"/>
    <row r="48017" ht="26.25" customHeight="1"/>
    <row r="48018" ht="26.25" customHeight="1"/>
    <row r="48019" ht="26.25" customHeight="1"/>
    <row r="48020" ht="26.25" customHeight="1"/>
    <row r="48021" ht="26.25" customHeight="1"/>
    <row r="48022" ht="26.25" customHeight="1"/>
    <row r="48023" ht="26.25" customHeight="1"/>
    <row r="48024" ht="26.25" customHeight="1"/>
    <row r="48025" ht="26.25" customHeight="1"/>
    <row r="48026" ht="26.25" customHeight="1"/>
    <row r="48027" ht="26.25" customHeight="1"/>
    <row r="48028" ht="26.25" customHeight="1"/>
    <row r="48029" ht="26.25" customHeight="1"/>
    <row r="48030" ht="26.25" customHeight="1"/>
    <row r="48031" ht="26.25" customHeight="1"/>
    <row r="48032" ht="26.25" customHeight="1"/>
    <row r="48033" ht="26.25" customHeight="1"/>
    <row r="48034" ht="26.25" customHeight="1"/>
    <row r="48035" ht="26.25" customHeight="1"/>
    <row r="48036" ht="26.25" customHeight="1"/>
    <row r="48037" ht="26.25" customHeight="1"/>
    <row r="48038" ht="26.25" customHeight="1"/>
    <row r="48039" ht="26.25" customHeight="1"/>
    <row r="48040" ht="26.25" customHeight="1"/>
    <row r="48041" ht="26.25" customHeight="1"/>
    <row r="48042" ht="26.25" customHeight="1"/>
    <row r="48043" ht="26.25" customHeight="1"/>
    <row r="48044" ht="26.25" customHeight="1"/>
    <row r="48045" ht="26.25" customHeight="1"/>
    <row r="48046" ht="26.25" customHeight="1"/>
    <row r="48047" ht="26.25" customHeight="1"/>
    <row r="48048" ht="26.25" customHeight="1"/>
    <row r="48049" ht="26.25" customHeight="1"/>
    <row r="48050" ht="26.25" customHeight="1"/>
    <row r="48051" ht="26.25" customHeight="1"/>
    <row r="48052" ht="26.25" customHeight="1"/>
    <row r="48053" ht="26.25" customHeight="1"/>
    <row r="48054" ht="26.25" customHeight="1"/>
    <row r="48055" ht="26.25" customHeight="1"/>
    <row r="48056" ht="26.25" customHeight="1"/>
    <row r="48057" ht="26.25" customHeight="1"/>
    <row r="48058" ht="26.25" customHeight="1"/>
    <row r="48059" ht="26.25" customHeight="1"/>
    <row r="48060" ht="26.25" customHeight="1"/>
    <row r="48061" ht="26.25" customHeight="1"/>
    <row r="48062" ht="26.25" customHeight="1"/>
    <row r="48063" ht="26.25" customHeight="1"/>
    <row r="48064" ht="26.25" customHeight="1"/>
    <row r="48065" ht="26.25" customHeight="1"/>
    <row r="48066" ht="26.25" customHeight="1"/>
    <row r="48067" ht="26.25" customHeight="1"/>
    <row r="48068" ht="26.25" customHeight="1"/>
    <row r="48069" ht="26.25" customHeight="1"/>
    <row r="48070" ht="26.25" customHeight="1"/>
    <row r="48071" ht="26.25" customHeight="1"/>
    <row r="48072" ht="26.25" customHeight="1"/>
    <row r="48073" ht="26.25" customHeight="1"/>
    <row r="48074" ht="26.25" customHeight="1"/>
    <row r="48075" ht="26.25" customHeight="1"/>
    <row r="48076" ht="26.25" customHeight="1"/>
    <row r="48077" ht="26.25" customHeight="1"/>
    <row r="48078" ht="26.25" customHeight="1"/>
    <row r="48079" ht="26.25" customHeight="1"/>
    <row r="48080" ht="26.25" customHeight="1"/>
    <row r="48081" ht="26.25" customHeight="1"/>
    <row r="48082" ht="26.25" customHeight="1"/>
    <row r="48083" ht="26.25" customHeight="1"/>
    <row r="48084" ht="26.25" customHeight="1"/>
    <row r="48085" ht="26.25" customHeight="1"/>
    <row r="48086" ht="26.25" customHeight="1"/>
    <row r="48087" ht="26.25" customHeight="1"/>
    <row r="48088" ht="26.25" customHeight="1"/>
    <row r="48089" ht="26.25" customHeight="1"/>
    <row r="48090" ht="26.25" customHeight="1"/>
    <row r="48091" ht="26.25" customHeight="1"/>
    <row r="48092" ht="26.25" customHeight="1"/>
    <row r="48093" ht="26.25" customHeight="1"/>
    <row r="48094" ht="26.25" customHeight="1"/>
    <row r="48095" ht="26.25" customHeight="1"/>
    <row r="48096" ht="26.25" customHeight="1"/>
    <row r="48097" ht="26.25" customHeight="1"/>
    <row r="48098" ht="26.25" customHeight="1"/>
    <row r="48099" ht="26.25" customHeight="1"/>
    <row r="48100" ht="26.25" customHeight="1"/>
    <row r="48101" ht="26.25" customHeight="1"/>
    <row r="48102" ht="26.25" customHeight="1"/>
    <row r="48103" ht="26.25" customHeight="1"/>
    <row r="48104" ht="26.25" customHeight="1"/>
    <row r="48105" ht="26.25" customHeight="1"/>
    <row r="48106" ht="26.25" customHeight="1"/>
    <row r="48107" ht="26.25" customHeight="1"/>
    <row r="48108" ht="26.25" customHeight="1"/>
    <row r="48109" ht="26.25" customHeight="1"/>
    <row r="48110" ht="26.25" customHeight="1"/>
    <row r="48111" ht="26.25" customHeight="1"/>
    <row r="48112" ht="26.25" customHeight="1"/>
    <row r="48113" ht="26.25" customHeight="1"/>
    <row r="48114" ht="26.25" customHeight="1"/>
    <row r="48115" ht="26.25" customHeight="1"/>
    <row r="48116" ht="26.25" customHeight="1"/>
    <row r="48117" ht="26.25" customHeight="1"/>
    <row r="48118" ht="26.25" customHeight="1"/>
    <row r="48119" ht="26.25" customHeight="1"/>
    <row r="48120" ht="26.25" customHeight="1"/>
    <row r="48121" ht="26.25" customHeight="1"/>
    <row r="48122" ht="26.25" customHeight="1"/>
    <row r="48123" ht="26.25" customHeight="1"/>
    <row r="48124" ht="26.25" customHeight="1"/>
    <row r="48125" ht="26.25" customHeight="1"/>
    <row r="48126" ht="26.25" customHeight="1"/>
    <row r="48127" ht="26.25" customHeight="1"/>
    <row r="48128" ht="26.25" customHeight="1"/>
    <row r="48129" ht="26.25" customHeight="1"/>
    <row r="48130" ht="26.25" customHeight="1"/>
    <row r="48131" ht="26.25" customHeight="1"/>
    <row r="48132" ht="26.25" customHeight="1"/>
    <row r="48133" ht="26.25" customHeight="1"/>
    <row r="48134" ht="26.25" customHeight="1"/>
    <row r="48135" ht="26.25" customHeight="1"/>
    <row r="48136" ht="26.25" customHeight="1"/>
    <row r="48137" ht="26.25" customHeight="1"/>
    <row r="48138" ht="26.25" customHeight="1"/>
    <row r="48139" ht="26.25" customHeight="1"/>
    <row r="48140" ht="26.25" customHeight="1"/>
    <row r="48141" ht="26.25" customHeight="1"/>
    <row r="48142" ht="26.25" customHeight="1"/>
    <row r="48143" ht="26.25" customHeight="1"/>
    <row r="48144" ht="26.25" customHeight="1"/>
    <row r="48145" ht="26.25" customHeight="1"/>
    <row r="48146" ht="26.25" customHeight="1"/>
    <row r="48147" ht="26.25" customHeight="1"/>
    <row r="48148" ht="26.25" customHeight="1"/>
    <row r="48149" ht="26.25" customHeight="1"/>
    <row r="48150" ht="26.25" customHeight="1"/>
    <row r="48151" ht="26.25" customHeight="1"/>
    <row r="48152" ht="26.25" customHeight="1"/>
    <row r="48153" ht="26.25" customHeight="1"/>
    <row r="48154" ht="26.25" customHeight="1"/>
    <row r="48155" ht="26.25" customHeight="1"/>
    <row r="48156" ht="26.25" customHeight="1"/>
    <row r="48157" ht="26.25" customHeight="1"/>
    <row r="48158" ht="26.25" customHeight="1"/>
    <row r="48159" ht="26.25" customHeight="1"/>
    <row r="48160" ht="26.25" customHeight="1"/>
    <row r="48161" ht="26.25" customHeight="1"/>
    <row r="48162" ht="26.25" customHeight="1"/>
    <row r="48163" ht="26.25" customHeight="1"/>
    <row r="48164" ht="26.25" customHeight="1"/>
    <row r="48165" ht="26.25" customHeight="1"/>
    <row r="48166" ht="26.25" customHeight="1"/>
    <row r="48167" ht="26.25" customHeight="1"/>
    <row r="48168" ht="26.25" customHeight="1"/>
    <row r="48169" ht="26.25" customHeight="1"/>
    <row r="48170" ht="26.25" customHeight="1"/>
    <row r="48171" ht="26.25" customHeight="1"/>
    <row r="48172" ht="26.25" customHeight="1"/>
    <row r="48173" ht="26.25" customHeight="1"/>
    <row r="48174" ht="26.25" customHeight="1"/>
    <row r="48175" ht="26.25" customHeight="1"/>
    <row r="48176" ht="26.25" customHeight="1"/>
    <row r="48177" ht="26.25" customHeight="1"/>
    <row r="48178" ht="26.25" customHeight="1"/>
    <row r="48179" ht="26.25" customHeight="1"/>
    <row r="48180" ht="26.25" customHeight="1"/>
    <row r="48181" ht="26.25" customHeight="1"/>
    <row r="48182" ht="26.25" customHeight="1"/>
    <row r="48183" ht="26.25" customHeight="1"/>
    <row r="48184" ht="26.25" customHeight="1"/>
    <row r="48185" ht="26.25" customHeight="1"/>
    <row r="48186" ht="26.25" customHeight="1"/>
    <row r="48187" ht="26.25" customHeight="1"/>
    <row r="48188" ht="26.25" customHeight="1"/>
    <row r="48189" ht="26.25" customHeight="1"/>
    <row r="48190" ht="26.25" customHeight="1"/>
    <row r="48191" ht="26.25" customHeight="1"/>
    <row r="48192" ht="26.25" customHeight="1"/>
    <row r="48193" ht="26.25" customHeight="1"/>
    <row r="48194" ht="26.25" customHeight="1"/>
    <row r="48195" ht="26.25" customHeight="1"/>
    <row r="48196" ht="26.25" customHeight="1"/>
    <row r="48197" ht="26.25" customHeight="1"/>
    <row r="48198" ht="26.25" customHeight="1"/>
    <row r="48199" ht="26.25" customHeight="1"/>
    <row r="48200" ht="26.25" customHeight="1"/>
    <row r="48201" ht="26.25" customHeight="1"/>
    <row r="48202" ht="26.25" customHeight="1"/>
    <row r="48203" ht="26.25" customHeight="1"/>
    <row r="48204" ht="26.25" customHeight="1"/>
    <row r="48205" ht="26.25" customHeight="1"/>
    <row r="48206" ht="26.25" customHeight="1"/>
    <row r="48207" ht="26.25" customHeight="1"/>
    <row r="48208" ht="26.25" customHeight="1"/>
    <row r="48209" ht="26.25" customHeight="1"/>
    <row r="48210" ht="26.25" customHeight="1"/>
    <row r="48211" ht="26.25" customHeight="1"/>
    <row r="48212" ht="26.25" customHeight="1"/>
    <row r="48213" ht="26.25" customHeight="1"/>
    <row r="48214" ht="26.25" customHeight="1"/>
    <row r="48215" ht="26.25" customHeight="1"/>
    <row r="48216" ht="26.25" customHeight="1"/>
    <row r="48217" ht="26.25" customHeight="1"/>
    <row r="48218" ht="26.25" customHeight="1"/>
    <row r="48219" ht="26.25" customHeight="1"/>
    <row r="48220" ht="26.25" customHeight="1"/>
    <row r="48221" ht="26.25" customHeight="1"/>
    <row r="48222" ht="26.25" customHeight="1"/>
    <row r="48223" ht="26.25" customHeight="1"/>
    <row r="48224" ht="26.25" customHeight="1"/>
    <row r="48225" ht="26.25" customHeight="1"/>
    <row r="48226" ht="26.25" customHeight="1"/>
    <row r="48227" ht="26.25" customHeight="1"/>
    <row r="48228" ht="26.25" customHeight="1"/>
    <row r="48229" ht="26.25" customHeight="1"/>
    <row r="48230" ht="26.25" customHeight="1"/>
    <row r="48231" ht="26.25" customHeight="1"/>
    <row r="48232" ht="26.25" customHeight="1"/>
    <row r="48233" ht="26.25" customHeight="1"/>
    <row r="48234" ht="26.25" customHeight="1"/>
    <row r="48235" ht="26.25" customHeight="1"/>
    <row r="48236" ht="26.25" customHeight="1"/>
    <row r="48237" ht="26.25" customHeight="1"/>
    <row r="48238" ht="26.25" customHeight="1"/>
    <row r="48239" ht="26.25" customHeight="1"/>
    <row r="48240" ht="26.25" customHeight="1"/>
    <row r="48241" ht="26.25" customHeight="1"/>
    <row r="48242" ht="26.25" customHeight="1"/>
    <row r="48243" ht="26.25" customHeight="1"/>
    <row r="48244" ht="26.25" customHeight="1"/>
    <row r="48245" ht="26.25" customHeight="1"/>
    <row r="48246" ht="26.25" customHeight="1"/>
    <row r="48247" ht="26.25" customHeight="1"/>
    <row r="48248" ht="26.25" customHeight="1"/>
    <row r="48249" ht="26.25" customHeight="1"/>
    <row r="48250" ht="26.25" customHeight="1"/>
    <row r="48251" ht="26.25" customHeight="1"/>
    <row r="48252" ht="26.25" customHeight="1"/>
    <row r="48253" ht="26.25" customHeight="1"/>
    <row r="48254" ht="26.25" customHeight="1"/>
    <row r="48255" ht="26.25" customHeight="1"/>
    <row r="48256" ht="26.25" customHeight="1"/>
    <row r="48257" ht="26.25" customHeight="1"/>
    <row r="48258" ht="26.25" customHeight="1"/>
    <row r="48259" ht="26.25" customHeight="1"/>
    <row r="48260" ht="26.25" customHeight="1"/>
    <row r="48261" ht="26.25" customHeight="1"/>
    <row r="48262" ht="26.25" customHeight="1"/>
    <row r="48263" ht="26.25" customHeight="1"/>
    <row r="48264" ht="26.25" customHeight="1"/>
    <row r="48265" ht="26.25" customHeight="1"/>
    <row r="48266" ht="26.25" customHeight="1"/>
    <row r="48267" ht="26.25" customHeight="1"/>
    <row r="48268" ht="26.25" customHeight="1"/>
    <row r="48269" ht="26.25" customHeight="1"/>
    <row r="48270" ht="26.25" customHeight="1"/>
    <row r="48271" ht="26.25" customHeight="1"/>
    <row r="48272" ht="26.25" customHeight="1"/>
    <row r="48273" ht="26.25" customHeight="1"/>
    <row r="48274" ht="26.25" customHeight="1"/>
    <row r="48275" ht="26.25" customHeight="1"/>
    <row r="48276" ht="26.25" customHeight="1"/>
    <row r="48277" ht="26.25" customHeight="1"/>
    <row r="48278" ht="26.25" customHeight="1"/>
    <row r="48279" ht="26.25" customHeight="1"/>
    <row r="48280" ht="26.25" customHeight="1"/>
    <row r="48281" ht="26.25" customHeight="1"/>
    <row r="48282" ht="26.25" customHeight="1"/>
    <row r="48283" ht="26.25" customHeight="1"/>
    <row r="48284" ht="26.25" customHeight="1"/>
    <row r="48285" ht="26.25" customHeight="1"/>
    <row r="48286" ht="26.25" customHeight="1"/>
    <row r="48287" ht="26.25" customHeight="1"/>
    <row r="48288" ht="26.25" customHeight="1"/>
    <row r="48289" ht="26.25" customHeight="1"/>
    <row r="48290" ht="26.25" customHeight="1"/>
    <row r="48291" ht="26.25" customHeight="1"/>
    <row r="48292" ht="26.25" customHeight="1"/>
    <row r="48293" ht="26.25" customHeight="1"/>
    <row r="48294" ht="26.25" customHeight="1"/>
    <row r="48295" ht="26.25" customHeight="1"/>
    <row r="48296" ht="26.25" customHeight="1"/>
    <row r="48297" ht="26.25" customHeight="1"/>
    <row r="48298" ht="26.25" customHeight="1"/>
    <row r="48299" ht="26.25" customHeight="1"/>
    <row r="48300" ht="26.25" customHeight="1"/>
    <row r="48301" ht="26.25" customHeight="1"/>
    <row r="48302" ht="26.25" customHeight="1"/>
    <row r="48303" ht="26.25" customHeight="1"/>
    <row r="48304" ht="26.25" customHeight="1"/>
    <row r="48305" ht="26.25" customHeight="1"/>
    <row r="48306" ht="26.25" customHeight="1"/>
    <row r="48307" ht="26.25" customHeight="1"/>
    <row r="48308" ht="26.25" customHeight="1"/>
    <row r="48309" ht="26.25" customHeight="1"/>
    <row r="48310" ht="26.25" customHeight="1"/>
    <row r="48311" ht="26.25" customHeight="1"/>
    <row r="48312" ht="26.25" customHeight="1"/>
    <row r="48313" ht="26.25" customHeight="1"/>
    <row r="48314" ht="26.25" customHeight="1"/>
    <row r="48315" ht="26.25" customHeight="1"/>
    <row r="48316" ht="26.25" customHeight="1"/>
    <row r="48317" ht="26.25" customHeight="1"/>
    <row r="48318" ht="26.25" customHeight="1"/>
    <row r="48319" ht="26.25" customHeight="1"/>
    <row r="48320" ht="26.25" customHeight="1"/>
    <row r="48321" ht="26.25" customHeight="1"/>
    <row r="48322" ht="26.25" customHeight="1"/>
    <row r="48323" ht="26.25" customHeight="1"/>
    <row r="48324" ht="26.25" customHeight="1"/>
    <row r="48325" ht="26.25" customHeight="1"/>
    <row r="48326" ht="26.25" customHeight="1"/>
    <row r="48327" ht="26.25" customHeight="1"/>
    <row r="48328" ht="26.25" customHeight="1"/>
    <row r="48329" ht="26.25" customHeight="1"/>
    <row r="48330" ht="26.25" customHeight="1"/>
    <row r="48331" ht="26.25" customHeight="1"/>
    <row r="48332" ht="26.25" customHeight="1"/>
    <row r="48333" ht="26.25" customHeight="1"/>
    <row r="48334" ht="26.25" customHeight="1"/>
    <row r="48335" ht="26.25" customHeight="1"/>
    <row r="48336" ht="26.25" customHeight="1"/>
    <row r="48337" ht="26.25" customHeight="1"/>
    <row r="48338" ht="26.25" customHeight="1"/>
    <row r="48339" ht="26.25" customHeight="1"/>
    <row r="48340" ht="26.25" customHeight="1"/>
    <row r="48341" ht="26.25" customHeight="1"/>
    <row r="48342" ht="26.25" customHeight="1"/>
    <row r="48343" ht="26.25" customHeight="1"/>
    <row r="48344" ht="26.25" customHeight="1"/>
    <row r="48345" ht="26.25" customHeight="1"/>
    <row r="48346" ht="26.25" customHeight="1"/>
    <row r="48347" ht="26.25" customHeight="1"/>
    <row r="48348" ht="26.25" customHeight="1"/>
    <row r="48349" ht="26.25" customHeight="1"/>
    <row r="48350" ht="26.25" customHeight="1"/>
    <row r="48351" ht="26.25" customHeight="1"/>
    <row r="48352" ht="26.25" customHeight="1"/>
    <row r="48353" ht="26.25" customHeight="1"/>
    <row r="48354" ht="26.25" customHeight="1"/>
    <row r="48355" ht="26.25" customHeight="1"/>
    <row r="48356" ht="26.25" customHeight="1"/>
    <row r="48357" ht="26.25" customHeight="1"/>
    <row r="48358" ht="26.25" customHeight="1"/>
    <row r="48359" ht="26.25" customHeight="1"/>
    <row r="48360" ht="26.25" customHeight="1"/>
    <row r="48361" ht="26.25" customHeight="1"/>
    <row r="48362" ht="26.25" customHeight="1"/>
    <row r="48363" ht="26.25" customHeight="1"/>
    <row r="48364" ht="26.25" customHeight="1"/>
    <row r="48365" ht="26.25" customHeight="1"/>
    <row r="48366" ht="26.25" customHeight="1"/>
    <row r="48367" ht="26.25" customHeight="1"/>
    <row r="48368" ht="26.25" customHeight="1"/>
    <row r="48369" ht="26.25" customHeight="1"/>
    <row r="48370" ht="26.25" customHeight="1"/>
    <row r="48371" ht="26.25" customHeight="1"/>
    <row r="48372" ht="26.25" customHeight="1"/>
    <row r="48373" ht="26.25" customHeight="1"/>
    <row r="48374" ht="26.25" customHeight="1"/>
    <row r="48375" ht="26.25" customHeight="1"/>
    <row r="48376" ht="26.25" customHeight="1"/>
    <row r="48377" ht="26.25" customHeight="1"/>
    <row r="48378" ht="26.25" customHeight="1"/>
    <row r="48379" ht="26.25" customHeight="1"/>
    <row r="48380" ht="26.25" customHeight="1"/>
    <row r="48381" ht="26.25" customHeight="1"/>
    <row r="48382" ht="26.25" customHeight="1"/>
    <row r="48383" ht="26.25" customHeight="1"/>
    <row r="48384" ht="26.25" customHeight="1"/>
    <row r="48385" ht="26.25" customHeight="1"/>
    <row r="48386" ht="26.25" customHeight="1"/>
    <row r="48387" ht="26.25" customHeight="1"/>
    <row r="48388" ht="26.25" customHeight="1"/>
    <row r="48389" ht="26.25" customHeight="1"/>
    <row r="48390" ht="26.25" customHeight="1"/>
    <row r="48391" ht="26.25" customHeight="1"/>
    <row r="48392" ht="26.25" customHeight="1"/>
    <row r="48393" ht="26.25" customHeight="1"/>
    <row r="48394" ht="26.25" customHeight="1"/>
    <row r="48395" ht="26.25" customHeight="1"/>
    <row r="48396" ht="26.25" customHeight="1"/>
    <row r="48397" ht="26.25" customHeight="1"/>
    <row r="48398" ht="26.25" customHeight="1"/>
    <row r="48399" ht="26.25" customHeight="1"/>
    <row r="48400" ht="26.25" customHeight="1"/>
    <row r="48401" ht="26.25" customHeight="1"/>
    <row r="48402" ht="26.25" customHeight="1"/>
    <row r="48403" ht="26.25" customHeight="1"/>
    <row r="48404" ht="26.25" customHeight="1"/>
    <row r="48405" ht="26.25" customHeight="1"/>
    <row r="48406" ht="26.25" customHeight="1"/>
    <row r="48407" ht="26.25" customHeight="1"/>
    <row r="48408" ht="26.25" customHeight="1"/>
    <row r="48409" ht="26.25" customHeight="1"/>
    <row r="48410" ht="26.25" customHeight="1"/>
    <row r="48411" ht="26.25" customHeight="1"/>
    <row r="48412" ht="26.25" customHeight="1"/>
    <row r="48413" ht="26.25" customHeight="1"/>
    <row r="48414" ht="26.25" customHeight="1"/>
    <row r="48415" ht="26.25" customHeight="1"/>
    <row r="48416" ht="26.25" customHeight="1"/>
    <row r="48417" ht="26.25" customHeight="1"/>
    <row r="48418" ht="26.25" customHeight="1"/>
    <row r="48419" ht="26.25" customHeight="1"/>
    <row r="48420" ht="26.25" customHeight="1"/>
    <row r="48421" ht="26.25" customHeight="1"/>
    <row r="48422" ht="26.25" customHeight="1"/>
    <row r="48423" ht="26.25" customHeight="1"/>
    <row r="48424" ht="26.25" customHeight="1"/>
    <row r="48425" ht="26.25" customHeight="1"/>
    <row r="48426" ht="26.25" customHeight="1"/>
    <row r="48427" ht="26.25" customHeight="1"/>
    <row r="48428" ht="26.25" customHeight="1"/>
    <row r="48429" ht="26.25" customHeight="1"/>
    <row r="48430" ht="26.25" customHeight="1"/>
    <row r="48431" ht="26.25" customHeight="1"/>
    <row r="48432" ht="26.25" customHeight="1"/>
    <row r="48433" ht="26.25" customHeight="1"/>
    <row r="48434" ht="26.25" customHeight="1"/>
    <row r="48435" ht="26.25" customHeight="1"/>
    <row r="48436" ht="26.25" customHeight="1"/>
    <row r="48437" ht="26.25" customHeight="1"/>
    <row r="48438" ht="26.25" customHeight="1"/>
    <row r="48439" ht="26.25" customHeight="1"/>
    <row r="48440" ht="26.25" customHeight="1"/>
    <row r="48441" ht="26.25" customHeight="1"/>
    <row r="48442" ht="26.25" customHeight="1"/>
    <row r="48443" ht="26.25" customHeight="1"/>
    <row r="48444" ht="26.25" customHeight="1"/>
    <row r="48445" ht="26.25" customHeight="1"/>
    <row r="48446" ht="26.25" customHeight="1"/>
    <row r="48447" ht="26.25" customHeight="1"/>
    <row r="48448" ht="26.25" customHeight="1"/>
    <row r="48449" ht="26.25" customHeight="1"/>
    <row r="48450" ht="26.25" customHeight="1"/>
    <row r="48451" ht="26.25" customHeight="1"/>
    <row r="48452" ht="26.25" customHeight="1"/>
    <row r="48453" ht="26.25" customHeight="1"/>
    <row r="48454" ht="26.25" customHeight="1"/>
    <row r="48455" ht="26.25" customHeight="1"/>
    <row r="48456" ht="26.25" customHeight="1"/>
    <row r="48457" ht="26.25" customHeight="1"/>
    <row r="48458" ht="26.25" customHeight="1"/>
    <row r="48459" ht="26.25" customHeight="1"/>
    <row r="48460" ht="26.25" customHeight="1"/>
    <row r="48461" ht="26.25" customHeight="1"/>
    <row r="48462" ht="26.25" customHeight="1"/>
    <row r="48463" ht="26.25" customHeight="1"/>
    <row r="48464" ht="26.25" customHeight="1"/>
    <row r="48465" ht="26.25" customHeight="1"/>
    <row r="48466" ht="26.25" customHeight="1"/>
    <row r="48467" ht="26.25" customHeight="1"/>
    <row r="48468" ht="26.25" customHeight="1"/>
    <row r="48469" ht="26.25" customHeight="1"/>
    <row r="48470" ht="26.25" customHeight="1"/>
    <row r="48471" ht="26.25" customHeight="1"/>
    <row r="48472" ht="26.25" customHeight="1"/>
    <row r="48473" ht="26.25" customHeight="1"/>
    <row r="48474" ht="26.25" customHeight="1"/>
    <row r="48475" ht="26.25" customHeight="1"/>
    <row r="48476" ht="26.25" customHeight="1"/>
    <row r="48477" ht="26.25" customHeight="1"/>
    <row r="48478" ht="26.25" customHeight="1"/>
    <row r="48479" ht="26.25" customHeight="1"/>
    <row r="48480" ht="26.25" customHeight="1"/>
    <row r="48481" ht="26.25" customHeight="1"/>
    <row r="48482" ht="26.25" customHeight="1"/>
    <row r="48483" ht="26.25" customHeight="1"/>
    <row r="48484" ht="26.25" customHeight="1"/>
    <row r="48485" ht="26.25" customHeight="1"/>
    <row r="48486" ht="26.25" customHeight="1"/>
    <row r="48487" ht="26.25" customHeight="1"/>
    <row r="48488" ht="26.25" customHeight="1"/>
    <row r="48489" ht="26.25" customHeight="1"/>
    <row r="48490" ht="26.25" customHeight="1"/>
    <row r="48491" ht="26.25" customHeight="1"/>
    <row r="48492" ht="26.25" customHeight="1"/>
    <row r="48493" ht="26.25" customHeight="1"/>
    <row r="48494" ht="26.25" customHeight="1"/>
    <row r="48495" ht="26.25" customHeight="1"/>
    <row r="48496" ht="26.25" customHeight="1"/>
    <row r="48497" ht="26.25" customHeight="1"/>
    <row r="48498" ht="26.25" customHeight="1"/>
    <row r="48499" ht="26.25" customHeight="1"/>
    <row r="48500" ht="26.25" customHeight="1"/>
    <row r="48501" ht="26.25" customHeight="1"/>
    <row r="48502" ht="26.25" customHeight="1"/>
    <row r="48503" ht="26.25" customHeight="1"/>
    <row r="48504" ht="26.25" customHeight="1"/>
    <row r="48505" ht="26.25" customHeight="1"/>
    <row r="48506" ht="26.25" customHeight="1"/>
    <row r="48507" ht="26.25" customHeight="1"/>
    <row r="48508" ht="26.25" customHeight="1"/>
    <row r="48509" ht="26.25" customHeight="1"/>
    <row r="48510" ht="26.25" customHeight="1"/>
    <row r="48511" ht="26.25" customHeight="1"/>
    <row r="48512" ht="26.25" customHeight="1"/>
    <row r="48513" ht="26.25" customHeight="1"/>
    <row r="48514" ht="26.25" customHeight="1"/>
    <row r="48515" ht="26.25" customHeight="1"/>
    <row r="48516" ht="26.25" customHeight="1"/>
    <row r="48517" ht="26.25" customHeight="1"/>
    <row r="48518" ht="26.25" customHeight="1"/>
    <row r="48519" ht="26.25" customHeight="1"/>
    <row r="48520" ht="26.25" customHeight="1"/>
    <row r="48521" ht="26.25" customHeight="1"/>
    <row r="48522" ht="26.25" customHeight="1"/>
    <row r="48523" ht="26.25" customHeight="1"/>
    <row r="48524" ht="26.25" customHeight="1"/>
    <row r="48525" ht="26.25" customHeight="1"/>
    <row r="48526" ht="26.25" customHeight="1"/>
    <row r="48527" ht="26.25" customHeight="1"/>
    <row r="48528" ht="26.25" customHeight="1"/>
    <row r="48529" ht="26.25" customHeight="1"/>
    <row r="48530" ht="26.25" customHeight="1"/>
    <row r="48531" ht="26.25" customHeight="1"/>
    <row r="48532" ht="26.25" customHeight="1"/>
    <row r="48533" ht="26.25" customHeight="1"/>
    <row r="48534" ht="26.25" customHeight="1"/>
    <row r="48535" ht="26.25" customHeight="1"/>
    <row r="48536" ht="26.25" customHeight="1"/>
    <row r="48537" ht="26.25" customHeight="1"/>
    <row r="48538" ht="26.25" customHeight="1"/>
    <row r="48539" ht="26.25" customHeight="1"/>
    <row r="48540" ht="26.25" customHeight="1"/>
    <row r="48541" ht="26.25" customHeight="1"/>
    <row r="48542" ht="26.25" customHeight="1"/>
    <row r="48543" ht="26.25" customHeight="1"/>
    <row r="48544" ht="26.25" customHeight="1"/>
    <row r="48545" ht="26.25" customHeight="1"/>
    <row r="48546" ht="26.25" customHeight="1"/>
    <row r="48547" ht="26.25" customHeight="1"/>
    <row r="48548" ht="26.25" customHeight="1"/>
    <row r="48549" ht="26.25" customHeight="1"/>
    <row r="48550" ht="26.25" customHeight="1"/>
    <row r="48551" ht="26.25" customHeight="1"/>
    <row r="48552" ht="26.25" customHeight="1"/>
    <row r="48553" ht="26.25" customHeight="1"/>
    <row r="48554" ht="26.25" customHeight="1"/>
    <row r="48555" ht="26.25" customHeight="1"/>
    <row r="48556" ht="26.25" customHeight="1"/>
    <row r="48557" ht="26.25" customHeight="1"/>
    <row r="48558" ht="26.25" customHeight="1"/>
    <row r="48559" ht="26.25" customHeight="1"/>
    <row r="48560" ht="26.25" customHeight="1"/>
    <row r="48561" ht="26.25" customHeight="1"/>
    <row r="48562" ht="26.25" customHeight="1"/>
    <row r="48563" ht="26.25" customHeight="1"/>
    <row r="48564" ht="26.25" customHeight="1"/>
    <row r="48565" ht="26.25" customHeight="1"/>
    <row r="48566" ht="26.25" customHeight="1"/>
    <row r="48567" ht="26.25" customHeight="1"/>
    <row r="48568" ht="26.25" customHeight="1"/>
    <row r="48569" ht="26.25" customHeight="1"/>
    <row r="48570" ht="26.25" customHeight="1"/>
    <row r="48571" ht="26.25" customHeight="1"/>
    <row r="48572" ht="26.25" customHeight="1"/>
    <row r="48573" ht="26.25" customHeight="1"/>
    <row r="48574" ht="26.25" customHeight="1"/>
    <row r="48575" ht="26.25" customHeight="1"/>
    <row r="48576" ht="26.25" customHeight="1"/>
    <row r="48577" ht="26.25" customHeight="1"/>
    <row r="48578" ht="26.25" customHeight="1"/>
    <row r="48579" ht="26.25" customHeight="1"/>
    <row r="48580" ht="26.25" customHeight="1"/>
    <row r="48581" ht="26.25" customHeight="1"/>
    <row r="48582" ht="26.25" customHeight="1"/>
    <row r="48583" ht="26.25" customHeight="1"/>
    <row r="48584" ht="26.25" customHeight="1"/>
    <row r="48585" ht="26.25" customHeight="1"/>
    <row r="48586" ht="26.25" customHeight="1"/>
    <row r="48587" ht="26.25" customHeight="1"/>
    <row r="48588" ht="26.25" customHeight="1"/>
    <row r="48589" ht="26.25" customHeight="1"/>
    <row r="48590" ht="26.25" customHeight="1"/>
    <row r="48591" ht="26.25" customHeight="1"/>
    <row r="48592" ht="26.25" customHeight="1"/>
    <row r="48593" ht="26.25" customHeight="1"/>
    <row r="48594" ht="26.25" customHeight="1"/>
    <row r="48595" ht="26.25" customHeight="1"/>
    <row r="48596" ht="26.25" customHeight="1"/>
    <row r="48597" ht="26.25" customHeight="1"/>
    <row r="48598" ht="26.25" customHeight="1"/>
    <row r="48599" ht="26.25" customHeight="1"/>
    <row r="48600" ht="26.25" customHeight="1"/>
    <row r="48601" ht="26.25" customHeight="1"/>
    <row r="48602" ht="26.25" customHeight="1"/>
    <row r="48603" ht="26.25" customHeight="1"/>
    <row r="48604" ht="26.25" customHeight="1"/>
    <row r="48605" ht="26.25" customHeight="1"/>
    <row r="48606" ht="26.25" customHeight="1"/>
    <row r="48607" ht="26.25" customHeight="1"/>
    <row r="48608" ht="26.25" customHeight="1"/>
    <row r="48609" ht="26.25" customHeight="1"/>
    <row r="48610" ht="26.25" customHeight="1"/>
    <row r="48611" ht="26.25" customHeight="1"/>
    <row r="48612" ht="26.25" customHeight="1"/>
    <row r="48613" ht="26.25" customHeight="1"/>
    <row r="48614" ht="26.25" customHeight="1"/>
    <row r="48615" ht="26.25" customHeight="1"/>
    <row r="48616" ht="26.25" customHeight="1"/>
    <row r="48617" ht="26.25" customHeight="1"/>
    <row r="48618" ht="26.25" customHeight="1"/>
    <row r="48619" ht="26.25" customHeight="1"/>
    <row r="48620" ht="26.25" customHeight="1"/>
    <row r="48621" ht="26.25" customHeight="1"/>
    <row r="48622" ht="26.25" customHeight="1"/>
    <row r="48623" ht="26.25" customHeight="1"/>
    <row r="48624" ht="26.25" customHeight="1"/>
    <row r="48625" ht="26.25" customHeight="1"/>
    <row r="48626" ht="26.25" customHeight="1"/>
    <row r="48627" ht="26.25" customHeight="1"/>
    <row r="48628" ht="26.25" customHeight="1"/>
    <row r="48629" ht="26.25" customHeight="1"/>
    <row r="48630" ht="26.25" customHeight="1"/>
    <row r="48631" ht="26.25" customHeight="1"/>
    <row r="48632" ht="26.25" customHeight="1"/>
    <row r="48633" ht="26.25" customHeight="1"/>
    <row r="48634" ht="26.25" customHeight="1"/>
    <row r="48635" ht="26.25" customHeight="1"/>
    <row r="48636" ht="26.25" customHeight="1"/>
    <row r="48637" ht="26.25" customHeight="1"/>
    <row r="48638" ht="26.25" customHeight="1"/>
    <row r="48639" ht="26.25" customHeight="1"/>
    <row r="48640" ht="26.25" customHeight="1"/>
    <row r="48641" ht="26.25" customHeight="1"/>
    <row r="48642" ht="26.25" customHeight="1"/>
    <row r="48643" ht="26.25" customHeight="1"/>
    <row r="48644" ht="26.25" customHeight="1"/>
    <row r="48645" ht="26.25" customHeight="1"/>
    <row r="48646" ht="26.25" customHeight="1"/>
    <row r="48647" ht="26.25" customHeight="1"/>
    <row r="48648" ht="26.25" customHeight="1"/>
    <row r="48649" ht="26.25" customHeight="1"/>
    <row r="48650" ht="26.25" customHeight="1"/>
    <row r="48651" ht="26.25" customHeight="1"/>
    <row r="48652" ht="26.25" customHeight="1"/>
    <row r="48653" ht="26.25" customHeight="1"/>
    <row r="48654" ht="26.25" customHeight="1"/>
    <row r="48655" ht="26.25" customHeight="1"/>
    <row r="48656" ht="26.25" customHeight="1"/>
    <row r="48657" ht="26.25" customHeight="1"/>
    <row r="48658" ht="26.25" customHeight="1"/>
    <row r="48659" ht="26.25" customHeight="1"/>
    <row r="48660" ht="26.25" customHeight="1"/>
    <row r="48661" ht="26.25" customHeight="1"/>
    <row r="48662" ht="26.25" customHeight="1"/>
    <row r="48663" ht="26.25" customHeight="1"/>
    <row r="48664" ht="26.25" customHeight="1"/>
    <row r="48665" ht="26.25" customHeight="1"/>
    <row r="48666" ht="26.25" customHeight="1"/>
    <row r="48667" ht="26.25" customHeight="1"/>
    <row r="48668" ht="26.25" customHeight="1"/>
    <row r="48669" ht="26.25" customHeight="1"/>
    <row r="48670" ht="26.25" customHeight="1"/>
    <row r="48671" ht="26.25" customHeight="1"/>
    <row r="48672" ht="26.25" customHeight="1"/>
    <row r="48673" ht="26.25" customHeight="1"/>
    <row r="48674" ht="26.25" customHeight="1"/>
    <row r="48675" ht="26.25" customHeight="1"/>
    <row r="48676" ht="26.25" customHeight="1"/>
    <row r="48677" ht="26.25" customHeight="1"/>
    <row r="48678" ht="26.25" customHeight="1"/>
    <row r="48679" ht="26.25" customHeight="1"/>
    <row r="48680" ht="26.25" customHeight="1"/>
    <row r="48681" ht="26.25" customHeight="1"/>
    <row r="48682" ht="26.25" customHeight="1"/>
    <row r="48683" ht="26.25" customHeight="1"/>
    <row r="48684" ht="26.25" customHeight="1"/>
    <row r="48685" ht="26.25" customHeight="1"/>
    <row r="48686" ht="26.25" customHeight="1"/>
    <row r="48687" ht="26.25" customHeight="1"/>
    <row r="48688" ht="26.25" customHeight="1"/>
    <row r="48689" ht="26.25" customHeight="1"/>
    <row r="48690" ht="26.25" customHeight="1"/>
    <row r="48691" ht="26.25" customHeight="1"/>
    <row r="48692" ht="26.25" customHeight="1"/>
    <row r="48693" ht="26.25" customHeight="1"/>
    <row r="48694" ht="26.25" customHeight="1"/>
    <row r="48695" ht="26.25" customHeight="1"/>
    <row r="48696" ht="26.25" customHeight="1"/>
    <row r="48697" ht="26.25" customHeight="1"/>
    <row r="48698" ht="26.25" customHeight="1"/>
    <row r="48699" ht="26.25" customHeight="1"/>
    <row r="48700" ht="26.25" customHeight="1"/>
    <row r="48701" ht="26.25" customHeight="1"/>
    <row r="48702" ht="26.25" customHeight="1"/>
    <row r="48703" ht="26.25" customHeight="1"/>
    <row r="48704" ht="26.25" customHeight="1"/>
    <row r="48705" ht="26.25" customHeight="1"/>
    <row r="48706" ht="26.25" customHeight="1"/>
    <row r="48707" ht="26.25" customHeight="1"/>
    <row r="48708" ht="26.25" customHeight="1"/>
    <row r="48709" ht="26.25" customHeight="1"/>
    <row r="48710" ht="26.25" customHeight="1"/>
    <row r="48711" ht="26.25" customHeight="1"/>
    <row r="48712" ht="26.25" customHeight="1"/>
    <row r="48713" ht="26.25" customHeight="1"/>
    <row r="48714" ht="26.25" customHeight="1"/>
    <row r="48715" ht="26.25" customHeight="1"/>
    <row r="48716" ht="26.25" customHeight="1"/>
    <row r="48717" ht="26.25" customHeight="1"/>
    <row r="48718" ht="26.25" customHeight="1"/>
    <row r="48719" ht="26.25" customHeight="1"/>
    <row r="48720" ht="26.25" customHeight="1"/>
    <row r="48721" ht="26.25" customHeight="1"/>
    <row r="48722" ht="26.25" customHeight="1"/>
    <row r="48723" ht="26.25" customHeight="1"/>
    <row r="48724" ht="26.25" customHeight="1"/>
    <row r="48725" ht="26.25" customHeight="1"/>
    <row r="48726" ht="26.25" customHeight="1"/>
    <row r="48727" ht="26.25" customHeight="1"/>
    <row r="48728" ht="26.25" customHeight="1"/>
    <row r="48729" ht="26.25" customHeight="1"/>
    <row r="48730" ht="26.25" customHeight="1"/>
    <row r="48731" ht="26.25" customHeight="1"/>
    <row r="48732" ht="26.25" customHeight="1"/>
    <row r="48733" ht="26.25" customHeight="1"/>
    <row r="48734" ht="26.25" customHeight="1"/>
    <row r="48735" ht="26.25" customHeight="1"/>
    <row r="48736" ht="26.25" customHeight="1"/>
    <row r="48737" ht="26.25" customHeight="1"/>
    <row r="48738" ht="26.25" customHeight="1"/>
    <row r="48739" ht="26.25" customHeight="1"/>
    <row r="48740" ht="26.25" customHeight="1"/>
    <row r="48741" ht="26.25" customHeight="1"/>
    <row r="48742" ht="26.25" customHeight="1"/>
    <row r="48743" ht="26.25" customHeight="1"/>
    <row r="48744" ht="26.25" customHeight="1"/>
    <row r="48745" ht="26.25" customHeight="1"/>
    <row r="48746" ht="26.25" customHeight="1"/>
    <row r="48747" ht="26.25" customHeight="1"/>
    <row r="48748" ht="26.25" customHeight="1"/>
    <row r="48749" ht="26.25" customHeight="1"/>
    <row r="48750" ht="26.25" customHeight="1"/>
    <row r="48751" ht="26.25" customHeight="1"/>
    <row r="48752" ht="26.25" customHeight="1"/>
    <row r="48753" ht="26.25" customHeight="1"/>
    <row r="48754" ht="26.25" customHeight="1"/>
    <row r="48755" ht="26.25" customHeight="1"/>
    <row r="48756" ht="26.25" customHeight="1"/>
    <row r="48757" ht="26.25" customHeight="1"/>
    <row r="48758" ht="26.25" customHeight="1"/>
    <row r="48759" ht="26.25" customHeight="1"/>
    <row r="48760" ht="26.25" customHeight="1"/>
    <row r="48761" ht="26.25" customHeight="1"/>
    <row r="48762" ht="26.25" customHeight="1"/>
    <row r="48763" ht="26.25" customHeight="1"/>
    <row r="48764" ht="26.25" customHeight="1"/>
    <row r="48765" ht="26.25" customHeight="1"/>
    <row r="48766" ht="26.25" customHeight="1"/>
    <row r="48767" ht="26.25" customHeight="1"/>
    <row r="48768" ht="26.25" customHeight="1"/>
    <row r="48769" ht="26.25" customHeight="1"/>
    <row r="48770" ht="26.25" customHeight="1"/>
    <row r="48771" ht="26.25" customHeight="1"/>
    <row r="48772" ht="26.25" customHeight="1"/>
    <row r="48773" ht="26.25" customHeight="1"/>
    <row r="48774" ht="26.25" customHeight="1"/>
    <row r="48775" ht="26.25" customHeight="1"/>
    <row r="48776" ht="26.25" customHeight="1"/>
    <row r="48777" ht="26.25" customHeight="1"/>
    <row r="48778" ht="26.25" customHeight="1"/>
    <row r="48779" ht="26.25" customHeight="1"/>
    <row r="48780" ht="26.25" customHeight="1"/>
    <row r="48781" ht="26.25" customHeight="1"/>
    <row r="48782" ht="26.25" customHeight="1"/>
    <row r="48783" ht="26.25" customHeight="1"/>
    <row r="48784" ht="26.25" customHeight="1"/>
    <row r="48785" ht="26.25" customHeight="1"/>
    <row r="48786" ht="26.25" customHeight="1"/>
    <row r="48787" ht="26.25" customHeight="1"/>
    <row r="48788" ht="26.25" customHeight="1"/>
    <row r="48789" ht="26.25" customHeight="1"/>
    <row r="48790" ht="26.25" customHeight="1"/>
    <row r="48791" ht="26.25" customHeight="1"/>
    <row r="48792" ht="26.25" customHeight="1"/>
    <row r="48793" ht="26.25" customHeight="1"/>
    <row r="48794" ht="26.25" customHeight="1"/>
    <row r="48795" ht="26.25" customHeight="1"/>
    <row r="48796" ht="26.25" customHeight="1"/>
    <row r="48797" ht="26.25" customHeight="1"/>
    <row r="48798" ht="26.25" customHeight="1"/>
    <row r="48799" ht="26.25" customHeight="1"/>
    <row r="48800" ht="26.25" customHeight="1"/>
    <row r="48801" ht="26.25" customHeight="1"/>
    <row r="48802" ht="26.25" customHeight="1"/>
    <row r="48803" ht="26.25" customHeight="1"/>
    <row r="48804" ht="26.25" customHeight="1"/>
    <row r="48805" ht="26.25" customHeight="1"/>
    <row r="48806" ht="26.25" customHeight="1"/>
    <row r="48807" ht="26.25" customHeight="1"/>
    <row r="48808" ht="26.25" customHeight="1"/>
    <row r="48809" ht="26.25" customHeight="1"/>
    <row r="48810" ht="26.25" customHeight="1"/>
    <row r="48811" ht="26.25" customHeight="1"/>
    <row r="48812" ht="26.25" customHeight="1"/>
    <row r="48813" ht="26.25" customHeight="1"/>
    <row r="48814" ht="26.25" customHeight="1"/>
    <row r="48815" ht="26.25" customHeight="1"/>
    <row r="48816" ht="26.25" customHeight="1"/>
    <row r="48817" ht="26.25" customHeight="1"/>
    <row r="48818" ht="26.25" customHeight="1"/>
    <row r="48819" ht="26.25" customHeight="1"/>
    <row r="48820" ht="26.25" customHeight="1"/>
    <row r="48821" ht="26.25" customHeight="1"/>
    <row r="48822" ht="26.25" customHeight="1"/>
    <row r="48823" ht="26.25" customHeight="1"/>
    <row r="48824" ht="26.25" customHeight="1"/>
    <row r="48825" ht="26.25" customHeight="1"/>
    <row r="48826" ht="26.25" customHeight="1"/>
    <row r="48827" ht="26.25" customHeight="1"/>
    <row r="48828" ht="26.25" customHeight="1"/>
    <row r="48829" ht="26.25" customHeight="1"/>
    <row r="48830" ht="26.25" customHeight="1"/>
    <row r="48831" ht="26.25" customHeight="1"/>
    <row r="48832" ht="26.25" customHeight="1"/>
    <row r="48833" ht="26.25" customHeight="1"/>
    <row r="48834" ht="26.25" customHeight="1"/>
    <row r="48835" ht="26.25" customHeight="1"/>
    <row r="48836" ht="26.25" customHeight="1"/>
    <row r="48837" ht="26.25" customHeight="1"/>
    <row r="48838" ht="26.25" customHeight="1"/>
    <row r="48839" ht="26.25" customHeight="1"/>
    <row r="48840" ht="26.25" customHeight="1"/>
    <row r="48841" ht="26.25" customHeight="1"/>
    <row r="48842" ht="26.25" customHeight="1"/>
    <row r="48843" ht="26.25" customHeight="1"/>
    <row r="48844" ht="26.25" customHeight="1"/>
    <row r="48845" ht="26.25" customHeight="1"/>
    <row r="48846" ht="26.25" customHeight="1"/>
    <row r="48847" ht="26.25" customHeight="1"/>
    <row r="48848" ht="26.25" customHeight="1"/>
    <row r="48849" ht="26.25" customHeight="1"/>
    <row r="48850" ht="26.25" customHeight="1"/>
    <row r="48851" ht="26.25" customHeight="1"/>
    <row r="48852" ht="26.25" customHeight="1"/>
    <row r="48853" ht="26.25" customHeight="1"/>
    <row r="48854" ht="26.25" customHeight="1"/>
    <row r="48855" ht="26.25" customHeight="1"/>
    <row r="48856" ht="26.25" customHeight="1"/>
    <row r="48857" ht="26.25" customHeight="1"/>
    <row r="48858" ht="26.25" customHeight="1"/>
    <row r="48859" ht="26.25" customHeight="1"/>
    <row r="48860" ht="26.25" customHeight="1"/>
    <row r="48861" ht="26.25" customHeight="1"/>
    <row r="48862" ht="26.25" customHeight="1"/>
    <row r="48863" ht="26.25" customHeight="1"/>
    <row r="48864" ht="26.25" customHeight="1"/>
    <row r="48865" ht="26.25" customHeight="1"/>
    <row r="48866" ht="26.25" customHeight="1"/>
    <row r="48867" ht="26.25" customHeight="1"/>
    <row r="48868" ht="26.25" customHeight="1"/>
    <row r="48869" ht="26.25" customHeight="1"/>
    <row r="48870" ht="26.25" customHeight="1"/>
    <row r="48871" ht="26.25" customHeight="1"/>
    <row r="48872" ht="26.25" customHeight="1"/>
    <row r="48873" ht="26.25" customHeight="1"/>
    <row r="48874" ht="26.25" customHeight="1"/>
    <row r="48875" ht="26.25" customHeight="1"/>
    <row r="48876" ht="26.25" customHeight="1"/>
    <row r="48877" ht="26.25" customHeight="1"/>
    <row r="48878" ht="26.25" customHeight="1"/>
    <row r="48879" ht="26.25" customHeight="1"/>
    <row r="48880" ht="26.25" customHeight="1"/>
    <row r="48881" ht="26.25" customHeight="1"/>
    <row r="48882" ht="26.25" customHeight="1"/>
    <row r="48883" ht="26.25" customHeight="1"/>
    <row r="48884" ht="26.25" customHeight="1"/>
    <row r="48885" ht="26.25" customHeight="1"/>
    <row r="48886" ht="26.25" customHeight="1"/>
    <row r="48887" ht="26.25" customHeight="1"/>
    <row r="48888" ht="26.25" customHeight="1"/>
    <row r="48889" ht="26.25" customHeight="1"/>
    <row r="48890" ht="26.25" customHeight="1"/>
    <row r="48891" ht="26.25" customHeight="1"/>
    <row r="48892" ht="26.25" customHeight="1"/>
    <row r="48893" ht="26.25" customHeight="1"/>
    <row r="48894" ht="26.25" customHeight="1"/>
    <row r="48895" ht="26.25" customHeight="1"/>
    <row r="48896" ht="26.25" customHeight="1"/>
    <row r="48897" ht="26.25" customHeight="1"/>
    <row r="48898" ht="26.25" customHeight="1"/>
    <row r="48899" ht="26.25" customHeight="1"/>
    <row r="48900" ht="26.25" customHeight="1"/>
    <row r="48901" ht="26.25" customHeight="1"/>
    <row r="48902" ht="26.25" customHeight="1"/>
    <row r="48903" ht="26.25" customHeight="1"/>
    <row r="48904" ht="26.25" customHeight="1"/>
    <row r="48905" ht="26.25" customHeight="1"/>
    <row r="48906" ht="26.25" customHeight="1"/>
    <row r="48907" ht="26.25" customHeight="1"/>
    <row r="48908" ht="26.25" customHeight="1"/>
    <row r="48909" ht="26.25" customHeight="1"/>
    <row r="48910" ht="26.25" customHeight="1"/>
    <row r="48911" ht="26.25" customHeight="1"/>
    <row r="48912" ht="26.25" customHeight="1"/>
    <row r="48913" ht="26.25" customHeight="1"/>
    <row r="48914" ht="26.25" customHeight="1"/>
    <row r="48915" ht="26.25" customHeight="1"/>
    <row r="48916" ht="26.25" customHeight="1"/>
    <row r="48917" ht="26.25" customHeight="1"/>
    <row r="48918" ht="26.25" customHeight="1"/>
    <row r="48919" ht="26.25" customHeight="1"/>
    <row r="48920" ht="26.25" customHeight="1"/>
    <row r="48921" ht="26.25" customHeight="1"/>
    <row r="48922" ht="26.25" customHeight="1"/>
    <row r="48923" ht="26.25" customHeight="1"/>
    <row r="48924" ht="26.25" customHeight="1"/>
    <row r="48925" ht="26.25" customHeight="1"/>
    <row r="48926" ht="26.25" customHeight="1"/>
    <row r="48927" ht="26.25" customHeight="1"/>
    <row r="48928" ht="26.25" customHeight="1"/>
    <row r="48929" ht="26.25" customHeight="1"/>
    <row r="48930" ht="26.25" customHeight="1"/>
    <row r="48931" ht="26.25" customHeight="1"/>
    <row r="48932" ht="26.25" customHeight="1"/>
    <row r="48933" ht="26.25" customHeight="1"/>
    <row r="48934" ht="26.25" customHeight="1"/>
    <row r="48935" ht="26.25" customHeight="1"/>
    <row r="48936" ht="26.25" customHeight="1"/>
    <row r="48937" ht="26.25" customHeight="1"/>
    <row r="48938" ht="26.25" customHeight="1"/>
    <row r="48939" ht="26.25" customHeight="1"/>
    <row r="48940" ht="26.25" customHeight="1"/>
    <row r="48941" ht="26.25" customHeight="1"/>
    <row r="48942" ht="26.25" customHeight="1"/>
    <row r="48943" ht="26.25" customHeight="1"/>
    <row r="48944" ht="26.25" customHeight="1"/>
    <row r="48945" ht="26.25" customHeight="1"/>
    <row r="48946" ht="26.25" customHeight="1"/>
    <row r="48947" ht="26.25" customHeight="1"/>
    <row r="48948" ht="26.25" customHeight="1"/>
    <row r="48949" ht="26.25" customHeight="1"/>
    <row r="48950" ht="26.25" customHeight="1"/>
    <row r="48951" ht="26.25" customHeight="1"/>
    <row r="48952" ht="26.25" customHeight="1"/>
    <row r="48953" ht="26.25" customHeight="1"/>
    <row r="48954" ht="26.25" customHeight="1"/>
    <row r="48955" ht="26.25" customHeight="1"/>
    <row r="48956" ht="26.25" customHeight="1"/>
    <row r="48957" ht="26.25" customHeight="1"/>
    <row r="48958" ht="26.25" customHeight="1"/>
    <row r="48959" ht="26.25" customHeight="1"/>
    <row r="48960" ht="26.25" customHeight="1"/>
    <row r="48961" ht="26.25" customHeight="1"/>
    <row r="48962" ht="26.25" customHeight="1"/>
    <row r="48963" ht="26.25" customHeight="1"/>
    <row r="48964" ht="26.25" customHeight="1"/>
    <row r="48965" ht="26.25" customHeight="1"/>
    <row r="48966" ht="26.25" customHeight="1"/>
    <row r="48967" ht="26.25" customHeight="1"/>
    <row r="48968" ht="26.25" customHeight="1"/>
    <row r="48969" ht="26.25" customHeight="1"/>
    <row r="48970" ht="26.25" customHeight="1"/>
    <row r="48971" ht="26.25" customHeight="1"/>
    <row r="48972" ht="26.25" customHeight="1"/>
    <row r="48973" ht="26.25" customHeight="1"/>
    <row r="48974" ht="26.25" customHeight="1"/>
    <row r="48975" ht="26.25" customHeight="1"/>
    <row r="48976" ht="26.25" customHeight="1"/>
    <row r="48977" ht="26.25" customHeight="1"/>
    <row r="48978" ht="26.25" customHeight="1"/>
    <row r="48979" ht="26.25" customHeight="1"/>
    <row r="48980" ht="26.25" customHeight="1"/>
    <row r="48981" ht="26.25" customHeight="1"/>
    <row r="48982" ht="26.25" customHeight="1"/>
    <row r="48983" ht="26.25" customHeight="1"/>
    <row r="48984" ht="26.25" customHeight="1"/>
    <row r="48985" ht="26.25" customHeight="1"/>
    <row r="48986" ht="26.25" customHeight="1"/>
    <row r="48987" ht="26.25" customHeight="1"/>
    <row r="48988" ht="26.25" customHeight="1"/>
    <row r="48989" ht="26.25" customHeight="1"/>
    <row r="48990" ht="26.25" customHeight="1"/>
    <row r="48991" ht="26.25" customHeight="1"/>
    <row r="48992" ht="26.25" customHeight="1"/>
    <row r="48993" ht="26.25" customHeight="1"/>
    <row r="48994" ht="26.25" customHeight="1"/>
    <row r="48995" ht="26.25" customHeight="1"/>
    <row r="48996" ht="26.25" customHeight="1"/>
    <row r="48997" ht="26.25" customHeight="1"/>
    <row r="48998" ht="26.25" customHeight="1"/>
    <row r="48999" ht="26.25" customHeight="1"/>
    <row r="49000" ht="26.25" customHeight="1"/>
    <row r="49001" ht="26.25" customHeight="1"/>
    <row r="49002" ht="26.25" customHeight="1"/>
    <row r="49003" ht="26.25" customHeight="1"/>
    <row r="49004" ht="26.25" customHeight="1"/>
    <row r="49005" ht="26.25" customHeight="1"/>
    <row r="49006" ht="26.25" customHeight="1"/>
    <row r="49007" ht="26.25" customHeight="1"/>
    <row r="49008" ht="26.25" customHeight="1"/>
    <row r="49009" ht="26.25" customHeight="1"/>
    <row r="49010" ht="26.25" customHeight="1"/>
    <row r="49011" ht="26.25" customHeight="1"/>
    <row r="49012" ht="26.25" customHeight="1"/>
    <row r="49013" ht="26.25" customHeight="1"/>
    <row r="49014" ht="26.25" customHeight="1"/>
    <row r="49015" ht="26.25" customHeight="1"/>
    <row r="49016" ht="26.25" customHeight="1"/>
    <row r="49017" ht="26.25" customHeight="1"/>
    <row r="49018" ht="26.25" customHeight="1"/>
    <row r="49019" ht="26.25" customHeight="1"/>
    <row r="49020" ht="26.25" customHeight="1"/>
    <row r="49021" ht="26.25" customHeight="1"/>
    <row r="49022" ht="26.25" customHeight="1"/>
    <row r="49023" ht="26.25" customHeight="1"/>
    <row r="49024" ht="26.25" customHeight="1"/>
    <row r="49025" ht="26.25" customHeight="1"/>
    <row r="49026" ht="26.25" customHeight="1"/>
    <row r="49027" ht="26.25" customHeight="1"/>
    <row r="49028" ht="26.25" customHeight="1"/>
    <row r="49029" ht="26.25" customHeight="1"/>
    <row r="49030" ht="26.25" customHeight="1"/>
    <row r="49031" ht="26.25" customHeight="1"/>
    <row r="49032" ht="26.25" customHeight="1"/>
    <row r="49033" ht="26.25" customHeight="1"/>
    <row r="49034" ht="26.25" customHeight="1"/>
    <row r="49035" ht="26.25" customHeight="1"/>
    <row r="49036" ht="26.25" customHeight="1"/>
    <row r="49037" ht="26.25" customHeight="1"/>
    <row r="49038" ht="26.25" customHeight="1"/>
    <row r="49039" ht="26.25" customHeight="1"/>
    <row r="49040" ht="26.25" customHeight="1"/>
    <row r="49041" ht="26.25" customHeight="1"/>
    <row r="49042" ht="26.25" customHeight="1"/>
    <row r="49043" ht="26.25" customHeight="1"/>
    <row r="49044" ht="26.25" customHeight="1"/>
    <row r="49045" ht="26.25" customHeight="1"/>
    <row r="49046" ht="26.25" customHeight="1"/>
    <row r="49047" ht="26.25" customHeight="1"/>
    <row r="49048" ht="26.25" customHeight="1"/>
    <row r="49049" ht="26.25" customHeight="1"/>
    <row r="49050" ht="26.25" customHeight="1"/>
    <row r="49051" ht="26.25" customHeight="1"/>
    <row r="49052" ht="26.25" customHeight="1"/>
    <row r="49053" ht="26.25" customHeight="1"/>
    <row r="49054" ht="26.25" customHeight="1"/>
    <row r="49055" ht="26.25" customHeight="1"/>
    <row r="49056" ht="26.25" customHeight="1"/>
    <row r="49057" ht="26.25" customHeight="1"/>
    <row r="49058" ht="26.25" customHeight="1"/>
    <row r="49059" ht="26.25" customHeight="1"/>
    <row r="49060" ht="26.25" customHeight="1"/>
    <row r="49061" ht="26.25" customHeight="1"/>
    <row r="49062" ht="26.25" customHeight="1"/>
    <row r="49063" ht="26.25" customHeight="1"/>
    <row r="49064" ht="26.25" customHeight="1"/>
    <row r="49065" ht="26.25" customHeight="1"/>
    <row r="49066" ht="26.25" customHeight="1"/>
    <row r="49067" ht="26.25" customHeight="1"/>
    <row r="49068" ht="26.25" customHeight="1"/>
    <row r="49069" ht="26.25" customHeight="1"/>
    <row r="49070" ht="26.25" customHeight="1"/>
    <row r="49071" ht="26.25" customHeight="1"/>
    <row r="49072" ht="26.25" customHeight="1"/>
    <row r="49073" ht="26.25" customHeight="1"/>
    <row r="49074" ht="26.25" customHeight="1"/>
    <row r="49075" ht="26.25" customHeight="1"/>
    <row r="49076" ht="26.25" customHeight="1"/>
    <row r="49077" ht="26.25" customHeight="1"/>
    <row r="49078" ht="26.25" customHeight="1"/>
    <row r="49079" ht="26.25" customHeight="1"/>
    <row r="49080" ht="26.25" customHeight="1"/>
    <row r="49081" ht="26.25" customHeight="1"/>
    <row r="49082" ht="26.25" customHeight="1"/>
    <row r="49083" ht="26.25" customHeight="1"/>
    <row r="49084" ht="26.25" customHeight="1"/>
    <row r="49085" ht="26.25" customHeight="1"/>
    <row r="49086" ht="26.25" customHeight="1"/>
    <row r="49087" ht="26.25" customHeight="1"/>
    <row r="49088" ht="26.25" customHeight="1"/>
    <row r="49089" ht="26.25" customHeight="1"/>
    <row r="49090" ht="26.25" customHeight="1"/>
    <row r="49091" ht="26.25" customHeight="1"/>
    <row r="49092" ht="26.25" customHeight="1"/>
    <row r="49093" ht="26.25" customHeight="1"/>
    <row r="49094" ht="26.25" customHeight="1"/>
    <row r="49095" ht="26.25" customHeight="1"/>
    <row r="49096" ht="26.25" customHeight="1"/>
    <row r="49097" ht="26.25" customHeight="1"/>
    <row r="49098" ht="26.25" customHeight="1"/>
    <row r="49099" ht="26.25" customHeight="1"/>
    <row r="49100" ht="26.25" customHeight="1"/>
    <row r="49101" ht="26.25" customHeight="1"/>
    <row r="49102" ht="26.25" customHeight="1"/>
    <row r="49103" ht="26.25" customHeight="1"/>
    <row r="49104" ht="26.25" customHeight="1"/>
    <row r="49105" ht="26.25" customHeight="1"/>
    <row r="49106" ht="26.25" customHeight="1"/>
    <row r="49107" ht="26.25" customHeight="1"/>
    <row r="49108" ht="26.25" customHeight="1"/>
    <row r="49109" ht="26.25" customHeight="1"/>
    <row r="49110" ht="26.25" customHeight="1"/>
    <row r="49111" ht="26.25" customHeight="1"/>
    <row r="49112" ht="26.25" customHeight="1"/>
    <row r="49113" ht="26.25" customHeight="1"/>
    <row r="49114" ht="26.25" customHeight="1"/>
    <row r="49115" ht="26.25" customHeight="1"/>
    <row r="49116" ht="26.25" customHeight="1"/>
    <row r="49117" ht="26.25" customHeight="1"/>
    <row r="49118" ht="26.25" customHeight="1"/>
    <row r="49119" ht="26.25" customHeight="1"/>
    <row r="49120" ht="26.25" customHeight="1"/>
    <row r="49121" ht="26.25" customHeight="1"/>
    <row r="49122" ht="26.25" customHeight="1"/>
    <row r="49123" ht="26.25" customHeight="1"/>
    <row r="49124" ht="26.25" customHeight="1"/>
    <row r="49125" ht="26.25" customHeight="1"/>
    <row r="49126" ht="26.25" customHeight="1"/>
    <row r="49127" ht="26.25" customHeight="1"/>
    <row r="49128" ht="26.25" customHeight="1"/>
    <row r="49129" ht="26.25" customHeight="1"/>
    <row r="49130" ht="26.25" customHeight="1"/>
    <row r="49131" ht="26.25" customHeight="1"/>
    <row r="49132" ht="26.25" customHeight="1"/>
    <row r="49133" ht="26.25" customHeight="1"/>
    <row r="49134" ht="26.25" customHeight="1"/>
    <row r="49135" ht="26.25" customHeight="1"/>
    <row r="49136" ht="26.25" customHeight="1"/>
    <row r="49137" ht="26.25" customHeight="1"/>
    <row r="49138" ht="26.25" customHeight="1"/>
    <row r="49139" ht="26.25" customHeight="1"/>
    <row r="49140" ht="26.25" customHeight="1"/>
    <row r="49141" ht="26.25" customHeight="1"/>
    <row r="49142" ht="26.25" customHeight="1"/>
    <row r="49143" ht="26.25" customHeight="1"/>
    <row r="49144" ht="26.25" customHeight="1"/>
    <row r="49145" ht="26.25" customHeight="1"/>
    <row r="49146" ht="26.25" customHeight="1"/>
    <row r="49147" ht="26.25" customHeight="1"/>
    <row r="49148" ht="26.25" customHeight="1"/>
    <row r="49149" ht="26.25" customHeight="1"/>
    <row r="49150" ht="26.25" customHeight="1"/>
    <row r="49151" ht="26.25" customHeight="1"/>
    <row r="49152" ht="26.25" customHeight="1"/>
    <row r="49153" ht="26.25" customHeight="1"/>
    <row r="49154" ht="26.25" customHeight="1"/>
    <row r="49155" ht="26.25" customHeight="1"/>
    <row r="49156" ht="26.25" customHeight="1"/>
    <row r="49157" ht="26.25" customHeight="1"/>
    <row r="49158" ht="26.25" customHeight="1"/>
    <row r="49159" ht="26.25" customHeight="1"/>
    <row r="49160" ht="26.25" customHeight="1"/>
    <row r="49161" ht="26.25" customHeight="1"/>
    <row r="49162" ht="26.25" customHeight="1"/>
    <row r="49163" ht="26.25" customHeight="1"/>
    <row r="49164" ht="26.25" customHeight="1"/>
    <row r="49165" ht="26.25" customHeight="1"/>
    <row r="49166" ht="26.25" customHeight="1"/>
    <row r="49167" ht="26.25" customHeight="1"/>
    <row r="49168" ht="26.25" customHeight="1"/>
    <row r="49169" ht="26.25" customHeight="1"/>
    <row r="49170" ht="26.25" customHeight="1"/>
    <row r="49171" ht="26.25" customHeight="1"/>
    <row r="49172" ht="26.25" customHeight="1"/>
    <row r="49173" ht="26.25" customHeight="1"/>
    <row r="49174" ht="26.25" customHeight="1"/>
    <row r="49175" ht="26.25" customHeight="1"/>
    <row r="49176" ht="26.25" customHeight="1"/>
    <row r="49177" ht="26.25" customHeight="1"/>
    <row r="49178" ht="26.25" customHeight="1"/>
    <row r="49179" ht="26.25" customHeight="1"/>
    <row r="49180" ht="26.25" customHeight="1"/>
    <row r="49181" ht="26.25" customHeight="1"/>
    <row r="49182" ht="26.25" customHeight="1"/>
    <row r="49183" ht="26.25" customHeight="1"/>
    <row r="49184" ht="26.25" customHeight="1"/>
    <row r="49185" ht="26.25" customHeight="1"/>
    <row r="49186" ht="26.25" customHeight="1"/>
    <row r="49187" ht="26.25" customHeight="1"/>
    <row r="49188" ht="26.25" customHeight="1"/>
    <row r="49189" ht="26.25" customHeight="1"/>
    <row r="49190" ht="26.25" customHeight="1"/>
    <row r="49191" ht="26.25" customHeight="1"/>
    <row r="49192" ht="26.25" customHeight="1"/>
    <row r="49193" ht="26.25" customHeight="1"/>
    <row r="49194" ht="26.25" customHeight="1"/>
    <row r="49195" ht="26.25" customHeight="1"/>
    <row r="49196" ht="26.25" customHeight="1"/>
    <row r="49197" ht="26.25" customHeight="1"/>
    <row r="49198" ht="26.25" customHeight="1"/>
    <row r="49199" ht="26.25" customHeight="1"/>
    <row r="49200" ht="26.25" customHeight="1"/>
    <row r="49201" ht="26.25" customHeight="1"/>
    <row r="49202" ht="26.25" customHeight="1"/>
    <row r="49203" ht="26.25" customHeight="1"/>
    <row r="49204" ht="26.25" customHeight="1"/>
    <row r="49205" ht="26.25" customHeight="1"/>
    <row r="49206" ht="26.25" customHeight="1"/>
    <row r="49207" ht="26.25" customHeight="1"/>
    <row r="49208" ht="26.25" customHeight="1"/>
    <row r="49209" ht="26.25" customHeight="1"/>
    <row r="49210" ht="26.25" customHeight="1"/>
    <row r="49211" ht="26.25" customHeight="1"/>
    <row r="49212" ht="26.25" customHeight="1"/>
    <row r="49213" ht="26.25" customHeight="1"/>
    <row r="49214" ht="26.25" customHeight="1"/>
    <row r="49215" ht="26.25" customHeight="1"/>
    <row r="49216" ht="26.25" customHeight="1"/>
    <row r="49217" ht="26.25" customHeight="1"/>
    <row r="49218" ht="26.25" customHeight="1"/>
    <row r="49219" ht="26.25" customHeight="1"/>
    <row r="49220" ht="26.25" customHeight="1"/>
    <row r="49221" ht="26.25" customHeight="1"/>
    <row r="49222" ht="26.25" customHeight="1"/>
    <row r="49223" ht="26.25" customHeight="1"/>
    <row r="49224" ht="26.25" customHeight="1"/>
    <row r="49225" ht="26.25" customHeight="1"/>
    <row r="49226" ht="26.25" customHeight="1"/>
    <row r="49227" ht="26.25" customHeight="1"/>
    <row r="49228" ht="26.25" customHeight="1"/>
    <row r="49229" ht="26.25" customHeight="1"/>
    <row r="49230" ht="26.25" customHeight="1"/>
    <row r="49231" ht="26.25" customHeight="1"/>
    <row r="49232" ht="26.25" customHeight="1"/>
    <row r="49233" ht="26.25" customHeight="1"/>
    <row r="49234" ht="26.25" customHeight="1"/>
    <row r="49235" ht="26.25" customHeight="1"/>
    <row r="49236" ht="26.25" customHeight="1"/>
    <row r="49237" ht="26.25" customHeight="1"/>
    <row r="49238" ht="26.25" customHeight="1"/>
    <row r="49239" ht="26.25" customHeight="1"/>
    <row r="49240" ht="26.25" customHeight="1"/>
    <row r="49241" ht="26.25" customHeight="1"/>
    <row r="49242" ht="26.25" customHeight="1"/>
    <row r="49243" ht="26.25" customHeight="1"/>
    <row r="49244" ht="26.25" customHeight="1"/>
    <row r="49245" ht="26.25" customHeight="1"/>
    <row r="49246" ht="26.25" customHeight="1"/>
    <row r="49247" ht="26.25" customHeight="1"/>
    <row r="49248" ht="26.25" customHeight="1"/>
    <row r="49249" ht="26.25" customHeight="1"/>
    <row r="49250" ht="26.25" customHeight="1"/>
    <row r="49251" ht="26.25" customHeight="1"/>
    <row r="49252" ht="26.25" customHeight="1"/>
    <row r="49253" ht="26.25" customHeight="1"/>
    <row r="49254" ht="26.25" customHeight="1"/>
    <row r="49255" ht="26.25" customHeight="1"/>
    <row r="49256" ht="26.25" customHeight="1"/>
    <row r="49257" ht="26.25" customHeight="1"/>
    <row r="49258" ht="26.25" customHeight="1"/>
    <row r="49259" ht="26.25" customHeight="1"/>
    <row r="49260" ht="26.25" customHeight="1"/>
    <row r="49261" ht="26.25" customHeight="1"/>
    <row r="49262" ht="26.25" customHeight="1"/>
    <row r="49263" ht="26.25" customHeight="1"/>
    <row r="49264" ht="26.25" customHeight="1"/>
    <row r="49265" ht="26.25" customHeight="1"/>
    <row r="49266" ht="26.25" customHeight="1"/>
    <row r="49267" ht="26.25" customHeight="1"/>
    <row r="49268" ht="26.25" customHeight="1"/>
    <row r="49269" ht="26.25" customHeight="1"/>
    <row r="49270" ht="26.25" customHeight="1"/>
    <row r="49271" ht="26.25" customHeight="1"/>
    <row r="49272" ht="26.25" customHeight="1"/>
    <row r="49273" ht="26.25" customHeight="1"/>
    <row r="49274" ht="26.25" customHeight="1"/>
    <row r="49275" ht="26.25" customHeight="1"/>
    <row r="49276" ht="26.25" customHeight="1"/>
    <row r="49277" ht="26.25" customHeight="1"/>
    <row r="49278" ht="26.25" customHeight="1"/>
    <row r="49279" ht="26.25" customHeight="1"/>
    <row r="49280" ht="26.25" customHeight="1"/>
    <row r="49281" ht="26.25" customHeight="1"/>
    <row r="49282" ht="26.25" customHeight="1"/>
    <row r="49283" ht="26.25" customHeight="1"/>
    <row r="49284" ht="26.25" customHeight="1"/>
    <row r="49285" ht="26.25" customHeight="1"/>
    <row r="49286" ht="26.25" customHeight="1"/>
    <row r="49287" ht="26.25" customHeight="1"/>
    <row r="49288" ht="26.25" customHeight="1"/>
    <row r="49289" ht="26.25" customHeight="1"/>
    <row r="49290" ht="26.25" customHeight="1"/>
    <row r="49291" ht="26.25" customHeight="1"/>
    <row r="49292" ht="26.25" customHeight="1"/>
    <row r="49293" ht="26.25" customHeight="1"/>
    <row r="49294" ht="26.25" customHeight="1"/>
    <row r="49295" ht="26.25" customHeight="1"/>
    <row r="49296" ht="26.25" customHeight="1"/>
    <row r="49297" ht="26.25" customHeight="1"/>
    <row r="49298" ht="26.25" customHeight="1"/>
    <row r="49299" ht="26.25" customHeight="1"/>
    <row r="49300" ht="26.25" customHeight="1"/>
    <row r="49301" ht="26.25" customHeight="1"/>
    <row r="49302" ht="26.25" customHeight="1"/>
    <row r="49303" ht="26.25" customHeight="1"/>
    <row r="49304" ht="26.25" customHeight="1"/>
    <row r="49305" ht="26.25" customHeight="1"/>
    <row r="49306" ht="26.25" customHeight="1"/>
    <row r="49307" ht="26.25" customHeight="1"/>
    <row r="49308" ht="26.25" customHeight="1"/>
    <row r="49309" ht="26.25" customHeight="1"/>
    <row r="49310" ht="26.25" customHeight="1"/>
    <row r="49311" ht="26.25" customHeight="1"/>
    <row r="49312" ht="26.25" customHeight="1"/>
    <row r="49313" ht="26.25" customHeight="1"/>
    <row r="49314" ht="26.25" customHeight="1"/>
    <row r="49315" ht="26.25" customHeight="1"/>
    <row r="49316" ht="26.25" customHeight="1"/>
    <row r="49317" ht="26.25" customHeight="1"/>
    <row r="49318" ht="26.25" customHeight="1"/>
    <row r="49319" ht="26.25" customHeight="1"/>
    <row r="49320" ht="26.25" customHeight="1"/>
    <row r="49321" ht="26.25" customHeight="1"/>
    <row r="49322" ht="26.25" customHeight="1"/>
    <row r="49323" ht="26.25" customHeight="1"/>
    <row r="49324" ht="26.25" customHeight="1"/>
    <row r="49325" ht="26.25" customHeight="1"/>
    <row r="49326" ht="26.25" customHeight="1"/>
    <row r="49327" ht="26.25" customHeight="1"/>
    <row r="49328" ht="26.25" customHeight="1"/>
    <row r="49329" ht="26.25" customHeight="1"/>
    <row r="49330" ht="26.25" customHeight="1"/>
    <row r="49331" ht="26.25" customHeight="1"/>
    <row r="49332" ht="26.25" customHeight="1"/>
    <row r="49333" ht="26.25" customHeight="1"/>
    <row r="49334" ht="26.25" customHeight="1"/>
    <row r="49335" ht="26.25" customHeight="1"/>
    <row r="49336" ht="26.25" customHeight="1"/>
    <row r="49337" ht="26.25" customHeight="1"/>
    <row r="49338" ht="26.25" customHeight="1"/>
    <row r="49339" ht="26.25" customHeight="1"/>
    <row r="49340" ht="26.25" customHeight="1"/>
    <row r="49341" ht="26.25" customHeight="1"/>
    <row r="49342" ht="26.25" customHeight="1"/>
    <row r="49343" ht="26.25" customHeight="1"/>
    <row r="49344" ht="26.25" customHeight="1"/>
    <row r="49345" ht="26.25" customHeight="1"/>
    <row r="49346" ht="26.25" customHeight="1"/>
    <row r="49347" ht="26.25" customHeight="1"/>
    <row r="49348" ht="26.25" customHeight="1"/>
    <row r="49349" ht="26.25" customHeight="1"/>
    <row r="49350" ht="26.25" customHeight="1"/>
    <row r="49351" ht="26.25" customHeight="1"/>
    <row r="49352" ht="26.25" customHeight="1"/>
    <row r="49353" ht="26.25" customHeight="1"/>
    <row r="49354" ht="26.25" customHeight="1"/>
    <row r="49355" ht="26.25" customHeight="1"/>
    <row r="49356" ht="26.25" customHeight="1"/>
    <row r="49357" ht="26.25" customHeight="1"/>
    <row r="49358" ht="26.25" customHeight="1"/>
    <row r="49359" ht="26.25" customHeight="1"/>
    <row r="49360" ht="26.25" customHeight="1"/>
    <row r="49361" ht="26.25" customHeight="1"/>
    <row r="49362" ht="26.25" customHeight="1"/>
    <row r="49363" ht="26.25" customHeight="1"/>
    <row r="49364" ht="26.25" customHeight="1"/>
    <row r="49365" ht="26.25" customHeight="1"/>
    <row r="49366" ht="26.25" customHeight="1"/>
    <row r="49367" ht="26.25" customHeight="1"/>
    <row r="49368" ht="26.25" customHeight="1"/>
    <row r="49369" ht="26.25" customHeight="1"/>
    <row r="49370" ht="26.25" customHeight="1"/>
    <row r="49371" ht="26.25" customHeight="1"/>
    <row r="49372" ht="26.25" customHeight="1"/>
    <row r="49373" ht="26.25" customHeight="1"/>
    <row r="49374" ht="26.25" customHeight="1"/>
    <row r="49375" ht="26.25" customHeight="1"/>
    <row r="49376" ht="26.25" customHeight="1"/>
    <row r="49377" ht="26.25" customHeight="1"/>
    <row r="49378" ht="26.25" customHeight="1"/>
    <row r="49379" ht="26.25" customHeight="1"/>
    <row r="49380" ht="26.25" customHeight="1"/>
    <row r="49381" ht="26.25" customHeight="1"/>
    <row r="49382" ht="26.25" customHeight="1"/>
    <row r="49383" ht="26.25" customHeight="1"/>
    <row r="49384" ht="26.25" customHeight="1"/>
    <row r="49385" ht="26.25" customHeight="1"/>
    <row r="49386" ht="26.25" customHeight="1"/>
    <row r="49387" ht="26.25" customHeight="1"/>
    <row r="49388" ht="26.25" customHeight="1"/>
    <row r="49389" ht="26.25" customHeight="1"/>
    <row r="49390" ht="26.25" customHeight="1"/>
    <row r="49391" ht="26.25" customHeight="1"/>
    <row r="49392" ht="26.25" customHeight="1"/>
    <row r="49393" ht="26.25" customHeight="1"/>
    <row r="49394" ht="26.25" customHeight="1"/>
    <row r="49395" ht="26.25" customHeight="1"/>
    <row r="49396" ht="26.25" customHeight="1"/>
    <row r="49397" ht="26.25" customHeight="1"/>
    <row r="49398" ht="26.25" customHeight="1"/>
    <row r="49399" ht="26.25" customHeight="1"/>
    <row r="49400" ht="26.25" customHeight="1"/>
    <row r="49401" ht="26.25" customHeight="1"/>
    <row r="49402" ht="26.25" customHeight="1"/>
    <row r="49403" ht="26.25" customHeight="1"/>
    <row r="49404" ht="26.25" customHeight="1"/>
    <row r="49405" ht="26.25" customHeight="1"/>
    <row r="49406" ht="26.25" customHeight="1"/>
    <row r="49407" ht="26.25" customHeight="1"/>
    <row r="49408" ht="26.25" customHeight="1"/>
    <row r="49409" ht="26.25" customHeight="1"/>
    <row r="49410" ht="26.25" customHeight="1"/>
    <row r="49411" ht="26.25" customHeight="1"/>
    <row r="49412" ht="26.25" customHeight="1"/>
    <row r="49413" ht="26.25" customHeight="1"/>
    <row r="49414" ht="26.25" customHeight="1"/>
    <row r="49415" ht="26.25" customHeight="1"/>
    <row r="49416" ht="26.25" customHeight="1"/>
    <row r="49417" ht="26.25" customHeight="1"/>
    <row r="49418" ht="26.25" customHeight="1"/>
    <row r="49419" ht="26.25" customHeight="1"/>
    <row r="49420" ht="26.25" customHeight="1"/>
    <row r="49421" ht="26.25" customHeight="1"/>
    <row r="49422" ht="26.25" customHeight="1"/>
    <row r="49423" ht="26.25" customHeight="1"/>
    <row r="49424" ht="26.25" customHeight="1"/>
    <row r="49425" ht="26.25" customHeight="1"/>
    <row r="49426" ht="26.25" customHeight="1"/>
    <row r="49427" ht="26.25" customHeight="1"/>
    <row r="49428" ht="26.25" customHeight="1"/>
    <row r="49429" ht="26.25" customHeight="1"/>
    <row r="49430" ht="26.25" customHeight="1"/>
    <row r="49431" ht="26.25" customHeight="1"/>
    <row r="49432" ht="26.25" customHeight="1"/>
    <row r="49433" ht="26.25" customHeight="1"/>
    <row r="49434" ht="26.25" customHeight="1"/>
    <row r="49435" ht="26.25" customHeight="1"/>
    <row r="49436" ht="26.25" customHeight="1"/>
    <row r="49437" ht="26.25" customHeight="1"/>
    <row r="49438" ht="26.25" customHeight="1"/>
    <row r="49439" ht="26.25" customHeight="1"/>
    <row r="49440" ht="26.25" customHeight="1"/>
    <row r="49441" ht="26.25" customHeight="1"/>
    <row r="49442" ht="26.25" customHeight="1"/>
    <row r="49443" ht="26.25" customHeight="1"/>
    <row r="49444" ht="26.25" customHeight="1"/>
    <row r="49445" ht="26.25" customHeight="1"/>
    <row r="49446" ht="26.25" customHeight="1"/>
    <row r="49447" ht="26.25" customHeight="1"/>
    <row r="49448" ht="26.25" customHeight="1"/>
    <row r="49449" ht="26.25" customHeight="1"/>
    <row r="49450" ht="26.25" customHeight="1"/>
    <row r="49451" ht="26.25" customHeight="1"/>
    <row r="49452" ht="26.25" customHeight="1"/>
    <row r="49453" ht="26.25" customHeight="1"/>
    <row r="49454" ht="26.25" customHeight="1"/>
    <row r="49455" ht="26.25" customHeight="1"/>
    <row r="49456" ht="26.25" customHeight="1"/>
    <row r="49457" ht="26.25" customHeight="1"/>
    <row r="49458" ht="26.25" customHeight="1"/>
    <row r="49459" ht="26.25" customHeight="1"/>
    <row r="49460" ht="26.25" customHeight="1"/>
    <row r="49461" ht="26.25" customHeight="1"/>
    <row r="49462" ht="26.25" customHeight="1"/>
    <row r="49463" ht="26.25" customHeight="1"/>
    <row r="49464" ht="26.25" customHeight="1"/>
    <row r="49465" ht="26.25" customHeight="1"/>
    <row r="49466" ht="26.25" customHeight="1"/>
    <row r="49467" ht="26.25" customHeight="1"/>
    <row r="49468" ht="26.25" customHeight="1"/>
    <row r="49469" ht="26.25" customHeight="1"/>
    <row r="49470" ht="26.25" customHeight="1"/>
    <row r="49471" ht="26.25" customHeight="1"/>
    <row r="49472" ht="26.25" customHeight="1"/>
    <row r="49473" ht="26.25" customHeight="1"/>
    <row r="49474" ht="26.25" customHeight="1"/>
    <row r="49475" ht="26.25" customHeight="1"/>
    <row r="49476" ht="26.25" customHeight="1"/>
    <row r="49477" ht="26.25" customHeight="1"/>
    <row r="49478" ht="26.25" customHeight="1"/>
    <row r="49479" ht="26.25" customHeight="1"/>
    <row r="49480" ht="26.25" customHeight="1"/>
    <row r="49481" ht="26.25" customHeight="1"/>
    <row r="49482" ht="26.25" customHeight="1"/>
    <row r="49483" ht="26.25" customHeight="1"/>
    <row r="49484" ht="26.25" customHeight="1"/>
    <row r="49485" ht="26.25" customHeight="1"/>
    <row r="49486" ht="26.25" customHeight="1"/>
    <row r="49487" ht="26.25" customHeight="1"/>
    <row r="49488" ht="26.25" customHeight="1"/>
    <row r="49489" ht="26.25" customHeight="1"/>
    <row r="49490" ht="26.25" customHeight="1"/>
    <row r="49491" ht="26.25" customHeight="1"/>
    <row r="49492" ht="26.25" customHeight="1"/>
    <row r="49493" ht="26.25" customHeight="1"/>
    <row r="49494" ht="26.25" customHeight="1"/>
    <row r="49495" ht="26.25" customHeight="1"/>
    <row r="49496" ht="26.25" customHeight="1"/>
    <row r="49497" ht="26.25" customHeight="1"/>
    <row r="49498" ht="26.25" customHeight="1"/>
    <row r="49499" ht="26.25" customHeight="1"/>
    <row r="49500" ht="26.25" customHeight="1"/>
    <row r="49501" ht="26.25" customHeight="1"/>
    <row r="49502" ht="26.25" customHeight="1"/>
    <row r="49503" ht="26.25" customHeight="1"/>
    <row r="49504" ht="26.25" customHeight="1"/>
    <row r="49505" ht="26.25" customHeight="1"/>
    <row r="49506" ht="26.25" customHeight="1"/>
    <row r="49507" ht="26.25" customHeight="1"/>
    <row r="49508" ht="26.25" customHeight="1"/>
    <row r="49509" ht="26.25" customHeight="1"/>
    <row r="49510" ht="26.25" customHeight="1"/>
    <row r="49511" ht="26.25" customHeight="1"/>
    <row r="49512" ht="26.25" customHeight="1"/>
    <row r="49513" ht="26.25" customHeight="1"/>
    <row r="49514" ht="26.25" customHeight="1"/>
    <row r="49515" ht="26.25" customHeight="1"/>
    <row r="49516" ht="26.25" customHeight="1"/>
    <row r="49517" ht="26.25" customHeight="1"/>
    <row r="49518" ht="26.25" customHeight="1"/>
    <row r="49519" ht="26.25" customHeight="1"/>
    <row r="49520" ht="26.25" customHeight="1"/>
    <row r="49521" ht="26.25" customHeight="1"/>
    <row r="49522" ht="26.25" customHeight="1"/>
    <row r="49523" ht="26.25" customHeight="1"/>
    <row r="49524" ht="26.25" customHeight="1"/>
    <row r="49525" ht="26.25" customHeight="1"/>
    <row r="49526" ht="26.25" customHeight="1"/>
    <row r="49527" ht="26.25" customHeight="1"/>
    <row r="49528" ht="26.25" customHeight="1"/>
    <row r="49529" ht="26.25" customHeight="1"/>
    <row r="49530" ht="26.25" customHeight="1"/>
    <row r="49531" ht="26.25" customHeight="1"/>
    <row r="49532" ht="26.25" customHeight="1"/>
    <row r="49533" ht="26.25" customHeight="1"/>
    <row r="49534" ht="26.25" customHeight="1"/>
    <row r="49535" ht="26.25" customHeight="1"/>
    <row r="49536" ht="26.25" customHeight="1"/>
    <row r="49537" ht="26.25" customHeight="1"/>
    <row r="49538" ht="26.25" customHeight="1"/>
    <row r="49539" ht="26.25" customHeight="1"/>
    <row r="49540" ht="26.25" customHeight="1"/>
    <row r="49541" ht="26.25" customHeight="1"/>
    <row r="49542" ht="26.25" customHeight="1"/>
    <row r="49543" ht="26.25" customHeight="1"/>
    <row r="49544" ht="26.25" customHeight="1"/>
    <row r="49545" ht="26.25" customHeight="1"/>
    <row r="49546" ht="26.25" customHeight="1"/>
    <row r="49547" ht="26.25" customHeight="1"/>
    <row r="49548" ht="26.25" customHeight="1"/>
    <row r="49549" ht="26.25" customHeight="1"/>
    <row r="49550" ht="26.25" customHeight="1"/>
    <row r="49551" ht="26.25" customHeight="1"/>
    <row r="49552" ht="26.25" customHeight="1"/>
    <row r="49553" ht="26.25" customHeight="1"/>
    <row r="49554" ht="26.25" customHeight="1"/>
    <row r="49555" ht="26.25" customHeight="1"/>
    <row r="49556" ht="26.25" customHeight="1"/>
    <row r="49557" ht="26.25" customHeight="1"/>
    <row r="49558" ht="26.25" customHeight="1"/>
    <row r="49559" ht="26.25" customHeight="1"/>
    <row r="49560" ht="26.25" customHeight="1"/>
    <row r="49561" ht="26.25" customHeight="1"/>
    <row r="49562" ht="26.25" customHeight="1"/>
    <row r="49563" ht="26.25" customHeight="1"/>
    <row r="49564" ht="26.25" customHeight="1"/>
    <row r="49565" ht="26.25" customHeight="1"/>
    <row r="49566" ht="26.25" customHeight="1"/>
    <row r="49567" ht="26.25" customHeight="1"/>
    <row r="49568" ht="26.25" customHeight="1"/>
    <row r="49569" ht="26.25" customHeight="1"/>
    <row r="49570" ht="26.25" customHeight="1"/>
    <row r="49571" ht="26.25" customHeight="1"/>
    <row r="49572" ht="26.25" customHeight="1"/>
    <row r="49573" ht="26.25" customHeight="1"/>
    <row r="49574" ht="26.25" customHeight="1"/>
    <row r="49575" ht="26.25" customHeight="1"/>
    <row r="49576" ht="26.25" customHeight="1"/>
    <row r="49577" ht="26.25" customHeight="1"/>
    <row r="49578" ht="26.25" customHeight="1"/>
    <row r="49579" ht="26.25" customHeight="1"/>
    <row r="49580" ht="26.25" customHeight="1"/>
    <row r="49581" ht="26.25" customHeight="1"/>
    <row r="49582" ht="26.25" customHeight="1"/>
    <row r="49583" ht="26.25" customHeight="1"/>
    <row r="49584" ht="26.25" customHeight="1"/>
    <row r="49585" ht="26.25" customHeight="1"/>
    <row r="49586" ht="26.25" customHeight="1"/>
    <row r="49587" ht="26.25" customHeight="1"/>
    <row r="49588" ht="26.25" customHeight="1"/>
    <row r="49589" ht="26.25" customHeight="1"/>
    <row r="49590" ht="26.25" customHeight="1"/>
    <row r="49591" ht="26.25" customHeight="1"/>
    <row r="49592" ht="26.25" customHeight="1"/>
    <row r="49593" ht="26.25" customHeight="1"/>
    <row r="49594" ht="26.25" customHeight="1"/>
    <row r="49595" ht="26.25" customHeight="1"/>
    <row r="49596" ht="26.25" customHeight="1"/>
    <row r="49597" ht="26.25" customHeight="1"/>
    <row r="49598" ht="26.25" customHeight="1"/>
    <row r="49599" ht="26.25" customHeight="1"/>
    <row r="49600" ht="26.25" customHeight="1"/>
    <row r="49601" ht="26.25" customHeight="1"/>
    <row r="49602" ht="26.25" customHeight="1"/>
    <row r="49603" ht="26.25" customHeight="1"/>
    <row r="49604" ht="26.25" customHeight="1"/>
    <row r="49605" ht="26.25" customHeight="1"/>
    <row r="49606" ht="26.25" customHeight="1"/>
    <row r="49607" ht="26.25" customHeight="1"/>
    <row r="49608" ht="26.25" customHeight="1"/>
    <row r="49609" ht="26.25" customHeight="1"/>
    <row r="49610" ht="26.25" customHeight="1"/>
    <row r="49611" ht="26.25" customHeight="1"/>
    <row r="49612" ht="26.25" customHeight="1"/>
    <row r="49613" ht="26.25" customHeight="1"/>
    <row r="49614" ht="26.25" customHeight="1"/>
    <row r="49615" ht="26.25" customHeight="1"/>
    <row r="49616" ht="26.25" customHeight="1"/>
    <row r="49617" ht="26.25" customHeight="1"/>
    <row r="49618" ht="26.25" customHeight="1"/>
    <row r="49619" ht="26.25" customHeight="1"/>
    <row r="49620" ht="26.25" customHeight="1"/>
    <row r="49621" ht="26.25" customHeight="1"/>
    <row r="49622" ht="26.25" customHeight="1"/>
    <row r="49623" ht="26.25" customHeight="1"/>
    <row r="49624" ht="26.25" customHeight="1"/>
    <row r="49625" ht="26.25" customHeight="1"/>
    <row r="49626" ht="26.25" customHeight="1"/>
    <row r="49627" ht="26.25" customHeight="1"/>
    <row r="49628" ht="26.25" customHeight="1"/>
    <row r="49629" ht="26.25" customHeight="1"/>
    <row r="49630" ht="26.25" customHeight="1"/>
    <row r="49631" ht="26.25" customHeight="1"/>
    <row r="49632" ht="26.25" customHeight="1"/>
    <row r="49633" ht="26.25" customHeight="1"/>
    <row r="49634" ht="26.25" customHeight="1"/>
    <row r="49635" ht="26.25" customHeight="1"/>
    <row r="49636" ht="26.25" customHeight="1"/>
    <row r="49637" ht="26.25" customHeight="1"/>
    <row r="49638" ht="26.25" customHeight="1"/>
    <row r="49639" ht="26.25" customHeight="1"/>
    <row r="49640" ht="26.25" customHeight="1"/>
    <row r="49641" ht="26.25" customHeight="1"/>
    <row r="49642" ht="26.25" customHeight="1"/>
    <row r="49643" ht="26.25" customHeight="1"/>
    <row r="49644" ht="26.25" customHeight="1"/>
    <row r="49645" ht="26.25" customHeight="1"/>
    <row r="49646" ht="26.25" customHeight="1"/>
    <row r="49647" ht="26.25" customHeight="1"/>
    <row r="49648" ht="26.25" customHeight="1"/>
    <row r="49649" ht="26.25" customHeight="1"/>
    <row r="49650" ht="26.25" customHeight="1"/>
    <row r="49651" ht="26.25" customHeight="1"/>
    <row r="49652" ht="26.25" customHeight="1"/>
    <row r="49653" ht="26.25" customHeight="1"/>
    <row r="49654" ht="26.25" customHeight="1"/>
    <row r="49655" ht="26.25" customHeight="1"/>
    <row r="49656" ht="26.25" customHeight="1"/>
    <row r="49657" ht="26.25" customHeight="1"/>
    <row r="49658" ht="26.25" customHeight="1"/>
    <row r="49659" ht="26.25" customHeight="1"/>
    <row r="49660" ht="26.25" customHeight="1"/>
    <row r="49661" ht="26.25" customHeight="1"/>
    <row r="49662" ht="26.25" customHeight="1"/>
    <row r="49663" ht="26.25" customHeight="1"/>
    <row r="49664" ht="26.25" customHeight="1"/>
    <row r="49665" ht="26.25" customHeight="1"/>
    <row r="49666" ht="26.25" customHeight="1"/>
    <row r="49667" ht="26.25" customHeight="1"/>
    <row r="49668" ht="26.25" customHeight="1"/>
    <row r="49669" ht="26.25" customHeight="1"/>
    <row r="49670" ht="26.25" customHeight="1"/>
    <row r="49671" ht="26.25" customHeight="1"/>
    <row r="49672" ht="26.25" customHeight="1"/>
    <row r="49673" ht="26.25" customHeight="1"/>
    <row r="49674" ht="26.25" customHeight="1"/>
    <row r="49675" ht="26.25" customHeight="1"/>
    <row r="49676" ht="26.25" customHeight="1"/>
    <row r="49677" ht="26.25" customHeight="1"/>
    <row r="49678" ht="26.25" customHeight="1"/>
    <row r="49679" ht="26.25" customHeight="1"/>
    <row r="49680" ht="26.25" customHeight="1"/>
    <row r="49681" ht="26.25" customHeight="1"/>
    <row r="49682" ht="26.25" customHeight="1"/>
    <row r="49683" ht="26.25" customHeight="1"/>
    <row r="49684" ht="26.25" customHeight="1"/>
    <row r="49685" ht="26.25" customHeight="1"/>
    <row r="49686" ht="26.25" customHeight="1"/>
    <row r="49687" ht="26.25" customHeight="1"/>
    <row r="49688" ht="26.25" customHeight="1"/>
    <row r="49689" ht="26.25" customHeight="1"/>
    <row r="49690" ht="26.25" customHeight="1"/>
    <row r="49691" ht="26.25" customHeight="1"/>
    <row r="49692" ht="26.25" customHeight="1"/>
    <row r="49693" ht="26.25" customHeight="1"/>
    <row r="49694" ht="26.25" customHeight="1"/>
    <row r="49695" ht="26.25" customHeight="1"/>
    <row r="49696" ht="26.25" customHeight="1"/>
    <row r="49697" ht="26.25" customHeight="1"/>
    <row r="49698" ht="26.25" customHeight="1"/>
    <row r="49699" ht="26.25" customHeight="1"/>
    <row r="49700" ht="26.25" customHeight="1"/>
    <row r="49701" ht="26.25" customHeight="1"/>
    <row r="49702" ht="26.25" customHeight="1"/>
    <row r="49703" ht="26.25" customHeight="1"/>
    <row r="49704" ht="26.25" customHeight="1"/>
    <row r="49705" ht="26.25" customHeight="1"/>
    <row r="49706" ht="26.25" customHeight="1"/>
    <row r="49707" ht="26.25" customHeight="1"/>
    <row r="49708" ht="26.25" customHeight="1"/>
    <row r="49709" ht="26.25" customHeight="1"/>
    <row r="49710" ht="26.25" customHeight="1"/>
    <row r="49711" ht="26.25" customHeight="1"/>
    <row r="49712" ht="26.25" customHeight="1"/>
    <row r="49713" ht="26.25" customHeight="1"/>
    <row r="49714" ht="26.25" customHeight="1"/>
    <row r="49715" ht="26.25" customHeight="1"/>
    <row r="49716" ht="26.25" customHeight="1"/>
    <row r="49717" ht="26.25" customHeight="1"/>
    <row r="49718" ht="26.25" customHeight="1"/>
    <row r="49719" ht="26.25" customHeight="1"/>
    <row r="49720" ht="26.25" customHeight="1"/>
    <row r="49721" ht="26.25" customHeight="1"/>
    <row r="49722" ht="26.25" customHeight="1"/>
    <row r="49723" ht="26.25" customHeight="1"/>
    <row r="49724" ht="26.25" customHeight="1"/>
    <row r="49725" ht="26.25" customHeight="1"/>
    <row r="49726" ht="26.25" customHeight="1"/>
    <row r="49727" ht="26.25" customHeight="1"/>
    <row r="49728" ht="26.25" customHeight="1"/>
    <row r="49729" ht="26.25" customHeight="1"/>
    <row r="49730" ht="26.25" customHeight="1"/>
    <row r="49731" ht="26.25" customHeight="1"/>
    <row r="49732" ht="26.25" customHeight="1"/>
    <row r="49733" ht="26.25" customHeight="1"/>
    <row r="49734" ht="26.25" customHeight="1"/>
    <row r="49735" ht="26.25" customHeight="1"/>
    <row r="49736" ht="26.25" customHeight="1"/>
    <row r="49737" ht="26.25" customHeight="1"/>
    <row r="49738" ht="26.25" customHeight="1"/>
    <row r="49739" ht="26.25" customHeight="1"/>
    <row r="49740" ht="26.25" customHeight="1"/>
    <row r="49741" ht="26.25" customHeight="1"/>
    <row r="49742" ht="26.25" customHeight="1"/>
    <row r="49743" ht="26.25" customHeight="1"/>
    <row r="49744" ht="26.25" customHeight="1"/>
    <row r="49745" ht="26.25" customHeight="1"/>
    <row r="49746" ht="26.25" customHeight="1"/>
    <row r="49747" ht="26.25" customHeight="1"/>
    <row r="49748" ht="26.25" customHeight="1"/>
    <row r="49749" ht="26.25" customHeight="1"/>
    <row r="49750" ht="26.25" customHeight="1"/>
    <row r="49751" ht="26.25" customHeight="1"/>
    <row r="49752" ht="26.25" customHeight="1"/>
    <row r="49753" ht="26.25" customHeight="1"/>
    <row r="49754" ht="26.25" customHeight="1"/>
    <row r="49755" ht="26.25" customHeight="1"/>
    <row r="49756" ht="26.25" customHeight="1"/>
    <row r="49757" ht="26.25" customHeight="1"/>
    <row r="49758" ht="26.25" customHeight="1"/>
    <row r="49759" ht="26.25" customHeight="1"/>
    <row r="49760" ht="26.25" customHeight="1"/>
    <row r="49761" ht="26.25" customHeight="1"/>
    <row r="49762" ht="26.25" customHeight="1"/>
    <row r="49763" ht="26.25" customHeight="1"/>
    <row r="49764" ht="26.25" customHeight="1"/>
    <row r="49765" ht="26.25" customHeight="1"/>
    <row r="49766" ht="26.25" customHeight="1"/>
    <row r="49767" ht="26.25" customHeight="1"/>
    <row r="49768" ht="26.25" customHeight="1"/>
    <row r="49769" ht="26.25" customHeight="1"/>
    <row r="49770" ht="26.25" customHeight="1"/>
    <row r="49771" ht="26.25" customHeight="1"/>
    <row r="49772" ht="26.25" customHeight="1"/>
    <row r="49773" ht="26.25" customHeight="1"/>
    <row r="49774" ht="26.25" customHeight="1"/>
    <row r="49775" ht="26.25" customHeight="1"/>
    <row r="49776" ht="26.25" customHeight="1"/>
    <row r="49777" ht="26.25" customHeight="1"/>
    <row r="49778" ht="26.25" customHeight="1"/>
    <row r="49779" ht="26.25" customHeight="1"/>
    <row r="49780" ht="26.25" customHeight="1"/>
    <row r="49781" ht="26.25" customHeight="1"/>
    <row r="49782" ht="26.25" customHeight="1"/>
    <row r="49783" ht="26.25" customHeight="1"/>
    <row r="49784" ht="26.25" customHeight="1"/>
    <row r="49785" ht="26.25" customHeight="1"/>
    <row r="49786" ht="26.25" customHeight="1"/>
    <row r="49787" ht="26.25" customHeight="1"/>
    <row r="49788" ht="26.25" customHeight="1"/>
    <row r="49789" ht="26.25" customHeight="1"/>
    <row r="49790" ht="26.25" customHeight="1"/>
    <row r="49791" ht="26.25" customHeight="1"/>
    <row r="49792" ht="26.25" customHeight="1"/>
    <row r="49793" ht="26.25" customHeight="1"/>
    <row r="49794" ht="26.25" customHeight="1"/>
    <row r="49795" ht="26.25" customHeight="1"/>
    <row r="49796" ht="26.25" customHeight="1"/>
    <row r="49797" ht="26.25" customHeight="1"/>
    <row r="49798" ht="26.25" customHeight="1"/>
    <row r="49799" ht="26.25" customHeight="1"/>
    <row r="49800" ht="26.25" customHeight="1"/>
    <row r="49801" ht="26.25" customHeight="1"/>
    <row r="49802" ht="26.25" customHeight="1"/>
    <row r="49803" ht="26.25" customHeight="1"/>
    <row r="49804" ht="26.25" customHeight="1"/>
    <row r="49805" ht="26.25" customHeight="1"/>
    <row r="49806" ht="26.25" customHeight="1"/>
    <row r="49807" ht="26.25" customHeight="1"/>
    <row r="49808" ht="26.25" customHeight="1"/>
    <row r="49809" ht="26.25" customHeight="1"/>
    <row r="49810" ht="26.25" customHeight="1"/>
    <row r="49811" ht="26.25" customHeight="1"/>
    <row r="49812" ht="26.25" customHeight="1"/>
    <row r="49813" ht="26.25" customHeight="1"/>
    <row r="49814" ht="26.25" customHeight="1"/>
    <row r="49815" ht="26.25" customHeight="1"/>
    <row r="49816" ht="26.25" customHeight="1"/>
    <row r="49817" ht="26.25" customHeight="1"/>
    <row r="49818" ht="26.25" customHeight="1"/>
    <row r="49819" ht="26.25" customHeight="1"/>
    <row r="49820" ht="26.25" customHeight="1"/>
    <row r="49821" ht="26.25" customHeight="1"/>
    <row r="49822" ht="26.25" customHeight="1"/>
    <row r="49823" ht="26.25" customHeight="1"/>
    <row r="49824" ht="26.25" customHeight="1"/>
    <row r="49825" ht="26.25" customHeight="1"/>
    <row r="49826" ht="26.25" customHeight="1"/>
    <row r="49827" ht="26.25" customHeight="1"/>
    <row r="49828" ht="26.25" customHeight="1"/>
    <row r="49829" ht="26.25" customHeight="1"/>
    <row r="49830" ht="26.25" customHeight="1"/>
    <row r="49831" ht="26.25" customHeight="1"/>
    <row r="49832" ht="26.25" customHeight="1"/>
    <row r="49833" ht="26.25" customHeight="1"/>
    <row r="49834" ht="26.25" customHeight="1"/>
    <row r="49835" ht="26.25" customHeight="1"/>
    <row r="49836" ht="26.25" customHeight="1"/>
    <row r="49837" ht="26.25" customHeight="1"/>
    <row r="49838" ht="26.25" customHeight="1"/>
    <row r="49839" ht="26.25" customHeight="1"/>
    <row r="49840" ht="26.25" customHeight="1"/>
    <row r="49841" ht="26.25" customHeight="1"/>
    <row r="49842" ht="26.25" customHeight="1"/>
    <row r="49843" ht="26.25" customHeight="1"/>
    <row r="49844" ht="26.25" customHeight="1"/>
    <row r="49845" ht="26.25" customHeight="1"/>
    <row r="49846" ht="26.25" customHeight="1"/>
    <row r="49847" ht="26.25" customHeight="1"/>
    <row r="49848" ht="26.25" customHeight="1"/>
    <row r="49849" ht="26.25" customHeight="1"/>
    <row r="49850" ht="26.25" customHeight="1"/>
    <row r="49851" ht="26.25" customHeight="1"/>
    <row r="49852" ht="26.25" customHeight="1"/>
    <row r="49853" ht="26.25" customHeight="1"/>
    <row r="49854" ht="26.25" customHeight="1"/>
    <row r="49855" ht="26.25" customHeight="1"/>
    <row r="49856" ht="26.25" customHeight="1"/>
    <row r="49857" ht="26.25" customHeight="1"/>
    <row r="49858" ht="26.25" customHeight="1"/>
    <row r="49859" ht="26.25" customHeight="1"/>
    <row r="49860" ht="26.25" customHeight="1"/>
    <row r="49861" ht="26.25" customHeight="1"/>
    <row r="49862" ht="26.25" customHeight="1"/>
    <row r="49863" ht="26.25" customHeight="1"/>
    <row r="49864" ht="26.25" customHeight="1"/>
    <row r="49865" ht="26.25" customHeight="1"/>
    <row r="49866" ht="26.25" customHeight="1"/>
    <row r="49867" ht="26.25" customHeight="1"/>
    <row r="49868" ht="26.25" customHeight="1"/>
    <row r="49869" ht="26.25" customHeight="1"/>
    <row r="49870" ht="26.25" customHeight="1"/>
    <row r="49871" ht="26.25" customHeight="1"/>
    <row r="49872" ht="26.25" customHeight="1"/>
    <row r="49873" ht="26.25" customHeight="1"/>
    <row r="49874" ht="26.25" customHeight="1"/>
    <row r="49875" ht="26.25" customHeight="1"/>
    <row r="49876" ht="26.25" customHeight="1"/>
    <row r="49877" ht="26.25" customHeight="1"/>
    <row r="49878" ht="26.25" customHeight="1"/>
    <row r="49879" ht="26.25" customHeight="1"/>
    <row r="49880" ht="26.25" customHeight="1"/>
    <row r="49881" ht="26.25" customHeight="1"/>
    <row r="49882" ht="26.25" customHeight="1"/>
    <row r="49883" ht="26.25" customHeight="1"/>
    <row r="49884" ht="26.25" customHeight="1"/>
    <row r="49885" ht="26.25" customHeight="1"/>
    <row r="49886" ht="26.25" customHeight="1"/>
    <row r="49887" ht="26.25" customHeight="1"/>
    <row r="49888" ht="26.25" customHeight="1"/>
    <row r="49889" ht="26.25" customHeight="1"/>
    <row r="49890" ht="26.25" customHeight="1"/>
    <row r="49891" ht="26.25" customHeight="1"/>
    <row r="49892" ht="26.25" customHeight="1"/>
    <row r="49893" ht="26.25" customHeight="1"/>
    <row r="49894" ht="26.25" customHeight="1"/>
    <row r="49895" ht="26.25" customHeight="1"/>
    <row r="49896" ht="26.25" customHeight="1"/>
    <row r="49897" ht="26.25" customHeight="1"/>
    <row r="49898" ht="26.25" customHeight="1"/>
    <row r="49899" ht="26.25" customHeight="1"/>
    <row r="49900" ht="26.25" customHeight="1"/>
    <row r="49901" ht="26.25" customHeight="1"/>
    <row r="49902" ht="26.25" customHeight="1"/>
    <row r="49903" ht="26.25" customHeight="1"/>
    <row r="49904" ht="26.25" customHeight="1"/>
    <row r="49905" ht="26.25" customHeight="1"/>
    <row r="49906" ht="26.25" customHeight="1"/>
    <row r="49907" ht="26.25" customHeight="1"/>
    <row r="49908" ht="26.25" customHeight="1"/>
    <row r="49909" ht="26.25" customHeight="1"/>
    <row r="49910" ht="26.25" customHeight="1"/>
    <row r="49911" ht="26.25" customHeight="1"/>
    <row r="49912" ht="26.25" customHeight="1"/>
    <row r="49913" ht="26.25" customHeight="1"/>
    <row r="49914" ht="26.25" customHeight="1"/>
    <row r="49915" ht="26.25" customHeight="1"/>
    <row r="49916" ht="26.25" customHeight="1"/>
    <row r="49917" ht="26.25" customHeight="1"/>
    <row r="49918" ht="26.25" customHeight="1"/>
    <row r="49919" ht="26.25" customHeight="1"/>
    <row r="49920" ht="26.25" customHeight="1"/>
    <row r="49921" ht="26.25" customHeight="1"/>
    <row r="49922" ht="26.25" customHeight="1"/>
    <row r="49923" ht="26.25" customHeight="1"/>
    <row r="49924" ht="26.25" customHeight="1"/>
    <row r="49925" ht="26.25" customHeight="1"/>
    <row r="49926" ht="26.25" customHeight="1"/>
    <row r="49927" ht="26.25" customHeight="1"/>
    <row r="49928" ht="26.25" customHeight="1"/>
    <row r="49929" ht="26.25" customHeight="1"/>
    <row r="49930" ht="26.25" customHeight="1"/>
    <row r="49931" ht="26.25" customHeight="1"/>
    <row r="49932" ht="26.25" customHeight="1"/>
    <row r="49933" ht="26.25" customHeight="1"/>
    <row r="49934" ht="26.25" customHeight="1"/>
    <row r="49935" ht="26.25" customHeight="1"/>
    <row r="49936" ht="26.25" customHeight="1"/>
    <row r="49937" ht="26.25" customHeight="1"/>
    <row r="49938" ht="26.25" customHeight="1"/>
    <row r="49939" ht="26.25" customHeight="1"/>
    <row r="49940" ht="26.25" customHeight="1"/>
    <row r="49941" ht="26.25" customHeight="1"/>
    <row r="49942" ht="26.25" customHeight="1"/>
    <row r="49943" ht="26.25" customHeight="1"/>
    <row r="49944" ht="26.25" customHeight="1"/>
    <row r="49945" ht="26.25" customHeight="1"/>
    <row r="49946" ht="26.25" customHeight="1"/>
    <row r="49947" ht="26.25" customHeight="1"/>
    <row r="49948" ht="26.25" customHeight="1"/>
    <row r="49949" ht="26.25" customHeight="1"/>
    <row r="49950" ht="26.25" customHeight="1"/>
    <row r="49951" ht="26.25" customHeight="1"/>
    <row r="49952" ht="26.25" customHeight="1"/>
    <row r="49953" ht="26.25" customHeight="1"/>
    <row r="49954" ht="26.25" customHeight="1"/>
    <row r="49955" ht="26.25" customHeight="1"/>
    <row r="49956" ht="26.25" customHeight="1"/>
    <row r="49957" ht="26.25" customHeight="1"/>
    <row r="49958" ht="26.25" customHeight="1"/>
    <row r="49959" ht="26.25" customHeight="1"/>
    <row r="49960" ht="26.25" customHeight="1"/>
    <row r="49961" ht="26.25" customHeight="1"/>
    <row r="49962" ht="26.25" customHeight="1"/>
    <row r="49963" ht="26.25" customHeight="1"/>
    <row r="49964" ht="26.25" customHeight="1"/>
    <row r="49965" ht="26.25" customHeight="1"/>
    <row r="49966" ht="26.25" customHeight="1"/>
    <row r="49967" ht="26.25" customHeight="1"/>
    <row r="49968" ht="26.25" customHeight="1"/>
    <row r="49969" ht="26.25" customHeight="1"/>
    <row r="49970" ht="26.25" customHeight="1"/>
    <row r="49971" ht="26.25" customHeight="1"/>
    <row r="49972" ht="26.25" customHeight="1"/>
    <row r="49973" ht="26.25" customHeight="1"/>
    <row r="49974" ht="26.25" customHeight="1"/>
    <row r="49975" ht="26.25" customHeight="1"/>
    <row r="49976" ht="26.25" customHeight="1"/>
    <row r="49977" ht="26.25" customHeight="1"/>
    <row r="49978" ht="26.25" customHeight="1"/>
    <row r="49979" ht="26.25" customHeight="1"/>
    <row r="49980" ht="26.25" customHeight="1"/>
    <row r="49981" ht="26.25" customHeight="1"/>
    <row r="49982" ht="26.25" customHeight="1"/>
    <row r="49983" ht="26.25" customHeight="1"/>
    <row r="49984" ht="26.25" customHeight="1"/>
    <row r="49985" ht="26.25" customHeight="1"/>
    <row r="49986" ht="26.25" customHeight="1"/>
    <row r="49987" ht="26.25" customHeight="1"/>
    <row r="49988" ht="26.25" customHeight="1"/>
    <row r="49989" ht="26.25" customHeight="1"/>
    <row r="49990" ht="26.25" customHeight="1"/>
    <row r="49991" ht="26.25" customHeight="1"/>
    <row r="49992" ht="26.25" customHeight="1"/>
    <row r="49993" ht="26.25" customHeight="1"/>
    <row r="49994" ht="26.25" customHeight="1"/>
    <row r="49995" ht="26.25" customHeight="1"/>
    <row r="49996" ht="26.25" customHeight="1"/>
    <row r="49997" ht="26.25" customHeight="1"/>
    <row r="49998" ht="26.25" customHeight="1"/>
    <row r="49999" ht="26.25" customHeight="1"/>
    <row r="50000" ht="26.25" customHeight="1"/>
    <row r="50001" ht="26.25" customHeight="1"/>
    <row r="50002" ht="26.25" customHeight="1"/>
    <row r="50003" ht="26.25" customHeight="1"/>
    <row r="50004" ht="26.25" customHeight="1"/>
    <row r="50005" ht="26.25" customHeight="1"/>
    <row r="50006" ht="26.25" customHeight="1"/>
    <row r="50007" ht="26.25" customHeight="1"/>
    <row r="50008" ht="26.25" customHeight="1"/>
    <row r="50009" ht="26.25" customHeight="1"/>
    <row r="50010" ht="26.25" customHeight="1"/>
    <row r="50011" ht="26.25" customHeight="1"/>
    <row r="50012" ht="26.25" customHeight="1"/>
    <row r="50013" ht="26.25" customHeight="1"/>
    <row r="50014" ht="26.25" customHeight="1"/>
    <row r="50015" ht="26.25" customHeight="1"/>
    <row r="50016" ht="26.25" customHeight="1"/>
    <row r="50017" ht="26.25" customHeight="1"/>
    <row r="50018" ht="26.25" customHeight="1"/>
    <row r="50019" ht="26.25" customHeight="1"/>
    <row r="50020" ht="26.25" customHeight="1"/>
    <row r="50021" ht="26.25" customHeight="1"/>
    <row r="50022" ht="26.25" customHeight="1"/>
    <row r="50023" ht="26.25" customHeight="1"/>
    <row r="50024" ht="26.25" customHeight="1"/>
    <row r="50025" ht="26.25" customHeight="1"/>
    <row r="50026" ht="26.25" customHeight="1"/>
    <row r="50027" ht="26.25" customHeight="1"/>
    <row r="50028" ht="26.25" customHeight="1"/>
    <row r="50029" ht="26.25" customHeight="1"/>
    <row r="50030" ht="26.25" customHeight="1"/>
    <row r="50031" ht="26.25" customHeight="1"/>
    <row r="50032" ht="26.25" customHeight="1"/>
    <row r="50033" ht="26.25" customHeight="1"/>
    <row r="50034" ht="26.25" customHeight="1"/>
    <row r="50035" ht="26.25" customHeight="1"/>
    <row r="50036" ht="26.25" customHeight="1"/>
    <row r="50037" ht="26.25" customHeight="1"/>
    <row r="50038" ht="26.25" customHeight="1"/>
    <row r="50039" ht="26.25" customHeight="1"/>
    <row r="50040" ht="26.25" customHeight="1"/>
    <row r="50041" ht="26.25" customHeight="1"/>
    <row r="50042" ht="26.25" customHeight="1"/>
    <row r="50043" ht="26.25" customHeight="1"/>
    <row r="50044" ht="26.25" customHeight="1"/>
    <row r="50045" ht="26.25" customHeight="1"/>
    <row r="50046" ht="26.25" customHeight="1"/>
    <row r="50047" ht="26.25" customHeight="1"/>
    <row r="50048" ht="26.25" customHeight="1"/>
    <row r="50049" ht="26.25" customHeight="1"/>
    <row r="50050" ht="26.25" customHeight="1"/>
    <row r="50051" ht="26.25" customHeight="1"/>
    <row r="50052" ht="26.25" customHeight="1"/>
    <row r="50053" ht="26.25" customHeight="1"/>
    <row r="50054" ht="26.25" customHeight="1"/>
    <row r="50055" ht="26.25" customHeight="1"/>
    <row r="50056" ht="26.25" customHeight="1"/>
    <row r="50057" ht="26.25" customHeight="1"/>
    <row r="50058" ht="26.25" customHeight="1"/>
    <row r="50059" ht="26.25" customHeight="1"/>
    <row r="50060" ht="26.25" customHeight="1"/>
    <row r="50061" ht="26.25" customHeight="1"/>
    <row r="50062" ht="26.25" customHeight="1"/>
    <row r="50063" ht="26.25" customHeight="1"/>
    <row r="50064" ht="26.25" customHeight="1"/>
    <row r="50065" ht="26.25" customHeight="1"/>
    <row r="50066" ht="26.25" customHeight="1"/>
    <row r="50067" ht="26.25" customHeight="1"/>
    <row r="50068" ht="26.25" customHeight="1"/>
    <row r="50069" ht="26.25" customHeight="1"/>
    <row r="50070" ht="26.25" customHeight="1"/>
    <row r="50071" ht="26.25" customHeight="1"/>
    <row r="50072" ht="26.25" customHeight="1"/>
    <row r="50073" ht="26.25" customHeight="1"/>
    <row r="50074" ht="26.25" customHeight="1"/>
    <row r="50075" ht="26.25" customHeight="1"/>
    <row r="50076" ht="26.25" customHeight="1"/>
    <row r="50077" ht="26.25" customHeight="1"/>
    <row r="50078" ht="26.25" customHeight="1"/>
    <row r="50079" ht="26.25" customHeight="1"/>
    <row r="50080" ht="26.25" customHeight="1"/>
    <row r="50081" ht="26.25" customHeight="1"/>
    <row r="50082" ht="26.25" customHeight="1"/>
    <row r="50083" ht="26.25" customHeight="1"/>
    <row r="50084" ht="26.25" customHeight="1"/>
    <row r="50085" ht="26.25" customHeight="1"/>
    <row r="50086" ht="26.25" customHeight="1"/>
    <row r="50087" ht="26.25" customHeight="1"/>
    <row r="50088" ht="26.25" customHeight="1"/>
    <row r="50089" ht="26.25" customHeight="1"/>
    <row r="50090" ht="26.25" customHeight="1"/>
    <row r="50091" ht="26.25" customHeight="1"/>
    <row r="50092" ht="26.25" customHeight="1"/>
    <row r="50093" ht="26.25" customHeight="1"/>
    <row r="50094" ht="26.25" customHeight="1"/>
    <row r="50095" ht="26.25" customHeight="1"/>
    <row r="50096" ht="26.25" customHeight="1"/>
    <row r="50097" ht="26.25" customHeight="1"/>
    <row r="50098" ht="26.25" customHeight="1"/>
    <row r="50099" ht="26.25" customHeight="1"/>
    <row r="50100" ht="26.25" customHeight="1"/>
    <row r="50101" ht="26.25" customHeight="1"/>
    <row r="50102" ht="26.25" customHeight="1"/>
    <row r="50103" ht="26.25" customHeight="1"/>
    <row r="50104" ht="26.25" customHeight="1"/>
    <row r="50105" ht="26.25" customHeight="1"/>
    <row r="50106" ht="26.25" customHeight="1"/>
    <row r="50107" ht="26.25" customHeight="1"/>
    <row r="50108" ht="26.25" customHeight="1"/>
    <row r="50109" ht="26.25" customHeight="1"/>
    <row r="50110" ht="26.25" customHeight="1"/>
    <row r="50111" ht="26.25" customHeight="1"/>
    <row r="50112" ht="26.25" customHeight="1"/>
    <row r="50113" ht="26.25" customHeight="1"/>
    <row r="50114" ht="26.25" customHeight="1"/>
    <row r="50115" ht="26.25" customHeight="1"/>
    <row r="50116" ht="26.25" customHeight="1"/>
    <row r="50117" ht="26.25" customHeight="1"/>
    <row r="50118" ht="26.25" customHeight="1"/>
    <row r="50119" ht="26.25" customHeight="1"/>
    <row r="50120" ht="26.25" customHeight="1"/>
    <row r="50121" ht="26.25" customHeight="1"/>
    <row r="50122" ht="26.25" customHeight="1"/>
    <row r="50123" ht="26.25" customHeight="1"/>
    <row r="50124" ht="26.25" customHeight="1"/>
    <row r="50125" ht="26.25" customHeight="1"/>
    <row r="50126" ht="26.25" customHeight="1"/>
    <row r="50127" ht="26.25" customHeight="1"/>
    <row r="50128" ht="26.25" customHeight="1"/>
    <row r="50129" ht="26.25" customHeight="1"/>
    <row r="50130" ht="26.25" customHeight="1"/>
    <row r="50131" ht="26.25" customHeight="1"/>
    <row r="50132" ht="26.25" customHeight="1"/>
    <row r="50133" ht="26.25" customHeight="1"/>
    <row r="50134" ht="26.25" customHeight="1"/>
    <row r="50135" ht="26.25" customHeight="1"/>
    <row r="50136" ht="26.25" customHeight="1"/>
    <row r="50137" ht="26.25" customHeight="1"/>
    <row r="50138" ht="26.25" customHeight="1"/>
    <row r="50139" ht="26.25" customHeight="1"/>
    <row r="50140" ht="26.25" customHeight="1"/>
    <row r="50141" ht="26.25" customHeight="1"/>
    <row r="50142" ht="26.25" customHeight="1"/>
    <row r="50143" ht="26.25" customHeight="1"/>
    <row r="50144" ht="26.25" customHeight="1"/>
    <row r="50145" ht="26.25" customHeight="1"/>
    <row r="50146" ht="26.25" customHeight="1"/>
    <row r="50147" ht="26.25" customHeight="1"/>
    <row r="50148" ht="26.25" customHeight="1"/>
    <row r="50149" ht="26.25" customHeight="1"/>
    <row r="50150" ht="26.25" customHeight="1"/>
    <row r="50151" ht="26.25" customHeight="1"/>
    <row r="50152" ht="26.25" customHeight="1"/>
    <row r="50153" ht="26.25" customHeight="1"/>
    <row r="50154" ht="26.25" customHeight="1"/>
    <row r="50155" ht="26.25" customHeight="1"/>
    <row r="50156" ht="26.25" customHeight="1"/>
    <row r="50157" ht="26.25" customHeight="1"/>
    <row r="50158" ht="26.25" customHeight="1"/>
    <row r="50159" ht="26.25" customHeight="1"/>
    <row r="50160" ht="26.25" customHeight="1"/>
    <row r="50161" ht="26.25" customHeight="1"/>
    <row r="50162" ht="26.25" customHeight="1"/>
    <row r="50163" ht="26.25" customHeight="1"/>
    <row r="50164" ht="26.25" customHeight="1"/>
    <row r="50165" ht="26.25" customHeight="1"/>
    <row r="50166" ht="26.25" customHeight="1"/>
    <row r="50167" ht="26.25" customHeight="1"/>
    <row r="50168" ht="26.25" customHeight="1"/>
    <row r="50169" ht="26.25" customHeight="1"/>
    <row r="50170" ht="26.25" customHeight="1"/>
    <row r="50171" ht="26.25" customHeight="1"/>
    <row r="50172" ht="26.25" customHeight="1"/>
    <row r="50173" ht="26.25" customHeight="1"/>
    <row r="50174" ht="26.25" customHeight="1"/>
    <row r="50175" ht="26.25" customHeight="1"/>
    <row r="50176" ht="26.25" customHeight="1"/>
    <row r="50177" ht="26.25" customHeight="1"/>
    <row r="50178" ht="26.25" customHeight="1"/>
    <row r="50179" ht="26.25" customHeight="1"/>
    <row r="50180" ht="26.25" customHeight="1"/>
    <row r="50181" ht="26.25" customHeight="1"/>
    <row r="50182" ht="26.25" customHeight="1"/>
    <row r="50183" ht="26.25" customHeight="1"/>
    <row r="50184" ht="26.25" customHeight="1"/>
    <row r="50185" ht="26.25" customHeight="1"/>
    <row r="50186" ht="26.25" customHeight="1"/>
    <row r="50187" ht="26.25" customHeight="1"/>
    <row r="50188" ht="26.25" customHeight="1"/>
    <row r="50189" ht="26.25" customHeight="1"/>
    <row r="50190" ht="26.25" customHeight="1"/>
    <row r="50191" ht="26.25" customHeight="1"/>
    <row r="50192" ht="26.25" customHeight="1"/>
    <row r="50193" ht="26.25" customHeight="1"/>
    <row r="50194" ht="26.25" customHeight="1"/>
    <row r="50195" ht="26.25" customHeight="1"/>
    <row r="50196" ht="26.25" customHeight="1"/>
    <row r="50197" ht="26.25" customHeight="1"/>
    <row r="50198" ht="26.25" customHeight="1"/>
    <row r="50199" ht="26.25" customHeight="1"/>
    <row r="50200" ht="26.25" customHeight="1"/>
    <row r="50201" ht="26.25" customHeight="1"/>
    <row r="50202" ht="26.25" customHeight="1"/>
    <row r="50203" ht="26.25" customHeight="1"/>
    <row r="50204" ht="26.25" customHeight="1"/>
    <row r="50205" ht="26.25" customHeight="1"/>
    <row r="50206" ht="26.25" customHeight="1"/>
    <row r="50207" ht="26.25" customHeight="1"/>
    <row r="50208" ht="26.25" customHeight="1"/>
    <row r="50209" ht="26.25" customHeight="1"/>
    <row r="50210" ht="26.25" customHeight="1"/>
    <row r="50211" ht="26.25" customHeight="1"/>
    <row r="50212" ht="26.25" customHeight="1"/>
    <row r="50213" ht="26.25" customHeight="1"/>
    <row r="50214" ht="26.25" customHeight="1"/>
    <row r="50215" ht="26.25" customHeight="1"/>
    <row r="50216" ht="26.25" customHeight="1"/>
    <row r="50217" ht="26.25" customHeight="1"/>
    <row r="50218" ht="26.25" customHeight="1"/>
    <row r="50219" ht="26.25" customHeight="1"/>
    <row r="50220" ht="26.25" customHeight="1"/>
    <row r="50221" ht="26.25" customHeight="1"/>
    <row r="50222" ht="26.25" customHeight="1"/>
    <row r="50223" ht="26.25" customHeight="1"/>
    <row r="50224" ht="26.25" customHeight="1"/>
    <row r="50225" ht="26.25" customHeight="1"/>
    <row r="50226" ht="26.25" customHeight="1"/>
    <row r="50227" ht="26.25" customHeight="1"/>
    <row r="50228" ht="26.25" customHeight="1"/>
    <row r="50229" ht="26.25" customHeight="1"/>
    <row r="50230" ht="26.25" customHeight="1"/>
    <row r="50231" ht="26.25" customHeight="1"/>
    <row r="50232" ht="26.25" customHeight="1"/>
    <row r="50233" ht="26.25" customHeight="1"/>
    <row r="50234" ht="26.25" customHeight="1"/>
    <row r="50235" ht="26.25" customHeight="1"/>
    <row r="50236" ht="26.25" customHeight="1"/>
    <row r="50237" ht="26.25" customHeight="1"/>
    <row r="50238" ht="26.25" customHeight="1"/>
    <row r="50239" ht="26.25" customHeight="1"/>
    <row r="50240" ht="26.25" customHeight="1"/>
    <row r="50241" ht="26.25" customHeight="1"/>
    <row r="50242" ht="26.25" customHeight="1"/>
    <row r="50243" ht="26.25" customHeight="1"/>
    <row r="50244" ht="26.25" customHeight="1"/>
    <row r="50245" ht="26.25" customHeight="1"/>
    <row r="50246" ht="26.25" customHeight="1"/>
    <row r="50247" ht="26.25" customHeight="1"/>
    <row r="50248" ht="26.25" customHeight="1"/>
    <row r="50249" ht="26.25" customHeight="1"/>
    <row r="50250" ht="26.25" customHeight="1"/>
    <row r="50251" ht="26.25" customHeight="1"/>
    <row r="50252" ht="26.25" customHeight="1"/>
    <row r="50253" ht="26.25" customHeight="1"/>
    <row r="50254" ht="26.25" customHeight="1"/>
    <row r="50255" ht="26.25" customHeight="1"/>
    <row r="50256" ht="26.25" customHeight="1"/>
    <row r="50257" ht="26.25" customHeight="1"/>
    <row r="50258" ht="26.25" customHeight="1"/>
    <row r="50259" ht="26.25" customHeight="1"/>
    <row r="50260" ht="26.25" customHeight="1"/>
    <row r="50261" ht="26.25" customHeight="1"/>
    <row r="50262" ht="26.25" customHeight="1"/>
    <row r="50263" ht="26.25" customHeight="1"/>
    <row r="50264" ht="26.25" customHeight="1"/>
    <row r="50265" ht="26.25" customHeight="1"/>
    <row r="50266" ht="26.25" customHeight="1"/>
    <row r="50267" ht="26.25" customHeight="1"/>
    <row r="50268" ht="26.25" customHeight="1"/>
    <row r="50269" ht="26.25" customHeight="1"/>
    <row r="50270" ht="26.25" customHeight="1"/>
    <row r="50271" ht="26.25" customHeight="1"/>
    <row r="50272" ht="26.25" customHeight="1"/>
    <row r="50273" ht="26.25" customHeight="1"/>
    <row r="50274" ht="26.25" customHeight="1"/>
    <row r="50275" ht="26.25" customHeight="1"/>
    <row r="50276" ht="26.25" customHeight="1"/>
    <row r="50277" ht="26.25" customHeight="1"/>
    <row r="50278" ht="26.25" customHeight="1"/>
    <row r="50279" ht="26.25" customHeight="1"/>
    <row r="50280" ht="26.25" customHeight="1"/>
    <row r="50281" ht="26.25" customHeight="1"/>
    <row r="50282" ht="26.25" customHeight="1"/>
    <row r="50283" ht="26.25" customHeight="1"/>
    <row r="50284" ht="26.25" customHeight="1"/>
    <row r="50285" ht="26.25" customHeight="1"/>
    <row r="50286" ht="26.25" customHeight="1"/>
    <row r="50287" ht="26.25" customHeight="1"/>
    <row r="50288" ht="26.25" customHeight="1"/>
    <row r="50289" ht="26.25" customHeight="1"/>
    <row r="50290" ht="26.25" customHeight="1"/>
    <row r="50291" ht="26.25" customHeight="1"/>
    <row r="50292" ht="26.25" customHeight="1"/>
    <row r="50293" ht="26.25" customHeight="1"/>
    <row r="50294" ht="26.25" customHeight="1"/>
    <row r="50295" ht="26.25" customHeight="1"/>
    <row r="50296" ht="26.25" customHeight="1"/>
    <row r="50297" ht="26.25" customHeight="1"/>
    <row r="50298" ht="26.25" customHeight="1"/>
    <row r="50299" ht="26.25" customHeight="1"/>
    <row r="50300" ht="26.25" customHeight="1"/>
    <row r="50301" ht="26.25" customHeight="1"/>
    <row r="50302" ht="26.25" customHeight="1"/>
    <row r="50303" ht="26.25" customHeight="1"/>
    <row r="50304" ht="26.25" customHeight="1"/>
    <row r="50305" ht="26.25" customHeight="1"/>
    <row r="50306" ht="26.25" customHeight="1"/>
    <row r="50307" ht="26.25" customHeight="1"/>
    <row r="50308" ht="26.25" customHeight="1"/>
    <row r="50309" ht="26.25" customHeight="1"/>
    <row r="50310" ht="26.25" customHeight="1"/>
    <row r="50311" ht="26.25" customHeight="1"/>
    <row r="50312" ht="26.25" customHeight="1"/>
    <row r="50313" ht="26.25" customHeight="1"/>
    <row r="50314" ht="26.25" customHeight="1"/>
    <row r="50315" ht="26.25" customHeight="1"/>
    <row r="50316" ht="26.25" customHeight="1"/>
    <row r="50317" ht="26.25" customHeight="1"/>
    <row r="50318" ht="26.25" customHeight="1"/>
    <row r="50319" ht="26.25" customHeight="1"/>
    <row r="50320" ht="26.25" customHeight="1"/>
    <row r="50321" ht="26.25" customHeight="1"/>
    <row r="50322" ht="26.25" customHeight="1"/>
    <row r="50323" ht="26.25" customHeight="1"/>
    <row r="50324" ht="26.25" customHeight="1"/>
    <row r="50325" ht="26.25" customHeight="1"/>
    <row r="50326" ht="26.25" customHeight="1"/>
    <row r="50327" ht="26.25" customHeight="1"/>
    <row r="50328" ht="26.25" customHeight="1"/>
    <row r="50329" ht="26.25" customHeight="1"/>
    <row r="50330" ht="26.25" customHeight="1"/>
    <row r="50331" ht="26.25" customHeight="1"/>
    <row r="50332" ht="26.25" customHeight="1"/>
    <row r="50333" ht="26.25" customHeight="1"/>
    <row r="50334" ht="26.25" customHeight="1"/>
    <row r="50335" ht="26.25" customHeight="1"/>
    <row r="50336" ht="26.25" customHeight="1"/>
    <row r="50337" ht="26.25" customHeight="1"/>
    <row r="50338" ht="26.25" customHeight="1"/>
    <row r="50339" ht="26.25" customHeight="1"/>
    <row r="50340" ht="26.25" customHeight="1"/>
    <row r="50341" ht="26.25" customHeight="1"/>
    <row r="50342" ht="26.25" customHeight="1"/>
    <row r="50343" ht="26.25" customHeight="1"/>
    <row r="50344" ht="26.25" customHeight="1"/>
    <row r="50345" ht="26.25" customHeight="1"/>
    <row r="50346" ht="26.25" customHeight="1"/>
    <row r="50347" ht="26.25" customHeight="1"/>
    <row r="50348" ht="26.25" customHeight="1"/>
    <row r="50349" ht="26.25" customHeight="1"/>
    <row r="50350" ht="26.25" customHeight="1"/>
    <row r="50351" ht="26.25" customHeight="1"/>
    <row r="50352" ht="26.25" customHeight="1"/>
    <row r="50353" ht="26.25" customHeight="1"/>
    <row r="50354" ht="26.25" customHeight="1"/>
    <row r="50355" ht="26.25" customHeight="1"/>
    <row r="50356" ht="26.25" customHeight="1"/>
    <row r="50357" ht="26.25" customHeight="1"/>
    <row r="50358" ht="26.25" customHeight="1"/>
    <row r="50359" ht="26.25" customHeight="1"/>
    <row r="50360" ht="26.25" customHeight="1"/>
    <row r="50361" ht="26.25" customHeight="1"/>
    <row r="50362" ht="26.25" customHeight="1"/>
    <row r="50363" ht="26.25" customHeight="1"/>
    <row r="50364" ht="26.25" customHeight="1"/>
    <row r="50365" ht="26.25" customHeight="1"/>
    <row r="50366" ht="26.25" customHeight="1"/>
    <row r="50367" ht="26.25" customHeight="1"/>
    <row r="50368" ht="26.25" customHeight="1"/>
    <row r="50369" ht="26.25" customHeight="1"/>
    <row r="50370" ht="26.25" customHeight="1"/>
    <row r="50371" ht="26.25" customHeight="1"/>
    <row r="50372" ht="26.25" customHeight="1"/>
    <row r="50373" ht="26.25" customHeight="1"/>
    <row r="50374" ht="26.25" customHeight="1"/>
    <row r="50375" ht="26.25" customHeight="1"/>
    <row r="50376" ht="26.25" customHeight="1"/>
    <row r="50377" ht="26.25" customHeight="1"/>
    <row r="50378" ht="26.25" customHeight="1"/>
    <row r="50379" ht="26.25" customHeight="1"/>
    <row r="50380" ht="26.25" customHeight="1"/>
    <row r="50381" ht="26.25" customHeight="1"/>
    <row r="50382" ht="26.25" customHeight="1"/>
    <row r="50383" ht="26.25" customHeight="1"/>
    <row r="50384" ht="26.25" customHeight="1"/>
    <row r="50385" ht="26.25" customHeight="1"/>
    <row r="50386" ht="26.25" customHeight="1"/>
    <row r="50387" ht="26.25" customHeight="1"/>
    <row r="50388" ht="26.25" customHeight="1"/>
    <row r="50389" ht="26.25" customHeight="1"/>
    <row r="50390" ht="26.25" customHeight="1"/>
    <row r="50391" ht="26.25" customHeight="1"/>
    <row r="50392" ht="26.25" customHeight="1"/>
    <row r="50393" ht="26.25" customHeight="1"/>
    <row r="50394" ht="26.25" customHeight="1"/>
    <row r="50395" ht="26.25" customHeight="1"/>
    <row r="50396" ht="26.25" customHeight="1"/>
    <row r="50397" ht="26.25" customHeight="1"/>
    <row r="50398" ht="26.25" customHeight="1"/>
    <row r="50399" ht="26.25" customHeight="1"/>
    <row r="50400" ht="26.25" customHeight="1"/>
    <row r="50401" ht="26.25" customHeight="1"/>
    <row r="50402" ht="26.25" customHeight="1"/>
    <row r="50403" ht="26.25" customHeight="1"/>
    <row r="50404" ht="26.25" customHeight="1"/>
    <row r="50405" ht="26.25" customHeight="1"/>
    <row r="50406" ht="26.25" customHeight="1"/>
    <row r="50407" ht="26.25" customHeight="1"/>
    <row r="50408" ht="26.25" customHeight="1"/>
    <row r="50409" ht="26.25" customHeight="1"/>
    <row r="50410" ht="26.25" customHeight="1"/>
    <row r="50411" ht="26.25" customHeight="1"/>
    <row r="50412" ht="26.25" customHeight="1"/>
    <row r="50413" ht="26.25" customHeight="1"/>
    <row r="50414" ht="26.25" customHeight="1"/>
    <row r="50415" ht="26.25" customHeight="1"/>
    <row r="50416" ht="26.25" customHeight="1"/>
    <row r="50417" ht="26.25" customHeight="1"/>
    <row r="50418" ht="26.25" customHeight="1"/>
    <row r="50419" ht="26.25" customHeight="1"/>
    <row r="50420" ht="26.25" customHeight="1"/>
    <row r="50421" ht="26.25" customHeight="1"/>
    <row r="50422" ht="26.25" customHeight="1"/>
    <row r="50423" ht="26.25" customHeight="1"/>
    <row r="50424" ht="26.25" customHeight="1"/>
    <row r="50425" ht="26.25" customHeight="1"/>
    <row r="50426" ht="26.25" customHeight="1"/>
    <row r="50427" ht="26.25" customHeight="1"/>
    <row r="50428" ht="26.25" customHeight="1"/>
    <row r="50429" ht="26.25" customHeight="1"/>
    <row r="50430" ht="26.25" customHeight="1"/>
    <row r="50431" ht="26.25" customHeight="1"/>
    <row r="50432" ht="26.25" customHeight="1"/>
    <row r="50433" ht="26.25" customHeight="1"/>
    <row r="50434" ht="26.25" customHeight="1"/>
    <row r="50435" ht="26.25" customHeight="1"/>
    <row r="50436" ht="26.25" customHeight="1"/>
    <row r="50437" ht="26.25" customHeight="1"/>
    <row r="50438" ht="26.25" customHeight="1"/>
    <row r="50439" ht="26.25" customHeight="1"/>
    <row r="50440" ht="26.25" customHeight="1"/>
    <row r="50441" ht="26.25" customHeight="1"/>
    <row r="50442" ht="26.25" customHeight="1"/>
    <row r="50443" ht="26.25" customHeight="1"/>
    <row r="50444" ht="26.25" customHeight="1"/>
    <row r="50445" ht="26.25" customHeight="1"/>
    <row r="50446" ht="26.25" customHeight="1"/>
    <row r="50447" ht="26.25" customHeight="1"/>
    <row r="50448" ht="26.25" customHeight="1"/>
    <row r="50449" ht="26.25" customHeight="1"/>
    <row r="50450" ht="26.25" customHeight="1"/>
    <row r="50451" ht="26.25" customHeight="1"/>
    <row r="50452" ht="26.25" customHeight="1"/>
    <row r="50453" ht="26.25" customHeight="1"/>
    <row r="50454" ht="26.25" customHeight="1"/>
    <row r="50455" ht="26.25" customHeight="1"/>
    <row r="50456" ht="26.25" customHeight="1"/>
    <row r="50457" ht="26.25" customHeight="1"/>
    <row r="50458" ht="26.25" customHeight="1"/>
    <row r="50459" ht="26.25" customHeight="1"/>
    <row r="50460" ht="26.25" customHeight="1"/>
    <row r="50461" ht="26.25" customHeight="1"/>
    <row r="50462" ht="26.25" customHeight="1"/>
    <row r="50463" ht="26.25" customHeight="1"/>
    <row r="50464" ht="26.25" customHeight="1"/>
    <row r="50465" ht="26.25" customHeight="1"/>
    <row r="50466" ht="26.25" customHeight="1"/>
    <row r="50467" ht="26.25" customHeight="1"/>
    <row r="50468" ht="26.25" customHeight="1"/>
    <row r="50469" ht="26.25" customHeight="1"/>
    <row r="50470" ht="26.25" customHeight="1"/>
    <row r="50471" ht="26.25" customHeight="1"/>
    <row r="50472" ht="26.25" customHeight="1"/>
    <row r="50473" ht="26.25" customHeight="1"/>
    <row r="50474" ht="26.25" customHeight="1"/>
    <row r="50475" ht="26.25" customHeight="1"/>
    <row r="50476" ht="26.25" customHeight="1"/>
    <row r="50477" ht="26.25" customHeight="1"/>
    <row r="50478" ht="26.25" customHeight="1"/>
    <row r="50479" ht="26.25" customHeight="1"/>
    <row r="50480" ht="26.25" customHeight="1"/>
    <row r="50481" ht="26.25" customHeight="1"/>
    <row r="50482" ht="26.25" customHeight="1"/>
    <row r="50483" ht="26.25" customHeight="1"/>
    <row r="50484" ht="26.25" customHeight="1"/>
    <row r="50485" ht="26.25" customHeight="1"/>
    <row r="50486" ht="26.25" customHeight="1"/>
    <row r="50487" ht="26.25" customHeight="1"/>
    <row r="50488" ht="26.25" customHeight="1"/>
    <row r="50489" ht="26.25" customHeight="1"/>
    <row r="50490" ht="26.25" customHeight="1"/>
    <row r="50491" ht="26.25" customHeight="1"/>
    <row r="50492" ht="26.25" customHeight="1"/>
    <row r="50493" ht="26.25" customHeight="1"/>
    <row r="50494" ht="26.25" customHeight="1"/>
    <row r="50495" ht="26.25" customHeight="1"/>
    <row r="50496" ht="26.25" customHeight="1"/>
    <row r="50497" ht="26.25" customHeight="1"/>
    <row r="50498" ht="26.25" customHeight="1"/>
    <row r="50499" ht="26.25" customHeight="1"/>
    <row r="50500" ht="26.25" customHeight="1"/>
    <row r="50501" ht="26.25" customHeight="1"/>
    <row r="50502" ht="26.25" customHeight="1"/>
    <row r="50503" ht="26.25" customHeight="1"/>
    <row r="50504" ht="26.25" customHeight="1"/>
    <row r="50505" ht="26.25" customHeight="1"/>
    <row r="50506" ht="26.25" customHeight="1"/>
    <row r="50507" ht="26.25" customHeight="1"/>
    <row r="50508" ht="26.25" customHeight="1"/>
    <row r="50509" ht="26.25" customHeight="1"/>
    <row r="50510" ht="26.25" customHeight="1"/>
    <row r="50511" ht="26.25" customHeight="1"/>
    <row r="50512" ht="26.25" customHeight="1"/>
    <row r="50513" ht="26.25" customHeight="1"/>
    <row r="50514" ht="26.25" customHeight="1"/>
    <row r="50515" ht="26.25" customHeight="1"/>
    <row r="50516" ht="26.25" customHeight="1"/>
    <row r="50517" ht="26.25" customHeight="1"/>
    <row r="50518" ht="26.25" customHeight="1"/>
    <row r="50519" ht="26.25" customHeight="1"/>
    <row r="50520" ht="26.25" customHeight="1"/>
    <row r="50521" ht="26.25" customHeight="1"/>
    <row r="50522" ht="26.25" customHeight="1"/>
    <row r="50523" ht="26.25" customHeight="1"/>
    <row r="50524" ht="26.25" customHeight="1"/>
    <row r="50525" ht="26.25" customHeight="1"/>
    <row r="50526" ht="26.25" customHeight="1"/>
    <row r="50527" ht="26.25" customHeight="1"/>
    <row r="50528" ht="26.25" customHeight="1"/>
    <row r="50529" ht="26.25" customHeight="1"/>
    <row r="50530" ht="26.25" customHeight="1"/>
    <row r="50531" ht="26.25" customHeight="1"/>
    <row r="50532" ht="26.25" customHeight="1"/>
    <row r="50533" ht="26.25" customHeight="1"/>
    <row r="50534" ht="26.25" customHeight="1"/>
    <row r="50535" ht="26.25" customHeight="1"/>
    <row r="50536" ht="26.25" customHeight="1"/>
    <row r="50537" ht="26.25" customHeight="1"/>
    <row r="50538" ht="26.25" customHeight="1"/>
    <row r="50539" ht="26.25" customHeight="1"/>
    <row r="50540" ht="26.25" customHeight="1"/>
    <row r="50541" ht="26.25" customHeight="1"/>
    <row r="50542" ht="26.25" customHeight="1"/>
    <row r="50543" ht="26.25" customHeight="1"/>
    <row r="50544" ht="26.25" customHeight="1"/>
    <row r="50545" ht="26.25" customHeight="1"/>
    <row r="50546" ht="26.25" customHeight="1"/>
    <row r="50547" ht="26.25" customHeight="1"/>
    <row r="50548" ht="26.25" customHeight="1"/>
    <row r="50549" ht="26.25" customHeight="1"/>
    <row r="50550" ht="26.25" customHeight="1"/>
    <row r="50551" ht="26.25" customHeight="1"/>
    <row r="50552" ht="26.25" customHeight="1"/>
    <row r="50553" ht="26.25" customHeight="1"/>
    <row r="50554" ht="26.25" customHeight="1"/>
    <row r="50555" ht="26.25" customHeight="1"/>
    <row r="50556" ht="26.25" customHeight="1"/>
    <row r="50557" ht="26.25" customHeight="1"/>
    <row r="50558" ht="26.25" customHeight="1"/>
    <row r="50559" ht="26.25" customHeight="1"/>
    <row r="50560" ht="26.25" customHeight="1"/>
    <row r="50561" ht="26.25" customHeight="1"/>
    <row r="50562" ht="26.25" customHeight="1"/>
    <row r="50563" ht="26.25" customHeight="1"/>
    <row r="50564" ht="26.25" customHeight="1"/>
    <row r="50565" ht="26.25" customHeight="1"/>
    <row r="50566" ht="26.25" customHeight="1"/>
    <row r="50567" ht="26.25" customHeight="1"/>
    <row r="50568" ht="26.25" customHeight="1"/>
    <row r="50569" ht="26.25" customHeight="1"/>
    <row r="50570" ht="26.25" customHeight="1"/>
    <row r="50571" ht="26.25" customHeight="1"/>
    <row r="50572" ht="26.25" customHeight="1"/>
    <row r="50573" ht="26.25" customHeight="1"/>
    <row r="50574" ht="26.25" customHeight="1"/>
    <row r="50575" ht="26.25" customHeight="1"/>
    <row r="50576" ht="26.25" customHeight="1"/>
    <row r="50577" ht="26.25" customHeight="1"/>
    <row r="50578" ht="26.25" customHeight="1"/>
    <row r="50579" ht="26.25" customHeight="1"/>
    <row r="50580" ht="26.25" customHeight="1"/>
    <row r="50581" ht="26.25" customHeight="1"/>
    <row r="50582" ht="26.25" customHeight="1"/>
    <row r="50583" ht="26.25" customHeight="1"/>
    <row r="50584" ht="26.25" customHeight="1"/>
    <row r="50585" ht="26.25" customHeight="1"/>
    <row r="50586" ht="26.25" customHeight="1"/>
    <row r="50587" ht="26.25" customHeight="1"/>
    <row r="50588" ht="26.25" customHeight="1"/>
    <row r="50589" ht="26.25" customHeight="1"/>
    <row r="50590" ht="26.25" customHeight="1"/>
    <row r="50591" ht="26.25" customHeight="1"/>
    <row r="50592" ht="26.25" customHeight="1"/>
    <row r="50593" ht="26.25" customHeight="1"/>
    <row r="50594" ht="26.25" customHeight="1"/>
    <row r="50595" ht="26.25" customHeight="1"/>
    <row r="50596" ht="26.25" customHeight="1"/>
    <row r="50597" ht="26.25" customHeight="1"/>
    <row r="50598" ht="26.25" customHeight="1"/>
    <row r="50599" ht="26.25" customHeight="1"/>
    <row r="50600" ht="26.25" customHeight="1"/>
    <row r="50601" ht="26.25" customHeight="1"/>
    <row r="50602" ht="26.25" customHeight="1"/>
    <row r="50603" ht="26.25" customHeight="1"/>
    <row r="50604" ht="26.25" customHeight="1"/>
    <row r="50605" ht="26.25" customHeight="1"/>
    <row r="50606" ht="26.25" customHeight="1"/>
    <row r="50607" ht="26.25" customHeight="1"/>
    <row r="50608" ht="26.25" customHeight="1"/>
    <row r="50609" ht="26.25" customHeight="1"/>
    <row r="50610" ht="26.25" customHeight="1"/>
    <row r="50611" ht="26.25" customHeight="1"/>
    <row r="50612" ht="26.25" customHeight="1"/>
    <row r="50613" ht="26.25" customHeight="1"/>
    <row r="50614" ht="26.25" customHeight="1"/>
    <row r="50615" ht="26.25" customHeight="1"/>
    <row r="50616" ht="26.25" customHeight="1"/>
    <row r="50617" ht="26.25" customHeight="1"/>
    <row r="50618" ht="26.25" customHeight="1"/>
    <row r="50619" ht="26.25" customHeight="1"/>
    <row r="50620" ht="26.25" customHeight="1"/>
    <row r="50621" ht="26.25" customHeight="1"/>
    <row r="50622" ht="26.25" customHeight="1"/>
    <row r="50623" ht="26.25" customHeight="1"/>
    <row r="50624" ht="26.25" customHeight="1"/>
    <row r="50625" ht="26.25" customHeight="1"/>
    <row r="50626" ht="26.25" customHeight="1"/>
    <row r="50627" ht="26.25" customHeight="1"/>
    <row r="50628" ht="26.25" customHeight="1"/>
    <row r="50629" ht="26.25" customHeight="1"/>
    <row r="50630" ht="26.25" customHeight="1"/>
    <row r="50631" ht="26.25" customHeight="1"/>
    <row r="50632" ht="26.25" customHeight="1"/>
    <row r="50633" ht="26.25" customHeight="1"/>
    <row r="50634" ht="26.25" customHeight="1"/>
    <row r="50635" ht="26.25" customHeight="1"/>
    <row r="50636" ht="26.25" customHeight="1"/>
    <row r="50637" ht="26.25" customHeight="1"/>
    <row r="50638" ht="26.25" customHeight="1"/>
    <row r="50639" ht="26.25" customHeight="1"/>
    <row r="50640" ht="26.25" customHeight="1"/>
    <row r="50641" ht="26.25" customHeight="1"/>
    <row r="50642" ht="26.25" customHeight="1"/>
    <row r="50643" ht="26.25" customHeight="1"/>
    <row r="50644" ht="26.25" customHeight="1"/>
    <row r="50645" ht="26.25" customHeight="1"/>
    <row r="50646" ht="26.25" customHeight="1"/>
    <row r="50647" ht="26.25" customHeight="1"/>
    <row r="50648" ht="26.25" customHeight="1"/>
    <row r="50649" ht="26.25" customHeight="1"/>
    <row r="50650" ht="26.25" customHeight="1"/>
    <row r="50651" ht="26.25" customHeight="1"/>
    <row r="50652" ht="26.25" customHeight="1"/>
    <row r="50653" ht="26.25" customHeight="1"/>
    <row r="50654" ht="26.25" customHeight="1"/>
    <row r="50655" ht="26.25" customHeight="1"/>
    <row r="50656" ht="26.25" customHeight="1"/>
    <row r="50657" ht="26.25" customHeight="1"/>
    <row r="50658" ht="26.25" customHeight="1"/>
    <row r="50659" ht="26.25" customHeight="1"/>
    <row r="50660" ht="26.25" customHeight="1"/>
    <row r="50661" ht="26.25" customHeight="1"/>
    <row r="50662" ht="26.25" customHeight="1"/>
    <row r="50663" ht="26.25" customHeight="1"/>
    <row r="50664" ht="26.25" customHeight="1"/>
    <row r="50665" ht="26.25" customHeight="1"/>
    <row r="50666" ht="26.25" customHeight="1"/>
    <row r="50667" ht="26.25" customHeight="1"/>
    <row r="50668" ht="26.25" customHeight="1"/>
    <row r="50669" ht="26.25" customHeight="1"/>
    <row r="50670" ht="26.25" customHeight="1"/>
    <row r="50671" ht="26.25" customHeight="1"/>
    <row r="50672" ht="26.25" customHeight="1"/>
    <row r="50673" ht="26.25" customHeight="1"/>
    <row r="50674" ht="26.25" customHeight="1"/>
    <row r="50675" ht="26.25" customHeight="1"/>
    <row r="50676" ht="26.25" customHeight="1"/>
    <row r="50677" ht="26.25" customHeight="1"/>
    <row r="50678" ht="26.25" customHeight="1"/>
    <row r="50679" ht="26.25" customHeight="1"/>
    <row r="50680" ht="26.25" customHeight="1"/>
    <row r="50681" ht="26.25" customHeight="1"/>
    <row r="50682" ht="26.25" customHeight="1"/>
    <row r="50683" ht="26.25" customHeight="1"/>
    <row r="50684" ht="26.25" customHeight="1"/>
    <row r="50685" ht="26.25" customHeight="1"/>
    <row r="50686" ht="26.25" customHeight="1"/>
    <row r="50687" ht="26.25" customHeight="1"/>
    <row r="50688" ht="26.25" customHeight="1"/>
    <row r="50689" ht="26.25" customHeight="1"/>
    <row r="50690" ht="26.25" customHeight="1"/>
    <row r="50691" ht="26.25" customHeight="1"/>
    <row r="50692" ht="26.25" customHeight="1"/>
    <row r="50693" ht="26.25" customHeight="1"/>
    <row r="50694" ht="26.25" customHeight="1"/>
    <row r="50695" ht="26.25" customHeight="1"/>
    <row r="50696" ht="26.25" customHeight="1"/>
    <row r="50697" ht="26.25" customHeight="1"/>
    <row r="50698" ht="26.25" customHeight="1"/>
    <row r="50699" ht="26.25" customHeight="1"/>
    <row r="50700" ht="26.25" customHeight="1"/>
    <row r="50701" ht="26.25" customHeight="1"/>
    <row r="50702" ht="26.25" customHeight="1"/>
    <row r="50703" ht="26.25" customHeight="1"/>
    <row r="50704" ht="26.25" customHeight="1"/>
    <row r="50705" ht="26.25" customHeight="1"/>
    <row r="50706" ht="26.25" customHeight="1"/>
    <row r="50707" ht="26.25" customHeight="1"/>
    <row r="50708" ht="26.25" customHeight="1"/>
    <row r="50709" ht="26.25" customHeight="1"/>
    <row r="50710" ht="26.25" customHeight="1"/>
    <row r="50711" ht="26.25" customHeight="1"/>
    <row r="50712" ht="26.25" customHeight="1"/>
    <row r="50713" ht="26.25" customHeight="1"/>
    <row r="50714" ht="26.25" customHeight="1"/>
    <row r="50715" ht="26.25" customHeight="1"/>
    <row r="50716" ht="26.25" customHeight="1"/>
    <row r="50717" ht="26.25" customHeight="1"/>
    <row r="50718" ht="26.25" customHeight="1"/>
    <row r="50719" ht="26.25" customHeight="1"/>
    <row r="50720" ht="26.25" customHeight="1"/>
    <row r="50721" ht="26.25" customHeight="1"/>
    <row r="50722" ht="26.25" customHeight="1"/>
    <row r="50723" ht="26.25" customHeight="1"/>
    <row r="50724" ht="26.25" customHeight="1"/>
    <row r="50725" ht="26.25" customHeight="1"/>
    <row r="50726" ht="26.25" customHeight="1"/>
    <row r="50727" ht="26.25" customHeight="1"/>
    <row r="50728" ht="26.25" customHeight="1"/>
    <row r="50729" ht="26.25" customHeight="1"/>
    <row r="50730" ht="26.25" customHeight="1"/>
    <row r="50731" ht="26.25" customHeight="1"/>
    <row r="50732" ht="26.25" customHeight="1"/>
    <row r="50733" ht="26.25" customHeight="1"/>
    <row r="50734" ht="26.25" customHeight="1"/>
    <row r="50735" ht="26.25" customHeight="1"/>
    <row r="50736" ht="26.25" customHeight="1"/>
    <row r="50737" ht="26.25" customHeight="1"/>
    <row r="50738" ht="26.25" customHeight="1"/>
    <row r="50739" ht="26.25" customHeight="1"/>
    <row r="50740" ht="26.25" customHeight="1"/>
    <row r="50741" ht="26.25" customHeight="1"/>
    <row r="50742" ht="26.25" customHeight="1"/>
    <row r="50743" ht="26.25" customHeight="1"/>
    <row r="50744" ht="26.25" customHeight="1"/>
    <row r="50745" ht="26.25" customHeight="1"/>
    <row r="50746" ht="26.25" customHeight="1"/>
    <row r="50747" ht="26.25" customHeight="1"/>
    <row r="50748" ht="26.25" customHeight="1"/>
    <row r="50749" ht="26.25" customHeight="1"/>
    <row r="50750" ht="26.25" customHeight="1"/>
    <row r="50751" ht="26.25" customHeight="1"/>
    <row r="50752" ht="26.25" customHeight="1"/>
    <row r="50753" ht="26.25" customHeight="1"/>
    <row r="50754" ht="26.25" customHeight="1"/>
    <row r="50755" ht="26.25" customHeight="1"/>
    <row r="50756" ht="26.25" customHeight="1"/>
    <row r="50757" ht="26.25" customHeight="1"/>
    <row r="50758" ht="26.25" customHeight="1"/>
    <row r="50759" ht="26.25" customHeight="1"/>
    <row r="50760" ht="26.25" customHeight="1"/>
    <row r="50761" ht="26.25" customHeight="1"/>
    <row r="50762" ht="26.25" customHeight="1"/>
    <row r="50763" ht="26.25" customHeight="1"/>
    <row r="50764" ht="26.25" customHeight="1"/>
    <row r="50765" ht="26.25" customHeight="1"/>
    <row r="50766" ht="26.25" customHeight="1"/>
    <row r="50767" ht="26.25" customHeight="1"/>
    <row r="50768" ht="26.25" customHeight="1"/>
    <row r="50769" ht="26.25" customHeight="1"/>
    <row r="50770" ht="26.25" customHeight="1"/>
    <row r="50771" ht="26.25" customHeight="1"/>
    <row r="50772" ht="26.25" customHeight="1"/>
    <row r="50773" ht="26.25" customHeight="1"/>
    <row r="50774" ht="26.25" customHeight="1"/>
    <row r="50775" ht="26.25" customHeight="1"/>
    <row r="50776" ht="26.25" customHeight="1"/>
    <row r="50777" ht="26.25" customHeight="1"/>
    <row r="50778" ht="26.25" customHeight="1"/>
    <row r="50779" ht="26.25" customHeight="1"/>
    <row r="50780" ht="26.25" customHeight="1"/>
    <row r="50781" ht="26.25" customHeight="1"/>
    <row r="50782" ht="26.25" customHeight="1"/>
    <row r="50783" ht="26.25" customHeight="1"/>
    <row r="50784" ht="26.25" customHeight="1"/>
    <row r="50785" ht="26.25" customHeight="1"/>
    <row r="50786" ht="26.25" customHeight="1"/>
    <row r="50787" ht="26.25" customHeight="1"/>
    <row r="50788" ht="26.25" customHeight="1"/>
    <row r="50789" ht="26.25" customHeight="1"/>
    <row r="50790" ht="26.25" customHeight="1"/>
    <row r="50791" ht="26.25" customHeight="1"/>
    <row r="50792" ht="26.25" customHeight="1"/>
    <row r="50793" ht="26.25" customHeight="1"/>
    <row r="50794" ht="26.25" customHeight="1"/>
    <row r="50795" ht="26.25" customHeight="1"/>
    <row r="50796" ht="26.25" customHeight="1"/>
    <row r="50797" ht="26.25" customHeight="1"/>
    <row r="50798" ht="26.25" customHeight="1"/>
    <row r="50799" ht="26.25" customHeight="1"/>
    <row r="50800" ht="26.25" customHeight="1"/>
    <row r="50801" ht="26.25" customHeight="1"/>
    <row r="50802" ht="26.25" customHeight="1"/>
    <row r="50803" ht="26.25" customHeight="1"/>
    <row r="50804" ht="26.25" customHeight="1"/>
    <row r="50805" ht="26.25" customHeight="1"/>
    <row r="50806" ht="26.25" customHeight="1"/>
    <row r="50807" ht="26.25" customHeight="1"/>
    <row r="50808" ht="26.25" customHeight="1"/>
    <row r="50809" ht="26.25" customHeight="1"/>
    <row r="50810" ht="26.25" customHeight="1"/>
    <row r="50811" ht="26.25" customHeight="1"/>
    <row r="50812" ht="26.25" customHeight="1"/>
    <row r="50813" ht="26.25" customHeight="1"/>
    <row r="50814" ht="26.25" customHeight="1"/>
    <row r="50815" ht="26.25" customHeight="1"/>
    <row r="50816" ht="26.25" customHeight="1"/>
    <row r="50817" ht="26.25" customHeight="1"/>
    <row r="50818" ht="26.25" customHeight="1"/>
    <row r="50819" ht="26.25" customHeight="1"/>
    <row r="50820" ht="26.25" customHeight="1"/>
    <row r="50821" ht="26.25" customHeight="1"/>
    <row r="50822" ht="26.25" customHeight="1"/>
    <row r="50823" ht="26.25" customHeight="1"/>
    <row r="50824" ht="26.25" customHeight="1"/>
    <row r="50825" ht="26.25" customHeight="1"/>
    <row r="50826" ht="26.25" customHeight="1"/>
    <row r="50827" ht="26.25" customHeight="1"/>
    <row r="50828" ht="26.25" customHeight="1"/>
    <row r="50829" ht="26.25" customHeight="1"/>
    <row r="50830" ht="26.25" customHeight="1"/>
    <row r="50831" ht="26.25" customHeight="1"/>
    <row r="50832" ht="26.25" customHeight="1"/>
    <row r="50833" ht="26.25" customHeight="1"/>
    <row r="50834" ht="26.25" customHeight="1"/>
    <row r="50835" ht="26.25" customHeight="1"/>
    <row r="50836" ht="26.25" customHeight="1"/>
    <row r="50837" ht="26.25" customHeight="1"/>
    <row r="50838" ht="26.25" customHeight="1"/>
    <row r="50839" ht="26.25" customHeight="1"/>
    <row r="50840" ht="26.25" customHeight="1"/>
    <row r="50841" ht="26.25" customHeight="1"/>
    <row r="50842" ht="26.25" customHeight="1"/>
    <row r="50843" ht="26.25" customHeight="1"/>
    <row r="50844" ht="26.25" customHeight="1"/>
    <row r="50845" ht="26.25" customHeight="1"/>
    <row r="50846" ht="26.25" customHeight="1"/>
    <row r="50847" ht="26.25" customHeight="1"/>
    <row r="50848" ht="26.25" customHeight="1"/>
    <row r="50849" ht="26.25" customHeight="1"/>
    <row r="50850" ht="26.25" customHeight="1"/>
    <row r="50851" ht="26.25" customHeight="1"/>
    <row r="50852" ht="26.25" customHeight="1"/>
    <row r="50853" ht="26.25" customHeight="1"/>
    <row r="50854" ht="26.25" customHeight="1"/>
    <row r="50855" ht="26.25" customHeight="1"/>
    <row r="50856" ht="26.25" customHeight="1"/>
    <row r="50857" ht="26.25" customHeight="1"/>
    <row r="50858" ht="26.25" customHeight="1"/>
    <row r="50859" ht="26.25" customHeight="1"/>
    <row r="50860" ht="26.25" customHeight="1"/>
    <row r="50861" ht="26.25" customHeight="1"/>
    <row r="50862" ht="26.25" customHeight="1"/>
    <row r="50863" ht="26.25" customHeight="1"/>
    <row r="50864" ht="26.25" customHeight="1"/>
    <row r="50865" ht="26.25" customHeight="1"/>
    <row r="50866" ht="26.25" customHeight="1"/>
    <row r="50867" ht="26.25" customHeight="1"/>
    <row r="50868" ht="26.25" customHeight="1"/>
    <row r="50869" ht="26.25" customHeight="1"/>
    <row r="50870" ht="26.25" customHeight="1"/>
    <row r="50871" ht="26.25" customHeight="1"/>
    <row r="50872" ht="26.25" customHeight="1"/>
    <row r="50873" ht="26.25" customHeight="1"/>
    <row r="50874" ht="26.25" customHeight="1"/>
    <row r="50875" ht="26.25" customHeight="1"/>
    <row r="50876" ht="26.25" customHeight="1"/>
    <row r="50877" ht="26.25" customHeight="1"/>
    <row r="50878" ht="26.25" customHeight="1"/>
    <row r="50879" ht="26.25" customHeight="1"/>
    <row r="50880" ht="26.25" customHeight="1"/>
    <row r="50881" ht="26.25" customHeight="1"/>
    <row r="50882" ht="26.25" customHeight="1"/>
    <row r="50883" ht="26.25" customHeight="1"/>
    <row r="50884" ht="26.25" customHeight="1"/>
    <row r="50885" ht="26.25" customHeight="1"/>
    <row r="50886" ht="26.25" customHeight="1"/>
    <row r="50887" ht="26.25" customHeight="1"/>
    <row r="50888" ht="26.25" customHeight="1"/>
    <row r="50889" ht="26.25" customHeight="1"/>
    <row r="50890" ht="26.25" customHeight="1"/>
    <row r="50891" ht="26.25" customHeight="1"/>
    <row r="50892" ht="26.25" customHeight="1"/>
    <row r="50893" ht="26.25" customHeight="1"/>
    <row r="50894" ht="26.25" customHeight="1"/>
    <row r="50895" ht="26.25" customHeight="1"/>
    <row r="50896" ht="26.25" customHeight="1"/>
    <row r="50897" ht="26.25" customHeight="1"/>
    <row r="50898" ht="26.25" customHeight="1"/>
    <row r="50899" ht="26.25" customHeight="1"/>
    <row r="50900" ht="26.25" customHeight="1"/>
    <row r="50901" ht="26.25" customHeight="1"/>
    <row r="50902" ht="26.25" customHeight="1"/>
    <row r="50903" ht="26.25" customHeight="1"/>
    <row r="50904" ht="26.25" customHeight="1"/>
    <row r="50905" ht="26.25" customHeight="1"/>
    <row r="50906" ht="26.25" customHeight="1"/>
    <row r="50907" ht="26.25" customHeight="1"/>
    <row r="50908" ht="26.25" customHeight="1"/>
    <row r="50909" ht="26.25" customHeight="1"/>
    <row r="50910" ht="26.25" customHeight="1"/>
    <row r="50911" ht="26.25" customHeight="1"/>
    <row r="50912" ht="26.25" customHeight="1"/>
    <row r="50913" ht="26.25" customHeight="1"/>
    <row r="50914" ht="26.25" customHeight="1"/>
    <row r="50915" ht="26.25" customHeight="1"/>
    <row r="50916" ht="26.25" customHeight="1"/>
    <row r="50917" ht="26.25" customHeight="1"/>
    <row r="50918" ht="26.25" customHeight="1"/>
    <row r="50919" ht="26.25" customHeight="1"/>
    <row r="50920" ht="26.25" customHeight="1"/>
    <row r="50921" ht="26.25" customHeight="1"/>
    <row r="50922" ht="26.25" customHeight="1"/>
    <row r="50923" ht="26.25" customHeight="1"/>
    <row r="50924" ht="26.25" customHeight="1"/>
    <row r="50925" ht="26.25" customHeight="1"/>
    <row r="50926" ht="26.25" customHeight="1"/>
    <row r="50927" ht="26.25" customHeight="1"/>
    <row r="50928" ht="26.25" customHeight="1"/>
    <row r="50929" ht="26.25" customHeight="1"/>
    <row r="50930" ht="26.25" customHeight="1"/>
    <row r="50931" ht="26.25" customHeight="1"/>
    <row r="50932" ht="26.25" customHeight="1"/>
    <row r="50933" ht="26.25" customHeight="1"/>
    <row r="50934" ht="26.25" customHeight="1"/>
    <row r="50935" ht="26.25" customHeight="1"/>
    <row r="50936" ht="26.25" customHeight="1"/>
    <row r="50937" ht="26.25" customHeight="1"/>
    <row r="50938" ht="26.25" customHeight="1"/>
    <row r="50939" ht="26.25" customHeight="1"/>
    <row r="50940" ht="26.25" customHeight="1"/>
    <row r="50941" ht="26.25" customHeight="1"/>
    <row r="50942" ht="26.25" customHeight="1"/>
    <row r="50943" ht="26.25" customHeight="1"/>
    <row r="50944" ht="26.25" customHeight="1"/>
    <row r="50945" ht="26.25" customHeight="1"/>
    <row r="50946" ht="26.25" customHeight="1"/>
    <row r="50947" ht="26.25" customHeight="1"/>
    <row r="50948" ht="26.25" customHeight="1"/>
    <row r="50949" ht="26.25" customHeight="1"/>
    <row r="50950" ht="26.25" customHeight="1"/>
    <row r="50951" ht="26.25" customHeight="1"/>
    <row r="50952" ht="26.25" customHeight="1"/>
    <row r="50953" ht="26.25" customHeight="1"/>
    <row r="50954" ht="26.25" customHeight="1"/>
    <row r="50955" ht="26.25" customHeight="1"/>
    <row r="50956" ht="26.25" customHeight="1"/>
    <row r="50957" ht="26.25" customHeight="1"/>
    <row r="50958" ht="26.25" customHeight="1"/>
    <row r="50959" ht="26.25" customHeight="1"/>
    <row r="50960" ht="26.25" customHeight="1"/>
    <row r="50961" ht="26.25" customHeight="1"/>
    <row r="50962" ht="26.25" customHeight="1"/>
    <row r="50963" ht="26.25" customHeight="1"/>
    <row r="50964" ht="26.25" customHeight="1"/>
    <row r="50965" ht="26.25" customHeight="1"/>
    <row r="50966" ht="26.25" customHeight="1"/>
    <row r="50967" ht="26.25" customHeight="1"/>
    <row r="50968" ht="26.25" customHeight="1"/>
    <row r="50969" ht="26.25" customHeight="1"/>
    <row r="50970" ht="26.25" customHeight="1"/>
    <row r="50971" ht="26.25" customHeight="1"/>
    <row r="50972" ht="26.25" customHeight="1"/>
    <row r="50973" ht="26.25" customHeight="1"/>
    <row r="50974" ht="26.25" customHeight="1"/>
    <row r="50975" ht="26.25" customHeight="1"/>
    <row r="50976" ht="26.25" customHeight="1"/>
    <row r="50977" ht="26.25" customHeight="1"/>
    <row r="50978" ht="26.25" customHeight="1"/>
    <row r="50979" ht="26.25" customHeight="1"/>
    <row r="50980" ht="26.25" customHeight="1"/>
    <row r="50981" ht="26.25" customHeight="1"/>
    <row r="50982" ht="26.25" customHeight="1"/>
    <row r="50983" ht="26.25" customHeight="1"/>
    <row r="50984" ht="26.25" customHeight="1"/>
    <row r="50985" ht="26.25" customHeight="1"/>
    <row r="50986" ht="26.25" customHeight="1"/>
    <row r="50987" ht="26.25" customHeight="1"/>
    <row r="50988" ht="26.25" customHeight="1"/>
    <row r="50989" ht="26.25" customHeight="1"/>
    <row r="50990" ht="26.25" customHeight="1"/>
    <row r="50991" ht="26.25" customHeight="1"/>
    <row r="50992" ht="26.25" customHeight="1"/>
    <row r="50993" ht="26.25" customHeight="1"/>
    <row r="50994" ht="26.25" customHeight="1"/>
    <row r="50995" ht="26.25" customHeight="1"/>
    <row r="50996" ht="26.25" customHeight="1"/>
    <row r="50997" ht="26.25" customHeight="1"/>
    <row r="50998" ht="26.25" customHeight="1"/>
    <row r="50999" ht="26.25" customHeight="1"/>
    <row r="51000" ht="26.25" customHeight="1"/>
    <row r="51001" ht="26.25" customHeight="1"/>
    <row r="51002" ht="26.25" customHeight="1"/>
    <row r="51003" ht="26.25" customHeight="1"/>
    <row r="51004" ht="26.25" customHeight="1"/>
    <row r="51005" ht="26.25" customHeight="1"/>
    <row r="51006" ht="26.25" customHeight="1"/>
    <row r="51007" ht="26.25" customHeight="1"/>
    <row r="51008" ht="26.25" customHeight="1"/>
    <row r="51009" ht="26.25" customHeight="1"/>
    <row r="51010" ht="26.25" customHeight="1"/>
    <row r="51011" ht="26.25" customHeight="1"/>
    <row r="51012" ht="26.25" customHeight="1"/>
    <row r="51013" ht="26.25" customHeight="1"/>
    <row r="51014" ht="26.25" customHeight="1"/>
    <row r="51015" ht="26.25" customHeight="1"/>
    <row r="51016" ht="26.25" customHeight="1"/>
    <row r="51017" ht="26.25" customHeight="1"/>
    <row r="51018" ht="26.25" customHeight="1"/>
    <row r="51019" ht="26.25" customHeight="1"/>
    <row r="51020" ht="26.25" customHeight="1"/>
    <row r="51021" ht="26.25" customHeight="1"/>
    <row r="51022" ht="26.25" customHeight="1"/>
    <row r="51023" ht="26.25" customHeight="1"/>
    <row r="51024" ht="26.25" customHeight="1"/>
    <row r="51025" ht="26.25" customHeight="1"/>
    <row r="51026" ht="26.25" customHeight="1"/>
    <row r="51027" ht="26.25" customHeight="1"/>
    <row r="51028" ht="26.25" customHeight="1"/>
    <row r="51029" ht="26.25" customHeight="1"/>
    <row r="51030" ht="26.25" customHeight="1"/>
    <row r="51031" ht="26.25" customHeight="1"/>
    <row r="51032" ht="26.25" customHeight="1"/>
    <row r="51033" ht="26.25" customHeight="1"/>
    <row r="51034" ht="26.25" customHeight="1"/>
    <row r="51035" ht="26.25" customHeight="1"/>
    <row r="51036" ht="26.25" customHeight="1"/>
    <row r="51037" ht="26.25" customHeight="1"/>
    <row r="51038" ht="26.25" customHeight="1"/>
    <row r="51039" ht="26.25" customHeight="1"/>
    <row r="51040" ht="26.25" customHeight="1"/>
    <row r="51041" ht="26.25" customHeight="1"/>
    <row r="51042" ht="26.25" customHeight="1"/>
    <row r="51043" ht="26.25" customHeight="1"/>
    <row r="51044" ht="26.25" customHeight="1"/>
    <row r="51045" ht="26.25" customHeight="1"/>
    <row r="51046" ht="26.25" customHeight="1"/>
    <row r="51047" ht="26.25" customHeight="1"/>
    <row r="51048" ht="26.25" customHeight="1"/>
    <row r="51049" ht="26.25" customHeight="1"/>
    <row r="51050" ht="26.25" customHeight="1"/>
    <row r="51051" ht="26.25" customHeight="1"/>
    <row r="51052" ht="26.25" customHeight="1"/>
    <row r="51053" ht="26.25" customHeight="1"/>
    <row r="51054" ht="26.25" customHeight="1"/>
    <row r="51055" ht="26.25" customHeight="1"/>
    <row r="51056" ht="26.25" customHeight="1"/>
    <row r="51057" ht="26.25" customHeight="1"/>
    <row r="51058" ht="26.25" customHeight="1"/>
    <row r="51059" ht="26.25" customHeight="1"/>
    <row r="51060" ht="26.25" customHeight="1"/>
    <row r="51061" ht="26.25" customHeight="1"/>
    <row r="51062" ht="26.25" customHeight="1"/>
    <row r="51063" ht="26.25" customHeight="1"/>
    <row r="51064" ht="26.25" customHeight="1"/>
    <row r="51065" ht="26.25" customHeight="1"/>
    <row r="51066" ht="26.25" customHeight="1"/>
    <row r="51067" ht="26.25" customHeight="1"/>
    <row r="51068" ht="26.25" customHeight="1"/>
    <row r="51069" ht="26.25" customHeight="1"/>
    <row r="51070" ht="26.25" customHeight="1"/>
    <row r="51071" ht="26.25" customHeight="1"/>
    <row r="51072" ht="26.25" customHeight="1"/>
    <row r="51073" ht="26.25" customHeight="1"/>
    <row r="51074" ht="26.25" customHeight="1"/>
    <row r="51075" ht="26.25" customHeight="1"/>
    <row r="51076" ht="26.25" customHeight="1"/>
    <row r="51077" ht="26.25" customHeight="1"/>
    <row r="51078" ht="26.25" customHeight="1"/>
    <row r="51079" ht="26.25" customHeight="1"/>
    <row r="51080" ht="26.25" customHeight="1"/>
    <row r="51081" ht="26.25" customHeight="1"/>
    <row r="51082" ht="26.25" customHeight="1"/>
    <row r="51083" ht="26.25" customHeight="1"/>
    <row r="51084" ht="26.25" customHeight="1"/>
    <row r="51085" ht="26.25" customHeight="1"/>
    <row r="51086" ht="26.25" customHeight="1"/>
    <row r="51087" ht="26.25" customHeight="1"/>
    <row r="51088" ht="26.25" customHeight="1"/>
    <row r="51089" ht="26.25" customHeight="1"/>
    <row r="51090" ht="26.25" customHeight="1"/>
    <row r="51091" ht="26.25" customHeight="1"/>
    <row r="51092" ht="26.25" customHeight="1"/>
    <row r="51093" ht="26.25" customHeight="1"/>
    <row r="51094" ht="26.25" customHeight="1"/>
    <row r="51095" ht="26.25" customHeight="1"/>
    <row r="51096" ht="26.25" customHeight="1"/>
    <row r="51097" ht="26.25" customHeight="1"/>
    <row r="51098" ht="26.25" customHeight="1"/>
    <row r="51099" ht="26.25" customHeight="1"/>
    <row r="51100" ht="26.25" customHeight="1"/>
    <row r="51101" ht="26.25" customHeight="1"/>
    <row r="51102" ht="26.25" customHeight="1"/>
    <row r="51103" ht="26.25" customHeight="1"/>
    <row r="51104" ht="26.25" customHeight="1"/>
    <row r="51105" ht="26.25" customHeight="1"/>
    <row r="51106" ht="26.25" customHeight="1"/>
    <row r="51107" ht="26.25" customHeight="1"/>
    <row r="51108" ht="26.25" customHeight="1"/>
    <row r="51109" ht="26.25" customHeight="1"/>
    <row r="51110" ht="26.25" customHeight="1"/>
    <row r="51111" ht="26.25" customHeight="1"/>
    <row r="51112" ht="26.25" customHeight="1"/>
    <row r="51113" ht="26.25" customHeight="1"/>
    <row r="51114" ht="26.25" customHeight="1"/>
    <row r="51115" ht="26.25" customHeight="1"/>
    <row r="51116" ht="26.25" customHeight="1"/>
    <row r="51117" ht="26.25" customHeight="1"/>
    <row r="51118" ht="26.25" customHeight="1"/>
    <row r="51119" ht="26.25" customHeight="1"/>
    <row r="51120" ht="26.25" customHeight="1"/>
    <row r="51121" ht="26.25" customHeight="1"/>
    <row r="51122" ht="26.25" customHeight="1"/>
    <row r="51123" ht="26.25" customHeight="1"/>
    <row r="51124" ht="26.25" customHeight="1"/>
    <row r="51125" ht="26.25" customHeight="1"/>
    <row r="51126" ht="26.25" customHeight="1"/>
    <row r="51127" ht="26.25" customHeight="1"/>
    <row r="51128" ht="26.25" customHeight="1"/>
    <row r="51129" ht="26.25" customHeight="1"/>
    <row r="51130" ht="26.25" customHeight="1"/>
    <row r="51131" ht="26.25" customHeight="1"/>
    <row r="51132" ht="26.25" customHeight="1"/>
    <row r="51133" ht="26.25" customHeight="1"/>
    <row r="51134" ht="26.25" customHeight="1"/>
    <row r="51135" ht="26.25" customHeight="1"/>
    <row r="51136" ht="26.25" customHeight="1"/>
    <row r="51137" ht="26.25" customHeight="1"/>
    <row r="51138" ht="26.25" customHeight="1"/>
    <row r="51139" ht="26.25" customHeight="1"/>
    <row r="51140" ht="26.25" customHeight="1"/>
    <row r="51141" ht="26.25" customHeight="1"/>
    <row r="51142" ht="26.25" customHeight="1"/>
    <row r="51143" ht="26.25" customHeight="1"/>
    <row r="51144" ht="26.25" customHeight="1"/>
    <row r="51145" ht="26.25" customHeight="1"/>
    <row r="51146" ht="26.25" customHeight="1"/>
    <row r="51147" ht="26.25" customHeight="1"/>
    <row r="51148" ht="26.25" customHeight="1"/>
    <row r="51149" ht="26.25" customHeight="1"/>
    <row r="51150" ht="26.25" customHeight="1"/>
    <row r="51151" ht="26.25" customHeight="1"/>
    <row r="51152" ht="26.25" customHeight="1"/>
    <row r="51153" ht="26.25" customHeight="1"/>
    <row r="51154" ht="26.25" customHeight="1"/>
    <row r="51155" ht="26.25" customHeight="1"/>
    <row r="51156" ht="26.25" customHeight="1"/>
    <row r="51157" ht="26.25" customHeight="1"/>
    <row r="51158" ht="26.25" customHeight="1"/>
    <row r="51159" ht="26.25" customHeight="1"/>
    <row r="51160" ht="26.25" customHeight="1"/>
    <row r="51161" ht="26.25" customHeight="1"/>
    <row r="51162" ht="26.25" customHeight="1"/>
    <row r="51163" ht="26.25" customHeight="1"/>
    <row r="51164" ht="26.25" customHeight="1"/>
    <row r="51165" ht="26.25" customHeight="1"/>
    <row r="51166" ht="26.25" customHeight="1"/>
    <row r="51167" ht="26.25" customHeight="1"/>
    <row r="51168" ht="26.25" customHeight="1"/>
    <row r="51169" ht="26.25" customHeight="1"/>
    <row r="51170" ht="26.25" customHeight="1"/>
    <row r="51171" ht="26.25" customHeight="1"/>
    <row r="51172" ht="26.25" customHeight="1"/>
    <row r="51173" ht="26.25" customHeight="1"/>
    <row r="51174" ht="26.25" customHeight="1"/>
    <row r="51175" ht="26.25" customHeight="1"/>
    <row r="51176" ht="26.25" customHeight="1"/>
    <row r="51177" ht="26.25" customHeight="1"/>
    <row r="51178" ht="26.25" customHeight="1"/>
    <row r="51179" ht="26.25" customHeight="1"/>
    <row r="51180" ht="26.25" customHeight="1"/>
    <row r="51181" ht="26.25" customHeight="1"/>
    <row r="51182" ht="26.25" customHeight="1"/>
    <row r="51183" ht="26.25" customHeight="1"/>
    <row r="51184" ht="26.25" customHeight="1"/>
    <row r="51185" ht="26.25" customHeight="1"/>
    <row r="51186" ht="26.25" customHeight="1"/>
    <row r="51187" ht="26.25" customHeight="1"/>
    <row r="51188" ht="26.25" customHeight="1"/>
    <row r="51189" ht="26.25" customHeight="1"/>
    <row r="51190" ht="26.25" customHeight="1"/>
    <row r="51191" ht="26.25" customHeight="1"/>
    <row r="51192" ht="26.25" customHeight="1"/>
    <row r="51193" ht="26.25" customHeight="1"/>
    <row r="51194" ht="26.25" customHeight="1"/>
    <row r="51195" ht="26.25" customHeight="1"/>
    <row r="51196" ht="26.25" customHeight="1"/>
    <row r="51197" ht="26.25" customHeight="1"/>
    <row r="51198" ht="26.25" customHeight="1"/>
    <row r="51199" ht="26.25" customHeight="1"/>
    <row r="51200" ht="26.25" customHeight="1"/>
    <row r="51201" ht="26.25" customHeight="1"/>
    <row r="51202" ht="26.25" customHeight="1"/>
    <row r="51203" ht="26.25" customHeight="1"/>
    <row r="51204" ht="26.25" customHeight="1"/>
    <row r="51205" ht="26.25" customHeight="1"/>
    <row r="51206" ht="26.25" customHeight="1"/>
    <row r="51207" ht="26.25" customHeight="1"/>
    <row r="51208" ht="26.25" customHeight="1"/>
    <row r="51209" ht="26.25" customHeight="1"/>
    <row r="51210" ht="26.25" customHeight="1"/>
    <row r="51211" ht="26.25" customHeight="1"/>
    <row r="51212" ht="26.25" customHeight="1"/>
    <row r="51213" ht="26.25" customHeight="1"/>
    <row r="51214" ht="26.25" customHeight="1"/>
    <row r="51215" ht="26.25" customHeight="1"/>
    <row r="51216" ht="26.25" customHeight="1"/>
    <row r="51217" ht="26.25" customHeight="1"/>
    <row r="51218" ht="26.25" customHeight="1"/>
    <row r="51219" ht="26.25" customHeight="1"/>
    <row r="51220" ht="26.25" customHeight="1"/>
    <row r="51221" ht="26.25" customHeight="1"/>
    <row r="51222" ht="26.25" customHeight="1"/>
    <row r="51223" ht="26.25" customHeight="1"/>
    <row r="51224" ht="26.25" customHeight="1"/>
    <row r="51225" ht="26.25" customHeight="1"/>
    <row r="51226" ht="26.25" customHeight="1"/>
    <row r="51227" ht="26.25" customHeight="1"/>
    <row r="51228" ht="26.25" customHeight="1"/>
    <row r="51229" ht="26.25" customHeight="1"/>
    <row r="51230" ht="26.25" customHeight="1"/>
    <row r="51231" ht="26.25" customHeight="1"/>
    <row r="51232" ht="26.25" customHeight="1"/>
    <row r="51233" ht="26.25" customHeight="1"/>
    <row r="51234" ht="26.25" customHeight="1"/>
    <row r="51235" ht="26.25" customHeight="1"/>
    <row r="51236" ht="26.25" customHeight="1"/>
    <row r="51237" ht="26.25" customHeight="1"/>
    <row r="51238" ht="26.25" customHeight="1"/>
    <row r="51239" ht="26.25" customHeight="1"/>
    <row r="51240" ht="26.25" customHeight="1"/>
    <row r="51241" ht="26.25" customHeight="1"/>
    <row r="51242" ht="26.25" customHeight="1"/>
    <row r="51243" ht="26.25" customHeight="1"/>
    <row r="51244" ht="26.25" customHeight="1"/>
    <row r="51245" ht="26.25" customHeight="1"/>
    <row r="51246" ht="26.25" customHeight="1"/>
    <row r="51247" ht="26.25" customHeight="1"/>
    <row r="51248" ht="26.25" customHeight="1"/>
    <row r="51249" ht="26.25" customHeight="1"/>
    <row r="51250" ht="26.25" customHeight="1"/>
    <row r="51251" ht="26.25" customHeight="1"/>
    <row r="51252" ht="26.25" customHeight="1"/>
    <row r="51253" ht="26.25" customHeight="1"/>
    <row r="51254" ht="26.25" customHeight="1"/>
    <row r="51255" ht="26.25" customHeight="1"/>
    <row r="51256" ht="26.25" customHeight="1"/>
    <row r="51257" ht="26.25" customHeight="1"/>
    <row r="51258" ht="26.25" customHeight="1"/>
    <row r="51259" ht="26.25" customHeight="1"/>
    <row r="51260" ht="26.25" customHeight="1"/>
    <row r="51261" ht="26.25" customHeight="1"/>
    <row r="51262" ht="26.25" customHeight="1"/>
    <row r="51263" ht="26.25" customHeight="1"/>
    <row r="51264" ht="26.25" customHeight="1"/>
    <row r="51265" ht="26.25" customHeight="1"/>
    <row r="51266" ht="26.25" customHeight="1"/>
    <row r="51267" ht="26.25" customHeight="1"/>
    <row r="51268" ht="26.25" customHeight="1"/>
    <row r="51269" ht="26.25" customHeight="1"/>
    <row r="51270" ht="26.25" customHeight="1"/>
    <row r="51271" ht="26.25" customHeight="1"/>
    <row r="51272" ht="26.25" customHeight="1"/>
    <row r="51273" ht="26.25" customHeight="1"/>
    <row r="51274" ht="26.25" customHeight="1"/>
    <row r="51275" ht="26.25" customHeight="1"/>
    <row r="51276" ht="26.25" customHeight="1"/>
    <row r="51277" ht="26.25" customHeight="1"/>
    <row r="51278" ht="26.25" customHeight="1"/>
    <row r="51279" ht="26.25" customHeight="1"/>
    <row r="51280" ht="26.25" customHeight="1"/>
    <row r="51281" ht="26.25" customHeight="1"/>
    <row r="51282" ht="26.25" customHeight="1"/>
    <row r="51283" ht="26.25" customHeight="1"/>
    <row r="51284" ht="26.25" customHeight="1"/>
    <row r="51285" ht="26.25" customHeight="1"/>
    <row r="51286" ht="26.25" customHeight="1"/>
    <row r="51287" ht="26.25" customHeight="1"/>
    <row r="51288" ht="26.25" customHeight="1"/>
    <row r="51289" ht="26.25" customHeight="1"/>
    <row r="51290" ht="26.25" customHeight="1"/>
    <row r="51291" ht="26.25" customHeight="1"/>
    <row r="51292" ht="26.25" customHeight="1"/>
    <row r="51293" ht="26.25" customHeight="1"/>
    <row r="51294" ht="26.25" customHeight="1"/>
    <row r="51295" ht="26.25" customHeight="1"/>
    <row r="51296" ht="26.25" customHeight="1"/>
    <row r="51297" ht="26.25" customHeight="1"/>
    <row r="51298" ht="26.25" customHeight="1"/>
    <row r="51299" ht="26.25" customHeight="1"/>
    <row r="51300" ht="26.25" customHeight="1"/>
    <row r="51301" ht="26.25" customHeight="1"/>
    <row r="51302" ht="26.25" customHeight="1"/>
    <row r="51303" ht="26.25" customHeight="1"/>
    <row r="51304" ht="26.25" customHeight="1"/>
    <row r="51305" ht="26.25" customHeight="1"/>
    <row r="51306" ht="26.25" customHeight="1"/>
    <row r="51307" ht="26.25" customHeight="1"/>
    <row r="51308" ht="26.25" customHeight="1"/>
    <row r="51309" ht="26.25" customHeight="1"/>
    <row r="51310" ht="26.25" customHeight="1"/>
    <row r="51311" ht="26.25" customHeight="1"/>
    <row r="51312" ht="26.25" customHeight="1"/>
    <row r="51313" ht="26.25" customHeight="1"/>
    <row r="51314" ht="26.25" customHeight="1"/>
    <row r="51315" ht="26.25" customHeight="1"/>
    <row r="51316" ht="26.25" customHeight="1"/>
    <row r="51317" ht="26.25" customHeight="1"/>
    <row r="51318" ht="26.25" customHeight="1"/>
    <row r="51319" ht="26.25" customHeight="1"/>
    <row r="51320" ht="26.25" customHeight="1"/>
    <row r="51321" ht="26.25" customHeight="1"/>
    <row r="51322" ht="26.25" customHeight="1"/>
    <row r="51323" ht="26.25" customHeight="1"/>
    <row r="51324" ht="26.25" customHeight="1"/>
    <row r="51325" ht="26.25" customHeight="1"/>
    <row r="51326" ht="26.25" customHeight="1"/>
    <row r="51327" ht="26.25" customHeight="1"/>
    <row r="51328" ht="26.25" customHeight="1"/>
    <row r="51329" ht="26.25" customHeight="1"/>
    <row r="51330" ht="26.25" customHeight="1"/>
    <row r="51331" ht="26.25" customHeight="1"/>
    <row r="51332" ht="26.25" customHeight="1"/>
    <row r="51333" ht="26.25" customHeight="1"/>
    <row r="51334" ht="26.25" customHeight="1"/>
    <row r="51335" ht="26.25" customHeight="1"/>
    <row r="51336" ht="26.25" customHeight="1"/>
    <row r="51337" ht="26.25" customHeight="1"/>
    <row r="51338" ht="26.25" customHeight="1"/>
    <row r="51339" ht="26.25" customHeight="1"/>
    <row r="51340" ht="26.25" customHeight="1"/>
    <row r="51341" ht="26.25" customHeight="1"/>
    <row r="51342" ht="26.25" customHeight="1"/>
    <row r="51343" ht="26.25" customHeight="1"/>
    <row r="51344" ht="26.25" customHeight="1"/>
    <row r="51345" ht="26.25" customHeight="1"/>
    <row r="51346" ht="26.25" customHeight="1"/>
    <row r="51347" ht="26.25" customHeight="1"/>
    <row r="51348" ht="26.25" customHeight="1"/>
    <row r="51349" ht="26.25" customHeight="1"/>
    <row r="51350" ht="26.25" customHeight="1"/>
    <row r="51351" ht="26.25" customHeight="1"/>
    <row r="51352" ht="26.25" customHeight="1"/>
    <row r="51353" ht="26.25" customHeight="1"/>
    <row r="51354" ht="26.25" customHeight="1"/>
    <row r="51355" ht="26.25" customHeight="1"/>
    <row r="51356" ht="26.25" customHeight="1"/>
    <row r="51357" ht="26.25" customHeight="1"/>
    <row r="51358" ht="26.25" customHeight="1"/>
    <row r="51359" ht="26.25" customHeight="1"/>
    <row r="51360" ht="26.25" customHeight="1"/>
    <row r="51361" ht="26.25" customHeight="1"/>
    <row r="51362" ht="26.25" customHeight="1"/>
    <row r="51363" ht="26.25" customHeight="1"/>
    <row r="51364" ht="26.25" customHeight="1"/>
    <row r="51365" ht="26.25" customHeight="1"/>
    <row r="51366" ht="26.25" customHeight="1"/>
    <row r="51367" ht="26.25" customHeight="1"/>
    <row r="51368" ht="26.25" customHeight="1"/>
    <row r="51369" ht="26.25" customHeight="1"/>
    <row r="51370" ht="26.25" customHeight="1"/>
    <row r="51371" ht="26.25" customHeight="1"/>
    <row r="51372" ht="26.25" customHeight="1"/>
    <row r="51373" ht="26.25" customHeight="1"/>
    <row r="51374" ht="26.25" customHeight="1"/>
    <row r="51375" ht="26.25" customHeight="1"/>
    <row r="51376" ht="26.25" customHeight="1"/>
    <row r="51377" ht="26.25" customHeight="1"/>
    <row r="51378" ht="26.25" customHeight="1"/>
    <row r="51379" ht="26.25" customHeight="1"/>
    <row r="51380" ht="26.25" customHeight="1"/>
    <row r="51381" ht="26.25" customHeight="1"/>
    <row r="51382" ht="26.25" customHeight="1"/>
    <row r="51383" ht="26.25" customHeight="1"/>
    <row r="51384" ht="26.25" customHeight="1"/>
    <row r="51385" ht="26.25" customHeight="1"/>
    <row r="51386" ht="26.25" customHeight="1"/>
    <row r="51387" ht="26.25" customHeight="1"/>
    <row r="51388" ht="26.25" customHeight="1"/>
    <row r="51389" ht="26.25" customHeight="1"/>
    <row r="51390" ht="26.25" customHeight="1"/>
    <row r="51391" ht="26.25" customHeight="1"/>
    <row r="51392" ht="26.25" customHeight="1"/>
    <row r="51393" ht="26.25" customHeight="1"/>
    <row r="51394" ht="26.25" customHeight="1"/>
    <row r="51395" ht="26.25" customHeight="1"/>
    <row r="51396" ht="26.25" customHeight="1"/>
    <row r="51397" ht="26.25" customHeight="1"/>
    <row r="51398" ht="26.25" customHeight="1"/>
    <row r="51399" ht="26.25" customHeight="1"/>
    <row r="51400" ht="26.25" customHeight="1"/>
    <row r="51401" ht="26.25" customHeight="1"/>
    <row r="51402" ht="26.25" customHeight="1"/>
    <row r="51403" ht="26.25" customHeight="1"/>
    <row r="51404" ht="26.25" customHeight="1"/>
    <row r="51405" ht="26.25" customHeight="1"/>
    <row r="51406" ht="26.25" customHeight="1"/>
    <row r="51407" ht="26.25" customHeight="1"/>
    <row r="51408" ht="26.25" customHeight="1"/>
    <row r="51409" ht="26.25" customHeight="1"/>
    <row r="51410" ht="26.25" customHeight="1"/>
    <row r="51411" ht="26.25" customHeight="1"/>
    <row r="51412" ht="26.25" customHeight="1"/>
    <row r="51413" ht="26.25" customHeight="1"/>
    <row r="51414" ht="26.25" customHeight="1"/>
    <row r="51415" ht="26.25" customHeight="1"/>
    <row r="51416" ht="26.25" customHeight="1"/>
    <row r="51417" ht="26.25" customHeight="1"/>
    <row r="51418" ht="26.25" customHeight="1"/>
    <row r="51419" ht="26.25" customHeight="1"/>
    <row r="51420" ht="26.25" customHeight="1"/>
    <row r="51421" ht="26.25" customHeight="1"/>
    <row r="51422" ht="26.25" customHeight="1"/>
    <row r="51423" ht="26.25" customHeight="1"/>
    <row r="51424" ht="26.25" customHeight="1"/>
    <row r="51425" ht="26.25" customHeight="1"/>
    <row r="51426" ht="26.25" customHeight="1"/>
    <row r="51427" ht="26.25" customHeight="1"/>
    <row r="51428" ht="26.25" customHeight="1"/>
    <row r="51429" ht="26.25" customHeight="1"/>
    <row r="51430" ht="26.25" customHeight="1"/>
    <row r="51431" ht="26.25" customHeight="1"/>
    <row r="51432" ht="26.25" customHeight="1"/>
    <row r="51433" ht="26.25" customHeight="1"/>
    <row r="51434" ht="26.25" customHeight="1"/>
    <row r="51435" ht="26.25" customHeight="1"/>
    <row r="51436" ht="26.25" customHeight="1"/>
    <row r="51437" ht="26.25" customHeight="1"/>
    <row r="51438" ht="26.25" customHeight="1"/>
    <row r="51439" ht="26.25" customHeight="1"/>
    <row r="51440" ht="26.25" customHeight="1"/>
    <row r="51441" ht="26.25" customHeight="1"/>
    <row r="51442" ht="26.25" customHeight="1"/>
    <row r="51443" ht="26.25" customHeight="1"/>
    <row r="51444" ht="26.25" customHeight="1"/>
    <row r="51445" ht="26.25" customHeight="1"/>
    <row r="51446" ht="26.25" customHeight="1"/>
    <row r="51447" ht="26.25" customHeight="1"/>
    <row r="51448" ht="26.25" customHeight="1"/>
    <row r="51449" ht="26.25" customHeight="1"/>
    <row r="51450" ht="26.25" customHeight="1"/>
    <row r="51451" ht="26.25" customHeight="1"/>
    <row r="51452" ht="26.25" customHeight="1"/>
    <row r="51453" ht="26.25" customHeight="1"/>
    <row r="51454" ht="26.25" customHeight="1"/>
    <row r="51455" ht="26.25" customHeight="1"/>
    <row r="51456" ht="26.25" customHeight="1"/>
    <row r="51457" ht="26.25" customHeight="1"/>
    <row r="51458" ht="26.25" customHeight="1"/>
    <row r="51459" ht="26.25" customHeight="1"/>
    <row r="51460" ht="26.25" customHeight="1"/>
    <row r="51461" ht="26.25" customHeight="1"/>
    <row r="51462" ht="26.25" customHeight="1"/>
    <row r="51463" ht="26.25" customHeight="1"/>
    <row r="51464" ht="26.25" customHeight="1"/>
    <row r="51465" ht="26.25" customHeight="1"/>
    <row r="51466" ht="26.25" customHeight="1"/>
    <row r="51467" ht="26.25" customHeight="1"/>
    <row r="51468" ht="26.25" customHeight="1"/>
    <row r="51469" ht="26.25" customHeight="1"/>
    <row r="51470" ht="26.25" customHeight="1"/>
    <row r="51471" ht="26.25" customHeight="1"/>
    <row r="51472" ht="26.25" customHeight="1"/>
    <row r="51473" ht="26.25" customHeight="1"/>
    <row r="51474" ht="26.25" customHeight="1"/>
    <row r="51475" ht="26.25" customHeight="1"/>
    <row r="51476" ht="26.25" customHeight="1"/>
    <row r="51477" ht="26.25" customHeight="1"/>
    <row r="51478" ht="26.25" customHeight="1"/>
    <row r="51479" ht="26.25" customHeight="1"/>
    <row r="51480" ht="26.25" customHeight="1"/>
    <row r="51481" ht="26.25" customHeight="1"/>
    <row r="51482" ht="26.25" customHeight="1"/>
    <row r="51483" ht="26.25" customHeight="1"/>
    <row r="51484" ht="26.25" customHeight="1"/>
    <row r="51485" ht="26.25" customHeight="1"/>
    <row r="51486" ht="26.25" customHeight="1"/>
    <row r="51487" ht="26.25" customHeight="1"/>
    <row r="51488" ht="26.25" customHeight="1"/>
    <row r="51489" ht="26.25" customHeight="1"/>
    <row r="51490" ht="26.25" customHeight="1"/>
    <row r="51491" ht="26.25" customHeight="1"/>
    <row r="51492" ht="26.25" customHeight="1"/>
    <row r="51493" ht="26.25" customHeight="1"/>
    <row r="51494" ht="26.25" customHeight="1"/>
    <row r="51495" ht="26.25" customHeight="1"/>
    <row r="51496" ht="26.25" customHeight="1"/>
    <row r="51497" ht="26.25" customHeight="1"/>
    <row r="51498" ht="26.25" customHeight="1"/>
    <row r="51499" ht="26.25" customHeight="1"/>
    <row r="51500" ht="26.25" customHeight="1"/>
    <row r="51501" ht="26.25" customHeight="1"/>
    <row r="51502" ht="26.25" customHeight="1"/>
    <row r="51503" ht="26.25" customHeight="1"/>
    <row r="51504" ht="26.25" customHeight="1"/>
    <row r="51505" ht="26.25" customHeight="1"/>
    <row r="51506" ht="26.25" customHeight="1"/>
    <row r="51507" ht="26.25" customHeight="1"/>
    <row r="51508" ht="26.25" customHeight="1"/>
    <row r="51509" ht="26.25" customHeight="1"/>
    <row r="51510" ht="26.25" customHeight="1"/>
    <row r="51511" ht="26.25" customHeight="1"/>
    <row r="51512" ht="26.25" customHeight="1"/>
    <row r="51513" ht="26.25" customHeight="1"/>
    <row r="51514" ht="26.25" customHeight="1"/>
    <row r="51515" ht="26.25" customHeight="1"/>
    <row r="51516" ht="26.25" customHeight="1"/>
    <row r="51517" ht="26.25" customHeight="1"/>
    <row r="51518" ht="26.25" customHeight="1"/>
    <row r="51519" ht="26.25" customHeight="1"/>
    <row r="51520" ht="26.25" customHeight="1"/>
    <row r="51521" ht="26.25" customHeight="1"/>
    <row r="51522" ht="26.25" customHeight="1"/>
    <row r="51523" ht="26.25" customHeight="1"/>
    <row r="51524" ht="26.25" customHeight="1"/>
    <row r="51525" ht="26.25" customHeight="1"/>
    <row r="51526" ht="26.25" customHeight="1"/>
    <row r="51527" ht="26.25" customHeight="1"/>
    <row r="51528" ht="26.25" customHeight="1"/>
    <row r="51529" ht="26.25" customHeight="1"/>
    <row r="51530" ht="26.25" customHeight="1"/>
    <row r="51531" ht="26.25" customHeight="1"/>
    <row r="51532" ht="26.25" customHeight="1"/>
    <row r="51533" ht="26.25" customHeight="1"/>
    <row r="51534" ht="26.25" customHeight="1"/>
    <row r="51535" ht="26.25" customHeight="1"/>
    <row r="51536" ht="26.25" customHeight="1"/>
    <row r="51537" ht="26.25" customHeight="1"/>
    <row r="51538" ht="26.25" customHeight="1"/>
    <row r="51539" ht="26.25" customHeight="1"/>
    <row r="51540" ht="26.25" customHeight="1"/>
    <row r="51541" ht="26.25" customHeight="1"/>
    <row r="51542" ht="26.25" customHeight="1"/>
    <row r="51543" ht="26.25" customHeight="1"/>
    <row r="51544" ht="26.25" customHeight="1"/>
    <row r="51545" ht="26.25" customHeight="1"/>
    <row r="51546" ht="26.25" customHeight="1"/>
    <row r="51547" ht="26.25" customHeight="1"/>
    <row r="51548" ht="26.25" customHeight="1"/>
    <row r="51549" ht="26.25" customHeight="1"/>
    <row r="51550" ht="26.25" customHeight="1"/>
    <row r="51551" ht="26.25" customHeight="1"/>
    <row r="51552" ht="26.25" customHeight="1"/>
    <row r="51553" ht="26.25" customHeight="1"/>
    <row r="51554" ht="26.25" customHeight="1"/>
    <row r="51555" ht="26.25" customHeight="1"/>
    <row r="51556" ht="26.25" customHeight="1"/>
    <row r="51557" ht="26.25" customHeight="1"/>
    <row r="51558" ht="26.25" customHeight="1"/>
    <row r="51559" ht="26.25" customHeight="1"/>
    <row r="51560" ht="26.25" customHeight="1"/>
    <row r="51561" ht="26.25" customHeight="1"/>
    <row r="51562" ht="26.25" customHeight="1"/>
    <row r="51563" ht="26.25" customHeight="1"/>
    <row r="51564" ht="26.25" customHeight="1"/>
    <row r="51565" ht="26.25" customHeight="1"/>
    <row r="51566" ht="26.25" customHeight="1"/>
    <row r="51567" ht="26.25" customHeight="1"/>
    <row r="51568" ht="26.25" customHeight="1"/>
    <row r="51569" ht="26.25" customHeight="1"/>
    <row r="51570" ht="26.25" customHeight="1"/>
    <row r="51571" ht="26.25" customHeight="1"/>
    <row r="51572" ht="26.25" customHeight="1"/>
    <row r="51573" ht="26.25" customHeight="1"/>
    <row r="51574" ht="26.25" customHeight="1"/>
    <row r="51575" ht="26.25" customHeight="1"/>
    <row r="51576" ht="26.25" customHeight="1"/>
    <row r="51577" ht="26.25" customHeight="1"/>
    <row r="51578" ht="26.25" customHeight="1"/>
    <row r="51579" ht="26.25" customHeight="1"/>
    <row r="51580" ht="26.25" customHeight="1"/>
    <row r="51581" ht="26.25" customHeight="1"/>
    <row r="51582" ht="26.25" customHeight="1"/>
    <row r="51583" ht="26.25" customHeight="1"/>
    <row r="51584" ht="26.25" customHeight="1"/>
    <row r="51585" ht="26.25" customHeight="1"/>
    <row r="51586" ht="26.25" customHeight="1"/>
    <row r="51587" ht="26.25" customHeight="1"/>
    <row r="51588" ht="26.25" customHeight="1"/>
    <row r="51589" ht="26.25" customHeight="1"/>
    <row r="51590" ht="26.25" customHeight="1"/>
    <row r="51591" ht="26.25" customHeight="1"/>
    <row r="51592" ht="26.25" customHeight="1"/>
    <row r="51593" ht="26.25" customHeight="1"/>
    <row r="51594" ht="26.25" customHeight="1"/>
    <row r="51595" ht="26.25" customHeight="1"/>
    <row r="51596" ht="26.25" customHeight="1"/>
    <row r="51597" ht="26.25" customHeight="1"/>
    <row r="51598" ht="26.25" customHeight="1"/>
    <row r="51599" ht="26.25" customHeight="1"/>
    <row r="51600" ht="26.25" customHeight="1"/>
    <row r="51601" ht="26.25" customHeight="1"/>
    <row r="51602" ht="26.25" customHeight="1"/>
    <row r="51603" ht="26.25" customHeight="1"/>
    <row r="51604" ht="26.25" customHeight="1"/>
    <row r="51605" ht="26.25" customHeight="1"/>
    <row r="51606" ht="26.25" customHeight="1"/>
    <row r="51607" ht="26.25" customHeight="1"/>
    <row r="51608" ht="26.25" customHeight="1"/>
    <row r="51609" ht="26.25" customHeight="1"/>
    <row r="51610" ht="26.25" customHeight="1"/>
    <row r="51611" ht="26.25" customHeight="1"/>
    <row r="51612" ht="26.25" customHeight="1"/>
    <row r="51613" ht="26.25" customHeight="1"/>
    <row r="51614" ht="26.25" customHeight="1"/>
    <row r="51615" ht="26.25" customHeight="1"/>
    <row r="51616" ht="26.25" customHeight="1"/>
    <row r="51617" ht="26.25" customHeight="1"/>
    <row r="51618" ht="26.25" customHeight="1"/>
    <row r="51619" ht="26.25" customHeight="1"/>
    <row r="51620" ht="26.25" customHeight="1"/>
    <row r="51621" ht="26.25" customHeight="1"/>
    <row r="51622" ht="26.25" customHeight="1"/>
    <row r="51623" ht="26.25" customHeight="1"/>
    <row r="51624" ht="26.25" customHeight="1"/>
    <row r="51625" ht="26.25" customHeight="1"/>
    <row r="51626" ht="26.25" customHeight="1"/>
    <row r="51627" ht="26.25" customHeight="1"/>
    <row r="51628" ht="26.25" customHeight="1"/>
    <row r="51629" ht="26.25" customHeight="1"/>
    <row r="51630" ht="26.25" customHeight="1"/>
    <row r="51631" ht="26.25" customHeight="1"/>
    <row r="51632" ht="26.25" customHeight="1"/>
    <row r="51633" ht="26.25" customHeight="1"/>
    <row r="51634" ht="26.25" customHeight="1"/>
    <row r="51635" ht="26.25" customHeight="1"/>
    <row r="51636" ht="26.25" customHeight="1"/>
    <row r="51637" ht="26.25" customHeight="1"/>
    <row r="51638" ht="26.25" customHeight="1"/>
    <row r="51639" ht="26.25" customHeight="1"/>
    <row r="51640" ht="26.25" customHeight="1"/>
    <row r="51641" ht="26.25" customHeight="1"/>
    <row r="51642" ht="26.25" customHeight="1"/>
    <row r="51643" ht="26.25" customHeight="1"/>
    <row r="51644" ht="26.25" customHeight="1"/>
    <row r="51645" ht="26.25" customHeight="1"/>
    <row r="51646" ht="26.25" customHeight="1"/>
    <row r="51647" ht="26.25" customHeight="1"/>
    <row r="51648" ht="26.25" customHeight="1"/>
    <row r="51649" ht="26.25" customHeight="1"/>
    <row r="51650" ht="26.25" customHeight="1"/>
    <row r="51651" ht="26.25" customHeight="1"/>
    <row r="51652" ht="26.25" customHeight="1"/>
    <row r="51653" ht="26.25" customHeight="1"/>
    <row r="51654" ht="26.25" customHeight="1"/>
    <row r="51655" ht="26.25" customHeight="1"/>
    <row r="51656" ht="26.25" customHeight="1"/>
    <row r="51657" ht="26.25" customHeight="1"/>
    <row r="51658" ht="26.25" customHeight="1"/>
    <row r="51659" ht="26.25" customHeight="1"/>
    <row r="51660" ht="26.25" customHeight="1"/>
    <row r="51661" ht="26.25" customHeight="1"/>
    <row r="51662" ht="26.25" customHeight="1"/>
    <row r="51663" ht="26.25" customHeight="1"/>
    <row r="51664" ht="26.25" customHeight="1"/>
    <row r="51665" ht="26.25" customHeight="1"/>
    <row r="51666" ht="26.25" customHeight="1"/>
    <row r="51667" ht="26.25" customHeight="1"/>
    <row r="51668" ht="26.25" customHeight="1"/>
    <row r="51669" ht="26.25" customHeight="1"/>
    <row r="51670" ht="26.25" customHeight="1"/>
    <row r="51671" ht="26.25" customHeight="1"/>
    <row r="51672" ht="26.25" customHeight="1"/>
    <row r="51673" ht="26.25" customHeight="1"/>
    <row r="51674" ht="26.25" customHeight="1"/>
    <row r="51675" ht="26.25" customHeight="1"/>
    <row r="51676" ht="26.25" customHeight="1"/>
    <row r="51677" ht="26.25" customHeight="1"/>
    <row r="51678" ht="26.25" customHeight="1"/>
    <row r="51679" ht="26.25" customHeight="1"/>
    <row r="51680" ht="26.25" customHeight="1"/>
    <row r="51681" ht="26.25" customHeight="1"/>
    <row r="51682" ht="26.25" customHeight="1"/>
    <row r="51683" ht="26.25" customHeight="1"/>
    <row r="51684" ht="26.25" customHeight="1"/>
    <row r="51685" ht="26.25" customHeight="1"/>
    <row r="51686" ht="26.25" customHeight="1"/>
    <row r="51687" ht="26.25" customHeight="1"/>
    <row r="51688" ht="26.25" customHeight="1"/>
    <row r="51689" ht="26.25" customHeight="1"/>
    <row r="51690" ht="26.25" customHeight="1"/>
    <row r="51691" ht="26.25" customHeight="1"/>
    <row r="51692" ht="26.25" customHeight="1"/>
    <row r="51693" ht="26.25" customHeight="1"/>
    <row r="51694" ht="26.25" customHeight="1"/>
    <row r="51695" ht="26.25" customHeight="1"/>
    <row r="51696" ht="26.25" customHeight="1"/>
    <row r="51697" ht="26.25" customHeight="1"/>
    <row r="51698" ht="26.25" customHeight="1"/>
    <row r="51699" ht="26.25" customHeight="1"/>
    <row r="51700" ht="26.25" customHeight="1"/>
    <row r="51701" ht="26.25" customHeight="1"/>
    <row r="51702" ht="26.25" customHeight="1"/>
    <row r="51703" ht="26.25" customHeight="1"/>
    <row r="51704" ht="26.25" customHeight="1"/>
    <row r="51705" ht="26.25" customHeight="1"/>
    <row r="51706" ht="26.25" customHeight="1"/>
    <row r="51707" ht="26.25" customHeight="1"/>
    <row r="51708" ht="26.25" customHeight="1"/>
    <row r="51709" ht="26.25" customHeight="1"/>
    <row r="51710" ht="26.25" customHeight="1"/>
    <row r="51711" ht="26.25" customHeight="1"/>
    <row r="51712" ht="26.25" customHeight="1"/>
    <row r="51713" ht="26.25" customHeight="1"/>
    <row r="51714" ht="26.25" customHeight="1"/>
    <row r="51715" ht="26.25" customHeight="1"/>
    <row r="51716" ht="26.25" customHeight="1"/>
    <row r="51717" ht="26.25" customHeight="1"/>
    <row r="51718" ht="26.25" customHeight="1"/>
    <row r="51719" ht="26.25" customHeight="1"/>
    <row r="51720" ht="26.25" customHeight="1"/>
    <row r="51721" ht="26.25" customHeight="1"/>
    <row r="51722" ht="26.25" customHeight="1"/>
    <row r="51723" ht="26.25" customHeight="1"/>
    <row r="51724" ht="26.25" customHeight="1"/>
    <row r="51725" ht="26.25" customHeight="1"/>
    <row r="51726" ht="26.25" customHeight="1"/>
    <row r="51727" ht="26.25" customHeight="1"/>
    <row r="51728" ht="26.25" customHeight="1"/>
    <row r="51729" ht="26.25" customHeight="1"/>
    <row r="51730" ht="26.25" customHeight="1"/>
    <row r="51731" ht="26.25" customHeight="1"/>
    <row r="51732" ht="26.25" customHeight="1"/>
    <row r="51733" ht="26.25" customHeight="1"/>
    <row r="51734" ht="26.25" customHeight="1"/>
    <row r="51735" ht="26.25" customHeight="1"/>
    <row r="51736" ht="26.25" customHeight="1"/>
    <row r="51737" ht="26.25" customHeight="1"/>
    <row r="51738" ht="26.25" customHeight="1"/>
    <row r="51739" ht="26.25" customHeight="1"/>
    <row r="51740" ht="26.25" customHeight="1"/>
    <row r="51741" ht="26.25" customHeight="1"/>
    <row r="51742" ht="26.25" customHeight="1"/>
    <row r="51743" ht="26.25" customHeight="1"/>
    <row r="51744" ht="26.25" customHeight="1"/>
    <row r="51745" ht="26.25" customHeight="1"/>
    <row r="51746" ht="26.25" customHeight="1"/>
    <row r="51747" ht="26.25" customHeight="1"/>
    <row r="51748" ht="26.25" customHeight="1"/>
    <row r="51749" ht="26.25" customHeight="1"/>
    <row r="51750" ht="26.25" customHeight="1"/>
    <row r="51751" ht="26.25" customHeight="1"/>
    <row r="51752" ht="26.25" customHeight="1"/>
    <row r="51753" ht="26.25" customHeight="1"/>
    <row r="51754" ht="26.25" customHeight="1"/>
    <row r="51755" ht="26.25" customHeight="1"/>
    <row r="51756" ht="26.25" customHeight="1"/>
    <row r="51757" ht="26.25" customHeight="1"/>
    <row r="51758" ht="26.25" customHeight="1"/>
    <row r="51759" ht="26.25" customHeight="1"/>
    <row r="51760" ht="26.25" customHeight="1"/>
    <row r="51761" ht="26.25" customHeight="1"/>
    <row r="51762" ht="26.25" customHeight="1"/>
    <row r="51763" ht="26.25" customHeight="1"/>
    <row r="51764" ht="26.25" customHeight="1"/>
    <row r="51765" ht="26.25" customHeight="1"/>
    <row r="51766" ht="26.25" customHeight="1"/>
    <row r="51767" ht="26.25" customHeight="1"/>
    <row r="51768" ht="26.25" customHeight="1"/>
    <row r="51769" ht="26.25" customHeight="1"/>
    <row r="51770" ht="26.25" customHeight="1"/>
    <row r="51771" ht="26.25" customHeight="1"/>
    <row r="51772" ht="26.25" customHeight="1"/>
    <row r="51773" ht="26.25" customHeight="1"/>
    <row r="51774" ht="26.25" customHeight="1"/>
    <row r="51775" ht="26.25" customHeight="1"/>
    <row r="51776" ht="26.25" customHeight="1"/>
    <row r="51777" ht="26.25" customHeight="1"/>
    <row r="51778" ht="26.25" customHeight="1"/>
    <row r="51779" ht="26.25" customHeight="1"/>
    <row r="51780" ht="26.25" customHeight="1"/>
    <row r="51781" ht="26.25" customHeight="1"/>
    <row r="51782" ht="26.25" customHeight="1"/>
    <row r="51783" ht="26.25" customHeight="1"/>
    <row r="51784" ht="26.25" customHeight="1"/>
    <row r="51785" ht="26.25" customHeight="1"/>
    <row r="51786" ht="26.25" customHeight="1"/>
    <row r="51787" ht="26.25" customHeight="1"/>
    <row r="51788" ht="26.25" customHeight="1"/>
    <row r="51789" ht="26.25" customHeight="1"/>
    <row r="51790" ht="26.25" customHeight="1"/>
    <row r="51791" ht="26.25" customHeight="1"/>
    <row r="51792" ht="26.25" customHeight="1"/>
    <row r="51793" ht="26.25" customHeight="1"/>
    <row r="51794" ht="26.25" customHeight="1"/>
    <row r="51795" ht="26.25" customHeight="1"/>
    <row r="51796" ht="26.25" customHeight="1"/>
    <row r="51797" ht="26.25" customHeight="1"/>
    <row r="51798" ht="26.25" customHeight="1"/>
    <row r="51799" ht="26.25" customHeight="1"/>
    <row r="51800" ht="26.25" customHeight="1"/>
    <row r="51801" ht="26.25" customHeight="1"/>
    <row r="51802" ht="26.25" customHeight="1"/>
    <row r="51803" ht="26.25" customHeight="1"/>
    <row r="51804" ht="26.25" customHeight="1"/>
    <row r="51805" ht="26.25" customHeight="1"/>
    <row r="51806" ht="26.25" customHeight="1"/>
    <row r="51807" ht="26.25" customHeight="1"/>
    <row r="51808" ht="26.25" customHeight="1"/>
    <row r="51809" ht="26.25" customHeight="1"/>
    <row r="51810" ht="26.25" customHeight="1"/>
    <row r="51811" ht="26.25" customHeight="1"/>
    <row r="51812" ht="26.25" customHeight="1"/>
    <row r="51813" ht="26.25" customHeight="1"/>
    <row r="51814" ht="26.25" customHeight="1"/>
    <row r="51815" ht="26.25" customHeight="1"/>
    <row r="51816" ht="26.25" customHeight="1"/>
    <row r="51817" ht="26.25" customHeight="1"/>
    <row r="51818" ht="26.25" customHeight="1"/>
    <row r="51819" ht="26.25" customHeight="1"/>
    <row r="51820" ht="26.25" customHeight="1"/>
    <row r="51821" ht="26.25" customHeight="1"/>
    <row r="51822" ht="26.25" customHeight="1"/>
    <row r="51823" ht="26.25" customHeight="1"/>
    <row r="51824" ht="26.25" customHeight="1"/>
    <row r="51825" ht="26.25" customHeight="1"/>
    <row r="51826" ht="26.25" customHeight="1"/>
    <row r="51827" ht="26.25" customHeight="1"/>
    <row r="51828" ht="26.25" customHeight="1"/>
    <row r="51829" ht="26.25" customHeight="1"/>
    <row r="51830" ht="26.25" customHeight="1"/>
    <row r="51831" ht="26.25" customHeight="1"/>
    <row r="51832" ht="26.25" customHeight="1"/>
    <row r="51833" ht="26.25" customHeight="1"/>
    <row r="51834" ht="26.25" customHeight="1"/>
    <row r="51835" ht="26.25" customHeight="1"/>
    <row r="51836" ht="26.25" customHeight="1"/>
    <row r="51837" ht="26.25" customHeight="1"/>
    <row r="51838" ht="26.25" customHeight="1"/>
    <row r="51839" ht="26.25" customHeight="1"/>
    <row r="51840" ht="26.25" customHeight="1"/>
    <row r="51841" ht="26.25" customHeight="1"/>
    <row r="51842" ht="26.25" customHeight="1"/>
    <row r="51843" ht="26.25" customHeight="1"/>
    <row r="51844" ht="26.25" customHeight="1"/>
    <row r="51845" ht="26.25" customHeight="1"/>
    <row r="51846" ht="26.25" customHeight="1"/>
    <row r="51847" ht="26.25" customHeight="1"/>
    <row r="51848" ht="26.25" customHeight="1"/>
    <row r="51849" ht="26.25" customHeight="1"/>
    <row r="51850" ht="26.25" customHeight="1"/>
    <row r="51851" ht="26.25" customHeight="1"/>
    <row r="51852" ht="26.25" customHeight="1"/>
    <row r="51853" ht="26.25" customHeight="1"/>
    <row r="51854" ht="26.25" customHeight="1"/>
    <row r="51855" ht="26.25" customHeight="1"/>
    <row r="51856" ht="26.25" customHeight="1"/>
    <row r="51857" ht="26.25" customHeight="1"/>
    <row r="51858" ht="26.25" customHeight="1"/>
    <row r="51859" ht="26.25" customHeight="1"/>
    <row r="51860" ht="26.25" customHeight="1"/>
    <row r="51861" ht="26.25" customHeight="1"/>
    <row r="51862" ht="26.25" customHeight="1"/>
    <row r="51863" ht="26.25" customHeight="1"/>
    <row r="51864" ht="26.25" customHeight="1"/>
    <row r="51865" ht="26.25" customHeight="1"/>
    <row r="51866" ht="26.25" customHeight="1"/>
    <row r="51867" ht="26.25" customHeight="1"/>
    <row r="51868" ht="26.25" customHeight="1"/>
    <row r="51869" ht="26.25" customHeight="1"/>
    <row r="51870" ht="26.25" customHeight="1"/>
    <row r="51871" ht="26.25" customHeight="1"/>
    <row r="51872" ht="26.25" customHeight="1"/>
    <row r="51873" ht="26.25" customHeight="1"/>
    <row r="51874" ht="26.25" customHeight="1"/>
    <row r="51875" ht="26.25" customHeight="1"/>
    <row r="51876" ht="26.25" customHeight="1"/>
    <row r="51877" ht="26.25" customHeight="1"/>
    <row r="51878" ht="26.25" customHeight="1"/>
    <row r="51879" ht="26.25" customHeight="1"/>
    <row r="51880" ht="26.25" customHeight="1"/>
    <row r="51881" ht="26.25" customHeight="1"/>
    <row r="51882" ht="26.25" customHeight="1"/>
    <row r="51883" ht="26.25" customHeight="1"/>
    <row r="51884" ht="26.25" customHeight="1"/>
    <row r="51885" ht="26.25" customHeight="1"/>
    <row r="51886" ht="26.25" customHeight="1"/>
    <row r="51887" ht="26.25" customHeight="1"/>
    <row r="51888" ht="26.25" customHeight="1"/>
    <row r="51889" ht="26.25" customHeight="1"/>
    <row r="51890" ht="26.25" customHeight="1"/>
    <row r="51891" ht="26.25" customHeight="1"/>
    <row r="51892" ht="26.25" customHeight="1"/>
    <row r="51893" ht="26.25" customHeight="1"/>
    <row r="51894" ht="26.25" customHeight="1"/>
    <row r="51895" ht="26.25" customHeight="1"/>
    <row r="51896" ht="26.25" customHeight="1"/>
    <row r="51897" ht="26.25" customHeight="1"/>
    <row r="51898" ht="26.25" customHeight="1"/>
    <row r="51899" ht="26.25" customHeight="1"/>
    <row r="51900" ht="26.25" customHeight="1"/>
    <row r="51901" ht="26.25" customHeight="1"/>
    <row r="51902" ht="26.25" customHeight="1"/>
    <row r="51903" ht="26.25" customHeight="1"/>
    <row r="51904" ht="26.25" customHeight="1"/>
    <row r="51905" ht="26.25" customHeight="1"/>
    <row r="51906" ht="26.25" customHeight="1"/>
    <row r="51907" ht="26.25" customHeight="1"/>
    <row r="51908" ht="26.25" customHeight="1"/>
    <row r="51909" ht="26.25" customHeight="1"/>
    <row r="51910" ht="26.25" customHeight="1"/>
    <row r="51911" ht="26.25" customHeight="1"/>
    <row r="51912" ht="26.25" customHeight="1"/>
    <row r="51913" ht="26.25" customHeight="1"/>
    <row r="51914" ht="26.25" customHeight="1"/>
    <row r="51915" ht="26.25" customHeight="1"/>
    <row r="51916" ht="26.25" customHeight="1"/>
    <row r="51917" ht="26.25" customHeight="1"/>
    <row r="51918" ht="26.25" customHeight="1"/>
    <row r="51919" ht="26.25" customHeight="1"/>
    <row r="51920" ht="26.25" customHeight="1"/>
    <row r="51921" ht="26.25" customHeight="1"/>
    <row r="51922" ht="26.25" customHeight="1"/>
    <row r="51923" ht="26.25" customHeight="1"/>
    <row r="51924" ht="26.25" customHeight="1"/>
    <row r="51925" ht="26.25" customHeight="1"/>
    <row r="51926" ht="26.25" customHeight="1"/>
    <row r="51927" ht="26.25" customHeight="1"/>
    <row r="51928" ht="26.25" customHeight="1"/>
    <row r="51929" ht="26.25" customHeight="1"/>
    <row r="51930" ht="26.25" customHeight="1"/>
    <row r="51931" ht="26.25" customHeight="1"/>
    <row r="51932" ht="26.25" customHeight="1"/>
    <row r="51933" ht="26.25" customHeight="1"/>
    <row r="51934" ht="26.25" customHeight="1"/>
    <row r="51935" ht="26.25" customHeight="1"/>
    <row r="51936" ht="26.25" customHeight="1"/>
    <row r="51937" ht="26.25" customHeight="1"/>
    <row r="51938" ht="26.25" customHeight="1"/>
    <row r="51939" ht="26.25" customHeight="1"/>
    <row r="51940" ht="26.25" customHeight="1"/>
    <row r="51941" ht="26.25" customHeight="1"/>
    <row r="51942" ht="26.25" customHeight="1"/>
    <row r="51943" ht="26.25" customHeight="1"/>
    <row r="51944" ht="26.25" customHeight="1"/>
    <row r="51945" ht="26.25" customHeight="1"/>
    <row r="51946" ht="26.25" customHeight="1"/>
    <row r="51947" ht="26.25" customHeight="1"/>
    <row r="51948" ht="26.25" customHeight="1"/>
    <row r="51949" ht="26.25" customHeight="1"/>
    <row r="51950" ht="26.25" customHeight="1"/>
    <row r="51951" ht="26.25" customHeight="1"/>
    <row r="51952" ht="26.25" customHeight="1"/>
    <row r="51953" ht="26.25" customHeight="1"/>
    <row r="51954" ht="26.25" customHeight="1"/>
    <row r="51955" ht="26.25" customHeight="1"/>
    <row r="51956" ht="26.25" customHeight="1"/>
    <row r="51957" ht="26.25" customHeight="1"/>
    <row r="51958" ht="26.25" customHeight="1"/>
    <row r="51959" ht="26.25" customHeight="1"/>
    <row r="51960" ht="26.25" customHeight="1"/>
    <row r="51961" ht="26.25" customHeight="1"/>
    <row r="51962" ht="26.25" customHeight="1"/>
    <row r="51963" ht="26.25" customHeight="1"/>
    <row r="51964" ht="26.25" customHeight="1"/>
    <row r="51965" ht="26.25" customHeight="1"/>
    <row r="51966" ht="26.25" customHeight="1"/>
    <row r="51967" ht="26.25" customHeight="1"/>
    <row r="51968" ht="26.25" customHeight="1"/>
    <row r="51969" ht="26.25" customHeight="1"/>
    <row r="51970" ht="26.25" customHeight="1"/>
    <row r="51971" ht="26.25" customHeight="1"/>
    <row r="51972" ht="26.25" customHeight="1"/>
    <row r="51973" ht="26.25" customHeight="1"/>
    <row r="51974" ht="26.25" customHeight="1"/>
    <row r="51975" ht="26.25" customHeight="1"/>
    <row r="51976" ht="26.25" customHeight="1"/>
    <row r="51977" ht="26.25" customHeight="1"/>
    <row r="51978" ht="26.25" customHeight="1"/>
    <row r="51979" ht="26.25" customHeight="1"/>
    <row r="51980" ht="26.25" customHeight="1"/>
    <row r="51981" ht="26.25" customHeight="1"/>
    <row r="51982" ht="26.25" customHeight="1"/>
    <row r="51983" ht="26.25" customHeight="1"/>
    <row r="51984" ht="26.25" customHeight="1"/>
    <row r="51985" ht="26.25" customHeight="1"/>
    <row r="51986" ht="26.25" customHeight="1"/>
    <row r="51987" ht="26.25" customHeight="1"/>
    <row r="51988" ht="26.25" customHeight="1"/>
    <row r="51989" ht="26.25" customHeight="1"/>
    <row r="51990" ht="26.25" customHeight="1"/>
    <row r="51991" ht="26.25" customHeight="1"/>
    <row r="51992" ht="26.25" customHeight="1"/>
    <row r="51993" ht="26.25" customHeight="1"/>
    <row r="51994" ht="26.25" customHeight="1"/>
    <row r="51995" ht="26.25" customHeight="1"/>
    <row r="51996" ht="26.25" customHeight="1"/>
    <row r="51997" ht="26.25" customHeight="1"/>
    <row r="51998" ht="26.25" customHeight="1"/>
    <row r="51999" ht="26.25" customHeight="1"/>
    <row r="52000" ht="26.25" customHeight="1"/>
    <row r="52001" ht="26.25" customHeight="1"/>
    <row r="52002" ht="26.25" customHeight="1"/>
    <row r="52003" ht="26.25" customHeight="1"/>
    <row r="52004" ht="26.25" customHeight="1"/>
    <row r="52005" ht="26.25" customHeight="1"/>
    <row r="52006" ht="26.25" customHeight="1"/>
    <row r="52007" ht="26.25" customHeight="1"/>
    <row r="52008" ht="26.25" customHeight="1"/>
    <row r="52009" ht="26.25" customHeight="1"/>
    <row r="52010" ht="26.25" customHeight="1"/>
    <row r="52011" ht="26.25" customHeight="1"/>
    <row r="52012" ht="26.25" customHeight="1"/>
    <row r="52013" ht="26.25" customHeight="1"/>
    <row r="52014" ht="26.25" customHeight="1"/>
    <row r="52015" ht="26.25" customHeight="1"/>
    <row r="52016" ht="26.25" customHeight="1"/>
    <row r="52017" ht="26.25" customHeight="1"/>
    <row r="52018" ht="26.25" customHeight="1"/>
    <row r="52019" ht="26.25" customHeight="1"/>
    <row r="52020" ht="26.25" customHeight="1"/>
    <row r="52021" ht="26.25" customHeight="1"/>
    <row r="52022" ht="26.25" customHeight="1"/>
    <row r="52023" ht="26.25" customHeight="1"/>
    <row r="52024" ht="26.25" customHeight="1"/>
    <row r="52025" ht="26.25" customHeight="1"/>
    <row r="52026" ht="26.25" customHeight="1"/>
    <row r="52027" ht="26.25" customHeight="1"/>
    <row r="52028" ht="26.25" customHeight="1"/>
    <row r="52029" ht="26.25" customHeight="1"/>
    <row r="52030" ht="26.25" customHeight="1"/>
    <row r="52031" ht="26.25" customHeight="1"/>
    <row r="52032" ht="26.25" customHeight="1"/>
    <row r="52033" ht="26.25" customHeight="1"/>
    <row r="52034" ht="26.25" customHeight="1"/>
    <row r="52035" ht="26.25" customHeight="1"/>
    <row r="52036" ht="26.25" customHeight="1"/>
    <row r="52037" ht="26.25" customHeight="1"/>
    <row r="52038" ht="26.25" customHeight="1"/>
    <row r="52039" ht="26.25" customHeight="1"/>
    <row r="52040" ht="26.25" customHeight="1"/>
    <row r="52041" ht="26.25" customHeight="1"/>
    <row r="52042" ht="26.25" customHeight="1"/>
    <row r="52043" ht="26.25" customHeight="1"/>
    <row r="52044" ht="26.25" customHeight="1"/>
    <row r="52045" ht="26.25" customHeight="1"/>
    <row r="52046" ht="26.25" customHeight="1"/>
    <row r="52047" ht="26.25" customHeight="1"/>
    <row r="52048" ht="26.25" customHeight="1"/>
    <row r="52049" ht="26.25" customHeight="1"/>
    <row r="52050" ht="26.25" customHeight="1"/>
    <row r="52051" ht="26.25" customHeight="1"/>
    <row r="52052" ht="26.25" customHeight="1"/>
    <row r="52053" ht="26.25" customHeight="1"/>
    <row r="52054" ht="26.25" customHeight="1"/>
    <row r="52055" ht="26.25" customHeight="1"/>
    <row r="52056" ht="26.25" customHeight="1"/>
    <row r="52057" ht="26.25" customHeight="1"/>
    <row r="52058" ht="26.25" customHeight="1"/>
    <row r="52059" ht="26.25" customHeight="1"/>
    <row r="52060" ht="26.25" customHeight="1"/>
    <row r="52061" ht="26.25" customHeight="1"/>
    <row r="52062" ht="26.25" customHeight="1"/>
    <row r="52063" ht="26.25" customHeight="1"/>
    <row r="52064" ht="26.25" customHeight="1"/>
    <row r="52065" ht="26.25" customHeight="1"/>
    <row r="52066" ht="26.25" customHeight="1"/>
    <row r="52067" ht="26.25" customHeight="1"/>
    <row r="52068" ht="26.25" customHeight="1"/>
    <row r="52069" ht="26.25" customHeight="1"/>
    <row r="52070" ht="26.25" customHeight="1"/>
    <row r="52071" ht="26.25" customHeight="1"/>
    <row r="52072" ht="26.25" customHeight="1"/>
    <row r="52073" ht="26.25" customHeight="1"/>
    <row r="52074" ht="26.25" customHeight="1"/>
    <row r="52075" ht="26.25" customHeight="1"/>
    <row r="52076" ht="26.25" customHeight="1"/>
    <row r="52077" ht="26.25" customHeight="1"/>
    <row r="52078" ht="26.25" customHeight="1"/>
    <row r="52079" ht="26.25" customHeight="1"/>
    <row r="52080" ht="26.25" customHeight="1"/>
    <row r="52081" ht="26.25" customHeight="1"/>
    <row r="52082" ht="26.25" customHeight="1"/>
    <row r="52083" ht="26.25" customHeight="1"/>
    <row r="52084" ht="26.25" customHeight="1"/>
    <row r="52085" ht="26.25" customHeight="1"/>
    <row r="52086" ht="26.25" customHeight="1"/>
    <row r="52087" ht="26.25" customHeight="1"/>
    <row r="52088" ht="26.25" customHeight="1"/>
    <row r="52089" ht="26.25" customHeight="1"/>
    <row r="52090" ht="26.25" customHeight="1"/>
    <row r="52091" ht="26.25" customHeight="1"/>
    <row r="52092" ht="26.25" customHeight="1"/>
    <row r="52093" ht="26.25" customHeight="1"/>
    <row r="52094" ht="26.25" customHeight="1"/>
    <row r="52095" ht="26.25" customHeight="1"/>
    <row r="52096" ht="26.25" customHeight="1"/>
    <row r="52097" ht="26.25" customHeight="1"/>
    <row r="52098" ht="26.25" customHeight="1"/>
    <row r="52099" ht="26.25" customHeight="1"/>
    <row r="52100" ht="26.25" customHeight="1"/>
    <row r="52101" ht="26.25" customHeight="1"/>
    <row r="52102" ht="26.25" customHeight="1"/>
    <row r="52103" ht="26.25" customHeight="1"/>
    <row r="52104" ht="26.25" customHeight="1"/>
    <row r="52105" ht="26.25" customHeight="1"/>
    <row r="52106" ht="26.25" customHeight="1"/>
    <row r="52107" ht="26.25" customHeight="1"/>
    <row r="52108" ht="26.25" customHeight="1"/>
    <row r="52109" ht="26.25" customHeight="1"/>
    <row r="52110" ht="26.25" customHeight="1"/>
    <row r="52111" ht="26.25" customHeight="1"/>
    <row r="52112" ht="26.25" customHeight="1"/>
    <row r="52113" ht="26.25" customHeight="1"/>
    <row r="52114" ht="26.25" customHeight="1"/>
    <row r="52115" ht="26.25" customHeight="1"/>
    <row r="52116" ht="26.25" customHeight="1"/>
    <row r="52117" ht="26.25" customHeight="1"/>
    <row r="52118" ht="26.25" customHeight="1"/>
    <row r="52119" ht="26.25" customHeight="1"/>
    <row r="52120" ht="26.25" customHeight="1"/>
    <row r="52121" ht="26.25" customHeight="1"/>
    <row r="52122" ht="26.25" customHeight="1"/>
    <row r="52123" ht="26.25" customHeight="1"/>
    <row r="52124" ht="26.25" customHeight="1"/>
    <row r="52125" ht="26.25" customHeight="1"/>
    <row r="52126" ht="26.25" customHeight="1"/>
    <row r="52127" ht="26.25" customHeight="1"/>
    <row r="52128" ht="26.25" customHeight="1"/>
    <row r="52129" ht="26.25" customHeight="1"/>
    <row r="52130" ht="26.25" customHeight="1"/>
    <row r="52131" ht="26.25" customHeight="1"/>
    <row r="52132" ht="26.25" customHeight="1"/>
    <row r="52133" ht="26.25" customHeight="1"/>
    <row r="52134" ht="26.25" customHeight="1"/>
    <row r="52135" ht="26.25" customHeight="1"/>
    <row r="52136" ht="26.25" customHeight="1"/>
    <row r="52137" ht="26.25" customHeight="1"/>
    <row r="52138" ht="26.25" customHeight="1"/>
    <row r="52139" ht="26.25" customHeight="1"/>
    <row r="52140" ht="26.25" customHeight="1"/>
    <row r="52141" ht="26.25" customHeight="1"/>
    <row r="52142" ht="26.25" customHeight="1"/>
    <row r="52143" ht="26.25" customHeight="1"/>
    <row r="52144" ht="26.25" customHeight="1"/>
    <row r="52145" ht="26.25" customHeight="1"/>
    <row r="52146" ht="26.25" customHeight="1"/>
    <row r="52147" ht="26.25" customHeight="1"/>
    <row r="52148" ht="26.25" customHeight="1"/>
    <row r="52149" ht="26.25" customHeight="1"/>
    <row r="52150" ht="26.25" customHeight="1"/>
    <row r="52151" ht="26.25" customHeight="1"/>
    <row r="52152" ht="26.25" customHeight="1"/>
    <row r="52153" ht="26.25" customHeight="1"/>
    <row r="52154" ht="26.25" customHeight="1"/>
    <row r="52155" ht="26.25" customHeight="1"/>
    <row r="52156" ht="26.25" customHeight="1"/>
    <row r="52157" ht="26.25" customHeight="1"/>
    <row r="52158" ht="26.25" customHeight="1"/>
    <row r="52159" ht="26.25" customHeight="1"/>
    <row r="52160" ht="26.25" customHeight="1"/>
    <row r="52161" ht="26.25" customHeight="1"/>
    <row r="52162" ht="26.25" customHeight="1"/>
    <row r="52163" ht="26.25" customHeight="1"/>
    <row r="52164" ht="26.25" customHeight="1"/>
    <row r="52165" ht="26.25" customHeight="1"/>
    <row r="52166" ht="26.25" customHeight="1"/>
    <row r="52167" ht="26.25" customHeight="1"/>
    <row r="52168" ht="26.25" customHeight="1"/>
    <row r="52169" ht="26.25" customHeight="1"/>
    <row r="52170" ht="26.25" customHeight="1"/>
    <row r="52171" ht="26.25" customHeight="1"/>
    <row r="52172" ht="26.25" customHeight="1"/>
    <row r="52173" ht="26.25" customHeight="1"/>
    <row r="52174" ht="26.25" customHeight="1"/>
    <row r="52175" ht="26.25" customHeight="1"/>
    <row r="52176" ht="26.25" customHeight="1"/>
    <row r="52177" ht="26.25" customHeight="1"/>
    <row r="52178" ht="26.25" customHeight="1"/>
    <row r="52179" ht="26.25" customHeight="1"/>
    <row r="52180" ht="26.25" customHeight="1"/>
    <row r="52181" ht="26.25" customHeight="1"/>
    <row r="52182" ht="26.25" customHeight="1"/>
    <row r="52183" ht="26.25" customHeight="1"/>
    <row r="52184" ht="26.25" customHeight="1"/>
    <row r="52185" ht="26.25" customHeight="1"/>
    <row r="52186" ht="26.25" customHeight="1"/>
    <row r="52187" ht="26.25" customHeight="1"/>
    <row r="52188" ht="26.25" customHeight="1"/>
    <row r="52189" ht="26.25" customHeight="1"/>
    <row r="52190" ht="26.25" customHeight="1"/>
    <row r="52191" ht="26.25" customHeight="1"/>
    <row r="52192" ht="26.25" customHeight="1"/>
    <row r="52193" ht="26.25" customHeight="1"/>
    <row r="52194" ht="26.25" customHeight="1"/>
    <row r="52195" ht="26.25" customHeight="1"/>
    <row r="52196" ht="26.25" customHeight="1"/>
    <row r="52197" ht="26.25" customHeight="1"/>
    <row r="52198" ht="26.25" customHeight="1"/>
    <row r="52199" ht="26.25" customHeight="1"/>
    <row r="52200" ht="26.25" customHeight="1"/>
    <row r="52201" ht="26.25" customHeight="1"/>
    <row r="52202" ht="26.25" customHeight="1"/>
    <row r="52203" ht="26.25" customHeight="1"/>
    <row r="52204" ht="26.25" customHeight="1"/>
    <row r="52205" ht="26.25" customHeight="1"/>
    <row r="52206" ht="26.25" customHeight="1"/>
    <row r="52207" ht="26.25" customHeight="1"/>
    <row r="52208" ht="26.25" customHeight="1"/>
    <row r="52209" ht="26.25" customHeight="1"/>
    <row r="52210" ht="26.25" customHeight="1"/>
    <row r="52211" ht="26.25" customHeight="1"/>
    <row r="52212" ht="26.25" customHeight="1"/>
    <row r="52213" ht="26.25" customHeight="1"/>
    <row r="52214" ht="26.25" customHeight="1"/>
    <row r="52215" ht="26.25" customHeight="1"/>
    <row r="52216" ht="26.25" customHeight="1"/>
    <row r="52217" ht="26.25" customHeight="1"/>
    <row r="52218" ht="26.25" customHeight="1"/>
    <row r="52219" ht="26.25" customHeight="1"/>
    <row r="52220" ht="26.25" customHeight="1"/>
    <row r="52221" ht="26.25" customHeight="1"/>
    <row r="52222" ht="26.25" customHeight="1"/>
    <row r="52223" ht="26.25" customHeight="1"/>
    <row r="52224" ht="26.25" customHeight="1"/>
    <row r="52225" ht="26.25" customHeight="1"/>
    <row r="52226" ht="26.25" customHeight="1"/>
    <row r="52227" ht="26.25" customHeight="1"/>
    <row r="52228" ht="26.25" customHeight="1"/>
    <row r="52229" ht="26.25" customHeight="1"/>
    <row r="52230" ht="26.25" customHeight="1"/>
    <row r="52231" ht="26.25" customHeight="1"/>
    <row r="52232" ht="26.25" customHeight="1"/>
    <row r="52233" ht="26.25" customHeight="1"/>
    <row r="52234" ht="26.25" customHeight="1"/>
    <row r="52235" ht="26.25" customHeight="1"/>
    <row r="52236" ht="26.25" customHeight="1"/>
    <row r="52237" ht="26.25" customHeight="1"/>
    <row r="52238" ht="26.25" customHeight="1"/>
    <row r="52239" ht="26.25" customHeight="1"/>
    <row r="52240" ht="26.25" customHeight="1"/>
    <row r="52241" ht="26.25" customHeight="1"/>
    <row r="52242" ht="26.25" customHeight="1"/>
    <row r="52243" ht="26.25" customHeight="1"/>
    <row r="52244" ht="26.25" customHeight="1"/>
    <row r="52245" ht="26.25" customHeight="1"/>
    <row r="52246" ht="26.25" customHeight="1"/>
    <row r="52247" ht="26.25" customHeight="1"/>
    <row r="52248" ht="26.25" customHeight="1"/>
    <row r="52249" ht="26.25" customHeight="1"/>
    <row r="52250" ht="26.25" customHeight="1"/>
    <row r="52251" ht="26.25" customHeight="1"/>
    <row r="52252" ht="26.25" customHeight="1"/>
    <row r="52253" ht="26.25" customHeight="1"/>
    <row r="52254" ht="26.25" customHeight="1"/>
    <row r="52255" ht="26.25" customHeight="1"/>
    <row r="52256" ht="26.25" customHeight="1"/>
    <row r="52257" ht="26.25" customHeight="1"/>
    <row r="52258" ht="26.25" customHeight="1"/>
    <row r="52259" ht="26.25" customHeight="1"/>
    <row r="52260" ht="26.25" customHeight="1"/>
    <row r="52261" ht="26.25" customHeight="1"/>
    <row r="52262" ht="26.25" customHeight="1"/>
    <row r="52263" ht="26.25" customHeight="1"/>
    <row r="52264" ht="26.25" customHeight="1"/>
    <row r="52265" ht="26.25" customHeight="1"/>
    <row r="52266" ht="26.25" customHeight="1"/>
    <row r="52267" ht="26.25" customHeight="1"/>
    <row r="52268" ht="26.25" customHeight="1"/>
    <row r="52269" ht="26.25" customHeight="1"/>
    <row r="52270" ht="26.25" customHeight="1"/>
    <row r="52271" ht="26.25" customHeight="1"/>
    <row r="52272" ht="26.25" customHeight="1"/>
    <row r="52273" ht="26.25" customHeight="1"/>
    <row r="52274" ht="26.25" customHeight="1"/>
    <row r="52275" ht="26.25" customHeight="1"/>
    <row r="52276" ht="26.25" customHeight="1"/>
    <row r="52277" ht="26.25" customHeight="1"/>
    <row r="52278" ht="26.25" customHeight="1"/>
    <row r="52279" ht="26.25" customHeight="1"/>
    <row r="52280" ht="26.25" customHeight="1"/>
    <row r="52281" ht="26.25" customHeight="1"/>
    <row r="52282" ht="26.25" customHeight="1"/>
    <row r="52283" ht="26.25" customHeight="1"/>
    <row r="52284" ht="26.25" customHeight="1"/>
    <row r="52285" ht="26.25" customHeight="1"/>
    <row r="52286" ht="26.25" customHeight="1"/>
    <row r="52287" ht="26.25" customHeight="1"/>
    <row r="52288" ht="26.25" customHeight="1"/>
    <row r="52289" ht="26.25" customHeight="1"/>
    <row r="52290" ht="26.25" customHeight="1"/>
    <row r="52291" ht="26.25" customHeight="1"/>
    <row r="52292" ht="26.25" customHeight="1"/>
    <row r="52293" ht="26.25" customHeight="1"/>
    <row r="52294" ht="26.25" customHeight="1"/>
    <row r="52295" ht="26.25" customHeight="1"/>
    <row r="52296" ht="26.25" customHeight="1"/>
    <row r="52297" ht="26.25" customHeight="1"/>
    <row r="52298" ht="26.25" customHeight="1"/>
    <row r="52299" ht="26.25" customHeight="1"/>
    <row r="52300" ht="26.25" customHeight="1"/>
    <row r="52301" ht="26.25" customHeight="1"/>
    <row r="52302" ht="26.25" customHeight="1"/>
    <row r="52303" ht="26.25" customHeight="1"/>
    <row r="52304" ht="26.25" customHeight="1"/>
    <row r="52305" ht="26.25" customHeight="1"/>
    <row r="52306" ht="26.25" customHeight="1"/>
    <row r="52307" ht="26.25" customHeight="1"/>
    <row r="52308" ht="26.25" customHeight="1"/>
    <row r="52309" ht="26.25" customHeight="1"/>
    <row r="52310" ht="26.25" customHeight="1"/>
    <row r="52311" ht="26.25" customHeight="1"/>
    <row r="52312" ht="26.25" customHeight="1"/>
    <row r="52313" ht="26.25" customHeight="1"/>
    <row r="52314" ht="26.25" customHeight="1"/>
    <row r="52315" ht="26.25" customHeight="1"/>
    <row r="52316" ht="26.25" customHeight="1"/>
    <row r="52317" ht="26.25" customHeight="1"/>
    <row r="52318" ht="26.25" customHeight="1"/>
    <row r="52319" ht="26.25" customHeight="1"/>
    <row r="52320" ht="26.25" customHeight="1"/>
    <row r="52321" ht="26.25" customHeight="1"/>
    <row r="52322" ht="26.25" customHeight="1"/>
    <row r="52323" ht="26.25" customHeight="1"/>
    <row r="52324" ht="26.25" customHeight="1"/>
    <row r="52325" ht="26.25" customHeight="1"/>
    <row r="52326" ht="26.25" customHeight="1"/>
    <row r="52327" ht="26.25" customHeight="1"/>
    <row r="52328" ht="26.25" customHeight="1"/>
    <row r="52329" ht="26.25" customHeight="1"/>
    <row r="52330" ht="26.25" customHeight="1"/>
    <row r="52331" ht="26.25" customHeight="1"/>
    <row r="52332" ht="26.25" customHeight="1"/>
    <row r="52333" ht="26.25" customHeight="1"/>
    <row r="52334" ht="26.25" customHeight="1"/>
    <row r="52335" ht="26.25" customHeight="1"/>
    <row r="52336" ht="26.25" customHeight="1"/>
    <row r="52337" ht="26.25" customHeight="1"/>
    <row r="52338" ht="26.25" customHeight="1"/>
    <row r="52339" ht="26.25" customHeight="1"/>
    <row r="52340" ht="26.25" customHeight="1"/>
    <row r="52341" ht="26.25" customHeight="1"/>
    <row r="52342" ht="26.25" customHeight="1"/>
    <row r="52343" ht="26.25" customHeight="1"/>
    <row r="52344" ht="26.25" customHeight="1"/>
    <row r="52345" ht="26.25" customHeight="1"/>
    <row r="52346" ht="26.25" customHeight="1"/>
    <row r="52347" ht="26.25" customHeight="1"/>
    <row r="52348" ht="26.25" customHeight="1"/>
    <row r="52349" ht="26.25" customHeight="1"/>
    <row r="52350" ht="26.25" customHeight="1"/>
    <row r="52351" ht="26.25" customHeight="1"/>
    <row r="52352" ht="26.25" customHeight="1"/>
    <row r="52353" ht="26.25" customHeight="1"/>
    <row r="52354" ht="26.25" customHeight="1"/>
    <row r="52355" ht="26.25" customHeight="1"/>
    <row r="52356" ht="26.25" customHeight="1"/>
    <row r="52357" ht="26.25" customHeight="1"/>
    <row r="52358" ht="26.25" customHeight="1"/>
    <row r="52359" ht="26.25" customHeight="1"/>
    <row r="52360" ht="26.25" customHeight="1"/>
    <row r="52361" ht="26.25" customHeight="1"/>
    <row r="52362" ht="26.25" customHeight="1"/>
    <row r="52363" ht="26.25" customHeight="1"/>
    <row r="52364" ht="26.25" customHeight="1"/>
    <row r="52365" ht="26.25" customHeight="1"/>
    <row r="52366" ht="26.25" customHeight="1"/>
    <row r="52367" ht="26.25" customHeight="1"/>
    <row r="52368" ht="26.25" customHeight="1"/>
    <row r="52369" ht="26.25" customHeight="1"/>
    <row r="52370" ht="26.25" customHeight="1"/>
    <row r="52371" ht="26.25" customHeight="1"/>
    <row r="52372" ht="26.25" customHeight="1"/>
    <row r="52373" ht="26.25" customHeight="1"/>
    <row r="52374" ht="26.25" customHeight="1"/>
    <row r="52375" ht="26.25" customHeight="1"/>
    <row r="52376" ht="26.25" customHeight="1"/>
    <row r="52377" ht="26.25" customHeight="1"/>
    <row r="52378" ht="26.25" customHeight="1"/>
    <row r="52379" ht="26.25" customHeight="1"/>
    <row r="52380" ht="26.25" customHeight="1"/>
    <row r="52381" ht="26.25" customHeight="1"/>
    <row r="52382" ht="26.25" customHeight="1"/>
    <row r="52383" ht="26.25" customHeight="1"/>
    <row r="52384" ht="26.25" customHeight="1"/>
    <row r="52385" ht="26.25" customHeight="1"/>
    <row r="52386" ht="26.25" customHeight="1"/>
    <row r="52387" ht="26.25" customHeight="1"/>
    <row r="52388" ht="26.25" customHeight="1"/>
    <row r="52389" ht="26.25" customHeight="1"/>
    <row r="52390" ht="26.25" customHeight="1"/>
    <row r="52391" ht="26.25" customHeight="1"/>
    <row r="52392" ht="26.25" customHeight="1"/>
    <row r="52393" ht="26.25" customHeight="1"/>
    <row r="52394" ht="26.25" customHeight="1"/>
    <row r="52395" ht="26.25" customHeight="1"/>
    <row r="52396" ht="26.25" customHeight="1"/>
    <row r="52397" ht="26.25" customHeight="1"/>
    <row r="52398" ht="26.25" customHeight="1"/>
    <row r="52399" ht="26.25" customHeight="1"/>
    <row r="52400" ht="26.25" customHeight="1"/>
    <row r="52401" ht="26.25" customHeight="1"/>
    <row r="52402" ht="26.25" customHeight="1"/>
    <row r="52403" ht="26.25" customHeight="1"/>
    <row r="52404" ht="26.25" customHeight="1"/>
    <row r="52405" ht="26.25" customHeight="1"/>
    <row r="52406" ht="26.25" customHeight="1"/>
    <row r="52407" ht="26.25" customHeight="1"/>
    <row r="52408" ht="26.25" customHeight="1"/>
    <row r="52409" ht="26.25" customHeight="1"/>
    <row r="52410" ht="26.25" customHeight="1"/>
    <row r="52411" ht="26.25" customHeight="1"/>
    <row r="52412" ht="26.25" customHeight="1"/>
    <row r="52413" ht="26.25" customHeight="1"/>
    <row r="52414" ht="26.25" customHeight="1"/>
    <row r="52415" ht="26.25" customHeight="1"/>
    <row r="52416" ht="26.25" customHeight="1"/>
    <row r="52417" ht="26.25" customHeight="1"/>
    <row r="52418" ht="26.25" customHeight="1"/>
    <row r="52419" ht="26.25" customHeight="1"/>
    <row r="52420" ht="26.25" customHeight="1"/>
    <row r="52421" ht="26.25" customHeight="1"/>
    <row r="52422" ht="26.25" customHeight="1"/>
    <row r="52423" ht="26.25" customHeight="1"/>
    <row r="52424" ht="26.25" customHeight="1"/>
    <row r="52425" ht="26.25" customHeight="1"/>
    <row r="52426" ht="26.25" customHeight="1"/>
    <row r="52427" ht="26.25" customHeight="1"/>
    <row r="52428" ht="26.25" customHeight="1"/>
    <row r="52429" ht="26.25" customHeight="1"/>
    <row r="52430" ht="26.25" customHeight="1"/>
    <row r="52431" ht="26.25" customHeight="1"/>
    <row r="52432" ht="26.25" customHeight="1"/>
    <row r="52433" ht="26.25" customHeight="1"/>
    <row r="52434" ht="26.25" customHeight="1"/>
    <row r="52435" ht="26.25" customHeight="1"/>
    <row r="52436" ht="26.25" customHeight="1"/>
    <row r="52437" ht="26.25" customHeight="1"/>
    <row r="52438" ht="26.25" customHeight="1"/>
    <row r="52439" ht="26.25" customHeight="1"/>
    <row r="52440" ht="26.25" customHeight="1"/>
    <row r="52441" ht="26.25" customHeight="1"/>
    <row r="52442" ht="26.25" customHeight="1"/>
    <row r="52443" ht="26.25" customHeight="1"/>
    <row r="52444" ht="26.25" customHeight="1"/>
    <row r="52445" ht="26.25" customHeight="1"/>
    <row r="52446" ht="26.25" customHeight="1"/>
    <row r="52447" ht="26.25" customHeight="1"/>
    <row r="52448" ht="26.25" customHeight="1"/>
    <row r="52449" ht="26.25" customHeight="1"/>
    <row r="52450" ht="26.25" customHeight="1"/>
    <row r="52451" ht="26.25" customHeight="1"/>
    <row r="52452" ht="26.25" customHeight="1"/>
    <row r="52453" ht="26.25" customHeight="1"/>
    <row r="52454" ht="26.25" customHeight="1"/>
    <row r="52455" ht="26.25" customHeight="1"/>
    <row r="52456" ht="26.25" customHeight="1"/>
    <row r="52457" ht="26.25" customHeight="1"/>
    <row r="52458" ht="26.25" customHeight="1"/>
    <row r="52459" ht="26.25" customHeight="1"/>
    <row r="52460" ht="26.25" customHeight="1"/>
    <row r="52461" ht="26.25" customHeight="1"/>
    <row r="52462" ht="26.25" customHeight="1"/>
    <row r="52463" ht="26.25" customHeight="1"/>
    <row r="52464" ht="26.25" customHeight="1"/>
    <row r="52465" ht="26.25" customHeight="1"/>
    <row r="52466" ht="26.25" customHeight="1"/>
    <row r="52467" ht="26.25" customHeight="1"/>
    <row r="52468" ht="26.25" customHeight="1"/>
    <row r="52469" ht="26.25" customHeight="1"/>
    <row r="52470" ht="26.25" customHeight="1"/>
    <row r="52471" ht="26.25" customHeight="1"/>
    <row r="52472" ht="26.25" customHeight="1"/>
    <row r="52473" ht="26.25" customHeight="1"/>
    <row r="52474" ht="26.25" customHeight="1"/>
    <row r="52475" ht="26.25" customHeight="1"/>
    <row r="52476" ht="26.25" customHeight="1"/>
    <row r="52477" ht="26.25" customHeight="1"/>
    <row r="52478" ht="26.25" customHeight="1"/>
    <row r="52479" ht="26.25" customHeight="1"/>
    <row r="52480" ht="26.25" customHeight="1"/>
    <row r="52481" ht="26.25" customHeight="1"/>
    <row r="52482" ht="26.25" customHeight="1"/>
    <row r="52483" ht="26.25" customHeight="1"/>
    <row r="52484" ht="26.25" customHeight="1"/>
    <row r="52485" ht="26.25" customHeight="1"/>
    <row r="52486" ht="26.25" customHeight="1"/>
    <row r="52487" ht="26.25" customHeight="1"/>
    <row r="52488" ht="26.25" customHeight="1"/>
    <row r="52489" ht="26.25" customHeight="1"/>
    <row r="52490" ht="26.25" customHeight="1"/>
    <row r="52491" ht="26.25" customHeight="1"/>
    <row r="52492" ht="26.25" customHeight="1"/>
    <row r="52493" ht="26.25" customHeight="1"/>
    <row r="52494" ht="26.25" customHeight="1"/>
    <row r="52495" ht="26.25" customHeight="1"/>
    <row r="52496" ht="26.25" customHeight="1"/>
    <row r="52497" ht="26.25" customHeight="1"/>
    <row r="52498" ht="26.25" customHeight="1"/>
    <row r="52499" ht="26.25" customHeight="1"/>
    <row r="52500" ht="26.25" customHeight="1"/>
    <row r="52501" ht="26.25" customHeight="1"/>
    <row r="52502" ht="26.25" customHeight="1"/>
    <row r="52503" ht="26.25" customHeight="1"/>
    <row r="52504" ht="26.25" customHeight="1"/>
    <row r="52505" ht="26.25" customHeight="1"/>
    <row r="52506" ht="26.25" customHeight="1"/>
    <row r="52507" ht="26.25" customHeight="1"/>
    <row r="52508" ht="26.25" customHeight="1"/>
    <row r="52509" ht="26.25" customHeight="1"/>
    <row r="52510" ht="26.25" customHeight="1"/>
    <row r="52511" ht="26.25" customHeight="1"/>
    <row r="52512" ht="26.25" customHeight="1"/>
    <row r="52513" ht="26.25" customHeight="1"/>
    <row r="52514" ht="26.25" customHeight="1"/>
    <row r="52515" ht="26.25" customHeight="1"/>
    <row r="52516" ht="26.25" customHeight="1"/>
    <row r="52517" ht="26.25" customHeight="1"/>
    <row r="52518" ht="26.25" customHeight="1"/>
    <row r="52519" ht="26.25" customHeight="1"/>
    <row r="52520" ht="26.25" customHeight="1"/>
    <row r="52521" ht="26.25" customHeight="1"/>
    <row r="52522" ht="26.25" customHeight="1"/>
    <row r="52523" ht="26.25" customHeight="1"/>
    <row r="52524" ht="26.25" customHeight="1"/>
    <row r="52525" ht="26.25" customHeight="1"/>
    <row r="52526" ht="26.25" customHeight="1"/>
    <row r="52527" ht="26.25" customHeight="1"/>
    <row r="52528" ht="26.25" customHeight="1"/>
    <row r="52529" ht="26.25" customHeight="1"/>
    <row r="52530" ht="26.25" customHeight="1"/>
    <row r="52531" ht="26.25" customHeight="1"/>
    <row r="52532" ht="26.25" customHeight="1"/>
    <row r="52533" ht="26.25" customHeight="1"/>
    <row r="52534" ht="26.25" customHeight="1"/>
    <row r="52535" ht="26.25" customHeight="1"/>
    <row r="52536" ht="26.25" customHeight="1"/>
    <row r="52537" ht="26.25" customHeight="1"/>
    <row r="52538" ht="26.25" customHeight="1"/>
    <row r="52539" ht="26.25" customHeight="1"/>
    <row r="52540" ht="26.25" customHeight="1"/>
    <row r="52541" ht="26.25" customHeight="1"/>
    <row r="52542" ht="26.25" customHeight="1"/>
    <row r="52543" ht="26.25" customHeight="1"/>
    <row r="52544" ht="26.25" customHeight="1"/>
    <row r="52545" ht="26.25" customHeight="1"/>
    <row r="52546" ht="26.25" customHeight="1"/>
    <row r="52547" ht="26.25" customHeight="1"/>
    <row r="52548" ht="26.25" customHeight="1"/>
    <row r="52549" ht="26.25" customHeight="1"/>
    <row r="52550" ht="26.25" customHeight="1"/>
    <row r="52551" ht="26.25" customHeight="1"/>
    <row r="52552" ht="26.25" customHeight="1"/>
    <row r="52553" ht="26.25" customHeight="1"/>
    <row r="52554" ht="26.25" customHeight="1"/>
    <row r="52555" ht="26.25" customHeight="1"/>
    <row r="52556" ht="26.25" customHeight="1"/>
    <row r="52557" ht="26.25" customHeight="1"/>
    <row r="52558" ht="26.25" customHeight="1"/>
    <row r="52559" ht="26.25" customHeight="1"/>
    <row r="52560" ht="26.25" customHeight="1"/>
    <row r="52561" ht="26.25" customHeight="1"/>
    <row r="52562" ht="26.25" customHeight="1"/>
    <row r="52563" ht="26.25" customHeight="1"/>
    <row r="52564" ht="26.25" customHeight="1"/>
    <row r="52565" ht="26.25" customHeight="1"/>
    <row r="52566" ht="26.25" customHeight="1"/>
    <row r="52567" ht="26.25" customHeight="1"/>
    <row r="52568" ht="26.25" customHeight="1"/>
    <row r="52569" ht="26.25" customHeight="1"/>
    <row r="52570" ht="26.25" customHeight="1"/>
    <row r="52571" ht="26.25" customHeight="1"/>
    <row r="52572" ht="26.25" customHeight="1"/>
    <row r="52573" ht="26.25" customHeight="1"/>
    <row r="52574" ht="26.25" customHeight="1"/>
    <row r="52575" ht="26.25" customHeight="1"/>
    <row r="52576" ht="26.25" customHeight="1"/>
    <row r="52577" ht="26.25" customHeight="1"/>
    <row r="52578" ht="26.25" customHeight="1"/>
    <row r="52579" ht="26.25" customHeight="1"/>
    <row r="52580" ht="26.25" customHeight="1"/>
    <row r="52581" ht="26.25" customHeight="1"/>
    <row r="52582" ht="26.25" customHeight="1"/>
    <row r="52583" ht="26.25" customHeight="1"/>
    <row r="52584" ht="26.25" customHeight="1"/>
    <row r="52585" ht="26.25" customHeight="1"/>
    <row r="52586" ht="26.25" customHeight="1"/>
    <row r="52587" ht="26.25" customHeight="1"/>
    <row r="52588" ht="26.25" customHeight="1"/>
    <row r="52589" ht="26.25" customHeight="1"/>
    <row r="52590" ht="26.25" customHeight="1"/>
    <row r="52591" ht="26.25" customHeight="1"/>
    <row r="52592" ht="26.25" customHeight="1"/>
    <row r="52593" ht="26.25" customHeight="1"/>
    <row r="52594" ht="26.25" customHeight="1"/>
    <row r="52595" ht="26.25" customHeight="1"/>
    <row r="52596" ht="26.25" customHeight="1"/>
    <row r="52597" ht="26.25" customHeight="1"/>
    <row r="52598" ht="26.25" customHeight="1"/>
    <row r="52599" ht="26.25" customHeight="1"/>
    <row r="52600" ht="26.25" customHeight="1"/>
    <row r="52601" ht="26.25" customHeight="1"/>
    <row r="52602" ht="26.25" customHeight="1"/>
    <row r="52603" ht="26.25" customHeight="1"/>
    <row r="52604" ht="26.25" customHeight="1"/>
    <row r="52605" ht="26.25" customHeight="1"/>
    <row r="52606" ht="26.25" customHeight="1"/>
    <row r="52607" ht="26.25" customHeight="1"/>
    <row r="52608" ht="26.25" customHeight="1"/>
    <row r="52609" ht="26.25" customHeight="1"/>
    <row r="52610" ht="26.25" customHeight="1"/>
    <row r="52611" ht="26.25" customHeight="1"/>
    <row r="52612" ht="26.25" customHeight="1"/>
    <row r="52613" ht="26.25" customHeight="1"/>
    <row r="52614" ht="26.25" customHeight="1"/>
    <row r="52615" ht="26.25" customHeight="1"/>
    <row r="52616" ht="26.25" customHeight="1"/>
    <row r="52617" ht="26.25" customHeight="1"/>
    <row r="52618" ht="26.25" customHeight="1"/>
    <row r="52619" ht="26.25" customHeight="1"/>
    <row r="52620" ht="26.25" customHeight="1"/>
    <row r="52621" ht="26.25" customHeight="1"/>
    <row r="52622" ht="26.25" customHeight="1"/>
    <row r="52623" ht="26.25" customHeight="1"/>
    <row r="52624" ht="26.25" customHeight="1"/>
    <row r="52625" ht="26.25" customHeight="1"/>
    <row r="52626" ht="26.25" customHeight="1"/>
    <row r="52627" ht="26.25" customHeight="1"/>
    <row r="52628" ht="26.25" customHeight="1"/>
    <row r="52629" ht="26.25" customHeight="1"/>
    <row r="52630" ht="26.25" customHeight="1"/>
    <row r="52631" ht="26.25" customHeight="1"/>
    <row r="52632" ht="26.25" customHeight="1"/>
    <row r="52633" ht="26.25" customHeight="1"/>
    <row r="52634" ht="26.25" customHeight="1"/>
    <row r="52635" ht="26.25" customHeight="1"/>
    <row r="52636" ht="26.25" customHeight="1"/>
    <row r="52637" ht="26.25" customHeight="1"/>
    <row r="52638" ht="26.25" customHeight="1"/>
    <row r="52639" ht="26.25" customHeight="1"/>
    <row r="52640" ht="26.25" customHeight="1"/>
    <row r="52641" ht="26.25" customHeight="1"/>
    <row r="52642" ht="26.25" customHeight="1"/>
    <row r="52643" ht="26.25" customHeight="1"/>
    <row r="52644" ht="26.25" customHeight="1"/>
    <row r="52645" ht="26.25" customHeight="1"/>
    <row r="52646" ht="26.25" customHeight="1"/>
    <row r="52647" ht="26.25" customHeight="1"/>
    <row r="52648" ht="26.25" customHeight="1"/>
    <row r="52649" ht="26.25" customHeight="1"/>
    <row r="52650" ht="26.25" customHeight="1"/>
    <row r="52651" ht="26.25" customHeight="1"/>
    <row r="52652" ht="26.25" customHeight="1"/>
    <row r="52653" ht="26.25" customHeight="1"/>
    <row r="52654" ht="26.25" customHeight="1"/>
    <row r="52655" ht="26.25" customHeight="1"/>
    <row r="52656" ht="26.25" customHeight="1"/>
    <row r="52657" ht="26.25" customHeight="1"/>
    <row r="52658" ht="26.25" customHeight="1"/>
    <row r="52659" ht="26.25" customHeight="1"/>
    <row r="52660" ht="26.25" customHeight="1"/>
    <row r="52661" ht="26.25" customHeight="1"/>
    <row r="52662" ht="26.25" customHeight="1"/>
    <row r="52663" ht="26.25" customHeight="1"/>
    <row r="52664" ht="26.25" customHeight="1"/>
    <row r="52665" ht="26.25" customHeight="1"/>
    <row r="52666" ht="26.25" customHeight="1"/>
    <row r="52667" ht="26.25" customHeight="1"/>
    <row r="52668" ht="26.25" customHeight="1"/>
    <row r="52669" ht="26.25" customHeight="1"/>
    <row r="52670" ht="26.25" customHeight="1"/>
    <row r="52671" ht="26.25" customHeight="1"/>
    <row r="52672" ht="26.25" customHeight="1"/>
    <row r="52673" ht="26.25" customHeight="1"/>
    <row r="52674" ht="26.25" customHeight="1"/>
    <row r="52675" ht="26.25" customHeight="1"/>
    <row r="52676" ht="26.25" customHeight="1"/>
    <row r="52677" ht="26.25" customHeight="1"/>
    <row r="52678" ht="26.25" customHeight="1"/>
    <row r="52679" ht="26.25" customHeight="1"/>
    <row r="52680" ht="26.25" customHeight="1"/>
    <row r="52681" ht="26.25" customHeight="1"/>
    <row r="52682" ht="26.25" customHeight="1"/>
    <row r="52683" ht="26.25" customHeight="1"/>
    <row r="52684" ht="26.25" customHeight="1"/>
    <row r="52685" ht="26.25" customHeight="1"/>
    <row r="52686" ht="26.25" customHeight="1"/>
    <row r="52687" ht="26.25" customHeight="1"/>
    <row r="52688" ht="26.25" customHeight="1"/>
    <row r="52689" ht="26.25" customHeight="1"/>
    <row r="52690" ht="26.25" customHeight="1"/>
    <row r="52691" ht="26.25" customHeight="1"/>
    <row r="52692" ht="26.25" customHeight="1"/>
    <row r="52693" ht="26.25" customHeight="1"/>
    <row r="52694" ht="26.25" customHeight="1"/>
    <row r="52695" ht="26.25" customHeight="1"/>
    <row r="52696" ht="26.25" customHeight="1"/>
    <row r="52697" ht="26.25" customHeight="1"/>
    <row r="52698" ht="26.25" customHeight="1"/>
    <row r="52699" ht="26.25" customHeight="1"/>
    <row r="52700" ht="26.25" customHeight="1"/>
    <row r="52701" ht="26.25" customHeight="1"/>
    <row r="52702" ht="26.25" customHeight="1"/>
    <row r="52703" ht="26.25" customHeight="1"/>
    <row r="52704" ht="26.25" customHeight="1"/>
    <row r="52705" ht="26.25" customHeight="1"/>
    <row r="52706" ht="26.25" customHeight="1"/>
    <row r="52707" ht="26.25" customHeight="1"/>
    <row r="52708" ht="26.25" customHeight="1"/>
    <row r="52709" ht="26.25" customHeight="1"/>
    <row r="52710" ht="26.25" customHeight="1"/>
    <row r="52711" ht="26.25" customHeight="1"/>
    <row r="52712" ht="26.25" customHeight="1"/>
    <row r="52713" ht="26.25" customHeight="1"/>
    <row r="52714" ht="26.25" customHeight="1"/>
    <row r="52715" ht="26.25" customHeight="1"/>
    <row r="52716" ht="26.25" customHeight="1"/>
    <row r="52717" ht="26.25" customHeight="1"/>
    <row r="52718" ht="26.25" customHeight="1"/>
    <row r="52719" ht="26.25" customHeight="1"/>
    <row r="52720" ht="26.25" customHeight="1"/>
    <row r="52721" ht="26.25" customHeight="1"/>
    <row r="52722" ht="26.25" customHeight="1"/>
    <row r="52723" ht="26.25" customHeight="1"/>
    <row r="52724" ht="26.25" customHeight="1"/>
    <row r="52725" ht="26.25" customHeight="1"/>
    <row r="52726" ht="26.25" customHeight="1"/>
    <row r="52727" ht="26.25" customHeight="1"/>
    <row r="52728" ht="26.25" customHeight="1"/>
    <row r="52729" ht="26.25" customHeight="1"/>
    <row r="52730" ht="26.25" customHeight="1"/>
    <row r="52731" ht="26.25" customHeight="1"/>
    <row r="52732" ht="26.25" customHeight="1"/>
    <row r="52733" ht="26.25" customHeight="1"/>
    <row r="52734" ht="26.25" customHeight="1"/>
    <row r="52735" ht="26.25" customHeight="1"/>
    <row r="52736" ht="26.25" customHeight="1"/>
    <row r="52737" ht="26.25" customHeight="1"/>
    <row r="52738" ht="26.25" customHeight="1"/>
    <row r="52739" ht="26.25" customHeight="1"/>
    <row r="52740" ht="26.25" customHeight="1"/>
    <row r="52741" ht="26.25" customHeight="1"/>
    <row r="52742" ht="26.25" customHeight="1"/>
    <row r="52743" ht="26.25" customHeight="1"/>
    <row r="52744" ht="26.25" customHeight="1"/>
    <row r="52745" ht="26.25" customHeight="1"/>
    <row r="52746" ht="26.25" customHeight="1"/>
    <row r="52747" ht="26.25" customHeight="1"/>
    <row r="52748" ht="26.25" customHeight="1"/>
    <row r="52749" ht="26.25" customHeight="1"/>
    <row r="52750" ht="26.25" customHeight="1"/>
    <row r="52751" ht="26.25" customHeight="1"/>
    <row r="52752" ht="26.25" customHeight="1"/>
    <row r="52753" ht="26.25" customHeight="1"/>
    <row r="52754" ht="26.25" customHeight="1"/>
    <row r="52755" ht="26.25" customHeight="1"/>
    <row r="52756" ht="26.25" customHeight="1"/>
    <row r="52757" ht="26.25" customHeight="1"/>
    <row r="52758" ht="26.25" customHeight="1"/>
    <row r="52759" ht="26.25" customHeight="1"/>
    <row r="52760" ht="26.25" customHeight="1"/>
    <row r="52761" ht="26.25" customHeight="1"/>
    <row r="52762" ht="26.25" customHeight="1"/>
    <row r="52763" ht="26.25" customHeight="1"/>
    <row r="52764" ht="26.25" customHeight="1"/>
    <row r="52765" ht="26.25" customHeight="1"/>
    <row r="52766" ht="26.25" customHeight="1"/>
    <row r="52767" ht="26.25" customHeight="1"/>
    <row r="52768" ht="26.25" customHeight="1"/>
    <row r="52769" ht="26.25" customHeight="1"/>
    <row r="52770" ht="26.25" customHeight="1"/>
    <row r="52771" ht="26.25" customHeight="1"/>
    <row r="52772" ht="26.25" customHeight="1"/>
    <row r="52773" ht="26.25" customHeight="1"/>
    <row r="52774" ht="26.25" customHeight="1"/>
    <row r="52775" ht="26.25" customHeight="1"/>
    <row r="52776" ht="26.25" customHeight="1"/>
    <row r="52777" ht="26.25" customHeight="1"/>
    <row r="52778" ht="26.25" customHeight="1"/>
    <row r="52779" ht="26.25" customHeight="1"/>
    <row r="52780" ht="26.25" customHeight="1"/>
    <row r="52781" ht="26.25" customHeight="1"/>
    <row r="52782" ht="26.25" customHeight="1"/>
    <row r="52783" ht="26.25" customHeight="1"/>
    <row r="52784" ht="26.25" customHeight="1"/>
    <row r="52785" ht="26.25" customHeight="1"/>
    <row r="52786" ht="26.25" customHeight="1"/>
    <row r="52787" ht="26.25" customHeight="1"/>
    <row r="52788" ht="26.25" customHeight="1"/>
    <row r="52789" ht="26.25" customHeight="1"/>
    <row r="52790" ht="26.25" customHeight="1"/>
    <row r="52791" ht="26.25" customHeight="1"/>
    <row r="52792" ht="26.25" customHeight="1"/>
    <row r="52793" ht="26.25" customHeight="1"/>
    <row r="52794" ht="26.25" customHeight="1"/>
    <row r="52795" ht="26.25" customHeight="1"/>
    <row r="52796" ht="26.25" customHeight="1"/>
    <row r="52797" ht="26.25" customHeight="1"/>
    <row r="52798" ht="26.25" customHeight="1"/>
    <row r="52799" ht="26.25" customHeight="1"/>
    <row r="52800" ht="26.25" customHeight="1"/>
    <row r="52801" ht="26.25" customHeight="1"/>
    <row r="52802" ht="26.25" customHeight="1"/>
    <row r="52803" ht="26.25" customHeight="1"/>
    <row r="52804" ht="26.25" customHeight="1"/>
    <row r="52805" ht="26.25" customHeight="1"/>
    <row r="52806" ht="26.25" customHeight="1"/>
    <row r="52807" ht="26.25" customHeight="1"/>
    <row r="52808" ht="26.25" customHeight="1"/>
    <row r="52809" ht="26.25" customHeight="1"/>
    <row r="52810" ht="26.25" customHeight="1"/>
    <row r="52811" ht="26.25" customHeight="1"/>
    <row r="52812" ht="26.25" customHeight="1"/>
    <row r="52813" ht="26.25" customHeight="1"/>
    <row r="52814" ht="26.25" customHeight="1"/>
    <row r="52815" ht="26.25" customHeight="1"/>
    <row r="52816" ht="26.25" customHeight="1"/>
    <row r="52817" ht="26.25" customHeight="1"/>
    <row r="52818" ht="26.25" customHeight="1"/>
    <row r="52819" ht="26.25" customHeight="1"/>
    <row r="52820" ht="26.25" customHeight="1"/>
    <row r="52821" ht="26.25" customHeight="1"/>
    <row r="52822" ht="26.25" customHeight="1"/>
    <row r="52823" ht="26.25" customHeight="1"/>
    <row r="52824" ht="26.25" customHeight="1"/>
    <row r="52825" ht="26.25" customHeight="1"/>
    <row r="52826" ht="26.25" customHeight="1"/>
    <row r="52827" ht="26.25" customHeight="1"/>
    <row r="52828" ht="26.25" customHeight="1"/>
    <row r="52829" ht="26.25" customHeight="1"/>
    <row r="52830" ht="26.25" customHeight="1"/>
    <row r="52831" ht="26.25" customHeight="1"/>
    <row r="52832" ht="26.25" customHeight="1"/>
    <row r="52833" ht="26.25" customHeight="1"/>
    <row r="52834" ht="26.25" customHeight="1"/>
    <row r="52835" ht="26.25" customHeight="1"/>
    <row r="52836" ht="26.25" customHeight="1"/>
    <row r="52837" ht="26.25" customHeight="1"/>
    <row r="52838" ht="26.25" customHeight="1"/>
    <row r="52839" ht="26.25" customHeight="1"/>
    <row r="52840" ht="26.25" customHeight="1"/>
    <row r="52841" ht="26.25" customHeight="1"/>
    <row r="52842" ht="26.25" customHeight="1"/>
    <row r="52843" ht="26.25" customHeight="1"/>
    <row r="52844" ht="26.25" customHeight="1"/>
    <row r="52845" ht="26.25" customHeight="1"/>
    <row r="52846" ht="26.25" customHeight="1"/>
    <row r="52847" ht="26.25" customHeight="1"/>
    <row r="52848" ht="26.25" customHeight="1"/>
    <row r="52849" ht="26.25" customHeight="1"/>
    <row r="52850" ht="26.25" customHeight="1"/>
    <row r="52851" ht="26.25" customHeight="1"/>
    <row r="52852" ht="26.25" customHeight="1"/>
    <row r="52853" ht="26.25" customHeight="1"/>
    <row r="52854" ht="26.25" customHeight="1"/>
    <row r="52855" ht="26.25" customHeight="1"/>
    <row r="52856" ht="26.25" customHeight="1"/>
    <row r="52857" ht="26.25" customHeight="1"/>
    <row r="52858" ht="26.25" customHeight="1"/>
    <row r="52859" ht="26.25" customHeight="1"/>
    <row r="52860" ht="26.25" customHeight="1"/>
    <row r="52861" ht="26.25" customHeight="1"/>
    <row r="52862" ht="26.25" customHeight="1"/>
    <row r="52863" ht="26.25" customHeight="1"/>
    <row r="52864" ht="26.25" customHeight="1"/>
    <row r="52865" ht="26.25" customHeight="1"/>
    <row r="52866" ht="26.25" customHeight="1"/>
    <row r="52867" ht="26.25" customHeight="1"/>
    <row r="52868" ht="26.25" customHeight="1"/>
    <row r="52869" ht="26.25" customHeight="1"/>
    <row r="52870" ht="26.25" customHeight="1"/>
    <row r="52871" ht="26.25" customHeight="1"/>
    <row r="52872" ht="26.25" customHeight="1"/>
    <row r="52873" ht="26.25" customHeight="1"/>
    <row r="52874" ht="26.25" customHeight="1"/>
    <row r="52875" ht="26.25" customHeight="1"/>
    <row r="52876" ht="26.25" customHeight="1"/>
    <row r="52877" ht="26.25" customHeight="1"/>
    <row r="52878" ht="26.25" customHeight="1"/>
    <row r="52879" ht="26.25" customHeight="1"/>
    <row r="52880" ht="26.25" customHeight="1"/>
    <row r="52881" ht="26.25" customHeight="1"/>
    <row r="52882" ht="26.25" customHeight="1"/>
    <row r="52883" ht="26.25" customHeight="1"/>
    <row r="52884" ht="26.25" customHeight="1"/>
    <row r="52885" ht="26.25" customHeight="1"/>
    <row r="52886" ht="26.25" customHeight="1"/>
    <row r="52887" ht="26.25" customHeight="1"/>
    <row r="52888" ht="26.25" customHeight="1"/>
    <row r="52889" ht="26.25" customHeight="1"/>
    <row r="52890" ht="26.25" customHeight="1"/>
    <row r="52891" ht="26.25" customHeight="1"/>
    <row r="52892" ht="26.25" customHeight="1"/>
    <row r="52893" ht="26.25" customHeight="1"/>
    <row r="52894" ht="26.25" customHeight="1"/>
    <row r="52895" ht="26.25" customHeight="1"/>
    <row r="52896" ht="26.25" customHeight="1"/>
    <row r="52897" ht="26.25" customHeight="1"/>
    <row r="52898" ht="26.25" customHeight="1"/>
    <row r="52899" ht="26.25" customHeight="1"/>
    <row r="52900" ht="26.25" customHeight="1"/>
    <row r="52901" ht="26.25" customHeight="1"/>
    <row r="52902" ht="26.25" customHeight="1"/>
    <row r="52903" ht="26.25" customHeight="1"/>
    <row r="52904" ht="26.25" customHeight="1"/>
    <row r="52905" ht="26.25" customHeight="1"/>
    <row r="52906" ht="26.25" customHeight="1"/>
    <row r="52907" ht="26.25" customHeight="1"/>
    <row r="52908" ht="26.25" customHeight="1"/>
    <row r="52909" ht="26.25" customHeight="1"/>
    <row r="52910" ht="26.25" customHeight="1"/>
    <row r="52911" ht="26.25" customHeight="1"/>
    <row r="52912" ht="26.25" customHeight="1"/>
    <row r="52913" ht="26.25" customHeight="1"/>
    <row r="52914" ht="26.25" customHeight="1"/>
    <row r="52915" ht="26.25" customHeight="1"/>
    <row r="52916" ht="26.25" customHeight="1"/>
    <row r="52917" ht="26.25" customHeight="1"/>
    <row r="52918" ht="26.25" customHeight="1"/>
    <row r="52919" ht="26.25" customHeight="1"/>
    <row r="52920" ht="26.25" customHeight="1"/>
    <row r="52921" ht="26.25" customHeight="1"/>
    <row r="52922" ht="26.25" customHeight="1"/>
    <row r="52923" ht="26.25" customHeight="1"/>
    <row r="52924" ht="26.25" customHeight="1"/>
    <row r="52925" ht="26.25" customHeight="1"/>
    <row r="52926" ht="26.25" customHeight="1"/>
    <row r="52927" ht="26.25" customHeight="1"/>
    <row r="52928" ht="26.25" customHeight="1"/>
    <row r="52929" ht="26.25" customHeight="1"/>
    <row r="52930" ht="26.25" customHeight="1"/>
    <row r="52931" ht="26.25" customHeight="1"/>
    <row r="52932" ht="26.25" customHeight="1"/>
    <row r="52933" ht="26.25" customHeight="1"/>
    <row r="52934" ht="26.25" customHeight="1"/>
    <row r="52935" ht="26.25" customHeight="1"/>
    <row r="52936" ht="26.25" customHeight="1"/>
    <row r="52937" ht="26.25" customHeight="1"/>
    <row r="52938" ht="26.25" customHeight="1"/>
    <row r="52939" ht="26.25" customHeight="1"/>
    <row r="52940" ht="26.25" customHeight="1"/>
    <row r="52941" ht="26.25" customHeight="1"/>
    <row r="52942" ht="26.25" customHeight="1"/>
    <row r="52943" ht="26.25" customHeight="1"/>
    <row r="52944" ht="26.25" customHeight="1"/>
    <row r="52945" ht="26.25" customHeight="1"/>
    <row r="52946" ht="26.25" customHeight="1"/>
    <row r="52947" ht="26.25" customHeight="1"/>
    <row r="52948" ht="26.25" customHeight="1"/>
    <row r="52949" ht="26.25" customHeight="1"/>
    <row r="52950" ht="26.25" customHeight="1"/>
    <row r="52951" ht="26.25" customHeight="1"/>
    <row r="52952" ht="26.25" customHeight="1"/>
    <row r="52953" ht="26.25" customHeight="1"/>
    <row r="52954" ht="26.25" customHeight="1"/>
    <row r="52955" ht="26.25" customHeight="1"/>
    <row r="52956" ht="26.25" customHeight="1"/>
    <row r="52957" ht="26.25" customHeight="1"/>
    <row r="52958" ht="26.25" customHeight="1"/>
    <row r="52959" ht="26.25" customHeight="1"/>
    <row r="52960" ht="26.25" customHeight="1"/>
    <row r="52961" ht="26.25" customHeight="1"/>
    <row r="52962" ht="26.25" customHeight="1"/>
    <row r="52963" ht="26.25" customHeight="1"/>
    <row r="52964" ht="26.25" customHeight="1"/>
    <row r="52965" ht="26.25" customHeight="1"/>
    <row r="52966" ht="26.25" customHeight="1"/>
    <row r="52967" ht="26.25" customHeight="1"/>
    <row r="52968" ht="26.25" customHeight="1"/>
    <row r="52969" ht="26.25" customHeight="1"/>
    <row r="52970" ht="26.25" customHeight="1"/>
    <row r="52971" ht="26.25" customHeight="1"/>
    <row r="52972" ht="26.25" customHeight="1"/>
    <row r="52973" ht="26.25" customHeight="1"/>
    <row r="52974" ht="26.25" customHeight="1"/>
    <row r="52975" ht="26.25" customHeight="1"/>
    <row r="52976" ht="26.25" customHeight="1"/>
    <row r="52977" ht="26.25" customHeight="1"/>
    <row r="52978" ht="26.25" customHeight="1"/>
    <row r="52979" ht="26.25" customHeight="1"/>
    <row r="52980" ht="26.25" customHeight="1"/>
    <row r="52981" ht="26.25" customHeight="1"/>
    <row r="52982" ht="26.25" customHeight="1"/>
    <row r="52983" ht="26.25" customHeight="1"/>
    <row r="52984" ht="26.25" customHeight="1"/>
    <row r="52985" ht="26.25" customHeight="1"/>
    <row r="52986" ht="26.25" customHeight="1"/>
    <row r="52987" ht="26.25" customHeight="1"/>
    <row r="52988" ht="26.25" customHeight="1"/>
    <row r="52989" ht="26.25" customHeight="1"/>
    <row r="52990" ht="26.25" customHeight="1"/>
    <row r="52991" ht="26.25" customHeight="1"/>
    <row r="52992" ht="26.25" customHeight="1"/>
    <row r="52993" ht="26.25" customHeight="1"/>
    <row r="52994" ht="26.25" customHeight="1"/>
    <row r="52995" ht="26.25" customHeight="1"/>
    <row r="52996" ht="26.25" customHeight="1"/>
    <row r="52997" ht="26.25" customHeight="1"/>
    <row r="52998" ht="26.25" customHeight="1"/>
    <row r="52999" ht="26.25" customHeight="1"/>
    <row r="53000" ht="26.25" customHeight="1"/>
    <row r="53001" ht="26.25" customHeight="1"/>
    <row r="53002" ht="26.25" customHeight="1"/>
    <row r="53003" ht="26.25" customHeight="1"/>
    <row r="53004" ht="26.25" customHeight="1"/>
    <row r="53005" ht="26.25" customHeight="1"/>
    <row r="53006" ht="26.25" customHeight="1"/>
    <row r="53007" ht="26.25" customHeight="1"/>
    <row r="53008" ht="26.25" customHeight="1"/>
    <row r="53009" ht="26.25" customHeight="1"/>
    <row r="53010" ht="26.25" customHeight="1"/>
    <row r="53011" ht="26.25" customHeight="1"/>
    <row r="53012" ht="26.25" customHeight="1"/>
    <row r="53013" ht="26.25" customHeight="1"/>
    <row r="53014" ht="26.25" customHeight="1"/>
    <row r="53015" ht="26.25" customHeight="1"/>
    <row r="53016" ht="26.25" customHeight="1"/>
    <row r="53017" ht="26.25" customHeight="1"/>
    <row r="53018" ht="26.25" customHeight="1"/>
    <row r="53019" ht="26.25" customHeight="1"/>
    <row r="53020" ht="26.25" customHeight="1"/>
    <row r="53021" ht="26.25" customHeight="1"/>
    <row r="53022" ht="26.25" customHeight="1"/>
    <row r="53023" ht="26.25" customHeight="1"/>
    <row r="53024" ht="26.25" customHeight="1"/>
    <row r="53025" ht="26.25" customHeight="1"/>
    <row r="53026" ht="26.25" customHeight="1"/>
    <row r="53027" ht="26.25" customHeight="1"/>
    <row r="53028" ht="26.25" customHeight="1"/>
    <row r="53029" ht="26.25" customHeight="1"/>
    <row r="53030" ht="26.25" customHeight="1"/>
    <row r="53031" ht="26.25" customHeight="1"/>
    <row r="53032" ht="26.25" customHeight="1"/>
    <row r="53033" ht="26.25" customHeight="1"/>
    <row r="53034" ht="26.25" customHeight="1"/>
    <row r="53035" ht="26.25" customHeight="1"/>
    <row r="53036" ht="26.25" customHeight="1"/>
    <row r="53037" ht="26.25" customHeight="1"/>
    <row r="53038" ht="26.25" customHeight="1"/>
    <row r="53039" ht="26.25" customHeight="1"/>
    <row r="53040" ht="26.25" customHeight="1"/>
    <row r="53041" ht="26.25" customHeight="1"/>
    <row r="53042" ht="26.25" customHeight="1"/>
    <row r="53043" ht="26.25" customHeight="1"/>
    <row r="53044" ht="26.25" customHeight="1"/>
    <row r="53045" ht="26.25" customHeight="1"/>
    <row r="53046" ht="26.25" customHeight="1"/>
    <row r="53047" ht="26.25" customHeight="1"/>
    <row r="53048" ht="26.25" customHeight="1"/>
    <row r="53049" ht="26.25" customHeight="1"/>
    <row r="53050" ht="26.25" customHeight="1"/>
    <row r="53051" ht="26.25" customHeight="1"/>
    <row r="53052" ht="26.25" customHeight="1"/>
    <row r="53053" ht="26.25" customHeight="1"/>
    <row r="53054" ht="26.25" customHeight="1"/>
    <row r="53055" ht="26.25" customHeight="1"/>
    <row r="53056" ht="26.25" customHeight="1"/>
    <row r="53057" ht="26.25" customHeight="1"/>
    <row r="53058" ht="26.25" customHeight="1"/>
    <row r="53059" ht="26.25" customHeight="1"/>
    <row r="53060" ht="26.25" customHeight="1"/>
    <row r="53061" ht="26.25" customHeight="1"/>
    <row r="53062" ht="26.25" customHeight="1"/>
    <row r="53063" ht="26.25" customHeight="1"/>
    <row r="53064" ht="26.25" customHeight="1"/>
    <row r="53065" ht="26.25" customHeight="1"/>
    <row r="53066" ht="26.25" customHeight="1"/>
    <row r="53067" ht="26.25" customHeight="1"/>
    <row r="53068" ht="26.25" customHeight="1"/>
    <row r="53069" ht="26.25" customHeight="1"/>
    <row r="53070" ht="26.25" customHeight="1"/>
    <row r="53071" ht="26.25" customHeight="1"/>
    <row r="53072" ht="26.25" customHeight="1"/>
    <row r="53073" ht="26.25" customHeight="1"/>
    <row r="53074" ht="26.25" customHeight="1"/>
    <row r="53075" ht="26.25" customHeight="1"/>
    <row r="53076" ht="26.25" customHeight="1"/>
    <row r="53077" ht="26.25" customHeight="1"/>
    <row r="53078" ht="26.25" customHeight="1"/>
    <row r="53079" ht="26.25" customHeight="1"/>
    <row r="53080" ht="26.25" customHeight="1"/>
    <row r="53081" ht="26.25" customHeight="1"/>
    <row r="53082" ht="26.25" customHeight="1"/>
    <row r="53083" ht="26.25" customHeight="1"/>
    <row r="53084" ht="26.25" customHeight="1"/>
    <row r="53085" ht="26.25" customHeight="1"/>
    <row r="53086" ht="26.25" customHeight="1"/>
    <row r="53087" ht="26.25" customHeight="1"/>
    <row r="53088" ht="26.25" customHeight="1"/>
    <row r="53089" ht="26.25" customHeight="1"/>
    <row r="53090" ht="26.25" customHeight="1"/>
    <row r="53091" ht="26.25" customHeight="1"/>
    <row r="53092" ht="26.25" customHeight="1"/>
    <row r="53093" ht="26.25" customHeight="1"/>
    <row r="53094" ht="26.25" customHeight="1"/>
    <row r="53095" ht="26.25" customHeight="1"/>
    <row r="53096" ht="26.25" customHeight="1"/>
    <row r="53097" ht="26.25" customHeight="1"/>
    <row r="53098" ht="26.25" customHeight="1"/>
    <row r="53099" ht="26.25" customHeight="1"/>
    <row r="53100" ht="26.25" customHeight="1"/>
    <row r="53101" ht="26.25" customHeight="1"/>
    <row r="53102" ht="26.25" customHeight="1"/>
    <row r="53103" ht="26.25" customHeight="1"/>
    <row r="53104" ht="26.25" customHeight="1"/>
    <row r="53105" ht="26.25" customHeight="1"/>
    <row r="53106" ht="26.25" customHeight="1"/>
    <row r="53107" ht="26.25" customHeight="1"/>
    <row r="53108" ht="26.25" customHeight="1"/>
    <row r="53109" ht="26.25" customHeight="1"/>
    <row r="53110" ht="26.25" customHeight="1"/>
    <row r="53111" ht="26.25" customHeight="1"/>
    <row r="53112" ht="26.25" customHeight="1"/>
    <row r="53113" ht="26.25" customHeight="1"/>
    <row r="53114" ht="26.25" customHeight="1"/>
    <row r="53115" ht="26.25" customHeight="1"/>
    <row r="53116" ht="26.25" customHeight="1"/>
    <row r="53117" ht="26.25" customHeight="1"/>
    <row r="53118" ht="26.25" customHeight="1"/>
    <row r="53119" ht="26.25" customHeight="1"/>
    <row r="53120" ht="26.25" customHeight="1"/>
    <row r="53121" ht="26.25" customHeight="1"/>
    <row r="53122" ht="26.25" customHeight="1"/>
    <row r="53123" ht="26.25" customHeight="1"/>
    <row r="53124" ht="26.25" customHeight="1"/>
    <row r="53125" ht="26.25" customHeight="1"/>
    <row r="53126" ht="26.25" customHeight="1"/>
    <row r="53127" ht="26.25" customHeight="1"/>
    <row r="53128" ht="26.25" customHeight="1"/>
    <row r="53129" ht="26.25" customHeight="1"/>
    <row r="53130" ht="26.25" customHeight="1"/>
    <row r="53131" ht="26.25" customHeight="1"/>
    <row r="53132" ht="26.25" customHeight="1"/>
    <row r="53133" ht="26.25" customHeight="1"/>
    <row r="53134" ht="26.25" customHeight="1"/>
    <row r="53135" ht="26.25" customHeight="1"/>
    <row r="53136" ht="26.25" customHeight="1"/>
    <row r="53137" ht="26.25" customHeight="1"/>
    <row r="53138" ht="26.25" customHeight="1"/>
    <row r="53139" ht="26.25" customHeight="1"/>
    <row r="53140" ht="26.25" customHeight="1"/>
    <row r="53141" ht="26.25" customHeight="1"/>
    <row r="53142" ht="26.25" customHeight="1"/>
    <row r="53143" ht="26.25" customHeight="1"/>
    <row r="53144" ht="26.25" customHeight="1"/>
    <row r="53145" ht="26.25" customHeight="1"/>
    <row r="53146" ht="26.25" customHeight="1"/>
    <row r="53147" ht="26.25" customHeight="1"/>
    <row r="53148" ht="26.25" customHeight="1"/>
    <row r="53149" ht="26.25" customHeight="1"/>
    <row r="53150" ht="26.25" customHeight="1"/>
    <row r="53151" ht="26.25" customHeight="1"/>
    <row r="53152" ht="26.25" customHeight="1"/>
    <row r="53153" ht="26.25" customHeight="1"/>
    <row r="53154" ht="26.25" customHeight="1"/>
    <row r="53155" ht="26.25" customHeight="1"/>
    <row r="53156" ht="26.25" customHeight="1"/>
    <row r="53157" ht="26.25" customHeight="1"/>
    <row r="53158" ht="26.25" customHeight="1"/>
    <row r="53159" ht="26.25" customHeight="1"/>
    <row r="53160" ht="26.25" customHeight="1"/>
    <row r="53161" ht="26.25" customHeight="1"/>
    <row r="53162" ht="26.25" customHeight="1"/>
    <row r="53163" ht="26.25" customHeight="1"/>
    <row r="53164" ht="26.25" customHeight="1"/>
    <row r="53165" ht="26.25" customHeight="1"/>
    <row r="53166" ht="26.25" customHeight="1"/>
    <row r="53167" ht="26.25" customHeight="1"/>
    <row r="53168" ht="26.25" customHeight="1"/>
    <row r="53169" ht="26.25" customHeight="1"/>
    <row r="53170" ht="26.25" customHeight="1"/>
    <row r="53171" ht="26.25" customHeight="1"/>
    <row r="53172" ht="26.25" customHeight="1"/>
    <row r="53173" ht="26.25" customHeight="1"/>
    <row r="53174" ht="26.25" customHeight="1"/>
    <row r="53175" ht="26.25" customHeight="1"/>
    <row r="53176" ht="26.25" customHeight="1"/>
    <row r="53177" ht="26.25" customHeight="1"/>
    <row r="53178" ht="26.25" customHeight="1"/>
    <row r="53179" ht="26.25" customHeight="1"/>
    <row r="53180" ht="26.25" customHeight="1"/>
    <row r="53181" ht="26.25" customHeight="1"/>
    <row r="53182" ht="26.25" customHeight="1"/>
    <row r="53183" ht="26.25" customHeight="1"/>
    <row r="53184" ht="26.25" customHeight="1"/>
    <row r="53185" ht="26.25" customHeight="1"/>
    <row r="53186" ht="26.25" customHeight="1"/>
    <row r="53187" ht="26.25" customHeight="1"/>
    <row r="53188" ht="26.25" customHeight="1"/>
    <row r="53189" ht="26.25" customHeight="1"/>
    <row r="53190" ht="26.25" customHeight="1"/>
    <row r="53191" ht="26.25" customHeight="1"/>
    <row r="53192" ht="26.25" customHeight="1"/>
    <row r="53193" ht="26.25" customHeight="1"/>
    <row r="53194" ht="26.25" customHeight="1"/>
    <row r="53195" ht="26.25" customHeight="1"/>
    <row r="53196" ht="26.25" customHeight="1"/>
    <row r="53197" ht="26.25" customHeight="1"/>
    <row r="53198" ht="26.25" customHeight="1"/>
    <row r="53199" ht="26.25" customHeight="1"/>
    <row r="53200" ht="26.25" customHeight="1"/>
    <row r="53201" ht="26.25" customHeight="1"/>
    <row r="53202" ht="26.25" customHeight="1"/>
    <row r="53203" ht="26.25" customHeight="1"/>
    <row r="53204" ht="26.25" customHeight="1"/>
    <row r="53205" ht="26.25" customHeight="1"/>
    <row r="53206" ht="26.25" customHeight="1"/>
    <row r="53207" ht="26.25" customHeight="1"/>
    <row r="53208" ht="26.25" customHeight="1"/>
    <row r="53209" ht="26.25" customHeight="1"/>
    <row r="53210" ht="26.25" customHeight="1"/>
    <row r="53211" ht="26.25" customHeight="1"/>
    <row r="53212" ht="26.25" customHeight="1"/>
    <row r="53213" ht="26.25" customHeight="1"/>
    <row r="53214" ht="26.25" customHeight="1"/>
    <row r="53215" ht="26.25" customHeight="1"/>
    <row r="53216" ht="26.25" customHeight="1"/>
    <row r="53217" ht="26.25" customHeight="1"/>
    <row r="53218" ht="26.25" customHeight="1"/>
    <row r="53219" ht="26.25" customHeight="1"/>
    <row r="53220" ht="26.25" customHeight="1"/>
    <row r="53221" ht="26.25" customHeight="1"/>
    <row r="53222" ht="26.25" customHeight="1"/>
    <row r="53223" ht="26.25" customHeight="1"/>
    <row r="53224" ht="26.25" customHeight="1"/>
    <row r="53225" ht="26.25" customHeight="1"/>
    <row r="53226" ht="26.25" customHeight="1"/>
    <row r="53227" ht="26.25" customHeight="1"/>
    <row r="53228" ht="26.25" customHeight="1"/>
    <row r="53229" ht="26.25" customHeight="1"/>
    <row r="53230" ht="26.25" customHeight="1"/>
    <row r="53231" ht="26.25" customHeight="1"/>
    <row r="53232" ht="26.25" customHeight="1"/>
    <row r="53233" ht="26.25" customHeight="1"/>
    <row r="53234" ht="26.25" customHeight="1"/>
    <row r="53235" ht="26.25" customHeight="1"/>
    <row r="53236" ht="26.25" customHeight="1"/>
    <row r="53237" ht="26.25" customHeight="1"/>
    <row r="53238" ht="26.25" customHeight="1"/>
    <row r="53239" ht="26.25" customHeight="1"/>
    <row r="53240" ht="26.25" customHeight="1"/>
    <row r="53241" ht="26.25" customHeight="1"/>
    <row r="53242" ht="26.25" customHeight="1"/>
    <row r="53243" ht="26.25" customHeight="1"/>
    <row r="53244" ht="26.25" customHeight="1"/>
    <row r="53245" ht="26.25" customHeight="1"/>
    <row r="53246" ht="26.25" customHeight="1"/>
    <row r="53247" ht="26.25" customHeight="1"/>
    <row r="53248" ht="26.25" customHeight="1"/>
    <row r="53249" ht="26.25" customHeight="1"/>
    <row r="53250" ht="26.25" customHeight="1"/>
    <row r="53251" ht="26.25" customHeight="1"/>
    <row r="53252" ht="26.25" customHeight="1"/>
    <row r="53253" ht="26.25" customHeight="1"/>
    <row r="53254" ht="26.25" customHeight="1"/>
    <row r="53255" ht="26.25" customHeight="1"/>
    <row r="53256" ht="26.25" customHeight="1"/>
    <row r="53257" ht="26.25" customHeight="1"/>
    <row r="53258" ht="26.25" customHeight="1"/>
    <row r="53259" ht="26.25" customHeight="1"/>
    <row r="53260" ht="26.25" customHeight="1"/>
    <row r="53261" ht="26.25" customHeight="1"/>
    <row r="53262" ht="26.25" customHeight="1"/>
    <row r="53263" ht="26.25" customHeight="1"/>
    <row r="53264" ht="26.25" customHeight="1"/>
    <row r="53265" ht="26.25" customHeight="1"/>
    <row r="53266" ht="26.25" customHeight="1"/>
    <row r="53267" ht="26.25" customHeight="1"/>
    <row r="53268" ht="26.25" customHeight="1"/>
    <row r="53269" ht="26.25" customHeight="1"/>
    <row r="53270" ht="26.25" customHeight="1"/>
    <row r="53271" ht="26.25" customHeight="1"/>
    <row r="53272" ht="26.25" customHeight="1"/>
    <row r="53273" ht="26.25" customHeight="1"/>
    <row r="53274" ht="26.25" customHeight="1"/>
    <row r="53275" ht="26.25" customHeight="1"/>
    <row r="53276" ht="26.25" customHeight="1"/>
    <row r="53277" ht="26.25" customHeight="1"/>
    <row r="53278" ht="26.25" customHeight="1"/>
    <row r="53279" ht="26.25" customHeight="1"/>
    <row r="53280" ht="26.25" customHeight="1"/>
    <row r="53281" ht="26.25" customHeight="1"/>
    <row r="53282" ht="26.25" customHeight="1"/>
    <row r="53283" ht="26.25" customHeight="1"/>
    <row r="53284" ht="26.25" customHeight="1"/>
    <row r="53285" ht="26.25" customHeight="1"/>
    <row r="53286" ht="26.25" customHeight="1"/>
    <row r="53287" ht="26.25" customHeight="1"/>
    <row r="53288" ht="26.25" customHeight="1"/>
    <row r="53289" ht="26.25" customHeight="1"/>
    <row r="53290" ht="26.25" customHeight="1"/>
    <row r="53291" ht="26.25" customHeight="1"/>
    <row r="53292" ht="26.25" customHeight="1"/>
    <row r="53293" ht="26.25" customHeight="1"/>
    <row r="53294" ht="26.25" customHeight="1"/>
    <row r="53295" ht="26.25" customHeight="1"/>
    <row r="53296" ht="26.25" customHeight="1"/>
    <row r="53297" ht="26.25" customHeight="1"/>
    <row r="53298" ht="26.25" customHeight="1"/>
    <row r="53299" ht="26.25" customHeight="1"/>
    <row r="53300" ht="26.25" customHeight="1"/>
    <row r="53301" ht="26.25" customHeight="1"/>
    <row r="53302" ht="26.25" customHeight="1"/>
    <row r="53303" ht="26.25" customHeight="1"/>
    <row r="53304" ht="26.25" customHeight="1"/>
    <row r="53305" ht="26.25" customHeight="1"/>
    <row r="53306" ht="26.25" customHeight="1"/>
    <row r="53307" ht="26.25" customHeight="1"/>
    <row r="53308" ht="26.25" customHeight="1"/>
    <row r="53309" ht="26.25" customHeight="1"/>
    <row r="53310" ht="26.25" customHeight="1"/>
    <row r="53311" ht="26.25" customHeight="1"/>
    <row r="53312" ht="26.25" customHeight="1"/>
    <row r="53313" ht="26.25" customHeight="1"/>
    <row r="53314" ht="26.25" customHeight="1"/>
    <row r="53315" ht="26.25" customHeight="1"/>
    <row r="53316" ht="26.25" customHeight="1"/>
    <row r="53317" ht="26.25" customHeight="1"/>
    <row r="53318" ht="26.25" customHeight="1"/>
    <row r="53319" ht="26.25" customHeight="1"/>
    <row r="53320" ht="26.25" customHeight="1"/>
    <row r="53321" ht="26.25" customHeight="1"/>
    <row r="53322" ht="26.25" customHeight="1"/>
    <row r="53323" ht="26.25" customHeight="1"/>
    <row r="53324" ht="26.25" customHeight="1"/>
    <row r="53325" ht="26.25" customHeight="1"/>
    <row r="53326" ht="26.25" customHeight="1"/>
    <row r="53327" ht="26.25" customHeight="1"/>
    <row r="53328" ht="26.25" customHeight="1"/>
    <row r="53329" ht="26.25" customHeight="1"/>
    <row r="53330" ht="26.25" customHeight="1"/>
    <row r="53331" ht="26.25" customHeight="1"/>
    <row r="53332" ht="26.25" customHeight="1"/>
    <row r="53333" ht="26.25" customHeight="1"/>
    <row r="53334" ht="26.25" customHeight="1"/>
    <row r="53335" ht="26.25" customHeight="1"/>
    <row r="53336" ht="26.25" customHeight="1"/>
    <row r="53337" ht="26.25" customHeight="1"/>
    <row r="53338" ht="26.25" customHeight="1"/>
    <row r="53339" ht="26.25" customHeight="1"/>
    <row r="53340" ht="26.25" customHeight="1"/>
    <row r="53341" ht="26.25" customHeight="1"/>
    <row r="53342" ht="26.25" customHeight="1"/>
    <row r="53343" ht="26.25" customHeight="1"/>
    <row r="53344" ht="26.25" customHeight="1"/>
    <row r="53345" ht="26.25" customHeight="1"/>
    <row r="53346" ht="26.25" customHeight="1"/>
    <row r="53347" ht="26.25" customHeight="1"/>
    <row r="53348" ht="26.25" customHeight="1"/>
    <row r="53349" ht="26.25" customHeight="1"/>
    <row r="53350" ht="26.25" customHeight="1"/>
    <row r="53351" ht="26.25" customHeight="1"/>
    <row r="53352" ht="26.25" customHeight="1"/>
    <row r="53353" ht="26.25" customHeight="1"/>
    <row r="53354" ht="26.25" customHeight="1"/>
    <row r="53355" ht="26.25" customHeight="1"/>
    <row r="53356" ht="26.25" customHeight="1"/>
    <row r="53357" ht="26.25" customHeight="1"/>
    <row r="53358" ht="26.25" customHeight="1"/>
    <row r="53359" ht="26.25" customHeight="1"/>
    <row r="53360" ht="26.25" customHeight="1"/>
    <row r="53361" ht="26.25" customHeight="1"/>
    <row r="53362" ht="26.25" customHeight="1"/>
    <row r="53363" ht="26.25" customHeight="1"/>
    <row r="53364" ht="26.25" customHeight="1"/>
    <row r="53365" ht="26.25" customHeight="1"/>
    <row r="53366" ht="26.25" customHeight="1"/>
    <row r="53367" ht="26.25" customHeight="1"/>
    <row r="53368" ht="26.25" customHeight="1"/>
    <row r="53369" ht="26.25" customHeight="1"/>
    <row r="53370" ht="26.25" customHeight="1"/>
    <row r="53371" ht="26.25" customHeight="1"/>
    <row r="53372" ht="26.25" customHeight="1"/>
    <row r="53373" ht="26.25" customHeight="1"/>
    <row r="53374" ht="26.25" customHeight="1"/>
    <row r="53375" ht="26.25" customHeight="1"/>
    <row r="53376" ht="26.25" customHeight="1"/>
    <row r="53377" ht="26.25" customHeight="1"/>
    <row r="53378" ht="26.25" customHeight="1"/>
    <row r="53379" ht="26.25" customHeight="1"/>
    <row r="53380" ht="26.25" customHeight="1"/>
    <row r="53381" ht="26.25" customHeight="1"/>
    <row r="53382" ht="26.25" customHeight="1"/>
    <row r="53383" ht="26.25" customHeight="1"/>
    <row r="53384" ht="26.25" customHeight="1"/>
    <row r="53385" ht="26.25" customHeight="1"/>
    <row r="53386" ht="26.25" customHeight="1"/>
    <row r="53387" ht="26.25" customHeight="1"/>
    <row r="53388" ht="26.25" customHeight="1"/>
    <row r="53389" ht="26.25" customHeight="1"/>
    <row r="53390" ht="26.25" customHeight="1"/>
    <row r="53391" ht="26.25" customHeight="1"/>
    <row r="53392" ht="26.25" customHeight="1"/>
    <row r="53393" ht="26.25" customHeight="1"/>
    <row r="53394" ht="26.25" customHeight="1"/>
    <row r="53395" ht="26.25" customHeight="1"/>
    <row r="53396" ht="26.25" customHeight="1"/>
    <row r="53397" ht="26.25" customHeight="1"/>
    <row r="53398" ht="26.25" customHeight="1"/>
    <row r="53399" ht="26.25" customHeight="1"/>
    <row r="53400" ht="26.25" customHeight="1"/>
    <row r="53401" ht="26.25" customHeight="1"/>
    <row r="53402" ht="26.25" customHeight="1"/>
    <row r="53403" ht="26.25" customHeight="1"/>
    <row r="53404" ht="26.25" customHeight="1"/>
    <row r="53405" ht="26.25" customHeight="1"/>
    <row r="53406" ht="26.25" customHeight="1"/>
    <row r="53407" ht="26.25" customHeight="1"/>
    <row r="53408" ht="26.25" customHeight="1"/>
    <row r="53409" ht="26.25" customHeight="1"/>
    <row r="53410" ht="26.25" customHeight="1"/>
    <row r="53411" ht="26.25" customHeight="1"/>
    <row r="53412" ht="26.25" customHeight="1"/>
    <row r="53413" ht="26.25" customHeight="1"/>
    <row r="53414" ht="26.25" customHeight="1"/>
    <row r="53415" ht="26.25" customHeight="1"/>
    <row r="53416" ht="26.25" customHeight="1"/>
    <row r="53417" ht="26.25" customHeight="1"/>
    <row r="53418" ht="26.25" customHeight="1"/>
    <row r="53419" ht="26.25" customHeight="1"/>
    <row r="53420" ht="26.25" customHeight="1"/>
    <row r="53421" ht="26.25" customHeight="1"/>
    <row r="53422" ht="26.25" customHeight="1"/>
    <row r="53423" ht="26.25" customHeight="1"/>
    <row r="53424" ht="26.25" customHeight="1"/>
    <row r="53425" ht="26.25" customHeight="1"/>
    <row r="53426" ht="26.25" customHeight="1"/>
    <row r="53427" ht="26.25" customHeight="1"/>
    <row r="53428" ht="26.25" customHeight="1"/>
    <row r="53429" ht="26.25" customHeight="1"/>
    <row r="53430" ht="26.25" customHeight="1"/>
    <row r="53431" ht="26.25" customHeight="1"/>
    <row r="53432" ht="26.25" customHeight="1"/>
    <row r="53433" ht="26.25" customHeight="1"/>
    <row r="53434" ht="26.25" customHeight="1"/>
    <row r="53435" ht="26.25" customHeight="1"/>
    <row r="53436" ht="26.25" customHeight="1"/>
    <row r="53437" ht="26.25" customHeight="1"/>
    <row r="53438" ht="26.25" customHeight="1"/>
    <row r="53439" ht="26.25" customHeight="1"/>
    <row r="53440" ht="26.25" customHeight="1"/>
    <row r="53441" ht="26.25" customHeight="1"/>
    <row r="53442" ht="26.25" customHeight="1"/>
    <row r="53443" ht="26.25" customHeight="1"/>
    <row r="53444" ht="26.25" customHeight="1"/>
    <row r="53445" ht="26.25" customHeight="1"/>
    <row r="53446" ht="26.25" customHeight="1"/>
    <row r="53447" ht="26.25" customHeight="1"/>
    <row r="53448" ht="26.25" customHeight="1"/>
    <row r="53449" ht="26.25" customHeight="1"/>
    <row r="53450" ht="26.25" customHeight="1"/>
    <row r="53451" ht="26.25" customHeight="1"/>
    <row r="53452" ht="26.25" customHeight="1"/>
    <row r="53453" ht="26.25" customHeight="1"/>
    <row r="53454" ht="26.25" customHeight="1"/>
    <row r="53455" ht="26.25" customHeight="1"/>
    <row r="53456" ht="26.25" customHeight="1"/>
    <row r="53457" ht="26.25" customHeight="1"/>
    <row r="53458" ht="26.25" customHeight="1"/>
    <row r="53459" ht="26.25" customHeight="1"/>
    <row r="53460" ht="26.25" customHeight="1"/>
    <row r="53461" ht="26.25" customHeight="1"/>
    <row r="53462" ht="26.25" customHeight="1"/>
    <row r="53463" ht="26.25" customHeight="1"/>
    <row r="53464" ht="26.25" customHeight="1"/>
    <row r="53465" ht="26.25" customHeight="1"/>
    <row r="53466" ht="26.25" customHeight="1"/>
    <row r="53467" ht="26.25" customHeight="1"/>
    <row r="53468" ht="26.25" customHeight="1"/>
    <row r="53469" ht="26.25" customHeight="1"/>
    <row r="53470" ht="26.25" customHeight="1"/>
    <row r="53471" ht="26.25" customHeight="1"/>
    <row r="53472" ht="26.25" customHeight="1"/>
    <row r="53473" ht="26.25" customHeight="1"/>
    <row r="53474" ht="26.25" customHeight="1"/>
    <row r="53475" ht="26.25" customHeight="1"/>
    <row r="53476" ht="26.25" customHeight="1"/>
    <row r="53477" ht="26.25" customHeight="1"/>
    <row r="53478" ht="26.25" customHeight="1"/>
    <row r="53479" ht="26.25" customHeight="1"/>
    <row r="53480" ht="26.25" customHeight="1"/>
    <row r="53481" ht="26.25" customHeight="1"/>
    <row r="53482" ht="26.25" customHeight="1"/>
    <row r="53483" ht="26.25" customHeight="1"/>
    <row r="53484" ht="26.25" customHeight="1"/>
    <row r="53485" ht="26.25" customHeight="1"/>
    <row r="53486" ht="26.25" customHeight="1"/>
    <row r="53487" ht="26.25" customHeight="1"/>
    <row r="53488" ht="26.25" customHeight="1"/>
    <row r="53489" ht="26.25" customHeight="1"/>
    <row r="53490" ht="26.25" customHeight="1"/>
    <row r="53491" ht="26.25" customHeight="1"/>
    <row r="53492" ht="26.25" customHeight="1"/>
    <row r="53493" ht="26.25" customHeight="1"/>
    <row r="53494" ht="26.25" customHeight="1"/>
    <row r="53495" ht="26.25" customHeight="1"/>
    <row r="53496" ht="26.25" customHeight="1"/>
    <row r="53497" ht="26.25" customHeight="1"/>
    <row r="53498" ht="26.25" customHeight="1"/>
    <row r="53499" ht="26.25" customHeight="1"/>
    <row r="53500" ht="26.25" customHeight="1"/>
    <row r="53501" ht="26.25" customHeight="1"/>
    <row r="53502" ht="26.25" customHeight="1"/>
    <row r="53503" ht="26.25" customHeight="1"/>
    <row r="53504" ht="26.25" customHeight="1"/>
    <row r="53505" ht="26.25" customHeight="1"/>
    <row r="53506" ht="26.25" customHeight="1"/>
    <row r="53507" ht="26.25" customHeight="1"/>
    <row r="53508" ht="26.25" customHeight="1"/>
    <row r="53509" ht="26.25" customHeight="1"/>
    <row r="53510" ht="26.25" customHeight="1"/>
    <row r="53511" ht="26.25" customHeight="1"/>
    <row r="53512" ht="26.25" customHeight="1"/>
    <row r="53513" ht="26.25" customHeight="1"/>
    <row r="53514" ht="26.25" customHeight="1"/>
    <row r="53515" ht="26.25" customHeight="1"/>
    <row r="53516" ht="26.25" customHeight="1"/>
    <row r="53517" ht="26.25" customHeight="1"/>
    <row r="53518" ht="26.25" customHeight="1"/>
    <row r="53519" ht="26.25" customHeight="1"/>
    <row r="53520" ht="26.25" customHeight="1"/>
    <row r="53521" ht="26.25" customHeight="1"/>
    <row r="53522" ht="26.25" customHeight="1"/>
    <row r="53523" ht="26.25" customHeight="1"/>
    <row r="53524" ht="26.25" customHeight="1"/>
    <row r="53525" ht="26.25" customHeight="1"/>
    <row r="53526" ht="26.25" customHeight="1"/>
    <row r="53527" ht="26.25" customHeight="1"/>
    <row r="53528" ht="26.25" customHeight="1"/>
    <row r="53529" ht="26.25" customHeight="1"/>
    <row r="53530" ht="26.25" customHeight="1"/>
    <row r="53531" ht="26.25" customHeight="1"/>
    <row r="53532" ht="26.25" customHeight="1"/>
    <row r="53533" ht="26.25" customHeight="1"/>
    <row r="53534" ht="26.25" customHeight="1"/>
    <row r="53535" ht="26.25" customHeight="1"/>
    <row r="53536" ht="26.25" customHeight="1"/>
    <row r="53537" ht="26.25" customHeight="1"/>
    <row r="53538" ht="26.25" customHeight="1"/>
    <row r="53539" ht="26.25" customHeight="1"/>
    <row r="53540" ht="26.25" customHeight="1"/>
    <row r="53541" ht="26.25" customHeight="1"/>
    <row r="53542" ht="26.25" customHeight="1"/>
    <row r="53543" ht="26.25" customHeight="1"/>
    <row r="53544" ht="26.25" customHeight="1"/>
    <row r="53545" ht="26.25" customHeight="1"/>
    <row r="53546" ht="26.25" customHeight="1"/>
    <row r="53547" ht="26.25" customHeight="1"/>
    <row r="53548" ht="26.25" customHeight="1"/>
    <row r="53549" ht="26.25" customHeight="1"/>
    <row r="53550" ht="26.25" customHeight="1"/>
    <row r="53551" ht="26.25" customHeight="1"/>
    <row r="53552" ht="26.25" customHeight="1"/>
    <row r="53553" ht="26.25" customHeight="1"/>
    <row r="53554" ht="26.25" customHeight="1"/>
    <row r="53555" ht="26.25" customHeight="1"/>
    <row r="53556" ht="26.25" customHeight="1"/>
    <row r="53557" ht="26.25" customHeight="1"/>
    <row r="53558" ht="26.25" customHeight="1"/>
    <row r="53559" ht="26.25" customHeight="1"/>
    <row r="53560" ht="26.25" customHeight="1"/>
    <row r="53561" ht="26.25" customHeight="1"/>
    <row r="53562" ht="26.25" customHeight="1"/>
    <row r="53563" ht="26.25" customHeight="1"/>
    <row r="53564" ht="26.25" customHeight="1"/>
    <row r="53565" ht="26.25" customHeight="1"/>
    <row r="53566" ht="26.25" customHeight="1"/>
    <row r="53567" ht="26.25" customHeight="1"/>
    <row r="53568" ht="26.25" customHeight="1"/>
    <row r="53569" ht="26.25" customHeight="1"/>
    <row r="53570" ht="26.25" customHeight="1"/>
    <row r="53571" ht="26.25" customHeight="1"/>
    <row r="53572" ht="26.25" customHeight="1"/>
    <row r="53573" ht="26.25" customHeight="1"/>
    <row r="53574" ht="26.25" customHeight="1"/>
    <row r="53575" ht="26.25" customHeight="1"/>
    <row r="53576" ht="26.25" customHeight="1"/>
    <row r="53577" ht="26.25" customHeight="1"/>
    <row r="53578" ht="26.25" customHeight="1"/>
    <row r="53579" ht="26.25" customHeight="1"/>
    <row r="53580" ht="26.25" customHeight="1"/>
    <row r="53581" ht="26.25" customHeight="1"/>
    <row r="53582" ht="26.25" customHeight="1"/>
    <row r="53583" ht="26.25" customHeight="1"/>
    <row r="53584" ht="26.25" customHeight="1"/>
    <row r="53585" ht="26.25" customHeight="1"/>
    <row r="53586" ht="26.25" customHeight="1"/>
    <row r="53587" ht="26.25" customHeight="1"/>
    <row r="53588" ht="26.25" customHeight="1"/>
    <row r="53589" ht="26.25" customHeight="1"/>
    <row r="53590" ht="26.25" customHeight="1"/>
    <row r="53591" ht="26.25" customHeight="1"/>
    <row r="53592" ht="26.25" customHeight="1"/>
    <row r="53593" ht="26.25" customHeight="1"/>
    <row r="53594" ht="26.25" customHeight="1"/>
    <row r="53595" ht="26.25" customHeight="1"/>
    <row r="53596" ht="26.25" customHeight="1"/>
    <row r="53597" ht="26.25" customHeight="1"/>
    <row r="53598" ht="26.25" customHeight="1"/>
    <row r="53599" ht="26.25" customHeight="1"/>
    <row r="53600" ht="26.25" customHeight="1"/>
    <row r="53601" ht="26.25" customHeight="1"/>
    <row r="53602" ht="26.25" customHeight="1"/>
    <row r="53603" ht="26.25" customHeight="1"/>
    <row r="53604" ht="26.25" customHeight="1"/>
    <row r="53605" ht="26.25" customHeight="1"/>
    <row r="53606" ht="26.25" customHeight="1"/>
    <row r="53607" ht="26.25" customHeight="1"/>
    <row r="53608" ht="26.25" customHeight="1"/>
    <row r="53609" ht="26.25" customHeight="1"/>
    <row r="53610" ht="26.25" customHeight="1"/>
    <row r="53611" ht="26.25" customHeight="1"/>
    <row r="53612" ht="26.25" customHeight="1"/>
    <row r="53613" ht="26.25" customHeight="1"/>
    <row r="53614" ht="26.25" customHeight="1"/>
    <row r="53615" ht="26.25" customHeight="1"/>
    <row r="53616" ht="26.25" customHeight="1"/>
    <row r="53617" ht="26.25" customHeight="1"/>
    <row r="53618" ht="26.25" customHeight="1"/>
    <row r="53619" ht="26.25" customHeight="1"/>
    <row r="53620" ht="26.25" customHeight="1"/>
    <row r="53621" ht="26.25" customHeight="1"/>
    <row r="53622" ht="26.25" customHeight="1"/>
    <row r="53623" ht="26.25" customHeight="1"/>
    <row r="53624" ht="26.25" customHeight="1"/>
    <row r="53625" ht="26.25" customHeight="1"/>
    <row r="53626" ht="26.25" customHeight="1"/>
    <row r="53627" ht="26.25" customHeight="1"/>
    <row r="53628" ht="26.25" customHeight="1"/>
    <row r="53629" ht="26.25" customHeight="1"/>
    <row r="53630" ht="26.25" customHeight="1"/>
    <row r="53631" ht="26.25" customHeight="1"/>
    <row r="53632" ht="26.25" customHeight="1"/>
    <row r="53633" ht="26.25" customHeight="1"/>
    <row r="53634" ht="26.25" customHeight="1"/>
    <row r="53635" ht="26.25" customHeight="1"/>
    <row r="53636" ht="26.25" customHeight="1"/>
    <row r="53637" ht="26.25" customHeight="1"/>
    <row r="53638" ht="26.25" customHeight="1"/>
    <row r="53639" ht="26.25" customHeight="1"/>
    <row r="53640" ht="26.25" customHeight="1"/>
    <row r="53641" ht="26.25" customHeight="1"/>
    <row r="53642" ht="26.25" customHeight="1"/>
    <row r="53643" ht="26.25" customHeight="1"/>
    <row r="53644" ht="26.25" customHeight="1"/>
    <row r="53645" ht="26.25" customHeight="1"/>
    <row r="53646" ht="26.25" customHeight="1"/>
    <row r="53647" ht="26.25" customHeight="1"/>
    <row r="53648" ht="26.25" customHeight="1"/>
    <row r="53649" ht="26.25" customHeight="1"/>
    <row r="53650" ht="26.25" customHeight="1"/>
    <row r="53651" ht="26.25" customHeight="1"/>
    <row r="53652" ht="26.25" customHeight="1"/>
    <row r="53653" ht="26.25" customHeight="1"/>
    <row r="53654" ht="26.25" customHeight="1"/>
    <row r="53655" ht="26.25" customHeight="1"/>
    <row r="53656" ht="26.25" customHeight="1"/>
    <row r="53657" ht="26.25" customHeight="1"/>
    <row r="53658" ht="26.25" customHeight="1"/>
    <row r="53659" ht="26.25" customHeight="1"/>
    <row r="53660" ht="26.25" customHeight="1"/>
    <row r="53661" ht="26.25" customHeight="1"/>
    <row r="53662" ht="26.25" customHeight="1"/>
    <row r="53663" ht="26.25" customHeight="1"/>
    <row r="53664" ht="26.25" customHeight="1"/>
    <row r="53665" ht="26.25" customHeight="1"/>
    <row r="53666" ht="26.25" customHeight="1"/>
    <row r="53667" ht="26.25" customHeight="1"/>
    <row r="53668" ht="26.25" customHeight="1"/>
    <row r="53669" ht="26.25" customHeight="1"/>
    <row r="53670" ht="26.25" customHeight="1"/>
    <row r="53671" ht="26.25" customHeight="1"/>
    <row r="53672" ht="26.25" customHeight="1"/>
    <row r="53673" ht="26.25" customHeight="1"/>
    <row r="53674" ht="26.25" customHeight="1"/>
    <row r="53675" ht="26.25" customHeight="1"/>
    <row r="53676" ht="26.25" customHeight="1"/>
    <row r="53677" ht="26.25" customHeight="1"/>
    <row r="53678" ht="26.25" customHeight="1"/>
    <row r="53679" ht="26.25" customHeight="1"/>
    <row r="53680" ht="26.25" customHeight="1"/>
    <row r="53681" ht="26.25" customHeight="1"/>
    <row r="53682" ht="26.25" customHeight="1"/>
    <row r="53683" ht="26.25" customHeight="1"/>
    <row r="53684" ht="26.25" customHeight="1"/>
    <row r="53685" ht="26.25" customHeight="1"/>
    <row r="53686" ht="26.25" customHeight="1"/>
    <row r="53687" ht="26.25" customHeight="1"/>
    <row r="53688" ht="26.25" customHeight="1"/>
    <row r="53689" ht="26.25" customHeight="1"/>
    <row r="53690" ht="26.25" customHeight="1"/>
    <row r="53691" ht="26.25" customHeight="1"/>
    <row r="53692" ht="26.25" customHeight="1"/>
    <row r="53693" ht="26.25" customHeight="1"/>
    <row r="53694" ht="26.25" customHeight="1"/>
    <row r="53695" ht="26.25" customHeight="1"/>
    <row r="53696" ht="26.25" customHeight="1"/>
    <row r="53697" ht="26.25" customHeight="1"/>
    <row r="53698" ht="26.25" customHeight="1"/>
    <row r="53699" ht="26.25" customHeight="1"/>
    <row r="53700" ht="26.25" customHeight="1"/>
    <row r="53701" ht="26.25" customHeight="1"/>
    <row r="53702" ht="26.25" customHeight="1"/>
    <row r="53703" ht="26.25" customHeight="1"/>
    <row r="53704" ht="26.25" customHeight="1"/>
    <row r="53705" ht="26.25" customHeight="1"/>
    <row r="53706" ht="26.25" customHeight="1"/>
    <row r="53707" ht="26.25" customHeight="1"/>
    <row r="53708" ht="26.25" customHeight="1"/>
    <row r="53709" ht="26.25" customHeight="1"/>
    <row r="53710" ht="26.25" customHeight="1"/>
    <row r="53711" ht="26.25" customHeight="1"/>
    <row r="53712" ht="26.25" customHeight="1"/>
    <row r="53713" ht="26.25" customHeight="1"/>
    <row r="53714" ht="26.25" customHeight="1"/>
    <row r="53715" ht="26.25" customHeight="1"/>
    <row r="53716" ht="26.25" customHeight="1"/>
    <row r="53717" ht="26.25" customHeight="1"/>
    <row r="53718" ht="26.25" customHeight="1"/>
    <row r="53719" ht="26.25" customHeight="1"/>
    <row r="53720" ht="26.25" customHeight="1"/>
    <row r="53721" ht="26.25" customHeight="1"/>
    <row r="53722" ht="26.25" customHeight="1"/>
    <row r="53723" ht="26.25" customHeight="1"/>
    <row r="53724" ht="26.25" customHeight="1"/>
    <row r="53725" ht="26.25" customHeight="1"/>
    <row r="53726" ht="26.25" customHeight="1"/>
    <row r="53727" ht="26.25" customHeight="1"/>
    <row r="53728" ht="26.25" customHeight="1"/>
    <row r="53729" ht="26.25" customHeight="1"/>
    <row r="53730" ht="26.25" customHeight="1"/>
    <row r="53731" ht="26.25" customHeight="1"/>
    <row r="53732" ht="26.25" customHeight="1"/>
    <row r="53733" ht="26.25" customHeight="1"/>
    <row r="53734" ht="26.25" customHeight="1"/>
    <row r="53735" ht="26.25" customHeight="1"/>
    <row r="53736" ht="26.25" customHeight="1"/>
    <row r="53737" ht="26.25" customHeight="1"/>
    <row r="53738" ht="26.25" customHeight="1"/>
    <row r="53739" ht="26.25" customHeight="1"/>
    <row r="53740" ht="26.25" customHeight="1"/>
    <row r="53741" ht="26.25" customHeight="1"/>
    <row r="53742" ht="26.25" customHeight="1"/>
    <row r="53743" ht="26.25" customHeight="1"/>
    <row r="53744" ht="26.25" customHeight="1"/>
    <row r="53745" ht="26.25" customHeight="1"/>
    <row r="53746" ht="26.25" customHeight="1"/>
    <row r="53747" ht="26.25" customHeight="1"/>
    <row r="53748" ht="26.25" customHeight="1"/>
    <row r="53749" ht="26.25" customHeight="1"/>
    <row r="53750" ht="26.25" customHeight="1"/>
    <row r="53751" ht="26.25" customHeight="1"/>
    <row r="53752" ht="26.25" customHeight="1"/>
    <row r="53753" ht="26.25" customHeight="1"/>
    <row r="53754" ht="26.25" customHeight="1"/>
    <row r="53755" ht="26.25" customHeight="1"/>
    <row r="53756" ht="26.25" customHeight="1"/>
    <row r="53757" ht="26.25" customHeight="1"/>
    <row r="53758" ht="26.25" customHeight="1"/>
    <row r="53759" ht="26.25" customHeight="1"/>
    <row r="53760" ht="26.25" customHeight="1"/>
    <row r="53761" ht="26.25" customHeight="1"/>
    <row r="53762" ht="26.25" customHeight="1"/>
    <row r="53763" ht="26.25" customHeight="1"/>
    <row r="53764" ht="26.25" customHeight="1"/>
    <row r="53765" ht="26.25" customHeight="1"/>
    <row r="53766" ht="26.25" customHeight="1"/>
    <row r="53767" ht="26.25" customHeight="1"/>
    <row r="53768" ht="26.25" customHeight="1"/>
    <row r="53769" ht="26.25" customHeight="1"/>
    <row r="53770" ht="26.25" customHeight="1"/>
    <row r="53771" ht="26.25" customHeight="1"/>
    <row r="53772" ht="26.25" customHeight="1"/>
    <row r="53773" ht="26.25" customHeight="1"/>
    <row r="53774" ht="26.25" customHeight="1"/>
    <row r="53775" ht="26.25" customHeight="1"/>
    <row r="53776" ht="26.25" customHeight="1"/>
    <row r="53777" ht="26.25" customHeight="1"/>
    <row r="53778" ht="26.25" customHeight="1"/>
    <row r="53779" ht="26.25" customHeight="1"/>
    <row r="53780" ht="26.25" customHeight="1"/>
    <row r="53781" ht="26.25" customHeight="1"/>
    <row r="53782" ht="26.25" customHeight="1"/>
    <row r="53783" ht="26.25" customHeight="1"/>
    <row r="53784" ht="26.25" customHeight="1"/>
    <row r="53785" ht="26.25" customHeight="1"/>
    <row r="53786" ht="26.25" customHeight="1"/>
    <row r="53787" ht="26.25" customHeight="1"/>
    <row r="53788" ht="26.25" customHeight="1"/>
    <row r="53789" ht="26.25" customHeight="1"/>
    <row r="53790" ht="26.25" customHeight="1"/>
    <row r="53791" ht="26.25" customHeight="1"/>
    <row r="53792" ht="26.25" customHeight="1"/>
    <row r="53793" ht="26.25" customHeight="1"/>
    <row r="53794" ht="26.25" customHeight="1"/>
    <row r="53795" ht="26.25" customHeight="1"/>
    <row r="53796" ht="26.25" customHeight="1"/>
    <row r="53797" ht="26.25" customHeight="1"/>
    <row r="53798" ht="26.25" customHeight="1"/>
    <row r="53799" ht="26.25" customHeight="1"/>
    <row r="53800" ht="26.25" customHeight="1"/>
    <row r="53801" ht="26.25" customHeight="1"/>
    <row r="53802" ht="26.25" customHeight="1"/>
    <row r="53803" ht="26.25" customHeight="1"/>
    <row r="53804" ht="26.25" customHeight="1"/>
    <row r="53805" ht="26.25" customHeight="1"/>
    <row r="53806" ht="26.25" customHeight="1"/>
    <row r="53807" ht="26.25" customHeight="1"/>
    <row r="53808" ht="26.25" customHeight="1"/>
    <row r="53809" ht="26.25" customHeight="1"/>
    <row r="53810" ht="26.25" customHeight="1"/>
    <row r="53811" ht="26.25" customHeight="1"/>
    <row r="53812" ht="26.25" customHeight="1"/>
    <row r="53813" ht="26.25" customHeight="1"/>
    <row r="53814" ht="26.25" customHeight="1"/>
    <row r="53815" ht="26.25" customHeight="1"/>
    <row r="53816" ht="26.25" customHeight="1"/>
    <row r="53817" ht="26.25" customHeight="1"/>
    <row r="53818" ht="26.25" customHeight="1"/>
    <row r="53819" ht="26.25" customHeight="1"/>
    <row r="53820" ht="26.25" customHeight="1"/>
    <row r="53821" ht="26.25" customHeight="1"/>
    <row r="53822" ht="26.25" customHeight="1"/>
    <row r="53823" ht="26.25" customHeight="1"/>
    <row r="53824" ht="26.25" customHeight="1"/>
    <row r="53825" ht="26.25" customHeight="1"/>
    <row r="53826" ht="26.25" customHeight="1"/>
    <row r="53827" ht="26.25" customHeight="1"/>
    <row r="53828" ht="26.25" customHeight="1"/>
    <row r="53829" ht="26.25" customHeight="1"/>
    <row r="53830" ht="26.25" customHeight="1"/>
    <row r="53831" ht="26.25" customHeight="1"/>
    <row r="53832" ht="26.25" customHeight="1"/>
    <row r="53833" ht="26.25" customHeight="1"/>
    <row r="53834" ht="26.25" customHeight="1"/>
    <row r="53835" ht="26.25" customHeight="1"/>
    <row r="53836" ht="26.25" customHeight="1"/>
    <row r="53837" ht="26.25" customHeight="1"/>
    <row r="53838" ht="26.25" customHeight="1"/>
    <row r="53839" ht="26.25" customHeight="1"/>
    <row r="53840" ht="26.25" customHeight="1"/>
    <row r="53841" ht="26.25" customHeight="1"/>
    <row r="53842" ht="26.25" customHeight="1"/>
    <row r="53843" ht="26.25" customHeight="1"/>
    <row r="53844" ht="26.25" customHeight="1"/>
    <row r="53845" ht="26.25" customHeight="1"/>
    <row r="53846" ht="26.25" customHeight="1"/>
    <row r="53847" ht="26.25" customHeight="1"/>
    <row r="53848" ht="26.25" customHeight="1"/>
    <row r="53849" ht="26.25" customHeight="1"/>
    <row r="53850" ht="26.25" customHeight="1"/>
    <row r="53851" ht="26.25" customHeight="1"/>
    <row r="53852" ht="26.25" customHeight="1"/>
    <row r="53853" ht="26.25" customHeight="1"/>
    <row r="53854" ht="26.25" customHeight="1"/>
    <row r="53855" ht="26.25" customHeight="1"/>
    <row r="53856" ht="26.25" customHeight="1"/>
    <row r="53857" ht="26.25" customHeight="1"/>
    <row r="53858" ht="26.25" customHeight="1"/>
    <row r="53859" ht="26.25" customHeight="1"/>
    <row r="53860" ht="26.25" customHeight="1"/>
    <row r="53861" ht="26.25" customHeight="1"/>
    <row r="53862" ht="26.25" customHeight="1"/>
    <row r="53863" ht="26.25" customHeight="1"/>
    <row r="53864" ht="26.25" customHeight="1"/>
    <row r="53865" ht="26.25" customHeight="1"/>
    <row r="53866" ht="26.25" customHeight="1"/>
    <row r="53867" ht="26.25" customHeight="1"/>
    <row r="53868" ht="26.25" customHeight="1"/>
    <row r="53869" ht="26.25" customHeight="1"/>
    <row r="53870" ht="26.25" customHeight="1"/>
    <row r="53871" ht="26.25" customHeight="1"/>
    <row r="53872" ht="26.25" customHeight="1"/>
    <row r="53873" ht="26.25" customHeight="1"/>
    <row r="53874" ht="26.25" customHeight="1"/>
    <row r="53875" ht="26.25" customHeight="1"/>
    <row r="53876" ht="26.25" customHeight="1"/>
    <row r="53877" ht="26.25" customHeight="1"/>
    <row r="53878" ht="26.25" customHeight="1"/>
    <row r="53879" ht="26.25" customHeight="1"/>
    <row r="53880" ht="26.25" customHeight="1"/>
    <row r="53881" ht="26.25" customHeight="1"/>
    <row r="53882" ht="26.25" customHeight="1"/>
    <row r="53883" ht="26.25" customHeight="1"/>
    <row r="53884" ht="26.25" customHeight="1"/>
    <row r="53885" ht="26.25" customHeight="1"/>
    <row r="53886" ht="26.25" customHeight="1"/>
    <row r="53887" ht="26.25" customHeight="1"/>
    <row r="53888" ht="26.25" customHeight="1"/>
    <row r="53889" ht="26.25" customHeight="1"/>
    <row r="53890" ht="26.25" customHeight="1"/>
    <row r="53891" ht="26.25" customHeight="1"/>
    <row r="53892" ht="26.25" customHeight="1"/>
    <row r="53893" ht="26.25" customHeight="1"/>
    <row r="53894" ht="26.25" customHeight="1"/>
    <row r="53895" ht="26.25" customHeight="1"/>
    <row r="53896" ht="26.25" customHeight="1"/>
    <row r="53897" ht="26.25" customHeight="1"/>
    <row r="53898" ht="26.25" customHeight="1"/>
    <row r="53899" ht="26.25" customHeight="1"/>
    <row r="53900" ht="26.25" customHeight="1"/>
    <row r="53901" ht="26.25" customHeight="1"/>
    <row r="53902" ht="26.25" customHeight="1"/>
    <row r="53903" ht="26.25" customHeight="1"/>
    <row r="53904" ht="26.25" customHeight="1"/>
    <row r="53905" ht="26.25" customHeight="1"/>
    <row r="53906" ht="26.25" customHeight="1"/>
    <row r="53907" ht="26.25" customHeight="1"/>
    <row r="53908" ht="26.25" customHeight="1"/>
    <row r="53909" ht="26.25" customHeight="1"/>
    <row r="53910" ht="26.25" customHeight="1"/>
    <row r="53911" ht="26.25" customHeight="1"/>
    <row r="53912" ht="26.25" customHeight="1"/>
    <row r="53913" ht="26.25" customHeight="1"/>
    <row r="53914" ht="26.25" customHeight="1"/>
    <row r="53915" ht="26.25" customHeight="1"/>
    <row r="53916" ht="26.25" customHeight="1"/>
    <row r="53917" ht="26.25" customHeight="1"/>
    <row r="53918" ht="26.25" customHeight="1"/>
    <row r="53919" ht="26.25" customHeight="1"/>
    <row r="53920" ht="26.25" customHeight="1"/>
    <row r="53921" ht="26.25" customHeight="1"/>
    <row r="53922" ht="26.25" customHeight="1"/>
    <row r="53923" ht="26.25" customHeight="1"/>
    <row r="53924" ht="26.25" customHeight="1"/>
    <row r="53925" ht="26.25" customHeight="1"/>
    <row r="53926" ht="26.25" customHeight="1"/>
    <row r="53927" ht="26.25" customHeight="1"/>
    <row r="53928" ht="26.25" customHeight="1"/>
    <row r="53929" ht="26.25" customHeight="1"/>
    <row r="53930" ht="26.25" customHeight="1"/>
    <row r="53931" ht="26.25" customHeight="1"/>
    <row r="53932" ht="26.25" customHeight="1"/>
    <row r="53933" ht="26.25" customHeight="1"/>
    <row r="53934" ht="26.25" customHeight="1"/>
    <row r="53935" ht="26.25" customHeight="1"/>
    <row r="53936" ht="26.25" customHeight="1"/>
    <row r="53937" ht="26.25" customHeight="1"/>
    <row r="53938" ht="26.25" customHeight="1"/>
    <row r="53939" ht="26.25" customHeight="1"/>
    <row r="53940" ht="26.25" customHeight="1"/>
    <row r="53941" ht="26.25" customHeight="1"/>
    <row r="53942" ht="26.25" customHeight="1"/>
    <row r="53943" ht="26.25" customHeight="1"/>
    <row r="53944" ht="26.25" customHeight="1"/>
    <row r="53945" ht="26.25" customHeight="1"/>
    <row r="53946" ht="26.25" customHeight="1"/>
    <row r="53947" ht="26.25" customHeight="1"/>
    <row r="53948" ht="26.25" customHeight="1"/>
    <row r="53949" ht="26.25" customHeight="1"/>
    <row r="53950" ht="26.25" customHeight="1"/>
    <row r="53951" ht="26.25" customHeight="1"/>
    <row r="53952" ht="26.25" customHeight="1"/>
    <row r="53953" ht="26.25" customHeight="1"/>
    <row r="53954" ht="26.25" customHeight="1"/>
    <row r="53955" ht="26.25" customHeight="1"/>
    <row r="53956" ht="26.25" customHeight="1"/>
    <row r="53957" ht="26.25" customHeight="1"/>
    <row r="53958" ht="26.25" customHeight="1"/>
    <row r="53959" ht="26.25" customHeight="1"/>
    <row r="53960" ht="26.25" customHeight="1"/>
    <row r="53961" ht="26.25" customHeight="1"/>
    <row r="53962" ht="26.25" customHeight="1"/>
    <row r="53963" ht="26.25" customHeight="1"/>
    <row r="53964" ht="26.25" customHeight="1"/>
    <row r="53965" ht="26.25" customHeight="1"/>
    <row r="53966" ht="26.25" customHeight="1"/>
    <row r="53967" ht="26.25" customHeight="1"/>
    <row r="53968" ht="26.25" customHeight="1"/>
    <row r="53969" ht="26.25" customHeight="1"/>
    <row r="53970" ht="26.25" customHeight="1"/>
    <row r="53971" ht="26.25" customHeight="1"/>
    <row r="53972" ht="26.25" customHeight="1"/>
    <row r="53973" ht="26.25" customHeight="1"/>
    <row r="53974" ht="26.25" customHeight="1"/>
    <row r="53975" ht="26.25" customHeight="1"/>
    <row r="53976" ht="26.25" customHeight="1"/>
    <row r="53977" ht="26.25" customHeight="1"/>
    <row r="53978" ht="26.25" customHeight="1"/>
    <row r="53979" ht="26.25" customHeight="1"/>
    <row r="53980" ht="26.25" customHeight="1"/>
    <row r="53981" ht="26.25" customHeight="1"/>
    <row r="53982" ht="26.25" customHeight="1"/>
    <row r="53983" ht="26.25" customHeight="1"/>
    <row r="53984" ht="26.25" customHeight="1"/>
    <row r="53985" ht="26.25" customHeight="1"/>
    <row r="53986" ht="26.25" customHeight="1"/>
    <row r="53987" ht="26.25" customHeight="1"/>
    <row r="53988" ht="26.25" customHeight="1"/>
    <row r="53989" ht="26.25" customHeight="1"/>
    <row r="53990" ht="26.25" customHeight="1"/>
    <row r="53991" ht="26.25" customHeight="1"/>
    <row r="53992" ht="26.25" customHeight="1"/>
    <row r="53993" ht="26.25" customHeight="1"/>
    <row r="53994" ht="26.25" customHeight="1"/>
    <row r="53995" ht="26.25" customHeight="1"/>
    <row r="53996" ht="26.25" customHeight="1"/>
    <row r="53997" ht="26.25" customHeight="1"/>
    <row r="53998" ht="26.25" customHeight="1"/>
    <row r="53999" ht="26.25" customHeight="1"/>
    <row r="54000" ht="26.25" customHeight="1"/>
    <row r="54001" ht="26.25" customHeight="1"/>
    <row r="54002" ht="26.25" customHeight="1"/>
    <row r="54003" ht="26.25" customHeight="1"/>
    <row r="54004" ht="26.25" customHeight="1"/>
    <row r="54005" ht="26.25" customHeight="1"/>
    <row r="54006" ht="26.25" customHeight="1"/>
    <row r="54007" ht="26.25" customHeight="1"/>
    <row r="54008" ht="26.25" customHeight="1"/>
    <row r="54009" ht="26.25" customHeight="1"/>
    <row r="54010" ht="26.25" customHeight="1"/>
    <row r="54011" ht="26.25" customHeight="1"/>
    <row r="54012" ht="26.25" customHeight="1"/>
    <row r="54013" ht="26.25" customHeight="1"/>
    <row r="54014" ht="26.25" customHeight="1"/>
    <row r="54015" ht="26.25" customHeight="1"/>
    <row r="54016" ht="26.25" customHeight="1"/>
    <row r="54017" ht="26.25" customHeight="1"/>
    <row r="54018" ht="26.25" customHeight="1"/>
    <row r="54019" ht="26.25" customHeight="1"/>
    <row r="54020" ht="26.25" customHeight="1"/>
    <row r="54021" ht="26.25" customHeight="1"/>
    <row r="54022" ht="26.25" customHeight="1"/>
    <row r="54023" ht="26.25" customHeight="1"/>
    <row r="54024" ht="26.25" customHeight="1"/>
    <row r="54025" ht="26.25" customHeight="1"/>
    <row r="54026" ht="26.25" customHeight="1"/>
    <row r="54027" ht="26.25" customHeight="1"/>
    <row r="54028" ht="26.25" customHeight="1"/>
    <row r="54029" ht="26.25" customHeight="1"/>
    <row r="54030" ht="26.25" customHeight="1"/>
    <row r="54031" ht="26.25" customHeight="1"/>
    <row r="54032" ht="26.25" customHeight="1"/>
    <row r="54033" ht="26.25" customHeight="1"/>
    <row r="54034" ht="26.25" customHeight="1"/>
    <row r="54035" ht="26.25" customHeight="1"/>
    <row r="54036" ht="26.25" customHeight="1"/>
    <row r="54037" ht="26.25" customHeight="1"/>
    <row r="54038" ht="26.25" customHeight="1"/>
    <row r="54039" ht="26.25" customHeight="1"/>
    <row r="54040" ht="26.25" customHeight="1"/>
    <row r="54041" ht="26.25" customHeight="1"/>
    <row r="54042" ht="26.25" customHeight="1"/>
    <row r="54043" ht="26.25" customHeight="1"/>
    <row r="54044" ht="26.25" customHeight="1"/>
    <row r="54045" ht="26.25" customHeight="1"/>
    <row r="54046" ht="26.25" customHeight="1"/>
    <row r="54047" ht="26.25" customHeight="1"/>
    <row r="54048" ht="26.25" customHeight="1"/>
    <row r="54049" ht="26.25" customHeight="1"/>
    <row r="54050" ht="26.25" customHeight="1"/>
    <row r="54051" ht="26.25" customHeight="1"/>
    <row r="54052" ht="26.25" customHeight="1"/>
    <row r="54053" ht="26.25" customHeight="1"/>
    <row r="54054" ht="26.25" customHeight="1"/>
    <row r="54055" ht="26.25" customHeight="1"/>
    <row r="54056" ht="26.25" customHeight="1"/>
    <row r="54057" ht="26.25" customHeight="1"/>
    <row r="54058" ht="26.25" customHeight="1"/>
    <row r="54059" ht="26.25" customHeight="1"/>
    <row r="54060" ht="26.25" customHeight="1"/>
    <row r="54061" ht="26.25" customHeight="1"/>
    <row r="54062" ht="26.25" customHeight="1"/>
    <row r="54063" ht="26.25" customHeight="1"/>
    <row r="54064" ht="26.25" customHeight="1"/>
    <row r="54065" ht="26.25" customHeight="1"/>
    <row r="54066" ht="26.25" customHeight="1"/>
    <row r="54067" ht="26.25" customHeight="1"/>
    <row r="54068" ht="26.25" customHeight="1"/>
    <row r="54069" ht="26.25" customHeight="1"/>
    <row r="54070" ht="26.25" customHeight="1"/>
    <row r="54071" ht="26.25" customHeight="1"/>
    <row r="54072" ht="26.25" customHeight="1"/>
    <row r="54073" ht="26.25" customHeight="1"/>
    <row r="54074" ht="26.25" customHeight="1"/>
    <row r="54075" ht="26.25" customHeight="1"/>
    <row r="54076" ht="26.25" customHeight="1"/>
    <row r="54077" ht="26.25" customHeight="1"/>
    <row r="54078" ht="26.25" customHeight="1"/>
    <row r="54079" ht="26.25" customHeight="1"/>
    <row r="54080" ht="26.25" customHeight="1"/>
    <row r="54081" ht="26.25" customHeight="1"/>
    <row r="54082" ht="26.25" customHeight="1"/>
    <row r="54083" ht="26.25" customHeight="1"/>
    <row r="54084" ht="26.25" customHeight="1"/>
    <row r="54085" ht="26.25" customHeight="1"/>
    <row r="54086" ht="26.25" customHeight="1"/>
    <row r="54087" ht="26.25" customHeight="1"/>
    <row r="54088" ht="26.25" customHeight="1"/>
    <row r="54089" ht="26.25" customHeight="1"/>
    <row r="54090" ht="26.25" customHeight="1"/>
    <row r="54091" ht="26.25" customHeight="1"/>
    <row r="54092" ht="26.25" customHeight="1"/>
    <row r="54093" ht="26.25" customHeight="1"/>
    <row r="54094" ht="26.25" customHeight="1"/>
    <row r="54095" ht="26.25" customHeight="1"/>
    <row r="54096" ht="26.25" customHeight="1"/>
    <row r="54097" ht="26.25" customHeight="1"/>
    <row r="54098" ht="26.25" customHeight="1"/>
    <row r="54099" ht="26.25" customHeight="1"/>
    <row r="54100" ht="26.25" customHeight="1"/>
    <row r="54101" ht="26.25" customHeight="1"/>
    <row r="54102" ht="26.25" customHeight="1"/>
    <row r="54103" ht="26.25" customHeight="1"/>
    <row r="54104" ht="26.25" customHeight="1"/>
    <row r="54105" ht="26.25" customHeight="1"/>
    <row r="54106" ht="26.25" customHeight="1"/>
    <row r="54107" ht="26.25" customHeight="1"/>
    <row r="54108" ht="26.25" customHeight="1"/>
    <row r="54109" ht="26.25" customHeight="1"/>
    <row r="54110" ht="26.25" customHeight="1"/>
    <row r="54111" ht="26.25" customHeight="1"/>
    <row r="54112" ht="26.25" customHeight="1"/>
    <row r="54113" ht="26.25" customHeight="1"/>
    <row r="54114" ht="26.25" customHeight="1"/>
    <row r="54115" ht="26.25" customHeight="1"/>
    <row r="54116" ht="26.25" customHeight="1"/>
    <row r="54117" ht="26.25" customHeight="1"/>
    <row r="54118" ht="26.25" customHeight="1"/>
    <row r="54119" ht="26.25" customHeight="1"/>
    <row r="54120" ht="26.25" customHeight="1"/>
    <row r="54121" ht="26.25" customHeight="1"/>
    <row r="54122" ht="26.25" customHeight="1"/>
    <row r="54123" ht="26.25" customHeight="1"/>
    <row r="54124" ht="26.25" customHeight="1"/>
    <row r="54125" ht="26.25" customHeight="1"/>
    <row r="54126" ht="26.25" customHeight="1"/>
    <row r="54127" ht="26.25" customHeight="1"/>
    <row r="54128" ht="26.25" customHeight="1"/>
    <row r="54129" ht="26.25" customHeight="1"/>
    <row r="54130" ht="26.25" customHeight="1"/>
    <row r="54131" ht="26.25" customHeight="1"/>
    <row r="54132" ht="26.25" customHeight="1"/>
    <row r="54133" ht="26.25" customHeight="1"/>
    <row r="54134" ht="26.25" customHeight="1"/>
    <row r="54135" ht="26.25" customHeight="1"/>
    <row r="54136" ht="26.25" customHeight="1"/>
    <row r="54137" ht="26.25" customHeight="1"/>
    <row r="54138" ht="26.25" customHeight="1"/>
    <row r="54139" ht="26.25" customHeight="1"/>
    <row r="54140" ht="26.25" customHeight="1"/>
    <row r="54141" ht="26.25" customHeight="1"/>
    <row r="54142" ht="26.25" customHeight="1"/>
    <row r="54143" ht="26.25" customHeight="1"/>
    <row r="54144" ht="26.25" customHeight="1"/>
    <row r="54145" ht="26.25" customHeight="1"/>
    <row r="54146" ht="26.25" customHeight="1"/>
    <row r="54147" ht="26.25" customHeight="1"/>
    <row r="54148" ht="26.25" customHeight="1"/>
    <row r="54149" ht="26.25" customHeight="1"/>
    <row r="54150" ht="26.25" customHeight="1"/>
    <row r="54151" ht="26.25" customHeight="1"/>
    <row r="54152" ht="26.25" customHeight="1"/>
    <row r="54153" ht="26.25" customHeight="1"/>
    <row r="54154" ht="26.25" customHeight="1"/>
    <row r="54155" ht="26.25" customHeight="1"/>
    <row r="54156" ht="26.25" customHeight="1"/>
    <row r="54157" ht="26.25" customHeight="1"/>
    <row r="54158" ht="26.25" customHeight="1"/>
    <row r="54159" ht="26.25" customHeight="1"/>
    <row r="54160" ht="26.25" customHeight="1"/>
    <row r="54161" ht="26.25" customHeight="1"/>
    <row r="54162" ht="26.25" customHeight="1"/>
    <row r="54163" ht="26.25" customHeight="1"/>
    <row r="54164" ht="26.25" customHeight="1"/>
    <row r="54165" ht="26.25" customHeight="1"/>
    <row r="54166" ht="26.25" customHeight="1"/>
    <row r="54167" ht="26.25" customHeight="1"/>
    <row r="54168" ht="26.25" customHeight="1"/>
    <row r="54169" ht="26.25" customHeight="1"/>
    <row r="54170" ht="26.25" customHeight="1"/>
    <row r="54171" ht="26.25" customHeight="1"/>
    <row r="54172" ht="26.25" customHeight="1"/>
    <row r="54173" ht="26.25" customHeight="1"/>
    <row r="54174" ht="26.25" customHeight="1"/>
    <row r="54175" ht="26.25" customHeight="1"/>
    <row r="54176" ht="26.25" customHeight="1"/>
    <row r="54177" ht="26.25" customHeight="1"/>
    <row r="54178" ht="26.25" customHeight="1"/>
    <row r="54179" ht="26.25" customHeight="1"/>
    <row r="54180" ht="26.25" customHeight="1"/>
    <row r="54181" ht="26.25" customHeight="1"/>
    <row r="54182" ht="26.25" customHeight="1"/>
    <row r="54183" ht="26.25" customHeight="1"/>
    <row r="54184" ht="26.25" customHeight="1"/>
    <row r="54185" ht="26.25" customHeight="1"/>
    <row r="54186" ht="26.25" customHeight="1"/>
    <row r="54187" ht="26.25" customHeight="1"/>
    <row r="54188" ht="26.25" customHeight="1"/>
    <row r="54189" ht="26.25" customHeight="1"/>
    <row r="54190" ht="26.25" customHeight="1"/>
    <row r="54191" ht="26.25" customHeight="1"/>
    <row r="54192" ht="26.25" customHeight="1"/>
    <row r="54193" ht="26.25" customHeight="1"/>
    <row r="54194" ht="26.25" customHeight="1"/>
    <row r="54195" ht="26.25" customHeight="1"/>
    <row r="54196" ht="26.25" customHeight="1"/>
    <row r="54197" ht="26.25" customHeight="1"/>
    <row r="54198" ht="26.25" customHeight="1"/>
    <row r="54199" ht="26.25" customHeight="1"/>
    <row r="54200" ht="26.25" customHeight="1"/>
    <row r="54201" ht="26.25" customHeight="1"/>
    <row r="54202" ht="26.25" customHeight="1"/>
    <row r="54203" ht="26.25" customHeight="1"/>
    <row r="54204" ht="26.25" customHeight="1"/>
    <row r="54205" ht="26.25" customHeight="1"/>
    <row r="54206" ht="26.25" customHeight="1"/>
    <row r="54207" ht="26.25" customHeight="1"/>
    <row r="54208" ht="26.25" customHeight="1"/>
    <row r="54209" ht="26.25" customHeight="1"/>
    <row r="54210" ht="26.25" customHeight="1"/>
    <row r="54211" ht="26.25" customHeight="1"/>
    <row r="54212" ht="26.25" customHeight="1"/>
    <row r="54213" ht="26.25" customHeight="1"/>
    <row r="54214" ht="26.25" customHeight="1"/>
    <row r="54215" ht="26.25" customHeight="1"/>
    <row r="54216" ht="26.25" customHeight="1"/>
    <row r="54217" ht="26.25" customHeight="1"/>
    <row r="54218" ht="26.25" customHeight="1"/>
    <row r="54219" ht="26.25" customHeight="1"/>
    <row r="54220" ht="26.25" customHeight="1"/>
    <row r="54221" ht="26.25" customHeight="1"/>
    <row r="54222" ht="26.25" customHeight="1"/>
    <row r="54223" ht="26.25" customHeight="1"/>
    <row r="54224" ht="26.25" customHeight="1"/>
    <row r="54225" ht="26.25" customHeight="1"/>
    <row r="54226" ht="26.25" customHeight="1"/>
    <row r="54227" ht="26.25" customHeight="1"/>
    <row r="54228" ht="26.25" customHeight="1"/>
    <row r="54229" ht="26.25" customHeight="1"/>
    <row r="54230" ht="26.25" customHeight="1"/>
    <row r="54231" ht="26.25" customHeight="1"/>
    <row r="54232" ht="26.25" customHeight="1"/>
    <row r="54233" ht="26.25" customHeight="1"/>
    <row r="54234" ht="26.25" customHeight="1"/>
    <row r="54235" ht="26.25" customHeight="1"/>
    <row r="54236" ht="26.25" customHeight="1"/>
    <row r="54237" ht="26.25" customHeight="1"/>
    <row r="54238" ht="26.25" customHeight="1"/>
    <row r="54239" ht="26.25" customHeight="1"/>
    <row r="54240" ht="26.25" customHeight="1"/>
    <row r="54241" ht="26.25" customHeight="1"/>
    <row r="54242" ht="26.25" customHeight="1"/>
    <row r="54243" ht="26.25" customHeight="1"/>
    <row r="54244" ht="26.25" customHeight="1"/>
    <row r="54245" ht="26.25" customHeight="1"/>
    <row r="54246" ht="26.25" customHeight="1"/>
    <row r="54247" ht="26.25" customHeight="1"/>
    <row r="54248" ht="26.25" customHeight="1"/>
    <row r="54249" ht="26.25" customHeight="1"/>
    <row r="54250" ht="26.25" customHeight="1"/>
    <row r="54251" ht="26.25" customHeight="1"/>
    <row r="54252" ht="26.25" customHeight="1"/>
    <row r="54253" ht="26.25" customHeight="1"/>
    <row r="54254" ht="26.25" customHeight="1"/>
    <row r="54255" ht="26.25" customHeight="1"/>
    <row r="54256" ht="26.25" customHeight="1"/>
    <row r="54257" ht="26.25" customHeight="1"/>
    <row r="54258" ht="26.25" customHeight="1"/>
    <row r="54259" ht="26.25" customHeight="1"/>
    <row r="54260" ht="26.25" customHeight="1"/>
    <row r="54261" ht="26.25" customHeight="1"/>
    <row r="54262" ht="26.25" customHeight="1"/>
    <row r="54263" ht="26.25" customHeight="1"/>
    <row r="54264" ht="26.25" customHeight="1"/>
    <row r="54265" ht="26.25" customHeight="1"/>
    <row r="54266" ht="26.25" customHeight="1"/>
    <row r="54267" ht="26.25" customHeight="1"/>
    <row r="54268" ht="26.25" customHeight="1"/>
    <row r="54269" ht="26.25" customHeight="1"/>
    <row r="54270" ht="26.25" customHeight="1"/>
    <row r="54271" ht="26.25" customHeight="1"/>
    <row r="54272" ht="26.25" customHeight="1"/>
    <row r="54273" ht="26.25" customHeight="1"/>
    <row r="54274" ht="26.25" customHeight="1"/>
    <row r="54275" ht="26.25" customHeight="1"/>
    <row r="54276" ht="26.25" customHeight="1"/>
    <row r="54277" ht="26.25" customHeight="1"/>
    <row r="54278" ht="26.25" customHeight="1"/>
    <row r="54279" ht="26.25" customHeight="1"/>
    <row r="54280" ht="26.25" customHeight="1"/>
    <row r="54281" ht="26.25" customHeight="1"/>
    <row r="54282" ht="26.25" customHeight="1"/>
    <row r="54283" ht="26.25" customHeight="1"/>
    <row r="54284" ht="26.25" customHeight="1"/>
    <row r="54285" ht="26.25" customHeight="1"/>
    <row r="54286" ht="26.25" customHeight="1"/>
    <row r="54287" ht="26.25" customHeight="1"/>
    <row r="54288" ht="26.25" customHeight="1"/>
    <row r="54289" ht="26.25" customHeight="1"/>
    <row r="54290" ht="26.25" customHeight="1"/>
    <row r="54291" ht="26.25" customHeight="1"/>
    <row r="54292" ht="26.25" customHeight="1"/>
    <row r="54293" ht="26.25" customHeight="1"/>
    <row r="54294" ht="26.25" customHeight="1"/>
    <row r="54295" ht="26.25" customHeight="1"/>
    <row r="54296" ht="26.25" customHeight="1"/>
    <row r="54297" ht="26.25" customHeight="1"/>
    <row r="54298" ht="26.25" customHeight="1"/>
    <row r="54299" ht="26.25" customHeight="1"/>
    <row r="54300" ht="26.25" customHeight="1"/>
    <row r="54301" ht="26.25" customHeight="1"/>
    <row r="54302" ht="26.25" customHeight="1"/>
    <row r="54303" ht="26.25" customHeight="1"/>
    <row r="54304" ht="26.25" customHeight="1"/>
    <row r="54305" ht="26.25" customHeight="1"/>
    <row r="54306" ht="26.25" customHeight="1"/>
    <row r="54307" ht="26.25" customHeight="1"/>
    <row r="54308" ht="26.25" customHeight="1"/>
    <row r="54309" ht="26.25" customHeight="1"/>
    <row r="54310" ht="26.25" customHeight="1"/>
    <row r="54311" ht="26.25" customHeight="1"/>
    <row r="54312" ht="26.25" customHeight="1"/>
    <row r="54313" ht="26.25" customHeight="1"/>
    <row r="54314" ht="26.25" customHeight="1"/>
    <row r="54315" ht="26.25" customHeight="1"/>
    <row r="54316" ht="26.25" customHeight="1"/>
    <row r="54317" ht="26.25" customHeight="1"/>
    <row r="54318" ht="26.25" customHeight="1"/>
    <row r="54319" ht="26.25" customHeight="1"/>
    <row r="54320" ht="26.25" customHeight="1"/>
    <row r="54321" ht="26.25" customHeight="1"/>
    <row r="54322" ht="26.25" customHeight="1"/>
    <row r="54323" ht="26.25" customHeight="1"/>
    <row r="54324" ht="26.25" customHeight="1"/>
    <row r="54325" ht="26.25" customHeight="1"/>
    <row r="54326" ht="26.25" customHeight="1"/>
    <row r="54327" ht="26.25" customHeight="1"/>
    <row r="54328" ht="26.25" customHeight="1"/>
    <row r="54329" ht="26.25" customHeight="1"/>
    <row r="54330" ht="26.25" customHeight="1"/>
    <row r="54331" ht="26.25" customHeight="1"/>
    <row r="54332" ht="26.25" customHeight="1"/>
    <row r="54333" ht="26.25" customHeight="1"/>
    <row r="54334" ht="26.25" customHeight="1"/>
    <row r="54335" ht="26.25" customHeight="1"/>
    <row r="54336" ht="26.25" customHeight="1"/>
    <row r="54337" ht="26.25" customHeight="1"/>
    <row r="54338" ht="26.25" customHeight="1"/>
    <row r="54339" ht="26.25" customHeight="1"/>
    <row r="54340" ht="26.25" customHeight="1"/>
    <row r="54341" ht="26.25" customHeight="1"/>
    <row r="54342" ht="26.25" customHeight="1"/>
    <row r="54343" ht="26.25" customHeight="1"/>
    <row r="54344" ht="26.25" customHeight="1"/>
    <row r="54345" ht="26.25" customHeight="1"/>
    <row r="54346" ht="26.25" customHeight="1"/>
    <row r="54347" ht="26.25" customHeight="1"/>
    <row r="54348" ht="26.25" customHeight="1"/>
    <row r="54349" ht="26.25" customHeight="1"/>
    <row r="54350" ht="26.25" customHeight="1"/>
    <row r="54351" ht="26.25" customHeight="1"/>
    <row r="54352" ht="26.25" customHeight="1"/>
    <row r="54353" ht="26.25" customHeight="1"/>
    <row r="54354" ht="26.25" customHeight="1"/>
    <row r="54355" ht="26.25" customHeight="1"/>
    <row r="54356" ht="26.25" customHeight="1"/>
    <row r="54357" ht="26.25" customHeight="1"/>
    <row r="54358" ht="26.25" customHeight="1"/>
    <row r="54359" ht="26.25" customHeight="1"/>
    <row r="54360" ht="26.25" customHeight="1"/>
    <row r="54361" ht="26.25" customHeight="1"/>
    <row r="54362" ht="26.25" customHeight="1"/>
    <row r="54363" ht="26.25" customHeight="1"/>
    <row r="54364" ht="26.25" customHeight="1"/>
    <row r="54365" ht="26.25" customHeight="1"/>
    <row r="54366" ht="26.25" customHeight="1"/>
    <row r="54367" ht="26.25" customHeight="1"/>
    <row r="54368" ht="26.25" customHeight="1"/>
    <row r="54369" ht="26.25" customHeight="1"/>
    <row r="54370" ht="26.25" customHeight="1"/>
    <row r="54371" ht="26.25" customHeight="1"/>
    <row r="54372" ht="26.25" customHeight="1"/>
    <row r="54373" ht="26.25" customHeight="1"/>
    <row r="54374" ht="26.25" customHeight="1"/>
    <row r="54375" ht="26.25" customHeight="1"/>
    <row r="54376" ht="26.25" customHeight="1"/>
    <row r="54377" ht="26.25" customHeight="1"/>
    <row r="54378" ht="26.25" customHeight="1"/>
    <row r="54379" ht="26.25" customHeight="1"/>
    <row r="54380" ht="26.25" customHeight="1"/>
    <row r="54381" ht="26.25" customHeight="1"/>
    <row r="54382" ht="26.25" customHeight="1"/>
    <row r="54383" ht="26.25" customHeight="1"/>
    <row r="54384" ht="26.25" customHeight="1"/>
    <row r="54385" ht="26.25" customHeight="1"/>
    <row r="54386" ht="26.25" customHeight="1"/>
    <row r="54387" ht="26.25" customHeight="1"/>
    <row r="54388" ht="26.25" customHeight="1"/>
    <row r="54389" ht="26.25" customHeight="1"/>
    <row r="54390" ht="26.25" customHeight="1"/>
    <row r="54391" ht="26.25" customHeight="1"/>
    <row r="54392" ht="26.25" customHeight="1"/>
    <row r="54393" ht="26.25" customHeight="1"/>
    <row r="54394" ht="26.25" customHeight="1"/>
    <row r="54395" ht="26.25" customHeight="1"/>
    <row r="54396" ht="26.25" customHeight="1"/>
    <row r="54397" ht="26.25" customHeight="1"/>
    <row r="54398" ht="26.25" customHeight="1"/>
    <row r="54399" ht="26.25" customHeight="1"/>
    <row r="54400" ht="26.25" customHeight="1"/>
    <row r="54401" ht="26.25" customHeight="1"/>
    <row r="54402" ht="26.25" customHeight="1"/>
    <row r="54403" ht="26.25" customHeight="1"/>
    <row r="54404" ht="26.25" customHeight="1"/>
    <row r="54405" ht="26.25" customHeight="1"/>
    <row r="54406" ht="26.25" customHeight="1"/>
    <row r="54407" ht="26.25" customHeight="1"/>
    <row r="54408" ht="26.25" customHeight="1"/>
    <row r="54409" ht="26.25" customHeight="1"/>
    <row r="54410" ht="26.25" customHeight="1"/>
    <row r="54411" ht="26.25" customHeight="1"/>
    <row r="54412" ht="26.25" customHeight="1"/>
    <row r="54413" ht="26.25" customHeight="1"/>
    <row r="54414" ht="26.25" customHeight="1"/>
    <row r="54415" ht="26.25" customHeight="1"/>
    <row r="54416" ht="26.25" customHeight="1"/>
    <row r="54417" ht="26.25" customHeight="1"/>
    <row r="54418" ht="26.25" customHeight="1"/>
    <row r="54419" ht="26.25" customHeight="1"/>
    <row r="54420" ht="26.25" customHeight="1"/>
    <row r="54421" ht="26.25" customHeight="1"/>
    <row r="54422" ht="26.25" customHeight="1"/>
    <row r="54423" ht="26.25" customHeight="1"/>
    <row r="54424" ht="26.25" customHeight="1"/>
    <row r="54425" ht="26.25" customHeight="1"/>
    <row r="54426" ht="26.25" customHeight="1"/>
    <row r="54427" ht="26.25" customHeight="1"/>
    <row r="54428" ht="26.25" customHeight="1"/>
    <row r="54429" ht="26.25" customHeight="1"/>
    <row r="54430" ht="26.25" customHeight="1"/>
    <row r="54431" ht="26.25" customHeight="1"/>
    <row r="54432" ht="26.25" customHeight="1"/>
    <row r="54433" ht="26.25" customHeight="1"/>
    <row r="54434" ht="26.25" customHeight="1"/>
    <row r="54435" ht="26.25" customHeight="1"/>
    <row r="54436" ht="26.25" customHeight="1"/>
    <row r="54437" ht="26.25" customHeight="1"/>
    <row r="54438" ht="26.25" customHeight="1"/>
    <row r="54439" ht="26.25" customHeight="1"/>
    <row r="54440" ht="26.25" customHeight="1"/>
    <row r="54441" ht="26.25" customHeight="1"/>
    <row r="54442" ht="26.25" customHeight="1"/>
    <row r="54443" ht="26.25" customHeight="1"/>
    <row r="54444" ht="26.25" customHeight="1"/>
    <row r="54445" ht="26.25" customHeight="1"/>
    <row r="54446" ht="26.25" customHeight="1"/>
    <row r="54447" ht="26.25" customHeight="1"/>
    <row r="54448" ht="26.25" customHeight="1"/>
    <row r="54449" ht="26.25" customHeight="1"/>
    <row r="54450" ht="26.25" customHeight="1"/>
    <row r="54451" ht="26.25" customHeight="1"/>
    <row r="54452" ht="26.25" customHeight="1"/>
    <row r="54453" ht="26.25" customHeight="1"/>
    <row r="54454" ht="26.25" customHeight="1"/>
    <row r="54455" ht="26.25" customHeight="1"/>
    <row r="54456" ht="26.25" customHeight="1"/>
    <row r="54457" ht="26.25" customHeight="1"/>
    <row r="54458" ht="26.25" customHeight="1"/>
    <row r="54459" ht="26.25" customHeight="1"/>
    <row r="54460" ht="26.25" customHeight="1"/>
    <row r="54461" ht="26.25" customHeight="1"/>
    <row r="54462" ht="26.25" customHeight="1"/>
    <row r="54463" ht="26.25" customHeight="1"/>
    <row r="54464" ht="26.25" customHeight="1"/>
    <row r="54465" ht="26.25" customHeight="1"/>
    <row r="54466" ht="26.25" customHeight="1"/>
    <row r="54467" ht="26.25" customHeight="1"/>
    <row r="54468" ht="26.25" customHeight="1"/>
    <row r="54469" ht="26.25" customHeight="1"/>
    <row r="54470" ht="26.25" customHeight="1"/>
    <row r="54471" ht="26.25" customHeight="1"/>
    <row r="54472" ht="26.25" customHeight="1"/>
    <row r="54473" ht="26.25" customHeight="1"/>
    <row r="54474" ht="26.25" customHeight="1"/>
    <row r="54475" ht="26.25" customHeight="1"/>
    <row r="54476" ht="26.25" customHeight="1"/>
    <row r="54477" ht="26.25" customHeight="1"/>
    <row r="54478" ht="26.25" customHeight="1"/>
    <row r="54479" ht="26.25" customHeight="1"/>
    <row r="54480" ht="26.25" customHeight="1"/>
    <row r="54481" ht="26.25" customHeight="1"/>
    <row r="54482" ht="26.25" customHeight="1"/>
    <row r="54483" ht="26.25" customHeight="1"/>
    <row r="54484" ht="26.25" customHeight="1"/>
    <row r="54485" ht="26.25" customHeight="1"/>
    <row r="54486" ht="26.25" customHeight="1"/>
    <row r="54487" ht="26.25" customHeight="1"/>
    <row r="54488" ht="26.25" customHeight="1"/>
    <row r="54489" ht="26.25" customHeight="1"/>
    <row r="54490" ht="26.25" customHeight="1"/>
    <row r="54491" ht="26.25" customHeight="1"/>
    <row r="54492" ht="26.25" customHeight="1"/>
    <row r="54493" ht="26.25" customHeight="1"/>
    <row r="54494" ht="26.25" customHeight="1"/>
    <row r="54495" ht="26.25" customHeight="1"/>
    <row r="54496" ht="26.25" customHeight="1"/>
    <row r="54497" ht="26.25" customHeight="1"/>
    <row r="54498" ht="26.25" customHeight="1"/>
    <row r="54499" ht="26.25" customHeight="1"/>
    <row r="54500" ht="26.25" customHeight="1"/>
    <row r="54501" ht="26.25" customHeight="1"/>
    <row r="54502" ht="26.25" customHeight="1"/>
    <row r="54503" ht="26.25" customHeight="1"/>
    <row r="54504" ht="26.25" customHeight="1"/>
    <row r="54505" ht="26.25" customHeight="1"/>
    <row r="54506" ht="26.25" customHeight="1"/>
    <row r="54507" ht="26.25" customHeight="1"/>
    <row r="54508" ht="26.25" customHeight="1"/>
    <row r="54509" ht="26.25" customHeight="1"/>
    <row r="54510" ht="26.25" customHeight="1"/>
    <row r="54511" ht="26.25" customHeight="1"/>
    <row r="54512" ht="26.25" customHeight="1"/>
    <row r="54513" ht="26.25" customHeight="1"/>
    <row r="54514" ht="26.25" customHeight="1"/>
    <row r="54515" ht="26.25" customHeight="1"/>
    <row r="54516" ht="26.25" customHeight="1"/>
    <row r="54517" ht="26.25" customHeight="1"/>
    <row r="54518" ht="26.25" customHeight="1"/>
    <row r="54519" ht="26.25" customHeight="1"/>
    <row r="54520" ht="26.25" customHeight="1"/>
    <row r="54521" ht="26.25" customHeight="1"/>
    <row r="54522" ht="26.25" customHeight="1"/>
    <row r="54523" ht="26.25" customHeight="1"/>
    <row r="54524" ht="26.25" customHeight="1"/>
    <row r="54525" ht="26.25" customHeight="1"/>
    <row r="54526" ht="26.25" customHeight="1"/>
    <row r="54527" ht="26.25" customHeight="1"/>
    <row r="54528" ht="26.25" customHeight="1"/>
    <row r="54529" ht="26.25" customHeight="1"/>
    <row r="54530" ht="26.25" customHeight="1"/>
    <row r="54531" ht="26.25" customHeight="1"/>
    <row r="54532" ht="26.25" customHeight="1"/>
    <row r="54533" ht="26.25" customHeight="1"/>
    <row r="54534" ht="26.25" customHeight="1"/>
    <row r="54535" ht="26.25" customHeight="1"/>
    <row r="54536" ht="26.25" customHeight="1"/>
    <row r="54537" ht="26.25" customHeight="1"/>
    <row r="54538" ht="26.25" customHeight="1"/>
    <row r="54539" ht="26.25" customHeight="1"/>
    <row r="54540" ht="26.25" customHeight="1"/>
    <row r="54541" ht="26.25" customHeight="1"/>
    <row r="54542" ht="26.25" customHeight="1"/>
    <row r="54543" ht="26.25" customHeight="1"/>
    <row r="54544" ht="26.25" customHeight="1"/>
    <row r="54545" ht="26.25" customHeight="1"/>
    <row r="54546" ht="26.25" customHeight="1"/>
    <row r="54547" ht="26.25" customHeight="1"/>
    <row r="54548" ht="26.25" customHeight="1"/>
    <row r="54549" ht="26.25" customHeight="1"/>
    <row r="54550" ht="26.25" customHeight="1"/>
    <row r="54551" ht="26.25" customHeight="1"/>
    <row r="54552" ht="26.25" customHeight="1"/>
    <row r="54553" ht="26.25" customHeight="1"/>
    <row r="54554" ht="26.25" customHeight="1"/>
    <row r="54555" ht="26.25" customHeight="1"/>
    <row r="54556" ht="26.25" customHeight="1"/>
    <row r="54557" ht="26.25" customHeight="1"/>
    <row r="54558" ht="26.25" customHeight="1"/>
    <row r="54559" ht="26.25" customHeight="1"/>
    <row r="54560" ht="26.25" customHeight="1"/>
    <row r="54561" ht="26.25" customHeight="1"/>
    <row r="54562" ht="26.25" customHeight="1"/>
    <row r="54563" ht="26.25" customHeight="1"/>
    <row r="54564" ht="26.25" customHeight="1"/>
    <row r="54565" ht="26.25" customHeight="1"/>
    <row r="54566" ht="26.25" customHeight="1"/>
    <row r="54567" ht="26.25" customHeight="1"/>
    <row r="54568" ht="26.25" customHeight="1"/>
    <row r="54569" ht="26.25" customHeight="1"/>
    <row r="54570" ht="26.25" customHeight="1"/>
    <row r="54571" ht="26.25" customHeight="1"/>
    <row r="54572" ht="26.25" customHeight="1"/>
    <row r="54573" ht="26.25" customHeight="1"/>
    <row r="54574" ht="26.25" customHeight="1"/>
    <row r="54575" ht="26.25" customHeight="1"/>
    <row r="54576" ht="26.25" customHeight="1"/>
    <row r="54577" ht="26.25" customHeight="1"/>
    <row r="54578" ht="26.25" customHeight="1"/>
    <row r="54579" ht="26.25" customHeight="1"/>
    <row r="54580" ht="26.25" customHeight="1"/>
    <row r="54581" ht="26.25" customHeight="1"/>
    <row r="54582" ht="26.25" customHeight="1"/>
    <row r="54583" ht="26.25" customHeight="1"/>
    <row r="54584" ht="26.25" customHeight="1"/>
    <row r="54585" ht="26.25" customHeight="1"/>
    <row r="54586" ht="26.25" customHeight="1"/>
    <row r="54587" ht="26.25" customHeight="1"/>
    <row r="54588" ht="26.25" customHeight="1"/>
    <row r="54589" ht="26.25" customHeight="1"/>
    <row r="54590" ht="26.25" customHeight="1"/>
    <row r="54591" ht="26.25" customHeight="1"/>
    <row r="54592" ht="26.25" customHeight="1"/>
    <row r="54593" ht="26.25" customHeight="1"/>
    <row r="54594" ht="26.25" customHeight="1"/>
    <row r="54595" ht="26.25" customHeight="1"/>
    <row r="54596" ht="26.25" customHeight="1"/>
    <row r="54597" ht="26.25" customHeight="1"/>
    <row r="54598" ht="26.25" customHeight="1"/>
    <row r="54599" ht="26.25" customHeight="1"/>
    <row r="54600" ht="26.25" customHeight="1"/>
    <row r="54601" ht="26.25" customHeight="1"/>
    <row r="54602" ht="26.25" customHeight="1"/>
    <row r="54603" ht="26.25" customHeight="1"/>
    <row r="54604" ht="26.25" customHeight="1"/>
    <row r="54605" ht="26.25" customHeight="1"/>
    <row r="54606" ht="26.25" customHeight="1"/>
    <row r="54607" ht="26.25" customHeight="1"/>
    <row r="54608" ht="26.25" customHeight="1"/>
    <row r="54609" ht="26.25" customHeight="1"/>
    <row r="54610" ht="26.25" customHeight="1"/>
    <row r="54611" ht="26.25" customHeight="1"/>
    <row r="54612" ht="26.25" customHeight="1"/>
    <row r="54613" ht="26.25" customHeight="1"/>
    <row r="54614" ht="26.25" customHeight="1"/>
    <row r="54615" ht="26.25" customHeight="1"/>
    <row r="54616" ht="26.25" customHeight="1"/>
    <row r="54617" ht="26.25" customHeight="1"/>
    <row r="54618" ht="26.25" customHeight="1"/>
    <row r="54619" ht="26.25" customHeight="1"/>
    <row r="54620" ht="26.25" customHeight="1"/>
    <row r="54621" ht="26.25" customHeight="1"/>
    <row r="54622" ht="26.25" customHeight="1"/>
    <row r="54623" ht="26.25" customHeight="1"/>
    <row r="54624" ht="26.25" customHeight="1"/>
    <row r="54625" ht="26.25" customHeight="1"/>
    <row r="54626" ht="26.25" customHeight="1"/>
    <row r="54627" ht="26.25" customHeight="1"/>
    <row r="54628" ht="26.25" customHeight="1"/>
    <row r="54629" ht="26.25" customHeight="1"/>
    <row r="54630" ht="26.25" customHeight="1"/>
    <row r="54631" ht="26.25" customHeight="1"/>
    <row r="54632" ht="26.25" customHeight="1"/>
    <row r="54633" ht="26.25" customHeight="1"/>
    <row r="54634" ht="26.25" customHeight="1"/>
    <row r="54635" ht="26.25" customHeight="1"/>
    <row r="54636" ht="26.25" customHeight="1"/>
    <row r="54637" ht="26.25" customHeight="1"/>
    <row r="54638" ht="26.25" customHeight="1"/>
    <row r="54639" ht="26.25" customHeight="1"/>
    <row r="54640" ht="26.25" customHeight="1"/>
    <row r="54641" ht="26.25" customHeight="1"/>
    <row r="54642" ht="26.25" customHeight="1"/>
    <row r="54643" ht="26.25" customHeight="1"/>
    <row r="54644" ht="26.25" customHeight="1"/>
    <row r="54645" ht="26.25" customHeight="1"/>
    <row r="54646" ht="26.25" customHeight="1"/>
    <row r="54647" ht="26.25" customHeight="1"/>
    <row r="54648" ht="26.25" customHeight="1"/>
    <row r="54649" ht="26.25" customHeight="1"/>
    <row r="54650" ht="26.25" customHeight="1"/>
    <row r="54651" ht="26.25" customHeight="1"/>
    <row r="54652" ht="26.25" customHeight="1"/>
    <row r="54653" ht="26.25" customHeight="1"/>
    <row r="54654" ht="26.25" customHeight="1"/>
    <row r="54655" ht="26.25" customHeight="1"/>
    <row r="54656" ht="26.25" customHeight="1"/>
    <row r="54657" ht="26.25" customHeight="1"/>
    <row r="54658" ht="26.25" customHeight="1"/>
    <row r="54659" ht="26.25" customHeight="1"/>
    <row r="54660" ht="26.25" customHeight="1"/>
    <row r="54661" ht="26.25" customHeight="1"/>
    <row r="54662" ht="26.25" customHeight="1"/>
    <row r="54663" ht="26.25" customHeight="1"/>
    <row r="54664" ht="26.25" customHeight="1"/>
    <row r="54665" ht="26.25" customHeight="1"/>
    <row r="54666" ht="26.25" customHeight="1"/>
    <row r="54667" ht="26.25" customHeight="1"/>
    <row r="54668" ht="26.25" customHeight="1"/>
    <row r="54669" ht="26.25" customHeight="1"/>
    <row r="54670" ht="26.25" customHeight="1"/>
    <row r="54671" ht="26.25" customHeight="1"/>
    <row r="54672" ht="26.25" customHeight="1"/>
    <row r="54673" ht="26.25" customHeight="1"/>
    <row r="54674" ht="26.25" customHeight="1"/>
    <row r="54675" ht="26.25" customHeight="1"/>
    <row r="54676" ht="26.25" customHeight="1"/>
    <row r="54677" ht="26.25" customHeight="1"/>
    <row r="54678" ht="26.25" customHeight="1"/>
    <row r="54679" ht="26.25" customHeight="1"/>
    <row r="54680" ht="26.25" customHeight="1"/>
    <row r="54681" ht="26.25" customHeight="1"/>
    <row r="54682" ht="26.25" customHeight="1"/>
    <row r="54683" ht="26.25" customHeight="1"/>
    <row r="54684" ht="26.25" customHeight="1"/>
    <row r="54685" ht="26.25" customHeight="1"/>
    <row r="54686" ht="26.25" customHeight="1"/>
    <row r="54687" ht="26.25" customHeight="1"/>
    <row r="54688" ht="26.25" customHeight="1"/>
    <row r="54689" ht="26.25" customHeight="1"/>
    <row r="54690" ht="26.25" customHeight="1"/>
    <row r="54691" ht="26.25" customHeight="1"/>
    <row r="54692" ht="26.25" customHeight="1"/>
    <row r="54693" ht="26.25" customHeight="1"/>
    <row r="54694" ht="26.25" customHeight="1"/>
    <row r="54695" ht="26.25" customHeight="1"/>
    <row r="54696" ht="26.25" customHeight="1"/>
    <row r="54697" ht="26.25" customHeight="1"/>
    <row r="54698" ht="26.25" customHeight="1"/>
    <row r="54699" ht="26.25" customHeight="1"/>
    <row r="54700" ht="26.25" customHeight="1"/>
    <row r="54701" ht="26.25" customHeight="1"/>
    <row r="54702" ht="26.25" customHeight="1"/>
    <row r="54703" ht="26.25" customHeight="1"/>
    <row r="54704" ht="26.25" customHeight="1"/>
    <row r="54705" ht="26.25" customHeight="1"/>
    <row r="54706" ht="26.25" customHeight="1"/>
    <row r="54707" ht="26.25" customHeight="1"/>
    <row r="54708" ht="26.25" customHeight="1"/>
    <row r="54709" ht="26.25" customHeight="1"/>
    <row r="54710" ht="26.25" customHeight="1"/>
    <row r="54711" ht="26.25" customHeight="1"/>
    <row r="54712" ht="26.25" customHeight="1"/>
    <row r="54713" ht="26.25" customHeight="1"/>
    <row r="54714" ht="26.25" customHeight="1"/>
    <row r="54715" ht="26.25" customHeight="1"/>
    <row r="54716" ht="26.25" customHeight="1"/>
    <row r="54717" ht="26.25" customHeight="1"/>
    <row r="54718" ht="26.25" customHeight="1"/>
    <row r="54719" ht="26.25" customHeight="1"/>
    <row r="54720" ht="26.25" customHeight="1"/>
    <row r="54721" ht="26.25" customHeight="1"/>
    <row r="54722" ht="26.25" customHeight="1"/>
    <row r="54723" ht="26.25" customHeight="1"/>
    <row r="54724" ht="26.25" customHeight="1"/>
    <row r="54725" ht="26.25" customHeight="1"/>
    <row r="54726" ht="26.25" customHeight="1"/>
    <row r="54727" ht="26.25" customHeight="1"/>
    <row r="54728" ht="26.25" customHeight="1"/>
    <row r="54729" ht="26.25" customHeight="1"/>
    <row r="54730" ht="26.25" customHeight="1"/>
    <row r="54731" ht="26.25" customHeight="1"/>
    <row r="54732" ht="26.25" customHeight="1"/>
    <row r="54733" ht="26.25" customHeight="1"/>
    <row r="54734" ht="26.25" customHeight="1"/>
    <row r="54735" ht="26.25" customHeight="1"/>
    <row r="54736" ht="26.25" customHeight="1"/>
    <row r="54737" ht="26.25" customHeight="1"/>
    <row r="54738" ht="26.25" customHeight="1"/>
    <row r="54739" ht="26.25" customHeight="1"/>
    <row r="54740" ht="26.25" customHeight="1"/>
    <row r="54741" ht="26.25" customHeight="1"/>
    <row r="54742" ht="26.25" customHeight="1"/>
    <row r="54743" ht="26.25" customHeight="1"/>
    <row r="54744" ht="26.25" customHeight="1"/>
    <row r="54745" ht="26.25" customHeight="1"/>
    <row r="54746" ht="26.25" customHeight="1"/>
    <row r="54747" ht="26.25" customHeight="1"/>
    <row r="54748" ht="26.25" customHeight="1"/>
    <row r="54749" ht="26.25" customHeight="1"/>
    <row r="54750" ht="26.25" customHeight="1"/>
    <row r="54751" ht="26.25" customHeight="1"/>
    <row r="54752" ht="26.25" customHeight="1"/>
    <row r="54753" ht="26.25" customHeight="1"/>
    <row r="54754" ht="26.25" customHeight="1"/>
    <row r="54755" ht="26.25" customHeight="1"/>
    <row r="54756" ht="26.25" customHeight="1"/>
    <row r="54757" ht="26.25" customHeight="1"/>
    <row r="54758" ht="26.25" customHeight="1"/>
    <row r="54759" ht="26.25" customHeight="1"/>
    <row r="54760" ht="26.25" customHeight="1"/>
    <row r="54761" ht="26.25" customHeight="1"/>
    <row r="54762" ht="26.25" customHeight="1"/>
    <row r="54763" ht="26.25" customHeight="1"/>
    <row r="54764" ht="26.25" customHeight="1"/>
    <row r="54765" ht="26.25" customHeight="1"/>
    <row r="54766" ht="26.25" customHeight="1"/>
    <row r="54767" ht="26.25" customHeight="1"/>
    <row r="54768" ht="26.25" customHeight="1"/>
    <row r="54769" ht="26.25" customHeight="1"/>
    <row r="54770" ht="26.25" customHeight="1"/>
    <row r="54771" ht="26.25" customHeight="1"/>
    <row r="54772" ht="26.25" customHeight="1"/>
    <row r="54773" ht="26.25" customHeight="1"/>
    <row r="54774" ht="26.25" customHeight="1"/>
    <row r="54775" ht="26.25" customHeight="1"/>
    <row r="54776" ht="26.25" customHeight="1"/>
    <row r="54777" ht="26.25" customHeight="1"/>
    <row r="54778" ht="26.25" customHeight="1"/>
    <row r="54779" ht="26.25" customHeight="1"/>
    <row r="54780" ht="26.25" customHeight="1"/>
    <row r="54781" ht="26.25" customHeight="1"/>
    <row r="54782" ht="26.25" customHeight="1"/>
    <row r="54783" ht="26.25" customHeight="1"/>
    <row r="54784" ht="26.25" customHeight="1"/>
    <row r="54785" ht="26.25" customHeight="1"/>
    <row r="54786" ht="26.25" customHeight="1"/>
    <row r="54787" ht="26.25" customHeight="1"/>
    <row r="54788" ht="26.25" customHeight="1"/>
    <row r="54789" ht="26.25" customHeight="1"/>
    <row r="54790" ht="26.25" customHeight="1"/>
    <row r="54791" ht="26.25" customHeight="1"/>
    <row r="54792" ht="26.25" customHeight="1"/>
    <row r="54793" ht="26.25" customHeight="1"/>
    <row r="54794" ht="26.25" customHeight="1"/>
    <row r="54795" ht="26.25" customHeight="1"/>
    <row r="54796" ht="26.25" customHeight="1"/>
    <row r="54797" ht="26.25" customHeight="1"/>
    <row r="54798" ht="26.25" customHeight="1"/>
    <row r="54799" ht="26.25" customHeight="1"/>
    <row r="54800" ht="26.25" customHeight="1"/>
    <row r="54801" ht="26.25" customHeight="1"/>
    <row r="54802" ht="26.25" customHeight="1"/>
    <row r="54803" ht="26.25" customHeight="1"/>
    <row r="54804" ht="26.25" customHeight="1"/>
    <row r="54805" ht="26.25" customHeight="1"/>
    <row r="54806" ht="26.25" customHeight="1"/>
    <row r="54807" ht="26.25" customHeight="1"/>
    <row r="54808" ht="26.25" customHeight="1"/>
    <row r="54809" ht="26.25" customHeight="1"/>
    <row r="54810" ht="26.25" customHeight="1"/>
    <row r="54811" ht="26.25" customHeight="1"/>
    <row r="54812" ht="26.25" customHeight="1"/>
    <row r="54813" ht="26.25" customHeight="1"/>
    <row r="54814" ht="26.25" customHeight="1"/>
    <row r="54815" ht="26.25" customHeight="1"/>
    <row r="54816" ht="26.25" customHeight="1"/>
    <row r="54817" ht="26.25" customHeight="1"/>
    <row r="54818" ht="26.25" customHeight="1"/>
    <row r="54819" ht="26.25" customHeight="1"/>
    <row r="54820" ht="26.25" customHeight="1"/>
    <row r="54821" ht="26.25" customHeight="1"/>
    <row r="54822" ht="26.25" customHeight="1"/>
    <row r="54823" ht="26.25" customHeight="1"/>
    <row r="54824" ht="26.25" customHeight="1"/>
    <row r="54825" ht="26.25" customHeight="1"/>
    <row r="54826" ht="26.25" customHeight="1"/>
    <row r="54827" ht="26.25" customHeight="1"/>
    <row r="54828" ht="26.25" customHeight="1"/>
    <row r="54829" ht="26.25" customHeight="1"/>
    <row r="54830" ht="26.25" customHeight="1"/>
    <row r="54831" ht="26.25" customHeight="1"/>
    <row r="54832" ht="26.25" customHeight="1"/>
    <row r="54833" ht="26.25" customHeight="1"/>
    <row r="54834" ht="26.25" customHeight="1"/>
    <row r="54835" ht="26.25" customHeight="1"/>
    <row r="54836" ht="26.25" customHeight="1"/>
    <row r="54837" ht="26.25" customHeight="1"/>
    <row r="54838" ht="26.25" customHeight="1"/>
    <row r="54839" ht="26.25" customHeight="1"/>
    <row r="54840" ht="26.25" customHeight="1"/>
    <row r="54841" ht="26.25" customHeight="1"/>
    <row r="54842" ht="26.25" customHeight="1"/>
    <row r="54843" ht="26.25" customHeight="1"/>
    <row r="54844" ht="26.25" customHeight="1"/>
    <row r="54845" ht="26.25" customHeight="1"/>
    <row r="54846" ht="26.25" customHeight="1"/>
    <row r="54847" ht="26.25" customHeight="1"/>
    <row r="54848" ht="26.25" customHeight="1"/>
    <row r="54849" ht="26.25" customHeight="1"/>
    <row r="54850" ht="26.25" customHeight="1"/>
    <row r="54851" ht="26.25" customHeight="1"/>
    <row r="54852" ht="26.25" customHeight="1"/>
    <row r="54853" ht="26.25" customHeight="1"/>
    <row r="54854" ht="26.25" customHeight="1"/>
    <row r="54855" ht="26.25" customHeight="1"/>
    <row r="54856" ht="26.25" customHeight="1"/>
    <row r="54857" ht="26.25" customHeight="1"/>
    <row r="54858" ht="26.25" customHeight="1"/>
    <row r="54859" ht="26.25" customHeight="1"/>
    <row r="54860" ht="26.25" customHeight="1"/>
    <row r="54861" ht="26.25" customHeight="1"/>
    <row r="54862" ht="26.25" customHeight="1"/>
    <row r="54863" ht="26.25" customHeight="1"/>
    <row r="54864" ht="26.25" customHeight="1"/>
    <row r="54865" ht="26.25" customHeight="1"/>
    <row r="54866" ht="26.25" customHeight="1"/>
    <row r="54867" ht="26.25" customHeight="1"/>
    <row r="54868" ht="26.25" customHeight="1"/>
    <row r="54869" ht="26.25" customHeight="1"/>
    <row r="54870" ht="26.25" customHeight="1"/>
    <row r="54871" ht="26.25" customHeight="1"/>
    <row r="54872" ht="26.25" customHeight="1"/>
    <row r="54873" ht="26.25" customHeight="1"/>
    <row r="54874" ht="26.25" customHeight="1"/>
    <row r="54875" ht="26.25" customHeight="1"/>
    <row r="54876" ht="26.25" customHeight="1"/>
    <row r="54877" ht="26.25" customHeight="1"/>
    <row r="54878" ht="26.25" customHeight="1"/>
    <row r="54879" ht="26.25" customHeight="1"/>
    <row r="54880" ht="26.25" customHeight="1"/>
    <row r="54881" ht="26.25" customHeight="1"/>
    <row r="54882" ht="26.25" customHeight="1"/>
    <row r="54883" ht="26.25" customHeight="1"/>
    <row r="54884" ht="26.25" customHeight="1"/>
    <row r="54885" ht="26.25" customHeight="1"/>
    <row r="54886" ht="26.25" customHeight="1"/>
    <row r="54887" ht="26.25" customHeight="1"/>
    <row r="54888" ht="26.25" customHeight="1"/>
    <row r="54889" ht="26.25" customHeight="1"/>
    <row r="54890" ht="26.25" customHeight="1"/>
    <row r="54891" ht="26.25" customHeight="1"/>
    <row r="54892" ht="26.25" customHeight="1"/>
    <row r="54893" ht="26.25" customHeight="1"/>
    <row r="54894" ht="26.25" customHeight="1"/>
    <row r="54895" ht="26.25" customHeight="1"/>
    <row r="54896" ht="26.25" customHeight="1"/>
    <row r="54897" ht="26.25" customHeight="1"/>
    <row r="54898" ht="26.25" customHeight="1"/>
    <row r="54899" ht="26.25" customHeight="1"/>
    <row r="54900" ht="26.25" customHeight="1"/>
    <row r="54901" ht="26.25" customHeight="1"/>
    <row r="54902" ht="26.25" customHeight="1"/>
    <row r="54903" ht="26.25" customHeight="1"/>
    <row r="54904" ht="26.25" customHeight="1"/>
    <row r="54905" ht="26.25" customHeight="1"/>
    <row r="54906" ht="26.25" customHeight="1"/>
    <row r="54907" ht="26.25" customHeight="1"/>
    <row r="54908" ht="26.25" customHeight="1"/>
    <row r="54909" ht="26.25" customHeight="1"/>
    <row r="54910" ht="26.25" customHeight="1"/>
    <row r="54911" ht="26.25" customHeight="1"/>
    <row r="54912" ht="26.25" customHeight="1"/>
    <row r="54913" ht="26.25" customHeight="1"/>
    <row r="54914" ht="26.25" customHeight="1"/>
    <row r="54915" ht="26.25" customHeight="1"/>
    <row r="54916" ht="26.25" customHeight="1"/>
    <row r="54917" ht="26.25" customHeight="1"/>
    <row r="54918" ht="26.25" customHeight="1"/>
    <row r="54919" ht="26.25" customHeight="1"/>
    <row r="54920" ht="26.25" customHeight="1"/>
    <row r="54921" ht="26.25" customHeight="1"/>
    <row r="54922" ht="26.25" customHeight="1"/>
    <row r="54923" ht="26.25" customHeight="1"/>
    <row r="54924" ht="26.25" customHeight="1"/>
    <row r="54925" ht="26.25" customHeight="1"/>
    <row r="54926" ht="26.25" customHeight="1"/>
    <row r="54927" ht="26.25" customHeight="1"/>
    <row r="54928" ht="26.25" customHeight="1"/>
    <row r="54929" ht="26.25" customHeight="1"/>
    <row r="54930" ht="26.25" customHeight="1"/>
    <row r="54931" ht="26.25" customHeight="1"/>
    <row r="54932" ht="26.25" customHeight="1"/>
    <row r="54933" ht="26.25" customHeight="1"/>
    <row r="54934" ht="26.25" customHeight="1"/>
    <row r="54935" ht="26.25" customHeight="1"/>
    <row r="54936" ht="26.25" customHeight="1"/>
    <row r="54937" ht="26.25" customHeight="1"/>
    <row r="54938" ht="26.25" customHeight="1"/>
    <row r="54939" ht="26.25" customHeight="1"/>
    <row r="54940" ht="26.25" customHeight="1"/>
    <row r="54941" ht="26.25" customHeight="1"/>
    <row r="54942" ht="26.25" customHeight="1"/>
    <row r="54943" ht="26.25" customHeight="1"/>
    <row r="54944" ht="26.25" customHeight="1"/>
    <row r="54945" ht="26.25" customHeight="1"/>
    <row r="54946" ht="26.25" customHeight="1"/>
    <row r="54947" ht="26.25" customHeight="1"/>
    <row r="54948" ht="26.25" customHeight="1"/>
    <row r="54949" ht="26.25" customHeight="1"/>
    <row r="54950" ht="26.25" customHeight="1"/>
    <row r="54951" ht="26.25" customHeight="1"/>
    <row r="54952" ht="26.25" customHeight="1"/>
    <row r="54953" ht="26.25" customHeight="1"/>
    <row r="54954" ht="26.25" customHeight="1"/>
    <row r="54955" ht="26.25" customHeight="1"/>
    <row r="54956" ht="26.25" customHeight="1"/>
    <row r="54957" ht="26.25" customHeight="1"/>
    <row r="54958" ht="26.25" customHeight="1"/>
    <row r="54959" ht="26.25" customHeight="1"/>
    <row r="54960" ht="26.25" customHeight="1"/>
    <row r="54961" ht="26.25" customHeight="1"/>
    <row r="54962" ht="26.25" customHeight="1"/>
    <row r="54963" ht="26.25" customHeight="1"/>
    <row r="54964" ht="26.25" customHeight="1"/>
    <row r="54965" ht="26.25" customHeight="1"/>
    <row r="54966" ht="26.25" customHeight="1"/>
    <row r="54967" ht="26.25" customHeight="1"/>
    <row r="54968" ht="26.25" customHeight="1"/>
    <row r="54969" ht="26.25" customHeight="1"/>
    <row r="54970" ht="26.25" customHeight="1"/>
    <row r="54971" ht="26.25" customHeight="1"/>
    <row r="54972" ht="26.25" customHeight="1"/>
    <row r="54973" ht="26.25" customHeight="1"/>
    <row r="54974" ht="26.25" customHeight="1"/>
    <row r="54975" ht="26.25" customHeight="1"/>
    <row r="54976" ht="26.25" customHeight="1"/>
    <row r="54977" ht="26.25" customHeight="1"/>
    <row r="54978" ht="26.25" customHeight="1"/>
    <row r="54979" ht="26.25" customHeight="1"/>
    <row r="54980" ht="26.25" customHeight="1"/>
    <row r="54981" ht="26.25" customHeight="1"/>
    <row r="54982" ht="26.25" customHeight="1"/>
    <row r="54983" ht="26.25" customHeight="1"/>
    <row r="54984" ht="26.25" customHeight="1"/>
    <row r="54985" ht="26.25" customHeight="1"/>
    <row r="54986" ht="26.25" customHeight="1"/>
    <row r="54987" ht="26.25" customHeight="1"/>
    <row r="54988" ht="26.25" customHeight="1"/>
    <row r="54989" ht="26.25" customHeight="1"/>
    <row r="54990" ht="26.25" customHeight="1"/>
    <row r="54991" ht="26.25" customHeight="1"/>
    <row r="54992" ht="26.25" customHeight="1"/>
    <row r="54993" ht="26.25" customHeight="1"/>
    <row r="54994" ht="26.25" customHeight="1"/>
    <row r="54995" ht="26.25" customHeight="1"/>
    <row r="54996" ht="26.25" customHeight="1"/>
    <row r="54997" ht="26.25" customHeight="1"/>
    <row r="54998" ht="26.25" customHeight="1"/>
    <row r="54999" ht="26.25" customHeight="1"/>
    <row r="55000" ht="26.25" customHeight="1"/>
    <row r="55001" ht="26.25" customHeight="1"/>
    <row r="55002" ht="26.25" customHeight="1"/>
    <row r="55003" ht="26.25" customHeight="1"/>
    <row r="55004" ht="26.25" customHeight="1"/>
    <row r="55005" ht="26.25" customHeight="1"/>
    <row r="55006" ht="26.25" customHeight="1"/>
    <row r="55007" ht="26.25" customHeight="1"/>
    <row r="55008" ht="26.25" customHeight="1"/>
    <row r="55009" ht="26.25" customHeight="1"/>
    <row r="55010" ht="26.25" customHeight="1"/>
    <row r="55011" ht="26.25" customHeight="1"/>
    <row r="55012" ht="26.25" customHeight="1"/>
    <row r="55013" ht="26.25" customHeight="1"/>
    <row r="55014" ht="26.25" customHeight="1"/>
    <row r="55015" ht="26.25" customHeight="1"/>
    <row r="55016" ht="26.25" customHeight="1"/>
    <row r="55017" ht="26.25" customHeight="1"/>
    <row r="55018" ht="26.25" customHeight="1"/>
    <row r="55019" ht="26.25" customHeight="1"/>
    <row r="55020" ht="26.25" customHeight="1"/>
    <row r="55021" ht="26.25" customHeight="1"/>
    <row r="55022" ht="26.25" customHeight="1"/>
    <row r="55023" ht="26.25" customHeight="1"/>
    <row r="55024" ht="26.25" customHeight="1"/>
    <row r="55025" ht="26.25" customHeight="1"/>
    <row r="55026" ht="26.25" customHeight="1"/>
    <row r="55027" ht="26.25" customHeight="1"/>
    <row r="55028" ht="26.25" customHeight="1"/>
    <row r="55029" ht="26.25" customHeight="1"/>
    <row r="55030" ht="26.25" customHeight="1"/>
    <row r="55031" ht="26.25" customHeight="1"/>
    <row r="55032" ht="26.25" customHeight="1"/>
    <row r="55033" ht="26.25" customHeight="1"/>
    <row r="55034" ht="26.25" customHeight="1"/>
    <row r="55035" ht="26.25" customHeight="1"/>
    <row r="55036" ht="26.25" customHeight="1"/>
    <row r="55037" ht="26.25" customHeight="1"/>
    <row r="55038" ht="26.25" customHeight="1"/>
    <row r="55039" ht="26.25" customHeight="1"/>
    <row r="55040" ht="26.25" customHeight="1"/>
    <row r="55041" ht="26.25" customHeight="1"/>
    <row r="55042" ht="26.25" customHeight="1"/>
    <row r="55043" ht="26.25" customHeight="1"/>
    <row r="55044" ht="26.25" customHeight="1"/>
    <row r="55045" ht="26.25" customHeight="1"/>
    <row r="55046" ht="26.25" customHeight="1"/>
    <row r="55047" ht="26.25" customHeight="1"/>
    <row r="55048" ht="26.25" customHeight="1"/>
    <row r="55049" ht="26.25" customHeight="1"/>
    <row r="55050" ht="26.25" customHeight="1"/>
    <row r="55051" ht="26.25" customHeight="1"/>
    <row r="55052" ht="26.25" customHeight="1"/>
    <row r="55053" ht="26.25" customHeight="1"/>
    <row r="55054" ht="26.25" customHeight="1"/>
    <row r="55055" ht="26.25" customHeight="1"/>
    <row r="55056" ht="26.25" customHeight="1"/>
    <row r="55057" ht="26.25" customHeight="1"/>
    <row r="55058" ht="26.25" customHeight="1"/>
    <row r="55059" ht="26.25" customHeight="1"/>
    <row r="55060" ht="26.25" customHeight="1"/>
    <row r="55061" ht="26.25" customHeight="1"/>
    <row r="55062" ht="26.25" customHeight="1"/>
    <row r="55063" ht="26.25" customHeight="1"/>
    <row r="55064" ht="26.25" customHeight="1"/>
    <row r="55065" ht="26.25" customHeight="1"/>
    <row r="55066" ht="26.25" customHeight="1"/>
    <row r="55067" ht="26.25" customHeight="1"/>
    <row r="55068" ht="26.25" customHeight="1"/>
    <row r="55069" ht="26.25" customHeight="1"/>
    <row r="55070" ht="26.25" customHeight="1"/>
    <row r="55071" ht="26.25" customHeight="1"/>
    <row r="55072" ht="26.25" customHeight="1"/>
    <row r="55073" ht="26.25" customHeight="1"/>
    <row r="55074" ht="26.25" customHeight="1"/>
    <row r="55075" ht="26.25" customHeight="1"/>
    <row r="55076" ht="26.25" customHeight="1"/>
    <row r="55077" ht="26.25" customHeight="1"/>
    <row r="55078" ht="26.25" customHeight="1"/>
    <row r="55079" ht="26.25" customHeight="1"/>
    <row r="55080" ht="26.25" customHeight="1"/>
    <row r="55081" ht="26.25" customHeight="1"/>
    <row r="55082" ht="26.25" customHeight="1"/>
    <row r="55083" ht="26.25" customHeight="1"/>
    <row r="55084" ht="26.25" customHeight="1"/>
    <row r="55085" ht="26.25" customHeight="1"/>
    <row r="55086" ht="26.25" customHeight="1"/>
    <row r="55087" ht="26.25" customHeight="1"/>
    <row r="55088" ht="26.25" customHeight="1"/>
    <row r="55089" ht="26.25" customHeight="1"/>
    <row r="55090" ht="26.25" customHeight="1"/>
    <row r="55091" ht="26.25" customHeight="1"/>
    <row r="55092" ht="26.25" customHeight="1"/>
    <row r="55093" ht="26.25" customHeight="1"/>
    <row r="55094" ht="26.25" customHeight="1"/>
    <row r="55095" ht="26.25" customHeight="1"/>
    <row r="55096" ht="26.25" customHeight="1"/>
    <row r="55097" ht="26.25" customHeight="1"/>
    <row r="55098" ht="26.25" customHeight="1"/>
    <row r="55099" ht="26.25" customHeight="1"/>
    <row r="55100" ht="26.25" customHeight="1"/>
    <row r="55101" ht="26.25" customHeight="1"/>
    <row r="55102" ht="26.25" customHeight="1"/>
    <row r="55103" ht="26.25" customHeight="1"/>
    <row r="55104" ht="26.25" customHeight="1"/>
    <row r="55105" ht="26.25" customHeight="1"/>
    <row r="55106" ht="26.25" customHeight="1"/>
    <row r="55107" ht="26.25" customHeight="1"/>
    <row r="55108" ht="26.25" customHeight="1"/>
    <row r="55109" ht="26.25" customHeight="1"/>
    <row r="55110" ht="26.25" customHeight="1"/>
    <row r="55111" ht="26.25" customHeight="1"/>
    <row r="55112" ht="26.25" customHeight="1"/>
    <row r="55113" ht="26.25" customHeight="1"/>
    <row r="55114" ht="26.25" customHeight="1"/>
    <row r="55115" ht="26.25" customHeight="1"/>
    <row r="55116" ht="26.25" customHeight="1"/>
    <row r="55117" ht="26.25" customHeight="1"/>
    <row r="55118" ht="26.25" customHeight="1"/>
    <row r="55119" ht="26.25" customHeight="1"/>
    <row r="55120" ht="26.25" customHeight="1"/>
    <row r="55121" ht="26.25" customHeight="1"/>
    <row r="55122" ht="26.25" customHeight="1"/>
    <row r="55123" ht="26.25" customHeight="1"/>
    <row r="55124" ht="26.25" customHeight="1"/>
    <row r="55125" ht="26.25" customHeight="1"/>
    <row r="55126" ht="26.25" customHeight="1"/>
    <row r="55127" ht="26.25" customHeight="1"/>
    <row r="55128" ht="26.25" customHeight="1"/>
    <row r="55129" ht="26.25" customHeight="1"/>
    <row r="55130" ht="26.25" customHeight="1"/>
    <row r="55131" ht="26.25" customHeight="1"/>
    <row r="55132" ht="26.25" customHeight="1"/>
    <row r="55133" ht="26.25" customHeight="1"/>
    <row r="55134" ht="26.25" customHeight="1"/>
    <row r="55135" ht="26.25" customHeight="1"/>
    <row r="55136" ht="26.25" customHeight="1"/>
    <row r="55137" ht="26.25" customHeight="1"/>
    <row r="55138" ht="26.25" customHeight="1"/>
    <row r="55139" ht="26.25" customHeight="1"/>
    <row r="55140" ht="26.25" customHeight="1"/>
    <row r="55141" ht="26.25" customHeight="1"/>
    <row r="55142" ht="26.25" customHeight="1"/>
    <row r="55143" ht="26.25" customHeight="1"/>
    <row r="55144" ht="26.25" customHeight="1"/>
    <row r="55145" ht="26.25" customHeight="1"/>
    <row r="55146" ht="26.25" customHeight="1"/>
    <row r="55147" ht="26.25" customHeight="1"/>
    <row r="55148" ht="26.25" customHeight="1"/>
    <row r="55149" ht="26.25" customHeight="1"/>
    <row r="55150" ht="26.25" customHeight="1"/>
    <row r="55151" ht="26.25" customHeight="1"/>
    <row r="55152" ht="26.25" customHeight="1"/>
    <row r="55153" ht="26.25" customHeight="1"/>
    <row r="55154" ht="26.25" customHeight="1"/>
    <row r="55155" ht="26.25" customHeight="1"/>
    <row r="55156" ht="26.25" customHeight="1"/>
    <row r="55157" ht="26.25" customHeight="1"/>
    <row r="55158" ht="26.25" customHeight="1"/>
    <row r="55159" ht="26.25" customHeight="1"/>
    <row r="55160" ht="26.25" customHeight="1"/>
    <row r="55161" ht="26.25" customHeight="1"/>
    <row r="55162" ht="26.25" customHeight="1"/>
    <row r="55163" ht="26.25" customHeight="1"/>
    <row r="55164" ht="26.25" customHeight="1"/>
    <row r="55165" ht="26.25" customHeight="1"/>
    <row r="55166" ht="26.25" customHeight="1"/>
    <row r="55167" ht="26.25" customHeight="1"/>
    <row r="55168" ht="26.25" customHeight="1"/>
    <row r="55169" ht="26.25" customHeight="1"/>
    <row r="55170" ht="26.25" customHeight="1"/>
    <row r="55171" ht="26.25" customHeight="1"/>
    <row r="55172" ht="26.25" customHeight="1"/>
    <row r="55173" ht="26.25" customHeight="1"/>
    <row r="55174" ht="26.25" customHeight="1"/>
    <row r="55175" ht="26.25" customHeight="1"/>
    <row r="55176" ht="26.25" customHeight="1"/>
    <row r="55177" ht="26.25" customHeight="1"/>
    <row r="55178" ht="26.25" customHeight="1"/>
    <row r="55179" ht="26.25" customHeight="1"/>
    <row r="55180" ht="26.25" customHeight="1"/>
    <row r="55181" ht="26.25" customHeight="1"/>
    <row r="55182" ht="26.25" customHeight="1"/>
    <row r="55183" ht="26.25" customHeight="1"/>
    <row r="55184" ht="26.25" customHeight="1"/>
    <row r="55185" ht="26.25" customHeight="1"/>
    <row r="55186" ht="26.25" customHeight="1"/>
    <row r="55187" ht="26.25" customHeight="1"/>
    <row r="55188" ht="26.25" customHeight="1"/>
    <row r="55189" ht="26.25" customHeight="1"/>
    <row r="55190" ht="26.25" customHeight="1"/>
    <row r="55191" ht="26.25" customHeight="1"/>
    <row r="55192" ht="26.25" customHeight="1"/>
    <row r="55193" ht="26.25" customHeight="1"/>
    <row r="55194" ht="26.25" customHeight="1"/>
    <row r="55195" ht="26.25" customHeight="1"/>
    <row r="55196" ht="26.25" customHeight="1"/>
    <row r="55197" ht="26.25" customHeight="1"/>
    <row r="55198" ht="26.25" customHeight="1"/>
    <row r="55199" ht="26.25" customHeight="1"/>
    <row r="55200" ht="26.25" customHeight="1"/>
    <row r="55201" ht="26.25" customHeight="1"/>
    <row r="55202" ht="26.25" customHeight="1"/>
    <row r="55203" ht="26.25" customHeight="1"/>
    <row r="55204" ht="26.25" customHeight="1"/>
    <row r="55205" ht="26.25" customHeight="1"/>
    <row r="55206" ht="26.25" customHeight="1"/>
    <row r="55207" ht="26.25" customHeight="1"/>
    <row r="55208" ht="26.25" customHeight="1"/>
    <row r="55209" ht="26.25" customHeight="1"/>
    <row r="55210" ht="26.25" customHeight="1"/>
    <row r="55211" ht="26.25" customHeight="1"/>
    <row r="55212" ht="26.25" customHeight="1"/>
    <row r="55213" ht="26.25" customHeight="1"/>
    <row r="55214" ht="26.25" customHeight="1"/>
    <row r="55215" ht="26.25" customHeight="1"/>
    <row r="55216" ht="26.25" customHeight="1"/>
    <row r="55217" ht="26.25" customHeight="1"/>
    <row r="55218" ht="26.25" customHeight="1"/>
    <row r="55219" ht="26.25" customHeight="1"/>
    <row r="55220" ht="26.25" customHeight="1"/>
    <row r="55221" ht="26.25" customHeight="1"/>
    <row r="55222" ht="26.25" customHeight="1"/>
    <row r="55223" ht="26.25" customHeight="1"/>
    <row r="55224" ht="26.25" customHeight="1"/>
    <row r="55225" ht="26.25" customHeight="1"/>
    <row r="55226" ht="26.25" customHeight="1"/>
    <row r="55227" ht="26.25" customHeight="1"/>
    <row r="55228" ht="26.25" customHeight="1"/>
    <row r="55229" ht="26.25" customHeight="1"/>
    <row r="55230" ht="26.25" customHeight="1"/>
    <row r="55231" ht="26.25" customHeight="1"/>
    <row r="55232" ht="26.25" customHeight="1"/>
    <row r="55233" ht="26.25" customHeight="1"/>
    <row r="55234" ht="26.25" customHeight="1"/>
    <row r="55235" ht="26.25" customHeight="1"/>
    <row r="55236" ht="26.25" customHeight="1"/>
    <row r="55237" ht="26.25" customHeight="1"/>
    <row r="55238" ht="26.25" customHeight="1"/>
    <row r="55239" ht="26.25" customHeight="1"/>
    <row r="55240" ht="26.25" customHeight="1"/>
    <row r="55241" ht="26.25" customHeight="1"/>
    <row r="55242" ht="26.25" customHeight="1"/>
    <row r="55243" ht="26.25" customHeight="1"/>
    <row r="55244" ht="26.25" customHeight="1"/>
    <row r="55245" ht="26.25" customHeight="1"/>
    <row r="55246" ht="26.25" customHeight="1"/>
    <row r="55247" ht="26.25" customHeight="1"/>
    <row r="55248" ht="26.25" customHeight="1"/>
    <row r="55249" ht="26.25" customHeight="1"/>
    <row r="55250" ht="26.25" customHeight="1"/>
    <row r="55251" ht="26.25" customHeight="1"/>
    <row r="55252" ht="26.25" customHeight="1"/>
    <row r="55253" ht="26.25" customHeight="1"/>
    <row r="55254" ht="26.25" customHeight="1"/>
    <row r="55255" ht="26.25" customHeight="1"/>
    <row r="55256" ht="26.25" customHeight="1"/>
    <row r="55257" ht="26.25" customHeight="1"/>
    <row r="55258" ht="26.25" customHeight="1"/>
    <row r="55259" ht="26.25" customHeight="1"/>
    <row r="55260" ht="26.25" customHeight="1"/>
    <row r="55261" ht="26.25" customHeight="1"/>
    <row r="55262" ht="26.25" customHeight="1"/>
    <row r="55263" ht="26.25" customHeight="1"/>
    <row r="55264" ht="26.25" customHeight="1"/>
    <row r="55265" ht="26.25" customHeight="1"/>
    <row r="55266" ht="26.25" customHeight="1"/>
    <row r="55267" ht="26.25" customHeight="1"/>
    <row r="55268" ht="26.25" customHeight="1"/>
    <row r="55269" ht="26.25" customHeight="1"/>
    <row r="55270" ht="26.25" customHeight="1"/>
    <row r="55271" ht="26.25" customHeight="1"/>
    <row r="55272" ht="26.25" customHeight="1"/>
    <row r="55273" ht="26.25" customHeight="1"/>
    <row r="55274" ht="26.25" customHeight="1"/>
    <row r="55275" ht="26.25" customHeight="1"/>
    <row r="55276" ht="26.25" customHeight="1"/>
    <row r="55277" ht="26.25" customHeight="1"/>
    <row r="55278" ht="26.25" customHeight="1"/>
    <row r="55279" ht="26.25" customHeight="1"/>
    <row r="55280" ht="26.25" customHeight="1"/>
    <row r="55281" ht="26.25" customHeight="1"/>
    <row r="55282" ht="26.25" customHeight="1"/>
    <row r="55283" ht="26.25" customHeight="1"/>
    <row r="55284" ht="26.25" customHeight="1"/>
    <row r="55285" ht="26.25" customHeight="1"/>
    <row r="55286" ht="26.25" customHeight="1"/>
    <row r="55287" ht="26.25" customHeight="1"/>
    <row r="55288" ht="26.25" customHeight="1"/>
    <row r="55289" ht="26.25" customHeight="1"/>
    <row r="55290" ht="26.25" customHeight="1"/>
    <row r="55291" ht="26.25" customHeight="1"/>
    <row r="55292" ht="26.25" customHeight="1"/>
    <row r="55293" ht="26.25" customHeight="1"/>
    <row r="55294" ht="26.25" customHeight="1"/>
    <row r="55295" ht="26.25" customHeight="1"/>
    <row r="55296" ht="26.25" customHeight="1"/>
    <row r="55297" ht="26.25" customHeight="1"/>
    <row r="55298" ht="26.25" customHeight="1"/>
    <row r="55299" ht="26.25" customHeight="1"/>
    <row r="55300" ht="26.25" customHeight="1"/>
    <row r="55301" ht="26.25" customHeight="1"/>
    <row r="55302" ht="26.25" customHeight="1"/>
    <row r="55303" ht="26.25" customHeight="1"/>
    <row r="55304" ht="26.25" customHeight="1"/>
    <row r="55305" ht="26.25" customHeight="1"/>
    <row r="55306" ht="26.25" customHeight="1"/>
    <row r="55307" ht="26.25" customHeight="1"/>
    <row r="55308" ht="26.25" customHeight="1"/>
    <row r="55309" ht="26.25" customHeight="1"/>
    <row r="55310" ht="26.25" customHeight="1"/>
    <row r="55311" ht="26.25" customHeight="1"/>
    <row r="55312" ht="26.25" customHeight="1"/>
    <row r="55313" ht="26.25" customHeight="1"/>
    <row r="55314" ht="26.25" customHeight="1"/>
    <row r="55315" ht="26.25" customHeight="1"/>
    <row r="55316" ht="26.25" customHeight="1"/>
    <row r="55317" ht="26.25" customHeight="1"/>
    <row r="55318" ht="26.25" customHeight="1"/>
    <row r="55319" ht="26.25" customHeight="1"/>
    <row r="55320" ht="26.25" customHeight="1"/>
    <row r="55321" ht="26.25" customHeight="1"/>
    <row r="55322" ht="26.25" customHeight="1"/>
    <row r="55323" ht="26.25" customHeight="1"/>
    <row r="55324" ht="26.25" customHeight="1"/>
    <row r="55325" ht="26.25" customHeight="1"/>
    <row r="55326" ht="26.25" customHeight="1"/>
    <row r="55327" ht="26.25" customHeight="1"/>
    <row r="55328" ht="26.25" customHeight="1"/>
    <row r="55329" ht="26.25" customHeight="1"/>
    <row r="55330" ht="26.25" customHeight="1"/>
    <row r="55331" ht="26.25" customHeight="1"/>
    <row r="55332" ht="26.25" customHeight="1"/>
    <row r="55333" ht="26.25" customHeight="1"/>
    <row r="55334" ht="26.25" customHeight="1"/>
    <row r="55335" ht="26.25" customHeight="1"/>
    <row r="55336" ht="26.25" customHeight="1"/>
    <row r="55337" ht="26.25" customHeight="1"/>
    <row r="55338" ht="26.25" customHeight="1"/>
    <row r="55339" ht="26.25" customHeight="1"/>
    <row r="55340" ht="26.25" customHeight="1"/>
    <row r="55341" ht="26.25" customHeight="1"/>
    <row r="55342" ht="26.25" customHeight="1"/>
    <row r="55343" ht="26.25" customHeight="1"/>
    <row r="55344" ht="26.25" customHeight="1"/>
    <row r="55345" ht="26.25" customHeight="1"/>
    <row r="55346" ht="26.25" customHeight="1"/>
    <row r="55347" ht="26.25" customHeight="1"/>
    <row r="55348" ht="26.25" customHeight="1"/>
    <row r="55349" ht="26.25" customHeight="1"/>
    <row r="55350" ht="26.25" customHeight="1"/>
    <row r="55351" ht="26.25" customHeight="1"/>
    <row r="55352" ht="26.25" customHeight="1"/>
    <row r="55353" ht="26.25" customHeight="1"/>
    <row r="55354" ht="26.25" customHeight="1"/>
    <row r="55355" ht="26.25" customHeight="1"/>
    <row r="55356" ht="26.25" customHeight="1"/>
    <row r="55357" ht="26.25" customHeight="1"/>
    <row r="55358" ht="26.25" customHeight="1"/>
    <row r="55359" ht="26.25" customHeight="1"/>
    <row r="55360" ht="26.25" customHeight="1"/>
    <row r="55361" ht="26.25" customHeight="1"/>
    <row r="55362" ht="26.25" customHeight="1"/>
    <row r="55363" ht="26.25" customHeight="1"/>
    <row r="55364" ht="26.25" customHeight="1"/>
    <row r="55365" ht="26.25" customHeight="1"/>
    <row r="55366" ht="26.25" customHeight="1"/>
    <row r="55367" ht="26.25" customHeight="1"/>
    <row r="55368" ht="26.25" customHeight="1"/>
    <row r="55369" ht="26.25" customHeight="1"/>
    <row r="55370" ht="26.25" customHeight="1"/>
    <row r="55371" ht="26.25" customHeight="1"/>
    <row r="55372" ht="26.25" customHeight="1"/>
    <row r="55373" ht="26.25" customHeight="1"/>
    <row r="55374" ht="26.25" customHeight="1"/>
    <row r="55375" ht="26.25" customHeight="1"/>
    <row r="55376" ht="26.25" customHeight="1"/>
    <row r="55377" ht="26.25" customHeight="1"/>
    <row r="55378" ht="26.25" customHeight="1"/>
    <row r="55379" ht="26.25" customHeight="1"/>
    <row r="55380" ht="26.25" customHeight="1"/>
    <row r="55381" ht="26.25" customHeight="1"/>
    <row r="55382" ht="26.25" customHeight="1"/>
    <row r="55383" ht="26.25" customHeight="1"/>
    <row r="55384" ht="26.25" customHeight="1"/>
    <row r="55385" ht="26.25" customHeight="1"/>
    <row r="55386" ht="26.25" customHeight="1"/>
    <row r="55387" ht="26.25" customHeight="1"/>
    <row r="55388" ht="26.25" customHeight="1"/>
    <row r="55389" ht="26.25" customHeight="1"/>
    <row r="55390" ht="26.25" customHeight="1"/>
    <row r="55391" ht="26.25" customHeight="1"/>
    <row r="55392" ht="26.25" customHeight="1"/>
    <row r="55393" ht="26.25" customHeight="1"/>
    <row r="55394" ht="26.25" customHeight="1"/>
    <row r="55395" ht="26.25" customHeight="1"/>
    <row r="55396" ht="26.25" customHeight="1"/>
    <row r="55397" ht="26.25" customHeight="1"/>
    <row r="55398" ht="26.25" customHeight="1"/>
    <row r="55399" ht="26.25" customHeight="1"/>
    <row r="55400" ht="26.25" customHeight="1"/>
    <row r="55401" ht="26.25" customHeight="1"/>
    <row r="55402" ht="26.25" customHeight="1"/>
    <row r="55403" ht="26.25" customHeight="1"/>
    <row r="55404" ht="26.25" customHeight="1"/>
    <row r="55405" ht="26.25" customHeight="1"/>
    <row r="55406" ht="26.25" customHeight="1"/>
    <row r="55407" ht="26.25" customHeight="1"/>
    <row r="55408" ht="26.25" customHeight="1"/>
    <row r="55409" ht="26.25" customHeight="1"/>
    <row r="55410" ht="26.25" customHeight="1"/>
    <row r="55411" ht="26.25" customHeight="1"/>
    <row r="55412" ht="26.25" customHeight="1"/>
    <row r="55413" ht="26.25" customHeight="1"/>
    <row r="55414" ht="26.25" customHeight="1"/>
    <row r="55415" ht="26.25" customHeight="1"/>
    <row r="55416" ht="26.25" customHeight="1"/>
    <row r="55417" ht="26.25" customHeight="1"/>
    <row r="55418" ht="26.25" customHeight="1"/>
    <row r="55419" ht="26.25" customHeight="1"/>
    <row r="55420" ht="26.25" customHeight="1"/>
    <row r="55421" ht="26.25" customHeight="1"/>
    <row r="55422" ht="26.25" customHeight="1"/>
    <row r="55423" ht="26.25" customHeight="1"/>
    <row r="55424" ht="26.25" customHeight="1"/>
    <row r="55425" ht="26.25" customHeight="1"/>
    <row r="55426" ht="26.25" customHeight="1"/>
    <row r="55427" ht="26.25" customHeight="1"/>
    <row r="55428" ht="26.25" customHeight="1"/>
    <row r="55429" ht="26.25" customHeight="1"/>
    <row r="55430" ht="26.25" customHeight="1"/>
    <row r="55431" ht="26.25" customHeight="1"/>
    <row r="55432" ht="26.25" customHeight="1"/>
    <row r="55433" ht="26.25" customHeight="1"/>
    <row r="55434" ht="26.25" customHeight="1"/>
    <row r="55435" ht="26.25" customHeight="1"/>
    <row r="55436" ht="26.25" customHeight="1"/>
    <row r="55437" ht="26.25" customHeight="1"/>
    <row r="55438" ht="26.25" customHeight="1"/>
    <row r="55439" ht="26.25" customHeight="1"/>
    <row r="55440" ht="26.25" customHeight="1"/>
    <row r="55441" ht="26.25" customHeight="1"/>
    <row r="55442" ht="26.25" customHeight="1"/>
    <row r="55443" ht="26.25" customHeight="1"/>
    <row r="55444" ht="26.25" customHeight="1"/>
    <row r="55445" ht="26.25" customHeight="1"/>
    <row r="55446" ht="26.25" customHeight="1"/>
    <row r="55447" ht="26.25" customHeight="1"/>
    <row r="55448" ht="26.25" customHeight="1"/>
    <row r="55449" ht="26.25" customHeight="1"/>
    <row r="55450" ht="26.25" customHeight="1"/>
    <row r="55451" ht="26.25" customHeight="1"/>
    <row r="55452" ht="26.25" customHeight="1"/>
    <row r="55453" ht="26.25" customHeight="1"/>
    <row r="55454" ht="26.25" customHeight="1"/>
    <row r="55455" ht="26.25" customHeight="1"/>
    <row r="55456" ht="26.25" customHeight="1"/>
    <row r="55457" ht="26.25" customHeight="1"/>
    <row r="55458" ht="26.25" customHeight="1"/>
    <row r="55459" ht="26.25" customHeight="1"/>
    <row r="55460" ht="26.25" customHeight="1"/>
    <row r="55461" ht="26.25" customHeight="1"/>
    <row r="55462" ht="26.25" customHeight="1"/>
    <row r="55463" ht="26.25" customHeight="1"/>
    <row r="55464" ht="26.25" customHeight="1"/>
    <row r="55465" ht="26.25" customHeight="1"/>
    <row r="55466" ht="26.25" customHeight="1"/>
    <row r="55467" ht="26.25" customHeight="1"/>
    <row r="55468" ht="26.25" customHeight="1"/>
    <row r="55469" ht="26.25" customHeight="1"/>
    <row r="55470" ht="26.25" customHeight="1"/>
    <row r="55471" ht="26.25" customHeight="1"/>
    <row r="55472" ht="26.25" customHeight="1"/>
    <row r="55473" ht="26.25" customHeight="1"/>
    <row r="55474" ht="26.25" customHeight="1"/>
    <row r="55475" ht="26.25" customHeight="1"/>
    <row r="55476" ht="26.25" customHeight="1"/>
    <row r="55477" ht="26.25" customHeight="1"/>
    <row r="55478" ht="26.25" customHeight="1"/>
    <row r="55479" ht="26.25" customHeight="1"/>
    <row r="55480" ht="26.25" customHeight="1"/>
    <row r="55481" ht="26.25" customHeight="1"/>
    <row r="55482" ht="26.25" customHeight="1"/>
    <row r="55483" ht="26.25" customHeight="1"/>
    <row r="55484" ht="26.25" customHeight="1"/>
    <row r="55485" ht="26.25" customHeight="1"/>
    <row r="55486" ht="26.25" customHeight="1"/>
    <row r="55487" ht="26.25" customHeight="1"/>
    <row r="55488" ht="26.25" customHeight="1"/>
    <row r="55489" ht="26.25" customHeight="1"/>
    <row r="55490" ht="26.25" customHeight="1"/>
    <row r="55491" ht="26.25" customHeight="1"/>
    <row r="55492" ht="26.25" customHeight="1"/>
    <row r="55493" ht="26.25" customHeight="1"/>
    <row r="55494" ht="26.25" customHeight="1"/>
    <row r="55495" ht="26.25" customHeight="1"/>
    <row r="55496" ht="26.25" customHeight="1"/>
    <row r="55497" ht="26.25" customHeight="1"/>
    <row r="55498" ht="26.25" customHeight="1"/>
    <row r="55499" ht="26.25" customHeight="1"/>
    <row r="55500" ht="26.25" customHeight="1"/>
    <row r="55501" ht="26.25" customHeight="1"/>
    <row r="55502" ht="26.25" customHeight="1"/>
    <row r="55503" ht="26.25" customHeight="1"/>
    <row r="55504" ht="26.25" customHeight="1"/>
    <row r="55505" ht="26.25" customHeight="1"/>
    <row r="55506" ht="26.25" customHeight="1"/>
    <row r="55507" ht="26.25" customHeight="1"/>
    <row r="55508" ht="26.25" customHeight="1"/>
    <row r="55509" ht="26.25" customHeight="1"/>
    <row r="55510" ht="26.25" customHeight="1"/>
    <row r="55511" ht="26.25" customHeight="1"/>
    <row r="55512" ht="26.25" customHeight="1"/>
    <row r="55513" ht="26.25" customHeight="1"/>
    <row r="55514" ht="26.25" customHeight="1"/>
    <row r="55515" ht="26.25" customHeight="1"/>
    <row r="55516" ht="26.25" customHeight="1"/>
    <row r="55517" ht="26.25" customHeight="1"/>
    <row r="55518" ht="26.25" customHeight="1"/>
    <row r="55519" ht="26.25" customHeight="1"/>
    <row r="55520" ht="26.25" customHeight="1"/>
    <row r="55521" ht="26.25" customHeight="1"/>
    <row r="55522" ht="26.25" customHeight="1"/>
    <row r="55523" ht="26.25" customHeight="1"/>
    <row r="55524" ht="26.25" customHeight="1"/>
    <row r="55525" ht="26.25" customHeight="1"/>
    <row r="55526" ht="26.25" customHeight="1"/>
    <row r="55527" ht="26.25" customHeight="1"/>
    <row r="55528" ht="26.25" customHeight="1"/>
    <row r="55529" ht="26.25" customHeight="1"/>
    <row r="55530" ht="26.25" customHeight="1"/>
    <row r="55531" ht="26.25" customHeight="1"/>
    <row r="55532" ht="26.25" customHeight="1"/>
    <row r="55533" ht="26.25" customHeight="1"/>
    <row r="55534" ht="26.25" customHeight="1"/>
    <row r="55535" ht="26.25" customHeight="1"/>
    <row r="55536" ht="26.25" customHeight="1"/>
    <row r="55537" ht="26.25" customHeight="1"/>
    <row r="55538" ht="26.25" customHeight="1"/>
    <row r="55539" ht="26.25" customHeight="1"/>
    <row r="55540" ht="26.25" customHeight="1"/>
    <row r="55541" ht="26.25" customHeight="1"/>
    <row r="55542" ht="26.25" customHeight="1"/>
    <row r="55543" ht="26.25" customHeight="1"/>
    <row r="55544" ht="26.25" customHeight="1"/>
    <row r="55545" ht="26.25" customHeight="1"/>
    <row r="55546" ht="26.25" customHeight="1"/>
    <row r="55547" ht="26.25" customHeight="1"/>
    <row r="55548" ht="26.25" customHeight="1"/>
    <row r="55549" ht="26.25" customHeight="1"/>
    <row r="55550" ht="26.25" customHeight="1"/>
    <row r="55551" ht="26.25" customHeight="1"/>
    <row r="55552" ht="26.25" customHeight="1"/>
    <row r="55553" ht="26.25" customHeight="1"/>
    <row r="55554" ht="26.25" customHeight="1"/>
    <row r="55555" ht="26.25" customHeight="1"/>
    <row r="55556" ht="26.25" customHeight="1"/>
    <row r="55557" ht="26.25" customHeight="1"/>
    <row r="55558" ht="26.25" customHeight="1"/>
    <row r="55559" ht="26.25" customHeight="1"/>
    <row r="55560" ht="26.25" customHeight="1"/>
    <row r="55561" ht="26.25" customHeight="1"/>
    <row r="55562" ht="26.25" customHeight="1"/>
    <row r="55563" ht="26.25" customHeight="1"/>
    <row r="55564" ht="26.25" customHeight="1"/>
    <row r="55565" ht="26.25" customHeight="1"/>
    <row r="55566" ht="26.25" customHeight="1"/>
    <row r="55567" ht="26.25" customHeight="1"/>
    <row r="55568" ht="26.25" customHeight="1"/>
    <row r="55569" ht="26.25" customHeight="1"/>
    <row r="55570" ht="26.25" customHeight="1"/>
    <row r="55571" ht="26.25" customHeight="1"/>
    <row r="55572" ht="26.25" customHeight="1"/>
    <row r="55573" ht="26.25" customHeight="1"/>
    <row r="55574" ht="26.25" customHeight="1"/>
    <row r="55575" ht="26.25" customHeight="1"/>
    <row r="55576" ht="26.25" customHeight="1"/>
    <row r="55577" ht="26.25" customHeight="1"/>
    <row r="55578" ht="26.25" customHeight="1"/>
    <row r="55579" ht="26.25" customHeight="1"/>
    <row r="55580" ht="26.25" customHeight="1"/>
    <row r="55581" ht="26.25" customHeight="1"/>
    <row r="55582" ht="26.25" customHeight="1"/>
    <row r="55583" ht="26.25" customHeight="1"/>
    <row r="55584" ht="26.25" customHeight="1"/>
    <row r="55585" ht="26.25" customHeight="1"/>
    <row r="55586" ht="26.25" customHeight="1"/>
    <row r="55587" ht="26.25" customHeight="1"/>
    <row r="55588" ht="26.25" customHeight="1"/>
    <row r="55589" ht="26.25" customHeight="1"/>
    <row r="55590" ht="26.25" customHeight="1"/>
    <row r="55591" ht="26.25" customHeight="1"/>
    <row r="55592" ht="26.25" customHeight="1"/>
    <row r="55593" ht="26.25" customHeight="1"/>
    <row r="55594" ht="26.25" customHeight="1"/>
    <row r="55595" ht="26.25" customHeight="1"/>
    <row r="55596" ht="26.25" customHeight="1"/>
    <row r="55597" ht="26.25" customHeight="1"/>
    <row r="55598" ht="26.25" customHeight="1"/>
    <row r="55599" ht="26.25" customHeight="1"/>
    <row r="55600" ht="26.25" customHeight="1"/>
    <row r="55601" ht="26.25" customHeight="1"/>
    <row r="55602" ht="26.25" customHeight="1"/>
    <row r="55603" ht="26.25" customHeight="1"/>
    <row r="55604" ht="26.25" customHeight="1"/>
    <row r="55605" ht="26.25" customHeight="1"/>
    <row r="55606" ht="26.25" customHeight="1"/>
    <row r="55607" ht="26.25" customHeight="1"/>
    <row r="55608" ht="26.25" customHeight="1"/>
    <row r="55609" ht="26.25" customHeight="1"/>
    <row r="55610" ht="26.25" customHeight="1"/>
    <row r="55611" ht="26.25" customHeight="1"/>
    <row r="55612" ht="26.25" customHeight="1"/>
    <row r="55613" ht="26.25" customHeight="1"/>
    <row r="55614" ht="26.25" customHeight="1"/>
    <row r="55615" ht="26.25" customHeight="1"/>
    <row r="55616" ht="26.25" customHeight="1"/>
    <row r="55617" ht="26.25" customHeight="1"/>
    <row r="55618" ht="26.25" customHeight="1"/>
    <row r="55619" ht="26.25" customHeight="1"/>
    <row r="55620" ht="26.25" customHeight="1"/>
    <row r="55621" ht="26.25" customHeight="1"/>
    <row r="55622" ht="26.25" customHeight="1"/>
    <row r="55623" ht="26.25" customHeight="1"/>
    <row r="55624" ht="26.25" customHeight="1"/>
    <row r="55625" ht="26.25" customHeight="1"/>
    <row r="55626" ht="26.25" customHeight="1"/>
    <row r="55627" ht="26.25" customHeight="1"/>
    <row r="55628" ht="26.25" customHeight="1"/>
    <row r="55629" ht="26.25" customHeight="1"/>
    <row r="55630" ht="26.25" customHeight="1"/>
    <row r="55631" ht="26.25" customHeight="1"/>
    <row r="55632" ht="26.25" customHeight="1"/>
    <row r="55633" ht="26.25" customHeight="1"/>
    <row r="55634" ht="26.25" customHeight="1"/>
    <row r="55635" ht="26.25" customHeight="1"/>
    <row r="55636" ht="26.25" customHeight="1"/>
    <row r="55637" ht="26.25" customHeight="1"/>
    <row r="55638" ht="26.25" customHeight="1"/>
    <row r="55639" ht="26.25" customHeight="1"/>
    <row r="55640" ht="26.25" customHeight="1"/>
    <row r="55641" ht="26.25" customHeight="1"/>
    <row r="55642" ht="26.25" customHeight="1"/>
    <row r="55643" ht="26.25" customHeight="1"/>
    <row r="55644" ht="26.25" customHeight="1"/>
    <row r="55645" ht="26.25" customHeight="1"/>
    <row r="55646" ht="26.25" customHeight="1"/>
    <row r="55647" ht="26.25" customHeight="1"/>
    <row r="55648" ht="26.25" customHeight="1"/>
    <row r="55649" ht="26.25" customHeight="1"/>
    <row r="55650" ht="26.25" customHeight="1"/>
    <row r="55651" ht="26.25" customHeight="1"/>
    <row r="55652" ht="26.25" customHeight="1"/>
    <row r="55653" ht="26.25" customHeight="1"/>
    <row r="55654" ht="26.25" customHeight="1"/>
    <row r="55655" ht="26.25" customHeight="1"/>
    <row r="55656" ht="26.25" customHeight="1"/>
    <row r="55657" ht="26.25" customHeight="1"/>
    <row r="55658" ht="26.25" customHeight="1"/>
    <row r="55659" ht="26.25" customHeight="1"/>
    <row r="55660" ht="26.25" customHeight="1"/>
    <row r="55661" ht="26.25" customHeight="1"/>
    <row r="55662" ht="26.25" customHeight="1"/>
    <row r="55663" ht="26.25" customHeight="1"/>
    <row r="55664" ht="26.25" customHeight="1"/>
    <row r="55665" ht="26.25" customHeight="1"/>
    <row r="55666" ht="26.25" customHeight="1"/>
    <row r="55667" ht="26.25" customHeight="1"/>
    <row r="55668" ht="26.25" customHeight="1"/>
    <row r="55669" ht="26.25" customHeight="1"/>
    <row r="55670" ht="26.25" customHeight="1"/>
    <row r="55671" ht="26.25" customHeight="1"/>
    <row r="55672" ht="26.25" customHeight="1"/>
    <row r="55673" ht="26.25" customHeight="1"/>
    <row r="55674" ht="26.25" customHeight="1"/>
    <row r="55675" ht="26.25" customHeight="1"/>
    <row r="55676" ht="26.25" customHeight="1"/>
    <row r="55677" ht="26.25" customHeight="1"/>
    <row r="55678" ht="26.25" customHeight="1"/>
    <row r="55679" ht="26.25" customHeight="1"/>
    <row r="55680" ht="26.25" customHeight="1"/>
    <row r="55681" ht="26.25" customHeight="1"/>
    <row r="55682" ht="26.25" customHeight="1"/>
    <row r="55683" ht="26.25" customHeight="1"/>
    <row r="55684" ht="26.25" customHeight="1"/>
    <row r="55685" ht="26.25" customHeight="1"/>
    <row r="55686" ht="26.25" customHeight="1"/>
    <row r="55687" ht="26.25" customHeight="1"/>
    <row r="55688" ht="26.25" customHeight="1"/>
    <row r="55689" ht="26.25" customHeight="1"/>
    <row r="55690" ht="26.25" customHeight="1"/>
    <row r="55691" ht="26.25" customHeight="1"/>
    <row r="55692" ht="26.25" customHeight="1"/>
    <row r="55693" ht="26.25" customHeight="1"/>
    <row r="55694" ht="26.25" customHeight="1"/>
    <row r="55695" ht="26.25" customHeight="1"/>
    <row r="55696" ht="26.25" customHeight="1"/>
    <row r="55697" ht="26.25" customHeight="1"/>
    <row r="55698" ht="26.25" customHeight="1"/>
    <row r="55699" ht="26.25" customHeight="1"/>
    <row r="55700" ht="26.25" customHeight="1"/>
    <row r="55701" ht="26.25" customHeight="1"/>
    <row r="55702" ht="26.25" customHeight="1"/>
    <row r="55703" ht="26.25" customHeight="1"/>
    <row r="55704" ht="26.25" customHeight="1"/>
    <row r="55705" ht="26.25" customHeight="1"/>
    <row r="55706" ht="26.25" customHeight="1"/>
    <row r="55707" ht="26.25" customHeight="1"/>
    <row r="55708" ht="26.25" customHeight="1"/>
    <row r="55709" ht="26.25" customHeight="1"/>
    <row r="55710" ht="26.25" customHeight="1"/>
    <row r="55711" ht="26.25" customHeight="1"/>
    <row r="55712" ht="26.25" customHeight="1"/>
    <row r="55713" ht="26.25" customHeight="1"/>
    <row r="55714" ht="26.25" customHeight="1"/>
    <row r="55715" ht="26.25" customHeight="1"/>
    <row r="55716" ht="26.25" customHeight="1"/>
    <row r="55717" ht="26.25" customHeight="1"/>
    <row r="55718" ht="26.25" customHeight="1"/>
    <row r="55719" ht="26.25" customHeight="1"/>
    <row r="55720" ht="26.25" customHeight="1"/>
    <row r="55721" ht="26.25" customHeight="1"/>
    <row r="55722" ht="26.25" customHeight="1"/>
    <row r="55723" ht="26.25" customHeight="1"/>
    <row r="55724" ht="26.25" customHeight="1"/>
    <row r="55725" ht="26.25" customHeight="1"/>
    <row r="55726" ht="26.25" customHeight="1"/>
    <row r="55727" ht="26.25" customHeight="1"/>
    <row r="55728" ht="26.25" customHeight="1"/>
    <row r="55729" ht="26.25" customHeight="1"/>
    <row r="55730" ht="26.25" customHeight="1"/>
    <row r="55731" ht="26.25" customHeight="1"/>
    <row r="55732" ht="26.25" customHeight="1"/>
    <row r="55733" ht="26.25" customHeight="1"/>
    <row r="55734" ht="26.25" customHeight="1"/>
    <row r="55735" ht="26.25" customHeight="1"/>
    <row r="55736" ht="26.25" customHeight="1"/>
    <row r="55737" ht="26.25" customHeight="1"/>
    <row r="55738" ht="26.25" customHeight="1"/>
    <row r="55739" ht="26.25" customHeight="1"/>
    <row r="55740" ht="26.25" customHeight="1"/>
    <row r="55741" ht="26.25" customHeight="1"/>
    <row r="55742" ht="26.25" customHeight="1"/>
    <row r="55743" ht="26.25" customHeight="1"/>
    <row r="55744" ht="26.25" customHeight="1"/>
    <row r="55745" ht="26.25" customHeight="1"/>
    <row r="55746" ht="26.25" customHeight="1"/>
    <row r="55747" ht="26.25" customHeight="1"/>
    <row r="55748" ht="26.25" customHeight="1"/>
    <row r="55749" ht="26.25" customHeight="1"/>
    <row r="55750" ht="26.25" customHeight="1"/>
    <row r="55751" ht="26.25" customHeight="1"/>
    <row r="55752" ht="26.25" customHeight="1"/>
    <row r="55753" ht="26.25" customHeight="1"/>
    <row r="55754" ht="26.25" customHeight="1"/>
    <row r="55755" ht="26.25" customHeight="1"/>
    <row r="55756" ht="26.25" customHeight="1"/>
    <row r="55757" ht="26.25" customHeight="1"/>
    <row r="55758" ht="26.25" customHeight="1"/>
    <row r="55759" ht="26.25" customHeight="1"/>
    <row r="55760" ht="26.25" customHeight="1"/>
    <row r="55761" ht="26.25" customHeight="1"/>
    <row r="55762" ht="26.25" customHeight="1"/>
    <row r="55763" ht="26.25" customHeight="1"/>
    <row r="55764" ht="26.25" customHeight="1"/>
    <row r="55765" ht="26.25" customHeight="1"/>
    <row r="55766" ht="26.25" customHeight="1"/>
    <row r="55767" ht="26.25" customHeight="1"/>
    <row r="55768" ht="26.25" customHeight="1"/>
    <row r="55769" ht="26.25" customHeight="1"/>
    <row r="55770" ht="26.25" customHeight="1"/>
    <row r="55771" ht="26.25" customHeight="1"/>
    <row r="55772" ht="26.25" customHeight="1"/>
    <row r="55773" ht="26.25" customHeight="1"/>
    <row r="55774" ht="26.25" customHeight="1"/>
    <row r="55775" ht="26.25" customHeight="1"/>
    <row r="55776" ht="26.25" customHeight="1"/>
    <row r="55777" ht="26.25" customHeight="1"/>
    <row r="55778" ht="26.25" customHeight="1"/>
    <row r="55779" ht="26.25" customHeight="1"/>
    <row r="55780" ht="26.25" customHeight="1"/>
    <row r="55781" ht="26.25" customHeight="1"/>
    <row r="55782" ht="26.25" customHeight="1"/>
    <row r="55783" ht="26.25" customHeight="1"/>
    <row r="55784" ht="26.25" customHeight="1"/>
    <row r="55785" ht="26.25" customHeight="1"/>
    <row r="55786" ht="26.25" customHeight="1"/>
    <row r="55787" ht="26.25" customHeight="1"/>
    <row r="55788" ht="26.25" customHeight="1"/>
    <row r="55789" ht="26.25" customHeight="1"/>
    <row r="55790" ht="26.25" customHeight="1"/>
    <row r="55791" ht="26.25" customHeight="1"/>
    <row r="55792" ht="26.25" customHeight="1"/>
    <row r="55793" ht="26.25" customHeight="1"/>
    <row r="55794" ht="26.25" customHeight="1"/>
    <row r="55795" ht="26.25" customHeight="1"/>
    <row r="55796" ht="26.25" customHeight="1"/>
    <row r="55797" ht="26.25" customHeight="1"/>
    <row r="55798" ht="26.25" customHeight="1"/>
    <row r="55799" ht="26.25" customHeight="1"/>
    <row r="55800" ht="26.25" customHeight="1"/>
    <row r="55801" ht="26.25" customHeight="1"/>
    <row r="55802" ht="26.25" customHeight="1"/>
    <row r="55803" ht="26.25" customHeight="1"/>
    <row r="55804" ht="26.25" customHeight="1"/>
    <row r="55805" ht="26.25" customHeight="1"/>
    <row r="55806" ht="26.25" customHeight="1"/>
    <row r="55807" ht="26.25" customHeight="1"/>
    <row r="55808" ht="26.25" customHeight="1"/>
    <row r="55809" ht="26.25" customHeight="1"/>
    <row r="55810" ht="26.25" customHeight="1"/>
    <row r="55811" ht="26.25" customHeight="1"/>
    <row r="55812" ht="26.25" customHeight="1"/>
    <row r="55813" ht="26.25" customHeight="1"/>
    <row r="55814" ht="26.25" customHeight="1"/>
    <row r="55815" ht="26.25" customHeight="1"/>
    <row r="55816" ht="26.25" customHeight="1"/>
    <row r="55817" ht="26.25" customHeight="1"/>
    <row r="55818" ht="26.25" customHeight="1"/>
    <row r="55819" ht="26.25" customHeight="1"/>
    <row r="55820" ht="26.25" customHeight="1"/>
    <row r="55821" ht="26.25" customHeight="1"/>
    <row r="55822" ht="26.25" customHeight="1"/>
    <row r="55823" ht="26.25" customHeight="1"/>
    <row r="55824" ht="26.25" customHeight="1"/>
    <row r="55825" ht="26.25" customHeight="1"/>
    <row r="55826" ht="26.25" customHeight="1"/>
    <row r="55827" ht="26.25" customHeight="1"/>
    <row r="55828" ht="26.25" customHeight="1"/>
    <row r="55829" ht="26.25" customHeight="1"/>
    <row r="55830" ht="26.25" customHeight="1"/>
    <row r="55831" ht="26.25" customHeight="1"/>
    <row r="55832" ht="26.25" customHeight="1"/>
    <row r="55833" ht="26.25" customHeight="1"/>
    <row r="55834" ht="26.25" customHeight="1"/>
    <row r="55835" ht="26.25" customHeight="1"/>
    <row r="55836" ht="26.25" customHeight="1"/>
    <row r="55837" ht="26.25" customHeight="1"/>
    <row r="55838" ht="26.25" customHeight="1"/>
    <row r="55839" ht="26.25" customHeight="1"/>
    <row r="55840" ht="26.25" customHeight="1"/>
    <row r="55841" ht="26.25" customHeight="1"/>
    <row r="55842" ht="26.25" customHeight="1"/>
    <row r="55843" ht="26.25" customHeight="1"/>
    <row r="55844" ht="26.25" customHeight="1"/>
    <row r="55845" ht="26.25" customHeight="1"/>
    <row r="55846" ht="26.25" customHeight="1"/>
    <row r="55847" ht="26.25" customHeight="1"/>
    <row r="55848" ht="26.25" customHeight="1"/>
    <row r="55849" ht="26.25" customHeight="1"/>
    <row r="55850" ht="26.25" customHeight="1"/>
    <row r="55851" ht="26.25" customHeight="1"/>
    <row r="55852" ht="26.25" customHeight="1"/>
    <row r="55853" ht="26.25" customHeight="1"/>
    <row r="55854" ht="26.25" customHeight="1"/>
    <row r="55855" ht="26.25" customHeight="1"/>
    <row r="55856" ht="26.25" customHeight="1"/>
    <row r="55857" ht="26.25" customHeight="1"/>
    <row r="55858" ht="26.25" customHeight="1"/>
    <row r="55859" ht="26.25" customHeight="1"/>
    <row r="55860" ht="26.25" customHeight="1"/>
    <row r="55861" ht="26.25" customHeight="1"/>
    <row r="55862" ht="26.25" customHeight="1"/>
    <row r="55863" ht="26.25" customHeight="1"/>
    <row r="55864" ht="26.25" customHeight="1"/>
    <row r="55865" ht="26.25" customHeight="1"/>
    <row r="55866" ht="26.25" customHeight="1"/>
    <row r="55867" ht="26.25" customHeight="1"/>
    <row r="55868" ht="26.25" customHeight="1"/>
    <row r="55869" ht="26.25" customHeight="1"/>
    <row r="55870" ht="26.25" customHeight="1"/>
    <row r="55871" ht="26.25" customHeight="1"/>
    <row r="55872" ht="26.25" customHeight="1"/>
    <row r="55873" ht="26.25" customHeight="1"/>
    <row r="55874" ht="26.25" customHeight="1"/>
    <row r="55875" ht="26.25" customHeight="1"/>
    <row r="55876" ht="26.25" customHeight="1"/>
    <row r="55877" ht="26.25" customHeight="1"/>
    <row r="55878" ht="26.25" customHeight="1"/>
    <row r="55879" ht="26.25" customHeight="1"/>
    <row r="55880" ht="26.25" customHeight="1"/>
    <row r="55881" ht="26.25" customHeight="1"/>
    <row r="55882" ht="26.25" customHeight="1"/>
    <row r="55883" ht="26.25" customHeight="1"/>
    <row r="55884" ht="26.25" customHeight="1"/>
    <row r="55885" ht="26.25" customHeight="1"/>
    <row r="55886" ht="26.25" customHeight="1"/>
    <row r="55887" ht="26.25" customHeight="1"/>
    <row r="55888" ht="26.25" customHeight="1"/>
    <row r="55889" ht="26.25" customHeight="1"/>
    <row r="55890" ht="26.25" customHeight="1"/>
    <row r="55891" ht="26.25" customHeight="1"/>
    <row r="55892" ht="26.25" customHeight="1"/>
    <row r="55893" ht="26.25" customHeight="1"/>
    <row r="55894" ht="26.25" customHeight="1"/>
    <row r="55895" ht="26.25" customHeight="1"/>
    <row r="55896" ht="26.25" customHeight="1"/>
    <row r="55897" ht="26.25" customHeight="1"/>
    <row r="55898" ht="26.25" customHeight="1"/>
    <row r="55899" ht="26.25" customHeight="1"/>
    <row r="55900" ht="26.25" customHeight="1"/>
    <row r="55901" ht="26.25" customHeight="1"/>
    <row r="55902" ht="26.25" customHeight="1"/>
    <row r="55903" ht="26.25" customHeight="1"/>
    <row r="55904" ht="26.25" customHeight="1"/>
    <row r="55905" ht="26.25" customHeight="1"/>
    <row r="55906" ht="26.25" customHeight="1"/>
    <row r="55907" ht="26.25" customHeight="1"/>
    <row r="55908" ht="26.25" customHeight="1"/>
    <row r="55909" ht="26.25" customHeight="1"/>
    <row r="55910" ht="26.25" customHeight="1"/>
    <row r="55911" ht="26.25" customHeight="1"/>
    <row r="55912" ht="26.25" customHeight="1"/>
    <row r="55913" ht="26.25" customHeight="1"/>
    <row r="55914" ht="26.25" customHeight="1"/>
    <row r="55915" ht="26.25" customHeight="1"/>
    <row r="55916" ht="26.25" customHeight="1"/>
    <row r="55917" ht="26.25" customHeight="1"/>
    <row r="55918" ht="26.25" customHeight="1"/>
    <row r="55919" ht="26.25" customHeight="1"/>
    <row r="55920" ht="26.25" customHeight="1"/>
    <row r="55921" ht="26.25" customHeight="1"/>
    <row r="55922" ht="26.25" customHeight="1"/>
    <row r="55923" ht="26.25" customHeight="1"/>
    <row r="55924" ht="26.25" customHeight="1"/>
    <row r="55925" ht="26.25" customHeight="1"/>
    <row r="55926" ht="26.25" customHeight="1"/>
    <row r="55927" ht="26.25" customHeight="1"/>
    <row r="55928" ht="26.25" customHeight="1"/>
    <row r="55929" ht="26.25" customHeight="1"/>
    <row r="55930" ht="26.25" customHeight="1"/>
    <row r="55931" ht="26.25" customHeight="1"/>
    <row r="55932" ht="26.25" customHeight="1"/>
    <row r="55933" ht="26.25" customHeight="1"/>
    <row r="55934" ht="26.25" customHeight="1"/>
    <row r="55935" ht="26.25" customHeight="1"/>
    <row r="55936" ht="26.25" customHeight="1"/>
    <row r="55937" ht="26.25" customHeight="1"/>
    <row r="55938" ht="26.25" customHeight="1"/>
    <row r="55939" ht="26.25" customHeight="1"/>
    <row r="55940" ht="26.25" customHeight="1"/>
    <row r="55941" ht="26.25" customHeight="1"/>
    <row r="55942" ht="26.25" customHeight="1"/>
    <row r="55943" ht="26.25" customHeight="1"/>
    <row r="55944" ht="26.25" customHeight="1"/>
    <row r="55945" ht="26.25" customHeight="1"/>
    <row r="55946" ht="26.25" customHeight="1"/>
    <row r="55947" ht="26.25" customHeight="1"/>
    <row r="55948" ht="26.25" customHeight="1"/>
    <row r="55949" ht="26.25" customHeight="1"/>
    <row r="55950" ht="26.25" customHeight="1"/>
    <row r="55951" ht="26.25" customHeight="1"/>
    <row r="55952" ht="26.25" customHeight="1"/>
    <row r="55953" ht="26.25" customHeight="1"/>
    <row r="55954" ht="26.25" customHeight="1"/>
    <row r="55955" ht="26.25" customHeight="1"/>
    <row r="55956" ht="26.25" customHeight="1"/>
    <row r="55957" ht="26.25" customHeight="1"/>
    <row r="55958" ht="26.25" customHeight="1"/>
    <row r="55959" ht="26.25" customHeight="1"/>
    <row r="55960" ht="26.25" customHeight="1"/>
    <row r="55961" ht="26.25" customHeight="1"/>
    <row r="55962" ht="26.25" customHeight="1"/>
    <row r="55963" ht="26.25" customHeight="1"/>
    <row r="55964" ht="26.25" customHeight="1"/>
    <row r="55965" ht="26.25" customHeight="1"/>
    <row r="55966" ht="26.25" customHeight="1"/>
    <row r="55967" ht="26.25" customHeight="1"/>
    <row r="55968" ht="26.25" customHeight="1"/>
    <row r="55969" ht="26.25" customHeight="1"/>
    <row r="55970" ht="26.25" customHeight="1"/>
    <row r="55971" ht="26.25" customHeight="1"/>
    <row r="55972" ht="26.25" customHeight="1"/>
    <row r="55973" ht="26.25" customHeight="1"/>
    <row r="55974" ht="26.25" customHeight="1"/>
    <row r="55975" ht="26.25" customHeight="1"/>
    <row r="55976" ht="26.25" customHeight="1"/>
    <row r="55977" ht="26.25" customHeight="1"/>
    <row r="55978" ht="26.25" customHeight="1"/>
    <row r="55979" ht="26.25" customHeight="1"/>
    <row r="55980" ht="26.25" customHeight="1"/>
    <row r="55981" ht="26.25" customHeight="1"/>
    <row r="55982" ht="26.25" customHeight="1"/>
    <row r="55983" ht="26.25" customHeight="1"/>
    <row r="55984" ht="26.25" customHeight="1"/>
    <row r="55985" ht="26.25" customHeight="1"/>
    <row r="55986" ht="26.25" customHeight="1"/>
    <row r="55987" ht="26.25" customHeight="1"/>
    <row r="55988" ht="26.25" customHeight="1"/>
    <row r="55989" ht="26.25" customHeight="1"/>
    <row r="55990" ht="26.25" customHeight="1"/>
    <row r="55991" ht="26.25" customHeight="1"/>
    <row r="55992" ht="26.25" customHeight="1"/>
    <row r="55993" ht="26.25" customHeight="1"/>
    <row r="55994" ht="26.25" customHeight="1"/>
    <row r="55995" ht="26.25" customHeight="1"/>
    <row r="55996" ht="26.25" customHeight="1"/>
    <row r="55997" ht="26.25" customHeight="1"/>
    <row r="55998" ht="26.25" customHeight="1"/>
    <row r="55999" ht="26.25" customHeight="1"/>
    <row r="56000" ht="26.25" customHeight="1"/>
    <row r="56001" ht="26.25" customHeight="1"/>
    <row r="56002" ht="26.25" customHeight="1"/>
    <row r="56003" ht="26.25" customHeight="1"/>
    <row r="56004" ht="26.25" customHeight="1"/>
    <row r="56005" ht="26.25" customHeight="1"/>
    <row r="56006" ht="26.25" customHeight="1"/>
    <row r="56007" ht="26.25" customHeight="1"/>
    <row r="56008" ht="26.25" customHeight="1"/>
    <row r="56009" ht="26.25" customHeight="1"/>
    <row r="56010" ht="26.25" customHeight="1"/>
    <row r="56011" ht="26.25" customHeight="1"/>
    <row r="56012" ht="26.25" customHeight="1"/>
    <row r="56013" ht="26.25" customHeight="1"/>
    <row r="56014" ht="26.25" customHeight="1"/>
    <row r="56015" ht="26.25" customHeight="1"/>
    <row r="56016" ht="26.25" customHeight="1"/>
    <row r="56017" ht="26.25" customHeight="1"/>
    <row r="56018" ht="26.25" customHeight="1"/>
    <row r="56019" ht="26.25" customHeight="1"/>
    <row r="56020" ht="26.25" customHeight="1"/>
    <row r="56021" ht="26.25" customHeight="1"/>
    <row r="56022" ht="26.25" customHeight="1"/>
    <row r="56023" ht="26.25" customHeight="1"/>
    <row r="56024" ht="26.25" customHeight="1"/>
    <row r="56025" ht="26.25" customHeight="1"/>
    <row r="56026" ht="26.25" customHeight="1"/>
    <row r="56027" ht="26.25" customHeight="1"/>
    <row r="56028" ht="26.25" customHeight="1"/>
    <row r="56029" ht="26.25" customHeight="1"/>
    <row r="56030" ht="26.25" customHeight="1"/>
    <row r="56031" ht="26.25" customHeight="1"/>
    <row r="56032" ht="26.25" customHeight="1"/>
    <row r="56033" ht="26.25" customHeight="1"/>
    <row r="56034" ht="26.25" customHeight="1"/>
    <row r="56035" ht="26.25" customHeight="1"/>
    <row r="56036" ht="26.25" customHeight="1"/>
    <row r="56037" ht="26.25" customHeight="1"/>
    <row r="56038" ht="26.25" customHeight="1"/>
    <row r="56039" ht="26.25" customHeight="1"/>
    <row r="56040" ht="26.25" customHeight="1"/>
    <row r="56041" ht="26.25" customHeight="1"/>
    <row r="56042" ht="26.25" customHeight="1"/>
    <row r="56043" ht="26.25" customHeight="1"/>
    <row r="56044" ht="26.25" customHeight="1"/>
    <row r="56045" ht="26.25" customHeight="1"/>
    <row r="56046" ht="26.25" customHeight="1"/>
    <row r="56047" ht="26.25" customHeight="1"/>
    <row r="56048" ht="26.25" customHeight="1"/>
    <row r="56049" ht="26.25" customHeight="1"/>
    <row r="56050" ht="26.25" customHeight="1"/>
    <row r="56051" ht="26.25" customHeight="1"/>
    <row r="56052" ht="26.25" customHeight="1"/>
    <row r="56053" ht="26.25" customHeight="1"/>
    <row r="56054" ht="26.25" customHeight="1"/>
    <row r="56055" ht="26.25" customHeight="1"/>
    <row r="56056" ht="26.25" customHeight="1"/>
    <row r="56057" ht="26.25" customHeight="1"/>
    <row r="56058" ht="26.25" customHeight="1"/>
    <row r="56059" ht="26.25" customHeight="1"/>
    <row r="56060" ht="26.25" customHeight="1"/>
    <row r="56061" ht="26.25" customHeight="1"/>
    <row r="56062" ht="26.25" customHeight="1"/>
    <row r="56063" ht="26.25" customHeight="1"/>
    <row r="56064" ht="26.25" customHeight="1"/>
    <row r="56065" ht="26.25" customHeight="1"/>
    <row r="56066" ht="26.25" customHeight="1"/>
    <row r="56067" ht="26.25" customHeight="1"/>
    <row r="56068" ht="26.25" customHeight="1"/>
    <row r="56069" ht="26.25" customHeight="1"/>
    <row r="56070" ht="26.25" customHeight="1"/>
    <row r="56071" ht="26.25" customHeight="1"/>
    <row r="56072" ht="26.25" customHeight="1"/>
    <row r="56073" ht="26.25" customHeight="1"/>
    <row r="56074" ht="26.25" customHeight="1"/>
    <row r="56075" ht="26.25" customHeight="1"/>
    <row r="56076" ht="26.25" customHeight="1"/>
    <row r="56077" ht="26.25" customHeight="1"/>
    <row r="56078" ht="26.25" customHeight="1"/>
    <row r="56079" ht="26.25" customHeight="1"/>
    <row r="56080" ht="26.25" customHeight="1"/>
    <row r="56081" ht="26.25" customHeight="1"/>
    <row r="56082" ht="26.25" customHeight="1"/>
    <row r="56083" ht="26.25" customHeight="1"/>
    <row r="56084" ht="26.25" customHeight="1"/>
    <row r="56085" ht="26.25" customHeight="1"/>
    <row r="56086" ht="26.25" customHeight="1"/>
    <row r="56087" ht="26.25" customHeight="1"/>
    <row r="56088" ht="26.25" customHeight="1"/>
    <row r="56089" ht="26.25" customHeight="1"/>
    <row r="56090" ht="26.25" customHeight="1"/>
    <row r="56091" ht="26.25" customHeight="1"/>
    <row r="56092" ht="26.25" customHeight="1"/>
    <row r="56093" ht="26.25" customHeight="1"/>
    <row r="56094" ht="26.25" customHeight="1"/>
    <row r="56095" ht="26.25" customHeight="1"/>
    <row r="56096" ht="26.25" customHeight="1"/>
    <row r="56097" ht="26.25" customHeight="1"/>
    <row r="56098" ht="26.25" customHeight="1"/>
    <row r="56099" ht="26.25" customHeight="1"/>
    <row r="56100" ht="26.25" customHeight="1"/>
    <row r="56101" ht="26.25" customHeight="1"/>
    <row r="56102" ht="26.25" customHeight="1"/>
    <row r="56103" ht="26.25" customHeight="1"/>
    <row r="56104" ht="26.25" customHeight="1"/>
    <row r="56105" ht="26.25" customHeight="1"/>
    <row r="56106" ht="26.25" customHeight="1"/>
    <row r="56107" ht="26.25" customHeight="1"/>
    <row r="56108" ht="26.25" customHeight="1"/>
    <row r="56109" ht="26.25" customHeight="1"/>
    <row r="56110" ht="26.25" customHeight="1"/>
    <row r="56111" ht="26.25" customHeight="1"/>
    <row r="56112" ht="26.25" customHeight="1"/>
    <row r="56113" ht="26.25" customHeight="1"/>
    <row r="56114" ht="26.25" customHeight="1"/>
    <row r="56115" ht="26.25" customHeight="1"/>
    <row r="56116" ht="26.25" customHeight="1"/>
    <row r="56117" ht="26.25" customHeight="1"/>
    <row r="56118" ht="26.25" customHeight="1"/>
    <row r="56119" ht="26.25" customHeight="1"/>
    <row r="56120" ht="26.25" customHeight="1"/>
    <row r="56121" ht="26.25" customHeight="1"/>
    <row r="56122" ht="26.25" customHeight="1"/>
    <row r="56123" ht="26.25" customHeight="1"/>
    <row r="56124" ht="26.25" customHeight="1"/>
    <row r="56125" ht="26.25" customHeight="1"/>
    <row r="56126" ht="26.25" customHeight="1"/>
    <row r="56127" ht="26.25" customHeight="1"/>
    <row r="56128" ht="26.25" customHeight="1"/>
    <row r="56129" ht="26.25" customHeight="1"/>
    <row r="56130" ht="26.25" customHeight="1"/>
    <row r="56131" ht="26.25" customHeight="1"/>
    <row r="56132" ht="26.25" customHeight="1"/>
    <row r="56133" ht="26.25" customHeight="1"/>
    <row r="56134" ht="26.25" customHeight="1"/>
    <row r="56135" ht="26.25" customHeight="1"/>
    <row r="56136" ht="26.25" customHeight="1"/>
    <row r="56137" ht="26.25" customHeight="1"/>
    <row r="56138" ht="26.25" customHeight="1"/>
    <row r="56139" ht="26.25" customHeight="1"/>
    <row r="56140" ht="26.25" customHeight="1"/>
    <row r="56141" ht="26.25" customHeight="1"/>
    <row r="56142" ht="26.25" customHeight="1"/>
    <row r="56143" ht="26.25" customHeight="1"/>
    <row r="56144" ht="26.25" customHeight="1"/>
    <row r="56145" ht="26.25" customHeight="1"/>
    <row r="56146" ht="26.25" customHeight="1"/>
    <row r="56147" ht="26.25" customHeight="1"/>
    <row r="56148" ht="26.25" customHeight="1"/>
    <row r="56149" ht="26.25" customHeight="1"/>
    <row r="56150" ht="26.25" customHeight="1"/>
    <row r="56151" ht="26.25" customHeight="1"/>
    <row r="56152" ht="26.25" customHeight="1"/>
    <row r="56153" ht="26.25" customHeight="1"/>
    <row r="56154" ht="26.25" customHeight="1"/>
    <row r="56155" ht="26.25" customHeight="1"/>
    <row r="56156" ht="26.25" customHeight="1"/>
    <row r="56157" ht="26.25" customHeight="1"/>
    <row r="56158" ht="26.25" customHeight="1"/>
    <row r="56159" ht="26.25" customHeight="1"/>
    <row r="56160" ht="26.25" customHeight="1"/>
    <row r="56161" ht="26.25" customHeight="1"/>
    <row r="56162" ht="26.25" customHeight="1"/>
    <row r="56163" ht="26.25" customHeight="1"/>
    <row r="56164" ht="26.25" customHeight="1"/>
    <row r="56165" ht="26.25" customHeight="1"/>
    <row r="56166" ht="26.25" customHeight="1"/>
    <row r="56167" ht="26.25" customHeight="1"/>
    <row r="56168" ht="26.25" customHeight="1"/>
    <row r="56169" ht="26.25" customHeight="1"/>
    <row r="56170" ht="26.25" customHeight="1"/>
    <row r="56171" ht="26.25" customHeight="1"/>
    <row r="56172" ht="26.25" customHeight="1"/>
    <row r="56173" ht="26.25" customHeight="1"/>
    <row r="56174" ht="26.25" customHeight="1"/>
    <row r="56175" ht="26.25" customHeight="1"/>
    <row r="56176" ht="26.25" customHeight="1"/>
    <row r="56177" ht="26.25" customHeight="1"/>
    <row r="56178" ht="26.25" customHeight="1"/>
    <row r="56179" ht="26.25" customHeight="1"/>
    <row r="56180" ht="26.25" customHeight="1"/>
    <row r="56181" ht="26.25" customHeight="1"/>
    <row r="56182" ht="26.25" customHeight="1"/>
    <row r="56183" ht="26.25" customHeight="1"/>
    <row r="56184" ht="26.25" customHeight="1"/>
    <row r="56185" ht="26.25" customHeight="1"/>
    <row r="56186" ht="26.25" customHeight="1"/>
    <row r="56187" ht="26.25" customHeight="1"/>
    <row r="56188" ht="26.25" customHeight="1"/>
    <row r="56189" ht="26.25" customHeight="1"/>
    <row r="56190" ht="26.25" customHeight="1"/>
    <row r="56191" ht="26.25" customHeight="1"/>
    <row r="56192" ht="26.25" customHeight="1"/>
    <row r="56193" ht="26.25" customHeight="1"/>
    <row r="56194" ht="26.25" customHeight="1"/>
    <row r="56195" ht="26.25" customHeight="1"/>
    <row r="56196" ht="26.25" customHeight="1"/>
    <row r="56197" ht="26.25" customHeight="1"/>
    <row r="56198" ht="26.25" customHeight="1"/>
    <row r="56199" ht="26.25" customHeight="1"/>
    <row r="56200" ht="26.25" customHeight="1"/>
    <row r="56201" ht="26.25" customHeight="1"/>
    <row r="56202" ht="26.25" customHeight="1"/>
    <row r="56203" ht="26.25" customHeight="1"/>
    <row r="56204" ht="26.25" customHeight="1"/>
    <row r="56205" ht="26.25" customHeight="1"/>
    <row r="56206" ht="26.25" customHeight="1"/>
    <row r="56207" ht="26.25" customHeight="1"/>
    <row r="56208" ht="26.25" customHeight="1"/>
    <row r="56209" ht="26.25" customHeight="1"/>
    <row r="56210" ht="26.25" customHeight="1"/>
    <row r="56211" ht="26.25" customHeight="1"/>
    <row r="56212" ht="26.25" customHeight="1"/>
    <row r="56213" ht="26.25" customHeight="1"/>
    <row r="56214" ht="26.25" customHeight="1"/>
    <row r="56215" ht="26.25" customHeight="1"/>
    <row r="56216" ht="26.25" customHeight="1"/>
    <row r="56217" ht="26.25" customHeight="1"/>
    <row r="56218" ht="26.25" customHeight="1"/>
    <row r="56219" ht="26.25" customHeight="1"/>
    <row r="56220" ht="26.25" customHeight="1"/>
    <row r="56221" ht="26.25" customHeight="1"/>
    <row r="56222" ht="26.25" customHeight="1"/>
    <row r="56223" ht="26.25" customHeight="1"/>
    <row r="56224" ht="26.25" customHeight="1"/>
    <row r="56225" ht="26.25" customHeight="1"/>
    <row r="56226" ht="26.25" customHeight="1"/>
    <row r="56227" ht="26.25" customHeight="1"/>
    <row r="56228" ht="26.25" customHeight="1"/>
    <row r="56229" ht="26.25" customHeight="1"/>
    <row r="56230" ht="26.25" customHeight="1"/>
    <row r="56231" ht="26.25" customHeight="1"/>
    <row r="56232" ht="26.25" customHeight="1"/>
    <row r="56233" ht="26.25" customHeight="1"/>
    <row r="56234" ht="26.25" customHeight="1"/>
    <row r="56235" ht="26.25" customHeight="1"/>
    <row r="56236" ht="26.25" customHeight="1"/>
    <row r="56237" ht="26.25" customHeight="1"/>
    <row r="56238" ht="26.25" customHeight="1"/>
    <row r="56239" ht="26.25" customHeight="1"/>
    <row r="56240" ht="26.25" customHeight="1"/>
    <row r="56241" ht="26.25" customHeight="1"/>
    <row r="56242" ht="26.25" customHeight="1"/>
    <row r="56243" ht="26.25" customHeight="1"/>
    <row r="56244" ht="26.25" customHeight="1"/>
    <row r="56245" ht="26.25" customHeight="1"/>
    <row r="56246" ht="26.25" customHeight="1"/>
    <row r="56247" ht="26.25" customHeight="1"/>
    <row r="56248" ht="26.25" customHeight="1"/>
    <row r="56249" ht="26.25" customHeight="1"/>
    <row r="56250" ht="26.25" customHeight="1"/>
    <row r="56251" ht="26.25" customHeight="1"/>
    <row r="56252" ht="26.25" customHeight="1"/>
    <row r="56253" ht="26.25" customHeight="1"/>
    <row r="56254" ht="26.25" customHeight="1"/>
    <row r="56255" ht="26.25" customHeight="1"/>
    <row r="56256" ht="26.25" customHeight="1"/>
    <row r="56257" ht="26.25" customHeight="1"/>
    <row r="56258" ht="26.25" customHeight="1"/>
    <row r="56259" ht="26.25" customHeight="1"/>
    <row r="56260" ht="26.25" customHeight="1"/>
    <row r="56261" ht="26.25" customHeight="1"/>
    <row r="56262" ht="26.25" customHeight="1"/>
    <row r="56263" ht="26.25" customHeight="1"/>
    <row r="56264" ht="26.25" customHeight="1"/>
    <row r="56265" ht="26.25" customHeight="1"/>
    <row r="56266" ht="26.25" customHeight="1"/>
    <row r="56267" ht="26.25" customHeight="1"/>
    <row r="56268" ht="26.25" customHeight="1"/>
    <row r="56269" ht="26.25" customHeight="1"/>
    <row r="56270" ht="26.25" customHeight="1"/>
    <row r="56271" ht="26.25" customHeight="1"/>
    <row r="56272" ht="26.25" customHeight="1"/>
    <row r="56273" ht="26.25" customHeight="1"/>
    <row r="56274" ht="26.25" customHeight="1"/>
    <row r="56275" ht="26.25" customHeight="1"/>
    <row r="56276" ht="26.25" customHeight="1"/>
    <row r="56277" ht="26.25" customHeight="1"/>
    <row r="56278" ht="26.25" customHeight="1"/>
    <row r="56279" ht="26.25" customHeight="1"/>
    <row r="56280" ht="26.25" customHeight="1"/>
    <row r="56281" ht="26.25" customHeight="1"/>
    <row r="56282" ht="26.25" customHeight="1"/>
    <row r="56283" ht="26.25" customHeight="1"/>
    <row r="56284" ht="26.25" customHeight="1"/>
    <row r="56285" ht="26.25" customHeight="1"/>
    <row r="56286" ht="26.25" customHeight="1"/>
    <row r="56287" ht="26.25" customHeight="1"/>
    <row r="56288" ht="26.25" customHeight="1"/>
    <row r="56289" ht="26.25" customHeight="1"/>
    <row r="56290" ht="26.25" customHeight="1"/>
    <row r="56291" ht="26.25" customHeight="1"/>
    <row r="56292" ht="26.25" customHeight="1"/>
    <row r="56293" ht="26.25" customHeight="1"/>
    <row r="56294" ht="26.25" customHeight="1"/>
    <row r="56295" ht="26.25" customHeight="1"/>
    <row r="56296" ht="26.25" customHeight="1"/>
    <row r="56297" ht="26.25" customHeight="1"/>
    <row r="56298" ht="26.25" customHeight="1"/>
    <row r="56299" ht="26.25" customHeight="1"/>
    <row r="56300" ht="26.25" customHeight="1"/>
    <row r="56301" ht="26.25" customHeight="1"/>
    <row r="56302" ht="26.25" customHeight="1"/>
    <row r="56303" ht="26.25" customHeight="1"/>
    <row r="56304" ht="26.25" customHeight="1"/>
    <row r="56305" ht="26.25" customHeight="1"/>
    <row r="56306" ht="26.25" customHeight="1"/>
    <row r="56307" ht="26.25" customHeight="1"/>
    <row r="56308" ht="26.25" customHeight="1"/>
    <row r="56309" ht="26.25" customHeight="1"/>
    <row r="56310" ht="26.25" customHeight="1"/>
    <row r="56311" ht="26.25" customHeight="1"/>
    <row r="56312" ht="26.25" customHeight="1"/>
    <row r="56313" ht="26.25" customHeight="1"/>
    <row r="56314" ht="26.25" customHeight="1"/>
    <row r="56315" ht="26.25" customHeight="1"/>
    <row r="56316" ht="26.25" customHeight="1"/>
    <row r="56317" ht="26.25" customHeight="1"/>
    <row r="56318" ht="26.25" customHeight="1"/>
    <row r="56319" ht="26.25" customHeight="1"/>
    <row r="56320" ht="26.25" customHeight="1"/>
    <row r="56321" ht="26.25" customHeight="1"/>
    <row r="56322" ht="26.25" customHeight="1"/>
    <row r="56323" ht="26.25" customHeight="1"/>
    <row r="56324" ht="26.25" customHeight="1"/>
    <row r="56325" ht="26.25" customHeight="1"/>
    <row r="56326" ht="26.25" customHeight="1"/>
    <row r="56327" ht="26.25" customHeight="1"/>
    <row r="56328" ht="26.25" customHeight="1"/>
    <row r="56329" ht="26.25" customHeight="1"/>
    <row r="56330" ht="26.25" customHeight="1"/>
    <row r="56331" ht="26.25" customHeight="1"/>
    <row r="56332" ht="26.25" customHeight="1"/>
    <row r="56333" ht="26.25" customHeight="1"/>
    <row r="56334" ht="26.25" customHeight="1"/>
    <row r="56335" ht="26.25" customHeight="1"/>
    <row r="56336" ht="26.25" customHeight="1"/>
    <row r="56337" ht="26.25" customHeight="1"/>
    <row r="56338" ht="26.25" customHeight="1"/>
    <row r="56339" ht="26.25" customHeight="1"/>
    <row r="56340" ht="26.25" customHeight="1"/>
    <row r="56341" ht="26.25" customHeight="1"/>
    <row r="56342" ht="26.25" customHeight="1"/>
    <row r="56343" ht="26.25" customHeight="1"/>
    <row r="56344" ht="26.25" customHeight="1"/>
    <row r="56345" ht="26.25" customHeight="1"/>
    <row r="56346" ht="26.25" customHeight="1"/>
    <row r="56347" ht="26.25" customHeight="1"/>
    <row r="56348" ht="26.25" customHeight="1"/>
    <row r="56349" ht="26.25" customHeight="1"/>
    <row r="56350" ht="26.25" customHeight="1"/>
    <row r="56351" ht="26.25" customHeight="1"/>
    <row r="56352" ht="26.25" customHeight="1"/>
    <row r="56353" ht="26.25" customHeight="1"/>
    <row r="56354" ht="26.25" customHeight="1"/>
    <row r="56355" ht="26.25" customHeight="1"/>
    <row r="56356" ht="26.25" customHeight="1"/>
    <row r="56357" ht="26.25" customHeight="1"/>
    <row r="56358" ht="26.25" customHeight="1"/>
    <row r="56359" ht="26.25" customHeight="1"/>
    <row r="56360" ht="26.25" customHeight="1"/>
    <row r="56361" ht="26.25" customHeight="1"/>
    <row r="56362" ht="26.25" customHeight="1"/>
    <row r="56363" ht="26.25" customHeight="1"/>
    <row r="56364" ht="26.25" customHeight="1"/>
    <row r="56365" ht="26.25" customHeight="1"/>
    <row r="56366" ht="26.25" customHeight="1"/>
    <row r="56367" ht="26.25" customHeight="1"/>
    <row r="56368" ht="26.25" customHeight="1"/>
    <row r="56369" ht="26.25" customHeight="1"/>
    <row r="56370" ht="26.25" customHeight="1"/>
    <row r="56371" ht="26.25" customHeight="1"/>
    <row r="56372" ht="26.25" customHeight="1"/>
    <row r="56373" ht="26.25" customHeight="1"/>
    <row r="56374" ht="26.25" customHeight="1"/>
    <row r="56375" ht="26.25" customHeight="1"/>
    <row r="56376" ht="26.25" customHeight="1"/>
    <row r="56377" ht="26.25" customHeight="1"/>
    <row r="56378" ht="26.25" customHeight="1"/>
    <row r="56379" ht="26.25" customHeight="1"/>
    <row r="56380" ht="26.25" customHeight="1"/>
    <row r="56381" ht="26.25" customHeight="1"/>
    <row r="56382" ht="26.25" customHeight="1"/>
    <row r="56383" ht="26.25" customHeight="1"/>
    <row r="56384" ht="26.25" customHeight="1"/>
    <row r="56385" ht="26.25" customHeight="1"/>
    <row r="56386" ht="26.25" customHeight="1"/>
    <row r="56387" ht="26.25" customHeight="1"/>
    <row r="56388" ht="26.25" customHeight="1"/>
    <row r="56389" ht="26.25" customHeight="1"/>
    <row r="56390" ht="26.25" customHeight="1"/>
    <row r="56391" ht="26.25" customHeight="1"/>
    <row r="56392" ht="26.25" customHeight="1"/>
    <row r="56393" ht="26.25" customHeight="1"/>
    <row r="56394" ht="26.25" customHeight="1"/>
    <row r="56395" ht="26.25" customHeight="1"/>
    <row r="56396" ht="26.25" customHeight="1"/>
    <row r="56397" ht="26.25" customHeight="1"/>
    <row r="56398" ht="26.25" customHeight="1"/>
    <row r="56399" ht="26.25" customHeight="1"/>
    <row r="56400" ht="26.25" customHeight="1"/>
    <row r="56401" ht="26.25" customHeight="1"/>
    <row r="56402" ht="26.25" customHeight="1"/>
    <row r="56403" ht="26.25" customHeight="1"/>
    <row r="56404" ht="26.25" customHeight="1"/>
    <row r="56405" ht="26.25" customHeight="1"/>
    <row r="56406" ht="26.25" customHeight="1"/>
    <row r="56407" ht="26.25" customHeight="1"/>
    <row r="56408" ht="26.25" customHeight="1"/>
    <row r="56409" ht="26.25" customHeight="1"/>
    <row r="56410" ht="26.25" customHeight="1"/>
    <row r="56411" ht="26.25" customHeight="1"/>
    <row r="56412" ht="26.25" customHeight="1"/>
    <row r="56413" ht="26.25" customHeight="1"/>
    <row r="56414" ht="26.25" customHeight="1"/>
    <row r="56415" ht="26.25" customHeight="1"/>
    <row r="56416" ht="26.25" customHeight="1"/>
    <row r="56417" ht="26.25" customHeight="1"/>
    <row r="56418" ht="26.25" customHeight="1"/>
    <row r="56419" ht="26.25" customHeight="1"/>
    <row r="56420" ht="26.25" customHeight="1"/>
    <row r="56421" ht="26.25" customHeight="1"/>
    <row r="56422" ht="26.25" customHeight="1"/>
    <row r="56423" ht="26.25" customHeight="1"/>
    <row r="56424" ht="26.25" customHeight="1"/>
    <row r="56425" ht="26.25" customHeight="1"/>
    <row r="56426" ht="26.25" customHeight="1"/>
    <row r="56427" ht="26.25" customHeight="1"/>
    <row r="56428" ht="26.25" customHeight="1"/>
    <row r="56429" ht="26.25" customHeight="1"/>
    <row r="56430" ht="26.25" customHeight="1"/>
    <row r="56431" ht="26.25" customHeight="1"/>
    <row r="56432" ht="26.25" customHeight="1"/>
    <row r="56433" ht="26.25" customHeight="1"/>
    <row r="56434" ht="26.25" customHeight="1"/>
    <row r="56435" ht="26.25" customHeight="1"/>
    <row r="56436" ht="26.25" customHeight="1"/>
    <row r="56437" ht="26.25" customHeight="1"/>
    <row r="56438" ht="26.25" customHeight="1"/>
    <row r="56439" ht="26.25" customHeight="1"/>
    <row r="56440" ht="26.25" customHeight="1"/>
    <row r="56441" ht="26.25" customHeight="1"/>
    <row r="56442" ht="26.25" customHeight="1"/>
    <row r="56443" ht="26.25" customHeight="1"/>
    <row r="56444" ht="26.25" customHeight="1"/>
    <row r="56445" ht="26.25" customHeight="1"/>
    <row r="56446" ht="26.25" customHeight="1"/>
    <row r="56447" ht="26.25" customHeight="1"/>
    <row r="56448" ht="26.25" customHeight="1"/>
    <row r="56449" ht="26.25" customHeight="1"/>
    <row r="56450" ht="26.25" customHeight="1"/>
    <row r="56451" ht="26.25" customHeight="1"/>
    <row r="56452" ht="26.25" customHeight="1"/>
    <row r="56453" ht="26.25" customHeight="1"/>
    <row r="56454" ht="26.25" customHeight="1"/>
    <row r="56455" ht="26.25" customHeight="1"/>
    <row r="56456" ht="26.25" customHeight="1"/>
    <row r="56457" ht="26.25" customHeight="1"/>
    <row r="56458" ht="26.25" customHeight="1"/>
    <row r="56459" ht="26.25" customHeight="1"/>
    <row r="56460" ht="26.25" customHeight="1"/>
    <row r="56461" ht="26.25" customHeight="1"/>
    <row r="56462" ht="26.25" customHeight="1"/>
    <row r="56463" ht="26.25" customHeight="1"/>
    <row r="56464" ht="26.25" customHeight="1"/>
    <row r="56465" ht="26.25" customHeight="1"/>
    <row r="56466" ht="26.25" customHeight="1"/>
    <row r="56467" ht="26.25" customHeight="1"/>
    <row r="56468" ht="26.25" customHeight="1"/>
    <row r="56469" ht="26.25" customHeight="1"/>
    <row r="56470" ht="26.25" customHeight="1"/>
    <row r="56471" ht="26.25" customHeight="1"/>
    <row r="56472" ht="26.25" customHeight="1"/>
    <row r="56473" ht="26.25" customHeight="1"/>
    <row r="56474" ht="26.25" customHeight="1"/>
    <row r="56475" ht="26.25" customHeight="1"/>
    <row r="56476" ht="26.25" customHeight="1"/>
    <row r="56477" ht="26.25" customHeight="1"/>
    <row r="56478" ht="26.25" customHeight="1"/>
    <row r="56479" ht="26.25" customHeight="1"/>
    <row r="56480" ht="26.25" customHeight="1"/>
    <row r="56481" ht="26.25" customHeight="1"/>
    <row r="56482" ht="26.25" customHeight="1"/>
    <row r="56483" ht="26.25" customHeight="1"/>
    <row r="56484" ht="26.25" customHeight="1"/>
    <row r="56485" ht="26.25" customHeight="1"/>
    <row r="56486" ht="26.25" customHeight="1"/>
    <row r="56487" ht="26.25" customHeight="1"/>
    <row r="56488" ht="26.25" customHeight="1"/>
    <row r="56489" ht="26.25" customHeight="1"/>
    <row r="56490" ht="26.25" customHeight="1"/>
    <row r="56491" ht="26.25" customHeight="1"/>
    <row r="56492" ht="26.25" customHeight="1"/>
    <row r="56493" ht="26.25" customHeight="1"/>
    <row r="56494" ht="26.25" customHeight="1"/>
    <row r="56495" ht="26.25" customHeight="1"/>
    <row r="56496" ht="26.25" customHeight="1"/>
    <row r="56497" ht="26.25" customHeight="1"/>
    <row r="56498" ht="26.25" customHeight="1"/>
    <row r="56499" ht="26.25" customHeight="1"/>
    <row r="56500" ht="26.25" customHeight="1"/>
    <row r="56501" ht="26.25" customHeight="1"/>
    <row r="56502" ht="26.25" customHeight="1"/>
    <row r="56503" ht="26.25" customHeight="1"/>
    <row r="56504" ht="26.25" customHeight="1"/>
    <row r="56505" ht="26.25" customHeight="1"/>
    <row r="56506" ht="26.25" customHeight="1"/>
    <row r="56507" ht="26.25" customHeight="1"/>
    <row r="56508" ht="26.25" customHeight="1"/>
    <row r="56509" ht="26.25" customHeight="1"/>
    <row r="56510" ht="26.25" customHeight="1"/>
    <row r="56511" ht="26.25" customHeight="1"/>
    <row r="56512" ht="26.25" customHeight="1"/>
    <row r="56513" ht="26.25" customHeight="1"/>
    <row r="56514" ht="26.25" customHeight="1"/>
    <row r="56515" ht="26.25" customHeight="1"/>
    <row r="56516" ht="26.25" customHeight="1"/>
    <row r="56517" ht="26.25" customHeight="1"/>
    <row r="56518" ht="26.25" customHeight="1"/>
    <row r="56519" ht="26.25" customHeight="1"/>
    <row r="56520" ht="26.25" customHeight="1"/>
    <row r="56521" ht="26.25" customHeight="1"/>
    <row r="56522" ht="26.25" customHeight="1"/>
    <row r="56523" ht="26.25" customHeight="1"/>
    <row r="56524" ht="26.25" customHeight="1"/>
    <row r="56525" ht="26.25" customHeight="1"/>
    <row r="56526" ht="26.25" customHeight="1"/>
    <row r="56527" ht="26.25" customHeight="1"/>
    <row r="56528" ht="26.25" customHeight="1"/>
    <row r="56529" ht="26.25" customHeight="1"/>
    <row r="56530" ht="26.25" customHeight="1"/>
    <row r="56531" ht="26.25" customHeight="1"/>
    <row r="56532" ht="26.25" customHeight="1"/>
    <row r="56533" ht="26.25" customHeight="1"/>
    <row r="56534" ht="26.25" customHeight="1"/>
    <row r="56535" ht="26.25" customHeight="1"/>
    <row r="56536" ht="26.25" customHeight="1"/>
    <row r="56537" ht="26.25" customHeight="1"/>
    <row r="56538" ht="26.25" customHeight="1"/>
    <row r="56539" ht="26.25" customHeight="1"/>
    <row r="56540" ht="26.25" customHeight="1"/>
    <row r="56541" ht="26.25" customHeight="1"/>
    <row r="56542" ht="26.25" customHeight="1"/>
    <row r="56543" ht="26.25" customHeight="1"/>
    <row r="56544" ht="26.25" customHeight="1"/>
    <row r="56545" ht="26.25" customHeight="1"/>
    <row r="56546" ht="26.25" customHeight="1"/>
    <row r="56547" ht="26.25" customHeight="1"/>
    <row r="56548" ht="26.25" customHeight="1"/>
    <row r="56549" ht="26.25" customHeight="1"/>
    <row r="56550" ht="26.25" customHeight="1"/>
    <row r="56551" ht="26.25" customHeight="1"/>
    <row r="56552" ht="26.25" customHeight="1"/>
    <row r="56553" ht="26.25" customHeight="1"/>
    <row r="56554" ht="26.25" customHeight="1"/>
    <row r="56555" ht="26.25" customHeight="1"/>
    <row r="56556" ht="26.25" customHeight="1"/>
    <row r="56557" ht="26.25" customHeight="1"/>
    <row r="56558" ht="26.25" customHeight="1"/>
    <row r="56559" ht="26.25" customHeight="1"/>
    <row r="56560" ht="26.25" customHeight="1"/>
    <row r="56561" ht="26.25" customHeight="1"/>
    <row r="56562" ht="26.25" customHeight="1"/>
    <row r="56563" ht="26.25" customHeight="1"/>
    <row r="56564" ht="26.25" customHeight="1"/>
    <row r="56565" ht="26.25" customHeight="1"/>
    <row r="56566" ht="26.25" customHeight="1"/>
    <row r="56567" ht="26.25" customHeight="1"/>
    <row r="56568" ht="26.25" customHeight="1"/>
    <row r="56569" ht="26.25" customHeight="1"/>
    <row r="56570" ht="26.25" customHeight="1"/>
    <row r="56571" ht="26.25" customHeight="1"/>
    <row r="56572" ht="26.25" customHeight="1"/>
    <row r="56573" ht="26.25" customHeight="1"/>
    <row r="56574" ht="26.25" customHeight="1"/>
    <row r="56575" ht="26.25" customHeight="1"/>
    <row r="56576" ht="26.25" customHeight="1"/>
    <row r="56577" ht="26.25" customHeight="1"/>
    <row r="56578" ht="26.25" customHeight="1"/>
    <row r="56579" ht="26.25" customHeight="1"/>
    <row r="56580" ht="26.25" customHeight="1"/>
    <row r="56581" ht="26.25" customHeight="1"/>
    <row r="56582" ht="26.25" customHeight="1"/>
    <row r="56583" ht="26.25" customHeight="1"/>
    <row r="56584" ht="26.25" customHeight="1"/>
    <row r="56585" ht="26.25" customHeight="1"/>
    <row r="56586" ht="26.25" customHeight="1"/>
    <row r="56587" ht="26.25" customHeight="1"/>
    <row r="56588" ht="26.25" customHeight="1"/>
    <row r="56589" ht="26.25" customHeight="1"/>
    <row r="56590" ht="26.25" customHeight="1"/>
    <row r="56591" ht="26.25" customHeight="1"/>
    <row r="56592" ht="26.25" customHeight="1"/>
    <row r="56593" ht="26.25" customHeight="1"/>
    <row r="56594" ht="26.25" customHeight="1"/>
    <row r="56595" ht="26.25" customHeight="1"/>
    <row r="56596" ht="26.25" customHeight="1"/>
    <row r="56597" ht="26.25" customHeight="1"/>
    <row r="56598" ht="26.25" customHeight="1"/>
    <row r="56599" ht="26.25" customHeight="1"/>
    <row r="56600" ht="26.25" customHeight="1"/>
    <row r="56601" ht="26.25" customHeight="1"/>
    <row r="56602" ht="26.25" customHeight="1"/>
    <row r="56603" ht="26.25" customHeight="1"/>
    <row r="56604" ht="26.25" customHeight="1"/>
    <row r="56605" ht="26.25" customHeight="1"/>
    <row r="56606" ht="26.25" customHeight="1"/>
    <row r="56607" ht="26.25" customHeight="1"/>
    <row r="56608" ht="26.25" customHeight="1"/>
    <row r="56609" ht="26.25" customHeight="1"/>
    <row r="56610" ht="26.25" customHeight="1"/>
    <row r="56611" ht="26.25" customHeight="1"/>
    <row r="56612" ht="26.25" customHeight="1"/>
    <row r="56613" ht="26.25" customHeight="1"/>
    <row r="56614" ht="26.25" customHeight="1"/>
    <row r="56615" ht="26.25" customHeight="1"/>
    <row r="56616" ht="26.25" customHeight="1"/>
    <row r="56617" ht="26.25" customHeight="1"/>
    <row r="56618" ht="26.25" customHeight="1"/>
    <row r="56619" ht="26.25" customHeight="1"/>
    <row r="56620" ht="26.25" customHeight="1"/>
    <row r="56621" ht="26.25" customHeight="1"/>
    <row r="56622" ht="26.25" customHeight="1"/>
    <row r="56623" ht="26.25" customHeight="1"/>
    <row r="56624" ht="26.25" customHeight="1"/>
    <row r="56625" ht="26.25" customHeight="1"/>
    <row r="56626" ht="26.25" customHeight="1"/>
    <row r="56627" ht="26.25" customHeight="1"/>
    <row r="56628" ht="26.25" customHeight="1"/>
    <row r="56629" ht="26.25" customHeight="1"/>
    <row r="56630" ht="26.25" customHeight="1"/>
    <row r="56631" ht="26.25" customHeight="1"/>
    <row r="56632" ht="26.25" customHeight="1"/>
    <row r="56633" ht="26.25" customHeight="1"/>
    <row r="56634" ht="26.25" customHeight="1"/>
    <row r="56635" ht="26.25" customHeight="1"/>
    <row r="56636" ht="26.25" customHeight="1"/>
    <row r="56637" ht="26.25" customHeight="1"/>
    <row r="56638" ht="26.25" customHeight="1"/>
    <row r="56639" ht="26.25" customHeight="1"/>
    <row r="56640" ht="26.25" customHeight="1"/>
    <row r="56641" ht="26.25" customHeight="1"/>
    <row r="56642" ht="26.25" customHeight="1"/>
    <row r="56643" ht="26.25" customHeight="1"/>
    <row r="56644" ht="26.25" customHeight="1"/>
    <row r="56645" ht="26.25" customHeight="1"/>
    <row r="56646" ht="26.25" customHeight="1"/>
    <row r="56647" ht="26.25" customHeight="1"/>
    <row r="56648" ht="26.25" customHeight="1"/>
    <row r="56649" ht="26.25" customHeight="1"/>
    <row r="56650" ht="26.25" customHeight="1"/>
    <row r="56651" ht="26.25" customHeight="1"/>
    <row r="56652" ht="26.25" customHeight="1"/>
    <row r="56653" ht="26.25" customHeight="1"/>
    <row r="56654" ht="26.25" customHeight="1"/>
    <row r="56655" ht="26.25" customHeight="1"/>
    <row r="56656" ht="26.25" customHeight="1"/>
    <row r="56657" ht="26.25" customHeight="1"/>
    <row r="56658" ht="26.25" customHeight="1"/>
    <row r="56659" ht="26.25" customHeight="1"/>
    <row r="56660" ht="26.25" customHeight="1"/>
    <row r="56661" ht="26.25" customHeight="1"/>
    <row r="56662" ht="26.25" customHeight="1"/>
    <row r="56663" ht="26.25" customHeight="1"/>
    <row r="56664" ht="26.25" customHeight="1"/>
    <row r="56665" ht="26.25" customHeight="1"/>
    <row r="56666" ht="26.25" customHeight="1"/>
    <row r="56667" ht="26.25" customHeight="1"/>
    <row r="56668" ht="26.25" customHeight="1"/>
    <row r="56669" ht="26.25" customHeight="1"/>
    <row r="56670" ht="26.25" customHeight="1"/>
    <row r="56671" ht="26.25" customHeight="1"/>
    <row r="56672" ht="26.25" customHeight="1"/>
    <row r="56673" ht="26.25" customHeight="1"/>
    <row r="56674" ht="26.25" customHeight="1"/>
    <row r="56675" ht="26.25" customHeight="1"/>
    <row r="56676" ht="26.25" customHeight="1"/>
    <row r="56677" ht="26.25" customHeight="1"/>
    <row r="56678" ht="26.25" customHeight="1"/>
    <row r="56679" ht="26.25" customHeight="1"/>
    <row r="56680" ht="26.25" customHeight="1"/>
    <row r="56681" ht="26.25" customHeight="1"/>
    <row r="56682" ht="26.25" customHeight="1"/>
    <row r="56683" ht="26.25" customHeight="1"/>
    <row r="56684" ht="26.25" customHeight="1"/>
    <row r="56685" ht="26.25" customHeight="1"/>
    <row r="56686" ht="26.25" customHeight="1"/>
    <row r="56687" ht="26.25" customHeight="1"/>
    <row r="56688" ht="26.25" customHeight="1"/>
    <row r="56689" ht="26.25" customHeight="1"/>
    <row r="56690" ht="26.25" customHeight="1"/>
    <row r="56691" ht="26.25" customHeight="1"/>
    <row r="56692" ht="26.25" customHeight="1"/>
    <row r="56693" ht="26.25" customHeight="1"/>
    <row r="56694" ht="26.25" customHeight="1"/>
    <row r="56695" ht="26.25" customHeight="1"/>
    <row r="56696" ht="26.25" customHeight="1"/>
    <row r="56697" ht="26.25" customHeight="1"/>
    <row r="56698" ht="26.25" customHeight="1"/>
    <row r="56699" ht="26.25" customHeight="1"/>
    <row r="56700" ht="26.25" customHeight="1"/>
    <row r="56701" ht="26.25" customHeight="1"/>
    <row r="56702" ht="26.25" customHeight="1"/>
    <row r="56703" ht="26.25" customHeight="1"/>
    <row r="56704" ht="26.25" customHeight="1"/>
    <row r="56705" ht="26.25" customHeight="1"/>
    <row r="56706" ht="26.25" customHeight="1"/>
    <row r="56707" ht="26.25" customHeight="1"/>
    <row r="56708" ht="26.25" customHeight="1"/>
    <row r="56709" ht="26.25" customHeight="1"/>
    <row r="56710" ht="26.25" customHeight="1"/>
    <row r="56711" ht="26.25" customHeight="1"/>
    <row r="56712" ht="26.25" customHeight="1"/>
    <row r="56713" ht="26.25" customHeight="1"/>
    <row r="56714" ht="26.25" customHeight="1"/>
    <row r="56715" ht="26.25" customHeight="1"/>
    <row r="56716" ht="26.25" customHeight="1"/>
    <row r="56717" ht="26.25" customHeight="1"/>
    <row r="56718" ht="26.25" customHeight="1"/>
    <row r="56719" ht="26.25" customHeight="1"/>
    <row r="56720" ht="26.25" customHeight="1"/>
    <row r="56721" ht="26.25" customHeight="1"/>
    <row r="56722" ht="26.25" customHeight="1"/>
    <row r="56723" ht="26.25" customHeight="1"/>
    <row r="56724" ht="26.25" customHeight="1"/>
    <row r="56725" ht="26.25" customHeight="1"/>
    <row r="56726" ht="26.25" customHeight="1"/>
    <row r="56727" ht="26.25" customHeight="1"/>
    <row r="56728" ht="26.25" customHeight="1"/>
    <row r="56729" ht="26.25" customHeight="1"/>
    <row r="56730" ht="26.25" customHeight="1"/>
    <row r="56731" ht="26.25" customHeight="1"/>
    <row r="56732" ht="26.25" customHeight="1"/>
    <row r="56733" ht="26.25" customHeight="1"/>
    <row r="56734" ht="26.25" customHeight="1"/>
    <row r="56735" ht="26.25" customHeight="1"/>
    <row r="56736" ht="26.25" customHeight="1"/>
    <row r="56737" ht="26.25" customHeight="1"/>
    <row r="56738" ht="26.25" customHeight="1"/>
    <row r="56739" ht="26.25" customHeight="1"/>
    <row r="56740" ht="26.25" customHeight="1"/>
    <row r="56741" ht="26.25" customHeight="1"/>
    <row r="56742" ht="26.25" customHeight="1"/>
    <row r="56743" ht="26.25" customHeight="1"/>
    <row r="56744" ht="26.25" customHeight="1"/>
    <row r="56745" ht="26.25" customHeight="1"/>
    <row r="56746" ht="26.25" customHeight="1"/>
    <row r="56747" ht="26.25" customHeight="1"/>
    <row r="56748" ht="26.25" customHeight="1"/>
    <row r="56749" ht="26.25" customHeight="1"/>
    <row r="56750" ht="26.25" customHeight="1"/>
    <row r="56751" ht="26.25" customHeight="1"/>
    <row r="56752" ht="26.25" customHeight="1"/>
    <row r="56753" ht="26.25" customHeight="1"/>
    <row r="56754" ht="26.25" customHeight="1"/>
    <row r="56755" ht="26.25" customHeight="1"/>
    <row r="56756" ht="26.25" customHeight="1"/>
    <row r="56757" ht="26.25" customHeight="1"/>
    <row r="56758" ht="26.25" customHeight="1"/>
    <row r="56759" ht="26.25" customHeight="1"/>
    <row r="56760" ht="26.25" customHeight="1"/>
    <row r="56761" ht="26.25" customHeight="1"/>
    <row r="56762" ht="26.25" customHeight="1"/>
    <row r="56763" ht="26.25" customHeight="1"/>
    <row r="56764" ht="26.25" customHeight="1"/>
    <row r="56765" ht="26.25" customHeight="1"/>
    <row r="56766" ht="26.25" customHeight="1"/>
    <row r="56767" ht="26.25" customHeight="1"/>
    <row r="56768" ht="26.25" customHeight="1"/>
    <row r="56769" ht="26.25" customHeight="1"/>
    <row r="56770" ht="26.25" customHeight="1"/>
    <row r="56771" ht="26.25" customHeight="1"/>
    <row r="56772" ht="26.25" customHeight="1"/>
    <row r="56773" ht="26.25" customHeight="1"/>
    <row r="56774" ht="26.25" customHeight="1"/>
    <row r="56775" ht="26.25" customHeight="1"/>
    <row r="56776" ht="26.25" customHeight="1"/>
    <row r="56777" ht="26.25" customHeight="1"/>
    <row r="56778" ht="26.25" customHeight="1"/>
    <row r="56779" ht="26.25" customHeight="1"/>
    <row r="56780" ht="26.25" customHeight="1"/>
    <row r="56781" ht="26.25" customHeight="1"/>
    <row r="56782" ht="26.25" customHeight="1"/>
    <row r="56783" ht="26.25" customHeight="1"/>
    <row r="56784" ht="26.25" customHeight="1"/>
    <row r="56785" ht="26.25" customHeight="1"/>
    <row r="56786" ht="26.25" customHeight="1"/>
    <row r="56787" ht="26.25" customHeight="1"/>
    <row r="56788" ht="26.25" customHeight="1"/>
    <row r="56789" ht="26.25" customHeight="1"/>
    <row r="56790" ht="26.25" customHeight="1"/>
    <row r="56791" ht="26.25" customHeight="1"/>
    <row r="56792" ht="26.25" customHeight="1"/>
    <row r="56793" ht="26.25" customHeight="1"/>
    <row r="56794" ht="26.25" customHeight="1"/>
    <row r="56795" ht="26.25" customHeight="1"/>
    <row r="56796" ht="26.25" customHeight="1"/>
    <row r="56797" ht="26.25" customHeight="1"/>
    <row r="56798" ht="26.25" customHeight="1"/>
    <row r="56799" ht="26.25" customHeight="1"/>
    <row r="56800" ht="26.25" customHeight="1"/>
    <row r="56801" ht="26.25" customHeight="1"/>
    <row r="56802" ht="26.25" customHeight="1"/>
    <row r="56803" ht="26.25" customHeight="1"/>
    <row r="56804" ht="26.25" customHeight="1"/>
    <row r="56805" ht="26.25" customHeight="1"/>
    <row r="56806" ht="26.25" customHeight="1"/>
    <row r="56807" ht="26.25" customHeight="1"/>
    <row r="56808" ht="26.25" customHeight="1"/>
    <row r="56809" ht="26.25" customHeight="1"/>
    <row r="56810" ht="26.25" customHeight="1"/>
    <row r="56811" ht="26.25" customHeight="1"/>
    <row r="56812" ht="26.25" customHeight="1"/>
    <row r="56813" ht="26.25" customHeight="1"/>
    <row r="56814" ht="26.25" customHeight="1"/>
    <row r="56815" ht="26.25" customHeight="1"/>
    <row r="56816" ht="26.25" customHeight="1"/>
    <row r="56817" ht="26.25" customHeight="1"/>
    <row r="56818" ht="26.25" customHeight="1"/>
    <row r="56819" ht="26.25" customHeight="1"/>
    <row r="56820" ht="26.25" customHeight="1"/>
    <row r="56821" ht="26.25" customHeight="1"/>
    <row r="56822" ht="26.25" customHeight="1"/>
    <row r="56823" ht="26.25" customHeight="1"/>
    <row r="56824" ht="26.25" customHeight="1"/>
    <row r="56825" ht="26.25" customHeight="1"/>
    <row r="56826" ht="26.25" customHeight="1"/>
    <row r="56827" ht="26.25" customHeight="1"/>
    <row r="56828" ht="26.25" customHeight="1"/>
    <row r="56829" ht="26.25" customHeight="1"/>
    <row r="56830" ht="26.25" customHeight="1"/>
    <row r="56831" ht="26.25" customHeight="1"/>
    <row r="56832" ht="26.25" customHeight="1"/>
    <row r="56833" ht="26.25" customHeight="1"/>
    <row r="56834" ht="26.25" customHeight="1"/>
    <row r="56835" ht="26.25" customHeight="1"/>
    <row r="56836" ht="26.25" customHeight="1"/>
    <row r="56837" ht="26.25" customHeight="1"/>
    <row r="56838" ht="26.25" customHeight="1"/>
    <row r="56839" ht="26.25" customHeight="1"/>
    <row r="56840" ht="26.25" customHeight="1"/>
    <row r="56841" ht="26.25" customHeight="1"/>
    <row r="56842" ht="26.25" customHeight="1"/>
    <row r="56843" ht="26.25" customHeight="1"/>
    <row r="56844" ht="26.25" customHeight="1"/>
    <row r="56845" ht="26.25" customHeight="1"/>
    <row r="56846" ht="26.25" customHeight="1"/>
    <row r="56847" ht="26.25" customHeight="1"/>
    <row r="56848" ht="26.25" customHeight="1"/>
    <row r="56849" ht="26.25" customHeight="1"/>
    <row r="56850" ht="26.25" customHeight="1"/>
    <row r="56851" ht="26.25" customHeight="1"/>
    <row r="56852" ht="26.25" customHeight="1"/>
    <row r="56853" ht="26.25" customHeight="1"/>
    <row r="56854" ht="26.25" customHeight="1"/>
    <row r="56855" ht="26.25" customHeight="1"/>
    <row r="56856" ht="26.25" customHeight="1"/>
    <row r="56857" ht="26.25" customHeight="1"/>
    <row r="56858" ht="26.25" customHeight="1"/>
    <row r="56859" ht="26.25" customHeight="1"/>
    <row r="56860" ht="26.25" customHeight="1"/>
    <row r="56861" ht="26.25" customHeight="1"/>
    <row r="56862" ht="26.25" customHeight="1"/>
    <row r="56863" ht="26.25" customHeight="1"/>
    <row r="56864" ht="26.25" customHeight="1"/>
    <row r="56865" ht="26.25" customHeight="1"/>
    <row r="56866" ht="26.25" customHeight="1"/>
    <row r="56867" ht="26.25" customHeight="1"/>
    <row r="56868" ht="26.25" customHeight="1"/>
    <row r="56869" ht="26.25" customHeight="1"/>
    <row r="56870" ht="26.25" customHeight="1"/>
    <row r="56871" ht="26.25" customHeight="1"/>
    <row r="56872" ht="26.25" customHeight="1"/>
    <row r="56873" ht="26.25" customHeight="1"/>
    <row r="56874" ht="26.25" customHeight="1"/>
    <row r="56875" ht="26.25" customHeight="1"/>
    <row r="56876" ht="26.25" customHeight="1"/>
    <row r="56877" ht="26.25" customHeight="1"/>
    <row r="56878" ht="26.25" customHeight="1"/>
    <row r="56879" ht="26.25" customHeight="1"/>
    <row r="56880" ht="26.25" customHeight="1"/>
    <row r="56881" ht="26.25" customHeight="1"/>
    <row r="56882" ht="26.25" customHeight="1"/>
    <row r="56883" ht="26.25" customHeight="1"/>
    <row r="56884" ht="26.25" customHeight="1"/>
    <row r="56885" ht="26.25" customHeight="1"/>
    <row r="56886" ht="26.25" customHeight="1"/>
    <row r="56887" ht="26.25" customHeight="1"/>
    <row r="56888" ht="26.25" customHeight="1"/>
    <row r="56889" ht="26.25" customHeight="1"/>
    <row r="56890" ht="26.25" customHeight="1"/>
    <row r="56891" ht="26.25" customHeight="1"/>
    <row r="56892" ht="26.25" customHeight="1"/>
    <row r="56893" ht="26.25" customHeight="1"/>
    <row r="56894" ht="26.25" customHeight="1"/>
    <row r="56895" ht="26.25" customHeight="1"/>
    <row r="56896" ht="26.25" customHeight="1"/>
    <row r="56897" ht="26.25" customHeight="1"/>
    <row r="56898" ht="26.25" customHeight="1"/>
    <row r="56899" ht="26.25" customHeight="1"/>
    <row r="56900" ht="26.25" customHeight="1"/>
    <row r="56901" ht="26.25" customHeight="1"/>
    <row r="56902" ht="26.25" customHeight="1"/>
    <row r="56903" ht="26.25" customHeight="1"/>
    <row r="56904" ht="26.25" customHeight="1"/>
    <row r="56905" ht="26.25" customHeight="1"/>
    <row r="56906" ht="26.25" customHeight="1"/>
    <row r="56907" ht="26.25" customHeight="1"/>
    <row r="56908" ht="26.25" customHeight="1"/>
    <row r="56909" ht="26.25" customHeight="1"/>
    <row r="56910" ht="26.25" customHeight="1"/>
    <row r="56911" ht="26.25" customHeight="1"/>
    <row r="56912" ht="26.25" customHeight="1"/>
    <row r="56913" ht="26.25" customHeight="1"/>
    <row r="56914" ht="26.25" customHeight="1"/>
    <row r="56915" ht="26.25" customHeight="1"/>
    <row r="56916" ht="26.25" customHeight="1"/>
    <row r="56917" ht="26.25" customHeight="1"/>
    <row r="56918" ht="26.25" customHeight="1"/>
    <row r="56919" ht="26.25" customHeight="1"/>
    <row r="56920" ht="26.25" customHeight="1"/>
    <row r="56921" ht="26.25" customHeight="1"/>
    <row r="56922" ht="26.25" customHeight="1"/>
    <row r="56923" ht="26.25" customHeight="1"/>
    <row r="56924" ht="26.25" customHeight="1"/>
    <row r="56925" ht="26.25" customHeight="1"/>
    <row r="56926" ht="26.25" customHeight="1"/>
    <row r="56927" ht="26.25" customHeight="1"/>
    <row r="56928" ht="26.25" customHeight="1"/>
    <row r="56929" ht="26.25" customHeight="1"/>
    <row r="56930" ht="26.25" customHeight="1"/>
    <row r="56931" ht="26.25" customHeight="1"/>
    <row r="56932" ht="26.25" customHeight="1"/>
    <row r="56933" ht="26.25" customHeight="1"/>
    <row r="56934" ht="26.25" customHeight="1"/>
    <row r="56935" ht="26.25" customHeight="1"/>
    <row r="56936" ht="26.25" customHeight="1"/>
    <row r="56937" ht="26.25" customHeight="1"/>
    <row r="56938" ht="26.25" customHeight="1"/>
    <row r="56939" ht="26.25" customHeight="1"/>
    <row r="56940" ht="26.25" customHeight="1"/>
    <row r="56941" ht="26.25" customHeight="1"/>
    <row r="56942" ht="26.25" customHeight="1"/>
    <row r="56943" ht="26.25" customHeight="1"/>
    <row r="56944" ht="26.25" customHeight="1"/>
    <row r="56945" ht="26.25" customHeight="1"/>
    <row r="56946" ht="26.25" customHeight="1"/>
    <row r="56947" ht="26.25" customHeight="1"/>
    <row r="56948" ht="26.25" customHeight="1"/>
    <row r="56949" ht="26.25" customHeight="1"/>
    <row r="56950" ht="26.25" customHeight="1"/>
    <row r="56951" ht="26.25" customHeight="1"/>
    <row r="56952" ht="26.25" customHeight="1"/>
    <row r="56953" ht="26.25" customHeight="1"/>
    <row r="56954" ht="26.25" customHeight="1"/>
    <row r="56955" ht="26.25" customHeight="1"/>
    <row r="56956" ht="26.25" customHeight="1"/>
    <row r="56957" ht="26.25" customHeight="1"/>
    <row r="56958" ht="26.25" customHeight="1"/>
    <row r="56959" ht="26.25" customHeight="1"/>
    <row r="56960" ht="26.25" customHeight="1"/>
    <row r="56961" ht="26.25" customHeight="1"/>
    <row r="56962" ht="26.25" customHeight="1"/>
    <row r="56963" ht="26.25" customHeight="1"/>
    <row r="56964" ht="26.25" customHeight="1"/>
    <row r="56965" ht="26.25" customHeight="1"/>
    <row r="56966" ht="26.25" customHeight="1"/>
    <row r="56967" ht="26.25" customHeight="1"/>
    <row r="56968" ht="26.25" customHeight="1"/>
    <row r="56969" ht="26.25" customHeight="1"/>
    <row r="56970" ht="26.25" customHeight="1"/>
    <row r="56971" ht="26.25" customHeight="1"/>
    <row r="56972" ht="26.25" customHeight="1"/>
    <row r="56973" ht="26.25" customHeight="1"/>
    <row r="56974" ht="26.25" customHeight="1"/>
    <row r="56975" ht="26.25" customHeight="1"/>
    <row r="56976" ht="26.25" customHeight="1"/>
    <row r="56977" ht="26.25" customHeight="1"/>
    <row r="56978" ht="26.25" customHeight="1"/>
    <row r="56979" ht="26.25" customHeight="1"/>
    <row r="56980" ht="26.25" customHeight="1"/>
    <row r="56981" ht="26.25" customHeight="1"/>
    <row r="56982" ht="26.25" customHeight="1"/>
    <row r="56983" ht="26.25" customHeight="1"/>
    <row r="56984" ht="26.25" customHeight="1"/>
    <row r="56985" ht="26.25" customHeight="1"/>
    <row r="56986" ht="26.25" customHeight="1"/>
    <row r="56987" ht="26.25" customHeight="1"/>
    <row r="56988" ht="26.25" customHeight="1"/>
    <row r="56989" ht="26.25" customHeight="1"/>
    <row r="56990" ht="26.25" customHeight="1"/>
    <row r="56991" ht="26.25" customHeight="1"/>
    <row r="56992" ht="26.25" customHeight="1"/>
    <row r="56993" ht="26.25" customHeight="1"/>
    <row r="56994" ht="26.25" customHeight="1"/>
    <row r="56995" ht="26.25" customHeight="1"/>
    <row r="56996" ht="26.25" customHeight="1"/>
    <row r="56997" ht="26.25" customHeight="1"/>
    <row r="56998" ht="26.25" customHeight="1"/>
    <row r="56999" ht="26.25" customHeight="1"/>
    <row r="57000" ht="26.25" customHeight="1"/>
    <row r="57001" ht="26.25" customHeight="1"/>
    <row r="57002" ht="26.25" customHeight="1"/>
    <row r="57003" ht="26.25" customHeight="1"/>
    <row r="57004" ht="26.25" customHeight="1"/>
    <row r="57005" ht="26.25" customHeight="1"/>
    <row r="57006" ht="26.25" customHeight="1"/>
    <row r="57007" ht="26.25" customHeight="1"/>
    <row r="57008" ht="26.25" customHeight="1"/>
    <row r="57009" ht="26.25" customHeight="1"/>
    <row r="57010" ht="26.25" customHeight="1"/>
    <row r="57011" ht="26.25" customHeight="1"/>
    <row r="57012" ht="26.25" customHeight="1"/>
    <row r="57013" ht="26.25" customHeight="1"/>
    <row r="57014" ht="26.25" customHeight="1"/>
    <row r="57015" ht="26.25" customHeight="1"/>
    <row r="57016" ht="26.25" customHeight="1"/>
    <row r="57017" ht="26.25" customHeight="1"/>
    <row r="57018" ht="26.25" customHeight="1"/>
    <row r="57019" ht="26.25" customHeight="1"/>
    <row r="57020" ht="26.25" customHeight="1"/>
    <row r="57021" ht="26.25" customHeight="1"/>
    <row r="57022" ht="26.25" customHeight="1"/>
    <row r="57023" ht="26.25" customHeight="1"/>
    <row r="57024" ht="26.25" customHeight="1"/>
    <row r="57025" ht="26.25" customHeight="1"/>
    <row r="57026" ht="26.25" customHeight="1"/>
    <row r="57027" ht="26.25" customHeight="1"/>
    <row r="57028" ht="26.25" customHeight="1"/>
    <row r="57029" ht="26.25" customHeight="1"/>
    <row r="57030" ht="26.25" customHeight="1"/>
    <row r="57031" ht="26.25" customHeight="1"/>
    <row r="57032" ht="26.25" customHeight="1"/>
    <row r="57033" ht="26.25" customHeight="1"/>
    <row r="57034" ht="26.25" customHeight="1"/>
    <row r="57035" ht="26.25" customHeight="1"/>
    <row r="57036" ht="26.25" customHeight="1"/>
    <row r="57037" ht="26.25" customHeight="1"/>
    <row r="57038" ht="26.25" customHeight="1"/>
    <row r="57039" ht="26.25" customHeight="1"/>
    <row r="57040" ht="26.25" customHeight="1"/>
    <row r="57041" ht="26.25" customHeight="1"/>
    <row r="57042" ht="26.25" customHeight="1"/>
    <row r="57043" ht="26.25" customHeight="1"/>
    <row r="57044" ht="26.25" customHeight="1"/>
    <row r="57045" ht="26.25" customHeight="1"/>
    <row r="57046" ht="26.25" customHeight="1"/>
    <row r="57047" ht="26.25" customHeight="1"/>
    <row r="57048" ht="26.25" customHeight="1"/>
    <row r="57049" ht="26.25" customHeight="1"/>
    <row r="57050" ht="26.25" customHeight="1"/>
    <row r="57051" ht="26.25" customHeight="1"/>
    <row r="57052" ht="26.25" customHeight="1"/>
    <row r="57053" ht="26.25" customHeight="1"/>
    <row r="57054" ht="26.25" customHeight="1"/>
    <row r="57055" ht="26.25" customHeight="1"/>
    <row r="57056" ht="26.25" customHeight="1"/>
    <row r="57057" ht="26.25" customHeight="1"/>
    <row r="57058" ht="26.25" customHeight="1"/>
    <row r="57059" ht="26.25" customHeight="1"/>
    <row r="57060" ht="26.25" customHeight="1"/>
    <row r="57061" ht="26.25" customHeight="1"/>
    <row r="57062" ht="26.25" customHeight="1"/>
    <row r="57063" ht="26.25" customHeight="1"/>
    <row r="57064" ht="26.25" customHeight="1"/>
    <row r="57065" ht="26.25" customHeight="1"/>
    <row r="57066" ht="26.25" customHeight="1"/>
    <row r="57067" ht="26.25" customHeight="1"/>
    <row r="57068" ht="26.25" customHeight="1"/>
    <row r="57069" ht="26.25" customHeight="1"/>
    <row r="57070" ht="26.25" customHeight="1"/>
    <row r="57071" ht="26.25" customHeight="1"/>
    <row r="57072" ht="26.25" customHeight="1"/>
    <row r="57073" ht="26.25" customHeight="1"/>
    <row r="57074" ht="26.25" customHeight="1"/>
    <row r="57075" ht="26.25" customHeight="1"/>
    <row r="57076" ht="26.25" customHeight="1"/>
    <row r="57077" ht="26.25" customHeight="1"/>
    <row r="57078" ht="26.25" customHeight="1"/>
    <row r="57079" ht="26.25" customHeight="1"/>
    <row r="57080" ht="26.25" customHeight="1"/>
    <row r="57081" ht="26.25" customHeight="1"/>
    <row r="57082" ht="26.25" customHeight="1"/>
    <row r="57083" ht="26.25" customHeight="1"/>
    <row r="57084" ht="26.25" customHeight="1"/>
    <row r="57085" ht="26.25" customHeight="1"/>
    <row r="57086" ht="26.25" customHeight="1"/>
    <row r="57087" ht="26.25" customHeight="1"/>
    <row r="57088" ht="26.25" customHeight="1"/>
    <row r="57089" ht="26.25" customHeight="1"/>
    <row r="57090" ht="26.25" customHeight="1"/>
    <row r="57091" ht="26.25" customHeight="1"/>
    <row r="57092" ht="26.25" customHeight="1"/>
    <row r="57093" ht="26.25" customHeight="1"/>
    <row r="57094" ht="26.25" customHeight="1"/>
    <row r="57095" ht="26.25" customHeight="1"/>
    <row r="57096" ht="26.25" customHeight="1"/>
    <row r="57097" ht="26.25" customHeight="1"/>
    <row r="57098" ht="26.25" customHeight="1"/>
    <row r="57099" ht="26.25" customHeight="1"/>
    <row r="57100" ht="26.25" customHeight="1"/>
    <row r="57101" ht="26.25" customHeight="1"/>
    <row r="57102" ht="26.25" customHeight="1"/>
    <row r="57103" ht="26.25" customHeight="1"/>
    <row r="57104" ht="26.25" customHeight="1"/>
    <row r="57105" ht="26.25" customHeight="1"/>
    <row r="57106" ht="26.25" customHeight="1"/>
    <row r="57107" ht="26.25" customHeight="1"/>
    <row r="57108" ht="26.25" customHeight="1"/>
    <row r="57109" ht="26.25" customHeight="1"/>
    <row r="57110" ht="26.25" customHeight="1"/>
    <row r="57111" ht="26.25" customHeight="1"/>
    <row r="57112" ht="26.25" customHeight="1"/>
    <row r="57113" ht="26.25" customHeight="1"/>
    <row r="57114" ht="26.25" customHeight="1"/>
    <row r="57115" ht="26.25" customHeight="1"/>
    <row r="57116" ht="26.25" customHeight="1"/>
    <row r="57117" ht="26.25" customHeight="1"/>
    <row r="57118" ht="26.25" customHeight="1"/>
    <row r="57119" ht="26.25" customHeight="1"/>
    <row r="57120" ht="26.25" customHeight="1"/>
    <row r="57121" ht="26.25" customHeight="1"/>
    <row r="57122" ht="26.25" customHeight="1"/>
    <row r="57123" ht="26.25" customHeight="1"/>
    <row r="57124" ht="26.25" customHeight="1"/>
    <row r="57125" ht="26.25" customHeight="1"/>
    <row r="57126" ht="26.25" customHeight="1"/>
    <row r="57127" ht="26.25" customHeight="1"/>
    <row r="57128" ht="26.25" customHeight="1"/>
    <row r="57129" ht="26.25" customHeight="1"/>
    <row r="57130" ht="26.25" customHeight="1"/>
    <row r="57131" ht="26.25" customHeight="1"/>
    <row r="57132" ht="26.25" customHeight="1"/>
    <row r="57133" ht="26.25" customHeight="1"/>
    <row r="57134" ht="26.25" customHeight="1"/>
    <row r="57135" ht="26.25" customHeight="1"/>
    <row r="57136" ht="26.25" customHeight="1"/>
    <row r="57137" ht="26.25" customHeight="1"/>
    <row r="57138" ht="26.25" customHeight="1"/>
    <row r="57139" ht="26.25" customHeight="1"/>
    <row r="57140" ht="26.25" customHeight="1"/>
    <row r="57141" ht="26.25" customHeight="1"/>
    <row r="57142" ht="26.25" customHeight="1"/>
    <row r="57143" ht="26.25" customHeight="1"/>
    <row r="57144" ht="26.25" customHeight="1"/>
    <row r="57145" ht="26.25" customHeight="1"/>
    <row r="57146" ht="26.25" customHeight="1"/>
    <row r="57147" ht="26.25" customHeight="1"/>
    <row r="57148" ht="26.25" customHeight="1"/>
    <row r="57149" ht="26.25" customHeight="1"/>
    <row r="57150" ht="26.25" customHeight="1"/>
    <row r="57151" ht="26.25" customHeight="1"/>
    <row r="57152" ht="26.25" customHeight="1"/>
    <row r="57153" ht="26.25" customHeight="1"/>
    <row r="57154" ht="26.25" customHeight="1"/>
    <row r="57155" ht="26.25" customHeight="1"/>
    <row r="57156" ht="26.25" customHeight="1"/>
    <row r="57157" ht="26.25" customHeight="1"/>
    <row r="57158" ht="26.25" customHeight="1"/>
    <row r="57159" ht="26.25" customHeight="1"/>
    <row r="57160" ht="26.25" customHeight="1"/>
    <row r="57161" ht="26.25" customHeight="1"/>
    <row r="57162" ht="26.25" customHeight="1"/>
    <row r="57163" ht="26.25" customHeight="1"/>
    <row r="57164" ht="26.25" customHeight="1"/>
    <row r="57165" ht="26.25" customHeight="1"/>
    <row r="57166" ht="26.25" customHeight="1"/>
    <row r="57167" ht="26.25" customHeight="1"/>
    <row r="57168" ht="26.25" customHeight="1"/>
    <row r="57169" ht="26.25" customHeight="1"/>
    <row r="57170" ht="26.25" customHeight="1"/>
    <row r="57171" ht="26.25" customHeight="1"/>
    <row r="57172" ht="26.25" customHeight="1"/>
    <row r="57173" ht="26.25" customHeight="1"/>
    <row r="57174" ht="26.25" customHeight="1"/>
    <row r="57175" ht="26.25" customHeight="1"/>
    <row r="57176" ht="26.25" customHeight="1"/>
    <row r="57177" ht="26.25" customHeight="1"/>
    <row r="57178" ht="26.25" customHeight="1"/>
    <row r="57179" ht="26.25" customHeight="1"/>
    <row r="57180" ht="26.25" customHeight="1"/>
    <row r="57181" ht="26.25" customHeight="1"/>
    <row r="57182" ht="26.25" customHeight="1"/>
    <row r="57183" ht="26.25" customHeight="1"/>
    <row r="57184" ht="26.25" customHeight="1"/>
    <row r="57185" ht="26.25" customHeight="1"/>
    <row r="57186" ht="26.25" customHeight="1"/>
    <row r="57187" ht="26.25" customHeight="1"/>
    <row r="57188" ht="26.25" customHeight="1"/>
    <row r="57189" ht="26.25" customHeight="1"/>
    <row r="57190" ht="26.25" customHeight="1"/>
    <row r="57191" ht="26.25" customHeight="1"/>
    <row r="57192" ht="26.25" customHeight="1"/>
    <row r="57193" ht="26.25" customHeight="1"/>
    <row r="57194" ht="26.25" customHeight="1"/>
    <row r="57195" ht="26.25" customHeight="1"/>
    <row r="57196" ht="26.25" customHeight="1"/>
    <row r="57197" ht="26.25" customHeight="1"/>
    <row r="57198" ht="26.25" customHeight="1"/>
    <row r="57199" ht="26.25" customHeight="1"/>
    <row r="57200" ht="26.25" customHeight="1"/>
    <row r="57201" ht="26.25" customHeight="1"/>
    <row r="57202" ht="26.25" customHeight="1"/>
    <row r="57203" ht="26.25" customHeight="1"/>
    <row r="57204" ht="26.25" customHeight="1"/>
    <row r="57205" ht="26.25" customHeight="1"/>
    <row r="57206" ht="26.25" customHeight="1"/>
    <row r="57207" ht="26.25" customHeight="1"/>
    <row r="57208" ht="26.25" customHeight="1"/>
    <row r="57209" ht="26.25" customHeight="1"/>
    <row r="57210" ht="26.25" customHeight="1"/>
    <row r="57211" ht="26.25" customHeight="1"/>
    <row r="57212" ht="26.25" customHeight="1"/>
    <row r="57213" ht="26.25" customHeight="1"/>
    <row r="57214" ht="26.25" customHeight="1"/>
    <row r="57215" ht="26.25" customHeight="1"/>
    <row r="57216" ht="26.25" customHeight="1"/>
    <row r="57217" ht="26.25" customHeight="1"/>
    <row r="57218" ht="26.25" customHeight="1"/>
    <row r="57219" ht="26.25" customHeight="1"/>
    <row r="57220" ht="26.25" customHeight="1"/>
    <row r="57221" ht="26.25" customHeight="1"/>
    <row r="57222" ht="26.25" customHeight="1"/>
    <row r="57223" ht="26.25" customHeight="1"/>
    <row r="57224" ht="26.25" customHeight="1"/>
    <row r="57225" ht="26.25" customHeight="1"/>
    <row r="57226" ht="26.25" customHeight="1"/>
    <row r="57227" ht="26.25" customHeight="1"/>
    <row r="57228" ht="26.25" customHeight="1"/>
    <row r="57229" ht="26.25" customHeight="1"/>
    <row r="57230" ht="26.25" customHeight="1"/>
    <row r="57231" ht="26.25" customHeight="1"/>
    <row r="57232" ht="26.25" customHeight="1"/>
    <row r="57233" ht="26.25" customHeight="1"/>
    <row r="57234" ht="26.25" customHeight="1"/>
    <row r="57235" ht="26.25" customHeight="1"/>
    <row r="57236" ht="26.25" customHeight="1"/>
    <row r="57237" ht="26.25" customHeight="1"/>
    <row r="57238" ht="26.25" customHeight="1"/>
    <row r="57239" ht="26.25" customHeight="1"/>
    <row r="57240" ht="26.25" customHeight="1"/>
    <row r="57241" ht="26.25" customHeight="1"/>
    <row r="57242" ht="26.25" customHeight="1"/>
    <row r="57243" ht="26.25" customHeight="1"/>
    <row r="57244" ht="26.25" customHeight="1"/>
    <row r="57245" ht="26.25" customHeight="1"/>
    <row r="57246" ht="26.25" customHeight="1"/>
    <row r="57247" ht="26.25" customHeight="1"/>
    <row r="57248" ht="26.25" customHeight="1"/>
    <row r="57249" ht="26.25" customHeight="1"/>
    <row r="57250" ht="26.25" customHeight="1"/>
    <row r="57251" ht="26.25" customHeight="1"/>
    <row r="57252" ht="26.25" customHeight="1"/>
    <row r="57253" ht="26.25" customHeight="1"/>
    <row r="57254" ht="26.25" customHeight="1"/>
    <row r="57255" ht="26.25" customHeight="1"/>
    <row r="57256" ht="26.25" customHeight="1"/>
    <row r="57257" ht="26.25" customHeight="1"/>
    <row r="57258" ht="26.25" customHeight="1"/>
    <row r="57259" ht="26.25" customHeight="1"/>
    <row r="57260" ht="26.25" customHeight="1"/>
    <row r="57261" ht="26.25" customHeight="1"/>
    <row r="57262" ht="26.25" customHeight="1"/>
    <row r="57263" ht="26.25" customHeight="1"/>
    <row r="57264" ht="26.25" customHeight="1"/>
    <row r="57265" ht="26.25" customHeight="1"/>
    <row r="57266" ht="26.25" customHeight="1"/>
    <row r="57267" ht="26.25" customHeight="1"/>
    <row r="57268" ht="26.25" customHeight="1"/>
    <row r="57269" ht="26.25" customHeight="1"/>
    <row r="57270" ht="26.25" customHeight="1"/>
    <row r="57271" ht="26.25" customHeight="1"/>
    <row r="57272" ht="26.25" customHeight="1"/>
    <row r="57273" ht="26.25" customHeight="1"/>
    <row r="57274" ht="26.25" customHeight="1"/>
    <row r="57275" ht="26.25" customHeight="1"/>
    <row r="57276" ht="26.25" customHeight="1"/>
    <row r="57277" ht="26.25" customHeight="1"/>
    <row r="57278" ht="26.25" customHeight="1"/>
    <row r="57279" ht="26.25" customHeight="1"/>
    <row r="57280" ht="26.25" customHeight="1"/>
    <row r="57281" ht="26.25" customHeight="1"/>
    <row r="57282" ht="26.25" customHeight="1"/>
    <row r="57283" ht="26.25" customHeight="1"/>
    <row r="57284" ht="26.25" customHeight="1"/>
    <row r="57285" ht="26.25" customHeight="1"/>
    <row r="57286" ht="26.25" customHeight="1"/>
    <row r="57287" ht="26.25" customHeight="1"/>
    <row r="57288" ht="26.25" customHeight="1"/>
    <row r="57289" ht="26.25" customHeight="1"/>
    <row r="57290" ht="26.25" customHeight="1"/>
    <row r="57291" ht="26.25" customHeight="1"/>
    <row r="57292" ht="26.25" customHeight="1"/>
    <row r="57293" ht="26.25" customHeight="1"/>
    <row r="57294" ht="26.25" customHeight="1"/>
    <row r="57295" ht="26.25" customHeight="1"/>
    <row r="57296" ht="26.25" customHeight="1"/>
    <row r="57297" ht="26.25" customHeight="1"/>
    <row r="57298" ht="26.25" customHeight="1"/>
    <row r="57299" ht="26.25" customHeight="1"/>
    <row r="57300" ht="26.25" customHeight="1"/>
    <row r="57301" ht="26.25" customHeight="1"/>
    <row r="57302" ht="26.25" customHeight="1"/>
    <row r="57303" ht="26.25" customHeight="1"/>
    <row r="57304" ht="26.25" customHeight="1"/>
    <row r="57305" ht="26.25" customHeight="1"/>
    <row r="57306" ht="26.25" customHeight="1"/>
    <row r="57307" ht="26.25" customHeight="1"/>
    <row r="57308" ht="26.25" customHeight="1"/>
    <row r="57309" ht="26.25" customHeight="1"/>
    <row r="57310" ht="26.25" customHeight="1"/>
    <row r="57311" ht="26.25" customHeight="1"/>
    <row r="57312" ht="26.25" customHeight="1"/>
    <row r="57313" ht="26.25" customHeight="1"/>
    <row r="57314" ht="26.25" customHeight="1"/>
    <row r="57315" ht="26.25" customHeight="1"/>
    <row r="57316" ht="26.25" customHeight="1"/>
    <row r="57317" ht="26.25" customHeight="1"/>
    <row r="57318" ht="26.25" customHeight="1"/>
    <row r="57319" ht="26.25" customHeight="1"/>
    <row r="57320" ht="26.25" customHeight="1"/>
    <row r="57321" ht="26.25" customHeight="1"/>
    <row r="57322" ht="26.25" customHeight="1"/>
    <row r="57323" ht="26.25" customHeight="1"/>
    <row r="57324" ht="26.25" customHeight="1"/>
    <row r="57325" ht="26.25" customHeight="1"/>
    <row r="57326" ht="26.25" customHeight="1"/>
    <row r="57327" ht="26.25" customHeight="1"/>
    <row r="57328" ht="26.25" customHeight="1"/>
    <row r="57329" ht="26.25" customHeight="1"/>
    <row r="57330" ht="26.25" customHeight="1"/>
    <row r="57331" ht="26.25" customHeight="1"/>
    <row r="57332" ht="26.25" customHeight="1"/>
    <row r="57333" ht="26.25" customHeight="1"/>
    <row r="57334" ht="26.25" customHeight="1"/>
    <row r="57335" ht="26.25" customHeight="1"/>
    <row r="57336" ht="26.25" customHeight="1"/>
    <row r="57337" ht="26.25" customHeight="1"/>
    <row r="57338" ht="26.25" customHeight="1"/>
    <row r="57339" ht="26.25" customHeight="1"/>
    <row r="57340" ht="26.25" customHeight="1"/>
    <row r="57341" ht="26.25" customHeight="1"/>
    <row r="57342" ht="26.25" customHeight="1"/>
    <row r="57343" ht="26.25" customHeight="1"/>
    <row r="57344" ht="26.25" customHeight="1"/>
    <row r="57345" ht="26.25" customHeight="1"/>
    <row r="57346" ht="26.25" customHeight="1"/>
    <row r="57347" ht="26.25" customHeight="1"/>
    <row r="57348" ht="26.25" customHeight="1"/>
    <row r="57349" ht="26.25" customHeight="1"/>
    <row r="57350" ht="26.25" customHeight="1"/>
    <row r="57351" ht="26.25" customHeight="1"/>
    <row r="57352" ht="26.25" customHeight="1"/>
    <row r="57353" ht="26.25" customHeight="1"/>
    <row r="57354" ht="26.25" customHeight="1"/>
    <row r="57355" ht="26.25" customHeight="1"/>
    <row r="57356" ht="26.25" customHeight="1"/>
    <row r="57357" ht="26.25" customHeight="1"/>
    <row r="57358" ht="26.25" customHeight="1"/>
    <row r="57359" ht="26.25" customHeight="1"/>
    <row r="57360" ht="26.25" customHeight="1"/>
    <row r="57361" ht="26.25" customHeight="1"/>
    <row r="57362" ht="26.25" customHeight="1"/>
    <row r="57363" ht="26.25" customHeight="1"/>
    <row r="57364" ht="26.25" customHeight="1"/>
    <row r="57365" ht="26.25" customHeight="1"/>
    <row r="57366" ht="26.25" customHeight="1"/>
    <row r="57367" ht="26.25" customHeight="1"/>
    <row r="57368" ht="26.25" customHeight="1"/>
    <row r="57369" ht="26.25" customHeight="1"/>
    <row r="57370" ht="26.25" customHeight="1"/>
    <row r="57371" ht="26.25" customHeight="1"/>
    <row r="57372" ht="26.25" customHeight="1"/>
    <row r="57373" ht="26.25" customHeight="1"/>
    <row r="57374" ht="26.25" customHeight="1"/>
    <row r="57375" ht="26.25" customHeight="1"/>
    <row r="57376" ht="26.25" customHeight="1"/>
    <row r="57377" ht="26.25" customHeight="1"/>
    <row r="57378" ht="26.25" customHeight="1"/>
    <row r="57379" ht="26.25" customHeight="1"/>
    <row r="57380" ht="26.25" customHeight="1"/>
    <row r="57381" ht="26.25" customHeight="1"/>
    <row r="57382" ht="26.25" customHeight="1"/>
    <row r="57383" ht="26.25" customHeight="1"/>
    <row r="57384" ht="26.25" customHeight="1"/>
    <row r="57385" ht="26.25" customHeight="1"/>
    <row r="57386" ht="26.25" customHeight="1"/>
    <row r="57387" ht="26.25" customHeight="1"/>
    <row r="57388" ht="26.25" customHeight="1"/>
    <row r="57389" ht="26.25" customHeight="1"/>
    <row r="57390" ht="26.25" customHeight="1"/>
    <row r="57391" ht="26.25" customHeight="1"/>
    <row r="57392" ht="26.25" customHeight="1"/>
    <row r="57393" ht="26.25" customHeight="1"/>
    <row r="57394" ht="26.25" customHeight="1"/>
    <row r="57395" ht="26.25" customHeight="1"/>
    <row r="57396" ht="26.25" customHeight="1"/>
    <row r="57397" ht="26.25" customHeight="1"/>
    <row r="57398" ht="26.25" customHeight="1"/>
    <row r="57399" ht="26.25" customHeight="1"/>
    <row r="57400" ht="26.25" customHeight="1"/>
    <row r="57401" ht="26.25" customHeight="1"/>
    <row r="57402" ht="26.25" customHeight="1"/>
    <row r="57403" ht="26.25" customHeight="1"/>
    <row r="57404" ht="26.25" customHeight="1"/>
    <row r="57405" ht="26.25" customHeight="1"/>
    <row r="57406" ht="26.25" customHeight="1"/>
    <row r="57407" ht="26.25" customHeight="1"/>
    <row r="57408" ht="26.25" customHeight="1"/>
    <row r="57409" ht="26.25" customHeight="1"/>
    <row r="57410" ht="26.25" customHeight="1"/>
    <row r="57411" ht="26.25" customHeight="1"/>
    <row r="57412" ht="26.25" customHeight="1"/>
    <row r="57413" ht="26.25" customHeight="1"/>
    <row r="57414" ht="26.25" customHeight="1"/>
    <row r="57415" ht="26.25" customHeight="1"/>
    <row r="57416" ht="26.25" customHeight="1"/>
    <row r="57417" ht="26.25" customHeight="1"/>
    <row r="57418" ht="26.25" customHeight="1"/>
    <row r="57419" ht="26.25" customHeight="1"/>
    <row r="57420" ht="26.25" customHeight="1"/>
    <row r="57421" ht="26.25" customHeight="1"/>
    <row r="57422" ht="26.25" customHeight="1"/>
    <row r="57423" ht="26.25" customHeight="1"/>
    <row r="57424" ht="26.25" customHeight="1"/>
    <row r="57425" ht="26.25" customHeight="1"/>
    <row r="57426" ht="26.25" customHeight="1"/>
    <row r="57427" ht="26.25" customHeight="1"/>
    <row r="57428" ht="26.25" customHeight="1"/>
    <row r="57429" ht="26.25" customHeight="1"/>
    <row r="57430" ht="26.25" customHeight="1"/>
    <row r="57431" ht="26.25" customHeight="1"/>
    <row r="57432" ht="26.25" customHeight="1"/>
    <row r="57433" ht="26.25" customHeight="1"/>
    <row r="57434" ht="26.25" customHeight="1"/>
    <row r="57435" ht="26.25" customHeight="1"/>
    <row r="57436" ht="26.25" customHeight="1"/>
    <row r="57437" ht="26.25" customHeight="1"/>
    <row r="57438" ht="26.25" customHeight="1"/>
    <row r="57439" ht="26.25" customHeight="1"/>
    <row r="57440" ht="26.25" customHeight="1"/>
    <row r="57441" ht="26.25" customHeight="1"/>
    <row r="57442" ht="26.25" customHeight="1"/>
    <row r="57443" ht="26.25" customHeight="1"/>
    <row r="57444" ht="26.25" customHeight="1"/>
    <row r="57445" ht="26.25" customHeight="1"/>
    <row r="57446" ht="26.25" customHeight="1"/>
    <row r="57447" ht="26.25" customHeight="1"/>
    <row r="57448" ht="26.25" customHeight="1"/>
    <row r="57449" ht="26.25" customHeight="1"/>
    <row r="57450" ht="26.25" customHeight="1"/>
    <row r="57451" ht="26.25" customHeight="1"/>
    <row r="57452" ht="26.25" customHeight="1"/>
    <row r="57453" ht="26.25" customHeight="1"/>
    <row r="57454" ht="26.25" customHeight="1"/>
    <row r="57455" ht="26.25" customHeight="1"/>
    <row r="57456" ht="26.25" customHeight="1"/>
    <row r="57457" ht="26.25" customHeight="1"/>
    <row r="57458" ht="26.25" customHeight="1"/>
    <row r="57459" ht="26.25" customHeight="1"/>
    <row r="57460" ht="26.25" customHeight="1"/>
    <row r="57461" ht="26.25" customHeight="1"/>
    <row r="57462" ht="26.25" customHeight="1"/>
    <row r="57463" ht="26.25" customHeight="1"/>
    <row r="57464" ht="26.25" customHeight="1"/>
    <row r="57465" ht="26.25" customHeight="1"/>
    <row r="57466" ht="26.25" customHeight="1"/>
    <row r="57467" ht="26.25" customHeight="1"/>
    <row r="57468" ht="26.25" customHeight="1"/>
    <row r="57469" ht="26.25" customHeight="1"/>
    <row r="57470" ht="26.25" customHeight="1"/>
    <row r="57471" ht="26.25" customHeight="1"/>
    <row r="57472" ht="26.25" customHeight="1"/>
    <row r="57473" ht="26.25" customHeight="1"/>
    <row r="57474" ht="26.25" customHeight="1"/>
    <row r="57475" ht="26.25" customHeight="1"/>
    <row r="57476" ht="26.25" customHeight="1"/>
    <row r="57477" ht="26.25" customHeight="1"/>
    <row r="57478" ht="26.25" customHeight="1"/>
    <row r="57479" ht="26.25" customHeight="1"/>
    <row r="57480" ht="26.25" customHeight="1"/>
    <row r="57481" ht="26.25" customHeight="1"/>
    <row r="57482" ht="26.25" customHeight="1"/>
    <row r="57483" ht="26.25" customHeight="1"/>
    <row r="57484" ht="26.25" customHeight="1"/>
    <row r="57485" ht="26.25" customHeight="1"/>
    <row r="57486" ht="26.25" customHeight="1"/>
    <row r="57487" ht="26.25" customHeight="1"/>
    <row r="57488" ht="26.25" customHeight="1"/>
    <row r="57489" ht="26.25" customHeight="1"/>
    <row r="57490" ht="26.25" customHeight="1"/>
    <row r="57491" ht="26.25" customHeight="1"/>
    <row r="57492" ht="26.25" customHeight="1"/>
    <row r="57493" ht="26.25" customHeight="1"/>
    <row r="57494" ht="26.25" customHeight="1"/>
    <row r="57495" ht="26.25" customHeight="1"/>
    <row r="57496" ht="26.25" customHeight="1"/>
    <row r="57497" ht="26.25" customHeight="1"/>
    <row r="57498" ht="26.25" customHeight="1"/>
    <row r="57499" ht="26.25" customHeight="1"/>
    <row r="57500" ht="26.25" customHeight="1"/>
    <row r="57501" ht="26.25" customHeight="1"/>
    <row r="57502" ht="26.25" customHeight="1"/>
    <row r="57503" ht="26.25" customHeight="1"/>
    <row r="57504" ht="26.25" customHeight="1"/>
    <row r="57505" ht="26.25" customHeight="1"/>
    <row r="57506" ht="26.25" customHeight="1"/>
    <row r="57507" ht="26.25" customHeight="1"/>
    <row r="57508" ht="26.25" customHeight="1"/>
    <row r="57509" ht="26.25" customHeight="1"/>
    <row r="57510" ht="26.25" customHeight="1"/>
    <row r="57511" ht="26.25" customHeight="1"/>
    <row r="57512" ht="26.25" customHeight="1"/>
    <row r="57513" ht="26.25" customHeight="1"/>
    <row r="57514" ht="26.25" customHeight="1"/>
    <row r="57515" ht="26.25" customHeight="1"/>
    <row r="57516" ht="26.25" customHeight="1"/>
    <row r="57517" ht="26.25" customHeight="1"/>
    <row r="57518" ht="26.25" customHeight="1"/>
    <row r="57519" ht="26.25" customHeight="1"/>
    <row r="57520" ht="26.25" customHeight="1"/>
    <row r="57521" ht="26.25" customHeight="1"/>
    <row r="57522" ht="26.25" customHeight="1"/>
    <row r="57523" ht="26.25" customHeight="1"/>
    <row r="57524" ht="26.25" customHeight="1"/>
    <row r="57525" ht="26.25" customHeight="1"/>
    <row r="57526" ht="26.25" customHeight="1"/>
    <row r="57527" ht="26.25" customHeight="1"/>
    <row r="57528" ht="26.25" customHeight="1"/>
    <row r="57529" ht="26.25" customHeight="1"/>
    <row r="57530" ht="26.25" customHeight="1"/>
    <row r="57531" ht="26.25" customHeight="1"/>
    <row r="57532" ht="26.25" customHeight="1"/>
    <row r="57533" ht="26.25" customHeight="1"/>
    <row r="57534" ht="26.25" customHeight="1"/>
    <row r="57535" ht="26.25" customHeight="1"/>
    <row r="57536" ht="26.25" customHeight="1"/>
    <row r="57537" ht="26.25" customHeight="1"/>
    <row r="57538" ht="26.25" customHeight="1"/>
    <row r="57539" ht="26.25" customHeight="1"/>
    <row r="57540" ht="26.25" customHeight="1"/>
    <row r="57541" ht="26.25" customHeight="1"/>
    <row r="57542" ht="26.25" customHeight="1"/>
    <row r="57543" ht="26.25" customHeight="1"/>
    <row r="57544" ht="26.25" customHeight="1"/>
    <row r="57545" ht="26.25" customHeight="1"/>
    <row r="57546" ht="26.25" customHeight="1"/>
    <row r="57547" ht="26.25" customHeight="1"/>
    <row r="57548" ht="26.25" customHeight="1"/>
    <row r="57549" ht="26.25" customHeight="1"/>
    <row r="57550" ht="26.25" customHeight="1"/>
    <row r="57551" ht="26.25" customHeight="1"/>
    <row r="57552" ht="26.25" customHeight="1"/>
    <row r="57553" ht="26.25" customHeight="1"/>
    <row r="57554" ht="26.25" customHeight="1"/>
    <row r="57555" ht="26.25" customHeight="1"/>
    <row r="57556" ht="26.25" customHeight="1"/>
    <row r="57557" ht="26.25" customHeight="1"/>
    <row r="57558" ht="26.25" customHeight="1"/>
    <row r="57559" ht="26.25" customHeight="1"/>
    <row r="57560" ht="26.25" customHeight="1"/>
    <row r="57561" ht="26.25" customHeight="1"/>
    <row r="57562" ht="26.25" customHeight="1"/>
    <row r="57563" ht="26.25" customHeight="1"/>
    <row r="57564" ht="26.25" customHeight="1"/>
    <row r="57565" ht="26.25" customHeight="1"/>
    <row r="57566" ht="26.25" customHeight="1"/>
    <row r="57567" ht="26.25" customHeight="1"/>
    <row r="57568" ht="26.25" customHeight="1"/>
    <row r="57569" ht="26.25" customHeight="1"/>
    <row r="57570" ht="26.25" customHeight="1"/>
    <row r="57571" ht="26.25" customHeight="1"/>
    <row r="57572" ht="26.25" customHeight="1"/>
    <row r="57573" ht="26.25" customHeight="1"/>
    <row r="57574" ht="26.25" customHeight="1"/>
    <row r="57575" ht="26.25" customHeight="1"/>
    <row r="57576" ht="26.25" customHeight="1"/>
    <row r="57577" ht="26.25" customHeight="1"/>
    <row r="57578" ht="26.25" customHeight="1"/>
    <row r="57579" ht="26.25" customHeight="1"/>
    <row r="57580" ht="26.25" customHeight="1"/>
    <row r="57581" ht="26.25" customHeight="1"/>
    <row r="57582" ht="26.25" customHeight="1"/>
    <row r="57583" ht="26.25" customHeight="1"/>
    <row r="57584" ht="26.25" customHeight="1"/>
    <row r="57585" ht="26.25" customHeight="1"/>
    <row r="57586" ht="26.25" customHeight="1"/>
    <row r="57587" ht="26.25" customHeight="1"/>
    <row r="57588" ht="26.25" customHeight="1"/>
    <row r="57589" ht="26.25" customHeight="1"/>
    <row r="57590" ht="26.25" customHeight="1"/>
    <row r="57591" ht="26.25" customHeight="1"/>
    <row r="57592" ht="26.25" customHeight="1"/>
    <row r="57593" ht="26.25" customHeight="1"/>
    <row r="57594" ht="26.25" customHeight="1"/>
    <row r="57595" ht="26.25" customHeight="1"/>
    <row r="57596" ht="26.25" customHeight="1"/>
    <row r="57597" ht="26.25" customHeight="1"/>
    <row r="57598" ht="26.25" customHeight="1"/>
    <row r="57599" ht="26.25" customHeight="1"/>
    <row r="57600" ht="26.25" customHeight="1"/>
    <row r="57601" ht="26.25" customHeight="1"/>
    <row r="57602" ht="26.25" customHeight="1"/>
    <row r="57603" ht="26.25" customHeight="1"/>
    <row r="57604" ht="26.25" customHeight="1"/>
    <row r="57605" ht="26.25" customHeight="1"/>
    <row r="57606" ht="26.25" customHeight="1"/>
    <row r="57607" ht="26.25" customHeight="1"/>
    <row r="57608" ht="26.25" customHeight="1"/>
    <row r="57609" ht="26.25" customHeight="1"/>
    <row r="57610" ht="26.25" customHeight="1"/>
    <row r="57611" ht="26.25" customHeight="1"/>
    <row r="57612" ht="26.25" customHeight="1"/>
    <row r="57613" ht="26.25" customHeight="1"/>
    <row r="57614" ht="26.25" customHeight="1"/>
    <row r="57615" ht="26.25" customHeight="1"/>
    <row r="57616" ht="26.25" customHeight="1"/>
    <row r="57617" ht="26.25" customHeight="1"/>
    <row r="57618" ht="26.25" customHeight="1"/>
    <row r="57619" ht="26.25" customHeight="1"/>
    <row r="57620" ht="26.25" customHeight="1"/>
    <row r="57621" ht="26.25" customHeight="1"/>
    <row r="57622" ht="26.25" customHeight="1"/>
    <row r="57623" ht="26.25" customHeight="1"/>
    <row r="57624" ht="26.25" customHeight="1"/>
    <row r="57625" ht="26.25" customHeight="1"/>
    <row r="57626" ht="26.25" customHeight="1"/>
    <row r="57627" ht="26.25" customHeight="1"/>
    <row r="57628" ht="26.25" customHeight="1"/>
    <row r="57629" ht="26.25" customHeight="1"/>
    <row r="57630" ht="26.25" customHeight="1"/>
    <row r="57631" ht="26.25" customHeight="1"/>
    <row r="57632" ht="26.25" customHeight="1"/>
    <row r="57633" ht="26.25" customHeight="1"/>
    <row r="57634" ht="26.25" customHeight="1"/>
    <row r="57635" ht="26.25" customHeight="1"/>
    <row r="57636" ht="26.25" customHeight="1"/>
    <row r="57637" ht="26.25" customHeight="1"/>
    <row r="57638" ht="26.25" customHeight="1"/>
    <row r="57639" ht="26.25" customHeight="1"/>
    <row r="57640" ht="26.25" customHeight="1"/>
    <row r="57641" ht="26.25" customHeight="1"/>
    <row r="57642" ht="26.25" customHeight="1"/>
    <row r="57643" ht="26.25" customHeight="1"/>
    <row r="57644" ht="26.25" customHeight="1"/>
    <row r="57645" ht="26.25" customHeight="1"/>
    <row r="57646" ht="26.25" customHeight="1"/>
    <row r="57647" ht="26.25" customHeight="1"/>
    <row r="57648" ht="26.25" customHeight="1"/>
    <row r="57649" ht="26.25" customHeight="1"/>
    <row r="57650" ht="26.25" customHeight="1"/>
    <row r="57651" ht="26.25" customHeight="1"/>
    <row r="57652" ht="26.25" customHeight="1"/>
    <row r="57653" ht="26.25" customHeight="1"/>
    <row r="57654" ht="26.25" customHeight="1"/>
    <row r="57655" ht="26.25" customHeight="1"/>
    <row r="57656" ht="26.25" customHeight="1"/>
    <row r="57657" ht="26.25" customHeight="1"/>
    <row r="57658" ht="26.25" customHeight="1"/>
    <row r="57659" ht="26.25" customHeight="1"/>
    <row r="57660" ht="26.25" customHeight="1"/>
    <row r="57661" ht="26.25" customHeight="1"/>
    <row r="57662" ht="26.25" customHeight="1"/>
    <row r="57663" ht="26.25" customHeight="1"/>
    <row r="57664" ht="26.25" customHeight="1"/>
    <row r="57665" ht="26.25" customHeight="1"/>
    <row r="57666" ht="26.25" customHeight="1"/>
    <row r="57667" ht="26.25" customHeight="1"/>
    <row r="57668" ht="26.25" customHeight="1"/>
    <row r="57669" ht="26.25" customHeight="1"/>
    <row r="57670" ht="26.25" customHeight="1"/>
    <row r="57671" ht="26.25" customHeight="1"/>
    <row r="57672" ht="26.25" customHeight="1"/>
    <row r="57673" ht="26.25" customHeight="1"/>
    <row r="57674" ht="26.25" customHeight="1"/>
    <row r="57675" ht="26.25" customHeight="1"/>
    <row r="57676" ht="26.25" customHeight="1"/>
    <row r="57677" ht="26.25" customHeight="1"/>
    <row r="57678" ht="26.25" customHeight="1"/>
    <row r="57679" ht="26.25" customHeight="1"/>
    <row r="57680" ht="26.25" customHeight="1"/>
    <row r="57681" ht="26.25" customHeight="1"/>
    <row r="57682" ht="26.25" customHeight="1"/>
    <row r="57683" ht="26.25" customHeight="1"/>
    <row r="57684" ht="26.25" customHeight="1"/>
    <row r="57685" ht="26.25" customHeight="1"/>
    <row r="57686" ht="26.25" customHeight="1"/>
    <row r="57687" ht="26.25" customHeight="1"/>
    <row r="57688" ht="26.25" customHeight="1"/>
    <row r="57689" ht="26.25" customHeight="1"/>
    <row r="57690" ht="26.25" customHeight="1"/>
    <row r="57691" ht="26.25" customHeight="1"/>
    <row r="57692" ht="26.25" customHeight="1"/>
    <row r="57693" ht="26.25" customHeight="1"/>
    <row r="57694" ht="26.25" customHeight="1"/>
    <row r="57695" ht="26.25" customHeight="1"/>
    <row r="57696" ht="26.25" customHeight="1"/>
    <row r="57697" ht="26.25" customHeight="1"/>
    <row r="57698" ht="26.25" customHeight="1"/>
    <row r="57699" ht="26.25" customHeight="1"/>
    <row r="57700" ht="26.25" customHeight="1"/>
    <row r="57701" ht="26.25" customHeight="1"/>
    <row r="57702" ht="26.25" customHeight="1"/>
    <row r="57703" ht="26.25" customHeight="1"/>
    <row r="57704" ht="26.25" customHeight="1"/>
    <row r="57705" ht="26.25" customHeight="1"/>
    <row r="57706" ht="26.25" customHeight="1"/>
    <row r="57707" ht="26.25" customHeight="1"/>
    <row r="57708" ht="26.25" customHeight="1"/>
    <row r="57709" ht="26.25" customHeight="1"/>
    <row r="57710" ht="26.25" customHeight="1"/>
    <row r="57711" ht="26.25" customHeight="1"/>
    <row r="57712" ht="26.25" customHeight="1"/>
    <row r="57713" ht="26.25" customHeight="1"/>
    <row r="57714" ht="26.25" customHeight="1"/>
    <row r="57715" ht="26.25" customHeight="1"/>
    <row r="57716" ht="26.25" customHeight="1"/>
    <row r="57717" ht="26.25" customHeight="1"/>
    <row r="57718" ht="26.25" customHeight="1"/>
    <row r="57719" ht="26.25" customHeight="1"/>
    <row r="57720" ht="26.25" customHeight="1"/>
    <row r="57721" ht="26.25" customHeight="1"/>
    <row r="57722" ht="26.25" customHeight="1"/>
    <row r="57723" ht="26.25" customHeight="1"/>
    <row r="57724" ht="26.25" customHeight="1"/>
    <row r="57725" ht="26.25" customHeight="1"/>
    <row r="57726" ht="26.25" customHeight="1"/>
    <row r="57727" ht="26.25" customHeight="1"/>
    <row r="57728" ht="26.25" customHeight="1"/>
    <row r="57729" ht="26.25" customHeight="1"/>
    <row r="57730" ht="26.25" customHeight="1"/>
    <row r="57731" ht="26.25" customHeight="1"/>
    <row r="57732" ht="26.25" customHeight="1"/>
    <row r="57733" ht="26.25" customHeight="1"/>
    <row r="57734" ht="26.25" customHeight="1"/>
    <row r="57735" ht="26.25" customHeight="1"/>
    <row r="57736" ht="26.25" customHeight="1"/>
    <row r="57737" ht="26.25" customHeight="1"/>
    <row r="57738" ht="26.25" customHeight="1"/>
    <row r="57739" ht="26.25" customHeight="1"/>
    <row r="57740" ht="26.25" customHeight="1"/>
    <row r="57741" ht="26.25" customHeight="1"/>
    <row r="57742" ht="26.25" customHeight="1"/>
    <row r="57743" ht="26.25" customHeight="1"/>
    <row r="57744" ht="26.25" customHeight="1"/>
    <row r="57745" ht="26.25" customHeight="1"/>
    <row r="57746" ht="26.25" customHeight="1"/>
    <row r="57747" ht="26.25" customHeight="1"/>
    <row r="57748" ht="26.25" customHeight="1"/>
    <row r="57749" ht="26.25" customHeight="1"/>
    <row r="57750" ht="26.25" customHeight="1"/>
    <row r="57751" ht="26.25" customHeight="1"/>
    <row r="57752" ht="26.25" customHeight="1"/>
    <row r="57753" ht="26.25" customHeight="1"/>
    <row r="57754" ht="26.25" customHeight="1"/>
    <row r="57755" ht="26.25" customHeight="1"/>
    <row r="57756" ht="26.25" customHeight="1"/>
    <row r="57757" ht="26.25" customHeight="1"/>
    <row r="57758" ht="26.25" customHeight="1"/>
    <row r="57759" ht="26.25" customHeight="1"/>
    <row r="57760" ht="26.25" customHeight="1"/>
    <row r="57761" ht="26.25" customHeight="1"/>
    <row r="57762" ht="26.25" customHeight="1"/>
    <row r="57763" ht="26.25" customHeight="1"/>
    <row r="57764" ht="26.25" customHeight="1"/>
    <row r="57765" ht="26.25" customHeight="1"/>
    <row r="57766" ht="26.25" customHeight="1"/>
    <row r="57767" ht="26.25" customHeight="1"/>
    <row r="57768" ht="26.25" customHeight="1"/>
    <row r="57769" ht="26.25" customHeight="1"/>
    <row r="57770" ht="26.25" customHeight="1"/>
    <row r="57771" ht="26.25" customHeight="1"/>
    <row r="57772" ht="26.25" customHeight="1"/>
    <row r="57773" ht="26.25" customHeight="1"/>
    <row r="57774" ht="26.25" customHeight="1"/>
    <row r="57775" ht="26.25" customHeight="1"/>
    <row r="57776" ht="26.25" customHeight="1"/>
    <row r="57777" ht="26.25" customHeight="1"/>
    <row r="57778" ht="26.25" customHeight="1"/>
    <row r="57779" ht="26.25" customHeight="1"/>
    <row r="57780" ht="26.25" customHeight="1"/>
    <row r="57781" ht="26.25" customHeight="1"/>
    <row r="57782" ht="26.25" customHeight="1"/>
    <row r="57783" ht="26.25" customHeight="1"/>
    <row r="57784" ht="26.25" customHeight="1"/>
    <row r="57785" ht="26.25" customHeight="1"/>
    <row r="57786" ht="26.25" customHeight="1"/>
    <row r="57787" ht="26.25" customHeight="1"/>
    <row r="57788" ht="26.25" customHeight="1"/>
    <row r="57789" ht="26.25" customHeight="1"/>
    <row r="57790" ht="26.25" customHeight="1"/>
    <row r="57791" ht="26.25" customHeight="1"/>
    <row r="57792" ht="26.25" customHeight="1"/>
    <row r="57793" ht="26.25" customHeight="1"/>
    <row r="57794" ht="26.25" customHeight="1"/>
    <row r="57795" ht="26.25" customHeight="1"/>
    <row r="57796" ht="26.25" customHeight="1"/>
    <row r="57797" ht="26.25" customHeight="1"/>
    <row r="57798" ht="26.25" customHeight="1"/>
    <row r="57799" ht="26.25" customHeight="1"/>
    <row r="57800" ht="26.25" customHeight="1"/>
    <row r="57801" ht="26.25" customHeight="1"/>
    <row r="57802" ht="26.25" customHeight="1"/>
    <row r="57803" ht="26.25" customHeight="1"/>
    <row r="57804" ht="26.25" customHeight="1"/>
    <row r="57805" ht="26.25" customHeight="1"/>
    <row r="57806" ht="26.25" customHeight="1"/>
    <row r="57807" ht="26.25" customHeight="1"/>
    <row r="57808" ht="26.25" customHeight="1"/>
    <row r="57809" ht="26.25" customHeight="1"/>
    <row r="57810" ht="26.25" customHeight="1"/>
    <row r="57811" ht="26.25" customHeight="1"/>
    <row r="57812" ht="26.25" customHeight="1"/>
    <row r="57813" ht="26.25" customHeight="1"/>
    <row r="57814" ht="26.25" customHeight="1"/>
    <row r="57815" ht="26.25" customHeight="1"/>
    <row r="57816" ht="26.25" customHeight="1"/>
    <row r="57817" ht="26.25" customHeight="1"/>
    <row r="57818" ht="26.25" customHeight="1"/>
    <row r="57819" ht="26.25" customHeight="1"/>
    <row r="57820" ht="26.25" customHeight="1"/>
    <row r="57821" ht="26.25" customHeight="1"/>
    <row r="57822" ht="26.25" customHeight="1"/>
    <row r="57823" ht="26.25" customHeight="1"/>
    <row r="57824" ht="26.25" customHeight="1"/>
    <row r="57825" ht="26.25" customHeight="1"/>
    <row r="57826" ht="26.25" customHeight="1"/>
    <row r="57827" ht="26.25" customHeight="1"/>
    <row r="57828" ht="26.25" customHeight="1"/>
    <row r="57829" ht="26.25" customHeight="1"/>
    <row r="57830" ht="26.25" customHeight="1"/>
    <row r="57831" ht="26.25" customHeight="1"/>
    <row r="57832" ht="26.25" customHeight="1"/>
    <row r="57833" ht="26.25" customHeight="1"/>
    <row r="57834" ht="26.25" customHeight="1"/>
    <row r="57835" ht="26.25" customHeight="1"/>
    <row r="57836" ht="26.25" customHeight="1"/>
    <row r="57837" ht="26.25" customHeight="1"/>
    <row r="57838" ht="26.25" customHeight="1"/>
    <row r="57839" ht="26.25" customHeight="1"/>
    <row r="57840" ht="26.25" customHeight="1"/>
    <row r="57841" ht="26.25" customHeight="1"/>
    <row r="57842" ht="26.25" customHeight="1"/>
    <row r="57843" ht="26.25" customHeight="1"/>
    <row r="57844" ht="26.25" customHeight="1"/>
    <row r="57845" ht="26.25" customHeight="1"/>
    <row r="57846" ht="26.25" customHeight="1"/>
    <row r="57847" ht="26.25" customHeight="1"/>
    <row r="57848" ht="26.25" customHeight="1"/>
    <row r="57849" ht="26.25" customHeight="1"/>
    <row r="57850" ht="26.25" customHeight="1"/>
    <row r="57851" ht="26.25" customHeight="1"/>
    <row r="57852" ht="26.25" customHeight="1"/>
    <row r="57853" ht="26.25" customHeight="1"/>
    <row r="57854" ht="26.25" customHeight="1"/>
    <row r="57855" ht="26.25" customHeight="1"/>
    <row r="57856" ht="26.25" customHeight="1"/>
    <row r="57857" ht="26.25" customHeight="1"/>
    <row r="57858" ht="26.25" customHeight="1"/>
    <row r="57859" ht="26.25" customHeight="1"/>
    <row r="57860" ht="26.25" customHeight="1"/>
    <row r="57861" ht="26.25" customHeight="1"/>
    <row r="57862" ht="26.25" customHeight="1"/>
    <row r="57863" ht="26.25" customHeight="1"/>
    <row r="57864" ht="26.25" customHeight="1"/>
    <row r="57865" ht="26.25" customHeight="1"/>
    <row r="57866" ht="26.25" customHeight="1"/>
    <row r="57867" ht="26.25" customHeight="1"/>
    <row r="57868" ht="26.25" customHeight="1"/>
    <row r="57869" ht="26.25" customHeight="1"/>
    <row r="57870" ht="26.25" customHeight="1"/>
    <row r="57871" ht="26.25" customHeight="1"/>
    <row r="57872" ht="26.25" customHeight="1"/>
    <row r="57873" ht="26.25" customHeight="1"/>
    <row r="57874" ht="26.25" customHeight="1"/>
    <row r="57875" ht="26.25" customHeight="1"/>
    <row r="57876" ht="26.25" customHeight="1"/>
    <row r="57877" ht="26.25" customHeight="1"/>
    <row r="57878" ht="26.25" customHeight="1"/>
    <row r="57879" ht="26.25" customHeight="1"/>
    <row r="57880" ht="26.25" customHeight="1"/>
    <row r="57881" ht="26.25" customHeight="1"/>
    <row r="57882" ht="26.25" customHeight="1"/>
    <row r="57883" ht="26.25" customHeight="1"/>
    <row r="57884" ht="26.25" customHeight="1"/>
    <row r="57885" ht="26.25" customHeight="1"/>
    <row r="57886" ht="26.25" customHeight="1"/>
    <row r="57887" ht="26.25" customHeight="1"/>
    <row r="57888" ht="26.25" customHeight="1"/>
    <row r="57889" ht="26.25" customHeight="1"/>
    <row r="57890" ht="26.25" customHeight="1"/>
    <row r="57891" ht="26.25" customHeight="1"/>
    <row r="57892" ht="26.25" customHeight="1"/>
    <row r="57893" ht="26.25" customHeight="1"/>
    <row r="57894" ht="26.25" customHeight="1"/>
    <row r="57895" ht="26.25" customHeight="1"/>
    <row r="57896" ht="26.25" customHeight="1"/>
    <row r="57897" ht="26.25" customHeight="1"/>
    <row r="57898" ht="26.25" customHeight="1"/>
    <row r="57899" ht="26.25" customHeight="1"/>
    <row r="57900" ht="26.25" customHeight="1"/>
    <row r="57901" ht="26.25" customHeight="1"/>
    <row r="57902" ht="26.25" customHeight="1"/>
    <row r="57903" ht="26.25" customHeight="1"/>
    <row r="57904" ht="26.25" customHeight="1"/>
    <row r="57905" ht="26.25" customHeight="1"/>
    <row r="57906" ht="26.25" customHeight="1"/>
    <row r="57907" ht="26.25" customHeight="1"/>
    <row r="57908" ht="26.25" customHeight="1"/>
    <row r="57909" ht="26.25" customHeight="1"/>
    <row r="57910" ht="26.25" customHeight="1"/>
    <row r="57911" ht="26.25" customHeight="1"/>
    <row r="57912" ht="26.25" customHeight="1"/>
    <row r="57913" ht="26.25" customHeight="1"/>
    <row r="57914" ht="26.25" customHeight="1"/>
    <row r="57915" ht="26.25" customHeight="1"/>
    <row r="57916" ht="26.25" customHeight="1"/>
    <row r="57917" ht="26.25" customHeight="1"/>
    <row r="57918" ht="26.25" customHeight="1"/>
    <row r="57919" ht="26.25" customHeight="1"/>
    <row r="57920" ht="26.25" customHeight="1"/>
    <row r="57921" ht="26.25" customHeight="1"/>
    <row r="57922" ht="26.25" customHeight="1"/>
    <row r="57923" ht="26.25" customHeight="1"/>
    <row r="57924" ht="26.25" customHeight="1"/>
    <row r="57925" ht="26.25" customHeight="1"/>
    <row r="57926" ht="26.25" customHeight="1"/>
    <row r="57927" ht="26.25" customHeight="1"/>
    <row r="57928" ht="26.25" customHeight="1"/>
    <row r="57929" ht="26.25" customHeight="1"/>
    <row r="57930" ht="26.25" customHeight="1"/>
    <row r="57931" ht="26.25" customHeight="1"/>
    <row r="57932" ht="26.25" customHeight="1"/>
    <row r="57933" ht="26.25" customHeight="1"/>
    <row r="57934" ht="26.25" customHeight="1"/>
    <row r="57935" ht="26.25" customHeight="1"/>
    <row r="57936" ht="26.25" customHeight="1"/>
    <row r="57937" ht="26.25" customHeight="1"/>
    <row r="57938" ht="26.25" customHeight="1"/>
    <row r="57939" ht="26.25" customHeight="1"/>
    <row r="57940" ht="26.25" customHeight="1"/>
    <row r="57941" ht="26.25" customHeight="1"/>
    <row r="57942" ht="26.25" customHeight="1"/>
    <row r="57943" ht="26.25" customHeight="1"/>
    <row r="57944" ht="26.25" customHeight="1"/>
    <row r="57945" ht="26.25" customHeight="1"/>
    <row r="57946" ht="26.25" customHeight="1"/>
    <row r="57947" ht="26.25" customHeight="1"/>
    <row r="57948" ht="26.25" customHeight="1"/>
    <row r="57949" ht="26.25" customHeight="1"/>
    <row r="57950" ht="26.25" customHeight="1"/>
    <row r="57951" ht="26.25" customHeight="1"/>
    <row r="57952" ht="26.25" customHeight="1"/>
    <row r="57953" ht="26.25" customHeight="1"/>
    <row r="57954" ht="26.25" customHeight="1"/>
    <row r="57955" ht="26.25" customHeight="1"/>
    <row r="57956" ht="26.25" customHeight="1"/>
    <row r="57957" ht="26.25" customHeight="1"/>
    <row r="57958" ht="26.25" customHeight="1"/>
    <row r="57959" ht="26.25" customHeight="1"/>
    <row r="57960" ht="26.25" customHeight="1"/>
    <row r="57961" ht="26.25" customHeight="1"/>
    <row r="57962" ht="26.25" customHeight="1"/>
    <row r="57963" ht="26.25" customHeight="1"/>
    <row r="57964" ht="26.25" customHeight="1"/>
    <row r="57965" ht="26.25" customHeight="1"/>
    <row r="57966" ht="26.25" customHeight="1"/>
    <row r="57967" ht="26.25" customHeight="1"/>
    <row r="57968" ht="26.25" customHeight="1"/>
    <row r="57969" ht="26.25" customHeight="1"/>
    <row r="57970" ht="26.25" customHeight="1"/>
    <row r="57971" ht="26.25" customHeight="1"/>
    <row r="57972" ht="26.25" customHeight="1"/>
    <row r="57973" ht="26.25" customHeight="1"/>
    <row r="57974" ht="26.25" customHeight="1"/>
    <row r="57975" ht="26.25" customHeight="1"/>
    <row r="57976" ht="26.25" customHeight="1"/>
    <row r="57977" ht="26.25" customHeight="1"/>
    <row r="57978" ht="26.25" customHeight="1"/>
    <row r="57979" ht="26.25" customHeight="1"/>
    <row r="57980" ht="26.25" customHeight="1"/>
    <row r="57981" ht="26.25" customHeight="1"/>
    <row r="57982" ht="26.25" customHeight="1"/>
    <row r="57983" ht="26.25" customHeight="1"/>
    <row r="57984" ht="26.25" customHeight="1"/>
    <row r="57985" ht="26.25" customHeight="1"/>
    <row r="57986" ht="26.25" customHeight="1"/>
    <row r="57987" ht="26.25" customHeight="1"/>
    <row r="57988" ht="26.25" customHeight="1"/>
    <row r="57989" ht="26.25" customHeight="1"/>
    <row r="57990" ht="26.25" customHeight="1"/>
    <row r="57991" ht="26.25" customHeight="1"/>
    <row r="57992" ht="26.25" customHeight="1"/>
    <row r="57993" ht="26.25" customHeight="1"/>
    <row r="57994" ht="26.25" customHeight="1"/>
    <row r="57995" ht="26.25" customHeight="1"/>
    <row r="57996" ht="26.25" customHeight="1"/>
    <row r="57997" ht="26.25" customHeight="1"/>
    <row r="57998" ht="26.25" customHeight="1"/>
    <row r="57999" ht="26.25" customHeight="1"/>
    <row r="58000" ht="26.25" customHeight="1"/>
    <row r="58001" ht="26.25" customHeight="1"/>
    <row r="58002" ht="26.25" customHeight="1"/>
    <row r="58003" ht="26.25" customHeight="1"/>
    <row r="58004" ht="26.25" customHeight="1"/>
    <row r="58005" ht="26.25" customHeight="1"/>
    <row r="58006" ht="26.25" customHeight="1"/>
    <row r="58007" ht="26.25" customHeight="1"/>
    <row r="58008" ht="26.25" customHeight="1"/>
    <row r="58009" ht="26.25" customHeight="1"/>
    <row r="58010" ht="26.25" customHeight="1"/>
    <row r="58011" ht="26.25" customHeight="1"/>
    <row r="58012" ht="26.25" customHeight="1"/>
    <row r="58013" ht="26.25" customHeight="1"/>
    <row r="58014" ht="26.25" customHeight="1"/>
    <row r="58015" ht="26.25" customHeight="1"/>
    <row r="58016" ht="26.25" customHeight="1"/>
    <row r="58017" ht="26.25" customHeight="1"/>
    <row r="58018" ht="26.25" customHeight="1"/>
    <row r="58019" ht="26.25" customHeight="1"/>
    <row r="58020" ht="26.25" customHeight="1"/>
    <row r="58021" ht="26.25" customHeight="1"/>
    <row r="58022" ht="26.25" customHeight="1"/>
    <row r="58023" ht="26.25" customHeight="1"/>
    <row r="58024" ht="26.25" customHeight="1"/>
    <row r="58025" ht="26.25" customHeight="1"/>
    <row r="58026" ht="26.25" customHeight="1"/>
    <row r="58027" ht="26.25" customHeight="1"/>
    <row r="58028" ht="26.25" customHeight="1"/>
    <row r="58029" ht="26.25" customHeight="1"/>
    <row r="58030" ht="26.25" customHeight="1"/>
    <row r="58031" ht="26.25" customHeight="1"/>
    <row r="58032" ht="26.25" customHeight="1"/>
    <row r="58033" ht="26.25" customHeight="1"/>
    <row r="58034" ht="26.25" customHeight="1"/>
    <row r="58035" ht="26.25" customHeight="1"/>
    <row r="58036" ht="26.25" customHeight="1"/>
    <row r="58037" ht="26.25" customHeight="1"/>
    <row r="58038" ht="26.25" customHeight="1"/>
    <row r="58039" ht="26.25" customHeight="1"/>
    <row r="58040" ht="26.25" customHeight="1"/>
    <row r="58041" ht="26.25" customHeight="1"/>
    <row r="58042" ht="26.25" customHeight="1"/>
    <row r="58043" ht="26.25" customHeight="1"/>
    <row r="58044" ht="26.25" customHeight="1"/>
    <row r="58045" ht="26.25" customHeight="1"/>
    <row r="58046" ht="26.25" customHeight="1"/>
    <row r="58047" ht="26.25" customHeight="1"/>
    <row r="58048" ht="26.25" customHeight="1"/>
    <row r="58049" ht="26.25" customHeight="1"/>
    <row r="58050" ht="26.25" customHeight="1"/>
    <row r="58051" ht="26.25" customHeight="1"/>
    <row r="58052" ht="26.25" customHeight="1"/>
    <row r="58053" ht="26.25" customHeight="1"/>
    <row r="58054" ht="26.25" customHeight="1"/>
    <row r="58055" ht="26.25" customHeight="1"/>
    <row r="58056" ht="26.25" customHeight="1"/>
    <row r="58057" ht="26.25" customHeight="1"/>
    <row r="58058" ht="26.25" customHeight="1"/>
    <row r="58059" ht="26.25" customHeight="1"/>
    <row r="58060" ht="26.25" customHeight="1"/>
    <row r="58061" ht="26.25" customHeight="1"/>
    <row r="58062" ht="26.25" customHeight="1"/>
    <row r="58063" ht="26.25" customHeight="1"/>
    <row r="58064" ht="26.25" customHeight="1"/>
    <row r="58065" ht="26.25" customHeight="1"/>
    <row r="58066" ht="26.25" customHeight="1"/>
    <row r="58067" ht="26.25" customHeight="1"/>
    <row r="58068" ht="26.25" customHeight="1"/>
    <row r="58069" ht="26.25" customHeight="1"/>
    <row r="58070" ht="26.25" customHeight="1"/>
    <row r="58071" ht="26.25" customHeight="1"/>
    <row r="58072" ht="26.25" customHeight="1"/>
    <row r="58073" ht="26.25" customHeight="1"/>
    <row r="58074" ht="26.25" customHeight="1"/>
    <row r="58075" ht="26.25" customHeight="1"/>
    <row r="58076" ht="26.25" customHeight="1"/>
    <row r="58077" ht="26.25" customHeight="1"/>
    <row r="58078" ht="26.25" customHeight="1"/>
    <row r="58079" ht="26.25" customHeight="1"/>
    <row r="58080" ht="26.25" customHeight="1"/>
    <row r="58081" ht="26.25" customHeight="1"/>
    <row r="58082" ht="26.25" customHeight="1"/>
    <row r="58083" ht="26.25" customHeight="1"/>
    <row r="58084" ht="26.25" customHeight="1"/>
    <row r="58085" ht="26.25" customHeight="1"/>
    <row r="58086" ht="26.25" customHeight="1"/>
    <row r="58087" ht="26.25" customHeight="1"/>
    <row r="58088" ht="26.25" customHeight="1"/>
    <row r="58089" ht="26.25" customHeight="1"/>
    <row r="58090" ht="26.25" customHeight="1"/>
    <row r="58091" ht="26.25" customHeight="1"/>
    <row r="58092" ht="26.25" customHeight="1"/>
    <row r="58093" ht="26.25" customHeight="1"/>
    <row r="58094" ht="26.25" customHeight="1"/>
    <row r="58095" ht="26.25" customHeight="1"/>
    <row r="58096" ht="26.25" customHeight="1"/>
    <row r="58097" ht="26.25" customHeight="1"/>
    <row r="58098" ht="26.25" customHeight="1"/>
    <row r="58099" ht="26.25" customHeight="1"/>
    <row r="58100" ht="26.25" customHeight="1"/>
    <row r="58101" ht="26.25" customHeight="1"/>
    <row r="58102" ht="26.25" customHeight="1"/>
    <row r="58103" ht="26.25" customHeight="1"/>
    <row r="58104" ht="26.25" customHeight="1"/>
    <row r="58105" ht="26.25" customHeight="1"/>
    <row r="58106" ht="26.25" customHeight="1"/>
    <row r="58107" ht="26.25" customHeight="1"/>
    <row r="58108" ht="26.25" customHeight="1"/>
    <row r="58109" ht="26.25" customHeight="1"/>
    <row r="58110" ht="26.25" customHeight="1"/>
    <row r="58111" ht="26.25" customHeight="1"/>
    <row r="58112" ht="26.25" customHeight="1"/>
    <row r="58113" ht="26.25" customHeight="1"/>
    <row r="58114" ht="26.25" customHeight="1"/>
    <row r="58115" ht="26.25" customHeight="1"/>
    <row r="58116" ht="26.25" customHeight="1"/>
    <row r="58117" ht="26.25" customHeight="1"/>
    <row r="58118" ht="26.25" customHeight="1"/>
    <row r="58119" ht="26.25" customHeight="1"/>
    <row r="58120" ht="26.25" customHeight="1"/>
    <row r="58121" ht="26.25" customHeight="1"/>
    <row r="58122" ht="26.25" customHeight="1"/>
    <row r="58123" ht="26.25" customHeight="1"/>
    <row r="58124" ht="26.25" customHeight="1"/>
    <row r="58125" ht="26.25" customHeight="1"/>
    <row r="58126" ht="26.25" customHeight="1"/>
    <row r="58127" ht="26.25" customHeight="1"/>
    <row r="58128" ht="26.25" customHeight="1"/>
    <row r="58129" ht="26.25" customHeight="1"/>
    <row r="58130" ht="26.25" customHeight="1"/>
    <row r="58131" ht="26.25" customHeight="1"/>
    <row r="58132" ht="26.25" customHeight="1"/>
    <row r="58133" ht="26.25" customHeight="1"/>
    <row r="58134" ht="26.25" customHeight="1"/>
    <row r="58135" ht="26.25" customHeight="1"/>
    <row r="58136" ht="26.25" customHeight="1"/>
    <row r="58137" ht="26.25" customHeight="1"/>
    <row r="58138" ht="26.25" customHeight="1"/>
    <row r="58139" ht="26.25" customHeight="1"/>
    <row r="58140" ht="26.25" customHeight="1"/>
    <row r="58141" ht="26.25" customHeight="1"/>
    <row r="58142" ht="26.25" customHeight="1"/>
    <row r="58143" ht="26.25" customHeight="1"/>
    <row r="58144" ht="26.25" customHeight="1"/>
    <row r="58145" ht="26.25" customHeight="1"/>
    <row r="58146" ht="26.25" customHeight="1"/>
    <row r="58147" ht="26.25" customHeight="1"/>
    <row r="58148" ht="26.25" customHeight="1"/>
    <row r="58149" ht="26.25" customHeight="1"/>
    <row r="58150" ht="26.25" customHeight="1"/>
    <row r="58151" ht="26.25" customHeight="1"/>
    <row r="58152" ht="26.25" customHeight="1"/>
    <row r="58153" ht="26.25" customHeight="1"/>
    <row r="58154" ht="26.25" customHeight="1"/>
    <row r="58155" ht="26.25" customHeight="1"/>
    <row r="58156" ht="26.25" customHeight="1"/>
    <row r="58157" ht="26.25" customHeight="1"/>
    <row r="58158" ht="26.25" customHeight="1"/>
    <row r="58159" ht="26.25" customHeight="1"/>
    <row r="58160" ht="26.25" customHeight="1"/>
    <row r="58161" ht="26.25" customHeight="1"/>
    <row r="58162" ht="26.25" customHeight="1"/>
    <row r="58163" ht="26.25" customHeight="1"/>
    <row r="58164" ht="26.25" customHeight="1"/>
    <row r="58165" ht="26.25" customHeight="1"/>
    <row r="58166" ht="26.25" customHeight="1"/>
    <row r="58167" ht="26.25" customHeight="1"/>
    <row r="58168" ht="26.25" customHeight="1"/>
    <row r="58169" ht="26.25" customHeight="1"/>
    <row r="58170" ht="26.25" customHeight="1"/>
    <row r="58171" ht="26.25" customHeight="1"/>
    <row r="58172" ht="26.25" customHeight="1"/>
    <row r="58173" ht="26.25" customHeight="1"/>
    <row r="58174" ht="26.25" customHeight="1"/>
    <row r="58175" ht="26.25" customHeight="1"/>
    <row r="58176" ht="26.25" customHeight="1"/>
    <row r="58177" ht="26.25" customHeight="1"/>
    <row r="58178" ht="26.25" customHeight="1"/>
    <row r="58179" ht="26.25" customHeight="1"/>
    <row r="58180" ht="26.25" customHeight="1"/>
    <row r="58181" ht="26.25" customHeight="1"/>
    <row r="58182" ht="26.25" customHeight="1"/>
    <row r="58183" ht="26.25" customHeight="1"/>
    <row r="58184" ht="26.25" customHeight="1"/>
    <row r="58185" ht="26.25" customHeight="1"/>
    <row r="58186" ht="26.25" customHeight="1"/>
    <row r="58187" ht="26.25" customHeight="1"/>
    <row r="58188" ht="26.25" customHeight="1"/>
    <row r="58189" ht="26.25" customHeight="1"/>
    <row r="58190" ht="26.25" customHeight="1"/>
    <row r="58191" ht="26.25" customHeight="1"/>
    <row r="58192" ht="26.25" customHeight="1"/>
    <row r="58193" ht="26.25" customHeight="1"/>
    <row r="58194" ht="26.25" customHeight="1"/>
    <row r="58195" ht="26.25" customHeight="1"/>
    <row r="58196" ht="26.25" customHeight="1"/>
    <row r="58197" ht="26.25" customHeight="1"/>
    <row r="58198" ht="26.25" customHeight="1"/>
    <row r="58199" ht="26.25" customHeight="1"/>
    <row r="58200" ht="26.25" customHeight="1"/>
    <row r="58201" ht="26.25" customHeight="1"/>
    <row r="58202" ht="26.25" customHeight="1"/>
    <row r="58203" ht="26.25" customHeight="1"/>
    <row r="58204" ht="26.25" customHeight="1"/>
    <row r="58205" ht="26.25" customHeight="1"/>
    <row r="58206" ht="26.25" customHeight="1"/>
    <row r="58207" ht="26.25" customHeight="1"/>
    <row r="58208" ht="26.25" customHeight="1"/>
    <row r="58209" ht="26.25" customHeight="1"/>
    <row r="58210" ht="26.25" customHeight="1"/>
    <row r="58211" ht="26.25" customHeight="1"/>
    <row r="58212" ht="26.25" customHeight="1"/>
    <row r="58213" ht="26.25" customHeight="1"/>
    <row r="58214" ht="26.25" customHeight="1"/>
    <row r="58215" ht="26.25" customHeight="1"/>
    <row r="58216" ht="26.25" customHeight="1"/>
    <row r="58217" ht="26.25" customHeight="1"/>
    <row r="58218" ht="26.25" customHeight="1"/>
    <row r="58219" ht="26.25" customHeight="1"/>
    <row r="58220" ht="26.25" customHeight="1"/>
    <row r="58221" ht="26.25" customHeight="1"/>
    <row r="58222" ht="26.25" customHeight="1"/>
    <row r="58223" ht="26.25" customHeight="1"/>
    <row r="58224" ht="26.25" customHeight="1"/>
    <row r="58225" ht="26.25" customHeight="1"/>
    <row r="58226" ht="26.25" customHeight="1"/>
    <row r="58227" ht="26.25" customHeight="1"/>
    <row r="58228" ht="26.25" customHeight="1"/>
    <row r="58229" ht="26.25" customHeight="1"/>
    <row r="58230" ht="26.25" customHeight="1"/>
    <row r="58231" ht="26.25" customHeight="1"/>
    <row r="58232" ht="26.25" customHeight="1"/>
    <row r="58233" ht="26.25" customHeight="1"/>
    <row r="58234" ht="26.25" customHeight="1"/>
    <row r="58235" ht="26.25" customHeight="1"/>
    <row r="58236" ht="26.25" customHeight="1"/>
    <row r="58237" ht="26.25" customHeight="1"/>
    <row r="58238" ht="26.25" customHeight="1"/>
    <row r="58239" ht="26.25" customHeight="1"/>
    <row r="58240" ht="26.25" customHeight="1"/>
    <row r="58241" ht="26.25" customHeight="1"/>
    <row r="58242" ht="26.25" customHeight="1"/>
    <row r="58243" ht="26.25" customHeight="1"/>
    <row r="58244" ht="26.25" customHeight="1"/>
    <row r="58245" ht="26.25" customHeight="1"/>
    <row r="58246" ht="26.25" customHeight="1"/>
    <row r="58247" ht="26.25" customHeight="1"/>
    <row r="58248" ht="26.25" customHeight="1"/>
    <row r="58249" ht="26.25" customHeight="1"/>
    <row r="58250" ht="26.25" customHeight="1"/>
    <row r="58251" ht="26.25" customHeight="1"/>
    <row r="58252" ht="26.25" customHeight="1"/>
    <row r="58253" ht="26.25" customHeight="1"/>
    <row r="58254" ht="26.25" customHeight="1"/>
    <row r="58255" ht="26.25" customHeight="1"/>
    <row r="58256" ht="26.25" customHeight="1"/>
    <row r="58257" ht="26.25" customHeight="1"/>
    <row r="58258" ht="26.25" customHeight="1"/>
    <row r="58259" ht="26.25" customHeight="1"/>
    <row r="58260" ht="26.25" customHeight="1"/>
    <row r="58261" ht="26.25" customHeight="1"/>
    <row r="58262" ht="26.25" customHeight="1"/>
    <row r="58263" ht="26.25" customHeight="1"/>
    <row r="58264" ht="26.25" customHeight="1"/>
    <row r="58265" ht="26.25" customHeight="1"/>
    <row r="58266" ht="26.25" customHeight="1"/>
    <row r="58267" ht="26.25" customHeight="1"/>
    <row r="58268" ht="26.25" customHeight="1"/>
    <row r="58269" ht="26.25" customHeight="1"/>
    <row r="58270" ht="26.25" customHeight="1"/>
    <row r="58271" ht="26.25" customHeight="1"/>
    <row r="58272" ht="26.25" customHeight="1"/>
    <row r="58273" ht="26.25" customHeight="1"/>
    <row r="58274" ht="26.25" customHeight="1"/>
    <row r="58275" ht="26.25" customHeight="1"/>
    <row r="58276" ht="26.25" customHeight="1"/>
    <row r="58277" ht="26.25" customHeight="1"/>
    <row r="58278" ht="26.25" customHeight="1"/>
    <row r="58279" ht="26.25" customHeight="1"/>
    <row r="58280" ht="26.25" customHeight="1"/>
    <row r="58281" ht="26.25" customHeight="1"/>
    <row r="58282" ht="26.25" customHeight="1"/>
    <row r="58283" ht="26.25" customHeight="1"/>
    <row r="58284" ht="26.25" customHeight="1"/>
    <row r="58285" ht="26.25" customHeight="1"/>
    <row r="58286" ht="26.25" customHeight="1"/>
    <row r="58287" ht="26.25" customHeight="1"/>
    <row r="58288" ht="26.25" customHeight="1"/>
    <row r="58289" ht="26.25" customHeight="1"/>
    <row r="58290" ht="26.25" customHeight="1"/>
    <row r="58291" ht="26.25" customHeight="1"/>
    <row r="58292" ht="26.25" customHeight="1"/>
    <row r="58293" ht="26.25" customHeight="1"/>
    <row r="58294" ht="26.25" customHeight="1"/>
    <row r="58295" ht="26.25" customHeight="1"/>
    <row r="58296" ht="26.25" customHeight="1"/>
    <row r="58297" ht="26.25" customHeight="1"/>
    <row r="58298" ht="26.25" customHeight="1"/>
    <row r="58299" ht="26.25" customHeight="1"/>
    <row r="58300" ht="26.25" customHeight="1"/>
    <row r="58301" ht="26.25" customHeight="1"/>
    <row r="58302" ht="26.25" customHeight="1"/>
    <row r="58303" ht="26.25" customHeight="1"/>
    <row r="58304" ht="26.25" customHeight="1"/>
    <row r="58305" ht="26.25" customHeight="1"/>
    <row r="58306" ht="26.25" customHeight="1"/>
    <row r="58307" ht="26.25" customHeight="1"/>
    <row r="58308" ht="26.25" customHeight="1"/>
    <row r="58309" ht="26.25" customHeight="1"/>
    <row r="58310" ht="26.25" customHeight="1"/>
    <row r="58311" ht="26.25" customHeight="1"/>
    <row r="58312" ht="26.25" customHeight="1"/>
    <row r="58313" ht="26.25" customHeight="1"/>
    <row r="58314" ht="26.25" customHeight="1"/>
    <row r="58315" ht="26.25" customHeight="1"/>
    <row r="58316" ht="26.25" customHeight="1"/>
    <row r="58317" ht="26.25" customHeight="1"/>
    <row r="58318" ht="26.25" customHeight="1"/>
    <row r="58319" ht="26.25" customHeight="1"/>
    <row r="58320" ht="26.25" customHeight="1"/>
    <row r="58321" ht="26.25" customHeight="1"/>
    <row r="58322" ht="26.25" customHeight="1"/>
    <row r="58323" ht="26.25" customHeight="1"/>
    <row r="58324" ht="26.25" customHeight="1"/>
    <row r="58325" ht="26.25" customHeight="1"/>
    <row r="58326" ht="26.25" customHeight="1"/>
    <row r="58327" ht="26.25" customHeight="1"/>
    <row r="58328" ht="26.25" customHeight="1"/>
    <row r="58329" ht="26.25" customHeight="1"/>
    <row r="58330" ht="26.25" customHeight="1"/>
    <row r="58331" ht="26.25" customHeight="1"/>
    <row r="58332" ht="26.25" customHeight="1"/>
    <row r="58333" ht="26.25" customHeight="1"/>
    <row r="58334" ht="26.25" customHeight="1"/>
    <row r="58335" ht="26.25" customHeight="1"/>
    <row r="58336" ht="26.25" customHeight="1"/>
    <row r="58337" ht="26.25" customHeight="1"/>
    <row r="58338" ht="26.25" customHeight="1"/>
    <row r="58339" ht="26.25" customHeight="1"/>
    <row r="58340" ht="26.25" customHeight="1"/>
    <row r="58341" ht="26.25" customHeight="1"/>
    <row r="58342" ht="26.25" customHeight="1"/>
    <row r="58343" ht="26.25" customHeight="1"/>
    <row r="58344" ht="26.25" customHeight="1"/>
    <row r="58345" ht="26.25" customHeight="1"/>
    <row r="58346" ht="26.25" customHeight="1"/>
    <row r="58347" ht="26.25" customHeight="1"/>
    <row r="58348" ht="26.25" customHeight="1"/>
    <row r="58349" ht="26.25" customHeight="1"/>
    <row r="58350" ht="26.25" customHeight="1"/>
    <row r="58351" ht="26.25" customHeight="1"/>
    <row r="58352" ht="26.25" customHeight="1"/>
    <row r="58353" ht="26.25" customHeight="1"/>
    <row r="58354" ht="26.25" customHeight="1"/>
    <row r="58355" ht="26.25" customHeight="1"/>
    <row r="58356" ht="26.25" customHeight="1"/>
    <row r="58357" ht="26.25" customHeight="1"/>
    <row r="58358" ht="26.25" customHeight="1"/>
    <row r="58359" ht="26.25" customHeight="1"/>
    <row r="58360" ht="26.25" customHeight="1"/>
    <row r="58361" ht="26.25" customHeight="1"/>
    <row r="58362" ht="26.25" customHeight="1"/>
    <row r="58363" ht="26.25" customHeight="1"/>
    <row r="58364" ht="26.25" customHeight="1"/>
    <row r="58365" ht="26.25" customHeight="1"/>
    <row r="58366" ht="26.25" customHeight="1"/>
    <row r="58367" ht="26.25" customHeight="1"/>
    <row r="58368" ht="26.25" customHeight="1"/>
    <row r="58369" ht="26.25" customHeight="1"/>
    <row r="58370" ht="26.25" customHeight="1"/>
    <row r="58371" ht="26.25" customHeight="1"/>
    <row r="58372" ht="26.25" customHeight="1"/>
    <row r="58373" ht="26.25" customHeight="1"/>
    <row r="58374" ht="26.25" customHeight="1"/>
    <row r="58375" ht="26.25" customHeight="1"/>
    <row r="58376" ht="26.25" customHeight="1"/>
    <row r="58377" ht="26.25" customHeight="1"/>
    <row r="58378" ht="26.25" customHeight="1"/>
    <row r="58379" ht="26.25" customHeight="1"/>
    <row r="58380" ht="26.25" customHeight="1"/>
    <row r="58381" ht="26.25" customHeight="1"/>
    <row r="58382" ht="26.25" customHeight="1"/>
    <row r="58383" ht="26.25" customHeight="1"/>
    <row r="58384" ht="26.25" customHeight="1"/>
    <row r="58385" ht="26.25" customHeight="1"/>
    <row r="58386" ht="26.25" customHeight="1"/>
    <row r="58387" ht="26.25" customHeight="1"/>
    <row r="58388" ht="26.25" customHeight="1"/>
    <row r="58389" ht="26.25" customHeight="1"/>
    <row r="58390" ht="26.25" customHeight="1"/>
    <row r="58391" ht="26.25" customHeight="1"/>
    <row r="58392" ht="26.25" customHeight="1"/>
    <row r="58393" ht="26.25" customHeight="1"/>
    <row r="58394" ht="26.25" customHeight="1"/>
    <row r="58395" ht="26.25" customHeight="1"/>
    <row r="58396" ht="26.25" customHeight="1"/>
    <row r="58397" ht="26.25" customHeight="1"/>
    <row r="58398" ht="26.25" customHeight="1"/>
    <row r="58399" ht="26.25" customHeight="1"/>
    <row r="58400" ht="26.25" customHeight="1"/>
    <row r="58401" ht="26.25" customHeight="1"/>
    <row r="58402" ht="26.25" customHeight="1"/>
    <row r="58403" ht="26.25" customHeight="1"/>
    <row r="58404" ht="26.25" customHeight="1"/>
    <row r="58405" ht="26.25" customHeight="1"/>
    <row r="58406" ht="26.25" customHeight="1"/>
    <row r="58407" ht="26.25" customHeight="1"/>
    <row r="58408" ht="26.25" customHeight="1"/>
    <row r="58409" ht="26.25" customHeight="1"/>
    <row r="58410" ht="26.25" customHeight="1"/>
    <row r="58411" ht="26.25" customHeight="1"/>
    <row r="58412" ht="26.25" customHeight="1"/>
    <row r="58413" ht="26.25" customHeight="1"/>
    <row r="58414" ht="26.25" customHeight="1"/>
    <row r="58415" ht="26.25" customHeight="1"/>
    <row r="58416" ht="26.25" customHeight="1"/>
    <row r="58417" ht="26.25" customHeight="1"/>
    <row r="58418" ht="26.25" customHeight="1"/>
    <row r="58419" ht="26.25" customHeight="1"/>
    <row r="58420" ht="26.25" customHeight="1"/>
    <row r="58421" ht="26.25" customHeight="1"/>
    <row r="58422" ht="26.25" customHeight="1"/>
    <row r="58423" ht="26.25" customHeight="1"/>
    <row r="58424" ht="26.25" customHeight="1"/>
    <row r="58425" ht="26.25" customHeight="1"/>
    <row r="58426" ht="26.25" customHeight="1"/>
    <row r="58427" ht="26.25" customHeight="1"/>
    <row r="58428" ht="26.25" customHeight="1"/>
    <row r="58429" ht="26.25" customHeight="1"/>
    <row r="58430" ht="26.25" customHeight="1"/>
    <row r="58431" ht="26.25" customHeight="1"/>
    <row r="58432" ht="26.25" customHeight="1"/>
    <row r="58433" ht="26.25" customHeight="1"/>
    <row r="58434" ht="26.25" customHeight="1"/>
    <row r="58435" ht="26.25" customHeight="1"/>
    <row r="58436" ht="26.25" customHeight="1"/>
    <row r="58437" ht="26.25" customHeight="1"/>
    <row r="58438" ht="26.25" customHeight="1"/>
    <row r="58439" ht="26.25" customHeight="1"/>
    <row r="58440" ht="26.25" customHeight="1"/>
    <row r="58441" ht="26.25" customHeight="1"/>
    <row r="58442" ht="26.25" customHeight="1"/>
    <row r="58443" ht="26.25" customHeight="1"/>
    <row r="58444" ht="26.25" customHeight="1"/>
    <row r="58445" ht="26.25" customHeight="1"/>
    <row r="58446" ht="26.25" customHeight="1"/>
    <row r="58447" ht="26.25" customHeight="1"/>
    <row r="58448" ht="26.25" customHeight="1"/>
    <row r="58449" ht="26.25" customHeight="1"/>
    <row r="58450" ht="26.25" customHeight="1"/>
    <row r="58451" ht="26.25" customHeight="1"/>
    <row r="58452" ht="26.25" customHeight="1"/>
    <row r="58453" ht="26.25" customHeight="1"/>
    <row r="58454" ht="26.25" customHeight="1"/>
    <row r="58455" ht="26.25" customHeight="1"/>
    <row r="58456" ht="26.25" customHeight="1"/>
    <row r="58457" ht="26.25" customHeight="1"/>
    <row r="58458" ht="26.25" customHeight="1"/>
    <row r="58459" ht="26.25" customHeight="1"/>
    <row r="58460" ht="26.25" customHeight="1"/>
    <row r="58461" ht="26.25" customHeight="1"/>
    <row r="58462" ht="26.25" customHeight="1"/>
    <row r="58463" ht="26.25" customHeight="1"/>
    <row r="58464" ht="26.25" customHeight="1"/>
    <row r="58465" ht="26.25" customHeight="1"/>
    <row r="58466" ht="26.25" customHeight="1"/>
    <row r="58467" ht="26.25" customHeight="1"/>
    <row r="58468" ht="26.25" customHeight="1"/>
    <row r="58469" ht="26.25" customHeight="1"/>
    <row r="58470" ht="26.25" customHeight="1"/>
    <row r="58471" ht="26.25" customHeight="1"/>
    <row r="58472" ht="26.25" customHeight="1"/>
    <row r="58473" ht="26.25" customHeight="1"/>
    <row r="58474" ht="26.25" customHeight="1"/>
    <row r="58475" ht="26.25" customHeight="1"/>
    <row r="58476" ht="26.25" customHeight="1"/>
    <row r="58477" ht="26.25" customHeight="1"/>
    <row r="58478" ht="26.25" customHeight="1"/>
    <row r="58479" ht="26.25" customHeight="1"/>
    <row r="58480" ht="26.25" customHeight="1"/>
    <row r="58481" ht="26.25" customHeight="1"/>
    <row r="58482" ht="26.25" customHeight="1"/>
    <row r="58483" ht="26.25" customHeight="1"/>
    <row r="58484" ht="26.25" customHeight="1"/>
    <row r="58485" ht="26.25" customHeight="1"/>
    <row r="58486" ht="26.25" customHeight="1"/>
    <row r="58487" ht="26.25" customHeight="1"/>
    <row r="58488" ht="26.25" customHeight="1"/>
    <row r="58489" ht="26.25" customHeight="1"/>
    <row r="58490" ht="26.25" customHeight="1"/>
    <row r="58491" ht="26.25" customHeight="1"/>
    <row r="58492" ht="26.25" customHeight="1"/>
    <row r="58493" ht="26.25" customHeight="1"/>
    <row r="58494" ht="26.25" customHeight="1"/>
    <row r="58495" ht="26.25" customHeight="1"/>
    <row r="58496" ht="26.25" customHeight="1"/>
    <row r="58497" ht="26.25" customHeight="1"/>
    <row r="58498" ht="26.25" customHeight="1"/>
    <row r="58499" ht="26.25" customHeight="1"/>
    <row r="58500" ht="26.25" customHeight="1"/>
    <row r="58501" ht="26.25" customHeight="1"/>
    <row r="58502" ht="26.25" customHeight="1"/>
    <row r="58503" ht="26.25" customHeight="1"/>
    <row r="58504" ht="26.25" customHeight="1"/>
    <row r="58505" ht="26.25" customHeight="1"/>
    <row r="58506" ht="26.25" customHeight="1"/>
    <row r="58507" ht="26.25" customHeight="1"/>
    <row r="58508" ht="26.25" customHeight="1"/>
    <row r="58509" ht="26.25" customHeight="1"/>
    <row r="58510" ht="26.25" customHeight="1"/>
    <row r="58511" ht="26.25" customHeight="1"/>
    <row r="58512" ht="26.25" customHeight="1"/>
    <row r="58513" ht="26.25" customHeight="1"/>
    <row r="58514" ht="26.25" customHeight="1"/>
    <row r="58515" ht="26.25" customHeight="1"/>
    <row r="58516" ht="26.25" customHeight="1"/>
    <row r="58517" ht="26.25" customHeight="1"/>
    <row r="58518" ht="26.25" customHeight="1"/>
    <row r="58519" ht="26.25" customHeight="1"/>
    <row r="58520" ht="26.25" customHeight="1"/>
    <row r="58521" ht="26.25" customHeight="1"/>
    <row r="58522" ht="26.25" customHeight="1"/>
    <row r="58523" ht="26.25" customHeight="1"/>
    <row r="58524" ht="26.25" customHeight="1"/>
    <row r="58525" ht="26.25" customHeight="1"/>
    <row r="58526" ht="26.25" customHeight="1"/>
    <row r="58527" ht="26.25" customHeight="1"/>
    <row r="58528" ht="26.25" customHeight="1"/>
    <row r="58529" ht="26.25" customHeight="1"/>
    <row r="58530" ht="26.25" customHeight="1"/>
    <row r="58531" ht="26.25" customHeight="1"/>
    <row r="58532" ht="26.25" customHeight="1"/>
    <row r="58533" ht="26.25" customHeight="1"/>
    <row r="58534" ht="26.25" customHeight="1"/>
    <row r="58535" ht="26.25" customHeight="1"/>
    <row r="58536" ht="26.25" customHeight="1"/>
    <row r="58537" ht="26.25" customHeight="1"/>
    <row r="58538" ht="26.25" customHeight="1"/>
    <row r="58539" ht="26.25" customHeight="1"/>
    <row r="58540" ht="26.25" customHeight="1"/>
    <row r="58541" ht="26.25" customHeight="1"/>
    <row r="58542" ht="26.25" customHeight="1"/>
    <row r="58543" ht="26.25" customHeight="1"/>
    <row r="58544" ht="26.25" customHeight="1"/>
    <row r="58545" ht="26.25" customHeight="1"/>
    <row r="58546" ht="26.25" customHeight="1"/>
    <row r="58547" ht="26.25" customHeight="1"/>
    <row r="58548" ht="26.25" customHeight="1"/>
    <row r="58549" ht="26.25" customHeight="1"/>
    <row r="58550" ht="26.25" customHeight="1"/>
    <row r="58551" ht="26.25" customHeight="1"/>
    <row r="58552" ht="26.25" customHeight="1"/>
    <row r="58553" ht="26.25" customHeight="1"/>
    <row r="58554" ht="26.25" customHeight="1"/>
    <row r="58555" ht="26.25" customHeight="1"/>
    <row r="58556" ht="26.25" customHeight="1"/>
    <row r="58557" ht="26.25" customHeight="1"/>
    <row r="58558" ht="26.25" customHeight="1"/>
    <row r="58559" ht="26.25" customHeight="1"/>
    <row r="58560" ht="26.25" customHeight="1"/>
    <row r="58561" ht="26.25" customHeight="1"/>
    <row r="58562" ht="26.25" customHeight="1"/>
    <row r="58563" ht="26.25" customHeight="1"/>
    <row r="58564" ht="26.25" customHeight="1"/>
    <row r="58565" ht="26.25" customHeight="1"/>
    <row r="58566" ht="26.25" customHeight="1"/>
    <row r="58567" ht="26.25" customHeight="1"/>
    <row r="58568" ht="26.25" customHeight="1"/>
    <row r="58569" ht="26.25" customHeight="1"/>
    <row r="58570" ht="26.25" customHeight="1"/>
    <row r="58571" ht="26.25" customHeight="1"/>
    <row r="58572" ht="26.25" customHeight="1"/>
    <row r="58573" ht="26.25" customHeight="1"/>
    <row r="58574" ht="26.25" customHeight="1"/>
    <row r="58575" ht="26.25" customHeight="1"/>
    <row r="58576" ht="26.25" customHeight="1"/>
    <row r="58577" ht="26.25" customHeight="1"/>
    <row r="58578" ht="26.25" customHeight="1"/>
    <row r="58579" ht="26.25" customHeight="1"/>
    <row r="58580" ht="26.25" customHeight="1"/>
    <row r="58581" ht="26.25" customHeight="1"/>
    <row r="58582" ht="26.25" customHeight="1"/>
    <row r="58583" ht="26.25" customHeight="1"/>
    <row r="58584" ht="26.25" customHeight="1"/>
    <row r="58585" ht="26.25" customHeight="1"/>
    <row r="58586" ht="26.25" customHeight="1"/>
    <row r="58587" ht="26.25" customHeight="1"/>
    <row r="58588" ht="26.25" customHeight="1"/>
    <row r="58589" ht="26.25" customHeight="1"/>
    <row r="58590" ht="26.25" customHeight="1"/>
    <row r="58591" ht="26.25" customHeight="1"/>
    <row r="58592" ht="26.25" customHeight="1"/>
    <row r="58593" ht="26.25" customHeight="1"/>
    <row r="58594" ht="26.25" customHeight="1"/>
    <row r="58595" ht="26.25" customHeight="1"/>
    <row r="58596" ht="26.25" customHeight="1"/>
    <row r="58597" ht="26.25" customHeight="1"/>
    <row r="58598" ht="26.25" customHeight="1"/>
    <row r="58599" ht="26.25" customHeight="1"/>
    <row r="58600" ht="26.25" customHeight="1"/>
    <row r="58601" ht="26.25" customHeight="1"/>
    <row r="58602" ht="26.25" customHeight="1"/>
    <row r="58603" ht="26.25" customHeight="1"/>
    <row r="58604" ht="26.25" customHeight="1"/>
    <row r="58605" ht="26.25" customHeight="1"/>
    <row r="58606" ht="26.25" customHeight="1"/>
    <row r="58607" ht="26.25" customHeight="1"/>
    <row r="58608" ht="26.25" customHeight="1"/>
    <row r="58609" ht="26.25" customHeight="1"/>
    <row r="58610" ht="26.25" customHeight="1"/>
    <row r="58611" ht="26.25" customHeight="1"/>
    <row r="58612" ht="26.25" customHeight="1"/>
    <row r="58613" ht="26.25" customHeight="1"/>
    <row r="58614" ht="26.25" customHeight="1"/>
    <row r="58615" ht="26.25" customHeight="1"/>
    <row r="58616" ht="26.25" customHeight="1"/>
    <row r="58617" ht="26.25" customHeight="1"/>
    <row r="58618" ht="26.25" customHeight="1"/>
    <row r="58619" ht="26.25" customHeight="1"/>
    <row r="58620" ht="26.25" customHeight="1"/>
    <row r="58621" ht="26.25" customHeight="1"/>
    <row r="58622" ht="26.25" customHeight="1"/>
    <row r="58623" ht="26.25" customHeight="1"/>
    <row r="58624" ht="26.25" customHeight="1"/>
    <row r="58625" ht="26.25" customHeight="1"/>
    <row r="58626" ht="26.25" customHeight="1"/>
    <row r="58627" ht="26.25" customHeight="1"/>
    <row r="58628" ht="26.25" customHeight="1"/>
    <row r="58629" ht="26.25" customHeight="1"/>
    <row r="58630" ht="26.25" customHeight="1"/>
    <row r="58631" ht="26.25" customHeight="1"/>
    <row r="58632" ht="26.25" customHeight="1"/>
    <row r="58633" ht="26.25" customHeight="1"/>
    <row r="58634" ht="26.25" customHeight="1"/>
    <row r="58635" ht="26.25" customHeight="1"/>
    <row r="58636" ht="26.25" customHeight="1"/>
    <row r="58637" ht="26.25" customHeight="1"/>
    <row r="58638" ht="26.25" customHeight="1"/>
    <row r="58639" ht="26.25" customHeight="1"/>
    <row r="58640" ht="26.25" customHeight="1"/>
    <row r="58641" ht="26.25" customHeight="1"/>
    <row r="58642" ht="26.25" customHeight="1"/>
    <row r="58643" ht="26.25" customHeight="1"/>
    <row r="58644" ht="26.25" customHeight="1"/>
    <row r="58645" ht="26.25" customHeight="1"/>
    <row r="58646" ht="26.25" customHeight="1"/>
    <row r="58647" ht="26.25" customHeight="1"/>
    <row r="58648" ht="26.25" customHeight="1"/>
    <row r="58649" ht="26.25" customHeight="1"/>
    <row r="58650" ht="26.25" customHeight="1"/>
    <row r="58651" ht="26.25" customHeight="1"/>
    <row r="58652" ht="26.25" customHeight="1"/>
    <row r="58653" ht="26.25" customHeight="1"/>
    <row r="58654" ht="26.25" customHeight="1"/>
    <row r="58655" ht="26.25" customHeight="1"/>
    <row r="58656" ht="26.25" customHeight="1"/>
    <row r="58657" ht="26.25" customHeight="1"/>
    <row r="58658" ht="26.25" customHeight="1"/>
    <row r="58659" ht="26.25" customHeight="1"/>
    <row r="58660" ht="26.25" customHeight="1"/>
    <row r="58661" ht="26.25" customHeight="1"/>
    <row r="58662" ht="26.25" customHeight="1"/>
    <row r="58663" ht="26.25" customHeight="1"/>
    <row r="58664" ht="26.25" customHeight="1"/>
    <row r="58665" ht="26.25" customHeight="1"/>
    <row r="58666" ht="26.25" customHeight="1"/>
    <row r="58667" ht="26.25" customHeight="1"/>
    <row r="58668" ht="26.25" customHeight="1"/>
    <row r="58669" ht="26.25" customHeight="1"/>
    <row r="58670" ht="26.25" customHeight="1"/>
    <row r="58671" ht="26.25" customHeight="1"/>
    <row r="58672" ht="26.25" customHeight="1"/>
    <row r="58673" ht="26.25" customHeight="1"/>
    <row r="58674" ht="26.25" customHeight="1"/>
    <row r="58675" ht="26.25" customHeight="1"/>
    <row r="58676" ht="26.25" customHeight="1"/>
    <row r="58677" ht="26.25" customHeight="1"/>
    <row r="58678" ht="26.25" customHeight="1"/>
    <row r="58679" ht="26.25" customHeight="1"/>
    <row r="58680" ht="26.25" customHeight="1"/>
    <row r="58681" ht="26.25" customHeight="1"/>
    <row r="58682" ht="26.25" customHeight="1"/>
    <row r="58683" ht="26.25" customHeight="1"/>
    <row r="58684" ht="26.25" customHeight="1"/>
    <row r="58685" ht="26.25" customHeight="1"/>
    <row r="58686" ht="26.25" customHeight="1"/>
    <row r="58687" ht="26.25" customHeight="1"/>
    <row r="58688" ht="26.25" customHeight="1"/>
    <row r="58689" ht="26.25" customHeight="1"/>
    <row r="58690" ht="26.25" customHeight="1"/>
    <row r="58691" ht="26.25" customHeight="1"/>
    <row r="58692" ht="26.25" customHeight="1"/>
    <row r="58693" ht="26.25" customHeight="1"/>
    <row r="58694" ht="26.25" customHeight="1"/>
    <row r="58695" ht="26.25" customHeight="1"/>
    <row r="58696" ht="26.25" customHeight="1"/>
    <row r="58697" ht="26.25" customHeight="1"/>
    <row r="58698" ht="26.25" customHeight="1"/>
    <row r="58699" ht="26.25" customHeight="1"/>
    <row r="58700" ht="26.25" customHeight="1"/>
    <row r="58701" ht="26.25" customHeight="1"/>
    <row r="58702" ht="26.25" customHeight="1"/>
    <row r="58703" ht="26.25" customHeight="1"/>
    <row r="58704" ht="26.25" customHeight="1"/>
    <row r="58705" ht="26.25" customHeight="1"/>
    <row r="58706" ht="26.25" customHeight="1"/>
    <row r="58707" ht="26.25" customHeight="1"/>
    <row r="58708" ht="26.25" customHeight="1"/>
    <row r="58709" ht="26.25" customHeight="1"/>
    <row r="58710" ht="26.25" customHeight="1"/>
    <row r="58711" ht="26.25" customHeight="1"/>
    <row r="58712" ht="26.25" customHeight="1"/>
    <row r="58713" ht="26.25" customHeight="1"/>
    <row r="58714" ht="26.25" customHeight="1"/>
    <row r="58715" ht="26.25" customHeight="1"/>
    <row r="58716" ht="26.25" customHeight="1"/>
    <row r="58717" ht="26.25" customHeight="1"/>
    <row r="58718" ht="26.25" customHeight="1"/>
    <row r="58719" ht="26.25" customHeight="1"/>
    <row r="58720" ht="26.25" customHeight="1"/>
    <row r="58721" ht="26.25" customHeight="1"/>
    <row r="58722" ht="26.25" customHeight="1"/>
    <row r="58723" ht="26.25" customHeight="1"/>
    <row r="58724" ht="26.25" customHeight="1"/>
    <row r="58725" ht="26.25" customHeight="1"/>
    <row r="58726" ht="26.25" customHeight="1"/>
    <row r="58727" ht="26.25" customHeight="1"/>
    <row r="58728" ht="26.25" customHeight="1"/>
    <row r="58729" ht="26.25" customHeight="1"/>
    <row r="58730" ht="26.25" customHeight="1"/>
    <row r="58731" ht="26.25" customHeight="1"/>
    <row r="58732" ht="26.25" customHeight="1"/>
    <row r="58733" ht="26.25" customHeight="1"/>
    <row r="58734" ht="26.25" customHeight="1"/>
    <row r="58735" ht="26.25" customHeight="1"/>
    <row r="58736" ht="26.25" customHeight="1"/>
    <row r="58737" ht="26.25" customHeight="1"/>
    <row r="58738" ht="26.25" customHeight="1"/>
    <row r="58739" ht="26.25" customHeight="1"/>
    <row r="58740" ht="26.25" customHeight="1"/>
    <row r="58741" ht="26.25" customHeight="1"/>
    <row r="58742" ht="26.25" customHeight="1"/>
    <row r="58743" ht="26.25" customHeight="1"/>
    <row r="58744" ht="26.25" customHeight="1"/>
    <row r="58745" ht="26.25" customHeight="1"/>
    <row r="58746" ht="26.25" customHeight="1"/>
    <row r="58747" ht="26.25" customHeight="1"/>
    <row r="58748" ht="26.25" customHeight="1"/>
    <row r="58749" ht="26.25" customHeight="1"/>
    <row r="58750" ht="26.25" customHeight="1"/>
    <row r="58751" ht="26.25" customHeight="1"/>
    <row r="58752" ht="26.25" customHeight="1"/>
    <row r="58753" ht="26.25" customHeight="1"/>
    <row r="58754" ht="26.25" customHeight="1"/>
    <row r="58755" ht="26.25" customHeight="1"/>
    <row r="58756" ht="26.25" customHeight="1"/>
    <row r="58757" ht="26.25" customHeight="1"/>
    <row r="58758" ht="26.25" customHeight="1"/>
    <row r="58759" ht="26.25" customHeight="1"/>
    <row r="58760" ht="26.25" customHeight="1"/>
    <row r="58761" ht="26.25" customHeight="1"/>
    <row r="58762" ht="26.25" customHeight="1"/>
    <row r="58763" ht="26.25" customHeight="1"/>
    <row r="58764" ht="26.25" customHeight="1"/>
    <row r="58765" ht="26.25" customHeight="1"/>
    <row r="58766" ht="26.25" customHeight="1"/>
    <row r="58767" ht="26.25" customHeight="1"/>
    <row r="58768" ht="26.25" customHeight="1"/>
    <row r="58769" ht="26.25" customHeight="1"/>
    <row r="58770" ht="26.25" customHeight="1"/>
    <row r="58771" ht="26.25" customHeight="1"/>
    <row r="58772" ht="26.25" customHeight="1"/>
    <row r="58773" ht="26.25" customHeight="1"/>
    <row r="58774" ht="26.25" customHeight="1"/>
    <row r="58775" ht="26.25" customHeight="1"/>
    <row r="58776" ht="26.25" customHeight="1"/>
    <row r="58777" ht="26.25" customHeight="1"/>
    <row r="58778" ht="26.25" customHeight="1"/>
    <row r="58779" ht="26.25" customHeight="1"/>
    <row r="58780" ht="26.25" customHeight="1"/>
    <row r="58781" ht="26.25" customHeight="1"/>
    <row r="58782" ht="26.25" customHeight="1"/>
    <row r="58783" ht="26.25" customHeight="1"/>
    <row r="58784" ht="26.25" customHeight="1"/>
    <row r="58785" ht="26.25" customHeight="1"/>
    <row r="58786" ht="26.25" customHeight="1"/>
    <row r="58787" ht="26.25" customHeight="1"/>
    <row r="58788" ht="26.25" customHeight="1"/>
    <row r="58789" ht="26.25" customHeight="1"/>
    <row r="58790" ht="26.25" customHeight="1"/>
    <row r="58791" ht="26.25" customHeight="1"/>
    <row r="58792" ht="26.25" customHeight="1"/>
    <row r="58793" ht="26.25" customHeight="1"/>
    <row r="58794" ht="26.25" customHeight="1"/>
    <row r="58795" ht="26.25" customHeight="1"/>
    <row r="58796" ht="26.25" customHeight="1"/>
    <row r="58797" ht="26.25" customHeight="1"/>
    <row r="58798" ht="26.25" customHeight="1"/>
    <row r="58799" ht="26.25" customHeight="1"/>
    <row r="58800" ht="26.25" customHeight="1"/>
    <row r="58801" ht="26.25" customHeight="1"/>
    <row r="58802" ht="26.25" customHeight="1"/>
    <row r="58803" ht="26.25" customHeight="1"/>
    <row r="58804" ht="26.25" customHeight="1"/>
    <row r="58805" ht="26.25" customHeight="1"/>
    <row r="58806" ht="26.25" customHeight="1"/>
    <row r="58807" ht="26.25" customHeight="1"/>
    <row r="58808" ht="26.25" customHeight="1"/>
    <row r="58809" ht="26.25" customHeight="1"/>
    <row r="58810" ht="26.25" customHeight="1"/>
    <row r="58811" ht="26.25" customHeight="1"/>
    <row r="58812" ht="26.25" customHeight="1"/>
    <row r="58813" ht="26.25" customHeight="1"/>
    <row r="58814" ht="26.25" customHeight="1"/>
    <row r="58815" ht="26.25" customHeight="1"/>
    <row r="58816" ht="26.25" customHeight="1"/>
    <row r="58817" ht="26.25" customHeight="1"/>
    <row r="58818" ht="26.25" customHeight="1"/>
    <row r="58819" ht="26.25" customHeight="1"/>
    <row r="58820" ht="26.25" customHeight="1"/>
    <row r="58821" ht="26.25" customHeight="1"/>
    <row r="58822" ht="26.25" customHeight="1"/>
    <row r="58823" ht="26.25" customHeight="1"/>
    <row r="58824" ht="26.25" customHeight="1"/>
    <row r="58825" ht="26.25" customHeight="1"/>
    <row r="58826" ht="26.25" customHeight="1"/>
    <row r="58827" ht="26.25" customHeight="1"/>
    <row r="58828" ht="26.25" customHeight="1"/>
    <row r="58829" ht="26.25" customHeight="1"/>
    <row r="58830" ht="26.25" customHeight="1"/>
    <row r="58831" ht="26.25" customHeight="1"/>
    <row r="58832" ht="26.25" customHeight="1"/>
    <row r="58833" ht="26.25" customHeight="1"/>
    <row r="58834" ht="26.25" customHeight="1"/>
    <row r="58835" ht="26.25" customHeight="1"/>
    <row r="58836" ht="26.25" customHeight="1"/>
    <row r="58837" ht="26.25" customHeight="1"/>
    <row r="58838" ht="26.25" customHeight="1"/>
    <row r="58839" ht="26.25" customHeight="1"/>
    <row r="58840" ht="26.25" customHeight="1"/>
    <row r="58841" ht="26.25" customHeight="1"/>
    <row r="58842" ht="26.25" customHeight="1"/>
    <row r="58843" ht="26.25" customHeight="1"/>
    <row r="58844" ht="26.25" customHeight="1"/>
    <row r="58845" ht="26.25" customHeight="1"/>
    <row r="58846" ht="26.25" customHeight="1"/>
    <row r="58847" ht="26.25" customHeight="1"/>
    <row r="58848" ht="26.25" customHeight="1"/>
    <row r="58849" ht="26.25" customHeight="1"/>
    <row r="58850" ht="26.25" customHeight="1"/>
    <row r="58851" ht="26.25" customHeight="1"/>
    <row r="58852" ht="26.25" customHeight="1"/>
    <row r="58853" ht="26.25" customHeight="1"/>
    <row r="58854" ht="26.25" customHeight="1"/>
    <row r="58855" ht="26.25" customHeight="1"/>
    <row r="58856" ht="26.25" customHeight="1"/>
    <row r="58857" ht="26.25" customHeight="1"/>
    <row r="58858" ht="26.25" customHeight="1"/>
    <row r="58859" ht="26.25" customHeight="1"/>
    <row r="58860" ht="26.25" customHeight="1"/>
    <row r="58861" ht="26.25" customHeight="1"/>
    <row r="58862" ht="26.25" customHeight="1"/>
    <row r="58863" ht="26.25" customHeight="1"/>
    <row r="58864" ht="26.25" customHeight="1"/>
    <row r="58865" ht="26.25" customHeight="1"/>
    <row r="58866" ht="26.25" customHeight="1"/>
    <row r="58867" ht="26.25" customHeight="1"/>
    <row r="58868" ht="26.25" customHeight="1"/>
    <row r="58869" ht="26.25" customHeight="1"/>
    <row r="58870" ht="26.25" customHeight="1"/>
    <row r="58871" ht="26.25" customHeight="1"/>
    <row r="58872" ht="26.25" customHeight="1"/>
    <row r="58873" ht="26.25" customHeight="1"/>
    <row r="58874" ht="26.25" customHeight="1"/>
    <row r="58875" ht="26.25" customHeight="1"/>
    <row r="58876" ht="26.25" customHeight="1"/>
    <row r="58877" ht="26.25" customHeight="1"/>
    <row r="58878" ht="26.25" customHeight="1"/>
    <row r="58879" ht="26.25" customHeight="1"/>
    <row r="58880" ht="26.25" customHeight="1"/>
    <row r="58881" ht="26.25" customHeight="1"/>
    <row r="58882" ht="26.25" customHeight="1"/>
    <row r="58883" ht="26.25" customHeight="1"/>
    <row r="58884" ht="26.25" customHeight="1"/>
    <row r="58885" ht="26.25" customHeight="1"/>
    <row r="58886" ht="26.25" customHeight="1"/>
    <row r="58887" ht="26.25" customHeight="1"/>
    <row r="58888" ht="26.25" customHeight="1"/>
    <row r="58889" ht="26.25" customHeight="1"/>
    <row r="58890" ht="26.25" customHeight="1"/>
    <row r="58891" ht="26.25" customHeight="1"/>
    <row r="58892" ht="26.25" customHeight="1"/>
    <row r="58893" ht="26.25" customHeight="1"/>
    <row r="58894" ht="26.25" customHeight="1"/>
    <row r="58895" ht="26.25" customHeight="1"/>
    <row r="58896" ht="26.25" customHeight="1"/>
    <row r="58897" ht="26.25" customHeight="1"/>
    <row r="58898" ht="26.25" customHeight="1"/>
    <row r="58899" ht="26.25" customHeight="1"/>
    <row r="58900" ht="26.25" customHeight="1"/>
    <row r="58901" ht="26.25" customHeight="1"/>
    <row r="58902" ht="26.25" customHeight="1"/>
    <row r="58903" ht="26.25" customHeight="1"/>
    <row r="58904" ht="26.25" customHeight="1"/>
    <row r="58905" ht="26.25" customHeight="1"/>
    <row r="58906" ht="26.25" customHeight="1"/>
    <row r="58907" ht="26.25" customHeight="1"/>
    <row r="58908" ht="26.25" customHeight="1"/>
    <row r="58909" ht="26.25" customHeight="1"/>
    <row r="58910" ht="26.25" customHeight="1"/>
    <row r="58911" ht="26.25" customHeight="1"/>
    <row r="58912" ht="26.25" customHeight="1"/>
    <row r="58913" ht="26.25" customHeight="1"/>
    <row r="58914" ht="26.25" customHeight="1"/>
    <row r="58915" ht="26.25" customHeight="1"/>
    <row r="58916" ht="26.25" customHeight="1"/>
    <row r="58917" ht="26.25" customHeight="1"/>
    <row r="58918" ht="26.25" customHeight="1"/>
    <row r="58919" ht="26.25" customHeight="1"/>
    <row r="58920" ht="26.25" customHeight="1"/>
    <row r="58921" ht="26.25" customHeight="1"/>
    <row r="58922" ht="26.25" customHeight="1"/>
    <row r="58923" ht="26.25" customHeight="1"/>
    <row r="58924" ht="26.25" customHeight="1"/>
    <row r="58925" ht="26.25" customHeight="1"/>
    <row r="58926" ht="26.25" customHeight="1"/>
    <row r="58927" ht="26.25" customHeight="1"/>
    <row r="58928" ht="26.25" customHeight="1"/>
    <row r="58929" ht="26.25" customHeight="1"/>
    <row r="58930" ht="26.25" customHeight="1"/>
    <row r="58931" ht="26.25" customHeight="1"/>
    <row r="58932" ht="26.25" customHeight="1"/>
    <row r="58933" ht="26.25" customHeight="1"/>
    <row r="58934" ht="26.25" customHeight="1"/>
    <row r="58935" ht="26.25" customHeight="1"/>
    <row r="58936" ht="26.25" customHeight="1"/>
    <row r="58937" ht="26.25" customHeight="1"/>
    <row r="58938" ht="26.25" customHeight="1"/>
    <row r="58939" ht="26.25" customHeight="1"/>
    <row r="58940" ht="26.25" customHeight="1"/>
    <row r="58941" ht="26.25" customHeight="1"/>
    <row r="58942" ht="26.25" customHeight="1"/>
    <row r="58943" ht="26.25" customHeight="1"/>
    <row r="58944" ht="26.25" customHeight="1"/>
    <row r="58945" ht="26.25" customHeight="1"/>
    <row r="58946" ht="26.25" customHeight="1"/>
    <row r="58947" ht="26.25" customHeight="1"/>
    <row r="58948" ht="26.25" customHeight="1"/>
    <row r="58949" ht="26.25" customHeight="1"/>
    <row r="58950" ht="26.25" customHeight="1"/>
    <row r="58951" ht="26.25" customHeight="1"/>
    <row r="58952" ht="26.25" customHeight="1"/>
    <row r="58953" ht="26.25" customHeight="1"/>
    <row r="58954" ht="26.25" customHeight="1"/>
    <row r="58955" ht="26.25" customHeight="1"/>
    <row r="58956" ht="26.25" customHeight="1"/>
    <row r="58957" ht="26.25" customHeight="1"/>
    <row r="58958" ht="26.25" customHeight="1"/>
    <row r="58959" ht="26.25" customHeight="1"/>
    <row r="58960" ht="26.25" customHeight="1"/>
    <row r="58961" ht="26.25" customHeight="1"/>
    <row r="58962" ht="26.25" customHeight="1"/>
    <row r="58963" ht="26.25" customHeight="1"/>
    <row r="58964" ht="26.25" customHeight="1"/>
    <row r="58965" ht="26.25" customHeight="1"/>
    <row r="58966" ht="26.25" customHeight="1"/>
    <row r="58967" ht="26.25" customHeight="1"/>
    <row r="58968" ht="26.25" customHeight="1"/>
    <row r="58969" ht="26.25" customHeight="1"/>
    <row r="58970" ht="26.25" customHeight="1"/>
    <row r="58971" ht="26.25" customHeight="1"/>
    <row r="58972" ht="26.25" customHeight="1"/>
    <row r="58973" ht="26.25" customHeight="1"/>
    <row r="58974" ht="26.25" customHeight="1"/>
    <row r="58975" ht="26.25" customHeight="1"/>
    <row r="58976" ht="26.25" customHeight="1"/>
    <row r="58977" ht="26.25" customHeight="1"/>
    <row r="58978" ht="26.25" customHeight="1"/>
    <row r="58979" ht="26.25" customHeight="1"/>
    <row r="58980" ht="26.25" customHeight="1"/>
    <row r="58981" ht="26.25" customHeight="1"/>
    <row r="58982" ht="26.25" customHeight="1"/>
    <row r="58983" ht="26.25" customHeight="1"/>
    <row r="58984" ht="26.25" customHeight="1"/>
    <row r="58985" ht="26.25" customHeight="1"/>
    <row r="58986" ht="26.25" customHeight="1"/>
    <row r="58987" ht="26.25" customHeight="1"/>
    <row r="58988" ht="26.25" customHeight="1"/>
    <row r="58989" ht="26.25" customHeight="1"/>
    <row r="58990" ht="26.25" customHeight="1"/>
    <row r="58991" ht="26.25" customHeight="1"/>
    <row r="58992" ht="26.25" customHeight="1"/>
    <row r="58993" ht="26.25" customHeight="1"/>
    <row r="58994" ht="26.25" customHeight="1"/>
    <row r="58995" ht="26.25" customHeight="1"/>
    <row r="58996" ht="26.25" customHeight="1"/>
    <row r="58997" ht="26.25" customHeight="1"/>
    <row r="58998" ht="26.25" customHeight="1"/>
    <row r="58999" ht="26.25" customHeight="1"/>
    <row r="59000" ht="26.25" customHeight="1"/>
    <row r="59001" ht="26.25" customHeight="1"/>
    <row r="59002" ht="26.25" customHeight="1"/>
    <row r="59003" ht="26.25" customHeight="1"/>
    <row r="59004" ht="26.25" customHeight="1"/>
    <row r="59005" ht="26.25" customHeight="1"/>
    <row r="59006" ht="26.25" customHeight="1"/>
    <row r="59007" ht="26.25" customHeight="1"/>
    <row r="59008" ht="26.25" customHeight="1"/>
    <row r="59009" ht="26.25" customHeight="1"/>
    <row r="59010" ht="26.25" customHeight="1"/>
    <row r="59011" ht="26.25" customHeight="1"/>
    <row r="59012" ht="26.25" customHeight="1"/>
    <row r="59013" ht="26.25" customHeight="1"/>
    <row r="59014" ht="26.25" customHeight="1"/>
    <row r="59015" ht="26.25" customHeight="1"/>
    <row r="59016" ht="26.25" customHeight="1"/>
    <row r="59017" ht="26.25" customHeight="1"/>
    <row r="59018" ht="26.25" customHeight="1"/>
    <row r="59019" ht="26.25" customHeight="1"/>
    <row r="59020" ht="26.25" customHeight="1"/>
    <row r="59021" ht="26.25" customHeight="1"/>
    <row r="59022" ht="26.25" customHeight="1"/>
    <row r="59023" ht="26.25" customHeight="1"/>
    <row r="59024" ht="26.25" customHeight="1"/>
    <row r="59025" ht="26.25" customHeight="1"/>
    <row r="59026" ht="26.25" customHeight="1"/>
    <row r="59027" ht="26.25" customHeight="1"/>
    <row r="59028" ht="26.25" customHeight="1"/>
    <row r="59029" ht="26.25" customHeight="1"/>
    <row r="59030" ht="26.25" customHeight="1"/>
    <row r="59031" ht="26.25" customHeight="1"/>
    <row r="59032" ht="26.25" customHeight="1"/>
    <row r="59033" ht="26.25" customHeight="1"/>
    <row r="59034" ht="26.25" customHeight="1"/>
    <row r="59035" ht="26.25" customHeight="1"/>
    <row r="59036" ht="26.25" customHeight="1"/>
    <row r="59037" ht="26.25" customHeight="1"/>
    <row r="59038" ht="26.25" customHeight="1"/>
    <row r="59039" ht="26.25" customHeight="1"/>
    <row r="59040" ht="26.25" customHeight="1"/>
    <row r="59041" ht="26.25" customHeight="1"/>
    <row r="59042" ht="26.25" customHeight="1"/>
    <row r="59043" ht="26.25" customHeight="1"/>
    <row r="59044" ht="26.25" customHeight="1"/>
    <row r="59045" ht="26.25" customHeight="1"/>
    <row r="59046" ht="26.25" customHeight="1"/>
    <row r="59047" ht="26.25" customHeight="1"/>
    <row r="59048" ht="26.25" customHeight="1"/>
    <row r="59049" ht="26.25" customHeight="1"/>
    <row r="59050" ht="26.25" customHeight="1"/>
    <row r="59051" ht="26.25" customHeight="1"/>
    <row r="59052" ht="26.25" customHeight="1"/>
    <row r="59053" ht="26.25" customHeight="1"/>
    <row r="59054" ht="26.25" customHeight="1"/>
    <row r="59055" ht="26.25" customHeight="1"/>
    <row r="59056" ht="26.25" customHeight="1"/>
    <row r="59057" ht="26.25" customHeight="1"/>
    <row r="59058" ht="26.25" customHeight="1"/>
    <row r="59059" ht="26.25" customHeight="1"/>
    <row r="59060" ht="26.25" customHeight="1"/>
    <row r="59061" ht="26.25" customHeight="1"/>
    <row r="59062" ht="26.25" customHeight="1"/>
    <row r="59063" ht="26.25" customHeight="1"/>
    <row r="59064" ht="26.25" customHeight="1"/>
    <row r="59065" ht="26.25" customHeight="1"/>
    <row r="59066" ht="26.25" customHeight="1"/>
    <row r="59067" ht="26.25" customHeight="1"/>
    <row r="59068" ht="26.25" customHeight="1"/>
    <row r="59069" ht="26.25" customHeight="1"/>
    <row r="59070" ht="26.25" customHeight="1"/>
    <row r="59071" ht="26.25" customHeight="1"/>
    <row r="59072" ht="26.25" customHeight="1"/>
    <row r="59073" ht="26.25" customHeight="1"/>
    <row r="59074" ht="26.25" customHeight="1"/>
    <row r="59075" ht="26.25" customHeight="1"/>
    <row r="59076" ht="26.25" customHeight="1"/>
    <row r="59077" ht="26.25" customHeight="1"/>
    <row r="59078" ht="26.25" customHeight="1"/>
    <row r="59079" ht="26.25" customHeight="1"/>
    <row r="59080" ht="26.25" customHeight="1"/>
    <row r="59081" ht="26.25" customHeight="1"/>
    <row r="59082" ht="26.25" customHeight="1"/>
    <row r="59083" ht="26.25" customHeight="1"/>
    <row r="59084" ht="26.25" customHeight="1"/>
    <row r="59085" ht="26.25" customHeight="1"/>
    <row r="59086" ht="26.25" customHeight="1"/>
    <row r="59087" ht="26.25" customHeight="1"/>
    <row r="59088" ht="26.25" customHeight="1"/>
    <row r="59089" ht="26.25" customHeight="1"/>
    <row r="59090" ht="26.25" customHeight="1"/>
    <row r="59091" ht="26.25" customHeight="1"/>
    <row r="59092" ht="26.25" customHeight="1"/>
    <row r="59093" ht="26.25" customHeight="1"/>
    <row r="59094" ht="26.25" customHeight="1"/>
    <row r="59095" ht="26.25" customHeight="1"/>
    <row r="59096" ht="26.25" customHeight="1"/>
    <row r="59097" ht="26.25" customHeight="1"/>
    <row r="59098" ht="26.25" customHeight="1"/>
    <row r="59099" ht="26.25" customHeight="1"/>
    <row r="59100" ht="26.25" customHeight="1"/>
    <row r="59101" ht="26.25" customHeight="1"/>
    <row r="59102" ht="26.25" customHeight="1"/>
    <row r="59103" ht="26.25" customHeight="1"/>
    <row r="59104" ht="26.25" customHeight="1"/>
    <row r="59105" ht="26.25" customHeight="1"/>
    <row r="59106" ht="26.25" customHeight="1"/>
    <row r="59107" ht="26.25" customHeight="1"/>
    <row r="59108" ht="26.25" customHeight="1"/>
    <row r="59109" ht="26.25" customHeight="1"/>
    <row r="59110" ht="26.25" customHeight="1"/>
    <row r="59111" ht="26.25" customHeight="1"/>
    <row r="59112" ht="26.25" customHeight="1"/>
    <row r="59113" ht="26.25" customHeight="1"/>
    <row r="59114" ht="26.25" customHeight="1"/>
    <row r="59115" ht="26.25" customHeight="1"/>
    <row r="59116" ht="26.25" customHeight="1"/>
    <row r="59117" ht="26.25" customHeight="1"/>
    <row r="59118" ht="26.25" customHeight="1"/>
    <row r="59119" ht="26.25" customHeight="1"/>
    <row r="59120" ht="26.25" customHeight="1"/>
    <row r="59121" ht="26.25" customHeight="1"/>
    <row r="59122" ht="26.25" customHeight="1"/>
    <row r="59123" ht="26.25" customHeight="1"/>
    <row r="59124" ht="26.25" customHeight="1"/>
    <row r="59125" ht="26.25" customHeight="1"/>
    <row r="59126" ht="26.25" customHeight="1"/>
    <row r="59127" ht="26.25" customHeight="1"/>
    <row r="59128" ht="26.25" customHeight="1"/>
    <row r="59129" ht="26.25" customHeight="1"/>
    <row r="59130" ht="26.25" customHeight="1"/>
    <row r="59131" ht="26.25" customHeight="1"/>
    <row r="59132" ht="26.25" customHeight="1"/>
    <row r="59133" ht="26.25" customHeight="1"/>
    <row r="59134" ht="26.25" customHeight="1"/>
    <row r="59135" ht="26.25" customHeight="1"/>
    <row r="59136" ht="26.25" customHeight="1"/>
    <row r="59137" ht="26.25" customHeight="1"/>
    <row r="59138" ht="26.25" customHeight="1"/>
    <row r="59139" ht="26.25" customHeight="1"/>
    <row r="59140" ht="26.25" customHeight="1"/>
    <row r="59141" ht="26.25" customHeight="1"/>
    <row r="59142" ht="26.25" customHeight="1"/>
    <row r="59143" ht="26.25" customHeight="1"/>
    <row r="59144" ht="26.25" customHeight="1"/>
    <row r="59145" ht="26.25" customHeight="1"/>
    <row r="59146" ht="26.25" customHeight="1"/>
    <row r="59147" ht="26.25" customHeight="1"/>
    <row r="59148" ht="26.25" customHeight="1"/>
    <row r="59149" ht="26.25" customHeight="1"/>
    <row r="59150" ht="26.25" customHeight="1"/>
    <row r="59151" ht="26.25" customHeight="1"/>
    <row r="59152" ht="26.25" customHeight="1"/>
    <row r="59153" ht="26.25" customHeight="1"/>
    <row r="59154" ht="26.25" customHeight="1"/>
    <row r="59155" ht="26.25" customHeight="1"/>
    <row r="59156" ht="26.25" customHeight="1"/>
    <row r="59157" ht="26.25" customHeight="1"/>
    <row r="59158" ht="26.25" customHeight="1"/>
    <row r="59159" ht="26.25" customHeight="1"/>
    <row r="59160" ht="26.25" customHeight="1"/>
    <row r="59161" ht="26.25" customHeight="1"/>
    <row r="59162" ht="26.25" customHeight="1"/>
    <row r="59163" ht="26.25" customHeight="1"/>
    <row r="59164" ht="26.25" customHeight="1"/>
    <row r="59165" ht="26.25" customHeight="1"/>
    <row r="59166" ht="26.25" customHeight="1"/>
    <row r="59167" ht="26.25" customHeight="1"/>
    <row r="59168" ht="26.25" customHeight="1"/>
    <row r="59169" ht="26.25" customHeight="1"/>
    <row r="59170" ht="26.25" customHeight="1"/>
    <row r="59171" ht="26.25" customHeight="1"/>
    <row r="59172" ht="26.25" customHeight="1"/>
    <row r="59173" ht="26.25" customHeight="1"/>
    <row r="59174" ht="26.25" customHeight="1"/>
    <row r="59175" ht="26.25" customHeight="1"/>
    <row r="59176" ht="26.25" customHeight="1"/>
    <row r="59177" ht="26.25" customHeight="1"/>
    <row r="59178" ht="26.25" customHeight="1"/>
    <row r="59179" ht="26.25" customHeight="1"/>
    <row r="59180" ht="26.25" customHeight="1"/>
    <row r="59181" ht="26.25" customHeight="1"/>
    <row r="59182" ht="26.25" customHeight="1"/>
    <row r="59183" ht="26.25" customHeight="1"/>
    <row r="59184" ht="26.25" customHeight="1"/>
    <row r="59185" ht="26.25" customHeight="1"/>
    <row r="59186" ht="26.25" customHeight="1"/>
    <row r="59187" ht="26.25" customHeight="1"/>
    <row r="59188" ht="26.25" customHeight="1"/>
    <row r="59189" ht="26.25" customHeight="1"/>
    <row r="59190" ht="26.25" customHeight="1"/>
    <row r="59191" ht="26.25" customHeight="1"/>
    <row r="59192" ht="26.25" customHeight="1"/>
    <row r="59193" ht="26.25" customHeight="1"/>
    <row r="59194" ht="26.25" customHeight="1"/>
    <row r="59195" ht="26.25" customHeight="1"/>
    <row r="59196" ht="26.25" customHeight="1"/>
    <row r="59197" ht="26.25" customHeight="1"/>
    <row r="59198" ht="26.25" customHeight="1"/>
    <row r="59199" ht="26.25" customHeight="1"/>
    <row r="59200" ht="26.25" customHeight="1"/>
    <row r="59201" ht="26.25" customHeight="1"/>
    <row r="59202" ht="26.25" customHeight="1"/>
    <row r="59203" ht="26.25" customHeight="1"/>
    <row r="59204" ht="26.25" customHeight="1"/>
    <row r="59205" ht="26.25" customHeight="1"/>
    <row r="59206" ht="26.25" customHeight="1"/>
    <row r="59207" ht="26.25" customHeight="1"/>
    <row r="59208" ht="26.25" customHeight="1"/>
    <row r="59209" ht="26.25" customHeight="1"/>
    <row r="59210" ht="26.25" customHeight="1"/>
    <row r="59211" ht="26.25" customHeight="1"/>
    <row r="59212" ht="26.25" customHeight="1"/>
    <row r="59213" ht="26.25" customHeight="1"/>
    <row r="59214" ht="26.25" customHeight="1"/>
    <row r="59215" ht="26.25" customHeight="1"/>
    <row r="59216" ht="26.25" customHeight="1"/>
    <row r="59217" ht="26.25" customHeight="1"/>
    <row r="59218" ht="26.25" customHeight="1"/>
    <row r="59219" ht="26.25" customHeight="1"/>
    <row r="59220" ht="26.25" customHeight="1"/>
    <row r="59221" ht="26.25" customHeight="1"/>
    <row r="59222" ht="26.25" customHeight="1"/>
    <row r="59223" ht="26.25" customHeight="1"/>
    <row r="59224" ht="26.25" customHeight="1"/>
    <row r="59225" ht="26.25" customHeight="1"/>
    <row r="59226" ht="26.25" customHeight="1"/>
    <row r="59227" ht="26.25" customHeight="1"/>
    <row r="59228" ht="26.25" customHeight="1"/>
    <row r="59229" ht="26.25" customHeight="1"/>
    <row r="59230" ht="26.25" customHeight="1"/>
    <row r="59231" ht="26.25" customHeight="1"/>
    <row r="59232" ht="26.25" customHeight="1"/>
    <row r="59233" ht="26.25" customHeight="1"/>
    <row r="59234" ht="26.25" customHeight="1"/>
    <row r="59235" ht="26.25" customHeight="1"/>
    <row r="59236" ht="26.25" customHeight="1"/>
    <row r="59237" ht="26.25" customHeight="1"/>
    <row r="59238" ht="26.25" customHeight="1"/>
    <row r="59239" ht="26.25" customHeight="1"/>
    <row r="59240" ht="26.25" customHeight="1"/>
    <row r="59241" ht="26.25" customHeight="1"/>
    <row r="59242" ht="26.25" customHeight="1"/>
    <row r="59243" ht="26.25" customHeight="1"/>
    <row r="59244" ht="26.25" customHeight="1"/>
    <row r="59245" ht="26.25" customHeight="1"/>
    <row r="59246" ht="26.25" customHeight="1"/>
    <row r="59247" ht="26.25" customHeight="1"/>
    <row r="59248" ht="26.25" customHeight="1"/>
    <row r="59249" ht="26.25" customHeight="1"/>
    <row r="59250" ht="26.25" customHeight="1"/>
    <row r="59251" ht="26.25" customHeight="1"/>
    <row r="59252" ht="26.25" customHeight="1"/>
    <row r="59253" ht="26.25" customHeight="1"/>
    <row r="59254" ht="26.25" customHeight="1"/>
    <row r="59255" ht="26.25" customHeight="1"/>
    <row r="59256" ht="26.25" customHeight="1"/>
    <row r="59257" ht="26.25" customHeight="1"/>
    <row r="59258" ht="26.25" customHeight="1"/>
    <row r="59259" ht="26.25" customHeight="1"/>
    <row r="59260" ht="26.25" customHeight="1"/>
    <row r="59261" ht="26.25" customHeight="1"/>
    <row r="59262" ht="26.25" customHeight="1"/>
    <row r="59263" ht="26.25" customHeight="1"/>
    <row r="59264" ht="26.25" customHeight="1"/>
    <row r="59265" ht="26.25" customHeight="1"/>
    <row r="59266" ht="26.25" customHeight="1"/>
    <row r="59267" ht="26.25" customHeight="1"/>
    <row r="59268" ht="26.25" customHeight="1"/>
    <row r="59269" ht="26.25" customHeight="1"/>
    <row r="59270" ht="26.25" customHeight="1"/>
    <row r="59271" ht="26.25" customHeight="1"/>
    <row r="59272" ht="26.25" customHeight="1"/>
    <row r="59273" ht="26.25" customHeight="1"/>
    <row r="59274" ht="26.25" customHeight="1"/>
    <row r="59275" ht="26.25" customHeight="1"/>
    <row r="59276" ht="26.25" customHeight="1"/>
    <row r="59277" ht="26.25" customHeight="1"/>
    <row r="59278" ht="26.25" customHeight="1"/>
    <row r="59279" ht="26.25" customHeight="1"/>
    <row r="59280" ht="26.25" customHeight="1"/>
    <row r="59281" ht="26.25" customHeight="1"/>
    <row r="59282" ht="26.25" customHeight="1"/>
    <row r="59283" ht="26.25" customHeight="1"/>
    <row r="59284" ht="26.25" customHeight="1"/>
    <row r="59285" ht="26.25" customHeight="1"/>
    <row r="59286" ht="26.25" customHeight="1"/>
    <row r="59287" ht="26.25" customHeight="1"/>
    <row r="59288" ht="26.25" customHeight="1"/>
    <row r="59289" ht="26.25" customHeight="1"/>
    <row r="59290" ht="26.25" customHeight="1"/>
    <row r="59291" ht="26.25" customHeight="1"/>
    <row r="59292" ht="26.25" customHeight="1"/>
    <row r="59293" ht="26.25" customHeight="1"/>
    <row r="59294" ht="26.25" customHeight="1"/>
    <row r="59295" ht="26.25" customHeight="1"/>
    <row r="59296" ht="26.25" customHeight="1"/>
    <row r="59297" ht="26.25" customHeight="1"/>
    <row r="59298" ht="26.25" customHeight="1"/>
    <row r="59299" ht="26.25" customHeight="1"/>
    <row r="59300" ht="26.25" customHeight="1"/>
    <row r="59301" ht="26.25" customHeight="1"/>
    <row r="59302" ht="26.25" customHeight="1"/>
    <row r="59303" ht="26.25" customHeight="1"/>
    <row r="59304" ht="26.25" customHeight="1"/>
    <row r="59305" ht="26.25" customHeight="1"/>
    <row r="59306" ht="26.25" customHeight="1"/>
    <row r="59307" ht="26.25" customHeight="1"/>
    <row r="59308" ht="26.25" customHeight="1"/>
    <row r="59309" ht="26.25" customHeight="1"/>
    <row r="59310" ht="26.25" customHeight="1"/>
    <row r="59311" ht="26.25" customHeight="1"/>
    <row r="59312" ht="26.25" customHeight="1"/>
    <row r="59313" ht="26.25" customHeight="1"/>
    <row r="59314" ht="26.25" customHeight="1"/>
    <row r="59315" ht="26.25" customHeight="1"/>
    <row r="59316" ht="26.25" customHeight="1"/>
    <row r="59317" ht="26.25" customHeight="1"/>
    <row r="59318" ht="26.25" customHeight="1"/>
    <row r="59319" ht="26.25" customHeight="1"/>
    <row r="59320" ht="26.25" customHeight="1"/>
    <row r="59321" ht="26.25" customHeight="1"/>
    <row r="59322" ht="26.25" customHeight="1"/>
    <row r="59323" ht="26.25" customHeight="1"/>
    <row r="59324" ht="26.25" customHeight="1"/>
    <row r="59325" ht="26.25" customHeight="1"/>
    <row r="59326" ht="26.25" customHeight="1"/>
    <row r="59327" ht="26.25" customHeight="1"/>
    <row r="59328" ht="26.25" customHeight="1"/>
    <row r="59329" ht="26.25" customHeight="1"/>
    <row r="59330" ht="26.25" customHeight="1"/>
    <row r="59331" ht="26.25" customHeight="1"/>
    <row r="59332" ht="26.25" customHeight="1"/>
    <row r="59333" ht="26.25" customHeight="1"/>
    <row r="59334" ht="26.25" customHeight="1"/>
    <row r="59335" ht="26.25" customHeight="1"/>
    <row r="59336" ht="26.25" customHeight="1"/>
    <row r="59337" ht="26.25" customHeight="1"/>
    <row r="59338" ht="26.25" customHeight="1"/>
    <row r="59339" ht="26.25" customHeight="1"/>
    <row r="59340" ht="26.25" customHeight="1"/>
    <row r="59341" ht="26.25" customHeight="1"/>
    <row r="59342" ht="26.25" customHeight="1"/>
    <row r="59343" ht="26.25" customHeight="1"/>
    <row r="59344" ht="26.25" customHeight="1"/>
    <row r="59345" ht="26.25" customHeight="1"/>
    <row r="59346" ht="26.25" customHeight="1"/>
    <row r="59347" ht="26.25" customHeight="1"/>
    <row r="59348" ht="26.25" customHeight="1"/>
    <row r="59349" ht="26.25" customHeight="1"/>
    <row r="59350" ht="26.25" customHeight="1"/>
    <row r="59351" ht="26.25" customHeight="1"/>
    <row r="59352" ht="26.25" customHeight="1"/>
    <row r="59353" ht="26.25" customHeight="1"/>
    <row r="59354" ht="26.25" customHeight="1"/>
    <row r="59355" ht="26.25" customHeight="1"/>
    <row r="59356" ht="26.25" customHeight="1"/>
    <row r="59357" ht="26.25" customHeight="1"/>
    <row r="59358" ht="26.25" customHeight="1"/>
    <row r="59359" ht="26.25" customHeight="1"/>
    <row r="59360" ht="26.25" customHeight="1"/>
    <row r="59361" ht="26.25" customHeight="1"/>
    <row r="59362" ht="26.25" customHeight="1"/>
    <row r="59363" ht="26.25" customHeight="1"/>
    <row r="59364" ht="26.25" customHeight="1"/>
    <row r="59365" ht="26.25" customHeight="1"/>
    <row r="59366" ht="26.25" customHeight="1"/>
    <row r="59367" ht="26.25" customHeight="1"/>
    <row r="59368" ht="26.25" customHeight="1"/>
    <row r="59369" ht="26.25" customHeight="1"/>
    <row r="59370" ht="26.25" customHeight="1"/>
    <row r="59371" ht="26.25" customHeight="1"/>
    <row r="59372" ht="26.25" customHeight="1"/>
    <row r="59373" ht="26.25" customHeight="1"/>
    <row r="59374" ht="26.25" customHeight="1"/>
    <row r="59375" ht="26.25" customHeight="1"/>
    <row r="59376" ht="26.25" customHeight="1"/>
    <row r="59377" ht="26.25" customHeight="1"/>
    <row r="59378" ht="26.25" customHeight="1"/>
    <row r="59379" ht="26.25" customHeight="1"/>
    <row r="59380" ht="26.25" customHeight="1"/>
    <row r="59381" ht="26.25" customHeight="1"/>
    <row r="59382" ht="26.25" customHeight="1"/>
    <row r="59383" ht="26.25" customHeight="1"/>
    <row r="59384" ht="26.25" customHeight="1"/>
    <row r="59385" ht="26.25" customHeight="1"/>
    <row r="59386" ht="26.25" customHeight="1"/>
    <row r="59387" ht="26.25" customHeight="1"/>
    <row r="59388" ht="26.25" customHeight="1"/>
    <row r="59389" ht="26.25" customHeight="1"/>
    <row r="59390" ht="26.25" customHeight="1"/>
    <row r="59391" ht="26.25" customHeight="1"/>
    <row r="59392" ht="26.25" customHeight="1"/>
    <row r="59393" ht="26.25" customHeight="1"/>
    <row r="59394" ht="26.25" customHeight="1"/>
    <row r="59395" ht="26.25" customHeight="1"/>
    <row r="59396" ht="26.25" customHeight="1"/>
    <row r="59397" ht="26.25" customHeight="1"/>
    <row r="59398" ht="26.25" customHeight="1"/>
    <row r="59399" ht="26.25" customHeight="1"/>
    <row r="59400" ht="26.25" customHeight="1"/>
    <row r="59401" ht="26.25" customHeight="1"/>
    <row r="59402" ht="26.25" customHeight="1"/>
    <row r="59403" ht="26.25" customHeight="1"/>
    <row r="59404" ht="26.25" customHeight="1"/>
    <row r="59405" ht="26.25" customHeight="1"/>
    <row r="59406" ht="26.25" customHeight="1"/>
    <row r="59407" ht="26.25" customHeight="1"/>
    <row r="59408" ht="26.25" customHeight="1"/>
    <row r="59409" ht="26.25" customHeight="1"/>
    <row r="59410" ht="26.25" customHeight="1"/>
    <row r="59411" ht="26.25" customHeight="1"/>
    <row r="59412" ht="26.25" customHeight="1"/>
    <row r="59413" ht="26.25" customHeight="1"/>
    <row r="59414" ht="26.25" customHeight="1"/>
    <row r="59415" ht="26.25" customHeight="1"/>
    <row r="59416" ht="26.25" customHeight="1"/>
    <row r="59417" ht="26.25" customHeight="1"/>
    <row r="59418" ht="26.25" customHeight="1"/>
    <row r="59419" ht="26.25" customHeight="1"/>
    <row r="59420" ht="26.25" customHeight="1"/>
    <row r="59421" ht="26.25" customHeight="1"/>
    <row r="59422" ht="26.25" customHeight="1"/>
    <row r="59423" ht="26.25" customHeight="1"/>
    <row r="59424" ht="26.25" customHeight="1"/>
    <row r="59425" ht="26.25" customHeight="1"/>
    <row r="59426" ht="26.25" customHeight="1"/>
    <row r="59427" ht="26.25" customHeight="1"/>
    <row r="59428" ht="26.25" customHeight="1"/>
    <row r="59429" ht="26.25" customHeight="1"/>
    <row r="59430" ht="26.25" customHeight="1"/>
    <row r="59431" ht="26.25" customHeight="1"/>
    <row r="59432" ht="26.25" customHeight="1"/>
    <row r="59433" ht="26.25" customHeight="1"/>
    <row r="59434" ht="26.25" customHeight="1"/>
    <row r="59435" ht="26.25" customHeight="1"/>
    <row r="59436" ht="26.25" customHeight="1"/>
    <row r="59437" ht="26.25" customHeight="1"/>
    <row r="59438" ht="26.25" customHeight="1"/>
    <row r="59439" ht="26.25" customHeight="1"/>
    <row r="59440" ht="26.25" customHeight="1"/>
    <row r="59441" ht="26.25" customHeight="1"/>
    <row r="59442" ht="26.25" customHeight="1"/>
    <row r="59443" ht="26.25" customHeight="1"/>
    <row r="59444" ht="26.25" customHeight="1"/>
    <row r="59445" ht="26.25" customHeight="1"/>
    <row r="59446" ht="26.25" customHeight="1"/>
    <row r="59447" ht="26.25" customHeight="1"/>
    <row r="59448" ht="26.25" customHeight="1"/>
    <row r="59449" ht="26.25" customHeight="1"/>
    <row r="59450" ht="26.25" customHeight="1"/>
    <row r="59451" ht="26.25" customHeight="1"/>
    <row r="59452" ht="26.25" customHeight="1"/>
    <row r="59453" ht="26.25" customHeight="1"/>
    <row r="59454" ht="26.25" customHeight="1"/>
    <row r="59455" ht="26.25" customHeight="1"/>
    <row r="59456" ht="26.25" customHeight="1"/>
    <row r="59457" ht="26.25" customHeight="1"/>
    <row r="59458" ht="26.25" customHeight="1"/>
    <row r="59459" ht="26.25" customHeight="1"/>
    <row r="59460" ht="26.25" customHeight="1"/>
    <row r="59461" ht="26.25" customHeight="1"/>
    <row r="59462" ht="26.25" customHeight="1"/>
    <row r="59463" ht="26.25" customHeight="1"/>
    <row r="59464" ht="26.25" customHeight="1"/>
    <row r="59465" ht="26.25" customHeight="1"/>
    <row r="59466" ht="26.25" customHeight="1"/>
    <row r="59467" ht="26.25" customHeight="1"/>
    <row r="59468" ht="26.25" customHeight="1"/>
    <row r="59469" ht="26.25" customHeight="1"/>
    <row r="59470" ht="26.25" customHeight="1"/>
    <row r="59471" ht="26.25" customHeight="1"/>
    <row r="59472" ht="26.25" customHeight="1"/>
    <row r="59473" ht="26.25" customHeight="1"/>
    <row r="59474" ht="26.25" customHeight="1"/>
    <row r="59475" ht="26.25" customHeight="1"/>
    <row r="59476" ht="26.25" customHeight="1"/>
    <row r="59477" ht="26.25" customHeight="1"/>
    <row r="59478" ht="26.25" customHeight="1"/>
    <row r="59479" ht="26.25" customHeight="1"/>
    <row r="59480" ht="26.25" customHeight="1"/>
    <row r="59481" ht="26.25" customHeight="1"/>
    <row r="59482" ht="26.25" customHeight="1"/>
    <row r="59483" ht="26.25" customHeight="1"/>
    <row r="59484" ht="26.25" customHeight="1"/>
    <row r="59485" ht="26.25" customHeight="1"/>
    <row r="59486" ht="26.25" customHeight="1"/>
    <row r="59487" ht="26.25" customHeight="1"/>
    <row r="59488" ht="26.25" customHeight="1"/>
    <row r="59489" ht="26.25" customHeight="1"/>
    <row r="59490" ht="26.25" customHeight="1"/>
    <row r="59491" ht="26.25" customHeight="1"/>
    <row r="59492" ht="26.25" customHeight="1"/>
    <row r="59493" ht="26.25" customHeight="1"/>
    <row r="59494" ht="26.25" customHeight="1"/>
    <row r="59495" ht="26.25" customHeight="1"/>
    <row r="59496" ht="26.25" customHeight="1"/>
    <row r="59497" ht="26.25" customHeight="1"/>
    <row r="59498" ht="26.25" customHeight="1"/>
    <row r="59499" ht="26.25" customHeight="1"/>
    <row r="59500" ht="26.25" customHeight="1"/>
    <row r="59501" ht="26.25" customHeight="1"/>
    <row r="59502" ht="26.25" customHeight="1"/>
    <row r="59503" ht="26.25" customHeight="1"/>
    <row r="59504" ht="26.25" customHeight="1"/>
    <row r="59505" ht="26.25" customHeight="1"/>
    <row r="59506" ht="26.25" customHeight="1"/>
    <row r="59507" ht="26.25" customHeight="1"/>
    <row r="59508" ht="26.25" customHeight="1"/>
    <row r="59509" ht="26.25" customHeight="1"/>
    <row r="59510" ht="26.25" customHeight="1"/>
    <row r="59511" ht="26.25" customHeight="1"/>
    <row r="59512" ht="26.25" customHeight="1"/>
    <row r="59513" ht="26.25" customHeight="1"/>
    <row r="59514" ht="26.25" customHeight="1"/>
    <row r="59515" ht="26.25" customHeight="1"/>
    <row r="59516" ht="26.25" customHeight="1"/>
    <row r="59517" ht="26.25" customHeight="1"/>
    <row r="59518" ht="26.25" customHeight="1"/>
    <row r="59519" ht="26.25" customHeight="1"/>
    <row r="59520" ht="26.25" customHeight="1"/>
    <row r="59521" ht="26.25" customHeight="1"/>
    <row r="59522" ht="26.25" customHeight="1"/>
    <row r="59523" ht="26.25" customHeight="1"/>
    <row r="59524" ht="26.25" customHeight="1"/>
    <row r="59525" ht="26.25" customHeight="1"/>
    <row r="59526" ht="26.25" customHeight="1"/>
    <row r="59527" ht="26.25" customHeight="1"/>
    <row r="59528" ht="26.25" customHeight="1"/>
    <row r="59529" ht="26.25" customHeight="1"/>
    <row r="59530" ht="26.25" customHeight="1"/>
    <row r="59531" ht="26.25" customHeight="1"/>
    <row r="59532" ht="26.25" customHeight="1"/>
    <row r="59533" ht="26.25" customHeight="1"/>
    <row r="59534" ht="26.25" customHeight="1"/>
    <row r="59535" ht="26.25" customHeight="1"/>
    <row r="59536" ht="26.25" customHeight="1"/>
    <row r="59537" ht="26.25" customHeight="1"/>
    <row r="59538" ht="26.25" customHeight="1"/>
    <row r="59539" ht="26.25" customHeight="1"/>
    <row r="59540" ht="26.25" customHeight="1"/>
    <row r="59541" ht="26.25" customHeight="1"/>
    <row r="59542" ht="26.25" customHeight="1"/>
    <row r="59543" ht="26.25" customHeight="1"/>
    <row r="59544" ht="26.25" customHeight="1"/>
    <row r="59545" ht="26.25" customHeight="1"/>
    <row r="59546" ht="26.25" customHeight="1"/>
    <row r="59547" ht="26.25" customHeight="1"/>
    <row r="59548" ht="26.25" customHeight="1"/>
    <row r="59549" ht="26.25" customHeight="1"/>
    <row r="59550" ht="26.25" customHeight="1"/>
    <row r="59551" ht="26.25" customHeight="1"/>
    <row r="59552" ht="26.25" customHeight="1"/>
    <row r="59553" ht="26.25" customHeight="1"/>
    <row r="59554" ht="26.25" customHeight="1"/>
    <row r="59555" ht="26.25" customHeight="1"/>
    <row r="59556" ht="26.25" customHeight="1"/>
    <row r="59557" ht="26.25" customHeight="1"/>
    <row r="59558" ht="26.25" customHeight="1"/>
    <row r="59559" ht="26.25" customHeight="1"/>
    <row r="59560" ht="26.25" customHeight="1"/>
    <row r="59561" ht="26.25" customHeight="1"/>
    <row r="59562" ht="26.25" customHeight="1"/>
    <row r="59563" ht="26.25" customHeight="1"/>
    <row r="59564" ht="26.25" customHeight="1"/>
    <row r="59565" ht="26.25" customHeight="1"/>
    <row r="59566" ht="26.25" customHeight="1"/>
    <row r="59567" ht="26.25" customHeight="1"/>
    <row r="59568" ht="26.25" customHeight="1"/>
    <row r="59569" ht="26.25" customHeight="1"/>
    <row r="59570" ht="26.25" customHeight="1"/>
    <row r="59571" ht="26.25" customHeight="1"/>
    <row r="59572" ht="26.25" customHeight="1"/>
    <row r="59573" ht="26.25" customHeight="1"/>
    <row r="59574" ht="26.25" customHeight="1"/>
    <row r="59575" ht="26.25" customHeight="1"/>
    <row r="59576" ht="26.25" customHeight="1"/>
    <row r="59577" ht="26.25" customHeight="1"/>
    <row r="59578" ht="26.25" customHeight="1"/>
    <row r="59579" ht="26.25" customHeight="1"/>
    <row r="59580" ht="26.25" customHeight="1"/>
    <row r="59581" ht="26.25" customHeight="1"/>
    <row r="59582" ht="26.25" customHeight="1"/>
    <row r="59583" ht="26.25" customHeight="1"/>
    <row r="59584" ht="26.25" customHeight="1"/>
    <row r="59585" ht="26.25" customHeight="1"/>
    <row r="59586" ht="26.25" customHeight="1"/>
    <row r="59587" ht="26.25" customHeight="1"/>
    <row r="59588" ht="26.25" customHeight="1"/>
    <row r="59589" ht="26.25" customHeight="1"/>
    <row r="59590" ht="26.25" customHeight="1"/>
    <row r="59591" ht="26.25" customHeight="1"/>
    <row r="59592" ht="26.25" customHeight="1"/>
    <row r="59593" ht="26.25" customHeight="1"/>
    <row r="59594" ht="26.25" customHeight="1"/>
    <row r="59595" ht="26.25" customHeight="1"/>
    <row r="59596" ht="26.25" customHeight="1"/>
    <row r="59597" ht="26.25" customHeight="1"/>
    <row r="59598" ht="26.25" customHeight="1"/>
    <row r="59599" ht="26.25" customHeight="1"/>
    <row r="59600" ht="26.25" customHeight="1"/>
    <row r="59601" ht="26.25" customHeight="1"/>
    <row r="59602" ht="26.25" customHeight="1"/>
    <row r="59603" ht="26.25" customHeight="1"/>
    <row r="59604" ht="26.25" customHeight="1"/>
    <row r="59605" ht="26.25" customHeight="1"/>
    <row r="59606" ht="26.25" customHeight="1"/>
    <row r="59607" ht="26.25" customHeight="1"/>
    <row r="59608" ht="26.25" customHeight="1"/>
    <row r="59609" ht="26.25" customHeight="1"/>
    <row r="59610" ht="26.25" customHeight="1"/>
    <row r="59611" ht="26.25" customHeight="1"/>
    <row r="59612" ht="26.25" customHeight="1"/>
    <row r="59613" ht="26.25" customHeight="1"/>
    <row r="59614" ht="26.25" customHeight="1"/>
    <row r="59615" ht="26.25" customHeight="1"/>
    <row r="59616" ht="26.25" customHeight="1"/>
    <row r="59617" ht="26.25" customHeight="1"/>
    <row r="59618" ht="26.25" customHeight="1"/>
    <row r="59619" ht="26.25" customHeight="1"/>
    <row r="59620" ht="26.25" customHeight="1"/>
    <row r="59621" ht="26.25" customHeight="1"/>
    <row r="59622" ht="26.25" customHeight="1"/>
    <row r="59623" ht="26.25" customHeight="1"/>
    <row r="59624" ht="26.25" customHeight="1"/>
    <row r="59625" ht="26.25" customHeight="1"/>
    <row r="59626" ht="26.25" customHeight="1"/>
    <row r="59627" ht="26.25" customHeight="1"/>
    <row r="59628" ht="26.25" customHeight="1"/>
    <row r="59629" ht="26.25" customHeight="1"/>
    <row r="59630" ht="26.25" customHeight="1"/>
    <row r="59631" ht="26.25" customHeight="1"/>
    <row r="59632" ht="26.25" customHeight="1"/>
    <row r="59633" ht="26.25" customHeight="1"/>
    <row r="59634" ht="26.25" customHeight="1"/>
    <row r="59635" ht="26.25" customHeight="1"/>
    <row r="59636" ht="26.25" customHeight="1"/>
    <row r="59637" ht="26.25" customHeight="1"/>
    <row r="59638" ht="26.25" customHeight="1"/>
    <row r="59639" ht="26.25" customHeight="1"/>
    <row r="59640" ht="26.25" customHeight="1"/>
    <row r="59641" ht="26.25" customHeight="1"/>
    <row r="59642" ht="26.25" customHeight="1"/>
    <row r="59643" ht="26.25" customHeight="1"/>
    <row r="59644" ht="26.25" customHeight="1"/>
    <row r="59645" ht="26.25" customHeight="1"/>
    <row r="59646" ht="26.25" customHeight="1"/>
    <row r="59647" ht="26.25" customHeight="1"/>
    <row r="59648" ht="26.25" customHeight="1"/>
    <row r="59649" ht="26.25" customHeight="1"/>
    <row r="59650" ht="26.25" customHeight="1"/>
    <row r="59651" ht="26.25" customHeight="1"/>
    <row r="59652" ht="26.25" customHeight="1"/>
    <row r="59653" ht="26.25" customHeight="1"/>
    <row r="59654" ht="26.25" customHeight="1"/>
    <row r="59655" ht="26.25" customHeight="1"/>
    <row r="59656" ht="26.25" customHeight="1"/>
    <row r="59657" ht="26.25" customHeight="1"/>
    <row r="59658" ht="26.25" customHeight="1"/>
    <row r="59659" ht="26.25" customHeight="1"/>
    <row r="59660" ht="26.25" customHeight="1"/>
    <row r="59661" ht="26.25" customHeight="1"/>
    <row r="59662" ht="26.25" customHeight="1"/>
    <row r="59663" ht="26.25" customHeight="1"/>
    <row r="59664" ht="26.25" customHeight="1"/>
    <row r="59665" ht="26.25" customHeight="1"/>
    <row r="59666" ht="26.25" customHeight="1"/>
    <row r="59667" ht="26.25" customHeight="1"/>
    <row r="59668" ht="26.25" customHeight="1"/>
    <row r="59669" ht="26.25" customHeight="1"/>
    <row r="59670" ht="26.25" customHeight="1"/>
    <row r="59671" ht="26.25" customHeight="1"/>
    <row r="59672" ht="26.25" customHeight="1"/>
    <row r="59673" ht="26.25" customHeight="1"/>
    <row r="59674" ht="26.25" customHeight="1"/>
    <row r="59675" ht="26.25" customHeight="1"/>
    <row r="59676" ht="26.25" customHeight="1"/>
    <row r="59677" ht="26.25" customHeight="1"/>
    <row r="59678" ht="26.25" customHeight="1"/>
    <row r="59679" ht="26.25" customHeight="1"/>
    <row r="59680" ht="26.25" customHeight="1"/>
    <row r="59681" ht="26.25" customHeight="1"/>
    <row r="59682" ht="26.25" customHeight="1"/>
    <row r="59683" ht="26.25" customHeight="1"/>
    <row r="59684" ht="26.25" customHeight="1"/>
    <row r="59685" ht="26.25" customHeight="1"/>
    <row r="59686" ht="26.25" customHeight="1"/>
    <row r="59687" ht="26.25" customHeight="1"/>
    <row r="59688" ht="26.25" customHeight="1"/>
    <row r="59689" ht="26.25" customHeight="1"/>
    <row r="59690" ht="26.25" customHeight="1"/>
    <row r="59691" ht="26.25" customHeight="1"/>
    <row r="59692" ht="26.25" customHeight="1"/>
    <row r="59693" ht="26.25" customHeight="1"/>
    <row r="59694" ht="26.25" customHeight="1"/>
    <row r="59695" ht="26.25" customHeight="1"/>
    <row r="59696" ht="26.25" customHeight="1"/>
    <row r="59697" ht="26.25" customHeight="1"/>
    <row r="59698" ht="26.25" customHeight="1"/>
    <row r="59699" ht="26.25" customHeight="1"/>
    <row r="59700" ht="26.25" customHeight="1"/>
    <row r="59701" ht="26.25" customHeight="1"/>
    <row r="59702" ht="26.25" customHeight="1"/>
    <row r="59703" ht="26.25" customHeight="1"/>
    <row r="59704" ht="26.25" customHeight="1"/>
    <row r="59705" ht="26.25" customHeight="1"/>
    <row r="59706" ht="26.25" customHeight="1"/>
    <row r="59707" ht="26.25" customHeight="1"/>
    <row r="59708" ht="26.25" customHeight="1"/>
    <row r="59709" ht="26.25" customHeight="1"/>
    <row r="59710" ht="26.25" customHeight="1"/>
    <row r="59711" ht="26.25" customHeight="1"/>
    <row r="59712" ht="26.25" customHeight="1"/>
    <row r="59713" ht="26.25" customHeight="1"/>
    <row r="59714" ht="26.25" customHeight="1"/>
    <row r="59715" ht="26.25" customHeight="1"/>
    <row r="59716" ht="26.25" customHeight="1"/>
    <row r="59717" ht="26.25" customHeight="1"/>
    <row r="59718" ht="26.25" customHeight="1"/>
    <row r="59719" ht="26.25" customHeight="1"/>
    <row r="59720" ht="26.25" customHeight="1"/>
    <row r="59721" ht="26.25" customHeight="1"/>
    <row r="59722" ht="26.25" customHeight="1"/>
    <row r="59723" ht="26.25" customHeight="1"/>
    <row r="59724" ht="26.25" customHeight="1"/>
    <row r="59725" ht="26.25" customHeight="1"/>
    <row r="59726" ht="26.25" customHeight="1"/>
    <row r="59727" ht="26.25" customHeight="1"/>
    <row r="59728" ht="26.25" customHeight="1"/>
    <row r="59729" ht="26.25" customHeight="1"/>
    <row r="59730" ht="26.25" customHeight="1"/>
    <row r="59731" ht="26.25" customHeight="1"/>
    <row r="59732" ht="26.25" customHeight="1"/>
    <row r="59733" ht="26.25" customHeight="1"/>
    <row r="59734" ht="26.25" customHeight="1"/>
    <row r="59735" ht="26.25" customHeight="1"/>
    <row r="59736" ht="26.25" customHeight="1"/>
    <row r="59737" ht="26.25" customHeight="1"/>
    <row r="59738" ht="26.25" customHeight="1"/>
    <row r="59739" ht="26.25" customHeight="1"/>
    <row r="59740" ht="26.25" customHeight="1"/>
    <row r="59741" ht="26.25" customHeight="1"/>
    <row r="59742" ht="26.25" customHeight="1"/>
    <row r="59743" ht="26.25" customHeight="1"/>
    <row r="59744" ht="26.25" customHeight="1"/>
    <row r="59745" ht="26.25" customHeight="1"/>
    <row r="59746" ht="26.25" customHeight="1"/>
    <row r="59747" ht="26.25" customHeight="1"/>
    <row r="59748" ht="26.25" customHeight="1"/>
    <row r="59749" ht="26.25" customHeight="1"/>
    <row r="59750" ht="26.25" customHeight="1"/>
    <row r="59751" ht="26.25" customHeight="1"/>
    <row r="59752" ht="26.25" customHeight="1"/>
    <row r="59753" ht="26.25" customHeight="1"/>
    <row r="59754" ht="26.25" customHeight="1"/>
    <row r="59755" ht="26.25" customHeight="1"/>
    <row r="59756" ht="26.25" customHeight="1"/>
    <row r="59757" ht="26.25" customHeight="1"/>
    <row r="59758" ht="26.25" customHeight="1"/>
    <row r="59759" ht="26.25" customHeight="1"/>
    <row r="59760" ht="26.25" customHeight="1"/>
    <row r="59761" ht="26.25" customHeight="1"/>
    <row r="59762" ht="26.25" customHeight="1"/>
    <row r="59763" ht="26.25" customHeight="1"/>
    <row r="59764" ht="26.25" customHeight="1"/>
    <row r="59765" ht="26.25" customHeight="1"/>
    <row r="59766" ht="26.25" customHeight="1"/>
    <row r="59767" ht="26.25" customHeight="1"/>
    <row r="59768" ht="26.25" customHeight="1"/>
    <row r="59769" ht="26.25" customHeight="1"/>
    <row r="59770" ht="26.25" customHeight="1"/>
    <row r="59771" ht="26.25" customHeight="1"/>
    <row r="59772" ht="26.25" customHeight="1"/>
    <row r="59773" ht="26.25" customHeight="1"/>
    <row r="59774" ht="26.25" customHeight="1"/>
    <row r="59775" ht="26.25" customHeight="1"/>
    <row r="59776" ht="26.25" customHeight="1"/>
    <row r="59777" ht="26.25" customHeight="1"/>
    <row r="59778" ht="26.25" customHeight="1"/>
    <row r="59779" ht="26.25" customHeight="1"/>
    <row r="59780" ht="26.25" customHeight="1"/>
    <row r="59781" ht="26.25" customHeight="1"/>
    <row r="59782" ht="26.25" customHeight="1"/>
    <row r="59783" ht="26.25" customHeight="1"/>
    <row r="59784" ht="26.25" customHeight="1"/>
    <row r="59785" ht="26.25" customHeight="1"/>
    <row r="59786" ht="26.25" customHeight="1"/>
    <row r="59787" ht="26.25" customHeight="1"/>
    <row r="59788" ht="26.25" customHeight="1"/>
    <row r="59789" ht="26.25" customHeight="1"/>
    <row r="59790" ht="26.25" customHeight="1"/>
    <row r="59791" ht="26.25" customHeight="1"/>
    <row r="59792" ht="26.25" customHeight="1"/>
    <row r="59793" ht="26.25" customHeight="1"/>
    <row r="59794" ht="26.25" customHeight="1"/>
    <row r="59795" ht="26.25" customHeight="1"/>
    <row r="59796" ht="26.25" customHeight="1"/>
    <row r="59797" ht="26.25" customHeight="1"/>
    <row r="59798" ht="26.25" customHeight="1"/>
    <row r="59799" ht="26.25" customHeight="1"/>
    <row r="59800" ht="26.25" customHeight="1"/>
    <row r="59801" ht="26.25" customHeight="1"/>
    <row r="59802" ht="26.25" customHeight="1"/>
    <row r="59803" ht="26.25" customHeight="1"/>
    <row r="59804" ht="26.25" customHeight="1"/>
    <row r="59805" ht="26.25" customHeight="1"/>
    <row r="59806" ht="26.25" customHeight="1"/>
    <row r="59807" ht="26.25" customHeight="1"/>
    <row r="59808" ht="26.25" customHeight="1"/>
    <row r="59809" ht="26.25" customHeight="1"/>
    <row r="59810" ht="26.25" customHeight="1"/>
    <row r="59811" ht="26.25" customHeight="1"/>
    <row r="59812" ht="26.25" customHeight="1"/>
    <row r="59813" ht="26.25" customHeight="1"/>
    <row r="59814" ht="26.25" customHeight="1"/>
    <row r="59815" ht="26.25" customHeight="1"/>
    <row r="59816" ht="26.25" customHeight="1"/>
    <row r="59817" ht="26.25" customHeight="1"/>
    <row r="59818" ht="26.25" customHeight="1"/>
    <row r="59819" ht="26.25" customHeight="1"/>
    <row r="59820" ht="26.25" customHeight="1"/>
    <row r="59821" ht="26.25" customHeight="1"/>
    <row r="59822" ht="26.25" customHeight="1"/>
    <row r="59823" ht="26.25" customHeight="1"/>
    <row r="59824" ht="26.25" customHeight="1"/>
    <row r="59825" ht="26.25" customHeight="1"/>
    <row r="59826" ht="26.25" customHeight="1"/>
    <row r="59827" ht="26.25" customHeight="1"/>
    <row r="59828" ht="26.25" customHeight="1"/>
    <row r="59829" ht="26.25" customHeight="1"/>
    <row r="59830" ht="26.25" customHeight="1"/>
    <row r="59831" ht="26.25" customHeight="1"/>
    <row r="59832" ht="26.25" customHeight="1"/>
    <row r="59833" ht="26.25" customHeight="1"/>
    <row r="59834" ht="26.25" customHeight="1"/>
    <row r="59835" ht="26.25" customHeight="1"/>
    <row r="59836" ht="26.25" customHeight="1"/>
    <row r="59837" ht="26.25" customHeight="1"/>
    <row r="59838" ht="26.25" customHeight="1"/>
    <row r="59839" ht="26.25" customHeight="1"/>
    <row r="59840" ht="26.25" customHeight="1"/>
    <row r="59841" ht="26.25" customHeight="1"/>
    <row r="59842" ht="26.25" customHeight="1"/>
    <row r="59843" ht="26.25" customHeight="1"/>
    <row r="59844" ht="26.25" customHeight="1"/>
    <row r="59845" ht="26.25" customHeight="1"/>
    <row r="59846" ht="26.25" customHeight="1"/>
    <row r="59847" ht="26.25" customHeight="1"/>
    <row r="59848" ht="26.25" customHeight="1"/>
    <row r="59849" ht="26.25" customHeight="1"/>
    <row r="59850" ht="26.25" customHeight="1"/>
    <row r="59851" ht="26.25" customHeight="1"/>
    <row r="59852" ht="26.25" customHeight="1"/>
    <row r="59853" ht="26.25" customHeight="1"/>
    <row r="59854" ht="26.25" customHeight="1"/>
    <row r="59855" ht="26.25" customHeight="1"/>
    <row r="59856" ht="26.25" customHeight="1"/>
    <row r="59857" ht="26.25" customHeight="1"/>
    <row r="59858" ht="26.25" customHeight="1"/>
    <row r="59859" ht="26.25" customHeight="1"/>
    <row r="59860" ht="26.25" customHeight="1"/>
    <row r="59861" ht="26.25" customHeight="1"/>
    <row r="59862" ht="26.25" customHeight="1"/>
    <row r="59863" ht="26.25" customHeight="1"/>
    <row r="59864" ht="26.25" customHeight="1"/>
    <row r="59865" ht="26.25" customHeight="1"/>
    <row r="59866" ht="26.25" customHeight="1"/>
    <row r="59867" ht="26.25" customHeight="1"/>
    <row r="59868" ht="26.25" customHeight="1"/>
    <row r="59869" ht="26.25" customHeight="1"/>
    <row r="59870" ht="26.25" customHeight="1"/>
    <row r="59871" ht="26.25" customHeight="1"/>
    <row r="59872" ht="26.25" customHeight="1"/>
    <row r="59873" ht="26.25" customHeight="1"/>
    <row r="59874" ht="26.25" customHeight="1"/>
    <row r="59875" ht="26.25" customHeight="1"/>
    <row r="59876" ht="26.25" customHeight="1"/>
    <row r="59877" ht="26.25" customHeight="1"/>
    <row r="59878" ht="26.25" customHeight="1"/>
    <row r="59879" ht="26.25" customHeight="1"/>
    <row r="59880" ht="26.25" customHeight="1"/>
    <row r="59881" ht="26.25" customHeight="1"/>
    <row r="59882" ht="26.25" customHeight="1"/>
    <row r="59883" ht="26.25" customHeight="1"/>
    <row r="59884" ht="26.25" customHeight="1"/>
    <row r="59885" ht="26.25" customHeight="1"/>
    <row r="59886" ht="26.25" customHeight="1"/>
    <row r="59887" ht="26.25" customHeight="1"/>
    <row r="59888" ht="26.25" customHeight="1"/>
    <row r="59889" ht="26.25" customHeight="1"/>
    <row r="59890" ht="26.25" customHeight="1"/>
    <row r="59891" ht="26.25" customHeight="1"/>
    <row r="59892" ht="26.25" customHeight="1"/>
    <row r="59893" ht="26.25" customHeight="1"/>
    <row r="59894" ht="26.25" customHeight="1"/>
    <row r="59895" ht="26.25" customHeight="1"/>
    <row r="59896" ht="26.25" customHeight="1"/>
    <row r="59897" ht="26.25" customHeight="1"/>
    <row r="59898" ht="26.25" customHeight="1"/>
    <row r="59899" ht="26.25" customHeight="1"/>
    <row r="59900" ht="26.25" customHeight="1"/>
    <row r="59901" ht="26.25" customHeight="1"/>
    <row r="59902" ht="26.25" customHeight="1"/>
    <row r="59903" ht="26.25" customHeight="1"/>
    <row r="59904" ht="26.25" customHeight="1"/>
    <row r="59905" ht="26.25" customHeight="1"/>
    <row r="59906" ht="26.25" customHeight="1"/>
    <row r="59907" ht="26.25" customHeight="1"/>
    <row r="59908" ht="26.25" customHeight="1"/>
    <row r="59909" ht="26.25" customHeight="1"/>
    <row r="59910" ht="26.25" customHeight="1"/>
    <row r="59911" ht="26.25" customHeight="1"/>
    <row r="59912" ht="26.25" customHeight="1"/>
    <row r="59913" ht="26.25" customHeight="1"/>
    <row r="59914" ht="26.25" customHeight="1"/>
    <row r="59915" ht="26.25" customHeight="1"/>
    <row r="59916" ht="26.25" customHeight="1"/>
    <row r="59917" ht="26.25" customHeight="1"/>
    <row r="59918" ht="26.25" customHeight="1"/>
    <row r="59919" ht="26.25" customHeight="1"/>
    <row r="59920" ht="26.25" customHeight="1"/>
    <row r="59921" ht="26.25" customHeight="1"/>
    <row r="59922" ht="26.25" customHeight="1"/>
    <row r="59923" ht="26.25" customHeight="1"/>
    <row r="59924" ht="26.25" customHeight="1"/>
    <row r="59925" ht="26.25" customHeight="1"/>
    <row r="59926" ht="26.25" customHeight="1"/>
    <row r="59927" ht="26.25" customHeight="1"/>
    <row r="59928" ht="26.25" customHeight="1"/>
    <row r="59929" ht="26.25" customHeight="1"/>
    <row r="59930" ht="26.25" customHeight="1"/>
    <row r="59931" ht="26.25" customHeight="1"/>
    <row r="59932" ht="26.25" customHeight="1"/>
    <row r="59933" ht="26.25" customHeight="1"/>
    <row r="59934" ht="26.25" customHeight="1"/>
    <row r="59935" ht="26.25" customHeight="1"/>
    <row r="59936" ht="26.25" customHeight="1"/>
    <row r="59937" ht="26.25" customHeight="1"/>
    <row r="59938" ht="26.25" customHeight="1"/>
    <row r="59939" ht="26.25" customHeight="1"/>
    <row r="59940" ht="26.25" customHeight="1"/>
    <row r="59941" ht="26.25" customHeight="1"/>
    <row r="59942" ht="26.25" customHeight="1"/>
    <row r="59943" ht="26.25" customHeight="1"/>
    <row r="59944" ht="26.25" customHeight="1"/>
    <row r="59945" ht="26.25" customHeight="1"/>
    <row r="59946" ht="26.25" customHeight="1"/>
    <row r="59947" ht="26.25" customHeight="1"/>
    <row r="59948" ht="26.25" customHeight="1"/>
    <row r="59949" ht="26.25" customHeight="1"/>
    <row r="59950" ht="26.25" customHeight="1"/>
    <row r="59951" ht="26.25" customHeight="1"/>
    <row r="59952" ht="26.25" customHeight="1"/>
    <row r="59953" ht="26.25" customHeight="1"/>
    <row r="59954" ht="26.25" customHeight="1"/>
    <row r="59955" ht="26.25" customHeight="1"/>
    <row r="59956" ht="26.25" customHeight="1"/>
    <row r="59957" ht="26.25" customHeight="1"/>
    <row r="59958" ht="26.25" customHeight="1"/>
    <row r="59959" ht="26.25" customHeight="1"/>
    <row r="59960" ht="26.25" customHeight="1"/>
    <row r="59961" ht="26.25" customHeight="1"/>
    <row r="59962" ht="26.25" customHeight="1"/>
    <row r="59963" ht="26.25" customHeight="1"/>
    <row r="59964" ht="26.25" customHeight="1"/>
    <row r="59965" ht="26.25" customHeight="1"/>
    <row r="59966" ht="26.25" customHeight="1"/>
    <row r="59967" ht="26.25" customHeight="1"/>
    <row r="59968" ht="26.25" customHeight="1"/>
    <row r="59969" ht="26.25" customHeight="1"/>
    <row r="59970" ht="26.25" customHeight="1"/>
    <row r="59971" ht="26.25" customHeight="1"/>
    <row r="59972" ht="26.25" customHeight="1"/>
    <row r="59973" ht="26.25" customHeight="1"/>
    <row r="59974" ht="26.25" customHeight="1"/>
    <row r="59975" ht="26.25" customHeight="1"/>
    <row r="59976" ht="26.25" customHeight="1"/>
    <row r="59977" ht="26.25" customHeight="1"/>
    <row r="59978" ht="26.25" customHeight="1"/>
    <row r="59979" ht="26.25" customHeight="1"/>
    <row r="59980" ht="26.25" customHeight="1"/>
    <row r="59981" ht="26.25" customHeight="1"/>
    <row r="59982" ht="26.25" customHeight="1"/>
    <row r="59983" ht="26.25" customHeight="1"/>
    <row r="59984" ht="26.25" customHeight="1"/>
    <row r="59985" ht="26.25" customHeight="1"/>
    <row r="59986" ht="26.25" customHeight="1"/>
    <row r="59987" ht="26.25" customHeight="1"/>
    <row r="59988" ht="26.25" customHeight="1"/>
    <row r="59989" ht="26.25" customHeight="1"/>
    <row r="59990" ht="26.25" customHeight="1"/>
    <row r="59991" ht="26.25" customHeight="1"/>
    <row r="59992" ht="26.25" customHeight="1"/>
    <row r="59993" ht="26.25" customHeight="1"/>
    <row r="59994" ht="26.25" customHeight="1"/>
    <row r="59995" ht="26.25" customHeight="1"/>
    <row r="59996" ht="26.25" customHeight="1"/>
    <row r="59997" ht="26.25" customHeight="1"/>
    <row r="59998" ht="26.25" customHeight="1"/>
    <row r="59999" ht="26.25" customHeight="1"/>
    <row r="60000" ht="26.25" customHeight="1"/>
    <row r="60001" ht="26.25" customHeight="1"/>
    <row r="60002" ht="26.25" customHeight="1"/>
    <row r="60003" ht="26.25" customHeight="1"/>
    <row r="60004" ht="26.25" customHeight="1"/>
    <row r="60005" ht="26.25" customHeight="1"/>
    <row r="60006" ht="26.25" customHeight="1"/>
    <row r="60007" ht="26.25" customHeight="1"/>
    <row r="60008" ht="26.25" customHeight="1"/>
    <row r="60009" ht="26.25" customHeight="1"/>
    <row r="60010" ht="26.25" customHeight="1"/>
    <row r="60011" ht="26.25" customHeight="1"/>
    <row r="60012" ht="26.25" customHeight="1"/>
    <row r="60013" ht="26.25" customHeight="1"/>
    <row r="60014" ht="26.25" customHeight="1"/>
    <row r="60015" ht="26.25" customHeight="1"/>
    <row r="60016" ht="26.25" customHeight="1"/>
    <row r="60017" ht="26.25" customHeight="1"/>
    <row r="60018" ht="26.25" customHeight="1"/>
    <row r="60019" ht="26.25" customHeight="1"/>
    <row r="60020" ht="26.25" customHeight="1"/>
    <row r="60021" ht="26.25" customHeight="1"/>
    <row r="60022" ht="26.25" customHeight="1"/>
    <row r="60023" ht="26.25" customHeight="1"/>
    <row r="60024" ht="26.25" customHeight="1"/>
    <row r="60025" ht="26.25" customHeight="1"/>
    <row r="60026" ht="26.25" customHeight="1"/>
    <row r="60027" ht="26.25" customHeight="1"/>
    <row r="60028" ht="26.25" customHeight="1"/>
    <row r="60029" ht="26.25" customHeight="1"/>
    <row r="60030" ht="26.25" customHeight="1"/>
    <row r="60031" ht="26.25" customHeight="1"/>
    <row r="60032" ht="26.25" customHeight="1"/>
    <row r="60033" ht="26.25" customHeight="1"/>
    <row r="60034" ht="26.25" customHeight="1"/>
    <row r="60035" ht="26.25" customHeight="1"/>
    <row r="60036" ht="26.25" customHeight="1"/>
    <row r="60037" ht="26.25" customHeight="1"/>
    <row r="60038" ht="26.25" customHeight="1"/>
    <row r="60039" ht="26.25" customHeight="1"/>
    <row r="60040" ht="26.25" customHeight="1"/>
    <row r="60041" ht="26.25" customHeight="1"/>
    <row r="60042" ht="26.25" customHeight="1"/>
    <row r="60043" ht="26.25" customHeight="1"/>
    <row r="60044" ht="26.25" customHeight="1"/>
    <row r="60045" ht="26.25" customHeight="1"/>
    <row r="60046" ht="26.25" customHeight="1"/>
    <row r="60047" ht="26.25" customHeight="1"/>
    <row r="60048" ht="26.25" customHeight="1"/>
    <row r="60049" ht="26.25" customHeight="1"/>
    <row r="60050" ht="26.25" customHeight="1"/>
    <row r="60051" ht="26.25" customHeight="1"/>
    <row r="60052" ht="26.25" customHeight="1"/>
    <row r="60053" ht="26.25" customHeight="1"/>
    <row r="60054" ht="26.25" customHeight="1"/>
    <row r="60055" ht="26.25" customHeight="1"/>
    <row r="60056" ht="26.25" customHeight="1"/>
    <row r="60057" ht="26.25" customHeight="1"/>
    <row r="60058" ht="26.25" customHeight="1"/>
    <row r="60059" ht="26.25" customHeight="1"/>
    <row r="60060" ht="26.25" customHeight="1"/>
    <row r="60061" ht="26.25" customHeight="1"/>
    <row r="60062" ht="26.25" customHeight="1"/>
    <row r="60063" ht="26.25" customHeight="1"/>
    <row r="60064" ht="26.25" customHeight="1"/>
    <row r="60065" ht="26.25" customHeight="1"/>
    <row r="60066" ht="26.25" customHeight="1"/>
    <row r="60067" ht="26.25" customHeight="1"/>
    <row r="60068" ht="26.25" customHeight="1"/>
    <row r="60069" ht="26.25" customHeight="1"/>
    <row r="60070" ht="26.25" customHeight="1"/>
    <row r="60071" ht="26.25" customHeight="1"/>
    <row r="60072" ht="26.25" customHeight="1"/>
    <row r="60073" ht="26.25" customHeight="1"/>
    <row r="60074" ht="26.25" customHeight="1"/>
    <row r="60075" ht="26.25" customHeight="1"/>
    <row r="60076" ht="26.25" customHeight="1"/>
    <row r="60077" ht="26.25" customHeight="1"/>
    <row r="60078" ht="26.25" customHeight="1"/>
    <row r="60079" ht="26.25" customHeight="1"/>
    <row r="60080" ht="26.25" customHeight="1"/>
    <row r="60081" ht="26.25" customHeight="1"/>
    <row r="60082" ht="26.25" customHeight="1"/>
    <row r="60083" ht="26.25" customHeight="1"/>
    <row r="60084" ht="26.25" customHeight="1"/>
    <row r="60085" ht="26.25" customHeight="1"/>
    <row r="60086" ht="26.25" customHeight="1"/>
    <row r="60087" ht="26.25" customHeight="1"/>
    <row r="60088" ht="26.25" customHeight="1"/>
    <row r="60089" ht="26.25" customHeight="1"/>
    <row r="60090" ht="26.25" customHeight="1"/>
    <row r="60091" ht="26.25" customHeight="1"/>
    <row r="60092" ht="26.25" customHeight="1"/>
    <row r="60093" ht="26.25" customHeight="1"/>
    <row r="60094" ht="26.25" customHeight="1"/>
    <row r="60095" ht="26.25" customHeight="1"/>
    <row r="60096" ht="26.25" customHeight="1"/>
    <row r="60097" ht="26.25" customHeight="1"/>
    <row r="60098" ht="26.25" customHeight="1"/>
    <row r="60099" ht="26.25" customHeight="1"/>
    <row r="60100" ht="26.25" customHeight="1"/>
    <row r="60101" ht="26.25" customHeight="1"/>
    <row r="60102" ht="26.25" customHeight="1"/>
    <row r="60103" ht="26.25" customHeight="1"/>
    <row r="60104" ht="26.25" customHeight="1"/>
    <row r="60105" ht="26.25" customHeight="1"/>
    <row r="60106" ht="26.25" customHeight="1"/>
    <row r="60107" ht="26.25" customHeight="1"/>
    <row r="60108" ht="26.25" customHeight="1"/>
    <row r="60109" ht="26.25" customHeight="1"/>
    <row r="60110" ht="26.25" customHeight="1"/>
    <row r="60111" ht="26.25" customHeight="1"/>
    <row r="60112" ht="26.25" customHeight="1"/>
    <row r="60113" ht="26.25" customHeight="1"/>
    <row r="60114" ht="26.25" customHeight="1"/>
    <row r="60115" ht="26.25" customHeight="1"/>
    <row r="60116" ht="26.25" customHeight="1"/>
    <row r="60117" ht="26.25" customHeight="1"/>
    <row r="60118" ht="26.25" customHeight="1"/>
    <row r="60119" ht="26.25" customHeight="1"/>
    <row r="60120" ht="26.25" customHeight="1"/>
    <row r="60121" ht="26.25" customHeight="1"/>
    <row r="60122" ht="26.25" customHeight="1"/>
    <row r="60123" ht="26.25" customHeight="1"/>
    <row r="60124" ht="26.25" customHeight="1"/>
    <row r="60125" ht="26.25" customHeight="1"/>
    <row r="60126" ht="26.25" customHeight="1"/>
    <row r="60127" ht="26.25" customHeight="1"/>
    <row r="60128" ht="26.25" customHeight="1"/>
    <row r="60129" ht="26.25" customHeight="1"/>
    <row r="60130" ht="26.25" customHeight="1"/>
    <row r="60131" ht="26.25" customHeight="1"/>
    <row r="60132" ht="26.25" customHeight="1"/>
    <row r="60133" ht="26.25" customHeight="1"/>
    <row r="60134" ht="26.25" customHeight="1"/>
    <row r="60135" ht="26.25" customHeight="1"/>
    <row r="60136" ht="26.25" customHeight="1"/>
    <row r="60137" ht="26.25" customHeight="1"/>
    <row r="60138" ht="26.25" customHeight="1"/>
    <row r="60139" ht="26.25" customHeight="1"/>
    <row r="60140" ht="26.25" customHeight="1"/>
    <row r="60141" ht="26.25" customHeight="1"/>
    <row r="60142" ht="26.25" customHeight="1"/>
    <row r="60143" ht="26.25" customHeight="1"/>
    <row r="60144" ht="26.25" customHeight="1"/>
    <row r="60145" ht="26.25" customHeight="1"/>
    <row r="60146" ht="26.25" customHeight="1"/>
    <row r="60147" ht="26.25" customHeight="1"/>
    <row r="60148" ht="26.25" customHeight="1"/>
    <row r="60149" ht="26.25" customHeight="1"/>
    <row r="60150" ht="26.25" customHeight="1"/>
    <row r="60151" ht="26.25" customHeight="1"/>
    <row r="60152" ht="26.25" customHeight="1"/>
    <row r="60153" ht="26.25" customHeight="1"/>
    <row r="60154" ht="26.25" customHeight="1"/>
    <row r="60155" ht="26.25" customHeight="1"/>
    <row r="60156" ht="26.25" customHeight="1"/>
    <row r="60157" ht="26.25" customHeight="1"/>
    <row r="60158" ht="26.25" customHeight="1"/>
    <row r="60159" ht="26.25" customHeight="1"/>
    <row r="60160" ht="26.25" customHeight="1"/>
    <row r="60161" ht="26.25" customHeight="1"/>
    <row r="60162" ht="26.25" customHeight="1"/>
    <row r="60163" ht="26.25" customHeight="1"/>
    <row r="60164" ht="26.25" customHeight="1"/>
    <row r="60165" ht="26.25" customHeight="1"/>
    <row r="60166" ht="26.25" customHeight="1"/>
    <row r="60167" ht="26.25" customHeight="1"/>
    <row r="60168" ht="26.25" customHeight="1"/>
    <row r="60169" ht="26.25" customHeight="1"/>
    <row r="60170" ht="26.25" customHeight="1"/>
    <row r="60171" ht="26.25" customHeight="1"/>
    <row r="60172" ht="26.25" customHeight="1"/>
    <row r="60173" ht="26.25" customHeight="1"/>
    <row r="60174" ht="26.25" customHeight="1"/>
    <row r="60175" ht="26.25" customHeight="1"/>
    <row r="60176" ht="26.25" customHeight="1"/>
    <row r="60177" ht="26.25" customHeight="1"/>
    <row r="60178" ht="26.25" customHeight="1"/>
    <row r="60179" ht="26.25" customHeight="1"/>
    <row r="60180" ht="26.25" customHeight="1"/>
    <row r="60181" ht="26.25" customHeight="1"/>
    <row r="60182" ht="26.25" customHeight="1"/>
    <row r="60183" ht="26.25" customHeight="1"/>
    <row r="60184" ht="26.25" customHeight="1"/>
    <row r="60185" ht="26.25" customHeight="1"/>
    <row r="60186" ht="26.25" customHeight="1"/>
    <row r="60187" ht="26.25" customHeight="1"/>
    <row r="60188" ht="26.25" customHeight="1"/>
    <row r="60189" ht="26.25" customHeight="1"/>
    <row r="60190" ht="26.25" customHeight="1"/>
    <row r="60191" ht="26.25" customHeight="1"/>
    <row r="60192" ht="26.25" customHeight="1"/>
    <row r="60193" ht="26.25" customHeight="1"/>
    <row r="60194" ht="26.25" customHeight="1"/>
    <row r="60195" ht="26.25" customHeight="1"/>
    <row r="60196" ht="26.25" customHeight="1"/>
    <row r="60197" ht="26.25" customHeight="1"/>
    <row r="60198" ht="26.25" customHeight="1"/>
    <row r="60199" ht="26.25" customHeight="1"/>
    <row r="60200" ht="26.25" customHeight="1"/>
    <row r="60201" ht="26.25" customHeight="1"/>
    <row r="60202" ht="26.25" customHeight="1"/>
    <row r="60203" ht="26.25" customHeight="1"/>
    <row r="60204" ht="26.25" customHeight="1"/>
    <row r="60205" ht="26.25" customHeight="1"/>
    <row r="60206" ht="26.25" customHeight="1"/>
    <row r="60207" ht="26.25" customHeight="1"/>
    <row r="60208" ht="26.25" customHeight="1"/>
    <row r="60209" ht="26.25" customHeight="1"/>
    <row r="60210" ht="26.25" customHeight="1"/>
    <row r="60211" ht="26.25" customHeight="1"/>
    <row r="60212" ht="26.25" customHeight="1"/>
    <row r="60213" ht="26.25" customHeight="1"/>
    <row r="60214" ht="26.25" customHeight="1"/>
    <row r="60215" ht="26.25" customHeight="1"/>
    <row r="60216" ht="26.25" customHeight="1"/>
    <row r="60217" ht="26.25" customHeight="1"/>
    <row r="60218" ht="26.25" customHeight="1"/>
    <row r="60219" ht="26.25" customHeight="1"/>
    <row r="60220" ht="26.25" customHeight="1"/>
    <row r="60221" ht="26.25" customHeight="1"/>
    <row r="60222" ht="26.25" customHeight="1"/>
    <row r="60223" ht="26.25" customHeight="1"/>
    <row r="60224" ht="26.25" customHeight="1"/>
    <row r="60225" ht="26.25" customHeight="1"/>
    <row r="60226" ht="26.25" customHeight="1"/>
    <row r="60227" ht="26.25" customHeight="1"/>
    <row r="60228" ht="26.25" customHeight="1"/>
    <row r="60229" ht="26.25" customHeight="1"/>
    <row r="60230" ht="26.25" customHeight="1"/>
    <row r="60231" ht="26.25" customHeight="1"/>
    <row r="60232" ht="26.25" customHeight="1"/>
    <row r="60233" ht="26.25" customHeight="1"/>
    <row r="60234" ht="26.25" customHeight="1"/>
    <row r="60235" ht="26.25" customHeight="1"/>
    <row r="60236" ht="26.25" customHeight="1"/>
    <row r="60237" ht="26.25" customHeight="1"/>
    <row r="60238" ht="26.25" customHeight="1"/>
    <row r="60239" ht="26.25" customHeight="1"/>
    <row r="60240" ht="26.25" customHeight="1"/>
    <row r="60241" ht="26.25" customHeight="1"/>
    <row r="60242" ht="26.25" customHeight="1"/>
    <row r="60243" ht="26.25" customHeight="1"/>
    <row r="60244" ht="26.25" customHeight="1"/>
    <row r="60245" ht="26.25" customHeight="1"/>
    <row r="60246" ht="26.25" customHeight="1"/>
    <row r="60247" ht="26.25" customHeight="1"/>
    <row r="60248" ht="26.25" customHeight="1"/>
    <row r="60249" ht="26.25" customHeight="1"/>
    <row r="60250" ht="26.25" customHeight="1"/>
    <row r="60251" ht="26.25" customHeight="1"/>
    <row r="60252" ht="26.25" customHeight="1"/>
    <row r="60253" ht="26.25" customHeight="1"/>
    <row r="60254" ht="26.25" customHeight="1"/>
    <row r="60255" ht="26.25" customHeight="1"/>
    <row r="60256" ht="26.25" customHeight="1"/>
    <row r="60257" ht="26.25" customHeight="1"/>
    <row r="60258" ht="26.25" customHeight="1"/>
    <row r="60259" ht="26.25" customHeight="1"/>
    <row r="60260" ht="26.25" customHeight="1"/>
    <row r="60261" ht="26.25" customHeight="1"/>
    <row r="60262" ht="26.25" customHeight="1"/>
    <row r="60263" ht="26.25" customHeight="1"/>
    <row r="60264" ht="26.25" customHeight="1"/>
    <row r="60265" ht="26.25" customHeight="1"/>
    <row r="60266" ht="26.25" customHeight="1"/>
    <row r="60267" ht="26.25" customHeight="1"/>
    <row r="60268" ht="26.25" customHeight="1"/>
    <row r="60269" ht="26.25" customHeight="1"/>
    <row r="60270" ht="26.25" customHeight="1"/>
    <row r="60271" ht="26.25" customHeight="1"/>
    <row r="60272" ht="26.25" customHeight="1"/>
    <row r="60273" ht="26.25" customHeight="1"/>
    <row r="60274" ht="26.25" customHeight="1"/>
    <row r="60275" ht="26.25" customHeight="1"/>
    <row r="60276" ht="26.25" customHeight="1"/>
    <row r="60277" ht="26.25" customHeight="1"/>
    <row r="60278" ht="26.25" customHeight="1"/>
    <row r="60279" ht="26.25" customHeight="1"/>
    <row r="60280" ht="26.25" customHeight="1"/>
    <row r="60281" ht="26.25" customHeight="1"/>
    <row r="60282" ht="26.25" customHeight="1"/>
    <row r="60283" ht="26.25" customHeight="1"/>
    <row r="60284" ht="26.25" customHeight="1"/>
    <row r="60285" ht="26.25" customHeight="1"/>
    <row r="60286" ht="26.25" customHeight="1"/>
    <row r="60287" ht="26.25" customHeight="1"/>
    <row r="60288" ht="26.25" customHeight="1"/>
    <row r="60289" ht="26.25" customHeight="1"/>
    <row r="60290" ht="26.25" customHeight="1"/>
    <row r="60291" ht="26.25" customHeight="1"/>
    <row r="60292" ht="26.25" customHeight="1"/>
    <row r="60293" ht="26.25" customHeight="1"/>
    <row r="60294" ht="26.25" customHeight="1"/>
    <row r="60295" ht="26.25" customHeight="1"/>
    <row r="60296" ht="26.25" customHeight="1"/>
    <row r="60297" ht="26.25" customHeight="1"/>
    <row r="60298" ht="26.25" customHeight="1"/>
    <row r="60299" ht="26.25" customHeight="1"/>
    <row r="60300" ht="26.25" customHeight="1"/>
    <row r="60301" ht="26.25" customHeight="1"/>
    <row r="60302" ht="26.25" customHeight="1"/>
    <row r="60303" ht="26.25" customHeight="1"/>
    <row r="60304" ht="26.25" customHeight="1"/>
    <row r="60305" ht="26.25" customHeight="1"/>
    <row r="60306" ht="26.25" customHeight="1"/>
    <row r="60307" ht="26.25" customHeight="1"/>
    <row r="60308" ht="26.25" customHeight="1"/>
    <row r="60309" ht="26.25" customHeight="1"/>
    <row r="60310" ht="26.25" customHeight="1"/>
    <row r="60311" ht="26.25" customHeight="1"/>
    <row r="60312" ht="26.25" customHeight="1"/>
    <row r="60313" ht="26.25" customHeight="1"/>
    <row r="60314" ht="26.25" customHeight="1"/>
    <row r="60315" ht="26.25" customHeight="1"/>
    <row r="60316" ht="26.25" customHeight="1"/>
    <row r="60317" ht="26.25" customHeight="1"/>
    <row r="60318" ht="26.25" customHeight="1"/>
    <row r="60319" ht="26.25" customHeight="1"/>
    <row r="60320" ht="26.25" customHeight="1"/>
    <row r="60321" ht="26.25" customHeight="1"/>
    <row r="60322" ht="26.25" customHeight="1"/>
    <row r="60323" ht="26.25" customHeight="1"/>
    <row r="60324" ht="26.25" customHeight="1"/>
    <row r="60325" ht="26.25" customHeight="1"/>
    <row r="60326" ht="26.25" customHeight="1"/>
    <row r="60327" ht="26.25" customHeight="1"/>
    <row r="60328" ht="26.25" customHeight="1"/>
    <row r="60329" ht="26.25" customHeight="1"/>
    <row r="60330" ht="26.25" customHeight="1"/>
    <row r="60331" ht="26.25" customHeight="1"/>
    <row r="60332" ht="26.25" customHeight="1"/>
    <row r="60333" ht="26.25" customHeight="1"/>
    <row r="60334" ht="26.25" customHeight="1"/>
    <row r="60335" ht="26.25" customHeight="1"/>
    <row r="60336" ht="26.25" customHeight="1"/>
    <row r="60337" ht="26.25" customHeight="1"/>
    <row r="60338" ht="26.25" customHeight="1"/>
    <row r="60339" ht="26.25" customHeight="1"/>
    <row r="60340" ht="26.25" customHeight="1"/>
    <row r="60341" ht="26.25" customHeight="1"/>
    <row r="60342" ht="26.25" customHeight="1"/>
    <row r="60343" ht="26.25" customHeight="1"/>
    <row r="60344" ht="26.25" customHeight="1"/>
    <row r="60345" ht="26.25" customHeight="1"/>
    <row r="60346" ht="26.25" customHeight="1"/>
    <row r="60347" ht="26.25" customHeight="1"/>
    <row r="60348" ht="26.25" customHeight="1"/>
    <row r="60349" ht="26.25" customHeight="1"/>
    <row r="60350" ht="26.25" customHeight="1"/>
    <row r="60351" ht="26.25" customHeight="1"/>
    <row r="60352" ht="26.25" customHeight="1"/>
    <row r="60353" ht="26.25" customHeight="1"/>
    <row r="60354" ht="26.25" customHeight="1"/>
    <row r="60355" ht="26.25" customHeight="1"/>
    <row r="60356" ht="26.25" customHeight="1"/>
    <row r="60357" ht="26.25" customHeight="1"/>
    <row r="60358" ht="26.25" customHeight="1"/>
    <row r="60359" ht="26.25" customHeight="1"/>
    <row r="60360" ht="26.25" customHeight="1"/>
    <row r="60361" ht="26.25" customHeight="1"/>
    <row r="60362" ht="26.25" customHeight="1"/>
    <row r="60363" ht="26.25" customHeight="1"/>
    <row r="60364" ht="26.25" customHeight="1"/>
    <row r="60365" ht="26.25" customHeight="1"/>
    <row r="60366" ht="26.25" customHeight="1"/>
    <row r="60367" ht="26.25" customHeight="1"/>
    <row r="60368" ht="26.25" customHeight="1"/>
    <row r="60369" ht="26.25" customHeight="1"/>
    <row r="60370" ht="26.25" customHeight="1"/>
    <row r="60371" ht="26.25" customHeight="1"/>
    <row r="60372" ht="26.25" customHeight="1"/>
    <row r="60373" ht="26.25" customHeight="1"/>
    <row r="60374" ht="26.25" customHeight="1"/>
    <row r="60375" ht="26.25" customHeight="1"/>
    <row r="60376" ht="26.25" customHeight="1"/>
    <row r="60377" ht="26.25" customHeight="1"/>
    <row r="60378" ht="26.25" customHeight="1"/>
    <row r="60379" ht="26.25" customHeight="1"/>
    <row r="60380" ht="26.25" customHeight="1"/>
    <row r="60381" ht="26.25" customHeight="1"/>
    <row r="60382" ht="26.25" customHeight="1"/>
    <row r="60383" ht="26.25" customHeight="1"/>
    <row r="60384" ht="26.25" customHeight="1"/>
    <row r="60385" ht="26.25" customHeight="1"/>
    <row r="60386" ht="26.25" customHeight="1"/>
    <row r="60387" ht="26.25" customHeight="1"/>
    <row r="60388" ht="26.25" customHeight="1"/>
    <row r="60389" ht="26.25" customHeight="1"/>
    <row r="60390" ht="26.25" customHeight="1"/>
    <row r="60391" ht="26.25" customHeight="1"/>
    <row r="60392" ht="26.25" customHeight="1"/>
    <row r="60393" ht="26.25" customHeight="1"/>
    <row r="60394" ht="26.25" customHeight="1"/>
    <row r="60395" ht="26.25" customHeight="1"/>
    <row r="60396" ht="26.25" customHeight="1"/>
    <row r="60397" ht="26.25" customHeight="1"/>
    <row r="60398" ht="26.25" customHeight="1"/>
    <row r="60399" ht="26.25" customHeight="1"/>
    <row r="60400" ht="26.25" customHeight="1"/>
    <row r="60401" ht="26.25" customHeight="1"/>
    <row r="60402" ht="26.25" customHeight="1"/>
    <row r="60403" ht="26.25" customHeight="1"/>
    <row r="60404" ht="26.25" customHeight="1"/>
    <row r="60405" ht="26.25" customHeight="1"/>
    <row r="60406" ht="26.25" customHeight="1"/>
    <row r="60407" ht="26.25" customHeight="1"/>
    <row r="60408" ht="26.25" customHeight="1"/>
    <row r="60409" ht="26.25" customHeight="1"/>
    <row r="60410" ht="26.25" customHeight="1"/>
    <row r="60411" ht="26.25" customHeight="1"/>
    <row r="60412" ht="26.25" customHeight="1"/>
    <row r="60413" ht="26.25" customHeight="1"/>
    <row r="60414" ht="26.25" customHeight="1"/>
    <row r="60415" ht="26.25" customHeight="1"/>
    <row r="60416" ht="26.25" customHeight="1"/>
    <row r="60417" ht="26.25" customHeight="1"/>
    <row r="60418" ht="26.25" customHeight="1"/>
    <row r="60419" ht="26.25" customHeight="1"/>
    <row r="60420" ht="26.25" customHeight="1"/>
    <row r="60421" ht="26.25" customHeight="1"/>
    <row r="60422" ht="26.25" customHeight="1"/>
    <row r="60423" ht="26.25" customHeight="1"/>
    <row r="60424" ht="26.25" customHeight="1"/>
    <row r="60425" ht="26.25" customHeight="1"/>
    <row r="60426" ht="26.25" customHeight="1"/>
    <row r="60427" ht="26.25" customHeight="1"/>
    <row r="60428" ht="26.25" customHeight="1"/>
    <row r="60429" ht="26.25" customHeight="1"/>
    <row r="60430" ht="26.25" customHeight="1"/>
    <row r="60431" ht="26.25" customHeight="1"/>
    <row r="60432" ht="26.25" customHeight="1"/>
    <row r="60433" ht="26.25" customHeight="1"/>
    <row r="60434" ht="26.25" customHeight="1"/>
    <row r="60435" ht="26.25" customHeight="1"/>
    <row r="60436" ht="26.25" customHeight="1"/>
    <row r="60437" ht="26.25" customHeight="1"/>
    <row r="60438" ht="26.25" customHeight="1"/>
    <row r="60439" ht="26.25" customHeight="1"/>
    <row r="60440" ht="26.25" customHeight="1"/>
    <row r="60441" ht="26.25" customHeight="1"/>
    <row r="60442" ht="26.25" customHeight="1"/>
    <row r="60443" ht="26.25" customHeight="1"/>
    <row r="60444" ht="26.25" customHeight="1"/>
    <row r="60445" ht="26.25" customHeight="1"/>
    <row r="60446" ht="26.25" customHeight="1"/>
    <row r="60447" ht="26.25" customHeight="1"/>
    <row r="60448" ht="26.25" customHeight="1"/>
    <row r="60449" ht="26.25" customHeight="1"/>
    <row r="60450" ht="26.25" customHeight="1"/>
    <row r="60451" ht="26.25" customHeight="1"/>
    <row r="60452" ht="26.25" customHeight="1"/>
    <row r="60453" ht="26.25" customHeight="1"/>
    <row r="60454" ht="26.25" customHeight="1"/>
    <row r="60455" ht="26.25" customHeight="1"/>
    <row r="60456" ht="26.25" customHeight="1"/>
    <row r="60457" ht="26.25" customHeight="1"/>
    <row r="60458" ht="26.25" customHeight="1"/>
    <row r="60459" ht="26.25" customHeight="1"/>
    <row r="60460" ht="26.25" customHeight="1"/>
    <row r="60461" ht="26.25" customHeight="1"/>
    <row r="60462" ht="26.25" customHeight="1"/>
    <row r="60463" ht="26.25" customHeight="1"/>
    <row r="60464" ht="26.25" customHeight="1"/>
    <row r="60465" ht="26.25" customHeight="1"/>
    <row r="60466" ht="26.25" customHeight="1"/>
    <row r="60467" ht="26.25" customHeight="1"/>
    <row r="60468" ht="26.25" customHeight="1"/>
    <row r="60469" ht="26.25" customHeight="1"/>
    <row r="60470" ht="26.25" customHeight="1"/>
    <row r="60471" ht="26.25" customHeight="1"/>
    <row r="60472" ht="26.25" customHeight="1"/>
    <row r="60473" ht="26.25" customHeight="1"/>
    <row r="60474" ht="26.25" customHeight="1"/>
    <row r="60475" ht="26.25" customHeight="1"/>
    <row r="60476" ht="26.25" customHeight="1"/>
    <row r="60477" ht="26.25" customHeight="1"/>
    <row r="60478" ht="26.25" customHeight="1"/>
    <row r="60479" ht="26.25" customHeight="1"/>
    <row r="60480" ht="26.25" customHeight="1"/>
    <row r="60481" ht="26.25" customHeight="1"/>
    <row r="60482" ht="26.25" customHeight="1"/>
    <row r="60483" ht="26.25" customHeight="1"/>
    <row r="60484" ht="26.25" customHeight="1"/>
    <row r="60485" ht="26.25" customHeight="1"/>
    <row r="60486" ht="26.25" customHeight="1"/>
    <row r="60487" ht="26.25" customHeight="1"/>
    <row r="60488" ht="26.25" customHeight="1"/>
    <row r="60489" ht="26.25" customHeight="1"/>
    <row r="60490" ht="26.25" customHeight="1"/>
    <row r="60491" ht="26.25" customHeight="1"/>
    <row r="60492" ht="26.25" customHeight="1"/>
    <row r="60493" ht="26.25" customHeight="1"/>
    <row r="60494" ht="26.25" customHeight="1"/>
    <row r="60495" ht="26.25" customHeight="1"/>
    <row r="60496" ht="26.25" customHeight="1"/>
    <row r="60497" ht="26.25" customHeight="1"/>
    <row r="60498" ht="26.25" customHeight="1"/>
    <row r="60499" ht="26.25" customHeight="1"/>
    <row r="60500" ht="26.25" customHeight="1"/>
    <row r="60501" ht="26.25" customHeight="1"/>
    <row r="60502" ht="26.25" customHeight="1"/>
    <row r="60503" ht="26.25" customHeight="1"/>
    <row r="60504" ht="26.25" customHeight="1"/>
    <row r="60505" ht="26.25" customHeight="1"/>
    <row r="60506" ht="26.25" customHeight="1"/>
    <row r="60507" ht="26.25" customHeight="1"/>
    <row r="60508" ht="26.25" customHeight="1"/>
    <row r="60509" ht="26.25" customHeight="1"/>
    <row r="60510" ht="26.25" customHeight="1"/>
    <row r="60511" ht="26.25" customHeight="1"/>
    <row r="60512" ht="26.25" customHeight="1"/>
    <row r="60513" ht="26.25" customHeight="1"/>
    <row r="60514" ht="26.25" customHeight="1"/>
    <row r="60515" ht="26.25" customHeight="1"/>
    <row r="60516" ht="26.25" customHeight="1"/>
    <row r="60517" ht="26.25" customHeight="1"/>
    <row r="60518" ht="26.25" customHeight="1"/>
    <row r="60519" ht="26.25" customHeight="1"/>
    <row r="60520" ht="26.25" customHeight="1"/>
    <row r="60521" ht="26.25" customHeight="1"/>
    <row r="60522" ht="26.25" customHeight="1"/>
    <row r="60523" ht="26.25" customHeight="1"/>
    <row r="60524" ht="26.25" customHeight="1"/>
    <row r="60525" ht="26.25" customHeight="1"/>
    <row r="60526" ht="26.25" customHeight="1"/>
    <row r="60527" ht="26.25" customHeight="1"/>
    <row r="60528" ht="26.25" customHeight="1"/>
    <row r="60529" ht="26.25" customHeight="1"/>
    <row r="60530" ht="26.25" customHeight="1"/>
    <row r="60531" ht="26.25" customHeight="1"/>
    <row r="60532" ht="26.25" customHeight="1"/>
    <row r="60533" ht="26.25" customHeight="1"/>
    <row r="60534" ht="26.25" customHeight="1"/>
    <row r="60535" ht="26.25" customHeight="1"/>
    <row r="60536" ht="26.25" customHeight="1"/>
    <row r="60537" ht="26.25" customHeight="1"/>
    <row r="60538" ht="26.25" customHeight="1"/>
    <row r="60539" ht="26.25" customHeight="1"/>
    <row r="60540" ht="26.25" customHeight="1"/>
    <row r="60541" ht="26.25" customHeight="1"/>
    <row r="60542" ht="26.25" customHeight="1"/>
    <row r="60543" ht="26.25" customHeight="1"/>
    <row r="60544" ht="26.25" customHeight="1"/>
    <row r="60545" ht="26.25" customHeight="1"/>
    <row r="60546" ht="26.25" customHeight="1"/>
    <row r="60547" ht="26.25" customHeight="1"/>
    <row r="60548" ht="26.25" customHeight="1"/>
    <row r="60549" ht="26.25" customHeight="1"/>
    <row r="60550" ht="26.25" customHeight="1"/>
    <row r="60551" ht="26.25" customHeight="1"/>
    <row r="60552" ht="26.25" customHeight="1"/>
    <row r="60553" ht="26.25" customHeight="1"/>
    <row r="60554" ht="26.25" customHeight="1"/>
    <row r="60555" ht="26.25" customHeight="1"/>
    <row r="60556" ht="26.25" customHeight="1"/>
    <row r="60557" ht="26.25" customHeight="1"/>
    <row r="60558" ht="26.25" customHeight="1"/>
    <row r="60559" ht="26.25" customHeight="1"/>
    <row r="60560" ht="26.25" customHeight="1"/>
    <row r="60561" ht="26.25" customHeight="1"/>
    <row r="60562" ht="26.25" customHeight="1"/>
    <row r="60563" ht="26.25" customHeight="1"/>
    <row r="60564" ht="26.25" customHeight="1"/>
    <row r="60565" ht="26.25" customHeight="1"/>
    <row r="60566" ht="26.25" customHeight="1"/>
    <row r="60567" ht="26.25" customHeight="1"/>
    <row r="60568" ht="26.25" customHeight="1"/>
    <row r="60569" ht="26.25" customHeight="1"/>
    <row r="60570" ht="26.25" customHeight="1"/>
    <row r="60571" ht="26.25" customHeight="1"/>
    <row r="60572" ht="26.25" customHeight="1"/>
    <row r="60573" ht="26.25" customHeight="1"/>
    <row r="60574" ht="26.25" customHeight="1"/>
    <row r="60575" ht="26.25" customHeight="1"/>
    <row r="60576" ht="26.25" customHeight="1"/>
    <row r="60577" ht="26.25" customHeight="1"/>
    <row r="60578" ht="26.25" customHeight="1"/>
    <row r="60579" ht="26.25" customHeight="1"/>
    <row r="60580" ht="26.25" customHeight="1"/>
    <row r="60581" ht="26.25" customHeight="1"/>
    <row r="60582" ht="26.25" customHeight="1"/>
    <row r="60583" ht="26.25" customHeight="1"/>
    <row r="60584" ht="26.25" customHeight="1"/>
    <row r="60585" ht="26.25" customHeight="1"/>
    <row r="60586" ht="26.25" customHeight="1"/>
    <row r="60587" ht="26.25" customHeight="1"/>
    <row r="60588" ht="26.25" customHeight="1"/>
    <row r="60589" ht="26.25" customHeight="1"/>
    <row r="60590" ht="26.25" customHeight="1"/>
    <row r="60591" ht="26.25" customHeight="1"/>
    <row r="60592" ht="26.25" customHeight="1"/>
    <row r="60593" ht="26.25" customHeight="1"/>
    <row r="60594" ht="26.25" customHeight="1"/>
    <row r="60595" ht="26.25" customHeight="1"/>
    <row r="60596" ht="26.25" customHeight="1"/>
    <row r="60597" ht="26.25" customHeight="1"/>
    <row r="60598" ht="26.25" customHeight="1"/>
    <row r="60599" ht="26.25" customHeight="1"/>
    <row r="60600" ht="26.25" customHeight="1"/>
    <row r="60601" ht="26.25" customHeight="1"/>
    <row r="60602" ht="26.25" customHeight="1"/>
    <row r="60603" ht="26.25" customHeight="1"/>
    <row r="60604" ht="26.25" customHeight="1"/>
    <row r="60605" ht="26.25" customHeight="1"/>
    <row r="60606" ht="26.25" customHeight="1"/>
    <row r="60607" ht="26.25" customHeight="1"/>
    <row r="60608" ht="26.25" customHeight="1"/>
    <row r="60609" ht="26.25" customHeight="1"/>
    <row r="60610" ht="26.25" customHeight="1"/>
    <row r="60611" ht="26.25" customHeight="1"/>
    <row r="60612" ht="26.25" customHeight="1"/>
    <row r="60613" ht="26.25" customHeight="1"/>
    <row r="60614" ht="26.25" customHeight="1"/>
    <row r="60615" ht="26.25" customHeight="1"/>
    <row r="60616" ht="26.25" customHeight="1"/>
    <row r="60617" ht="26.25" customHeight="1"/>
    <row r="60618" ht="26.25" customHeight="1"/>
    <row r="60619" ht="26.25" customHeight="1"/>
    <row r="60620" ht="26.25" customHeight="1"/>
    <row r="60621" ht="26.25" customHeight="1"/>
    <row r="60622" ht="26.25" customHeight="1"/>
    <row r="60623" ht="26.25" customHeight="1"/>
    <row r="60624" ht="26.25" customHeight="1"/>
    <row r="60625" ht="26.25" customHeight="1"/>
    <row r="60626" ht="26.25" customHeight="1"/>
    <row r="60627" ht="26.25" customHeight="1"/>
    <row r="60628" ht="26.25" customHeight="1"/>
    <row r="60629" ht="26.25" customHeight="1"/>
    <row r="60630" ht="26.25" customHeight="1"/>
    <row r="60631" ht="26.25" customHeight="1"/>
    <row r="60632" ht="26.25" customHeight="1"/>
    <row r="60633" ht="26.25" customHeight="1"/>
    <row r="60634" ht="26.25" customHeight="1"/>
    <row r="60635" ht="26.25" customHeight="1"/>
    <row r="60636" ht="26.25" customHeight="1"/>
    <row r="60637" ht="26.25" customHeight="1"/>
    <row r="60638" ht="26.25" customHeight="1"/>
    <row r="60639" ht="26.25" customHeight="1"/>
    <row r="60640" ht="26.25" customHeight="1"/>
    <row r="60641" ht="26.25" customHeight="1"/>
    <row r="60642" ht="26.25" customHeight="1"/>
    <row r="60643" ht="26.25" customHeight="1"/>
    <row r="60644" ht="26.25" customHeight="1"/>
    <row r="60645" ht="26.25" customHeight="1"/>
    <row r="60646" ht="26.25" customHeight="1"/>
    <row r="60647" ht="26.25" customHeight="1"/>
    <row r="60648" ht="26.25" customHeight="1"/>
    <row r="60649" ht="26.25" customHeight="1"/>
    <row r="60650" ht="26.25" customHeight="1"/>
    <row r="60651" ht="26.25" customHeight="1"/>
    <row r="60652" ht="26.25" customHeight="1"/>
    <row r="60653" ht="26.25" customHeight="1"/>
    <row r="60654" ht="26.25" customHeight="1"/>
    <row r="60655" ht="26.25" customHeight="1"/>
    <row r="60656" ht="26.25" customHeight="1"/>
    <row r="60657" ht="26.25" customHeight="1"/>
    <row r="60658" ht="26.25" customHeight="1"/>
    <row r="60659" ht="26.25" customHeight="1"/>
    <row r="60660" ht="26.25" customHeight="1"/>
    <row r="60661" ht="26.25" customHeight="1"/>
    <row r="60662" ht="26.25" customHeight="1"/>
    <row r="60663" ht="26.25" customHeight="1"/>
    <row r="60664" ht="26.25" customHeight="1"/>
    <row r="60665" ht="26.25" customHeight="1"/>
    <row r="60666" ht="26.25" customHeight="1"/>
    <row r="60667" ht="26.25" customHeight="1"/>
    <row r="60668" ht="26.25" customHeight="1"/>
    <row r="60669" ht="26.25" customHeight="1"/>
    <row r="60670" ht="26.25" customHeight="1"/>
    <row r="60671" ht="26.25" customHeight="1"/>
    <row r="60672" ht="26.25" customHeight="1"/>
    <row r="60673" ht="26.25" customHeight="1"/>
    <row r="60674" ht="26.25" customHeight="1"/>
    <row r="60675" ht="26.25" customHeight="1"/>
    <row r="60676" ht="26.25" customHeight="1"/>
    <row r="60677" ht="26.25" customHeight="1"/>
    <row r="60678" ht="26.25" customHeight="1"/>
    <row r="60679" ht="26.25" customHeight="1"/>
    <row r="60680" ht="26.25" customHeight="1"/>
    <row r="60681" ht="26.25" customHeight="1"/>
    <row r="60682" ht="26.25" customHeight="1"/>
    <row r="60683" ht="26.25" customHeight="1"/>
    <row r="60684" ht="26.25" customHeight="1"/>
    <row r="60685" ht="26.25" customHeight="1"/>
    <row r="60686" ht="26.25" customHeight="1"/>
    <row r="60687" ht="26.25" customHeight="1"/>
    <row r="60688" ht="26.25" customHeight="1"/>
    <row r="60689" ht="26.25" customHeight="1"/>
    <row r="60690" ht="26.25" customHeight="1"/>
    <row r="60691" ht="26.25" customHeight="1"/>
    <row r="60692" ht="26.25" customHeight="1"/>
    <row r="60693" ht="26.25" customHeight="1"/>
    <row r="60694" ht="26.25" customHeight="1"/>
    <row r="60695" ht="26.25" customHeight="1"/>
    <row r="60696" ht="26.25" customHeight="1"/>
    <row r="60697" ht="26.25" customHeight="1"/>
    <row r="60698" ht="26.25" customHeight="1"/>
    <row r="60699" ht="26.25" customHeight="1"/>
    <row r="60700" ht="26.25" customHeight="1"/>
    <row r="60701" ht="26.25" customHeight="1"/>
    <row r="60702" ht="26.25" customHeight="1"/>
    <row r="60703" ht="26.25" customHeight="1"/>
    <row r="60704" ht="26.25" customHeight="1"/>
    <row r="60705" ht="26.25" customHeight="1"/>
    <row r="60706" ht="26.25" customHeight="1"/>
    <row r="60707" ht="26.25" customHeight="1"/>
    <row r="60708" ht="26.25" customHeight="1"/>
    <row r="60709" ht="26.25" customHeight="1"/>
    <row r="60710" ht="26.25" customHeight="1"/>
    <row r="60711" ht="26.25" customHeight="1"/>
    <row r="60712" ht="26.25" customHeight="1"/>
    <row r="60713" ht="26.25" customHeight="1"/>
    <row r="60714" ht="26.25" customHeight="1"/>
    <row r="60715" ht="26.25" customHeight="1"/>
    <row r="60716" ht="26.25" customHeight="1"/>
    <row r="60717" ht="26.25" customHeight="1"/>
    <row r="60718" ht="26.25" customHeight="1"/>
    <row r="60719" ht="26.25" customHeight="1"/>
    <row r="60720" ht="26.25" customHeight="1"/>
    <row r="60721" ht="26.25" customHeight="1"/>
    <row r="60722" ht="26.25" customHeight="1"/>
    <row r="60723" ht="26.25" customHeight="1"/>
    <row r="60724" ht="26.25" customHeight="1"/>
    <row r="60725" ht="26.25" customHeight="1"/>
    <row r="60726" ht="26.25" customHeight="1"/>
    <row r="60727" ht="26.25" customHeight="1"/>
    <row r="60728" ht="26.25" customHeight="1"/>
    <row r="60729" ht="26.25" customHeight="1"/>
    <row r="60730" ht="26.25" customHeight="1"/>
    <row r="60731" ht="26.25" customHeight="1"/>
    <row r="60732" ht="26.25" customHeight="1"/>
    <row r="60733" ht="26.25" customHeight="1"/>
    <row r="60734" ht="26.25" customHeight="1"/>
    <row r="60735" ht="26.25" customHeight="1"/>
    <row r="60736" ht="26.25" customHeight="1"/>
    <row r="60737" ht="26.25" customHeight="1"/>
    <row r="60738" ht="26.25" customHeight="1"/>
    <row r="60739" ht="26.25" customHeight="1"/>
    <row r="60740" ht="26.25" customHeight="1"/>
    <row r="60741" ht="26.25" customHeight="1"/>
    <row r="60742" ht="26.25" customHeight="1"/>
    <row r="60743" ht="26.25" customHeight="1"/>
    <row r="60744" ht="26.25" customHeight="1"/>
    <row r="60745" ht="26.25" customHeight="1"/>
    <row r="60746" ht="26.25" customHeight="1"/>
    <row r="60747" ht="26.25" customHeight="1"/>
    <row r="60748" ht="26.25" customHeight="1"/>
    <row r="60749" ht="26.25" customHeight="1"/>
    <row r="60750" ht="26.25" customHeight="1"/>
    <row r="60751" ht="26.25" customHeight="1"/>
    <row r="60752" ht="26.25" customHeight="1"/>
    <row r="60753" ht="26.25" customHeight="1"/>
    <row r="60754" ht="26.25" customHeight="1"/>
    <row r="60755" ht="26.25" customHeight="1"/>
    <row r="60756" ht="26.25" customHeight="1"/>
    <row r="60757" ht="26.25" customHeight="1"/>
    <row r="60758" ht="26.25" customHeight="1"/>
    <row r="60759" ht="26.25" customHeight="1"/>
    <row r="60760" ht="26.25" customHeight="1"/>
    <row r="60761" ht="26.25" customHeight="1"/>
    <row r="60762" ht="26.25" customHeight="1"/>
    <row r="60763" ht="26.25" customHeight="1"/>
    <row r="60764" ht="26.25" customHeight="1"/>
    <row r="60765" ht="26.25" customHeight="1"/>
    <row r="60766" ht="26.25" customHeight="1"/>
    <row r="60767" ht="26.25" customHeight="1"/>
    <row r="60768" ht="26.25" customHeight="1"/>
    <row r="60769" ht="26.25" customHeight="1"/>
    <row r="60770" ht="26.25" customHeight="1"/>
    <row r="60771" ht="26.25" customHeight="1"/>
    <row r="60772" ht="26.25" customHeight="1"/>
    <row r="60773" ht="26.25" customHeight="1"/>
    <row r="60774" ht="26.25" customHeight="1"/>
    <row r="60775" ht="26.25" customHeight="1"/>
    <row r="60776" ht="26.25" customHeight="1"/>
    <row r="60777" ht="26.25" customHeight="1"/>
    <row r="60778" ht="26.25" customHeight="1"/>
    <row r="60779" ht="26.25" customHeight="1"/>
    <row r="60780" ht="26.25" customHeight="1"/>
    <row r="60781" ht="26.25" customHeight="1"/>
    <row r="60782" ht="26.25" customHeight="1"/>
    <row r="60783" ht="26.25" customHeight="1"/>
    <row r="60784" ht="26.25" customHeight="1"/>
    <row r="60785" ht="26.25" customHeight="1"/>
    <row r="60786" ht="26.25" customHeight="1"/>
    <row r="60787" ht="26.25" customHeight="1"/>
    <row r="60788" ht="26.25" customHeight="1"/>
    <row r="60789" ht="26.25" customHeight="1"/>
    <row r="60790" ht="26.25" customHeight="1"/>
    <row r="60791" ht="26.25" customHeight="1"/>
    <row r="60792" ht="26.25" customHeight="1"/>
    <row r="60793" ht="26.25" customHeight="1"/>
    <row r="60794" ht="26.25" customHeight="1"/>
    <row r="60795" ht="26.25" customHeight="1"/>
    <row r="60796" ht="26.25" customHeight="1"/>
    <row r="60797" ht="26.25" customHeight="1"/>
    <row r="60798" ht="26.25" customHeight="1"/>
    <row r="60799" ht="26.25" customHeight="1"/>
    <row r="60800" ht="26.25" customHeight="1"/>
    <row r="60801" ht="26.25" customHeight="1"/>
    <row r="60802" ht="26.25" customHeight="1"/>
    <row r="60803" ht="26.25" customHeight="1"/>
    <row r="60804" ht="26.25" customHeight="1"/>
    <row r="60805" ht="26.25" customHeight="1"/>
    <row r="60806" ht="26.25" customHeight="1"/>
    <row r="60807" ht="26.25" customHeight="1"/>
    <row r="60808" ht="26.25" customHeight="1"/>
    <row r="60809" ht="26.25" customHeight="1"/>
    <row r="60810" ht="26.25" customHeight="1"/>
    <row r="60811" ht="26.25" customHeight="1"/>
    <row r="60812" ht="26.25" customHeight="1"/>
    <row r="60813" ht="26.25" customHeight="1"/>
    <row r="60814" ht="26.25" customHeight="1"/>
    <row r="60815" ht="26.25" customHeight="1"/>
    <row r="60816" ht="26.25" customHeight="1"/>
    <row r="60817" ht="26.25" customHeight="1"/>
    <row r="60818" ht="26.25" customHeight="1"/>
    <row r="60819" ht="26.25" customHeight="1"/>
    <row r="60820" ht="26.25" customHeight="1"/>
    <row r="60821" ht="26.25" customHeight="1"/>
    <row r="60822" ht="26.25" customHeight="1"/>
    <row r="60823" ht="26.25" customHeight="1"/>
    <row r="60824" ht="26.25" customHeight="1"/>
    <row r="60825" ht="26.25" customHeight="1"/>
    <row r="60826" ht="26.25" customHeight="1"/>
    <row r="60827" ht="26.25" customHeight="1"/>
    <row r="60828" ht="26.25" customHeight="1"/>
    <row r="60829" ht="26.25" customHeight="1"/>
    <row r="60830" ht="26.25" customHeight="1"/>
    <row r="60831" ht="26.25" customHeight="1"/>
    <row r="60832" ht="26.25" customHeight="1"/>
    <row r="60833" ht="26.25" customHeight="1"/>
    <row r="60834" ht="26.25" customHeight="1"/>
    <row r="60835" ht="26.25" customHeight="1"/>
    <row r="60836" ht="26.25" customHeight="1"/>
    <row r="60837" ht="26.25" customHeight="1"/>
    <row r="60838" ht="26.25" customHeight="1"/>
    <row r="60839" ht="26.25" customHeight="1"/>
    <row r="60840" ht="26.25" customHeight="1"/>
    <row r="60841" ht="26.25" customHeight="1"/>
    <row r="60842" ht="26.25" customHeight="1"/>
    <row r="60843" ht="26.25" customHeight="1"/>
    <row r="60844" ht="26.25" customHeight="1"/>
    <row r="60845" ht="26.25" customHeight="1"/>
    <row r="60846" ht="26.25" customHeight="1"/>
    <row r="60847" ht="26.25" customHeight="1"/>
    <row r="60848" ht="26.25" customHeight="1"/>
    <row r="60849" ht="26.25" customHeight="1"/>
    <row r="60850" ht="26.25" customHeight="1"/>
    <row r="60851" ht="26.25" customHeight="1"/>
    <row r="60852" ht="26.25" customHeight="1"/>
    <row r="60853" ht="26.25" customHeight="1"/>
    <row r="60854" ht="26.25" customHeight="1"/>
    <row r="60855" ht="26.25" customHeight="1"/>
    <row r="60856" ht="26.25" customHeight="1"/>
    <row r="60857" ht="26.25" customHeight="1"/>
    <row r="60858" ht="26.25" customHeight="1"/>
    <row r="60859" ht="26.25" customHeight="1"/>
    <row r="60860" ht="26.25" customHeight="1"/>
    <row r="60861" ht="26.25" customHeight="1"/>
    <row r="60862" ht="26.25" customHeight="1"/>
    <row r="60863" ht="26.25" customHeight="1"/>
    <row r="60864" ht="26.25" customHeight="1"/>
    <row r="60865" ht="26.25" customHeight="1"/>
    <row r="60866" ht="26.25" customHeight="1"/>
    <row r="60867" ht="26.25" customHeight="1"/>
    <row r="60868" ht="26.25" customHeight="1"/>
    <row r="60869" ht="26.25" customHeight="1"/>
    <row r="60870" ht="26.25" customHeight="1"/>
    <row r="60871" ht="26.25" customHeight="1"/>
    <row r="60872" ht="26.25" customHeight="1"/>
    <row r="60873" ht="26.25" customHeight="1"/>
    <row r="60874" ht="26.25" customHeight="1"/>
    <row r="60875" ht="26.25" customHeight="1"/>
    <row r="60876" ht="26.25" customHeight="1"/>
    <row r="60877" ht="26.25" customHeight="1"/>
    <row r="60878" ht="26.25" customHeight="1"/>
    <row r="60879" ht="26.25" customHeight="1"/>
    <row r="60880" ht="26.25" customHeight="1"/>
    <row r="60881" ht="26.25" customHeight="1"/>
    <row r="60882" ht="26.25" customHeight="1"/>
    <row r="60883" ht="26.25" customHeight="1"/>
    <row r="60884" ht="26.25" customHeight="1"/>
    <row r="60885" ht="26.25" customHeight="1"/>
    <row r="60886" ht="26.25" customHeight="1"/>
    <row r="60887" ht="26.25" customHeight="1"/>
    <row r="60888" ht="26.25" customHeight="1"/>
    <row r="60889" ht="26.25" customHeight="1"/>
    <row r="60890" ht="26.25" customHeight="1"/>
    <row r="60891" ht="26.25" customHeight="1"/>
    <row r="60892" ht="26.25" customHeight="1"/>
    <row r="60893" ht="26.25" customHeight="1"/>
    <row r="60894" ht="26.25" customHeight="1"/>
    <row r="60895" ht="26.25" customHeight="1"/>
    <row r="60896" ht="26.25" customHeight="1"/>
    <row r="60897" ht="26.25" customHeight="1"/>
    <row r="60898" ht="26.25" customHeight="1"/>
    <row r="60899" ht="26.25" customHeight="1"/>
    <row r="60900" ht="26.25" customHeight="1"/>
    <row r="60901" ht="26.25" customHeight="1"/>
    <row r="60902" ht="26.25" customHeight="1"/>
    <row r="60903" ht="26.25" customHeight="1"/>
    <row r="60904" ht="26.25" customHeight="1"/>
    <row r="60905" ht="26.25" customHeight="1"/>
    <row r="60906" ht="26.25" customHeight="1"/>
    <row r="60907" ht="26.25" customHeight="1"/>
    <row r="60908" ht="26.25" customHeight="1"/>
    <row r="60909" ht="26.25" customHeight="1"/>
    <row r="60910" ht="26.25" customHeight="1"/>
    <row r="60911" ht="26.25" customHeight="1"/>
    <row r="60912" ht="26.25" customHeight="1"/>
    <row r="60913" ht="26.25" customHeight="1"/>
    <row r="60914" ht="26.25" customHeight="1"/>
    <row r="60915" ht="26.25" customHeight="1"/>
    <row r="60916" ht="26.25" customHeight="1"/>
    <row r="60917" ht="26.25" customHeight="1"/>
    <row r="60918" ht="26.25" customHeight="1"/>
    <row r="60919" ht="26.25" customHeight="1"/>
    <row r="60920" ht="26.25" customHeight="1"/>
    <row r="60921" ht="26.25" customHeight="1"/>
    <row r="60922" ht="26.25" customHeight="1"/>
    <row r="60923" ht="26.25" customHeight="1"/>
    <row r="60924" ht="26.25" customHeight="1"/>
    <row r="60925" ht="26.25" customHeight="1"/>
    <row r="60926" ht="26.25" customHeight="1"/>
    <row r="60927" ht="26.25" customHeight="1"/>
    <row r="60928" ht="26.25" customHeight="1"/>
    <row r="60929" ht="26.25" customHeight="1"/>
    <row r="60930" ht="26.25" customHeight="1"/>
    <row r="60931" ht="26.25" customHeight="1"/>
    <row r="60932" ht="26.25" customHeight="1"/>
    <row r="60933" ht="26.25" customHeight="1"/>
    <row r="60934" ht="26.25" customHeight="1"/>
    <row r="60935" ht="26.25" customHeight="1"/>
    <row r="60936" ht="26.25" customHeight="1"/>
    <row r="60937" ht="26.25" customHeight="1"/>
    <row r="60938" ht="26.25" customHeight="1"/>
    <row r="60939" ht="26.25" customHeight="1"/>
    <row r="60940" ht="26.25" customHeight="1"/>
    <row r="60941" ht="26.25" customHeight="1"/>
    <row r="60942" ht="26.25" customHeight="1"/>
    <row r="60943" ht="26.25" customHeight="1"/>
    <row r="60944" ht="26.25" customHeight="1"/>
    <row r="60945" ht="26.25" customHeight="1"/>
    <row r="60946" ht="26.25" customHeight="1"/>
    <row r="60947" ht="26.25" customHeight="1"/>
    <row r="60948" ht="26.25" customHeight="1"/>
    <row r="60949" ht="26.25" customHeight="1"/>
    <row r="60950" ht="26.25" customHeight="1"/>
    <row r="60951" ht="26.25" customHeight="1"/>
    <row r="60952" ht="26.25" customHeight="1"/>
    <row r="60953" ht="26.25" customHeight="1"/>
    <row r="60954" ht="26.25" customHeight="1"/>
    <row r="60955" ht="26.25" customHeight="1"/>
    <row r="60956" ht="26.25" customHeight="1"/>
    <row r="60957" ht="26.25" customHeight="1"/>
    <row r="60958" ht="26.25" customHeight="1"/>
    <row r="60959" ht="26.25" customHeight="1"/>
    <row r="60960" ht="26.25" customHeight="1"/>
    <row r="60961" ht="26.25" customHeight="1"/>
    <row r="60962" ht="26.25" customHeight="1"/>
    <row r="60963" ht="26.25" customHeight="1"/>
    <row r="60964" ht="26.25" customHeight="1"/>
    <row r="60965" ht="26.25" customHeight="1"/>
    <row r="60966" ht="26.25" customHeight="1"/>
    <row r="60967" ht="26.25" customHeight="1"/>
    <row r="60968" ht="26.25" customHeight="1"/>
    <row r="60969" ht="26.25" customHeight="1"/>
    <row r="60970" ht="26.25" customHeight="1"/>
    <row r="60971" ht="26.25" customHeight="1"/>
    <row r="60972" ht="26.25" customHeight="1"/>
    <row r="60973" ht="26.25" customHeight="1"/>
    <row r="60974" ht="26.25" customHeight="1"/>
    <row r="60975" ht="26.25" customHeight="1"/>
    <row r="60976" ht="26.25" customHeight="1"/>
    <row r="60977" ht="26.25" customHeight="1"/>
    <row r="60978" ht="26.25" customHeight="1"/>
    <row r="60979" ht="26.25" customHeight="1"/>
    <row r="60980" ht="26.25" customHeight="1"/>
    <row r="60981" ht="26.25" customHeight="1"/>
    <row r="60982" ht="26.25" customHeight="1"/>
    <row r="60983" ht="26.25" customHeight="1"/>
    <row r="60984" ht="26.25" customHeight="1"/>
    <row r="60985" ht="26.25" customHeight="1"/>
    <row r="60986" ht="26.25" customHeight="1"/>
    <row r="60987" ht="26.25" customHeight="1"/>
    <row r="60988" ht="26.25" customHeight="1"/>
    <row r="60989" ht="26.25" customHeight="1"/>
    <row r="60990" ht="26.25" customHeight="1"/>
    <row r="60991" ht="26.25" customHeight="1"/>
    <row r="60992" ht="26.25" customHeight="1"/>
    <row r="60993" ht="26.25" customHeight="1"/>
    <row r="60994" ht="26.25" customHeight="1"/>
    <row r="60995" ht="26.25" customHeight="1"/>
    <row r="60996" ht="26.25" customHeight="1"/>
    <row r="60997" ht="26.25" customHeight="1"/>
    <row r="60998" ht="26.25" customHeight="1"/>
    <row r="60999" ht="26.25" customHeight="1"/>
    <row r="61000" ht="26.25" customHeight="1"/>
    <row r="61001" ht="26.25" customHeight="1"/>
    <row r="61002" ht="26.25" customHeight="1"/>
    <row r="61003" ht="26.25" customHeight="1"/>
    <row r="61004" ht="26.25" customHeight="1"/>
    <row r="61005" ht="26.25" customHeight="1"/>
    <row r="61006" ht="26.25" customHeight="1"/>
    <row r="61007" ht="26.25" customHeight="1"/>
    <row r="61008" ht="26.25" customHeight="1"/>
    <row r="61009" ht="26.25" customHeight="1"/>
    <row r="61010" ht="26.25" customHeight="1"/>
    <row r="61011" ht="26.25" customHeight="1"/>
    <row r="61012" ht="26.25" customHeight="1"/>
    <row r="61013" ht="26.25" customHeight="1"/>
    <row r="61014" ht="26.25" customHeight="1"/>
    <row r="61015" ht="26.25" customHeight="1"/>
    <row r="61016" ht="26.25" customHeight="1"/>
    <row r="61017" ht="26.25" customHeight="1"/>
    <row r="61018" ht="26.25" customHeight="1"/>
    <row r="61019" ht="26.25" customHeight="1"/>
    <row r="61020" ht="26.25" customHeight="1"/>
    <row r="61021" ht="26.25" customHeight="1"/>
    <row r="61022" ht="26.25" customHeight="1"/>
    <row r="61023" ht="26.25" customHeight="1"/>
    <row r="61024" ht="26.25" customHeight="1"/>
    <row r="61025" ht="26.25" customHeight="1"/>
    <row r="61026" ht="26.25" customHeight="1"/>
    <row r="61027" ht="26.25" customHeight="1"/>
    <row r="61028" ht="26.25" customHeight="1"/>
    <row r="61029" ht="26.25" customHeight="1"/>
    <row r="61030" ht="26.25" customHeight="1"/>
    <row r="61031" ht="26.25" customHeight="1"/>
    <row r="61032" ht="26.25" customHeight="1"/>
    <row r="61033" ht="26.25" customHeight="1"/>
    <row r="61034" ht="26.25" customHeight="1"/>
    <row r="61035" ht="26.25" customHeight="1"/>
    <row r="61036" ht="26.25" customHeight="1"/>
    <row r="61037" ht="26.25" customHeight="1"/>
    <row r="61038" ht="26.25" customHeight="1"/>
    <row r="61039" ht="26.25" customHeight="1"/>
    <row r="61040" ht="26.25" customHeight="1"/>
    <row r="61041" ht="26.25" customHeight="1"/>
    <row r="61042" ht="26.25" customHeight="1"/>
    <row r="61043" ht="26.25" customHeight="1"/>
    <row r="61044" ht="26.25" customHeight="1"/>
    <row r="61045" ht="26.25" customHeight="1"/>
    <row r="61046" ht="26.25" customHeight="1"/>
    <row r="61047" ht="26.25" customHeight="1"/>
    <row r="61048" ht="26.25" customHeight="1"/>
    <row r="61049" ht="26.25" customHeight="1"/>
    <row r="61050" ht="26.25" customHeight="1"/>
    <row r="61051" ht="26.25" customHeight="1"/>
    <row r="61052" ht="26.25" customHeight="1"/>
    <row r="61053" ht="26.25" customHeight="1"/>
    <row r="61054" ht="26.25" customHeight="1"/>
    <row r="61055" ht="26.25" customHeight="1"/>
    <row r="61056" ht="26.25" customHeight="1"/>
    <row r="61057" ht="26.25" customHeight="1"/>
    <row r="61058" ht="26.25" customHeight="1"/>
    <row r="61059" ht="26.25" customHeight="1"/>
    <row r="61060" ht="26.25" customHeight="1"/>
    <row r="61061" ht="26.25" customHeight="1"/>
    <row r="61062" ht="26.25" customHeight="1"/>
    <row r="61063" ht="26.25" customHeight="1"/>
    <row r="61064" ht="26.25" customHeight="1"/>
    <row r="61065" ht="26.25" customHeight="1"/>
    <row r="61066" ht="26.25" customHeight="1"/>
    <row r="61067" ht="26.25" customHeight="1"/>
    <row r="61068" ht="26.25" customHeight="1"/>
    <row r="61069" ht="26.25" customHeight="1"/>
    <row r="61070" ht="26.25" customHeight="1"/>
    <row r="61071" ht="26.25" customHeight="1"/>
    <row r="61072" ht="26.25" customHeight="1"/>
    <row r="61073" ht="26.25" customHeight="1"/>
    <row r="61074" ht="26.25" customHeight="1"/>
    <row r="61075" ht="26.25" customHeight="1"/>
    <row r="61076" ht="26.25" customHeight="1"/>
    <row r="61077" ht="26.25" customHeight="1"/>
    <row r="61078" ht="26.25" customHeight="1"/>
    <row r="61079" ht="26.25" customHeight="1"/>
    <row r="61080" ht="26.25" customHeight="1"/>
    <row r="61081" ht="26.25" customHeight="1"/>
    <row r="61082" ht="26.25" customHeight="1"/>
    <row r="61083" ht="26.25" customHeight="1"/>
    <row r="61084" ht="26.25" customHeight="1"/>
    <row r="61085" ht="26.25" customHeight="1"/>
    <row r="61086" ht="26.25" customHeight="1"/>
    <row r="61087" ht="26.25" customHeight="1"/>
    <row r="61088" ht="26.25" customHeight="1"/>
    <row r="61089" ht="26.25" customHeight="1"/>
    <row r="61090" ht="26.25" customHeight="1"/>
    <row r="61091" ht="26.25" customHeight="1"/>
    <row r="61092" ht="26.25" customHeight="1"/>
    <row r="61093" ht="26.25" customHeight="1"/>
    <row r="61094" ht="26.25" customHeight="1"/>
    <row r="61095" ht="26.25" customHeight="1"/>
    <row r="61096" ht="26.25" customHeight="1"/>
    <row r="61097" ht="26.25" customHeight="1"/>
    <row r="61098" ht="26.25" customHeight="1"/>
    <row r="61099" ht="26.25" customHeight="1"/>
    <row r="61100" ht="26.25" customHeight="1"/>
    <row r="61101" ht="26.25" customHeight="1"/>
    <row r="61102" ht="26.25" customHeight="1"/>
    <row r="61103" ht="26.25" customHeight="1"/>
    <row r="61104" ht="26.25" customHeight="1"/>
    <row r="61105" ht="26.25" customHeight="1"/>
    <row r="61106" ht="26.25" customHeight="1"/>
    <row r="61107" ht="26.25" customHeight="1"/>
    <row r="61108" ht="26.25" customHeight="1"/>
    <row r="61109" ht="26.25" customHeight="1"/>
    <row r="61110" ht="26.25" customHeight="1"/>
    <row r="61111" ht="26.25" customHeight="1"/>
    <row r="61112" ht="26.25" customHeight="1"/>
    <row r="61113" ht="26.25" customHeight="1"/>
    <row r="61114" ht="26.25" customHeight="1"/>
    <row r="61115" ht="26.25" customHeight="1"/>
    <row r="61116" ht="26.25" customHeight="1"/>
    <row r="61117" ht="26.25" customHeight="1"/>
    <row r="61118" ht="26.25" customHeight="1"/>
    <row r="61119" ht="26.25" customHeight="1"/>
    <row r="61120" ht="26.25" customHeight="1"/>
    <row r="61121" ht="26.25" customHeight="1"/>
    <row r="61122" ht="26.25" customHeight="1"/>
    <row r="61123" ht="26.25" customHeight="1"/>
    <row r="61124" ht="26.25" customHeight="1"/>
    <row r="61125" ht="26.25" customHeight="1"/>
    <row r="61126" ht="26.25" customHeight="1"/>
    <row r="61127" ht="26.25" customHeight="1"/>
    <row r="61128" ht="26.25" customHeight="1"/>
    <row r="61129" ht="26.25" customHeight="1"/>
    <row r="61130" ht="26.25" customHeight="1"/>
    <row r="61131" ht="26.25" customHeight="1"/>
    <row r="61132" ht="26.25" customHeight="1"/>
    <row r="61133" ht="26.25" customHeight="1"/>
    <row r="61134" ht="26.25" customHeight="1"/>
    <row r="61135" ht="26.25" customHeight="1"/>
    <row r="61136" ht="26.25" customHeight="1"/>
    <row r="61137" ht="26.25" customHeight="1"/>
    <row r="61138" ht="26.25" customHeight="1"/>
    <row r="61139" ht="26.25" customHeight="1"/>
    <row r="61140" ht="26.25" customHeight="1"/>
    <row r="61141" ht="26.25" customHeight="1"/>
    <row r="61142" ht="26.25" customHeight="1"/>
    <row r="61143" ht="26.25" customHeight="1"/>
    <row r="61144" ht="26.25" customHeight="1"/>
    <row r="61145" ht="26.25" customHeight="1"/>
    <row r="61146" ht="26.25" customHeight="1"/>
    <row r="61147" ht="26.25" customHeight="1"/>
    <row r="61148" ht="26.25" customHeight="1"/>
    <row r="61149" ht="26.25" customHeight="1"/>
    <row r="61150" ht="26.25" customHeight="1"/>
    <row r="61151" ht="26.25" customHeight="1"/>
    <row r="61152" ht="26.25" customHeight="1"/>
    <row r="61153" ht="26.25" customHeight="1"/>
    <row r="61154" ht="26.25" customHeight="1"/>
    <row r="61155" ht="26.25" customHeight="1"/>
    <row r="61156" ht="26.25" customHeight="1"/>
    <row r="61157" ht="26.25" customHeight="1"/>
    <row r="61158" ht="26.25" customHeight="1"/>
    <row r="61159" ht="26.25" customHeight="1"/>
    <row r="61160" ht="26.25" customHeight="1"/>
    <row r="61161" ht="26.25" customHeight="1"/>
    <row r="61162" ht="26.25" customHeight="1"/>
    <row r="61163" ht="26.25" customHeight="1"/>
    <row r="61164" ht="26.25" customHeight="1"/>
    <row r="61165" ht="26.25" customHeight="1"/>
    <row r="61166" ht="26.25" customHeight="1"/>
    <row r="61167" ht="26.25" customHeight="1"/>
    <row r="61168" ht="26.25" customHeight="1"/>
    <row r="61169" ht="26.25" customHeight="1"/>
    <row r="61170" ht="26.25" customHeight="1"/>
    <row r="61171" ht="26.25" customHeight="1"/>
    <row r="61172" ht="26.25" customHeight="1"/>
    <row r="61173" ht="26.25" customHeight="1"/>
    <row r="61174" ht="26.25" customHeight="1"/>
    <row r="61175" ht="26.25" customHeight="1"/>
    <row r="61176" ht="26.25" customHeight="1"/>
    <row r="61177" ht="26.25" customHeight="1"/>
    <row r="61178" ht="26.25" customHeight="1"/>
    <row r="61179" ht="26.25" customHeight="1"/>
    <row r="61180" ht="26.25" customHeight="1"/>
    <row r="61181" ht="26.25" customHeight="1"/>
    <row r="61182" ht="26.25" customHeight="1"/>
    <row r="61183" ht="26.25" customHeight="1"/>
    <row r="61184" ht="26.25" customHeight="1"/>
    <row r="61185" ht="26.25" customHeight="1"/>
    <row r="61186" ht="26.25" customHeight="1"/>
    <row r="61187" ht="26.25" customHeight="1"/>
    <row r="61188" ht="26.25" customHeight="1"/>
    <row r="61189" ht="26.25" customHeight="1"/>
    <row r="61190" ht="26.25" customHeight="1"/>
    <row r="61191" ht="26.25" customHeight="1"/>
    <row r="61192" ht="26.25" customHeight="1"/>
    <row r="61193" ht="26.25" customHeight="1"/>
    <row r="61194" ht="26.25" customHeight="1"/>
    <row r="61195" ht="26.25" customHeight="1"/>
    <row r="61196" ht="26.25" customHeight="1"/>
    <row r="61197" ht="26.25" customHeight="1"/>
    <row r="61198" ht="26.25" customHeight="1"/>
    <row r="61199" ht="26.25" customHeight="1"/>
    <row r="61200" ht="26.25" customHeight="1"/>
    <row r="61201" ht="26.25" customHeight="1"/>
    <row r="61202" ht="26.25" customHeight="1"/>
    <row r="61203" ht="26.25" customHeight="1"/>
    <row r="61204" ht="26.25" customHeight="1"/>
    <row r="61205" ht="26.25" customHeight="1"/>
    <row r="61206" ht="26.25" customHeight="1"/>
    <row r="61207" ht="26.25" customHeight="1"/>
    <row r="61208" ht="26.25" customHeight="1"/>
    <row r="61209" ht="26.25" customHeight="1"/>
    <row r="61210" ht="26.25" customHeight="1"/>
    <row r="61211" ht="26.25" customHeight="1"/>
    <row r="61212" ht="26.25" customHeight="1"/>
    <row r="61213" ht="26.25" customHeight="1"/>
    <row r="61214" ht="26.25" customHeight="1"/>
    <row r="61215" ht="26.25" customHeight="1"/>
    <row r="61216" ht="26.25" customHeight="1"/>
    <row r="61217" ht="26.25" customHeight="1"/>
    <row r="61218" ht="26.25" customHeight="1"/>
    <row r="61219" ht="26.25" customHeight="1"/>
    <row r="61220" ht="26.25" customHeight="1"/>
    <row r="61221" ht="26.25" customHeight="1"/>
    <row r="61222" ht="26.25" customHeight="1"/>
    <row r="61223" ht="26.25" customHeight="1"/>
    <row r="61224" ht="26.25" customHeight="1"/>
    <row r="61225" ht="26.25" customHeight="1"/>
    <row r="61226" ht="26.25" customHeight="1"/>
    <row r="61227" ht="26.25" customHeight="1"/>
    <row r="61228" ht="26.25" customHeight="1"/>
    <row r="61229" ht="26.25" customHeight="1"/>
    <row r="61230" ht="26.25" customHeight="1"/>
    <row r="61231" ht="26.25" customHeight="1"/>
    <row r="61232" ht="26.25" customHeight="1"/>
    <row r="61233" ht="26.25" customHeight="1"/>
    <row r="61234" ht="26.25" customHeight="1"/>
    <row r="61235" ht="26.25" customHeight="1"/>
    <row r="61236" ht="26.25" customHeight="1"/>
    <row r="61237" ht="26.25" customHeight="1"/>
    <row r="61238" ht="26.25" customHeight="1"/>
    <row r="61239" ht="26.25" customHeight="1"/>
    <row r="61240" ht="26.25" customHeight="1"/>
    <row r="61241" ht="26.25" customHeight="1"/>
    <row r="61242" ht="26.25" customHeight="1"/>
    <row r="61243" ht="26.25" customHeight="1"/>
    <row r="61244" ht="26.25" customHeight="1"/>
    <row r="61245" ht="26.25" customHeight="1"/>
    <row r="61246" ht="26.25" customHeight="1"/>
    <row r="61247" ht="26.25" customHeight="1"/>
    <row r="61248" ht="26.25" customHeight="1"/>
    <row r="61249" ht="26.25" customHeight="1"/>
    <row r="61250" ht="26.25" customHeight="1"/>
    <row r="61251" ht="26.25" customHeight="1"/>
    <row r="61252" ht="26.25" customHeight="1"/>
    <row r="61253" ht="26.25" customHeight="1"/>
    <row r="61254" ht="26.25" customHeight="1"/>
    <row r="61255" ht="26.25" customHeight="1"/>
    <row r="61256" ht="26.25" customHeight="1"/>
    <row r="61257" ht="26.25" customHeight="1"/>
    <row r="61258" ht="26.25" customHeight="1"/>
    <row r="61259" ht="26.25" customHeight="1"/>
    <row r="61260" ht="26.25" customHeight="1"/>
    <row r="61261" ht="26.25" customHeight="1"/>
    <row r="61262" ht="26.25" customHeight="1"/>
    <row r="61263" ht="26.25" customHeight="1"/>
    <row r="61264" ht="26.25" customHeight="1"/>
    <row r="61265" ht="26.25" customHeight="1"/>
    <row r="61266" ht="26.25" customHeight="1"/>
    <row r="61267" ht="26.25" customHeight="1"/>
    <row r="61268" ht="26.25" customHeight="1"/>
    <row r="61269" ht="26.25" customHeight="1"/>
    <row r="61270" ht="26.25" customHeight="1"/>
    <row r="61271" ht="26.25" customHeight="1"/>
    <row r="61272" ht="26.25" customHeight="1"/>
    <row r="61273" ht="26.25" customHeight="1"/>
    <row r="61274" ht="26.25" customHeight="1"/>
    <row r="61275" ht="26.25" customHeight="1"/>
    <row r="61276" ht="26.25" customHeight="1"/>
    <row r="61277" ht="26.25" customHeight="1"/>
    <row r="61278" ht="26.25" customHeight="1"/>
    <row r="61279" ht="26.25" customHeight="1"/>
    <row r="61280" ht="26.25" customHeight="1"/>
    <row r="61281" ht="26.25" customHeight="1"/>
    <row r="61282" ht="26.25" customHeight="1"/>
    <row r="61283" ht="26.25" customHeight="1"/>
    <row r="61284" ht="26.25" customHeight="1"/>
    <row r="61285" ht="26.25" customHeight="1"/>
    <row r="61286" ht="26.25" customHeight="1"/>
    <row r="61287" ht="26.25" customHeight="1"/>
    <row r="61288" ht="26.25" customHeight="1"/>
    <row r="61289" ht="26.25" customHeight="1"/>
    <row r="61290" ht="26.25" customHeight="1"/>
    <row r="61291" ht="26.25" customHeight="1"/>
    <row r="61292" ht="26.25" customHeight="1"/>
    <row r="61293" ht="26.25" customHeight="1"/>
    <row r="61294" ht="26.25" customHeight="1"/>
    <row r="61295" ht="26.25" customHeight="1"/>
    <row r="61296" ht="26.25" customHeight="1"/>
    <row r="61297" ht="26.25" customHeight="1"/>
    <row r="61298" ht="26.25" customHeight="1"/>
    <row r="61299" ht="26.25" customHeight="1"/>
    <row r="61300" ht="26.25" customHeight="1"/>
    <row r="61301" ht="26.25" customHeight="1"/>
    <row r="61302" ht="26.25" customHeight="1"/>
    <row r="61303" ht="26.25" customHeight="1"/>
    <row r="61304" ht="26.25" customHeight="1"/>
    <row r="61305" ht="26.25" customHeight="1"/>
    <row r="61306" ht="26.25" customHeight="1"/>
    <row r="61307" ht="26.25" customHeight="1"/>
    <row r="61308" ht="26.25" customHeight="1"/>
    <row r="61309" ht="26.25" customHeight="1"/>
    <row r="61310" ht="26.25" customHeight="1"/>
    <row r="61311" ht="26.25" customHeight="1"/>
    <row r="61312" ht="26.25" customHeight="1"/>
    <row r="61313" ht="26.25" customHeight="1"/>
    <row r="61314" ht="26.25" customHeight="1"/>
    <row r="61315" ht="26.25" customHeight="1"/>
    <row r="61316" ht="26.25" customHeight="1"/>
    <row r="61317" ht="26.25" customHeight="1"/>
    <row r="61318" ht="26.25" customHeight="1"/>
    <row r="61319" ht="26.25" customHeight="1"/>
    <row r="61320" ht="26.25" customHeight="1"/>
    <row r="61321" ht="26.25" customHeight="1"/>
    <row r="61322" ht="26.25" customHeight="1"/>
    <row r="61323" ht="26.25" customHeight="1"/>
    <row r="61324" ht="26.25" customHeight="1"/>
    <row r="61325" ht="26.25" customHeight="1"/>
    <row r="61326" ht="26.25" customHeight="1"/>
    <row r="61327" ht="26.25" customHeight="1"/>
    <row r="61328" ht="26.25" customHeight="1"/>
    <row r="61329" ht="26.25" customHeight="1"/>
    <row r="61330" ht="26.25" customHeight="1"/>
    <row r="61331" ht="26.25" customHeight="1"/>
    <row r="61332" ht="26.25" customHeight="1"/>
    <row r="61333" ht="26.25" customHeight="1"/>
    <row r="61334" ht="26.25" customHeight="1"/>
    <row r="61335" ht="26.25" customHeight="1"/>
    <row r="61336" ht="26.25" customHeight="1"/>
    <row r="61337" ht="26.25" customHeight="1"/>
    <row r="61338" ht="26.25" customHeight="1"/>
    <row r="61339" ht="26.25" customHeight="1"/>
    <row r="61340" ht="26.25" customHeight="1"/>
    <row r="61341" ht="26.25" customHeight="1"/>
    <row r="61342" ht="26.25" customHeight="1"/>
    <row r="61343" ht="26.25" customHeight="1"/>
    <row r="61344" ht="26.25" customHeight="1"/>
    <row r="61345" ht="26.25" customHeight="1"/>
    <row r="61346" ht="26.25" customHeight="1"/>
    <row r="61347" ht="26.25" customHeight="1"/>
    <row r="61348" ht="26.25" customHeight="1"/>
    <row r="61349" ht="26.25" customHeight="1"/>
    <row r="61350" ht="26.25" customHeight="1"/>
    <row r="61351" ht="26.25" customHeight="1"/>
    <row r="61352" ht="26.25" customHeight="1"/>
    <row r="61353" ht="26.25" customHeight="1"/>
    <row r="61354" ht="26.25" customHeight="1"/>
    <row r="61355" ht="26.25" customHeight="1"/>
    <row r="61356" ht="26.25" customHeight="1"/>
    <row r="61357" ht="26.25" customHeight="1"/>
    <row r="61358" ht="26.25" customHeight="1"/>
    <row r="61359" ht="26.25" customHeight="1"/>
    <row r="61360" ht="26.25" customHeight="1"/>
    <row r="61361" ht="26.25" customHeight="1"/>
    <row r="61362" ht="26.25" customHeight="1"/>
    <row r="61363" ht="26.25" customHeight="1"/>
    <row r="61364" ht="26.25" customHeight="1"/>
    <row r="61365" ht="26.25" customHeight="1"/>
    <row r="61366" ht="26.25" customHeight="1"/>
    <row r="61367" ht="26.25" customHeight="1"/>
    <row r="61368" ht="26.25" customHeight="1"/>
    <row r="61369" ht="26.25" customHeight="1"/>
    <row r="61370" ht="26.25" customHeight="1"/>
    <row r="61371" ht="26.25" customHeight="1"/>
    <row r="61372" ht="26.25" customHeight="1"/>
    <row r="61373" ht="26.25" customHeight="1"/>
    <row r="61374" ht="26.25" customHeight="1"/>
    <row r="61375" ht="26.25" customHeight="1"/>
    <row r="61376" ht="26.25" customHeight="1"/>
    <row r="61377" ht="26.25" customHeight="1"/>
    <row r="61378" ht="26.25" customHeight="1"/>
    <row r="61379" ht="26.25" customHeight="1"/>
    <row r="61380" ht="26.25" customHeight="1"/>
    <row r="61381" ht="26.25" customHeight="1"/>
    <row r="61382" ht="26.25" customHeight="1"/>
    <row r="61383" ht="26.25" customHeight="1"/>
    <row r="61384" ht="26.25" customHeight="1"/>
    <row r="61385" ht="26.25" customHeight="1"/>
    <row r="61386" ht="26.25" customHeight="1"/>
    <row r="61387" ht="26.25" customHeight="1"/>
    <row r="61388" ht="26.25" customHeight="1"/>
    <row r="61389" ht="26.25" customHeight="1"/>
    <row r="61390" ht="26.25" customHeight="1"/>
    <row r="61391" ht="26.25" customHeight="1"/>
    <row r="61392" ht="26.25" customHeight="1"/>
    <row r="61393" ht="26.25" customHeight="1"/>
    <row r="61394" ht="26.25" customHeight="1"/>
    <row r="61395" ht="26.25" customHeight="1"/>
    <row r="61396" ht="26.25" customHeight="1"/>
    <row r="61397" ht="26.25" customHeight="1"/>
    <row r="61398" ht="26.25" customHeight="1"/>
    <row r="61399" ht="26.25" customHeight="1"/>
    <row r="61400" ht="26.25" customHeight="1"/>
    <row r="61401" ht="26.25" customHeight="1"/>
    <row r="61402" ht="26.25" customHeight="1"/>
    <row r="61403" ht="26.25" customHeight="1"/>
    <row r="61404" ht="26.25" customHeight="1"/>
    <row r="61405" ht="26.25" customHeight="1"/>
    <row r="61406" ht="26.25" customHeight="1"/>
    <row r="61407" ht="26.25" customHeight="1"/>
    <row r="61408" ht="26.25" customHeight="1"/>
    <row r="61409" ht="26.25" customHeight="1"/>
    <row r="61410" ht="26.25" customHeight="1"/>
    <row r="61411" ht="26.25" customHeight="1"/>
    <row r="61412" ht="26.25" customHeight="1"/>
    <row r="61413" ht="26.25" customHeight="1"/>
    <row r="61414" ht="26.25" customHeight="1"/>
    <row r="61415" ht="26.25" customHeight="1"/>
    <row r="61416" ht="26.25" customHeight="1"/>
    <row r="61417" ht="26.25" customHeight="1"/>
    <row r="61418" ht="26.25" customHeight="1"/>
    <row r="61419" ht="26.25" customHeight="1"/>
    <row r="61420" ht="26.25" customHeight="1"/>
    <row r="61421" ht="26.25" customHeight="1"/>
    <row r="61422" ht="26.25" customHeight="1"/>
    <row r="61423" ht="26.25" customHeight="1"/>
    <row r="61424" ht="26.25" customHeight="1"/>
    <row r="61425" ht="26.25" customHeight="1"/>
    <row r="61426" ht="26.25" customHeight="1"/>
    <row r="61427" ht="26.25" customHeight="1"/>
    <row r="61428" ht="26.25" customHeight="1"/>
    <row r="61429" ht="26.25" customHeight="1"/>
    <row r="61430" ht="26.25" customHeight="1"/>
    <row r="61431" ht="26.25" customHeight="1"/>
    <row r="61432" ht="26.25" customHeight="1"/>
    <row r="61433" ht="26.25" customHeight="1"/>
    <row r="61434" ht="26.25" customHeight="1"/>
    <row r="61435" ht="26.25" customHeight="1"/>
    <row r="61436" ht="26.25" customHeight="1"/>
    <row r="61437" ht="26.25" customHeight="1"/>
    <row r="61438" ht="26.25" customHeight="1"/>
    <row r="61439" ht="26.25" customHeight="1"/>
    <row r="61440" ht="26.25" customHeight="1"/>
    <row r="61441" ht="26.25" customHeight="1"/>
    <row r="61442" ht="26.25" customHeight="1"/>
    <row r="61443" ht="26.25" customHeight="1"/>
    <row r="61444" ht="26.25" customHeight="1"/>
    <row r="61445" ht="26.25" customHeight="1"/>
    <row r="61446" ht="26.25" customHeight="1"/>
    <row r="61447" ht="26.25" customHeight="1"/>
    <row r="61448" ht="26.25" customHeight="1"/>
    <row r="61449" ht="26.25" customHeight="1"/>
    <row r="61450" ht="26.25" customHeight="1"/>
    <row r="61451" ht="26.25" customHeight="1"/>
    <row r="61452" ht="26.25" customHeight="1"/>
    <row r="61453" ht="26.25" customHeight="1"/>
    <row r="61454" ht="26.25" customHeight="1"/>
    <row r="61455" ht="26.25" customHeight="1"/>
    <row r="61456" ht="26.25" customHeight="1"/>
    <row r="61457" ht="26.25" customHeight="1"/>
    <row r="61458" ht="26.25" customHeight="1"/>
    <row r="61459" ht="26.25" customHeight="1"/>
    <row r="61460" ht="26.25" customHeight="1"/>
    <row r="61461" ht="26.25" customHeight="1"/>
    <row r="61462" ht="26.25" customHeight="1"/>
    <row r="61463" ht="26.25" customHeight="1"/>
    <row r="61464" ht="26.25" customHeight="1"/>
    <row r="61465" ht="26.25" customHeight="1"/>
    <row r="61466" ht="26.25" customHeight="1"/>
    <row r="61467" ht="26.25" customHeight="1"/>
    <row r="61468" ht="26.25" customHeight="1"/>
    <row r="61469" ht="26.25" customHeight="1"/>
    <row r="61470" ht="26.25" customHeight="1"/>
    <row r="61471" ht="26.25" customHeight="1"/>
    <row r="61472" ht="26.25" customHeight="1"/>
    <row r="61473" ht="26.25" customHeight="1"/>
    <row r="61474" ht="26.25" customHeight="1"/>
    <row r="61475" ht="26.25" customHeight="1"/>
    <row r="61476" ht="26.25" customHeight="1"/>
    <row r="61477" ht="26.25" customHeight="1"/>
    <row r="61478" ht="26.25" customHeight="1"/>
    <row r="61479" ht="26.25" customHeight="1"/>
    <row r="61480" ht="26.25" customHeight="1"/>
    <row r="61481" ht="26.25" customHeight="1"/>
    <row r="61482" ht="26.25" customHeight="1"/>
    <row r="61483" ht="26.25" customHeight="1"/>
    <row r="61484" ht="26.25" customHeight="1"/>
    <row r="61485" ht="26.25" customHeight="1"/>
    <row r="61486" ht="26.25" customHeight="1"/>
    <row r="61487" ht="26.25" customHeight="1"/>
    <row r="61488" ht="26.25" customHeight="1"/>
    <row r="61489" ht="26.25" customHeight="1"/>
    <row r="61490" ht="26.25" customHeight="1"/>
    <row r="61491" ht="26.25" customHeight="1"/>
    <row r="61492" ht="26.25" customHeight="1"/>
    <row r="61493" ht="26.25" customHeight="1"/>
    <row r="61494" ht="26.25" customHeight="1"/>
    <row r="61495" ht="26.25" customHeight="1"/>
    <row r="61496" ht="26.25" customHeight="1"/>
    <row r="61497" ht="26.25" customHeight="1"/>
    <row r="61498" ht="26.25" customHeight="1"/>
    <row r="61499" ht="26.25" customHeight="1"/>
    <row r="61500" ht="26.25" customHeight="1"/>
    <row r="61501" ht="26.25" customHeight="1"/>
    <row r="61502" ht="26.25" customHeight="1"/>
    <row r="61503" ht="26.25" customHeight="1"/>
    <row r="61504" ht="26.25" customHeight="1"/>
    <row r="61505" ht="26.25" customHeight="1"/>
    <row r="61506" ht="26.25" customHeight="1"/>
    <row r="61507" ht="26.25" customHeight="1"/>
    <row r="61508" ht="26.25" customHeight="1"/>
    <row r="61509" ht="26.25" customHeight="1"/>
    <row r="61510" ht="26.25" customHeight="1"/>
    <row r="61511" ht="26.25" customHeight="1"/>
    <row r="61512" ht="26.25" customHeight="1"/>
    <row r="61513" ht="26.25" customHeight="1"/>
    <row r="61514" ht="26.25" customHeight="1"/>
    <row r="61515" ht="26.25" customHeight="1"/>
    <row r="61516" ht="26.25" customHeight="1"/>
    <row r="61517" ht="26.25" customHeight="1"/>
    <row r="61518" ht="26.25" customHeight="1"/>
    <row r="61519" ht="26.25" customHeight="1"/>
    <row r="61520" ht="26.25" customHeight="1"/>
    <row r="61521" ht="26.25" customHeight="1"/>
    <row r="61522" ht="26.25" customHeight="1"/>
    <row r="61523" ht="26.25" customHeight="1"/>
    <row r="61524" ht="26.25" customHeight="1"/>
    <row r="61525" ht="26.25" customHeight="1"/>
    <row r="61526" ht="26.25" customHeight="1"/>
    <row r="61527" ht="26.25" customHeight="1"/>
    <row r="61528" ht="26.25" customHeight="1"/>
    <row r="61529" ht="26.25" customHeight="1"/>
    <row r="61530" ht="26.25" customHeight="1"/>
    <row r="61531" ht="26.25" customHeight="1"/>
    <row r="61532" ht="26.25" customHeight="1"/>
    <row r="61533" ht="26.25" customHeight="1"/>
    <row r="61534" ht="26.25" customHeight="1"/>
    <row r="61535" ht="26.25" customHeight="1"/>
    <row r="61536" ht="26.25" customHeight="1"/>
    <row r="61537" ht="26.25" customHeight="1"/>
    <row r="61538" ht="26.25" customHeight="1"/>
    <row r="61539" ht="26.25" customHeight="1"/>
    <row r="61540" ht="26.25" customHeight="1"/>
    <row r="61541" ht="26.25" customHeight="1"/>
    <row r="61542" ht="26.25" customHeight="1"/>
    <row r="61543" ht="26.25" customHeight="1"/>
    <row r="61544" ht="26.25" customHeight="1"/>
    <row r="61545" ht="26.25" customHeight="1"/>
    <row r="61546" ht="26.25" customHeight="1"/>
    <row r="61547" ht="26.25" customHeight="1"/>
    <row r="61548" ht="26.25" customHeight="1"/>
    <row r="61549" ht="26.25" customHeight="1"/>
    <row r="61550" ht="26.25" customHeight="1"/>
    <row r="61551" ht="26.25" customHeight="1"/>
    <row r="61552" ht="26.25" customHeight="1"/>
    <row r="61553" ht="26.25" customHeight="1"/>
    <row r="61554" ht="26.25" customHeight="1"/>
    <row r="61555" ht="26.25" customHeight="1"/>
    <row r="61556" ht="26.25" customHeight="1"/>
    <row r="61557" ht="26.25" customHeight="1"/>
    <row r="61558" ht="26.25" customHeight="1"/>
    <row r="61559" ht="26.25" customHeight="1"/>
    <row r="61560" ht="26.25" customHeight="1"/>
    <row r="61561" ht="26.25" customHeight="1"/>
    <row r="61562" ht="26.25" customHeight="1"/>
    <row r="61563" ht="26.25" customHeight="1"/>
    <row r="61564" ht="26.25" customHeight="1"/>
    <row r="61565" ht="26.25" customHeight="1"/>
    <row r="61566" ht="26.25" customHeight="1"/>
    <row r="61567" ht="26.25" customHeight="1"/>
    <row r="61568" ht="26.25" customHeight="1"/>
    <row r="61569" ht="26.25" customHeight="1"/>
    <row r="61570" ht="26.25" customHeight="1"/>
    <row r="61571" ht="26.25" customHeight="1"/>
    <row r="61572" ht="26.25" customHeight="1"/>
    <row r="61573" ht="26.25" customHeight="1"/>
    <row r="61574" ht="26.25" customHeight="1"/>
    <row r="61575" ht="26.25" customHeight="1"/>
    <row r="61576" ht="26.25" customHeight="1"/>
    <row r="61577" ht="26.25" customHeight="1"/>
    <row r="61578" ht="26.25" customHeight="1"/>
    <row r="61579" ht="26.25" customHeight="1"/>
    <row r="61580" ht="26.25" customHeight="1"/>
    <row r="61581" ht="26.25" customHeight="1"/>
    <row r="61582" ht="26.25" customHeight="1"/>
    <row r="61583" ht="26.25" customHeight="1"/>
    <row r="61584" ht="26.25" customHeight="1"/>
    <row r="61585" ht="26.25" customHeight="1"/>
    <row r="61586" ht="26.25" customHeight="1"/>
    <row r="61587" ht="26.25" customHeight="1"/>
    <row r="61588" ht="26.25" customHeight="1"/>
    <row r="61589" ht="26.25" customHeight="1"/>
    <row r="61590" ht="26.25" customHeight="1"/>
    <row r="61591" ht="26.25" customHeight="1"/>
    <row r="61592" ht="26.25" customHeight="1"/>
    <row r="61593" ht="26.25" customHeight="1"/>
    <row r="61594" ht="26.25" customHeight="1"/>
    <row r="61595" ht="26.25" customHeight="1"/>
    <row r="61596" ht="26.25" customHeight="1"/>
    <row r="61597" ht="26.25" customHeight="1"/>
    <row r="61598" ht="26.25" customHeight="1"/>
    <row r="61599" ht="26.25" customHeight="1"/>
    <row r="61600" ht="26.25" customHeight="1"/>
    <row r="61601" ht="26.25" customHeight="1"/>
    <row r="61602" ht="26.25" customHeight="1"/>
    <row r="61603" ht="26.25" customHeight="1"/>
    <row r="61604" ht="26.25" customHeight="1"/>
    <row r="61605" ht="26.25" customHeight="1"/>
    <row r="61606" ht="26.25" customHeight="1"/>
    <row r="61607" ht="26.25" customHeight="1"/>
    <row r="61608" ht="26.25" customHeight="1"/>
    <row r="61609" ht="26.25" customHeight="1"/>
    <row r="61610" ht="26.25" customHeight="1"/>
    <row r="61611" ht="26.25" customHeight="1"/>
    <row r="61612" ht="26.25" customHeight="1"/>
    <row r="61613" ht="26.25" customHeight="1"/>
    <row r="61614" ht="26.25" customHeight="1"/>
    <row r="61615" ht="26.25" customHeight="1"/>
    <row r="61616" ht="26.25" customHeight="1"/>
    <row r="61617" ht="26.25" customHeight="1"/>
    <row r="61618" ht="26.25" customHeight="1"/>
    <row r="61619" ht="26.25" customHeight="1"/>
    <row r="61620" ht="26.25" customHeight="1"/>
    <row r="61621" ht="26.25" customHeight="1"/>
    <row r="61622" ht="26.25" customHeight="1"/>
    <row r="61623" ht="26.25" customHeight="1"/>
    <row r="61624" ht="26.25" customHeight="1"/>
    <row r="61625" ht="26.25" customHeight="1"/>
    <row r="61626" ht="26.25" customHeight="1"/>
    <row r="61627" ht="26.25" customHeight="1"/>
    <row r="61628" ht="26.25" customHeight="1"/>
    <row r="61629" ht="26.25" customHeight="1"/>
    <row r="61630" ht="26.25" customHeight="1"/>
    <row r="61631" ht="26.25" customHeight="1"/>
    <row r="61632" ht="26.25" customHeight="1"/>
    <row r="61633" ht="26.25" customHeight="1"/>
    <row r="61634" ht="26.25" customHeight="1"/>
    <row r="61635" ht="26.25" customHeight="1"/>
    <row r="61636" ht="26.25" customHeight="1"/>
    <row r="61637" ht="26.25" customHeight="1"/>
    <row r="61638" ht="26.25" customHeight="1"/>
    <row r="61639" ht="26.25" customHeight="1"/>
    <row r="61640" ht="26.25" customHeight="1"/>
    <row r="61641" ht="26.25" customHeight="1"/>
    <row r="61642" ht="26.25" customHeight="1"/>
    <row r="61643" ht="26.25" customHeight="1"/>
    <row r="61644" ht="26.25" customHeight="1"/>
    <row r="61645" ht="26.25" customHeight="1"/>
    <row r="61646" ht="26.25" customHeight="1"/>
    <row r="61647" ht="26.25" customHeight="1"/>
    <row r="61648" ht="26.25" customHeight="1"/>
    <row r="61649" ht="26.25" customHeight="1"/>
    <row r="61650" ht="26.25" customHeight="1"/>
    <row r="61651" ht="26.25" customHeight="1"/>
    <row r="61652" ht="26.25" customHeight="1"/>
    <row r="61653" ht="26.25" customHeight="1"/>
    <row r="61654" ht="26.25" customHeight="1"/>
    <row r="61655" ht="26.25" customHeight="1"/>
    <row r="61656" ht="26.25" customHeight="1"/>
    <row r="61657" ht="26.25" customHeight="1"/>
    <row r="61658" ht="26.25" customHeight="1"/>
    <row r="61659" ht="26.25" customHeight="1"/>
    <row r="61660" ht="26.25" customHeight="1"/>
    <row r="61661" ht="26.25" customHeight="1"/>
    <row r="61662" ht="26.25" customHeight="1"/>
    <row r="61663" ht="26.25" customHeight="1"/>
    <row r="61664" ht="26.25" customHeight="1"/>
    <row r="61665" ht="26.25" customHeight="1"/>
    <row r="61666" ht="26.25" customHeight="1"/>
    <row r="61667" ht="26.25" customHeight="1"/>
    <row r="61668" ht="26.25" customHeight="1"/>
    <row r="61669" ht="26.25" customHeight="1"/>
    <row r="61670" ht="26.25" customHeight="1"/>
    <row r="61671" ht="26.25" customHeight="1"/>
    <row r="61672" ht="26.25" customHeight="1"/>
    <row r="61673" ht="26.25" customHeight="1"/>
    <row r="61674" ht="26.25" customHeight="1"/>
    <row r="61675" ht="26.25" customHeight="1"/>
    <row r="61676" ht="26.25" customHeight="1"/>
    <row r="61677" ht="26.25" customHeight="1"/>
    <row r="61678" ht="26.25" customHeight="1"/>
    <row r="61679" ht="26.25" customHeight="1"/>
    <row r="61680" ht="26.25" customHeight="1"/>
    <row r="61681" ht="26.25" customHeight="1"/>
    <row r="61682" ht="26.25" customHeight="1"/>
    <row r="61683" ht="26.25" customHeight="1"/>
    <row r="61684" ht="26.25" customHeight="1"/>
    <row r="61685" ht="26.25" customHeight="1"/>
    <row r="61686" ht="26.25" customHeight="1"/>
    <row r="61687" ht="26.25" customHeight="1"/>
    <row r="61688" ht="26.25" customHeight="1"/>
    <row r="61689" ht="26.25" customHeight="1"/>
    <row r="61690" ht="26.25" customHeight="1"/>
    <row r="61691" ht="26.25" customHeight="1"/>
    <row r="61692" ht="26.25" customHeight="1"/>
    <row r="61693" ht="26.25" customHeight="1"/>
    <row r="61694" ht="26.25" customHeight="1"/>
    <row r="61695" ht="26.25" customHeight="1"/>
    <row r="61696" ht="26.25" customHeight="1"/>
    <row r="61697" ht="26.25" customHeight="1"/>
    <row r="61698" ht="26.25" customHeight="1"/>
    <row r="61699" ht="26.25" customHeight="1"/>
    <row r="61700" ht="26.25" customHeight="1"/>
    <row r="61701" ht="26.25" customHeight="1"/>
    <row r="61702" ht="26.25" customHeight="1"/>
    <row r="61703" ht="26.25" customHeight="1"/>
    <row r="61704" ht="26.25" customHeight="1"/>
    <row r="61705" ht="26.25" customHeight="1"/>
    <row r="61706" ht="26.25" customHeight="1"/>
    <row r="61707" ht="26.25" customHeight="1"/>
    <row r="61708" ht="26.25" customHeight="1"/>
    <row r="61709" ht="26.25" customHeight="1"/>
    <row r="61710" ht="26.25" customHeight="1"/>
    <row r="61711" ht="26.25" customHeight="1"/>
    <row r="61712" ht="26.25" customHeight="1"/>
    <row r="61713" ht="26.25" customHeight="1"/>
    <row r="61714" ht="26.25" customHeight="1"/>
    <row r="61715" ht="26.25" customHeight="1"/>
    <row r="61716" ht="26.25" customHeight="1"/>
    <row r="61717" ht="26.25" customHeight="1"/>
    <row r="61718" ht="26.25" customHeight="1"/>
    <row r="61719" ht="26.25" customHeight="1"/>
    <row r="61720" ht="26.25" customHeight="1"/>
    <row r="61721" ht="26.25" customHeight="1"/>
    <row r="61722" ht="26.25" customHeight="1"/>
    <row r="61723" ht="26.25" customHeight="1"/>
    <row r="61724" ht="26.25" customHeight="1"/>
    <row r="61725" ht="26.25" customHeight="1"/>
    <row r="61726" ht="26.25" customHeight="1"/>
    <row r="61727" ht="26.25" customHeight="1"/>
    <row r="61728" ht="26.25" customHeight="1"/>
    <row r="61729" ht="26.25" customHeight="1"/>
    <row r="61730" ht="26.25" customHeight="1"/>
    <row r="61731" ht="26.25" customHeight="1"/>
    <row r="61732" ht="26.25" customHeight="1"/>
    <row r="61733" ht="26.25" customHeight="1"/>
    <row r="61734" ht="26.25" customHeight="1"/>
    <row r="61735" ht="26.25" customHeight="1"/>
    <row r="61736" ht="26.25" customHeight="1"/>
    <row r="61737" ht="26.25" customHeight="1"/>
    <row r="61738" ht="26.25" customHeight="1"/>
    <row r="61739" ht="26.25" customHeight="1"/>
    <row r="61740" ht="26.25" customHeight="1"/>
    <row r="61741" ht="26.25" customHeight="1"/>
    <row r="61742" ht="26.25" customHeight="1"/>
    <row r="61743" ht="26.25" customHeight="1"/>
    <row r="61744" ht="26.25" customHeight="1"/>
    <row r="61745" ht="26.25" customHeight="1"/>
    <row r="61746" ht="26.25" customHeight="1"/>
    <row r="61747" ht="26.25" customHeight="1"/>
    <row r="61748" ht="26.25" customHeight="1"/>
    <row r="61749" ht="26.25" customHeight="1"/>
    <row r="61750" ht="26.25" customHeight="1"/>
    <row r="61751" ht="26.25" customHeight="1"/>
    <row r="61752" ht="26.25" customHeight="1"/>
    <row r="61753" ht="26.25" customHeight="1"/>
    <row r="61754" ht="26.25" customHeight="1"/>
    <row r="61755" ht="26.25" customHeight="1"/>
    <row r="61756" ht="26.25" customHeight="1"/>
    <row r="61757" ht="26.25" customHeight="1"/>
    <row r="61758" ht="26.25" customHeight="1"/>
    <row r="61759" ht="26.25" customHeight="1"/>
    <row r="61760" ht="26.25" customHeight="1"/>
    <row r="61761" ht="26.25" customHeight="1"/>
    <row r="61762" ht="26.25" customHeight="1"/>
    <row r="61763" ht="26.25" customHeight="1"/>
    <row r="61764" ht="26.25" customHeight="1"/>
    <row r="61765" ht="26.25" customHeight="1"/>
    <row r="61766" ht="26.25" customHeight="1"/>
    <row r="61767" ht="26.25" customHeight="1"/>
    <row r="61768" ht="26.25" customHeight="1"/>
    <row r="61769" ht="26.25" customHeight="1"/>
    <row r="61770" ht="26.25" customHeight="1"/>
    <row r="61771" ht="26.25" customHeight="1"/>
    <row r="61772" ht="26.25" customHeight="1"/>
    <row r="61773" ht="26.25" customHeight="1"/>
    <row r="61774" ht="26.25" customHeight="1"/>
    <row r="61775" ht="26.25" customHeight="1"/>
    <row r="61776" ht="26.25" customHeight="1"/>
    <row r="61777" ht="26.25" customHeight="1"/>
    <row r="61778" ht="26.25" customHeight="1"/>
    <row r="61779" ht="26.25" customHeight="1"/>
    <row r="61780" ht="26.25" customHeight="1"/>
    <row r="61781" ht="26.25" customHeight="1"/>
    <row r="61782" ht="26.25" customHeight="1"/>
    <row r="61783" ht="26.25" customHeight="1"/>
    <row r="61784" ht="26.25" customHeight="1"/>
    <row r="61785" ht="26.25" customHeight="1"/>
    <row r="61786" ht="26.25" customHeight="1"/>
    <row r="61787" ht="26.25" customHeight="1"/>
    <row r="61788" ht="26.25" customHeight="1"/>
    <row r="61789" ht="26.25" customHeight="1"/>
    <row r="61790" ht="26.25" customHeight="1"/>
    <row r="61791" ht="26.25" customHeight="1"/>
    <row r="61792" ht="26.25" customHeight="1"/>
    <row r="61793" ht="26.25" customHeight="1"/>
    <row r="61794" ht="26.25" customHeight="1"/>
    <row r="61795" ht="26.25" customHeight="1"/>
    <row r="61796" ht="26.25" customHeight="1"/>
    <row r="61797" ht="26.25" customHeight="1"/>
    <row r="61798" ht="26.25" customHeight="1"/>
    <row r="61799" ht="26.25" customHeight="1"/>
    <row r="61800" ht="26.25" customHeight="1"/>
    <row r="61801" ht="26.25" customHeight="1"/>
    <row r="61802" ht="26.25" customHeight="1"/>
    <row r="61803" ht="26.25" customHeight="1"/>
    <row r="61804" ht="26.25" customHeight="1"/>
    <row r="61805" ht="26.25" customHeight="1"/>
    <row r="61806" ht="26.25" customHeight="1"/>
    <row r="61807" ht="26.25" customHeight="1"/>
    <row r="61808" ht="26.25" customHeight="1"/>
    <row r="61809" ht="26.25" customHeight="1"/>
    <row r="61810" ht="26.25" customHeight="1"/>
    <row r="61811" ht="26.25" customHeight="1"/>
    <row r="61812" ht="26.25" customHeight="1"/>
    <row r="61813" ht="26.25" customHeight="1"/>
    <row r="61814" ht="26.25" customHeight="1"/>
    <row r="61815" ht="26.25" customHeight="1"/>
    <row r="61816" ht="26.25" customHeight="1"/>
    <row r="61817" ht="26.25" customHeight="1"/>
    <row r="61818" ht="26.25" customHeight="1"/>
    <row r="61819" ht="26.25" customHeight="1"/>
    <row r="61820" ht="26.25" customHeight="1"/>
    <row r="61821" ht="26.25" customHeight="1"/>
    <row r="61822" ht="26.25" customHeight="1"/>
    <row r="61823" ht="26.25" customHeight="1"/>
    <row r="61824" ht="26.25" customHeight="1"/>
    <row r="61825" ht="26.25" customHeight="1"/>
    <row r="61826" ht="26.25" customHeight="1"/>
    <row r="61827" ht="26.25" customHeight="1"/>
    <row r="61828" ht="26.25" customHeight="1"/>
    <row r="61829" ht="26.25" customHeight="1"/>
    <row r="61830" ht="26.25" customHeight="1"/>
    <row r="61831" ht="26.25" customHeight="1"/>
    <row r="61832" ht="26.25" customHeight="1"/>
    <row r="61833" ht="26.25" customHeight="1"/>
    <row r="61834" ht="26.25" customHeight="1"/>
    <row r="61835" ht="26.25" customHeight="1"/>
    <row r="61836" ht="26.25" customHeight="1"/>
    <row r="61837" ht="26.25" customHeight="1"/>
    <row r="61838" ht="26.25" customHeight="1"/>
    <row r="61839" ht="26.25" customHeight="1"/>
    <row r="61840" ht="26.25" customHeight="1"/>
    <row r="61841" ht="26.25" customHeight="1"/>
    <row r="61842" ht="26.25" customHeight="1"/>
    <row r="61843" ht="26.25" customHeight="1"/>
    <row r="61844" ht="26.25" customHeight="1"/>
    <row r="61845" ht="26.25" customHeight="1"/>
    <row r="61846" ht="26.25" customHeight="1"/>
    <row r="61847" ht="26.25" customHeight="1"/>
    <row r="61848" ht="26.25" customHeight="1"/>
    <row r="61849" ht="26.25" customHeight="1"/>
    <row r="61850" ht="26.25" customHeight="1"/>
    <row r="61851" ht="26.25" customHeight="1"/>
    <row r="61852" ht="26.25" customHeight="1"/>
    <row r="61853" ht="26.25" customHeight="1"/>
    <row r="61854" ht="26.25" customHeight="1"/>
    <row r="61855" ht="26.25" customHeight="1"/>
    <row r="61856" ht="26.25" customHeight="1"/>
    <row r="61857" ht="26.25" customHeight="1"/>
    <row r="61858" ht="26.25" customHeight="1"/>
    <row r="61859" ht="26.25" customHeight="1"/>
    <row r="61860" ht="26.25" customHeight="1"/>
    <row r="61861" ht="26.25" customHeight="1"/>
    <row r="61862" ht="26.25" customHeight="1"/>
    <row r="61863" ht="26.25" customHeight="1"/>
    <row r="61864" ht="26.25" customHeight="1"/>
    <row r="61865" ht="26.25" customHeight="1"/>
    <row r="61866" ht="26.25" customHeight="1"/>
    <row r="61867" ht="26.25" customHeight="1"/>
    <row r="61868" ht="26.25" customHeight="1"/>
    <row r="61869" ht="26.25" customHeight="1"/>
    <row r="61870" ht="26.25" customHeight="1"/>
    <row r="61871" ht="26.25" customHeight="1"/>
    <row r="61872" ht="26.25" customHeight="1"/>
    <row r="61873" ht="26.25" customHeight="1"/>
    <row r="61874" ht="26.25" customHeight="1"/>
    <row r="61875" ht="26.25" customHeight="1"/>
    <row r="61876" ht="26.25" customHeight="1"/>
    <row r="61877" ht="26.25" customHeight="1"/>
    <row r="61878" ht="26.25" customHeight="1"/>
    <row r="61879" ht="26.25" customHeight="1"/>
    <row r="61880" ht="26.25" customHeight="1"/>
    <row r="61881" ht="26.25" customHeight="1"/>
    <row r="61882" ht="26.25" customHeight="1"/>
    <row r="61883" ht="26.25" customHeight="1"/>
    <row r="61884" ht="26.25" customHeight="1"/>
    <row r="61885" ht="26.25" customHeight="1"/>
    <row r="61886" ht="26.25" customHeight="1"/>
    <row r="61887" ht="26.25" customHeight="1"/>
    <row r="61888" ht="26.25" customHeight="1"/>
    <row r="61889" ht="26.25" customHeight="1"/>
    <row r="61890" ht="26.25" customHeight="1"/>
    <row r="61891" ht="26.25" customHeight="1"/>
    <row r="61892" ht="26.25" customHeight="1"/>
    <row r="61893" ht="26.25" customHeight="1"/>
    <row r="61894" ht="26.25" customHeight="1"/>
    <row r="61895" ht="26.25" customHeight="1"/>
    <row r="61896" ht="26.25" customHeight="1"/>
    <row r="61897" ht="26.25" customHeight="1"/>
    <row r="61898" ht="26.25" customHeight="1"/>
    <row r="61899" ht="26.25" customHeight="1"/>
    <row r="61900" ht="26.25" customHeight="1"/>
    <row r="61901" ht="26.25" customHeight="1"/>
    <row r="61902" ht="26.25" customHeight="1"/>
    <row r="61903" ht="26.25" customHeight="1"/>
    <row r="61904" ht="26.25" customHeight="1"/>
    <row r="61905" ht="26.25" customHeight="1"/>
    <row r="61906" ht="26.25" customHeight="1"/>
    <row r="61907" ht="26.25" customHeight="1"/>
    <row r="61908" ht="26.25" customHeight="1"/>
    <row r="61909" ht="26.25" customHeight="1"/>
    <row r="61910" ht="26.25" customHeight="1"/>
    <row r="61911" ht="26.25" customHeight="1"/>
    <row r="61912" ht="26.25" customHeight="1"/>
    <row r="61913" ht="26.25" customHeight="1"/>
    <row r="61914" ht="26.25" customHeight="1"/>
    <row r="61915" ht="26.25" customHeight="1"/>
    <row r="61916" ht="26.25" customHeight="1"/>
    <row r="61917" ht="26.25" customHeight="1"/>
    <row r="61918" ht="26.25" customHeight="1"/>
    <row r="61919" ht="26.25" customHeight="1"/>
    <row r="61920" ht="26.25" customHeight="1"/>
    <row r="61921" ht="26.25" customHeight="1"/>
    <row r="61922" ht="26.25" customHeight="1"/>
    <row r="61923" ht="26.25" customHeight="1"/>
    <row r="61924" ht="26.25" customHeight="1"/>
    <row r="61925" ht="26.25" customHeight="1"/>
    <row r="61926" ht="26.25" customHeight="1"/>
    <row r="61927" ht="26.25" customHeight="1"/>
    <row r="61928" ht="26.25" customHeight="1"/>
    <row r="61929" ht="26.25" customHeight="1"/>
    <row r="61930" ht="26.25" customHeight="1"/>
    <row r="61931" ht="26.25" customHeight="1"/>
    <row r="61932" ht="26.25" customHeight="1"/>
    <row r="61933" ht="26.25" customHeight="1"/>
    <row r="61934" ht="26.25" customHeight="1"/>
    <row r="61935" ht="26.25" customHeight="1"/>
    <row r="61936" ht="26.25" customHeight="1"/>
    <row r="61937" ht="26.25" customHeight="1"/>
    <row r="61938" ht="26.25" customHeight="1"/>
    <row r="61939" ht="26.25" customHeight="1"/>
    <row r="61940" ht="26.25" customHeight="1"/>
    <row r="61941" ht="26.25" customHeight="1"/>
    <row r="61942" ht="26.25" customHeight="1"/>
    <row r="61943" ht="26.25" customHeight="1"/>
    <row r="61944" ht="26.25" customHeight="1"/>
    <row r="61945" ht="26.25" customHeight="1"/>
    <row r="61946" ht="26.25" customHeight="1"/>
    <row r="61947" ht="26.25" customHeight="1"/>
    <row r="61948" ht="26.25" customHeight="1"/>
    <row r="61949" ht="26.25" customHeight="1"/>
    <row r="61950" ht="26.25" customHeight="1"/>
    <row r="61951" ht="26.25" customHeight="1"/>
    <row r="61952" ht="26.25" customHeight="1"/>
    <row r="61953" ht="26.25" customHeight="1"/>
    <row r="61954" ht="26.25" customHeight="1"/>
    <row r="61955" ht="26.25" customHeight="1"/>
    <row r="61956" ht="26.25" customHeight="1"/>
    <row r="61957" ht="26.25" customHeight="1"/>
    <row r="61958" ht="26.25" customHeight="1"/>
    <row r="61959" ht="26.25" customHeight="1"/>
    <row r="61960" ht="26.25" customHeight="1"/>
    <row r="61961" ht="26.25" customHeight="1"/>
    <row r="61962" ht="26.25" customHeight="1"/>
    <row r="61963" ht="26.25" customHeight="1"/>
    <row r="61964" ht="26.25" customHeight="1"/>
    <row r="61965" ht="26.25" customHeight="1"/>
    <row r="61966" ht="26.25" customHeight="1"/>
    <row r="61967" ht="26.25" customHeight="1"/>
    <row r="61968" ht="26.25" customHeight="1"/>
    <row r="61969" ht="26.25" customHeight="1"/>
    <row r="61970" ht="26.25" customHeight="1"/>
    <row r="61971" ht="26.25" customHeight="1"/>
    <row r="61972" ht="26.25" customHeight="1"/>
    <row r="61973" ht="26.25" customHeight="1"/>
    <row r="61974" ht="26.25" customHeight="1"/>
    <row r="61975" ht="26.25" customHeight="1"/>
    <row r="61976" ht="26.25" customHeight="1"/>
    <row r="61977" ht="26.25" customHeight="1"/>
    <row r="61978" ht="26.25" customHeight="1"/>
    <row r="61979" ht="26.25" customHeight="1"/>
    <row r="61980" ht="26.25" customHeight="1"/>
    <row r="61981" ht="26.25" customHeight="1"/>
    <row r="61982" ht="26.25" customHeight="1"/>
    <row r="61983" ht="26.25" customHeight="1"/>
    <row r="61984" ht="26.25" customHeight="1"/>
    <row r="61985" ht="26.25" customHeight="1"/>
    <row r="61986" ht="26.25" customHeight="1"/>
    <row r="61987" ht="26.25" customHeight="1"/>
    <row r="61988" ht="26.25" customHeight="1"/>
    <row r="61989" ht="26.25" customHeight="1"/>
    <row r="61990" ht="26.25" customHeight="1"/>
    <row r="61991" ht="26.25" customHeight="1"/>
    <row r="61992" ht="26.25" customHeight="1"/>
    <row r="61993" ht="26.25" customHeight="1"/>
    <row r="61994" ht="26.25" customHeight="1"/>
    <row r="61995" ht="26.25" customHeight="1"/>
    <row r="61996" ht="26.25" customHeight="1"/>
    <row r="61997" ht="26.25" customHeight="1"/>
    <row r="61998" ht="26.25" customHeight="1"/>
    <row r="61999" ht="26.25" customHeight="1"/>
    <row r="62000" ht="26.25" customHeight="1"/>
    <row r="62001" ht="26.25" customHeight="1"/>
    <row r="62002" ht="26.25" customHeight="1"/>
    <row r="62003" ht="26.25" customHeight="1"/>
    <row r="62004" ht="26.25" customHeight="1"/>
    <row r="62005" ht="26.25" customHeight="1"/>
    <row r="62006" ht="26.25" customHeight="1"/>
    <row r="62007" ht="26.25" customHeight="1"/>
    <row r="62008" ht="26.25" customHeight="1"/>
    <row r="62009" ht="26.25" customHeight="1"/>
    <row r="62010" ht="26.25" customHeight="1"/>
    <row r="62011" ht="26.25" customHeight="1"/>
    <row r="62012" ht="26.25" customHeight="1"/>
    <row r="62013" ht="26.25" customHeight="1"/>
    <row r="62014" ht="26.25" customHeight="1"/>
    <row r="62015" ht="26.25" customHeight="1"/>
    <row r="62016" ht="26.25" customHeight="1"/>
    <row r="62017" ht="26.25" customHeight="1"/>
    <row r="62018" ht="26.25" customHeight="1"/>
    <row r="62019" ht="26.25" customHeight="1"/>
    <row r="62020" ht="26.25" customHeight="1"/>
    <row r="62021" ht="26.25" customHeight="1"/>
    <row r="62022" ht="26.25" customHeight="1"/>
    <row r="62023" ht="26.25" customHeight="1"/>
    <row r="62024" ht="26.25" customHeight="1"/>
    <row r="62025" ht="26.25" customHeight="1"/>
    <row r="62026" ht="26.25" customHeight="1"/>
    <row r="62027" ht="26.25" customHeight="1"/>
    <row r="62028" ht="26.25" customHeight="1"/>
    <row r="62029" ht="26.25" customHeight="1"/>
    <row r="62030" ht="26.25" customHeight="1"/>
    <row r="62031" ht="26.25" customHeight="1"/>
    <row r="62032" ht="26.25" customHeight="1"/>
    <row r="62033" ht="26.25" customHeight="1"/>
    <row r="62034" ht="26.25" customHeight="1"/>
    <row r="62035" ht="26.25" customHeight="1"/>
    <row r="62036" ht="26.25" customHeight="1"/>
    <row r="62037" ht="26.25" customHeight="1"/>
    <row r="62038" ht="26.25" customHeight="1"/>
    <row r="62039" ht="26.25" customHeight="1"/>
    <row r="62040" ht="26.25" customHeight="1"/>
    <row r="62041" ht="26.25" customHeight="1"/>
    <row r="62042" ht="26.25" customHeight="1"/>
    <row r="62043" ht="26.25" customHeight="1"/>
    <row r="62044" ht="26.25" customHeight="1"/>
    <row r="62045" ht="26.25" customHeight="1"/>
    <row r="62046" ht="26.25" customHeight="1"/>
    <row r="62047" ht="26.25" customHeight="1"/>
    <row r="62048" ht="26.25" customHeight="1"/>
    <row r="62049" ht="26.25" customHeight="1"/>
    <row r="62050" ht="26.25" customHeight="1"/>
    <row r="62051" ht="26.25" customHeight="1"/>
    <row r="62052" ht="26.25" customHeight="1"/>
    <row r="62053" ht="26.25" customHeight="1"/>
    <row r="62054" ht="26.25" customHeight="1"/>
    <row r="62055" ht="26.25" customHeight="1"/>
    <row r="62056" ht="26.25" customHeight="1"/>
    <row r="62057" ht="26.25" customHeight="1"/>
    <row r="62058" ht="26.25" customHeight="1"/>
    <row r="62059" ht="26.25" customHeight="1"/>
    <row r="62060" ht="26.25" customHeight="1"/>
    <row r="62061" ht="26.25" customHeight="1"/>
    <row r="62062" ht="26.25" customHeight="1"/>
    <row r="62063" ht="26.25" customHeight="1"/>
    <row r="62064" ht="26.25" customHeight="1"/>
    <row r="62065" ht="26.25" customHeight="1"/>
    <row r="62066" ht="26.25" customHeight="1"/>
    <row r="62067" ht="26.25" customHeight="1"/>
    <row r="62068" ht="26.25" customHeight="1"/>
    <row r="62069" ht="26.25" customHeight="1"/>
    <row r="62070" ht="26.25" customHeight="1"/>
    <row r="62071" ht="26.25" customHeight="1"/>
    <row r="62072" ht="26.25" customHeight="1"/>
    <row r="62073" ht="26.25" customHeight="1"/>
    <row r="62074" ht="26.25" customHeight="1"/>
    <row r="62075" ht="26.25" customHeight="1"/>
    <row r="62076" ht="26.25" customHeight="1"/>
    <row r="62077" ht="26.25" customHeight="1"/>
    <row r="62078" ht="26.25" customHeight="1"/>
    <row r="62079" ht="26.25" customHeight="1"/>
    <row r="62080" ht="26.25" customHeight="1"/>
    <row r="62081" ht="26.25" customHeight="1"/>
    <row r="62082" ht="26.25" customHeight="1"/>
    <row r="62083" ht="26.25" customHeight="1"/>
    <row r="62084" ht="26.25" customHeight="1"/>
    <row r="62085" ht="26.25" customHeight="1"/>
    <row r="62086" ht="26.25" customHeight="1"/>
    <row r="62087" ht="26.25" customHeight="1"/>
    <row r="62088" ht="26.25" customHeight="1"/>
    <row r="62089" ht="26.25" customHeight="1"/>
    <row r="62090" ht="26.25" customHeight="1"/>
    <row r="62091" ht="26.25" customHeight="1"/>
    <row r="62092" ht="26.25" customHeight="1"/>
    <row r="62093" ht="26.25" customHeight="1"/>
    <row r="62094" ht="26.25" customHeight="1"/>
    <row r="62095" ht="26.25" customHeight="1"/>
    <row r="62096" ht="26.25" customHeight="1"/>
    <row r="62097" ht="26.25" customHeight="1"/>
    <row r="62098" ht="26.25" customHeight="1"/>
    <row r="62099" ht="26.25" customHeight="1"/>
    <row r="62100" ht="26.25" customHeight="1"/>
    <row r="62101" ht="26.25" customHeight="1"/>
    <row r="62102" ht="26.25" customHeight="1"/>
    <row r="62103" ht="26.25" customHeight="1"/>
    <row r="62104" ht="26.25" customHeight="1"/>
    <row r="62105" ht="26.25" customHeight="1"/>
    <row r="62106" ht="26.25" customHeight="1"/>
    <row r="62107" ht="26.25" customHeight="1"/>
    <row r="62108" ht="26.25" customHeight="1"/>
    <row r="62109" ht="26.25" customHeight="1"/>
    <row r="62110" ht="26.25" customHeight="1"/>
    <row r="62111" ht="26.25" customHeight="1"/>
    <row r="62112" ht="26.25" customHeight="1"/>
    <row r="62113" ht="26.25" customHeight="1"/>
    <row r="62114" ht="26.25" customHeight="1"/>
    <row r="62115" ht="26.25" customHeight="1"/>
    <row r="62116" ht="26.25" customHeight="1"/>
    <row r="62117" ht="26.25" customHeight="1"/>
    <row r="62118" ht="26.25" customHeight="1"/>
    <row r="62119" ht="26.25" customHeight="1"/>
    <row r="62120" ht="26.25" customHeight="1"/>
    <row r="62121" ht="26.25" customHeight="1"/>
    <row r="62122" ht="26.25" customHeight="1"/>
    <row r="62123" ht="26.25" customHeight="1"/>
    <row r="62124" ht="26.25" customHeight="1"/>
    <row r="62125" ht="26.25" customHeight="1"/>
    <row r="62126" ht="26.25" customHeight="1"/>
    <row r="62127" ht="26.25" customHeight="1"/>
    <row r="62128" ht="26.25" customHeight="1"/>
    <row r="62129" ht="26.25" customHeight="1"/>
    <row r="62130" ht="26.25" customHeight="1"/>
    <row r="62131" ht="26.25" customHeight="1"/>
    <row r="62132" ht="26.25" customHeight="1"/>
    <row r="62133" ht="26.25" customHeight="1"/>
    <row r="62134" ht="26.25" customHeight="1"/>
    <row r="62135" ht="26.25" customHeight="1"/>
    <row r="62136" ht="26.25" customHeight="1"/>
    <row r="62137" ht="26.25" customHeight="1"/>
    <row r="62138" ht="26.25" customHeight="1"/>
    <row r="62139" ht="26.25" customHeight="1"/>
    <row r="62140" ht="26.25" customHeight="1"/>
    <row r="62141" ht="26.25" customHeight="1"/>
    <row r="62142" ht="26.25" customHeight="1"/>
    <row r="62143" ht="26.25" customHeight="1"/>
    <row r="62144" ht="26.25" customHeight="1"/>
    <row r="62145" ht="26.25" customHeight="1"/>
    <row r="62146" ht="26.25" customHeight="1"/>
    <row r="62147" ht="26.25" customHeight="1"/>
    <row r="62148" ht="26.25" customHeight="1"/>
    <row r="62149" ht="26.25" customHeight="1"/>
    <row r="62150" ht="26.25" customHeight="1"/>
    <row r="62151" ht="26.25" customHeight="1"/>
    <row r="62152" ht="26.25" customHeight="1"/>
    <row r="62153" ht="26.25" customHeight="1"/>
    <row r="62154" ht="26.25" customHeight="1"/>
    <row r="62155" ht="26.25" customHeight="1"/>
    <row r="62156" ht="26.25" customHeight="1"/>
    <row r="62157" ht="26.25" customHeight="1"/>
    <row r="62158" ht="26.25" customHeight="1"/>
    <row r="62159" ht="26.25" customHeight="1"/>
    <row r="62160" ht="26.25" customHeight="1"/>
    <row r="62161" ht="26.25" customHeight="1"/>
    <row r="62162" ht="26.25" customHeight="1"/>
    <row r="62163" ht="26.25" customHeight="1"/>
    <row r="62164" ht="26.25" customHeight="1"/>
    <row r="62165" ht="26.25" customHeight="1"/>
    <row r="62166" ht="26.25" customHeight="1"/>
    <row r="62167" ht="26.25" customHeight="1"/>
    <row r="62168" ht="26.25" customHeight="1"/>
    <row r="62169" ht="26.25" customHeight="1"/>
    <row r="62170" ht="26.25" customHeight="1"/>
    <row r="62171" ht="26.25" customHeight="1"/>
    <row r="62172" ht="26.25" customHeight="1"/>
    <row r="62173" ht="26.25" customHeight="1"/>
    <row r="62174" ht="26.25" customHeight="1"/>
    <row r="62175" ht="26.25" customHeight="1"/>
    <row r="62176" ht="26.25" customHeight="1"/>
    <row r="62177" ht="26.25" customHeight="1"/>
    <row r="62178" ht="26.25" customHeight="1"/>
    <row r="62179" ht="26.25" customHeight="1"/>
    <row r="62180" ht="26.25" customHeight="1"/>
    <row r="62181" ht="26.25" customHeight="1"/>
    <row r="62182" ht="26.25" customHeight="1"/>
    <row r="62183" ht="26.25" customHeight="1"/>
    <row r="62184" ht="26.25" customHeight="1"/>
    <row r="62185" ht="26.25" customHeight="1"/>
    <row r="62186" ht="26.25" customHeight="1"/>
    <row r="62187" ht="26.25" customHeight="1"/>
    <row r="62188" ht="26.25" customHeight="1"/>
    <row r="62189" ht="26.25" customHeight="1"/>
    <row r="62190" ht="26.25" customHeight="1"/>
    <row r="62191" ht="26.25" customHeight="1"/>
    <row r="62192" ht="26.25" customHeight="1"/>
    <row r="62193" ht="26.25" customHeight="1"/>
    <row r="62194" ht="26.25" customHeight="1"/>
    <row r="62195" ht="26.25" customHeight="1"/>
    <row r="62196" ht="26.25" customHeight="1"/>
    <row r="62197" ht="26.25" customHeight="1"/>
    <row r="62198" ht="26.25" customHeight="1"/>
    <row r="62199" ht="26.25" customHeight="1"/>
    <row r="62200" ht="26.25" customHeight="1"/>
    <row r="62201" ht="26.25" customHeight="1"/>
    <row r="62202" ht="26.25" customHeight="1"/>
    <row r="62203" ht="26.25" customHeight="1"/>
    <row r="62204" ht="26.25" customHeight="1"/>
    <row r="62205" ht="26.25" customHeight="1"/>
    <row r="62206" ht="26.25" customHeight="1"/>
    <row r="62207" ht="26.25" customHeight="1"/>
    <row r="62208" ht="26.25" customHeight="1"/>
    <row r="62209" ht="26.25" customHeight="1"/>
    <row r="62210" ht="26.25" customHeight="1"/>
    <row r="62211" ht="26.25" customHeight="1"/>
    <row r="62212" ht="26.25" customHeight="1"/>
    <row r="62213" ht="26.25" customHeight="1"/>
    <row r="62214" ht="26.25" customHeight="1"/>
    <row r="62215" ht="26.25" customHeight="1"/>
    <row r="62216" ht="26.25" customHeight="1"/>
    <row r="62217" ht="26.25" customHeight="1"/>
    <row r="62218" ht="26.25" customHeight="1"/>
    <row r="62219" ht="26.25" customHeight="1"/>
    <row r="62220" ht="26.25" customHeight="1"/>
    <row r="62221" ht="26.25" customHeight="1"/>
    <row r="62222" ht="26.25" customHeight="1"/>
    <row r="62223" ht="26.25" customHeight="1"/>
    <row r="62224" ht="26.25" customHeight="1"/>
    <row r="62225" ht="26.25" customHeight="1"/>
    <row r="62226" ht="26.25" customHeight="1"/>
    <row r="62227" ht="26.25" customHeight="1"/>
    <row r="62228" ht="26.25" customHeight="1"/>
    <row r="62229" ht="26.25" customHeight="1"/>
    <row r="62230" ht="26.25" customHeight="1"/>
    <row r="62231" ht="26.25" customHeight="1"/>
    <row r="62232" ht="26.25" customHeight="1"/>
    <row r="62233" ht="26.25" customHeight="1"/>
    <row r="62234" ht="26.25" customHeight="1"/>
    <row r="62235" ht="26.25" customHeight="1"/>
    <row r="62236" ht="26.25" customHeight="1"/>
    <row r="62237" ht="26.25" customHeight="1"/>
    <row r="62238" ht="26.25" customHeight="1"/>
    <row r="62239" ht="26.25" customHeight="1"/>
    <row r="62240" ht="26.25" customHeight="1"/>
    <row r="62241" ht="26.25" customHeight="1"/>
    <row r="62242" ht="26.25" customHeight="1"/>
    <row r="62243" ht="26.25" customHeight="1"/>
    <row r="62244" ht="26.25" customHeight="1"/>
    <row r="62245" ht="26.25" customHeight="1"/>
    <row r="62246" ht="26.25" customHeight="1"/>
    <row r="62247" ht="26.25" customHeight="1"/>
    <row r="62248" ht="26.25" customHeight="1"/>
    <row r="62249" ht="26.25" customHeight="1"/>
    <row r="62250" ht="26.25" customHeight="1"/>
    <row r="62251" ht="26.25" customHeight="1"/>
    <row r="62252" ht="26.25" customHeight="1"/>
    <row r="62253" ht="26.25" customHeight="1"/>
    <row r="62254" ht="26.25" customHeight="1"/>
    <row r="62255" ht="26.25" customHeight="1"/>
    <row r="62256" ht="26.25" customHeight="1"/>
    <row r="62257" ht="26.25" customHeight="1"/>
    <row r="62258" ht="26.25" customHeight="1"/>
    <row r="62259" ht="26.25" customHeight="1"/>
    <row r="62260" ht="26.25" customHeight="1"/>
    <row r="62261" ht="26.25" customHeight="1"/>
    <row r="62262" ht="26.25" customHeight="1"/>
    <row r="62263" ht="26.25" customHeight="1"/>
    <row r="62264" ht="26.25" customHeight="1"/>
    <row r="62265" ht="26.25" customHeight="1"/>
    <row r="62266" ht="26.25" customHeight="1"/>
    <row r="62267" ht="26.25" customHeight="1"/>
    <row r="62268" ht="26.25" customHeight="1"/>
    <row r="62269" ht="26.25" customHeight="1"/>
    <row r="62270" ht="26.25" customHeight="1"/>
    <row r="62271" ht="26.25" customHeight="1"/>
    <row r="62272" ht="26.25" customHeight="1"/>
    <row r="62273" ht="26.25" customHeight="1"/>
    <row r="62274" ht="26.25" customHeight="1"/>
    <row r="62275" ht="26.25" customHeight="1"/>
    <row r="62276" ht="26.25" customHeight="1"/>
    <row r="62277" ht="26.25" customHeight="1"/>
    <row r="62278" ht="26.25" customHeight="1"/>
    <row r="62279" ht="26.25" customHeight="1"/>
    <row r="62280" ht="26.25" customHeight="1"/>
    <row r="62281" ht="26.25" customHeight="1"/>
    <row r="62282" ht="26.25" customHeight="1"/>
    <row r="62283" ht="26.25" customHeight="1"/>
    <row r="62284" ht="26.25" customHeight="1"/>
    <row r="62285" ht="26.25" customHeight="1"/>
    <row r="62286" ht="26.25" customHeight="1"/>
    <row r="62287" ht="26.25" customHeight="1"/>
    <row r="62288" ht="26.25" customHeight="1"/>
    <row r="62289" ht="26.25" customHeight="1"/>
    <row r="62290" ht="26.25" customHeight="1"/>
    <row r="62291" ht="26.25" customHeight="1"/>
    <row r="62292" ht="26.25" customHeight="1"/>
    <row r="62293" ht="26.25" customHeight="1"/>
    <row r="62294" ht="26.25" customHeight="1"/>
    <row r="62295" ht="26.25" customHeight="1"/>
    <row r="62296" ht="26.25" customHeight="1"/>
    <row r="62297" ht="26.25" customHeight="1"/>
    <row r="62298" ht="26.25" customHeight="1"/>
    <row r="62299" ht="26.25" customHeight="1"/>
    <row r="62300" ht="26.25" customHeight="1"/>
    <row r="62301" ht="26.25" customHeight="1"/>
    <row r="62302" ht="26.25" customHeight="1"/>
    <row r="62303" ht="26.25" customHeight="1"/>
    <row r="62304" ht="26.25" customHeight="1"/>
    <row r="62305" ht="26.25" customHeight="1"/>
    <row r="62306" ht="26.25" customHeight="1"/>
    <row r="62307" ht="26.25" customHeight="1"/>
    <row r="62308" ht="26.25" customHeight="1"/>
    <row r="62309" ht="26.25" customHeight="1"/>
    <row r="62310" ht="26.25" customHeight="1"/>
    <row r="62311" ht="26.25" customHeight="1"/>
    <row r="62312" ht="26.25" customHeight="1"/>
    <row r="62313" ht="26.25" customHeight="1"/>
    <row r="62314" ht="26.25" customHeight="1"/>
    <row r="62315" ht="26.25" customHeight="1"/>
    <row r="62316" ht="26.25" customHeight="1"/>
    <row r="62317" ht="26.25" customHeight="1"/>
    <row r="62318" ht="26.25" customHeight="1"/>
    <row r="62319" ht="26.25" customHeight="1"/>
    <row r="62320" ht="26.25" customHeight="1"/>
    <row r="62321" ht="26.25" customHeight="1"/>
    <row r="62322" ht="26.25" customHeight="1"/>
    <row r="62323" ht="26.25" customHeight="1"/>
    <row r="62324" ht="26.25" customHeight="1"/>
    <row r="62325" ht="26.25" customHeight="1"/>
    <row r="62326" ht="26.25" customHeight="1"/>
    <row r="62327" ht="26.25" customHeight="1"/>
    <row r="62328" ht="26.25" customHeight="1"/>
    <row r="62329" ht="26.25" customHeight="1"/>
    <row r="62330" ht="26.25" customHeight="1"/>
    <row r="62331" ht="26.25" customHeight="1"/>
    <row r="62332" ht="26.25" customHeight="1"/>
    <row r="62333" ht="26.25" customHeight="1"/>
    <row r="62334" ht="26.25" customHeight="1"/>
    <row r="62335" ht="26.25" customHeight="1"/>
    <row r="62336" ht="26.25" customHeight="1"/>
    <row r="62337" ht="26.25" customHeight="1"/>
    <row r="62338" ht="26.25" customHeight="1"/>
    <row r="62339" ht="26.25" customHeight="1"/>
    <row r="62340" ht="26.25" customHeight="1"/>
    <row r="62341" ht="26.25" customHeight="1"/>
    <row r="62342" ht="26.25" customHeight="1"/>
    <row r="62343" ht="26.25" customHeight="1"/>
    <row r="62344" ht="26.25" customHeight="1"/>
    <row r="62345" ht="26.25" customHeight="1"/>
    <row r="62346" ht="26.25" customHeight="1"/>
    <row r="62347" ht="26.25" customHeight="1"/>
    <row r="62348" ht="26.25" customHeight="1"/>
    <row r="62349" ht="26.25" customHeight="1"/>
    <row r="62350" ht="26.25" customHeight="1"/>
    <row r="62351" ht="26.25" customHeight="1"/>
    <row r="62352" ht="26.25" customHeight="1"/>
    <row r="62353" ht="26.25" customHeight="1"/>
    <row r="62354" ht="26.25" customHeight="1"/>
    <row r="62355" ht="26.25" customHeight="1"/>
    <row r="62356" ht="26.25" customHeight="1"/>
    <row r="62357" ht="26.25" customHeight="1"/>
    <row r="62358" ht="26.25" customHeight="1"/>
    <row r="62359" ht="26.25" customHeight="1"/>
    <row r="62360" ht="26.25" customHeight="1"/>
    <row r="62361" ht="26.25" customHeight="1"/>
    <row r="62362" ht="26.25" customHeight="1"/>
    <row r="62363" ht="26.25" customHeight="1"/>
    <row r="62364" ht="26.25" customHeight="1"/>
    <row r="62365" ht="26.25" customHeight="1"/>
    <row r="62366" ht="26.25" customHeight="1"/>
    <row r="62367" ht="26.25" customHeight="1"/>
    <row r="62368" ht="26.25" customHeight="1"/>
    <row r="62369" ht="26.25" customHeight="1"/>
    <row r="62370" ht="26.25" customHeight="1"/>
    <row r="62371" ht="26.25" customHeight="1"/>
    <row r="62372" ht="26.25" customHeight="1"/>
    <row r="62373" ht="26.25" customHeight="1"/>
    <row r="62374" ht="26.25" customHeight="1"/>
    <row r="62375" ht="26.25" customHeight="1"/>
    <row r="62376" ht="26.25" customHeight="1"/>
    <row r="62377" ht="26.25" customHeight="1"/>
    <row r="62378" ht="26.25" customHeight="1"/>
    <row r="62379" ht="26.25" customHeight="1"/>
    <row r="62380" ht="26.25" customHeight="1"/>
    <row r="62381" ht="26.25" customHeight="1"/>
    <row r="62382" ht="26.25" customHeight="1"/>
    <row r="62383" ht="26.25" customHeight="1"/>
    <row r="62384" ht="26.25" customHeight="1"/>
    <row r="62385" ht="26.25" customHeight="1"/>
    <row r="62386" ht="26.25" customHeight="1"/>
    <row r="62387" ht="26.25" customHeight="1"/>
    <row r="62388" ht="26.25" customHeight="1"/>
    <row r="62389" ht="26.25" customHeight="1"/>
    <row r="62390" ht="26.25" customHeight="1"/>
    <row r="62391" ht="26.25" customHeight="1"/>
    <row r="62392" ht="26.25" customHeight="1"/>
    <row r="62393" ht="26.25" customHeight="1"/>
    <row r="62394" ht="26.25" customHeight="1"/>
    <row r="62395" ht="26.25" customHeight="1"/>
    <row r="62396" ht="26.25" customHeight="1"/>
    <row r="62397" ht="26.25" customHeight="1"/>
    <row r="62398" ht="26.25" customHeight="1"/>
    <row r="62399" ht="26.25" customHeight="1"/>
    <row r="62400" ht="26.25" customHeight="1"/>
    <row r="62401" ht="26.25" customHeight="1"/>
    <row r="62402" ht="26.25" customHeight="1"/>
    <row r="62403" ht="26.25" customHeight="1"/>
    <row r="62404" ht="26.25" customHeight="1"/>
    <row r="62405" ht="26.25" customHeight="1"/>
    <row r="62406" ht="26.25" customHeight="1"/>
    <row r="62407" ht="26.25" customHeight="1"/>
    <row r="62408" ht="26.25" customHeight="1"/>
    <row r="62409" ht="26.25" customHeight="1"/>
    <row r="62410" ht="26.25" customHeight="1"/>
    <row r="62411" ht="26.25" customHeight="1"/>
    <row r="62412" ht="26.25" customHeight="1"/>
    <row r="62413" ht="26.25" customHeight="1"/>
    <row r="62414" ht="26.25" customHeight="1"/>
    <row r="62415" ht="26.25" customHeight="1"/>
    <row r="62416" ht="26.25" customHeight="1"/>
    <row r="62417" ht="26.25" customHeight="1"/>
    <row r="62418" ht="26.25" customHeight="1"/>
    <row r="62419" ht="26.25" customHeight="1"/>
    <row r="62420" ht="26.25" customHeight="1"/>
    <row r="62421" ht="26.25" customHeight="1"/>
    <row r="62422" ht="26.25" customHeight="1"/>
    <row r="62423" ht="26.25" customHeight="1"/>
    <row r="62424" ht="26.25" customHeight="1"/>
    <row r="62425" ht="26.25" customHeight="1"/>
    <row r="62426" ht="26.25" customHeight="1"/>
    <row r="62427" ht="26.25" customHeight="1"/>
    <row r="62428" ht="26.25" customHeight="1"/>
    <row r="62429" ht="26.25" customHeight="1"/>
    <row r="62430" ht="26.25" customHeight="1"/>
    <row r="62431" ht="26.25" customHeight="1"/>
    <row r="62432" ht="26.25" customHeight="1"/>
    <row r="62433" ht="26.25" customHeight="1"/>
    <row r="62434" ht="26.25" customHeight="1"/>
    <row r="62435" ht="26.25" customHeight="1"/>
    <row r="62436" ht="26.25" customHeight="1"/>
    <row r="62437" ht="26.25" customHeight="1"/>
    <row r="62438" ht="26.25" customHeight="1"/>
    <row r="62439" ht="26.25" customHeight="1"/>
    <row r="62440" ht="26.25" customHeight="1"/>
    <row r="62441" ht="26.25" customHeight="1"/>
    <row r="62442" ht="26.25" customHeight="1"/>
    <row r="62443" ht="26.25" customHeight="1"/>
    <row r="62444" ht="26.25" customHeight="1"/>
    <row r="62445" ht="26.25" customHeight="1"/>
    <row r="62446" ht="26.25" customHeight="1"/>
    <row r="62447" ht="26.25" customHeight="1"/>
    <row r="62448" ht="26.25" customHeight="1"/>
    <row r="62449" ht="26.25" customHeight="1"/>
    <row r="62450" ht="26.25" customHeight="1"/>
    <row r="62451" ht="26.25" customHeight="1"/>
    <row r="62452" ht="26.25" customHeight="1"/>
    <row r="62453" ht="26.25" customHeight="1"/>
    <row r="62454" ht="26.25" customHeight="1"/>
    <row r="62455" ht="26.25" customHeight="1"/>
    <row r="62456" ht="26.25" customHeight="1"/>
    <row r="62457" ht="26.25" customHeight="1"/>
    <row r="62458" ht="26.25" customHeight="1"/>
    <row r="62459" ht="26.25" customHeight="1"/>
    <row r="62460" ht="26.25" customHeight="1"/>
    <row r="62461" ht="26.25" customHeight="1"/>
    <row r="62462" ht="26.25" customHeight="1"/>
    <row r="62463" ht="26.25" customHeight="1"/>
    <row r="62464" ht="26.25" customHeight="1"/>
    <row r="62465" ht="26.25" customHeight="1"/>
    <row r="62466" ht="26.25" customHeight="1"/>
    <row r="62467" ht="26.25" customHeight="1"/>
    <row r="62468" ht="26.25" customHeight="1"/>
    <row r="62469" ht="26.25" customHeight="1"/>
    <row r="62470" ht="26.25" customHeight="1"/>
    <row r="62471" ht="26.25" customHeight="1"/>
    <row r="62472" ht="26.25" customHeight="1"/>
    <row r="62473" ht="26.25" customHeight="1"/>
    <row r="62474" ht="26.25" customHeight="1"/>
    <row r="62475" ht="26.25" customHeight="1"/>
    <row r="62476" ht="26.25" customHeight="1"/>
    <row r="62477" ht="26.25" customHeight="1"/>
    <row r="62478" ht="26.25" customHeight="1"/>
    <row r="62479" ht="26.25" customHeight="1"/>
    <row r="62480" ht="26.25" customHeight="1"/>
    <row r="62481" ht="26.25" customHeight="1"/>
    <row r="62482" ht="26.25" customHeight="1"/>
    <row r="62483" ht="26.25" customHeight="1"/>
    <row r="62484" ht="26.25" customHeight="1"/>
    <row r="62485" ht="26.25" customHeight="1"/>
    <row r="62486" ht="26.25" customHeight="1"/>
    <row r="62487" ht="26.25" customHeight="1"/>
    <row r="62488" ht="26.25" customHeight="1"/>
    <row r="62489" ht="26.25" customHeight="1"/>
    <row r="62490" ht="26.25" customHeight="1"/>
    <row r="62491" ht="26.25" customHeight="1"/>
    <row r="62492" ht="26.25" customHeight="1"/>
    <row r="62493" ht="26.25" customHeight="1"/>
    <row r="62494" ht="26.25" customHeight="1"/>
    <row r="62495" ht="26.25" customHeight="1"/>
    <row r="62496" ht="26.25" customHeight="1"/>
    <row r="62497" ht="26.25" customHeight="1"/>
    <row r="62498" ht="26.25" customHeight="1"/>
    <row r="62499" ht="26.25" customHeight="1"/>
    <row r="62500" ht="26.25" customHeight="1"/>
    <row r="62501" ht="26.25" customHeight="1"/>
    <row r="62502" ht="26.25" customHeight="1"/>
    <row r="62503" ht="26.25" customHeight="1"/>
    <row r="62504" ht="26.25" customHeight="1"/>
    <row r="62505" ht="26.25" customHeight="1"/>
    <row r="62506" ht="26.25" customHeight="1"/>
    <row r="62507" ht="26.25" customHeight="1"/>
    <row r="62508" ht="26.25" customHeight="1"/>
    <row r="62509" ht="26.25" customHeight="1"/>
    <row r="62510" ht="26.25" customHeight="1"/>
    <row r="62511" ht="26.25" customHeight="1"/>
    <row r="62512" ht="26.25" customHeight="1"/>
    <row r="62513" ht="26.25" customHeight="1"/>
    <row r="62514" ht="26.25" customHeight="1"/>
    <row r="62515" ht="26.25" customHeight="1"/>
    <row r="62516" ht="26.25" customHeight="1"/>
    <row r="62517" ht="26.25" customHeight="1"/>
    <row r="62518" ht="26.25" customHeight="1"/>
    <row r="62519" ht="26.25" customHeight="1"/>
    <row r="62520" ht="26.25" customHeight="1"/>
    <row r="62521" ht="26.25" customHeight="1"/>
    <row r="62522" ht="26.25" customHeight="1"/>
    <row r="62523" ht="26.25" customHeight="1"/>
    <row r="62524" ht="26.25" customHeight="1"/>
    <row r="62525" ht="26.25" customHeight="1"/>
    <row r="62526" ht="26.25" customHeight="1"/>
    <row r="62527" ht="26.25" customHeight="1"/>
    <row r="62528" ht="26.25" customHeight="1"/>
    <row r="62529" ht="26.25" customHeight="1"/>
    <row r="62530" ht="26.25" customHeight="1"/>
    <row r="62531" ht="26.25" customHeight="1"/>
    <row r="62532" ht="26.25" customHeight="1"/>
    <row r="62533" ht="26.25" customHeight="1"/>
    <row r="62534" ht="26.25" customHeight="1"/>
    <row r="62535" ht="26.25" customHeight="1"/>
    <row r="62536" ht="26.25" customHeight="1"/>
    <row r="62537" ht="26.25" customHeight="1"/>
    <row r="62538" ht="26.25" customHeight="1"/>
    <row r="62539" ht="26.25" customHeight="1"/>
    <row r="62540" ht="26.25" customHeight="1"/>
    <row r="62541" ht="26.25" customHeight="1"/>
    <row r="62542" ht="26.25" customHeight="1"/>
    <row r="62543" ht="26.25" customHeight="1"/>
    <row r="62544" ht="26.25" customHeight="1"/>
    <row r="62545" ht="26.25" customHeight="1"/>
    <row r="62546" ht="26.25" customHeight="1"/>
    <row r="62547" ht="26.25" customHeight="1"/>
    <row r="62548" ht="26.25" customHeight="1"/>
    <row r="62549" ht="26.25" customHeight="1"/>
    <row r="62550" ht="26.25" customHeight="1"/>
    <row r="62551" ht="26.25" customHeight="1"/>
    <row r="62552" ht="26.25" customHeight="1"/>
    <row r="62553" ht="26.25" customHeight="1"/>
    <row r="62554" ht="26.25" customHeight="1"/>
    <row r="62555" ht="26.25" customHeight="1"/>
    <row r="62556" ht="26.25" customHeight="1"/>
    <row r="62557" ht="26.25" customHeight="1"/>
    <row r="62558" ht="26.25" customHeight="1"/>
    <row r="62559" ht="26.25" customHeight="1"/>
    <row r="62560" ht="26.25" customHeight="1"/>
    <row r="62561" ht="26.25" customHeight="1"/>
    <row r="62562" ht="26.25" customHeight="1"/>
    <row r="62563" ht="26.25" customHeight="1"/>
    <row r="62564" ht="26.25" customHeight="1"/>
    <row r="62565" ht="26.25" customHeight="1"/>
    <row r="62566" ht="26.25" customHeight="1"/>
    <row r="62567" ht="26.25" customHeight="1"/>
    <row r="62568" ht="26.25" customHeight="1"/>
    <row r="62569" ht="26.25" customHeight="1"/>
    <row r="62570" ht="26.25" customHeight="1"/>
    <row r="62571" ht="26.25" customHeight="1"/>
    <row r="62572" ht="26.25" customHeight="1"/>
    <row r="62573" ht="26.25" customHeight="1"/>
    <row r="62574" ht="26.25" customHeight="1"/>
    <row r="62575" ht="26.25" customHeight="1"/>
    <row r="62576" ht="26.25" customHeight="1"/>
    <row r="62577" ht="26.25" customHeight="1"/>
    <row r="62578" ht="26.25" customHeight="1"/>
    <row r="62579" ht="26.25" customHeight="1"/>
    <row r="62580" ht="26.25" customHeight="1"/>
    <row r="62581" ht="26.25" customHeight="1"/>
    <row r="62582" ht="26.25" customHeight="1"/>
    <row r="62583" ht="26.25" customHeight="1"/>
    <row r="62584" ht="26.25" customHeight="1"/>
    <row r="62585" ht="26.25" customHeight="1"/>
    <row r="62586" ht="26.25" customHeight="1"/>
    <row r="62587" ht="26.25" customHeight="1"/>
    <row r="62588" ht="26.25" customHeight="1"/>
    <row r="62589" ht="26.25" customHeight="1"/>
    <row r="62590" ht="26.25" customHeight="1"/>
    <row r="62591" ht="26.25" customHeight="1"/>
    <row r="62592" ht="26.25" customHeight="1"/>
    <row r="62593" ht="26.25" customHeight="1"/>
    <row r="62594" ht="26.25" customHeight="1"/>
    <row r="62595" ht="26.25" customHeight="1"/>
    <row r="62596" ht="26.25" customHeight="1"/>
    <row r="62597" ht="26.25" customHeight="1"/>
    <row r="62598" ht="26.25" customHeight="1"/>
    <row r="62599" ht="26.25" customHeight="1"/>
    <row r="62600" ht="26.25" customHeight="1"/>
    <row r="62601" ht="26.25" customHeight="1"/>
    <row r="62602" ht="26.25" customHeight="1"/>
    <row r="62603" ht="26.25" customHeight="1"/>
    <row r="62604" ht="26.25" customHeight="1"/>
    <row r="62605" ht="26.25" customHeight="1"/>
    <row r="62606" ht="26.25" customHeight="1"/>
    <row r="62607" ht="26.25" customHeight="1"/>
    <row r="62608" ht="26.25" customHeight="1"/>
    <row r="62609" ht="26.25" customHeight="1"/>
    <row r="62610" ht="26.25" customHeight="1"/>
    <row r="62611" ht="26.25" customHeight="1"/>
    <row r="62612" ht="26.25" customHeight="1"/>
    <row r="62613" ht="26.25" customHeight="1"/>
    <row r="62614" ht="26.25" customHeight="1"/>
    <row r="62615" ht="26.25" customHeight="1"/>
    <row r="62616" ht="26.25" customHeight="1"/>
    <row r="62617" ht="26.25" customHeight="1"/>
    <row r="62618" ht="26.25" customHeight="1"/>
    <row r="62619" ht="26.25" customHeight="1"/>
    <row r="62620" ht="26.25" customHeight="1"/>
    <row r="62621" ht="26.25" customHeight="1"/>
    <row r="62622" ht="26.25" customHeight="1"/>
    <row r="62623" ht="26.25" customHeight="1"/>
    <row r="62624" ht="26.25" customHeight="1"/>
    <row r="62625" ht="26.25" customHeight="1"/>
    <row r="62626" ht="26.25" customHeight="1"/>
    <row r="62627" ht="26.25" customHeight="1"/>
    <row r="62628" ht="26.25" customHeight="1"/>
    <row r="62629" ht="26.25" customHeight="1"/>
    <row r="62630" ht="26.25" customHeight="1"/>
    <row r="62631" ht="26.25" customHeight="1"/>
    <row r="62632" ht="26.25" customHeight="1"/>
    <row r="62633" ht="26.25" customHeight="1"/>
    <row r="62634" ht="26.25" customHeight="1"/>
    <row r="62635" ht="26.25" customHeight="1"/>
    <row r="62636" ht="26.25" customHeight="1"/>
    <row r="62637" ht="26.25" customHeight="1"/>
    <row r="62638" ht="26.25" customHeight="1"/>
    <row r="62639" ht="26.25" customHeight="1"/>
    <row r="62640" ht="26.25" customHeight="1"/>
    <row r="62641" ht="26.25" customHeight="1"/>
    <row r="62642" ht="26.25" customHeight="1"/>
    <row r="62643" ht="26.25" customHeight="1"/>
    <row r="62644" ht="26.25" customHeight="1"/>
    <row r="62645" ht="26.25" customHeight="1"/>
    <row r="62646" ht="26.25" customHeight="1"/>
    <row r="62647" ht="26.25" customHeight="1"/>
    <row r="62648" ht="26.25" customHeight="1"/>
    <row r="62649" ht="26.25" customHeight="1"/>
    <row r="62650" ht="26.25" customHeight="1"/>
    <row r="62651" ht="26.25" customHeight="1"/>
    <row r="62652" ht="26.25" customHeight="1"/>
    <row r="62653" ht="26.25" customHeight="1"/>
    <row r="62654" ht="26.25" customHeight="1"/>
    <row r="62655" ht="26.25" customHeight="1"/>
    <row r="62656" ht="26.25" customHeight="1"/>
    <row r="62657" ht="26.25" customHeight="1"/>
    <row r="62658" ht="26.25" customHeight="1"/>
    <row r="62659" ht="26.25" customHeight="1"/>
    <row r="62660" ht="26.25" customHeight="1"/>
    <row r="62661" ht="26.25" customHeight="1"/>
    <row r="62662" ht="26.25" customHeight="1"/>
    <row r="62663" ht="26.25" customHeight="1"/>
    <row r="62664" ht="26.25" customHeight="1"/>
    <row r="62665" ht="26.25" customHeight="1"/>
    <row r="62666" ht="26.25" customHeight="1"/>
    <row r="62667" ht="26.25" customHeight="1"/>
    <row r="62668" ht="26.25" customHeight="1"/>
    <row r="62669" ht="26.25" customHeight="1"/>
    <row r="62670" ht="26.25" customHeight="1"/>
    <row r="62671" ht="26.25" customHeight="1"/>
    <row r="62672" ht="26.25" customHeight="1"/>
    <row r="62673" ht="26.25" customHeight="1"/>
    <row r="62674" ht="26.25" customHeight="1"/>
    <row r="62675" ht="26.25" customHeight="1"/>
    <row r="62676" ht="26.25" customHeight="1"/>
    <row r="62677" ht="26.25" customHeight="1"/>
    <row r="62678" ht="26.25" customHeight="1"/>
    <row r="62679" ht="26.25" customHeight="1"/>
    <row r="62680" ht="26.25" customHeight="1"/>
    <row r="62681" ht="26.25" customHeight="1"/>
    <row r="62682" ht="26.25" customHeight="1"/>
    <row r="62683" ht="26.25" customHeight="1"/>
    <row r="62684" ht="26.25" customHeight="1"/>
    <row r="62685" ht="26.25" customHeight="1"/>
    <row r="62686" ht="26.25" customHeight="1"/>
    <row r="62687" ht="26.25" customHeight="1"/>
    <row r="62688" ht="26.25" customHeight="1"/>
    <row r="62689" ht="26.25" customHeight="1"/>
    <row r="62690" ht="26.25" customHeight="1"/>
    <row r="62691" ht="26.25" customHeight="1"/>
    <row r="62692" ht="26.25" customHeight="1"/>
    <row r="62693" ht="26.25" customHeight="1"/>
    <row r="62694" ht="26.25" customHeight="1"/>
    <row r="62695" ht="26.25" customHeight="1"/>
    <row r="62696" ht="26.25" customHeight="1"/>
    <row r="62697" ht="26.25" customHeight="1"/>
    <row r="62698" ht="26.25" customHeight="1"/>
    <row r="62699" ht="26.25" customHeight="1"/>
    <row r="62700" ht="26.25" customHeight="1"/>
    <row r="62701" ht="26.25" customHeight="1"/>
    <row r="62702" ht="26.25" customHeight="1"/>
    <row r="62703" ht="26.25" customHeight="1"/>
    <row r="62704" ht="26.25" customHeight="1"/>
    <row r="62705" ht="26.25" customHeight="1"/>
    <row r="62706" ht="26.25" customHeight="1"/>
    <row r="62707" ht="26.25" customHeight="1"/>
    <row r="62708" ht="26.25" customHeight="1"/>
    <row r="62709" ht="26.25" customHeight="1"/>
    <row r="62710" ht="26.25" customHeight="1"/>
    <row r="62711" ht="26.25" customHeight="1"/>
    <row r="62712" ht="26.25" customHeight="1"/>
    <row r="62713" ht="26.25" customHeight="1"/>
    <row r="62714" ht="26.25" customHeight="1"/>
    <row r="62715" ht="26.25" customHeight="1"/>
    <row r="62716" ht="26.25" customHeight="1"/>
    <row r="62717" ht="26.25" customHeight="1"/>
    <row r="62718" ht="26.25" customHeight="1"/>
    <row r="62719" ht="26.25" customHeight="1"/>
    <row r="62720" ht="26.25" customHeight="1"/>
    <row r="62721" ht="26.25" customHeight="1"/>
    <row r="62722" ht="26.25" customHeight="1"/>
    <row r="62723" ht="26.25" customHeight="1"/>
    <row r="62724" ht="26.25" customHeight="1"/>
    <row r="62725" ht="26.25" customHeight="1"/>
    <row r="62726" ht="26.25" customHeight="1"/>
    <row r="62727" ht="26.25" customHeight="1"/>
    <row r="62728" ht="26.25" customHeight="1"/>
    <row r="62729" ht="26.25" customHeight="1"/>
    <row r="62730" ht="26.25" customHeight="1"/>
    <row r="62731" ht="26.25" customHeight="1"/>
    <row r="62732" ht="26.25" customHeight="1"/>
    <row r="62733" ht="26.25" customHeight="1"/>
    <row r="62734" ht="26.25" customHeight="1"/>
    <row r="62735" ht="26.25" customHeight="1"/>
    <row r="62736" ht="26.25" customHeight="1"/>
    <row r="62737" ht="26.25" customHeight="1"/>
    <row r="62738" ht="26.25" customHeight="1"/>
    <row r="62739" ht="26.25" customHeight="1"/>
    <row r="62740" ht="26.25" customHeight="1"/>
    <row r="62741" ht="26.25" customHeight="1"/>
    <row r="62742" ht="26.25" customHeight="1"/>
    <row r="62743" ht="26.25" customHeight="1"/>
    <row r="62744" ht="26.25" customHeight="1"/>
    <row r="62745" ht="26.25" customHeight="1"/>
    <row r="62746" ht="26.25" customHeight="1"/>
    <row r="62747" ht="26.25" customHeight="1"/>
    <row r="62748" ht="26.25" customHeight="1"/>
    <row r="62749" ht="26.25" customHeight="1"/>
    <row r="62750" ht="26.25" customHeight="1"/>
    <row r="62751" ht="26.25" customHeight="1"/>
    <row r="62752" ht="26.25" customHeight="1"/>
    <row r="62753" ht="26.25" customHeight="1"/>
    <row r="62754" ht="26.25" customHeight="1"/>
    <row r="62755" ht="26.25" customHeight="1"/>
    <row r="62756" ht="26.25" customHeight="1"/>
    <row r="62757" ht="26.25" customHeight="1"/>
    <row r="62758" ht="26.25" customHeight="1"/>
    <row r="62759" ht="26.25" customHeight="1"/>
    <row r="62760" ht="26.25" customHeight="1"/>
    <row r="62761" ht="26.25" customHeight="1"/>
    <row r="62762" ht="26.25" customHeight="1"/>
    <row r="62763" ht="26.25" customHeight="1"/>
    <row r="62764" ht="26.25" customHeight="1"/>
    <row r="62765" ht="26.25" customHeight="1"/>
    <row r="62766" ht="26.25" customHeight="1"/>
    <row r="62767" ht="26.25" customHeight="1"/>
    <row r="62768" ht="26.25" customHeight="1"/>
    <row r="62769" ht="26.25" customHeight="1"/>
    <row r="62770" ht="26.25" customHeight="1"/>
    <row r="62771" ht="26.25" customHeight="1"/>
    <row r="62772" ht="26.25" customHeight="1"/>
    <row r="62773" ht="26.25" customHeight="1"/>
    <row r="62774" ht="26.25" customHeight="1"/>
    <row r="62775" ht="26.25" customHeight="1"/>
    <row r="62776" ht="26.25" customHeight="1"/>
    <row r="62777" ht="26.25" customHeight="1"/>
    <row r="62778" ht="26.25" customHeight="1"/>
    <row r="62779" ht="26.25" customHeight="1"/>
    <row r="62780" ht="26.25" customHeight="1"/>
    <row r="62781" ht="26.25" customHeight="1"/>
    <row r="62782" ht="26.25" customHeight="1"/>
    <row r="62783" ht="26.25" customHeight="1"/>
    <row r="62784" ht="26.25" customHeight="1"/>
    <row r="62785" ht="26.25" customHeight="1"/>
    <row r="62786" ht="26.25" customHeight="1"/>
    <row r="62787" ht="26.25" customHeight="1"/>
    <row r="62788" ht="26.25" customHeight="1"/>
    <row r="62789" ht="26.25" customHeight="1"/>
    <row r="62790" ht="26.25" customHeight="1"/>
    <row r="62791" ht="26.25" customHeight="1"/>
    <row r="62792" ht="26.25" customHeight="1"/>
    <row r="62793" ht="26.25" customHeight="1"/>
    <row r="62794" ht="26.25" customHeight="1"/>
    <row r="62795" ht="26.25" customHeight="1"/>
    <row r="62796" ht="26.25" customHeight="1"/>
    <row r="62797" ht="26.25" customHeight="1"/>
    <row r="62798" ht="26.25" customHeight="1"/>
    <row r="62799" ht="26.25" customHeight="1"/>
    <row r="62800" ht="26.25" customHeight="1"/>
    <row r="62801" ht="26.25" customHeight="1"/>
    <row r="62802" ht="26.25" customHeight="1"/>
    <row r="62803" ht="26.25" customHeight="1"/>
    <row r="62804" ht="26.25" customHeight="1"/>
    <row r="62805" ht="26.25" customHeight="1"/>
    <row r="62806" ht="26.25" customHeight="1"/>
    <row r="62807" ht="26.25" customHeight="1"/>
    <row r="62808" ht="26.25" customHeight="1"/>
    <row r="62809" ht="26.25" customHeight="1"/>
    <row r="62810" ht="26.25" customHeight="1"/>
    <row r="62811" ht="26.25" customHeight="1"/>
    <row r="62812" ht="26.25" customHeight="1"/>
    <row r="62813" ht="26.25" customHeight="1"/>
    <row r="62814" ht="26.25" customHeight="1"/>
    <row r="62815" ht="26.25" customHeight="1"/>
    <row r="62816" ht="26.25" customHeight="1"/>
    <row r="62817" ht="26.25" customHeight="1"/>
    <row r="62818" ht="26.25" customHeight="1"/>
    <row r="62819" ht="26.25" customHeight="1"/>
    <row r="62820" ht="26.25" customHeight="1"/>
    <row r="62821" ht="26.25" customHeight="1"/>
    <row r="62822" ht="26.25" customHeight="1"/>
    <row r="62823" ht="26.25" customHeight="1"/>
    <row r="62824" ht="26.25" customHeight="1"/>
    <row r="62825" ht="26.25" customHeight="1"/>
    <row r="62826" ht="26.25" customHeight="1"/>
    <row r="62827" ht="26.25" customHeight="1"/>
    <row r="62828" ht="26.25" customHeight="1"/>
    <row r="62829" ht="26.25" customHeight="1"/>
    <row r="62830" ht="26.25" customHeight="1"/>
    <row r="62831" ht="26.25" customHeight="1"/>
    <row r="62832" ht="26.25" customHeight="1"/>
    <row r="62833" ht="26.25" customHeight="1"/>
    <row r="62834" ht="26.25" customHeight="1"/>
    <row r="62835" ht="26.25" customHeight="1"/>
    <row r="62836" ht="26.25" customHeight="1"/>
    <row r="62837" ht="26.25" customHeight="1"/>
    <row r="62838" ht="26.25" customHeight="1"/>
    <row r="62839" ht="26.25" customHeight="1"/>
    <row r="62840" ht="26.25" customHeight="1"/>
    <row r="62841" ht="26.25" customHeight="1"/>
    <row r="62842" ht="26.25" customHeight="1"/>
    <row r="62843" ht="26.25" customHeight="1"/>
    <row r="62844" ht="26.25" customHeight="1"/>
    <row r="62845" ht="26.25" customHeight="1"/>
    <row r="62846" ht="26.25" customHeight="1"/>
    <row r="62847" ht="26.25" customHeight="1"/>
    <row r="62848" ht="26.25" customHeight="1"/>
    <row r="62849" ht="26.25" customHeight="1"/>
    <row r="62850" ht="26.25" customHeight="1"/>
    <row r="62851" ht="26.25" customHeight="1"/>
    <row r="62852" ht="26.25" customHeight="1"/>
    <row r="62853" ht="26.25" customHeight="1"/>
    <row r="62854" ht="26.25" customHeight="1"/>
    <row r="62855" ht="26.25" customHeight="1"/>
    <row r="62856" ht="26.25" customHeight="1"/>
    <row r="62857" ht="26.25" customHeight="1"/>
    <row r="62858" ht="26.25" customHeight="1"/>
    <row r="62859" ht="26.25" customHeight="1"/>
    <row r="62860" ht="26.25" customHeight="1"/>
    <row r="62861" ht="26.25" customHeight="1"/>
    <row r="62862" ht="26.25" customHeight="1"/>
    <row r="62863" ht="26.25" customHeight="1"/>
    <row r="62864" ht="26.25" customHeight="1"/>
    <row r="62865" ht="26.25" customHeight="1"/>
    <row r="62866" ht="26.25" customHeight="1"/>
    <row r="62867" ht="26.25" customHeight="1"/>
    <row r="62868" ht="26.25" customHeight="1"/>
    <row r="62869" ht="26.25" customHeight="1"/>
    <row r="62870" ht="26.25" customHeight="1"/>
    <row r="62871" ht="26.25" customHeight="1"/>
    <row r="62872" ht="26.25" customHeight="1"/>
    <row r="62873" ht="26.25" customHeight="1"/>
    <row r="62874" ht="26.25" customHeight="1"/>
    <row r="62875" ht="26.25" customHeight="1"/>
    <row r="62876" ht="26.25" customHeight="1"/>
    <row r="62877" ht="26.25" customHeight="1"/>
    <row r="62878" ht="26.25" customHeight="1"/>
    <row r="62879" ht="26.25" customHeight="1"/>
    <row r="62880" ht="26.25" customHeight="1"/>
    <row r="62881" ht="26.25" customHeight="1"/>
    <row r="62882" ht="26.25" customHeight="1"/>
    <row r="62883" ht="26.25" customHeight="1"/>
    <row r="62884" ht="26.25" customHeight="1"/>
    <row r="62885" ht="26.25" customHeight="1"/>
    <row r="62886" ht="26.25" customHeight="1"/>
    <row r="62887" ht="26.25" customHeight="1"/>
    <row r="62888" ht="26.25" customHeight="1"/>
    <row r="62889" ht="26.25" customHeight="1"/>
    <row r="62890" ht="26.25" customHeight="1"/>
    <row r="62891" ht="26.25" customHeight="1"/>
    <row r="62892" ht="26.25" customHeight="1"/>
    <row r="62893" ht="26.25" customHeight="1"/>
    <row r="62894" ht="26.25" customHeight="1"/>
    <row r="62895" ht="26.25" customHeight="1"/>
    <row r="62896" ht="26.25" customHeight="1"/>
    <row r="62897" ht="26.25" customHeight="1"/>
    <row r="62898" ht="26.25" customHeight="1"/>
    <row r="62899" ht="26.25" customHeight="1"/>
    <row r="62900" ht="26.25" customHeight="1"/>
    <row r="62901" ht="26.25" customHeight="1"/>
    <row r="62902" ht="26.25" customHeight="1"/>
    <row r="62903" ht="26.25" customHeight="1"/>
    <row r="62904" ht="26.25" customHeight="1"/>
    <row r="62905" ht="26.25" customHeight="1"/>
    <row r="62906" ht="26.25" customHeight="1"/>
    <row r="62907" ht="26.25" customHeight="1"/>
    <row r="62908" ht="26.25" customHeight="1"/>
    <row r="62909" ht="26.25" customHeight="1"/>
    <row r="62910" ht="26.25" customHeight="1"/>
    <row r="62911" ht="26.25" customHeight="1"/>
    <row r="62912" ht="26.25" customHeight="1"/>
    <row r="62913" ht="26.25" customHeight="1"/>
    <row r="62914" ht="26.25" customHeight="1"/>
    <row r="62915" ht="26.25" customHeight="1"/>
    <row r="62916" ht="26.25" customHeight="1"/>
    <row r="62917" ht="26.25" customHeight="1"/>
    <row r="62918" ht="26.25" customHeight="1"/>
    <row r="62919" ht="26.25" customHeight="1"/>
    <row r="62920" ht="26.25" customHeight="1"/>
    <row r="62921" ht="26.25" customHeight="1"/>
    <row r="62922" ht="26.25" customHeight="1"/>
    <row r="62923" ht="26.25" customHeight="1"/>
    <row r="62924" ht="26.25" customHeight="1"/>
    <row r="62925" ht="26.25" customHeight="1"/>
    <row r="62926" ht="26.25" customHeight="1"/>
    <row r="62927" ht="26.25" customHeight="1"/>
    <row r="62928" ht="26.25" customHeight="1"/>
    <row r="62929" ht="26.25" customHeight="1"/>
    <row r="62930" ht="26.25" customHeight="1"/>
    <row r="62931" ht="26.25" customHeight="1"/>
    <row r="62932" ht="26.25" customHeight="1"/>
    <row r="62933" ht="26.25" customHeight="1"/>
    <row r="62934" ht="26.25" customHeight="1"/>
    <row r="62935" ht="26.25" customHeight="1"/>
    <row r="62936" ht="26.25" customHeight="1"/>
    <row r="62937" ht="26.25" customHeight="1"/>
    <row r="62938" ht="26.25" customHeight="1"/>
    <row r="62939" ht="26.25" customHeight="1"/>
    <row r="62940" ht="26.25" customHeight="1"/>
    <row r="62941" ht="26.25" customHeight="1"/>
    <row r="62942" ht="26.25" customHeight="1"/>
    <row r="62943" ht="26.25" customHeight="1"/>
    <row r="62944" ht="26.25" customHeight="1"/>
    <row r="62945" ht="26.25" customHeight="1"/>
    <row r="62946" ht="26.25" customHeight="1"/>
    <row r="62947" ht="26.25" customHeight="1"/>
    <row r="62948" ht="26.25" customHeight="1"/>
    <row r="62949" ht="26.25" customHeight="1"/>
    <row r="62950" ht="26.25" customHeight="1"/>
    <row r="62951" ht="26.25" customHeight="1"/>
    <row r="62952" ht="26.25" customHeight="1"/>
    <row r="62953" ht="26.25" customHeight="1"/>
    <row r="62954" ht="26.25" customHeight="1"/>
    <row r="62955" ht="26.25" customHeight="1"/>
    <row r="62956" ht="26.25" customHeight="1"/>
    <row r="62957" ht="26.25" customHeight="1"/>
    <row r="62958" ht="26.25" customHeight="1"/>
    <row r="62959" ht="26.25" customHeight="1"/>
    <row r="62960" ht="26.25" customHeight="1"/>
    <row r="62961" ht="26.25" customHeight="1"/>
    <row r="62962" ht="26.25" customHeight="1"/>
    <row r="62963" ht="26.25" customHeight="1"/>
    <row r="62964" ht="26.25" customHeight="1"/>
    <row r="62965" ht="26.25" customHeight="1"/>
    <row r="62966" ht="26.25" customHeight="1"/>
    <row r="62967" ht="26.25" customHeight="1"/>
    <row r="62968" ht="26.25" customHeight="1"/>
    <row r="62969" ht="26.25" customHeight="1"/>
    <row r="62970" ht="26.25" customHeight="1"/>
    <row r="62971" ht="26.25" customHeight="1"/>
    <row r="62972" ht="26.25" customHeight="1"/>
    <row r="62973" ht="26.25" customHeight="1"/>
    <row r="62974" ht="26.25" customHeight="1"/>
    <row r="62975" ht="26.25" customHeight="1"/>
    <row r="62976" ht="26.25" customHeight="1"/>
    <row r="62977" ht="26.25" customHeight="1"/>
    <row r="62978" ht="26.25" customHeight="1"/>
    <row r="62979" ht="26.25" customHeight="1"/>
    <row r="62980" ht="26.25" customHeight="1"/>
    <row r="62981" ht="26.25" customHeight="1"/>
    <row r="62982" ht="26.25" customHeight="1"/>
    <row r="62983" ht="26.25" customHeight="1"/>
    <row r="62984" ht="26.25" customHeight="1"/>
    <row r="62985" ht="26.25" customHeight="1"/>
    <row r="62986" ht="26.25" customHeight="1"/>
    <row r="62987" ht="26.25" customHeight="1"/>
    <row r="62988" ht="26.25" customHeight="1"/>
    <row r="62989" ht="26.25" customHeight="1"/>
    <row r="62990" ht="26.25" customHeight="1"/>
    <row r="62991" ht="26.25" customHeight="1"/>
    <row r="62992" ht="26.25" customHeight="1"/>
    <row r="62993" ht="26.25" customHeight="1"/>
    <row r="62994" ht="26.25" customHeight="1"/>
    <row r="62995" ht="26.25" customHeight="1"/>
    <row r="62996" ht="26.25" customHeight="1"/>
    <row r="62997" ht="26.25" customHeight="1"/>
    <row r="62998" ht="26.25" customHeight="1"/>
    <row r="62999" ht="26.25" customHeight="1"/>
    <row r="63000" ht="26.25" customHeight="1"/>
    <row r="63001" ht="26.25" customHeight="1"/>
    <row r="63002" ht="26.25" customHeight="1"/>
    <row r="63003" ht="26.25" customHeight="1"/>
    <row r="63004" ht="26.25" customHeight="1"/>
    <row r="63005" ht="26.25" customHeight="1"/>
    <row r="63006" ht="26.25" customHeight="1"/>
    <row r="63007" ht="26.25" customHeight="1"/>
    <row r="63008" ht="26.25" customHeight="1"/>
    <row r="63009" ht="26.25" customHeight="1"/>
    <row r="63010" ht="26.25" customHeight="1"/>
    <row r="63011" ht="26.25" customHeight="1"/>
    <row r="63012" ht="26.25" customHeight="1"/>
    <row r="63013" ht="26.25" customHeight="1"/>
    <row r="63014" ht="26.25" customHeight="1"/>
    <row r="63015" ht="26.25" customHeight="1"/>
    <row r="63016" ht="26.25" customHeight="1"/>
    <row r="63017" ht="26.25" customHeight="1"/>
    <row r="63018" ht="26.25" customHeight="1"/>
    <row r="63019" ht="26.25" customHeight="1"/>
    <row r="63020" ht="26.25" customHeight="1"/>
    <row r="63021" ht="26.25" customHeight="1"/>
    <row r="63022" ht="26.25" customHeight="1"/>
    <row r="63023" ht="26.25" customHeight="1"/>
    <row r="63024" ht="26.25" customHeight="1"/>
    <row r="63025" ht="26.25" customHeight="1"/>
    <row r="63026" ht="26.25" customHeight="1"/>
    <row r="63027" ht="26.25" customHeight="1"/>
    <row r="63028" ht="26.25" customHeight="1"/>
    <row r="63029" ht="26.25" customHeight="1"/>
    <row r="63030" ht="26.25" customHeight="1"/>
    <row r="63031" ht="26.25" customHeight="1"/>
    <row r="63032" ht="26.25" customHeight="1"/>
    <row r="63033" ht="26.25" customHeight="1"/>
    <row r="63034" ht="26.25" customHeight="1"/>
    <row r="63035" ht="26.25" customHeight="1"/>
    <row r="63036" ht="26.25" customHeight="1"/>
    <row r="63037" ht="26.25" customHeight="1"/>
    <row r="63038" ht="26.25" customHeight="1"/>
    <row r="63039" ht="26.25" customHeight="1"/>
    <row r="63040" ht="26.25" customHeight="1"/>
    <row r="63041" ht="26.25" customHeight="1"/>
    <row r="63042" ht="26.25" customHeight="1"/>
    <row r="63043" ht="26.25" customHeight="1"/>
    <row r="63044" ht="26.25" customHeight="1"/>
    <row r="63045" ht="26.25" customHeight="1"/>
    <row r="63046" ht="26.25" customHeight="1"/>
    <row r="63047" ht="26.25" customHeight="1"/>
    <row r="63048" ht="26.25" customHeight="1"/>
    <row r="63049" ht="26.25" customHeight="1"/>
    <row r="63050" ht="26.25" customHeight="1"/>
    <row r="63051" ht="26.25" customHeight="1"/>
    <row r="63052" ht="26.25" customHeight="1"/>
    <row r="63053" ht="26.25" customHeight="1"/>
    <row r="63054" ht="26.25" customHeight="1"/>
    <row r="63055" ht="26.25" customHeight="1"/>
    <row r="63056" ht="26.25" customHeight="1"/>
    <row r="63057" ht="26.25" customHeight="1"/>
    <row r="63058" ht="26.25" customHeight="1"/>
    <row r="63059" ht="26.25" customHeight="1"/>
    <row r="63060" ht="26.25" customHeight="1"/>
    <row r="63061" ht="26.25" customHeight="1"/>
    <row r="63062" ht="26.25" customHeight="1"/>
    <row r="63063" ht="26.25" customHeight="1"/>
    <row r="63064" ht="26.25" customHeight="1"/>
    <row r="63065" ht="26.25" customHeight="1"/>
    <row r="63066" ht="26.25" customHeight="1"/>
    <row r="63067" ht="26.25" customHeight="1"/>
    <row r="63068" ht="26.25" customHeight="1"/>
    <row r="63069" ht="26.25" customHeight="1"/>
    <row r="63070" ht="26.25" customHeight="1"/>
    <row r="63071" ht="26.25" customHeight="1"/>
    <row r="63072" ht="26.25" customHeight="1"/>
    <row r="63073" ht="26.25" customHeight="1"/>
    <row r="63074" ht="26.25" customHeight="1"/>
    <row r="63075" ht="26.25" customHeight="1"/>
    <row r="63076" ht="26.25" customHeight="1"/>
    <row r="63077" ht="26.25" customHeight="1"/>
    <row r="63078" ht="26.25" customHeight="1"/>
    <row r="63079" ht="26.25" customHeight="1"/>
    <row r="63080" ht="26.25" customHeight="1"/>
    <row r="63081" ht="26.25" customHeight="1"/>
    <row r="63082" ht="26.25" customHeight="1"/>
    <row r="63083" ht="26.25" customHeight="1"/>
    <row r="63084" ht="26.25" customHeight="1"/>
    <row r="63085" ht="26.25" customHeight="1"/>
    <row r="63086" ht="26.25" customHeight="1"/>
    <row r="63087" ht="26.25" customHeight="1"/>
    <row r="63088" ht="26.25" customHeight="1"/>
    <row r="63089" ht="26.25" customHeight="1"/>
    <row r="63090" ht="26.25" customHeight="1"/>
    <row r="63091" ht="26.25" customHeight="1"/>
    <row r="63092" ht="26.25" customHeight="1"/>
    <row r="63093" ht="26.25" customHeight="1"/>
    <row r="63094" ht="26.25" customHeight="1"/>
    <row r="63095" ht="26.25" customHeight="1"/>
    <row r="63096" ht="26.25" customHeight="1"/>
    <row r="63097" ht="26.25" customHeight="1"/>
    <row r="63098" ht="26.25" customHeight="1"/>
    <row r="63099" ht="26.25" customHeight="1"/>
    <row r="63100" ht="26.25" customHeight="1"/>
    <row r="63101" ht="26.25" customHeight="1"/>
    <row r="63102" ht="26.25" customHeight="1"/>
    <row r="63103" ht="26.25" customHeight="1"/>
    <row r="63104" ht="26.25" customHeight="1"/>
    <row r="63105" ht="26.25" customHeight="1"/>
    <row r="63106" ht="26.25" customHeight="1"/>
    <row r="63107" ht="26.25" customHeight="1"/>
    <row r="63108" ht="26.25" customHeight="1"/>
    <row r="63109" ht="26.25" customHeight="1"/>
    <row r="63110" ht="26.25" customHeight="1"/>
    <row r="63111" ht="26.25" customHeight="1"/>
    <row r="63112" ht="26.25" customHeight="1"/>
    <row r="63113" ht="26.25" customHeight="1"/>
    <row r="63114" ht="26.25" customHeight="1"/>
    <row r="63115" ht="26.25" customHeight="1"/>
    <row r="63116" ht="26.25" customHeight="1"/>
    <row r="63117" ht="26.25" customHeight="1"/>
    <row r="63118" ht="26.25" customHeight="1"/>
    <row r="63119" ht="26.25" customHeight="1"/>
    <row r="63120" ht="26.25" customHeight="1"/>
    <row r="63121" ht="26.25" customHeight="1"/>
    <row r="63122" ht="26.25" customHeight="1"/>
    <row r="63123" ht="26.25" customHeight="1"/>
    <row r="63124" ht="26.25" customHeight="1"/>
    <row r="63125" ht="26.25" customHeight="1"/>
    <row r="63126" ht="26.25" customHeight="1"/>
    <row r="63127" ht="26.25" customHeight="1"/>
    <row r="63128" ht="26.25" customHeight="1"/>
    <row r="63129" ht="26.25" customHeight="1"/>
    <row r="63130" ht="26.25" customHeight="1"/>
    <row r="63131" ht="26.25" customHeight="1"/>
    <row r="63132" ht="26.25" customHeight="1"/>
    <row r="63133" ht="26.25" customHeight="1"/>
    <row r="63134" ht="26.25" customHeight="1"/>
    <row r="63135" ht="26.25" customHeight="1"/>
    <row r="63136" ht="26.25" customHeight="1"/>
    <row r="63137" ht="26.25" customHeight="1"/>
    <row r="63138" ht="26.25" customHeight="1"/>
    <row r="63139" ht="26.25" customHeight="1"/>
    <row r="63140" ht="26.25" customHeight="1"/>
    <row r="63141" ht="26.25" customHeight="1"/>
    <row r="63142" ht="26.25" customHeight="1"/>
    <row r="63143" ht="26.25" customHeight="1"/>
    <row r="63144" ht="26.25" customHeight="1"/>
    <row r="63145" ht="26.25" customHeight="1"/>
    <row r="63146" ht="26.25" customHeight="1"/>
    <row r="63147" ht="26.25" customHeight="1"/>
    <row r="63148" ht="26.25" customHeight="1"/>
    <row r="63149" ht="26.25" customHeight="1"/>
    <row r="63150" ht="26.25" customHeight="1"/>
    <row r="63151" ht="26.25" customHeight="1"/>
    <row r="63152" ht="26.25" customHeight="1"/>
    <row r="63153" ht="26.25" customHeight="1"/>
    <row r="63154" ht="26.25" customHeight="1"/>
    <row r="63155" ht="26.25" customHeight="1"/>
    <row r="63156" ht="26.25" customHeight="1"/>
    <row r="63157" ht="26.25" customHeight="1"/>
    <row r="63158" ht="26.25" customHeight="1"/>
    <row r="63159" ht="26.25" customHeight="1"/>
    <row r="63160" ht="26.25" customHeight="1"/>
    <row r="63161" ht="26.25" customHeight="1"/>
    <row r="63162" ht="26.25" customHeight="1"/>
    <row r="63163" ht="26.25" customHeight="1"/>
    <row r="63164" ht="26.25" customHeight="1"/>
    <row r="63165" ht="26.25" customHeight="1"/>
    <row r="63166" ht="26.25" customHeight="1"/>
    <row r="63167" ht="26.25" customHeight="1"/>
    <row r="63168" ht="26.25" customHeight="1"/>
    <row r="63169" ht="26.25" customHeight="1"/>
    <row r="63170" ht="26.25" customHeight="1"/>
    <row r="63171" ht="26.25" customHeight="1"/>
    <row r="63172" ht="26.25" customHeight="1"/>
    <row r="63173" ht="26.25" customHeight="1"/>
    <row r="63174" ht="26.25" customHeight="1"/>
    <row r="63175" ht="26.25" customHeight="1"/>
    <row r="63176" ht="26.25" customHeight="1"/>
    <row r="63177" ht="26.25" customHeight="1"/>
    <row r="63178" ht="26.25" customHeight="1"/>
    <row r="63179" ht="26.25" customHeight="1"/>
    <row r="63180" ht="26.25" customHeight="1"/>
    <row r="63181" ht="26.25" customHeight="1"/>
    <row r="63182" ht="26.25" customHeight="1"/>
    <row r="63183" ht="26.25" customHeight="1"/>
    <row r="63184" ht="26.25" customHeight="1"/>
    <row r="63185" ht="26.25" customHeight="1"/>
    <row r="63186" ht="26.25" customHeight="1"/>
    <row r="63187" ht="26.25" customHeight="1"/>
    <row r="63188" ht="26.25" customHeight="1"/>
    <row r="63189" ht="26.25" customHeight="1"/>
    <row r="63190" ht="26.25" customHeight="1"/>
    <row r="63191" ht="26.25" customHeight="1"/>
    <row r="63192" ht="26.25" customHeight="1"/>
    <row r="63193" ht="26.25" customHeight="1"/>
    <row r="63194" ht="26.25" customHeight="1"/>
    <row r="63195" ht="26.25" customHeight="1"/>
    <row r="63196" ht="26.25" customHeight="1"/>
    <row r="63197" ht="26.25" customHeight="1"/>
    <row r="63198" ht="26.25" customHeight="1"/>
    <row r="63199" ht="26.25" customHeight="1"/>
    <row r="63200" ht="26.25" customHeight="1"/>
    <row r="63201" ht="26.25" customHeight="1"/>
    <row r="63202" ht="26.25" customHeight="1"/>
    <row r="63203" ht="26.25" customHeight="1"/>
    <row r="63204" ht="26.25" customHeight="1"/>
    <row r="63205" ht="26.25" customHeight="1"/>
    <row r="63206" ht="26.25" customHeight="1"/>
    <row r="63207" ht="26.25" customHeight="1"/>
    <row r="63208" ht="26.25" customHeight="1"/>
    <row r="63209" ht="26.25" customHeight="1"/>
    <row r="63210" ht="26.25" customHeight="1"/>
    <row r="63211" ht="26.25" customHeight="1"/>
    <row r="63212" ht="26.25" customHeight="1"/>
    <row r="63213" ht="26.25" customHeight="1"/>
    <row r="63214" ht="26.25" customHeight="1"/>
    <row r="63215" ht="26.25" customHeight="1"/>
    <row r="63216" ht="26.25" customHeight="1"/>
    <row r="63217" ht="26.25" customHeight="1"/>
    <row r="63218" ht="26.25" customHeight="1"/>
    <row r="63219" ht="26.25" customHeight="1"/>
    <row r="63220" ht="26.25" customHeight="1"/>
    <row r="63221" ht="26.25" customHeight="1"/>
    <row r="63222" ht="26.25" customHeight="1"/>
    <row r="63223" ht="26.25" customHeight="1"/>
    <row r="63224" ht="26.25" customHeight="1"/>
    <row r="63225" ht="26.25" customHeight="1"/>
    <row r="63226" ht="26.25" customHeight="1"/>
    <row r="63227" ht="26.25" customHeight="1"/>
    <row r="63228" ht="26.25" customHeight="1"/>
    <row r="63229" ht="26.25" customHeight="1"/>
    <row r="63230" ht="26.25" customHeight="1"/>
    <row r="63231" ht="26.25" customHeight="1"/>
    <row r="63232" ht="26.25" customHeight="1"/>
    <row r="63233" ht="26.25" customHeight="1"/>
    <row r="63234" ht="26.25" customHeight="1"/>
    <row r="63235" ht="26.25" customHeight="1"/>
    <row r="63236" ht="26.25" customHeight="1"/>
    <row r="63237" ht="26.25" customHeight="1"/>
    <row r="63238" ht="26.25" customHeight="1"/>
    <row r="63239" ht="26.25" customHeight="1"/>
    <row r="63240" ht="26.25" customHeight="1"/>
    <row r="63241" ht="26.25" customHeight="1"/>
    <row r="63242" ht="26.25" customHeight="1"/>
    <row r="63243" ht="26.25" customHeight="1"/>
    <row r="63244" ht="26.25" customHeight="1"/>
    <row r="63245" ht="26.25" customHeight="1"/>
    <row r="63246" ht="26.25" customHeight="1"/>
    <row r="63247" ht="26.25" customHeight="1"/>
    <row r="63248" ht="26.25" customHeight="1"/>
    <row r="63249" ht="26.25" customHeight="1"/>
    <row r="63250" ht="26.25" customHeight="1"/>
    <row r="63251" ht="26.25" customHeight="1"/>
    <row r="63252" ht="26.25" customHeight="1"/>
    <row r="63253" ht="26.25" customHeight="1"/>
    <row r="63254" ht="26.25" customHeight="1"/>
    <row r="63255" ht="26.25" customHeight="1"/>
    <row r="63256" ht="26.25" customHeight="1"/>
    <row r="63257" ht="26.25" customHeight="1"/>
    <row r="63258" ht="26.25" customHeight="1"/>
    <row r="63259" ht="26.25" customHeight="1"/>
    <row r="63260" ht="26.25" customHeight="1"/>
    <row r="63261" ht="26.25" customHeight="1"/>
    <row r="63262" ht="26.25" customHeight="1"/>
    <row r="63263" ht="26.25" customHeight="1"/>
    <row r="63264" ht="26.25" customHeight="1"/>
    <row r="63265" ht="26.25" customHeight="1"/>
    <row r="63266" ht="26.25" customHeight="1"/>
    <row r="63267" ht="26.25" customHeight="1"/>
    <row r="63268" ht="26.25" customHeight="1"/>
    <row r="63269" ht="26.25" customHeight="1"/>
    <row r="63270" ht="26.25" customHeight="1"/>
    <row r="63271" ht="26.25" customHeight="1"/>
    <row r="63272" ht="26.25" customHeight="1"/>
    <row r="63273" ht="26.25" customHeight="1"/>
    <row r="63274" ht="26.25" customHeight="1"/>
    <row r="63275" ht="26.25" customHeight="1"/>
    <row r="63276" ht="26.25" customHeight="1"/>
    <row r="63277" ht="26.25" customHeight="1"/>
    <row r="63278" ht="26.25" customHeight="1"/>
    <row r="63279" ht="26.25" customHeight="1"/>
    <row r="63280" ht="26.25" customHeight="1"/>
    <row r="63281" ht="26.25" customHeight="1"/>
    <row r="63282" ht="26.25" customHeight="1"/>
    <row r="63283" ht="26.25" customHeight="1"/>
    <row r="63284" ht="26.25" customHeight="1"/>
    <row r="63285" ht="26.25" customHeight="1"/>
    <row r="63286" ht="26.25" customHeight="1"/>
    <row r="63287" ht="26.25" customHeight="1"/>
    <row r="63288" ht="26.25" customHeight="1"/>
    <row r="63289" ht="26.25" customHeight="1"/>
    <row r="63290" ht="26.25" customHeight="1"/>
    <row r="63291" ht="26.25" customHeight="1"/>
    <row r="63292" ht="26.25" customHeight="1"/>
    <row r="63293" ht="26.25" customHeight="1"/>
    <row r="63294" ht="26.25" customHeight="1"/>
    <row r="63295" ht="26.25" customHeight="1"/>
    <row r="63296" ht="26.25" customHeight="1"/>
    <row r="63297" ht="26.25" customHeight="1"/>
    <row r="63298" ht="26.25" customHeight="1"/>
    <row r="63299" ht="26.25" customHeight="1"/>
    <row r="63300" ht="26.25" customHeight="1"/>
    <row r="63301" ht="26.25" customHeight="1"/>
    <row r="63302" ht="26.25" customHeight="1"/>
    <row r="63303" ht="26.25" customHeight="1"/>
    <row r="63304" ht="26.25" customHeight="1"/>
    <row r="63305" ht="26.25" customHeight="1"/>
    <row r="63306" ht="26.25" customHeight="1"/>
    <row r="63307" ht="26.25" customHeight="1"/>
    <row r="63308" ht="26.25" customHeight="1"/>
    <row r="63309" ht="26.25" customHeight="1"/>
    <row r="63310" ht="26.25" customHeight="1"/>
    <row r="63311" ht="26.25" customHeight="1"/>
    <row r="63312" ht="26.25" customHeight="1"/>
    <row r="63313" ht="26.25" customHeight="1"/>
    <row r="63314" ht="26.25" customHeight="1"/>
    <row r="63315" ht="26.25" customHeight="1"/>
    <row r="63316" ht="26.25" customHeight="1"/>
    <row r="63317" ht="26.25" customHeight="1"/>
    <row r="63318" ht="26.25" customHeight="1"/>
    <row r="63319" ht="26.25" customHeight="1"/>
    <row r="63320" ht="26.25" customHeight="1"/>
    <row r="63321" ht="26.25" customHeight="1"/>
    <row r="63322" ht="26.25" customHeight="1"/>
    <row r="63323" ht="26.25" customHeight="1"/>
    <row r="63324" ht="26.25" customHeight="1"/>
    <row r="63325" ht="26.25" customHeight="1"/>
    <row r="63326" ht="26.25" customHeight="1"/>
    <row r="63327" ht="26.25" customHeight="1"/>
    <row r="63328" ht="26.25" customHeight="1"/>
    <row r="63329" ht="26.25" customHeight="1"/>
    <row r="63330" ht="26.25" customHeight="1"/>
    <row r="63331" ht="26.25" customHeight="1"/>
    <row r="63332" ht="26.25" customHeight="1"/>
    <row r="63333" ht="26.25" customHeight="1"/>
    <row r="63334" ht="26.25" customHeight="1"/>
    <row r="63335" ht="26.25" customHeight="1"/>
    <row r="63336" ht="26.25" customHeight="1"/>
    <row r="63337" ht="26.25" customHeight="1"/>
    <row r="63338" ht="26.25" customHeight="1"/>
    <row r="63339" ht="26.25" customHeight="1"/>
    <row r="63340" ht="26.25" customHeight="1"/>
    <row r="63341" ht="26.25" customHeight="1"/>
    <row r="63342" ht="26.25" customHeight="1"/>
    <row r="63343" ht="26.25" customHeight="1"/>
    <row r="63344" ht="26.25" customHeight="1"/>
    <row r="63345" ht="26.25" customHeight="1"/>
    <row r="63346" ht="26.25" customHeight="1"/>
    <row r="63347" ht="26.25" customHeight="1"/>
    <row r="63348" ht="26.25" customHeight="1"/>
    <row r="63349" ht="26.25" customHeight="1"/>
    <row r="63350" ht="26.25" customHeight="1"/>
    <row r="63351" ht="26.25" customHeight="1"/>
    <row r="63352" ht="26.25" customHeight="1"/>
    <row r="63353" ht="26.25" customHeight="1"/>
    <row r="63354" ht="26.25" customHeight="1"/>
    <row r="63355" ht="26.25" customHeight="1"/>
    <row r="63356" ht="26.25" customHeight="1"/>
    <row r="63357" ht="26.25" customHeight="1"/>
    <row r="63358" ht="26.25" customHeight="1"/>
    <row r="63359" ht="26.25" customHeight="1"/>
    <row r="63360" ht="26.25" customHeight="1"/>
    <row r="63361" ht="26.25" customHeight="1"/>
    <row r="63362" ht="26.25" customHeight="1"/>
    <row r="63363" ht="26.25" customHeight="1"/>
    <row r="63364" ht="26.25" customHeight="1"/>
    <row r="63365" ht="26.25" customHeight="1"/>
    <row r="63366" ht="26.25" customHeight="1"/>
    <row r="63367" ht="26.25" customHeight="1"/>
    <row r="63368" ht="26.25" customHeight="1"/>
    <row r="63369" ht="26.25" customHeight="1"/>
    <row r="63370" ht="26.25" customHeight="1"/>
    <row r="63371" ht="26.25" customHeight="1"/>
    <row r="63372" ht="26.25" customHeight="1"/>
    <row r="63373" ht="26.25" customHeight="1"/>
    <row r="63374" ht="26.25" customHeight="1"/>
    <row r="63375" ht="26.25" customHeight="1"/>
    <row r="63376" ht="26.25" customHeight="1"/>
    <row r="63377" ht="26.25" customHeight="1"/>
    <row r="63378" ht="26.25" customHeight="1"/>
    <row r="63379" ht="26.25" customHeight="1"/>
    <row r="63380" ht="26.25" customHeight="1"/>
    <row r="63381" ht="26.25" customHeight="1"/>
    <row r="63382" ht="26.25" customHeight="1"/>
    <row r="63383" ht="26.25" customHeight="1"/>
    <row r="63384" ht="26.25" customHeight="1"/>
    <row r="63385" ht="26.25" customHeight="1"/>
    <row r="63386" ht="26.25" customHeight="1"/>
    <row r="63387" ht="26.25" customHeight="1"/>
    <row r="63388" ht="26.25" customHeight="1"/>
    <row r="63389" ht="26.25" customHeight="1"/>
    <row r="63390" ht="26.25" customHeight="1"/>
    <row r="63391" ht="26.25" customHeight="1"/>
    <row r="63392" ht="26.25" customHeight="1"/>
    <row r="63393" ht="26.25" customHeight="1"/>
    <row r="63394" ht="26.25" customHeight="1"/>
    <row r="63395" ht="26.25" customHeight="1"/>
    <row r="63396" ht="26.25" customHeight="1"/>
    <row r="63397" ht="26.25" customHeight="1"/>
    <row r="63398" ht="26.25" customHeight="1"/>
    <row r="63399" ht="26.25" customHeight="1"/>
    <row r="63400" ht="26.25" customHeight="1"/>
    <row r="63401" ht="26.25" customHeight="1"/>
    <row r="63402" ht="26.25" customHeight="1"/>
    <row r="63403" ht="26.25" customHeight="1"/>
    <row r="63404" ht="26.25" customHeight="1"/>
    <row r="63405" ht="26.25" customHeight="1"/>
    <row r="63406" ht="26.25" customHeight="1"/>
    <row r="63407" ht="26.25" customHeight="1"/>
    <row r="63408" ht="26.25" customHeight="1"/>
    <row r="63409" ht="26.25" customHeight="1"/>
    <row r="63410" ht="26.25" customHeight="1"/>
    <row r="63411" ht="26.25" customHeight="1"/>
    <row r="63412" ht="26.25" customHeight="1"/>
    <row r="63413" ht="26.25" customHeight="1"/>
    <row r="63414" ht="26.25" customHeight="1"/>
    <row r="63415" ht="26.25" customHeight="1"/>
    <row r="63416" ht="26.25" customHeight="1"/>
    <row r="63417" ht="26.25" customHeight="1"/>
    <row r="63418" ht="26.25" customHeight="1"/>
    <row r="63419" ht="26.25" customHeight="1"/>
    <row r="63420" ht="26.25" customHeight="1"/>
    <row r="63421" ht="26.25" customHeight="1"/>
    <row r="63422" ht="26.25" customHeight="1"/>
    <row r="63423" ht="26.25" customHeight="1"/>
    <row r="63424" ht="26.25" customHeight="1"/>
    <row r="63425" ht="26.25" customHeight="1"/>
    <row r="63426" ht="26.25" customHeight="1"/>
    <row r="63427" ht="26.25" customHeight="1"/>
    <row r="63428" ht="26.25" customHeight="1"/>
    <row r="63429" ht="26.25" customHeight="1"/>
    <row r="63430" ht="26.25" customHeight="1"/>
    <row r="63431" ht="26.25" customHeight="1"/>
    <row r="63432" ht="26.25" customHeight="1"/>
    <row r="63433" ht="26.25" customHeight="1"/>
    <row r="63434" ht="26.25" customHeight="1"/>
    <row r="63435" ht="26.25" customHeight="1"/>
    <row r="63436" ht="26.25" customHeight="1"/>
    <row r="63437" ht="26.25" customHeight="1"/>
    <row r="63438" ht="26.25" customHeight="1"/>
    <row r="63439" ht="26.25" customHeight="1"/>
    <row r="63440" ht="26.25" customHeight="1"/>
    <row r="63441" ht="26.25" customHeight="1"/>
    <row r="63442" ht="26.25" customHeight="1"/>
    <row r="63443" ht="26.25" customHeight="1"/>
    <row r="63444" ht="26.25" customHeight="1"/>
    <row r="63445" ht="26.25" customHeight="1"/>
    <row r="63446" ht="26.25" customHeight="1"/>
    <row r="63447" ht="26.25" customHeight="1"/>
    <row r="63448" ht="26.25" customHeight="1"/>
    <row r="63449" ht="26.25" customHeight="1"/>
    <row r="63450" ht="26.25" customHeight="1"/>
    <row r="63451" ht="26.25" customHeight="1"/>
    <row r="63452" ht="26.25" customHeight="1"/>
    <row r="63453" ht="26.25" customHeight="1"/>
    <row r="63454" ht="26.25" customHeight="1"/>
    <row r="63455" ht="26.25" customHeight="1"/>
    <row r="63456" ht="26.25" customHeight="1"/>
    <row r="63457" ht="26.25" customHeight="1"/>
    <row r="63458" ht="26.25" customHeight="1"/>
    <row r="63459" ht="26.25" customHeight="1"/>
    <row r="63460" ht="26.25" customHeight="1"/>
    <row r="63461" ht="26.25" customHeight="1"/>
    <row r="63462" ht="26.25" customHeight="1"/>
    <row r="63463" ht="26.25" customHeight="1"/>
    <row r="63464" ht="26.25" customHeight="1"/>
    <row r="63465" ht="26.25" customHeight="1"/>
    <row r="63466" ht="26.25" customHeight="1"/>
    <row r="63467" ht="26.25" customHeight="1"/>
    <row r="63468" ht="26.25" customHeight="1"/>
    <row r="63469" ht="26.25" customHeight="1"/>
    <row r="63470" ht="26.25" customHeight="1"/>
    <row r="63471" ht="26.25" customHeight="1"/>
    <row r="63472" ht="26.25" customHeight="1"/>
    <row r="63473" ht="26.25" customHeight="1"/>
    <row r="63474" ht="26.25" customHeight="1"/>
    <row r="63475" ht="26.25" customHeight="1"/>
    <row r="63476" ht="26.25" customHeight="1"/>
    <row r="63477" ht="26.25" customHeight="1"/>
    <row r="63478" ht="26.25" customHeight="1"/>
    <row r="63479" ht="26.25" customHeight="1"/>
    <row r="63480" ht="26.25" customHeight="1"/>
    <row r="63481" ht="26.25" customHeight="1"/>
    <row r="63482" ht="26.25" customHeight="1"/>
    <row r="63483" ht="26.25" customHeight="1"/>
    <row r="63484" ht="26.25" customHeight="1"/>
    <row r="63485" ht="26.25" customHeight="1"/>
    <row r="63486" ht="26.25" customHeight="1"/>
    <row r="63487" ht="26.25" customHeight="1"/>
    <row r="63488" ht="26.25" customHeight="1"/>
    <row r="63489" ht="26.25" customHeight="1"/>
    <row r="63490" ht="26.25" customHeight="1"/>
    <row r="63491" ht="26.25" customHeight="1"/>
    <row r="63492" ht="26.25" customHeight="1"/>
    <row r="63493" ht="26.25" customHeight="1"/>
    <row r="63494" ht="26.25" customHeight="1"/>
    <row r="63495" ht="26.25" customHeight="1"/>
    <row r="63496" ht="26.25" customHeight="1"/>
    <row r="63497" ht="26.25" customHeight="1"/>
    <row r="63498" ht="26.25" customHeight="1"/>
    <row r="63499" ht="26.25" customHeight="1"/>
    <row r="63500" ht="26.25" customHeight="1"/>
    <row r="63501" ht="26.25" customHeight="1"/>
    <row r="63502" ht="26.25" customHeight="1"/>
    <row r="63503" ht="26.25" customHeight="1"/>
    <row r="63504" ht="26.25" customHeight="1"/>
    <row r="63505" ht="26.25" customHeight="1"/>
    <row r="63506" ht="26.25" customHeight="1"/>
    <row r="63507" ht="26.25" customHeight="1"/>
    <row r="63508" ht="26.25" customHeight="1"/>
    <row r="63509" ht="26.25" customHeight="1"/>
    <row r="63510" ht="26.25" customHeight="1"/>
    <row r="63511" ht="26.25" customHeight="1"/>
    <row r="63512" ht="26.25" customHeight="1"/>
    <row r="63513" ht="26.25" customHeight="1"/>
    <row r="63514" ht="26.25" customHeight="1"/>
    <row r="63515" ht="26.25" customHeight="1"/>
    <row r="63516" ht="26.25" customHeight="1"/>
    <row r="63517" ht="26.25" customHeight="1"/>
    <row r="63518" ht="26.25" customHeight="1"/>
    <row r="63519" ht="26.25" customHeight="1"/>
    <row r="63520" ht="26.25" customHeight="1"/>
    <row r="63521" ht="26.25" customHeight="1"/>
    <row r="63522" ht="26.25" customHeight="1"/>
    <row r="63523" ht="26.25" customHeight="1"/>
    <row r="63524" ht="26.25" customHeight="1"/>
    <row r="63525" ht="26.25" customHeight="1"/>
    <row r="63526" ht="26.25" customHeight="1"/>
    <row r="63527" ht="26.25" customHeight="1"/>
    <row r="63528" ht="26.25" customHeight="1"/>
    <row r="63529" ht="26.25" customHeight="1"/>
    <row r="63530" ht="26.25" customHeight="1"/>
    <row r="63531" ht="26.25" customHeight="1"/>
    <row r="63532" ht="26.25" customHeight="1"/>
    <row r="63533" ht="26.25" customHeight="1"/>
    <row r="63534" ht="26.25" customHeight="1"/>
    <row r="63535" ht="26.25" customHeight="1"/>
    <row r="63536" ht="26.25" customHeight="1"/>
    <row r="63537" ht="26.25" customHeight="1"/>
    <row r="63538" ht="26.25" customHeight="1"/>
    <row r="63539" ht="26.25" customHeight="1"/>
    <row r="63540" ht="26.25" customHeight="1"/>
    <row r="63541" ht="26.25" customHeight="1"/>
    <row r="63542" ht="26.25" customHeight="1"/>
    <row r="63543" ht="26.25" customHeight="1"/>
    <row r="63544" ht="26.25" customHeight="1"/>
    <row r="63545" ht="26.25" customHeight="1"/>
    <row r="63546" ht="26.25" customHeight="1"/>
    <row r="63547" ht="26.25" customHeight="1"/>
    <row r="63548" ht="26.25" customHeight="1"/>
    <row r="63549" ht="26.25" customHeight="1"/>
    <row r="63550" ht="26.25" customHeight="1"/>
    <row r="63551" ht="26.25" customHeight="1"/>
    <row r="63552" ht="26.25" customHeight="1"/>
    <row r="63553" ht="26.25" customHeight="1"/>
    <row r="63554" ht="26.25" customHeight="1"/>
    <row r="63555" ht="26.25" customHeight="1"/>
    <row r="63556" ht="26.25" customHeight="1"/>
    <row r="63557" ht="26.25" customHeight="1"/>
    <row r="63558" ht="26.25" customHeight="1"/>
    <row r="63559" ht="26.25" customHeight="1"/>
    <row r="63560" ht="26.25" customHeight="1"/>
    <row r="63561" ht="26.25" customHeight="1"/>
    <row r="63562" ht="26.25" customHeight="1"/>
    <row r="63563" ht="26.25" customHeight="1"/>
    <row r="63564" ht="26.25" customHeight="1"/>
    <row r="63565" ht="26.25" customHeight="1"/>
    <row r="63566" ht="26.25" customHeight="1"/>
    <row r="63567" ht="26.25" customHeight="1"/>
    <row r="63568" ht="26.25" customHeight="1"/>
    <row r="63569" ht="26.25" customHeight="1"/>
    <row r="63570" ht="26.25" customHeight="1"/>
    <row r="63571" ht="26.25" customHeight="1"/>
    <row r="63572" ht="26.25" customHeight="1"/>
    <row r="63573" ht="26.25" customHeight="1"/>
    <row r="63574" ht="26.25" customHeight="1"/>
    <row r="63575" ht="26.25" customHeight="1"/>
    <row r="63576" ht="26.25" customHeight="1"/>
    <row r="63577" ht="26.25" customHeight="1"/>
    <row r="63578" ht="26.25" customHeight="1"/>
    <row r="63579" ht="26.25" customHeight="1"/>
    <row r="63580" ht="26.25" customHeight="1"/>
    <row r="63581" ht="26.25" customHeight="1"/>
    <row r="63582" ht="26.25" customHeight="1"/>
    <row r="63583" ht="26.25" customHeight="1"/>
    <row r="63584" ht="26.25" customHeight="1"/>
    <row r="63585" ht="26.25" customHeight="1"/>
    <row r="63586" ht="26.25" customHeight="1"/>
    <row r="63587" ht="26.25" customHeight="1"/>
    <row r="63588" ht="26.25" customHeight="1"/>
    <row r="63589" ht="26.25" customHeight="1"/>
    <row r="63590" ht="26.25" customHeight="1"/>
    <row r="63591" ht="26.25" customHeight="1"/>
    <row r="63592" ht="26.25" customHeight="1"/>
    <row r="63593" ht="26.25" customHeight="1"/>
    <row r="63594" ht="26.25" customHeight="1"/>
    <row r="63595" ht="26.25" customHeight="1"/>
    <row r="63596" ht="26.25" customHeight="1"/>
    <row r="63597" ht="26.25" customHeight="1"/>
    <row r="63598" ht="26.25" customHeight="1"/>
    <row r="63599" ht="26.25" customHeight="1"/>
    <row r="63600" ht="26.25" customHeight="1"/>
    <row r="63601" ht="26.25" customHeight="1"/>
    <row r="63602" ht="26.25" customHeight="1"/>
    <row r="63603" ht="26.25" customHeight="1"/>
    <row r="63604" ht="26.25" customHeight="1"/>
    <row r="63605" ht="26.25" customHeight="1"/>
    <row r="63606" ht="26.25" customHeight="1"/>
    <row r="63607" ht="26.25" customHeight="1"/>
    <row r="63608" ht="26.25" customHeight="1"/>
    <row r="63609" ht="26.25" customHeight="1"/>
    <row r="63610" ht="26.25" customHeight="1"/>
    <row r="63611" ht="26.25" customHeight="1"/>
    <row r="63612" ht="26.25" customHeight="1"/>
    <row r="63613" ht="26.25" customHeight="1"/>
    <row r="63614" ht="26.25" customHeight="1"/>
    <row r="63615" ht="26.25" customHeight="1"/>
    <row r="63616" ht="26.25" customHeight="1"/>
    <row r="63617" ht="26.25" customHeight="1"/>
    <row r="63618" ht="26.25" customHeight="1"/>
    <row r="63619" ht="26.25" customHeight="1"/>
    <row r="63620" ht="26.25" customHeight="1"/>
    <row r="63621" ht="26.25" customHeight="1"/>
    <row r="63622" ht="26.25" customHeight="1"/>
    <row r="63623" ht="26.25" customHeight="1"/>
    <row r="63624" ht="26.25" customHeight="1"/>
    <row r="63625" ht="26.25" customHeight="1"/>
    <row r="63626" ht="26.25" customHeight="1"/>
    <row r="63627" ht="26.25" customHeight="1"/>
    <row r="63628" ht="26.25" customHeight="1"/>
    <row r="63629" ht="26.25" customHeight="1"/>
    <row r="63630" ht="26.25" customHeight="1"/>
    <row r="63631" ht="26.25" customHeight="1"/>
    <row r="63632" ht="26.25" customHeight="1"/>
    <row r="63633" ht="26.25" customHeight="1"/>
    <row r="63634" ht="26.25" customHeight="1"/>
    <row r="63635" ht="26.25" customHeight="1"/>
    <row r="63636" ht="26.25" customHeight="1"/>
    <row r="63637" ht="26.25" customHeight="1"/>
    <row r="63638" ht="26.25" customHeight="1"/>
    <row r="63639" ht="26.25" customHeight="1"/>
    <row r="63640" ht="26.25" customHeight="1"/>
    <row r="63641" ht="26.25" customHeight="1"/>
    <row r="63642" ht="26.25" customHeight="1"/>
    <row r="63643" ht="26.25" customHeight="1"/>
    <row r="63644" ht="26.25" customHeight="1"/>
    <row r="63645" ht="26.25" customHeight="1"/>
    <row r="63646" ht="26.25" customHeight="1"/>
    <row r="63647" ht="26.25" customHeight="1"/>
    <row r="63648" ht="26.25" customHeight="1"/>
    <row r="63649" ht="26.25" customHeight="1"/>
    <row r="63650" ht="26.25" customHeight="1"/>
    <row r="63651" ht="26.25" customHeight="1"/>
    <row r="63652" ht="26.25" customHeight="1"/>
    <row r="63653" ht="26.25" customHeight="1"/>
    <row r="63654" ht="26.25" customHeight="1"/>
    <row r="63655" ht="26.25" customHeight="1"/>
    <row r="63656" ht="26.25" customHeight="1"/>
    <row r="63657" ht="26.25" customHeight="1"/>
    <row r="63658" ht="26.25" customHeight="1"/>
    <row r="63659" ht="26.25" customHeight="1"/>
    <row r="63660" ht="26.25" customHeight="1"/>
    <row r="63661" ht="26.25" customHeight="1"/>
    <row r="63662" ht="26.25" customHeight="1"/>
    <row r="63663" ht="26.25" customHeight="1"/>
    <row r="63664" ht="26.25" customHeight="1"/>
    <row r="63665" ht="26.25" customHeight="1"/>
    <row r="63666" ht="26.25" customHeight="1"/>
    <row r="63667" ht="26.25" customHeight="1"/>
    <row r="63668" ht="26.25" customHeight="1"/>
    <row r="63669" ht="26.25" customHeight="1"/>
    <row r="63670" ht="26.25" customHeight="1"/>
    <row r="63671" ht="26.25" customHeight="1"/>
    <row r="63672" ht="26.25" customHeight="1"/>
    <row r="63673" ht="26.25" customHeight="1"/>
    <row r="63674" ht="26.25" customHeight="1"/>
    <row r="63675" ht="26.25" customHeight="1"/>
    <row r="63676" ht="26.25" customHeight="1"/>
    <row r="63677" ht="26.25" customHeight="1"/>
    <row r="63678" ht="26.25" customHeight="1"/>
    <row r="63679" ht="26.25" customHeight="1"/>
    <row r="63680" ht="26.25" customHeight="1"/>
    <row r="63681" ht="26.25" customHeight="1"/>
    <row r="63682" ht="26.25" customHeight="1"/>
    <row r="63683" ht="26.25" customHeight="1"/>
    <row r="63684" ht="26.25" customHeight="1"/>
    <row r="63685" ht="26.25" customHeight="1"/>
    <row r="63686" ht="26.25" customHeight="1"/>
    <row r="63687" ht="26.25" customHeight="1"/>
    <row r="63688" ht="26.25" customHeight="1"/>
    <row r="63689" ht="26.25" customHeight="1"/>
    <row r="63690" ht="26.25" customHeight="1"/>
    <row r="63691" ht="26.25" customHeight="1"/>
    <row r="63692" ht="26.25" customHeight="1"/>
    <row r="63693" ht="26.25" customHeight="1"/>
    <row r="63694" ht="26.25" customHeight="1"/>
    <row r="63695" ht="26.25" customHeight="1"/>
    <row r="63696" ht="26.25" customHeight="1"/>
    <row r="63697" ht="26.25" customHeight="1"/>
    <row r="63698" ht="26.25" customHeight="1"/>
    <row r="63699" ht="26.25" customHeight="1"/>
    <row r="63700" ht="26.25" customHeight="1"/>
    <row r="63701" ht="26.25" customHeight="1"/>
    <row r="63702" ht="26.25" customHeight="1"/>
    <row r="63703" ht="26.25" customHeight="1"/>
    <row r="63704" ht="26.25" customHeight="1"/>
    <row r="63705" ht="26.25" customHeight="1"/>
    <row r="63706" ht="26.25" customHeight="1"/>
    <row r="63707" ht="26.25" customHeight="1"/>
    <row r="63708" ht="26.25" customHeight="1"/>
    <row r="63709" ht="26.25" customHeight="1"/>
    <row r="63710" ht="26.25" customHeight="1"/>
    <row r="63711" ht="26.25" customHeight="1"/>
    <row r="63712" ht="26.25" customHeight="1"/>
    <row r="63713" ht="26.25" customHeight="1"/>
    <row r="63714" ht="26.25" customHeight="1"/>
    <row r="63715" ht="26.25" customHeight="1"/>
    <row r="63716" ht="26.25" customHeight="1"/>
    <row r="63717" ht="26.25" customHeight="1"/>
    <row r="63718" ht="26.25" customHeight="1"/>
    <row r="63719" ht="26.25" customHeight="1"/>
    <row r="63720" ht="26.25" customHeight="1"/>
    <row r="63721" ht="26.25" customHeight="1"/>
    <row r="63722" ht="26.25" customHeight="1"/>
    <row r="63723" ht="26.25" customHeight="1"/>
    <row r="63724" ht="26.25" customHeight="1"/>
    <row r="63725" ht="26.25" customHeight="1"/>
    <row r="63726" ht="26.25" customHeight="1"/>
    <row r="63727" ht="26.25" customHeight="1"/>
    <row r="63728" ht="26.25" customHeight="1"/>
    <row r="63729" ht="26.25" customHeight="1"/>
    <row r="63730" ht="26.25" customHeight="1"/>
    <row r="63731" ht="26.25" customHeight="1"/>
    <row r="63732" ht="26.25" customHeight="1"/>
    <row r="63733" ht="26.25" customHeight="1"/>
    <row r="63734" ht="26.25" customHeight="1"/>
    <row r="63735" ht="26.25" customHeight="1"/>
    <row r="63736" ht="26.25" customHeight="1"/>
    <row r="63737" ht="26.25" customHeight="1"/>
    <row r="63738" ht="26.25" customHeight="1"/>
    <row r="63739" ht="26.25" customHeight="1"/>
    <row r="63740" ht="26.25" customHeight="1"/>
    <row r="63741" ht="26.25" customHeight="1"/>
    <row r="63742" ht="26.25" customHeight="1"/>
    <row r="63743" ht="26.25" customHeight="1"/>
    <row r="63744" ht="26.25" customHeight="1"/>
    <row r="63745" ht="26.25" customHeight="1"/>
    <row r="63746" ht="26.25" customHeight="1"/>
    <row r="63747" ht="26.25" customHeight="1"/>
    <row r="63748" ht="26.25" customHeight="1"/>
    <row r="63749" ht="26.25" customHeight="1"/>
    <row r="63750" ht="26.25" customHeight="1"/>
    <row r="63751" ht="26.25" customHeight="1"/>
    <row r="63752" ht="26.25" customHeight="1"/>
    <row r="63753" ht="26.25" customHeight="1"/>
    <row r="63754" ht="26.25" customHeight="1"/>
    <row r="63755" ht="26.25" customHeight="1"/>
    <row r="63756" ht="26.25" customHeight="1"/>
    <row r="63757" ht="26.25" customHeight="1"/>
    <row r="63758" ht="26.25" customHeight="1"/>
    <row r="63759" ht="26.25" customHeight="1"/>
    <row r="63760" ht="26.25" customHeight="1"/>
    <row r="63761" ht="26.25" customHeight="1"/>
    <row r="63762" ht="26.25" customHeight="1"/>
    <row r="63763" ht="26.25" customHeight="1"/>
    <row r="63764" ht="26.25" customHeight="1"/>
    <row r="63765" ht="26.25" customHeight="1"/>
    <row r="63766" ht="26.25" customHeight="1"/>
    <row r="63767" ht="26.25" customHeight="1"/>
    <row r="63768" ht="26.25" customHeight="1"/>
    <row r="63769" ht="26.25" customHeight="1"/>
    <row r="63770" ht="26.25" customHeight="1"/>
    <row r="63771" ht="26.25" customHeight="1"/>
    <row r="63772" ht="26.25" customHeight="1"/>
    <row r="63773" ht="26.25" customHeight="1"/>
    <row r="63774" ht="26.25" customHeight="1"/>
    <row r="63775" ht="26.25" customHeight="1"/>
    <row r="63776" ht="26.25" customHeight="1"/>
    <row r="63777" ht="26.25" customHeight="1"/>
    <row r="63778" ht="26.25" customHeight="1"/>
    <row r="63779" ht="26.25" customHeight="1"/>
    <row r="63780" ht="26.25" customHeight="1"/>
    <row r="63781" ht="26.25" customHeight="1"/>
    <row r="63782" ht="26.25" customHeight="1"/>
    <row r="63783" ht="26.25" customHeight="1"/>
    <row r="63784" ht="26.25" customHeight="1"/>
    <row r="63785" ht="26.25" customHeight="1"/>
    <row r="63786" ht="26.25" customHeight="1"/>
    <row r="63787" ht="26.25" customHeight="1"/>
    <row r="63788" ht="26.25" customHeight="1"/>
    <row r="63789" ht="26.25" customHeight="1"/>
    <row r="63790" ht="26.25" customHeight="1"/>
    <row r="63791" ht="26.25" customHeight="1"/>
    <row r="63792" ht="26.25" customHeight="1"/>
    <row r="63793" ht="26.25" customHeight="1"/>
    <row r="63794" ht="26.25" customHeight="1"/>
    <row r="63795" ht="26.25" customHeight="1"/>
    <row r="63796" ht="26.25" customHeight="1"/>
    <row r="63797" ht="26.25" customHeight="1"/>
    <row r="63798" ht="26.25" customHeight="1"/>
    <row r="63799" ht="26.25" customHeight="1"/>
    <row r="63800" ht="26.25" customHeight="1"/>
    <row r="63801" ht="26.25" customHeight="1"/>
    <row r="63802" ht="26.25" customHeight="1"/>
    <row r="63803" ht="26.25" customHeight="1"/>
    <row r="63804" ht="26.25" customHeight="1"/>
    <row r="63805" ht="26.25" customHeight="1"/>
    <row r="63806" ht="26.25" customHeight="1"/>
    <row r="63807" ht="26.25" customHeight="1"/>
    <row r="63808" ht="26.25" customHeight="1"/>
    <row r="63809" ht="26.25" customHeight="1"/>
    <row r="63810" ht="26.25" customHeight="1"/>
    <row r="63811" ht="26.25" customHeight="1"/>
    <row r="63812" ht="26.25" customHeight="1"/>
    <row r="63813" ht="26.25" customHeight="1"/>
    <row r="63814" ht="26.25" customHeight="1"/>
    <row r="63815" ht="26.25" customHeight="1"/>
    <row r="63816" ht="26.25" customHeight="1"/>
    <row r="63817" ht="26.25" customHeight="1"/>
    <row r="63818" ht="26.25" customHeight="1"/>
    <row r="63819" ht="26.25" customHeight="1"/>
    <row r="63820" ht="26.25" customHeight="1"/>
    <row r="63821" ht="26.25" customHeight="1"/>
    <row r="63822" ht="26.25" customHeight="1"/>
    <row r="63823" ht="26.25" customHeight="1"/>
    <row r="63824" ht="26.25" customHeight="1"/>
    <row r="63825" ht="26.25" customHeight="1"/>
    <row r="63826" ht="26.25" customHeight="1"/>
    <row r="63827" ht="26.25" customHeight="1"/>
    <row r="63828" ht="26.25" customHeight="1"/>
    <row r="63829" ht="26.25" customHeight="1"/>
    <row r="63830" ht="26.25" customHeight="1"/>
    <row r="63831" ht="26.25" customHeight="1"/>
    <row r="63832" ht="26.25" customHeight="1"/>
    <row r="63833" ht="26.25" customHeight="1"/>
    <row r="63834" ht="26.25" customHeight="1"/>
    <row r="63835" ht="26.25" customHeight="1"/>
    <row r="63836" ht="26.25" customHeight="1"/>
    <row r="63837" ht="26.25" customHeight="1"/>
    <row r="63838" ht="26.25" customHeight="1"/>
    <row r="63839" ht="26.25" customHeight="1"/>
    <row r="63840" ht="26.25" customHeight="1"/>
    <row r="63841" ht="26.25" customHeight="1"/>
    <row r="63842" ht="26.25" customHeight="1"/>
    <row r="63843" ht="26.25" customHeight="1"/>
    <row r="63844" ht="26.25" customHeight="1"/>
    <row r="63845" ht="26.25" customHeight="1"/>
    <row r="63846" ht="26.25" customHeight="1"/>
    <row r="63847" ht="26.25" customHeight="1"/>
    <row r="63848" ht="26.25" customHeight="1"/>
    <row r="63849" ht="26.25" customHeight="1"/>
    <row r="63850" ht="26.25" customHeight="1"/>
    <row r="63851" ht="26.25" customHeight="1"/>
    <row r="63852" ht="26.25" customHeight="1"/>
    <row r="63853" ht="26.25" customHeight="1"/>
    <row r="63854" ht="26.25" customHeight="1"/>
    <row r="63855" ht="26.25" customHeight="1"/>
    <row r="63856" ht="26.25" customHeight="1"/>
    <row r="63857" ht="26.25" customHeight="1"/>
    <row r="63858" ht="26.25" customHeight="1"/>
    <row r="63859" ht="26.25" customHeight="1"/>
    <row r="63860" ht="26.25" customHeight="1"/>
    <row r="63861" ht="26.25" customHeight="1"/>
    <row r="63862" ht="26.25" customHeight="1"/>
    <row r="63863" ht="26.25" customHeight="1"/>
    <row r="63864" ht="26.25" customHeight="1"/>
    <row r="63865" ht="26.25" customHeight="1"/>
    <row r="63866" ht="26.25" customHeight="1"/>
    <row r="63867" ht="26.25" customHeight="1"/>
    <row r="63868" ht="26.25" customHeight="1"/>
    <row r="63869" ht="26.25" customHeight="1"/>
    <row r="63870" ht="26.25" customHeight="1"/>
    <row r="63871" ht="26.25" customHeight="1"/>
    <row r="63872" ht="26.25" customHeight="1"/>
    <row r="63873" ht="26.25" customHeight="1"/>
    <row r="63874" ht="26.25" customHeight="1"/>
    <row r="63875" ht="26.25" customHeight="1"/>
    <row r="63876" ht="26.25" customHeight="1"/>
    <row r="63877" ht="26.25" customHeight="1"/>
    <row r="63878" ht="26.25" customHeight="1"/>
    <row r="63879" ht="26.25" customHeight="1"/>
    <row r="63880" ht="26.25" customHeight="1"/>
    <row r="63881" ht="26.25" customHeight="1"/>
    <row r="63882" ht="26.25" customHeight="1"/>
    <row r="63883" ht="26.25" customHeight="1"/>
    <row r="63884" ht="26.25" customHeight="1"/>
    <row r="63885" ht="26.25" customHeight="1"/>
    <row r="63886" ht="26.25" customHeight="1"/>
    <row r="63887" ht="26.25" customHeight="1"/>
    <row r="63888" ht="26.25" customHeight="1"/>
    <row r="63889" ht="26.25" customHeight="1"/>
    <row r="63890" ht="26.25" customHeight="1"/>
    <row r="63891" ht="26.25" customHeight="1"/>
    <row r="63892" ht="26.25" customHeight="1"/>
    <row r="63893" ht="26.25" customHeight="1"/>
    <row r="63894" ht="26.25" customHeight="1"/>
    <row r="63895" ht="26.25" customHeight="1"/>
    <row r="63896" ht="26.25" customHeight="1"/>
    <row r="63897" ht="26.25" customHeight="1"/>
    <row r="63898" ht="26.25" customHeight="1"/>
    <row r="63899" ht="26.25" customHeight="1"/>
    <row r="63900" ht="26.25" customHeight="1"/>
    <row r="63901" ht="26.25" customHeight="1"/>
    <row r="63902" ht="26.25" customHeight="1"/>
    <row r="63903" ht="26.25" customHeight="1"/>
    <row r="63904" ht="26.25" customHeight="1"/>
    <row r="63905" ht="26.25" customHeight="1"/>
    <row r="63906" ht="26.25" customHeight="1"/>
    <row r="63907" ht="26.25" customHeight="1"/>
    <row r="63908" ht="26.25" customHeight="1"/>
    <row r="63909" ht="26.25" customHeight="1"/>
    <row r="63910" ht="26.25" customHeight="1"/>
    <row r="63911" ht="26.25" customHeight="1"/>
    <row r="63912" ht="26.25" customHeight="1"/>
    <row r="63913" ht="26.25" customHeight="1"/>
    <row r="63914" ht="26.25" customHeight="1"/>
    <row r="63915" ht="26.25" customHeight="1"/>
    <row r="63916" ht="26.25" customHeight="1"/>
    <row r="63917" ht="26.25" customHeight="1"/>
    <row r="63918" ht="26.25" customHeight="1"/>
    <row r="63919" ht="26.25" customHeight="1"/>
    <row r="63920" ht="26.25" customHeight="1"/>
    <row r="63921" ht="26.25" customHeight="1"/>
    <row r="63922" ht="26.25" customHeight="1"/>
    <row r="63923" ht="26.25" customHeight="1"/>
    <row r="63924" ht="26.25" customHeight="1"/>
    <row r="63925" ht="26.25" customHeight="1"/>
    <row r="63926" ht="26.25" customHeight="1"/>
    <row r="63927" ht="26.25" customHeight="1"/>
    <row r="63928" ht="26.25" customHeight="1"/>
    <row r="63929" ht="26.25" customHeight="1"/>
    <row r="63930" ht="26.25" customHeight="1"/>
    <row r="63931" ht="26.25" customHeight="1"/>
    <row r="63932" ht="26.25" customHeight="1"/>
    <row r="63933" ht="26.25" customHeight="1"/>
    <row r="63934" ht="26.25" customHeight="1"/>
    <row r="63935" ht="26.25" customHeight="1"/>
    <row r="63936" ht="26.25" customHeight="1"/>
    <row r="63937" ht="26.25" customHeight="1"/>
    <row r="63938" ht="26.25" customHeight="1"/>
    <row r="63939" ht="26.25" customHeight="1"/>
    <row r="63940" ht="26.25" customHeight="1"/>
    <row r="63941" ht="26.25" customHeight="1"/>
    <row r="63942" ht="26.25" customHeight="1"/>
    <row r="63943" ht="26.25" customHeight="1"/>
    <row r="63944" ht="26.25" customHeight="1"/>
    <row r="63945" ht="26.25" customHeight="1"/>
    <row r="63946" ht="26.25" customHeight="1"/>
    <row r="63947" ht="26.25" customHeight="1"/>
    <row r="63948" ht="26.25" customHeight="1"/>
    <row r="63949" ht="26.25" customHeight="1"/>
    <row r="63950" ht="26.25" customHeight="1"/>
    <row r="63951" ht="26.25" customHeight="1"/>
    <row r="63952" ht="26.25" customHeight="1"/>
    <row r="63953" ht="26.25" customHeight="1"/>
    <row r="63954" ht="26.25" customHeight="1"/>
    <row r="63955" ht="26.25" customHeight="1"/>
    <row r="63956" ht="26.25" customHeight="1"/>
    <row r="63957" ht="26.25" customHeight="1"/>
    <row r="63958" ht="26.25" customHeight="1"/>
    <row r="63959" ht="26.25" customHeight="1"/>
    <row r="63960" ht="26.25" customHeight="1"/>
    <row r="63961" ht="26.25" customHeight="1"/>
    <row r="63962" ht="26.25" customHeight="1"/>
    <row r="63963" ht="26.25" customHeight="1"/>
    <row r="63964" ht="26.25" customHeight="1"/>
    <row r="63965" ht="26.25" customHeight="1"/>
    <row r="63966" ht="26.25" customHeight="1"/>
    <row r="63967" ht="26.25" customHeight="1"/>
    <row r="63968" ht="26.25" customHeight="1"/>
    <row r="63969" ht="26.25" customHeight="1"/>
    <row r="63970" ht="26.25" customHeight="1"/>
    <row r="63971" ht="26.25" customHeight="1"/>
    <row r="63972" ht="26.25" customHeight="1"/>
    <row r="63973" ht="26.25" customHeight="1"/>
    <row r="63974" ht="26.25" customHeight="1"/>
    <row r="63975" ht="26.25" customHeight="1"/>
    <row r="63976" ht="26.25" customHeight="1"/>
    <row r="63977" ht="26.25" customHeight="1"/>
    <row r="63978" ht="26.25" customHeight="1"/>
    <row r="63979" ht="26.25" customHeight="1"/>
    <row r="63980" ht="26.25" customHeight="1"/>
    <row r="63981" ht="26.25" customHeight="1"/>
    <row r="63982" ht="26.25" customHeight="1"/>
    <row r="63983" ht="26.25" customHeight="1"/>
    <row r="63984" ht="26.25" customHeight="1"/>
    <row r="63985" ht="26.25" customHeight="1"/>
    <row r="63986" ht="26.25" customHeight="1"/>
    <row r="63987" ht="26.25" customHeight="1"/>
    <row r="63988" ht="26.25" customHeight="1"/>
    <row r="63989" ht="26.25" customHeight="1"/>
    <row r="63990" ht="26.25" customHeight="1"/>
    <row r="63991" ht="26.25" customHeight="1"/>
    <row r="63992" ht="26.25" customHeight="1"/>
    <row r="63993" ht="26.25" customHeight="1"/>
    <row r="63994" ht="26.25" customHeight="1"/>
    <row r="63995" ht="26.25" customHeight="1"/>
    <row r="63996" ht="26.25" customHeight="1"/>
    <row r="63997" ht="26.25" customHeight="1"/>
    <row r="63998" ht="26.25" customHeight="1"/>
    <row r="63999" ht="26.25" customHeight="1"/>
    <row r="64000" ht="26.25" customHeight="1"/>
    <row r="64001" ht="26.25" customHeight="1"/>
    <row r="64002" ht="26.25" customHeight="1"/>
    <row r="64003" ht="26.25" customHeight="1"/>
    <row r="64004" ht="26.25" customHeight="1"/>
    <row r="64005" ht="26.25" customHeight="1"/>
    <row r="64006" ht="26.25" customHeight="1"/>
    <row r="64007" ht="26.25" customHeight="1"/>
    <row r="64008" ht="26.25" customHeight="1"/>
    <row r="64009" ht="26.25" customHeight="1"/>
    <row r="64010" ht="26.25" customHeight="1"/>
    <row r="64011" ht="26.25" customHeight="1"/>
    <row r="64012" ht="26.25" customHeight="1"/>
    <row r="64013" ht="26.25" customHeight="1"/>
    <row r="64014" ht="26.25" customHeight="1"/>
    <row r="64015" ht="26.25" customHeight="1"/>
    <row r="64016" ht="26.25" customHeight="1"/>
    <row r="64017" ht="26.25" customHeight="1"/>
    <row r="64018" ht="26.25" customHeight="1"/>
    <row r="64019" ht="26.25" customHeight="1"/>
    <row r="64020" ht="26.25" customHeight="1"/>
    <row r="64021" ht="26.25" customHeight="1"/>
    <row r="64022" ht="26.25" customHeight="1"/>
    <row r="64023" ht="26.25" customHeight="1"/>
    <row r="64024" ht="26.25" customHeight="1"/>
    <row r="64025" ht="26.25" customHeight="1"/>
    <row r="64026" ht="26.25" customHeight="1"/>
    <row r="64027" ht="26.25" customHeight="1"/>
    <row r="64028" ht="26.25" customHeight="1"/>
    <row r="64029" ht="26.25" customHeight="1"/>
    <row r="64030" ht="26.25" customHeight="1"/>
    <row r="64031" ht="26.25" customHeight="1"/>
    <row r="64032" ht="26.25" customHeight="1"/>
    <row r="64033" ht="26.25" customHeight="1"/>
    <row r="64034" ht="26.25" customHeight="1"/>
    <row r="64035" ht="26.25" customHeight="1"/>
    <row r="64036" ht="26.25" customHeight="1"/>
    <row r="64037" ht="26.25" customHeight="1"/>
    <row r="64038" ht="26.25" customHeight="1"/>
    <row r="64039" ht="26.25" customHeight="1"/>
    <row r="64040" ht="26.25" customHeight="1"/>
    <row r="64041" ht="26.25" customHeight="1"/>
    <row r="64042" ht="26.25" customHeight="1"/>
    <row r="64043" ht="26.25" customHeight="1"/>
    <row r="64044" ht="26.25" customHeight="1"/>
    <row r="64045" ht="26.25" customHeight="1"/>
    <row r="64046" ht="26.25" customHeight="1"/>
    <row r="64047" ht="26.25" customHeight="1"/>
    <row r="64048" ht="26.25" customHeight="1"/>
    <row r="64049" ht="26.25" customHeight="1"/>
    <row r="64050" ht="26.25" customHeight="1"/>
    <row r="64051" ht="26.25" customHeight="1"/>
    <row r="64052" ht="26.25" customHeight="1"/>
    <row r="64053" ht="26.25" customHeight="1"/>
    <row r="64054" ht="26.25" customHeight="1"/>
    <row r="64055" ht="26.25" customHeight="1"/>
    <row r="64056" ht="26.25" customHeight="1"/>
    <row r="64057" ht="26.25" customHeight="1"/>
    <row r="64058" ht="26.25" customHeight="1"/>
    <row r="64059" ht="26.25" customHeight="1"/>
    <row r="64060" ht="26.25" customHeight="1"/>
    <row r="64061" ht="26.25" customHeight="1"/>
    <row r="64062" ht="26.25" customHeight="1"/>
    <row r="64063" ht="26.25" customHeight="1"/>
    <row r="64064" ht="26.25" customHeight="1"/>
    <row r="64065" ht="26.25" customHeight="1"/>
    <row r="64066" ht="26.25" customHeight="1"/>
    <row r="64067" ht="26.25" customHeight="1"/>
    <row r="64068" ht="26.25" customHeight="1"/>
    <row r="64069" ht="26.25" customHeight="1"/>
    <row r="64070" ht="26.25" customHeight="1"/>
    <row r="64071" ht="26.25" customHeight="1"/>
    <row r="64072" ht="26.25" customHeight="1"/>
    <row r="64073" ht="26.25" customHeight="1"/>
    <row r="64074" ht="26.25" customHeight="1"/>
    <row r="64075" ht="26.25" customHeight="1"/>
    <row r="64076" ht="26.25" customHeight="1"/>
    <row r="64077" ht="26.25" customHeight="1"/>
    <row r="64078" ht="26.25" customHeight="1"/>
    <row r="64079" ht="26.25" customHeight="1"/>
    <row r="64080" ht="26.25" customHeight="1"/>
    <row r="64081" ht="26.25" customHeight="1"/>
    <row r="64082" ht="26.25" customHeight="1"/>
    <row r="64083" ht="26.25" customHeight="1"/>
    <row r="64084" ht="26.25" customHeight="1"/>
    <row r="64085" ht="26.25" customHeight="1"/>
    <row r="64086" ht="26.25" customHeight="1"/>
    <row r="64087" ht="26.25" customHeight="1"/>
    <row r="64088" ht="26.25" customHeight="1"/>
    <row r="64089" ht="26.25" customHeight="1"/>
    <row r="64090" ht="26.25" customHeight="1"/>
    <row r="64091" ht="26.25" customHeight="1"/>
    <row r="64092" ht="26.25" customHeight="1"/>
    <row r="64093" ht="26.25" customHeight="1"/>
    <row r="64094" ht="26.25" customHeight="1"/>
    <row r="64095" ht="26.25" customHeight="1"/>
    <row r="64096" ht="26.25" customHeight="1"/>
    <row r="64097" ht="26.25" customHeight="1"/>
    <row r="64098" ht="26.25" customHeight="1"/>
    <row r="64099" ht="26.25" customHeight="1"/>
    <row r="64100" ht="26.25" customHeight="1"/>
    <row r="64101" ht="26.25" customHeight="1"/>
    <row r="64102" ht="26.25" customHeight="1"/>
    <row r="64103" ht="26.25" customHeight="1"/>
    <row r="64104" ht="26.25" customHeight="1"/>
    <row r="64105" ht="26.25" customHeight="1"/>
    <row r="64106" ht="26.25" customHeight="1"/>
    <row r="64107" ht="26.25" customHeight="1"/>
    <row r="64108" ht="26.25" customHeight="1"/>
    <row r="64109" ht="26.25" customHeight="1"/>
    <row r="64110" ht="26.25" customHeight="1"/>
    <row r="64111" ht="26.25" customHeight="1"/>
    <row r="64112" ht="26.25" customHeight="1"/>
    <row r="64113" ht="26.25" customHeight="1"/>
    <row r="64114" ht="26.25" customHeight="1"/>
    <row r="64115" ht="26.25" customHeight="1"/>
    <row r="64116" ht="26.25" customHeight="1"/>
    <row r="64117" ht="26.25" customHeight="1"/>
    <row r="64118" ht="26.25" customHeight="1"/>
    <row r="64119" ht="26.25" customHeight="1"/>
    <row r="64120" ht="26.25" customHeight="1"/>
    <row r="64121" ht="26.25" customHeight="1"/>
    <row r="64122" ht="26.25" customHeight="1"/>
    <row r="64123" ht="26.25" customHeight="1"/>
    <row r="64124" ht="26.25" customHeight="1"/>
    <row r="64125" ht="26.25" customHeight="1"/>
    <row r="64126" ht="26.25" customHeight="1"/>
    <row r="64127" ht="26.25" customHeight="1"/>
    <row r="64128" ht="26.25" customHeight="1"/>
    <row r="64129" ht="26.25" customHeight="1"/>
    <row r="64130" ht="26.25" customHeight="1"/>
    <row r="64131" ht="26.25" customHeight="1"/>
    <row r="64132" ht="26.25" customHeight="1"/>
    <row r="64133" ht="26.25" customHeight="1"/>
    <row r="64134" ht="26.25" customHeight="1"/>
    <row r="64135" ht="26.25" customHeight="1"/>
    <row r="64136" ht="26.25" customHeight="1"/>
    <row r="64137" ht="26.25" customHeight="1"/>
    <row r="64138" ht="26.25" customHeight="1"/>
    <row r="64139" ht="26.25" customHeight="1"/>
    <row r="64140" ht="26.25" customHeight="1"/>
    <row r="64141" ht="26.25" customHeight="1"/>
    <row r="64142" ht="26.25" customHeight="1"/>
    <row r="64143" ht="26.25" customHeight="1"/>
    <row r="64144" ht="26.25" customHeight="1"/>
    <row r="64145" ht="26.25" customHeight="1"/>
    <row r="64146" ht="26.25" customHeight="1"/>
    <row r="64147" ht="26.25" customHeight="1"/>
    <row r="64148" ht="26.25" customHeight="1"/>
    <row r="64149" ht="26.25" customHeight="1"/>
    <row r="64150" ht="26.25" customHeight="1"/>
    <row r="64151" ht="26.25" customHeight="1"/>
    <row r="64152" ht="26.25" customHeight="1"/>
    <row r="64153" ht="26.25" customHeight="1"/>
    <row r="64154" ht="26.25" customHeight="1"/>
    <row r="64155" ht="26.25" customHeight="1"/>
    <row r="64156" ht="26.25" customHeight="1"/>
    <row r="64157" ht="26.25" customHeight="1"/>
    <row r="64158" ht="26.25" customHeight="1"/>
    <row r="64159" ht="26.25" customHeight="1"/>
    <row r="64160" ht="26.25" customHeight="1"/>
    <row r="64161" ht="26.25" customHeight="1"/>
    <row r="64162" ht="26.25" customHeight="1"/>
    <row r="64163" ht="26.25" customHeight="1"/>
    <row r="64164" ht="26.25" customHeight="1"/>
    <row r="64165" ht="26.25" customHeight="1"/>
    <row r="64166" ht="26.25" customHeight="1"/>
    <row r="64167" ht="26.25" customHeight="1"/>
    <row r="64168" ht="26.25" customHeight="1"/>
    <row r="64169" ht="26.25" customHeight="1"/>
    <row r="64170" ht="26.25" customHeight="1"/>
    <row r="64171" ht="26.25" customHeight="1"/>
    <row r="64172" ht="26.25" customHeight="1"/>
    <row r="64173" ht="26.25" customHeight="1"/>
    <row r="64174" ht="26.25" customHeight="1"/>
    <row r="64175" ht="26.25" customHeight="1"/>
    <row r="64176" ht="26.25" customHeight="1"/>
    <row r="64177" ht="26.25" customHeight="1"/>
    <row r="64178" ht="26.25" customHeight="1"/>
    <row r="64179" ht="26.25" customHeight="1"/>
    <row r="64180" ht="26.25" customHeight="1"/>
    <row r="64181" ht="26.25" customHeight="1"/>
    <row r="64182" ht="26.25" customHeight="1"/>
    <row r="64183" ht="26.25" customHeight="1"/>
    <row r="64184" ht="26.25" customHeight="1"/>
    <row r="64185" ht="26.25" customHeight="1"/>
    <row r="64186" ht="26.25" customHeight="1"/>
    <row r="64187" ht="26.25" customHeight="1"/>
    <row r="64188" ht="26.25" customHeight="1"/>
    <row r="64189" ht="26.25" customHeight="1"/>
    <row r="64190" ht="26.25" customHeight="1"/>
    <row r="64191" ht="26.25" customHeight="1"/>
    <row r="64192" ht="26.25" customHeight="1"/>
    <row r="64193" ht="26.25" customHeight="1"/>
    <row r="64194" ht="26.25" customHeight="1"/>
    <row r="64195" ht="26.25" customHeight="1"/>
    <row r="64196" ht="26.25" customHeight="1"/>
    <row r="64197" ht="26.25" customHeight="1"/>
    <row r="64198" ht="26.25" customHeight="1"/>
    <row r="64199" ht="26.25" customHeight="1"/>
    <row r="64200" ht="26.25" customHeight="1"/>
    <row r="64201" ht="26.25" customHeight="1"/>
    <row r="64202" ht="26.25" customHeight="1"/>
    <row r="64203" ht="26.25" customHeight="1"/>
    <row r="64204" ht="26.25" customHeight="1"/>
    <row r="64205" ht="26.25" customHeight="1"/>
    <row r="64206" ht="26.25" customHeight="1"/>
    <row r="64207" ht="26.25" customHeight="1"/>
    <row r="64208" ht="26.25" customHeight="1"/>
    <row r="64209" ht="26.25" customHeight="1"/>
    <row r="64210" ht="26.25" customHeight="1"/>
    <row r="64211" ht="26.25" customHeight="1"/>
    <row r="64212" ht="26.25" customHeight="1"/>
    <row r="64213" ht="26.25" customHeight="1"/>
    <row r="64214" ht="26.25" customHeight="1"/>
    <row r="64215" ht="26.25" customHeight="1"/>
    <row r="64216" ht="26.25" customHeight="1"/>
    <row r="64217" ht="26.25" customHeight="1"/>
    <row r="64218" ht="26.25" customHeight="1"/>
    <row r="64219" ht="26.25" customHeight="1"/>
    <row r="64220" ht="26.25" customHeight="1"/>
    <row r="64221" ht="26.25" customHeight="1"/>
    <row r="64222" ht="26.25" customHeight="1"/>
    <row r="64223" ht="26.25" customHeight="1"/>
    <row r="64224" ht="26.25" customHeight="1"/>
    <row r="64225" ht="26.25" customHeight="1"/>
    <row r="64226" ht="26.25" customHeight="1"/>
    <row r="64227" ht="26.25" customHeight="1"/>
    <row r="64228" ht="26.25" customHeight="1"/>
    <row r="64229" ht="26.25" customHeight="1"/>
    <row r="64230" ht="26.25" customHeight="1"/>
    <row r="64231" ht="26.25" customHeight="1"/>
    <row r="64232" ht="26.25" customHeight="1"/>
    <row r="64233" ht="26.25" customHeight="1"/>
    <row r="64234" ht="26.25" customHeight="1"/>
    <row r="64235" ht="26.25" customHeight="1"/>
    <row r="64236" ht="26.25" customHeight="1"/>
    <row r="64237" ht="26.25" customHeight="1"/>
    <row r="64238" ht="26.25" customHeight="1"/>
    <row r="64239" ht="26.25" customHeight="1"/>
    <row r="64240" ht="26.25" customHeight="1"/>
    <row r="64241" ht="26.25" customHeight="1"/>
    <row r="64242" ht="26.25" customHeight="1"/>
    <row r="64243" ht="26.25" customHeight="1"/>
    <row r="64244" ht="26.25" customHeight="1"/>
    <row r="64245" ht="26.25" customHeight="1"/>
    <row r="64246" ht="26.25" customHeight="1"/>
    <row r="64247" ht="26.25" customHeight="1"/>
    <row r="64248" ht="26.25" customHeight="1"/>
    <row r="64249" ht="26.25" customHeight="1"/>
    <row r="64250" ht="26.25" customHeight="1"/>
    <row r="64251" ht="26.25" customHeight="1"/>
    <row r="64252" ht="26.25" customHeight="1"/>
    <row r="64253" ht="26.25" customHeight="1"/>
    <row r="64254" ht="26.25" customHeight="1"/>
    <row r="64255" ht="26.25" customHeight="1"/>
    <row r="64256" ht="26.25" customHeight="1"/>
    <row r="64257" ht="26.25" customHeight="1"/>
    <row r="64258" ht="26.25" customHeight="1"/>
    <row r="64259" ht="26.25" customHeight="1"/>
    <row r="64260" ht="26.25" customHeight="1"/>
    <row r="64261" ht="26.25" customHeight="1"/>
    <row r="64262" ht="26.25" customHeight="1"/>
    <row r="64263" ht="26.25" customHeight="1"/>
    <row r="64264" ht="26.25" customHeight="1"/>
    <row r="64265" ht="26.25" customHeight="1"/>
    <row r="64266" ht="26.25" customHeight="1"/>
    <row r="64267" ht="26.25" customHeight="1"/>
    <row r="64268" ht="26.25" customHeight="1"/>
    <row r="64269" ht="26.25" customHeight="1"/>
    <row r="64270" ht="26.25" customHeight="1"/>
    <row r="64271" ht="26.25" customHeight="1"/>
    <row r="64272" ht="26.25" customHeight="1"/>
    <row r="64273" ht="26.25" customHeight="1"/>
    <row r="64274" ht="26.25" customHeight="1"/>
    <row r="64275" ht="26.25" customHeight="1"/>
    <row r="64276" ht="26.25" customHeight="1"/>
    <row r="64277" ht="26.25" customHeight="1"/>
    <row r="64278" ht="26.25" customHeight="1"/>
    <row r="64279" ht="26.25" customHeight="1"/>
    <row r="64280" ht="26.25" customHeight="1"/>
    <row r="64281" ht="26.25" customHeight="1"/>
    <row r="64282" ht="26.25" customHeight="1"/>
    <row r="64283" ht="26.25" customHeight="1"/>
    <row r="64284" ht="26.25" customHeight="1"/>
    <row r="64285" ht="26.25" customHeight="1"/>
    <row r="64286" ht="26.25" customHeight="1"/>
    <row r="64287" ht="26.25" customHeight="1"/>
    <row r="64288" ht="26.25" customHeight="1"/>
    <row r="64289" ht="26.25" customHeight="1"/>
    <row r="64290" ht="26.25" customHeight="1"/>
    <row r="64291" ht="26.25" customHeight="1"/>
    <row r="64292" ht="26.25" customHeight="1"/>
    <row r="64293" ht="26.25" customHeight="1"/>
    <row r="64294" ht="26.25" customHeight="1"/>
    <row r="64295" ht="26.25" customHeight="1"/>
    <row r="64296" ht="26.25" customHeight="1"/>
    <row r="64297" ht="26.25" customHeight="1"/>
    <row r="64298" ht="26.25" customHeight="1"/>
    <row r="64299" ht="26.25" customHeight="1"/>
    <row r="64300" ht="26.25" customHeight="1"/>
    <row r="64301" ht="26.25" customHeight="1"/>
    <row r="64302" ht="26.25" customHeight="1"/>
    <row r="64303" ht="26.25" customHeight="1"/>
    <row r="64304" ht="26.25" customHeight="1"/>
    <row r="64305" ht="26.25" customHeight="1"/>
    <row r="64306" ht="26.25" customHeight="1"/>
    <row r="64307" ht="26.25" customHeight="1"/>
    <row r="64308" ht="26.25" customHeight="1"/>
    <row r="64309" ht="26.25" customHeight="1"/>
    <row r="64310" ht="26.25" customHeight="1"/>
    <row r="64311" ht="26.25" customHeight="1"/>
    <row r="64312" ht="26.25" customHeight="1"/>
    <row r="64313" ht="26.25" customHeight="1"/>
    <row r="64314" ht="26.25" customHeight="1"/>
    <row r="64315" ht="26.25" customHeight="1"/>
    <row r="64316" ht="26.25" customHeight="1"/>
    <row r="64317" ht="26.25" customHeight="1"/>
    <row r="64318" ht="26.25" customHeight="1"/>
    <row r="64319" ht="26.25" customHeight="1"/>
    <row r="64320" ht="26.25" customHeight="1"/>
    <row r="64321" ht="26.25" customHeight="1"/>
    <row r="64322" ht="26.25" customHeight="1"/>
    <row r="64323" ht="26.25" customHeight="1"/>
    <row r="64324" ht="26.25" customHeight="1"/>
    <row r="64325" ht="26.25" customHeight="1"/>
    <row r="64326" ht="26.25" customHeight="1"/>
    <row r="64327" ht="26.25" customHeight="1"/>
    <row r="64328" ht="26.25" customHeight="1"/>
    <row r="64329" ht="26.25" customHeight="1"/>
    <row r="64330" ht="26.25" customHeight="1"/>
    <row r="64331" ht="26.25" customHeight="1"/>
    <row r="64332" ht="26.25" customHeight="1"/>
    <row r="64333" ht="26.25" customHeight="1"/>
    <row r="64334" ht="26.25" customHeight="1"/>
    <row r="64335" ht="26.25" customHeight="1"/>
    <row r="64336" ht="26.25" customHeight="1"/>
    <row r="64337" ht="26.25" customHeight="1"/>
    <row r="64338" ht="26.25" customHeight="1"/>
    <row r="64339" ht="26.25" customHeight="1"/>
    <row r="64340" ht="26.25" customHeight="1"/>
    <row r="64341" ht="26.25" customHeight="1"/>
    <row r="64342" ht="26.25" customHeight="1"/>
    <row r="64343" ht="26.25" customHeight="1"/>
    <row r="64344" ht="26.25" customHeight="1"/>
    <row r="64345" ht="26.25" customHeight="1"/>
    <row r="64346" ht="26.25" customHeight="1"/>
    <row r="64347" ht="26.25" customHeight="1"/>
    <row r="64348" ht="26.25" customHeight="1"/>
    <row r="64349" ht="26.25" customHeight="1"/>
    <row r="64350" ht="26.25" customHeight="1"/>
    <row r="64351" ht="26.25" customHeight="1"/>
    <row r="64352" ht="26.25" customHeight="1"/>
    <row r="64353" ht="26.25" customHeight="1"/>
    <row r="64354" ht="26.25" customHeight="1"/>
    <row r="64355" ht="26.25" customHeight="1"/>
    <row r="64356" ht="26.25" customHeight="1"/>
    <row r="64357" ht="26.25" customHeight="1"/>
    <row r="64358" ht="26.25" customHeight="1"/>
    <row r="64359" ht="26.25" customHeight="1"/>
    <row r="64360" ht="26.25" customHeight="1"/>
    <row r="64361" ht="26.25" customHeight="1"/>
    <row r="64362" ht="26.25" customHeight="1"/>
    <row r="64363" ht="26.25" customHeight="1"/>
    <row r="64364" ht="26.25" customHeight="1"/>
    <row r="64365" ht="26.25" customHeight="1"/>
    <row r="64366" ht="26.25" customHeight="1"/>
    <row r="64367" ht="26.25" customHeight="1"/>
    <row r="64368" ht="26.25" customHeight="1"/>
    <row r="64369" ht="26.25" customHeight="1"/>
    <row r="64370" ht="26.25" customHeight="1"/>
    <row r="64371" ht="26.25" customHeight="1"/>
    <row r="64372" ht="26.25" customHeight="1"/>
    <row r="64373" ht="26.25" customHeight="1"/>
    <row r="64374" ht="26.25" customHeight="1"/>
    <row r="64375" ht="26.25" customHeight="1"/>
    <row r="64376" ht="26.25" customHeight="1"/>
    <row r="64377" ht="26.25" customHeight="1"/>
    <row r="64378" ht="26.25" customHeight="1"/>
    <row r="64379" ht="26.25" customHeight="1"/>
    <row r="64380" ht="26.25" customHeight="1"/>
    <row r="64381" ht="26.25" customHeight="1"/>
    <row r="64382" ht="26.25" customHeight="1"/>
    <row r="64383" ht="26.25" customHeight="1"/>
    <row r="64384" ht="26.25" customHeight="1"/>
    <row r="64385" ht="26.25" customHeight="1"/>
    <row r="64386" ht="26.25" customHeight="1"/>
    <row r="64387" ht="26.25" customHeight="1"/>
    <row r="64388" ht="26.25" customHeight="1"/>
    <row r="64389" ht="26.25" customHeight="1"/>
    <row r="64390" ht="26.25" customHeight="1"/>
    <row r="64391" ht="26.25" customHeight="1"/>
    <row r="64392" ht="26.25" customHeight="1"/>
    <row r="64393" ht="26.25" customHeight="1"/>
    <row r="64394" ht="26.25" customHeight="1"/>
    <row r="64395" ht="26.25" customHeight="1"/>
    <row r="64396" ht="26.25" customHeight="1"/>
    <row r="64397" ht="26.25" customHeight="1"/>
    <row r="64398" ht="26.25" customHeight="1"/>
    <row r="64399" ht="26.25" customHeight="1"/>
    <row r="64400" ht="26.25" customHeight="1"/>
    <row r="64401" ht="26.25" customHeight="1"/>
    <row r="64402" ht="26.25" customHeight="1"/>
    <row r="64403" ht="26.25" customHeight="1"/>
    <row r="64404" ht="26.25" customHeight="1"/>
    <row r="64405" ht="26.25" customHeight="1"/>
    <row r="64406" ht="26.25" customHeight="1"/>
    <row r="64407" ht="26.25" customHeight="1"/>
    <row r="64408" ht="26.25" customHeight="1"/>
    <row r="64409" ht="26.25" customHeight="1"/>
    <row r="64410" ht="26.25" customHeight="1"/>
    <row r="64411" ht="26.25" customHeight="1"/>
    <row r="64412" ht="26.25" customHeight="1"/>
    <row r="64413" ht="26.25" customHeight="1"/>
    <row r="64414" ht="26.25" customHeight="1"/>
    <row r="64415" ht="26.25" customHeight="1"/>
    <row r="64416" ht="26.25" customHeight="1"/>
    <row r="64417" ht="26.25" customHeight="1"/>
    <row r="64418" ht="26.25" customHeight="1"/>
    <row r="64419" ht="26.25" customHeight="1"/>
    <row r="64420" ht="26.25" customHeight="1"/>
    <row r="64421" ht="26.25" customHeight="1"/>
    <row r="64422" ht="26.25" customHeight="1"/>
    <row r="64423" ht="26.25" customHeight="1"/>
    <row r="64424" ht="26.25" customHeight="1"/>
    <row r="64425" ht="26.25" customHeight="1"/>
    <row r="64426" ht="26.25" customHeight="1"/>
    <row r="64427" ht="26.25" customHeight="1"/>
    <row r="64428" ht="26.25" customHeight="1"/>
    <row r="64429" ht="26.25" customHeight="1"/>
    <row r="64430" ht="26.25" customHeight="1"/>
    <row r="64431" ht="26.25" customHeight="1"/>
    <row r="64432" ht="26.25" customHeight="1"/>
    <row r="64433" ht="26.25" customHeight="1"/>
    <row r="64434" ht="26.25" customHeight="1"/>
    <row r="64435" ht="26.25" customHeight="1"/>
    <row r="64436" ht="26.25" customHeight="1"/>
    <row r="64437" ht="26.25" customHeight="1"/>
    <row r="64438" ht="26.25" customHeight="1"/>
    <row r="64439" ht="26.25" customHeight="1"/>
    <row r="64440" ht="26.25" customHeight="1"/>
    <row r="64441" ht="26.25" customHeight="1"/>
    <row r="64442" ht="26.25" customHeight="1"/>
    <row r="64443" ht="26.25" customHeight="1"/>
    <row r="64444" ht="26.25" customHeight="1"/>
    <row r="64445" ht="26.25" customHeight="1"/>
    <row r="64446" ht="26.25" customHeight="1"/>
    <row r="64447" ht="26.25" customHeight="1"/>
    <row r="64448" ht="26.25" customHeight="1"/>
    <row r="64449" ht="26.25" customHeight="1"/>
    <row r="64450" ht="26.25" customHeight="1"/>
    <row r="64451" ht="26.25" customHeight="1"/>
    <row r="64452" ht="26.25" customHeight="1"/>
    <row r="64453" ht="26.25" customHeight="1"/>
    <row r="64454" ht="26.25" customHeight="1"/>
    <row r="64455" ht="26.25" customHeight="1"/>
    <row r="64456" ht="26.25" customHeight="1"/>
    <row r="64457" ht="26.25" customHeight="1"/>
    <row r="64458" ht="26.25" customHeight="1"/>
    <row r="64459" ht="26.25" customHeight="1"/>
    <row r="64460" ht="26.25" customHeight="1"/>
    <row r="64461" ht="26.25" customHeight="1"/>
    <row r="64462" ht="26.25" customHeight="1"/>
    <row r="64463" ht="26.25" customHeight="1"/>
    <row r="64464" ht="26.25" customHeight="1"/>
    <row r="64465" ht="26.25" customHeight="1"/>
    <row r="64466" ht="26.25" customHeight="1"/>
    <row r="64467" ht="26.25" customHeight="1"/>
    <row r="64468" ht="26.25" customHeight="1"/>
    <row r="64469" ht="26.25" customHeight="1"/>
    <row r="64470" ht="26.25" customHeight="1"/>
    <row r="64471" ht="26.25" customHeight="1"/>
    <row r="64472" ht="26.25" customHeight="1"/>
    <row r="64473" ht="26.25" customHeight="1"/>
    <row r="64474" ht="26.25" customHeight="1"/>
    <row r="64475" ht="26.25" customHeight="1"/>
    <row r="64476" ht="26.25" customHeight="1"/>
    <row r="64477" ht="26.25" customHeight="1"/>
    <row r="64478" ht="26.25" customHeight="1"/>
    <row r="64479" ht="26.25" customHeight="1"/>
    <row r="64480" ht="26.25" customHeight="1"/>
    <row r="64481" ht="26.25" customHeight="1"/>
    <row r="64482" ht="26.25" customHeight="1"/>
    <row r="64483" ht="26.25" customHeight="1"/>
    <row r="64484" ht="26.25" customHeight="1"/>
    <row r="64485" ht="26.25" customHeight="1"/>
    <row r="64486" ht="26.25" customHeight="1"/>
    <row r="64487" ht="26.25" customHeight="1"/>
    <row r="64488" ht="26.25" customHeight="1"/>
    <row r="64489" ht="26.25" customHeight="1"/>
    <row r="64490" ht="26.25" customHeight="1"/>
    <row r="64491" ht="26.25" customHeight="1"/>
    <row r="64492" ht="26.25" customHeight="1"/>
    <row r="64493" ht="26.25" customHeight="1"/>
    <row r="64494" ht="26.25" customHeight="1"/>
    <row r="64495" ht="26.25" customHeight="1"/>
    <row r="64496" ht="26.25" customHeight="1"/>
    <row r="64497" ht="26.25" customHeight="1"/>
    <row r="64498" ht="26.25" customHeight="1"/>
    <row r="64499" ht="26.25" customHeight="1"/>
    <row r="64500" ht="26.25" customHeight="1"/>
    <row r="64501" ht="26.25" customHeight="1"/>
    <row r="64502" ht="26.25" customHeight="1"/>
    <row r="64503" ht="26.25" customHeight="1"/>
    <row r="64504" ht="26.25" customHeight="1"/>
    <row r="64505" ht="26.25" customHeight="1"/>
    <row r="64506" ht="26.25" customHeight="1"/>
    <row r="64507" ht="26.25" customHeight="1"/>
    <row r="64508" ht="26.25" customHeight="1"/>
    <row r="64509" ht="26.25" customHeight="1"/>
    <row r="64510" ht="26.25" customHeight="1"/>
    <row r="64511" ht="26.25" customHeight="1"/>
    <row r="64512" ht="26.25" customHeight="1"/>
    <row r="64513" ht="26.25" customHeight="1"/>
    <row r="64514" ht="26.25" customHeight="1"/>
    <row r="64515" ht="26.25" customHeight="1"/>
    <row r="64516" ht="26.25" customHeight="1"/>
    <row r="64517" ht="26.25" customHeight="1"/>
    <row r="64518" ht="26.25" customHeight="1"/>
    <row r="64519" ht="26.25" customHeight="1"/>
    <row r="64520" ht="26.25" customHeight="1"/>
    <row r="64521" ht="26.25" customHeight="1"/>
    <row r="64522" ht="26.25" customHeight="1"/>
    <row r="64523" ht="26.25" customHeight="1"/>
    <row r="64524" ht="26.25" customHeight="1"/>
    <row r="64525" ht="26.25" customHeight="1"/>
    <row r="64526" ht="26.25" customHeight="1"/>
    <row r="64527" ht="26.25" customHeight="1"/>
    <row r="64528" ht="26.25" customHeight="1"/>
    <row r="64529" ht="26.25" customHeight="1"/>
    <row r="64530" ht="26.25" customHeight="1"/>
    <row r="64531" ht="26.25" customHeight="1"/>
    <row r="64532" ht="26.25" customHeight="1"/>
    <row r="64533" ht="26.25" customHeight="1"/>
    <row r="64534" ht="26.25" customHeight="1"/>
    <row r="64535" ht="26.25" customHeight="1"/>
    <row r="64536" ht="26.25" customHeight="1"/>
    <row r="64537" ht="26.25" customHeight="1"/>
    <row r="64538" ht="26.25" customHeight="1"/>
    <row r="64539" ht="26.25" customHeight="1"/>
    <row r="64540" ht="26.25" customHeight="1"/>
    <row r="64541" ht="26.25" customHeight="1"/>
    <row r="64542" ht="26.25" customHeight="1"/>
    <row r="64543" ht="26.25" customHeight="1"/>
    <row r="64544" ht="26.25" customHeight="1"/>
    <row r="64545" ht="26.25" customHeight="1"/>
    <row r="64546" ht="26.25" customHeight="1"/>
    <row r="64547" ht="26.25" customHeight="1"/>
    <row r="64548" ht="26.25" customHeight="1"/>
    <row r="64549" ht="26.25" customHeight="1"/>
    <row r="64550" ht="26.25" customHeight="1"/>
    <row r="64551" ht="26.25" customHeight="1"/>
    <row r="64552" ht="26.25" customHeight="1"/>
    <row r="64553" ht="26.25" customHeight="1"/>
    <row r="64554" ht="26.25" customHeight="1"/>
    <row r="64555" ht="26.25" customHeight="1"/>
    <row r="64556" ht="26.25" customHeight="1"/>
    <row r="64557" ht="26.25" customHeight="1"/>
    <row r="64558" ht="26.25" customHeight="1"/>
    <row r="64559" ht="26.25" customHeight="1"/>
    <row r="64560" ht="26.25" customHeight="1"/>
    <row r="64561" ht="26.25" customHeight="1"/>
    <row r="64562" ht="26.25" customHeight="1"/>
    <row r="64563" ht="26.25" customHeight="1"/>
    <row r="64564" ht="26.25" customHeight="1"/>
    <row r="64565" ht="26.25" customHeight="1"/>
    <row r="64566" ht="26.25" customHeight="1"/>
    <row r="64567" ht="26.25" customHeight="1"/>
    <row r="64568" ht="26.25" customHeight="1"/>
    <row r="64569" ht="26.25" customHeight="1"/>
    <row r="64570" ht="26.25" customHeight="1"/>
    <row r="64571" ht="26.25" customHeight="1"/>
    <row r="64572" ht="26.25" customHeight="1"/>
    <row r="64573" ht="26.25" customHeight="1"/>
    <row r="64574" ht="26.25" customHeight="1"/>
    <row r="64575" ht="26.25" customHeight="1"/>
    <row r="64576" ht="26.25" customHeight="1"/>
    <row r="64577" ht="26.25" customHeight="1"/>
    <row r="64578" ht="26.25" customHeight="1"/>
    <row r="64579" ht="26.25" customHeight="1"/>
    <row r="64580" ht="26.25" customHeight="1"/>
    <row r="64581" ht="26.25" customHeight="1"/>
    <row r="64582" ht="26.25" customHeight="1"/>
    <row r="64583" ht="26.25" customHeight="1"/>
    <row r="64584" ht="26.25" customHeight="1"/>
    <row r="64585" ht="26.25" customHeight="1"/>
    <row r="64586" ht="26.25" customHeight="1"/>
    <row r="64587" ht="26.25" customHeight="1"/>
    <row r="64588" ht="26.25" customHeight="1"/>
    <row r="64589" ht="26.25" customHeight="1"/>
    <row r="64590" ht="26.25" customHeight="1"/>
    <row r="64591" ht="26.25" customHeight="1"/>
    <row r="64592" ht="26.25" customHeight="1"/>
    <row r="64593" ht="26.25" customHeight="1"/>
    <row r="64594" ht="26.25" customHeight="1"/>
    <row r="64595" ht="26.25" customHeight="1"/>
    <row r="64596" ht="26.25" customHeight="1"/>
    <row r="64597" ht="26.25" customHeight="1"/>
    <row r="64598" ht="26.25" customHeight="1"/>
    <row r="64599" ht="26.25" customHeight="1"/>
    <row r="64600" ht="26.25" customHeight="1"/>
    <row r="64601" ht="26.25" customHeight="1"/>
    <row r="64602" ht="26.25" customHeight="1"/>
    <row r="64603" ht="26.25" customHeight="1"/>
    <row r="64604" ht="26.25" customHeight="1"/>
    <row r="64605" ht="26.25" customHeight="1"/>
    <row r="64606" ht="26.25" customHeight="1"/>
    <row r="64607" ht="26.25" customHeight="1"/>
    <row r="64608" ht="26.25" customHeight="1"/>
    <row r="64609" ht="26.25" customHeight="1"/>
    <row r="64610" ht="26.25" customHeight="1"/>
    <row r="64611" ht="26.25" customHeight="1"/>
    <row r="64612" ht="26.25" customHeight="1"/>
    <row r="64613" ht="26.25" customHeight="1"/>
    <row r="64614" ht="26.25" customHeight="1"/>
    <row r="64615" ht="26.25" customHeight="1"/>
    <row r="64616" ht="26.25" customHeight="1"/>
    <row r="64617" ht="26.25" customHeight="1"/>
    <row r="64618" ht="26.25" customHeight="1"/>
    <row r="64619" ht="26.25" customHeight="1"/>
    <row r="64620" ht="26.25" customHeight="1"/>
    <row r="64621" ht="26.25" customHeight="1"/>
    <row r="64622" ht="26.25" customHeight="1"/>
    <row r="64623" ht="26.25" customHeight="1"/>
    <row r="64624" ht="26.25" customHeight="1"/>
    <row r="64625" ht="26.25" customHeight="1"/>
    <row r="64626" ht="26.25" customHeight="1"/>
    <row r="64627" ht="26.25" customHeight="1"/>
    <row r="64628" ht="26.25" customHeight="1"/>
    <row r="64629" ht="26.25" customHeight="1"/>
    <row r="64630" ht="26.25" customHeight="1"/>
    <row r="64631" ht="26.25" customHeight="1"/>
    <row r="64632" ht="26.25" customHeight="1"/>
    <row r="64633" ht="26.25" customHeight="1"/>
    <row r="64634" ht="26.25" customHeight="1"/>
    <row r="64635" ht="26.25" customHeight="1"/>
    <row r="64636" ht="26.25" customHeight="1"/>
    <row r="64637" ht="26.25" customHeight="1"/>
    <row r="64638" ht="26.25" customHeight="1"/>
    <row r="64639" ht="26.25" customHeight="1"/>
    <row r="64640" ht="26.25" customHeight="1"/>
    <row r="64641" ht="26.25" customHeight="1"/>
    <row r="64642" ht="26.25" customHeight="1"/>
    <row r="64643" ht="26.25" customHeight="1"/>
    <row r="64644" ht="26.25" customHeight="1"/>
    <row r="64645" ht="26.25" customHeight="1"/>
    <row r="64646" ht="26.25" customHeight="1"/>
    <row r="64647" ht="26.25" customHeight="1"/>
    <row r="64648" ht="26.25" customHeight="1"/>
    <row r="64649" ht="26.25" customHeight="1"/>
    <row r="64650" ht="26.25" customHeight="1"/>
    <row r="64651" ht="26.25" customHeight="1"/>
    <row r="64652" ht="26.25" customHeight="1"/>
    <row r="64653" ht="26.25" customHeight="1"/>
    <row r="64654" ht="26.25" customHeight="1"/>
    <row r="64655" ht="26.25" customHeight="1"/>
    <row r="64656" ht="26.25" customHeight="1"/>
    <row r="64657" ht="26.25" customHeight="1"/>
    <row r="64658" ht="26.25" customHeight="1"/>
    <row r="64659" ht="26.25" customHeight="1"/>
    <row r="64660" ht="26.25" customHeight="1"/>
    <row r="64661" ht="26.25" customHeight="1"/>
    <row r="64662" ht="26.25" customHeight="1"/>
    <row r="64663" ht="26.25" customHeight="1"/>
    <row r="64664" ht="26.25" customHeight="1"/>
    <row r="64665" ht="26.25" customHeight="1"/>
    <row r="64666" ht="26.25" customHeight="1"/>
    <row r="64667" ht="26.25" customHeight="1"/>
    <row r="64668" ht="26.25" customHeight="1"/>
    <row r="64669" ht="26.25" customHeight="1"/>
    <row r="64670" ht="26.25" customHeight="1"/>
    <row r="64671" ht="26.25" customHeight="1"/>
    <row r="64672" ht="26.25" customHeight="1"/>
    <row r="64673" ht="26.25" customHeight="1"/>
    <row r="64674" ht="26.25" customHeight="1"/>
    <row r="64675" ht="26.25" customHeight="1"/>
    <row r="64676" ht="26.25" customHeight="1"/>
    <row r="64677" ht="26.25" customHeight="1"/>
    <row r="64678" ht="26.25" customHeight="1"/>
    <row r="64679" ht="26.25" customHeight="1"/>
    <row r="64680" ht="26.25" customHeight="1"/>
    <row r="64681" ht="26.25" customHeight="1"/>
    <row r="64682" ht="26.25" customHeight="1"/>
    <row r="64683" ht="26.25" customHeight="1"/>
    <row r="64684" ht="26.25" customHeight="1"/>
    <row r="64685" ht="26.25" customHeight="1"/>
    <row r="64686" ht="26.25" customHeight="1"/>
    <row r="64687" ht="26.25" customHeight="1"/>
    <row r="64688" ht="26.25" customHeight="1"/>
    <row r="64689" ht="26.25" customHeight="1"/>
    <row r="64690" ht="26.25" customHeight="1"/>
    <row r="64691" ht="26.25" customHeight="1"/>
    <row r="64692" ht="26.25" customHeight="1"/>
    <row r="64693" ht="26.25" customHeight="1"/>
    <row r="64694" ht="26.25" customHeight="1"/>
    <row r="64695" ht="26.25" customHeight="1"/>
    <row r="64696" ht="26.25" customHeight="1"/>
    <row r="64697" ht="26.25" customHeight="1"/>
    <row r="64698" ht="26.25" customHeight="1"/>
    <row r="64699" ht="26.25" customHeight="1"/>
    <row r="64700" ht="26.25" customHeight="1"/>
    <row r="64701" ht="26.25" customHeight="1"/>
    <row r="64702" ht="26.25" customHeight="1"/>
    <row r="64703" ht="26.25" customHeight="1"/>
    <row r="64704" ht="26.25" customHeight="1"/>
    <row r="64705" ht="26.25" customHeight="1"/>
    <row r="64706" ht="26.25" customHeight="1"/>
    <row r="64707" ht="26.25" customHeight="1"/>
    <row r="64708" ht="26.25" customHeight="1"/>
    <row r="64709" ht="26.25" customHeight="1"/>
    <row r="64710" ht="26.25" customHeight="1"/>
    <row r="64711" ht="26.25" customHeight="1"/>
    <row r="64712" ht="26.25" customHeight="1"/>
    <row r="64713" ht="26.25" customHeight="1"/>
    <row r="64714" ht="26.25" customHeight="1"/>
    <row r="64715" ht="26.25" customHeight="1"/>
    <row r="64716" ht="26.25" customHeight="1"/>
    <row r="64717" ht="26.25" customHeight="1"/>
    <row r="64718" ht="26.25" customHeight="1"/>
    <row r="64719" ht="26.25" customHeight="1"/>
    <row r="64720" ht="26.25" customHeight="1"/>
    <row r="64721" ht="26.25" customHeight="1"/>
    <row r="64722" ht="26.25" customHeight="1"/>
    <row r="64723" ht="26.25" customHeight="1"/>
    <row r="64724" ht="26.25" customHeight="1"/>
    <row r="64725" ht="26.25" customHeight="1"/>
    <row r="64726" ht="26.25" customHeight="1"/>
    <row r="64727" ht="26.25" customHeight="1"/>
    <row r="64728" ht="26.25" customHeight="1"/>
    <row r="64729" ht="26.25" customHeight="1"/>
    <row r="64730" ht="26.25" customHeight="1"/>
    <row r="64731" ht="26.25" customHeight="1"/>
    <row r="64732" ht="26.25" customHeight="1"/>
    <row r="64733" ht="26.25" customHeight="1"/>
    <row r="64734" ht="26.25" customHeight="1"/>
    <row r="64735" ht="26.25" customHeight="1"/>
    <row r="64736" ht="26.25" customHeight="1"/>
    <row r="64737" ht="26.25" customHeight="1"/>
    <row r="64738" ht="26.25" customHeight="1"/>
    <row r="64739" ht="26.25" customHeight="1"/>
    <row r="64740" ht="26.25" customHeight="1"/>
    <row r="64741" ht="26.25" customHeight="1"/>
    <row r="64742" ht="26.25" customHeight="1"/>
    <row r="64743" ht="26.25" customHeight="1"/>
    <row r="64744" ht="26.25" customHeight="1"/>
    <row r="64745" ht="26.25" customHeight="1"/>
    <row r="64746" ht="26.25" customHeight="1"/>
    <row r="64747" ht="26.25" customHeight="1"/>
    <row r="64748" ht="26.25" customHeight="1"/>
    <row r="64749" ht="26.25" customHeight="1"/>
    <row r="64750" ht="26.25" customHeight="1"/>
    <row r="64751" ht="26.25" customHeight="1"/>
    <row r="64752" ht="26.25" customHeight="1"/>
    <row r="64753" ht="26.25" customHeight="1"/>
    <row r="64754" ht="26.25" customHeight="1"/>
    <row r="64755" ht="26.25" customHeight="1"/>
    <row r="64756" ht="26.25" customHeight="1"/>
    <row r="64757" ht="26.25" customHeight="1"/>
    <row r="64758" ht="26.25" customHeight="1"/>
    <row r="64759" ht="26.25" customHeight="1"/>
    <row r="64760" ht="26.25" customHeight="1"/>
    <row r="64761" ht="26.25" customHeight="1"/>
    <row r="64762" ht="26.25" customHeight="1"/>
    <row r="64763" ht="26.25" customHeight="1"/>
    <row r="64764" ht="26.25" customHeight="1"/>
    <row r="64765" ht="26.25" customHeight="1"/>
    <row r="64766" ht="26.25" customHeight="1"/>
    <row r="64767" ht="26.25" customHeight="1"/>
    <row r="64768" ht="26.25" customHeight="1"/>
    <row r="64769" ht="26.25" customHeight="1"/>
    <row r="64770" ht="26.25" customHeight="1"/>
    <row r="64771" ht="26.25" customHeight="1"/>
    <row r="64772" ht="26.25" customHeight="1"/>
    <row r="64773" ht="26.25" customHeight="1"/>
    <row r="64774" ht="26.25" customHeight="1"/>
    <row r="64775" ht="26.25" customHeight="1"/>
    <row r="64776" ht="26.25" customHeight="1"/>
    <row r="64777" ht="26.25" customHeight="1"/>
    <row r="64778" ht="26.25" customHeight="1"/>
    <row r="64779" ht="26.25" customHeight="1"/>
    <row r="64780" ht="26.25" customHeight="1"/>
    <row r="64781" ht="26.25" customHeight="1"/>
    <row r="64782" ht="26.25" customHeight="1"/>
    <row r="64783" ht="26.25" customHeight="1"/>
    <row r="64784" ht="26.25" customHeight="1"/>
    <row r="64785" ht="26.25" customHeight="1"/>
    <row r="64786" ht="26.25" customHeight="1"/>
    <row r="64787" ht="26.25" customHeight="1"/>
    <row r="64788" ht="26.25" customHeight="1"/>
    <row r="64789" ht="26.25" customHeight="1"/>
    <row r="64790" ht="26.25" customHeight="1"/>
    <row r="64791" ht="26.25" customHeight="1"/>
    <row r="64792" ht="26.25" customHeight="1"/>
    <row r="64793" ht="26.25" customHeight="1"/>
    <row r="64794" ht="26.25" customHeight="1"/>
    <row r="64795" ht="26.25" customHeight="1"/>
    <row r="64796" ht="26.25" customHeight="1"/>
    <row r="64797" ht="26.25" customHeight="1"/>
    <row r="64798" ht="26.25" customHeight="1"/>
    <row r="64799" ht="26.25" customHeight="1"/>
    <row r="64800" ht="26.25" customHeight="1"/>
    <row r="64801" ht="26.25" customHeight="1"/>
    <row r="64802" ht="26.25" customHeight="1"/>
    <row r="64803" ht="26.25" customHeight="1"/>
    <row r="64804" ht="26.25" customHeight="1"/>
    <row r="64805" ht="26.25" customHeight="1"/>
    <row r="64806" ht="26.25" customHeight="1"/>
    <row r="64807" ht="26.25" customHeight="1"/>
    <row r="64808" ht="26.25" customHeight="1"/>
    <row r="64809" ht="26.25" customHeight="1"/>
    <row r="64810" ht="26.25" customHeight="1"/>
    <row r="64811" ht="26.25" customHeight="1"/>
    <row r="64812" ht="26.25" customHeight="1"/>
    <row r="64813" ht="26.25" customHeight="1"/>
    <row r="64814" ht="26.25" customHeight="1"/>
    <row r="64815" ht="26.25" customHeight="1"/>
    <row r="64816" ht="26.25" customHeight="1"/>
    <row r="64817" ht="26.25" customHeight="1"/>
    <row r="64818" ht="26.25" customHeight="1"/>
    <row r="64819" ht="26.25" customHeight="1"/>
    <row r="64820" ht="26.25" customHeight="1"/>
    <row r="64821" ht="26.25" customHeight="1"/>
    <row r="64822" ht="26.25" customHeight="1"/>
    <row r="64823" ht="26.25" customHeight="1"/>
    <row r="64824" ht="26.25" customHeight="1"/>
    <row r="64825" ht="26.25" customHeight="1"/>
    <row r="64826" ht="26.25" customHeight="1"/>
    <row r="64827" ht="26.25" customHeight="1"/>
    <row r="64828" ht="26.25" customHeight="1"/>
    <row r="64829" ht="26.25" customHeight="1"/>
    <row r="64830" ht="26.25" customHeight="1"/>
    <row r="64831" ht="26.25" customHeight="1"/>
    <row r="64832" ht="26.25" customHeight="1"/>
    <row r="64833" ht="26.25" customHeight="1"/>
    <row r="64834" ht="26.25" customHeight="1"/>
    <row r="64835" ht="26.25" customHeight="1"/>
    <row r="64836" ht="26.25" customHeight="1"/>
    <row r="64837" ht="26.25" customHeight="1"/>
    <row r="64838" ht="26.25" customHeight="1"/>
    <row r="64839" ht="26.25" customHeight="1"/>
    <row r="64840" ht="26.25" customHeight="1"/>
    <row r="64841" ht="26.25" customHeight="1"/>
    <row r="64842" ht="26.25" customHeight="1"/>
    <row r="64843" ht="26.25" customHeight="1"/>
    <row r="64844" ht="26.25" customHeight="1"/>
    <row r="64845" ht="26.25" customHeight="1"/>
    <row r="64846" ht="26.25" customHeight="1"/>
    <row r="64847" ht="26.25" customHeight="1"/>
    <row r="64848" ht="26.25" customHeight="1"/>
    <row r="64849" ht="26.25" customHeight="1"/>
    <row r="64850" ht="26.25" customHeight="1"/>
    <row r="64851" ht="26.25" customHeight="1"/>
    <row r="64852" ht="26.25" customHeight="1"/>
    <row r="64853" ht="26.25" customHeight="1"/>
    <row r="64854" ht="26.25" customHeight="1"/>
    <row r="64855" ht="26.25" customHeight="1"/>
    <row r="64856" ht="26.25" customHeight="1"/>
    <row r="64857" ht="26.25" customHeight="1"/>
    <row r="64858" ht="26.25" customHeight="1"/>
    <row r="64859" ht="26.25" customHeight="1"/>
    <row r="64860" ht="26.25" customHeight="1"/>
    <row r="64861" ht="26.25" customHeight="1"/>
    <row r="64862" ht="26.25" customHeight="1"/>
    <row r="64863" ht="26.25" customHeight="1"/>
    <row r="64864" ht="26.25" customHeight="1"/>
    <row r="64865" ht="26.25" customHeight="1"/>
    <row r="64866" ht="26.25" customHeight="1"/>
    <row r="64867" ht="26.25" customHeight="1"/>
    <row r="64868" ht="26.25" customHeight="1"/>
    <row r="64869" ht="26.25" customHeight="1"/>
    <row r="64870" ht="26.25" customHeight="1"/>
    <row r="64871" ht="26.25" customHeight="1"/>
    <row r="64872" ht="26.25" customHeight="1"/>
    <row r="64873" ht="26.25" customHeight="1"/>
    <row r="64874" ht="26.25" customHeight="1"/>
    <row r="64875" ht="26.25" customHeight="1"/>
    <row r="64876" ht="26.25" customHeight="1"/>
    <row r="64877" ht="26.25" customHeight="1"/>
    <row r="64878" ht="26.25" customHeight="1"/>
    <row r="64879" ht="26.25" customHeight="1"/>
    <row r="64880" ht="26.25" customHeight="1"/>
    <row r="64881" ht="26.25" customHeight="1"/>
    <row r="64882" ht="26.25" customHeight="1"/>
    <row r="64883" ht="26.25" customHeight="1"/>
    <row r="64884" ht="26.25" customHeight="1"/>
    <row r="64885" ht="26.25" customHeight="1"/>
    <row r="64886" ht="26.25" customHeight="1"/>
    <row r="64887" ht="26.25" customHeight="1"/>
    <row r="64888" ht="26.25" customHeight="1"/>
    <row r="64889" ht="26.25" customHeight="1"/>
    <row r="64890" ht="26.25" customHeight="1"/>
    <row r="64891" ht="26.25" customHeight="1"/>
    <row r="64892" ht="26.25" customHeight="1"/>
    <row r="64893" ht="26.25" customHeight="1"/>
    <row r="64894" ht="26.25" customHeight="1"/>
    <row r="64895" ht="26.25" customHeight="1"/>
    <row r="64896" ht="26.25" customHeight="1"/>
    <row r="64897" ht="26.25" customHeight="1"/>
    <row r="64898" ht="26.25" customHeight="1"/>
    <row r="64899" ht="26.25" customHeight="1"/>
    <row r="64900" ht="26.25" customHeight="1"/>
    <row r="64901" ht="26.25" customHeight="1"/>
    <row r="64902" ht="26.25" customHeight="1"/>
    <row r="64903" ht="26.25" customHeight="1"/>
    <row r="64904" ht="26.25" customHeight="1"/>
    <row r="64905" ht="26.25" customHeight="1"/>
    <row r="64906" ht="26.25" customHeight="1"/>
    <row r="64907" ht="26.25" customHeight="1"/>
    <row r="64908" ht="26.25" customHeight="1"/>
    <row r="64909" ht="26.25" customHeight="1"/>
    <row r="64910" ht="26.25" customHeight="1"/>
    <row r="64911" ht="26.25" customHeight="1"/>
    <row r="64912" ht="26.25" customHeight="1"/>
    <row r="64913" ht="26.25" customHeight="1"/>
    <row r="64914" ht="26.25" customHeight="1"/>
    <row r="64915" ht="26.25" customHeight="1"/>
    <row r="64916" ht="26.25" customHeight="1"/>
    <row r="64917" ht="26.25" customHeight="1"/>
    <row r="64918" ht="26.25" customHeight="1"/>
    <row r="64919" ht="26.25" customHeight="1"/>
    <row r="64920" ht="26.25" customHeight="1"/>
    <row r="64921" ht="26.25" customHeight="1"/>
    <row r="64922" ht="26.25" customHeight="1"/>
    <row r="64923" ht="26.25" customHeight="1"/>
    <row r="64924" ht="26.25" customHeight="1"/>
    <row r="64925" ht="26.25" customHeight="1"/>
    <row r="64926" ht="26.25" customHeight="1"/>
    <row r="64927" ht="26.25" customHeight="1"/>
    <row r="64928" ht="26.25" customHeight="1"/>
    <row r="64929" ht="26.25" customHeight="1"/>
    <row r="64930" ht="26.25" customHeight="1"/>
    <row r="64931" ht="26.25" customHeight="1"/>
    <row r="64932" ht="26.25" customHeight="1"/>
    <row r="64933" ht="26.25" customHeight="1"/>
    <row r="64934" ht="26.25" customHeight="1"/>
    <row r="64935" ht="26.25" customHeight="1"/>
    <row r="64936" ht="26.25" customHeight="1"/>
    <row r="64937" ht="26.25" customHeight="1"/>
    <row r="64938" ht="26.25" customHeight="1"/>
    <row r="64939" ht="26.25" customHeight="1"/>
    <row r="64940" ht="26.25" customHeight="1"/>
    <row r="64941" ht="26.25" customHeight="1"/>
    <row r="64942" ht="26.25" customHeight="1"/>
    <row r="64943" ht="26.25" customHeight="1"/>
    <row r="64944" ht="26.25" customHeight="1"/>
    <row r="64945" ht="26.25" customHeight="1"/>
    <row r="64946" ht="26.25" customHeight="1"/>
    <row r="64947" ht="26.25" customHeight="1"/>
    <row r="64948" ht="26.25" customHeight="1"/>
    <row r="64949" ht="26.25" customHeight="1"/>
    <row r="64950" ht="26.25" customHeight="1"/>
    <row r="64951" ht="26.25" customHeight="1"/>
    <row r="64952" ht="26.25" customHeight="1"/>
    <row r="64953" ht="26.25" customHeight="1"/>
    <row r="64954" ht="26.25" customHeight="1"/>
    <row r="64955" ht="26.25" customHeight="1"/>
    <row r="64956" ht="26.25" customHeight="1"/>
    <row r="64957" ht="26.25" customHeight="1"/>
    <row r="64958" ht="26.25" customHeight="1"/>
    <row r="64959" ht="26.25" customHeight="1"/>
    <row r="64960" ht="26.25" customHeight="1"/>
    <row r="64961" ht="26.25" customHeight="1"/>
    <row r="64962" ht="26.25" customHeight="1"/>
    <row r="64963" ht="26.25" customHeight="1"/>
    <row r="64964" ht="26.25" customHeight="1"/>
    <row r="64965" ht="26.25" customHeight="1"/>
    <row r="64966" ht="26.25" customHeight="1"/>
    <row r="64967" ht="26.25" customHeight="1"/>
    <row r="64968" ht="26.25" customHeight="1"/>
    <row r="64969" ht="26.25" customHeight="1"/>
    <row r="64970" ht="26.25" customHeight="1"/>
    <row r="64971" ht="26.25" customHeight="1"/>
    <row r="64972" ht="26.25" customHeight="1"/>
    <row r="64973" ht="26.25" customHeight="1"/>
    <row r="64974" ht="26.25" customHeight="1"/>
    <row r="64975" ht="26.25" customHeight="1"/>
    <row r="64976" ht="26.25" customHeight="1"/>
    <row r="64977" ht="26.25" customHeight="1"/>
    <row r="64978" ht="26.25" customHeight="1"/>
    <row r="64979" ht="26.25" customHeight="1"/>
    <row r="64980" ht="26.25" customHeight="1"/>
    <row r="64981" ht="26.25" customHeight="1"/>
    <row r="64982" ht="26.25" customHeight="1"/>
    <row r="64983" ht="26.25" customHeight="1"/>
    <row r="64984" ht="26.25" customHeight="1"/>
    <row r="64985" ht="26.25" customHeight="1"/>
    <row r="64986" ht="26.25" customHeight="1"/>
    <row r="64987" ht="26.25" customHeight="1"/>
    <row r="64988" ht="26.25" customHeight="1"/>
    <row r="64989" ht="26.25" customHeight="1"/>
    <row r="64990" ht="26.25" customHeight="1"/>
    <row r="64991" ht="26.25" customHeight="1"/>
    <row r="64992" ht="26.25" customHeight="1"/>
    <row r="64993" ht="26.25" customHeight="1"/>
    <row r="64994" ht="26.25" customHeight="1"/>
    <row r="64995" ht="26.25" customHeight="1"/>
    <row r="64996" ht="26.25" customHeight="1"/>
    <row r="64997" ht="26.25" customHeight="1"/>
    <row r="64998" ht="26.25" customHeight="1"/>
    <row r="64999" ht="26.25" customHeight="1"/>
    <row r="65000" ht="26.25" customHeight="1"/>
    <row r="65001" ht="26.25" customHeight="1"/>
    <row r="65002" ht="26.25" customHeight="1"/>
    <row r="65003" ht="26.25" customHeight="1"/>
    <row r="65004" ht="26.25" customHeight="1"/>
    <row r="65005" ht="26.25" customHeight="1"/>
    <row r="65006" ht="26.25" customHeight="1"/>
    <row r="65007" ht="26.25" customHeight="1"/>
    <row r="65008" ht="26.25" customHeight="1"/>
    <row r="65009" ht="26.25" customHeight="1"/>
    <row r="65010" ht="26.25" customHeight="1"/>
    <row r="65011" ht="26.25" customHeight="1"/>
    <row r="65012" ht="26.25" customHeight="1"/>
    <row r="65013" ht="26.25" customHeight="1"/>
    <row r="65014" ht="26.25" customHeight="1"/>
    <row r="65015" ht="26.25" customHeight="1"/>
    <row r="65016" ht="26.25" customHeight="1"/>
    <row r="65017" ht="26.25" customHeight="1"/>
    <row r="65018" ht="26.25" customHeight="1"/>
    <row r="65019" ht="26.25" customHeight="1"/>
    <row r="65020" ht="26.25" customHeight="1"/>
    <row r="65021" ht="26.25" customHeight="1"/>
    <row r="65022" ht="26.25" customHeight="1"/>
    <row r="65023" ht="26.25" customHeight="1"/>
    <row r="65024" ht="26.25" customHeight="1"/>
    <row r="65025" ht="26.25" customHeight="1"/>
    <row r="65026" ht="26.25" customHeight="1"/>
    <row r="65027" ht="26.25" customHeight="1"/>
    <row r="65028" ht="26.25" customHeight="1"/>
    <row r="65029" ht="26.25" customHeight="1"/>
    <row r="65030" ht="26.25" customHeight="1"/>
    <row r="65031" ht="26.25" customHeight="1"/>
    <row r="65032" ht="26.25" customHeight="1"/>
    <row r="65033" ht="26.25" customHeight="1"/>
    <row r="65034" ht="26.25" customHeight="1"/>
    <row r="65035" ht="26.25" customHeight="1"/>
    <row r="65036" ht="26.25" customHeight="1"/>
    <row r="65037" ht="26.25" customHeight="1"/>
    <row r="65038" ht="26.25" customHeight="1"/>
    <row r="65039" ht="26.25" customHeight="1"/>
    <row r="65040" ht="26.25" customHeight="1"/>
    <row r="65041" ht="26.25" customHeight="1"/>
    <row r="65042" ht="26.25" customHeight="1"/>
    <row r="65043" ht="26.25" customHeight="1"/>
    <row r="65044" ht="26.25" customHeight="1"/>
    <row r="65045" ht="26.25" customHeight="1"/>
    <row r="65046" ht="26.25" customHeight="1"/>
    <row r="65047" ht="26.25" customHeight="1"/>
    <row r="65048" ht="26.25" customHeight="1"/>
    <row r="65049" ht="26.25" customHeight="1"/>
    <row r="65050" ht="26.25" customHeight="1"/>
    <row r="65051" ht="26.25" customHeight="1"/>
    <row r="65052" ht="26.25" customHeight="1"/>
    <row r="65053" ht="26.25" customHeight="1"/>
    <row r="65054" ht="26.25" customHeight="1"/>
    <row r="65055" ht="26.25" customHeight="1"/>
    <row r="65056" ht="26.25" customHeight="1"/>
    <row r="65057" ht="26.25" customHeight="1"/>
    <row r="65058" ht="26.25" customHeight="1"/>
    <row r="65059" ht="26.25" customHeight="1"/>
    <row r="65060" ht="26.25" customHeight="1"/>
    <row r="65061" ht="26.25" customHeight="1"/>
    <row r="65062" ht="26.25" customHeight="1"/>
    <row r="65063" ht="26.25" customHeight="1"/>
    <row r="65064" ht="26.25" customHeight="1"/>
    <row r="65065" ht="26.25" customHeight="1"/>
    <row r="65066" ht="26.25" customHeight="1"/>
    <row r="65067" ht="26.25" customHeight="1"/>
    <row r="65068" ht="26.25" customHeight="1"/>
    <row r="65069" ht="26.25" customHeight="1"/>
    <row r="65070" ht="26.25" customHeight="1"/>
    <row r="65071" ht="26.25" customHeight="1"/>
    <row r="65072" ht="26.25" customHeight="1"/>
    <row r="65073" ht="26.25" customHeight="1"/>
    <row r="65074" ht="26.25" customHeight="1"/>
    <row r="65075" ht="26.25" customHeight="1"/>
    <row r="65076" ht="26.25" customHeight="1"/>
    <row r="65077" ht="26.25" customHeight="1"/>
    <row r="65078" ht="26.25" customHeight="1"/>
    <row r="65079" ht="26.25" customHeight="1"/>
    <row r="65080" ht="26.25" customHeight="1"/>
    <row r="65081" ht="26.25" customHeight="1"/>
    <row r="65082" ht="26.25" customHeight="1"/>
    <row r="65083" ht="26.25" customHeight="1"/>
    <row r="65084" ht="26.25" customHeight="1"/>
    <row r="65085" ht="26.25" customHeight="1"/>
    <row r="65086" ht="26.25" customHeight="1"/>
    <row r="65087" ht="26.25" customHeight="1"/>
    <row r="65088" ht="26.25" customHeight="1"/>
    <row r="65089" ht="26.25" customHeight="1"/>
    <row r="65090" ht="26.25" customHeight="1"/>
    <row r="65091" ht="26.25" customHeight="1"/>
    <row r="65092" ht="26.25" customHeight="1"/>
    <row r="65093" ht="26.25" customHeight="1"/>
    <row r="65094" ht="26.25" customHeight="1"/>
    <row r="65095" ht="26.25" customHeight="1"/>
    <row r="65096" ht="26.25" customHeight="1"/>
    <row r="65097" ht="26.25" customHeight="1"/>
    <row r="65098" ht="26.25" customHeight="1"/>
    <row r="65099" ht="26.25" customHeight="1"/>
    <row r="65100" ht="26.25" customHeight="1"/>
    <row r="65101" ht="26.25" customHeight="1"/>
    <row r="65102" ht="26.25" customHeight="1"/>
    <row r="65103" ht="26.25" customHeight="1"/>
    <row r="65104" ht="26.25" customHeight="1"/>
    <row r="65105" ht="26.25" customHeight="1"/>
    <row r="65106" ht="26.25" customHeight="1"/>
    <row r="65107" ht="26.25" customHeight="1"/>
    <row r="65108" ht="26.25" customHeight="1"/>
    <row r="65109" ht="26.25" customHeight="1"/>
    <row r="65110" ht="26.25" customHeight="1"/>
    <row r="65111" ht="26.25" customHeight="1"/>
    <row r="65112" ht="26.25" customHeight="1"/>
    <row r="65113" ht="26.25" customHeight="1"/>
    <row r="65114" ht="26.25" customHeight="1"/>
    <row r="65115" ht="26.25" customHeight="1"/>
    <row r="65116" ht="26.25" customHeight="1"/>
    <row r="65117" ht="26.25" customHeight="1"/>
    <row r="65118" ht="26.25" customHeight="1"/>
    <row r="65119" ht="26.25" customHeight="1"/>
    <row r="65120" ht="26.25" customHeight="1"/>
    <row r="65121" ht="26.25" customHeight="1"/>
    <row r="65122" ht="26.25" customHeight="1"/>
    <row r="65123" ht="26.25" customHeight="1"/>
    <row r="65124" ht="26.25" customHeight="1"/>
    <row r="65125" ht="26.25" customHeight="1"/>
    <row r="65126" ht="26.25" customHeight="1"/>
    <row r="65127" ht="26.25" customHeight="1"/>
    <row r="65128" ht="26.25" customHeight="1"/>
    <row r="65129" ht="26.25" customHeight="1"/>
    <row r="65130" ht="26.25" customHeight="1"/>
    <row r="65131" ht="26.25" customHeight="1"/>
    <row r="65132" ht="26.25" customHeight="1"/>
    <row r="65133" ht="26.25" customHeight="1"/>
    <row r="65134" ht="26.25" customHeight="1"/>
    <row r="65135" ht="26.25" customHeight="1"/>
    <row r="65136" ht="26.25" customHeight="1"/>
    <row r="65137" ht="26.25" customHeight="1"/>
    <row r="65138" ht="26.25" customHeight="1"/>
    <row r="65139" ht="26.25" customHeight="1"/>
    <row r="65140" ht="26.25" customHeight="1"/>
    <row r="65141" ht="26.25" customHeight="1"/>
    <row r="65142" ht="26.25" customHeight="1"/>
    <row r="65143" ht="26.25" customHeight="1"/>
    <row r="65144" ht="26.25" customHeight="1"/>
    <row r="65145" ht="26.25" customHeight="1"/>
    <row r="65146" ht="26.25" customHeight="1"/>
    <row r="65147" ht="26.25" customHeight="1"/>
    <row r="65148" ht="26.25" customHeight="1"/>
    <row r="65149" ht="26.25" customHeight="1"/>
    <row r="65150" ht="26.25" customHeight="1"/>
    <row r="65151" ht="26.25" customHeight="1"/>
    <row r="65152" ht="26.25" customHeight="1"/>
    <row r="65153" ht="26.25" customHeight="1"/>
    <row r="65154" ht="26.25" customHeight="1"/>
    <row r="65155" ht="26.25" customHeight="1"/>
    <row r="65156" ht="26.25" customHeight="1"/>
    <row r="65157" ht="26.25" customHeight="1"/>
    <row r="65158" ht="26.25" customHeight="1"/>
    <row r="65159" ht="26.25" customHeight="1"/>
    <row r="65160" ht="26.25" customHeight="1"/>
    <row r="65161" ht="26.25" customHeight="1"/>
    <row r="65162" ht="26.25" customHeight="1"/>
    <row r="65163" ht="26.25" customHeight="1"/>
    <row r="65164" ht="26.25" customHeight="1"/>
    <row r="65165" ht="26.25" customHeight="1"/>
    <row r="65166" ht="26.25" customHeight="1"/>
    <row r="65167" ht="26.25" customHeight="1"/>
    <row r="65168" ht="26.25" customHeight="1"/>
    <row r="65169" ht="26.25" customHeight="1"/>
    <row r="65170" ht="26.25" customHeight="1"/>
    <row r="65171" ht="26.25" customHeight="1"/>
    <row r="65172" ht="26.25" customHeight="1"/>
    <row r="65173" ht="26.25" customHeight="1"/>
    <row r="65174" ht="26.25" customHeight="1"/>
    <row r="65175" ht="26.25" customHeight="1"/>
    <row r="65176" ht="26.25" customHeight="1"/>
    <row r="65177" ht="26.25" customHeight="1"/>
    <row r="65178" ht="26.25" customHeight="1"/>
    <row r="65179" ht="26.25" customHeight="1"/>
    <row r="65180" ht="26.25" customHeight="1"/>
    <row r="65181" ht="26.25" customHeight="1"/>
    <row r="65182" ht="26.25" customHeight="1"/>
    <row r="65183" ht="26.25" customHeight="1"/>
    <row r="65184" ht="26.25" customHeight="1"/>
    <row r="65185" ht="26.25" customHeight="1"/>
    <row r="65186" ht="26.25" customHeight="1"/>
    <row r="65187" ht="26.25" customHeight="1"/>
    <row r="65188" ht="26.25" customHeight="1"/>
    <row r="65189" ht="26.25" customHeight="1"/>
    <row r="65190" ht="26.25" customHeight="1"/>
    <row r="65191" ht="26.25" customHeight="1"/>
    <row r="65192" ht="26.25" customHeight="1"/>
    <row r="65193" ht="26.25" customHeight="1"/>
    <row r="65194" ht="26.25" customHeight="1"/>
    <row r="65195" ht="26.25" customHeight="1"/>
    <row r="65196" ht="26.25" customHeight="1"/>
    <row r="65197" ht="26.25" customHeight="1"/>
    <row r="65198" ht="26.25" customHeight="1"/>
    <row r="65199" ht="26.25" customHeight="1"/>
    <row r="65200" ht="26.25" customHeight="1"/>
    <row r="65201" ht="26.25" customHeight="1"/>
    <row r="65202" ht="26.25" customHeight="1"/>
    <row r="65203" ht="26.25" customHeight="1"/>
    <row r="65204" ht="26.25" customHeight="1"/>
    <row r="65205" ht="26.25" customHeight="1"/>
    <row r="65206" ht="26.25" customHeight="1"/>
    <row r="65207" ht="26.25" customHeight="1"/>
    <row r="65208" ht="26.25" customHeight="1"/>
    <row r="65209" ht="26.25" customHeight="1"/>
    <row r="65210" ht="26.25" customHeight="1"/>
    <row r="65211" ht="26.25" customHeight="1"/>
    <row r="65212" ht="26.25" customHeight="1"/>
    <row r="65213" ht="26.25" customHeight="1"/>
    <row r="65214" ht="26.25" customHeight="1"/>
    <row r="65215" ht="26.25" customHeight="1"/>
    <row r="65216" ht="26.25" customHeight="1"/>
    <row r="65217" ht="26.25" customHeight="1"/>
    <row r="65218" ht="26.25" customHeight="1"/>
    <row r="65219" ht="26.25" customHeight="1"/>
    <row r="65220" ht="26.25" customHeight="1"/>
    <row r="65221" ht="26.25" customHeight="1"/>
    <row r="65222" ht="26.25" customHeight="1"/>
    <row r="65223" ht="26.25" customHeight="1"/>
    <row r="65224" ht="26.25" customHeight="1"/>
    <row r="65225" ht="26.25" customHeight="1"/>
    <row r="65226" ht="26.25" customHeight="1"/>
    <row r="65227" ht="26.25" customHeight="1"/>
    <row r="65228" ht="26.25" customHeight="1"/>
    <row r="65229" ht="26.25" customHeight="1"/>
    <row r="65230" ht="26.25" customHeight="1"/>
    <row r="65231" ht="26.25" customHeight="1"/>
    <row r="65232" ht="26.25" customHeight="1"/>
    <row r="65233" ht="26.25" customHeight="1"/>
    <row r="65234" ht="26.25" customHeight="1"/>
    <row r="65235" ht="26.25" customHeight="1"/>
    <row r="65236" ht="26.25" customHeight="1"/>
    <row r="65237" ht="26.25" customHeight="1"/>
    <row r="65238" ht="26.25" customHeight="1"/>
    <row r="65239" ht="26.25" customHeight="1"/>
    <row r="65240" ht="26.25" customHeight="1"/>
    <row r="65241" ht="26.25" customHeight="1"/>
    <row r="65242" ht="26.25" customHeight="1"/>
    <row r="65243" ht="26.25" customHeight="1"/>
    <row r="65244" ht="26.25" customHeight="1"/>
    <row r="65245" ht="26.25" customHeight="1"/>
    <row r="65246" ht="26.25" customHeight="1"/>
    <row r="65247" ht="26.25" customHeight="1"/>
    <row r="65248" ht="26.25" customHeight="1"/>
    <row r="65249" ht="26.25" customHeight="1"/>
    <row r="65250" ht="26.25" customHeight="1"/>
    <row r="65251" ht="26.25" customHeight="1"/>
    <row r="65252" ht="26.25" customHeight="1"/>
    <row r="65253" ht="26.25" customHeight="1"/>
    <row r="65254" ht="26.25" customHeight="1"/>
    <row r="65255" ht="26.25" customHeight="1"/>
    <row r="65256" ht="26.25" customHeight="1"/>
    <row r="65257" ht="26.25" customHeight="1"/>
    <row r="65258" ht="26.25" customHeight="1"/>
    <row r="65259" ht="26.25" customHeight="1"/>
    <row r="65260" ht="26.25" customHeight="1"/>
    <row r="65261" ht="26.25" customHeight="1"/>
    <row r="65262" ht="26.25" customHeight="1"/>
    <row r="65263" ht="26.25" customHeight="1"/>
    <row r="65264" ht="26.25" customHeight="1"/>
    <row r="65265" ht="26.25" customHeight="1"/>
    <row r="65266" ht="26.25" customHeight="1"/>
    <row r="65267" ht="26.25" customHeight="1"/>
    <row r="65268" ht="26.25" customHeight="1"/>
    <row r="65269" ht="26.25" customHeight="1"/>
    <row r="65270" ht="26.25" customHeight="1"/>
    <row r="65271" ht="26.25" customHeight="1"/>
    <row r="65272" ht="26.25" customHeight="1"/>
    <row r="65273" ht="26.25" customHeight="1"/>
    <row r="65274" ht="26.25" customHeight="1"/>
    <row r="65275" ht="26.25" customHeight="1"/>
    <row r="65276" ht="26.25" customHeight="1"/>
    <row r="65277" ht="26.25" customHeight="1"/>
    <row r="65278" ht="26.25" customHeight="1"/>
    <row r="65279" ht="26.25" customHeight="1"/>
    <row r="65280" ht="26.25" customHeight="1"/>
    <row r="65281" ht="26.25" customHeight="1"/>
    <row r="65282" ht="26.25" customHeight="1"/>
    <row r="65283" ht="26.25" customHeight="1"/>
    <row r="65284" ht="26.25" customHeight="1"/>
    <row r="65285" ht="26.25" customHeight="1"/>
    <row r="65286" ht="26.25" customHeight="1"/>
    <row r="65287" ht="26.25" customHeight="1"/>
    <row r="65288" ht="26.25" customHeight="1"/>
    <row r="65289" ht="26.25" customHeight="1"/>
    <row r="65290" ht="26.25" customHeight="1"/>
    <row r="65291" ht="26.25" customHeight="1"/>
    <row r="65292" ht="26.25" customHeight="1"/>
    <row r="65293" ht="26.25" customHeight="1"/>
    <row r="65294" ht="26.25" customHeight="1"/>
    <row r="65295" ht="26.25" customHeight="1"/>
    <row r="65296" ht="26.25" customHeight="1"/>
    <row r="65297" ht="26.25" customHeight="1"/>
    <row r="65298" ht="26.25" customHeight="1"/>
    <row r="65299" ht="26.25" customHeight="1"/>
    <row r="65300" ht="26.25" customHeight="1"/>
    <row r="65301" ht="26.25" customHeight="1"/>
    <row r="65302" ht="26.25" customHeight="1"/>
    <row r="65303" ht="26.25" customHeight="1"/>
    <row r="65304" ht="26.25" customHeight="1"/>
    <row r="65305" ht="26.25" customHeight="1"/>
    <row r="65306" ht="26.25" customHeight="1"/>
    <row r="65307" ht="26.25" customHeight="1"/>
    <row r="65308" ht="26.25" customHeight="1"/>
    <row r="65309" ht="26.25" customHeight="1"/>
    <row r="65310" ht="26.25" customHeight="1"/>
    <row r="65311" ht="26.25" customHeight="1"/>
    <row r="65312" ht="26.25" customHeight="1"/>
    <row r="65313" ht="26.25" customHeight="1"/>
    <row r="65314" ht="26.25" customHeight="1"/>
    <row r="65315" ht="26.25" customHeight="1"/>
    <row r="65316" ht="26.25" customHeight="1"/>
    <row r="65317" ht="26.25" customHeight="1"/>
  </sheetData>
  <sheetProtection formatCells="0" formatColumns="0" formatRows="0" insertRows="0" insertColumns="0" insertHyperlinks="0" deleteColumns="0" deleteRows="0" sort="0" autoFilter="0" pivotTables="0"/>
  <autoFilter xmlns:etc="http://www.wps.cn/officeDocument/2017/etCustomData" ref="A3:CZ318" etc:filterBottomFollowUsedRange="0">
    <extLst/>
  </autoFilter>
  <mergeCells count="27">
    <mergeCell ref="A1:H1"/>
    <mergeCell ref="V1:AD1"/>
    <mergeCell ref="AE1:AM1"/>
    <mergeCell ref="AN1:AV1"/>
    <mergeCell ref="AW1:BC1"/>
    <mergeCell ref="BE1:BH1"/>
    <mergeCell ref="CU1:CW1"/>
    <mergeCell ref="CX1:DD1"/>
    <mergeCell ref="DE1:DJ1"/>
    <mergeCell ref="DK1:DM1"/>
    <mergeCell ref="A2:C2"/>
    <mergeCell ref="D2:F2"/>
    <mergeCell ref="V2:X2"/>
    <mergeCell ref="Y2:AC2"/>
    <mergeCell ref="AE2:AG2"/>
    <mergeCell ref="AH2:AL2"/>
    <mergeCell ref="AN2:AO2"/>
    <mergeCell ref="AP2:AQ2"/>
    <mergeCell ref="BJ2:BK2"/>
    <mergeCell ref="BL2:BM2"/>
    <mergeCell ref="BN2:BO2"/>
    <mergeCell ref="BP2:BQ2"/>
    <mergeCell ref="BR2:BS2"/>
    <mergeCell ref="BT2:BU2"/>
    <mergeCell ref="CI1:CN2"/>
    <mergeCell ref="CO1:CT2"/>
    <mergeCell ref="BV1:CH2"/>
  </mergeCells>
  <pageMargins left="0" right="0.0791666666666667" top="0.388888888888889" bottom="0.509027777777778" header="0.5" footer="0.5"/>
  <pageSetup paperSize="9" scale="70" orientation="landscape"/>
  <headerFooter alignWithMargins="0" scaleWithDoc="0"/>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20"/>
  <sheetViews>
    <sheetView workbookViewId="0">
      <selection activeCell="D1021" sqref="D1021"/>
    </sheetView>
  </sheetViews>
  <sheetFormatPr defaultColWidth="9" defaultRowHeight="14.25"/>
  <cols>
    <col min="1" max="2" width="14.875" style="1" customWidth="1"/>
    <col min="3" max="3" width="18" style="1" customWidth="1"/>
    <col min="4" max="4" width="15.375" style="1" customWidth="1"/>
    <col min="5" max="5" width="19.25" style="1" customWidth="1"/>
    <col min="6" max="6" width="9" style="1"/>
    <col min="7" max="8" width="15.375" style="1" customWidth="1"/>
    <col min="9" max="9" width="13.5" style="1" customWidth="1"/>
    <col min="10" max="10" width="13.875" style="1" customWidth="1"/>
    <col min="11" max="11" width="22.5" style="1" customWidth="1"/>
    <col min="12" max="18" width="9" style="1"/>
    <col min="19" max="23" width="16.125" style="1" customWidth="1"/>
    <col min="24" max="16384" width="9" style="1"/>
  </cols>
  <sheetData>
    <row r="1" ht="25" customHeight="1" spans="1:256">
      <c r="A1" s="2" t="s">
        <v>13528</v>
      </c>
      <c r="B1" s="2"/>
      <c r="C1" s="2"/>
      <c r="D1" s="2"/>
      <c r="E1" s="2"/>
      <c r="G1" s="2" t="s">
        <v>13529</v>
      </c>
      <c r="H1" s="2"/>
      <c r="I1" s="2"/>
      <c r="J1" s="2"/>
      <c r="L1" s="3"/>
      <c r="M1" s="3"/>
      <c r="S1" s="4" t="s">
        <v>13530</v>
      </c>
      <c r="T1" s="4"/>
      <c r="U1" s="4"/>
      <c r="V1" s="4"/>
      <c r="W1" s="4"/>
    </row>
    <row r="2" ht="24" customHeight="1" spans="1:256">
      <c r="A2" s="4" t="s">
        <v>13531</v>
      </c>
      <c r="B2" s="4" t="s">
        <v>13532</v>
      </c>
      <c r="C2" s="4" t="s">
        <v>13533</v>
      </c>
      <c r="D2" s="4" t="s">
        <v>13534</v>
      </c>
      <c r="E2" s="4" t="s">
        <v>39</v>
      </c>
      <c r="G2" s="4" t="s">
        <v>13531</v>
      </c>
      <c r="H2" s="4" t="s">
        <v>13535</v>
      </c>
      <c r="I2" s="4" t="s">
        <v>12184</v>
      </c>
      <c r="J2" s="5" t="s">
        <v>13536</v>
      </c>
      <c r="S2" s="4" t="s">
        <v>10540</v>
      </c>
      <c r="T2" s="4" t="s">
        <v>13537</v>
      </c>
      <c r="U2" s="4" t="s">
        <v>13538</v>
      </c>
      <c r="V2" s="4" t="s">
        <v>13539</v>
      </c>
      <c r="W2" s="4" t="s">
        <v>39</v>
      </c>
    </row>
    <row r="3" ht="24" customHeight="1" spans="1:256">
      <c r="A3" s="4" t="s">
        <v>13540</v>
      </c>
      <c r="B3" s="6">
        <v>67350</v>
      </c>
      <c r="C3" s="7"/>
      <c r="D3" s="8"/>
      <c r="E3" s="4"/>
      <c r="G3" s="4" t="s">
        <v>13540</v>
      </c>
      <c r="H3" s="4" t="e">
        <f>半成品MA!#REF!</f>
        <v>#REF!</v>
      </c>
      <c r="I3" s="6" t="e">
        <f>半成品MA!#REF!+半成品MA!#REF!</f>
        <v>#REF!</v>
      </c>
      <c r="J3" s="9" t="e">
        <f>半成品MA!#REF!</f>
        <v>#REF!</v>
      </c>
      <c r="S3" s="10">
        <v>43822</v>
      </c>
      <c r="T3" s="4" t="s">
        <v>13541</v>
      </c>
      <c r="U3" s="4">
        <v>36</v>
      </c>
      <c r="V3" s="4">
        <f>U3/6</f>
        <v>6</v>
      </c>
      <c r="W3" s="4"/>
    </row>
    <row r="4" ht="24" customHeight="1" spans="1:256">
      <c r="A4" s="4" t="s">
        <v>13074</v>
      </c>
      <c r="B4" s="6">
        <v>202826</v>
      </c>
      <c r="C4" s="7"/>
      <c r="D4" s="8"/>
      <c r="E4" s="4"/>
      <c r="G4" s="4" t="s">
        <v>13074</v>
      </c>
      <c r="H4" s="4" t="e">
        <f>半成品MA!#REF!</f>
        <v>#REF!</v>
      </c>
      <c r="I4" s="6" t="e">
        <f>半成品MA!#REF!+半成品MA!#REF!</f>
        <v>#REF!</v>
      </c>
      <c r="J4" s="9" t="e">
        <f>半成品MA!#REF!</f>
        <v>#REF!</v>
      </c>
      <c r="S4" s="10">
        <v>43822</v>
      </c>
      <c r="T4" s="4" t="s">
        <v>13542</v>
      </c>
      <c r="U4" s="4">
        <v>18</v>
      </c>
      <c r="V4" s="4">
        <f>U4/6</f>
        <v>3</v>
      </c>
      <c r="W4" s="4"/>
    </row>
    <row r="5" ht="24" customHeight="1" spans="1:256">
      <c r="A5" s="4" t="s">
        <v>13071</v>
      </c>
      <c r="B5" s="6">
        <v>139512</v>
      </c>
      <c r="C5" s="7"/>
      <c r="D5" s="8"/>
      <c r="E5" s="4"/>
      <c r="G5" s="4" t="s">
        <v>13071</v>
      </c>
      <c r="H5" s="4" t="e">
        <f>半成品MA!#REF!</f>
        <v>#REF!</v>
      </c>
      <c r="I5" s="6" t="e">
        <f>半成品MA!#REF!+半成品MA!#REF!</f>
        <v>#REF!</v>
      </c>
      <c r="J5" s="9" t="e">
        <f>半成品MA!#REF!</f>
        <v>#REF!</v>
      </c>
      <c r="S5" s="10">
        <v>43822</v>
      </c>
      <c r="T5" s="4" t="s">
        <v>13543</v>
      </c>
      <c r="U5" s="4">
        <v>12</v>
      </c>
      <c r="V5" s="4">
        <f>U5/6</f>
        <v>2</v>
      </c>
      <c r="W5" s="4"/>
    </row>
    <row r="6" ht="24" customHeight="1" spans="1:256">
      <c r="A6" s="4" t="s">
        <v>13077</v>
      </c>
      <c r="B6" s="6">
        <v>740275</v>
      </c>
      <c r="C6" s="8"/>
      <c r="D6" s="8"/>
      <c r="E6" s="4"/>
      <c r="G6" s="4" t="s">
        <v>13077</v>
      </c>
      <c r="H6" s="4"/>
      <c r="I6" s="6"/>
      <c r="J6" s="9"/>
      <c r="S6" s="10"/>
      <c r="T6" s="4"/>
      <c r="U6" s="4"/>
      <c r="V6" s="4"/>
      <c r="W6" s="4"/>
    </row>
    <row r="7" ht="24" customHeight="1" spans="1:256">
      <c r="A7" s="4" t="s">
        <v>13078</v>
      </c>
      <c r="B7" s="6">
        <v>283474</v>
      </c>
      <c r="C7" s="8"/>
      <c r="D7" s="8"/>
      <c r="E7" s="4"/>
      <c r="G7" s="4" t="s">
        <v>13078</v>
      </c>
      <c r="H7" s="4"/>
      <c r="I7" s="6"/>
      <c r="J7" s="9"/>
      <c r="S7" s="10"/>
      <c r="T7" s="4"/>
      <c r="U7" s="4"/>
      <c r="V7" s="4"/>
      <c r="W7" s="4"/>
    </row>
    <row r="8" ht="24" customHeight="1" spans="1:256">
      <c r="A8" s="4" t="s">
        <v>13072</v>
      </c>
      <c r="B8" s="6">
        <v>2146592</v>
      </c>
      <c r="C8" s="8"/>
      <c r="D8" s="8"/>
      <c r="E8" s="4"/>
      <c r="G8" s="4" t="s">
        <v>13072</v>
      </c>
      <c r="H8" s="4"/>
      <c r="I8" s="6"/>
      <c r="J8" s="9"/>
      <c r="S8" s="10"/>
      <c r="T8" s="4"/>
      <c r="U8" s="4"/>
      <c r="V8" s="4"/>
      <c r="W8" s="4"/>
    </row>
    <row r="9" ht="24" customHeight="1" spans="1:256">
      <c r="A9" s="4" t="s">
        <v>13076</v>
      </c>
      <c r="B9" s="6">
        <v>1855182</v>
      </c>
      <c r="C9" s="8"/>
      <c r="D9" s="8"/>
      <c r="E9" s="4"/>
      <c r="G9" s="4" t="s">
        <v>13076</v>
      </c>
      <c r="H9" s="4" t="e">
        <f>半成品MA!#REF!</f>
        <v>#REF!</v>
      </c>
      <c r="I9" s="6" t="e">
        <f>半成品MA!#REF!+半成品MA!#REF!</f>
        <v>#REF!</v>
      </c>
      <c r="J9" s="9" t="e">
        <f>半成品MA!#REF!</f>
        <v>#REF!</v>
      </c>
      <c r="S9" s="10"/>
      <c r="T9" s="4"/>
      <c r="U9" s="4"/>
      <c r="V9" s="4"/>
      <c r="W9" s="4"/>
    </row>
    <row r="10" ht="24" customHeight="1" spans="1:256">
      <c r="A10" s="4" t="s">
        <v>13079</v>
      </c>
      <c r="B10" s="6">
        <v>981141</v>
      </c>
      <c r="C10" s="8"/>
      <c r="D10" s="8"/>
      <c r="E10" s="4"/>
      <c r="G10" s="4" t="s">
        <v>13079</v>
      </c>
      <c r="H10" s="4"/>
      <c r="I10" s="6"/>
      <c r="J10" s="9"/>
      <c r="S10" s="10"/>
      <c r="T10" s="4"/>
      <c r="U10" s="4"/>
      <c r="V10" s="4"/>
      <c r="W10" s="4"/>
    </row>
    <row r="11" ht="24" customHeight="1" spans="1:256">
      <c r="A11" s="4" t="s">
        <v>13080</v>
      </c>
      <c r="B11" s="6">
        <v>1060216</v>
      </c>
      <c r="C11" s="8"/>
      <c r="D11" s="8"/>
      <c r="E11" s="4"/>
      <c r="G11" s="4" t="s">
        <v>13080</v>
      </c>
      <c r="H11" s="4"/>
      <c r="I11" s="6"/>
      <c r="J11" s="9"/>
      <c r="S11" s="10"/>
      <c r="T11" s="4"/>
      <c r="U11" s="4"/>
      <c r="V11" s="4"/>
      <c r="W11" s="4"/>
    </row>
    <row r="12" ht="24" customHeight="1" spans="1:256">
      <c r="A12" s="4" t="s">
        <v>13073</v>
      </c>
      <c r="B12" s="6">
        <v>73224</v>
      </c>
      <c r="C12" s="7"/>
      <c r="D12" s="8"/>
      <c r="E12" s="4"/>
      <c r="G12" s="4" t="s">
        <v>13073</v>
      </c>
      <c r="H12" s="4" t="e">
        <f>半成品MA!#REF!</f>
        <v>#REF!</v>
      </c>
      <c r="I12" s="6" t="e">
        <f>半成品MA!#REF!+半成品MA!#REF!</f>
        <v>#REF!</v>
      </c>
      <c r="J12" s="9" t="e">
        <f>半成品MA!#REF!</f>
        <v>#REF!</v>
      </c>
      <c r="S12" s="10">
        <v>43825</v>
      </c>
      <c r="T12" s="4" t="s">
        <v>13314</v>
      </c>
      <c r="U12" s="4">
        <v>24</v>
      </c>
      <c r="V12" s="4">
        <f>U12/6</f>
        <v>4</v>
      </c>
      <c r="W12" s="4"/>
    </row>
    <row r="13" ht="24" customHeight="1" spans="1:256">
      <c r="A13" s="4" t="s">
        <v>13544</v>
      </c>
      <c r="B13" s="6">
        <v>280744</v>
      </c>
      <c r="C13" s="7"/>
      <c r="D13" s="8"/>
      <c r="E13" s="4"/>
      <c r="G13" s="4"/>
      <c r="H13" s="4"/>
      <c r="I13" s="6"/>
      <c r="J13" s="9"/>
      <c r="S13" s="10"/>
      <c r="T13" s="4"/>
      <c r="U13" s="4"/>
      <c r="V13" s="4"/>
      <c r="W13" s="4"/>
    </row>
    <row r="14" ht="24" customHeight="1" spans="1:256">
      <c r="A14" s="4" t="s">
        <v>9150</v>
      </c>
      <c r="B14" s="4"/>
      <c r="C14" s="6"/>
      <c r="D14" s="6">
        <f>SUM(D3:D13)</f>
        <v>0</v>
      </c>
      <c r="E14" s="9"/>
      <c r="F14"/>
      <c r="G14" s="4"/>
      <c r="H14" s="4"/>
      <c r="I14" s="4"/>
      <c r="J14" s="4"/>
      <c r="L14"/>
      <c r="M14"/>
      <c r="N14"/>
      <c r="O14"/>
      <c r="P14"/>
      <c r="Q14"/>
      <c r="R14"/>
      <c r="S14" s="11">
        <v>43826</v>
      </c>
      <c r="T14" s="12" t="s">
        <v>13545</v>
      </c>
      <c r="U14" s="12">
        <v>348</v>
      </c>
      <c r="V14" s="12">
        <f>U14/6</f>
        <v>58</v>
      </c>
      <c r="W14" s="12"/>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row>
    <row r="15" ht="24" customHeight="1" spans="1:256">
      <c r="A15" s="13"/>
      <c r="B15" s="13"/>
      <c r="C15" s="14"/>
      <c r="D15" s="14"/>
      <c r="E15" s="15"/>
      <c r="F15"/>
      <c r="L15"/>
      <c r="M15"/>
      <c r="N15"/>
      <c r="O15"/>
      <c r="P15"/>
      <c r="Q15"/>
      <c r="R15"/>
      <c r="S15" s="11">
        <v>43826</v>
      </c>
      <c r="T15" s="12" t="s">
        <v>13546</v>
      </c>
      <c r="U15" s="12">
        <v>30</v>
      </c>
      <c r="V15" s="12">
        <f>U15/6</f>
        <v>5</v>
      </c>
      <c r="W15" s="12"/>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row>
    <row r="16" ht="24" customHeight="1" spans="1:256">
      <c r="A16" s="13"/>
      <c r="B16" s="13"/>
      <c r="C16" s="14"/>
      <c r="D16" s="14"/>
      <c r="E16" s="15"/>
      <c r="F16"/>
      <c r="L16"/>
      <c r="M16"/>
      <c r="N16"/>
      <c r="O16"/>
      <c r="P16"/>
      <c r="Q16"/>
      <c r="R16"/>
      <c r="S16" s="10"/>
      <c r="T16" s="4"/>
      <c r="U16" s="4"/>
      <c r="V16" s="4"/>
      <c r="W16" s="4"/>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row>
    <row r="17" ht="24" customHeight="1" spans="1:256">
      <c r="A17" s="13"/>
      <c r="B17" s="13"/>
      <c r="C17" s="14"/>
      <c r="D17" s="14"/>
      <c r="E17" s="15"/>
      <c r="F17"/>
      <c r="L17"/>
      <c r="M17"/>
      <c r="N17"/>
      <c r="O17"/>
      <c r="P17"/>
      <c r="Q17"/>
      <c r="R17"/>
      <c r="S17" s="10" t="s">
        <v>9150</v>
      </c>
      <c r="T17" s="4"/>
      <c r="U17" s="4">
        <f>SUM(U3:U16)</f>
        <v>468</v>
      </c>
      <c r="V17" s="4">
        <f>SUM(V3:V16)</f>
        <v>78</v>
      </c>
      <c r="W17" s="4" t="s">
        <v>13547</v>
      </c>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row>
    <row r="18" ht="24" customHeight="1" spans="1:256">
      <c r="A18" s="13"/>
      <c r="B18" s="13"/>
      <c r="C18" s="14"/>
      <c r="D18" s="14"/>
      <c r="E18" s="15"/>
      <c r="F18"/>
      <c r="G18" s="16"/>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row>
    <row r="19" ht="24" customHeight="1" spans="1:256">
      <c r="A19" s="13"/>
      <c r="B19" s="13"/>
      <c r="C19" s="14"/>
      <c r="D19" s="14"/>
      <c r="E19" s="15"/>
      <c r="F19"/>
      <c r="G19" s="16"/>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row>
    <row r="20" ht="24" customHeight="1" spans="1:256">
      <c r="A20" s="13"/>
      <c r="B20" s="13"/>
      <c r="C20" s="14"/>
      <c r="D20" s="14"/>
      <c r="E20" s="15"/>
      <c r="F20"/>
      <c r="G20" s="16"/>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row>
  </sheetData>
  <sheetProtection formatCells="0" formatColumns="0" formatRows="0" insertRows="0" insertColumns="0" insertHyperlinks="0" deleteColumns="0" deleteRows="0" sort="0" autoFilter="0" pivotTables="0"/>
  <mergeCells count="3">
    <mergeCell ref="A1:E1"/>
    <mergeCell ref="G1:J1"/>
    <mergeCell ref="S1:W1"/>
  </mergeCells>
  <pageMargins left="0.75" right="0.75" top="1" bottom="1" header="0.509027777777778" footer="0.509027777777778"/>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allowEditUser xmlns="https://web.wps.cn/et/2018/main" xmlns:s="http://schemas.openxmlformats.org/spreadsheetml/2006/main" hasInvisiblePropRange="0">
  <rangeList sheetStid="40" master="" otherUserPermission="visible"/>
  <rangeList sheetStid="41" master="" otherUserPermission="visible"/>
  <rangeList sheetStid="42" master="" otherUserPermission="edit">
    <arrUserId title="Range1" rangeCreator="" othersAccessPermission="edit">
      <userID accessPermission="edit">1475153551</userID>
      <userID accessPermission="edit">1850010794</userID>
      <userID accessPermission="edit">1851561945</userID>
      <userID accessPermission="edit">1715258932</userID>
    </arrUserId>
    <arrUserId title="Range2" rangeCreator="" othersAccessPermission="visible">
      <userID accessPermission="edit">1475153551</userID>
      <userID accessPermission="edit">1474709007</userID>
      <userID accessPermission="edit">1474966847</userID>
      <userID accessPermission="edit">1765212680</userID>
    </arrUserId>
  </rangeList>
  <rangeList sheetStid="43" master="" otherUserPermission="edit">
    <arrUserId title="Range1" rangeCreator="" othersAccessPermission="edit">
      <userID accessPermission="edit">1475153551</userID>
      <userID accessPermission="edit">1851561945</userID>
      <userID accessPermission="edit">1715258932</userID>
      <userID accessPermission="edit">1850010794</userID>
    </arrUserId>
    <arrUserId title="Range2" rangeCreator="" othersAccessPermission="visible">
      <userID accessPermission="edit">1475153551</userID>
      <userID accessPermission="edit">1474709007</userID>
      <userID accessPermission="edit">1765212680</userID>
      <userID accessPermission="edit">1474966847</userID>
      <userID accessPermission="edit">1853477080</userID>
    </arrUserId>
  </rangeList>
  <rangeList sheetStid="44" master="" otherUserPermission="visible"/>
  <rangeList sheetStid="48" master="" otherUserPermission="edit">
    <arrUserId title="Range1" rangeCreator="" othersAccessPermission="edit">
      <userID accessPermission="edit">1475153551</userID>
      <userID accessPermission="edit">1715258932</userID>
      <userID accessPermission="edit">1851561945</userID>
      <userID accessPermission="edit">1850010794</userID>
    </arrUserId>
    <arrUserId title="Range2" rangeCreator="" othersAccessPermission="visible">
      <userID accessPermission="edit">1475153551</userID>
      <userID accessPermission="edit">1765212680</userID>
      <userID accessPermission="edit">1474709007</userID>
      <userID accessPermission="edit">1474966847</userID>
      <userID accessPermission="edit">1853477080</userID>
    </arrUserId>
  </rangeList>
  <rangeList sheetStid="49" master="" otherUserPermission="visible"/>
  <rangeList sheetStid="32" master="" otherUserPermission="edit"/>
  <rangeList sheetStid="20" master="" otherUserPermission="edit"/>
  <rangeList sheetStid="50" master="" otherUserPermission="edit"/>
  <rangeList sheetStid="14" master="" otherUserPermission="edit"/>
  <rangeList sheetStid="53" master="" otherUserPermission="edit"/>
  <rangeList sheetStid="12" master="" otherUserPermission="edit"/>
  <rangeList sheetStid="52" master="" otherUserPermission="edit"/>
  <rangeList sheetStid="51" master="" otherUserPermission="edit"/>
  <rangeList sheetStid="17" master="" otherUserPermission="edit"/>
  <rangeList sheetStid="54" master="" otherUserPermission="edit"/>
  <rangeList sheetStid="47" master="" otherUserPermission="edit"/>
  <rangeList sheetStid="45" master="" otherUserPermission="edit"/>
  <rangeList sheetStid="19" master="" otherUserPermission="edit"/>
  <rangeList sheetStid="25" master="" otherUserPermission="edit"/>
</allowEditUser>
</file>

<file path=customXml/item2.xml><?xml version="1.0" encoding="utf-8"?>
<comments xmlns="https://web.wps.cn/et/2018/main" xmlns:s="http://schemas.openxmlformats.org/spreadsheetml/2006/main" xmlns:r="http://schemas.openxmlformats.org/officeDocument/2006/relationships">
  <commentList sheetStid="40">
    <commentChains s:ref="AJ15" rgbClr="FF0000">
      <unresolved>
        <commentChain chainId="0a9a5e3bb20f023f012f537c485a9a59278ffa35">
          <item id="ae7c7a49b54450b4f18e37ab1deb0304939a24fe" isNormal="1">
            <s:text>
              <s:r>
                <s:t xml:space="preserve">admin:
新稿-收缩膜自带环保标标志</s:t>
              </s:r>
            </s:text>
          </item>
        </commentChain>
      </unresolved>
      <resolved/>
    </commentChains>
    <commentChains s:ref="AJ16" rgbClr="FF0000">
      <unresolved>
        <commentChain chainId="5cf5a3d039304d051568981a2c668ebac721c07a">
          <item id="1b27871295f4324ee3214d303140dd4f1ead51c1" isNormal="1">
            <s:text>
              <s:r>
                <s:t xml:space="preserve">admin:
新稿-收缩膜自带环保标标志</s:t>
              </s:r>
            </s:text>
          </item>
        </commentChain>
      </unresolved>
      <resolved/>
    </commentChains>
    <commentChains s:ref="AJ17" rgbClr="FF0000">
      <unresolved>
        <commentChain chainId="36aff5b1578d28d8a1d3e0d2b7a7b7ab7450572a">
          <item id="8fea914ee814c698be4673780ba997a81945288e" isNormal="1">
            <s:text>
              <s:r>
                <s:t xml:space="preserve">admin:
新稿-收缩膜自带环保标标志</s:t>
              </s:r>
            </s:text>
          </item>
        </commentChain>
      </unresolved>
      <resolved/>
    </commentChains>
    <commentChains s:ref="AJ18" rgbClr="FF0000">
      <unresolved>
        <commentChain chainId="6594f30f44cdd1a49c19784e08c3aaa561cd7609">
          <item id="54ae17e542fae3d37e817d16b73b25985eaf5f77" isNormal="1">
            <s:text>
              <s:r>
                <s:t xml:space="preserve">admin:
新稿-收缩膜自带环保标标志</s:t>
              </s:r>
            </s:text>
          </item>
        </commentChain>
      </unresolved>
      <resolved/>
    </commentChains>
    <commentChains s:ref="AJ23" rgbClr="FF0000">
      <unresolved>
        <commentChain chainId="b9b6f25b73a83157d90052d2c39ea7b947f516f8">
          <item id="65c5d06e3b455de59b5329b834317172ab365edb" isNormal="1">
            <s:text>
              <s:r>
                <s:t xml:space="preserve">admin:
新稿-收缩膜自带环保标标志</s:t>
              </s:r>
            </s:text>
          </item>
        </commentChain>
      </unresolved>
      <resolved/>
    </commentChains>
    <commentChains s:ref="AJ24" rgbClr="FF0000">
      <unresolved>
        <commentChain chainId="3324338d00da7e822d5a295e0ff853a6c8a308df">
          <item id="fb3fa956f61700b73924a9977cf0e8cd4ff37482" isNormal="1">
            <s:text>
              <s:r>
                <s:t xml:space="preserve">admin:
新稿-收缩膜自带环保标标志</s:t>
              </s:r>
            </s:text>
          </item>
        </commentChain>
      </unresolved>
      <resolved/>
    </commentChains>
    <commentChains s:ref="AJ28" rgbClr="FF0000">
      <unresolved>
        <commentChain chainId="7987c869abe63b2d29ba7ba498c6fd21dafe5b20">
          <item id="a0070206de4ccdfbb418348a87be00a30dc9a440" isNormal="1">
            <s:text>
              <s:r>
                <s:t xml:space="preserve">admin:
新稿-收缩膜自带环保标标志</s:t>
              </s:r>
            </s:text>
          </item>
        </commentChain>
      </unresolved>
      <resolved/>
    </commentChains>
    <commentChains s:ref="AJ29" rgbClr="FF0000">
      <unresolved>
        <commentChain chainId="43278f85b9a0afb8f1e73019c35ae0875473092a">
          <item id="dc93c65e011e587bad176820f4817f29b6352ac8" isNormal="1">
            <s:text>
              <s:r>
                <s:t xml:space="preserve">admin:
新稿-收缩膜自带环保标标志</s:t>
              </s:r>
            </s:text>
          </item>
        </commentChain>
      </unresolved>
      <resolved/>
    </commentChains>
    <commentChains s:ref="AJ30" rgbClr="FF0000">
      <unresolved>
        <commentChain chainId="b7a020ebd29dd65bf9f8b401b3744bfa34cfa177">
          <item id="bd6e62cb6537d3a621891854f0c348c73c362e4d" isNormal="1">
            <s:text>
              <s:r>
                <s:t xml:space="preserve">admin:
新稿-收缩膜自带环保标标志</s:t>
              </s:r>
            </s:text>
          </item>
        </commentChain>
      </unresolved>
      <resolved/>
    </commentChains>
    <commentChains s:ref="AJ31" rgbClr="FF0000">
      <unresolved>
        <commentChain chainId="e6f4f102c242fe51d22e6bd7ba60f9942ac9d228">
          <item id="a70f8265f232aa817d79a304002bea0a649c5fdb" isNormal="1">
            <s:text>
              <s:r>
                <s:t xml:space="preserve">admin:
新稿-收缩膜自带环保标标志</s:t>
              </s:r>
            </s:text>
          </item>
        </commentChain>
      </unresolved>
      <resolved/>
    </commentChains>
    <commentChains s:ref="AJ32" rgbClr="FF0000">
      <unresolved>
        <commentChain chainId="6d338e6e2bd827069d350e1825817cae975091ad">
          <item id="5de0098508869845046f10010585563965849231" isNormal="1">
            <s:text>
              <s:r>
                <s:t xml:space="preserve">admin:
新稿-收缩膜自带环保标标志</s:t>
              </s:r>
            </s:text>
          </item>
        </commentChain>
      </unresolved>
      <resolved/>
    </commentChains>
    <commentChains s:ref="AJ33" rgbClr="FF0000">
      <unresolved>
        <commentChain chainId="7c76060072c98e499add6b9b21d169d425bee7ab">
          <item id="7ede4a9308a6c3b9168f1744e995c90e3e413200" isNormal="1">
            <s:text>
              <s:r>
                <s:t xml:space="preserve">admin:
新稿-收缩膜自带环保标标志</s:t>
              </s:r>
            </s:text>
          </item>
        </commentChain>
      </unresolved>
      <resolved/>
    </commentChains>
    <commentChains s:ref="AJ34" rgbClr="FF0000">
      <unresolved>
        <commentChain chainId="14f2c33318021685469a0d80534c7ab4b7fa8e2e">
          <item id="c76b081d61dbcc794046d1ce7e525d4f9c8d6756" isNormal="1">
            <s:text>
              <s:r>
                <s:t xml:space="preserve">admin:
新稿-收缩膜自带环保标标志</s:t>
              </s:r>
            </s:text>
          </item>
        </commentChain>
      </unresolved>
      <resolved/>
    </commentChains>
    <commentChains s:ref="AJ35" rgbClr="FF0000">
      <unresolved>
        <commentChain chainId="fa576c28e7ae124db32cd37f76180362f42f8431">
          <item id="cb6b375194e0e1bd1666b0c0abb8b6bcb166f586" isNormal="1">
            <s:text>
              <s:r>
                <s:t xml:space="preserve">admin:
新稿-收缩膜自带环保标标志</s:t>
              </s:r>
            </s:text>
          </item>
        </commentChain>
      </unresolved>
      <resolved/>
    </commentChains>
    <commentChains s:ref="AJ36" rgbClr="FF0000">
      <unresolved>
        <commentChain chainId="d8aabcf818c2b52ecacb9480e2147ba2545f9460">
          <item id="0b3797f40848e5234166e04eff70345809a36456" isNormal="1">
            <s:text>
              <s:r>
                <s:t xml:space="preserve">admin:
新稿-收缩膜自带环保标标志</s:t>
              </s:r>
            </s:text>
          </item>
        </commentChain>
      </unresolved>
      <resolved/>
    </commentChains>
    <commentChains s:ref="AJ37" rgbClr="FF0000">
      <unresolved>
        <commentChain chainId="854b82ec6c51a015e970ff22289137dabbe96ba5">
          <item id="975fa8aff3ad64ecb5a164546eb043a15f91612f" isNormal="1">
            <s:text>
              <s:r>
                <s:t xml:space="preserve">admin:
新稿-收缩膜自带环保标标志</s:t>
              </s:r>
            </s:text>
          </item>
        </commentChain>
      </unresolved>
      <resolved/>
    </commentChains>
    <commentChains s:ref="AJ38" rgbClr="FF0000">
      <unresolved>
        <commentChain chainId="11da1eaebeccd0ef4f0c4ecc9228b4a0d2e0ed51">
          <item id="366dd9eedf5453ca4d2f7de64c3f1cca24c1e6a5" isNormal="1">
            <s:text>
              <s:r>
                <s:t xml:space="preserve">admin:
新稿-收缩膜自带环保标标志</s:t>
              </s:r>
            </s:text>
          </item>
        </commentChain>
      </unresolved>
      <resolved/>
    </commentChains>
    <commentChains s:ref="AJ39" rgbClr="FF0000">
      <unresolved>
        <commentChain chainId="1ee41e5ff81f24eb38c92f23d086f989c550b781">
          <item id="a5eee0d6d8815d564400257a47a19986b1ebf95e" isNormal="1">
            <s:text>
              <s:r>
                <s:t xml:space="preserve">admin:
新稿-收缩膜自带环保标标志</s:t>
              </s:r>
            </s:text>
          </item>
        </commentChain>
      </unresolved>
      <resolved/>
    </commentChains>
    <commentChains s:ref="AJ40" rgbClr="FF0000">
      <unresolved>
        <commentChain chainId="9ca8dac043713015e28a8792c1f36525d1168f49">
          <item id="b07e822eafcf9bb7d235ba5d0022bcd7c279ab05" isNormal="1">
            <s:text>
              <s:r>
                <s:t xml:space="preserve">admin:
新稿-收缩膜自带环保标标志</s:t>
              </s:r>
            </s:text>
          </item>
        </commentChain>
      </unresolved>
      <resolved/>
    </commentChains>
    <commentChains s:ref="AJ41" rgbClr="FF0000">
      <unresolved>
        <commentChain chainId="6bcc32f1af78af1249632ba3c8fa88645c32c893">
          <item id="756b2c9b4d466972136d55c0003a6937b17f09f3" isNormal="1">
            <s:text>
              <s:r>
                <s:t xml:space="preserve">admin:
新稿-收缩膜自带环保标标志</s:t>
              </s:r>
            </s:text>
          </item>
        </commentChain>
      </unresolved>
      <resolved/>
    </commentChains>
    <commentChains s:ref="AJ42" rgbClr="FF0000">
      <unresolved>
        <commentChain chainId="695c02f4ef663ce96ce3356a3faac8d7b71cab9d">
          <item id="e522ff0a7caa79861be5c3ccf6dda51defce8738" isNormal="1">
            <s:text>
              <s:r>
                <s:t xml:space="preserve">admin:
新稿-收缩膜自带环保标标志</s:t>
              </s:r>
            </s:text>
          </item>
        </commentChain>
      </unresolved>
      <resolved/>
    </commentChains>
    <commentChains s:ref="AJ43" rgbClr="FF0000">
      <unresolved>
        <commentChain chainId="58e7ae8934a5e2837ebe18a8d115768f0370ffd7">
          <item id="a7a8b88d06f4da5dd5bcfffbc483778312d39a9a" isNormal="1">
            <s:text>
              <s:r>
                <s:t xml:space="preserve">admin:
新稿-收缩膜自带环保标标志</s:t>
              </s:r>
            </s:text>
          </item>
        </commentChain>
      </unresolved>
      <resolved/>
    </commentChains>
    <commentChains s:ref="AJ44" rgbClr="FF0000">
      <unresolved>
        <commentChain chainId="e2ed0ac2922c1b6c797b87438973d4e06cb4382b">
          <item id="76758be8df3752306ba3342edbb2bb4798977dc7" isNormal="1">
            <s:text>
              <s:r>
                <s:t xml:space="preserve">admin:
新稿-收缩膜自带环保标标志</s:t>
              </s:r>
            </s:text>
          </item>
        </commentChain>
      </unresolved>
      <resolved/>
    </commentChains>
    <commentChains s:ref="AJ45" rgbClr="FF0000">
      <unresolved>
        <commentChain chainId="871db9388bd2c019fa3a0277e6cb214d67d2ffed">
          <item id="6ad079ba63e984d9c9c1c573b09af1ad01e1e359" isNormal="1">
            <s:text>
              <s:r>
                <s:t xml:space="preserve">admin:
新稿-收缩膜自带环保标标志</s:t>
              </s:r>
            </s:text>
          </item>
        </commentChain>
      </unresolved>
      <resolved/>
    </commentChains>
    <commentChains s:ref="AJ46" rgbClr="FF0000">
      <unresolved>
        <commentChain chainId="af03b2e05e97645073f48ca9419d850366f63571">
          <item id="d0a50387ba958697f990c07f57d121a180f94fd1" isNormal="1">
            <s:text>
              <s:r>
                <s:t xml:space="preserve">admin:
新稿-收缩膜自带环保标标志</s:t>
              </s:r>
            </s:text>
          </item>
        </commentChain>
      </unresolved>
      <resolved/>
    </commentChains>
    <commentChains s:ref="AJ47" rgbClr="FF0000">
      <unresolved>
        <commentChain chainId="c46c32064a823c1c2b310caff61409d7061e95f1">
          <item id="f9ae5006924702e1eb32d8ccec43835bdb5e37d7" isNormal="1">
            <s:text>
              <s:r>
                <s:t xml:space="preserve">admin:
新稿-收缩膜自带环保标标志</s:t>
              </s:r>
            </s:text>
          </item>
        </commentChain>
      </unresolved>
      <resolved/>
    </commentChains>
    <commentChains s:ref="AJ48" rgbClr="FF0000">
      <unresolved>
        <commentChain chainId="c20a402088ed2254d7ea246b203c68349d5417b2">
          <item id="c87144a9e413e3e2805652fc30cb5ab090db691f" isNormal="1">
            <s:text>
              <s:r>
                <s:t xml:space="preserve">admin:
新稿-收缩膜自带环保标标志</s:t>
              </s:r>
            </s:text>
          </item>
        </commentChain>
      </unresolved>
      <resolved/>
    </commentChains>
    <commentChains s:ref="AJ49" rgbClr="FF0000">
      <unresolved>
        <commentChain chainId="0dcc60907712774a7ae087793636616138b6a591">
          <item id="de372a2e93ede2b9b1796429c828a6c11bacb48d" isNormal="1">
            <s:text>
              <s:r>
                <s:t xml:space="preserve">admin:
新稿-收缩膜自带环保标标志</s:t>
              </s:r>
            </s:text>
          </item>
        </commentChain>
      </unresolved>
      <resolved/>
    </commentChains>
    <commentChains s:ref="AJ50" rgbClr="FF0000">
      <unresolved>
        <commentChain chainId="d53363973b03498de027a199812dbf87e120d25e">
          <item id="f8661bfcf52821a2294a1790b9200aa36de779b2" isNormal="1">
            <s:text>
              <s:r>
                <s:t xml:space="preserve">admin:
新稿-收缩膜自带环保标标志</s:t>
              </s:r>
            </s:text>
          </item>
        </commentChain>
      </unresolved>
      <resolved/>
    </commentChains>
    <commentChains s:ref="AJ51" rgbClr="FF0000">
      <unresolved>
        <commentChain chainId="046e20c9d1ac32ce272b69c5617f9d743ff8f195">
          <item id="cbbaefae6c0aae634f05ade7cd424c42cfb2c852" isNormal="1">
            <s:text>
              <s:r>
                <s:t xml:space="preserve">admin:
新稿-收缩膜自带环保标标志</s:t>
              </s:r>
            </s:text>
          </item>
        </commentChain>
      </unresolved>
      <resolved/>
    </commentChains>
    <commentChains s:ref="AJ52" rgbClr="FF0000">
      <unresolved>
        <commentChain chainId="2f884b283914673875122e924a8665bcecd59dc7">
          <item id="f2b50bf855301693ec0ebe6dbe6078524974249f" isNormal="1">
            <s:text>
              <s:r>
                <s:t xml:space="preserve">admin:
新稿-收缩膜自带环保标标志</s:t>
              </s:r>
            </s:text>
          </item>
        </commentChain>
      </unresolved>
      <resolved/>
    </commentChains>
    <commentChains s:ref="AJ53" rgbClr="FF0000">
      <unresolved>
        <commentChain chainId="9e4dbb9e0c66c9c40346f7ce3e305bf5f996165c">
          <item id="5d06b5e2883dcea34c355476263e4f66a2c5b34a" isNormal="1">
            <s:text>
              <s:r>
                <s:t xml:space="preserve">admin:
新稿-收缩膜自带环保标标志</s:t>
              </s:r>
            </s:text>
          </item>
        </commentChain>
      </unresolved>
      <resolved/>
    </commentChains>
    <commentChains s:ref="AJ54" rgbClr="FF0000">
      <unresolved>
        <commentChain chainId="2e6c7faae8f5a665d813862dec1fd6700ec6288b">
          <item id="a1424452e73e330df9e94011b1c562d1033c7571" isNormal="1">
            <s:text>
              <s:r>
                <s:t xml:space="preserve">admin:
新稿-收缩膜自带环保标标志</s:t>
              </s:r>
            </s:text>
          </item>
        </commentChain>
      </unresolved>
      <resolved/>
    </commentChains>
    <commentChains s:ref="R61" rgbClr="FF0000">
      <unresolved>
        <commentChain chainId="ad50aaba97d54f39febe8f00289d094e35e7d0d9">
          <item id="644981bb28dea50765a7a57276886d0f558effe2" isNormal="1">
            <s:text>
              <s:r>
                <s:t xml:space="preserve">Administrator:
4000376 9/5 暹罗猫2928 PCS
            加菲猫350 PCS</s:t>
              </s:r>
            </s:text>
          </item>
        </commentChain>
      </unresolved>
      <resolved/>
    </commentChains>
    <commentChains s:ref="R62" rgbClr="FF0000">
      <unresolved>
        <commentChain chainId="ad5645da9a780e4421eee83316165f9f8a92c230">
          <item id="4e84a7f3d489d65b109bec1355c6cb4bfd0bbf72" isNormal="1">
            <s:text>
              <s:r>
                <s:t xml:space="preserve">Administrator:
4000399 9/13 加菲猫 840PCS,
              美国猫960 PCS
4000426 9/12 暹罗猫 2966 PCS
             孟加拉猫2966 PCS 
             加菲猫 2126 PCS
             美国猫 2006 PCS</s:t>
              </s:r>
            </s:text>
          </item>
        </commentChain>
      </unresolved>
      <resolved/>
    </commentChains>
    <commentChains s:ref="R63" rgbClr="FF0000">
      <unresolved>
        <commentChain chainId="c9360420513e5a96d5e2bed621fc61f78a8fab68">
          <item id="660d927f5cea5a3cae4beba72966c092684acf06" isNormal="1">
            <s:text>
              <s:r>
                <s:t xml:space="preserve">Administrator:
4000399 9/13 加菲猫 1740PCS
             暹罗猫1520 PCS
</s:t>
              </s:r>
            </s:text>
          </item>
        </commentChain>
      </unresolved>
      <resolved/>
    </commentChains>
    <commentChains s:ref="R66" rgbClr="FF0000">
      <unresolved>
        <commentChain chainId="25c7bc19cd3e5ab4039e2f220618bbcfe5091d0d">
          <item id="7ec335ae4a9fa0ebb24236d1680d7a5454da6dde" isNormal="1">
            <s:text>
              <s:r>
                <s:t xml:space="preserve">Administrator:
4000401 9/13 加菲猫 2816 PCS
             孟加拉猫 1792 PCS</s:t>
              </s:r>
            </s:text>
          </item>
        </commentChain>
      </unresolved>
      <resolved/>
    </commentChains>
    <commentChains s:ref="R69" rgbClr="FF0000">
      <unresolved>
        <commentChain chainId="781aea73367339326758ca55ad9a6713ad784c0b">
          <item id="aff130bbddeb66cf49b776328cb0e5db643951fb" isNormal="1">
            <s:text>
              <s:r>
                <s:t xml:space="preserve">Administrator:
5000357 9/25 美国猫：2910
             暹罗猫：2964
             孟加拉猫：2246
             加菲猫：2964
5000362 9/25 孟加拉猫：702
</s:t>
              </s:r>
            </s:text>
          </item>
        </commentChain>
      </unresolved>
      <resolved/>
    </commentChains>
    <commentChains s:ref="R70" rgbClr="FF0000">
      <unresolved>
        <commentChain chainId="4893bed280a7f4307b9fc6fb83d56fd9af0efa87">
          <item id="db3eb0ffbac7aecd23d8dd91ac4199def22a3b0b" isNormal="1">
            <s:text>
              <s:r>
                <s:t xml:space="preserve">Administrator:
5000362 9/25 加菲猫：2760
             暹罗猫：960</s:t>
              </s:r>
            </s:text>
          </item>
        </commentChain>
      </unresolved>
      <resolved/>
    </commentChains>
  </commentList>
  <commentList sheetStid="41">
    <commentChains s:ref="BH3" rgbClr="FF0000">
      <unresolved>
        <commentChain chainId="4516e36c916c92f9a6a7f33fc2dc3ae6f0ab6107">
          <item id="89ed81c34a1f77b009161c1b82e23256dfafd5bc" isNormal="1">
            <s:text>
              <s:r>
                <s:t xml:space="preserve">
根据实单订购PDQ</s:t>
              </s:r>
            </s:text>
          </item>
        </commentChain>
      </unresolved>
      <resolved/>
    </commentChains>
    <commentChains s:ref="R360" rgbClr="FF0000">
      <unresolved>
        <commentChain chainId="cbeb9b320813f4ad3ca60b41c9c2230d057b26d1">
          <item id="146d1fc6108220861ccafa57cc2d24a015b89a29" isNormal="1">
            <s:text>
              <s:r>
                <s:t xml:space="preserve">Administrator:
4000127 8/29 504PCS</s:t>
              </s:r>
            </s:text>
          </item>
        </commentChain>
      </unresolved>
      <resolved/>
    </commentChains>
    <commentChains s:ref="R361" rgbClr="FF0000">
      <unresolved>
        <commentChain chainId="034c77009981e30fb3a84f654b4bce519990e098">
          <item id="e0581f4cc81e9fbf8317ef3a5b798fb07516f550" isNormal="1">
            <s:text>
              <s:r>
                <s:t xml:space="preserve">Administrator:
4000127 8/29 492
PCS</s:t>
              </s:r>
            </s:text>
          </item>
        </commentChain>
      </unresolved>
      <resolved/>
    </commentChains>
    <commentChains s:ref="R362" rgbClr="FF0000">
      <unresolved>
        <commentChain chainId="14a7e9813ac825d58d8f6fa5ab1904b55f8128e3">
          <item id="825406c48339d3edb55f43db53a0e7816ecde21c" isNormal="1">
            <s:text>
              <s:r>
                <s:t xml:space="preserve">Administrator:
4000127 8/29 492PCS</s:t>
              </s:r>
            </s:text>
          </item>
        </commentChain>
      </unresolved>
      <resolved/>
    </commentChains>
    <commentChains s:ref="R363" rgbClr="FF0000">
      <unresolved>
        <commentChain chainId="acc449f98da81752ca6d1c3588be8c386f979770">
          <item id="d4d759c8aa37c4acfaff447efe4cd7012a49bd6c" isNormal="1">
            <s:text>
              <s:r>
                <s:t xml:space="preserve">Administrator:
4000127 8/29 504PCS</s:t>
              </s:r>
            </s:text>
          </item>
        </commentChain>
      </unresolved>
      <resolved/>
    </commentChains>
    <commentChains s:ref="R364" rgbClr="FF0000">
      <unresolved>
        <commentChain chainId="e879b0a7b8f78d117f744e4749eb5c63572c6c27">
          <item id="807dd9cad3e331940c16cc00f7d20dbc953d00b2" isNormal="1">
            <s:text>
              <s:r>
                <s:t xml:space="preserve">Administrator:
4000127 8/29 492
PCS</s:t>
              </s:r>
            </s:text>
          </item>
        </commentChain>
      </unresolved>
      <resolved/>
    </commentChains>
    <commentChains s:ref="R365" rgbClr="FF0000">
      <unresolved>
        <commentChain chainId="e846a9711a9d9762ec2bbbae56a9fb04863e79db">
          <item id="9a8280bcea68f9335487af748afc3dee8169cd63" isNormal="1">
            <s:text>
              <s:r>
                <s:t xml:space="preserve">Administrator:
4000127 8/29 600PCS</s:t>
              </s:r>
            </s:text>
          </item>
        </commentChain>
      </unresolved>
      <resolved/>
    </commentChains>
    <commentChains s:ref="R366" rgbClr="FF0000">
      <unresolved>
        <commentChain chainId="07026e69f671a2aa29f5fe69eb1844086733f0f1">
          <item id="d2937317ea884216d4827383b2442a4f65c16e3f" isNormal="1">
            <s:text>
              <s:r>
                <s:t xml:space="preserve">Administrator:
4000127 8/29 504PCS</s:t>
              </s:r>
            </s:text>
          </item>
        </commentChain>
      </unresolved>
      <resolved/>
    </commentChains>
    <commentChains s:ref="R367" rgbClr="FF0000">
      <unresolved>
        <commentChain chainId="a396f15098d573eea9919baa263ff0506812fe4a">
          <item id="3890b7e76b38abb7677f534bdc5f73cf7e358fab" isNormal="1">
            <s:text>
              <s:r>
                <s:t xml:space="preserve">Administrator:
4000127 8/29 504PCS</s:t>
              </s:r>
            </s:text>
          </item>
        </commentChain>
      </unresolved>
      <resolved/>
    </commentChains>
    <commentChains s:ref="R368" rgbClr="FF0000">
      <unresolved>
        <commentChain chainId="25dee1e56a28ca6b391bcbd7ef8b2f3d01d5344d">
          <item id="e49a9297b646201b3643f47c693c3a0f14b262a0" isNormal="1">
            <s:text>
              <s:r>
                <s:t xml:space="preserve">Administrator:
4000126 8/29 24PCS</s:t>
              </s:r>
            </s:text>
          </item>
        </commentChain>
      </unresolved>
      <resolved/>
    </commentChains>
    <commentChains s:ref="R369" rgbClr="FF0000">
      <unresolved>
        <commentChain chainId="5deac32487f3a3bc4a7841944a3a5b65a911eab1">
          <item id="ac53de4fdf0de29283a33465d1a6982ef21d8cf3" isNormal="1">
            <s:text>
              <s:r>
                <s:t xml:space="preserve">Administrator:
4000126 8/29 36PCS</s:t>
              </s:r>
            </s:text>
          </item>
        </commentChain>
      </unresolved>
      <resolved/>
    </commentChains>
    <commentChains s:ref="R370" rgbClr="FF0000">
      <unresolved>
        <commentChain chainId="fd90e32e4e5f999db875b4b5bfd210adc55fa39e">
          <item id="e7c224123a49334d2b49192d1862686c7db34c92" isNormal="1">
            <s:text>
              <s:r>
                <s:t xml:space="preserve">Administrator:
4000126 8/29 84PCS</s:t>
              </s:r>
            </s:text>
          </item>
        </commentChain>
      </unresolved>
      <resolved/>
    </commentChains>
    <commentChains s:ref="R371" rgbClr="FF0000">
      <unresolved>
        <commentChain chainId="f5d421488d884fc39b53f80cae642d9062bfdb34">
          <item id="77e323a42fb761939d80981d91c958905d3405d3" isNormal="1">
            <s:text>
              <s:r>
                <s:t xml:space="preserve">Administrator:
4000126 8/29 12PCS</s:t>
              </s:r>
            </s:text>
          </item>
        </commentChain>
      </unresolved>
      <resolved/>
    </commentChains>
    <commentChains s:ref="R372" rgbClr="FF0000">
      <unresolved>
        <commentChain chainId="243ce0a569b970fa88ba396095cf15c5a2a56ce1">
          <item id="6c548b589893f372a636157dc4a285f08536561d" isNormal="1">
            <s:text>
              <s:r>
                <s:t xml:space="preserve">Administrator:
4000126 8/29 24PCS</s:t>
              </s:r>
            </s:text>
          </item>
        </commentChain>
      </unresolved>
      <resolved/>
    </commentChains>
    <commentChains s:ref="R375" rgbClr="FF0000">
      <unresolved>
        <commentChain chainId="93429ab62249816a97ccdf73527e440f22087c22">
          <item id="fe9458210440dc40d099d3409b80ce0c1dd4f40c" isNormal="1">
            <s:text>
              <s:r>
                <s:t xml:space="preserve">Administrator:
4000029 9/3 324 PCS</s:t>
              </s:r>
            </s:text>
          </item>
        </commentChain>
      </unresolved>
      <resolved/>
    </commentChains>
    <commentChains s:ref="R376" rgbClr="FF0000">
      <unresolved>
        <commentChain chainId="14d2d0accfcb9f73203b70726ee7057abc2bcc25">
          <item id="92a12b431e4165ccf54ecd2607848a61ea811461" isNormal="1">
            <s:text>
              <s:r>
                <s:t xml:space="preserve">Administrator:
4000057 9/1 1008 PCS
</s:t>
              </s:r>
            </s:text>
          </item>
        </commentChain>
      </unresolved>
      <resolved/>
    </commentChains>
    <commentChains s:ref="R377" rgbClr="FF0000">
      <unresolved>
        <commentChain chainId="1ab149730d4021c6e181f2af6e081c2d356151e4">
          <item id="eae05c00df5d717f10f2ce2b135ecf28223001be" isNormal="1">
            <s:text>
              <s:r>
                <s:t xml:space="preserve">Administrator:
4000061 9/1 24PCS
4000057 9/1 3192 PCS</s:t>
              </s:r>
            </s:text>
          </item>
        </commentChain>
      </unresolved>
      <resolved/>
    </commentChains>
    <commentChains s:ref="R378" rgbClr="FF0000">
      <unresolved>
        <commentChain chainId="b90d6cb531dec40b0f2580757171019d88c05f16">
          <item id="56fae9c6671a8b018c60e44059aad80fd448e7be" isNormal="1">
            <s:text>
              <s:r>
                <s:t xml:space="preserve">Administrator:
4000061 9/1 24PCS
4000057 9/1 1560 PCS</s:t>
              </s:r>
            </s:text>
          </item>
        </commentChain>
      </unresolved>
      <resolved/>
    </commentChains>
    <commentChains s:ref="R379" rgbClr="FF0000">
      <unresolved>
        <commentChain chainId="8421ead47a4a87adde72ae3efc169a53691cdc66">
          <item id="6f1c68a911854dbd3f797617a303193f14b11ddf" isNormal="1">
            <s:text>
              <s:r>
                <s:t xml:space="preserve">Administrator:
4000061 9/1 24PCS
4000057 9/1 1560 PCS</s:t>
              </s:r>
            </s:text>
          </item>
        </commentChain>
      </unresolved>
      <resolved/>
    </commentChains>
    <commentChains s:ref="R380" rgbClr="FF0000">
      <unresolved>
        <commentChain chainId="933e306c14713c892afa5e16ceae43b2ef25f6bd">
          <item id="0b432c4134c71b7481157e1613529a916e741750" isNormal="1">
            <s:text>
              <s:r>
                <s:t xml:space="preserve">Administrator:
4000061 9/1 24 PCS
4000057 9/1 3192 PCS</s:t>
              </s:r>
            </s:text>
          </item>
        </commentChain>
      </unresolved>
      <resolved/>
    </commentChains>
    <commentChains s:ref="R382" rgbClr="FF0000">
      <unresolved>
        <commentChain chainId="6f2c3f85ba1a73e27c2c5510d3003839118468c4">
          <item id="5026392218d664009220932c7d5cb4f549ae5428" isNormal="1">
            <s:text>
              <s:r>
                <s:t xml:space="preserve">Administrator:
4000366 9/5 2092 PCS</s:t>
              </s:r>
            </s:text>
          </item>
        </commentChain>
      </unresolved>
      <resolved/>
    </commentChains>
    <commentChains s:ref="R384" rgbClr="FF0000">
      <unresolved>
        <commentChain chainId="4d6e6f41d53ad754e835e9fca41f67d3310270b0">
          <item id="32fd3da161256edbb6b5d75bef28c4998098d9f1" isNormal="1">
            <s:text>
              <s:r>
                <s:t xml:space="preserve">Administrator:
4000434 9/10 1352 PCS</s:t>
              </s:r>
            </s:text>
          </item>
        </commentChain>
      </unresolved>
      <resolved/>
    </commentChains>
    <commentChains s:ref="R385" rgbClr="FF0000">
      <unresolved>
        <commentChain chainId="bf8bea4313a5471ab88a50a1a2985314539d8a1d">
          <item id="4d9a4252e24ba5898cdf599209434d55e3f0f799" isNormal="1">
            <s:text>
              <s:r>
                <s:t xml:space="preserve">Administrator:
5000111 9/17 24 PCS
4000412 9/15 576 PCS</s:t>
              </s:r>
            </s:text>
          </item>
        </commentChain>
      </unresolved>
      <resolved/>
    </commentChains>
    <commentChains s:ref="R386" rgbClr="FF0000">
      <unresolved>
        <commentChain chainId="885328fd9f8f02a5a7be78858a2930d1cc62a28f">
          <item id="fd556e0e6a4a147c853a9797b6ab97c61feed123" isNormal="1">
            <s:text>
              <s:r>
                <s:t xml:space="preserve">Administrator:
4000412 9/15 960 PCS</s:t>
              </s:r>
            </s:text>
          </item>
        </commentChain>
      </unresolved>
      <resolved/>
    </commentChains>
    <commentChains s:ref="R387" rgbClr="FF0000">
      <unresolved>
        <commentChain chainId="5fae362dd721663b7a6850e449530192f3282097">
          <item id="69be7cac5ca6fabc664d377ffc82436787c3218e" isNormal="1">
            <s:text>
              <s:r>
                <s:t xml:space="preserve">Administrator:
4000412 9/15 300 PCS</s:t>
              </s:r>
            </s:text>
          </item>
        </commentChain>
      </unresolved>
      <resolved/>
    </commentChains>
    <commentChains s:ref="R388" rgbClr="FF0000">
      <unresolved>
        <commentChain chainId="2aa85818854a53f538e452e395531faee5c91f7b">
          <item id="ca15be05a966ffcb17d6c3fbf858ce9787a433d8" isNormal="1">
            <s:text>
              <s:r>
                <s:t xml:space="preserve">Administrator:
4000404 9/13 132 PCS</s:t>
              </s:r>
            </s:text>
          </item>
        </commentChain>
      </unresolved>
      <resolved/>
    </commentChains>
    <commentChains s:ref="R389" rgbClr="FF0000">
      <unresolved>
        <commentChain chainId="01c71f53c9b250639cde869062c23ca53a3023af">
          <item id="422c2e0182fb89c063f3fab6e7b1d2b7e1851b55" isNormal="1">
            <s:text>
              <s:r>
                <s:t xml:space="preserve">Administrator:
4000404 9/13 1746 PCS</s:t>
              </s:r>
            </s:text>
          </item>
        </commentChain>
      </unresolved>
      <resolved/>
    </commentChains>
    <commentChains s:ref="R390" rgbClr="FF0000">
      <unresolved>
        <commentChain chainId="ca4deb5e48340feb5c314fa94db8f9246347bf03">
          <item id="1b08e7580bbe0affcfeab118e947bc7b3a49a207" isNormal="1">
            <s:text>
              <s:r>
                <s:t xml:space="preserve">Administrator:
4000409 9/13 1353 PCS
4000407 9/13 2784 PCS
4000400 9/13 1863 PCS</s:t>
              </s:r>
            </s:text>
          </item>
        </commentChain>
      </unresolved>
      <resolved/>
    </commentChains>
    <commentChains s:ref="R391" rgbClr="FF0000">
      <unresolved>
        <commentChain chainId="1ec5518a26669de7e5ea9e90217ec7ef19efd06d">
          <item id="ca874cfc5ceaf31a3ac94621f38ffe462f296160" isNormal="1">
            <s:text>
              <s:r>
                <s:t xml:space="preserve">Administrator:
4000404 9/13 6000 PCS</s:t>
              </s:r>
            </s:text>
          </item>
        </commentChain>
      </unresolved>
      <resolved/>
    </commentChains>
    <commentChains s:ref="R392" rgbClr="FF0000">
      <unresolved>
        <commentChain chainId="af32e5072e29471e34cec75a05ca144679b87ce4">
          <item id="fcf1e5d1ebddbf936824d579789a2e99a2a40cf2" isNormal="1">
            <s:text>
              <s:r>
                <s:t xml:space="preserve">Administrator:
4000400 9/13 3141 PCS</s:t>
              </s:r>
            </s:text>
          </item>
        </commentChain>
      </unresolved>
      <resolved/>
    </commentChains>
    <commentChains s:ref="R393" rgbClr="FF0000">
      <unresolved>
        <commentChain chainId="427a03758f16c93feab0922bab640044f569409b">
          <item id="35f371d5209fe546e0e94f4b59defd3b7cbfa6e9" isNormal="1">
            <s:text>
              <s:r>
                <s:t xml:space="preserve">Administrator:
4000407 9/13 1912 PCS</s:t>
              </s:r>
            </s:text>
          </item>
        </commentChain>
      </unresolved>
      <resolved/>
    </commentChains>
    <commentChains s:ref="R396" rgbClr="FF0000">
      <unresolved>
        <commentChain chainId="7cdfa51d07375204f4d0f93e20226210b89e4ddb">
          <item id="b343922837f4bbfd347638442ed3850a8ee3c832" isNormal="1">
            <s:text>
              <s:r>
                <s:t xml:space="preserve">Administrator:
5000111 9/17 1500 PCS</s:t>
              </s:r>
            </s:text>
          </item>
        </commentChain>
      </unresolved>
      <resolved/>
    </commentChains>
    <commentChains s:ref="R398" rgbClr="FF0000">
      <unresolved>
        <commentChain chainId="87f94207aeb48dcef5c9b9bd0c728a773a4c4b5e">
          <item id="6aa12debf18bc21a4756c3c7f5d015da6e59cf04" isNormal="1">
            <s:text>
              <s:r>
                <s:t xml:space="preserve">Administrator:
5000297 9/20 1152 PCS</s:t>
              </s:r>
            </s:text>
          </item>
        </commentChain>
      </unresolved>
      <resolved/>
    </commentChains>
    <commentChains s:ref="R401" rgbClr="FF0000">
      <unresolved>
        <commentChain chainId="ffa39939cbcf996a37166557dce706e537f1e362">
          <item id="e8725b443fe5a6580243df1f77f96178539ce0b6" isNormal="1">
            <s:text>
              <s:r>
                <s:t xml:space="preserve">Administrator:
5000297 9/20 360 PCS</s:t>
              </s:r>
            </s:text>
          </item>
        </commentChain>
      </unresolved>
      <resolved/>
    </commentChains>
    <commentChains s:ref="R417" rgbClr="FF0000">
      <unresolved>
        <commentChain chainId="daefe42a5b3d60d4396764710634114770f61e80">
          <item id="1453f31b0ea7efa41220fe7682a165790e43eb1f" isNormal="1">
            <s:text>
              <s:r>
                <s:t xml:space="preserve">Administrator:
5000285 9/22 布偶猫：117 PCS
             粉色猫：1168 PCS
             美国猫：1051 PCS
             黑色猫：411 PCS
             花斑猫：1168 PCS
            黑猫惊喜蛋 ：117 PCS</s:t>
              </s:r>
            </s:text>
          </item>
        </commentChain>
      </unresolved>
      <resolved/>
    </commentChains>
    <commentChains s:ref="R483" rgbClr="FF0000">
      <unresolved>
        <commentChain chainId="4398f29de545382c312fce9adaf8a31b830f0263">
          <item id="cca19aee36afefde0d5751ef9f98fc0e2a29b634" isNormal="1">
            <s:text>
              <s:r>
                <s:t xml:space="preserve">Administrator:
1600963 1/4 24 pcs</s:t>
              </s:r>
            </s:text>
          </item>
        </commentChain>
      </unresolved>
      <resolved/>
    </commentChains>
    <commentChains s:ref="T483" rgbClr="FF0000">
      <unresolved>
        <commentChain chainId="054df0954b752e1f0539cb5daca9f0078a1a1836">
          <item id="53d2103541332dfb4dcab67908e01740a9329a66" isNormal="1">
            <s:text>
              <s:r>
                <s:t xml:space="preserve">Administrator:
12/23 上UPC贴纸 180 pcs
      上客供亚马逊外箱贴纸 15 pcs</s:t>
              </s:r>
            </s:text>
          </item>
        </commentChain>
      </unresolved>
      <resolved/>
    </commentChains>
    <commentChains s:ref="R484" rgbClr="FF0000">
      <unresolved>
        <commentChain chainId="0f802ff04b6817fcea35ea727c694a3eea3fa4d8">
          <item id="18eaa169025e58b3440c6dba2615003c638951c6" isNormal="1">
            <s:text>
              <s:r>
                <s:t xml:space="preserve">Administrator:
1600963 1/4 12 pcs</s:t>
              </s:r>
            </s:text>
          </item>
        </commentChain>
      </unresolved>
      <resolved/>
    </commentChains>
    <commentChains s:ref="R485" rgbClr="FF0000">
      <unresolved>
        <commentChain chainId="a1f36f2d90bdc07a512f0e2498dde1918d6e1784">
          <item id="715209caea8247aaef189bc96a38b97ac35a8a37" isNormal="1">
            <s:text>
              <s:r>
                <s:t xml:space="preserve">Administrator:
1600963 1/4 24 pcs</s:t>
              </s:r>
            </s:text>
          </item>
        </commentChain>
      </unresolved>
      <resolved/>
    </commentChains>
    <commentChains s:ref="R486" rgbClr="FF0000">
      <unresolved>
        <commentChain chainId="43de2d4ce27786549b29af958751f2365e2df7fd">
          <item id="3563563ff0ab588a11fa23fbcb490c6eda276c82" isNormal="1">
            <s:text>
              <s:r>
                <s:t xml:space="preserve">Administrator:
1600963 1/4 36 pcs</s:t>
              </s:r>
            </s:text>
          </item>
        </commentChain>
      </unresolved>
      <resolved/>
    </commentChains>
    <commentChains s:ref="R487" rgbClr="FF0000">
      <unresolved>
        <commentChain chainId="209af20013500d0914405391dac5c41f40b51ec8">
          <item id="ce3a8965d5b5ec1b63157e99083d79e66aa0a822" isNormal="1">
            <s:text>
              <s:r>
                <s:t xml:space="preserve">Administrator:
1600963 1/4 36 pcs</s:t>
              </s:r>
            </s:text>
          </item>
        </commentChain>
      </unresolved>
      <resolved/>
    </commentChains>
    <commentChains s:ref="R488" rgbClr="FF0000">
      <unresolved>
        <commentChain chainId="e440416b5aa4c76be36d1fc895ecc90052350994">
          <item id="ab8a55e1bbe28ef17936fa7de7827a91a84fa335" isNormal="1">
            <s:text>
              <s:r>
                <s:t xml:space="preserve">Administrator:
1600963 1/4 48 pcs</s:t>
              </s:r>
            </s:text>
          </item>
        </commentChain>
      </unresolved>
      <resolved/>
    </commentChains>
    <commentChains s:ref="R489" rgbClr="FF0000">
      <unresolved>
        <commentChain chainId="2534f0049e593b272e7ed853b50a8594cf1a180f">
          <item id="158d08e3df6925e4b96c5f88ae90c39073ef53bc" isNormal="1">
            <s:text>
              <s:r>
                <s:t xml:space="preserve">Administrator:
1600989 1/5 1500 pcs</s:t>
              </s:r>
            </s:text>
          </item>
        </commentChain>
      </unresolved>
      <resolved/>
    </commentChains>
    <commentChains s:ref="T489" rgbClr="FF0000">
      <unresolved>
        <commentChain chainId="400f94ca3aace3279e5ccdc4fac28e5b77a53179">
          <item id="49c4c8aecef16174a06fb852f0160265b446c611" isNormal="1">
            <s:text>
              <s:r>
                <s:t xml:space="preserve">Administrator:
12/16 上白色防盗贴纸 1500 pcs
12/19 上Kmart外箱贴纸 250 PCS </s:t>
              </s:r>
            </s:text>
          </item>
        </commentChain>
      </unresolved>
      <resolved/>
    </commentChains>
    <commentChains s:ref="R490" rgbClr="FF0000">
      <unresolved>
        <commentChain chainId="37c78286eb4eb333ec3b20b5a84317e2f0f1bba8">
          <item id="9a249db3072594dbda2f4384b725b99b0fe8e5bd" isNormal="1">
            <s:text>
              <s:r>
                <s:t xml:space="preserve">Administrator:
1600974 1/4 2400 pcs</s:t>
              </s:r>
            </s:text>
          </item>
        </commentChain>
      </unresolved>
      <resolved/>
    </commentChains>
    <commentChains s:ref="T490" rgbClr="FF0000">
      <unresolved>
        <commentChain chainId="78274b623450b7a93649c7cb34f996af1ebf2105">
          <item id="e7cbad28207d58af79a890e73ede152a60b5ede5" isNormal="1">
            <s:text>
              <s:r>
                <s:t xml:space="preserve">Administrator:
12/16 上客供价格贴纸 2640 pcs</s:t>
              </s:r>
            </s:text>
          </item>
        </commentChain>
      </unresolved>
      <resolved/>
    </commentChains>
    <commentChains s:ref="R491" rgbClr="FF0000">
      <unresolved>
        <commentChain chainId="6af4b828b54354aa69e78e069ae17f1087f8f81d">
          <item id="b1e0a3175f5394503a03e3636ba41a5243522901" isNormal="1">
            <s:text>
              <s:r>
                <s:t xml:space="preserve">Administrator:
1600974 1/4 2208 pcs</s:t>
              </s:r>
            </s:text>
          </item>
        </commentChain>
      </unresolved>
      <resolved/>
    </commentChains>
    <commentChains s:ref="T491" rgbClr="FF0000">
      <unresolved>
        <commentChain chainId="e49cbdc83d5ad0dc44fffbe9181cbc1974b48388">
          <item id="512e755ce2d4833abe6f96861ae6881eb2b5ab7a" isNormal="1">
            <s:text>
              <s:r>
                <s:t xml:space="preserve">Administrator:
12/16 上客供价格贴纸 2429 pcs</s:t>
              </s:r>
            </s:text>
          </item>
        </commentChain>
      </unresolved>
      <resolved/>
    </commentChains>
    <commentChains s:ref="R492" rgbClr="FF0000">
      <unresolved>
        <commentChain chainId="f7543401a939557852909feb4d36f9a7960a2f7c">
          <item id="b520a6b61f2bf8b4fc7b9c6a953915ae96a9da74" isNormal="1">
            <s:text>
              <s:r>
                <s:t xml:space="preserve">Administrator:
1600974 1/4 1968 pcs
1600989 1/5 24 pcs</s:t>
              </s:r>
            </s:text>
          </item>
        </commentChain>
      </unresolved>
      <resolved/>
    </commentChains>
    <commentChains s:ref="T492" rgbClr="FF0000">
      <unresolved>
        <commentChain chainId="8d40746bb7678fa0fcb0b2bf4a9a87809b38b3a0">
          <item id="38c32159551f16ef051ac849d5b0b10e0970f7d3" isNormal="1">
            <s:text>
              <s:r>
                <s:t xml:space="preserve">Administrator:
12/16 上客供价格贴纸 2192 pcs</s:t>
              </s:r>
            </s:text>
          </item>
        </commentChain>
      </unresolved>
      <resolved/>
    </commentChains>
    <commentChains s:ref="R493" rgbClr="FF0000">
      <unresolved>
        <commentChain chainId="f3a4756fce12b5423b449c5738555d2136a9e35b">
          <item id="c76a216d20220a8df4db6a47a9e1209e652374bb" isNormal="1">
            <s:text>
              <s:r>
                <s:t xml:space="preserve">Administrator:
1600974 1/4 2208 pcs</s:t>
              </s:r>
            </s:text>
          </item>
        </commentChain>
      </unresolved>
      <resolved/>
    </commentChains>
    <commentChains s:ref="T493" rgbClr="FF0000">
      <unresolved>
        <commentChain chainId="fc4bf7f0263e41955ebe8ba0039375fcab0c2743">
          <item id="0460c8fc92e4534a383f84ffbe482a2ec8e45625" isNormal="1">
            <s:text>
              <s:r>
                <s:t xml:space="preserve">Administrator:
12/16 上客供价格贴纸 2429 pcs</s:t>
              </s:r>
            </s:text>
          </item>
        </commentChain>
      </unresolved>
      <resolved/>
    </commentChains>
    <commentChains s:ref="R494" rgbClr="FF0000">
      <unresolved>
        <commentChain chainId="2a613fb2e1fd16a404bdad02c924f98c2b3540ef">
          <item id="cfc8c90d7aaad95caff97f2c0d485315ca04bf4d" isNormal="1">
            <s:text>
              <s:r>
                <s:t xml:space="preserve">Administrator:
1601075 1/12 4200 pcs</s:t>
              </s:r>
            </s:text>
          </item>
        </commentChain>
      </unresolved>
      <resolved/>
    </commentChains>
    <commentChains s:ref="T494" rgbClr="FF0000">
      <unresolved>
        <commentChain chainId="392cf8cc06a8d7b71f7afe1c479a17395a184d30">
          <item id="8c6f0c8dac1ca7a8d6f09d672c37d8eb05b58835" isNormal="1">
            <s:text>
              <s:r>
                <s:t xml:space="preserve">Administrator:
12/23 上韩语贴纸 4200 pcs
      上红，黄，粉，黑，绿，蓝，紫 各700 pcs</s:t>
              </s:r>
            </s:text>
          </item>
        </commentChain>
      </unresolved>
      <resolved/>
    </commentChains>
    <commentChains s:ref="R495" rgbClr="FF0000">
      <unresolved>
        <commentChain chainId="4912dcb1e46e2b611b1d49b967f0c7674677657f">
          <item id="758639058e056f220036ee59320fad2d40529b66" isNormal="1">
            <s:text>
              <s:r>
                <s:t xml:space="preserve">Administrator:
1601179 1/17 1848 pcs</s:t>
              </s:r>
            </s:text>
          </item>
        </commentChain>
      </unresolved>
      <resolved/>
    </commentChains>
    <commentChains s:ref="T495" rgbClr="FF0000">
      <unresolved>
        <commentChain chainId="44879bbfe423ffa86566769061e0acdf10cec8a0">
          <item id="6c7d9ae5359244a98546d95280b0f92ef2edce57" isNormal="1">
            <s:text>
              <s:r>
                <s:t xml:space="preserve">Administrator:
12/15 上进口商贴纸 2568 pcs
      上EAN 条码贴纸 2568 pcs
12/17 上QR+SSCC外箱贴纸 107 pcs</s:t>
              </s:r>
            </s:text>
          </item>
        </commentChain>
      </unresolved>
      <resolved/>
    </commentChains>
    <commentChains s:ref="R496" rgbClr="FF0000">
      <unresolved>
        <commentChain chainId="4a91d4b773aa5cf57d154a00e17c19c23b23ec09">
          <item id="90c0e4acb5003a4feba9a382fcc6b21a12d77c22" isNormal="1">
            <s:text>
              <s:r>
                <s:t xml:space="preserve">Administrator:
1601179 1/17 720 pcs</s:t>
              </s:r>
            </s:text>
          </item>
        </commentChain>
      </unresolved>
      <resolved/>
    </commentChains>
    <commentChains s:ref="R497" rgbClr="FF0000">
      <unresolved>
        <commentChain chainId="22f05d2b9ff8c76f450104dc1d020d7cd6ef3f91">
          <item id="0c250c25be482d0fb4a56570c8f9ce84c81df093" isNormal="1">
            <s:text>
              <s:r>
                <s:t xml:space="preserve">Administrator:
1601213 1/20 1914 pcs</s:t>
              </s:r>
            </s:text>
          </item>
        </commentChain>
      </unresolved>
      <resolved/>
    </commentChains>
    <commentChains s:ref="T497" rgbClr="FF0000">
      <unresolved>
        <commentChain chainId="7c2c1e88100024726370401b0da5a44188ebb156">
          <item id="acd69bb75116fe94f8329d0796855c462d35917f" isNormal="1">
            <s:text>
              <s:r>
                <s:t xml:space="preserve">Administrator:
12/31 上Kmart外箱贴纸 319 pcs</s:t>
              </s:r>
            </s:text>
          </item>
        </commentChain>
      </unresolved>
      <resolved/>
    </commentChains>
    <commentChains s:ref="R498" rgbClr="FF0000">
      <unresolved>
        <commentChain chainId="deb40bb6b4264e997e386487606f0798b44541c3">
          <item id="02a04ce240e19e2de9516fab18af7b6a1b3316b7" isNormal="1">
            <s:text>
              <s:r>
                <s:t xml:space="preserve">Administrator:
1601201 1/21 504 pcs</s:t>
              </s:r>
            </s:text>
          </item>
        </commentChain>
      </unresolved>
      <resolved/>
    </commentChains>
    <commentChains s:ref="T498" rgbClr="FF0000">
      <unresolved>
        <commentChain chainId="59522dea0aa0b23146af847ac006cbb78b7746c8">
          <item id="a6635555e89e29977c51d7e34a273b0b48418c0d" isNormal="1">
            <s:text>
              <s:r>
                <s:t xml:space="preserve">Administrator:
1/4 上进口商贴纸 504 pcs</s:t>
              </s:r>
            </s:text>
          </item>
        </commentChain>
      </unresolved>
      <resolved/>
    </commentChains>
    <commentChains s:ref="R499" rgbClr="FF0000">
      <unresolved>
        <commentChain chainId="3d349c24db43c2eb0fcc64b4bcf5e33642814a92">
          <item id="9d1c5227c13ee76428f615d3ca5e9fefb42a785f" isNormal="1">
            <s:text>
              <s:r>
                <s:t xml:space="preserve">Administrator:
1601280 1/23 504 pcs</s:t>
              </s:r>
            </s:text>
          </item>
        </commentChain>
      </unresolved>
      <resolved/>
    </commentChains>
    <commentChains s:ref="T499" rgbClr="FF0000">
      <unresolved>
        <commentChain chainId="3fb23b1d57b851a6b2354e3efe89b681641664d0">
          <item id="25fd7ec65092c15c5a9d75204eeedd10c2a57c81" isNormal="1">
            <s:text>
              <s:r>
                <s:t xml:space="preserve">Administrator:
1/9 上UPC贴纸 504 pcs</s:t>
              </s:r>
            </s:text>
          </item>
        </commentChain>
      </unresolved>
      <resolved/>
    </commentChains>
    <commentChains s:ref="R500" rgbClr="FF0000">
      <unresolved>
        <commentChain chainId="19bbebf3ed71d613afa95d029d0372e30a8c5692">
          <item id="0b2f893a1db764ab7cb8ac046cf469cd70770641" isNormal="1">
            <s:text>
              <s:r>
                <s:t xml:space="preserve">Administrator:
1601280 1/23 1500 pcs</s:t>
              </s:r>
            </s:text>
          </item>
        </commentChain>
      </unresolved>
      <resolved/>
    </commentChains>
    <commentChains s:ref="T500" rgbClr="FF0000">
      <unresolved>
        <commentChain chainId="567bb9dfdc3ffa0130a6fccd87c14efe22ea9057">
          <item id="d7c965daef1a855dea103a6237b91b60d465a4d3" isNormal="1">
            <s:text>
              <s:r>
                <s:t xml:space="preserve">Administrator:
1/13 上白色防盗贴纸 4500 pcs
1/12 上Kmart外箱贴纸 750 pcs</s:t>
              </s:r>
            </s:text>
          </item>
        </commentChain>
      </unresolved>
      <resolved/>
    </commentChains>
    <commentChains s:ref="R501" rgbClr="FF0000">
      <unresolved>
        <commentChain chainId="1a335653e4e4f3060315065c89ba2a7229d69679">
          <item id="a0a51d5b255715e8a7f381ea2ef1074413d42d8f" isNormal="1">
            <s:text>
              <s:r>
                <s:t xml:space="preserve">Administrator:
1601280 1/23 1500 pcs</s:t>
              </s:r>
            </s:text>
          </item>
        </commentChain>
      </unresolved>
      <resolved/>
    </commentChains>
    <commentChains s:ref="R502" rgbClr="FF0000">
      <unresolved>
        <commentChain chainId="67bc29fb427ff49dbab873e26fa9384cbff12a6f">
          <item id="d4180143fd8caebd31975b7993518732a2f20565" isNormal="1">
            <s:text>
              <s:r>
                <s:t xml:space="preserve">Administrator:
1601280 1/23 1500 pcs</s:t>
              </s:r>
            </s:text>
          </item>
        </commentChain>
      </unresolved>
      <resolved/>
    </commentChains>
    <commentChains s:ref="R503" rgbClr="FF0000">
      <unresolved>
        <commentChain chainId="22eec3abdb667b515e9ce9e61a62b7f3db779b23">
          <item id="e1628b51217ec98e35b7a84638a23b6bd786f98d" isNormal="1">
            <s:text>
              <s:r>
                <s:t xml:space="preserve">Administrator:
1601298 1/26 900 pcs</s:t>
              </s:r>
            </s:text>
          </item>
        </commentChain>
      </unresolved>
      <resolved/>
    </commentChains>
    <commentChains s:ref="R504" rgbClr="FF0000">
      <unresolved>
        <commentChain chainId="a60c26ae07804119625e433cdb8bb1a91be49bbb">
          <item id="ca98ab6a28e37ce30f1110e467f7da7c0646f71b" isNormal="1">
            <s:text>
              <s:r>
                <s:t xml:space="preserve">Administrator:
1601298 1/26 1512 pcs</s:t>
              </s:r>
            </s:text>
          </item>
        </commentChain>
      </unresolved>
      <resolved/>
    </commentChains>
    <commentChains s:ref="T504" rgbClr="FF0000">
      <unresolved>
        <commentChain chainId="b50af943d360a060ee0ff5c2834827e9f90af803">
          <item id="6edc065afea7425858d558f308bb83b804b2d68b" isNormal="1">
            <s:text>
              <s:r>
                <s:t xml:space="preserve">Administrator:
1/12 上进口商贴纸 1512 pcs
     上QR贴纸 1512 pcs</s:t>
              </s:r>
            </s:text>
          </item>
        </commentChain>
      </unresolved>
      <resolved/>
    </commentChains>
    <commentChains s:ref="R505" rgbClr="FF0000">
      <unresolved>
        <commentChain chainId="86efa8022a2758ec157f2a1bb5d5c5c49b71973b">
          <item id="a79ec4d7c833f1e3dd846de1a2eb3c4766e82795" isNormal="1">
            <s:text>
              <s:r>
                <s:t xml:space="preserve">Administrator:
1200398 11/14 1200 pcs</s:t>
              </s:r>
            </s:text>
          </item>
        </commentChain>
      </unresolved>
      <resolved/>
    </commentChains>
    <commentChains s:ref="R506" rgbClr="FF0000">
      <unresolved>
        <commentChain chainId="420d5130b30786e6582a502cc8871529bef1fbf0">
          <item id="1a3cf54929242a1dfeb329a7c98cfd185472a035" isNormal="1">
            <s:text>
              <s:r>
                <s:t xml:space="preserve">Administrator:
1200398 11/14 156 pcs</s:t>
              </s:r>
            </s:text>
          </item>
        </commentChain>
      </unresolved>
      <resolved/>
    </commentChains>
    <commentChains s:ref="R507" rgbClr="FF0000">
      <unresolved>
        <commentChain chainId="987b11ff0b410ba425be93f6927f172855957a21">
          <item id="98f66858fbe4a4e1a5a0c99ce17d893d3734ad6e" isNormal="1">
            <s:text>
              <s:r>
                <s:t xml:space="preserve">Administrator:
1601161 1/15 1200 pcs</s:t>
              </s:r>
            </s:text>
          </item>
        </commentChain>
      </unresolved>
      <resolved/>
    </commentChains>
    <commentChains s:ref="T508" rgbClr="FF0000">
      <unresolved>
        <commentChain chainId="afa6661f4dda1c389bcd91d57d20d261623147e9">
          <item id="7f8633848590e5a1afd44cdec3cd33c61cc86fbd" isNormal="1">
            <s:text>
              <s:r>
                <s:t xml:space="preserve">Administrator:
12/16 上客供价格贴纸 2100 pcs</s:t>
              </s:r>
            </s:text>
          </item>
        </commentChain>
      </unresolved>
      <resolved/>
    </commentChains>
    <commentChains s:ref="R509" rgbClr="FF0000">
      <unresolved>
        <commentChain chainId="b70e343ab1b58ad8077be9f821adab181e6c1cd1">
          <item id="6740dc2cae875bb340074f89146ad9193f1dbf69" isNormal="1">
            <s:text>
              <s:r>
                <s:t xml:space="preserve">Administrator:
1405653 2/2 17904 pcs
1405619 2/3 96 pcs</s:t>
              </s:r>
            </s:text>
          </item>
        </commentChain>
      </unresolved>
      <resolved/>
    </commentChains>
    <commentChains s:ref="T509" rgbClr="FF0000">
      <unresolved>
        <commentChain chainId="9c34d1186ff100c44a416e34490bcc8dc0d15af9">
          <item id="a449e8bda26ff6631c8b5cbe35787646f10acf44" isNormal="1">
            <s:text>
              <s:r>
                <s:t xml:space="preserve">Administrator:
1/19 上进口商贴纸 18000 pcs</s:t>
              </s:r>
            </s:text>
          </item>
        </commentChain>
      </unresolved>
      <resolved/>
    </commentChains>
    <commentChains s:ref="R510" rgbClr="FF0000">
      <unresolved>
        <commentChain chainId="59d2351e819ed9f7a173bf0ef4888b822dd8275f">
          <item id="34ada6d555c33ff5509f09d82e77c671137e247f" isNormal="1">
            <s:text>
              <s:r>
                <s:t xml:space="preserve">Administrator:
1601289 1/27 1992 pcs</s:t>
              </s:r>
            </s:text>
          </item>
        </commentChain>
      </unresolved>
      <resolved/>
    </commentChains>
    <commentChains s:ref="T510" rgbClr="FF0000">
      <unresolved>
        <commentChain chainId="e8aa350a6b1359174068463db4489292ac0f7dd8">
          <item id="38bdefccec01ae64abaf922e31769ef47d41744c" isNormal="1">
            <s:text>
              <s:r>
                <s:t xml:space="preserve">Administrator:
1/15 上客供价格贴纸 2192 pcs</s:t>
              </s:r>
            </s:text>
          </item>
        </commentChain>
      </unresolved>
      <resolved/>
    </commentChains>
    <commentChains s:ref="R511" rgbClr="FF0000">
      <unresolved>
        <commentChain chainId="ee14ae9f994085c0dcd0d2c3d0da3032e09fc0c5">
          <item id="2f24e9ffdab5f27489ea597bc3e2862337bed989" isNormal="1">
            <s:text>
              <s:r>
                <s:t xml:space="preserve">Administrator:
1601289 1/27 2208 pcs</s:t>
              </s:r>
            </s:text>
          </item>
        </commentChain>
      </unresolved>
      <resolved/>
    </commentChains>
    <commentChains s:ref="T511" rgbClr="FF0000">
      <unresolved>
        <commentChain chainId="78f8c5134354533c90877d9c30ef7a42a5ca280b">
          <item id="f35c554bf26f608552c3f186639d4e0ee1e22a79" isNormal="1">
            <s:text>
              <s:r>
                <s:t xml:space="preserve">Administrator:
1/15 上客供价格贴纸 2429 pcs</s:t>
              </s:r>
            </s:text>
          </item>
        </commentChain>
      </unresolved>
      <resolved/>
    </commentChains>
    <commentChains s:ref="T512" rgbClr="FF0000">
      <unresolved>
        <commentChain chainId="c64c98c830ec301186b21a6977ff869ceb208461">
          <item id="8a624daba8bafb200fb1f900929a0438d721fdaf" isNormal="1">
            <s:text>
              <s:r>
                <s:t xml:space="preserve">Administrator:
1/15 价格贴纸 2100 PCS</s:t>
              </s:r>
            </s:text>
          </item>
        </commentChain>
      </unresolved>
      <resolved/>
    </commentChains>
    <commentChains s:ref="R513" rgbClr="FF0000">
      <unresolved>
        <commentChain chainId="5980a300624918b2549d60e2f20c19e3cd239093">
          <item id="1f4b3c128af6c3ca74f569a97d9a0294d2198e45" isNormal="1">
            <s:text>
              <s:r>
                <s:t xml:space="preserve">Administrator:
5000983 3/13 1056 pcs</s:t>
              </s:r>
            </s:text>
          </item>
        </commentChain>
      </unresolved>
      <resolved/>
    </commentChains>
    <commentChains s:ref="T513" rgbClr="FF0000">
      <unresolved>
        <commentChain chainId="44775b03072c1f096b48e641a615d67ac9054ac8">
          <item id="2503e43308209f3b9df4d7526f7c1b8399d45ad8" isNormal="1">
            <s:text>
              <s:r>
                <s:t xml:space="preserve">Administrator:
1/30 上白色防盗贴纸 1500 pcs
2/4  上外箱贴纸 250 pcs</s:t>
              </s:r>
            </s:text>
          </item>
        </commentChain>
      </unresolved>
      <resolved/>
    </commentChains>
    <commentChains s:ref="R514" rgbClr="FF0000">
      <unresolved>
        <commentChain chainId="362a2e2ffa6d79cb0a523ae62c1a5e29fa51beb1">
          <item id="88b2c5b15501366c2c9b39f59919e95fe2c9ac00" isNormal="1">
            <s:text>
              <s:r>
                <s:t xml:space="preserve">Administrator:
1601243 1/22 2400 PCS</s:t>
              </s:r>
            </s:text>
          </item>
        </commentChain>
      </unresolved>
      <resolved/>
    </commentChains>
    <commentChains s:ref="T514" rgbClr="FF0000">
      <unresolved>
        <commentChain chainId="e08a82f66d64ea1130d51dacfbd522a6491b50be">
          <item id="5c2ad8b957792d70f9e1db3a63857c3266a01227" isNormal="1">
            <s:text>
              <s:r>
                <s:t xml:space="preserve">Administrator:
1/16 价格贴纸 2520 PCS</s:t>
              </s:r>
            </s:text>
          </item>
        </commentChain>
      </unresolved>
      <resolved/>
    </commentChains>
    <commentChains s:ref="R515" rgbClr="FF0000">
      <unresolved>
        <commentChain chainId="5fcd67b64f7c6d9a236c113bf5b9ed15efaefaa9">
          <item id="40fb78c846321b4b964967555bfdd430c7051101" isNormal="1">
            <s:text>
              <s:r>
                <s:t xml:space="preserve">Administrator:
5000877 3/10 2400 pcs</s:t>
              </s:r>
            </s:text>
          </item>
        </commentChain>
      </unresolved>
      <resolved/>
    </commentChains>
    <commentChains s:ref="T515" rgbClr="FF0000">
      <unresolved>
        <commentChain chainId="7a0196151700b28c5ff13e8b106bd50f477d520c">
          <item id="417ee368fc397c9be8d8d0089dde0c30b6334ffe" isNormal="1">
            <s:text>
              <s:r>
                <s:t xml:space="preserve">Administrator:
3/10 上客供价格贴纸 2520 pcs</s:t>
              </s:r>
            </s:text>
          </item>
        </commentChain>
      </unresolved>
      <resolved/>
    </commentChains>
    <commentChains s:ref="R516" rgbClr="FF0000">
      <unresolved>
        <commentChain chainId="5f63cf7b5bbf5a0a64dda67c00e8ae806e0d146e">
          <item id="8a65b695752cd1fab54f8997f91d0e6557873831" isNormal="1">
            <s:text>
              <s:r>
                <s:t xml:space="preserve">Administrator:
5000890 3/13 2400 pcs</s:t>
              </s:r>
            </s:text>
          </item>
        </commentChain>
      </unresolved>
      <resolved/>
    </commentChains>
    <commentChains s:ref="R517" rgbClr="FF0000">
      <unresolved>
        <commentChain chainId="939d45ff61a99408e6adc20b5f735d1e053450b4">
          <item id="2f7b94022973a0c5b28ecddcaee1468668af92d8" isNormal="1">
            <s:text>
              <s:r>
                <s:t xml:space="preserve">Administrator:
1403118 5/25 2388 pcs</s:t>
              </s:r>
            </s:text>
          </item>
        </commentChain>
      </unresolved>
      <resolved/>
    </commentChains>
    <commentChains s:ref="R518" rgbClr="FF0000">
      <unresolved>
        <commentChain chainId="953bc52e3ba7dfdab538ec0364a879306a22ab67">
          <item id="cb04f500f005f49879af6865e7c5459379d16483" userID="1715258932" userName="严新荟" dateTime="2026-07-02T00:53:07" isNormal="0">
            <s:text>
              <s:r>
                <s:t xml:space="preserve">2200065 7/1 792 pcs</s:t>
              </s:r>
            </s:text>
          </item>
        </commentChain>
      </unresolved>
      <resolved/>
    </commentChains>
    <commentChains s:ref="T518" rgbClr="FF0000">
      <unresolved>
        <commentChain chainId="9dd27b095df9b75e2a9a86b39cfa3914cda2e181">
          <item id="3fe6146daeb6ffe462f333e0ea87658fc8551020" userID="1715258932" userName="严新荟" dateTime="2026-06-10T08:15:28" isNormal="0">
            <s:text>
              <s:r>
                <s:t xml:space="preserve">6/10 上UPC贴纸 4032 pcs
6/16 上客供价格贴纸 872 pcs</s:t>
              </s:r>
            </s:text>
          </item>
        </commentChain>
      </unresolved>
      <resolved/>
    </commentChains>
    <commentChains s:ref="R519" rgbClr="FF0000">
      <unresolved>
        <commentChain chainId="3dbe9fb4f9bba1a9a9f2ddd4beec11c720c6f408">
          <item id="1f264e753b9090a5fd40c3cef84f0b42f18a11f9" userID="1715258932" userName="严新荟" dateTime="2026-07-02T00:53:07" isNormal="0">
            <s:text>
              <s:r>
                <s:t xml:space="preserve">2200065 7/1 192 pcs</s:t>
              </s:r>
            </s:text>
          </item>
        </commentChain>
      </unresolved>
      <resolved/>
    </commentChains>
    <commentChains s:ref="T519" rgbClr="FF0000">
      <unresolved>
        <commentChain chainId="ba0744edb21a845e7a1690414b05f3869717d177">
          <item id="37e9463bf25a6c594b713368ebf02307614c133b" userID="1715258932" userName="严新荟" dateTime="2026-06-10T08:15:28" isNormal="0">
            <s:text>
              <s:r>
                <s:t xml:space="preserve">6/10 上UPC贴纸 4032 pcs
6/16 上客供价格贴纸 212 pcs</s:t>
              </s:r>
            </s:text>
          </item>
        </commentChain>
      </unresolved>
      <resolved/>
    </commentChains>
    <commentChains s:ref="R520" rgbClr="FF0000">
      <unresolved>
        <commentChain chainId="01316839d3ebac712388ba28b3a8204c11c2e87d">
          <item id="dcc48ea10ceb401a0d2f45babdebab0881fcece7" userID="1715258932" userName="严新荟" dateTime="2026-07-02T00:53:07" isNormal="0">
            <s:text>
              <s:r>
                <s:t xml:space="preserve">2200065 7/1 192 pcs</s:t>
              </s:r>
            </s:text>
          </item>
        </commentChain>
      </unresolved>
      <resolved/>
    </commentChains>
    <commentChains s:ref="R521" rgbClr="FF0000">
      <unresolved>
        <commentChain chainId="b63a22603728b7c958fe39ed150390e1580516bf">
          <item id="1d34c8449e4d663870fa2cc7e98f6dc28351fbd7" userID="1715258932" userName="严新荟" dateTime="2026-07-20T05:58:44" isNormal="0">
            <s:text>
              <s:r>
                <s:t xml:space="preserve">2200200 7/18 576 pcs
2200207 7/21 24 pcs</s:t>
              </s:r>
            </s:text>
          </item>
        </commentChain>
      </unresolved>
      <resolved/>
    </commentChains>
    <commentChains s:ref="R522" rgbClr="FF0000">
      <unresolved>
        <commentChain chainId="b4d562437a5acccd5010cfae43b3dfad7a57b37c">
          <item id="c61576d9108e772fe53a33009d9518e635876981" userID="1715258932" userName="严新荟" dateTime="2026-07-22T02:18:48" isNormal="0">
            <s:text>
              <s:r>
                <s:t xml:space="preserve">2200205 7/21 300 PCS</s:t>
              </s:r>
            </s:text>
          </item>
        </commentChain>
      </unresolved>
      <resolved/>
    </commentChains>
    <commentChains s:ref="R523" rgbClr="FF0000">
      <unresolved>
        <commentChain chainId="e3db3f8816b1c935ac1d9773ddfc63e6233df6d4">
          <item id="7d4988e868a82f0cdfb150d82cb5f0df87432ce5" userID="1715258932" userName="严新荟" dateTime="2026-07-23T06:09:11" isNormal="0">
            <s:text>
              <s:r>
                <s:t xml:space="preserve">2200224 7/22 192 PCS</s:t>
              </s:r>
            </s:text>
          </item>
        </commentChain>
      </unresolved>
      <resolved/>
    </commentChains>
    <commentChains s:ref="R524" rgbClr="FF0000">
      <unresolved>
        <commentChain chainId="8e5e4da556c15382bc69ef04b3e2446ddb9bbcea">
          <item id="62cb657bbf87cdf713f787d2e3cd80a8b44e2964" userID="1715258932" userName="严新荟" dateTime="2026-07-23T06:09:11" isNormal="0">
            <s:text>
              <s:r>
                <s:t xml:space="preserve">2200224 7/22 792 PCS</s:t>
              </s:r>
            </s:text>
          </item>
        </commentChain>
      </unresolved>
      <resolved/>
    </commentChains>
    <commentChains s:ref="T524" rgbClr="FF0000">
      <unresolved>
        <commentChain chainId="f1de05942d5c4d25743deafd763152bec254c4de">
          <item id="9c4321e691a04bf618ca3c4c317f675ebdec120d" userID="1715258932" userName="严新荟" dateTime="2026-06-10T08:15:28" isNormal="0">
            <s:text>
              <s:r>
                <s:t xml:space="preserve">6/10 上UPC贴纸 4032 pcs
6/16 上客供价格贴纸 872 pcs</s:t>
              </s:r>
            </s:text>
          </item>
        </commentChain>
      </unresolved>
      <resolved/>
    </commentChains>
    <commentChains s:ref="R525" rgbClr="FF0000">
      <unresolved>
        <commentChain chainId="489bc984dd12f3be715741421ae13b334a73b363">
          <item id="3522b8be39b1fd20d9ced188e5aa2aa7bf739670" userID="1715258932" userName="严新荟" dateTime="2026-07-23T06:09:11" isNormal="0">
            <s:text>
              <s:r>
                <s:t xml:space="preserve">2200224 7/22 192 PCS</s:t>
              </s:r>
            </s:text>
          </item>
        </commentChain>
      </unresolved>
      <resolved/>
    </commentChains>
    <commentChains s:ref="T525" rgbClr="FF0000">
      <unresolved>
        <commentChain chainId="927eb2781b99221d58288f85e24fc2141d3138d9">
          <item id="670db54c22a0a31ea69e079b7f41178ccc0485d1" userID="1715258932" userName="严新荟" dateTime="2026-06-10T08:15:28" isNormal="0">
            <s:text>
              <s:r>
                <s:t xml:space="preserve">6/10 上UPC贴纸 4032 pcs
6/16 上客供价格贴纸 212 pcs</s:t>
              </s:r>
            </s:text>
          </item>
        </commentChain>
      </unresolved>
      <resolved/>
    </commentChains>
    <commentChains s:ref="R526" rgbClr="FF0000">
      <unresolved>
        <commentChain chainId="bce566b323ade2a5bccd917677eb6a30c926e814">
          <item id="f9b973c093b3317b2384570415287828142d2bee" userID="1715258932" userName="严新荟" dateTime="2026-07-25T01:51:12" isNormal="0">
            <s:text>
              <s:r>
                <s:t xml:space="preserve">2200245 7/24 504 pcs</s:t>
              </s:r>
            </s:text>
          </item>
        </commentChain>
      </unresolved>
      <resolved/>
    </commentChains>
    <commentChains s:ref="T526" rgbClr="FF0000">
      <unresolved>
        <commentChain chainId="80dd12de7aec492d4124faa9e3b235df9eae4d3b">
          <item id="8d7c5f62ef09ccb4a901d468b2cb13003647601c" userID="1715258932" userName="严新荟" dateTime="2026-07-14T02:20:44" isNormal="0">
            <s:text>
              <s:r>
                <s:t xml:space="preserve">7/13 上进口商贴纸 504 pcs</s:t>
              </s:r>
            </s:text>
          </item>
        </commentChain>
      </unresolved>
      <resolved/>
    </commentChains>
    <commentChains s:ref="R527" rgbClr="FF0000">
      <unresolved>
        <commentChain chainId="9ea28f86acb0d3db4abc28bd8d25cd3b8adeac3b">
          <item id="50d15a5cf5e48c8768474e0a3ff90599e2ba107e" userID="1715258932" userName="严新荟" dateTime="2026-07-11T03:32:07" isNormal="0">
            <s:text>
              <s:r>
                <s:t xml:space="preserve">2200103 7/10 444 pcs</s:t>
              </s:r>
            </s:text>
          </item>
        </commentChain>
      </unresolved>
      <resolved/>
    </commentChains>
    <commentChains s:ref="T527" rgbClr="FF0000">
      <unresolved>
        <commentChain chainId="ba365014c9ef997f78bdf0b3a9505f5128a68792">
          <item id="f20e854c2b71f671f4dff6a3abddfcf6ae92633d" userID="1715258932" userName="严新荟" dateTime="2026-06-17T11:50:58" isNormal="0">
            <s:text>
              <s:r>
                <s:t xml:space="preserve">6/17 上SSCC+QR贴纸 37 pcs</s:t>
              </s:r>
            </s:text>
          </item>
        </commentChain>
      </unresolved>
      <resolved/>
    </commentChains>
    <commentChains s:ref="R528" rgbClr="FF0000">
      <unresolved>
        <commentChain chainId="d77a0126d5bf29c580080348d5e4016ca7da210e">
          <item id="40308ca1e333a2b07e9f517c8354faffd11048f9" userID="1715258932" userName="严新荟" dateTime="2026-08-10T06:25:09" isNormal="0">
            <s:text>
              <s:r>
                <s:t xml:space="preserve">1600642 8/8 192 pcs</s:t>
              </s:r>
            </s:text>
          </item>
        </commentChain>
      </unresolved>
      <resolved/>
    </commentChains>
    <commentChains s:ref="R529" rgbClr="FF0000">
      <unresolved>
        <commentChain chainId="255c677b35a29cd1323cf951517db104d42e3f28">
          <item id="89b1d8722ad3da2c34d27ab0d81e016c5b33a8bf" userID="1715258932" userName="严新荟" dateTime="2026-08-07T01:35:27" isNormal="0">
            <s:text>
              <s:r>
                <s:t xml:space="preserve">1600629 8/6 1176 PCS
1600650 8/7 24 pcs</s:t>
              </s:r>
            </s:text>
          </item>
        </commentChain>
      </unresolved>
      <resolved/>
    </commentChains>
    <commentChains s:ref="T529" rgbClr="FF0000">
      <unresolved>
        <commentChain chainId="6d42e1761ab6167dc75401dce68721d28f43b1c1">
          <item id="d8cc1fdb3c84767846a4cbb52d1face7d7f19b42" userID="1715258932" userName="严新荟" dateTime="2026-06-10T08:15:28" isNormal="0">
            <s:text>
              <s:r>
                <s:t xml:space="preserve">6/10 上UPC贴纸 4032 pcs
6/16 上客供价格贴纸 1320 pcs</s:t>
              </s:r>
            </s:text>
          </item>
        </commentChain>
      </unresolved>
      <resolved/>
    </commentChains>
    <commentChains s:ref="R530" rgbClr="FF0000">
      <unresolved>
        <commentChain chainId="1e64c154d8ae71ee66cb3e017102f862c560b143">
          <item id="02f15674d0f3355b0babec17bf49d954ca934f43" userID="1715258932" userName="严新荟" dateTime="2026-08-07T01:35:27" isNormal="0">
            <s:text>
              <s:r>
                <s:t xml:space="preserve">1600629 8/6 288 PCS</s:t>
              </s:r>
            </s:text>
          </item>
        </commentChain>
      </unresolved>
      <resolved/>
    </commentChains>
    <commentChains s:ref="T530" rgbClr="FF0000">
      <unresolved>
        <commentChain chainId="19d02f74644f0a50d023263b486dd8f52a1ae11e">
          <item id="e5b950ae40c239523df9c973ba99fb9c573de376" userID="1715258932" userName="严新荟" dateTime="2026-06-10T08:15:28" isNormal="0">
            <s:text>
              <s:r>
                <s:t xml:space="preserve">6/10 上UPC贴纸 4032 pcs
6/16 上客供价格贴纸 317 pcs</s:t>
              </s:r>
            </s:text>
          </item>
        </commentChain>
      </unresolved>
      <resolved/>
    </commentChains>
    <commentChains s:ref="T532" rgbClr="FF0000">
      <unresolved>
        <commentChain chainId="d38bd7fec4cb614b3588f4ca1366cbb47b3f0a7d">
          <item id="0ab2139b97b2df05c169e11b38fece0dc82b3690" userID="1715258932" userName="严新荟" dateTime="2026-07-27T07:10:29" isNormal="0">
            <s:text>
              <s:r>
                <s:t xml:space="preserve">7/25 上稀有款黄-彩 51 pcs
        上彩色圆贴 A,B,D,E,G,H 各508 pcs
        上韩语贴纸 3084 pcs</s:t>
              </s:r>
            </s:text>
          </item>
        </commentChain>
      </unresolved>
      <resolved/>
    </commentChains>
    <commentChains s:ref="T551" rgbClr="FF0000">
      <unresolved>
        <commentChain chainId="fec577e40971bff48f43fc0d2ea5030e68c1d83f">
          <item id="ef3167db2a25eb31780eb749f15c5fbbec3c83b3" userID="1715258932" userName="严新荟" dateTime="2026-08-07T02:53:08" isNormal="0">
            <s:text>
              <s:r>
                <s:t xml:space="preserve">8/6 上进口商贴纸(含客户ENA条码）408 pcs
      上外箱贴纸 68 pcs
      上QR贴纸 408 pcs</s:t>
              </s:r>
            </s:text>
          </item>
        </commentChain>
      </unresolved>
      <resolved/>
    </commentChains>
  </commentList>
  <commentList sheetStid="42">
    <commentChains s:ref="BC3" rgbClr="FF0000">
      <unresolved>
        <commentChain chainId="b55c88d2a40fba340458ad49cbf17bf8b208c4c8">
          <item id="20efe22c6affb0ab719f3846c165ff5667798d9c" isNormal="1">
            <s:text>
              <s:r>
                <s:t xml:space="preserve">
根据实单订购PDQ</s:t>
              </s:r>
            </s:text>
          </item>
        </commentChain>
      </unresolved>
      <resolved/>
    </commentChains>
    <commentChains s:ref="BA87" rgbClr="FF0000">
      <unresolved>
        <commentChain chainId="ee407ce269e383b119309d08596064cc79b82132">
          <item id="e2e295fb4cdd5a02b5f37d71ee60c345bdc36fcc" isNormal="1">
            <s:text>
              <s:r>
                <s:t xml:space="preserve">admin:
新文档</s:t>
              </s:r>
            </s:text>
          </item>
        </commentChain>
      </unresolved>
      <resolved/>
    </commentChains>
    <commentChains s:ref="Q827" rgbClr="FF0000">
      <unresolved>
        <commentChain chainId="47d6f3497abb94eecf722ac6cc3d68116c4bd997">
          <item id="525afadb9357678c2f244749fdb03e53b9683236" isNormal="1">
            <s:text>
              <s:r>
                <s:t xml:space="preserve">Administrator:
1600162 12/31 3084 pcs
1600955 1/3 36 pcs</s:t>
              </s:r>
            </s:text>
          </item>
        </commentChain>
      </unresolved>
      <resolved/>
    </commentChains>
    <commentChains s:ref="S827" rgbClr="FF0000">
      <unresolved>
        <commentChain chainId="c74bc3f72686c817593fd5c252369710a3111a20">
          <item id="55faf715ef91ab3bee407d88fe1292f7df719370" isNormal="1">
            <s:text>
              <s:r>
                <s:t xml:space="preserve">Administrator:
12/16 上白色防盗贴纸 3120 pcs
12/19 上Kmart外箱贴纸 260 PCS </s:t>
              </s:r>
            </s:text>
          </item>
        </commentChain>
      </unresolved>
      <resolved/>
    </commentChains>
    <commentChains s:ref="Q828" rgbClr="FF0000">
      <unresolved>
        <commentChain chainId="aa5e287bad2680a27fce794af56306c916385d3a">
          <item id="09ea61bea1b46799fe56cc9c01d5d471212620de" isNormal="1">
            <s:text>
              <s:r>
                <s:t xml:space="preserve">Administrator:
1600955 1/3 1800 pcs</s:t>
              </s:r>
            </s:text>
          </item>
        </commentChain>
      </unresolved>
      <resolved/>
    </commentChains>
    <commentChains s:ref="S828" rgbClr="FF0000">
      <unresolved>
        <commentChain chainId="8a55c1a2c328508a40fc2268a8b54346c8162cb5">
          <item id="9a390c2ee4329c1b14d830f9a3962a61f11f3ae9" isNormal="1">
            <s:text>
              <s:r>
                <s:t xml:space="preserve">Administrator:
12/16 上客供价格贴纸 1800 pcs</s:t>
              </s:r>
            </s:text>
          </item>
        </commentChain>
      </unresolved>
      <resolved/>
    </commentChains>
    <commentChains s:ref="Q829" rgbClr="FF0000">
      <unresolved>
        <commentChain chainId="b4def677dad7f33028e08c7ea28800ce119c9548">
          <item id="28d16d787086e3c68aee8f3087f64c2faf45f23b" isNormal="1">
            <s:text>
              <s:r>
                <s:t xml:space="preserve">Administrator:
1600989 1/5 1200 pcs</s:t>
              </s:r>
            </s:text>
          </item>
        </commentChain>
      </unresolved>
      <resolved/>
    </commentChains>
    <commentChains s:ref="S829" rgbClr="FF0000">
      <unresolved>
        <commentChain chainId="8d1726d527aa4071e1e8dcd22eef4036bba19425">
          <item id="6373354c329c81261396b81bf236724a41875578" isNormal="1">
            <s:text>
              <s:r>
                <s:t xml:space="preserve">Administrator:
12/16 上客供价格贴纸 1320 pcs</s:t>
              </s:r>
            </s:text>
          </item>
        </commentChain>
      </unresolved>
      <resolved/>
    </commentChains>
    <commentChains s:ref="Q830" rgbClr="FF0000">
      <unresolved>
        <commentChain chainId="2da05ba6e7f83fbbc635709a772b3a9560e383e5">
          <item id="9ead94f557f9698a79c41ac1dec36f2ecb58efc8" isNormal="1">
            <s:text>
              <s:r>
                <s:t xml:space="preserve">Administrator:
1600968 1/4 1404 pcs
1601006 1/5 24 pcs</s:t>
              </s:r>
            </s:text>
          </item>
        </commentChain>
      </unresolved>
      <resolved/>
    </commentChains>
    <commentChains s:ref="S830" rgbClr="FF0000">
      <unresolved>
        <commentChain chainId="497b0fb714523b9b5519a1520d1ab5c54548db7d">
          <item id="2d7dfa8946caefb470dc094135960de13ffe02d4" isNormal="1">
            <s:text>
              <s:r>
                <s:t xml:space="preserve">Administrator:
12/31 上进口商贴 2160 pcs
      上条码贴纸 2160 pcs
12/15 上QR+SSCC贴纸 180 pcs</s:t>
              </s:r>
            </s:text>
          </item>
        </commentChain>
      </unresolved>
      <resolved/>
    </commentChains>
    <commentChains s:ref="Q831" rgbClr="FF0000">
      <unresolved>
        <commentChain chainId="a9067d2c9f9572a3bb634955754fe72942cca0f3">
          <item id="41ca41bd92a8cc77fc053e7b1ba04eb5a8bfeb8f" isNormal="1">
            <s:text>
              <s:r>
                <s:t xml:space="preserve">Administrator:
1600968 1/4 720 pcs
1601006 1/5 12 pcs</s:t>
              </s:r>
            </s:text>
          </item>
        </commentChain>
      </unresolved>
      <resolved/>
    </commentChains>
    <commentChains s:ref="Q832" rgbClr="FF0000">
      <unresolved>
        <commentChain chainId="63af8484bb65faf3acc7bc96efaf7bef6dd6c364">
          <item id="4c511cc546fdf2258c83506ebafead9902fb3c27" isNormal="1">
            <s:text>
              <s:r>
                <s:t xml:space="preserve">Administrator:
500076/500077 1/4 33684 pcs</s:t>
              </s:r>
            </s:text>
          </item>
        </commentChain>
      </unresolved>
      <resolved/>
    </commentChains>
    <commentChains s:ref="Q833" rgbClr="FF0000">
      <unresolved>
        <commentChain chainId="acb80a65ae9b22d9e3b722f1671f9f3822b43499">
          <item id="58c90f488c23c9970be979bb2fe501f70b715def" isNormal="1">
            <s:text>
              <s:r>
                <s:t xml:space="preserve">Administrator:
5000078/5000077 1/4 23910 pcs
5000721 1/7 4200 pcs
5000728 1/9 2700 pcs
5000731 1/10 2874 pcs</s:t>
              </s:r>
            </s:text>
          </item>
        </commentChain>
      </unresolved>
      <resolved/>
    </commentChains>
    <commentChains s:ref="Q834" rgbClr="FF0000">
      <unresolved>
        <commentChain chainId="eb168dfeaa7e41754ca2e5b73c47f811af4dc2e0">
          <item id="d013311d2715ba8d3d771333c7a5332aaada3ab5" isNormal="1">
            <s:text>
              <s:r>
                <s:t xml:space="preserve">Administrator:
1601006 1/5 168 pcs
1601020 1/7 24 pcs</s:t>
              </s:r>
            </s:text>
          </item>
        </commentChain>
      </unresolved>
      <resolved/>
    </commentChains>
    <commentChains s:ref="S834" rgbClr="FF0000">
      <unresolved>
        <commentChain chainId="85f148f9b25163dd9b78f9160356b047618463fb">
          <item id="3146c269e513f68ff7bedc6b3e063eda6760c506" isNormal="1">
            <s:text>
              <s:r>
                <s:t xml:space="preserve">Administrator:
11/13 上UPC 贴纸 192 pcs
12/24 上客供价格贴纸 212 pcs</s:t>
              </s:r>
            </s:text>
          </item>
        </commentChain>
      </unresolved>
      <resolved/>
    </commentChains>
    <commentChains s:ref="Q835" rgbClr="FF0000">
      <unresolved>
        <commentChain chainId="0cc39feca5f9c6a7ab6fc2824c62102b10ce80e2">
          <item id="5532bbdc4b8398b6a5804a968b0d2957ddb7c513" isNormal="1">
            <s:text>
              <s:r>
                <s:t xml:space="preserve">Administrator:
1601006 1/5 192 pcs</s:t>
              </s:r>
            </s:text>
          </item>
        </commentChain>
      </unresolved>
      <resolved/>
    </commentChains>
    <commentChains s:ref="S835" rgbClr="FF0000">
      <unresolved>
        <commentChain chainId="d7e9869a69ea0a9169def373fa438e7e66e58934">
          <item id="23b9be62d6092c447130b30faf80cb9c04b18d34" isNormal="1">
            <s:text>
              <s:r>
                <s:t xml:space="preserve">Administrator:
11/13 上UPC 贴纸 192 pcs
12/24 上客供价格贴纸 212 pcs</s:t>
              </s:r>
            </s:text>
          </item>
        </commentChain>
      </unresolved>
      <resolved/>
    </commentChains>
    <commentChains s:ref="Q836" rgbClr="FF0000">
      <unresolved>
        <commentChain chainId="5633dc0dac41b3d8623a0e44494ca403ce1a613b">
          <item id="34d3ff1dd450a05cc0212d1f66f0c9848e8cfe29" isNormal="1">
            <s:text>
              <s:r>
                <s:t xml:space="preserve">Administrator:
1601006 1/5 720 pcs</s:t>
              </s:r>
            </s:text>
          </item>
        </commentChain>
      </unresolved>
      <resolved/>
    </commentChains>
    <commentChains s:ref="S836" rgbClr="FF0000">
      <unresolved>
        <commentChain chainId="d7d687188bec535cd36c6d9312c9a2bcb8f63f25">
          <item id="c4235cfd5fa3049aef1b7ee11bcb703a800863f5" isNormal="1">
            <s:text>
              <s:r>
                <s:t xml:space="preserve">Administrator:
11/13 上UPC 贴纸 720 pcs
12/24 上客供价格贴纸 792 pcs</s:t>
              </s:r>
            </s:text>
          </item>
        </commentChain>
      </unresolved>
      <resolved/>
    </commentChains>
    <commentChains s:ref="Q837" rgbClr="FF0000">
      <unresolved>
        <commentChain chainId="34f8c38b81213f9358c49013b5dff90f263e270b">
          <item id="5acbae798386db5eda42406e01f95d30cd87af04" isNormal="1">
            <s:text>
              <s:r>
                <s:t xml:space="preserve">Administrator:
1601006 1/5 192 pcs</s:t>
              </s:r>
            </s:text>
          </item>
        </commentChain>
      </unresolved>
      <resolved/>
    </commentChains>
    <commentChains s:ref="S837" rgbClr="FF0000">
      <unresolved>
        <commentChain chainId="3ec01f6efb59dd87b52473f9268b4d47657b9e55">
          <item id="6bf91af002a3ce84d4d1496985f07bfae6f0fe13" isNormal="1">
            <s:text>
              <s:r>
                <s:t xml:space="preserve">Administrator:
11/13 上UPC 贴纸 192 pcs
12/24 上客供价格贴纸 212 pcs</s:t>
              </s:r>
            </s:text>
          </item>
        </commentChain>
      </unresolved>
      <resolved/>
    </commentChains>
    <commentChains s:ref="Q838" rgbClr="FF0000">
      <unresolved>
        <commentChain chainId="cd80a92e771b5aaef6d805563f68cbb92f197f10">
          <item id="8204ee6cd72a0f01b3a17e77b6ccccdfd2ab4a08" isNormal="1">
            <s:text>
              <s:r>
                <s:t xml:space="preserve">Administrator:
1601006 1/5 696 pcs
1601039 1/7 24 pcs</s:t>
              </s:r>
            </s:text>
          </item>
        </commentChain>
      </unresolved>
      <resolved/>
    </commentChains>
    <commentChains s:ref="S838" rgbClr="FF0000">
      <unresolved>
        <commentChain chainId="75b7d99d56e2c42b2a0dff3262da68257893fbb9">
          <item id="8127f58436ddb56641e71234a41dc64ffd24f1c4" isNormal="1">
            <s:text>
              <s:r>
                <s:t xml:space="preserve">Administrator:
11/13 上UPC 贴纸 720 pcs
12/24 上客供价格贴纸 792 pcs</s:t>
              </s:r>
            </s:text>
          </item>
        </commentChain>
      </unresolved>
      <resolved/>
    </commentChains>
    <commentChains s:ref="Q839" rgbClr="FF0000">
      <unresolved>
        <commentChain chainId="54f4e93a8b2bbee79f291510cadf979b5aa4088b">
          <item id="d0484de6dff511ed61cdaa38c3c2f0cbd11f9e5a" isNormal="1">
            <s:text>
              <s:r>
                <s:t xml:space="preserve">Administrator:
1601039 1/5 948 pcs
1601039 1/7 12 pcs</s:t>
              </s:r>
            </s:text>
          </item>
        </commentChain>
      </unresolved>
      <resolved/>
    </commentChains>
    <commentChains s:ref="S839" rgbClr="FF0000">
      <unresolved>
        <commentChain chainId="8c7faafc37ebf72e2fe88d685d7eda631d46e840">
          <item id="e427bfb01beb65947ea658e0f4916a95004b9c8a" isNormal="1">
            <s:text>
              <s:r>
                <s:t xml:space="preserve">Administrator:
12/16 上UPC/进口商贴纸 960 pcs</s:t>
              </s:r>
            </s:text>
          </item>
        </commentChain>
      </unresolved>
      <resolved/>
    </commentChains>
    <commentChains s:ref="Q840" rgbClr="FF0000">
      <unresolved>
        <commentChain chainId="dcb9a34815a6ff14aa3ef27faae1dc133e3c269e">
          <item id="2893a8e45ecf91e3ec84f5ca28f1e89efb31a3ae" isNormal="1">
            <s:text>
              <s:r>
                <s:t xml:space="preserve">Administrator:
1601039 1/5 228 pcs
1601039 1/7 12 pcs</s:t>
              </s:r>
            </s:text>
          </item>
        </commentChain>
      </unresolved>
      <resolved/>
    </commentChains>
    <commentChains s:ref="S840" rgbClr="FF0000">
      <unresolved>
        <commentChain chainId="80be2635eacab822081d9536c69230fac6a248b7">
          <item id="8f5b9591d73e0a8506327384d0251a6a28bdb0bb" isNormal="1">
            <s:text>
              <s:r>
                <s:t xml:space="preserve">Administrator:
12/16 上进口商贴纸(含环保 240 pcs</s:t>
              </s:r>
            </s:text>
          </item>
        </commentChain>
      </unresolved>
      <resolved/>
    </commentChains>
    <commentChains s:ref="Q841" rgbClr="FF0000">
      <unresolved>
        <commentChain chainId="32d2457b5c3eddb7e8b2ef49da1502a15621929c">
          <item id="2db7cbcd7b96d8333dade9ab5a7aee480e1eb8e7" isNormal="1">
            <s:text>
              <s:r>
                <s:t xml:space="preserve">Administrator:
1601020 1/7 4476 pcs</s:t>
              </s:r>
            </s:text>
          </item>
        </commentChain>
      </unresolved>
      <resolved/>
    </commentChains>
    <commentChains s:ref="S841" rgbClr="FF0000">
      <unresolved>
        <commentChain chainId="1b23f5b1f008323e8d1ef5229ade9737ca23f56e">
          <item id="348ff328ef4caf3e5e57a7040e478f140c4f8f27" isNormal="1">
            <s:text>
              <s:r>
                <s:t xml:space="preserve">Administrator:
12/5 上口水胶袋贴纸 10008 pcs
     上进口商贴纸 5004 pcs</s:t>
              </s:r>
            </s:text>
          </item>
        </commentChain>
      </unresolved>
      <resolved/>
    </commentChains>
    <commentChains s:ref="Q842" rgbClr="FF0000">
      <unresolved>
        <commentChain chainId="758f4e5d7fcb9675083f61c2816abb4d6491bacd">
          <item id="6d6ce9a5e4b28c1d478b14128b8296a2eefc3db2" isNormal="1">
            <s:text>
              <s:r>
                <s:t xml:space="preserve">Administrator:
1601050 1/9 720 PCS </s:t>
              </s:r>
            </s:text>
          </item>
        </commentChain>
      </unresolved>
      <resolved/>
    </commentChains>
    <commentChains s:ref="Q843" rgbClr="FF0000">
      <unresolved>
        <commentChain chainId="239047ffc291cdb05503e91feb56b5543fa03756">
          <item id="5c7ae06ec32c35b2b4bde57c084f25e693498419" isNormal="1">
            <s:text>
              <s:r>
                <s:t xml:space="preserve">Administrator:
1601050 1/9 2388 PCS
1601085 1/10 12 PCS  </s:t>
              </s:r>
            </s:text>
          </item>
        </commentChain>
      </unresolved>
      <resolved/>
    </commentChains>
    <commentChains s:ref="Q844" rgbClr="FF0000">
      <unresolved>
        <commentChain chainId="599e82d82f988d8aa4d6c004978e9d8545153ef0">
          <item id="766cca616d4322f6c29207c475e0195efdbc0ead" isNormal="1">
            <s:text>
              <s:r>
                <s:t xml:space="preserve">Administrator:
1601050 1/9 2412 PCS </s:t>
              </s:r>
            </s:text>
          </item>
        </commentChain>
      </unresolved>
      <resolved/>
    </commentChains>
    <commentChains s:ref="Q845" rgbClr="FF0000">
      <unresolved>
        <commentChain chainId="8737259cdc76405aece3590583469aa423cc182b">
          <item id="bf1d43384540ff0b97cb4b16349c797c833be17a" isNormal="1">
            <s:text>
              <s:r>
                <s:t xml:space="preserve">Administrator:
1601050 1/9 2300 PCS 
1601120 1/13 4 PCS </s:t>
              </s:r>
            </s:text>
          </item>
        </commentChain>
      </unresolved>
      <resolved/>
    </commentChains>
    <commentChains s:ref="Q846" rgbClr="FF0000">
      <unresolved>
        <commentChain chainId="c193e4a72cad63d4f548794756b0c9f73abdbce4">
          <item id="bc0e024555078d401fbcd34de13f8c36aed8ce87" isNormal="1">
            <s:text>
              <s:r>
                <s:t xml:space="preserve">Administrator:
1601050 1/9 360 PCS </s:t>
              </s:r>
            </s:text>
          </item>
        </commentChain>
      </unresolved>
      <resolved/>
    </commentChains>
    <commentChains s:ref="Q847" rgbClr="FF0000">
      <unresolved>
        <commentChain chainId="850380ebf7cc3699213791a08992e0290cbf5e97">
          <item id="1ed4e38f486b6451d858d46dac474f291fba05ff" isNormal="1">
            <s:text>
              <s:r>
                <s:t xml:space="preserve">Administrator:
1601050 1/9 360 PCS </s:t>
              </s:r>
            </s:text>
          </item>
        </commentChain>
      </unresolved>
      <resolved/>
    </commentChains>
    <commentChains s:ref="Q848" rgbClr="FF0000">
      <unresolved>
        <commentChain chainId="c9b358ee0019235ad3459a5986dc24c0eb6a6654">
          <item id="68f9f67ba5bcaebbb9427388d3c8cbe102ab615c" isNormal="1">
            <s:text>
              <s:r>
                <s:t xml:space="preserve">Administrator:
1601050 1/9 228 PCS 
1601075 1/12 12 PCS </s:t>
              </s:r>
            </s:text>
          </item>
        </commentChain>
      </unresolved>
      <resolved/>
    </commentChains>
    <commentChains s:ref="Q849" rgbClr="FF0000">
      <unresolved>
        <commentChain chainId="b63293d91a5968f89c5db2ec8c6d75025607960f">
          <item id="442675141d8e144ccb6e09b16d4ce83f40f7762e" isNormal="1">
            <s:text>
              <s:r>
                <s:t xml:space="preserve">Administrator:
1601050 1/9 360 PCS </s:t>
              </s:r>
            </s:text>
          </item>
        </commentChain>
      </unresolved>
      <resolved/>
    </commentChains>
    <commentChains s:ref="Q850" rgbClr="FF0000">
      <unresolved>
        <commentChain chainId="b851dde19bf07391c38965192a1583123f968411">
          <item id="1178b1c3f54b288dc8a707d936e8a897c63fb092" isNormal="1">
            <s:text>
              <s:r>
                <s:t xml:space="preserve">Administrator:
1601110 1/13 2574 PCS </s:t>
              </s:r>
            </s:text>
          </item>
        </commentChain>
      </unresolved>
      <resolved/>
    </commentChains>
    <commentChains s:ref="S850" rgbClr="FF0000">
      <unresolved>
        <commentChain chainId="b619448e0e0528ff40db4e37128e088f19da8f58">
          <item id="b93a9a2aec48255bb9280ae4006963ccc822899d" isNormal="1">
            <s:text>
              <s:r>
                <s:t xml:space="preserve">Administrator:
12/22 上进口商贴纸(含EAN条 2574 pcs
      上外箱贴纸 858 pcs
12/24 上QR贴纸 2574 pcs</s:t>
              </s:r>
            </s:text>
          </item>
        </commentChain>
      </unresolved>
      <resolved/>
    </commentChains>
    <commentChains s:ref="Q851" rgbClr="FF0000">
      <unresolved>
        <commentChain chainId="ea7f4c218e9c5cd9151d866b387313a8ed914870">
          <item id="3ef7cb6bb5188c5babfc8634eeaaf98845d234af" isNormal="1">
            <s:text>
              <s:r>
                <s:t xml:space="preserve">Administrator:
1601110 1/13 720 PCS </s:t>
              </s:r>
            </s:text>
          </item>
        </commentChain>
      </unresolved>
      <resolved/>
    </commentChains>
    <commentChains s:ref="S851" rgbClr="FF0000">
      <unresolved>
        <commentChain chainId="23d43574f55c58a57c7300f2caea2810ed075541">
          <item id="cb4e3e8cfca091f6b089dcabe693647750ef3d7d" isNormal="1">
            <s:text>
              <s:r>
                <s:t xml:space="preserve">Administrator:
11/5 上客供价格贴纸 756 pcs</s:t>
              </s:r>
            </s:text>
          </item>
        </commentChain>
      </unresolved>
      <resolved/>
    </commentChains>
    <commentChains s:ref="Q852" rgbClr="FF0000">
      <unresolved>
        <commentChain chainId="3ff56c8aaf378586870b61bd846d90e3ebafcb60">
          <item id="39f5f519f12ff8fbe354f6ad2bc27d2c9c3a04cb" isNormal="1">
            <s:text>
              <s:r>
                <s:t xml:space="preserve">Administrator:
1601109 1/13 1500 PCS </s:t>
              </s:r>
            </s:text>
          </item>
        </commentChain>
      </unresolved>
      <resolved/>
    </commentChains>
    <commentChains s:ref="S852" rgbClr="FF0000">
      <unresolved>
        <commentChain chainId="f695710cf0013ee85bd32cbb4bf91af25197b22c">
          <item id="0ed0d5df556366c32e616f03dc0ca382002b53c4" isNormal="1">
            <s:text>
              <s:r>
                <s:t xml:space="preserve">Administrator:
12/16 上白色防盗贴纸 1500 pcs
12/23 上Kmart外箱贴纸 125 pcs</s:t>
              </s:r>
            </s:text>
          </item>
        </commentChain>
      </unresolved>
      <resolved/>
    </commentChains>
    <commentChains s:ref="Q853" rgbClr="FF0000">
      <unresolved>
        <commentChain chainId="b95ad6976842cb214e09a81ea6b6f9ddc7c8b2ab">
          <item id="c1d7d0a7207d67510c39fcf99e0ff2963ab850c4" isNormal="1">
            <s:text>
              <s:r>
                <s:t xml:space="preserve">Administrator:
1601109 1/13 1812 PCS </s:t>
              </s:r>
            </s:text>
          </item>
        </commentChain>
      </unresolved>
      <resolved/>
    </commentChains>
    <commentChains s:ref="S853" rgbClr="FF0000">
      <unresolved>
        <commentChain chainId="096df220b21d2cfdeadb677e2b98bb69281ae957">
          <item id="f00b98e3f1737b08abaab59e20fc65c381eaa557" isNormal="1">
            <s:text>
              <s:r>
                <s:t xml:space="preserve">Administrator:
12/25 上WIC贴纸 10050 pcs</s:t>
              </s:r>
            </s:text>
          </item>
        </commentChain>
      </unresolved>
      <resolved/>
    </commentChains>
    <commentChains s:ref="Q854" rgbClr="FF0000">
      <unresolved>
        <commentChain chainId="0f1e7ac858a1075eb74d4ec8b5565dd632826d14">
          <item id="6ad3f7f17a2cbb1374d3515c595ac1ae02a5f7bc" isNormal="1">
            <s:text>
              <s:r>
                <s:t xml:space="preserve">Administrator:
1601109 1/13 768 PCS </s:t>
              </s:r>
            </s:text>
          </item>
        </commentChain>
      </unresolved>
      <resolved/>
    </commentChains>
    <commentChains s:ref="Q855" rgbClr="FF0000">
      <unresolved>
        <commentChain chainId="1656639a5d88d27e4b2f527462b9cc36ead6f055">
          <item id="066b3cd8f888858a54c63455e043fd633df03cd5" isNormal="1">
            <s:text>
              <s:r>
                <s:t xml:space="preserve">Administrator:
1601109 1/13 216 PCS </s:t>
              </s:r>
            </s:text>
          </item>
        </commentChain>
      </unresolved>
      <resolved/>
    </commentChains>
    <commentChains s:ref="Q856" rgbClr="FF0000">
      <unresolved>
        <commentChain chainId="1c186af60fdd055bbd3894f02c7c80713dfe5464">
          <item id="8a0ea29406f3c4c112c2c1f1431dd7647efcb4af" isNormal="1">
            <s:text>
              <s:r>
                <s:t xml:space="preserve">Administrator:
1601109 1/13 606 PCS </s:t>
              </s:r>
            </s:text>
          </item>
        </commentChain>
      </unresolved>
      <resolved/>
    </commentChains>
    <commentChains s:ref="Q857" rgbClr="FF0000">
      <unresolved>
        <commentChain chainId="0a80f5798f305427723deb16b495ac683dcfd10d">
          <item id="4979b0db555a1e6fe2d70e7b17eff0bdb504c1d6" isNormal="1">
            <s:text>
              <s:r>
                <s:t xml:space="preserve">Administrator:
1601109 1/13 3402 PCS </s:t>
              </s:r>
            </s:text>
          </item>
        </commentChain>
      </unresolved>
      <resolved/>
    </commentChains>
    <commentChains s:ref="Q858" rgbClr="FF0000">
      <unresolved>
        <commentChain chainId="f14fc246fbfeaf843381205c1eee1dc0ce191243">
          <item id="f0e01de848afe81b44c3b175423f25d1587ce73d" isNormal="1">
            <s:text>
              <s:r>
                <s:t xml:space="preserve">Administrator:
1601109 1/13 456 PCS </s:t>
              </s:r>
            </s:text>
          </item>
        </commentChain>
      </unresolved>
      <resolved/>
    </commentChains>
    <commentChains s:ref="Q859" rgbClr="FF0000">
      <unresolved>
        <commentChain chainId="e62860e08f6744182af34828a9b460eb8f63d570">
          <item id="d1204f9512c7d328ae03afdc094bea3a56399950" isNormal="1">
            <s:text>
              <s:r>
                <s:t xml:space="preserve">Administrator:
1601109 1/13 2790 PCS </s:t>
              </s:r>
            </s:text>
          </item>
        </commentChain>
      </unresolved>
      <resolved/>
    </commentChains>
    <commentChains s:ref="Q860" rgbClr="FF0000">
      <unresolved>
        <commentChain chainId="88056efadfb26202a2a6dc28ec851d0d3acae0cd">
          <item id="1244e9a1e07565c5f4de7882e0af9f147335564e" isNormal="1">
            <s:text>
              <s:r>
                <s:t xml:space="preserve">Administrator:
1601148 1/14 480 PCS </s:t>
              </s:r>
            </s:text>
          </item>
        </commentChain>
      </unresolved>
      <resolved/>
    </commentChains>
    <commentChains s:ref="Q861" rgbClr="FF0000">
      <unresolved>
        <commentChain chainId="9141665e5a5fbd8c4a6b461555280b41c7a99cea">
          <item id="7ec3dfcd3981044b3ed37c7224efb08eb488a5ca" isNormal="1">
            <s:text>
              <s:r>
                <s:t xml:space="preserve">Administrator:
1601159 1/15 2000 pcs</s:t>
              </s:r>
            </s:text>
          </item>
        </commentChain>
      </unresolved>
      <resolved/>
    </commentChains>
    <commentChains s:ref="S861" rgbClr="FF0000">
      <unresolved>
        <commentChain chainId="05febeb5a91ce28244fecdbdcafd0a3d3e75ccef">
          <item id="ff84ad766ff7c897de0ab7e7fb355d680fbec95d" isNormal="1">
            <s:text>
              <s:r>
                <s:t xml:space="preserve">Administrator:
12/25 上客户EAN条码 2000 pcs
      上PDQ数量贴纸 500 pcs</s:t>
              </s:r>
            </s:text>
          </item>
        </commentChain>
      </unresolved>
      <resolved/>
    </commentChains>
    <commentChains s:ref="Q862" rgbClr="FF0000">
      <unresolved>
        <commentChain chainId="3f834958cbd58bea3d9e73a3e79730116b98d592">
          <item id="c162a98a1ec41a237c68444633ebe65affed0acd" isNormal="1">
            <s:text>
              <s:r>
                <s:t xml:space="preserve">Administrator:
1601159 1/15 24 pcs</s:t>
              </s:r>
            </s:text>
          </item>
        </commentChain>
      </unresolved>
      <resolved/>
    </commentChains>
    <commentChains s:ref="S862" rgbClr="FF0000">
      <unresolved>
        <commentChain chainId="233ca780ed5805c76ecff71005ea8dcb3c614c93">
          <item id="f5c8cf42248e6965f8ff4af70da9035a23e66e6c" isNormal="1">
            <s:text>
              <s:r>
                <s:t xml:space="preserve">Administrator:
12/16 上白色防盗贴纸 24 pcs
12/31 上Kmart外箱贴纸 2 pcs</s:t>
              </s:r>
            </s:text>
          </item>
        </commentChain>
      </unresolved>
      <resolved/>
    </commentChains>
    <commentChains s:ref="Q863" rgbClr="FF0000">
      <unresolved>
        <commentChain chainId="30727c50177fc214e78a574c826efb72f2fc61c8">
          <item id="e2f8c49bd84ac264511d5e76f6eb5f685018946c" isNormal="1">
            <s:text>
              <s:r>
                <s:t xml:space="preserve">Administrator:
1601159 1/15 1668 pcs</s:t>
              </s:r>
            </s:text>
          </item>
        </commentChain>
      </unresolved>
      <resolved/>
    </commentChains>
    <commentChains s:ref="S863" rgbClr="FF0000">
      <unresolved>
        <commentChain chainId="c920e0c3384991d521a430e4d49d32f0c86e7c4a">
          <item id="111d14c6758c68419de616ded02baf0ff0346ec0" isNormal="1">
            <s:text>
              <s:r>
                <s:t xml:space="preserve">Administrator:
12/31 上Kmart外箱贴纸 139 pcs</s:t>
              </s:r>
            </s:text>
          </item>
        </commentChain>
      </unresolved>
      <resolved/>
    </commentChains>
    <commentChains s:ref="Q864" rgbClr="FF0000">
      <unresolved>
        <commentChain chainId="cab8eef0bc255a4096fd80a4fc6ffef1f38614dd">
          <item id="980894be7dda661061a26818eff2ef6cb3e68a36" isNormal="1">
            <s:text>
              <s:r>
                <s:t xml:space="preserve">Administrator:
1601196 1/19 504 pcs</s:t>
              </s:r>
            </s:text>
          </item>
        </commentChain>
      </unresolved>
      <resolved/>
    </commentChains>
    <commentChains s:ref="S864" rgbClr="FF0000">
      <unresolved>
        <commentChain chainId="68b21e8dbb9a9a78ca7ba1066cd14cbbebe3c2ce">
          <item id="1299241b0a0303120fb1d47fb5aa607194ec6f98" isNormal="1">
            <s:text>
              <s:r>
                <s:t xml:space="preserve">Administrator:
1/4 上进口商贴纸 504 pcs</s:t>
              </s:r>
            </s:text>
          </item>
        </commentChain>
      </unresolved>
      <resolved/>
    </commentChains>
    <commentChains s:ref="Q865" rgbClr="FF0000">
      <unresolved>
        <commentChain chainId="e22626c34030e8d09b060eec225137463b8f49d9">
          <item id="53bc4923dd4352d4e9783108281f50e6bf76fa65" isNormal="1">
            <s:text>
              <s:r>
                <s:t xml:space="preserve">Administrator:
4001767 1/17 1296 pcs</s:t>
              </s:r>
            </s:text>
          </item>
        </commentChain>
      </unresolved>
      <resolved/>
    </commentChains>
    <commentChains s:ref="S865" rgbClr="FF0000">
      <unresolved>
        <commentChain chainId="197b6f44627dbde4f985142ecd11e646b1f3fee2">
          <item id="ff886e3287c2bdf406c20f1c36258c573f536fd8" isNormal="1">
            <s:text>
              <s:r>
                <s:t xml:space="preserve">Administrator:
12/22 上进口商贴纸 2592 pcs
      上产品贴纸 2592 pcs
      上EAN贴纸 2592 pcs</s:t>
              </s:r>
            </s:text>
          </item>
        </commentChain>
      </unresolved>
      <resolved/>
    </commentChains>
    <commentChains s:ref="Q866" rgbClr="FF0000">
      <unresolved>
        <commentChain chainId="3ab70ddb72bd108d3213e3b90249cd698eb5aa2a">
          <item id="54fe82b5f030d5e3ca81fc73eb2a5bbc25599230" isNormal="1">
            <s:text>
              <s:r>
                <s:t xml:space="preserve">Administrator:
1601232 1/20 504 pcs</s:t>
              </s:r>
            </s:text>
          </item>
        </commentChain>
      </unresolved>
      <resolved/>
    </commentChains>
    <commentChains s:ref="S866" rgbClr="FF0000">
      <unresolved>
        <commentChain chainId="14123c4a396ed4ccc0ba5e34f0ae5df95b1abf11">
          <item id="30e494d399a92bf0c78470971c0f9fee085c832c" isNormal="1">
            <s:text>
              <s:r>
                <s:t xml:space="preserve">Administrator:
1/9 上UPC贴纸 744 pcs</s:t>
              </s:r>
            </s:text>
          </item>
        </commentChain>
      </unresolved>
      <resolved/>
    </commentChains>
    <commentChains s:ref="Q867" rgbClr="FF0000">
      <unresolved>
        <commentChain chainId="138b6b8c451827626a53659913a7bce437ff061a">
          <item id="db74327334ddd72fdc327e2f8e850ab7b7f5f268" isNormal="1">
            <s:text>
              <s:r>
                <s:t xml:space="preserve">Administrator:
1601232 1/20 240 pcs</s:t>
              </s:r>
            </s:text>
          </item>
        </commentChain>
      </unresolved>
      <resolved/>
    </commentChains>
    <commentChains s:ref="S868" rgbClr="FF0000">
      <unresolved>
        <commentChain chainId="caf0fd5be3f0517c018dc6148562ff57cc7ff15d">
          <item id="07d03f3e9f684b0c8a9cd1ba13d483b35dd3a303" isNormal="1">
            <s:text>
              <s:r>
                <s:t xml:space="preserve">Administrator:
1/13 上白色防盗贴纸 180 pcs
     上Kmart外箱贴纸  15 pcs</s:t>
              </s:r>
            </s:text>
          </item>
        </commentChain>
      </unresolved>
      <resolved/>
    </commentChains>
    <commentChains s:ref="S871" rgbClr="FF0000">
      <unresolved>
        <commentChain chainId="70f6c1b7ec7dccb23230da791cf99d462bb08169">
          <item id="7916dccc94f09d54eb18d85ddc9b7e3dce37a5a9" isNormal="1">
            <s:text>
              <s:r>
                <s:t xml:space="preserve">Administrator:
1/13 上白色防盗贴纸 4320 pcs
1/12 上Kmart外箱贴纸 486 pcs</s:t>
              </s:r>
            </s:text>
          </item>
        </commentChain>
      </unresolved>
      <resolved/>
    </commentChains>
    <commentChains s:ref="S874" rgbClr="FF0000">
      <unresolved>
        <commentChain chainId="fcada61bc71c12aee4638adea47144afdbcffa23">
          <item id="e69ccf5dcc0f8490825d25b7e64c6abab460cef9" isNormal="1">
            <s:text>
              <s:r>
                <s:t xml:space="preserve">Administrator:
1/13 上白色防盗贴纸 1512 pcs
1/12 上Kmart外箱贴纸 126 pcs
</s:t>
              </s:r>
            </s:text>
          </item>
        </commentChain>
      </unresolved>
      <resolved/>
    </commentChains>
    <commentChains s:ref="Q875" rgbClr="FF0000">
      <unresolved>
        <commentChain chainId="22812b7d90093ed2fd29e104c8ae47b110227765">
          <item id="fb4521d5885ddbcf9c9af3513746d305bae3f324" isNormal="1">
            <s:text>
              <s:r>
                <s:t xml:space="preserve">Administrator:
1601213 1/20 600 pcs</s:t>
              </s:r>
            </s:text>
          </item>
        </commentChain>
      </unresolved>
      <resolved/>
    </commentChains>
    <commentChains s:ref="S875" rgbClr="FF0000">
      <unresolved>
        <commentChain chainId="8fa3ba67eb73a363d8cee108dabe89257f5193d8">
          <item id="4dbf12d3de4c4ca74520ed42d7f1744aa53087e1" isNormal="1">
            <s:text>
              <s:r>
                <s:t xml:space="preserve">Administrator:
1/1 上客供价格贴纸 600 pcs</s:t>
              </s:r>
            </s:text>
          </item>
        </commentChain>
      </unresolved>
      <resolved/>
    </commentChains>
    <commentChains s:ref="Q876" rgbClr="FF0000">
      <unresolved>
        <commentChain chainId="162a6e5728cd5c765b616035b2ae18eb414e5eff">
          <item id="e84f6e416618a848682225b85c5fd6113eb5bb9a" isNormal="1">
            <s:text>
              <s:r>
                <s:t xml:space="preserve">Administrator:
1601233 1/20 1536 pcs</s:t>
              </s:r>
            </s:text>
          </item>
        </commentChain>
      </unresolved>
      <resolved/>
    </commentChains>
    <commentChains s:ref="S876" rgbClr="FF0000">
      <unresolved>
        <commentChain chainId="dbdf84ff15afe255f28363cc593b2643f60e3b1d">
          <item id="b87467203ded8b4aae425805cf321124e43fcf10" isNormal="1">
            <s:text>
              <s:r>
                <s:t xml:space="preserve">Administrator:
1/14 上客版布标贴纸 7296 pcs
1/5 上客供RFID贴纸 7296 pcs</s:t>
              </s:r>
            </s:text>
          </item>
        </commentChain>
      </unresolved>
      <resolved/>
    </commentChains>
    <commentChains s:ref="Q877" rgbClr="FF0000">
      <unresolved>
        <commentChain chainId="1d989c36dc77452195714c708fd98938c7bd133f">
          <item id="d6ff6b8bf6f7a7c5da39023903943fc80c4e1715" isNormal="1">
            <s:text>
              <s:r>
                <s:t xml:space="preserve">Administrator:
1601233 1/20 1152 pcs</s:t>
              </s:r>
            </s:text>
          </item>
        </commentChain>
      </unresolved>
      <resolved/>
    </commentChains>
    <commentChains s:ref="Q878" rgbClr="FF0000">
      <unresolved>
        <commentChain chainId="47ce0dc2a3ff10173265e46d7c011328f98760ad">
          <item id="2bbfde5481522a9289db61990cc75d77f18093af" isNormal="1">
            <s:text>
              <s:r>
                <s:t xml:space="preserve">Administrator:
1601233 1/20 1536 pcs</s:t>
              </s:r>
            </s:text>
          </item>
        </commentChain>
      </unresolved>
      <resolved/>
    </commentChains>
    <commentChains s:ref="Q879" rgbClr="FF0000">
      <unresolved>
        <commentChain chainId="da04d012ecaef8d8921dfa59bd3e54fa0e791851">
          <item id="27af7cf02028f9990bf893c304b2a4e7b6c880c5" isNormal="1">
            <s:text>
              <s:r>
                <s:t xml:space="preserve">Administrator:
1601233 1/20 768 pcs</s:t>
              </s:r>
            </s:text>
          </item>
        </commentChain>
      </unresolved>
      <resolved/>
    </commentChains>
    <commentChains s:ref="Q880" rgbClr="FF0000">
      <unresolved>
        <commentChain chainId="e0594d64985cb7a5e4bf0538c114f9112b379c2b">
          <item id="0b2105254f8e0c82f0d7111d6167a7322019a0af" isNormal="1">
            <s:text>
              <s:r>
                <s:t xml:space="preserve">Administrator:
1601233 1/20 768 pcs</s:t>
              </s:r>
            </s:text>
          </item>
        </commentChain>
      </unresolved>
      <resolved/>
    </commentChains>
    <commentChains s:ref="Q881" rgbClr="FF0000">
      <unresolved>
        <commentChain chainId="8420a8147c979c14c6b5ed1b44a4a3f3d6b0734b">
          <item id="df5b6021e47266d07f21abfeebc0e2800c3c6432" isNormal="1">
            <s:text>
              <s:r>
                <s:t xml:space="preserve">Administrator:
1601233 1/20 768 pcs</s:t>
              </s:r>
            </s:text>
          </item>
        </commentChain>
      </unresolved>
      <resolved/>
    </commentChains>
    <commentChains s:ref="Q882" rgbClr="FF0000">
      <unresolved>
        <commentChain chainId="f4938f22d7cd071c64781eaf37a9e1024446ff6d">
          <item id="7f3d4cec23753d7eda031803a6e3896cc53b4d07" isNormal="1">
            <s:text>
              <s:r>
                <s:t xml:space="preserve">Administrator:
1601233 1/20 768 pcs</s:t>
              </s:r>
            </s:text>
          </item>
        </commentChain>
      </unresolved>
      <resolved/>
    </commentChains>
    <commentChains s:ref="Q883" rgbClr="FF0000">
      <unresolved>
        <commentChain chainId="1d63c1eef91cffd566b0ab20877372ecb264fa0c">
          <item id="55a7fa6b27d5d8a870381fc6e373461417e93a43" isNormal="1">
            <s:text>
              <s:r>
                <s:t xml:space="preserve">Administrator:
1601285 1/23 168 pcs
1601280 1/23 12 pcs</s:t>
              </s:r>
            </s:text>
          </item>
        </commentChain>
      </unresolved>
      <resolved/>
    </commentChains>
    <commentChains s:ref="S883" rgbClr="FF0000">
      <unresolved>
        <commentChain chainId="4cca6efefe1ca01423e58039f66f1174b369680a">
          <item id="1545959a6009a91115d2ed53e5fc6f05c2ba31f2" isNormal="1">
            <s:text>
              <s:r>
                <s:t xml:space="preserve">Administrator:
1/14 上条码/进口商贴纸 180 pcs</s:t>
              </s:r>
            </s:text>
          </item>
        </commentChain>
      </unresolved>
      <resolved/>
    </commentChains>
    <commentChains s:ref="Q884" rgbClr="FF0000">
      <unresolved>
        <commentChain chainId="0d1eadac719b5a20f8f32b70bfb75cffead9984d">
          <item id="3a3a0d81c8bb3cb1ae17a499c37ca3cf0f33d522" isNormal="1">
            <s:text>
              <s:r>
                <s:t xml:space="preserve">Administrator:
1601285 1/23 708 pcs
16012801/23 12 pcs</s:t>
              </s:r>
            </s:text>
          </item>
        </commentChain>
      </unresolved>
      <resolved/>
    </commentChains>
    <commentChains s:ref="S884" rgbClr="FF0000">
      <unresolved>
        <commentChain chainId="e96ddf567f36520d4931e1808537f34f72fe17f6">
          <item id="524b70a8bce89e738fa3ab49ed7fd4c2939b89f5" isNormal="1">
            <s:text>
              <s:r>
                <s:t xml:space="preserve">Administrator:
1/15 上UPC/进口商贴纸 720 pcs</s:t>
              </s:r>
            </s:text>
          </item>
        </commentChain>
      </unresolved>
      <resolved/>
    </commentChains>
    <commentChains s:ref="Q885" rgbClr="FF0000">
      <unresolved>
        <commentChain chainId="f52229a504f41494c32a1593942bedd0915c81ca">
          <item id="475edb6e14e0984d05b5172f4100f44e0af52ccd" isNormal="1">
            <s:text>
              <s:r>
                <s:t xml:space="preserve">Administrator:
1601299 1/26 2004 pcs</s:t>
              </s:r>
            </s:text>
          </item>
        </commentChain>
      </unresolved>
      <resolved/>
    </commentChains>
    <commentChains s:ref="S885" rgbClr="FF0000">
      <unresolved>
        <commentChain chainId="1b93eca4066391eb79078c897c9869d0cf5780dc">
          <item id="8a0b3339e9c616a1ca8999545df9592e9abe85a3" isNormal="1">
            <s:text>
              <s:r>
                <s:t xml:space="preserve">Administrator:
1/19 上UPC/进口商贴纸 2004 pcs</s:t>
              </s:r>
            </s:text>
          </item>
        </commentChain>
      </unresolved>
      <resolved/>
    </commentChains>
    <commentChains s:ref="Q886" rgbClr="FF0000">
      <unresolved>
        <commentChain chainId="b1658a32df6505623dd6b218f89e0f4f29881309">
          <item id="1425ba6eb39daf78f6baba7f3c03ba68cdf26ab9" isNormal="1">
            <s:text>
              <s:r>
                <s:t xml:space="preserve">Administrator:
1601299 1/26 1200 pcs</s:t>
              </s:r>
            </s:text>
          </item>
        </commentChain>
      </unresolved>
      <resolved/>
    </commentChains>
    <commentChains s:ref="S886" rgbClr="FF0000">
      <unresolved>
        <commentChain chainId="777902bc0418537643723031c937498b01eea9bb">
          <item id="1ef5ca7a161a1ff555d2de4aab0999077a7bfc5a" isNormal="1">
            <s:text>
              <s:r>
                <s:t xml:space="preserve">Administrator:
12/16 上客供价格贴纸 1260 pcs</s:t>
              </s:r>
            </s:text>
          </item>
        </commentChain>
      </unresolved>
      <resolved/>
    </commentChains>
    <commentChains s:ref="Q887" rgbClr="FF0000">
      <unresolved>
        <commentChain chainId="bd9b4188c4793b4617b178d7401564c01cd66e73">
          <item id="256a5c0d3086181a19646202817923720e767627" isNormal="1">
            <s:text>
              <s:r>
                <s:t xml:space="preserve">Administrator:
1601299 1/26 1176 pcs
1601289 1/27 24 pcs</s:t>
              </s:r>
            </s:text>
          </item>
        </commentChain>
      </unresolved>
      <resolved/>
    </commentChains>
    <commentChains s:ref="S887" rgbClr="FF0000">
      <unresolved>
        <commentChain chainId="c3e19a0839cacdaa558701310c68142eda06e191">
          <item id="7394a2f381a8513b65ce833a70bce89c1d237c64" isNormal="1">
            <s:text>
              <s:r>
                <s:t xml:space="preserve">Administrator:
12/16 上客供价格贴纸 1260 pcs</s:t>
              </s:r>
            </s:text>
          </item>
        </commentChain>
      </unresolved>
      <resolved/>
    </commentChains>
    <commentChains s:ref="Q888" rgbClr="FF0000">
      <unresolved>
        <commentChain chainId="5e7666174aa390be78106691eeec9a4102f5f114">
          <item id="3de59a41c15cb1212d9835d0621792d53dffc5bb" isNormal="1">
            <s:text>
              <s:r>
                <s:t xml:space="preserve">Administrator:
1601299 1/26 1002 pcs</s:t>
              </s:r>
            </s:text>
          </item>
        </commentChain>
      </unresolved>
      <resolved/>
    </commentChains>
    <commentChains s:ref="S888" rgbClr="FF0000">
      <unresolved>
        <commentChain chainId="363ed6932727ec78bec7e61d993fa467a5c77990">
          <item id="2d805154f40d397f4003a0f6fcd2f2775bb0dd61" isNormal="1">
            <s:text>
              <s:r>
                <s:t xml:space="preserve">Administrator:
1/15 上客供价格贴纸 1103 pcs</s:t>
              </s:r>
            </s:text>
          </item>
        </commentChain>
      </unresolved>
      <resolved/>
    </commentChains>
    <commentChains s:ref="Q889" rgbClr="FF0000">
      <unresolved>
        <commentChain chainId="6fd805fd59660941ef9344bcc452543dfffb466a">
          <item id="7a795451763387759c9bb09e240f4cd2e10f4e9e" isNormal="1">
            <s:text>
              <s:r>
                <s:t xml:space="preserve">Administrator:
1601299 1/26 1200 pcs
</s:t>
              </s:r>
            </s:text>
          </item>
        </commentChain>
      </unresolved>
      <resolved/>
    </commentChains>
    <commentChains s:ref="S889" rgbClr="FF0000">
      <unresolved>
        <commentChain chainId="7cee7f0b993e384f843d8643f1dcf4813263cb53">
          <item id="3712a12af83ff6a852b9cc4f196b6b104ad90053" isNormal="1">
            <s:text>
              <s:r>
                <s:t xml:space="preserve">Administrator:
1/15 上客供价格贴纸 1320 pcs</s:t>
              </s:r>
            </s:text>
          </item>
        </commentChain>
      </unresolved>
      <resolved/>
    </commentChains>
    <commentChains s:ref="Q890" rgbClr="FF0000">
      <unresolved>
        <commentChain chainId="fe83e4cd427831b14611039d180d7f1c8b65f489">
          <item id="e0d9d02bf845d0fdb2aff2d0d125d515032c0c3d" isNormal="1">
            <s:text>
              <s:r>
                <s:t xml:space="preserve">Administrator:
1405671 1/31 12 pcs
14005693 1/30 1068 pcs</s:t>
              </s:r>
            </s:text>
          </item>
        </commentChain>
      </unresolved>
      <resolved/>
    </commentChains>
    <commentChains s:ref="S890" rgbClr="FF0000">
      <unresolved>
        <commentChain chainId="ce0a3d2df2804997a59e1c5b9fd0e4380c15d094">
          <item id="14a717cc5f9b7762698a9b619d39767ae426e298" isNormal="1">
            <s:text>
              <s:r>
                <s:t xml:space="preserve">Administrator:
1/15 上UPC/进口商贴纸 1080 pcs</s:t>
              </s:r>
            </s:text>
          </item>
        </commentChain>
      </unresolved>
      <resolved/>
    </commentChains>
    <commentChains s:ref="Q891" rgbClr="FF0000">
      <unresolved>
        <commentChain chainId="ed5ca89fcf48efdc98c961717fc5443f7a537070">
          <item id="49baa3a4993de5210988a109a388412c2e03e85c" isNormal="1">
            <s:text>
              <s:r>
                <s:t xml:space="preserve">Administrator:
1405693 1/30 2400 pcs</s:t>
              </s:r>
            </s:text>
          </item>
        </commentChain>
      </unresolved>
      <resolved/>
    </commentChains>
    <commentChains s:ref="S891" rgbClr="FF0000">
      <unresolved>
        <commentChain chainId="fa2ff810d6cb8b4480be686c963dc2f4691e8e74">
          <item id="2e86134648243df15b8d17b3de6673a505590ba1" isNormal="1">
            <s:text>
              <s:r>
                <s:t xml:space="preserve">Administrator:
1/19 上客户EAN条码贴纸 2400 pcs
     上PDQ数量贴纸 600 pcs</s:t>
              </s:r>
            </s:text>
          </item>
        </commentChain>
      </unresolved>
      <resolved/>
    </commentChains>
    <commentChains s:ref="Q892" rgbClr="FF0000">
      <unresolved>
        <commentChain chainId="56e1fb650f0a2053d85f223966f8f1847dd8a6e1">
          <item id="d2266d87a1774058e8afa3ab506cef88783d36de" isNormal="1">
            <s:text>
              <s:r>
                <s:t xml:space="preserve">Administrator:
1405671 1/31 1500 pcs</s:t>
              </s:r>
            </s:text>
          </item>
        </commentChain>
      </unresolved>
      <resolved/>
    </commentChains>
    <commentChains s:ref="S892" rgbClr="FF0000">
      <unresolved>
        <commentChain chainId="ad58bf381a047f28b7895ebb5c2120ee406d81ac">
          <item id="00eda6e1ef000bbe828d42dea2c4632eccfe780e" isNormal="1">
            <s:text>
              <s:r>
                <s:t xml:space="preserve">Administrator:
1/19 上 UPC/进口商贴纸 1500 pcs</s:t>
              </s:r>
            </s:text>
          </item>
        </commentChain>
      </unresolved>
      <resolved/>
    </commentChains>
    <commentChains s:ref="Q893" rgbClr="FF0000">
      <unresolved>
        <commentChain chainId="e25fcb4a7848f7ef3375d45e08dc6eff3b4b94da">
          <item id="67ae6f124330ffbfe49c58c2a59a81b18b0c00b6" isNormal="1">
            <s:text>
              <s:r>
                <s:t xml:space="preserve">Administrator:
1405645 2/2 12 pcs</s:t>
              </s:r>
            </s:text>
          </item>
        </commentChain>
      </unresolved>
      <resolved/>
    </commentChains>
    <commentChains s:ref="S893" rgbClr="FF0000">
      <unresolved>
        <commentChain chainId="8b03f0995365ca7caa74cf28e9eee05299fa1f21">
          <item id="24ac3b36712fbdfbef16ba9b7aaee8e67065d3fb" isNormal="1">
            <s:text>
              <s:r>
                <s:t xml:space="preserve">Administrator:
1/19 上UPC贴纸 132 pcs
1/28 上亚马逊外箱贴纸 11 pcs</s:t>
              </s:r>
            </s:text>
          </item>
        </commentChain>
      </unresolved>
      <resolved/>
    </commentChains>
    <commentChains s:ref="Q894" rgbClr="FF0000">
      <unresolved>
        <commentChain chainId="39ddd93cf152d2fc3d2b2c0edd80c51127e5fb7d">
          <item id="c8898112955bb867a7dc0d33755cf5d5f3ff85e6" isNormal="1">
            <s:text>
              <s:r>
                <s:t xml:space="preserve">Administrator:
1405680 2/2 48 pcs</s:t>
              </s:r>
            </s:text>
          </item>
        </commentChain>
      </unresolved>
      <resolved/>
    </commentChains>
    <commentChains s:ref="Q895" rgbClr="FF0000">
      <unresolved>
        <commentChain chainId="a5e649c2d95f603f53d0dbb91c00d8dd00cace47">
          <item id="ec398ccec8c0e453ef559510af89e5e2631f01f5" isNormal="1">
            <s:text>
              <s:r>
                <s:t xml:space="preserve">Administrator:
1405680 2/2 12 pcs</s:t>
              </s:r>
            </s:text>
          </item>
        </commentChain>
      </unresolved>
      <resolved/>
    </commentChains>
    <commentChains s:ref="Q896" rgbClr="FF0000">
      <unresolved>
        <commentChain chainId="1019fd30b1c2f1208b54f8e1637f951c34668885">
          <item id="09737009dc7498dc3e5cfaf8d0e2804744aae8ab" isNormal="1">
            <s:text>
              <s:r>
                <s:t xml:space="preserve">Administrator:
1405680 2/2 12 pcs</s:t>
              </s:r>
            </s:text>
          </item>
        </commentChain>
      </unresolved>
      <resolved/>
    </commentChains>
    <commentChains s:ref="Q897" rgbClr="FF0000">
      <unresolved>
        <commentChain chainId="7ce273ead787d4f634b404affc5476bfaa214b10">
          <item id="2fda84d04242cde79cb62ae37caeb04260cc696b" isNormal="1">
            <s:text>
              <s:r>
                <s:t xml:space="preserve">Administrator:
1405680 2/2 24 pcs</s:t>
              </s:r>
            </s:text>
          </item>
        </commentChain>
      </unresolved>
      <resolved/>
    </commentChains>
    <commentChains s:ref="Q898" rgbClr="FF0000">
      <unresolved>
        <commentChain chainId="f25dacbf5542d43dc49dc4a1400dd8b51ee9ad4d">
          <item id="5e6badd167049cbc7282c248c6c0a29d1583aa43" isNormal="1">
            <s:text>
              <s:r>
                <s:t xml:space="preserve">Administrator:
1405680 2/2 12 pcs</s:t>
              </s:r>
            </s:text>
          </item>
        </commentChain>
      </unresolved>
      <resolved/>
    </commentChains>
    <commentChains s:ref="Q899" rgbClr="FF0000">
      <unresolved>
        <commentChain chainId="1cf512327e00c5ff4788a06a4a5e3f1adc651a33">
          <item id="0707c92384a0d520b8ca78a9b053e706f45798ba" isNormal="1">
            <s:text>
              <s:r>
                <s:t xml:space="preserve">Administrator:
1405680 2/2 12 pcs</s:t>
              </s:r>
            </s:text>
          </item>
        </commentChain>
      </unresolved>
      <resolved/>
    </commentChains>
    <commentChains s:ref="Q900" rgbClr="FF0000">
      <unresolved>
        <commentChain chainId="bde7a2b6f66aece250d5c64eb1ddfbc7b7be9be2">
          <item id="828f9b03bd52abd66545240db3c905afbb840e11" isNormal="1">
            <s:text>
              <s:r>
                <s:t xml:space="preserve">Administrator:
1405680 2/2 12 pcs</s:t>
              </s:r>
            </s:text>
          </item>
        </commentChain>
      </unresolved>
      <resolved/>
    </commentChains>
    <commentChains s:ref="S900" rgbClr="FF0000">
      <unresolved>
        <commentChain chainId="4443ead729f8421e6256dc871eb8d4e1c8caa366">
          <item id="4ebe39ffce1478b8a59b3a9b24e80737e4ac2b58" isNormal="1">
            <s:text>
              <s:r>
                <s:t xml:space="preserve">Administrator:
1/19 上UPC贴纸 12 pcs
1/28 上亚马逊外箱贴纸 1 pcs</s:t>
              </s:r>
            </s:text>
          </item>
        </commentChain>
      </unresolved>
      <resolved/>
    </commentChains>
    <commentChains s:ref="Q901" rgbClr="FF0000">
      <unresolved>
        <commentChain chainId="0463e18ba1ac761c62c2cef8a2bc32defe3c00c1">
          <item id="b7c779e0600180fe3e75d359a193a9b0d0135145" isNormal="1">
            <s:text>
              <s:r>
                <s:t xml:space="preserve">Administrator:
1405643 2/2 1512 pcs
 </s:t>
              </s:r>
            </s:text>
          </item>
        </commentChain>
      </unresolved>
      <resolved/>
    </commentChains>
    <commentChains s:ref="S901" rgbClr="FF0000">
      <unresolved>
        <commentChain chainId="c0e09e356285afe0ce811d238bfcd1bdea29adb2">
          <item id="db5cb47deacaba4bb9116513d88d045f3181465c" isNormal="1">
            <s:text>
              <s:r>
                <s:t xml:space="preserve">Administrator:
1/19 上客人白色Cat.label 1512 pcs</s:t>
              </s:r>
            </s:text>
          </item>
        </commentChain>
      </unresolved>
      <resolved/>
    </commentChains>
    <commentChains s:ref="Q902" rgbClr="FF0000">
      <unresolved>
        <commentChain chainId="fa4c2b2210d898e187af7f5af822584f6dd33884">
          <item id="e5ebbd8de78af7f188e66cdb2eee709e089b131b" isNormal="1">
            <s:text>
              <s:r>
                <s:t xml:space="preserve">Administrator:
1405643 2/2 960 pcs</s:t>
              </s:r>
            </s:text>
          </item>
        </commentChain>
      </unresolved>
      <resolved/>
    </commentChains>
    <commentChains s:ref="S902" rgbClr="FF0000">
      <unresolved>
        <commentChain chainId="ad19e14c805e1409e1b5a47a73097cd286ae39ca">
          <item id="aaacf81697875bf22715a4c059fd3bfb82373495" isNormal="1">
            <s:text>
              <s:r>
                <s:t xml:space="preserve">Administrator:
1/22 上客户警语进口商贴纸(含ES 960 pcs</s:t>
              </s:r>
            </s:text>
          </item>
        </commentChain>
      </unresolved>
      <resolved/>
    </commentChains>
    <commentChains s:ref="Q903" rgbClr="FF0000">
      <unresolved>
        <commentChain chainId="5db1f8c5b16075a7ebf593d02e9dd6944234f4b0">
          <item id="342d25833b89e837c67308fd5174d023a148c79a" isNormal="1">
            <s:text>
              <s:r>
                <s:t xml:space="preserve">Administrator:
1405643 2/2 1512 pcs</s:t>
              </s:r>
            </s:text>
          </item>
        </commentChain>
      </unresolved>
      <resolved/>
    </commentChains>
    <commentChains s:ref="S903" rgbClr="FF0000">
      <unresolved>
        <commentChain chainId="252dd24253557b6a4dc6a7fad3036b53990a4edf">
          <item id="99b3525ca425cc3342f0f3aede02ac75e126063d" isNormal="1">
            <s:text>
              <s:r>
                <s:t xml:space="preserve">Administrator:
1/21 上德语callout警告语贴纸 1512 pcs
     上EAN条码贴纸 1512 pcs</s:t>
              </s:r>
            </s:text>
          </item>
        </commentChain>
      </unresolved>
      <resolved/>
    </commentChains>
    <commentChains s:ref="Q904" rgbClr="FF0000">
      <unresolved>
        <commentChain chainId="d86d5655ac855e20d7379c6ad24db67a6c42ac6a">
          <item id="b13b787d2e0758173c9c881ce6857d7e4f55d718" isNormal="1">
            <s:text>
              <s:r>
                <s:t xml:space="preserve">Administrator:
1405647 2/2 2016 pcs</s:t>
              </s:r>
            </s:text>
          </item>
        </commentChain>
      </unresolved>
      <resolved/>
    </commentChains>
    <commentChains s:ref="Q905" rgbClr="FF0000">
      <unresolved>
        <commentChain chainId="c04b8ef78b809541cb167b0b9751b36547eab157">
          <item id="5b279e81613b5f01c91ea71b36a574f74a2f8d31" isNormal="1">
            <s:text>
              <s:r>
                <s:t xml:space="preserve">Administrator:
1601280 1/23 792 pcs
1601266 1/24 24 pcs</s:t>
              </s:r>
            </s:text>
          </item>
        </commentChain>
      </unresolved>
      <resolved/>
    </commentChains>
    <commentChains s:ref="S905" rgbClr="FF0000">
      <unresolved>
        <commentChain chainId="f46a82d94c34c57c151eea42fba37fd7601c651d">
          <item id="9a75dc5c93b8633f31962c8fe7a1293776490978" isNormal="1">
            <s:text>
              <s:r>
                <s:t xml:space="preserve">Administrator:
1/5 上UPC/进口商贴纸 816 pcs</s:t>
              </s:r>
            </s:text>
          </item>
        </commentChain>
      </unresolved>
      <resolved/>
    </commentChains>
    <commentChains s:ref="Q906" rgbClr="FF0000">
      <unresolved>
        <commentChain chainId="726579c3415b6021f389cb477c0bf2b4f64bcfe8">
          <item id="8751882cacba323a88941cefd19cc90fda992b18" isNormal="1">
            <s:text>
              <s:r>
                <s:t xml:space="preserve">Administrator:
1601289 1/27 576 pcs</s:t>
              </s:r>
            </s:text>
          </item>
        </commentChain>
      </unresolved>
      <resolved/>
    </commentChains>
    <commentChains s:ref="S906" rgbClr="FF0000">
      <unresolved>
        <commentChain chainId="798a4ff5ce5e93cfa51ba01aca465136feb9fb17">
          <item id="3cb1db33a7b867553ef737ba5fe29a2aa8044c72" isNormal="1">
            <s:text>
              <s:r>
                <s:t xml:space="preserve">Administrator:
10/23 上进口商贴纸 2004 pcs
      上UPC贴纸 2004 pcs
10/24 上红色logo贴纸 2004 pcs</s:t>
              </s:r>
            </s:text>
          </item>
        </commentChain>
      </unresolved>
      <resolved/>
    </commentChains>
    <commentChains s:ref="Q907" rgbClr="FF0000">
      <unresolved>
        <commentChain chainId="2871836229e55cbb3efa59b5d4a752297aab48ac">
          <item id="77112ae8e3cf91d96ffbc37763e96ed0c1006f3d" isNormal="1">
            <s:text>
              <s:r>
                <s:t xml:space="preserve">Administrator:
1601289 1/27 624 pcs</s:t>
              </s:r>
            </s:text>
          </item>
        </commentChain>
      </unresolved>
      <resolved/>
    </commentChains>
    <commentChains s:ref="Q908" rgbClr="FF0000">
      <unresolved>
        <commentChain chainId="2e04d15109ba2443474942b2dd36111c0e922c63">
          <item id="1504e5f18af9f4d2696406bf1433a937a8bb0328" isNormal="1">
            <s:text>
              <s:r>
                <s:t xml:space="preserve">Administrator:
1601289 1/27 804 pcs</s:t>
              </s:r>
            </s:text>
          </item>
        </commentChain>
      </unresolved>
      <resolved/>
    </commentChains>
    <commentChains s:ref="Q909" rgbClr="FF0000">
      <unresolved>
        <commentChain chainId="45734427da20fbea2c4e7d4da3b9534ff6846efe">
          <item id="654241fc8f4d07bc531db54825cc1d36a8febb5b" isNormal="1">
            <s:text>
              <s:r>
                <s:t xml:space="preserve">Administrator:
1601289 1/27 6024 pcs</s:t>
              </s:r>
            </s:text>
          </item>
        </commentChain>
      </unresolved>
      <resolved/>
    </commentChains>
    <commentChains s:ref="S909" rgbClr="FF0000">
      <unresolved>
        <commentChain chainId="5fc2dc27966c425230059615660a4b93f5a27eed">
          <item id="a3bb389a6895c70e15270ca61fffbf04ecb8f2dc" isNormal="1">
            <s:text>
              <s:r>
                <s:t xml:space="preserve">Administrator:
1/14 上进口商贴纸 6024 pcs</s:t>
              </s:r>
            </s:text>
          </item>
        </commentChain>
      </unresolved>
      <resolved/>
    </commentChains>
    <commentChains s:ref="Q910" rgbClr="FF0000">
      <unresolved>
        <commentChain chainId="083adef13fc2e66e74aad99725baf52e59466cb1">
          <item id="d667ee20f14efc378a78703ef6431be48ec1d19e" isNormal="1">
            <s:text>
              <s:r>
                <s:t xml:space="preserve">Administrator:
1405645 2/2 2298 pcs
1405668 2/3 6 pcs</s:t>
              </s:r>
            </s:text>
          </item>
        </commentChain>
      </unresolved>
      <resolved/>
    </commentChains>
    <commentChains s:ref="S910" rgbClr="FF0000">
      <unresolved>
        <commentChain chainId="62658560804a75d186e9c91fdacd124f936a266d">
          <item id="282326a6e792ab4c480cd882d0501661d5075846" isNormal="1">
            <s:text>
              <s:r>
                <s:t xml:space="preserve">Administrator:
1/21 上客供RFID贴纸 9984 pcs
1/19 上客版布标贴纸 9984 pcs</s:t>
              </s:r>
            </s:text>
          </item>
        </commentChain>
      </unresolved>
      <resolved/>
    </commentChains>
    <commentChains s:ref="Q911" rgbClr="FF0000">
      <unresolved>
        <commentChain chainId="2fe119e6df96f44a0df8c86227e08120969f8493">
          <item id="73d303571c9e665975e6fb28b1ea37652d69f376" isNormal="1">
            <s:text>
              <s:r>
                <s:t xml:space="preserve">Administrator:
1405645 2/2 1530 pcs
1405668 2/3 6 pcs</s:t>
              </s:r>
            </s:text>
          </item>
        </commentChain>
      </unresolved>
      <resolved/>
    </commentChains>
    <commentChains s:ref="Q912" rgbClr="FF0000">
      <unresolved>
        <commentChain chainId="c8e30cae16382627895124263a0ef50c40b1bb44">
          <item id="fc4d17c7b75fcf211ad7e4b6719be044d945c45f" isNormal="1">
            <s:text>
              <s:r>
                <s:t xml:space="preserve">Administrator:
1405645 2/2 1918 pcs
1405668 2/3 2 pcs</s:t>
              </s:r>
            </s:text>
          </item>
        </commentChain>
      </unresolved>
      <resolved/>
    </commentChains>
    <commentChains s:ref="Q913" rgbClr="FF0000">
      <unresolved>
        <commentChain chainId="b200923ae9a3ea1fb52bcdf02f1226a3a8ace33b">
          <item id="c8887716b3ad367a2baf121d36d7d43cd6a991ab" isNormal="1">
            <s:text>
              <s:r>
                <s:t xml:space="preserve">Administrator:
1405645 2/2 760 pcs
1405668 2/3 8 pcs</s:t>
              </s:r>
            </s:text>
          </item>
        </commentChain>
      </unresolved>
      <resolved/>
    </commentChains>
    <commentChains s:ref="Q914" rgbClr="FF0000">
      <unresolved>
        <commentChain chainId="5d00c8af7c3b83e98db70b2959110b0301debef2">
          <item id="cf6e5528eb555baa757c6fcded14582a004f5987" isNormal="1">
            <s:text>
              <s:r>
                <s:t xml:space="preserve">Administrator:
1405645 2/2 1914 pcs
1405668 2/3 6 pcs</s:t>
              </s:r>
            </s:text>
          </item>
        </commentChain>
      </unresolved>
      <resolved/>
    </commentChains>
    <commentChains s:ref="Q915" rgbClr="FF0000">
      <unresolved>
        <commentChain chainId="92ba643c241cd8b5b8e7ee9a2f4d5ddbd9da06fe">
          <item id="a8687fc0470d78ccabe0e417d2e043a5b2f65df0" isNormal="1">
            <s:text>
              <s:r>
                <s:t xml:space="preserve">Administrator:
1405645 2/2 764 pcs
1405668 2/3 4 pcs</s:t>
              </s:r>
            </s:text>
          </item>
        </commentChain>
      </unresolved>
      <resolved/>
    </commentChains>
    <commentChains s:ref="Q916" rgbClr="FF0000">
      <unresolved>
        <commentChain chainId="eb929dae8ccdda41e99394a47ae6871d5851eb2c">
          <item id="047e2b85760ed6b4826f09f658bad2d8ac51b405" isNormal="1">
            <s:text>
              <s:r>
                <s:t xml:space="preserve">Administrator:
1405645 2/2 768 pcs</s:t>
              </s:r>
            </s:text>
          </item>
        </commentChain>
      </unresolved>
      <resolved/>
    </commentChains>
    <commentChains s:ref="Q917" rgbClr="FF0000">
      <unresolved>
        <commentChain chainId="7f8afdd7bee7bb47c505b05875a904b1ac47e068">
          <item id="eb85642f3de7d56ebbc7db5cee0e6ec2f1ead0ab" isNormal="1">
            <s:text>
              <s:r>
                <s:t xml:space="preserve">Administrator:
1405619 2/3 1416 pcs</s:t>
              </s:r>
            </s:text>
          </item>
        </commentChain>
      </unresolved>
      <resolved/>
    </commentChains>
    <commentChains s:ref="S917" rgbClr="FF0000">
      <unresolved>
        <commentChain chainId="7dd9935c0466bfe9e4df7304d0e5103d652d74b0">
          <item id="4e54728d2baf9372022182061563734c9a307f88" isNormal="1">
            <s:text>
              <s:r>
                <s:t xml:space="preserve">Administrator:
1/12 上Kmart外箱贴纸 126 pcs
1/13 上白色防盗贴纸 1512 pcs</s:t>
              </s:r>
            </s:text>
          </item>
        </commentChain>
      </unresolved>
      <resolved/>
    </commentChains>
    <commentChains s:ref="Q918" rgbClr="FF0000">
      <unresolved>
        <commentChain chainId="2f349d878930c07485a5be6129e9b918392792be">
          <item id="e3feefc25b1f7a980c28ddf4979527d79a5c6818" isNormal="1">
            <s:text>
              <s:r>
                <s:t xml:space="preserve">Administrator:
1405619 2/3 84 pcs</s:t>
              </s:r>
            </s:text>
          </item>
        </commentChain>
      </unresolved>
      <resolved/>
    </commentChains>
    <commentChains s:ref="S918" rgbClr="FF0000">
      <unresolved>
        <commentChain chainId="b9db51066541a458f328cca41a0c2957ec81853e">
          <item id="662e5d7820d2c46b3a7466679cb84a4ef875648a" isNormal="1">
            <s:text>
              <s:r>
                <s:t xml:space="preserve">Administrator:
1/12 上白色防盗贴纸 84 pcs
     欠外箱贴纸</s:t>
              </s:r>
            </s:text>
          </item>
        </commentChain>
      </unresolved>
      <resolved/>
    </commentChains>
    <commentChains s:ref="Q919" rgbClr="FF0000">
      <unresolved>
        <commentChain chainId="d6be2249588f8dc3a5e84a3fae32ab6989989137">
          <item id="cb25e5c67e77b83105d1e817e6db04d79dba8539" isNormal="1">
            <s:text>
              <s:r>
                <s:t xml:space="preserve">Administrator:
1405619 2/3 72 pcs</s:t>
              </s:r>
            </s:text>
          </item>
        </commentChain>
      </unresolved>
      <resolved/>
    </commentChains>
    <commentChains s:ref="S919" rgbClr="FF0000">
      <unresolved>
        <commentChain chainId="44d4a94c6ce0fed4a7576a4c2616a34a5c4993d7">
          <item id="752620846a0fe8f7613257aebd8cd1b5907f6f0f" isNormal="1">
            <s:text>
              <s:r>
                <s:t xml:space="preserve">Administrator:
1/12 上白色防盗贴纸 72 pcs
     欠外箱贴纸</s:t>
              </s:r>
            </s:text>
          </item>
        </commentChain>
      </unresolved>
      <resolved/>
    </commentChains>
    <commentChains s:ref="Q920" rgbClr="FF0000">
      <unresolved>
        <commentChain chainId="39f43eab507e779253d671c15b1dd94dccc3231b">
          <item id="8cf6f505836ece2aacdd409f02ca8a712f76233d" isNormal="1">
            <s:text>
              <s:r>
                <s:t xml:space="preserve">Administrator:
1405619 2/3 1428 pcs</s:t>
              </s:r>
            </s:text>
          </item>
        </commentChain>
      </unresolved>
      <resolved/>
    </commentChains>
    <commentChains s:ref="S920" rgbClr="FF0000">
      <unresolved>
        <commentChain chainId="17ba44c84d7378a4b69b941486db95c17f321fb0">
          <item id="0f318d491e44378d0bd578d2d8aa45c90d0b2ccf" isNormal="1">
            <s:text>
              <s:r>
                <s:t xml:space="preserve">Administrator:
1/26 上Kmart外箱贴纸 1428 pcs</s:t>
              </s:r>
            </s:text>
          </item>
        </commentChain>
      </unresolved>
      <resolved/>
    </commentChains>
    <commentChains s:ref="Q921" rgbClr="FF0000">
      <unresolved>
        <commentChain chainId="c5437767aa2162a86491a7d2f1bad38333c3623e">
          <item id="361151648d0be381277f6c5d98eb013a85ff0725" isNormal="1">
            <s:text>
              <s:r>
                <s:t xml:space="preserve">Administrator:
4001911 2/4 1044 pcs</s:t>
              </s:r>
            </s:text>
          </item>
        </commentChain>
      </unresolved>
      <resolved/>
    </commentChains>
    <commentChains s:ref="S921" rgbClr="FF0000">
      <unresolved>
        <commentChain chainId="a93bf7c96f6de9eb3117bdf52882470310f21a3e">
          <item id="2bde74bf8a1f79f73fe806a701cf0bfe2db29c36" isNormal="1">
            <s:text>
              <s:r>
                <s:t xml:space="preserve">Administrator:
1/22 上产品贴纸 2088 pcs
     上EAN贴纸 2088 pcs</s:t>
              </s:r>
            </s:text>
          </item>
        </commentChain>
      </unresolved>
      <resolved/>
    </commentChains>
    <commentChains s:ref="Q922" rgbClr="FF0000">
      <unresolved>
        <commentChain chainId="448c992fb5b80faf4a0a590bae24c3de32c82de1">
          <item id="32b29453b8775954737610c94461acc91cce2e54" isNormal="1">
            <s:text>
              <s:r>
                <s:t xml:space="preserve">Administrator:
5000804 2/5 360 pcs</s:t>
              </s:r>
            </s:text>
          </item>
        </commentChain>
      </unresolved>
      <resolved/>
    </commentChains>
    <commentChains s:ref="S922" rgbClr="FF0000">
      <unresolved>
        <commentChain chainId="21464d654fdd0f333de3bfec09cd32f5691775f2">
          <item id="6c835bde63b60617463cf9744b1b63420a99127a" isNormal="1">
            <s:text>
              <s:r>
                <s:t xml:space="preserve">Administrator:
1/21 上PDQ进口商含EAN条码 60 pcs
     上进口商贴纸 360 pcs</s:t>
              </s:r>
            </s:text>
          </item>
        </commentChain>
      </unresolved>
      <resolved/>
    </commentChains>
    <commentChains s:ref="Q923" rgbClr="FF0000">
      <unresolved>
        <commentChain chainId="d1b64ad7b4fd5444303d1711b68d3749d1a127c7">
          <item id="7db6be979a6d3a2a93c0b0e1c088f2eb7e1cc81a" isNormal="1">
            <s:text>
              <s:r>
                <s:t xml:space="preserve">Administrator:
5000809 2/7 528 pcs</s:t>
              </s:r>
            </s:text>
          </item>
        </commentChain>
      </unresolved>
      <resolved/>
    </commentChains>
    <commentChains s:ref="S923" rgbClr="FF0000">
      <unresolved>
        <commentChain chainId="b9f4973db766b911e19633c88d8ecfbbeec0f743">
          <item id="de147874bf06528f4422b7e399bf8cfe388f9135" isNormal="1">
            <s:text>
              <s:r>
                <s:t xml:space="preserve">Administrator:
1/21 上进口商贴纸 540 pcs
     上价标贴纸 540 pcs
    欠外箱贴纸</s:t>
              </s:r>
            </s:text>
          </item>
        </commentChain>
      </unresolved>
      <resolved/>
    </commentChains>
    <commentChains s:ref="Q924" rgbClr="FF0000">
      <unresolved>
        <commentChain chainId="1af983dd27b0ff6cf178b5f8c9a598fa903f7dec">
          <item id="d2cc553f6868b7b1213c5dbd461f6e85325b3721" isNormal="1">
            <s:text>
              <s:r>
                <s:t xml:space="preserve">Administrator:
1405560 2/7 720 pcs</s:t>
              </s:r>
            </s:text>
          </item>
        </commentChain>
      </unresolved>
      <resolved/>
    </commentChains>
    <commentChains s:ref="S924" rgbClr="FF0000">
      <unresolved>
        <commentChain chainId="e7a4722650f4bcaf75302a1dcf27aee162171a1f">
          <item id="5282ed3d01dbaeff6f94f48664103707cfb94047" isNormal="1">
            <s:text>
              <s:r>
                <s:t xml:space="preserve">Administrator:
1/26 上客供价格贴纸 756 pcs</s:t>
              </s:r>
            </s:text>
          </item>
        </commentChain>
      </unresolved>
      <resolved/>
    </commentChains>
    <commentChains s:ref="Q925" rgbClr="FF0000">
      <unresolved>
        <commentChain chainId="224bd18fad9f43b996f5fa9664c28dcfa1e0372e">
          <item id="671fedc4913d61027e2047dc316593189678b9a3" isNormal="1">
            <s:text>
              <s:r>
                <s:t xml:space="preserve">Administrator:
1405517 2/25 816 pcs</s:t>
              </s:r>
            </s:text>
          </item>
        </commentChain>
      </unresolved>
      <resolved/>
    </commentChains>
    <commentChains s:ref="S925" rgbClr="FF0000">
      <unresolved>
        <commentChain chainId="dc781d7f3cb98f3d5fc654a7fb71fc493f1762b4">
          <item id="9f643639bd06be63926b46eb470af8f6385cc6d0" isNormal="1">
            <s:text>
              <s:r>
                <s:t xml:space="preserve">Administrator:
1/26 上客供价格贴纸 857 pcs</s:t>
              </s:r>
            </s:text>
          </item>
        </commentChain>
      </unresolved>
      <resolved/>
    </commentChains>
    <commentChains s:ref="Q926" rgbClr="FF0000">
      <unresolved>
        <commentChain chainId="d0a30e90fe58ebd1e03ad5f5e04bd973e0f61ca1">
          <item id="a5c1863abf665c8df7aeed36ec294898381b3295" isNormal="1">
            <s:text>
              <s:r>
                <s:t xml:space="preserve">Administrator:
1405560 2/7 12 pcs</s:t>
              </s:r>
            </s:text>
          </item>
        </commentChain>
      </unresolved>
      <resolved/>
    </commentChains>
    <commentChains s:ref="S926" rgbClr="FF0000">
      <unresolved>
        <commentChain chainId="4d238a122e278ef441054df12b3f2f3b51dd3ad4">
          <item id="179be221831e6c0d46f37c0e09613521f68fa5de" isNormal="1">
            <s:text>
              <s:r>
                <s:t xml:space="preserve">Administrator:
1/26 上UPC贴纸 24 pcs
1/30 上客供亚马逊外箱贴纸 2 pcs</s:t>
              </s:r>
            </s:text>
          </item>
        </commentChain>
      </unresolved>
      <resolved/>
    </commentChains>
    <commentChains s:ref="Q927" rgbClr="FF0000">
      <unresolved>
        <commentChain chainId="69829ab3c23fbeb6951340908e0634dbc7871204">
          <item id="a9b7a497170a5144ab9dde0d19005514ce96b63e" isNormal="1">
            <s:text>
              <s:r>
                <s:t xml:space="preserve">Administrator:
1405560 2/7 12 pcs</s:t>
              </s:r>
            </s:text>
          </item>
        </commentChain>
      </unresolved>
      <resolved/>
    </commentChains>
    <commentChains s:ref="Q928" rgbClr="FF0000">
      <unresolved>
        <commentChain chainId="6ec28fa2d811c38c6c87dc658e39c0d74fff7f22">
          <item id="64a0f523e39b66fc61c08e229691cf852c5765a9" isNormal="1">
            <s:text>
              <s:r>
                <s:t xml:space="preserve">Administrator:
5000822 2/24 1536 pcs</s:t>
              </s:r>
            </s:text>
          </item>
        </commentChain>
      </unresolved>
      <resolved/>
    </commentChains>
    <commentChains s:ref="S928" rgbClr="FF0000">
      <unresolved>
        <commentChain chainId="17e19fa4b295c9f7f77f86ac3a1e7e81ac05caaf">
          <item id="8a4f4b55813ab23c31d8e1db78aa30035a568770" isNormal="1">
            <s:text>
              <s:r>
                <s:t xml:space="preserve">Administrator:
1/21 上客供FFID贴纸 1536 pcs
1/26 上客版布标贴纸 5760 pcs</s:t>
              </s:r>
            </s:text>
          </item>
        </commentChain>
      </unresolved>
      <resolved/>
    </commentChains>
    <commentChains s:ref="Q929" rgbClr="FF0000">
      <unresolved>
        <commentChain chainId="565a744b46fd719d11da8a0fc10b0abd76e2b178">
          <item id="7cb09d1b9dea4ad1a89c62050bd8ef1dd309205a" isNormal="1">
            <s:text>
              <s:r>
                <s:t xml:space="preserve">Administrator:
5000822 2/24 768 pcs</s:t>
              </s:r>
            </s:text>
          </item>
        </commentChain>
      </unresolved>
      <resolved/>
    </commentChains>
    <commentChains s:ref="S929" rgbClr="FF0000">
      <unresolved>
        <commentChain chainId="6b40c2bf11396f662257ec38f3df273aae16e8b8">
          <item id="19ffb3cfc8c9e465cae65cba993f8a358a9626f9" isNormal="1">
            <s:text>
              <s:r>
                <s:t xml:space="preserve">Administrator:
1/26 上客版布标贴纸 5760 pcs
1/30 上客供RFID贴纸 5760 pcs</s:t>
              </s:r>
            </s:text>
          </item>
        </commentChain>
      </unresolved>
      <resolved/>
    </commentChains>
    <commentChains s:ref="Q930" rgbClr="FF0000">
      <unresolved>
        <commentChain chainId="c64b39c63f14e1e03b0b2f205645876890a44179">
          <item id="343baa234b3bbc55b1d1ecd9423329b44fc98960" isNormal="1">
            <s:text>
              <s:r>
                <s:t xml:space="preserve">Administrator:
5000822 2/24 768 pcs</s:t>
              </s:r>
            </s:text>
          </item>
        </commentChain>
      </unresolved>
      <resolved/>
    </commentChains>
    <commentChains s:ref="Q931" rgbClr="FF0000">
      <unresolved>
        <commentChain chainId="aed2d84d5ac6a6a05aec50708138fccb2b3e9682">
          <item id="03d477df99c1d8216bd1c13a25605586428ed9ab" isNormal="1">
            <s:text>
              <s:r>
                <s:t xml:space="preserve">Administrator:
5000822 2/24 768 pcs</s:t>
              </s:r>
            </s:text>
          </item>
        </commentChain>
      </unresolved>
      <resolved/>
    </commentChains>
    <commentChains s:ref="Q932" rgbClr="FF0000">
      <unresolved>
        <commentChain chainId="d96d4e4a702295483f0d315db342a66b906349e7">
          <item id="b61a8f581609fcd97a505584ea0f95a1b224f541" isNormal="1">
            <s:text>
              <s:r>
                <s:t xml:space="preserve">Administrator:
5000822 2/24 1152 pcs</s:t>
              </s:r>
            </s:text>
          </item>
        </commentChain>
      </unresolved>
      <resolved/>
    </commentChains>
    <commentChains s:ref="Q933" rgbClr="FF0000">
      <unresolved>
        <commentChain chainId="3c1fb66540095014d10b6cd8c1c6155d8d7fbb08">
          <item id="b023344aa80923ed7bfbf7e63ea837599b4ab1b8" isNormal="1">
            <s:text>
              <s:r>
                <s:t xml:space="preserve">Administrator:
5000822 2/24 768 pcs</s:t>
              </s:r>
            </s:text>
          </item>
        </commentChain>
      </unresolved>
      <resolved/>
    </commentChains>
    <commentChains s:ref="Q934" rgbClr="FF0000">
      <unresolved>
        <commentChain chainId="9b5c5b89bea666d23aba8c893940ce8b4441138e">
          <item id="bc57a3612bdbe6a8f402f42b7efada0a0e194a5b" isNormal="1">
            <s:text>
              <s:r>
                <s:t xml:space="preserve">Administrator:
5000864 3/7 96 pcs</s:t>
              </s:r>
            </s:text>
          </item>
        </commentChain>
      </unresolved>
      <resolved/>
    </commentChains>
    <commentChains s:ref="S934" rgbClr="FF0000">
      <unresolved>
        <commentChain chainId="f1481f6af438c9d48728065491ea50ef333b6c9b">
          <item id="12e81d5f5b6e2c31151d578b401003965219b16c" isNormal="1">
            <s:text>
              <s:r>
                <s:t xml:space="preserve">Administrator:
1/29 上baby UPC条码/进口商贴纸 288 pcs</s:t>
              </s:r>
            </s:text>
          </item>
        </commentChain>
      </unresolved>
      <resolved/>
    </commentChains>
    <commentChains s:ref="Q935" rgbClr="FF0000">
      <unresolved>
        <commentChain chainId="c68385d64dc19bd0290e3e733858eb8ed38bacd5">
          <item id="b94c3b4b87ed1084eb39281303277b2bdebf8e2e" isNormal="1">
            <s:text>
              <s:r>
                <s:t xml:space="preserve">Administrator:
5000864 3/7 96 pcs</s:t>
              </s:r>
            </s:text>
          </item>
        </commentChain>
      </unresolved>
      <resolved/>
    </commentChains>
    <commentChains s:ref="Q936" rgbClr="FF0000">
      <unresolved>
        <commentChain chainId="b82f194f8513ab625d990896e55622ea51e6cd22">
          <item id="ddef2755dac2f92a8dc18b6894cb4df4b08a5151" isNormal="1">
            <s:text>
              <s:r>
                <s:t xml:space="preserve">Administrator:
5000865 3/7 84 pcs
5000875 3/10 12 pcs</s:t>
              </s:r>
            </s:text>
          </item>
        </commentChain>
      </unresolved>
      <resolved/>
    </commentChains>
    <commentChains s:ref="Q937" rgbClr="FF0000">
      <unresolved>
        <commentChain chainId="71d97eb062bbc090ba6890320f5c51e8d37ca852">
          <item id="f868caf47af8ad55353e2581e2499d81dc7e4fd1" isNormal="1">
            <s:text>
              <s:r>
                <s:t xml:space="preserve">Administrator:
5000865 3/7 228 pcs
5000875 3/10 12 pcs</s:t>
              </s:r>
            </s:text>
          </item>
        </commentChain>
      </unresolved>
      <resolved/>
    </commentChains>
    <commentChains s:ref="S937" rgbClr="FF0000">
      <unresolved>
        <commentChain chainId="920e7c04e9584470964096e3855748e6e2607377">
          <item id="b469122c83d3dc7bb304713be8b7fbcc5954945e" isNormal="1">
            <s:text>
              <s:r>
                <s:t xml:space="preserve">Administrator:
2/5 上UPC/进口商贴纸 240 pcs</s:t>
              </s:r>
            </s:text>
          </item>
        </commentChain>
      </unresolved>
      <resolved/>
    </commentChains>
    <commentChains s:ref="Q938" rgbClr="FF0000">
      <unresolved>
        <commentChain chainId="2149601e717ab1586c8087ee8fb63b0b4e0196e4">
          <item id="74b0d95f232c489c1fdba6816df2a524a9dd9991" isNormal="1">
            <s:text>
              <s:r>
                <s:t xml:space="preserve">Administrator:
5000860 3/6 1422 pcs</s:t>
              </s:r>
            </s:text>
          </item>
        </commentChain>
      </unresolved>
      <resolved/>
    </commentChains>
    <commentChains s:ref="S938" rgbClr="FF0000">
      <unresolved>
        <commentChain chainId="49ca94fc8f40fb4d3b174059b323375adcd1be00">
          <item id="0a9babdd106342071265b05fd7762b4b7faa5d71" isNormal="1">
            <s:text>
              <s:r>
                <s:t xml:space="preserve">Administrator:
2/5 上WIC贴纸 10020 pcs</s:t>
              </s:r>
            </s:text>
          </item>
        </commentChain>
      </unresolved>
      <resolved/>
    </commentChains>
    <commentChains s:ref="Q939" rgbClr="FF0000">
      <unresolved>
        <commentChain chainId="3addebda2e4f3e23dd61802edbf132ce87ce817a">
          <item id="64068049f56541fe88ead77532bdbdf846930784" isNormal="1">
            <s:text>
              <s:r>
                <s:t xml:space="preserve">Administrator:
5000860 3/6 360 pcs</s:t>
              </s:r>
            </s:text>
          </item>
        </commentChain>
      </unresolved>
      <resolved/>
    </commentChains>
    <commentChains s:ref="Q940" rgbClr="FF0000">
      <unresolved>
        <commentChain chainId="059072c3449402c3951e7df4097bc34ae55ebdc1">
          <item id="5157731e7c15298b7cff18e3c2210a7eaa316831" isNormal="1">
            <s:text>
              <s:r>
                <s:t xml:space="preserve">Administrator:
5000860 3/6 1110 pcs</s:t>
              </s:r>
            </s:text>
          </item>
        </commentChain>
      </unresolved>
      <resolved/>
    </commentChains>
    <commentChains s:ref="Q941" rgbClr="FF0000">
      <unresolved>
        <commentChain chainId="15206c6237a0f87102ea7f2b9f2b289c178c3cde">
          <item id="b4b2a3a763fd68aed4cbdc243ac502723ab6a9f7" isNormal="1">
            <s:text>
              <s:r>
                <s:t xml:space="preserve">Administrator:
5000861 3/6 1056 pcs</s:t>
              </s:r>
            </s:text>
          </item>
        </commentChain>
      </unresolved>
      <resolved/>
    </commentChains>
    <commentChains s:ref="Q942" rgbClr="FF0000">
      <unresolved>
        <commentChain chainId="f2484a62a5df4bb64a003596bfef666252a3b891">
          <item id="f83b24a651d83c446373f6a7f807d538d3c51e55" isNormal="1">
            <s:text>
              <s:r>
                <s:t xml:space="preserve">Administrator:
5000861 3/6 900 pcs</s:t>
              </s:r>
            </s:text>
          </item>
        </commentChain>
      </unresolved>
      <resolved/>
    </commentChains>
    <commentChains s:ref="Q943" rgbClr="FF0000">
      <unresolved>
        <commentChain chainId="b81801bed45bc361b70dcaf216b4d2b1d630f7d6">
          <item id="ef446d0dec7b35900b92ec4164fcab401a03e1e9" isNormal="1">
            <s:text>
              <s:r>
                <s:t xml:space="preserve">Administrator:
5000861 3/6 1284 pcs</s:t>
              </s:r>
            </s:text>
          </item>
        </commentChain>
      </unresolved>
      <resolved/>
    </commentChains>
    <commentChains s:ref="Q944" rgbClr="FF0000">
      <unresolved>
        <commentChain chainId="d3be987c6234f6d2280bd33611896a6b21a3854d">
          <item id="08491d4d91addd41a8e93997bdce0514ead07bd9" isNormal="1">
            <s:text>
              <s:r>
                <s:t xml:space="preserve">Administrator:
5000861 3/6 1662 pcs</s:t>
              </s:r>
            </s:text>
          </item>
        </commentChain>
      </unresolved>
      <resolved/>
    </commentChains>
    <commentChains s:ref="Q945" rgbClr="FF0000">
      <unresolved>
        <commentChain chainId="25169329c54e25f433a5b21477907055393d1888">
          <item id="7f56a4dae8b009e32437d22a7b2074b1e39a2d93" isNormal="1">
            <s:text>
              <s:r>
                <s:t xml:space="preserve">Administrator:
5000861 3/6 1362 pcs</s:t>
              </s:r>
            </s:text>
          </item>
        </commentChain>
      </unresolved>
      <resolved/>
    </commentChains>
    <commentChains s:ref="Q946" rgbClr="FF0000">
      <unresolved>
        <commentChain chainId="03a3aa9741e5d9b541c6b7d5d65a7b0d7a1ffe61">
          <item id="67294fd2074320743c7d8fdb19a636261eadf250" isNormal="1">
            <s:text>
              <s:r>
                <s:t xml:space="preserve">Administrator:
5000861 3/6 864 pcs</s:t>
              </s:r>
            </s:text>
          </item>
        </commentChain>
      </unresolved>
      <resolved/>
    </commentChains>
    <commentChains s:ref="Q947" rgbClr="FF0000">
      <unresolved>
        <commentChain chainId="f9c5b47ac9bdfb1dfb23775b5ac810773bf525d1">
          <item id="6eb10c899c9236f6b7d67d31bec7221005013cc4" isNormal="1">
            <s:text>
              <s:r>
                <s:t xml:space="preserve">Administrator:
5000876 3/10 3000 pcs</s:t>
              </s:r>
            </s:text>
          </item>
        </commentChain>
      </unresolved>
      <resolved/>
    </commentChains>
    <commentChains s:ref="S947" rgbClr="FF0000">
      <unresolved>
        <commentChain chainId="b5c0234355becc8f77e0ac7de793687202245f98">
          <item id="ea9fb08d900138ec1d0e625bdbf0af8ebf85d6fc" isNormal="1">
            <s:text>
              <s:r>
                <s:t xml:space="preserve">Administrator:
3/4 上进口商/UPC贴纸 3000 pcs</s:t>
              </s:r>
            </s:text>
          </item>
        </commentChain>
      </unresolved>
      <resolved/>
    </commentChains>
    <commentChains s:ref="Q948" rgbClr="FF0000">
      <unresolved>
        <commentChain chainId="2f8345bca6de6b6aef0ba3fc6a336e367270bdc0">
          <item id="58259b93073327536f6b5ab8b26dc7d4689caa40" isNormal="1">
            <s:text>
              <s:r>
                <s:t xml:space="preserve">Administrator:
5000878 3/10 768 pcs</s:t>
              </s:r>
            </s:text>
          </item>
        </commentChain>
      </unresolved>
      <resolved/>
    </commentChains>
    <commentChains s:ref="S948" rgbClr="FF0000">
      <unresolved>
        <commentChain chainId="4360c08ec8994622808d35926c3b4ca91020bcad">
          <item id="8011ddffc1232e6d662f951c5fa3750a6c34eba8" isNormal="1">
            <s:text>
              <s:r>
                <s:t xml:space="preserve">Administrator:
2/9 上客版布标贴纸 7680 pcs
2/26 上RFID贴纸 3840 pcs
3/2  上RFID贴纸 3840 pcs</s:t>
              </s:r>
            </s:text>
          </item>
        </commentChain>
      </unresolved>
      <resolved/>
    </commentChains>
    <commentChains s:ref="Q949" rgbClr="FF0000">
      <unresolved>
        <commentChain chainId="a881bb369d5cc9a49a9fd8f11aa7c857f21a762b">
          <item id="80896f5e4796001e8ad77f2a2861a57e773b233a" isNormal="1">
            <s:text>
              <s:r>
                <s:t xml:space="preserve">Administrator:
5000878 3/10 1920 pcs</s:t>
              </s:r>
            </s:text>
          </item>
        </commentChain>
      </unresolved>
      <resolved/>
    </commentChains>
    <commentChains s:ref="Q950" rgbClr="FF0000">
      <unresolved>
        <commentChain chainId="63a4a2094acfbce15b291e037dd5a6a056f300d3">
          <item id="fb9f86b3818eb490ba0ef55649eed063c829bae9" isNormal="1">
            <s:text>
              <s:r>
                <s:t xml:space="preserve">Administrator:
5000878 3/10 768 pcs</s:t>
              </s:r>
            </s:text>
          </item>
        </commentChain>
      </unresolved>
      <resolved/>
    </commentChains>
    <commentChains s:ref="Q951" rgbClr="FF0000">
      <unresolved>
        <commentChain chainId="47201749ec2e61461acd74e2e71cee72c6e7dcbd">
          <item id="b16cce4a89a009a95466e6b6bc8025ffe76e985c" isNormal="1">
            <s:text>
              <s:r>
                <s:t xml:space="preserve">Administrator:
5000876 3/10 678 pcs</s:t>
              </s:r>
            </s:text>
          </item>
        </commentChain>
      </unresolved>
      <resolved/>
    </commentChains>
    <commentChains s:ref="Q952" rgbClr="FF0000">
      <unresolved>
        <commentChain chainId="08c6f62f5dbf258073abe9c974ef29b794dcadf7">
          <item id="3abd8a76c02caede8b5ef053a196627e26e1a595" isNormal="1">
            <s:text>
              <s:r>
                <s:t xml:space="preserve">Administrator:
5000878 3/10 1536 pcs</s:t>
              </s:r>
            </s:text>
          </item>
        </commentChain>
      </unresolved>
      <resolved/>
    </commentChains>
    <commentChains s:ref="Q953" rgbClr="FF0000">
      <unresolved>
        <commentChain chainId="474efbf0295e54b79711b1be777c25bfde977308">
          <item id="b424ce16a0dff9df5aed625b043e778542933374" isNormal="1">
            <s:text>
              <s:r>
                <s:t xml:space="preserve">Administrator:
5000878 3/10 768 pcs</s:t>
              </s:r>
            </s:text>
          </item>
        </commentChain>
      </unresolved>
      <resolved/>
    </commentChains>
    <commentChains s:ref="Q954" rgbClr="FF0000">
      <unresolved>
        <commentChain chainId="46602e8f256146934ff7d4057649b8a78bb40f39">
          <item id="3153d30399ea16ca33c581bc8f881b25c44ef246" isNormal="1">
            <s:text>
              <s:r>
                <s:t xml:space="preserve">Administrator:
5000878 3/10 1152 pcs</s:t>
              </s:r>
            </s:text>
          </item>
        </commentChain>
      </unresolved>
      <resolved/>
    </commentChains>
    <commentChains s:ref="Q955" rgbClr="FF0000">
      <unresolved>
        <commentChain chainId="3cc0c3c128795d39e869932c27a023ad8671e594">
          <item id="a8adce4fc860e3ad088f44c113f17080890afc1d" isNormal="1">
            <s:text>
              <s:r>
                <s:t xml:space="preserve">Administrator:
5000932 3/18 120 pcs</s:t>
              </s:r>
            </s:text>
          </item>
        </commentChain>
      </unresolved>
      <resolved/>
    </commentChains>
    <commentChains s:ref="S955" rgbClr="FF0000">
      <unresolved>
        <commentChain chainId="c726b20c8a515f10dd1674513d0be9043ef2d0aa">
          <item id="bd243667ad4c42f6d0176838383f08c4b1206f47" isNormal="1">
            <s:text>
              <s:r>
                <s:t xml:space="preserve">Administrator:
2/3 上UPC贴纸 120 pcs</s:t>
              </s:r>
            </s:text>
          </item>
        </commentChain>
      </unresolved>
      <resolved/>
    </commentChains>
    <commentChains s:ref="S956" rgbClr="FF0000">
      <unresolved>
        <commentChain chainId="7290ebe6b78ad12376a6f97a23fa2628bd67ffe1">
          <item id="851982bdf273e7b4461981ff43e9fc9911187887" isNormal="1">
            <s:text>
              <s:r>
                <s:t xml:space="preserve">Administrator:
3/6  上UPC贴纸 12 pcs
3/18 上外箱贴纸 1、pcs</s:t>
              </s:r>
            </s:text>
          </item>
        </commentChain>
      </unresolved>
      <resolved/>
    </commentChains>
    <commentChains s:ref="Q957" rgbClr="FF0000">
      <unresolved>
        <commentChain chainId="fe9387b08d6b4fd553d7a8c06fd489ec8e0a18e9">
          <item id="aa3618798a80df0808028539f627f08a1d09673c" isNormal="1">
            <s:text>
              <s:r>
                <s:t xml:space="preserve">Administrator:
5000942 3/25 3600 pcs</s:t>
              </s:r>
            </s:text>
          </item>
        </commentChain>
      </unresolved>
      <resolved/>
    </commentChains>
    <commentChains s:ref="S957" rgbClr="FF0000">
      <unresolved>
        <commentChain chainId="cae6f7430c0e9256a375b1f290856a3808f43022">
          <item id="343e7b8ab17cc59de666d01a83e37499ace5d96b" isNormal="1">
            <s:text>
              <s:r>
                <s:t xml:space="preserve">Administrator:
3/12 上价格贴纸 3600 pcs</s:t>
              </s:r>
            </s:text>
          </item>
        </commentChain>
      </unresolved>
      <resolved/>
    </commentChains>
    <commentChains s:ref="Q958" rgbClr="FF0000">
      <unresolved>
        <commentChain chainId="b43dbf8939ee76aafeb9adb8453f0d03586294fc">
          <item id="2f1700dd039f3b2a454d7e81354201884a670fd6" isNormal="1">
            <s:text>
              <s:r>
                <s:t xml:space="preserve">Administrator:
5000949 3/25 720 pcs</s:t>
              </s:r>
            </s:text>
          </item>
        </commentChain>
      </unresolved>
      <resolved/>
    </commentChains>
    <commentChains s:ref="S958" rgbClr="FF0000">
      <unresolved>
        <commentChain chainId="eb3269ed7a85ba202fc7bd1832abac30e711e233">
          <item id="2e7a393b20f711fe1916fce9a20ac7bfbca58e1f" isNormal="1">
            <s:text>
              <s:r>
                <s:t xml:space="preserve">Administrator:
1/26 上客供价格贴纸 756 pcs</s:t>
              </s:r>
            </s:text>
          </item>
        </commentChain>
      </unresolved>
      <resolved/>
    </commentChains>
    <commentChains s:ref="Q959" rgbClr="FF0000">
      <unresolved>
        <commentChain chainId="5a0fd3d3bdaf45b4dbcbb51b444744dc0506d013">
          <item id="47b2d3bf249098f10ba23f9cecdff34eb9be5d0b" isNormal="1">
            <s:text>
              <s:r>
                <s:t xml:space="preserve">Administrator:
1602038 3/28 720 pcs</s:t>
              </s:r>
            </s:text>
          </item>
        </commentChain>
      </unresolved>
      <resolved/>
    </commentChains>
    <commentChains s:ref="S959" rgbClr="FF0000">
      <unresolved>
        <commentChain chainId="9f2ec491980d6202c90ab532f2cae828982b2343">
          <item id="6a804dc757d805ddf8136ac0ac5006217114d661" isNormal="1">
            <s:text>
              <s:r>
                <s:t xml:space="preserve">Administrator:
3/16 上进口商贴纸 720 pcs</s:t>
              </s:r>
            </s:text>
          </item>
        </commentChain>
      </unresolved>
      <resolved/>
    </commentChains>
    <commentChains s:ref="Q960" rgbClr="FF0000">
      <unresolved>
        <commentChain chainId="16e1b0e3896e5b2439655d2f3d566bd6edf7450e">
          <item id="b1a2523dd4611c3ffb42dd409557d561bff8ddb5" isNormal="1">
            <s:text>
              <s:r>
                <s:t xml:space="preserve">Administrator:
1602085 4/6 6 pcs
1602066 4/4 1794 pcs</s:t>
              </s:r>
            </s:text>
          </item>
        </commentChain>
      </unresolved>
      <resolved/>
    </commentChains>
    <commentChains s:ref="S960" rgbClr="FF0000">
      <unresolved>
        <commentChain chainId="df8d4a7915612f1258fd4b6f9bf8ac57248b71d2">
          <item id="f277714f558c20d804c5675cffa96649855ff6e7" isNormal="1">
            <s:text>
              <s:r>
                <s:t xml:space="preserve">Administrator:
3/16 上客供价格贴纸 1890 pcs</s:t>
              </s:r>
            </s:text>
          </item>
        </commentChain>
      </unresolved>
      <resolved/>
    </commentChains>
    <commentChains s:ref="Q961" rgbClr="FF0000">
      <unresolved>
        <commentChain chainId="5893005ac5482bf1aa172fb977f4fe057d7a73cd">
          <item id="a42782a088acca10c814f2015d464b6c5660d71a" isNormal="1">
            <s:text>
              <s:r>
                <s:t xml:space="preserve">Administrator:
1602085 4/6 6 pcs
1602066 4/4 1794 pcs</s:t>
              </s:r>
            </s:text>
          </item>
        </commentChain>
      </unresolved>
      <resolved/>
    </commentChains>
    <commentChains s:ref="S961" rgbClr="FF0000">
      <unresolved>
        <commentChain chainId="14d13575f4aebb6e77dcf6f353b1ece13192a193">
          <item id="41c9e4c30503cac29ba266fc7d5c9ae68045287e" isNormal="1">
            <s:text>
              <s:r>
                <s:t xml:space="preserve">Administrator:
3/16 上客供价格贴纸 1890 pcs</s:t>
              </s:r>
            </s:text>
          </item>
        </commentChain>
      </unresolved>
      <resolved/>
    </commentChains>
    <commentChains s:ref="Q962" rgbClr="FF0000">
      <unresolved>
        <commentChain chainId="2c488c04b0d77715c7b7c217f1cb1c9413b7dce0">
          <item id="7035901804f4b3af6698aec0ae644fc3afb2fe5a" isNormal="1">
            <s:text>
              <s:r>
                <s:t xml:space="preserve">Administrator:
1602085 4/6 12 pcs
1602066 4/4 168 pcs</s:t>
              </s:r>
            </s:text>
          </item>
        </commentChain>
      </unresolved>
      <resolved/>
    </commentChains>
    <commentChains s:ref="S962" rgbClr="FF0000">
      <unresolved>
        <commentChain chainId="3af14f52fb0fbc3cff262e820ba0c6eb96ded19c">
          <item id="d6a9357d8b7beab6e7982586689767d99c17effa" isNormal="1">
            <s:text>
              <s:r>
                <s:t xml:space="preserve">Administrator:
3/20 上UPC贴纸 180 pcs</s:t>
              </s:r>
            </s:text>
          </item>
        </commentChain>
      </unresolved>
      <resolved/>
    </commentChains>
    <commentChains s:ref="Q963" rgbClr="FF0000">
      <unresolved>
        <commentChain chainId="d3932b81e2bc91298339b2622b9910db9bb61b47">
          <item id="c6f96f1acbffd80597a1564d5465616f441187af" isNormal="1">
            <s:text>
              <s:r>
                <s:t xml:space="preserve">Administrator:
1602067 4/4 1488 pcs
1602093 4/8 12 PCS </s:t>
              </s:r>
            </s:text>
          </item>
        </commentChain>
      </unresolved>
      <resolved/>
    </commentChains>
    <commentChains s:ref="S963" rgbClr="FF0000">
      <unresolved>
        <commentChain chainId="112648f5c0ccb949ab4ad39be28ded4b2471a879">
          <item id="bb12756556fa891baa9c0157f090fd85dcfe4f73" isNormal="1">
            <s:text>
              <s:r>
                <s:t xml:space="preserve">Administrator:
3/16 上白色防盗贴纸 1500 pcs
3/27 上Kmart外箱贴纸 125 pcs</s:t>
              </s:r>
            </s:text>
          </item>
        </commentChain>
      </unresolved>
      <resolved/>
    </commentChains>
    <commentChains s:ref="Q964" rgbClr="FF0000">
      <unresolved>
        <commentChain chainId="57e3e200c59acafb461f8b3026798518e4435570">
          <item id="18c1b4805dd8f001a57670777aba7f90e288f62c" isNormal="1">
            <s:text>
              <s:r>
                <s:t xml:space="preserve">Administrator:
1602067 4/4 24 pcs</s:t>
              </s:r>
            </s:text>
          </item>
        </commentChain>
      </unresolved>
      <resolved/>
    </commentChains>
    <commentChains s:ref="S964" rgbClr="FF0000">
      <unresolved>
        <commentChain chainId="c7e5917d774588bda926adc7ae04d33979e80b92">
          <item id="1b0544bb12552eaa3c2b3324772c9c7cc893383f" isNormal="1">
            <s:text>
              <s:r>
                <s:t xml:space="preserve">Administrator:
3/16 上UPC贴纸 60 pcs
     抢外箱贴纸</s:t>
              </s:r>
            </s:text>
          </item>
        </commentChain>
      </unresolved>
      <resolved/>
    </commentChains>
    <commentChains s:ref="Q965" rgbClr="FF0000">
      <unresolved>
        <commentChain chainId="58eb8d121bdc8d978007230b2dc77c5239ffac3c">
          <item id="af0cbc87aa081cd691d9d83cc8f55b9342d2a883" isNormal="1">
            <s:text>
              <s:r>
                <s:t xml:space="preserve">Administrator:
1602067 4/4 12 pcs</s:t>
              </s:r>
            </s:text>
          </item>
        </commentChain>
      </unresolved>
      <resolved/>
    </commentChains>
    <commentChains s:ref="Q966" rgbClr="FF0000">
      <unresolved>
        <commentChain chainId="24d5d2303dcc599a5795017db6fc683b58224b8c">
          <item id="12fcbb416dfdc4f3fe0347ba6dbdfc89131cfc9c" isNormal="1">
            <s:text>
              <s:r>
                <s:t xml:space="preserve">Administrator:
1602067 4/4 12 pcs</s:t>
              </s:r>
            </s:text>
          </item>
        </commentChain>
      </unresolved>
      <resolved/>
    </commentChains>
    <commentChains s:ref="Q967" rgbClr="FF0000">
      <unresolved>
        <commentChain chainId="d558deebf01777fc4998517d0737ec04fbd5f3e6">
          <item id="75a3f36e259d3e49720b46eb84307341c0db868f" isNormal="1">
            <s:text>
              <s:r>
                <s:t xml:space="preserve">Administrator:
1602067 4/4 12 pcs</s:t>
              </s:r>
            </s:text>
          </item>
        </commentChain>
      </unresolved>
      <resolved/>
    </commentChains>
    <commentChains s:ref="Q968" rgbClr="FF0000">
      <unresolved>
        <commentChain chainId="848e65ae717d0745bc63090c6bd722551511eb1a">
          <item id="afa8c5515ad6686c1e3e2b579833df8a9371eeef" isNormal="1">
            <s:text>
              <s:r>
                <s:t xml:space="preserve">Administrator:
1602081 4/4 12 pcs</s:t>
              </s:r>
            </s:text>
          </item>
        </commentChain>
      </unresolved>
      <resolved/>
    </commentChains>
    <commentChains s:ref="S968" rgbClr="FF0000">
      <unresolved>
        <commentChain chainId="5785a790d2eefaf2496893bbccf364f16b0a1783">
          <item id="5fafae214d75877e0d698ee418de530628eedf46" isNormal="1">
            <s:text>
              <s:r>
                <s:t xml:space="preserve">Administrator:
3/16 上UPC贴纸 120 pcs
3/18 上外箱贴纸 15 PCS</s:t>
              </s:r>
            </s:text>
          </item>
        </commentChain>
      </unresolved>
      <resolved/>
    </commentChains>
    <commentChains s:ref="Q969" rgbClr="FF0000">
      <unresolved>
        <commentChain chainId="307f8b16d85df52d8fb13575ed7ac032054233b7">
          <item id="d7fd7393889c544c6816c5a4e29f78b5d170611d" isNormal="1">
            <s:text>
              <s:r>
                <s:t xml:space="preserve">Administrator:
1602081 4/4 12 pcs</s:t>
              </s:r>
            </s:text>
          </item>
        </commentChain>
      </unresolved>
      <resolved/>
    </commentChains>
    <commentChains s:ref="Q970" rgbClr="FF0000">
      <unresolved>
        <commentChain chainId="98762ea9c31c98851bb5fa2630bec327eb79cd65">
          <item id="ea0894994a0cdb7299453402845ff7e33237c719" isNormal="1">
            <s:text>
              <s:r>
                <s:t xml:space="preserve">Administrator:
1602081 4/4 48 pcs</s:t>
              </s:r>
            </s:text>
          </item>
        </commentChain>
      </unresolved>
      <resolved/>
    </commentChains>
    <commentChains s:ref="Q971" rgbClr="FF0000">
      <unresolved>
        <commentChain chainId="ca54dfb7a5cc0d6b58a7443756a5fa0bf3826e8c">
          <item id="4598903f3e51ca871dee2d0e5eb1e72e2473355c" isNormal="1">
            <s:text>
              <s:r>
                <s:t xml:space="preserve">Administrator:
1602081 4/4 12 pcs</s:t>
              </s:r>
            </s:text>
          </item>
        </commentChain>
      </unresolved>
      <resolved/>
    </commentChains>
    <commentChains s:ref="Q972" rgbClr="FF0000">
      <unresolved>
        <commentChain chainId="1aa15cf92276a4b5e12e0c44b3591e8fe0c4902c">
          <item id="ee582128e59e6245769d67d913cc333bb2f87702" isNormal="1">
            <s:text>
              <s:r>
                <s:t xml:space="preserve">Administrator:
1602081 4/4 12 pcs</s:t>
              </s:r>
            </s:text>
          </item>
        </commentChain>
      </unresolved>
      <resolved/>
    </commentChains>
    <commentChains s:ref="Q973" rgbClr="FF0000">
      <unresolved>
        <commentChain chainId="f5c7f092810c17c88cd98c213585c212cf054655">
          <item id="57843719542a592302ef2c7f9063c84d0094859f" isNormal="1">
            <s:text>
              <s:r>
                <s:t xml:space="preserve">Administrator:
1602081 4/4 12 pcs</s:t>
              </s:r>
            </s:text>
          </item>
        </commentChain>
      </unresolved>
      <resolved/>
    </commentChains>
    <commentChains s:ref="Q974" rgbClr="FF0000">
      <unresolved>
        <commentChain chainId="0dccb13c6e8e22b6f2ecfe5c52d1d43df4a60b17">
          <item id="6a5f6b7290273f75abb042ed04dbc9896433c754" isNormal="1">
            <s:text>
              <s:r>
                <s:t xml:space="preserve">Administrator:
1602081 4/4 12 pcs</s:t>
              </s:r>
            </s:text>
          </item>
        </commentChain>
      </unresolved>
      <resolved/>
    </commentChains>
    <commentChains s:ref="Q975" rgbClr="FF0000">
      <unresolved>
        <commentChain chainId="32b7f22d340b361dd0dbab8882f2576e308d4921">
          <item id="e967bd311b1e5d9b8d440cc63deda9d787a08ab0" isNormal="1">
            <s:text>
              <s:r>
                <s:t xml:space="preserve">Administrator:
1602087 4/7 834 pcs</s:t>
              </s:r>
            </s:text>
          </item>
        </commentChain>
      </unresolved>
      <resolved/>
    </commentChains>
    <commentChains s:ref="S975" rgbClr="FF0000">
      <unresolved>
        <commentChain chainId="60d4becbbe5c9d0432067a04a3bfbfd262e71eca">
          <item id="39c6d4cc5c7eeb60d1c59f5d9a0d6a0c1c0f0839" isNormal="1">
            <s:text>
              <s:r>
                <s:t xml:space="preserve">Administrator:
3/18 上WIC贴纸 10050 pcs</s:t>
              </s:r>
            </s:text>
          </item>
        </commentChain>
      </unresolved>
      <resolved/>
    </commentChains>
    <commentChains s:ref="Q976" rgbClr="FF0000">
      <unresolved>
        <commentChain chainId="47d55ef57823f83eae48c75cddc7dc10bc51c710">
          <item id="186bd5bc30612e424aee92b836f292c4ed258a5c" isNormal="1">
            <s:text>
              <s:r>
                <s:t xml:space="preserve">Administrator:
1602087 4/7 864 pcs</s:t>
              </s:r>
            </s:text>
          </item>
        </commentChain>
      </unresolved>
      <resolved/>
    </commentChains>
    <commentChains s:ref="Q977" rgbClr="FF0000">
      <unresolved>
        <commentChain chainId="5daf1a042a0d62d46e3bdb048e82c61adf7cf29b">
          <item id="e666ff6d43e425f93a23bf41cc4da01edecf0f94" isNormal="1">
            <s:text>
              <s:r>
                <s:t xml:space="preserve">Administrator:
1602087 4/7 1074 pcs
1602090 4/7 1338 PCS </s:t>
              </s:r>
            </s:text>
          </item>
        </commentChain>
      </unresolved>
      <resolved/>
    </commentChains>
    <commentChains s:ref="Q978" rgbClr="FF0000">
      <unresolved>
        <commentChain chainId="e6b7f28cd92289be0be53d65a279c32b012edd05">
          <item id="5f322c9aa849a716acce089bc39016fdf5e033e8" isNormal="1">
            <s:text>
              <s:r>
                <s:t xml:space="preserve">Administrator:
1602090 4/7 2016 PCS </s:t>
              </s:r>
            </s:text>
          </item>
        </commentChain>
      </unresolved>
      <resolved/>
    </commentChains>
    <commentChains s:ref="Q979" rgbClr="FF0000">
      <unresolved>
        <commentChain chainId="12dcb5381d123cd81a1832b12b383944ee6eaa4a">
          <item id="d7106027f12c5522b1287e0191a8fb27a525fbf4" isNormal="1">
            <s:text>
              <s:r>
                <s:t xml:space="preserve">Administrator:
1602090 4/7 444 PCS </s:t>
              </s:r>
            </s:text>
          </item>
        </commentChain>
      </unresolved>
      <resolved/>
    </commentChains>
    <commentChains s:ref="Q980" rgbClr="FF0000">
      <unresolved>
        <commentChain chainId="8ae2f9ee7768e86570ae722eeee39c3f0bb9e9ea">
          <item id="af663caa4611366bd7f3b039a86bd95de52693dc" isNormal="1">
            <s:text>
              <s:r>
                <s:t xml:space="preserve">Administrator:
1602090 4/7 1440 PCS </s:t>
              </s:r>
            </s:text>
          </item>
        </commentChain>
      </unresolved>
      <resolved/>
    </commentChains>
    <commentChains s:ref="Q981" rgbClr="FF0000">
      <unresolved>
        <commentChain chainId="1ffd2dbb86100292b4c1e37c3465cb2a5b7d1026">
          <item id="eed9374815a9febe77a6560e383c119bc2ec05ba" isNormal="1">
            <s:text>
              <s:r>
                <s:t xml:space="preserve">Administrator:
1602090 4/7 1962 PCS 
1602093 4/8 78 PCS </s:t>
              </s:r>
            </s:text>
          </item>
        </commentChain>
      </unresolved>
      <resolved/>
    </commentChains>
    <commentChains s:ref="Q982" rgbClr="FF0000">
      <unresolved>
        <commentChain chainId="3db689e2b9b596c25975083ce21e56885539ee07">
          <item id="8e91d452aeba74c7ac1d6dccbab2dd10f15b88bd" isNormal="1">
            <s:text>
              <s:r>
                <s:t xml:space="preserve">Administrator:
1602194 4/18 2400 pcs</s:t>
              </s:r>
            </s:text>
          </item>
        </commentChain>
      </unresolved>
      <resolved/>
    </commentChains>
    <commentChains s:ref="S982" rgbClr="FF0000">
      <unresolved>
        <commentChain chainId="a1656224fd9b019253bdbc456a4c7206e03d63b8">
          <item id="686e3c836c2be50cb98a2152dbc35aee77c3f48c" isNormal="1">
            <s:text>
              <s:r>
                <s:t xml:space="preserve">Administrator:
3/19 上客供价格贴纸 2640 pcs</s:t>
              </s:r>
            </s:text>
          </item>
        </commentChain>
      </unresolved>
      <resolved/>
    </commentChains>
    <commentChains s:ref="Q983" rgbClr="FF0000">
      <unresolved>
        <commentChain chainId="cc27ddd06cdf110774be7c0dd421dd5bf5af4529">
          <item id="3fc3a6ea997a00fde7d4acd49d6ddef4cb1c5755" isNormal="1">
            <s:text>
              <s:r>
                <s:t xml:space="preserve">Administrator:
1602194 4/18 480 pcs</s:t>
              </s:r>
            </s:text>
          </item>
        </commentChain>
      </unresolved>
      <resolved/>
    </commentChains>
    <commentChains s:ref="S983" rgbClr="FF0000">
      <unresolved>
        <commentChain chainId="8cd14b53c479237c9796bcd184a938d08489acde">
          <item id="50fff04c6e3015dbb17c310d5131ad37fd900b5b" isNormal="1">
            <s:text>
              <s:r>
                <s:t xml:space="preserve">Administrator:
4/2 上客供价格贴纸 528 pcs</s:t>
              </s:r>
            </s:text>
          </item>
        </commentChain>
      </unresolved>
      <resolved/>
    </commentChains>
    <commentChains s:ref="Q984" rgbClr="FF0000">
      <unresolved>
        <commentChain chainId="308bcdfa74d8021de91de41c02f6188d3be2cf5a">
          <item id="92dd8080b569f02d02cec3fa877e0ab5814d1c03" isNormal="1">
            <s:text>
              <s:r>
                <s:t xml:space="preserve">Administrator:
1602194 4/18 408 pcs</s:t>
              </s:r>
            </s:text>
          </item>
        </commentChain>
      </unresolved>
      <resolved/>
    </commentChains>
    <commentChains s:ref="S984" rgbClr="FF0000">
      <unresolved>
        <commentChain chainId="5a7c047487364607fd0ff34aca294d445810479c">
          <item id="97c63ad045d8da0154f5337a8a128f52c5f9f515" isNormal="1">
            <s:text>
              <s:r>
                <s:t xml:space="preserve">Administrator:
4/2 上客供价格贴纸 449 pcs</s:t>
              </s:r>
            </s:text>
          </item>
        </commentChain>
      </unresolved>
      <resolved/>
    </commentChains>
    <commentChains s:ref="Q985" rgbClr="FF0000">
      <unresolved>
        <commentChain chainId="2d183345bc3f91f94e5d157ce64da481637ea602">
          <item id="a9dfeeaaba8c1cd412e29094d881c8cbfc4ae5fe" isNormal="1">
            <s:text>
              <s:r>
                <s:t xml:space="preserve">Administrator:
1602194 4/18 360 pcs</s:t>
              </s:r>
            </s:text>
          </item>
        </commentChain>
      </unresolved>
      <resolved/>
    </commentChains>
    <commentChains s:ref="S985" rgbClr="FF0000">
      <unresolved>
        <commentChain chainId="e981e4b0b37bf4d9f5d9f8cfd735678241839df6">
          <item id="16d7a6819187c930450aef39c5c58d00561a4133" isNormal="1">
            <s:text>
              <s:r>
                <s:t xml:space="preserve">Administrator:
4/2 上客供价格贴纸 396 pcs</s:t>
              </s:r>
            </s:text>
          </item>
        </commentChain>
      </unresolved>
      <resolved/>
    </commentChains>
    <commentChains s:ref="Q986" rgbClr="FF0000">
      <unresolved>
        <commentChain chainId="6ede71f0d2d687891e31c268105f9a37ef39efbf">
          <item id="fca737972e0c818496a0d3a710b0e408a9eaae69" isNormal="1">
            <s:text>
              <s:r>
                <s:t xml:space="preserve">Administrator:
1602194 4/18 360 pcs</s:t>
              </s:r>
            </s:text>
          </item>
        </commentChain>
      </unresolved>
      <resolved/>
    </commentChains>
    <commentChains s:ref="S986" rgbClr="FF0000">
      <unresolved>
        <commentChain chainId="ffd7e941a7d35c7ea98c6e2636ce394b46d58086">
          <item id="ab893420a75c56a31e0130debef93c4a2059b741" isNormal="1">
            <s:text>
              <s:r>
                <s:t xml:space="preserve">Administrator:
4/2 上客供价格贴纸 396 pcs</s:t>
              </s:r>
            </s:text>
          </item>
        </commentChain>
      </unresolved>
      <resolved/>
    </commentChains>
    <commentChains s:ref="Q987" rgbClr="FF0000">
      <unresolved>
        <commentChain chainId="ca8419a08c83fd1e6e4c73154401d2432377277d">
          <item id="6cb279b686eb0a1a35d60afe24f5e15d05d05056" isNormal="1">
            <s:text>
              <s:r>
                <s:t xml:space="preserve">Administrator:
1602194 4/18 360 pcs</s:t>
              </s:r>
            </s:text>
          </item>
        </commentChain>
      </unresolved>
      <resolved/>
    </commentChains>
    <commentChains s:ref="S987" rgbClr="FF0000">
      <unresolved>
        <commentChain chainId="1381ff04ac65b8a4983a6e87029521933802fd13">
          <item id="a4608879f4b7df2532b4e919d79944a2e375fea2" isNormal="1">
            <s:text>
              <s:r>
                <s:t xml:space="preserve">Administrator:
4/2 上客供价格贴纸 396 pcs</s:t>
              </s:r>
            </s:text>
          </item>
        </commentChain>
      </unresolved>
      <resolved/>
    </commentChains>
    <commentChains s:ref="Q988" rgbClr="FF0000">
      <unresolved>
        <commentChain chainId="39ea8903e616c4bae26edc1d3540dadd6496a524">
          <item id="cb562c76ae45c7230aa4e8421758f90ca4c873f9" isNormal="1">
            <s:text>
              <s:r>
                <s:t xml:space="preserve">Administrator:
1601717 4/21 2202 pcs</s:t>
              </s:r>
            </s:text>
          </item>
        </commentChain>
      </unresolved>
      <resolved/>
    </commentChains>
    <commentChains s:ref="S988" rgbClr="FF0000">
      <unresolved>
        <commentChain chainId="3e555165bd3bc44b72f59ae8a3bb19f4fc5926a8">
          <item id="bded877a8fd37211a89bda5ab4f5795c96ed160f" isNormal="1">
            <s:text>
              <s:r>
                <s:t xml:space="preserve">Administrator:
3/19 上客供价格贴纸 2423 pcs</s:t>
              </s:r>
            </s:text>
          </item>
        </commentChain>
      </unresolved>
      <resolved/>
    </commentChains>
    <commentChains s:ref="Q989" rgbClr="FF0000">
      <unresolved>
        <commentChain chainId="d9ec876b8d0a8cc6e5771f2280eeaab83cc1b97f">
          <item id="e8c85d4c361895ffea576525ec8c47379e39d19b" isNormal="1">
            <s:text>
              <s:r>
                <s:t xml:space="preserve">Administrator:
1601725 4/23 744 pcs</s:t>
              </s:r>
            </s:text>
          </item>
        </commentChain>
      </unresolved>
      <resolved/>
    </commentChains>
    <commentChains s:ref="S989" rgbClr="FF0000">
      <unresolved>
        <commentChain chainId="c3ef55a10986d59b0fea4e908b59ac2f85136788">
          <item id="7df618641b041bba7206018d02e88b7b12ff63fd" isNormal="1">
            <s:text>
              <s:r>
                <s:t xml:space="preserve">Administrator:
4/3  上价格贴纸 788 pcs</s:t>
              </s:r>
            </s:text>
          </item>
        </commentChain>
      </unresolved>
      <resolved/>
    </commentChains>
    <commentChains s:ref="Q990" rgbClr="FF0000">
      <unresolved>
        <commentChain chainId="7ea07dde2833f4fa703de5891e89c1d4cb96ba4f">
          <item id="ba2a1edc1d216205e1d701ec8fb37f51cd0d68a8" isNormal="1">
            <s:text>
              <s:r>
                <s:t xml:space="preserve">Administrator:
1601745 4/23 456 pcs</s:t>
              </s:r>
            </s:text>
          </item>
        </commentChain>
      </unresolved>
      <resolved/>
    </commentChains>
    <commentChains s:ref="S990" rgbClr="FF0000">
      <unresolved>
        <commentChain chainId="eeba3af32ed17c01087137fc134627f3a04adf16">
          <item id="5b9b8bebde000a28acc835dd67b9c3ad6db96f6c" isNormal="1">
            <s:text>
              <s:r>
                <s:t xml:space="preserve">Administrator:
4/3  上价格贴纸 473 pcs</s:t>
              </s:r>
            </s:text>
          </item>
        </commentChain>
      </unresolved>
      <resolved/>
    </commentChains>
    <commentChains s:ref="Q991" rgbClr="FF0000">
      <unresolved>
        <commentChain chainId="755c3f9a9827254577c976d389bf528ff010c7d7">
          <item id="753e47942a3f53bfa3c2b90d456dd88bdb38aee9" isNormal="1">
            <s:text>
              <s:r>
                <s:t xml:space="preserve">Administrator:
1402878 4/27 504 pcs
</s:t>
              </s:r>
            </s:text>
          </item>
        </commentChain>
      </unresolved>
      <resolved/>
    </commentChains>
    <commentChains s:ref="Q992" rgbClr="FF0000">
      <unresolved>
        <commentChain chainId="cd1c4aa65cfa7287c9d4644c04805a2c6a1bc47f">
          <item id="2f83b4c73381341c689e50d844975b5e74531c18" isNormal="1">
            <s:text>
              <s:r>
                <s:t xml:space="preserve">Administrator:
1402892 4/28 12 pcs</s:t>
              </s:r>
            </s:text>
          </item>
        </commentChain>
      </unresolved>
      <resolved/>
    </commentChains>
    <commentChains s:ref="S992" rgbClr="FF0000">
      <unresolved>
        <commentChain chainId="72c00ce3c6baa7474bd9a000a8fbff177cd2e167">
          <item id="9ac4486738bd884a88fc4458e4be13666c882387" isNormal="1">
            <s:text>
              <s:r>
                <s:t xml:space="preserve">Administrator:
4/13 上UPC贴纸 36 PCS
4/17 上外箱贴纸 3PCS</s:t>
              </s:r>
            </s:text>
          </item>
        </commentChain>
      </unresolved>
      <resolved/>
    </commentChains>
    <commentChains s:ref="Q993" rgbClr="FF0000">
      <unresolved>
        <commentChain chainId="4f8d7ea2fd66bd3ae81e654898d89a848f1460fb">
          <item id="94538decf0ed4dbe467d07fc0a2a7b1bbd7a95ac" isNormal="1">
            <s:text>
              <s:r>
                <s:t xml:space="preserve">Administrator:
1402892 4/28 12 pcs</s:t>
              </s:r>
            </s:text>
          </item>
        </commentChain>
      </unresolved>
      <resolved/>
    </commentChains>
    <commentChains s:ref="Q994" rgbClr="FF0000">
      <unresolved>
        <commentChain chainId="d8f5ff5610bb4ccc593c7fdea58a99bedd4ca476">
          <item id="ff1d1b8c5b91fdb85624a27e64e1585f72d911c7" isNormal="1">
            <s:text>
              <s:r>
                <s:t xml:space="preserve">Administrator:
1402892 4/28 12 pcs</s:t>
              </s:r>
            </s:text>
          </item>
        </commentChain>
      </unresolved>
      <resolved/>
    </commentChains>
    <commentChains s:ref="Q995" rgbClr="FF0000">
      <unresolved>
        <commentChain chainId="954b73b29ea45c5922705b6cb7abb4c9301a723a">
          <item id="ab14418df7bb2136c65c24fbabca8c450641a1f1" isNormal="1">
            <s:text>
              <s:r>
                <s:t xml:space="preserve">Administrator:
1402892 4/28 12 pcs</s:t>
              </s:r>
            </s:text>
          </item>
        </commentChain>
      </unresolved>
      <resolved/>
    </commentChains>
    <commentChains s:ref="S995" rgbClr="FF0000">
      <unresolved>
        <commentChain chainId="31a76a7284af3d7d30470510c4e14157c01b5068">
          <item id="19f7dca72f56e5cf55333be08dcd60cac626a7d2" isNormal="1">
            <s:text>
              <s:r>
                <s:t xml:space="preserve">Administrator:
4/13 上UPC贴纸 12 PCS
4/17 上外箱贴纸 1 pcs</s:t>
              </s:r>
            </s:text>
          </item>
        </commentChain>
      </unresolved>
      <resolved/>
    </commentChains>
    <commentChains s:ref="Q996" rgbClr="FF0000">
      <unresolved>
        <commentChain chainId="0c37e2fd7cfe27871bacb25ad78a92b536af57c5">
          <item id="3838cf482f5e64694f76c81368b72bb2e1ada069" isNormal="1">
            <s:text>
              <s:r>
                <s:t xml:space="preserve">Administrator:
1402892 4/28 12 pcs</s:t>
              </s:r>
            </s:text>
          </item>
        </commentChain>
      </unresolved>
      <resolved/>
    </commentChains>
    <commentChains s:ref="S996" rgbClr="FF0000">
      <unresolved>
        <commentChain chainId="27fe1e0807be7febeb1ad8022cf0dc2e74c3f2d5">
          <item id="2bb3ab192f215df46a28707c054f0a861db5ef87" isNormal="1">
            <s:text>
              <s:r>
                <s:t xml:space="preserve">Administrator:
4/13 上UPC贴纸 36 PCS
4/17 上外箱贴纸 3PCS</s:t>
              </s:r>
            </s:text>
          </item>
        </commentChain>
      </unresolved>
      <resolved/>
    </commentChains>
    <commentChains s:ref="Q997" rgbClr="FF0000">
      <unresolved>
        <commentChain chainId="e974bc658e5883632685c21d133f67783c00e5b4">
          <item id="dbf684227cdd361fc3274052d4daa82d0e283e5b" isNormal="1">
            <s:text>
              <s:r>
                <s:t xml:space="preserve">Administrator:
1402892 4/28 12 pcs</s:t>
              </s:r>
            </s:text>
          </item>
        </commentChain>
      </unresolved>
      <resolved/>
    </commentChains>
    <commentChains s:ref="Q998" rgbClr="FF0000">
      <unresolved>
        <commentChain chainId="eeed756881ffe0f644a10df0dd9ed7b15f61093c">
          <item id="1030137f9862a8becd102c467facaf6a028608b6" isNormal="1">
            <s:text>
              <s:r>
                <s:t xml:space="preserve">Administrator:
1402892 4/28 12 pcs</s:t>
              </s:r>
            </s:text>
          </item>
        </commentChain>
      </unresolved>
      <resolved/>
    </commentChains>
    <commentChains s:ref="Q999" rgbClr="FF0000">
      <unresolved>
        <commentChain chainId="fd12dd84b8573e1fc8359665d6e1dbc5c06d2562">
          <item id="3f1223233382df0d80184626dfbc8bcab0bb0f96" isNormal="1">
            <s:text>
              <s:r>
                <s:t xml:space="preserve">Administrator:
1402892 4/28 12 pcs</s:t>
              </s:r>
            </s:text>
          </item>
        </commentChain>
      </unresolved>
      <resolved/>
    </commentChains>
    <commentChains s:ref="S999" rgbClr="FF0000">
      <unresolved>
        <commentChain chainId="cd41e6e6aa2659e5202e279d61347aed06f790a6">
          <item id="1649e30b9e081319e31b92993ee189b65cac5290" isNormal="1">
            <s:text>
              <s:r>
                <s:t xml:space="preserve">Administrator:
4/13 上UPC贴纸 12 PCS
4/17 上外箱贴纸 1 pcs</s:t>
              </s:r>
            </s:text>
          </item>
        </commentChain>
      </unresolved>
      <resolved/>
    </commentChains>
    <commentChains s:ref="Q1000" rgbClr="FF0000">
      <unresolved>
        <commentChain chainId="63980494fd42976806d883d7f5921d49a99d624f">
          <item id="cc2fb9a8cd3a46c358ca55e962088b1f94267f49" isNormal="1">
            <s:text>
              <s:r>
                <s:t xml:space="preserve">Administrator:
1402914/1402913 4/29 414 pcs</s:t>
              </s:r>
            </s:text>
          </item>
        </commentChain>
      </unresolved>
      <resolved/>
    </commentChains>
    <commentChains s:ref="S1000" rgbClr="FF0000">
      <unresolved>
        <commentChain chainId="47cfa54b9eb39417d3660d464d5d79d3e4bef145">
          <item id="10b8c4c6cd187121a2c1a59295e4d2a235f713f7" isNormal="1">
            <s:text>
              <s:r>
                <s:t xml:space="preserve">Administrator:
4/20 上WIC贴纸 3204 pcs</s:t>
              </s:r>
            </s:text>
          </item>
        </commentChain>
      </unresolved>
      <resolved/>
    </commentChains>
    <commentChains s:ref="Q1001" rgbClr="FF0000">
      <unresolved>
        <commentChain chainId="77b3d2175d0c998402c508d1f05b21d253493c7d">
          <item id="597f668cfb1364c933d2f95358a3bd0ab38de544" isNormal="1">
            <s:text>
              <s:r>
                <s:t xml:space="preserve">Administrator:
1402914/1402913 4/29 270 pcs</s:t>
              </s:r>
            </s:text>
          </item>
        </commentChain>
      </unresolved>
      <resolved/>
    </commentChains>
    <commentChains s:ref="Q1002" rgbClr="FF0000">
      <unresolved>
        <commentChain chainId="f057412a5730335c9d24d0f0218ff2a6f1466282">
          <item id="871b30c30877a8bad3ffed5a061fc6e2357a1c25" isNormal="1">
            <s:text>
              <s:r>
                <s:t xml:space="preserve">Administrator:
1402914/1402913 4/29 402 pcs</s:t>
              </s:r>
            </s:text>
          </item>
        </commentChain>
      </unresolved>
      <resolved/>
    </commentChains>
    <commentChains s:ref="Q1003" rgbClr="FF0000">
      <unresolved>
        <commentChain chainId="97b10fafb870f5b6c5d73e30dafe06c709f6370f">
          <item id="bbdea236f6e7df4875745e82a53c2e8c66caece5" isNormal="1">
            <s:text>
              <s:r>
                <s:t xml:space="preserve">Administrator:
1402914/1402913 4/29 96 pcs</s:t>
              </s:r>
            </s:text>
          </item>
        </commentChain>
      </unresolved>
      <resolved/>
    </commentChains>
    <commentChains s:ref="Q1004" rgbClr="FF0000">
      <unresolved>
        <commentChain chainId="33523ae898f9db873930baa80a3636fccc8be035">
          <item id="ce7a69c27edb3b7677abb6ff98fdac876f3b4ed2" isNormal="1">
            <s:text>
              <s:r>
                <s:t xml:space="preserve">Administrator:
1402914/1402913 4/29 108 pcs</s:t>
              </s:r>
            </s:text>
          </item>
        </commentChain>
      </unresolved>
      <resolved/>
    </commentChains>
    <commentChains s:ref="Q1005" rgbClr="FF0000">
      <unresolved>
        <commentChain chainId="7a7b4e79c61f1ff3d3202c462a6606bd2babb8c2">
          <item id="d1ca1bba93d4415eaa92a5c3fe02ca20a05e80f1" isNormal="1">
            <s:text>
              <s:r>
                <s:t xml:space="preserve">Administrator:
1402914/1402913 4/29 336 pcs</s:t>
              </s:r>
            </s:text>
          </item>
        </commentChain>
      </unresolved>
      <resolved/>
    </commentChains>
    <commentChains s:ref="Q1006" rgbClr="FF0000">
      <unresolved>
        <commentChain chainId="29422c00f71a35606314b1ded769c7c07d622432">
          <item id="8a27847755c6872502048819b2738c6c3f01b7ee" isNormal="1">
            <s:text>
              <s:r>
                <s:t xml:space="preserve">Administrator:
1402914/1402913 4/29 288 pcs</s:t>
              </s:r>
            </s:text>
          </item>
        </commentChain>
      </unresolved>
      <resolved/>
    </commentChains>
    <commentChains s:ref="Q1007" rgbClr="FF0000">
      <unresolved>
        <commentChain chainId="f84ef127ff243791dc66f50c1b49f95b75c988aa">
          <item id="61ebad0e19bc673c2858750b5635e844eb531668" isNormal="1">
            <s:text>
              <s:r>
                <s:t xml:space="preserve">Administrator:
1402914/1402913 4/29 534 pcs</s:t>
              </s:r>
            </s:text>
          </item>
        </commentChain>
      </unresolved>
      <resolved/>
    </commentChains>
    <commentChains s:ref="Q1008" rgbClr="FF0000">
      <unresolved>
        <commentChain chainId="1d00c3b2b56cab8847fdde6bfc4c15972ade8e62">
          <item id="286879dc6bfd40d8d176b258d070d7aa97056191" isNormal="1">
            <s:text>
              <s:r>
                <s:t xml:space="preserve">Administrator:
1402914/1402913 4/29 360 pcs</s:t>
              </s:r>
            </s:text>
          </item>
        </commentChain>
      </unresolved>
      <resolved/>
    </commentChains>
    <commentChains s:ref="Q1009" rgbClr="FF0000">
      <unresolved>
        <commentChain chainId="5a5d5f3619d3f54979ddb4eb1fd746a8c94cb4e0">
          <item id="b78c3cc806b34df2c9eb13bab65b30cc314fbd90" isNormal="1">
            <s:text>
              <s:r>
                <s:t xml:space="preserve">Administrator:
1406212 4/26 1500 pcs</s:t>
              </s:r>
            </s:text>
          </item>
        </commentChain>
      </unresolved>
      <resolved/>
    </commentChains>
    <commentChains s:ref="S1009" rgbClr="FF0000">
      <unresolved>
        <commentChain chainId="16516bdf9db6fcb7e92e07d3283b8c505eb31838">
          <item id="7d8289f307528f87ea3c71f54f1e92959d5cae81" isNormal="1">
            <s:text>
              <s:r>
                <s:t xml:space="preserve">Administrator:
4/1  上4国语警语贴纸 1500 pcs</s:t>
              </s:r>
            </s:text>
          </item>
        </commentChain>
      </unresolved>
      <resolved/>
    </commentChains>
    <commentChains s:ref="Q1010" rgbClr="FF0000">
      <unresolved>
        <commentChain chainId="46a7ceeb41954db047f3c5df086cb384a24f3c5c">
          <item id="7f2971d584996bf0a3c39b23e8ad1cba3b7f64c7" isNormal="1">
            <s:text>
              <s:r>
                <s:t xml:space="preserve">Administrator:
1402991 5/11 324 PCS </s:t>
              </s:r>
            </s:text>
          </item>
        </commentChain>
      </unresolved>
      <resolved/>
    </commentChains>
    <commentChains s:ref="S1010" rgbClr="FF0000">
      <unresolved>
        <commentChain chainId="be366b017566411cd551de12487c06d4c1bfb071">
          <item id="4c09b23e54fe3bc9bd5ba592b8ed01d041321ffc" isNormal="1">
            <s:text>
              <s:r>
                <s:t xml:space="preserve">Administrator:
4/3  上进口商贴纸 324 pcs
     上QR贴纸 324 pcs
     上EAN 贴纸 324 pcs
     上外箱贴纸 324 pcs</s:t>
              </s:r>
            </s:text>
          </item>
        </commentChain>
      </unresolved>
      <resolved/>
    </commentChains>
    <commentChains s:ref="Q1011" rgbClr="FF0000">
      <unresolved>
        <commentChain chainId="7b9f143ca8ee618b48e1c358227c885a92696724">
          <item id="674e95937f50666fa540ab9f3480926ddee2ef3f" isNormal="1">
            <s:text>
              <s:r>
                <s:t xml:space="preserve">Administrator:
1402991 5/11 732 PCS </s:t>
              </s:r>
            </s:text>
          </item>
        </commentChain>
      </unresolved>
      <resolved/>
    </commentChains>
    <commentChains s:ref="S1011" rgbClr="FF0000">
      <unresolved>
        <commentChain chainId="9cb7bb24fda8f37b21d1feedea7125e64846a56e">
          <item id="da7038fb060f4240647e16e82a95948cb048d751" isNormal="1">
            <s:text>
              <s:r>
                <s:t xml:space="preserve">Administrator:
4/3  上进口商贴纸 732 pcs
     上QR贴纸 732 pcs
     上EAN 贴纸 732 pcs
     上外箱贴纸 732 pcs</s:t>
              </s:r>
            </s:text>
          </item>
        </commentChain>
      </unresolved>
      <resolved/>
    </commentChains>
    <commentChains s:ref="Q1012" rgbClr="FF0000">
      <unresolved>
        <commentChain chainId="d39e816fd8a2a3e53b9d8e7a7e63cea522839db3">
          <item id="9a9448955234db79bd7734931c3b19d301b151a7" isNormal="1">
            <s:text>
              <s:r>
                <s:t xml:space="preserve">Administrator:
1402999 5/12 10000 PCS </s:t>
              </s:r>
            </s:text>
          </item>
        </commentChain>
      </unresolved>
      <resolved/>
    </commentChains>
    <commentChains s:ref="S1012" rgbClr="FF0000">
      <unresolved>
        <commentChain chainId="1cc8ae64ce064a03cc7c01397248006cfbb31185">
          <item id="d1e77306fa2baf16396b2e79ade5724d590834ee" isNormal="1">
            <s:text>
              <s:r>
                <s:t xml:space="preserve">Administrator:
4/22 上客户EAN条码贴纸 10000 pcs
     上PDQ数量贴纸 2500 pcs</s:t>
              </s:r>
            </s:text>
          </item>
        </commentChain>
      </unresolved>
      <resolved/>
    </commentChains>
    <commentChains s:ref="Q1013" rgbClr="FF0000">
      <unresolved>
        <commentChain chainId="09795cff4342efd0436eed5be454da7ad6ef50f8">
          <item id="a345f9176584822d813f5cedb5b356027877a49d" isNormal="1">
            <s:text>
              <s:r>
                <s:t xml:space="preserve">Administrator:
1402999 5/12 240 PCS </s:t>
              </s:r>
            </s:text>
          </item>
        </commentChain>
      </unresolved>
      <resolved/>
    </commentChains>
    <commentChains s:ref="S1013" rgbClr="FF0000">
      <unresolved>
        <commentChain chainId="e79306b3c73ce5b6646aac98fb723618536e0d52">
          <item id="55767e62c5af3c9d6c07ea96d78e473d58f211ae" isNormal="1">
            <s:text>
              <s:r>
                <s:t xml:space="preserve">Administrator:
4/21 上QR贴纸 648 pcs</s:t>
              </s:r>
            </s:text>
          </item>
        </commentChain>
      </unresolved>
      <resolved/>
    </commentChains>
    <commentChains s:ref="Q1014" rgbClr="FF0000">
      <unresolved>
        <commentChain chainId="b23bf76e51d44a06f74bd93a1f46a0ddc430e886">
          <item id="045622d4b3b3514dd4fee03ed5a71dbcd3170422" isNormal="1">
            <s:text>
              <s:r>
                <s:t xml:space="preserve">Administrator:
1402976 5/8 420 PCS </s:t>
              </s:r>
            </s:text>
          </item>
        </commentChain>
      </unresolved>
      <resolved/>
    </commentChains>
    <commentChains s:ref="Q1015" rgbClr="FF0000">
      <unresolved>
        <commentChain chainId="313345cb46eb749f376fba8a73cdcecd244cc63f">
          <item id="be3bd06674f00af99d89bd88a84f9fff01240067" isNormal="1">
            <s:text>
              <s:r>
                <s:t xml:space="preserve">Administrator:
1402976 5/8 414 PCS </s:t>
              </s:r>
            </s:text>
          </item>
        </commentChain>
      </unresolved>
      <resolved/>
    </commentChains>
    <commentChains s:ref="Q1016" rgbClr="FF0000">
      <unresolved>
        <commentChain chainId="5f6f34e08fdf9cd5b06e9c5fd8b6f462835e1ddb">
          <item id="1aa674a9c0b770ceca42d61522620c857fab382e" isNormal="1">
            <s:text>
              <s:r>
                <s:t xml:space="preserve">Administrator:
1402976 5/8 1992 PCS </s:t>
              </s:r>
            </s:text>
          </item>
        </commentChain>
      </unresolved>
      <resolved/>
    </commentChains>
    <commentChains s:ref="Q1017" rgbClr="FF0000">
      <unresolved>
        <commentChain chainId="d1798ab20f2dbd7d66c5b575251b5f327571aa40">
          <item id="bcc4e3fcf7d436c08def79685bece26fc6385754" isNormal="1">
            <s:text>
              <s:r>
                <s:t xml:space="preserve">Administrator:
1402976 5/8 534 PCS </s:t>
              </s:r>
            </s:text>
          </item>
        </commentChain>
      </unresolved>
      <resolved/>
    </commentChains>
    <commentChains s:ref="Q1018" rgbClr="FF0000">
      <unresolved>
        <commentChain chainId="552ae8c8d81a308ba5fc34fca087a6948910d731">
          <item id="254fbab18a037a4b10dc1ac4ea1bb40154033f35" isNormal="1">
            <s:text>
              <s:r>
                <s:t xml:space="preserve">Administrator:
1402976 5/8 96 PCS </s:t>
              </s:r>
            </s:text>
          </item>
        </commentChain>
      </unresolved>
      <resolved/>
    </commentChains>
    <commentChains s:ref="Q1019" rgbClr="FF0000">
      <unresolved>
        <commentChain chainId="6457fab4ab4b520985c82af3dab8bbe096c8f4a1">
          <item id="dc0e3bba715ddfdc2767e04a9fc37a2c9321f708" isNormal="1">
            <s:text>
              <s:r>
                <s:t xml:space="preserve">Administrator:
1403074 5/19 504 PCS </s:t>
              </s:r>
            </s:text>
          </item>
        </commentChain>
      </unresolved>
      <resolved/>
    </commentChains>
    <commentChains s:ref="Q1020" rgbClr="FF0000">
      <unresolved>
        <commentChain chainId="185bfb611981c34e4e36a5486ca68c6a1039fb5f">
          <item id="40bec1cac2779183375b1c1efc9a5fe0a91fb8ad" isNormal="1">
            <s:text>
              <s:r>
                <s:t xml:space="preserve">Administrator:
1403106 5/23 4158 pcs</s:t>
              </s:r>
            </s:text>
          </item>
        </commentChain>
      </unresolved>
      <resolved/>
    </commentChains>
    <commentChains s:ref="Q1021" rgbClr="FF0000">
      <unresolved>
        <commentChain chainId="0c97d2c9a0a42e134f35a12851631f477746c8c1">
          <item id="198a007a9e882698abfdfda4fc97c3f49f44e549" isNormal="1">
            <s:text>
              <s:r>
                <s:t xml:space="preserve">Administrator:
1403114 5/23 2388 pcs
1403106 5/23 2970 pcs</s:t>
              </s:r>
            </s:text>
          </item>
        </commentChain>
      </unresolved>
      <resolved/>
    </commentChains>
    <commentChains s:ref="Q1022" rgbClr="FF0000">
      <unresolved>
        <commentChain chainId="52ec4f12000824a8880a9a9a3647324bf1a70078">
          <item id="660ebb7e17bea0ca2a5ab3b0feae9f9af0fbe910" isNormal="1">
            <s:text>
              <s:r>
                <s:t xml:space="preserve">Administrator:
1403106 5/23 360 pcs</s:t>
              </s:r>
            </s:text>
          </item>
        </commentChain>
      </unresolved>
      <resolved/>
    </commentChains>
    <commentChains s:ref="Q1023" rgbClr="FF0000">
      <unresolved>
        <commentChain chainId="262f8fd291d831fda02e487ed6bc912c832aee07">
          <item id="a24688130354d51a3838e9992a27f561349b9dde" userID="1715258932" userName="严新荟" dateTime="2026-06-04T03:59:15" isNormal="0">
            <s:text>
              <s:r>
                <s:t xml:space="preserve">1601808 6/2  192 pcs</s:t>
              </s:r>
            </s:text>
          </item>
        </commentChain>
      </unresolved>
      <resolved/>
    </commentChains>
    <commentChains s:ref="Q1024" rgbClr="FF0000">
      <unresolved>
        <commentChain chainId="328bd961b48758d82c39a5acfab435c315ea8157">
          <item id="2e280e539738182d614b07883460bac2da8d1f3e" userID="1715258932" userName="严新荟" dateTime="2026-06-04T03:59:42" isNormal="0">
            <s:text>
              <s:r>
                <s:t xml:space="preserve">1601808 6/2  1500 pcs</s:t>
              </s:r>
            </s:text>
          </item>
        </commentChain>
      </unresolved>
      <resolved/>
    </commentChains>
    <commentChains s:ref="Q1025" rgbClr="FF0000">
      <unresolved>
        <commentChain chainId="9432b6b62100e18d6a2311a64af7d497de7b5c5d">
          <item id="4b4135d0e5532a87abe0e9ecdcd905ee5ece4685" userID="1715258932" userName="严新荟" dateTime="2026-06-04T03:59:42" isNormal="0">
            <s:text>
              <s:r>
                <s:t xml:space="preserve">1601808 6/2  1500 pcs</s:t>
              </s:r>
            </s:text>
          </item>
        </commentChain>
      </unresolved>
      <resolved/>
    </commentChains>
    <commentChains s:ref="Q1026" rgbClr="FF0000">
      <unresolved>
        <commentChain chainId="847900b21c3aedd0ed3ef1e470c12cdbdd7a92b0">
          <item id="55dfbff548111ea73f498f5f55d305bab40515d3" userID="1715258932" userName="严新荟" dateTime="2026-06-02T06:42:30" isNormal="0">
            <s:text>
              <s:r>
                <s:t xml:space="preserve">1601766 5/26 6000 PCS</s:t>
              </s:r>
            </s:text>
          </item>
        </commentChain>
      </unresolved>
      <resolved/>
    </commentChains>
    <commentChains s:ref="Q1027" rgbClr="FF0000">
      <unresolved>
        <commentChain chainId="87cd77a15cceff71a754b86705974f444460da1a">
          <item id="a28180e92031beb684789698138f36126dd3490b" userID="1715258932" userName="严新荟" dateTime="2026-06-02T06:42:59" isNormal="0">
            <s:text>
              <s:r>
                <s:t xml:space="preserve">1601766 5/26 1512 PCS</s:t>
              </s:r>
            </s:text>
          </item>
        </commentChain>
      </unresolved>
      <resolved/>
    </commentChains>
    <commentChains s:ref="Q1028" rgbClr="FF0000">
      <unresolved>
        <commentChain chainId="383ce0e88ff6f1b4746bf5ea05902992d7b93449">
          <item id="7f44b9da6236f4d421184d5b3078e39b095fad96" userID="1715258932" userName="严新荟" dateTime="2026-06-04T03:28:22" isNormal="0">
            <s:text>
              <s:r>
                <s:t xml:space="preserve">1601818  6/3 9972 PCS
1601823 6/3 36 PCS</s:t>
              </s:r>
            </s:text>
          </item>
        </commentChain>
      </unresolved>
      <resolved/>
    </commentChains>
    <commentChains s:ref="Q1029" rgbClr="FF0000">
      <unresolved>
        <commentChain chainId="1ad0ca5a7613ec0eb0e61bd169920b83848dc2a1">
          <item id="a555ccf32e87d55bcc00c6e7c17e59a4d833ba15" userID="1715258932" userName="严新荟" dateTime="2026-06-04T03:52:49" isNormal="0">
            <s:text>
              <s:r>
                <s:t xml:space="preserve">1601817 6/3  12 PCS
1601809  6/2  1020 pcs</s:t>
              </s:r>
            </s:text>
          </item>
        </commentChain>
      </unresolved>
      <resolved/>
    </commentChains>
    <commentChains s:ref="S1029" rgbClr="FF0000">
      <unresolved>
        <commentChain chainId="67474e3ce84c6f2b83f3a2555e71cf103da9d6ff">
          <item id="b3d9c638a2a3ef334aa96054dd0f58b0ebc8479b" userID="1715258932" userName="严新荟" dateTime="2026-06-02T13:12:23" isNormal="0">
            <s:text>
              <s:r>
                <s:t xml:space="preserve">5/23 上进口商贴纸 1032 pcs
5/23 上UPC贴纸 1032 pcs</s:t>
              </s:r>
            </s:text>
          </item>
        </commentChain>
      </unresolved>
      <resolved/>
    </commentChains>
    <commentChains s:ref="Q1030" rgbClr="FF0000">
      <unresolved>
        <commentChain chainId="93b1308fc91c7ee09edaa2bf1d9e93fa375717d4">
          <item id="8c6d0d2a8ea1f4383c41807d013b3864ade2ec30" userID="1715258932" userName="严新荟" dateTime="2026-06-06T00:54:07" isNormal="0">
            <s:text>
              <s:r>
                <s:t xml:space="preserve">1601809 6/2 804 pcs</s:t>
              </s:r>
            </s:text>
          </item>
        </commentChain>
      </unresolved>
      <resolved/>
    </commentChains>
    <commentChains s:ref="S1030" rgbClr="FF0000">
      <unresolved>
        <commentChain chainId="7c8405335cc39081aa65fc35d4e9244764f368e1">
          <item id="b32b087b6086a6fb15482c1d6f0e54fcd5423c0f" userID="1715258932" userName="严新荟" dateTime="2026-06-02T13:14:22" isNormal="0">
            <s:text>
              <s:r>
                <s:t xml:space="preserve">5/22 上进口商贴纸 2676 pcs
         上UPC贴纸 2676 pcs</s:t>
              </s:r>
            </s:text>
          </item>
        </commentChain>
      </unresolved>
      <resolved/>
    </commentChains>
    <commentChains s:ref="Q1031" rgbClr="FF0000">
      <unresolved>
        <commentChain chainId="72e697aba47f7e53d20e405c5af08e9b48f98316">
          <item id="c0dea3867f417d7b320bd3a4eb9956d6ba1b9592" userID="1715258932" userName="严新荟" dateTime="2026-06-06T00:54:43" isNormal="0">
            <s:text>
              <s:r>
                <s:t xml:space="preserve">1601809 6/2 1524 pcs</s:t>
              </s:r>
            </s:text>
          </item>
        </commentChain>
      </unresolved>
      <resolved/>
    </commentChains>
    <commentChains s:ref="S1031" rgbClr="FF0000">
      <unresolved>
        <commentChain chainId="9d4cdbaf2187da280c56c2975650e3b7eb6ecfb5">
          <item id="e33002d7f203ecdccf26e3dc9c37f02941e54963" userID="1715258932" userName="严新荟" dateTime="2026-06-02T13:14:22" isNormal="0">
            <s:text>
              <s:r>
                <s:t xml:space="preserve">5/22 上进口商贴纸 2676 pcs
         上UPC贴纸 2676 pcs</s:t>
              </s:r>
            </s:text>
          </item>
        </commentChain>
      </unresolved>
      <resolved/>
    </commentChains>
    <commentChains s:ref="Q1032" rgbClr="FF0000">
      <unresolved>
        <commentChain chainId="a97cc3f40db4875a7f3f86b38f6435434d467c61">
          <item id="0bc29f86ec56dc9f5b7f613ef8f0109418e41f83" userID="1715258932" userName="严新荟" dateTime="2026-06-06T00:57:35" isNormal="0">
            <s:text>
              <s:r>
                <s:t xml:space="preserve">1601809 6/2 348 pcs</s:t>
              </s:r>
            </s:text>
          </item>
        </commentChain>
      </unresolved>
      <resolved/>
    </commentChains>
    <commentChains s:ref="Q1033" rgbClr="FF0000">
      <unresolved>
        <commentChain chainId="a5eafd10c66c8227a51ff35f7c32598c02ee210c">
          <item id="27eac06abd80b22b01fed2f5274cdcdf3e72bea3" userID="1715258932" userName="严新荟" dateTime="2026-06-11T03:04:03" isNormal="0">
            <s:text>
              <s:r>
                <s:t xml:space="preserve">2500171  6/10 468 pcs</s:t>
              </s:r>
            </s:text>
          </item>
          <item id="e691b47ace23f58d3200b64eb506f0c4c3ec7c94" userID="1715258932" userName="严新荟" dateTime="2026-06-13T02:15:08" isNormal="0">
            <s:text>
              <s:r>
                <s:t xml:space="preserve">2500180 6/12 12 pcs</s:t>
              </s:r>
            </s:text>
          </item>
        </commentChain>
      </unresolved>
      <resolved/>
    </commentChains>
    <commentChains s:ref="S1033" rgbClr="FF0000">
      <unresolved>
        <commentChain chainId="401c121882720d86dbb403aa8ae5ae083a895606">
          <item id="3cd446768de77e75e0890b11494ee1474d8f876f" userID="1715258932" userName="严新荟" dateTime="2026-06-02T13:07:44" isNormal="0">
            <s:text>
              <s:r>
                <s:t xml:space="preserve">5/29 上UPC/进口商贴纸 480 pcs</s:t>
              </s:r>
            </s:text>
          </item>
        </commentChain>
      </unresolved>
      <resolved/>
    </commentChains>
    <commentChains s:ref="Q1034" rgbClr="FF0000">
      <unresolved>
        <commentChain chainId="2d0636f4de9bf70c2a9e58cacc2f76aeb85adaa0">
          <item id="9d73c85cf346beca7a3b491b54153e09895f2602" userID="1715258932" userName="严新荟" dateTime="2026-06-16T02:03:03" isNormal="0">
            <s:text>
              <s:r>
                <s:t xml:space="preserve">2500328 6/15 120 pcs</s:t>
              </s:r>
            </s:text>
          </item>
        </commentChain>
      </unresolved>
      <resolved/>
    </commentChains>
    <commentChains s:ref="S1034" rgbClr="FF0000">
      <unresolved>
        <commentChain chainId="294f9964fba69abdb9b71aeaf59998418c19663a">
          <item id="fb0a4d8bbd2d368a45c1805dc5d4b295ac614b86" userID="1715258932" userName="严新荟" dateTime="2026-06-02T13:11:08" isNormal="0">
            <s:text>
              <s:r>
                <s:t xml:space="preserve">5/25 上UPC条码/进口商贴纸 120 pcs</s:t>
              </s:r>
            </s:text>
          </item>
        </commentChain>
      </unresolved>
      <resolved/>
    </commentChains>
    <commentChains s:ref="Q1035" rgbClr="FF0000">
      <unresolved>
        <commentChain chainId="9e2b9d896630e55a24d1dca04907f124528811bf">
          <item id="c9c12dadff37acce3a409f37918349df1dcd73b1" userID="1715258932" userName="严新荟" dateTime="2026-06-16T02:16:23" isNormal="0">
            <s:text>
              <s:r>
                <s:t xml:space="preserve">2500321 6/15 1728 pcs</s:t>
              </s:r>
            </s:text>
          </item>
        </commentChain>
      </unresolved>
      <resolved/>
    </commentChains>
    <commentChains s:ref="Q1036" rgbClr="FF0000">
      <unresolved>
        <commentChain chainId="fb37bd07813e0303fe124bdc196afe71d4008ea7">
          <item id="962472b595c148a736c108bec3fe03ebe4af48ea" userID="1715258932" userName="严新荟" dateTime="2026-06-20T06:32:18" isNormal="0">
            <s:text>
              <s:r>
                <s:t xml:space="preserve">2500201 6/18 1800 pcs</s:t>
              </s:r>
            </s:text>
          </item>
        </commentChain>
      </unresolved>
      <resolved/>
    </commentChains>
    <commentChains s:ref="S1036" rgbClr="FF0000">
      <unresolved>
        <commentChain chainId="8a8568119b9fbf01bc9f2e8182e5fc572ea90415">
          <item id="d4351f11a59fd82da8f21ae1a531c8a6cb70b294" userID="1715258932" userName="严新荟" dateTime="2026-06-02T13:09:16" isNormal="0">
            <s:text>
              <s:r>
                <s:t xml:space="preserve">5/26 上进口商贴纸 6408 pcs</s:t>
              </s:r>
            </s:text>
          </item>
          <item id="81d7beb4e11087235f32f96fef1327328d3bf452" userID="1715258932" userName="严新荟" dateTime="2026-06-02T13:09:45" isNormal="0">
            <s:text>
              <s:r>
                <s:t xml:space="preserve">5/29 上口水胶贴纸 15816 pcs</s:t>
              </s:r>
            </s:text>
          </item>
        </commentChain>
      </unresolved>
      <resolved>
        <commentChain chainId="85fb768089a0f47bcf73a278d3412624d5d35b0c">
          <item id="9c81a67f10bae8570835c60ce4ad232b23bccffa" userID="1715258932" userName="严新荟" dateTime="2026-06-02T13:05:50" isNormal="0">
            <s:text>
              <s:r>
                <s:t xml:space="preserve">5/29 上口水胶贴纸 15816 pcs</s:t>
              </s:r>
            </s:text>
          </item>
        </commentChain>
      </resolved>
    </commentChains>
    <commentChains s:ref="Q1037" rgbClr="FF0000">
      <unresolved>
        <commentChain chainId="da397f6431dfda727fefd30e2b1c71d61e7d4317">
          <item id="221da32d8da31d3b31e9d4c4f77939e16b2f8ed2" userID="1715258932" userName="严新荟" dateTime="2026-06-18T05:47:59" isNormal="0">
            <s:text>
              <s:r>
                <s:t xml:space="preserve">2500351 6/17 1188 pcs
2500209 6/20 12 pcs</s:t>
              </s:r>
            </s:text>
          </item>
        </commentChain>
      </unresolved>
      <resolved/>
    </commentChains>
    <commentChains s:ref="S1037" rgbClr="FF0000">
      <unresolved>
        <commentChain chainId="86ccd16261477950225dab30c3685a70a6de1f72">
          <item id="a4280bd1ba48e3f9f7fceff3af038dd975d0e1ad" userID="1715258932" userName="严新荟" dateTime="2026-06-02T13:09:16" isNormal="0">
            <s:text>
              <s:r>
                <s:t xml:space="preserve">5/26 上进口商贴纸 6408 pcs</s:t>
              </s:r>
            </s:text>
          </item>
          <item id="e45d6b2a080b7aa9ab55c895581299a6be52e672" userID="1715258932" userName="严新荟" dateTime="2026-06-02T13:09:45" isNormal="0">
            <s:text>
              <s:r>
                <s:t xml:space="preserve">5/29 上口水胶贴纸 15816 pcs</s:t>
              </s:r>
            </s:text>
          </item>
        </commentChain>
      </unresolved>
      <resolved>
        <commentChain chainId="33596a199d2bcc50691494854a4034ce66eab700">
          <item id="de2e69a6ce33993cfcc839196e487003826c45ac" userID="1715258932" userName="严新荟" dateTime="2026-06-02T13:05:50" isNormal="0">
            <s:text>
              <s:r>
                <s:t xml:space="preserve">5/29 上口水胶贴纸 15816 pcs</s:t>
              </s:r>
            </s:text>
          </item>
        </commentChain>
      </resolved>
    </commentChains>
    <commentChains s:ref="Q1038" rgbClr="FF0000">
      <unresolved>
        <commentChain chainId="ab50bc71670dc086d1b97ebdb362b7d60cee3735">
          <item id="8452455c314b1ab725130b59e6968f81eb4b6b50" userID="1715258932" userName="严新荟" dateTime="2026-06-27T07:04:35" isNormal="0">
            <s:text>
              <s:r>
                <s:t xml:space="preserve">2200016 6/26 360 PCS</s:t>
              </s:r>
            </s:text>
          </item>
        </commentChain>
      </unresolved>
      <resolved/>
    </commentChains>
    <commentChains s:ref="S1038" rgbClr="FF0000">
      <unresolved>
        <commentChain chainId="6f9500202fa038d293c704df3dde1aba32639c1e">
          <item id="e3794d0f4787a575125194ab3c7c7ca2a42fb6d4" userID="1715258932" userName="严新荟" dateTime="2026-06-22T12:36:58" isNormal="0">
            <s:text>
              <s:r>
                <s:t xml:space="preserve">6/17 上UPC贴纸 360 pcs</s:t>
              </s:r>
            </s:text>
          </item>
        </commentChain>
      </unresolved>
      <resolved/>
    </commentChains>
    <commentChains s:ref="Q1039" rgbClr="FF0000">
      <unresolved>
        <commentChain chainId="3c1e32b0a6708fa38f48abc6284a32f270c7de66">
          <item id="35662e64128e2fd0fdb405e5d5d5ef9e8d7cc726" userID="1715258932" userName="严新荟" dateTime="2026-06-26T02:39:42" isNormal="0">
            <s:text>
              <s:r>
                <s:t xml:space="preserve">2200030 6/25 1512 pcs</s:t>
              </s:r>
            </s:text>
          </item>
        </commentChain>
      </unresolved>
      <resolved/>
    </commentChains>
    <commentChains s:ref="Q1040" rgbClr="FF0000">
      <unresolved>
        <commentChain chainId="b2c859262e01c2aa5fea1207507421f718caa2a8">
          <item id="5c072342e1703d63d46cedb8dcdd0c37ae4ff521" userID="1715258932" userName="严新荟" dateTime="2026-06-26T02:39:42" isNormal="0">
            <s:text>
              <s:r>
                <s:t xml:space="preserve">2200030 6/25 5016 pcs</s:t>
              </s:r>
            </s:text>
          </item>
        </commentChain>
      </unresolved>
      <resolved/>
    </commentChains>
    <commentChains s:ref="Q1041" rgbClr="FF0000">
      <unresolved>
        <commentChain chainId="a8538fe4d95329ea452a378a1e69c55596cb30dd">
          <item id="337bdb8372f82a97de0c19da6633aba1b116e0d7" userID="1715258932" userName="严新荟" dateTime="2026-06-26T02:40:22" isNormal="0">
            <s:text>
              <s:r>
                <s:t xml:space="preserve">2200030 6/25 2160 pcs
2200032 6/26 2856 pcs</s:t>
              </s:r>
            </s:text>
          </item>
        </commentChain>
      </unresolved>
      <resolved/>
    </commentChains>
    <commentChains s:ref="S1042" rgbClr="FF0000">
      <unresolved>
        <commentChain chainId="365e22c11c62135e22884af45e38184353cf1a9c">
          <item id="2246293f5fa0b9721fae5d78e371bdaf629ac2e3" userID="1715258932" userName="严新荟" dateTime="2026-06-16T12:48:57" isNormal="0">
            <s:text>
              <s:r>
                <s:t xml:space="preserve">6/16 上UPC贴纸 12 pcs
6/24 上客供亚马逊外箱贴纸 1 pcs</s:t>
              </s:r>
            </s:text>
          </item>
        </commentChain>
      </unresolved>
      <resolved/>
    </commentChains>
    <commentChains s:ref="Q1043" rgbClr="FF0000">
      <unresolved>
        <commentChain chainId="93a483f4ba245de528efa8addcfdd74f9531c097">
          <item id="9d33ea82f8d5a5b721b1bdcf8aa326ff1e9c9e4c" userID="1715258932" userName="严新荟" dateTime="2026-06-30T06:24:09" isNormal="0">
            <s:text>
              <s:r>
                <s:t xml:space="preserve">2500255 6/29 348 pcs</s:t>
              </s:r>
            </s:text>
          </item>
        </commentChain>
      </unresolved>
      <resolved/>
    </commentChains>
    <commentChains s:ref="S1043" rgbClr="FF0000">
      <unresolved>
        <commentChain chainId="894a11578d13bf39c320f5a2d4827568de0f66da">
          <item id="3e90101d63a4d51fb9b07ca6503e0d4ff778f7a3" userID="1715258932" userName="严新荟" dateTime="2026-06-15T11:27:03" isNormal="0">
            <s:text>
              <s:r>
                <s:t xml:space="preserve">6/15 上UPC贴纸 1308 pcs</s:t>
              </s:r>
            </s:text>
          </item>
        </commentChain>
      </unresolved>
      <resolved/>
    </commentChains>
    <commentChains s:ref="Q1044" rgbClr="FF0000">
      <unresolved>
        <commentChain chainId="247f426967916612a5491852dd4e8f404cccbdb8">
          <item id="b4aa4e2e1a98af5fa6e8f6f87a3fa78f4f2dda85" userID="1715258932" userName="严新荟" dateTime="2026-06-29T06:47:34" isNormal="0">
            <s:text>
              <s:r>
                <s:t xml:space="preserve">2200020 6/27 72 pcs</s:t>
              </s:r>
            </s:text>
          </item>
        </commentChain>
      </unresolved>
      <resolved/>
    </commentChains>
    <commentChains s:ref="S1044" rgbClr="FF0000">
      <unresolved>
        <commentChain chainId="15232602ca715f7861c99986ba4b8e9aee4ed648">
          <item id="354027cdbfe8268de2137ae9ae1194dc7db24189" userID="1715258932" userName="严新荟" dateTime="2026-06-06T08:34:41" isNormal="0">
            <s:text>
              <s:r>
                <s:t xml:space="preserve">6/5 上UPC贴纸 72 pcs
6/24 上客供亚马逊外箱贴纸 6 pcs</s:t>
              </s:r>
            </s:text>
          </item>
        </commentChain>
      </unresolved>
      <resolved/>
    </commentChains>
    <commentChains s:ref="Q1045" rgbClr="FF0000">
      <unresolved>
        <commentChain chainId="51205f3e3f2b5a37a4b350151c7d649aae614fb2">
          <item id="07f2cadd4d2b917fa5ffd6b0c42820757be67c4f" userID="1715258932" userName="严新荟" dateTime="2026-06-29T06:47:34" isNormal="0">
            <s:text>
              <s:r>
                <s:t xml:space="preserve">2200020 6/27 12 pcs</s:t>
              </s:r>
            </s:text>
          </item>
        </commentChain>
      </unresolved>
      <resolved/>
    </commentChains>
    <commentChains s:ref="S1045" rgbClr="FF0000">
      <unresolved>
        <commentChain chainId="bb6ebaae24558bd7b98d31b38d5748c224a008b2">
          <item id="075be075969dcca7789fbd34e8219adf79d85c09" userID="1715258932" userName="严新荟" dateTime="2026-06-26T03:48:16" isNormal="0">
            <s:text>
              <s:r>
                <s:t xml:space="preserve">6/24 上客供亚马逊外箱贴纸 1 pcs</s:t>
              </s:r>
            </s:text>
          </item>
        </commentChain>
      </unresolved>
      <resolved/>
    </commentChains>
    <commentChains s:ref="Q1046" rgbClr="FF0000">
      <unresolved>
        <commentChain chainId="7d73586ac21e43f2e40cb923fdc4216da5941b1b">
          <item id="2006976807d9e6810f91064ca99517423d692ad7" userID="1715258932" userName="严新荟" dateTime="2026-07-07T00:59:08" isNormal="0">
            <s:text>
              <s:r>
                <s:t xml:space="preserve">2200048 7/6 438 PCS</s:t>
              </s:r>
            </s:text>
          </item>
        </commentChain>
      </unresolved>
      <resolved/>
    </commentChains>
    <commentChains s:ref="Q1047" rgbClr="FF0000">
      <unresolved>
        <commentChain chainId="d65791c8e180217e2b18569d9f3b235bd39f477b">
          <item id="08bdeb84c3a931cd560d8682e33ddca014682cf1" userID="1715258932" userName="严新荟" dateTime="2026-07-08T02:39:13" isNormal="0">
            <s:text>
              <s:r>
                <s:t xml:space="preserve">2500239 7/7 960 pcs</s:t>
              </s:r>
            </s:text>
          </item>
        </commentChain>
      </unresolved>
      <resolved/>
    </commentChains>
    <commentChains s:ref="S1047" rgbClr="FF0000">
      <unresolved>
        <commentChain chainId="d3e9c984a8a46ad88f509d519eec37adc6966b7e">
          <item id="0b7a05646c110ef44a0c2ba832f334fc017f0a0b" userID="1715258932" userName="严新荟" dateTime="2026-06-15T11:27:03" isNormal="0">
            <s:text>
              <s:r>
                <s:t xml:space="preserve">6/15 上UPC贴纸 1308 pcs</s:t>
              </s:r>
            </s:text>
          </item>
        </commentChain>
      </unresolved>
      <resolved/>
    </commentChains>
    <commentChains s:ref="Q1048" rgbClr="FF0000">
      <unresolved>
        <commentChain chainId="1e022743e903a4acb00615b4d6a9741cfcf7d4c2">
          <item id="7b320321e88cbcc6a1ccf50ef16ac64e66ad51c8" userID="1715258932" userName="严新荟" dateTime="2026-07-08T02:39:13" isNormal="0">
            <s:text>
              <s:r>
                <s:t xml:space="preserve">2500239 7/7 960 pcs</s:t>
              </s:r>
            </s:text>
          </item>
        </commentChain>
      </unresolved>
      <resolved/>
    </commentChains>
    <commentChains s:ref="Q1049" rgbClr="FF0000">
      <unresolved>
        <commentChain chainId="3f2c44ed5dab25eea2c775b4f8700cbaf0794700">
          <item id="5a3dcfb2de00ebd93362f7d31c72423aca3e9279" userID="1715258932" userName="严新荟" dateTime="2026-07-08T02:39:52" isNormal="0">
            <s:text>
              <s:r>
                <s:t xml:space="preserve">2500239 7/7 816 pcs</s:t>
              </s:r>
            </s:text>
          </item>
        </commentChain>
      </unresolved>
      <resolved/>
    </commentChains>
    <commentChains s:ref="S1049" rgbClr="FF0000">
      <unresolved>
        <commentChain chainId="c108c7df04378e63d7beb0eafdd74e16ffe2434d">
          <item id="fb9fd3332200ce01a2e14313a63d617c21ff42cd" userID="1715258932" userName="严新荟" dateTime="2026-06-10T08:23:47" isNormal="0">
            <s:text>
              <s:r>
                <s:t xml:space="preserve">6/10 上客供价格贴纸 857 pcs</s:t>
              </s:r>
            </s:text>
          </item>
        </commentChain>
      </unresolved>
      <resolved/>
    </commentChains>
    <commentChains s:ref="Q1050" rgbClr="FF0000">
      <unresolved>
        <commentChain chainId="ded272ebbb26cc1852012958abb860dcec387cc9">
          <item id="bd277d60075603ea1be50cb6ca94354ea9effc32" userID="1715258932" userName="严新荟" dateTime="2026-07-21T00:36:40" isNormal="0">
            <s:text>
              <s:r>
                <s:t xml:space="preserve">2200202 7/20 1152 PCS</s:t>
              </s:r>
            </s:text>
          </item>
        </commentChain>
      </unresolved>
      <resolved/>
    </commentChains>
    <commentChains s:ref="S1051" rgbClr="FF0000">
      <unresolved>
        <commentChain chainId="c6d9116b28a90e7afa00d8382b65a4e7dce713c5">
          <item id="3bf80cb51308e8435bbc909ddf9bd4268f0b61c0" userID="1715258932" userName="严新荟" dateTime="2026-06-22T12:10:40" isNormal="0">
            <s:text>
              <s:r>
                <s:t xml:space="preserve">6/22 上客供价格贴纸 910 pcs
7/6 上进口商贴纸 804 pcs</s:t>
              </s:r>
            </s:text>
          </item>
        </commentChain>
      </unresolved>
      <resolved/>
    </commentChains>
    <commentChains s:ref="Q1052" rgbClr="FF0000">
      <unresolved>
        <commentChain chainId="41a6995ecd03e32445b2207876bdf880e08826b8">
          <item id="a57e1afdec4b907beb6abd39582c5e4a236750a5" userID="1715258932" userName="严新荟" dateTime="2026-07-15T03:11:14" isNormal="0">
            <s:text>
              <s:r>
                <s:t xml:space="preserve">2200149 7/14 12 pcs</s:t>
              </s:r>
            </s:text>
          </item>
        </commentChain>
      </unresolved>
      <resolved/>
    </commentChains>
    <commentChains s:ref="S1052" rgbClr="FF0000">
      <unresolved>
        <commentChain chainId="aeae99e21c1264bd122e52e9b25c8c8d937e9341">
          <item id="29b3d658ac21be5ac0b1390907c4f10cb922ce89" userID="1715258932" userName="严新荟" dateTime="2026-07-09T06:30:19" isNormal="0">
            <s:text>
              <s:r>
                <s:t xml:space="preserve">6/8 上UPC贴纸 36 pcs
7/1 客供亚马逊外箱贴纸 3 pcs</s:t>
              </s:r>
            </s:text>
          </item>
        </commentChain>
      </unresolved>
      <resolved/>
    </commentChains>
    <commentChains s:ref="Q1053" rgbClr="FF0000">
      <unresolved>
        <commentChain chainId="a21ec365b9a9128aca7ab934b94fcc2d7476bb86">
          <item id="cf8efaba705731490f5582b54ed234469f033c84" userID="1715258932" userName="严新荟" dateTime="2026-07-15T03:11:14" isNormal="0">
            <s:text>
              <s:r>
                <s:t xml:space="preserve">2200149 7/14 12 pcs</s:t>
              </s:r>
            </s:text>
          </item>
        </commentChain>
      </unresolved>
      <resolved/>
    </commentChains>
    <commentChains s:ref="Q1054" rgbClr="FF0000">
      <unresolved>
        <commentChain chainId="2420f8c32ff17524ee4ea09d3c5c737c4627c5a9">
          <item id="1c16adff1bdf5deee1257870c9ea5582094450be" userID="1715258932" userName="严新荟" dateTime="2026-07-15T03:11:14" isNormal="0">
            <s:text>
              <s:r>
                <s:t xml:space="preserve">2200149 7/14 12 pcs</s:t>
              </s:r>
            </s:text>
          </item>
        </commentChain>
      </unresolved>
      <resolved/>
    </commentChains>
    <commentChains s:ref="Q1055" rgbClr="FF0000">
      <unresolved>
        <commentChain chainId="e0fd0438f43f8553656d058fcd871deb5bcbd0c0">
          <item id="867c97926231eb4b85b68a74418917c2358dc064" userID="1715258932" userName="严新荟" dateTime="2026-07-22T02:19:12" isNormal="0">
            <s:text>
              <s:r>
                <s:t xml:space="preserve">2200205 7/21 732 PCS</s:t>
              </s:r>
            </s:text>
          </item>
        </commentChain>
      </unresolved>
      <resolved/>
    </commentChains>
    <commentChains s:ref="S1055" rgbClr="FF0000">
      <unresolved>
        <commentChain chainId="48c8621cf278a5ccfa55a8f5ea358046736ac5fa">
          <item id="0c9f8683a4467bb5f6ee2cfb03b547080bac3609" userID="1715258932" userName="严新荟" dateTime="2026-07-17T01:43:00" isNormal="0">
            <s:text>
              <s:r>
                <s:t xml:space="preserve">7/11 上UPC/进口商贴纸 732 pcs</s:t>
              </s:r>
            </s:text>
          </item>
        </commentChain>
      </unresolved>
      <resolved/>
    </commentChains>
    <commentChains s:ref="Q1056" rgbClr="FF0000">
      <unresolved>
        <commentChain chainId="69ee063a06e9212e7845133f51615b584f852577">
          <item id="ad71fd67e2df165586fb2be3f3bb4aa9e45f9b9f" userID="1715258932" userName="严新荟" dateTime="2026-07-22T02:19:26" isNormal="0">
            <s:text>
              <s:r>
                <s:t xml:space="preserve">2200205 7/21 420 PCS</s:t>
              </s:r>
            </s:text>
          </item>
        </commentChain>
      </unresolved>
      <resolved/>
    </commentChains>
    <commentChains s:ref="S1056" rgbClr="FF0000">
      <unresolved>
        <commentChain chainId="6b59bb7909c52f40d6cf0af0cd325371664ad54b">
          <item id="871dfd6b120f481773c9eb82b8a913bdd8d66ad4" userID="1715258932" userName="严新荟" dateTime="2026-07-14T02:20:11" isNormal="0">
            <s:text>
              <s:r>
                <s:t xml:space="preserve">7/13 上UPC条码/进口商贴纸 420 pcs</s:t>
              </s:r>
            </s:text>
          </item>
        </commentChain>
      </unresolved>
      <resolved/>
    </commentChains>
    <commentChains s:ref="Q1057" rgbClr="FF0000">
      <unresolved>
        <commentChain chainId="0b6c5d8b7e9c024e20aee836a7b9b4eab8c3ddb6">
          <item id="d1d4cf041032ef5aac8afb88743ea637da03f0e4" userID="1715258932" userName="严新荟" dateTime="2026-07-15T03:11:14" isNormal="0">
            <s:text>
              <s:r>
                <s:t xml:space="preserve">2200149 7/14 36 pcs</s:t>
              </s:r>
            </s:text>
          </item>
        </commentChain>
      </unresolved>
      <resolved/>
    </commentChains>
    <commentChains s:ref="S1057" rgbClr="FF0000">
      <unresolved>
        <commentChain chainId="72db7df978949ffa3c492b90d38229b148b67e57">
          <item id="58f2109ed2501081feb23296b3f9c91b00bc30fb" userID="1715258932" userName="严新荟" dateTime="2026-07-09T06:31:00" isNormal="0">
            <s:text>
              <s:r>
                <s:t xml:space="preserve">6/8 上UPC贴纸 36 pcs
7/10 上客供亚马逊外箱贴纸 3 pcs</s:t>
              </s:r>
            </s:text>
          </item>
        </commentChain>
      </unresolved>
      <resolved/>
    </commentChains>
    <commentChains s:ref="Q1058" rgbClr="FF0000">
      <unresolved>
        <commentChain chainId="c0627d2fb2de078e3686f9184560d998fa3f0465">
          <item id="35bfb26ce9f4cfe81febe20ac1efd18ba4ddbfbb" userID="1715258932" userName="严新荟" dateTime="2026-08-14T00:41:37" isNormal="0">
            <s:text>
              <s:r>
                <s:t xml:space="preserve">2200627 8/12 2400 PCS</s:t>
              </s:r>
            </s:text>
          </item>
        </commentChain>
      </unresolved>
      <resolved/>
    </commentChains>
    <commentChains s:ref="S1058" rgbClr="FF0000">
      <unresolved>
        <commentChain chainId="6994bc06f6c9681136762466a995d1318499165a">
          <item id="b569002bd16ef34d31d035462813bcf3b15be9f6" userID="1715258932" userName="严新荟" dateTime="2026-06-02T13:09:16" isNormal="0">
            <s:text>
              <s:r>
                <s:t xml:space="preserve">5/26 上进口商贴纸 6408 pcs</s:t>
              </s:r>
            </s:text>
          </item>
          <item id="fed4bf9ec5fb2b3dec9073b1cbd8592d8dd98676" userID="1715258932" userName="严新荟" dateTime="2026-06-02T13:09:45" isNormal="0">
            <s:text>
              <s:r>
                <s:t xml:space="preserve">5/29 上口水胶贴纸 15816 pcs</s:t>
              </s:r>
            </s:text>
          </item>
        </commentChain>
      </unresolved>
      <resolved>
        <commentChain chainId="350d960107c043f213bc248d13d2ec57af897e7f">
          <item id="5fc4f4db6c58dc9590d60546b94a8f90b201e371" userID="1715258932" userName="严新荟" dateTime="2026-06-02T13:05:50" isNormal="0">
            <s:text>
              <s:r>
                <s:t xml:space="preserve">5/29 上口水胶贴纸 15816 pcs</s:t>
              </s:r>
            </s:text>
          </item>
        </commentChain>
      </resolved>
    </commentChains>
    <commentChains s:ref="Q1059" rgbClr="FF0000">
      <unresolved>
        <commentChain chainId="a0e395ae97b2e4ff22ac731247ca5ed82a459635">
          <item id="0c9c0ba915f5592b4f4e108e60a9278054e5a3be" userID="1715258932" userName="严新荟" dateTime="2026-08-14T00:48:55" isNormal="0">
            <s:text>
              <s:r>
                <s:t xml:space="preserve">2200624 8/12 2400 pcs</s:t>
              </s:r>
            </s:text>
          </item>
        </commentChain>
      </unresolved>
      <resolved/>
    </commentChains>
    <commentChains s:ref="S1059" rgbClr="FF0000">
      <unresolved>
        <commentChain chainId="b2534961a62ddee630e8aaca09683835b9abb6a3">
          <item id="20edec46286fac32b33b38e034b5fb502b60af58" userID="1715258932" userName="严新荟" dateTime="2026-06-02T13:09:16" isNormal="0">
            <s:text>
              <s:r>
                <s:t xml:space="preserve">5/26 上进口商贴纸 6408 pcs</s:t>
              </s:r>
            </s:text>
          </item>
          <item id="07792e0f7b1d1c0997bdd5d8c674a78965e3d71b" userID="1715258932" userName="严新荟" dateTime="2026-06-02T13:09:45" isNormal="0">
            <s:text>
              <s:r>
                <s:t xml:space="preserve">5/29 上口水胶贴纸 15816 pcs</s:t>
              </s:r>
            </s:text>
          </item>
        </commentChain>
      </unresolved>
      <resolved>
        <commentChain chainId="934fb51c8c7cd8e062bfabc901badaa61f9e372e">
          <item id="d7da8ded97c035df43d4d6077f326228f8ba24ea" userID="1715258932" userName="严新荟" dateTime="2026-06-02T13:05:50" isNormal="0">
            <s:text>
              <s:r>
                <s:t xml:space="preserve">5/29 上口水胶贴纸 15816 pcs</s:t>
              </s:r>
            </s:text>
          </item>
        </commentChain>
      </resolved>
    </commentChains>
    <commentChains s:ref="Q1060" rgbClr="FF0000">
      <unresolved>
        <commentChain chainId="dea504ad5537697bace74a930c60e91ce40c643c">
          <item id="16584492225fc6d59048e5645fcc1f7276c7defa" userID="1715258932" userName="严新荟" dateTime="2026-08-14T00:41:59" isNormal="0">
            <s:text>
              <s:r>
                <s:t xml:space="preserve">2200627 8/12 708 PCS
2200624 8/12 900 pcs</s:t>
              </s:r>
            </s:text>
          </item>
        </commentChain>
      </unresolved>
      <resolved/>
    </commentChains>
    <commentChains s:ref="S1060" rgbClr="FF0000">
      <unresolved>
        <commentChain chainId="01525ba6443286c5b0aeae83a74dbe4a5bc7596c">
          <item id="9fd63046d2184d5f1ef023cf4b33e5013b504b34" userID="1715258932" userName="严新荟" dateTime="2026-06-02T13:09:16" isNormal="0">
            <s:text>
              <s:r>
                <s:t xml:space="preserve">5/26 上进口商贴纸 6408 pcs</s:t>
              </s:r>
            </s:text>
          </item>
          <item id="c8474174d0c8d4b03bd9c20f1873fb81bed9492a" userID="1715258932" userName="严新荟" dateTime="2026-06-02T13:09:45" isNormal="0">
            <s:text>
              <s:r>
                <s:t xml:space="preserve">5/29 上口水胶贴纸 15816 pcs</s:t>
              </s:r>
            </s:text>
          </item>
        </commentChain>
      </unresolved>
      <resolved>
        <commentChain chainId="381a4b1fa2673c291df230d4649d5587ecfcbff0">
          <item id="048859e2ba0f904a1dae553c002e3a140e6dc10d" userID="1715258932" userName="严新荟" dateTime="2026-06-02T13:05:50" isNormal="0">
            <s:text>
              <s:r>
                <s:t xml:space="preserve">5/29 上口水胶贴纸 15816 pcs</s:t>
              </s:r>
            </s:text>
          </item>
        </commentChain>
      </resolved>
    </commentChains>
    <commentChains s:ref="S1061" rgbClr="FF0000">
      <unresolved>
        <commentChain chainId="dd20c8cd1acabafafbc54ee32560e80cdbf51947">
          <item id="5aabe0f53970b88f7c8eaac27e13567666d4ca6a" isNormal="1">
            <s:text>
              <s:r>
                <s:t xml:space="preserve">Administrator:
3/26 上UPC条码贴纸 48 pcs
     上进口商贴纸 48 pcs</s:t>
              </s:r>
            </s:text>
          </item>
        </commentChain>
      </unresolved>
      <resolved/>
    </commentChains>
  </commentList>
  <commentList sheetStid="43">
    <commentChains s:ref="BF3" rgbClr="FF0000">
      <unresolved>
        <commentChain chainId="5ef42d67e8e2cea64d7f5e139ddfc955b990bed7">
          <item id="365a07f2e32d365dbd359d2608073a4d4f69f252" isNormal="1">
            <s:text>
              <s:r>
                <s:t xml:space="preserve">
根据实单订购PDQ</s:t>
              </s:r>
            </s:text>
          </item>
        </commentChain>
      </unresolved>
      <resolved/>
    </commentChains>
    <commentChains s:ref="Q247" rgbClr="FF0000">
      <unresolved>
        <commentChain chainId="dc986c4f14fc5bfe1e94ff296ff506b38321fd73">
          <item id="96f40d0490cf6be4f2b8abd50290604619291458" isNormal="1">
            <s:text>
              <s:r>
                <s:t xml:space="preserve">Administrator:
4000407 9/13 45 PCS</s:t>
              </s:r>
            </s:text>
          </item>
        </commentChain>
      </unresolved>
      <resolved/>
    </commentChains>
    <commentChains s:ref="Q478" rgbClr="FF0000">
      <unresolved>
        <commentChain chainId="a8c07d5a048b47c17db8174ab5d3470df6ea273e">
          <item id="77f674f4b69421793dd000bf3aa9d3d84fdcdc76" isNormal="1">
            <s:text>
              <s:r>
                <s:t xml:space="preserve">Administrator:
4000087 8/29 1176PCS</s:t>
              </s:r>
            </s:text>
          </item>
        </commentChain>
      </unresolved>
      <resolved/>
    </commentChains>
    <commentChains s:ref="Q485" rgbClr="FF0000">
      <unresolved>
        <commentChain chainId="ee9787b0080c4e20648c6da62a207356ecdb9e18">
          <item id="d87fed7cd85c2c817f185362ca01d25cf629bc63" isNormal="1">
            <s:text>
              <s:r>
                <s:t xml:space="preserve">Administrator:
4000076 9/2 480 PCS</s:t>
              </s:r>
            </s:text>
          </item>
        </commentChain>
      </unresolved>
      <resolved/>
    </commentChains>
    <commentChains s:ref="Q486" rgbClr="FF0000">
      <unresolved>
        <commentChain chainId="f8fe8e244edb9c51a53e410d246017f6b839f0a7">
          <item id="129a28a2dc5193fe9cd028e38db87f931711f188" isNormal="1">
            <s:text>
              <s:r>
                <s:t xml:space="preserve">Administrator:
4000076 9/2 1280 PCS</s:t>
              </s:r>
            </s:text>
          </item>
        </commentChain>
      </unresolved>
      <resolved/>
    </commentChains>
    <commentChains s:ref="Q487" rgbClr="FF0000">
      <unresolved>
        <commentChain chainId="b61f623e29d257029081c3006c97b35b2aca6b0b">
          <item id="c1d3d7c2fca58d2f1a9c441fd7dfe6f78d7c11b6" isNormal="1">
            <s:text>
              <s:r>
                <s:t xml:space="preserve">Administrator:
4000076 9/2 544 PCS</s:t>
              </s:r>
            </s:text>
          </item>
        </commentChain>
      </unresolved>
      <resolved/>
    </commentChains>
    <commentChains s:ref="Q488" rgbClr="FF0000">
      <unresolved>
        <commentChain chainId="7cd1040f0cf012d3bad3f06fe00024f3869db521">
          <item id="8cdf675a8c2db3b0f312ad023d9147fac3eed43c" isNormal="1">
            <s:text>
              <s:r>
                <s:t xml:space="preserve">Administrator:
4000068 9/1 7488 PCS
4000038 9/3 6 PCS</s:t>
              </s:r>
            </s:text>
          </item>
        </commentChain>
      </unresolved>
      <resolved/>
    </commentChains>
    <commentChains s:ref="Q489" rgbClr="FF0000">
      <unresolved>
        <commentChain chainId="69c3bdee2d3633f8b11a956ec44c3825c061b514">
          <item id="06c60388d5696959361fee14059bc9577319dd5e" isNormal="1">
            <s:text>
              <s:r>
                <s:t xml:space="preserve">Administrator:
4000036 9/3 96PCS</s:t>
              </s:r>
            </s:text>
          </item>
        </commentChain>
      </unresolved>
      <resolved/>
    </commentChains>
    <commentChains s:ref="Q490" rgbClr="FF0000">
      <unresolved>
        <commentChain chainId="0e4920a3f4a312363a45e4e3aeb5136aa95ce1d2">
          <item id="45796d0252f005e2c7c5dc864f71645ec3b524cb" isNormal="1">
            <s:text>
              <s:r>
                <s:t xml:space="preserve">Administrator:
4000036 9/3 64 PCS</s:t>
              </s:r>
            </s:text>
          </item>
        </commentChain>
      </unresolved>
      <resolved/>
    </commentChains>
    <commentChains s:ref="Q491" rgbClr="FF0000">
      <unresolved>
        <commentChain chainId="c64142697e9867c335d0aebf299cfabf23c16a00">
          <item id="c186eb457f2169659b6f250e221a986d553e17f0" isNormal="1">
            <s:text>
              <s:r>
                <s:t xml:space="preserve">Administrator:
4000036 9/3 32 PCS</s:t>
              </s:r>
            </s:text>
          </item>
        </commentChain>
      </unresolved>
      <resolved/>
    </commentChains>
    <commentChains s:ref="Q492" rgbClr="FF0000">
      <unresolved>
        <commentChain chainId="26517169dab547dae7c4775c11cbef35dcd380d7">
          <item id="201d0572a9a523f1e2d9b2ca623ecaedb320c78e" isNormal="1">
            <s:text>
              <s:r>
                <s:t xml:space="preserve">Administrator:
4000036 9/3 128 PCS</s:t>
              </s:r>
            </s:text>
          </item>
        </commentChain>
      </unresolved>
      <resolved/>
    </commentChains>
    <commentChains s:ref="Q493" rgbClr="FF0000">
      <unresolved>
        <commentChain chainId="ab580a9897818203a7f36736452c0e91d5cca181">
          <item id="2f5f783bf47ab8c71df4d00d273b4c00b269a865" isNormal="1">
            <s:text>
              <s:r>
                <s:t xml:space="preserve">Administrator:
4000036 9/3 64 PCS</s:t>
              </s:r>
            </s:text>
          </item>
        </commentChain>
      </unresolved>
      <resolved/>
    </commentChains>
    <commentChains s:ref="Q494" rgbClr="FF0000">
      <unresolved>
        <commentChain chainId="c4b066e161553e1454424aae9f54c75932353502">
          <item id="20cd2263c9a5a1ae59de5a961e5926e94286a5f4" isNormal="1">
            <s:text>
              <s:r>
                <s:t xml:space="preserve">Administrator:
4000036 9/3 96PCS</s:t>
              </s:r>
            </s:text>
          </item>
        </commentChain>
      </unresolved>
      <resolved/>
    </commentChains>
    <commentChains s:ref="Q495" rgbClr="FF0000">
      <unresolved>
        <commentChain chainId="4e937c40def729e6b7860ecf52887df7a797c6e9">
          <item id="e713afbb6c9e8a61e758a0b1056479bb1b1850d9" isNormal="1">
            <s:text>
              <s:r>
                <s:t xml:space="preserve">Administrator:
4000036 9/3 32 PCS</s:t>
              </s:r>
            </s:text>
          </item>
        </commentChain>
      </unresolved>
      <resolved/>
    </commentChains>
    <commentChains s:ref="Q496" rgbClr="FF0000">
      <unresolved>
        <commentChain chainId="e3165c29df611acd3af1703ef4dd9451d7707a81">
          <item id="35ae5a595db9a444956026167ae664b85366ec91" isNormal="1">
            <s:text>
              <s:r>
                <s:t xml:space="preserve">Administrator:
4000045 9/2 954 PCS
4000038 9/3 6 PCS</s:t>
              </s:r>
            </s:text>
          </item>
        </commentChain>
      </unresolved>
      <resolved/>
    </commentChains>
    <commentChains s:ref="Q497" rgbClr="FF0000">
      <unresolved>
        <commentChain chainId="6da212661104de149701f216a9233ce0a01eb160">
          <item id="6245a2c19c3008e0d0dc7dcc9b78e582e7c83f11" isNormal="1">
            <s:text>
              <s:r>
                <s:t xml:space="preserve">Administrator:
4000045 9/2 2394 PCS
4000038 9/3 6PCS</s:t>
              </s:r>
            </s:text>
          </item>
        </commentChain>
      </unresolved>
      <resolved/>
    </commentChains>
    <commentChains s:ref="Q498" rgbClr="FF0000">
      <unresolved>
        <commentChain chainId="72733ff41782574b108d8e26f7a7766a1481af43">
          <item id="e88663cbeecf253dd389693f3e0d84dfa94c0fc2" isNormal="1">
            <s:text>
              <s:r>
                <s:t xml:space="preserve">Administrator:
4000033 9/3 32 PCS</s:t>
              </s:r>
            </s:text>
          </item>
        </commentChain>
      </unresolved>
      <resolved/>
    </commentChains>
    <commentChains s:ref="Q499" rgbClr="FF0000">
      <unresolved>
        <commentChain chainId="0411dc3aa4ec0e843640563958e4b44ab1d42e54">
          <item id="76f954096021579e48e9d84504f7240e74155d2a" isNormal="1">
            <s:text>
              <s:r>
                <s:t xml:space="preserve">Administrator:
4000033 9/3 64 PCS</s:t>
              </s:r>
            </s:text>
          </item>
        </commentChain>
      </unresolved>
      <resolved/>
    </commentChains>
    <commentChains s:ref="Q500" rgbClr="FF0000">
      <unresolved>
        <commentChain chainId="6d716918f6b6a7d6e1d6f4aaa293e92cc7048dcd">
          <item id="50574c7833783ec799888dd17df4e29f36d03c7d" isNormal="1">
            <s:text>
              <s:r>
                <s:t xml:space="preserve">Administrator:
4000033 9/3 192 PCS</s:t>
              </s:r>
            </s:text>
          </item>
        </commentChain>
      </unresolved>
      <resolved/>
    </commentChains>
    <commentChains s:ref="Q501" rgbClr="FF0000">
      <unresolved>
        <commentChain chainId="37ba9203012dec6d949f64060509c830ff697f78">
          <item id="6c4b29474ab0ac8e90e7db842ebcde6572be79e0" isNormal="1">
            <s:text>
              <s:r>
                <s:t xml:space="preserve">Administrator:
4000033 9/3 32 PCS</s:t>
              </s:r>
            </s:text>
          </item>
        </commentChain>
      </unresolved>
      <resolved/>
    </commentChains>
    <commentChains s:ref="Q502" rgbClr="FF0000">
      <unresolved>
        <commentChain chainId="ae489b495d92ae36f2bec9b328ce65d4bd6074dc">
          <item id="a047154799212c7bbc13e7c4ec9a3684fffa34ef" isNormal="1">
            <s:text>
              <s:r>
                <s:t xml:space="preserve">Administrator:
4000033 9/3 64 PCS</s:t>
              </s:r>
            </s:text>
          </item>
        </commentChain>
      </unresolved>
      <resolved/>
    </commentChains>
    <commentChains s:ref="Q503" rgbClr="FF0000">
      <unresolved>
        <commentChain chainId="ddbf50e539a105d645182d0f8f06c3b0bf4ce800">
          <item id="01c82395ead6dca5ce1c9c2751c6a2991da3058c" isNormal="1">
            <s:text>
              <s:r>
                <s:t xml:space="preserve">Administrator:
4000033 9/3 96 PCS</s:t>
              </s:r>
            </s:text>
          </item>
        </commentChain>
      </unresolved>
      <resolved/>
    </commentChains>
    <commentChains s:ref="Q504" rgbClr="FF0000">
      <unresolved>
        <commentChain chainId="5c9d1fdcc6812dc8a9806ff3fbd3aecf4fe9d6a2">
          <item id="1fbcd4096abba2aa39e70fca7e928a103685bfd8" isNormal="1">
            <s:text>
              <s:r>
                <s:t xml:space="preserve">Administrator:
4000035 9/3 32 PCS</s:t>
              </s:r>
            </s:text>
          </item>
        </commentChain>
      </unresolved>
      <resolved/>
    </commentChains>
    <commentChains s:ref="Q505" rgbClr="FF0000">
      <unresolved>
        <commentChain chainId="adba3c4dabeb80c6116f631a034908dd57b4daff">
          <item id="863016c79311a899a70e456ac318faa2eec528e7" isNormal="1">
            <s:text>
              <s:r>
                <s:t xml:space="preserve">Administrator:
4000035 9/3 96 PCS</s:t>
              </s:r>
            </s:text>
          </item>
        </commentChain>
      </unresolved>
      <resolved/>
    </commentChains>
    <commentChains s:ref="Q506" rgbClr="FF0000">
      <unresolved>
        <commentChain chainId="23e1507b50bcbe1dc7c82b37e2bf6673412834d8">
          <item id="ac389401d4da114028502f7736a2d094ad717ad8" isNormal="1">
            <s:text>
              <s:r>
                <s:t xml:space="preserve">Administrator:
4000035 9/3 32 PCS</s:t>
              </s:r>
            </s:text>
          </item>
        </commentChain>
      </unresolved>
      <resolved/>
    </commentChains>
    <commentChains s:ref="Q507" rgbClr="FF0000">
      <unresolved>
        <commentChain chainId="ac4305ee0c769a77ea70a9ea05820e12ccdf8c06">
          <item id="5c4e0658349e48fc5ff1bb1fa128ab9f33e928a3" isNormal="1">
            <s:text>
              <s:r>
                <s:t xml:space="preserve">Administrator:
4000035 9/3 64 PCS</s:t>
              </s:r>
            </s:text>
          </item>
        </commentChain>
      </unresolved>
      <resolved/>
    </commentChains>
    <commentChains s:ref="Q508" rgbClr="FF0000">
      <unresolved>
        <commentChain chainId="6515ce5863b948d21a5a69abc8a36d1ba71c3d85">
          <item id="08db194f7f866ef598e768cdb42e2f0701de9e87" isNormal="1">
            <s:text>
              <s:r>
                <s:t xml:space="preserve">Administrator:
4000035 9/3 160 PCS</s:t>
              </s:r>
            </s:text>
          </item>
        </commentChain>
      </unresolved>
      <resolved/>
    </commentChains>
    <commentChains s:ref="Q509" rgbClr="FF0000">
      <unresolved>
        <commentChain chainId="3771bce12a1c98116c305d284169ae5071c588ec">
          <item id="abab63aef86227d69c98744c7d2eae0fa62cb629" isNormal="1">
            <s:text>
              <s:r>
                <s:t xml:space="preserve">Administrator:
4000035 9/3 32 PCS</s:t>
              </s:r>
            </s:text>
          </item>
        </commentChain>
      </unresolved>
      <resolved/>
    </commentChains>
    <commentChains s:ref="Q510" rgbClr="FF0000">
      <unresolved>
        <commentChain chainId="a3c09c7d12202fa1bb98a088c8659f24ea89b40b">
          <item id="efcc60d0b7b1668687c14c32cd4571413c878ee2" isNormal="1">
            <s:text>
              <s:r>
                <s:t xml:space="preserve">Administrator:
4000035 9/3 96 PCS</s:t>
              </s:r>
            </s:text>
          </item>
        </commentChain>
      </unresolved>
      <resolved/>
    </commentChains>
    <commentChains s:ref="Q511" rgbClr="FF0000">
      <unresolved>
        <commentChain chainId="458b04a9a90e49a513b7090632807f35dfdbe8c1">
          <item id="0000d9ad64f64cc37b2bc62e861ffa31b79ef593" isNormal="1">
            <s:text>
              <s:r>
                <s:t xml:space="preserve">Administrator:
4000037 9/3 32 PCS</s:t>
              </s:r>
            </s:text>
          </item>
        </commentChain>
      </unresolved>
      <resolved/>
    </commentChains>
    <commentChains s:ref="Q512" rgbClr="FF0000">
      <unresolved>
        <commentChain chainId="803425c8a71a427570f02ea619a4b856cf1ef504">
          <item id="8c1333f9eb707b2e02c099684e1bcc9407ec27a7" isNormal="1">
            <s:text>
              <s:r>
                <s:t xml:space="preserve">Administrator:
4000037 9/3 96 PCS</s:t>
              </s:r>
            </s:text>
          </item>
        </commentChain>
      </unresolved>
      <resolved/>
    </commentChains>
    <commentChains s:ref="Q513" rgbClr="FF0000">
      <unresolved>
        <commentChain chainId="60d630898c734121433a969fc1623aac363e5616">
          <item id="7abee84766fec2e80e8c491de5f108e7c6462342" isNormal="1">
            <s:text>
              <s:r>
                <s:t xml:space="preserve">Administrator:
4000037 9/3 32 PCS</s:t>
              </s:r>
            </s:text>
          </item>
        </commentChain>
      </unresolved>
      <resolved/>
    </commentChains>
    <commentChains s:ref="Q514" rgbClr="FF0000">
      <unresolved>
        <commentChain chainId="8705b98f8613589a2dc1806f1ab4b8621d826849">
          <item id="88a58ba8b1629b421da44581fa6adf7d2dc3a740" isNormal="1">
            <s:text>
              <s:r>
                <s:t xml:space="preserve">Administrator:
4000037 9/3 160 PCS</s:t>
              </s:r>
            </s:text>
          </item>
        </commentChain>
      </unresolved>
      <resolved/>
    </commentChains>
    <commentChains s:ref="Q515" rgbClr="FF0000">
      <unresolved>
        <commentChain chainId="8c593ce0dea7ff2d6845db514711aff70d34d4c8">
          <item id="65261492d8adc6c7f211fc88b004e3fa2ca1685e" isNormal="1">
            <s:text>
              <s:r>
                <s:t xml:space="preserve">Administrator:
4000037 9/3 64 PCS</s:t>
              </s:r>
            </s:text>
          </item>
        </commentChain>
      </unresolved>
      <resolved/>
    </commentChains>
    <commentChains s:ref="Q516" rgbClr="FF0000">
      <unresolved>
        <commentChain chainId="5a82270377e48a72e9ea3f384d7abf8abc41bf71">
          <item id="d0e9cd8630c1d09ea3b7c7b632070f96eb92f707" isNormal="1">
            <s:text>
              <s:r>
                <s:t xml:space="preserve">Administrator:
4000037 9/3 96 PCS</s:t>
              </s:r>
            </s:text>
          </item>
        </commentChain>
      </unresolved>
      <resolved/>
    </commentChains>
    <commentChains s:ref="Q517" rgbClr="FF0000">
      <unresolved>
        <commentChain chainId="29f690fc7d96ba51d9370a14a22a5d2442cd3ffd">
          <item id="c59315e9e52febe70fb59c9d76535a1accdc37d1" isNormal="1">
            <s:text>
              <s:r>
                <s:t xml:space="preserve">Administrator:
4000037 9/3 224 PCS</s:t>
              </s:r>
            </s:text>
          </item>
        </commentChain>
      </unresolved>
      <resolved/>
    </commentChains>
    <commentChains s:ref="Q518" rgbClr="FF0000">
      <unresolved>
        <commentChain chainId="7ee8eb17c5fca14ac02ec030ce547db4a8020573">
          <item id="01f9a19a704bc6b6c13e3bfa80beb0c6ecf90a39" isNormal="1">
            <s:text>
              <s:r>
                <s:t xml:space="preserve">Administrator:
4000037 9/3 96 PCS</s:t>
              </s:r>
            </s:text>
          </item>
        </commentChain>
      </unresolved>
      <resolved/>
    </commentChains>
    <commentChains s:ref="Q519" rgbClr="FF0000">
      <unresolved>
        <commentChain chainId="4e8bd0aa995b5987ea6eac8683f734bcde7d542e">
          <item id="19fb579491bf88946cf46a65020cfd62a693151d" isNormal="1">
            <s:text>
              <s:r>
                <s:t xml:space="preserve">Administrator:
4000366 9/5 1560 PCS</s:t>
              </s:r>
            </s:text>
          </item>
        </commentChain>
      </unresolved>
      <resolved/>
    </commentChains>
    <commentChains s:ref="Q520" rgbClr="FF0000">
      <unresolved>
        <commentChain chainId="508867d9be0b10942d0c10fea717066ad7c61bf1">
          <item id="ed3fdfb9e7d1622e325df181a7d42236af3f3c92" isNormal="1">
            <s:text>
              <s:r>
                <s:t xml:space="preserve">Administrator:
4000383 9/4 600 PCS</s:t>
              </s:r>
            </s:text>
          </item>
        </commentChain>
      </unresolved>
      <resolved/>
    </commentChains>
    <commentChains s:ref="Q521" rgbClr="FF0000">
      <unresolved>
        <commentChain chainId="6ff60c325fc09a0face4199ffefe80d5e1eb266b">
          <item id="6ef445554a50480b8d7689df5393550237a89d53" isNormal="1">
            <s:text>
              <s:r>
                <s:t xml:space="preserve">Administrator:
4000374 9/5 72 PCS
4000012 9/4 5928 PCS</s:t>
              </s:r>
            </s:text>
          </item>
        </commentChain>
      </unresolved>
      <resolved/>
    </commentChains>
    <commentChains s:ref="Q522" rgbClr="FF0000">
      <unresolved>
        <commentChain chainId="3c62d27ee5ba35402f24492cc108654565ac2054">
          <item id="5ab57da02c60813176cc9a37131e74d320396e92" isNormal="1">
            <s:text>
              <s:r>
                <s:t xml:space="preserve">Administrator:
4000487 9/9 96 pcs
4000497 9/8 82 pcs
3001943 9/6 2376 pcs
3001362 9/6 10784 pcs</s:t>
              </s:r>
            </s:text>
          </item>
        </commentChain>
      </unresolved>
      <resolved/>
    </commentChains>
    <commentChains s:ref="Q523" rgbClr="FF0000">
      <unresolved>
        <commentChain chainId="f3eca7fcc6e8d0c5f06832075d264ddc39efa743">
          <item id="3e2da3a771dac41f8cfdde600c3c701b8138db72" isNormal="1">
            <s:text>
              <s:r>
                <s:t xml:space="preserve">Administrator:
4000480 9/10 6 pcs
4000507 9/5 4794 pcs</s:t>
              </s:r>
            </s:text>
          </item>
        </commentChain>
      </unresolved>
      <resolved/>
    </commentChains>
    <commentChains s:ref="Q524" rgbClr="FF0000">
      <unresolved>
        <commentChain chainId="76826000b08df80489e686e056a24877f793fc26">
          <item id="f989124e3fc2d0ac6be5498c411216488bc97ba2" isNormal="1">
            <s:text>
              <s:r>
                <s:t xml:space="preserve">Administrator:
4000445 9/11 312 PCS</s:t>
              </s:r>
            </s:text>
          </item>
        </commentChain>
      </unresolved>
      <resolved/>
    </commentChains>
    <commentChains s:ref="Q525" rgbClr="FF0000">
      <unresolved>
        <commentChain chainId="8c88a32b795d9c17834783e18f7a4903fa5e4da6">
          <item id="71c5fb0a6ec2aa0e6fd3986f4cc0c615cd433390" isNormal="1">
            <s:text>
              <s:r>
                <s:t xml:space="preserve">Administrator:
4000425 9/12 24 PCS
4000480 9/10 264 pcs
</s:t>
              </s:r>
            </s:text>
          </item>
        </commentChain>
      </unresolved>
      <resolved/>
    </commentChains>
    <commentChains s:ref="Q526" rgbClr="FF0000">
      <unresolved>
        <commentChain chainId="98c9c5ecaa4251d09f56623317d52e65d4d233df">
          <item id="7ba85780e95364f4010e3dae3b99e27cbef2c527" isNormal="1">
            <s:text>
              <s:r>
                <s:t xml:space="preserve">Administrator:
4000480 9/10 288 pcs</s:t>
              </s:r>
            </s:text>
          </item>
        </commentChain>
      </unresolved>
      <resolved/>
    </commentChains>
    <commentChains s:ref="Q527" rgbClr="FF0000">
      <unresolved>
        <commentChain chainId="d69864e78ab287424bb766af702a1df3779e07a8">
          <item id="8f58d39e4aee605dae9c7ea8c6df0ce0fdb91311" isNormal="1">
            <s:text>
              <s:r>
                <s:t xml:space="preserve">Administrator:
4000480 9/10 288 pcs</s:t>
              </s:r>
            </s:text>
          </item>
        </commentChain>
      </unresolved>
      <resolved/>
    </commentChains>
    <commentChains s:ref="Q528" rgbClr="FF0000">
      <unresolved>
        <commentChain chainId="25cc6347533c2254ea10f1e96c4bc1e2e023ba0a">
          <item id="f69643451b9fe09a341ff6c20d043c662eddec0c" isNormal="1">
            <s:text>
              <s:r>
                <s:t xml:space="preserve">Administrator:
4000420 9/11 1200 PCS</s:t>
              </s:r>
            </s:text>
          </item>
        </commentChain>
      </unresolved>
      <resolved/>
    </commentChains>
    <commentChains s:ref="Q529" rgbClr="FF0000">
      <unresolved>
        <commentChain chainId="1058c1aa4e5f83f48dba5f413d026154a5980fd6">
          <item id="3d6e8634afc19e62f19f7ecc70f7e437b0623e2f" isNormal="1">
            <s:text>
              <s:r>
                <s:t xml:space="preserve">Administrator:
4000408 9/13 120 PCS</s:t>
              </s:r>
            </s:text>
          </item>
        </commentChain>
      </unresolved>
      <resolved/>
    </commentChains>
    <commentChains s:ref="Q530" rgbClr="FF0000">
      <unresolved>
        <commentChain chainId="d0c9a569a2d28f0324b7e33cd764e7bd93f7d3d9">
          <item id="b5b2a49e00d222f04156d8ee6880a6dbf1b5ea9a" isNormal="1">
            <s:text>
              <s:r>
                <s:t xml:space="preserve">Administrator:
4000408 9/13 120 PCS</s:t>
              </s:r>
            </s:text>
          </item>
        </commentChain>
      </unresolved>
      <resolved/>
    </commentChains>
    <commentChains s:ref="Q531" rgbClr="FF0000">
      <unresolved>
        <commentChain chainId="3e916d69d11d9dff8cb778823c62501eb0e5185f">
          <item id="71a70b3deff879657ceeab5dd9c90bb130c6bdf7" isNormal="1">
            <s:text>
              <s:r>
                <s:t xml:space="preserve">Administrator:
4000408 9/13 120 PCS</s:t>
              </s:r>
            </s:text>
          </item>
        </commentChain>
      </unresolved>
      <resolved/>
    </commentChains>
    <commentChains s:ref="Q532" rgbClr="FF0000">
      <unresolved>
        <commentChain chainId="b84e949fdc03baa603694ed09c8fc483094bbe76">
          <item id="df2b05ca3a07287a261a9dfaf083721105351973" isNormal="1">
            <s:text>
              <s:r>
                <s:t xml:space="preserve">Administrator:
4000408 9/13 120 PCS</s:t>
              </s:r>
            </s:text>
          </item>
        </commentChain>
      </unresolved>
      <resolved/>
    </commentChains>
    <commentChains s:ref="Q533" rgbClr="FF0000">
      <unresolved>
        <commentChain chainId="8e438e66bfdfa80ce0e979083cca3455bc708035">
          <item id="4e969f604965319ca6865722563c42c37fe5b1e1" isNormal="1">
            <s:text>
              <s:r>
                <s:t xml:space="preserve">Administrator:
4000408 9/13 120 PCS</s:t>
              </s:r>
            </s:text>
          </item>
        </commentChain>
      </unresolved>
      <resolved/>
    </commentChains>
    <commentChains s:ref="Q534" rgbClr="FF0000">
      <unresolved>
        <commentChain chainId="cc1497cee7dab8cb360f0b052eaa533b7678b720">
          <item id="3f8e88b19df22904deeca75d626ab037b6d66ebd" isNormal="1">
            <s:text>
              <s:r>
                <s:t xml:space="preserve">Administrator:
4000408 9/13 120 PCS</s:t>
              </s:r>
            </s:text>
          </item>
        </commentChain>
      </unresolved>
      <resolved/>
    </commentChains>
    <commentChains s:ref="Q535" rgbClr="FF0000">
      <unresolved>
        <commentChain chainId="bd1a2ae7fb4715f81206837db9912c086dc32f4a">
          <item id="5628ae6761f21e79a12033258547c908e643b749" isNormal="1">
            <s:text>
              <s:r>
                <s:t xml:space="preserve">Administrator:
4000119 8/28 2976PCS</s:t>
              </s:r>
            </s:text>
          </item>
        </commentChain>
      </unresolved>
      <resolved/>
    </commentChains>
    <commentChains s:ref="Q536" rgbClr="FF0000">
      <unresolved>
        <commentChain chainId="09cd5ea835513dd40effef33e607c341ac0838ba">
          <item id="975ee72aff2ba000673dde2561040a4630f69229" isNormal="1">
            <s:text>
              <s:r>
                <s:t xml:space="preserve">Administrator:
4000425 9/12 3480 PCS</s:t>
              </s:r>
            </s:text>
          </item>
        </commentChain>
      </unresolved>
      <resolved/>
    </commentChains>
    <commentChains s:ref="Q537" rgbClr="FF0000">
      <unresolved>
        <commentChain chainId="70c1f9ebcd82727aa0b1dd1409086aed09e2e2c6">
          <item id="7a0a41ee96104665bdddc3638d643727bad18518" isNormal="1">
            <s:text>
              <s:r>
                <s:t xml:space="preserve">Administrator:
4000425 9/12 1512 PCS</s:t>
              </s:r>
            </s:text>
          </item>
        </commentChain>
      </unresolved>
      <resolved/>
    </commentChains>
    <commentChains s:ref="Q538" rgbClr="FF0000">
      <unresolved>
        <commentChain chainId="2bbfb868eca485621a0a5e484549e14cadd6757c">
          <item id="364aff0219e304e81c5faa12efdd19eddee54738" isNormal="1">
            <s:text>
              <s:r>
                <s:t xml:space="preserve">Administrator:
4000412 9、15 1104 PCS</s:t>
              </s:r>
            </s:text>
          </item>
        </commentChain>
      </unresolved>
      <resolved/>
    </commentChains>
    <commentChains s:ref="Q539" rgbClr="FF0000">
      <unresolved>
        <commentChain chainId="077063d654261ab23408671235580989036e38d0">
          <item id="1e08c8fdd1a81c57b191e84db77e5bdf119e7432" isNormal="1">
            <s:text>
              <s:r>
                <s:t xml:space="preserve">Administrator:
4000412 9、15 240 PCS</s:t>
              </s:r>
            </s:text>
          </item>
        </commentChain>
      </unresolved>
      <resolved/>
    </commentChains>
    <commentChains s:ref="Q540" rgbClr="FF0000">
      <unresolved>
        <commentChain chainId="3933573eaaff1098f5792a9ab903fddf0fdbe82d">
          <item id="690a798cc0de6083abc265992dc0309e0a85fe3c" isNormal="1">
            <s:text>
              <s:r>
                <s:t xml:space="preserve">Administrator:
4000412 9、15 1152 PCS</s:t>
              </s:r>
            </s:text>
          </item>
        </commentChain>
      </unresolved>
      <resolved/>
    </commentChains>
    <commentChains s:ref="Q541" rgbClr="FF0000">
      <unresolved>
        <commentChain chainId="c19bab0a7812be835c167b562f3b78d210f065f1">
          <item id="1505f5d08a0c199b105b7a8fa7a8393200cf9941" isNormal="1">
            <s:text>
              <s:r>
                <s:t xml:space="preserve">Administrator:
4000412 9、15 468 PCS</s:t>
              </s:r>
            </s:text>
          </item>
        </commentChain>
      </unresolved>
      <resolved/>
    </commentChains>
    <commentChains s:ref="Q542" rgbClr="FF0000">
      <unresolved>
        <commentChain chainId="1cba2a636f9af02c1bde514b18deef81b7983ac5">
          <item id="e66e8a71046c66db322e6d6ea6aa1224332fa4de" isNormal="1">
            <s:text>
              <s:r>
                <s:t xml:space="preserve">Administrator:
4000412 9、15 360 PCS</s:t>
              </s:r>
            </s:text>
          </item>
        </commentChain>
      </unresolved>
      <resolved/>
    </commentChains>
    <commentChains s:ref="Q543" rgbClr="FF0000">
      <unresolved>
        <commentChain chainId="3eb083dac3a290915f2111566c77271038a35388">
          <item id="6c281d62dc3011aac176aae9fb3c469868cb30fc" isNormal="1">
            <s:text>
              <s:r>
                <s:t xml:space="preserve">Administrator:
4000911 9/17 33 PCS
4000906 9/16 288 PCS
4000905 9/16 3315 PCS
4000904 9/16 1746 PCS
4000903 9/16 3312 PCS
4000901 9/16 1872 PCS</s:t>
              </s:r>
            </s:text>
          </item>
        </commentChain>
      </unresolved>
      <resolved/>
    </commentChains>
    <commentChains s:ref="Q544" rgbClr="FF0000">
      <unresolved>
        <commentChain chainId="025be54c0599ed09d10073f104c91bdbd0939f39">
          <item id="08e682ca0db0535a03b0a5ab0989533d1fbe2bb5" isNormal="1">
            <s:text>
              <s:r>
                <s:t xml:space="preserve">Administrator:
4000903 9/16 12 PCS
4000901 9/16 1162 PCS</s:t>
              </s:r>
            </s:text>
          </item>
        </commentChain>
      </unresolved>
      <resolved/>
    </commentChains>
    <commentChains s:ref="Q545" rgbClr="FF0000">
      <unresolved>
        <commentChain chainId="0189b939256f1b6cc33780d0153c102983c8c68b">
          <item id="f1665c24e35c528ecfa9a59676770827472e802b" isNormal="1">
            <s:text>
              <s:r>
                <s:t xml:space="preserve">Administrator:
5000297 9/20 432 PCS
5000309 9/19 4584 PCS</s:t>
              </s:r>
            </s:text>
          </item>
        </commentChain>
      </unresolved>
      <resolved/>
    </commentChains>
    <commentChains s:ref="Q638" rgbClr="FF0000">
      <unresolved>
        <commentChain chainId="66c9322061c024a6d80985abdb29c9582194b484">
          <item id="6524c45840be0e242dba565eae76867408a2527a" isNormal="1">
            <s:text>
              <s:r>
                <s:t xml:space="preserve">Administrator:
1600968/1600974 1/4 3726 PCS 
1601011 1/6 6 PCS </s:t>
              </s:r>
            </s:text>
          </item>
        </commentChain>
      </unresolved>
      <resolved/>
    </commentChains>
    <commentChains s:ref="S638" rgbClr="FF0000">
      <unresolved>
        <commentChain chainId="8a170418718f0180d70e39245461c30f08678dd2">
          <item id="006e32863fc90e567103b6db639eaf3729fd7ba5" isNormal="1">
            <s:text>
              <s:r>
                <s:t xml:space="preserve">Administrator:
12/3 上款号条码贴纸 3732 pcs</s:t>
              </s:r>
            </s:text>
          </item>
        </commentChain>
      </unresolved>
      <resolved/>
    </commentChains>
    <commentChains s:ref="Q639" rgbClr="FF0000">
      <unresolved>
        <commentChain chainId="633f119ae3b050588607bd399cff9e3323db844a">
          <item id="6a4e466545c97ed69355d9890b8bda4dd0ee81f4" isNormal="1">
            <s:text>
              <s:r>
                <s:t xml:space="preserve">Administrator:
1601039/1601019 1/7 1008 pcs</s:t>
              </s:r>
            </s:text>
          </item>
        </commentChain>
      </unresolved>
      <resolved/>
    </commentChains>
    <commentChains s:ref="S639" rgbClr="FF0000">
      <unresolved>
        <commentChain chainId="213b620001d180afd357d634772901265e7f8e87">
          <item id="c03cd754188d0e6b89a8cf9aceb56b4fabfdfa97" isNormal="1">
            <s:text>
              <s:r>
                <s:t xml:space="preserve">Administrator:
12/16 上客供价格贴纸 1109 pcs</s:t>
              </s:r>
            </s:text>
          </item>
        </commentChain>
      </unresolved>
      <resolved/>
    </commentChains>
    <commentChains s:ref="Q640" rgbClr="FF0000">
      <unresolved>
        <commentChain chainId="7d8d8f00eed3e794b341ba54efb96da59e123659">
          <item id="4ff01b4ad6a02cddd5b89904feeb5c75ffb1fd7e" isNormal="1">
            <s:text>
              <s:r>
                <s:t xml:space="preserve">Administrator:
1601039/1601019 1/7 1200 pcs</s:t>
              </s:r>
            </s:text>
          </item>
        </commentChain>
      </unresolved>
      <resolved/>
    </commentChains>
    <commentChains s:ref="S640" rgbClr="FF0000">
      <unresolved>
        <commentChain chainId="84bd38b28a3d18855c17eddced5623e2e9163b9c">
          <item id="1cf42e495c0b692169071d6a231924c45af91717" isNormal="1">
            <s:text>
              <s:r>
                <s:t xml:space="preserve">Administrator:
12/16 上客供价格贴纸 1320 pcs</s:t>
              </s:r>
            </s:text>
          </item>
        </commentChain>
      </unresolved>
      <resolved/>
    </commentChains>
    <commentChains s:ref="Q641" rgbClr="FF0000">
      <unresolved>
        <commentChain chainId="e03055e0e429e898da3d5bf46b74215130d355f3">
          <item id="a813b2691f9874deebcb69078fe2a8fbfce09026" isNormal="1">
            <s:text>
              <s:r>
                <s:t xml:space="preserve">Administrator:
1601039 1/7 588 pcs
1601045 1/8 12 pcs</s:t>
              </s:r>
            </s:text>
          </item>
        </commentChain>
      </unresolved>
      <resolved/>
    </commentChains>
    <commentChains s:ref="S641" rgbClr="FF0000">
      <unresolved>
        <commentChain chainId="53eacdc9a78b42b5d254bad8a270dd9d785949d0">
          <item id="e40b06684c8fd811930718aa2877cc0827c24e2f" isNormal="1">
            <s:text>
              <s:r>
                <s:t xml:space="preserve">Administrator:
12/28 上UPC条码/进口商贴纸 600 pcs</s:t>
              </s:r>
            </s:text>
          </item>
        </commentChain>
      </unresolved>
      <resolved/>
    </commentChains>
    <commentChains s:ref="Q642" rgbClr="FF0000">
      <unresolved>
        <commentChain chainId="a8b4294bc5d837a6bbd2198b85d14509a33b53e9">
          <item id="51d37eb7b16143e9d0d519b2014a3a61e0b344b2" isNormal="1">
            <s:text>
              <s:r>
                <s:t xml:space="preserve">Administrator:
1601019 1/7 240 pcs</s:t>
              </s:r>
            </s:text>
          </item>
        </commentChain>
      </unresolved>
      <resolved/>
    </commentChains>
    <commentChains s:ref="S642" rgbClr="FF0000">
      <unresolved>
        <commentChain chainId="62da4fa4352366ee43f8060d684c19ef0273dc4a">
          <item id="bbdc6614bc9b75aa3524f071266665250e7f62df" isNormal="1">
            <s:text>
              <s:r>
                <s:t xml:space="preserve">Administrator:
12/16 上进口商贴纸(含环保 240 pcs</s:t>
              </s:r>
            </s:text>
          </item>
        </commentChain>
      </unresolved>
      <resolved/>
    </commentChains>
    <commentChains s:ref="Q643" rgbClr="FF0000">
      <unresolved>
        <commentChain chainId="a5189d4ecfb5094abab3ebcc30a4d108ebcdc91d">
          <item id="48e10ec030d7c7a91289076a86d29ac0e00896a8" isNormal="1">
            <s:text>
              <s:r>
                <s:t xml:space="preserve">Administrator:
1601019 1/7 4224 pcs</s:t>
              </s:r>
            </s:text>
          </item>
        </commentChain>
      </unresolved>
      <resolved/>
    </commentChains>
    <commentChains s:ref="S643" rgbClr="FF0000">
      <unresolved>
        <commentChain chainId="18eb64a36b00428ef8309a1d3e2aeaf45ed632e3">
          <item id="d49b108b5fe12e3f96058fa290c063cacea432f5" isNormal="1">
            <s:text>
              <s:r>
                <s:t xml:space="preserve">Administrator:
12/5 上口水胶袋贴纸 10008 pcs
     上进口商贴纸 5004 pcs</s:t>
              </s:r>
            </s:text>
          </item>
        </commentChain>
      </unresolved>
      <resolved/>
    </commentChains>
    <commentChains s:ref="Q644" rgbClr="FF0000">
      <unresolved>
        <commentChain chainId="6ba8915e22e2b52b998ae550571e226fba07b886">
          <item id="b2a71739f1f179d384377ac87257e85c1bb651cc" isNormal="1">
            <s:text>
              <s:r>
                <s:t xml:space="preserve">Administrator
1601068 1/10 720 pcs</s:t>
              </s:r>
            </s:text>
          </item>
        </commentChain>
      </unresolved>
      <resolved/>
    </commentChains>
    <commentChains s:ref="Q645" rgbClr="FF0000">
      <unresolved>
        <commentChain chainId="232f68ce64b6769ad035de74a886f8896543b296">
          <item id="3bc618ef6a4dad5594c63f9c6d6dfedc3e3a229b" isNormal="1">
            <s:text>
              <s:r>
                <s:t xml:space="preserve">Administrator:
1601068 1/10 600 pcs</s:t>
              </s:r>
            </s:text>
          </item>
        </commentChain>
      </unresolved>
      <resolved/>
    </commentChains>
    <commentChains s:ref="Q646" rgbClr="FF0000">
      <unresolved>
        <commentChain chainId="4fa906130812dd644af2c84f67f293b4cb25a9d7">
          <item id="401b1a75dd3484025b1d5ab3a99e3f138bad53a8" isNormal="1">
            <s:text>
              <s:r>
                <s:t xml:space="preserve">Administrator:
1601068 1/10 2232 pcs</s:t>
              </s:r>
            </s:text>
          </item>
        </commentChain>
      </unresolved>
      <resolved/>
    </commentChains>
    <commentChains s:ref="Q647" rgbClr="FF0000">
      <unresolved>
        <commentChain chainId="e4fb16e3548a39564653c3cc8128f0a2266a14d9">
          <item id="a359487ab0972be08799ee763448bf14aa43ac56" isNormal="1">
            <s:text>
              <s:r>
                <s:t xml:space="preserve">Administrator:
1601068 1/10 2232 pcs
1601105 1/12 12 pcs</s:t>
              </s:r>
            </s:text>
          </item>
        </commentChain>
      </unresolved>
      <resolved/>
    </commentChains>
    <commentChains s:ref="Q648" rgbClr="FF0000">
      <unresolved>
        <commentChain chainId="ec3ddaa9b2918c4a28b16abb2f00f413d42f53a0">
          <item id="57322835853c6c2472a79534239141bd057c02b1" isNormal="1">
            <s:text>
              <s:r>
                <s:t xml:space="preserve">Administrator:
1601051 1/9 32 pcs</s:t>
              </s:r>
            </s:text>
          </item>
        </commentChain>
      </unresolved>
      <resolved/>
    </commentChains>
    <commentChains s:ref="S648" rgbClr="FF0000">
      <unresolved>
        <commentChain chainId="eb7b16bf683c2a30f38fcb617ada6c5d09bb4dfb">
          <item id="f0f29b6f9dfb0f288e26f579addb045261ab92b8" isNormal="1">
            <s:text>
              <s:r>
                <s:t xml:space="preserve">Administrator:
12/25 上进口商贴纸 32 pcs
      上UPC贴纸 32 pcs
12/26 上客供亚马逊外箱贴纸 1 pcs</s:t>
              </s:r>
            </s:text>
          </item>
        </commentChain>
      </unresolved>
      <resolved/>
    </commentChains>
    <commentChains s:ref="Q649" rgbClr="FF0000">
      <unresolved>
        <commentChain chainId="53ca01ad4f2b2d1e3fe6c1dfbf300e10c2b1b1e8">
          <item id="72caa0e80728e253904976d30a57ceec9f0772b5" isNormal="1">
            <s:text>
              <s:r>
                <s:t xml:space="preserve">Administrator:
1601051 1/9 32 pcs</s:t>
              </s:r>
            </s:text>
          </item>
        </commentChain>
      </unresolved>
      <resolved/>
    </commentChains>
    <commentChains s:ref="S649" rgbClr="FF0000">
      <unresolved>
        <commentChain chainId="556716b50f88598f2514d25d8c12268e63a04e2a">
          <item id="8eaa8e598c3ff8931bda573d074248e022e75a38" isNormal="1">
            <s:text>
              <s:r>
                <s:t xml:space="preserve">Administrator:
12/25 上进口商贴纸 32 pcs
      上UPC贴纸 32 pcs
12/26 上客供亚马逊外箱贴纸 1 pcs</s:t>
              </s:r>
            </s:text>
          </item>
        </commentChain>
      </unresolved>
      <resolved/>
    </commentChains>
    <commentChains s:ref="Q650" rgbClr="FF0000">
      <unresolved>
        <commentChain chainId="0aac420e4af5b768caac5878bfc5720f94258ee8">
          <item id="a44c6a32db03db0db8e7621e86803aa54ef2e696" isNormal="1">
            <s:text>
              <s:r>
                <s:t xml:space="preserve">Administrator:
1601051 1/9 96 pcs</s:t>
              </s:r>
            </s:text>
          </item>
        </commentChain>
      </unresolved>
      <resolved/>
    </commentChains>
    <commentChains s:ref="S650" rgbClr="FF0000">
      <unresolved>
        <commentChain chainId="876b88e9fa23e2ae6777544c311f9bd558005b81">
          <item id="f35fe6814f08ca7cd4835e318b1126d8fcadcc61" isNormal="1">
            <s:text>
              <s:r>
                <s:t xml:space="preserve">Administrator:
12/25 上进口商贴纸 96 pcs
      上UPC贴纸 96 pcs
12/26 上客供亚马逊外箱贴纸 3 pcs</s:t>
              </s:r>
            </s:text>
          </item>
        </commentChain>
      </unresolved>
      <resolved/>
    </commentChains>
    <commentChains s:ref="Q651" rgbClr="FF0000">
      <unresolved>
        <commentChain chainId="e906194343c6fd15c9d57206234815a63191958d">
          <item id="3ef504530b3cf1cf72c04ef4b4fce4637954a87f" isNormal="1">
            <s:text>
              <s:r>
                <s:t xml:space="preserve">Administrator:
1601051 1/9 504 pcs</s:t>
              </s:r>
            </s:text>
          </item>
        </commentChain>
      </unresolved>
      <resolved/>
    </commentChains>
    <commentChains s:ref="S651" rgbClr="FF0000">
      <unresolved>
        <commentChain chainId="e1ad8b8f62407a82816514712b5fa0acc9b4c37f">
          <item id="51b4c4f2036611428a6c33e4b7c8bf0034e69561" isNormal="1">
            <s:text>
              <s:r>
                <s:t xml:space="preserve">Administrator:
12/16 上UPC/进口商贴纸 504 pcs</s:t>
              </s:r>
            </s:text>
          </item>
        </commentChain>
      </unresolved>
      <resolved/>
    </commentChains>
    <commentChains s:ref="Q652" rgbClr="FF0000">
      <unresolved>
        <commentChain chainId="01fd51f02df58698b6667f8b0c64ef815cb00cf1">
          <item id="956438b8dc3c7998622c25a8434680526a8e2f18" isNormal="1">
            <s:text>
              <s:r>
                <s:t xml:space="preserve">Administrator:
1601060 1/9 6000 pcs</s:t>
              </s:r>
            </s:text>
          </item>
        </commentChain>
      </unresolved>
      <resolved/>
    </commentChains>
    <commentChains s:ref="S652" rgbClr="FF0000">
      <unresolved>
        <commentChain chainId="59bdbf919477ea9f229fcae5dbe7471145684ce4">
          <item id="628c0ca1e716ea515577f3b8caed1364a42c5d94" isNormal="1">
            <s:text>
              <s:r>
                <s:t xml:space="preserve">Administrator:
12/22 上客户EAN条码贴纸 6000 pcs
      上PDQ数量贴纸 1500 pcs
</s:t>
              </s:r>
            </s:text>
          </item>
        </commentChain>
      </unresolved>
      <resolved/>
    </commentChains>
    <commentChains s:ref="Q653" rgbClr="FF0000">
      <unresolved>
        <commentChain chainId="70df745da2f7eb544746c177f1b803802ce292ee">
          <item id="19fb9b8197f926fc9707d02ca529ead7209904bc" isNormal="1">
            <s:text>
              <s:r>
                <s:t xml:space="preserve">Administrator:
1601068 1/10 1032 pcs</s:t>
              </s:r>
            </s:text>
          </item>
        </commentChain>
      </unresolved>
      <resolved/>
    </commentChains>
    <commentChains s:ref="S653" rgbClr="FF0000">
      <unresolved>
        <commentChain chainId="399eb531b9f85f4613e25126c106a34c6d8bad75">
          <item id="702835ed7bb1392bc7499f2f9dc8e43d5fd85322" isNormal="1">
            <s:text>
              <s:r>
                <s:t xml:space="preserve">Administrator:
12/25 上进口商贴纸 1500 pcs</s:t>
              </s:r>
            </s:text>
          </item>
        </commentChain>
      </unresolved>
      <resolved/>
    </commentChains>
    <commentChains s:ref="Q654" rgbClr="FF0000">
      <unresolved>
        <commentChain chainId="a0070b6a8c083535ee8d721c492cc2c06761c420">
          <item id="4429307d6e8f0f7b74f8c4d0151b55bf1de359e1" isNormal="1">
            <s:text>
              <s:r>
                <s:t xml:space="preserve">Administrator:
1601068 1/10 468 pcs</s:t>
              </s:r>
            </s:text>
          </item>
        </commentChain>
      </unresolved>
      <resolved/>
    </commentChains>
    <commentChains s:ref="Q655" rgbClr="FF0000">
      <unresolved>
        <commentChain chainId="2f68fb5e17a62a092eb9984a876a9978dc8ddb04">
          <item id="3def391bd7be9af343c681aa9fb8e1eb5d4973ec" isNormal="1">
            <s:text>
              <s:r>
                <s:t xml:space="preserve">Administrator:
1600083 12/26 4992 pcs
1600089 12/27 24 pcs</s:t>
              </s:r>
            </s:text>
          </item>
        </commentChain>
      </unresolved>
      <resolved/>
    </commentChains>
    <commentChains s:ref="S655" rgbClr="FF0000">
      <unresolved>
        <commentChain chainId="2f09df203a0dc39c4438df99932a553c8aedcc79">
          <item id="01007829b6b553175ff11b3f011902887fec7622" isNormal="1">
            <s:text>
              <s:r>
                <s:t xml:space="preserve">Administrator:
12/16 上客版产品条码贴纸 5016 pcs
12/23 上外箱贴纸 209 pcs</s:t>
              </s:r>
            </s:text>
          </item>
        </commentChain>
      </unresolved>
      <resolved/>
    </commentChains>
    <commentChains s:ref="Q656" rgbClr="FF0000">
      <unresolved>
        <commentChain chainId="238ff531d2df7e426065b3361aa1d8038694e1bf">
          <item id="741096734e1bfd6ba86a79185be83e79f2f05f7b" isNormal="1">
            <s:text>
              <s:r>
                <s:t xml:space="preserve">Administrator:
1601110 1/13 360 pcs</s:t>
              </s:r>
            </s:text>
          </item>
        </commentChain>
      </unresolved>
      <resolved/>
    </commentChains>
    <commentChains s:ref="Q657" rgbClr="FF0000">
      <unresolved>
        <commentChain chainId="8fe5a1f2fd1186072f45cd4488f14264281aa263">
          <item id="24559177f0d3ffadad0f8d22fb7cf744ad2663e8" isNormal="1">
            <s:text>
              <s:r>
                <s:t xml:space="preserve">Administrator:
1601110 1/13 360 pcs</s:t>
              </s:r>
            </s:text>
          </item>
        </commentChain>
      </unresolved>
      <resolved/>
    </commentChains>
    <commentChains s:ref="Q658" rgbClr="FF0000">
      <unresolved>
        <commentChain chainId="6919604ed0e7114da2cb2f68470b7a9fb4419711">
          <item id="2ac0526411180c6d6220fe6d8a2adf62955b6bd1" isNormal="1">
            <s:text>
              <s:r>
                <s:t xml:space="preserve">Administrator:
5000736 1/13 240 pcs</s:t>
              </s:r>
            </s:text>
          </item>
        </commentChain>
      </unresolved>
      <resolved/>
    </commentChains>
    <commentChains s:ref="Q659" rgbClr="FF0000">
      <unresolved>
        <commentChain chainId="69c833ad65c3eef60ac9e6541d2df20ac24997ed">
          <item id="a3281a1a51d7fe6fea11f4c7d98ef8c793a67c31" isNormal="1">
            <s:text>
              <s:r>
                <s:t xml:space="preserve">Administrator:
1601148/1601124 1/14 6000 pcs</s:t>
              </s:r>
            </s:text>
          </item>
        </commentChain>
      </unresolved>
      <resolved/>
    </commentChains>
    <commentChains s:ref="S659" rgbClr="FF0000">
      <unresolved>
        <commentChain chainId="c783d5ee098c55deee700be0c540a17cdf967cb3">
          <item id="ea32c34eed3503124d7a6bb2b58029d8b5d381e7" isNormal="1">
            <s:text>
              <s:r>
                <s:t xml:space="preserve">Administrator:
12/25 上客户EAN条码 6000 pcs
      上PDQ数量贴纸 1500 pcs</s:t>
              </s:r>
            </s:text>
          </item>
        </commentChain>
      </unresolved>
      <resolved/>
    </commentChains>
    <commentChains s:ref="Q660" rgbClr="FF0000">
      <unresolved>
        <commentChain chainId="f9e80cd9aa5c194b3a811d7ffc483d2339c98f5b">
          <item id="e58d5e31f89c19901b4c2f3829a923854e44d015" isNormal="1">
            <s:text>
              <s:r>
                <s:t xml:space="preserve">Administrator:
1601159 1/15 474 pcs
1601196 1/19 6 pcs</s:t>
              </s:r>
            </s:text>
          </item>
        </commentChain>
      </unresolved>
      <resolved/>
    </commentChains>
    <commentChains s:ref="Q661" rgbClr="FF0000">
      <unresolved>
        <commentChain chainId="3cfdfded71f4da4534655b659c3e4d096e75cc5e">
          <item id="4117dc84574e355a2b85b8d0e12846fc4029b11a" isNormal="1">
            <s:text>
              <s:r>
                <s:t xml:space="preserve">Administrator:
1601148 1/14 2700 pcs</s:t>
              </s:r>
            </s:text>
          </item>
        </commentChain>
      </unresolved>
      <resolved/>
    </commentChains>
    <commentChains s:ref="S661" rgbClr="FF0000">
      <unresolved>
        <commentChain chainId="091acfb164e6486998ee1bd9d1b3d1e2fd31983d">
          <item id="7130c3fa2022f00ce662160793d2cae5f53e51fa" isNormal="1">
            <s:text>
              <s:r>
                <s:t xml:space="preserve">Administrator:
12/31 上价格贴纸 2700 pcs</s:t>
              </s:r>
            </s:text>
          </item>
        </commentChain>
      </unresolved>
      <resolved/>
    </commentChains>
    <commentChains s:ref="Q662" rgbClr="FF0000">
      <unresolved>
        <commentChain chainId="8424f986c270c032a8892b51336696f78242cb04">
          <item id="e681954a2950f5c2021e05e27912dd45c810ea0d" isNormal="1">
            <s:text>
              <s:r>
                <s:t xml:space="preserve">Administrator:
1601179 1/17 480 pcs
1601201 1/21 24 pcs</s:t>
              </s:r>
            </s:text>
          </item>
        </commentChain>
      </unresolved>
      <resolved/>
    </commentChains>
    <commentChains s:ref="S662" rgbClr="FF0000">
      <unresolved>
        <commentChain chainId="9a7c6e6d08e15895520806fc3db93974afec1e2a">
          <item id="a4219b465e4545a11b4b3fe4213e5bd77cd37c46" isNormal="1">
            <s:text>
              <s:r>
                <s:t xml:space="preserve">Administrator:
1/4 上进口商贴纸 504 pcs</s:t>
              </s:r>
            </s:text>
          </item>
        </commentChain>
      </unresolved>
      <resolved/>
    </commentChains>
    <commentChains s:ref="Q663" rgbClr="FF0000">
      <unresolved>
        <commentChain chainId="077022f3862673fa39113ecee086d703fe459be7">
          <item id="fb469ed17f0b037ac8c517a2cf44686c8047f8c7" isNormal="1">
            <s:text>
              <s:r>
                <s:t xml:space="preserve">Administrator:
4001767 1/17 1296 pcs</s:t>
              </s:r>
            </s:text>
          </item>
        </commentChain>
      </unresolved>
      <resolved/>
    </commentChains>
    <commentChains s:ref="S663" rgbClr="FF0000">
      <unresolved>
        <commentChain chainId="7e21afb1ab946e54b6319677811908a5868772f3">
          <item id="2105dcb1b6bcfad5c3c73bf0f5f44c3358d5536f" isNormal="1">
            <s:text>
              <s:r>
                <s:t xml:space="preserve">Administrator:
12/22 上进口商贴纸 2592 pcs
      上产品贴纸 2592 pcs
      上EAN贴纸 2592 pcs</s:t>
              </s:r>
            </s:text>
          </item>
        </commentChain>
      </unresolved>
      <resolved/>
    </commentChains>
    <commentChains s:ref="Q664" rgbClr="FF0000">
      <unresolved>
        <commentChain chainId="9af317fc3b2514112d3e283075c61efd54dd8d97">
          <item id="ade3f39278229b425fa003ca0011e0b22be530d7" isNormal="1">
            <s:text>
              <s:r>
                <s:t xml:space="preserve">Administrator:
1601213 1/20 792 pcs
1601285 1/23 24 PCS </s:t>
              </s:r>
            </s:text>
          </item>
        </commentChain>
      </unresolved>
      <resolved/>
    </commentChains>
    <commentChains s:ref="S664" rgbClr="FF0000">
      <unresolved>
        <commentChain chainId="563d1d426e77b28fc810d01cc981473159dfb25a">
          <item id="ea8093b91470ce45a3e23f4673b0d5e773da6c48" isNormal="1">
            <s:text>
              <s:r>
                <s:t xml:space="preserve">Administrator:
1/5 上UPC/进口商贴纸 816 pcs</s:t>
              </s:r>
            </s:text>
          </item>
        </commentChain>
      </unresolved>
      <resolved/>
    </commentChains>
    <commentChains s:ref="Q665" rgbClr="FF0000">
      <unresolved>
        <commentChain chainId="3c64d03183a063cc5d65922cd9fcabd60b8686c6">
          <item id="450209472f27c2b023748d4243e8fba4ba64e26c" isNormal="1">
            <s:text>
              <s:r>
                <s:t xml:space="preserve">Administrator:
1601299 1/26 600 pcs</s:t>
              </s:r>
            </s:text>
          </item>
        </commentChain>
      </unresolved>
      <resolved/>
    </commentChains>
    <commentChains s:ref="S665" rgbClr="FF0000">
      <unresolved>
        <commentChain chainId="007b98256bbf33e498f3fe175b9becd5f76367e3">
          <item id="ecd1349c9437d0bfdf35d6aea8a9970f12948093" isNormal="1">
            <s:text>
              <s:r>
                <s:t xml:space="preserve">Administrator:
1/1 上客供价格贴纸 600 pcs</s:t>
              </s:r>
            </s:text>
          </item>
        </commentChain>
      </unresolved>
      <resolved/>
    </commentChains>
    <commentChains s:ref="Q666" rgbClr="FF0000">
      <unresolved>
        <commentChain chainId="393827e58c260338b60a021f36e170720f529b5f">
          <item id="826b10156b6355bede3634b97744a8109a95f64e" isNormal="1">
            <s:text>
              <s:r>
                <s:t xml:space="preserve">Administrator:
1601299 1/26 504 pcs</s:t>
              </s:r>
            </s:text>
          </item>
        </commentChain>
      </unresolved>
      <resolved/>
    </commentChains>
    <commentChains s:ref="S666" rgbClr="FF0000">
      <unresolved>
        <commentChain chainId="af0044d10391c14333bec82c915b26b51f0d30a9">
          <item id="75779a4927df8792872a93aa612fbae03753013e" isNormal="1">
            <s:text>
              <s:r>
                <s:t xml:space="preserve">Administrator:
1/9 上UPC贴纸 504 pcs</s:t>
              </s:r>
            </s:text>
          </item>
        </commentChain>
      </unresolved>
      <resolved/>
    </commentChains>
    <commentChains s:ref="Q667" rgbClr="FF0000">
      <unresolved>
        <commentChain chainId="25a89f6481e09cf0e005ca30af7edac7dd1cc7c0">
          <item id="2a502e730fdb55f7defae86a8d1bfedea0c62862" isNormal="1">
            <s:text>
              <s:r>
                <s:t xml:space="preserve">Administrator:
1601136 1/24 960 pcs</s:t>
              </s:r>
            </s:text>
          </item>
        </commentChain>
      </unresolved>
      <resolved/>
    </commentChains>
    <commentChains s:ref="S667" rgbClr="FF0000">
      <unresolved>
        <commentChain chainId="021d0f1298fe9ad50af1c1008d2ee657343ae0fa">
          <item id="5afa2ce31bf152bf4c1e0a68591dba726f0ce578" isNormal="1">
            <s:text>
              <s:r>
                <s:t xml:space="preserve">Administrator:
1/15 上UPC/进口商贴纸 960 pcs</s:t>
              </s:r>
            </s:text>
          </item>
        </commentChain>
      </unresolved>
      <resolved/>
    </commentChains>
    <commentChains s:ref="Q668" rgbClr="FF0000">
      <unresolved>
        <commentChain chainId="608b27dfaaf88f6783fdc4ccc4822a1b9ea6ac72">
          <item id="ff4eb1b347b36ecd0f8d92ce217ff5678b78df51" isNormal="1">
            <s:text>
              <s:r>
                <s:t xml:space="preserve">Administrator:
1601289 1/27 32 PCS </s:t>
              </s:r>
            </s:text>
          </item>
        </commentChain>
      </unresolved>
      <resolved/>
    </commentChains>
    <commentChains s:ref="S668" rgbClr="FF0000">
      <unresolved>
        <commentChain chainId="d82c3e2511fc7f75c276df6354d3c797dfcfd79a">
          <item id="460d1401db43f4f5f418881baf83a154b841070a" isNormal="1">
            <s:text>
              <s:r>
                <s:t xml:space="preserve">Administrator:
1/5 上进口商贴纸 32 pcs
    上UPC贴纸 32 pcs</s:t>
              </s:r>
            </s:text>
          </item>
        </commentChain>
      </unresolved>
      <resolved/>
    </commentChains>
    <commentChains s:ref="Q669" rgbClr="FF0000">
      <unresolved>
        <commentChain chainId="4c930eb34d425abc2aec8db5c86addeb8f7b8cf9">
          <item id="578e9bd0e904da2c47e092e343e7712f66284c79" isNormal="1">
            <s:text>
              <s:r>
                <s:t xml:space="preserve">Administrator:
5000256 1/27 576 PCS </s:t>
              </s:r>
            </s:text>
          </item>
        </commentChain>
      </unresolved>
      <resolved/>
    </commentChains>
    <commentChains s:ref="S669" rgbClr="FF0000">
      <unresolved>
        <commentChain chainId="4290e794185e816c15c185d9b494bd827d4cd89e">
          <item id="d9c7135ce17e574a02c7230c034326cc7c6e9100" isNormal="1">
            <s:text>
              <s:r>
                <s:t xml:space="preserve">Administrator:
10/23 上进口商贴纸 2004 pcs
      上UPC贴纸 2004 pcs
10/24 上红色logo贴纸 2004 pcs</s:t>
              </s:r>
            </s:text>
          </item>
        </commentChain>
      </unresolved>
      <resolved/>
    </commentChains>
    <commentChains s:ref="Q670" rgbClr="FF0000">
      <unresolved>
        <commentChain chainId="4913aece7a1cb9117ee8a710309fa60063459562">
          <item id="587992080c720ae81eb67fc276bf6ac46d4d04fa" isNormal="1">
            <s:text>
              <s:r>
                <s:t xml:space="preserve">Administrator:
5000256 1/27 624 PCS </s:t>
              </s:r>
            </s:text>
          </item>
        </commentChain>
      </unresolved>
      <resolved/>
    </commentChains>
    <commentChains s:ref="Q671" rgbClr="FF0000">
      <unresolved>
        <commentChain chainId="f6e1053082e770dc8aec82af3534a7cf981fbc97">
          <item id="6bc6a0910e1561c948e0961d56282be4f9c5eb72" isNormal="1">
            <s:text>
              <s:r>
                <s:t xml:space="preserve">Administrator:
5000256 1/27 804 PCS </s:t>
              </s:r>
            </s:text>
          </item>
        </commentChain>
      </unresolved>
      <resolved/>
    </commentChains>
    <commentChains s:ref="Q672" rgbClr="FF0000">
      <unresolved>
        <commentChain chainId="d66ff3c888549408a094ec3136a7cd9b776b626e">
          <item id="a8278e7296ebc47d2e1929114cfebf4b8232481f" isNormal="1">
            <s:text>
              <s:r>
                <s:t xml:space="preserve">Administrator:
1405693 1/30 2808 pcs</s:t>
              </s:r>
            </s:text>
          </item>
        </commentChain>
      </unresolved>
      <resolved/>
    </commentChains>
    <commentChains s:ref="S672" rgbClr="FF0000">
      <unresolved>
        <commentChain chainId="3cad20eef3a620989d042e449988d9ccf80bdce7">
          <item id="c1b7da3ef2e074fa91ff49d9a82929452f8c1fba" isNormal="1">
            <s:text>
              <s:r>
                <s:t xml:space="preserve">Administrator:
1/19 上UPC/进口商贴纸 2808 pcs</s:t>
              </s:r>
            </s:text>
          </item>
        </commentChain>
      </unresolved>
      <resolved/>
    </commentChains>
    <commentChains s:ref="Q673" rgbClr="FF0000">
      <unresolved>
        <commentChain chainId="115ffc74c2c4b9955d9748f447ff997b79d7a6f1">
          <item id="cf767206a5aff484004bede99d6c6b15578b463f" isNormal="1">
            <s:text>
              <s:r>
                <s:t xml:space="preserve">Administrator:
1405693 1/30 132 pcs</s:t>
              </s:r>
            </s:text>
          </item>
        </commentChain>
      </unresolved>
      <resolved/>
    </commentChains>
    <commentChains s:ref="S673" rgbClr="FF0000">
      <unresolved>
        <commentChain chainId="b1efd7d424201babc1bf411ba4b6569f370db407">
          <item id="d5af7f64bd215af03a943b67bf948884ed12b353" isNormal="1">
            <s:text>
              <s:r>
                <s:t xml:space="preserve">Administrator:
1/15 上UPC贴纸 132 pcs
1/5  上进口商贴纸 132 pcs</s:t>
              </s:r>
            </s:text>
          </item>
        </commentChain>
      </unresolved>
      <resolved/>
    </commentChains>
    <commentChains s:ref="Q674" rgbClr="FF0000">
      <unresolved>
        <commentChain chainId="96f7255007041b21b6fdffc79fbc9f9157e9ac88">
          <item id="7ac54ee6f560aef3e0eb2fde90259895eda17bae" isNormal="1">
            <s:text>
              <s:r>
                <s:t xml:space="preserve">Administrator:
1405671 1/31 408 pcs</s:t>
              </s:r>
            </s:text>
          </item>
        </commentChain>
      </unresolved>
      <resolved/>
    </commentChains>
    <commentChains s:ref="S674" rgbClr="FF0000">
      <unresolved>
        <commentChain chainId="c6ef434f357bc9fe35cb1db48a7b920bb8b55cb3">
          <item id="9284841c1280d4423ea1cdc5ba1094f6ad2353c8" isNormal="1">
            <s:text>
              <s:r>
                <s:t xml:space="preserve">Administrator:
1/12 上UPC条码/进口商贴纸 408 pcs</s:t>
              </s:r>
            </s:text>
          </item>
        </commentChain>
      </unresolved>
      <resolved/>
    </commentChains>
    <commentChains s:ref="Q675" rgbClr="FF0000">
      <unresolved>
        <commentChain chainId="b95257bad74110c28a070de222cc959c2941d282">
          <item id="de12b6ce9d5782c8d172cde5030b31f512e9c1bf" isNormal="1">
            <s:text>
              <s:r>
                <s:t xml:space="preserve">Administrator:
1405693 1/30 320 pcs</s:t>
              </s:r>
            </s:text>
          </item>
        </commentChain>
      </unresolved>
      <resolved/>
    </commentChains>
    <commentChains s:ref="S675" rgbClr="FF0000">
      <unresolved>
        <commentChain chainId="74a36c3981c3b4ff1aff9e3ccf2af4fda5ac7417">
          <item id="dee5bf6b660dd8dce10d5b2d8a809fd8918773bb" isNormal="1">
            <s:text>
              <s:r>
                <s:t xml:space="preserve">Administrator:
1/12 上EAN条码贴纸 640 pcs
     空白贴纸 640 pcs</s:t>
              </s:r>
            </s:text>
          </item>
        </commentChain>
      </unresolved>
      <resolved/>
    </commentChains>
    <commentChains s:ref="Q676" rgbClr="FF0000">
      <unresolved>
        <commentChain chainId="ef7b83d7e20d9ecc03d0b8ab6251812182d48190">
          <item id="66d93e6aeb90c895d7871be9113b1939cfb823fd" isNormal="1">
            <s:text>
              <s:r>
                <s:t xml:space="preserve">Administrator:
1405693 1/30 320 pcs</s:t>
              </s:r>
            </s:text>
          </item>
        </commentChain>
      </unresolved>
      <resolved/>
    </commentChains>
    <commentChains s:ref="Q677" rgbClr="FF0000">
      <unresolved>
        <commentChain chainId="8286909f2dc75a0e2f73c8eca663310e3760bdaf">
          <item id="49149b3b42bfeb16de9680925cd5891d4aee3052" isNormal="1">
            <s:text>
              <s:r>
                <s:t xml:space="preserve">Administrator:
1405694 1/30 144 pcs</s:t>
              </s:r>
            </s:text>
          </item>
        </commentChain>
      </unresolved>
      <resolved/>
    </commentChains>
    <commentChains s:ref="S677" rgbClr="FF0000">
      <unresolved>
        <commentChain chainId="6d879439b9805d553cab1f69f648731819f504fd">
          <item id="4d8bc0eaa63eefc00de30fe0843887422d3b6d19" isNormal="1">
            <s:text>
              <s:r>
                <s:t xml:space="preserve">Administrator:
1/14 上babyUPC条码/进口商贴纸 144 pcs</s:t>
              </s:r>
            </s:text>
          </item>
        </commentChain>
      </unresolved>
      <resolved/>
    </commentChains>
    <commentChains s:ref="Q678" rgbClr="FF0000">
      <unresolved>
        <commentChain chainId="de10ae436458e74368d9da4d5466afd528bec3e9">
          <item id="48dfb3366e99e5b7069f155d2f9af96c99de962a" isNormal="1">
            <s:text>
              <s:r>
                <s:t xml:space="preserve">Administrator:
1405694 1/30 144 pcs</s:t>
              </s:r>
            </s:text>
          </item>
        </commentChain>
      </unresolved>
      <resolved/>
    </commentChains>
    <commentChains s:ref="S678" rgbClr="FF0000">
      <unresolved>
        <commentChain chainId="134e53107097eb4b98d53e45068857aa5b1efa62">
          <item id="6618459710a84abed218cde188605f046fed5448" isNormal="1">
            <s:text>
              <s:r>
                <s:t xml:space="preserve">Administrator:
1/14 上babyUPC条码/进口商贴纸 144 pcs</s:t>
              </s:r>
            </s:text>
          </item>
        </commentChain>
      </unresolved>
      <resolved/>
    </commentChains>
    <commentChains s:ref="Q679" rgbClr="FF0000">
      <unresolved>
        <commentChain chainId="d230c412767539c22eaf8c32aa42f1ff37a6d24b">
          <item id="5f3962510980e9bbb3b78f20c7d5cf17032a7497" isNormal="1">
            <s:text>
              <s:r>
                <s:t xml:space="preserve">Administrator:
1405646 2/2 1008 pcs</s:t>
              </s:r>
            </s:text>
          </item>
        </commentChain>
      </unresolved>
      <resolved/>
    </commentChains>
    <commentChains s:ref="S679" rgbClr="FF0000">
      <unresolved>
        <commentChain chainId="ef0e4f96c31bc6615cd992c87570b82df04bff74">
          <item id="6be02e2188fa0be640c35989916c8b373ed6fbd4" isNormal="1">
            <s:text>
              <s:r>
                <s:t xml:space="preserve">Administrator:
1/15 上客供价格贴纸 1109 pcs</s:t>
              </s:r>
            </s:text>
          </item>
        </commentChain>
      </unresolved>
      <resolved/>
    </commentChains>
    <commentChains s:ref="Q680" rgbClr="FF0000">
      <unresolved>
        <commentChain chainId="a6d22843567015ac54a65a541294dbf323ab9bf6">
          <item id="e60c5508d6e6cea26884d2f921eb0e36014e6932" isNormal="1">
            <s:text>
              <s:r>
                <s:t xml:space="preserve">Administrator:
1405646 2/2 1176 pcs
1405668 2/3 24 pcs</s:t>
              </s:r>
            </s:text>
          </item>
        </commentChain>
      </unresolved>
      <resolved/>
    </commentChains>
    <commentChains s:ref="S680" rgbClr="FF0000">
      <unresolved>
        <commentChain chainId="165d346abe13085edc9b834d3f97302abc8e2615">
          <item id="93105f686cb3d84d2d2bdcdbd8195dcd577cb318" isNormal="1">
            <s:text>
              <s:r>
                <s:t xml:space="preserve">Administrator:
1/15 上客供价格贴纸 1320 pcs</s:t>
              </s:r>
            </s:text>
          </item>
        </commentChain>
      </unresolved>
      <resolved/>
    </commentChains>
    <commentChains s:ref="Q681" rgbClr="FF0000">
      <unresolved>
        <commentChain chainId="72416a57e701349304d5cd9c0324fcd652b17c9a">
          <item id="8ecd427ab4fbcee23ba308f39e619807eb7fa179" isNormal="1">
            <s:text>
              <s:r>
                <s:t xml:space="preserve">Administrator:
1405646 2/2 1500 pcs
1405668 2/3 12 pcs</s:t>
              </s:r>
            </s:text>
          </item>
        </commentChain>
      </unresolved>
      <resolved/>
    </commentChains>
    <commentChains s:ref="S681" rgbClr="FF0000">
      <unresolved>
        <commentChain chainId="57eb77e9870a3b4da5d3b85562e216196047a4d6">
          <item id="089e806c0e6683fe3b3194f1f332a0d766869b6c" isNormal="1">
            <s:text>
              <s:r>
                <s:t xml:space="preserve">Administrator:
1/19 上 UPC/进口商贴纸 1512 pcs</s:t>
              </s:r>
            </s:text>
          </item>
        </commentChain>
      </unresolved>
      <resolved/>
    </commentChains>
    <commentChains s:ref="Q682" rgbClr="FF0000">
      <unresolved>
        <commentChain chainId="b32e453e908d90be939064b11575dadb4296c1fd">
          <item id="88829369652c7fcfe26ce0c744b79631f2bf5435" isNormal="1">
            <s:text>
              <s:r>
                <s:t xml:space="preserve">Administrator:
1405646 2/2 954 pcs
1405668 2/3 6 pcs</s:t>
              </s:r>
            </s:text>
          </item>
        </commentChain>
      </unresolved>
      <resolved/>
    </commentChains>
    <commentChains s:ref="S682" rgbClr="FF0000">
      <unresolved>
        <commentChain chainId="afe62d09a3e0d2c071dc7289ccdc826d83c74ed6">
          <item id="2c4de8981cd1928552d0d48b77949331af641e46" isNormal="1">
            <s:text>
              <s:r>
                <s:t xml:space="preserve">Administrator:
1/22 上客户警语进口商贴纸(含ES 960 pcs</s:t>
              </s:r>
            </s:text>
          </item>
        </commentChain>
      </unresolved>
      <resolved/>
    </commentChains>
    <commentChains s:ref="Q683" rgbClr="FF0000">
      <unresolved>
        <commentChain chainId="416eb7bd80a507f21f0cb8fa23fda9042d84efe3">
          <item id="b7593dc985f1a4758343f7fad41a4f3228fac48d" isNormal="1">
            <s:text>
              <s:r>
                <s:t xml:space="preserve">Administrator:
1601296 1/26 5940 pcs
1405698 1/29 60 pcs</s:t>
              </s:r>
            </s:text>
          </item>
        </commentChain>
      </unresolved>
      <resolved/>
    </commentChains>
    <commentChains s:ref="S683" rgbClr="FF0000">
      <unresolved>
        <commentChain chainId="63d1821055881e7d22f419068b20293a1822a427">
          <item id="1b55f28e3e0693ea36dcf33ea6883079768478f9" isNormal="1">
            <s:text>
              <s:r>
                <s:t xml:space="preserve">Administrator:
1/14 上进口商贴纸 6000 pcs</s:t>
              </s:r>
            </s:text>
          </item>
        </commentChain>
      </unresolved>
      <resolved/>
    </commentChains>
    <commentChains s:ref="Q684" rgbClr="FF0000">
      <unresolved>
        <commentChain chainId="ad0c456bfeda66744fc277e004fbde8b3af1c606">
          <item id="4f9dc151deaf2d1b1811df3bf7b6e61debd1296d" isNormal="1">
            <s:text>
              <s:r>
                <s:t xml:space="preserve">Administrator:
1405653 2/2 2376 pcs
1405652 2/2 2316 pcs
5000795 2/2 4248 pcs
1405668 2/3 60 pcs</s:t>
              </s:r>
            </s:text>
          </item>
        </commentChain>
      </unresolved>
      <resolved/>
    </commentChains>
    <commentChains s:ref="S684" rgbClr="FF0000">
      <unresolved>
        <commentChain chainId="ec93138022ca98c65dfbcac5bb898e5d62a45c10">
          <item id="c0659f5e6b85bc205600a7596b428c61190d1cfc" isNormal="1">
            <s:text>
              <s:r>
                <s:t xml:space="preserve">Administrator:
1/19 上进口商贴纸 9000 pcs</s:t>
              </s:r>
            </s:text>
          </item>
        </commentChain>
      </unresolved>
      <resolved/>
    </commentChains>
    <commentChains s:ref="Q685" rgbClr="FF0000">
      <unresolved>
        <commentChain chainId="505d76948356b74e97aa959ec5685810a31190f7">
          <item id="10b9aaf3aa42472430dbc1151510f46a5515d2b6" isNormal="1">
            <s:text>
              <s:r>
                <s:t xml:space="preserve">Administrator:
14005675 1/31 1344 pcs
1405619 2/3 96 pcs</s:t>
              </s:r>
            </s:text>
          </item>
        </commentChain>
      </unresolved>
      <resolved/>
    </commentChains>
    <commentChains s:ref="S685" rgbClr="FF0000">
      <unresolved>
        <commentChain chainId="1e19c91fbbf485a1b7d8fdd831f0aeb86f749698">
          <item id="85ef4acb3c1eeef6f5e06dc524fd4d69428e9da5" isNormal="1">
            <s:text>
              <s:r>
                <s:t xml:space="preserve">Administrator:
1/15 上UPC/进口商贴纸 1440 pcs</s:t>
              </s:r>
            </s:text>
          </item>
        </commentChain>
      </unresolved>
      <resolved/>
    </commentChains>
    <commentChains s:ref="Q686" rgbClr="FF0000">
      <unresolved>
        <commentChain chainId="ee10c9179c565fcb990a402e5f005404e5ad74e8">
          <item id="617b52b27798fa28f933b86581f7931f3c601c64" isNormal="1">
            <s:text>
              <s:r>
                <s:t xml:space="preserve">Administrator:
5000808 2/7 180 pcs</s:t>
              </s:r>
            </s:text>
          </item>
        </commentChain>
      </unresolved>
      <resolved/>
    </commentChains>
    <commentChains s:ref="S686" rgbClr="FF0000">
      <unresolved>
        <commentChain chainId="e38bb56a7895e887fbd3e1f1a8b70f8fe7cdddef">
          <item id="2c4ae16f69b13b7ad0a51feb8e18b55d287f2f9d" isNormal="1">
            <s:text>
              <s:r>
                <s:t xml:space="preserve">Administrator:
1/21 上进口商贴纸 1584 pcs</s:t>
              </s:r>
            </s:text>
          </item>
        </commentChain>
      </unresolved>
      <resolved/>
    </commentChains>
    <commentChains s:ref="Q687" rgbClr="FF0000">
      <unresolved>
        <commentChain chainId="42abb1e31ed728db008382dcc9ed5a741eeaa4ee">
          <item id="7e4a3f2e8a7f7cb5721c325190ab506cb2d6dd06" isNormal="1">
            <s:text>
              <s:r>
                <s:t xml:space="preserve">Administrator:
5000808 2/7 372 pcs</s:t>
              </s:r>
            </s:text>
          </item>
        </commentChain>
      </unresolved>
      <resolved/>
    </commentChains>
    <commentChains s:ref="Q688" rgbClr="FF0000">
      <unresolved>
        <commentChain chainId="53af64957c23686361e116786909be62fe700029">
          <item id="a71be967d218ca960701925dbfdcd3911b85cea6" isNormal="1">
            <s:text>
              <s:r>
                <s:t xml:space="preserve">Administrator:
5000808 2/7 564 pcs</s:t>
              </s:r>
            </s:text>
          </item>
        </commentChain>
      </unresolved>
      <resolved/>
    </commentChains>
    <commentChains s:ref="Q689" rgbClr="FF0000">
      <unresolved>
        <commentChain chainId="c3029d5708c4d5dfff59c50ef5033bf07447e024">
          <item id="fc0fccb4f9bfa651f3aeea6d85317d87d1ceb9e9" isNormal="1">
            <s:text>
              <s:r>
                <s:t xml:space="preserve">Administrator:
5000808 2/7 468 pcs</s:t>
              </s:r>
            </s:text>
          </item>
        </commentChain>
      </unresolved>
      <resolved/>
    </commentChains>
    <commentChains s:ref="Q690" rgbClr="FF0000">
      <unresolved>
        <commentChain chainId="17b105ce9fcae3a24fbec98f5b18ec554fe5c359">
          <item id="0d77c3134b4549db559b1bf09bde92ed4145edea" isNormal="1">
            <s:text>
              <s:r>
                <s:t xml:space="preserve">Administrator:
5000808 2/7 600 pcs</s:t>
              </s:r>
            </s:text>
          </item>
        </commentChain>
      </unresolved>
      <resolved/>
    </commentChains>
    <commentChains s:ref="Q691" rgbClr="FF0000">
      <unresolved>
        <commentChain chainId="82c1e4457fbe9899abcee2adbe310053a56487c8">
          <item id="cc026511152d1e2aca5168ebf383324a2e93294d" isNormal="1">
            <s:text>
              <s:r>
                <s:t xml:space="preserve">Administrator:
4001911 2/4 1044 pcs</s:t>
              </s:r>
            </s:text>
          </item>
        </commentChain>
      </unresolved>
      <resolved/>
    </commentChains>
    <commentChains s:ref="S691" rgbClr="FF0000">
      <unresolved>
        <commentChain chainId="9b59147fb09db3b158e5abc0d86464862fa27b56">
          <item id="dda4cf63382c929ec7181d4fe7fb382f264c47ed" isNormal="1">
            <s:text>
              <s:r>
                <s:t xml:space="preserve">Administrator:
1/22 上产品贴纸 2088 pcs
     上EAN贴纸 2088 pcs</s:t>
              </s:r>
            </s:text>
          </item>
        </commentChain>
      </unresolved>
      <resolved/>
    </commentChains>
    <commentChains s:ref="Q692" rgbClr="FF0000">
      <unresolved>
        <commentChain chainId="26415d1e10f4ecebab00f71ced2cc5b1ed6a8f93">
          <item id="fe693ecf32927542b09b781de63020f99354cdad" isNormal="1">
            <s:text>
              <s:r>
                <s:t xml:space="preserve">Administrator:
5000808 2/7 4000 pcs</s:t>
              </s:r>
            </s:text>
          </item>
        </commentChain>
      </unresolved>
      <resolved/>
    </commentChains>
    <commentChains s:ref="S692" rgbClr="FF0000">
      <unresolved>
        <commentChain chainId="889a37fea0b50d453f988e7bf9e4a4cdf91becb0">
          <item id="4de0dd2a7c4e1bce45d26dd25ca375ea1c9caede" isNormal="1">
            <s:text>
              <s:r>
                <s:t xml:space="preserve">Administrator:
1/19 上4国警告语贴纸 7000 pcs</s:t>
              </s:r>
            </s:text>
          </item>
        </commentChain>
      </unresolved>
      <resolved/>
    </commentChains>
    <commentChains s:ref="Q693" rgbClr="FF0000">
      <unresolved>
        <commentChain chainId="9c1cad95994c65a32ed9ab358d6e25d7c685abf4">
          <item id="92fda0887c57b1837e2a0e4152f9a29940082924" isNormal="1">
            <s:text>
              <s:r>
                <s:t xml:space="preserve">Administrator:
5000818 2/7 504 pcs</s:t>
              </s:r>
            </s:text>
          </item>
        </commentChain>
      </unresolved>
      <resolved/>
    </commentChains>
    <commentChains s:ref="Q694" rgbClr="FF0000">
      <unresolved>
        <commentChain chainId="b433c13c149b89e0f0c24b83b30fc50e48f8e5c8">
          <item id="55a1d28f8a0fa9ff78b914ef06da230c7c18ac1a" isNormal="1">
            <s:text>
              <s:r>
                <s:t xml:space="preserve">Administrator:
5000818 2/7 600 pcs</s:t>
              </s:r>
            </s:text>
          </item>
        </commentChain>
      </unresolved>
      <resolved/>
    </commentChains>
    <commentChains s:ref="Q695" rgbClr="FF0000">
      <unresolved>
        <commentChain chainId="93622f0ca6cb4cec3716d4d3403cf9ca7d4ebef0">
          <item id="ae477c30cb2f15650244b2653b356a2bc4f7bb80" isNormal="1">
            <s:text>
              <s:r>
                <s:t xml:space="preserve">Administrator:
5000818 2/7 480 pcs</s:t>
              </s:r>
            </s:text>
          </item>
        </commentChain>
      </unresolved>
      <resolved/>
    </commentChains>
    <commentChains s:ref="S695" rgbClr="FF0000">
      <unresolved>
        <commentChain chainId="9de84089c98d186207f5397f699360bdaf1dfebe">
          <item id="8310afc5dcc5b17081aab065a8b16ccb0348f6a4" isNormal="1">
            <s:text>
              <s:r>
                <s:t xml:space="preserve">Administrator:
1/29 上亚马逊外箱贴纸 15 pcs</s:t>
              </s:r>
            </s:text>
          </item>
        </commentChain>
      </unresolved>
      <resolved/>
    </commentChains>
    <commentChains s:ref="Q696" rgbClr="FF0000">
      <unresolved>
        <commentChain chainId="c173248b2b8008afbe9a578cdf99393c924473df">
          <item id="90e89e66525259f911394e45054f412ae62267c8" isNormal="1">
            <s:text>
              <s:r>
                <s:t xml:space="preserve">Administrator:
5000819 2/7 32 pcs</s:t>
              </s:r>
            </s:text>
          </item>
        </commentChain>
      </unresolved>
      <resolved/>
    </commentChains>
    <commentChains s:ref="S696" rgbClr="FF0000">
      <unresolved>
        <commentChain chainId="87bc43dca2a4ee5893709ed8f6be03ee750610d5">
          <item id="cd019f7c3f5644ca7220a07430cb43972507f796" isNormal="1">
            <s:text>
              <s:r>
                <s:t xml:space="preserve">Administrator:
1/30 上客供亚马逊外箱贴纸 1 pcs</s:t>
              </s:r>
            </s:text>
          </item>
        </commentChain>
      </unresolved>
      <resolved/>
    </commentChains>
    <commentChains s:ref="Q697" rgbClr="FF0000">
      <unresolved>
        <commentChain chainId="29ab359a38f92f1e84250076cd0ef9c93ae4315f">
          <item id="7deec865ef331969638cfd41566b3aad7aed5561" isNormal="1">
            <s:text>
              <s:r>
                <s:t xml:space="preserve">Administrator:
5000819 2/7 32 pcs</s:t>
              </s:r>
            </s:text>
          </item>
        </commentChain>
      </unresolved>
      <resolved/>
    </commentChains>
    <commentChains s:ref="S697" rgbClr="FF0000">
      <unresolved>
        <commentChain chainId="0e9d7c18aee491734c3984579d70b3f1fadcd70e">
          <item id="b9fc7bdbeb5feba70ea6b36dc2f8f02d92dbe7cb" isNormal="1">
            <s:text>
              <s:r>
                <s:t xml:space="preserve">Administrator:
1/30 上客供亚马逊外箱贴纸 1 pcs</s:t>
              </s:r>
            </s:text>
          </item>
        </commentChain>
      </unresolved>
      <resolved/>
    </commentChains>
    <commentChains s:ref="Q698" rgbClr="FF0000">
      <unresolved>
        <commentChain chainId="7ef20f6169052da33982c974ad3bba0d8dfa3378">
          <item id="783c9c0974baa4efb2a4334d856077b52cc4bbd3" isNormal="1">
            <s:text>
              <s:r>
                <s:t xml:space="preserve">Administrator:
1405560 2/7 32 pcs</s:t>
              </s:r>
            </s:text>
          </item>
        </commentChain>
      </unresolved>
      <resolved/>
    </commentChains>
    <commentChains s:ref="S698" rgbClr="FF0000">
      <unresolved>
        <commentChain chainId="d24ac31846ad8b2a1e9cc0bee25df95c68efc8df">
          <item id="ffba13502f7fd0ee403eaa3bb9a9e1fcce0ce2a2" isNormal="1">
            <s:text>
              <s:r>
                <s:t xml:space="preserve">Administrator:
1/28 上亚马逊外箱贴纸 6 pcs</s:t>
              </s:r>
            </s:text>
          </item>
        </commentChain>
      </unresolved>
      <resolved/>
    </commentChains>
    <commentChains s:ref="Q699" rgbClr="FF0000">
      <unresolved>
        <commentChain chainId="fbde3dd1e4c12adca030c1e7d99fe83ba3017f8c">
          <item id="0eee6fe10cbdf15002bcb605002cb95493f4f925" isNormal="1">
            <s:text>
              <s:r>
                <s:t xml:space="preserve">Administrator:
1405560 2/7 32 pcs</s:t>
              </s:r>
            </s:text>
          </item>
        </commentChain>
      </unresolved>
      <resolved/>
    </commentChains>
    <commentChains s:ref="Q700" rgbClr="FF0000">
      <unresolved>
        <commentChain chainId="93b4abc8011f17906a034814ec13e5d5c48d6d19">
          <item id="a774cb1f975c8f9690ae1fe46e123c020d8c863a" isNormal="1">
            <s:text>
              <s:r>
                <s:t xml:space="preserve">Administrator:
1405560 2/7 32 pcs</s:t>
              </s:r>
            </s:text>
          </item>
        </commentChain>
      </unresolved>
      <resolved/>
    </commentChains>
    <commentChains s:ref="Q701" rgbClr="FF0000">
      <unresolved>
        <commentChain chainId="d7af9769f2d88bf86301ad7ea8384db786300d21">
          <item id="0942028337d5a8b76adbf19efbf1232d8402982b" isNormal="1">
            <s:text>
              <s:r>
                <s:t xml:space="preserve">Administrator:
1405560 2/7 32 pcs</s:t>
              </s:r>
            </s:text>
          </item>
        </commentChain>
      </unresolved>
      <resolved/>
    </commentChains>
    <commentChains s:ref="Q702" rgbClr="FF0000">
      <unresolved>
        <commentChain chainId="850754a4acb40dc1cc78f99e6f8a3687b1efa466">
          <item id="c069ee44464e205073abe0dceaf5e39a626378d6" isNormal="1">
            <s:text>
              <s:r>
                <s:t xml:space="preserve">Administrator:
1405560 2/7 32 pcs</s:t>
              </s:r>
            </s:text>
          </item>
        </commentChain>
      </unresolved>
      <resolved/>
    </commentChains>
    <commentChains s:ref="Q703" rgbClr="FF0000">
      <unresolved>
        <commentChain chainId="828efba30278ae50a31d5f6fcb533c412b3708b4">
          <item id="48766b107ba32968a28651b70190c151d5472e66" isNormal="1">
            <s:text>
              <s:r>
                <s:t xml:space="preserve">Administrator:
1405560 2/7 32 pcs</s:t>
              </s:r>
            </s:text>
          </item>
        </commentChain>
      </unresolved>
      <resolved/>
    </commentChains>
    <commentChains s:ref="Q704" rgbClr="FF0000">
      <unresolved>
        <commentChain chainId="8dc34de137ebb654bb6b51548985768868e63871">
          <item id="bf112c801899bef5c3ae41704f0cc1539041fa5e" isNormal="1">
            <s:text>
              <s:r>
                <s:t xml:space="preserve">Administrator:
5000825 2/26 960 pcs</s:t>
              </s:r>
            </s:text>
          </item>
        </commentChain>
      </unresolved>
      <resolved/>
    </commentChains>
    <commentChains s:ref="S704" rgbClr="FF0000">
      <unresolved>
        <commentChain chainId="105ec3542c9e8b55fc20050ed66490282861213c">
          <item id="6c980ed1458d84147c7057056a99403f3c2b7a24" isNormal="1">
            <s:text>
              <s:r>
                <s:t xml:space="preserve">Administrator:
1/26 上亚马逊外箱贴纸 30 pcs</s:t>
              </s:r>
            </s:text>
          </item>
        </commentChain>
      </unresolved>
      <resolved/>
    </commentChains>
    <commentChains s:ref="Q705" rgbClr="FF0000">
      <unresolved>
        <commentChain chainId="59a8b79fee97d598caa139d844da5f6e8e20d610">
          <item id="7ecf10f2af6bad47903cbdb07e497f838d59d9a3" isNormal="1">
            <s:text>
              <s:r>
                <s:t xml:space="preserve">Administrator:
5000828 2/27 3000 pcs</s:t>
              </s:r>
            </s:text>
          </item>
        </commentChain>
      </unresolved>
      <resolved/>
    </commentChains>
    <commentChains s:ref="S705" rgbClr="FF0000">
      <unresolved>
        <commentChain chainId="62cbba73bc2b9ae80b48d40b2afe5181742a44e0">
          <item id="6dd80d2c6fb719c3582a6464c0931e0aae63bee3" isNormal="1">
            <s:text>
              <s:r>
                <s:t xml:space="preserve">Administrator:
1/21 上德诸callout警语贴纸(含 3000 pcs</s:t>
              </s:r>
            </s:text>
          </item>
        </commentChain>
      </unresolved>
      <resolved/>
    </commentChains>
    <commentChains s:ref="Q706" rgbClr="FF0000">
      <unresolved>
        <commentChain chainId="aa27505d979168387689d24762c1084b0feb4bde">
          <item id="571506ba6bc380387cbddc68c4a4f0fe9680cc30" isNormal="1">
            <s:text>
              <s:r>
                <s:t xml:space="preserve">Administrator:
1405715 1/28 2400 pcs</s:t>
              </s:r>
            </s:text>
          </item>
        </commentChain>
      </unresolved>
      <resolved/>
    </commentChains>
    <commentChains s:ref="S706" rgbClr="FF0000">
      <unresolved>
        <commentChain chainId="ea9b460f3f21b1d77310e3308588bd45aa6476e6">
          <item id="c7167a22112912687186cf3e8c77ac012915561e" isNormal="1">
            <s:text>
              <s:r>
                <s:t xml:space="preserve">Administrator:
1/19 上价格贴纸 2400 pcs
     上外箱条码贴纸 400 pcs</s:t>
              </s:r>
            </s:text>
          </item>
        </commentChain>
      </unresolved>
      <resolved/>
    </commentChains>
    <commentChains s:ref="Q707" rgbClr="FF0000">
      <unresolved>
        <commentChain chainId="796096300ecd6f571fdadf5bfd47e416d4be55ae">
          <item id="451351da960d8f3343bc4c20c3f0ae1ca0063f83" isNormal="1">
            <s:text>
              <s:r>
                <s:t xml:space="preserve">Administrator:
5000864 3/7 2784 pcs
5000875 3/10 12 pcs</s:t>
              </s:r>
            </s:text>
          </item>
        </commentChain>
      </unresolved>
      <resolved/>
    </commentChains>
    <commentChains s:ref="S707" rgbClr="FF0000">
      <unresolved>
        <commentChain chainId="6e848ce6a2764054795cb2662854d80192b24271">
          <item id="7d526dc8ba8e1f9922df2f3dea60606ed345df1f" isNormal="1">
            <s:text>
              <s:r>
                <s:t xml:space="preserve">Administrator:
2/3 上UPC/进口商贴纸 2796 pcs</s:t>
              </s:r>
            </s:text>
          </item>
        </commentChain>
      </unresolved>
      <resolved/>
    </commentChains>
    <commentChains s:ref="Q708" rgbClr="FF0000">
      <unresolved>
        <commentChain chainId="040f72d95a803b2825c1cf8412c18a03a6302cde">
          <item id="7b55bd543cd7e5252013fb344cc56cbd62dc95cf" isNormal="1">
            <s:text>
              <s:r>
                <s:t xml:space="preserve">Administrator:
5000864 3/7 120 pcs
5000875 3/10 24 pcs</s:t>
              </s:r>
            </s:text>
          </item>
        </commentChain>
      </unresolved>
      <resolved/>
    </commentChains>
    <commentChains s:ref="S708" rgbClr="FF0000">
      <unresolved>
        <commentChain chainId="cb17fba2d7cd45e4262bec167a1a9b8f509f9ae0">
          <item id="3f749b850aeed088185ef518e659e1261ce226c0" isNormal="1">
            <s:text>
              <s:r>
                <s:t xml:space="preserve">Administrator:
1/29 上baby UPC条码/进口商贴纸 144 pcs</s:t>
              </s:r>
            </s:text>
          </item>
        </commentChain>
      </unresolved>
      <resolved/>
    </commentChains>
    <commentChains s:ref="Q709" rgbClr="FF0000">
      <unresolved>
        <commentChain chainId="f9de22b77586254eb92ce25b0d4e9828e67e92df">
          <item id="bb136f13fbed463db5bf34c7df97ff68ea2cff78" isNormal="1">
            <s:text>
              <s:r>
                <s:t xml:space="preserve">Administrator:
5000864 3/7 240 pcs</s:t>
              </s:r>
            </s:text>
          </item>
        </commentChain>
      </unresolved>
      <resolved/>
    </commentChains>
    <commentChains s:ref="S709" rgbClr="FF0000">
      <unresolved>
        <commentChain chainId="8f037c654e6d9961d30758327e16703fb4a2ed5c">
          <item id="c0cff5fa056eca4ce310fd985d40fc4a316036a6" isNormal="1">
            <s:text>
              <s:r>
                <s:t xml:space="preserve">Administrator:
2/5 上UPC/进口商贴纸 240 pcs</s:t>
              </s:r>
            </s:text>
          </item>
        </commentChain>
      </unresolved>
      <resolved/>
    </commentChains>
    <commentChains s:ref="Q710" rgbClr="FF0000">
      <unresolved>
        <commentChain chainId="6892d3ce157894d84ca652983e05702f719ca761">
          <item id="10ecb2ceddf4e089961308a20fa246d226ea79db" isNormal="1">
            <s:text>
              <s:r>
                <s:t xml:space="preserve">Administrator:
1602029 3/26 468 pcs</s:t>
              </s:r>
            </s:text>
          </item>
        </commentChain>
      </unresolved>
      <resolved/>
    </commentChains>
    <commentChains s:ref="S710" rgbClr="FF0000">
      <unresolved>
        <commentChain chainId="064b531928e7e71a916fb3cd5f809a2281f5c8e4">
          <item id="5368f15636d3a22a24000f9ffd84ed7d0aaa1ccb" isNormal="1">
            <s:text>
              <s:r>
                <s:t xml:space="preserve">Administrator:
3/6 上进口商贴纸 1752 pcs</s:t>
              </s:r>
            </s:text>
          </item>
        </commentChain>
      </unresolved>
      <resolved/>
    </commentChains>
    <commentChains s:ref="Q711" rgbClr="FF0000">
      <unresolved>
        <commentChain chainId="fb2b2f7ee2ef6ba01d2f17e54471c9cc96e2c130">
          <item id="b38e8eac912f049ad3b7d7626af5310a56e247fe" isNormal="1">
            <s:text>
              <s:r>
                <s:t xml:space="preserve">Administrator:
1602029 3/26 564 pcs</s:t>
              </s:r>
            </s:text>
          </item>
        </commentChain>
      </unresolved>
      <resolved/>
    </commentChains>
    <commentChains s:ref="Q712" rgbClr="FF0000">
      <unresolved>
        <commentChain chainId="3bc295a1fae0852e7ebda71c6f5d2245f721d4bd">
          <item id="8cf9a1bc1dcee6b897e2b509b7830b6276dc4733" isNormal="1">
            <s:text>
              <s:r>
                <s:t xml:space="preserve">Administrator:
1602029 3/26 180 pcs</s:t>
              </s:r>
            </s:text>
          </item>
        </commentChain>
      </unresolved>
      <resolved/>
    </commentChains>
    <commentChains s:ref="Q713" rgbClr="FF0000">
      <unresolved>
        <commentChain chainId="2f323535b6c657d6c3df4f7853c87b5db9a5b304">
          <item id="e646c7ba901a67417753e901fcc7636887c7c661" isNormal="1">
            <s:text>
              <s:r>
                <s:t xml:space="preserve">Administrator:
1602029 3/26 540 pcs</s:t>
              </s:r>
            </s:text>
          </item>
        </commentChain>
      </unresolved>
      <resolved/>
    </commentChains>
    <commentChains s:ref="Q714" rgbClr="FF0000">
      <unresolved>
        <commentChain chainId="acc2f2f54668c134fb5ce8deaaa10c888e368799">
          <item id="81ce99caa3f126da97501ea6e3d971100a20d534" isNormal="1">
            <s:text>
              <s:r>
                <s:t xml:space="preserve">Administrator:
1602029 3/26 2400 pcs</s:t>
              </s:r>
            </s:text>
          </item>
        </commentChain>
      </unresolved>
      <resolved/>
    </commentChains>
    <commentChains s:ref="S714" rgbClr="FF0000">
      <unresolved>
        <commentChain chainId="dfb7efc68b916b93cd87c746b41cd483249329df">
          <item id="6033e32207e776c5259d6610099368373f249a4c" isNormal="1">
            <s:text>
              <s:r>
                <s:t xml:space="preserve">Administrator:
3/12 上价格贴纸 2400 pcs
     上警告语贴纸 2400 pcs</s:t>
              </s:r>
            </s:text>
          </item>
        </commentChain>
      </unresolved>
      <resolved/>
    </commentChains>
    <commentChains s:ref="Q715" rgbClr="FF0000">
      <unresolved>
        <commentChain chainId="aa4024d2ca9f95845cd7f3d50d38dd5293090a2c">
          <item id="0e3d8fbf27293f754d6169c4f989ad20f501609d" isNormal="1">
            <s:text>
              <s:r>
                <s:t xml:space="preserve">Administrator:
1602029 3/26 120 pcs</s:t>
              </s:r>
            </s:text>
          </item>
        </commentChain>
      </unresolved>
      <resolved/>
    </commentChains>
    <commentChains s:ref="S715" rgbClr="FF0000">
      <unresolved>
        <commentChain chainId="4b99a06ea9bef224fe10224ace06bfff2c48b1e1">
          <item id="610b5b4f2d9f285316447c0f682c50df65e975dc" isNormal="1">
            <s:text>
              <s:r>
                <s:t xml:space="preserve">Administrator:
2/3 上UPC贴纸 120 pcs</s:t>
              </s:r>
            </s:text>
          </item>
        </commentChain>
      </unresolved>
      <resolved/>
    </commentChains>
    <commentChains s:ref="Q716" rgbClr="FF0000">
      <unresolved>
        <commentChain chainId="07556ddf59379e3e885a9c69cad246c927de5e04">
          <item id="592756c58c235b0758591ef6684e702b779085d5" isNormal="1">
            <s:text>
              <s:r>
                <s:t xml:space="preserve">Administrator:
1602030 3/26 504 pcs
1602031 3/27 6 pcs</s:t>
              </s:r>
            </s:text>
          </item>
        </commentChain>
      </unresolved>
      <resolved/>
    </commentChains>
    <commentChains s:ref="S716" rgbClr="FF0000">
      <unresolved>
        <commentChain chainId="e7b4ad104a5f262fb55b8fcaffc9e3c3cfa46e14">
          <item id="0d3061cc8116c84913cb6296748c158b7741b4a9" isNormal="1">
            <s:text>
              <s:r>
                <s:t xml:space="preserve">Administrator:
3/9 上警告语贴纸 510 pcs
    上袋子警告语贴纸 510 pcs</s:t>
              </s:r>
            </s:text>
          </item>
        </commentChain>
      </unresolved>
      <resolved/>
    </commentChains>
    <commentChains s:ref="Q717" rgbClr="FF0000">
      <unresolved>
        <commentChain chainId="c8dbd10f9d58df6461f953bb14df0e3c6c352b0c">
          <item id="e041a75c4cb9e76b1b85732df781766e1076be39" isNormal="1">
            <s:text>
              <s:r>
                <s:t xml:space="preserve">Administrator:
1602059 3/31 696 pcs
1602063 4/2 24 pcs</s:t>
              </s:r>
            </s:text>
          </item>
        </commentChain>
      </unresolved>
      <resolved/>
    </commentChains>
    <commentChains s:ref="S717" rgbClr="FF0000">
      <unresolved>
        <commentChain chainId="32668a4f42679a4aec74cf976448586f480a4af3">
          <item id="3fd9b7982c289326eb65c0f04c5721024ce6f6e2" isNormal="1">
            <s:text>
              <s:r>
                <s:t xml:space="preserve">Administrator:
3/16 上进口商贴纸 720 pcs</s:t>
              </s:r>
            </s:text>
          </item>
        </commentChain>
      </unresolved>
      <resolved/>
    </commentChains>
    <commentChains s:ref="Q718" rgbClr="FF0000">
      <unresolved>
        <commentChain chainId="98bade7747d0c28769fcaf53b8edaf8c3eac706c">
          <item id="8b9e3d5cfe4c3ef9841ef979e053b28a347b623c" isNormal="1">
            <s:text>
              <s:r>
                <s:t xml:space="preserve">Administrator:
1602087 4/7 1200 PCS </s:t>
              </s:r>
            </s:text>
          </item>
        </commentChain>
      </unresolved>
      <resolved/>
    </commentChains>
    <commentChains s:ref="S718" rgbClr="FF0000">
      <unresolved>
        <commentChain chainId="0b8d23ec3a1cc6f10854c435996d83da4d75b7cc">
          <item id="8e193e3ae0d9902e396a1919390716855b3913c8" isNormal="1">
            <s:text>
              <s:r>
                <s:t xml:space="preserve">Administrator:
3/16 上客供价格贴纸 1260 pcs</s:t>
              </s:r>
            </s:text>
          </item>
        </commentChain>
      </unresolved>
      <resolved/>
    </commentChains>
    <commentChains s:ref="Q719" rgbClr="FF0000">
      <unresolved>
        <commentChain chainId="456af1e4e587b757b7f13e690bd3b5c6fe4e6a20">
          <item id="7457fff062bb6a95eff3a3aff0c10b3102006489" isNormal="1">
            <s:text>
              <s:r>
                <s:t xml:space="preserve">Administrator:
1602087 4/7 1200 PCS </s:t>
              </s:r>
            </s:text>
          </item>
        </commentChain>
      </unresolved>
      <resolved/>
    </commentChains>
    <commentChains s:ref="S719" rgbClr="FF0000">
      <unresolved>
        <commentChain chainId="debf1426343340ac8396a2d62c85ea68902cd7bc">
          <item id="246a8a422a39b59ec2ce0e12a1194a13efd0f893" isNormal="1">
            <s:text>
              <s:r>
                <s:t xml:space="preserve">Administrator:
3/16 上客供价格贴纸 1260 pcs</s:t>
              </s:r>
            </s:text>
          </item>
        </commentChain>
      </unresolved>
      <resolved/>
    </commentChains>
    <commentChains s:ref="Q720" rgbClr="FF0000">
      <unresolved>
        <commentChain chainId="5f53dbee827bd451303491dfc3422459e8f158cd">
          <item id="2b26f0813589d0f4c86412b3281779a29bcafd5c" isNormal="1">
            <s:text>
              <s:r>
                <s:t xml:space="preserve">Administrator:
1602087 4/7 168 PCS 
1602126 4/9 12 </s:t>
              </s:r>
            </s:text>
          </item>
        </commentChain>
      </unresolved>
      <resolved/>
    </commentChains>
    <commentChains s:ref="S720" rgbClr="FF0000">
      <unresolved>
        <commentChain chainId="dfda6ecc9ed021ebbba0be4644cc48380a73d09d">
          <item id="d1355b7ff32a23b612355f3c57510a93bccfb9cc" isNormal="1">
            <s:text>
              <s:r>
                <s:t xml:space="preserve">Administrator:
3/20 上UPC贴纸 180 pcs</s:t>
              </s:r>
            </s:text>
          </item>
        </commentChain>
      </unresolved>
      <resolved/>
    </commentChains>
    <commentChains s:ref="Q721" rgbClr="FF0000">
      <unresolved>
        <commentChain chainId="401d75321b026ab803b0aa5618834bece7f93b39">
          <item id="7fcb17f6dcc100612de1d9e4f435a960d146cfd1" isNormal="1">
            <s:text>
              <s:r>
                <s:t xml:space="preserve">Administrator:
1602093 4/8 1200 pcs</s:t>
              </s:r>
            </s:text>
          </item>
        </commentChain>
      </unresolved>
      <resolved/>
    </commentChains>
    <commentChains s:ref="S721" rgbClr="FF0000">
      <unresolved>
        <commentChain chainId="c279a66500a4f56565b7710ce5409e30e3530c47">
          <item id="501a99a6d49d1ea2032314c4827184c0878f9bb9" isNormal="1">
            <s:text>
              <s:r>
                <s:t xml:space="preserve">Administrator:
3/27 上价格贴纸 1200 pcs
     上外箱条码贴纸 200 pcs</s:t>
              </s:r>
            </s:text>
          </item>
        </commentChain>
      </unresolved>
      <resolved/>
    </commentChains>
    <commentChains s:ref="Q722" rgbClr="FF0000">
      <unresolved>
        <commentChain chainId="10fdd38e837dfa43d17caadf4610735d0c7454d9">
          <item id="4360e95f624defc02b32bc1d2a518ac462b05687" isNormal="1">
            <s:text>
              <s:r>
                <s:t xml:space="preserve">Administrator:
1602156 4/14 1536 pcs </s:t>
              </s:r>
            </s:text>
          </item>
        </commentChain>
      </unresolved>
      <resolved/>
    </commentChains>
    <commentChains s:ref="Q723" rgbClr="FF0000">
      <unresolved>
        <commentChain chainId="4e2220476ea8c66e348e125305f3a53c965d3bfa">
          <item id="11192163dc246bc61629a029c2682dea0923c63c" isNormal="1">
            <s:text>
              <s:r>
                <s:t xml:space="preserve">Administrator:
1602156 4/14 888 pcs </s:t>
              </s:r>
            </s:text>
          </item>
        </commentChain>
      </unresolved>
      <resolved/>
    </commentChains>
    <commentChains s:ref="S723" rgbClr="FF0000">
      <unresolved>
        <commentChain chainId="d041b5657e9eb290d549a9debf22941918de0500">
          <item id="d6ff9f7e4c976fe80fd9e0b2a63f38f96e01d657" isNormal="1">
            <s:text>
              <s:r>
                <s:t xml:space="preserve">Administrator:
3/27 上警告语贴纸 888 pcs
     上袋子警告语贴纸 888 pcs</s:t>
              </s:r>
            </s:text>
          </item>
        </commentChain>
      </unresolved>
      <resolved/>
    </commentChains>
    <commentChains s:ref="Q724" rgbClr="FF0000">
      <unresolved>
        <commentChain chainId="ac80f7833b6d1dda35a19f8fdfed3dd2d9306ff6">
          <item id="64ec13695643831407d589c697dc1d08cd2f4b3c" isNormal="1">
            <s:text>
              <s:r>
                <s:t xml:space="preserve">Administrator:
1601702 4/21 720 pcs</s:t>
              </s:r>
            </s:text>
          </item>
        </commentChain>
      </unresolved>
      <resolved/>
    </commentChains>
    <commentChains s:ref="Q725" rgbClr="FF0000">
      <unresolved>
        <commentChain chainId="9694ce70d840a1c5908dbbe39a75fde2c8482c2c">
          <item id="7940696c307ec869c8835461b278f95742c6bc03" isNormal="1">
            <s:text>
              <s:r>
                <s:t xml:space="preserve">Administrator:
1601702 4/21 576 pcs</s:t>
              </s:r>
            </s:text>
          </item>
        </commentChain>
      </unresolved>
      <resolved/>
    </commentChains>
    <commentChains s:ref="Q726" rgbClr="FF0000">
      <unresolved>
        <commentChain chainId="06da242a569a544833e1fe0318afc8b5f5c159b6">
          <item id="0159cc049e2cf505b3dba2f1f634bbcc30f4a2cf" isNormal="1">
            <s:text>
              <s:r>
                <s:t xml:space="preserve">Administrator:
1601702 4/21 96 pcs</s:t>
              </s:r>
            </s:text>
          </item>
        </commentChain>
      </unresolved>
      <resolved/>
    </commentChains>
    <commentChains s:ref="S726" rgbClr="FF0000">
      <unresolved>
        <commentChain chainId="015fd9a7e2dbff09f16d7986c67979a26f43bbec">
          <item id="823c18896277dfb817ee8d1056c0b3b5b287af5d" isNormal="1">
            <s:text>
              <s:r>
                <s:t xml:space="preserve">Administrator:
4/14 上客供亚马逊外箱贴纸 3 pcs</s:t>
              </s:r>
            </s:text>
          </item>
        </commentChain>
      </unresolved>
      <resolved/>
    </commentChains>
    <commentChains s:ref="Q727" rgbClr="FF0000">
      <unresolved>
        <commentChain chainId="3ede5f55256277f778d14cf6aeb1212cf4efaefb">
          <item id="9088309b725171cbd9768868d671f005ec0bb40e" isNormal="1">
            <s:text>
              <s:r>
                <s:t xml:space="preserve">Administrator:
1601703 4/21 128 pcs</s:t>
              </s:r>
            </s:text>
          </item>
        </commentChain>
      </unresolved>
      <resolved/>
    </commentChains>
    <commentChains s:ref="S727" rgbClr="FF0000">
      <unresolved>
        <commentChain chainId="fda175a1fef8e23db4df8e12b55bbcfb7319da07">
          <item id="3e7fce4eb437997eead3c079b0837828471e775f" isNormal="1">
            <s:text>
              <s:r>
                <s:t xml:space="preserve">Administrator:
4/14 上客供亚马逊外箱贴纸 4 pcs</s:t>
              </s:r>
            </s:text>
          </item>
        </commentChain>
      </unresolved>
      <resolved/>
    </commentChains>
    <commentChains s:ref="Q728" rgbClr="FF0000">
      <unresolved>
        <commentChain chainId="5659f27249f8a74583ccdb0f0b3d65fe4a9ef648">
          <item id="6ef35ec65e0c4dc0ad86f58b2f22053afa59ad85" isNormal="1">
            <s:text>
              <s:r>
                <s:t xml:space="preserve">Administrator:
1601703 4/21 192 pcs</s:t>
              </s:r>
            </s:text>
          </item>
        </commentChain>
      </unresolved>
      <resolved/>
    </commentChains>
    <commentChains s:ref="S728" rgbClr="FF0000">
      <unresolved>
        <commentChain chainId="62ecc5de2a6847d5084595f2055a341fe4454598">
          <item id="5a4bb28d491613b45e0315945c8a542b61cca930" isNormal="1">
            <s:text>
              <s:r>
                <s:t xml:space="preserve">Administrator:
4/14 上客供亚马逊外箱贴纸 6 pcs</s:t>
              </s:r>
            </s:text>
          </item>
        </commentChain>
      </unresolved>
      <resolved/>
    </commentChains>
    <commentChains s:ref="Q729" rgbClr="FF0000">
      <unresolved>
        <commentChain chainId="effd2cd2419509f62b0340df5f3c5a68fd7bb665">
          <item id="62deb7f2937e1f8b35bc0a8c304697b8c26c8114" isNormal="1">
            <s:text>
              <s:r>
                <s:t xml:space="preserve">Administrator:
1601703 4/21 128 pcs</s:t>
              </s:r>
            </s:text>
          </item>
        </commentChain>
      </unresolved>
      <resolved/>
    </commentChains>
    <commentChains s:ref="S729" rgbClr="FF0000">
      <unresolved>
        <commentChain chainId="ecdeffdbf7501c4c00eca1d6a53f9da6d314d553">
          <item id="6c2d385d2adf39865ae90a1fc97a8a7530e333f5" isNormal="1">
            <s:text>
              <s:r>
                <s:t xml:space="preserve">Administrator:
4/14 上客供亚马逊外箱贴纸 4 pcs</s:t>
              </s:r>
            </s:text>
          </item>
        </commentChain>
      </unresolved>
      <resolved/>
    </commentChains>
    <commentChains s:ref="Q730" rgbClr="FF0000">
      <unresolved>
        <commentChain chainId="de471ddacbde0580cc902aafd6f97c364e0ee97e">
          <item id="0c69c0cabffc8c5d505125a8a6576c1d85b9f84b" isNormal="1">
            <s:text>
              <s:r>
                <s:t xml:space="preserve">Administrator:
1601703 4/21 96 pcs</s:t>
              </s:r>
            </s:text>
          </item>
        </commentChain>
      </unresolved>
      <resolved/>
    </commentChains>
    <commentChains s:ref="S730" rgbClr="FF0000">
      <unresolved>
        <commentChain chainId="5e82d6ae317ff7e8528df2b120cb6b4f5825809b">
          <item id="d4acb2ca528f4065dee6d2f409ec9fd442037920" isNormal="1">
            <s:text>
              <s:r>
                <s:t xml:space="preserve">Administrator:
4/14 上客供亚马逊外箱贴纸 3 pcs</s:t>
              </s:r>
            </s:text>
          </item>
        </commentChain>
      </unresolved>
      <resolved/>
    </commentChains>
    <commentChains s:ref="Q731" rgbClr="FF0000">
      <unresolved>
        <commentChain chainId="b580be958d120eb5502f7ebe92892b9bacc557ac">
          <item id="f440ac8a44032a26c8e977ff505c1a0b7ddf11b5" isNormal="1">
            <s:text>
              <s:r>
                <s:t xml:space="preserve">Administrator:
1601703 4/21 160 pcs</s:t>
              </s:r>
            </s:text>
          </item>
        </commentChain>
      </unresolved>
      <resolved/>
    </commentChains>
    <commentChains s:ref="S731" rgbClr="FF0000">
      <unresolved>
        <commentChain chainId="cbb6b532f53e47fac15508fc593a35e09a132549">
          <item id="35b1424e458d4f9a012b315844046f6273c44dfd" isNormal="1">
            <s:text>
              <s:r>
                <s:t xml:space="preserve">Administrator:
4/14 上客供亚马逊外箱贴纸 5 pcs</s:t>
              </s:r>
            </s:text>
          </item>
        </commentChain>
      </unresolved>
      <resolved/>
    </commentChains>
    <commentChains s:ref="Q732" rgbClr="FF0000">
      <unresolved>
        <commentChain chainId="44bbe87b4c5fa3a75cf1ae70630f7a7af2dc64cf">
          <item id="4794ee3c6dbad4cc35fc6766815844cf4b36da42" isNormal="1">
            <s:text>
              <s:r>
                <s:t xml:space="preserve">Administrator:
1402924 5/3 3000 pcs</s:t>
              </s:r>
            </s:text>
          </item>
        </commentChain>
      </unresolved>
      <resolved/>
    </commentChains>
    <commentChains s:ref="Q733" rgbClr="FF0000">
      <unresolved>
        <commentChain chainId="b479e11c4612efa6788d5e75eae342ac7b29979a">
          <item id="de3eb9549cf0c392ae75714b136b5053dbe8facf" isNormal="1">
            <s:text>
              <s:r>
                <s:t xml:space="preserve">Administrator:
1402890 4/28 720 pcs</s:t>
              </s:r>
            </s:text>
          </item>
        </commentChain>
      </unresolved>
      <resolved/>
    </commentChains>
    <commentChains s:ref="S733" rgbClr="FF0000">
      <unresolved>
        <commentChain chainId="df044fc9b086da9eb52b48ce148d2f552719ab57">
          <item id="f15eee57e616e8bc9ed43ed6ccf106b2da4e07d4" isNormal="1">
            <s:text>
              <s:r>
                <s:t xml:space="preserve">Administrator:
4/10 上警告语贴纸 720 pcs
     上袋子警告语贴纸 720 pcs</s:t>
              </s:r>
            </s:text>
          </item>
        </commentChain>
      </unresolved>
      <resolved/>
    </commentChains>
    <commentChains s:ref="Q734" rgbClr="FF0000">
      <unresolved>
        <commentChain chainId="9c7619de52d10dd59ba6505b1c03fe1f5f0c0eec">
          <item id="be7645fc4e704e97268b06a88a7d9d1c084f9764" isNormal="1">
            <s:text>
              <s:r>
                <s:t xml:space="preserve">Administrator:
1406212 4/26 1500 pcs</s:t>
              </s:r>
            </s:text>
          </item>
        </commentChain>
      </unresolved>
      <resolved/>
    </commentChains>
    <commentChains s:ref="S734" rgbClr="FF0000">
      <unresolved>
        <commentChain chainId="bd0c23a974a3a1d0d18e2a36954d7e1836b046dd">
          <item id="be455cb8da14f340add78a1ce24d76252c3468db" isNormal="1">
            <s:text>
              <s:r>
                <s:t xml:space="preserve">Administrator:
4/1  上4国语警语贴纸 1500 pcs</s:t>
              </s:r>
            </s:text>
          </item>
        </commentChain>
      </unresolved>
      <resolved/>
    </commentChains>
    <commentChains s:ref="Q735" rgbClr="FF0000">
      <unresolved>
        <commentChain chainId="248861c5bb8d4de152ae4d5a6976066a6a4319ec">
          <item id="76f9853df7edf9a0ce52d50db4ca252c35f4c1fd" isNormal="1">
            <s:text>
              <s:r>
                <s:t xml:space="preserve">Administrator:
1403114 5/23 720 pcs</s:t>
              </s:r>
            </s:text>
          </item>
        </commentChain>
      </unresolved>
      <resolved/>
    </commentChains>
    <commentChains s:ref="Q736" rgbClr="FF0000">
      <unresolved>
        <commentChain chainId="2c8eda6a0ffcb1d71eab471ec2ae5aaa8a164263">
          <item id="d99f6ba445af144c2a2b759cd0cfa75f824a8aec" isNormal="1">
            <s:text>
              <s:r>
                <s:t xml:space="preserve">Administrator:
1403040 5/15 3000 pcs</s:t>
              </s:r>
            </s:text>
          </item>
        </commentChain>
      </unresolved>
      <resolved/>
    </commentChains>
    <commentChains s:ref="Q737" rgbClr="FF0000">
      <unresolved>
        <commentChain chainId="04fcee60e9d2f484b749905235d5de6fa7a57046">
          <item id="77cd977d90b1138bf659219edcc58d814e4848ee" isNormal="1">
            <s:text>
              <s:r>
                <s:t xml:space="preserve">Administrator:
1403114 5/23 1170 pcs
1403102 5/22 2688 pcs</s:t>
              </s:r>
            </s:text>
          </item>
        </commentChain>
      </unresolved>
      <resolved/>
    </commentChains>
    <commentChains s:ref="Q738" rgbClr="FF0000">
      <unresolved>
        <commentChain chainId="09a0cf44b98dfbc764c74db5cd2282b04ec57b72">
          <item id="d69c847498b53686486c36a957843a95b3e92a6c" isNormal="1">
            <s:text>
              <s:r>
                <s:t xml:space="preserve">Administrator:
1403114 5/23 216 pcs
1403102 5/22 3744 pcs</s:t>
              </s:r>
            </s:text>
          </item>
        </commentChain>
      </unresolved>
      <resolved/>
    </commentChains>
    <commentChains s:ref="Q739" rgbClr="FF0000">
      <unresolved>
        <commentChain chainId="af9e223acd88f92a5f1e05f3cf3b8cc46a400015">
          <item id="1af3b1dfd8fbc15d79ef5af4a14c559644a1d37e" isNormal="1">
            <s:text>
              <s:r>
                <s:t xml:space="preserve">Administrator:
1403081 5/20 300 pcs</s:t>
              </s:r>
            </s:text>
          </item>
        </commentChain>
      </unresolved>
      <resolved/>
    </commentChains>
    <commentChains s:ref="Q740" rgbClr="FF0000">
      <unresolved>
        <commentChain chainId="9012f125a6791bd572400c4fab008d417bd9a788">
          <item id="026f456c9538c791bab0d146b4a865ad41ae637c" isNormal="1">
            <s:text>
              <s:r>
                <s:t xml:space="preserve">Administrator:
1403082 5/20 6000 pcs</s:t>
              </s:r>
            </s:text>
          </item>
        </commentChain>
      </unresolved>
      <resolved/>
    </commentChains>
    <commentChains s:ref="Q741" rgbClr="FF0000">
      <unresolved>
        <commentChain chainId="8e1221689c2aaa3110ae1e1ef36b0d0119dc8ecd">
          <item id="a695db47ae5d0b19b8772f58caa5b752eb1b98f4" isNormal="1">
            <s:text>
              <s:r>
                <s:t xml:space="preserve">Administrator:
1403091 5/21 1452 pcs</s:t>
              </s:r>
            </s:text>
          </item>
        </commentChain>
      </unresolved>
      <resolved/>
    </commentChains>
    <commentChains s:ref="Q742" rgbClr="FF0000">
      <unresolved>
        <commentChain chainId="ec1d15c6cd841baf726dcfd778f3250b6d3cd89b">
          <item id="81ac43711ee986544ae2c970f7d9fb6d3062deec" isNormal="1">
            <s:text>
              <s:r>
                <s:t xml:space="preserve">Administrator:
1403118 5/25 3984 pcs</s:t>
              </s:r>
            </s:text>
          </item>
          <item id="c50570054987e5f151b4215724493ec6fedc44c0" userID="1715258932" userName="严新荟" dateTime="2026-06-02T06:31:22" isNormal="0">
            <s:text>
              <s:r>
                <s:t xml:space="preserve">1601765 5/26 24 pcs</s:t>
              </s:r>
            </s:text>
          </item>
        </commentChain>
      </unresolved>
      <resolved/>
    </commentChains>
    <commentChains s:ref="Q743" rgbClr="FF0000">
      <unresolved>
        <commentChain chainId="bd7b2a4f4d19207c0a85823a7818087a260f5db1">
          <item id="de6fb6e6446ec478b740a66f4f8d9d7218e2d72d" userID="1715258932" userName="严新荟" dateTime="2026-06-02T06:32:50" isNormal="0">
            <s:text>
              <s:r>
                <s:t xml:space="preserve">1601767 5/27 7776 pcs</s:t>
              </s:r>
            </s:text>
          </item>
          <item id="e4feb69e16e42227b97ad804031818e6913779f4" userID="1715258932" userName="严新荟" dateTime="2026-06-02T06:33:15" isNormal="0">
            <s:text>
              <s:r>
                <s:t xml:space="preserve">1601774 5/28 144 pcs</s:t>
              </s:r>
            </s:text>
          </item>
        </commentChain>
      </unresolved>
      <resolved/>
    </commentChains>
    <commentChains s:ref="Q744" rgbClr="FF0000">
      <unresolved>
        <commentChain chainId="c7ef5b84091a798bf03e5027f782c252c1d67277">
          <item id="92692a9097bf907247ee351b669c14a6c60bffaa" userID="1715258932" userName="严新荟" dateTime="2026-06-02T06:33:57" isNormal="0">
            <s:text>
              <s:r>
                <s:t xml:space="preserve">1601774 5/28 18880 PCS</s:t>
              </s:r>
            </s:text>
          </item>
          <item id="77d7179c6837eb57902607354807fd7cd17fa130" userID="1715258932" userName="严新荟" dateTime="2026-06-02T06:34:12" isNormal="0">
            <s:text>
              <s:r>
                <s:t xml:space="preserve">2500153 5/29 120 PCS</s:t>
              </s:r>
            </s:text>
          </item>
        </commentChain>
      </unresolved>
      <resolved/>
    </commentChains>
    <commentChains s:ref="Q745" rgbClr="FF0000">
      <unresolved>
        <commentChain chainId="cad8b3bf5f75f64335ec14d0d830d05d960b0b36">
          <item id="b31e042d99bb3b47005cf6e701c3d6396b59d911" userID="1715258932" userName="严新荟" dateTime="2026-06-02T06:34:44" isNormal="0">
            <s:text>
              <s:r>
                <s:t xml:space="preserve">1601791 5/30 3600 PCS</s:t>
              </s:r>
            </s:text>
          </item>
        </commentChain>
      </unresolved>
      <resolved/>
    </commentChains>
    <commentChains s:ref="Q746" rgbClr="FF0000">
      <unresolved>
        <commentChain chainId="d77f7e9a9504605877de659f0ea06084acc4b699">
          <item id="6167d2a80ad1d511d33c335700c3443719bed00e" userID="1715258932" userName="严新荟" dateTime="2026-06-02T06:35:16" isNormal="0">
            <s:text>
              <s:r>
                <s:t xml:space="preserve">1601776 5/28 240 PCS</s:t>
              </s:r>
            </s:text>
          </item>
        </commentChain>
      </unresolved>
      <resolved/>
    </commentChains>
    <commentChains s:ref="Q747" rgbClr="FF0000">
      <unresolved>
        <commentChain chainId="cc16f1e3f88eef85514292042343e63b4b588b34">
          <item id="df5c4d1fe72fb8c9c70b3ecf218ef0b31ba1f9b5" userID="1715258932" userName="严新荟" dateTime="2026-06-02T06:30:44" isNormal="0">
            <s:text>
              <s:r>
                <s:t xml:space="preserve">1601795 6/1 1800 pcs</s:t>
              </s:r>
            </s:text>
          </item>
        </commentChain>
      </unresolved>
      <resolved/>
    </commentChains>
    <commentChains s:ref="Q748" rgbClr="FF0000">
      <unresolved>
        <commentChain chainId="0cbb349995f95b91b0317b60749f171f2c8ac2a3">
          <item id="52a08ee3d3c697086f12f572e0cb86c87a4d8b0b" userID="1715258932" userName="严新荟" dateTime="2026-06-02T06:35:46" isNormal="0">
            <s:text>
              <s:r>
                <s:t xml:space="preserve">1601795 6/1 2004 PCS</s:t>
              </s:r>
            </s:text>
          </item>
        </commentChain>
      </unresolved>
      <resolved/>
    </commentChains>
    <commentChains s:ref="Q749" rgbClr="FF0000">
      <unresolved>
        <commentChain chainId="17583f620e05caf022e6f6bd5178fc286dc843cf">
          <item id="74f7f2ed8b56bab6505bdacd91db2f68a5a84ffc" userID="1715258932" userName="严新荟" dateTime="2026-06-02T06:36:14" isNormal="0">
            <s:text>
              <s:r>
                <s:t xml:space="preserve">1601795 6/1 2376  PCS
1601810 6/2 828  pcs</s:t>
              </s:r>
            </s:text>
          </item>
        </commentChain>
      </unresolved>
      <resolved/>
    </commentChains>
    <commentChains s:ref="Q750" rgbClr="FF0000">
      <unresolved>
        <commentChain chainId="3a4a4bb42a1ecc1ea58cba6644184fc98ecb954a">
          <item id="15f343c4e0071c72051f3f14bde321482d2a75fe" userID="1715258932" userName="严新荟" dateTime="2026-06-16T02:28:54" isNormal="0">
            <s:text>
              <s:r>
                <s:t xml:space="preserve">2500357 6/6 300 pcs</s:t>
              </s:r>
            </s:text>
          </item>
        </commentChain>
      </unresolved>
      <resolved/>
    </commentChains>
    <commentChains s:ref="Q751" rgbClr="FF0000">
      <unresolved>
        <commentChain chainId="1954e2471ddc39f8286f0a6551bfc8323fc14a24">
          <item id="cc399b8406fcd323511230893985fca0616e64c1" userID="1715258932" userName="严新荟" dateTime="2026-06-10T01:08:50" isNormal="0">
            <s:text>
              <s:r>
                <s:t xml:space="preserve">消耗库存</s:t>
              </s:r>
            </s:text>
          </item>
        </commentChain>
      </unresolved>
      <resolved/>
    </commentChains>
    <commentChains s:ref="Q752" rgbClr="FF0000">
      <unresolved>
        <commentChain chainId="c315dd22b2860851f494d8d7886dd1f2cd214f43">
          <item id="8ea72436264589f4055e7664521bf778de02a8b1" userID="1715258932" userName="严新荟" dateTime="2026-06-10T01:08:50" isNormal="0">
            <s:text>
              <s:r>
                <s:t xml:space="preserve">消耗库存</s:t>
              </s:r>
            </s:text>
          </item>
        </commentChain>
      </unresolved>
      <resolved/>
    </commentChains>
    <commentChains s:ref="Q753" rgbClr="FF0000">
      <unresolved>
        <commentChain chainId="506397e790c3cc037429b008ec312d3b240553cf">
          <item id="05995bc9f9a0e2639d38faf8e1720d5de7ff1072" userID="1715258932" userName="严新荟" dateTime="2026-06-16T02:15:54" isNormal="0">
            <s:text>
              <s:r>
                <s:t xml:space="preserve">2500321 6/15 468 pcs
2500305 6/16 12 pcs</s:t>
              </s:r>
            </s:text>
          </item>
        </commentChain>
      </unresolved>
      <resolved/>
    </commentChains>
    <commentChains s:ref="Q754" rgbClr="FF0000">
      <unresolved>
        <commentChain chainId="5a0506bc49b3778d20c9e1cac03f2177844e4a47">
          <item id="b949358df3c883da6ed7e98c23fd26174285987f" userID="1715258932" userName="严新荟" dateTime="2026-06-18T06:18:26" isNormal="0">
            <s:text>
              <s:r>
                <s:t xml:space="preserve">2500346 6/17  378 pcs</s:t>
              </s:r>
            </s:text>
          </item>
        </commentChain>
      </unresolved>
      <resolved/>
    </commentChains>
    <commentChains s:ref="Q755" rgbClr="FF0000">
      <unresolved>
        <commentChain chainId="714b8846a2bd3e4bda15fd94ea8c027e3da0a3a0">
          <item id="67c59efe459f4ffda6199f0ceabccfe786daaa51" userID="1715258932" userName="严新荟" dateTime="2026-06-18T06:18:26" isNormal="0">
            <s:text>
              <s:r>
                <s:t xml:space="preserve">2500346 6/17  5280 pcs</s:t>
              </s:r>
            </s:text>
          </item>
        </commentChain>
      </unresolved>
      <resolved/>
    </commentChains>
    <commentChains s:ref="Q756" rgbClr="FF0000">
      <unresolved>
        <commentChain chainId="104d9c08e62b090f25d3f4224b6e75a818bdc9b8">
          <item id="15a214c90b26d93be84a48bbc036116d706c6221" userID="1715258932" userName="严新荟" dateTime="2026-06-20T06:31:27" isNormal="0">
            <s:text>
              <s:r>
                <s:t xml:space="preserve">2500200 6/18 120 pcs</s:t>
              </s:r>
            </s:text>
          </item>
        </commentChain>
      </unresolved>
      <resolved/>
    </commentChains>
    <commentChains s:ref="S756" rgbClr="FF0000">
      <unresolved>
        <commentChain chainId="790cbc7466f02f5979a2b88be7ebcb720cb80f66">
          <item id="248540f1c27910731fd9f20fd00dee85049ccd89" userID="1715258932" userName="严新荟" dateTime="2026-06-09T09:05:22" isNormal="0">
            <s:text>
              <s:r>
                <s:t xml:space="preserve">6/9 上UPC贴纸 120 pcs</s:t>
              </s:r>
            </s:text>
          </item>
        </commentChain>
      </unresolved>
      <resolved/>
    </commentChains>
    <commentChains s:ref="S757" rgbClr="FF0000">
      <unresolved>
        <commentChain chainId="83dfc9f8f468cb9f2299e36816ee628974c19667">
          <item id="f09cf748981bddaafc4fd9faea7cc5411aac4e1f" userID="1715258932" userName="严新荟" dateTime="2026-06-18T08:02:40" isNormal="0">
            <s:text>
              <s:r>
                <s:t xml:space="preserve">5/18 上进口商贴纸 3000 pcs
5/21 上水胶袋贴纸 3000 pcs</s:t>
              </s:r>
            </s:text>
          </item>
        </commentChain>
      </unresolved>
      <resolved/>
    </commentChains>
    <commentChains s:ref="S758" rgbClr="FF0000">
      <unresolved>
        <commentChain chainId="25c4a7a4be68607f359723c9241673f66038fe85">
          <item id="5d40e174c27fdb2c382d1810101fb70335946ee5" userID="1715258932" userName="严新荟" dateTime="2026-06-18T08:02:40" isNormal="0">
            <s:text>
              <s:r>
                <s:t xml:space="preserve">5/18 上进口商贴纸 3000 pcs
5/21 上水胶袋贴纸 3000 pcs</s:t>
              </s:r>
            </s:text>
          </item>
        </commentChain>
      </unresolved>
      <resolved/>
    </commentChains>
    <commentChains s:ref="Q759" rgbClr="FF0000">
      <unresolved>
        <commentChain chainId="91fc01d2fa14b50537104a698ae2f07fc4ccc6fb">
          <item id="9645e8df1d0abccf08a9711f7ec31e1d52d8e171" userID="1715258932" userName="严新荟" dateTime="2026-06-29T03:33:57" isNormal="0">
            <s:text>
              <s:r>
                <s:t xml:space="preserve">2200022 6/27 480 pcs</s:t>
              </s:r>
            </s:text>
          </item>
        </commentChain>
      </unresolved>
      <resolved/>
    </commentChains>
    <commentChains s:ref="S759" rgbClr="FF0000">
      <unresolved>
        <commentChain chainId="37ff466654562cfec574a048ad566a51aa1e5598">
          <item id="0f0b40c1d8dae47b3e18931e1c510598c961ed7a" userID="1715258932" userName="严新荟" dateTime="2026-06-15T11:16:23" isNormal="0">
            <s:text>
              <s:r>
                <s:t xml:space="preserve">6/15 上价标贴纸 11568 pcs
         上进口商贴纸 11568 pcs
         上UPC条码贴纸 11568 pcs</s:t>
              </s:r>
            </s:text>
          </item>
        </commentChain>
      </unresolved>
      <resolved/>
    </commentChains>
    <commentChains s:ref="Q760" rgbClr="FF0000">
      <unresolved>
        <commentChain chainId="14a110e0e9979f1bdb758f802494b3bebb573a72">
          <item id="6af1d39ca2cb922253e8e94a8f3dc7b02bd910f0" userID="1715258932" userName="严新荟" dateTime="2026-06-29T03:33:57" isNormal="0">
            <s:text>
              <s:r>
                <s:t xml:space="preserve">2200022 6/27 2304 pcs</s:t>
              </s:r>
            </s:text>
          </item>
        </commentChain>
      </unresolved>
      <resolved/>
    </commentChains>
    <commentChains s:ref="Q761" rgbClr="FF0000">
      <unresolved>
        <commentChain chainId="4cb87c16a1c29d09dee0059be4cb3698894fb0a4">
          <item id="0e4a096efdecef140e6a6fc3a30cfff0242b73bf" userID="1715258932" userName="严新荟" dateTime="2026-07-16T03:09:44" isNormal="0">
            <s:text>
              <s:r>
                <s:t xml:space="preserve">2200156 7/15 600 pcs</s:t>
              </s:r>
            </s:text>
          </item>
        </commentChain>
      </unresolved>
      <resolved/>
    </commentChains>
    <commentChains s:ref="Q762" rgbClr="FF0000">
      <unresolved>
        <commentChain chainId="8916066173f8f4b42900abf0cce1775978c7d241">
          <item id="aa8ac5f7845254c305355f186193d5e2eff65fb5" userID="1715258932" userName="严新荟" dateTime="2026-07-16T03:10:13" isNormal="0">
            <s:text>
              <s:r>
                <s:t xml:space="preserve">2200156 7/15 1536 pcs</s:t>
              </s:r>
            </s:text>
          </item>
        </commentChain>
      </unresolved>
      <resolved/>
    </commentChains>
    <commentChains s:ref="S762" rgbClr="FF0000">
      <unresolved>
        <commentChain chainId="9d37474beaedbead49f270ffce9bb067411a12f2">
          <item id="d2fd90f3fb3eed10dd36fe9e61ba98dc9dcc9dae" userID="1715258932" userName="严新荟" dateTime="2026-06-15T11:16:23" isNormal="0">
            <s:text>
              <s:r>
                <s:t xml:space="preserve">6/15 上价标贴纸 11568 pcs
         上进口商贴纸 11568 pcs
         上UPC条码贴纸 11568 pcs</s:t>
              </s:r>
            </s:text>
          </item>
        </commentChain>
      </unresolved>
      <resolved/>
    </commentChains>
    <commentChains s:ref="Q763" rgbClr="FF0000">
      <unresolved>
        <commentChain chainId="16ece5acad69000a7ca07c9e4986ad6374685468">
          <item id="2e752d044d634673683fe9e5eba1f0d6664b539e" userID="1715258932" userName="严新荟" dateTime="2026-07-16T09:14:32" isNormal="0">
            <s:text>
              <s:r>
                <s:t xml:space="preserve">2200103 7/10 2004 pcs</s:t>
              </s:r>
            </s:text>
          </item>
        </commentChain>
      </unresolved>
      <resolved/>
    </commentChains>
    <commentChains s:ref="S763" rgbClr="FF0000">
      <unresolved>
        <commentChain chainId="c450f9195056795485a009b081e96fb71b6da583">
          <item id="fa86e7bdf3c46012377b774989ccdfb205b53e85" userID="1715258932" userName="严新荟" dateTime="2026-06-22T12:10:40" isNormal="0">
            <s:text>
              <s:r>
                <s:t xml:space="preserve">6/22 上客供价格贴纸 2110 pcs
5/28 上UPC/进口商贴纸 2004 pcs</s:t>
              </s:r>
            </s:text>
          </item>
        </commentChain>
      </unresolved>
      <resolved/>
    </commentChains>
    <commentChains s:ref="Q764" rgbClr="FF0000">
      <unresolved>
        <commentChain chainId="6bc2fbabff114c022fa74d072be312b38e29215c">
          <item id="960ba2f9fd08e1f9eb93874893095a3904108df4" userID="1715258932" userName="严新荟" dateTime="2026-08-06T01:00:05" isNormal="0">
            <s:text>
              <s:r>
                <s:t xml:space="preserve">2801948 8/5 732 pcs</s:t>
              </s:r>
            </s:text>
          </item>
        </commentChain>
      </unresolved>
      <resolved/>
    </commentChains>
    <commentChains s:ref="S764" rgbClr="FF0000">
      <unresolved>
        <commentChain chainId="f3afd2fc6cb2f2c15d061a22a2825c15bda446d6">
          <item id="a5cafe729a5fe80674dd9444cac79596643b1851" userID="1715258932" userName="严新荟" dateTime="2026-07-13T06:27:08" isNormal="0">
            <s:text>
              <s:r>
                <s:t xml:space="preserve">7/11 上UPC/进口商贴纸 732 pcs</s:t>
              </s:r>
            </s:text>
          </item>
        </commentChain>
      </unresolved>
      <resolved/>
    </commentChains>
    <commentChains s:ref="Q765" rgbClr="FF0000">
      <unresolved>
        <commentChain chainId="0956d63b33b0ea5cb7759b336bf55bdeadd6e5e3">
          <item id="c3b75a8ae31698ef291d05deddcd126e05b57d11" userID="1715258932" userName="严新荟" dateTime="2026-08-17T01:31:07" isNormal="0">
            <s:text>
              <s:r>
                <s:t xml:space="preserve">2200634 8/14 12 pcs
2200631 8/14 2388 PCS</s:t>
              </s:r>
            </s:text>
          </item>
        </commentChain>
      </unresolved>
      <resolved/>
    </commentChains>
    <commentChains s:ref="S765" rgbClr="FF0000">
      <unresolved>
        <commentChain chainId="ed814b16d122d0bf02bf5b7494c4e67e26ad8ff1">
          <item id="f0a223758cc62311598e7a9ac2b0277f750afaef" userID="1715258932" userName="严新荟" dateTime="2026-07-27T07:05:53" isNormal="0">
            <s:text>
              <s:r>
                <s:t xml:space="preserve">7/25 上进口商贴纸 6336 pcs
7/28 上口水胶袋贴纸 6336 pcs</s:t>
              </s:r>
            </s:text>
          </item>
        </commentChain>
      </unresolved>
      <resolved/>
    </commentChains>
    <commentChains s:ref="Q766" rgbClr="FF0000">
      <unresolved>
        <commentChain chainId="3633ac6256cd2ecfa0680f3afab5c43bf2ac3750">
          <item id="1676cb1cc8f99aea757a52f1add613b1e2acf8be" userID="1715258932" userName="严新荟" dateTime="2026-08-17T01:31:07" isNormal="0">
            <s:text>
              <s:r>
                <s:t xml:space="preserve">2200634 8/14 12 pcs
2200631 8/14 2316 PCS</s:t>
              </s:r>
            </s:text>
          </item>
        </commentChain>
      </unresolved>
      <resolved/>
    </commentChains>
    <commentChains s:ref="Q767" rgbClr="FF0000">
      <unresolved>
        <commentChain chainId="6c020d0564447177e3fcf478cb56bdacf861b91c">
          <item id="a9812677c28464f1016488c7207e6c92b4d6722a" userID="1715258932" userName="严新荟" dateTime="2026-08-17T01:41:35" isNormal="0">
            <s:text>
              <s:r>
                <s:t xml:space="preserve">2200631 8/14 1608 PCS</s:t>
              </s:r>
            </s:text>
          </item>
        </commentChain>
      </unresolved>
      <resolved/>
    </commentChains>
    <commentChains s:ref="Q768" rgbClr="FF0000">
      <unresolved>
        <commentChain chainId="6a2d7101d2bbaf72c8452b0dafbb5612a24eea6c">
          <item id="0abb7b5b88fd2456125b0cc8f1ac0a1f595b4de7" userID="1715258932" userName="严新荟" dateTime="2026-08-17T01:16:14" isNormal="0">
            <s:text>
              <s:r>
                <s:t xml:space="preserve">2200212 8/15 1344 pcs
2200637 8/14 5904 pcs</s:t>
              </s:r>
            </s:text>
          </item>
        </commentChain>
      </unresolved>
      <resolved/>
    </commentChains>
    <commentChains s:ref="S769" rgbClr="FF0000">
      <unresolved>
        <commentChain chainId="4a3486680da56be3ad386e1db12b7ab0c722be00">
          <item id="421b159eb91debd21f2d71a7960831c6a69c57b0" isNormal="1">
            <s:text>
              <s:r>
                <s:t xml:space="preserve">Administrator:
3/26 上进口商贴纸 48 pcs
     上UPC条码贴纸 48 pcs</s:t>
              </s:r>
            </s:text>
          </item>
        </commentChain>
      </unresolved>
      <resolved/>
    </commentChains>
  </commentList>
  <commentList sheetStid="48">
    <commentChains s:ref="BO115" rgbClr="FF0000">
      <unresolved>
        <commentChain chainId="6cf48a5dc6e3bb014a257de62f999ee35749ed2f">
          <item id="2aa28349cb97e142d82ae35a4ea6216661a71e00" isNormal="1">
            <s:text>
              <s:r>
                <s:t xml:space="preserve">Administrator:
客办蛋壳色</s:t>
              </s:r>
            </s:text>
          </item>
        </commentChain>
      </unresolved>
      <resolved/>
    </commentChains>
    <commentChains s:ref="BQ115" rgbClr="FF0000">
      <unresolved>
        <commentChain chainId="8620de3a3728d0f7aa6f49cc97faab7c0b2054bd">
          <item id="5a151e39fd9500a63eed89ec34dcca280e4a2680" isNormal="1">
            <s:text>
              <s:r>
                <s:t xml:space="preserve">Administrator:
客办蛋壳色</s:t>
              </s:r>
            </s:text>
          </item>
        </commentChain>
      </unresolved>
      <resolved/>
    </commentChains>
    <commentChains s:ref="BO116" rgbClr="FF0000">
      <unresolved>
        <commentChain chainId="21e5edf83b270c2c926a8165514333359d6734c3">
          <item id="bdc2df0faf7479dbe5409c018c3ef03a4110a5c2" isNormal="1">
            <s:text>
              <s:r>
                <s:t xml:space="preserve">Administrator:
客办蛋壳色</s:t>
              </s:r>
            </s:text>
          </item>
        </commentChain>
      </unresolved>
      <resolved/>
    </commentChains>
    <commentChains s:ref="BQ116" rgbClr="FF0000">
      <unresolved>
        <commentChain chainId="1b949e57ef3631410427fc2ffe9be1c5fc6dc0cc">
          <item id="7f620bed87992d2791d42a33e2c35804753c7f7f" isNormal="1">
            <s:text>
              <s:r>
                <s:t xml:space="preserve">Administrator:
客办蛋壳色</s:t>
              </s:r>
            </s:text>
          </item>
        </commentChain>
      </unresolved>
      <resolved/>
    </commentChains>
    <commentChains s:ref="BO117" rgbClr="FF0000">
      <unresolved>
        <commentChain chainId="c8e703ec071ebc93b1e5477ed99d38374f41443d">
          <item id="5dadf457f71cf63440f0c1fc94892488b81581b8" isNormal="1">
            <s:text>
              <s:r>
                <s:t xml:space="preserve">Administrator:
客办蛋壳色</s:t>
              </s:r>
            </s:text>
          </item>
        </commentChain>
      </unresolved>
      <resolved/>
    </commentChains>
    <commentChains s:ref="BQ117" rgbClr="FF0000">
      <unresolved>
        <commentChain chainId="f09bb0c9fa73a6ae9aa246c044fe7ef7829d3d1b">
          <item id="f284e33fbbd939b7603b7dfd1464fe586fd150e4" isNormal="1">
            <s:text>
              <s:r>
                <s:t xml:space="preserve">Administrator:
客办蛋壳色</s:t>
              </s:r>
            </s:text>
          </item>
        </commentChain>
      </unresolved>
      <resolved/>
    </commentChains>
    <commentChains s:ref="BO118" rgbClr="FF0000">
      <unresolved>
        <commentChain chainId="7bbc76b8f269128e468dd790d5bdf55d6928b436">
          <item id="bac680bf39ce138e8dc0044ab2448643d2ad7643" isNormal="1">
            <s:text>
              <s:r>
                <s:t xml:space="preserve">Administrator:
客办蛋壳色</s:t>
              </s:r>
            </s:text>
          </item>
        </commentChain>
      </unresolved>
      <resolved/>
    </commentChains>
    <commentChains s:ref="BQ118" rgbClr="FF0000">
      <unresolved>
        <commentChain chainId="b0d27ebfa97ffce388f8d3ad83c04dd65b74c8cc">
          <item id="c8ac82e77c7e4173a51c69d5d75c52d104762db9" isNormal="1">
            <s:text>
              <s:r>
                <s:t xml:space="preserve">Administrator:
客办蛋壳色</s:t>
              </s:r>
            </s:text>
          </item>
        </commentChain>
      </unresolved>
      <resolved/>
    </commentChains>
    <commentChains s:ref="BO119" rgbClr="FF0000">
      <unresolved>
        <commentChain chainId="dfd30013f7d9fb41fae8c5dce6f1be5fbec43cad">
          <item id="7eddf5ab8c4bd3ef898410b9b1de12180b48375a" isNormal="1">
            <s:text>
              <s:r>
                <s:t xml:space="preserve">Administrator:
客办蛋壳色</s:t>
              </s:r>
            </s:text>
          </item>
        </commentChain>
      </unresolved>
      <resolved/>
    </commentChains>
    <commentChains s:ref="BQ119" rgbClr="FF0000">
      <unresolved>
        <commentChain chainId="fbe6aee5a8e19a5ca54a8a71077b90a3da369578">
          <item id="26d68236918340107b7fe71e2bd9eaee35cdc518" isNormal="1">
            <s:text>
              <s:r>
                <s:t xml:space="preserve">Administrator:
客办蛋壳色</s:t>
              </s:r>
            </s:text>
          </item>
        </commentChain>
      </unresolved>
      <resolved/>
    </commentChains>
    <commentChains s:ref="BO121" rgbClr="FF0000">
      <unresolved>
        <commentChain chainId="40b388b01f114cb431ef517dc21f566df5919be5">
          <item id="794de885dc3b388466dff15c1f33160c3c1a73b7" isNormal="1">
            <s:text>
              <s:r>
                <s:t xml:space="preserve">Administrator:
客办蛋壳色</s:t>
              </s:r>
            </s:text>
          </item>
        </commentChain>
      </unresolved>
      <resolved/>
    </commentChains>
    <commentChains s:ref="BQ121" rgbClr="FF0000">
      <unresolved>
        <commentChain chainId="34503f128bdaf38d614798bb5ecb10f40d8f4084">
          <item id="8cddfb59cb5b46465abe5576bfc07f93e2f80d66" isNormal="1">
            <s:text>
              <s:r>
                <s:t xml:space="preserve">Administrator:
客办蛋壳色</s:t>
              </s:r>
            </s:text>
          </item>
        </commentChain>
      </unresolved>
      <resolved/>
    </commentChains>
    <commentChains s:ref="BO122" rgbClr="FF0000">
      <unresolved>
        <commentChain chainId="ceaeb6310ea5917eea8377885496cbc8e2e09bda">
          <item id="e052e30cea8098b45c397765690e0301858f6f1d" isNormal="1">
            <s:text>
              <s:r>
                <s:t xml:space="preserve">Administrator:
客办蛋壳色</s:t>
              </s:r>
            </s:text>
          </item>
        </commentChain>
      </unresolved>
      <resolved/>
    </commentChains>
    <commentChains s:ref="BQ122" rgbClr="FF0000">
      <unresolved>
        <commentChain chainId="1b310806dd8b6fc26b69e98d6406a8da1486c7cf">
          <item id="947cc217ac20a02982152aaadb9b80584b03785e" isNormal="1">
            <s:text>
              <s:r>
                <s:t xml:space="preserve">Administrator:
客办蛋壳色</s:t>
              </s:r>
            </s:text>
          </item>
        </commentChain>
      </unresolved>
      <resolved/>
    </commentChains>
    <commentChains s:ref="BO123" rgbClr="FF0000">
      <unresolved>
        <commentChain chainId="bd8353a0c4d54c62f36f98f57b4e7f64c0bc395f">
          <item id="cb51cf4bfa9d92f6fb249871563e142ba20f006e" isNormal="1">
            <s:text>
              <s:r>
                <s:t xml:space="preserve">Administrator:
客办蛋壳色</s:t>
              </s:r>
            </s:text>
          </item>
        </commentChain>
      </unresolved>
      <resolved/>
    </commentChains>
    <commentChains s:ref="BQ123" rgbClr="FF0000">
      <unresolved>
        <commentChain chainId="b057b3289a030b6633448abc53bd97400795db5b">
          <item id="d1cdc8d50f2b0d521200e38befc4a75dd410a1cb" isNormal="1">
            <s:text>
              <s:r>
                <s:t xml:space="preserve">Administrator:
客办蛋壳色</s:t>
              </s:r>
            </s:text>
          </item>
        </commentChain>
      </unresolved>
      <resolved/>
    </commentChains>
    <commentChains s:ref="BO124" rgbClr="FF0000">
      <unresolved>
        <commentChain chainId="274406c82e5e2d12fdfbb3b129bf5bbf02bb7873">
          <item id="e9528e414d443363b72e1f41d8632ab67f4544fa" isNormal="1">
            <s:text>
              <s:r>
                <s:t xml:space="preserve">Administrator:
客办蛋壳色</s:t>
              </s:r>
            </s:text>
          </item>
        </commentChain>
      </unresolved>
      <resolved/>
    </commentChains>
    <commentChains s:ref="BQ124" rgbClr="FF0000">
      <unresolved>
        <commentChain chainId="c5e50250c890bfebcec4e5cb84fd3f8b0dbc4219">
          <item id="bc03b529b9fabcb0134079e852f14df34e317357" isNormal="1">
            <s:text>
              <s:r>
                <s:t xml:space="preserve">Administrator:
客办蛋壳色</s:t>
              </s:r>
            </s:text>
          </item>
        </commentChain>
      </unresolved>
      <resolved/>
    </commentChains>
    <commentChains s:ref="BO125" rgbClr="FF0000">
      <unresolved>
        <commentChain chainId="78f8f03bcb37840dc1056ede89c5f4beb36b524b">
          <item id="fb7a3a7a86fe4ff98081ebdc0a382d85d3b8c3de" isNormal="1">
            <s:text>
              <s:r>
                <s:t xml:space="preserve">Administrator:
客办蛋壳色</s:t>
              </s:r>
            </s:text>
          </item>
        </commentChain>
      </unresolved>
      <resolved/>
    </commentChains>
    <commentChains s:ref="BQ125" rgbClr="FF0000">
      <unresolved>
        <commentChain chainId="745c9c06733278029c3f68d915f75726501f9d8f">
          <item id="a027ef459553005787bbc2a9502f785e42f02e0e" isNormal="1">
            <s:text>
              <s:r>
                <s:t xml:space="preserve">Administrator:
客办蛋壳色</s:t>
              </s:r>
            </s:text>
          </item>
        </commentChain>
      </unresolved>
      <resolved/>
    </commentChains>
    <commentChains s:ref="BO126" rgbClr="FF0000">
      <unresolved>
        <commentChain chainId="7cc6e886edca5ab999b991398abfccf2d6901e2d">
          <item id="69336f3cb38680c3dca25e7f14836a02d6bf3b5d" isNormal="1">
            <s:text>
              <s:r>
                <s:t xml:space="preserve">Administrator:
客办蛋壳色</s:t>
              </s:r>
            </s:text>
          </item>
        </commentChain>
      </unresolved>
      <resolved/>
    </commentChains>
    <commentChains s:ref="BQ126" rgbClr="FF0000">
      <unresolved>
        <commentChain chainId="43d9a0a0b376627f0c53f36d366cd8342a9314bb">
          <item id="7bdca33f6c83906ddc180a89952a83673f516527" isNormal="1">
            <s:text>
              <s:r>
                <s:t xml:space="preserve">Administrator:
客办蛋壳色</s:t>
              </s:r>
            </s:text>
          </item>
        </commentChain>
      </unresolved>
      <resolved/>
    </commentChains>
    <commentChains s:ref="BO127" rgbClr="FF0000">
      <unresolved>
        <commentChain chainId="92545c0c3463edc101cfd17025540b16a296e366">
          <item id="10dd809570dd0a8683ade52022ffc009192e3d98" isNormal="1">
            <s:text>
              <s:r>
                <s:t xml:space="preserve">Administrator:
客办蛋壳色</s:t>
              </s:r>
            </s:text>
          </item>
        </commentChain>
      </unresolved>
      <resolved/>
    </commentChains>
    <commentChains s:ref="BQ127" rgbClr="FF0000">
      <unresolved>
        <commentChain chainId="45b627a3df0f34777cf1872ddd5ff6289c871763">
          <item id="61356a1ac194bbf0ae9b0c06ce2414db466248f2" isNormal="1">
            <s:text>
              <s:r>
                <s:t xml:space="preserve">Administrator:
客办蛋壳色</s:t>
              </s:r>
            </s:text>
          </item>
        </commentChain>
      </unresolved>
      <resolved/>
    </commentChains>
    <commentChains s:ref="BO129" rgbClr="FF0000">
      <unresolved>
        <commentChain chainId="4c061c214c93d5a9d36c19ce41bc03379c2a9918">
          <item id="586c943b4fcaf2ffa63a6da6f2302f30fcd49efe" isNormal="1">
            <s:text>
              <s:r>
                <s:t xml:space="preserve">Administrator:
客办蛋壳色</s:t>
              </s:r>
            </s:text>
          </item>
        </commentChain>
      </unresolved>
      <resolved/>
    </commentChains>
    <commentChains s:ref="BQ129" rgbClr="FF0000">
      <unresolved>
        <commentChain chainId="24277e221061f96648d7483bb38fbded3c993025">
          <item id="d02b1bb8107b56fd4bf7f86e8b95c5c0869d43fd" isNormal="1">
            <s:text>
              <s:r>
                <s:t xml:space="preserve">Administrator:
客办蛋壳色</s:t>
              </s:r>
            </s:text>
          </item>
        </commentChain>
      </unresolved>
      <resolved/>
    </commentChains>
    <commentChains s:ref="BO130" rgbClr="FF0000">
      <unresolved>
        <commentChain chainId="d8764085f0383d2d5f2e41bb4c4437d6282c46b3">
          <item id="4c0047baac979fa1109a1ee8a53fbfb2c4103911" isNormal="1">
            <s:text>
              <s:r>
                <s:t xml:space="preserve">Administrator:
客办蛋壳色</s:t>
              </s:r>
            </s:text>
          </item>
        </commentChain>
      </unresolved>
      <resolved/>
    </commentChains>
    <commentChains s:ref="BQ130" rgbClr="FF0000">
      <unresolved>
        <commentChain chainId="97d3601ca4451b48dab74765b8910837e54a4672">
          <item id="94519b0509ab0b23426fb30ce4b938a49acbf64a" isNormal="1">
            <s:text>
              <s:r>
                <s:t xml:space="preserve">Administrator:
客办蛋壳色</s:t>
              </s:r>
            </s:text>
          </item>
        </commentChain>
      </unresolved>
      <resolved/>
    </commentChains>
    <commentChains s:ref="BO131" rgbClr="FF0000">
      <unresolved>
        <commentChain chainId="0a8a3ecb22509eb46e8a5c3df55a6f3430a45d5e">
          <item id="a481e0b26cbbe44b2ec38a4c40e03a54cf38f6bc" isNormal="1">
            <s:text>
              <s:r>
                <s:t xml:space="preserve">Administrator:
客办蛋壳色</s:t>
              </s:r>
            </s:text>
          </item>
        </commentChain>
      </unresolved>
      <resolved/>
    </commentChains>
    <commentChains s:ref="BQ131" rgbClr="FF0000">
      <unresolved>
        <commentChain chainId="4974778bc72d55ecac46f2dcdbf0fe342d4c5e0a">
          <item id="a8f12b5f7ef2322f68369bfba4c3671cd0885826" isNormal="1">
            <s:text>
              <s:r>
                <s:t xml:space="preserve">Administrator:
客办蛋壳色</s:t>
              </s:r>
            </s:text>
          </item>
        </commentChain>
      </unresolved>
      <resolved/>
    </commentChains>
    <commentChains s:ref="BO141" rgbClr="FF0000">
      <unresolved>
        <commentChain chainId="9f0738cd78f42f2fe2d066a5e1f7cf91e280a59e">
          <item id="a7049dea3b9b4dd6ed4c8a138dcafc1d4eb734e9" isNormal="1">
            <s:text>
              <s:r>
                <s:t xml:space="preserve">Administrator:
客办蛋壳色</s:t>
              </s:r>
            </s:text>
          </item>
        </commentChain>
      </unresolved>
      <resolved/>
    </commentChains>
    <commentChains s:ref="BQ141" rgbClr="FF0000">
      <unresolved>
        <commentChain chainId="cf5d2ac8151359245f490e63d2d0741e60f3a1a6">
          <item id="217c028a849820e73531b890a16cdf589048aece" isNormal="1">
            <s:text>
              <s:r>
                <s:t xml:space="preserve">Administrator:
客办蛋壳色</s:t>
              </s:r>
            </s:text>
          </item>
        </commentChain>
      </unresolved>
      <resolved/>
    </commentChains>
    <commentChains s:ref="BO143" rgbClr="FF0000">
      <unresolved>
        <commentChain chainId="a07f58f63d526d40d1ccf4aef261ca5ec145a405">
          <item id="ffd7557a506ef1a72c008ad67c1bf3d0d774fec1" isNormal="1">
            <s:text>
              <s:r>
                <s:t xml:space="preserve">Administrator:
客办蛋壳色</s:t>
              </s:r>
            </s:text>
          </item>
        </commentChain>
      </unresolved>
      <resolved/>
    </commentChains>
    <commentChains s:ref="BQ143" rgbClr="FF0000">
      <unresolved>
        <commentChain chainId="dc01b6b876c085fa33132804861075779723e32a">
          <item id="dede1668bafc95131ee9cbcba5eed747c7daba9a" isNormal="1">
            <s:text>
              <s:r>
                <s:t xml:space="preserve">Administrator:
客办蛋壳色</s:t>
              </s:r>
            </s:text>
          </item>
        </commentChain>
      </unresolved>
      <resolved/>
    </commentChains>
    <commentChains s:ref="BO145" rgbClr="FF0000">
      <unresolved>
        <commentChain chainId="8af911e0aadd8c7fb2246692b6404c3e934408aa">
          <item id="0033ec1ae899ae72737fab6f695763cb609bc0b0" isNormal="1">
            <s:text>
              <s:r>
                <s:t xml:space="preserve">Administrator:
客办蛋壳色</s:t>
              </s:r>
            </s:text>
          </item>
        </commentChain>
      </unresolved>
      <resolved/>
    </commentChains>
    <commentChains s:ref="BQ145" rgbClr="FF0000">
      <unresolved>
        <commentChain chainId="410d14e49cb6d73a76974dda167c7cf09d16fe9c">
          <item id="f44919876ea8e9d8be18ae6c9e09117a61a64744" isNormal="1">
            <s:text>
              <s:r>
                <s:t xml:space="preserve">Administrator:
客办蛋壳色</s:t>
              </s:r>
            </s:text>
          </item>
        </commentChain>
      </unresolved>
      <resolved/>
    </commentChains>
    <commentChains s:ref="BO146" rgbClr="FF0000">
      <unresolved>
        <commentChain chainId="b98ed208e175737d2bd9ca3d7d77dbc3f7a4af76">
          <item id="e1c3b596a77f8c74eaedb82c613299bb673cc6b7" isNormal="1">
            <s:text>
              <s:r>
                <s:t xml:space="preserve">Administrator:
客办蛋壳色</s:t>
              </s:r>
            </s:text>
          </item>
        </commentChain>
      </unresolved>
      <resolved/>
    </commentChains>
    <commentChains s:ref="BQ146" rgbClr="FF0000">
      <unresolved>
        <commentChain chainId="834d352b434289a508b2f534ee6a77e65d937554">
          <item id="445e25716f75dcf82c231f6ce2dc7532b1823890" isNormal="1">
            <s:text>
              <s:r>
                <s:t xml:space="preserve">Administrator:
客办蛋壳色</s:t>
              </s:r>
            </s:text>
          </item>
        </commentChain>
      </unresolved>
      <resolved/>
    </commentChains>
    <commentChains s:ref="BO151" rgbClr="FF0000">
      <unresolved>
        <commentChain chainId="3ffd7bf77d6eafd041c8513c1eb0f3a5853a1dfb">
          <item id="16f587e5cc5b9e5c25f2a68984c60d77e6f43b6a" isNormal="1">
            <s:text>
              <s:r>
                <s:t xml:space="preserve">Administrator:
客办蛋壳色</s:t>
              </s:r>
            </s:text>
          </item>
        </commentChain>
      </unresolved>
      <resolved/>
    </commentChains>
    <commentChains s:ref="BQ151" rgbClr="FF0000">
      <unresolved>
        <commentChain chainId="8e1c48dc4b3a0bcff8538e82b22b062a513589b1">
          <item id="d31f086acca2d8210948d14ab9b6bde058c74f8d" isNormal="1">
            <s:text>
              <s:r>
                <s:t xml:space="preserve">Administrator:
客办蛋壳色</s:t>
              </s:r>
            </s:text>
          </item>
        </commentChain>
      </unresolved>
      <resolved/>
    </commentChains>
    <commentChains s:ref="BO152" rgbClr="FF0000">
      <unresolved>
        <commentChain chainId="ab9ef0ecebf28c9b79cdf9c653ada45dc985160c">
          <item id="fb7cd6724b42f348f87bc6de101477acbe0a8901" isNormal="1">
            <s:text>
              <s:r>
                <s:t xml:space="preserve">Administrator:
客办蛋壳色</s:t>
              </s:r>
            </s:text>
          </item>
        </commentChain>
      </unresolved>
      <resolved/>
    </commentChains>
    <commentChains s:ref="BQ152" rgbClr="FF0000">
      <unresolved>
        <commentChain chainId="48f9859ac4062277180809411fd1a8deb358f7bc">
          <item id="20eedd80e84919046bfcc7c55941d4c862e63a9a" isNormal="1">
            <s:text>
              <s:r>
                <s:t xml:space="preserve">Administrator:
客办蛋壳色</s:t>
              </s:r>
            </s:text>
          </item>
        </commentChain>
      </unresolved>
      <resolved/>
    </commentChains>
    <commentChains s:ref="BO164" rgbClr="FF0000">
      <unresolved>
        <commentChain chainId="a7e61e16c875deca27f1a6baa25a97c632631814">
          <item id="19e4b285bbc1ff7996750c4b95384f541bf1589a" isNormal="1">
            <s:text>
              <s:r>
                <s:t xml:space="preserve">Administrator:
客办蛋壳色</s:t>
              </s:r>
            </s:text>
          </item>
        </commentChain>
      </unresolved>
      <resolved/>
    </commentChains>
    <commentChains s:ref="BQ164" rgbClr="FF0000">
      <unresolved>
        <commentChain chainId="e7f801adf38c39c36cb71921bf3488ae1e08ef0e">
          <item id="73af715402c1fca4ac751cfa77ffc80d41c3ec80" isNormal="1">
            <s:text>
              <s:r>
                <s:t xml:space="preserve">Administrator:
客办蛋壳色</s:t>
              </s:r>
            </s:text>
          </item>
        </commentChain>
      </unresolved>
      <resolved/>
    </commentChains>
    <commentChains s:ref="BO165" rgbClr="FF0000">
      <unresolved>
        <commentChain chainId="47400b2c52329ee6be740f615ca4faeaf8d1ea75">
          <item id="22894b3b45c9c8ab2b8cc956d0bcdb1bb215ced9" isNormal="1">
            <s:text>
              <s:r>
                <s:t xml:space="preserve">Administrator:
客办蛋壳色</s:t>
              </s:r>
            </s:text>
          </item>
        </commentChain>
      </unresolved>
      <resolved/>
    </commentChains>
    <commentChains s:ref="BQ165" rgbClr="FF0000">
      <unresolved>
        <commentChain chainId="c63cccf2bf4bbccb14fa9c5d4550be3889a2bf18">
          <item id="d8204c013b502cb8e12d68a8df021c674e5ef540" isNormal="1">
            <s:text>
              <s:r>
                <s:t xml:space="preserve">Administrator:
客办蛋壳色</s:t>
              </s:r>
            </s:text>
          </item>
        </commentChain>
      </unresolved>
      <resolved/>
    </commentChains>
    <commentChains s:ref="BO166" rgbClr="FF0000">
      <unresolved>
        <commentChain chainId="f64537c9fe2f584191af4a7c1d9b7b05741f0546">
          <item id="b78f4f06ca80b9ca943d06484ffa3d82f4928c75" isNormal="1">
            <s:text>
              <s:r>
                <s:t xml:space="preserve">Administrator:
客办蛋壳色</s:t>
              </s:r>
            </s:text>
          </item>
        </commentChain>
      </unresolved>
      <resolved/>
    </commentChains>
    <commentChains s:ref="BQ166" rgbClr="FF0000">
      <unresolved>
        <commentChain chainId="0dcec1ab5087f3398740ec1926a4208577433e5f">
          <item id="50894091b79b351bf4a65e8cac4d3887063d369b" isNormal="1">
            <s:text>
              <s:r>
                <s:t xml:space="preserve">Administrator:
客办蛋壳色</s:t>
              </s:r>
            </s:text>
          </item>
        </commentChain>
      </unresolved>
      <resolved/>
    </commentChains>
    <commentChains s:ref="BO167" rgbClr="FF0000">
      <unresolved>
        <commentChain chainId="dc5c84212b0ed282a0dd2a0546b87caff1b3fa7a">
          <item id="f8b20505f69361fd68be6f68b726e6dc6969d8fc" isNormal="1">
            <s:text>
              <s:r>
                <s:t xml:space="preserve">Administrator:
客办蛋壳色</s:t>
              </s:r>
            </s:text>
          </item>
        </commentChain>
      </unresolved>
      <resolved/>
    </commentChains>
    <commentChains s:ref="BQ167" rgbClr="FF0000">
      <unresolved>
        <commentChain chainId="11024540049d252f8ac7075aedeaf6eaae1bcb38">
          <item id="d1c99bcf540d9686f97d5cbfa3ed45475dbb6cc6" isNormal="1">
            <s:text>
              <s:r>
                <s:t xml:space="preserve">Administrator:
客办蛋壳色</s:t>
              </s:r>
            </s:text>
          </item>
        </commentChain>
      </unresolved>
      <resolved/>
    </commentChains>
    <commentChains s:ref="BO168" rgbClr="FF0000">
      <unresolved>
        <commentChain chainId="d7bb030d21376528d0fe8f6e3a27aca3881d53e5">
          <item id="9da51ff225aff16f1c146ae2e8cf305b65260cac" isNormal="1">
            <s:text>
              <s:r>
                <s:t xml:space="preserve">Administrator:
客办蛋壳色</s:t>
              </s:r>
            </s:text>
          </item>
        </commentChain>
      </unresolved>
      <resolved/>
    </commentChains>
    <commentChains s:ref="BQ168" rgbClr="FF0000">
      <unresolved>
        <commentChain chainId="ee9d0c0fc5012d19f0e37360e768258ee82f4d69">
          <item id="0153d56b745f4524d4c80e9a61d320e98e9efc8f" isNormal="1">
            <s:text>
              <s:r>
                <s:t xml:space="preserve">Administrator:
客办蛋壳色</s:t>
              </s:r>
            </s:text>
          </item>
        </commentChain>
      </unresolved>
      <resolved/>
    </commentChains>
    <commentChains s:ref="BO191" rgbClr="FF0000">
      <unresolved>
        <commentChain chainId="245e793c4bd7220661f361c2f72b7ca546fd8706">
          <item id="68462d0f148fcbb23f0f6d76f14832bc959c0679" isNormal="1">
            <s:text>
              <s:r>
                <s:t xml:space="preserve">Administrator:
客办蛋壳色</s:t>
              </s:r>
            </s:text>
          </item>
        </commentChain>
      </unresolved>
      <resolved/>
    </commentChains>
    <commentChains s:ref="BQ191" rgbClr="FF0000">
      <unresolved>
        <commentChain chainId="ce8bc6675df59fab8063535afe60330c3c0266fe">
          <item id="ec2196cd4331f5b1caf5293eda6360fcb70530af" isNormal="1">
            <s:text>
              <s:r>
                <s:t xml:space="preserve">Administrator:
客办蛋壳色</s:t>
              </s:r>
            </s:text>
          </item>
        </commentChain>
      </unresolved>
      <resolved/>
    </commentChains>
    <commentChains s:ref="BO193" rgbClr="FF0000">
      <unresolved>
        <commentChain chainId="62692118a1651e912cc41d4c3d2cf369130e896b">
          <item id="5505c8a88eb3092599ac99f0dfcc144b76f178cf" isNormal="1">
            <s:text>
              <s:r>
                <s:t xml:space="preserve">Administrator:
客办蛋壳色</s:t>
              </s:r>
            </s:text>
          </item>
        </commentChain>
      </unresolved>
      <resolved/>
    </commentChains>
    <commentChains s:ref="BQ193" rgbClr="FF0000">
      <unresolved>
        <commentChain chainId="5e2673031ccb7fcbe7d1a5e7795ba983d529098f">
          <item id="5e3171abc4bd03fa5ae34b2b7ff8c53cc0810b27" isNormal="1">
            <s:text>
              <s:r>
                <s:t xml:space="preserve">Administrator:
客办蛋壳色</s:t>
              </s:r>
            </s:text>
          </item>
        </commentChain>
      </unresolved>
      <resolved/>
    </commentChains>
    <commentChains s:ref="BO194" rgbClr="FF0000">
      <unresolved>
        <commentChain chainId="63d42ad0e6e1a798b4e8113765db58269ec1a7a3">
          <item id="c72e4e8970f12ad63a967174ad6eafdfc9581581" isNormal="1">
            <s:text>
              <s:r>
                <s:t xml:space="preserve">Administrator:
客办蛋壳色</s:t>
              </s:r>
            </s:text>
          </item>
        </commentChain>
      </unresolved>
      <resolved/>
    </commentChains>
    <commentChains s:ref="BQ194" rgbClr="FF0000">
      <unresolved>
        <commentChain chainId="98bc4f557d545b078dee80b73e46d79310559bba">
          <item id="c6bc35eb72827c18a1982c77c466a0b2231d0019" isNormal="1">
            <s:text>
              <s:r>
                <s:t xml:space="preserve">Administrator:
客办蛋壳色</s:t>
              </s:r>
            </s:text>
          </item>
        </commentChain>
      </unresolved>
      <resolved/>
    </commentChains>
    <commentChains s:ref="BO195" rgbClr="FF0000">
      <unresolved>
        <commentChain chainId="5d2745d315aab749fc480cf1dc5d2cd76d6ecfdb">
          <item id="ea7d433a3e7dab5f5021c81dbffe1afcf816c86a" isNormal="1">
            <s:text>
              <s:r>
                <s:t xml:space="preserve">Administrator:
客办蛋壳色</s:t>
              </s:r>
            </s:text>
          </item>
        </commentChain>
      </unresolved>
      <resolved/>
    </commentChains>
    <commentChains s:ref="BQ195" rgbClr="FF0000">
      <unresolved>
        <commentChain chainId="740821679e8f612fe8d1571338b5e29f322b70f0">
          <item id="5a947b0f7a91915d8e94e48217bdad9a2b2ae97a" isNormal="1">
            <s:text>
              <s:r>
                <s:t xml:space="preserve">Administrator:
客办蛋壳色</s:t>
              </s:r>
            </s:text>
          </item>
        </commentChain>
      </unresolved>
      <resolved/>
    </commentChains>
    <commentChains s:ref="BO199" rgbClr="FF0000">
      <unresolved>
        <commentChain chainId="0b00ac59dea4ac0f93f6bb4311322d145820fceb">
          <item id="9ab894771bfab0126fba131c61fe7797b9fb6cee" isNormal="1">
            <s:text>
              <s:r>
                <s:t xml:space="preserve">Administrator:
客办蛋壳色</s:t>
              </s:r>
            </s:text>
          </item>
        </commentChain>
      </unresolved>
      <resolved/>
    </commentChains>
    <commentChains s:ref="BQ199" rgbClr="FF0000">
      <unresolved>
        <commentChain chainId="6dd4c5efc6517af71b3dbb8030f1a4f965eb7a66">
          <item id="52a48241c8c47d027ff13e28009277d9fb552b5e" isNormal="1">
            <s:text>
              <s:r>
                <s:t xml:space="preserve">Administrator:
客办蛋壳色</s:t>
              </s:r>
            </s:text>
          </item>
        </commentChain>
      </unresolved>
      <resolved/>
    </commentChains>
    <commentChains s:ref="BO200" rgbClr="FF0000">
      <unresolved>
        <commentChain chainId="0fbc4286ce5cb6c7ded51775712f0a4ea4d84825">
          <item id="b9a906d748ae0846a81ce049e155033e420664bd" isNormal="1">
            <s:text>
              <s:r>
                <s:t xml:space="preserve">Administrator:
客办蛋壳色</s:t>
              </s:r>
            </s:text>
          </item>
        </commentChain>
      </unresolved>
      <resolved/>
    </commentChains>
    <commentChains s:ref="BQ200" rgbClr="FF0000">
      <unresolved>
        <commentChain chainId="7a28a0cdb049222d97f1354c261afc009f299647">
          <item id="2b6be79929222afa20b877378ce118ef57dcc9b2" isNormal="1">
            <s:text>
              <s:r>
                <s:t xml:space="preserve">Administrator:
客办蛋壳色</s:t>
              </s:r>
            </s:text>
          </item>
        </commentChain>
      </unresolved>
      <resolved/>
    </commentChains>
    <commentChains s:ref="BO202" rgbClr="FF0000">
      <unresolved>
        <commentChain chainId="c58c8e26b86831933189f0507e990e1531041157">
          <item id="070d41c780981aef45245719cdd4181f75e6dcff" isNormal="1">
            <s:text>
              <s:r>
                <s:t xml:space="preserve">Administrator:
客办蛋壳色</s:t>
              </s:r>
            </s:text>
          </item>
        </commentChain>
      </unresolved>
      <resolved/>
    </commentChains>
    <commentChains s:ref="BQ202" rgbClr="FF0000">
      <unresolved>
        <commentChain chainId="219ad6ab2e790b9d2ecb9cc3eac97f397e3d3511">
          <item id="f31b270cf60c55a41d107f680d605cef0179843f" isNormal="1">
            <s:text>
              <s:r>
                <s:t xml:space="preserve">Administrator:
客办蛋壳色</s:t>
              </s:r>
            </s:text>
          </item>
        </commentChain>
      </unresolved>
      <resolved/>
    </commentChains>
    <commentChains s:ref="BO206" rgbClr="FF0000">
      <unresolved>
        <commentChain chainId="d1ea8dcfde4129904f97a08256bec6ef5cd0a54d">
          <item id="f0322c0b9aa968e8fc5a1fcf9af266f42415b54f" isNormal="1">
            <s:text>
              <s:r>
                <s:t xml:space="preserve">Administrator:
客办蛋壳色</s:t>
              </s:r>
            </s:text>
          </item>
        </commentChain>
      </unresolved>
      <resolved/>
    </commentChains>
    <commentChains s:ref="BQ206" rgbClr="FF0000">
      <unresolved>
        <commentChain chainId="e3e538637bc86102d8e57ace709854a8f21408a3">
          <item id="ec702980f9145281d2759326cd9b361d7d374d6d" isNormal="1">
            <s:text>
              <s:r>
                <s:t xml:space="preserve">Administrator:
客办蛋壳色</s:t>
              </s:r>
            </s:text>
          </item>
        </commentChain>
      </unresolved>
      <resolved/>
    </commentChains>
    <commentChains s:ref="BO207" rgbClr="FF0000">
      <unresolved>
        <commentChain chainId="94f34f7f4f79548ea8e28fbc45008cd42455c658">
          <item id="1623e7e1b5ded432eafa4f07389798b56bf16b41" isNormal="1">
            <s:text>
              <s:r>
                <s:t xml:space="preserve">Administrator:
客办蛋壳色</s:t>
              </s:r>
            </s:text>
          </item>
        </commentChain>
      </unresolved>
      <resolved/>
    </commentChains>
    <commentChains s:ref="BQ207" rgbClr="FF0000">
      <unresolved>
        <commentChain chainId="bc09d390f9af03fd9173167095bb44c81ac84fd7">
          <item id="d770a65c17a8ef55045fbd6113dcf29c56b07d25" isNormal="1">
            <s:text>
              <s:r>
                <s:t xml:space="preserve">Administrator:
客办蛋壳色</s:t>
              </s:r>
            </s:text>
          </item>
        </commentChain>
      </unresolved>
      <resolved/>
    </commentChains>
    <commentChains s:ref="BO208" rgbClr="FF0000">
      <unresolved>
        <commentChain chainId="d6aa54e04fe3aeb708953f417e7487b050402a03">
          <item id="38bcd041ee1945ac1a347d3224b8703cf34cfc66" isNormal="1">
            <s:text>
              <s:r>
                <s:t xml:space="preserve">Administrator:
客办蛋壳色</s:t>
              </s:r>
            </s:text>
          </item>
        </commentChain>
      </unresolved>
      <resolved/>
    </commentChains>
    <commentChains s:ref="BQ208" rgbClr="FF0000">
      <unresolved>
        <commentChain chainId="c60bc79e8d1e190a644e7bd9ca3559266de1c5eb">
          <item id="a8485516236160634d8b36e765b6dd1f283da2f3" isNormal="1">
            <s:text>
              <s:r>
                <s:t xml:space="preserve">Administrator:
客办蛋壳色</s:t>
              </s:r>
            </s:text>
          </item>
        </commentChain>
      </unresolved>
      <resolved/>
    </commentChains>
    <commentChains s:ref="Q273" rgbClr="FF0000">
      <unresolved>
        <commentChain chainId="3f0e470d128f55fcb523e680a47bbb12fd9d3599">
          <item id="e068bd2eff1d6c7db8708e6e367bb4de21723a2a" isNormal="1">
            <s:text>
              <s:r>
                <s:t xml:space="preserve">Administrator:
40001692 1/4 968 pcs</s:t>
              </s:r>
            </s:text>
          </item>
        </commentChain>
      </unresolved>
      <resolved/>
    </commentChains>
    <commentChains s:ref="Q274" rgbClr="FF0000">
      <unresolved>
        <commentChain chainId="e31d283109fd4db8c1add1363e7b1b8b8a67b361">
          <item id="bf7278587d98e7d82e83efa106cc5c030faf42df" isNormal="1">
            <s:text>
              <s:r>
                <s:t xml:space="preserve">Administrator:
4001727 1/10 2504 pcs
</s:t>
              </s:r>
            </s:text>
          </item>
        </commentChain>
      </unresolved>
      <resolved/>
    </commentChains>
    <commentChains s:ref="S274" rgbClr="FF0000">
      <unresolved>
        <commentChain chainId="0721f7896c818243858a7eaa411b527d3db52995">
          <item id="5e7687b5fee9805823486e259d355deeacecbe1c" isNormal="1">
            <s:text>
              <s:r>
                <s:t xml:space="preserve">Administrator:
12/23 上进口商贴纸 2504 pcs
      上UPC贴纸 2504 pcs</s:t>
              </s:r>
            </s:text>
          </item>
        </commentChain>
      </unresolved>
      <resolved/>
    </commentChains>
    <commentChains s:ref="Q275" rgbClr="FF0000">
      <unresolved>
        <commentChain chainId="2f219e286f55559054522445b1cb8f246bbc0e85">
          <item id="7452319dc44696b3fda7579b6fb0aab623c69265" isNormal="1">
            <s:text>
              <s:r>
                <s:t xml:space="preserve">Administrator:
4001762 1/16 704PCS</s:t>
              </s:r>
            </s:text>
          </item>
        </commentChain>
      </unresolved>
      <resolved/>
    </commentChains>
    <commentChains s:ref="S275" rgbClr="FF0000">
      <unresolved>
        <commentChain chainId="f41d40dfc162ce6123f6e985a5ae124f8981a162">
          <item id="d842e11dcfd649deb0e839597b0bffaed50445c5" isNormal="1">
            <s:text>
              <s:r>
                <s:t xml:space="preserve">Administrator:
12/27 上进口商贴纸 704 pcs
      上UPC贴纸 704 pcs</s:t>
              </s:r>
            </s:text>
          </item>
        </commentChain>
      </unresolved>
      <resolved/>
    </commentChains>
    <commentChains s:ref="Q276" rgbClr="FF0000">
      <unresolved>
        <commentChain chainId="4e5f4c6d0c714bb5806c39e4964a03a74dea55b8">
          <item id="b5b013b3d1c74c10ca946a5ac2fcb4ea2caf6300" isNormal="1">
            <s:text>
              <s:r>
                <s:t xml:space="preserve">Administrator:
4001762 1/16 4000 PCS</s:t>
              </s:r>
            </s:text>
          </item>
        </commentChain>
      </unresolved>
      <resolved/>
    </commentChains>
    <commentChains s:ref="S276" rgbClr="FF0000">
      <unresolved>
        <commentChain chainId="b3562423d13478190ec448888a714bf01c71c403">
          <item id="f79195a2056a970d255d1bd3cdb939a129f49b1f" isNormal="1">
            <s:text>
              <s:r>
                <s:t xml:space="preserve">Administrator:
12/5 上客户EAN条码贴纸 4000 pcs</s:t>
              </s:r>
            </s:text>
          </item>
        </commentChain>
      </unresolved>
      <resolved/>
    </commentChains>
    <commentChains s:ref="Q277" rgbClr="FF0000">
      <unresolved>
        <commentChain chainId="722d548ce490dce3b6c0c515731952edcbeddb46">
          <item id="17904c054517338adc6f60849d6dacdc02906f1e" isNormal="1">
            <s:text>
              <s:r>
                <s:t xml:space="preserve">Administrator:
4001762 1/16 4000 PCS</s:t>
              </s:r>
            </s:text>
          </item>
        </commentChain>
      </unresolved>
      <resolved/>
    </commentChains>
    <commentChains s:ref="S277" rgbClr="FF0000">
      <unresolved>
        <commentChain chainId="df3298a56cfeaf694e22be33c7be62d9a80a4109">
          <item id="af21e42f2651534bb8c6953865b9ffa1a2ef1d8f" isNormal="1">
            <s:text>
              <s:r>
                <s:t xml:space="preserve">Administrator:
12/25 上客户EAN条码 4000 pcs</s:t>
              </s:r>
            </s:text>
          </item>
        </commentChain>
      </unresolved>
      <resolved/>
    </commentChains>
    <commentChains s:ref="S280" rgbClr="FF0000">
      <unresolved>
        <commentChain chainId="82ee7e4873664e61910078d9fe8e983d690dbf01">
          <item id="ef457fd561bf942dd04f2215033d119bd5e4f045" isNormal="1">
            <s:text>
              <s:r>
                <s:t xml:space="preserve">Administrator:
1/12 上进口商贴纸 1560 pcs
     上UPC贴纸B.D.E 各 520 pcs
1/15 上QR贴纸B.D.E 各 520 pcs</s:t>
              </s:r>
            </s:text>
          </item>
        </commentChain>
      </unresolved>
      <resolved/>
    </commentChains>
    <commentChains s:ref="S283" rgbClr="FF0000">
      <unresolved>
        <commentChain chainId="76096ec0a6e51e50b26235bfd9e4c850ab46084b">
          <item id="d2ccd68548af05b3b4442c3d27d966f8528fe767" isNormal="1">
            <s:text>
              <s:r>
                <s:t xml:space="preserve">Administrator:
1/15 上客供价格贴纸 378 pcs</s:t>
              </s:r>
            </s:text>
          </item>
        </commentChain>
      </unresolved>
      <resolved/>
    </commentChains>
    <commentChains s:ref="Q284" rgbClr="FF0000">
      <unresolved>
        <commentChain chainId="5862f5ce4b14f28147ca05084b396c04b022e338">
          <item id="5aac1a899731acd0fc635b0f5029126106c6b550" isNormal="1">
            <s:text>
              <s:r>
                <s:t xml:space="preserve">Administrator:
4001762 1/16 2504 PCS</s:t>
              </s:r>
            </s:text>
          </item>
        </commentChain>
      </unresolved>
      <resolved/>
    </commentChains>
    <commentChains s:ref="S284" rgbClr="FF0000">
      <unresolved>
        <commentChain chainId="6cc28ed33f4bd9213aff5b1f496c268c7d6f6b75">
          <item id="46638ae1e5f432b36ff912f268956801afddc00c" isNormal="1">
            <s:text>
              <s:r>
                <s:t xml:space="preserve">Administrator:
12/23 上进口商贴纸 2504 pcs
      上UPC贴纸 2504 pcs</s:t>
              </s:r>
            </s:text>
          </item>
        </commentChain>
      </unresolved>
      <resolved/>
    </commentChains>
    <commentChains s:ref="Q285" rgbClr="FF0000">
      <unresolved>
        <commentChain chainId="3387b66c1ca1fca9f847e30ad54d7ab81e30536b">
          <item id="873504534355765623d8426ff884b2767b83af96" isNormal="1">
            <s:text>
              <s:r>
                <s:t xml:space="preserve">Administrator:
1406299 4/14 256 pcs</s:t>
              </s:r>
            </s:text>
          </item>
        </commentChain>
      </unresolved>
      <resolved/>
    </commentChains>
    <commentChains s:ref="S285" rgbClr="FF0000">
      <unresolved>
        <commentChain chainId="173ad9460fc4e73b0dae7f5812ef9c5fc08d0cc2">
          <item id="23583fe4d433966e3b1a86fe46d50440b1248dc6" isNormal="1">
            <s:text>
              <s:r>
                <s:t xml:space="preserve">Administrator:
3/6  上QR贴纸 256 pcs
3/12 上进口商贴纸 256 pcs
     上UPC贴纸 256 pcs</s:t>
              </s:r>
            </s:text>
          </item>
        </commentChain>
      </unresolved>
      <resolved/>
    </commentChains>
    <commentChains s:ref="Q286" rgbClr="FF0000">
      <unresolved>
        <commentChain chainId="3fed64051f6fe12a4201d87d9a150cf212db9e61">
          <item id="69898be44868afabf1feacb3f61534e9f72dbbdd" isNormal="1">
            <s:text>
              <s:r>
                <s:t xml:space="preserve">Administrator:
1406299 4/14 256 pcs</s:t>
              </s:r>
            </s:text>
          </item>
        </commentChain>
      </unresolved>
      <resolved/>
    </commentChains>
    <commentChains s:ref="S286" rgbClr="FF0000">
      <unresolved>
        <commentChain chainId="8b723ccf68e416b1bb446a53b317fc638212d1d6">
          <item id="4c910f800c6eea115cf340e6666d2d0f5b0287b6" isNormal="1">
            <s:text>
              <s:r>
                <s:t xml:space="preserve">Administrator:
3/6  上QR贴纸 256 pcs
3/12 上进口商贴纸 256 pcs
     上UPC贴纸 256 pcs</s:t>
              </s:r>
            </s:text>
          </item>
        </commentChain>
      </unresolved>
      <resolved/>
    </commentChains>
    <commentChains s:ref="Q287" rgbClr="FF0000">
      <unresolved>
        <commentChain chainId="2d826bd0e7131a40a8e04da53331eff8394bb745">
          <item id="696cdac108ba6259a0c74264d9c62cb7a05b2193" isNormal="1">
            <s:text>
              <s:r>
                <s:t xml:space="preserve">Administrator:
1406299 4/14 256 pcs</s:t>
              </s:r>
            </s:text>
          </item>
        </commentChain>
      </unresolved>
      <resolved/>
    </commentChains>
    <commentChains s:ref="S287" rgbClr="FF0000">
      <unresolved>
        <commentChain chainId="77e152ecd5b52ffccb4b9525cfd872d360ae6593">
          <item id="9622c56a57f6f79bbc246fb896bd5b705636ef7a" isNormal="1">
            <s:text>
              <s:r>
                <s:t xml:space="preserve">Administrator:
3/6  上QR贴纸 256 pcs
3/12 上进口商贴纸 256 pcs
     上UPC贴纸 256 pcs</s:t>
              </s:r>
            </s:text>
          </item>
        </commentChain>
      </unresolved>
      <resolved/>
    </commentChains>
    <commentChains s:ref="Q288" rgbClr="FF0000">
      <unresolved>
        <commentChain chainId="c87af65ceed55cba516096e647790d7d9ac4d338">
          <item id="54db2adf33147ec6807d04725cc0c4aa023934fe" isNormal="1">
            <s:text>
              <s:r>
                <s:t xml:space="preserve">Administrator:
1406233 4/18 720 pcs</s:t>
              </s:r>
            </s:text>
          </item>
        </commentChain>
      </unresolved>
      <resolved/>
    </commentChains>
    <commentChains s:ref="S288" rgbClr="FF0000">
      <unresolved>
        <commentChain chainId="6e337cf2b1c4644ec1ce1fe67329ba57f4d8a67b">
          <item id="431718ec15a37949d6425814e862faff3e6509dd" isNormal="1">
            <s:text>
              <s:r>
                <s:t xml:space="preserve">Administrator:
4/8 上进口商贴纸 1048 pcs
    上UPC贴纸 1048 pcs</s:t>
              </s:r>
            </s:text>
          </item>
        </commentChain>
      </unresolved>
      <resolved/>
    </commentChains>
    <commentChains s:ref="Q289" rgbClr="FF0000">
      <unresolved>
        <commentChain chainId="c0832e573f5a93422ecc694fb81b4f2e77c6ac93">
          <item id="358698c82c4711f2a274a9599535b76531dd06a1" isNormal="1">
            <s:text>
              <s:r>
                <s:t xml:space="preserve">Administrator:
1406233 4/18 88 pcs</s:t>
              </s:r>
            </s:text>
          </item>
        </commentChain>
      </unresolved>
      <resolved/>
    </commentChains>
    <commentChains s:ref="Q290" rgbClr="FF0000">
      <unresolved>
        <commentChain chainId="fb96fd497e0c5e87c0f624874f8d32402e8dd56b">
          <item id="b60b89d5dcb2e1ae03960c1f578257e05bc70f36" isNormal="1">
            <s:text>
              <s:r>
                <s:t xml:space="preserve">Administrator:
1406233 4/18 240 pcs</s:t>
              </s:r>
            </s:text>
          </item>
        </commentChain>
      </unresolved>
      <resolved/>
    </commentChains>
    <commentChains s:ref="Q291" rgbClr="FF0000">
      <unresolved>
        <commentChain chainId="8f94f315f9bc8e1c6e2d3c4a4f3766d463c9761e">
          <item id="446b613fa58e57c9dfa5bb8595a6d11c8b6e11fc" isNormal="1">
            <s:text>
              <s:r>
                <s:t xml:space="preserve">Administrator:
1406235 4/21 120 pcs</s:t>
              </s:r>
            </s:text>
          </item>
        </commentChain>
      </unresolved>
      <resolved/>
    </commentChains>
    <commentChains s:ref="S291" rgbClr="FF0000">
      <unresolved>
        <commentChain chainId="4bddfbf4b540468d25e59f3cc545508e2ff65e67">
          <item id="ec3ab88da2e90618dec49ae9946f98d8a37a033a" isNormal="1">
            <s:text>
              <s:r>
                <s:t xml:space="preserve">Administrator:
4/9 上通用贴纸 120 pcs</s:t>
              </s:r>
            </s:text>
          </item>
        </commentChain>
      </unresolved>
      <resolved/>
    </commentChains>
    <commentChains s:ref="Q292" rgbClr="FF0000">
      <unresolved>
        <commentChain chainId="e8d526734c47ceae08dcded41e176c54d7f126d9">
          <item id="95321a4949cb181f08842d070eddfabcce739984" isNormal="1">
            <s:text>
              <s:r>
                <s:t xml:space="preserve">Administrator:
1406235 4/21 200 pcs</s:t>
              </s:r>
            </s:text>
          </item>
        </commentChain>
      </unresolved>
      <resolved/>
    </commentChains>
    <commentChains s:ref="S292" rgbClr="FF0000">
      <unresolved>
        <commentChain chainId="7764d72b533395d945978d2ae828d662ac81df38">
          <item id="284b25fa53183da8afb72ad99e73f4aaf191471e" isNormal="1">
            <s:text>
              <s:r>
                <s:t xml:space="preserve">Administrator:
4/10 上QR贴纸 25 pcs
4/14 上进口商贴纸 200 pcs
4/16 上UPC贴纸 200 pcs</s:t>
              </s:r>
            </s:text>
          </item>
        </commentChain>
      </unresolved>
      <resolved/>
    </commentChains>
    <commentChains s:ref="Q293" rgbClr="FF0000">
      <unresolved>
        <commentChain chainId="be70cb81c64bc43e7eda91dad82d368a376ffb14">
          <item id="fe2170a97fa17ab0703c052b12167612653e9c60" isNormal="1">
            <s:text>
              <s:r>
                <s:t xml:space="preserve">Administrator:
1406235 4/21 200 pcs</s:t>
              </s:r>
            </s:text>
          </item>
        </commentChain>
      </unresolved>
      <resolved/>
    </commentChains>
    <commentChains s:ref="S293" rgbClr="FF0000">
      <unresolved>
        <commentChain chainId="1f3f46bf262e144ef76643658dd63635baadac95">
          <item id="c62ecfb3cbeff37bd1103ac2240736d8256eca0f" isNormal="1">
            <s:text>
              <s:r>
                <s:t xml:space="preserve">Administrator:
4/10 上QR贴纸 25 pcs
4/14 上进口商贴纸 200 pcs
4/16 上UPC贴纸 200 pcs</s:t>
              </s:r>
            </s:text>
          </item>
        </commentChain>
      </unresolved>
      <resolved/>
    </commentChains>
    <commentChains s:ref="Q294" rgbClr="FF0000">
      <unresolved>
        <commentChain chainId="98c618c250c063dddc4659ce8565f5ff363dd84a">
          <item id="610df275cb9e0f2690d0d09d40a4d90dd19fb841" isNormal="1">
            <s:text>
              <s:r>
                <s:t xml:space="preserve">Administrator:
1406235 4/21 200 pcs</s:t>
              </s:r>
            </s:text>
          </item>
        </commentChain>
      </unresolved>
      <resolved/>
    </commentChains>
    <commentChains s:ref="S294" rgbClr="FF0000">
      <unresolved>
        <commentChain chainId="7de7ac6e880a207ce498280fcd669e264b46cc5e">
          <item id="9b29a5f8d0801e1da82a9e2776a3f7b0649b85db" isNormal="1">
            <s:text>
              <s:r>
                <s:t xml:space="preserve">Administrator:
4/10 上QR贴纸 25 pcs
4/14 上进口商贴纸 200 pcs
4/16 上UPC贴纸 200 pcs</s:t>
              </s:r>
            </s:text>
          </item>
        </commentChain>
      </unresolved>
      <resolved/>
    </commentChains>
    <commentChains s:ref="Q295" rgbClr="FF0000">
      <unresolved>
        <commentChain chainId="bf970d617683c94354583e47f68eeb0447ffe581">
          <item id="ae172acdb736f6fd4f5e82fc02d2ac7109059385" isNormal="1">
            <s:text>
              <s:r>
                <s:t xml:space="preserve">Administrator:
1406165 4/29 2590 pcs
1406166 4/30 60 pcs</s:t>
              </s:r>
            </s:text>
          </item>
        </commentChain>
      </unresolved>
      <resolved/>
    </commentChains>
    <commentChains s:ref="S295" rgbClr="FF0000">
      <unresolved>
        <commentChain chainId="1539660367d2b9e8af93ce13d1894f18770f7ae9">
          <item id="90c0f23be59468d901146a4047bf236a63fdfb8b" isNormal="1">
            <s:text>
              <s:r>
                <s:t xml:space="preserve">Administrator:
4/3 上色丁布标贴纸 1650 pcs
    上警告语贴纸 1650 pcs
    上EAN贴纸 1650 pcs
    上进口商贴纸 1650 pcs</s:t>
              </s:r>
            </s:text>
          </item>
        </commentChain>
      </unresolved>
      <resolved/>
    </commentChains>
    <commentChains s:ref="Q296" rgbClr="FF0000">
      <unresolved>
        <commentChain chainId="a7f915989b09cd8f8d8f5409cd12f7432b3d2a22">
          <item id="a0881c64e4eece17d74f86cc037b9ff53fdc51f9" isNormal="1">
            <s:text>
              <s:r>
                <s:t xml:space="preserve">Administrator:
1406141 5/14 288 pcs</s:t>
              </s:r>
            </s:text>
          </item>
        </commentChain>
      </unresolved>
      <resolved/>
    </commentChains>
    <commentChains s:ref="Q297" rgbClr="FF0000">
      <unresolved>
        <commentChain chainId="f28237b0ee190803a88cfeb2d9660d15344f4843">
          <item id="f5680f2cfb061580b39e2de64196b2d007e1e811" isNormal="1">
            <s:text>
              <s:r>
                <s:t xml:space="preserve">Administrator:
1406143 5/15 504 PCS </s:t>
              </s:r>
            </s:text>
          </item>
        </commentChain>
      </unresolved>
      <resolved/>
    </commentChains>
    <commentChains s:ref="Q298" rgbClr="FF0000">
      <unresolved>
        <commentChain chainId="aad92bec28877f505c6271e9ebaff5db1daf3843">
          <item id="e41c8d9fd734c747d6884aef3b850d4b02582ff7" isNormal="1">
            <s:text>
              <s:r>
                <s:t xml:space="preserve">Administrator:
1406128 5/21 8064 pcs
1406133 5/22 4936 pcs</s:t>
              </s:r>
            </s:text>
          </item>
        </commentChain>
      </unresolved>
      <resolved/>
    </commentChains>
    <commentChains s:ref="S298" rgbClr="FF0000">
      <unresolved>
        <commentChain chainId="27a729cf257b148396de995c4d57c74c57cfcb6e">
          <item id="908da4fa3938cc3d4cbbb68ae4f21ebf283a6364" isNormal="1">
            <s:text>
              <s:r>
                <s:t xml:space="preserve">Administrator:
4/30 上UPC条码贴纸 13000 pcs  
     上进口商贴纸 13000 pcs</s:t>
              </s:r>
            </s:text>
          </item>
        </commentChain>
      </unresolved>
      <resolved/>
    </commentChains>
    <commentChains s:ref="Q299" rgbClr="FF0000">
      <unresolved>
        <commentChain chainId="44569657670dc60efe59c10f11a1ee16c075a61d">
          <item id="af736d1383fdc8d20b2049a6ed956dc8df08fe0e" isNormal="1">
            <s:text>
              <s:r>
                <s:t xml:space="preserve">Administrator:
4001836 5/27 270 pcs
4001835 5/26 1230 pcs</s:t>
              </s:r>
            </s:text>
          </item>
        </commentChain>
      </unresolved>
      <resolved/>
    </commentChains>
    <commentChains s:ref="S299" rgbClr="FF0000">
      <unresolved>
        <commentChain chainId="12c8bcf2526540cfd4185faf9fc1463a8a982733">
          <item id="a54b4339795cfd75390c37cfc12fa958e3f2cb60" isNormal="1">
            <s:text>
              <s:r>
                <s:t xml:space="preserve">Administrator:
5/8 上4国警告语贴纸 1500 pcs</s:t>
              </s:r>
            </s:text>
          </item>
        </commentChain>
      </unresolved>
      <resolved/>
    </commentChains>
    <commentChains s:ref="Q300" rgbClr="FF0000">
      <unresolved>
        <commentChain chainId="d88b388cde3e272b40d0e8bf2fe7907fb59f0bd9">
          <item id="192f30c179fd3fb18e7850121d8ec35e556d9940" isNormal="1">
            <s:text>
              <s:r>
                <s:t xml:space="preserve">Administrator:
4001835 5/26 192 pcs</s:t>
              </s:r>
            </s:text>
          </item>
        </commentChain>
      </unresolved>
      <resolved/>
    </commentChains>
    <commentChains s:ref="S300" rgbClr="FF0000">
      <unresolved>
        <commentChain chainId="0a6648894c01077f1bd4fd02069742e2af5def0d">
          <item id="6498302b71a8015691da7840164528f125af308b" isNormal="1">
            <s:text>
              <s:r>
                <s:t xml:space="preserve">Administrator:
5/8 上进口商贴纸 192 pcs</s:t>
              </s:r>
            </s:text>
          </item>
        </commentChain>
      </unresolved>
      <resolved/>
    </commentChains>
    <commentChains s:ref="Q301" rgbClr="FF0000">
      <unresolved>
        <commentChain chainId="1c5291cd53a709e2387400e5723db1bfcc4a5d1f">
          <item id="a11e67cc61ce87c760733ce7ff0876ea2df05dec" isNormal="1">
            <s:text>
              <s:r>
                <s:t xml:space="preserve">Administrator:
4001836 5/27 1500 pcs</s:t>
              </s:r>
            </s:text>
          </item>
        </commentChain>
      </unresolved>
      <resolved/>
    </commentChains>
    <commentChains s:ref="S301" rgbClr="FF0000">
      <unresolved>
        <commentChain chainId="2067808b42123d3a05458da27e10fbcb8c176b6d">
          <item id="3b6e7ef76b20ed8573b21be5a8566cc320a3c5c4" isNormal="1">
            <s:text>
              <s:r>
                <s:t xml:space="preserve">Administrator:
5/8 上4国警告语贴纸 1500 pcs</s:t>
              </s:r>
            </s:text>
          </item>
        </commentChain>
      </unresolved>
      <resolved/>
    </commentChains>
    <commentChains s:ref="Q302" rgbClr="FF0000">
      <unresolved>
        <commentChain chainId="f8350777b269ccec4e787b827e001497a0a9cc22">
          <item id="c2b3c69243111416d42f51c25e4e9a166817fdb6" userID="1715258932" userName="严新荟" dateTime="2026-06-18T05:43:56" isNormal="0">
            <s:text>
              <s:r>
                <s:t xml:space="preserve">2801491 6/17 240 pcs</s:t>
              </s:r>
            </s:text>
          </item>
        </commentChain>
      </unresolved>
      <resolved/>
    </commentChains>
    <commentChains s:ref="S302" rgbClr="FF0000">
      <unresolved>
        <commentChain chainId="8f862aec99e0636e99e639d48f5d2983793489b6">
          <item id="1e0a4b6016557261d65304b798ea9d3868195021" isNormal="1">
            <s:text>
              <s:r>
                <s:t xml:space="preserve">Administrator:
4/22 上QR贴纸 240 pcs
  欠进口商贴纸</s:t>
              </s:r>
            </s:text>
          </item>
          <item id="4cbec4651a2bdffb5881361c7bb827ec47a0dce2" userID="1715258932" userName="严新荟" dateTime="2026-06-16T03:40:35" isNormal="0">
            <s:text>
              <s:r>
                <s:t xml:space="preserve">6/4 上进口商贴纸 240 pcs</s:t>
              </s:r>
            </s:text>
          </item>
        </commentChain>
      </unresolved>
      <resolved/>
    </commentChains>
    <commentChains s:ref="Q303" rgbClr="FF0000">
      <unresolved>
        <commentChain chainId="502a34e88005d2f9279b7b8ed19988274a6daa48">
          <item id="8f855c5e377721c50d4a43c27d7e87ea8968ad84" userID="1715258932" userName="严新荟" dateTime="2026-06-18T05:43:56" isNormal="0">
            <s:text>
              <s:r>
                <s:t xml:space="preserve">2801491 6/17 240 pcs</s:t>
              </s:r>
            </s:text>
          </item>
        </commentChain>
      </unresolved>
      <resolved/>
    </commentChains>
    <commentChains s:ref="S303" rgbClr="FF0000">
      <unresolved>
        <commentChain chainId="4622068e48703406483a90fb30b7559bf4855b1f">
          <item id="d69a197d46c192858dfd93b2b076a1ddecde6be7" isNormal="1">
            <s:text>
              <s:r>
                <s:t xml:space="preserve">Administrator:
4/22 上QR贴纸 240 pcs
  欠进口商贴纸</s:t>
              </s:r>
            </s:text>
          </item>
          <item id="1a20205f4507beb7f978e5b94d93e7385573e1d8" userID="1715258932" userName="严新荟" dateTime="2026-06-16T03:40:35" isNormal="0">
            <s:text>
              <s:r>
                <s:t xml:space="preserve">6/4 上进口商贴纸 240 pcs</s:t>
              </s:r>
            </s:text>
          </item>
        </commentChain>
      </unresolved>
      <resolved/>
    </commentChains>
    <commentChains s:ref="Q304" rgbClr="FF0000">
      <unresolved>
        <commentChain chainId="7e73ab3c7ed3fc1cd293d0cb8617a4975824c098">
          <item id="f64640ef1311d7411cb2eaf2abee61ca22b42319" userID="1715258932" userName="严新荟" dateTime="2026-06-18T05:43:56" isNormal="0">
            <s:text>
              <s:r>
                <s:t xml:space="preserve">2801491 6/17 240 pcs</s:t>
              </s:r>
            </s:text>
          </item>
        </commentChain>
      </unresolved>
      <resolved/>
    </commentChains>
    <commentChains s:ref="S304" rgbClr="FF0000">
      <unresolved>
        <commentChain chainId="d3686bffc7afdf471d83a055059ae3338cf324b6">
          <item id="4ec169c4743a92d1172dea7e8beb2444a184cdde" isNormal="1">
            <s:text>
              <s:r>
                <s:t xml:space="preserve">Administrator:
4/22 上QR贴纸 240 pcs
  欠进口商贴纸</s:t>
              </s:r>
            </s:text>
          </item>
          <item id="960cc228d3608db4147deade28c4c0fbe0da5f93" userID="1715258932" userName="严新荟" dateTime="2026-06-16T03:40:35" isNormal="0">
            <s:text>
              <s:r>
                <s:t xml:space="preserve">6/4 上进口商贴纸 240 pcs</s:t>
              </s:r>
            </s:text>
          </item>
        </commentChain>
      </unresolved>
      <resolved/>
    </commentChains>
    <commentChains s:ref="Q305" rgbClr="FF0000">
      <unresolved>
        <commentChain chainId="c0b5888487fd0c821214f094fd4d471f9f947ead">
          <item id="51761c5eefdf6d2424e26edecf0fe1c5de48cdc6" userID="1715258932" userName="严新荟" dateTime="2026-06-23T00:49:37" isNormal="0">
            <s:text>
              <s:r>
                <s:t xml:space="preserve">2801522 6/22 32 PCS
2801519 6/22 1728 PCS</s:t>
              </s:r>
            </s:text>
          </item>
        </commentChain>
      </unresolved>
      <resolved/>
    </commentChains>
    <commentChains s:ref="S305" rgbClr="FF0000">
      <unresolved>
        <commentChain chainId="c28b1d21c109624be2c4d5bfe6112975a65377e3">
          <item id="03456d0ee4ecd1154df0d7f9bd3b111ed93d7d1a" userID="1715258932" userName="严新荟" dateTime="2026-06-04T11:44:26" isNormal="0">
            <s:text>
              <s:r>
                <s:t xml:space="preserve">6/4 上警告语贴纸 1760 pcs</s:t>
              </s:r>
            </s:text>
          </item>
        </commentChain>
      </unresolved>
      <resolved/>
    </commentChains>
    <commentChains s:ref="Q306" rgbClr="FF0000">
      <unresolved>
        <commentChain chainId="79a1e5f09e0596066193c30f8cce95c4ff264609">
          <item id="5ae0c239f7cba07ac0d45c1eac6dee8c1951e8b3" userID="1715258932" userName="严新荟" dateTime="2026-06-29T07:36:46" isNormal="0">
            <s:text>
              <s:r>
                <s:t xml:space="preserve">2801551 6/27 1000 pcs</s:t>
              </s:r>
            </s:text>
          </item>
        </commentChain>
      </unresolved>
      <resolved/>
    </commentChains>
    <commentChains s:ref="S306" rgbClr="FF0000">
      <unresolved>
        <commentChain chainId="64f65d3fbf138e8a2ee4688aeb37339af65f97b1">
          <item id="2fa97872626f5d18e319c13cd404a6cfd37f7904" userID="1715258932" userName="严新荟" dateTime="2026-06-09T02:34:48" isNormal="0">
            <s:text>
              <s:r>
                <s:t xml:space="preserve">6/8 上进口商贴纸 2000 pcs
       上baby EAN条码贴纸 A-E各500 pcs</s:t>
              </s:r>
            </s:text>
          </item>
        </commentChain>
      </unresolved>
      <resolved/>
    </commentChains>
    <commentChains s:ref="Q307" rgbClr="FF0000">
      <unresolved>
        <commentChain chainId="a12bebbe2de9de7adb306a57f9d82e6cda7a9061">
          <item id="0275eeb98c754039d74600444155f6779c40090a" isNormal="1">
            <s:text>
              <s:r>
                <s:t xml:space="preserve">Administrator:
4001835 5/26 1800 pcs</s:t>
              </s:r>
            </s:text>
          </item>
        </commentChain>
      </unresolved>
      <resolved/>
    </commentChains>
    <commentChains s:ref="S307" rgbClr="FF0000">
      <unresolved>
        <commentChain chainId="1a6a192714a650b638949fce525258830622ba48">
          <item id="00685e1b75b902a268cedbd93016cb93411bbbaf" isNormal="1">
            <s:text>
              <s:r>
                <s:t xml:space="preserve">Administrator:
5/13 上UPC贴纸 1800 pcs
     上进口商贴纸 1800 pcs</s:t>
              </s:r>
            </s:text>
          </item>
        </commentChain>
      </unresolved>
      <resolved/>
    </commentChains>
    <commentChains s:ref="Q308" rgbClr="FF0000">
      <unresolved>
        <commentChain chainId="facd0d05ebf48246dd57bdae5fb89a5715234e9b">
          <item id="78dec8931d9f17a68fb03b07f6be521236c17645" userID="1715258932" userName="严新荟" dateTime="2026-07-06T02:56:43" isNormal="0">
            <s:text>
              <s:r>
                <s:t xml:space="preserve">1600567 7/4 1000 pcs</s:t>
              </s:r>
            </s:text>
          </item>
        </commentChain>
      </unresolved>
      <resolved/>
    </commentChains>
    <commentChains s:ref="S308" rgbClr="FF0000">
      <unresolved>
        <commentChain chainId="6436eb5625fdcfcb67b4ba3fd8abcdd313e98405">
          <item id="a476b86babe1b87e06d266eed575fe7b33bc5400" userID="1715258932" userName="严新荟" dateTime="2026-06-09T02:34:48" isNormal="0">
            <s:text>
              <s:r>
                <s:t xml:space="preserve">6/8 上进口商贴纸 2000 pcs
       上baby EAN条码贴纸 A-E各500 pcs</s:t>
              </s:r>
            </s:text>
          </item>
        </commentChain>
      </unresolved>
      <resolved/>
    </commentChains>
    <commentChains s:ref="Q309" rgbClr="FF0000">
      <unresolved>
        <commentChain chainId="410f4948468e8eeb88e1dfdded211009e4c4e012">
          <item id="8a035f3407979b91d9ee4d01394b03e4aa7a2e90" userID="1715258932" userName="严新荟" dateTime="2026-07-06T02:56:43" isNormal="0">
            <s:text>
              <s:r>
                <s:t xml:space="preserve">1600567 7/4 560 pcs</s:t>
              </s:r>
            </s:text>
          </item>
        </commentChain>
      </unresolved>
      <resolved/>
    </commentChains>
    <commentChains s:ref="S309" rgbClr="FF0000">
      <unresolved>
        <commentChain chainId="97d232dd05b0928a179245401ba7813c7591c7d3">
          <item id="471ff3457576cd6fcedb498d776e4fbe7ef65721" isNormal="1">
            <s:text>
              <s:r>
                <s:t xml:space="preserve">Administrator:
4/13 上QR+SSCC贴纸 70 pcs
 欠进口商贴纸</s:t>
              </s:r>
            </s:text>
          </item>
          <item id="4a9215b465f68c467c3231ad3d338020c7d3623b" userID="1715258932" userName="严新荟" dateTime="2026-06-15T11:22:21" isNormal="0">
            <s:text>
              <s:r>
                <s:t xml:space="preserve">6/15 上进口商贴纸 4000 pcs
         上EAN条码贴纸 4000 pcs</s:t>
              </s:r>
            </s:text>
          </item>
        </commentChain>
      </unresolved>
      <resolved/>
    </commentChains>
    <commentChains s:ref="Q310" rgbClr="FF0000">
      <unresolved>
        <commentChain chainId="b35754d026162f9cc16647329446b775990afabe">
          <item id="60d0aa021a2e84ba4ff0039ccf622ee57c4d289c" userID="1715258932" userName="严新荟" dateTime="2026-07-06T02:57:18" isNormal="0">
            <s:text>
              <s:r>
                <s:t xml:space="preserve">1600567 7/4 1440 pcs</s:t>
              </s:r>
            </s:text>
          </item>
        </commentChain>
      </unresolved>
      <resolved/>
    </commentChains>
    <commentChains s:ref="S310" rgbClr="FF0000">
      <unresolved>
        <commentChain chainId="b23ed9db568fceb43208a05885c4c4bb5dc5c3fd">
          <item id="b5f8fd8c83646d25546aeac915a404f3f75cacac" isNormal="1">
            <s:text>
              <s:r>
                <s:t xml:space="preserve">Administrator:
4/13 上QR+SSCC贴纸 180 pcs</s:t>
              </s:r>
            </s:text>
          </item>
          <item id="fdeaf6b5b68812cf9b194b3c5501db6f1e324ee5" userID="1715258932" userName="严新荟" dateTime="2026-06-15T11:21:59" isNormal="0">
            <s:text>
              <s:r>
                <s:t xml:space="preserve">6/15 上进口商贴纸 4000 pcs
         上EAN条码贴纸 4000 pcs</s:t>
              </s:r>
            </s:text>
          </item>
        </commentChain>
      </unresolved>
      <resolved/>
    </commentChains>
    <commentChains s:ref="Q311" rgbClr="FF0000">
      <unresolved>
        <commentChain chainId="2a0d2d85028c2c197a24df7c088d5cd8c2c0cd9a">
          <item id="92a8b541db0fd135d298c9c51a847cfc01b71dfb" userID="1715258932" userName="严新荟" dateTime="2026-07-06T02:57:34" isNormal="0">
            <s:text>
              <s:r>
                <s:t xml:space="preserve">1600567 7/4 600 pcs</s:t>
              </s:r>
            </s:text>
          </item>
        </commentChain>
      </unresolved>
      <resolved/>
    </commentChains>
    <commentChains s:ref="S311" rgbClr="FF0000">
      <unresolved>
        <commentChain chainId="40e8afa92599e76a671e4cf5b612069e6c1c76d8">
          <item id="50d7143a84aa13e91c9922d319db0ced129815d1" userID="1715258932" userName="严新荟" dateTime="2026-06-10T08:27:13" isNormal="0">
            <s:text>
              <s:r>
                <s:t xml:space="preserve">6/10 上客供价格贴纸 630 pcs</s:t>
              </s:r>
            </s:text>
          </item>
        </commentChain>
      </unresolved>
      <resolved/>
    </commentChains>
    <commentChains s:ref="S312" rgbClr="FF0000">
      <unresolved>
        <commentChain chainId="23ee62c87788446909c689b11438ff08d5be466c">
          <item id="dfaf83e44bf052fdfd0649664c0590879a766447" userID="1715258932" userName="严新荟" dateTime="2026-07-09T06:25:01" isNormal="0">
            <s:text>
              <s:r>
                <s:t xml:space="preserve">7/8 上UPC贴纸 40 pcs
7/1 上客供亚马逊外箱贴纸  5PCS</s:t>
              </s:r>
            </s:text>
          </item>
        </commentChain>
      </unresolved>
      <resolved/>
    </commentChains>
    <commentChains s:ref="S317" rgbClr="FF0000">
      <unresolved>
        <commentChain chainId="8e3ef4d4c87006cb76adea9a873530e1ee4c50d0">
          <item id="e000568d91c79de4d2c4ab757bc0a46cd56f3917" userID="1715258932" userName="严新荟" dateTime="2026-07-09T06:25:01" isNormal="0">
            <s:text>
              <s:r>
                <s:t xml:space="preserve">7/8 上UPC贴纸 40 pcs
7/1 上客供亚马逊外箱贴纸  5 PCS</s:t>
              </s:r>
            </s:text>
          </item>
        </commentChain>
      </unresolved>
      <resolved/>
    </commentChains>
    <commentChains s:ref="S322" rgbClr="FF0000">
      <unresolved>
        <commentChain chainId="7d4737a4bbbacbf2982527ad39cbbc2be470334e">
          <item id="8f3624755e5f8e4ebef59982f4004dbb11e4a5a7" userID="1715258932" userName="严新荟" dateTime="2026-07-09T06:25:01" isNormal="0">
            <s:text>
              <s:r>
                <s:t xml:space="preserve">7/8 上UPC贴纸 56 pcs
7/1 上客供亚马逊外箱贴纸 6 pcs</s:t>
              </s:r>
            </s:text>
          </item>
        </commentChain>
      </unresolved>
      <resolved/>
    </commentChains>
    <commentChains s:ref="S328" rgbClr="FF0000">
      <unresolved>
        <commentChain chainId="737ad42dbf7dbc4a0977b2752d769e052e724255">
          <item id="1c1078c0d3cd1a7803266662ddbd133a54970a12" userID="1715258932" userName="严新荟" dateTime="2026-07-09T06:25:01" isNormal="0">
            <s:text>
              <s:r>
                <s:t xml:space="preserve">7/8 上UPC贴纸 48 pcs
7/1 上客供亚马逊外箱贴纸 6 pcs</s:t>
              </s:r>
            </s:text>
          </item>
        </commentChain>
      </unresolved>
      <resolved/>
    </commentChains>
    <commentChains s:ref="Q334" rgbClr="FF0000">
      <unresolved>
        <commentChain chainId="695e3de3ea3ef32922de2ce5c32b529ac371d0d3">
          <item id="50cc27788e9628f7d47a2ac35634fb75bc9b914d" userID="1715258932" userName="严新荟" dateTime="2026-07-17T03:09:39" isNormal="0">
            <s:text>
              <s:r>
                <s:t xml:space="preserve">2801306 7/16 2000 pcs</s:t>
              </s:r>
            </s:text>
          </item>
        </commentChain>
      </unresolved>
      <resolved/>
    </commentChains>
    <commentChains s:ref="S334" rgbClr="FF0000">
      <unresolved>
        <commentChain chainId="57479558e0fec05cd869158ba5effa4be5dd3fc2">
          <item id="a240de20ee5298731c9a5ebcb881daffe015ea5f" userID="1715258932" userName="严新荟" dateTime="2026-06-30T06:39:34" isNormal="0">
            <s:text>
              <s:r>
                <s:t xml:space="preserve">6/26 上客供价格贴纸 2127 pcs
6/27 上UCC外箱贴纸  250 pcs</s:t>
              </s:r>
            </s:text>
          </item>
        </commentChain>
      </unresolved>
      <resolved/>
    </commentChains>
    <commentChains s:ref="Q335" rgbClr="FF0000">
      <unresolved>
        <commentChain chainId="2f1ae326c365f872712b2af0a6084a91f2cf4b9e">
          <item id="19afbbf9f8863e6f061604d727369daffcc6ef95" userID="1715258932" userName="严新荟" dateTime="2026-07-11T03:41:59" isNormal="0">
            <s:text>
              <s:r>
                <s:t xml:space="preserve">1600534 7/10 3000 pcs</s:t>
              </s:r>
            </s:text>
          </item>
        </commentChain>
      </unresolved>
      <resolved/>
    </commentChains>
    <commentChains s:ref="S335" rgbClr="FF0000">
      <unresolved>
        <commentChain chainId="46fdbf5f7328361d1b969cf1eae0765890d84d4d">
          <item id="70df8ad267d14d78d856392d7b0c563544ec37d7" userID="1715258932" userName="严新荟" dateTime="2026-06-11T07:34:33" isNormal="0">
            <s:text>
              <s:r>
                <s:t xml:space="preserve">6/10 上进口商贴纸 3000 pcs
6/12 上QR贴纸  3000 pcs</s:t>
              </s:r>
            </s:text>
          </item>
        </commentChain>
      </unresolved>
      <resolved/>
    </commentChains>
    <commentChains s:ref="Q336" rgbClr="FF0000">
      <unresolved>
        <commentChain chainId="d47ab49c2c2b6885bb440429e18f56f081385632">
          <item id="2d9784d3f37860092b63323302c7555ab6b6419b" userID="1715258932" userName="严新荟" dateTime="2026-07-11T03:41:59" isNormal="0">
            <s:text>
              <s:r>
                <s:t xml:space="preserve">1600534 7/10 4000 pcs</s:t>
              </s:r>
            </s:text>
          </item>
        </commentChain>
      </unresolved>
      <resolved/>
    </commentChains>
    <commentChains s:ref="S336" rgbClr="FF0000">
      <unresolved>
        <commentChain chainId="723fdb4ef2b40fcbf98a28b28af1c50c778b164a">
          <item id="b56e507c5a82ee033390da1219bb9e4612f1bbb8" userID="1715258932" userName="严新荟" dateTime="2026-06-11T07:34:33" isNormal="0">
            <s:text>
              <s:r>
                <s:t xml:space="preserve">6/5 上QR贴纸 4000 pcs
6/10 上进口商贴纸 4000 pcs</s:t>
              </s:r>
            </s:text>
          </item>
        </commentChain>
      </unresolved>
      <resolved/>
    </commentChains>
    <commentChains s:ref="Q337" rgbClr="FF0000">
      <unresolved>
        <commentChain chainId="1069bda0ccdb58de932e6a6b11320bd690b35233">
          <item id="db8a15610627812e6df06308200329b0a0b4e443" userID="1715258932" userName="严新荟" dateTime="2026-07-11T03:41:59" isNormal="0">
            <s:text>
              <s:r>
                <s:t xml:space="preserve">1600534 7/10 2000 pcs</s:t>
              </s:r>
            </s:text>
          </item>
        </commentChain>
      </unresolved>
      <resolved/>
    </commentChains>
    <commentChains s:ref="S337" rgbClr="FF0000">
      <unresolved>
        <commentChain chainId="06ee63b0af718cdb1d25adabe7c9b21db709452f">
          <item id="6b46f530b8b5d8718e5491978953c085f73d4177" userID="1715258932" userName="严新荟" dateTime="2026-06-11T07:34:33" isNormal="0">
            <s:text>
              <s:r>
                <s:t xml:space="preserve">6/5 上QR贴纸 2000 pcs
6/10 上进口商贴纸 2000 pcs</s:t>
              </s:r>
            </s:text>
          </item>
        </commentChain>
      </unresolved>
      <resolved/>
    </commentChains>
    <commentChains s:ref="Q338" rgbClr="FF0000">
      <unresolved>
        <commentChain chainId="50957a3272a856175e116d9080363b6c16bcd325">
          <item id="64764487c9d33544b48833cc75cec1d95900c7ca" userID="1715258932" userName="严新荟" dateTime="2026-07-17T03:09:39" isNormal="0">
            <s:text>
              <s:r>
                <s:t xml:space="preserve">2801306 7/16 1440 pcs</s:t>
              </s:r>
            </s:text>
          </item>
        </commentChain>
      </unresolved>
      <resolved/>
    </commentChains>
    <commentChains s:ref="S338" rgbClr="FF0000">
      <unresolved>
        <commentChain chainId="b8938c915fe593d1e10df5653de88f419086b798">
          <item id="34ee7161142f2348527c4dccf54e186a24a20102" isNormal="1">
            <s:text>
              <s:r>
                <s:t xml:space="preserve">Administrator:
4/13 上QR+SSCC贴纸 180 pcs</s:t>
              </s:r>
            </s:text>
          </item>
          <item id="c1f387c98f5e38df38137f23e2da001eb292eb93" userID="1715258932" userName="严新荟" dateTime="2026-06-15T11:22:36" isNormal="0">
            <s:text>
              <s:r>
                <s:t xml:space="preserve">6/15 上进口商贴纸 4000 pcs
         上EAN条码贴纸 4000 pcs</s:t>
              </s:r>
            </s:text>
          </item>
        </commentChain>
      </unresolved>
      <resolved/>
    </commentChains>
    <commentChains s:ref="Q339" rgbClr="FF0000">
      <unresolved>
        <commentChain chainId="da9dd086864f1a758c237c29aec23e74a440eaf9">
          <item id="369691a34d7af770f81a947ffc534900724bc66a" userID="1715258932" userName="严新荟" dateTime="2026-07-17T03:09:39" isNormal="0">
            <s:text>
              <s:r>
                <s:t xml:space="preserve">2801306 7/16 560 pcs</s:t>
              </s:r>
            </s:text>
          </item>
        </commentChain>
      </unresolved>
      <resolved/>
    </commentChains>
    <commentChains s:ref="S339" rgbClr="FF0000">
      <unresolved>
        <commentChain chainId="beaeb9224a9eae7675eade5bdc363b366b55a8e5">
          <item id="e6eba3dff8c9a9daf1c1a492d70de2fd739070ef" isNormal="1">
            <s:text>
              <s:r>
                <s:t xml:space="preserve">Administrator:
4/13 上QR+SSCC贴纸 70 pcs</s:t>
              </s:r>
            </s:text>
          </item>
          <item id="5fd8a462dfe404b0049a738fe396ef33fa599115" userID="1715258932" userName="严新荟" dateTime="2026-06-15T11:22:41" isNormal="0">
            <s:text>
              <s:r>
                <s:t xml:space="preserve">6/15 上进口商贴纸 4000 pcs
         上EAN条码贴纸 4000 pcs</s:t>
              </s:r>
            </s:text>
          </item>
        </commentChain>
      </unresolved>
      <resolved/>
    </commentChains>
    <commentChains s:ref="Q340" rgbClr="FF0000">
      <unresolved>
        <commentChain chainId="ecb1e5a2f4e15d45bc27273915a888d63e65124e">
          <item id="60a5b1207028cec328a1aa0da54f4318788bf4d8" userID="1715258932" userName="严新荟" dateTime="2026-07-22T02:28:04" isNormal="0">
            <s:text>
              <s:r>
                <s:t xml:space="preserve">2801333 7/21 600 pcs</s:t>
              </s:r>
            </s:text>
          </item>
        </commentChain>
      </unresolved>
      <resolved/>
    </commentChains>
    <commentChains s:ref="S340" rgbClr="FF0000">
      <unresolved>
        <commentChain chainId="ee9df5bae7ba62206674e99f57c15e3951374408">
          <item id="096f81526f1492f7066dcc407872c4c034a8d328" userID="1715258932" userName="严新荟" dateTime="2026-06-22T12:40:06" isNormal="0">
            <s:text>
              <s:r>
                <s:t xml:space="preserve">6/22 上客供价格贴纸 710 pcs
7/6 上进口商贴纸 600 pcs</s:t>
              </s:r>
            </s:text>
          </item>
        </commentChain>
      </unresolved>
      <resolved/>
    </commentChains>
    <commentChains s:ref="Q341" rgbClr="FF0000">
      <unresolved>
        <commentChain chainId="1612a497c57f497da5452fa79289f25c161b0d15">
          <item id="a3d6f10271b68f30dbfcb15dce0caf36bc60841d" userID="1715258932" userName="严新荟" dateTime="2026-07-22T02:12:58" isNormal="0">
            <s:text>
              <s:r>
                <s:t xml:space="preserve">2801336 7/21 1248 pcs
2801333 7/21 312 pcs
2801341 7/22 600 pcs</s:t>
              </s:r>
            </s:text>
          </item>
        </commentChain>
      </unresolved>
      <resolved/>
    </commentChains>
    <commentChains s:ref="S341" rgbClr="FF0000">
      <unresolved>
        <commentChain chainId="6983746b04e93191b2e8309d218314f51d1a720b">
          <item id="de80cf3b316bc9be54b1e50e301ccc44897b109c" userID="1715258932" userName="严新荟" dateTime="2026-07-09T08:32:26" isNormal="0">
            <s:text>
              <s:r>
                <s:t xml:space="preserve">7/3 上QR+SSCC贴纸 270 pcs
7/9 上进口商贴纸 5000 pcs
       上客户EAN条码贴纸 5000 pcs</s:t>
              </s:r>
            </s:text>
          </item>
        </commentChain>
      </unresolved>
      <resolved/>
    </commentChains>
    <commentChains s:ref="Q342" rgbClr="FF0000">
      <unresolved>
        <commentChain chainId="2f0f15dd4cfda305b865b44286fbbaffa7a9fd41">
          <item id="4962faf6cc32a510802a7bbfc13b03569d6d4121" userID="1715258932" userName="严新荟" dateTime="2026-07-22T02:28:04" isNormal="0">
            <s:text>
              <s:r>
                <s:t xml:space="preserve">2801333 7/21 840 pcs</s:t>
              </s:r>
            </s:text>
          </item>
        </commentChain>
      </unresolved>
      <resolved/>
    </commentChains>
    <commentChains s:ref="S342" rgbClr="FF0000">
      <unresolved>
        <commentChain chainId="2ef0655124703becae18e115e9c3d4dccfd0cffc">
          <item id="9238e8b0d174542cb9894a9326ca364392996aa6" userID="1715258932" userName="严新荟" dateTime="2026-07-09T08:32:26" isNormal="0">
            <s:text>
              <s:r>
                <s:t xml:space="preserve">7/3 上QR+SSCC贴纸 105 pcs
7/9 上进口商贴纸 5000 pcs
       上客户EAN条码贴纸 5000 pcs</s:t>
              </s:r>
            </s:text>
          </item>
        </commentChain>
      </unresolved>
      <resolved/>
    </commentChains>
    <commentChains s:ref="Q343" rgbClr="FF0000">
      <unresolved>
        <commentChain chainId="a60601049dbf1308dcc0e5498b7bbb430850bc7a">
          <item id="53289adbdf183c863a2b99c1fee7808f29f8a0fe" userID="1715258932" userName="严新荟" dateTime="2026-07-22T02:29:17" isNormal="0">
            <s:text>
              <s:r>
                <s:t xml:space="preserve">2801333 7/21 144 pcs</s:t>
              </s:r>
            </s:text>
          </item>
        </commentChain>
      </unresolved>
      <resolved/>
    </commentChains>
    <commentChains s:ref="S343" rgbClr="FF0000">
      <unresolved>
        <commentChain chainId="f6d4b0689e1700786c61bf7c51275075aece88c8">
          <item id="47edbe31a4382614362645620f4e8a77941179d7" userID="1715258932" userName="严新荟" dateTime="2026-07-06T11:24:12" isNormal="0">
            <s:text>
              <s:r>
                <s:t xml:space="preserve">7/6 上进口商贴纸 144 pcs</s:t>
              </s:r>
            </s:text>
          </item>
        </commentChain>
      </unresolved>
      <resolved/>
    </commentChains>
    <commentChains s:ref="Q344" rgbClr="FF0000">
      <unresolved>
        <commentChain chainId="34cf871920c392301bf8c6aa0b3b340d36c9c17f">
          <item id="314e59120ed2d3e69a76b255bce8fe101507504f" userID="1715258932" userName="严新荟" dateTime="2026-07-30T08:37:11" isNormal="0">
            <s:text>
              <s:r>
                <s:t xml:space="preserve">2801375 7/29 160 PCS</s:t>
              </s:r>
            </s:text>
          </item>
        </commentChain>
      </unresolved>
      <resolved/>
    </commentChains>
    <commentChains s:ref="S344" rgbClr="FF0000">
      <unresolved>
        <commentChain chainId="1f72df689c7af377309164555b310bbb540f89f0">
          <item id="b7042895f3fd7693a2db816b1b7e6fbb9a0ef47c" userID="1715258932" userName="严新荟" dateTime="2026-07-20T02:03:54" isNormal="0">
            <s:text>
              <s:r>
                <s:t xml:space="preserve">7/18 上UPC贴纸 160 pcs</s:t>
              </s:r>
            </s:text>
          </item>
        </commentChain>
      </unresolved>
      <resolved/>
    </commentChains>
    <commentChains s:ref="Q345" rgbClr="FF0000">
      <unresolved>
        <commentChain chainId="6b54dea9d8b34ff5f777e1ab8237b5833039c4bf">
          <item id="18abd908aa480b94201183f78e26e6896081a51c" userID="1715258932" userName="严新荟" dateTime="2026-07-30T08:37:11" isNormal="0">
            <s:text>
              <s:r>
                <s:t xml:space="preserve">2801375 7/29 200 PCS</s:t>
              </s:r>
            </s:text>
          </item>
        </commentChain>
      </unresolved>
      <resolved/>
    </commentChains>
    <commentChains s:ref="S345" rgbClr="FF0000">
      <unresolved>
        <commentChain chainId="bfeb5eda297e216d5181cfbf5ccdc7ca9ab006ef">
          <item id="8717cda641da4e26e3270b2f85ec56de4f3339f9" userID="1715258932" userName="严新荟" dateTime="2026-07-20T13:30:53" isNormal="0">
            <s:text>
              <s:r>
                <s:t xml:space="preserve">7/17  上客户通用贴纸 200 pcs</s:t>
              </s:r>
            </s:text>
          </item>
        </commentChain>
      </unresolved>
      <resolved/>
    </commentChains>
    <commentChains s:ref="S346" rgbClr="FF0000">
      <unresolved>
        <commentChain chainId="a529e92684e404fb6f48fe8632845b7eec8cd40c">
          <item id="c1ef5cd3882e755a591bee94d9d297af525e41ae" userID="1715258932" userName="严新荟" dateTime="2026-07-27T07:13:50" isNormal="0">
            <s:text>
              <s:r>
                <s:t xml:space="preserve">7/25 上UPC条码贴纸 12000 pcs
        上进口商贴纸 12000 pcs</s:t>
              </s:r>
            </s:text>
          </item>
        </commentChain>
      </unresolved>
      <resolved/>
    </commentChains>
    <commentChains s:ref="S347" rgbClr="FF0000">
      <unresolved>
        <commentChain chainId="25c58e7522631e0b0c7ed0ca848050891bd1e53b">
          <item id="68446c413550457de04164958e0a1d6012939d0a" userID="1715258932" userName="严新荟" dateTime="2026-07-09T08:32:26" isNormal="0">
            <s:text>
              <s:r>
                <s:t xml:space="preserve">7/4 上QR+SSCC贴纸 180 pcs
7/9 上进口商贴纸 5000 pcs
       上客户EAN条码贴纸 5000 pcs</s:t>
              </s:r>
            </s:text>
          </item>
        </commentChain>
      </unresolved>
      <resolved/>
    </commentChains>
    <commentChains s:ref="S348" rgbClr="FF0000">
      <unresolved>
        <commentChain chainId="161c4540b6652f2ccb466ac678c6d20e57bb2c10">
          <item id="7848fab2357296e1870b5beb6bf5f5102e689920" userID="1715258932" userName="严新荟" dateTime="2026-07-09T08:32:26" isNormal="0">
            <s:text>
              <s:r>
                <s:t xml:space="preserve">7/4 上QR+SSCC贴纸 70 pcs
7/9 上进口商贴纸 5000 pcs
       上客户EAN条码贴纸 5000 pcs</s:t>
              </s:r>
            </s:text>
          </item>
        </commentChain>
      </unresolved>
      <resolved/>
    </commentChains>
    <commentChains s:ref="S349" rgbClr="FF0000">
      <unresolved>
        <commentChain chainId="a2853e84ae3976ec9e509f536e1e4e87c370a253">
          <item id="b40c3e996520923707bdd393e82ad2f38fd6b4d9" userID="1715258932" userName="严新荟" dateTime="2026-08-07T02:26:17" isNormal="0">
            <s:text>
              <s:r>
                <s:t xml:space="preserve">8/5 上UPC贴纸 240 pcs</s:t>
              </s:r>
            </s:text>
          </item>
        </commentChain>
      </unresolved>
      <resolved/>
    </commentChains>
    <commentChains s:ref="S351" rgbClr="FF0000">
      <unresolved>
        <commentChain chainId="ae83778880195cb18bbcca0a4fce5830b6846462">
          <item id="633f050596b0b4db229905ef490cd96e387b398d" userID="1715258932" userName="严新荟" dateTime="2026-08-07T02:40:52" isNormal="0">
            <s:text>
              <s:r>
                <s:t xml:space="preserve">8/6 上客供价格贴纸 630 pcs</s:t>
              </s:r>
            </s:text>
          </item>
        </commentChain>
      </unresolved>
      <resolved/>
    </commentChains>
    <commentChains s:ref="S352" rgbClr="FF0000">
      <unresolved>
        <commentChain chainId="1766186fb9e6b1a438bd7e218daf6d64ee02f77d">
          <item id="2b6c2717edcc3085ddcd8373c6ca1570f97b0c0b" userID="1715258932" userName="严新荟" dateTime="2026-08-08T03:20:18" isNormal="0">
            <s:text>
              <s:r>
                <s:t xml:space="preserve">8/7 上客供价格贴纸 1247 pcs</s:t>
              </s:r>
            </s:text>
          </item>
        </commentChain>
      </unresolved>
      <resolved/>
    </commentChains>
    <commentChains s:ref="S353" rgbClr="FF0000">
      <unresolved>
        <commentChain chainId="7c6da687c0aebd7ec2fb41e23c5d9f0c52572c78">
          <item id="44f1544f9dfd8539dccb442ad5a0aaeb2bf3dc58" userID="1715258932" userName="严新荟" dateTime="2026-08-08T03:20:18" isNormal="0">
            <s:text>
              <s:r>
                <s:t xml:space="preserve">8/7 上客供价格贴纸 191 pcs</s:t>
              </s:r>
            </s:text>
          </item>
        </commentChain>
      </unresolved>
      <resolved/>
    </commentChains>
    <commentChains s:ref="S354" rgbClr="FF0000">
      <unresolved>
        <commentChain chainId="d379b013c07c364a74867c262cf16ea41e9534d6">
          <item id="3cc1c6a49fbd02229a7028b9a138143c12040e6e" userID="1715258932" userName="严新荟" dateTime="2026-08-08T03:20:18" isNormal="0">
            <s:text>
              <s:r>
                <s:t xml:space="preserve">8/7 上客供价格贴纸 575 pcs</s:t>
              </s:r>
            </s:text>
          </item>
        </commentChain>
      </unresolved>
      <resolved/>
    </commentChains>
    <commentChains s:ref="S355" rgbClr="FF0000">
      <unresolved>
        <commentChain chainId="f7845abe3ecbf63ef7a5dc7b6f386915ef3b1bde">
          <item id="f168fa9098ba541c8d0ab2a40ec5d736ca62c4e5" userID="1715258932" userName="严新荟" dateTime="2026-08-11T11:59:23" isNormal="0">
            <s:text>
              <s:r>
                <s:t xml:space="preserve">8/11 上UPC贴纸 2000 pcs</s:t>
              </s:r>
            </s:text>
          </item>
        </commentChain>
      </unresolved>
      <resolved/>
    </commentChains>
    <commentChains s:ref="S356" rgbClr="FF0000">
      <unresolved>
        <commentChain chainId="1358bad4abde5da4fdfbcd0f3c967526e373d07d">
          <item id="e77638ae2cad3d8a112ba60c5a8c37569107ec82" userID="1715258932" userName="严新荟" dateTime="2026-08-11T11:59:23" isNormal="0">
            <s:text>
              <s:r>
                <s:t xml:space="preserve">8/11 上UPC贴纸 2000 pcs</s:t>
              </s:r>
            </s:text>
          </item>
        </commentChain>
      </unresolved>
      <resolved/>
    </commentChains>
    <commentChains s:ref="S357" rgbClr="FF0000">
      <unresolved>
        <commentChain chainId="9e13114f022fa80739cb01f5fd7c980f0dfd1cbf">
          <item id="546fbd86937e4a36b038e1d76edc2ab50de1c7e6" userID="1715258932" userName="严新荟" dateTime="2026-08-11T11:59:23" isNormal="0">
            <s:text>
              <s:r>
                <s:t xml:space="preserve">8/11 上UPC贴纸 2000 pcs</s:t>
              </s:r>
            </s:text>
          </item>
        </commentChain>
      </unresolved>
      <resolved/>
    </commentChains>
    <commentChains s:ref="S358" rgbClr="FF0000">
      <unresolved>
        <commentChain chainId="107f9c529d707add240bd01c43d33167a11e612f">
          <item id="ae0e88e0b9f4cbd5e5ce29798424f154c8878fa1" userID="1715258932" userName="严新荟" dateTime="2026-08-11T11:59:23" isNormal="0">
            <s:text>
              <s:r>
                <s:t xml:space="preserve">8/11 上UPC贴纸 2000 pcs</s:t>
              </s:r>
            </s:text>
          </item>
        </commentChain>
      </unresolved>
      <resolved/>
    </commentChains>
  </commentList>
  <commentList sheetStid="20">
    <commentChains s:ref="L386" rgbClr="FF0000">
      <unresolved>
        <commentChain chainId="9f6a80c270e227879d540ab66d44bb5b75019daf">
          <item id="893c61f051e3cc460719d7964ccce352c2653d5d" isNormal="1">
            <s:text>
              <s:r>
                <s:t xml:space="preserve">Doris Xiao Chang fei:
原MOQ 500，降低到300</s:t>
              </s:r>
            </s:text>
          </item>
        </commentChain>
      </unresolved>
      <resolved/>
    </commentChains>
    <commentChains s:ref="L405" rgbClr="FF0000">
      <unresolved>
        <commentChain chainId="24185790f3889d21999915da80f2f0ae16104b04">
          <item id="2383a9cb34a1f41afd3020b527793e4303086e29" isNormal="1">
            <s:text>
              <s:r>
                <s:t xml:space="preserve">Doris Xiao Chang fei:
原MOQ 800,降低到500</s:t>
              </s:r>
            </s:text>
          </item>
        </commentChain>
      </unresolved>
      <resolved/>
    </commentChains>
    <commentChains s:ref="L417" rgbClr="FF0000">
      <unresolved>
        <commentChain chainId="8244f79d9b60b55f41b6bb9ca358456e1f26b0d9">
          <item id="7b3dbac8c157a760a7512373a1596f1e05f96c0f" isNormal="1">
            <s:text>
              <s:r>
                <s:t xml:space="preserve">Doris Xiao Chang fei:
原MOQ 800，降低到500</s:t>
              </s:r>
            </s:text>
          </item>
        </commentChain>
      </unresolved>
      <resolved/>
    </commentChains>
  </commentList>
  <commentList sheetStid="14">
    <commentChains s:ref="K10" rgbClr="FF0000">
      <unresolved>
        <commentChain chainId="c194a823af0854bb4c9ea72539487c3941869b54">
          <item id="d170a7983d52563e9d466216ded39a5b5b8b7341" isNormal="1">
            <s:text>
              <s:r>
                <s:t xml:space="preserve">原完成期：2022/9/20</s:t>
              </s:r>
            </s:text>
          </item>
        </commentChain>
      </unresolved>
      <resolved/>
    </commentChains>
  </commentList>
  <commentList sheetStid="53">
    <commentChains s:ref="E11" rgbClr="FF0000">
      <unresolved>
        <commentChain chainId="1afb3f59164fc52b2f10f523974861d212837b54">
          <item id="25a469449c7ebebce1d612c316c2ff24b4ce2e14" isNormal="1">
            <s:text>
              <s:r>
                <s:t xml:space="preserve">admin:
Action 订单专用，啤紫色蛋壳，（角、摇柄新色）</s:t>
              </s:r>
            </s:text>
          </item>
        </commentChain>
      </unresolved>
      <resolved/>
    </commentChains>
    <commentChains s:ref="G11" rgbClr="FF0000">
      <unresolved>
        <commentChain chainId="edd1af816d6d5d4eb93c2bfcbd1f29eeb92c65cb">
          <item id="59eb8c2c8dbbdf781f47f7dec6eed330d91f5139" isNormal="1">
            <s:text>
              <s:r>
                <s:t xml:space="preserve"/>
              </s:r>
            </s:text>
          </item>
        </commentChain>
        <commentChain chainId="edd1af816d6d5d4eb93c2bfcbd1f29eeb92c65cb">
          <item id="59eb8c2c8dbbdf781f47f7dec6eed330d91f5139" isNormal="1">
            <s:text>
              <s:r>
                <s:t xml:space="preserve"/>
              </s:r>
            </s:text>
          </item>
        </commentChain>
      </unresolved>
      <resolved/>
    </commentChains>
    <commentChains s:ref="E12" rgbClr="FF0000">
      <unresolved>
        <commentChain chainId="c22683b4a4b0b871b694cdb94f068268edc431cc">
          <item id="e72fc3a5c9efae8d8b9d1cf87d6bc424b93b024b" isNormal="1">
            <s:text>
              <s:r>
                <s:t xml:space="preserve">admin:
Action 订单专用，啤紫色蛋壳，（角、摇柄新色）</s:t>
              </s:r>
            </s:text>
          </item>
        </commentChain>
      </unresolved>
      <resolved/>
    </commentChains>
    <commentChains s:ref="G12" rgbClr="FF0000">
      <unresolved>
        <commentChain chainId="bcf9490fdb18afb883ba6f7a797424d2631a2d80">
          <item id="6afa047bfa2b51ed3c2bbd8aa76b221a522967e7" isNormal="1">
            <s:text>
              <s:r>
                <s:t xml:space="preserve">admin:
Action 订单专用，啤紫色蛋壳，（角、摇柄新色）</s:t>
              </s:r>
            </s:text>
          </item>
        </commentChain>
      </unresolved>
      <resolved/>
    </commentChains>
    <commentChains s:ref="E14" rgbClr="FF0000">
      <unresolved>
        <commentChain chainId="9d450fef69ddbdfaae81c6d7f1aa2345f5665ba0">
          <item id="67780104d21029bb118dfcc6704ba10b4921eaa8" isNormal="1">
            <s:text>
              <s:r>
                <s:t xml:space="preserve">admin:
Action 订单专用，啤紫色蛋壳，（角、摇柄新色）</s:t>
              </s:r>
            </s:text>
          </item>
        </commentChain>
      </unresolved>
      <resolved/>
    </commentChains>
    <commentChains s:ref="G14" rgbClr="FF0000">
      <unresolved>
        <commentChain chainId="ddd2e65f7c37df855bb043d3874f11c8951b637e">
          <item id="80671553fc8a30377b22067d4db8eb1109de6e8e" isNormal="1">
            <s:text>
              <s:r>
                <s:t xml:space="preserve">admin:
Action 订单专用，啤紫色蛋壳，（角、摇柄新色）</s:t>
              </s:r>
            </s:text>
          </item>
        </commentChain>
      </unresolved>
      <resolved/>
    </commentChains>
  </commentList>
  <commentList sheetStid="12">
    <commentChains s:ref="DU55" rgbClr="FF0000">
      <unresolved>
        <commentChain chainId="e266d67e6f447304e3a7ce348471cf2588b29284">
          <item id="c34c9b966f2699a7d1da1f3b413f06a13b4600a4" isNormal="1">
            <s:text>
              <s:r>
                <s:t xml:space="preserve">admin:自订</s:t>
              </s:r>
            </s:text>
          </item>
        </commentChain>
      </unresolved>
      <resolved/>
    </commentChains>
    <commentChains s:ref="AO83" rgbClr="FF0000">
      <unresolved>
        <commentChain chainId="60279f76e555d559a2d63eed7508e9e2f2d1126a">
          <item id="3159aa39371213e61911ad49af27772e12e076dd" isNormal="1">
            <s:text>
              <s:r>
                <s:t xml:space="preserve">11/30   消耗库存数  根据实单订购</s:t>
              </s:r>
            </s:text>
          </item>
        </commentChain>
      </unresolved>
      <resolved/>
    </commentChains>
    <commentChains s:ref="AS83" rgbClr="FF0000">
      <unresolved>
        <commentChain chainId="2d8c3108f2451fa6b80085a185d81318dd63bd56">
          <item id="3a40078eaf21875e05481d6ef8232669a60a2af7" isNormal="1">
            <s:text>
              <s:r>
                <s:t xml:space="preserve">11/30   消耗库存数  根据实单订购</s:t>
              </s:r>
            </s:text>
          </item>
        </commentChain>
      </unresolved>
      <resolved/>
    </commentChains>
    <commentChains s:ref="AU83" rgbClr="FF0000">
      <unresolved>
        <commentChain chainId="2890cbef9a68b5122bec16a2a5734e4b0ed502e4">
          <item id="3575f9eafc6b88cdfa70b322b916d996296e1976" isNormal="1">
            <s:text>
              <s:r>
                <s:t xml:space="preserve">11/30   消耗库存数  根据实单订购</s:t>
              </s:r>
            </s:text>
          </item>
        </commentChain>
      </unresolved>
      <resolved/>
    </commentChains>
    <commentChains s:ref="AW83" rgbClr="FF0000">
      <unresolved>
        <commentChain chainId="0c1ec470fa9b2f1b21a1a2685944405c3d3d6469">
          <item id="b7b61026fe77ef0e5e1b5cd628c5e79bde651719" isNormal="1">
            <s:text>
              <s:r>
                <s:t xml:space="preserve">11/30   消耗库存数  根据实单订购</s:t>
              </s:r>
            </s:text>
          </item>
        </commentChain>
      </unresolved>
      <resolved/>
    </commentChains>
  </commentList>
  <commentList sheetStid="52">
    <commentChains s:ref="J106" rgbClr="FF0000">
      <unresolved>
        <commentChain chainId="b979edb404d76016c7d650f6004dca66685ab392">
          <item id="ac3d18ba0f2a38981d2ab534298e52327dec9613" isNormal="1">
            <s:text>
              <s:r>
                <s:t xml:space="preserve">已扣减在B版本3L膜</s:t>
              </s:r>
            </s:text>
          </item>
        </commentChain>
      </unresolved>
      <resolved/>
    </commentChains>
    <commentChains s:ref="Q106" rgbClr="FF0000">
      <unresolved>
        <commentChain chainId="f91ecc7fbc274859093208829e647375540e25ff">
          <item id="072f6a4eeddf1711023f3eb089c5ecc5ffbd21d0" isNormal="1">
            <s:text>
              <s:r>
                <s:t xml:space="preserve">admin:
5340 PCS-扣减清零</s:t>
              </s:r>
            </s:text>
          </item>
        </commentChain>
      </unresolved>
      <resolved/>
    </commentChains>
    <commentChains s:ref="R106" rgbClr="FF0000">
      <unresolved>
        <commentChain chainId="f6aea0fffc4d30d9d507ee9d00d3ad656db189d8">
          <item id="cbcd71c5288825458188bdb5e4410e537a3378ac" isNormal="1">
            <s:text>
              <s:r>
                <s:t xml:space="preserve">admin:
4051 PCS扣减清零</s:t>
              </s:r>
            </s:text>
          </item>
        </commentChain>
      </unresolved>
      <resolved/>
    </commentChains>
    <commentChains s:ref="S106" rgbClr="FF0000">
      <unresolved>
        <commentChain chainId="16be92147389a45baa2d864bb63dc4138e439ab8">
          <item id="195ff3c6b6a55d4198a202356f8cbfef8cc53820" isNormal="1">
            <s:text>
              <s:r>
                <s:t xml:space="preserve">admin:
6167 pcs 扣减清零</s:t>
              </s:r>
            </s:text>
          </item>
        </commentChain>
      </unresolved>
      <resolved/>
    </commentChains>
    <commentChains s:ref="T106" rgbClr="FF0000">
      <unresolved>
        <commentChain chainId="92e40c383ef0a5dd39db6dcde1cedb068c7f5764">
          <item id="8279455218e9efa609202233df9c260b3de333f7" isNormal="1">
            <s:text>
              <s:r>
                <s:t xml:space="preserve">admin:
5391 pcs 扣减清零</s:t>
              </s:r>
            </s:text>
          </item>
        </commentChain>
      </unresolved>
      <resolved/>
    </commentChains>
  </commentList>
  <commentList sheetStid="51">
    <commentChains s:ref="H2" rgbClr="FF0000">
      <unresolved>
        <commentChain chainId="e8ebb1b0b56b07a89bfe337378ad3fa295450947">
          <item id="2701dca8612b2c9f147640d8057012cabcadbdf2" isNormal="1">
            <s:text>
              <s:r>
                <s:t xml:space="preserve">RR:
R2电阻原是0402/0R。触摸线原是50MM</s:t>
              </s:r>
            </s:text>
          </item>
        </commentChain>
      </unresolved>
      <resolved/>
    </commentChains>
    <commentChains s:ref="I2" rgbClr="FF0000">
      <unresolved>
        <commentChain chainId="05a80ad2cedca2aa20301a891d1bc0daad84b386">
          <item id="38b812d864928c43036678a5722c77d1cc2d770b" isNormal="1">
            <s:text>
              <s:r>
                <s:t xml:space="preserve">RR:
R2电阻原是0402/0R。触摸线原是50MM</s:t>
              </s:r>
            </s:text>
          </item>
        </commentChain>
      </unresolved>
      <resolved/>
    </commentChains>
    <commentChains s:ref="J2" rgbClr="FF0000">
      <unresolved>
        <commentChain chainId="dc6503cf99da60825c82c075aefda119ecf131d0">
          <item id="a4cc987152a31a15797efdc678765a803d5384e5" isNormal="1">
            <s:text>
              <s:r>
                <s:t xml:space="preserve">RR:
R2电阻原是0402/0R。触摸线原是50MM</s:t>
              </s:r>
            </s:text>
          </item>
        </commentChain>
      </unresolved>
      <resolved/>
    </commentChains>
  </commentList>
  <commentList sheetStid="17">
    <commentChains s:ref="Q2" rgbClr="FF0000">
      <unresolved>
        <commentChain chainId="606542c3aae77cbd3b7284454ae1a83a2dce83d3">
          <item id="9e850bb5a73119402c3f770deec90b7d60a078fb" isNormal="1">
            <s:text>
              <s:r>
                <s:t xml:space="preserve">白猫存在色差
已送回</s:t>
              </s:r>
            </s:text>
          </item>
        </commentChain>
      </unresolved>
      <resolved/>
    </commentChains>
    <commentChains s:ref="M3" rgbClr="FF0000">
      <unresolved>
        <commentChain chainId="d9783b5a029b013679624c858541dabcf66e0024">
          <item id="52c314362efb6038a1107e81fb45e65de300fca0" isNormal="1">
            <s:text>
              <s:r>
                <s:t xml:space="preserve">PDQ消耗4500095189中600PCS</s:t>
              </s:r>
            </s:text>
          </item>
        </commentChain>
      </unresolved>
      <resolved/>
    </commentChains>
    <commentChains s:ref="Q21" rgbClr="FF0000">
      <unresolved>
        <commentChain chainId="af855a2b2fb0331ee58d6c3f9253e22484d53acf">
          <item id="4728d29a116eb46aa60abfdbc6588dc57d8b2c6c" isNormal="1">
            <s:text>
              <s:r>
                <s:t xml:space="preserve">admin:
工厂提供保证函+成品打9折出货</s:t>
              </s:r>
            </s:text>
          </item>
        </commentChain>
      </unresolved>
      <resolved/>
    </commentChains>
    <commentChains s:ref="Q212" rgbClr="FF0000">
      <unresolved>
        <commentChain chainId="f59437c97382d0132eb72aca99d992d4eeff1009">
          <item id="6ee5f0315fb693b76a500c7473400faaf348bd8b" isNormal="1">
            <s:text>
              <s:r>
                <s:t xml:space="preserve">Administrator:
1402914/1402913 4/29 396 pcs</s:t>
              </s:r>
            </s:text>
          </item>
        </commentChain>
      </unresolved>
      <resolved/>
    </commentChains>
  </commentList>
</comments>
</file>

<file path=customXml/item3.xml><?xml version="1.0" encoding="utf-8"?>
<autofilters xmlns="https://web.wps.cn/et/2018/main">
  <sheetItem sheetStid="40">
    <filterData filterID="1475153551"/>
    <filterData filterID="1474709007">
      <hiddenRange rowFrom="4" rowTo="53"/>
    </filterData>
    <filterData filterID="1848489229">
      <hiddenRange rowFrom="5" rowTo="5"/>
      <hiddenRange rowFrom="8" rowTo="13"/>
      <hiddenRange rowFrom="18" rowTo="21"/>
      <hiddenRange rowFrom="24" rowTo="25"/>
    </filterData>
    <filterData filterID="1474966847"/>
    <autofilterInfo filterID="1474709007">
      <autoFilter xmlns="http://schemas.openxmlformats.org/spreadsheetml/2006/main" ref="A4:BL79">
        <filterColumn colId="3">
          <customFilters>
            <customFilter operator="equal" val="4500166812"/>
          </customFilters>
        </filterColumn>
      </autoFilter>
    </autofilterInfo>
    <autofilterInfo filterID="1848489229">
      <autoFilter xmlns="http://schemas.openxmlformats.org/spreadsheetml/2006/main" ref="A4:BL79">
        <filterColumn colId="7">
          <customFilters>
            <customFilter operator="equal" val="MB83-S002-9259"/>
          </customFilters>
        </filterColumn>
      </autoFilter>
    </autofilterInfo>
  </sheetItem>
  <sheetItem sheetStid="41">
    <filterData filterID="1848489229">
      <hiddenRange rowFrom="3" rowTo="12"/>
      <hiddenRange rowFrom="14" rowTo="15"/>
      <hiddenRange rowFrom="20" rowTo="20"/>
      <hiddenRange rowFrom="23" rowTo="58"/>
      <hiddenRange rowFrom="63" rowTo="87"/>
      <hiddenRange rowFrom="91" rowTo="120"/>
      <hiddenRange rowFrom="122" rowTo="127"/>
      <hiddenRange rowFrom="130" rowTo="141"/>
      <hiddenRange rowFrom="144" rowTo="145"/>
      <hiddenRange rowFrom="148" rowTo="162"/>
      <hiddenRange rowFrom="165" rowTo="167"/>
      <hiddenRange rowFrom="174" rowTo="180"/>
      <hiddenRange rowFrom="185" rowTo="270"/>
      <hiddenRange rowFrom="272" rowTo="316"/>
      <hiddenRange rowFrom="330" rowTo="331"/>
      <hiddenRange rowFrom="334" rowTo="336"/>
      <hiddenRange rowFrom="339" rowTo="371"/>
      <hiddenRange rowFrom="374" rowTo="379"/>
      <hiddenRange rowFrom="381" rowTo="381"/>
      <hiddenRange rowFrom="383" rowTo="393"/>
      <hiddenRange rowFrom="395" rowTo="415"/>
      <hiddenRange rowFrom="417" rowTo="436"/>
      <hiddenRange rowFrom="438" rowTo="468"/>
      <hiddenRange rowFrom="470" rowTo="506"/>
      <hiddenRange rowFrom="508" rowTo="510"/>
      <hiddenRange rowFrom="512" rowTo="512"/>
      <hiddenRange rowFrom="516" rowTo="937"/>
    </filterData>
    <filterData filterID="1828143256">
      <hiddenRange rowFrom="3" rowTo="524"/>
      <hiddenRange rowFrom="526" rowTo="937"/>
    </filterData>
    <autofilterInfo filterID="1848489229">
      <autoFilter xmlns="http://schemas.openxmlformats.org/spreadsheetml/2006/main" ref="A3:XFD938">
        <filterColumn colId="7">
          <customFilters>
            <customFilter operator="equal" val="92114-S001"/>
            <customFilter operator="equal" val="92114-S001-NB"/>
          </customFilters>
        </filterColumn>
      </autoFilter>
    </autofilterInfo>
    <autofilterInfo filterID="1828143256">
      <autoFilter xmlns="http://schemas.openxmlformats.org/spreadsheetml/2006/main" ref="A3:XFD938">
        <filterColumn colId="3">
          <customFilters>
            <customFilter operator="equal" val="4500213430"/>
          </customFilters>
        </filterColumn>
      </autoFilter>
    </autofilterInfo>
  </sheetItem>
  <sheetItem sheetStid="42">
    <filterData filterID="1828143256">
      <hiddenRange rowFrom="3" rowTo="1055"/>
      <hiddenRange rowFrom="1057" rowTo="1060"/>
      <hiddenRange rowFrom="1062" rowTo="1481"/>
    </filterData>
    <filterData filterID="1475153551">
      <hiddenRange rowFrom="3" rowTo="1060"/>
      <hiddenRange rowFrom="1062" rowTo="1481"/>
    </filterData>
    <filterData filterID="1474966847">
      <hiddenRange rowFrom="3" rowTo="859"/>
      <hiddenRange rowFrom="861" rowTo="1060"/>
      <hiddenRange rowFrom="1062" rowTo="1481"/>
    </filterData>
    <autofilterInfo filterID="1475153551">
      <autoFilter xmlns="http://schemas.openxmlformats.org/spreadsheetml/2006/main" ref="A3:XFD1482">
        <filterColumn colId="0">
          <colorFilter dxfId="4"/>
        </filterColumn>
      </autoFilter>
    </autofilterInfo>
    <autofilterInfo filterID="1474966847">
      <autoFilter xmlns="http://schemas.openxmlformats.org/spreadsheetml/2006/main" ref="A3:XFD1482">
        <filterColumn colId="3">
          <customFilters>
            <customFilter operator="equal" val="4500187663"/>
          </customFilters>
        </filterColumn>
      </autoFilter>
    </autofilterInfo>
    <autofilterInfo filterID="1828143256">
      <autoFilter xmlns="http://schemas.openxmlformats.org/spreadsheetml/2006/main" ref="A3:XFD1482">
        <filterColumn colId="3">
          <customFilters>
            <customFilter operator="equal" val="4500208735"/>
          </customFilters>
        </filterColumn>
      </autoFilter>
    </autofilterInfo>
  </sheetItem>
  <sheetItem sheetStid="43">
    <filterData filterID="1475153551"/>
  </sheetItem>
  <sheetItem sheetStid="44">
    <filterData filterID="1828109158"/>
    <filterData filterID="1828143256">
      <hiddenRange rowFrom="3" rowTo="210"/>
      <hiddenRange rowFrom="212" rowTo="976"/>
    </filterData>
    <filterData filterID="1475153551">
      <hiddenRange rowFrom="3" rowTo="244"/>
      <hiddenRange rowFrom="248" rowTo="976"/>
    </filterData>
    <filterData filterID="1853477080">
      <hiddenRange rowFrom="3" rowTo="235"/>
      <hiddenRange rowFrom="237" rowTo="246"/>
      <hiddenRange rowFrom="248" rowTo="976"/>
    </filterData>
    <autofilterInfo filterID="1475153551">
      <autoFilter xmlns="http://schemas.openxmlformats.org/spreadsheetml/2006/main" ref="A3:XFD977">
        <filterColumn colId="0">
          <colorFilter dxfId="5"/>
        </filterColumn>
      </autoFilter>
    </autofilterInfo>
    <autofilterInfo filterID="1828143256">
      <autoFilter xmlns="http://schemas.openxmlformats.org/spreadsheetml/2006/main" ref="A3:XFD977">
        <filterColumn colId="3">
          <customFilters>
            <customFilter operator="equal" val="4500212180"/>
          </customFilters>
        </filterColumn>
      </autoFilter>
    </autofilterInfo>
    <autofilterInfo filterID="1853477080">
      <autoFilter xmlns="http://schemas.openxmlformats.org/spreadsheetml/2006/main" ref="A3:XFD977">
        <filterColumn colId="6">
          <customFilters>
            <customFilter operator="equal" val="92106D-S002-PKC"/>
          </customFilters>
        </filterColumn>
      </autoFilter>
    </autofilterInfo>
  </sheetItem>
  <sheetItem sheetStid="48">
    <filterData filterID="1853477080">
      <hiddenRange rowFrom="3" rowTo="283"/>
      <hiddenRange rowFrom="363" rowTo="405"/>
    </filterData>
    <filterData filterID="1475153551">
      <hiddenRange rowFrom="3" rowTo="358"/>
      <hiddenRange rowFrom="360" rowTo="405"/>
    </filterData>
    <filterData filterID="1715258932"/>
    <autofilterInfo filterID="1475153551">
      <autoFilter xmlns="http://schemas.openxmlformats.org/spreadsheetml/2006/main" ref="A3:XFD406">
        <filterColumn colId="0">
          <colorFilter dxfId="6"/>
        </filterColumn>
      </autoFilter>
    </autofilterInfo>
    <autofilterInfo filterID="1853477080">
      <autoFilter xmlns="http://schemas.openxmlformats.org/spreadsheetml/2006/main" ref="A3:XFD406">
        <filterColumn colId="0">
          <filters>
            <dateGroupItem year="2026" dateTimeGrouping="year"/>
          </filters>
        </filterColumn>
      </autoFilter>
    </autofilterInfo>
  </sheetItem>
  <sheetItem sheetStid="49">
    <filterData filterID="1474709007">
      <hiddenRange rowFrom="3" rowTo="121"/>
      <hiddenRange rowFrom="124" rowTo="169"/>
    </filterData>
    <filterData filterID="1828143256"/>
    <filterData filterID="1475153551"/>
    <filterData filterID="1765212680">
      <hiddenRange rowFrom="3" rowTo="121"/>
      <hiddenRange rowFrom="124" rowTo="169"/>
    </filterData>
    <filterData filterID="1474966847">
      <hiddenRange rowFrom="3" rowTo="99"/>
      <hiddenRange rowFrom="101" rowTo="169"/>
    </filterData>
    <filterData filterID="1848489229"/>
    <autofilterInfo filterID="1765212680">
      <autoFilter xmlns="http://schemas.openxmlformats.org/spreadsheetml/2006/main" ref="A3:XFD170">
        <filterColumn colId="3">
          <customFilters>
            <customFilter operator="equal" val="4500198142"/>
          </customFilters>
        </filterColumn>
      </autoFilter>
    </autofilterInfo>
    <autofilterInfo filterID="1474966847">
      <autoFilter xmlns="http://schemas.openxmlformats.org/spreadsheetml/2006/main" ref="A3:XFD170">
        <filterColumn colId="3">
          <customFilters>
            <customFilter operator="equal" val="4500182578"/>
          </customFilters>
        </filterColumn>
      </autoFilter>
    </autofilterInfo>
    <autofilterInfo filterID="1474709007">
      <autoFilter xmlns="http://schemas.openxmlformats.org/spreadsheetml/2006/main" ref="A3:XFD170">
        <filterColumn colId="0">
          <filters>
            <dateGroupItem year="2025" month="11" day="17" dateTimeGrouping="day"/>
            <dateGroupItem year="2025" month="12" day="2" dateTimeGrouping="day"/>
            <dateGroupItem year="2025" month="12" day="15" dateTimeGrouping="day"/>
            <dateGroupItem year="2025" month="12" day="19" dateTimeGrouping="day"/>
            <dateGroupItem year="2026" month="2" day="26" dateTimeGrouping="day"/>
            <dateGroupItem year="2026" month="2" day="28" dateTimeGrouping="day"/>
            <dateGroupItem year="2026" month="3" day="4" dateTimeGrouping="day"/>
            <dateGroupItem year="2026" month="3" day="10" dateTimeGrouping="day"/>
            <dateGroupItem year="2026" month="3" day="11" dateTimeGrouping="day"/>
            <dateGroupItem year="2026" month="3" day="24" dateTimeGrouping="day"/>
            <dateGroupItem year="2026" month="4" day="3" dateTimeGrouping="day"/>
          </filters>
        </filterColumn>
        <filterColumn colId="3">
          <customFilters>
            <customFilter operator="equal" val="4500198142"/>
          </customFilters>
        </filterColumn>
      </autoFilter>
    </autofilterInfo>
  </sheetItem>
  <sheetItem sheetStid="17">
    <filterData filterID="1475153551"/>
    <filterData filterID="1828143256"/>
    <filterData filterID="1474709007">
      <hiddenRange rowFrom="1" rowTo="95"/>
      <hiddenRange rowFrom="97" rowTo="212"/>
    </filterData>
    <autofilterInfo filterID="1474709007">
      <autoFilter xmlns="http://schemas.openxmlformats.org/spreadsheetml/2006/main" ref="A1:CD220">
        <filterColumn colId="7">
          <filters>
            <filter val="92104A-S001"/>
            <filter val="92104E-S001"/>
            <filter val="92104D-S001"/>
            <filter val="92104B-S001"/>
            <filter val="92104H-S001"/>
            <filter val="92104G-S001"/>
            <filter val="92104TQ2-S002-NB"/>
            <filter val="92104TQ1-S002-NB-MTS"/>
            <filter val="92123-S001-92104"/>
            <filter val="92124-S001-92104"/>
            <filter val="92104TQ2-S001"/>
            <filter val="92104TQ1-S001"/>
            <filter val="92104A-S001-NB.WMB"/>
            <filter val="92104TQ2-S002"/>
            <filter val="92104D-S001-NB.MB"/>
            <filter val="92104H-S001-NB.WMB"/>
            <filter val="92104TQ4-S003"/>
            <filter val="92104-S001"/>
            <filter val="92104-S001-NB"/>
            <filter val="92104-S004-NB-MTS"/>
          </filters>
        </filterColumn>
        <filterColumn colId="9">
          <customFilters>
            <customFilter operator="equal" val="9000"/>
          </customFilters>
        </filterColumn>
      </autoFilter>
    </autofilterInfo>
  </sheetItem>
</autofilters>
</file>

<file path=customXml/item4.xml><?xml version="1.0" encoding="utf-8"?>
<woProps xmlns="https://web.wps.cn/et/2018/main" xmlns:s="http://schemas.openxmlformats.org/spreadsheetml/2006/main">
  <woSheetsProps>
    <woSheetProps sheetStid="40" interlineOnOff="0" interlineColor="0" isDbSheet="0" isDashBoardSheet="0" isDbDashBoardSheet="0" isFlexPaperSheet="0">
      <cellprotection/>
      <appEtDbRelations/>
    </woSheetProps>
    <woSheetProps sheetStid="41" interlineOnOff="0" interlineColor="0" isDbSheet="0" isDashBoardSheet="0" isDbDashBoardSheet="0" isFlexPaperSheet="0">
      <cellprotection/>
      <appEtDbRelations/>
    </woSheetProps>
    <woSheetProps sheetStid="42" interlineOnOff="0" interlineColor="0" isDbSheet="0" isDashBoardSheet="0" isDbDashBoardSheet="0" isFlexPaperSheet="0">
      <cellprotection/>
      <appEtDbRelations/>
    </woSheetProps>
    <woSheetProps sheetStid="43" interlineOnOff="0" interlineColor="0" isDbSheet="0" isDashBoardSheet="0" isDbDashBoardSheet="0" isFlexPaperSheet="0">
      <cellprotection/>
      <appEtDbRelations/>
    </woSheetProps>
    <woSheetProps sheetStid="44" interlineOnOff="0" interlineColor="0" isDbSheet="0" isDashBoardSheet="0" isDbDashBoardSheet="0" isFlexPaperSheet="0">
      <cellprotection/>
      <appEtDbRelations/>
    </woSheetProps>
    <woSheetProps sheetStid="48" interlineOnOff="0" interlineColor="0" isDbSheet="0" isDashBoardSheet="0" isDbDashBoardSheet="0" isFlexPaperSheet="0">
      <cellprotection/>
      <appEtDbRelations/>
    </woSheetProps>
    <woSheetProps sheetStid="49" interlineOnOff="0" interlineColor="0" isDbSheet="0" isDashBoardSheet="0" isDbDashBoardSheet="0" isFlexPaperSheet="0">
      <cellprotection/>
      <appEtDbRelations/>
    </woSheetProps>
    <woSheetProps sheetStid="32" interlineOnOff="0" interlineColor="0" isDbSheet="0" isDashBoardSheet="0" isDbDashBoardSheet="0" isFlexPaperSheet="0">
      <cellprotection/>
      <appEtDbRelations/>
    </woSheetProps>
    <woSheetProps sheetStid="20" interlineOnOff="0" interlineColor="0" isDbSheet="0" isDashBoardSheet="0" isDbDashBoardSheet="0" isFlexPaperSheet="0">
      <cellprotection/>
      <appEtDbRelations/>
    </woSheetProps>
    <woSheetProps sheetStid="50" interlineOnOff="0" interlineColor="0" isDbSheet="0" isDashBoardSheet="0" isDbDashBoardSheet="0" isFlexPaperSheet="0">
      <cellprotection/>
      <appEtDbRelations/>
    </woSheetProps>
    <woSheetProps sheetStid="14" interlineOnOff="0" interlineColor="0" isDbSheet="0" isDashBoardSheet="0" isDbDashBoardSheet="0" isFlexPaperSheet="0">
      <cellprotection/>
      <appEtDbRelations/>
    </woSheetProps>
    <woSheetProps sheetStid="53" interlineOnOff="0" interlineColor="0" isDbSheet="0" isDashBoardSheet="0" isDbDashBoardSheet="0" isFlexPaperSheet="0">
      <cellprotection/>
      <appEtDbRelations/>
    </woSheetProps>
    <woSheetProps sheetStid="12" interlineOnOff="0" interlineColor="0" isDbSheet="0" isDashBoardSheet="0" isDbDashBoardSheet="0" isFlexPaperSheet="0">
      <cellprotection/>
      <appEtDbRelations/>
    </woSheetProps>
    <woSheetProps sheetStid="52" interlineOnOff="0" interlineColor="0" isDbSheet="0" isDashBoardSheet="0" isDbDashBoardSheet="0" isFlexPaperSheet="0">
      <cellprotection/>
      <appEtDbRelations/>
    </woSheetProps>
    <woSheetProps sheetStid="51" interlineOnOff="0" interlineColor="0" isDbSheet="0" isDashBoardSheet="0" isDbDashBoardSheet="0" isFlexPaperSheet="0">
      <cellprotection/>
      <appEtDbRelations/>
    </woSheetProps>
    <woSheetProps sheetStid="17" interlineOnOff="0" interlineColor="0" isDbSheet="0" isDashBoardSheet="0" isDbDashBoardSheet="0" isFlexPaperSheet="0">
      <cellprotection/>
      <appEtDbRelations/>
    </woSheetProps>
    <woSheetProps sheetStid="54" interlineOnOff="0" interlineColor="0" isDbSheet="0" isDashBoardSheet="0" isDbDashBoardSheet="0" isFlexPaperSheet="0">
      <cellprotection/>
      <appEtDbRelations/>
    </woSheetProps>
    <woSheetProps sheetStid="47" interlineOnOff="0" interlineColor="0" isDbSheet="0" isDashBoardSheet="0" isDbDashBoardSheet="0" isFlexPaperSheet="0">
      <cellprotection/>
      <appEtDbRelations/>
    </woSheetProps>
    <woSheetProps sheetStid="45" interlineOnOff="0" interlineColor="0" isDbSheet="0" isDashBoardSheet="0" isDbDashBoardSheet="0" isFlexPaperSheet="0">
      <cellprotection/>
      <appEtDbRelations/>
    </woSheetProps>
    <woSheetProps sheetStid="19" interlineOnOff="0" interlineColor="0" isDbSheet="0" isDashBoardSheet="0" isDbDashBoardSheet="0" isFlexPaperSheet="0">
      <cellprotection/>
      <appEtDbRelations/>
    </woSheetProps>
    <woSheetProps sheetStid="25" interlineOnOff="0" interlineColor="0" isDbSheet="0" isDashBoardSheet="0" isDbDashBoardSheet="0" isFlexPaperSheet="0">
      <cellprotection/>
      <appEtDbRelations/>
    </woSheetProps>
  </woSheetsProps>
  <woBookProps>
    <bookSettings fileId="526432237095" isFilterShared="0" woEtMtcEnabled="0" coreConquerUserId="1475153551" isAutoUpdatePaused="0" filterType="user" isMergeTasksAutoUpdate="0" isInserPicAsAttachment="0" supportDbFmlaDisp="0"/>
  </woBookProps>
</woProps>
</file>

<file path=customXml/item5.xml><?xml version="1.0" encoding="utf-8"?>
<pixelators xmlns="https://web.wps.cn/et/2018/main" xmlns:s="http://schemas.openxmlformats.org/spreadsheetml/2006/main">
  <pixelatorList sheetStid="40"/>
  <pixelatorList sheetStid="41"/>
  <pixelatorList sheetStid="42"/>
  <pixelatorList sheetStid="43"/>
  <pixelatorList sheetStid="44"/>
  <pixelatorList sheetStid="48"/>
  <pixelatorList sheetStid="49"/>
  <pixelatorList sheetStid="32"/>
  <pixelatorList sheetStid="20"/>
  <pixelatorList sheetStid="50"/>
  <pixelatorList sheetStid="14"/>
  <pixelatorList sheetStid="53"/>
  <pixelatorList sheetStid="12"/>
  <pixelatorList sheetStid="52"/>
  <pixelatorList sheetStid="51"/>
  <pixelatorList sheetStid="17"/>
  <pixelatorList sheetStid="54"/>
  <pixelatorList sheetStid="47"/>
  <pixelatorList sheetStid="45"/>
  <pixelatorList sheetStid="19"/>
  <pixelatorList sheetStid="25"/>
  <pixelatorList sheetStid="55"/>
</pixelator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WWW.YlmF.CoM</Company>
  <Application>WPS Office WWO_wpscloud_20260805160907-ca3bb104b7</Application>
  <HeadingPairs>
    <vt:vector size="2" baseType="variant">
      <vt:variant>
        <vt:lpstr>工作表</vt:lpstr>
      </vt:variant>
      <vt:variant>
        <vt:i4>21</vt:i4>
      </vt:variant>
    </vt:vector>
  </HeadingPairs>
  <TitlesOfParts>
    <vt:vector size="21" baseType="lpstr">
      <vt:lpstr>9259</vt:lpstr>
      <vt:lpstr>9279</vt:lpstr>
      <vt:lpstr>9298</vt:lpstr>
      <vt:lpstr>92104</vt:lpstr>
      <vt:lpstr>92106</vt:lpstr>
      <vt:lpstr>92107</vt:lpstr>
      <vt:lpstr>92108</vt:lpstr>
      <vt:lpstr>棉花泥MA</vt:lpstr>
      <vt:lpstr>布料MA</vt:lpstr>
      <vt:lpstr>布料MA -1</vt:lpstr>
      <vt:lpstr>半成品MA</vt:lpstr>
      <vt:lpstr>生产MA-1</vt:lpstr>
      <vt:lpstr>MA包裝</vt:lpstr>
      <vt:lpstr>包装MA-1</vt:lpstr>
      <vt:lpstr>IC MA</vt:lpstr>
      <vt:lpstr>取消單</vt:lpstr>
      <vt:lpstr>取消单-1</vt:lpstr>
      <vt:lpstr>客户回复</vt:lpstr>
      <vt:lpstr>9298 版本变更明细</vt:lpstr>
      <vt:lpstr>樣板單</vt:lpstr>
      <vt:lpstr>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DELL</cp:lastModifiedBy>
  <dcterms:created xsi:type="dcterms:W3CDTF">2016-10-30T05:50:00Z</dcterms:created>
  <cp:lastPrinted>2017-10-17T02:03:00Z</cp:lastPrinted>
  <dcterms:modified xsi:type="dcterms:W3CDTF">2026-10-27T01:33:00Z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2052-12.9.0.28212</vt:lpwstr>
  </property>
  <property fmtid="{D5CDD505-2E9C-101B-9397-08002B2CF9AE}" pid="3" name="KSOReadingLayout">
    <vt:bool>true</vt:bool>
  </property>
  <property fmtid="{D5CDD505-2E9C-101B-9397-08002B2CF9AE}" pid="4" name="ICV">
    <vt:lpwstr>52B16FA01A9C45118CDB88726C10D26B_13</vt:lpwstr>
  </property>
  <property fmtid="{D5CDD505-2E9C-101B-9397-08002B2CF9AE}" pid="5" name="CalculationRule">
    <vt:i4>0</vt:i4>
  </property>
</Properties>
</file>